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현재_통합_문서" defaultThemeVersion="202300"/>
  <mc:AlternateContent xmlns:mc="http://schemas.openxmlformats.org/markup-compatibility/2006">
    <mc:Choice Requires="x15">
      <x15ac:absPath xmlns:x15ac="http://schemas.microsoft.com/office/spreadsheetml/2010/11/ac" url="C:\Users\yonghyeonahn\OneDrive - (주)코람코자산신탁\바탕 화면\코크렙안양,더원리츠\"/>
    </mc:Choice>
  </mc:AlternateContent>
  <xr:revisionPtr revIDLastSave="0" documentId="8_{981FD4BF-D3D9-4661-8A25-2A915EAAFF36}" xr6:coauthVersionLast="47" xr6:coauthVersionMax="47" xr10:uidLastSave="{00000000-0000-0000-0000-000000000000}"/>
  <bookViews>
    <workbookView xWindow="28680" yWindow="0" windowWidth="29040" windowHeight="15720" tabRatio="950" firstSheet="1" activeTab="2" xr2:uid="{453911A1-2563-45C3-BE7C-D633E7809DB6}"/>
  </bookViews>
  <sheets>
    <sheet name="민감도" sheetId="27" state="hidden" r:id="rId1"/>
    <sheet name="A&amp;R(사내양식)" sheetId="38" r:id="rId2"/>
    <sheet name="A&amp;R" sheetId="1" r:id="rId3"/>
    <sheet name="FS_Detail(M)" sheetId="11" r:id="rId4"/>
    <sheet name="BS(M)" sheetId="15" r:id="rId5"/>
    <sheet name="간주취득세" sheetId="36" r:id="rId6"/>
    <sheet name="TIC" sheetId="2" r:id="rId7"/>
    <sheet name="CF(Y)" sheetId="26" r:id="rId8"/>
    <sheet name="Index" sheetId="4" r:id="rId9"/>
    <sheet name="IS(FY)" sheetId="16" r:id="rId10"/>
    <sheet name="CF(FY)" sheetId="17" r:id="rId11"/>
    <sheet name="BS(FY)" sheetId="18" r:id="rId12"/>
    <sheet name="CF(M)" sheetId="5" r:id="rId13"/>
    <sheet name="NOI(M)" sheetId="10" r:id="rId14"/>
    <sheet name="Rent-roll" sheetId="14" r:id="rId15"/>
    <sheet name="IS(M)" sheetId="6" r:id="rId16"/>
    <sheet name="신설리츠vs PFV" sheetId="35" state="hidden" r:id="rId17"/>
    <sheet name="DSCR(선,중)" sheetId="30" state="hidden" r:id="rId18"/>
    <sheet name="Report-sj" sheetId="32" r:id="rId19"/>
    <sheet name="Sell-down" sheetId="19" r:id="rId20"/>
    <sheet name="IM" sheetId="21" r:id="rId21"/>
    <sheet name="거래사례" sheetId="22" r:id="rId22"/>
    <sheet name="임대사례" sheetId="23" r:id="rId23"/>
    <sheet name="채권금리" sheetId="37" r:id="rId24"/>
    <sheet name="REPORT" sheetId="33" r:id="rId25"/>
    <sheet name="수정사항" sheetId="34" state="hidden" r:id="rId26"/>
    <sheet name="우리 TC" sheetId="31" r:id="rId27"/>
    <sheet name="Rentroll(7월기준)" sheetId="28" r:id="rId28"/>
    <sheet name="Rentroll(개시시점 기준)" sheetId="12" r:id="rId29"/>
    <sheet name="TM" sheetId="20" state="hidden" r:id="rId30"/>
    <sheet name="PBC&gt;&gt;&gt;&gt;" sheetId="13" r:id="rId31"/>
    <sheet name="토지분재산세" sheetId="24" r:id="rId32"/>
    <sheet name="종합부동산세" sheetId="25" r:id="rId33"/>
  </sheets>
  <definedNames>
    <definedName name="_?" localSheetId="24" hidden="1">{"AnnualRentRoll",#N/A,FALSE,"RentRoll"}</definedName>
    <definedName name="_?" localSheetId="18" hidden="1">{"AnnualRentRoll",#N/A,FALSE,"RentRoll"}</definedName>
    <definedName name="_?" localSheetId="25" hidden="1">{"AnnualRentRoll",#N/A,FALSE,"RentRoll"}</definedName>
    <definedName name="_?" hidden="1">{"AnnualRentRoll",#N/A,FALSE,"RentRoll"}</definedName>
    <definedName name="_????" localSheetId="24" hidden="1">{#N/A,#N/A,TRUE,"1? ????";#N/A,#N/A,TRUE,"1-2? ?????";#N/A,#N/A,TRUE,"2? ??";#N/A,#N/A,TRUE,"2??? ????";#N/A,#N/A,TRUE,"3(1)? ????";#N/A,#N/A,TRUE,"??????";#N/A,#N/A,TRUE,"3(1)?7 ????";#N/A,#N/A,TRUE,"5? ???";#N/A,#N/A,TRUE,"5?2 ???(?)";#N/A,#N/A,TRUE,"6? ????";#N/A,#N/A,TRUE,"6? ??(?)";#N/A,#N/A,TRUE,"6? ??(?)";#N/A,#N/A,TRUE,"????";#N/A,#N/A,TRUE,"6-6(3)? ??(??)";#N/A,#N/A,TRUE,"9? ???(?)";#N/A,#N/A,TRUE,"9? ???(?)";#N/A,#N/A,TRUE,"10(3)? ????";#N/A,#N/A,TRUE,"10(4)? ????"}</definedName>
    <definedName name="_????" localSheetId="18" hidden="1">{#N/A,#N/A,TRUE,"1? ????";#N/A,#N/A,TRUE,"1-2? ?????";#N/A,#N/A,TRUE,"2? ??";#N/A,#N/A,TRUE,"2??? ????";#N/A,#N/A,TRUE,"3(1)? ????";#N/A,#N/A,TRUE,"??????";#N/A,#N/A,TRUE,"3(1)?7 ????";#N/A,#N/A,TRUE,"5? ???";#N/A,#N/A,TRUE,"5?2 ???(?)";#N/A,#N/A,TRUE,"6? ????";#N/A,#N/A,TRUE,"6? ??(?)";#N/A,#N/A,TRUE,"6? ??(?)";#N/A,#N/A,TRUE,"????";#N/A,#N/A,TRUE,"6-6(3)? ??(??)";#N/A,#N/A,TRUE,"9? ???(?)";#N/A,#N/A,TRUE,"9? ???(?)";#N/A,#N/A,TRUE,"10(3)? ????";#N/A,#N/A,TRUE,"10(4)? ????"}</definedName>
    <definedName name="_????" localSheetId="25" hidden="1">{#N/A,#N/A,TRUE,"1? ????";#N/A,#N/A,TRUE,"1-2? ?????";#N/A,#N/A,TRUE,"2? ??";#N/A,#N/A,TRUE,"2??? ????";#N/A,#N/A,TRUE,"3(1)? ????";#N/A,#N/A,TRUE,"??????";#N/A,#N/A,TRUE,"3(1)?7 ????";#N/A,#N/A,TRUE,"5? ???";#N/A,#N/A,TRUE,"5?2 ???(?)";#N/A,#N/A,TRUE,"6? ????";#N/A,#N/A,TRUE,"6? ??(?)";#N/A,#N/A,TRUE,"6? ??(?)";#N/A,#N/A,TRUE,"????";#N/A,#N/A,TRUE,"6-6(3)? ??(??)";#N/A,#N/A,TRUE,"9? ???(?)";#N/A,#N/A,TRUE,"9? ???(?)";#N/A,#N/A,TRUE,"10(3)? ????";#N/A,#N/A,TRUE,"10(4)? ????"}</definedName>
    <definedName name="_????" hidden="1">{#N/A,#N/A,TRUE,"1? ????";#N/A,#N/A,TRUE,"1-2? ?????";#N/A,#N/A,TRUE,"2? ??";#N/A,#N/A,TRUE,"2??? ????";#N/A,#N/A,TRUE,"3(1)? ????";#N/A,#N/A,TRUE,"??????";#N/A,#N/A,TRUE,"3(1)?7 ????";#N/A,#N/A,TRUE,"5? ???";#N/A,#N/A,TRUE,"5?2 ???(?)";#N/A,#N/A,TRUE,"6? ????";#N/A,#N/A,TRUE,"6? ??(?)";#N/A,#N/A,TRUE,"6? ??(?)";#N/A,#N/A,TRUE,"????";#N/A,#N/A,TRUE,"6-6(3)? ??(??)";#N/A,#N/A,TRUE,"9? ???(?)";#N/A,#N/A,TRUE,"9? ???(?)";#N/A,#N/A,TRUE,"10(3)? ????";#N/A,#N/A,TRUE,"10(4)? ????"}</definedName>
    <definedName name="__????" localSheetId="24" hidden="1">{#N/A,#N/A,TRUE,"1? ????";#N/A,#N/A,TRUE,"1-2? ?????";#N/A,#N/A,TRUE,"2? ??";#N/A,#N/A,TRUE,"2??? ????";#N/A,#N/A,TRUE,"3(1)? ????";#N/A,#N/A,TRUE,"??????";#N/A,#N/A,TRUE,"3(1)?7 ????";#N/A,#N/A,TRUE,"5? ???";#N/A,#N/A,TRUE,"5?2 ???(?)";#N/A,#N/A,TRUE,"6? ????";#N/A,#N/A,TRUE,"6? ??(?)";#N/A,#N/A,TRUE,"6? ??(?)";#N/A,#N/A,TRUE,"????";#N/A,#N/A,TRUE,"6-6(3)? ??(??)";#N/A,#N/A,TRUE,"9? ???(?)";#N/A,#N/A,TRUE,"9? ???(?)";#N/A,#N/A,TRUE,"10(3)? ????";#N/A,#N/A,TRUE,"10(4)? ????"}</definedName>
    <definedName name="__????" localSheetId="18" hidden="1">{#N/A,#N/A,TRUE,"1? ????";#N/A,#N/A,TRUE,"1-2? ?????";#N/A,#N/A,TRUE,"2? ??";#N/A,#N/A,TRUE,"2??? ????";#N/A,#N/A,TRUE,"3(1)? ????";#N/A,#N/A,TRUE,"??????";#N/A,#N/A,TRUE,"3(1)?7 ????";#N/A,#N/A,TRUE,"5? ???";#N/A,#N/A,TRUE,"5?2 ???(?)";#N/A,#N/A,TRUE,"6? ????";#N/A,#N/A,TRUE,"6? ??(?)";#N/A,#N/A,TRUE,"6? ??(?)";#N/A,#N/A,TRUE,"????";#N/A,#N/A,TRUE,"6-6(3)? ??(??)";#N/A,#N/A,TRUE,"9? ???(?)";#N/A,#N/A,TRUE,"9? ???(?)";#N/A,#N/A,TRUE,"10(3)? ????";#N/A,#N/A,TRUE,"10(4)? ????"}</definedName>
    <definedName name="__????" localSheetId="25" hidden="1">{#N/A,#N/A,TRUE,"1? ????";#N/A,#N/A,TRUE,"1-2? ?????";#N/A,#N/A,TRUE,"2? ??";#N/A,#N/A,TRUE,"2??? ????";#N/A,#N/A,TRUE,"3(1)? ????";#N/A,#N/A,TRUE,"??????";#N/A,#N/A,TRUE,"3(1)?7 ????";#N/A,#N/A,TRUE,"5? ???";#N/A,#N/A,TRUE,"5?2 ???(?)";#N/A,#N/A,TRUE,"6? ????";#N/A,#N/A,TRUE,"6? ??(?)";#N/A,#N/A,TRUE,"6? ??(?)";#N/A,#N/A,TRUE,"????";#N/A,#N/A,TRUE,"6-6(3)? ??(??)";#N/A,#N/A,TRUE,"9? ???(?)";#N/A,#N/A,TRUE,"9? ???(?)";#N/A,#N/A,TRUE,"10(3)? ????";#N/A,#N/A,TRUE,"10(4)? ????"}</definedName>
    <definedName name="__????" hidden="1">{#N/A,#N/A,TRUE,"1? ????";#N/A,#N/A,TRUE,"1-2? ?????";#N/A,#N/A,TRUE,"2? ??";#N/A,#N/A,TRUE,"2??? ????";#N/A,#N/A,TRUE,"3(1)? ????";#N/A,#N/A,TRUE,"??????";#N/A,#N/A,TRUE,"3(1)?7 ????";#N/A,#N/A,TRUE,"5? ???";#N/A,#N/A,TRUE,"5?2 ???(?)";#N/A,#N/A,TRUE,"6? ????";#N/A,#N/A,TRUE,"6? ??(?)";#N/A,#N/A,TRUE,"6? ??(?)";#N/A,#N/A,TRUE,"????";#N/A,#N/A,TRUE,"6-6(3)? ??(??)";#N/A,#N/A,TRUE,"9? ???(?)";#N/A,#N/A,TRUE,"9? ???(?)";#N/A,#N/A,TRUE,"10(3)? ????";#N/A,#N/A,TRUE,"10(4)? ????"}</definedName>
    <definedName name="___????" localSheetId="24" hidden="1">{#N/A,#N/A,TRUE,"1? ????";#N/A,#N/A,TRUE,"1-2? ?????";#N/A,#N/A,TRUE,"2? ??";#N/A,#N/A,TRUE,"2??? ????";#N/A,#N/A,TRUE,"3(1)? ????";#N/A,#N/A,TRUE,"??????";#N/A,#N/A,TRUE,"3(1)?7 ????";#N/A,#N/A,TRUE,"5? ???";#N/A,#N/A,TRUE,"5?2 ???(?)";#N/A,#N/A,TRUE,"6? ????";#N/A,#N/A,TRUE,"6? ??(?)";#N/A,#N/A,TRUE,"6? ??(?)";#N/A,#N/A,TRUE,"????";#N/A,#N/A,TRUE,"6-6(3)? ??(??)";#N/A,#N/A,TRUE,"9? ???(?)";#N/A,#N/A,TRUE,"9? ???(?)";#N/A,#N/A,TRUE,"10(3)? ????";#N/A,#N/A,TRUE,"10(4)? ????"}</definedName>
    <definedName name="___????" localSheetId="18" hidden="1">{#N/A,#N/A,TRUE,"1? ????";#N/A,#N/A,TRUE,"1-2? ?????";#N/A,#N/A,TRUE,"2? ??";#N/A,#N/A,TRUE,"2??? ????";#N/A,#N/A,TRUE,"3(1)? ????";#N/A,#N/A,TRUE,"??????";#N/A,#N/A,TRUE,"3(1)?7 ????";#N/A,#N/A,TRUE,"5? ???";#N/A,#N/A,TRUE,"5?2 ???(?)";#N/A,#N/A,TRUE,"6? ????";#N/A,#N/A,TRUE,"6? ??(?)";#N/A,#N/A,TRUE,"6? ??(?)";#N/A,#N/A,TRUE,"????";#N/A,#N/A,TRUE,"6-6(3)? ??(??)";#N/A,#N/A,TRUE,"9? ???(?)";#N/A,#N/A,TRUE,"9? ???(?)";#N/A,#N/A,TRUE,"10(3)? ????";#N/A,#N/A,TRUE,"10(4)? ????"}</definedName>
    <definedName name="___????" localSheetId="25" hidden="1">{#N/A,#N/A,TRUE,"1? ????";#N/A,#N/A,TRUE,"1-2? ?????";#N/A,#N/A,TRUE,"2? ??";#N/A,#N/A,TRUE,"2??? ????";#N/A,#N/A,TRUE,"3(1)? ????";#N/A,#N/A,TRUE,"??????";#N/A,#N/A,TRUE,"3(1)?7 ????";#N/A,#N/A,TRUE,"5? ???";#N/A,#N/A,TRUE,"5?2 ???(?)";#N/A,#N/A,TRUE,"6? ????";#N/A,#N/A,TRUE,"6? ??(?)";#N/A,#N/A,TRUE,"6? ??(?)";#N/A,#N/A,TRUE,"????";#N/A,#N/A,TRUE,"6-6(3)? ??(??)";#N/A,#N/A,TRUE,"9? ???(?)";#N/A,#N/A,TRUE,"9? ???(?)";#N/A,#N/A,TRUE,"10(3)? ????";#N/A,#N/A,TRUE,"10(4)? ????"}</definedName>
    <definedName name="___????" hidden="1">{#N/A,#N/A,TRUE,"1? ????";#N/A,#N/A,TRUE,"1-2? ?????";#N/A,#N/A,TRUE,"2? ??";#N/A,#N/A,TRUE,"2??? ????";#N/A,#N/A,TRUE,"3(1)? ????";#N/A,#N/A,TRUE,"??????";#N/A,#N/A,TRUE,"3(1)?7 ????";#N/A,#N/A,TRUE,"5? ???";#N/A,#N/A,TRUE,"5?2 ???(?)";#N/A,#N/A,TRUE,"6? ????";#N/A,#N/A,TRUE,"6? ??(?)";#N/A,#N/A,TRUE,"6? ??(?)";#N/A,#N/A,TRUE,"????";#N/A,#N/A,TRUE,"6-6(3)? ??(??)";#N/A,#N/A,TRUE,"9? ???(?)";#N/A,#N/A,TRUE,"9? ???(?)";#N/A,#N/A,TRUE,"10(3)? ????";#N/A,#N/A,TRUE,"10(4)? ????"}</definedName>
    <definedName name="____????" localSheetId="24" hidden="1">{#N/A,#N/A,TRUE,"1? ????";#N/A,#N/A,TRUE,"1-2? ?????";#N/A,#N/A,TRUE,"2? ??";#N/A,#N/A,TRUE,"2??? ????";#N/A,#N/A,TRUE,"3(1)? ????";#N/A,#N/A,TRUE,"??????";#N/A,#N/A,TRUE,"3(1)?7 ????";#N/A,#N/A,TRUE,"5? ???";#N/A,#N/A,TRUE,"5?2 ???(?)";#N/A,#N/A,TRUE,"6? ????";#N/A,#N/A,TRUE,"6? ??(?)";#N/A,#N/A,TRUE,"6? ??(?)";#N/A,#N/A,TRUE,"????";#N/A,#N/A,TRUE,"6-6(3)? ??(??)";#N/A,#N/A,TRUE,"9? ???(?)";#N/A,#N/A,TRUE,"9? ???(?)";#N/A,#N/A,TRUE,"10(3)? ????";#N/A,#N/A,TRUE,"10(4)? ????"}</definedName>
    <definedName name="____????" localSheetId="18" hidden="1">{#N/A,#N/A,TRUE,"1? ????";#N/A,#N/A,TRUE,"1-2? ?????";#N/A,#N/A,TRUE,"2? ??";#N/A,#N/A,TRUE,"2??? ????";#N/A,#N/A,TRUE,"3(1)? ????";#N/A,#N/A,TRUE,"??????";#N/A,#N/A,TRUE,"3(1)?7 ????";#N/A,#N/A,TRUE,"5? ???";#N/A,#N/A,TRUE,"5?2 ???(?)";#N/A,#N/A,TRUE,"6? ????";#N/A,#N/A,TRUE,"6? ??(?)";#N/A,#N/A,TRUE,"6? ??(?)";#N/A,#N/A,TRUE,"????";#N/A,#N/A,TRUE,"6-6(3)? ??(??)";#N/A,#N/A,TRUE,"9? ???(?)";#N/A,#N/A,TRUE,"9? ???(?)";#N/A,#N/A,TRUE,"10(3)? ????";#N/A,#N/A,TRUE,"10(4)? ????"}</definedName>
    <definedName name="____????" localSheetId="25" hidden="1">{#N/A,#N/A,TRUE,"1? ????";#N/A,#N/A,TRUE,"1-2? ?????";#N/A,#N/A,TRUE,"2? ??";#N/A,#N/A,TRUE,"2??? ????";#N/A,#N/A,TRUE,"3(1)? ????";#N/A,#N/A,TRUE,"??????";#N/A,#N/A,TRUE,"3(1)?7 ????";#N/A,#N/A,TRUE,"5? ???";#N/A,#N/A,TRUE,"5?2 ???(?)";#N/A,#N/A,TRUE,"6? ????";#N/A,#N/A,TRUE,"6? ??(?)";#N/A,#N/A,TRUE,"6? ??(?)";#N/A,#N/A,TRUE,"????";#N/A,#N/A,TRUE,"6-6(3)? ??(??)";#N/A,#N/A,TRUE,"9? ???(?)";#N/A,#N/A,TRUE,"9? ???(?)";#N/A,#N/A,TRUE,"10(3)? ????";#N/A,#N/A,TRUE,"10(4)? ????"}</definedName>
    <definedName name="____????" hidden="1">{#N/A,#N/A,TRUE,"1? ????";#N/A,#N/A,TRUE,"1-2? ?????";#N/A,#N/A,TRUE,"2? ??";#N/A,#N/A,TRUE,"2??? ????";#N/A,#N/A,TRUE,"3(1)? ????";#N/A,#N/A,TRUE,"??????";#N/A,#N/A,TRUE,"3(1)?7 ????";#N/A,#N/A,TRUE,"5? ???";#N/A,#N/A,TRUE,"5?2 ???(?)";#N/A,#N/A,TRUE,"6? ????";#N/A,#N/A,TRUE,"6? ??(?)";#N/A,#N/A,TRUE,"6? ??(?)";#N/A,#N/A,TRUE,"????";#N/A,#N/A,TRUE,"6-6(3)? ??(??)";#N/A,#N/A,TRUE,"9? ???(?)";#N/A,#N/A,TRUE,"9? ???(?)";#N/A,#N/A,TRUE,"10(3)? ????";#N/A,#N/A,TRUE,"10(4)? ????"}</definedName>
    <definedName name="____________________________________key1" hidden="1">#N/A</definedName>
    <definedName name="___________________________________key1" hidden="1">#N/A</definedName>
    <definedName name="__________________________________key1" hidden="1">#N/A</definedName>
    <definedName name="_________________________________key1" hidden="1">#N/A</definedName>
    <definedName name="________________________________key1" hidden="1">#N/A</definedName>
    <definedName name="_______________________________key1" hidden="1">#N/A</definedName>
    <definedName name="______________________________key1" hidden="1">#N/A</definedName>
    <definedName name="____________________________key1" hidden="1">#N/A</definedName>
    <definedName name="___________________________key1" hidden="1">#N/A</definedName>
    <definedName name="__________________________key1" hidden="1">#N/A</definedName>
    <definedName name="_________________________key1" hidden="1">#N/A</definedName>
    <definedName name="________________________key1" hidden="1">#N/A</definedName>
    <definedName name="_______________________key1" hidden="1">#N/A</definedName>
    <definedName name="______________________key1" hidden="1">#N/A</definedName>
    <definedName name="_____________________key1" hidden="1">#N/A</definedName>
    <definedName name="____________________key1" hidden="1">#N/A</definedName>
    <definedName name="__________________key1" hidden="1">#N/A</definedName>
    <definedName name="________________key1" hidden="1">#N/A</definedName>
    <definedName name="_______________key1" hidden="1">#N/A</definedName>
    <definedName name="______________key1" hidden="1">#N/A</definedName>
    <definedName name="______________PL7" localSheetId="24" hidden="1">{#N/A,#N/A,TRUE,"대 차 대 조 표"}</definedName>
    <definedName name="______________PL7" localSheetId="18" hidden="1">{#N/A,#N/A,TRUE,"대 차 대 조 표"}</definedName>
    <definedName name="______________PL7" localSheetId="25" hidden="1">{#N/A,#N/A,TRUE,"대 차 대 조 표"}</definedName>
    <definedName name="______________PL7" hidden="1">{#N/A,#N/A,TRUE,"대 차 대 조 표"}</definedName>
    <definedName name="_____________key1" hidden="1">#N/A</definedName>
    <definedName name="____________key1" hidden="1">#N/A</definedName>
    <definedName name="____________PL7" localSheetId="24" hidden="1">{#N/A,#N/A,TRUE,"대 차 대 조 표"}</definedName>
    <definedName name="____________PL7" localSheetId="18" hidden="1">{#N/A,#N/A,TRUE,"대 차 대 조 표"}</definedName>
    <definedName name="____________PL7" localSheetId="25" hidden="1">{#N/A,#N/A,TRUE,"대 차 대 조 표"}</definedName>
    <definedName name="____________PL7" hidden="1">{#N/A,#N/A,TRUE,"대 차 대 조 표"}</definedName>
    <definedName name="___________key1" hidden="1">#N/A</definedName>
    <definedName name="___________PL7" localSheetId="24" hidden="1">{#N/A,#N/A,TRUE,"대 차 대 조 표"}</definedName>
    <definedName name="___________PL7" localSheetId="18" hidden="1">{#N/A,#N/A,TRUE,"대 차 대 조 표"}</definedName>
    <definedName name="___________PL7" localSheetId="25" hidden="1">{#N/A,#N/A,TRUE,"대 차 대 조 표"}</definedName>
    <definedName name="___________PL7" hidden="1">{#N/A,#N/A,TRUE,"대 차 대 조 표"}</definedName>
    <definedName name="__________key1" hidden="1">#N/A</definedName>
    <definedName name="__________PL7" localSheetId="24" hidden="1">{#N/A,#N/A,TRUE,"대 차 대 조 표"}</definedName>
    <definedName name="__________PL7" localSheetId="18" hidden="1">{#N/A,#N/A,TRUE,"대 차 대 조 표"}</definedName>
    <definedName name="__________PL7" localSheetId="25" hidden="1">{#N/A,#N/A,TRUE,"대 차 대 조 표"}</definedName>
    <definedName name="__________PL7" hidden="1">{#N/A,#N/A,TRUE,"대 차 대 조 표"}</definedName>
    <definedName name="_________key1" hidden="1">#N/A</definedName>
    <definedName name="_________PL7" localSheetId="24" hidden="1">{#N/A,#N/A,TRUE,"대 차 대 조 표"}</definedName>
    <definedName name="_________PL7" localSheetId="18" hidden="1">{#N/A,#N/A,TRUE,"대 차 대 조 표"}</definedName>
    <definedName name="_________PL7" localSheetId="25" hidden="1">{#N/A,#N/A,TRUE,"대 차 대 조 표"}</definedName>
    <definedName name="_________PL7" hidden="1">{#N/A,#N/A,TRUE,"대 차 대 조 표"}</definedName>
    <definedName name="________key1" hidden="1">#N/A</definedName>
    <definedName name="________mtb3" localSheetId="24" hidden="1">{#N/A,#N/A,FALSE,"１";#N/A,#N/A,FALSE,"２";#N/A,#N/A,FALSE,"３";#N/A,#N/A,FALSE,"４"}</definedName>
    <definedName name="________mtb3" localSheetId="18" hidden="1">{#N/A,#N/A,FALSE,"１";#N/A,#N/A,FALSE,"２";#N/A,#N/A,FALSE,"３";#N/A,#N/A,FALSE,"４"}</definedName>
    <definedName name="________mtb3" localSheetId="25" hidden="1">{#N/A,#N/A,FALSE,"１";#N/A,#N/A,FALSE,"２";#N/A,#N/A,FALSE,"３";#N/A,#N/A,FALSE,"４"}</definedName>
    <definedName name="________mtb3" hidden="1">{#N/A,#N/A,FALSE,"１";#N/A,#N/A,FALSE,"２";#N/A,#N/A,FALSE,"３";#N/A,#N/A,FALSE,"４"}</definedName>
    <definedName name="________PL7" localSheetId="24" hidden="1">{#N/A,#N/A,TRUE,"대 차 대 조 표"}</definedName>
    <definedName name="________PL7" localSheetId="18" hidden="1">{#N/A,#N/A,TRUE,"대 차 대 조 표"}</definedName>
    <definedName name="________PL7" localSheetId="25" hidden="1">{#N/A,#N/A,TRUE,"대 차 대 조 표"}</definedName>
    <definedName name="________PL7" hidden="1">{#N/A,#N/A,TRUE,"대 차 대 조 표"}</definedName>
    <definedName name="_______key1" hidden="1">#N/A</definedName>
    <definedName name="_______ｍｔｂ2" localSheetId="24" hidden="1">{"ｹﾝﾄ（M)",#N/A,FALSE,"収支・日割";"ｹﾝﾄ（RD)",#N/A,FALSE,"収支・日割";"ｹﾝﾄ（PMC)",#N/A,FALSE,"収支・日割"}</definedName>
    <definedName name="_______ｍｔｂ2" localSheetId="18" hidden="1">{"ｹﾝﾄ（M)",#N/A,FALSE,"収支・日割";"ｹﾝﾄ（RD)",#N/A,FALSE,"収支・日割";"ｹﾝﾄ（PMC)",#N/A,FALSE,"収支・日割"}</definedName>
    <definedName name="_______ｍｔｂ2" localSheetId="25" hidden="1">{"ｹﾝﾄ（M)",#N/A,FALSE,"収支・日割";"ｹﾝﾄ（RD)",#N/A,FALSE,"収支・日割";"ｹﾝﾄ（PMC)",#N/A,FALSE,"収支・日割"}</definedName>
    <definedName name="_______ｍｔｂ2" hidden="1">{"ｹﾝﾄ（M)",#N/A,FALSE,"収支・日割";"ｹﾝﾄ（RD)",#N/A,FALSE,"収支・日割";"ｹﾝﾄ（PMC)",#N/A,FALSE,"収支・日割"}</definedName>
    <definedName name="_______mtb3" localSheetId="24" hidden="1">{#N/A,#N/A,FALSE,"１";#N/A,#N/A,FALSE,"２";#N/A,#N/A,FALSE,"３";#N/A,#N/A,FALSE,"４"}</definedName>
    <definedName name="_______mtb3" localSheetId="18" hidden="1">{#N/A,#N/A,FALSE,"１";#N/A,#N/A,FALSE,"２";#N/A,#N/A,FALSE,"３";#N/A,#N/A,FALSE,"４"}</definedName>
    <definedName name="_______mtb3" localSheetId="25" hidden="1">{#N/A,#N/A,FALSE,"１";#N/A,#N/A,FALSE,"２";#N/A,#N/A,FALSE,"３";#N/A,#N/A,FALSE,"４"}</definedName>
    <definedName name="_______mtb3" hidden="1">{#N/A,#N/A,FALSE,"１";#N/A,#N/A,FALSE,"２";#N/A,#N/A,FALSE,"３";#N/A,#N/A,FALSE,"４"}</definedName>
    <definedName name="_______PL7" localSheetId="24" hidden="1">{#N/A,#N/A,TRUE,"대 차 대 조 표"}</definedName>
    <definedName name="_______PL7" localSheetId="18" hidden="1">{#N/A,#N/A,TRUE,"대 차 대 조 표"}</definedName>
    <definedName name="_______PL7" localSheetId="25" hidden="1">{#N/A,#N/A,TRUE,"대 차 대 조 표"}</definedName>
    <definedName name="_______PL7" hidden="1">{#N/A,#N/A,TRUE,"대 차 대 조 표"}</definedName>
    <definedName name="_______xlfn.BAHTTEXT" hidden="1">#NAME?</definedName>
    <definedName name="______jyr6"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_jyr6"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_jyr6"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_jyr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_key1" hidden="1">#N/A</definedName>
    <definedName name="______ｍｔｂ2" localSheetId="24" hidden="1">{"ｹﾝﾄ（M)",#N/A,FALSE,"収支・日割";"ｹﾝﾄ（RD)",#N/A,FALSE,"収支・日割";"ｹﾝﾄ（PMC)",#N/A,FALSE,"収支・日割"}</definedName>
    <definedName name="______ｍｔｂ2" localSheetId="18" hidden="1">{"ｹﾝﾄ（M)",#N/A,FALSE,"収支・日割";"ｹﾝﾄ（RD)",#N/A,FALSE,"収支・日割";"ｹﾝﾄ（PMC)",#N/A,FALSE,"収支・日割"}</definedName>
    <definedName name="______ｍｔｂ2" localSheetId="25" hidden="1">{"ｹﾝﾄ（M)",#N/A,FALSE,"収支・日割";"ｹﾝﾄ（RD)",#N/A,FALSE,"収支・日割";"ｹﾝﾄ（PMC)",#N/A,FALSE,"収支・日割"}</definedName>
    <definedName name="______ｍｔｂ2" hidden="1">{"ｹﾝﾄ（M)",#N/A,FALSE,"収支・日割";"ｹﾝﾄ（RD)",#N/A,FALSE,"収支・日割";"ｹﾝﾄ（PMC)",#N/A,FALSE,"収支・日割"}</definedName>
    <definedName name="______mtb3" localSheetId="24" hidden="1">{#N/A,#N/A,FALSE,"１";#N/A,#N/A,FALSE,"２";#N/A,#N/A,FALSE,"３";#N/A,#N/A,FALSE,"４"}</definedName>
    <definedName name="______mtb3" localSheetId="18" hidden="1">{#N/A,#N/A,FALSE,"１";#N/A,#N/A,FALSE,"２";#N/A,#N/A,FALSE,"３";#N/A,#N/A,FALSE,"４"}</definedName>
    <definedName name="______mtb3" localSheetId="25" hidden="1">{#N/A,#N/A,FALSE,"１";#N/A,#N/A,FALSE,"２";#N/A,#N/A,FALSE,"３";#N/A,#N/A,FALSE,"４"}</definedName>
    <definedName name="______mtb3" hidden="1">{#N/A,#N/A,FALSE,"１";#N/A,#N/A,FALSE,"２";#N/A,#N/A,FALSE,"３";#N/A,#N/A,FALSE,"４"}</definedName>
    <definedName name="______PL7" localSheetId="24" hidden="1">{#N/A,#N/A,TRUE,"대 차 대 조 표"}</definedName>
    <definedName name="______PL7" localSheetId="18" hidden="1">{#N/A,#N/A,TRUE,"대 차 대 조 표"}</definedName>
    <definedName name="______PL7" localSheetId="25" hidden="1">{#N/A,#N/A,TRUE,"대 차 대 조 표"}</definedName>
    <definedName name="______PL7" hidden="1">{#N/A,#N/A,TRUE,"대 차 대 조 표"}</definedName>
    <definedName name="______xlfn.BAHTTEXT" hidden="1">#NAME?</definedName>
    <definedName name="_____jyr6"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jyr6"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jyr6"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jyr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key1" hidden="1">#N/A</definedName>
    <definedName name="_____ｍｔｂ2" localSheetId="24" hidden="1">{"ｹﾝﾄ（M)",#N/A,FALSE,"収支・日割";"ｹﾝﾄ（RD)",#N/A,FALSE,"収支・日割";"ｹﾝﾄ（PMC)",#N/A,FALSE,"収支・日割"}</definedName>
    <definedName name="_____ｍｔｂ2" localSheetId="18" hidden="1">{"ｹﾝﾄ（M)",#N/A,FALSE,"収支・日割";"ｹﾝﾄ（RD)",#N/A,FALSE,"収支・日割";"ｹﾝﾄ（PMC)",#N/A,FALSE,"収支・日割"}</definedName>
    <definedName name="_____ｍｔｂ2" localSheetId="25" hidden="1">{"ｹﾝﾄ（M)",#N/A,FALSE,"収支・日割";"ｹﾝﾄ（RD)",#N/A,FALSE,"収支・日割";"ｹﾝﾄ（PMC)",#N/A,FALSE,"収支・日割"}</definedName>
    <definedName name="_____ｍｔｂ2" hidden="1">{"ｹﾝﾄ（M)",#N/A,FALSE,"収支・日割";"ｹﾝﾄ（RD)",#N/A,FALSE,"収支・日割";"ｹﾝﾄ（PMC)",#N/A,FALSE,"収支・日割"}</definedName>
    <definedName name="_____mtb3" localSheetId="24" hidden="1">{#N/A,#N/A,FALSE,"１";#N/A,#N/A,FALSE,"２";#N/A,#N/A,FALSE,"３";#N/A,#N/A,FALSE,"４"}</definedName>
    <definedName name="_____mtb3" localSheetId="18" hidden="1">{#N/A,#N/A,FALSE,"１";#N/A,#N/A,FALSE,"２";#N/A,#N/A,FALSE,"３";#N/A,#N/A,FALSE,"４"}</definedName>
    <definedName name="_____mtb3" localSheetId="25" hidden="1">{#N/A,#N/A,FALSE,"１";#N/A,#N/A,FALSE,"２";#N/A,#N/A,FALSE,"３";#N/A,#N/A,FALSE,"４"}</definedName>
    <definedName name="_____mtb3" hidden="1">{#N/A,#N/A,FALSE,"１";#N/A,#N/A,FALSE,"２";#N/A,#N/A,FALSE,"３";#N/A,#N/A,FALSE,"４"}</definedName>
    <definedName name="_____PL7" localSheetId="24" hidden="1">{#N/A,#N/A,TRUE,"대 차 대 조 표"}</definedName>
    <definedName name="_____PL7" localSheetId="18" hidden="1">{#N/A,#N/A,TRUE,"대 차 대 조 표"}</definedName>
    <definedName name="_____PL7" localSheetId="25" hidden="1">{#N/A,#N/A,TRUE,"대 차 대 조 표"}</definedName>
    <definedName name="_____PL7" hidden="1">{#N/A,#N/A,TRUE,"대 차 대 조 표"}</definedName>
    <definedName name="_____q45" localSheetId="24" hidden="1">{"'용역비'!$A$4:$C$8"}</definedName>
    <definedName name="_____q45" localSheetId="18" hidden="1">{"'용역비'!$A$4:$C$8"}</definedName>
    <definedName name="_____q45" localSheetId="25" hidden="1">{"'용역비'!$A$4:$C$8"}</definedName>
    <definedName name="_____q45" hidden="1">{"'용역비'!$A$4:$C$8"}</definedName>
    <definedName name="_____xlfn.BAHTTEXT" hidden="1">#NAME?</definedName>
    <definedName name="____fr2"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____fr2"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____fr2" localSheetId="25"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____fr2"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____jyr6"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jyr6"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jyr6"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jyr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key1" hidden="1">#N/A</definedName>
    <definedName name="____ｍｔｂ2" localSheetId="24" hidden="1">{"ｹﾝﾄ（M)",#N/A,FALSE,"収支・日割";"ｹﾝﾄ（RD)",#N/A,FALSE,"収支・日割";"ｹﾝﾄ（PMC)",#N/A,FALSE,"収支・日割"}</definedName>
    <definedName name="____ｍｔｂ2" localSheetId="18" hidden="1">{"ｹﾝﾄ（M)",#N/A,FALSE,"収支・日割";"ｹﾝﾄ（RD)",#N/A,FALSE,"収支・日割";"ｹﾝﾄ（PMC)",#N/A,FALSE,"収支・日割"}</definedName>
    <definedName name="____ｍｔｂ2" localSheetId="25" hidden="1">{"ｹﾝﾄ（M)",#N/A,FALSE,"収支・日割";"ｹﾝﾄ（RD)",#N/A,FALSE,"収支・日割";"ｹﾝﾄ（PMC)",#N/A,FALSE,"収支・日割"}</definedName>
    <definedName name="____ｍｔｂ2" hidden="1">{"ｹﾝﾄ（M)",#N/A,FALSE,"収支・日割";"ｹﾝﾄ（RD)",#N/A,FALSE,"収支・日割";"ｹﾝﾄ（PMC)",#N/A,FALSE,"収支・日割"}</definedName>
    <definedName name="____pd4" localSheetId="24" hidden="1">{"AnnualRentRoll",#N/A,FALSE,"RentRoll"}</definedName>
    <definedName name="____pd4" localSheetId="18" hidden="1">{"AnnualRentRoll",#N/A,FALSE,"RentRoll"}</definedName>
    <definedName name="____pd4" localSheetId="25" hidden="1">{"AnnualRentRoll",#N/A,FALSE,"RentRoll"}</definedName>
    <definedName name="____pd4" hidden="1">{"AnnualRentRoll",#N/A,FALSE,"RentRoll"}</definedName>
    <definedName name="____PL7" localSheetId="24" hidden="1">{#N/A,#N/A,TRUE,"대 차 대 조 표"}</definedName>
    <definedName name="____PL7" localSheetId="18" hidden="1">{#N/A,#N/A,TRUE,"대 차 대 조 표"}</definedName>
    <definedName name="____PL7" localSheetId="25" hidden="1">{#N/A,#N/A,TRUE,"대 차 대 조 표"}</definedName>
    <definedName name="____PL7" hidden="1">{#N/A,#N/A,TRUE,"대 차 대 조 표"}</definedName>
    <definedName name="____q45" localSheetId="24" hidden="1">{"'용역비'!$A$4:$C$8"}</definedName>
    <definedName name="____q45" localSheetId="18" hidden="1">{"'용역비'!$A$4:$C$8"}</definedName>
    <definedName name="____q45" localSheetId="25" hidden="1">{"'용역비'!$A$4:$C$8"}</definedName>
    <definedName name="____q45" hidden="1">{"'용역비'!$A$4:$C$8"}</definedName>
    <definedName name="____vf6" localSheetId="24" hidden="1">{#N/A,#N/A,FALSE,"Summary"}</definedName>
    <definedName name="____vf6" localSheetId="18" hidden="1">{#N/A,#N/A,FALSE,"Summary"}</definedName>
    <definedName name="____vf6" localSheetId="25" hidden="1">{#N/A,#N/A,FALSE,"Summary"}</definedName>
    <definedName name="____vf6" hidden="1">{#N/A,#N/A,FALSE,"Summary"}</definedName>
    <definedName name="____xlfn.BAHTTEXT" hidden="1">#NAME?</definedName>
    <definedName name="___f09" localSheetId="24" hidden="1">{#N/A,#N/A,FALSE,"OperatingAssumptions"}</definedName>
    <definedName name="___f09" localSheetId="18" hidden="1">{#N/A,#N/A,FALSE,"OperatingAssumptions"}</definedName>
    <definedName name="___f09" localSheetId="25" hidden="1">{#N/A,#N/A,FALSE,"OperatingAssumptions"}</definedName>
    <definedName name="___f09" hidden="1">{#N/A,#N/A,FALSE,"OperatingAssumptions"}</definedName>
    <definedName name="___jyr6"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jyr6"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jyr6"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jyr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key1" hidden="1">#N/A</definedName>
    <definedName name="___ｍｔｂ2" localSheetId="24" hidden="1">{"ｹﾝﾄ（M)",#N/A,FALSE,"収支・日割";"ｹﾝﾄ（RD)",#N/A,FALSE,"収支・日割";"ｹﾝﾄ（PMC)",#N/A,FALSE,"収支・日割"}</definedName>
    <definedName name="___ｍｔｂ2" localSheetId="18" hidden="1">{"ｹﾝﾄ（M)",#N/A,FALSE,"収支・日割";"ｹﾝﾄ（RD)",#N/A,FALSE,"収支・日割";"ｹﾝﾄ（PMC)",#N/A,FALSE,"収支・日割"}</definedName>
    <definedName name="___ｍｔｂ2" localSheetId="25" hidden="1">{"ｹﾝﾄ（M)",#N/A,FALSE,"収支・日割";"ｹﾝﾄ（RD)",#N/A,FALSE,"収支・日割";"ｹﾝﾄ（PMC)",#N/A,FALSE,"収支・日割"}</definedName>
    <definedName name="___ｍｔｂ2" hidden="1">{"ｹﾝﾄ（M)",#N/A,FALSE,"収支・日割";"ｹﾝﾄ（RD)",#N/A,FALSE,"収支・日割";"ｹﾝﾄ（PMC)",#N/A,FALSE,"収支・日割"}</definedName>
    <definedName name="___mtb3" localSheetId="24" hidden="1">{#N/A,#N/A,FALSE,"１";#N/A,#N/A,FALSE,"２";#N/A,#N/A,FALSE,"３";#N/A,#N/A,FALSE,"４"}</definedName>
    <definedName name="___mtb3" localSheetId="18" hidden="1">{#N/A,#N/A,FALSE,"１";#N/A,#N/A,FALSE,"２";#N/A,#N/A,FALSE,"３";#N/A,#N/A,FALSE,"４"}</definedName>
    <definedName name="___mtb3" localSheetId="25" hidden="1">{#N/A,#N/A,FALSE,"１";#N/A,#N/A,FALSE,"２";#N/A,#N/A,FALSE,"３";#N/A,#N/A,FALSE,"４"}</definedName>
    <definedName name="___mtb3" hidden="1">{#N/A,#N/A,FALSE,"１";#N/A,#N/A,FALSE,"２";#N/A,#N/A,FALSE,"３";#N/A,#N/A,FALSE,"４"}</definedName>
    <definedName name="___pd4" localSheetId="24" hidden="1">{"AnnualRentRoll",#N/A,FALSE,"RentRoll"}</definedName>
    <definedName name="___pd4" localSheetId="18" hidden="1">{"AnnualRentRoll",#N/A,FALSE,"RentRoll"}</definedName>
    <definedName name="___pd4" localSheetId="25" hidden="1">{"AnnualRentRoll",#N/A,FALSE,"RentRoll"}</definedName>
    <definedName name="___pd4" hidden="1">{"AnnualRentRoll",#N/A,FALSE,"RentRoll"}</definedName>
    <definedName name="___PL7" localSheetId="24" hidden="1">{#N/A,#N/A,TRUE,"대 차 대 조 표"}</definedName>
    <definedName name="___PL7" localSheetId="18" hidden="1">{#N/A,#N/A,TRUE,"대 차 대 조 표"}</definedName>
    <definedName name="___PL7" localSheetId="25" hidden="1">{#N/A,#N/A,TRUE,"대 차 대 조 표"}</definedName>
    <definedName name="___PL7" hidden="1">{#N/A,#N/A,TRUE,"대 차 대 조 표"}</definedName>
    <definedName name="___PL8" localSheetId="24" hidden="1">{#N/A,#N/A,TRUE,"대 차 대 조 표"}</definedName>
    <definedName name="___PL8" localSheetId="18" hidden="1">{#N/A,#N/A,TRUE,"대 차 대 조 표"}</definedName>
    <definedName name="___PL8" localSheetId="25" hidden="1">{#N/A,#N/A,TRUE,"대 차 대 조 표"}</definedName>
    <definedName name="___PL8" hidden="1">{#N/A,#N/A,TRUE,"대 차 대 조 표"}</definedName>
    <definedName name="___q45" localSheetId="24" hidden="1">{"'용역비'!$A$4:$C$8"}</definedName>
    <definedName name="___q45" localSheetId="18" hidden="1">{"'용역비'!$A$4:$C$8"}</definedName>
    <definedName name="___q45" localSheetId="25" hidden="1">{"'용역비'!$A$4:$C$8"}</definedName>
    <definedName name="___q45" hidden="1">{"'용역비'!$A$4:$C$8"}</definedName>
    <definedName name="___s12" localSheetId="24" hidden="1">{#N/A,#N/A,FALSE,"LoanAssumptions"}</definedName>
    <definedName name="___s12" localSheetId="18" hidden="1">{#N/A,#N/A,FALSE,"LoanAssumptions"}</definedName>
    <definedName name="___s12" localSheetId="25" hidden="1">{#N/A,#N/A,FALSE,"LoanAssumptions"}</definedName>
    <definedName name="___s12" hidden="1">{#N/A,#N/A,FALSE,"LoanAssumptions"}</definedName>
    <definedName name="___vf6" localSheetId="24" hidden="1">{#N/A,#N/A,FALSE,"Summary"}</definedName>
    <definedName name="___vf6" localSheetId="18" hidden="1">{#N/A,#N/A,FALSE,"Summary"}</definedName>
    <definedName name="___vf6" localSheetId="25" hidden="1">{#N/A,#N/A,FALSE,"Summary"}</definedName>
    <definedName name="___vf6" hidden="1">{#N/A,#N/A,FALSE,"Summary"}</definedName>
    <definedName name="___xlfn.BAHTTEXT" hidden="1">#NAME?</definedName>
    <definedName name="___xlfn.COUNTIFS">#NAME?</definedName>
    <definedName name="__123Graph_LBL_A" hidden="1">#N/A</definedName>
    <definedName name="__123Graph_LBL_B" hidden="1">#N/A</definedName>
    <definedName name="__ban1" localSheetId="24" hidden="1">{#N/A,#N/A,FALSE,"5YRASSPl - consol'd";#N/A,#N/A,FALSE,"5YRASSPl - hotel";#N/A,#N/A,FALSE,"5YRASSPl - excl htl";#N/A,#N/A,FALSE,"VarReport";#N/A,#N/A,FALSE,"Sensitivity";#N/A,#N/A,FALSE,"House View ";#N/A,#N/A,FALSE,"KPI"}</definedName>
    <definedName name="__ban1" localSheetId="18" hidden="1">{#N/A,#N/A,FALSE,"5YRASSPl - consol'd";#N/A,#N/A,FALSE,"5YRASSPl - hotel";#N/A,#N/A,FALSE,"5YRASSPl - excl htl";#N/A,#N/A,FALSE,"VarReport";#N/A,#N/A,FALSE,"Sensitivity";#N/A,#N/A,FALSE,"House View ";#N/A,#N/A,FALSE,"KPI"}</definedName>
    <definedName name="__ban1" localSheetId="25" hidden="1">{#N/A,#N/A,FALSE,"5YRASSPl - consol'd";#N/A,#N/A,FALSE,"5YRASSPl - hotel";#N/A,#N/A,FALSE,"5YRASSPl - excl htl";#N/A,#N/A,FALSE,"VarReport";#N/A,#N/A,FALSE,"Sensitivity";#N/A,#N/A,FALSE,"House View ";#N/A,#N/A,FALSE,"KPI"}</definedName>
    <definedName name="__ban1" hidden="1">{#N/A,#N/A,FALSE,"5YRASSPl - consol'd";#N/A,#N/A,FALSE,"5YRASSPl - hotel";#N/A,#N/A,FALSE,"5YRASSPl - excl htl";#N/A,#N/A,FALSE,"VarReport";#N/A,#N/A,FALSE,"Sensitivity";#N/A,#N/A,FALSE,"House View ";#N/A,#N/A,FALSE,"KPI"}</definedName>
    <definedName name="__f09" localSheetId="24" hidden="1">{#N/A,#N/A,FALSE,"OperatingAssumptions"}</definedName>
    <definedName name="__f09" localSheetId="18" hidden="1">{#N/A,#N/A,FALSE,"OperatingAssumptions"}</definedName>
    <definedName name="__f09" localSheetId="25" hidden="1">{#N/A,#N/A,FALSE,"OperatingAssumptions"}</definedName>
    <definedName name="__f09" hidden="1">{#N/A,#N/A,FALSE,"OperatingAssumptions"}</definedName>
    <definedName name="__FDS_HYPERLINK_TOGGLE_STATE__" hidden="1">"ON"</definedName>
    <definedName name="__IntlFixup">TRUE</definedName>
    <definedName name="__jyr6"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jyr6"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jyr6"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jyr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key1" hidden="1">#N/A</definedName>
    <definedName name="__ｍｔｂ2" localSheetId="24" hidden="1">{"ｹﾝﾄ（M)",#N/A,FALSE,"収支・日割";"ｹﾝﾄ（RD)",#N/A,FALSE,"収支・日割";"ｹﾝﾄ（PMC)",#N/A,FALSE,"収支・日割"}</definedName>
    <definedName name="__ｍｔｂ2" localSheetId="18" hidden="1">{"ｹﾝﾄ（M)",#N/A,FALSE,"収支・日割";"ｹﾝﾄ（RD)",#N/A,FALSE,"収支・日割";"ｹﾝﾄ（PMC)",#N/A,FALSE,"収支・日割"}</definedName>
    <definedName name="__ｍｔｂ2" localSheetId="25" hidden="1">{"ｹﾝﾄ（M)",#N/A,FALSE,"収支・日割";"ｹﾝﾄ（RD)",#N/A,FALSE,"収支・日割";"ｹﾝﾄ（PMC)",#N/A,FALSE,"収支・日割"}</definedName>
    <definedName name="__ｍｔｂ2" hidden="1">{"ｹﾝﾄ（M)",#N/A,FALSE,"収支・日割";"ｹﾝﾄ（RD)",#N/A,FALSE,"収支・日割";"ｹﾝﾄ（PMC)",#N/A,FALSE,"収支・日割"}</definedName>
    <definedName name="__mtb3" localSheetId="24" hidden="1">{#N/A,#N/A,FALSE,"１";#N/A,#N/A,FALSE,"２";#N/A,#N/A,FALSE,"３";#N/A,#N/A,FALSE,"４"}</definedName>
    <definedName name="__mtb3" localSheetId="18" hidden="1">{#N/A,#N/A,FALSE,"１";#N/A,#N/A,FALSE,"２";#N/A,#N/A,FALSE,"３";#N/A,#N/A,FALSE,"４"}</definedName>
    <definedName name="__mtb3" localSheetId="25" hidden="1">{#N/A,#N/A,FALSE,"１";#N/A,#N/A,FALSE,"２";#N/A,#N/A,FALSE,"３";#N/A,#N/A,FALSE,"４"}</definedName>
    <definedName name="__mtb3" hidden="1">{#N/A,#N/A,FALSE,"１";#N/A,#N/A,FALSE,"２";#N/A,#N/A,FALSE,"３";#N/A,#N/A,FALSE,"４"}</definedName>
    <definedName name="__pd4" localSheetId="24" hidden="1">{"AnnualRentRoll",#N/A,FALSE,"RentRoll"}</definedName>
    <definedName name="__pd4" localSheetId="18" hidden="1">{"AnnualRentRoll",#N/A,FALSE,"RentRoll"}</definedName>
    <definedName name="__pd4" localSheetId="25" hidden="1">{"AnnualRentRoll",#N/A,FALSE,"RentRoll"}</definedName>
    <definedName name="__pd4" hidden="1">{"AnnualRentRoll",#N/A,FALSE,"RentRoll"}</definedName>
    <definedName name="__PL7" localSheetId="24" hidden="1">{#N/A,#N/A,TRUE,"대 차 대 조 표"}</definedName>
    <definedName name="__PL7" localSheetId="18" hidden="1">{#N/A,#N/A,TRUE,"대 차 대 조 표"}</definedName>
    <definedName name="__PL7" localSheetId="25" hidden="1">{#N/A,#N/A,TRUE,"대 차 대 조 표"}</definedName>
    <definedName name="__PL7" hidden="1">{#N/A,#N/A,TRUE,"대 차 대 조 표"}</definedName>
    <definedName name="__q45" localSheetId="24" hidden="1">{"'용역비'!$A$4:$C$8"}</definedName>
    <definedName name="__q45" localSheetId="18" hidden="1">{"'용역비'!$A$4:$C$8"}</definedName>
    <definedName name="__q45" localSheetId="25" hidden="1">{"'용역비'!$A$4:$C$8"}</definedName>
    <definedName name="__q45" hidden="1">{"'용역비'!$A$4:$C$8"}</definedName>
    <definedName name="__s12" localSheetId="24" hidden="1">{#N/A,#N/A,FALSE,"LoanAssumptions"}</definedName>
    <definedName name="__s12" localSheetId="18" hidden="1">{#N/A,#N/A,FALSE,"LoanAssumptions"}</definedName>
    <definedName name="__s12" localSheetId="25" hidden="1">{#N/A,#N/A,FALSE,"LoanAssumptions"}</definedName>
    <definedName name="__s12" hidden="1">{#N/A,#N/A,FALSE,"LoanAssumptions"}</definedName>
    <definedName name="__tc1" localSheetId="24" hidden="1">{#N/A,#N/A,FALSE,"단축1";#N/A,#N/A,FALSE,"단축2";#N/A,#N/A,FALSE,"단축3";#N/A,#N/A,FALSE,"장축";#N/A,#N/A,FALSE,"4WD"}</definedName>
    <definedName name="__tc1" localSheetId="18" hidden="1">{#N/A,#N/A,FALSE,"단축1";#N/A,#N/A,FALSE,"단축2";#N/A,#N/A,FALSE,"단축3";#N/A,#N/A,FALSE,"장축";#N/A,#N/A,FALSE,"4WD"}</definedName>
    <definedName name="__tc1" localSheetId="25" hidden="1">{#N/A,#N/A,FALSE,"단축1";#N/A,#N/A,FALSE,"단축2";#N/A,#N/A,FALSE,"단축3";#N/A,#N/A,FALSE,"장축";#N/A,#N/A,FALSE,"4WD"}</definedName>
    <definedName name="__tc1" hidden="1">{#N/A,#N/A,FALSE,"단축1";#N/A,#N/A,FALSE,"단축2";#N/A,#N/A,FALSE,"단축3";#N/A,#N/A,FALSE,"장축";#N/A,#N/A,FALSE,"4WD"}</definedName>
    <definedName name="__vf6" localSheetId="24" hidden="1">{#N/A,#N/A,FALSE,"Summary"}</definedName>
    <definedName name="__vf6" localSheetId="18" hidden="1">{#N/A,#N/A,FALSE,"Summary"}</definedName>
    <definedName name="__vf6" localSheetId="25" hidden="1">{#N/A,#N/A,FALSE,"Summary"}</definedName>
    <definedName name="__vf6" hidden="1">{#N/A,#N/A,FALSE,"Summary"}</definedName>
    <definedName name="__xlfn.BAHTTEXT" hidden="1">#NAME?</definedName>
    <definedName name="__xlfn.COUNTIFS">#NAME?</definedName>
    <definedName name="_13DR1_" localSheetId="24" hidden="1">{#N/A,#N/A,FALSE,"업체선정";#N/A,#N/A,FALSE,"업체선정sheet";#N/A,#N/A,FALSE,"업체실태";#N/A,#N/A,FALSE,"업체실태(1)";#N/A,#N/A,FALSE,"종업원현황(2)";#N/A,#N/A,FALSE,"생산품목(3)";#N/A,#N/A,FALSE,"장비보유현황";#N/A,#N/A,FALSE,"차량및약도";#N/A,#N/A,FALSE,"금형LIST"}</definedName>
    <definedName name="_13DR1_" localSheetId="18" hidden="1">{#N/A,#N/A,FALSE,"업체선정";#N/A,#N/A,FALSE,"업체선정sheet";#N/A,#N/A,FALSE,"업체실태";#N/A,#N/A,FALSE,"업체실태(1)";#N/A,#N/A,FALSE,"종업원현황(2)";#N/A,#N/A,FALSE,"생산품목(3)";#N/A,#N/A,FALSE,"장비보유현황";#N/A,#N/A,FALSE,"차량및약도";#N/A,#N/A,FALSE,"금형LIST"}</definedName>
    <definedName name="_13DR1_" localSheetId="25" hidden="1">{#N/A,#N/A,FALSE,"업체선정";#N/A,#N/A,FALSE,"업체선정sheet";#N/A,#N/A,FALSE,"업체실태";#N/A,#N/A,FALSE,"업체실태(1)";#N/A,#N/A,FALSE,"종업원현황(2)";#N/A,#N/A,FALSE,"생산품목(3)";#N/A,#N/A,FALSE,"장비보유현황";#N/A,#N/A,FALSE,"차량및약도";#N/A,#N/A,FALSE,"금형LIST"}</definedName>
    <definedName name="_13DR1_" hidden="1">{#N/A,#N/A,FALSE,"업체선정";#N/A,#N/A,FALSE,"업체선정sheet";#N/A,#N/A,FALSE,"업체실태";#N/A,#N/A,FALSE,"업체실태(1)";#N/A,#N/A,FALSE,"종업원현황(2)";#N/A,#N/A,FALSE,"생산품목(3)";#N/A,#N/A,FALSE,"장비보유현황";#N/A,#N/A,FALSE,"차량및약도";#N/A,#N/A,FALSE,"금형LIST"}</definedName>
    <definedName name="_15f09_" localSheetId="24" hidden="1">{#N/A,#N/A,FALSE,"OperatingAssumptions"}</definedName>
    <definedName name="_15f09_" localSheetId="18" hidden="1">{#N/A,#N/A,FALSE,"OperatingAssumptions"}</definedName>
    <definedName name="_15f09_" localSheetId="25" hidden="1">{#N/A,#N/A,FALSE,"OperatingAssumptions"}</definedName>
    <definedName name="_15f09_" hidden="1">{#N/A,#N/A,FALSE,"OperatingAssumptions"}</definedName>
    <definedName name="_15T2_" localSheetId="24" hidden="1">{#N/A,#N/A,FALSE,"단축1";#N/A,#N/A,FALSE,"단축2";#N/A,#N/A,FALSE,"단축3";#N/A,#N/A,FALSE,"장축";#N/A,#N/A,FALSE,"4WD"}</definedName>
    <definedName name="_15T2_" localSheetId="18" hidden="1">{#N/A,#N/A,FALSE,"단축1";#N/A,#N/A,FALSE,"단축2";#N/A,#N/A,FALSE,"단축3";#N/A,#N/A,FALSE,"장축";#N/A,#N/A,FALSE,"4WD"}</definedName>
    <definedName name="_15T2_" localSheetId="25" hidden="1">{#N/A,#N/A,FALSE,"단축1";#N/A,#N/A,FALSE,"단축2";#N/A,#N/A,FALSE,"단축3";#N/A,#N/A,FALSE,"장축";#N/A,#N/A,FALSE,"4WD"}</definedName>
    <definedName name="_15T2_" hidden="1">{#N/A,#N/A,FALSE,"단축1";#N/A,#N/A,FALSE,"단축2";#N/A,#N/A,FALSE,"단축3";#N/A,#N/A,FALSE,"장축";#N/A,#N/A,FALSE,"4WD"}</definedName>
    <definedName name="_16s12_" localSheetId="24" hidden="1">{#N/A,#N/A,FALSE,"LoanAssumptions"}</definedName>
    <definedName name="_16s12_" localSheetId="18" hidden="1">{#N/A,#N/A,FALSE,"LoanAssumptions"}</definedName>
    <definedName name="_16s12_" localSheetId="25" hidden="1">{#N/A,#N/A,FALSE,"LoanAssumptions"}</definedName>
    <definedName name="_16s12_" hidden="1">{#N/A,#N/A,FALSE,"LoanAssumptions"}</definedName>
    <definedName name="_17q45_" localSheetId="24" hidden="1">{"'용역비'!$A$4:$C$8"}</definedName>
    <definedName name="_17q45_" localSheetId="18" hidden="1">{"'용역비'!$A$4:$C$8"}</definedName>
    <definedName name="_17q45_" localSheetId="25" hidden="1">{"'용역비'!$A$4:$C$8"}</definedName>
    <definedName name="_17q45_" hidden="1">{"'용역비'!$A$4:$C$8"}</definedName>
    <definedName name="_17T3_" localSheetId="24" hidden="1">{#N/A,#N/A,FALSE,"단축1";#N/A,#N/A,FALSE,"단축2";#N/A,#N/A,FALSE,"단축3";#N/A,#N/A,FALSE,"장축";#N/A,#N/A,FALSE,"4WD"}</definedName>
    <definedName name="_17T3_" localSheetId="18" hidden="1">{#N/A,#N/A,FALSE,"단축1";#N/A,#N/A,FALSE,"단축2";#N/A,#N/A,FALSE,"단축3";#N/A,#N/A,FALSE,"장축";#N/A,#N/A,FALSE,"4WD"}</definedName>
    <definedName name="_17T3_" localSheetId="25" hidden="1">{#N/A,#N/A,FALSE,"단축1";#N/A,#N/A,FALSE,"단축2";#N/A,#N/A,FALSE,"단축3";#N/A,#N/A,FALSE,"장축";#N/A,#N/A,FALSE,"4WD"}</definedName>
    <definedName name="_17T3_" hidden="1">{#N/A,#N/A,FALSE,"단축1";#N/A,#N/A,FALSE,"단축2";#N/A,#N/A,FALSE,"단축3";#N/A,#N/A,FALSE,"장축";#N/A,#N/A,FALSE,"4WD"}</definedName>
    <definedName name="_1f09_" localSheetId="24" hidden="1">{#N/A,#N/A,FALSE,"OperatingAssumptions"}</definedName>
    <definedName name="_1f09_" localSheetId="18" hidden="1">{#N/A,#N/A,FALSE,"OperatingAssumptions"}</definedName>
    <definedName name="_1f09_" localSheetId="25" hidden="1">{#N/A,#N/A,FALSE,"OperatingAssumptions"}</definedName>
    <definedName name="_1f09_" hidden="1">{#N/A,#N/A,FALSE,"OperatingAssumptions"}</definedName>
    <definedName name="_23q45_" localSheetId="24" hidden="1">{"'용역비'!$A$4:$C$8"}</definedName>
    <definedName name="_23q45_" localSheetId="18" hidden="1">{"'용역비'!$A$4:$C$8"}</definedName>
    <definedName name="_23q45_" localSheetId="25" hidden="1">{"'용역비'!$A$4:$C$8"}</definedName>
    <definedName name="_23q45_" hidden="1">{"'용역비'!$A$4:$C$8"}</definedName>
    <definedName name="_2q45_" localSheetId="24" hidden="1">{"'용역비'!$A$4:$C$8"}</definedName>
    <definedName name="_2q45_" localSheetId="18" hidden="1">{"'용역비'!$A$4:$C$8"}</definedName>
    <definedName name="_2q45_" localSheetId="25" hidden="1">{"'용역비'!$A$4:$C$8"}</definedName>
    <definedName name="_2q45_" hidden="1">{"'용역비'!$A$4:$C$8"}</definedName>
    <definedName name="_2s12_" localSheetId="24" hidden="1">{#N/A,#N/A,FALSE,"LoanAssumptions"}</definedName>
    <definedName name="_2s12_" localSheetId="18" hidden="1">{#N/A,#N/A,FALSE,"LoanAssumptions"}</definedName>
    <definedName name="_2s12_" localSheetId="25" hidden="1">{#N/A,#N/A,FALSE,"LoanAssumptions"}</definedName>
    <definedName name="_2s12_" hidden="1">{#N/A,#N/A,FALSE,"LoanAssumptions"}</definedName>
    <definedName name="_30360" hidden="1">2</definedName>
    <definedName name="_360" hidden="1">2</definedName>
    <definedName name="_3f09_" localSheetId="24" hidden="1">{#N/A,#N/A,FALSE,"OperatingAssumptions"}</definedName>
    <definedName name="_3f09_" localSheetId="18" hidden="1">{#N/A,#N/A,FALSE,"OperatingAssumptions"}</definedName>
    <definedName name="_3f09_" localSheetId="25" hidden="1">{#N/A,#N/A,FALSE,"OperatingAssumptions"}</definedName>
    <definedName name="_3f09_" hidden="1">{#N/A,#N/A,FALSE,"OperatingAssumptions"}</definedName>
    <definedName name="_44DR1_" localSheetId="24" hidden="1">{#N/A,#N/A,FALSE,"업체선정";#N/A,#N/A,FALSE,"업체선정sheet";#N/A,#N/A,FALSE,"업체실태";#N/A,#N/A,FALSE,"업체실태(1)";#N/A,#N/A,FALSE,"종업원현황(2)";#N/A,#N/A,FALSE,"생산품목(3)";#N/A,#N/A,FALSE,"장비보유현황";#N/A,#N/A,FALSE,"차량및약도";#N/A,#N/A,FALSE,"금형LIST"}</definedName>
    <definedName name="_44DR1_" localSheetId="18" hidden="1">{#N/A,#N/A,FALSE,"업체선정";#N/A,#N/A,FALSE,"업체선정sheet";#N/A,#N/A,FALSE,"업체실태";#N/A,#N/A,FALSE,"업체실태(1)";#N/A,#N/A,FALSE,"종업원현황(2)";#N/A,#N/A,FALSE,"생산품목(3)";#N/A,#N/A,FALSE,"장비보유현황";#N/A,#N/A,FALSE,"차량및약도";#N/A,#N/A,FALSE,"금형LIST"}</definedName>
    <definedName name="_44DR1_" localSheetId="25" hidden="1">{#N/A,#N/A,FALSE,"업체선정";#N/A,#N/A,FALSE,"업체선정sheet";#N/A,#N/A,FALSE,"업체실태";#N/A,#N/A,FALSE,"업체실태(1)";#N/A,#N/A,FALSE,"종업원현황(2)";#N/A,#N/A,FALSE,"생산품목(3)";#N/A,#N/A,FALSE,"장비보유현황";#N/A,#N/A,FALSE,"차량및약도";#N/A,#N/A,FALSE,"금형LIST"}</definedName>
    <definedName name="_44DR1_" hidden="1">{#N/A,#N/A,FALSE,"업체선정";#N/A,#N/A,FALSE,"업체선정sheet";#N/A,#N/A,FALSE,"업체실태";#N/A,#N/A,FALSE,"업체실태(1)";#N/A,#N/A,FALSE,"종업원현황(2)";#N/A,#N/A,FALSE,"생산품목(3)";#N/A,#N/A,FALSE,"장비보유현황";#N/A,#N/A,FALSE,"차량및약도";#N/A,#N/A,FALSE,"금형LIST"}</definedName>
    <definedName name="_49T2_" localSheetId="24" hidden="1">{#N/A,#N/A,FALSE,"단축1";#N/A,#N/A,FALSE,"단축2";#N/A,#N/A,FALSE,"단축3";#N/A,#N/A,FALSE,"장축";#N/A,#N/A,FALSE,"4WD"}</definedName>
    <definedName name="_49T2_" localSheetId="18" hidden="1">{#N/A,#N/A,FALSE,"단축1";#N/A,#N/A,FALSE,"단축2";#N/A,#N/A,FALSE,"단축3";#N/A,#N/A,FALSE,"장축";#N/A,#N/A,FALSE,"4WD"}</definedName>
    <definedName name="_49T2_" localSheetId="25" hidden="1">{#N/A,#N/A,FALSE,"단축1";#N/A,#N/A,FALSE,"단축2";#N/A,#N/A,FALSE,"단축3";#N/A,#N/A,FALSE,"장축";#N/A,#N/A,FALSE,"4WD"}</definedName>
    <definedName name="_49T2_" hidden="1">{#N/A,#N/A,FALSE,"단축1";#N/A,#N/A,FALSE,"단축2";#N/A,#N/A,FALSE,"단축3";#N/A,#N/A,FALSE,"장축";#N/A,#N/A,FALSE,"4WD"}</definedName>
    <definedName name="_4s12_" localSheetId="24" hidden="1">{#N/A,#N/A,FALSE,"LoanAssumptions"}</definedName>
    <definedName name="_4s12_" localSheetId="18" hidden="1">{#N/A,#N/A,FALSE,"LoanAssumptions"}</definedName>
    <definedName name="_4s12_" localSheetId="25" hidden="1">{#N/A,#N/A,FALSE,"LoanAssumptions"}</definedName>
    <definedName name="_4s12_" hidden="1">{#N/A,#N/A,FALSE,"LoanAssumptions"}</definedName>
    <definedName name="_50T3_" localSheetId="24" hidden="1">{#N/A,#N/A,FALSE,"단축1";#N/A,#N/A,FALSE,"단축2";#N/A,#N/A,FALSE,"단축3";#N/A,#N/A,FALSE,"장축";#N/A,#N/A,FALSE,"4WD"}</definedName>
    <definedName name="_50T3_" localSheetId="18" hidden="1">{#N/A,#N/A,FALSE,"단축1";#N/A,#N/A,FALSE,"단축2";#N/A,#N/A,FALSE,"단축3";#N/A,#N/A,FALSE,"장축";#N/A,#N/A,FALSE,"4WD"}</definedName>
    <definedName name="_50T3_" localSheetId="25" hidden="1">{#N/A,#N/A,FALSE,"단축1";#N/A,#N/A,FALSE,"단축2";#N/A,#N/A,FALSE,"단축3";#N/A,#N/A,FALSE,"장축";#N/A,#N/A,FALSE,"4WD"}</definedName>
    <definedName name="_50T3_" hidden="1">{#N/A,#N/A,FALSE,"단축1";#N/A,#N/A,FALSE,"단축2";#N/A,#N/A,FALSE,"단축3";#N/A,#N/A,FALSE,"장축";#N/A,#N/A,FALSE,"4WD"}</definedName>
    <definedName name="_512352352135" localSheetId="24" hidden="1">{#N/A,#N/A,TRUE,"대 차 대 조 표"}</definedName>
    <definedName name="_512352352135" localSheetId="18" hidden="1">{#N/A,#N/A,TRUE,"대 차 대 조 표"}</definedName>
    <definedName name="_512352352135" localSheetId="25" hidden="1">{#N/A,#N/A,TRUE,"대 차 대 조 표"}</definedName>
    <definedName name="_512352352135" hidden="1">{#N/A,#N/A,TRUE,"대 차 대 조 표"}</definedName>
    <definedName name="_5s12_" localSheetId="24" hidden="1">{#N/A,#N/A,FALSE,"LoanAssumptions"}</definedName>
    <definedName name="_5s12_" localSheetId="18" hidden="1">{#N/A,#N/A,FALSE,"LoanAssumptions"}</definedName>
    <definedName name="_5s12_" localSheetId="25" hidden="1">{#N/A,#N/A,FALSE,"LoanAssumptions"}</definedName>
    <definedName name="_5s12_" hidden="1">{#N/A,#N/A,FALSE,"LoanAssumptions"}</definedName>
    <definedName name="_6q45_" localSheetId="24" hidden="1">{"'용역비'!$A$4:$C$8"}</definedName>
    <definedName name="_6q45_" localSheetId="18" hidden="1">{"'용역비'!$A$4:$C$8"}</definedName>
    <definedName name="_6q45_" localSheetId="25" hidden="1">{"'용역비'!$A$4:$C$8"}</definedName>
    <definedName name="_6q45_" hidden="1">{"'용역비'!$A$4:$C$8"}</definedName>
    <definedName name="_6s12_" localSheetId="24" hidden="1">{#N/A,#N/A,FALSE,"LoanAssumptions"}</definedName>
    <definedName name="_6s12_" localSheetId="18" hidden="1">{#N/A,#N/A,FALSE,"LoanAssumptions"}</definedName>
    <definedName name="_6s12_" localSheetId="25" hidden="1">{#N/A,#N/A,FALSE,"LoanAssumptions"}</definedName>
    <definedName name="_6s12_" hidden="1">{#N/A,#N/A,FALSE,"LoanAssumptions"}</definedName>
    <definedName name="_act" hidden="1">1</definedName>
    <definedName name="_act.act" hidden="1">1</definedName>
    <definedName name="_actual" hidden="1">1</definedName>
    <definedName name="_adjust" hidden="1">1</definedName>
    <definedName name="_AMO_UniqueIdentifier" hidden="1">"'f790b2b1-6c94-4e30-8b4d-824fbd88fb65'"</definedName>
    <definedName name="_ann" hidden="1">1</definedName>
    <definedName name="_annual" hidden="1">1</definedName>
    <definedName name="_atmat" hidden="1">2</definedName>
    <definedName name="_atmaturity" hidden="1">2</definedName>
    <definedName name="_ban1" localSheetId="24" hidden="1">{#N/A,#N/A,FALSE,"5YRASSPl - consol'd";#N/A,#N/A,FALSE,"5YRASSPl - hotel";#N/A,#N/A,FALSE,"5YRASSPl - excl htl";#N/A,#N/A,FALSE,"VarReport";#N/A,#N/A,FALSE,"Sensitivity";#N/A,#N/A,FALSE,"House View ";#N/A,#N/A,FALSE,"KPI"}</definedName>
    <definedName name="_ban1" localSheetId="18" hidden="1">{#N/A,#N/A,FALSE,"5YRASSPl - consol'd";#N/A,#N/A,FALSE,"5YRASSPl - hotel";#N/A,#N/A,FALSE,"5YRASSPl - excl htl";#N/A,#N/A,FALSE,"VarReport";#N/A,#N/A,FALSE,"Sensitivity";#N/A,#N/A,FALSE,"House View ";#N/A,#N/A,FALSE,"KPI"}</definedName>
    <definedName name="_ban1" localSheetId="25" hidden="1">{#N/A,#N/A,FALSE,"5YRASSPl - consol'd";#N/A,#N/A,FALSE,"5YRASSPl - hotel";#N/A,#N/A,FALSE,"5YRASSPl - excl htl";#N/A,#N/A,FALSE,"VarReport";#N/A,#N/A,FALSE,"Sensitivity";#N/A,#N/A,FALSE,"House View ";#N/A,#N/A,FALSE,"KPI"}</definedName>
    <definedName name="_ban1" hidden="1">{#N/A,#N/A,FALSE,"5YRASSPl - consol'd";#N/A,#N/A,FALSE,"5YRASSPl - hotel";#N/A,#N/A,FALSE,"5YRASSPl - excl htl";#N/A,#N/A,FALSE,"VarReport";#N/A,#N/A,FALSE,"Sensitivity";#N/A,#N/A,FALSE,"House View ";#N/A,#N/A,FALSE,"KPI"}</definedName>
    <definedName name="_bond" hidden="1">3</definedName>
    <definedName name="_D1" localSheetId="24" hidden="1">{#N/A,#N/A,FALSE,"Summary";#N/A,#N/A,FALSE,"GM Sum";#N/A,#N/A,FALSE,"Ext Shops";#N/A,#N/A,FALSE,"Lost Shops";#N/A,#N/A,FALSE,"Reloc Shops";#N/A,#N/A,FALSE,"Not Affected";#N/A,#N/A,FALSE,"MDbase"}</definedName>
    <definedName name="_D1" localSheetId="18" hidden="1">{#N/A,#N/A,FALSE,"Summary";#N/A,#N/A,FALSE,"GM Sum";#N/A,#N/A,FALSE,"Ext Shops";#N/A,#N/A,FALSE,"Lost Shops";#N/A,#N/A,FALSE,"Reloc Shops";#N/A,#N/A,FALSE,"Not Affected";#N/A,#N/A,FALSE,"MDbase"}</definedName>
    <definedName name="_D1" localSheetId="25" hidden="1">{#N/A,#N/A,FALSE,"Summary";#N/A,#N/A,FALSE,"GM Sum";#N/A,#N/A,FALSE,"Ext Shops";#N/A,#N/A,FALSE,"Lost Shops";#N/A,#N/A,FALSE,"Reloc Shops";#N/A,#N/A,FALSE,"Not Affected";#N/A,#N/A,FALSE,"MDbase"}</definedName>
    <definedName name="_D1" hidden="1">{#N/A,#N/A,FALSE,"Summary";#N/A,#N/A,FALSE,"GM Sum";#N/A,#N/A,FALSE,"Ext Shops";#N/A,#N/A,FALSE,"Lost Shops";#N/A,#N/A,FALSE,"Reloc Shops";#N/A,#N/A,FALSE,"Not Affected";#N/A,#N/A,FALSE,"MDbase"}</definedName>
    <definedName name="_default" hidden="1">-1</definedName>
    <definedName name="_dflt" hidden="1">-1</definedName>
    <definedName name="_disc" hidden="1">1</definedName>
    <definedName name="_discount" hidden="1">1</definedName>
    <definedName name="_dontadjust" hidden="1">0</definedName>
    <definedName name="_E1" localSheetId="24" hidden="1">{#N/A,#N/A,FALSE,"Summary";#N/A,#N/A,FALSE,"Ext Shops";#N/A,#N/A,FALSE,"Lost Shops";#N/A,#N/A,FALSE,"Reloc Shops";#N/A,#N/A,FALSE,"Not Affected";#N/A,#N/A,FALSE,"MDbase"}</definedName>
    <definedName name="_E1" localSheetId="18" hidden="1">{#N/A,#N/A,FALSE,"Summary";#N/A,#N/A,FALSE,"Ext Shops";#N/A,#N/A,FALSE,"Lost Shops";#N/A,#N/A,FALSE,"Reloc Shops";#N/A,#N/A,FALSE,"Not Affected";#N/A,#N/A,FALSE,"MDbase"}</definedName>
    <definedName name="_E1" localSheetId="25" hidden="1">{#N/A,#N/A,FALSE,"Summary";#N/A,#N/A,FALSE,"Ext Shops";#N/A,#N/A,FALSE,"Lost Shops";#N/A,#N/A,FALSE,"Reloc Shops";#N/A,#N/A,FALSE,"Not Affected";#N/A,#N/A,FALSE,"MDbase"}</definedName>
    <definedName name="_E1" hidden="1">{#N/A,#N/A,FALSE,"Summary";#N/A,#N/A,FALSE,"Ext Shops";#N/A,#N/A,FALSE,"Lost Shops";#N/A,#N/A,FALSE,"Reloc Shops";#N/A,#N/A,FALSE,"Not Affected";#N/A,#N/A,FALSE,"MDbase"}</definedName>
    <definedName name="_e360" hidden="1">3</definedName>
    <definedName name="_eom" hidden="1">1</definedName>
    <definedName name="_f09" localSheetId="24" hidden="1">{#N/A,#N/A,FALSE,"OperatingAssumptions"}</definedName>
    <definedName name="_f09" localSheetId="18" hidden="1">{#N/A,#N/A,FALSE,"OperatingAssumptions"}</definedName>
    <definedName name="_f09" localSheetId="25" hidden="1">{#N/A,#N/A,FALSE,"OperatingAssumptions"}</definedName>
    <definedName name="_f09" hidden="1">{#N/A,#N/A,FALSE,"OperatingAssumptions"}</definedName>
    <definedName name="_Fill2" hidden="1">#N/A</definedName>
    <definedName name="_full" hidden="1">1</definedName>
    <definedName name="_fullprecision" hidden="1">1</definedName>
    <definedName name="_indstd" hidden="1">-1</definedName>
    <definedName name="_infl" hidden="1">7</definedName>
    <definedName name="_inflation" hidden="1">7</definedName>
    <definedName name="_isma30360" hidden="1">3</definedName>
    <definedName name="_isma360" hidden="1">3</definedName>
    <definedName name="_jyr6"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_1"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_1"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_1"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MatInverse_Out" hidden="1">#N/A</definedName>
    <definedName name="_monthly" hidden="1">12</definedName>
    <definedName name="_ｍｔｂ2" localSheetId="24" hidden="1">{"ｹﾝﾄ（M)",#N/A,FALSE,"収支・日割";"ｹﾝﾄ（RD)",#N/A,FALSE,"収支・日割";"ｹﾝﾄ（PMC)",#N/A,FALSE,"収支・日割"}</definedName>
    <definedName name="_ｍｔｂ2" localSheetId="18" hidden="1">{"ｹﾝﾄ（M)",#N/A,FALSE,"収支・日割";"ｹﾝﾄ（RD)",#N/A,FALSE,"収支・日割";"ｹﾝﾄ（PMC)",#N/A,FALSE,"収支・日割"}</definedName>
    <definedName name="_ｍｔｂ2" localSheetId="25" hidden="1">{"ｹﾝﾄ（M)",#N/A,FALSE,"収支・日割";"ｹﾝﾄ（RD)",#N/A,FALSE,"収支・日割";"ｹﾝﾄ（PMC)",#N/A,FALSE,"収支・日割"}</definedName>
    <definedName name="_ｍｔｂ2" hidden="1">{"ｹﾝﾄ（M)",#N/A,FALSE,"収支・日割";"ｹﾝﾄ（RD)",#N/A,FALSE,"収支・日割";"ｹﾝﾄ（PMC)",#N/A,FALSE,"収支・日割"}</definedName>
    <definedName name="_mtb3" localSheetId="24" hidden="1">{#N/A,#N/A,FALSE,"１";#N/A,#N/A,FALSE,"２";#N/A,#N/A,FALSE,"３";#N/A,#N/A,FALSE,"４"}</definedName>
    <definedName name="_mtb3" localSheetId="18" hidden="1">{#N/A,#N/A,FALSE,"１";#N/A,#N/A,FALSE,"２";#N/A,#N/A,FALSE,"３";#N/A,#N/A,FALSE,"４"}</definedName>
    <definedName name="_mtb3" localSheetId="25" hidden="1">{#N/A,#N/A,FALSE,"１";#N/A,#N/A,FALSE,"２";#N/A,#N/A,FALSE,"３";#N/A,#N/A,FALSE,"４"}</definedName>
    <definedName name="_mtb3" hidden="1">{#N/A,#N/A,FALSE,"１";#N/A,#N/A,FALSE,"２";#N/A,#N/A,FALSE,"３";#N/A,#N/A,FALSE,"４"}</definedName>
    <definedName name="_mtb4" localSheetId="24" hidden="1">{#N/A,#N/A,FALSE,"１";#N/A,#N/A,FALSE,"２";#N/A,#N/A,FALSE,"３";#N/A,#N/A,FALSE,"４"}</definedName>
    <definedName name="_mtb4" localSheetId="18" hidden="1">{#N/A,#N/A,FALSE,"１";#N/A,#N/A,FALSE,"２";#N/A,#N/A,FALSE,"３";#N/A,#N/A,FALSE,"４"}</definedName>
    <definedName name="_mtb4" localSheetId="25" hidden="1">{#N/A,#N/A,FALSE,"１";#N/A,#N/A,FALSE,"２";#N/A,#N/A,FALSE,"３";#N/A,#N/A,FALSE,"４"}</definedName>
    <definedName name="_mtb4" hidden="1">{#N/A,#N/A,FALSE,"１";#N/A,#N/A,FALSE,"２";#N/A,#N/A,FALSE,"３";#N/A,#N/A,FALSE,"４"}</definedName>
    <definedName name="_mth" hidden="1">12</definedName>
    <definedName name="_multi" hidden="1">5</definedName>
    <definedName name="_multistep" hidden="1">5</definedName>
    <definedName name="_n360" hidden="1">4</definedName>
    <definedName name="_nasd30360" hidden="1">4</definedName>
    <definedName name="_nasd360" hidden="1">4</definedName>
    <definedName name="_noneom" hidden="1">0</definedName>
    <definedName name="_Order1">255</definedName>
    <definedName name="_Order1_1">0</definedName>
    <definedName name="_Order2">255</definedName>
    <definedName name="_Order2_1">0</definedName>
    <definedName name="_pd4" localSheetId="24" hidden="1">{"AnnualRentRoll",#N/A,FALSE,"RentRoll"}</definedName>
    <definedName name="_pd4" localSheetId="18" hidden="1">{"AnnualRentRoll",#N/A,FALSE,"RentRoll"}</definedName>
    <definedName name="_pd4" localSheetId="25" hidden="1">{"AnnualRentRoll",#N/A,FALSE,"RentRoll"}</definedName>
    <definedName name="_pd4" hidden="1">{"AnnualRentRoll",#N/A,FALSE,"RentRoll"}</definedName>
    <definedName name="_pik" hidden="1">6</definedName>
    <definedName name="_PL7" localSheetId="24" hidden="1">{#N/A,#N/A,TRUE,"대 차 대 조 표"}</definedName>
    <definedName name="_PL7" localSheetId="18" hidden="1">{#N/A,#N/A,TRUE,"대 차 대 조 표"}</definedName>
    <definedName name="_PL7" localSheetId="25" hidden="1">{#N/A,#N/A,TRUE,"대 차 대 조 표"}</definedName>
    <definedName name="_PL7" hidden="1">{#N/A,#N/A,TRUE,"대 차 대 조 표"}</definedName>
    <definedName name="_PL7_1" localSheetId="24" hidden="1">{#N/A,#N/A,TRUE,"대 차 대 조 표"}</definedName>
    <definedName name="_PL7_1" localSheetId="18" hidden="1">{#N/A,#N/A,TRUE,"대 차 대 조 표"}</definedName>
    <definedName name="_PL7_1" localSheetId="25" hidden="1">{#N/A,#N/A,TRUE,"대 차 대 조 표"}</definedName>
    <definedName name="_PL7_1" hidden="1">{#N/A,#N/A,TRUE,"대 차 대 조 표"}</definedName>
    <definedName name="_Q1" localSheetId="24" hidden="1">{#N/A,#N/A,FALSE,"Summary";#N/A,#N/A,FALSE,"GM Sum";#N/A,#N/A,FALSE,"Ext Shops";#N/A,#N/A,FALSE,"Lost Shops";#N/A,#N/A,FALSE,"Reloc Shops";#N/A,#N/A,FALSE,"Not Affected";#N/A,#N/A,FALSE,"MDbase"}</definedName>
    <definedName name="_Q1" localSheetId="18" hidden="1">{#N/A,#N/A,FALSE,"Summary";#N/A,#N/A,FALSE,"GM Sum";#N/A,#N/A,FALSE,"Ext Shops";#N/A,#N/A,FALSE,"Lost Shops";#N/A,#N/A,FALSE,"Reloc Shops";#N/A,#N/A,FALSE,"Not Affected";#N/A,#N/A,FALSE,"MDbase"}</definedName>
    <definedName name="_Q1" localSheetId="25" hidden="1">{#N/A,#N/A,FALSE,"Summary";#N/A,#N/A,FALSE,"GM Sum";#N/A,#N/A,FALSE,"Ext Shops";#N/A,#N/A,FALSE,"Lost Shops";#N/A,#N/A,FALSE,"Reloc Shops";#N/A,#N/A,FALSE,"Not Affected";#N/A,#N/A,FALSE,"MDbase"}</definedName>
    <definedName name="_Q1" hidden="1">{#N/A,#N/A,FALSE,"Summary";#N/A,#N/A,FALSE,"GM Sum";#N/A,#N/A,FALSE,"Ext Shops";#N/A,#N/A,FALSE,"Lost Shops";#N/A,#N/A,FALSE,"Reloc Shops";#N/A,#N/A,FALSE,"Not Affected";#N/A,#N/A,FALSE,"MDbase"}</definedName>
    <definedName name="_q45" localSheetId="24" hidden="1">{"'용역비'!$A$4:$C$8"}</definedName>
    <definedName name="_q45" localSheetId="18" hidden="1">{"'용역비'!$A$4:$C$8"}</definedName>
    <definedName name="_q45" localSheetId="25" hidden="1">{"'용역비'!$A$4:$C$8"}</definedName>
    <definedName name="_q45" hidden="1">{"'용역비'!$A$4:$C$8"}</definedName>
    <definedName name="_qrt" hidden="1">4</definedName>
    <definedName name="_quarterly" hidden="1">4</definedName>
    <definedName name="_Regression_Int">1</definedName>
    <definedName name="_round" hidden="1">0</definedName>
    <definedName name="_roundtrunc" hidden="1">0</definedName>
    <definedName name="_s12" localSheetId="24" hidden="1">{#N/A,#N/A,FALSE,"LoanAssumptions"}</definedName>
    <definedName name="_s12" localSheetId="18" hidden="1">{#N/A,#N/A,FALSE,"LoanAssumptions"}</definedName>
    <definedName name="_s12" localSheetId="25" hidden="1">{#N/A,#N/A,FALSE,"LoanAssumptions"}</definedName>
    <definedName name="_s12" hidden="1">{#N/A,#N/A,FALSE,"LoanAssumptions"}</definedName>
    <definedName name="_semi" hidden="1">2</definedName>
    <definedName name="_semiannual" hidden="1">2</definedName>
    <definedName name="_singlestep" hidden="1">4</definedName>
    <definedName name="_step" hidden="1">4</definedName>
    <definedName name="_sun1" localSheetId="24" hidden="1">{#N/A,#N/A,FALSE,"이력서&amp;자기소개서"}</definedName>
    <definedName name="_sun1" localSheetId="18" hidden="1">{#N/A,#N/A,FALSE,"이력서&amp;자기소개서"}</definedName>
    <definedName name="_sun1" localSheetId="25" hidden="1">{#N/A,#N/A,FALSE,"이력서&amp;자기소개서"}</definedName>
    <definedName name="_sun1" hidden="1">{#N/A,#N/A,FALSE,"이력서&amp;자기소개서"}</definedName>
    <definedName name="_tc1" localSheetId="24" hidden="1">{#N/A,#N/A,FALSE,"단축1";#N/A,#N/A,FALSE,"단축2";#N/A,#N/A,FALSE,"단축3";#N/A,#N/A,FALSE,"장축";#N/A,#N/A,FALSE,"4WD"}</definedName>
    <definedName name="_tc1" localSheetId="18" hidden="1">{#N/A,#N/A,FALSE,"단축1";#N/A,#N/A,FALSE,"단축2";#N/A,#N/A,FALSE,"단축3";#N/A,#N/A,FALSE,"장축";#N/A,#N/A,FALSE,"4WD"}</definedName>
    <definedName name="_tc1" localSheetId="25" hidden="1">{#N/A,#N/A,FALSE,"단축1";#N/A,#N/A,FALSE,"단축2";#N/A,#N/A,FALSE,"단축3";#N/A,#N/A,FALSE,"장축";#N/A,#N/A,FALSE,"4WD"}</definedName>
    <definedName name="_tc1" hidden="1">{#N/A,#N/A,FALSE,"단축1";#N/A,#N/A,FALSE,"단축2";#N/A,#N/A,FALSE,"단축3";#N/A,#N/A,FALSE,"장축";#N/A,#N/A,FALSE,"4WD"}</definedName>
    <definedName name="_us30360" hidden="1">2</definedName>
    <definedName name="_USA" hidden="1">2</definedName>
    <definedName name="_usagency" hidden="1">2</definedName>
    <definedName name="_USC" hidden="1">4</definedName>
    <definedName name="_uscorp" hidden="1">4</definedName>
    <definedName name="_uscorporate" hidden="1">4</definedName>
    <definedName name="_USM" hidden="1">3</definedName>
    <definedName name="_usmuni" hidden="1">3</definedName>
    <definedName name="_usmunicipal" hidden="1">3</definedName>
    <definedName name="_UST" hidden="1">1</definedName>
    <definedName name="_ustreasury" hidden="1">1</definedName>
    <definedName name="_vf6" localSheetId="24" hidden="1">{#N/A,#N/A,FALSE,"Summary"}</definedName>
    <definedName name="_vf6" localSheetId="18" hidden="1">{#N/A,#N/A,FALSE,"Summary"}</definedName>
    <definedName name="_vf6" localSheetId="25" hidden="1">{#N/A,#N/A,FALSE,"Summary"}</definedName>
    <definedName name="_vf6" hidden="1">{#N/A,#N/A,FALSE,"Summary"}</definedName>
    <definedName name="_xleta.IF" hidden="1" xlm="1">#NAME?</definedName>
    <definedName name="_xleta.SUM" hidden="1" xlm="1">#NAME?</definedName>
    <definedName name="\c">#N/A</definedName>
    <definedName name="\q">#N/A</definedName>
    <definedName name="\r">#N/A</definedName>
    <definedName name="\s">#N/A</definedName>
    <definedName name="A" localSheetId="24" hidden="1">{#N/A,#N/A,FALSE,"Summary";#N/A,#N/A,FALSE,"GM Sum";#N/A,#N/A,FALSE,"Ext Shops";#N/A,#N/A,FALSE,"Lost Shops";#N/A,#N/A,FALSE,"Reloc Shops";#N/A,#N/A,FALSE,"Not Affected";#N/A,#N/A,FALSE,"MDbase"}</definedName>
    <definedName name="A" localSheetId="18" hidden="1">{#N/A,#N/A,FALSE,"Summary";#N/A,#N/A,FALSE,"GM Sum";#N/A,#N/A,FALSE,"Ext Shops";#N/A,#N/A,FALSE,"Lost Shops";#N/A,#N/A,FALSE,"Reloc Shops";#N/A,#N/A,FALSE,"Not Affected";#N/A,#N/A,FALSE,"MDbase"}</definedName>
    <definedName name="A" localSheetId="25" hidden="1">{#N/A,#N/A,FALSE,"Summary";#N/A,#N/A,FALSE,"GM Sum";#N/A,#N/A,FALSE,"Ext Shops";#N/A,#N/A,FALSE,"Lost Shops";#N/A,#N/A,FALSE,"Reloc Shops";#N/A,#N/A,FALSE,"Not Affected";#N/A,#N/A,FALSE,"MDbase"}</definedName>
    <definedName name="A" hidden="1">{#N/A,#N/A,FALSE,"Summary";#N/A,#N/A,FALSE,"GM Sum";#N/A,#N/A,FALSE,"Ext Shops";#N/A,#N/A,FALSE,"Lost Shops";#N/A,#N/A,FALSE,"Reloc Shops";#N/A,#N/A,FALSE,"Not Affected";#N/A,#N/A,FALSE,"MDbase"}</definedName>
    <definedName name="a_1" localSheetId="24" hidden="1">{"MonthlyRentRoll",#N/A,FALSE,"RentRoll"}</definedName>
    <definedName name="a_1" localSheetId="18" hidden="1">{"MonthlyRentRoll",#N/A,FALSE,"RentRoll"}</definedName>
    <definedName name="a_1" localSheetId="25" hidden="1">{"MonthlyRentRoll",#N/A,FALSE,"RentRoll"}</definedName>
    <definedName name="a_1" hidden="1">{"MonthlyRentRoll",#N/A,FALSE,"RentRoll"}</definedName>
    <definedName name="A1_00근거" localSheetId="24" hidden="1">{#N/A,#N/A,FALSE,"단축1";#N/A,#N/A,FALSE,"단축2";#N/A,#N/A,FALSE,"단축3";#N/A,#N/A,FALSE,"장축";#N/A,#N/A,FALSE,"4WD"}</definedName>
    <definedName name="A1_00근거" localSheetId="18" hidden="1">{#N/A,#N/A,FALSE,"단축1";#N/A,#N/A,FALSE,"단축2";#N/A,#N/A,FALSE,"단축3";#N/A,#N/A,FALSE,"장축";#N/A,#N/A,FALSE,"4WD"}</definedName>
    <definedName name="A1_00근거" localSheetId="25" hidden="1">{#N/A,#N/A,FALSE,"단축1";#N/A,#N/A,FALSE,"단축2";#N/A,#N/A,FALSE,"단축3";#N/A,#N/A,FALSE,"장축";#N/A,#N/A,FALSE,"4WD"}</definedName>
    <definedName name="A1_00근거" hidden="1">{#N/A,#N/A,FALSE,"단축1";#N/A,#N/A,FALSE,"단축2";#N/A,#N/A,FALSE,"단축3";#N/A,#N/A,FALSE,"장축";#N/A,#N/A,FALSE,"4WD"}</definedName>
    <definedName name="A2상업" localSheetId="24">BlankMacro1</definedName>
    <definedName name="A2상업" localSheetId="18">BlankMacro1</definedName>
    <definedName name="A2상업" localSheetId="25">BlankMacro1</definedName>
    <definedName name="A2상업" localSheetId="16">BlankMacro1</definedName>
    <definedName name="A2상업">BlankMacro1</definedName>
    <definedName name="aa" localSheetId="24" hidden="1">{#N/A,#N/A,FALSE,"Sheet6"}</definedName>
    <definedName name="aa" localSheetId="18" hidden="1">{#N/A,#N/A,FALSE,"Sheet6"}</definedName>
    <definedName name="aa" localSheetId="25" hidden="1">{#N/A,#N/A,FALSE,"Sheet6"}</definedName>
    <definedName name="aa" hidden="1">{#N/A,#N/A,FALSE,"Sheet6"}</definedName>
    <definedName name="aaa" localSheetId="24" hidden="1">{#N/A,#N/A,FALSE,"동부"}</definedName>
    <definedName name="aaa" localSheetId="18" hidden="1">{#N/A,#N/A,FALSE,"동부"}</definedName>
    <definedName name="aaa" localSheetId="25" hidden="1">{#N/A,#N/A,FALSE,"동부"}</definedName>
    <definedName name="aaa" hidden="1">{#N/A,#N/A,FALSE,"동부"}</definedName>
    <definedName name="aaa_1" localSheetId="24" hidden="1">{"MonthlyRentRoll",#N/A,FALSE,"RentRoll"}</definedName>
    <definedName name="aaa_1" localSheetId="18" hidden="1">{"MonthlyRentRoll",#N/A,FALSE,"RentRoll"}</definedName>
    <definedName name="aaa_1" localSheetId="25" hidden="1">{"MonthlyRentRoll",#N/A,FALSE,"RentRoll"}</definedName>
    <definedName name="aaa_1" hidden="1">{"MonthlyRentRoll",#N/A,FALSE,"RentRoll"}</definedName>
    <definedName name="AAA_DOCTOPS">"AAA_SET"</definedName>
    <definedName name="AAA_duser">"OFF"</definedName>
    <definedName name="aaaaa" localSheetId="24" hidden="1">{"Info",#N/A,FALSE,"A"}</definedName>
    <definedName name="aaaaa" localSheetId="18" hidden="1">{"Info",#N/A,FALSE,"A"}</definedName>
    <definedName name="aaaaa" localSheetId="25" hidden="1">{"Info",#N/A,FALSE,"A"}</definedName>
    <definedName name="aaaaa" hidden="1">{"Info",#N/A,FALSE,"A"}</definedName>
    <definedName name="aaaaa_1" localSheetId="24" hidden="1">{"p",#N/A,FALSE,"Sheet1";"p 2",#N/A,FALSE,"Sheet1";"p 3",#N/A,FALSE,"Sheet1"}</definedName>
    <definedName name="aaaaa_1" localSheetId="18" hidden="1">{"p",#N/A,FALSE,"Sheet1";"p 2",#N/A,FALSE,"Sheet1";"p 3",#N/A,FALSE,"Sheet1"}</definedName>
    <definedName name="aaaaa_1" localSheetId="25" hidden="1">{"p",#N/A,FALSE,"Sheet1";"p 2",#N/A,FALSE,"Sheet1";"p 3",#N/A,FALSE,"Sheet1"}</definedName>
    <definedName name="aaaaa_1" hidden="1">{"p",#N/A,FALSE,"Sheet1";"p 2",#N/A,FALSE,"Sheet1";"p 3",#N/A,FALSE,"Sheet1"}</definedName>
    <definedName name="AAAAAA"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AAAAAA"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AAAAAA" localSheetId="25"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AAAAAA"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aaaaaaa" localSheetId="24" hidden="1">{"Outflow 1",#N/A,FALSE,"Outflows-Inflows";"Outflow 2",#N/A,FALSE,"Outflows-Inflows";"Inflow 1",#N/A,FALSE,"Outflows-Inflows";"Inflow 2",#N/A,FALSE,"Outflows-Inflows"}</definedName>
    <definedName name="aaaaaaa" localSheetId="18" hidden="1">{"Outflow 1",#N/A,FALSE,"Outflows-Inflows";"Outflow 2",#N/A,FALSE,"Outflows-Inflows";"Inflow 1",#N/A,FALSE,"Outflows-Inflows";"Inflow 2",#N/A,FALSE,"Outflows-Inflows"}</definedName>
    <definedName name="aaaaaaa" localSheetId="25" hidden="1">{"Outflow 1",#N/A,FALSE,"Outflows-Inflows";"Outflow 2",#N/A,FALSE,"Outflows-Inflows";"Inflow 1",#N/A,FALSE,"Outflows-Inflows";"Inflow 2",#N/A,FALSE,"Outflows-Inflows"}</definedName>
    <definedName name="aaaaaaa" hidden="1">{"Outflow 1",#N/A,FALSE,"Outflows-Inflows";"Outflow 2",#N/A,FALSE,"Outflows-Inflows";"Inflow 1",#N/A,FALSE,"Outflows-Inflows";"Inflow 2",#N/A,FALSE,"Outflows-Inflows"}</definedName>
    <definedName name="aab" localSheetId="24" hidden="1">{#N/A,#N/A,FALSE,"동부"}</definedName>
    <definedName name="aab" localSheetId="18" hidden="1">{#N/A,#N/A,FALSE,"동부"}</definedName>
    <definedName name="aab" localSheetId="25" hidden="1">{#N/A,#N/A,FALSE,"동부"}</definedName>
    <definedName name="aab" hidden="1">{#N/A,#N/A,FALSE,"동부"}</definedName>
    <definedName name="AAB_Addin5">"AAB_Description for addin 5,Description for addin 5,Description for addin 5,Description for addin 5,Description for addin 5,Description for addin 5"</definedName>
    <definedName name="aasdfa" localSheetId="24" hidden="1">{"rtn",#N/A,FALSE,"RTN";"tables",#N/A,FALSE,"RTN";"cf",#N/A,FALSE,"CF";"stats",#N/A,FALSE,"Stats";"prop",#N/A,FALSE,"Prop"}</definedName>
    <definedName name="aasdfa" localSheetId="18" hidden="1">{"rtn",#N/A,FALSE,"RTN";"tables",#N/A,FALSE,"RTN";"cf",#N/A,FALSE,"CF";"stats",#N/A,FALSE,"Stats";"prop",#N/A,FALSE,"Prop"}</definedName>
    <definedName name="aasdfa" localSheetId="25" hidden="1">{"rtn",#N/A,FALSE,"RTN";"tables",#N/A,FALSE,"RTN";"cf",#N/A,FALSE,"CF";"stats",#N/A,FALSE,"Stats";"prop",#N/A,FALSE,"Prop"}</definedName>
    <definedName name="aasdfa" hidden="1">{"rtn",#N/A,FALSE,"RTN";"tables",#N/A,FALSE,"RTN";"cf",#N/A,FALSE,"CF";"stats",#N/A,FALSE,"Stats";"prop",#N/A,FALSE,"Prop"}</definedName>
    <definedName name="ab">1</definedName>
    <definedName name="abab" localSheetId="24" hidden="1">{#N/A,#N/A,FALSE,"ExitStratigy"}</definedName>
    <definedName name="abab" localSheetId="18" hidden="1">{#N/A,#N/A,FALSE,"ExitStratigy"}</definedName>
    <definedName name="abab" localSheetId="25" hidden="1">{#N/A,#N/A,FALSE,"ExitStratigy"}</definedName>
    <definedName name="abab" hidden="1">{#N/A,#N/A,FALSE,"ExitStratigy"}</definedName>
    <definedName name="abab_1" localSheetId="24" hidden="1">{#N/A,#N/A,FALSE,"ExitStratigy"}</definedName>
    <definedName name="abab_1" localSheetId="18" hidden="1">{#N/A,#N/A,FALSE,"ExitStratigy"}</definedName>
    <definedName name="abab_1" localSheetId="25" hidden="1">{#N/A,#N/A,FALSE,"ExitStratigy"}</definedName>
    <definedName name="abab_1" hidden="1">{#N/A,#N/A,FALSE,"ExitStratigy"}</definedName>
    <definedName name="abcc" localSheetId="24" hidden="1">{#N/A,#N/A,FALSE,"1.CRITERIA";#N/A,#N/A,FALSE,"2.IS";#N/A,#N/A,FALSE,"3.BS";#N/A,#N/A,FALSE,"4.PER PL";#N/A,#N/A,FALSE,"5.INVESTMENT";#N/A,#N/A,FALSE,"6.공문";#N/A,#N/A,FALSE,"7.netinvest"}</definedName>
    <definedName name="abcc" localSheetId="18" hidden="1">{#N/A,#N/A,FALSE,"1.CRITERIA";#N/A,#N/A,FALSE,"2.IS";#N/A,#N/A,FALSE,"3.BS";#N/A,#N/A,FALSE,"4.PER PL";#N/A,#N/A,FALSE,"5.INVESTMENT";#N/A,#N/A,FALSE,"6.공문";#N/A,#N/A,FALSE,"7.netinvest"}</definedName>
    <definedName name="abcc" localSheetId="25" hidden="1">{#N/A,#N/A,FALSE,"1.CRITERIA";#N/A,#N/A,FALSE,"2.IS";#N/A,#N/A,FALSE,"3.BS";#N/A,#N/A,FALSE,"4.PER PL";#N/A,#N/A,FALSE,"5.INVESTMENT";#N/A,#N/A,FALSE,"6.공문";#N/A,#N/A,FALSE,"7.netinvest"}</definedName>
    <definedName name="abcc" hidden="1">{#N/A,#N/A,FALSE,"1.CRITERIA";#N/A,#N/A,FALSE,"2.IS";#N/A,#N/A,FALSE,"3.BS";#N/A,#N/A,FALSE,"4.PER PL";#N/A,#N/A,FALSE,"5.INVESTMENT";#N/A,#N/A,FALSE,"6.공문";#N/A,#N/A,FALSE,"7.netinvest"}</definedName>
    <definedName name="Access_Button" hidden="1">"종합사번1999년_99년02월_퇴사__List"</definedName>
    <definedName name="Access_Button1" hidden="1">"업체현황_카드발송_List"</definedName>
    <definedName name="Access_Button2" hidden="1">"업체현황_카드발송_List"</definedName>
    <definedName name="Access_Button3" hidden="1">"카드발송_카드발송_List1"</definedName>
    <definedName name="Access_Button4" hidden="1">"업체현황_카드발송_List"</definedName>
    <definedName name="AccessDatabase">"C:\MSOffice\감가상각\depreciation.mdb"</definedName>
    <definedName name="ACCLINK.XLS_Localization_Table_List" hidden="1">"$A$1:$B$11"</definedName>
    <definedName name="ACCLINK.XLS_Localization_Table_List1" hidden="1">"$A$13:$B$31"</definedName>
    <definedName name="ACCLINK.XLS_Localization_Table_List10" hidden="1">"$A$13:$B$33"</definedName>
    <definedName name="ACCLINK.XLS_Localization_Table_List11" hidden="1">"$A$13:$B$33"</definedName>
    <definedName name="ACCLINK.XLS_Localization_Table_List12" hidden="1">"$A$13:$B$33"</definedName>
    <definedName name="ACCLINK.XLS_Localization_Table_List13" hidden="1">"$A$13:$B$33"</definedName>
    <definedName name="ACCLINK.XLS_Localization_Table_List14" hidden="1">"$A$13:$B$33"</definedName>
    <definedName name="ACCLINK.XLS_Localization_Table_List15" hidden="1">"$A$13:$B$33"</definedName>
    <definedName name="ACCLINK.XLS_Localization_Table_List16" hidden="1">"$A$13:$B$33"</definedName>
    <definedName name="ACCLINK.XLS_Localization_Table_List17" hidden="1">"$A$13:$B$33"</definedName>
    <definedName name="ACCLINK.XLS_Localization_Table_List18" hidden="1">"$A$13:$B$33"</definedName>
    <definedName name="ACCLINK.XLS_Localization_Table_List19" hidden="1">"$A$13:$B$33"</definedName>
    <definedName name="ACCLINK.XLS_Localization_Table_List2" hidden="1">"$A$13:$B$31"</definedName>
    <definedName name="ACCLINK.XLS_Localization_Table_List3" hidden="1">"$A$13:$B$31"</definedName>
    <definedName name="ACCLINK.XLS_Localization_Table_List4" hidden="1">"$A$13:$B$31"</definedName>
    <definedName name="ACCLINK.XLS_Localization_Table_List5" hidden="1">"$A$13:$B$31"</definedName>
    <definedName name="ACCLINK.XLS_Localization_Table_List6" hidden="1">"$A$13:$B$31"</definedName>
    <definedName name="ACCLINK.XLS_Localization_Table_List7" hidden="1">"$A$13:$B$31"</definedName>
    <definedName name="ACCLINK.XLS_Localization_Table_List8" hidden="1">"$A$13:$B$31"</definedName>
    <definedName name="ACCLINK.XLS_Localization_Table_List9" hidden="1">"$A$13:$B$33"</definedName>
    <definedName name="adasd" localSheetId="24" hidden="1">{"ｹﾝﾄ（M)",#N/A,FALSE,"収支・日割";"ｹﾝﾄ（RD)",#N/A,FALSE,"収支・日割";"ｹﾝﾄ（PMC)",#N/A,FALSE,"収支・日割"}</definedName>
    <definedName name="adasd" localSheetId="18" hidden="1">{"ｹﾝﾄ（M)",#N/A,FALSE,"収支・日割";"ｹﾝﾄ（RD)",#N/A,FALSE,"収支・日割";"ｹﾝﾄ（PMC)",#N/A,FALSE,"収支・日割"}</definedName>
    <definedName name="adasd" localSheetId="25" hidden="1">{"ｹﾝﾄ（M)",#N/A,FALSE,"収支・日割";"ｹﾝﾄ（RD)",#N/A,FALSE,"収支・日割";"ｹﾝﾄ（PMC)",#N/A,FALSE,"収支・日割"}</definedName>
    <definedName name="adasd" hidden="1">{"ｹﾝﾄ（M)",#N/A,FALSE,"収支・日割";"ｹﾝﾄ（RD)",#N/A,FALSE,"収支・日割";"ｹﾝﾄ（PMC)",#N/A,FALSE,"収支・日割"}</definedName>
    <definedName name="adf" localSheetId="24" hidden="1">{"MonthlyRentRoll",#N/A,FALSE,"RentRoll"}</definedName>
    <definedName name="adf" localSheetId="18" hidden="1">{"MonthlyRentRoll",#N/A,FALSE,"RentRoll"}</definedName>
    <definedName name="adf" localSheetId="25" hidden="1">{"MonthlyRentRoll",#N/A,FALSE,"RentRoll"}</definedName>
    <definedName name="adf" hidden="1">{"MonthlyRentRoll",#N/A,FALSE,"RentRoll"}</definedName>
    <definedName name="adf_1" localSheetId="24" hidden="1">{"MonthlyRentRoll",#N/A,FALSE,"RentRoll"}</definedName>
    <definedName name="adf_1" localSheetId="18" hidden="1">{"MonthlyRentRoll",#N/A,FALSE,"RentRoll"}</definedName>
    <definedName name="adf_1" localSheetId="25" hidden="1">{"MonthlyRentRoll",#N/A,FALSE,"RentRoll"}</definedName>
    <definedName name="adf_1" hidden="1">{"MonthlyRentRoll",#N/A,FALSE,"RentRoll"}</definedName>
    <definedName name="adsas" localSheetId="24" hidden="1">{#N/A,#N/A,FALSE,"Aging Summary";#N/A,#N/A,FALSE,"Ratio Analysis";#N/A,#N/A,FALSE,"Test 120 Day Accts";#N/A,#N/A,FALSE,"Tickmarks"}</definedName>
    <definedName name="adsas" localSheetId="18" hidden="1">{#N/A,#N/A,FALSE,"Aging Summary";#N/A,#N/A,FALSE,"Ratio Analysis";#N/A,#N/A,FALSE,"Test 120 Day Accts";#N/A,#N/A,FALSE,"Tickmarks"}</definedName>
    <definedName name="adsas" localSheetId="25" hidden="1">{#N/A,#N/A,FALSE,"Aging Summary";#N/A,#N/A,FALSE,"Ratio Analysis";#N/A,#N/A,FALSE,"Test 120 Day Accts";#N/A,#N/A,FALSE,"Tickmarks"}</definedName>
    <definedName name="adsas" hidden="1">{#N/A,#N/A,FALSE,"Aging Summary";#N/A,#N/A,FALSE,"Ratio Analysis";#N/A,#N/A,FALSE,"Test 120 Day Accts";#N/A,#N/A,FALSE,"Tickmarks"}</definedName>
    <definedName name="ADSDF" localSheetId="24" hidden="1">{#N/A,#N/A,TRUE,"Y생산";#N/A,#N/A,TRUE,"Y판매";#N/A,#N/A,TRUE,"Y총물량";#N/A,#N/A,TRUE,"Y능력";#N/A,#N/A,TRUE,"YKD"}</definedName>
    <definedName name="ADSDF" localSheetId="18" hidden="1">{#N/A,#N/A,TRUE,"Y생산";#N/A,#N/A,TRUE,"Y판매";#N/A,#N/A,TRUE,"Y총물량";#N/A,#N/A,TRUE,"Y능력";#N/A,#N/A,TRUE,"YKD"}</definedName>
    <definedName name="ADSDF" localSheetId="25" hidden="1">{#N/A,#N/A,TRUE,"Y생산";#N/A,#N/A,TRUE,"Y판매";#N/A,#N/A,TRUE,"Y총물량";#N/A,#N/A,TRUE,"Y능력";#N/A,#N/A,TRUE,"YKD"}</definedName>
    <definedName name="ADSDF" hidden="1">{#N/A,#N/A,TRUE,"Y생산";#N/A,#N/A,TRUE,"Y판매";#N/A,#N/A,TRUE,"Y총물량";#N/A,#N/A,TRUE,"Y능력";#N/A,#N/A,TRUE,"YKD"}</definedName>
    <definedName name="ADSDF_1" localSheetId="24" hidden="1">{#N/A,#N/A,TRUE,"Y생산";#N/A,#N/A,TRUE,"Y판매";#N/A,#N/A,TRUE,"Y총물량";#N/A,#N/A,TRUE,"Y능력";#N/A,#N/A,TRUE,"YKD"}</definedName>
    <definedName name="ADSDF_1" localSheetId="18" hidden="1">{#N/A,#N/A,TRUE,"Y생산";#N/A,#N/A,TRUE,"Y판매";#N/A,#N/A,TRUE,"Y총물량";#N/A,#N/A,TRUE,"Y능력";#N/A,#N/A,TRUE,"YKD"}</definedName>
    <definedName name="ADSDF_1" localSheetId="25" hidden="1">{#N/A,#N/A,TRUE,"Y생산";#N/A,#N/A,TRUE,"Y판매";#N/A,#N/A,TRUE,"Y총물량";#N/A,#N/A,TRUE,"Y능력";#N/A,#N/A,TRUE,"YKD"}</definedName>
    <definedName name="ADSDF_1" hidden="1">{#N/A,#N/A,TRUE,"Y생산";#N/A,#N/A,TRUE,"Y판매";#N/A,#N/A,TRUE,"Y총물량";#N/A,#N/A,TRUE,"Y능력";#N/A,#N/A,TRUE,"YKD"}</definedName>
    <definedName name="afafadf" localSheetId="24" hidden="1">{"'Report9'!$B$1:$AD$57"}</definedName>
    <definedName name="afafadf" localSheetId="18" hidden="1">{"'Report9'!$B$1:$AD$57"}</definedName>
    <definedName name="afafadf" localSheetId="25" hidden="1">{"'Report9'!$B$1:$AD$57"}</definedName>
    <definedName name="afafadf" hidden="1">{"'Report9'!$B$1:$AD$57"}</definedName>
    <definedName name="afsdafsfsadf" localSheetId="24" hidden="1">{#N/A,#N/A,FALSE,"Summary";#N/A,#N/A,FALSE,"Ext Shops";#N/A,#N/A,FALSE,"Lost Shops";#N/A,#N/A,FALSE,"Reloc Shops";#N/A,#N/A,FALSE,"Not Affected";#N/A,#N/A,FALSE,"MDbase"}</definedName>
    <definedName name="afsdafsfsadf" localSheetId="18" hidden="1">{#N/A,#N/A,FALSE,"Summary";#N/A,#N/A,FALSE,"Ext Shops";#N/A,#N/A,FALSE,"Lost Shops";#N/A,#N/A,FALSE,"Reloc Shops";#N/A,#N/A,FALSE,"Not Affected";#N/A,#N/A,FALSE,"MDbase"}</definedName>
    <definedName name="afsdafsfsadf" localSheetId="25" hidden="1">{#N/A,#N/A,FALSE,"Summary";#N/A,#N/A,FALSE,"Ext Shops";#N/A,#N/A,FALSE,"Lost Shops";#N/A,#N/A,FALSE,"Reloc Shops";#N/A,#N/A,FALSE,"Not Affected";#N/A,#N/A,FALSE,"MDbase"}</definedName>
    <definedName name="afsdafsfsadf" hidden="1">{#N/A,#N/A,FALSE,"Summary";#N/A,#N/A,FALSE,"Ext Shops";#N/A,#N/A,FALSE,"Lost Shops";#N/A,#N/A,FALSE,"Reloc Shops";#N/A,#N/A,FALSE,"Not Affected";#N/A,#N/A,FALSE,"MDbase"}</definedName>
    <definedName name="AJH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AJHD"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AJHD"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AJH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aksmf" localSheetId="24" hidden="1">{"'7'!$B$15:$D$32"}</definedName>
    <definedName name="aksmf" localSheetId="18" hidden="1">{"'7'!$B$15:$D$32"}</definedName>
    <definedName name="aksmf" localSheetId="25" hidden="1">{"'7'!$B$15:$D$32"}</definedName>
    <definedName name="aksmf" hidden="1">{"'7'!$B$15:$D$32"}</definedName>
    <definedName name="al" localSheetId="24" hidden="1">{#N/A,#N/A,FALSE,"5YRASSPl - consol'd";#N/A,#N/A,FALSE,"5YRASSPl - hotel";#N/A,#N/A,FALSE,"5YRASSPl - excl htl";#N/A,#N/A,FALSE,"VarReport";#N/A,#N/A,FALSE,"Sensitivity";#N/A,#N/A,FALSE,"House View ";#N/A,#N/A,FALSE,"KPI"}</definedName>
    <definedName name="al" localSheetId="18" hidden="1">{#N/A,#N/A,FALSE,"5YRASSPl - consol'd";#N/A,#N/A,FALSE,"5YRASSPl - hotel";#N/A,#N/A,FALSE,"5YRASSPl - excl htl";#N/A,#N/A,FALSE,"VarReport";#N/A,#N/A,FALSE,"Sensitivity";#N/A,#N/A,FALSE,"House View ";#N/A,#N/A,FALSE,"KPI"}</definedName>
    <definedName name="al" localSheetId="25" hidden="1">{#N/A,#N/A,FALSE,"5YRASSPl - consol'd";#N/A,#N/A,FALSE,"5YRASSPl - hotel";#N/A,#N/A,FALSE,"5YRASSPl - excl htl";#N/A,#N/A,FALSE,"VarReport";#N/A,#N/A,FALSE,"Sensitivity";#N/A,#N/A,FALSE,"House View ";#N/A,#N/A,FALSE,"KPI"}</definedName>
    <definedName name="al" hidden="1">{#N/A,#N/A,FALSE,"5YRASSPl - consol'd";#N/A,#N/A,FALSE,"5YRASSPl - hotel";#N/A,#N/A,FALSE,"5YRASSPl - excl htl";#N/A,#N/A,FALSE,"VarReport";#N/A,#N/A,FALSE,"Sensitivity";#N/A,#N/A,FALSE,"House View ";#N/A,#N/A,FALSE,"KPI"}</definedName>
    <definedName name="am" hidden="1">#N/A</definedName>
    <definedName name="anscount">2</definedName>
    <definedName name="app.3.2.2" localSheetId="24" hidden="1">{#N/A,#N/A,FALSE,"동부"}</definedName>
    <definedName name="app.3.2.2" localSheetId="18" hidden="1">{#N/A,#N/A,FALSE,"동부"}</definedName>
    <definedName name="app.3.2.2" localSheetId="25" hidden="1">{#N/A,#N/A,FALSE,"동부"}</definedName>
    <definedName name="app.3.2.2" hidden="1">{#N/A,#N/A,FALSE,"동부"}</definedName>
    <definedName name="App3.2.2" localSheetId="24" hidden="1">{#N/A,#N/A,TRUE,"대 차 대 조 표"}</definedName>
    <definedName name="App3.2.2" localSheetId="18" hidden="1">{#N/A,#N/A,TRUE,"대 차 대 조 표"}</definedName>
    <definedName name="App3.2.2" localSheetId="25" hidden="1">{#N/A,#N/A,TRUE,"대 차 대 조 표"}</definedName>
    <definedName name="App3.2.2" hidden="1">{#N/A,#N/A,TRUE,"대 차 대 조 표"}</definedName>
    <definedName name="aq" localSheetId="24" hidden="1">{#N/A,#N/A,FALSE,"CCTV"}</definedName>
    <definedName name="aq" localSheetId="18" hidden="1">{#N/A,#N/A,FALSE,"CCTV"}</definedName>
    <definedName name="aq" localSheetId="25" hidden="1">{#N/A,#N/A,FALSE,"CCTV"}</definedName>
    <definedName name="aq" hidden="1">{#N/A,#N/A,FALSE,"CCTV"}</definedName>
    <definedName name="AS2DocOpenMode">"AS2DocumentBrowse"</definedName>
    <definedName name="AS2HasNoAutoHeaderFooter" hidden="1">" "</definedName>
    <definedName name="AS2ReportLS" hidden="1">1</definedName>
    <definedName name="AS2SyncStepLS" hidden="1">0</definedName>
    <definedName name="AS2VersionLS" hidden="1">300</definedName>
    <definedName name="asda" localSheetId="24" hidden="1">{"Actual",#N/A,FALSE,"(価格)";"Market",#N/A,FALSE,"(価格)";"Plan",#N/A,FALSE,"(価格)"}</definedName>
    <definedName name="asda" localSheetId="18" hidden="1">{"Actual",#N/A,FALSE,"(価格)";"Market",#N/A,FALSE,"(価格)";"Plan",#N/A,FALSE,"(価格)"}</definedName>
    <definedName name="asda" localSheetId="25" hidden="1">{"Actual",#N/A,FALSE,"(価格)";"Market",#N/A,FALSE,"(価格)";"Plan",#N/A,FALSE,"(価格)"}</definedName>
    <definedName name="asda" hidden="1">{"Actual",#N/A,FALSE,"(価格)";"Market",#N/A,FALSE,"(価格)";"Plan",#N/A,FALSE,"(価格)"}</definedName>
    <definedName name="asdf" localSheetId="24">BlankMacro1</definedName>
    <definedName name="asdf" localSheetId="18">BlankMacro1</definedName>
    <definedName name="asdf" localSheetId="25">BlankMacro1</definedName>
    <definedName name="asdf" localSheetId="16">BlankMacro1</definedName>
    <definedName name="asdf">BlankMacro1</definedName>
    <definedName name="asdfadf" localSheetId="24" hidden="1">{#N/A,#N/A,TRUE,"Capex Summ";#N/A,#N/A,TRUE,"Essential Works.tw";#N/A,#N/A,TRUE,"Desirable Works.tw";#N/A,#N/A,TRUE,"Essential Works.rt";#N/A,#N/A,TRUE,"Desirable Works.rt";#N/A,#N/A,TRUE,"Mthly";#N/A,#N/A,TRUE,"Essential Works.ht";#N/A,#N/A,TRUE,"Desirable Works.ht";#N/A,#N/A,TRUE,"Incentives"}</definedName>
    <definedName name="asdfadf" localSheetId="18" hidden="1">{#N/A,#N/A,TRUE,"Capex Summ";#N/A,#N/A,TRUE,"Essential Works.tw";#N/A,#N/A,TRUE,"Desirable Works.tw";#N/A,#N/A,TRUE,"Essential Works.rt";#N/A,#N/A,TRUE,"Desirable Works.rt";#N/A,#N/A,TRUE,"Mthly";#N/A,#N/A,TRUE,"Essential Works.ht";#N/A,#N/A,TRUE,"Desirable Works.ht";#N/A,#N/A,TRUE,"Incentives"}</definedName>
    <definedName name="asdfadf" localSheetId="25" hidden="1">{#N/A,#N/A,TRUE,"Capex Summ";#N/A,#N/A,TRUE,"Essential Works.tw";#N/A,#N/A,TRUE,"Desirable Works.tw";#N/A,#N/A,TRUE,"Essential Works.rt";#N/A,#N/A,TRUE,"Desirable Works.rt";#N/A,#N/A,TRUE,"Mthly";#N/A,#N/A,TRUE,"Essential Works.ht";#N/A,#N/A,TRUE,"Desirable Works.ht";#N/A,#N/A,TRUE,"Incentives"}</definedName>
    <definedName name="asdfadf" hidden="1">{#N/A,#N/A,TRUE,"Capex Summ";#N/A,#N/A,TRUE,"Essential Works.tw";#N/A,#N/A,TRUE,"Desirable Works.tw";#N/A,#N/A,TRUE,"Essential Works.rt";#N/A,#N/A,TRUE,"Desirable Works.rt";#N/A,#N/A,TRUE,"Mthly";#N/A,#N/A,TRUE,"Essential Works.ht";#N/A,#N/A,TRUE,"Desirable Works.ht";#N/A,#N/A,TRUE,"Incentives"}</definedName>
    <definedName name="asdfas" localSheetId="24" hidden="1">{"print 1.6",#N/A,FALSE,"Sheet1";"print 2.6",#N/A,FALSE,"Sheet1";"print 3.6",#N/A,FALSE,"Sheet1";"print 4.6",#N/A,FALSE,"Sheet1";"print 5.6",#N/A,FALSE,"Sheet1";"print 6.6",#N/A,FALSE,"Sheet1"}</definedName>
    <definedName name="asdfas" localSheetId="18" hidden="1">{"print 1.6",#N/A,FALSE,"Sheet1";"print 2.6",#N/A,FALSE,"Sheet1";"print 3.6",#N/A,FALSE,"Sheet1";"print 4.6",#N/A,FALSE,"Sheet1";"print 5.6",#N/A,FALSE,"Sheet1";"print 6.6",#N/A,FALSE,"Sheet1"}</definedName>
    <definedName name="asdfas" localSheetId="25" hidden="1">{"print 1.6",#N/A,FALSE,"Sheet1";"print 2.6",#N/A,FALSE,"Sheet1";"print 3.6",#N/A,FALSE,"Sheet1";"print 4.6",#N/A,FALSE,"Sheet1";"print 5.6",#N/A,FALSE,"Sheet1";"print 6.6",#N/A,FALSE,"Sheet1"}</definedName>
    <definedName name="asdfas" hidden="1">{"print 1.6",#N/A,FALSE,"Sheet1";"print 2.6",#N/A,FALSE,"Sheet1";"print 3.6",#N/A,FALSE,"Sheet1";"print 4.6",#N/A,FALSE,"Sheet1";"print 5.6",#N/A,FALSE,"Sheet1";"print 6.6",#N/A,FALSE,"Sheet1"}</definedName>
    <definedName name="asdfasaa" localSheetId="24" hidden="1">{"print 1.6",#N/A,FALSE,"Sheet1";"print 2.6",#N/A,FALSE,"Sheet1";"print 3.6",#N/A,FALSE,"Sheet1";"print 4.6",#N/A,FALSE,"Sheet1";"print 5.6",#N/A,FALSE,"Sheet1";"print 6.6",#N/A,FALSE,"Sheet1"}</definedName>
    <definedName name="asdfasaa" localSheetId="18" hidden="1">{"print 1.6",#N/A,FALSE,"Sheet1";"print 2.6",#N/A,FALSE,"Sheet1";"print 3.6",#N/A,FALSE,"Sheet1";"print 4.6",#N/A,FALSE,"Sheet1";"print 5.6",#N/A,FALSE,"Sheet1";"print 6.6",#N/A,FALSE,"Sheet1"}</definedName>
    <definedName name="asdfasaa" localSheetId="25" hidden="1">{"print 1.6",#N/A,FALSE,"Sheet1";"print 2.6",#N/A,FALSE,"Sheet1";"print 3.6",#N/A,FALSE,"Sheet1";"print 4.6",#N/A,FALSE,"Sheet1";"print 5.6",#N/A,FALSE,"Sheet1";"print 6.6",#N/A,FALSE,"Sheet1"}</definedName>
    <definedName name="asdfasaa" hidden="1">{"print 1.6",#N/A,FALSE,"Sheet1";"print 2.6",#N/A,FALSE,"Sheet1";"print 3.6",#N/A,FALSE,"Sheet1";"print 4.6",#N/A,FALSE,"Sheet1";"print 5.6",#N/A,FALSE,"Sheet1";"print 6.6",#N/A,FALSE,"Sheet1"}</definedName>
    <definedName name="asdfasdf" localSheetId="24" hidden="1">{"rtn",#N/A,FALSE,"RTN";"tables",#N/A,FALSE,"RTN";"cf",#N/A,FALSE,"CF";"stats",#N/A,FALSE,"Stats";"prop",#N/A,FALSE,"Prop"}</definedName>
    <definedName name="asdfasdf" localSheetId="18" hidden="1">{"rtn",#N/A,FALSE,"RTN";"tables",#N/A,FALSE,"RTN";"cf",#N/A,FALSE,"CF";"stats",#N/A,FALSE,"Stats";"prop",#N/A,FALSE,"Prop"}</definedName>
    <definedName name="asdfasdf" localSheetId="25" hidden="1">{"rtn",#N/A,FALSE,"RTN";"tables",#N/A,FALSE,"RTN";"cf",#N/A,FALSE,"CF";"stats",#N/A,FALSE,"Stats";"prop",#N/A,FALSE,"Prop"}</definedName>
    <definedName name="asdfasdf" hidden="1">{"rtn",#N/A,FALSE,"RTN";"tables",#N/A,FALSE,"RTN";"cf",#N/A,FALSE,"CF";"stats",#N/A,FALSE,"Stats";"prop",#N/A,FALSE,"Prop"}</definedName>
    <definedName name="asdfasfsa" localSheetId="24" hidden="1">{#N/A,#N/A,FALSE,"Summary";#N/A,#N/A,FALSE,"GM Sum";#N/A,#N/A,FALSE,"Ext Shops";#N/A,#N/A,FALSE,"Lost Shops";#N/A,#N/A,FALSE,"Reloc Shops";#N/A,#N/A,FALSE,"Not Affected";#N/A,#N/A,FALSE,"MDbase"}</definedName>
    <definedName name="asdfasfsa" localSheetId="18" hidden="1">{#N/A,#N/A,FALSE,"Summary";#N/A,#N/A,FALSE,"GM Sum";#N/A,#N/A,FALSE,"Ext Shops";#N/A,#N/A,FALSE,"Lost Shops";#N/A,#N/A,FALSE,"Reloc Shops";#N/A,#N/A,FALSE,"Not Affected";#N/A,#N/A,FALSE,"MDbase"}</definedName>
    <definedName name="asdfasfsa" localSheetId="25" hidden="1">{#N/A,#N/A,FALSE,"Summary";#N/A,#N/A,FALSE,"GM Sum";#N/A,#N/A,FALSE,"Ext Shops";#N/A,#N/A,FALSE,"Lost Shops";#N/A,#N/A,FALSE,"Reloc Shops";#N/A,#N/A,FALSE,"Not Affected";#N/A,#N/A,FALSE,"MDbase"}</definedName>
    <definedName name="asdfasfsa" hidden="1">{#N/A,#N/A,FALSE,"Summary";#N/A,#N/A,FALSE,"GM Sum";#N/A,#N/A,FALSE,"Ext Shops";#N/A,#N/A,FALSE,"Lost Shops";#N/A,#N/A,FALSE,"Reloc Shops";#N/A,#N/A,FALSE,"Not Affected";#N/A,#N/A,FALSE,"MDbase"}</definedName>
    <definedName name="asdfg" localSheetId="24" hidden="1">{"rtn",#N/A,FALSE,"RTN";"tables",#N/A,FALSE,"RTN";"cf",#N/A,FALSE,"CF";"stats",#N/A,FALSE,"Stats";"prop",#N/A,FALSE,"Prop"}</definedName>
    <definedName name="asdfg" localSheetId="18" hidden="1">{"rtn",#N/A,FALSE,"RTN";"tables",#N/A,FALSE,"RTN";"cf",#N/A,FALSE,"CF";"stats",#N/A,FALSE,"Stats";"prop",#N/A,FALSE,"Prop"}</definedName>
    <definedName name="asdfg" localSheetId="25" hidden="1">{"rtn",#N/A,FALSE,"RTN";"tables",#N/A,FALSE,"RTN";"cf",#N/A,FALSE,"CF";"stats",#N/A,FALSE,"Stats";"prop",#N/A,FALSE,"Prop"}</definedName>
    <definedName name="asdfg" hidden="1">{"rtn",#N/A,FALSE,"RTN";"tables",#N/A,FALSE,"RTN";"cf",#N/A,FALSE,"CF";"stats",#N/A,FALSE,"Stats";"prop",#N/A,FALSE,"Prop"}</definedName>
    <definedName name="asdfhd" localSheetId="24" hidden="1">{#N/A,#N/A,TRUE,"SUMMARY";#N/A,#N/A,TRUE,"NOTES";#N/A,#N/A,TRUE,"EXT-SHOPS";#N/A,#N/A,TRUE,"N-AFF-SHOPS";#N/A,#N/A,TRUE,"LOST-SHOPS"}</definedName>
    <definedName name="asdfhd" localSheetId="18" hidden="1">{#N/A,#N/A,TRUE,"SUMMARY";#N/A,#N/A,TRUE,"NOTES";#N/A,#N/A,TRUE,"EXT-SHOPS";#N/A,#N/A,TRUE,"N-AFF-SHOPS";#N/A,#N/A,TRUE,"LOST-SHOPS"}</definedName>
    <definedName name="asdfhd" localSheetId="25" hidden="1">{#N/A,#N/A,TRUE,"SUMMARY";#N/A,#N/A,TRUE,"NOTES";#N/A,#N/A,TRUE,"EXT-SHOPS";#N/A,#N/A,TRUE,"N-AFF-SHOPS";#N/A,#N/A,TRUE,"LOST-SHOPS"}</definedName>
    <definedName name="asdfhd" hidden="1">{#N/A,#N/A,TRUE,"SUMMARY";#N/A,#N/A,TRUE,"NOTES";#N/A,#N/A,TRUE,"EXT-SHOPS";#N/A,#N/A,TRUE,"N-AFF-SHOPS";#N/A,#N/A,TRUE,"LOST-SHOPS"}</definedName>
    <definedName name="asdfoasjhodf464" localSheetId="24" hidden="1">{"Outflow 1",#N/A,FALSE,"Outflows-Inflows";"Outflow 2",#N/A,FALSE,"Outflows-Inflows";"Inflow 1",#N/A,FALSE,"Outflows-Inflows";"Inflow 2",#N/A,FALSE,"Outflows-Inflows"}</definedName>
    <definedName name="asdfoasjhodf464" localSheetId="18" hidden="1">{"Outflow 1",#N/A,FALSE,"Outflows-Inflows";"Outflow 2",#N/A,FALSE,"Outflows-Inflows";"Inflow 1",#N/A,FALSE,"Outflows-Inflows";"Inflow 2",#N/A,FALSE,"Outflows-Inflows"}</definedName>
    <definedName name="asdfoasjhodf464" localSheetId="25" hidden="1">{"Outflow 1",#N/A,FALSE,"Outflows-Inflows";"Outflow 2",#N/A,FALSE,"Outflows-Inflows";"Inflow 1",#N/A,FALSE,"Outflows-Inflows";"Inflow 2",#N/A,FALSE,"Outflows-Inflows"}</definedName>
    <definedName name="asdfoasjhodf464" hidden="1">{"Outflow 1",#N/A,FALSE,"Outflows-Inflows";"Outflow 2",#N/A,FALSE,"Outflows-Inflows";"Inflow 1",#N/A,FALSE,"Outflows-Inflows";"Inflow 2",#N/A,FALSE,"Outflows-Inflows"}</definedName>
    <definedName name="asdgadsg" localSheetId="24">BlankMacro1</definedName>
    <definedName name="asdgadsg" localSheetId="18">BlankMacro1</definedName>
    <definedName name="asdgadsg" localSheetId="25">BlankMacro1</definedName>
    <definedName name="asdgadsg" localSheetId="16">BlankMacro1</definedName>
    <definedName name="asdgadsg">BlankMacro1</definedName>
    <definedName name="asdgfdsag" localSheetId="24">BlankMacro1</definedName>
    <definedName name="asdgfdsag" localSheetId="18">BlankMacro1</definedName>
    <definedName name="asdgfdsag" localSheetId="25">BlankMacro1</definedName>
    <definedName name="asdgfdsag" localSheetId="16">BlankMacro1</definedName>
    <definedName name="asdgfdsag">BlankMacro1</definedName>
    <definedName name="ass" localSheetId="24" hidden="1">{"print 1.6",#N/A,FALSE,"Sheet1";"print 2.6",#N/A,FALSE,"Sheet1";"print 3.6",#N/A,FALSE,"Sheet1";"print 4.6",#N/A,FALSE,"Sheet1";"print 5.6",#N/A,FALSE,"Sheet1";"print 6.6",#N/A,FALSE,"Sheet1"}</definedName>
    <definedName name="ass" localSheetId="18" hidden="1">{"print 1.6",#N/A,FALSE,"Sheet1";"print 2.6",#N/A,FALSE,"Sheet1";"print 3.6",#N/A,FALSE,"Sheet1";"print 4.6",#N/A,FALSE,"Sheet1";"print 5.6",#N/A,FALSE,"Sheet1";"print 6.6",#N/A,FALSE,"Sheet1"}</definedName>
    <definedName name="ass" localSheetId="25" hidden="1">{"print 1.6",#N/A,FALSE,"Sheet1";"print 2.6",#N/A,FALSE,"Sheet1";"print 3.6",#N/A,FALSE,"Sheet1";"print 4.6",#N/A,FALSE,"Sheet1";"print 5.6",#N/A,FALSE,"Sheet1";"print 6.6",#N/A,FALSE,"Sheet1"}</definedName>
    <definedName name="ass" hidden="1">{"print 1.6",#N/A,FALSE,"Sheet1";"print 2.6",#N/A,FALSE,"Sheet1";"print 3.6",#N/A,FALSE,"Sheet1";"print 4.6",#N/A,FALSE,"Sheet1";"print 5.6",#N/A,FALSE,"Sheet1";"print 6.6",#N/A,FALSE,"Sheet1"}</definedName>
    <definedName name="asss" localSheetId="24" hidden="1">{"rtn",#N/A,FALSE,"RTN";"tables",#N/A,FALSE,"RTN";"cf",#N/A,FALSE,"CF";"stats",#N/A,FALSE,"Stats";"prop",#N/A,FALSE,"Prop"}</definedName>
    <definedName name="asss" localSheetId="18" hidden="1">{"rtn",#N/A,FALSE,"RTN";"tables",#N/A,FALSE,"RTN";"cf",#N/A,FALSE,"CF";"stats",#N/A,FALSE,"Stats";"prop",#N/A,FALSE,"Prop"}</definedName>
    <definedName name="asss" localSheetId="25" hidden="1">{"rtn",#N/A,FALSE,"RTN";"tables",#N/A,FALSE,"RTN";"cf",#N/A,FALSE,"CF";"stats",#N/A,FALSE,"Stats";"prop",#N/A,FALSE,"Prop"}</definedName>
    <definedName name="asss" hidden="1">{"rtn",#N/A,FALSE,"RTN";"tables",#N/A,FALSE,"RTN";"cf",#N/A,FALSE,"CF";"stats",#N/A,FALSE,"Stats";"prop",#N/A,FALSE,"Prop"}</definedName>
    <definedName name="Assumptions" localSheetId="24" hidden="1">{"Current Draw",#N/A,FALSE,"Sheet1"}</definedName>
    <definedName name="Assumptions" localSheetId="18" hidden="1">{"Current Draw",#N/A,FALSE,"Sheet1"}</definedName>
    <definedName name="Assumptions" localSheetId="25" hidden="1">{"Current Draw",#N/A,FALSE,"Sheet1"}</definedName>
    <definedName name="Assumptions" hidden="1">{"Current Draw",#N/A,FALSE,"Sheet1"}</definedName>
    <definedName name="ASSY" localSheetId="24" hidden="1">{#N/A,#N/A,FALSE,"단축1";#N/A,#N/A,FALSE,"단축2";#N/A,#N/A,FALSE,"단축3";#N/A,#N/A,FALSE,"장축";#N/A,#N/A,FALSE,"4WD"}</definedName>
    <definedName name="ASSY" localSheetId="18" hidden="1">{#N/A,#N/A,FALSE,"단축1";#N/A,#N/A,FALSE,"단축2";#N/A,#N/A,FALSE,"단축3";#N/A,#N/A,FALSE,"장축";#N/A,#N/A,FALSE,"4WD"}</definedName>
    <definedName name="ASSY" localSheetId="25" hidden="1">{#N/A,#N/A,FALSE,"단축1";#N/A,#N/A,FALSE,"단축2";#N/A,#N/A,FALSE,"단축3";#N/A,#N/A,FALSE,"장축";#N/A,#N/A,FALSE,"4WD"}</definedName>
    <definedName name="ASSY" hidden="1">{#N/A,#N/A,FALSE,"단축1";#N/A,#N/A,FALSE,"단축2";#N/A,#N/A,FALSE,"단축3";#N/A,#N/A,FALSE,"장축";#N/A,#N/A,FALSE,"4WD"}</definedName>
    <definedName name="Atlas" localSheetId="24" hidden="1">{#N/A,#N/A,FALSE,"１";#N/A,#N/A,FALSE,"２";#N/A,#N/A,FALSE,"３";#N/A,#N/A,FALSE,"４"}</definedName>
    <definedName name="Atlas" localSheetId="18" hidden="1">{#N/A,#N/A,FALSE,"１";#N/A,#N/A,FALSE,"２";#N/A,#N/A,FALSE,"３";#N/A,#N/A,FALSE,"４"}</definedName>
    <definedName name="Atlas" localSheetId="25" hidden="1">{#N/A,#N/A,FALSE,"１";#N/A,#N/A,FALSE,"２";#N/A,#N/A,FALSE,"３";#N/A,#N/A,FALSE,"４"}</definedName>
    <definedName name="Atlas" hidden="1">{#N/A,#N/A,FALSE,"１";#N/A,#N/A,FALSE,"２";#N/A,#N/A,FALSE,"３";#N/A,#N/A,FALSE,"４"}</definedName>
    <definedName name="attach" localSheetId="24" hidden="1">{"AnnualRentRoll",#N/A,FALSE,"RentRoll"}</definedName>
    <definedName name="attach" localSheetId="18" hidden="1">{"AnnualRentRoll",#N/A,FALSE,"RentRoll"}</definedName>
    <definedName name="attach" localSheetId="25" hidden="1">{"AnnualRentRoll",#N/A,FALSE,"RentRoll"}</definedName>
    <definedName name="attach" hidden="1">{"AnnualRentRoll",#N/A,FALSE,"RentRoll"}</definedName>
    <definedName name="b_1" localSheetId="24" hidden="1">{"MonthlyRentRoll",#N/A,FALSE,"RentRoll"}</definedName>
    <definedName name="b_1" localSheetId="18" hidden="1">{"MonthlyRentRoll",#N/A,FALSE,"RentRoll"}</definedName>
    <definedName name="b_1" localSheetId="25" hidden="1">{"MonthlyRentRoll",#N/A,FALSE,"RentRoll"}</definedName>
    <definedName name="b_1" hidden="1">{"MonthlyRentRoll",#N/A,FALSE,"RentRoll"}</definedName>
    <definedName name="b\" localSheetId="24" hidden="1">{#N/A,#N/A,FALSE,"Summary";#N/A,#N/A,FALSE,"GM Sum";#N/A,#N/A,FALSE,"Ext Shops";#N/A,#N/A,FALSE,"Lost Shops";#N/A,#N/A,FALSE,"Reloc Shops";#N/A,#N/A,FALSE,"Not Affected";#N/A,#N/A,FALSE,"MDbase"}</definedName>
    <definedName name="b\" localSheetId="18" hidden="1">{#N/A,#N/A,FALSE,"Summary";#N/A,#N/A,FALSE,"GM Sum";#N/A,#N/A,FALSE,"Ext Shops";#N/A,#N/A,FALSE,"Lost Shops";#N/A,#N/A,FALSE,"Reloc Shops";#N/A,#N/A,FALSE,"Not Affected";#N/A,#N/A,FALSE,"MDbase"}</definedName>
    <definedName name="b\" localSheetId="25" hidden="1">{#N/A,#N/A,FALSE,"Summary";#N/A,#N/A,FALSE,"GM Sum";#N/A,#N/A,FALSE,"Ext Shops";#N/A,#N/A,FALSE,"Lost Shops";#N/A,#N/A,FALSE,"Reloc Shops";#N/A,#N/A,FALSE,"Not Affected";#N/A,#N/A,FALSE,"MDbase"}</definedName>
    <definedName name="b\" hidden="1">{#N/A,#N/A,FALSE,"Summary";#N/A,#N/A,FALSE,"GM Sum";#N/A,#N/A,FALSE,"Ext Shops";#N/A,#N/A,FALSE,"Lost Shops";#N/A,#N/A,FALSE,"Reloc Shops";#N/A,#N/A,FALSE,"Not Affected";#N/A,#N/A,FALSE,"MDbase"}</definedName>
    <definedName name="babo"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abo" localSheetId="18"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abo" localSheetId="25"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abo"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an" localSheetId="24" hidden="1">{#N/A,#N/A,FALSE,"5YRASSPl - consol'd";#N/A,#N/A,FALSE,"5YRASSPl - hotel";#N/A,#N/A,FALSE,"5YRASSPl - excl htl";#N/A,#N/A,FALSE,"VarReport";#N/A,#N/A,FALSE,"Sensitivity";#N/A,#N/A,FALSE,"House View ";#N/A,#N/A,FALSE,"KPI"}</definedName>
    <definedName name="ban" localSheetId="18" hidden="1">{#N/A,#N/A,FALSE,"5YRASSPl - consol'd";#N/A,#N/A,FALSE,"5YRASSPl - hotel";#N/A,#N/A,FALSE,"5YRASSPl - excl htl";#N/A,#N/A,FALSE,"VarReport";#N/A,#N/A,FALSE,"Sensitivity";#N/A,#N/A,FALSE,"House View ";#N/A,#N/A,FALSE,"KPI"}</definedName>
    <definedName name="ban" localSheetId="25" hidden="1">{#N/A,#N/A,FALSE,"5YRASSPl - consol'd";#N/A,#N/A,FALSE,"5YRASSPl - hotel";#N/A,#N/A,FALSE,"5YRASSPl - excl htl";#N/A,#N/A,FALSE,"VarReport";#N/A,#N/A,FALSE,"Sensitivity";#N/A,#N/A,FALSE,"House View ";#N/A,#N/A,FALSE,"KPI"}</definedName>
    <definedName name="ban" hidden="1">{#N/A,#N/A,FALSE,"5YRASSPl - consol'd";#N/A,#N/A,FALSE,"5YRASSPl - hotel";#N/A,#N/A,FALSE,"5YRASSPl - excl htl";#N/A,#N/A,FALSE,"VarReport";#N/A,#N/A,FALSE,"Sensitivity";#N/A,#N/A,FALSE,"House View ";#N/A,#N/A,FALSE,"KPI"}</definedName>
    <definedName name="bbbsf" localSheetId="24" hidden="1">{#N/A,#N/A,FALSE,"Outgoings";#N/A,#N/A,FALSE,"Expenses";#N/A,#N/A,FALSE,"Income(Non Rent)";#N/A,#N/A,FALSE,"Rent-Page2";#N/A,#N/A,FALSE,"Rent-Page1";#N/A,#N/A,FALSE,"Overview-Page2";#N/A,#N/A,FALSE,"Overview-Page1";#N/A,#N/A,FALSE,"Index"}</definedName>
    <definedName name="bbbsf" localSheetId="18" hidden="1">{#N/A,#N/A,FALSE,"Outgoings";#N/A,#N/A,FALSE,"Expenses";#N/A,#N/A,FALSE,"Income(Non Rent)";#N/A,#N/A,FALSE,"Rent-Page2";#N/A,#N/A,FALSE,"Rent-Page1";#N/A,#N/A,FALSE,"Overview-Page2";#N/A,#N/A,FALSE,"Overview-Page1";#N/A,#N/A,FALSE,"Index"}</definedName>
    <definedName name="bbbsf" localSheetId="25" hidden="1">{#N/A,#N/A,FALSE,"Outgoings";#N/A,#N/A,FALSE,"Expenses";#N/A,#N/A,FALSE,"Income(Non Rent)";#N/A,#N/A,FALSE,"Rent-Page2";#N/A,#N/A,FALSE,"Rent-Page1";#N/A,#N/A,FALSE,"Overview-Page2";#N/A,#N/A,FALSE,"Overview-Page1";#N/A,#N/A,FALSE,"Index"}</definedName>
    <definedName name="bbbsf" hidden="1">{#N/A,#N/A,FALSE,"Outgoings";#N/A,#N/A,FALSE,"Expenses";#N/A,#N/A,FALSE,"Income(Non Rent)";#N/A,#N/A,FALSE,"Rent-Page2";#N/A,#N/A,FALSE,"Rent-Page1";#N/A,#N/A,FALSE,"Overview-Page2";#N/A,#N/A,FALSE,"Overview-Page1";#N/A,#N/A,FALSE,"Index"}</definedName>
    <definedName name="bbby1" localSheetId="24"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bby1" localSheetId="18"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bby1" localSheetId="25"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bby1"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C" localSheetId="24" hidden="1">{#N/A,#N/A,FALSE,"이태원철근"}</definedName>
    <definedName name="BC" localSheetId="18" hidden="1">{#N/A,#N/A,FALSE,"이태원철근"}</definedName>
    <definedName name="BC" localSheetId="25" hidden="1">{#N/A,#N/A,FALSE,"이태원철근"}</definedName>
    <definedName name="BC" hidden="1">{#N/A,#N/A,FALSE,"이태원철근"}</definedName>
    <definedName name="bcglappli" localSheetId="24" hidden="1">{#N/A,#N/A,FALSE,"Summary"}</definedName>
    <definedName name="bcglappli" localSheetId="18" hidden="1">{#N/A,#N/A,FALSE,"Summary"}</definedName>
    <definedName name="bcglappli" localSheetId="25" hidden="1">{#N/A,#N/A,FALSE,"Summary"}</definedName>
    <definedName name="bcglappli" hidden="1">{#N/A,#N/A,FALSE,"Summary"}</definedName>
    <definedName name="Beachwood" localSheetId="24" hidden="1">{"p",#N/A,FALSE,"Sheet1";"p 2",#N/A,FALSE,"Sheet1";"p 3",#N/A,FALSE,"Sheet1"}</definedName>
    <definedName name="Beachwood" localSheetId="18" hidden="1">{"p",#N/A,FALSE,"Sheet1";"p 2",#N/A,FALSE,"Sheet1";"p 3",#N/A,FALSE,"Sheet1"}</definedName>
    <definedName name="Beachwood" localSheetId="25" hidden="1">{"p",#N/A,FALSE,"Sheet1";"p 2",#N/A,FALSE,"Sheet1";"p 3",#N/A,FALSE,"Sheet1"}</definedName>
    <definedName name="Beachwood" hidden="1">{"p",#N/A,FALSE,"Sheet1";"p 2",#N/A,FALSE,"Sheet1";"p 3",#N/A,FALSE,"Sheet1"}</definedName>
    <definedName name="Beachwood_1" localSheetId="24" hidden="1">{"p",#N/A,FALSE,"Sheet1";"p 2",#N/A,FALSE,"Sheet1";"p 3",#N/A,FALSE,"Sheet1"}</definedName>
    <definedName name="Beachwood_1" localSheetId="18" hidden="1">{"p",#N/A,FALSE,"Sheet1";"p 2",#N/A,FALSE,"Sheet1";"p 3",#N/A,FALSE,"Sheet1"}</definedName>
    <definedName name="Beachwood_1" localSheetId="25" hidden="1">{"p",#N/A,FALSE,"Sheet1";"p 2",#N/A,FALSE,"Sheet1";"p 3",#N/A,FALSE,"Sheet1"}</definedName>
    <definedName name="Beachwood_1" hidden="1">{"p",#N/A,FALSE,"Sheet1";"p 2",#N/A,FALSE,"Sheet1";"p 3",#N/A,FALSE,"Sheet1"}</definedName>
    <definedName name="BEx1QNMNH47583RSWQMFG3NAKRZJ" hidden="1">#N/A</definedName>
    <definedName name="BEx1S84FBRRFRKJ2DGEI8Y5BJBOC" hidden="1">#N/A</definedName>
    <definedName name="BEx3IYQRJM2OGSVVOVIHYL03TX5X" hidden="1">#N/A</definedName>
    <definedName name="BEx59N9MEPZ9V4A98B1HFU63J649" hidden="1">#N/A</definedName>
    <definedName name="BEx5ONRU9PBI8VE7FYJ75X215B0R" hidden="1">#N/A</definedName>
    <definedName name="BEx75RCE307REZ4PDBWKS69EMJXY" hidden="1">#N/A</definedName>
    <definedName name="BEx7GTY02I06DT66OOKIPU0IG8GF" hidden="1">#N/A</definedName>
    <definedName name="BEx7L21IFCWNV1NI5006XCK1N9I7" hidden="1">#N/A</definedName>
    <definedName name="BEx9957FLC6ARLLU8FKT7EY5ZQYC" hidden="1">#N/A</definedName>
    <definedName name="BExBDRFHX90K41FLJVPPA5H5SB2Z" hidden="1">#N/A</definedName>
    <definedName name="BExDBAGE7U0AVJ3DD4IAY5PAYYFW" hidden="1">#N/A</definedName>
    <definedName name="BExEZTSYTX8CSAZ9WS5EPFBC5XHU" hidden="1">#N/A</definedName>
    <definedName name="BExH2DZZDD7O8H1TVU770GYE0L2F" hidden="1">#N/A</definedName>
    <definedName name="BExIJ3C4ET4FGO9NZ082BC350M3D" hidden="1">#N/A</definedName>
    <definedName name="BExIPKSRITXO5JAS5N9XRZI612GC" hidden="1">#N/A</definedName>
    <definedName name="BExIW0RMUJH7MPJS93C8CFI84X2S" hidden="1">#N/A</definedName>
    <definedName name="BExIXY5CMIV3SAIRYYJBUVHR7ZTI" hidden="1">#N/A</definedName>
    <definedName name="BExMRHI51TNHGRZS3EAZJMAIE99P" hidden="1">#N/A</definedName>
    <definedName name="BExSE4AQFCO5KNUDP01BBFYU0XMQ" hidden="1">#N/A</definedName>
    <definedName name="BExW0BRQQL1XMFRRSTVRGJIHQ46Y" hidden="1">#N/A</definedName>
    <definedName name="BExXPGZU5YFOGO4SAO4XD5D60H5I" hidden="1">#N/A</definedName>
    <definedName name="BExZOB86S39CA8LOCPTG4DGSTYJI" hidden="1">#N/A</definedName>
    <definedName name="BExZXIE8X233NOJ36L2XOUGKOAQ6" hidden="1">#N/A</definedName>
    <definedName name="BG_Del" hidden="1">15</definedName>
    <definedName name="BG_Ins" hidden="1">4</definedName>
    <definedName name="BG_Mod" hidden="1">6</definedName>
    <definedName name="BI" localSheetId="24" hidden="1">{#N/A,#N/A,FALSE,"이태원철근"}</definedName>
    <definedName name="BI" localSheetId="18" hidden="1">{#N/A,#N/A,FALSE,"이태원철근"}</definedName>
    <definedName name="BI" localSheetId="25" hidden="1">{#N/A,#N/A,FALSE,"이태원철근"}</definedName>
    <definedName name="BI" hidden="1">{#N/A,#N/A,FALSE,"이태원철근"}</definedName>
    <definedName name="bj"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 localSheetId="18"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 localSheetId="25"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 localSheetId="18"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 localSheetId="25"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j"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j" localSheetId="18"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j" localSheetId="25"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j"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n" localSheetId="24" hidden="1">{#N/A,#N/A,FALSE,"Aging Summary";#N/A,#N/A,FALSE,"Ratio Analysis";#N/A,#N/A,FALSE,"Test 120 Day Accts";#N/A,#N/A,FALSE,"Tickmarks"}</definedName>
    <definedName name="bn" localSheetId="18" hidden="1">{#N/A,#N/A,FALSE,"Aging Summary";#N/A,#N/A,FALSE,"Ratio Analysis";#N/A,#N/A,FALSE,"Test 120 Day Accts";#N/A,#N/A,FALSE,"Tickmarks"}</definedName>
    <definedName name="bn" localSheetId="25" hidden="1">{#N/A,#N/A,FALSE,"Aging Summary";#N/A,#N/A,FALSE,"Ratio Analysis";#N/A,#N/A,FALSE,"Test 120 Day Accts";#N/A,#N/A,FALSE,"Tickmarks"}</definedName>
    <definedName name="bn" hidden="1">{#N/A,#N/A,FALSE,"Aging Summary";#N/A,#N/A,FALSE,"Ratio Analysis";#N/A,#N/A,FALSE,"Test 120 Day Accts";#N/A,#N/A,FALSE,"Tickmarks"}</definedName>
    <definedName name="bnvbcn" localSheetId="24" hidden="1">{#N/A,#N/A,FALSE,"Cover";#N/A,#N/A,FALSE,"Target Vacancies";#N/A,#N/A,FALSE,"Report1";#N/A,#N/A,FALSE,"Report1RGM";#N/A,#N/A,FALSE,"Report6";#N/A,#N/A,FALSE,"Report9";#N/A,#N/A,FALSE,"Report10";#N/A,#N/A,FALSE,"Report11";#N/A,#N/A,FALSE,"Report13";#N/A,#N/A,FALSE,"Report13RGM"}</definedName>
    <definedName name="bnvbcn" localSheetId="18" hidden="1">{#N/A,#N/A,FALSE,"Cover";#N/A,#N/A,FALSE,"Target Vacancies";#N/A,#N/A,FALSE,"Report1";#N/A,#N/A,FALSE,"Report1RGM";#N/A,#N/A,FALSE,"Report6";#N/A,#N/A,FALSE,"Report9";#N/A,#N/A,FALSE,"Report10";#N/A,#N/A,FALSE,"Report11";#N/A,#N/A,FALSE,"Report13";#N/A,#N/A,FALSE,"Report13RGM"}</definedName>
    <definedName name="bnvbcn" localSheetId="25" hidden="1">{#N/A,#N/A,FALSE,"Cover";#N/A,#N/A,FALSE,"Target Vacancies";#N/A,#N/A,FALSE,"Report1";#N/A,#N/A,FALSE,"Report1RGM";#N/A,#N/A,FALSE,"Report6";#N/A,#N/A,FALSE,"Report9";#N/A,#N/A,FALSE,"Report10";#N/A,#N/A,FALSE,"Report11";#N/A,#N/A,FALSE,"Report13";#N/A,#N/A,FALSE,"Report13RGM"}</definedName>
    <definedName name="bnvbcn" hidden="1">{#N/A,#N/A,FALSE,"Cover";#N/A,#N/A,FALSE,"Target Vacancies";#N/A,#N/A,FALSE,"Report1";#N/A,#N/A,FALSE,"Report1RGM";#N/A,#N/A,FALSE,"Report6";#N/A,#N/A,FALSE,"Report9";#N/A,#N/A,FALSE,"Report10";#N/A,#N/A,FALSE,"Report11";#N/A,#N/A,FALSE,"Report13";#N/A,#N/A,FALSE,"Report13RGM"}</definedName>
    <definedName name="bsbco" localSheetId="24"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co" localSheetId="18"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co" localSheetId="25"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co"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yco" localSheetId="24"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yco" localSheetId="18"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yco" localSheetId="25"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yco"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T" localSheetId="24" hidden="1">{#N/A,#N/A,FALSE,"손익표지";#N/A,#N/A,FALSE,"손익계산";#N/A,#N/A,FALSE,"일반관리비";#N/A,#N/A,FALSE,"영업외수익";#N/A,#N/A,FALSE,"영업외비용";#N/A,#N/A,FALSE,"매출액";#N/A,#N/A,FALSE,"요약손익";#N/A,#N/A,FALSE,"요약대차";#N/A,#N/A,FALSE,"매출채권현황";#N/A,#N/A,FALSE,"매출채권명세"}</definedName>
    <definedName name="BT" localSheetId="18" hidden="1">{#N/A,#N/A,FALSE,"손익표지";#N/A,#N/A,FALSE,"손익계산";#N/A,#N/A,FALSE,"일반관리비";#N/A,#N/A,FALSE,"영업외수익";#N/A,#N/A,FALSE,"영업외비용";#N/A,#N/A,FALSE,"매출액";#N/A,#N/A,FALSE,"요약손익";#N/A,#N/A,FALSE,"요약대차";#N/A,#N/A,FALSE,"매출채권현황";#N/A,#N/A,FALSE,"매출채권명세"}</definedName>
    <definedName name="BT" localSheetId="25" hidden="1">{#N/A,#N/A,FALSE,"손익표지";#N/A,#N/A,FALSE,"손익계산";#N/A,#N/A,FALSE,"일반관리비";#N/A,#N/A,FALSE,"영업외수익";#N/A,#N/A,FALSE,"영업외비용";#N/A,#N/A,FALSE,"매출액";#N/A,#N/A,FALSE,"요약손익";#N/A,#N/A,FALSE,"요약대차";#N/A,#N/A,FALSE,"매출채권현황";#N/A,#N/A,FALSE,"매출채권명세"}</definedName>
    <definedName name="BT" hidden="1">{#N/A,#N/A,FALSE,"손익표지";#N/A,#N/A,FALSE,"손익계산";#N/A,#N/A,FALSE,"일반관리비";#N/A,#N/A,FALSE,"영업외수익";#N/A,#N/A,FALSE,"영업외비용";#N/A,#N/A,FALSE,"매출액";#N/A,#N/A,FALSE,"요약손익";#N/A,#N/A,FALSE,"요약대차";#N/A,#N/A,FALSE,"매출채권현황";#N/A,#N/A,FALSE,"매출채권명세"}</definedName>
    <definedName name="BU별" localSheetId="24" hidden="1">{#N/A,#N/A,FALSE,"동부"}</definedName>
    <definedName name="BU별" localSheetId="18" hidden="1">{#N/A,#N/A,FALSE,"동부"}</definedName>
    <definedName name="BU별" localSheetId="25" hidden="1">{#N/A,#N/A,FALSE,"동부"}</definedName>
    <definedName name="BU별" hidden="1">{#N/A,#N/A,FALSE,"동부"}</definedName>
    <definedName name="bv" localSheetId="24" hidden="1">{#N/A,#N/A,FALSE,"1.CRITERIA";#N/A,#N/A,FALSE,"2.IS";#N/A,#N/A,FALSE,"3.BS";#N/A,#N/A,FALSE,"4.PER PL";#N/A,#N/A,FALSE,"5.INVESTMENT";#N/A,#N/A,FALSE,"6.공문";#N/A,#N/A,FALSE,"7.netinvest"}</definedName>
    <definedName name="bv" localSheetId="18" hidden="1">{#N/A,#N/A,FALSE,"1.CRITERIA";#N/A,#N/A,FALSE,"2.IS";#N/A,#N/A,FALSE,"3.BS";#N/A,#N/A,FALSE,"4.PER PL";#N/A,#N/A,FALSE,"5.INVESTMENT";#N/A,#N/A,FALSE,"6.공문";#N/A,#N/A,FALSE,"7.netinvest"}</definedName>
    <definedName name="bv" localSheetId="25" hidden="1">{#N/A,#N/A,FALSE,"1.CRITERIA";#N/A,#N/A,FALSE,"2.IS";#N/A,#N/A,FALSE,"3.BS";#N/A,#N/A,FALSE,"4.PER PL";#N/A,#N/A,FALSE,"5.INVESTMENT";#N/A,#N/A,FALSE,"6.공문";#N/A,#N/A,FALSE,"7.netinvest"}</definedName>
    <definedName name="bv" hidden="1">{#N/A,#N/A,FALSE,"1.CRITERIA";#N/A,#N/A,FALSE,"2.IS";#N/A,#N/A,FALSE,"3.BS";#N/A,#N/A,FALSE,"4.PER PL";#N/A,#N/A,FALSE,"5.INVESTMENT";#N/A,#N/A,FALSE,"6.공문";#N/A,#N/A,FALSE,"7.netinvest"}</definedName>
    <definedName name="ca" localSheetId="24" hidden="1">{"ELECT JOURNAL 1",#N/A,FALSE,"ELECTRICITY";"ELECT JOURNAL 2",#N/A,FALSE,"ELECTRICITY";"ELECT SCHEDULE",#N/A,FALSE,"ELECTRICITY";"WORKSHEET",#N/A,FALSE,"ELECTRICITY"}</definedName>
    <definedName name="ca" localSheetId="18" hidden="1">{"ELECT JOURNAL 1",#N/A,FALSE,"ELECTRICITY";"ELECT JOURNAL 2",#N/A,FALSE,"ELECTRICITY";"ELECT SCHEDULE",#N/A,FALSE,"ELECTRICITY";"WORKSHEET",#N/A,FALSE,"ELECTRICITY"}</definedName>
    <definedName name="ca" localSheetId="25" hidden="1">{"ELECT JOURNAL 1",#N/A,FALSE,"ELECTRICITY";"ELECT JOURNAL 2",#N/A,FALSE,"ELECTRICITY";"ELECT SCHEDULE",#N/A,FALSE,"ELECTRICITY";"WORKSHEET",#N/A,FALSE,"ELECTRICITY"}</definedName>
    <definedName name="ca" hidden="1">{"ELECT JOURNAL 1",#N/A,FALSE,"ELECTRICITY";"ELECT JOURNAL 2",#N/A,FALSE,"ELECTRICITY";"ELECT SCHEDULE",#N/A,FALSE,"ELECTRICITY";"WORKSHEET",#N/A,FALSE,"ELECTRICITY"}</definedName>
    <definedName name="CB_Block_00000000000000000000000000000000" hidden="1">"'7.0.0.0"</definedName>
    <definedName name="CB_Block_00000000000000000000000000000001" hidden="1">"'634159338979612539"</definedName>
    <definedName name="CB_Block_00000000000000000000000000000003" hidden="1">"'11.1.275.0"</definedName>
    <definedName name="CB_BlockExt_00000000000000000000000000000003" hidden="1">"'11.1.1.1.00"</definedName>
    <definedName name="cbncccvvn" localSheetId="24" hidden="1">{#N/A,#N/A,FALSE,"Overview-Page2";#N/A,#N/A,FALSE,"Overview-Page1"}</definedName>
    <definedName name="cbncccvvn" localSheetId="18" hidden="1">{#N/A,#N/A,FALSE,"Overview-Page2";#N/A,#N/A,FALSE,"Overview-Page1"}</definedName>
    <definedName name="cbncccvvn" localSheetId="25" hidden="1">{#N/A,#N/A,FALSE,"Overview-Page2";#N/A,#N/A,FALSE,"Overview-Page1"}</definedName>
    <definedName name="cbncccvvn" hidden="1">{#N/A,#N/A,FALSE,"Overview-Page2";#N/A,#N/A,FALSE,"Overview-Page1"}</definedName>
    <definedName name="CBWorkbookPriority" hidden="1">-2052013270</definedName>
    <definedName name="CBx_Sheet_Guid" hidden="1">"'99299eba-6e3e-4dbb-b497-eb0bf2274083"</definedName>
    <definedName name="CBx_StorageType" hidden="1">2</definedName>
    <definedName name="ccc" localSheetId="24" hidden="1">{#N/A,#N/A,FALSE,"손익표지";#N/A,#N/A,FALSE,"손익계산";#N/A,#N/A,FALSE,"일반관리비";#N/A,#N/A,FALSE,"영업외수익";#N/A,#N/A,FALSE,"영업외비용";#N/A,#N/A,FALSE,"매출액";#N/A,#N/A,FALSE,"요약손익";#N/A,#N/A,FALSE,"요약대차";#N/A,#N/A,FALSE,"매출채권현황";#N/A,#N/A,FALSE,"매출채권명세"}</definedName>
    <definedName name="ccc" localSheetId="18" hidden="1">{#N/A,#N/A,FALSE,"손익표지";#N/A,#N/A,FALSE,"손익계산";#N/A,#N/A,FALSE,"일반관리비";#N/A,#N/A,FALSE,"영업외수익";#N/A,#N/A,FALSE,"영업외비용";#N/A,#N/A,FALSE,"매출액";#N/A,#N/A,FALSE,"요약손익";#N/A,#N/A,FALSE,"요약대차";#N/A,#N/A,FALSE,"매출채권현황";#N/A,#N/A,FALSE,"매출채권명세"}</definedName>
    <definedName name="ccc" localSheetId="25" hidden="1">{#N/A,#N/A,FALSE,"손익표지";#N/A,#N/A,FALSE,"손익계산";#N/A,#N/A,FALSE,"일반관리비";#N/A,#N/A,FALSE,"영업외수익";#N/A,#N/A,FALSE,"영업외비용";#N/A,#N/A,FALSE,"매출액";#N/A,#N/A,FALSE,"요약손익";#N/A,#N/A,FALSE,"요약대차";#N/A,#N/A,FALSE,"매출채권현황";#N/A,#N/A,FALSE,"매출채권명세"}</definedName>
    <definedName name="ccc" hidden="1">{#N/A,#N/A,FALSE,"손익표지";#N/A,#N/A,FALSE,"손익계산";#N/A,#N/A,FALSE,"일반관리비";#N/A,#N/A,FALSE,"영업외수익";#N/A,#N/A,FALSE,"영업외비용";#N/A,#N/A,FALSE,"매출액";#N/A,#N/A,FALSE,"요약손익";#N/A,#N/A,FALSE,"요약대차";#N/A,#N/A,FALSE,"매출채권현황";#N/A,#N/A,FALSE,"매출채권명세"}</definedName>
    <definedName name="cgmh" localSheetId="24" hidden="1">{"'용역비'!$A$4:$C$8"}</definedName>
    <definedName name="cgmh" localSheetId="18" hidden="1">{"'용역비'!$A$4:$C$8"}</definedName>
    <definedName name="cgmh" localSheetId="25" hidden="1">{"'용역비'!$A$4:$C$8"}</definedName>
    <definedName name="cgmh" hidden="1">{"'용역비'!$A$4:$C$8"}</definedName>
    <definedName name="charlee" localSheetId="24" hidden="1">{#N/A,#N/A,FALSE,"1Executive Summary";#N/A,#N/A,FALSE,"2Assumptions (Input)";#N/A,#N/A,FALSE,"3Cash Flow Analysis";#N/A,#N/A,FALSE,"4Year One Financial Summary";#N/A,#N/A,FALSE,"5Value Matrix";#N/A,#N/A,FALSE,"Greenline Form Page 1";#N/A,#N/A,FALSE,"Greenline Form Page 2"}</definedName>
    <definedName name="charlee" localSheetId="18" hidden="1">{#N/A,#N/A,FALSE,"1Executive Summary";#N/A,#N/A,FALSE,"2Assumptions (Input)";#N/A,#N/A,FALSE,"3Cash Flow Analysis";#N/A,#N/A,FALSE,"4Year One Financial Summary";#N/A,#N/A,FALSE,"5Value Matrix";#N/A,#N/A,FALSE,"Greenline Form Page 1";#N/A,#N/A,FALSE,"Greenline Form Page 2"}</definedName>
    <definedName name="charlee" localSheetId="25" hidden="1">{#N/A,#N/A,FALSE,"1Executive Summary";#N/A,#N/A,FALSE,"2Assumptions (Input)";#N/A,#N/A,FALSE,"3Cash Flow Analysis";#N/A,#N/A,FALSE,"4Year One Financial Summary";#N/A,#N/A,FALSE,"5Value Matrix";#N/A,#N/A,FALSE,"Greenline Form Page 1";#N/A,#N/A,FALSE,"Greenline Form Page 2"}</definedName>
    <definedName name="charlee" hidden="1">{#N/A,#N/A,FALSE,"1Executive Summary";#N/A,#N/A,FALSE,"2Assumptions (Input)";#N/A,#N/A,FALSE,"3Cash Flow Analysis";#N/A,#N/A,FALSE,"4Year One Financial Summary";#N/A,#N/A,FALSE,"5Value Matrix";#N/A,#N/A,FALSE,"Greenline Form Page 1";#N/A,#N/A,FALSE,"Greenline Form Page 2"}</definedName>
    <definedName name="CHD" localSheetId="24" hidden="1">{#N/A,#N/A,FALSE,"손익표지";#N/A,#N/A,FALSE,"손익계산";#N/A,#N/A,FALSE,"일반관리비";#N/A,#N/A,FALSE,"영업외수익";#N/A,#N/A,FALSE,"영업외비용";#N/A,#N/A,FALSE,"매출액";#N/A,#N/A,FALSE,"요약손익";#N/A,#N/A,FALSE,"요약대차";#N/A,#N/A,FALSE,"매출채권현황";#N/A,#N/A,FALSE,"매출채권명세"}</definedName>
    <definedName name="CHD" localSheetId="18" hidden="1">{#N/A,#N/A,FALSE,"손익표지";#N/A,#N/A,FALSE,"손익계산";#N/A,#N/A,FALSE,"일반관리비";#N/A,#N/A,FALSE,"영업외수익";#N/A,#N/A,FALSE,"영업외비용";#N/A,#N/A,FALSE,"매출액";#N/A,#N/A,FALSE,"요약손익";#N/A,#N/A,FALSE,"요약대차";#N/A,#N/A,FALSE,"매출채권현황";#N/A,#N/A,FALSE,"매출채권명세"}</definedName>
    <definedName name="CHD" localSheetId="25" hidden="1">{#N/A,#N/A,FALSE,"손익표지";#N/A,#N/A,FALSE,"손익계산";#N/A,#N/A,FALSE,"일반관리비";#N/A,#N/A,FALSE,"영업외수익";#N/A,#N/A,FALSE,"영업외비용";#N/A,#N/A,FALSE,"매출액";#N/A,#N/A,FALSE,"요약손익";#N/A,#N/A,FALSE,"요약대차";#N/A,#N/A,FALSE,"매출채권현황";#N/A,#N/A,FALSE,"매출채권명세"}</definedName>
    <definedName name="CHD" hidden="1">{#N/A,#N/A,FALSE,"손익표지";#N/A,#N/A,FALSE,"손익계산";#N/A,#N/A,FALSE,"일반관리비";#N/A,#N/A,FALSE,"영업외수익";#N/A,#N/A,FALSE,"영업외비용";#N/A,#N/A,FALSE,"매출액";#N/A,#N/A,FALSE,"요약손익";#N/A,#N/A,FALSE,"요약대차";#N/A,#N/A,FALSE,"매출채권현황";#N/A,#N/A,FALSE,"매출채권명세"}</definedName>
    <definedName name="chuck" localSheetId="24" hidden="1">{#N/A,#N/A,FALSE,"1Executive Summary";#N/A,#N/A,FALSE,"2Assumptions (Input)";#N/A,#N/A,FALSE,"3Cash Flow Analysis";#N/A,#N/A,FALSE,"4Year One Financial Summary";#N/A,#N/A,FALSE,"5Value Matrix";#N/A,#N/A,FALSE,"Greenline Form Page 1";#N/A,#N/A,FALSE,"Greenline Form Page 2"}</definedName>
    <definedName name="chuck" localSheetId="18" hidden="1">{#N/A,#N/A,FALSE,"1Executive Summary";#N/A,#N/A,FALSE,"2Assumptions (Input)";#N/A,#N/A,FALSE,"3Cash Flow Analysis";#N/A,#N/A,FALSE,"4Year One Financial Summary";#N/A,#N/A,FALSE,"5Value Matrix";#N/A,#N/A,FALSE,"Greenline Form Page 1";#N/A,#N/A,FALSE,"Greenline Form Page 2"}</definedName>
    <definedName name="chuck" localSheetId="25" hidden="1">{#N/A,#N/A,FALSE,"1Executive Summary";#N/A,#N/A,FALSE,"2Assumptions (Input)";#N/A,#N/A,FALSE,"3Cash Flow Analysis";#N/A,#N/A,FALSE,"4Year One Financial Summary";#N/A,#N/A,FALSE,"5Value Matrix";#N/A,#N/A,FALSE,"Greenline Form Page 1";#N/A,#N/A,FALSE,"Greenline Form Page 2"}</definedName>
    <definedName name="chuck" hidden="1">{#N/A,#N/A,FALSE,"1Executive Summary";#N/A,#N/A,FALSE,"2Assumptions (Input)";#N/A,#N/A,FALSE,"3Cash Flow Analysis";#N/A,#N/A,FALSE,"4Year One Financial Summary";#N/A,#N/A,FALSE,"5Value Matrix";#N/A,#N/A,FALSE,"Greenline Form Page 1";#N/A,#N/A,FALSE,"Greenline Form Page 2"}</definedName>
    <definedName name="ci" localSheetId="24" hidden="1">{#N/A,#N/A,FALSE,"단축1";#N/A,#N/A,FALSE,"단축2";#N/A,#N/A,FALSE,"단축3";#N/A,#N/A,FALSE,"장축";#N/A,#N/A,FALSE,"4WD"}</definedName>
    <definedName name="ci" localSheetId="18" hidden="1">{#N/A,#N/A,FALSE,"단축1";#N/A,#N/A,FALSE,"단축2";#N/A,#N/A,FALSE,"단축3";#N/A,#N/A,FALSE,"장축";#N/A,#N/A,FALSE,"4WD"}</definedName>
    <definedName name="ci" localSheetId="25" hidden="1">{#N/A,#N/A,FALSE,"단축1";#N/A,#N/A,FALSE,"단축2";#N/A,#N/A,FALSE,"단축3";#N/A,#N/A,FALSE,"장축";#N/A,#N/A,FALSE,"4WD"}</definedName>
    <definedName name="ci" hidden="1">{#N/A,#N/A,FALSE,"단축1";#N/A,#N/A,FALSE,"단축2";#N/A,#N/A,FALSE,"단축3";#N/A,#N/A,FALSE,"장축";#N/A,#N/A,FALSE,"4WD"}</definedName>
    <definedName name="CIQWBGuid" hidden="1">"57d5b233-0d9f-4997-8a5e-8e09182cef38"</definedName>
    <definedName name="ckdl" localSheetId="24" hidden="1">{#N/A,#N/A,FALSE,"손익표지";#N/A,#N/A,FALSE,"손익계산";#N/A,#N/A,FALSE,"일반관리비";#N/A,#N/A,FALSE,"영업외수익";#N/A,#N/A,FALSE,"영업외비용";#N/A,#N/A,FALSE,"매출액";#N/A,#N/A,FALSE,"요약손익";#N/A,#N/A,FALSE,"요약대차";#N/A,#N/A,FALSE,"매출채권현황";#N/A,#N/A,FALSE,"매출채권명세"}</definedName>
    <definedName name="ckdl" localSheetId="18" hidden="1">{#N/A,#N/A,FALSE,"손익표지";#N/A,#N/A,FALSE,"손익계산";#N/A,#N/A,FALSE,"일반관리비";#N/A,#N/A,FALSE,"영업외수익";#N/A,#N/A,FALSE,"영업외비용";#N/A,#N/A,FALSE,"매출액";#N/A,#N/A,FALSE,"요약손익";#N/A,#N/A,FALSE,"요약대차";#N/A,#N/A,FALSE,"매출채권현황";#N/A,#N/A,FALSE,"매출채권명세"}</definedName>
    <definedName name="ckdl" localSheetId="25" hidden="1">{#N/A,#N/A,FALSE,"손익표지";#N/A,#N/A,FALSE,"손익계산";#N/A,#N/A,FALSE,"일반관리비";#N/A,#N/A,FALSE,"영업외수익";#N/A,#N/A,FALSE,"영업외비용";#N/A,#N/A,FALSE,"매출액";#N/A,#N/A,FALSE,"요약손익";#N/A,#N/A,FALSE,"요약대차";#N/A,#N/A,FALSE,"매출채권현황";#N/A,#N/A,FALSE,"매출채권명세"}</definedName>
    <definedName name="ckdl" hidden="1">{#N/A,#N/A,FALSE,"손익표지";#N/A,#N/A,FALSE,"손익계산";#N/A,#N/A,FALSE,"일반관리비";#N/A,#N/A,FALSE,"영업외수익";#N/A,#N/A,FALSE,"영업외비용";#N/A,#N/A,FALSE,"매출액";#N/A,#N/A,FALSE,"요약손익";#N/A,#N/A,FALSE,"요약대차";#N/A,#N/A,FALSE,"매출채권현황";#N/A,#N/A,FALSE,"매출채권명세"}</definedName>
    <definedName name="cnbujy" localSheetId="24" hidden="1">{#N/A,#N/A,FALSE,"Income(Non Rent)"}</definedName>
    <definedName name="cnbujy" localSheetId="18" hidden="1">{#N/A,#N/A,FALSE,"Income(Non Rent)"}</definedName>
    <definedName name="cnbujy" localSheetId="25" hidden="1">{#N/A,#N/A,FALSE,"Income(Non Rent)"}</definedName>
    <definedName name="cnbujy" hidden="1">{#N/A,#N/A,FALSE,"Income(Non Rent)"}</definedName>
    <definedName name="cntksdtj" localSheetId="24" hidden="1">{#N/A,#N/A,FALSE,"견적갑지";#N/A,#N/A,FALSE,"총괄표";#N/A,#N/A,FALSE,"철골공사";#N/A,#N/A,FALSE,"토목공사";#N/A,#N/A,FALSE,"판넬전기공사"}</definedName>
    <definedName name="cntksdtj" localSheetId="18" hidden="1">{#N/A,#N/A,FALSE,"견적갑지";#N/A,#N/A,FALSE,"총괄표";#N/A,#N/A,FALSE,"철골공사";#N/A,#N/A,FALSE,"토목공사";#N/A,#N/A,FALSE,"판넬전기공사"}</definedName>
    <definedName name="cntksdtj" localSheetId="25" hidden="1">{#N/A,#N/A,FALSE,"견적갑지";#N/A,#N/A,FALSE,"총괄표";#N/A,#N/A,FALSE,"철골공사";#N/A,#N/A,FALSE,"토목공사";#N/A,#N/A,FALSE,"판넬전기공사"}</definedName>
    <definedName name="cntksdtj" hidden="1">{#N/A,#N/A,FALSE,"견적갑지";#N/A,#N/A,FALSE,"총괄표";#N/A,#N/A,FALSE,"철골공사";#N/A,#N/A,FALSE,"토목공사";#N/A,#N/A,FALSE,"판넬전기공사"}</definedName>
    <definedName name="COMPS" hidden="1">255</definedName>
    <definedName name="conm" localSheetId="24" hidden="1">{"AnnualRentRoll",#N/A,FALSE,"RentRoll"}</definedName>
    <definedName name="conm" localSheetId="18" hidden="1">{"AnnualRentRoll",#N/A,FALSE,"RentRoll"}</definedName>
    <definedName name="conm" localSheetId="25" hidden="1">{"AnnualRentRoll",#N/A,FALSE,"RentRoll"}</definedName>
    <definedName name="conm" hidden="1">{"AnnualRentRoll",#N/A,FALSE,"RentRoll"}</definedName>
    <definedName name="CONTROL" localSheetId="24" hidden="1">{"'PROFORMA'!$A$1:$H$120"}</definedName>
    <definedName name="CONTROL" localSheetId="18" hidden="1">{"'PROFORMA'!$A$1:$H$120"}</definedName>
    <definedName name="CONTROL" localSheetId="25" hidden="1">{"'PROFORMA'!$A$1:$H$120"}</definedName>
    <definedName name="CONTROL" hidden="1">{"'PROFORMA'!$A$1:$H$120"}</definedName>
    <definedName name="copy" localSheetId="24" hidden="1">{#N/A,#N/A,FALSE,"OperatingAssumptions"}</definedName>
    <definedName name="copy" localSheetId="18" hidden="1">{#N/A,#N/A,FALSE,"OperatingAssumptions"}</definedName>
    <definedName name="copy" localSheetId="25" hidden="1">{#N/A,#N/A,FALSE,"OperatingAssumptions"}</definedName>
    <definedName name="copy" hidden="1">{#N/A,#N/A,FALSE,"OperatingAssumptions"}</definedName>
    <definedName name="Costs" localSheetId="24" hidden="1">{"Current Draw",#N/A,FALSE,"Sheet1"}</definedName>
    <definedName name="Costs" localSheetId="18" hidden="1">{"Current Draw",#N/A,FALSE,"Sheet1"}</definedName>
    <definedName name="Costs" localSheetId="25" hidden="1">{"Current Draw",#N/A,FALSE,"Sheet1"}</definedName>
    <definedName name="Costs" hidden="1">{"Current Draw",#N/A,FALSE,"Sheet1"}</definedName>
    <definedName name="cp" localSheetId="24" hidden="1">{#N/A,#N/A,TRUE,"Capex Summ";#N/A,#N/A,TRUE,"Essential Works.tw";#N/A,#N/A,TRUE,"Desirable Works.tw";#N/A,#N/A,TRUE,"Essential Works.rt";#N/A,#N/A,TRUE,"Desirable Works.rt";#N/A,#N/A,TRUE,"Mthly";#N/A,#N/A,TRUE,"Essential Works.ht";#N/A,#N/A,TRUE,"Desirable Works.ht";#N/A,#N/A,TRUE,"Incentives"}</definedName>
    <definedName name="cp" localSheetId="18" hidden="1">{#N/A,#N/A,TRUE,"Capex Summ";#N/A,#N/A,TRUE,"Essential Works.tw";#N/A,#N/A,TRUE,"Desirable Works.tw";#N/A,#N/A,TRUE,"Essential Works.rt";#N/A,#N/A,TRUE,"Desirable Works.rt";#N/A,#N/A,TRUE,"Mthly";#N/A,#N/A,TRUE,"Essential Works.ht";#N/A,#N/A,TRUE,"Desirable Works.ht";#N/A,#N/A,TRUE,"Incentives"}</definedName>
    <definedName name="cp" localSheetId="25" hidden="1">{#N/A,#N/A,TRUE,"Capex Summ";#N/A,#N/A,TRUE,"Essential Works.tw";#N/A,#N/A,TRUE,"Desirable Works.tw";#N/A,#N/A,TRUE,"Essential Works.rt";#N/A,#N/A,TRUE,"Desirable Works.rt";#N/A,#N/A,TRUE,"Mthly";#N/A,#N/A,TRUE,"Essential Works.ht";#N/A,#N/A,TRUE,"Desirable Works.ht";#N/A,#N/A,TRUE,"Incentives"}</definedName>
    <definedName name="cp" hidden="1">{#N/A,#N/A,TRUE,"Capex Summ";#N/A,#N/A,TRUE,"Essential Works.tw";#N/A,#N/A,TRUE,"Desirable Works.tw";#N/A,#N/A,TRUE,"Essential Works.rt";#N/A,#N/A,TRUE,"Desirable Works.rt";#N/A,#N/A,TRUE,"Mthly";#N/A,#N/A,TRUE,"Essential Works.ht";#N/A,#N/A,TRUE,"Desirable Works.ht";#N/A,#N/A,TRUE,"Incentives"}</definedName>
    <definedName name="cs" localSheetId="24" hidden="1">{"'7'!$B$15:$D$32"}</definedName>
    <definedName name="cs" localSheetId="18" hidden="1">{"'7'!$B$15:$D$32"}</definedName>
    <definedName name="cs" localSheetId="25" hidden="1">{"'7'!$B$15:$D$32"}</definedName>
    <definedName name="cs" hidden="1">{"'7'!$B$15:$D$32"}</definedName>
    <definedName name="CY2007년" localSheetId="24" hidden="1">{#N/A,#N/A,FALSE,"97년 투자계획 세부내역 "}</definedName>
    <definedName name="CY2007년" localSheetId="18" hidden="1">{#N/A,#N/A,FALSE,"97년 투자계획 세부내역 "}</definedName>
    <definedName name="CY2007년" localSheetId="25" hidden="1">{#N/A,#N/A,FALSE,"97년 투자계획 세부내역 "}</definedName>
    <definedName name="CY2007년" hidden="1">{#N/A,#N/A,FALSE,"97년 투자계획 세부내역 "}</definedName>
    <definedName name="D" localSheetId="24" hidden="1">{#N/A,#N/A,FALSE,"Summary";#N/A,#N/A,FALSE,"GM Sum";#N/A,#N/A,FALSE,"Ext Shops";#N/A,#N/A,FALSE,"Lost Shops";#N/A,#N/A,FALSE,"Reloc Shops";#N/A,#N/A,FALSE,"Not Affected";#N/A,#N/A,FALSE,"MDbase"}</definedName>
    <definedName name="D" localSheetId="18" hidden="1">{#N/A,#N/A,FALSE,"Summary";#N/A,#N/A,FALSE,"GM Sum";#N/A,#N/A,FALSE,"Ext Shops";#N/A,#N/A,FALSE,"Lost Shops";#N/A,#N/A,FALSE,"Reloc Shops";#N/A,#N/A,FALSE,"Not Affected";#N/A,#N/A,FALSE,"MDbase"}</definedName>
    <definedName name="D" localSheetId="25" hidden="1">{#N/A,#N/A,FALSE,"Summary";#N/A,#N/A,FALSE,"GM Sum";#N/A,#N/A,FALSE,"Ext Shops";#N/A,#N/A,FALSE,"Lost Shops";#N/A,#N/A,FALSE,"Reloc Shops";#N/A,#N/A,FALSE,"Not Affected";#N/A,#N/A,FALSE,"MDbase"}</definedName>
    <definedName name="D" hidden="1">{#N/A,#N/A,FALSE,"Summary";#N/A,#N/A,FALSE,"GM Sum";#N/A,#N/A,FALSE,"Ext Shops";#N/A,#N/A,FALSE,"Lost Shops";#N/A,#N/A,FALSE,"Reloc Shops";#N/A,#N/A,FALSE,"Not Affected";#N/A,#N/A,FALSE,"MDbase"}</definedName>
    <definedName name="DAEWOOINS" localSheetId="24" hidden="1">{#N/A,#N/A,FALSE,"동부"}</definedName>
    <definedName name="DAEWOOINS" localSheetId="18" hidden="1">{#N/A,#N/A,FALSE,"동부"}</definedName>
    <definedName name="DAEWOOINS" localSheetId="25" hidden="1">{#N/A,#N/A,FALSE,"동부"}</definedName>
    <definedName name="DAEWOOINS" hidden="1">{#N/A,#N/A,FALSE,"동부"}</definedName>
    <definedName name="dafs" localSheetId="24" hidden="1">{#N/A,#N/A,FALSE,"Outgoings";#N/A,#N/A,FALSE,"Expenses";#N/A,#N/A,FALSE,"Income(Non Rent)";#N/A,#N/A,FALSE,"Rent";#N/A,#N/A,FALSE,"Profit";#N/A,#N/A,FALSE,"Overview-Page2";#N/A,#N/A,FALSE,"Overview-Page1";#N/A,#N/A,FALSE,"Index"}</definedName>
    <definedName name="dafs" localSheetId="18" hidden="1">{#N/A,#N/A,FALSE,"Outgoings";#N/A,#N/A,FALSE,"Expenses";#N/A,#N/A,FALSE,"Income(Non Rent)";#N/A,#N/A,FALSE,"Rent";#N/A,#N/A,FALSE,"Profit";#N/A,#N/A,FALSE,"Overview-Page2";#N/A,#N/A,FALSE,"Overview-Page1";#N/A,#N/A,FALSE,"Index"}</definedName>
    <definedName name="dafs" localSheetId="25" hidden="1">{#N/A,#N/A,FALSE,"Outgoings";#N/A,#N/A,FALSE,"Expenses";#N/A,#N/A,FALSE,"Income(Non Rent)";#N/A,#N/A,FALSE,"Rent";#N/A,#N/A,FALSE,"Profit";#N/A,#N/A,FALSE,"Overview-Page2";#N/A,#N/A,FALSE,"Overview-Page1";#N/A,#N/A,FALSE,"Index"}</definedName>
    <definedName name="dafs" hidden="1">{#N/A,#N/A,FALSE,"Outgoings";#N/A,#N/A,FALSE,"Expenses";#N/A,#N/A,FALSE,"Income(Non Rent)";#N/A,#N/A,FALSE,"Rent";#N/A,#N/A,FALSE,"Profit";#N/A,#N/A,FALSE,"Overview-Page2";#N/A,#N/A,FALSE,"Overview-Page1";#N/A,#N/A,FALSE,"Index"}</definedName>
    <definedName name="dafsd" localSheetId="24">BlankMacro1</definedName>
    <definedName name="dafsd" localSheetId="18">BlankMacro1</definedName>
    <definedName name="dafsd" localSheetId="25">BlankMacro1</definedName>
    <definedName name="dafsd" localSheetId="16">BlankMacro1</definedName>
    <definedName name="dafsd">BlankMacro1</definedName>
    <definedName name="dasdf" localSheetId="24" hidden="1">{#N/A,#N/A,FALSE,"이력서&amp;자기소개서"}</definedName>
    <definedName name="dasdf" localSheetId="18" hidden="1">{#N/A,#N/A,FALSE,"이력서&amp;자기소개서"}</definedName>
    <definedName name="dasdf" localSheetId="25" hidden="1">{#N/A,#N/A,FALSE,"이력서&amp;자기소개서"}</definedName>
    <definedName name="dasdf" hidden="1">{#N/A,#N/A,FALSE,"이력서&amp;자기소개서"}</definedName>
    <definedName name="dddd" localSheetId="24" hidden="1">{#N/A,#N/A,FALSE,"BS";#N/A,#N/A,FALSE,"PL";#N/A,#N/A,FALSE,"A";#N/A,#N/A,FALSE,"B";#N/A,#N/A,FALSE,"B1";#N/A,#N/A,FALSE,"C";#N/A,#N/A,FALSE,"C1";#N/A,#N/A,FALSE,"C2";#N/A,#N/A,FALSE,"D";#N/A,#N/A,FALSE,"E";#N/A,#N/A,FALSE,"F";#N/A,#N/A,FALSE,"AA";#N/A,#N/A,FALSE,"BB";#N/A,#N/A,FALSE,"CC";#N/A,#N/A,FALSE,"DD";#N/A,#N/A,FALSE,"EE";#N/A,#N/A,FALSE,"FF";#N/A,#N/A,FALSE,"PL10";#N/A,#N/A,FALSE,"PL20";#N/A,#N/A,FALSE,"PL30"}</definedName>
    <definedName name="dddd" localSheetId="18" hidden="1">{#N/A,#N/A,FALSE,"BS";#N/A,#N/A,FALSE,"PL";#N/A,#N/A,FALSE,"A";#N/A,#N/A,FALSE,"B";#N/A,#N/A,FALSE,"B1";#N/A,#N/A,FALSE,"C";#N/A,#N/A,FALSE,"C1";#N/A,#N/A,FALSE,"C2";#N/A,#N/A,FALSE,"D";#N/A,#N/A,FALSE,"E";#N/A,#N/A,FALSE,"F";#N/A,#N/A,FALSE,"AA";#N/A,#N/A,FALSE,"BB";#N/A,#N/A,FALSE,"CC";#N/A,#N/A,FALSE,"DD";#N/A,#N/A,FALSE,"EE";#N/A,#N/A,FALSE,"FF";#N/A,#N/A,FALSE,"PL10";#N/A,#N/A,FALSE,"PL20";#N/A,#N/A,FALSE,"PL30"}</definedName>
    <definedName name="dddd" localSheetId="25" hidden="1">{#N/A,#N/A,FALSE,"BS";#N/A,#N/A,FALSE,"PL";#N/A,#N/A,FALSE,"A";#N/A,#N/A,FALSE,"B";#N/A,#N/A,FALSE,"B1";#N/A,#N/A,FALSE,"C";#N/A,#N/A,FALSE,"C1";#N/A,#N/A,FALSE,"C2";#N/A,#N/A,FALSE,"D";#N/A,#N/A,FALSE,"E";#N/A,#N/A,FALSE,"F";#N/A,#N/A,FALSE,"AA";#N/A,#N/A,FALSE,"BB";#N/A,#N/A,FALSE,"CC";#N/A,#N/A,FALSE,"DD";#N/A,#N/A,FALSE,"EE";#N/A,#N/A,FALSE,"FF";#N/A,#N/A,FALSE,"PL10";#N/A,#N/A,FALSE,"PL20";#N/A,#N/A,FALSE,"PL30"}</definedName>
    <definedName name="dddd" hidden="1">{#N/A,#N/A,FALSE,"BS";#N/A,#N/A,FALSE,"PL";#N/A,#N/A,FALSE,"A";#N/A,#N/A,FALSE,"B";#N/A,#N/A,FALSE,"B1";#N/A,#N/A,FALSE,"C";#N/A,#N/A,FALSE,"C1";#N/A,#N/A,FALSE,"C2";#N/A,#N/A,FALSE,"D";#N/A,#N/A,FALSE,"E";#N/A,#N/A,FALSE,"F";#N/A,#N/A,FALSE,"AA";#N/A,#N/A,FALSE,"BB";#N/A,#N/A,FALSE,"CC";#N/A,#N/A,FALSE,"DD";#N/A,#N/A,FALSE,"EE";#N/A,#N/A,FALSE,"FF";#N/A,#N/A,FALSE,"PL10";#N/A,#N/A,FALSE,"PL20";#N/A,#N/A,FALSE,"PL30"}</definedName>
    <definedName name="dddd_1" localSheetId="24" hidden="1">{#N/A,#N/A,FALSE,"BS";#N/A,#N/A,FALSE,"PL";#N/A,#N/A,FALSE,"A";#N/A,#N/A,FALSE,"B";#N/A,#N/A,FALSE,"B1";#N/A,#N/A,FALSE,"C";#N/A,#N/A,FALSE,"C1";#N/A,#N/A,FALSE,"C2";#N/A,#N/A,FALSE,"D";#N/A,#N/A,FALSE,"E";#N/A,#N/A,FALSE,"F";#N/A,#N/A,FALSE,"AA";#N/A,#N/A,FALSE,"BB";#N/A,#N/A,FALSE,"CC";#N/A,#N/A,FALSE,"DD";#N/A,#N/A,FALSE,"EE";#N/A,#N/A,FALSE,"FF";#N/A,#N/A,FALSE,"PL10";#N/A,#N/A,FALSE,"PL20";#N/A,#N/A,FALSE,"PL30"}</definedName>
    <definedName name="dddd_1" localSheetId="18" hidden="1">{#N/A,#N/A,FALSE,"BS";#N/A,#N/A,FALSE,"PL";#N/A,#N/A,FALSE,"A";#N/A,#N/A,FALSE,"B";#N/A,#N/A,FALSE,"B1";#N/A,#N/A,FALSE,"C";#N/A,#N/A,FALSE,"C1";#N/A,#N/A,FALSE,"C2";#N/A,#N/A,FALSE,"D";#N/A,#N/A,FALSE,"E";#N/A,#N/A,FALSE,"F";#N/A,#N/A,FALSE,"AA";#N/A,#N/A,FALSE,"BB";#N/A,#N/A,FALSE,"CC";#N/A,#N/A,FALSE,"DD";#N/A,#N/A,FALSE,"EE";#N/A,#N/A,FALSE,"FF";#N/A,#N/A,FALSE,"PL10";#N/A,#N/A,FALSE,"PL20";#N/A,#N/A,FALSE,"PL30"}</definedName>
    <definedName name="dddd_1" localSheetId="25" hidden="1">{#N/A,#N/A,FALSE,"BS";#N/A,#N/A,FALSE,"PL";#N/A,#N/A,FALSE,"A";#N/A,#N/A,FALSE,"B";#N/A,#N/A,FALSE,"B1";#N/A,#N/A,FALSE,"C";#N/A,#N/A,FALSE,"C1";#N/A,#N/A,FALSE,"C2";#N/A,#N/A,FALSE,"D";#N/A,#N/A,FALSE,"E";#N/A,#N/A,FALSE,"F";#N/A,#N/A,FALSE,"AA";#N/A,#N/A,FALSE,"BB";#N/A,#N/A,FALSE,"CC";#N/A,#N/A,FALSE,"DD";#N/A,#N/A,FALSE,"EE";#N/A,#N/A,FALSE,"FF";#N/A,#N/A,FALSE,"PL10";#N/A,#N/A,FALSE,"PL20";#N/A,#N/A,FALSE,"PL30"}</definedName>
    <definedName name="dddd_1" hidden="1">{#N/A,#N/A,FALSE,"BS";#N/A,#N/A,FALSE,"PL";#N/A,#N/A,FALSE,"A";#N/A,#N/A,FALSE,"B";#N/A,#N/A,FALSE,"B1";#N/A,#N/A,FALSE,"C";#N/A,#N/A,FALSE,"C1";#N/A,#N/A,FALSE,"C2";#N/A,#N/A,FALSE,"D";#N/A,#N/A,FALSE,"E";#N/A,#N/A,FALSE,"F";#N/A,#N/A,FALSE,"AA";#N/A,#N/A,FALSE,"BB";#N/A,#N/A,FALSE,"CC";#N/A,#N/A,FALSE,"DD";#N/A,#N/A,FALSE,"EE";#N/A,#N/A,FALSE,"FF";#N/A,#N/A,FALSE,"PL10";#N/A,#N/A,FALSE,"PL20";#N/A,#N/A,FALSE,"PL30"}</definedName>
    <definedName name="dddddd" localSheetId="24" hidden="1">{#N/A,#N/A,FALSE,"CAPREIT"}</definedName>
    <definedName name="dddddd" localSheetId="18" hidden="1">{#N/A,#N/A,FALSE,"CAPREIT"}</definedName>
    <definedName name="dddddd" localSheetId="25" hidden="1">{#N/A,#N/A,FALSE,"CAPREIT"}</definedName>
    <definedName name="dddddd" hidden="1">{#N/A,#N/A,FALSE,"CAPREIT"}</definedName>
    <definedName name="ddddddd" localSheetId="24" hidden="1">{#N/A,#N/A,FALSE,"CAPREIT"}</definedName>
    <definedName name="ddddddd" localSheetId="18" hidden="1">{#N/A,#N/A,FALSE,"CAPREIT"}</definedName>
    <definedName name="ddddddd" localSheetId="25" hidden="1">{#N/A,#N/A,FALSE,"CAPREIT"}</definedName>
    <definedName name="ddddddd" hidden="1">{#N/A,#N/A,FALSE,"CAPREIT"}</definedName>
    <definedName name="DDDDDDDDDD" localSheetId="24" hidden="1">{#N/A,#N/A,TRUE,"Y생산";#N/A,#N/A,TRUE,"Y판매";#N/A,#N/A,TRUE,"Y총물량";#N/A,#N/A,TRUE,"Y능력";#N/A,#N/A,TRUE,"YKD"}</definedName>
    <definedName name="DDDDDDDDDD" localSheetId="18" hidden="1">{#N/A,#N/A,TRUE,"Y생산";#N/A,#N/A,TRUE,"Y판매";#N/A,#N/A,TRUE,"Y총물량";#N/A,#N/A,TRUE,"Y능력";#N/A,#N/A,TRUE,"YKD"}</definedName>
    <definedName name="DDDDDDDDDD" localSheetId="25" hidden="1">{#N/A,#N/A,TRUE,"Y생산";#N/A,#N/A,TRUE,"Y판매";#N/A,#N/A,TRUE,"Y총물량";#N/A,#N/A,TRUE,"Y능력";#N/A,#N/A,TRUE,"YKD"}</definedName>
    <definedName name="DDDDDDDDDD" hidden="1">{#N/A,#N/A,TRUE,"Y생산";#N/A,#N/A,TRUE,"Y판매";#N/A,#N/A,TRUE,"Y총물량";#N/A,#N/A,TRUE,"Y능력";#N/A,#N/A,TRUE,"YKD"}</definedName>
    <definedName name="DDDDDDDDDD_1" localSheetId="24" hidden="1">{#N/A,#N/A,TRUE,"Y생산";#N/A,#N/A,TRUE,"Y판매";#N/A,#N/A,TRUE,"Y총물량";#N/A,#N/A,TRUE,"Y능력";#N/A,#N/A,TRUE,"YKD"}</definedName>
    <definedName name="DDDDDDDDDD_1" localSheetId="18" hidden="1">{#N/A,#N/A,TRUE,"Y생산";#N/A,#N/A,TRUE,"Y판매";#N/A,#N/A,TRUE,"Y총물량";#N/A,#N/A,TRUE,"Y능력";#N/A,#N/A,TRUE,"YKD"}</definedName>
    <definedName name="DDDDDDDDDD_1" localSheetId="25" hidden="1">{#N/A,#N/A,TRUE,"Y생산";#N/A,#N/A,TRUE,"Y판매";#N/A,#N/A,TRUE,"Y총물량";#N/A,#N/A,TRUE,"Y능력";#N/A,#N/A,TRUE,"YKD"}</definedName>
    <definedName name="DDDDDDDDDD_1" hidden="1">{#N/A,#N/A,TRUE,"Y생산";#N/A,#N/A,TRUE,"Y판매";#N/A,#N/A,TRUE,"Y총물량";#N/A,#N/A,TRUE,"Y능력";#N/A,#N/A,TRUE,"YKD"}</definedName>
    <definedName name="ddffkhj" hidden="1">#N/A</definedName>
    <definedName name="DDFR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DFRE"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DFRE"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DFR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dwaterfall" localSheetId="24" hidden="1">{"CF",#N/A,FALSE,"Cash Flow";"RET",#N/A,FALSE,"Returns";"NPV",#N/A,FALSE,"Values";"ASMPT",#N/A,FALSE,"Assumptions"}</definedName>
    <definedName name="ddwaterfall" localSheetId="18" hidden="1">{"CF",#N/A,FALSE,"Cash Flow";"RET",#N/A,FALSE,"Returns";"NPV",#N/A,FALSE,"Values";"ASMPT",#N/A,FALSE,"Assumptions"}</definedName>
    <definedName name="ddwaterfall" localSheetId="25" hidden="1">{"CF",#N/A,FALSE,"Cash Flow";"RET",#N/A,FALSE,"Returns";"NPV",#N/A,FALSE,"Values";"ASMPT",#N/A,FALSE,"Assumptions"}</definedName>
    <definedName name="ddwaterfall" hidden="1">{"CF",#N/A,FALSE,"Cash Flow";"RET",#N/A,FALSE,"Returns";"NPV",#N/A,FALSE,"Values";"ASMPT",#N/A,FALSE,"Assumptions"}</definedName>
    <definedName name="DF" localSheetId="24" hidden="1">{#N/A,#N/A,FALSE,"Aging Summary";#N/A,#N/A,FALSE,"Ratio Analysis";#N/A,#N/A,FALSE,"Test 120 Day Accts";#N/A,#N/A,FALSE,"Tickmarks"}</definedName>
    <definedName name="DF" localSheetId="18" hidden="1">{#N/A,#N/A,FALSE,"Aging Summary";#N/A,#N/A,FALSE,"Ratio Analysis";#N/A,#N/A,FALSE,"Test 120 Day Accts";#N/A,#N/A,FALSE,"Tickmarks"}</definedName>
    <definedName name="DF" localSheetId="25" hidden="1">{#N/A,#N/A,FALSE,"Aging Summary";#N/A,#N/A,FALSE,"Ratio Analysis";#N/A,#N/A,FALSE,"Test 120 Day Accts";#N/A,#N/A,FALSE,"Tickmarks"}</definedName>
    <definedName name="DF" hidden="1">{#N/A,#N/A,FALSE,"Aging Summary";#N/A,#N/A,FALSE,"Ratio Analysis";#N/A,#N/A,FALSE,"Test 120 Day Accts";#N/A,#N/A,FALSE,"Tickmarks"}</definedName>
    <definedName name="DFASDFDS" localSheetId="24" hidden="1">{#N/A,#N/A,FALSE,"손익표지";#N/A,#N/A,FALSE,"손익계산";#N/A,#N/A,FALSE,"일반관리비";#N/A,#N/A,FALSE,"영업외수익";#N/A,#N/A,FALSE,"영업외비용";#N/A,#N/A,FALSE,"매출액";#N/A,#N/A,FALSE,"요약손익";#N/A,#N/A,FALSE,"요약대차";#N/A,#N/A,FALSE,"매출채권현황";#N/A,#N/A,FALSE,"매출채권명세"}</definedName>
    <definedName name="DFASDFDS" localSheetId="18" hidden="1">{#N/A,#N/A,FALSE,"손익표지";#N/A,#N/A,FALSE,"손익계산";#N/A,#N/A,FALSE,"일반관리비";#N/A,#N/A,FALSE,"영업외수익";#N/A,#N/A,FALSE,"영업외비용";#N/A,#N/A,FALSE,"매출액";#N/A,#N/A,FALSE,"요약손익";#N/A,#N/A,FALSE,"요약대차";#N/A,#N/A,FALSE,"매출채권현황";#N/A,#N/A,FALSE,"매출채권명세"}</definedName>
    <definedName name="DFASDFDS" localSheetId="25" hidden="1">{#N/A,#N/A,FALSE,"손익표지";#N/A,#N/A,FALSE,"손익계산";#N/A,#N/A,FALSE,"일반관리비";#N/A,#N/A,FALSE,"영업외수익";#N/A,#N/A,FALSE,"영업외비용";#N/A,#N/A,FALSE,"매출액";#N/A,#N/A,FALSE,"요약손익";#N/A,#N/A,FALSE,"요약대차";#N/A,#N/A,FALSE,"매출채권현황";#N/A,#N/A,FALSE,"매출채권명세"}</definedName>
    <definedName name="DFASDFDS" hidden="1">{#N/A,#N/A,FALSE,"손익표지";#N/A,#N/A,FALSE,"손익계산";#N/A,#N/A,FALSE,"일반관리비";#N/A,#N/A,FALSE,"영업외수익";#N/A,#N/A,FALSE,"영업외비용";#N/A,#N/A,FALSE,"매출액";#N/A,#N/A,FALSE,"요약손익";#N/A,#N/A,FALSE,"요약대차";#N/A,#N/A,FALSE,"매출채권현황";#N/A,#N/A,FALSE,"매출채권명세"}</definedName>
    <definedName name="dfasfsd" localSheetId="24" hidden="1">{"Stab",#N/A,FALSE,"stab";"stabpm",#N/A,FALSE,"stabpm"}</definedName>
    <definedName name="dfasfsd" localSheetId="18" hidden="1">{"Stab",#N/A,FALSE,"stab";"stabpm",#N/A,FALSE,"stabpm"}</definedName>
    <definedName name="dfasfsd" localSheetId="25" hidden="1">{"Stab",#N/A,FALSE,"stab";"stabpm",#N/A,FALSE,"stabpm"}</definedName>
    <definedName name="dfasfsd" hidden="1">{"Stab",#N/A,FALSE,"stab";"stabpm",#N/A,FALSE,"stabpm"}</definedName>
    <definedName name="DFDF" localSheetId="24" hidden="1">{#N/A,#N/A,FALSE,"Aging Summary";#N/A,#N/A,FALSE,"Ratio Analysis";#N/A,#N/A,FALSE,"Test 120 Day Accts";#N/A,#N/A,FALSE,"Tickmarks"}</definedName>
    <definedName name="DFDF" localSheetId="18" hidden="1">{#N/A,#N/A,FALSE,"Aging Summary";#N/A,#N/A,FALSE,"Ratio Analysis";#N/A,#N/A,FALSE,"Test 120 Day Accts";#N/A,#N/A,FALSE,"Tickmarks"}</definedName>
    <definedName name="DFDF" localSheetId="25" hidden="1">{#N/A,#N/A,FALSE,"Aging Summary";#N/A,#N/A,FALSE,"Ratio Analysis";#N/A,#N/A,FALSE,"Test 120 Day Accts";#N/A,#N/A,FALSE,"Tickmarks"}</definedName>
    <definedName name="DFDF" hidden="1">{#N/A,#N/A,FALSE,"Aging Summary";#N/A,#N/A,FALSE,"Ratio Analysis";#N/A,#N/A,FALSE,"Test 120 Day Accts";#N/A,#N/A,FALSE,"Tickmarks"}</definedName>
    <definedName name="dfdfsd" localSheetId="24" hidden="1">{#N/A,#N/A,FALSE,"손익표지";#N/A,#N/A,FALSE,"손익계산";#N/A,#N/A,FALSE,"일반관리비";#N/A,#N/A,FALSE,"영업외수익";#N/A,#N/A,FALSE,"영업외비용";#N/A,#N/A,FALSE,"매출액";#N/A,#N/A,FALSE,"요약손익";#N/A,#N/A,FALSE,"요약대차";#N/A,#N/A,FALSE,"매출채권현황";#N/A,#N/A,FALSE,"매출채권명세"}</definedName>
    <definedName name="dfdfsd" localSheetId="18" hidden="1">{#N/A,#N/A,FALSE,"손익표지";#N/A,#N/A,FALSE,"손익계산";#N/A,#N/A,FALSE,"일반관리비";#N/A,#N/A,FALSE,"영업외수익";#N/A,#N/A,FALSE,"영업외비용";#N/A,#N/A,FALSE,"매출액";#N/A,#N/A,FALSE,"요약손익";#N/A,#N/A,FALSE,"요약대차";#N/A,#N/A,FALSE,"매출채권현황";#N/A,#N/A,FALSE,"매출채권명세"}</definedName>
    <definedName name="dfdfsd" localSheetId="25" hidden="1">{#N/A,#N/A,FALSE,"손익표지";#N/A,#N/A,FALSE,"손익계산";#N/A,#N/A,FALSE,"일반관리비";#N/A,#N/A,FALSE,"영업외수익";#N/A,#N/A,FALSE,"영업외비용";#N/A,#N/A,FALSE,"매출액";#N/A,#N/A,FALSE,"요약손익";#N/A,#N/A,FALSE,"요약대차";#N/A,#N/A,FALSE,"매출채권현황";#N/A,#N/A,FALSE,"매출채권명세"}</definedName>
    <definedName name="dfdfsd" hidden="1">{#N/A,#N/A,FALSE,"손익표지";#N/A,#N/A,FALSE,"손익계산";#N/A,#N/A,FALSE,"일반관리비";#N/A,#N/A,FALSE,"영업외수익";#N/A,#N/A,FALSE,"영업외비용";#N/A,#N/A,FALSE,"매출액";#N/A,#N/A,FALSE,"요약손익";#N/A,#N/A,FALSE,"요약대차";#N/A,#N/A,FALSE,"매출채권현황";#N/A,#N/A,FALSE,"매출채권명세"}</definedName>
    <definedName name="DFF" localSheetId="24" hidden="1">{"'Firr(선)'!$AS$1:$AY$62","'Firr(사)'!$AS$1:$AY$62","'Firr(회)'!$AS$1:$AY$62","'Firr(선)'!$L$1:$V$62","'Firr(사)'!$L$1:$V$62","'Firr(회)'!$L$1:$V$62"}</definedName>
    <definedName name="DFF" localSheetId="18" hidden="1">{"'Firr(선)'!$AS$1:$AY$62","'Firr(사)'!$AS$1:$AY$62","'Firr(회)'!$AS$1:$AY$62","'Firr(선)'!$L$1:$V$62","'Firr(사)'!$L$1:$V$62","'Firr(회)'!$L$1:$V$62"}</definedName>
    <definedName name="DFF" localSheetId="25" hidden="1">{"'Firr(선)'!$AS$1:$AY$62","'Firr(사)'!$AS$1:$AY$62","'Firr(회)'!$AS$1:$AY$62","'Firr(선)'!$L$1:$V$62","'Firr(사)'!$L$1:$V$62","'Firr(회)'!$L$1:$V$62"}</definedName>
    <definedName name="DFF" hidden="1">{"'Firr(선)'!$AS$1:$AY$62","'Firr(사)'!$AS$1:$AY$62","'Firr(회)'!$AS$1:$AY$62","'Firr(선)'!$L$1:$V$62","'Firr(사)'!$L$1:$V$62","'Firr(회)'!$L$1:$V$62"}</definedName>
    <definedName name="dfhrtrt" localSheetId="24" hidden="1">{"State",#N/A,FALSE,"state";"Trust",#N/A,FALSE,"trust";"Alpha",#N/A,FALSE,"alpha";"RGM",#N/A,FALSE,"rgm";"Stab",#N/A,FALSE,"stab"}</definedName>
    <definedName name="dfhrtrt" localSheetId="18" hidden="1">{"State",#N/A,FALSE,"state";"Trust",#N/A,FALSE,"trust";"Alpha",#N/A,FALSE,"alpha";"RGM",#N/A,FALSE,"rgm";"Stab",#N/A,FALSE,"stab"}</definedName>
    <definedName name="dfhrtrt" localSheetId="25" hidden="1">{"State",#N/A,FALSE,"state";"Trust",#N/A,FALSE,"trust";"Alpha",#N/A,FALSE,"alpha";"RGM",#N/A,FALSE,"rgm";"Stab",#N/A,FALSE,"stab"}</definedName>
    <definedName name="dfhrtrt" hidden="1">{"State",#N/A,FALSE,"state";"Trust",#N/A,FALSE,"trust";"Alpha",#N/A,FALSE,"alpha";"RGM",#N/A,FALSE,"rgm";"Stab",#N/A,FALSE,"stab"}</definedName>
    <definedName name="dfjkls" localSheetId="24" hidden="1">{"AnnualRentRoll",#N/A,FALSE,"RentRoll"}</definedName>
    <definedName name="dfjkls" localSheetId="18" hidden="1">{"AnnualRentRoll",#N/A,FALSE,"RentRoll"}</definedName>
    <definedName name="dfjkls" localSheetId="25" hidden="1">{"AnnualRentRoll",#N/A,FALSE,"RentRoll"}</definedName>
    <definedName name="dfjkls" hidden="1">{"AnnualRentRoll",#N/A,FALSE,"RentRoll"}</definedName>
    <definedName name="dfjr" localSheetId="24" hidden="1">{#N/A,#N/A,TRUE,"Summary";"AnnualRentRoll",#N/A,TRUE,"RentRoll";#N/A,#N/A,TRUE,"ExitStratigy";#N/A,#N/A,TRUE,"OperatingAssumptions"}</definedName>
    <definedName name="dfjr" localSheetId="18" hidden="1">{#N/A,#N/A,TRUE,"Summary";"AnnualRentRoll",#N/A,TRUE,"RentRoll";#N/A,#N/A,TRUE,"ExitStratigy";#N/A,#N/A,TRUE,"OperatingAssumptions"}</definedName>
    <definedName name="dfjr" localSheetId="25" hidden="1">{#N/A,#N/A,TRUE,"Summary";"AnnualRentRoll",#N/A,TRUE,"RentRoll";#N/A,#N/A,TRUE,"ExitStratigy";#N/A,#N/A,TRUE,"OperatingAssumptions"}</definedName>
    <definedName name="dfjr" hidden="1">{#N/A,#N/A,TRUE,"Summary";"AnnualRentRoll",#N/A,TRUE,"RentRoll";#N/A,#N/A,TRUE,"ExitStratigy";#N/A,#N/A,TRUE,"OperatingAssumptions"}</definedName>
    <definedName name="DFL" localSheetId="24" hidden="1">{#N/A,#N/A,TRUE,"Capex Summ";#N/A,#N/A,TRUE,"Essential Works.tw";#N/A,#N/A,TRUE,"Desirable Works.tw";#N/A,#N/A,TRUE,"Essential Works.rt";#N/A,#N/A,TRUE,"Desirable Works.rt";#N/A,#N/A,TRUE,"Mthly";#N/A,#N/A,TRUE,"Essential Works.ht";#N/A,#N/A,TRUE,"Desirable Works.ht";#N/A,#N/A,TRUE,"Incentives"}</definedName>
    <definedName name="DFL" localSheetId="18" hidden="1">{#N/A,#N/A,TRUE,"Capex Summ";#N/A,#N/A,TRUE,"Essential Works.tw";#N/A,#N/A,TRUE,"Desirable Works.tw";#N/A,#N/A,TRUE,"Essential Works.rt";#N/A,#N/A,TRUE,"Desirable Works.rt";#N/A,#N/A,TRUE,"Mthly";#N/A,#N/A,TRUE,"Essential Works.ht";#N/A,#N/A,TRUE,"Desirable Works.ht";#N/A,#N/A,TRUE,"Incentives"}</definedName>
    <definedName name="DFL" localSheetId="25" hidden="1">{#N/A,#N/A,TRUE,"Capex Summ";#N/A,#N/A,TRUE,"Essential Works.tw";#N/A,#N/A,TRUE,"Desirable Works.tw";#N/A,#N/A,TRUE,"Essential Works.rt";#N/A,#N/A,TRUE,"Desirable Works.rt";#N/A,#N/A,TRUE,"Mthly";#N/A,#N/A,TRUE,"Essential Works.ht";#N/A,#N/A,TRUE,"Desirable Works.ht";#N/A,#N/A,TRUE,"Incentives"}</definedName>
    <definedName name="DFL" hidden="1">{#N/A,#N/A,TRUE,"Capex Summ";#N/A,#N/A,TRUE,"Essential Works.tw";#N/A,#N/A,TRUE,"Desirable Works.tw";#N/A,#N/A,TRUE,"Essential Works.rt";#N/A,#N/A,TRUE,"Desirable Works.rt";#N/A,#N/A,TRUE,"Mthly";#N/A,#N/A,TRUE,"Essential Works.ht";#N/A,#N/A,TRUE,"Desirable Works.ht";#N/A,#N/A,TRUE,"Incentives"}</definedName>
    <definedName name="dfsdfd" localSheetId="24" hidden="1">{#N/A,#N/A,FALSE,"손익표지";#N/A,#N/A,FALSE,"손익계산";#N/A,#N/A,FALSE,"일반관리비";#N/A,#N/A,FALSE,"영업외수익";#N/A,#N/A,FALSE,"영업외비용";#N/A,#N/A,FALSE,"매출액";#N/A,#N/A,FALSE,"요약손익";#N/A,#N/A,FALSE,"요약대차";#N/A,#N/A,FALSE,"매출채권현황";#N/A,#N/A,FALSE,"매출채권명세"}</definedName>
    <definedName name="dfsdfd" localSheetId="18" hidden="1">{#N/A,#N/A,FALSE,"손익표지";#N/A,#N/A,FALSE,"손익계산";#N/A,#N/A,FALSE,"일반관리비";#N/A,#N/A,FALSE,"영업외수익";#N/A,#N/A,FALSE,"영업외비용";#N/A,#N/A,FALSE,"매출액";#N/A,#N/A,FALSE,"요약손익";#N/A,#N/A,FALSE,"요약대차";#N/A,#N/A,FALSE,"매출채권현황";#N/A,#N/A,FALSE,"매출채권명세"}</definedName>
    <definedName name="dfsdfd" localSheetId="25" hidden="1">{#N/A,#N/A,FALSE,"손익표지";#N/A,#N/A,FALSE,"손익계산";#N/A,#N/A,FALSE,"일반관리비";#N/A,#N/A,FALSE,"영업외수익";#N/A,#N/A,FALSE,"영업외비용";#N/A,#N/A,FALSE,"매출액";#N/A,#N/A,FALSE,"요약손익";#N/A,#N/A,FALSE,"요약대차";#N/A,#N/A,FALSE,"매출채권현황";#N/A,#N/A,FALSE,"매출채권명세"}</definedName>
    <definedName name="dfsdfd" hidden="1">{#N/A,#N/A,FALSE,"손익표지";#N/A,#N/A,FALSE,"손익계산";#N/A,#N/A,FALSE,"일반관리비";#N/A,#N/A,FALSE,"영업외수익";#N/A,#N/A,FALSE,"영업외비용";#N/A,#N/A,FALSE,"매출액";#N/A,#N/A,FALSE,"요약손익";#N/A,#N/A,FALSE,"요약대차";#N/A,#N/A,FALSE,"매출채권현황";#N/A,#N/A,FALSE,"매출채권명세"}</definedName>
    <definedName name="dfsru" localSheetId="24" hidden="1">{"MonthlyRentRoll",#N/A,FALSE,"RentRoll"}</definedName>
    <definedName name="dfsru" localSheetId="18" hidden="1">{"MonthlyRentRoll",#N/A,FALSE,"RentRoll"}</definedName>
    <definedName name="dfsru" localSheetId="25" hidden="1">{"MonthlyRentRoll",#N/A,FALSE,"RentRoll"}</definedName>
    <definedName name="dfsru" hidden="1">{"MonthlyRentRoll",#N/A,FALSE,"RentRoll"}</definedName>
    <definedName name="DFSW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FSWE"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FSWE"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FSW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gf" localSheetId="24" hidden="1">{"RetSum1",#N/A,FALSE,"Returns Summary";"RetSum2",#N/A,FALSE,"Returns Summary"}</definedName>
    <definedName name="dgf" localSheetId="18" hidden="1">{"RetSum1",#N/A,FALSE,"Returns Summary";"RetSum2",#N/A,FALSE,"Returns Summary"}</definedName>
    <definedName name="dgf" localSheetId="25" hidden="1">{"RetSum1",#N/A,FALSE,"Returns Summary";"RetSum2",#N/A,FALSE,"Returns Summary"}</definedName>
    <definedName name="dgf" hidden="1">{"RetSum1",#N/A,FALSE,"Returns Summary";"RetSum2",#N/A,FALSE,"Returns Summary"}</definedName>
    <definedName name="dhg" localSheetId="24" hidden="1">{#N/A,#N/A,FALSE,"Data Input";#N/A,#N/A,FALSE,"1. Income";#N/A,#N/A,FALSE,"2. Rates &amp; Taxes";#N/A,#N/A,FALSE,"3. Extended Trade";#N/A,#N/A,FALSE,"4. Non Recoverable Expenses";#N/A,#N/A,FALSE,"5. Recoverable Expenses";#N/A,#N/A,FALSE,"6. Cleaning"}</definedName>
    <definedName name="dhg" localSheetId="18" hidden="1">{#N/A,#N/A,FALSE,"Data Input";#N/A,#N/A,FALSE,"1. Income";#N/A,#N/A,FALSE,"2. Rates &amp; Taxes";#N/A,#N/A,FALSE,"3. Extended Trade";#N/A,#N/A,FALSE,"4. Non Recoverable Expenses";#N/A,#N/A,FALSE,"5. Recoverable Expenses";#N/A,#N/A,FALSE,"6. Cleaning"}</definedName>
    <definedName name="dhg" localSheetId="25" hidden="1">{#N/A,#N/A,FALSE,"Data Input";#N/A,#N/A,FALSE,"1. Income";#N/A,#N/A,FALSE,"2. Rates &amp; Taxes";#N/A,#N/A,FALSE,"3. Extended Trade";#N/A,#N/A,FALSE,"4. Non Recoverable Expenses";#N/A,#N/A,FALSE,"5. Recoverable Expenses";#N/A,#N/A,FALSE,"6. Cleaning"}</definedName>
    <definedName name="dhg" hidden="1">{#N/A,#N/A,FALSE,"Data Input";#N/A,#N/A,FALSE,"1. Income";#N/A,#N/A,FALSE,"2. Rates &amp; Taxes";#N/A,#N/A,FALSE,"3. Extended Trade";#N/A,#N/A,FALSE,"4. Non Recoverable Expenses";#N/A,#N/A,FALSE,"5. Recoverable Expenses";#N/A,#N/A,FALSE,"6. Cleaning"}</definedName>
    <definedName name="dhj" localSheetId="24" hidden="1">{"'용역비'!$A$4:$C$8"}</definedName>
    <definedName name="dhj" localSheetId="18" hidden="1">{"'용역비'!$A$4:$C$8"}</definedName>
    <definedName name="dhj" localSheetId="25" hidden="1">{"'용역비'!$A$4:$C$8"}</definedName>
    <definedName name="dhj" hidden="1">{"'용역비'!$A$4:$C$8"}</definedName>
    <definedName name="DIV" localSheetId="24" hidden="1">{#N/A,#N/A,FALSE,"97년 투자계획 세부내역 "}</definedName>
    <definedName name="DIV" localSheetId="18" hidden="1">{#N/A,#N/A,FALSE,"97년 투자계획 세부내역 "}</definedName>
    <definedName name="DIV" localSheetId="25" hidden="1">{#N/A,#N/A,FALSE,"97년 투자계획 세부내역 "}</definedName>
    <definedName name="DIV" hidden="1">{#N/A,#N/A,FALSE,"97년 투자계획 세부내역 "}</definedName>
    <definedName name="DJQAN" localSheetId="24" hidden="1">{#N/A,#N/A,TRUE,"대 차 대 조 표"}</definedName>
    <definedName name="DJQAN" localSheetId="18" hidden="1">{#N/A,#N/A,TRUE,"대 차 대 조 표"}</definedName>
    <definedName name="DJQAN" localSheetId="25" hidden="1">{#N/A,#N/A,TRUE,"대 차 대 조 표"}</definedName>
    <definedName name="DJQAN" hidden="1">{#N/A,#N/A,TRUE,"대 차 대 조 표"}</definedName>
    <definedName name="DJQAN_1" localSheetId="24" hidden="1">{#N/A,#N/A,TRUE,"대 차 대 조 표"}</definedName>
    <definedName name="DJQAN_1" localSheetId="18" hidden="1">{#N/A,#N/A,TRUE,"대 차 대 조 표"}</definedName>
    <definedName name="DJQAN_1" localSheetId="25" hidden="1">{#N/A,#N/A,TRUE,"대 차 대 조 표"}</definedName>
    <definedName name="DJQAN_1" hidden="1">{#N/A,#N/A,TRUE,"대 차 대 조 표"}</definedName>
    <definedName name="djrt" localSheetId="24" hidden="1">{#N/A,#N/A,FALSE,"Data Input";#N/A,#N/A,FALSE,"1. Income";#N/A,#N/A,FALSE,"2. Rates &amp; Taxes";#N/A,#N/A,FALSE,"3. Extended Trade";#N/A,#N/A,FALSE,"4. Non Recoverable Expenses";#N/A,#N/A,FALSE,"5. Recoverable Expenses";#N/A,#N/A,FALSE,"6. Cleaning"}</definedName>
    <definedName name="djrt" localSheetId="18" hidden="1">{#N/A,#N/A,FALSE,"Data Input";#N/A,#N/A,FALSE,"1. Income";#N/A,#N/A,FALSE,"2. Rates &amp; Taxes";#N/A,#N/A,FALSE,"3. Extended Trade";#N/A,#N/A,FALSE,"4. Non Recoverable Expenses";#N/A,#N/A,FALSE,"5. Recoverable Expenses";#N/A,#N/A,FALSE,"6. Cleaning"}</definedName>
    <definedName name="djrt" localSheetId="25" hidden="1">{#N/A,#N/A,FALSE,"Data Input";#N/A,#N/A,FALSE,"1. Income";#N/A,#N/A,FALSE,"2. Rates &amp; Taxes";#N/A,#N/A,FALSE,"3. Extended Trade";#N/A,#N/A,FALSE,"4. Non Recoverable Expenses";#N/A,#N/A,FALSE,"5. Recoverable Expenses";#N/A,#N/A,FALSE,"6. Cleaning"}</definedName>
    <definedName name="djrt" hidden="1">{#N/A,#N/A,FALSE,"Data Input";#N/A,#N/A,FALSE,"1. Income";#N/A,#N/A,FALSE,"2. Rates &amp; Taxes";#N/A,#N/A,FALSE,"3. Extended Trade";#N/A,#N/A,FALSE,"4. Non Recoverable Expenses";#N/A,#N/A,FALSE,"5. Recoverable Expenses";#N/A,#N/A,FALSE,"6. Cleaning"}</definedName>
    <definedName name="dkd" localSheetId="24" hidden="1">{#N/A,#N/A,FALSE,"1.CRITERIA";#N/A,#N/A,FALSE,"2.IS";#N/A,#N/A,FALSE,"3.BS";#N/A,#N/A,FALSE,"4.PER PL";#N/A,#N/A,FALSE,"5.INVESTMENT";#N/A,#N/A,FALSE,"6.공문";#N/A,#N/A,FALSE,"7.netinvest"}</definedName>
    <definedName name="dkd" localSheetId="18" hidden="1">{#N/A,#N/A,FALSE,"1.CRITERIA";#N/A,#N/A,FALSE,"2.IS";#N/A,#N/A,FALSE,"3.BS";#N/A,#N/A,FALSE,"4.PER PL";#N/A,#N/A,FALSE,"5.INVESTMENT";#N/A,#N/A,FALSE,"6.공문";#N/A,#N/A,FALSE,"7.netinvest"}</definedName>
    <definedName name="dkd" localSheetId="25" hidden="1">{#N/A,#N/A,FALSE,"1.CRITERIA";#N/A,#N/A,FALSE,"2.IS";#N/A,#N/A,FALSE,"3.BS";#N/A,#N/A,FALSE,"4.PER PL";#N/A,#N/A,FALSE,"5.INVESTMENT";#N/A,#N/A,FALSE,"6.공문";#N/A,#N/A,FALSE,"7.netinvest"}</definedName>
    <definedName name="dkd" hidden="1">{#N/A,#N/A,FALSE,"1.CRITERIA";#N/A,#N/A,FALSE,"2.IS";#N/A,#N/A,FALSE,"3.BS";#N/A,#N/A,FALSE,"4.PER PL";#N/A,#N/A,FALSE,"5.INVESTMENT";#N/A,#N/A,FALSE,"6.공문";#N/A,#N/A,FALSE,"7.netinvest"}</definedName>
    <definedName name="dkdhdk" localSheetId="24" hidden="1">{#N/A,#N/A,FALSE,"BS";#N/A,#N/A,FALSE,"PL";#N/A,#N/A,FALSE,"A";#N/A,#N/A,FALSE,"B";#N/A,#N/A,FALSE,"B1";#N/A,#N/A,FALSE,"C";#N/A,#N/A,FALSE,"C1";#N/A,#N/A,FALSE,"C2";#N/A,#N/A,FALSE,"D";#N/A,#N/A,FALSE,"E";#N/A,#N/A,FALSE,"F";#N/A,#N/A,FALSE,"AA";#N/A,#N/A,FALSE,"BB";#N/A,#N/A,FALSE,"CC";#N/A,#N/A,FALSE,"DD";#N/A,#N/A,FALSE,"EE";#N/A,#N/A,FALSE,"FF";#N/A,#N/A,FALSE,"PL10";#N/A,#N/A,FALSE,"PL20";#N/A,#N/A,FALSE,"PL30"}</definedName>
    <definedName name="dkdhdk" localSheetId="18" hidden="1">{#N/A,#N/A,FALSE,"BS";#N/A,#N/A,FALSE,"PL";#N/A,#N/A,FALSE,"A";#N/A,#N/A,FALSE,"B";#N/A,#N/A,FALSE,"B1";#N/A,#N/A,FALSE,"C";#N/A,#N/A,FALSE,"C1";#N/A,#N/A,FALSE,"C2";#N/A,#N/A,FALSE,"D";#N/A,#N/A,FALSE,"E";#N/A,#N/A,FALSE,"F";#N/A,#N/A,FALSE,"AA";#N/A,#N/A,FALSE,"BB";#N/A,#N/A,FALSE,"CC";#N/A,#N/A,FALSE,"DD";#N/A,#N/A,FALSE,"EE";#N/A,#N/A,FALSE,"FF";#N/A,#N/A,FALSE,"PL10";#N/A,#N/A,FALSE,"PL20";#N/A,#N/A,FALSE,"PL30"}</definedName>
    <definedName name="dkdhdk" localSheetId="25" hidden="1">{#N/A,#N/A,FALSE,"BS";#N/A,#N/A,FALSE,"PL";#N/A,#N/A,FALSE,"A";#N/A,#N/A,FALSE,"B";#N/A,#N/A,FALSE,"B1";#N/A,#N/A,FALSE,"C";#N/A,#N/A,FALSE,"C1";#N/A,#N/A,FALSE,"C2";#N/A,#N/A,FALSE,"D";#N/A,#N/A,FALSE,"E";#N/A,#N/A,FALSE,"F";#N/A,#N/A,FALSE,"AA";#N/A,#N/A,FALSE,"BB";#N/A,#N/A,FALSE,"CC";#N/A,#N/A,FALSE,"DD";#N/A,#N/A,FALSE,"EE";#N/A,#N/A,FALSE,"FF";#N/A,#N/A,FALSE,"PL10";#N/A,#N/A,FALSE,"PL20";#N/A,#N/A,FALSE,"PL30"}</definedName>
    <definedName name="dkdhdk" hidden="1">{#N/A,#N/A,FALSE,"BS";#N/A,#N/A,FALSE,"PL";#N/A,#N/A,FALSE,"A";#N/A,#N/A,FALSE,"B";#N/A,#N/A,FALSE,"B1";#N/A,#N/A,FALSE,"C";#N/A,#N/A,FALSE,"C1";#N/A,#N/A,FALSE,"C2";#N/A,#N/A,FALSE,"D";#N/A,#N/A,FALSE,"E";#N/A,#N/A,FALSE,"F";#N/A,#N/A,FALSE,"AA";#N/A,#N/A,FALSE,"BB";#N/A,#N/A,FALSE,"CC";#N/A,#N/A,FALSE,"DD";#N/A,#N/A,FALSE,"EE";#N/A,#N/A,FALSE,"FF";#N/A,#N/A,FALSE,"PL10";#N/A,#N/A,FALSE,"PL20";#N/A,#N/A,FALSE,"PL30"}</definedName>
    <definedName name="dkdjd" localSheetId="24" hidden="1">{#N/A,#N/A,FALSE,"BS";#N/A,#N/A,FALSE,"PL";#N/A,#N/A,FALSE,"처분";#N/A,#N/A,FALSE,"현금";#N/A,#N/A,FALSE,"매출";#N/A,#N/A,FALSE,"원가";#N/A,#N/A,FALSE,"경영"}</definedName>
    <definedName name="dkdjd" localSheetId="18" hidden="1">{#N/A,#N/A,FALSE,"BS";#N/A,#N/A,FALSE,"PL";#N/A,#N/A,FALSE,"처분";#N/A,#N/A,FALSE,"현금";#N/A,#N/A,FALSE,"매출";#N/A,#N/A,FALSE,"원가";#N/A,#N/A,FALSE,"경영"}</definedName>
    <definedName name="dkdjd" localSheetId="25" hidden="1">{#N/A,#N/A,FALSE,"BS";#N/A,#N/A,FALSE,"PL";#N/A,#N/A,FALSE,"처분";#N/A,#N/A,FALSE,"현금";#N/A,#N/A,FALSE,"매출";#N/A,#N/A,FALSE,"원가";#N/A,#N/A,FALSE,"경영"}</definedName>
    <definedName name="dkdjd" hidden="1">{#N/A,#N/A,FALSE,"BS";#N/A,#N/A,FALSE,"PL";#N/A,#N/A,FALSE,"처분";#N/A,#N/A,FALSE,"현금";#N/A,#N/A,FALSE,"매출";#N/A,#N/A,FALSE,"원가";#N/A,#N/A,FALSE,"경영"}</definedName>
    <definedName name="dkdk" localSheetId="24" hidden="1">{"'미착금액'!$A$4:$G$14"}</definedName>
    <definedName name="dkdk" localSheetId="18" hidden="1">{"'미착금액'!$A$4:$G$14"}</definedName>
    <definedName name="dkdk" localSheetId="25" hidden="1">{"'미착금액'!$A$4:$G$14"}</definedName>
    <definedName name="dkdk" hidden="1">{"'미착금액'!$A$4:$G$14"}</definedName>
    <definedName name="dkemf" localSheetId="24" hidden="1">{"'7'!$B$15:$D$32"}</definedName>
    <definedName name="dkemf" localSheetId="18" hidden="1">{"'7'!$B$15:$D$32"}</definedName>
    <definedName name="dkemf" localSheetId="25" hidden="1">{"'7'!$B$15:$D$32"}</definedName>
    <definedName name="dkemf" hidden="1">{"'7'!$B$15:$D$32"}</definedName>
    <definedName name="DKJLF" localSheetId="24" hidden="1">{#N/A,#N/A,TRUE,"일정"}</definedName>
    <definedName name="DKJLF" localSheetId="18" hidden="1">{#N/A,#N/A,TRUE,"일정"}</definedName>
    <definedName name="DKJLF" localSheetId="25" hidden="1">{#N/A,#N/A,TRUE,"일정"}</definedName>
    <definedName name="DKJLF" hidden="1">{#N/A,#N/A,TRUE,"일정"}</definedName>
    <definedName name="dkskslfjklsd" localSheetId="24" hidden="1">{#N/A,#N/A,FALSE,"1.CRITERIA";#N/A,#N/A,FALSE,"2.IS";#N/A,#N/A,FALSE,"3.BS";#N/A,#N/A,FALSE,"4.PER PL";#N/A,#N/A,FALSE,"5.INVESTMENT";#N/A,#N/A,FALSE,"6.공문";#N/A,#N/A,FALSE,"7.netinvest"}</definedName>
    <definedName name="dkskslfjklsd" localSheetId="18" hidden="1">{#N/A,#N/A,FALSE,"1.CRITERIA";#N/A,#N/A,FALSE,"2.IS";#N/A,#N/A,FALSE,"3.BS";#N/A,#N/A,FALSE,"4.PER PL";#N/A,#N/A,FALSE,"5.INVESTMENT";#N/A,#N/A,FALSE,"6.공문";#N/A,#N/A,FALSE,"7.netinvest"}</definedName>
    <definedName name="dkskslfjklsd" localSheetId="25" hidden="1">{#N/A,#N/A,FALSE,"1.CRITERIA";#N/A,#N/A,FALSE,"2.IS";#N/A,#N/A,FALSE,"3.BS";#N/A,#N/A,FALSE,"4.PER PL";#N/A,#N/A,FALSE,"5.INVESTMENT";#N/A,#N/A,FALSE,"6.공문";#N/A,#N/A,FALSE,"7.netinvest"}</definedName>
    <definedName name="dkskslfjklsd" hidden="1">{#N/A,#N/A,FALSE,"1.CRITERIA";#N/A,#N/A,FALSE,"2.IS";#N/A,#N/A,FALSE,"3.BS";#N/A,#N/A,FALSE,"4.PER PL";#N/A,#N/A,FALSE,"5.INVESTMENT";#N/A,#N/A,FALSE,"6.공문";#N/A,#N/A,FALSE,"7.netinvest"}</definedName>
    <definedName name="dlfma" localSheetId="24" hidden="1">{#N/A,#N/A,FALSE,"이력서&amp;자기소개서"}</definedName>
    <definedName name="dlfma" localSheetId="18" hidden="1">{#N/A,#N/A,FALSE,"이력서&amp;자기소개서"}</definedName>
    <definedName name="dlfma" localSheetId="25" hidden="1">{#N/A,#N/A,FALSE,"이력서&amp;자기소개서"}</definedName>
    <definedName name="dlfma" hidden="1">{#N/A,#N/A,FALSE,"이력서&amp;자기소개서"}</definedName>
    <definedName name="dlkfajldjf" localSheetId="24" hidden="1">{#N/A,#N/A,FALSE,"지침";#N/A,#N/A,FALSE,"환경분석";#N/A,#N/A,FALSE,"Sheet16"}</definedName>
    <definedName name="dlkfajldjf" localSheetId="18" hidden="1">{#N/A,#N/A,FALSE,"지침";#N/A,#N/A,FALSE,"환경분석";#N/A,#N/A,FALSE,"Sheet16"}</definedName>
    <definedName name="dlkfajldjf" localSheetId="25" hidden="1">{#N/A,#N/A,FALSE,"지침";#N/A,#N/A,FALSE,"환경분석";#N/A,#N/A,FALSE,"Sheet16"}</definedName>
    <definedName name="dlkfajldjf" hidden="1">{#N/A,#N/A,FALSE,"지침";#N/A,#N/A,FALSE,"환경분석";#N/A,#N/A,FALSE,"Sheet16"}</definedName>
    <definedName name="DNFL" localSheetId="24" hidden="1">{#N/A,#N/A,FALSE,"동부"}</definedName>
    <definedName name="DNFL" localSheetId="18" hidden="1">{#N/A,#N/A,FALSE,"동부"}</definedName>
    <definedName name="DNFL" localSheetId="25" hidden="1">{#N/A,#N/A,FALSE,"동부"}</definedName>
    <definedName name="DNFL" hidden="1">{#N/A,#N/A,FALSE,"동부"}</definedName>
    <definedName name="DPFLSDPFL"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DPFLSDPFL"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DPFLSDPFL" localSheetId="25"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DPFLSDPFL"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DSAFAHSDHFDHF" localSheetId="24" hidden="1">{#N/A,#N/A,FALSE,"손익표지";#N/A,#N/A,FALSE,"손익계산";#N/A,#N/A,FALSE,"일반관리비";#N/A,#N/A,FALSE,"영업외수익";#N/A,#N/A,FALSE,"영업외비용";#N/A,#N/A,FALSE,"매출액";#N/A,#N/A,FALSE,"요약손익";#N/A,#N/A,FALSE,"요약대차";#N/A,#N/A,FALSE,"매출채권현황";#N/A,#N/A,FALSE,"매출채권명세"}</definedName>
    <definedName name="DSAFAHSDHFDHF" localSheetId="18" hidden="1">{#N/A,#N/A,FALSE,"손익표지";#N/A,#N/A,FALSE,"손익계산";#N/A,#N/A,FALSE,"일반관리비";#N/A,#N/A,FALSE,"영업외수익";#N/A,#N/A,FALSE,"영업외비용";#N/A,#N/A,FALSE,"매출액";#N/A,#N/A,FALSE,"요약손익";#N/A,#N/A,FALSE,"요약대차";#N/A,#N/A,FALSE,"매출채권현황";#N/A,#N/A,FALSE,"매출채권명세"}</definedName>
    <definedName name="DSAFAHSDHFDHF" localSheetId="25" hidden="1">{#N/A,#N/A,FALSE,"손익표지";#N/A,#N/A,FALSE,"손익계산";#N/A,#N/A,FALSE,"일반관리비";#N/A,#N/A,FALSE,"영업외수익";#N/A,#N/A,FALSE,"영업외비용";#N/A,#N/A,FALSE,"매출액";#N/A,#N/A,FALSE,"요약손익";#N/A,#N/A,FALSE,"요약대차";#N/A,#N/A,FALSE,"매출채권현황";#N/A,#N/A,FALSE,"매출채권명세"}</definedName>
    <definedName name="DSAFAHSDHFDHF" hidden="1">{#N/A,#N/A,FALSE,"손익표지";#N/A,#N/A,FALSE,"손익계산";#N/A,#N/A,FALSE,"일반관리비";#N/A,#N/A,FALSE,"영업외수익";#N/A,#N/A,FALSE,"영업외비용";#N/A,#N/A,FALSE,"매출액";#N/A,#N/A,FALSE,"요약손익";#N/A,#N/A,FALSE,"요약대차";#N/A,#N/A,FALSE,"매출채권현황";#N/A,#N/A,FALSE,"매출채권명세"}</definedName>
    <definedName name="dsafdadsfadsfa" localSheetId="24" hidden="1">{#N/A,#N/A,FALSE,"이력서&amp;자기소개서"}</definedName>
    <definedName name="dsafdadsfadsfa" localSheetId="18" hidden="1">{#N/A,#N/A,FALSE,"이력서&amp;자기소개서"}</definedName>
    <definedName name="dsafdadsfadsfa" localSheetId="25" hidden="1">{#N/A,#N/A,FALSE,"이력서&amp;자기소개서"}</definedName>
    <definedName name="dsafdadsfadsfa" hidden="1">{#N/A,#N/A,FALSE,"이력서&amp;자기소개서"}</definedName>
    <definedName name="dsd" localSheetId="24" hidden="1">{"Actual",#N/A,FALSE,"(価格)";"Market",#N/A,FALSE,"(価格)";"Plan",#N/A,FALSE,"(価格)"}</definedName>
    <definedName name="dsd" localSheetId="18" hidden="1">{"Actual",#N/A,FALSE,"(価格)";"Market",#N/A,FALSE,"(価格)";"Plan",#N/A,FALSE,"(価格)"}</definedName>
    <definedName name="dsd" localSheetId="25" hidden="1">{"Actual",#N/A,FALSE,"(価格)";"Market",#N/A,FALSE,"(価格)";"Plan",#N/A,FALSE,"(価格)"}</definedName>
    <definedName name="dsd" hidden="1">{"Actual",#N/A,FALSE,"(価格)";"Market",#N/A,FALSE,"(価格)";"Plan",#N/A,FALSE,"(価格)"}</definedName>
    <definedName name="dsfkljsd" localSheetId="24" hidden="1">{#N/A,#N/A,TRUE,"Capex Summ";#N/A,#N/A,TRUE,"Essential Works.tw";#N/A,#N/A,TRUE,"Desirable Works.tw";#N/A,#N/A,TRUE,"Essential Works.rt";#N/A,#N/A,TRUE,"Desirable Works.rt";#N/A,#N/A,TRUE,"Mthly";#N/A,#N/A,TRUE,"Essential Works.ht";#N/A,#N/A,TRUE,"Desirable Works.ht";#N/A,#N/A,TRUE,"Incentives"}</definedName>
    <definedName name="dsfkljsd" localSheetId="18" hidden="1">{#N/A,#N/A,TRUE,"Capex Summ";#N/A,#N/A,TRUE,"Essential Works.tw";#N/A,#N/A,TRUE,"Desirable Works.tw";#N/A,#N/A,TRUE,"Essential Works.rt";#N/A,#N/A,TRUE,"Desirable Works.rt";#N/A,#N/A,TRUE,"Mthly";#N/A,#N/A,TRUE,"Essential Works.ht";#N/A,#N/A,TRUE,"Desirable Works.ht";#N/A,#N/A,TRUE,"Incentives"}</definedName>
    <definedName name="dsfkljsd" localSheetId="25" hidden="1">{#N/A,#N/A,TRUE,"Capex Summ";#N/A,#N/A,TRUE,"Essential Works.tw";#N/A,#N/A,TRUE,"Desirable Works.tw";#N/A,#N/A,TRUE,"Essential Works.rt";#N/A,#N/A,TRUE,"Desirable Works.rt";#N/A,#N/A,TRUE,"Mthly";#N/A,#N/A,TRUE,"Essential Works.ht";#N/A,#N/A,TRUE,"Desirable Works.ht";#N/A,#N/A,TRUE,"Incentives"}</definedName>
    <definedName name="dsfkljsd" hidden="1">{#N/A,#N/A,TRUE,"Capex Summ";#N/A,#N/A,TRUE,"Essential Works.tw";#N/A,#N/A,TRUE,"Desirable Works.tw";#N/A,#N/A,TRUE,"Essential Works.rt";#N/A,#N/A,TRUE,"Desirable Works.rt";#N/A,#N/A,TRUE,"Mthly";#N/A,#N/A,TRUE,"Essential Works.ht";#N/A,#N/A,TRUE,"Desirable Works.ht";#N/A,#N/A,TRUE,"Incentives"}</definedName>
    <definedName name="dsgsdgsd" localSheetId="24" hidden="1">{#N/A,#N/A,FALSE,"5YRASSPl - consol'd";#N/A,#N/A,FALSE,"5YRASSPl - hotel";#N/A,#N/A,FALSE,"5YRASSPl - excl htl";#N/A,#N/A,FALSE,"VarReport";#N/A,#N/A,FALSE,"Sensitivity";#N/A,#N/A,FALSE,"House View ";#N/A,#N/A,FALSE,"KPI"}</definedName>
    <definedName name="dsgsdgsd" localSheetId="18" hidden="1">{#N/A,#N/A,FALSE,"5YRASSPl - consol'd";#N/A,#N/A,FALSE,"5YRASSPl - hotel";#N/A,#N/A,FALSE,"5YRASSPl - excl htl";#N/A,#N/A,FALSE,"VarReport";#N/A,#N/A,FALSE,"Sensitivity";#N/A,#N/A,FALSE,"House View ";#N/A,#N/A,FALSE,"KPI"}</definedName>
    <definedName name="dsgsdgsd" localSheetId="25" hidden="1">{#N/A,#N/A,FALSE,"5YRASSPl - consol'd";#N/A,#N/A,FALSE,"5YRASSPl - hotel";#N/A,#N/A,FALSE,"5YRASSPl - excl htl";#N/A,#N/A,FALSE,"VarReport";#N/A,#N/A,FALSE,"Sensitivity";#N/A,#N/A,FALSE,"House View ";#N/A,#N/A,FALSE,"KPI"}</definedName>
    <definedName name="dsgsdgsd" hidden="1">{#N/A,#N/A,FALSE,"5YRASSPl - consol'd";#N/A,#N/A,FALSE,"5YRASSPl - hotel";#N/A,#N/A,FALSE,"5YRASSPl - excl htl";#N/A,#N/A,FALSE,"VarReport";#N/A,#N/A,FALSE,"Sensitivity";#N/A,#N/A,FALSE,"House View ";#N/A,#N/A,FALSE,"KPI"}</definedName>
    <definedName name="dummy" localSheetId="24" hidden="1">{#N/A,#N/A,FALSE,"Menu";#N/A,#N/A,FALSE,"Sch A";#N/A,#N/A,FALSE,"Print Dummy";#N/A,#N/A,FALSE,"Sch B";#N/A,#N/A,FALSE,"Sch C";#N/A,#N/A,FALSE,"Sch D";#N/A,#N/A,FALSE,"Sch E";#N/A,#N/A,FALSE,"Sch F";#N/A,#N/A,FALSE,"Sch G";#N/A,#N/A,FALSE,"Sch H";#N/A,#N/A,FALSE,"Sch I";#N/A,#N/A,FALSE,"Sch J"}</definedName>
    <definedName name="dummy" localSheetId="18" hidden="1">{#N/A,#N/A,FALSE,"Menu";#N/A,#N/A,FALSE,"Sch A";#N/A,#N/A,FALSE,"Print Dummy";#N/A,#N/A,FALSE,"Sch B";#N/A,#N/A,FALSE,"Sch C";#N/A,#N/A,FALSE,"Sch D";#N/A,#N/A,FALSE,"Sch E";#N/A,#N/A,FALSE,"Sch F";#N/A,#N/A,FALSE,"Sch G";#N/A,#N/A,FALSE,"Sch H";#N/A,#N/A,FALSE,"Sch I";#N/A,#N/A,FALSE,"Sch J"}</definedName>
    <definedName name="dummy" localSheetId="25" hidden="1">{#N/A,#N/A,FALSE,"Menu";#N/A,#N/A,FALSE,"Sch A";#N/A,#N/A,FALSE,"Print Dummy";#N/A,#N/A,FALSE,"Sch B";#N/A,#N/A,FALSE,"Sch C";#N/A,#N/A,FALSE,"Sch D";#N/A,#N/A,FALSE,"Sch E";#N/A,#N/A,FALSE,"Sch F";#N/A,#N/A,FALSE,"Sch G";#N/A,#N/A,FALSE,"Sch H";#N/A,#N/A,FALSE,"Sch I";#N/A,#N/A,FALSE,"Sch J"}</definedName>
    <definedName name="dummy" hidden="1">{#N/A,#N/A,FALSE,"Menu";#N/A,#N/A,FALSE,"Sch A";#N/A,#N/A,FALSE,"Print Dummy";#N/A,#N/A,FALSE,"Sch B";#N/A,#N/A,FALSE,"Sch C";#N/A,#N/A,FALSE,"Sch D";#N/A,#N/A,FALSE,"Sch E";#N/A,#N/A,FALSE,"Sch F";#N/A,#N/A,FALSE,"Sch G";#N/A,#N/A,FALSE,"Sch H";#N/A,#N/A,FALSE,"Sch I";#N/A,#N/A,FALSE,"Sch J"}</definedName>
    <definedName name="DW" localSheetId="24" hidden="1">{"'용역비'!$A$4:$C$8"}</definedName>
    <definedName name="DW" localSheetId="18" hidden="1">{"'용역비'!$A$4:$C$8"}</definedName>
    <definedName name="DW" localSheetId="25" hidden="1">{"'용역비'!$A$4:$C$8"}</definedName>
    <definedName name="DW" hidden="1">{"'용역비'!$A$4:$C$8"}</definedName>
    <definedName name="ee" localSheetId="24" hidden="1">{#N/A,#N/A,FALSE,"단가표지"}</definedName>
    <definedName name="ee" localSheetId="18" hidden="1">{#N/A,#N/A,FALSE,"단가표지"}</definedName>
    <definedName name="ee" localSheetId="25" hidden="1">{#N/A,#N/A,FALSE,"단가표지"}</definedName>
    <definedName name="ee" hidden="1">{#N/A,#N/A,FALSE,"단가표지"}</definedName>
    <definedName name="EE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EE"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EE"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E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eee" localSheetId="24" hidden="1">{#N/A,#N/A,FALSE,"Balance sheet";#N/A,#N/A,FALSE,"Income statement";#N/A,#N/A,FALSE,"FFO statement"}</definedName>
    <definedName name="eeee" localSheetId="18" hidden="1">{#N/A,#N/A,FALSE,"Balance sheet";#N/A,#N/A,FALSE,"Income statement";#N/A,#N/A,FALSE,"FFO statement"}</definedName>
    <definedName name="eeee" localSheetId="25" hidden="1">{#N/A,#N/A,FALSE,"Balance sheet";#N/A,#N/A,FALSE,"Income statement";#N/A,#N/A,FALSE,"FFO statement"}</definedName>
    <definedName name="eeee" hidden="1">{#N/A,#N/A,FALSE,"Balance sheet";#N/A,#N/A,FALSE,"Income statement";#N/A,#N/A,FALSE,"FFO statement"}</definedName>
    <definedName name="eeeeeeee" localSheetId="24" hidden="1">{#N/A,#N/A,FALSE,"Balance sheet";#N/A,#N/A,FALSE,"FAD";#N/A,#N/A,FALSE,"Cashflow";#N/A,#N/A,FALSE,"NAV";#N/A,#N/A,FALSE,"Notes 1-5";#N/A,#N/A,FALSE,"Notes 6-"}</definedName>
    <definedName name="eeeeeeee" localSheetId="18" hidden="1">{#N/A,#N/A,FALSE,"Balance sheet";#N/A,#N/A,FALSE,"FAD";#N/A,#N/A,FALSE,"Cashflow";#N/A,#N/A,FALSE,"NAV";#N/A,#N/A,FALSE,"Notes 1-5";#N/A,#N/A,FALSE,"Notes 6-"}</definedName>
    <definedName name="eeeeeeee" localSheetId="25" hidden="1">{#N/A,#N/A,FALSE,"Balance sheet";#N/A,#N/A,FALSE,"FAD";#N/A,#N/A,FALSE,"Cashflow";#N/A,#N/A,FALSE,"NAV";#N/A,#N/A,FALSE,"Notes 1-5";#N/A,#N/A,FALSE,"Notes 6-"}</definedName>
    <definedName name="eeeeeeee" hidden="1">{#N/A,#N/A,FALSE,"Balance sheet";#N/A,#N/A,FALSE,"FAD";#N/A,#N/A,FALSE,"Cashflow";#N/A,#N/A,FALSE,"NAV";#N/A,#N/A,FALSE,"Notes 1-5";#N/A,#N/A,FALSE,"Notes 6-"}</definedName>
    <definedName name="EFG" localSheetId="24" hidden="1">{"'용역비'!$A$4:$C$8"}</definedName>
    <definedName name="EFG" localSheetId="18" hidden="1">{"'용역비'!$A$4:$C$8"}</definedName>
    <definedName name="EFG" localSheetId="25" hidden="1">{"'용역비'!$A$4:$C$8"}</definedName>
    <definedName name="EFG" hidden="1">{"'용역비'!$A$4:$C$8"}</definedName>
    <definedName name="EGE" localSheetId="24" hidden="1">{"'용역비'!$A$4:$C$8"}</definedName>
    <definedName name="EGE" localSheetId="18" hidden="1">{"'용역비'!$A$4:$C$8"}</definedName>
    <definedName name="EGE" localSheetId="25" hidden="1">{"'용역비'!$A$4:$C$8"}</definedName>
    <definedName name="EGE" hidden="1">{"'용역비'!$A$4:$C$8"}</definedName>
    <definedName name="ej" localSheetId="24" hidden="1">{"'용역비'!$A$4:$C$8"}</definedName>
    <definedName name="ej" localSheetId="18" hidden="1">{"'용역비'!$A$4:$C$8"}</definedName>
    <definedName name="ej" localSheetId="25" hidden="1">{"'용역비'!$A$4:$C$8"}</definedName>
    <definedName name="ej" hidden="1">{"'용역비'!$A$4:$C$8"}</definedName>
    <definedName name="Elect2" localSheetId="24" hidden="1">{#N/A,#N/A,FALSE,"Data Input";#N/A,#N/A,FALSE,"1. Income";#N/A,#N/A,FALSE,"2. Rates &amp; Taxes";#N/A,#N/A,FALSE,"3. Extended Trade";#N/A,#N/A,FALSE,"4. Non Recoverable Expenses";#N/A,#N/A,FALSE,"5. Recoverable Expenses";#N/A,#N/A,FALSE,"6. Cleaning"}</definedName>
    <definedName name="Elect2" localSheetId="18" hidden="1">{#N/A,#N/A,FALSE,"Data Input";#N/A,#N/A,FALSE,"1. Income";#N/A,#N/A,FALSE,"2. Rates &amp; Taxes";#N/A,#N/A,FALSE,"3. Extended Trade";#N/A,#N/A,FALSE,"4. Non Recoverable Expenses";#N/A,#N/A,FALSE,"5. Recoverable Expenses";#N/A,#N/A,FALSE,"6. Cleaning"}</definedName>
    <definedName name="Elect2" localSheetId="25" hidden="1">{#N/A,#N/A,FALSE,"Data Input";#N/A,#N/A,FALSE,"1. Income";#N/A,#N/A,FALSE,"2. Rates &amp; Taxes";#N/A,#N/A,FALSE,"3. Extended Trade";#N/A,#N/A,FALSE,"4. Non Recoverable Expenses";#N/A,#N/A,FALSE,"5. Recoverable Expenses";#N/A,#N/A,FALSE,"6. Cleaning"}</definedName>
    <definedName name="Elect2" hidden="1">{#N/A,#N/A,FALSE,"Data Input";#N/A,#N/A,FALSE,"1. Income";#N/A,#N/A,FALSE,"2. Rates &amp; Taxes";#N/A,#N/A,FALSE,"3. Extended Trade";#N/A,#N/A,FALSE,"4. Non Recoverable Expenses";#N/A,#N/A,FALSE,"5. Recoverable Expenses";#N/A,#N/A,FALSE,"6. Cleaning"}</definedName>
    <definedName name="ELSK" localSheetId="24" hidden="1">{#N/A,#N/A,FALSE,"1.CRITERIA";#N/A,#N/A,FALSE,"2.IS";#N/A,#N/A,FALSE,"3.BS";#N/A,#N/A,FALSE,"4.PER PL";#N/A,#N/A,FALSE,"5.INVESTMENT";#N/A,#N/A,FALSE,"6.공문";#N/A,#N/A,FALSE,"7.netinvest"}</definedName>
    <definedName name="ELSK" localSheetId="18" hidden="1">{#N/A,#N/A,FALSE,"1.CRITERIA";#N/A,#N/A,FALSE,"2.IS";#N/A,#N/A,FALSE,"3.BS";#N/A,#N/A,FALSE,"4.PER PL";#N/A,#N/A,FALSE,"5.INVESTMENT";#N/A,#N/A,FALSE,"6.공문";#N/A,#N/A,FALSE,"7.netinvest"}</definedName>
    <definedName name="ELSK" localSheetId="25" hidden="1">{#N/A,#N/A,FALSE,"1.CRITERIA";#N/A,#N/A,FALSE,"2.IS";#N/A,#N/A,FALSE,"3.BS";#N/A,#N/A,FALSE,"4.PER PL";#N/A,#N/A,FALSE,"5.INVESTMENT";#N/A,#N/A,FALSE,"6.공문";#N/A,#N/A,FALSE,"7.netinvest"}</definedName>
    <definedName name="ELSK" hidden="1">{#N/A,#N/A,FALSE,"1.CRITERIA";#N/A,#N/A,FALSE,"2.IS";#N/A,#N/A,FALSE,"3.BS";#N/A,#N/A,FALSE,"4.PER PL";#N/A,#N/A,FALSE,"5.INVESTMENT";#N/A,#N/A,FALSE,"6.공문";#N/A,#N/A,FALSE,"7.netinvest"}</definedName>
    <definedName name="ENJA"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NJA"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NJA"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NJA"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rifu" localSheetId="24" hidden="1">{"AnnualRentRoll",#N/A,FALSE,"RentRoll"}</definedName>
    <definedName name="erifu" localSheetId="18" hidden="1">{"AnnualRentRoll",#N/A,FALSE,"RentRoll"}</definedName>
    <definedName name="erifu" localSheetId="25" hidden="1">{"AnnualRentRoll",#N/A,FALSE,"RentRoll"}</definedName>
    <definedName name="erifu" hidden="1">{"AnnualRentRoll",#N/A,FALSE,"RentRoll"}</definedName>
    <definedName name="eriuf" localSheetId="24" hidden="1">{#N/A,#N/A,FALSE,"Summary"}</definedName>
    <definedName name="eriuf" localSheetId="18" hidden="1">{#N/A,#N/A,FALSE,"Summary"}</definedName>
    <definedName name="eriuf" localSheetId="25" hidden="1">{#N/A,#N/A,FALSE,"Summary"}</definedName>
    <definedName name="eriuf" hidden="1">{#N/A,#N/A,FALSE,"Summary"}</definedName>
    <definedName name="erjkfu" localSheetId="24" hidden="1">{#N/A,#N/A,FALSE,"LoanAssumptions"}</definedName>
    <definedName name="erjkfu" localSheetId="18" hidden="1">{#N/A,#N/A,FALSE,"LoanAssumptions"}</definedName>
    <definedName name="erjkfu" localSheetId="25" hidden="1">{#N/A,#N/A,FALSE,"LoanAssumptions"}</definedName>
    <definedName name="erjkfu" hidden="1">{#N/A,#N/A,FALSE,"LoanAssumptions"}</definedName>
    <definedName name="erkju" localSheetId="24" hidden="1">{#N/A,#N/A,FALSE,"LoanAssumptions"}</definedName>
    <definedName name="erkju" localSheetId="18" hidden="1">{#N/A,#N/A,FALSE,"LoanAssumptions"}</definedName>
    <definedName name="erkju" localSheetId="25" hidden="1">{#N/A,#N/A,FALSE,"LoanAssumptions"}</definedName>
    <definedName name="erkju" hidden="1">{#N/A,#N/A,FALSE,"LoanAssumptions"}</definedName>
    <definedName name="erlkjf" localSheetId="24" hidden="1">{"AnnualRentRoll",#N/A,FALSE,"RentRoll"}</definedName>
    <definedName name="erlkjf" localSheetId="18" hidden="1">{"AnnualRentRoll",#N/A,FALSE,"RentRoll"}</definedName>
    <definedName name="erlkjf" localSheetId="25" hidden="1">{"AnnualRentRoll",#N/A,FALSE,"RentRoll"}</definedName>
    <definedName name="erlkjf" hidden="1">{"AnnualRentRoll",#N/A,FALSE,"RentRoll"}</definedName>
    <definedName name="erlkjuf" localSheetId="24" hidden="1">{"MonthlyRentRoll",#N/A,FALSE,"RentRoll"}</definedName>
    <definedName name="erlkjuf" localSheetId="18" hidden="1">{"MonthlyRentRoll",#N/A,FALSE,"RentRoll"}</definedName>
    <definedName name="erlkjuf" localSheetId="25" hidden="1">{"MonthlyRentRoll",#N/A,FALSE,"RentRoll"}</definedName>
    <definedName name="erlkjuf" hidden="1">{"MonthlyRentRoll",#N/A,FALSE,"RentRoll"}</definedName>
    <definedName name="Err_Chk_10_Hdg" hidden="1">"Update Heading"</definedName>
    <definedName name="errrr" localSheetId="24" hidden="1">{"AnnualRentRoll",#N/A,FALSE,"RentRoll"}</definedName>
    <definedName name="errrr" localSheetId="18" hidden="1">{"AnnualRentRoll",#N/A,FALSE,"RentRoll"}</definedName>
    <definedName name="errrr" localSheetId="25" hidden="1">{"AnnualRentRoll",#N/A,FALSE,"RentRoll"}</definedName>
    <definedName name="errrr" hidden="1">{"AnnualRentRoll",#N/A,FALSE,"RentRoll"}</definedName>
    <definedName name="ertyertye" localSheetId="24" hidden="1">{"'용역비'!$A$4:$C$8"}</definedName>
    <definedName name="ertyertye" localSheetId="18" hidden="1">{"'용역비'!$A$4:$C$8"}</definedName>
    <definedName name="ertyertye" localSheetId="25" hidden="1">{"'용역비'!$A$4:$C$8"}</definedName>
    <definedName name="ertyertye" hidden="1">{"'용역비'!$A$4:$C$8"}</definedName>
    <definedName name="erukffffffffff" localSheetId="24" hidden="1">{"AnnualRentRoll",#N/A,FALSE,"RentRoll"}</definedName>
    <definedName name="erukffffffffff" localSheetId="18" hidden="1">{"AnnualRentRoll",#N/A,FALSE,"RentRoll"}</definedName>
    <definedName name="erukffffffffff" localSheetId="25" hidden="1">{"AnnualRentRoll",#N/A,FALSE,"RentRoll"}</definedName>
    <definedName name="erukffffffffff" hidden="1">{"AnnualRentRoll",#N/A,FALSE,"RentRoll"}</definedName>
    <definedName name="eruvvvv" localSheetId="24" hidden="1">{"AnnualRentRoll",#N/A,FALSE,"RentRoll"}</definedName>
    <definedName name="eruvvvv" localSheetId="18" hidden="1">{"AnnualRentRoll",#N/A,FALSE,"RentRoll"}</definedName>
    <definedName name="eruvvvv" localSheetId="25" hidden="1">{"AnnualRentRoll",#N/A,FALSE,"RentRoll"}</definedName>
    <definedName name="eruvvvv" hidden="1">{"AnnualRentRoll",#N/A,FALSE,"RentRoll"}</definedName>
    <definedName name="es">'A&amp;R'!$AM$34</definedName>
    <definedName name="ETYETY" localSheetId="24" hidden="1">{"'용역비'!$A$4:$C$8"}</definedName>
    <definedName name="ETYETY" localSheetId="18" hidden="1">{"'용역비'!$A$4:$C$8"}</definedName>
    <definedName name="ETYETY" localSheetId="25" hidden="1">{"'용역비'!$A$4:$C$8"}</definedName>
    <definedName name="ETYETY" hidden="1">{"'용역비'!$A$4:$C$8"}</definedName>
    <definedName name="etyj" localSheetId="24" hidden="1">{"'용역비'!$A$4:$C$8"}</definedName>
    <definedName name="etyj" localSheetId="18" hidden="1">{"'용역비'!$A$4:$C$8"}</definedName>
    <definedName name="etyj" localSheetId="25" hidden="1">{"'용역비'!$A$4:$C$8"}</definedName>
    <definedName name="etyj" hidden="1">{"'용역비'!$A$4:$C$8"}</definedName>
    <definedName name="etyjj" localSheetId="24" hidden="1">{"'용역비'!$A$4:$C$8"}</definedName>
    <definedName name="etyjj" localSheetId="18" hidden="1">{"'용역비'!$A$4:$C$8"}</definedName>
    <definedName name="etyjj" localSheetId="25" hidden="1">{"'용역비'!$A$4:$C$8"}</definedName>
    <definedName name="etyjj" hidden="1">{"'용역비'!$A$4:$C$8"}</definedName>
    <definedName name="ETYJTYJ" localSheetId="24" hidden="1">{"'용역비'!$A$4:$C$8"}</definedName>
    <definedName name="ETYJTYJ" localSheetId="18" hidden="1">{"'용역비'!$A$4:$C$8"}</definedName>
    <definedName name="ETYJTYJ" localSheetId="25" hidden="1">{"'용역비'!$A$4:$C$8"}</definedName>
    <definedName name="ETYJTYJ" hidden="1">{"'용역비'!$A$4:$C$8"}</definedName>
    <definedName name="EV__LASTREFTIME__" hidden="1">41179.6348611111</definedName>
    <definedName name="ex">'A&amp;R'!$AM$34</definedName>
    <definedName name="ExpandOutputs" localSheetId="24">REPORT!ExpandOutputs</definedName>
    <definedName name="ExpandOutputs" localSheetId="18">'Report-sj'!ExpandOutputs</definedName>
    <definedName name="ExpandOutputs" localSheetId="25">수정사항!ExpandOutputs</definedName>
    <definedName name="ExpandOutputs">[0]!ExpandOutputs</definedName>
    <definedName name="ExpandVPeriods" localSheetId="24">REPORT!ExpandVPeriods</definedName>
    <definedName name="ExpandVPeriods" localSheetId="18">'Report-sj'!ExpandVPeriods</definedName>
    <definedName name="ExpandVPeriods" localSheetId="25">수정사항!ExpandVPeriods</definedName>
    <definedName name="ExpandVPeriods">[0]!ExpandVPeriods</definedName>
    <definedName name="ExportFile" localSheetId="24">REPORT!ExportFile</definedName>
    <definedName name="ExportFile" localSheetId="18">'Report-sj'!ExportFile</definedName>
    <definedName name="ExportFile" localSheetId="25">수정사항!ExportFile</definedName>
    <definedName name="ExportFile">[0]!ExportFile</definedName>
    <definedName name="FD" localSheetId="24" hidden="1">{#N/A,#N/A,FALSE,"Aging Summary";#N/A,#N/A,FALSE,"Ratio Analysis";#N/A,#N/A,FALSE,"Test 120 Day Accts";#N/A,#N/A,FALSE,"Tickmarks"}</definedName>
    <definedName name="FD" localSheetId="18" hidden="1">{#N/A,#N/A,FALSE,"Aging Summary";#N/A,#N/A,FALSE,"Ratio Analysis";#N/A,#N/A,FALSE,"Test 120 Day Accts";#N/A,#N/A,FALSE,"Tickmarks"}</definedName>
    <definedName name="FD" localSheetId="25" hidden="1">{#N/A,#N/A,FALSE,"Aging Summary";#N/A,#N/A,FALSE,"Ratio Analysis";#N/A,#N/A,FALSE,"Test 120 Day Accts";#N/A,#N/A,FALSE,"Tickmarks"}</definedName>
    <definedName name="FD" hidden="1">{#N/A,#N/A,FALSE,"Aging Summary";#N/A,#N/A,FALSE,"Ratio Analysis";#N/A,#N/A,FALSE,"Test 120 Day Accts";#N/A,#N/A,FALSE,"Tickmarks"}</definedName>
    <definedName name="FDFD"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FDFD"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FDFD" localSheetId="25"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FDFD"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fdfdf" localSheetId="24" hidden="1">{#N/A,#N/A,FALSE,"손익표지";#N/A,#N/A,FALSE,"손익계산";#N/A,#N/A,FALSE,"일반관리비";#N/A,#N/A,FALSE,"영업외수익";#N/A,#N/A,FALSE,"영업외비용";#N/A,#N/A,FALSE,"매출액";#N/A,#N/A,FALSE,"요약손익";#N/A,#N/A,FALSE,"요약대차";#N/A,#N/A,FALSE,"매출채권현황";#N/A,#N/A,FALSE,"매출채권명세"}</definedName>
    <definedName name="fdfdf" localSheetId="18" hidden="1">{#N/A,#N/A,FALSE,"손익표지";#N/A,#N/A,FALSE,"손익계산";#N/A,#N/A,FALSE,"일반관리비";#N/A,#N/A,FALSE,"영업외수익";#N/A,#N/A,FALSE,"영업외비용";#N/A,#N/A,FALSE,"매출액";#N/A,#N/A,FALSE,"요약손익";#N/A,#N/A,FALSE,"요약대차";#N/A,#N/A,FALSE,"매출채권현황";#N/A,#N/A,FALSE,"매출채권명세"}</definedName>
    <definedName name="fdfdf" localSheetId="25" hidden="1">{#N/A,#N/A,FALSE,"손익표지";#N/A,#N/A,FALSE,"손익계산";#N/A,#N/A,FALSE,"일반관리비";#N/A,#N/A,FALSE,"영업외수익";#N/A,#N/A,FALSE,"영업외비용";#N/A,#N/A,FALSE,"매출액";#N/A,#N/A,FALSE,"요약손익";#N/A,#N/A,FALSE,"요약대차";#N/A,#N/A,FALSE,"매출채권현황";#N/A,#N/A,FALSE,"매출채권명세"}</definedName>
    <definedName name="fdfdf" hidden="1">{#N/A,#N/A,FALSE,"손익표지";#N/A,#N/A,FALSE,"손익계산";#N/A,#N/A,FALSE,"일반관리비";#N/A,#N/A,FALSE,"영업외수익";#N/A,#N/A,FALSE,"영업외비용";#N/A,#N/A,FALSE,"매출액";#N/A,#N/A,FALSE,"요약손익";#N/A,#N/A,FALSE,"요약대차";#N/A,#N/A,FALSE,"매출채권현황";#N/A,#N/A,FALSE,"매출채권명세"}</definedName>
    <definedName name="fdfdfd" localSheetId="24" hidden="1">{#N/A,#N/A,FALSE,"CAPREIT"}</definedName>
    <definedName name="fdfdfd" localSheetId="18" hidden="1">{#N/A,#N/A,FALSE,"CAPREIT"}</definedName>
    <definedName name="fdfdfd" localSheetId="25" hidden="1">{#N/A,#N/A,FALSE,"CAPREIT"}</definedName>
    <definedName name="fdfdfd" hidden="1">{#N/A,#N/A,FALSE,"CAPREIT"}</definedName>
    <definedName name="fdfdfdf" localSheetId="24" hidden="1">{#N/A,#N/A,FALSE,"CAPREIT"}</definedName>
    <definedName name="fdfdfdf" localSheetId="18" hidden="1">{#N/A,#N/A,FALSE,"CAPREIT"}</definedName>
    <definedName name="fdfdfdf" localSheetId="25" hidden="1">{#N/A,#N/A,FALSE,"CAPREIT"}</definedName>
    <definedName name="fdfdfdf" hidden="1">{#N/A,#N/A,FALSE,"CAPREIT"}</definedName>
    <definedName name="ferudr" localSheetId="24" hidden="1">{#N/A,#N/A,FALSE,"OperatingAssumptions"}</definedName>
    <definedName name="ferudr" localSheetId="18" hidden="1">{#N/A,#N/A,FALSE,"OperatingAssumptions"}</definedName>
    <definedName name="ferudr" localSheetId="25" hidden="1">{#N/A,#N/A,FALSE,"OperatingAssumptions"}</definedName>
    <definedName name="ferudr" hidden="1">{#N/A,#N/A,FALSE,"OperatingAssumptions"}</definedName>
    <definedName name="ferul" localSheetId="24" hidden="1">{#N/A,#N/A,FALSE,"LoanAssumptions"}</definedName>
    <definedName name="ferul" localSheetId="18" hidden="1">{#N/A,#N/A,FALSE,"LoanAssumptions"}</definedName>
    <definedName name="ferul" localSheetId="25" hidden="1">{#N/A,#N/A,FALSE,"LoanAssumptions"}</definedName>
    <definedName name="ferul" hidden="1">{#N/A,#N/A,FALSE,"LoanAssumptions"}</definedName>
    <definedName name="ffff" localSheetId="24" hidden="1">{"AJD",#N/A,TRUE,"Summary";"AJD",#N/A,TRUE,"CFCONC-outputs";"AJD",#N/A,TRUE,"P&amp;LCONC-outputs";"AJD",#N/A,TRUE,"BSCONC-outputs";"AJD",#N/A,TRUE,"FSCONC-outputs"}</definedName>
    <definedName name="ffff" localSheetId="18" hidden="1">{"AJD",#N/A,TRUE,"Summary";"AJD",#N/A,TRUE,"CFCONC-outputs";"AJD",#N/A,TRUE,"P&amp;LCONC-outputs";"AJD",#N/A,TRUE,"BSCONC-outputs";"AJD",#N/A,TRUE,"FSCONC-outputs"}</definedName>
    <definedName name="ffff" localSheetId="25" hidden="1">{"AJD",#N/A,TRUE,"Summary";"AJD",#N/A,TRUE,"CFCONC-outputs";"AJD",#N/A,TRUE,"P&amp;LCONC-outputs";"AJD",#N/A,TRUE,"BSCONC-outputs";"AJD",#N/A,TRUE,"FSCONC-outputs"}</definedName>
    <definedName name="ffff" hidden="1">{"AJD",#N/A,TRUE,"Summary";"AJD",#N/A,TRUE,"CFCONC-outputs";"AJD",#N/A,TRUE,"P&amp;LCONC-outputs";"AJD",#N/A,TRUE,"BSCONC-outputs";"AJD",#N/A,TRUE,"FSCONC-outputs"}</definedName>
    <definedName name="FGFDSG" localSheetId="24" hidden="1">{"'Firr(선)'!$AS$1:$AY$62","'Firr(사)'!$AS$1:$AY$62","'Firr(회)'!$AS$1:$AY$62","'Firr(선)'!$L$1:$V$62","'Firr(사)'!$L$1:$V$62","'Firr(회)'!$L$1:$V$62"}</definedName>
    <definedName name="FGFDSG" localSheetId="18" hidden="1">{"'Firr(선)'!$AS$1:$AY$62","'Firr(사)'!$AS$1:$AY$62","'Firr(회)'!$AS$1:$AY$62","'Firr(선)'!$L$1:$V$62","'Firr(사)'!$L$1:$V$62","'Firr(회)'!$L$1:$V$62"}</definedName>
    <definedName name="FGFDSG" localSheetId="25" hidden="1">{"'Firr(선)'!$AS$1:$AY$62","'Firr(사)'!$AS$1:$AY$62","'Firr(회)'!$AS$1:$AY$62","'Firr(선)'!$L$1:$V$62","'Firr(사)'!$L$1:$V$62","'Firr(회)'!$L$1:$V$62"}</definedName>
    <definedName name="FGFDSG" hidden="1">{"'Firr(선)'!$AS$1:$AY$62","'Firr(사)'!$AS$1:$AY$62","'Firr(회)'!$AS$1:$AY$62","'Firr(선)'!$L$1:$V$62","'Firr(사)'!$L$1:$V$62","'Firr(회)'!$L$1:$V$62"}</definedName>
    <definedName name="FHGFH" localSheetId="24" hidden="1">{#N/A,#N/A,FALSE,"손익표지";#N/A,#N/A,FALSE,"손익계산";#N/A,#N/A,FALSE,"일반관리비";#N/A,#N/A,FALSE,"영업외수익";#N/A,#N/A,FALSE,"영업외비용";#N/A,#N/A,FALSE,"매출액";#N/A,#N/A,FALSE,"요약손익";#N/A,#N/A,FALSE,"요약대차";#N/A,#N/A,FALSE,"매출채권현황";#N/A,#N/A,FALSE,"매출채권명세"}</definedName>
    <definedName name="FHGFH" localSheetId="18" hidden="1">{#N/A,#N/A,FALSE,"손익표지";#N/A,#N/A,FALSE,"손익계산";#N/A,#N/A,FALSE,"일반관리비";#N/A,#N/A,FALSE,"영업외수익";#N/A,#N/A,FALSE,"영업외비용";#N/A,#N/A,FALSE,"매출액";#N/A,#N/A,FALSE,"요약손익";#N/A,#N/A,FALSE,"요약대차";#N/A,#N/A,FALSE,"매출채권현황";#N/A,#N/A,FALSE,"매출채권명세"}</definedName>
    <definedName name="FHGFH" localSheetId="25" hidden="1">{#N/A,#N/A,FALSE,"손익표지";#N/A,#N/A,FALSE,"손익계산";#N/A,#N/A,FALSE,"일반관리비";#N/A,#N/A,FALSE,"영업외수익";#N/A,#N/A,FALSE,"영업외비용";#N/A,#N/A,FALSE,"매출액";#N/A,#N/A,FALSE,"요약손익";#N/A,#N/A,FALSE,"요약대차";#N/A,#N/A,FALSE,"매출채권현황";#N/A,#N/A,FALSE,"매출채권명세"}</definedName>
    <definedName name="FHGFH" hidden="1">{#N/A,#N/A,FALSE,"손익표지";#N/A,#N/A,FALSE,"손익계산";#N/A,#N/A,FALSE,"일반관리비";#N/A,#N/A,FALSE,"영업외수익";#N/A,#N/A,FALSE,"영업외비용";#N/A,#N/A,FALSE,"매출액";#N/A,#N/A,FALSE,"요약손익";#N/A,#N/A,FALSE,"요약대차";#N/A,#N/A,FALSE,"매출채권현황";#N/A,#N/A,FALSE,"매출채권명세"}</definedName>
    <definedName name="fila" localSheetId="24" hidden="1">{#N/A,#N/A,FALSE,"채권채무";#N/A,#N/A,FALSE,"control sheet"}</definedName>
    <definedName name="fila" localSheetId="18" hidden="1">{#N/A,#N/A,FALSE,"채권채무";#N/A,#N/A,FALSE,"control sheet"}</definedName>
    <definedName name="fila" localSheetId="25" hidden="1">{#N/A,#N/A,FALSE,"채권채무";#N/A,#N/A,FALSE,"control sheet"}</definedName>
    <definedName name="fila" hidden="1">{#N/A,#N/A,FALSE,"채권채무";#N/A,#N/A,FALSE,"control sheet"}</definedName>
    <definedName name="fill" hidden="1">#N/A</definedName>
    <definedName name="FK" localSheetId="24" hidden="1">{"'용역비'!$A$4:$C$8"}</definedName>
    <definedName name="FK" localSheetId="18" hidden="1">{"'용역비'!$A$4:$C$8"}</definedName>
    <definedName name="FK" localSheetId="25" hidden="1">{"'용역비'!$A$4:$C$8"}</definedName>
    <definedName name="FK" hidden="1">{"'용역비'!$A$4:$C$8"}</definedName>
    <definedName name="fljkod" localSheetId="24" hidden="1">{#N/A,#N/A,FALSE,"이력서&amp;자기소개서"}</definedName>
    <definedName name="fljkod" localSheetId="18" hidden="1">{#N/A,#N/A,FALSE,"이력서&amp;자기소개서"}</definedName>
    <definedName name="fljkod" localSheetId="25" hidden="1">{#N/A,#N/A,FALSE,"이력서&amp;자기소개서"}</definedName>
    <definedName name="fljkod" hidden="1">{#N/A,#N/A,FALSE,"이력서&amp;자기소개서"}</definedName>
    <definedName name="FM" localSheetId="24">REPORT!FM</definedName>
    <definedName name="FM" localSheetId="18">'Report-sj'!FM</definedName>
    <definedName name="FM" localSheetId="25">수정사항!FM</definedName>
    <definedName name="FM">[0]!FM</definedName>
    <definedName name="FM계약일할" localSheetId="24" hidden="1">{#N/A,#N/A,TRUE,"대 차 대 조 표"}</definedName>
    <definedName name="FM계약일할" localSheetId="18" hidden="1">{#N/A,#N/A,TRUE,"대 차 대 조 표"}</definedName>
    <definedName name="FM계약일할" localSheetId="25" hidden="1">{#N/A,#N/A,TRUE,"대 차 대 조 표"}</definedName>
    <definedName name="FM계약일할" hidden="1">{#N/A,#N/A,TRUE,"대 차 대 조 표"}</definedName>
    <definedName name="FM계약일할_1" localSheetId="24" hidden="1">{#N/A,#N/A,TRUE,"대 차 대 조 표"}</definedName>
    <definedName name="FM계약일할_1" localSheetId="18" hidden="1">{#N/A,#N/A,TRUE,"대 차 대 조 표"}</definedName>
    <definedName name="FM계약일할_1" localSheetId="25" hidden="1">{#N/A,#N/A,TRUE,"대 차 대 조 표"}</definedName>
    <definedName name="FM계약일할_1" hidden="1">{#N/A,#N/A,TRUE,"대 차 대 조 표"}</definedName>
    <definedName name="FoodCourt" localSheetId="24" hidden="1">{#N/A,#N/A,FALSE,"Menu";#N/A,#N/A,FALSE,"Sch A";#N/A,#N/A,FALSE,"Print Dummy";#N/A,#N/A,FALSE,"Sch B";#N/A,#N/A,FALSE,"Sch C";#N/A,#N/A,FALSE,"Sch D";#N/A,#N/A,FALSE,"Sch E";#N/A,#N/A,FALSE,"Sch F";#N/A,#N/A,FALSE,"Sch G";#N/A,#N/A,FALSE,"Sch H";#N/A,#N/A,FALSE,"Sch I";#N/A,#N/A,FALSE,"Sch J"}</definedName>
    <definedName name="FoodCourt" localSheetId="18" hidden="1">{#N/A,#N/A,FALSE,"Menu";#N/A,#N/A,FALSE,"Sch A";#N/A,#N/A,FALSE,"Print Dummy";#N/A,#N/A,FALSE,"Sch B";#N/A,#N/A,FALSE,"Sch C";#N/A,#N/A,FALSE,"Sch D";#N/A,#N/A,FALSE,"Sch E";#N/A,#N/A,FALSE,"Sch F";#N/A,#N/A,FALSE,"Sch G";#N/A,#N/A,FALSE,"Sch H";#N/A,#N/A,FALSE,"Sch I";#N/A,#N/A,FALSE,"Sch J"}</definedName>
    <definedName name="FoodCourt" localSheetId="25" hidden="1">{#N/A,#N/A,FALSE,"Menu";#N/A,#N/A,FALSE,"Sch A";#N/A,#N/A,FALSE,"Print Dummy";#N/A,#N/A,FALSE,"Sch B";#N/A,#N/A,FALSE,"Sch C";#N/A,#N/A,FALSE,"Sch D";#N/A,#N/A,FALSE,"Sch E";#N/A,#N/A,FALSE,"Sch F";#N/A,#N/A,FALSE,"Sch G";#N/A,#N/A,FALSE,"Sch H";#N/A,#N/A,FALSE,"Sch I";#N/A,#N/A,FALSE,"Sch J"}</definedName>
    <definedName name="FoodCourt" hidden="1">{#N/A,#N/A,FALSE,"Menu";#N/A,#N/A,FALSE,"Sch A";#N/A,#N/A,FALSE,"Print Dummy";#N/A,#N/A,FALSE,"Sch B";#N/A,#N/A,FALSE,"Sch C";#N/A,#N/A,FALSE,"Sch D";#N/A,#N/A,FALSE,"Sch E";#N/A,#N/A,FALSE,"Sch F";#N/A,#N/A,FALSE,"Sch G";#N/A,#N/A,FALSE,"Sch H";#N/A,#N/A,FALSE,"Sch I";#N/A,#N/A,FALSE,"Sch J"}</definedName>
    <definedName name="fueki" localSheetId="24" hidden="1">{"summary",#N/A,TRUE,"Focus";"interestexpense",#N/A,TRUE,"Focus";"interestincome",#N/A,TRUE,"Focus";"dividend",#N/A,TRUE,"Focus";"feeincome",#N/A,TRUE,"Focus";"gain",#N/A,TRUE,"Focus"}</definedName>
    <definedName name="fueki" localSheetId="18" hidden="1">{"summary",#N/A,TRUE,"Focus";"interestexpense",#N/A,TRUE,"Focus";"interestincome",#N/A,TRUE,"Focus";"dividend",#N/A,TRUE,"Focus";"feeincome",#N/A,TRUE,"Focus";"gain",#N/A,TRUE,"Focus"}</definedName>
    <definedName name="fueki" localSheetId="25" hidden="1">{"summary",#N/A,TRUE,"Focus";"interestexpense",#N/A,TRUE,"Focus";"interestincome",#N/A,TRUE,"Focus";"dividend",#N/A,TRUE,"Focus";"feeincome",#N/A,TRUE,"Focus";"gain",#N/A,TRUE,"Focus"}</definedName>
    <definedName name="fueki" hidden="1">{"summary",#N/A,TRUE,"Focus";"interestexpense",#N/A,TRUE,"Focus";"interestincome",#N/A,TRUE,"Focus";"dividend",#N/A,TRUE,"Focus";"feeincome",#N/A,TRUE,"Focus";"gain",#N/A,TRUE,"Focus"}</definedName>
    <definedName name="fulmer" localSheetId="24" hidden="1">{#N/A,#N/A,FALSE,"1Executive Summary";#N/A,#N/A,FALSE,"2Assumptions (Input)";#N/A,#N/A,FALSE,"3Cash Flow Analysis";#N/A,#N/A,FALSE,"4Year One Financial Summary";#N/A,#N/A,FALSE,"5Value Matrix";#N/A,#N/A,FALSE,"Greenline Form Page 1";#N/A,#N/A,FALSE,"Greenline Form Page 2"}</definedName>
    <definedName name="fulmer" localSheetId="18" hidden="1">{#N/A,#N/A,FALSE,"1Executive Summary";#N/A,#N/A,FALSE,"2Assumptions (Input)";#N/A,#N/A,FALSE,"3Cash Flow Analysis";#N/A,#N/A,FALSE,"4Year One Financial Summary";#N/A,#N/A,FALSE,"5Value Matrix";#N/A,#N/A,FALSE,"Greenline Form Page 1";#N/A,#N/A,FALSE,"Greenline Form Page 2"}</definedName>
    <definedName name="fulmer" localSheetId="25" hidden="1">{#N/A,#N/A,FALSE,"1Executive Summary";#N/A,#N/A,FALSE,"2Assumptions (Input)";#N/A,#N/A,FALSE,"3Cash Flow Analysis";#N/A,#N/A,FALSE,"4Year One Financial Summary";#N/A,#N/A,FALSE,"5Value Matrix";#N/A,#N/A,FALSE,"Greenline Form Page 1";#N/A,#N/A,FALSE,"Greenline Form Page 2"}</definedName>
    <definedName name="fulmer" hidden="1">{#N/A,#N/A,FALSE,"1Executive Summary";#N/A,#N/A,FALSE,"2Assumptions (Input)";#N/A,#N/A,FALSE,"3Cash Flow Analysis";#N/A,#N/A,FALSE,"4Year One Financial Summary";#N/A,#N/A,FALSE,"5Value Matrix";#N/A,#N/A,FALSE,"Greenline Form Page 1";#N/A,#N/A,FALSE,"Greenline Form Page 2"}</definedName>
    <definedName name="FUYU" localSheetId="24" hidden="1">{#N/A,#N/A,FALSE,"단축1";#N/A,#N/A,FALSE,"단축2";#N/A,#N/A,FALSE,"단축3";#N/A,#N/A,FALSE,"장축";#N/A,#N/A,FALSE,"4WD"}</definedName>
    <definedName name="FUYU" localSheetId="18" hidden="1">{#N/A,#N/A,FALSE,"단축1";#N/A,#N/A,FALSE,"단축2";#N/A,#N/A,FALSE,"단축3";#N/A,#N/A,FALSE,"장축";#N/A,#N/A,FALSE,"4WD"}</definedName>
    <definedName name="FUYU" localSheetId="25" hidden="1">{#N/A,#N/A,FALSE,"단축1";#N/A,#N/A,FALSE,"단축2";#N/A,#N/A,FALSE,"단축3";#N/A,#N/A,FALSE,"장축";#N/A,#N/A,FALSE,"4WD"}</definedName>
    <definedName name="FUYU" hidden="1">{#N/A,#N/A,FALSE,"단축1";#N/A,#N/A,FALSE,"단축2";#N/A,#N/A,FALSE,"단축3";#N/A,#N/A,FALSE,"장축";#N/A,#N/A,FALSE,"4WD"}</definedName>
    <definedName name="GEMCO" hidden="1">#N/A</definedName>
    <definedName name="GFDJ" localSheetId="24" hidden="1">{#N/A,#N/A,FALSE,"손익표지";#N/A,#N/A,FALSE,"손익계산";#N/A,#N/A,FALSE,"일반관리비";#N/A,#N/A,FALSE,"영업외수익";#N/A,#N/A,FALSE,"영업외비용";#N/A,#N/A,FALSE,"매출액";#N/A,#N/A,FALSE,"요약손익";#N/A,#N/A,FALSE,"요약대차";#N/A,#N/A,FALSE,"매출채권현황";#N/A,#N/A,FALSE,"매출채권명세"}</definedName>
    <definedName name="GFDJ" localSheetId="18" hidden="1">{#N/A,#N/A,FALSE,"손익표지";#N/A,#N/A,FALSE,"손익계산";#N/A,#N/A,FALSE,"일반관리비";#N/A,#N/A,FALSE,"영업외수익";#N/A,#N/A,FALSE,"영업외비용";#N/A,#N/A,FALSE,"매출액";#N/A,#N/A,FALSE,"요약손익";#N/A,#N/A,FALSE,"요약대차";#N/A,#N/A,FALSE,"매출채권현황";#N/A,#N/A,FALSE,"매출채권명세"}</definedName>
    <definedName name="GFDJ" localSheetId="25" hidden="1">{#N/A,#N/A,FALSE,"손익표지";#N/A,#N/A,FALSE,"손익계산";#N/A,#N/A,FALSE,"일반관리비";#N/A,#N/A,FALSE,"영업외수익";#N/A,#N/A,FALSE,"영업외비용";#N/A,#N/A,FALSE,"매출액";#N/A,#N/A,FALSE,"요약손익";#N/A,#N/A,FALSE,"요약대차";#N/A,#N/A,FALSE,"매출채권현황";#N/A,#N/A,FALSE,"매출채권명세"}</definedName>
    <definedName name="GFDJ" hidden="1">{#N/A,#N/A,FALSE,"손익표지";#N/A,#N/A,FALSE,"손익계산";#N/A,#N/A,FALSE,"일반관리비";#N/A,#N/A,FALSE,"영업외수익";#N/A,#N/A,FALSE,"영업외비용";#N/A,#N/A,FALSE,"매출액";#N/A,#N/A,FALSE,"요약손익";#N/A,#N/A,FALSE,"요약대차";#N/A,#N/A,FALSE,"매출채권현황";#N/A,#N/A,FALSE,"매출채권명세"}</definedName>
    <definedName name="GFHGF" localSheetId="24" hidden="1">{#N/A,#N/A,FALSE,"손익표지";#N/A,#N/A,FALSE,"손익계산";#N/A,#N/A,FALSE,"일반관리비";#N/A,#N/A,FALSE,"영업외수익";#N/A,#N/A,FALSE,"영업외비용";#N/A,#N/A,FALSE,"매출액";#N/A,#N/A,FALSE,"요약손익";#N/A,#N/A,FALSE,"요약대차";#N/A,#N/A,FALSE,"매출채권현황";#N/A,#N/A,FALSE,"매출채권명세"}</definedName>
    <definedName name="GFHGF" localSheetId="18" hidden="1">{#N/A,#N/A,FALSE,"손익표지";#N/A,#N/A,FALSE,"손익계산";#N/A,#N/A,FALSE,"일반관리비";#N/A,#N/A,FALSE,"영업외수익";#N/A,#N/A,FALSE,"영업외비용";#N/A,#N/A,FALSE,"매출액";#N/A,#N/A,FALSE,"요약손익";#N/A,#N/A,FALSE,"요약대차";#N/A,#N/A,FALSE,"매출채권현황";#N/A,#N/A,FALSE,"매출채권명세"}</definedName>
    <definedName name="GFHGF" localSheetId="25" hidden="1">{#N/A,#N/A,FALSE,"손익표지";#N/A,#N/A,FALSE,"손익계산";#N/A,#N/A,FALSE,"일반관리비";#N/A,#N/A,FALSE,"영업외수익";#N/A,#N/A,FALSE,"영업외비용";#N/A,#N/A,FALSE,"매출액";#N/A,#N/A,FALSE,"요약손익";#N/A,#N/A,FALSE,"요약대차";#N/A,#N/A,FALSE,"매출채권현황";#N/A,#N/A,FALSE,"매출채권명세"}</definedName>
    <definedName name="GFHGF" hidden="1">{#N/A,#N/A,FALSE,"손익표지";#N/A,#N/A,FALSE,"손익계산";#N/A,#N/A,FALSE,"일반관리비";#N/A,#N/A,FALSE,"영업외수익";#N/A,#N/A,FALSE,"영업외비용";#N/A,#N/A,FALSE,"매출액";#N/A,#N/A,FALSE,"요약손익";#N/A,#N/A,FALSE,"요약대차";#N/A,#N/A,FALSE,"매출채권현황";#N/A,#N/A,FALSE,"매출채권명세"}</definedName>
    <definedName name="GFHT" localSheetId="24" hidden="1">{#N/A,#N/A,FALSE,"동부"}</definedName>
    <definedName name="GFHT" localSheetId="18" hidden="1">{#N/A,#N/A,FALSE,"동부"}</definedName>
    <definedName name="GFHT" localSheetId="25" hidden="1">{#N/A,#N/A,FALSE,"동부"}</definedName>
    <definedName name="GFHT" hidden="1">{#N/A,#N/A,FALSE,"동부"}</definedName>
    <definedName name="gg_1" localSheetId="24" hidden="1">{#N/A,#N/A,FALSE,"Aging Summary";#N/A,#N/A,FALSE,"Ratio Analysis";#N/A,#N/A,FALSE,"Test 120 Day Accts";#N/A,#N/A,FALSE,"Tickmarks"}</definedName>
    <definedName name="gg_1" localSheetId="18" hidden="1">{#N/A,#N/A,FALSE,"Aging Summary";#N/A,#N/A,FALSE,"Ratio Analysis";#N/A,#N/A,FALSE,"Test 120 Day Accts";#N/A,#N/A,FALSE,"Tickmarks"}</definedName>
    <definedName name="gg_1" localSheetId="25" hidden="1">{#N/A,#N/A,FALSE,"Aging Summary";#N/A,#N/A,FALSE,"Ratio Analysis";#N/A,#N/A,FALSE,"Test 120 Day Accts";#N/A,#N/A,FALSE,"Tickmarks"}</definedName>
    <definedName name="gg_1" hidden="1">{#N/A,#N/A,FALSE,"Aging Summary";#N/A,#N/A,FALSE,"Ratio Analysis";#N/A,#N/A,FALSE,"Test 120 Day Accts";#N/A,#N/A,FALSE,"Tickmarks"}</definedName>
    <definedName name="GGG"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F" localSheetId="24" hidden="1">{"AJD",#N/A,TRUE,"Summary";"AJD",#N/A,TRUE,"CFCONC-outputs";"AJD",#N/A,TRUE,"P&amp;LCONC-outputs";"AJD",#N/A,TRUE,"BSCONC-outputs";"AJD",#N/A,TRUE,"FSCONC-outputs"}</definedName>
    <definedName name="GGGF" localSheetId="18" hidden="1">{"AJD",#N/A,TRUE,"Summary";"AJD",#N/A,TRUE,"CFCONC-outputs";"AJD",#N/A,TRUE,"P&amp;LCONC-outputs";"AJD",#N/A,TRUE,"BSCONC-outputs";"AJD",#N/A,TRUE,"FSCONC-outputs"}</definedName>
    <definedName name="GGGF" localSheetId="25" hidden="1">{"AJD",#N/A,TRUE,"Summary";"AJD",#N/A,TRUE,"CFCONC-outputs";"AJD",#N/A,TRUE,"P&amp;LCONC-outputs";"AJD",#N/A,TRUE,"BSCONC-outputs";"AJD",#N/A,TRUE,"FSCONC-outputs"}</definedName>
    <definedName name="GGGF" hidden="1">{"AJD",#N/A,TRUE,"Summary";"AJD",#N/A,TRUE,"CFCONC-outputs";"AJD",#N/A,TRUE,"P&amp;LCONC-outputs";"AJD",#N/A,TRUE,"BSCONC-outputs";"AJD",#N/A,TRUE,"FSCONC-outputs"}</definedName>
    <definedName name="gggg"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gggg"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gggg"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gggg"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gggs" localSheetId="24" hidden="1">{#N/A,#N/A,FALSE,"LoanAssumptions"}</definedName>
    <definedName name="gggs" localSheetId="18" hidden="1">{#N/A,#N/A,FALSE,"LoanAssumptions"}</definedName>
    <definedName name="gggs" localSheetId="25" hidden="1">{#N/A,#N/A,FALSE,"LoanAssumptions"}</definedName>
    <definedName name="gggs" hidden="1">{#N/A,#N/A,FALSE,"LoanAssumptions"}</definedName>
    <definedName name="GGGTR"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TR"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TR"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TR"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TREW"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TREW"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TREW"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TREW"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HFDH" localSheetId="24" hidden="1">{#N/A,#N/A,FALSE,"동부"}</definedName>
    <definedName name="GHFDH" localSheetId="18" hidden="1">{#N/A,#N/A,FALSE,"동부"}</definedName>
    <definedName name="GHFDH" localSheetId="25" hidden="1">{#N/A,#N/A,FALSE,"동부"}</definedName>
    <definedName name="GHFDH" hidden="1">{#N/A,#N/A,FALSE,"동부"}</definedName>
    <definedName name="GHGF" localSheetId="24" hidden="1">{#N/A,#N/A,TRUE,"대 차 대 조 표"}</definedName>
    <definedName name="GHGF" localSheetId="18" hidden="1">{#N/A,#N/A,TRUE,"대 차 대 조 표"}</definedName>
    <definedName name="GHGF" localSheetId="25" hidden="1">{#N/A,#N/A,TRUE,"대 차 대 조 표"}</definedName>
    <definedName name="GHGF" hidden="1">{#N/A,#N/A,TRUE,"대 차 대 조 표"}</definedName>
    <definedName name="GHGHGH" localSheetId="24" hidden="1">{"'미착금액'!$A$4:$G$14"}</definedName>
    <definedName name="GHGHGH" localSheetId="18" hidden="1">{"'미착금액'!$A$4:$G$14"}</definedName>
    <definedName name="GHGHGH" localSheetId="25" hidden="1">{"'미착금액'!$A$4:$G$14"}</definedName>
    <definedName name="GHGHGH" hidden="1">{"'미착금액'!$A$4:$G$14"}</definedName>
    <definedName name="ghjghjghj" localSheetId="24" hidden="1">{#N/A,#N/A,FALSE,"Expenses"}</definedName>
    <definedName name="ghjghjghj" localSheetId="18" hidden="1">{#N/A,#N/A,FALSE,"Expenses"}</definedName>
    <definedName name="ghjghjghj" localSheetId="25" hidden="1">{#N/A,#N/A,FALSE,"Expenses"}</definedName>
    <definedName name="ghjghjghj" hidden="1">{#N/A,#N/A,FALSE,"Expenses"}</definedName>
    <definedName name="GL_Analysis_Jun" localSheetId="24"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GL_Analysis_Jun" localSheetId="18"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GL_Analysis_Jun" localSheetId="25"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GL_Analysis_Jun"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GML" localSheetId="24"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GML" localSheetId="18"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GML" localSheetId="25"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GML"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gs" localSheetId="24" hidden="1">{#N/A,#N/A,FALSE,"ExitStratigy"}</definedName>
    <definedName name="gs" localSheetId="18" hidden="1">{#N/A,#N/A,FALSE,"ExitStratigy"}</definedName>
    <definedName name="gs" localSheetId="25" hidden="1">{#N/A,#N/A,FALSE,"ExitStratigy"}</definedName>
    <definedName name="gs" hidden="1">{#N/A,#N/A,FALSE,"ExitStratigy"}</definedName>
    <definedName name="H" localSheetId="24" hidden="1">{"'용역비'!$A$4:$C$8"}</definedName>
    <definedName name="H" localSheetId="18" hidden="1">{"'용역비'!$A$4:$C$8"}</definedName>
    <definedName name="H" localSheetId="25" hidden="1">{"'용역비'!$A$4:$C$8"}</definedName>
    <definedName name="H" hidden="1">{"'용역비'!$A$4:$C$8"}</definedName>
    <definedName name="haha" localSheetId="24" hidden="1">{#N/A,#N/A,FALSE,"asset plan";#N/A,#N/A,FALSE,"Mgmt Report";#N/A,#N/A,FALSE,"sensitivities (2)";#N/A,#N/A,FALSE,"sensitivities";#N/A,#N/A,FALSE,"let up 10  Mort";#N/A,#N/A,FALSE,"let up 12 Mort";#N/A,#N/A,FALSE,"Capex";#N/A,#N/A,FALSE,"Capex Cashflow (2)";#N/A,#N/A,FALSE,"Capex Cashflow (3)";#N/A,#N/A,FALSE,"House View";#N/A,#N/A,FALSE,"kpi"}</definedName>
    <definedName name="haha" localSheetId="18" hidden="1">{#N/A,#N/A,FALSE,"asset plan";#N/A,#N/A,FALSE,"Mgmt Report";#N/A,#N/A,FALSE,"sensitivities (2)";#N/A,#N/A,FALSE,"sensitivities";#N/A,#N/A,FALSE,"let up 10  Mort";#N/A,#N/A,FALSE,"let up 12 Mort";#N/A,#N/A,FALSE,"Capex";#N/A,#N/A,FALSE,"Capex Cashflow (2)";#N/A,#N/A,FALSE,"Capex Cashflow (3)";#N/A,#N/A,FALSE,"House View";#N/A,#N/A,FALSE,"kpi"}</definedName>
    <definedName name="haha" localSheetId="25" hidden="1">{#N/A,#N/A,FALSE,"asset plan";#N/A,#N/A,FALSE,"Mgmt Report";#N/A,#N/A,FALSE,"sensitivities (2)";#N/A,#N/A,FALSE,"sensitivities";#N/A,#N/A,FALSE,"let up 10  Mort";#N/A,#N/A,FALSE,"let up 12 Mort";#N/A,#N/A,FALSE,"Capex";#N/A,#N/A,FALSE,"Capex Cashflow (2)";#N/A,#N/A,FALSE,"Capex Cashflow (3)";#N/A,#N/A,FALSE,"House View";#N/A,#N/A,FALSE,"kpi"}</definedName>
    <definedName name="haha" hidden="1">{#N/A,#N/A,FALSE,"asset plan";#N/A,#N/A,FALSE,"Mgmt Report";#N/A,#N/A,FALSE,"sensitivities (2)";#N/A,#N/A,FALSE,"sensitivities";#N/A,#N/A,FALSE,"let up 10  Mort";#N/A,#N/A,FALSE,"let up 12 Mort";#N/A,#N/A,FALSE,"Capex";#N/A,#N/A,FALSE,"Capex Cashflow (2)";#N/A,#N/A,FALSE,"Capex Cashflow (3)";#N/A,#N/A,FALSE,"House View";#N/A,#N/A,FALSE,"kpi"}</definedName>
    <definedName name="hardwar" hidden="1">#N/A</definedName>
    <definedName name="hate" localSheetId="24" hidden="1">{#N/A,#N/A,FALSE,"LoanAssumptions"}</definedName>
    <definedName name="hate" localSheetId="18" hidden="1">{#N/A,#N/A,FALSE,"LoanAssumptions"}</definedName>
    <definedName name="hate" localSheetId="25" hidden="1">{#N/A,#N/A,FALSE,"LoanAssumptions"}</definedName>
    <definedName name="hate" hidden="1">{#N/A,#N/A,FALSE,"LoanAssumptions"}</definedName>
    <definedName name="hbnotes" localSheetId="24" hidden="1">{#N/A,#N/A,TRUE,"MR Cover";#N/A,#N/A,TRUE,"MR Content";#N/A,#N/A,TRUE,"MR Exec Sum";#N/A,#N/A,TRUE,"MR Asset Performance";#N/A,#N/A,TRUE,"MR APIC Financials";#N/A,#N/A,TRUE,"MR REI Financials";#N/A,#N/A,TRUE,"MR Hedging";#N/A,#N/A,TRUE,"MR Risk Mgt";#N/A,#N/A,TRUE,"MR APIC Approved Exp"}</definedName>
    <definedName name="hbnotes" localSheetId="18" hidden="1">{#N/A,#N/A,TRUE,"MR Cover";#N/A,#N/A,TRUE,"MR Content";#N/A,#N/A,TRUE,"MR Exec Sum";#N/A,#N/A,TRUE,"MR Asset Performance";#N/A,#N/A,TRUE,"MR APIC Financials";#N/A,#N/A,TRUE,"MR REI Financials";#N/A,#N/A,TRUE,"MR Hedging";#N/A,#N/A,TRUE,"MR Risk Mgt";#N/A,#N/A,TRUE,"MR APIC Approved Exp"}</definedName>
    <definedName name="hbnotes" localSheetId="25" hidden="1">{#N/A,#N/A,TRUE,"MR Cover";#N/A,#N/A,TRUE,"MR Content";#N/A,#N/A,TRUE,"MR Exec Sum";#N/A,#N/A,TRUE,"MR Asset Performance";#N/A,#N/A,TRUE,"MR APIC Financials";#N/A,#N/A,TRUE,"MR REI Financials";#N/A,#N/A,TRUE,"MR Hedging";#N/A,#N/A,TRUE,"MR Risk Mgt";#N/A,#N/A,TRUE,"MR APIC Approved Exp"}</definedName>
    <definedName name="hbnotes" hidden="1">{#N/A,#N/A,TRUE,"MR Cover";#N/A,#N/A,TRUE,"MR Content";#N/A,#N/A,TRUE,"MR Exec Sum";#N/A,#N/A,TRUE,"MR Asset Performance";#N/A,#N/A,TRUE,"MR APIC Financials";#N/A,#N/A,TRUE,"MR REI Financials";#N/A,#N/A,TRUE,"MR Hedging";#N/A,#N/A,TRUE,"MR Risk Mgt";#N/A,#N/A,TRUE,"MR APIC Approved Exp"}</definedName>
    <definedName name="hfksd" localSheetId="24" hidden="1">{#N/A,#N/A,FALSE,"BS";#N/A,#N/A,FALSE,"PL";#N/A,#N/A,FALSE,"처분";#N/A,#N/A,FALSE,"현금";#N/A,#N/A,FALSE,"매출";#N/A,#N/A,FALSE,"원가";#N/A,#N/A,FALSE,"경영"}</definedName>
    <definedName name="hfksd" localSheetId="18" hidden="1">{#N/A,#N/A,FALSE,"BS";#N/A,#N/A,FALSE,"PL";#N/A,#N/A,FALSE,"처분";#N/A,#N/A,FALSE,"현금";#N/A,#N/A,FALSE,"매출";#N/A,#N/A,FALSE,"원가";#N/A,#N/A,FALSE,"경영"}</definedName>
    <definedName name="hfksd" localSheetId="25" hidden="1">{#N/A,#N/A,FALSE,"BS";#N/A,#N/A,FALSE,"PL";#N/A,#N/A,FALSE,"처분";#N/A,#N/A,FALSE,"현금";#N/A,#N/A,FALSE,"매출";#N/A,#N/A,FALSE,"원가";#N/A,#N/A,FALSE,"경영"}</definedName>
    <definedName name="hfksd" hidden="1">{#N/A,#N/A,FALSE,"BS";#N/A,#N/A,FALSE,"PL";#N/A,#N/A,FALSE,"처분";#N/A,#N/A,FALSE,"현금";#N/A,#N/A,FALSE,"매출";#N/A,#N/A,FALSE,"원가";#N/A,#N/A,FALSE,"경영"}</definedName>
    <definedName name="hgc" localSheetId="24" hidden="1">{#N/A,#N/A,TRUE,"대 차 대 조 표"}</definedName>
    <definedName name="hgc" localSheetId="18" hidden="1">{#N/A,#N/A,TRUE,"대 차 대 조 표"}</definedName>
    <definedName name="hgc" localSheetId="25" hidden="1">{#N/A,#N/A,TRUE,"대 차 대 조 표"}</definedName>
    <definedName name="hgc" hidden="1">{#N/A,#N/A,TRUE,"대 차 대 조 표"}</definedName>
    <definedName name="hgc_1" localSheetId="24" hidden="1">{#N/A,#N/A,TRUE,"대 차 대 조 표"}</definedName>
    <definedName name="hgc_1" localSheetId="18" hidden="1">{#N/A,#N/A,TRUE,"대 차 대 조 표"}</definedName>
    <definedName name="hgc_1" localSheetId="25" hidden="1">{#N/A,#N/A,TRUE,"대 차 대 조 표"}</definedName>
    <definedName name="hgc_1" hidden="1">{#N/A,#N/A,TRUE,"대 차 대 조 표"}</definedName>
    <definedName name="HGF" localSheetId="24" hidden="1">{#N/A,#N/A,FALSE,"손익표지";#N/A,#N/A,FALSE,"손익계산";#N/A,#N/A,FALSE,"일반관리비";#N/A,#N/A,FALSE,"영업외수익";#N/A,#N/A,FALSE,"영업외비용";#N/A,#N/A,FALSE,"매출액";#N/A,#N/A,FALSE,"요약손익";#N/A,#N/A,FALSE,"요약대차";#N/A,#N/A,FALSE,"매출채권현황";#N/A,#N/A,FALSE,"매출채권명세"}</definedName>
    <definedName name="HGF" localSheetId="18" hidden="1">{#N/A,#N/A,FALSE,"손익표지";#N/A,#N/A,FALSE,"손익계산";#N/A,#N/A,FALSE,"일반관리비";#N/A,#N/A,FALSE,"영업외수익";#N/A,#N/A,FALSE,"영업외비용";#N/A,#N/A,FALSE,"매출액";#N/A,#N/A,FALSE,"요약손익";#N/A,#N/A,FALSE,"요약대차";#N/A,#N/A,FALSE,"매출채권현황";#N/A,#N/A,FALSE,"매출채권명세"}</definedName>
    <definedName name="HGF" localSheetId="25" hidden="1">{#N/A,#N/A,FALSE,"손익표지";#N/A,#N/A,FALSE,"손익계산";#N/A,#N/A,FALSE,"일반관리비";#N/A,#N/A,FALSE,"영업외수익";#N/A,#N/A,FALSE,"영업외비용";#N/A,#N/A,FALSE,"매출액";#N/A,#N/A,FALSE,"요약손익";#N/A,#N/A,FALSE,"요약대차";#N/A,#N/A,FALSE,"매출채권현황";#N/A,#N/A,FALSE,"매출채권명세"}</definedName>
    <definedName name="HGF" hidden="1">{#N/A,#N/A,FALSE,"손익표지";#N/A,#N/A,FALSE,"손익계산";#N/A,#N/A,FALSE,"일반관리비";#N/A,#N/A,FALSE,"영업외수익";#N/A,#N/A,FALSE,"영업외비용";#N/A,#N/A,FALSE,"매출액";#N/A,#N/A,FALSE,"요약손익";#N/A,#N/A,FALSE,"요약대차";#N/A,#N/A,FALSE,"매출채권현황";#N/A,#N/A,FALSE,"매출채권명세"}</definedName>
    <definedName name="HGFGF" localSheetId="24" hidden="1">{#N/A,#N/A,FALSE,"동부"}</definedName>
    <definedName name="HGFGF" localSheetId="18" hidden="1">{#N/A,#N/A,FALSE,"동부"}</definedName>
    <definedName name="HGFGF" localSheetId="25" hidden="1">{#N/A,#N/A,FALSE,"동부"}</definedName>
    <definedName name="HGFGF" hidden="1">{#N/A,#N/A,FALSE,"동부"}</definedName>
    <definedName name="hgfhg" localSheetId="24" hidden="1">{#N/A,#N/A,FALSE,"손익표지";#N/A,#N/A,FALSE,"손익계산";#N/A,#N/A,FALSE,"일반관리비";#N/A,#N/A,FALSE,"영업외수익";#N/A,#N/A,FALSE,"영업외비용";#N/A,#N/A,FALSE,"매출액";#N/A,#N/A,FALSE,"요약손익";#N/A,#N/A,FALSE,"요약대차";#N/A,#N/A,FALSE,"매출채권현황";#N/A,#N/A,FALSE,"매출채권명세"}</definedName>
    <definedName name="hgfhg" localSheetId="18" hidden="1">{#N/A,#N/A,FALSE,"손익표지";#N/A,#N/A,FALSE,"손익계산";#N/A,#N/A,FALSE,"일반관리비";#N/A,#N/A,FALSE,"영업외수익";#N/A,#N/A,FALSE,"영업외비용";#N/A,#N/A,FALSE,"매출액";#N/A,#N/A,FALSE,"요약손익";#N/A,#N/A,FALSE,"요약대차";#N/A,#N/A,FALSE,"매출채권현황";#N/A,#N/A,FALSE,"매출채권명세"}</definedName>
    <definedName name="hgfhg" localSheetId="25" hidden="1">{#N/A,#N/A,FALSE,"손익표지";#N/A,#N/A,FALSE,"손익계산";#N/A,#N/A,FALSE,"일반관리비";#N/A,#N/A,FALSE,"영업외수익";#N/A,#N/A,FALSE,"영업외비용";#N/A,#N/A,FALSE,"매출액";#N/A,#N/A,FALSE,"요약손익";#N/A,#N/A,FALSE,"요약대차";#N/A,#N/A,FALSE,"매출채권현황";#N/A,#N/A,FALSE,"매출채권명세"}</definedName>
    <definedName name="hgfhg" hidden="1">{#N/A,#N/A,FALSE,"손익표지";#N/A,#N/A,FALSE,"손익계산";#N/A,#N/A,FALSE,"일반관리비";#N/A,#N/A,FALSE,"영업외수익";#N/A,#N/A,FALSE,"영업외비용";#N/A,#N/A,FALSE,"매출액";#N/A,#N/A,FALSE,"요약손익";#N/A,#N/A,FALSE,"요약대차";#N/A,#N/A,FALSE,"매출채권현황";#N/A,#N/A,FALSE,"매출채권명세"}</definedName>
    <definedName name="hgkdj" localSheetId="24" hidden="1">{"AnnualRentRoll",#N/A,FALSE,"RentRoll"}</definedName>
    <definedName name="hgkdj" localSheetId="18" hidden="1">{"AnnualRentRoll",#N/A,FALSE,"RentRoll"}</definedName>
    <definedName name="hgkdj" localSheetId="25" hidden="1">{"AnnualRentRoll",#N/A,FALSE,"RentRoll"}</definedName>
    <definedName name="hgkdj" hidden="1">{"AnnualRentRoll",#N/A,FALSE,"RentRoll"}</definedName>
    <definedName name="hgkdj_1" localSheetId="24" hidden="1">{"AnnualRentRoll",#N/A,FALSE,"RentRoll"}</definedName>
    <definedName name="hgkdj_1" localSheetId="18" hidden="1">{"AnnualRentRoll",#N/A,FALSE,"RentRoll"}</definedName>
    <definedName name="hgkdj_1" localSheetId="25" hidden="1">{"AnnualRentRoll",#N/A,FALSE,"RentRoll"}</definedName>
    <definedName name="hgkdj_1" hidden="1">{"AnnualRentRoll",#N/A,FALSE,"RentRoll"}</definedName>
    <definedName name="hhh" localSheetId="24" hidden="1">{#N/A,#N/A,FALSE,"BS";#N/A,#N/A,FALSE,"PL";#N/A,#N/A,FALSE,"처분";#N/A,#N/A,FALSE,"현금";#N/A,#N/A,FALSE,"매출";#N/A,#N/A,FALSE,"원가";#N/A,#N/A,FALSE,"경영"}</definedName>
    <definedName name="hhh" localSheetId="18" hidden="1">{#N/A,#N/A,FALSE,"BS";#N/A,#N/A,FALSE,"PL";#N/A,#N/A,FALSE,"처분";#N/A,#N/A,FALSE,"현금";#N/A,#N/A,FALSE,"매출";#N/A,#N/A,FALSE,"원가";#N/A,#N/A,FALSE,"경영"}</definedName>
    <definedName name="hhh" localSheetId="25" hidden="1">{#N/A,#N/A,FALSE,"BS";#N/A,#N/A,FALSE,"PL";#N/A,#N/A,FALSE,"처분";#N/A,#N/A,FALSE,"현금";#N/A,#N/A,FALSE,"매출";#N/A,#N/A,FALSE,"원가";#N/A,#N/A,FALSE,"경영"}</definedName>
    <definedName name="hhh" hidden="1">{#N/A,#N/A,FALSE,"BS";#N/A,#N/A,FALSE,"PL";#N/A,#N/A,FALSE,"처분";#N/A,#N/A,FALSE,"현금";#N/A,#N/A,FALSE,"매출";#N/A,#N/A,FALSE,"원가";#N/A,#N/A,FALSE,"경영"}</definedName>
    <definedName name="hhhh" localSheetId="24" hidden="1">{#N/A,#N/A,FALSE,"BS";#N/A,#N/A,FALSE,"PL";#N/A,#N/A,FALSE,"처분";#N/A,#N/A,FALSE,"현금";#N/A,#N/A,FALSE,"매출";#N/A,#N/A,FALSE,"원가";#N/A,#N/A,FALSE,"경영"}</definedName>
    <definedName name="hhhh" localSheetId="18" hidden="1">{#N/A,#N/A,FALSE,"BS";#N/A,#N/A,FALSE,"PL";#N/A,#N/A,FALSE,"처분";#N/A,#N/A,FALSE,"현금";#N/A,#N/A,FALSE,"매출";#N/A,#N/A,FALSE,"원가";#N/A,#N/A,FALSE,"경영"}</definedName>
    <definedName name="hhhh" localSheetId="25" hidden="1">{#N/A,#N/A,FALSE,"BS";#N/A,#N/A,FALSE,"PL";#N/A,#N/A,FALSE,"처분";#N/A,#N/A,FALSE,"현금";#N/A,#N/A,FALSE,"매출";#N/A,#N/A,FALSE,"원가";#N/A,#N/A,FALSE,"경영"}</definedName>
    <definedName name="hhhh" hidden="1">{#N/A,#N/A,FALSE,"BS";#N/A,#N/A,FALSE,"PL";#N/A,#N/A,FALSE,"처분";#N/A,#N/A,FALSE,"현금";#N/A,#N/A,FALSE,"매출";#N/A,#N/A,FALSE,"원가";#N/A,#N/A,FALSE,"경영"}</definedName>
    <definedName name="hi" localSheetId="24" hidden="1">{#N/A,#N/A,FALSE,"１";#N/A,#N/A,FALSE,"２";#N/A,#N/A,FALSE,"３";#N/A,#N/A,FALSE,"４"}</definedName>
    <definedName name="hi" localSheetId="18" hidden="1">{#N/A,#N/A,FALSE,"１";#N/A,#N/A,FALSE,"２";#N/A,#N/A,FALSE,"３";#N/A,#N/A,FALSE,"４"}</definedName>
    <definedName name="hi" localSheetId="25" hidden="1">{#N/A,#N/A,FALSE,"１";#N/A,#N/A,FALSE,"２";#N/A,#N/A,FALSE,"３";#N/A,#N/A,FALSE,"４"}</definedName>
    <definedName name="hi" hidden="1">{#N/A,#N/A,FALSE,"１";#N/A,#N/A,FALSE,"２";#N/A,#N/A,FALSE,"３";#N/A,#N/A,FALSE,"４"}</definedName>
    <definedName name="HIGE" hidden="1">#N/A</definedName>
    <definedName name="hjdg" localSheetId="24" hidden="1">{#N/A,#N/A,FALSE,"PropertyInfo"}</definedName>
    <definedName name="hjdg" localSheetId="18" hidden="1">{#N/A,#N/A,FALSE,"PropertyInfo"}</definedName>
    <definedName name="hjdg" localSheetId="25" hidden="1">{#N/A,#N/A,FALSE,"PropertyInfo"}</definedName>
    <definedName name="hjdg" hidden="1">{#N/A,#N/A,FALSE,"PropertyInfo"}</definedName>
    <definedName name="hjdg_1" localSheetId="24" hidden="1">{#N/A,#N/A,FALSE,"PropertyInfo"}</definedName>
    <definedName name="hjdg_1" localSheetId="18" hidden="1">{#N/A,#N/A,FALSE,"PropertyInfo"}</definedName>
    <definedName name="hjdg_1" localSheetId="25" hidden="1">{#N/A,#N/A,FALSE,"PropertyInfo"}</definedName>
    <definedName name="hjdg_1" hidden="1">{#N/A,#N/A,FALSE,"PropertyInfo"}</definedName>
    <definedName name="HK" localSheetId="24" hidden="1">{#N/A,#N/A,FALSE,"동부"}</definedName>
    <definedName name="HK" localSheetId="18" hidden="1">{#N/A,#N/A,FALSE,"동부"}</definedName>
    <definedName name="HK" localSheetId="25" hidden="1">{#N/A,#N/A,FALSE,"동부"}</definedName>
    <definedName name="HK" hidden="1">{#N/A,#N/A,FALSE,"동부"}</definedName>
    <definedName name="hr" localSheetId="24" hidden="1">{"MonthlyRentRoll",#N/A,FALSE,"RentRoll"}</definedName>
    <definedName name="hr" localSheetId="18" hidden="1">{"MonthlyRentRoll",#N/A,FALSE,"RentRoll"}</definedName>
    <definedName name="hr" localSheetId="25" hidden="1">{"MonthlyRentRoll",#N/A,FALSE,"RentRoll"}</definedName>
    <definedName name="hr" hidden="1">{"MonthlyRentRoll",#N/A,FALSE,"RentRoll"}</definedName>
    <definedName name="HSR" localSheetId="24" hidden="1">{"'용역비'!$A$4:$C$8"}</definedName>
    <definedName name="HSR" localSheetId="18" hidden="1">{"'용역비'!$A$4:$C$8"}</definedName>
    <definedName name="HSR" localSheetId="25" hidden="1">{"'용역비'!$A$4:$C$8"}</definedName>
    <definedName name="HSR" hidden="1">{"'용역비'!$A$4:$C$8"}</definedName>
    <definedName name="HTML_CodePage">949</definedName>
    <definedName name="HTML_Control" localSheetId="24">{"'Sheet1'!$E$7"}</definedName>
    <definedName name="HTML_Control" localSheetId="18">{"'Sheet1'!$E$7"}</definedName>
    <definedName name="HTML_Control" localSheetId="25">{"'Sheet1'!$E$7"}</definedName>
    <definedName name="HTML_Control">{"'Sheet1'!$E$7"}</definedName>
    <definedName name="HTML_Control1" localSheetId="24" hidden="1">{"'Report9'!$B$1:$AD$57"}</definedName>
    <definedName name="HTML_Control1" localSheetId="18" hidden="1">{"'Report9'!$B$1:$AD$57"}</definedName>
    <definedName name="HTML_Control1" localSheetId="25" hidden="1">{"'Report9'!$B$1:$AD$57"}</definedName>
    <definedName name="HTML_Control1" hidden="1">{"'Report9'!$B$1:$AD$57"}</definedName>
    <definedName name="HTML_Description">""</definedName>
    <definedName name="HTML_Email">""</definedName>
    <definedName name="HTML_Header">"Sheet1"</definedName>
    <definedName name="HTML_LastUpdate">"01-02-01"</definedName>
    <definedName name="HTML_LineAfter">FALSE</definedName>
    <definedName name="HTML_LineBefore">FALSE</definedName>
    <definedName name="HTML_Name">"기획-25"</definedName>
    <definedName name="HTML_OBDlg2">TRUE</definedName>
    <definedName name="HTML_OBDlg3" hidden="1">TRUE</definedName>
    <definedName name="HTML_OBDlg4">TRUE</definedName>
    <definedName name="HTML_OS">0</definedName>
    <definedName name="HTML_PathFile">"C:\My Documents\산업단지.htm"</definedName>
    <definedName name="HTML_PathFileMac" hidden="1">"Macintosh HD:HomePageStuff:New_Home_Page:datafile:histret.html"</definedName>
    <definedName name="HTML_PathTemplate" hidden="1">"C:\htmlchi\table-bbb.htm"</definedName>
    <definedName name="HTML_Title">"s5-5산업 및 경제"</definedName>
    <definedName name="HTML1_1" hidden="1">"[ReturnsHistorical]Sheet1!$A$1:$D$77"</definedName>
    <definedName name="HTML1_10" hidden="1">""</definedName>
    <definedName name="HTML1_11" hidden="1">1</definedName>
    <definedName name="HTML1_12" hidden="1">"Zip 100:New_Home_Page:datafile:histret.html"</definedName>
    <definedName name="HTML1_2" hidden="1">1</definedName>
    <definedName name="HTML1_3" hidden="1">"ReturnsHistorical"</definedName>
    <definedName name="HTML1_4" hidden="1">"Historical Returns on Stocks, Bonds and Bills"</definedName>
    <definedName name="HTML1_5" hidden="1">"Ibbotson Data"</definedName>
    <definedName name="HTML1_6" hidden="1">-4146</definedName>
    <definedName name="HTML1_7" hidden="1">-4146</definedName>
    <definedName name="HTML1_8" hidden="1">"3/17/97"</definedName>
    <definedName name="HTML1_9" hidden="1">"Aswath Damodaran"</definedName>
    <definedName name="HTML2_1" hidden="1">"[histret.xls]Sheet1!$A$1:$G$85"</definedName>
    <definedName name="HTML2_10" hidden="1">""</definedName>
    <definedName name="HTML2_11" hidden="1">1</definedName>
    <definedName name="HTML2_12" hidden="1">"Macintosh HD:New_Home_Page:datafile:histret.html"</definedName>
    <definedName name="HTML2_2" hidden="1">1</definedName>
    <definedName name="HTML2_3" hidden="1">"Historical Returns"</definedName>
    <definedName name="HTML2_4" hidden="1">"Historical Returns on Stocks, Bonds and Bills"</definedName>
    <definedName name="HTML2_5" hidden="1">""</definedName>
    <definedName name="HTML2_6" hidden="1">1</definedName>
    <definedName name="HTML2_7" hidden="1">1</definedName>
    <definedName name="HTML2_8" hidden="1">"2/3/98"</definedName>
    <definedName name="HTML2_9" hidden="1">"Aswath Damodaran"</definedName>
    <definedName name="HTMLCount" hidden="1">2</definedName>
    <definedName name="hyunsoo2"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hyunsoo2"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hyunsoo2" localSheetId="25"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hyunsoo2"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I" localSheetId="24" hidden="1">{"'용역비'!$A$4:$C$8"}</definedName>
    <definedName name="I" localSheetId="18" hidden="1">{"'용역비'!$A$4:$C$8"}</definedName>
    <definedName name="I" localSheetId="25" hidden="1">{"'용역비'!$A$4:$C$8"}</definedName>
    <definedName name="I" hidden="1">{"'용역비'!$A$4:$C$8"}</definedName>
    <definedName name="ic" localSheetId="24" hidden="1">{#N/A,#N/A,FALSE,"단축1";#N/A,#N/A,FALSE,"단축2";#N/A,#N/A,FALSE,"단축3";#N/A,#N/A,FALSE,"장축";#N/A,#N/A,FALSE,"4WD"}</definedName>
    <definedName name="ic" localSheetId="18" hidden="1">{#N/A,#N/A,FALSE,"단축1";#N/A,#N/A,FALSE,"단축2";#N/A,#N/A,FALSE,"단축3";#N/A,#N/A,FALSE,"장축";#N/A,#N/A,FALSE,"4WD"}</definedName>
    <definedName name="ic" localSheetId="25" hidden="1">{#N/A,#N/A,FALSE,"단축1";#N/A,#N/A,FALSE,"단축2";#N/A,#N/A,FALSE,"단축3";#N/A,#N/A,FALSE,"장축";#N/A,#N/A,FALSE,"4WD"}</definedName>
    <definedName name="ic" hidden="1">{#N/A,#N/A,FALSE,"단축1";#N/A,#N/A,FALSE,"단축2";#N/A,#N/A,FALSE,"단축3";#N/A,#N/A,FALSE,"장축";#N/A,#N/A,FALSE,"4WD"}</definedName>
    <definedName name="IGH" localSheetId="24" hidden="1">{#N/A,#N/A,TRUE,"대 차 대 조 표"}</definedName>
    <definedName name="IGH" localSheetId="18" hidden="1">{#N/A,#N/A,TRUE,"대 차 대 조 표"}</definedName>
    <definedName name="IGH" localSheetId="25" hidden="1">{#N/A,#N/A,TRUE,"대 차 대 조 표"}</definedName>
    <definedName name="IGH" hidden="1">{#N/A,#N/A,TRUE,"대 차 대 조 표"}</definedName>
    <definedName name="IIII" localSheetId="24" hidden="1">{"'용역비'!$A$4:$C$8"}</definedName>
    <definedName name="IIII" localSheetId="18" hidden="1">{"'용역비'!$A$4:$C$8"}</definedName>
    <definedName name="IIII" localSheetId="25" hidden="1">{"'용역비'!$A$4:$C$8"}</definedName>
    <definedName name="IIII" hidden="1">{"'용역비'!$A$4:$C$8"}</definedName>
    <definedName name="IIIII" localSheetId="24" hidden="1">{"'용역비'!$A$4:$C$8"}</definedName>
    <definedName name="IIIII" localSheetId="18" hidden="1">{"'용역비'!$A$4:$C$8"}</definedName>
    <definedName name="IIIII" localSheetId="25" hidden="1">{"'용역비'!$A$4:$C$8"}</definedName>
    <definedName name="IIIII" hidden="1">{"'용역비'!$A$4:$C$8"}</definedName>
    <definedName name="IIJELLS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IIJELLS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IIJELLSS"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IIJELLS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ImportFile" localSheetId="24">REPORT!ImportFile</definedName>
    <definedName name="ImportFile" localSheetId="18">'Report-sj'!ImportFile</definedName>
    <definedName name="ImportFile" localSheetId="25">수정사항!ImportFile</definedName>
    <definedName name="ImportFile">[0]!ImportFile</definedName>
    <definedName name="info" localSheetId="24" hidden="1">{#N/A,#N/A,FALSE,"LoanAssumptions"}</definedName>
    <definedName name="info" localSheetId="18" hidden="1">{#N/A,#N/A,FALSE,"LoanAssumptions"}</definedName>
    <definedName name="info" localSheetId="25" hidden="1">{#N/A,#N/A,FALSE,"LoanAssumptions"}</definedName>
    <definedName name="info" hidden="1">{#N/A,#N/A,FALSE,"LoanAssumptions"}</definedName>
    <definedName name="IOI" localSheetId="24" hidden="1">{"'용역비'!$A$4:$C$8"}</definedName>
    <definedName name="IOI" localSheetId="18" hidden="1">{"'용역비'!$A$4:$C$8"}</definedName>
    <definedName name="IOI" localSheetId="25" hidden="1">{"'용역비'!$A$4:$C$8"}</definedName>
    <definedName name="IOI" hidden="1">{"'용역비'!$A$4:$C$8"}</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"c2108"</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"AUTO"</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L_Q" hidden="1">"c101"</definedName>
    <definedName name="IQ_CAL_Y" hidden="1">"c102"</definedName>
    <definedName name="IQ_CALL_FEATURE" hidden="1">"c2197"</definedName>
    <definedName name="IQ_CALLABLE" hidden="1">"c2196"</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IZED_INTEREST" hidden="1">"c2076"</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EST" hidden="1">"c1667"</definedName>
    <definedName name="IQ_CFPS_HIGH_EST" hidden="1">"c1669"</definedName>
    <definedName name="IQ_CFPS_LOW_EST" hidden="1">"c1670"</definedName>
    <definedName name="IQ_CFPS_MEDIAN_EST" hidden="1">"c1668"</definedName>
    <definedName name="IQ_CFPS_NUM_EST" hidden="1">"c1671"</definedName>
    <definedName name="IQ_CFPS_STDDEV_EST" hidden="1">"c1672"</definedName>
    <definedName name="IQ_CH">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UTSTANDING_BS_DATE" hidden="1">"c1971"</definedName>
    <definedName name="IQ_CLASSA_OUTSTANDING_FILING_DATE" hidden="1">"c1973"</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PREMIUM" hidden="1">"c2195"</definedName>
    <definedName name="IQ_CONV_PRICE" hidden="1">"c2193"</definedName>
    <definedName name="IQ_CONV_RATE" hidden="1">"c2192"</definedName>
    <definedName name="IQ_CONV_SECURITY" hidden="1">"c2189"</definedName>
    <definedName name="IQ_CONV_SECURITY_ISSUER" hidden="1">"c2190"</definedName>
    <definedName name="IQ_CONV_SECURITY_PRICE" hidden="1">"c2194"</definedName>
    <definedName name="IQ_CONVEXITY" hidden="1">"c2182"</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Q">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CUSIP" hidden="1">"c2245"</definedName>
    <definedName name="IQ_CY">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NTM">700000</definedName>
    <definedName name="IQ_DO" hidden="1">"c333"</definedName>
    <definedName name="IQ_DO_ASSETS_CURRENT" hidden="1">"c334"</definedName>
    <definedName name="IQ_DO_ASSETS_LT" hidden="1">"c335"</definedName>
    <definedName name="IQ_DO_CF" hidden="1">"c336"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PS_EST" hidden="1">"c1674"</definedName>
    <definedName name="IQ_DPS_HIGH_EST" hidden="1">"c1676"</definedName>
    <definedName name="IQ_DPS_LOW_EST" hidden="1">"c1677"</definedName>
    <definedName name="IQ_DPS_MEDIAN_EST" hidden="1">"c1675"</definedName>
    <definedName name="IQ_DPS_NUM_EST" hidden="1">"c1678"</definedName>
    <definedName name="IQ_DPS_STDDEV_EST" hidden="1">"c1679"</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ST" hidden="1">"c1681"</definedName>
    <definedName name="IQ_EBIT_HIGH_EST" hidden="1">"c1683"</definedName>
    <definedName name="IQ_EBIT_INT" hidden="1">"c360"</definedName>
    <definedName name="IQ_EBIT_LOW_EST" hidden="1">"c1684"</definedName>
    <definedName name="IQ_EBIT_MARGIN" hidden="1">"c359"</definedName>
    <definedName name="IQ_EBIT_MEDIAN_EST" hidden="1">"c1682"</definedName>
    <definedName name="IQ_EBIT_NUM_EST" hidden="1">"c1685"</definedName>
    <definedName name="IQ_EBIT_OVER_IE" hidden="1">"c1369"</definedName>
    <definedName name="IQ_EBIT_STDDEV_EST" hidden="1">"c1686"</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EST" hidden="1">"c369"</definedName>
    <definedName name="IQ_EBITDA_HIGH_EST" hidden="1">"c370"</definedName>
    <definedName name="IQ_EBITDA_INT" hidden="1">"c373"</definedName>
    <definedName name="IQ_EBITDA_LOW_EST" hidden="1">"c371"</definedName>
    <definedName name="IQ_EBITDA_MARGIN" hidden="1">"c372"</definedName>
    <definedName name="IQ_EBITDA_MEDIAN_EST" hidden="1">"c1663"</definedName>
    <definedName name="IQ_EBITDA_NUM_EST" hidden="1">"c374"</definedName>
    <definedName name="IQ_EBITDA_OVER_TOTAL_IE" hidden="1">"c1371"</definedName>
    <definedName name="IQ_EBITDA_STDDEV_EST" hidden="1">"c375"</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GW_EST" hidden="1">"c1737"</definedName>
    <definedName name="IQ_EPS_GW_HIGH_EST" hidden="1">"c1739"</definedName>
    <definedName name="IQ_EPS_GW_LOW_EST" hidden="1">"c1740"</definedName>
    <definedName name="IQ_EPS_GW_MEDIAN_EST" hidden="1">"c1738"</definedName>
    <definedName name="IQ_EPS_GW_NUM_EST" hidden="1">"c1741"</definedName>
    <definedName name="IQ_EPS_GW_STDDEV_EST" hidden="1">"c1742"</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REPORTED_EST" hidden="1">"c1744"</definedName>
    <definedName name="IQ_EPS_REPORTED_HIGH_EST" hidden="1">"c1746"</definedName>
    <definedName name="IQ_EPS_REPORTED_LOW_EST" hidden="1">"c1747"</definedName>
    <definedName name="IQ_EPS_REPORTED_MEDIAN_EST" hidden="1">"c1745"</definedName>
    <definedName name="IQ_EPS_REPORTED_NUM_EST" hidden="1">"c1748"</definedName>
    <definedName name="IQ_EPS_REPORTED_STDDEV_EST" hidden="1">"c1749"</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CFPS" hidden="1">"c1673"</definedName>
    <definedName name="IQ_EST_ACT_DPS" hidden="1">"c1680"</definedName>
    <definedName name="IQ_EST_ACT_EBIT" hidden="1">"c1687"</definedName>
    <definedName name="IQ_EST_ACT_EBITDA" hidden="1">"c1664"</definedName>
    <definedName name="IQ_EST_ACT_EPS" hidden="1">"c1648"</definedName>
    <definedName name="IQ_EST_ACT_EPS_GW" hidden="1">"c1743"</definedName>
    <definedName name="IQ_EST_ACT_EPS_REPORTED" hidden="1">"c1750"</definedName>
    <definedName name="IQ_EST_ACT_FFO" hidden="1">"c1666"</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DATE" hidden="1">"c1634"</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SURPRISE_PERCENT" hidden="1">"c1876"</definedName>
    <definedName name="IQ_EST_EBITDA_DIFF" hidden="1">"c1867"</definedName>
    <definedName name="IQ_EST_EBITDA_GROWTH_1YR" hidden="1">"c1766"</definedName>
    <definedName name="IQ_EST_EBITDA_GROWTH_2YR" hidden="1">"c1767"</definedName>
    <definedName name="IQ_EST_EBITDA_GROWTH_Q_1YR" hidden="1">"c1768"</definedName>
    <definedName name="IQ_EST_EBITDA_SEQ_GROWTH_Q" hidden="1">"c1769"</definedName>
    <definedName name="IQ_EST_EBITDA_SURPRISE_PERCENT" hidden="1">"c1868"</definedName>
    <definedName name="IQ_EST_EPS_DIFF" hidden="1">"c1864"</definedName>
    <definedName name="IQ_EST_EPS_GROWTH_1YR" hidden="1">"c1636"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STDDEV" hidden="1">"c1660"</definedName>
    <definedName name="IQ_EST_EPS_GROWTH_Q_1YR" hidden="1">"c1641"</definedName>
    <definedName name="IQ_EST_EPS_GW_DIFF" hidden="1">"c1891"</definedName>
    <definedName name="IQ_EST_EPS_GW_SURPRISE_PERCENT" hidden="1">"c1892"</definedName>
    <definedName name="IQ_EST_EPS_REPORT_DIFF" hidden="1">"c1893"</definedName>
    <definedName name="IQ_EST_EPS_REPORT_SURPRISE_PERCENT" hidden="1">"c1894"</definedName>
    <definedName name="IQ_EST_EPS_SEQ_GROWTH_Q" hidden="1">"c1764"</definedName>
    <definedName name="IQ_EST_EPS_SURPRISE_PERCENT" hidden="1">"c1635"</definedName>
    <definedName name="IQ_EST_FFO_DIFF" hidden="1">"c1869"</definedName>
    <definedName name="IQ_EST_FFO_GROWTH_1YR" hidden="1">"c1770"</definedName>
    <definedName name="IQ_EST_FFO_GROWTH_2YR" hidden="1">"c1771"</definedName>
    <definedName name="IQ_EST_FFO_GROWTH_Q_1YR" hidden="1">"c1772"</definedName>
    <definedName name="IQ_EST_FFO_SEQ_GROWTH_Q" hidden="1">"c1773"</definedName>
    <definedName name="IQ_EST_FFO_SURPRISE_PERCENT" hidden="1">"c1870"</definedName>
    <definedName name="IQ_EST_NAV_DIFF" hidden="1">"c1895"</definedName>
    <definedName name="IQ_EST_NAV_SURPRISE_PERCENT" hidden="1">"c1896"</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UM_BUY" hidden="1">"c1759"</definedName>
    <definedName name="IQ_EST_NUM_HOLD" hidden="1">"c1761"</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V_DIFF" hidden="1">"c1865"</definedName>
    <definedName name="IQ_EST_REV_GROWTH_1YR" hidden="1">"c1638"</definedName>
    <definedName name="IQ_EST_REV_GROWTH_2YR" hidden="1">"c1639"</definedName>
    <definedName name="IQ_EST_REV_GROWTH_Q_1YR" hidden="1">"c1640"</definedName>
    <definedName name="IQ_EST_REV_SEQ_GROWTH_Q" hidden="1">"c1765"</definedName>
    <definedName name="IQ_EST_REV_SURPRISE_PERCENT" hidden="1">"c1866"</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EST" hidden="1">"c418"</definedName>
    <definedName name="IQ_FFO_HIGH_EST" hidden="1">"c419"</definedName>
    <definedName name="IQ_FFO_LOW_EST" hidden="1">"c420"</definedName>
    <definedName name="IQ_FFO_MEDIAN_EST" hidden="1">"c1665"</definedName>
    <definedName name="IQ_FFO_NUM_EST" hidden="1">"c421"</definedName>
    <definedName name="IQ_FFO_STDDEV_EST" hidden="1">"c422"</definedName>
    <definedName name="IQ_FH">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500</definedName>
    <definedName name="IQ_FUEL" hidden="1">"c449"</definedName>
    <definedName name="IQ_FULL_TIME" hidden="1">"c450"</definedName>
    <definedName name="IQ_FWD_CY">10001</definedName>
    <definedName name="IQ_FWD_CY1">10002</definedName>
    <definedName name="IQ_FWD_CY2">10003</definedName>
    <definedName name="IQ_FWD_FY">1001</definedName>
    <definedName name="IQ_FWD_FY1">1002</definedName>
    <definedName name="IQ_FWD_FY2">1003</definedName>
    <definedName name="IQ_FWD_Q">501</definedName>
    <definedName name="IQ_FWD_Q1">502</definedName>
    <definedName name="IQ_FWD_Q2">503</definedName>
    <definedName name="IQ_FX" hidden="1">"c451"</definedName>
    <definedName name="IQ_FY">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"c1446"</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"c1378"</definedName>
    <definedName name="IQ_GROSS_SPRD" hidden="1">"c2155"</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LAND" hidden="1">"c645"</definedName>
    <definedName name="IQ_LAST_PMT_DATE" hidden="1">"c2188"</definedName>
    <definedName name="IQ_LAST_SPLIT_DATE" hidden="1">"c2095"</definedName>
    <definedName name="IQ_LAST_SPLIT_FACTOR" hidden="1">"c2093"</definedName>
    <definedName name="IQ_LASTSALEPRICE" hidden="1">"c646"</definedName>
    <definedName name="IQ_LASTSALEPRICE_DATE" hidden="1">"c2109"</definedName>
    <definedName name="IQ_LATESTK">1000</definedName>
    <definedName name="IQ_LATESTQ">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ICENSED_POPS" hidden="1">"c2123"</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2000</definedName>
    <definedName name="IQ_LTM_REVENUE_OVER_EMPLOYEES" hidden="1">"c1437"</definedName>
    <definedName name="IQ_LTMMONTH">120000</definedName>
    <definedName name="IQ_MACHINERY" hidden="1">"c711"</definedName>
    <definedName name="IQ_MAINT_REPAIR" hidden="1">"c2087"</definedName>
    <definedName name="IQ_MARKET_CAP_LFCF" hidden="1">"c2209"</definedName>
    <definedName name="IQ_MARKETCAP" hidden="1">"c712"</definedName>
    <definedName name="IQ_MARKETING" hidden="1">"c2239"</definedName>
    <definedName name="IQ_MATURITY_DATE" hidden="1">"c2146"</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NTH">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MTD">800000</definedName>
    <definedName name="IQ_NAMES_REVISION_DATE_">"2015-10-19 오후 5:35:0"</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T_CHANGE" hidden="1">"c749"</definedName>
    <definedName name="IQ_NET_DEBT" hidden="1">"c1584"</definedName>
    <definedName name="IQ_NET_DEBT_EBITDA" hidden="1">"c750"</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LOW_EST" hidden="1">"c1719"</definedName>
    <definedName name="IQ_NI_MARGIN" hidden="1">"c794"</definedName>
    <definedName name="IQ_NI_MEDIAN_EST" hidden="1">"c1717"</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FAS" hidden="1">"c795"</definedName>
    <definedName name="IQ_NI_STDDEV_EST" hidden="1">"c1721"</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CLOSE_BALANCE_GAS" hidden="1">"c2049"</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OIL" hidden="1">"c2035"</definedName>
    <definedName name="IQ_OG_PURCHASES_GAS" hidden="1">"c2045"</definedName>
    <definedName name="IQ_OG_PURCHASES_OIL" hidden="1">"c2033"</definedName>
    <definedName name="IQ_OG_REVISIONS_GAS" hidden="1">"c2042"</definedName>
    <definedName name="IQ_OG_REVISIONS_OIL" hidden="1">"c2030"</definedName>
    <definedName name="IQ_OG_SALES_IN_PLACE_GAS" hidden="1">"c2046"</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ED55" hidden="1">1</definedName>
    <definedName name="IQ_OPENPRICE" hidden="1">"c848"</definedName>
    <definedName name="IQ_OPER_INC" hidden="1">"c849"</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IT" hidden="1">"c853"</definedName>
    <definedName name="IQ_OPER_INC_STDDEV_EST" hidden="1">"c1693"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ISSUED" hidden="1">"c857"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"c2128"</definedName>
    <definedName name="IQ_OUTSTANDING_FILING_DATE" hidden="1">"c2127"</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WRITTEN" hidden="1">"c1027"</definedName>
    <definedName name="IQ_PE_EXCL" hidden="1">"c1028"</definedName>
    <definedName name="IQ_PE_EXCL_AVG" hidden="1">"c1029"</definedName>
    <definedName name="IQ_PE_EXCL_FWD" hidden="1">"c1030"</definedName>
    <definedName name="IQ_PE_NORMALIZED" hidden="1">"c2207"</definedName>
    <definedName name="IQ_PE_RATIO" hidden="1">"c1610"</definedName>
    <definedName name="IQ_PEG_FWD" hidden="1">"c1863"</definedName>
    <definedName name="IQ_PENSION" hidden="1">"c1031"</definedName>
    <definedName name="IQ_PERCENT_CHANGE_EST_5YR_GROWTH_RATE_12MONTHS" hidden="1">"c1852"</definedName>
    <definedName name="IQ_PERCENT_CHANGE_EST_5YR_GROWTH_RATE_18MONTHS" hidden="1">"c1853"</definedName>
    <definedName name="IQ_PERCENT_CHANGE_EST_5YR_GROWTH_RATE_3MONTHS" hidden="1">"c1849"</definedName>
    <definedName name="IQ_PERCENT_CHANGE_EST_5YR_GROWTH_RATE_6MONTHS" hidden="1">"c1850"</definedName>
    <definedName name="IQ_PERCENT_CHANGE_EST_5YR_GROWTH_RATE_9MONTHS" hidden="1">"c1851"</definedName>
    <definedName name="IQ_PERCENT_CHANGE_EST_5YR_GROWTH_RATE_DAY" hidden="1">"c1846"</definedName>
    <definedName name="IQ_PERCENT_CHANGE_EST_5YR_GROWTH_RATE_MONTH" hidden="1">"c1848"</definedName>
    <definedName name="IQ_PERCENT_CHANGE_EST_5YR_GROWTH_RATE_WEEK" hidden="1">"c1847"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8MONTHS" hidden="1">"c1805"</definedName>
    <definedName name="IQ_PERCENT_CHANGE_EST_EBITDA_3MONTHS" hidden="1">"c1801"</definedName>
    <definedName name="IQ_PERCENT_CHANGE_EST_EBITDA_6MONTHS" hidden="1">"c1802"</definedName>
    <definedName name="IQ_PERCENT_CHANGE_EST_EBITDA_9MONTHS" hidden="1">"c1803"</definedName>
    <definedName name="IQ_PERCENT_CHANGE_EST_EBITDA_DAY" hidden="1">"c1798"</definedName>
    <definedName name="IQ_PERCENT_CHANGE_EST_EBITDA_MONTH" hidden="1">"c1800"</definedName>
    <definedName name="IQ_PERCENT_CHANGE_EST_EBITDA_WEEK" hidden="1">"c1799"</definedName>
    <definedName name="IQ_PERCENT_CHANGE_EST_EPS_12MONTHS" hidden="1">"c1788"</definedName>
    <definedName name="IQ_PERCENT_CHANGE_EST_EPS_18MONTHS" hidden="1">"c1789"</definedName>
    <definedName name="IQ_PERCENT_CHANGE_EST_EPS_3MONTHS" hidden="1">"c1785"</definedName>
    <definedName name="IQ_PERCENT_CHANGE_EST_EPS_6MONTHS" hidden="1">"c1786"</definedName>
    <definedName name="IQ_PERCENT_CHANGE_EST_EPS_9MONTHS" hidden="1">"c1787"</definedName>
    <definedName name="IQ_PERCENT_CHANGE_EST_EPS_DAY" hidden="1">"c1782"</definedName>
    <definedName name="IQ_PERCENT_CHANGE_EST_EPS_MONTH" hidden="1">"c1784"</definedName>
    <definedName name="IQ_PERCENT_CHANGE_EST_EPS_WEEK" hidden="1">"c1783"</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8MONTHS" hidden="1">"c1845"</definedName>
    <definedName name="IQ_PERCENT_CHANGE_EST_PRICE_TARGET_3MONTHS" hidden="1">"c1841"</definedName>
    <definedName name="IQ_PERCENT_CHANGE_EST_PRICE_TARGET_6MONTHS" hidden="1">"c1842"</definedName>
    <definedName name="IQ_PERCENT_CHANGE_EST_PRICE_TARGET_9MONTHS" hidden="1">"c1843"</definedName>
    <definedName name="IQ_PERCENT_CHANGE_EST_PRICE_TARGET_DAY" hidden="1">"c1838"</definedName>
    <definedName name="IQ_PERCENT_CHANGE_EST_PRICE_TARGET_MONTH" hidden="1">"c1840"</definedName>
    <definedName name="IQ_PERCENT_CHANGE_EST_PRICE_TARGET_WEEK" hidden="1">"c1839"</definedName>
    <definedName name="IQ_PERCENT_CHANGE_EST_RECO_12MONTHS" hidden="1">"c1836"</definedName>
    <definedName name="IQ_PERCENT_CHANGE_EST_RECO_18MONTHS" hidden="1">"c1837"</definedName>
    <definedName name="IQ_PERCENT_CHANGE_EST_RECO_3MONTHS" hidden="1">"c1833"</definedName>
    <definedName name="IQ_PERCENT_CHANGE_EST_RECO_6MONTHS" hidden="1">"c1834"</definedName>
    <definedName name="IQ_PERCENT_CHANGE_EST_RECO_9MONTHS" hidden="1">"c1835"</definedName>
    <definedName name="IQ_PERCENT_CHANGE_EST_RECO_DAY" hidden="1">"c1830"</definedName>
    <definedName name="IQ_PERCENT_CHANGE_EST_RECO_MONTH" hidden="1">"c1832"</definedName>
    <definedName name="IQ_PERCENT_CHANGE_EST_RECO_WEEK" hidden="1">"c1831"</definedName>
    <definedName name="IQ_PERCENT_CHANGE_EST_REV_12MONTHS" hidden="1">"c1796"</definedName>
    <definedName name="IQ_PERCENT_CHANGE_EST_REV_18MONTHS" hidden="1">"c1797"</definedName>
    <definedName name="IQ_PERCENT_CHANGE_EST_REV_3MONTHS" hidden="1">"c1793"</definedName>
    <definedName name="IQ_PERCENT_CHANGE_EST_REV_6MONTHS" hidden="1">"c1794"</definedName>
    <definedName name="IQ_PERCENT_CHANGE_EST_REV_9MONTHS" hidden="1">"c1795"</definedName>
    <definedName name="IQ_PERCENT_CHANGE_EST_REV_DAY" hidden="1">"c1790"</definedName>
    <definedName name="IQ_PERCENT_CHANGE_EST_REV_MONTH" hidden="1">"c1792"</definedName>
    <definedName name="IQ_PERCENT_CHANGE_EST_REV_WEEK" hidden="1">"c1791"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TD">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VG_STORE_SIZE_GROSS" hidden="1">"c2066"</definedName>
    <definedName name="IQ_RETAIL_AVG_STORE_SIZE_NET" hidden="1">"c2067"</definedName>
    <definedName name="IQ_RETAIL_CLOSED_STORES" hidden="1">"c2063"</definedName>
    <definedName name="IQ_RETAIL_OPENED_STORES" hidden="1">"c2062"</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Q_FOOTAGE" hidden="1">"c2064"</definedName>
    <definedName name="IQ_RETAIL_STORE_SELLING_AREA" hidden="1">"c2065"</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UTI" hidden="1">"c1125"</definedName>
    <definedName name="IQ_REVENUE" hidden="1">"c1422"</definedName>
    <definedName name="IQ_REVENUE_EST" hidden="1">"c1126"</definedName>
    <definedName name="IQ_REVENUE_HIGH_EST" hidden="1">"c1127"</definedName>
    <definedName name="IQ_REVENUE_LOW_EST" hidden="1">"c1128"</definedName>
    <definedName name="IQ_REVENUE_MEDIAN_EST" hidden="1">"c1662"</definedName>
    <definedName name="IQ_REVENUE_NUM_EST" hidden="1">"c1129"</definedName>
    <definedName name="IQ_REVISION_DATE_" hidden="1">38964.3401736111</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VING_DEP" hidden="1">"c1150"</definedName>
    <definedName name="IQ_SECUR_RECEIV" hidden="1">"c1151"</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TW" hidden="1">"c2166"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EV_UFCF" hidden="1">"c2208"</definedName>
    <definedName name="IQ_TIER_ONE_RATIO" hidden="1">"c1229"</definedName>
    <definedName name="IQ_TIME_DEP" hidden="1">"c1230"</definedName>
    <definedName name="IQ_TODAY">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EXP" hidden="1">"c1291"</definedName>
    <definedName name="IQ_TOTAL_PENSION_OBLIGATION" hidden="1">"c1292"</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S" hidden="1">"c2119"</definedName>
    <definedName name="IQ_TOTAL_UNUSUAL" hidden="1">"c1508"</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USUAL_EXP" hidden="1">"c1456"</definedName>
    <definedName name="IQ_US_GAAP" hidden="1">"c1331"</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EEK">50000</definedName>
    <definedName name="IQ_WEIGHTED_AVG_PRICE" hidden="1">"c1334"</definedName>
    <definedName name="IQ_WIP_INV" hidden="1">"c1335"</definedName>
    <definedName name="IQ_WORKMEN_WRITTEN" hidden="1">"c1336"</definedName>
    <definedName name="IQ_XDIV_DATE" hidden="1">"c2104"</definedName>
    <definedName name="IQ_YEARHIGH" hidden="1">"c1337"</definedName>
    <definedName name="IQ_YEARHIGH_DATE" hidden="1">"c2250"</definedName>
    <definedName name="IQ_YEARLOW" hidden="1">"c1338"</definedName>
    <definedName name="IQ_YEARLOW_DATE" hidden="1">"c2251"</definedName>
    <definedName name="IQ_YTD">3000</definedName>
    <definedName name="IQ_YTDMONTH">130000</definedName>
    <definedName name="IQ_YTW" hidden="1">"c2163"</definedName>
    <definedName name="IQ_YTW_DATE" hidden="1">"c2164"</definedName>
    <definedName name="IQ_YTW_DATE_TYPE" hidden="1">"c2165"</definedName>
    <definedName name="IQ_Z_SCORE" hidden="1">"c1339"</definedName>
    <definedName name="J" localSheetId="24" hidden="1">{"'용역비'!$A$4:$C$8"}</definedName>
    <definedName name="J" localSheetId="18" hidden="1">{"'용역비'!$A$4:$C$8"}</definedName>
    <definedName name="J" localSheetId="25" hidden="1">{"'용역비'!$A$4:$C$8"}</definedName>
    <definedName name="J" hidden="1">{"'용역비'!$A$4:$C$8"}</definedName>
    <definedName name="jd" localSheetId="24" hidden="1">{#N/A,#N/A,FALSE,"LoanAssumptions"}</definedName>
    <definedName name="jd" localSheetId="18" hidden="1">{#N/A,#N/A,FALSE,"LoanAssumptions"}</definedName>
    <definedName name="jd" localSheetId="25" hidden="1">{#N/A,#N/A,FALSE,"LoanAssumptions"}</definedName>
    <definedName name="jd" hidden="1">{#N/A,#N/A,FALSE,"LoanAssumptions"}</definedName>
    <definedName name="jd_1" localSheetId="24" hidden="1">{#N/A,#N/A,FALSE,"LoanAssumptions"}</definedName>
    <definedName name="jd_1" localSheetId="18" hidden="1">{#N/A,#N/A,FALSE,"LoanAssumptions"}</definedName>
    <definedName name="jd_1" localSheetId="25" hidden="1">{#N/A,#N/A,FALSE,"LoanAssumptions"}</definedName>
    <definedName name="jd_1" hidden="1">{#N/A,#N/A,FALSE,"LoanAssumptions"}</definedName>
    <definedName name="JDHD" localSheetId="24" hidden="1">{#N/A,#N/A,TRUE,"대 차 대 조 표"}</definedName>
    <definedName name="JDHD" localSheetId="18" hidden="1">{#N/A,#N/A,TRUE,"대 차 대 조 표"}</definedName>
    <definedName name="JDHD" localSheetId="25" hidden="1">{#N/A,#N/A,TRUE,"대 차 대 조 표"}</definedName>
    <definedName name="JDHD" hidden="1">{#N/A,#N/A,TRUE,"대 차 대 조 표"}</definedName>
    <definedName name="jdnd" localSheetId="24" hidden="1">{#N/A,#N/A,FALSE,"BS";#N/A,#N/A,FALSE,"PL";#N/A,#N/A,FALSE,"처분";#N/A,#N/A,FALSE,"현금";#N/A,#N/A,FALSE,"매출";#N/A,#N/A,FALSE,"원가";#N/A,#N/A,FALSE,"경영"}</definedName>
    <definedName name="jdnd" localSheetId="18" hidden="1">{#N/A,#N/A,FALSE,"BS";#N/A,#N/A,FALSE,"PL";#N/A,#N/A,FALSE,"처분";#N/A,#N/A,FALSE,"현금";#N/A,#N/A,FALSE,"매출";#N/A,#N/A,FALSE,"원가";#N/A,#N/A,FALSE,"경영"}</definedName>
    <definedName name="jdnd" localSheetId="25" hidden="1">{#N/A,#N/A,FALSE,"BS";#N/A,#N/A,FALSE,"PL";#N/A,#N/A,FALSE,"처분";#N/A,#N/A,FALSE,"현금";#N/A,#N/A,FALSE,"매출";#N/A,#N/A,FALSE,"원가";#N/A,#N/A,FALSE,"경영"}</definedName>
    <definedName name="jdnd" hidden="1">{#N/A,#N/A,FALSE,"BS";#N/A,#N/A,FALSE,"PL";#N/A,#N/A,FALSE,"처분";#N/A,#N/A,FALSE,"현금";#N/A,#N/A,FALSE,"매출";#N/A,#N/A,FALSE,"원가";#N/A,#N/A,FALSE,"경영"}</definedName>
    <definedName name="JFJ" localSheetId="24" hidden="1">{#N/A,#N/A,FALSE,"손익표지";#N/A,#N/A,FALSE,"손익계산";#N/A,#N/A,FALSE,"일반관리비";#N/A,#N/A,FALSE,"영업외수익";#N/A,#N/A,FALSE,"영업외비용";#N/A,#N/A,FALSE,"매출액";#N/A,#N/A,FALSE,"요약손익";#N/A,#N/A,FALSE,"요약대차";#N/A,#N/A,FALSE,"매출채권현황";#N/A,#N/A,FALSE,"매출채권명세"}</definedName>
    <definedName name="JFJ" localSheetId="18" hidden="1">{#N/A,#N/A,FALSE,"손익표지";#N/A,#N/A,FALSE,"손익계산";#N/A,#N/A,FALSE,"일반관리비";#N/A,#N/A,FALSE,"영업외수익";#N/A,#N/A,FALSE,"영업외비용";#N/A,#N/A,FALSE,"매출액";#N/A,#N/A,FALSE,"요약손익";#N/A,#N/A,FALSE,"요약대차";#N/A,#N/A,FALSE,"매출채권현황";#N/A,#N/A,FALSE,"매출채권명세"}</definedName>
    <definedName name="JFJ" localSheetId="25" hidden="1">{#N/A,#N/A,FALSE,"손익표지";#N/A,#N/A,FALSE,"손익계산";#N/A,#N/A,FALSE,"일반관리비";#N/A,#N/A,FALSE,"영업외수익";#N/A,#N/A,FALSE,"영업외비용";#N/A,#N/A,FALSE,"매출액";#N/A,#N/A,FALSE,"요약손익";#N/A,#N/A,FALSE,"요약대차";#N/A,#N/A,FALSE,"매출채권현황";#N/A,#N/A,FALSE,"매출채권명세"}</definedName>
    <definedName name="JFJ" hidden="1">{#N/A,#N/A,FALSE,"손익표지";#N/A,#N/A,FALSE,"손익계산";#N/A,#N/A,FALSE,"일반관리비";#N/A,#N/A,FALSE,"영업외수익";#N/A,#N/A,FALSE,"영업외비용";#N/A,#N/A,FALSE,"매출액";#N/A,#N/A,FALSE,"요약손익";#N/A,#N/A,FALSE,"요약대차";#N/A,#N/A,FALSE,"매출채권현황";#N/A,#N/A,FALSE,"매출채권명세"}</definedName>
    <definedName name="jfk" localSheetId="24" hidden="1">{"RetSum1",#N/A,FALSE,"Returns Summary";"RetSum2",#N/A,FALSE,"Returns Summary"}</definedName>
    <definedName name="jfk" localSheetId="18" hidden="1">{"RetSum1",#N/A,FALSE,"Returns Summary";"RetSum2",#N/A,FALSE,"Returns Summary"}</definedName>
    <definedName name="jfk" localSheetId="25" hidden="1">{"RetSum1",#N/A,FALSE,"Returns Summary";"RetSum2",#N/A,FALSE,"Returns Summary"}</definedName>
    <definedName name="jfk" hidden="1">{"RetSum1",#N/A,FALSE,"Returns Summary";"RetSum2",#N/A,FALSE,"Returns Summary"}</definedName>
    <definedName name="jgjghjghj" localSheetId="24" hidden="1">{#N/A,#N/A,TRUE,"Summary1";#N/A,#N/A,TRUE,"Summary2";#N/A,#N/A,TRUE,"Rec to feasi";#N/A,#N/A,TRUE,"Ext-Shops";#N/A,#N/A,TRUE,"Lost"}</definedName>
    <definedName name="jgjghjghj" localSheetId="18" hidden="1">{#N/A,#N/A,TRUE,"Summary1";#N/A,#N/A,TRUE,"Summary2";#N/A,#N/A,TRUE,"Rec to feasi";#N/A,#N/A,TRUE,"Ext-Shops";#N/A,#N/A,TRUE,"Lost"}</definedName>
    <definedName name="jgjghjghj" localSheetId="25" hidden="1">{#N/A,#N/A,TRUE,"Summary1";#N/A,#N/A,TRUE,"Summary2";#N/A,#N/A,TRUE,"Rec to feasi";#N/A,#N/A,TRUE,"Ext-Shops";#N/A,#N/A,TRUE,"Lost"}</definedName>
    <definedName name="jgjghjghj" hidden="1">{#N/A,#N/A,TRUE,"Summary1";#N/A,#N/A,TRUE,"Summary2";#N/A,#N/A,TRUE,"Rec to feasi";#N/A,#N/A,TRUE,"Ext-Shops";#N/A,#N/A,TRUE,"Lost"}</definedName>
    <definedName name="JHGD" localSheetId="24" hidden="1">{#N/A,#N/A,FALSE,"동부"}</definedName>
    <definedName name="JHGD" localSheetId="18" hidden="1">{#N/A,#N/A,FALSE,"동부"}</definedName>
    <definedName name="JHGD" localSheetId="25" hidden="1">{#N/A,#N/A,FALSE,"동부"}</definedName>
    <definedName name="JHGD" hidden="1">{#N/A,#N/A,FALSE,"동부"}</definedName>
    <definedName name="JHGJ" localSheetId="24" hidden="1">{#N/A,#N/A,FALSE,"손익표지";#N/A,#N/A,FALSE,"손익계산";#N/A,#N/A,FALSE,"일반관리비";#N/A,#N/A,FALSE,"영업외수익";#N/A,#N/A,FALSE,"영업외비용";#N/A,#N/A,FALSE,"매출액";#N/A,#N/A,FALSE,"요약손익";#N/A,#N/A,FALSE,"요약대차";#N/A,#N/A,FALSE,"매출채권현황";#N/A,#N/A,FALSE,"매출채권명세"}</definedName>
    <definedName name="JHGJ" localSheetId="18" hidden="1">{#N/A,#N/A,FALSE,"손익표지";#N/A,#N/A,FALSE,"손익계산";#N/A,#N/A,FALSE,"일반관리비";#N/A,#N/A,FALSE,"영업외수익";#N/A,#N/A,FALSE,"영업외비용";#N/A,#N/A,FALSE,"매출액";#N/A,#N/A,FALSE,"요약손익";#N/A,#N/A,FALSE,"요약대차";#N/A,#N/A,FALSE,"매출채권현황";#N/A,#N/A,FALSE,"매출채권명세"}</definedName>
    <definedName name="JHGJ" localSheetId="25" hidden="1">{#N/A,#N/A,FALSE,"손익표지";#N/A,#N/A,FALSE,"손익계산";#N/A,#N/A,FALSE,"일반관리비";#N/A,#N/A,FALSE,"영업외수익";#N/A,#N/A,FALSE,"영업외비용";#N/A,#N/A,FALSE,"매출액";#N/A,#N/A,FALSE,"요약손익";#N/A,#N/A,FALSE,"요약대차";#N/A,#N/A,FALSE,"매출채권현황";#N/A,#N/A,FALSE,"매출채권명세"}</definedName>
    <definedName name="JHGJ" hidden="1">{#N/A,#N/A,FALSE,"손익표지";#N/A,#N/A,FALSE,"손익계산";#N/A,#N/A,FALSE,"일반관리비";#N/A,#N/A,FALSE,"영업외수익";#N/A,#N/A,FALSE,"영업외비용";#N/A,#N/A,FALSE,"매출액";#N/A,#N/A,FALSE,"요약손익";#N/A,#N/A,FALSE,"요약대차";#N/A,#N/A,FALSE,"매출채권현황";#N/A,#N/A,FALSE,"매출채권명세"}</definedName>
    <definedName name="JHGJG" localSheetId="24" hidden="1">{#N/A,#N/A,FALSE,"손익표지";#N/A,#N/A,FALSE,"손익계산";#N/A,#N/A,FALSE,"일반관리비";#N/A,#N/A,FALSE,"영업외수익";#N/A,#N/A,FALSE,"영업외비용";#N/A,#N/A,FALSE,"매출액";#N/A,#N/A,FALSE,"요약손익";#N/A,#N/A,FALSE,"요약대차";#N/A,#N/A,FALSE,"매출채권현황";#N/A,#N/A,FALSE,"매출채권명세"}</definedName>
    <definedName name="JHGJG" localSheetId="18" hidden="1">{#N/A,#N/A,FALSE,"손익표지";#N/A,#N/A,FALSE,"손익계산";#N/A,#N/A,FALSE,"일반관리비";#N/A,#N/A,FALSE,"영업외수익";#N/A,#N/A,FALSE,"영업외비용";#N/A,#N/A,FALSE,"매출액";#N/A,#N/A,FALSE,"요약손익";#N/A,#N/A,FALSE,"요약대차";#N/A,#N/A,FALSE,"매출채권현황";#N/A,#N/A,FALSE,"매출채권명세"}</definedName>
    <definedName name="JHGJG" localSheetId="25" hidden="1">{#N/A,#N/A,FALSE,"손익표지";#N/A,#N/A,FALSE,"손익계산";#N/A,#N/A,FALSE,"일반관리비";#N/A,#N/A,FALSE,"영업외수익";#N/A,#N/A,FALSE,"영업외비용";#N/A,#N/A,FALSE,"매출액";#N/A,#N/A,FALSE,"요약손익";#N/A,#N/A,FALSE,"요약대차";#N/A,#N/A,FALSE,"매출채권현황";#N/A,#N/A,FALSE,"매출채권명세"}</definedName>
    <definedName name="JHGJG" hidden="1">{#N/A,#N/A,FALSE,"손익표지";#N/A,#N/A,FALSE,"손익계산";#N/A,#N/A,FALSE,"일반관리비";#N/A,#N/A,FALSE,"영업외수익";#N/A,#N/A,FALSE,"영업외비용";#N/A,#N/A,FALSE,"매출액";#N/A,#N/A,FALSE,"요약손익";#N/A,#N/A,FALSE,"요약대차";#N/A,#N/A,FALSE,"매출채권현황";#N/A,#N/A,FALSE,"매출채권명세"}</definedName>
    <definedName name="JHGT" localSheetId="24" hidden="1">{#N/A,#N/A,FALSE,"동부"}</definedName>
    <definedName name="JHGT" localSheetId="18" hidden="1">{#N/A,#N/A,FALSE,"동부"}</definedName>
    <definedName name="JHGT" localSheetId="25" hidden="1">{#N/A,#N/A,FALSE,"동부"}</definedName>
    <definedName name="JHGT" hidden="1">{#N/A,#N/A,FALSE,"동부"}</definedName>
    <definedName name="JHJH" localSheetId="24" hidden="1">{#N/A,#N/A,FALSE,"손익표지";#N/A,#N/A,FALSE,"손익계산";#N/A,#N/A,FALSE,"일반관리비";#N/A,#N/A,FALSE,"영업외수익";#N/A,#N/A,FALSE,"영업외비용";#N/A,#N/A,FALSE,"매출액";#N/A,#N/A,FALSE,"요약손익";#N/A,#N/A,FALSE,"요약대차";#N/A,#N/A,FALSE,"매출채권현황";#N/A,#N/A,FALSE,"매출채권명세"}</definedName>
    <definedName name="JHJH" localSheetId="18" hidden="1">{#N/A,#N/A,FALSE,"손익표지";#N/A,#N/A,FALSE,"손익계산";#N/A,#N/A,FALSE,"일반관리비";#N/A,#N/A,FALSE,"영업외수익";#N/A,#N/A,FALSE,"영업외비용";#N/A,#N/A,FALSE,"매출액";#N/A,#N/A,FALSE,"요약손익";#N/A,#N/A,FALSE,"요약대차";#N/A,#N/A,FALSE,"매출채권현황";#N/A,#N/A,FALSE,"매출채권명세"}</definedName>
    <definedName name="JHJH" localSheetId="25" hidden="1">{#N/A,#N/A,FALSE,"손익표지";#N/A,#N/A,FALSE,"손익계산";#N/A,#N/A,FALSE,"일반관리비";#N/A,#N/A,FALSE,"영업외수익";#N/A,#N/A,FALSE,"영업외비용";#N/A,#N/A,FALSE,"매출액";#N/A,#N/A,FALSE,"요약손익";#N/A,#N/A,FALSE,"요약대차";#N/A,#N/A,FALSE,"매출채권현황";#N/A,#N/A,FALSE,"매출채권명세"}</definedName>
    <definedName name="JHJH" hidden="1">{#N/A,#N/A,FALSE,"손익표지";#N/A,#N/A,FALSE,"손익계산";#N/A,#N/A,FALSE,"일반관리비";#N/A,#N/A,FALSE,"영업외수익";#N/A,#N/A,FALSE,"영업외비용";#N/A,#N/A,FALSE,"매출액";#N/A,#N/A,FALSE,"요약손익";#N/A,#N/A,FALSE,"요약대차";#N/A,#N/A,FALSE,"매출채권현황";#N/A,#N/A,FALSE,"매출채권명세"}</definedName>
    <definedName name="JJFOR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FOR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FORS"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FOR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HSHHA"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HSHHA"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HSHHA"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HSHHA"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JJ"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JJ"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JJ"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JJ"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JJJJ" localSheetId="24" hidden="1">{#N/A,#N/A,TRUE,"Y생산";#N/A,#N/A,TRUE,"Y판매";#N/A,#N/A,TRUE,"Y총물량";#N/A,#N/A,TRUE,"Y능력";#N/A,#N/A,TRUE,"YKD"}</definedName>
    <definedName name="JJJJJJ" localSheetId="18" hidden="1">{#N/A,#N/A,TRUE,"Y생산";#N/A,#N/A,TRUE,"Y판매";#N/A,#N/A,TRUE,"Y총물량";#N/A,#N/A,TRUE,"Y능력";#N/A,#N/A,TRUE,"YKD"}</definedName>
    <definedName name="JJJJJJ" localSheetId="25" hidden="1">{#N/A,#N/A,TRUE,"Y생산";#N/A,#N/A,TRUE,"Y판매";#N/A,#N/A,TRUE,"Y총물량";#N/A,#N/A,TRUE,"Y능력";#N/A,#N/A,TRUE,"YKD"}</definedName>
    <definedName name="JJJJJJ" hidden="1">{#N/A,#N/A,TRUE,"Y생산";#N/A,#N/A,TRUE,"Y판매";#N/A,#N/A,TRUE,"Y총물량";#N/A,#N/A,TRUE,"Y능력";#N/A,#N/A,TRUE,"YKD"}</definedName>
    <definedName name="JJSUW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SUWE"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SUWE"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SUW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KJ" localSheetId="24" hidden="1">{#N/A,#N/A,FALSE,"손익표지";#N/A,#N/A,FALSE,"손익계산";#N/A,#N/A,FALSE,"일반관리비";#N/A,#N/A,FALSE,"영업외수익";#N/A,#N/A,FALSE,"영업외비용";#N/A,#N/A,FALSE,"매출액";#N/A,#N/A,FALSE,"요약손익";#N/A,#N/A,FALSE,"요약대차";#N/A,#N/A,FALSE,"매출채권현황";#N/A,#N/A,FALSE,"매출채권명세"}</definedName>
    <definedName name="JKJ" localSheetId="18" hidden="1">{#N/A,#N/A,FALSE,"손익표지";#N/A,#N/A,FALSE,"손익계산";#N/A,#N/A,FALSE,"일반관리비";#N/A,#N/A,FALSE,"영업외수익";#N/A,#N/A,FALSE,"영업외비용";#N/A,#N/A,FALSE,"매출액";#N/A,#N/A,FALSE,"요약손익";#N/A,#N/A,FALSE,"요약대차";#N/A,#N/A,FALSE,"매출채권현황";#N/A,#N/A,FALSE,"매출채권명세"}</definedName>
    <definedName name="JKJ" localSheetId="25" hidden="1">{#N/A,#N/A,FALSE,"손익표지";#N/A,#N/A,FALSE,"손익계산";#N/A,#N/A,FALSE,"일반관리비";#N/A,#N/A,FALSE,"영업외수익";#N/A,#N/A,FALSE,"영업외비용";#N/A,#N/A,FALSE,"매출액";#N/A,#N/A,FALSE,"요약손익";#N/A,#N/A,FALSE,"요약대차";#N/A,#N/A,FALSE,"매출채권현황";#N/A,#N/A,FALSE,"매출채권명세"}</definedName>
    <definedName name="JKJ" hidden="1">{#N/A,#N/A,FALSE,"손익표지";#N/A,#N/A,FALSE,"손익계산";#N/A,#N/A,FALSE,"일반관리비";#N/A,#N/A,FALSE,"영업외수익";#N/A,#N/A,FALSE,"영업외비용";#N/A,#N/A,FALSE,"매출액";#N/A,#N/A,FALSE,"요약손익";#N/A,#N/A,FALSE,"요약대차";#N/A,#N/A,FALSE,"매출채권현황";#N/A,#N/A,FALSE,"매출채권명세"}</definedName>
    <definedName name="jkljk" localSheetId="24" hidden="1">{#N/A,#N/A,FALSE,"이력서&amp;자기소개서"}</definedName>
    <definedName name="jkljk" localSheetId="18" hidden="1">{#N/A,#N/A,FALSE,"이력서&amp;자기소개서"}</definedName>
    <definedName name="jkljk" localSheetId="25" hidden="1">{#N/A,#N/A,FALSE,"이력서&amp;자기소개서"}</definedName>
    <definedName name="jkljk" hidden="1">{#N/A,#N/A,FALSE,"이력서&amp;자기소개서"}</definedName>
    <definedName name="JSH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SH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SHS"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SH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k"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k" localSheetId="25"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k"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kdi" localSheetId="24" hidden="1">{#N/A,#N/A,FALSE,"BS";#N/A,#N/A,FALSE,"PL";#N/A,#N/A,FALSE,"A";#N/A,#N/A,FALSE,"B";#N/A,#N/A,FALSE,"B1";#N/A,#N/A,FALSE,"C";#N/A,#N/A,FALSE,"C1";#N/A,#N/A,FALSE,"C2";#N/A,#N/A,FALSE,"D";#N/A,#N/A,FALSE,"E";#N/A,#N/A,FALSE,"F";#N/A,#N/A,FALSE,"AA";#N/A,#N/A,FALSE,"BB";#N/A,#N/A,FALSE,"CC";#N/A,#N/A,FALSE,"DD";#N/A,#N/A,FALSE,"EE";#N/A,#N/A,FALSE,"FF";#N/A,#N/A,FALSE,"PL10";#N/A,#N/A,FALSE,"PL20";#N/A,#N/A,FALSE,"PL30"}</definedName>
    <definedName name="kdi" localSheetId="18" hidden="1">{#N/A,#N/A,FALSE,"BS";#N/A,#N/A,FALSE,"PL";#N/A,#N/A,FALSE,"A";#N/A,#N/A,FALSE,"B";#N/A,#N/A,FALSE,"B1";#N/A,#N/A,FALSE,"C";#N/A,#N/A,FALSE,"C1";#N/A,#N/A,FALSE,"C2";#N/A,#N/A,FALSE,"D";#N/A,#N/A,FALSE,"E";#N/A,#N/A,FALSE,"F";#N/A,#N/A,FALSE,"AA";#N/A,#N/A,FALSE,"BB";#N/A,#N/A,FALSE,"CC";#N/A,#N/A,FALSE,"DD";#N/A,#N/A,FALSE,"EE";#N/A,#N/A,FALSE,"FF";#N/A,#N/A,FALSE,"PL10";#N/A,#N/A,FALSE,"PL20";#N/A,#N/A,FALSE,"PL30"}</definedName>
    <definedName name="kdi" localSheetId="25" hidden="1">{#N/A,#N/A,FALSE,"BS";#N/A,#N/A,FALSE,"PL";#N/A,#N/A,FALSE,"A";#N/A,#N/A,FALSE,"B";#N/A,#N/A,FALSE,"B1";#N/A,#N/A,FALSE,"C";#N/A,#N/A,FALSE,"C1";#N/A,#N/A,FALSE,"C2";#N/A,#N/A,FALSE,"D";#N/A,#N/A,FALSE,"E";#N/A,#N/A,FALSE,"F";#N/A,#N/A,FALSE,"AA";#N/A,#N/A,FALSE,"BB";#N/A,#N/A,FALSE,"CC";#N/A,#N/A,FALSE,"DD";#N/A,#N/A,FALSE,"EE";#N/A,#N/A,FALSE,"FF";#N/A,#N/A,FALSE,"PL10";#N/A,#N/A,FALSE,"PL20";#N/A,#N/A,FALSE,"PL30"}</definedName>
    <definedName name="kdi" hidden="1">{#N/A,#N/A,FALSE,"BS";#N/A,#N/A,FALSE,"PL";#N/A,#N/A,FALSE,"A";#N/A,#N/A,FALSE,"B";#N/A,#N/A,FALSE,"B1";#N/A,#N/A,FALSE,"C";#N/A,#N/A,FALSE,"C1";#N/A,#N/A,FALSE,"C2";#N/A,#N/A,FALSE,"D";#N/A,#N/A,FALSE,"E";#N/A,#N/A,FALSE,"F";#N/A,#N/A,FALSE,"AA";#N/A,#N/A,FALSE,"BB";#N/A,#N/A,FALSE,"CC";#N/A,#N/A,FALSE,"DD";#N/A,#N/A,FALSE,"EE";#N/A,#N/A,FALSE,"FF";#N/A,#N/A,FALSE,"PL10";#N/A,#N/A,FALSE,"PL20";#N/A,#N/A,FALSE,"PL30"}</definedName>
    <definedName name="KFH" localSheetId="24" hidden="1">{#N/A,#N/A,FALSE,"손익표지";#N/A,#N/A,FALSE,"손익계산";#N/A,#N/A,FALSE,"일반관리비";#N/A,#N/A,FALSE,"영업외수익";#N/A,#N/A,FALSE,"영업외비용";#N/A,#N/A,FALSE,"매출액";#N/A,#N/A,FALSE,"요약손익";#N/A,#N/A,FALSE,"요약대차";#N/A,#N/A,FALSE,"매출채권현황";#N/A,#N/A,FALSE,"매출채권명세"}</definedName>
    <definedName name="KFH" localSheetId="18" hidden="1">{#N/A,#N/A,FALSE,"손익표지";#N/A,#N/A,FALSE,"손익계산";#N/A,#N/A,FALSE,"일반관리비";#N/A,#N/A,FALSE,"영업외수익";#N/A,#N/A,FALSE,"영업외비용";#N/A,#N/A,FALSE,"매출액";#N/A,#N/A,FALSE,"요약손익";#N/A,#N/A,FALSE,"요약대차";#N/A,#N/A,FALSE,"매출채권현황";#N/A,#N/A,FALSE,"매출채권명세"}</definedName>
    <definedName name="KFH" localSheetId="25" hidden="1">{#N/A,#N/A,FALSE,"손익표지";#N/A,#N/A,FALSE,"손익계산";#N/A,#N/A,FALSE,"일반관리비";#N/A,#N/A,FALSE,"영업외수익";#N/A,#N/A,FALSE,"영업외비용";#N/A,#N/A,FALSE,"매출액";#N/A,#N/A,FALSE,"요약손익";#N/A,#N/A,FALSE,"요약대차";#N/A,#N/A,FALSE,"매출채권현황";#N/A,#N/A,FALSE,"매출채권명세"}</definedName>
    <definedName name="KFH" hidden="1">{#N/A,#N/A,FALSE,"손익표지";#N/A,#N/A,FALSE,"손익계산";#N/A,#N/A,FALSE,"일반관리비";#N/A,#N/A,FALSE,"영업외수익";#N/A,#N/A,FALSE,"영업외비용";#N/A,#N/A,FALSE,"매출액";#N/A,#N/A,FALSE,"요약손익";#N/A,#N/A,FALSE,"요약대차";#N/A,#N/A,FALSE,"매출채권현황";#N/A,#N/A,FALSE,"매출채권명세"}</definedName>
    <definedName name="ki" localSheetId="24" hidden="1">{"Actual",#N/A,FALSE,"(価格)";"Market",#N/A,FALSE,"(価格)";"Plan",#N/A,FALSE,"(価格)"}</definedName>
    <definedName name="ki" localSheetId="18" hidden="1">{"Actual",#N/A,FALSE,"(価格)";"Market",#N/A,FALSE,"(価格)";"Plan",#N/A,FALSE,"(価格)"}</definedName>
    <definedName name="ki" localSheetId="25" hidden="1">{"Actual",#N/A,FALSE,"(価格)";"Market",#N/A,FALSE,"(価格)";"Plan",#N/A,FALSE,"(価格)"}</definedName>
    <definedName name="ki" hidden="1">{"Actual",#N/A,FALSE,"(価格)";"Market",#N/A,FALSE,"(価格)";"Plan",#N/A,FALSE,"(価格)"}</definedName>
    <definedName name="KIA" localSheetId="24" hidden="1">{#N/A,#N/A,FALSE,"단축1";#N/A,#N/A,FALSE,"단축2";#N/A,#N/A,FALSE,"단축3";#N/A,#N/A,FALSE,"장축";#N/A,#N/A,FALSE,"4WD"}</definedName>
    <definedName name="KIA" localSheetId="18" hidden="1">{#N/A,#N/A,FALSE,"단축1";#N/A,#N/A,FALSE,"단축2";#N/A,#N/A,FALSE,"단축3";#N/A,#N/A,FALSE,"장축";#N/A,#N/A,FALSE,"4WD"}</definedName>
    <definedName name="KIA" localSheetId="25" hidden="1">{#N/A,#N/A,FALSE,"단축1";#N/A,#N/A,FALSE,"단축2";#N/A,#N/A,FALSE,"단축3";#N/A,#N/A,FALSE,"장축";#N/A,#N/A,FALSE,"4WD"}</definedName>
    <definedName name="KIA" hidden="1">{#N/A,#N/A,FALSE,"단축1";#N/A,#N/A,FALSE,"단축2";#N/A,#N/A,FALSE,"단축3";#N/A,#N/A,FALSE,"장축";#N/A,#N/A,FALSE,"4WD"}</definedName>
    <definedName name="ｋｋ" localSheetId="24" hidden="1">{"summary",#N/A,TRUE,"Focus";"interestexpense",#N/A,TRUE,"Focus";"interestincome",#N/A,TRUE,"Focus";"dividend",#N/A,TRUE,"Focus";"feeincome",#N/A,TRUE,"Focus";"gain",#N/A,TRUE,"Focus"}</definedName>
    <definedName name="ｋｋ" localSheetId="18" hidden="1">{"summary",#N/A,TRUE,"Focus";"interestexpense",#N/A,TRUE,"Focus";"interestincome",#N/A,TRUE,"Focus";"dividend",#N/A,TRUE,"Focus";"feeincome",#N/A,TRUE,"Focus";"gain",#N/A,TRUE,"Focus"}</definedName>
    <definedName name="ｋｋ" localSheetId="25" hidden="1">{"summary",#N/A,TRUE,"Focus";"interestexpense",#N/A,TRUE,"Focus";"interestincome",#N/A,TRUE,"Focus";"dividend",#N/A,TRUE,"Focus";"feeincome",#N/A,TRUE,"Focus";"gain",#N/A,TRUE,"Focus"}</definedName>
    <definedName name="ｋｋ" hidden="1">{"summary",#N/A,TRUE,"Focus";"interestexpense",#N/A,TRUE,"Focus";"interestincome",#N/A,TRUE,"Focus";"dividend",#N/A,TRUE,"Focus";"feeincome",#N/A,TRUE,"Focus";"gain",#N/A,TRUE,"Focus"}</definedName>
    <definedName name="KKA"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A"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A"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A"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AW"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AW"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AW"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AW"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I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IE"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IE"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I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UEK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UEK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UEKS"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UEK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ISJJ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ISJJD"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ISJJD"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ISJJ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JJ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JJ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JJS"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JJ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EEP"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EEP"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EEP"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EEP"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K" localSheetId="24" hidden="1">{"AJD",#N/A,TRUE,"Summary";"AJD",#N/A,TRUE,"CFCONC-outputs";"AJD",#N/A,TRUE,"P&amp;LCONC-outputs";"AJD",#N/A,TRUE,"BSCONC-outputs";"AJD",#N/A,TRUE,"FSCONC-outputs"}</definedName>
    <definedName name="KKKK" localSheetId="18" hidden="1">{"AJD",#N/A,TRUE,"Summary";"AJD",#N/A,TRUE,"CFCONC-outputs";"AJD",#N/A,TRUE,"P&amp;LCONC-outputs";"AJD",#N/A,TRUE,"BSCONC-outputs";"AJD",#N/A,TRUE,"FSCONC-outputs"}</definedName>
    <definedName name="KKKK" localSheetId="25" hidden="1">{"AJD",#N/A,TRUE,"Summary";"AJD",#N/A,TRUE,"CFCONC-outputs";"AJD",#N/A,TRUE,"P&amp;LCONC-outputs";"AJD",#N/A,TRUE,"BSCONC-outputs";"AJD",#N/A,TRUE,"FSCONC-outputs"}</definedName>
    <definedName name="KKKK" hidden="1">{"AJD",#N/A,TRUE,"Summary";"AJD",#N/A,TRUE,"CFCONC-outputs";"AJD",#N/A,TRUE,"P&amp;LCONC-outputs";"AJD",#N/A,TRUE,"BSCONC-outputs";"AJD",#N/A,TRUE,"FSCONC-outputs"}</definedName>
    <definedName name="KKKSJ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J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JS"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J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SL"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SL"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SL"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SL"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IIEJ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IIEJD"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IIEJD"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IIEJ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JWUJ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JWUJD"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JWUJD"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JWUJ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WEI"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WEI"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WEI"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WEI"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SJ_25" localSheetId="24" hidden="1">{#N/A,#N/A,FALSE,"동부"}</definedName>
    <definedName name="KSJ_25" localSheetId="18" hidden="1">{#N/A,#N/A,FALSE,"동부"}</definedName>
    <definedName name="KSJ_25" localSheetId="25" hidden="1">{#N/A,#N/A,FALSE,"동부"}</definedName>
    <definedName name="KSJ_25" hidden="1">{#N/A,#N/A,FALSE,"동부"}</definedName>
    <definedName name="KSJ_25_1" localSheetId="24" hidden="1">{#N/A,#N/A,FALSE,"동부"}</definedName>
    <definedName name="KSJ_25_1" localSheetId="18" hidden="1">{#N/A,#N/A,FALSE,"동부"}</definedName>
    <definedName name="KSJ_25_1" localSheetId="25" hidden="1">{#N/A,#N/A,FALSE,"동부"}</definedName>
    <definedName name="KSJ_25_1" hidden="1">{#N/A,#N/A,FALSE,"동부"}</definedName>
    <definedName name="kyd.CounterLimitCell.01." hidden="1">"x"</definedName>
    <definedName name="kyd.Dim.01." hidden="1">"local:Company"</definedName>
    <definedName name="kyd.ElementType.01." hidden="1">3</definedName>
    <definedName name="kyd.ItemType.01." hidden="1">2</definedName>
    <definedName name="kyd.MacroAfterMemoRow." hidden="1">""</definedName>
    <definedName name="kyd.MacroAfterZap." hidden="1">""</definedName>
    <definedName name="kyd.MacroAtEnd." hidden="1">""</definedName>
    <definedName name="kyd.MacroEachCycle." hidden="1">"FormatReport"</definedName>
    <definedName name="kyd.MacroEndOfEachCycle." hidden="1">""</definedName>
    <definedName name="kyd.MacroStartOfProc." hidden="1">""</definedName>
    <definedName name="kyd.MemoCtrlNum." hidden="1">0</definedName>
    <definedName name="kyd.MemoSortHide." hidden="1">FALSE</definedName>
    <definedName name="kyd.NumLevels.01." hidden="1">999</definedName>
    <definedName name="kyd.PanicStop." hidden="1">FALSE</definedName>
    <definedName name="kyd.ParentName.01." hidden="1">""</definedName>
    <definedName name="kyd.PreScreenData." hidden="1">FALSE</definedName>
    <definedName name="kyd.PrintMemo." hidden="1">FALSE</definedName>
    <definedName name="kyd.PrintParent.01." hidden="1">TRUE</definedName>
    <definedName name="kyd.PrintStdWhen." hidden="1">3</definedName>
    <definedName name="kyd.PrintToWbk." hidden="1">FALSE</definedName>
    <definedName name="kyd.ProcessInCycle." hidden="1">FALSE</definedName>
    <definedName name="kyd.SaveAsFile." hidden="1">FALSE</definedName>
    <definedName name="kyd.SaveMemo." hidden="1">FALSE</definedName>
    <definedName name="kyd.SelectString.01." hidden="1">"*"</definedName>
    <definedName name="kyd.Shortcut." hidden="1">FALSE</definedName>
    <definedName name="kyd.StdSortHide." hidden="1">FALSE</definedName>
    <definedName name="kyd.StopRow." hidden="1">65536</definedName>
    <definedName name="kyd.WriteMemWhenOptn." hidden="1">3</definedName>
    <definedName name="l" localSheetId="24" hidden="1">{#N/A,#N/A,FALSE,"동부"}</definedName>
    <definedName name="l" localSheetId="18" hidden="1">{#N/A,#N/A,FALSE,"동부"}</definedName>
    <definedName name="l" localSheetId="25" hidden="1">{#N/A,#N/A,FALSE,"동부"}</definedName>
    <definedName name="l" hidden="1">{#N/A,#N/A,FALSE,"동부"}</definedName>
    <definedName name="LAK"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AK"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AK"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AK"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hg" localSheetId="24" hidden="1">{#N/A,#N/A,FALSE,"OperatingAssumptions"}</definedName>
    <definedName name="lhg" localSheetId="18" hidden="1">{#N/A,#N/A,FALSE,"OperatingAssumptions"}</definedName>
    <definedName name="lhg" localSheetId="25" hidden="1">{#N/A,#N/A,FALSE,"OperatingAssumptions"}</definedName>
    <definedName name="lhg" hidden="1">{#N/A,#N/A,FALSE,"OperatingAssumptions"}</definedName>
    <definedName name="li" localSheetId="24" hidden="1">{"'용역비'!$A$4:$C$8"}</definedName>
    <definedName name="li" localSheetId="18" hidden="1">{"'용역비'!$A$4:$C$8"}</definedName>
    <definedName name="li" localSheetId="25" hidden="1">{"'용역비'!$A$4:$C$8"}</definedName>
    <definedName name="li" hidden="1">{"'용역비'!$A$4:$C$8"}</definedName>
    <definedName name="LINE검토2" localSheetId="24" hidden="1">{#N/A,#N/A,TRUE,"Y생산";#N/A,#N/A,TRUE,"Y판매";#N/A,#N/A,TRUE,"Y총물량";#N/A,#N/A,TRUE,"Y능력";#N/A,#N/A,TRUE,"YKD"}</definedName>
    <definedName name="LINE검토2" localSheetId="18" hidden="1">{#N/A,#N/A,TRUE,"Y생산";#N/A,#N/A,TRUE,"Y판매";#N/A,#N/A,TRUE,"Y총물량";#N/A,#N/A,TRUE,"Y능력";#N/A,#N/A,TRUE,"YKD"}</definedName>
    <definedName name="LINE검토2" localSheetId="25" hidden="1">{#N/A,#N/A,TRUE,"Y생산";#N/A,#N/A,TRUE,"Y판매";#N/A,#N/A,TRUE,"Y총물량";#N/A,#N/A,TRUE,"Y능력";#N/A,#N/A,TRUE,"YKD"}</definedName>
    <definedName name="LINE검토2" hidden="1">{#N/A,#N/A,TRUE,"Y생산";#N/A,#N/A,TRUE,"Y판매";#N/A,#N/A,TRUE,"Y총물량";#N/A,#N/A,TRUE,"Y능력";#N/A,#N/A,TRUE,"YKD"}</definedName>
    <definedName name="ljklj" localSheetId="24" hidden="1">{#N/A,#N/A,FALSE,"Profit"}</definedName>
    <definedName name="ljklj" localSheetId="18" hidden="1">{#N/A,#N/A,FALSE,"Profit"}</definedName>
    <definedName name="ljklj" localSheetId="25" hidden="1">{#N/A,#N/A,FALSE,"Profit"}</definedName>
    <definedName name="ljklj" hidden="1">{#N/A,#N/A,FALSE,"Profit"}</definedName>
    <definedName name="ljlj" localSheetId="24" hidden="1">{"Trust",#N/A,FALSE,"trust";"TrustPM",#N/A,FALSE,"trustpm"}</definedName>
    <definedName name="ljlj" localSheetId="18" hidden="1">{"Trust",#N/A,FALSE,"trust";"TrustPM",#N/A,FALSE,"trustpm"}</definedName>
    <definedName name="ljlj" localSheetId="25" hidden="1">{"Trust",#N/A,FALSE,"trust";"TrustPM",#N/A,FALSE,"trustpm"}</definedName>
    <definedName name="ljlj" hidden="1">{"Trust",#N/A,FALSE,"trust";"TrustPM",#N/A,FALSE,"trustpm"}</definedName>
    <definedName name="lkrj" localSheetId="24" hidden="1">{"AnnualRentRoll",#N/A,FALSE,"RentRoll"}</definedName>
    <definedName name="lkrj" localSheetId="18" hidden="1">{"AnnualRentRoll",#N/A,FALSE,"RentRoll"}</definedName>
    <definedName name="lkrj" localSheetId="25" hidden="1">{"AnnualRentRoll",#N/A,FALSE,"RentRoll"}</definedName>
    <definedName name="lkrj" hidden="1">{"AnnualRentRoll",#N/A,FALSE,"RentRoll"}</definedName>
    <definedName name="ｌｌ" localSheetId="24" hidden="1">{"pond1",#N/A,FALSE,"Focus";"pond2",#N/A,FALSE,"Focus"}</definedName>
    <definedName name="ｌｌ" localSheetId="18" hidden="1">{"pond1",#N/A,FALSE,"Focus";"pond2",#N/A,FALSE,"Focus"}</definedName>
    <definedName name="ｌｌ" localSheetId="25" hidden="1">{"pond1",#N/A,FALSE,"Focus";"pond2",#N/A,FALSE,"Focus"}</definedName>
    <definedName name="ｌｌ" hidden="1">{"pond1",#N/A,FALSE,"Focus";"pond2",#N/A,FALSE,"Focus"}</definedName>
    <definedName name="LLDIEKK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DIEKK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DIEKKS"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DIEKK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K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KD"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KD"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K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_1"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_1"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_1"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E"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E"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IEKDK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IEKDKD"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IEKDKD"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IEKDK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KEI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KEIE"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KEIE"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KEI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o" localSheetId="24" hidden="1">{#N/A,#N/A,FALSE,"LoanAssumptions"}</definedName>
    <definedName name="lo" localSheetId="18" hidden="1">{#N/A,#N/A,FALSE,"LoanAssumptions"}</definedName>
    <definedName name="lo" localSheetId="25" hidden="1">{#N/A,#N/A,FALSE,"LoanAssumptions"}</definedName>
    <definedName name="lo" hidden="1">{#N/A,#N/A,FALSE,"LoanAssumptions"}</definedName>
    <definedName name="lp" localSheetId="24" hidden="1">{"pond1",#N/A,FALSE,"Focus";"pond2",#N/A,FALSE,"Focus"}</definedName>
    <definedName name="lp" localSheetId="18" hidden="1">{"pond1",#N/A,FALSE,"Focus";"pond2",#N/A,FALSE,"Focus"}</definedName>
    <definedName name="lp" localSheetId="25" hidden="1">{"pond1",#N/A,FALSE,"Focus";"pond2",#N/A,FALSE,"Focus"}</definedName>
    <definedName name="lp" hidden="1">{"pond1",#N/A,FALSE,"Focus";"pond2",#N/A,FALSE,"Focus"}</definedName>
    <definedName name="MAN" hidden="1">#N/A</definedName>
    <definedName name="Marketing" localSheetId="24" hidden="1">{#N/A,#N/A,FALSE,"Menu";#N/A,#N/A,FALSE,"Sch A";#N/A,#N/A,FALSE,"Print Dummy";#N/A,#N/A,FALSE,"Sch B";#N/A,#N/A,FALSE,"Sch C";#N/A,#N/A,FALSE,"Sch D";#N/A,#N/A,FALSE,"Sch E";#N/A,#N/A,FALSE,"Sch F";#N/A,#N/A,FALSE,"Sch G";#N/A,#N/A,FALSE,"Sch H";#N/A,#N/A,FALSE,"Sch I";#N/A,#N/A,FALSE,"Sch J"}</definedName>
    <definedName name="Marketing" localSheetId="18" hidden="1">{#N/A,#N/A,FALSE,"Menu";#N/A,#N/A,FALSE,"Sch A";#N/A,#N/A,FALSE,"Print Dummy";#N/A,#N/A,FALSE,"Sch B";#N/A,#N/A,FALSE,"Sch C";#N/A,#N/A,FALSE,"Sch D";#N/A,#N/A,FALSE,"Sch E";#N/A,#N/A,FALSE,"Sch F";#N/A,#N/A,FALSE,"Sch G";#N/A,#N/A,FALSE,"Sch H";#N/A,#N/A,FALSE,"Sch I";#N/A,#N/A,FALSE,"Sch J"}</definedName>
    <definedName name="Marketing" localSheetId="25" hidden="1">{#N/A,#N/A,FALSE,"Menu";#N/A,#N/A,FALSE,"Sch A";#N/A,#N/A,FALSE,"Print Dummy";#N/A,#N/A,FALSE,"Sch B";#N/A,#N/A,FALSE,"Sch C";#N/A,#N/A,FALSE,"Sch D";#N/A,#N/A,FALSE,"Sch E";#N/A,#N/A,FALSE,"Sch F";#N/A,#N/A,FALSE,"Sch G";#N/A,#N/A,FALSE,"Sch H";#N/A,#N/A,FALSE,"Sch I";#N/A,#N/A,FALSE,"Sch J"}</definedName>
    <definedName name="Marketing" hidden="1">{#N/A,#N/A,FALSE,"Menu";#N/A,#N/A,FALSE,"Sch A";#N/A,#N/A,FALSE,"Print Dummy";#N/A,#N/A,FALSE,"Sch B";#N/A,#N/A,FALSE,"Sch C";#N/A,#N/A,FALSE,"Sch D";#N/A,#N/A,FALSE,"Sch E";#N/A,#N/A,FALSE,"Sch F";#N/A,#N/A,FALSE,"Sch G";#N/A,#N/A,FALSE,"Sch H";#N/A,#N/A,FALSE,"Sch I";#N/A,#N/A,FALSE,"Sch J"}</definedName>
    <definedName name="Marketing1" localSheetId="24" hidden="1">{#N/A,#N/A,FALSE,"Menu";#N/A,#N/A,FALSE,"Sch A";#N/A,#N/A,FALSE,"Print Dummy";#N/A,#N/A,FALSE,"Sch B";#N/A,#N/A,FALSE,"Sch C";#N/A,#N/A,FALSE,"Sch D";#N/A,#N/A,FALSE,"Sch E";#N/A,#N/A,FALSE,"Sch F";#N/A,#N/A,FALSE,"Sch G";#N/A,#N/A,FALSE,"Sch H";#N/A,#N/A,FALSE,"Sch I";#N/A,#N/A,FALSE,"Sch J"}</definedName>
    <definedName name="Marketing1" localSheetId="18" hidden="1">{#N/A,#N/A,FALSE,"Menu";#N/A,#N/A,FALSE,"Sch A";#N/A,#N/A,FALSE,"Print Dummy";#N/A,#N/A,FALSE,"Sch B";#N/A,#N/A,FALSE,"Sch C";#N/A,#N/A,FALSE,"Sch D";#N/A,#N/A,FALSE,"Sch E";#N/A,#N/A,FALSE,"Sch F";#N/A,#N/A,FALSE,"Sch G";#N/A,#N/A,FALSE,"Sch H";#N/A,#N/A,FALSE,"Sch I";#N/A,#N/A,FALSE,"Sch J"}</definedName>
    <definedName name="Marketing1" localSheetId="25" hidden="1">{#N/A,#N/A,FALSE,"Menu";#N/A,#N/A,FALSE,"Sch A";#N/A,#N/A,FALSE,"Print Dummy";#N/A,#N/A,FALSE,"Sch B";#N/A,#N/A,FALSE,"Sch C";#N/A,#N/A,FALSE,"Sch D";#N/A,#N/A,FALSE,"Sch E";#N/A,#N/A,FALSE,"Sch F";#N/A,#N/A,FALSE,"Sch G";#N/A,#N/A,FALSE,"Sch H";#N/A,#N/A,FALSE,"Sch I";#N/A,#N/A,FALSE,"Sch J"}</definedName>
    <definedName name="Marketing1" hidden="1">{#N/A,#N/A,FALSE,"Menu";#N/A,#N/A,FALSE,"Sch A";#N/A,#N/A,FALSE,"Print Dummy";#N/A,#N/A,FALSE,"Sch B";#N/A,#N/A,FALSE,"Sch C";#N/A,#N/A,FALSE,"Sch D";#N/A,#N/A,FALSE,"Sch E";#N/A,#N/A,FALSE,"Sch F";#N/A,#N/A,FALSE,"Sch G";#N/A,#N/A,FALSE,"Sch H";#N/A,#N/A,FALSE,"Sch I";#N/A,#N/A,FALSE,"Sch J"}</definedName>
    <definedName name="Marketing2" localSheetId="24" hidden="1">{#N/A,#N/A,FALSE,"Menu";#N/A,#N/A,FALSE,"Sch A";#N/A,#N/A,FALSE,"Print Dummy";#N/A,#N/A,FALSE,"Sch B";#N/A,#N/A,FALSE,"Sch C";#N/A,#N/A,FALSE,"Sch D";#N/A,#N/A,FALSE,"Sch E";#N/A,#N/A,FALSE,"Sch F";#N/A,#N/A,FALSE,"Sch G";#N/A,#N/A,FALSE,"Sch H";#N/A,#N/A,FALSE,"Sch I";#N/A,#N/A,FALSE,"Sch J"}</definedName>
    <definedName name="Marketing2" localSheetId="18" hidden="1">{#N/A,#N/A,FALSE,"Menu";#N/A,#N/A,FALSE,"Sch A";#N/A,#N/A,FALSE,"Print Dummy";#N/A,#N/A,FALSE,"Sch B";#N/A,#N/A,FALSE,"Sch C";#N/A,#N/A,FALSE,"Sch D";#N/A,#N/A,FALSE,"Sch E";#N/A,#N/A,FALSE,"Sch F";#N/A,#N/A,FALSE,"Sch G";#N/A,#N/A,FALSE,"Sch H";#N/A,#N/A,FALSE,"Sch I";#N/A,#N/A,FALSE,"Sch J"}</definedName>
    <definedName name="Marketing2" localSheetId="25" hidden="1">{#N/A,#N/A,FALSE,"Menu";#N/A,#N/A,FALSE,"Sch A";#N/A,#N/A,FALSE,"Print Dummy";#N/A,#N/A,FALSE,"Sch B";#N/A,#N/A,FALSE,"Sch C";#N/A,#N/A,FALSE,"Sch D";#N/A,#N/A,FALSE,"Sch E";#N/A,#N/A,FALSE,"Sch F";#N/A,#N/A,FALSE,"Sch G";#N/A,#N/A,FALSE,"Sch H";#N/A,#N/A,FALSE,"Sch I";#N/A,#N/A,FALSE,"Sch J"}</definedName>
    <definedName name="Marketing2" hidden="1">{#N/A,#N/A,FALSE,"Menu";#N/A,#N/A,FALSE,"Sch A";#N/A,#N/A,FALSE,"Print Dummy";#N/A,#N/A,FALSE,"Sch B";#N/A,#N/A,FALSE,"Sch C";#N/A,#N/A,FALSE,"Sch D";#N/A,#N/A,FALSE,"Sch E";#N/A,#N/A,FALSE,"Sch F";#N/A,#N/A,FALSE,"Sch G";#N/A,#N/A,FALSE,"Sch H";#N/A,#N/A,FALSE,"Sch I";#N/A,#N/A,FALSE,"Sch J"}</definedName>
    <definedName name="Marketing3" localSheetId="24" hidden="1">{#N/A,#N/A,FALSE,"Menu";#N/A,#N/A,FALSE,"Sch A";#N/A,#N/A,FALSE,"Print Dummy";#N/A,#N/A,FALSE,"Sch B";#N/A,#N/A,FALSE,"Sch C";#N/A,#N/A,FALSE,"Sch D";#N/A,#N/A,FALSE,"Sch E";#N/A,#N/A,FALSE,"Sch F";#N/A,#N/A,FALSE,"Sch G";#N/A,#N/A,FALSE,"Sch H";#N/A,#N/A,FALSE,"Sch I";#N/A,#N/A,FALSE,"Sch J"}</definedName>
    <definedName name="Marketing3" localSheetId="18" hidden="1">{#N/A,#N/A,FALSE,"Menu";#N/A,#N/A,FALSE,"Sch A";#N/A,#N/A,FALSE,"Print Dummy";#N/A,#N/A,FALSE,"Sch B";#N/A,#N/A,FALSE,"Sch C";#N/A,#N/A,FALSE,"Sch D";#N/A,#N/A,FALSE,"Sch E";#N/A,#N/A,FALSE,"Sch F";#N/A,#N/A,FALSE,"Sch G";#N/A,#N/A,FALSE,"Sch H";#N/A,#N/A,FALSE,"Sch I";#N/A,#N/A,FALSE,"Sch J"}</definedName>
    <definedName name="Marketing3" localSheetId="25" hidden="1">{#N/A,#N/A,FALSE,"Menu";#N/A,#N/A,FALSE,"Sch A";#N/A,#N/A,FALSE,"Print Dummy";#N/A,#N/A,FALSE,"Sch B";#N/A,#N/A,FALSE,"Sch C";#N/A,#N/A,FALSE,"Sch D";#N/A,#N/A,FALSE,"Sch E";#N/A,#N/A,FALSE,"Sch F";#N/A,#N/A,FALSE,"Sch G";#N/A,#N/A,FALSE,"Sch H";#N/A,#N/A,FALSE,"Sch I";#N/A,#N/A,FALSE,"Sch J"}</definedName>
    <definedName name="Marketing3" hidden="1">{#N/A,#N/A,FALSE,"Menu";#N/A,#N/A,FALSE,"Sch A";#N/A,#N/A,FALSE,"Print Dummy";#N/A,#N/A,FALSE,"Sch B";#N/A,#N/A,FALSE,"Sch C";#N/A,#N/A,FALSE,"Sch D";#N/A,#N/A,FALSE,"Sch E";#N/A,#N/A,FALSE,"Sch F";#N/A,#N/A,FALSE,"Sch G";#N/A,#N/A,FALSE,"Sch H";#N/A,#N/A,FALSE,"Sch I";#N/A,#N/A,FALSE,"Sch J"}</definedName>
    <definedName name="Marketing4" localSheetId="24" hidden="1">{#N/A,#N/A,FALSE,"Menu";#N/A,#N/A,FALSE,"Sch A";#N/A,#N/A,FALSE,"Print Dummy";#N/A,#N/A,FALSE,"Sch B";#N/A,#N/A,FALSE,"Sch C";#N/A,#N/A,FALSE,"Sch D";#N/A,#N/A,FALSE,"Sch E";#N/A,#N/A,FALSE,"Sch F";#N/A,#N/A,FALSE,"Sch G";#N/A,#N/A,FALSE,"Sch H";#N/A,#N/A,FALSE,"Sch I";#N/A,#N/A,FALSE,"Sch J"}</definedName>
    <definedName name="Marketing4" localSheetId="18" hidden="1">{#N/A,#N/A,FALSE,"Menu";#N/A,#N/A,FALSE,"Sch A";#N/A,#N/A,FALSE,"Print Dummy";#N/A,#N/A,FALSE,"Sch B";#N/A,#N/A,FALSE,"Sch C";#N/A,#N/A,FALSE,"Sch D";#N/A,#N/A,FALSE,"Sch E";#N/A,#N/A,FALSE,"Sch F";#N/A,#N/A,FALSE,"Sch G";#N/A,#N/A,FALSE,"Sch H";#N/A,#N/A,FALSE,"Sch I";#N/A,#N/A,FALSE,"Sch J"}</definedName>
    <definedName name="Marketing4" localSheetId="25" hidden="1">{#N/A,#N/A,FALSE,"Menu";#N/A,#N/A,FALSE,"Sch A";#N/A,#N/A,FALSE,"Print Dummy";#N/A,#N/A,FALSE,"Sch B";#N/A,#N/A,FALSE,"Sch C";#N/A,#N/A,FALSE,"Sch D";#N/A,#N/A,FALSE,"Sch E";#N/A,#N/A,FALSE,"Sch F";#N/A,#N/A,FALSE,"Sch G";#N/A,#N/A,FALSE,"Sch H";#N/A,#N/A,FALSE,"Sch I";#N/A,#N/A,FALSE,"Sch J"}</definedName>
    <definedName name="Marketing4" hidden="1">{#N/A,#N/A,FALSE,"Menu";#N/A,#N/A,FALSE,"Sch A";#N/A,#N/A,FALSE,"Print Dummy";#N/A,#N/A,FALSE,"Sch B";#N/A,#N/A,FALSE,"Sch C";#N/A,#N/A,FALSE,"Sch D";#N/A,#N/A,FALSE,"Sch E";#N/A,#N/A,FALSE,"Sch F";#N/A,#N/A,FALSE,"Sch G";#N/A,#N/A,FALSE,"Sch H";#N/A,#N/A,FALSE,"Sch I";#N/A,#N/A,FALSE,"Sch J"}</definedName>
    <definedName name="Marketing5" localSheetId="24" hidden="1">{#N/A,#N/A,FALSE,"Menu";#N/A,#N/A,FALSE,"Sch A";#N/A,#N/A,FALSE,"Print Dummy";#N/A,#N/A,FALSE,"Sch B";#N/A,#N/A,FALSE,"Sch C";#N/A,#N/A,FALSE,"Sch D";#N/A,#N/A,FALSE,"Sch E";#N/A,#N/A,FALSE,"Sch F";#N/A,#N/A,FALSE,"Sch G";#N/A,#N/A,FALSE,"Sch H";#N/A,#N/A,FALSE,"Sch I";#N/A,#N/A,FALSE,"Sch J"}</definedName>
    <definedName name="Marketing5" localSheetId="18" hidden="1">{#N/A,#N/A,FALSE,"Menu";#N/A,#N/A,FALSE,"Sch A";#N/A,#N/A,FALSE,"Print Dummy";#N/A,#N/A,FALSE,"Sch B";#N/A,#N/A,FALSE,"Sch C";#N/A,#N/A,FALSE,"Sch D";#N/A,#N/A,FALSE,"Sch E";#N/A,#N/A,FALSE,"Sch F";#N/A,#N/A,FALSE,"Sch G";#N/A,#N/A,FALSE,"Sch H";#N/A,#N/A,FALSE,"Sch I";#N/A,#N/A,FALSE,"Sch J"}</definedName>
    <definedName name="Marketing5" localSheetId="25" hidden="1">{#N/A,#N/A,FALSE,"Menu";#N/A,#N/A,FALSE,"Sch A";#N/A,#N/A,FALSE,"Print Dummy";#N/A,#N/A,FALSE,"Sch B";#N/A,#N/A,FALSE,"Sch C";#N/A,#N/A,FALSE,"Sch D";#N/A,#N/A,FALSE,"Sch E";#N/A,#N/A,FALSE,"Sch F";#N/A,#N/A,FALSE,"Sch G";#N/A,#N/A,FALSE,"Sch H";#N/A,#N/A,FALSE,"Sch I";#N/A,#N/A,FALSE,"Sch J"}</definedName>
    <definedName name="Marketing5" hidden="1">{#N/A,#N/A,FALSE,"Menu";#N/A,#N/A,FALSE,"Sch A";#N/A,#N/A,FALSE,"Print Dummy";#N/A,#N/A,FALSE,"Sch B";#N/A,#N/A,FALSE,"Sch C";#N/A,#N/A,FALSE,"Sch D";#N/A,#N/A,FALSE,"Sch E";#N/A,#N/A,FALSE,"Sch F";#N/A,#N/A,FALSE,"Sch G";#N/A,#N/A,FALSE,"Sch H";#N/A,#N/A,FALSE,"Sch I";#N/A,#N/A,FALSE,"Sch J"}</definedName>
    <definedName name="Marketing6" localSheetId="24" hidden="1">{#N/A,#N/A,FALSE,"Menu";#N/A,#N/A,FALSE,"Sch A";#N/A,#N/A,FALSE,"Print Dummy";#N/A,#N/A,FALSE,"Sch B";#N/A,#N/A,FALSE,"Sch C";#N/A,#N/A,FALSE,"Sch D";#N/A,#N/A,FALSE,"Sch E";#N/A,#N/A,FALSE,"Sch F";#N/A,#N/A,FALSE,"Sch G";#N/A,#N/A,FALSE,"Sch H";#N/A,#N/A,FALSE,"Sch I";#N/A,#N/A,FALSE,"Sch J"}</definedName>
    <definedName name="Marketing6" localSheetId="18" hidden="1">{#N/A,#N/A,FALSE,"Menu";#N/A,#N/A,FALSE,"Sch A";#N/A,#N/A,FALSE,"Print Dummy";#N/A,#N/A,FALSE,"Sch B";#N/A,#N/A,FALSE,"Sch C";#N/A,#N/A,FALSE,"Sch D";#N/A,#N/A,FALSE,"Sch E";#N/A,#N/A,FALSE,"Sch F";#N/A,#N/A,FALSE,"Sch G";#N/A,#N/A,FALSE,"Sch H";#N/A,#N/A,FALSE,"Sch I";#N/A,#N/A,FALSE,"Sch J"}</definedName>
    <definedName name="Marketing6" localSheetId="25" hidden="1">{#N/A,#N/A,FALSE,"Menu";#N/A,#N/A,FALSE,"Sch A";#N/A,#N/A,FALSE,"Print Dummy";#N/A,#N/A,FALSE,"Sch B";#N/A,#N/A,FALSE,"Sch C";#N/A,#N/A,FALSE,"Sch D";#N/A,#N/A,FALSE,"Sch E";#N/A,#N/A,FALSE,"Sch F";#N/A,#N/A,FALSE,"Sch G";#N/A,#N/A,FALSE,"Sch H";#N/A,#N/A,FALSE,"Sch I";#N/A,#N/A,FALSE,"Sch J"}</definedName>
    <definedName name="Marketing6" hidden="1">{#N/A,#N/A,FALSE,"Menu";#N/A,#N/A,FALSE,"Sch A";#N/A,#N/A,FALSE,"Print Dummy";#N/A,#N/A,FALSE,"Sch B";#N/A,#N/A,FALSE,"Sch C";#N/A,#N/A,FALSE,"Sch D";#N/A,#N/A,FALSE,"Sch E";#N/A,#N/A,FALSE,"Sch F";#N/A,#N/A,FALSE,"Sch G";#N/A,#N/A,FALSE,"Sch H";#N/A,#N/A,FALSE,"Sch I";#N/A,#N/A,FALSE,"Sch J"}</definedName>
    <definedName name="me">"Button 5"</definedName>
    <definedName name="mhy" localSheetId="24" hidden="1">{"AnnualRentRoll",#N/A,FALSE,"RentRoll"}</definedName>
    <definedName name="mhy" localSheetId="18" hidden="1">{"AnnualRentRoll",#N/A,FALSE,"RentRoll"}</definedName>
    <definedName name="mhy" localSheetId="25" hidden="1">{"AnnualRentRoll",#N/A,FALSE,"RentRoll"}</definedName>
    <definedName name="mhy" hidden="1">{"AnnualRentRoll",#N/A,FALSE,"RentRoll"}</definedName>
    <definedName name="minamisenba" localSheetId="24" hidden="1">{#N/A,#N/A,FALSE,"１";#N/A,#N/A,FALSE,"２";#N/A,#N/A,FALSE,"３";#N/A,#N/A,FALSE,"４"}</definedName>
    <definedName name="minamisenba" localSheetId="18" hidden="1">{#N/A,#N/A,FALSE,"１";#N/A,#N/A,FALSE,"２";#N/A,#N/A,FALSE,"３";#N/A,#N/A,FALSE,"４"}</definedName>
    <definedName name="minamisenba" localSheetId="25" hidden="1">{#N/A,#N/A,FALSE,"１";#N/A,#N/A,FALSE,"２";#N/A,#N/A,FALSE,"３";#N/A,#N/A,FALSE,"４"}</definedName>
    <definedName name="minamisenba" hidden="1">{#N/A,#N/A,FALSE,"１";#N/A,#N/A,FALSE,"２";#N/A,#N/A,FALSE,"３";#N/A,#N/A,FALSE,"４"}</definedName>
    <definedName name="Miscjnl4" localSheetId="24" hidden="1">{#N/A,#N/A,FALSE,"Data Input";#N/A,#N/A,FALSE,"1. Income";#N/A,#N/A,FALSE,"2. Rates &amp; Taxes";#N/A,#N/A,FALSE,"3. Extended Trade";#N/A,#N/A,FALSE,"4. Non Recoverable Expenses";#N/A,#N/A,FALSE,"5. Recoverable Expenses";#N/A,#N/A,FALSE,"6. Cleaning"}</definedName>
    <definedName name="Miscjnl4" localSheetId="18" hidden="1">{#N/A,#N/A,FALSE,"Data Input";#N/A,#N/A,FALSE,"1. Income";#N/A,#N/A,FALSE,"2. Rates &amp; Taxes";#N/A,#N/A,FALSE,"3. Extended Trade";#N/A,#N/A,FALSE,"4. Non Recoverable Expenses";#N/A,#N/A,FALSE,"5. Recoverable Expenses";#N/A,#N/A,FALSE,"6. Cleaning"}</definedName>
    <definedName name="Miscjnl4" localSheetId="25" hidden="1">{#N/A,#N/A,FALSE,"Data Input";#N/A,#N/A,FALSE,"1. Income";#N/A,#N/A,FALSE,"2. Rates &amp; Taxes";#N/A,#N/A,FALSE,"3. Extended Trade";#N/A,#N/A,FALSE,"4. Non Recoverable Expenses";#N/A,#N/A,FALSE,"5. Recoverable Expenses";#N/A,#N/A,FALSE,"6. Cleaning"}</definedName>
    <definedName name="Miscjnl4" hidden="1">{#N/A,#N/A,FALSE,"Data Input";#N/A,#N/A,FALSE,"1. Income";#N/A,#N/A,FALSE,"2. Rates &amp; Taxes";#N/A,#N/A,FALSE,"3. Extended Trade";#N/A,#N/A,FALSE,"4. Non Recoverable Expenses";#N/A,#N/A,FALSE,"5. Recoverable Expenses";#N/A,#N/A,FALSE,"6. Cleaning"}</definedName>
    <definedName name="mki" localSheetId="24" hidden="1">{#N/A,#N/A,FALSE,"OperatingAssumptions"}</definedName>
    <definedName name="mki" localSheetId="18" hidden="1">{#N/A,#N/A,FALSE,"OperatingAssumptions"}</definedName>
    <definedName name="mki" localSheetId="25" hidden="1">{#N/A,#N/A,FALSE,"OperatingAssumptions"}</definedName>
    <definedName name="mki" hidden="1">{#N/A,#N/A,FALSE,"OperatingAssumptions"}</definedName>
    <definedName name="mkl" localSheetId="24" hidden="1">{#N/A,#N/A,TRUE,"Y생산";#N/A,#N/A,TRUE,"Y판매";#N/A,#N/A,TRUE,"Y총물량";#N/A,#N/A,TRUE,"Y능력";#N/A,#N/A,TRUE,"YKD"}</definedName>
    <definedName name="mkl" localSheetId="18" hidden="1">{#N/A,#N/A,TRUE,"Y생산";#N/A,#N/A,TRUE,"Y판매";#N/A,#N/A,TRUE,"Y총물량";#N/A,#N/A,TRUE,"Y능력";#N/A,#N/A,TRUE,"YKD"}</definedName>
    <definedName name="mkl" localSheetId="25" hidden="1">{#N/A,#N/A,TRUE,"Y생산";#N/A,#N/A,TRUE,"Y판매";#N/A,#N/A,TRUE,"Y총물량";#N/A,#N/A,TRUE,"Y능력";#N/A,#N/A,TRUE,"YKD"}</definedName>
    <definedName name="mkl" hidden="1">{#N/A,#N/A,TRUE,"Y생산";#N/A,#N/A,TRUE,"Y판매";#N/A,#N/A,TRUE,"Y총물량";#N/A,#N/A,TRUE,"Y능력";#N/A,#N/A,TRUE,"YKD"}</definedName>
    <definedName name="mkl_1" localSheetId="24" hidden="1">{#N/A,#N/A,TRUE,"Y생산";#N/A,#N/A,TRUE,"Y판매";#N/A,#N/A,TRUE,"Y총물량";#N/A,#N/A,TRUE,"Y능력";#N/A,#N/A,TRUE,"YKD"}</definedName>
    <definedName name="mkl_1" localSheetId="18" hidden="1">{#N/A,#N/A,TRUE,"Y생산";#N/A,#N/A,TRUE,"Y판매";#N/A,#N/A,TRUE,"Y총물량";#N/A,#N/A,TRUE,"Y능력";#N/A,#N/A,TRUE,"YKD"}</definedName>
    <definedName name="mkl_1" localSheetId="25" hidden="1">{#N/A,#N/A,TRUE,"Y생산";#N/A,#N/A,TRUE,"Y판매";#N/A,#N/A,TRUE,"Y총물량";#N/A,#N/A,TRUE,"Y능력";#N/A,#N/A,TRUE,"YKD"}</definedName>
    <definedName name="mkl_1" hidden="1">{#N/A,#N/A,TRUE,"Y생산";#N/A,#N/A,TRUE,"Y판매";#N/A,#N/A,TRUE,"Y총물량";#N/A,#N/A,TRUE,"Y능력";#N/A,#N/A,TRUE,"YKD"}</definedName>
    <definedName name="mmm"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 localSheetId="25"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_1"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_1"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_1" localSheetId="25"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_1"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okuji" localSheetId="24" hidden="1">{"Actual",#N/A,FALSE,"(価格)";"Market",#N/A,FALSE,"(価格)";"Plan",#N/A,FALSE,"(価格)"}</definedName>
    <definedName name="mokuji" localSheetId="18" hidden="1">{"Actual",#N/A,FALSE,"(価格)";"Market",#N/A,FALSE,"(価格)";"Plan",#N/A,FALSE,"(価格)"}</definedName>
    <definedName name="mokuji" localSheetId="25" hidden="1">{"Actual",#N/A,FALSE,"(価格)";"Market",#N/A,FALSE,"(価格)";"Plan",#N/A,FALSE,"(価格)"}</definedName>
    <definedName name="mokuji" hidden="1">{"Actual",#N/A,FALSE,"(価格)";"Market",#N/A,FALSE,"(価格)";"Plan",#N/A,FALSE,"(価格)"}</definedName>
    <definedName name="mort3" localSheetId="24" hidden="1">{#N/A,#N/A,FALSE,"asset plan";#N/A,#N/A,FALSE,"Mgmt Report";#N/A,#N/A,FALSE,"sensitivities (2)";#N/A,#N/A,FALSE,"sensitivities";#N/A,#N/A,FALSE,"let up 10  Mort";#N/A,#N/A,FALSE,"let up 12 Mort";#N/A,#N/A,FALSE,"Capex";#N/A,#N/A,FALSE,"Capex Cashflow (2)";#N/A,#N/A,FALSE,"Capex Cashflow (3)";#N/A,#N/A,FALSE,"House View";#N/A,#N/A,FALSE,"kpi"}</definedName>
    <definedName name="mort3" localSheetId="18" hidden="1">{#N/A,#N/A,FALSE,"asset plan";#N/A,#N/A,FALSE,"Mgmt Report";#N/A,#N/A,FALSE,"sensitivities (2)";#N/A,#N/A,FALSE,"sensitivities";#N/A,#N/A,FALSE,"let up 10  Mort";#N/A,#N/A,FALSE,"let up 12 Mort";#N/A,#N/A,FALSE,"Capex";#N/A,#N/A,FALSE,"Capex Cashflow (2)";#N/A,#N/A,FALSE,"Capex Cashflow (3)";#N/A,#N/A,FALSE,"House View";#N/A,#N/A,FALSE,"kpi"}</definedName>
    <definedName name="mort3" localSheetId="25" hidden="1">{#N/A,#N/A,FALSE,"asset plan";#N/A,#N/A,FALSE,"Mgmt Report";#N/A,#N/A,FALSE,"sensitivities (2)";#N/A,#N/A,FALSE,"sensitivities";#N/A,#N/A,FALSE,"let up 10  Mort";#N/A,#N/A,FALSE,"let up 12 Mort";#N/A,#N/A,FALSE,"Capex";#N/A,#N/A,FALSE,"Capex Cashflow (2)";#N/A,#N/A,FALSE,"Capex Cashflow (3)";#N/A,#N/A,FALSE,"House View";#N/A,#N/A,FALSE,"kpi"}</definedName>
    <definedName name="mort3" hidden="1">{#N/A,#N/A,FALSE,"asset plan";#N/A,#N/A,FALSE,"Mgmt Report";#N/A,#N/A,FALSE,"sensitivities (2)";#N/A,#N/A,FALSE,"sensitivities";#N/A,#N/A,FALSE,"let up 10  Mort";#N/A,#N/A,FALSE,"let up 12 Mort";#N/A,#N/A,FALSE,"Capex";#N/A,#N/A,FALSE,"Capex Cashflow (2)";#N/A,#N/A,FALSE,"Capex Cashflow (3)";#N/A,#N/A,FALSE,"House View";#N/A,#N/A,FALSE,"kpi"}</definedName>
    <definedName name="MP" localSheetId="24" hidden="1">{#N/A,#N/A,FALSE,"BS";#N/A,#N/A,FALSE,"PL";#N/A,#N/A,FALSE,"처분";#N/A,#N/A,FALSE,"현금";#N/A,#N/A,FALSE,"매출";#N/A,#N/A,FALSE,"원가";#N/A,#N/A,FALSE,"경영"}</definedName>
    <definedName name="MP" localSheetId="18" hidden="1">{#N/A,#N/A,FALSE,"BS";#N/A,#N/A,FALSE,"PL";#N/A,#N/A,FALSE,"처분";#N/A,#N/A,FALSE,"현금";#N/A,#N/A,FALSE,"매출";#N/A,#N/A,FALSE,"원가";#N/A,#N/A,FALSE,"경영"}</definedName>
    <definedName name="MP" localSheetId="25" hidden="1">{#N/A,#N/A,FALSE,"BS";#N/A,#N/A,FALSE,"PL";#N/A,#N/A,FALSE,"처분";#N/A,#N/A,FALSE,"현금";#N/A,#N/A,FALSE,"매출";#N/A,#N/A,FALSE,"원가";#N/A,#N/A,FALSE,"경영"}</definedName>
    <definedName name="MP" hidden="1">{#N/A,#N/A,FALSE,"BS";#N/A,#N/A,FALSE,"PL";#N/A,#N/A,FALSE,"처분";#N/A,#N/A,FALSE,"현금";#N/A,#N/A,FALSE,"매출";#N/A,#N/A,FALSE,"원가";#N/A,#N/A,FALSE,"경영"}</definedName>
    <definedName name="ms" localSheetId="24" hidden="1">{#N/A,#N/A,FALSE,"asset plan";#N/A,#N/A,FALSE,"Mgmt Report";#N/A,#N/A,FALSE,"sensitivities (2)";#N/A,#N/A,FALSE,"sensitivities";#N/A,#N/A,FALSE,"let up 10  Mort";#N/A,#N/A,FALSE,"let up 12 Mort";#N/A,#N/A,FALSE,"Capex";#N/A,#N/A,FALSE,"Capex Cashflow (2)";#N/A,#N/A,FALSE,"Capex Cashflow (3)";#N/A,#N/A,FALSE,"House View";#N/A,#N/A,FALSE,"kpi"}</definedName>
    <definedName name="ms" localSheetId="18" hidden="1">{#N/A,#N/A,FALSE,"asset plan";#N/A,#N/A,FALSE,"Mgmt Report";#N/A,#N/A,FALSE,"sensitivities (2)";#N/A,#N/A,FALSE,"sensitivities";#N/A,#N/A,FALSE,"let up 10  Mort";#N/A,#N/A,FALSE,"let up 12 Mort";#N/A,#N/A,FALSE,"Capex";#N/A,#N/A,FALSE,"Capex Cashflow (2)";#N/A,#N/A,FALSE,"Capex Cashflow (3)";#N/A,#N/A,FALSE,"House View";#N/A,#N/A,FALSE,"kpi"}</definedName>
    <definedName name="ms" localSheetId="25" hidden="1">{#N/A,#N/A,FALSE,"asset plan";#N/A,#N/A,FALSE,"Mgmt Report";#N/A,#N/A,FALSE,"sensitivities (2)";#N/A,#N/A,FALSE,"sensitivities";#N/A,#N/A,FALSE,"let up 10  Mort";#N/A,#N/A,FALSE,"let up 12 Mort";#N/A,#N/A,FALSE,"Capex";#N/A,#N/A,FALSE,"Capex Cashflow (2)";#N/A,#N/A,FALSE,"Capex Cashflow (3)";#N/A,#N/A,FALSE,"House View";#N/A,#N/A,FALSE,"kpi"}</definedName>
    <definedName name="ms" hidden="1">{#N/A,#N/A,FALSE,"asset plan";#N/A,#N/A,FALSE,"Mgmt Report";#N/A,#N/A,FALSE,"sensitivities (2)";#N/A,#N/A,FALSE,"sensitivities";#N/A,#N/A,FALSE,"let up 10  Mort";#N/A,#N/A,FALSE,"let up 12 Mort";#N/A,#N/A,FALSE,"Capex";#N/A,#N/A,FALSE,"Capex Cashflow (2)";#N/A,#N/A,FALSE,"Capex Cashflow (3)";#N/A,#N/A,FALSE,"House View";#N/A,#N/A,FALSE,"kpi"}</definedName>
    <definedName name="mtb" localSheetId="24" hidden="1">{"Actual",#N/A,FALSE,"(価格)";"Market",#N/A,FALSE,"(価格)";"Plan",#N/A,FALSE,"(価格)"}</definedName>
    <definedName name="mtb" localSheetId="18" hidden="1">{"Actual",#N/A,FALSE,"(価格)";"Market",#N/A,FALSE,"(価格)";"Plan",#N/A,FALSE,"(価格)"}</definedName>
    <definedName name="mtb" localSheetId="25" hidden="1">{"Actual",#N/A,FALSE,"(価格)";"Market",#N/A,FALSE,"(価格)";"Plan",#N/A,FALSE,"(価格)"}</definedName>
    <definedName name="mtb" hidden="1">{"Actual",#N/A,FALSE,"(価格)";"Market",#N/A,FALSE,"(価格)";"Plan",#N/A,FALSE,"(価格)"}</definedName>
    <definedName name="ｍｔｂ2" localSheetId="24" hidden="1">{"ｹﾝﾄ（M)",#N/A,FALSE,"収支・日割";"ｹﾝﾄ（RD)",#N/A,FALSE,"収支・日割";"ｹﾝﾄ（PMC)",#N/A,FALSE,"収支・日割"}</definedName>
    <definedName name="ｍｔｂ2" localSheetId="18" hidden="1">{"ｹﾝﾄ（M)",#N/A,FALSE,"収支・日割";"ｹﾝﾄ（RD)",#N/A,FALSE,"収支・日割";"ｹﾝﾄ（PMC)",#N/A,FALSE,"収支・日割"}</definedName>
    <definedName name="ｍｔｂ2" localSheetId="25" hidden="1">{"ｹﾝﾄ（M)",#N/A,FALSE,"収支・日割";"ｹﾝﾄ（RD)",#N/A,FALSE,"収支・日割";"ｹﾝﾄ（PMC)",#N/A,FALSE,"収支・日割"}</definedName>
    <definedName name="ｍｔｂ2" hidden="1">{"ｹﾝﾄ（M)",#N/A,FALSE,"収支・日割";"ｹﾝﾄ（RD)",#N/A,FALSE,"収支・日割";"ｹﾝﾄ（PMC)",#N/A,FALSE,"収支・日割"}</definedName>
    <definedName name="n"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cbnvnvc" localSheetId="24" hidden="1">{#N/A,#N/A,FALSE,"Outgoings"}</definedName>
    <definedName name="ncbnvnvc" localSheetId="18" hidden="1">{#N/A,#N/A,FALSE,"Outgoings"}</definedName>
    <definedName name="ncbnvnvc" localSheetId="25" hidden="1">{#N/A,#N/A,FALSE,"Outgoings"}</definedName>
    <definedName name="ncbnvnvc" hidden="1">{#N/A,#N/A,FALSE,"Outgoings"}</definedName>
    <definedName name="ncnbcvvcnb" localSheetId="24" hidden="1">{#N/A,#N/A,FALSE,"Summary1";#N/A,#N/A,FALSE,"Summary2";#N/A,#N/A,FALSE,"Variation";#N/A,#N/A,FALSE,"Ext-Shops";#N/A,#N/A,FALSE,"Lost"}</definedName>
    <definedName name="ncnbcvvcnb" localSheetId="18" hidden="1">{#N/A,#N/A,FALSE,"Summary1";#N/A,#N/A,FALSE,"Summary2";#N/A,#N/A,FALSE,"Variation";#N/A,#N/A,FALSE,"Ext-Shops";#N/A,#N/A,FALSE,"Lost"}</definedName>
    <definedName name="ncnbcvvcnb" localSheetId="25" hidden="1">{#N/A,#N/A,FALSE,"Summary1";#N/A,#N/A,FALSE,"Summary2";#N/A,#N/A,FALSE,"Variation";#N/A,#N/A,FALSE,"Ext-Shops";#N/A,#N/A,FALSE,"Lost"}</definedName>
    <definedName name="ncnbcvvcnb" hidden="1">{#N/A,#N/A,FALSE,"Summary1";#N/A,#N/A,FALSE,"Summary2";#N/A,#N/A,FALSE,"Variation";#N/A,#N/A,FALSE,"Ext-Shops";#N/A,#N/A,FALSE,"Lost"}</definedName>
    <definedName name="ncncbncvncvbn" localSheetId="24" hidden="1">{"State",#N/A,FALSE,"state";"StatePM",#N/A,FALSE,"statepm"}</definedName>
    <definedName name="ncncbncvncvbn" localSheetId="18" hidden="1">{"State",#N/A,FALSE,"state";"StatePM",#N/A,FALSE,"statepm"}</definedName>
    <definedName name="ncncbncvncvbn" localSheetId="25" hidden="1">{"State",#N/A,FALSE,"state";"StatePM",#N/A,FALSE,"statepm"}</definedName>
    <definedName name="ncncbncvncvbn" hidden="1">{"State",#N/A,FALSE,"state";"StatePM",#N/A,FALSE,"statepm"}</definedName>
    <definedName name="ncvbncmh" localSheetId="24" hidden="1">{#N/A,#N/A,FALSE,"Cover";#N/A,#N/A,FALSE,"Detail_Commit";#N/A,#N/A,FALSE,"Target Vacancies";#N/A,#N/A,FALSE,"Report1";#N/A,#N/A,FALSE,"Report1RGM";#N/A,#N/A,FALSE,"Report6";#N/A,#N/A,FALSE,"Report6RGM";#N/A,#N/A,FALSE,"Report9";#N/A,#N/A,FALSE,"Report10";#N/A,#N/A,FALSE,"Report11";#N/A,#N/A,FALSE,"Report13";#N/A,#N/A,FALSE,"Report13RGM"}</definedName>
    <definedName name="ncvbncmh" localSheetId="18" hidden="1">{#N/A,#N/A,FALSE,"Cover";#N/A,#N/A,FALSE,"Detail_Commit";#N/A,#N/A,FALSE,"Target Vacancies";#N/A,#N/A,FALSE,"Report1";#N/A,#N/A,FALSE,"Report1RGM";#N/A,#N/A,FALSE,"Report6";#N/A,#N/A,FALSE,"Report6RGM";#N/A,#N/A,FALSE,"Report9";#N/A,#N/A,FALSE,"Report10";#N/A,#N/A,FALSE,"Report11";#N/A,#N/A,FALSE,"Report13";#N/A,#N/A,FALSE,"Report13RGM"}</definedName>
    <definedName name="ncvbncmh" localSheetId="25" hidden="1">{#N/A,#N/A,FALSE,"Cover";#N/A,#N/A,FALSE,"Detail_Commit";#N/A,#N/A,FALSE,"Target Vacancies";#N/A,#N/A,FALSE,"Report1";#N/A,#N/A,FALSE,"Report1RGM";#N/A,#N/A,FALSE,"Report6";#N/A,#N/A,FALSE,"Report6RGM";#N/A,#N/A,FALSE,"Report9";#N/A,#N/A,FALSE,"Report10";#N/A,#N/A,FALSE,"Report11";#N/A,#N/A,FALSE,"Report13";#N/A,#N/A,FALSE,"Report13RGM"}</definedName>
    <definedName name="ncvbncmh" hidden="1">{#N/A,#N/A,FALSE,"Cover";#N/A,#N/A,FALSE,"Detail_Commit";#N/A,#N/A,FALSE,"Target Vacancies";#N/A,#N/A,FALSE,"Report1";#N/A,#N/A,FALSE,"Report1RGM";#N/A,#N/A,FALSE,"Report6";#N/A,#N/A,FALSE,"Report6RGM";#N/A,#N/A,FALSE,"Report9";#N/A,#N/A,FALSE,"Report10";#N/A,#N/A,FALSE,"Report11";#N/A,#N/A,FALSE,"Report13";#N/A,#N/A,FALSE,"Report13RGM"}</definedName>
    <definedName name="nego검토"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ego검토"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ego검토"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ego검토"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EWNAME" localSheetId="24" hidden="1">{#N/A,#N/A,FALSE,"CCTV"}</definedName>
    <definedName name="NEWNAME" localSheetId="18" hidden="1">{#N/A,#N/A,FALSE,"CCTV"}</definedName>
    <definedName name="NEWNAME" localSheetId="25" hidden="1">{#N/A,#N/A,FALSE,"CCTV"}</definedName>
    <definedName name="NEWNAME" hidden="1">{#N/A,#N/A,FALSE,"CCTV"}</definedName>
    <definedName name="Nitin" hidden="1">#N/A</definedName>
    <definedName name="njhnj" localSheetId="24" hidden="1">{#N/A,#N/A,TRUE,"Summary";#N/A,#N/A,TRUE,"Project Shops";#N/A,#N/A,TRUE,"Foodcourt";#N/A,#N/A,TRUE,"REMIX SHOPS"}</definedName>
    <definedName name="njhnj" localSheetId="18" hidden="1">{#N/A,#N/A,TRUE,"Summary";#N/A,#N/A,TRUE,"Project Shops";#N/A,#N/A,TRUE,"Foodcourt";#N/A,#N/A,TRUE,"REMIX SHOPS"}</definedName>
    <definedName name="njhnj" localSheetId="25" hidden="1">{#N/A,#N/A,TRUE,"Summary";#N/A,#N/A,TRUE,"Project Shops";#N/A,#N/A,TRUE,"Foodcourt";#N/A,#N/A,TRUE,"REMIX SHOPS"}</definedName>
    <definedName name="njhnj" hidden="1">{#N/A,#N/A,TRUE,"Summary";#N/A,#N/A,TRUE,"Project Shops";#N/A,#N/A,TRUE,"Foodcourt";#N/A,#N/A,TRUE,"REMIX SHOPS"}</definedName>
    <definedName name="njk"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_1"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_1"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_1"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n" localSheetId="24" hidden="1">{"CF",#N/A,FALSE,"Cash Flow";"RET",#N/A,FALSE,"Returns";"NPV",#N/A,FALSE,"Values";"ASMPT",#N/A,FALSE,"Assumptions"}</definedName>
    <definedName name="nn" localSheetId="18" hidden="1">{"CF",#N/A,FALSE,"Cash Flow";"RET",#N/A,FALSE,"Returns";"NPV",#N/A,FALSE,"Values";"ASMPT",#N/A,FALSE,"Assumptions"}</definedName>
    <definedName name="nn" localSheetId="25" hidden="1">{"CF",#N/A,FALSE,"Cash Flow";"RET",#N/A,FALSE,"Returns";"NPV",#N/A,FALSE,"Values";"ASMPT",#N/A,FALSE,"Assumptions"}</definedName>
    <definedName name="nn" hidden="1">{"CF",#N/A,FALSE,"Cash Flow";"RET",#N/A,FALSE,"Returns";"NPV",#N/A,FALSE,"Values";"ASMPT",#N/A,FALSE,"Assumptions"}</definedName>
    <definedName name="nnn" localSheetId="24" hidden="1">{#N/A,#N/A,FALSE,"동부"}</definedName>
    <definedName name="nnn" localSheetId="18" hidden="1">{#N/A,#N/A,FALSE,"동부"}</definedName>
    <definedName name="nnn" localSheetId="25" hidden="1">{#N/A,#N/A,FALSE,"동부"}</definedName>
    <definedName name="nnn" hidden="1">{#N/A,#N/A,FALSE,"동부"}</definedName>
    <definedName name="November"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 localSheetId="25"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_1"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_1" localSheetId="25"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vnvbn" localSheetId="24" hidden="1">{#N/A,#N/A,FALSE,"Index"}</definedName>
    <definedName name="nvnvbn" localSheetId="18" hidden="1">{#N/A,#N/A,FALSE,"Index"}</definedName>
    <definedName name="nvnvbn" localSheetId="25" hidden="1">{#N/A,#N/A,FALSE,"Index"}</definedName>
    <definedName name="nvnvbn" hidden="1">{#N/A,#N/A,FALSE,"Index"}</definedName>
    <definedName name="o" localSheetId="24" hidden="1">{#N/A,#N/A,FALSE,"동부"}</definedName>
    <definedName name="o" localSheetId="18" hidden="1">{#N/A,#N/A,FALSE,"동부"}</definedName>
    <definedName name="o" localSheetId="25" hidden="1">{#N/A,#N/A,FALSE,"동부"}</definedName>
    <definedName name="o" hidden="1">{#N/A,#N/A,FALSE,"동부"}</definedName>
    <definedName name="Office10"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10"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10" localSheetId="25"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10"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11" localSheetId="24" hidden="1">{#N/A,#N/A,FALSE,"asset plan";#N/A,#N/A,FALSE,"Mgmt Report";#N/A,#N/A,FALSE,"sensitivities (2)";#N/A,#N/A,FALSE,"sensitivities";#N/A,#N/A,FALSE,"let up 10  Mort";#N/A,#N/A,FALSE,"let up 12 Mort";#N/A,#N/A,FALSE,"Capex";#N/A,#N/A,FALSE,"Capex Cashflow (2)";#N/A,#N/A,FALSE,"Capex Cashflow (3)";#N/A,#N/A,FALSE,"House View";#N/A,#N/A,FALSE,"kpi"}</definedName>
    <definedName name="Office11" localSheetId="18" hidden="1">{#N/A,#N/A,FALSE,"asset plan";#N/A,#N/A,FALSE,"Mgmt Report";#N/A,#N/A,FALSE,"sensitivities (2)";#N/A,#N/A,FALSE,"sensitivities";#N/A,#N/A,FALSE,"let up 10  Mort";#N/A,#N/A,FALSE,"let up 12 Mort";#N/A,#N/A,FALSE,"Capex";#N/A,#N/A,FALSE,"Capex Cashflow (2)";#N/A,#N/A,FALSE,"Capex Cashflow (3)";#N/A,#N/A,FALSE,"House View";#N/A,#N/A,FALSE,"kpi"}</definedName>
    <definedName name="Office11" localSheetId="25" hidden="1">{#N/A,#N/A,FALSE,"asset plan";#N/A,#N/A,FALSE,"Mgmt Report";#N/A,#N/A,FALSE,"sensitivities (2)";#N/A,#N/A,FALSE,"sensitivities";#N/A,#N/A,FALSE,"let up 10  Mort";#N/A,#N/A,FALSE,"let up 12 Mort";#N/A,#N/A,FALSE,"Capex";#N/A,#N/A,FALSE,"Capex Cashflow (2)";#N/A,#N/A,FALSE,"Capex Cashflow (3)";#N/A,#N/A,FALSE,"House View";#N/A,#N/A,FALSE,"kpi"}</definedName>
    <definedName name="Office11" hidden="1">{#N/A,#N/A,FALSE,"asset plan";#N/A,#N/A,FALSE,"Mgmt Report";#N/A,#N/A,FALSE,"sensitivities (2)";#N/A,#N/A,FALSE,"sensitivities";#N/A,#N/A,FALSE,"let up 10  Mort";#N/A,#N/A,FALSE,"let up 12 Mort";#N/A,#N/A,FALSE,"Capex";#N/A,#N/A,FALSE,"Capex Cashflow (2)";#N/A,#N/A,FALSE,"Capex Cashflow (3)";#N/A,#N/A,FALSE,"House View";#N/A,#N/A,FALSE,"kpi"}</definedName>
    <definedName name="Office12" localSheetId="24" hidden="1">{#N/A,#N/A,FALSE,"5YRASSPl - consol'd";#N/A,#N/A,FALSE,"5YRASSPl - hotel";#N/A,#N/A,FALSE,"5YRASSPl - excl htl";#N/A,#N/A,FALSE,"VarReport";#N/A,#N/A,FALSE,"Sensitivity";#N/A,#N/A,FALSE,"House View ";#N/A,#N/A,FALSE,"KPI"}</definedName>
    <definedName name="Office12" localSheetId="18" hidden="1">{#N/A,#N/A,FALSE,"5YRASSPl - consol'd";#N/A,#N/A,FALSE,"5YRASSPl - hotel";#N/A,#N/A,FALSE,"5YRASSPl - excl htl";#N/A,#N/A,FALSE,"VarReport";#N/A,#N/A,FALSE,"Sensitivity";#N/A,#N/A,FALSE,"House View ";#N/A,#N/A,FALSE,"KPI"}</definedName>
    <definedName name="Office12" localSheetId="25" hidden="1">{#N/A,#N/A,FALSE,"5YRASSPl - consol'd";#N/A,#N/A,FALSE,"5YRASSPl - hotel";#N/A,#N/A,FALSE,"5YRASSPl - excl htl";#N/A,#N/A,FALSE,"VarReport";#N/A,#N/A,FALSE,"Sensitivity";#N/A,#N/A,FALSE,"House View ";#N/A,#N/A,FALSE,"KPI"}</definedName>
    <definedName name="Office12" hidden="1">{#N/A,#N/A,FALSE,"5YRASSPl - consol'd";#N/A,#N/A,FALSE,"5YRASSPl - hotel";#N/A,#N/A,FALSE,"5YRASSPl - excl htl";#N/A,#N/A,FALSE,"VarReport";#N/A,#N/A,FALSE,"Sensitivity";#N/A,#N/A,FALSE,"House View ";#N/A,#N/A,FALSE,"KPI"}</definedName>
    <definedName name="Office2" localSheetId="24" hidden="1">{#N/A,#N/A,FALSE,"5YRASSPl - consol'd";#N/A,#N/A,FALSE,"5YRASSPl - hotel";#N/A,#N/A,FALSE,"5YRASSPl - excl htl";#N/A,#N/A,FALSE,"VarReport";#N/A,#N/A,FALSE,"Sensitivity";#N/A,#N/A,FALSE,"House View ";#N/A,#N/A,FALSE,"KPI"}</definedName>
    <definedName name="Office2" localSheetId="18" hidden="1">{#N/A,#N/A,FALSE,"5YRASSPl - consol'd";#N/A,#N/A,FALSE,"5YRASSPl - hotel";#N/A,#N/A,FALSE,"5YRASSPl - excl htl";#N/A,#N/A,FALSE,"VarReport";#N/A,#N/A,FALSE,"Sensitivity";#N/A,#N/A,FALSE,"House View ";#N/A,#N/A,FALSE,"KPI"}</definedName>
    <definedName name="Office2" localSheetId="25" hidden="1">{#N/A,#N/A,FALSE,"5YRASSPl - consol'd";#N/A,#N/A,FALSE,"5YRASSPl - hotel";#N/A,#N/A,FALSE,"5YRASSPl - excl htl";#N/A,#N/A,FALSE,"VarReport";#N/A,#N/A,FALSE,"Sensitivity";#N/A,#N/A,FALSE,"House View ";#N/A,#N/A,FALSE,"KPI"}</definedName>
    <definedName name="Office2" hidden="1">{#N/A,#N/A,FALSE,"5YRASSPl - consol'd";#N/A,#N/A,FALSE,"5YRASSPl - hotel";#N/A,#N/A,FALSE,"5YRASSPl - excl htl";#N/A,#N/A,FALSE,"VarReport";#N/A,#N/A,FALSE,"Sensitivity";#N/A,#N/A,FALSE,"House View ";#N/A,#N/A,FALSE,"KPI"}</definedName>
    <definedName name="Office3" localSheetId="24" hidden="1">{#N/A,#N/A,TRUE,"Capex Summ";#N/A,#N/A,TRUE,"Essential Works.tw";#N/A,#N/A,TRUE,"Desirable Works.tw";#N/A,#N/A,TRUE,"Essential Works.rt";#N/A,#N/A,TRUE,"Desirable Works.rt";#N/A,#N/A,TRUE,"Mthly";#N/A,#N/A,TRUE,"Essential Works.ht";#N/A,#N/A,TRUE,"Desirable Works.ht";#N/A,#N/A,TRUE,"Incentives"}</definedName>
    <definedName name="Office3" localSheetId="18" hidden="1">{#N/A,#N/A,TRUE,"Capex Summ";#N/A,#N/A,TRUE,"Essential Works.tw";#N/A,#N/A,TRUE,"Desirable Works.tw";#N/A,#N/A,TRUE,"Essential Works.rt";#N/A,#N/A,TRUE,"Desirable Works.rt";#N/A,#N/A,TRUE,"Mthly";#N/A,#N/A,TRUE,"Essential Works.ht";#N/A,#N/A,TRUE,"Desirable Works.ht";#N/A,#N/A,TRUE,"Incentives"}</definedName>
    <definedName name="Office3" localSheetId="25" hidden="1">{#N/A,#N/A,TRUE,"Capex Summ";#N/A,#N/A,TRUE,"Essential Works.tw";#N/A,#N/A,TRUE,"Desirable Works.tw";#N/A,#N/A,TRUE,"Essential Works.rt";#N/A,#N/A,TRUE,"Desirable Works.rt";#N/A,#N/A,TRUE,"Mthly";#N/A,#N/A,TRUE,"Essential Works.ht";#N/A,#N/A,TRUE,"Desirable Works.ht";#N/A,#N/A,TRUE,"Incentives"}</definedName>
    <definedName name="Office3" hidden="1">{#N/A,#N/A,TRUE,"Capex Summ";#N/A,#N/A,TRUE,"Essential Works.tw";#N/A,#N/A,TRUE,"Desirable Works.tw";#N/A,#N/A,TRUE,"Essential Works.rt";#N/A,#N/A,TRUE,"Desirable Works.rt";#N/A,#N/A,TRUE,"Mthly";#N/A,#N/A,TRUE,"Essential Works.ht";#N/A,#N/A,TRUE,"Desirable Works.ht";#N/A,#N/A,TRUE,"Incentives"}</definedName>
    <definedName name="Office4"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4"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4" localSheetId="25"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5" localSheetId="24" hidden="1">{#N/A,#N/A,FALSE,"5YRASSPl - consol'd";#N/A,#N/A,FALSE,"5YRASSPl - hotel";#N/A,#N/A,FALSE,"5YRASSPl - excl htl";#N/A,#N/A,FALSE,"VarReport";#N/A,#N/A,FALSE,"Sensitivity";#N/A,#N/A,FALSE,"House View ";#N/A,#N/A,FALSE,"KPI"}</definedName>
    <definedName name="Office5" localSheetId="18" hidden="1">{#N/A,#N/A,FALSE,"5YRASSPl - consol'd";#N/A,#N/A,FALSE,"5YRASSPl - hotel";#N/A,#N/A,FALSE,"5YRASSPl - excl htl";#N/A,#N/A,FALSE,"VarReport";#N/A,#N/A,FALSE,"Sensitivity";#N/A,#N/A,FALSE,"House View ";#N/A,#N/A,FALSE,"KPI"}</definedName>
    <definedName name="Office5" localSheetId="25" hidden="1">{#N/A,#N/A,FALSE,"5YRASSPl - consol'd";#N/A,#N/A,FALSE,"5YRASSPl - hotel";#N/A,#N/A,FALSE,"5YRASSPl - excl htl";#N/A,#N/A,FALSE,"VarReport";#N/A,#N/A,FALSE,"Sensitivity";#N/A,#N/A,FALSE,"House View ";#N/A,#N/A,FALSE,"KPI"}</definedName>
    <definedName name="Office5" hidden="1">{#N/A,#N/A,FALSE,"5YRASSPl - consol'd";#N/A,#N/A,FALSE,"5YRASSPl - hotel";#N/A,#N/A,FALSE,"5YRASSPl - excl htl";#N/A,#N/A,FALSE,"VarReport";#N/A,#N/A,FALSE,"Sensitivity";#N/A,#N/A,FALSE,"House View ";#N/A,#N/A,FALSE,"KPI"}</definedName>
    <definedName name="Office6" localSheetId="24" hidden="1">{#N/A,#N/A,FALSE,"asset plan";#N/A,#N/A,FALSE,"Mgmt Report";#N/A,#N/A,FALSE,"sensitivities (2)";#N/A,#N/A,FALSE,"sensitivities";#N/A,#N/A,FALSE,"let up 10  Mort";#N/A,#N/A,FALSE,"let up 12 Mort";#N/A,#N/A,FALSE,"Capex";#N/A,#N/A,FALSE,"Capex Cashflow (2)";#N/A,#N/A,FALSE,"Capex Cashflow (3)";#N/A,#N/A,FALSE,"House View";#N/A,#N/A,FALSE,"kpi"}</definedName>
    <definedName name="Office6" localSheetId="18" hidden="1">{#N/A,#N/A,FALSE,"asset plan";#N/A,#N/A,FALSE,"Mgmt Report";#N/A,#N/A,FALSE,"sensitivities (2)";#N/A,#N/A,FALSE,"sensitivities";#N/A,#N/A,FALSE,"let up 10  Mort";#N/A,#N/A,FALSE,"let up 12 Mort";#N/A,#N/A,FALSE,"Capex";#N/A,#N/A,FALSE,"Capex Cashflow (2)";#N/A,#N/A,FALSE,"Capex Cashflow (3)";#N/A,#N/A,FALSE,"House View";#N/A,#N/A,FALSE,"kpi"}</definedName>
    <definedName name="Office6" localSheetId="25" hidden="1">{#N/A,#N/A,FALSE,"asset plan";#N/A,#N/A,FALSE,"Mgmt Report";#N/A,#N/A,FALSE,"sensitivities (2)";#N/A,#N/A,FALSE,"sensitivities";#N/A,#N/A,FALSE,"let up 10  Mort";#N/A,#N/A,FALSE,"let up 12 Mort";#N/A,#N/A,FALSE,"Capex";#N/A,#N/A,FALSE,"Capex Cashflow (2)";#N/A,#N/A,FALSE,"Capex Cashflow (3)";#N/A,#N/A,FALSE,"House View";#N/A,#N/A,FALSE,"kpi"}</definedName>
    <definedName name="Office6" hidden="1">{#N/A,#N/A,FALSE,"asset plan";#N/A,#N/A,FALSE,"Mgmt Report";#N/A,#N/A,FALSE,"sensitivities (2)";#N/A,#N/A,FALSE,"sensitivities";#N/A,#N/A,FALSE,"let up 10  Mort";#N/A,#N/A,FALSE,"let up 12 Mort";#N/A,#N/A,FALSE,"Capex";#N/A,#N/A,FALSE,"Capex Cashflow (2)";#N/A,#N/A,FALSE,"Capex Cashflow (3)";#N/A,#N/A,FALSE,"House View";#N/A,#N/A,FALSE,"kpi"}</definedName>
    <definedName name="Office7" localSheetId="24" hidden="1">{#N/A,#N/A,FALSE,"asset plan";#N/A,#N/A,FALSE,"Mgmt Report";#N/A,#N/A,FALSE,"sensitivities (2)";#N/A,#N/A,FALSE,"sensitivities";#N/A,#N/A,FALSE,"let up 10  Mort";#N/A,#N/A,FALSE,"let up 12 Mort";#N/A,#N/A,FALSE,"Capex";#N/A,#N/A,FALSE,"Capex Cashflow (2)";#N/A,#N/A,FALSE,"Capex Cashflow (3)";#N/A,#N/A,FALSE,"House View";#N/A,#N/A,FALSE,"kpi"}</definedName>
    <definedName name="Office7" localSheetId="18" hidden="1">{#N/A,#N/A,FALSE,"asset plan";#N/A,#N/A,FALSE,"Mgmt Report";#N/A,#N/A,FALSE,"sensitivities (2)";#N/A,#N/A,FALSE,"sensitivities";#N/A,#N/A,FALSE,"let up 10  Mort";#N/A,#N/A,FALSE,"let up 12 Mort";#N/A,#N/A,FALSE,"Capex";#N/A,#N/A,FALSE,"Capex Cashflow (2)";#N/A,#N/A,FALSE,"Capex Cashflow (3)";#N/A,#N/A,FALSE,"House View";#N/A,#N/A,FALSE,"kpi"}</definedName>
    <definedName name="Office7" localSheetId="25" hidden="1">{#N/A,#N/A,FALSE,"asset plan";#N/A,#N/A,FALSE,"Mgmt Report";#N/A,#N/A,FALSE,"sensitivities (2)";#N/A,#N/A,FALSE,"sensitivities";#N/A,#N/A,FALSE,"let up 10  Mort";#N/A,#N/A,FALSE,"let up 12 Mort";#N/A,#N/A,FALSE,"Capex";#N/A,#N/A,FALSE,"Capex Cashflow (2)";#N/A,#N/A,FALSE,"Capex Cashflow (3)";#N/A,#N/A,FALSE,"House View";#N/A,#N/A,FALSE,"kpi"}</definedName>
    <definedName name="Office7" hidden="1">{#N/A,#N/A,FALSE,"asset plan";#N/A,#N/A,FALSE,"Mgmt Report";#N/A,#N/A,FALSE,"sensitivities (2)";#N/A,#N/A,FALSE,"sensitivities";#N/A,#N/A,FALSE,"let up 10  Mort";#N/A,#N/A,FALSE,"let up 12 Mort";#N/A,#N/A,FALSE,"Capex";#N/A,#N/A,FALSE,"Capex Cashflow (2)";#N/A,#N/A,FALSE,"Capex Cashflow (3)";#N/A,#N/A,FALSE,"House View";#N/A,#N/A,FALSE,"kpi"}</definedName>
    <definedName name="Office8"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8"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8" localSheetId="25"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9" localSheetId="24" hidden="1">{#N/A,#N/A,TRUE,"Capex Summ";#N/A,#N/A,TRUE,"Essential Works.tw";#N/A,#N/A,TRUE,"Desirable Works.tw";#N/A,#N/A,TRUE,"Essential Works.rt";#N/A,#N/A,TRUE,"Desirable Works.rt";#N/A,#N/A,TRUE,"Mthly";#N/A,#N/A,TRUE,"Essential Works.ht";#N/A,#N/A,TRUE,"Desirable Works.ht";#N/A,#N/A,TRUE,"Incentives"}</definedName>
    <definedName name="Office9" localSheetId="18" hidden="1">{#N/A,#N/A,TRUE,"Capex Summ";#N/A,#N/A,TRUE,"Essential Works.tw";#N/A,#N/A,TRUE,"Desirable Works.tw";#N/A,#N/A,TRUE,"Essential Works.rt";#N/A,#N/A,TRUE,"Desirable Works.rt";#N/A,#N/A,TRUE,"Mthly";#N/A,#N/A,TRUE,"Essential Works.ht";#N/A,#N/A,TRUE,"Desirable Works.ht";#N/A,#N/A,TRUE,"Incentives"}</definedName>
    <definedName name="Office9" localSheetId="25" hidden="1">{#N/A,#N/A,TRUE,"Capex Summ";#N/A,#N/A,TRUE,"Essential Works.tw";#N/A,#N/A,TRUE,"Desirable Works.tw";#N/A,#N/A,TRUE,"Essential Works.rt";#N/A,#N/A,TRUE,"Desirable Works.rt";#N/A,#N/A,TRUE,"Mthly";#N/A,#N/A,TRUE,"Essential Works.ht";#N/A,#N/A,TRUE,"Desirable Works.ht";#N/A,#N/A,TRUE,"Incentives"}</definedName>
    <definedName name="Office9" hidden="1">{#N/A,#N/A,TRUE,"Capex Summ";#N/A,#N/A,TRUE,"Essential Works.tw";#N/A,#N/A,TRUE,"Desirable Works.tw";#N/A,#N/A,TRUE,"Essential Works.rt";#N/A,#N/A,TRUE,"Desirable Works.rt";#N/A,#N/A,TRUE,"Mthly";#N/A,#N/A,TRUE,"Essential Works.ht";#N/A,#N/A,TRUE,"Desirable Works.ht";#N/A,#N/A,TRUE,"Incentives"}</definedName>
    <definedName name="OIL" localSheetId="24" hidden="1">{"'용역비'!$A$4:$C$8"}</definedName>
    <definedName name="OIL" localSheetId="18" hidden="1">{"'용역비'!$A$4:$C$8"}</definedName>
    <definedName name="OIL" localSheetId="25" hidden="1">{"'용역비'!$A$4:$C$8"}</definedName>
    <definedName name="OIL" hidden="1">{"'용역비'!$A$4:$C$8"}</definedName>
    <definedName name="olp" localSheetId="24" hidden="1">{"AJD",#N/A,TRUE,"Summary";"AJD",#N/A,TRUE,"CFCONC-outputs";"AJD",#N/A,TRUE,"P&amp;LCONC-outputs";"AJD",#N/A,TRUE,"BSCONC-outputs";"AJD",#N/A,TRUE,"FSCONC-outputs"}</definedName>
    <definedName name="olp" localSheetId="18" hidden="1">{"AJD",#N/A,TRUE,"Summary";"AJD",#N/A,TRUE,"CFCONC-outputs";"AJD",#N/A,TRUE,"P&amp;LCONC-outputs";"AJD",#N/A,TRUE,"BSCONC-outputs";"AJD",#N/A,TRUE,"FSCONC-outputs"}</definedName>
    <definedName name="olp" localSheetId="25" hidden="1">{"AJD",#N/A,TRUE,"Summary";"AJD",#N/A,TRUE,"CFCONC-outputs";"AJD",#N/A,TRUE,"P&amp;LCONC-outputs";"AJD",#N/A,TRUE,"BSCONC-outputs";"AJD",#N/A,TRUE,"FSCONC-outputs"}</definedName>
    <definedName name="olp" hidden="1">{"AJD",#N/A,TRUE,"Summary";"AJD",#N/A,TRUE,"CFCONC-outputs";"AJD",#N/A,TRUE,"P&amp;LCONC-outputs";"AJD",#N/A,TRUE,"BSCONC-outputs";"AJD",#N/A,TRUE,"FSCONC-outputs"}</definedName>
    <definedName name="ono" localSheetId="24" hidden="1">{"AnnualRentRoll",#N/A,FALSE,"RentRoll"}</definedName>
    <definedName name="ono" localSheetId="18" hidden="1">{"AnnualRentRoll",#N/A,FALSE,"RentRoll"}</definedName>
    <definedName name="ono" localSheetId="25" hidden="1">{"AnnualRentRoll",#N/A,FALSE,"RentRoll"}</definedName>
    <definedName name="ono" hidden="1">{"AnnualRentRoll",#N/A,FALSE,"RentRoll"}</definedName>
    <definedName name="oo" localSheetId="24" hidden="1">{"ｹﾝﾄ（M)",#N/A,FALSE,"収支・日割";"ｹﾝﾄ（RD)",#N/A,FALSE,"収支・日割";"ｹﾝﾄ（PMC)",#N/A,FALSE,"収支・日割"}</definedName>
    <definedName name="oo" localSheetId="18" hidden="1">{"ｹﾝﾄ（M)",#N/A,FALSE,"収支・日割";"ｹﾝﾄ（RD)",#N/A,FALSE,"収支・日割";"ｹﾝﾄ（PMC)",#N/A,FALSE,"収支・日割"}</definedName>
    <definedName name="oo" localSheetId="25" hidden="1">{"ｹﾝﾄ（M)",#N/A,FALSE,"収支・日割";"ｹﾝﾄ（RD)",#N/A,FALSE,"収支・日割";"ｹﾝﾄ（PMC)",#N/A,FALSE,"収支・日割"}</definedName>
    <definedName name="oo" hidden="1">{"ｹﾝﾄ（M)",#N/A,FALSE,"収支・日割";"ｹﾝﾄ（RD)",#N/A,FALSE,"収支・日割";"ｹﾝﾄ（PMC)",#N/A,FALSE,"収支・日割"}</definedName>
    <definedName name="oonnoo" localSheetId="24" hidden="1">{#N/A,#N/A,FALSE,"LoanAssumptions"}</definedName>
    <definedName name="oonnoo" localSheetId="18" hidden="1">{#N/A,#N/A,FALSE,"LoanAssumptions"}</definedName>
    <definedName name="oonnoo" localSheetId="25" hidden="1">{#N/A,#N/A,FALSE,"LoanAssumptions"}</definedName>
    <definedName name="oonnoo" hidden="1">{#N/A,#N/A,FALSE,"LoanAssumptions"}</definedName>
    <definedName name="ooo" localSheetId="24" hidden="1">{#N/A,#N/A,TRUE,"대 차 대 조 표"}</definedName>
    <definedName name="ooo" localSheetId="18" hidden="1">{#N/A,#N/A,TRUE,"대 차 대 조 표"}</definedName>
    <definedName name="ooo" localSheetId="25" hidden="1">{#N/A,#N/A,TRUE,"대 차 대 조 표"}</definedName>
    <definedName name="ooo" hidden="1">{#N/A,#N/A,TRUE,"대 차 대 조 표"}</definedName>
    <definedName name="ooonnnooo" localSheetId="24" hidden="1">{"AnnualRentRoll",#N/A,FALSE,"RentRoll"}</definedName>
    <definedName name="ooonnnooo" localSheetId="18" hidden="1">{"AnnualRentRoll",#N/A,FALSE,"RentRoll"}</definedName>
    <definedName name="ooonnnooo" localSheetId="25" hidden="1">{"AnnualRentRoll",#N/A,FALSE,"RentRoll"}</definedName>
    <definedName name="ooonnnooo" hidden="1">{"AnnualRentRoll",#N/A,FALSE,"RentRoll"}</definedName>
    <definedName name="ooonnnoooo" localSheetId="24" hidden="1">{"page1",#N/A,FALSE,"Sheet1";"page2",#N/A,FALSE,"Sheet1"}</definedName>
    <definedName name="ooonnnoooo" localSheetId="18" hidden="1">{"page1",#N/A,FALSE,"Sheet1";"page2",#N/A,FALSE,"Sheet1"}</definedName>
    <definedName name="ooonnnoooo" localSheetId="25" hidden="1">{"page1",#N/A,FALSE,"Sheet1";"page2",#N/A,FALSE,"Sheet1"}</definedName>
    <definedName name="ooonnnoooo" hidden="1">{"page1",#N/A,FALSE,"Sheet1";"page2",#N/A,FALSE,"Sheet1"}</definedName>
    <definedName name="oooonnnnoooo" localSheetId="24" hidden="1">{#N/A,#N/A,TRUE,"Summary";"AnnualRentRoll",#N/A,TRUE,"RentRoll";#N/A,#N/A,TRUE,"ExitStratigy";#N/A,#N/A,TRUE,"OperatingAssumptions"}</definedName>
    <definedName name="oooonnnnoooo" localSheetId="18" hidden="1">{#N/A,#N/A,TRUE,"Summary";"AnnualRentRoll",#N/A,TRUE,"RentRoll";#N/A,#N/A,TRUE,"ExitStratigy";#N/A,#N/A,TRUE,"OperatingAssumptions"}</definedName>
    <definedName name="oooonnnnoooo" localSheetId="25" hidden="1">{#N/A,#N/A,TRUE,"Summary";"AnnualRentRoll",#N/A,TRUE,"RentRoll";#N/A,#N/A,TRUE,"ExitStratigy";#N/A,#N/A,TRUE,"OperatingAssumptions"}</definedName>
    <definedName name="oooonnnnoooo" hidden="1">{#N/A,#N/A,TRUE,"Summary";"AnnualRentRoll",#N/A,TRUE,"RentRoll";#N/A,#N/A,TRUE,"ExitStratigy";#N/A,#N/A,TRUE,"OperatingAssumptions"}</definedName>
    <definedName name="opo" localSheetId="24" hidden="1">{#N/A,#N/A,FALSE,"지침";#N/A,#N/A,FALSE,"환경분석";#N/A,#N/A,FALSE,"Sheet16"}</definedName>
    <definedName name="opo" localSheetId="18" hidden="1">{#N/A,#N/A,FALSE,"지침";#N/A,#N/A,FALSE,"환경분석";#N/A,#N/A,FALSE,"Sheet16"}</definedName>
    <definedName name="opo" localSheetId="25" hidden="1">{#N/A,#N/A,FALSE,"지침";#N/A,#N/A,FALSE,"환경분석";#N/A,#N/A,FALSE,"Sheet16"}</definedName>
    <definedName name="opo" hidden="1">{#N/A,#N/A,FALSE,"지침";#N/A,#N/A,FALSE,"환경분석";#N/A,#N/A,FALSE,"Sheet16"}</definedName>
    <definedName name="ouy" localSheetId="24" hidden="1">{#N/A,#N/A,FALSE,"ExitStratigy"}</definedName>
    <definedName name="ouy" localSheetId="18" hidden="1">{#N/A,#N/A,FALSE,"ExitStratigy"}</definedName>
    <definedName name="ouy" localSheetId="25" hidden="1">{#N/A,#N/A,FALSE,"ExitStratigy"}</definedName>
    <definedName name="ouy" hidden="1">{#N/A,#N/A,FALSE,"ExitStratigy"}</definedName>
    <definedName name="pd3policy" localSheetId="24" hidden="1">{"AnnualRentRoll",#N/A,FALSE,"RentRoll"}</definedName>
    <definedName name="pd3policy" localSheetId="18" hidden="1">{"AnnualRentRoll",#N/A,FALSE,"RentRoll"}</definedName>
    <definedName name="pd3policy" localSheetId="25" hidden="1">{"AnnualRentRoll",#N/A,FALSE,"RentRoll"}</definedName>
    <definedName name="pd3policy" hidden="1">{"AnnualRentRoll",#N/A,FALSE,"RentRoll"}</definedName>
    <definedName name="pdappli" localSheetId="24" hidden="1">{#N/A,#N/A,TRUE,"Summary";"AnnualRentRoll",#N/A,TRUE,"RentRoll";#N/A,#N/A,TRUE,"ExitStratigy";#N/A,#N/A,TRUE,"OperatingAssumptions"}</definedName>
    <definedName name="pdappli" localSheetId="18" hidden="1">{#N/A,#N/A,TRUE,"Summary";"AnnualRentRoll",#N/A,TRUE,"RentRoll";#N/A,#N/A,TRUE,"ExitStratigy";#N/A,#N/A,TRUE,"OperatingAssumptions"}</definedName>
    <definedName name="pdappli" localSheetId="25" hidden="1">{#N/A,#N/A,TRUE,"Summary";"AnnualRentRoll",#N/A,TRUE,"RentRoll";#N/A,#N/A,TRUE,"ExitStratigy";#N/A,#N/A,TRUE,"OperatingAssumptions"}</definedName>
    <definedName name="pdappli" hidden="1">{#N/A,#N/A,TRUE,"Summary";"AnnualRentRoll",#N/A,TRUE,"RentRoll";#N/A,#N/A,TRUE,"ExitStratigy";#N/A,#N/A,TRUE,"OperatingAssumptions"}</definedName>
    <definedName name="pdpdpd" localSheetId="24" hidden="1">{#N/A,#N/A,FALSE,"LoanAssumptions"}</definedName>
    <definedName name="pdpdpd" localSheetId="18" hidden="1">{#N/A,#N/A,FALSE,"LoanAssumptions"}</definedName>
    <definedName name="pdpdpd" localSheetId="25" hidden="1">{#N/A,#N/A,FALSE,"LoanAssumptions"}</definedName>
    <definedName name="pdpdpd" hidden="1">{#N/A,#N/A,FALSE,"LoanAssumptions"}</definedName>
    <definedName name="pmfee" localSheetId="24">REPORT!pmfee</definedName>
    <definedName name="pmfee" localSheetId="18">'Report-sj'!pmfee</definedName>
    <definedName name="pmfee" localSheetId="25">수정사항!pmfee</definedName>
    <definedName name="pmfee">[0]!pmfee</definedName>
    <definedName name="PMFee0607" localSheetId="24" hidden="1">{"賃貸事例比較法",#N/A,FALSE,"Sheet2";"賃貸条件",#N/A,FALSE,"Sheet2"}</definedName>
    <definedName name="PMFee0607" localSheetId="18" hidden="1">{"賃貸事例比較法",#N/A,FALSE,"Sheet2";"賃貸条件",#N/A,FALSE,"Sheet2"}</definedName>
    <definedName name="PMFee0607" localSheetId="25" hidden="1">{"賃貸事例比較法",#N/A,FALSE,"Sheet2";"賃貸条件",#N/A,FALSE,"Sheet2"}</definedName>
    <definedName name="PMFee0607" hidden="1">{"賃貸事例比較法",#N/A,FALSE,"Sheet2";"賃貸条件",#N/A,FALSE,"Sheet2"}</definedName>
    <definedName name="PM팀인원" localSheetId="24" hidden="1">{#N/A,#N/A,TRUE,"대 차 대 조 표"}</definedName>
    <definedName name="PM팀인원" localSheetId="18" hidden="1">{#N/A,#N/A,TRUE,"대 차 대 조 표"}</definedName>
    <definedName name="PM팀인원" localSheetId="25" hidden="1">{#N/A,#N/A,TRUE,"대 차 대 조 표"}</definedName>
    <definedName name="PM팀인원" hidden="1">{#N/A,#N/A,TRUE,"대 차 대 조 표"}</definedName>
    <definedName name="PPK" localSheetId="24" hidden="1">{#N/A,#N/A,FALSE,"96 3월물량표";#N/A,#N/A,FALSE,"96 4월물량표";#N/A,#N/A,FALSE,"96 5월물량표"}</definedName>
    <definedName name="PPK" localSheetId="18" hidden="1">{#N/A,#N/A,FALSE,"96 3월물량표";#N/A,#N/A,FALSE,"96 4월물량표";#N/A,#N/A,FALSE,"96 5월물량표"}</definedName>
    <definedName name="PPK" localSheetId="25" hidden="1">{#N/A,#N/A,FALSE,"96 3월물량표";#N/A,#N/A,FALSE,"96 4월물량표";#N/A,#N/A,FALSE,"96 5월물량표"}</definedName>
    <definedName name="PPK" hidden="1">{#N/A,#N/A,FALSE,"96 3월물량표";#N/A,#N/A,FALSE,"96 4월물량표";#N/A,#N/A,FALSE,"96 5월물량표"}</definedName>
    <definedName name="PQ점수">"Dialog Frame 1"</definedName>
    <definedName name="_xlnm.Print_Area" localSheetId="1">'A&amp;R(사내양식)'!$A$1:$AM$142</definedName>
    <definedName name="_xlnm.Print_Area">#REF!</definedName>
    <definedName name="ProImportExport.ImportFile" localSheetId="24">REPORT!ProImportExport.ImportFile</definedName>
    <definedName name="ProImportExport.ImportFile" localSheetId="18">'Report-sj'!ProImportExport.ImportFile</definedName>
    <definedName name="ProImportExport.ImportFile" localSheetId="25">수정사항!ProImportExport.ImportFile</definedName>
    <definedName name="ProImportExport.ImportFile">[0]!ProImportExport.ImportFile</definedName>
    <definedName name="ProImportExport.SaveNewFile" localSheetId="24">REPORT!ProImportExport.SaveNewFile</definedName>
    <definedName name="ProImportExport.SaveNewFile" localSheetId="18">'Report-sj'!ProImportExport.SaveNewFile</definedName>
    <definedName name="ProImportExport.SaveNewFile" localSheetId="25">수정사항!ProImportExport.SaveNewFile</definedName>
    <definedName name="ProImportExport.SaveNewFile">[0]!ProImportExport.SaveNewFile</definedName>
    <definedName name="py">'A&amp;R'!$K$14</definedName>
    <definedName name="q234562456" localSheetId="24" hidden="1">{"'용역비'!$A$4:$C$8"}</definedName>
    <definedName name="q234562456" localSheetId="18" hidden="1">{"'용역비'!$A$4:$C$8"}</definedName>
    <definedName name="q234562456" localSheetId="25" hidden="1">{"'용역비'!$A$4:$C$8"}</definedName>
    <definedName name="q234562456" hidden="1">{"'용역비'!$A$4:$C$8"}</definedName>
    <definedName name="QA" localSheetId="24" hidden="1">{"'용역비'!$A$4:$C$8"}</definedName>
    <definedName name="QA" localSheetId="18" hidden="1">{"'용역비'!$A$4:$C$8"}</definedName>
    <definedName name="QA" localSheetId="25" hidden="1">{"'용역비'!$A$4:$C$8"}</definedName>
    <definedName name="QA" hidden="1">{"'용역비'!$A$4:$C$8"}</definedName>
    <definedName name="qappp" localSheetId="24" hidden="1">{#N/A,#N/A,FALSE,"5YRASSPl - consol'd";#N/A,#N/A,FALSE,"5YRASSPl - hotel";#N/A,#N/A,FALSE,"5YRASSPl - excl htl";#N/A,#N/A,FALSE,"VarReport";#N/A,#N/A,FALSE,"Sensitivity";#N/A,#N/A,FALSE,"House View ";#N/A,#N/A,FALSE,"KPI"}</definedName>
    <definedName name="qappp" localSheetId="18" hidden="1">{#N/A,#N/A,FALSE,"5YRASSPl - consol'd";#N/A,#N/A,FALSE,"5YRASSPl - hotel";#N/A,#N/A,FALSE,"5YRASSPl - excl htl";#N/A,#N/A,FALSE,"VarReport";#N/A,#N/A,FALSE,"Sensitivity";#N/A,#N/A,FALSE,"House View ";#N/A,#N/A,FALSE,"KPI"}</definedName>
    <definedName name="qappp" localSheetId="25" hidden="1">{#N/A,#N/A,FALSE,"5YRASSPl - consol'd";#N/A,#N/A,FALSE,"5YRASSPl - hotel";#N/A,#N/A,FALSE,"5YRASSPl - excl htl";#N/A,#N/A,FALSE,"VarReport";#N/A,#N/A,FALSE,"Sensitivity";#N/A,#N/A,FALSE,"House View ";#N/A,#N/A,FALSE,"KPI"}</definedName>
    <definedName name="qappp" hidden="1">{#N/A,#N/A,FALSE,"5YRASSPl - consol'd";#N/A,#N/A,FALSE,"5YRASSPl - hotel";#N/A,#N/A,FALSE,"5YRASSPl - excl htl";#N/A,#N/A,FALSE,"VarReport";#N/A,#N/A,FALSE,"Sensitivity";#N/A,#N/A,FALSE,"House View ";#N/A,#N/A,FALSE,"KPI"}</definedName>
    <definedName name="qhrh" localSheetId="24" hidden="1">{#N/A,#N/A,FALSE,"손익표지";#N/A,#N/A,FALSE,"손익계산";#N/A,#N/A,FALSE,"일반관리비";#N/A,#N/A,FALSE,"영업외수익";#N/A,#N/A,FALSE,"영업외비용";#N/A,#N/A,FALSE,"매출액";#N/A,#N/A,FALSE,"요약손익";#N/A,#N/A,FALSE,"요약대차";#N/A,#N/A,FALSE,"매출채권현황";#N/A,#N/A,FALSE,"매출채권명세"}</definedName>
    <definedName name="qhrh" localSheetId="18" hidden="1">{#N/A,#N/A,FALSE,"손익표지";#N/A,#N/A,FALSE,"손익계산";#N/A,#N/A,FALSE,"일반관리비";#N/A,#N/A,FALSE,"영업외수익";#N/A,#N/A,FALSE,"영업외비용";#N/A,#N/A,FALSE,"매출액";#N/A,#N/A,FALSE,"요약손익";#N/A,#N/A,FALSE,"요약대차";#N/A,#N/A,FALSE,"매출채권현황";#N/A,#N/A,FALSE,"매출채권명세"}</definedName>
    <definedName name="qhrh" localSheetId="25" hidden="1">{#N/A,#N/A,FALSE,"손익표지";#N/A,#N/A,FALSE,"손익계산";#N/A,#N/A,FALSE,"일반관리비";#N/A,#N/A,FALSE,"영업외수익";#N/A,#N/A,FALSE,"영업외비용";#N/A,#N/A,FALSE,"매출액";#N/A,#N/A,FALSE,"요약손익";#N/A,#N/A,FALSE,"요약대차";#N/A,#N/A,FALSE,"매출채권현황";#N/A,#N/A,FALSE,"매출채권명세"}</definedName>
    <definedName name="qhrh" hidden="1">{#N/A,#N/A,FALSE,"손익표지";#N/A,#N/A,FALSE,"손익계산";#N/A,#N/A,FALSE,"일반관리비";#N/A,#N/A,FALSE,"영업외수익";#N/A,#N/A,FALSE,"영업외비용";#N/A,#N/A,FALSE,"매출액";#N/A,#N/A,FALSE,"요약손익";#N/A,#N/A,FALSE,"요약대차";#N/A,#N/A,FALSE,"매출채권현황";#N/A,#N/A,FALSE,"매출채권명세"}</definedName>
    <definedName name="QKR"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QKR"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QKR" localSheetId="25"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QKR"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qldyd" localSheetId="24" hidden="1">{#N/A,#N/A,FALSE,"손익표지";#N/A,#N/A,FALSE,"손익계산";#N/A,#N/A,FALSE,"일반관리비";#N/A,#N/A,FALSE,"영업외수익";#N/A,#N/A,FALSE,"영업외비용";#N/A,#N/A,FALSE,"매출액";#N/A,#N/A,FALSE,"요약손익";#N/A,#N/A,FALSE,"요약대차";#N/A,#N/A,FALSE,"매출채권현황";#N/A,#N/A,FALSE,"매출채권명세"}</definedName>
    <definedName name="qldyd" localSheetId="18" hidden="1">{#N/A,#N/A,FALSE,"손익표지";#N/A,#N/A,FALSE,"손익계산";#N/A,#N/A,FALSE,"일반관리비";#N/A,#N/A,FALSE,"영업외수익";#N/A,#N/A,FALSE,"영업외비용";#N/A,#N/A,FALSE,"매출액";#N/A,#N/A,FALSE,"요약손익";#N/A,#N/A,FALSE,"요약대차";#N/A,#N/A,FALSE,"매출채권현황";#N/A,#N/A,FALSE,"매출채권명세"}</definedName>
    <definedName name="qldyd" localSheetId="25" hidden="1">{#N/A,#N/A,FALSE,"손익표지";#N/A,#N/A,FALSE,"손익계산";#N/A,#N/A,FALSE,"일반관리비";#N/A,#N/A,FALSE,"영업외수익";#N/A,#N/A,FALSE,"영업외비용";#N/A,#N/A,FALSE,"매출액";#N/A,#N/A,FALSE,"요약손익";#N/A,#N/A,FALSE,"요약대차";#N/A,#N/A,FALSE,"매출채권현황";#N/A,#N/A,FALSE,"매출채권명세"}</definedName>
    <definedName name="qldyd" hidden="1">{#N/A,#N/A,FALSE,"손익표지";#N/A,#N/A,FALSE,"손익계산";#N/A,#N/A,FALSE,"일반관리비";#N/A,#N/A,FALSE,"영업외수익";#N/A,#N/A,FALSE,"영업외비용";#N/A,#N/A,FALSE,"매출액";#N/A,#N/A,FALSE,"요약손익";#N/A,#N/A,FALSE,"요약대차";#N/A,#N/A,FALSE,"매출채권현황";#N/A,#N/A,FALSE,"매출채권명세"}</definedName>
    <definedName name="qpp" localSheetId="24" hidden="1">{"Actual",#N/A,FALSE,"(価格)";"Market",#N/A,FALSE,"(価格)";"Plan",#N/A,FALSE,"(価格)"}</definedName>
    <definedName name="qpp" localSheetId="18" hidden="1">{"Actual",#N/A,FALSE,"(価格)";"Market",#N/A,FALSE,"(価格)";"Plan",#N/A,FALSE,"(価格)"}</definedName>
    <definedName name="qpp" localSheetId="25" hidden="1">{"Actual",#N/A,FALSE,"(価格)";"Market",#N/A,FALSE,"(価格)";"Plan",#N/A,FALSE,"(価格)"}</definedName>
    <definedName name="qpp" hidden="1">{"Actual",#N/A,FALSE,"(価格)";"Market",#N/A,FALSE,"(価格)";"Plan",#N/A,FALSE,"(価格)"}</definedName>
    <definedName name="qq" localSheetId="24" hidden="1">{#N/A,#N/A,FALSE,"단가표지"}</definedName>
    <definedName name="qq" localSheetId="18" hidden="1">{#N/A,#N/A,FALSE,"단가표지"}</definedName>
    <definedName name="qq" localSheetId="25" hidden="1">{#N/A,#N/A,FALSE,"단가표지"}</definedName>
    <definedName name="qq" hidden="1">{#N/A,#N/A,FALSE,"단가표지"}</definedName>
    <definedName name="QQQ" localSheetId="24" hidden="1">{#N/A,#N/A,FALSE,"동부"}</definedName>
    <definedName name="QQQ" localSheetId="18" hidden="1">{#N/A,#N/A,FALSE,"동부"}</definedName>
    <definedName name="QQQ" localSheetId="25" hidden="1">{#N/A,#N/A,FALSE,"동부"}</definedName>
    <definedName name="QQQ" hidden="1">{#N/A,#N/A,FALSE,"동부"}</definedName>
    <definedName name="QQQAAASSS" localSheetId="24" hidden="1">{#N/A,#N/A,TRUE,"Y생산";#N/A,#N/A,TRUE,"Y판매";#N/A,#N/A,TRUE,"Y총물량";#N/A,#N/A,TRUE,"Y능력";#N/A,#N/A,TRUE,"YKD"}</definedName>
    <definedName name="QQQAAASSS" localSheetId="18" hidden="1">{#N/A,#N/A,TRUE,"Y생산";#N/A,#N/A,TRUE,"Y판매";#N/A,#N/A,TRUE,"Y총물량";#N/A,#N/A,TRUE,"Y능력";#N/A,#N/A,TRUE,"YKD"}</definedName>
    <definedName name="QQQAAASSS" localSheetId="25" hidden="1">{#N/A,#N/A,TRUE,"Y생산";#N/A,#N/A,TRUE,"Y판매";#N/A,#N/A,TRUE,"Y총물량";#N/A,#N/A,TRUE,"Y능력";#N/A,#N/A,TRUE,"YKD"}</definedName>
    <definedName name="QQQAAASSS" hidden="1">{#N/A,#N/A,TRUE,"Y생산";#N/A,#N/A,TRUE,"Y판매";#N/A,#N/A,TRUE,"Y총물량";#N/A,#N/A,TRUE,"Y능력";#N/A,#N/A,TRUE,"YKD"}</definedName>
    <definedName name="QQQAAASSS_1" localSheetId="24" hidden="1">{#N/A,#N/A,TRUE,"Y생산";#N/A,#N/A,TRUE,"Y판매";#N/A,#N/A,TRUE,"Y총물량";#N/A,#N/A,TRUE,"Y능력";#N/A,#N/A,TRUE,"YKD"}</definedName>
    <definedName name="QQQAAASSS_1" localSheetId="18" hidden="1">{#N/A,#N/A,TRUE,"Y생산";#N/A,#N/A,TRUE,"Y판매";#N/A,#N/A,TRUE,"Y총물량";#N/A,#N/A,TRUE,"Y능력";#N/A,#N/A,TRUE,"YKD"}</definedName>
    <definedName name="QQQAAASSS_1" localSheetId="25" hidden="1">{#N/A,#N/A,TRUE,"Y생산";#N/A,#N/A,TRUE,"Y판매";#N/A,#N/A,TRUE,"Y총물량";#N/A,#N/A,TRUE,"Y능력";#N/A,#N/A,TRUE,"YKD"}</definedName>
    <definedName name="QQQAAASSS_1" hidden="1">{#N/A,#N/A,TRUE,"Y생산";#N/A,#N/A,TRUE,"Y판매";#N/A,#N/A,TRUE,"Y총물량";#N/A,#N/A,TRUE,"Y능력";#N/A,#N/A,TRUE,"YKD"}</definedName>
    <definedName name="qqqqq" localSheetId="24" hidden="1">{#N/A,#N/A,TRUE,"대 차 대 조 표"}</definedName>
    <definedName name="qqqqq" localSheetId="18" hidden="1">{#N/A,#N/A,TRUE,"대 차 대 조 표"}</definedName>
    <definedName name="qqqqq" localSheetId="25" hidden="1">{#N/A,#N/A,TRUE,"대 차 대 조 표"}</definedName>
    <definedName name="qqqqq" hidden="1">{#N/A,#N/A,TRUE,"대 차 대 조 표"}</definedName>
    <definedName name="QQQQQQQ" localSheetId="24" hidden="1">{#N/A,#N/A,TRUE,"Y생산";#N/A,#N/A,TRUE,"Y판매";#N/A,#N/A,TRUE,"Y총물량";#N/A,#N/A,TRUE,"Y능력";#N/A,#N/A,TRUE,"YKD"}</definedName>
    <definedName name="QQQQQQQ" localSheetId="18" hidden="1">{#N/A,#N/A,TRUE,"Y생산";#N/A,#N/A,TRUE,"Y판매";#N/A,#N/A,TRUE,"Y총물량";#N/A,#N/A,TRUE,"Y능력";#N/A,#N/A,TRUE,"YKD"}</definedName>
    <definedName name="QQQQQQQ" localSheetId="25" hidden="1">{#N/A,#N/A,TRUE,"Y생산";#N/A,#N/A,TRUE,"Y판매";#N/A,#N/A,TRUE,"Y총물량";#N/A,#N/A,TRUE,"Y능력";#N/A,#N/A,TRUE,"YKD"}</definedName>
    <definedName name="QQQQQQQ" hidden="1">{#N/A,#N/A,TRUE,"Y생산";#N/A,#N/A,TRUE,"Y판매";#N/A,#N/A,TRUE,"Y총물량";#N/A,#N/A,TRUE,"Y능력";#N/A,#N/A,TRUE,"YKD"}</definedName>
    <definedName name="QQQQQQQ_1" localSheetId="24" hidden="1">{#N/A,#N/A,TRUE,"Y생산";#N/A,#N/A,TRUE,"Y판매";#N/A,#N/A,TRUE,"Y총물량";#N/A,#N/A,TRUE,"Y능력";#N/A,#N/A,TRUE,"YKD"}</definedName>
    <definedName name="QQQQQQQ_1" localSheetId="18" hidden="1">{#N/A,#N/A,TRUE,"Y생산";#N/A,#N/A,TRUE,"Y판매";#N/A,#N/A,TRUE,"Y총물량";#N/A,#N/A,TRUE,"Y능력";#N/A,#N/A,TRUE,"YKD"}</definedName>
    <definedName name="QQQQQQQ_1" localSheetId="25" hidden="1">{#N/A,#N/A,TRUE,"Y생산";#N/A,#N/A,TRUE,"Y판매";#N/A,#N/A,TRUE,"Y총물량";#N/A,#N/A,TRUE,"Y능력";#N/A,#N/A,TRUE,"YKD"}</definedName>
    <definedName name="QQQQQQQ_1" hidden="1">{#N/A,#N/A,TRUE,"Y생산";#N/A,#N/A,TRUE,"Y판매";#N/A,#N/A,TRUE,"Y총물량";#N/A,#N/A,TRUE,"Y능력";#N/A,#N/A,TRUE,"YKD"}</definedName>
    <definedName name="qsq" localSheetId="24" hidden="1">{"Actual",#N/A,FALSE,"(価格)";"Market",#N/A,FALSE,"(価格)";"Plan",#N/A,FALSE,"(価格)"}</definedName>
    <definedName name="qsq" localSheetId="18" hidden="1">{"Actual",#N/A,FALSE,"(価格)";"Market",#N/A,FALSE,"(価格)";"Plan",#N/A,FALSE,"(価格)"}</definedName>
    <definedName name="qsq" localSheetId="25" hidden="1">{"Actual",#N/A,FALSE,"(価格)";"Market",#N/A,FALSE,"(価格)";"Plan",#N/A,FALSE,"(価格)"}</definedName>
    <definedName name="qsq" hidden="1">{"Actual",#N/A,FALSE,"(価格)";"Market",#N/A,FALSE,"(価格)";"Plan",#N/A,FALSE,"(価格)"}</definedName>
    <definedName name="qw" localSheetId="24" hidden="1">{#N/A,#N/A,FALSE,"단가표지"}</definedName>
    <definedName name="qw" localSheetId="18" hidden="1">{#N/A,#N/A,FALSE,"단가표지"}</definedName>
    <definedName name="qw" localSheetId="25" hidden="1">{#N/A,#N/A,FALSE,"단가표지"}</definedName>
    <definedName name="qw" hidden="1">{#N/A,#N/A,FALSE,"단가표지"}</definedName>
    <definedName name="qweqt" localSheetId="24" hidden="1">{#N/A,#N/A,FALSE,"손익표지";#N/A,#N/A,FALSE,"손익계산";#N/A,#N/A,FALSE,"일반관리비";#N/A,#N/A,FALSE,"영업외수익";#N/A,#N/A,FALSE,"영업외비용";#N/A,#N/A,FALSE,"매출액";#N/A,#N/A,FALSE,"요약손익";#N/A,#N/A,FALSE,"요약대차";#N/A,#N/A,FALSE,"매출채권현황";#N/A,#N/A,FALSE,"매출채권명세"}</definedName>
    <definedName name="qweqt" localSheetId="18" hidden="1">{#N/A,#N/A,FALSE,"손익표지";#N/A,#N/A,FALSE,"손익계산";#N/A,#N/A,FALSE,"일반관리비";#N/A,#N/A,FALSE,"영업외수익";#N/A,#N/A,FALSE,"영업외비용";#N/A,#N/A,FALSE,"매출액";#N/A,#N/A,FALSE,"요약손익";#N/A,#N/A,FALSE,"요약대차";#N/A,#N/A,FALSE,"매출채권현황";#N/A,#N/A,FALSE,"매출채권명세"}</definedName>
    <definedName name="qweqt" localSheetId="25" hidden="1">{#N/A,#N/A,FALSE,"손익표지";#N/A,#N/A,FALSE,"손익계산";#N/A,#N/A,FALSE,"일반관리비";#N/A,#N/A,FALSE,"영업외수익";#N/A,#N/A,FALSE,"영업외비용";#N/A,#N/A,FALSE,"매출액";#N/A,#N/A,FALSE,"요약손익";#N/A,#N/A,FALSE,"요약대차";#N/A,#N/A,FALSE,"매출채권현황";#N/A,#N/A,FALSE,"매출채권명세"}</definedName>
    <definedName name="qweqt" hidden="1">{#N/A,#N/A,FALSE,"손익표지";#N/A,#N/A,FALSE,"손익계산";#N/A,#N/A,FALSE,"일반관리비";#N/A,#N/A,FALSE,"영업외수익";#N/A,#N/A,FALSE,"영업외비용";#N/A,#N/A,FALSE,"매출액";#N/A,#N/A,FALSE,"요약손익";#N/A,#N/A,FALSE,"요약대차";#N/A,#N/A,FALSE,"매출채권현황";#N/A,#N/A,FALSE,"매출채권명세"}</definedName>
    <definedName name="qyk" localSheetId="24" hidden="1">{"'용역비'!$A$4:$C$8"}</definedName>
    <definedName name="qyk" localSheetId="18" hidden="1">{"'용역비'!$A$4:$C$8"}</definedName>
    <definedName name="qyk" localSheetId="25" hidden="1">{"'용역비'!$A$4:$C$8"}</definedName>
    <definedName name="qyk" hidden="1">{"'용역비'!$A$4:$C$8"}</definedName>
    <definedName name="R_COVER" localSheetId="24" hidden="1">{#N/A,#N/A,FALSE,"단축1";#N/A,#N/A,FALSE,"단축2";#N/A,#N/A,FALSE,"단축3";#N/A,#N/A,FALSE,"장축";#N/A,#N/A,FALSE,"4WD"}</definedName>
    <definedName name="R_COVER" localSheetId="18" hidden="1">{#N/A,#N/A,FALSE,"단축1";#N/A,#N/A,FALSE,"단축2";#N/A,#N/A,FALSE,"단축3";#N/A,#N/A,FALSE,"장축";#N/A,#N/A,FALSE,"4WD"}</definedName>
    <definedName name="R_COVER" localSheetId="25" hidden="1">{#N/A,#N/A,FALSE,"단축1";#N/A,#N/A,FALSE,"단축2";#N/A,#N/A,FALSE,"단축3";#N/A,#N/A,FALSE,"장축";#N/A,#N/A,FALSE,"4WD"}</definedName>
    <definedName name="R_COVER" hidden="1">{#N/A,#N/A,FALSE,"단축1";#N/A,#N/A,FALSE,"단축2";#N/A,#N/A,FALSE,"단축3";#N/A,#N/A,FALSE,"장축";#N/A,#N/A,FALSE,"4WD"}</definedName>
    <definedName name="Rates_Taxes" localSheetId="24" hidden="1">{#N/A,#N/A,FALSE,"Menu";#N/A,#N/A,FALSE,"Sch A";#N/A,#N/A,FALSE,"Print Dummy";#N/A,#N/A,FALSE,"Sch B";#N/A,#N/A,FALSE,"Sch C";#N/A,#N/A,FALSE,"Sch D";#N/A,#N/A,FALSE,"Sch E";#N/A,#N/A,FALSE,"Sch F";#N/A,#N/A,FALSE,"Sch G";#N/A,#N/A,FALSE,"Sch H";#N/A,#N/A,FALSE,"Sch I";#N/A,#N/A,FALSE,"Sch J"}</definedName>
    <definedName name="Rates_Taxes" localSheetId="18" hidden="1">{#N/A,#N/A,FALSE,"Menu";#N/A,#N/A,FALSE,"Sch A";#N/A,#N/A,FALSE,"Print Dummy";#N/A,#N/A,FALSE,"Sch B";#N/A,#N/A,FALSE,"Sch C";#N/A,#N/A,FALSE,"Sch D";#N/A,#N/A,FALSE,"Sch E";#N/A,#N/A,FALSE,"Sch F";#N/A,#N/A,FALSE,"Sch G";#N/A,#N/A,FALSE,"Sch H";#N/A,#N/A,FALSE,"Sch I";#N/A,#N/A,FALSE,"Sch J"}</definedName>
    <definedName name="Rates_Taxes" localSheetId="25" hidden="1">{#N/A,#N/A,FALSE,"Menu";#N/A,#N/A,FALSE,"Sch A";#N/A,#N/A,FALSE,"Print Dummy";#N/A,#N/A,FALSE,"Sch B";#N/A,#N/A,FALSE,"Sch C";#N/A,#N/A,FALSE,"Sch D";#N/A,#N/A,FALSE,"Sch E";#N/A,#N/A,FALSE,"Sch F";#N/A,#N/A,FALSE,"Sch G";#N/A,#N/A,FALSE,"Sch H";#N/A,#N/A,FALSE,"Sch I";#N/A,#N/A,FALSE,"Sch J"}</definedName>
    <definedName name="Rates_Taxes" hidden="1">{#N/A,#N/A,FALSE,"Menu";#N/A,#N/A,FALSE,"Sch A";#N/A,#N/A,FALSE,"Print Dummy";#N/A,#N/A,FALSE,"Sch B";#N/A,#N/A,FALSE,"Sch C";#N/A,#N/A,FALSE,"Sch D";#N/A,#N/A,FALSE,"Sch E";#N/A,#N/A,FALSE,"Sch F";#N/A,#N/A,FALSE,"Sch G";#N/A,#N/A,FALSE,"Sch H";#N/A,#N/A,FALSE,"Sch I";#N/A,#N/A,FALSE,"Sch J"}</definedName>
    <definedName name="rdd" localSheetId="24" hidden="1">{#N/A,#N/A,FALSE,"지침";#N/A,#N/A,FALSE,"환경분석";#N/A,#N/A,FALSE,"Sheet16"}</definedName>
    <definedName name="rdd" localSheetId="18" hidden="1">{#N/A,#N/A,FALSE,"지침";#N/A,#N/A,FALSE,"환경분석";#N/A,#N/A,FALSE,"Sheet16"}</definedName>
    <definedName name="rdd" localSheetId="25" hidden="1">{#N/A,#N/A,FALSE,"지침";#N/A,#N/A,FALSE,"환경분석";#N/A,#N/A,FALSE,"Sheet16"}</definedName>
    <definedName name="rdd" hidden="1">{#N/A,#N/A,FALSE,"지침";#N/A,#N/A,FALSE,"환경분석";#N/A,#N/A,FALSE,"Sheet16"}</definedName>
    <definedName name="recon2" localSheetId="24" hidden="1">{#N/A,#N/A,FALSE,"BS";#N/A,#N/A,FALSE,"PL";#N/A,#N/A,FALSE,"처분";#N/A,#N/A,FALSE,"현금";#N/A,#N/A,FALSE,"매출";#N/A,#N/A,FALSE,"원가";#N/A,#N/A,FALSE,"경영"}</definedName>
    <definedName name="recon2" localSheetId="18" hidden="1">{#N/A,#N/A,FALSE,"BS";#N/A,#N/A,FALSE,"PL";#N/A,#N/A,FALSE,"처분";#N/A,#N/A,FALSE,"현금";#N/A,#N/A,FALSE,"매출";#N/A,#N/A,FALSE,"원가";#N/A,#N/A,FALSE,"경영"}</definedName>
    <definedName name="recon2" localSheetId="25" hidden="1">{#N/A,#N/A,FALSE,"BS";#N/A,#N/A,FALSE,"PL";#N/A,#N/A,FALSE,"처분";#N/A,#N/A,FALSE,"현금";#N/A,#N/A,FALSE,"매출";#N/A,#N/A,FALSE,"원가";#N/A,#N/A,FALSE,"경영"}</definedName>
    <definedName name="recon2" hidden="1">{#N/A,#N/A,FALSE,"BS";#N/A,#N/A,FALSE,"PL";#N/A,#N/A,FALSE,"처분";#N/A,#N/A,FALSE,"현금";#N/A,#N/A,FALSE,"매출";#N/A,#N/A,FALSE,"원가";#N/A,#N/A,FALSE,"경영"}</definedName>
    <definedName name="rent" localSheetId="24" hidden="1">{#N/A,#N/A,FALSE,"동부"}</definedName>
    <definedName name="rent" localSheetId="18" hidden="1">{#N/A,#N/A,FALSE,"동부"}</definedName>
    <definedName name="rent" localSheetId="25" hidden="1">{#N/A,#N/A,FALSE,"동부"}</definedName>
    <definedName name="rent" hidden="1">{#N/A,#N/A,FALSE,"동부"}</definedName>
    <definedName name="rent111" localSheetId="24" hidden="1">{#N/A,#N/A,FALSE,"동부"}</definedName>
    <definedName name="rent111" localSheetId="18" hidden="1">{#N/A,#N/A,FALSE,"동부"}</definedName>
    <definedName name="rent111" localSheetId="25" hidden="1">{#N/A,#N/A,FALSE,"동부"}</definedName>
    <definedName name="rent111" hidden="1">{#N/A,#N/A,FALSE,"동부"}</definedName>
    <definedName name="rerew" localSheetId="24" hidden="1">{#N/A,#N/A,FALSE,"손익표지";#N/A,#N/A,FALSE,"손익계산";#N/A,#N/A,FALSE,"일반관리비";#N/A,#N/A,FALSE,"영업외수익";#N/A,#N/A,FALSE,"영업외비용";#N/A,#N/A,FALSE,"매출액";#N/A,#N/A,FALSE,"요약손익";#N/A,#N/A,FALSE,"요약대차";#N/A,#N/A,FALSE,"매출채권현황";#N/A,#N/A,FALSE,"매출채권명세"}</definedName>
    <definedName name="rerew" localSheetId="18" hidden="1">{#N/A,#N/A,FALSE,"손익표지";#N/A,#N/A,FALSE,"손익계산";#N/A,#N/A,FALSE,"일반관리비";#N/A,#N/A,FALSE,"영업외수익";#N/A,#N/A,FALSE,"영업외비용";#N/A,#N/A,FALSE,"매출액";#N/A,#N/A,FALSE,"요약손익";#N/A,#N/A,FALSE,"요약대차";#N/A,#N/A,FALSE,"매출채권현황";#N/A,#N/A,FALSE,"매출채권명세"}</definedName>
    <definedName name="rerew" localSheetId="25" hidden="1">{#N/A,#N/A,FALSE,"손익표지";#N/A,#N/A,FALSE,"손익계산";#N/A,#N/A,FALSE,"일반관리비";#N/A,#N/A,FALSE,"영업외수익";#N/A,#N/A,FALSE,"영업외비용";#N/A,#N/A,FALSE,"매출액";#N/A,#N/A,FALSE,"요약손익";#N/A,#N/A,FALSE,"요약대차";#N/A,#N/A,FALSE,"매출채권현황";#N/A,#N/A,FALSE,"매출채권명세"}</definedName>
    <definedName name="rerew" hidden="1">{#N/A,#N/A,FALSE,"손익표지";#N/A,#N/A,FALSE,"손익계산";#N/A,#N/A,FALSE,"일반관리비";#N/A,#N/A,FALSE,"영업외수익";#N/A,#N/A,FALSE,"영업외비용";#N/A,#N/A,FALSE,"매출액";#N/A,#N/A,FALSE,"요약손익";#N/A,#N/A,FALSE,"요약대차";#N/A,#N/A,FALSE,"매출채권현황";#N/A,#N/A,FALSE,"매출채권명세"}</definedName>
    <definedName name="reuf" localSheetId="24" hidden="1">{"AnnualRentRoll",#N/A,FALSE,"RentRoll"}</definedName>
    <definedName name="reuf" localSheetId="18" hidden="1">{"AnnualRentRoll",#N/A,FALSE,"RentRoll"}</definedName>
    <definedName name="reuf" localSheetId="25" hidden="1">{"AnnualRentRoll",#N/A,FALSE,"RentRoll"}</definedName>
    <definedName name="reuf" hidden="1">{"AnnualRentRoll",#N/A,FALSE,"RentRoll"}</definedName>
    <definedName name="reufd" localSheetId="24" hidden="1">{"AnnualRentRoll",#N/A,FALSE,"RentRoll"}</definedName>
    <definedName name="reufd" localSheetId="18" hidden="1">{"AnnualRentRoll",#N/A,FALSE,"RentRoll"}</definedName>
    <definedName name="reufd" localSheetId="25" hidden="1">{"AnnualRentRoll",#N/A,FALSE,"RentRoll"}</definedName>
    <definedName name="reufd" hidden="1">{"AnnualRentRoll",#N/A,FALSE,"RentRoll"}</definedName>
    <definedName name="rewq" localSheetId="24" hidden="1">{"AnnualRentRoll",#N/A,FALSE,"RentRoll"}</definedName>
    <definedName name="rewq" localSheetId="18" hidden="1">{"AnnualRentRoll",#N/A,FALSE,"RentRoll"}</definedName>
    <definedName name="rewq" localSheetId="25" hidden="1">{"AnnualRentRoll",#N/A,FALSE,"RentRoll"}</definedName>
    <definedName name="rewq" hidden="1">{"AnnualRentRoll",#N/A,FALSE,"RentRoll"}</definedName>
    <definedName name="rewr" localSheetId="24" hidden="1">{#N/A,#N/A,FALSE,"이력서&amp;자기소개서"}</definedName>
    <definedName name="rewr" localSheetId="18" hidden="1">{#N/A,#N/A,FALSE,"이력서&amp;자기소개서"}</definedName>
    <definedName name="rewr" localSheetId="25" hidden="1">{#N/A,#N/A,FALSE,"이력서&amp;자기소개서"}</definedName>
    <definedName name="rewr" hidden="1">{#N/A,#N/A,FALSE,"이력서&amp;자기소개서"}</definedName>
    <definedName name="rewr_1" localSheetId="24" hidden="1">{#N/A,#N/A,FALSE,"이력서&amp;자기소개서"}</definedName>
    <definedName name="rewr_1" localSheetId="18" hidden="1">{#N/A,#N/A,FALSE,"이력서&amp;자기소개서"}</definedName>
    <definedName name="rewr_1" localSheetId="25" hidden="1">{#N/A,#N/A,FALSE,"이력서&amp;자기소개서"}</definedName>
    <definedName name="rewr_1" hidden="1">{#N/A,#N/A,FALSE,"이력서&amp;자기소개서"}</definedName>
    <definedName name="rewrs" localSheetId="24" hidden="1">{#N/A,#N/A,FALSE,"이력서&amp;자기소개서"}</definedName>
    <definedName name="rewrs" localSheetId="18" hidden="1">{#N/A,#N/A,FALSE,"이력서&amp;자기소개서"}</definedName>
    <definedName name="rewrs" localSheetId="25" hidden="1">{#N/A,#N/A,FALSE,"이력서&amp;자기소개서"}</definedName>
    <definedName name="rewrs" hidden="1">{#N/A,#N/A,FALSE,"이력서&amp;자기소개서"}</definedName>
    <definedName name="rfff" localSheetId="24" hidden="1">{#N/A,#N/A,FALSE,"손익표지";#N/A,#N/A,FALSE,"손익계산";#N/A,#N/A,FALSE,"일반관리비";#N/A,#N/A,FALSE,"영업외수익";#N/A,#N/A,FALSE,"영업외비용";#N/A,#N/A,FALSE,"매출액";#N/A,#N/A,FALSE,"요약손익";#N/A,#N/A,FALSE,"요약대차";#N/A,#N/A,FALSE,"매출채권현황";#N/A,#N/A,FALSE,"매출채권명세"}</definedName>
    <definedName name="rfff" localSheetId="18" hidden="1">{#N/A,#N/A,FALSE,"손익표지";#N/A,#N/A,FALSE,"손익계산";#N/A,#N/A,FALSE,"일반관리비";#N/A,#N/A,FALSE,"영업외수익";#N/A,#N/A,FALSE,"영업외비용";#N/A,#N/A,FALSE,"매출액";#N/A,#N/A,FALSE,"요약손익";#N/A,#N/A,FALSE,"요약대차";#N/A,#N/A,FALSE,"매출채권현황";#N/A,#N/A,FALSE,"매출채권명세"}</definedName>
    <definedName name="rfff" localSheetId="25" hidden="1">{#N/A,#N/A,FALSE,"손익표지";#N/A,#N/A,FALSE,"손익계산";#N/A,#N/A,FALSE,"일반관리비";#N/A,#N/A,FALSE,"영업외수익";#N/A,#N/A,FALSE,"영업외비용";#N/A,#N/A,FALSE,"매출액";#N/A,#N/A,FALSE,"요약손익";#N/A,#N/A,FALSE,"요약대차";#N/A,#N/A,FALSE,"매출채권현황";#N/A,#N/A,FALSE,"매출채권명세"}</definedName>
    <definedName name="rfff" hidden="1">{#N/A,#N/A,FALSE,"손익표지";#N/A,#N/A,FALSE,"손익계산";#N/A,#N/A,FALSE,"일반관리비";#N/A,#N/A,FALSE,"영업외수익";#N/A,#N/A,FALSE,"영업외비용";#N/A,#N/A,FALSE,"매출액";#N/A,#N/A,FALSE,"요약손익";#N/A,#N/A,FALSE,"요약대차";#N/A,#N/A,FALSE,"매출채권현황";#N/A,#N/A,FALSE,"매출채권명세"}</definedName>
    <definedName name="rfuuuuu" localSheetId="24" hidden="1">{#N/A,#N/A,FALSE,"LoanAssumptions"}</definedName>
    <definedName name="rfuuuuu" localSheetId="18" hidden="1">{#N/A,#N/A,FALSE,"LoanAssumptions"}</definedName>
    <definedName name="rfuuuuu" localSheetId="25" hidden="1">{#N/A,#N/A,FALSE,"LoanAssumptions"}</definedName>
    <definedName name="rfuuuuu" hidden="1">{#N/A,#N/A,FALSE,"LoanAssumptions"}</definedName>
    <definedName name="RH" localSheetId="24" hidden="1">{"'용역비'!$A$4:$C$8"}</definedName>
    <definedName name="RH" localSheetId="18" hidden="1">{"'용역비'!$A$4:$C$8"}</definedName>
    <definedName name="RH" localSheetId="25" hidden="1">{"'용역비'!$A$4:$C$8"}</definedName>
    <definedName name="RH" hidden="1">{"'용역비'!$A$4:$C$8"}</definedName>
    <definedName name="ＲＪ" localSheetId="24" hidden="1">{"summary",#N/A,TRUE,"Focus";"interestexpense",#N/A,TRUE,"Focus";"interestincome",#N/A,TRUE,"Focus";"dividend",#N/A,TRUE,"Focus";"feeincome",#N/A,TRUE,"Focus";"gain",#N/A,TRUE,"Focus"}</definedName>
    <definedName name="ＲＪ" localSheetId="18" hidden="1">{"summary",#N/A,TRUE,"Focus";"interestexpense",#N/A,TRUE,"Focus";"interestincome",#N/A,TRUE,"Focus";"dividend",#N/A,TRUE,"Focus";"feeincome",#N/A,TRUE,"Focus";"gain",#N/A,TRUE,"Focus"}</definedName>
    <definedName name="ＲＪ" localSheetId="25" hidden="1">{"summary",#N/A,TRUE,"Focus";"interestexpense",#N/A,TRUE,"Focus";"interestincome",#N/A,TRUE,"Focus";"dividend",#N/A,TRUE,"Focus";"feeincome",#N/A,TRUE,"Focus";"gain",#N/A,TRUE,"Focus"}</definedName>
    <definedName name="ＲＪ" hidden="1">{"summary",#N/A,TRUE,"Focus";"interestexpense",#N/A,TRUE,"Focus";"interestincome",#N/A,TRUE,"Focus";"dividend",#N/A,TRUE,"Focus";"feeincome",#N/A,TRUE,"Focus";"gain",#N/A,TRUE,"Focus"}</definedName>
    <definedName name="RK" localSheetId="24">BlankMacro1</definedName>
    <definedName name="RK" localSheetId="18">BlankMacro1</definedName>
    <definedName name="RK" localSheetId="25">BlankMacro1</definedName>
    <definedName name="RK" localSheetId="16">BlankMacro1</definedName>
    <definedName name="RK">BlankMacro1</definedName>
    <definedName name="RKSK"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RKSK"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RKSK" localSheetId="25"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RKSK"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rlawkd" localSheetId="24" hidden="1">{#N/A,#N/A,FALSE,"업체선정";#N/A,#N/A,FALSE,"업체선정sheet";#N/A,#N/A,FALSE,"업체실태";#N/A,#N/A,FALSE,"업체실태(1)";#N/A,#N/A,FALSE,"종업원현황(2)";#N/A,#N/A,FALSE,"생산품목(3)";#N/A,#N/A,FALSE,"장비보유현황";#N/A,#N/A,FALSE,"차량및약도";#N/A,#N/A,FALSE,"금형LIST"}</definedName>
    <definedName name="rlawkd" localSheetId="18" hidden="1">{#N/A,#N/A,FALSE,"업체선정";#N/A,#N/A,FALSE,"업체선정sheet";#N/A,#N/A,FALSE,"업체실태";#N/A,#N/A,FALSE,"업체실태(1)";#N/A,#N/A,FALSE,"종업원현황(2)";#N/A,#N/A,FALSE,"생산품목(3)";#N/A,#N/A,FALSE,"장비보유현황";#N/A,#N/A,FALSE,"차량및약도";#N/A,#N/A,FALSE,"금형LIST"}</definedName>
    <definedName name="rlawkd" localSheetId="25" hidden="1">{#N/A,#N/A,FALSE,"업체선정";#N/A,#N/A,FALSE,"업체선정sheet";#N/A,#N/A,FALSE,"업체실태";#N/A,#N/A,FALSE,"업체실태(1)";#N/A,#N/A,FALSE,"종업원현황(2)";#N/A,#N/A,FALSE,"생산품목(3)";#N/A,#N/A,FALSE,"장비보유현황";#N/A,#N/A,FALSE,"차량및약도";#N/A,#N/A,FALSE,"금형LIST"}</definedName>
    <definedName name="rlawkd" hidden="1">{#N/A,#N/A,FALSE,"업체선정";#N/A,#N/A,FALSE,"업체선정sheet";#N/A,#N/A,FALSE,"업체실태";#N/A,#N/A,FALSE,"업체실태(1)";#N/A,#N/A,FALSE,"종업원현황(2)";#N/A,#N/A,FALSE,"생산품목(3)";#N/A,#N/A,FALSE,"장비보유현황";#N/A,#N/A,FALSE,"차량및약도";#N/A,#N/A,FALSE,"금형LIST"}</definedName>
    <definedName name="rlawpdnr" localSheetId="24" hidden="1">{#N/A,#N/A,FALSE,"지침";#N/A,#N/A,FALSE,"환경분석";#N/A,#N/A,FALSE,"Sheet16"}</definedName>
    <definedName name="rlawpdnr" localSheetId="18" hidden="1">{#N/A,#N/A,FALSE,"지침";#N/A,#N/A,FALSE,"환경분석";#N/A,#N/A,FALSE,"Sheet16"}</definedName>
    <definedName name="rlawpdnr" localSheetId="25" hidden="1">{#N/A,#N/A,FALSE,"지침";#N/A,#N/A,FALSE,"환경분석";#N/A,#N/A,FALSE,"Sheet16"}</definedName>
    <definedName name="rlawpdnr" hidden="1">{#N/A,#N/A,FALSE,"지침";#N/A,#N/A,FALSE,"환경분석";#N/A,#N/A,FALSE,"Sheet16"}</definedName>
    <definedName name="rlkjfu" localSheetId="24" hidden="1">{#N/A,#N/A,FALSE,"LoanAssumptions"}</definedName>
    <definedName name="rlkjfu" localSheetId="18" hidden="1">{#N/A,#N/A,FALSE,"LoanAssumptions"}</definedName>
    <definedName name="rlkjfu" localSheetId="25" hidden="1">{#N/A,#N/A,FALSE,"LoanAssumptions"}</definedName>
    <definedName name="rlkjfu" hidden="1">{#N/A,#N/A,FALSE,"LoanAssumptions"}</definedName>
    <definedName name="ropponngi" localSheetId="24" hidden="1">{"AnnualRentRoll",#N/A,FALSE,"RentRoll"}</definedName>
    <definedName name="ropponngi" localSheetId="18" hidden="1">{"AnnualRentRoll",#N/A,FALSE,"RentRoll"}</definedName>
    <definedName name="ropponngi" localSheetId="25" hidden="1">{"AnnualRentRoll",#N/A,FALSE,"RentRoll"}</definedName>
    <definedName name="ropponngi" hidden="1">{"AnnualRentRoll",#N/A,FALSE,"RentRoll"}</definedName>
    <definedName name="ropponngi_1" localSheetId="24" hidden="1">{"AnnualRentRoll",#N/A,FALSE,"RentRoll"}</definedName>
    <definedName name="ropponngi_1" localSheetId="18" hidden="1">{"AnnualRentRoll",#N/A,FALSE,"RentRoll"}</definedName>
    <definedName name="ropponngi_1" localSheetId="25" hidden="1">{"AnnualRentRoll",#N/A,FALSE,"RentRoll"}</definedName>
    <definedName name="ropponngi_1" hidden="1">{"AnnualRentRoll",#N/A,FALSE,"RentRoll"}</definedName>
    <definedName name="RR.BRAKE" localSheetId="24" hidden="1">{#N/A,#N/A,FALSE,"단축1";#N/A,#N/A,FALSE,"단축2";#N/A,#N/A,FALSE,"단축3";#N/A,#N/A,FALSE,"장축";#N/A,#N/A,FALSE,"4WD"}</definedName>
    <definedName name="RR.BRAKE" localSheetId="18" hidden="1">{#N/A,#N/A,FALSE,"단축1";#N/A,#N/A,FALSE,"단축2";#N/A,#N/A,FALSE,"단축3";#N/A,#N/A,FALSE,"장축";#N/A,#N/A,FALSE,"4WD"}</definedName>
    <definedName name="RR.BRAKE" localSheetId="25" hidden="1">{#N/A,#N/A,FALSE,"단축1";#N/A,#N/A,FALSE,"단축2";#N/A,#N/A,FALSE,"단축3";#N/A,#N/A,FALSE,"장축";#N/A,#N/A,FALSE,"4WD"}</definedName>
    <definedName name="RR.BRAKE" hidden="1">{#N/A,#N/A,FALSE,"단축1";#N/A,#N/A,FALSE,"단축2";#N/A,#N/A,FALSE,"단축3";#N/A,#N/A,FALSE,"장축";#N/A,#N/A,FALSE,"4WD"}</definedName>
    <definedName name="RR.BRK" localSheetId="24" hidden="1">{#N/A,#N/A,FALSE,"단축1";#N/A,#N/A,FALSE,"단축2";#N/A,#N/A,FALSE,"단축3";#N/A,#N/A,FALSE,"장축";#N/A,#N/A,FALSE,"4WD"}</definedName>
    <definedName name="RR.BRK" localSheetId="18" hidden="1">{#N/A,#N/A,FALSE,"단축1";#N/A,#N/A,FALSE,"단축2";#N/A,#N/A,FALSE,"단축3";#N/A,#N/A,FALSE,"장축";#N/A,#N/A,FALSE,"4WD"}</definedName>
    <definedName name="RR.BRK" localSheetId="25" hidden="1">{#N/A,#N/A,FALSE,"단축1";#N/A,#N/A,FALSE,"단축2";#N/A,#N/A,FALSE,"단축3";#N/A,#N/A,FALSE,"장축";#N/A,#N/A,FALSE,"4WD"}</definedName>
    <definedName name="RR.BRK" hidden="1">{#N/A,#N/A,FALSE,"단축1";#N/A,#N/A,FALSE,"단축2";#N/A,#N/A,FALSE,"단축3";#N/A,#N/A,FALSE,"장축";#N/A,#N/A,FALSE,"4WD"}</definedName>
    <definedName name="RR_1" localSheetId="24" hidden="1">{"MonthlyRentRoll",#N/A,FALSE,"RentRoll"}</definedName>
    <definedName name="RR_1" localSheetId="18" hidden="1">{"MonthlyRentRoll",#N/A,FALSE,"RentRoll"}</definedName>
    <definedName name="RR_1" localSheetId="25" hidden="1">{"MonthlyRentRoll",#N/A,FALSE,"RentRoll"}</definedName>
    <definedName name="RR_1" hidden="1">{"MonthlyRentRoll",#N/A,FALSE,"RentRoll"}</definedName>
    <definedName name="rrr" localSheetId="24"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rrr" localSheetId="18"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rrr" localSheetId="25"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rrr"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rrrrrrrr" hidden="1">#N/A</definedName>
    <definedName name="RT" localSheetId="24" hidden="1">{"'용역비'!$A$4:$C$8"}</definedName>
    <definedName name="RT" localSheetId="18" hidden="1">{"'용역비'!$A$4:$C$8"}</definedName>
    <definedName name="RT" localSheetId="25" hidden="1">{"'용역비'!$A$4:$C$8"}</definedName>
    <definedName name="RT" hidden="1">{"'용역비'!$A$4:$C$8"}</definedName>
    <definedName name="RTGH" localSheetId="24" hidden="1">{"'용역비'!$A$4:$C$8"}</definedName>
    <definedName name="RTGH" localSheetId="18" hidden="1">{"'용역비'!$A$4:$C$8"}</definedName>
    <definedName name="RTGH" localSheetId="25" hidden="1">{"'용역비'!$A$4:$C$8"}</definedName>
    <definedName name="RTGH" hidden="1">{"'용역비'!$A$4:$C$8"}</definedName>
    <definedName name="rth" localSheetId="24" hidden="1">{"'용역비'!$A$4:$C$8"}</definedName>
    <definedName name="rth" localSheetId="18" hidden="1">{"'용역비'!$A$4:$C$8"}</definedName>
    <definedName name="rth" localSheetId="25" hidden="1">{"'용역비'!$A$4:$C$8"}</definedName>
    <definedName name="rth" hidden="1">{"'용역비'!$A$4:$C$8"}</definedName>
    <definedName name="rty" localSheetId="24" hidden="1">{"'용역비'!$A$4:$C$8"}</definedName>
    <definedName name="rty" localSheetId="18" hidden="1">{"'용역비'!$A$4:$C$8"}</definedName>
    <definedName name="rty" localSheetId="25" hidden="1">{"'용역비'!$A$4:$C$8"}</definedName>
    <definedName name="rty" hidden="1">{"'용역비'!$A$4:$C$8"}</definedName>
    <definedName name="ruf" localSheetId="24" hidden="1">{#N/A,#N/A,FALSE,"ExitStratigy"}</definedName>
    <definedName name="ruf" localSheetId="18" hidden="1">{#N/A,#N/A,FALSE,"ExitStratigy"}</definedName>
    <definedName name="ruf" localSheetId="25" hidden="1">{#N/A,#N/A,FALSE,"ExitStratigy"}</definedName>
    <definedName name="ruf" hidden="1">{#N/A,#N/A,FALSE,"ExitStratigy"}</definedName>
    <definedName name="rufff" localSheetId="24" hidden="1">{"AnnualRentRoll",#N/A,FALSE,"RentRoll"}</definedName>
    <definedName name="rufff" localSheetId="18" hidden="1">{"AnnualRentRoll",#N/A,FALSE,"RentRoll"}</definedName>
    <definedName name="rufff" localSheetId="25" hidden="1">{"AnnualRentRoll",#N/A,FALSE,"RentRoll"}</definedName>
    <definedName name="rufff" hidden="1">{"AnnualRentRoll",#N/A,FALSE,"RentRoll"}</definedName>
    <definedName name="RYUGF" localSheetId="24" hidden="1">{#N/A,#N/A,TRUE,"대 차 대 조 표"}</definedName>
    <definedName name="RYUGF" localSheetId="18" hidden="1">{#N/A,#N/A,TRUE,"대 차 대 조 표"}</definedName>
    <definedName name="RYUGF" localSheetId="25" hidden="1">{#N/A,#N/A,TRUE,"대 차 대 조 표"}</definedName>
    <definedName name="RYUGF" hidden="1">{#N/A,#N/A,TRUE,"대 차 대 조 표"}</definedName>
    <definedName name="RYUIRYU" localSheetId="24" hidden="1">{"'용역비'!$A$4:$C$8"}</definedName>
    <definedName name="RYUIRYU" localSheetId="18" hidden="1">{"'용역비'!$A$4:$C$8"}</definedName>
    <definedName name="RYUIRYU" localSheetId="25" hidden="1">{"'용역비'!$A$4:$C$8"}</definedName>
    <definedName name="RYUIRYU" hidden="1">{"'용역비'!$A$4:$C$8"}</definedName>
    <definedName name="ryuk" localSheetId="24" hidden="1">{"'용역비'!$A$4:$C$8"}</definedName>
    <definedName name="ryuk" localSheetId="18" hidden="1">{"'용역비'!$A$4:$C$8"}</definedName>
    <definedName name="ryuk" localSheetId="25" hidden="1">{"'용역비'!$A$4:$C$8"}</definedName>
    <definedName name="ryuk" hidden="1">{"'용역비'!$A$4:$C$8"}</definedName>
    <definedName name="rㅀㄱ" localSheetId="24" hidden="1">{#N/A,#N/A,FALSE,"업체선정";#N/A,#N/A,FALSE,"업체선정sheet";#N/A,#N/A,FALSE,"업체실태";#N/A,#N/A,FALSE,"업체실태(1)";#N/A,#N/A,FALSE,"종업원현황(2)";#N/A,#N/A,FALSE,"생산품목(3)";#N/A,#N/A,FALSE,"장비보유현황";#N/A,#N/A,FALSE,"차량및약도";#N/A,#N/A,FALSE,"금형LIST"}</definedName>
    <definedName name="rㅀㄱ" localSheetId="18" hidden="1">{#N/A,#N/A,FALSE,"업체선정";#N/A,#N/A,FALSE,"업체선정sheet";#N/A,#N/A,FALSE,"업체실태";#N/A,#N/A,FALSE,"업체실태(1)";#N/A,#N/A,FALSE,"종업원현황(2)";#N/A,#N/A,FALSE,"생산품목(3)";#N/A,#N/A,FALSE,"장비보유현황";#N/A,#N/A,FALSE,"차량및약도";#N/A,#N/A,FALSE,"금형LIST"}</definedName>
    <definedName name="rㅀㄱ" localSheetId="25" hidden="1">{#N/A,#N/A,FALSE,"업체선정";#N/A,#N/A,FALSE,"업체선정sheet";#N/A,#N/A,FALSE,"업체실태";#N/A,#N/A,FALSE,"업체실태(1)";#N/A,#N/A,FALSE,"종업원현황(2)";#N/A,#N/A,FALSE,"생산품목(3)";#N/A,#N/A,FALSE,"장비보유현황";#N/A,#N/A,FALSE,"차량및약도";#N/A,#N/A,FALSE,"금형LIST"}</definedName>
    <definedName name="rㅀㄱ" hidden="1">{#N/A,#N/A,FALSE,"업체선정";#N/A,#N/A,FALSE,"업체선정sheet";#N/A,#N/A,FALSE,"업체실태";#N/A,#N/A,FALSE,"업체실태(1)";#N/A,#N/A,FALSE,"종업원현황(2)";#N/A,#N/A,FALSE,"생산품목(3)";#N/A,#N/A,FALSE,"장비보유현황";#N/A,#N/A,FALSE,"차량및약도";#N/A,#N/A,FALSE,"금형LIST"}</definedName>
    <definedName name="saa" localSheetId="24" hidden="1">{"rtn",#N/A,FALSE,"RTN";"tables",#N/A,FALSE,"RTN";"cf",#N/A,FALSE,"CF";"stats",#N/A,FALSE,"Stats";"prop",#N/A,FALSE,"Prop"}</definedName>
    <definedName name="saa" localSheetId="18" hidden="1">{"rtn",#N/A,FALSE,"RTN";"tables",#N/A,FALSE,"RTN";"cf",#N/A,FALSE,"CF";"stats",#N/A,FALSE,"Stats";"prop",#N/A,FALSE,"Prop"}</definedName>
    <definedName name="saa" localSheetId="25" hidden="1">{"rtn",#N/A,FALSE,"RTN";"tables",#N/A,FALSE,"RTN";"cf",#N/A,FALSE,"CF";"stats",#N/A,FALSE,"Stats";"prop",#N/A,FALSE,"Prop"}</definedName>
    <definedName name="saa" hidden="1">{"rtn",#N/A,FALSE,"RTN";"tables",#N/A,FALSE,"RTN";"cf",#N/A,FALSE,"CF";"stats",#N/A,FALSE,"Stats";"prop",#N/A,FALSE,"Prop"}</definedName>
    <definedName name="saaaaaaaaaaaaaaaaaaa" localSheetId="24" hidden="1">{#N/A,#N/A,FALSE,"ExitStratigy"}</definedName>
    <definedName name="saaaaaaaaaaaaaaaaaaa" localSheetId="18" hidden="1">{#N/A,#N/A,FALSE,"ExitStratigy"}</definedName>
    <definedName name="saaaaaaaaaaaaaaaaaaa" localSheetId="25" hidden="1">{#N/A,#N/A,FALSE,"ExitStratigy"}</definedName>
    <definedName name="saaaaaaaaaaaaaaaaaaa" hidden="1">{#N/A,#N/A,FALSE,"ExitStratigy"}</definedName>
    <definedName name="sad" localSheetId="24" hidden="1">{#N/A,#N/A,FALSE,"LoanAssumptions"}</definedName>
    <definedName name="sad" localSheetId="18" hidden="1">{#N/A,#N/A,FALSE,"LoanAssumptions"}</definedName>
    <definedName name="sad" localSheetId="25" hidden="1">{#N/A,#N/A,FALSE,"LoanAssumptions"}</definedName>
    <definedName name="sad" hidden="1">{#N/A,#N/A,FALSE,"LoanAssumptions"}</definedName>
    <definedName name="sadd" localSheetId="24" hidden="1">{"MonthlyRentRoll",#N/A,FALSE,"RentRoll"}</definedName>
    <definedName name="sadd" localSheetId="18" hidden="1">{"MonthlyRentRoll",#N/A,FALSE,"RentRoll"}</definedName>
    <definedName name="sadd" localSheetId="25" hidden="1">{"MonthlyRentRoll",#N/A,FALSE,"RentRoll"}</definedName>
    <definedName name="sadd" hidden="1">{"MonthlyRentRoll",#N/A,FALSE,"RentRoll"}</definedName>
    <definedName name="sadd_1" localSheetId="24" hidden="1">{"MonthlyRentRoll",#N/A,FALSE,"RentRoll"}</definedName>
    <definedName name="sadd_1" localSheetId="18" hidden="1">{"MonthlyRentRoll",#N/A,FALSE,"RentRoll"}</definedName>
    <definedName name="sadd_1" localSheetId="25" hidden="1">{"MonthlyRentRoll",#N/A,FALSE,"RentRoll"}</definedName>
    <definedName name="sadd_1" hidden="1">{"MonthlyRentRoll",#N/A,FALSE,"RentRoll"}</definedName>
    <definedName name="saddd" localSheetId="24" hidden="1">{"AnnualRentRoll",#N/A,FALSE,"RentRoll"}</definedName>
    <definedName name="saddd" localSheetId="18" hidden="1">{"AnnualRentRoll",#N/A,FALSE,"RentRoll"}</definedName>
    <definedName name="saddd" localSheetId="25" hidden="1">{"AnnualRentRoll",#N/A,FALSE,"RentRoll"}</definedName>
    <definedName name="saddd" hidden="1">{"AnnualRentRoll",#N/A,FALSE,"RentRoll"}</definedName>
    <definedName name="saddd_1" localSheetId="24" hidden="1">{"AnnualRentRoll",#N/A,FALSE,"RentRoll"}</definedName>
    <definedName name="saddd_1" localSheetId="18" hidden="1">{"AnnualRentRoll",#N/A,FALSE,"RentRoll"}</definedName>
    <definedName name="saddd_1" localSheetId="25" hidden="1">{"AnnualRentRoll",#N/A,FALSE,"RentRoll"}</definedName>
    <definedName name="saddd_1" hidden="1">{"AnnualRentRoll",#N/A,FALSE,"RentRoll"}</definedName>
    <definedName name="saddddd" localSheetId="24" hidden="1">{"AnnualRentRoll",#N/A,FALSE,"RentRoll"}</definedName>
    <definedName name="saddddd" localSheetId="18" hidden="1">{"AnnualRentRoll",#N/A,FALSE,"RentRoll"}</definedName>
    <definedName name="saddddd" localSheetId="25" hidden="1">{"AnnualRentRoll",#N/A,FALSE,"RentRoll"}</definedName>
    <definedName name="saddddd" hidden="1">{"AnnualRentRoll",#N/A,FALSE,"RentRoll"}</definedName>
    <definedName name="saddddd_1" localSheetId="24" hidden="1">{"AnnualRentRoll",#N/A,FALSE,"RentRoll"}</definedName>
    <definedName name="saddddd_1" localSheetId="18" hidden="1">{"AnnualRentRoll",#N/A,FALSE,"RentRoll"}</definedName>
    <definedName name="saddddd_1" localSheetId="25" hidden="1">{"AnnualRentRoll",#N/A,FALSE,"RentRoll"}</definedName>
    <definedName name="saddddd_1" hidden="1">{"AnnualRentRoll",#N/A,FALSE,"RentRoll"}</definedName>
    <definedName name="sadddddddd" localSheetId="24" hidden="1">{#N/A,#N/A,FALSE,"ExitStratigy"}</definedName>
    <definedName name="sadddddddd" localSheetId="18" hidden="1">{#N/A,#N/A,FALSE,"ExitStratigy"}</definedName>
    <definedName name="sadddddddd" localSheetId="25" hidden="1">{#N/A,#N/A,FALSE,"ExitStratigy"}</definedName>
    <definedName name="sadddddddd" hidden="1">{#N/A,#N/A,FALSE,"ExitStratigy"}</definedName>
    <definedName name="sadddddddd_1" localSheetId="24" hidden="1">{#N/A,#N/A,FALSE,"ExitStratigy"}</definedName>
    <definedName name="sadddddddd_1" localSheetId="18" hidden="1">{#N/A,#N/A,FALSE,"ExitStratigy"}</definedName>
    <definedName name="sadddddddd_1" localSheetId="25" hidden="1">{#N/A,#N/A,FALSE,"ExitStratigy"}</definedName>
    <definedName name="sadddddddd_1" hidden="1">{#N/A,#N/A,FALSE,"ExitStratigy"}</definedName>
    <definedName name="sadddddddddd" localSheetId="24" hidden="1">{#N/A,#N/A,FALSE,"LoanAssumptions"}</definedName>
    <definedName name="sadddddddddd" localSheetId="18" hidden="1">{#N/A,#N/A,FALSE,"LoanAssumptions"}</definedName>
    <definedName name="sadddddddddd" localSheetId="25" hidden="1">{#N/A,#N/A,FALSE,"LoanAssumptions"}</definedName>
    <definedName name="sadddddddddd" hidden="1">{#N/A,#N/A,FALSE,"LoanAssumptions"}</definedName>
    <definedName name="sadddddddddd_1" localSheetId="24" hidden="1">{#N/A,#N/A,FALSE,"LoanAssumptions"}</definedName>
    <definedName name="sadddddddddd_1" localSheetId="18" hidden="1">{#N/A,#N/A,FALSE,"LoanAssumptions"}</definedName>
    <definedName name="sadddddddddd_1" localSheetId="25" hidden="1">{#N/A,#N/A,FALSE,"LoanAssumptions"}</definedName>
    <definedName name="sadddddddddd_1" hidden="1">{#N/A,#N/A,FALSE,"LoanAssumptions"}</definedName>
    <definedName name="saddddddddddda" localSheetId="24" hidden="1">{#N/A,#N/A,FALSE,"OperatingAssumptions"}</definedName>
    <definedName name="saddddddddddda" localSheetId="18" hidden="1">{#N/A,#N/A,FALSE,"OperatingAssumptions"}</definedName>
    <definedName name="saddddddddddda" localSheetId="25" hidden="1">{#N/A,#N/A,FALSE,"OperatingAssumptions"}</definedName>
    <definedName name="saddddddddddda" hidden="1">{#N/A,#N/A,FALSE,"OperatingAssumptions"}</definedName>
    <definedName name="saddddddddddda_1" localSheetId="24" hidden="1">{#N/A,#N/A,FALSE,"OperatingAssumptions"}</definedName>
    <definedName name="saddddddddddda_1" localSheetId="18" hidden="1">{#N/A,#N/A,FALSE,"OperatingAssumptions"}</definedName>
    <definedName name="saddddddddddda_1" localSheetId="25" hidden="1">{#N/A,#N/A,FALSE,"OperatingAssumptions"}</definedName>
    <definedName name="saddddddddddda_1" hidden="1">{#N/A,#N/A,FALSE,"OperatingAssumptions"}</definedName>
    <definedName name="saddddddddddddd" localSheetId="24" hidden="1">{#N/A,#N/A,FALSE,"OperatingAssumptions"}</definedName>
    <definedName name="saddddddddddddd" localSheetId="18" hidden="1">{#N/A,#N/A,FALSE,"OperatingAssumptions"}</definedName>
    <definedName name="saddddddddddddd" localSheetId="25" hidden="1">{#N/A,#N/A,FALSE,"OperatingAssumptions"}</definedName>
    <definedName name="saddddddddddddd" hidden="1">{#N/A,#N/A,FALSE,"OperatingAssumptions"}</definedName>
    <definedName name="saddddddddddddd_1" localSheetId="24" hidden="1">{#N/A,#N/A,FALSE,"OperatingAssumptions"}</definedName>
    <definedName name="saddddddddddddd_1" localSheetId="18" hidden="1">{#N/A,#N/A,FALSE,"OperatingAssumptions"}</definedName>
    <definedName name="saddddddddddddd_1" localSheetId="25" hidden="1">{#N/A,#N/A,FALSE,"OperatingAssumptions"}</definedName>
    <definedName name="saddddddddddddd_1" hidden="1">{#N/A,#N/A,FALSE,"OperatingAssumptions"}</definedName>
    <definedName name="sadddddddddddddddddd" localSheetId="24" hidden="1">{#N/A,#N/A,FALSE,"OperatingAssumptions"}</definedName>
    <definedName name="sadddddddddddddddddd" localSheetId="18" hidden="1">{#N/A,#N/A,FALSE,"OperatingAssumptions"}</definedName>
    <definedName name="sadddddddddddddddddd" localSheetId="25" hidden="1">{#N/A,#N/A,FALSE,"OperatingAssumptions"}</definedName>
    <definedName name="sadddddddddddddddddd" hidden="1">{#N/A,#N/A,FALSE,"OperatingAssumptions"}</definedName>
    <definedName name="SAFDAF" localSheetId="24" hidden="1">{"'Firr(선)'!$AS$1:$AY$62","'Firr(사)'!$AS$1:$AY$62","'Firr(회)'!$AS$1:$AY$62","'Firr(선)'!$L$1:$V$62","'Firr(사)'!$L$1:$V$62","'Firr(회)'!$L$1:$V$62"}</definedName>
    <definedName name="SAFDAF" localSheetId="18" hidden="1">{"'Firr(선)'!$AS$1:$AY$62","'Firr(사)'!$AS$1:$AY$62","'Firr(회)'!$AS$1:$AY$62","'Firr(선)'!$L$1:$V$62","'Firr(사)'!$L$1:$V$62","'Firr(회)'!$L$1:$V$62"}</definedName>
    <definedName name="SAFDAF" localSheetId="25" hidden="1">{"'Firr(선)'!$AS$1:$AY$62","'Firr(사)'!$AS$1:$AY$62","'Firr(회)'!$AS$1:$AY$62","'Firr(선)'!$L$1:$V$62","'Firr(사)'!$L$1:$V$62","'Firr(회)'!$L$1:$V$62"}</definedName>
    <definedName name="SAFDAF" hidden="1">{"'Firr(선)'!$AS$1:$AY$62","'Firr(사)'!$AS$1:$AY$62","'Firr(회)'!$AS$1:$AY$62","'Firr(선)'!$L$1:$V$62","'Firr(사)'!$L$1:$V$62","'Firr(회)'!$L$1:$V$62"}</definedName>
    <definedName name="SAPBEXdnldView">"3TQJ5PWZQ85MUZZ9HFMZG8QFM"</definedName>
    <definedName name="SAPBEXrevision">5</definedName>
    <definedName name="SAPBEXsysID">"PBW"</definedName>
    <definedName name="SAPBEXwbID">"461MV176AFZ8EMO9X5CXOB1LL"</definedName>
    <definedName name="sas" localSheetId="24" hidden="1">{"Outflow 1",#N/A,FALSE,"Outflows-Inflows";"Outflow 2",#N/A,FALSE,"Outflows-Inflows";"Inflow 1",#N/A,FALSE,"Outflows-Inflows";"Inflow 2",#N/A,FALSE,"Outflows-Inflows"}</definedName>
    <definedName name="sas" localSheetId="18" hidden="1">{"Outflow 1",#N/A,FALSE,"Outflows-Inflows";"Outflow 2",#N/A,FALSE,"Outflows-Inflows";"Inflow 1",#N/A,FALSE,"Outflows-Inflows";"Inflow 2",#N/A,FALSE,"Outflows-Inflows"}</definedName>
    <definedName name="sas" localSheetId="25" hidden="1">{"Outflow 1",#N/A,FALSE,"Outflows-Inflows";"Outflow 2",#N/A,FALSE,"Outflows-Inflows";"Inflow 1",#N/A,FALSE,"Outflows-Inflows";"Inflow 2",#N/A,FALSE,"Outflows-Inflows"}</definedName>
    <definedName name="sas" hidden="1">{"Outflow 1",#N/A,FALSE,"Outflows-Inflows";"Outflow 2",#N/A,FALSE,"Outflows-Inflows";"Inflow 1",#N/A,FALSE,"Outflows-Inflows";"Inflow 2",#N/A,FALSE,"Outflows-Inflows"}</definedName>
    <definedName name="SaveNewFile" localSheetId="24">REPORT!SaveNewFile</definedName>
    <definedName name="SaveNewFile" localSheetId="18">'Report-sj'!SaveNewFile</definedName>
    <definedName name="SaveNewFile" localSheetId="25">수정사항!SaveNewFile</definedName>
    <definedName name="SaveNewFile">[0]!SaveNewFile</definedName>
    <definedName name="sbfsdfbdfd" localSheetId="24" hidden="1">{#N/A,#N/A,FALSE,"Summary1";#N/A,#N/A,FALSE,"Summary2";#N/A,#N/A,FALSE,"Variation";#N/A,#N/A,FALSE,"Ext-Shops";#N/A,#N/A,FALSE,"Lost"}</definedName>
    <definedName name="sbfsdfbdfd" localSheetId="18" hidden="1">{#N/A,#N/A,FALSE,"Summary1";#N/A,#N/A,FALSE,"Summary2";#N/A,#N/A,FALSE,"Variation";#N/A,#N/A,FALSE,"Ext-Shops";#N/A,#N/A,FALSE,"Lost"}</definedName>
    <definedName name="sbfsdfbdfd" localSheetId="25" hidden="1">{#N/A,#N/A,FALSE,"Summary1";#N/A,#N/A,FALSE,"Summary2";#N/A,#N/A,FALSE,"Variation";#N/A,#N/A,FALSE,"Ext-Shops";#N/A,#N/A,FALSE,"Lost"}</definedName>
    <definedName name="sbfsdfbdfd" hidden="1">{#N/A,#N/A,FALSE,"Summary1";#N/A,#N/A,FALSE,"Summary2";#N/A,#N/A,FALSE,"Variation";#N/A,#N/A,FALSE,"Ext-Shops";#N/A,#N/A,FALSE,"Lost"}</definedName>
    <definedName name="sbsbdfdfb" localSheetId="24" hidden="1">{#N/A,#N/A,TRUE,"Summary1";#N/A,#N/A,TRUE,"Summary2";#N/A,#N/A,TRUE,"Var";#N/A,#N/A,TRUE,"nvp";#N/A,#N/A,TRUE,"Ext-Shops"}</definedName>
    <definedName name="sbsbdfdfb" localSheetId="18" hidden="1">{#N/A,#N/A,TRUE,"Summary1";#N/A,#N/A,TRUE,"Summary2";#N/A,#N/A,TRUE,"Var";#N/A,#N/A,TRUE,"nvp";#N/A,#N/A,TRUE,"Ext-Shops"}</definedName>
    <definedName name="sbsbdfdfb" localSheetId="25" hidden="1">{#N/A,#N/A,TRUE,"Summary1";#N/A,#N/A,TRUE,"Summary2";#N/A,#N/A,TRUE,"Var";#N/A,#N/A,TRUE,"nvp";#N/A,#N/A,TRUE,"Ext-Shops"}</definedName>
    <definedName name="sbsbdfdfb" hidden="1">{#N/A,#N/A,TRUE,"Summary1";#N/A,#N/A,TRUE,"Summary2";#N/A,#N/A,TRUE,"Var";#N/A,#N/A,TRUE,"nvp";#N/A,#N/A,TRUE,"Ext-Shops"}</definedName>
    <definedName name="SCGK" localSheetId="24" hidden="1">{#N/A,#N/A,FALSE,"동부"}</definedName>
    <definedName name="SCGK" localSheetId="18" hidden="1">{#N/A,#N/A,FALSE,"동부"}</definedName>
    <definedName name="SCGK" localSheetId="25" hidden="1">{#N/A,#N/A,FALSE,"동부"}</definedName>
    <definedName name="SCGK" hidden="1">{#N/A,#N/A,FALSE,"동부"}</definedName>
    <definedName name="SCGK1" localSheetId="24" hidden="1">{#N/A,#N/A,FALSE,"동부"}</definedName>
    <definedName name="SCGK1" localSheetId="18" hidden="1">{#N/A,#N/A,FALSE,"동부"}</definedName>
    <definedName name="SCGK1" localSheetId="25" hidden="1">{#N/A,#N/A,FALSE,"동부"}</definedName>
    <definedName name="SCGK1" hidden="1">{#N/A,#N/A,FALSE,"동부"}</definedName>
    <definedName name="SD" localSheetId="24" hidden="1">{"'용역비'!$A$4:$C$8"}</definedName>
    <definedName name="SD" localSheetId="18" hidden="1">{"'용역비'!$A$4:$C$8"}</definedName>
    <definedName name="SD" localSheetId="25" hidden="1">{"'용역비'!$A$4:$C$8"}</definedName>
    <definedName name="SD" hidden="1">{"'용역비'!$A$4:$C$8"}</definedName>
    <definedName name="sdadasasdas" localSheetId="24"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sdadasasdas" localSheetId="18"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sdadasasdas" localSheetId="25"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sdadasasdas"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SDAFADF" localSheetId="24" hidden="1">{#N/A,#N/A,FALSE,"손익표지";#N/A,#N/A,FALSE,"손익계산";#N/A,#N/A,FALSE,"일반관리비";#N/A,#N/A,FALSE,"영업외수익";#N/A,#N/A,FALSE,"영업외비용";#N/A,#N/A,FALSE,"매출액";#N/A,#N/A,FALSE,"요약손익";#N/A,#N/A,FALSE,"요약대차";#N/A,#N/A,FALSE,"매출채권현황";#N/A,#N/A,FALSE,"매출채권명세"}</definedName>
    <definedName name="SDAFADF" localSheetId="18" hidden="1">{#N/A,#N/A,FALSE,"손익표지";#N/A,#N/A,FALSE,"손익계산";#N/A,#N/A,FALSE,"일반관리비";#N/A,#N/A,FALSE,"영업외수익";#N/A,#N/A,FALSE,"영업외비용";#N/A,#N/A,FALSE,"매출액";#N/A,#N/A,FALSE,"요약손익";#N/A,#N/A,FALSE,"요약대차";#N/A,#N/A,FALSE,"매출채권현황";#N/A,#N/A,FALSE,"매출채권명세"}</definedName>
    <definedName name="SDAFADF" localSheetId="25" hidden="1">{#N/A,#N/A,FALSE,"손익표지";#N/A,#N/A,FALSE,"손익계산";#N/A,#N/A,FALSE,"일반관리비";#N/A,#N/A,FALSE,"영업외수익";#N/A,#N/A,FALSE,"영업외비용";#N/A,#N/A,FALSE,"매출액";#N/A,#N/A,FALSE,"요약손익";#N/A,#N/A,FALSE,"요약대차";#N/A,#N/A,FALSE,"매출채권현황";#N/A,#N/A,FALSE,"매출채권명세"}</definedName>
    <definedName name="SDAFADF" hidden="1">{#N/A,#N/A,FALSE,"손익표지";#N/A,#N/A,FALSE,"손익계산";#N/A,#N/A,FALSE,"일반관리비";#N/A,#N/A,FALSE,"영업외수익";#N/A,#N/A,FALSE,"영업외비용";#N/A,#N/A,FALSE,"매출액";#N/A,#N/A,FALSE,"요약손익";#N/A,#N/A,FALSE,"요약대차";#N/A,#N/A,FALSE,"매출채권현황";#N/A,#N/A,FALSE,"매출채권명세"}</definedName>
    <definedName name="SDAS" localSheetId="24" hidden="1">{"'Firr(선)'!$AS$1:$AY$62","'Firr(사)'!$AS$1:$AY$62","'Firr(회)'!$AS$1:$AY$62","'Firr(선)'!$L$1:$V$62","'Firr(사)'!$L$1:$V$62","'Firr(회)'!$L$1:$V$62"}</definedName>
    <definedName name="SDAS" localSheetId="18" hidden="1">{"'Firr(선)'!$AS$1:$AY$62","'Firr(사)'!$AS$1:$AY$62","'Firr(회)'!$AS$1:$AY$62","'Firr(선)'!$L$1:$V$62","'Firr(사)'!$L$1:$V$62","'Firr(회)'!$L$1:$V$62"}</definedName>
    <definedName name="SDAS" localSheetId="25" hidden="1">{"'Firr(선)'!$AS$1:$AY$62","'Firr(사)'!$AS$1:$AY$62","'Firr(회)'!$AS$1:$AY$62","'Firr(선)'!$L$1:$V$62","'Firr(사)'!$L$1:$V$62","'Firr(회)'!$L$1:$V$62"}</definedName>
    <definedName name="SDAS" hidden="1">{"'Firr(선)'!$AS$1:$AY$62","'Firr(사)'!$AS$1:$AY$62","'Firr(회)'!$AS$1:$AY$62","'Firr(선)'!$L$1:$V$62","'Firr(사)'!$L$1:$V$62","'Firr(회)'!$L$1:$V$62"}</definedName>
    <definedName name="sdasdas" localSheetId="24" hidden="1">{#N/A,#N/A,FALSE,"97년 투자계획 세부내역 "}</definedName>
    <definedName name="sdasdas" localSheetId="18" hidden="1">{#N/A,#N/A,FALSE,"97년 투자계획 세부내역 "}</definedName>
    <definedName name="sdasdas" localSheetId="25" hidden="1">{#N/A,#N/A,FALSE,"97년 투자계획 세부내역 "}</definedName>
    <definedName name="sdasdas" hidden="1">{#N/A,#N/A,FALSE,"97년 투자계획 세부내역 "}</definedName>
    <definedName name="SDCFG\" localSheetId="24" hidden="1">{#N/A,#N/A,FALSE,"운반시간"}</definedName>
    <definedName name="SDCFG\" localSheetId="18" hidden="1">{#N/A,#N/A,FALSE,"운반시간"}</definedName>
    <definedName name="SDCFG\" localSheetId="25" hidden="1">{#N/A,#N/A,FALSE,"운반시간"}</definedName>
    <definedName name="SDCFG\" hidden="1">{#N/A,#N/A,FALSE,"운반시간"}</definedName>
    <definedName name="sdf" localSheetId="24" hidden="1">{#N/A,#N/A,FALSE,"Summary";#N/A,#N/A,FALSE,"Ext Shops";#N/A,#N/A,FALSE,"Lost Shops";#N/A,#N/A,FALSE,"Reloc Shops";#N/A,#N/A,FALSE,"Not Affected";#N/A,#N/A,FALSE,"MDbase"}</definedName>
    <definedName name="sdf" localSheetId="18" hidden="1">{#N/A,#N/A,FALSE,"Summary";#N/A,#N/A,FALSE,"Ext Shops";#N/A,#N/A,FALSE,"Lost Shops";#N/A,#N/A,FALSE,"Reloc Shops";#N/A,#N/A,FALSE,"Not Affected";#N/A,#N/A,FALSE,"MDbase"}</definedName>
    <definedName name="sdf" localSheetId="25" hidden="1">{#N/A,#N/A,FALSE,"Summary";#N/A,#N/A,FALSE,"Ext Shops";#N/A,#N/A,FALSE,"Lost Shops";#N/A,#N/A,FALSE,"Reloc Shops";#N/A,#N/A,FALSE,"Not Affected";#N/A,#N/A,FALSE,"MDbase"}</definedName>
    <definedName name="sdf" hidden="1">{#N/A,#N/A,FALSE,"Summary";#N/A,#N/A,FALSE,"Ext Shops";#N/A,#N/A,FALSE,"Lost Shops";#N/A,#N/A,FALSE,"Reloc Shops";#N/A,#N/A,FALSE,"Not Affected";#N/A,#N/A,FALSE,"MDbase"}</definedName>
    <definedName name="sdfadfgfhytryj" localSheetId="24" hidden="1">{#N/A,#N/A,TRUE,"대 차 대 조 표"}</definedName>
    <definedName name="sdfadfgfhytryj" localSheetId="18" hidden="1">{#N/A,#N/A,TRUE,"대 차 대 조 표"}</definedName>
    <definedName name="sdfadfgfhytryj" localSheetId="25" hidden="1">{#N/A,#N/A,TRUE,"대 차 대 조 표"}</definedName>
    <definedName name="sdfadfgfhytryj" hidden="1">{#N/A,#N/A,TRUE,"대 차 대 조 표"}</definedName>
    <definedName name="sdfasars" localSheetId="24" hidden="1">{#N/A,#N/A,FALSE,"지침";#N/A,#N/A,FALSE,"환경분석";#N/A,#N/A,FALSE,"Sheet16"}</definedName>
    <definedName name="sdfasars" localSheetId="18" hidden="1">{#N/A,#N/A,FALSE,"지침";#N/A,#N/A,FALSE,"환경분석";#N/A,#N/A,FALSE,"Sheet16"}</definedName>
    <definedName name="sdfasars" localSheetId="25" hidden="1">{#N/A,#N/A,FALSE,"지침";#N/A,#N/A,FALSE,"환경분석";#N/A,#N/A,FALSE,"Sheet16"}</definedName>
    <definedName name="sdfasars" hidden="1">{#N/A,#N/A,FALSE,"지침";#N/A,#N/A,FALSE,"환경분석";#N/A,#N/A,FALSE,"Sheet16"}</definedName>
    <definedName name="sdfass" localSheetId="24" hidden="1">{"Outflow 1",#N/A,FALSE,"Outflows-Inflows";"Outflow 2",#N/A,FALSE,"Outflows-Inflows";"Inflow 1",#N/A,FALSE,"Outflows-Inflows";"Inflow 2",#N/A,FALSE,"Outflows-Inflows"}</definedName>
    <definedName name="sdfass" localSheetId="18" hidden="1">{"Outflow 1",#N/A,FALSE,"Outflows-Inflows";"Outflow 2",#N/A,FALSE,"Outflows-Inflows";"Inflow 1",#N/A,FALSE,"Outflows-Inflows";"Inflow 2",#N/A,FALSE,"Outflows-Inflows"}</definedName>
    <definedName name="sdfass" localSheetId="25" hidden="1">{"Outflow 1",#N/A,FALSE,"Outflows-Inflows";"Outflow 2",#N/A,FALSE,"Outflows-Inflows";"Inflow 1",#N/A,FALSE,"Outflows-Inflows";"Inflow 2",#N/A,FALSE,"Outflows-Inflows"}</definedName>
    <definedName name="sdfass" hidden="1">{"Outflow 1",#N/A,FALSE,"Outflows-Inflows";"Outflow 2",#N/A,FALSE,"Outflows-Inflows";"Inflow 1",#N/A,FALSE,"Outflows-Inflows";"Inflow 2",#N/A,FALSE,"Outflows-Inflows"}</definedName>
    <definedName name="sdffsdfds" localSheetId="24" hidden="1">{#N/A,#N/A,FALSE,"Menu";#N/A,#N/A,FALSE,"Sch A";#N/A,#N/A,FALSE,"Print Dummy";#N/A,#N/A,FALSE,"Sch B";#N/A,#N/A,FALSE,"Sch C";#N/A,#N/A,FALSE,"Sch D";#N/A,#N/A,FALSE,"Sch E";#N/A,#N/A,FALSE,"Sch F";#N/A,#N/A,FALSE,"Sch G";#N/A,#N/A,FALSE,"Sch H";#N/A,#N/A,FALSE,"Sch I";#N/A,#N/A,FALSE,"Sch J"}</definedName>
    <definedName name="sdffsdfds" localSheetId="18" hidden="1">{#N/A,#N/A,FALSE,"Menu";#N/A,#N/A,FALSE,"Sch A";#N/A,#N/A,FALSE,"Print Dummy";#N/A,#N/A,FALSE,"Sch B";#N/A,#N/A,FALSE,"Sch C";#N/A,#N/A,FALSE,"Sch D";#N/A,#N/A,FALSE,"Sch E";#N/A,#N/A,FALSE,"Sch F";#N/A,#N/A,FALSE,"Sch G";#N/A,#N/A,FALSE,"Sch H";#N/A,#N/A,FALSE,"Sch I";#N/A,#N/A,FALSE,"Sch J"}</definedName>
    <definedName name="sdffsdfds" localSheetId="25" hidden="1">{#N/A,#N/A,FALSE,"Menu";#N/A,#N/A,FALSE,"Sch A";#N/A,#N/A,FALSE,"Print Dummy";#N/A,#N/A,FALSE,"Sch B";#N/A,#N/A,FALSE,"Sch C";#N/A,#N/A,FALSE,"Sch D";#N/A,#N/A,FALSE,"Sch E";#N/A,#N/A,FALSE,"Sch F";#N/A,#N/A,FALSE,"Sch G";#N/A,#N/A,FALSE,"Sch H";#N/A,#N/A,FALSE,"Sch I";#N/A,#N/A,FALSE,"Sch J"}</definedName>
    <definedName name="sdffsdfds" hidden="1">{#N/A,#N/A,FALSE,"Menu";#N/A,#N/A,FALSE,"Sch A";#N/A,#N/A,FALSE,"Print Dummy";#N/A,#N/A,FALSE,"Sch B";#N/A,#N/A,FALSE,"Sch C";#N/A,#N/A,FALSE,"Sch D";#N/A,#N/A,FALSE,"Sch E";#N/A,#N/A,FALSE,"Sch F";#N/A,#N/A,FALSE,"Sch G";#N/A,#N/A,FALSE,"Sch H";#N/A,#N/A,FALSE,"Sch I";#N/A,#N/A,FALSE,"Sch J"}</definedName>
    <definedName name="sdfgfdg" localSheetId="24" hidden="1">{#N/A,#N/A,FALSE,"손익표지";#N/A,#N/A,FALSE,"손익계산";#N/A,#N/A,FALSE,"일반관리비";#N/A,#N/A,FALSE,"영업외수익";#N/A,#N/A,FALSE,"영업외비용";#N/A,#N/A,FALSE,"매출액";#N/A,#N/A,FALSE,"요약손익";#N/A,#N/A,FALSE,"요약대차";#N/A,#N/A,FALSE,"매출채권현황";#N/A,#N/A,FALSE,"매출채권명세"}</definedName>
    <definedName name="sdfgfdg" localSheetId="18" hidden="1">{#N/A,#N/A,FALSE,"손익표지";#N/A,#N/A,FALSE,"손익계산";#N/A,#N/A,FALSE,"일반관리비";#N/A,#N/A,FALSE,"영업외수익";#N/A,#N/A,FALSE,"영업외비용";#N/A,#N/A,FALSE,"매출액";#N/A,#N/A,FALSE,"요약손익";#N/A,#N/A,FALSE,"요약대차";#N/A,#N/A,FALSE,"매출채권현황";#N/A,#N/A,FALSE,"매출채권명세"}</definedName>
    <definedName name="sdfgfdg" localSheetId="25" hidden="1">{#N/A,#N/A,FALSE,"손익표지";#N/A,#N/A,FALSE,"손익계산";#N/A,#N/A,FALSE,"일반관리비";#N/A,#N/A,FALSE,"영업외수익";#N/A,#N/A,FALSE,"영업외비용";#N/A,#N/A,FALSE,"매출액";#N/A,#N/A,FALSE,"요약손익";#N/A,#N/A,FALSE,"요약대차";#N/A,#N/A,FALSE,"매출채권현황";#N/A,#N/A,FALSE,"매출채권명세"}</definedName>
    <definedName name="sdfgfdg" hidden="1">{#N/A,#N/A,FALSE,"손익표지";#N/A,#N/A,FALSE,"손익계산";#N/A,#N/A,FALSE,"일반관리비";#N/A,#N/A,FALSE,"영업외수익";#N/A,#N/A,FALSE,"영업외비용";#N/A,#N/A,FALSE,"매출액";#N/A,#N/A,FALSE,"요약손익";#N/A,#N/A,FALSE,"요약대차";#N/A,#N/A,FALSE,"매출채권현황";#N/A,#N/A,FALSE,"매출채권명세"}</definedName>
    <definedName name="sdfhsdfsd" localSheetId="24" hidden="1">{#N/A,#N/A,FALSE,"손익표지";#N/A,#N/A,FALSE,"손익계산";#N/A,#N/A,FALSE,"일반관리비";#N/A,#N/A,FALSE,"영업외수익";#N/A,#N/A,FALSE,"영업외비용";#N/A,#N/A,FALSE,"매출액";#N/A,#N/A,FALSE,"요약손익";#N/A,#N/A,FALSE,"요약대차";#N/A,#N/A,FALSE,"매출채권현황";#N/A,#N/A,FALSE,"매출채권명세"}</definedName>
    <definedName name="sdfhsdfsd" localSheetId="18" hidden="1">{#N/A,#N/A,FALSE,"손익표지";#N/A,#N/A,FALSE,"손익계산";#N/A,#N/A,FALSE,"일반관리비";#N/A,#N/A,FALSE,"영업외수익";#N/A,#N/A,FALSE,"영업외비용";#N/A,#N/A,FALSE,"매출액";#N/A,#N/A,FALSE,"요약손익";#N/A,#N/A,FALSE,"요약대차";#N/A,#N/A,FALSE,"매출채권현황";#N/A,#N/A,FALSE,"매출채권명세"}</definedName>
    <definedName name="sdfhsdfsd" localSheetId="25" hidden="1">{#N/A,#N/A,FALSE,"손익표지";#N/A,#N/A,FALSE,"손익계산";#N/A,#N/A,FALSE,"일반관리비";#N/A,#N/A,FALSE,"영업외수익";#N/A,#N/A,FALSE,"영업외비용";#N/A,#N/A,FALSE,"매출액";#N/A,#N/A,FALSE,"요약손익";#N/A,#N/A,FALSE,"요약대차";#N/A,#N/A,FALSE,"매출채권현황";#N/A,#N/A,FALSE,"매출채권명세"}</definedName>
    <definedName name="sdfhsdfsd" hidden="1">{#N/A,#N/A,FALSE,"손익표지";#N/A,#N/A,FALSE,"손익계산";#N/A,#N/A,FALSE,"일반관리비";#N/A,#N/A,FALSE,"영업외수익";#N/A,#N/A,FALSE,"영업외비용";#N/A,#N/A,FALSE,"매출액";#N/A,#N/A,FALSE,"요약손익";#N/A,#N/A,FALSE,"요약대차";#N/A,#N/A,FALSE,"매출채권현황";#N/A,#N/A,FALSE,"매출채권명세"}</definedName>
    <definedName name="sdlkjr" localSheetId="24" hidden="1">{#N/A,#N/A,FALSE,"OperatingAssumptions"}</definedName>
    <definedName name="sdlkjr" localSheetId="18" hidden="1">{#N/A,#N/A,FALSE,"OperatingAssumptions"}</definedName>
    <definedName name="sdlkjr" localSheetId="25" hidden="1">{#N/A,#N/A,FALSE,"OperatingAssumptions"}</definedName>
    <definedName name="sdlkjr" hidden="1">{#N/A,#N/A,FALSE,"OperatingAssumptions"}</definedName>
    <definedName name="sdnr" localSheetId="24" hidden="1">{#N/A,#N/A,FALSE,"ExitStratigy"}</definedName>
    <definedName name="sdnr" localSheetId="18" hidden="1">{#N/A,#N/A,FALSE,"ExitStratigy"}</definedName>
    <definedName name="sdnr" localSheetId="25" hidden="1">{#N/A,#N/A,FALSE,"ExitStratigy"}</definedName>
    <definedName name="sdnr" hidden="1">{#N/A,#N/A,FALSE,"ExitStratigy"}</definedName>
    <definedName name="sdryhj" localSheetId="24" hidden="1">{"'용역비'!$A$4:$C$8"}</definedName>
    <definedName name="sdryhj" localSheetId="18" hidden="1">{"'용역비'!$A$4:$C$8"}</definedName>
    <definedName name="sdryhj" localSheetId="25" hidden="1">{"'용역비'!$A$4:$C$8"}</definedName>
    <definedName name="sdryhj" hidden="1">{"'용역비'!$A$4:$C$8"}</definedName>
    <definedName name="SE" localSheetId="24" hidden="1">{"'용역비'!$A$4:$C$8"}</definedName>
    <definedName name="SE" localSheetId="18" hidden="1">{"'용역비'!$A$4:$C$8"}</definedName>
    <definedName name="SE" localSheetId="25" hidden="1">{"'용역비'!$A$4:$C$8"}</definedName>
    <definedName name="SE" hidden="1">{"'용역비'!$A$4:$C$8"}</definedName>
    <definedName name="sencount">1</definedName>
    <definedName name="sep" localSheetId="24" hidden="1">{#N/A,#N/A,FALSE,"Val."}</definedName>
    <definedName name="sep" localSheetId="18" hidden="1">{#N/A,#N/A,FALSE,"Val."}</definedName>
    <definedName name="sep" localSheetId="25" hidden="1">{#N/A,#N/A,FALSE,"Val."}</definedName>
    <definedName name="sep" hidden="1">{#N/A,#N/A,FALSE,"Val."}</definedName>
    <definedName name="ser" localSheetId="24" hidden="1">{"AnnualRentRoll",#N/A,FALSE,"RentRoll"}</definedName>
    <definedName name="ser" localSheetId="18" hidden="1">{"AnnualRentRoll",#N/A,FALSE,"RentRoll"}</definedName>
    <definedName name="ser" localSheetId="25" hidden="1">{"AnnualRentRoll",#N/A,FALSE,"RentRoll"}</definedName>
    <definedName name="ser" hidden="1">{"AnnualRentRoll",#N/A,FALSE,"RentRoll"}</definedName>
    <definedName name="sf"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sf"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sf"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sf"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SFC" localSheetId="24" hidden="1">{#N/A,#N/A,FALSE,"동부"}</definedName>
    <definedName name="SFC" localSheetId="18" hidden="1">{#N/A,#N/A,FALSE,"동부"}</definedName>
    <definedName name="SFC" localSheetId="25" hidden="1">{#N/A,#N/A,FALSE,"동부"}</definedName>
    <definedName name="SFC" hidden="1">{#N/A,#N/A,FALSE,"동부"}</definedName>
    <definedName name="sfdbdsbdd" localSheetId="24" hidden="1">{#N/A,#N/A,FALSE,"SUM1";#N/A,#N/A,FALSE,"SUM2";#N/A,#N/A,FALSE,"KEY";#N/A,#N/A,FALSE,"ADD";#N/A,#N/A,FALSE,"EXT-SHOP";#N/A,#N/A,FALSE,"STORE";#N/A,#N/A,FALSE,"LOST"}</definedName>
    <definedName name="sfdbdsbdd" localSheetId="18" hidden="1">{#N/A,#N/A,FALSE,"SUM1";#N/A,#N/A,FALSE,"SUM2";#N/A,#N/A,FALSE,"KEY";#N/A,#N/A,FALSE,"ADD";#N/A,#N/A,FALSE,"EXT-SHOP";#N/A,#N/A,FALSE,"STORE";#N/A,#N/A,FALSE,"LOST"}</definedName>
    <definedName name="sfdbdsbdd" localSheetId="25" hidden="1">{#N/A,#N/A,FALSE,"SUM1";#N/A,#N/A,FALSE,"SUM2";#N/A,#N/A,FALSE,"KEY";#N/A,#N/A,FALSE,"ADD";#N/A,#N/A,FALSE,"EXT-SHOP";#N/A,#N/A,FALSE,"STORE";#N/A,#N/A,FALSE,"LOST"}</definedName>
    <definedName name="sfdbdsbdd" hidden="1">{#N/A,#N/A,FALSE,"SUM1";#N/A,#N/A,FALSE,"SUM2";#N/A,#N/A,FALSE,"KEY";#N/A,#N/A,FALSE,"ADD";#N/A,#N/A,FALSE,"EXT-SHOP";#N/A,#N/A,FALSE,"STORE";#N/A,#N/A,FALSE,"LOST"}</definedName>
    <definedName name="sfer" localSheetId="24" hidden="1">{#N/A,#N/A,FALSE,"ExitStratigy"}</definedName>
    <definedName name="sfer" localSheetId="18" hidden="1">{#N/A,#N/A,FALSE,"ExitStratigy"}</definedName>
    <definedName name="sfer" localSheetId="25" hidden="1">{#N/A,#N/A,FALSE,"ExitStratigy"}</definedName>
    <definedName name="sfer" hidden="1">{#N/A,#N/A,FALSE,"ExitStratigy"}</definedName>
    <definedName name="sheet2" localSheetId="24" hidden="1">{"CF",#N/A,FALSE,"Cash Flow";"RET",#N/A,FALSE,"Returns";"NPV",#N/A,FALSE,"Values";"ASMPT",#N/A,FALSE,"Assumptions"}</definedName>
    <definedName name="sheet2" localSheetId="18" hidden="1">{"CF",#N/A,FALSE,"Cash Flow";"RET",#N/A,FALSE,"Returns";"NPV",#N/A,FALSE,"Values";"ASMPT",#N/A,FALSE,"Assumptions"}</definedName>
    <definedName name="sheet2" localSheetId="25" hidden="1">{"CF",#N/A,FALSE,"Cash Flow";"RET",#N/A,FALSE,"Returns";"NPV",#N/A,FALSE,"Values";"ASMPT",#N/A,FALSE,"Assumptions"}</definedName>
    <definedName name="sheet2" hidden="1">{"CF",#N/A,FALSE,"Cash Flow";"RET",#N/A,FALSE,"Returns";"NPV",#N/A,FALSE,"Values";"ASMPT",#N/A,FALSE,"Assumptions"}</definedName>
    <definedName name="sheet2waterfall" localSheetId="24" hidden="1">{"CF",#N/A,FALSE,"Cash Flow";"RET",#N/A,FALSE,"Returns";"NPV",#N/A,FALSE,"Values";"ASMPT",#N/A,FALSE,"Assumptions"}</definedName>
    <definedName name="sheet2waterfall" localSheetId="18" hidden="1">{"CF",#N/A,FALSE,"Cash Flow";"RET",#N/A,FALSE,"Returns";"NPV",#N/A,FALSE,"Values";"ASMPT",#N/A,FALSE,"Assumptions"}</definedName>
    <definedName name="sheet2waterfall" localSheetId="25" hidden="1">{"CF",#N/A,FALSE,"Cash Flow";"RET",#N/A,FALSE,"Returns";"NPV",#N/A,FALSE,"Values";"ASMPT",#N/A,FALSE,"Assumptions"}</definedName>
    <definedName name="sheet2waterfall" hidden="1">{"CF",#N/A,FALSE,"Cash Flow";"RET",#N/A,FALSE,"Returns";"NPV",#N/A,FALSE,"Values";"ASMPT",#N/A,FALSE,"Assumptions"}</definedName>
    <definedName name="shit" localSheetId="24" hidden="1">{#N/A,#N/A,FALSE,"1Executive Summary";#N/A,#N/A,FALSE,"2Assumptions (Input)";#N/A,#N/A,FALSE,"3Cash Flow Analysis";#N/A,#N/A,FALSE,"4Year One Financial Summary";#N/A,#N/A,FALSE,"5Value Matrix";#N/A,#N/A,FALSE,"Greenline Form Page 1";#N/A,#N/A,FALSE,"Greenline Form Page 2"}</definedName>
    <definedName name="shit" localSheetId="18" hidden="1">{#N/A,#N/A,FALSE,"1Executive Summary";#N/A,#N/A,FALSE,"2Assumptions (Input)";#N/A,#N/A,FALSE,"3Cash Flow Analysis";#N/A,#N/A,FALSE,"4Year One Financial Summary";#N/A,#N/A,FALSE,"5Value Matrix";#N/A,#N/A,FALSE,"Greenline Form Page 1";#N/A,#N/A,FALSE,"Greenline Form Page 2"}</definedName>
    <definedName name="shit" localSheetId="25" hidden="1">{#N/A,#N/A,FALSE,"1Executive Summary";#N/A,#N/A,FALSE,"2Assumptions (Input)";#N/A,#N/A,FALSE,"3Cash Flow Analysis";#N/A,#N/A,FALSE,"4Year One Financial Summary";#N/A,#N/A,FALSE,"5Value Matrix";#N/A,#N/A,FALSE,"Greenline Form Page 1";#N/A,#N/A,FALSE,"Greenline Form Page 2"}</definedName>
    <definedName name="shit" hidden="1">{#N/A,#N/A,FALSE,"1Executive Summary";#N/A,#N/A,FALSE,"2Assumptions (Input)";#N/A,#N/A,FALSE,"3Cash Flow Analysis";#N/A,#N/A,FALSE,"4Year One Financial Summary";#N/A,#N/A,FALSE,"5Value Matrix";#N/A,#N/A,FALSE,"Greenline Form Page 1";#N/A,#N/A,FALSE,"Greenline Form Page 2"}</definedName>
    <definedName name="shitty" localSheetId="24" hidden="1">{#N/A,#N/A,FALSE,"1Executive Summary";#N/A,#N/A,FALSE,"2Assumptions (Input)";#N/A,#N/A,FALSE,"3Cash Flow Analysis";#N/A,#N/A,FALSE,"4Year One Financial Summary";#N/A,#N/A,FALSE,"5Value Matrix";#N/A,#N/A,FALSE,"Greenline Form Page 1";#N/A,#N/A,FALSE,"Greenline Form Page 2"}</definedName>
    <definedName name="shitty" localSheetId="18" hidden="1">{#N/A,#N/A,FALSE,"1Executive Summary";#N/A,#N/A,FALSE,"2Assumptions (Input)";#N/A,#N/A,FALSE,"3Cash Flow Analysis";#N/A,#N/A,FALSE,"4Year One Financial Summary";#N/A,#N/A,FALSE,"5Value Matrix";#N/A,#N/A,FALSE,"Greenline Form Page 1";#N/A,#N/A,FALSE,"Greenline Form Page 2"}</definedName>
    <definedName name="shitty" localSheetId="25" hidden="1">{#N/A,#N/A,FALSE,"1Executive Summary";#N/A,#N/A,FALSE,"2Assumptions (Input)";#N/A,#N/A,FALSE,"3Cash Flow Analysis";#N/A,#N/A,FALSE,"4Year One Financial Summary";#N/A,#N/A,FALSE,"5Value Matrix";#N/A,#N/A,FALSE,"Greenline Form Page 1";#N/A,#N/A,FALSE,"Greenline Form Page 2"}</definedName>
    <definedName name="shitty" hidden="1">{#N/A,#N/A,FALSE,"1Executive Summary";#N/A,#N/A,FALSE,"2Assumptions (Input)";#N/A,#N/A,FALSE,"3Cash Flow Analysis";#N/A,#N/A,FALSE,"4Year One Financial Summary";#N/A,#N/A,FALSE,"5Value Matrix";#N/A,#N/A,FALSE,"Greenline Form Page 1";#N/A,#N/A,FALSE,"Greenline Form Page 2"}</definedName>
    <definedName name="SinkFund" localSheetId="24" hidden="1">{#N/A,#N/A,FALSE,"Menu";#N/A,#N/A,FALSE,"Sch A";#N/A,#N/A,FALSE,"Print Dummy";#N/A,#N/A,FALSE,"Sch B";#N/A,#N/A,FALSE,"Sch C";#N/A,#N/A,FALSE,"Sch D";#N/A,#N/A,FALSE,"Sch E";#N/A,#N/A,FALSE,"Sch F";#N/A,#N/A,FALSE,"Sch G";#N/A,#N/A,FALSE,"Sch H";#N/A,#N/A,FALSE,"Sch I";#N/A,#N/A,FALSE,"Sch J"}</definedName>
    <definedName name="SinkFund" localSheetId="18" hidden="1">{#N/A,#N/A,FALSE,"Menu";#N/A,#N/A,FALSE,"Sch A";#N/A,#N/A,FALSE,"Print Dummy";#N/A,#N/A,FALSE,"Sch B";#N/A,#N/A,FALSE,"Sch C";#N/A,#N/A,FALSE,"Sch D";#N/A,#N/A,FALSE,"Sch E";#N/A,#N/A,FALSE,"Sch F";#N/A,#N/A,FALSE,"Sch G";#N/A,#N/A,FALSE,"Sch H";#N/A,#N/A,FALSE,"Sch I";#N/A,#N/A,FALSE,"Sch J"}</definedName>
    <definedName name="SinkFund" localSheetId="25" hidden="1">{#N/A,#N/A,FALSE,"Menu";#N/A,#N/A,FALSE,"Sch A";#N/A,#N/A,FALSE,"Print Dummy";#N/A,#N/A,FALSE,"Sch B";#N/A,#N/A,FALSE,"Sch C";#N/A,#N/A,FALSE,"Sch D";#N/A,#N/A,FALSE,"Sch E";#N/A,#N/A,FALSE,"Sch F";#N/A,#N/A,FALSE,"Sch G";#N/A,#N/A,FALSE,"Sch H";#N/A,#N/A,FALSE,"Sch I";#N/A,#N/A,FALSE,"Sch J"}</definedName>
    <definedName name="SinkFund" hidden="1">{#N/A,#N/A,FALSE,"Menu";#N/A,#N/A,FALSE,"Sch A";#N/A,#N/A,FALSE,"Print Dummy";#N/A,#N/A,FALSE,"Sch B";#N/A,#N/A,FALSE,"Sch C";#N/A,#N/A,FALSE,"Sch D";#N/A,#N/A,FALSE,"Sch E";#N/A,#N/A,FALSE,"Sch F";#N/A,#N/A,FALSE,"Sch G";#N/A,#N/A,FALSE,"Sch H";#N/A,#N/A,FALSE,"Sch I";#N/A,#N/A,FALSE,"Sch J"}</definedName>
    <definedName name="SinkingFund" localSheetId="24" hidden="1">{#N/A,#N/A,FALSE,"Menu";#N/A,#N/A,FALSE,"Sch A";#N/A,#N/A,FALSE,"Print Dummy";#N/A,#N/A,FALSE,"Sch B";#N/A,#N/A,FALSE,"Sch C";#N/A,#N/A,FALSE,"Sch D";#N/A,#N/A,FALSE,"Sch E";#N/A,#N/A,FALSE,"Sch F";#N/A,#N/A,FALSE,"Sch G";#N/A,#N/A,FALSE,"Sch H";#N/A,#N/A,FALSE,"Sch I";#N/A,#N/A,FALSE,"Sch J"}</definedName>
    <definedName name="SinkingFund" localSheetId="18" hidden="1">{#N/A,#N/A,FALSE,"Menu";#N/A,#N/A,FALSE,"Sch A";#N/A,#N/A,FALSE,"Print Dummy";#N/A,#N/A,FALSE,"Sch B";#N/A,#N/A,FALSE,"Sch C";#N/A,#N/A,FALSE,"Sch D";#N/A,#N/A,FALSE,"Sch E";#N/A,#N/A,FALSE,"Sch F";#N/A,#N/A,FALSE,"Sch G";#N/A,#N/A,FALSE,"Sch H";#N/A,#N/A,FALSE,"Sch I";#N/A,#N/A,FALSE,"Sch J"}</definedName>
    <definedName name="SinkingFund" localSheetId="25" hidden="1">{#N/A,#N/A,FALSE,"Menu";#N/A,#N/A,FALSE,"Sch A";#N/A,#N/A,FALSE,"Print Dummy";#N/A,#N/A,FALSE,"Sch B";#N/A,#N/A,FALSE,"Sch C";#N/A,#N/A,FALSE,"Sch D";#N/A,#N/A,FALSE,"Sch E";#N/A,#N/A,FALSE,"Sch F";#N/A,#N/A,FALSE,"Sch G";#N/A,#N/A,FALSE,"Sch H";#N/A,#N/A,FALSE,"Sch I";#N/A,#N/A,FALSE,"Sch J"}</definedName>
    <definedName name="SinkingFund" hidden="1">{#N/A,#N/A,FALSE,"Menu";#N/A,#N/A,FALSE,"Sch A";#N/A,#N/A,FALSE,"Print Dummy";#N/A,#N/A,FALSE,"Sch B";#N/A,#N/A,FALSE,"Sch C";#N/A,#N/A,FALSE,"Sch D";#N/A,#N/A,FALSE,"Sch E";#N/A,#N/A,FALSE,"Sch F";#N/A,#N/A,FALSE,"Sch G";#N/A,#N/A,FALSE,"Sch H";#N/A,#N/A,FALSE,"Sch I";#N/A,#N/A,FALSE,"Sch J"}</definedName>
    <definedName name="sk" localSheetId="24" hidden="1">{#N/A,#N/A,FALSE,"손익표지";#N/A,#N/A,FALSE,"손익계산";#N/A,#N/A,FALSE,"일반관리비";#N/A,#N/A,FALSE,"영업외수익";#N/A,#N/A,FALSE,"영업외비용";#N/A,#N/A,FALSE,"매출액";#N/A,#N/A,FALSE,"요약손익";#N/A,#N/A,FALSE,"요약대차";#N/A,#N/A,FALSE,"매출채권현황";#N/A,#N/A,FALSE,"매출채권명세"}</definedName>
    <definedName name="sk" localSheetId="18" hidden="1">{#N/A,#N/A,FALSE,"손익표지";#N/A,#N/A,FALSE,"손익계산";#N/A,#N/A,FALSE,"일반관리비";#N/A,#N/A,FALSE,"영업외수익";#N/A,#N/A,FALSE,"영업외비용";#N/A,#N/A,FALSE,"매출액";#N/A,#N/A,FALSE,"요약손익";#N/A,#N/A,FALSE,"요약대차";#N/A,#N/A,FALSE,"매출채권현황";#N/A,#N/A,FALSE,"매출채권명세"}</definedName>
    <definedName name="sk" localSheetId="25" hidden="1">{#N/A,#N/A,FALSE,"손익표지";#N/A,#N/A,FALSE,"손익계산";#N/A,#N/A,FALSE,"일반관리비";#N/A,#N/A,FALSE,"영업외수익";#N/A,#N/A,FALSE,"영업외비용";#N/A,#N/A,FALSE,"매출액";#N/A,#N/A,FALSE,"요약손익";#N/A,#N/A,FALSE,"요약대차";#N/A,#N/A,FALSE,"매출채권현황";#N/A,#N/A,FALSE,"매출채권명세"}</definedName>
    <definedName name="sk" hidden="1">{#N/A,#N/A,FALSE,"손익표지";#N/A,#N/A,FALSE,"손익계산";#N/A,#N/A,FALSE,"일반관리비";#N/A,#N/A,FALSE,"영업외수익";#N/A,#N/A,FALSE,"영업외비용";#N/A,#N/A,FALSE,"매출액";#N/A,#N/A,FALSE,"요약손익";#N/A,#N/A,FALSE,"요약대차";#N/A,#N/A,FALSE,"매출채권현황";#N/A,#N/A,FALSE,"매출채권명세"}</definedName>
    <definedName name="ŞK" localSheetId="24" hidden="1">{#N/A,#N/A,FALSE,"단축1";#N/A,#N/A,FALSE,"단축2";#N/A,#N/A,FALSE,"단축3";#N/A,#N/A,FALSE,"장축";#N/A,#N/A,FALSE,"4WD"}</definedName>
    <definedName name="ŞK" localSheetId="18" hidden="1">{#N/A,#N/A,FALSE,"단축1";#N/A,#N/A,FALSE,"단축2";#N/A,#N/A,FALSE,"단축3";#N/A,#N/A,FALSE,"장축";#N/A,#N/A,FALSE,"4WD"}</definedName>
    <definedName name="ŞK" localSheetId="25" hidden="1">{#N/A,#N/A,FALSE,"단축1";#N/A,#N/A,FALSE,"단축2";#N/A,#N/A,FALSE,"단축3";#N/A,#N/A,FALSE,"장축";#N/A,#N/A,FALSE,"4WD"}</definedName>
    <definedName name="ŞK" hidden="1">{#N/A,#N/A,FALSE,"단축1";#N/A,#N/A,FALSE,"단축2";#N/A,#N/A,FALSE,"단축3";#N/A,#N/A,FALSE,"장축";#N/A,#N/A,FALSE,"4WD"}</definedName>
    <definedName name="sk아카데미1" localSheetId="24" hidden="1">{#N/A,#N/A,FALSE,"이력서&amp;자기소개서"}</definedName>
    <definedName name="sk아카데미1" localSheetId="18" hidden="1">{#N/A,#N/A,FALSE,"이력서&amp;자기소개서"}</definedName>
    <definedName name="sk아카데미1" localSheetId="25" hidden="1">{#N/A,#N/A,FALSE,"이력서&amp;자기소개서"}</definedName>
    <definedName name="sk아카데미1" hidden="1">{#N/A,#N/A,FALSE,"이력서&amp;자기소개서"}</definedName>
    <definedName name="slrkjfu" localSheetId="24" hidden="1">{#N/A,#N/A,FALSE,"PropertyInfo"}</definedName>
    <definedName name="slrkjfu" localSheetId="18" hidden="1">{#N/A,#N/A,FALSE,"PropertyInfo"}</definedName>
    <definedName name="slrkjfu" localSheetId="25" hidden="1">{#N/A,#N/A,FALSE,"PropertyInfo"}</definedName>
    <definedName name="slrkjfu" hidden="1">{#N/A,#N/A,FALSE,"PropertyInfo"}</definedName>
    <definedName name="solver_cvg">0.001</definedName>
    <definedName name="solver_drv">1</definedName>
    <definedName name="solver_est">1</definedName>
    <definedName name="solver_itr">100</definedName>
    <definedName name="solver_lin">2</definedName>
    <definedName name="solver_neg">2</definedName>
    <definedName name="solver_ntri" hidden="1">1000</definedName>
    <definedName name="solver_num">0</definedName>
    <definedName name="solver_nwt">1</definedName>
    <definedName name="solver_pre">0.000001</definedName>
    <definedName name="solver_rel1">1</definedName>
    <definedName name="solver_rsmp" hidden="1">1</definedName>
    <definedName name="solver_scl">2</definedName>
    <definedName name="solver_seed" hidden="1">0</definedName>
    <definedName name="solver_sho">2</definedName>
    <definedName name="solver_tim">100</definedName>
    <definedName name="solver_tol">0.05</definedName>
    <definedName name="solver_typ">1</definedName>
    <definedName name="solver_val">0</definedName>
    <definedName name="srth" localSheetId="24" hidden="1">{"'용역비'!$A$4:$C$8"}</definedName>
    <definedName name="srth" localSheetId="18" hidden="1">{"'용역비'!$A$4:$C$8"}</definedName>
    <definedName name="srth" localSheetId="25" hidden="1">{"'용역비'!$A$4:$C$8"}</definedName>
    <definedName name="srth" hidden="1">{"'용역비'!$A$4:$C$8"}</definedName>
    <definedName name="ss">'A&amp;R'!$AM$33</definedName>
    <definedName name="SSSEE"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EE"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EE" localSheetId="25"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EE"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S"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S"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S" localSheetId="25"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S"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ss" localSheetId="24" hidden="1">{#N/A,#N/A,FALSE,"CAM-G7";#N/A,#N/A,FALSE,"SPL";#N/A,#N/A,FALSE,"butt-in G7";#N/A,#N/A,FALSE,"dia-in G7";#N/A,#N/A,FALSE,"추가-STA G7"}</definedName>
    <definedName name="sssss" localSheetId="18" hidden="1">{#N/A,#N/A,FALSE,"CAM-G7";#N/A,#N/A,FALSE,"SPL";#N/A,#N/A,FALSE,"butt-in G7";#N/A,#N/A,FALSE,"dia-in G7";#N/A,#N/A,FALSE,"추가-STA G7"}</definedName>
    <definedName name="sssss" localSheetId="25" hidden="1">{#N/A,#N/A,FALSE,"CAM-G7";#N/A,#N/A,FALSE,"SPL";#N/A,#N/A,FALSE,"butt-in G7";#N/A,#N/A,FALSE,"dia-in G7";#N/A,#N/A,FALSE,"추가-STA G7"}</definedName>
    <definedName name="sssss" hidden="1">{#N/A,#N/A,FALSE,"CAM-G7";#N/A,#N/A,FALSE,"SPL";#N/A,#N/A,FALSE,"butt-in G7";#N/A,#N/A,FALSE,"dia-in G7";#N/A,#N/A,FALSE,"추가-STA G7"}</definedName>
    <definedName name="stacking" localSheetId="24">REPORT!stacking</definedName>
    <definedName name="stacking" localSheetId="18">'Report-sj'!stacking</definedName>
    <definedName name="stacking" localSheetId="25">수정사항!stacking</definedName>
    <definedName name="stacking">[0]!stacking</definedName>
    <definedName name="stretchA" localSheetId="24" hidden="1">{#N/A,#N/A,FALSE,"Summary";#N/A,#N/A,FALSE,"GM Sum";#N/A,#N/A,FALSE,"Ext Shops";#N/A,#N/A,FALSE,"Lost Shops";#N/A,#N/A,FALSE,"Reloc Shops";#N/A,#N/A,FALSE,"Not Affected";#N/A,#N/A,FALSE,"MDbase"}</definedName>
    <definedName name="stretchA" localSheetId="18" hidden="1">{#N/A,#N/A,FALSE,"Summary";#N/A,#N/A,FALSE,"GM Sum";#N/A,#N/A,FALSE,"Ext Shops";#N/A,#N/A,FALSE,"Lost Shops";#N/A,#N/A,FALSE,"Reloc Shops";#N/A,#N/A,FALSE,"Not Affected";#N/A,#N/A,FALSE,"MDbase"}</definedName>
    <definedName name="stretchA" localSheetId="25" hidden="1">{#N/A,#N/A,FALSE,"Summary";#N/A,#N/A,FALSE,"GM Sum";#N/A,#N/A,FALSE,"Ext Shops";#N/A,#N/A,FALSE,"Lost Shops";#N/A,#N/A,FALSE,"Reloc Shops";#N/A,#N/A,FALSE,"Not Affected";#N/A,#N/A,FALSE,"MDbase"}</definedName>
    <definedName name="stretchA" hidden="1">{#N/A,#N/A,FALSE,"Summary";#N/A,#N/A,FALSE,"GM Sum";#N/A,#N/A,FALSE,"Ext Shops";#N/A,#N/A,FALSE,"Lost Shops";#N/A,#N/A,FALSE,"Reloc Shops";#N/A,#N/A,FALSE,"Not Affected";#N/A,#N/A,FALSE,"MDbase"}</definedName>
    <definedName name="StretchB" localSheetId="24" hidden="1">{#N/A,#N/A,FALSE,"Summary";#N/A,#N/A,FALSE,"Ext Shops";#N/A,#N/A,FALSE,"Lost Shops";#N/A,#N/A,FALSE,"Reloc Shops";#N/A,#N/A,FALSE,"Not Affected";#N/A,#N/A,FALSE,"MDbase"}</definedName>
    <definedName name="StretchB" localSheetId="18" hidden="1">{#N/A,#N/A,FALSE,"Summary";#N/A,#N/A,FALSE,"Ext Shops";#N/A,#N/A,FALSE,"Lost Shops";#N/A,#N/A,FALSE,"Reloc Shops";#N/A,#N/A,FALSE,"Not Affected";#N/A,#N/A,FALSE,"MDbase"}</definedName>
    <definedName name="StretchB" localSheetId="25" hidden="1">{#N/A,#N/A,FALSE,"Summary";#N/A,#N/A,FALSE,"Ext Shops";#N/A,#N/A,FALSE,"Lost Shops";#N/A,#N/A,FALSE,"Reloc Shops";#N/A,#N/A,FALSE,"Not Affected";#N/A,#N/A,FALSE,"MDbase"}</definedName>
    <definedName name="StretchB" hidden="1">{#N/A,#N/A,FALSE,"Summary";#N/A,#N/A,FALSE,"Ext Shops";#N/A,#N/A,FALSE,"Lost Shops";#N/A,#N/A,FALSE,"Reloc Shops";#N/A,#N/A,FALSE,"Not Affected";#N/A,#N/A,FALSE,"MDbase"}</definedName>
    <definedName name="StretchE" localSheetId="24" hidden="1">{#N/A,#N/A,FALSE,"Summary";#N/A,#N/A,FALSE,"Ext Shops";#N/A,#N/A,FALSE,"Lost Shops";#N/A,#N/A,FALSE,"Reloc Shops";#N/A,#N/A,FALSE,"Not Affected";#N/A,#N/A,FALSE,"MDbase"}</definedName>
    <definedName name="StretchE" localSheetId="18" hidden="1">{#N/A,#N/A,FALSE,"Summary";#N/A,#N/A,FALSE,"Ext Shops";#N/A,#N/A,FALSE,"Lost Shops";#N/A,#N/A,FALSE,"Reloc Shops";#N/A,#N/A,FALSE,"Not Affected";#N/A,#N/A,FALSE,"MDbase"}</definedName>
    <definedName name="StretchE" localSheetId="25" hidden="1">{#N/A,#N/A,FALSE,"Summary";#N/A,#N/A,FALSE,"Ext Shops";#N/A,#N/A,FALSE,"Lost Shops";#N/A,#N/A,FALSE,"Reloc Shops";#N/A,#N/A,FALSE,"Not Affected";#N/A,#N/A,FALSE,"MDbase"}</definedName>
    <definedName name="StretchE" hidden="1">{#N/A,#N/A,FALSE,"Summary";#N/A,#N/A,FALSE,"Ext Shops";#N/A,#N/A,FALSE,"Lost Shops";#N/A,#N/A,FALSE,"Reloc Shops";#N/A,#N/A,FALSE,"Not Affected";#N/A,#N/A,FALSE,"MDbase"}</definedName>
    <definedName name="STS" localSheetId="24" hidden="1">{"'용역비'!$A$4:$C$8"}</definedName>
    <definedName name="STS" localSheetId="18" hidden="1">{"'용역비'!$A$4:$C$8"}</definedName>
    <definedName name="STS" localSheetId="25" hidden="1">{"'용역비'!$A$4:$C$8"}</definedName>
    <definedName name="STS" hidden="1">{"'용역비'!$A$4:$C$8"}</definedName>
    <definedName name="sun" localSheetId="24" hidden="1">{#N/A,#N/A,FALSE,"이력서&amp;자기소개서"}</definedName>
    <definedName name="sun" localSheetId="18" hidden="1">{#N/A,#N/A,FALSE,"이력서&amp;자기소개서"}</definedName>
    <definedName name="sun" localSheetId="25" hidden="1">{#N/A,#N/A,FALSE,"이력서&amp;자기소개서"}</definedName>
    <definedName name="sun" hidden="1">{#N/A,#N/A,FALSE,"이력서&amp;자기소개서"}</definedName>
    <definedName name="t.t.t" localSheetId="24" hidden="1">{"賃貸事例比較法",#N/A,FALSE,"Sheet2";"賃貸条件",#N/A,FALSE,"Sheet2"}</definedName>
    <definedName name="t.t.t" localSheetId="18" hidden="1">{"賃貸事例比較法",#N/A,FALSE,"Sheet2";"賃貸条件",#N/A,FALSE,"Sheet2"}</definedName>
    <definedName name="t.t.t" localSheetId="25" hidden="1">{"賃貸事例比較法",#N/A,FALSE,"Sheet2";"賃貸条件",#N/A,FALSE,"Sheet2"}</definedName>
    <definedName name="t.t.t" hidden="1">{"賃貸事例比較法",#N/A,FALSE,"Sheet2";"賃貸条件",#N/A,FALSE,"Sheet2"}</definedName>
    <definedName name="ta" localSheetId="24" hidden="1">{#N/A,#N/A,FALSE,"지침";#N/A,#N/A,FALSE,"환경분석";#N/A,#N/A,FALSE,"Sheet16"}</definedName>
    <definedName name="ta" localSheetId="18" hidden="1">{#N/A,#N/A,FALSE,"지침";#N/A,#N/A,FALSE,"환경분석";#N/A,#N/A,FALSE,"Sheet16"}</definedName>
    <definedName name="ta" localSheetId="25" hidden="1">{#N/A,#N/A,FALSE,"지침";#N/A,#N/A,FALSE,"환경분석";#N/A,#N/A,FALSE,"Sheet16"}</definedName>
    <definedName name="ta" hidden="1">{#N/A,#N/A,FALSE,"지침";#N/A,#N/A,FALSE,"환경분석";#N/A,#N/A,FALSE,"Sheet16"}</definedName>
    <definedName name="tatsuya" localSheetId="24" hidden="1">{"AnnualRentRoll",#N/A,FALSE,"RentRoll"}</definedName>
    <definedName name="tatsuya" localSheetId="18" hidden="1">{"AnnualRentRoll",#N/A,FALSE,"RentRoll"}</definedName>
    <definedName name="tatsuya" localSheetId="25" hidden="1">{"AnnualRentRoll",#N/A,FALSE,"RentRoll"}</definedName>
    <definedName name="tatsuya" hidden="1">{"AnnualRentRoll",#N/A,FALSE,"RentRoll"}</definedName>
    <definedName name="tax" localSheetId="24" hidden="1">{#N/A,#N/A,TRUE,"constb"}</definedName>
    <definedName name="tax" localSheetId="18" hidden="1">{#N/A,#N/A,TRUE,"constb"}</definedName>
    <definedName name="tax" localSheetId="25" hidden="1">{#N/A,#N/A,TRUE,"constb"}</definedName>
    <definedName name="tax" hidden="1">{#N/A,#N/A,TRUE,"constb"}</definedName>
    <definedName name="tci" localSheetId="24" hidden="1">{#N/A,#N/A,FALSE,"단축1";#N/A,#N/A,FALSE,"단축2";#N/A,#N/A,FALSE,"단축3";#N/A,#N/A,FALSE,"장축";#N/A,#N/A,FALSE,"4WD"}</definedName>
    <definedName name="tci" localSheetId="18" hidden="1">{#N/A,#N/A,FALSE,"단축1";#N/A,#N/A,FALSE,"단축2";#N/A,#N/A,FALSE,"단축3";#N/A,#N/A,FALSE,"장축";#N/A,#N/A,FALSE,"4WD"}</definedName>
    <definedName name="tci" localSheetId="25" hidden="1">{#N/A,#N/A,FALSE,"단축1";#N/A,#N/A,FALSE,"단축2";#N/A,#N/A,FALSE,"단축3";#N/A,#N/A,FALSE,"장축";#N/A,#N/A,FALSE,"4WD"}</definedName>
    <definedName name="tci" hidden="1">{#N/A,#N/A,FALSE,"단축1";#N/A,#N/A,FALSE,"단축2";#N/A,#N/A,FALSE,"단축3";#N/A,#N/A,FALSE,"장축";#N/A,#N/A,FALSE,"4WD"}</definedName>
    <definedName name="temp2" localSheetId="24" hidden="1">{"summary",#N/A,TRUE,"Focus";"interestexpense",#N/A,TRUE,"Focus";"interestincome",#N/A,TRUE,"Focus";"dividend",#N/A,TRUE,"Focus";"feeincome",#N/A,TRUE,"Focus";"gain",#N/A,TRUE,"Focus"}</definedName>
    <definedName name="temp2" localSheetId="18" hidden="1">{"summary",#N/A,TRUE,"Focus";"interestexpense",#N/A,TRUE,"Focus";"interestincome",#N/A,TRUE,"Focus";"dividend",#N/A,TRUE,"Focus";"feeincome",#N/A,TRUE,"Focus";"gain",#N/A,TRUE,"Focus"}</definedName>
    <definedName name="temp2" localSheetId="25" hidden="1">{"summary",#N/A,TRUE,"Focus";"interestexpense",#N/A,TRUE,"Focus";"interestincome",#N/A,TRUE,"Focus";"dividend",#N/A,TRUE,"Focus";"feeincome",#N/A,TRUE,"Focus";"gain",#N/A,TRUE,"Focus"}</definedName>
    <definedName name="temp2" hidden="1">{"summary",#N/A,TRUE,"Focus";"interestexpense",#N/A,TRUE,"Focus";"interestincome",#N/A,TRUE,"Focus";"dividend",#N/A,TRUE,"Focus";"feeincome",#N/A,TRUE,"Focus";"gain",#N/A,TRUE,"Focus"}</definedName>
    <definedName name="TextRefCopyRangeCount">1</definedName>
    <definedName name="TextRefCopyRangeCount_1" hidden="1">20</definedName>
    <definedName name="TEYJ" localSheetId="24" hidden="1">{"'용역비'!$A$4:$C$8"}</definedName>
    <definedName name="TEYJ" localSheetId="18" hidden="1">{"'용역비'!$A$4:$C$8"}</definedName>
    <definedName name="TEYJ" localSheetId="25" hidden="1">{"'용역비'!$A$4:$C$8"}</definedName>
    <definedName name="TEYJ" hidden="1">{"'용역비'!$A$4:$C$8"}</definedName>
    <definedName name="TFF" localSheetId="24" hidden="1">{"AJD",#N/A,TRUE,"Summary";"AJD",#N/A,TRUE,"CFCONC-outputs";"AJD",#N/A,TRUE,"P&amp;LCONC-outputs";"AJD",#N/A,TRUE,"BSCONC-outputs";"AJD",#N/A,TRUE,"FSCONC-outputs"}</definedName>
    <definedName name="TFF" localSheetId="18" hidden="1">{"AJD",#N/A,TRUE,"Summary";"AJD",#N/A,TRUE,"CFCONC-outputs";"AJD",#N/A,TRUE,"P&amp;LCONC-outputs";"AJD",#N/A,TRUE,"BSCONC-outputs";"AJD",#N/A,TRUE,"FSCONC-outputs"}</definedName>
    <definedName name="TFF" localSheetId="25" hidden="1">{"AJD",#N/A,TRUE,"Summary";"AJD",#N/A,TRUE,"CFCONC-outputs";"AJD",#N/A,TRUE,"P&amp;LCONC-outputs";"AJD",#N/A,TRUE,"BSCONC-outputs";"AJD",#N/A,TRUE,"FSCONC-outputs"}</definedName>
    <definedName name="TFF" hidden="1">{"AJD",#N/A,TRUE,"Summary";"AJD",#N/A,TRUE,"CFCONC-outputs";"AJD",#N/A,TRUE,"P&amp;LCONC-outputs";"AJD",#N/A,TRUE,"BSCONC-outputs";"AJD",#N/A,TRUE,"FSCONC-outputs"}</definedName>
    <definedName name="TFor" localSheetId="24"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TFor" localSheetId="18"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TFor" localSheetId="25"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TFor"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TFUI" localSheetId="24" hidden="1">{"'용역비'!$A$4:$C$8"}</definedName>
    <definedName name="TFUI" localSheetId="18" hidden="1">{"'용역비'!$A$4:$C$8"}</definedName>
    <definedName name="TFUI" localSheetId="25" hidden="1">{"'용역비'!$A$4:$C$8"}</definedName>
    <definedName name="TFUI" hidden="1">{"'용역비'!$A$4:$C$8"}</definedName>
    <definedName name="tk" localSheetId="24" hidden="1">{#N/A,#N/A,FALSE,"견적갑지";#N/A,#N/A,FALSE,"총괄표";#N/A,#N/A,FALSE,"철골공사";#N/A,#N/A,FALSE,"토목공사";#N/A,#N/A,FALSE,"판넬전기공사"}</definedName>
    <definedName name="tk" localSheetId="18" hidden="1">{#N/A,#N/A,FALSE,"견적갑지";#N/A,#N/A,FALSE,"총괄표";#N/A,#N/A,FALSE,"철골공사";#N/A,#N/A,FALSE,"토목공사";#N/A,#N/A,FALSE,"판넬전기공사"}</definedName>
    <definedName name="tk" localSheetId="25" hidden="1">{#N/A,#N/A,FALSE,"견적갑지";#N/A,#N/A,FALSE,"총괄표";#N/A,#N/A,FALSE,"철골공사";#N/A,#N/A,FALSE,"토목공사";#N/A,#N/A,FALSE,"판넬전기공사"}</definedName>
    <definedName name="tk" hidden="1">{#N/A,#N/A,FALSE,"견적갑지";#N/A,#N/A,FALSE,"총괄표";#N/A,#N/A,FALSE,"철골공사";#N/A,#N/A,FALSE,"토목공사";#N/A,#N/A,FALSE,"판넬전기공사"}</definedName>
    <definedName name="TKTKTK" localSheetId="24" hidden="1">{"'미착금액'!$A$4:$G$14"}</definedName>
    <definedName name="TKTKTK" localSheetId="18" hidden="1">{"'미착금액'!$A$4:$G$14"}</definedName>
    <definedName name="TKTKTK" localSheetId="25" hidden="1">{"'미착금액'!$A$4:$G$14"}</definedName>
    <definedName name="TKTKTK" hidden="1">{"'미착금액'!$A$4:$G$14"}</definedName>
    <definedName name="tlxm1" localSheetId="24" hidden="1">{#N/A,#N/A,TRUE,"대 차 대 조 표"}</definedName>
    <definedName name="tlxm1" localSheetId="18" hidden="1">{#N/A,#N/A,TRUE,"대 차 대 조 표"}</definedName>
    <definedName name="tlxm1" localSheetId="25" hidden="1">{#N/A,#N/A,TRUE,"대 차 대 조 표"}</definedName>
    <definedName name="tlxm1" hidden="1">{#N/A,#N/A,TRUE,"대 차 대 조 표"}</definedName>
    <definedName name="tn" localSheetId="24" hidden="1">{#N/A,#N/A,FALSE,"견적갑지";#N/A,#N/A,FALSE,"총괄표";#N/A,#N/A,FALSE,"철골공사";#N/A,#N/A,FALSE,"토목공사";#N/A,#N/A,FALSE,"판넬전기공사"}</definedName>
    <definedName name="tn" localSheetId="18" hidden="1">{#N/A,#N/A,FALSE,"견적갑지";#N/A,#N/A,FALSE,"총괄표";#N/A,#N/A,FALSE,"철골공사";#N/A,#N/A,FALSE,"토목공사";#N/A,#N/A,FALSE,"판넬전기공사"}</definedName>
    <definedName name="tn" localSheetId="25" hidden="1">{#N/A,#N/A,FALSE,"견적갑지";#N/A,#N/A,FALSE,"총괄표";#N/A,#N/A,FALSE,"철골공사";#N/A,#N/A,FALSE,"토목공사";#N/A,#N/A,FALSE,"판넬전기공사"}</definedName>
    <definedName name="tn" hidden="1">{#N/A,#N/A,FALSE,"견적갑지";#N/A,#N/A,FALSE,"총괄표";#N/A,#N/A,FALSE,"철골공사";#N/A,#N/A,FALSE,"토목공사";#N/A,#N/A,FALSE,"판넬전기공사"}</definedName>
    <definedName name="topprioritykawawto" localSheetId="24" hidden="1">{#N/A,#N/A,FALSE,"Categories";#N/A,#N/A,FALSE,"MRi INCH";#N/A,#N/A,FALSE,"COA Usage";#N/A,#N/A,FALSE,"Detail"}</definedName>
    <definedName name="topprioritykawawto" localSheetId="18" hidden="1">{#N/A,#N/A,FALSE,"Categories";#N/A,#N/A,FALSE,"MRi INCH";#N/A,#N/A,FALSE,"COA Usage";#N/A,#N/A,FALSE,"Detail"}</definedName>
    <definedName name="topprioritykawawto" localSheetId="25" hidden="1">{#N/A,#N/A,FALSE,"Categories";#N/A,#N/A,FALSE,"MRi INCH";#N/A,#N/A,FALSE,"COA Usage";#N/A,#N/A,FALSE,"Detail"}</definedName>
    <definedName name="topprioritykawawto" hidden="1">{#N/A,#N/A,FALSE,"Categories";#N/A,#N/A,FALSE,"MRi INCH";#N/A,#N/A,FALSE,"COA Usage";#N/A,#N/A,FALSE,"Detail"}</definedName>
    <definedName name="TORSION" localSheetId="24" hidden="1">{#N/A,#N/A,FALSE,"단축1";#N/A,#N/A,FALSE,"단축2";#N/A,#N/A,FALSE,"단축3";#N/A,#N/A,FALSE,"장축";#N/A,#N/A,FALSE,"4WD"}</definedName>
    <definedName name="TORSION" localSheetId="18" hidden="1">{#N/A,#N/A,FALSE,"단축1";#N/A,#N/A,FALSE,"단축2";#N/A,#N/A,FALSE,"단축3";#N/A,#N/A,FALSE,"장축";#N/A,#N/A,FALSE,"4WD"}</definedName>
    <definedName name="TORSION" localSheetId="25" hidden="1">{#N/A,#N/A,FALSE,"단축1";#N/A,#N/A,FALSE,"단축2";#N/A,#N/A,FALSE,"단축3";#N/A,#N/A,FALSE,"장축";#N/A,#N/A,FALSE,"4WD"}</definedName>
    <definedName name="TORSION" hidden="1">{#N/A,#N/A,FALSE,"단축1";#N/A,#N/A,FALSE,"단축2";#N/A,#N/A,FALSE,"단축3";#N/A,#N/A,FALSE,"장축";#N/A,#N/A,FALSE,"4WD"}</definedName>
    <definedName name="towa" localSheetId="24" hidden="1">{"ｹﾝﾄ（M)",#N/A,FALSE,"収支・日割";"ｹﾝﾄ（RD)",#N/A,FALSE,"収支・日割";"ｹﾝﾄ（PMC)",#N/A,FALSE,"収支・日割"}</definedName>
    <definedName name="towa" localSheetId="18" hidden="1">{"ｹﾝﾄ（M)",#N/A,FALSE,"収支・日割";"ｹﾝﾄ（RD)",#N/A,FALSE,"収支・日割";"ｹﾝﾄ（PMC)",#N/A,FALSE,"収支・日割"}</definedName>
    <definedName name="towa" localSheetId="25" hidden="1">{"ｹﾝﾄ（M)",#N/A,FALSE,"収支・日割";"ｹﾝﾄ（RD)",#N/A,FALSE,"収支・日割";"ｹﾝﾄ（PMC)",#N/A,FALSE,"収支・日割"}</definedName>
    <definedName name="towa" hidden="1">{"ｹﾝﾄ（M)",#N/A,FALSE,"収支・日割";"ｹﾝﾄ（RD)",#N/A,FALSE,"収支・日割";"ｹﾝﾄ（PMC)",#N/A,FALSE,"収支・日割"}</definedName>
    <definedName name="trial" localSheetId="24" hidden="1">{"Outflow 1",#N/A,FALSE,"Outflows-Inflows";"Outflow 2",#N/A,FALSE,"Outflows-Inflows";"Inflow 1",#N/A,FALSE,"Outflows-Inflows";"Inflow 2",#N/A,FALSE,"Outflows-Inflows"}</definedName>
    <definedName name="trial" localSheetId="18" hidden="1">{"Outflow 1",#N/A,FALSE,"Outflows-Inflows";"Outflow 2",#N/A,FALSE,"Outflows-Inflows";"Inflow 1",#N/A,FALSE,"Outflows-Inflows";"Inflow 2",#N/A,FALSE,"Outflows-Inflows"}</definedName>
    <definedName name="trial" localSheetId="25" hidden="1">{"Outflow 1",#N/A,FALSE,"Outflows-Inflows";"Outflow 2",#N/A,FALSE,"Outflows-Inflows";"Inflow 1",#N/A,FALSE,"Outflows-Inflows";"Inflow 2",#N/A,FALSE,"Outflows-Inflows"}</definedName>
    <definedName name="trial" hidden="1">{"Outflow 1",#N/A,FALSE,"Outflows-Inflows";"Outflow 2",#N/A,FALSE,"Outflows-Inflows";"Inflow 1",#N/A,FALSE,"Outflows-Inflows";"Inflow 2",#N/A,FALSE,"Outflows-Inflows"}</definedName>
    <definedName name="trtr" localSheetId="24" hidden="1">{"ELECT JOURNAL 1",#N/A,FALSE,"ELECTRICITY";"ELECT JOURNAL 2",#N/A,FALSE,"ELECTRICITY";"ELECT SCHEDULE",#N/A,FALSE,"ELECTRICITY";"WORKSHEET",#N/A,FALSE,"ELECTRICITY"}</definedName>
    <definedName name="trtr" localSheetId="18" hidden="1">{"ELECT JOURNAL 1",#N/A,FALSE,"ELECTRICITY";"ELECT JOURNAL 2",#N/A,FALSE,"ELECTRICITY";"ELECT SCHEDULE",#N/A,FALSE,"ELECTRICITY";"WORKSHEET",#N/A,FALSE,"ELECTRICITY"}</definedName>
    <definedName name="trtr" localSheetId="25" hidden="1">{"ELECT JOURNAL 1",#N/A,FALSE,"ELECTRICITY";"ELECT JOURNAL 2",#N/A,FALSE,"ELECTRICITY";"ELECT SCHEDULE",#N/A,FALSE,"ELECTRICITY";"WORKSHEET",#N/A,FALSE,"ELECTRICITY"}</definedName>
    <definedName name="trtr" hidden="1">{"ELECT JOURNAL 1",#N/A,FALSE,"ELECTRICITY";"ELECT JOURNAL 2",#N/A,FALSE,"ELECTRICITY";"ELECT SCHEDULE",#N/A,FALSE,"ELECTRICITY";"WORKSHEET",#N/A,FALSE,"ELECTRICITY"}</definedName>
    <definedName name="TT" localSheetId="24" hidden="1">{#N/A,#N/A,FALSE,"단축1";#N/A,#N/A,FALSE,"단축2";#N/A,#N/A,FALSE,"단축3";#N/A,#N/A,FALSE,"장축";#N/A,#N/A,FALSE,"4WD"}</definedName>
    <definedName name="TT" localSheetId="18" hidden="1">{#N/A,#N/A,FALSE,"단축1";#N/A,#N/A,FALSE,"단축2";#N/A,#N/A,FALSE,"단축3";#N/A,#N/A,FALSE,"장축";#N/A,#N/A,FALSE,"4WD"}</definedName>
    <definedName name="TT" localSheetId="25" hidden="1">{#N/A,#N/A,FALSE,"단축1";#N/A,#N/A,FALSE,"단축2";#N/A,#N/A,FALSE,"단축3";#N/A,#N/A,FALSE,"장축";#N/A,#N/A,FALSE,"4WD"}</definedName>
    <definedName name="TT" hidden="1">{#N/A,#N/A,FALSE,"단축1";#N/A,#N/A,FALSE,"단축2";#N/A,#N/A,FALSE,"단축3";#N/A,#N/A,FALSE,"장축";#N/A,#N/A,FALSE,"4WD"}</definedName>
    <definedName name="ttt" localSheetId="24" hidden="1">{#N/A,#N/A,FALSE,"단축1";#N/A,#N/A,FALSE,"단축2";#N/A,#N/A,FALSE,"단축3";#N/A,#N/A,FALSE,"장축";#N/A,#N/A,FALSE,"4WD"}</definedName>
    <definedName name="ttt" localSheetId="18" hidden="1">{#N/A,#N/A,FALSE,"단축1";#N/A,#N/A,FALSE,"단축2";#N/A,#N/A,FALSE,"단축3";#N/A,#N/A,FALSE,"장축";#N/A,#N/A,FALSE,"4WD"}</definedName>
    <definedName name="ttt" localSheetId="25" hidden="1">{#N/A,#N/A,FALSE,"단축1";#N/A,#N/A,FALSE,"단축2";#N/A,#N/A,FALSE,"단축3";#N/A,#N/A,FALSE,"장축";#N/A,#N/A,FALSE,"4WD"}</definedName>
    <definedName name="ttt" hidden="1">{#N/A,#N/A,FALSE,"단축1";#N/A,#N/A,FALSE,"단축2";#N/A,#N/A,FALSE,"단축3";#N/A,#N/A,FALSE,"장축";#N/A,#N/A,FALSE,"4WD"}</definedName>
    <definedName name="ttttt" localSheetId="24" hidden="1">{#N/A,#N/A,FALSE,"지침";#N/A,#N/A,FALSE,"환경분석";#N/A,#N/A,FALSE,"Sheet16"}</definedName>
    <definedName name="ttttt" localSheetId="18" hidden="1">{#N/A,#N/A,FALSE,"지침";#N/A,#N/A,FALSE,"환경분석";#N/A,#N/A,FALSE,"Sheet16"}</definedName>
    <definedName name="ttttt" localSheetId="25" hidden="1">{#N/A,#N/A,FALSE,"지침";#N/A,#N/A,FALSE,"환경분석";#N/A,#N/A,FALSE,"Sheet16"}</definedName>
    <definedName name="ttttt" hidden="1">{#N/A,#N/A,FALSE,"지침";#N/A,#N/A,FALSE,"환경분석";#N/A,#N/A,FALSE,"Sheet16"}</definedName>
    <definedName name="tttttt" localSheetId="24" hidden="1">{"ｹﾝﾄ（M)",#N/A,FALSE,"収支・日割";"ｹﾝﾄ（RD)",#N/A,FALSE,"収支・日割";"ｹﾝﾄ（PMC)",#N/A,FALSE,"収支・日割"}</definedName>
    <definedName name="tttttt" localSheetId="18" hidden="1">{"ｹﾝﾄ（M)",#N/A,FALSE,"収支・日割";"ｹﾝﾄ（RD)",#N/A,FALSE,"収支・日割";"ｹﾝﾄ（PMC)",#N/A,FALSE,"収支・日割"}</definedName>
    <definedName name="tttttt" localSheetId="25" hidden="1">{"ｹﾝﾄ（M)",#N/A,FALSE,"収支・日割";"ｹﾝﾄ（RD)",#N/A,FALSE,"収支・日割";"ｹﾝﾄ（PMC)",#N/A,FALSE,"収支・日割"}</definedName>
    <definedName name="tttttt" hidden="1">{"ｹﾝﾄ（M)",#N/A,FALSE,"収支・日割";"ｹﾝﾄ（RD)",#N/A,FALSE,"収支・日割";"ｹﾝﾄ（PMC)",#N/A,FALSE,"収支・日割"}</definedName>
    <definedName name="tu" localSheetId="24" hidden="1">{"'용역비'!$A$4:$C$8"}</definedName>
    <definedName name="tu" localSheetId="18" hidden="1">{"'용역비'!$A$4:$C$8"}</definedName>
    <definedName name="tu" localSheetId="25" hidden="1">{"'용역비'!$A$4:$C$8"}</definedName>
    <definedName name="tu" hidden="1">{"'용역비'!$A$4:$C$8"}</definedName>
    <definedName name="tuilol" localSheetId="24" hidden="1">{"'용역비'!$A$4:$C$8"}</definedName>
    <definedName name="tuilol" localSheetId="18" hidden="1">{"'용역비'!$A$4:$C$8"}</definedName>
    <definedName name="tuilol" localSheetId="25" hidden="1">{"'용역비'!$A$4:$C$8"}</definedName>
    <definedName name="tuilol" hidden="1">{"'용역비'!$A$4:$C$8"}</definedName>
    <definedName name="TUIO" localSheetId="24" hidden="1">{"'용역비'!$A$4:$C$8"}</definedName>
    <definedName name="TUIO" localSheetId="18" hidden="1">{"'용역비'!$A$4:$C$8"}</definedName>
    <definedName name="TUIO" localSheetId="25" hidden="1">{"'용역비'!$A$4:$C$8"}</definedName>
    <definedName name="TUIO" hidden="1">{"'용역비'!$A$4:$C$8"}</definedName>
    <definedName name="TUIO.L" localSheetId="24" hidden="1">{"'용역비'!$A$4:$C$8"}</definedName>
    <definedName name="TUIO.L" localSheetId="18" hidden="1">{"'용역비'!$A$4:$C$8"}</definedName>
    <definedName name="TUIO.L" localSheetId="25" hidden="1">{"'용역비'!$A$4:$C$8"}</definedName>
    <definedName name="TUIO.L" hidden="1">{"'용역비'!$A$4:$C$8"}</definedName>
    <definedName name="TUIOTUI" localSheetId="24" hidden="1">{"'용역비'!$A$4:$C$8"}</definedName>
    <definedName name="TUIOTUI" localSheetId="18" hidden="1">{"'용역비'!$A$4:$C$8"}</definedName>
    <definedName name="TUIOTUI" localSheetId="25" hidden="1">{"'용역비'!$A$4:$C$8"}</definedName>
    <definedName name="TUIOTUI" hidden="1">{"'용역비'!$A$4:$C$8"}</definedName>
    <definedName name="TYF" localSheetId="24" hidden="1">{#N/A,#N/A,FALSE,"동부"}</definedName>
    <definedName name="TYF" localSheetId="18" hidden="1">{#N/A,#N/A,FALSE,"동부"}</definedName>
    <definedName name="TYF" localSheetId="25" hidden="1">{#N/A,#N/A,FALSE,"동부"}</definedName>
    <definedName name="TYF" hidden="1">{#N/A,#N/A,FALSE,"동부"}</definedName>
    <definedName name="TYFHF" localSheetId="24" hidden="1">{#N/A,#N/A,TRUE,"대 차 대 조 표"}</definedName>
    <definedName name="TYFHF" localSheetId="18" hidden="1">{#N/A,#N/A,TRUE,"대 차 대 조 표"}</definedName>
    <definedName name="TYFHF" localSheetId="25" hidden="1">{#N/A,#N/A,TRUE,"대 차 대 조 표"}</definedName>
    <definedName name="TYFHF" hidden="1">{#N/A,#N/A,TRUE,"대 차 대 조 표"}</definedName>
    <definedName name="TYJ" localSheetId="24" hidden="1">{"'용역비'!$A$4:$C$8"}</definedName>
    <definedName name="TYJ" localSheetId="18" hidden="1">{"'용역비'!$A$4:$C$8"}</definedName>
    <definedName name="TYJ" localSheetId="25" hidden="1">{"'용역비'!$A$4:$C$8"}</definedName>
    <definedName name="TYJ" hidden="1">{"'용역비'!$A$4:$C$8"}</definedName>
    <definedName name="tyje" localSheetId="24" hidden="1">{"'용역비'!$A$4:$C$8"}</definedName>
    <definedName name="tyje" localSheetId="18" hidden="1">{"'용역비'!$A$4:$C$8"}</definedName>
    <definedName name="tyje" localSheetId="25" hidden="1">{"'용역비'!$A$4:$C$8"}</definedName>
    <definedName name="tyje" hidden="1">{"'용역비'!$A$4:$C$8"}</definedName>
    <definedName name="tyjet" localSheetId="24" hidden="1">{"'용역비'!$A$4:$C$8"}</definedName>
    <definedName name="tyjet" localSheetId="18" hidden="1">{"'용역비'!$A$4:$C$8"}</definedName>
    <definedName name="tyjet" localSheetId="25" hidden="1">{"'용역비'!$A$4:$C$8"}</definedName>
    <definedName name="tyjet" hidden="1">{"'용역비'!$A$4:$C$8"}</definedName>
    <definedName name="tyu" localSheetId="24" hidden="1">{"'용역비'!$A$4:$C$8"}</definedName>
    <definedName name="tyu" localSheetId="18" hidden="1">{"'용역비'!$A$4:$C$8"}</definedName>
    <definedName name="tyu" localSheetId="25" hidden="1">{"'용역비'!$A$4:$C$8"}</definedName>
    <definedName name="tyu" hidden="1">{"'용역비'!$A$4:$C$8"}</definedName>
    <definedName name="U" localSheetId="24" hidden="1">{"'용역비'!$A$4:$C$8"}</definedName>
    <definedName name="U" localSheetId="18" hidden="1">{"'용역비'!$A$4:$C$8"}</definedName>
    <definedName name="U" localSheetId="25" hidden="1">{"'용역비'!$A$4:$C$8"}</definedName>
    <definedName name="U" hidden="1">{"'용역비'!$A$4:$C$8"}</definedName>
    <definedName name="ulo" localSheetId="24" hidden="1">{"'용역비'!$A$4:$C$8"}</definedName>
    <definedName name="ulo" localSheetId="18" hidden="1">{"'용역비'!$A$4:$C$8"}</definedName>
    <definedName name="ulo" localSheetId="25" hidden="1">{"'용역비'!$A$4:$C$8"}</definedName>
    <definedName name="ulo" hidden="1">{"'용역비'!$A$4:$C$8"}</definedName>
    <definedName name="UNI_FILT_OFFSPEC">2</definedName>
    <definedName name="UNI_FILT_ONSPEC">1</definedName>
    <definedName name="UNI_NOTHING">0</definedName>
    <definedName name="UNI_PRES_FILTER">1</definedName>
    <definedName name="UNI_PRES_HEADINGS">16</definedName>
    <definedName name="UNI_PRES_INVERT">2</definedName>
    <definedName name="UNI_PRES_MATRIX">4</definedName>
    <definedName name="UNI_PRES_MERGED">8</definedName>
    <definedName name="UNI_PRES_OUTLIERS">32</definedName>
    <definedName name="UNI_RET_ATTRIB">64</definedName>
    <definedName name="UNI_RET_CONF">32</definedName>
    <definedName name="UNI_RET_DESC">4</definedName>
    <definedName name="UNI_RET_EQUIP">1</definedName>
    <definedName name="UNI_RET_OFFSPEC">512</definedName>
    <definedName name="UNI_RET_ONSPEC">256</definedName>
    <definedName name="UNI_RET_PROP">32</definedName>
    <definedName name="UNI_RET_PROPDESC">64</definedName>
    <definedName name="UNI_RET_SMPLPNT">4</definedName>
    <definedName name="UNI_RET_SPECMAX">2048</definedName>
    <definedName name="UNI_RET_SPECMIN">1024</definedName>
    <definedName name="UNI_RET_TAG">1</definedName>
    <definedName name="UNI_RET_TESTTIME">128</definedName>
    <definedName name="UNI_RET_TIME">8</definedName>
    <definedName name="UNI_RET_UNIT">2</definedName>
    <definedName name="UNI_RET_VALUE">16</definedName>
    <definedName name="up" localSheetId="24" hidden="1">{#N/A,#N/A,FALSE,"지침";#N/A,#N/A,FALSE,"환경분석";#N/A,#N/A,FALSE,"Sheet16"}</definedName>
    <definedName name="up" localSheetId="18" hidden="1">{#N/A,#N/A,FALSE,"지침";#N/A,#N/A,FALSE,"환경분석";#N/A,#N/A,FALSE,"Sheet16"}</definedName>
    <definedName name="up" localSheetId="25" hidden="1">{#N/A,#N/A,FALSE,"지침";#N/A,#N/A,FALSE,"환경분석";#N/A,#N/A,FALSE,"Sheet16"}</definedName>
    <definedName name="up" hidden="1">{#N/A,#N/A,FALSE,"지침";#N/A,#N/A,FALSE,"환경분석";#N/A,#N/A,FALSE,"Sheet16"}</definedName>
    <definedName name="UTI" localSheetId="24" hidden="1">{"'용역비'!$A$4:$C$8"}</definedName>
    <definedName name="UTI" localSheetId="18" hidden="1">{"'용역비'!$A$4:$C$8"}</definedName>
    <definedName name="UTI" localSheetId="25" hidden="1">{"'용역비'!$A$4:$C$8"}</definedName>
    <definedName name="UTI" hidden="1">{"'용역비'!$A$4:$C$8"}</definedName>
    <definedName name="UTIOL" localSheetId="24" hidden="1">{"'용역비'!$A$4:$C$8"}</definedName>
    <definedName name="UTIOL" localSheetId="18" hidden="1">{"'용역비'!$A$4:$C$8"}</definedName>
    <definedName name="UTIOL" localSheetId="25" hidden="1">{"'용역비'!$A$4:$C$8"}</definedName>
    <definedName name="UTIOL" hidden="1">{"'용역비'!$A$4:$C$8"}</definedName>
    <definedName name="UUUEYTRYTRYTYTR" localSheetId="24" hidden="1">{"AJD",#N/A,TRUE,"Summary";"AJD",#N/A,TRUE,"CFCONC-outputs";"AJD",#N/A,TRUE,"P&amp;LCONC-outputs";"AJD",#N/A,TRUE,"BSCONC-outputs";"AJD",#N/A,TRUE,"FSCONC-outputs"}</definedName>
    <definedName name="UUUEYTRYTRYTYTR" localSheetId="18" hidden="1">{"AJD",#N/A,TRUE,"Summary";"AJD",#N/A,TRUE,"CFCONC-outputs";"AJD",#N/A,TRUE,"P&amp;LCONC-outputs";"AJD",#N/A,TRUE,"BSCONC-outputs";"AJD",#N/A,TRUE,"FSCONC-outputs"}</definedName>
    <definedName name="UUUEYTRYTRYTYTR" localSheetId="25" hidden="1">{"AJD",#N/A,TRUE,"Summary";"AJD",#N/A,TRUE,"CFCONC-outputs";"AJD",#N/A,TRUE,"P&amp;LCONC-outputs";"AJD",#N/A,TRUE,"BSCONC-outputs";"AJD",#N/A,TRUE,"FSCONC-outputs"}</definedName>
    <definedName name="UUUEYTRYTRYTYTR" hidden="1">{"AJD",#N/A,TRUE,"Summary";"AJD",#N/A,TRUE,"CFCONC-outputs";"AJD",#N/A,TRUE,"P&amp;LCONC-outputs";"AJD",#N/A,TRUE,"BSCONC-outputs";"AJD",#N/A,TRUE,"FSCONC-outputs"}</definedName>
    <definedName name="uuuu" localSheetId="24" hidden="1">{#N/A,#N/A,FALSE,"BS";#N/A,#N/A,FALSE,"PL";#N/A,#N/A,FALSE,"A";#N/A,#N/A,FALSE,"B";#N/A,#N/A,FALSE,"B1";#N/A,#N/A,FALSE,"C";#N/A,#N/A,FALSE,"C1";#N/A,#N/A,FALSE,"C2";#N/A,#N/A,FALSE,"D";#N/A,#N/A,FALSE,"E";#N/A,#N/A,FALSE,"F";#N/A,#N/A,FALSE,"AA";#N/A,#N/A,FALSE,"BB";#N/A,#N/A,FALSE,"CC";#N/A,#N/A,FALSE,"DD";#N/A,#N/A,FALSE,"EE";#N/A,#N/A,FALSE,"FF";#N/A,#N/A,FALSE,"PL10";#N/A,#N/A,FALSE,"PL20";#N/A,#N/A,FALSE,"PL30"}</definedName>
    <definedName name="uuuu" localSheetId="18" hidden="1">{#N/A,#N/A,FALSE,"BS";#N/A,#N/A,FALSE,"PL";#N/A,#N/A,FALSE,"A";#N/A,#N/A,FALSE,"B";#N/A,#N/A,FALSE,"B1";#N/A,#N/A,FALSE,"C";#N/A,#N/A,FALSE,"C1";#N/A,#N/A,FALSE,"C2";#N/A,#N/A,FALSE,"D";#N/A,#N/A,FALSE,"E";#N/A,#N/A,FALSE,"F";#N/A,#N/A,FALSE,"AA";#N/A,#N/A,FALSE,"BB";#N/A,#N/A,FALSE,"CC";#N/A,#N/A,FALSE,"DD";#N/A,#N/A,FALSE,"EE";#N/A,#N/A,FALSE,"FF";#N/A,#N/A,FALSE,"PL10";#N/A,#N/A,FALSE,"PL20";#N/A,#N/A,FALSE,"PL30"}</definedName>
    <definedName name="uuuu" localSheetId="25" hidden="1">{#N/A,#N/A,FALSE,"BS";#N/A,#N/A,FALSE,"PL";#N/A,#N/A,FALSE,"A";#N/A,#N/A,FALSE,"B";#N/A,#N/A,FALSE,"B1";#N/A,#N/A,FALSE,"C";#N/A,#N/A,FALSE,"C1";#N/A,#N/A,FALSE,"C2";#N/A,#N/A,FALSE,"D";#N/A,#N/A,FALSE,"E";#N/A,#N/A,FALSE,"F";#N/A,#N/A,FALSE,"AA";#N/A,#N/A,FALSE,"BB";#N/A,#N/A,FALSE,"CC";#N/A,#N/A,FALSE,"DD";#N/A,#N/A,FALSE,"EE";#N/A,#N/A,FALSE,"FF";#N/A,#N/A,FALSE,"PL10";#N/A,#N/A,FALSE,"PL20";#N/A,#N/A,FALSE,"PL30"}</definedName>
    <definedName name="uuuu" hidden="1">{#N/A,#N/A,FALSE,"BS";#N/A,#N/A,FALSE,"PL";#N/A,#N/A,FALSE,"A";#N/A,#N/A,FALSE,"B";#N/A,#N/A,FALSE,"B1";#N/A,#N/A,FALSE,"C";#N/A,#N/A,FALSE,"C1";#N/A,#N/A,FALSE,"C2";#N/A,#N/A,FALSE,"D";#N/A,#N/A,FALSE,"E";#N/A,#N/A,FALSE,"F";#N/A,#N/A,FALSE,"AA";#N/A,#N/A,FALSE,"BB";#N/A,#N/A,FALSE,"CC";#N/A,#N/A,FALSE,"DD";#N/A,#N/A,FALSE,"EE";#N/A,#N/A,FALSE,"FF";#N/A,#N/A,FALSE,"PL10";#N/A,#N/A,FALSE,"PL20";#N/A,#N/A,FALSE,"PL30"}</definedName>
    <definedName name="UYUUTUTYUE" localSheetId="24" hidden="1">{"AJD",#N/A,TRUE,"Summary";"AJD",#N/A,TRUE,"CFCONC-outputs";"AJD",#N/A,TRUE,"P&amp;LCONC-outputs";"AJD",#N/A,TRUE,"BSCONC-outputs";"AJD",#N/A,TRUE,"FSCONC-outputs"}</definedName>
    <definedName name="UYUUTUTYUE" localSheetId="18" hidden="1">{"AJD",#N/A,TRUE,"Summary";"AJD",#N/A,TRUE,"CFCONC-outputs";"AJD",#N/A,TRUE,"P&amp;LCONC-outputs";"AJD",#N/A,TRUE,"BSCONC-outputs";"AJD",#N/A,TRUE,"FSCONC-outputs"}</definedName>
    <definedName name="UYUUTUTYUE" localSheetId="25" hidden="1">{"AJD",#N/A,TRUE,"Summary";"AJD",#N/A,TRUE,"CFCONC-outputs";"AJD",#N/A,TRUE,"P&amp;LCONC-outputs";"AJD",#N/A,TRUE,"BSCONC-outputs";"AJD",#N/A,TRUE,"FSCONC-outputs"}</definedName>
    <definedName name="UYUUTUTYUE" hidden="1">{"AJD",#N/A,TRUE,"Summary";"AJD",#N/A,TRUE,"CFCONC-outputs";"AJD",#N/A,TRUE,"P&amp;LCONC-outputs";"AJD",#N/A,TRUE,"BSCONC-outputs";"AJD",#N/A,TRUE,"FSCONC-outputs"}</definedName>
    <definedName name="v" localSheetId="24" hidden="1">{#N/A,#N/A,FALSE,"BS";#N/A,#N/A,FALSE,"PL";#N/A,#N/A,FALSE,"처분";#N/A,#N/A,FALSE,"현금";#N/A,#N/A,FALSE,"매출";#N/A,#N/A,FALSE,"원가";#N/A,#N/A,FALSE,"경영"}</definedName>
    <definedName name="v" localSheetId="18" hidden="1">{#N/A,#N/A,FALSE,"BS";#N/A,#N/A,FALSE,"PL";#N/A,#N/A,FALSE,"처분";#N/A,#N/A,FALSE,"현금";#N/A,#N/A,FALSE,"매출";#N/A,#N/A,FALSE,"원가";#N/A,#N/A,FALSE,"경영"}</definedName>
    <definedName name="v" localSheetId="25" hidden="1">{#N/A,#N/A,FALSE,"BS";#N/A,#N/A,FALSE,"PL";#N/A,#N/A,FALSE,"처분";#N/A,#N/A,FALSE,"현금";#N/A,#N/A,FALSE,"매출";#N/A,#N/A,FALSE,"원가";#N/A,#N/A,FALSE,"경영"}</definedName>
    <definedName name="v" hidden="1">{#N/A,#N/A,FALSE,"BS";#N/A,#N/A,FALSE,"PL";#N/A,#N/A,FALSE,"처분";#N/A,#N/A,FALSE,"현금";#N/A,#N/A,FALSE,"매출";#N/A,#N/A,FALSE,"원가";#N/A,#N/A,FALSE,"경영"}</definedName>
    <definedName name="VacancyFCast" localSheetId="24" hidden="1">{#N/A,#N/A,FALSE,"Outgoings";#N/A,#N/A,FALSE,"Expenses";#N/A,#N/A,FALSE,"Income(Non Rent)";#N/A,#N/A,FALSE,"Rent";#N/A,#N/A,FALSE,"Profit";#N/A,#N/A,FALSE,"Overview-Page2";#N/A,#N/A,FALSE,"Overview-Page1";#N/A,#N/A,FALSE,"Index"}</definedName>
    <definedName name="VacancyFCast" localSheetId="18" hidden="1">{#N/A,#N/A,FALSE,"Outgoings";#N/A,#N/A,FALSE,"Expenses";#N/A,#N/A,FALSE,"Income(Non Rent)";#N/A,#N/A,FALSE,"Rent";#N/A,#N/A,FALSE,"Profit";#N/A,#N/A,FALSE,"Overview-Page2";#N/A,#N/A,FALSE,"Overview-Page1";#N/A,#N/A,FALSE,"Index"}</definedName>
    <definedName name="VacancyFCast" localSheetId="25" hidden="1">{#N/A,#N/A,FALSE,"Outgoings";#N/A,#N/A,FALSE,"Expenses";#N/A,#N/A,FALSE,"Income(Non Rent)";#N/A,#N/A,FALSE,"Rent";#N/A,#N/A,FALSE,"Profit";#N/A,#N/A,FALSE,"Overview-Page2";#N/A,#N/A,FALSE,"Overview-Page1";#N/A,#N/A,FALSE,"Index"}</definedName>
    <definedName name="VacancyFCast" hidden="1">{#N/A,#N/A,FALSE,"Outgoings";#N/A,#N/A,FALSE,"Expenses";#N/A,#N/A,FALSE,"Income(Non Rent)";#N/A,#N/A,FALSE,"Rent";#N/A,#N/A,FALSE,"Profit";#N/A,#N/A,FALSE,"Overview-Page2";#N/A,#N/A,FALSE,"Overview-Page1";#N/A,#N/A,FALSE,"Index"}</definedName>
    <definedName name="VacancyFCast1" localSheetId="24" hidden="1">{#N/A,#N/A,FALSE,"Outgoings";#N/A,#N/A,FALSE,"Expenses";#N/A,#N/A,FALSE,"Income(Non Rent)";#N/A,#N/A,FALSE,"Rent";#N/A,#N/A,FALSE,"Profit";#N/A,#N/A,FALSE,"Overview-Page2";#N/A,#N/A,FALSE,"Overview-Page1";#N/A,#N/A,FALSE,"Index"}</definedName>
    <definedName name="VacancyFCast1" localSheetId="18" hidden="1">{#N/A,#N/A,FALSE,"Outgoings";#N/A,#N/A,FALSE,"Expenses";#N/A,#N/A,FALSE,"Income(Non Rent)";#N/A,#N/A,FALSE,"Rent";#N/A,#N/A,FALSE,"Profit";#N/A,#N/A,FALSE,"Overview-Page2";#N/A,#N/A,FALSE,"Overview-Page1";#N/A,#N/A,FALSE,"Index"}</definedName>
    <definedName name="VacancyFCast1" localSheetId="25" hidden="1">{#N/A,#N/A,FALSE,"Outgoings";#N/A,#N/A,FALSE,"Expenses";#N/A,#N/A,FALSE,"Income(Non Rent)";#N/A,#N/A,FALSE,"Rent";#N/A,#N/A,FALSE,"Profit";#N/A,#N/A,FALSE,"Overview-Page2";#N/A,#N/A,FALSE,"Overview-Page1";#N/A,#N/A,FALSE,"Index"}</definedName>
    <definedName name="VacancyFCast1" hidden="1">{#N/A,#N/A,FALSE,"Outgoings";#N/A,#N/A,FALSE,"Expenses";#N/A,#N/A,FALSE,"Income(Non Rent)";#N/A,#N/A,FALSE,"Rent";#N/A,#N/A,FALSE,"Profit";#N/A,#N/A,FALSE,"Overview-Page2";#N/A,#N/A,FALSE,"Overview-Page1";#N/A,#N/A,FALSE,"Index"}</definedName>
    <definedName name="vczvvcxc" localSheetId="24" hidden="1">{"RGM",#N/A,FALSE,"rgm";"RGMMonth",#N/A,FALSE,"rgmpm"}</definedName>
    <definedName name="vczvvcxc" localSheetId="18" hidden="1">{"RGM",#N/A,FALSE,"rgm";"RGMMonth",#N/A,FALSE,"rgmpm"}</definedName>
    <definedName name="vczvvcxc" localSheetId="25" hidden="1">{"RGM",#N/A,FALSE,"rgm";"RGMMonth",#N/A,FALSE,"rgmpm"}</definedName>
    <definedName name="vczvvcxc" hidden="1">{"RGM",#N/A,FALSE,"rgm";"RGMMonth",#N/A,FALSE,"rgmpm"}</definedName>
    <definedName name="vru" localSheetId="24" hidden="1">{"AnnualRentRoll",#N/A,FALSE,"RentRoll"}</definedName>
    <definedName name="vru" localSheetId="18" hidden="1">{"AnnualRentRoll",#N/A,FALSE,"RentRoll"}</definedName>
    <definedName name="vru" localSheetId="25" hidden="1">{"AnnualRentRoll",#N/A,FALSE,"RentRoll"}</definedName>
    <definedName name="vru" hidden="1">{"AnnualRentRoll",#N/A,FALSE,"RentRoll"}</definedName>
    <definedName name="w" localSheetId="24" hidden="1">{#N/A,#N/A,FALSE,"BS";#N/A,#N/A,FALSE,"PL";#N/A,#N/A,FALSE,"처분";#N/A,#N/A,FALSE,"현금";#N/A,#N/A,FALSE,"매출";#N/A,#N/A,FALSE,"원가";#N/A,#N/A,FALSE,"경영"}</definedName>
    <definedName name="w" localSheetId="18" hidden="1">{#N/A,#N/A,FALSE,"BS";#N/A,#N/A,FALSE,"PL";#N/A,#N/A,FALSE,"처분";#N/A,#N/A,FALSE,"현금";#N/A,#N/A,FALSE,"매출";#N/A,#N/A,FALSE,"원가";#N/A,#N/A,FALSE,"경영"}</definedName>
    <definedName name="w" localSheetId="25" hidden="1">{#N/A,#N/A,FALSE,"BS";#N/A,#N/A,FALSE,"PL";#N/A,#N/A,FALSE,"처분";#N/A,#N/A,FALSE,"현금";#N/A,#N/A,FALSE,"매출";#N/A,#N/A,FALSE,"원가";#N/A,#N/A,FALSE,"경영"}</definedName>
    <definedName name="w" hidden="1">{#N/A,#N/A,FALSE,"BS";#N/A,#N/A,FALSE,"PL";#N/A,#N/A,FALSE,"처분";#N/A,#N/A,FALSE,"현금";#N/A,#N/A,FALSE,"매출";#N/A,#N/A,FALSE,"원가";#N/A,#N/A,FALSE,"경영"}</definedName>
    <definedName name="WEARF" localSheetId="24" hidden="1">{#N/A,#N/A,TRUE,"Y생산";#N/A,#N/A,TRUE,"Y판매";#N/A,#N/A,TRUE,"Y총물량";#N/A,#N/A,TRUE,"Y능력";#N/A,#N/A,TRUE,"YKD"}</definedName>
    <definedName name="WEARF" localSheetId="18" hidden="1">{#N/A,#N/A,TRUE,"Y생산";#N/A,#N/A,TRUE,"Y판매";#N/A,#N/A,TRUE,"Y총물량";#N/A,#N/A,TRUE,"Y능력";#N/A,#N/A,TRUE,"YKD"}</definedName>
    <definedName name="WEARF" localSheetId="25" hidden="1">{#N/A,#N/A,TRUE,"Y생산";#N/A,#N/A,TRUE,"Y판매";#N/A,#N/A,TRUE,"Y총물량";#N/A,#N/A,TRUE,"Y능력";#N/A,#N/A,TRUE,"YKD"}</definedName>
    <definedName name="WEARF" hidden="1">{#N/A,#N/A,TRUE,"Y생산";#N/A,#N/A,TRUE,"Y판매";#N/A,#N/A,TRUE,"Y총물량";#N/A,#N/A,TRUE,"Y능력";#N/A,#N/A,TRUE,"YKD"}</definedName>
    <definedName name="WEARF_1" localSheetId="24" hidden="1">{#N/A,#N/A,TRUE,"Y생산";#N/A,#N/A,TRUE,"Y판매";#N/A,#N/A,TRUE,"Y총물량";#N/A,#N/A,TRUE,"Y능력";#N/A,#N/A,TRUE,"YKD"}</definedName>
    <definedName name="WEARF_1" localSheetId="18" hidden="1">{#N/A,#N/A,TRUE,"Y생산";#N/A,#N/A,TRUE,"Y판매";#N/A,#N/A,TRUE,"Y총물량";#N/A,#N/A,TRUE,"Y능력";#N/A,#N/A,TRUE,"YKD"}</definedName>
    <definedName name="WEARF_1" localSheetId="25" hidden="1">{#N/A,#N/A,TRUE,"Y생산";#N/A,#N/A,TRUE,"Y판매";#N/A,#N/A,TRUE,"Y총물량";#N/A,#N/A,TRUE,"Y능력";#N/A,#N/A,TRUE,"YKD"}</definedName>
    <definedName name="WEARF_1" hidden="1">{#N/A,#N/A,TRUE,"Y생산";#N/A,#N/A,TRUE,"Y판매";#N/A,#N/A,TRUE,"Y총물량";#N/A,#N/A,TRUE,"Y능력";#N/A,#N/A,TRUE,"YKD"}</definedName>
    <definedName name="werr" localSheetId="24" hidden="1">{#N/A,#N/A,FALSE,"OperatingAssumptions"}</definedName>
    <definedName name="werr" localSheetId="18" hidden="1">{#N/A,#N/A,FALSE,"OperatingAssumptions"}</definedName>
    <definedName name="werr" localSheetId="25" hidden="1">{#N/A,#N/A,FALSE,"OperatingAssumptions"}</definedName>
    <definedName name="werr" hidden="1">{#N/A,#N/A,FALSE,"OperatingAssumptions"}</definedName>
    <definedName name="werwe" localSheetId="24" hidden="1">{"Actual",#N/A,FALSE,"(価格)";"Market",#N/A,FALSE,"(価格)";"Plan",#N/A,FALSE,"(価格)"}</definedName>
    <definedName name="werwe" localSheetId="18" hidden="1">{"Actual",#N/A,FALSE,"(価格)";"Market",#N/A,FALSE,"(価格)";"Plan",#N/A,FALSE,"(価格)"}</definedName>
    <definedName name="werwe" localSheetId="25" hidden="1">{"Actual",#N/A,FALSE,"(価格)";"Market",#N/A,FALSE,"(価格)";"Plan",#N/A,FALSE,"(価格)"}</definedName>
    <definedName name="werwe" hidden="1">{"Actual",#N/A,FALSE,"(価格)";"Market",#N/A,FALSE,"(価格)";"Plan",#N/A,FALSE,"(価格)"}</definedName>
    <definedName name="werwer" localSheetId="24" hidden="1">{"Actual",#N/A,FALSE,"(価格)";"Market",#N/A,FALSE,"(価格)";"Plan",#N/A,FALSE,"(価格)"}</definedName>
    <definedName name="werwer" localSheetId="18" hidden="1">{"Actual",#N/A,FALSE,"(価格)";"Market",#N/A,FALSE,"(価格)";"Plan",#N/A,FALSE,"(価格)"}</definedName>
    <definedName name="werwer" localSheetId="25" hidden="1">{"Actual",#N/A,FALSE,"(価格)";"Market",#N/A,FALSE,"(価格)";"Plan",#N/A,FALSE,"(価格)"}</definedName>
    <definedName name="werwer" hidden="1">{"Actual",#N/A,FALSE,"(価格)";"Market",#N/A,FALSE,"(価格)";"Plan",#N/A,FALSE,"(価格)"}</definedName>
    <definedName name="werwerwe" localSheetId="24" hidden="1">{"ｹﾝﾄ（M)",#N/A,FALSE,"収支・日割";"ｹﾝﾄ（RD)",#N/A,FALSE,"収支・日割";"ｹﾝﾄ（PMC)",#N/A,FALSE,"収支・日割"}</definedName>
    <definedName name="werwerwe" localSheetId="18" hidden="1">{"ｹﾝﾄ（M)",#N/A,FALSE,"収支・日割";"ｹﾝﾄ（RD)",#N/A,FALSE,"収支・日割";"ｹﾝﾄ（PMC)",#N/A,FALSE,"収支・日割"}</definedName>
    <definedName name="werwerwe" localSheetId="25" hidden="1">{"ｹﾝﾄ（M)",#N/A,FALSE,"収支・日割";"ｹﾝﾄ（RD)",#N/A,FALSE,"収支・日割";"ｹﾝﾄ（PMC)",#N/A,FALSE,"収支・日割"}</definedName>
    <definedName name="werwerwe" hidden="1">{"ｹﾝﾄ（M)",#N/A,FALSE,"収支・日割";"ｹﾝﾄ（RD)",#N/A,FALSE,"収支・日割";"ｹﾝﾄ（PMC)",#N/A,FALSE,"収支・日割"}</definedName>
    <definedName name="wet" localSheetId="24" hidden="1">{"Actual",#N/A,FALSE,"(価格)";"Market",#N/A,FALSE,"(価格)";"Plan",#N/A,FALSE,"(価格)"}</definedName>
    <definedName name="wet" localSheetId="18" hidden="1">{"Actual",#N/A,FALSE,"(価格)";"Market",#N/A,FALSE,"(価格)";"Plan",#N/A,FALSE,"(価格)"}</definedName>
    <definedName name="wet" localSheetId="25" hidden="1">{"Actual",#N/A,FALSE,"(価格)";"Market",#N/A,FALSE,"(価格)";"Plan",#N/A,FALSE,"(価格)"}</definedName>
    <definedName name="wet" hidden="1">{"Actual",#N/A,FALSE,"(価格)";"Market",#N/A,FALSE,"(価格)";"Plan",#N/A,FALSE,"(価格)"}</definedName>
    <definedName name="wetwtwe" localSheetId="24" hidden="1">{#N/A,#N/A,FALSE,"１";#N/A,#N/A,FALSE,"２";#N/A,#N/A,FALSE,"３";#N/A,#N/A,FALSE,"４"}</definedName>
    <definedName name="wetwtwe" localSheetId="18" hidden="1">{#N/A,#N/A,FALSE,"１";#N/A,#N/A,FALSE,"２";#N/A,#N/A,FALSE,"３";#N/A,#N/A,FALSE,"４"}</definedName>
    <definedName name="wetwtwe" localSheetId="25" hidden="1">{#N/A,#N/A,FALSE,"１";#N/A,#N/A,FALSE,"２";#N/A,#N/A,FALSE,"３";#N/A,#N/A,FALSE,"４"}</definedName>
    <definedName name="wetwtwe" hidden="1">{#N/A,#N/A,FALSE,"１";#N/A,#N/A,FALSE,"２";#N/A,#N/A,FALSE,"３";#N/A,#N/A,FALSE,"４"}</definedName>
    <definedName name="wjd"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jd" localSheetId="18"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jd" localSheetId="25"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jd"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kgk" localSheetId="24" hidden="1">{#N/A,#N/A,FALSE,"BS";#N/A,#N/A,FALSE,"PL";#N/A,#N/A,FALSE,"처분";#N/A,#N/A,FALSE,"현금";#N/A,#N/A,FALSE,"매출";#N/A,#N/A,FALSE,"원가";#N/A,#N/A,FALSE,"경영"}</definedName>
    <definedName name="wkgk" localSheetId="18" hidden="1">{#N/A,#N/A,FALSE,"BS";#N/A,#N/A,FALSE,"PL";#N/A,#N/A,FALSE,"처분";#N/A,#N/A,FALSE,"현금";#N/A,#N/A,FALSE,"매출";#N/A,#N/A,FALSE,"원가";#N/A,#N/A,FALSE,"경영"}</definedName>
    <definedName name="wkgk" localSheetId="25" hidden="1">{#N/A,#N/A,FALSE,"BS";#N/A,#N/A,FALSE,"PL";#N/A,#N/A,FALSE,"처분";#N/A,#N/A,FALSE,"현금";#N/A,#N/A,FALSE,"매출";#N/A,#N/A,FALSE,"원가";#N/A,#N/A,FALSE,"경영"}</definedName>
    <definedName name="wkgk" hidden="1">{#N/A,#N/A,FALSE,"BS";#N/A,#N/A,FALSE,"PL";#N/A,#N/A,FALSE,"처분";#N/A,#N/A,FALSE,"현금";#N/A,#N/A,FALSE,"매출";#N/A,#N/A,FALSE,"원가";#N/A,#N/A,FALSE,"경영"}</definedName>
    <definedName name="wm.조골재1" localSheetId="24" hidden="1">{#N/A,#N/A,FALSE,"조골재"}</definedName>
    <definedName name="wm.조골재1" localSheetId="18" hidden="1">{#N/A,#N/A,FALSE,"조골재"}</definedName>
    <definedName name="wm.조골재1" localSheetId="25" hidden="1">{#N/A,#N/A,FALSE,"조골재"}</definedName>
    <definedName name="wm.조골재1" hidden="1">{#N/A,#N/A,FALSE,"조골재"}</definedName>
    <definedName name="wndqn" localSheetId="24" hidden="1">{#N/A,#N/A,FALSE,"97년 투자계획 세부내역 "}</definedName>
    <definedName name="wndqn" localSheetId="18" hidden="1">{#N/A,#N/A,FALSE,"97년 투자계획 세부내역 "}</definedName>
    <definedName name="wndqn" localSheetId="25" hidden="1">{#N/A,#N/A,FALSE,"97년 투자계획 세부내역 "}</definedName>
    <definedName name="wndqn" hidden="1">{#N/A,#N/A,FALSE,"97년 투자계획 세부내역 "}</definedName>
    <definedName name="WO\\\\\\재료비"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O\\\\\\재료비"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O\\\\\\재료비" localSheetId="25"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O\\\\\\재료비"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on">'A&amp;R'!$K$13</definedName>
    <definedName name="WORK1" localSheetId="24" hidden="1">{#N/A,#N/A,TRUE,"SUMMARY";#N/A,#N/A,TRUE,"NOTES";#N/A,#N/A,TRUE,"EXT-SHOPS";#N/A,#N/A,TRUE,"N-AFF-SHOPS";#N/A,#N/A,TRUE,"LOST-SHOPS"}</definedName>
    <definedName name="WORK1" localSheetId="18" hidden="1">{#N/A,#N/A,TRUE,"SUMMARY";#N/A,#N/A,TRUE,"NOTES";#N/A,#N/A,TRUE,"EXT-SHOPS";#N/A,#N/A,TRUE,"N-AFF-SHOPS";#N/A,#N/A,TRUE,"LOST-SHOPS"}</definedName>
    <definedName name="WORK1" localSheetId="25" hidden="1">{#N/A,#N/A,TRUE,"SUMMARY";#N/A,#N/A,TRUE,"NOTES";#N/A,#N/A,TRUE,"EXT-SHOPS";#N/A,#N/A,TRUE,"N-AFF-SHOPS";#N/A,#N/A,TRUE,"LOST-SHOPS"}</definedName>
    <definedName name="WORK1" hidden="1">{#N/A,#N/A,TRUE,"SUMMARY";#N/A,#N/A,TRUE,"NOTES";#N/A,#N/A,TRUE,"EXT-SHOPS";#N/A,#N/A,TRUE,"N-AFF-SHOPS";#N/A,#N/A,TRUE,"LOST-SHOPS"}</definedName>
    <definedName name="wqeqw" localSheetId="24" hidden="1">{#N/A,#N/A,FALSE,"１";#N/A,#N/A,FALSE,"２";#N/A,#N/A,FALSE,"３";#N/A,#N/A,FALSE,"４"}</definedName>
    <definedName name="wqeqw" localSheetId="18" hidden="1">{#N/A,#N/A,FALSE,"１";#N/A,#N/A,FALSE,"２";#N/A,#N/A,FALSE,"３";#N/A,#N/A,FALSE,"４"}</definedName>
    <definedName name="wqeqw" localSheetId="25" hidden="1">{#N/A,#N/A,FALSE,"１";#N/A,#N/A,FALSE,"２";#N/A,#N/A,FALSE,"３";#N/A,#N/A,FALSE,"４"}</definedName>
    <definedName name="wqeqw" hidden="1">{#N/A,#N/A,FALSE,"１";#N/A,#N/A,FALSE,"２";#N/A,#N/A,FALSE,"３";#N/A,#N/A,FALSE,"４"}</definedName>
    <definedName name="wqrqw" localSheetId="24" hidden="1">{#N/A,#N/A,FALSE,"１";#N/A,#N/A,FALSE,"２";#N/A,#N/A,FALSE,"３";#N/A,#N/A,FALSE,"４"}</definedName>
    <definedName name="wqrqw" localSheetId="18" hidden="1">{#N/A,#N/A,FALSE,"１";#N/A,#N/A,FALSE,"２";#N/A,#N/A,FALSE,"３";#N/A,#N/A,FALSE,"４"}</definedName>
    <definedName name="wqrqw" localSheetId="25" hidden="1">{#N/A,#N/A,FALSE,"１";#N/A,#N/A,FALSE,"２";#N/A,#N/A,FALSE,"３";#N/A,#N/A,FALSE,"４"}</definedName>
    <definedName name="wqrqw" hidden="1">{#N/A,#N/A,FALSE,"１";#N/A,#N/A,FALSE,"２";#N/A,#N/A,FALSE,"３";#N/A,#N/A,FALSE,"４"}</definedName>
    <definedName name="WRITE" localSheetId="24" hidden="1">{#N/A,#N/A,FALSE,"CCTV"}</definedName>
    <definedName name="WRITE" localSheetId="18" hidden="1">{#N/A,#N/A,FALSE,"CCTV"}</definedName>
    <definedName name="WRITE" localSheetId="25" hidden="1">{#N/A,#N/A,FALSE,"CCTV"}</definedName>
    <definedName name="WRITE" hidden="1">{#N/A,#N/A,FALSE,"CCTV"}</definedName>
    <definedName name="wrn" localSheetId="24" hidden="1">{"Actual",#N/A,FALSE,"(価格)";"Market",#N/A,FALSE,"(価格)";"Plan",#N/A,FALSE,"(価格)"}</definedName>
    <definedName name="wrn" localSheetId="18" hidden="1">{"Actual",#N/A,FALSE,"(価格)";"Market",#N/A,FALSE,"(価格)";"Plan",#N/A,FALSE,"(価格)"}</definedName>
    <definedName name="wrn" localSheetId="25" hidden="1">{"Actual",#N/A,FALSE,"(価格)";"Market",#N/A,FALSE,"(価格)";"Plan",#N/A,FALSE,"(価格)"}</definedName>
    <definedName name="wrn" hidden="1">{"Actual",#N/A,FALSE,"(価格)";"Market",#N/A,FALSE,"(価格)";"Plan",#N/A,FALSE,"(価格)"}</definedName>
    <definedName name="wrn.??." localSheetId="24" hidden="1">{#N/A,#N/A,FALSE,"?";#N/A,#N/A,FALSE,"?";#N/A,#N/A,FALSE,"?";#N/A,#N/A,FALSE,"?"}</definedName>
    <definedName name="wrn.??." localSheetId="18" hidden="1">{#N/A,#N/A,FALSE,"?";#N/A,#N/A,FALSE,"?";#N/A,#N/A,FALSE,"?";#N/A,#N/A,FALSE,"?"}</definedName>
    <definedName name="wrn.??." localSheetId="25" hidden="1">{#N/A,#N/A,FALSE,"?";#N/A,#N/A,FALSE,"?";#N/A,#N/A,FALSE,"?";#N/A,#N/A,FALSE,"?"}</definedName>
    <definedName name="wrn.??." hidden="1">{#N/A,#N/A,FALSE,"?";#N/A,#N/A,FALSE,"?";#N/A,#N/A,FALSE,"?";#N/A,#N/A,FALSE,"?"}</definedName>
    <definedName name="wrn.???." localSheetId="24" hidden="1">{"Actual",#N/A,FALSE,"(??)";"Market",#N/A,FALSE,"(??)";"Plan",#N/A,FALSE,"(??)"}</definedName>
    <definedName name="wrn.???." localSheetId="18" hidden="1">{"Actual",#N/A,FALSE,"(??)";"Market",#N/A,FALSE,"(??)";"Plan",#N/A,FALSE,"(??)"}</definedName>
    <definedName name="wrn.???." localSheetId="25" hidden="1">{"Actual",#N/A,FALSE,"(??)";"Market",#N/A,FALSE,"(??)";"Plan",#N/A,FALSE,"(??)"}</definedName>
    <definedName name="wrn.???." hidden="1">{"Actual",#N/A,FALSE,"(??)";"Market",#N/A,FALSE,"(??)";"Plan",#N/A,FALSE,"(??)"}</definedName>
    <definedName name="wrn.???????." localSheetId="24"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localSheetId="1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localSheetId="25"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localSheetId="24"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localSheetId="18"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localSheetId="25"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localSheetId="24" hidden="1">{#N/A,#N/A,TRUE,"1? ????";#N/A,#N/A,TRUE,"6? ??(?)";#N/A,#N/A,TRUE,"6-3? ??";#N/A,#N/A,TRUE,"PL";#N/A,#N/A,TRUE,"BS";#N/A,#N/A,TRUE,"RE";#N/A,#N/A,TRUE,"??"}</definedName>
    <definedName name="wrn.??????????." localSheetId="18" hidden="1">{#N/A,#N/A,TRUE,"1? ????";#N/A,#N/A,TRUE,"6? ??(?)";#N/A,#N/A,TRUE,"6-3? ??";#N/A,#N/A,TRUE,"PL";#N/A,#N/A,TRUE,"BS";#N/A,#N/A,TRUE,"RE";#N/A,#N/A,TRUE,"??"}</definedName>
    <definedName name="wrn.??????????." localSheetId="25" hidden="1">{#N/A,#N/A,TRUE,"1? ????";#N/A,#N/A,TRUE,"6? ??(?)";#N/A,#N/A,TRUE,"6-3? ??";#N/A,#N/A,TRUE,"PL";#N/A,#N/A,TRUE,"BS";#N/A,#N/A,TRUE,"RE";#N/A,#N/A,TRUE,"??"}</definedName>
    <definedName name="wrn.??????????." hidden="1">{#N/A,#N/A,TRUE,"1? ????";#N/A,#N/A,TRUE,"6? ??(?)";#N/A,#N/A,TRUE,"6-3? ??";#N/A,#N/A,TRUE,"PL";#N/A,#N/A,TRUE,"BS";#N/A,#N/A,TRUE,"RE";#N/A,#N/A,TRUE,"??"}</definedName>
    <definedName name="wrn.????94." localSheetId="24" hidden="1">{#N/A,#N/A,FALSE,"1? ????";#N/A,#N/A,FALSE,"2? ??";#N/A,#N/A,FALSE,"2??? ????";#N/A,#N/A,FALSE,"5? ???";#N/A,#N/A,FALSE,"6? ????";#N/A,#N/A,FALSE,"6? ??(?)";#N/A,#N/A,FALSE,"6? ??(?)";#N/A,#N/A,FALSE,"6-1? ????";#N/A,#N/A,FALSE,"6-2(7)? ????";#N/A,#N/A,FALSE,"6-3? ??";#N/A,#N/A,FALSE,"6-3(3)? ??";#N/A,#N/A,FALSE,"6-3(4)? ??";#N/A,#N/A,FALSE,"6-4? ??(?)";#N/A,#N/A,FALSE,"6-4? ??(?)";#N/A,#N/A,FALSE,"9? ???(?)";#N/A,#N/A,FALSE,"9? ???(?)";#N/A,#N/A,FALSE,"?8? ????";#N/A,#N/A,FALSE,"?????";#N/A,#N/A,FALSE,"????";#N/A,#N/A,FALSE,"????";#N/A,#N/A,FALSE,"???????";#N/A,#N/A,FALSE,"??????";#N/A,#N/A,FALSE,"????";#N/A,#N/A,FALSE,"???????"}</definedName>
    <definedName name="wrn.????94." localSheetId="18" hidden="1">{#N/A,#N/A,FALSE,"1? ????";#N/A,#N/A,FALSE,"2? ??";#N/A,#N/A,FALSE,"2??? ????";#N/A,#N/A,FALSE,"5? ???";#N/A,#N/A,FALSE,"6? ????";#N/A,#N/A,FALSE,"6? ??(?)";#N/A,#N/A,FALSE,"6? ??(?)";#N/A,#N/A,FALSE,"6-1? ????";#N/A,#N/A,FALSE,"6-2(7)? ????";#N/A,#N/A,FALSE,"6-3? ??";#N/A,#N/A,FALSE,"6-3(3)? ??";#N/A,#N/A,FALSE,"6-3(4)? ??";#N/A,#N/A,FALSE,"6-4? ??(?)";#N/A,#N/A,FALSE,"6-4? ??(?)";#N/A,#N/A,FALSE,"9? ???(?)";#N/A,#N/A,FALSE,"9? ???(?)";#N/A,#N/A,FALSE,"?8? ????";#N/A,#N/A,FALSE,"?????";#N/A,#N/A,FALSE,"????";#N/A,#N/A,FALSE,"????";#N/A,#N/A,FALSE,"???????";#N/A,#N/A,FALSE,"??????";#N/A,#N/A,FALSE,"????";#N/A,#N/A,FALSE,"???????"}</definedName>
    <definedName name="wrn.????94." localSheetId="25" hidden="1">{#N/A,#N/A,FALSE,"1? ????";#N/A,#N/A,FALSE,"2? ??";#N/A,#N/A,FALSE,"2??? ????";#N/A,#N/A,FALSE,"5? ???";#N/A,#N/A,FALSE,"6? ????";#N/A,#N/A,FALSE,"6? ??(?)";#N/A,#N/A,FALSE,"6? ??(?)";#N/A,#N/A,FALSE,"6-1? ????";#N/A,#N/A,FALSE,"6-2(7)? ????";#N/A,#N/A,FALSE,"6-3? ??";#N/A,#N/A,FALSE,"6-3(3)? ??";#N/A,#N/A,FALSE,"6-3(4)? ??";#N/A,#N/A,FALSE,"6-4? ??(?)";#N/A,#N/A,FALSE,"6-4? ??(?)";#N/A,#N/A,FALSE,"9? ???(?)";#N/A,#N/A,FALSE,"9? ???(?)";#N/A,#N/A,FALSE,"?8? ????";#N/A,#N/A,FALSE,"?????";#N/A,#N/A,FALSE,"????";#N/A,#N/A,FALSE,"????";#N/A,#N/A,FALSE,"???????";#N/A,#N/A,FALSE,"??????";#N/A,#N/A,FALSE,"????";#N/A,#N/A,FALSE,"???????"}</definedName>
    <definedName name="wrn.????94." hidden="1">{#N/A,#N/A,FALSE,"1? ????";#N/A,#N/A,FALSE,"2? ??";#N/A,#N/A,FALSE,"2??? ????";#N/A,#N/A,FALSE,"5? ???";#N/A,#N/A,FALSE,"6? ????";#N/A,#N/A,FALSE,"6? ??(?)";#N/A,#N/A,FALSE,"6? ??(?)";#N/A,#N/A,FALSE,"6-1? ????";#N/A,#N/A,FALSE,"6-2(7)? ????";#N/A,#N/A,FALSE,"6-3? ??";#N/A,#N/A,FALSE,"6-3(3)? ??";#N/A,#N/A,FALSE,"6-3(4)? ??";#N/A,#N/A,FALSE,"6-4? ??(?)";#N/A,#N/A,FALSE,"6-4? ??(?)";#N/A,#N/A,FALSE,"9? ???(?)";#N/A,#N/A,FALSE,"9? ???(?)";#N/A,#N/A,FALSE,"?8? ????";#N/A,#N/A,FALSE,"?????";#N/A,#N/A,FALSE,"????";#N/A,#N/A,FALSE,"????";#N/A,#N/A,FALSE,"???????";#N/A,#N/A,FALSE,"??????";#N/A,#N/A,FALSE,"????";#N/A,#N/A,FALSE,"???????"}</definedName>
    <definedName name="wrn.??94??." localSheetId="24" hidden="1">{#N/A,#N/A,TRUE,"?????";#N/A,#N/A,TRUE,"??????";#N/A,#N/A,TRUE,"??";#N/A,#N/A,TRUE,"???";#N/A,#N/A,TRUE,"1? ????";#N/A,#N/A,TRUE,"2? ??";#N/A,#N/A,TRUE,"2??? ????";#N/A,#N/A,TRUE,"3(1)? ????";#N/A,#N/A,TRUE,"3(1) ?1 ????";#N/A,#N/A,TRUE,"3(1) ?2 ????";#N/A,#N/A,TRUE,"3(1) ?3 ????";#N/A,#N/A,TRUE,"3(1)?7 ????";#N/A,#N/A,TRUE,"3(3)?(?) ????";#N/A,#N/A,TRUE,"4? ????";#N/A,#N/A,TRUE,"5? ???";#N/A,#N/A,TRUE,"5?2 ???(?)";#N/A,#N/A,TRUE,"5?2 ???(?)";#N/A,#N/A,TRUE,"6? ????";#N/A,#N/A,TRUE,"6? ??(?)";#N/A,#N/A,TRUE,"6? ??(?)";#N/A,#N/A,TRUE,"6-1? ????";#N/A,#N/A,TRUE,"6-2(7)? ????";#N/A,#N/A,TRUE,"6-3? ??";#N/A,#N/A,TRUE,"6-3(3)? ??";#N/A,#N/A,TRUE,"6-3(4)? ??";#N/A,#N/A,TRUE,"6-4? ??(?)";#N/A,#N/A,TRUE,"6-4? ??(?)";#N/A,#N/A,TRUE,"?????";#N/A,#N/A,TRUE,"6-6(3)? ??(??)";#N/A,#N/A,TRUE,"6-6?(??) ?????";#N/A,#N/A,TRUE,"6-10? ????";#N/A,#N/A,TRUE,"6-11? ?????";#N/A,#N/A,TRUE,"6-12? ????";#N/A,#N/A,TRUE,"6-13? ???";#N/A,#N/A,TRUE,"??1";#N/A,#N/A,TRUE,"??2";#N/A,#N/A,TRUE,"8? ?????";#N/A,#N/A,TRUE,"9? ???(?)";#N/A,#N/A,TRUE,"9? ???(?)";#N/A,#N/A,TRUE,"10(3)? ????";#N/A,#N/A,TRUE,"10(3)? ??";#N/A,#N/A,TRUE,"10(4)? ????";#N/A,#N/A,TRUE,"14(1)? ? ??";#N/A,#N/A,TRUE,"59? ????";#N/A,#N/A,TRUE,"?? BS";#N/A,#N/A,TRUE,"?? PL";#N/A,#N/A,TRUE,"??RE";#N/A,#N/A,TRUE,"?8? ????";#N/A,#N/A,TRUE,"?????";#N/A,#N/A,TRUE,"????";#N/A,#N/A,TRUE,"????";#N/A,#N/A,TRUE,"???????";#N/A,#N/A,TRUE,"??????";#N/A,#N/A,TRUE,"????";#N/A,#N/A,TRUE,"offshore";#N/A,#N/A,TRUE,"???????"}</definedName>
    <definedName name="wrn.??94??." localSheetId="18" hidden="1">{#N/A,#N/A,TRUE,"?????";#N/A,#N/A,TRUE,"??????";#N/A,#N/A,TRUE,"??";#N/A,#N/A,TRUE,"???";#N/A,#N/A,TRUE,"1? ????";#N/A,#N/A,TRUE,"2? ??";#N/A,#N/A,TRUE,"2??? ????";#N/A,#N/A,TRUE,"3(1)? ????";#N/A,#N/A,TRUE,"3(1) ?1 ????";#N/A,#N/A,TRUE,"3(1) ?2 ????";#N/A,#N/A,TRUE,"3(1) ?3 ????";#N/A,#N/A,TRUE,"3(1)?7 ????";#N/A,#N/A,TRUE,"3(3)?(?) ????";#N/A,#N/A,TRUE,"4? ????";#N/A,#N/A,TRUE,"5? ???";#N/A,#N/A,TRUE,"5?2 ???(?)";#N/A,#N/A,TRUE,"5?2 ???(?)";#N/A,#N/A,TRUE,"6? ????";#N/A,#N/A,TRUE,"6? ??(?)";#N/A,#N/A,TRUE,"6? ??(?)";#N/A,#N/A,TRUE,"6-1? ????";#N/A,#N/A,TRUE,"6-2(7)? ????";#N/A,#N/A,TRUE,"6-3? ??";#N/A,#N/A,TRUE,"6-3(3)? ??";#N/A,#N/A,TRUE,"6-3(4)? ??";#N/A,#N/A,TRUE,"6-4? ??(?)";#N/A,#N/A,TRUE,"6-4? ??(?)";#N/A,#N/A,TRUE,"?????";#N/A,#N/A,TRUE,"6-6(3)? ??(??)";#N/A,#N/A,TRUE,"6-6?(??) ?????";#N/A,#N/A,TRUE,"6-10? ????";#N/A,#N/A,TRUE,"6-11? ?????";#N/A,#N/A,TRUE,"6-12? ????";#N/A,#N/A,TRUE,"6-13? ???";#N/A,#N/A,TRUE,"??1";#N/A,#N/A,TRUE,"??2";#N/A,#N/A,TRUE,"8? ?????";#N/A,#N/A,TRUE,"9? ???(?)";#N/A,#N/A,TRUE,"9? ???(?)";#N/A,#N/A,TRUE,"10(3)? ????";#N/A,#N/A,TRUE,"10(3)? ??";#N/A,#N/A,TRUE,"10(4)? ????";#N/A,#N/A,TRUE,"14(1)? ? ??";#N/A,#N/A,TRUE,"59? ????";#N/A,#N/A,TRUE,"?? BS";#N/A,#N/A,TRUE,"?? PL";#N/A,#N/A,TRUE,"??RE";#N/A,#N/A,TRUE,"?8? ????";#N/A,#N/A,TRUE,"?????";#N/A,#N/A,TRUE,"????";#N/A,#N/A,TRUE,"????";#N/A,#N/A,TRUE,"???????";#N/A,#N/A,TRUE,"??????";#N/A,#N/A,TRUE,"????";#N/A,#N/A,TRUE,"offshore";#N/A,#N/A,TRUE,"???????"}</definedName>
    <definedName name="wrn.??94??." localSheetId="25" hidden="1">{#N/A,#N/A,TRUE,"?????";#N/A,#N/A,TRUE,"??????";#N/A,#N/A,TRUE,"??";#N/A,#N/A,TRUE,"???";#N/A,#N/A,TRUE,"1? ????";#N/A,#N/A,TRUE,"2? ??";#N/A,#N/A,TRUE,"2??? ????";#N/A,#N/A,TRUE,"3(1)? ????";#N/A,#N/A,TRUE,"3(1) ?1 ????";#N/A,#N/A,TRUE,"3(1) ?2 ????";#N/A,#N/A,TRUE,"3(1) ?3 ????";#N/A,#N/A,TRUE,"3(1)?7 ????";#N/A,#N/A,TRUE,"3(3)?(?) ????";#N/A,#N/A,TRUE,"4? ????";#N/A,#N/A,TRUE,"5? ???";#N/A,#N/A,TRUE,"5?2 ???(?)";#N/A,#N/A,TRUE,"5?2 ???(?)";#N/A,#N/A,TRUE,"6? ????";#N/A,#N/A,TRUE,"6? ??(?)";#N/A,#N/A,TRUE,"6? ??(?)";#N/A,#N/A,TRUE,"6-1? ????";#N/A,#N/A,TRUE,"6-2(7)? ????";#N/A,#N/A,TRUE,"6-3? ??";#N/A,#N/A,TRUE,"6-3(3)? ??";#N/A,#N/A,TRUE,"6-3(4)? ??";#N/A,#N/A,TRUE,"6-4? ??(?)";#N/A,#N/A,TRUE,"6-4? ??(?)";#N/A,#N/A,TRUE,"?????";#N/A,#N/A,TRUE,"6-6(3)? ??(??)";#N/A,#N/A,TRUE,"6-6?(??) ?????";#N/A,#N/A,TRUE,"6-10? ????";#N/A,#N/A,TRUE,"6-11? ?????";#N/A,#N/A,TRUE,"6-12? ????";#N/A,#N/A,TRUE,"6-13? ???";#N/A,#N/A,TRUE,"??1";#N/A,#N/A,TRUE,"??2";#N/A,#N/A,TRUE,"8? ?????";#N/A,#N/A,TRUE,"9? ???(?)";#N/A,#N/A,TRUE,"9? ???(?)";#N/A,#N/A,TRUE,"10(3)? ????";#N/A,#N/A,TRUE,"10(3)? ??";#N/A,#N/A,TRUE,"10(4)? ????";#N/A,#N/A,TRUE,"14(1)? ? ??";#N/A,#N/A,TRUE,"59? ????";#N/A,#N/A,TRUE,"?? BS";#N/A,#N/A,TRUE,"?? PL";#N/A,#N/A,TRUE,"??RE";#N/A,#N/A,TRUE,"?8? ????";#N/A,#N/A,TRUE,"?????";#N/A,#N/A,TRUE,"????";#N/A,#N/A,TRUE,"????";#N/A,#N/A,TRUE,"???????";#N/A,#N/A,TRUE,"??????";#N/A,#N/A,TRUE,"????";#N/A,#N/A,TRUE,"offshore";#N/A,#N/A,TRUE,"???????"}</definedName>
    <definedName name="wrn.??94??." hidden="1">{#N/A,#N/A,TRUE,"?????";#N/A,#N/A,TRUE,"??????";#N/A,#N/A,TRUE,"??";#N/A,#N/A,TRUE,"???";#N/A,#N/A,TRUE,"1? ????";#N/A,#N/A,TRUE,"2? ??";#N/A,#N/A,TRUE,"2??? ????";#N/A,#N/A,TRUE,"3(1)? ????";#N/A,#N/A,TRUE,"3(1) ?1 ????";#N/A,#N/A,TRUE,"3(1) ?2 ????";#N/A,#N/A,TRUE,"3(1) ?3 ????";#N/A,#N/A,TRUE,"3(1)?7 ????";#N/A,#N/A,TRUE,"3(3)?(?) ????";#N/A,#N/A,TRUE,"4? ????";#N/A,#N/A,TRUE,"5? ???";#N/A,#N/A,TRUE,"5?2 ???(?)";#N/A,#N/A,TRUE,"5?2 ???(?)";#N/A,#N/A,TRUE,"6? ????";#N/A,#N/A,TRUE,"6? ??(?)";#N/A,#N/A,TRUE,"6? ??(?)";#N/A,#N/A,TRUE,"6-1? ????";#N/A,#N/A,TRUE,"6-2(7)? ????";#N/A,#N/A,TRUE,"6-3? ??";#N/A,#N/A,TRUE,"6-3(3)? ??";#N/A,#N/A,TRUE,"6-3(4)? ??";#N/A,#N/A,TRUE,"6-4? ??(?)";#N/A,#N/A,TRUE,"6-4? ??(?)";#N/A,#N/A,TRUE,"?????";#N/A,#N/A,TRUE,"6-6(3)? ??(??)";#N/A,#N/A,TRUE,"6-6?(??) ?????";#N/A,#N/A,TRUE,"6-10? ????";#N/A,#N/A,TRUE,"6-11? ?????";#N/A,#N/A,TRUE,"6-12? ????";#N/A,#N/A,TRUE,"6-13? ???";#N/A,#N/A,TRUE,"??1";#N/A,#N/A,TRUE,"??2";#N/A,#N/A,TRUE,"8? ?????";#N/A,#N/A,TRUE,"9? ???(?)";#N/A,#N/A,TRUE,"9? ???(?)";#N/A,#N/A,TRUE,"10(3)? ????";#N/A,#N/A,TRUE,"10(3)? ??";#N/A,#N/A,TRUE,"10(4)? ????";#N/A,#N/A,TRUE,"14(1)? ? ??";#N/A,#N/A,TRUE,"59? ????";#N/A,#N/A,TRUE,"?? BS";#N/A,#N/A,TRUE,"?? PL";#N/A,#N/A,TRUE,"??RE";#N/A,#N/A,TRUE,"?8? ????";#N/A,#N/A,TRUE,"?????";#N/A,#N/A,TRUE,"????";#N/A,#N/A,TRUE,"????";#N/A,#N/A,TRUE,"???????";#N/A,#N/A,TRUE,"??????";#N/A,#N/A,TRUE,"????";#N/A,#N/A,TRUE,"offshore";#N/A,#N/A,TRUE,"???????"}</definedName>
    <definedName name="wrn.123" localSheetId="24" hidden="1">{#N/A,#N/A,FALSE,"１";#N/A,#N/A,FALSE,"２";#N/A,#N/A,FALSE,"３";#N/A,#N/A,FALSE,"４"}</definedName>
    <definedName name="wrn.123" localSheetId="18" hidden="1">{#N/A,#N/A,FALSE,"１";#N/A,#N/A,FALSE,"２";#N/A,#N/A,FALSE,"３";#N/A,#N/A,FALSE,"４"}</definedName>
    <definedName name="wrn.123" localSheetId="25" hidden="1">{#N/A,#N/A,FALSE,"１";#N/A,#N/A,FALSE,"２";#N/A,#N/A,FALSE,"３";#N/A,#N/A,FALSE,"４"}</definedName>
    <definedName name="wrn.123" hidden="1">{#N/A,#N/A,FALSE,"１";#N/A,#N/A,FALSE,"２";#N/A,#N/A,FALSE,"３";#N/A,#N/A,FALSE,"４"}</definedName>
    <definedName name="wrn.1995._.Analysis." localSheetId="24" hidden="1">{#N/A,#N/A,FALSE,"1995 Rev &amp; Exp"}</definedName>
    <definedName name="wrn.1995._.Analysis." localSheetId="18" hidden="1">{#N/A,#N/A,FALSE,"1995 Rev &amp; Exp"}</definedName>
    <definedName name="wrn.1995._.Analysis." localSheetId="25" hidden="1">{#N/A,#N/A,FALSE,"1995 Rev &amp; Exp"}</definedName>
    <definedName name="wrn.1995._.Analysis." hidden="1">{#N/A,#N/A,FALSE,"1995 Rev &amp; Exp"}</definedName>
    <definedName name="wrn.2번." localSheetId="24" hidden="1">{#N/A,#N/A,FALSE,"2~8번"}</definedName>
    <definedName name="wrn.2번." localSheetId="18" hidden="1">{#N/A,#N/A,FALSE,"2~8번"}</definedName>
    <definedName name="wrn.2번." localSheetId="25" hidden="1">{#N/A,#N/A,FALSE,"2~8번"}</definedName>
    <definedName name="wrn.2번." hidden="1">{#N/A,#N/A,FALSE,"2~8번"}</definedName>
    <definedName name="wrn.345." localSheetId="24" hidden="1">{#N/A,#N/A,FALSE,"96 3월물량표";#N/A,#N/A,FALSE,"96 4월물량표";#N/A,#N/A,FALSE,"96 5월물량표"}</definedName>
    <definedName name="wrn.345." localSheetId="18" hidden="1">{#N/A,#N/A,FALSE,"96 3월물량표";#N/A,#N/A,FALSE,"96 4월물량표";#N/A,#N/A,FALSE,"96 5월물량표"}</definedName>
    <definedName name="wrn.345." localSheetId="25" hidden="1">{#N/A,#N/A,FALSE,"96 3월물량표";#N/A,#N/A,FALSE,"96 4월물량표";#N/A,#N/A,FALSE,"96 5월물량표"}</definedName>
    <definedName name="wrn.345." hidden="1">{#N/A,#N/A,FALSE,"96 3월물량표";#N/A,#N/A,FALSE,"96 4월물량표";#N/A,#N/A,FALSE,"96 5월물량표"}</definedName>
    <definedName name="wrn.97." localSheetId="24" hidden="1">{#N/A,#N/A,FALSE,"지침";#N/A,#N/A,FALSE,"환경분석";#N/A,#N/A,FALSE,"Sheet16"}</definedName>
    <definedName name="wrn.97." localSheetId="18" hidden="1">{#N/A,#N/A,FALSE,"지침";#N/A,#N/A,FALSE,"환경분석";#N/A,#N/A,FALSE,"Sheet16"}</definedName>
    <definedName name="wrn.97." localSheetId="25" hidden="1">{#N/A,#N/A,FALSE,"지침";#N/A,#N/A,FALSE,"환경분석";#N/A,#N/A,FALSE,"Sheet16"}</definedName>
    <definedName name="wrn.97." hidden="1">{#N/A,#N/A,FALSE,"지침";#N/A,#N/A,FALSE,"환경분석";#N/A,#N/A,FALSE,"Sheet16"}</definedName>
    <definedName name="wrn.97년._.9월._.임차현황." localSheetId="24" hidden="1">{#N/A,#N/A,FALSE,"동부"}</definedName>
    <definedName name="wrn.97년._.9월._.임차현황." localSheetId="18" hidden="1">{#N/A,#N/A,FALSE,"동부"}</definedName>
    <definedName name="wrn.97년._.9월._.임차현황." localSheetId="25" hidden="1">{#N/A,#N/A,FALSE,"동부"}</definedName>
    <definedName name="wrn.97년._.9월._.임차현황." hidden="1">{#N/A,#N/A,FALSE,"동부"}</definedName>
    <definedName name="wrn.97년._.9월._.임차현황._1" localSheetId="24" hidden="1">{#N/A,#N/A,FALSE,"동부"}</definedName>
    <definedName name="wrn.97년._.9월._.임차현황._1" localSheetId="18" hidden="1">{#N/A,#N/A,FALSE,"동부"}</definedName>
    <definedName name="wrn.97년._.9월._.임차현황._1" localSheetId="25" hidden="1">{#N/A,#N/A,FALSE,"동부"}</definedName>
    <definedName name="wrn.97년._.9월._.임차현황._1" hidden="1">{#N/A,#N/A,FALSE,"동부"}</definedName>
    <definedName name="wrn.97년._.투자계획." localSheetId="24" hidden="1">{#N/A,#N/A,FALSE,"97년 투자계획 세부내역 "}</definedName>
    <definedName name="wrn.97년._.투자계획." localSheetId="18" hidden="1">{#N/A,#N/A,FALSE,"97년 투자계획 세부내역 "}</definedName>
    <definedName name="wrn.97년._.투자계획." localSheetId="25" hidden="1">{#N/A,#N/A,FALSE,"97년 투자계획 세부내역 "}</definedName>
    <definedName name="wrn.97년._.투자계획." hidden="1">{#N/A,#N/A,FALSE,"97년 투자계획 세부내역 "}</definedName>
    <definedName name="wrn.AA." localSheetId="24" hidden="1">{#N/A,#N/A,FALSE,"CAM-G7";#N/A,#N/A,FALSE,"SPL";#N/A,#N/A,FALSE,"butt-in G7";#N/A,#N/A,FALSE,"dia-in G7";#N/A,#N/A,FALSE,"추가-STA G7"}</definedName>
    <definedName name="wrn.AA." localSheetId="18" hidden="1">{#N/A,#N/A,FALSE,"CAM-G7";#N/A,#N/A,FALSE,"SPL";#N/A,#N/A,FALSE,"butt-in G7";#N/A,#N/A,FALSE,"dia-in G7";#N/A,#N/A,FALSE,"추가-STA G7"}</definedName>
    <definedName name="wrn.AA." localSheetId="25" hidden="1">{#N/A,#N/A,FALSE,"CAM-G7";#N/A,#N/A,FALSE,"SPL";#N/A,#N/A,FALSE,"butt-in G7";#N/A,#N/A,FALSE,"dia-in G7";#N/A,#N/A,FALSE,"추가-STA G7"}</definedName>
    <definedName name="wrn.AA." hidden="1">{#N/A,#N/A,FALSE,"CAM-G7";#N/A,#N/A,FALSE,"SPL";#N/A,#N/A,FALSE,"butt-in G7";#N/A,#N/A,FALSE,"dia-in G7";#N/A,#N/A,FALSE,"추가-STA G7"}</definedName>
    <definedName name="wrn.ac30prn." localSheetId="24" hidden="1">{#N/A,#N/A,FALSE,"별표20 ";#N/A,#N/A,FALSE,"부표";#N/A,#N/A,FALSE,"품셈내역";#N/A,#N/A,FALSE,"품셈집계";#N/A,#N/A,FALSE,"내역서";#N/A,#N/A,FALSE,"집계표";#N/A,#N/A,FALSE,"표지";#N/A,#N/A,FALSE,"별표총괄표"}</definedName>
    <definedName name="wrn.ac30prn." localSheetId="18" hidden="1">{#N/A,#N/A,FALSE,"별표20 ";#N/A,#N/A,FALSE,"부표";#N/A,#N/A,FALSE,"품셈내역";#N/A,#N/A,FALSE,"품셈집계";#N/A,#N/A,FALSE,"내역서";#N/A,#N/A,FALSE,"집계표";#N/A,#N/A,FALSE,"표지";#N/A,#N/A,FALSE,"별표총괄표"}</definedName>
    <definedName name="wrn.ac30prn." localSheetId="25" hidden="1">{#N/A,#N/A,FALSE,"별표20 ";#N/A,#N/A,FALSE,"부표";#N/A,#N/A,FALSE,"품셈내역";#N/A,#N/A,FALSE,"품셈집계";#N/A,#N/A,FALSE,"내역서";#N/A,#N/A,FALSE,"집계표";#N/A,#N/A,FALSE,"표지";#N/A,#N/A,FALSE,"별표총괄표"}</definedName>
    <definedName name="wrn.ac30prn." hidden="1">{#N/A,#N/A,FALSE,"별표20 ";#N/A,#N/A,FALSE,"부표";#N/A,#N/A,FALSE,"품셈내역";#N/A,#N/A,FALSE,"품셈집계";#N/A,#N/A,FALSE,"내역서";#N/A,#N/A,FALSE,"집계표";#N/A,#N/A,FALSE,"표지";#N/A,#N/A,FALSE,"별표총괄표"}</definedName>
    <definedName name="wrn.ACHESON94TAXRETURN." localSheetId="24"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 localSheetId="18"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 localSheetId="25"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_1" localSheetId="24"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_1" localSheetId="18"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_1" localSheetId="25"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_1"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ging._.and._.Trend._.Analysis." localSheetId="24" hidden="1">{#N/A,#N/A,FALSE,"Aging Summary";#N/A,#N/A,FALSE,"Ratio Analysis";#N/A,#N/A,FALSE,"Test 120 Day Accts";#N/A,#N/A,FALSE,"Tickmarks"}</definedName>
    <definedName name="wrn.Aging._.and._.Trend._.Analysis." localSheetId="18" hidden="1">{#N/A,#N/A,FALSE,"Aging Summary";#N/A,#N/A,FALSE,"Ratio Analysis";#N/A,#N/A,FALSE,"Test 120 Day Accts";#N/A,#N/A,FALSE,"Tickmarks"}</definedName>
    <definedName name="wrn.Aging._.and._.Trend._.Analysis." localSheetId="25"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ging._.and._.Trend._.Analysis._1" localSheetId="24" hidden="1">{#N/A,#N/A,FALSE,"Aging Summary";#N/A,#N/A,FALSE,"Ratio Analysis";#N/A,#N/A,FALSE,"Test 120 Day Accts";#N/A,#N/A,FALSE,"Tickmarks"}</definedName>
    <definedName name="wrn.Aging._.and._.Trend._.Analysis._1" localSheetId="18" hidden="1">{#N/A,#N/A,FALSE,"Aging Summary";#N/A,#N/A,FALSE,"Ratio Analysis";#N/A,#N/A,FALSE,"Test 120 Day Accts";#N/A,#N/A,FALSE,"Tickmarks"}</definedName>
    <definedName name="wrn.Aging._.and._.Trend._.Analysis._1" localSheetId="25" hidden="1">{#N/A,#N/A,FALSE,"Aging Summary";#N/A,#N/A,FALSE,"Ratio Analysis";#N/A,#N/A,FALSE,"Test 120 Day Accts";#N/A,#N/A,FALSE,"Tickmarks"}</definedName>
    <definedName name="wrn.Aging._.and._.Trend._.Analysis._1" hidden="1">{#N/A,#N/A,FALSE,"Aging Summary";#N/A,#N/A,FALSE,"Ratio Analysis";#N/A,#N/A,FALSE,"Test 120 Day Accts";#N/A,#N/A,FALSE,"Tickmarks"}</definedName>
    <definedName name="wrn.AJDSuite." localSheetId="24" hidden="1">{"AJD",#N/A,TRUE,"Summary";"AJD",#N/A,TRUE,"CFCONC-outputs";"AJD",#N/A,TRUE,"P&amp;LCONC-outputs";"AJD",#N/A,TRUE,"BSCONC-outputs";"AJD",#N/A,TRUE,"FSCONC-outputs"}</definedName>
    <definedName name="wrn.AJDSuite." localSheetId="18" hidden="1">{"AJD",#N/A,TRUE,"Summary";"AJD",#N/A,TRUE,"CFCONC-outputs";"AJD",#N/A,TRUE,"P&amp;LCONC-outputs";"AJD",#N/A,TRUE,"BSCONC-outputs";"AJD",#N/A,TRUE,"FSCONC-outputs"}</definedName>
    <definedName name="wrn.AJDSuite." localSheetId="25" hidden="1">{"AJD",#N/A,TRUE,"Summary";"AJD",#N/A,TRUE,"CFCONC-outputs";"AJD",#N/A,TRUE,"P&amp;LCONC-outputs";"AJD",#N/A,TRUE,"BSCONC-outputs";"AJD",#N/A,TRUE,"FSCONC-outputs"}</definedName>
    <definedName name="wrn.AJDSuite." hidden="1">{"AJD",#N/A,TRUE,"Summary";"AJD",#N/A,TRUE,"CFCONC-outputs";"AJD",#N/A,TRUE,"P&amp;LCONC-outputs";"AJD",#N/A,TRUE,"BSCONC-outputs";"AJD",#N/A,TRUE,"FSCONC-outputs"}</definedName>
    <definedName name="wrn.ALL." localSheetId="24" hidden="1">{#N/A,#N/A,FALSE,"PROG &amp; MARKET";#N/A,#N/A,FALSE,"SUMMARY";#N/A,#N/A,FALSE,"LANDSIDE -DETAIL";#N/A,#N/A,FALSE,"VESSEL"}</definedName>
    <definedName name="wrn.ALL." localSheetId="18" hidden="1">{#N/A,#N/A,FALSE,"PROG &amp; MARKET";#N/A,#N/A,FALSE,"SUMMARY";#N/A,#N/A,FALSE,"LANDSIDE -DETAIL";#N/A,#N/A,FALSE,"VESSEL"}</definedName>
    <definedName name="wrn.ALL." localSheetId="25" hidden="1">{#N/A,#N/A,FALSE,"PROG &amp; MARKET";#N/A,#N/A,FALSE,"SUMMARY";#N/A,#N/A,FALSE,"LANDSIDE -DETAIL";#N/A,#N/A,FALSE,"VESSEL"}</definedName>
    <definedName name="wrn.ALL." hidden="1">{#N/A,#N/A,FALSE,"PROG &amp; MARKET";#N/A,#N/A,FALSE,"SUMMARY";#N/A,#N/A,FALSE,"LANDSIDE -DETAIL";#N/A,#N/A,FALSE,"VESSEL"}</definedName>
    <definedName name="wrn.All._.Exclude._.Vac._.And._.Promo._.Schedules." localSheetId="24" hidden="1">{#N/A,#N/A,FALSE,"Outgoings";#N/A,#N/A,FALSE,"Expenses";#N/A,#N/A,FALSE,"Income(Non Rent)";#N/A,#N/A,FALSE,"Rent-Page2";#N/A,#N/A,FALSE,"Rent-Page1";#N/A,#N/A,FALSE,"Overview-Page2";#N/A,#N/A,FALSE,"Overview-Page1";#N/A,#N/A,FALSE,"Index"}</definedName>
    <definedName name="wrn.All._.Exclude._.Vac._.And._.Promo._.Schedules." localSheetId="18" hidden="1">{#N/A,#N/A,FALSE,"Outgoings";#N/A,#N/A,FALSE,"Expenses";#N/A,#N/A,FALSE,"Income(Non Rent)";#N/A,#N/A,FALSE,"Rent-Page2";#N/A,#N/A,FALSE,"Rent-Page1";#N/A,#N/A,FALSE,"Overview-Page2";#N/A,#N/A,FALSE,"Overview-Page1";#N/A,#N/A,FALSE,"Index"}</definedName>
    <definedName name="wrn.All._.Exclude._.Vac._.And._.Promo._.Schedules." localSheetId="25" hidden="1">{#N/A,#N/A,FALSE,"Outgoings";#N/A,#N/A,FALSE,"Expenses";#N/A,#N/A,FALSE,"Income(Non Rent)";#N/A,#N/A,FALSE,"Rent-Page2";#N/A,#N/A,FALSE,"Rent-Page1";#N/A,#N/A,FALSE,"Overview-Page2";#N/A,#N/A,FALSE,"Overview-Page1";#N/A,#N/A,FALSE,"Index"}</definedName>
    <definedName name="wrn.All._.Exclude._.Vac._.And._.Promo._.Schedules." hidden="1">{#N/A,#N/A,FALSE,"Outgoings";#N/A,#N/A,FALSE,"Expenses";#N/A,#N/A,FALSE,"Income(Non Rent)";#N/A,#N/A,FALSE,"Rent-Page2";#N/A,#N/A,FALSE,"Rent-Page1";#N/A,#N/A,FALSE,"Overview-Page2";#N/A,#N/A,FALSE,"Overview-Page1";#N/A,#N/A,FALSE,"Index"}</definedName>
    <definedName name="wrn.ALL._.METRICS." localSheetId="24" hidden="1">{#N/A,#N/A,TRUE,"contents";#N/A,#N/A,TRUE,"production";#N/A,#N/A,TRUE,"svcg";#N/A,#N/A,TRUE,"cent_offices";#N/A,#N/A,TRUE,"subs"}</definedName>
    <definedName name="wrn.ALL._.METRICS." localSheetId="18" hidden="1">{#N/A,#N/A,TRUE,"contents";#N/A,#N/A,TRUE,"production";#N/A,#N/A,TRUE,"svcg";#N/A,#N/A,TRUE,"cent_offices";#N/A,#N/A,TRUE,"subs"}</definedName>
    <definedName name="wrn.ALL._.METRICS." localSheetId="25" hidden="1">{#N/A,#N/A,TRUE,"contents";#N/A,#N/A,TRUE,"production";#N/A,#N/A,TRUE,"svcg";#N/A,#N/A,TRUE,"cent_offices";#N/A,#N/A,TRUE,"subs"}</definedName>
    <definedName name="wrn.ALL._.METRICS." hidden="1">{#N/A,#N/A,TRUE,"contents";#N/A,#N/A,TRUE,"production";#N/A,#N/A,TRUE,"svcg";#N/A,#N/A,TRUE,"cent_offices";#N/A,#N/A,TRUE,"subs"}</definedName>
    <definedName name="wrn.All._.Pages." localSheetId="24" hidden="1">{"Consolidated",#N/A,TRUE,"Turnover Month";"Consolidated",#N/A,TRUE,"Turnover Month"}</definedName>
    <definedName name="wrn.All._.Pages." localSheetId="18" hidden="1">{"Consolidated",#N/A,TRUE,"Turnover Month";"Consolidated",#N/A,TRUE,"Turnover Month"}</definedName>
    <definedName name="wrn.All._.Pages." localSheetId="25" hidden="1">{"Consolidated",#N/A,TRUE,"Turnover Month";"Consolidated",#N/A,TRUE,"Turnover Month"}</definedName>
    <definedName name="wrn.All._.Pages." hidden="1">{"Consolidated",#N/A,TRUE,"Turnover Month";"Consolidated",#N/A,TRUE,"Turnover Month"}</definedName>
    <definedName name="wrn.All._.Schedules." localSheetId="24" hidden="1">{"Profit and Loss Report",#N/A,FALSE,"Fcst Profit &amp; Loss";"OG and AC Schedule",#N/A,FALSE,"OG &amp; AC Calculations";#N/A,#N/A,FALSE,"Vacancy Factor";#N/A,#N/A,FALSE,"Reconciliation";#N/A,#N/A,FALSE,"Woolies OG Calculation"}</definedName>
    <definedName name="wrn.All._.Schedules." localSheetId="18" hidden="1">{"Profit and Loss Report",#N/A,FALSE,"Fcst Profit &amp; Loss";"OG and AC Schedule",#N/A,FALSE,"OG &amp; AC Calculations";#N/A,#N/A,FALSE,"Vacancy Factor";#N/A,#N/A,FALSE,"Reconciliation";#N/A,#N/A,FALSE,"Woolies OG Calculation"}</definedName>
    <definedName name="wrn.All._.Schedules." localSheetId="25" hidden="1">{"Profit and Loss Report",#N/A,FALSE,"Fcst Profit &amp; Loss";"OG and AC Schedule",#N/A,FALSE,"OG &amp; AC Calculations";#N/A,#N/A,FALSE,"Vacancy Factor";#N/A,#N/A,FALSE,"Reconciliation";#N/A,#N/A,FALSE,"Woolies OG Calculation"}</definedName>
    <definedName name="wrn.All._.Schedules." hidden="1">{"Profit and Loss Report",#N/A,FALSE,"Fcst Profit &amp; Loss";"OG and AC Schedule",#N/A,FALSE,"OG &amp; AC Calculations";#N/A,#N/A,FALSE,"Vacancy Factor";#N/A,#N/A,FALSE,"Reconciliation";#N/A,#N/A,FALSE,"Woolies OG Calculation"}</definedName>
    <definedName name="wrn.All._.Sheets." localSheetId="24" hidden="1">{#N/A,#N/A,FALSE,"101";#N/A,#N/A,FALSE,"Rec Cap to Inv";#N/A,#N/A,FALSE,"115";#N/A,#N/A,FALSE,"115A";#N/A,#N/A,FALSE,"124";#N/A,#N/A,FALSE,"125";#N/A,#N/A,FALSE,"125B";#N/A,#N/A,FALSE,"127";#N/A,#N/A,FALSE,"Ana Dist";#N/A,#N/A,FALSE,"127A";#N/A,#N/A,FALSE,"131";#N/A,#N/A,FALSE,"131A";#N/A,#N/A,FALSE,"161";#N/A,#N/A,FALSE,"133";#N/A,#N/A,FALSE,"162";#N/A,#N/A,FALSE,"166";#N/A,#N/A,FALSE,"166B";#N/A,#N/A,FALSE,"167";#N/A,#N/A,FALSE,"169";#N/A,#N/A,FALSE,"170";#N/A,#N/A,FALSE,"172";#N/A,#N/A,FALSE,"174";#N/A,#N/A,FALSE,"175"}</definedName>
    <definedName name="wrn.All._.Sheets." localSheetId="18" hidden="1">{#N/A,#N/A,FALSE,"101";#N/A,#N/A,FALSE,"Rec Cap to Inv";#N/A,#N/A,FALSE,"115";#N/A,#N/A,FALSE,"115A";#N/A,#N/A,FALSE,"124";#N/A,#N/A,FALSE,"125";#N/A,#N/A,FALSE,"125B";#N/A,#N/A,FALSE,"127";#N/A,#N/A,FALSE,"Ana Dist";#N/A,#N/A,FALSE,"127A";#N/A,#N/A,FALSE,"131";#N/A,#N/A,FALSE,"131A";#N/A,#N/A,FALSE,"161";#N/A,#N/A,FALSE,"133";#N/A,#N/A,FALSE,"162";#N/A,#N/A,FALSE,"166";#N/A,#N/A,FALSE,"166B";#N/A,#N/A,FALSE,"167";#N/A,#N/A,FALSE,"169";#N/A,#N/A,FALSE,"170";#N/A,#N/A,FALSE,"172";#N/A,#N/A,FALSE,"174";#N/A,#N/A,FALSE,"175"}</definedName>
    <definedName name="wrn.All._.Sheets." localSheetId="25" hidden="1">{#N/A,#N/A,FALSE,"101";#N/A,#N/A,FALSE,"Rec Cap to Inv";#N/A,#N/A,FALSE,"115";#N/A,#N/A,FALSE,"115A";#N/A,#N/A,FALSE,"124";#N/A,#N/A,FALSE,"125";#N/A,#N/A,FALSE,"125B";#N/A,#N/A,FALSE,"127";#N/A,#N/A,FALSE,"Ana Dist";#N/A,#N/A,FALSE,"127A";#N/A,#N/A,FALSE,"131";#N/A,#N/A,FALSE,"131A";#N/A,#N/A,FALSE,"161";#N/A,#N/A,FALSE,"133";#N/A,#N/A,FALSE,"162";#N/A,#N/A,FALSE,"166";#N/A,#N/A,FALSE,"166B";#N/A,#N/A,FALSE,"167";#N/A,#N/A,FALSE,"169";#N/A,#N/A,FALSE,"170";#N/A,#N/A,FALSE,"172";#N/A,#N/A,FALSE,"174";#N/A,#N/A,FALSE,"175"}</definedName>
    <definedName name="wrn.All._.Sheets." hidden="1">{#N/A,#N/A,FALSE,"101";#N/A,#N/A,FALSE,"Rec Cap to Inv";#N/A,#N/A,FALSE,"115";#N/A,#N/A,FALSE,"115A";#N/A,#N/A,FALSE,"124";#N/A,#N/A,FALSE,"125";#N/A,#N/A,FALSE,"125B";#N/A,#N/A,FALSE,"127";#N/A,#N/A,FALSE,"Ana Dist";#N/A,#N/A,FALSE,"127A";#N/A,#N/A,FALSE,"131";#N/A,#N/A,FALSE,"131A";#N/A,#N/A,FALSE,"161";#N/A,#N/A,FALSE,"133";#N/A,#N/A,FALSE,"162";#N/A,#N/A,FALSE,"166";#N/A,#N/A,FALSE,"166B";#N/A,#N/A,FALSE,"167";#N/A,#N/A,FALSE,"169";#N/A,#N/A,FALSE,"170";#N/A,#N/A,FALSE,"172";#N/A,#N/A,FALSE,"174";#N/A,#N/A,FALSE,"175"}</definedName>
    <definedName name="wrn.ALL._.STATEMENTS." localSheetId="24" hidden="1">{"A LEASE",#N/A,FALSE,"B";"B LEASE",#N/A,FALSE,"B";"C LEASE",#N/A,FALSE,"B";"COLES",#N/A,FALSE,"B";"FRANKLINS",#N/A,FALSE,"B";"K MART",#N/A,FALSE,"B"}</definedName>
    <definedName name="wrn.ALL._.STATEMENTS." localSheetId="18" hidden="1">{"A LEASE",#N/A,FALSE,"B";"B LEASE",#N/A,FALSE,"B";"C LEASE",#N/A,FALSE,"B";"COLES",#N/A,FALSE,"B";"FRANKLINS",#N/A,FALSE,"B";"K MART",#N/A,FALSE,"B"}</definedName>
    <definedName name="wrn.ALL._.STATEMENTS." localSheetId="25" hidden="1">{"A LEASE",#N/A,FALSE,"B";"B LEASE",#N/A,FALSE,"B";"C LEASE",#N/A,FALSE,"B";"COLES",#N/A,FALSE,"B";"FRANKLINS",#N/A,FALSE,"B";"K MART",#N/A,FALSE,"B"}</definedName>
    <definedName name="wrn.ALL._.STATEMENTS." hidden="1">{"A LEASE",#N/A,FALSE,"B";"B LEASE",#N/A,FALSE,"B";"C LEASE",#N/A,FALSE,"B";"COLES",#N/A,FALSE,"B";"FRANKLINS",#N/A,FALSE,"B";"K MART",#N/A,FALSE,"B"}</definedName>
    <definedName name="wrn.All._.Subs." localSheetId="24" hidden="1">{#N/A,#N/A,FALSE,"HVAC";#N/A,#N/A,FALSE,"Acoust. Clg.";#N/A,#N/A,FALSE,"Chain link";#N/A,#N/A,FALSE,"Electrical";#N/A,#N/A,FALSE,"Plaster";#N/A,#N/A,FALSE,"Plumbing";#N/A,#N/A,FALSE,"Site Util";#N/A,#N/A,FALSE,"Fire";#N/A,#N/A,FALSE,"Flooring";#N/A,#N/A,FALSE,"Paint";#N/A,#N/A,FALSE,"Drywall+";#N/A,#N/A,FALSE,"Roofing";#N/A,#N/A,FALSE,"Misc. Steel";#N/A,#N/A,FALSE,"Glass";#N/A,#N/A,FALSE,"Site Conc";#N/A,#N/A,FALSE,"Paving";#N/A,#N/A,FALSE,"Grading";#N/A,#N/A,FALSE,"Landscape";#N/A,#N/A,FALSE,"Trailer";#N/A,#N/A,FALSE,"Misc.";#N/A,#N/A,FALSE,"Doors";#N/A,#N/A,FALSE,"Demolition";#N/A,#N/A,FALSE,"Mtl Bldg";#N/A,#N/A,FALSE,"Survey"}</definedName>
    <definedName name="wrn.All._.Subs." localSheetId="18" hidden="1">{#N/A,#N/A,FALSE,"HVAC";#N/A,#N/A,FALSE,"Acoust. Clg.";#N/A,#N/A,FALSE,"Chain link";#N/A,#N/A,FALSE,"Electrical";#N/A,#N/A,FALSE,"Plaster";#N/A,#N/A,FALSE,"Plumbing";#N/A,#N/A,FALSE,"Site Util";#N/A,#N/A,FALSE,"Fire";#N/A,#N/A,FALSE,"Flooring";#N/A,#N/A,FALSE,"Paint";#N/A,#N/A,FALSE,"Drywall+";#N/A,#N/A,FALSE,"Roofing";#N/A,#N/A,FALSE,"Misc. Steel";#N/A,#N/A,FALSE,"Glass";#N/A,#N/A,FALSE,"Site Conc";#N/A,#N/A,FALSE,"Paving";#N/A,#N/A,FALSE,"Grading";#N/A,#N/A,FALSE,"Landscape";#N/A,#N/A,FALSE,"Trailer";#N/A,#N/A,FALSE,"Misc.";#N/A,#N/A,FALSE,"Doors";#N/A,#N/A,FALSE,"Demolition";#N/A,#N/A,FALSE,"Mtl Bldg";#N/A,#N/A,FALSE,"Survey"}</definedName>
    <definedName name="wrn.All._.Subs." localSheetId="25" hidden="1">{#N/A,#N/A,FALSE,"HVAC";#N/A,#N/A,FALSE,"Acoust. Clg.";#N/A,#N/A,FALSE,"Chain link";#N/A,#N/A,FALSE,"Electrical";#N/A,#N/A,FALSE,"Plaster";#N/A,#N/A,FALSE,"Plumbing";#N/A,#N/A,FALSE,"Site Util";#N/A,#N/A,FALSE,"Fire";#N/A,#N/A,FALSE,"Flooring";#N/A,#N/A,FALSE,"Paint";#N/A,#N/A,FALSE,"Drywall+";#N/A,#N/A,FALSE,"Roofing";#N/A,#N/A,FALSE,"Misc. Steel";#N/A,#N/A,FALSE,"Glass";#N/A,#N/A,FALSE,"Site Conc";#N/A,#N/A,FALSE,"Paving";#N/A,#N/A,FALSE,"Grading";#N/A,#N/A,FALSE,"Landscape";#N/A,#N/A,FALSE,"Trailer";#N/A,#N/A,FALSE,"Misc.";#N/A,#N/A,FALSE,"Doors";#N/A,#N/A,FALSE,"Demolition";#N/A,#N/A,FALSE,"Mtl Bldg";#N/A,#N/A,FALSE,"Survey"}</definedName>
    <definedName name="wrn.All._.Subs." hidden="1">{#N/A,#N/A,FALSE,"HVAC";#N/A,#N/A,FALSE,"Acoust. Clg.";#N/A,#N/A,FALSE,"Chain link";#N/A,#N/A,FALSE,"Electrical";#N/A,#N/A,FALSE,"Plaster";#N/A,#N/A,FALSE,"Plumbing";#N/A,#N/A,FALSE,"Site Util";#N/A,#N/A,FALSE,"Fire";#N/A,#N/A,FALSE,"Flooring";#N/A,#N/A,FALSE,"Paint";#N/A,#N/A,FALSE,"Drywall+";#N/A,#N/A,FALSE,"Roofing";#N/A,#N/A,FALSE,"Misc. Steel";#N/A,#N/A,FALSE,"Glass";#N/A,#N/A,FALSE,"Site Conc";#N/A,#N/A,FALSE,"Paving";#N/A,#N/A,FALSE,"Grading";#N/A,#N/A,FALSE,"Landscape";#N/A,#N/A,FALSE,"Trailer";#N/A,#N/A,FALSE,"Misc.";#N/A,#N/A,FALSE,"Doors";#N/A,#N/A,FALSE,"Demolition";#N/A,#N/A,FALSE,"Mtl Bldg";#N/A,#N/A,FALSE,"Survey"}</definedName>
    <definedName name="wrn.ALL._1" localSheetId="24" hidden="1">{#N/A,#N/A,FALSE,"PROG &amp; MARKET";#N/A,#N/A,FALSE,"SUMMARY";#N/A,#N/A,FALSE,"LANDSIDE -DETAIL";#N/A,#N/A,FALSE,"VESSEL"}</definedName>
    <definedName name="wrn.ALL._1" localSheetId="18" hidden="1">{#N/A,#N/A,FALSE,"PROG &amp; MARKET";#N/A,#N/A,FALSE,"SUMMARY";#N/A,#N/A,FALSE,"LANDSIDE -DETAIL";#N/A,#N/A,FALSE,"VESSEL"}</definedName>
    <definedName name="wrn.ALL._1" localSheetId="25" hidden="1">{#N/A,#N/A,FALSE,"PROG &amp; MARKET";#N/A,#N/A,FALSE,"SUMMARY";#N/A,#N/A,FALSE,"LANDSIDE -DETAIL";#N/A,#N/A,FALSE,"VESSEL"}</definedName>
    <definedName name="wrn.ALL._1" hidden="1">{#N/A,#N/A,FALSE,"PROG &amp; MARKET";#N/A,#N/A,FALSE,"SUMMARY";#N/A,#N/A,FALSE,"LANDSIDE -DETAIL";#N/A,#N/A,FALSE,"VESSEL"}</definedName>
    <definedName name="wrn.AnlaysisReports." localSheetId="24" hidden="1">{"State",#N/A,FALSE,"state";"Trust",#N/A,FALSE,"trust";"Alpha",#N/A,FALSE,"alpha";"RGM",#N/A,FALSE,"rgm";"Stab",#N/A,FALSE,"stab"}</definedName>
    <definedName name="wrn.AnlaysisReports." localSheetId="18" hidden="1">{"State",#N/A,FALSE,"state";"Trust",#N/A,FALSE,"trust";"Alpha",#N/A,FALSE,"alpha";"RGM",#N/A,FALSE,"rgm";"Stab",#N/A,FALSE,"stab"}</definedName>
    <definedName name="wrn.AnlaysisReports." localSheetId="25" hidden="1">{"State",#N/A,FALSE,"state";"Trust",#N/A,FALSE,"trust";"Alpha",#N/A,FALSE,"alpha";"RGM",#N/A,FALSE,"rgm";"Stab",#N/A,FALSE,"stab"}</definedName>
    <definedName name="wrn.AnlaysisReports." hidden="1">{"State",#N/A,FALSE,"state";"Trust",#N/A,FALSE,"trust";"Alpha",#N/A,FALSE,"alpha";"RGM",#N/A,FALSE,"rgm";"Stab",#N/A,FALSE,"stab"}</definedName>
    <definedName name="wrn.Annual._.Summary." localSheetId="24" hidden="1">{#N/A,#N/A,FALSE,"Annual Summary"}</definedName>
    <definedName name="wrn.Annual._.Summary." localSheetId="18" hidden="1">{#N/A,#N/A,FALSE,"Annual Summary"}</definedName>
    <definedName name="wrn.Annual._.Summary." localSheetId="25" hidden="1">{#N/A,#N/A,FALSE,"Annual Summary"}</definedName>
    <definedName name="wrn.Annual._.Summary." hidden="1">{#N/A,#N/A,FALSE,"Annual Summary"}</definedName>
    <definedName name="wrn.AnnualRentRoll" localSheetId="24" hidden="1">{"AnnualRentRoll",#N/A,FALSE,"RentRoll"}</definedName>
    <definedName name="wrn.AnnualRentRoll" localSheetId="18" hidden="1">{"AnnualRentRoll",#N/A,FALSE,"RentRoll"}</definedName>
    <definedName name="wrn.AnnualRentRoll" localSheetId="25" hidden="1">{"AnnualRentRoll",#N/A,FALSE,"RentRoll"}</definedName>
    <definedName name="wrn.AnnualRentRoll" hidden="1">{"AnnualRentRoll",#N/A,FALSE,"RentRoll"}</definedName>
    <definedName name="wrn.AnnualRentRoll." localSheetId="24" hidden="1">{"AnnualRentRoll",#N/A,FALSE,"RentRoll"}</definedName>
    <definedName name="wrn.AnnualRentRoll." localSheetId="18" hidden="1">{"AnnualRentRoll",#N/A,FALSE,"RentRoll"}</definedName>
    <definedName name="wrn.AnnualRentRoll." localSheetId="25" hidden="1">{"AnnualRentRoll",#N/A,FALSE,"RentRoll"}</definedName>
    <definedName name="wrn.AnnualRentRoll." hidden="1">{"AnnualRentRoll",#N/A,FALSE,"RentRoll"}</definedName>
    <definedName name="wrn.AnnualRentRoll._1" localSheetId="24" hidden="1">{"AnnualRentRoll",#N/A,FALSE,"RentRoll"}</definedName>
    <definedName name="wrn.AnnualRentRoll._1" localSheetId="18" hidden="1">{"AnnualRentRoll",#N/A,FALSE,"RentRoll"}</definedName>
    <definedName name="wrn.AnnualRentRoll._1" localSheetId="25" hidden="1">{"AnnualRentRoll",#N/A,FALSE,"RentRoll"}</definedName>
    <definedName name="wrn.AnnualRentRoll._1" hidden="1">{"AnnualRentRoll",#N/A,FALSE,"RentRoll"}</definedName>
    <definedName name="wrn.AnnualRentRoll_1" localSheetId="24" hidden="1">{"AnnualRentRoll",#N/A,FALSE,"RentRoll"}</definedName>
    <definedName name="wrn.AnnualRentRoll_1" localSheetId="18" hidden="1">{"AnnualRentRoll",#N/A,FALSE,"RentRoll"}</definedName>
    <definedName name="wrn.AnnualRentRoll_1" localSheetId="25" hidden="1">{"AnnualRentRoll",#N/A,FALSE,"RentRoll"}</definedName>
    <definedName name="wrn.AnnualRentRoll_1" hidden="1">{"AnnualRentRoll",#N/A,FALSE,"RentRoll"}</definedName>
    <definedName name="wrn.Appraisal." localSheetId="24" hidden="1">{#N/A,#N/A,FALSE,"APPRAISAL";#N/A,#N/A,FALSE,"APPRAISAL 2";#N/A,#N/A,FALSE,"APPRAISAL 3"}</definedName>
    <definedName name="wrn.Appraisal." localSheetId="18" hidden="1">{#N/A,#N/A,FALSE,"APPRAISAL";#N/A,#N/A,FALSE,"APPRAISAL 2";#N/A,#N/A,FALSE,"APPRAISAL 3"}</definedName>
    <definedName name="wrn.Appraisal." localSheetId="25" hidden="1">{#N/A,#N/A,FALSE,"APPRAISAL";#N/A,#N/A,FALSE,"APPRAISAL 2";#N/A,#N/A,FALSE,"APPRAISAL 3"}</definedName>
    <definedName name="wrn.Appraisal." hidden="1">{#N/A,#N/A,FALSE,"APPRAISAL";#N/A,#N/A,FALSE,"APPRAISAL 2";#N/A,#N/A,FALSE,"APPRAISAL 3"}</definedName>
    <definedName name="wrn.Asset._.Management." localSheetId="24" hidden="1">{#N/A,#N/A,FALSE,"ASSET MGMT."}</definedName>
    <definedName name="wrn.Asset._.Management." localSheetId="18" hidden="1">{#N/A,#N/A,FALSE,"ASSET MGMT."}</definedName>
    <definedName name="wrn.Asset._.Management." localSheetId="25" hidden="1">{#N/A,#N/A,FALSE,"ASSET MGMT."}</definedName>
    <definedName name="wrn.Asset._.Management." hidden="1">{#N/A,#N/A,FALSE,"ASSET MGMT."}</definedName>
    <definedName name="wrn.Assumptions." localSheetId="24" hidden="1">{"Food_Court_Leasing",#N/A,FALSE,"Assumptions"}</definedName>
    <definedName name="wrn.Assumptions." localSheetId="18" hidden="1">{"Food_Court_Leasing",#N/A,FALSE,"Assumptions"}</definedName>
    <definedName name="wrn.Assumptions." localSheetId="25" hidden="1">{"Food_Court_Leasing",#N/A,FALSE,"Assumptions"}</definedName>
    <definedName name="wrn.Assumptions." hidden="1">{"Food_Court_Leasing",#N/A,FALSE,"Assumptions"}</definedName>
    <definedName name="wrn.ASU." localSheetId="24" hidden="1">{#N/A,#N/A,FALSE,"Demo";#N/A,#N/A,FALSE,"Earth";#N/A,#N/A,FALSE,"Termite";#N/A,#N/A,FALSE,"Caisson";#N/A,#N/A,FALSE,"Landscape";#N/A,#N/A,FALSE,"SiteConc";#N/A,#N/A,FALSE,"Conc";#N/A,#N/A,FALSE,"Mason";#N/A,#N/A,FALSE,"Steel";#N/A,#N/A,FALSE,"MtlDeck";#N/A,#N/A,FALSE,"MiscMtl";#N/A,#N/A,FALSE,"WkSht1";#N/A,#N/A,FALSE,"P-Lam";#N/A,#N/A,FALSE,"WtrProof";#N/A,#N/A,FALSE,"Insul";#N/A,#N/A,FALSE,"Roof";#N/A,#N/A,FALSE,"Alum";#N/A,#N/A,FALSE,"ShtMtl";#N/A,#N/A,FALSE,"Skylt";#N/A,#N/A,FALSE,"Seal"}</definedName>
    <definedName name="wrn.ASU." localSheetId="18" hidden="1">{#N/A,#N/A,FALSE,"Demo";#N/A,#N/A,FALSE,"Earth";#N/A,#N/A,FALSE,"Termite";#N/A,#N/A,FALSE,"Caisson";#N/A,#N/A,FALSE,"Landscape";#N/A,#N/A,FALSE,"SiteConc";#N/A,#N/A,FALSE,"Conc";#N/A,#N/A,FALSE,"Mason";#N/A,#N/A,FALSE,"Steel";#N/A,#N/A,FALSE,"MtlDeck";#N/A,#N/A,FALSE,"MiscMtl";#N/A,#N/A,FALSE,"WkSht1";#N/A,#N/A,FALSE,"P-Lam";#N/A,#N/A,FALSE,"WtrProof";#N/A,#N/A,FALSE,"Insul";#N/A,#N/A,FALSE,"Roof";#N/A,#N/A,FALSE,"Alum";#N/A,#N/A,FALSE,"ShtMtl";#N/A,#N/A,FALSE,"Skylt";#N/A,#N/A,FALSE,"Seal"}</definedName>
    <definedName name="wrn.ASU." localSheetId="25" hidden="1">{#N/A,#N/A,FALSE,"Demo";#N/A,#N/A,FALSE,"Earth";#N/A,#N/A,FALSE,"Termite";#N/A,#N/A,FALSE,"Caisson";#N/A,#N/A,FALSE,"Landscape";#N/A,#N/A,FALSE,"SiteConc";#N/A,#N/A,FALSE,"Conc";#N/A,#N/A,FALSE,"Mason";#N/A,#N/A,FALSE,"Steel";#N/A,#N/A,FALSE,"MtlDeck";#N/A,#N/A,FALSE,"MiscMtl";#N/A,#N/A,FALSE,"WkSht1";#N/A,#N/A,FALSE,"P-Lam";#N/A,#N/A,FALSE,"WtrProof";#N/A,#N/A,FALSE,"Insul";#N/A,#N/A,FALSE,"Roof";#N/A,#N/A,FALSE,"Alum";#N/A,#N/A,FALSE,"ShtMtl";#N/A,#N/A,FALSE,"Skylt";#N/A,#N/A,FALSE,"Seal"}</definedName>
    <definedName name="wrn.ASU." hidden="1">{#N/A,#N/A,FALSE,"Demo";#N/A,#N/A,FALSE,"Earth";#N/A,#N/A,FALSE,"Termite";#N/A,#N/A,FALSE,"Caisson";#N/A,#N/A,FALSE,"Landscape";#N/A,#N/A,FALSE,"SiteConc";#N/A,#N/A,FALSE,"Conc";#N/A,#N/A,FALSE,"Mason";#N/A,#N/A,FALSE,"Steel";#N/A,#N/A,FALSE,"MtlDeck";#N/A,#N/A,FALSE,"MiscMtl";#N/A,#N/A,FALSE,"WkSht1";#N/A,#N/A,FALSE,"P-Lam";#N/A,#N/A,FALSE,"WtrProof";#N/A,#N/A,FALSE,"Insul";#N/A,#N/A,FALSE,"Roof";#N/A,#N/A,FALSE,"Alum";#N/A,#N/A,FALSE,"ShtMtl";#N/A,#N/A,FALSE,"Skylt";#N/A,#N/A,FALSE,"Seal"}</definedName>
    <definedName name="wrn.back._.up." localSheetId="24" hidden="1">{"AIR CONDITIONING",#N/A,FALSE,"A";"COST ALLOCATION",#N/A,FALSE,"A";"SUMMARY A",#N/A,FALSE,"A";"SUMMARY B",#N/A,FALSE,"A"}</definedName>
    <definedName name="wrn.back._.up." localSheetId="18" hidden="1">{"AIR CONDITIONING",#N/A,FALSE,"A";"COST ALLOCATION",#N/A,FALSE,"A";"SUMMARY A",#N/A,FALSE,"A";"SUMMARY B",#N/A,FALSE,"A"}</definedName>
    <definedName name="wrn.back._.up." localSheetId="25" hidden="1">{"AIR CONDITIONING",#N/A,FALSE,"A";"COST ALLOCATION",#N/A,FALSE,"A";"SUMMARY A",#N/A,FALSE,"A";"SUMMARY B",#N/A,FALSE,"A"}</definedName>
    <definedName name="wrn.back._.up." hidden="1">{"AIR CONDITIONING",#N/A,FALSE,"A";"COST ALLOCATION",#N/A,FALSE,"A";"SUMMARY A",#N/A,FALSE,"A";"SUMMARY B",#N/A,FALSE,"A"}</definedName>
    <definedName name="wrn.balance._.france." localSheetId="24"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 localSheetId="18"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 localSheetId="25"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_1" localSheetId="24"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_1" localSheetId="18"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_1" localSheetId="25"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_1"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L94TAXRETURN." localSheetId="24"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 localSheetId="18"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 localSheetId="25"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_1" localSheetId="24"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_1" localSheetId="18"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_1" localSheetId="25"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_1"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ue._.Book._.Sections." localSheetId="24" hidden="1">{#N/A,#N/A,TRUE,"Summary";#N/A,#N/A,TRUE,"Program Scheme";#N/A,#N/A,TRUE,"Assumptions";#N/A,#N/A,TRUE,"Development Budget &amp; Timing";#N/A,#N/A,TRUE,"Cash Flow";#N/A,#N/A,TRUE,"Cash Flow to Debt &amp; Equity"}</definedName>
    <definedName name="wrn.Blue._.Book._.Sections." localSheetId="18" hidden="1">{#N/A,#N/A,TRUE,"Summary";#N/A,#N/A,TRUE,"Program Scheme";#N/A,#N/A,TRUE,"Assumptions";#N/A,#N/A,TRUE,"Development Budget &amp; Timing";#N/A,#N/A,TRUE,"Cash Flow";#N/A,#N/A,TRUE,"Cash Flow to Debt &amp; Equity"}</definedName>
    <definedName name="wrn.Blue._.Book._.Sections." localSheetId="25" hidden="1">{#N/A,#N/A,TRUE,"Summary";#N/A,#N/A,TRUE,"Program Scheme";#N/A,#N/A,TRUE,"Assumptions";#N/A,#N/A,TRUE,"Development Budget &amp; Timing";#N/A,#N/A,TRUE,"Cash Flow";#N/A,#N/A,TRUE,"Cash Flow to Debt &amp; Equity"}</definedName>
    <definedName name="wrn.Blue._.Book._.Sections." hidden="1">{#N/A,#N/A,TRUE,"Summary";#N/A,#N/A,TRUE,"Program Scheme";#N/A,#N/A,TRUE,"Assumptions";#N/A,#N/A,TRUE,"Development Budget &amp; Timing";#N/A,#N/A,TRUE,"Cash Flow";#N/A,#N/A,TRUE,"Cash Flow to Debt &amp; Equity"}</definedName>
    <definedName name="wrn.BM." localSheetId="24" hidden="1">{#N/A,#N/A,FALSE,"CCTV"}</definedName>
    <definedName name="wrn.BM." localSheetId="18" hidden="1">{#N/A,#N/A,FALSE,"CCTV"}</definedName>
    <definedName name="wrn.BM." localSheetId="25" hidden="1">{#N/A,#N/A,FALSE,"CCTV"}</definedName>
    <definedName name="wrn.BM." hidden="1">{#N/A,#N/A,FALSE,"CCTV"}</definedName>
    <definedName name="WRN.BOBB"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 localSheetId="25"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b"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b"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b" localSheetId="25"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b"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ndi." localSheetId="24" hidden="1">{#N/A,#N/A,TRUE,"Summary1";#N/A,#N/A,TRUE,"Summary2";#N/A,#N/A,TRUE,"Var";#N/A,#N/A,TRUE,"nvp";#N/A,#N/A,TRUE,"Ext-Shops"}</definedName>
    <definedName name="wrn.Bondi." localSheetId="18" hidden="1">{#N/A,#N/A,TRUE,"Summary1";#N/A,#N/A,TRUE,"Summary2";#N/A,#N/A,TRUE,"Var";#N/A,#N/A,TRUE,"nvp";#N/A,#N/A,TRUE,"Ext-Shops"}</definedName>
    <definedName name="wrn.Bondi." localSheetId="25" hidden="1">{#N/A,#N/A,TRUE,"Summary1";#N/A,#N/A,TRUE,"Summary2";#N/A,#N/A,TRUE,"Var";#N/A,#N/A,TRUE,"nvp";#N/A,#N/A,TRUE,"Ext-Shops"}</definedName>
    <definedName name="wrn.Bondi." hidden="1">{#N/A,#N/A,TRUE,"Summary1";#N/A,#N/A,TRUE,"Summary2";#N/A,#N/A,TRUE,"Var";#N/A,#N/A,TRUE,"nvp";#N/A,#N/A,TRUE,"Ext-Shops"}</definedName>
    <definedName name="wrn.budget." localSheetId="24" hidden="1">{"budget1",#N/A,FALSE,"BUDG.XLS";"budget2",#N/A,FALSE,"BUDG.XLS"}</definedName>
    <definedName name="wrn.budget." localSheetId="18" hidden="1">{"budget1",#N/A,FALSE,"BUDG.XLS";"budget2",#N/A,FALSE,"BUDG.XLS"}</definedName>
    <definedName name="wrn.budget." localSheetId="25" hidden="1">{"budget1",#N/A,FALSE,"BUDG.XLS";"budget2",#N/A,FALSE,"BUDG.XLS"}</definedName>
    <definedName name="wrn.budget." hidden="1">{"budget1",#N/A,FALSE,"BUDG.XLS";"budget2",#N/A,FALSE,"BUDG.XLS"}</definedName>
    <definedName name="wrn.Budget._.Reports." localSheetId="24" hidden="1">{#N/A,#N/A,TRUE,"Fly Page";#N/A,#N/A,TRUE,"Grand Summary";#N/A,#N/A,TRUE,"Profit &amp; Loss";#N/A,#N/A,TRUE,"Summary";#N/A,#N/A,TRUE,"Bars";#N/A,#N/A,TRUE,"Balcony";#N/A,#N/A,TRUE,"Bottle Shops";#N/A,#N/A,TRUE,"Gaming";#N/A,#N/A,TRUE,"Poker machines";#N/A,#N/A,TRUE,"Food";#N/A,#N/A,TRUE,"FY2003 Sales";#N/A,#N/A,TRUE,"FY2002 Sales";#N/A,#N/A,TRUE,"Gross Profit";#N/A,#N/A,TRUE,"FY2003 Gross Profit";#N/A,#N/A,TRUE,"FY2003 Wages";#N/A,#N/A,TRUE,"FY2002 Wages";#N/A,#N/A,TRUE,"Bottle Shop wages";#N/A,#N/A,TRUE,"Beaches Wages";#N/A,#N/A,TRUE,"Public Bar Wages";#N/A,#N/A,TRUE,"Balcony Wages";#N/A,#N/A,TRUE,"Audit fees";#N/A,#N/A,TRUE,"Account fees";#N/A,#N/A,TRUE,"Communications";#N/A,#N/A,TRUE,"Consultants";#N/A,#N/A,TRUE,"Donations";#N/A,#N/A,TRUE,"Insurance";#N/A,#N/A,TRUE,"Odyssey fees";#N/A,#N/A,TRUE,"Motor Vehicles";#N/A,#N/A,TRUE,"Subscriptions";#N/A,#N/A,TRUE,"Travel";#N/A,#N/A,TRUE,"Advertising";#N/A,#N/A,TRUE,"Taxes";#N/A,#N/A,TRUE,"Cleaning";#N/A,#N/A,TRUE,"Electricity";#N/A,#N/A,TRUE,"Consumables";#N/A,#N/A,TRUE,"Entertainment Summary";#N/A,#N/A,TRUE,"Entertainment";#N/A,#N/A,TRUE,"Balcony DJ";#N/A,#N/A,TRUE,"Fees &amp; Permits";#N/A,#N/A,TRUE,"Freight";#N/A,#N/A,TRUE,"Gas";#N/A,#N/A,TRUE,"Human resources";#N/A,#N/A,TRUE,"Hire";#N/A,#N/A,TRUE,"Keno Expenses";#N/A,#N/A,TRUE,"Promotion Allow";#N/A,#N/A,TRUE,"Promotions";#N/A,#N/A,TRUE,"Bars Promotions";#N/A,#N/A,TRUE,"Balcony promotions";#N/A,#N/A,TRUE,"Food Promotions";#N/A,#N/A,TRUE,"Gaming promotions";#N/A,#N/A,TRUE,"Rental";#N/A,#N/A,TRUE,"Repairs";#N/A,#N/A,TRUE,"Repairs Sheet";#N/A,#N/A,TRUE,"Replacements";#N/A,#N/A,TRUE,"Security";#N/A,#N/A,TRUE,"Public Bar Security ";#N/A,#N/A,TRUE,"Fire &amp; Safety";#N/A,#N/A,TRUE,"Staff"}</definedName>
    <definedName name="wrn.Budget._.Reports." localSheetId="18" hidden="1">{#N/A,#N/A,TRUE,"Fly Page";#N/A,#N/A,TRUE,"Grand Summary";#N/A,#N/A,TRUE,"Profit &amp; Loss";#N/A,#N/A,TRUE,"Summary";#N/A,#N/A,TRUE,"Bars";#N/A,#N/A,TRUE,"Balcony";#N/A,#N/A,TRUE,"Bottle Shops";#N/A,#N/A,TRUE,"Gaming";#N/A,#N/A,TRUE,"Poker machines";#N/A,#N/A,TRUE,"Food";#N/A,#N/A,TRUE,"FY2003 Sales";#N/A,#N/A,TRUE,"FY2002 Sales";#N/A,#N/A,TRUE,"Gross Profit";#N/A,#N/A,TRUE,"FY2003 Gross Profit";#N/A,#N/A,TRUE,"FY2003 Wages";#N/A,#N/A,TRUE,"FY2002 Wages";#N/A,#N/A,TRUE,"Bottle Shop wages";#N/A,#N/A,TRUE,"Beaches Wages";#N/A,#N/A,TRUE,"Public Bar Wages";#N/A,#N/A,TRUE,"Balcony Wages";#N/A,#N/A,TRUE,"Audit fees";#N/A,#N/A,TRUE,"Account fees";#N/A,#N/A,TRUE,"Communications";#N/A,#N/A,TRUE,"Consultants";#N/A,#N/A,TRUE,"Donations";#N/A,#N/A,TRUE,"Insurance";#N/A,#N/A,TRUE,"Odyssey fees";#N/A,#N/A,TRUE,"Motor Vehicles";#N/A,#N/A,TRUE,"Subscriptions";#N/A,#N/A,TRUE,"Travel";#N/A,#N/A,TRUE,"Advertising";#N/A,#N/A,TRUE,"Taxes";#N/A,#N/A,TRUE,"Cleaning";#N/A,#N/A,TRUE,"Electricity";#N/A,#N/A,TRUE,"Consumables";#N/A,#N/A,TRUE,"Entertainment Summary";#N/A,#N/A,TRUE,"Entertainment";#N/A,#N/A,TRUE,"Balcony DJ";#N/A,#N/A,TRUE,"Fees &amp; Permits";#N/A,#N/A,TRUE,"Freight";#N/A,#N/A,TRUE,"Gas";#N/A,#N/A,TRUE,"Human resources";#N/A,#N/A,TRUE,"Hire";#N/A,#N/A,TRUE,"Keno Expenses";#N/A,#N/A,TRUE,"Promotion Allow";#N/A,#N/A,TRUE,"Promotions";#N/A,#N/A,TRUE,"Bars Promotions";#N/A,#N/A,TRUE,"Balcony promotions";#N/A,#N/A,TRUE,"Food Promotions";#N/A,#N/A,TRUE,"Gaming promotions";#N/A,#N/A,TRUE,"Rental";#N/A,#N/A,TRUE,"Repairs";#N/A,#N/A,TRUE,"Repairs Sheet";#N/A,#N/A,TRUE,"Replacements";#N/A,#N/A,TRUE,"Security";#N/A,#N/A,TRUE,"Public Bar Security ";#N/A,#N/A,TRUE,"Fire &amp; Safety";#N/A,#N/A,TRUE,"Staff"}</definedName>
    <definedName name="wrn.Budget._.Reports." localSheetId="25" hidden="1">{#N/A,#N/A,TRUE,"Fly Page";#N/A,#N/A,TRUE,"Grand Summary";#N/A,#N/A,TRUE,"Profit &amp; Loss";#N/A,#N/A,TRUE,"Summary";#N/A,#N/A,TRUE,"Bars";#N/A,#N/A,TRUE,"Balcony";#N/A,#N/A,TRUE,"Bottle Shops";#N/A,#N/A,TRUE,"Gaming";#N/A,#N/A,TRUE,"Poker machines";#N/A,#N/A,TRUE,"Food";#N/A,#N/A,TRUE,"FY2003 Sales";#N/A,#N/A,TRUE,"FY2002 Sales";#N/A,#N/A,TRUE,"Gross Profit";#N/A,#N/A,TRUE,"FY2003 Gross Profit";#N/A,#N/A,TRUE,"FY2003 Wages";#N/A,#N/A,TRUE,"FY2002 Wages";#N/A,#N/A,TRUE,"Bottle Shop wages";#N/A,#N/A,TRUE,"Beaches Wages";#N/A,#N/A,TRUE,"Public Bar Wages";#N/A,#N/A,TRUE,"Balcony Wages";#N/A,#N/A,TRUE,"Audit fees";#N/A,#N/A,TRUE,"Account fees";#N/A,#N/A,TRUE,"Communications";#N/A,#N/A,TRUE,"Consultants";#N/A,#N/A,TRUE,"Donations";#N/A,#N/A,TRUE,"Insurance";#N/A,#N/A,TRUE,"Odyssey fees";#N/A,#N/A,TRUE,"Motor Vehicles";#N/A,#N/A,TRUE,"Subscriptions";#N/A,#N/A,TRUE,"Travel";#N/A,#N/A,TRUE,"Advertising";#N/A,#N/A,TRUE,"Taxes";#N/A,#N/A,TRUE,"Cleaning";#N/A,#N/A,TRUE,"Electricity";#N/A,#N/A,TRUE,"Consumables";#N/A,#N/A,TRUE,"Entertainment Summary";#N/A,#N/A,TRUE,"Entertainment";#N/A,#N/A,TRUE,"Balcony DJ";#N/A,#N/A,TRUE,"Fees &amp; Permits";#N/A,#N/A,TRUE,"Freight";#N/A,#N/A,TRUE,"Gas";#N/A,#N/A,TRUE,"Human resources";#N/A,#N/A,TRUE,"Hire";#N/A,#N/A,TRUE,"Keno Expenses";#N/A,#N/A,TRUE,"Promotion Allow";#N/A,#N/A,TRUE,"Promotions";#N/A,#N/A,TRUE,"Bars Promotions";#N/A,#N/A,TRUE,"Balcony promotions";#N/A,#N/A,TRUE,"Food Promotions";#N/A,#N/A,TRUE,"Gaming promotions";#N/A,#N/A,TRUE,"Rental";#N/A,#N/A,TRUE,"Repairs";#N/A,#N/A,TRUE,"Repairs Sheet";#N/A,#N/A,TRUE,"Replacements";#N/A,#N/A,TRUE,"Security";#N/A,#N/A,TRUE,"Public Bar Security ";#N/A,#N/A,TRUE,"Fire &amp; Safety";#N/A,#N/A,TRUE,"Staff"}</definedName>
    <definedName name="wrn.Budget._.Reports." hidden="1">{#N/A,#N/A,TRUE,"Fly Page";#N/A,#N/A,TRUE,"Grand Summary";#N/A,#N/A,TRUE,"Profit &amp; Loss";#N/A,#N/A,TRUE,"Summary";#N/A,#N/A,TRUE,"Bars";#N/A,#N/A,TRUE,"Balcony";#N/A,#N/A,TRUE,"Bottle Shops";#N/A,#N/A,TRUE,"Gaming";#N/A,#N/A,TRUE,"Poker machines";#N/A,#N/A,TRUE,"Food";#N/A,#N/A,TRUE,"FY2003 Sales";#N/A,#N/A,TRUE,"FY2002 Sales";#N/A,#N/A,TRUE,"Gross Profit";#N/A,#N/A,TRUE,"FY2003 Gross Profit";#N/A,#N/A,TRUE,"FY2003 Wages";#N/A,#N/A,TRUE,"FY2002 Wages";#N/A,#N/A,TRUE,"Bottle Shop wages";#N/A,#N/A,TRUE,"Beaches Wages";#N/A,#N/A,TRUE,"Public Bar Wages";#N/A,#N/A,TRUE,"Balcony Wages";#N/A,#N/A,TRUE,"Audit fees";#N/A,#N/A,TRUE,"Account fees";#N/A,#N/A,TRUE,"Communications";#N/A,#N/A,TRUE,"Consultants";#N/A,#N/A,TRUE,"Donations";#N/A,#N/A,TRUE,"Insurance";#N/A,#N/A,TRUE,"Odyssey fees";#N/A,#N/A,TRUE,"Motor Vehicles";#N/A,#N/A,TRUE,"Subscriptions";#N/A,#N/A,TRUE,"Travel";#N/A,#N/A,TRUE,"Advertising";#N/A,#N/A,TRUE,"Taxes";#N/A,#N/A,TRUE,"Cleaning";#N/A,#N/A,TRUE,"Electricity";#N/A,#N/A,TRUE,"Consumables";#N/A,#N/A,TRUE,"Entertainment Summary";#N/A,#N/A,TRUE,"Entertainment";#N/A,#N/A,TRUE,"Balcony DJ";#N/A,#N/A,TRUE,"Fees &amp; Permits";#N/A,#N/A,TRUE,"Freight";#N/A,#N/A,TRUE,"Gas";#N/A,#N/A,TRUE,"Human resources";#N/A,#N/A,TRUE,"Hire";#N/A,#N/A,TRUE,"Keno Expenses";#N/A,#N/A,TRUE,"Promotion Allow";#N/A,#N/A,TRUE,"Promotions";#N/A,#N/A,TRUE,"Bars Promotions";#N/A,#N/A,TRUE,"Balcony promotions";#N/A,#N/A,TRUE,"Food Promotions";#N/A,#N/A,TRUE,"Gaming promotions";#N/A,#N/A,TRUE,"Rental";#N/A,#N/A,TRUE,"Repairs";#N/A,#N/A,TRUE,"Repairs Sheet";#N/A,#N/A,TRUE,"Replacements";#N/A,#N/A,TRUE,"Security";#N/A,#N/A,TRUE,"Public Bar Security ";#N/A,#N/A,TRUE,"Fire &amp; Safety";#N/A,#N/A,TRUE,"Staff"}</definedName>
    <definedName name="wrn.budget._1" localSheetId="24" hidden="1">{"budget1",#N/A,FALSE,"BUDG.XLS";"budget2",#N/A,FALSE,"BUDG.XLS"}</definedName>
    <definedName name="wrn.budget._1" localSheetId="18" hidden="1">{"budget1",#N/A,FALSE,"BUDG.XLS";"budget2",#N/A,FALSE,"BUDG.XLS"}</definedName>
    <definedName name="wrn.budget._1" localSheetId="25" hidden="1">{"budget1",#N/A,FALSE,"BUDG.XLS";"budget2",#N/A,FALSE,"BUDG.XLS"}</definedName>
    <definedName name="wrn.budget._1" hidden="1">{"budget1",#N/A,FALSE,"BUDG.XLS";"budget2",#N/A,FALSE,"BUDG.XLS"}</definedName>
    <definedName name="wrn.Burwood._.Report." localSheetId="24" hidden="1">{#N/A,#N/A,FALSE,"SUM1";#N/A,#N/A,FALSE,"SUM2";#N/A,#N/A,FALSE,"KEY";#N/A,#N/A,FALSE,"ADD";#N/A,#N/A,FALSE,"EXT-SHOP";#N/A,#N/A,FALSE,"STORE";#N/A,#N/A,FALSE,"LOST"}</definedName>
    <definedName name="wrn.Burwood._.Report." localSheetId="18" hidden="1">{#N/A,#N/A,FALSE,"SUM1";#N/A,#N/A,FALSE,"SUM2";#N/A,#N/A,FALSE,"KEY";#N/A,#N/A,FALSE,"ADD";#N/A,#N/A,FALSE,"EXT-SHOP";#N/A,#N/A,FALSE,"STORE";#N/A,#N/A,FALSE,"LOST"}</definedName>
    <definedName name="wrn.Burwood._.Report." localSheetId="25" hidden="1">{#N/A,#N/A,FALSE,"SUM1";#N/A,#N/A,FALSE,"SUM2";#N/A,#N/A,FALSE,"KEY";#N/A,#N/A,FALSE,"ADD";#N/A,#N/A,FALSE,"EXT-SHOP";#N/A,#N/A,FALSE,"STORE";#N/A,#N/A,FALSE,"LOST"}</definedName>
    <definedName name="wrn.Burwood._.Report." hidden="1">{#N/A,#N/A,FALSE,"SUM1";#N/A,#N/A,FALSE,"SUM2";#N/A,#N/A,FALSE,"KEY";#N/A,#N/A,FALSE,"ADD";#N/A,#N/A,FALSE,"EXT-SHOP";#N/A,#N/A,FALSE,"STORE";#N/A,#N/A,FALSE,"LOST"}</definedName>
    <definedName name="wrn.C._.TYPE." localSheetId="24" hidden="1">{"TYPECinclLT",#N/A,FALSE,"budget statements";"TYPECexclLT",#N/A,FALSE,"budget statements"}</definedName>
    <definedName name="wrn.C._.TYPE." localSheetId="18" hidden="1">{"TYPECinclLT",#N/A,FALSE,"budget statements";"TYPECexclLT",#N/A,FALSE,"budget statements"}</definedName>
    <definedName name="wrn.C._.TYPE." localSheetId="25" hidden="1">{"TYPECinclLT",#N/A,FALSE,"budget statements";"TYPECexclLT",#N/A,FALSE,"budget statements"}</definedName>
    <definedName name="wrn.C._.TYPE." hidden="1">{"TYPECinclLT",#N/A,FALSE,"budget statements";"TYPECexclLT",#N/A,FALSE,"budget statements"}</definedName>
    <definedName name="wrn.CAPA." localSheetId="24" hidden="1">{#N/A,#N/A,FALSE,"상재GS";#N/A,#N/A,FALSE,"상재GM";#N/A,#N/A,FALSE,"건재";#N/A,#N/A,FALSE,"SBR";#N/A,#N/A,FALSE,"부품";#N/A,#N/A,FALSE,"기능자재";#N/A,#N/A,FALSE,"특수"}</definedName>
    <definedName name="wrn.CAPA." localSheetId="18" hidden="1">{#N/A,#N/A,FALSE,"상재GS";#N/A,#N/A,FALSE,"상재GM";#N/A,#N/A,FALSE,"건재";#N/A,#N/A,FALSE,"SBR";#N/A,#N/A,FALSE,"부품";#N/A,#N/A,FALSE,"기능자재";#N/A,#N/A,FALSE,"특수"}</definedName>
    <definedName name="wrn.CAPA." localSheetId="25" hidden="1">{#N/A,#N/A,FALSE,"상재GS";#N/A,#N/A,FALSE,"상재GM";#N/A,#N/A,FALSE,"건재";#N/A,#N/A,FALSE,"SBR";#N/A,#N/A,FALSE,"부품";#N/A,#N/A,FALSE,"기능자재";#N/A,#N/A,FALSE,"특수"}</definedName>
    <definedName name="wrn.CAPA." hidden="1">{#N/A,#N/A,FALSE,"상재GS";#N/A,#N/A,FALSE,"상재GM";#N/A,#N/A,FALSE,"건재";#N/A,#N/A,FALSE,"SBR";#N/A,#N/A,FALSE,"부품";#N/A,#N/A,FALSE,"기능자재";#N/A,#N/A,FALSE,"특수"}</definedName>
    <definedName name="wrn.CAPA2." localSheetId="24" hidden="1">{#N/A,#N/A,FALSE,"보고";#N/A,#N/A,FALSE,"유첨"}</definedName>
    <definedName name="wrn.CAPA2." localSheetId="18" hidden="1">{#N/A,#N/A,FALSE,"보고";#N/A,#N/A,FALSE,"유첨"}</definedName>
    <definedName name="wrn.CAPA2." localSheetId="25" hidden="1">{#N/A,#N/A,FALSE,"보고";#N/A,#N/A,FALSE,"유첨"}</definedName>
    <definedName name="wrn.CAPA2." hidden="1">{#N/A,#N/A,FALSE,"보고";#N/A,#N/A,FALSE,"유첨"}</definedName>
    <definedName name="wrn.Capex." localSheetId="24" hidden="1">{#N/A,#N/A,TRUE,"Capex Summ";#N/A,#N/A,TRUE,"Essential Works.tw";#N/A,#N/A,TRUE,"Desirable Works.tw";#N/A,#N/A,TRUE,"Essential Works.rt";#N/A,#N/A,TRUE,"Desirable Works.rt";#N/A,#N/A,TRUE,"Mthly";#N/A,#N/A,TRUE,"Essential Works.ht";#N/A,#N/A,TRUE,"Desirable Works.ht";#N/A,#N/A,TRUE,"Incentives"}</definedName>
    <definedName name="wrn.Capex." localSheetId="18" hidden="1">{#N/A,#N/A,TRUE,"Capex Summ";#N/A,#N/A,TRUE,"Essential Works.tw";#N/A,#N/A,TRUE,"Desirable Works.tw";#N/A,#N/A,TRUE,"Essential Works.rt";#N/A,#N/A,TRUE,"Desirable Works.rt";#N/A,#N/A,TRUE,"Mthly";#N/A,#N/A,TRUE,"Essential Works.ht";#N/A,#N/A,TRUE,"Desirable Works.ht";#N/A,#N/A,TRUE,"Incentives"}</definedName>
    <definedName name="wrn.Capex." localSheetId="25" hidden="1">{#N/A,#N/A,TRUE,"Capex Summ";#N/A,#N/A,TRUE,"Essential Works.tw";#N/A,#N/A,TRUE,"Desirable Works.tw";#N/A,#N/A,TRUE,"Essential Works.rt";#N/A,#N/A,TRUE,"Desirable Works.rt";#N/A,#N/A,TRUE,"Mthly";#N/A,#N/A,TRUE,"Essential Works.ht";#N/A,#N/A,TRUE,"Desirable Works.ht";#N/A,#N/A,TRUE,"Incentives"}</definedName>
    <definedName name="wrn.Capex." hidden="1">{#N/A,#N/A,TRUE,"Capex Summ";#N/A,#N/A,TRUE,"Essential Works.tw";#N/A,#N/A,TRUE,"Desirable Works.tw";#N/A,#N/A,TRUE,"Essential Works.rt";#N/A,#N/A,TRUE,"Desirable Works.rt";#N/A,#N/A,TRUE,"Mthly";#N/A,#N/A,TRUE,"Essential Works.ht";#N/A,#N/A,TRUE,"Desirable Works.ht";#N/A,#N/A,TRUE,"Incentives"}</definedName>
    <definedName name="wrn.Capex2" localSheetId="24" hidden="1">{#N/A,#N/A,TRUE,"Capex Summ";#N/A,#N/A,TRUE,"Essential Works.tw";#N/A,#N/A,TRUE,"Desirable Works.tw";#N/A,#N/A,TRUE,"Essential Works.rt";#N/A,#N/A,TRUE,"Desirable Works.rt";#N/A,#N/A,TRUE,"Mthly";#N/A,#N/A,TRUE,"Essential Works.ht";#N/A,#N/A,TRUE,"Desirable Works.ht";#N/A,#N/A,TRUE,"Incentives"}</definedName>
    <definedName name="wrn.Capex2" localSheetId="18" hidden="1">{#N/A,#N/A,TRUE,"Capex Summ";#N/A,#N/A,TRUE,"Essential Works.tw";#N/A,#N/A,TRUE,"Desirable Works.tw";#N/A,#N/A,TRUE,"Essential Works.rt";#N/A,#N/A,TRUE,"Desirable Works.rt";#N/A,#N/A,TRUE,"Mthly";#N/A,#N/A,TRUE,"Essential Works.ht";#N/A,#N/A,TRUE,"Desirable Works.ht";#N/A,#N/A,TRUE,"Incentives"}</definedName>
    <definedName name="wrn.Capex2" localSheetId="25" hidden="1">{#N/A,#N/A,TRUE,"Capex Summ";#N/A,#N/A,TRUE,"Essential Works.tw";#N/A,#N/A,TRUE,"Desirable Works.tw";#N/A,#N/A,TRUE,"Essential Works.rt";#N/A,#N/A,TRUE,"Desirable Works.rt";#N/A,#N/A,TRUE,"Mthly";#N/A,#N/A,TRUE,"Essential Works.ht";#N/A,#N/A,TRUE,"Desirable Works.ht";#N/A,#N/A,TRUE,"Incentives"}</definedName>
    <definedName name="wrn.Capex2" hidden="1">{#N/A,#N/A,TRUE,"Capex Summ";#N/A,#N/A,TRUE,"Essential Works.tw";#N/A,#N/A,TRUE,"Desirable Works.tw";#N/A,#N/A,TRUE,"Essential Works.rt";#N/A,#N/A,TRUE,"Desirable Works.rt";#N/A,#N/A,TRUE,"Mthly";#N/A,#N/A,TRUE,"Essential Works.ht";#N/A,#N/A,TRUE,"Desirable Works.ht";#N/A,#N/A,TRUE,"Incentives"}</definedName>
    <definedName name="wrn.CAPREIT." localSheetId="24" hidden="1">{#N/A,#N/A,FALSE,"CAPREIT"}</definedName>
    <definedName name="wrn.CAPREIT." localSheetId="18" hidden="1">{#N/A,#N/A,FALSE,"CAPREIT"}</definedName>
    <definedName name="wrn.CAPREIT." localSheetId="25" hidden="1">{#N/A,#N/A,FALSE,"CAPREIT"}</definedName>
    <definedName name="wrn.CAPREIT." hidden="1">{#N/A,#N/A,FALSE,"CAPREIT"}</definedName>
    <definedName name="wrn.CAPREIT2" localSheetId="24" hidden="1">{#N/A,#N/A,FALSE,"CAPREIT"}</definedName>
    <definedName name="wrn.CAPREIT2" localSheetId="18" hidden="1">{#N/A,#N/A,FALSE,"CAPREIT"}</definedName>
    <definedName name="wrn.CAPREIT2" localSheetId="25" hidden="1">{#N/A,#N/A,FALSE,"CAPREIT"}</definedName>
    <definedName name="wrn.CAPREIT2" hidden="1">{#N/A,#N/A,FALSE,"CAPREIT"}</definedName>
    <definedName name="wrn.Cash._.Flow._.Anal." localSheetId="24" hidden="1">{"CF",#N/A,FALSE,"Cash Flow";"RET",#N/A,FALSE,"Returns";"NPV",#N/A,FALSE,"Values";"ASMPT",#N/A,FALSE,"Assumptions"}</definedName>
    <definedName name="wrn.Cash._.Flow._.Anal." localSheetId="18" hidden="1">{"CF",#N/A,FALSE,"Cash Flow";"RET",#N/A,FALSE,"Returns";"NPV",#N/A,FALSE,"Values";"ASMPT",#N/A,FALSE,"Assumptions"}</definedName>
    <definedName name="wrn.Cash._.Flow._.Anal." localSheetId="25" hidden="1">{"CF",#N/A,FALSE,"Cash Flow";"RET",#N/A,FALSE,"Returns";"NPV",#N/A,FALSE,"Values";"ASMPT",#N/A,FALSE,"Assumptions"}</definedName>
    <definedName name="wrn.Cash._.Flow._.Anal." hidden="1">{"CF",#N/A,FALSE,"Cash Flow";"RET",#N/A,FALSE,"Returns";"NPV",#N/A,FALSE,"Values";"ASMPT",#N/A,FALSE,"Assumptions"}</definedName>
    <definedName name="wrn.Cash._.Flow._.Analysis." localSheetId="24" hidden="1">{"CF",#N/A,FALSE,"Cash Flow";"RET",#N/A,FALSE,"Returns";"NPV",#N/A,FALSE,"Values";"ASMPT",#N/A,FALSE,"Assumptions"}</definedName>
    <definedName name="wrn.Cash._.Flow._.Analysis." localSheetId="18" hidden="1">{"CF",#N/A,FALSE,"Cash Flow";"RET",#N/A,FALSE,"Returns";"NPV",#N/A,FALSE,"Values";"ASMPT",#N/A,FALSE,"Assumptions"}</definedName>
    <definedName name="wrn.Cash._.Flow._.Analysis." localSheetId="25" hidden="1">{"CF",#N/A,FALSE,"Cash Flow";"RET",#N/A,FALSE,"Returns";"NPV",#N/A,FALSE,"Values";"ASMPT",#N/A,FALSE,"Assumptions"}</definedName>
    <definedName name="wrn.Cash._.Flow._.Analysis." hidden="1">{"CF",#N/A,FALSE,"Cash Flow";"RET",#N/A,FALSE,"Returns";"NPV",#N/A,FALSE,"Values";"ASMPT",#N/A,FALSE,"Assumptions"}</definedName>
    <definedName name="wrn.Cash._.Flow._.Analysis.15" localSheetId="24" hidden="1">{"CF",#N/A,FALSE,"Cash Flow";"RET",#N/A,FALSE,"Returns";"NPV",#N/A,FALSE,"Values";"ASMPT",#N/A,FALSE,"Assumptions"}</definedName>
    <definedName name="wrn.Cash._.Flow._.Analysis.15" localSheetId="18" hidden="1">{"CF",#N/A,FALSE,"Cash Flow";"RET",#N/A,FALSE,"Returns";"NPV",#N/A,FALSE,"Values";"ASMPT",#N/A,FALSE,"Assumptions"}</definedName>
    <definedName name="wrn.Cash._.Flow._.Analysis.15" localSheetId="25" hidden="1">{"CF",#N/A,FALSE,"Cash Flow";"RET",#N/A,FALSE,"Returns";"NPV",#N/A,FALSE,"Values";"ASMPT",#N/A,FALSE,"Assumptions"}</definedName>
    <definedName name="wrn.Cash._.Flow._.Analysis.15" hidden="1">{"CF",#N/A,FALSE,"Cash Flow";"RET",#N/A,FALSE,"Returns";"NPV",#N/A,FALSE,"Values";"ASMPT",#N/A,FALSE,"Assumptions"}</definedName>
    <definedName name="wrn.cash._.flow_.analysiswaterfall" localSheetId="24" hidden="1">{"CF",#N/A,FALSE,"Cash Flow";"RET",#N/A,FALSE,"Returns";"NPV",#N/A,FALSE,"Values";"ASMPT",#N/A,FALSE,"Assumptions"}</definedName>
    <definedName name="wrn.cash._.flow_.analysiswaterfall" localSheetId="18" hidden="1">{"CF",#N/A,FALSE,"Cash Flow";"RET",#N/A,FALSE,"Returns";"NPV",#N/A,FALSE,"Values";"ASMPT",#N/A,FALSE,"Assumptions"}</definedName>
    <definedName name="wrn.cash._.flow_.analysiswaterfall" localSheetId="25" hidden="1">{"CF",#N/A,FALSE,"Cash Flow";"RET",#N/A,FALSE,"Returns";"NPV",#N/A,FALSE,"Values";"ASMPT",#N/A,FALSE,"Assumptions"}</definedName>
    <definedName name="wrn.cash._.flow_.analysiswaterfall" hidden="1">{"CF",#N/A,FALSE,"Cash Flow";"RET",#N/A,FALSE,"Returns";"NPV",#N/A,FALSE,"Values";"ASMPT",#N/A,FALSE,"Assumptions"}</definedName>
    <definedName name="wrn.cash.both" localSheetId="24" hidden="1">{"CF",#N/A,FALSE,"Cash Flow";"RET",#N/A,FALSE,"Returns";"NPV",#N/A,FALSE,"Values";"ASMPT",#N/A,FALSE,"Assumptions"}</definedName>
    <definedName name="wrn.cash.both" localSheetId="18" hidden="1">{"CF",#N/A,FALSE,"Cash Flow";"RET",#N/A,FALSE,"Returns";"NPV",#N/A,FALSE,"Values";"ASMPT",#N/A,FALSE,"Assumptions"}</definedName>
    <definedName name="wrn.cash.both" localSheetId="25" hidden="1">{"CF",#N/A,FALSE,"Cash Flow";"RET",#N/A,FALSE,"Returns";"NPV",#N/A,FALSE,"Values";"ASMPT",#N/A,FALSE,"Assumptions"}</definedName>
    <definedName name="wrn.cash.both" hidden="1">{"CF",#N/A,FALSE,"Cash Flow";"RET",#N/A,FALSE,"Returns";"NPV",#N/A,FALSE,"Values";"ASMPT",#N/A,FALSE,"Assumptions"}</definedName>
    <definedName name="wrn.cash.retail" localSheetId="24" hidden="1">{"CF",#N/A,FALSE,"Cash Flow";"RET",#N/A,FALSE,"Returns";"NPV",#N/A,FALSE,"Values";"ASMPT",#N/A,FALSE,"Assumptions"}</definedName>
    <definedName name="wrn.cash.retail" localSheetId="18" hidden="1">{"CF",#N/A,FALSE,"Cash Flow";"RET",#N/A,FALSE,"Returns";"NPV",#N/A,FALSE,"Values";"ASMPT",#N/A,FALSE,"Assumptions"}</definedName>
    <definedName name="wrn.cash.retail" localSheetId="25" hidden="1">{"CF",#N/A,FALSE,"Cash Flow";"RET",#N/A,FALSE,"Returns";"NPV",#N/A,FALSE,"Values";"ASMPT",#N/A,FALSE,"Assumptions"}</definedName>
    <definedName name="wrn.cash.retail" hidden="1">{"CF",#N/A,FALSE,"Cash Flow";"RET",#N/A,FALSE,"Returns";"NPV",#N/A,FALSE,"Values";"ASMPT",#N/A,FALSE,"Assumptions"}</definedName>
    <definedName name="wrn.Chart._.of._.Accounts." localSheetId="24" hidden="1">{#N/A,#N/A,FALSE,"Categories";#N/A,#N/A,FALSE,"MRi INCH";#N/A,#N/A,FALSE,"COA Usage";#N/A,#N/A,FALSE,"Detail"}</definedName>
    <definedName name="wrn.Chart._.of._.Accounts." localSheetId="18" hidden="1">{#N/A,#N/A,FALSE,"Categories";#N/A,#N/A,FALSE,"MRi INCH";#N/A,#N/A,FALSE,"COA Usage";#N/A,#N/A,FALSE,"Detail"}</definedName>
    <definedName name="wrn.Chart._.of._.Accounts." localSheetId="25" hidden="1">{#N/A,#N/A,FALSE,"Categories";#N/A,#N/A,FALSE,"MRi INCH";#N/A,#N/A,FALSE,"COA Usage";#N/A,#N/A,FALSE,"Detail"}</definedName>
    <definedName name="wrn.Chart._.of._.Accounts." hidden="1">{#N/A,#N/A,FALSE,"Categories";#N/A,#N/A,FALSE,"MRi INCH";#N/A,#N/A,FALSE,"COA Usage";#N/A,#N/A,FALSE,"Detail"}</definedName>
    <definedName name="wrn.CIC94TAX." localSheetId="24"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 localSheetId="18"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 localSheetId="25"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_1" localSheetId="24"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_1" localSheetId="18"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_1" localSheetId="25"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_1"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lient_Report." localSheetId="24" hidden="1">{#N/A,#N/A,FALSE,"1Summary";#N/A,#N/A,FALSE,"2Assumptions";"CashFlowTen",#N/A,FALSE,"3Cash Flow";"StrippingMatrix",#N/A,FALSE,"3Cash Flow";#N/A,#N/A,FALSE,"4Year 1 Reconciliation";"Residual",#N/A,FALSE,"5Residual";"MatrixI",#N/A,FALSE,"5Residual";#N/A,#N/A,FALSE,"5Residual Matrix";#N/A,#N/A,FALSE,"7Pricing Matrix";#N/A,#N/A,FALSE,"8Pricing Matrix II";#N/A,#N/A,FALSE,"9Vacancy Matrix";#N/A,#N/A,FALSE,"10Expiration Schedule";#N/A,#N/A,FALSE,"ALease-up Schedule"}</definedName>
    <definedName name="wrn.Client_Report." localSheetId="18" hidden="1">{#N/A,#N/A,FALSE,"1Summary";#N/A,#N/A,FALSE,"2Assumptions";"CashFlowTen",#N/A,FALSE,"3Cash Flow";"StrippingMatrix",#N/A,FALSE,"3Cash Flow";#N/A,#N/A,FALSE,"4Year 1 Reconciliation";"Residual",#N/A,FALSE,"5Residual";"MatrixI",#N/A,FALSE,"5Residual";#N/A,#N/A,FALSE,"5Residual Matrix";#N/A,#N/A,FALSE,"7Pricing Matrix";#N/A,#N/A,FALSE,"8Pricing Matrix II";#N/A,#N/A,FALSE,"9Vacancy Matrix";#N/A,#N/A,FALSE,"10Expiration Schedule";#N/A,#N/A,FALSE,"ALease-up Schedule"}</definedName>
    <definedName name="wrn.Client_Report." localSheetId="25" hidden="1">{#N/A,#N/A,FALSE,"1Summary";#N/A,#N/A,FALSE,"2Assumptions";"CashFlowTen",#N/A,FALSE,"3Cash Flow";"StrippingMatrix",#N/A,FALSE,"3Cash Flow";#N/A,#N/A,FALSE,"4Year 1 Reconciliation";"Residual",#N/A,FALSE,"5Residual";"MatrixI",#N/A,FALSE,"5Residual";#N/A,#N/A,FALSE,"5Residual Matrix";#N/A,#N/A,FALSE,"7Pricing Matrix";#N/A,#N/A,FALSE,"8Pricing Matrix II";#N/A,#N/A,FALSE,"9Vacancy Matrix";#N/A,#N/A,FALSE,"10Expiration Schedule";#N/A,#N/A,FALSE,"ALease-up Schedule"}</definedName>
    <definedName name="wrn.Client_Report." hidden="1">{#N/A,#N/A,FALSE,"1Summary";#N/A,#N/A,FALSE,"2Assumptions";"CashFlowTen",#N/A,FALSE,"3Cash Flow";"StrippingMatrix",#N/A,FALSE,"3Cash Flow";#N/A,#N/A,FALSE,"4Year 1 Reconciliation";"Residual",#N/A,FALSE,"5Residual";"MatrixI",#N/A,FALSE,"5Residual";#N/A,#N/A,FALSE,"5Residual Matrix";#N/A,#N/A,FALSE,"7Pricing Matrix";#N/A,#N/A,FALSE,"8Pricing Matrix II";#N/A,#N/A,FALSE,"9Vacancy Matrix";#N/A,#N/A,FALSE,"10Expiration Schedule";#N/A,#N/A,FALSE,"ALease-up Schedule"}</definedName>
    <definedName name="wrn.complet._.sauf._.balance." localSheetId="24"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 localSheetId="18"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 localSheetId="25"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_1" localSheetId="24"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_1" localSheetId="18"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_1" localSheetId="25"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_1"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e._.Package." localSheetId="24" hidden="1">{"Summary Including DHC",#N/A,TRUE,"SUMMARY";"Financial Assumptions",#N/A,TRUE,"Financial Assumptions";"Sources &amp; Uses",#N/A,TRUE,"Financial Assumptions";"History &amp; Projection",#N/A,TRUE,"History - Proforma"}</definedName>
    <definedName name="wrn.Complete._.Package." localSheetId="18" hidden="1">{"Summary Including DHC",#N/A,TRUE,"SUMMARY";"Financial Assumptions",#N/A,TRUE,"Financial Assumptions";"Sources &amp; Uses",#N/A,TRUE,"Financial Assumptions";"History &amp; Projection",#N/A,TRUE,"History - Proforma"}</definedName>
    <definedName name="wrn.Complete._.Package." localSheetId="25" hidden="1">{"Summary Including DHC",#N/A,TRUE,"SUMMARY";"Financial Assumptions",#N/A,TRUE,"Financial Assumptions";"Sources &amp; Uses",#N/A,TRUE,"Financial Assumptions";"History &amp; Projection",#N/A,TRUE,"History - Proforma"}</definedName>
    <definedName name="wrn.Complete._.Package." hidden="1">{"Summary Including DHC",#N/A,TRUE,"SUMMARY";"Financial Assumptions",#N/A,TRUE,"Financial Assumptions";"Sources &amp; Uses",#N/A,TRUE,"Financial Assumptions";"History &amp; Projection",#N/A,TRUE,"History - Proforma"}</definedName>
    <definedName name="wrn.Construction._.Costs." localSheetId="24" hidden="1">{"Const Costs Dev",#N/A,FALSE,"Construction Cost Inputs";"Const Costs orig ccy",#N/A,FALSE,"Construction Cost Inputs";"Const Costs USD",#N/A,FALSE,"Construction Cost Inputs"}</definedName>
    <definedName name="wrn.Construction._.Costs." localSheetId="18" hidden="1">{"Const Costs Dev",#N/A,FALSE,"Construction Cost Inputs";"Const Costs orig ccy",#N/A,FALSE,"Construction Cost Inputs";"Const Costs USD",#N/A,FALSE,"Construction Cost Inputs"}</definedName>
    <definedName name="wrn.Construction._.Costs." localSheetId="25" hidden="1">{"Const Costs Dev",#N/A,FALSE,"Construction Cost Inputs";"Const Costs orig ccy",#N/A,FALSE,"Construction Cost Inputs";"Const Costs USD",#N/A,FALSE,"Construction Cost Inputs"}</definedName>
    <definedName name="wrn.Construction._.Costs." hidden="1">{"Const Costs Dev",#N/A,FALSE,"Construction Cost Inputs";"Const Costs orig ccy",#N/A,FALSE,"Construction Cost Inputs";"Const Costs USD",#N/A,FALSE,"Construction Cost Inputs"}</definedName>
    <definedName name="wrn.Control._.Sheet." localSheetId="24" hidden="1">{#N/A,#N/A,FALSE,"CONTROL"}</definedName>
    <definedName name="wrn.Control._.Sheet." localSheetId="18" hidden="1">{#N/A,#N/A,FALSE,"CONTROL"}</definedName>
    <definedName name="wrn.Control._.Sheet." localSheetId="25" hidden="1">{#N/A,#N/A,FALSE,"CONTROL"}</definedName>
    <definedName name="wrn.Control._.Sheet." hidden="1">{#N/A,#N/A,FALSE,"CONTROL"}</definedName>
    <definedName name="wrn.COSA._.FS._.국문." localSheetId="24" hidden="1">{#N/A,#N/A,FALSE,"BS";#N/A,#N/A,FALSE,"PL";#N/A,#N/A,FALSE,"처분";#N/A,#N/A,FALSE,"현금";#N/A,#N/A,FALSE,"매출";#N/A,#N/A,FALSE,"원가";#N/A,#N/A,FALSE,"경영"}</definedName>
    <definedName name="wrn.COSA._.FS._.국문." localSheetId="18" hidden="1">{#N/A,#N/A,FALSE,"BS";#N/A,#N/A,FALSE,"PL";#N/A,#N/A,FALSE,"처분";#N/A,#N/A,FALSE,"현금";#N/A,#N/A,FALSE,"매출";#N/A,#N/A,FALSE,"원가";#N/A,#N/A,FALSE,"경영"}</definedName>
    <definedName name="wrn.COSA._.FS._.국문." localSheetId="25" hidden="1">{#N/A,#N/A,FALSE,"BS";#N/A,#N/A,FALSE,"PL";#N/A,#N/A,FALSE,"처분";#N/A,#N/A,FALSE,"현금";#N/A,#N/A,FALSE,"매출";#N/A,#N/A,FALSE,"원가";#N/A,#N/A,FALSE,"경영"}</definedName>
    <definedName name="wrn.COSA._.FS._.국문." hidden="1">{#N/A,#N/A,FALSE,"BS";#N/A,#N/A,FALSE,"PL";#N/A,#N/A,FALSE,"처분";#N/A,#N/A,FALSE,"현금";#N/A,#N/A,FALSE,"매출";#N/A,#N/A,FALSE,"원가";#N/A,#N/A,FALSE,"경영"}</definedName>
    <definedName name="wrn.COSA._.FS._.국문._1" localSheetId="24" hidden="1">{#N/A,#N/A,FALSE,"BS";#N/A,#N/A,FALSE,"PL";#N/A,#N/A,FALSE,"처분";#N/A,#N/A,FALSE,"현금";#N/A,#N/A,FALSE,"매출";#N/A,#N/A,FALSE,"원가";#N/A,#N/A,FALSE,"경영"}</definedName>
    <definedName name="wrn.COSA._.FS._.국문._1" localSheetId="18" hidden="1">{#N/A,#N/A,FALSE,"BS";#N/A,#N/A,FALSE,"PL";#N/A,#N/A,FALSE,"처분";#N/A,#N/A,FALSE,"현금";#N/A,#N/A,FALSE,"매출";#N/A,#N/A,FALSE,"원가";#N/A,#N/A,FALSE,"경영"}</definedName>
    <definedName name="wrn.COSA._.FS._.국문._1" localSheetId="25" hidden="1">{#N/A,#N/A,FALSE,"BS";#N/A,#N/A,FALSE,"PL";#N/A,#N/A,FALSE,"처분";#N/A,#N/A,FALSE,"현금";#N/A,#N/A,FALSE,"매출";#N/A,#N/A,FALSE,"원가";#N/A,#N/A,FALSE,"경영"}</definedName>
    <definedName name="wrn.COSA._.FS._.국문._1" hidden="1">{#N/A,#N/A,FALSE,"BS";#N/A,#N/A,FALSE,"PL";#N/A,#N/A,FALSE,"처분";#N/A,#N/A,FALSE,"현금";#N/A,#N/A,FALSE,"매출";#N/A,#N/A,FALSE,"원가";#N/A,#N/A,FALSE,"경영"}</definedName>
    <definedName name="wrn.COSA94TAXRETURN." localSheetId="24"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 localSheetId="18"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 localSheetId="25"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_1" localSheetId="24"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_1" localSheetId="18"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_1" localSheetId="25"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_1"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t._.Studies." localSheetId="24" hidden="1">{#N/A,#N/A,FALSE,"CS#1";#N/A,#N/A,FALSE,"CS#2";#N/A,#N/A,FALSE,"CS#3";#N/A,#N/A,FALSE,"CS#4";#N/A,#N/A,FALSE,"CS#5";#N/A,#N/A,FALSE,"CS#6";#N/A,#N/A,FALSE,"CS#7";#N/A,#N/A,FALSE,"CS#7rev";#N/A,#N/A,FALSE,"CS#8"}</definedName>
    <definedName name="wrn.Cost._.Studies." localSheetId="18" hidden="1">{#N/A,#N/A,FALSE,"CS#1";#N/A,#N/A,FALSE,"CS#2";#N/A,#N/A,FALSE,"CS#3";#N/A,#N/A,FALSE,"CS#4";#N/A,#N/A,FALSE,"CS#5";#N/A,#N/A,FALSE,"CS#6";#N/A,#N/A,FALSE,"CS#7";#N/A,#N/A,FALSE,"CS#7rev";#N/A,#N/A,FALSE,"CS#8"}</definedName>
    <definedName name="wrn.Cost._.Studies." localSheetId="25" hidden="1">{#N/A,#N/A,FALSE,"CS#1";#N/A,#N/A,FALSE,"CS#2";#N/A,#N/A,FALSE,"CS#3";#N/A,#N/A,FALSE,"CS#4";#N/A,#N/A,FALSE,"CS#5";#N/A,#N/A,FALSE,"CS#6";#N/A,#N/A,FALSE,"CS#7";#N/A,#N/A,FALSE,"CS#7rev";#N/A,#N/A,FALSE,"CS#8"}</definedName>
    <definedName name="wrn.Cost._.Studies." hidden="1">{#N/A,#N/A,FALSE,"CS#1";#N/A,#N/A,FALSE,"CS#2";#N/A,#N/A,FALSE,"CS#3";#N/A,#N/A,FALSE,"CS#4";#N/A,#N/A,FALSE,"CS#5";#N/A,#N/A,FALSE,"CS#6";#N/A,#N/A,FALSE,"CS#7";#N/A,#N/A,FALSE,"CS#7rev";#N/A,#N/A,FALSE,"CS#8"}</definedName>
    <definedName name="wrn.Credit._.Summary." localSheetId="24" hidden="1">{#N/A,#N/A,FALSE,"CREDIT"}</definedName>
    <definedName name="wrn.Credit._.Summary." localSheetId="18" hidden="1">{#N/A,#N/A,FALSE,"CREDIT"}</definedName>
    <definedName name="wrn.Credit._.Summary." localSheetId="25" hidden="1">{#N/A,#N/A,FALSE,"CREDIT"}</definedName>
    <definedName name="wrn.Credit._.Summary." hidden="1">{#N/A,#N/A,FALSE,"CREDIT"}</definedName>
    <definedName name="wrn.criteria.95p." localSheetId="24" hidden="1">{#N/A,#N/A,FALSE,"1.CRITERIA";#N/A,#N/A,FALSE,"2.IS";#N/A,#N/A,FALSE,"3.BS";#N/A,#N/A,FALSE,"4.PER PL";#N/A,#N/A,FALSE,"5.INVESTMENT";#N/A,#N/A,FALSE,"6.공문";#N/A,#N/A,FALSE,"7.netinvest"}</definedName>
    <definedName name="wrn.criteria.95p." localSheetId="18" hidden="1">{#N/A,#N/A,FALSE,"1.CRITERIA";#N/A,#N/A,FALSE,"2.IS";#N/A,#N/A,FALSE,"3.BS";#N/A,#N/A,FALSE,"4.PER PL";#N/A,#N/A,FALSE,"5.INVESTMENT";#N/A,#N/A,FALSE,"6.공문";#N/A,#N/A,FALSE,"7.netinvest"}</definedName>
    <definedName name="wrn.criteria.95p." localSheetId="25" hidden="1">{#N/A,#N/A,FALSE,"1.CRITERIA";#N/A,#N/A,FALSE,"2.IS";#N/A,#N/A,FALSE,"3.BS";#N/A,#N/A,FALSE,"4.PER PL";#N/A,#N/A,FALSE,"5.INVESTMENT";#N/A,#N/A,FALSE,"6.공문";#N/A,#N/A,FALSE,"7.netinvest"}</definedName>
    <definedName name="wrn.criteria.95p." hidden="1">{#N/A,#N/A,FALSE,"1.CRITERIA";#N/A,#N/A,FALSE,"2.IS";#N/A,#N/A,FALSE,"3.BS";#N/A,#N/A,FALSE,"4.PER PL";#N/A,#N/A,FALSE,"5.INVESTMENT";#N/A,#N/A,FALSE,"6.공문";#N/A,#N/A,FALSE,"7.netinvest"}</definedName>
    <definedName name="wrn.CSSF._.ex._.USGAAP." localSheetId="24" hidden="1">{#N/A,#N/A,FALSE,"Cover &amp; Contents ex USGAAP";#N/A,#N/A,FALSE,"Mgr";#N/A,#N/A,FALSE,"Audit ex USGAAP";#N/A,#N/A,FALSE,"Net Assets &amp; Ops &amp; #Units";#N/A,#N/A,FALSE,"NAV per unit";#N/A,#N/A,FALSE,"Cashflow &amp; RE";#N/A,#N/A,FALSE,"Notes 1-2";#N/A,#N/A,FALSE,"Notes 3-10";#N/A,#N/A,FALSE,"Notes 10-12";#N/A,#N/A,FALSE,"Notes 13-19";#N/A,#N/A,FALSE,"Notes 20-21";#N/A,#N/A,FALSE,"Note 22 Cos 1";#N/A,#N/A,FALSE,"Cos 2";#N/A,#N/A,FALSE,"App I";#N/A,#N/A,FALSE,"App II"}</definedName>
    <definedName name="wrn.CSSF._.ex._.USGAAP." localSheetId="18" hidden="1">{#N/A,#N/A,FALSE,"Cover &amp; Contents ex USGAAP";#N/A,#N/A,FALSE,"Mgr";#N/A,#N/A,FALSE,"Audit ex USGAAP";#N/A,#N/A,FALSE,"Net Assets &amp; Ops &amp; #Units";#N/A,#N/A,FALSE,"NAV per unit";#N/A,#N/A,FALSE,"Cashflow &amp; RE";#N/A,#N/A,FALSE,"Notes 1-2";#N/A,#N/A,FALSE,"Notes 3-10";#N/A,#N/A,FALSE,"Notes 10-12";#N/A,#N/A,FALSE,"Notes 13-19";#N/A,#N/A,FALSE,"Notes 20-21";#N/A,#N/A,FALSE,"Note 22 Cos 1";#N/A,#N/A,FALSE,"Cos 2";#N/A,#N/A,FALSE,"App I";#N/A,#N/A,FALSE,"App II"}</definedName>
    <definedName name="wrn.CSSF._.ex._.USGAAP." localSheetId="25" hidden="1">{#N/A,#N/A,FALSE,"Cover &amp; Contents ex USGAAP";#N/A,#N/A,FALSE,"Mgr";#N/A,#N/A,FALSE,"Audit ex USGAAP";#N/A,#N/A,FALSE,"Net Assets &amp; Ops &amp; #Units";#N/A,#N/A,FALSE,"NAV per unit";#N/A,#N/A,FALSE,"Cashflow &amp; RE";#N/A,#N/A,FALSE,"Notes 1-2";#N/A,#N/A,FALSE,"Notes 3-10";#N/A,#N/A,FALSE,"Notes 10-12";#N/A,#N/A,FALSE,"Notes 13-19";#N/A,#N/A,FALSE,"Notes 20-21";#N/A,#N/A,FALSE,"Note 22 Cos 1";#N/A,#N/A,FALSE,"Cos 2";#N/A,#N/A,FALSE,"App I";#N/A,#N/A,FALSE,"App II"}</definedName>
    <definedName name="wrn.CSSF._.ex._.USGAAP." hidden="1">{#N/A,#N/A,FALSE,"Cover &amp; Contents ex USGAAP";#N/A,#N/A,FALSE,"Mgr";#N/A,#N/A,FALSE,"Audit ex USGAAP";#N/A,#N/A,FALSE,"Net Assets &amp; Ops &amp; #Units";#N/A,#N/A,FALSE,"NAV per unit";#N/A,#N/A,FALSE,"Cashflow &amp; RE";#N/A,#N/A,FALSE,"Notes 1-2";#N/A,#N/A,FALSE,"Notes 3-10";#N/A,#N/A,FALSE,"Notes 10-12";#N/A,#N/A,FALSE,"Notes 13-19";#N/A,#N/A,FALSE,"Notes 20-21";#N/A,#N/A,FALSE,"Note 22 Cos 1";#N/A,#N/A,FALSE,"Cos 2";#N/A,#N/A,FALSE,"App I";#N/A,#N/A,FALSE,"App II"}</definedName>
    <definedName name="wrn.Czech._.Rep." localSheetId="24" hidden="1">{#N/A,#N/A,FALSE,"Summary";#N/A,#N/A,FALSE,"Application of RP";#N/A,#N/A,FALSE,"Tax &amp; Profit Distribution";#N/A,#N/A,FALSE,"Danzas D1 Dev#1(PROJECT-DEV)";#N/A,#N/A,FALSE,"AL CZ D1 EAST(PROJECT)";#N/A,#N/A,FALSE,"AL CZ D1 EAST Ph.II(PROJECT)";#N/A,#N/A,FALSE,"AL CZ D1 EAST Ph.III(PROJECT)";#N/A,#N/A,FALSE,"Katarinska Dev#2(PROJECT-DEV)";#N/A,#N/A,FALSE,"KIZ Dev#4 (PROJECT)";#N/A,#N/A,FALSE,"Textron";#N/A,#N/A,FALSE,"VW Slowakia";#N/A,#N/A,FALSE,"Florenc Office";#N/A,#N/A,FALSE,"PCC Dev#3 (PROJECT)"}</definedName>
    <definedName name="wrn.Czech._.Rep." localSheetId="18" hidden="1">{#N/A,#N/A,FALSE,"Summary";#N/A,#N/A,FALSE,"Application of RP";#N/A,#N/A,FALSE,"Tax &amp; Profit Distribution";#N/A,#N/A,FALSE,"Danzas D1 Dev#1(PROJECT-DEV)";#N/A,#N/A,FALSE,"AL CZ D1 EAST(PROJECT)";#N/A,#N/A,FALSE,"AL CZ D1 EAST Ph.II(PROJECT)";#N/A,#N/A,FALSE,"AL CZ D1 EAST Ph.III(PROJECT)";#N/A,#N/A,FALSE,"Katarinska Dev#2(PROJECT-DEV)";#N/A,#N/A,FALSE,"KIZ Dev#4 (PROJECT)";#N/A,#N/A,FALSE,"Textron";#N/A,#N/A,FALSE,"VW Slowakia";#N/A,#N/A,FALSE,"Florenc Office";#N/A,#N/A,FALSE,"PCC Dev#3 (PROJECT)"}</definedName>
    <definedName name="wrn.Czech._.Rep." localSheetId="25" hidden="1">{#N/A,#N/A,FALSE,"Summary";#N/A,#N/A,FALSE,"Application of RP";#N/A,#N/A,FALSE,"Tax &amp; Profit Distribution";#N/A,#N/A,FALSE,"Danzas D1 Dev#1(PROJECT-DEV)";#N/A,#N/A,FALSE,"AL CZ D1 EAST(PROJECT)";#N/A,#N/A,FALSE,"AL CZ D1 EAST Ph.II(PROJECT)";#N/A,#N/A,FALSE,"AL CZ D1 EAST Ph.III(PROJECT)";#N/A,#N/A,FALSE,"Katarinska Dev#2(PROJECT-DEV)";#N/A,#N/A,FALSE,"KIZ Dev#4 (PROJECT)";#N/A,#N/A,FALSE,"Textron";#N/A,#N/A,FALSE,"VW Slowakia";#N/A,#N/A,FALSE,"Florenc Office";#N/A,#N/A,FALSE,"PCC Dev#3 (PROJECT)"}</definedName>
    <definedName name="wrn.Czech._.Rep." hidden="1">{#N/A,#N/A,FALSE,"Summary";#N/A,#N/A,FALSE,"Application of RP";#N/A,#N/A,FALSE,"Tax &amp; Profit Distribution";#N/A,#N/A,FALSE,"Danzas D1 Dev#1(PROJECT-DEV)";#N/A,#N/A,FALSE,"AL CZ D1 EAST(PROJECT)";#N/A,#N/A,FALSE,"AL CZ D1 EAST Ph.II(PROJECT)";#N/A,#N/A,FALSE,"AL CZ D1 EAST Ph.III(PROJECT)";#N/A,#N/A,FALSE,"Katarinska Dev#2(PROJECT-DEV)";#N/A,#N/A,FALSE,"KIZ Dev#4 (PROJECT)";#N/A,#N/A,FALSE,"Textron";#N/A,#N/A,FALSE,"VW Slowakia";#N/A,#N/A,FALSE,"Florenc Office";#N/A,#N/A,FALSE,"PCC Dev#3 (PROJECT)"}</definedName>
    <definedName name="wrn.DCF一括印刷." localSheetId="24" hidden="1">{"DCF-北海道",#N/A,TRUE,"北海道";"DCF-東北",#N/A,TRUE,"東北";"DCF-東海",#N/A,TRUE,"東海";"DCF-北陸",#N/A,TRUE,"北陸";"DCF-関西",#N/A,TRUE,"関西";"DCF-中国",#N/A,TRUE,"中国";"DCF-四国",#N/A,TRUE,"四国";"DCF-九州",#N/A,TRUE,"九州";"DCF-連結",#N/A,TRUE,"連結"}</definedName>
    <definedName name="wrn.DCF一括印刷." localSheetId="18" hidden="1">{"DCF-北海道",#N/A,TRUE,"北海道";"DCF-東北",#N/A,TRUE,"東北";"DCF-東海",#N/A,TRUE,"東海";"DCF-北陸",#N/A,TRUE,"北陸";"DCF-関西",#N/A,TRUE,"関西";"DCF-中国",#N/A,TRUE,"中国";"DCF-四国",#N/A,TRUE,"四国";"DCF-九州",#N/A,TRUE,"九州";"DCF-連結",#N/A,TRUE,"連結"}</definedName>
    <definedName name="wrn.DCF一括印刷." localSheetId="25" hidden="1">{"DCF-北海道",#N/A,TRUE,"北海道";"DCF-東北",#N/A,TRUE,"東北";"DCF-東海",#N/A,TRUE,"東海";"DCF-北陸",#N/A,TRUE,"北陸";"DCF-関西",#N/A,TRUE,"関西";"DCF-中国",#N/A,TRUE,"中国";"DCF-四国",#N/A,TRUE,"四国";"DCF-九州",#N/A,TRUE,"九州";"DCF-連結",#N/A,TRUE,"連結"}</definedName>
    <definedName name="wrn.DCF一括印刷." hidden="1">{"DCF-北海道",#N/A,TRUE,"北海道";"DCF-東北",#N/A,TRUE,"東北";"DCF-東海",#N/A,TRUE,"東海";"DCF-北陸",#N/A,TRUE,"北陸";"DCF-関西",#N/A,TRUE,"関西";"DCF-中国",#N/A,TRUE,"中国";"DCF-四国",#N/A,TRUE,"四国";"DCF-九州",#N/A,TRUE,"九州";"DCF-連結",#N/A,TRUE,"連結"}</definedName>
    <definedName name="wrn.DDD."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rn.DDD."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rn.DDD." localSheetId="25"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rn.DDD."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rn.Detailed._.Partnership._.Returns._.Leveraged." localSheetId="24" hidden="1">{"Return Analysis - Leveraged",#N/A,FALSE,"Return Analysis - Leveraged"}</definedName>
    <definedName name="wrn.Detailed._.Partnership._.Returns._.Leveraged." localSheetId="18" hidden="1">{"Return Analysis - Leveraged",#N/A,FALSE,"Return Analysis - Leveraged"}</definedName>
    <definedName name="wrn.Detailed._.Partnership._.Returns._.Leveraged." localSheetId="25" hidden="1">{"Return Analysis - Leveraged",#N/A,FALSE,"Return Analysis - Leveraged"}</definedName>
    <definedName name="wrn.Detailed._.Partnership._.Returns._.Leveraged." hidden="1">{"Return Analysis - Leveraged",#N/A,FALSE,"Return Analysis - Leveraged"}</definedName>
    <definedName name="wrn.Draw._.Format." localSheetId="24" hidden="1">{"Current Draw",#N/A,FALSE,"Sheet1"}</definedName>
    <definedName name="wrn.Draw._.Format." localSheetId="18" hidden="1">{"Current Draw",#N/A,FALSE,"Sheet1"}</definedName>
    <definedName name="wrn.Draw._.Format." localSheetId="25" hidden="1">{"Current Draw",#N/A,FALSE,"Sheet1"}</definedName>
    <definedName name="wrn.Draw._.Format." hidden="1">{"Current Draw",#N/A,FALSE,"Sheet1"}</definedName>
    <definedName name="wrn.Eastgardens." localSheetId="24" hidden="1">{#N/A,#N/A,FALSE,"Summary1";#N/A,#N/A,FALSE,"Summary2";#N/A,#N/A,FALSE,"Variation";#N/A,#N/A,FALSE,"Ext-Shops";#N/A,#N/A,FALSE,"Lost"}</definedName>
    <definedName name="wrn.Eastgardens." localSheetId="18" hidden="1">{#N/A,#N/A,FALSE,"Summary1";#N/A,#N/A,FALSE,"Summary2";#N/A,#N/A,FALSE,"Variation";#N/A,#N/A,FALSE,"Ext-Shops";#N/A,#N/A,FALSE,"Lost"}</definedName>
    <definedName name="wrn.Eastgardens." localSheetId="25" hidden="1">{#N/A,#N/A,FALSE,"Summary1";#N/A,#N/A,FALSE,"Summary2";#N/A,#N/A,FALSE,"Variation";#N/A,#N/A,FALSE,"Ext-Shops";#N/A,#N/A,FALSE,"Lost"}</definedName>
    <definedName name="wrn.Eastgardens." hidden="1">{#N/A,#N/A,FALSE,"Summary1";#N/A,#N/A,FALSE,"Summary2";#N/A,#N/A,FALSE,"Variation";#N/A,#N/A,FALSE,"Ext-Shops";#N/A,#N/A,FALSE,"Lost"}</definedName>
    <definedName name="wrn.Eastgardens._.Feasibility." localSheetId="24" hidden="1">{#N/A,#N/A,TRUE,"Summary";#N/A,#N/A,TRUE,"Project Shops";#N/A,#N/A,TRUE,"Foodcourt";#N/A,#N/A,TRUE,"REMIX SHOPS"}</definedName>
    <definedName name="wrn.Eastgardens._.Feasibility." localSheetId="18" hidden="1">{#N/A,#N/A,TRUE,"Summary";#N/A,#N/A,TRUE,"Project Shops";#N/A,#N/A,TRUE,"Foodcourt";#N/A,#N/A,TRUE,"REMIX SHOPS"}</definedName>
    <definedName name="wrn.Eastgardens._.Feasibility." localSheetId="25" hidden="1">{#N/A,#N/A,TRUE,"Summary";#N/A,#N/A,TRUE,"Project Shops";#N/A,#N/A,TRUE,"Foodcourt";#N/A,#N/A,TRUE,"REMIX SHOPS"}</definedName>
    <definedName name="wrn.Eastgardens._.Feasibility." hidden="1">{#N/A,#N/A,TRUE,"Summary";#N/A,#N/A,TRUE,"Project Shops";#N/A,#N/A,TRUE,"Foodcourt";#N/A,#N/A,TRUE,"REMIX SHOPS"}</definedName>
    <definedName name="wrn.ELECTRICITY." localSheetId="24" hidden="1">{"ELECT JOURNAL 1",#N/A,FALSE,"ELECTRICITY";"ELECT JOURNAL 2",#N/A,FALSE,"ELECTRICITY";"ELECT SCHEDULE",#N/A,FALSE,"ELECTRICITY";"WORKSHEET",#N/A,FALSE,"ELECTRICITY"}</definedName>
    <definedName name="wrn.ELECTRICITY." localSheetId="18" hidden="1">{"ELECT JOURNAL 1",#N/A,FALSE,"ELECTRICITY";"ELECT JOURNAL 2",#N/A,FALSE,"ELECTRICITY";"ELECT SCHEDULE",#N/A,FALSE,"ELECTRICITY";"WORKSHEET",#N/A,FALSE,"ELECTRICITY"}</definedName>
    <definedName name="wrn.ELECTRICITY." localSheetId="25" hidden="1">{"ELECT JOURNAL 1",#N/A,FALSE,"ELECTRICITY";"ELECT JOURNAL 2",#N/A,FALSE,"ELECTRICITY";"ELECT SCHEDULE",#N/A,FALSE,"ELECTRICITY";"WORKSHEET",#N/A,FALSE,"ELECTRICITY"}</definedName>
    <definedName name="wrn.ELECTRICITY." hidden="1">{"ELECT JOURNAL 1",#N/A,FALSE,"ELECTRICITY";"ELECT JOURNAL 2",#N/A,FALSE,"ELECTRICITY";"ELECT SCHEDULE",#N/A,FALSE,"ELECTRICITY";"WORKSHEET",#N/A,FALSE,"ELECTRICITY"}</definedName>
    <definedName name="wrn.Engineering." localSheetId="24" hidden="1">{#N/A,#N/A,FALSE,"ENGINEERING"}</definedName>
    <definedName name="wrn.Engineering." localSheetId="18" hidden="1">{#N/A,#N/A,FALSE,"ENGINEERING"}</definedName>
    <definedName name="wrn.Engineering." localSheetId="25" hidden="1">{#N/A,#N/A,FALSE,"ENGINEERING"}</definedName>
    <definedName name="wrn.Engineering." hidden="1">{#N/A,#N/A,FALSE,"ENGINEERING"}</definedName>
    <definedName name="wrn.Entire._.Asset._.Plan." localSheetId="24" hidden="1">{#N/A,#N/A,FALSE,"Asset Forecast";#N/A,#N/A,FALSE,"AP Summary";#N/A,#N/A,FALSE,"Income";#N/A,#N/A,FALSE,"Capex &amp; Sinking Fund";#N/A,#N/A,FALSE,"Rev &amp; Exp Variance";#N/A,#N/A,FALSE,"Cashflow Projections";#N/A,#N/A,FALSE,"Current Issues";#N/A,#N/A,FALSE,"Forecast/Variance Report";#N/A,#N/A,FALSE,"MatProjections"}</definedName>
    <definedName name="wrn.Entire._.Asset._.Plan." localSheetId="18" hidden="1">{#N/A,#N/A,FALSE,"Asset Forecast";#N/A,#N/A,FALSE,"AP Summary";#N/A,#N/A,FALSE,"Income";#N/A,#N/A,FALSE,"Capex &amp; Sinking Fund";#N/A,#N/A,FALSE,"Rev &amp; Exp Variance";#N/A,#N/A,FALSE,"Cashflow Projections";#N/A,#N/A,FALSE,"Current Issues";#N/A,#N/A,FALSE,"Forecast/Variance Report";#N/A,#N/A,FALSE,"MatProjections"}</definedName>
    <definedName name="wrn.Entire._.Asset._.Plan." localSheetId="25" hidden="1">{#N/A,#N/A,FALSE,"Asset Forecast";#N/A,#N/A,FALSE,"AP Summary";#N/A,#N/A,FALSE,"Income";#N/A,#N/A,FALSE,"Capex &amp; Sinking Fund";#N/A,#N/A,FALSE,"Rev &amp; Exp Variance";#N/A,#N/A,FALSE,"Cashflow Projections";#N/A,#N/A,FALSE,"Current Issues";#N/A,#N/A,FALSE,"Forecast/Variance Report";#N/A,#N/A,FALSE,"MatProjections"}</definedName>
    <definedName name="wrn.Entire._.Asset._.Plan." hidden="1">{#N/A,#N/A,FALSE,"Asset Forecast";#N/A,#N/A,FALSE,"AP Summary";#N/A,#N/A,FALSE,"Income";#N/A,#N/A,FALSE,"Capex &amp; Sinking Fund";#N/A,#N/A,FALSE,"Rev &amp; Exp Variance";#N/A,#N/A,FALSE,"Cashflow Projections";#N/A,#N/A,FALSE,"Current Issues";#N/A,#N/A,FALSE,"Forecast/Variance Report";#N/A,#N/A,FALSE,"MatProjections"}</definedName>
    <definedName name="wrn.Environmental." localSheetId="24" hidden="1">{#N/A,#N/A,FALSE,"ENVIRONMENTAL"}</definedName>
    <definedName name="wrn.Environmental." localSheetId="18" hidden="1">{#N/A,#N/A,FALSE,"ENVIRONMENTAL"}</definedName>
    <definedName name="wrn.Environmental." localSheetId="25" hidden="1">{#N/A,#N/A,FALSE,"ENVIRONMENTAL"}</definedName>
    <definedName name="wrn.Environmental." hidden="1">{#N/A,#N/A,FALSE,"ENVIRONMENTAL"}</definedName>
    <definedName name="wrn.EP._.STATEMENTS." localSheetId="24" hidden="1">{#N/A,#N/A,FALSE,"David Jones";#N/A,#N/A,FALSE,"Outgoing Statement WW";#N/A,#N/A,FALSE,"Outgoing Statement Big W ";#N/A,#N/A,FALSE,"Outgoing Statement Harris Scarf";#N/A,#N/A,FALSE,"Coles ";#N/A,#N/A,FALSE,"K-Mart";#N/A,#N/A,FALSE,"Target";#N/A,#N/A,FALSE,"Greater Union";#N/A,#N/A,FALSE,"Intencity";#N/A,#N/A,FALSE,"C-Type Statement ";#N/A,#N/A,FALSE,"C-Type Statement w. LT"}</definedName>
    <definedName name="wrn.EP._.STATEMENTS." localSheetId="18" hidden="1">{#N/A,#N/A,FALSE,"David Jones";#N/A,#N/A,FALSE,"Outgoing Statement WW";#N/A,#N/A,FALSE,"Outgoing Statement Big W ";#N/A,#N/A,FALSE,"Outgoing Statement Harris Scarf";#N/A,#N/A,FALSE,"Coles ";#N/A,#N/A,FALSE,"K-Mart";#N/A,#N/A,FALSE,"Target";#N/A,#N/A,FALSE,"Greater Union";#N/A,#N/A,FALSE,"Intencity";#N/A,#N/A,FALSE,"C-Type Statement ";#N/A,#N/A,FALSE,"C-Type Statement w. LT"}</definedName>
    <definedName name="wrn.EP._.STATEMENTS." localSheetId="25" hidden="1">{#N/A,#N/A,FALSE,"David Jones";#N/A,#N/A,FALSE,"Outgoing Statement WW";#N/A,#N/A,FALSE,"Outgoing Statement Big W ";#N/A,#N/A,FALSE,"Outgoing Statement Harris Scarf";#N/A,#N/A,FALSE,"Coles ";#N/A,#N/A,FALSE,"K-Mart";#N/A,#N/A,FALSE,"Target";#N/A,#N/A,FALSE,"Greater Union";#N/A,#N/A,FALSE,"Intencity";#N/A,#N/A,FALSE,"C-Type Statement ";#N/A,#N/A,FALSE,"C-Type Statement w. LT"}</definedName>
    <definedName name="wrn.EP._.STATEMENTS." hidden="1">{#N/A,#N/A,FALSE,"David Jones";#N/A,#N/A,FALSE,"Outgoing Statement WW";#N/A,#N/A,FALSE,"Outgoing Statement Big W ";#N/A,#N/A,FALSE,"Outgoing Statement Harris Scarf";#N/A,#N/A,FALSE,"Coles ";#N/A,#N/A,FALSE,"K-Mart";#N/A,#N/A,FALSE,"Target";#N/A,#N/A,FALSE,"Greater Union";#N/A,#N/A,FALSE,"Intencity";#N/A,#N/A,FALSE,"C-Type Statement ";#N/A,#N/A,FALSE,"C-Type Statement w. LT"}</definedName>
    <definedName name="wrn.ExitAndSalesAssumptions." localSheetId="24" hidden="1">{#N/A,#N/A,FALSE,"ExitStratigy"}</definedName>
    <definedName name="wrn.ExitAndSalesAssumptions." localSheetId="18" hidden="1">{#N/A,#N/A,FALSE,"ExitStratigy"}</definedName>
    <definedName name="wrn.ExitAndSalesAssumptions." localSheetId="25" hidden="1">{#N/A,#N/A,FALSE,"ExitStratigy"}</definedName>
    <definedName name="wrn.ExitAndSalesAssumptions." hidden="1">{#N/A,#N/A,FALSE,"ExitStratigy"}</definedName>
    <definedName name="wrn.ExitAndSalesAssumptions._1" localSheetId="24" hidden="1">{#N/A,#N/A,FALSE,"ExitStratigy"}</definedName>
    <definedName name="wrn.ExitAndSalesAssumptions._1" localSheetId="18" hidden="1">{#N/A,#N/A,FALSE,"ExitStratigy"}</definedName>
    <definedName name="wrn.ExitAndSalesAssumptions._1" localSheetId="25" hidden="1">{#N/A,#N/A,FALSE,"ExitStratigy"}</definedName>
    <definedName name="wrn.ExitAndSalesAssumptions._1" hidden="1">{#N/A,#N/A,FALSE,"ExitStratigy"}</definedName>
    <definedName name="wrn.Expenses." localSheetId="24" hidden="1">{#N/A,#N/A,FALSE,"Expenses"}</definedName>
    <definedName name="wrn.Expenses." localSheetId="18" hidden="1">{#N/A,#N/A,FALSE,"Expenses"}</definedName>
    <definedName name="wrn.Expenses." localSheetId="25" hidden="1">{#N/A,#N/A,FALSE,"Expenses"}</definedName>
    <definedName name="wrn.Expenses." hidden="1">{#N/A,#N/A,FALSE,"Expenses"}</definedName>
    <definedName name="wrn.FCRP." localSheetId="24" hidden="1">{#N/A,#N/A,FALSE,"FCRP EQUITY BAL BY PROJECT";#N/A,#N/A,FALSE,"TB Variance (2)"}</definedName>
    <definedName name="wrn.FCRP." localSheetId="18" hidden="1">{#N/A,#N/A,FALSE,"FCRP EQUITY BAL BY PROJECT";#N/A,#N/A,FALSE,"TB Variance (2)"}</definedName>
    <definedName name="wrn.FCRP." localSheetId="25" hidden="1">{#N/A,#N/A,FALSE,"FCRP EQUITY BAL BY PROJECT";#N/A,#N/A,FALSE,"TB Variance (2)"}</definedName>
    <definedName name="wrn.FCRP." hidden="1">{#N/A,#N/A,FALSE,"FCRP EQUITY BAL BY PROJECT";#N/A,#N/A,FALSE,"TB Variance (2)"}</definedName>
    <definedName name="wrn.FCRP._.STRATEGIC._.PLAN."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FCRP._.STRATEGIC._.PLAN."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FCRP._.STRATEGIC._.PLAN." localSheetId="25"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FCRP._.STRATEGIC._.PLAN."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feasability." localSheetId="24" hidden="1">{"FEASABILITY",#N/A,FALSE,"P &amp; L"}</definedName>
    <definedName name="wrn.feasability." localSheetId="18" hidden="1">{"FEASABILITY",#N/A,FALSE,"P &amp; L"}</definedName>
    <definedName name="wrn.feasability." localSheetId="25" hidden="1">{"FEASABILITY",#N/A,FALSE,"P &amp; L"}</definedName>
    <definedName name="wrn.feasability." hidden="1">{"FEASABILITY",#N/A,FALSE,"P &amp; L"}</definedName>
    <definedName name="wrn.Financing._.Inputs." localSheetId="24" hidden="1">{"BuildIn 2 Funding Assump",#N/A,FALSE,"Building Inputs";"BuildIn Capex plus Extras",#N/A,FALSE,"Building Inputs"}</definedName>
    <definedName name="wrn.Financing._.Inputs." localSheetId="18" hidden="1">{"BuildIn 2 Funding Assump",#N/A,FALSE,"Building Inputs";"BuildIn Capex plus Extras",#N/A,FALSE,"Building Inputs"}</definedName>
    <definedName name="wrn.Financing._.Inputs." localSheetId="25" hidden="1">{"BuildIn 2 Funding Assump",#N/A,FALSE,"Building Inputs";"BuildIn Capex plus Extras",#N/A,FALSE,"Building Inputs"}</definedName>
    <definedName name="wrn.Financing._.Inputs." hidden="1">{"BuildIn 2 Funding Assump",#N/A,FALSE,"Building Inputs";"BuildIn Capex plus Extras",#N/A,FALSE,"Building Inputs"}</definedName>
    <definedName name="wrn.Five._.Year." localSheetId="24" hidden="1">{#N/A,"Five Year",FALSE,"Assumptions";#N/A,"Five Year",FALSE,"Annual Summary";#N/A,"Five Year",FALSE,"Quarterly Summary";#N/A,#N/A,FALSE,"IRR"}</definedName>
    <definedName name="wrn.Five._.Year." localSheetId="18" hidden="1">{#N/A,"Five Year",FALSE,"Assumptions";#N/A,"Five Year",FALSE,"Annual Summary";#N/A,"Five Year",FALSE,"Quarterly Summary";#N/A,#N/A,FALSE,"IRR"}</definedName>
    <definedName name="wrn.Five._.Year." localSheetId="25" hidden="1">{#N/A,"Five Year",FALSE,"Assumptions";#N/A,"Five Year",FALSE,"Annual Summary";#N/A,"Five Year",FALSE,"Quarterly Summary";#N/A,#N/A,FALSE,"IRR"}</definedName>
    <definedName name="wrn.Five._.Year." hidden="1">{#N/A,"Five Year",FALSE,"Assumptions";#N/A,"Five Year",FALSE,"Annual Summary";#N/A,"Five Year",FALSE,"Quarterly Summary";#N/A,#N/A,FALSE,"IRR"}</definedName>
    <definedName name="wrn.Forecasts." localSheetId="24" hidden="1">{#N/A,#N/A,FALSE,"Forecasts"}</definedName>
    <definedName name="wrn.Forecasts." localSheetId="18" hidden="1">{#N/A,#N/A,FALSE,"Forecasts"}</definedName>
    <definedName name="wrn.Forecasts." localSheetId="25" hidden="1">{#N/A,#N/A,FALSE,"Forecasts"}</definedName>
    <definedName name="wrn.Forecasts." hidden="1">{#N/A,#N/A,FALSE,"Forecasts"}</definedName>
    <definedName name="wrn.Fountain._.gate._.report." localSheetId="24" hidden="1">{#N/A,#N/A,TRUE,"Summary1";#N/A,#N/A,TRUE,"Summary2";#N/A,#N/A,TRUE,"Rec to feasi";#N/A,#N/A,TRUE,"Ext-Shops";#N/A,#N/A,TRUE,"Lost"}</definedName>
    <definedName name="wrn.Fountain._.gate._.report." localSheetId="18" hidden="1">{#N/A,#N/A,TRUE,"Summary1";#N/A,#N/A,TRUE,"Summary2";#N/A,#N/A,TRUE,"Rec to feasi";#N/A,#N/A,TRUE,"Ext-Shops";#N/A,#N/A,TRUE,"Lost"}</definedName>
    <definedName name="wrn.Fountain._.gate._.report." localSheetId="25" hidden="1">{#N/A,#N/A,TRUE,"Summary1";#N/A,#N/A,TRUE,"Summary2";#N/A,#N/A,TRUE,"Rec to feasi";#N/A,#N/A,TRUE,"Ext-Shops";#N/A,#N/A,TRUE,"Lost"}</definedName>
    <definedName name="wrn.Fountain._.gate._.report." hidden="1">{#N/A,#N/A,TRUE,"Summary1";#N/A,#N/A,TRUE,"Summary2";#N/A,#N/A,TRUE,"Rec to feasi";#N/A,#N/A,TRUE,"Ext-Shops";#N/A,#N/A,TRUE,"Lost"}</definedName>
    <definedName name="wrn.FS一括印刷." localSheetId="24" hidden="1">{"FS-北海道",#N/A,TRUE,"北海道";"FS-東北",#N/A,TRUE,"東北";"FS-東海",#N/A,TRUE,"東海";"FS-北陸",#N/A,TRUE,"北陸";"FS-関西",#N/A,TRUE,"関西";"FS-中国",#N/A,TRUE,"中国";"FS-四国",#N/A,TRUE,"四国";"FS-九州",#N/A,TRUE,"九州";"FS-連結",#N/A,TRUE,"連結"}</definedName>
    <definedName name="wrn.FS一括印刷." localSheetId="18" hidden="1">{"FS-北海道",#N/A,TRUE,"北海道";"FS-東北",#N/A,TRUE,"東北";"FS-東海",#N/A,TRUE,"東海";"FS-北陸",#N/A,TRUE,"北陸";"FS-関西",#N/A,TRUE,"関西";"FS-中国",#N/A,TRUE,"中国";"FS-四国",#N/A,TRUE,"四国";"FS-九州",#N/A,TRUE,"九州";"FS-連結",#N/A,TRUE,"連結"}</definedName>
    <definedName name="wrn.FS一括印刷." localSheetId="25" hidden="1">{"FS-北海道",#N/A,TRUE,"北海道";"FS-東北",#N/A,TRUE,"東北";"FS-東海",#N/A,TRUE,"東海";"FS-北陸",#N/A,TRUE,"北陸";"FS-関西",#N/A,TRUE,"関西";"FS-中国",#N/A,TRUE,"中国";"FS-四国",#N/A,TRUE,"四国";"FS-九州",#N/A,TRUE,"九州";"FS-連結",#N/A,TRUE,"連結"}</definedName>
    <definedName name="wrn.FS一括印刷." hidden="1">{"FS-北海道",#N/A,TRUE,"北海道";"FS-東北",#N/A,TRUE,"東北";"FS-東海",#N/A,TRUE,"東海";"FS-北陸",#N/A,TRUE,"北陸";"FS-関西",#N/A,TRUE,"関西";"FS-中国",#N/A,TRUE,"中国";"FS-四国",#N/A,TRUE,"四国";"FS-九州",#N/A,TRUE,"九州";"FS-連結",#N/A,TRUE,"連結"}</definedName>
    <definedName name="wrn.FULL." localSheetId="24" hidden="1">{#N/A,#N/A,FALSE,"B"}</definedName>
    <definedName name="wrn.FULL." localSheetId="18" hidden="1">{#N/A,#N/A,FALSE,"B"}</definedName>
    <definedName name="wrn.FULL." localSheetId="25" hidden="1">{#N/A,#N/A,FALSE,"B"}</definedName>
    <definedName name="wrn.FULL." hidden="1">{#N/A,#N/A,FALSE,"B"}</definedName>
    <definedName name="wrn.Full._.Report." localSheetId="24" hidden="1">{#N/A,#N/A,FALSE,"1Executive Summary";#N/A,#N/A,FALSE,"2Assumptions (Input)";#N/A,#N/A,FALSE,"3Cash Flow Analysis";#N/A,#N/A,FALSE,"4Year One Financial Summary";#N/A,#N/A,FALSE,"5Value Matrix";#N/A,#N/A,FALSE,"Greenline Form Page 1";#N/A,#N/A,FALSE,"Greenline Form Page 2"}</definedName>
    <definedName name="wrn.Full._.Report." localSheetId="18" hidden="1">{#N/A,#N/A,FALSE,"1Executive Summary";#N/A,#N/A,FALSE,"2Assumptions (Input)";#N/A,#N/A,FALSE,"3Cash Flow Analysis";#N/A,#N/A,FALSE,"4Year One Financial Summary";#N/A,#N/A,FALSE,"5Value Matrix";#N/A,#N/A,FALSE,"Greenline Form Page 1";#N/A,#N/A,FALSE,"Greenline Form Page 2"}</definedName>
    <definedName name="wrn.Full._.Report." localSheetId="25" hidden="1">{#N/A,#N/A,FALSE,"1Executive Summary";#N/A,#N/A,FALSE,"2Assumptions (Input)";#N/A,#N/A,FALSE,"3Cash Flow Analysis";#N/A,#N/A,FALSE,"4Year One Financial Summary";#N/A,#N/A,FALSE,"5Value Matrix";#N/A,#N/A,FALSE,"Greenline Form Page 1";#N/A,#N/A,FALSE,"Greenline Form Page 2"}</definedName>
    <definedName name="wrn.Full._.Report." hidden="1">{#N/A,#N/A,FALSE,"1Executive Summary";#N/A,#N/A,FALSE,"2Assumptions (Input)";#N/A,#N/A,FALSE,"3Cash Flow Analysis";#N/A,#N/A,FALSE,"4Year One Financial Summary";#N/A,#N/A,FALSE,"5Value Matrix";#N/A,#N/A,FALSE,"Greenline Form Page 1";#N/A,#N/A,FALSE,"Greenline Form Page 2"}</definedName>
    <definedName name="wrn.FULL._1" localSheetId="24" hidden="1">{#N/A,#N/A,FALSE,"B"}</definedName>
    <definedName name="wrn.FULL._1" localSheetId="18" hidden="1">{#N/A,#N/A,FALSE,"B"}</definedName>
    <definedName name="wrn.FULL._1" localSheetId="25" hidden="1">{#N/A,#N/A,FALSE,"B"}</definedName>
    <definedName name="wrn.FULL._1" hidden="1">{#N/A,#N/A,FALSE,"B"}</definedName>
    <definedName name="wrn.Full_Report." localSheetId="24" hidden="1">{#N/A,#N/A,FALSE,"1Summary";#N/A,#N/A,FALSE,"2Assumptions";"CashFlowTen",#N/A,FALSE,"3Cash Flow";"CashFlowTwenty",#N/A,FALSE,"3Cash Flow";"StrippingMatrix",#N/A,FALSE,"3Cash Flow";#N/A,#N/A,FALSE,"4Year 1 Reconciliation";"Residual",#N/A,FALSE,"5Residual";"MatrixI",#N/A,FALSE,"5Residual";#N/A,#N/A,FALSE,"5Residual Matrix";#N/A,#N/A,FALSE,"6Residual (Year 20)";#N/A,#N/A,FALSE,"7Pricing Matrix";#N/A,#N/A,FALSE,"8Pricing Matrix II";#N/A,#N/A,FALSE,"9Vacancy Matrix";#N/A,#N/A,FALSE,"10Expiration Schedule";#N/A,#N/A,FALSE,"ALease-up Schedule"}</definedName>
    <definedName name="wrn.Full_Report." localSheetId="18" hidden="1">{#N/A,#N/A,FALSE,"1Summary";#N/A,#N/A,FALSE,"2Assumptions";"CashFlowTen",#N/A,FALSE,"3Cash Flow";"CashFlowTwenty",#N/A,FALSE,"3Cash Flow";"StrippingMatrix",#N/A,FALSE,"3Cash Flow";#N/A,#N/A,FALSE,"4Year 1 Reconciliation";"Residual",#N/A,FALSE,"5Residual";"MatrixI",#N/A,FALSE,"5Residual";#N/A,#N/A,FALSE,"5Residual Matrix";#N/A,#N/A,FALSE,"6Residual (Year 20)";#N/A,#N/A,FALSE,"7Pricing Matrix";#N/A,#N/A,FALSE,"8Pricing Matrix II";#N/A,#N/A,FALSE,"9Vacancy Matrix";#N/A,#N/A,FALSE,"10Expiration Schedule";#N/A,#N/A,FALSE,"ALease-up Schedule"}</definedName>
    <definedName name="wrn.Full_Report." localSheetId="25" hidden="1">{#N/A,#N/A,FALSE,"1Summary";#N/A,#N/A,FALSE,"2Assumptions";"CashFlowTen",#N/A,FALSE,"3Cash Flow";"CashFlowTwenty",#N/A,FALSE,"3Cash Flow";"StrippingMatrix",#N/A,FALSE,"3Cash Flow";#N/A,#N/A,FALSE,"4Year 1 Reconciliation";"Residual",#N/A,FALSE,"5Residual";"MatrixI",#N/A,FALSE,"5Residual";#N/A,#N/A,FALSE,"5Residual Matrix";#N/A,#N/A,FALSE,"6Residual (Year 20)";#N/A,#N/A,FALSE,"7Pricing Matrix";#N/A,#N/A,FALSE,"8Pricing Matrix II";#N/A,#N/A,FALSE,"9Vacancy Matrix";#N/A,#N/A,FALSE,"10Expiration Schedule";#N/A,#N/A,FALSE,"ALease-up Schedule"}</definedName>
    <definedName name="wrn.Full_Report." hidden="1">{#N/A,#N/A,FALSE,"1Summary";#N/A,#N/A,FALSE,"2Assumptions";"CashFlowTen",#N/A,FALSE,"3Cash Flow";"CashFlowTwenty",#N/A,FALSE,"3Cash Flow";"StrippingMatrix",#N/A,FALSE,"3Cash Flow";#N/A,#N/A,FALSE,"4Year 1 Reconciliation";"Residual",#N/A,FALSE,"5Residual";"MatrixI",#N/A,FALSE,"5Residual";#N/A,#N/A,FALSE,"5Residual Matrix";#N/A,#N/A,FALSE,"6Residual (Year 20)";#N/A,#N/A,FALSE,"7Pricing Matrix";#N/A,#N/A,FALSE,"8Pricing Matrix II";#N/A,#N/A,FALSE,"9Vacancy Matrix";#N/A,#N/A,FALSE,"10Expiration Schedule";#N/A,#N/A,FALSE,"ALease-up Schedule"}</definedName>
    <definedName name="wrn.Full_Template." localSheetId="24" hidden="1">{#N/A,#N/A,FALSE,"1Summary";#N/A,#N/A,FALSE,"2Assumptions";#N/A,#N/A,FALSE,"3Cash Flow";#N/A,#N/A,FALSE,"4Year 1 Reconciliation";#N/A,#N/A,FALSE,"5Residual";#N/A,#N/A,FALSE,"6Residual (Year 20)";#N/A,#N/A,FALSE,"7Pricing Matrix";#N/A,#N/A,FALSE,"8Vacancy Matrix";#N/A,#N/A,FALSE,"9Expiration Schedule";#N/A,#N/A,FALSE,"ALease-up Schedule"}</definedName>
    <definedName name="wrn.Full_Template." localSheetId="18" hidden="1">{#N/A,#N/A,FALSE,"1Summary";#N/A,#N/A,FALSE,"2Assumptions";#N/A,#N/A,FALSE,"3Cash Flow";#N/A,#N/A,FALSE,"4Year 1 Reconciliation";#N/A,#N/A,FALSE,"5Residual";#N/A,#N/A,FALSE,"6Residual (Year 20)";#N/A,#N/A,FALSE,"7Pricing Matrix";#N/A,#N/A,FALSE,"8Vacancy Matrix";#N/A,#N/A,FALSE,"9Expiration Schedule";#N/A,#N/A,FALSE,"ALease-up Schedule"}</definedName>
    <definedName name="wrn.Full_Template." localSheetId="25" hidden="1">{#N/A,#N/A,FALSE,"1Summary";#N/A,#N/A,FALSE,"2Assumptions";#N/A,#N/A,FALSE,"3Cash Flow";#N/A,#N/A,FALSE,"4Year 1 Reconciliation";#N/A,#N/A,FALSE,"5Residual";#N/A,#N/A,FALSE,"6Residual (Year 20)";#N/A,#N/A,FALSE,"7Pricing Matrix";#N/A,#N/A,FALSE,"8Vacancy Matrix";#N/A,#N/A,FALSE,"9Expiration Schedule";#N/A,#N/A,FALSE,"ALease-up Schedule"}</definedName>
    <definedName name="wrn.Full_Template." hidden="1">{#N/A,#N/A,FALSE,"1Summary";#N/A,#N/A,FALSE,"2Assumptions";#N/A,#N/A,FALSE,"3Cash Flow";#N/A,#N/A,FALSE,"4Year 1 Reconciliation";#N/A,#N/A,FALSE,"5Residual";#N/A,#N/A,FALSE,"6Residual (Year 20)";#N/A,#N/A,FALSE,"7Pricing Matrix";#N/A,#N/A,FALSE,"8Vacancy Matrix";#N/A,#N/A,FALSE,"9Expiration Schedule";#N/A,#N/A,FALSE,"ALease-up Schedule"}</definedName>
    <definedName name="wrn.fullreport."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 localSheetId="25"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2"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2"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2" localSheetId="25"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2"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gain." localSheetId="24" hidden="1">{"gain",#N/A,FALSE,"Focus"}</definedName>
    <definedName name="wrn.gain." localSheetId="18" hidden="1">{"gain",#N/A,FALSE,"Focus"}</definedName>
    <definedName name="wrn.gain." localSheetId="25" hidden="1">{"gain",#N/A,FALSE,"Focus"}</definedName>
    <definedName name="wrn.gain." hidden="1">{"gain",#N/A,FALSE,"Focus"}</definedName>
    <definedName name="wrn.gamme." localSheetId="24" hidden="1">{#N/A,#N/A,FALSE,"original";#N/A,#N/A,FALSE,"boiler";#N/A,#N/A,FALSE,"burner";#N/A,#N/A,FALSE,"absorbtion unit"}</definedName>
    <definedName name="wrn.gamme." localSheetId="18" hidden="1">{#N/A,#N/A,FALSE,"original";#N/A,#N/A,FALSE,"boiler";#N/A,#N/A,FALSE,"burner";#N/A,#N/A,FALSE,"absorbtion unit"}</definedName>
    <definedName name="wrn.gamme." localSheetId="25" hidden="1">{#N/A,#N/A,FALSE,"original";#N/A,#N/A,FALSE,"boiler";#N/A,#N/A,FALSE,"burner";#N/A,#N/A,FALSE,"absorbtion unit"}</definedName>
    <definedName name="wrn.gamme." hidden="1">{#N/A,#N/A,FALSE,"original";#N/A,#N/A,FALSE,"boiler";#N/A,#N/A,FALSE,"burner";#N/A,#N/A,FALSE,"absorbtion unit"}</definedName>
    <definedName name="wrn.HILTON._.GARDEN._.INN." localSheetId="24" hidden="1">{#N/A,#N/A,FALSE,"SUMMARY SHEET";#N/A,#N/A,FALSE,"CAT1-16 SUMM";#N/A,#N/A,FALSE,"LABOR";#N/A,#N/A,FALSE,"TELEPHONES";#N/A,#N/A,FALSE,"EQUIPMENT";#N/A,#N/A,FALSE,"SUPPLIES";#N/A,#N/A,FALSE,"FF &amp; E";#N/A,#N/A,FALSE,"DESIGN COSTS";#N/A,#N/A,FALSE,"PROGRAM"}</definedName>
    <definedName name="wrn.HILTON._.GARDEN._.INN." localSheetId="18" hidden="1">{#N/A,#N/A,FALSE,"SUMMARY SHEET";#N/A,#N/A,FALSE,"CAT1-16 SUMM";#N/A,#N/A,FALSE,"LABOR";#N/A,#N/A,FALSE,"TELEPHONES";#N/A,#N/A,FALSE,"EQUIPMENT";#N/A,#N/A,FALSE,"SUPPLIES";#N/A,#N/A,FALSE,"FF &amp; E";#N/A,#N/A,FALSE,"DESIGN COSTS";#N/A,#N/A,FALSE,"PROGRAM"}</definedName>
    <definedName name="wrn.HILTON._.GARDEN._.INN." localSheetId="25" hidden="1">{#N/A,#N/A,FALSE,"SUMMARY SHEET";#N/A,#N/A,FALSE,"CAT1-16 SUMM";#N/A,#N/A,FALSE,"LABOR";#N/A,#N/A,FALSE,"TELEPHONES";#N/A,#N/A,FALSE,"EQUIPMENT";#N/A,#N/A,FALSE,"SUPPLIES";#N/A,#N/A,FALSE,"FF &amp; E";#N/A,#N/A,FALSE,"DESIGN COSTS";#N/A,#N/A,FALSE,"PROGRAM"}</definedName>
    <definedName name="wrn.HILTON._.GARDEN._.INN." hidden="1">{#N/A,#N/A,FALSE,"SUMMARY SHEET";#N/A,#N/A,FALSE,"CAT1-16 SUMM";#N/A,#N/A,FALSE,"LABOR";#N/A,#N/A,FALSE,"TELEPHONES";#N/A,#N/A,FALSE,"EQUIPMENT";#N/A,#N/A,FALSE,"SUPPLIES";#N/A,#N/A,FALSE,"FF &amp; E";#N/A,#N/A,FALSE,"DESIGN COSTS";#N/A,#N/A,FALSE,"PROGRAM"}</definedName>
    <definedName name="wrn.HILTON._.GARDEN._.INN._1" localSheetId="24" hidden="1">{#N/A,#N/A,FALSE,"SUMMARY SHEET";#N/A,#N/A,FALSE,"CAT1-16 SUMM";#N/A,#N/A,FALSE,"LABOR";#N/A,#N/A,FALSE,"TELEPHONES";#N/A,#N/A,FALSE,"EQUIPMENT";#N/A,#N/A,FALSE,"SUPPLIES";#N/A,#N/A,FALSE,"FF &amp; E";#N/A,#N/A,FALSE,"DESIGN COSTS";#N/A,#N/A,FALSE,"PROGRAM"}</definedName>
    <definedName name="wrn.HILTON._.GARDEN._.INN._1" localSheetId="18" hidden="1">{#N/A,#N/A,FALSE,"SUMMARY SHEET";#N/A,#N/A,FALSE,"CAT1-16 SUMM";#N/A,#N/A,FALSE,"LABOR";#N/A,#N/A,FALSE,"TELEPHONES";#N/A,#N/A,FALSE,"EQUIPMENT";#N/A,#N/A,FALSE,"SUPPLIES";#N/A,#N/A,FALSE,"FF &amp; E";#N/A,#N/A,FALSE,"DESIGN COSTS";#N/A,#N/A,FALSE,"PROGRAM"}</definedName>
    <definedName name="wrn.HILTON._.GARDEN._.INN._1" localSheetId="25" hidden="1">{#N/A,#N/A,FALSE,"SUMMARY SHEET";#N/A,#N/A,FALSE,"CAT1-16 SUMM";#N/A,#N/A,FALSE,"LABOR";#N/A,#N/A,FALSE,"TELEPHONES";#N/A,#N/A,FALSE,"EQUIPMENT";#N/A,#N/A,FALSE,"SUPPLIES";#N/A,#N/A,FALSE,"FF &amp; E";#N/A,#N/A,FALSE,"DESIGN COSTS";#N/A,#N/A,FALSE,"PROGRAM"}</definedName>
    <definedName name="wrn.HILTON._.GARDEN._.INN._1" hidden="1">{#N/A,#N/A,FALSE,"SUMMARY SHEET";#N/A,#N/A,FALSE,"CAT1-16 SUMM";#N/A,#N/A,FALSE,"LABOR";#N/A,#N/A,FALSE,"TELEPHONES";#N/A,#N/A,FALSE,"EQUIPMENT";#N/A,#N/A,FALSE,"SUPPLIES";#N/A,#N/A,FALSE,"FF &amp; E";#N/A,#N/A,FALSE,"DESIGN COSTS";#N/A,#N/A,FALSE,"PROGRAM"}</definedName>
    <definedName name="wrn.Historical._.Analysis." localSheetId="24" hidden="1">{#N/A,#N/A,FALSE,"HISTORICAL REV &amp; EXP"}</definedName>
    <definedName name="wrn.Historical._.Analysis." localSheetId="18" hidden="1">{#N/A,#N/A,FALSE,"HISTORICAL REV &amp; EXP"}</definedName>
    <definedName name="wrn.Historical._.Analysis." localSheetId="25" hidden="1">{#N/A,#N/A,FALSE,"HISTORICAL REV &amp; EXP"}</definedName>
    <definedName name="wrn.Historical._.Analysis." hidden="1">{#N/A,#N/A,FALSE,"HISTORICAL REV &amp; EXP"}</definedName>
    <definedName name="wrn.History._.Proforma." localSheetId="24" hidden="1">{"History &amp; Projection",#N/A,FALSE,"History - Proforma"}</definedName>
    <definedName name="wrn.History._.Proforma." localSheetId="18" hidden="1">{"History &amp; Projection",#N/A,FALSE,"History - Proforma"}</definedName>
    <definedName name="wrn.History._.Proforma." localSheetId="25" hidden="1">{"History &amp; Projection",#N/A,FALSE,"History - Proforma"}</definedName>
    <definedName name="wrn.History._.Proforma." hidden="1">{"History &amp; Projection",#N/A,FALSE,"History - Proforma"}</definedName>
    <definedName name="wrn.HO._.Accrls._.and._.Jnls." localSheetId="24" hidden="1">{#N/A,#N/A,FALSE,"Data Input";#N/A,#N/A,FALSE,"Accruals";#N/A,#N/A,FALSE,"Perm";#N/A,#N/A,FALSE,"WAG-SAL";#N/A,#N/A,FALSE,"WAG on cost";#N/A,#N/A,FALSE,"Payroll Tax";#N/A,#N/A,FALSE,"Electricity";#N/A,#N/A,FALSE,"% Rent";#N/A,#N/A,FALSE,"Accrual"}</definedName>
    <definedName name="wrn.HO._.Accrls._.and._.Jnls." localSheetId="18" hidden="1">{#N/A,#N/A,FALSE,"Data Input";#N/A,#N/A,FALSE,"Accruals";#N/A,#N/A,FALSE,"Perm";#N/A,#N/A,FALSE,"WAG-SAL";#N/A,#N/A,FALSE,"WAG on cost";#N/A,#N/A,FALSE,"Payroll Tax";#N/A,#N/A,FALSE,"Electricity";#N/A,#N/A,FALSE,"% Rent";#N/A,#N/A,FALSE,"Accrual"}</definedName>
    <definedName name="wrn.HO._.Accrls._.and._.Jnls." localSheetId="25" hidden="1">{#N/A,#N/A,FALSE,"Data Input";#N/A,#N/A,FALSE,"Accruals";#N/A,#N/A,FALSE,"Perm";#N/A,#N/A,FALSE,"WAG-SAL";#N/A,#N/A,FALSE,"WAG on cost";#N/A,#N/A,FALSE,"Payroll Tax";#N/A,#N/A,FALSE,"Electricity";#N/A,#N/A,FALSE,"% Rent";#N/A,#N/A,FALSE,"Accrual"}</definedName>
    <definedName name="wrn.HO._.Accrls._.and._.Jnls." hidden="1">{#N/A,#N/A,FALSE,"Data Input";#N/A,#N/A,FALSE,"Accruals";#N/A,#N/A,FALSE,"Perm";#N/A,#N/A,FALSE,"WAG-SAL";#N/A,#N/A,FALSE,"WAG on cost";#N/A,#N/A,FALSE,"Payroll Tax";#N/A,#N/A,FALSE,"Electricity";#N/A,#N/A,FALSE,"% Rent";#N/A,#N/A,FALSE,"Accrual"}</definedName>
    <definedName name="wrn.Hold._.Sell." localSheetId="24" hidden="1">{#N/A,#N/A,FALSE,"13Residual 2007";#N/A,#N/A,FALSE,"14Residual 2008";#N/A,#N/A,FALSE,"15Residual 2009";#N/A,#N/A,FALSE,"16Residual 2010";#N/A,#N/A,FALSE,"17Residual 2011";#N/A,#N/A,FALSE,"18Hold Disposition Matrix";#N/A,#N/A,FALSE,"19Other Disposition Matrix"}</definedName>
    <definedName name="wrn.Hold._.Sell." localSheetId="18" hidden="1">{#N/A,#N/A,FALSE,"13Residual 2007";#N/A,#N/A,FALSE,"14Residual 2008";#N/A,#N/A,FALSE,"15Residual 2009";#N/A,#N/A,FALSE,"16Residual 2010";#N/A,#N/A,FALSE,"17Residual 2011";#N/A,#N/A,FALSE,"18Hold Disposition Matrix";#N/A,#N/A,FALSE,"19Other Disposition Matrix"}</definedName>
    <definedName name="wrn.Hold._.Sell." localSheetId="25" hidden="1">{#N/A,#N/A,FALSE,"13Residual 2007";#N/A,#N/A,FALSE,"14Residual 2008";#N/A,#N/A,FALSE,"15Residual 2009";#N/A,#N/A,FALSE,"16Residual 2010";#N/A,#N/A,FALSE,"17Residual 2011";#N/A,#N/A,FALSE,"18Hold Disposition Matrix";#N/A,#N/A,FALSE,"19Other Disposition Matrix"}</definedName>
    <definedName name="wrn.Hold._.Sell." hidden="1">{#N/A,#N/A,FALSE,"13Residual 2007";#N/A,#N/A,FALSE,"14Residual 2008";#N/A,#N/A,FALSE,"15Residual 2009";#N/A,#N/A,FALSE,"16Residual 2010";#N/A,#N/A,FALSE,"17Residual 2011";#N/A,#N/A,FALSE,"18Hold Disposition Matrix";#N/A,#N/A,FALSE,"19Other Disposition Matrix"}</definedName>
    <definedName name="wrn.Hungary." localSheetId="24" hidden="1">{#N/A,#N/A,FALSE,"Application of RP";#N/A,#N/A,FALSE,"IBM Infopark(PROJECT)";#N/A,#N/A,FALSE,"HP Infopark (PROJECT)";#N/A,#N/A,FALSE,"IBM Munich (PROJECT)";#N/A,#N/A,FALSE,"Infopark Total(PROJECT)";#N/A,#N/A,FALSE,"Infopark Tax&amp;Profit";#N/A,#N/A,FALSE,"Infopark PPA";#N/A,#N/A,FALSE,"Paty M1 (PROJECT)";#N/A,#N/A,FALSE,"Com Park PROJECT";#N/A,#N/A,FALSE,"HypoVereinsbank (PROJECT)";#N/A,#N/A,FALSE,"Airport Industrial (PROJECT)";#N/A,#N/A,FALSE,"Airport Industrial (PROJECT 2)";#N/A,#N/A,FALSE,"Airport Industrial (PROJECT 3)";#N/A,#N/A,FALSE,"Chain Bridge (ADMIN)"}</definedName>
    <definedName name="wrn.Hungary." localSheetId="18" hidden="1">{#N/A,#N/A,FALSE,"Application of RP";#N/A,#N/A,FALSE,"IBM Infopark(PROJECT)";#N/A,#N/A,FALSE,"HP Infopark (PROJECT)";#N/A,#N/A,FALSE,"IBM Munich (PROJECT)";#N/A,#N/A,FALSE,"Infopark Total(PROJECT)";#N/A,#N/A,FALSE,"Infopark Tax&amp;Profit";#N/A,#N/A,FALSE,"Infopark PPA";#N/A,#N/A,FALSE,"Paty M1 (PROJECT)";#N/A,#N/A,FALSE,"Com Park PROJECT";#N/A,#N/A,FALSE,"HypoVereinsbank (PROJECT)";#N/A,#N/A,FALSE,"Airport Industrial (PROJECT)";#N/A,#N/A,FALSE,"Airport Industrial (PROJECT 2)";#N/A,#N/A,FALSE,"Airport Industrial (PROJECT 3)";#N/A,#N/A,FALSE,"Chain Bridge (ADMIN)"}</definedName>
    <definedName name="wrn.Hungary." localSheetId="25" hidden="1">{#N/A,#N/A,FALSE,"Application of RP";#N/A,#N/A,FALSE,"IBM Infopark(PROJECT)";#N/A,#N/A,FALSE,"HP Infopark (PROJECT)";#N/A,#N/A,FALSE,"IBM Munich (PROJECT)";#N/A,#N/A,FALSE,"Infopark Total(PROJECT)";#N/A,#N/A,FALSE,"Infopark Tax&amp;Profit";#N/A,#N/A,FALSE,"Infopark PPA";#N/A,#N/A,FALSE,"Paty M1 (PROJECT)";#N/A,#N/A,FALSE,"Com Park PROJECT";#N/A,#N/A,FALSE,"HypoVereinsbank (PROJECT)";#N/A,#N/A,FALSE,"Airport Industrial (PROJECT)";#N/A,#N/A,FALSE,"Airport Industrial (PROJECT 2)";#N/A,#N/A,FALSE,"Airport Industrial (PROJECT 3)";#N/A,#N/A,FALSE,"Chain Bridge (ADMIN)"}</definedName>
    <definedName name="wrn.Hungary." hidden="1">{#N/A,#N/A,FALSE,"Application of RP";#N/A,#N/A,FALSE,"IBM Infopark(PROJECT)";#N/A,#N/A,FALSE,"HP Infopark (PROJECT)";#N/A,#N/A,FALSE,"IBM Munich (PROJECT)";#N/A,#N/A,FALSE,"Infopark Total(PROJECT)";#N/A,#N/A,FALSE,"Infopark Tax&amp;Profit";#N/A,#N/A,FALSE,"Infopark PPA";#N/A,#N/A,FALSE,"Paty M1 (PROJECT)";#N/A,#N/A,FALSE,"Com Park PROJECT";#N/A,#N/A,FALSE,"HypoVereinsbank (PROJECT)";#N/A,#N/A,FALSE,"Airport Industrial (PROJECT)";#N/A,#N/A,FALSE,"Airport Industrial (PROJECT 2)";#N/A,#N/A,FALSE,"Airport Industrial (PROJECT 3)";#N/A,#N/A,FALSE,"Chain Bridge (ADMIN)"}</definedName>
    <definedName name="wrn.IFF94TAX." localSheetId="24"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 localSheetId="18"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 localSheetId="25"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_1" localSheetId="24"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_1" localSheetId="18"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_1" localSheetId="25"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_1"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ncome._.Non._.Rent." localSheetId="24" hidden="1">{#N/A,#N/A,FALSE,"Income(Non Rent)"}</definedName>
    <definedName name="wrn.Income._.Non._.Rent." localSheetId="18" hidden="1">{#N/A,#N/A,FALSE,"Income(Non Rent)"}</definedName>
    <definedName name="wrn.Income._.Non._.Rent." localSheetId="25" hidden="1">{#N/A,#N/A,FALSE,"Income(Non Rent)"}</definedName>
    <definedName name="wrn.Income._.Non._.Rent." hidden="1">{#N/A,#N/A,FALSE,"Income(Non Rent)"}</definedName>
    <definedName name="wrn.Index." localSheetId="24" hidden="1">{#N/A,#N/A,FALSE,"Index"}</definedName>
    <definedName name="wrn.Index." localSheetId="18" hidden="1">{#N/A,#N/A,FALSE,"Index"}</definedName>
    <definedName name="wrn.Index." localSheetId="25" hidden="1">{#N/A,#N/A,FALSE,"Index"}</definedName>
    <definedName name="wrn.Index." hidden="1">{#N/A,#N/A,FALSE,"Index"}</definedName>
    <definedName name="wrn.Info." localSheetId="24" hidden="1">{"Info",#N/A,FALSE,"A"}</definedName>
    <definedName name="wrn.Info." localSheetId="18" hidden="1">{"Info",#N/A,FALSE,"A"}</definedName>
    <definedName name="wrn.Info." localSheetId="25" hidden="1">{"Info",#N/A,FALSE,"A"}</definedName>
    <definedName name="wrn.Info." hidden="1">{"Info",#N/A,FALSE,"A"}</definedName>
    <definedName name="wrn.Inputs." localSheetId="24" hidden="1">{"Inflation-BaseYear",#N/A,FALSE,"Inputs"}</definedName>
    <definedName name="wrn.Inputs." localSheetId="18" hidden="1">{"Inflation-BaseYear",#N/A,FALSE,"Inputs"}</definedName>
    <definedName name="wrn.Inputs." localSheetId="25" hidden="1">{"Inflation-BaseYear",#N/A,FALSE,"Inputs"}</definedName>
    <definedName name="wrn.Inputs." hidden="1">{"Inflation-BaseYear",#N/A,FALSE,"Inputs"}</definedName>
    <definedName name="wrn.IRR." localSheetId="24" hidden="1">{#N/A,#N/A,FALSE,"IRR"}</definedName>
    <definedName name="wrn.IRR." localSheetId="18" hidden="1">{#N/A,#N/A,FALSE,"IRR"}</definedName>
    <definedName name="wrn.IRR." localSheetId="25" hidden="1">{#N/A,#N/A,FALSE,"IRR"}</definedName>
    <definedName name="wrn.IRR." hidden="1">{#N/A,#N/A,FALSE,"IRR"}</definedName>
    <definedName name="wrn.jck94TAXRETURN." localSheetId="24"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localSheetId="18"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localSheetId="25"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localSheetId="24"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localSheetId="18"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localSheetId="25"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OURNALS." localSheetId="24" hidden="1">{"Journal 1",#N/A,FALSE,"A";"JOURNAL 2",#N/A,FALSE,"A";"Journal 3",#N/A,FALSE,"A"}</definedName>
    <definedName name="wrn.JOURNALS." localSheetId="18" hidden="1">{"Journal 1",#N/A,FALSE,"A";"JOURNAL 2",#N/A,FALSE,"A";"Journal 3",#N/A,FALSE,"A"}</definedName>
    <definedName name="wrn.JOURNALS." localSheetId="25" hidden="1">{"Journal 1",#N/A,FALSE,"A";"JOURNAL 2",#N/A,FALSE,"A";"Journal 3",#N/A,FALSE,"A"}</definedName>
    <definedName name="wrn.JOURNALS." hidden="1">{"Journal 1",#N/A,FALSE,"A";"JOURNAL 2",#N/A,FALSE,"A";"Journal 3",#N/A,FALSE,"A"}</definedName>
    <definedName name="wrn.Lead._.Schedule." localSheetId="24" hidden="1">{#N/A,#N/A,FALSE,"BS";#N/A,#N/A,FALSE,"PL";#N/A,#N/A,FALSE,"A";#N/A,#N/A,FALSE,"B";#N/A,#N/A,FALSE,"B1";#N/A,#N/A,FALSE,"C";#N/A,#N/A,FALSE,"C1";#N/A,#N/A,FALSE,"C2";#N/A,#N/A,FALSE,"D";#N/A,#N/A,FALSE,"E";#N/A,#N/A,FALSE,"F";#N/A,#N/A,FALSE,"AA";#N/A,#N/A,FALSE,"BB";#N/A,#N/A,FALSE,"CC";#N/A,#N/A,FALSE,"DD";#N/A,#N/A,FALSE,"EE";#N/A,#N/A,FALSE,"FF";#N/A,#N/A,FALSE,"PL10";#N/A,#N/A,FALSE,"PL20";#N/A,#N/A,FALSE,"PL30"}</definedName>
    <definedName name="wrn.Lead._.Schedule." localSheetId="18" hidden="1">{#N/A,#N/A,FALSE,"BS";#N/A,#N/A,FALSE,"PL";#N/A,#N/A,FALSE,"A";#N/A,#N/A,FALSE,"B";#N/A,#N/A,FALSE,"B1";#N/A,#N/A,FALSE,"C";#N/A,#N/A,FALSE,"C1";#N/A,#N/A,FALSE,"C2";#N/A,#N/A,FALSE,"D";#N/A,#N/A,FALSE,"E";#N/A,#N/A,FALSE,"F";#N/A,#N/A,FALSE,"AA";#N/A,#N/A,FALSE,"BB";#N/A,#N/A,FALSE,"CC";#N/A,#N/A,FALSE,"DD";#N/A,#N/A,FALSE,"EE";#N/A,#N/A,FALSE,"FF";#N/A,#N/A,FALSE,"PL10";#N/A,#N/A,FALSE,"PL20";#N/A,#N/A,FALSE,"PL30"}</definedName>
    <definedName name="wrn.Lead._.Schedule." localSheetId="25" hidden="1">{#N/A,#N/A,FALSE,"BS";#N/A,#N/A,FALSE,"PL";#N/A,#N/A,FALSE,"A";#N/A,#N/A,FALSE,"B";#N/A,#N/A,FALSE,"B1";#N/A,#N/A,FALSE,"C";#N/A,#N/A,FALSE,"C1";#N/A,#N/A,FALSE,"C2";#N/A,#N/A,FALSE,"D";#N/A,#N/A,FALSE,"E";#N/A,#N/A,FALSE,"F";#N/A,#N/A,FALSE,"AA";#N/A,#N/A,FALSE,"BB";#N/A,#N/A,FALSE,"CC";#N/A,#N/A,FALSE,"DD";#N/A,#N/A,FALSE,"EE";#N/A,#N/A,FALSE,"FF";#N/A,#N/A,FALSE,"PL10";#N/A,#N/A,FALSE,"PL20";#N/A,#N/A,FALSE,"PL30"}</definedName>
    <definedName name="wrn.Lead._.Schedule." hidden="1">{#N/A,#N/A,FALSE,"BS";#N/A,#N/A,FALSE,"PL";#N/A,#N/A,FALSE,"A";#N/A,#N/A,FALSE,"B";#N/A,#N/A,FALSE,"B1";#N/A,#N/A,FALSE,"C";#N/A,#N/A,FALSE,"C1";#N/A,#N/A,FALSE,"C2";#N/A,#N/A,FALSE,"D";#N/A,#N/A,FALSE,"E";#N/A,#N/A,FALSE,"F";#N/A,#N/A,FALSE,"AA";#N/A,#N/A,FALSE,"BB";#N/A,#N/A,FALSE,"CC";#N/A,#N/A,FALSE,"DD";#N/A,#N/A,FALSE,"EE";#N/A,#N/A,FALSE,"FF";#N/A,#N/A,FALSE,"PL10";#N/A,#N/A,FALSE,"PL20";#N/A,#N/A,FALSE,"PL30"}</definedName>
    <definedName name="wrn.Lead._.Schedule._1" localSheetId="24" hidden="1">{#N/A,#N/A,FALSE,"BS";#N/A,#N/A,FALSE,"PL";#N/A,#N/A,FALSE,"A";#N/A,#N/A,FALSE,"B";#N/A,#N/A,FALSE,"B1";#N/A,#N/A,FALSE,"C";#N/A,#N/A,FALSE,"C1";#N/A,#N/A,FALSE,"C2";#N/A,#N/A,FALSE,"D";#N/A,#N/A,FALSE,"E";#N/A,#N/A,FALSE,"F";#N/A,#N/A,FALSE,"AA";#N/A,#N/A,FALSE,"BB";#N/A,#N/A,FALSE,"CC";#N/A,#N/A,FALSE,"DD";#N/A,#N/A,FALSE,"EE";#N/A,#N/A,FALSE,"FF";#N/A,#N/A,FALSE,"PL10";#N/A,#N/A,FALSE,"PL20";#N/A,#N/A,FALSE,"PL30"}</definedName>
    <definedName name="wrn.Lead._.Schedule._1" localSheetId="18" hidden="1">{#N/A,#N/A,FALSE,"BS";#N/A,#N/A,FALSE,"PL";#N/A,#N/A,FALSE,"A";#N/A,#N/A,FALSE,"B";#N/A,#N/A,FALSE,"B1";#N/A,#N/A,FALSE,"C";#N/A,#N/A,FALSE,"C1";#N/A,#N/A,FALSE,"C2";#N/A,#N/A,FALSE,"D";#N/A,#N/A,FALSE,"E";#N/A,#N/A,FALSE,"F";#N/A,#N/A,FALSE,"AA";#N/A,#N/A,FALSE,"BB";#N/A,#N/A,FALSE,"CC";#N/A,#N/A,FALSE,"DD";#N/A,#N/A,FALSE,"EE";#N/A,#N/A,FALSE,"FF";#N/A,#N/A,FALSE,"PL10";#N/A,#N/A,FALSE,"PL20";#N/A,#N/A,FALSE,"PL30"}</definedName>
    <definedName name="wrn.Lead._.Schedule._1" localSheetId="25" hidden="1">{#N/A,#N/A,FALSE,"BS";#N/A,#N/A,FALSE,"PL";#N/A,#N/A,FALSE,"A";#N/A,#N/A,FALSE,"B";#N/A,#N/A,FALSE,"B1";#N/A,#N/A,FALSE,"C";#N/A,#N/A,FALSE,"C1";#N/A,#N/A,FALSE,"C2";#N/A,#N/A,FALSE,"D";#N/A,#N/A,FALSE,"E";#N/A,#N/A,FALSE,"F";#N/A,#N/A,FALSE,"AA";#N/A,#N/A,FALSE,"BB";#N/A,#N/A,FALSE,"CC";#N/A,#N/A,FALSE,"DD";#N/A,#N/A,FALSE,"EE";#N/A,#N/A,FALSE,"FF";#N/A,#N/A,FALSE,"PL10";#N/A,#N/A,FALSE,"PL20";#N/A,#N/A,FALSE,"PL30"}</definedName>
    <definedName name="wrn.Lead._.Schedule._1" hidden="1">{#N/A,#N/A,FALSE,"BS";#N/A,#N/A,FALSE,"PL";#N/A,#N/A,FALSE,"A";#N/A,#N/A,FALSE,"B";#N/A,#N/A,FALSE,"B1";#N/A,#N/A,FALSE,"C";#N/A,#N/A,FALSE,"C1";#N/A,#N/A,FALSE,"C2";#N/A,#N/A,FALSE,"D";#N/A,#N/A,FALSE,"E";#N/A,#N/A,FALSE,"F";#N/A,#N/A,FALSE,"AA";#N/A,#N/A,FALSE,"BB";#N/A,#N/A,FALSE,"CC";#N/A,#N/A,FALSE,"DD";#N/A,#N/A,FALSE,"EE";#N/A,#N/A,FALSE,"FF";#N/A,#N/A,FALSE,"PL10";#N/A,#N/A,FALSE,"PL20";#N/A,#N/A,FALSE,"PL30"}</definedName>
    <definedName name="wrn.Leases." localSheetId="24" hidden="1">{#N/A,#N/A,FALSE,"Leases"}</definedName>
    <definedName name="wrn.Leases." localSheetId="18" hidden="1">{#N/A,#N/A,FALSE,"Leases"}</definedName>
    <definedName name="wrn.Leases." localSheetId="25" hidden="1">{#N/A,#N/A,FALSE,"Leases"}</definedName>
    <definedName name="wrn.Leases." hidden="1">{#N/A,#N/A,FALSE,"Leases"}</definedName>
    <definedName name="wrn.Loan._.Pricing._.Analysis." localSheetId="24" hidden="1">{#N/A,#N/A,FALSE,"LOAN ANALYSIS"}</definedName>
    <definedName name="wrn.Loan._.Pricing._.Analysis." localSheetId="18" hidden="1">{#N/A,#N/A,FALSE,"LOAN ANALYSIS"}</definedName>
    <definedName name="wrn.Loan._.Pricing._.Analysis." localSheetId="25" hidden="1">{#N/A,#N/A,FALSE,"LOAN ANALYSIS"}</definedName>
    <definedName name="wrn.Loan._.Pricing._.Analysis." hidden="1">{#N/A,#N/A,FALSE,"LOAN ANALYSIS"}</definedName>
    <definedName name="wrn.LoanInformation." localSheetId="24" hidden="1">{#N/A,#N/A,FALSE,"LoanAssumptions"}</definedName>
    <definedName name="wrn.LoanInformation." localSheetId="18" hidden="1">{#N/A,#N/A,FALSE,"LoanAssumptions"}</definedName>
    <definedName name="wrn.LoanInformation." localSheetId="25" hidden="1">{#N/A,#N/A,FALSE,"LoanAssumptions"}</definedName>
    <definedName name="wrn.LoanInformation." hidden="1">{#N/A,#N/A,FALSE,"LoanAssumptions"}</definedName>
    <definedName name="wrn.LoanInformation._1" localSheetId="24" hidden="1">{#N/A,#N/A,FALSE,"LoanAssumptions"}</definedName>
    <definedName name="wrn.LoanInformation._1" localSheetId="18" hidden="1">{#N/A,#N/A,FALSE,"LoanAssumptions"}</definedName>
    <definedName name="wrn.LoanInformation._1" localSheetId="25" hidden="1">{#N/A,#N/A,FALSE,"LoanAssumptions"}</definedName>
    <definedName name="wrn.LoanInformation._1" hidden="1">{#N/A,#N/A,FALSE,"LoanAssumptions"}</definedName>
    <definedName name="wrn.lodging." localSheetId="24" hidden="1">{"p",#N/A,FALSE,"Sheet1";"p 2",#N/A,FALSE,"Sheet1";"p 3",#N/A,FALSE,"Sheet1"}</definedName>
    <definedName name="wrn.lodging." localSheetId="18" hidden="1">{"p",#N/A,FALSE,"Sheet1";"p 2",#N/A,FALSE,"Sheet1";"p 3",#N/A,FALSE,"Sheet1"}</definedName>
    <definedName name="wrn.lodging." localSheetId="25" hidden="1">{"p",#N/A,FALSE,"Sheet1";"p 2",#N/A,FALSE,"Sheet1";"p 3",#N/A,FALSE,"Sheet1"}</definedName>
    <definedName name="wrn.lodging." hidden="1">{"p",#N/A,FALSE,"Sheet1";"p 2",#N/A,FALSE,"Sheet1";"p 3",#N/A,FALSE,"Sheet1"}</definedName>
    <definedName name="wrn.lodging._1" localSheetId="24" hidden="1">{"p",#N/A,FALSE,"Sheet1";"p 2",#N/A,FALSE,"Sheet1";"p 3",#N/A,FALSE,"Sheet1"}</definedName>
    <definedName name="wrn.lodging._1" localSheetId="18" hidden="1">{"p",#N/A,FALSE,"Sheet1";"p 2",#N/A,FALSE,"Sheet1";"p 3",#N/A,FALSE,"Sheet1"}</definedName>
    <definedName name="wrn.lodging._1" localSheetId="25" hidden="1">{"p",#N/A,FALSE,"Sheet1";"p 2",#N/A,FALSE,"Sheet1";"p 3",#N/A,FALSE,"Sheet1"}</definedName>
    <definedName name="wrn.lodging._1" hidden="1">{"p",#N/A,FALSE,"Sheet1";"p 2",#N/A,FALSE,"Sheet1";"p 3",#N/A,FALSE,"Sheet1"}</definedName>
    <definedName name="wrn.LTF." localSheetId="24" hidden="1">{"LTF",#N/A,FALSE,"P &amp; L"}</definedName>
    <definedName name="wrn.LTF." localSheetId="18" hidden="1">{"LTF",#N/A,FALSE,"P &amp; L"}</definedName>
    <definedName name="wrn.LTF." localSheetId="25" hidden="1">{"LTF",#N/A,FALSE,"P &amp; L"}</definedName>
    <definedName name="wrn.LTF." hidden="1">{"LTF",#N/A,FALSE,"P &amp; L"}</definedName>
    <definedName name="wrn.LTF._.98_99." localSheetId="24" hidden="1">{"LTF 98_99",#N/A,FALSE,"Summary Profit";"Ltf 98_99",#N/A,FALSE,"Expense"}</definedName>
    <definedName name="wrn.LTF._.98_99." localSheetId="18" hidden="1">{"LTF 98_99",#N/A,FALSE,"Summary Profit";"Ltf 98_99",#N/A,FALSE,"Expense"}</definedName>
    <definedName name="wrn.LTF._.98_99." localSheetId="25" hidden="1">{"LTF 98_99",#N/A,FALSE,"Summary Profit";"Ltf 98_99",#N/A,FALSE,"Expense"}</definedName>
    <definedName name="wrn.LTF._.98_99." hidden="1">{"LTF 98_99",#N/A,FALSE,"Summary Profit";"Ltf 98_99",#N/A,FALSE,"Expense"}</definedName>
    <definedName name="wrn.Main2." localSheetId="24" hidden="1">{#N/A,#N/A,FALSE,"Val."}</definedName>
    <definedName name="wrn.Main2." localSheetId="18" hidden="1">{#N/A,#N/A,FALSE,"Val."}</definedName>
    <definedName name="wrn.Main2." localSheetId="25" hidden="1">{#N/A,#N/A,FALSE,"Val."}</definedName>
    <definedName name="wrn.Main2." hidden="1">{#N/A,#N/A,FALSE,"Val."}</definedName>
    <definedName name="wrn.Market_Report." localSheetId="24" hidden="1">{#N/A,#N/A,FALSE,"1Summary";#N/A,#N/A,FALSE,"2Assumptions";"CashFlowTen",#N/A,FALSE,"3Cash Flow";"Residual",#N/A,FALSE,"5Residual";#N/A,#N/A,FALSE,"9Vacancy Matrix";#N/A,#N/A,FALSE,"10Expiration Schedule"}</definedName>
    <definedName name="wrn.Market_Report." localSheetId="18" hidden="1">{#N/A,#N/A,FALSE,"1Summary";#N/A,#N/A,FALSE,"2Assumptions";"CashFlowTen",#N/A,FALSE,"3Cash Flow";"Residual",#N/A,FALSE,"5Residual";#N/A,#N/A,FALSE,"9Vacancy Matrix";#N/A,#N/A,FALSE,"10Expiration Schedule"}</definedName>
    <definedName name="wrn.Market_Report." localSheetId="25" hidden="1">{#N/A,#N/A,FALSE,"1Summary";#N/A,#N/A,FALSE,"2Assumptions";"CashFlowTen",#N/A,FALSE,"3Cash Flow";"Residual",#N/A,FALSE,"5Residual";#N/A,#N/A,FALSE,"9Vacancy Matrix";#N/A,#N/A,FALSE,"10Expiration Schedule"}</definedName>
    <definedName name="wrn.Market_Report." hidden="1">{#N/A,#N/A,FALSE,"1Summary";#N/A,#N/A,FALSE,"2Assumptions";"CashFlowTen",#N/A,FALSE,"3Cash Flow";"Residual",#N/A,FALSE,"5Residual";#N/A,#N/A,FALSE,"9Vacancy Matrix";#N/A,#N/A,FALSE,"10Expiration Schedule"}</definedName>
    <definedName name="wrn.Mgt._.Report." localSheetId="24" hidden="1">{#N/A,#N/A,TRUE,"MR Cover";#N/A,#N/A,TRUE,"MR Content";#N/A,#N/A,TRUE,"MR Exec Sum";#N/A,#N/A,TRUE,"MR Asset Performance";#N/A,#N/A,TRUE,"MR APIC Financials";#N/A,#N/A,TRUE,"MR REI Financials";#N/A,#N/A,TRUE,"MR Hedging";#N/A,#N/A,TRUE,"MR Risk Mgt";#N/A,#N/A,TRUE,"MR APIC Approved Exp"}</definedName>
    <definedName name="wrn.Mgt._.Report." localSheetId="18" hidden="1">{#N/A,#N/A,TRUE,"MR Cover";#N/A,#N/A,TRUE,"MR Content";#N/A,#N/A,TRUE,"MR Exec Sum";#N/A,#N/A,TRUE,"MR Asset Performance";#N/A,#N/A,TRUE,"MR APIC Financials";#N/A,#N/A,TRUE,"MR REI Financials";#N/A,#N/A,TRUE,"MR Hedging";#N/A,#N/A,TRUE,"MR Risk Mgt";#N/A,#N/A,TRUE,"MR APIC Approved Exp"}</definedName>
    <definedName name="wrn.Mgt._.Report." localSheetId="25" hidden="1">{#N/A,#N/A,TRUE,"MR Cover";#N/A,#N/A,TRUE,"MR Content";#N/A,#N/A,TRUE,"MR Exec Sum";#N/A,#N/A,TRUE,"MR Asset Performance";#N/A,#N/A,TRUE,"MR APIC Financials";#N/A,#N/A,TRUE,"MR REI Financials";#N/A,#N/A,TRUE,"MR Hedging";#N/A,#N/A,TRUE,"MR Risk Mgt";#N/A,#N/A,TRUE,"MR APIC Approved Exp"}</definedName>
    <definedName name="wrn.Mgt._.Report." hidden="1">{#N/A,#N/A,TRUE,"MR Cover";#N/A,#N/A,TRUE,"MR Content";#N/A,#N/A,TRUE,"MR Exec Sum";#N/A,#N/A,TRUE,"MR Asset Performance";#N/A,#N/A,TRUE,"MR APIC Financials";#N/A,#N/A,TRUE,"MR REI Financials";#N/A,#N/A,TRUE,"MR Hedging";#N/A,#N/A,TRUE,"MR Risk Mgt";#N/A,#N/A,TRUE,"MR APIC Approved Exp"}</definedName>
    <definedName name="wrn.Minsum_Report." localSheetId="24" hidden="1">{#N/A,#N/A,FALSE,"Cover";#N/A,#N/A,FALSE,"Target Vacancies";#N/A,#N/A,FALSE,"Report1";#N/A,#N/A,FALSE,"Report1RGM";#N/A,#N/A,FALSE,"Report6";#N/A,#N/A,FALSE,"Report9";#N/A,#N/A,FALSE,"Report10";#N/A,#N/A,FALSE,"Report11";#N/A,#N/A,FALSE,"Report13";#N/A,#N/A,FALSE,"Report13RGM"}</definedName>
    <definedName name="wrn.Minsum_Report." localSheetId="18" hidden="1">{#N/A,#N/A,FALSE,"Cover";#N/A,#N/A,FALSE,"Target Vacancies";#N/A,#N/A,FALSE,"Report1";#N/A,#N/A,FALSE,"Report1RGM";#N/A,#N/A,FALSE,"Report6";#N/A,#N/A,FALSE,"Report9";#N/A,#N/A,FALSE,"Report10";#N/A,#N/A,FALSE,"Report11";#N/A,#N/A,FALSE,"Report13";#N/A,#N/A,FALSE,"Report13RGM"}</definedName>
    <definedName name="wrn.Minsum_Report." localSheetId="25" hidden="1">{#N/A,#N/A,FALSE,"Cover";#N/A,#N/A,FALSE,"Target Vacancies";#N/A,#N/A,FALSE,"Report1";#N/A,#N/A,FALSE,"Report1RGM";#N/A,#N/A,FALSE,"Report6";#N/A,#N/A,FALSE,"Report9";#N/A,#N/A,FALSE,"Report10";#N/A,#N/A,FALSE,"Report11";#N/A,#N/A,FALSE,"Report13";#N/A,#N/A,FALSE,"Report13RGM"}</definedName>
    <definedName name="wrn.Minsum_Report." hidden="1">{#N/A,#N/A,FALSE,"Cover";#N/A,#N/A,FALSE,"Target Vacancies";#N/A,#N/A,FALSE,"Report1";#N/A,#N/A,FALSE,"Report1RGM";#N/A,#N/A,FALSE,"Report6";#N/A,#N/A,FALSE,"Report9";#N/A,#N/A,FALSE,"Report10";#N/A,#N/A,FALSE,"Report11";#N/A,#N/A,FALSE,"Report13";#N/A,#N/A,FALSE,"Report13RGM"}</definedName>
    <definedName name="wrn.Minutes._.Pack." localSheetId="24" hidden="1">{#N/A,#N/A,FALSE,"Cover";#N/A,#N/A,FALSE,"Detail_Commit";#N/A,#N/A,FALSE,"Target Vacancies";#N/A,#N/A,FALSE,"Report1";#N/A,#N/A,FALSE,"Report1RGM";#N/A,#N/A,FALSE,"Report6";#N/A,#N/A,FALSE,"Report6RGM";#N/A,#N/A,FALSE,"Report9";#N/A,#N/A,FALSE,"Report10";#N/A,#N/A,FALSE,"Report11";#N/A,#N/A,FALSE,"Report13";#N/A,#N/A,FALSE,"Report13RGM"}</definedName>
    <definedName name="wrn.Minutes._.Pack." localSheetId="18" hidden="1">{#N/A,#N/A,FALSE,"Cover";#N/A,#N/A,FALSE,"Detail_Commit";#N/A,#N/A,FALSE,"Target Vacancies";#N/A,#N/A,FALSE,"Report1";#N/A,#N/A,FALSE,"Report1RGM";#N/A,#N/A,FALSE,"Report6";#N/A,#N/A,FALSE,"Report6RGM";#N/A,#N/A,FALSE,"Report9";#N/A,#N/A,FALSE,"Report10";#N/A,#N/A,FALSE,"Report11";#N/A,#N/A,FALSE,"Report13";#N/A,#N/A,FALSE,"Report13RGM"}</definedName>
    <definedName name="wrn.Minutes._.Pack." localSheetId="25" hidden="1">{#N/A,#N/A,FALSE,"Cover";#N/A,#N/A,FALSE,"Detail_Commit";#N/A,#N/A,FALSE,"Target Vacancies";#N/A,#N/A,FALSE,"Report1";#N/A,#N/A,FALSE,"Report1RGM";#N/A,#N/A,FALSE,"Report6";#N/A,#N/A,FALSE,"Report6RGM";#N/A,#N/A,FALSE,"Report9";#N/A,#N/A,FALSE,"Report10";#N/A,#N/A,FALSE,"Report11";#N/A,#N/A,FALSE,"Report13";#N/A,#N/A,FALSE,"Report13RGM"}</definedName>
    <definedName name="wrn.Minutes._.Pack." hidden="1">{#N/A,#N/A,FALSE,"Cover";#N/A,#N/A,FALSE,"Detail_Commit";#N/A,#N/A,FALSE,"Target Vacancies";#N/A,#N/A,FALSE,"Report1";#N/A,#N/A,FALSE,"Report1RGM";#N/A,#N/A,FALSE,"Report6";#N/A,#N/A,FALSE,"Report6RGM";#N/A,#N/A,FALSE,"Report9";#N/A,#N/A,FALSE,"Report10";#N/A,#N/A,FALSE,"Report11";#N/A,#N/A,FALSE,"Report13";#N/A,#N/A,FALSE,"Report13RGM"}</definedName>
    <definedName name="wrn.mktstd." localSheetId="24" hidden="1">{"Project Input",#N/A,FALSE,"Sheet1";"additions",#N/A,FALSE,"Sheet2";"demand",#N/A,FALSE,"Sheet3";"Market Mix",#N/A,FALSE,"Sheet4";"Occ projection",#N/A,FALSE,"Sheet6"}</definedName>
    <definedName name="wrn.mktstd." localSheetId="18" hidden="1">{"Project Input",#N/A,FALSE,"Sheet1";"additions",#N/A,FALSE,"Sheet2";"demand",#N/A,FALSE,"Sheet3";"Market Mix",#N/A,FALSE,"Sheet4";"Occ projection",#N/A,FALSE,"Sheet6"}</definedName>
    <definedName name="wrn.mktstd." localSheetId="25" hidden="1">{"Project Input",#N/A,FALSE,"Sheet1";"additions",#N/A,FALSE,"Sheet2";"demand",#N/A,FALSE,"Sheet3";"Market Mix",#N/A,FALSE,"Sheet4";"Occ projection",#N/A,FALSE,"Sheet6"}</definedName>
    <definedName name="wrn.mktstd." hidden="1">{"Project Input",#N/A,FALSE,"Sheet1";"additions",#N/A,FALSE,"Sheet2";"demand",#N/A,FALSE,"Sheet3";"Market Mix",#N/A,FALSE,"Sheet4";"Occ projection",#N/A,FALSE,"Sheet6"}</definedName>
    <definedName name="wrn.mn"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mn"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mn" localSheetId="25"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mn"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MN._.Montreal." localSheetId="24" hidden="1">{#N/A,#N/A,FALSE,"Coversheet RPT";#N/A,#N/A,FALSE,"Investment Summary RPT";#N/A,#N/A,FALSE,"Annual CF RPT";#N/A,#N/A,FALSE,"Financing Summary RPT";#N/A,#N/A,FALSE,"Dev Cost RPT";#N/A,#N/A,FALSE,"Lease up RPT";#N/A,#N/A,FALSE,"Rent Roll RPT";#N/A,#N/A,FALSE,"Stabile NOI RPT"}</definedName>
    <definedName name="wrn.MN._.Montreal." localSheetId="18" hidden="1">{#N/A,#N/A,FALSE,"Coversheet RPT";#N/A,#N/A,FALSE,"Investment Summary RPT";#N/A,#N/A,FALSE,"Annual CF RPT";#N/A,#N/A,FALSE,"Financing Summary RPT";#N/A,#N/A,FALSE,"Dev Cost RPT";#N/A,#N/A,FALSE,"Lease up RPT";#N/A,#N/A,FALSE,"Rent Roll RPT";#N/A,#N/A,FALSE,"Stabile NOI RPT"}</definedName>
    <definedName name="wrn.MN._.Montreal." localSheetId="25" hidden="1">{#N/A,#N/A,FALSE,"Coversheet RPT";#N/A,#N/A,FALSE,"Investment Summary RPT";#N/A,#N/A,FALSE,"Annual CF RPT";#N/A,#N/A,FALSE,"Financing Summary RPT";#N/A,#N/A,FALSE,"Dev Cost RPT";#N/A,#N/A,FALSE,"Lease up RPT";#N/A,#N/A,FALSE,"Rent Roll RPT";#N/A,#N/A,FALSE,"Stabile NOI RPT"}</definedName>
    <definedName name="wrn.MN._.Montreal." hidden="1">{#N/A,#N/A,FALSE,"Coversheet RPT";#N/A,#N/A,FALSE,"Investment Summary RPT";#N/A,#N/A,FALSE,"Annual CF RPT";#N/A,#N/A,FALSE,"Financing Summary RPT";#N/A,#N/A,FALSE,"Dev Cost RPT";#N/A,#N/A,FALSE,"Lease up RPT";#N/A,#N/A,FALSE,"Rent Roll RPT";#N/A,#N/A,FALSE,"Stabile NOI RPT"}</definedName>
    <definedName name="wrn.MonthlyRentRoll." localSheetId="24" hidden="1">{"MonthlyRentRoll",#N/A,FALSE,"RentRoll"}</definedName>
    <definedName name="wrn.MonthlyRentRoll." localSheetId="18" hidden="1">{"MonthlyRentRoll",#N/A,FALSE,"RentRoll"}</definedName>
    <definedName name="wrn.MonthlyRentRoll." localSheetId="25" hidden="1">{"MonthlyRentRoll",#N/A,FALSE,"RentRoll"}</definedName>
    <definedName name="wrn.MonthlyRentRoll." hidden="1">{"MonthlyRentRoll",#N/A,FALSE,"RentRoll"}</definedName>
    <definedName name="wrn.MonthlyRentRoll._1" localSheetId="24" hidden="1">{"MonthlyRentRoll",#N/A,FALSE,"RentRoll"}</definedName>
    <definedName name="wrn.MonthlyRentRoll._1" localSheetId="18" hidden="1">{"MonthlyRentRoll",#N/A,FALSE,"RentRoll"}</definedName>
    <definedName name="wrn.MonthlyRentRoll._1" localSheetId="25" hidden="1">{"MonthlyRentRoll",#N/A,FALSE,"RentRoll"}</definedName>
    <definedName name="wrn.MonthlyRentRoll._1" hidden="1">{"MonthlyRentRoll",#N/A,FALSE,"RentRoll"}</definedName>
    <definedName name="wrn.mortassetplan." localSheetId="24" hidden="1">{#N/A,#N/A,FALSE,"asset plan";#N/A,#N/A,FALSE,"Mgmt Report";#N/A,#N/A,FALSE,"sensitivities (2)";#N/A,#N/A,FALSE,"sensitivities";#N/A,#N/A,FALSE,"let up 10  Mort";#N/A,#N/A,FALSE,"let up 12 Mort";#N/A,#N/A,FALSE,"Capex";#N/A,#N/A,FALSE,"Capex Cashflow (2)";#N/A,#N/A,FALSE,"Capex Cashflow (3)";#N/A,#N/A,FALSE,"House View";#N/A,#N/A,FALSE,"kpi"}</definedName>
    <definedName name="wrn.mortassetplan." localSheetId="18" hidden="1">{#N/A,#N/A,FALSE,"asset plan";#N/A,#N/A,FALSE,"Mgmt Report";#N/A,#N/A,FALSE,"sensitivities (2)";#N/A,#N/A,FALSE,"sensitivities";#N/A,#N/A,FALSE,"let up 10  Mort";#N/A,#N/A,FALSE,"let up 12 Mort";#N/A,#N/A,FALSE,"Capex";#N/A,#N/A,FALSE,"Capex Cashflow (2)";#N/A,#N/A,FALSE,"Capex Cashflow (3)";#N/A,#N/A,FALSE,"House View";#N/A,#N/A,FALSE,"kpi"}</definedName>
    <definedName name="wrn.mortassetplan." localSheetId="25" hidden="1">{#N/A,#N/A,FALSE,"asset plan";#N/A,#N/A,FALSE,"Mgmt Report";#N/A,#N/A,FALSE,"sensitivities (2)";#N/A,#N/A,FALSE,"sensitivities";#N/A,#N/A,FALSE,"let up 10  Mort";#N/A,#N/A,FALSE,"let up 12 Mort";#N/A,#N/A,FALSE,"Capex";#N/A,#N/A,FALSE,"Capex Cashflow (2)";#N/A,#N/A,FALSE,"Capex Cashflow (3)";#N/A,#N/A,FALSE,"House View";#N/A,#N/A,FALSE,"kpi"}</definedName>
    <definedName name="wrn.mortassetplan." hidden="1">{#N/A,#N/A,FALSE,"asset plan";#N/A,#N/A,FALSE,"Mgmt Report";#N/A,#N/A,FALSE,"sensitivities (2)";#N/A,#N/A,FALSE,"sensitivities";#N/A,#N/A,FALSE,"let up 10  Mort";#N/A,#N/A,FALSE,"let up 12 Mort";#N/A,#N/A,FALSE,"Capex";#N/A,#N/A,FALSE,"Capex Cashflow (2)";#N/A,#N/A,FALSE,"Capex Cashflow (3)";#N/A,#N/A,FALSE,"House View";#N/A,#N/A,FALSE,"kpi"}</definedName>
    <definedName name="wrn.mortassetplan2" localSheetId="24" hidden="1">{#N/A,#N/A,FALSE,"asset plan";#N/A,#N/A,FALSE,"Mgmt Report";#N/A,#N/A,FALSE,"sensitivities (2)";#N/A,#N/A,FALSE,"sensitivities";#N/A,#N/A,FALSE,"let up 10  Mort";#N/A,#N/A,FALSE,"let up 12 Mort";#N/A,#N/A,FALSE,"Capex";#N/A,#N/A,FALSE,"Capex Cashflow (2)";#N/A,#N/A,FALSE,"Capex Cashflow (3)";#N/A,#N/A,FALSE,"House View";#N/A,#N/A,FALSE,"kpi"}</definedName>
    <definedName name="wrn.mortassetplan2" localSheetId="18" hidden="1">{#N/A,#N/A,FALSE,"asset plan";#N/A,#N/A,FALSE,"Mgmt Report";#N/A,#N/A,FALSE,"sensitivities (2)";#N/A,#N/A,FALSE,"sensitivities";#N/A,#N/A,FALSE,"let up 10  Mort";#N/A,#N/A,FALSE,"let up 12 Mort";#N/A,#N/A,FALSE,"Capex";#N/A,#N/A,FALSE,"Capex Cashflow (2)";#N/A,#N/A,FALSE,"Capex Cashflow (3)";#N/A,#N/A,FALSE,"House View";#N/A,#N/A,FALSE,"kpi"}</definedName>
    <definedName name="wrn.mortassetplan2" localSheetId="25" hidden="1">{#N/A,#N/A,FALSE,"asset plan";#N/A,#N/A,FALSE,"Mgmt Report";#N/A,#N/A,FALSE,"sensitivities (2)";#N/A,#N/A,FALSE,"sensitivities";#N/A,#N/A,FALSE,"let up 10  Mort";#N/A,#N/A,FALSE,"let up 12 Mort";#N/A,#N/A,FALSE,"Capex";#N/A,#N/A,FALSE,"Capex Cashflow (2)";#N/A,#N/A,FALSE,"Capex Cashflow (3)";#N/A,#N/A,FALSE,"House View";#N/A,#N/A,FALSE,"kpi"}</definedName>
    <definedName name="wrn.mortassetplan2" hidden="1">{#N/A,#N/A,FALSE,"asset plan";#N/A,#N/A,FALSE,"Mgmt Report";#N/A,#N/A,FALSE,"sensitivities (2)";#N/A,#N/A,FALSE,"sensitivities";#N/A,#N/A,FALSE,"let up 10  Mort";#N/A,#N/A,FALSE,"let up 12 Mort";#N/A,#N/A,FALSE,"Capex";#N/A,#N/A,FALSE,"Capex Cashflow (2)";#N/A,#N/A,FALSE,"Capex Cashflow (3)";#N/A,#N/A,FALSE,"House View";#N/A,#N/A,FALSE,"kpi"}</definedName>
    <definedName name="wrn.net"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net"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net" localSheetId="25"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net"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Nothgate." localSheetId="24" hidden="1">{#N/A,#N/A,FALSE,"Summary1";#N/A,#N/A,FALSE,"Summary2";#N/A,#N/A,FALSE,"Variation";#N/A,#N/A,FALSE,"Ext-Shops";#N/A,#N/A,FALSE,"Lost"}</definedName>
    <definedName name="wrn.Nothgate." localSheetId="18" hidden="1">{#N/A,#N/A,FALSE,"Summary1";#N/A,#N/A,FALSE,"Summary2";#N/A,#N/A,FALSE,"Variation";#N/A,#N/A,FALSE,"Ext-Shops";#N/A,#N/A,FALSE,"Lost"}</definedName>
    <definedName name="wrn.Nothgate." localSheetId="25" hidden="1">{#N/A,#N/A,FALSE,"Summary1";#N/A,#N/A,FALSE,"Summary2";#N/A,#N/A,FALSE,"Variation";#N/A,#N/A,FALSE,"Ext-Shops";#N/A,#N/A,FALSE,"Lost"}</definedName>
    <definedName name="wrn.Nothgate." hidden="1">{#N/A,#N/A,FALSE,"Summary1";#N/A,#N/A,FALSE,"Summary2";#N/A,#N/A,FALSE,"Variation";#N/A,#N/A,FALSE,"Ext-Shops";#N/A,#N/A,FALSE,"Lost"}</definedName>
    <definedName name="Wrn.nov29" localSheetId="24" hidden="1">{#N/A,#N/A,FALSE,"BALLY COSTS";#N/A,#N/A,FALSE,"FF&amp;E";#N/A,#N/A,FALSE,"FEES";#N/A,#N/A,FALSE,"CONTINGENCY";#N/A,#N/A,FALSE,"SOFT COSTS";#N/A,#N/A,FALSE,"DETAIL";#N/A,#N/A,FALSE,"sum12-3"}</definedName>
    <definedName name="Wrn.nov29" localSheetId="18" hidden="1">{#N/A,#N/A,FALSE,"BALLY COSTS";#N/A,#N/A,FALSE,"FF&amp;E";#N/A,#N/A,FALSE,"FEES";#N/A,#N/A,FALSE,"CONTINGENCY";#N/A,#N/A,FALSE,"SOFT COSTS";#N/A,#N/A,FALSE,"DETAIL";#N/A,#N/A,FALSE,"sum12-3"}</definedName>
    <definedName name="Wrn.nov29" localSheetId="25" hidden="1">{#N/A,#N/A,FALSE,"BALLY COSTS";#N/A,#N/A,FALSE,"FF&amp;E";#N/A,#N/A,FALSE,"FEES";#N/A,#N/A,FALSE,"CONTINGENCY";#N/A,#N/A,FALSE,"SOFT COSTS";#N/A,#N/A,FALSE,"DETAIL";#N/A,#N/A,FALSE,"sum12-3"}</definedName>
    <definedName name="Wrn.nov29" hidden="1">{#N/A,#N/A,FALSE,"BALLY COSTS";#N/A,#N/A,FALSE,"FF&amp;E";#N/A,#N/A,FALSE,"FEES";#N/A,#N/A,FALSE,"CONTINGENCY";#N/A,#N/A,FALSE,"SOFT COSTS";#N/A,#N/A,FALSE,"DETAIL";#N/A,#N/A,FALSE,"sum12-3"}</definedName>
    <definedName name="Wrn.nov29_1" localSheetId="24" hidden="1">{#N/A,#N/A,FALSE,"BALLY COSTS";#N/A,#N/A,FALSE,"FF&amp;E";#N/A,#N/A,FALSE,"FEES";#N/A,#N/A,FALSE,"CONTINGENCY";#N/A,#N/A,FALSE,"SOFT COSTS";#N/A,#N/A,FALSE,"DETAIL";#N/A,#N/A,FALSE,"sum12-3"}</definedName>
    <definedName name="Wrn.nov29_1" localSheetId="18" hidden="1">{#N/A,#N/A,FALSE,"BALLY COSTS";#N/A,#N/A,FALSE,"FF&amp;E";#N/A,#N/A,FALSE,"FEES";#N/A,#N/A,FALSE,"CONTINGENCY";#N/A,#N/A,FALSE,"SOFT COSTS";#N/A,#N/A,FALSE,"DETAIL";#N/A,#N/A,FALSE,"sum12-3"}</definedName>
    <definedName name="Wrn.nov29_1" localSheetId="25" hidden="1">{#N/A,#N/A,FALSE,"BALLY COSTS";#N/A,#N/A,FALSE,"FF&amp;E";#N/A,#N/A,FALSE,"FEES";#N/A,#N/A,FALSE,"CONTINGENCY";#N/A,#N/A,FALSE,"SOFT COSTS";#N/A,#N/A,FALSE,"DETAIL";#N/A,#N/A,FALSE,"sum12-3"}</definedName>
    <definedName name="Wrn.nov29_1" hidden="1">{#N/A,#N/A,FALSE,"BALLY COSTS";#N/A,#N/A,FALSE,"FF&amp;E";#N/A,#N/A,FALSE,"FEES";#N/A,#N/A,FALSE,"CONTINGENCY";#N/A,#N/A,FALSE,"SOFT COSTS";#N/A,#N/A,FALSE,"DETAIL";#N/A,#N/A,FALSE,"sum12-3"}</definedName>
    <definedName name="wrn.NOV30." localSheetId="24" hidden="1">{#N/A,#N/A,FALSE,"BALLY COSTS";#N/A,#N/A,FALSE,"FF&amp;E";#N/A,#N/A,FALSE,"FEES";#N/A,#N/A,FALSE,"CONTINGENCY";#N/A,#N/A,FALSE,"SOFT COSTS";#N/A,#N/A,FALSE,"DETAIL";#N/A,#N/A,FALSE,"sum12-3"}</definedName>
    <definedName name="wrn.NOV30." localSheetId="18" hidden="1">{#N/A,#N/A,FALSE,"BALLY COSTS";#N/A,#N/A,FALSE,"FF&amp;E";#N/A,#N/A,FALSE,"FEES";#N/A,#N/A,FALSE,"CONTINGENCY";#N/A,#N/A,FALSE,"SOFT COSTS";#N/A,#N/A,FALSE,"DETAIL";#N/A,#N/A,FALSE,"sum12-3"}</definedName>
    <definedName name="wrn.NOV30." localSheetId="25" hidden="1">{#N/A,#N/A,FALSE,"BALLY COSTS";#N/A,#N/A,FALSE,"FF&amp;E";#N/A,#N/A,FALSE,"FEES";#N/A,#N/A,FALSE,"CONTINGENCY";#N/A,#N/A,FALSE,"SOFT COSTS";#N/A,#N/A,FALSE,"DETAIL";#N/A,#N/A,FALSE,"sum12-3"}</definedName>
    <definedName name="wrn.NOV30." hidden="1">{#N/A,#N/A,FALSE,"BALLY COSTS";#N/A,#N/A,FALSE,"FF&amp;E";#N/A,#N/A,FALSE,"FEES";#N/A,#N/A,FALSE,"CONTINGENCY";#N/A,#N/A,FALSE,"SOFT COSTS";#N/A,#N/A,FALSE,"DETAIL";#N/A,#N/A,FALSE,"sum12-3"}</definedName>
    <definedName name="wrn.NOV30._1" localSheetId="24" hidden="1">{#N/A,#N/A,FALSE,"BALLY COSTS";#N/A,#N/A,FALSE,"FF&amp;E";#N/A,#N/A,FALSE,"FEES";#N/A,#N/A,FALSE,"CONTINGENCY";#N/A,#N/A,FALSE,"SOFT COSTS";#N/A,#N/A,FALSE,"DETAIL";#N/A,#N/A,FALSE,"sum12-3"}</definedName>
    <definedName name="wrn.NOV30._1" localSheetId="18" hidden="1">{#N/A,#N/A,FALSE,"BALLY COSTS";#N/A,#N/A,FALSE,"FF&amp;E";#N/A,#N/A,FALSE,"FEES";#N/A,#N/A,FALSE,"CONTINGENCY";#N/A,#N/A,FALSE,"SOFT COSTS";#N/A,#N/A,FALSE,"DETAIL";#N/A,#N/A,FALSE,"sum12-3"}</definedName>
    <definedName name="wrn.NOV30._1" localSheetId="25" hidden="1">{#N/A,#N/A,FALSE,"BALLY COSTS";#N/A,#N/A,FALSE,"FF&amp;E";#N/A,#N/A,FALSE,"FEES";#N/A,#N/A,FALSE,"CONTINGENCY";#N/A,#N/A,FALSE,"SOFT COSTS";#N/A,#N/A,FALSE,"DETAIL";#N/A,#N/A,FALSE,"sum12-3"}</definedName>
    <definedName name="wrn.NOV30._1" hidden="1">{#N/A,#N/A,FALSE,"BALLY COSTS";#N/A,#N/A,FALSE,"FF&amp;E";#N/A,#N/A,FALSE,"FEES";#N/A,#N/A,FALSE,"CONTINGENCY";#N/A,#N/A,FALSE,"SOFT COSTS";#N/A,#N/A,FALSE,"DETAIL";#N/A,#N/A,FALSE,"sum12-3"}</definedName>
    <definedName name="wrn.november._.17." localSheetId="24"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 localSheetId="18"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 localSheetId="25"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_1" localSheetId="24"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_1" localSheetId="18"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_1" localSheetId="25"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_1"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On._.costs." localSheetId="24" hidden="1">{"On costs",#N/A,FALSE,"A"}</definedName>
    <definedName name="wrn.On._.costs." localSheetId="18" hidden="1">{"On costs",#N/A,FALSE,"A"}</definedName>
    <definedName name="wrn.On._.costs." localSheetId="25" hidden="1">{"On costs",#N/A,FALSE,"A"}</definedName>
    <definedName name="wrn.On._.costs." hidden="1">{"On costs",#N/A,FALSE,"A"}</definedName>
    <definedName name="wrn.OpCostIn." localSheetId="24" hidden="1">{"OpCostIn Technical",#N/A,FALSE,"Operations Cost Inputs";"OpCostIn V plus F",#N/A,FALSE,"Operations Cost Inputs";"OpCostIn Maint",#N/A,FALSE,"Operations Cost Inputs";"OpCostIn LDs Add Cost",#N/A,FALSE,"Operations Cost Inputs"}</definedName>
    <definedName name="wrn.OpCostIn." localSheetId="18" hidden="1">{"OpCostIn Technical",#N/A,FALSE,"Operations Cost Inputs";"OpCostIn V plus F",#N/A,FALSE,"Operations Cost Inputs";"OpCostIn Maint",#N/A,FALSE,"Operations Cost Inputs";"OpCostIn LDs Add Cost",#N/A,FALSE,"Operations Cost Inputs"}</definedName>
    <definedName name="wrn.OpCostIn." localSheetId="25" hidden="1">{"OpCostIn Technical",#N/A,FALSE,"Operations Cost Inputs";"OpCostIn V plus F",#N/A,FALSE,"Operations Cost Inputs";"OpCostIn Maint",#N/A,FALSE,"Operations Cost Inputs";"OpCostIn LDs Add Cost",#N/A,FALSE,"Operations Cost Inputs"}</definedName>
    <definedName name="wrn.OpCostIn." hidden="1">{"OpCostIn Technical",#N/A,FALSE,"Operations Cost Inputs";"OpCostIn V plus F",#N/A,FALSE,"Operations Cost Inputs";"OpCostIn Maint",#N/A,FALSE,"Operations Cost Inputs";"OpCostIn LDs Add Cost",#N/A,FALSE,"Operations Cost Inputs"}</definedName>
    <definedName name="wrn.OperatingAssumtions." localSheetId="24" hidden="1">{#N/A,#N/A,FALSE,"OperatingAssumptions"}</definedName>
    <definedName name="wrn.OperatingAssumtions." localSheetId="18" hidden="1">{#N/A,#N/A,FALSE,"OperatingAssumptions"}</definedName>
    <definedName name="wrn.OperatingAssumtions." localSheetId="25" hidden="1">{#N/A,#N/A,FALSE,"OperatingAssumptions"}</definedName>
    <definedName name="wrn.OperatingAssumtions." hidden="1">{#N/A,#N/A,FALSE,"OperatingAssumptions"}</definedName>
    <definedName name="wrn.OperatingAssumtions._1" localSheetId="24" hidden="1">{#N/A,#N/A,FALSE,"OperatingAssumptions"}</definedName>
    <definedName name="wrn.OperatingAssumtions._1" localSheetId="18" hidden="1">{#N/A,#N/A,FALSE,"OperatingAssumptions"}</definedName>
    <definedName name="wrn.OperatingAssumtions._1" localSheetId="25" hidden="1">{#N/A,#N/A,FALSE,"OperatingAssumptions"}</definedName>
    <definedName name="wrn.OperatingAssumtions._1" hidden="1">{#N/A,#N/A,FALSE,"OperatingAssumptions"}</definedName>
    <definedName name="wrn.Outgoings." localSheetId="24" hidden="1">{#N/A,#N/A,FALSE,"Outgoings"}</definedName>
    <definedName name="wrn.Outgoings." localSheetId="18" hidden="1">{#N/A,#N/A,FALSE,"Outgoings"}</definedName>
    <definedName name="wrn.Outgoings." localSheetId="25" hidden="1">{#N/A,#N/A,FALSE,"Outgoings"}</definedName>
    <definedName name="wrn.Outgoings." hidden="1">{#N/A,#N/A,FALSE,"Outgoings"}</definedName>
    <definedName name="wrn.Output3Column." localSheetId="24" hidden="1">{"Output-3Column",#N/A,FALSE,"Output"}</definedName>
    <definedName name="wrn.Output3Column." localSheetId="18" hidden="1">{"Output-3Column",#N/A,FALSE,"Output"}</definedName>
    <definedName name="wrn.Output3Column." localSheetId="25" hidden="1">{"Output-3Column",#N/A,FALSE,"Output"}</definedName>
    <definedName name="wrn.Output3Column." hidden="1">{"Output-3Column",#N/A,FALSE,"Output"}</definedName>
    <definedName name="wrn.OutputAll." localSheetId="24" hidden="1">{"Output-All",#N/A,FALSE,"Output"}</definedName>
    <definedName name="wrn.OutputAll." localSheetId="18" hidden="1">{"Output-All",#N/A,FALSE,"Output"}</definedName>
    <definedName name="wrn.OutputAll." localSheetId="25" hidden="1">{"Output-All",#N/A,FALSE,"Output"}</definedName>
    <definedName name="wrn.OutputAll." hidden="1">{"Output-All",#N/A,FALSE,"Output"}</definedName>
    <definedName name="wrn.OutputBaseYear." localSheetId="24" hidden="1">{"Output-BaseYear",#N/A,FALSE,"Output"}</definedName>
    <definedName name="wrn.OutputBaseYear." localSheetId="18" hidden="1">{"Output-BaseYear",#N/A,FALSE,"Output"}</definedName>
    <definedName name="wrn.OutputBaseYear." localSheetId="25" hidden="1">{"Output-BaseYear",#N/A,FALSE,"Output"}</definedName>
    <definedName name="wrn.OutputBaseYear." hidden="1">{"Output-BaseYear",#N/A,FALSE,"Output"}</definedName>
    <definedName name="wrn.OutputMin." localSheetId="24" hidden="1">{"Output-Min",#N/A,FALSE,"Output"}</definedName>
    <definedName name="wrn.OutputMin." localSheetId="18" hidden="1">{"Output-Min",#N/A,FALSE,"Output"}</definedName>
    <definedName name="wrn.OutputMin." localSheetId="25" hidden="1">{"Output-Min",#N/A,FALSE,"Output"}</definedName>
    <definedName name="wrn.OutputMin." hidden="1">{"Output-Min",#N/A,FALSE,"Output"}</definedName>
    <definedName name="wrn.OutputPercent." localSheetId="24" hidden="1">{"Output%",#N/A,FALSE,"Output"}</definedName>
    <definedName name="wrn.OutputPercent." localSheetId="18" hidden="1">{"Output%",#N/A,FALSE,"Output"}</definedName>
    <definedName name="wrn.OutputPercent." localSheetId="25" hidden="1">{"Output%",#N/A,FALSE,"Output"}</definedName>
    <definedName name="wrn.OutputPercent." hidden="1">{"Output%",#N/A,FALSE,"Output"}</definedName>
    <definedName name="wrn.Overview." localSheetId="24" hidden="1">{#N/A,#N/A,FALSE,"Overview-Page2";#N/A,#N/A,FALSE,"Overview-Page1"}</definedName>
    <definedName name="wrn.Overview." localSheetId="18" hidden="1">{#N/A,#N/A,FALSE,"Overview-Page2";#N/A,#N/A,FALSE,"Overview-Page1"}</definedName>
    <definedName name="wrn.Overview." localSheetId="25" hidden="1">{#N/A,#N/A,FALSE,"Overview-Page2";#N/A,#N/A,FALSE,"Overview-Page1"}</definedName>
    <definedName name="wrn.Overview." hidden="1">{#N/A,#N/A,FALSE,"Overview-Page2";#N/A,#N/A,FALSE,"Overview-Page1"}</definedName>
    <definedName name="wrn.Owner._.Copy." localSheetId="24" hidden="1">{#N/A,#N/A,FALSE,"H1a";#N/A,#N/A,FALSE,"H1b";#N/A,#N/A,FALSE,"H1c";#N/A,#N/A,FALSE,"H1d";#N/A,#N/A,FALSE,"H1e";#N/A,#N/A,FALSE,"H1f"}</definedName>
    <definedName name="wrn.Owner._.Copy." localSheetId="18" hidden="1">{#N/A,#N/A,FALSE,"H1a";#N/A,#N/A,FALSE,"H1b";#N/A,#N/A,FALSE,"H1c";#N/A,#N/A,FALSE,"H1d";#N/A,#N/A,FALSE,"H1e";#N/A,#N/A,FALSE,"H1f"}</definedName>
    <definedName name="wrn.Owner._.Copy." localSheetId="25" hidden="1">{#N/A,#N/A,FALSE,"H1a";#N/A,#N/A,FALSE,"H1b";#N/A,#N/A,FALSE,"H1c";#N/A,#N/A,FALSE,"H1d";#N/A,#N/A,FALSE,"H1e";#N/A,#N/A,FALSE,"H1f"}</definedName>
    <definedName name="wrn.Owner._.Copy." hidden="1">{#N/A,#N/A,FALSE,"H1a";#N/A,#N/A,FALSE,"H1b";#N/A,#N/A,FALSE,"H1c";#N/A,#N/A,FALSE,"H1d";#N/A,#N/A,FALSE,"H1e";#N/A,#N/A,FALSE,"H1f"}</definedName>
    <definedName name="wrn.PAIM._.TAX._.PRO." localSheetId="24"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 localSheetId="18"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 localSheetId="25"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_1" localSheetId="24"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_1" localSheetId="18"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_1" localSheetId="25"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_1"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n"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pan"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pan" localSheetId="25"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pan"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Parameter._.Review._.Report." localSheetId="24" hidden="1">{"Parameter Review Report",#N/A,FALSE,"C"}</definedName>
    <definedName name="wrn.Parameter._.Review._.Report." localSheetId="18" hidden="1">{"Parameter Review Report",#N/A,FALSE,"C"}</definedName>
    <definedName name="wrn.Parameter._.Review._.Report." localSheetId="25" hidden="1">{"Parameter Review Report",#N/A,FALSE,"C"}</definedName>
    <definedName name="wrn.Parameter._.Review._.Report." hidden="1">{"Parameter Review Report",#N/A,FALSE,"C"}</definedName>
    <definedName name="wrn.PL._.Summ." localSheetId="24" hidden="1">{"Summary PL",#N/A,FALSE,"P&amp;L"}</definedName>
    <definedName name="wrn.PL._.Summ." localSheetId="18" hidden="1">{"Summary PL",#N/A,FALSE,"P&amp;L"}</definedName>
    <definedName name="wrn.PL._.Summ." localSheetId="25" hidden="1">{"Summary PL",#N/A,FALSE,"P&amp;L"}</definedName>
    <definedName name="wrn.PL._.Summ." hidden="1">{"Summary PL",#N/A,FALSE,"P&amp;L"}</definedName>
    <definedName name="wrn.Plan._.Book._.FC._.Presentation." localSheetId="24" hidden="1">{#N/A,#N/A,FALSE,"RECAP of CASH";#N/A,#N/A,FALSE,"CASH @ FC %";#N/A,#N/A,FALSE,"EBDT Reconciliation";#N/A,#N/A,FALSE,"CASH &amp; EARNINGS @ OWN%";#N/A,#N/A,FALSE,"Total Return Summary @ FC %";#N/A,#N/A,FALSE,"Total Returns @ FC %";#N/A,#N/A,FALSE,"PROFORMA CASH"}</definedName>
    <definedName name="wrn.Plan._.Book._.FC._.Presentation." localSheetId="18" hidden="1">{#N/A,#N/A,FALSE,"RECAP of CASH";#N/A,#N/A,FALSE,"CASH @ FC %";#N/A,#N/A,FALSE,"EBDT Reconciliation";#N/A,#N/A,FALSE,"CASH &amp; EARNINGS @ OWN%";#N/A,#N/A,FALSE,"Total Return Summary @ FC %";#N/A,#N/A,FALSE,"Total Returns @ FC %";#N/A,#N/A,FALSE,"PROFORMA CASH"}</definedName>
    <definedName name="wrn.Plan._.Book._.FC._.Presentation." localSheetId="25" hidden="1">{#N/A,#N/A,FALSE,"RECAP of CASH";#N/A,#N/A,FALSE,"CASH @ FC %";#N/A,#N/A,FALSE,"EBDT Reconciliation";#N/A,#N/A,FALSE,"CASH &amp; EARNINGS @ OWN%";#N/A,#N/A,FALSE,"Total Return Summary @ FC %";#N/A,#N/A,FALSE,"Total Returns @ FC %";#N/A,#N/A,FALSE,"PROFORMA CASH"}</definedName>
    <definedName name="wrn.Plan._.Book._.FC._.Presentation." hidden="1">{#N/A,#N/A,FALSE,"RECAP of CASH";#N/A,#N/A,FALSE,"CASH @ FC %";#N/A,#N/A,FALSE,"EBDT Reconciliation";#N/A,#N/A,FALSE,"CASH &amp; EARNINGS @ OWN%";#N/A,#N/A,FALSE,"Total Return Summary @ FC %";#N/A,#N/A,FALSE,"Total Returns @ FC %";#N/A,#N/A,FALSE,"PROFORMA CASH"}</definedName>
    <definedName name="wrn.Plan._.Book._.Supplemental._.Data." localSheetId="24" hidden="1">{#N/A,#N/A,FALSE,"Major Assumptions";#N/A,#N/A,FALSE,"Issues List";#N/A,#N/A,FALSE,"RECAP of CASH (100%)";#N/A,#N/A,FALSE,"EBDT Reconciliation";#N/A,#N/A,FALSE,"CASH &amp; EARNINGS @ 100%";#N/A,#N/A,FALSE,"Total Return Component Details";#N/A,#N/A,FALSE,"PROFORMA CASH (100%)";#N/A,#N/A,FALSE,"IRR"}</definedName>
    <definedName name="wrn.Plan._.Book._.Supplemental._.Data." localSheetId="18" hidden="1">{#N/A,#N/A,FALSE,"Major Assumptions";#N/A,#N/A,FALSE,"Issues List";#N/A,#N/A,FALSE,"RECAP of CASH (100%)";#N/A,#N/A,FALSE,"EBDT Reconciliation";#N/A,#N/A,FALSE,"CASH &amp; EARNINGS @ 100%";#N/A,#N/A,FALSE,"Total Return Component Details";#N/A,#N/A,FALSE,"PROFORMA CASH (100%)";#N/A,#N/A,FALSE,"IRR"}</definedName>
    <definedName name="wrn.Plan._.Book._.Supplemental._.Data." localSheetId="25" hidden="1">{#N/A,#N/A,FALSE,"Major Assumptions";#N/A,#N/A,FALSE,"Issues List";#N/A,#N/A,FALSE,"RECAP of CASH (100%)";#N/A,#N/A,FALSE,"EBDT Reconciliation";#N/A,#N/A,FALSE,"CASH &amp; EARNINGS @ 100%";#N/A,#N/A,FALSE,"Total Return Component Details";#N/A,#N/A,FALSE,"PROFORMA CASH (100%)";#N/A,#N/A,FALSE,"IRR"}</definedName>
    <definedName name="wrn.Plan._.Book._.Supplemental._.Data." hidden="1">{#N/A,#N/A,FALSE,"Major Assumptions";#N/A,#N/A,FALSE,"Issues List";#N/A,#N/A,FALSE,"RECAP of CASH (100%)";#N/A,#N/A,FALSE,"EBDT Reconciliation";#N/A,#N/A,FALSE,"CASH &amp; EARNINGS @ 100%";#N/A,#N/A,FALSE,"Total Return Component Details";#N/A,#N/A,FALSE,"PROFORMA CASH (100%)";#N/A,#N/A,FALSE,"IRR"}</definedName>
    <definedName name="wrn.pond." localSheetId="24" hidden="1">{"pond1",#N/A,FALSE,"Focus";"pond2",#N/A,FALSE,"Focus"}</definedName>
    <definedName name="wrn.pond." localSheetId="18" hidden="1">{"pond1",#N/A,FALSE,"Focus";"pond2",#N/A,FALSE,"Focus"}</definedName>
    <definedName name="wrn.pond." localSheetId="25" hidden="1">{"pond1",#N/A,FALSE,"Focus";"pond2",#N/A,FALSE,"Focus"}</definedName>
    <definedName name="wrn.pond." hidden="1">{"pond1",#N/A,FALSE,"Focus";"pond2",#N/A,FALSE,"Focus"}</definedName>
    <definedName name="wrn.Presentation." localSheetId="24" hidden="1">{#N/A,#N/A,TRUE,"Summary";"AnnualRentRoll",#N/A,TRUE,"RentRoll";#N/A,#N/A,TRUE,"ExitStratigy";#N/A,#N/A,TRUE,"OperatingAssumptions"}</definedName>
    <definedName name="wrn.Presentation." localSheetId="18" hidden="1">{#N/A,#N/A,TRUE,"Summary";"AnnualRentRoll",#N/A,TRUE,"RentRoll";#N/A,#N/A,TRUE,"ExitStratigy";#N/A,#N/A,TRUE,"OperatingAssumptions"}</definedName>
    <definedName name="wrn.Presentation." localSheetId="25" hidden="1">{#N/A,#N/A,TRUE,"Summary";"AnnualRentRoll",#N/A,TRUE,"RentRoll";#N/A,#N/A,TRUE,"ExitStratigy";#N/A,#N/A,TRUE,"OperatingAssumptions"}</definedName>
    <definedName name="wrn.Presentation." hidden="1">{#N/A,#N/A,TRUE,"Summary";"AnnualRentRoll",#N/A,TRUE,"RentRoll";#N/A,#N/A,TRUE,"ExitStratigy";#N/A,#N/A,TRUE,"OperatingAssumptions"}</definedName>
    <definedName name="wrn.Presentation._1" localSheetId="24" hidden="1">{#N/A,#N/A,TRUE,"Summary";"AnnualRentRoll",#N/A,TRUE,"RentRoll";#N/A,#N/A,TRUE,"ExitStratigy";#N/A,#N/A,TRUE,"OperatingAssumptions"}</definedName>
    <definedName name="wrn.Presentation._1" localSheetId="18" hidden="1">{#N/A,#N/A,TRUE,"Summary";"AnnualRentRoll",#N/A,TRUE,"RentRoll";#N/A,#N/A,TRUE,"ExitStratigy";#N/A,#N/A,TRUE,"OperatingAssumptions"}</definedName>
    <definedName name="wrn.Presentation._1" localSheetId="25" hidden="1">{#N/A,#N/A,TRUE,"Summary";"AnnualRentRoll",#N/A,TRUE,"RentRoll";#N/A,#N/A,TRUE,"ExitStratigy";#N/A,#N/A,TRUE,"OperatingAssumptions"}</definedName>
    <definedName name="wrn.Presentation._1" hidden="1">{#N/A,#N/A,TRUE,"Summary";"AnnualRentRoll",#N/A,TRUE,"RentRoll";#N/A,#N/A,TRUE,"ExitStratigy";#N/A,#N/A,TRUE,"OperatingAssumptions"}</definedName>
    <definedName name="wrn.Pricing._.Strategy." localSheetId="24"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wrn.Pricing._.Strategy." localSheetId="18"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wrn.Pricing._.Strategy." localSheetId="25"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wrn.Pricing._.Strategy."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wrn.print." localSheetId="24" hidden="1">{"page1",#N/A,FALSE,"Sheet1";"page2",#N/A,FALSE,"Sheet1"}</definedName>
    <definedName name="wrn.print." localSheetId="18" hidden="1">{"page1",#N/A,FALSE,"Sheet1";"page2",#N/A,FALSE,"Sheet1"}</definedName>
    <definedName name="wrn.print." localSheetId="25" hidden="1">{"page1",#N/A,FALSE,"Sheet1";"page2",#N/A,FALSE,"Sheet1"}</definedName>
    <definedName name="wrn.print." hidden="1">{"page1",#N/A,FALSE,"Sheet1";"page2",#N/A,FALSE,"Sheet1"}</definedName>
    <definedName name="wrn.Print._.4." localSheetId="24" hidden="1">{"Outflow 1",#N/A,FALSE,"Outflows-Inflows";"Outflow 2",#N/A,FALSE,"Outflows-Inflows";"Inflow 1",#N/A,FALSE,"Outflows-Inflows";"Inflow 2",#N/A,FALSE,"Outflows-Inflows"}</definedName>
    <definedName name="wrn.Print._.4." localSheetId="18" hidden="1">{"Outflow 1",#N/A,FALSE,"Outflows-Inflows";"Outflow 2",#N/A,FALSE,"Outflows-Inflows";"Inflow 1",#N/A,FALSE,"Outflows-Inflows";"Inflow 2",#N/A,FALSE,"Outflows-Inflows"}</definedName>
    <definedName name="wrn.Print._.4." localSheetId="25" hidden="1">{"Outflow 1",#N/A,FALSE,"Outflows-Inflows";"Outflow 2",#N/A,FALSE,"Outflows-Inflows";"Inflow 1",#N/A,FALSE,"Outflows-Inflows";"Inflow 2",#N/A,FALSE,"Outflows-Inflows"}</definedName>
    <definedName name="wrn.Print._.4." hidden="1">{"Outflow 1",#N/A,FALSE,"Outflows-Inflows";"Outflow 2",#N/A,FALSE,"Outflows-Inflows";"Inflow 1",#N/A,FALSE,"Outflows-Inflows";"Inflow 2",#N/A,FALSE,"Outflows-Inflows"}</definedName>
    <definedName name="wrn.Print._.6." localSheetId="24" hidden="1">{"print 1.6",#N/A,FALSE,"Sheet1";"print 2.6",#N/A,FALSE,"Sheet1";"print 3.6",#N/A,FALSE,"Sheet1";"print 4.6",#N/A,FALSE,"Sheet1";"print 5.6",#N/A,FALSE,"Sheet1";"print 6.6",#N/A,FALSE,"Sheet1"}</definedName>
    <definedName name="wrn.Print._.6." localSheetId="18" hidden="1">{"print 1.6",#N/A,FALSE,"Sheet1";"print 2.6",#N/A,FALSE,"Sheet1";"print 3.6",#N/A,FALSE,"Sheet1";"print 4.6",#N/A,FALSE,"Sheet1";"print 5.6",#N/A,FALSE,"Sheet1";"print 6.6",#N/A,FALSE,"Sheet1"}</definedName>
    <definedName name="wrn.Print._.6." localSheetId="25" hidden="1">{"print 1.6",#N/A,FALSE,"Sheet1";"print 2.6",#N/A,FALSE,"Sheet1";"print 3.6",#N/A,FALSE,"Sheet1";"print 4.6",#N/A,FALSE,"Sheet1";"print 5.6",#N/A,FALSE,"Sheet1";"print 6.6",#N/A,FALSE,"Sheet1"}</definedName>
    <definedName name="wrn.Print._.6." hidden="1">{"print 1.6",#N/A,FALSE,"Sheet1";"print 2.6",#N/A,FALSE,"Sheet1";"print 3.6",#N/A,FALSE,"Sheet1";"print 4.6",#N/A,FALSE,"Sheet1";"print 5.6",#N/A,FALSE,"Sheet1";"print 6.6",#N/A,FALSE,"Sheet1"}</definedName>
    <definedName name="wrn.Print._.Accounts." localSheetId="24" hidden="1">{#N/A,#N/A,FALSE,"Balance sheet";#N/A,#N/A,FALSE,"FAD";#N/A,#N/A,FALSE,"Cashflow";#N/A,#N/A,FALSE,"NAV";#N/A,#N/A,FALSE,"Notes 1-5";#N/A,#N/A,FALSE,"Notes 6-"}</definedName>
    <definedName name="wrn.Print._.Accounts." localSheetId="18" hidden="1">{#N/A,#N/A,FALSE,"Balance sheet";#N/A,#N/A,FALSE,"FAD";#N/A,#N/A,FALSE,"Cashflow";#N/A,#N/A,FALSE,"NAV";#N/A,#N/A,FALSE,"Notes 1-5";#N/A,#N/A,FALSE,"Notes 6-"}</definedName>
    <definedName name="wrn.Print._.Accounts." localSheetId="25" hidden="1">{#N/A,#N/A,FALSE,"Balance sheet";#N/A,#N/A,FALSE,"FAD";#N/A,#N/A,FALSE,"Cashflow";#N/A,#N/A,FALSE,"NAV";#N/A,#N/A,FALSE,"Notes 1-5";#N/A,#N/A,FALSE,"Notes 6-"}</definedName>
    <definedName name="wrn.Print._.Accounts." hidden="1">{#N/A,#N/A,FALSE,"Balance sheet";#N/A,#N/A,FALSE,"FAD";#N/A,#N/A,FALSE,"Cashflow";#N/A,#N/A,FALSE,"NAV";#N/A,#N/A,FALSE,"Notes 1-5";#N/A,#N/A,FALSE,"Notes 6-"}</definedName>
    <definedName name="wrn.Print._.All." localSheetId="24"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wrn.Print._.All." localSheetId="18"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wrn.Print._.All." localSheetId="25"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wrn.Print._.All."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wrn.Print._.All._.Journals." localSheetId="24" hidden="1">{#N/A,#N/A,FALSE,"Data Input";#N/A,#N/A,FALSE,"1. Income";#N/A,#N/A,FALSE,"2. Rates &amp; Taxes";#N/A,#N/A,FALSE,"3. Extended Trade";#N/A,#N/A,FALSE,"4. Non Recoverable Expenses";#N/A,#N/A,FALSE,"5. Recoverable Expenses";#N/A,#N/A,FALSE,"6. Cleaning"}</definedName>
    <definedName name="wrn.Print._.All._.Journals." localSheetId="18" hidden="1">{#N/A,#N/A,FALSE,"Data Input";#N/A,#N/A,FALSE,"1. Income";#N/A,#N/A,FALSE,"2. Rates &amp; Taxes";#N/A,#N/A,FALSE,"3. Extended Trade";#N/A,#N/A,FALSE,"4. Non Recoverable Expenses";#N/A,#N/A,FALSE,"5. Recoverable Expenses";#N/A,#N/A,FALSE,"6. Cleaning"}</definedName>
    <definedName name="wrn.Print._.All._.Journals." localSheetId="25" hidden="1">{#N/A,#N/A,FALSE,"Data Input";#N/A,#N/A,FALSE,"1. Income";#N/A,#N/A,FALSE,"2. Rates &amp; Taxes";#N/A,#N/A,FALSE,"3. Extended Trade";#N/A,#N/A,FALSE,"4. Non Recoverable Expenses";#N/A,#N/A,FALSE,"5. Recoverable Expenses";#N/A,#N/A,FALSE,"6. Cleaning"}</definedName>
    <definedName name="wrn.Print._.All._.Journals." hidden="1">{#N/A,#N/A,FALSE,"Data Input";#N/A,#N/A,FALSE,"1. Income";#N/A,#N/A,FALSE,"2. Rates &amp; Taxes";#N/A,#N/A,FALSE,"3. Extended Trade";#N/A,#N/A,FALSE,"4. Non Recoverable Expenses";#N/A,#N/A,FALSE,"5. Recoverable Expenses";#N/A,#N/A,FALSE,"6. Cleaning"}</definedName>
    <definedName name="wrn.Print._.All._.Schedules." localSheetId="24" hidden="1">{#N/A,#N/A,FALSE,"Input Sheet";#N/A,#N/A,FALSE,"1.0 Income";#N/A,#N/A,FALSE,"2.0 Rates &amp; Taxes";#N/A,#N/A,FALSE,"3.0 Extended Trade";#N/A,#N/A,FALSE,"4.0 Non Recoverable Expenses";#N/A,#N/A,FALSE,"5.1 Recoverable Expenses";#N/A,#N/A,FALSE,"5.2 Recoverable Expenses";#N/A,#N/A,FALSE,"6.0 Non Retail Expenses";#N/A,#N/A,FALSE,"7.0 Car-Park";#N/A,#N/A,FALSE,"9.0 Electricity";#N/A,#N/A,FALSE,"8.0 White Journal";#N/A,#N/A,FALSE,"10.0 % Rent Ledger"}</definedName>
    <definedName name="wrn.Print._.All._.Schedules." localSheetId="18" hidden="1">{#N/A,#N/A,FALSE,"Input Sheet";#N/A,#N/A,FALSE,"1.0 Income";#N/A,#N/A,FALSE,"2.0 Rates &amp; Taxes";#N/A,#N/A,FALSE,"3.0 Extended Trade";#N/A,#N/A,FALSE,"4.0 Non Recoverable Expenses";#N/A,#N/A,FALSE,"5.1 Recoverable Expenses";#N/A,#N/A,FALSE,"5.2 Recoverable Expenses";#N/A,#N/A,FALSE,"6.0 Non Retail Expenses";#N/A,#N/A,FALSE,"7.0 Car-Park";#N/A,#N/A,FALSE,"9.0 Electricity";#N/A,#N/A,FALSE,"8.0 White Journal";#N/A,#N/A,FALSE,"10.0 % Rent Ledger"}</definedName>
    <definedName name="wrn.Print._.All._.Schedules." localSheetId="25" hidden="1">{#N/A,#N/A,FALSE,"Input Sheet";#N/A,#N/A,FALSE,"1.0 Income";#N/A,#N/A,FALSE,"2.0 Rates &amp; Taxes";#N/A,#N/A,FALSE,"3.0 Extended Trade";#N/A,#N/A,FALSE,"4.0 Non Recoverable Expenses";#N/A,#N/A,FALSE,"5.1 Recoverable Expenses";#N/A,#N/A,FALSE,"5.2 Recoverable Expenses";#N/A,#N/A,FALSE,"6.0 Non Retail Expenses";#N/A,#N/A,FALSE,"7.0 Car-Park";#N/A,#N/A,FALSE,"9.0 Electricity";#N/A,#N/A,FALSE,"8.0 White Journal";#N/A,#N/A,FALSE,"10.0 % Rent Ledger"}</definedName>
    <definedName name="wrn.Print._.All._.Schedules." hidden="1">{#N/A,#N/A,FALSE,"Input Sheet";#N/A,#N/A,FALSE,"1.0 Income";#N/A,#N/A,FALSE,"2.0 Rates &amp; Taxes";#N/A,#N/A,FALSE,"3.0 Extended Trade";#N/A,#N/A,FALSE,"4.0 Non Recoverable Expenses";#N/A,#N/A,FALSE,"5.1 Recoverable Expenses";#N/A,#N/A,FALSE,"5.2 Recoverable Expenses";#N/A,#N/A,FALSE,"6.0 Non Retail Expenses";#N/A,#N/A,FALSE,"7.0 Car-Park";#N/A,#N/A,FALSE,"9.0 Electricity";#N/A,#N/A,FALSE,"8.0 White Journal";#N/A,#N/A,FALSE,"10.0 % Rent Ledger"}</definedName>
    <definedName name="wrn.Print._.All._.Sheets." localSheetId="24" hidden="1">{#N/A,#N/A,FALSE,"Trial Balance";#N/A,#N/A,FALSE,"Cover";#N/A,#N/A,FALSE,"P&amp;L";#N/A,#N/A,FALSE,"BS";#N/A,#N/A,FALSE,"CF";#N/A,#N/A,FALSE,"Note 1";#N/A,#N/A,FALSE,"Note 2-8";#N/A,#N/A,FALSE,"Note 9-14";#N/A,#N/A,FALSE,"Cashflow Statement"}</definedName>
    <definedName name="wrn.Print._.All._.Sheets." localSheetId="18" hidden="1">{#N/A,#N/A,FALSE,"Trial Balance";#N/A,#N/A,FALSE,"Cover";#N/A,#N/A,FALSE,"P&amp;L";#N/A,#N/A,FALSE,"BS";#N/A,#N/A,FALSE,"CF";#N/A,#N/A,FALSE,"Note 1";#N/A,#N/A,FALSE,"Note 2-8";#N/A,#N/A,FALSE,"Note 9-14";#N/A,#N/A,FALSE,"Cashflow Statement"}</definedName>
    <definedName name="wrn.Print._.All._.Sheets." localSheetId="25" hidden="1">{#N/A,#N/A,FALSE,"Trial Balance";#N/A,#N/A,FALSE,"Cover";#N/A,#N/A,FALSE,"P&amp;L";#N/A,#N/A,FALSE,"BS";#N/A,#N/A,FALSE,"CF";#N/A,#N/A,FALSE,"Note 1";#N/A,#N/A,FALSE,"Note 2-8";#N/A,#N/A,FALSE,"Note 9-14";#N/A,#N/A,FALSE,"Cashflow Statement"}</definedName>
    <definedName name="wrn.Print._.All._.Sheets." hidden="1">{#N/A,#N/A,FALSE,"Trial Balance";#N/A,#N/A,FALSE,"Cover";#N/A,#N/A,FALSE,"P&amp;L";#N/A,#N/A,FALSE,"BS";#N/A,#N/A,FALSE,"CF";#N/A,#N/A,FALSE,"Note 1";#N/A,#N/A,FALSE,"Note 2-8";#N/A,#N/A,FALSE,"Note 9-14";#N/A,#N/A,FALSE,"Cashflow Statement"}</definedName>
    <definedName name="wrn.Print._.Blue._.Book._.Schedules." localSheetId="24" hidden="1">{#N/A,#N/A,FALSE,"BB Snapshot";#N/A,#N/A,FALSE,"BB Profit Overview";#N/A,#N/A,FALSE,"BB KPI";#N/A,#N/A,FALSE,"BB Corp Perf";#N/A,#N/A,FALSE,"BB Sensitivty";#N/A,#N/A,FALSE,"BB Cap Exp";#N/A,#N/A,FALSE,"BB Apic"}</definedName>
    <definedName name="wrn.Print._.Blue._.Book._.Schedules." localSheetId="18" hidden="1">{#N/A,#N/A,FALSE,"BB Snapshot";#N/A,#N/A,FALSE,"BB Profit Overview";#N/A,#N/A,FALSE,"BB KPI";#N/A,#N/A,FALSE,"BB Corp Perf";#N/A,#N/A,FALSE,"BB Sensitivty";#N/A,#N/A,FALSE,"BB Cap Exp";#N/A,#N/A,FALSE,"BB Apic"}</definedName>
    <definedName name="wrn.Print._.Blue._.Book._.Schedules." localSheetId="25" hidden="1">{#N/A,#N/A,FALSE,"BB Snapshot";#N/A,#N/A,FALSE,"BB Profit Overview";#N/A,#N/A,FALSE,"BB KPI";#N/A,#N/A,FALSE,"BB Corp Perf";#N/A,#N/A,FALSE,"BB Sensitivty";#N/A,#N/A,FALSE,"BB Cap Exp";#N/A,#N/A,FALSE,"BB Apic"}</definedName>
    <definedName name="wrn.Print._.Blue._.Book._.Schedules." hidden="1">{#N/A,#N/A,FALSE,"BB Snapshot";#N/A,#N/A,FALSE,"BB Profit Overview";#N/A,#N/A,FALSE,"BB KPI";#N/A,#N/A,FALSE,"BB Corp Perf";#N/A,#N/A,FALSE,"BB Sensitivty";#N/A,#N/A,FALSE,"BB Cap Exp";#N/A,#N/A,FALSE,"BB Apic"}</definedName>
    <definedName name="wrn.Print._.current._.month." localSheetId="24" hidden="1">{#N/A,#N/A,FALSE,"Input Sheet";#N/A,#N/A,FALSE,"1.0 Income";#N/A,#N/A,FALSE,"2.0 Rates &amp; Taxes";#N/A,#N/A,FALSE,"3.0 Extended Trade";#N/A,#N/A,FALSE,"4.0 Non Recoverable Expenses";#N/A,#N/A,FALSE,"5.1 Recoverable Expenses";#N/A,#N/A,FALSE,"6.0 Non Retail Expenses";#N/A,#N/A,FALSE,"8.0 White Journal";#N/A,#N/A,FALSE,"8.0 White Journal (2)";#N/A,#N/A,FALSE,"9.0 Electricity";#N/A,#N/A,FALSE,"10.0 % Rent Ledger";#N/A,#N/A,FALSE,"Upload JE";#N/A,#N/A,FALSE,"Upload JR"}</definedName>
    <definedName name="wrn.Print._.current._.month." localSheetId="18" hidden="1">{#N/A,#N/A,FALSE,"Input Sheet";#N/A,#N/A,FALSE,"1.0 Income";#N/A,#N/A,FALSE,"2.0 Rates &amp; Taxes";#N/A,#N/A,FALSE,"3.0 Extended Trade";#N/A,#N/A,FALSE,"4.0 Non Recoverable Expenses";#N/A,#N/A,FALSE,"5.1 Recoverable Expenses";#N/A,#N/A,FALSE,"6.0 Non Retail Expenses";#N/A,#N/A,FALSE,"8.0 White Journal";#N/A,#N/A,FALSE,"8.0 White Journal (2)";#N/A,#N/A,FALSE,"9.0 Electricity";#N/A,#N/A,FALSE,"10.0 % Rent Ledger";#N/A,#N/A,FALSE,"Upload JE";#N/A,#N/A,FALSE,"Upload JR"}</definedName>
    <definedName name="wrn.Print._.current._.month." localSheetId="25" hidden="1">{#N/A,#N/A,FALSE,"Input Sheet";#N/A,#N/A,FALSE,"1.0 Income";#N/A,#N/A,FALSE,"2.0 Rates &amp; Taxes";#N/A,#N/A,FALSE,"3.0 Extended Trade";#N/A,#N/A,FALSE,"4.0 Non Recoverable Expenses";#N/A,#N/A,FALSE,"5.1 Recoverable Expenses";#N/A,#N/A,FALSE,"6.0 Non Retail Expenses";#N/A,#N/A,FALSE,"8.0 White Journal";#N/A,#N/A,FALSE,"8.0 White Journal (2)";#N/A,#N/A,FALSE,"9.0 Electricity";#N/A,#N/A,FALSE,"10.0 % Rent Ledger";#N/A,#N/A,FALSE,"Upload JE";#N/A,#N/A,FALSE,"Upload JR"}</definedName>
    <definedName name="wrn.Print._.current._.month." hidden="1">{#N/A,#N/A,FALSE,"Input Sheet";#N/A,#N/A,FALSE,"1.0 Income";#N/A,#N/A,FALSE,"2.0 Rates &amp; Taxes";#N/A,#N/A,FALSE,"3.0 Extended Trade";#N/A,#N/A,FALSE,"4.0 Non Recoverable Expenses";#N/A,#N/A,FALSE,"5.1 Recoverable Expenses";#N/A,#N/A,FALSE,"6.0 Non Retail Expenses";#N/A,#N/A,FALSE,"8.0 White Journal";#N/A,#N/A,FALSE,"8.0 White Journal (2)";#N/A,#N/A,FALSE,"9.0 Electricity";#N/A,#N/A,FALSE,"10.0 % Rent Ledger";#N/A,#N/A,FALSE,"Upload JE";#N/A,#N/A,FALSE,"Upload JR"}</definedName>
    <definedName name="wrn.Print._.Detailed._.Analysis." localSheetId="24" hidden="1">{"Detailed Analysis Schedule",#N/A,FALSE,"Creditors Centre";"Detailed Analysis Creditors HO",#N/A,FALSE,"Creditors Head Office";"Detailed Analysis Debtors",#N/A,FALSE,"Debtors";"Detailed Analysis Prepayments",#N/A,FALSE,"Prepayments"}</definedName>
    <definedName name="wrn.Print._.Detailed._.Analysis." localSheetId="18" hidden="1">{"Detailed Analysis Schedule",#N/A,FALSE,"Creditors Centre";"Detailed Analysis Creditors HO",#N/A,FALSE,"Creditors Head Office";"Detailed Analysis Debtors",#N/A,FALSE,"Debtors";"Detailed Analysis Prepayments",#N/A,FALSE,"Prepayments"}</definedName>
    <definedName name="wrn.Print._.Detailed._.Analysis." localSheetId="25" hidden="1">{"Detailed Analysis Schedule",#N/A,FALSE,"Creditors Centre";"Detailed Analysis Creditors HO",#N/A,FALSE,"Creditors Head Office";"Detailed Analysis Debtors",#N/A,FALSE,"Debtors";"Detailed Analysis Prepayments",#N/A,FALSE,"Prepayments"}</definedName>
    <definedName name="wrn.Print._.Detailed._.Analysis." hidden="1">{"Detailed Analysis Schedule",#N/A,FALSE,"Creditors Centre";"Detailed Analysis Creditors HO",#N/A,FALSE,"Creditors Head Office";"Detailed Analysis Debtors",#N/A,FALSE,"Debtors";"Detailed Analysis Prepayments",#N/A,FALSE,"Prepayments"}</definedName>
    <definedName name="wrn.Print._.Reports." localSheetId="24" hidden="1">{"Summary Report",#N/A,FALSE,"Pcent Rent Schedule";"Comparison Report",#N/A,FALSE,"Pcent Rent Schedule"}</definedName>
    <definedName name="wrn.Print._.Reports." localSheetId="18" hidden="1">{"Summary Report",#N/A,FALSE,"Pcent Rent Schedule";"Comparison Report",#N/A,FALSE,"Pcent Rent Schedule"}</definedName>
    <definedName name="wrn.Print._.Reports." localSheetId="25" hidden="1">{"Summary Report",#N/A,FALSE,"Pcent Rent Schedule";"Comparison Report",#N/A,FALSE,"Pcent Rent Schedule"}</definedName>
    <definedName name="wrn.Print._.Reports." hidden="1">{"Summary Report",#N/A,FALSE,"Pcent Rent Schedule";"Comparison Report",#N/A,FALSE,"Pcent Rent Schedule"}</definedName>
    <definedName name="wrn.Print._.State._.Report." localSheetId="24" hidden="1">{"State",#N/A,FALSE,"state";"StatePM",#N/A,FALSE,"statepm"}</definedName>
    <definedName name="wrn.Print._.State._.Report." localSheetId="18" hidden="1">{"State",#N/A,FALSE,"state";"StatePM",#N/A,FALSE,"statepm"}</definedName>
    <definedName name="wrn.Print._.State._.Report." localSheetId="25" hidden="1">{"State",#N/A,FALSE,"state";"StatePM",#N/A,FALSE,"statepm"}</definedName>
    <definedName name="wrn.Print._.State._.Report." hidden="1">{"State",#N/A,FALSE,"state";"StatePM",#N/A,FALSE,"statepm"}</definedName>
    <definedName name="wrn.Print._.Summary._.Schedules." localSheetId="24" hidden="1">{#N/A,#N/A,FALSE,"Input Sheet";"Summary Report For Pack",#N/A,FALSE,"Creditors Centre";"Creditors HO Summary",#N/A,FALSE,"Creditors Head Office";"Debtors Summary",#N/A,FALSE,"Debtors";"Prepayments Summary",#N/A,FALSE,"Prepayments"}</definedName>
    <definedName name="wrn.Print._.Summary._.Schedules." localSheetId="18" hidden="1">{#N/A,#N/A,FALSE,"Input Sheet";"Summary Report For Pack",#N/A,FALSE,"Creditors Centre";"Creditors HO Summary",#N/A,FALSE,"Creditors Head Office";"Debtors Summary",#N/A,FALSE,"Debtors";"Prepayments Summary",#N/A,FALSE,"Prepayments"}</definedName>
    <definedName name="wrn.Print._.Summary._.Schedules." localSheetId="25" hidden="1">{#N/A,#N/A,FALSE,"Input Sheet";"Summary Report For Pack",#N/A,FALSE,"Creditors Centre";"Creditors HO Summary",#N/A,FALSE,"Creditors Head Office";"Debtors Summary",#N/A,FALSE,"Debtors";"Prepayments Summary",#N/A,FALSE,"Prepayments"}</definedName>
    <definedName name="wrn.Print._.Summary._.Schedules." hidden="1">{#N/A,#N/A,FALSE,"Input Sheet";"Summary Report For Pack",#N/A,FALSE,"Creditors Centre";"Creditors HO Summary",#N/A,FALSE,"Creditors Head Office";"Debtors Summary",#N/A,FALSE,"Debtors";"Prepayments Summary",#N/A,FALSE,"Prepayments"}</definedName>
    <definedName name="wrn.print._1" localSheetId="24" hidden="1">{"page1",#N/A,FALSE,"Sheet1";"page2",#N/A,FALSE,"Sheet1"}</definedName>
    <definedName name="wrn.print._1" localSheetId="18" hidden="1">{"page1",#N/A,FALSE,"Sheet1";"page2",#N/A,FALSE,"Sheet1"}</definedName>
    <definedName name="wrn.print._1" localSheetId="25" hidden="1">{"page1",#N/A,FALSE,"Sheet1";"page2",#N/A,FALSE,"Sheet1"}</definedName>
    <definedName name="wrn.print._1" hidden="1">{"page1",#N/A,FALSE,"Sheet1";"page2",#N/A,FALSE,"Sheet1"}</definedName>
    <definedName name="wrn.print.capex" localSheetId="24" hidden="1">{#N/A,#N/A,TRUE,"Capex Summ";#N/A,#N/A,TRUE,"Essential Works.tw";#N/A,#N/A,TRUE,"Desirable Works.tw";#N/A,#N/A,TRUE,"Essential Works.rt";#N/A,#N/A,TRUE,"Desirable Works.rt";#N/A,#N/A,TRUE,"Mthly";#N/A,#N/A,TRUE,"Essential Works.ht";#N/A,#N/A,TRUE,"Desirable Works.ht";#N/A,#N/A,TRUE,"Incentives"}</definedName>
    <definedName name="wrn.print.capex" localSheetId="18" hidden="1">{#N/A,#N/A,TRUE,"Capex Summ";#N/A,#N/A,TRUE,"Essential Works.tw";#N/A,#N/A,TRUE,"Desirable Works.tw";#N/A,#N/A,TRUE,"Essential Works.rt";#N/A,#N/A,TRUE,"Desirable Works.rt";#N/A,#N/A,TRUE,"Mthly";#N/A,#N/A,TRUE,"Essential Works.ht";#N/A,#N/A,TRUE,"Desirable Works.ht";#N/A,#N/A,TRUE,"Incentives"}</definedName>
    <definedName name="wrn.print.capex" localSheetId="25" hidden="1">{#N/A,#N/A,TRUE,"Capex Summ";#N/A,#N/A,TRUE,"Essential Works.tw";#N/A,#N/A,TRUE,"Desirable Works.tw";#N/A,#N/A,TRUE,"Essential Works.rt";#N/A,#N/A,TRUE,"Desirable Works.rt";#N/A,#N/A,TRUE,"Mthly";#N/A,#N/A,TRUE,"Essential Works.ht";#N/A,#N/A,TRUE,"Desirable Works.ht";#N/A,#N/A,TRUE,"Incentives"}</definedName>
    <definedName name="wrn.print.capex" hidden="1">{#N/A,#N/A,TRUE,"Capex Summ";#N/A,#N/A,TRUE,"Essential Works.tw";#N/A,#N/A,TRUE,"Desirable Works.tw";#N/A,#N/A,TRUE,"Essential Works.rt";#N/A,#N/A,TRUE,"Desirable Works.rt";#N/A,#N/A,TRUE,"Mthly";#N/A,#N/A,TRUE,"Essential Works.ht";#N/A,#N/A,TRUE,"Desirable Works.ht";#N/A,#N/A,TRUE,"Incentives"}</definedName>
    <definedName name="wrn.print.QAPU" localSheetId="24" hidden="1">{#N/A,#N/A,FALSE,"5YRASSPl - consol'd";#N/A,#N/A,FALSE,"5YRASSPl - hotel";#N/A,#N/A,FALSE,"5YRASSPl - excl htl";#N/A,#N/A,FALSE,"VarReport";#N/A,#N/A,FALSE,"Sensitivity";#N/A,#N/A,FALSE,"House View ";#N/A,#N/A,FALSE,"KPI"}</definedName>
    <definedName name="wrn.print.QAPU" localSheetId="18" hidden="1">{#N/A,#N/A,FALSE,"5YRASSPl - consol'd";#N/A,#N/A,FALSE,"5YRASSPl - hotel";#N/A,#N/A,FALSE,"5YRASSPl - excl htl";#N/A,#N/A,FALSE,"VarReport";#N/A,#N/A,FALSE,"Sensitivity";#N/A,#N/A,FALSE,"House View ";#N/A,#N/A,FALSE,"KPI"}</definedName>
    <definedName name="wrn.print.QAPU" localSheetId="25" hidden="1">{#N/A,#N/A,FALSE,"5YRASSPl - consol'd";#N/A,#N/A,FALSE,"5YRASSPl - hotel";#N/A,#N/A,FALSE,"5YRASSPl - excl htl";#N/A,#N/A,FALSE,"VarReport";#N/A,#N/A,FALSE,"Sensitivity";#N/A,#N/A,FALSE,"House View ";#N/A,#N/A,FALSE,"KPI"}</definedName>
    <definedName name="wrn.print.QAPU" hidden="1">{#N/A,#N/A,FALSE,"5YRASSPl - consol'd";#N/A,#N/A,FALSE,"5YRASSPl - hotel";#N/A,#N/A,FALSE,"5YRASSPl - excl htl";#N/A,#N/A,FALSE,"VarReport";#N/A,#N/A,FALSE,"Sensitivity";#N/A,#N/A,FALSE,"House View ";#N/A,#N/A,FALSE,"KPI"}</definedName>
    <definedName name="wrn.Print_Report." localSheetId="24" hidden="1">{#N/A,#N/A,TRUE,"TOC";#N/A,#N/A,TRUE,"(1) Project Names LEE";#N/A,#N/A,TRUE,"(2) Project Names LWE";#N/A,#N/A,TRUE,"(3) LEE - Cash Proceeds";#N/A,#N/A,TRUE,"(4) LWE - Cash Proceeds ";#N/A,#N/A,TRUE,"(5) LEE - GAAP Gains"}</definedName>
    <definedName name="wrn.Print_Report." localSheetId="18" hidden="1">{#N/A,#N/A,TRUE,"TOC";#N/A,#N/A,TRUE,"(1) Project Names LEE";#N/A,#N/A,TRUE,"(2) Project Names LWE";#N/A,#N/A,TRUE,"(3) LEE - Cash Proceeds";#N/A,#N/A,TRUE,"(4) LWE - Cash Proceeds ";#N/A,#N/A,TRUE,"(5) LEE - GAAP Gains"}</definedName>
    <definedName name="wrn.Print_Report." localSheetId="25" hidden="1">{#N/A,#N/A,TRUE,"TOC";#N/A,#N/A,TRUE,"(1) Project Names LEE";#N/A,#N/A,TRUE,"(2) Project Names LWE";#N/A,#N/A,TRUE,"(3) LEE - Cash Proceeds";#N/A,#N/A,TRUE,"(4) LWE - Cash Proceeds ";#N/A,#N/A,TRUE,"(5) LEE - GAAP Gains"}</definedName>
    <definedName name="wrn.Print_Report." hidden="1">{#N/A,#N/A,TRUE,"TOC";#N/A,#N/A,TRUE,"(1) Project Names LEE";#N/A,#N/A,TRUE,"(2) Project Names LWE";#N/A,#N/A,TRUE,"(3) LEE - Cash Proceeds";#N/A,#N/A,TRUE,"(4) LWE - Cash Proceeds ";#N/A,#N/A,TRUE,"(5) LEE - GAAP Gains"}</definedName>
    <definedName name="wrn.Print_Report_2" localSheetId="24" hidden="1">{#N/A,#N/A,TRUE,"TOC";#N/A,#N/A,TRUE,"(1) Project Names LEE";#N/A,#N/A,TRUE,"(2) Project Names LWE";#N/A,#N/A,TRUE,"(3) LEE - Cash Proceeds";#N/A,#N/A,TRUE,"(4) LWE - Cash Proceeds ";#N/A,#N/A,TRUE,"(5) LEE - GAAP Gains"}</definedName>
    <definedName name="wrn.Print_Report_2" localSheetId="18" hidden="1">{#N/A,#N/A,TRUE,"TOC";#N/A,#N/A,TRUE,"(1) Project Names LEE";#N/A,#N/A,TRUE,"(2) Project Names LWE";#N/A,#N/A,TRUE,"(3) LEE - Cash Proceeds";#N/A,#N/A,TRUE,"(4) LWE - Cash Proceeds ";#N/A,#N/A,TRUE,"(5) LEE - GAAP Gains"}</definedName>
    <definedName name="wrn.Print_Report_2" localSheetId="25" hidden="1">{#N/A,#N/A,TRUE,"TOC";#N/A,#N/A,TRUE,"(1) Project Names LEE";#N/A,#N/A,TRUE,"(2) Project Names LWE";#N/A,#N/A,TRUE,"(3) LEE - Cash Proceeds";#N/A,#N/A,TRUE,"(4) LWE - Cash Proceeds ";#N/A,#N/A,TRUE,"(5) LEE - GAAP Gains"}</definedName>
    <definedName name="wrn.Print_Report_2" hidden="1">{#N/A,#N/A,TRUE,"TOC";#N/A,#N/A,TRUE,"(1) Project Names LEE";#N/A,#N/A,TRUE,"(2) Project Names LWE";#N/A,#N/A,TRUE,"(3) LEE - Cash Proceeds";#N/A,#N/A,TRUE,"(4) LWE - Cash Proceeds ";#N/A,#N/A,TRUE,"(5) LEE - GAAP Gains"}</definedName>
    <definedName name="wrn.Print_Report2" localSheetId="24" hidden="1">{#N/A,#N/A,TRUE,"TOC";#N/A,#N/A,TRUE,"(1) Project Names LEE";#N/A,#N/A,TRUE,"(2) Project Names LWE";#N/A,#N/A,TRUE,"(3) LEE - Cash Proceeds";#N/A,#N/A,TRUE,"(4) LWE - Cash Proceeds ";#N/A,#N/A,TRUE,"(5) LEE - GAAP Gains"}</definedName>
    <definedName name="wrn.Print_Report2" localSheetId="18" hidden="1">{#N/A,#N/A,TRUE,"TOC";#N/A,#N/A,TRUE,"(1) Project Names LEE";#N/A,#N/A,TRUE,"(2) Project Names LWE";#N/A,#N/A,TRUE,"(3) LEE - Cash Proceeds";#N/A,#N/A,TRUE,"(4) LWE - Cash Proceeds ";#N/A,#N/A,TRUE,"(5) LEE - GAAP Gains"}</definedName>
    <definedName name="wrn.Print_Report2" localSheetId="25" hidden="1">{#N/A,#N/A,TRUE,"TOC";#N/A,#N/A,TRUE,"(1) Project Names LEE";#N/A,#N/A,TRUE,"(2) Project Names LWE";#N/A,#N/A,TRUE,"(3) LEE - Cash Proceeds";#N/A,#N/A,TRUE,"(4) LWE - Cash Proceeds ";#N/A,#N/A,TRUE,"(5) LEE - GAAP Gains"}</definedName>
    <definedName name="wrn.Print_Report2" hidden="1">{#N/A,#N/A,TRUE,"TOC";#N/A,#N/A,TRUE,"(1) Project Names LEE";#N/A,#N/A,TRUE,"(2) Project Names LWE";#N/A,#N/A,TRUE,"(3) LEE - Cash Proceeds";#N/A,#N/A,TRUE,"(4) LWE - Cash Proceeds ";#N/A,#N/A,TRUE,"(5) LEE - GAAP Gains"}</definedName>
    <definedName name="wrn.Print_Report3" localSheetId="24" hidden="1">{#N/A,#N/A,TRUE,"TOC";#N/A,#N/A,TRUE,"(1) Project Names LEE";#N/A,#N/A,TRUE,"(2) Project Names LWE";#N/A,#N/A,TRUE,"(3) LEE - Cash Proceeds";#N/A,#N/A,TRUE,"(4) LWE - Cash Proceeds ";#N/A,#N/A,TRUE,"(5) LEE - GAAP Gains"}</definedName>
    <definedName name="wrn.Print_Report3" localSheetId="18" hidden="1">{#N/A,#N/A,TRUE,"TOC";#N/A,#N/A,TRUE,"(1) Project Names LEE";#N/A,#N/A,TRUE,"(2) Project Names LWE";#N/A,#N/A,TRUE,"(3) LEE - Cash Proceeds";#N/A,#N/A,TRUE,"(4) LWE - Cash Proceeds ";#N/A,#N/A,TRUE,"(5) LEE - GAAP Gains"}</definedName>
    <definedName name="wrn.Print_Report3" localSheetId="25" hidden="1">{#N/A,#N/A,TRUE,"TOC";#N/A,#N/A,TRUE,"(1) Project Names LEE";#N/A,#N/A,TRUE,"(2) Project Names LWE";#N/A,#N/A,TRUE,"(3) LEE - Cash Proceeds";#N/A,#N/A,TRUE,"(4) LWE - Cash Proceeds ";#N/A,#N/A,TRUE,"(5) LEE - GAAP Gains"}</definedName>
    <definedName name="wrn.Print_Report3" hidden="1">{#N/A,#N/A,TRUE,"TOC";#N/A,#N/A,TRUE,"(1) Project Names LEE";#N/A,#N/A,TRUE,"(2) Project Names LWE";#N/A,#N/A,TRUE,"(3) LEE - Cash Proceeds";#N/A,#N/A,TRUE,"(4) LWE - Cash Proceeds ";#N/A,#N/A,TRUE,"(5) LEE - GAAP Gains"}</definedName>
    <definedName name="wrn.PrintAll." localSheetId="24" hidden="1">{"State",#N/A,FALSE,"state";"StatePM",#N/A,FALSE,"statepm";"Alpha",#N/A,FALSE,"alpha";"AlphaPM",#N/A,FALSE,"alphapm";"RGM",#N/A,FALSE,"rgm";"RGMMonth",#N/A,FALSE,"rgmpm";"Stab",#N/A,FALSE,"stab";"stabpm",#N/A,FALSE,"stabpm";"Trust",#N/A,FALSE,"trust";"TrustPM",#N/A,FALSE,"trustpm"}</definedName>
    <definedName name="wrn.PrintAll." localSheetId="18" hidden="1">{"State",#N/A,FALSE,"state";"StatePM",#N/A,FALSE,"statepm";"Alpha",#N/A,FALSE,"alpha";"AlphaPM",#N/A,FALSE,"alphapm";"RGM",#N/A,FALSE,"rgm";"RGMMonth",#N/A,FALSE,"rgmpm";"Stab",#N/A,FALSE,"stab";"stabpm",#N/A,FALSE,"stabpm";"Trust",#N/A,FALSE,"trust";"TrustPM",#N/A,FALSE,"trustpm"}</definedName>
    <definedName name="wrn.PrintAll." localSheetId="25" hidden="1">{"State",#N/A,FALSE,"state";"StatePM",#N/A,FALSE,"statepm";"Alpha",#N/A,FALSE,"alpha";"AlphaPM",#N/A,FALSE,"alphapm";"RGM",#N/A,FALSE,"rgm";"RGMMonth",#N/A,FALSE,"rgmpm";"Stab",#N/A,FALSE,"stab";"stabpm",#N/A,FALSE,"stabpm";"Trust",#N/A,FALSE,"trust";"TrustPM",#N/A,FALSE,"trustpm"}</definedName>
    <definedName name="wrn.PrintAll." hidden="1">{"State",#N/A,FALSE,"state";"StatePM",#N/A,FALSE,"statepm";"Alpha",#N/A,FALSE,"alpha";"AlphaPM",#N/A,FALSE,"alphapm";"RGM",#N/A,FALSE,"rgm";"RGMMonth",#N/A,FALSE,"rgmpm";"Stab",#N/A,FALSE,"stab";"stabpm",#N/A,FALSE,"stabpm";"Trust",#N/A,FALSE,"trust";"TrustPM",#N/A,FALSE,"trustpm"}</definedName>
    <definedName name="wrn.PrintAlphaReports." localSheetId="24" hidden="1">{"Alpha",#N/A,FALSE,"alpha";"AlphaPM",#N/A,FALSE,"alphapm"}</definedName>
    <definedName name="wrn.PrintAlphaReports." localSheetId="18" hidden="1">{"Alpha",#N/A,FALSE,"alpha";"AlphaPM",#N/A,FALSE,"alphapm"}</definedName>
    <definedName name="wrn.PrintAlphaReports." localSheetId="25" hidden="1">{"Alpha",#N/A,FALSE,"alpha";"AlphaPM",#N/A,FALSE,"alphapm"}</definedName>
    <definedName name="wrn.PrintAlphaReports." hidden="1">{"Alpha",#N/A,FALSE,"alpha";"AlphaPM",#N/A,FALSE,"alphapm"}</definedName>
    <definedName name="wrn.PrintIRRCalcs." localSheetId="24" hidden="1">{"1",#N/A,FALSE,"Rolling IRRs";"2",#N/A,FALSE,"Rolling IRRs";"3",#N/A,FALSE,"Rolling IRRs";"4",#N/A,FALSE,"Rolling IRRs";"5",#N/A,FALSE,"Rolling IRRs";"6",#N/A,FALSE,"Rolling IRRs";"7",#N/A,FALSE,"Rolling IRRs"}</definedName>
    <definedName name="wrn.PrintIRRCalcs." localSheetId="18" hidden="1">{"1",#N/A,FALSE,"Rolling IRRs";"2",#N/A,FALSE,"Rolling IRRs";"3",#N/A,FALSE,"Rolling IRRs";"4",#N/A,FALSE,"Rolling IRRs";"5",#N/A,FALSE,"Rolling IRRs";"6",#N/A,FALSE,"Rolling IRRs";"7",#N/A,FALSE,"Rolling IRRs"}</definedName>
    <definedName name="wrn.PrintIRRCalcs." localSheetId="25" hidden="1">{"1",#N/A,FALSE,"Rolling IRRs";"2",#N/A,FALSE,"Rolling IRRs";"3",#N/A,FALSE,"Rolling IRRs";"4",#N/A,FALSE,"Rolling IRRs";"5",#N/A,FALSE,"Rolling IRRs";"6",#N/A,FALSE,"Rolling IRRs";"7",#N/A,FALSE,"Rolling IRRs"}</definedName>
    <definedName name="wrn.PrintIRRCalcs." hidden="1">{"1",#N/A,FALSE,"Rolling IRRs";"2",#N/A,FALSE,"Rolling IRRs";"3",#N/A,FALSE,"Rolling IRRs";"4",#N/A,FALSE,"Rolling IRRs";"5",#N/A,FALSE,"Rolling IRRs";"6",#N/A,FALSE,"Rolling IRRs";"7",#N/A,FALSE,"Rolling IRRs"}</definedName>
    <definedName name="wrn.PRINTJOURNALS." localSheetId="24" hidden="1">{"JOURNAL1",#N/A,FALSE,"ACCRUALS";"JOURNAL2",#N/A,FALSE,"ACCRUALS";"JOURNAL3",#N/A,FALSE,"ACCRUALS";"WORKSHEET",#N/A,FALSE,"ACCRUALS"}</definedName>
    <definedName name="wrn.PRINTJOURNALS." localSheetId="18" hidden="1">{"JOURNAL1",#N/A,FALSE,"ACCRUALS";"JOURNAL2",#N/A,FALSE,"ACCRUALS";"JOURNAL3",#N/A,FALSE,"ACCRUALS";"WORKSHEET",#N/A,FALSE,"ACCRUALS"}</definedName>
    <definedName name="wrn.PRINTJOURNALS." localSheetId="25" hidden="1">{"JOURNAL1",#N/A,FALSE,"ACCRUALS";"JOURNAL2",#N/A,FALSE,"ACCRUALS";"JOURNAL3",#N/A,FALSE,"ACCRUALS";"WORKSHEET",#N/A,FALSE,"ACCRUALS"}</definedName>
    <definedName name="wrn.PRINTJOURNALS." hidden="1">{"JOURNAL1",#N/A,FALSE,"ACCRUALS";"JOURNAL2",#N/A,FALSE,"ACCRUALS";"JOURNAL3",#N/A,FALSE,"ACCRUALS";"WORKSHEET",#N/A,FALSE,"ACCRUALS"}</definedName>
    <definedName name="wrn.PrintPMReports." localSheetId="24" hidden="1">{"StatePM",#N/A,FALSE,"statepm";"TrustPM",#N/A,FALSE,"trustpm";"AlphaPM",#N/A,FALSE,"alphapm";"stabpm",#N/A,FALSE,"stabpm";"RGMMonth",#N/A,FALSE,"rgmpm"}</definedName>
    <definedName name="wrn.PrintPMReports." localSheetId="18" hidden="1">{"StatePM",#N/A,FALSE,"statepm";"TrustPM",#N/A,FALSE,"trustpm";"AlphaPM",#N/A,FALSE,"alphapm";"stabpm",#N/A,FALSE,"stabpm";"RGMMonth",#N/A,FALSE,"rgmpm"}</definedName>
    <definedName name="wrn.PrintPMReports." localSheetId="25" hidden="1">{"StatePM",#N/A,FALSE,"statepm";"TrustPM",#N/A,FALSE,"trustpm";"AlphaPM",#N/A,FALSE,"alphapm";"stabpm",#N/A,FALSE,"stabpm";"RGMMonth",#N/A,FALSE,"rgmpm"}</definedName>
    <definedName name="wrn.PrintPMReports." hidden="1">{"StatePM",#N/A,FALSE,"statepm";"TrustPM",#N/A,FALSE,"trustpm";"AlphaPM",#N/A,FALSE,"alphapm";"stabpm",#N/A,FALSE,"stabpm";"RGMMonth",#N/A,FALSE,"rgmpm"}</definedName>
    <definedName name="wrn.PrintReturnsSummary." localSheetId="24" hidden="1">{"RetSum1",#N/A,FALSE,"Returns Summary";"RetSum2",#N/A,FALSE,"Returns Summary"}</definedName>
    <definedName name="wrn.PrintReturnsSummary." localSheetId="18" hidden="1">{"RetSum1",#N/A,FALSE,"Returns Summary";"RetSum2",#N/A,FALSE,"Returns Summary"}</definedName>
    <definedName name="wrn.PrintReturnsSummary." localSheetId="25" hidden="1">{"RetSum1",#N/A,FALSE,"Returns Summary";"RetSum2",#N/A,FALSE,"Returns Summary"}</definedName>
    <definedName name="wrn.PrintReturnsSummary." hidden="1">{"RetSum1",#N/A,FALSE,"Returns Summary";"RetSum2",#N/A,FALSE,"Returns Summary"}</definedName>
    <definedName name="wrn.PrintRGMReport." localSheetId="24" hidden="1">{"RGM",#N/A,FALSE,"rgm";"RGMMonth",#N/A,FALSE,"rgmpm"}</definedName>
    <definedName name="wrn.PrintRGMReport." localSheetId="18" hidden="1">{"RGM",#N/A,FALSE,"rgm";"RGMMonth",#N/A,FALSE,"rgmpm"}</definedName>
    <definedName name="wrn.PrintRGMReport." localSheetId="25" hidden="1">{"RGM",#N/A,FALSE,"rgm";"RGMMonth",#N/A,FALSE,"rgmpm"}</definedName>
    <definedName name="wrn.PrintRGMReport." hidden="1">{"RGM",#N/A,FALSE,"rgm";"RGMMonth",#N/A,FALSE,"rgmpm"}</definedName>
    <definedName name="wrn.PrintStabReport." localSheetId="24" hidden="1">{"Stab",#N/A,FALSE,"stab";"stabpm",#N/A,FALSE,"stabpm"}</definedName>
    <definedName name="wrn.PrintStabReport." localSheetId="18" hidden="1">{"Stab",#N/A,FALSE,"stab";"stabpm",#N/A,FALSE,"stabpm"}</definedName>
    <definedName name="wrn.PrintStabReport." localSheetId="25" hidden="1">{"Stab",#N/A,FALSE,"stab";"stabpm",#N/A,FALSE,"stabpm"}</definedName>
    <definedName name="wrn.PrintStabReport." hidden="1">{"Stab",#N/A,FALSE,"stab";"stabpm",#N/A,FALSE,"stabpm"}</definedName>
    <definedName name="wrn.PrintTrustReports." localSheetId="24" hidden="1">{"Trust",#N/A,FALSE,"trust";"TrustPM",#N/A,FALSE,"trustpm"}</definedName>
    <definedName name="wrn.PrintTrustReports." localSheetId="18" hidden="1">{"Trust",#N/A,FALSE,"trust";"TrustPM",#N/A,FALSE,"trustpm"}</definedName>
    <definedName name="wrn.PrintTrustReports." localSheetId="25" hidden="1">{"Trust",#N/A,FALSE,"trust";"TrustPM",#N/A,FALSE,"trustpm"}</definedName>
    <definedName name="wrn.PrintTrustReports." hidden="1">{"Trust",#N/A,FALSE,"trust";"TrustPM",#N/A,FALSE,"trustpm"}</definedName>
    <definedName name="wrn.Profit." localSheetId="24" hidden="1">{#N/A,#N/A,FALSE,"Profit"}</definedName>
    <definedName name="wrn.Profit." localSheetId="18" hidden="1">{#N/A,#N/A,FALSE,"Profit"}</definedName>
    <definedName name="wrn.Profit." localSheetId="25" hidden="1">{#N/A,#N/A,FALSE,"Profit"}</definedName>
    <definedName name="wrn.Profit." hidden="1">{#N/A,#N/A,FALSE,"Profit"}</definedName>
    <definedName name="wrn.Proforma." localSheetId="24" hidden="1">{"Proforma - Dollars",#N/A,FALSE,"Proforma"}</definedName>
    <definedName name="wrn.Proforma." localSheetId="18" hidden="1">{"Proforma - Dollars",#N/A,FALSE,"Proforma"}</definedName>
    <definedName name="wrn.Proforma." localSheetId="25" hidden="1">{"Proforma - Dollars",#N/A,FALSE,"Proforma"}</definedName>
    <definedName name="wrn.Proforma." hidden="1">{"Proforma - Dollars",#N/A,FALSE,"Proforma"}</definedName>
    <definedName name="wrn.Program._.Compliance." localSheetId="24" hidden="1">{#N/A,#N/A,FALSE,"COMPLIANCE"}</definedName>
    <definedName name="wrn.Program._.Compliance." localSheetId="18" hidden="1">{#N/A,#N/A,FALSE,"COMPLIANCE"}</definedName>
    <definedName name="wrn.Program._.Compliance." localSheetId="25" hidden="1">{#N/A,#N/A,FALSE,"COMPLIANCE"}</definedName>
    <definedName name="wrn.Program._.Compliance." hidden="1">{#N/A,#N/A,FALSE,"COMPLIANCE"}</definedName>
    <definedName name="wrn.Property._.Description." localSheetId="24" hidden="1">{#N/A,#N/A,FALSE,"PROP. DESCRIPTION"}</definedName>
    <definedName name="wrn.Property._.Description." localSheetId="18" hidden="1">{#N/A,#N/A,FALSE,"PROP. DESCRIPTION"}</definedName>
    <definedName name="wrn.Property._.Description." localSheetId="25" hidden="1">{#N/A,#N/A,FALSE,"PROP. DESCRIPTION"}</definedName>
    <definedName name="wrn.Property._.Description." hidden="1">{#N/A,#N/A,FALSE,"PROP. DESCRIPTION"}</definedName>
    <definedName name="wrn.PropertyInformation." localSheetId="24" hidden="1">{#N/A,#N/A,FALSE,"PropertyInfo"}</definedName>
    <definedName name="wrn.PropertyInformation." localSheetId="18" hidden="1">{#N/A,#N/A,FALSE,"PropertyInfo"}</definedName>
    <definedName name="wrn.PropertyInformation." localSheetId="25" hidden="1">{#N/A,#N/A,FALSE,"PropertyInfo"}</definedName>
    <definedName name="wrn.PropertyInformation." hidden="1">{#N/A,#N/A,FALSE,"PropertyInfo"}</definedName>
    <definedName name="wrn.PropertyInformation._1" localSheetId="24" hidden="1">{#N/A,#N/A,FALSE,"PropertyInfo"}</definedName>
    <definedName name="wrn.PropertyInformation._1" localSheetId="18" hidden="1">{#N/A,#N/A,FALSE,"PropertyInfo"}</definedName>
    <definedName name="wrn.PropertyInformation._1" localSheetId="25" hidden="1">{#N/A,#N/A,FALSE,"PropertyInfo"}</definedName>
    <definedName name="wrn.PropertyInformation._1" hidden="1">{#N/A,#N/A,FALSE,"PropertyInfo"}</definedName>
    <definedName name="wrn.q" localSheetId="24" hidden="1">{"Report1",#N/A,FALSE,"Report1";"Report2",#N/A,FALSE,"Report2";#N/A,#N/A,FALSE,"Report3";"Report4",#N/A,FALSE,"Report4";"Report5",#N/A,FALSE,"Report5";"Report51",#N/A,FALSE,"Report51";"Report6",#N/A,FALSE,"Report6";"Report7",#N/A,FALSE,"Report7";"Report8",#N/A,FALSE,"Report8";"Report81",#N/A,FALSE,"Report81";"Report81A",#N/A,FALSE,"Report81A";"Report81B",#N/A,FALSE,"Report81B";"Report82",#N/A,FALSE,"Report82";"Report84",#N/A,FALSE,"Report84";"Report9",#N/A,FALSE,"Report9";"Report10",#N/A,FALSE,"Report10";"Report12A",#N/A,FALSE,"Report12A";"Report12B",#N/A,FALSE,"Report12B";"Report12C",#N/A,FALSE,"Report12C";"Report12D",#N/A,FALSE,"Report12D";"Report13",#N/A,FALSE,"Report13";"Report14",#N/A,FALSE,"Report14";"Report14A",#N/A,FALSE,"Report14A";"Report15",#N/A,FALSE,"Report15";"Report16",#N/A,FALSE,"Report16";#N/A,#N/A,FALSE,"Report16A";"Report16B",#N/A,FALSE,"Report16B";"Report16C",#N/A,FALSE,"Report16C";"Report17",#N/A,FALSE,"Report17";"Report17A",#N/A,FALSE,"Report17A";"Report17B",#N/A,FALSE,"Report17B";"Report18",#N/A,FALSE,"Report18";"Report18A",#N/A,FALSE,"Report18A";"Report18B",#N/A,FALSE,"Report18B";"Report19",#N/A,FALSE,"Report19";"Report20",#N/A,FALSE,"Report20";"Report22",#N/A,FALSE,"Report22";"Report23",#N/A,FALSE,"Report23";"Report23A",#N/A,FALSE,"Report23A";"Report24",#N/A,FALSE,"Report24"}</definedName>
    <definedName name="wrn.q" localSheetId="18" hidden="1">{"Report1",#N/A,FALSE,"Report1";"Report2",#N/A,FALSE,"Report2";#N/A,#N/A,FALSE,"Report3";"Report4",#N/A,FALSE,"Report4";"Report5",#N/A,FALSE,"Report5";"Report51",#N/A,FALSE,"Report51";"Report6",#N/A,FALSE,"Report6";"Report7",#N/A,FALSE,"Report7";"Report8",#N/A,FALSE,"Report8";"Report81",#N/A,FALSE,"Report81";"Report81A",#N/A,FALSE,"Report81A";"Report81B",#N/A,FALSE,"Report81B";"Report82",#N/A,FALSE,"Report82";"Report84",#N/A,FALSE,"Report84";"Report9",#N/A,FALSE,"Report9";"Report10",#N/A,FALSE,"Report10";"Report12A",#N/A,FALSE,"Report12A";"Report12B",#N/A,FALSE,"Report12B";"Report12C",#N/A,FALSE,"Report12C";"Report12D",#N/A,FALSE,"Report12D";"Report13",#N/A,FALSE,"Report13";"Report14",#N/A,FALSE,"Report14";"Report14A",#N/A,FALSE,"Report14A";"Report15",#N/A,FALSE,"Report15";"Report16",#N/A,FALSE,"Report16";#N/A,#N/A,FALSE,"Report16A";"Report16B",#N/A,FALSE,"Report16B";"Report16C",#N/A,FALSE,"Report16C";"Report17",#N/A,FALSE,"Report17";"Report17A",#N/A,FALSE,"Report17A";"Report17B",#N/A,FALSE,"Report17B";"Report18",#N/A,FALSE,"Report18";"Report18A",#N/A,FALSE,"Report18A";"Report18B",#N/A,FALSE,"Report18B";"Report19",#N/A,FALSE,"Report19";"Report20",#N/A,FALSE,"Report20";"Report22",#N/A,FALSE,"Report22";"Report23",#N/A,FALSE,"Report23";"Report23A",#N/A,FALSE,"Report23A";"Report24",#N/A,FALSE,"Report24"}</definedName>
    <definedName name="wrn.q" localSheetId="25" hidden="1">{"Report1",#N/A,FALSE,"Report1";"Report2",#N/A,FALSE,"Report2";#N/A,#N/A,FALSE,"Report3";"Report4",#N/A,FALSE,"Report4";"Report5",#N/A,FALSE,"Report5";"Report51",#N/A,FALSE,"Report51";"Report6",#N/A,FALSE,"Report6";"Report7",#N/A,FALSE,"Report7";"Report8",#N/A,FALSE,"Report8";"Report81",#N/A,FALSE,"Report81";"Report81A",#N/A,FALSE,"Report81A";"Report81B",#N/A,FALSE,"Report81B";"Report82",#N/A,FALSE,"Report82";"Report84",#N/A,FALSE,"Report84";"Report9",#N/A,FALSE,"Report9";"Report10",#N/A,FALSE,"Report10";"Report12A",#N/A,FALSE,"Report12A";"Report12B",#N/A,FALSE,"Report12B";"Report12C",#N/A,FALSE,"Report12C";"Report12D",#N/A,FALSE,"Report12D";"Report13",#N/A,FALSE,"Report13";"Report14",#N/A,FALSE,"Report14";"Report14A",#N/A,FALSE,"Report14A";"Report15",#N/A,FALSE,"Report15";"Report16",#N/A,FALSE,"Report16";#N/A,#N/A,FALSE,"Report16A";"Report16B",#N/A,FALSE,"Report16B";"Report16C",#N/A,FALSE,"Report16C";"Report17",#N/A,FALSE,"Report17";"Report17A",#N/A,FALSE,"Report17A";"Report17B",#N/A,FALSE,"Report17B";"Report18",#N/A,FALSE,"Report18";"Report18A",#N/A,FALSE,"Report18A";"Report18B",#N/A,FALSE,"Report18B";"Report19",#N/A,FALSE,"Report19";"Report20",#N/A,FALSE,"Report20";"Report22",#N/A,FALSE,"Report22";"Report23",#N/A,FALSE,"Report23";"Report23A",#N/A,FALSE,"Report23A";"Report24",#N/A,FALSE,"Report24"}</definedName>
    <definedName name="wrn.q" hidden="1">{"Report1",#N/A,FALSE,"Report1";"Report2",#N/A,FALSE,"Report2";#N/A,#N/A,FALSE,"Report3";"Report4",#N/A,FALSE,"Report4";"Report5",#N/A,FALSE,"Report5";"Report51",#N/A,FALSE,"Report51";"Report6",#N/A,FALSE,"Report6";"Report7",#N/A,FALSE,"Report7";"Report8",#N/A,FALSE,"Report8";"Report81",#N/A,FALSE,"Report81";"Report81A",#N/A,FALSE,"Report81A";"Report81B",#N/A,FALSE,"Report81B";"Report82",#N/A,FALSE,"Report82";"Report84",#N/A,FALSE,"Report84";"Report9",#N/A,FALSE,"Report9";"Report10",#N/A,FALSE,"Report10";"Report12A",#N/A,FALSE,"Report12A";"Report12B",#N/A,FALSE,"Report12B";"Report12C",#N/A,FALSE,"Report12C";"Report12D",#N/A,FALSE,"Report12D";"Report13",#N/A,FALSE,"Report13";"Report14",#N/A,FALSE,"Report14";"Report14A",#N/A,FALSE,"Report14A";"Report15",#N/A,FALSE,"Report15";"Report16",#N/A,FALSE,"Report16";#N/A,#N/A,FALSE,"Report16A";"Report16B",#N/A,FALSE,"Report16B";"Report16C",#N/A,FALSE,"Report16C";"Report17",#N/A,FALSE,"Report17";"Report17A",#N/A,FALSE,"Report17A";"Report17B",#N/A,FALSE,"Report17B";"Report18",#N/A,FALSE,"Report18";"Report18A",#N/A,FALSE,"Report18A";"Report18B",#N/A,FALSE,"Report18B";"Report19",#N/A,FALSE,"Report19";"Report20",#N/A,FALSE,"Report20";"Report22",#N/A,FALSE,"Report22";"Report23",#N/A,FALSE,"Report23";"Report23A",#N/A,FALSE,"Report23A";"Report24",#N/A,FALSE,"Report24"}</definedName>
    <definedName name="wrn.QAPU." localSheetId="24" hidden="1">{#N/A,#N/A,FALSE,"5YRASSPl - consol'd";#N/A,#N/A,FALSE,"5YRASSPl - hotel";#N/A,#N/A,FALSE,"5YRASSPl - excl htl";#N/A,#N/A,FALSE,"VarReport";#N/A,#N/A,FALSE,"Sensitivity";#N/A,#N/A,FALSE,"House View ";#N/A,#N/A,FALSE,"KPI"}</definedName>
    <definedName name="wrn.QAPU." localSheetId="18" hidden="1">{#N/A,#N/A,FALSE,"5YRASSPl - consol'd";#N/A,#N/A,FALSE,"5YRASSPl - hotel";#N/A,#N/A,FALSE,"5YRASSPl - excl htl";#N/A,#N/A,FALSE,"VarReport";#N/A,#N/A,FALSE,"Sensitivity";#N/A,#N/A,FALSE,"House View ";#N/A,#N/A,FALSE,"KPI"}</definedName>
    <definedName name="wrn.QAPU." localSheetId="25" hidden="1">{#N/A,#N/A,FALSE,"5YRASSPl - consol'd";#N/A,#N/A,FALSE,"5YRASSPl - hotel";#N/A,#N/A,FALSE,"5YRASSPl - excl htl";#N/A,#N/A,FALSE,"VarReport";#N/A,#N/A,FALSE,"Sensitivity";#N/A,#N/A,FALSE,"House View ";#N/A,#N/A,FALSE,"KPI"}</definedName>
    <definedName name="wrn.QAPU." hidden="1">{#N/A,#N/A,FALSE,"5YRASSPl - consol'd";#N/A,#N/A,FALSE,"5YRASSPl - hotel";#N/A,#N/A,FALSE,"5YRASSPl - excl htl";#N/A,#N/A,FALSE,"VarReport";#N/A,#N/A,FALSE,"Sensitivity";#N/A,#N/A,FALSE,"House View ";#N/A,#N/A,FALSE,"KPI"}</definedName>
    <definedName name="wrn.QAPU1" localSheetId="24" hidden="1">{#N/A,#N/A,FALSE,"5YRASSPl - consol'd";#N/A,#N/A,FALSE,"5YRASSPl - hotel";#N/A,#N/A,FALSE,"5YRASSPl - excl htl";#N/A,#N/A,FALSE,"VarReport";#N/A,#N/A,FALSE,"Sensitivity";#N/A,#N/A,FALSE,"House View ";#N/A,#N/A,FALSE,"KPI"}</definedName>
    <definedName name="wrn.QAPU1" localSheetId="18" hidden="1">{#N/A,#N/A,FALSE,"5YRASSPl - consol'd";#N/A,#N/A,FALSE,"5YRASSPl - hotel";#N/A,#N/A,FALSE,"5YRASSPl - excl htl";#N/A,#N/A,FALSE,"VarReport";#N/A,#N/A,FALSE,"Sensitivity";#N/A,#N/A,FALSE,"House View ";#N/A,#N/A,FALSE,"KPI"}</definedName>
    <definedName name="wrn.QAPU1" localSheetId="25" hidden="1">{#N/A,#N/A,FALSE,"5YRASSPl - consol'd";#N/A,#N/A,FALSE,"5YRASSPl - hotel";#N/A,#N/A,FALSE,"5YRASSPl - excl htl";#N/A,#N/A,FALSE,"VarReport";#N/A,#N/A,FALSE,"Sensitivity";#N/A,#N/A,FALSE,"House View ";#N/A,#N/A,FALSE,"KPI"}</definedName>
    <definedName name="wrn.QAPU1" hidden="1">{#N/A,#N/A,FALSE,"5YRASSPl - consol'd";#N/A,#N/A,FALSE,"5YRASSPl - hotel";#N/A,#N/A,FALSE,"5YRASSPl - excl htl";#N/A,#N/A,FALSE,"VarReport";#N/A,#N/A,FALSE,"Sensitivity";#N/A,#N/A,FALSE,"House View ";#N/A,#N/A,FALSE,"KPI"}</definedName>
    <definedName name="wrn.Quarterly._.Summary." localSheetId="24" hidden="1">{#N/A,#N/A,FALSE,"Quarterly Summary"}</definedName>
    <definedName name="wrn.Quarterly._.Summary." localSheetId="18" hidden="1">{#N/A,#N/A,FALSE,"Quarterly Summary"}</definedName>
    <definedName name="wrn.Quarterly._.Summary." localSheetId="25" hidden="1">{#N/A,#N/A,FALSE,"Quarterly Summary"}</definedName>
    <definedName name="wrn.Quarterly._.Summary." hidden="1">{#N/A,#N/A,FALSE,"Quarterly Summary"}</definedName>
    <definedName name="WRN.QW"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QW"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QW" localSheetId="25"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QW"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Raffr.." localSheetId="24" hidden="1">{"Raffr.",#N/A,FALSE,"Val."}</definedName>
    <definedName name="wrn.Raffr.." localSheetId="18" hidden="1">{"Raffr.",#N/A,FALSE,"Val."}</definedName>
    <definedName name="wrn.Raffr.." localSheetId="25" hidden="1">{"Raffr.",#N/A,FALSE,"Val."}</definedName>
    <definedName name="wrn.Raffr.." hidden="1">{"Raffr.",#N/A,FALSE,"Val."}</definedName>
    <definedName name="wrn.Rate._.PSM." localSheetId="24" hidden="1">{"AC Rate PSM",#N/A,FALSE,"Rate PSM";"OG Rate PSM",#N/A,FALSE,"Rate PSM";"OG and AC Recov",#N/A,FALSE,"Recov";"Stat Recov",#N/A,FALSE,"Recov"}</definedName>
    <definedName name="wrn.Rate._.PSM." localSheetId="18" hidden="1">{"AC Rate PSM",#N/A,FALSE,"Rate PSM";"OG Rate PSM",#N/A,FALSE,"Rate PSM";"OG and AC Recov",#N/A,FALSE,"Recov";"Stat Recov",#N/A,FALSE,"Recov"}</definedName>
    <definedName name="wrn.Rate._.PSM." localSheetId="25" hidden="1">{"AC Rate PSM",#N/A,FALSE,"Rate PSM";"OG Rate PSM",#N/A,FALSE,"Rate PSM";"OG and AC Recov",#N/A,FALSE,"Recov";"Stat Recov",#N/A,FALSE,"Recov"}</definedName>
    <definedName name="wrn.Rate._.PSM." hidden="1">{"AC Rate PSM",#N/A,FALSE,"Rate PSM";"OG Rate PSM",#N/A,FALSE,"Rate PSM";"OG and AC Recov",#N/A,FALSE,"Recov";"Stat Recov",#N/A,FALSE,"Recov"}</definedName>
    <definedName name="wrn.RECONCILIATION." localSheetId="24" hidden="1">{"REC1",#N/A,FALSE,"Focus";"REC2",#N/A,FALSE,"Focus";"REC3",#N/A,FALSE,"Focus";"REC4",#N/A,FALSE,"Focus"}</definedName>
    <definedName name="wrn.RECONCILIATION." localSheetId="18" hidden="1">{"REC1",#N/A,FALSE,"Focus";"REC2",#N/A,FALSE,"Focus";"REC3",#N/A,FALSE,"Focus";"REC4",#N/A,FALSE,"Focus"}</definedName>
    <definedName name="wrn.RECONCILIATION." localSheetId="25" hidden="1">{"REC1",#N/A,FALSE,"Focus";"REC2",#N/A,FALSE,"Focus";"REC3",#N/A,FALSE,"Focus";"REC4",#N/A,FALSE,"Focus"}</definedName>
    <definedName name="wrn.RECONCILIATION." hidden="1">{"REC1",#N/A,FALSE,"Focus";"REC2",#N/A,FALSE,"Focus";"REC3",#N/A,FALSE,"Focus";"REC4",#N/A,FALSE,"Focus"}</definedName>
    <definedName name="wrn.Recovery." localSheetId="24" hidden="1">{#N/A,#N/A,FALSE,"2000";#N/A,#N/A,FALSE,"2001";#N/A,#N/A,FALSE,"2002";#N/A,#N/A,FALSE,"2003"}</definedName>
    <definedName name="wrn.Recovery." localSheetId="18" hidden="1">{#N/A,#N/A,FALSE,"2000";#N/A,#N/A,FALSE,"2001";#N/A,#N/A,FALSE,"2002";#N/A,#N/A,FALSE,"2003"}</definedName>
    <definedName name="wrn.Recovery." localSheetId="25" hidden="1">{#N/A,#N/A,FALSE,"2000";#N/A,#N/A,FALSE,"2001";#N/A,#N/A,FALSE,"2002";#N/A,#N/A,FALSE,"2003"}</definedName>
    <definedName name="wrn.Recovery." hidden="1">{#N/A,#N/A,FALSE,"2000";#N/A,#N/A,FALSE,"2001";#N/A,#N/A,FALSE,"2002";#N/A,#N/A,FALSE,"2003"}</definedName>
    <definedName name="wrn.Relevant._.Sections." localSheetId="24" hidden="1">{#N/A,#N/A,FALSE,"Summary";#N/A,#N/A,FALSE,"Program Scheme";#N/A,#N/A,FALSE,"Assumptions";#N/A,#N/A,FALSE,"Development Budget";#N/A,#N/A,FALSE,"Timing";#N/A,#N/A,FALSE,"Development Costs &amp; Revenues";#N/A,#N/A,FALSE,"Cash Flow to Debt &amp; Equity";#N/A,#N/A,FALSE,"Cash Flow to Athena LP"}</definedName>
    <definedName name="wrn.Relevant._.Sections." localSheetId="18" hidden="1">{#N/A,#N/A,FALSE,"Summary";#N/A,#N/A,FALSE,"Program Scheme";#N/A,#N/A,FALSE,"Assumptions";#N/A,#N/A,FALSE,"Development Budget";#N/A,#N/A,FALSE,"Timing";#N/A,#N/A,FALSE,"Development Costs &amp; Revenues";#N/A,#N/A,FALSE,"Cash Flow to Debt &amp; Equity";#N/A,#N/A,FALSE,"Cash Flow to Athena LP"}</definedName>
    <definedName name="wrn.Relevant._.Sections." localSheetId="25" hidden="1">{#N/A,#N/A,FALSE,"Summary";#N/A,#N/A,FALSE,"Program Scheme";#N/A,#N/A,FALSE,"Assumptions";#N/A,#N/A,FALSE,"Development Budget";#N/A,#N/A,FALSE,"Timing";#N/A,#N/A,FALSE,"Development Costs &amp; Revenues";#N/A,#N/A,FALSE,"Cash Flow to Debt &amp; Equity";#N/A,#N/A,FALSE,"Cash Flow to Athena LP"}</definedName>
    <definedName name="wrn.Relevant._.Sections." hidden="1">{#N/A,#N/A,FALSE,"Summary";#N/A,#N/A,FALSE,"Program Scheme";#N/A,#N/A,FALSE,"Assumptions";#N/A,#N/A,FALSE,"Development Budget";#N/A,#N/A,FALSE,"Timing";#N/A,#N/A,FALSE,"Development Costs &amp; Revenues";#N/A,#N/A,FALSE,"Cash Flow to Debt &amp; Equity";#N/A,#N/A,FALSE,"Cash Flow to Athena LP"}</definedName>
    <definedName name="wrn.Rénovation." localSheetId="24" hidden="1">{"Rénovation",#N/A,FALSE,"Val."}</definedName>
    <definedName name="wrn.Rénovation." localSheetId="18" hidden="1">{"Rénovation",#N/A,FALSE,"Val."}</definedName>
    <definedName name="wrn.Rénovation." localSheetId="25" hidden="1">{"Rénovation",#N/A,FALSE,"Val."}</definedName>
    <definedName name="wrn.Rénovation." hidden="1">{"Rénovation",#N/A,FALSE,"Val."}</definedName>
    <definedName name="wrn.Rent." localSheetId="24" hidden="1">{#N/A,#N/A,FALSE,"Rent"}</definedName>
    <definedName name="wrn.Rent." localSheetId="18" hidden="1">{#N/A,#N/A,FALSE,"Rent"}</definedName>
    <definedName name="wrn.Rent." localSheetId="25" hidden="1">{#N/A,#N/A,FALSE,"Rent"}</definedName>
    <definedName name="wrn.Rent." hidden="1">{#N/A,#N/A,FALSE,"Rent"}</definedName>
    <definedName name="wrn.Report." localSheetId="24" hidden="1">{#N/A,#N/A,FALSE,"Loan Summary";#N/A,#N/A,FALSE,"NOI";"RR and Expir",#N/A,FALSE,"Rental";"Sales History",#N/A,FALSE,"Rental";#N/A,#N/A,FALSE,"Reserves"}</definedName>
    <definedName name="wrn.Report." localSheetId="18" hidden="1">{#N/A,#N/A,FALSE,"Loan Summary";#N/A,#N/A,FALSE,"NOI";"RR and Expir",#N/A,FALSE,"Rental";"Sales History",#N/A,FALSE,"Rental";#N/A,#N/A,FALSE,"Reserves"}</definedName>
    <definedName name="wrn.Report." localSheetId="25" hidden="1">{#N/A,#N/A,FALSE,"Loan Summary";#N/A,#N/A,FALSE,"NOI";"RR and Expir",#N/A,FALSE,"Rental";"Sales History",#N/A,FALSE,"Rental";#N/A,#N/A,FALSE,"Reserves"}</definedName>
    <definedName name="wrn.Report." hidden="1">{#N/A,#N/A,FALSE,"Loan Summary";#N/A,#N/A,FALSE,"NOI";"RR and Expir",#N/A,FALSE,"Rental";"Sales History",#N/A,FALSE,"Rental";#N/A,#N/A,FALSE,"Reserves"}</definedName>
    <definedName name="wrn.REPORT._.ALL." localSheetId="24" hidden="1">{#N/A,#N/A,FALSE,"MASTER SUMMARY";#N/A,#N/A,FALSE,"FF&amp;E COSTS";#N/A,#N/A,FALSE,"BALLY COSTS";#N/A,#N/A,FALSE,"GENERAL COND.";#N/A,#N/A,FALSE,"SOFT COSTS";#N/A,#N/A,FALSE,"GARAGE SUMMARY";#N/A,#N/A,FALSE,"CAP INTEREST";#N/A,#N/A,FALSE,"4.00 FEATURES";#N/A,#N/A,FALSE,"MISCELLANEOUS";#N/A,#N/A,FALSE,"DESIGN COSTS"}</definedName>
    <definedName name="wrn.REPORT._.ALL." localSheetId="18" hidden="1">{#N/A,#N/A,FALSE,"MASTER SUMMARY";#N/A,#N/A,FALSE,"FF&amp;E COSTS";#N/A,#N/A,FALSE,"BALLY COSTS";#N/A,#N/A,FALSE,"GENERAL COND.";#N/A,#N/A,FALSE,"SOFT COSTS";#N/A,#N/A,FALSE,"GARAGE SUMMARY";#N/A,#N/A,FALSE,"CAP INTEREST";#N/A,#N/A,FALSE,"4.00 FEATURES";#N/A,#N/A,FALSE,"MISCELLANEOUS";#N/A,#N/A,FALSE,"DESIGN COSTS"}</definedName>
    <definedName name="wrn.REPORT._.ALL." localSheetId="25" hidden="1">{#N/A,#N/A,FALSE,"MASTER SUMMARY";#N/A,#N/A,FALSE,"FF&amp;E COSTS";#N/A,#N/A,FALSE,"BALLY COSTS";#N/A,#N/A,FALSE,"GENERAL COND.";#N/A,#N/A,FALSE,"SOFT COSTS";#N/A,#N/A,FALSE,"GARAGE SUMMARY";#N/A,#N/A,FALSE,"CAP INTEREST";#N/A,#N/A,FALSE,"4.00 FEATURES";#N/A,#N/A,FALSE,"MISCELLANEOUS";#N/A,#N/A,FALSE,"DESIGN COSTS"}</definedName>
    <definedName name="wrn.REPORT._.ALL." hidden="1">{#N/A,#N/A,FALSE,"MASTER SUMMARY";#N/A,#N/A,FALSE,"FF&amp;E COSTS";#N/A,#N/A,FALSE,"BALLY COSTS";#N/A,#N/A,FALSE,"GENERAL COND.";#N/A,#N/A,FALSE,"SOFT COSTS";#N/A,#N/A,FALSE,"GARAGE SUMMARY";#N/A,#N/A,FALSE,"CAP INTEREST";#N/A,#N/A,FALSE,"4.00 FEATURES";#N/A,#N/A,FALSE,"MISCELLANEOUS";#N/A,#N/A,FALSE,"DESIGN COSTS"}</definedName>
    <definedName name="wrn.REPORT._.ALL._1" localSheetId="24" hidden="1">{#N/A,#N/A,FALSE,"MASTER SUMMARY";#N/A,#N/A,FALSE,"FF&amp;E COSTS";#N/A,#N/A,FALSE,"BALLY COSTS";#N/A,#N/A,FALSE,"GENERAL COND.";#N/A,#N/A,FALSE,"SOFT COSTS";#N/A,#N/A,FALSE,"GARAGE SUMMARY";#N/A,#N/A,FALSE,"CAP INTEREST";#N/A,#N/A,FALSE,"4.00 FEATURES";#N/A,#N/A,FALSE,"MISCELLANEOUS";#N/A,#N/A,FALSE,"DESIGN COSTS"}</definedName>
    <definedName name="wrn.REPORT._.ALL._1" localSheetId="18" hidden="1">{#N/A,#N/A,FALSE,"MASTER SUMMARY";#N/A,#N/A,FALSE,"FF&amp;E COSTS";#N/A,#N/A,FALSE,"BALLY COSTS";#N/A,#N/A,FALSE,"GENERAL COND.";#N/A,#N/A,FALSE,"SOFT COSTS";#N/A,#N/A,FALSE,"GARAGE SUMMARY";#N/A,#N/A,FALSE,"CAP INTEREST";#N/A,#N/A,FALSE,"4.00 FEATURES";#N/A,#N/A,FALSE,"MISCELLANEOUS";#N/A,#N/A,FALSE,"DESIGN COSTS"}</definedName>
    <definedName name="wrn.REPORT._.ALL._1" localSheetId="25" hidden="1">{#N/A,#N/A,FALSE,"MASTER SUMMARY";#N/A,#N/A,FALSE,"FF&amp;E COSTS";#N/A,#N/A,FALSE,"BALLY COSTS";#N/A,#N/A,FALSE,"GENERAL COND.";#N/A,#N/A,FALSE,"SOFT COSTS";#N/A,#N/A,FALSE,"GARAGE SUMMARY";#N/A,#N/A,FALSE,"CAP INTEREST";#N/A,#N/A,FALSE,"4.00 FEATURES";#N/A,#N/A,FALSE,"MISCELLANEOUS";#N/A,#N/A,FALSE,"DESIGN COSTS"}</definedName>
    <definedName name="wrn.REPORT._.ALL._1" hidden="1">{#N/A,#N/A,FALSE,"MASTER SUMMARY";#N/A,#N/A,FALSE,"FF&amp;E COSTS";#N/A,#N/A,FALSE,"BALLY COSTS";#N/A,#N/A,FALSE,"GENERAL COND.";#N/A,#N/A,FALSE,"SOFT COSTS";#N/A,#N/A,FALSE,"GARAGE SUMMARY";#N/A,#N/A,FALSE,"CAP INTEREST";#N/A,#N/A,FALSE,"4.00 FEATURES";#N/A,#N/A,FALSE,"MISCELLANEOUS";#N/A,#N/A,FALSE,"DESIGN COSTS"}</definedName>
    <definedName name="wrn.Report._.For._.Sale." localSheetId="24" hidden="1">{#N/A,#N/A,FALSE,"Statement of Constitution";#N/A,#N/A,FALSE,"Notes 2 to 5";#N/A,#N/A,FALSE,"Notes 6 to 10";#N/A,#N/A,FALSE,"Net Assets Value";#N/A,#N/A,FALSE,"Trial Balance"}</definedName>
    <definedName name="wrn.Report._.For._.Sale." localSheetId="18" hidden="1">{#N/A,#N/A,FALSE,"Statement of Constitution";#N/A,#N/A,FALSE,"Notes 2 to 5";#N/A,#N/A,FALSE,"Notes 6 to 10";#N/A,#N/A,FALSE,"Net Assets Value";#N/A,#N/A,FALSE,"Trial Balance"}</definedName>
    <definedName name="wrn.Report._.For._.Sale." localSheetId="25" hidden="1">{#N/A,#N/A,FALSE,"Statement of Constitution";#N/A,#N/A,FALSE,"Notes 2 to 5";#N/A,#N/A,FALSE,"Notes 6 to 10";#N/A,#N/A,FALSE,"Net Assets Value";#N/A,#N/A,FALSE,"Trial Balance"}</definedName>
    <definedName name="wrn.Report._.For._.Sale." hidden="1">{#N/A,#N/A,FALSE,"Statement of Constitution";#N/A,#N/A,FALSE,"Notes 2 to 5";#N/A,#N/A,FALSE,"Notes 6 to 10";#N/A,#N/A,FALSE,"Net Assets Value";#N/A,#N/A,FALSE,"Trial Balance"}</definedName>
    <definedName name="wrn.SAA94TAX."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 localSheetId="25"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_1"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_1" localSheetId="25"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simple." localSheetId="24"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 localSheetId="18"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 localSheetId="25"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_1" localSheetId="24"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_1" localSheetId="18"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_1" localSheetId="25"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_1"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laries." localSheetId="24" hidden="1">{"Sal Bud",#N/A,FALSE,"A";"Sal Summ",#N/A,FALSE,"A"}</definedName>
    <definedName name="wrn.Salaries." localSheetId="18" hidden="1">{"Sal Bud",#N/A,FALSE,"A";"Sal Summ",#N/A,FALSE,"A"}</definedName>
    <definedName name="wrn.Salaries." localSheetId="25" hidden="1">{"Sal Bud",#N/A,FALSE,"A";"Sal Summ",#N/A,FALSE,"A"}</definedName>
    <definedName name="wrn.Salaries." hidden="1">{"Sal Bud",#N/A,FALSE,"A";"Sal Summ",#N/A,FALSE,"A"}</definedName>
    <definedName name="wrn.Salary." localSheetId="24" hidden="1">{"Salary",#N/A,FALSE,"A"}</definedName>
    <definedName name="wrn.Salary." localSheetId="18" hidden="1">{"Salary",#N/A,FALSE,"A"}</definedName>
    <definedName name="wrn.Salary." localSheetId="25" hidden="1">{"Salary",#N/A,FALSE,"A"}</definedName>
    <definedName name="wrn.Salary." hidden="1">{"Salary",#N/A,FALSE,"A"}</definedName>
    <definedName name="wrn.Short._.Print." localSheetId="24" hidden="1">{#N/A,#N/A,FALSE,"Cover";#N/A,#N/A,FALSE,"Stack";#N/A,#N/A,FALSE,"Cost S";#N/A,#N/A,FALSE," CF";#N/A,#N/A,FALSE,"Investor"}</definedName>
    <definedName name="wrn.Short._.Print." localSheetId="18" hidden="1">{#N/A,#N/A,FALSE,"Cover";#N/A,#N/A,FALSE,"Stack";#N/A,#N/A,FALSE,"Cost S";#N/A,#N/A,FALSE," CF";#N/A,#N/A,FALSE,"Investor"}</definedName>
    <definedName name="wrn.Short._.Print." localSheetId="25" hidden="1">{#N/A,#N/A,FALSE,"Cover";#N/A,#N/A,FALSE,"Stack";#N/A,#N/A,FALSE,"Cost S";#N/A,#N/A,FALSE," CF";#N/A,#N/A,FALSE,"Investor"}</definedName>
    <definedName name="wrn.Short._.Print." hidden="1">{#N/A,#N/A,FALSE,"Cover";#N/A,#N/A,FALSE,"Stack";#N/A,#N/A,FALSE,"Cost S";#N/A,#N/A,FALSE," CF";#N/A,#N/A,FALSE,"Investor"}</definedName>
    <definedName name="wrn.situation._.complete." localSheetId="24"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 localSheetId="18"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 localSheetId="25"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_1" localSheetId="24"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_1" localSheetId="18"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_1" localSheetId="25"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_1"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PECIALTIES." localSheetId="24" hidden="1">{"FRANKLINS",#N/A,FALSE,"budget statements";"SUSSANS",#N/A,FALSE,"budget statements";"MYER",#N/A,FALSE,"budget statements";"TARGET",#N/A,FALSE,"budget statements"}</definedName>
    <definedName name="wrn.SPECIALTIES." localSheetId="18" hidden="1">{"FRANKLINS",#N/A,FALSE,"budget statements";"SUSSANS",#N/A,FALSE,"budget statements";"MYER",#N/A,FALSE,"budget statements";"TARGET",#N/A,FALSE,"budget statements"}</definedName>
    <definedName name="wrn.SPECIALTIES." localSheetId="25" hidden="1">{"FRANKLINS",#N/A,FALSE,"budget statements";"SUSSANS",#N/A,FALSE,"budget statements";"MYER",#N/A,FALSE,"budget statements";"TARGET",#N/A,FALSE,"budget statements"}</definedName>
    <definedName name="wrn.SPECIALTIES." hidden="1">{"FRANKLINS",#N/A,FALSE,"budget statements";"SUSSANS",#N/A,FALSE,"budget statements";"MYER",#N/A,FALSE,"budget statements";"TARGET",#N/A,FALSE,"budget statements"}</definedName>
    <definedName name="wrn.STANDARD." localSheetId="24" hidden="1">{"GENERAL INPUT",#N/A,FALSE,"GENERAL INPUT";"PROFORMA DRAW SCHEDULE",#N/A,FALSE,"WORKSHEET";"BUDGET ALL",#N/A,FALSE,"BUDGET";"OPERATING ALL",#N/A,FALSE,"OPERATING";"DRAW ESTIMATES",#N/A,FALSE,"DRAWS";"SOURCES &amp; USES",#N/A,FALSE,"SOURCES &amp; USES"}</definedName>
    <definedName name="wrn.STANDARD." localSheetId="18" hidden="1">{"GENERAL INPUT",#N/A,FALSE,"GENERAL INPUT";"PROFORMA DRAW SCHEDULE",#N/A,FALSE,"WORKSHEET";"BUDGET ALL",#N/A,FALSE,"BUDGET";"OPERATING ALL",#N/A,FALSE,"OPERATING";"DRAW ESTIMATES",#N/A,FALSE,"DRAWS";"SOURCES &amp; USES",#N/A,FALSE,"SOURCES &amp; USES"}</definedName>
    <definedName name="wrn.STANDARD." localSheetId="25" hidden="1">{"GENERAL INPUT",#N/A,FALSE,"GENERAL INPUT";"PROFORMA DRAW SCHEDULE",#N/A,FALSE,"WORKSHEET";"BUDGET ALL",#N/A,FALSE,"BUDGET";"OPERATING ALL",#N/A,FALSE,"OPERATING";"DRAW ESTIMATES",#N/A,FALSE,"DRAWS";"SOURCES &amp; USES",#N/A,FALSE,"SOURCES &amp; USES"}</definedName>
    <definedName name="wrn.STANDARD." hidden="1">{"GENERAL INPUT",#N/A,FALSE,"GENERAL INPUT";"PROFORMA DRAW SCHEDULE",#N/A,FALSE,"WORKSHEET";"BUDGET ALL",#N/A,FALSE,"BUDGET";"OPERATING ALL",#N/A,FALSE,"OPERATING";"DRAW ESTIMATES",#N/A,FALSE,"DRAWS";"SOURCES &amp; USES",#N/A,FALSE,"SOURCES &amp; USES"}</definedName>
    <definedName name="wrn.STATEMENTS." localSheetId="24" hidden="1">{"Franklins",#N/A,FALSE,"budget statements";"MYER",#N/A,FALSE,"budget statements";"Sussans",#N/A,FALSE,"budget statements";"Target",#N/A,FALSE,"budget statements";"TYPECEXCLLT",#N/A,FALSE,"budget statements";"typecwithlt",#N/A,FALSE,"budget statements"}</definedName>
    <definedName name="wrn.STATEMENTS." localSheetId="18" hidden="1">{"Franklins",#N/A,FALSE,"budget statements";"MYER",#N/A,FALSE,"budget statements";"Sussans",#N/A,FALSE,"budget statements";"Target",#N/A,FALSE,"budget statements";"TYPECEXCLLT",#N/A,FALSE,"budget statements";"typecwithlt",#N/A,FALSE,"budget statements"}</definedName>
    <definedName name="wrn.STATEMENTS." localSheetId="25" hidden="1">{"Franklins",#N/A,FALSE,"budget statements";"MYER",#N/A,FALSE,"budget statements";"Sussans",#N/A,FALSE,"budget statements";"Target",#N/A,FALSE,"budget statements";"TYPECEXCLLT",#N/A,FALSE,"budget statements";"typecwithlt",#N/A,FALSE,"budget statements"}</definedName>
    <definedName name="wrn.STATEMENTS." hidden="1">{"Franklins",#N/A,FALSE,"budget statements";"MYER",#N/A,FALSE,"budget statements";"Sussans",#N/A,FALSE,"budget statements";"Target",#N/A,FALSE,"budget statements";"TYPECEXCLLT",#N/A,FALSE,"budget statements";"typecwithlt",#N/A,FALSE,"budget statements"}</definedName>
    <definedName name="wrn.summ." localSheetId="24" hidden="1">{"OnCost Summ",#N/A,FALSE,"A";"Sal Summ",#N/A,FALSE,"A"}</definedName>
    <definedName name="wrn.summ." localSheetId="18" hidden="1">{"OnCost Summ",#N/A,FALSE,"A";"Sal Summ",#N/A,FALSE,"A"}</definedName>
    <definedName name="wrn.summ." localSheetId="25" hidden="1">{"OnCost Summ",#N/A,FALSE,"A";"Sal Summ",#N/A,FALSE,"A"}</definedName>
    <definedName name="wrn.summ." hidden="1">{"OnCost Summ",#N/A,FALSE,"A";"Sal Summ",#N/A,FALSE,"A"}</definedName>
    <definedName name="wrn.Summary." localSheetId="24" hidden="1">{#N/A,#N/A,FALSE,"Summary"}</definedName>
    <definedName name="wrn.Summary." localSheetId="18" hidden="1">{#N/A,#N/A,FALSE,"Summary"}</definedName>
    <definedName name="wrn.Summary." localSheetId="25" hidden="1">{#N/A,#N/A,FALSE,"Summary"}</definedName>
    <definedName name="wrn.Summary." hidden="1">{#N/A,#N/A,FALSE,"Summary"}</definedName>
    <definedName name="wrn.Summary._.Budget." localSheetId="24" hidden="1">{"Summary LTF and Feasibility",#N/A,FALSE,"Summary Profit";"LTF and Feasibility",#N/A,FALSE,"Expense"}</definedName>
    <definedName name="wrn.Summary._.Budget." localSheetId="18" hidden="1">{"Summary LTF and Feasibility",#N/A,FALSE,"Summary Profit";"LTF and Feasibility",#N/A,FALSE,"Expense"}</definedName>
    <definedName name="wrn.Summary._.Budget." localSheetId="25" hidden="1">{"Summary LTF and Feasibility",#N/A,FALSE,"Summary Profit";"LTF and Feasibility",#N/A,FALSE,"Expense"}</definedName>
    <definedName name="wrn.Summary._.Budget." hidden="1">{"Summary LTF and Feasibility",#N/A,FALSE,"Summary Profit";"LTF and Feasibility",#N/A,FALSE,"Expense"}</definedName>
    <definedName name="wrn.Summary._.Excluding._.DHC." localSheetId="24" hidden="1">{"Summary Excluding DHC",#N/A,FALSE,"SUMMARY"}</definedName>
    <definedName name="wrn.Summary._.Excluding._.DHC." localSheetId="18" hidden="1">{"Summary Excluding DHC",#N/A,FALSE,"SUMMARY"}</definedName>
    <definedName name="wrn.Summary._.Excluding._.DHC." localSheetId="25" hidden="1">{"Summary Excluding DHC",#N/A,FALSE,"SUMMARY"}</definedName>
    <definedName name="wrn.Summary._.Excluding._.DHC." hidden="1">{"Summary Excluding DHC",#N/A,FALSE,"SUMMARY"}</definedName>
    <definedName name="wrn.Summary._.Including._.DHC." localSheetId="24" hidden="1">{"Summary Including DHC",#N/A,FALSE,"SUMMARY"}</definedName>
    <definedName name="wrn.Summary._.Including._.DHC." localSheetId="18" hidden="1">{"Summary Including DHC",#N/A,FALSE,"SUMMARY"}</definedName>
    <definedName name="wrn.Summary._.Including._.DHC." localSheetId="25" hidden="1">{"Summary Including DHC",#N/A,FALSE,"SUMMARY"}</definedName>
    <definedName name="wrn.Summary._.Including._.DHC." hidden="1">{"Summary Including DHC",#N/A,FALSE,"SUMMARY"}</definedName>
    <definedName name="wrn.Summary._.Overview." localSheetId="24" hidden="1">{#N/A,#N/A,FALSE,"OVERVIEW"}</definedName>
    <definedName name="wrn.Summary._.Overview." localSheetId="18" hidden="1">{#N/A,#N/A,FALSE,"OVERVIEW"}</definedName>
    <definedName name="wrn.Summary._.Overview." localSheetId="25" hidden="1">{#N/A,#N/A,FALSE,"OVERVIEW"}</definedName>
    <definedName name="wrn.Summary._.Overview." hidden="1">{#N/A,#N/A,FALSE,"OVERVIEW"}</definedName>
    <definedName name="wrn.Summary._1" localSheetId="24" hidden="1">{#N/A,#N/A,FALSE,"Summary"}</definedName>
    <definedName name="wrn.Summary._1" localSheetId="18" hidden="1">{#N/A,#N/A,FALSE,"Summary"}</definedName>
    <definedName name="wrn.Summary._1" localSheetId="25" hidden="1">{#N/A,#N/A,FALSE,"Summary"}</definedName>
    <definedName name="wrn.Summary._1" hidden="1">{#N/A,#N/A,FALSE,"Summary"}</definedName>
    <definedName name="wrn.SupplyDemand." localSheetId="24" hidden="1">{"demand",#N/A,FALSE,"Sheet3";"Market Mix",#N/A,FALSE,"Sheet4";"FACILITIES",#N/A,FALSE,"Sheet5";"Occ Projection",#N/A,FALSE,"Sheet6"}</definedName>
    <definedName name="wrn.SupplyDemand." localSheetId="18" hidden="1">{"demand",#N/A,FALSE,"Sheet3";"Market Mix",#N/A,FALSE,"Sheet4";"FACILITIES",#N/A,FALSE,"Sheet5";"Occ Projection",#N/A,FALSE,"Sheet6"}</definedName>
    <definedName name="wrn.SupplyDemand." localSheetId="25" hidden="1">{"demand",#N/A,FALSE,"Sheet3";"Market Mix",#N/A,FALSE,"Sheet4";"FACILITIES",#N/A,FALSE,"Sheet5";"Occ Projection",#N/A,FALSE,"Sheet6"}</definedName>
    <definedName name="wrn.SupplyDemand." hidden="1">{"demand",#N/A,FALSE,"Sheet3";"Market Mix",#N/A,FALSE,"Sheet4";"FACILITIES",#N/A,FALSE,"Sheet5";"Occ Projection",#N/A,FALSE,"Sheet6"}</definedName>
    <definedName name="wrn.Ten._.Year." localSheetId="24" hidden="1">{#N/A,"Ten Year",FALSE,"Assumptions";#N/A,"Ten Year",FALSE,"Annual Summary";#N/A,"Ten Year",FALSE,"Quarterly Summary";#N/A,#N/A,FALSE,"IRR"}</definedName>
    <definedName name="wrn.Ten._.Year." localSheetId="18" hidden="1">{#N/A,"Ten Year",FALSE,"Assumptions";#N/A,"Ten Year",FALSE,"Annual Summary";#N/A,"Ten Year",FALSE,"Quarterly Summary";#N/A,#N/A,FALSE,"IRR"}</definedName>
    <definedName name="wrn.Ten._.Year." localSheetId="25" hidden="1">{#N/A,"Ten Year",FALSE,"Assumptions";#N/A,"Ten Year",FALSE,"Annual Summary";#N/A,"Ten Year",FALSE,"Quarterly Summary";#N/A,#N/A,FALSE,"IRR"}</definedName>
    <definedName name="wrn.Ten._.Year." hidden="1">{#N/A,"Ten Year",FALSE,"Assumptions";#N/A,"Ten Year",FALSE,"Annual Summary";#N/A,"Ten Year",FALSE,"Quarterly Summary";#N/A,#N/A,FALSE,"IRR"}</definedName>
    <definedName name="wrn.Tenants." localSheetId="24" hidden="1">{#N/A,#N/A,FALSE,"TENANTS"}</definedName>
    <definedName name="wrn.Tenants." localSheetId="18" hidden="1">{#N/A,#N/A,FALSE,"TENANTS"}</definedName>
    <definedName name="wrn.Tenants." localSheetId="25" hidden="1">{#N/A,#N/A,FALSE,"TENANTS"}</definedName>
    <definedName name="wrn.Tenants." hidden="1">{#N/A,#N/A,FALSE,"TENANTS"}</definedName>
    <definedName name="wrn.Trial._.Balance." localSheetId="24" hidden="1">{#N/A,#N/A,TRUE,"constb"}</definedName>
    <definedName name="wrn.Trial._.Balance." localSheetId="18" hidden="1">{#N/A,#N/A,TRUE,"constb"}</definedName>
    <definedName name="wrn.Trial._.Balance." localSheetId="25" hidden="1">{#N/A,#N/A,TRUE,"constb"}</definedName>
    <definedName name="wrn.Trial._.Balance." hidden="1">{#N/A,#N/A,TRUE,"constb"}</definedName>
    <definedName name="wrn.tt"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t"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t" localSheetId="25"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t"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y"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y"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y" localSheetId="25"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y"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ycon._.Model." localSheetId="24" hidden="1">{"rtn",#N/A,FALSE,"RTN";"tables",#N/A,FALSE,"RTN";"cf",#N/A,FALSE,"CF";"stats",#N/A,FALSE,"Stats";"prop",#N/A,FALSE,"Prop"}</definedName>
    <definedName name="wrn.Tycon._.Model." localSheetId="18" hidden="1">{"rtn",#N/A,FALSE,"RTN";"tables",#N/A,FALSE,"RTN";"cf",#N/A,FALSE,"CF";"stats",#N/A,FALSE,"Stats";"prop",#N/A,FALSE,"Prop"}</definedName>
    <definedName name="wrn.Tycon._.Model." localSheetId="25" hidden="1">{"rtn",#N/A,FALSE,"RTN";"tables",#N/A,FALSE,"RTN";"cf",#N/A,FALSE,"CF";"stats",#N/A,FALSE,"Stats";"prop",#N/A,FALSE,"Prop"}</definedName>
    <definedName name="wrn.Tycon._.Model." hidden="1">{"rtn",#N/A,FALSE,"RTN";"tables",#N/A,FALSE,"RTN";"cf",#N/A,FALSE,"CF";"stats",#N/A,FALSE,"Stats";"prop",#N/A,FALSE,"Prop"}</definedName>
    <definedName name="wrn.UNIONGAS94TAXRETURN." localSheetId="24"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 localSheetId="18"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 localSheetId="25"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_1" localSheetId="24"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_1" localSheetId="18"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_1" localSheetId="25"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_1"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Vacancy._.Budget." localSheetId="24" hidden="1">{#N/A,#N/A,FALSE,"VacancyBud"}</definedName>
    <definedName name="wrn.Vacancy._.Budget." localSheetId="18" hidden="1">{#N/A,#N/A,FALSE,"VacancyBud"}</definedName>
    <definedName name="wrn.Vacancy._.Budget." localSheetId="25" hidden="1">{#N/A,#N/A,FALSE,"VacancyBud"}</definedName>
    <definedName name="wrn.Vacancy._.Budget." hidden="1">{#N/A,#N/A,FALSE,"VacancyBud"}</definedName>
    <definedName name="wrn.Vacancy._.FCast." localSheetId="24" hidden="1">{#N/A,#N/A,FALSE,"VacancyFCast"}</definedName>
    <definedName name="wrn.Vacancy._.FCast." localSheetId="18" hidden="1">{#N/A,#N/A,FALSE,"VacancyFCast"}</definedName>
    <definedName name="wrn.Vacancy._.FCast." localSheetId="25" hidden="1">{#N/A,#N/A,FALSE,"VacancyFCast"}</definedName>
    <definedName name="wrn.Vacancy._.FCast." hidden="1">{#N/A,#N/A,FALSE,"VacancyFCast"}</definedName>
    <definedName name="wrn.Wage._.Hours." localSheetId="24" hidden="1">{"Wage.Hours",#N/A,FALSE,"Wages"}</definedName>
    <definedName name="wrn.Wage._.Hours." localSheetId="18" hidden="1">{"Wage.Hours",#N/A,FALSE,"Wages"}</definedName>
    <definedName name="wrn.Wage._.Hours." localSheetId="25" hidden="1">{"Wage.Hours",#N/A,FALSE,"Wages"}</definedName>
    <definedName name="wrn.Wage._.Hours." hidden="1">{"Wage.Hours",#N/A,FALSE,"Wages"}</definedName>
    <definedName name="wrn.Wages._.Budget._.Detailed." localSheetId="24" hidden="1">{"Wages.Detail",#N/A,FALSE,"Wages"}</definedName>
    <definedName name="wrn.Wages._.Budget._.Detailed." localSheetId="18" hidden="1">{"Wages.Detail",#N/A,FALSE,"Wages"}</definedName>
    <definedName name="wrn.Wages._.Budget._.Detailed." localSheetId="25" hidden="1">{"Wages.Detail",#N/A,FALSE,"Wages"}</definedName>
    <definedName name="wrn.Wages._.Budget._.Detailed." hidden="1">{"Wages.Detail",#N/A,FALSE,"Wages"}</definedName>
    <definedName name="wrn.Wages._.On._.Cost." localSheetId="24" hidden="1">{"Wages.On.Costs",#N/A,FALSE,"Wages"}</definedName>
    <definedName name="wrn.Wages._.On._.Cost." localSheetId="18" hidden="1">{"Wages.On.Costs",#N/A,FALSE,"Wages"}</definedName>
    <definedName name="wrn.Wages._.On._.Cost." localSheetId="25" hidden="1">{"Wages.On.Costs",#N/A,FALSE,"Wages"}</definedName>
    <definedName name="wrn.Wages._.On._.Cost." hidden="1">{"Wages.On.Costs",#N/A,FALSE,"Wages"}</definedName>
    <definedName name="wrn.Wages._.On._.Costs." localSheetId="24" hidden="1">{"Wages.On.Costs",#N/A,FALSE,"Wages"}</definedName>
    <definedName name="wrn.Wages._.On._.Costs." localSheetId="18" hidden="1">{"Wages.On.Costs",#N/A,FALSE,"Wages"}</definedName>
    <definedName name="wrn.Wages._.On._.Costs." localSheetId="25" hidden="1">{"Wages.On.Costs",#N/A,FALSE,"Wages"}</definedName>
    <definedName name="wrn.Wages._.On._.Costs." hidden="1">{"Wages.On.Costs",#N/A,FALSE,"Wages"}</definedName>
    <definedName name="wrn.Wages._.Summary." localSheetId="24" hidden="1">{"Wage.Summ",#N/A,FALSE,"Wages"}</definedName>
    <definedName name="wrn.Wages._.Summary." localSheetId="18" hidden="1">{"Wage.Summ",#N/A,FALSE,"Wages"}</definedName>
    <definedName name="wrn.Wages._.Summary." localSheetId="25" hidden="1">{"Wage.Summ",#N/A,FALSE,"Wages"}</definedName>
    <definedName name="wrn.Wages._.Summary." hidden="1">{"Wage.Summ",#N/A,FALSE,"Wages"}</definedName>
    <definedName name="wrn.Working._.Party._.List." localSheetId="24" hidden="1">{#N/A,#N/A,FALSE,"Working List"}</definedName>
    <definedName name="wrn.Working._.Party._.List." localSheetId="18" hidden="1">{#N/A,#N/A,FALSE,"Working List"}</definedName>
    <definedName name="wrn.Working._.Party._.List." localSheetId="25" hidden="1">{#N/A,#N/A,FALSE,"Working List"}</definedName>
    <definedName name="wrn.Working._.Party._.List." hidden="1">{#N/A,#N/A,FALSE,"Working List"}</definedName>
    <definedName name="wrn.Y차._.종합." localSheetId="24" hidden="1">{#N/A,#N/A,TRUE,"Y생산";#N/A,#N/A,TRUE,"Y판매";#N/A,#N/A,TRUE,"Y총물량";#N/A,#N/A,TRUE,"Y능력";#N/A,#N/A,TRUE,"YKD"}</definedName>
    <definedName name="wrn.Y차._.종합." localSheetId="18" hidden="1">{#N/A,#N/A,TRUE,"Y생산";#N/A,#N/A,TRUE,"Y판매";#N/A,#N/A,TRUE,"Y총물량";#N/A,#N/A,TRUE,"Y능력";#N/A,#N/A,TRUE,"YKD"}</definedName>
    <definedName name="wrn.Y차._.종합." localSheetId="25" hidden="1">{#N/A,#N/A,TRUE,"Y생산";#N/A,#N/A,TRUE,"Y판매";#N/A,#N/A,TRUE,"Y총물량";#N/A,#N/A,TRUE,"Y능력";#N/A,#N/A,TRUE,"YKD"}</definedName>
    <definedName name="wrn.Y차._.종합." hidden="1">{#N/A,#N/A,TRUE,"Y생산";#N/A,#N/A,TRUE,"Y판매";#N/A,#N/A,TRUE,"Y총물량";#N/A,#N/A,TRUE,"Y능력";#N/A,#N/A,TRUE,"YKD"}</definedName>
    <definedName name="wrn.ｱﾛｰ." localSheetId="24" hidden="1">{"Actual",#N/A,FALSE,"(価格)";"Market",#N/A,FALSE,"(価格)";"Plan",#N/A,FALSE,"(価格)"}</definedName>
    <definedName name="wrn.ｱﾛｰ." localSheetId="18" hidden="1">{"Actual",#N/A,FALSE,"(価格)";"Market",#N/A,FALSE,"(価格)";"Plan",#N/A,FALSE,"(価格)"}</definedName>
    <definedName name="wrn.ｱﾛｰ." localSheetId="25" hidden="1">{"Actual",#N/A,FALSE,"(価格)";"Market",#N/A,FALSE,"(価格)";"Plan",#N/A,FALSE,"(価格)"}</definedName>
    <definedName name="wrn.ｱﾛｰ." hidden="1">{"Actual",#N/A,FALSE,"(価格)";"Market",#N/A,FALSE,"(価格)";"Plan",#N/A,FALSE,"(価格)"}</definedName>
    <definedName name="wrn.ｹﾝﾄ." localSheetId="24" hidden="1">{"ｹﾝﾄ（M)",#N/A,FALSE,"収支・日割";"ｹﾝﾄ（RD)",#N/A,FALSE,"収支・日割";"ｹﾝﾄ（PMC)",#N/A,FALSE,"収支・日割"}</definedName>
    <definedName name="wrn.ｹﾝﾄ." localSheetId="18" hidden="1">{"ｹﾝﾄ（M)",#N/A,FALSE,"収支・日割";"ｹﾝﾄ（RD)",#N/A,FALSE,"収支・日割";"ｹﾝﾄ（PMC)",#N/A,FALSE,"収支・日割"}</definedName>
    <definedName name="wrn.ｹﾝﾄ." localSheetId="25" hidden="1">{"ｹﾝﾄ（M)",#N/A,FALSE,"収支・日割";"ｹﾝﾄ（RD)",#N/A,FALSE,"収支・日割";"ｹﾝﾄ（PMC)",#N/A,FALSE,"収支・日割"}</definedName>
    <definedName name="wrn.ｹﾝﾄ." hidden="1">{"ｹﾝﾄ（M)",#N/A,FALSE,"収支・日割";"ｹﾝﾄ（RD)",#N/A,FALSE,"収支・日割";"ｹﾝﾄ（PMC)",#N/A,FALSE,"収支・日割"}</definedName>
    <definedName name="wrn.テスト." localSheetId="24" hidden="1">{"賃貸事例比較法",#N/A,FALSE,"Sheet2";"賃貸条件",#N/A,FALSE,"Sheet2"}</definedName>
    <definedName name="wrn.テスト." localSheetId="18" hidden="1">{"賃貸事例比較法",#N/A,FALSE,"Sheet2";"賃貸条件",#N/A,FALSE,"Sheet2"}</definedName>
    <definedName name="wrn.テスト." localSheetId="25" hidden="1">{"賃貸事例比較法",#N/A,FALSE,"Sheet2";"賃貸条件",#N/A,FALSE,"Sheet2"}</definedName>
    <definedName name="wrn.テスト." hidden="1">{"賃貸事例比較法",#N/A,FALSE,"Sheet2";"賃貸条件",#N/A,FALSE,"Sheet2"}</definedName>
    <definedName name="wrn.レポート." localSheetId="24" hidden="1">{"報告書",#N/A,FALSE,"報告書";"承諾書",#N/A,FALSE,"承認書"}</definedName>
    <definedName name="wrn.レポート." localSheetId="18" hidden="1">{"報告書",#N/A,FALSE,"報告書";"承諾書",#N/A,FALSE,"承認書"}</definedName>
    <definedName name="wrn.レポート." localSheetId="25" hidden="1">{"報告書",#N/A,FALSE,"報告書";"承諾書",#N/A,FALSE,"承認書"}</definedName>
    <definedName name="wrn.レポート." hidden="1">{"報告書",#N/A,FALSE,"報告書";"承諾書",#N/A,FALSE,"承認書"}</definedName>
    <definedName name="wrn.간단한세무조정계산서."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 localSheetId="25"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_1" localSheetId="24" hidden="1">{#N/A,#N/A,TRUE,"1호 과표세액";#N/A,#N/A,TRUE,"6호 첨부(익)";#N/A,#N/A,TRUE,"6-3호 퇴충";#N/A,#N/A,TRUE,"PL";#N/A,#N/A,TRUE,"BS";#N/A,#N/A,TRUE,"RE";#N/A,#N/A,TRUE,"표지"}</definedName>
    <definedName name="wrn.간단한세무조정계산서._1" localSheetId="18" hidden="1">{#N/A,#N/A,TRUE,"1호 과표세액";#N/A,#N/A,TRUE,"6호 첨부(익)";#N/A,#N/A,TRUE,"6-3호 퇴충";#N/A,#N/A,TRUE,"PL";#N/A,#N/A,TRUE,"BS";#N/A,#N/A,TRUE,"RE";#N/A,#N/A,TRUE,"표지"}</definedName>
    <definedName name="wrn.간단한세무조정계산서._1" localSheetId="25" hidden="1">{#N/A,#N/A,TRUE,"1호 과표세액";#N/A,#N/A,TRUE,"6호 첨부(익)";#N/A,#N/A,TRUE,"6-3호 퇴충";#N/A,#N/A,TRUE,"PL";#N/A,#N/A,TRUE,"BS";#N/A,#N/A,TRUE,"RE";#N/A,#N/A,TRUE,"표지"}</definedName>
    <definedName name="wrn.간단한세무조정계산서._1" hidden="1">{#N/A,#N/A,TRUE,"1호 과표세액";#N/A,#N/A,TRUE,"6호 첨부(익)";#N/A,#N/A,TRUE,"6-3호 퇴충";#N/A,#N/A,TRUE,"PL";#N/A,#N/A,TRUE,"BS";#N/A,#N/A,TRUE,"RE";#N/A,#N/A,TRUE,"표지"}</definedName>
    <definedName name="wrn.감가." localSheetId="24" hidden="1">{#N/A,#N/A,FALSE,"buildings"}</definedName>
    <definedName name="wrn.감가." localSheetId="18" hidden="1">{#N/A,#N/A,FALSE,"buildings"}</definedName>
    <definedName name="wrn.감가." localSheetId="25" hidden="1">{#N/A,#N/A,FALSE,"buildings"}</definedName>
    <definedName name="wrn.감가." hidden="1">{#N/A,#N/A,FALSE,"buildings"}</definedName>
    <definedName name="wrn.건물기초."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건물기초."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건물기초." localSheetId="25"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건물기초."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견적."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 localSheetId="2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2"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2"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2" localSheetId="2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2"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3"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3"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3" localSheetId="2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4"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4"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4" localSheetId="2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5"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5"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5" localSheetId="2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골재소요량." localSheetId="24" hidden="1">{#N/A,#N/A,FALSE,"골재소요량";#N/A,#N/A,FALSE,"골재소요량"}</definedName>
    <definedName name="wrn.골재소요량." localSheetId="18" hidden="1">{#N/A,#N/A,FALSE,"골재소요량";#N/A,#N/A,FALSE,"골재소요량"}</definedName>
    <definedName name="wrn.골재소요량." localSheetId="25" hidden="1">{#N/A,#N/A,FALSE,"골재소요량";#N/A,#N/A,FALSE,"골재소요량"}</definedName>
    <definedName name="wrn.골재소요량." hidden="1">{#N/A,#N/A,FALSE,"골재소요량";#N/A,#N/A,FALSE,"골재소요량"}</definedName>
    <definedName name="wrn.관섬예산." localSheetId="24"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wrn.관섬예산." localSheetId="18"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wrn.관섬예산." localSheetId="25"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wrn.관섬예산."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wrn.광명._.장미." localSheetId="24" hidden="1">{#N/A,#N/A,FALSE,"기초사업정보(1)";#N/A,#N/A,FALSE,"기초사업정보(2)";#N/A,#N/A,FALSE,"기초사업정보(3)";#N/A,#N/A,FALSE,"QG1 분양률 리스크 평가";#N/A,#N/A,FALSE,"QG1 주요 추가 리스크 평가";#N/A,#N/A,FALSE,"QG1 전략과 종합"}</definedName>
    <definedName name="wrn.광명._.장미." localSheetId="18" hidden="1">{#N/A,#N/A,FALSE,"기초사업정보(1)";#N/A,#N/A,FALSE,"기초사업정보(2)";#N/A,#N/A,FALSE,"기초사업정보(3)";#N/A,#N/A,FALSE,"QG1 분양률 리스크 평가";#N/A,#N/A,FALSE,"QG1 주요 추가 리스크 평가";#N/A,#N/A,FALSE,"QG1 전략과 종합"}</definedName>
    <definedName name="wrn.광명._.장미." localSheetId="25" hidden="1">{#N/A,#N/A,FALSE,"기초사업정보(1)";#N/A,#N/A,FALSE,"기초사업정보(2)";#N/A,#N/A,FALSE,"기초사업정보(3)";#N/A,#N/A,FALSE,"QG1 분양률 리스크 평가";#N/A,#N/A,FALSE,"QG1 주요 추가 리스크 평가";#N/A,#N/A,FALSE,"QG1 전략과 종합"}</definedName>
    <definedName name="wrn.광명._.장미." hidden="1">{#N/A,#N/A,FALSE,"기초사업정보(1)";#N/A,#N/A,FALSE,"기초사업정보(2)";#N/A,#N/A,FALSE,"기초사업정보(3)";#N/A,#N/A,FALSE,"QG1 분양률 리스크 평가";#N/A,#N/A,FALSE,"QG1 주요 추가 리스크 평가";#N/A,#N/A,FALSE,"QG1 전략과 종합"}</definedName>
    <definedName name="wrn.교육청." localSheetId="24" hidden="1">{#N/A,#N/A,FALSE,"전력간선"}</definedName>
    <definedName name="wrn.교육청." localSheetId="18" hidden="1">{#N/A,#N/A,FALSE,"전력간선"}</definedName>
    <definedName name="wrn.교육청." localSheetId="25" hidden="1">{#N/A,#N/A,FALSE,"전력간선"}</definedName>
    <definedName name="wrn.교육청." hidden="1">{#N/A,#N/A,FALSE,"전력간선"}</definedName>
    <definedName name="wrn.구조2." localSheetId="24" hidden="1">{#N/A,#N/A,FALSE,"구조2"}</definedName>
    <definedName name="wrn.구조2." localSheetId="18" hidden="1">{#N/A,#N/A,FALSE,"구조2"}</definedName>
    <definedName name="wrn.구조2." localSheetId="25" hidden="1">{#N/A,#N/A,FALSE,"구조2"}</definedName>
    <definedName name="wrn.구조2." hidden="1">{#N/A,#N/A,FALSE,"구조2"}</definedName>
    <definedName name="wrn.단가표지." localSheetId="24" hidden="1">{#N/A,#N/A,FALSE,"단가표지"}</definedName>
    <definedName name="wrn.단가표지." localSheetId="18" hidden="1">{#N/A,#N/A,FALSE,"단가표지"}</definedName>
    <definedName name="wrn.단가표지." localSheetId="25" hidden="1">{#N/A,#N/A,FALSE,"단가표지"}</definedName>
    <definedName name="wrn.단가표지." hidden="1">{#N/A,#N/A,FALSE,"단가표지"}</definedName>
    <definedName name="wrn.대차._.대조표." localSheetId="24" hidden="1">{#N/A,#N/A,TRUE,"대 차 대 조 표"}</definedName>
    <definedName name="wrn.대차._.대조표." localSheetId="18" hidden="1">{#N/A,#N/A,TRUE,"대 차 대 조 표"}</definedName>
    <definedName name="wrn.대차._.대조표." localSheetId="25" hidden="1">{#N/A,#N/A,TRUE,"대 차 대 조 표"}</definedName>
    <definedName name="wrn.대차._.대조표." hidden="1">{#N/A,#N/A,TRUE,"대 차 대 조 표"}</definedName>
    <definedName name="wrn.대차._.대조표._1" localSheetId="24" hidden="1">{#N/A,#N/A,TRUE,"대 차 대 조 표"}</definedName>
    <definedName name="wrn.대차._.대조표._1" localSheetId="18" hidden="1">{#N/A,#N/A,TRUE,"대 차 대 조 표"}</definedName>
    <definedName name="wrn.대차._.대조표._1" localSheetId="25" hidden="1">{#N/A,#N/A,TRUE,"대 차 대 조 표"}</definedName>
    <definedName name="wrn.대차._.대조표._1" hidden="1">{#N/A,#N/A,TRUE,"대 차 대 조 표"}</definedName>
    <definedName name="wrn.리스크시트." localSheetId="24" hidden="1">{#N/A,#N/A,FALSE,"QG1 분양률 리스크 평가";#N/A,#N/A,FALSE,"QG1 주요 추가 리스크 평가";#N/A,#N/A,FALSE,"분양률";#N/A,#N/A,FALSE,"Back-up";#N/A,#N/A,FALSE,"QG1 전략과 종합"}</definedName>
    <definedName name="wrn.리스크시트." localSheetId="18" hidden="1">{#N/A,#N/A,FALSE,"QG1 분양률 리스크 평가";#N/A,#N/A,FALSE,"QG1 주요 추가 리스크 평가";#N/A,#N/A,FALSE,"분양률";#N/A,#N/A,FALSE,"Back-up";#N/A,#N/A,FALSE,"QG1 전략과 종합"}</definedName>
    <definedName name="wrn.리스크시트." localSheetId="25" hidden="1">{#N/A,#N/A,FALSE,"QG1 분양률 리스크 평가";#N/A,#N/A,FALSE,"QG1 주요 추가 리스크 평가";#N/A,#N/A,FALSE,"분양률";#N/A,#N/A,FALSE,"Back-up";#N/A,#N/A,FALSE,"QG1 전략과 종합"}</definedName>
    <definedName name="wrn.리스크시트." hidden="1">{#N/A,#N/A,FALSE,"QG1 분양률 리스크 평가";#N/A,#N/A,FALSE,"QG1 주요 추가 리스크 평가";#N/A,#N/A,FALSE,"분양률";#N/A,#N/A,FALSE,"Back-up";#N/A,#N/A,FALSE,"QG1 전략과 종합"}</definedName>
    <definedName name="wrn.배수1." localSheetId="24" hidden="1">{#N/A,#N/A,FALSE,"배수1"}</definedName>
    <definedName name="wrn.배수1." localSheetId="18" hidden="1">{#N/A,#N/A,FALSE,"배수1"}</definedName>
    <definedName name="wrn.배수1." localSheetId="25" hidden="1">{#N/A,#N/A,FALSE,"배수1"}</definedName>
    <definedName name="wrn.배수1." hidden="1">{#N/A,#N/A,FALSE,"배수1"}</definedName>
    <definedName name="wrn.배수2." localSheetId="24" hidden="1">{#N/A,#N/A,FALSE,"배수2"}</definedName>
    <definedName name="wrn.배수2." localSheetId="18" hidden="1">{#N/A,#N/A,FALSE,"배수2"}</definedName>
    <definedName name="wrn.배수2." localSheetId="25" hidden="1">{#N/A,#N/A,FALSE,"배수2"}</definedName>
    <definedName name="wrn.배수2." hidden="1">{#N/A,#N/A,FALSE,"배수2"}</definedName>
    <definedName name="wrn.보고서." localSheetId="24" hidden="1">{#N/A,#N/A,FALSE,"Sheet1";#N/A,#N/A,FALSE,"기평9607"}</definedName>
    <definedName name="wrn.보고서." localSheetId="18" hidden="1">{#N/A,#N/A,FALSE,"Sheet1";#N/A,#N/A,FALSE,"기평9607"}</definedName>
    <definedName name="wrn.보고서." localSheetId="25" hidden="1">{#N/A,#N/A,FALSE,"Sheet1";#N/A,#N/A,FALSE,"기평9607"}</definedName>
    <definedName name="wrn.보고서." hidden="1">{#N/A,#N/A,FALSE,"Sheet1";#N/A,#N/A,FALSE,"기평9607"}</definedName>
    <definedName name="wrn.報告書." localSheetId="24" hidden="1">{"報告書",#N/A,FALSE,"報告書";"承諾書",#N/A,FALSE,"工事承諾書";#N/A,#N/A,FALSE,"承認書"}</definedName>
    <definedName name="wrn.報告書." localSheetId="18" hidden="1">{"報告書",#N/A,FALSE,"報告書";"承諾書",#N/A,FALSE,"工事承諾書";#N/A,#N/A,FALSE,"承認書"}</definedName>
    <definedName name="wrn.報告書." localSheetId="25" hidden="1">{"報告書",#N/A,FALSE,"報告書";"承諾書",#N/A,FALSE,"工事承諾書";#N/A,#N/A,FALSE,"承認書"}</definedName>
    <definedName name="wrn.報告書." hidden="1">{"報告書",#N/A,FALSE,"報告書";"承諾書",#N/A,FALSE,"工事承諾書";#N/A,#N/A,FALSE,"承認書"}</definedName>
    <definedName name="wrn.보고서._1" localSheetId="24" hidden="1">{#N/A,#N/A,FALSE,"Sheet1";#N/A,#N/A,FALSE,"기평9607"}</definedName>
    <definedName name="wrn.보고서._1" localSheetId="18" hidden="1">{#N/A,#N/A,FALSE,"Sheet1";#N/A,#N/A,FALSE,"기평9607"}</definedName>
    <definedName name="wrn.보고서._1" localSheetId="25" hidden="1">{#N/A,#N/A,FALSE,"Sheet1";#N/A,#N/A,FALSE,"기평9607"}</definedName>
    <definedName name="wrn.보고서._1" hidden="1">{#N/A,#N/A,FALSE,"Sheet1";#N/A,#N/A,FALSE,"기평9607"}</definedName>
    <definedName name="wrn.부대1." localSheetId="24" hidden="1">{#N/A,#N/A,FALSE,"부대1"}</definedName>
    <definedName name="wrn.부대1." localSheetId="18" hidden="1">{#N/A,#N/A,FALSE,"부대1"}</definedName>
    <definedName name="wrn.부대1." localSheetId="25" hidden="1">{#N/A,#N/A,FALSE,"부대1"}</definedName>
    <definedName name="wrn.부대1." hidden="1">{#N/A,#N/A,FALSE,"부대1"}</definedName>
    <definedName name="wrn.부대2." localSheetId="24" hidden="1">{#N/A,#N/A,FALSE,"부대2"}</definedName>
    <definedName name="wrn.부대2." localSheetId="18" hidden="1">{#N/A,#N/A,FALSE,"부대2"}</definedName>
    <definedName name="wrn.부대2." localSheetId="25" hidden="1">{#N/A,#N/A,FALSE,"부대2"}</definedName>
    <definedName name="wrn.부대2." hidden="1">{#N/A,#N/A,FALSE,"부대2"}</definedName>
    <definedName name="wrn.부문손익." localSheetId="24" hidden="1">{#N/A,#N/A,FALSE,"매출이익"}</definedName>
    <definedName name="wrn.부문손익." localSheetId="18" hidden="1">{#N/A,#N/A,FALSE,"매출이익"}</definedName>
    <definedName name="wrn.부문손익." localSheetId="25" hidden="1">{#N/A,#N/A,FALSE,"매출이익"}</definedName>
    <definedName name="wrn.부문손익." hidden="1">{#N/A,#N/A,FALSE,"매출이익"}</definedName>
    <definedName name="wrn.부산주경기장."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wrn.부산주경기장."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wrn.부산주경기장."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wrn.부산주경기장."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wrn.部署別管理." localSheetId="24" hidden="1">{#N/A,#N/A,FALSE,"MV管理";#N/A,#N/A,FALSE,"MG管理";#N/A,#N/A,FALSE,"SC管理"}</definedName>
    <definedName name="wrn.部署別管理." localSheetId="18" hidden="1">{#N/A,#N/A,FALSE,"MV管理";#N/A,#N/A,FALSE,"MG管理";#N/A,#N/A,FALSE,"SC管理"}</definedName>
    <definedName name="wrn.部署別管理." localSheetId="25" hidden="1">{#N/A,#N/A,FALSE,"MV管理";#N/A,#N/A,FALSE,"MG管理";#N/A,#N/A,FALSE,"SC管理"}</definedName>
    <definedName name="wrn.部署別管理." hidden="1">{#N/A,#N/A,FALSE,"MV管理";#N/A,#N/A,FALSE,"MG管理";#N/A,#N/A,FALSE,"SC管理"}</definedName>
    <definedName name="wrn.部署別管理・会計・." localSheetId="24" hidden="1">{#N/A,#N/A,FALSE,"MV管理(会計)";#N/A,#N/A,FALSE,"MG管理(会計)";#N/A,#N/A,FALSE,"SC管理(会計)"}</definedName>
    <definedName name="wrn.部署別管理・会計・." localSheetId="18" hidden="1">{#N/A,#N/A,FALSE,"MV管理(会計)";#N/A,#N/A,FALSE,"MG管理(会計)";#N/A,#N/A,FALSE,"SC管理(会計)"}</definedName>
    <definedName name="wrn.部署別管理・会計・." localSheetId="25" hidden="1">{#N/A,#N/A,FALSE,"MV管理(会計)";#N/A,#N/A,FALSE,"MG管理(会計)";#N/A,#N/A,FALSE,"SC管理(会計)"}</definedName>
    <definedName name="wrn.部署別管理・会計・." hidden="1">{#N/A,#N/A,FALSE,"MV管理(会計)";#N/A,#N/A,FALSE,"MG管理(会計)";#N/A,#N/A,FALSE,"SC管理(会計)"}</definedName>
    <definedName name="wrn.部署別損益・会計・." localSheetId="24" hidden="1">{#N/A,#N/A,FALSE,"MV損益(会計)";#N/A,#N/A,FALSE,"MG損益(会計)";#N/A,#N/A,FALSE,"SC損益(会計)"}</definedName>
    <definedName name="wrn.部署別損益・会計・." localSheetId="18" hidden="1">{#N/A,#N/A,FALSE,"MV損益(会計)";#N/A,#N/A,FALSE,"MG損益(会計)";#N/A,#N/A,FALSE,"SC損益(会計)"}</definedName>
    <definedName name="wrn.部署別損益・会計・." localSheetId="25" hidden="1">{#N/A,#N/A,FALSE,"MV損益(会計)";#N/A,#N/A,FALSE,"MG損益(会計)";#N/A,#N/A,FALSE,"SC損益(会計)"}</definedName>
    <definedName name="wrn.部署別損益・会計・." hidden="1">{#N/A,#N/A,FALSE,"MV損益(会計)";#N/A,#N/A,FALSE,"MG損益(会計)";#N/A,#N/A,FALSE,"SC損益(会計)"}</definedName>
    <definedName name="wrn.部署別財務." localSheetId="24" hidden="1">{#N/A,#N/A,FALSE,"MV損益";#N/A,#N/A,FALSE,"MG損益";#N/A,#N/A,FALSE,"SC損益"}</definedName>
    <definedName name="wrn.部署別財務." localSheetId="18" hidden="1">{#N/A,#N/A,FALSE,"MV損益";#N/A,#N/A,FALSE,"MG損益";#N/A,#N/A,FALSE,"SC損益"}</definedName>
    <definedName name="wrn.部署別財務." localSheetId="25" hidden="1">{#N/A,#N/A,FALSE,"MV損益";#N/A,#N/A,FALSE,"MG損益";#N/A,#N/A,FALSE,"SC損益"}</definedName>
    <definedName name="wrn.部署別財務." hidden="1">{#N/A,#N/A,FALSE,"MV損益";#N/A,#N/A,FALSE,"MG損益";#N/A,#N/A,FALSE,"SC損益"}</definedName>
    <definedName name="wrn.事業別帳票印刷." localSheetId="24" hidden="1">{#N/A,#N/A,FALSE,"財務PL";#N/A,#N/A,FALSE,"管理PL";#N/A,#N/A,FALSE,"経費明細";#N/A,#N/A,FALSE,"ﾃﾞｰﾀ整理表"}</definedName>
    <definedName name="wrn.事業別帳票印刷." localSheetId="18" hidden="1">{#N/A,#N/A,FALSE,"財務PL";#N/A,#N/A,FALSE,"管理PL";#N/A,#N/A,FALSE,"経費明細";#N/A,#N/A,FALSE,"ﾃﾞｰﾀ整理表"}</definedName>
    <definedName name="wrn.事業別帳票印刷." localSheetId="25" hidden="1">{#N/A,#N/A,FALSE,"財務PL";#N/A,#N/A,FALSE,"管理PL";#N/A,#N/A,FALSE,"経費明細";#N/A,#N/A,FALSE,"ﾃﾞｰﾀ整理表"}</definedName>
    <definedName name="wrn.事業別帳票印刷." hidden="1">{#N/A,#N/A,FALSE,"財務PL";#N/A,#N/A,FALSE,"管理PL";#N/A,#N/A,FALSE,"経費明細";#N/A,#N/A,FALSE,"ﾃﾞｰﾀ整理表"}</definedName>
    <definedName name="wrn.세무조정계산서." localSheetId="24"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localSheetId="18"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localSheetId="25"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localSheetId="24"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localSheetId="18"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localSheetId="25"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모든양식."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속도." localSheetId="24" hidden="1">{#N/A,#N/A,FALSE,"속도"}</definedName>
    <definedName name="wrn.속도." localSheetId="18" hidden="1">{#N/A,#N/A,FALSE,"속도"}</definedName>
    <definedName name="wrn.속도." localSheetId="25" hidden="1">{#N/A,#N/A,FALSE,"속도"}</definedName>
    <definedName name="wrn.속도." hidden="1">{#N/A,#N/A,FALSE,"속도"}</definedName>
    <definedName name="wrn.손익보고." localSheetId="24"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localSheetId="18"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localSheetId="25"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hidden="1">{#N/A,#N/A,FALSE,"손익표지";#N/A,#N/A,FALSE,"손익계산";#N/A,#N/A,FALSE,"일반관리비";#N/A,#N/A,FALSE,"영업외수익";#N/A,#N/A,FALSE,"영업외비용";#N/A,#N/A,FALSE,"매출액";#N/A,#N/A,FALSE,"요약손익";#N/A,#N/A,FALSE,"요약대차";#N/A,#N/A,FALSE,"매출채권현황";#N/A,#N/A,FALSE,"매출채권명세"}</definedName>
    <definedName name="wrn.신용찬." localSheetId="24" hidden="1">{#N/A,#N/A,TRUE,"토적및재료집계";#N/A,#N/A,TRUE,"토적및재료집계";#N/A,#N/A,TRUE,"단위량"}</definedName>
    <definedName name="wrn.신용찬." localSheetId="18" hidden="1">{#N/A,#N/A,TRUE,"토적및재료집계";#N/A,#N/A,TRUE,"토적및재료집계";#N/A,#N/A,TRUE,"단위량"}</definedName>
    <definedName name="wrn.신용찬." localSheetId="25" hidden="1">{#N/A,#N/A,TRUE,"토적및재료집계";#N/A,#N/A,TRUE,"토적및재료집계";#N/A,#N/A,TRUE,"단위량"}</definedName>
    <definedName name="wrn.신용찬." hidden="1">{#N/A,#N/A,TRUE,"토적및재료집계";#N/A,#N/A,TRUE,"토적및재료집계";#N/A,#N/A,TRUE,"단위량"}</definedName>
    <definedName name="wrn.업체별._.견적공사명." localSheetId="24" hidden="1">{"SJ - 기본 보기",#N/A,FALSE,"공사별 외주견적"}</definedName>
    <definedName name="wrn.업체별._.견적공사명." localSheetId="18" hidden="1">{"SJ - 기본 보기",#N/A,FALSE,"공사별 외주견적"}</definedName>
    <definedName name="wrn.업체별._.견적공사명." localSheetId="25" hidden="1">{"SJ - 기본 보기",#N/A,FALSE,"공사별 외주견적"}</definedName>
    <definedName name="wrn.업체별._.견적공사명." hidden="1">{"SJ - 기본 보기",#N/A,FALSE,"공사별 외주견적"}</definedName>
    <definedName name="wrn.업체선정보고서." localSheetId="24" hidden="1">{#N/A,#N/A,FALSE,"업체선정";#N/A,#N/A,FALSE,"업체선정sheet";#N/A,#N/A,FALSE,"업체실태";#N/A,#N/A,FALSE,"업체실태(1)";#N/A,#N/A,FALSE,"종업원현황(2)";#N/A,#N/A,FALSE,"생산품목(3)";#N/A,#N/A,FALSE,"장비보유현황";#N/A,#N/A,FALSE,"차량및약도";#N/A,#N/A,FALSE,"금형LIST"}</definedName>
    <definedName name="wrn.업체선정보고서." localSheetId="18" hidden="1">{#N/A,#N/A,FALSE,"업체선정";#N/A,#N/A,FALSE,"업체선정sheet";#N/A,#N/A,FALSE,"업체실태";#N/A,#N/A,FALSE,"업체실태(1)";#N/A,#N/A,FALSE,"종업원현황(2)";#N/A,#N/A,FALSE,"생산품목(3)";#N/A,#N/A,FALSE,"장비보유현황";#N/A,#N/A,FALSE,"차량및약도";#N/A,#N/A,FALSE,"금형LIST"}</definedName>
    <definedName name="wrn.업체선정보고서." localSheetId="25" hidden="1">{#N/A,#N/A,FALSE,"업체선정";#N/A,#N/A,FALSE,"업체선정sheet";#N/A,#N/A,FALSE,"업체실태";#N/A,#N/A,FALSE,"업체실태(1)";#N/A,#N/A,FALSE,"종업원현황(2)";#N/A,#N/A,FALSE,"생산품목(3)";#N/A,#N/A,FALSE,"장비보유현황";#N/A,#N/A,FALSE,"차량및약도";#N/A,#N/A,FALSE,"금형LIST"}</definedName>
    <definedName name="wrn.업체선정보고서." hidden="1">{#N/A,#N/A,FALSE,"업체선정";#N/A,#N/A,FALSE,"업체선정sheet";#N/A,#N/A,FALSE,"업체실태";#N/A,#N/A,FALSE,"업체실태(1)";#N/A,#N/A,FALSE,"종업원현황(2)";#N/A,#N/A,FALSE,"생산품목(3)";#N/A,#N/A,FALSE,"장비보유현황";#N/A,#N/A,FALSE,"차량및약도";#N/A,#N/A,FALSE,"금형LIST"}</definedName>
    <definedName name="wrn.역삼동._.기획." localSheetId="24" hidden="1">{#N/A,#N/A,TRUE,"표지";#N/A,#N/A,TRUE,"목차";#N/A,#N/A,TRUE,"소목차1";#N/A,#N/A,TRUE,"일정표";#N/A,#N/A,TRUE,"소목차2";#N/A,#N/A,TRUE,"사업개요 ";#N/A,#N/A,TRUE,"지역환경";#N/A,#N/A,TRUE,"동시분양분석";#N/A,#N/A,TRUE,"동시분양분석 (2)";#N/A,#N/A,TRUE,"사업여건 분석";#N/A,#N/A,TRUE,"소목차3";#N/A,#N/A,TRUE,"5가";#N/A,#N/A,TRUE,"첨3";#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역삼동._.기획." localSheetId="18" hidden="1">{#N/A,#N/A,TRUE,"표지";#N/A,#N/A,TRUE,"목차";#N/A,#N/A,TRUE,"소목차1";#N/A,#N/A,TRUE,"일정표";#N/A,#N/A,TRUE,"소목차2";#N/A,#N/A,TRUE,"사업개요 ";#N/A,#N/A,TRUE,"지역환경";#N/A,#N/A,TRUE,"동시분양분석";#N/A,#N/A,TRUE,"동시분양분석 (2)";#N/A,#N/A,TRUE,"사업여건 분석";#N/A,#N/A,TRUE,"소목차3";#N/A,#N/A,TRUE,"5가";#N/A,#N/A,TRUE,"첨3";#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역삼동._.기획." localSheetId="25" hidden="1">{#N/A,#N/A,TRUE,"표지";#N/A,#N/A,TRUE,"목차";#N/A,#N/A,TRUE,"소목차1";#N/A,#N/A,TRUE,"일정표";#N/A,#N/A,TRUE,"소목차2";#N/A,#N/A,TRUE,"사업개요 ";#N/A,#N/A,TRUE,"지역환경";#N/A,#N/A,TRUE,"동시분양분석";#N/A,#N/A,TRUE,"동시분양분석 (2)";#N/A,#N/A,TRUE,"사업여건 분석";#N/A,#N/A,TRUE,"소목차3";#N/A,#N/A,TRUE,"5가";#N/A,#N/A,TRUE,"첨3";#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역삼동._.기획." hidden="1">{#N/A,#N/A,TRUE,"표지";#N/A,#N/A,TRUE,"목차";#N/A,#N/A,TRUE,"소목차1";#N/A,#N/A,TRUE,"일정표";#N/A,#N/A,TRUE,"소목차2";#N/A,#N/A,TRUE,"사업개요 ";#N/A,#N/A,TRUE,"지역환경";#N/A,#N/A,TRUE,"동시분양분석";#N/A,#N/A,TRUE,"동시분양분석 (2)";#N/A,#N/A,TRUE,"사업여건 분석";#N/A,#N/A,TRUE,"소목차3";#N/A,#N/A,TRUE,"5가";#N/A,#N/A,TRUE,"첨3";#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운반시간." localSheetId="24" hidden="1">{#N/A,#N/A,FALSE,"운반시간"}</definedName>
    <definedName name="wrn.운반시간." localSheetId="18" hidden="1">{#N/A,#N/A,FALSE,"운반시간"}</definedName>
    <definedName name="wrn.운반시간." localSheetId="25" hidden="1">{#N/A,#N/A,FALSE,"운반시간"}</definedName>
    <definedName name="wrn.운반시간." hidden="1">{#N/A,#N/A,FALSE,"운반시간"}</definedName>
    <definedName name="wrn.월보." localSheetId="24" hidden="1">{#N/A,#N/A,FALSE,"표지";#N/A,#N/A,FALSE,"생산현황";#N/A,#N/A,FALSE,"중량수율";#N/A,#N/A,FALSE,"길이수율";#N/A,#N/A,FALSE,"노동";#N/A,#N/A,FALSE,"기기";#N/A,#N/A,FALSE,"기기가동(누계)";#N/A,#N/A,FALSE,"자소원료"}</definedName>
    <definedName name="wrn.월보." localSheetId="18" hidden="1">{#N/A,#N/A,FALSE,"표지";#N/A,#N/A,FALSE,"생산현황";#N/A,#N/A,FALSE,"중량수율";#N/A,#N/A,FALSE,"길이수율";#N/A,#N/A,FALSE,"노동";#N/A,#N/A,FALSE,"기기";#N/A,#N/A,FALSE,"기기가동(누계)";#N/A,#N/A,FALSE,"자소원료"}</definedName>
    <definedName name="wrn.월보." localSheetId="25" hidden="1">{#N/A,#N/A,FALSE,"표지";#N/A,#N/A,FALSE,"생산현황";#N/A,#N/A,FALSE,"중량수율";#N/A,#N/A,FALSE,"길이수율";#N/A,#N/A,FALSE,"노동";#N/A,#N/A,FALSE,"기기";#N/A,#N/A,FALSE,"기기가동(누계)";#N/A,#N/A,FALSE,"자소원료"}</definedName>
    <definedName name="wrn.월보." hidden="1">{#N/A,#N/A,FALSE,"표지";#N/A,#N/A,FALSE,"생산현황";#N/A,#N/A,FALSE,"중량수율";#N/A,#N/A,FALSE,"길이수율";#N/A,#N/A,FALSE,"노동";#N/A,#N/A,FALSE,"기기";#N/A,#N/A,FALSE,"기기가동(누계)";#N/A,#N/A,FALSE,"자소원료"}</definedName>
    <definedName name="wrn.월추정." localSheetId="24" hidden="1">{#N/A,#N/A,FALSE,"월추정감가상각비";#N/A,#N/A,FALSE,"main_prog"}</definedName>
    <definedName name="wrn.월추정." localSheetId="18" hidden="1">{#N/A,#N/A,FALSE,"월추정감가상각비";#N/A,#N/A,FALSE,"main_prog"}</definedName>
    <definedName name="wrn.월추정." localSheetId="25" hidden="1">{#N/A,#N/A,FALSE,"월추정감가상각비";#N/A,#N/A,FALSE,"main_prog"}</definedName>
    <definedName name="wrn.월추정." hidden="1">{#N/A,#N/A,FALSE,"월추정감가상각비";#N/A,#N/A,FALSE,"main_prog"}</definedName>
    <definedName name="wrn.이력서._.자기소개서." localSheetId="24" hidden="1">{#N/A,#N/A,FALSE,"이력서&amp;자기소개서"}</definedName>
    <definedName name="wrn.이력서._.자기소개서." localSheetId="18" hidden="1">{#N/A,#N/A,FALSE,"이력서&amp;자기소개서"}</definedName>
    <definedName name="wrn.이력서._.자기소개서." localSheetId="25" hidden="1">{#N/A,#N/A,FALSE,"이력서&amp;자기소개서"}</definedName>
    <definedName name="wrn.이력서._.자기소개서." hidden="1">{#N/A,#N/A,FALSE,"이력서&amp;자기소개서"}</definedName>
    <definedName name="wrn.이력서._.자기소개서._1" localSheetId="24" hidden="1">{#N/A,#N/A,FALSE,"이력서&amp;자기소개서"}</definedName>
    <definedName name="wrn.이력서._.자기소개서._1" localSheetId="18" hidden="1">{#N/A,#N/A,FALSE,"이력서&amp;자기소개서"}</definedName>
    <definedName name="wrn.이력서._.자기소개서._1" localSheetId="25" hidden="1">{#N/A,#N/A,FALSE,"이력서&amp;자기소개서"}</definedName>
    <definedName name="wrn.이력서._.자기소개서._1" hidden="1">{#N/A,#N/A,FALSE,"이력서&amp;자기소개서"}</definedName>
    <definedName name="wrn.이정표." localSheetId="24" hidden="1">{#N/A,#N/A,FALSE,"이정표"}</definedName>
    <definedName name="wrn.이정표." localSheetId="18" hidden="1">{#N/A,#N/A,FALSE,"이정표"}</definedName>
    <definedName name="wrn.이정표." localSheetId="25" hidden="1">{#N/A,#N/A,FALSE,"이정표"}</definedName>
    <definedName name="wrn.이정표." hidden="1">{#N/A,#N/A,FALSE,"이정표"}</definedName>
    <definedName name="wrn.이태원._.철근." localSheetId="24" hidden="1">{#N/A,#N/A,FALSE,"이태원철근"}</definedName>
    <definedName name="wrn.이태원._.철근." localSheetId="18" hidden="1">{#N/A,#N/A,FALSE,"이태원철근"}</definedName>
    <definedName name="wrn.이태원._.철근." localSheetId="25" hidden="1">{#N/A,#N/A,FALSE,"이태원철근"}</definedName>
    <definedName name="wrn.이태원._.철근." hidden="1">{#N/A,#N/A,FALSE,"이태원철근"}</definedName>
    <definedName name="wrn.帳票全部印刷." localSheetId="24" hidden="1">{#N/A,#N/A,FALSE,"経営計画書";#N/A,#N/A,FALSE,"財務PL";#N/A,#N/A,FALSE,"管理PL";#N/A,#N/A,FALSE,"財務PL会計年";#N/A,#N/A,FALSE,"管理PL会計年";#N/A,#N/A,FALSE,"投資計画";#N/A,#N/A,FALSE,"投資按分";#N/A,#N/A,FALSE,"投資按分入力";#N/A,#N/A,FALSE,"ﾃﾅﾝﾄ計画";#N/A,#N/A,FALSE,"ﾃﾅﾝﾄ(建物賃)";#N/A,#N/A,FALSE,"ﾃﾅﾝﾄ(土地賃)";#N/A,#N/A,FALSE,"経費明細";#N/A,#N/A,FALSE,"支払時期表";#N/A,#N/A,FALSE,"面積表";#N/A,#N/A,FALSE,"別棟明細";#N/A,#N/A,FALSE,"敷地･条件表";#N/A,#N/A,FALSE,"営業計画";#N/A,#N/A,FALSE,"入力(3)";#N/A,#N/A,FALSE,"ﾃﾞｰﾀ整理表"}</definedName>
    <definedName name="wrn.帳票全部印刷." localSheetId="18" hidden="1">{#N/A,#N/A,FALSE,"経営計画書";#N/A,#N/A,FALSE,"財務PL";#N/A,#N/A,FALSE,"管理PL";#N/A,#N/A,FALSE,"財務PL会計年";#N/A,#N/A,FALSE,"管理PL会計年";#N/A,#N/A,FALSE,"投資計画";#N/A,#N/A,FALSE,"投資按分";#N/A,#N/A,FALSE,"投資按分入力";#N/A,#N/A,FALSE,"ﾃﾅﾝﾄ計画";#N/A,#N/A,FALSE,"ﾃﾅﾝﾄ(建物賃)";#N/A,#N/A,FALSE,"ﾃﾅﾝﾄ(土地賃)";#N/A,#N/A,FALSE,"経費明細";#N/A,#N/A,FALSE,"支払時期表";#N/A,#N/A,FALSE,"面積表";#N/A,#N/A,FALSE,"別棟明細";#N/A,#N/A,FALSE,"敷地･条件表";#N/A,#N/A,FALSE,"営業計画";#N/A,#N/A,FALSE,"入力(3)";#N/A,#N/A,FALSE,"ﾃﾞｰﾀ整理表"}</definedName>
    <definedName name="wrn.帳票全部印刷." localSheetId="25" hidden="1">{#N/A,#N/A,FALSE,"経営計画書";#N/A,#N/A,FALSE,"財務PL";#N/A,#N/A,FALSE,"管理PL";#N/A,#N/A,FALSE,"財務PL会計年";#N/A,#N/A,FALSE,"管理PL会計年";#N/A,#N/A,FALSE,"投資計画";#N/A,#N/A,FALSE,"投資按分";#N/A,#N/A,FALSE,"投資按分入力";#N/A,#N/A,FALSE,"ﾃﾅﾝﾄ計画";#N/A,#N/A,FALSE,"ﾃﾅﾝﾄ(建物賃)";#N/A,#N/A,FALSE,"ﾃﾅﾝﾄ(土地賃)";#N/A,#N/A,FALSE,"経費明細";#N/A,#N/A,FALSE,"支払時期表";#N/A,#N/A,FALSE,"面積表";#N/A,#N/A,FALSE,"別棟明細";#N/A,#N/A,FALSE,"敷地･条件表";#N/A,#N/A,FALSE,"営業計画";#N/A,#N/A,FALSE,"入力(3)";#N/A,#N/A,FALSE,"ﾃﾞｰﾀ整理表"}</definedName>
    <definedName name="wrn.帳票全部印刷." hidden="1">{#N/A,#N/A,FALSE,"経営計画書";#N/A,#N/A,FALSE,"財務PL";#N/A,#N/A,FALSE,"管理PL";#N/A,#N/A,FALSE,"財務PL会計年";#N/A,#N/A,FALSE,"管理PL会計年";#N/A,#N/A,FALSE,"投資計画";#N/A,#N/A,FALSE,"投資按分";#N/A,#N/A,FALSE,"投資按分入力";#N/A,#N/A,FALSE,"ﾃﾅﾝﾄ計画";#N/A,#N/A,FALSE,"ﾃﾅﾝﾄ(建物賃)";#N/A,#N/A,FALSE,"ﾃﾅﾝﾄ(土地賃)";#N/A,#N/A,FALSE,"経費明細";#N/A,#N/A,FALSE,"支払時期表";#N/A,#N/A,FALSE,"面積表";#N/A,#N/A,FALSE,"別棟明細";#N/A,#N/A,FALSE,"敷地･条件表";#N/A,#N/A,FALSE,"営業計画";#N/A,#N/A,FALSE,"入力(3)";#N/A,#N/A,FALSE,"ﾃﾞｰﾀ整理表"}</definedName>
    <definedName name="wrn.재무제표." localSheetId="24" hidden="1">{"PL2",#N/A,FALSE,"PL";"CH1",#N/A,FALSE,"현금흐름표";"CH2",#N/A,FALSE,"현금흐름표";"BS1",#N/A,FALSE,"BS";"CO",#N/A,FALSE,"매출원가";"BS2",#N/A,FALSE,"BS"}</definedName>
    <definedName name="wrn.재무제표." localSheetId="18" hidden="1">{"PL2",#N/A,FALSE,"PL";"CH1",#N/A,FALSE,"현금흐름표";"CH2",#N/A,FALSE,"현금흐름표";"BS1",#N/A,FALSE,"BS";"CO",#N/A,FALSE,"매출원가";"BS2",#N/A,FALSE,"BS"}</definedName>
    <definedName name="wrn.재무제표." localSheetId="25" hidden="1">{"PL2",#N/A,FALSE,"PL";"CH1",#N/A,FALSE,"현금흐름표";"CH2",#N/A,FALSE,"현금흐름표";"BS1",#N/A,FALSE,"BS";"CO",#N/A,FALSE,"매출원가";"BS2",#N/A,FALSE,"BS"}</definedName>
    <definedName name="wrn.재무제표." hidden="1">{"PL2",#N/A,FALSE,"PL";"CH1",#N/A,FALSE,"현금흐름표";"CH2",#N/A,FALSE,"현금흐름표";"BS1",#N/A,FALSE,"BS";"CO",#N/A,FALSE,"매출원가";"BS2",#N/A,FALSE,"BS"}</definedName>
    <definedName name="wrn.전라남도._.나주시._.신일아파트._.수지분석." localSheetId="24" hidden="1">{#N/A,#N/A,FALSE,"수지분석";#N/A,#N/A,FALSE,"수지분석"}</definedName>
    <definedName name="wrn.전라남도._.나주시._.신일아파트._.수지분석." localSheetId="18" hidden="1">{#N/A,#N/A,FALSE,"수지분석";#N/A,#N/A,FALSE,"수지분석"}</definedName>
    <definedName name="wrn.전라남도._.나주시._.신일아파트._.수지분석." localSheetId="25" hidden="1">{#N/A,#N/A,FALSE,"수지분석";#N/A,#N/A,FALSE,"수지분석"}</definedName>
    <definedName name="wrn.전라남도._.나주시._.신일아파트._.수지분석." hidden="1">{#N/A,#N/A,FALSE,"수지분석";#N/A,#N/A,FALSE,"수지분석"}</definedName>
    <definedName name="wrn.전부인쇄." localSheetId="24" hidden="1">{#N/A,#N/A,FALSE,"단축1";#N/A,#N/A,FALSE,"단축2";#N/A,#N/A,FALSE,"단축3";#N/A,#N/A,FALSE,"장축";#N/A,#N/A,FALSE,"4WD"}</definedName>
    <definedName name="wrn.전부인쇄." localSheetId="18" hidden="1">{#N/A,#N/A,FALSE,"단축1";#N/A,#N/A,FALSE,"단축2";#N/A,#N/A,FALSE,"단축3";#N/A,#N/A,FALSE,"장축";#N/A,#N/A,FALSE,"4WD"}</definedName>
    <definedName name="wrn.전부인쇄." localSheetId="25" hidden="1">{#N/A,#N/A,FALSE,"단축1";#N/A,#N/A,FALSE,"단축2";#N/A,#N/A,FALSE,"단축3";#N/A,#N/A,FALSE,"장축";#N/A,#N/A,FALSE,"4WD"}</definedName>
    <definedName name="wrn.전부인쇄." hidden="1">{#N/A,#N/A,FALSE,"단축1";#N/A,#N/A,FALSE,"단축2";#N/A,#N/A,FALSE,"단축3";#N/A,#N/A,FALSE,"장축";#N/A,#N/A,FALSE,"4WD"}</definedName>
    <definedName name="wrn.전사예산."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rn.전사예산." localSheetId="18"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rn.전사예산." localSheetId="25"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rn.전사예산."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rn.全印刷." localSheetId="24" hidden="1">{"DCF-北海道",#N/A,TRUE,"北海道";"FS-北海道",#N/A,TRUE,"北海道";"DCF-東北",#N/A,TRUE,"東北";"FS-東北",#N/A,TRUE,"東北";"DCF-東海",#N/A,TRUE,"東海";"FS-東海",#N/A,TRUE,"東海";"DCF-北陸",#N/A,TRUE,"北陸";"FS-北陸",#N/A,TRUE,"北陸";"DCF-関西",#N/A,TRUE,"関西";"FS-関西",#N/A,TRUE,"関西";"DCF-中国",#N/A,TRUE,"中国";"FS-中国",#N/A,TRUE,"中国";"DCF-四国",#N/A,TRUE,"四国";"FS-四国",#N/A,TRUE,"四国";"DCF-九州",#N/A,TRUE,"九州";"FS-九州",#N/A,TRUE,"九州";"DCF-連結",#N/A,TRUE,"連結";"FS-連結",#N/A,TRUE,"連結"}</definedName>
    <definedName name="wrn.全印刷." localSheetId="18" hidden="1">{"DCF-北海道",#N/A,TRUE,"北海道";"FS-北海道",#N/A,TRUE,"北海道";"DCF-東北",#N/A,TRUE,"東北";"FS-東北",#N/A,TRUE,"東北";"DCF-東海",#N/A,TRUE,"東海";"FS-東海",#N/A,TRUE,"東海";"DCF-北陸",#N/A,TRUE,"北陸";"FS-北陸",#N/A,TRUE,"北陸";"DCF-関西",#N/A,TRUE,"関西";"FS-関西",#N/A,TRUE,"関西";"DCF-中国",#N/A,TRUE,"中国";"FS-中国",#N/A,TRUE,"中国";"DCF-四国",#N/A,TRUE,"四国";"FS-四国",#N/A,TRUE,"四国";"DCF-九州",#N/A,TRUE,"九州";"FS-九州",#N/A,TRUE,"九州";"DCF-連結",#N/A,TRUE,"連結";"FS-連結",#N/A,TRUE,"連結"}</definedName>
    <definedName name="wrn.全印刷." localSheetId="25" hidden="1">{"DCF-北海道",#N/A,TRUE,"北海道";"FS-北海道",#N/A,TRUE,"北海道";"DCF-東北",#N/A,TRUE,"東北";"FS-東北",#N/A,TRUE,"東北";"DCF-東海",#N/A,TRUE,"東海";"FS-東海",#N/A,TRUE,"東海";"DCF-北陸",#N/A,TRUE,"北陸";"FS-北陸",#N/A,TRUE,"北陸";"DCF-関西",#N/A,TRUE,"関西";"FS-関西",#N/A,TRUE,"関西";"DCF-中国",#N/A,TRUE,"中国";"FS-中国",#N/A,TRUE,"中国";"DCF-四国",#N/A,TRUE,"四国";"FS-四国",#N/A,TRUE,"四国";"DCF-九州",#N/A,TRUE,"九州";"FS-九州",#N/A,TRUE,"九州";"DCF-連結",#N/A,TRUE,"連結";"FS-連結",#N/A,TRUE,"連結"}</definedName>
    <definedName name="wrn.全印刷." hidden="1">{"DCF-北海道",#N/A,TRUE,"北海道";"FS-北海道",#N/A,TRUE,"北海道";"DCF-東北",#N/A,TRUE,"東北";"FS-東北",#N/A,TRUE,"東北";"DCF-東海",#N/A,TRUE,"東海";"FS-東海",#N/A,TRUE,"東海";"DCF-北陸",#N/A,TRUE,"北陸";"FS-北陸",#N/A,TRUE,"北陸";"DCF-関西",#N/A,TRUE,"関西";"FS-関西",#N/A,TRUE,"関西";"DCF-中国",#N/A,TRUE,"中国";"FS-中国",#N/A,TRUE,"中国";"DCF-四国",#N/A,TRUE,"四国";"FS-四国",#N/A,TRUE,"四国";"DCF-九州",#N/A,TRUE,"九州";"FS-九州",#N/A,TRUE,"九州";"DCF-連結",#N/A,TRUE,"連結";"FS-連結",#N/A,TRUE,"連結"}</definedName>
    <definedName name="wrn.제기동._.교안._.그림없음." localSheetId="24" hidden="1">{#N/A,#N/A,FALSE,"사업개요";#N/A,#N/A,FALSE,"청약일정";#N/A,#N/A,FALSE,"4차 참여업체1";#N/A,#N/A,FALSE,"4차 참여업체2";#N/A,#N/A,FALSE,"입면도";#N/A,#N/A,FALSE,"평형별 공통 특장점";#N/A,#N/A,FALSE,"평형별 특장점 32A";#N/A,#N/A,FALSE,"평형별 특장점 32B";#N/A,#N/A,FALSE,"평형별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제기동._.교안._.그림없음." localSheetId="18" hidden="1">{#N/A,#N/A,FALSE,"사업개요";#N/A,#N/A,FALSE,"청약일정";#N/A,#N/A,FALSE,"4차 참여업체1";#N/A,#N/A,FALSE,"4차 참여업체2";#N/A,#N/A,FALSE,"입면도";#N/A,#N/A,FALSE,"평형별 공통 특장점";#N/A,#N/A,FALSE,"평형별 특장점 32A";#N/A,#N/A,FALSE,"평형별 특장점 32B";#N/A,#N/A,FALSE,"평형별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제기동._.교안._.그림없음." localSheetId="25" hidden="1">{#N/A,#N/A,FALSE,"사업개요";#N/A,#N/A,FALSE,"청약일정";#N/A,#N/A,FALSE,"4차 참여업체1";#N/A,#N/A,FALSE,"4차 참여업체2";#N/A,#N/A,FALSE,"입면도";#N/A,#N/A,FALSE,"평형별 공통 특장점";#N/A,#N/A,FALSE,"평형별 특장점 32A";#N/A,#N/A,FALSE,"평형별 특장점 32B";#N/A,#N/A,FALSE,"평형별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제기동._.교안._.그림없음." hidden="1">{#N/A,#N/A,FALSE,"사업개요";#N/A,#N/A,FALSE,"청약일정";#N/A,#N/A,FALSE,"4차 참여업체1";#N/A,#N/A,FALSE,"4차 참여업체2";#N/A,#N/A,FALSE,"입면도";#N/A,#N/A,FALSE,"평형별 공통 특장점";#N/A,#N/A,FALSE,"평형별 특장점 32A";#N/A,#N/A,FALSE,"평형별 특장점 32B";#N/A,#N/A,FALSE,"평형별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제기동._.분양._.기획." localSheetId="24" hidden="1">{#N/A,#N/A,TRUE,"표지";#N/A,#N/A,TRUE,"목차";#N/A,#N/A,TRUE,"소목차1";#N/A,#N/A,TRUE,"계획표";#N/A,#N/A,TRUE,"분양일정";#N/A,#N/A,TRUE,"소목차2";#N/A,#N/A,TRUE,"사업개요 ";#N/A,#N/A,TRUE,"환경분석";#N/A,#N/A,TRUE,"사업여건 분석";#N/A,#N/A,TRUE,"소목차3";#N/A,#N/A,TRUE,"적정분양가";#N/A,#N/A,TRUE,"분양가 1안(선택).";#N/A,#N/A,TRUE,"시세1";#N/A,#N/A,TRUE,"시세2";#N/A,#N/A,TRUE,"시세3";#N/A,#N/A,TRUE,"시세4";#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제기동._.분양._.기획." localSheetId="18" hidden="1">{#N/A,#N/A,TRUE,"표지";#N/A,#N/A,TRUE,"목차";#N/A,#N/A,TRUE,"소목차1";#N/A,#N/A,TRUE,"계획표";#N/A,#N/A,TRUE,"분양일정";#N/A,#N/A,TRUE,"소목차2";#N/A,#N/A,TRUE,"사업개요 ";#N/A,#N/A,TRUE,"환경분석";#N/A,#N/A,TRUE,"사업여건 분석";#N/A,#N/A,TRUE,"소목차3";#N/A,#N/A,TRUE,"적정분양가";#N/A,#N/A,TRUE,"분양가 1안(선택).";#N/A,#N/A,TRUE,"시세1";#N/A,#N/A,TRUE,"시세2";#N/A,#N/A,TRUE,"시세3";#N/A,#N/A,TRUE,"시세4";#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제기동._.분양._.기획." localSheetId="25" hidden="1">{#N/A,#N/A,TRUE,"표지";#N/A,#N/A,TRUE,"목차";#N/A,#N/A,TRUE,"소목차1";#N/A,#N/A,TRUE,"계획표";#N/A,#N/A,TRUE,"분양일정";#N/A,#N/A,TRUE,"소목차2";#N/A,#N/A,TRUE,"사업개요 ";#N/A,#N/A,TRUE,"환경분석";#N/A,#N/A,TRUE,"사업여건 분석";#N/A,#N/A,TRUE,"소목차3";#N/A,#N/A,TRUE,"적정분양가";#N/A,#N/A,TRUE,"분양가 1안(선택).";#N/A,#N/A,TRUE,"시세1";#N/A,#N/A,TRUE,"시세2";#N/A,#N/A,TRUE,"시세3";#N/A,#N/A,TRUE,"시세4";#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제기동._.분양._.기획." hidden="1">{#N/A,#N/A,TRUE,"표지";#N/A,#N/A,TRUE,"목차";#N/A,#N/A,TRUE,"소목차1";#N/A,#N/A,TRUE,"계획표";#N/A,#N/A,TRUE,"분양일정";#N/A,#N/A,TRUE,"소목차2";#N/A,#N/A,TRUE,"사업개요 ";#N/A,#N/A,TRUE,"환경분석";#N/A,#N/A,TRUE,"사업여건 분석";#N/A,#N/A,TRUE,"소목차3";#N/A,#N/A,TRUE,"적정분양가";#N/A,#N/A,TRUE,"분양가 1안(선택).";#N/A,#N/A,TRUE,"시세1";#N/A,#N/A,TRUE,"시세2";#N/A,#N/A,TRUE,"시세3";#N/A,#N/A,TRUE,"시세4";#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제기동._.분양교안." localSheetId="24"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wrn.제기동._.분양교안." localSheetId="18"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wrn.제기동._.분양교안." localSheetId="25"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wrn.제기동._.분양교안."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wrn.조골재." localSheetId="24" hidden="1">{#N/A,#N/A,FALSE,"조골재"}</definedName>
    <definedName name="wrn.조골재." localSheetId="18" hidden="1">{#N/A,#N/A,FALSE,"조골재"}</definedName>
    <definedName name="wrn.조골재." localSheetId="25" hidden="1">{#N/A,#N/A,FALSE,"조골재"}</definedName>
    <definedName name="wrn.조골재." hidden="1">{#N/A,#N/A,FALSE,"조골재"}</definedName>
    <definedName name="wrn.조흥94세무." localSheetId="24"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 localSheetId="18"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 localSheetId="25"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_1" localSheetId="24"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_1" localSheetId="18"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_1" localSheetId="25"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_1"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축약94."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 localSheetId="25"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_1"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_1"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_1" localSheetId="25"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_1"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주간._.보고." localSheetId="24" hidden="1">{#N/A,#N/A,TRUE,"일정"}</definedName>
    <definedName name="wrn.주간._.보고." localSheetId="18" hidden="1">{#N/A,#N/A,TRUE,"일정"}</definedName>
    <definedName name="wrn.주간._.보고." localSheetId="25" hidden="1">{#N/A,#N/A,TRUE,"일정"}</definedName>
    <definedName name="wrn.주간._.보고." hidden="1">{#N/A,#N/A,TRUE,"일정"}</definedName>
    <definedName name="wrn.중공업군포견적서." localSheetId="24" hidden="1">{#N/A,#N/A,FALSE,"견적갑지";#N/A,#N/A,FALSE,"총괄표";#N/A,#N/A,FALSE,"철골공사";#N/A,#N/A,FALSE,"토목공사";#N/A,#N/A,FALSE,"판넬전기공사"}</definedName>
    <definedName name="wrn.중공업군포견적서." localSheetId="18" hidden="1">{#N/A,#N/A,FALSE,"견적갑지";#N/A,#N/A,FALSE,"총괄표";#N/A,#N/A,FALSE,"철골공사";#N/A,#N/A,FALSE,"토목공사";#N/A,#N/A,FALSE,"판넬전기공사"}</definedName>
    <definedName name="wrn.중공업군포견적서." localSheetId="25" hidden="1">{#N/A,#N/A,FALSE,"견적갑지";#N/A,#N/A,FALSE,"총괄표";#N/A,#N/A,FALSE,"철골공사";#N/A,#N/A,FALSE,"토목공사";#N/A,#N/A,FALSE,"판넬전기공사"}</definedName>
    <definedName name="wrn.중공업군포견적서." hidden="1">{#N/A,#N/A,FALSE,"견적갑지";#N/A,#N/A,FALSE,"총괄표";#N/A,#N/A,FALSE,"철골공사";#N/A,#N/A,FALSE,"토목공사";#N/A,#N/A,FALSE,"판넬전기공사"}</definedName>
    <definedName name="wrn.重説." localSheetId="24" hidden="1">{#N/A,#N/A,FALSE,"１";#N/A,#N/A,FALSE,"２";#N/A,#N/A,FALSE,"３";#N/A,#N/A,FALSE,"４"}</definedName>
    <definedName name="wrn.重説." localSheetId="18" hidden="1">{#N/A,#N/A,FALSE,"１";#N/A,#N/A,FALSE,"２";#N/A,#N/A,FALSE,"３";#N/A,#N/A,FALSE,"４"}</definedName>
    <definedName name="wrn.重説." localSheetId="25" hidden="1">{#N/A,#N/A,FALSE,"１";#N/A,#N/A,FALSE,"２";#N/A,#N/A,FALSE,"３";#N/A,#N/A,FALSE,"４"}</definedName>
    <definedName name="wrn.重説." hidden="1">{#N/A,#N/A,FALSE,"１";#N/A,#N/A,FALSE,"２";#N/A,#N/A,FALSE,"３";#N/A,#N/A,FALSE,"４"}</definedName>
    <definedName name="wrn.직원교육." localSheetId="24" hidden="1">{#N/A,#N/A,FALSE,"예상질문";#N/A,#N/A,FALSE,"예상질문2";#N/A,#N/A,FALSE,"사업개요";#N/A,#N/A,FALSE,"청약일정";#N/A,#N/A,FALSE,"4차 참여업체1";#N/A,#N/A,FALSE,"4차 참여업체2";#N/A,#N/A,FALSE,"단지조감도,배치도";#N/A,#N/A,FALSE,"단지특장점";#N/A,#N/A,FALSE,"입면도";#N/A,#N/A,FALSE,"평형별 공통 특장점";#N/A,#N/A,FALSE,"32a평형";#N/A,#N/A,FALSE,"평형별 특장점 32A";#N/A,#N/A,FALSE,"32b평형";#N/A,#N/A,FALSE,"평형별 특장점 32B";#N/A,#N/A,FALSE,"23평형";#N/A,#N/A,FALSE,"평형별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직원교육." localSheetId="18" hidden="1">{#N/A,#N/A,FALSE,"예상질문";#N/A,#N/A,FALSE,"예상질문2";#N/A,#N/A,FALSE,"사업개요";#N/A,#N/A,FALSE,"청약일정";#N/A,#N/A,FALSE,"4차 참여업체1";#N/A,#N/A,FALSE,"4차 참여업체2";#N/A,#N/A,FALSE,"단지조감도,배치도";#N/A,#N/A,FALSE,"단지특장점";#N/A,#N/A,FALSE,"입면도";#N/A,#N/A,FALSE,"평형별 공통 특장점";#N/A,#N/A,FALSE,"32a평형";#N/A,#N/A,FALSE,"평형별 특장점 32A";#N/A,#N/A,FALSE,"32b평형";#N/A,#N/A,FALSE,"평형별 특장점 32B";#N/A,#N/A,FALSE,"23평형";#N/A,#N/A,FALSE,"평형별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직원교육." localSheetId="25" hidden="1">{#N/A,#N/A,FALSE,"예상질문";#N/A,#N/A,FALSE,"예상질문2";#N/A,#N/A,FALSE,"사업개요";#N/A,#N/A,FALSE,"청약일정";#N/A,#N/A,FALSE,"4차 참여업체1";#N/A,#N/A,FALSE,"4차 참여업체2";#N/A,#N/A,FALSE,"단지조감도,배치도";#N/A,#N/A,FALSE,"단지특장점";#N/A,#N/A,FALSE,"입면도";#N/A,#N/A,FALSE,"평형별 공통 특장점";#N/A,#N/A,FALSE,"32a평형";#N/A,#N/A,FALSE,"평형별 특장점 32A";#N/A,#N/A,FALSE,"32b평형";#N/A,#N/A,FALSE,"평형별 특장점 32B";#N/A,#N/A,FALSE,"23평형";#N/A,#N/A,FALSE,"평형별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직원교육." hidden="1">{#N/A,#N/A,FALSE,"예상질문";#N/A,#N/A,FALSE,"예상질문2";#N/A,#N/A,FALSE,"사업개요";#N/A,#N/A,FALSE,"청약일정";#N/A,#N/A,FALSE,"4차 참여업체1";#N/A,#N/A,FALSE,"4차 참여업체2";#N/A,#N/A,FALSE,"단지조감도,배치도";#N/A,#N/A,FALSE,"단지특장점";#N/A,#N/A,FALSE,"입면도";#N/A,#N/A,FALSE,"평형별 공통 특장점";#N/A,#N/A,FALSE,"32a평형";#N/A,#N/A,FALSE,"평형별 특장점 32A";#N/A,#N/A,FALSE,"32b평형";#N/A,#N/A,FALSE,"평형별 특장점 32B";#N/A,#N/A,FALSE,"23평형";#N/A,#N/A,FALSE,"평형별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진흥." localSheetId="24" hidden="1">{#N/A,#N/A,TRUE,"사업자등록증 (2)"}</definedName>
    <definedName name="wrn.진흥." localSheetId="18" hidden="1">{#N/A,#N/A,TRUE,"사업자등록증 (2)"}</definedName>
    <definedName name="wrn.진흥." localSheetId="25" hidden="1">{#N/A,#N/A,TRUE,"사업자등록증 (2)"}</definedName>
    <definedName name="wrn.진흥." hidden="1">{#N/A,#N/A,TRUE,"사업자등록증 (2)"}</definedName>
    <definedName name="wrn.집기비품보고서._.품목별._.및._.현장별._.집계표." localSheetId="24" hidden="1">{#N/A,#N/A,FALSE,"Sheet6"}</definedName>
    <definedName name="wrn.집기비품보고서._.품목별._.및._.현장별._.집계표." localSheetId="18" hidden="1">{#N/A,#N/A,FALSE,"Sheet6"}</definedName>
    <definedName name="wrn.집기비품보고서._.품목별._.및._.현장별._.집계표." localSheetId="25" hidden="1">{#N/A,#N/A,FALSE,"Sheet6"}</definedName>
    <definedName name="wrn.집기비품보고서._.품목별._.및._.현장별._.집계표." hidden="1">{#N/A,#N/A,FALSE,"Sheet6"}</definedName>
    <definedName name="wrn.채권채무조회서." localSheetId="24" hidden="1">{#N/A,#N/A,FALSE,"채권채무";#N/A,#N/A,FALSE,"control sheet"}</definedName>
    <definedName name="wrn.채권채무조회서." localSheetId="18" hidden="1">{#N/A,#N/A,FALSE,"채권채무";#N/A,#N/A,FALSE,"control sheet"}</definedName>
    <definedName name="wrn.채권채무조회서." localSheetId="25" hidden="1">{#N/A,#N/A,FALSE,"채권채무";#N/A,#N/A,FALSE,"control sheet"}</definedName>
    <definedName name="wrn.채권채무조회서." hidden="1">{#N/A,#N/A,FALSE,"채권채무";#N/A,#N/A,FALSE,"control sheet"}</definedName>
    <definedName name="wrn.千代田地価調査収益価格." localSheetId="24" hidden="1">{#N/A,#N/A,FALSE,"5-1";#N/A,#N/A,FALSE,"5-2";#N/A,#N/A,FALSE,"5-6";#N/A,#N/A,FALSE,"5-9";#N/A,#N/A,FALSE,"5-15";#N/A,#N/A,FALSE,"5-32";#N/A,#N/A,FALSE,"5-34"}</definedName>
    <definedName name="wrn.千代田地価調査収益価格." localSheetId="18" hidden="1">{#N/A,#N/A,FALSE,"5-1";#N/A,#N/A,FALSE,"5-2";#N/A,#N/A,FALSE,"5-6";#N/A,#N/A,FALSE,"5-9";#N/A,#N/A,FALSE,"5-15";#N/A,#N/A,FALSE,"5-32";#N/A,#N/A,FALSE,"5-34"}</definedName>
    <definedName name="wrn.千代田地価調査収益価格." localSheetId="25" hidden="1">{#N/A,#N/A,FALSE,"5-1";#N/A,#N/A,FALSE,"5-2";#N/A,#N/A,FALSE,"5-6";#N/A,#N/A,FALSE,"5-9";#N/A,#N/A,FALSE,"5-15";#N/A,#N/A,FALSE,"5-32";#N/A,#N/A,FALSE,"5-34"}</definedName>
    <definedName name="wrn.千代田地価調査収益価格." hidden="1">{#N/A,#N/A,FALSE,"5-1";#N/A,#N/A,FALSE,"5-2";#N/A,#N/A,FALSE,"5-6";#N/A,#N/A,FALSE,"5-9";#N/A,#N/A,FALSE,"5-15";#N/A,#N/A,FALSE,"5-32";#N/A,#N/A,FALSE,"5-34"}</definedName>
    <definedName name="wrn.토공1." localSheetId="24" hidden="1">{#N/A,#N/A,FALSE,"구조1"}</definedName>
    <definedName name="wrn.토공1." localSheetId="18" hidden="1">{#N/A,#N/A,FALSE,"구조1"}</definedName>
    <definedName name="wrn.토공1." localSheetId="25" hidden="1">{#N/A,#N/A,FALSE,"구조1"}</definedName>
    <definedName name="wrn.토공1." hidden="1">{#N/A,#N/A,FALSE,"구조1"}</definedName>
    <definedName name="wrn.토공2." localSheetId="24" hidden="1">{#N/A,#N/A,FALSE,"토공2"}</definedName>
    <definedName name="wrn.토공2." localSheetId="18" hidden="1">{#N/A,#N/A,FALSE,"토공2"}</definedName>
    <definedName name="wrn.토공2." localSheetId="25" hidden="1">{#N/A,#N/A,FALSE,"토공2"}</definedName>
    <definedName name="wrn.토공2." hidden="1">{#N/A,#N/A,FALSE,"토공2"}</definedName>
    <definedName name="wrn.통신지." localSheetId="24" hidden="1">{#N/A,#N/A,FALSE,"기안지";#N/A,#N/A,FALSE,"통신지"}</definedName>
    <definedName name="wrn.통신지." localSheetId="18" hidden="1">{#N/A,#N/A,FALSE,"기안지";#N/A,#N/A,FALSE,"통신지"}</definedName>
    <definedName name="wrn.통신지." localSheetId="25" hidden="1">{#N/A,#N/A,FALSE,"기안지";#N/A,#N/A,FALSE,"통신지"}</definedName>
    <definedName name="wrn.통신지." hidden="1">{#N/A,#N/A,FALSE,"기안지";#N/A,#N/A,FALSE,"통신지"}</definedName>
    <definedName name="wrn.판유리예산." localSheetId="24"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wrn.판유리예산." localSheetId="18"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wrn.판유리예산." localSheetId="25"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wrn.판유리예산."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wrn.평촌." localSheetId="24" hidden="1">{#N/A,#N/A,FALSE,"표지";#N/A,#N/A,FALSE,"제출문";#N/A,#N/A,FALSE,"목차";#N/A,#N/A,FALSE,"소목차(1)";#N/A,#N/A,FALSE,"경제전망";#N/A,#N/A,FALSE,"부동산전망";#N/A,#N/A,FALSE,"투자환경(1)";#N/A,#N/A,FALSE,"투자환경(2)";#N/A,#N/A,FALSE,"투자환경(3)";#N/A,#N/A,FALSE,"투자환경(4)";#N/A,#N/A,FALSE,"소목차(2)";#N/A,#N/A,FALSE,"사업개요";#N/A,#N/A,FALSE,"프로젝트분석";#N/A,#N/A,FALSE,"프로젝트평가";#N/A,#N/A,FALSE,"소목차(3)";#N/A,#N/A,FALSE,"공급사례(1)";#N/A,#N/A,FALSE,"공급사례(2)";#N/A,#N/A,FALSE,"상권분석";#N/A,#N/A,FALSE,"상권분석 (2)";#N/A,#N/A,FALSE,"상품최적화(1)";#N/A,#N/A,FALSE,"상품최적화(2)";#N/A,#N/A,FALSE,"상품최적화(3)";#N/A,#N/A,FALSE,"소목차(4)";#N/A,#N/A,FALSE,"기본전제";#N/A,#N/A,FALSE,"적정분양가";#N/A,#N/A,FALSE,"적정분양가(1)";#N/A,#N/A,FALSE,"적정분양가(2)";#N/A,#N/A,FALSE,"적정분양가(3)";#N/A,#N/A,FALSE,"적정분양가(4)";#N/A,#N/A,FALSE,"적정분양가(5)";#N/A,#N/A,FALSE,"target(1)";#N/A,#N/A,FALSE,"target(2)";#N/A,#N/A,FALSE,"소목차(5)";#N/A,#N/A,FALSE,"분양전략수립전제";#N/A,#N/A,FALSE,"단계별분양전략";#N/A,#N/A,FALSE,"분양전략흐름도";#N/A,#N/A,FALSE,"분양활동방향";#N/A,#N/A,FALSE,"Pre-m";#N/A,#N/A,FALSE,"부동산우군화방안";#N/A,#N/A,FALSE,"기타영업전략(1)";#N/A,#N/A,FALSE,"기타영업전략(2)";#N/A,#N/A,FALSE,"분양사무실운영";#N/A,#N/A,FALSE,"분양조직운영";#N/A,#N/A,FALSE,"조직도";#N/A,#N/A,FALSE,"세부업무분장";#N/A,#N/A,FALSE,"소목차(6)";#N/A,#N/A,FALSE,"분양목표";#N/A,#N/A,FALSE,"분양대행수수료 ";#N/A,#N/A,FALSE,"컨설팅실적(1)";#N/A,#N/A,FALSE,"컨설팅실적(2)";#N/A,#N/A,FALSE,"컨설팅실적(3)";#N/A,#N/A,FALSE,"조직도 "}</definedName>
    <definedName name="wrn.평촌." localSheetId="18" hidden="1">{#N/A,#N/A,FALSE,"표지";#N/A,#N/A,FALSE,"제출문";#N/A,#N/A,FALSE,"목차";#N/A,#N/A,FALSE,"소목차(1)";#N/A,#N/A,FALSE,"경제전망";#N/A,#N/A,FALSE,"부동산전망";#N/A,#N/A,FALSE,"투자환경(1)";#N/A,#N/A,FALSE,"투자환경(2)";#N/A,#N/A,FALSE,"투자환경(3)";#N/A,#N/A,FALSE,"투자환경(4)";#N/A,#N/A,FALSE,"소목차(2)";#N/A,#N/A,FALSE,"사업개요";#N/A,#N/A,FALSE,"프로젝트분석";#N/A,#N/A,FALSE,"프로젝트평가";#N/A,#N/A,FALSE,"소목차(3)";#N/A,#N/A,FALSE,"공급사례(1)";#N/A,#N/A,FALSE,"공급사례(2)";#N/A,#N/A,FALSE,"상권분석";#N/A,#N/A,FALSE,"상권분석 (2)";#N/A,#N/A,FALSE,"상품최적화(1)";#N/A,#N/A,FALSE,"상품최적화(2)";#N/A,#N/A,FALSE,"상품최적화(3)";#N/A,#N/A,FALSE,"소목차(4)";#N/A,#N/A,FALSE,"기본전제";#N/A,#N/A,FALSE,"적정분양가";#N/A,#N/A,FALSE,"적정분양가(1)";#N/A,#N/A,FALSE,"적정분양가(2)";#N/A,#N/A,FALSE,"적정분양가(3)";#N/A,#N/A,FALSE,"적정분양가(4)";#N/A,#N/A,FALSE,"적정분양가(5)";#N/A,#N/A,FALSE,"target(1)";#N/A,#N/A,FALSE,"target(2)";#N/A,#N/A,FALSE,"소목차(5)";#N/A,#N/A,FALSE,"분양전략수립전제";#N/A,#N/A,FALSE,"단계별분양전략";#N/A,#N/A,FALSE,"분양전략흐름도";#N/A,#N/A,FALSE,"분양활동방향";#N/A,#N/A,FALSE,"Pre-m";#N/A,#N/A,FALSE,"부동산우군화방안";#N/A,#N/A,FALSE,"기타영업전략(1)";#N/A,#N/A,FALSE,"기타영업전략(2)";#N/A,#N/A,FALSE,"분양사무실운영";#N/A,#N/A,FALSE,"분양조직운영";#N/A,#N/A,FALSE,"조직도";#N/A,#N/A,FALSE,"세부업무분장";#N/A,#N/A,FALSE,"소목차(6)";#N/A,#N/A,FALSE,"분양목표";#N/A,#N/A,FALSE,"분양대행수수료 ";#N/A,#N/A,FALSE,"컨설팅실적(1)";#N/A,#N/A,FALSE,"컨설팅실적(2)";#N/A,#N/A,FALSE,"컨설팅실적(3)";#N/A,#N/A,FALSE,"조직도 "}</definedName>
    <definedName name="wrn.평촌." localSheetId="25" hidden="1">{#N/A,#N/A,FALSE,"표지";#N/A,#N/A,FALSE,"제출문";#N/A,#N/A,FALSE,"목차";#N/A,#N/A,FALSE,"소목차(1)";#N/A,#N/A,FALSE,"경제전망";#N/A,#N/A,FALSE,"부동산전망";#N/A,#N/A,FALSE,"투자환경(1)";#N/A,#N/A,FALSE,"투자환경(2)";#N/A,#N/A,FALSE,"투자환경(3)";#N/A,#N/A,FALSE,"투자환경(4)";#N/A,#N/A,FALSE,"소목차(2)";#N/A,#N/A,FALSE,"사업개요";#N/A,#N/A,FALSE,"프로젝트분석";#N/A,#N/A,FALSE,"프로젝트평가";#N/A,#N/A,FALSE,"소목차(3)";#N/A,#N/A,FALSE,"공급사례(1)";#N/A,#N/A,FALSE,"공급사례(2)";#N/A,#N/A,FALSE,"상권분석";#N/A,#N/A,FALSE,"상권분석 (2)";#N/A,#N/A,FALSE,"상품최적화(1)";#N/A,#N/A,FALSE,"상품최적화(2)";#N/A,#N/A,FALSE,"상품최적화(3)";#N/A,#N/A,FALSE,"소목차(4)";#N/A,#N/A,FALSE,"기본전제";#N/A,#N/A,FALSE,"적정분양가";#N/A,#N/A,FALSE,"적정분양가(1)";#N/A,#N/A,FALSE,"적정분양가(2)";#N/A,#N/A,FALSE,"적정분양가(3)";#N/A,#N/A,FALSE,"적정분양가(4)";#N/A,#N/A,FALSE,"적정분양가(5)";#N/A,#N/A,FALSE,"target(1)";#N/A,#N/A,FALSE,"target(2)";#N/A,#N/A,FALSE,"소목차(5)";#N/A,#N/A,FALSE,"분양전략수립전제";#N/A,#N/A,FALSE,"단계별분양전략";#N/A,#N/A,FALSE,"분양전략흐름도";#N/A,#N/A,FALSE,"분양활동방향";#N/A,#N/A,FALSE,"Pre-m";#N/A,#N/A,FALSE,"부동산우군화방안";#N/A,#N/A,FALSE,"기타영업전략(1)";#N/A,#N/A,FALSE,"기타영업전략(2)";#N/A,#N/A,FALSE,"분양사무실운영";#N/A,#N/A,FALSE,"분양조직운영";#N/A,#N/A,FALSE,"조직도";#N/A,#N/A,FALSE,"세부업무분장";#N/A,#N/A,FALSE,"소목차(6)";#N/A,#N/A,FALSE,"분양목표";#N/A,#N/A,FALSE,"분양대행수수료 ";#N/A,#N/A,FALSE,"컨설팅실적(1)";#N/A,#N/A,FALSE,"컨설팅실적(2)";#N/A,#N/A,FALSE,"컨설팅실적(3)";#N/A,#N/A,FALSE,"조직도 "}</definedName>
    <definedName name="wrn.평촌." hidden="1">{#N/A,#N/A,FALSE,"표지";#N/A,#N/A,FALSE,"제출문";#N/A,#N/A,FALSE,"목차";#N/A,#N/A,FALSE,"소목차(1)";#N/A,#N/A,FALSE,"경제전망";#N/A,#N/A,FALSE,"부동산전망";#N/A,#N/A,FALSE,"투자환경(1)";#N/A,#N/A,FALSE,"투자환경(2)";#N/A,#N/A,FALSE,"투자환경(3)";#N/A,#N/A,FALSE,"투자환경(4)";#N/A,#N/A,FALSE,"소목차(2)";#N/A,#N/A,FALSE,"사업개요";#N/A,#N/A,FALSE,"프로젝트분석";#N/A,#N/A,FALSE,"프로젝트평가";#N/A,#N/A,FALSE,"소목차(3)";#N/A,#N/A,FALSE,"공급사례(1)";#N/A,#N/A,FALSE,"공급사례(2)";#N/A,#N/A,FALSE,"상권분석";#N/A,#N/A,FALSE,"상권분석 (2)";#N/A,#N/A,FALSE,"상품최적화(1)";#N/A,#N/A,FALSE,"상품최적화(2)";#N/A,#N/A,FALSE,"상품최적화(3)";#N/A,#N/A,FALSE,"소목차(4)";#N/A,#N/A,FALSE,"기본전제";#N/A,#N/A,FALSE,"적정분양가";#N/A,#N/A,FALSE,"적정분양가(1)";#N/A,#N/A,FALSE,"적정분양가(2)";#N/A,#N/A,FALSE,"적정분양가(3)";#N/A,#N/A,FALSE,"적정분양가(4)";#N/A,#N/A,FALSE,"적정분양가(5)";#N/A,#N/A,FALSE,"target(1)";#N/A,#N/A,FALSE,"target(2)";#N/A,#N/A,FALSE,"소목차(5)";#N/A,#N/A,FALSE,"분양전략수립전제";#N/A,#N/A,FALSE,"단계별분양전략";#N/A,#N/A,FALSE,"분양전략흐름도";#N/A,#N/A,FALSE,"분양활동방향";#N/A,#N/A,FALSE,"Pre-m";#N/A,#N/A,FALSE,"부동산우군화방안";#N/A,#N/A,FALSE,"기타영업전략(1)";#N/A,#N/A,FALSE,"기타영업전략(2)";#N/A,#N/A,FALSE,"분양사무실운영";#N/A,#N/A,FALSE,"분양조직운영";#N/A,#N/A,FALSE,"조직도";#N/A,#N/A,FALSE,"세부업무분장";#N/A,#N/A,FALSE,"소목차(6)";#N/A,#N/A,FALSE,"분양목표";#N/A,#N/A,FALSE,"분양대행수수료 ";#N/A,#N/A,FALSE,"컨설팅실적(1)";#N/A,#N/A,FALSE,"컨설팅실적(2)";#N/A,#N/A,FALSE,"컨설팅실적(3)";#N/A,#N/A,FALSE,"조직도 "}</definedName>
    <definedName name="wrn.포장1." localSheetId="24" hidden="1">{#N/A,#N/A,FALSE,"포장1";#N/A,#N/A,FALSE,"포장1"}</definedName>
    <definedName name="wrn.포장1." localSheetId="18" hidden="1">{#N/A,#N/A,FALSE,"포장1";#N/A,#N/A,FALSE,"포장1"}</definedName>
    <definedName name="wrn.포장1." localSheetId="25" hidden="1">{#N/A,#N/A,FALSE,"포장1";#N/A,#N/A,FALSE,"포장1"}</definedName>
    <definedName name="wrn.포장1." hidden="1">{#N/A,#N/A,FALSE,"포장1";#N/A,#N/A,FALSE,"포장1"}</definedName>
    <definedName name="wrn.포장2." localSheetId="24" hidden="1">{#N/A,#N/A,FALSE,"포장2"}</definedName>
    <definedName name="wrn.포장2." localSheetId="18" hidden="1">{#N/A,#N/A,FALSE,"포장2"}</definedName>
    <definedName name="wrn.포장2." localSheetId="25" hidden="1">{#N/A,#N/A,FALSE,"포장2"}</definedName>
    <definedName name="wrn.포장2." hidden="1">{#N/A,#N/A,FALSE,"포장2"}</definedName>
    <definedName name="wrn.포장단가." localSheetId="24" hidden="1">{#N/A,#N/A,FALSE,"포장단가"}</definedName>
    <definedName name="wrn.포장단가." localSheetId="18" hidden="1">{#N/A,#N/A,FALSE,"포장단가"}</definedName>
    <definedName name="wrn.포장단가." localSheetId="25" hidden="1">{#N/A,#N/A,FALSE,"포장단가"}</definedName>
    <definedName name="wrn.포장단가." hidden="1">{#N/A,#N/A,FALSE,"포장단가"}</definedName>
    <definedName name="wrn.포항강판." localSheetId="24" hidden="1">{"현수",#N/A,FALSE,"월추정감가상각비"}</definedName>
    <definedName name="wrn.포항강판." localSheetId="18" hidden="1">{"현수",#N/A,FALSE,"월추정감가상각비"}</definedName>
    <definedName name="wrn.포항강판." localSheetId="25" hidden="1">{"현수",#N/A,FALSE,"월추정감가상각비"}</definedName>
    <definedName name="wrn.포항강판." hidden="1">{"현수",#N/A,FALSE,"월추정감가상각비"}</definedName>
    <definedName name="wrn.표지목차." localSheetId="24" hidden="1">{#N/A,#N/A,FALSE,"표지목차"}</definedName>
    <definedName name="wrn.표지목차." localSheetId="18" hidden="1">{#N/A,#N/A,FALSE,"표지목차"}</definedName>
    <definedName name="wrn.표지목차." localSheetId="25" hidden="1">{#N/A,#N/A,FALSE,"표지목차"}</definedName>
    <definedName name="wrn.표지목차." hidden="1">{#N/A,#N/A,FALSE,"표지목차"}</definedName>
    <definedName name="wrn.함영민." localSheetId="24" hidden="1">{#N/A,#N/A,FALSE,"범우구미";#N/A,#N/A,FALSE,"세한케미칼";#N/A,#N/A,FALSE,"세명화학";#N/A,#N/A,FALSE,"신영케미칼";#N/A,#N/A,FALSE,"일석상사"}</definedName>
    <definedName name="wrn.함영민." localSheetId="18" hidden="1">{#N/A,#N/A,FALSE,"범우구미";#N/A,#N/A,FALSE,"세한케미칼";#N/A,#N/A,FALSE,"세명화학";#N/A,#N/A,FALSE,"신영케미칼";#N/A,#N/A,FALSE,"일석상사"}</definedName>
    <definedName name="wrn.함영민." localSheetId="25" hidden="1">{#N/A,#N/A,FALSE,"범우구미";#N/A,#N/A,FALSE,"세한케미칼";#N/A,#N/A,FALSE,"세명화학";#N/A,#N/A,FALSE,"신영케미칼";#N/A,#N/A,FALSE,"일석상사"}</definedName>
    <definedName name="wrn.함영민." hidden="1">{#N/A,#N/A,FALSE,"범우구미";#N/A,#N/A,FALSE,"세한케미칼";#N/A,#N/A,FALSE,"세명화학";#N/A,#N/A,FALSE,"신영케미칼";#N/A,#N/A,FALSE,"일석상사"}</definedName>
    <definedName name="wrn.현장._.NCR._.분석." localSheetId="24" hidden="1">{#N/A,#N/A,FALSE,"현장 NCR 분석";#N/A,#N/A,FALSE,"현장품질감사";#N/A,#N/A,FALSE,"현장품질감사"}</definedName>
    <definedName name="wrn.현장._.NCR._.분석." localSheetId="18" hidden="1">{#N/A,#N/A,FALSE,"현장 NCR 분석";#N/A,#N/A,FALSE,"현장품질감사";#N/A,#N/A,FALSE,"현장품질감사"}</definedName>
    <definedName name="wrn.현장._.NCR._.분석." localSheetId="25" hidden="1">{#N/A,#N/A,FALSE,"현장 NCR 분석";#N/A,#N/A,FALSE,"현장품질감사";#N/A,#N/A,FALSE,"현장품질감사"}</definedName>
    <definedName name="wrn.현장._.NCR._.분석." hidden="1">{#N/A,#N/A,FALSE,"현장 NCR 분석";#N/A,#N/A,FALSE,"현장품질감사";#N/A,#N/A,FALSE,"현장품질감사"}</definedName>
    <definedName name="wrn.혼합골재." localSheetId="24" hidden="1">{#N/A,#N/A,FALSE,"혼합골재"}</definedName>
    <definedName name="wrn.혼합골재." localSheetId="18" hidden="1">{#N/A,#N/A,FALSE,"혼합골재"}</definedName>
    <definedName name="wrn.혼합골재." localSheetId="25" hidden="1">{#N/A,#N/A,FALSE,"혼합골재"}</definedName>
    <definedName name="wrn.혼합골재." hidden="1">{#N/A,#N/A,FALSE,"혼합골재"}</definedName>
    <definedName name="wrty" localSheetId="24" hidden="1">{"'용역비'!$A$4:$C$8"}</definedName>
    <definedName name="wrty" localSheetId="18" hidden="1">{"'용역비'!$A$4:$C$8"}</definedName>
    <definedName name="wrty" localSheetId="25" hidden="1">{"'용역비'!$A$4:$C$8"}</definedName>
    <definedName name="wrty" hidden="1">{"'용역비'!$A$4:$C$8"}</definedName>
    <definedName name="wrtyrtyrt" localSheetId="24" hidden="1">{"'용역비'!$A$4:$C$8"}</definedName>
    <definedName name="wrtyrtyrt" localSheetId="18" hidden="1">{"'용역비'!$A$4:$C$8"}</definedName>
    <definedName name="wrtyrtyrt" localSheetId="25" hidden="1">{"'용역비'!$A$4:$C$8"}</definedName>
    <definedName name="wrtyrtyrt" hidden="1">{"'용역비'!$A$4:$C$8"}</definedName>
    <definedName name="wrtywrtywr" localSheetId="24" hidden="1">{"'용역비'!$A$4:$C$8"}</definedName>
    <definedName name="wrtywrtywr" localSheetId="18" hidden="1">{"'용역비'!$A$4:$C$8"}</definedName>
    <definedName name="wrtywrtywr" localSheetId="25" hidden="1">{"'용역비'!$A$4:$C$8"}</definedName>
    <definedName name="wrtywrtywr" hidden="1">{"'용역비'!$A$4:$C$8"}</definedName>
    <definedName name="wrwr" localSheetId="24" hidden="1">{"ｹﾝﾄ（M)",#N/A,FALSE,"収支・日割";"ｹﾝﾄ（RD)",#N/A,FALSE,"収支・日割";"ｹﾝﾄ（PMC)",#N/A,FALSE,"収支・日割"}</definedName>
    <definedName name="wrwr" localSheetId="18" hidden="1">{"ｹﾝﾄ（M)",#N/A,FALSE,"収支・日割";"ｹﾝﾄ（RD)",#N/A,FALSE,"収支・日割";"ｹﾝﾄ（PMC)",#N/A,FALSE,"収支・日割"}</definedName>
    <definedName name="wrwr" localSheetId="25" hidden="1">{"ｹﾝﾄ（M)",#N/A,FALSE,"収支・日割";"ｹﾝﾄ（RD)",#N/A,FALSE,"収支・日割";"ｹﾝﾄ（PMC)",#N/A,FALSE,"収支・日割"}</definedName>
    <definedName name="wrwr" hidden="1">{"ｹﾝﾄ（M)",#N/A,FALSE,"収支・日割";"ｹﾝﾄ（RD)",#N/A,FALSE,"収支・日割";"ｹﾝﾄ（PMC)",#N/A,FALSE,"収支・日割"}</definedName>
    <definedName name="wuy" localSheetId="24" hidden="1">{"'용역비'!$A$4:$C$8"}</definedName>
    <definedName name="wuy" localSheetId="18" hidden="1">{"'용역비'!$A$4:$C$8"}</definedName>
    <definedName name="wuy" localSheetId="25" hidden="1">{"'용역비'!$A$4:$C$8"}</definedName>
    <definedName name="wuy" hidden="1">{"'용역비'!$A$4:$C$8"}</definedName>
    <definedName name="wvu.Annual._.Bgt." localSheetId="24" hidden="1">{TRUE,TRUE,-1.25,-15.5,604.5,366.75,FALSE,TRUE,TRUE,TRUE,0,1,#N/A,1,#N/A,15.5641025641026,26.8620689655172,1,FALSE,FALSE,3,FALSE,1,FALSE,90,"Swvu.Annual._.Bgt.","ACwvu.Annual._.Bgt.",#N/A,FALSE,FALSE,1.7,0.1,0.5,1,2,"","&amp;L&amp;8&amp;F :&amp;A&amp;C&amp;8Page &amp;P of &amp;N&amp;R&amp;8&amp;D  &amp;T",TRUE,FALSE,FALSE,FALSE,1,65,#N/A,#N/A,"=R6C1:R114C16",FALSE,"Rwvu.Annual._.Bgt.",#N/A,FALSE,FALSE,TRUE,9,#N/A,#N/A,FALSE,FALSE,TRUE,TRUE,TRUE}</definedName>
    <definedName name="wvu.Annual._.Bgt." localSheetId="18" hidden="1">{TRUE,TRUE,-1.25,-15.5,604.5,366.75,FALSE,TRUE,TRUE,TRUE,0,1,#N/A,1,#N/A,15.5641025641026,26.8620689655172,1,FALSE,FALSE,3,FALSE,1,FALSE,90,"Swvu.Annual._.Bgt.","ACwvu.Annual._.Bgt.",#N/A,FALSE,FALSE,1.7,0.1,0.5,1,2,"","&amp;L&amp;8&amp;F :&amp;A&amp;C&amp;8Page &amp;P of &amp;N&amp;R&amp;8&amp;D  &amp;T",TRUE,FALSE,FALSE,FALSE,1,65,#N/A,#N/A,"=R6C1:R114C16",FALSE,"Rwvu.Annual._.Bgt.",#N/A,FALSE,FALSE,TRUE,9,#N/A,#N/A,FALSE,FALSE,TRUE,TRUE,TRUE}</definedName>
    <definedName name="wvu.Annual._.Bgt." localSheetId="25" hidden="1">{TRUE,TRUE,-1.25,-15.5,604.5,366.75,FALSE,TRUE,TRUE,TRUE,0,1,#N/A,1,#N/A,15.5641025641026,26.8620689655172,1,FALSE,FALSE,3,FALSE,1,FALSE,90,"Swvu.Annual._.Bgt.","ACwvu.Annual._.Bgt.",#N/A,FALSE,FALSE,1.7,0.1,0.5,1,2,"","&amp;L&amp;8&amp;F :&amp;A&amp;C&amp;8Page &amp;P of &amp;N&amp;R&amp;8&amp;D  &amp;T",TRUE,FALSE,FALSE,FALSE,1,65,#N/A,#N/A,"=R6C1:R114C16",FALSE,"Rwvu.Annual._.Bgt.",#N/A,FALSE,FALSE,TRUE,9,#N/A,#N/A,FALSE,FALSE,TRUE,TRUE,TRUE}</definedName>
    <definedName name="wvu.Annual._.Bgt." hidden="1">{TRUE,TRUE,-1.25,-15.5,604.5,366.75,FALSE,TRUE,TRUE,TRUE,0,1,#N/A,1,#N/A,15.5641025641026,26.8620689655172,1,FALSE,FALSE,3,FALSE,1,FALSE,90,"Swvu.Annual._.Bgt.","ACwvu.Annual._.Bgt.",#N/A,FALSE,FALSE,1.7,0.1,0.5,1,2,"","&amp;L&amp;8&amp;F :&amp;A&amp;C&amp;8Page &amp;P of &amp;N&amp;R&amp;8&amp;D  &amp;T",TRUE,FALSE,FALSE,FALSE,1,65,#N/A,#N/A,"=R6C1:R114C16",FALSE,"Rwvu.Annual._.Bgt.",#N/A,FALSE,FALSE,TRUE,9,#N/A,#N/A,FALSE,FALSE,TRUE,TRUE,TRUE}</definedName>
    <definedName name="wvu.Creditors._.HO._.Summary." localSheetId="24" hidden="1">{TRUE,TRUE,-1.25,-15.5,604.5,366.75,FALSE,TRUE,TRUE,TRUE,0,1,#N/A,1,#N/A,14.7592592592593,27.5,1,FALSE,FALSE,3,FALSE,1,FALSE,85,"Swvu.Creditors._.HO._.Summary.","ACwvu.Creditors._.HO._.Summary.",#N/A,FALSE,FALSE,1,0.5,0.5,0.5,1,"","&amp;L&amp;8&amp;F :&amp;A&amp;C&amp;8Page &amp;P of &amp;N&amp;R&amp;8&amp;D  &amp;T",TRUE,FALSE,FALSE,FALSE,1,85,#N/A,#N/A,"=R14C1:R55C10","=R1:R13","Rwvu.Creditors._.HO._.Summary.",#N/A,FALSE,FALSE,TRUE,9,#N/A,#N/A,FALSE,FALSE,TRUE,TRUE,TRUE}</definedName>
    <definedName name="wvu.Creditors._.HO._.Summary." localSheetId="18" hidden="1">{TRUE,TRUE,-1.25,-15.5,604.5,366.75,FALSE,TRUE,TRUE,TRUE,0,1,#N/A,1,#N/A,14.7592592592593,27.5,1,FALSE,FALSE,3,FALSE,1,FALSE,85,"Swvu.Creditors._.HO._.Summary.","ACwvu.Creditors._.HO._.Summary.",#N/A,FALSE,FALSE,1,0.5,0.5,0.5,1,"","&amp;L&amp;8&amp;F :&amp;A&amp;C&amp;8Page &amp;P of &amp;N&amp;R&amp;8&amp;D  &amp;T",TRUE,FALSE,FALSE,FALSE,1,85,#N/A,#N/A,"=R14C1:R55C10","=R1:R13","Rwvu.Creditors._.HO._.Summary.",#N/A,FALSE,FALSE,TRUE,9,#N/A,#N/A,FALSE,FALSE,TRUE,TRUE,TRUE}</definedName>
    <definedName name="wvu.Creditors._.HO._.Summary." localSheetId="25" hidden="1">{TRUE,TRUE,-1.25,-15.5,604.5,366.75,FALSE,TRUE,TRUE,TRUE,0,1,#N/A,1,#N/A,14.7592592592593,27.5,1,FALSE,FALSE,3,FALSE,1,FALSE,85,"Swvu.Creditors._.HO._.Summary.","ACwvu.Creditors._.HO._.Summary.",#N/A,FALSE,FALSE,1,0.5,0.5,0.5,1,"","&amp;L&amp;8&amp;F :&amp;A&amp;C&amp;8Page &amp;P of &amp;N&amp;R&amp;8&amp;D  &amp;T",TRUE,FALSE,FALSE,FALSE,1,85,#N/A,#N/A,"=R14C1:R55C10","=R1:R13","Rwvu.Creditors._.HO._.Summary.",#N/A,FALSE,FALSE,TRUE,9,#N/A,#N/A,FALSE,FALSE,TRUE,TRUE,TRUE}</definedName>
    <definedName name="wvu.Creditors._.HO._.Summary." hidden="1">{TRUE,TRUE,-1.25,-15.5,604.5,366.75,FALSE,TRUE,TRUE,TRUE,0,1,#N/A,1,#N/A,14.7592592592593,27.5,1,FALSE,FALSE,3,FALSE,1,FALSE,85,"Swvu.Creditors._.HO._.Summary.","ACwvu.Creditors._.HO._.Summary.",#N/A,FALSE,FALSE,1,0.5,0.5,0.5,1,"","&amp;L&amp;8&amp;F :&amp;A&amp;C&amp;8Page &amp;P of &amp;N&amp;R&amp;8&amp;D  &amp;T",TRUE,FALSE,FALSE,FALSE,1,85,#N/A,#N/A,"=R14C1:R55C10","=R1:R13","Rwvu.Creditors._.HO._.Summary.",#N/A,FALSE,FALSE,TRUE,9,#N/A,#N/A,FALSE,FALSE,TRUE,TRUE,TRUE}</definedName>
    <definedName name="wvu.Debtors._.Input." localSheetId="24" hidden="1">{TRUE,TRUE,-1.25,-15.5,604.5,366.75,FALSE,TRUE,TRUE,TRUE,0,1,#N/A,1,#N/A,7.08333333333333,22.1764705882353,1,FALSE,FALSE,3,FALSE,1,FALSE,100,"Swvu.Debtors._.Input.","ACwvu.Debtors._.Input.",#N/A,FALSE,FALSE,1,0.5,0.5,0.5,1,"","&amp;L&amp;8&amp;F :&amp;A&amp;C&amp;8Page &amp;P of &amp;N&amp;R&amp;8&amp;D  &amp;T",TRUE,FALSE,FALSE,FALSE,1,#N/A,1,1,"=R14C1:R34C10","=R1:R13",#N/A,#N/A,FALSE,FALSE,FALSE,9,#N/A,#N/A,FALSE,FALSE,TRUE,TRUE,TRUE}</definedName>
    <definedName name="wvu.Debtors._.Input." localSheetId="18" hidden="1">{TRUE,TRUE,-1.25,-15.5,604.5,366.75,FALSE,TRUE,TRUE,TRUE,0,1,#N/A,1,#N/A,7.08333333333333,22.1764705882353,1,FALSE,FALSE,3,FALSE,1,FALSE,100,"Swvu.Debtors._.Input.","ACwvu.Debtors._.Input.",#N/A,FALSE,FALSE,1,0.5,0.5,0.5,1,"","&amp;L&amp;8&amp;F :&amp;A&amp;C&amp;8Page &amp;P of &amp;N&amp;R&amp;8&amp;D  &amp;T",TRUE,FALSE,FALSE,FALSE,1,#N/A,1,1,"=R14C1:R34C10","=R1:R13",#N/A,#N/A,FALSE,FALSE,FALSE,9,#N/A,#N/A,FALSE,FALSE,TRUE,TRUE,TRUE}</definedName>
    <definedName name="wvu.Debtors._.Input." localSheetId="25" hidden="1">{TRUE,TRUE,-1.25,-15.5,604.5,366.75,FALSE,TRUE,TRUE,TRUE,0,1,#N/A,1,#N/A,7.08333333333333,22.1764705882353,1,FALSE,FALSE,3,FALSE,1,FALSE,100,"Swvu.Debtors._.Input.","ACwvu.Debtors._.Input.",#N/A,FALSE,FALSE,1,0.5,0.5,0.5,1,"","&amp;L&amp;8&amp;F :&amp;A&amp;C&amp;8Page &amp;P of &amp;N&amp;R&amp;8&amp;D  &amp;T",TRUE,FALSE,FALSE,FALSE,1,#N/A,1,1,"=R14C1:R34C10","=R1:R13",#N/A,#N/A,FALSE,FALSE,FALSE,9,#N/A,#N/A,FALSE,FALSE,TRUE,TRUE,TRUE}</definedName>
    <definedName name="wvu.Debtors._.Input." hidden="1">{TRUE,TRUE,-1.25,-15.5,604.5,366.75,FALSE,TRUE,TRUE,TRUE,0,1,#N/A,1,#N/A,7.08333333333333,22.1764705882353,1,FALSE,FALSE,3,FALSE,1,FALSE,100,"Swvu.Debtors._.Input.","ACwvu.Debtors._.Input.",#N/A,FALSE,FALSE,1,0.5,0.5,0.5,1,"","&amp;L&amp;8&amp;F :&amp;A&amp;C&amp;8Page &amp;P of &amp;N&amp;R&amp;8&amp;D  &amp;T",TRUE,FALSE,FALSE,FALSE,1,#N/A,1,1,"=R14C1:R34C10","=R1:R13",#N/A,#N/A,FALSE,FALSE,FALSE,9,#N/A,#N/A,FALSE,FALSE,TRUE,TRUE,TRUE}</definedName>
    <definedName name="wvu.Detailed._.Analysis._.Creditors._.HO." localSheetId="24" hidden="1">{TRUE,TRUE,-1.25,-15.5,604.5,366.75,FALSE,TRUE,TRUE,TRUE,0,1,#N/A,1,#N/A,10.7037037037037,27.5,1,FALSE,FALSE,3,FALSE,1,FALSE,85,"Swvu.Detailed._.Analysis._.Creditors._.HO.","ACwvu.Detailed._.Analysis._.Creditors._.HO.",#N/A,FALSE,FALSE,1,0.5,0.5,0.5,2,"","&amp;L&amp;8&amp;F :&amp;A&amp;C&amp;8Page &amp;P of &amp;N&amp;R&amp;8&amp;D  &amp;T",TRUE,FALSE,FALSE,FALSE,1,85,#N/A,#N/A,"=R14C1:R55C10","=R1:R13","Rwvu.Detailed._.Analysis._.Creditors._.HO.",#N/A,FALSE,FALSE,TRUE,9,#N/A,#N/A,FALSE,FALSE,TRUE,TRUE,TRUE}</definedName>
    <definedName name="wvu.Detailed._.Analysis._.Creditors._.HO." localSheetId="18" hidden="1">{TRUE,TRUE,-1.25,-15.5,604.5,366.75,FALSE,TRUE,TRUE,TRUE,0,1,#N/A,1,#N/A,10.7037037037037,27.5,1,FALSE,FALSE,3,FALSE,1,FALSE,85,"Swvu.Detailed._.Analysis._.Creditors._.HO.","ACwvu.Detailed._.Analysis._.Creditors._.HO.",#N/A,FALSE,FALSE,1,0.5,0.5,0.5,2,"","&amp;L&amp;8&amp;F :&amp;A&amp;C&amp;8Page &amp;P of &amp;N&amp;R&amp;8&amp;D  &amp;T",TRUE,FALSE,FALSE,FALSE,1,85,#N/A,#N/A,"=R14C1:R55C10","=R1:R13","Rwvu.Detailed._.Analysis._.Creditors._.HO.",#N/A,FALSE,FALSE,TRUE,9,#N/A,#N/A,FALSE,FALSE,TRUE,TRUE,TRUE}</definedName>
    <definedName name="wvu.Detailed._.Analysis._.Creditors._.HO." localSheetId="25" hidden="1">{TRUE,TRUE,-1.25,-15.5,604.5,366.75,FALSE,TRUE,TRUE,TRUE,0,1,#N/A,1,#N/A,10.7037037037037,27.5,1,FALSE,FALSE,3,FALSE,1,FALSE,85,"Swvu.Detailed._.Analysis._.Creditors._.HO.","ACwvu.Detailed._.Analysis._.Creditors._.HO.",#N/A,FALSE,FALSE,1,0.5,0.5,0.5,2,"","&amp;L&amp;8&amp;F :&amp;A&amp;C&amp;8Page &amp;P of &amp;N&amp;R&amp;8&amp;D  &amp;T",TRUE,FALSE,FALSE,FALSE,1,85,#N/A,#N/A,"=R14C1:R55C10","=R1:R13","Rwvu.Detailed._.Analysis._.Creditors._.HO.",#N/A,FALSE,FALSE,TRUE,9,#N/A,#N/A,FALSE,FALSE,TRUE,TRUE,TRUE}</definedName>
    <definedName name="wvu.Detailed._.Analysis._.Creditors._.HO." hidden="1">{TRUE,TRUE,-1.25,-15.5,604.5,366.75,FALSE,TRUE,TRUE,TRUE,0,1,#N/A,1,#N/A,10.7037037037037,27.5,1,FALSE,FALSE,3,FALSE,1,FALSE,85,"Swvu.Detailed._.Analysis._.Creditors._.HO.","ACwvu.Detailed._.Analysis._.Creditors._.HO.",#N/A,FALSE,FALSE,1,0.5,0.5,0.5,2,"","&amp;L&amp;8&amp;F :&amp;A&amp;C&amp;8Page &amp;P of &amp;N&amp;R&amp;8&amp;D  &amp;T",TRUE,FALSE,FALSE,FALSE,1,85,#N/A,#N/A,"=R14C1:R55C10","=R1:R13","Rwvu.Detailed._.Analysis._.Creditors._.HO.",#N/A,FALSE,FALSE,TRUE,9,#N/A,#N/A,FALSE,FALSE,TRUE,TRUE,TRUE}</definedName>
    <definedName name="wvu.Detailed._.Analysis._.Debtors." localSheetId="24" hidden="1">{TRUE,TRUE,-1.25,-15.5,604.5,366.75,FALSE,TRUE,TRUE,TRUE,0,1,#N/A,1,#N/A,10.7222222222222,26.6428571428571,1,FALSE,FALSE,3,FALSE,1,FALSE,85,"Swvu.Detailed._.Analysis._.Debtors.","ACwvu.Detailed._.Analysis._.Debtors.",#N/A,FALSE,FALSE,1,0.5,0.5,0.5,2,"","&amp;L&amp;8&amp;F :&amp;A&amp;C&amp;8Page &amp;P of &amp;N&amp;R&amp;8&amp;D  &amp;T",TRUE,FALSE,FALSE,FALSE,1,85,#N/A,#N/A,"=R14C1:R44C10","=R1:R13","Rwvu.Detailed._.Analysis._.Debtors.",#N/A,FALSE,FALSE,TRUE,9,#N/A,#N/A,FALSE,FALSE,TRUE,TRUE,TRUE}</definedName>
    <definedName name="wvu.Detailed._.Analysis._.Debtors." localSheetId="18" hidden="1">{TRUE,TRUE,-1.25,-15.5,604.5,366.75,FALSE,TRUE,TRUE,TRUE,0,1,#N/A,1,#N/A,10.7222222222222,26.6428571428571,1,FALSE,FALSE,3,FALSE,1,FALSE,85,"Swvu.Detailed._.Analysis._.Debtors.","ACwvu.Detailed._.Analysis._.Debtors.",#N/A,FALSE,FALSE,1,0.5,0.5,0.5,2,"","&amp;L&amp;8&amp;F :&amp;A&amp;C&amp;8Page &amp;P of &amp;N&amp;R&amp;8&amp;D  &amp;T",TRUE,FALSE,FALSE,FALSE,1,85,#N/A,#N/A,"=R14C1:R44C10","=R1:R13","Rwvu.Detailed._.Analysis._.Debtors.",#N/A,FALSE,FALSE,TRUE,9,#N/A,#N/A,FALSE,FALSE,TRUE,TRUE,TRUE}</definedName>
    <definedName name="wvu.Detailed._.Analysis._.Debtors." localSheetId="25" hidden="1">{TRUE,TRUE,-1.25,-15.5,604.5,366.75,FALSE,TRUE,TRUE,TRUE,0,1,#N/A,1,#N/A,10.7222222222222,26.6428571428571,1,FALSE,FALSE,3,FALSE,1,FALSE,85,"Swvu.Detailed._.Analysis._.Debtors.","ACwvu.Detailed._.Analysis._.Debtors.",#N/A,FALSE,FALSE,1,0.5,0.5,0.5,2,"","&amp;L&amp;8&amp;F :&amp;A&amp;C&amp;8Page &amp;P of &amp;N&amp;R&amp;8&amp;D  &amp;T",TRUE,FALSE,FALSE,FALSE,1,85,#N/A,#N/A,"=R14C1:R44C10","=R1:R13","Rwvu.Detailed._.Analysis._.Debtors.",#N/A,FALSE,FALSE,TRUE,9,#N/A,#N/A,FALSE,FALSE,TRUE,TRUE,TRUE}</definedName>
    <definedName name="wvu.Detailed._.Analysis._.Debtors." hidden="1">{TRUE,TRUE,-1.25,-15.5,604.5,366.75,FALSE,TRUE,TRUE,TRUE,0,1,#N/A,1,#N/A,10.7222222222222,26.6428571428571,1,FALSE,FALSE,3,FALSE,1,FALSE,85,"Swvu.Detailed._.Analysis._.Debtors.","ACwvu.Detailed._.Analysis._.Debtors.",#N/A,FALSE,FALSE,1,0.5,0.5,0.5,2,"","&amp;L&amp;8&amp;F :&amp;A&amp;C&amp;8Page &amp;P of &amp;N&amp;R&amp;8&amp;D  &amp;T",TRUE,FALSE,FALSE,FALSE,1,85,#N/A,#N/A,"=R14C1:R44C10","=R1:R13","Rwvu.Detailed._.Analysis._.Debtors.",#N/A,FALSE,FALSE,TRUE,9,#N/A,#N/A,FALSE,FALSE,TRUE,TRUE,TRUE}</definedName>
    <definedName name="wvu.Detailed._.Analysis._.Prepayments." localSheetId="24" hidden="1">{TRUE,TRUE,-1.25,-15.5,604.5,366.75,FALSE,TRUE,TRUE,TRUE,0,1,#N/A,1,#N/A,10.7222222222222,26.2142857142857,1,FALSE,FALSE,3,FALSE,1,FALSE,85,"Swvu.Detailed._.Analysis._.Prepayments.","ACwvu.Detailed._.Analysis._.Prepayments.",#N/A,FALSE,FALSE,1,0.5,0.5,0.5,2,"","&amp;L&amp;8&amp;F :&amp;A&amp;C&amp;8Page &amp;P of &amp;N&amp;R&amp;8&amp;D  &amp;T",TRUE,FALSE,FALSE,FALSE,1,85,#N/A,#N/A,"=R14C1:R26C10","=R1:R13","Rwvu.Detailed._.Analysis._.Prepayments.",#N/A,FALSE,FALSE,FALSE,9,#N/A,#N/A,FALSE,FALSE,TRUE,TRUE,TRUE}</definedName>
    <definedName name="wvu.Detailed._.Analysis._.Prepayments." localSheetId="18" hidden="1">{TRUE,TRUE,-1.25,-15.5,604.5,366.75,FALSE,TRUE,TRUE,TRUE,0,1,#N/A,1,#N/A,10.7222222222222,26.2142857142857,1,FALSE,FALSE,3,FALSE,1,FALSE,85,"Swvu.Detailed._.Analysis._.Prepayments.","ACwvu.Detailed._.Analysis._.Prepayments.",#N/A,FALSE,FALSE,1,0.5,0.5,0.5,2,"","&amp;L&amp;8&amp;F :&amp;A&amp;C&amp;8Page &amp;P of &amp;N&amp;R&amp;8&amp;D  &amp;T",TRUE,FALSE,FALSE,FALSE,1,85,#N/A,#N/A,"=R14C1:R26C10","=R1:R13","Rwvu.Detailed._.Analysis._.Prepayments.",#N/A,FALSE,FALSE,FALSE,9,#N/A,#N/A,FALSE,FALSE,TRUE,TRUE,TRUE}</definedName>
    <definedName name="wvu.Detailed._.Analysis._.Prepayments." localSheetId="25" hidden="1">{TRUE,TRUE,-1.25,-15.5,604.5,366.75,FALSE,TRUE,TRUE,TRUE,0,1,#N/A,1,#N/A,10.7222222222222,26.2142857142857,1,FALSE,FALSE,3,FALSE,1,FALSE,85,"Swvu.Detailed._.Analysis._.Prepayments.","ACwvu.Detailed._.Analysis._.Prepayments.",#N/A,FALSE,FALSE,1,0.5,0.5,0.5,2,"","&amp;L&amp;8&amp;F :&amp;A&amp;C&amp;8Page &amp;P of &amp;N&amp;R&amp;8&amp;D  &amp;T",TRUE,FALSE,FALSE,FALSE,1,85,#N/A,#N/A,"=R14C1:R26C10","=R1:R13","Rwvu.Detailed._.Analysis._.Prepayments.",#N/A,FALSE,FALSE,FALSE,9,#N/A,#N/A,FALSE,FALSE,TRUE,TRUE,TRUE}</definedName>
    <definedName name="wvu.Detailed._.Analysis._.Prepayments." hidden="1">{TRUE,TRUE,-1.25,-15.5,604.5,366.75,FALSE,TRUE,TRUE,TRUE,0,1,#N/A,1,#N/A,10.7222222222222,26.2142857142857,1,FALSE,FALSE,3,FALSE,1,FALSE,85,"Swvu.Detailed._.Analysis._.Prepayments.","ACwvu.Detailed._.Analysis._.Prepayments.",#N/A,FALSE,FALSE,1,0.5,0.5,0.5,2,"","&amp;L&amp;8&amp;F :&amp;A&amp;C&amp;8Page &amp;P of &amp;N&amp;R&amp;8&amp;D  &amp;T",TRUE,FALSE,FALSE,FALSE,1,85,#N/A,#N/A,"=R14C1:R26C10","=R1:R13","Rwvu.Detailed._.Analysis._.Prepayments.",#N/A,FALSE,FALSE,FALSE,9,#N/A,#N/A,FALSE,FALSE,TRUE,TRUE,TRUE}</definedName>
    <definedName name="wvu.Detailed._.Analysis._.Schedule." localSheetId="24"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wvu.Detailed._.Analysis._.Schedule." localSheetId="18"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wvu.Detailed._.Analysis._.Schedule." localSheetId="25"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wvu.Detailed._.Analysis._.Schedule."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wvu.ELECT._.JOURNAL._.1." localSheetId="24" hidden="1">{TRUE,TRUE,-1.25,-15.5,484.5,291,FALSE,FALSE,TRUE,TRUE,0,30,#N/A,33,#N/A,9.89285714285714,27.75,1,FALSE,FALSE,3,TRUE,1,FALSE,50,"Swvu.ELECT._.JOURNAL._.1.","ACwvu.ELECT._.JOURNAL._.1.",#N/A,FALSE,FALSE,0.75,0.75,1,1,2,"","&amp;L&amp;8g:centres\too\yr95.96\accrls\&amp;F",TRUE,FALSE,FALSE,FALSE,1,#N/A,1,1,"=R1C27:R46C34",FALSE,#N/A,#N/A,FALSE,FALSE,FALSE,9,65532,65532,FALSE,FALSE,TRUE,TRUE,TRUE}</definedName>
    <definedName name="wvu.ELECT._.JOURNAL._.1." localSheetId="18" hidden="1">{TRUE,TRUE,-1.25,-15.5,484.5,291,FALSE,FALSE,TRUE,TRUE,0,30,#N/A,33,#N/A,9.89285714285714,27.75,1,FALSE,FALSE,3,TRUE,1,FALSE,50,"Swvu.ELECT._.JOURNAL._.1.","ACwvu.ELECT._.JOURNAL._.1.",#N/A,FALSE,FALSE,0.75,0.75,1,1,2,"","&amp;L&amp;8g:centres\too\yr95.96\accrls\&amp;F",TRUE,FALSE,FALSE,FALSE,1,#N/A,1,1,"=R1C27:R46C34",FALSE,#N/A,#N/A,FALSE,FALSE,FALSE,9,65532,65532,FALSE,FALSE,TRUE,TRUE,TRUE}</definedName>
    <definedName name="wvu.ELECT._.JOURNAL._.1." localSheetId="25" hidden="1">{TRUE,TRUE,-1.25,-15.5,484.5,291,FALSE,FALSE,TRUE,TRUE,0,30,#N/A,33,#N/A,9.89285714285714,27.75,1,FALSE,FALSE,3,TRUE,1,FALSE,50,"Swvu.ELECT._.JOURNAL._.1.","ACwvu.ELECT._.JOURNAL._.1.",#N/A,FALSE,FALSE,0.75,0.75,1,1,2,"","&amp;L&amp;8g:centres\too\yr95.96\accrls\&amp;F",TRUE,FALSE,FALSE,FALSE,1,#N/A,1,1,"=R1C27:R46C34",FALSE,#N/A,#N/A,FALSE,FALSE,FALSE,9,65532,65532,FALSE,FALSE,TRUE,TRUE,TRUE}</definedName>
    <definedName name="wvu.ELECT._.JOURNAL._.1." hidden="1">{TRUE,TRUE,-1.25,-15.5,484.5,291,FALSE,FALSE,TRUE,TRUE,0,30,#N/A,33,#N/A,9.89285714285714,27.75,1,FALSE,FALSE,3,TRUE,1,FALSE,50,"Swvu.ELECT._.JOURNAL._.1.","ACwvu.ELECT._.JOURNAL._.1.",#N/A,FALSE,FALSE,0.75,0.75,1,1,2,"","&amp;L&amp;8g:centres\too\yr95.96\accrls\&amp;F",TRUE,FALSE,FALSE,FALSE,1,#N/A,1,1,"=R1C27:R46C34",FALSE,#N/A,#N/A,FALSE,FALSE,FALSE,9,65532,65532,FALSE,FALSE,TRUE,TRUE,TRUE}</definedName>
    <definedName name="wvu.ELECT._.JOURNAL._.2." localSheetId="24" hidden="1">{TRUE,TRUE,-1.25,-15.5,484.5,291,FALSE,FALSE,TRUE,TRUE,0,30,#N/A,74,#N/A,9.89285714285714,28,1,FALSE,FALSE,3,TRUE,1,FALSE,50,"Swvu.ELECT._.JOURNAL._.2.","ACwvu.ELECT._.JOURNAL._.2.",#N/A,FALSE,FALSE,0.75,0.75,1,1,2,"","&amp;L&amp;8g:centres\too\yr95.96\accrls\&amp;F",TRUE,FALSE,FALSE,FALSE,1,#N/A,1,1,"=R47C27:R87C34",FALSE,#N/A,#N/A,FALSE,FALSE,FALSE,9,65532,65532,FALSE,FALSE,TRUE,TRUE,TRUE}</definedName>
    <definedName name="wvu.ELECT._.JOURNAL._.2." localSheetId="18" hidden="1">{TRUE,TRUE,-1.25,-15.5,484.5,291,FALSE,FALSE,TRUE,TRUE,0,30,#N/A,74,#N/A,9.89285714285714,28,1,FALSE,FALSE,3,TRUE,1,FALSE,50,"Swvu.ELECT._.JOURNAL._.2.","ACwvu.ELECT._.JOURNAL._.2.",#N/A,FALSE,FALSE,0.75,0.75,1,1,2,"","&amp;L&amp;8g:centres\too\yr95.96\accrls\&amp;F",TRUE,FALSE,FALSE,FALSE,1,#N/A,1,1,"=R47C27:R87C34",FALSE,#N/A,#N/A,FALSE,FALSE,FALSE,9,65532,65532,FALSE,FALSE,TRUE,TRUE,TRUE}</definedName>
    <definedName name="wvu.ELECT._.JOURNAL._.2." localSheetId="25" hidden="1">{TRUE,TRUE,-1.25,-15.5,484.5,291,FALSE,FALSE,TRUE,TRUE,0,30,#N/A,74,#N/A,9.89285714285714,28,1,FALSE,FALSE,3,TRUE,1,FALSE,50,"Swvu.ELECT._.JOURNAL._.2.","ACwvu.ELECT._.JOURNAL._.2.",#N/A,FALSE,FALSE,0.75,0.75,1,1,2,"","&amp;L&amp;8g:centres\too\yr95.96\accrls\&amp;F",TRUE,FALSE,FALSE,FALSE,1,#N/A,1,1,"=R47C27:R87C34",FALSE,#N/A,#N/A,FALSE,FALSE,FALSE,9,65532,65532,FALSE,FALSE,TRUE,TRUE,TRUE}</definedName>
    <definedName name="wvu.ELECT._.JOURNAL._.2." hidden="1">{TRUE,TRUE,-1.25,-15.5,484.5,291,FALSE,FALSE,TRUE,TRUE,0,30,#N/A,74,#N/A,9.89285714285714,28,1,FALSE,FALSE,3,TRUE,1,FALSE,50,"Swvu.ELECT._.JOURNAL._.2.","ACwvu.ELECT._.JOURNAL._.2.",#N/A,FALSE,FALSE,0.75,0.75,1,1,2,"","&amp;L&amp;8g:centres\too\yr95.96\accrls\&amp;F",TRUE,FALSE,FALSE,FALSE,1,#N/A,1,1,"=R47C27:R87C34",FALSE,#N/A,#N/A,FALSE,FALSE,FALSE,9,65532,65532,FALSE,FALSE,TRUE,TRUE,TRUE}</definedName>
    <definedName name="wvu.Feasibility." localSheetId="24" hidden="1">{TRUE,TRUE,-0.8,-15.2,618,365.4,FALSE,TRUE,TRUE,TRUE,0,1,#N/A,1,#N/A,27.7638888888889,30.55,1,FALSE,FALSE,3,TRUE,1,FALSE,75,"Swvu.Feasibility.","ACwvu.Feasibility.",#N/A,FALSE,FALSE,0.748031496062992,0.748031496062992,0.984251968503937,0.984251968503937,1,"","&amp;C&amp;D&amp;R&amp;F/ &amp;A",TRUE,FALSE,FALSE,FALSE,1,#N/A,1,1,"=R1C1:R58C17",FALSE,"Rwvu.Feasibility.","Cwvu.Feasibility.",FALSE,FALSE,FALSE,9,600,600,FALSE,FALSE,TRUE,TRUE,TRUE}</definedName>
    <definedName name="wvu.Feasibility." localSheetId="18" hidden="1">{TRUE,TRUE,-0.8,-15.2,618,365.4,FALSE,TRUE,TRUE,TRUE,0,1,#N/A,1,#N/A,27.7638888888889,30.55,1,FALSE,FALSE,3,TRUE,1,FALSE,75,"Swvu.Feasibility.","ACwvu.Feasibility.",#N/A,FALSE,FALSE,0.748031496062992,0.748031496062992,0.984251968503937,0.984251968503937,1,"","&amp;C&amp;D&amp;R&amp;F/ &amp;A",TRUE,FALSE,FALSE,FALSE,1,#N/A,1,1,"=R1C1:R58C17",FALSE,"Rwvu.Feasibility.","Cwvu.Feasibility.",FALSE,FALSE,FALSE,9,600,600,FALSE,FALSE,TRUE,TRUE,TRUE}</definedName>
    <definedName name="wvu.Feasibility." localSheetId="25" hidden="1">{TRUE,TRUE,-0.8,-15.2,618,365.4,FALSE,TRUE,TRUE,TRUE,0,1,#N/A,1,#N/A,27.7638888888889,30.55,1,FALSE,FALSE,3,TRUE,1,FALSE,75,"Swvu.Feasibility.","ACwvu.Feasibility.",#N/A,FALSE,FALSE,0.748031496062992,0.748031496062992,0.984251968503937,0.984251968503937,1,"","&amp;C&amp;D&amp;R&amp;F/ &amp;A",TRUE,FALSE,FALSE,FALSE,1,#N/A,1,1,"=R1C1:R58C17",FALSE,"Rwvu.Feasibility.","Cwvu.Feasibility.",FALSE,FALSE,FALSE,9,600,600,FALSE,FALSE,TRUE,TRUE,TRUE}</definedName>
    <definedName name="wvu.Feasibility." hidden="1">{TRUE,TRUE,-0.8,-15.2,618,365.4,FALSE,TRUE,TRUE,TRUE,0,1,#N/A,1,#N/A,27.7638888888889,30.55,1,FALSE,FALSE,3,TRUE,1,FALSE,75,"Swvu.Feasibility.","ACwvu.Feasibility.",#N/A,FALSE,FALSE,0.748031496062992,0.748031496062992,0.984251968503937,0.984251968503937,1,"","&amp;C&amp;D&amp;R&amp;F/ &amp;A",TRUE,FALSE,FALSE,FALSE,1,#N/A,1,1,"=R1C1:R58C17",FALSE,"Rwvu.Feasibility.","Cwvu.Feasibility.",FALSE,FALSE,FALSE,9,600,600,FALSE,FALSE,TRUE,TRUE,TRUE}</definedName>
    <definedName name="wvu.Journal._.1." localSheetId="24" hidden="1">{TRUE,TRUE,-0.8,-15.2,618,316.2,FALSE,FALSE,TRUE,TRUE,0,8,#N/A,1,#N/A,14.6729857819905,28.3125,1,FALSE,FALSE,3,TRUE,1,FALSE,50,"Swvu.Journal._.1.","ACwvu.Journal._.1.",#N/A,FALSE,FALSE,0.25,0.25,0.25,0.25,1,"","&amp;L&amp;8g:centres\too\yr95.96\accrl\ &amp;F",TRUE,FALSE,FALSE,FALSE,1,#N/A,1,2,"=R2C16:R61C24",FALSE,#N/A,#N/A,FALSE,FALSE,FALSE,9,65532,600,FALSE,FALSE,TRUE,TRUE,TRUE}</definedName>
    <definedName name="wvu.Journal._.1." localSheetId="18" hidden="1">{TRUE,TRUE,-0.8,-15.2,618,316.2,FALSE,FALSE,TRUE,TRUE,0,8,#N/A,1,#N/A,14.6729857819905,28.3125,1,FALSE,FALSE,3,TRUE,1,FALSE,50,"Swvu.Journal._.1.","ACwvu.Journal._.1.",#N/A,FALSE,FALSE,0.25,0.25,0.25,0.25,1,"","&amp;L&amp;8g:centres\too\yr95.96\accrl\ &amp;F",TRUE,FALSE,FALSE,FALSE,1,#N/A,1,2,"=R2C16:R61C24",FALSE,#N/A,#N/A,FALSE,FALSE,FALSE,9,65532,600,FALSE,FALSE,TRUE,TRUE,TRUE}</definedName>
    <definedName name="wvu.Journal._.1." localSheetId="25" hidden="1">{TRUE,TRUE,-0.8,-15.2,618,316.2,FALSE,FALSE,TRUE,TRUE,0,8,#N/A,1,#N/A,14.6729857819905,28.3125,1,FALSE,FALSE,3,TRUE,1,FALSE,50,"Swvu.Journal._.1.","ACwvu.Journal._.1.",#N/A,FALSE,FALSE,0.25,0.25,0.25,0.25,1,"","&amp;L&amp;8g:centres\too\yr95.96\accrl\ &amp;F",TRUE,FALSE,FALSE,FALSE,1,#N/A,1,2,"=R2C16:R61C24",FALSE,#N/A,#N/A,FALSE,FALSE,FALSE,9,65532,600,FALSE,FALSE,TRUE,TRUE,TRUE}</definedName>
    <definedName name="wvu.Journal._.1." hidden="1">{TRUE,TRUE,-0.8,-15.2,618,316.2,FALSE,FALSE,TRUE,TRUE,0,8,#N/A,1,#N/A,14.6729857819905,28.3125,1,FALSE,FALSE,3,TRUE,1,FALSE,50,"Swvu.Journal._.1.","ACwvu.Journal._.1.",#N/A,FALSE,FALSE,0.25,0.25,0.25,0.25,1,"","&amp;L&amp;8g:centres\too\yr95.96\accrl\ &amp;F",TRUE,FALSE,FALSE,FALSE,1,#N/A,1,2,"=R2C16:R61C24",FALSE,#N/A,#N/A,FALSE,FALSE,FALSE,9,65532,600,FALSE,FALSE,TRUE,TRUE,TRUE}</definedName>
    <definedName name="wvu.Journal._.2." localSheetId="24" hidden="1">{TRUE,TRUE,-0.8,-15.2,618,316.2,FALSE,FALSE,TRUE,TRUE,0,13,#N/A,52,#N/A,12.5897435897436,28.4666666666667,1,FALSE,FALSE,3,TRUE,1,FALSE,50,"Swvu.Journal._.2.","ACwvu.Journal._.2.",#N/A,FALSE,FALSE,0.25,0.25,0.25,0.25,2,"","&amp;L&amp;8g:centres\too\yr95.96\accrl\ &amp;F",TRUE,FALSE,FALSE,FALSE,1,#N/A,1,1,"=R66C16:R107C24",FALSE,#N/A,#N/A,FALSE,FALSE,FALSE,9,65532,600,FALSE,FALSE,TRUE,TRUE,TRUE}</definedName>
    <definedName name="wvu.Journal._.2." localSheetId="18" hidden="1">{TRUE,TRUE,-0.8,-15.2,618,316.2,FALSE,FALSE,TRUE,TRUE,0,13,#N/A,52,#N/A,12.5897435897436,28.4666666666667,1,FALSE,FALSE,3,TRUE,1,FALSE,50,"Swvu.Journal._.2.","ACwvu.Journal._.2.",#N/A,FALSE,FALSE,0.25,0.25,0.25,0.25,2,"","&amp;L&amp;8g:centres\too\yr95.96\accrl\ &amp;F",TRUE,FALSE,FALSE,FALSE,1,#N/A,1,1,"=R66C16:R107C24",FALSE,#N/A,#N/A,FALSE,FALSE,FALSE,9,65532,600,FALSE,FALSE,TRUE,TRUE,TRUE}</definedName>
    <definedName name="wvu.Journal._.2." localSheetId="25" hidden="1">{TRUE,TRUE,-0.8,-15.2,618,316.2,FALSE,FALSE,TRUE,TRUE,0,13,#N/A,52,#N/A,12.5897435897436,28.4666666666667,1,FALSE,FALSE,3,TRUE,1,FALSE,50,"Swvu.Journal._.2.","ACwvu.Journal._.2.",#N/A,FALSE,FALSE,0.25,0.25,0.25,0.25,2,"","&amp;L&amp;8g:centres\too\yr95.96\accrl\ &amp;F",TRUE,FALSE,FALSE,FALSE,1,#N/A,1,1,"=R66C16:R107C24",FALSE,#N/A,#N/A,FALSE,FALSE,FALSE,9,65532,600,FALSE,FALSE,TRUE,TRUE,TRUE}</definedName>
    <definedName name="wvu.Journal._.2." hidden="1">{TRUE,TRUE,-0.8,-15.2,618,316.2,FALSE,FALSE,TRUE,TRUE,0,13,#N/A,52,#N/A,12.5897435897436,28.4666666666667,1,FALSE,FALSE,3,TRUE,1,FALSE,50,"Swvu.Journal._.2.","ACwvu.Journal._.2.",#N/A,FALSE,FALSE,0.25,0.25,0.25,0.25,2,"","&amp;L&amp;8g:centres\too\yr95.96\accrl\ &amp;F",TRUE,FALSE,FALSE,FALSE,1,#N/A,1,1,"=R66C16:R107C24",FALSE,#N/A,#N/A,FALSE,FALSE,FALSE,9,65532,600,FALSE,FALSE,TRUE,TRUE,TRUE}</definedName>
    <definedName name="wvu.Journal._.3." localSheetId="24" hidden="1">{TRUE,TRUE,-0.8,-15.2,618,316.2,FALSE,FALSE,TRUE,TRUE,0,27,#N/A,53,#N/A,11.1842105263158,28.4666666666667,1,FALSE,FALSE,3,TRUE,1,FALSE,50,"Swvu.Journal._.3.","ACwvu.Journal._.3.",#N/A,FALSE,FALSE,0.25,0.25,0.25,0.25,2,"","&amp;L&amp;8g:centres\too\yr95.96\accrl\ &amp;F",TRUE,FALSE,FALSE,FALSE,1,#N/A,1,1,"=R67C29:R105C36",FALSE,#N/A,#N/A,FALSE,FALSE,FALSE,9,65532,600,FALSE,FALSE,TRUE,TRUE,TRUE}</definedName>
    <definedName name="wvu.Journal._.3." localSheetId="18" hidden="1">{TRUE,TRUE,-0.8,-15.2,618,316.2,FALSE,FALSE,TRUE,TRUE,0,27,#N/A,53,#N/A,11.1842105263158,28.4666666666667,1,FALSE,FALSE,3,TRUE,1,FALSE,50,"Swvu.Journal._.3.","ACwvu.Journal._.3.",#N/A,FALSE,FALSE,0.25,0.25,0.25,0.25,2,"","&amp;L&amp;8g:centres\too\yr95.96\accrl\ &amp;F",TRUE,FALSE,FALSE,FALSE,1,#N/A,1,1,"=R67C29:R105C36",FALSE,#N/A,#N/A,FALSE,FALSE,FALSE,9,65532,600,FALSE,FALSE,TRUE,TRUE,TRUE}</definedName>
    <definedName name="wvu.Journal._.3." localSheetId="25" hidden="1">{TRUE,TRUE,-0.8,-15.2,618,316.2,FALSE,FALSE,TRUE,TRUE,0,27,#N/A,53,#N/A,11.1842105263158,28.4666666666667,1,FALSE,FALSE,3,TRUE,1,FALSE,50,"Swvu.Journal._.3.","ACwvu.Journal._.3.",#N/A,FALSE,FALSE,0.25,0.25,0.25,0.25,2,"","&amp;L&amp;8g:centres\too\yr95.96\accrl\ &amp;F",TRUE,FALSE,FALSE,FALSE,1,#N/A,1,1,"=R67C29:R105C36",FALSE,#N/A,#N/A,FALSE,FALSE,FALSE,9,65532,600,FALSE,FALSE,TRUE,TRUE,TRUE}</definedName>
    <definedName name="wvu.Journal._.3." hidden="1">{TRUE,TRUE,-0.8,-15.2,618,316.2,FALSE,FALSE,TRUE,TRUE,0,27,#N/A,53,#N/A,11.1842105263158,28.4666666666667,1,FALSE,FALSE,3,TRUE,1,FALSE,50,"Swvu.Journal._.3.","ACwvu.Journal._.3.",#N/A,FALSE,FALSE,0.25,0.25,0.25,0.25,2,"","&amp;L&amp;8g:centres\too\yr95.96\accrl\ &amp;F",TRUE,FALSE,FALSE,FALSE,1,#N/A,1,1,"=R67C29:R105C36",FALSE,#N/A,#N/A,FALSE,FALSE,FALSE,9,65532,600,FALSE,FALSE,TRUE,TRUE,TRUE}</definedName>
    <definedName name="wvu.OG._.and._.AC._.Calculation." localSheetId="24" hidden="1">{TRUE,TRUE,-1.25,-15.5,604.5,366.75,FALSE,FALSE,TRUE,TRUE,0,23,#N/A,421,#N/A,12.5967741935484,27.7333333333333,1,FALSE,FALSE,3,FALSE,1,FALSE,75,"Swvu.OG._.and._.AC._.Calculation.","ACwvu.OG._.and._.AC._.Calculation.",#N/A,FALSE,FALSE,0,0,0.5,0.5,2,"","&amp;L&amp;8&amp;F  &amp;T&amp;C&amp;8Prepared by Michael Panayi &amp;D&amp;R&amp;8Page &amp;P of &amp;N",TRUE,FALSE,FALSE,FALSE,1,63,#N/A,#N/A,"=R431C23:R605C41","=R420:R429","Rwvu.OG._.and._.AC._.Calculation.",#N/A,FALSE,FALSE,TRUE,9,#N/A,#N/A,FALSE,FALSE,TRUE,TRUE,TRUE}</definedName>
    <definedName name="wvu.OG._.and._.AC._.Calculation." localSheetId="18" hidden="1">{TRUE,TRUE,-1.25,-15.5,604.5,366.75,FALSE,FALSE,TRUE,TRUE,0,23,#N/A,421,#N/A,12.5967741935484,27.7333333333333,1,FALSE,FALSE,3,FALSE,1,FALSE,75,"Swvu.OG._.and._.AC._.Calculation.","ACwvu.OG._.and._.AC._.Calculation.",#N/A,FALSE,FALSE,0,0,0.5,0.5,2,"","&amp;L&amp;8&amp;F  &amp;T&amp;C&amp;8Prepared by Michael Panayi &amp;D&amp;R&amp;8Page &amp;P of &amp;N",TRUE,FALSE,FALSE,FALSE,1,63,#N/A,#N/A,"=R431C23:R605C41","=R420:R429","Rwvu.OG._.and._.AC._.Calculation.",#N/A,FALSE,FALSE,TRUE,9,#N/A,#N/A,FALSE,FALSE,TRUE,TRUE,TRUE}</definedName>
    <definedName name="wvu.OG._.and._.AC._.Calculation." localSheetId="25" hidden="1">{TRUE,TRUE,-1.25,-15.5,604.5,366.75,FALSE,FALSE,TRUE,TRUE,0,23,#N/A,421,#N/A,12.5967741935484,27.7333333333333,1,FALSE,FALSE,3,FALSE,1,FALSE,75,"Swvu.OG._.and._.AC._.Calculation.","ACwvu.OG._.and._.AC._.Calculation.",#N/A,FALSE,FALSE,0,0,0.5,0.5,2,"","&amp;L&amp;8&amp;F  &amp;T&amp;C&amp;8Prepared by Michael Panayi &amp;D&amp;R&amp;8Page &amp;P of &amp;N",TRUE,FALSE,FALSE,FALSE,1,63,#N/A,#N/A,"=R431C23:R605C41","=R420:R429","Rwvu.OG._.and._.AC._.Calculation.",#N/A,FALSE,FALSE,TRUE,9,#N/A,#N/A,FALSE,FALSE,TRUE,TRUE,TRUE}</definedName>
    <definedName name="wvu.OG._.and._.AC._.Calculation." hidden="1">{TRUE,TRUE,-1.25,-15.5,604.5,366.75,FALSE,FALSE,TRUE,TRUE,0,23,#N/A,421,#N/A,12.5967741935484,27.7333333333333,1,FALSE,FALSE,3,FALSE,1,FALSE,75,"Swvu.OG._.and._.AC._.Calculation.","ACwvu.OG._.and._.AC._.Calculation.",#N/A,FALSE,FALSE,0,0,0.5,0.5,2,"","&amp;L&amp;8&amp;F  &amp;T&amp;C&amp;8Prepared by Michael Panayi &amp;D&amp;R&amp;8Page &amp;P of &amp;N",TRUE,FALSE,FALSE,FALSE,1,63,#N/A,#N/A,"=R431C23:R605C41","=R420:R429","Rwvu.OG._.and._.AC._.Calculation.",#N/A,FALSE,FALSE,TRUE,9,#N/A,#N/A,FALSE,FALSE,TRUE,TRUE,TRUE}</definedName>
    <definedName name="wvu.Prepayments._.Summary." localSheetId="24" hidden="1">{TRUE,TRUE,-1.25,-15.5,604.5,366.75,FALSE,TRUE,TRUE,TRUE,0,1,#N/A,1,#N/A,14.7777777777778,26.2142857142857,1,FALSE,FALSE,3,FALSE,1,FALSE,85,"Swvu.Prepayments._.Summary.","ACwvu.Prepayments._.Summary.",#N/A,FALSE,FALSE,1,0.5,0.5,0.5,1,"","&amp;L&amp;8&amp;F :&amp;A&amp;C&amp;8Page &amp;P of &amp;N&amp;R&amp;8&amp;D  &amp;T",TRUE,FALSE,FALSE,FALSE,1,85,#N/A,#N/A,"=R14C1:R26C10","=R1:R13","Rwvu.Prepayments._.Summary.",#N/A,FALSE,FALSE,FALSE,9,#N/A,#N/A,FALSE,FALSE,TRUE,TRUE,TRUE}</definedName>
    <definedName name="wvu.Prepayments._.Summary." localSheetId="18" hidden="1">{TRUE,TRUE,-1.25,-15.5,604.5,366.75,FALSE,TRUE,TRUE,TRUE,0,1,#N/A,1,#N/A,14.7777777777778,26.2142857142857,1,FALSE,FALSE,3,FALSE,1,FALSE,85,"Swvu.Prepayments._.Summary.","ACwvu.Prepayments._.Summary.",#N/A,FALSE,FALSE,1,0.5,0.5,0.5,1,"","&amp;L&amp;8&amp;F :&amp;A&amp;C&amp;8Page &amp;P of &amp;N&amp;R&amp;8&amp;D  &amp;T",TRUE,FALSE,FALSE,FALSE,1,85,#N/A,#N/A,"=R14C1:R26C10","=R1:R13","Rwvu.Prepayments._.Summary.",#N/A,FALSE,FALSE,FALSE,9,#N/A,#N/A,FALSE,FALSE,TRUE,TRUE,TRUE}</definedName>
    <definedName name="wvu.Prepayments._.Summary." localSheetId="25" hidden="1">{TRUE,TRUE,-1.25,-15.5,604.5,366.75,FALSE,TRUE,TRUE,TRUE,0,1,#N/A,1,#N/A,14.7777777777778,26.2142857142857,1,FALSE,FALSE,3,FALSE,1,FALSE,85,"Swvu.Prepayments._.Summary.","ACwvu.Prepayments._.Summary.",#N/A,FALSE,FALSE,1,0.5,0.5,0.5,1,"","&amp;L&amp;8&amp;F :&amp;A&amp;C&amp;8Page &amp;P of &amp;N&amp;R&amp;8&amp;D  &amp;T",TRUE,FALSE,FALSE,FALSE,1,85,#N/A,#N/A,"=R14C1:R26C10","=R1:R13","Rwvu.Prepayments._.Summary.",#N/A,FALSE,FALSE,FALSE,9,#N/A,#N/A,FALSE,FALSE,TRUE,TRUE,TRUE}</definedName>
    <definedName name="wvu.Prepayments._.Summary." hidden="1">{TRUE,TRUE,-1.25,-15.5,604.5,366.75,FALSE,TRUE,TRUE,TRUE,0,1,#N/A,1,#N/A,14.7777777777778,26.2142857142857,1,FALSE,FALSE,3,FALSE,1,FALSE,85,"Swvu.Prepayments._.Summary.","ACwvu.Prepayments._.Summary.",#N/A,FALSE,FALSE,1,0.5,0.5,0.5,1,"","&amp;L&amp;8&amp;F :&amp;A&amp;C&amp;8Page &amp;P of &amp;N&amp;R&amp;8&amp;D  &amp;T",TRUE,FALSE,FALSE,FALSE,1,85,#N/A,#N/A,"=R14C1:R26C10","=R1:R13","Rwvu.Prepayments._.Summary.",#N/A,FALSE,FALSE,FALSE,9,#N/A,#N/A,FALSE,FALSE,TRUE,TRUE,TRUE}</definedName>
    <definedName name="wvu.Profit._.and._.Loss." localSheetId="24" hidden="1">{TRUE,TRUE,-1.25,-15.5,604.5,366.75,FALSE,FALSE,TRUE,TRUE,0,3,#N/A,1,#N/A,9.54716981132075,27.9333333333333,1,FALSE,FALSE,3,FALSE,1,FALSE,75,"Swvu.Profit._.and._.Loss.","ACwvu.Profit._.and._.Loss.",#N/A,FALSE,FALSE,1.4,0,0.5,0.5,1,"","&amp;L&amp;8&amp;F  &amp;T&amp;C&amp;8Prepared by Michael Panayi &amp;D&amp;R&amp;8Page &amp;P of &amp;N",TRUE,FALSE,FALSE,FALSE,1,65,#N/A,#N/A,"=R11C2:R407C11","=R1:R10","Rwvu.Profit._.and._.Loss.",#N/A,FALSE,FALSE,TRUE,9,#N/A,#N/A,FALSE,FALSE,TRUE,TRUE,TRUE}</definedName>
    <definedName name="wvu.Profit._.and._.Loss." localSheetId="18" hidden="1">{TRUE,TRUE,-1.25,-15.5,604.5,366.75,FALSE,FALSE,TRUE,TRUE,0,3,#N/A,1,#N/A,9.54716981132075,27.9333333333333,1,FALSE,FALSE,3,FALSE,1,FALSE,75,"Swvu.Profit._.and._.Loss.","ACwvu.Profit._.and._.Loss.",#N/A,FALSE,FALSE,1.4,0,0.5,0.5,1,"","&amp;L&amp;8&amp;F  &amp;T&amp;C&amp;8Prepared by Michael Panayi &amp;D&amp;R&amp;8Page &amp;P of &amp;N",TRUE,FALSE,FALSE,FALSE,1,65,#N/A,#N/A,"=R11C2:R407C11","=R1:R10","Rwvu.Profit._.and._.Loss.",#N/A,FALSE,FALSE,TRUE,9,#N/A,#N/A,FALSE,FALSE,TRUE,TRUE,TRUE}</definedName>
    <definedName name="wvu.Profit._.and._.Loss." localSheetId="25" hidden="1">{TRUE,TRUE,-1.25,-15.5,604.5,366.75,FALSE,FALSE,TRUE,TRUE,0,3,#N/A,1,#N/A,9.54716981132075,27.9333333333333,1,FALSE,FALSE,3,FALSE,1,FALSE,75,"Swvu.Profit._.and._.Loss.","ACwvu.Profit._.and._.Loss.",#N/A,FALSE,FALSE,1.4,0,0.5,0.5,1,"","&amp;L&amp;8&amp;F  &amp;T&amp;C&amp;8Prepared by Michael Panayi &amp;D&amp;R&amp;8Page &amp;P of &amp;N",TRUE,FALSE,FALSE,FALSE,1,65,#N/A,#N/A,"=R11C2:R407C11","=R1:R10","Rwvu.Profit._.and._.Loss.",#N/A,FALSE,FALSE,TRUE,9,#N/A,#N/A,FALSE,FALSE,TRUE,TRUE,TRUE}</definedName>
    <definedName name="wvu.Profit._.and._.Loss." hidden="1">{TRUE,TRUE,-1.25,-15.5,604.5,366.75,FALSE,FALSE,TRUE,TRUE,0,3,#N/A,1,#N/A,9.54716981132075,27.9333333333333,1,FALSE,FALSE,3,FALSE,1,FALSE,75,"Swvu.Profit._.and._.Loss.","ACwvu.Profit._.and._.Loss.",#N/A,FALSE,FALSE,1.4,0,0.5,0.5,1,"","&amp;L&amp;8&amp;F  &amp;T&amp;C&amp;8Prepared by Michael Panayi &amp;D&amp;R&amp;8Page &amp;P of &amp;N",TRUE,FALSE,FALSE,FALSE,1,65,#N/A,#N/A,"=R11C2:R407C11","=R1:R10","Rwvu.Profit._.and._.Loss.",#N/A,FALSE,FALSE,TRUE,9,#N/A,#N/A,FALSE,FALSE,TRUE,TRUE,TRUE}</definedName>
    <definedName name="wvu.Summary._.Report._.For._.Pack." localSheetId="24" hidden="1">{TRUE,TRUE,-1.25,-15.5,604.5,366.75,FALSE,TRUE,TRUE,TRUE,0,1,#N/A,1,#N/A,14.5740740740741,26.6428571428571,1,FALSE,FALSE,3,FALSE,1,FALSE,85,"Swvu.Summary._.Report._.For._.Pack.","ACwvu.Summary._.Report._.For._.Pack.",#N/A,FALSE,FALSE,1,0.5,0.5,0.5,1,"","&amp;L&amp;8&amp;F :&amp;A&amp;C&amp;8Page &amp;P of &amp;N&amp;R&amp;8&amp;D  &amp;T",TRUE,FALSE,FALSE,FALSE,1,85,#N/A,#N/A,"=R14C1:R78C10","=R1:R13","Rwvu.Summary._.Report._.For._.Pack.",#N/A,FALSE,FALSE,TRUE,9,#N/A,#N/A,FALSE,FALSE,TRUE,TRUE,TRUE}</definedName>
    <definedName name="wvu.Summary._.Report._.For._.Pack." localSheetId="18" hidden="1">{TRUE,TRUE,-1.25,-15.5,604.5,366.75,FALSE,TRUE,TRUE,TRUE,0,1,#N/A,1,#N/A,14.5740740740741,26.6428571428571,1,FALSE,FALSE,3,FALSE,1,FALSE,85,"Swvu.Summary._.Report._.For._.Pack.","ACwvu.Summary._.Report._.For._.Pack.",#N/A,FALSE,FALSE,1,0.5,0.5,0.5,1,"","&amp;L&amp;8&amp;F :&amp;A&amp;C&amp;8Page &amp;P of &amp;N&amp;R&amp;8&amp;D  &amp;T",TRUE,FALSE,FALSE,FALSE,1,85,#N/A,#N/A,"=R14C1:R78C10","=R1:R13","Rwvu.Summary._.Report._.For._.Pack.",#N/A,FALSE,FALSE,TRUE,9,#N/A,#N/A,FALSE,FALSE,TRUE,TRUE,TRUE}</definedName>
    <definedName name="wvu.Summary._.Report._.For._.Pack." localSheetId="25" hidden="1">{TRUE,TRUE,-1.25,-15.5,604.5,366.75,FALSE,TRUE,TRUE,TRUE,0,1,#N/A,1,#N/A,14.5740740740741,26.6428571428571,1,FALSE,FALSE,3,FALSE,1,FALSE,85,"Swvu.Summary._.Report._.For._.Pack.","ACwvu.Summary._.Report._.For._.Pack.",#N/A,FALSE,FALSE,1,0.5,0.5,0.5,1,"","&amp;L&amp;8&amp;F :&amp;A&amp;C&amp;8Page &amp;P of &amp;N&amp;R&amp;8&amp;D  &amp;T",TRUE,FALSE,FALSE,FALSE,1,85,#N/A,#N/A,"=R14C1:R78C10","=R1:R13","Rwvu.Summary._.Report._.For._.Pack.",#N/A,FALSE,FALSE,TRUE,9,#N/A,#N/A,FALSE,FALSE,TRUE,TRUE,TRUE}</definedName>
    <definedName name="wvu.Summary._.Report._.For._.Pack." hidden="1">{TRUE,TRUE,-1.25,-15.5,604.5,366.75,FALSE,TRUE,TRUE,TRUE,0,1,#N/A,1,#N/A,14.5740740740741,26.6428571428571,1,FALSE,FALSE,3,FALSE,1,FALSE,85,"Swvu.Summary._.Report._.For._.Pack.","ACwvu.Summary._.Report._.For._.Pack.",#N/A,FALSE,FALSE,1,0.5,0.5,0.5,1,"","&amp;L&amp;8&amp;F :&amp;A&amp;C&amp;8Page &amp;P of &amp;N&amp;R&amp;8&amp;D  &amp;T",TRUE,FALSE,FALSE,FALSE,1,85,#N/A,#N/A,"=R14C1:R78C10","=R1:R13","Rwvu.Summary._.Report._.For._.Pack.",#N/A,FALSE,FALSE,TRUE,9,#N/A,#N/A,FALSE,FALSE,TRUE,TRUE,TRUE}</definedName>
    <definedName name="ww" localSheetId="24" hidden="1">{#N/A,#N/A,FALSE,"동부"}</definedName>
    <definedName name="ww" localSheetId="18" hidden="1">{#N/A,#N/A,FALSE,"동부"}</definedName>
    <definedName name="ww" localSheetId="25" hidden="1">{#N/A,#N/A,FALSE,"동부"}</definedName>
    <definedName name="ww" hidden="1">{#N/A,#N/A,FALSE,"동부"}</definedName>
    <definedName name="www" localSheetId="24" hidden="1">{#N/A,#N/A,FALSE,"동부"}</definedName>
    <definedName name="www" localSheetId="18" hidden="1">{#N/A,#N/A,FALSE,"동부"}</definedName>
    <definedName name="www" localSheetId="25" hidden="1">{#N/A,#N/A,FALSE,"동부"}</definedName>
    <definedName name="www" hidden="1">{#N/A,#N/A,FALSE,"동부"}</definedName>
    <definedName name="WWWW" localSheetId="24" hidden="1">{#N/A,#N/A,FALSE,"손익표지";#N/A,#N/A,FALSE,"손익계산";#N/A,#N/A,FALSE,"일반관리비";#N/A,#N/A,FALSE,"영업외수익";#N/A,#N/A,FALSE,"영업외비용";#N/A,#N/A,FALSE,"매출액";#N/A,#N/A,FALSE,"요약손익";#N/A,#N/A,FALSE,"요약대차";#N/A,#N/A,FALSE,"매출채권현황";#N/A,#N/A,FALSE,"매출채권명세"}</definedName>
    <definedName name="WWWW" localSheetId="18" hidden="1">{#N/A,#N/A,FALSE,"손익표지";#N/A,#N/A,FALSE,"손익계산";#N/A,#N/A,FALSE,"일반관리비";#N/A,#N/A,FALSE,"영업외수익";#N/A,#N/A,FALSE,"영업외비용";#N/A,#N/A,FALSE,"매출액";#N/A,#N/A,FALSE,"요약손익";#N/A,#N/A,FALSE,"요약대차";#N/A,#N/A,FALSE,"매출채권현황";#N/A,#N/A,FALSE,"매출채권명세"}</definedName>
    <definedName name="WWWW" localSheetId="25" hidden="1">{#N/A,#N/A,FALSE,"손익표지";#N/A,#N/A,FALSE,"손익계산";#N/A,#N/A,FALSE,"일반관리비";#N/A,#N/A,FALSE,"영업외수익";#N/A,#N/A,FALSE,"영업외비용";#N/A,#N/A,FALSE,"매출액";#N/A,#N/A,FALSE,"요약손익";#N/A,#N/A,FALSE,"요약대차";#N/A,#N/A,FALSE,"매출채권현황";#N/A,#N/A,FALSE,"매출채권명세"}</definedName>
    <definedName name="WWWW" hidden="1">{#N/A,#N/A,FALSE,"손익표지";#N/A,#N/A,FALSE,"손익계산";#N/A,#N/A,FALSE,"일반관리비";#N/A,#N/A,FALSE,"영업외수익";#N/A,#N/A,FALSE,"영업외비용";#N/A,#N/A,FALSE,"매출액";#N/A,#N/A,FALSE,"요약손익";#N/A,#N/A,FALSE,"요약대차";#N/A,#N/A,FALSE,"매출채권현황";#N/A,#N/A,FALSE,"매출채권명세"}</definedName>
    <definedName name="x"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x"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x"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x"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xass" localSheetId="24" hidden="1">{#N/A,#N/A,TRUE,"대 차 대 조 표"}</definedName>
    <definedName name="xass" localSheetId="18" hidden="1">{#N/A,#N/A,TRUE,"대 차 대 조 표"}</definedName>
    <definedName name="xass" localSheetId="25" hidden="1">{#N/A,#N/A,TRUE,"대 차 대 조 표"}</definedName>
    <definedName name="xass" hidden="1">{#N/A,#N/A,TRUE,"대 차 대 조 표"}</definedName>
    <definedName name="xaxaswq" localSheetId="24" hidden="1">{"AnnualRentRoll",#N/A,FALSE,"RentRoll"}</definedName>
    <definedName name="xaxaswq" localSheetId="18" hidden="1">{"AnnualRentRoll",#N/A,FALSE,"RentRoll"}</definedName>
    <definedName name="xaxaswq" localSheetId="25" hidden="1">{"AnnualRentRoll",#N/A,FALSE,"RentRoll"}</definedName>
    <definedName name="xaxaswq" hidden="1">{"AnnualRentRoll",#N/A,FALSE,"RentRoll"}</definedName>
    <definedName name="xcxz" localSheetId="24" hidden="1">{"State",#N/A,FALSE,"state";"StatePM",#N/A,FALSE,"statepm";"Alpha",#N/A,FALSE,"alpha";"AlphaPM",#N/A,FALSE,"alphapm";"RGM",#N/A,FALSE,"rgm";"RGMMonth",#N/A,FALSE,"rgmpm";"Stab",#N/A,FALSE,"stab";"stabpm",#N/A,FALSE,"stabpm";"Trust",#N/A,FALSE,"trust";"TrustPM",#N/A,FALSE,"trustpm"}</definedName>
    <definedName name="xcxz" localSheetId="18" hidden="1">{"State",#N/A,FALSE,"state";"StatePM",#N/A,FALSE,"statepm";"Alpha",#N/A,FALSE,"alpha";"AlphaPM",#N/A,FALSE,"alphapm";"RGM",#N/A,FALSE,"rgm";"RGMMonth",#N/A,FALSE,"rgmpm";"Stab",#N/A,FALSE,"stab";"stabpm",#N/A,FALSE,"stabpm";"Trust",#N/A,FALSE,"trust";"TrustPM",#N/A,FALSE,"trustpm"}</definedName>
    <definedName name="xcxz" localSheetId="25" hidden="1">{"State",#N/A,FALSE,"state";"StatePM",#N/A,FALSE,"statepm";"Alpha",#N/A,FALSE,"alpha";"AlphaPM",#N/A,FALSE,"alphapm";"RGM",#N/A,FALSE,"rgm";"RGMMonth",#N/A,FALSE,"rgmpm";"Stab",#N/A,FALSE,"stab";"stabpm",#N/A,FALSE,"stabpm";"Trust",#N/A,FALSE,"trust";"TrustPM",#N/A,FALSE,"trustpm"}</definedName>
    <definedName name="xcxz" hidden="1">{"State",#N/A,FALSE,"state";"StatePM",#N/A,FALSE,"statepm";"Alpha",#N/A,FALSE,"alpha";"AlphaPM",#N/A,FALSE,"alphapm";"RGM",#N/A,FALSE,"rgm";"RGMMonth",#N/A,FALSE,"rgmpm";"Stab",#N/A,FALSE,"stab";"stabpm",#N/A,FALSE,"stabpm";"Trust",#N/A,FALSE,"trust";"TrustPM",#N/A,FALSE,"trustpm"}</definedName>
    <definedName name="XREF_COLUMN_10" hidden="1">#N/A</definedName>
    <definedName name="XREF_COLUMN_2" hidden="1">#N/A</definedName>
    <definedName name="XREF_COLUMN_3" hidden="1">#N/A</definedName>
    <definedName name="XREF_COLUMN_4" hidden="1">#N/A</definedName>
    <definedName name="XREF_COLUMN_5" hidden="1">#N/A</definedName>
    <definedName name="XREF_COLUMN_6" hidden="1">#N/A</definedName>
    <definedName name="XREF_COLUMN_7" hidden="1">#N/A</definedName>
    <definedName name="XREF_COLUMN_8" hidden="1">#N/A</definedName>
    <definedName name="XREF_COLUMN_9" hidden="1">#N/A</definedName>
    <definedName name="XRefColumnsCount" hidden="1">11</definedName>
    <definedName name="XRefCopy9Row" hidden="1">#N/A</definedName>
    <definedName name="XRefCopyRangeCount" hidden="1">6</definedName>
    <definedName name="XRefPaste56" hidden="1">#N/A</definedName>
    <definedName name="XRefPasteRangeCount" hidden="1">69</definedName>
    <definedName name="xxppo" localSheetId="24" hidden="1">{"AnnualRentRoll",#N/A,FALSE,"RentRoll"}</definedName>
    <definedName name="xxppo" localSheetId="18" hidden="1">{"AnnualRentRoll",#N/A,FALSE,"RentRoll"}</definedName>
    <definedName name="xxppo" localSheetId="25" hidden="1">{"AnnualRentRoll",#N/A,FALSE,"RentRoll"}</definedName>
    <definedName name="xxppo" hidden="1">{"AnnualRentRoll",#N/A,FALSE,"RentRoll"}</definedName>
    <definedName name="XXXXXX" localSheetId="24" hidden="1">{"'공사부문'!$A$6:$A$32"}</definedName>
    <definedName name="XXXXXX" localSheetId="18" hidden="1">{"'공사부문'!$A$6:$A$32"}</definedName>
    <definedName name="XXXXXX" localSheetId="25" hidden="1">{"'공사부문'!$A$6:$A$32"}</definedName>
    <definedName name="XXXXXX" hidden="1">{"'공사부문'!$A$6:$A$32"}</definedName>
    <definedName name="y" localSheetId="24" hidden="1">{"'용역비'!$A$4:$C$8"}</definedName>
    <definedName name="y" localSheetId="18" hidden="1">{"'용역비'!$A$4:$C$8"}</definedName>
    <definedName name="y" localSheetId="25" hidden="1">{"'용역비'!$A$4:$C$8"}</definedName>
    <definedName name="y" hidden="1">{"'용역비'!$A$4:$C$8"}</definedName>
    <definedName name="YFU" localSheetId="24" hidden="1">{"'용역비'!$A$4:$C$8"}</definedName>
    <definedName name="YFU" localSheetId="18" hidden="1">{"'용역비'!$A$4:$C$8"}</definedName>
    <definedName name="YFU" localSheetId="25" hidden="1">{"'용역비'!$A$4:$C$8"}</definedName>
    <definedName name="YFU" hidden="1">{"'용역비'!$A$4:$C$8"}</definedName>
    <definedName name="YL" localSheetId="24" hidden="1">{"'용역비'!$A$4:$C$8"}</definedName>
    <definedName name="YL" localSheetId="18" hidden="1">{"'용역비'!$A$4:$C$8"}</definedName>
    <definedName name="YL" localSheetId="25" hidden="1">{"'용역비'!$A$4:$C$8"}</definedName>
    <definedName name="YL" hidden="1">{"'용역비'!$A$4:$C$8"}</definedName>
    <definedName name="yt" localSheetId="24" hidden="1">{"AnnualRentRoll",#N/A,FALSE,"RentRoll"}</definedName>
    <definedName name="yt" localSheetId="18" hidden="1">{"AnnualRentRoll",#N/A,FALSE,"RentRoll"}</definedName>
    <definedName name="yt" localSheetId="25" hidden="1">{"AnnualRentRoll",#N/A,FALSE,"RentRoll"}</definedName>
    <definedName name="yt" hidden="1">{"AnnualRentRoll",#N/A,FALSE,"RentRoll"}</definedName>
    <definedName name="YTYTRYRYRYRE" localSheetId="24" hidden="1">{"BuildIn 2 Funding Assump",#N/A,FALSE,"Building Inputs";"BuildIn Capex plus Extras",#N/A,FALSE,"Building Inputs"}</definedName>
    <definedName name="YTYTRYRYRYRE" localSheetId="18" hidden="1">{"BuildIn 2 Funding Assump",#N/A,FALSE,"Building Inputs";"BuildIn Capex plus Extras",#N/A,FALSE,"Building Inputs"}</definedName>
    <definedName name="YTYTRYRYRYRE" localSheetId="25" hidden="1">{"BuildIn 2 Funding Assump",#N/A,FALSE,"Building Inputs";"BuildIn Capex plus Extras",#N/A,FALSE,"Building Inputs"}</definedName>
    <definedName name="YTYTRYRYRYRE" hidden="1">{"BuildIn 2 Funding Assump",#N/A,FALSE,"Building Inputs";"BuildIn Capex plus Extras",#N/A,FALSE,"Building Inputs"}</definedName>
    <definedName name="yu" localSheetId="24" hidden="1">{"'용역비'!$A$4:$C$8"}</definedName>
    <definedName name="yu" localSheetId="18" hidden="1">{"'용역비'!$A$4:$C$8"}</definedName>
    <definedName name="yu" localSheetId="25" hidden="1">{"'용역비'!$A$4:$C$8"}</definedName>
    <definedName name="yu" hidden="1">{"'용역비'!$A$4:$C$8"}</definedName>
    <definedName name="YUK" localSheetId="24" hidden="1">{"'용역비'!$A$4:$C$8"}</definedName>
    <definedName name="YUK" localSheetId="18" hidden="1">{"'용역비'!$A$4:$C$8"}</definedName>
    <definedName name="YUK" localSheetId="25" hidden="1">{"'용역비'!$A$4:$C$8"}</definedName>
    <definedName name="YUK" hidden="1">{"'용역비'!$A$4:$C$8"}</definedName>
    <definedName name="YUKOI" localSheetId="24" hidden="1">{"'용역비'!$A$4:$C$8"}</definedName>
    <definedName name="YUKOI" localSheetId="18" hidden="1">{"'용역비'!$A$4:$C$8"}</definedName>
    <definedName name="YUKOI" localSheetId="25" hidden="1">{"'용역비'!$A$4:$C$8"}</definedName>
    <definedName name="YUKOI" hidden="1">{"'용역비'!$A$4:$C$8"}</definedName>
    <definedName name="yyy" localSheetId="24" hidden="1">{#N/A,#N/A,FALSE,"지침";#N/A,#N/A,FALSE,"환경분석";#N/A,#N/A,FALSE,"Sheet16"}</definedName>
    <definedName name="yyy" localSheetId="18" hidden="1">{#N/A,#N/A,FALSE,"지침";#N/A,#N/A,FALSE,"환경분석";#N/A,#N/A,FALSE,"Sheet16"}</definedName>
    <definedName name="yyy" localSheetId="25" hidden="1">{#N/A,#N/A,FALSE,"지침";#N/A,#N/A,FALSE,"환경분석";#N/A,#N/A,FALSE,"Sheet16"}</definedName>
    <definedName name="yyy" hidden="1">{#N/A,#N/A,FALSE,"지침";#N/A,#N/A,FALSE,"환경분석";#N/A,#N/A,FALSE,"Sheet16"}</definedName>
    <definedName name="zsd" localSheetId="24" hidden="1">{#N/A,#N/A,FALSE,"Menu";#N/A,#N/A,FALSE,"Sch A";#N/A,#N/A,FALSE,"Print Dummy";#N/A,#N/A,FALSE,"Sch B";#N/A,#N/A,FALSE,"Sch C";#N/A,#N/A,FALSE,"Sch D";#N/A,#N/A,FALSE,"Sch E";#N/A,#N/A,FALSE,"Sch F";#N/A,#N/A,FALSE,"Sch G";#N/A,#N/A,FALSE,"Sch H";#N/A,#N/A,FALSE,"Sch I";#N/A,#N/A,FALSE,"Sch J"}</definedName>
    <definedName name="zsd" localSheetId="18" hidden="1">{#N/A,#N/A,FALSE,"Menu";#N/A,#N/A,FALSE,"Sch A";#N/A,#N/A,FALSE,"Print Dummy";#N/A,#N/A,FALSE,"Sch B";#N/A,#N/A,FALSE,"Sch C";#N/A,#N/A,FALSE,"Sch D";#N/A,#N/A,FALSE,"Sch E";#N/A,#N/A,FALSE,"Sch F";#N/A,#N/A,FALSE,"Sch G";#N/A,#N/A,FALSE,"Sch H";#N/A,#N/A,FALSE,"Sch I";#N/A,#N/A,FALSE,"Sch J"}</definedName>
    <definedName name="zsd" localSheetId="25" hidden="1">{#N/A,#N/A,FALSE,"Menu";#N/A,#N/A,FALSE,"Sch A";#N/A,#N/A,FALSE,"Print Dummy";#N/A,#N/A,FALSE,"Sch B";#N/A,#N/A,FALSE,"Sch C";#N/A,#N/A,FALSE,"Sch D";#N/A,#N/A,FALSE,"Sch E";#N/A,#N/A,FALSE,"Sch F";#N/A,#N/A,FALSE,"Sch G";#N/A,#N/A,FALSE,"Sch H";#N/A,#N/A,FALSE,"Sch I";#N/A,#N/A,FALSE,"Sch J"}</definedName>
    <definedName name="zsd" hidden="1">{#N/A,#N/A,FALSE,"Menu";#N/A,#N/A,FALSE,"Sch A";#N/A,#N/A,FALSE,"Print Dummy";#N/A,#N/A,FALSE,"Sch B";#N/A,#N/A,FALSE,"Sch C";#N/A,#N/A,FALSE,"Sch D";#N/A,#N/A,FALSE,"Sch E";#N/A,#N/A,FALSE,"Sch F";#N/A,#N/A,FALSE,"Sch G";#N/A,#N/A,FALSE,"Sch H";#N/A,#N/A,FALSE,"Sch I";#N/A,#N/A,FALSE,"Sch J"}</definedName>
    <definedName name="zxcvzxcvz" localSheetId="24" hidden="1">{"StatePM",#N/A,FALSE,"statepm";"TrustPM",#N/A,FALSE,"trustpm";"AlphaPM",#N/A,FALSE,"alphapm";"stabpm",#N/A,FALSE,"stabpm";"RGMMonth",#N/A,FALSE,"rgmpm"}</definedName>
    <definedName name="zxcvzxcvz" localSheetId="18" hidden="1">{"StatePM",#N/A,FALSE,"statepm";"TrustPM",#N/A,FALSE,"trustpm";"AlphaPM",#N/A,FALSE,"alphapm";"stabpm",#N/A,FALSE,"stabpm";"RGMMonth",#N/A,FALSE,"rgmpm"}</definedName>
    <definedName name="zxcvzxcvz" localSheetId="25" hidden="1">{"StatePM",#N/A,FALSE,"statepm";"TrustPM",#N/A,FALSE,"trustpm";"AlphaPM",#N/A,FALSE,"alphapm";"stabpm",#N/A,FALSE,"stabpm";"RGMMonth",#N/A,FALSE,"rgmpm"}</definedName>
    <definedName name="zxcvzxcvz" hidden="1">{"StatePM",#N/A,FALSE,"statepm";"TrustPM",#N/A,FALSE,"trustpm";"AlphaPM",#N/A,FALSE,"alphapm";"stabpm",#N/A,FALSE,"stabpm";"RGMMonth",#N/A,FALSE,"rgmpm"}</definedName>
    <definedName name="zxcvzxv" localSheetId="24" hidden="1">{"Alpha",#N/A,FALSE,"alpha";"AlphaPM",#N/A,FALSE,"alphapm"}</definedName>
    <definedName name="zxcvzxv" localSheetId="18" hidden="1">{"Alpha",#N/A,FALSE,"alpha";"AlphaPM",#N/A,FALSE,"alphapm"}</definedName>
    <definedName name="zxcvzxv" localSheetId="25" hidden="1">{"Alpha",#N/A,FALSE,"alpha";"AlphaPM",#N/A,FALSE,"alphapm"}</definedName>
    <definedName name="zxcvzxv" hidden="1">{"Alpha",#N/A,FALSE,"alpha";"AlphaPM",#N/A,FALSE,"alphapm"}</definedName>
    <definedName name="zxsa" localSheetId="24" hidden="1">{"AnnualRentRoll",#N/A,FALSE,"RentRoll"}</definedName>
    <definedName name="zxsa" localSheetId="18" hidden="1">{"AnnualRentRoll",#N/A,FALSE,"RentRoll"}</definedName>
    <definedName name="zxsa" localSheetId="25" hidden="1">{"AnnualRentRoll",#N/A,FALSE,"RentRoll"}</definedName>
    <definedName name="zxsa" hidden="1">{"AnnualRentRoll",#N/A,FALSE,"RentRoll"}</definedName>
    <definedName name="zz" localSheetId="24" hidden="1">{#N/A,#N/A,TRUE,"대 차 대 조 표"}</definedName>
    <definedName name="zz" localSheetId="18" hidden="1">{#N/A,#N/A,TRUE,"대 차 대 조 표"}</definedName>
    <definedName name="zz" localSheetId="25" hidden="1">{#N/A,#N/A,TRUE,"대 차 대 조 표"}</definedName>
    <definedName name="zz" hidden="1">{#N/A,#N/A,TRUE,"대 차 대 조 표"}</definedName>
    <definedName name="ZZZ"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ZZZ"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ZZZ"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ZZZ"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あああ" localSheetId="24" hidden="1">{#N/A,#N/A,FALSE,"財務PL";#N/A,#N/A,FALSE,"管理PL";#N/A,#N/A,FALSE,"経費明細";#N/A,#N/A,FALSE,"ﾃﾞｰﾀ整理表"}</definedName>
    <definedName name="あああ" localSheetId="18" hidden="1">{#N/A,#N/A,FALSE,"財務PL";#N/A,#N/A,FALSE,"管理PL";#N/A,#N/A,FALSE,"経費明細";#N/A,#N/A,FALSE,"ﾃﾞｰﾀ整理表"}</definedName>
    <definedName name="あああ" localSheetId="25" hidden="1">{#N/A,#N/A,FALSE,"財務PL";#N/A,#N/A,FALSE,"管理PL";#N/A,#N/A,FALSE,"経費明細";#N/A,#N/A,FALSE,"ﾃﾞｰﾀ整理表"}</definedName>
    <definedName name="あああ" hidden="1">{#N/A,#N/A,FALSE,"財務PL";#N/A,#N/A,FALSE,"管理PL";#N/A,#N/A,FALSE,"経費明細";#N/A,#N/A,FALSE,"ﾃﾞｰﾀ整理表"}</definedName>
    <definedName name="ああああ" localSheetId="24" hidden="1">{"REC1",#N/A,FALSE,"Focus";"REC2",#N/A,FALSE,"Focus";"REC3",#N/A,FALSE,"Focus";"REC4",#N/A,FALSE,"Focus"}</definedName>
    <definedName name="ああああ" localSheetId="18" hidden="1">{"REC1",#N/A,FALSE,"Focus";"REC2",#N/A,FALSE,"Focus";"REC3",#N/A,FALSE,"Focus";"REC4",#N/A,FALSE,"Focus"}</definedName>
    <definedName name="ああああ" localSheetId="25" hidden="1">{"REC1",#N/A,FALSE,"Focus";"REC2",#N/A,FALSE,"Focus";"REC3",#N/A,FALSE,"Focus";"REC4",#N/A,FALSE,"Focus"}</definedName>
    <definedName name="ああああ" hidden="1">{"REC1",#N/A,FALSE,"Focus";"REC2",#N/A,FALSE,"Focus";"REC3",#N/A,FALSE,"Focus";"REC4",#N/A,FALSE,"Focus"}</definedName>
    <definedName name="ああああああ" localSheetId="24" hidden="1">{#N/A,#N/A,FALSE,"Categories";#N/A,#N/A,FALSE,"MRi INCH";#N/A,#N/A,FALSE,"COA Usage";#N/A,#N/A,FALSE,"Detail"}</definedName>
    <definedName name="ああああああ" localSheetId="18" hidden="1">{#N/A,#N/A,FALSE,"Categories";#N/A,#N/A,FALSE,"MRi INCH";#N/A,#N/A,FALSE,"COA Usage";#N/A,#N/A,FALSE,"Detail"}</definedName>
    <definedName name="ああああああ" localSheetId="25" hidden="1">{#N/A,#N/A,FALSE,"Categories";#N/A,#N/A,FALSE,"MRi INCH";#N/A,#N/A,FALSE,"COA Usage";#N/A,#N/A,FALSE,"Detail"}</definedName>
    <definedName name="ああああああ" hidden="1">{#N/A,#N/A,FALSE,"Categories";#N/A,#N/A,FALSE,"MRi INCH";#N/A,#N/A,FALSE,"COA Usage";#N/A,#N/A,FALSE,"Detail"}</definedName>
    <definedName name="あああああああああああああああああああああああ" localSheetId="24" hidden="1">{"AnnualRentRoll",#N/A,FALSE,"RentRoll"}</definedName>
    <definedName name="あああああああああああああああああああああああ" localSheetId="18" hidden="1">{"AnnualRentRoll",#N/A,FALSE,"RentRoll"}</definedName>
    <definedName name="あああああああああああああああああああああああ" localSheetId="25" hidden="1">{"AnnualRentRoll",#N/A,FALSE,"RentRoll"}</definedName>
    <definedName name="あああああああああああああああああああああああ" hidden="1">{"AnnualRentRoll",#N/A,FALSE,"RentRoll"}</definedName>
    <definedName name="あああああああああああああああああああああああああああ" localSheetId="24" hidden="1">{"AnnualRentRoll",#N/A,FALSE,"RentRoll"}</definedName>
    <definedName name="あああああああああああああああああああああああああああ" localSheetId="18" hidden="1">{"AnnualRentRoll",#N/A,FALSE,"RentRoll"}</definedName>
    <definedName name="あああああああああああああああああああああああああああ" localSheetId="25" hidden="1">{"AnnualRentRoll",#N/A,FALSE,"RentRoll"}</definedName>
    <definedName name="あああああああああああああああああああああああああああ" hidden="1">{"AnnualRentRoll",#N/A,FALSE,"RentRoll"}</definedName>
    <definedName name="い１" localSheetId="24" hidden="1">{"Actual",#N/A,FALSE,"(価格)";"Market",#N/A,FALSE,"(価格)";"Plan",#N/A,FALSE,"(価格)"}</definedName>
    <definedName name="い１" localSheetId="18" hidden="1">{"Actual",#N/A,FALSE,"(価格)";"Market",#N/A,FALSE,"(価格)";"Plan",#N/A,FALSE,"(価格)"}</definedName>
    <definedName name="い１" localSheetId="25" hidden="1">{"Actual",#N/A,FALSE,"(価格)";"Market",#N/A,FALSE,"(価格)";"Plan",#N/A,FALSE,"(価格)"}</definedName>
    <definedName name="い１" hidden="1">{"Actual",#N/A,FALSE,"(価格)";"Market",#N/A,FALSE,"(価格)";"Plan",#N/A,FALSE,"(価格)"}</definedName>
    <definedName name="い２" localSheetId="24" hidden="1">{#N/A,#N/A,FALSE,"１";#N/A,#N/A,FALSE,"２";#N/A,#N/A,FALSE,"３";#N/A,#N/A,FALSE,"４"}</definedName>
    <definedName name="い２" localSheetId="18" hidden="1">{#N/A,#N/A,FALSE,"１";#N/A,#N/A,FALSE,"２";#N/A,#N/A,FALSE,"３";#N/A,#N/A,FALSE,"４"}</definedName>
    <definedName name="い２" localSheetId="25" hidden="1">{#N/A,#N/A,FALSE,"１";#N/A,#N/A,FALSE,"２";#N/A,#N/A,FALSE,"３";#N/A,#N/A,FALSE,"４"}</definedName>
    <definedName name="い２" hidden="1">{#N/A,#N/A,FALSE,"１";#N/A,#N/A,FALSE,"２";#N/A,#N/A,FALSE,"３";#N/A,#N/A,FALSE,"４"}</definedName>
    <definedName name="い３" localSheetId="24" hidden="1">{"ｹﾝﾄ（M)",#N/A,FALSE,"収支・日割";"ｹﾝﾄ（RD)",#N/A,FALSE,"収支・日割";"ｹﾝﾄ（PMC)",#N/A,FALSE,"収支・日割"}</definedName>
    <definedName name="い３" localSheetId="18" hidden="1">{"ｹﾝﾄ（M)",#N/A,FALSE,"収支・日割";"ｹﾝﾄ（RD)",#N/A,FALSE,"収支・日割";"ｹﾝﾄ（PMC)",#N/A,FALSE,"収支・日割"}</definedName>
    <definedName name="い３" localSheetId="25" hidden="1">{"ｹﾝﾄ（M)",#N/A,FALSE,"収支・日割";"ｹﾝﾄ（RD)",#N/A,FALSE,"収支・日割";"ｹﾝﾄ（PMC)",#N/A,FALSE,"収支・日割"}</definedName>
    <definedName name="い３" hidden="1">{"ｹﾝﾄ（M)",#N/A,FALSE,"収支・日割";"ｹﾝﾄ（RD)",#N/A,FALSE,"収支・日割";"ｹﾝﾄ（PMC)",#N/A,FALSE,"収支・日割"}</definedName>
    <definedName name="お" localSheetId="24" hidden="1">{"summary",#N/A,TRUE,"Focus";"interestexpense",#N/A,TRUE,"Focus";"interestincome",#N/A,TRUE,"Focus";"dividend",#N/A,TRUE,"Focus";"feeincome",#N/A,TRUE,"Focus";"gain",#N/A,TRUE,"Focus"}</definedName>
    <definedName name="お" localSheetId="18" hidden="1">{"summary",#N/A,TRUE,"Focus";"interestexpense",#N/A,TRUE,"Focus";"interestincome",#N/A,TRUE,"Focus";"dividend",#N/A,TRUE,"Focus";"feeincome",#N/A,TRUE,"Focus";"gain",#N/A,TRUE,"Focus"}</definedName>
    <definedName name="お" localSheetId="25" hidden="1">{"summary",#N/A,TRUE,"Focus";"interestexpense",#N/A,TRUE,"Focus";"interestincome",#N/A,TRUE,"Focus";"dividend",#N/A,TRUE,"Focus";"feeincome",#N/A,TRUE,"Focus";"gain",#N/A,TRUE,"Focus"}</definedName>
    <definedName name="お" hidden="1">{"summary",#N/A,TRUE,"Focus";"interestexpense",#N/A,TRUE,"Focus";"interestincome",#N/A,TRUE,"Focus";"dividend",#N/A,TRUE,"Focus";"feeincome",#N/A,TRUE,"Focus";"gain",#N/A,TRUE,"Focus"}</definedName>
    <definedName name="ス田ッキング" localSheetId="24" hidden="1">{#N/A,#N/A,FALSE,"OperatingAssumptions"}</definedName>
    <definedName name="ス田ッキング" localSheetId="18" hidden="1">{#N/A,#N/A,FALSE,"OperatingAssumptions"}</definedName>
    <definedName name="ス田ッキング" localSheetId="25" hidden="1">{#N/A,#N/A,FALSE,"OperatingAssumptions"}</definedName>
    <definedName name="ス田ッキング" hidden="1">{#N/A,#N/A,FALSE,"OperatingAssumptions"}</definedName>
    <definedName name="せ" localSheetId="24" hidden="1">{"AnnualRentRoll",#N/A,FALSE,"RentRoll"}</definedName>
    <definedName name="せ" localSheetId="18" hidden="1">{"AnnualRentRoll",#N/A,FALSE,"RentRoll"}</definedName>
    <definedName name="せ" localSheetId="25" hidden="1">{"AnnualRentRoll",#N/A,FALSE,"RentRoll"}</definedName>
    <definedName name="せ" hidden="1">{"AnnualRentRoll",#N/A,FALSE,"RentRoll"}</definedName>
    <definedName name="た" localSheetId="24" hidden="1">{"gain",#N/A,FALSE,"Focus"}</definedName>
    <definedName name="た" localSheetId="18" hidden="1">{"gain",#N/A,FALSE,"Focus"}</definedName>
    <definedName name="た" localSheetId="25" hidden="1">{"gain",#N/A,FALSE,"Focus"}</definedName>
    <definedName name="た" hidden="1">{"gain",#N/A,FALSE,"Focus"}</definedName>
    <definedName name="っｄ" localSheetId="24" hidden="1">{"'今後解決すべき点'!$M$26","'今後解決すべき点'!$A$1:$M$55"}</definedName>
    <definedName name="っｄ" localSheetId="18" hidden="1">{"'今後解決すべき点'!$M$26","'今後解決すべき点'!$A$1:$M$55"}</definedName>
    <definedName name="っｄ" localSheetId="25" hidden="1">{"'今後解決すべき点'!$M$26","'今後解決すべき点'!$A$1:$M$55"}</definedName>
    <definedName name="っｄ" hidden="1">{"'今後解決すべき点'!$M$26","'今後解決すべき点'!$A$1:$M$55"}</definedName>
    <definedName name="ナイス小石川" localSheetId="24" hidden="1">{"ｹﾝﾄ（M)",#N/A,FALSE,"収支・日割";"ｹﾝﾄ（RD)",#N/A,FALSE,"収支・日割";"ｹﾝﾄ（PMC)",#N/A,FALSE,"収支・日割"}</definedName>
    <definedName name="ナイス小石川" localSheetId="18" hidden="1">{"ｹﾝﾄ（M)",#N/A,FALSE,"収支・日割";"ｹﾝﾄ（RD)",#N/A,FALSE,"収支・日割";"ｹﾝﾄ（PMC)",#N/A,FALSE,"収支・日割"}</definedName>
    <definedName name="ナイス小石川" localSheetId="25" hidden="1">{"ｹﾝﾄ（M)",#N/A,FALSE,"収支・日割";"ｹﾝﾄ（RD)",#N/A,FALSE,"収支・日割";"ｹﾝﾄ（PMC)",#N/A,FALSE,"収支・日割"}</definedName>
    <definedName name="ナイス小石川" hidden="1">{"ｹﾝﾄ（M)",#N/A,FALSE,"収支・日割";"ｹﾝﾄ（RD)",#N/A,FALSE,"収支・日割";"ｹﾝﾄ（PMC)",#N/A,FALSE,"収支・日割"}</definedName>
    <definedName name="なにわサマリー" localSheetId="24" hidden="1">{"p",#N/A,FALSE,"Sheet1";"p 2",#N/A,FALSE,"Sheet1";"p 3",#N/A,FALSE,"Sheet1"}</definedName>
    <definedName name="なにわサマリー" localSheetId="18" hidden="1">{"p",#N/A,FALSE,"Sheet1";"p 2",#N/A,FALSE,"Sheet1";"p 3",#N/A,FALSE,"Sheet1"}</definedName>
    <definedName name="なにわサマリー" localSheetId="25" hidden="1">{"p",#N/A,FALSE,"Sheet1";"p 2",#N/A,FALSE,"Sheet1";"p 3",#N/A,FALSE,"Sheet1"}</definedName>
    <definedName name="なにわサマリー" hidden="1">{"p",#N/A,FALSE,"Sheet1";"p 2",#N/A,FALSE,"Sheet1";"p 3",#N/A,FALSE,"Sheet1"}</definedName>
    <definedName name="マスターリース賃料" localSheetId="24" hidden="1">{"賃貸事例比較法",#N/A,FALSE,"Sheet2";"賃貸条件",#N/A,FALSE,"Sheet2"}</definedName>
    <definedName name="マスターリース賃料" localSheetId="18" hidden="1">{"賃貸事例比較法",#N/A,FALSE,"Sheet2";"賃貸条件",#N/A,FALSE,"Sheet2"}</definedName>
    <definedName name="マスターリース賃料" localSheetId="25" hidden="1">{"賃貸事例比較法",#N/A,FALSE,"Sheet2";"賃貸条件",#N/A,FALSE,"Sheet2"}</definedName>
    <definedName name="マスターリース賃料" hidden="1">{"賃貸事例比較法",#N/A,FALSE,"Sheet2";"賃貸条件",#N/A,FALSE,"Sheet2"}</definedName>
    <definedName name="メール" localSheetId="24" hidden="1">{"MonthlyRentRoll",#N/A,FALSE,"RentRoll"}</definedName>
    <definedName name="メール" localSheetId="18" hidden="1">{"MonthlyRentRoll",#N/A,FALSE,"RentRoll"}</definedName>
    <definedName name="メール" localSheetId="25" hidden="1">{"MonthlyRentRoll",#N/A,FALSE,"RentRoll"}</definedName>
    <definedName name="メール" hidden="1">{"MonthlyRentRoll",#N/A,FALSE,"RentRoll"}</definedName>
    <definedName name="や" localSheetId="24" hidden="1">{#N/A,#N/A,FALSE,"１";#N/A,#N/A,FALSE,"２";#N/A,#N/A,FALSE,"３";#N/A,#N/A,FALSE,"４"}</definedName>
    <definedName name="や" localSheetId="18" hidden="1">{#N/A,#N/A,FALSE,"１";#N/A,#N/A,FALSE,"２";#N/A,#N/A,FALSE,"３";#N/A,#N/A,FALSE,"４"}</definedName>
    <definedName name="や" localSheetId="25" hidden="1">{#N/A,#N/A,FALSE,"１";#N/A,#N/A,FALSE,"２";#N/A,#N/A,FALSE,"３";#N/A,#N/A,FALSE,"４"}</definedName>
    <definedName name="や" hidden="1">{#N/A,#N/A,FALSE,"１";#N/A,#N/A,FALSE,"２";#N/A,#N/A,FALSE,"３";#N/A,#N/A,FALSE,"４"}</definedName>
    <definedName name="り" localSheetId="24" hidden="1">{#N/A,#N/A,FALSE,"１";#N/A,#N/A,FALSE,"２";#N/A,#N/A,FALSE,"３";#N/A,#N/A,FALSE,"４"}</definedName>
    <definedName name="り" localSheetId="18" hidden="1">{#N/A,#N/A,FALSE,"１";#N/A,#N/A,FALSE,"２";#N/A,#N/A,FALSE,"３";#N/A,#N/A,FALSE,"４"}</definedName>
    <definedName name="り" localSheetId="25" hidden="1">{#N/A,#N/A,FALSE,"１";#N/A,#N/A,FALSE,"２";#N/A,#N/A,FALSE,"３";#N/A,#N/A,FALSE,"４"}</definedName>
    <definedName name="り" hidden="1">{#N/A,#N/A,FALSE,"１";#N/A,#N/A,FALSE,"２";#N/A,#N/A,FALSE,"３";#N/A,#N/A,FALSE,"４"}</definedName>
    <definedName name="リース" localSheetId="24" hidden="1">{"Actual",#N/A,FALSE,"(価格)";"Market",#N/A,FALSE,"(価格)";"Plan",#N/A,FALSE,"(価格)"}</definedName>
    <definedName name="リース" localSheetId="18" hidden="1">{"Actual",#N/A,FALSE,"(価格)";"Market",#N/A,FALSE,"(価格)";"Plan",#N/A,FALSE,"(価格)"}</definedName>
    <definedName name="リース" localSheetId="25" hidden="1">{"Actual",#N/A,FALSE,"(価格)";"Market",#N/A,FALSE,"(価格)";"Plan",#N/A,FALSE,"(価格)"}</definedName>
    <definedName name="リース" hidden="1">{"Actual",#N/A,FALSE,"(価格)";"Market",#N/A,FALSE,"(価格)";"Plan",#N/A,FALSE,"(価格)"}</definedName>
    <definedName name="れ" localSheetId="24" hidden="1">{"REC1",#N/A,FALSE,"Focus";"REC2",#N/A,FALSE,"Focus";"REC3",#N/A,FALSE,"Focus";"REC4",#N/A,FALSE,"Focus"}</definedName>
    <definedName name="れ" localSheetId="18" hidden="1">{"REC1",#N/A,FALSE,"Focus";"REC2",#N/A,FALSE,"Focus";"REC3",#N/A,FALSE,"Focus";"REC4",#N/A,FALSE,"Focus"}</definedName>
    <definedName name="れ" localSheetId="25" hidden="1">{"REC1",#N/A,FALSE,"Focus";"REC2",#N/A,FALSE,"Focus";"REC3",#N/A,FALSE,"Focus";"REC4",#N/A,FALSE,"Focus"}</definedName>
    <definedName name="れ" hidden="1">{"REC1",#N/A,FALSE,"Focus";"REC2",#N/A,FALSE,"Focus";"REC3",#N/A,FALSE,"Focus";"REC4",#N/A,FALSE,"Focus"}</definedName>
    <definedName name="れああｇれ" localSheetId="24" hidden="1">{#N/A,#N/A,FALSE,"5-1";#N/A,#N/A,FALSE,"5-2";#N/A,#N/A,FALSE,"5-6";#N/A,#N/A,FALSE,"5-9";#N/A,#N/A,FALSE,"5-15";#N/A,#N/A,FALSE,"5-32";#N/A,#N/A,FALSE,"5-34"}</definedName>
    <definedName name="れああｇれ" localSheetId="18" hidden="1">{#N/A,#N/A,FALSE,"5-1";#N/A,#N/A,FALSE,"5-2";#N/A,#N/A,FALSE,"5-6";#N/A,#N/A,FALSE,"5-9";#N/A,#N/A,FALSE,"5-15";#N/A,#N/A,FALSE,"5-32";#N/A,#N/A,FALSE,"5-34"}</definedName>
    <definedName name="れああｇれ" localSheetId="25" hidden="1">{#N/A,#N/A,FALSE,"5-1";#N/A,#N/A,FALSE,"5-2";#N/A,#N/A,FALSE,"5-6";#N/A,#N/A,FALSE,"5-9";#N/A,#N/A,FALSE,"5-15";#N/A,#N/A,FALSE,"5-32";#N/A,#N/A,FALSE,"5-34"}</definedName>
    <definedName name="れああｇれ" hidden="1">{#N/A,#N/A,FALSE,"5-1";#N/A,#N/A,FALSE,"5-2";#N/A,#N/A,FALSE,"5-6";#N/A,#N/A,FALSE,"5-9";#N/A,#N/A,FALSE,"5-15";#N/A,#N/A,FALSE,"5-32";#N/A,#N/A,FALSE,"5-34"}</definedName>
    <definedName name="レント" localSheetId="24" hidden="1">{"ｹﾝﾄ（M)",#N/A,FALSE,"収支・日割";"ｹﾝﾄ（RD)",#N/A,FALSE,"収支・日割";"ｹﾝﾄ（PMC)",#N/A,FALSE,"収支・日割"}</definedName>
    <definedName name="レント" localSheetId="18" hidden="1">{"ｹﾝﾄ（M)",#N/A,FALSE,"収支・日割";"ｹﾝﾄ（RD)",#N/A,FALSE,"収支・日割";"ｹﾝﾄ（PMC)",#N/A,FALSE,"収支・日割"}</definedName>
    <definedName name="レント" localSheetId="25" hidden="1">{"ｹﾝﾄ（M)",#N/A,FALSE,"収支・日割";"ｹﾝﾄ（RD)",#N/A,FALSE,"収支・日割";"ｹﾝﾄ（PMC)",#N/A,FALSE,"収支・日割"}</definedName>
    <definedName name="レント" hidden="1">{"ｹﾝﾄ（M)",#N/A,FALSE,"収支・日割";"ｹﾝﾄ（RD)",#N/A,FALSE,"収支・日割";"ｹﾝﾄ（PMC)",#N/A,FALSE,"収支・日割"}</definedName>
    <definedName name="ㄱㄱ" localSheetId="24" hidden="1">{"'용역비'!$A$4:$C$8"}</definedName>
    <definedName name="ㄱㄱ" localSheetId="18" hidden="1">{"'용역비'!$A$4:$C$8"}</definedName>
    <definedName name="ㄱㄱ" localSheetId="25" hidden="1">{"'용역비'!$A$4:$C$8"}</definedName>
    <definedName name="ㄱㄱ" hidden="1">{"'용역비'!$A$4:$C$8"}</definedName>
    <definedName name="ㄱㄱㄱ" localSheetId="24" hidden="1">{"'용역비'!$A$4:$C$8"}</definedName>
    <definedName name="ㄱㄱㄱ" localSheetId="18" hidden="1">{"'용역비'!$A$4:$C$8"}</definedName>
    <definedName name="ㄱㄱㄱ" localSheetId="25" hidden="1">{"'용역비'!$A$4:$C$8"}</definedName>
    <definedName name="ㄱㄱㄱ" hidden="1">{"'용역비'!$A$4:$C$8"}</definedName>
    <definedName name="ㄱㄱㄱㄱ" localSheetId="24" hidden="1">{#N/A,#N/A,FALSE,"지침";#N/A,#N/A,FALSE,"환경분석";#N/A,#N/A,FALSE,"Sheet16"}</definedName>
    <definedName name="ㄱㄱㄱㄱ" localSheetId="18" hidden="1">{#N/A,#N/A,FALSE,"지침";#N/A,#N/A,FALSE,"환경분석";#N/A,#N/A,FALSE,"Sheet16"}</definedName>
    <definedName name="ㄱㄱㄱㄱ" localSheetId="25" hidden="1">{#N/A,#N/A,FALSE,"지침";#N/A,#N/A,FALSE,"환경분석";#N/A,#N/A,FALSE,"Sheet16"}</definedName>
    <definedName name="ㄱㄱㄱㄱ" hidden="1">{#N/A,#N/A,FALSE,"지침";#N/A,#N/A,FALSE,"환경분석";#N/A,#N/A,FALSE,"Sheet16"}</definedName>
    <definedName name="ㄱㄱㄱㄱㄱ" localSheetId="24" hidden="1">{"'용역비'!$A$4:$C$8"}</definedName>
    <definedName name="ㄱㄱㄱㄱㄱ" localSheetId="18" hidden="1">{"'용역비'!$A$4:$C$8"}</definedName>
    <definedName name="ㄱㄱㄱㄱㄱ" localSheetId="25" hidden="1">{"'용역비'!$A$4:$C$8"}</definedName>
    <definedName name="ㄱㄱㄱㄱㄱ" hidden="1">{"'용역비'!$A$4:$C$8"}</definedName>
    <definedName name="ㄱㄱㄱㄱㄱㄱ" localSheetId="24" hidden="1">{"'용역비'!$A$4:$C$8"}</definedName>
    <definedName name="ㄱㄱㄱㄱㄱㄱ" localSheetId="18" hidden="1">{"'용역비'!$A$4:$C$8"}</definedName>
    <definedName name="ㄱㄱㄱㄱㄱㄱ" localSheetId="25" hidden="1">{"'용역비'!$A$4:$C$8"}</definedName>
    <definedName name="ㄱㄱㄱㄱㄱㄱ" hidden="1">{"'용역비'!$A$4:$C$8"}</definedName>
    <definedName name="ㄱㄱㄷㅎㅇ" localSheetId="24" hidden="1">{#N/A,#N/A,FALSE,"동부"}</definedName>
    <definedName name="ㄱㄱㄷㅎㅇ" localSheetId="18" hidden="1">{#N/A,#N/A,FALSE,"동부"}</definedName>
    <definedName name="ㄱㄱㄷㅎㅇ" localSheetId="25" hidden="1">{#N/A,#N/A,FALSE,"동부"}</definedName>
    <definedName name="ㄱㄱㄷㅎㅇ" hidden="1">{#N/A,#N/A,FALSE,"동부"}</definedName>
    <definedName name="ㄱㄱㅈㄷㅂ"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ㄱㄱㅈㄷㅂ"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ㄱㄱㅈㄷㅂ"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ㄱㄱㅈㄷㅂ" hidden="1">{#N/A,#N/A,FALSE,"손익표지";#N/A,#N/A,FALSE,"손익계산";#N/A,#N/A,FALSE,"일반관리비";#N/A,#N/A,FALSE,"영업외수익";#N/A,#N/A,FALSE,"영업외비용";#N/A,#N/A,FALSE,"매출액";#N/A,#N/A,FALSE,"요약손익";#N/A,#N/A,FALSE,"요약대차";#N/A,#N/A,FALSE,"매출채권현황";#N/A,#N/A,FALSE,"매출채권명세"}</definedName>
    <definedName name="ㄱㄷㄹㅇ" localSheetId="24" hidden="1">{#N/A,#N/A,FALSE,"동부"}</definedName>
    <definedName name="ㄱㄷㄹㅇ" localSheetId="18" hidden="1">{#N/A,#N/A,FALSE,"동부"}</definedName>
    <definedName name="ㄱㄷㄹㅇ" localSheetId="25" hidden="1">{#N/A,#N/A,FALSE,"동부"}</definedName>
    <definedName name="ㄱㄷㄹㅇ" hidden="1">{#N/A,#N/A,FALSE,"동부"}</definedName>
    <definedName name="ㄱㄷㅅㄱㄷ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ㄱㄷㅅㄱㄷㅅ"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ㄱㄷㅅㄱㄷㅅ"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ㄱㄷㅅㄱㄷㅅ" hidden="1">{#N/A,#N/A,FALSE,"손익표지";#N/A,#N/A,FALSE,"손익계산";#N/A,#N/A,FALSE,"일반관리비";#N/A,#N/A,FALSE,"영업외수익";#N/A,#N/A,FALSE,"영업외비용";#N/A,#N/A,FALSE,"매출액";#N/A,#N/A,FALSE,"요약손익";#N/A,#N/A,FALSE,"요약대차";#N/A,#N/A,FALSE,"매출채권현황";#N/A,#N/A,FALSE,"매출채권명세"}</definedName>
    <definedName name="ㄱㄷㅅㅎㄷ" localSheetId="24" hidden="1">{#N/A,#N/A,FALSE,"수지분석";#N/A,#N/A,FALSE,"수지분석"}</definedName>
    <definedName name="ㄱㄷㅅㅎㄷ" localSheetId="18" hidden="1">{#N/A,#N/A,FALSE,"수지분석";#N/A,#N/A,FALSE,"수지분석"}</definedName>
    <definedName name="ㄱㄷㅅㅎㄷ" localSheetId="25" hidden="1">{#N/A,#N/A,FALSE,"수지분석";#N/A,#N/A,FALSE,"수지분석"}</definedName>
    <definedName name="ㄱㄷㅅㅎㄷ" hidden="1">{#N/A,#N/A,FALSE,"수지분석";#N/A,#N/A,FALSE,"수지분석"}</definedName>
    <definedName name="ㄱㄷㅈㄷ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ㄱㄷㅈㄷ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ㄱㄷㅈㄷㄱ"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ㄱㄷㅈㄷㄱ" hidden="1">{#N/A,#N/A,FALSE,"손익표지";#N/A,#N/A,FALSE,"손익계산";#N/A,#N/A,FALSE,"일반관리비";#N/A,#N/A,FALSE,"영업외수익";#N/A,#N/A,FALSE,"영업외비용";#N/A,#N/A,FALSE,"매출액";#N/A,#N/A,FALSE,"요약손익";#N/A,#N/A,FALSE,"요약대차";#N/A,#N/A,FALSE,"매출채권현황";#N/A,#N/A,FALSE,"매출채권명세"}</definedName>
    <definedName name="ㄱㄷㅈㅅㅈ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ㄱㄷㅈㅅㅈ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ㄱㄷㅈㅅㅈㄷ"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ㄱㄷㅈㅅㅈㄷ" hidden="1">{#N/A,#N/A,FALSE,"손익표지";#N/A,#N/A,FALSE,"손익계산";#N/A,#N/A,FALSE,"일반관리비";#N/A,#N/A,FALSE,"영업외수익";#N/A,#N/A,FALSE,"영업외비용";#N/A,#N/A,FALSE,"매출액";#N/A,#N/A,FALSE,"요약손익";#N/A,#N/A,FALSE,"요약대차";#N/A,#N/A,FALSE,"매출채권현황";#N/A,#N/A,FALSE,"매출채권명세"}</definedName>
    <definedName name="ㄱㄷㅎㅇ" localSheetId="24" hidden="1">{#N/A,#N/A,FALSE,"동부"}</definedName>
    <definedName name="ㄱㄷㅎㅇ" localSheetId="18" hidden="1">{#N/A,#N/A,FALSE,"동부"}</definedName>
    <definedName name="ㄱㄷㅎㅇ" localSheetId="25" hidden="1">{#N/A,#N/A,FALSE,"동부"}</definedName>
    <definedName name="ㄱㄷㅎㅇ" hidden="1">{#N/A,#N/A,FALSE,"동부"}</definedName>
    <definedName name="ㄱㄹㅇㅎㅇ" localSheetId="24" hidden="1">{"OpCostIn Technical",#N/A,FALSE,"Operations Cost Inputs";"OpCostIn V plus F",#N/A,FALSE,"Operations Cost Inputs";"OpCostIn Maint",#N/A,FALSE,"Operations Cost Inputs";"OpCostIn LDs Add Cost",#N/A,FALSE,"Operations Cost Inputs"}</definedName>
    <definedName name="ㄱㄹㅇㅎㅇ" localSheetId="18" hidden="1">{"OpCostIn Technical",#N/A,FALSE,"Operations Cost Inputs";"OpCostIn V plus F",#N/A,FALSE,"Operations Cost Inputs";"OpCostIn Maint",#N/A,FALSE,"Operations Cost Inputs";"OpCostIn LDs Add Cost",#N/A,FALSE,"Operations Cost Inputs"}</definedName>
    <definedName name="ㄱㄹㅇㅎㅇ" localSheetId="25" hidden="1">{"OpCostIn Technical",#N/A,FALSE,"Operations Cost Inputs";"OpCostIn V plus F",#N/A,FALSE,"Operations Cost Inputs";"OpCostIn Maint",#N/A,FALSE,"Operations Cost Inputs";"OpCostIn LDs Add Cost",#N/A,FALSE,"Operations Cost Inputs"}</definedName>
    <definedName name="ㄱㄹㅇㅎㅇ" hidden="1">{"OpCostIn Technical",#N/A,FALSE,"Operations Cost Inputs";"OpCostIn V plus F",#N/A,FALSE,"Operations Cost Inputs";"OpCostIn Maint",#N/A,FALSE,"Operations Cost Inputs";"OpCostIn LDs Add Cost",#N/A,FALSE,"Operations Cost Inputs"}</definedName>
    <definedName name="ㄱㄺㄹ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ㄱㄺㄹ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ㄱㄺㄹㄷ"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ㄱㄺㄹㄷ" hidden="1">{#N/A,#N/A,FALSE,"손익표지";#N/A,#N/A,FALSE,"손익계산";#N/A,#N/A,FALSE,"일반관리비";#N/A,#N/A,FALSE,"영업외수익";#N/A,#N/A,FALSE,"영업외비용";#N/A,#N/A,FALSE,"매출액";#N/A,#N/A,FALSE,"요약손익";#N/A,#N/A,FALSE,"요약대차";#N/A,#N/A,FALSE,"매출채권현황";#N/A,#N/A,FALSE,"매출채권명세"}</definedName>
    <definedName name="ㄱㄻㄹ" localSheetId="24" hidden="1">{#N/A,#N/A,FALSE,"동부"}</definedName>
    <definedName name="ㄱㄻㄹ" localSheetId="18" hidden="1">{#N/A,#N/A,FALSE,"동부"}</definedName>
    <definedName name="ㄱㄻㄹ" localSheetId="25" hidden="1">{#N/A,#N/A,FALSE,"동부"}</definedName>
    <definedName name="ㄱㄻㄹ" hidden="1">{#N/A,#N/A,FALSE,"동부"}</definedName>
    <definedName name="ㄱㅇㄴㄹ" localSheetId="24" hidden="1">{#N/A,#N/A,FALSE,"동부"}</definedName>
    <definedName name="ㄱㅇㄴㄹ" localSheetId="18" hidden="1">{#N/A,#N/A,FALSE,"동부"}</definedName>
    <definedName name="ㄱㅇㄴㄹ" localSheetId="25" hidden="1">{#N/A,#N/A,FALSE,"동부"}</definedName>
    <definedName name="ㄱㅇㄴㄹ" hidden="1">{#N/A,#N/A,FALSE,"동부"}</definedName>
    <definedName name="ㄱㅇㅎㄴ" localSheetId="24" hidden="1">{"Const Costs Dev",#N/A,FALSE,"Construction Cost Inputs";"Const Costs orig ccy",#N/A,FALSE,"Construction Cost Inputs";"Const Costs USD",#N/A,FALSE,"Construction Cost Inputs"}</definedName>
    <definedName name="ㄱㅇㅎㄴ" localSheetId="18" hidden="1">{"Const Costs Dev",#N/A,FALSE,"Construction Cost Inputs";"Const Costs orig ccy",#N/A,FALSE,"Construction Cost Inputs";"Const Costs USD",#N/A,FALSE,"Construction Cost Inputs"}</definedName>
    <definedName name="ㄱㅇㅎㄴ" localSheetId="25" hidden="1">{"Const Costs Dev",#N/A,FALSE,"Construction Cost Inputs";"Const Costs orig ccy",#N/A,FALSE,"Construction Cost Inputs";"Const Costs USD",#N/A,FALSE,"Construction Cost Inputs"}</definedName>
    <definedName name="ㄱㅇㅎㄴ" hidden="1">{"Const Costs Dev",#N/A,FALSE,"Construction Cost Inputs";"Const Costs orig ccy",#N/A,FALSE,"Construction Cost Inputs";"Const Costs USD",#N/A,FALSE,"Construction Cost Inputs"}</definedName>
    <definedName name="ㄱㅍㅇㅎㄴ" localSheetId="24" hidden="1">{"AJD",#N/A,TRUE,"Summary";"AJD",#N/A,TRUE,"CFCONC-outputs";"AJD",#N/A,TRUE,"P&amp;LCONC-outputs";"AJD",#N/A,TRUE,"BSCONC-outputs";"AJD",#N/A,TRUE,"FSCONC-outputs"}</definedName>
    <definedName name="ㄱㅍㅇㅎㄴ" localSheetId="18" hidden="1">{"AJD",#N/A,TRUE,"Summary";"AJD",#N/A,TRUE,"CFCONC-outputs";"AJD",#N/A,TRUE,"P&amp;LCONC-outputs";"AJD",#N/A,TRUE,"BSCONC-outputs";"AJD",#N/A,TRUE,"FSCONC-outputs"}</definedName>
    <definedName name="ㄱㅍㅇㅎㄴ" localSheetId="25" hidden="1">{"AJD",#N/A,TRUE,"Summary";"AJD",#N/A,TRUE,"CFCONC-outputs";"AJD",#N/A,TRUE,"P&amp;LCONC-outputs";"AJD",#N/A,TRUE,"BSCONC-outputs";"AJD",#N/A,TRUE,"FSCONC-outputs"}</definedName>
    <definedName name="ㄱㅍㅇㅎㄴ" hidden="1">{"AJD",#N/A,TRUE,"Summary";"AJD",#N/A,TRUE,"CFCONC-outputs";"AJD",#N/A,TRUE,"P&amp;LCONC-outputs";"AJD",#N/A,TRUE,"BSCONC-outputs";"AJD",#N/A,TRUE,"FSCONC-outputs"}</definedName>
    <definedName name="ㄱㅎ" localSheetId="24" hidden="1">{"'용역비'!$A$4:$C$8"}</definedName>
    <definedName name="ㄱㅎ" localSheetId="18" hidden="1">{"'용역비'!$A$4:$C$8"}</definedName>
    <definedName name="ㄱㅎ" localSheetId="25" hidden="1">{"'용역비'!$A$4:$C$8"}</definedName>
    <definedName name="ㄱㅎ" hidden="1">{"'용역비'!$A$4:$C$8"}</definedName>
    <definedName name="ㄱㅎㄹㅇㅎ" localSheetId="24" hidden="1">{#N/A,#N/A,FALSE,"동부"}</definedName>
    <definedName name="ㄱㅎㄹㅇㅎ" localSheetId="18" hidden="1">{#N/A,#N/A,FALSE,"동부"}</definedName>
    <definedName name="ㄱㅎㄹㅇㅎ" localSheetId="25" hidden="1">{#N/A,#N/A,FALSE,"동부"}</definedName>
    <definedName name="ㄱㅎㄹㅇㅎ" hidden="1">{#N/A,#N/A,FALSE,"동부"}</definedName>
    <definedName name="ㄱ히망ㅎ" localSheetId="24" hidden="1">{#N/A,#N/A,FALSE,"1.CRITERIA";#N/A,#N/A,FALSE,"2.IS";#N/A,#N/A,FALSE,"3.BS";#N/A,#N/A,FALSE,"4.PER PL";#N/A,#N/A,FALSE,"5.INVESTMENT";#N/A,#N/A,FALSE,"6.공문";#N/A,#N/A,FALSE,"7.netinvest"}</definedName>
    <definedName name="ㄱ히망ㅎ" localSheetId="18" hidden="1">{#N/A,#N/A,FALSE,"1.CRITERIA";#N/A,#N/A,FALSE,"2.IS";#N/A,#N/A,FALSE,"3.BS";#N/A,#N/A,FALSE,"4.PER PL";#N/A,#N/A,FALSE,"5.INVESTMENT";#N/A,#N/A,FALSE,"6.공문";#N/A,#N/A,FALSE,"7.netinvest"}</definedName>
    <definedName name="ㄱ히망ㅎ" localSheetId="25" hidden="1">{#N/A,#N/A,FALSE,"1.CRITERIA";#N/A,#N/A,FALSE,"2.IS";#N/A,#N/A,FALSE,"3.BS";#N/A,#N/A,FALSE,"4.PER PL";#N/A,#N/A,FALSE,"5.INVESTMENT";#N/A,#N/A,FALSE,"6.공문";#N/A,#N/A,FALSE,"7.netinvest"}</definedName>
    <definedName name="ㄱ히망ㅎ" hidden="1">{#N/A,#N/A,FALSE,"1.CRITERIA";#N/A,#N/A,FALSE,"2.IS";#N/A,#N/A,FALSE,"3.BS";#N/A,#N/A,FALSE,"4.PER PL";#N/A,#N/A,FALSE,"5.INVESTMENT";#N/A,#N/A,FALSE,"6.공문";#N/A,#N/A,FALSE,"7.netinvest"}</definedName>
    <definedName name="가" localSheetId="24" hidden="1">{#N/A,#N/A,FALSE,"1.CRITERIA";#N/A,#N/A,FALSE,"2.IS";#N/A,#N/A,FALSE,"3.BS";#N/A,#N/A,FALSE,"4.PER PL";#N/A,#N/A,FALSE,"5.INVESTMENT";#N/A,#N/A,FALSE,"6.공문";#N/A,#N/A,FALSE,"7.netinvest"}</definedName>
    <definedName name="가" localSheetId="18" hidden="1">{#N/A,#N/A,FALSE,"1.CRITERIA";#N/A,#N/A,FALSE,"2.IS";#N/A,#N/A,FALSE,"3.BS";#N/A,#N/A,FALSE,"4.PER PL";#N/A,#N/A,FALSE,"5.INVESTMENT";#N/A,#N/A,FALSE,"6.공문";#N/A,#N/A,FALSE,"7.netinvest"}</definedName>
    <definedName name="가" localSheetId="25" hidden="1">{#N/A,#N/A,FALSE,"1.CRITERIA";#N/A,#N/A,FALSE,"2.IS";#N/A,#N/A,FALSE,"3.BS";#N/A,#N/A,FALSE,"4.PER PL";#N/A,#N/A,FALSE,"5.INVESTMENT";#N/A,#N/A,FALSE,"6.공문";#N/A,#N/A,FALSE,"7.netinvest"}</definedName>
    <definedName name="가" hidden="1">{#N/A,#N/A,FALSE,"1.CRITERIA";#N/A,#N/A,FALSE,"2.IS";#N/A,#N/A,FALSE,"3.BS";#N/A,#N/A,FALSE,"4.PER PL";#N/A,#N/A,FALSE,"5.INVESTMENT";#N/A,#N/A,FALSE,"6.공문";#N/A,#N/A,FALSE,"7.netinvest"}</definedName>
    <definedName name="가가" localSheetId="24" hidden="1">{#N/A,#N/A,FALSE,"1.CRITERIA";#N/A,#N/A,FALSE,"2.IS";#N/A,#N/A,FALSE,"3.BS";#N/A,#N/A,FALSE,"4.PER PL";#N/A,#N/A,FALSE,"5.INVESTMENT";#N/A,#N/A,FALSE,"6.공문";#N/A,#N/A,FALSE,"7.netinvest"}</definedName>
    <definedName name="가가" localSheetId="18" hidden="1">{#N/A,#N/A,FALSE,"1.CRITERIA";#N/A,#N/A,FALSE,"2.IS";#N/A,#N/A,FALSE,"3.BS";#N/A,#N/A,FALSE,"4.PER PL";#N/A,#N/A,FALSE,"5.INVESTMENT";#N/A,#N/A,FALSE,"6.공문";#N/A,#N/A,FALSE,"7.netinvest"}</definedName>
    <definedName name="가가" localSheetId="25" hidden="1">{#N/A,#N/A,FALSE,"1.CRITERIA";#N/A,#N/A,FALSE,"2.IS";#N/A,#N/A,FALSE,"3.BS";#N/A,#N/A,FALSE,"4.PER PL";#N/A,#N/A,FALSE,"5.INVESTMENT";#N/A,#N/A,FALSE,"6.공문";#N/A,#N/A,FALSE,"7.netinvest"}</definedName>
    <definedName name="가가" hidden="1">{#N/A,#N/A,FALSE,"1.CRITERIA";#N/A,#N/A,FALSE,"2.IS";#N/A,#N/A,FALSE,"3.BS";#N/A,#N/A,FALSE,"4.PER PL";#N/A,#N/A,FALSE,"5.INVESTMENT";#N/A,#N/A,FALSE,"6.공문";#N/A,#N/A,FALSE,"7.netinvest"}</definedName>
    <definedName name="가기긱" localSheetId="24" hidden="1">{"'미착금액'!$A$4:$G$14"}</definedName>
    <definedName name="가기긱" localSheetId="18" hidden="1">{"'미착금액'!$A$4:$G$14"}</definedName>
    <definedName name="가기긱" localSheetId="25" hidden="1">{"'미착금액'!$A$4:$G$14"}</definedName>
    <definedName name="가기긱" hidden="1">{"'미착금액'!$A$4:$G$14"}</definedName>
    <definedName name="가나" localSheetId="24" hidden="1">{#N/A,#N/A,FALSE,"1.CRITERIA";#N/A,#N/A,FALSE,"2.IS";#N/A,#N/A,FALSE,"3.BS";#N/A,#N/A,FALSE,"4.PER PL";#N/A,#N/A,FALSE,"5.INVESTMENT";#N/A,#N/A,FALSE,"6.공문";#N/A,#N/A,FALSE,"7.netinvest"}</definedName>
    <definedName name="가나" localSheetId="18" hidden="1">{#N/A,#N/A,FALSE,"1.CRITERIA";#N/A,#N/A,FALSE,"2.IS";#N/A,#N/A,FALSE,"3.BS";#N/A,#N/A,FALSE,"4.PER PL";#N/A,#N/A,FALSE,"5.INVESTMENT";#N/A,#N/A,FALSE,"6.공문";#N/A,#N/A,FALSE,"7.netinvest"}</definedName>
    <definedName name="가나" localSheetId="25" hidden="1">{#N/A,#N/A,FALSE,"1.CRITERIA";#N/A,#N/A,FALSE,"2.IS";#N/A,#N/A,FALSE,"3.BS";#N/A,#N/A,FALSE,"4.PER PL";#N/A,#N/A,FALSE,"5.INVESTMENT";#N/A,#N/A,FALSE,"6.공문";#N/A,#N/A,FALSE,"7.netinvest"}</definedName>
    <definedName name="가나" hidden="1">{#N/A,#N/A,FALSE,"1.CRITERIA";#N/A,#N/A,FALSE,"2.IS";#N/A,#N/A,FALSE,"3.BS";#N/A,#N/A,FALSE,"4.PER PL";#N/A,#N/A,FALSE,"5.INVESTMENT";#N/A,#N/A,FALSE,"6.공문";#N/A,#N/A,FALSE,"7.netinvest"}</definedName>
    <definedName name="가나라" localSheetId="24" hidden="1">{#N/A,#N/A,FALSE,"1.CRITERIA";#N/A,#N/A,FALSE,"2.IS";#N/A,#N/A,FALSE,"3.BS";#N/A,#N/A,FALSE,"4.PER PL";#N/A,#N/A,FALSE,"5.INVESTMENT";#N/A,#N/A,FALSE,"6.공문";#N/A,#N/A,FALSE,"7.netinvest"}</definedName>
    <definedName name="가나라" localSheetId="18" hidden="1">{#N/A,#N/A,FALSE,"1.CRITERIA";#N/A,#N/A,FALSE,"2.IS";#N/A,#N/A,FALSE,"3.BS";#N/A,#N/A,FALSE,"4.PER PL";#N/A,#N/A,FALSE,"5.INVESTMENT";#N/A,#N/A,FALSE,"6.공문";#N/A,#N/A,FALSE,"7.netinvest"}</definedName>
    <definedName name="가나라" localSheetId="25" hidden="1">{#N/A,#N/A,FALSE,"1.CRITERIA";#N/A,#N/A,FALSE,"2.IS";#N/A,#N/A,FALSE,"3.BS";#N/A,#N/A,FALSE,"4.PER PL";#N/A,#N/A,FALSE,"5.INVESTMENT";#N/A,#N/A,FALSE,"6.공문";#N/A,#N/A,FALSE,"7.netinvest"}</definedName>
    <definedName name="가나라" hidden="1">{#N/A,#N/A,FALSE,"1.CRITERIA";#N/A,#N/A,FALSE,"2.IS";#N/A,#N/A,FALSE,"3.BS";#N/A,#N/A,FALSE,"4.PER PL";#N/A,#N/A,FALSE,"5.INVESTMENT";#N/A,#N/A,FALSE,"6.공문";#N/A,#N/A,FALSE,"7.netinvest"}</definedName>
    <definedName name="가다" localSheetId="24" hidden="1">{#N/A,#N/A,FALSE,"1.CRITERIA";#N/A,#N/A,FALSE,"2.IS";#N/A,#N/A,FALSE,"3.BS";#N/A,#N/A,FALSE,"4.PER PL";#N/A,#N/A,FALSE,"5.INVESTMENT";#N/A,#N/A,FALSE,"6.공문";#N/A,#N/A,FALSE,"7.netinvest"}</definedName>
    <definedName name="가다" localSheetId="18" hidden="1">{#N/A,#N/A,FALSE,"1.CRITERIA";#N/A,#N/A,FALSE,"2.IS";#N/A,#N/A,FALSE,"3.BS";#N/A,#N/A,FALSE,"4.PER PL";#N/A,#N/A,FALSE,"5.INVESTMENT";#N/A,#N/A,FALSE,"6.공문";#N/A,#N/A,FALSE,"7.netinvest"}</definedName>
    <definedName name="가다" localSheetId="25" hidden="1">{#N/A,#N/A,FALSE,"1.CRITERIA";#N/A,#N/A,FALSE,"2.IS";#N/A,#N/A,FALSE,"3.BS";#N/A,#N/A,FALSE,"4.PER PL";#N/A,#N/A,FALSE,"5.INVESTMENT";#N/A,#N/A,FALSE,"6.공문";#N/A,#N/A,FALSE,"7.netinvest"}</definedName>
    <definedName name="가다" hidden="1">{#N/A,#N/A,FALSE,"1.CRITERIA";#N/A,#N/A,FALSE,"2.IS";#N/A,#N/A,FALSE,"3.BS";#N/A,#N/A,FALSE,"4.PER PL";#N/A,#N/A,FALSE,"5.INVESTMENT";#N/A,#N/A,FALSE,"6.공문";#N/A,#N/A,FALSE,"7.netinvest"}</definedName>
    <definedName name="가라" localSheetId="24" hidden="1">{#N/A,#N/A,FALSE,"1.CRITERIA";#N/A,#N/A,FALSE,"2.IS";#N/A,#N/A,FALSE,"3.BS";#N/A,#N/A,FALSE,"4.PER PL";#N/A,#N/A,FALSE,"5.INVESTMENT";#N/A,#N/A,FALSE,"6.공문";#N/A,#N/A,FALSE,"7.netinvest"}</definedName>
    <definedName name="가라" localSheetId="18" hidden="1">{#N/A,#N/A,FALSE,"1.CRITERIA";#N/A,#N/A,FALSE,"2.IS";#N/A,#N/A,FALSE,"3.BS";#N/A,#N/A,FALSE,"4.PER PL";#N/A,#N/A,FALSE,"5.INVESTMENT";#N/A,#N/A,FALSE,"6.공문";#N/A,#N/A,FALSE,"7.netinvest"}</definedName>
    <definedName name="가라" localSheetId="25" hidden="1">{#N/A,#N/A,FALSE,"1.CRITERIA";#N/A,#N/A,FALSE,"2.IS";#N/A,#N/A,FALSE,"3.BS";#N/A,#N/A,FALSE,"4.PER PL";#N/A,#N/A,FALSE,"5.INVESTMENT";#N/A,#N/A,FALSE,"6.공문";#N/A,#N/A,FALSE,"7.netinvest"}</definedName>
    <definedName name="가라" hidden="1">{#N/A,#N/A,FALSE,"1.CRITERIA";#N/A,#N/A,FALSE,"2.IS";#N/A,#N/A,FALSE,"3.BS";#N/A,#N/A,FALSE,"4.PER PL";#N/A,#N/A,FALSE,"5.INVESTMENT";#N/A,#N/A,FALSE,"6.공문";#N/A,#N/A,FALSE,"7.netinvest"}</definedName>
    <definedName name="가람"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가람"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가람"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가람" hidden="1">{#N/A,#N/A,FALSE,"손익표지";#N/A,#N/A,FALSE,"손익계산";#N/A,#N/A,FALSE,"일반관리비";#N/A,#N/A,FALSE,"영업외수익";#N/A,#N/A,FALSE,"영업외비용";#N/A,#N/A,FALSE,"매출액";#N/A,#N/A,FALSE,"요약손익";#N/A,#N/A,FALSE,"요약대차";#N/A,#N/A,FALSE,"매출채권현황";#N/A,#N/A,FALSE,"매출채권명세"}</definedName>
    <definedName name="가아" localSheetId="24" hidden="1">{#N/A,#N/A,FALSE,"1.CRITERIA";#N/A,#N/A,FALSE,"2.IS";#N/A,#N/A,FALSE,"3.BS";#N/A,#N/A,FALSE,"4.PER PL";#N/A,#N/A,FALSE,"5.INVESTMENT";#N/A,#N/A,FALSE,"6.공문";#N/A,#N/A,FALSE,"7.netinvest"}</definedName>
    <definedName name="가아" localSheetId="18" hidden="1">{#N/A,#N/A,FALSE,"1.CRITERIA";#N/A,#N/A,FALSE,"2.IS";#N/A,#N/A,FALSE,"3.BS";#N/A,#N/A,FALSE,"4.PER PL";#N/A,#N/A,FALSE,"5.INVESTMENT";#N/A,#N/A,FALSE,"6.공문";#N/A,#N/A,FALSE,"7.netinvest"}</definedName>
    <definedName name="가아" localSheetId="25" hidden="1">{#N/A,#N/A,FALSE,"1.CRITERIA";#N/A,#N/A,FALSE,"2.IS";#N/A,#N/A,FALSE,"3.BS";#N/A,#N/A,FALSE,"4.PER PL";#N/A,#N/A,FALSE,"5.INVESTMENT";#N/A,#N/A,FALSE,"6.공문";#N/A,#N/A,FALSE,"7.netinvest"}</definedName>
    <definedName name="가아" hidden="1">{#N/A,#N/A,FALSE,"1.CRITERIA";#N/A,#N/A,FALSE,"2.IS";#N/A,#N/A,FALSE,"3.BS";#N/A,#N/A,FALSE,"4.PER PL";#N/A,#N/A,FALSE,"5.INVESTMENT";#N/A,#N/A,FALSE,"6.공문";#N/A,#N/A,FALSE,"7.netinvest"}</definedName>
    <definedName name="가아노" localSheetId="24" hidden="1">{#N/A,#N/A,FALSE,"1.CRITERIA";#N/A,#N/A,FALSE,"2.IS";#N/A,#N/A,FALSE,"3.BS";#N/A,#N/A,FALSE,"4.PER PL";#N/A,#N/A,FALSE,"5.INVESTMENT";#N/A,#N/A,FALSE,"6.공문";#N/A,#N/A,FALSE,"7.netinvest"}</definedName>
    <definedName name="가아노" localSheetId="18" hidden="1">{#N/A,#N/A,FALSE,"1.CRITERIA";#N/A,#N/A,FALSE,"2.IS";#N/A,#N/A,FALSE,"3.BS";#N/A,#N/A,FALSE,"4.PER PL";#N/A,#N/A,FALSE,"5.INVESTMENT";#N/A,#N/A,FALSE,"6.공문";#N/A,#N/A,FALSE,"7.netinvest"}</definedName>
    <definedName name="가아노" localSheetId="25" hidden="1">{#N/A,#N/A,FALSE,"1.CRITERIA";#N/A,#N/A,FALSE,"2.IS";#N/A,#N/A,FALSE,"3.BS";#N/A,#N/A,FALSE,"4.PER PL";#N/A,#N/A,FALSE,"5.INVESTMENT";#N/A,#N/A,FALSE,"6.공문";#N/A,#N/A,FALSE,"7.netinvest"}</definedName>
    <definedName name="가아노" hidden="1">{#N/A,#N/A,FALSE,"1.CRITERIA";#N/A,#N/A,FALSE,"2.IS";#N/A,#N/A,FALSE,"3.BS";#N/A,#N/A,FALSE,"4.PER PL";#N/A,#N/A,FALSE,"5.INVESTMENT";#N/A,#N/A,FALSE,"6.공문";#N/A,#N/A,FALSE,"7.netinvest"}</definedName>
    <definedName name="가아다" localSheetId="24" hidden="1">{#N/A,#N/A,FALSE,"1.CRITERIA";#N/A,#N/A,FALSE,"2.IS";#N/A,#N/A,FALSE,"3.BS";#N/A,#N/A,FALSE,"4.PER PL";#N/A,#N/A,FALSE,"5.INVESTMENT";#N/A,#N/A,FALSE,"6.공문";#N/A,#N/A,FALSE,"7.netinvest"}</definedName>
    <definedName name="가아다" localSheetId="18" hidden="1">{#N/A,#N/A,FALSE,"1.CRITERIA";#N/A,#N/A,FALSE,"2.IS";#N/A,#N/A,FALSE,"3.BS";#N/A,#N/A,FALSE,"4.PER PL";#N/A,#N/A,FALSE,"5.INVESTMENT";#N/A,#N/A,FALSE,"6.공문";#N/A,#N/A,FALSE,"7.netinvest"}</definedName>
    <definedName name="가아다" localSheetId="25" hidden="1">{#N/A,#N/A,FALSE,"1.CRITERIA";#N/A,#N/A,FALSE,"2.IS";#N/A,#N/A,FALSE,"3.BS";#N/A,#N/A,FALSE,"4.PER PL";#N/A,#N/A,FALSE,"5.INVESTMENT";#N/A,#N/A,FALSE,"6.공문";#N/A,#N/A,FALSE,"7.netinvest"}</definedName>
    <definedName name="가아다" hidden="1">{#N/A,#N/A,FALSE,"1.CRITERIA";#N/A,#N/A,FALSE,"2.IS";#N/A,#N/A,FALSE,"3.BS";#N/A,#N/A,FALSE,"4.PER PL";#N/A,#N/A,FALSE,"5.INVESTMENT";#N/A,#N/A,FALSE,"6.공문";#N/A,#N/A,FALSE,"7.netinvest"}</definedName>
    <definedName name="가아차" localSheetId="24" hidden="1">{#N/A,#N/A,FALSE,"1.CRITERIA";#N/A,#N/A,FALSE,"2.IS";#N/A,#N/A,FALSE,"3.BS";#N/A,#N/A,FALSE,"4.PER PL";#N/A,#N/A,FALSE,"5.INVESTMENT";#N/A,#N/A,FALSE,"6.공문";#N/A,#N/A,FALSE,"7.netinvest"}</definedName>
    <definedName name="가아차" localSheetId="18" hidden="1">{#N/A,#N/A,FALSE,"1.CRITERIA";#N/A,#N/A,FALSE,"2.IS";#N/A,#N/A,FALSE,"3.BS";#N/A,#N/A,FALSE,"4.PER PL";#N/A,#N/A,FALSE,"5.INVESTMENT";#N/A,#N/A,FALSE,"6.공문";#N/A,#N/A,FALSE,"7.netinvest"}</definedName>
    <definedName name="가아차" localSheetId="25" hidden="1">{#N/A,#N/A,FALSE,"1.CRITERIA";#N/A,#N/A,FALSE,"2.IS";#N/A,#N/A,FALSE,"3.BS";#N/A,#N/A,FALSE,"4.PER PL";#N/A,#N/A,FALSE,"5.INVESTMENT";#N/A,#N/A,FALSE,"6.공문";#N/A,#N/A,FALSE,"7.netinvest"}</definedName>
    <definedName name="가아차" hidden="1">{#N/A,#N/A,FALSE,"1.CRITERIA";#N/A,#N/A,FALSE,"2.IS";#N/A,#N/A,FALSE,"3.BS";#N/A,#N/A,FALSE,"4.PER PL";#N/A,#N/A,FALSE,"5.INVESTMENT";#N/A,#N/A,FALSE,"6.공문";#N/A,#N/A,FALSE,"7.netinvest"}</definedName>
    <definedName name="가오" localSheetId="24" hidden="1">{#N/A,#N/A,FALSE,"1.CRITERIA";#N/A,#N/A,FALSE,"2.IS";#N/A,#N/A,FALSE,"3.BS";#N/A,#N/A,FALSE,"4.PER PL";#N/A,#N/A,FALSE,"5.INVESTMENT";#N/A,#N/A,FALSE,"6.공문";#N/A,#N/A,FALSE,"7.netinvest"}</definedName>
    <definedName name="가오" localSheetId="18" hidden="1">{#N/A,#N/A,FALSE,"1.CRITERIA";#N/A,#N/A,FALSE,"2.IS";#N/A,#N/A,FALSE,"3.BS";#N/A,#N/A,FALSE,"4.PER PL";#N/A,#N/A,FALSE,"5.INVESTMENT";#N/A,#N/A,FALSE,"6.공문";#N/A,#N/A,FALSE,"7.netinvest"}</definedName>
    <definedName name="가오" localSheetId="25" hidden="1">{#N/A,#N/A,FALSE,"1.CRITERIA";#N/A,#N/A,FALSE,"2.IS";#N/A,#N/A,FALSE,"3.BS";#N/A,#N/A,FALSE,"4.PER PL";#N/A,#N/A,FALSE,"5.INVESTMENT";#N/A,#N/A,FALSE,"6.공문";#N/A,#N/A,FALSE,"7.netinvest"}</definedName>
    <definedName name="가오" hidden="1">{#N/A,#N/A,FALSE,"1.CRITERIA";#N/A,#N/A,FALSE,"2.IS";#N/A,#N/A,FALSE,"3.BS";#N/A,#N/A,FALSE,"4.PER PL";#N/A,#N/A,FALSE,"5.INVESTMENT";#N/A,#N/A,FALSE,"6.공문";#N/A,#N/A,FALSE,"7.netinvest"}</definedName>
    <definedName name="가오나" localSheetId="24" hidden="1">{#N/A,#N/A,FALSE,"1.CRITERIA";#N/A,#N/A,FALSE,"2.IS";#N/A,#N/A,FALSE,"3.BS";#N/A,#N/A,FALSE,"4.PER PL";#N/A,#N/A,FALSE,"5.INVESTMENT";#N/A,#N/A,FALSE,"6.공문";#N/A,#N/A,FALSE,"7.netinvest"}</definedName>
    <definedName name="가오나" localSheetId="18" hidden="1">{#N/A,#N/A,FALSE,"1.CRITERIA";#N/A,#N/A,FALSE,"2.IS";#N/A,#N/A,FALSE,"3.BS";#N/A,#N/A,FALSE,"4.PER PL";#N/A,#N/A,FALSE,"5.INVESTMENT";#N/A,#N/A,FALSE,"6.공문";#N/A,#N/A,FALSE,"7.netinvest"}</definedName>
    <definedName name="가오나" localSheetId="25" hidden="1">{#N/A,#N/A,FALSE,"1.CRITERIA";#N/A,#N/A,FALSE,"2.IS";#N/A,#N/A,FALSE,"3.BS";#N/A,#N/A,FALSE,"4.PER PL";#N/A,#N/A,FALSE,"5.INVESTMENT";#N/A,#N/A,FALSE,"6.공문";#N/A,#N/A,FALSE,"7.netinvest"}</definedName>
    <definedName name="가오나" hidden="1">{#N/A,#N/A,FALSE,"1.CRITERIA";#N/A,#N/A,FALSE,"2.IS";#N/A,#N/A,FALSE,"3.BS";#N/A,#N/A,FALSE,"4.PER PL";#N/A,#N/A,FALSE,"5.INVESTMENT";#N/A,#N/A,FALSE,"6.공문";#N/A,#N/A,FALSE,"7.netinvest"}</definedName>
    <definedName name="가오아" localSheetId="24" hidden="1">{#N/A,#N/A,FALSE,"1.CRITERIA";#N/A,#N/A,FALSE,"2.IS";#N/A,#N/A,FALSE,"3.BS";#N/A,#N/A,FALSE,"4.PER PL";#N/A,#N/A,FALSE,"5.INVESTMENT";#N/A,#N/A,FALSE,"6.공문";#N/A,#N/A,FALSE,"7.netinvest"}</definedName>
    <definedName name="가오아" localSheetId="18" hidden="1">{#N/A,#N/A,FALSE,"1.CRITERIA";#N/A,#N/A,FALSE,"2.IS";#N/A,#N/A,FALSE,"3.BS";#N/A,#N/A,FALSE,"4.PER PL";#N/A,#N/A,FALSE,"5.INVESTMENT";#N/A,#N/A,FALSE,"6.공문";#N/A,#N/A,FALSE,"7.netinvest"}</definedName>
    <definedName name="가오아" localSheetId="25" hidden="1">{#N/A,#N/A,FALSE,"1.CRITERIA";#N/A,#N/A,FALSE,"2.IS";#N/A,#N/A,FALSE,"3.BS";#N/A,#N/A,FALSE,"4.PER PL";#N/A,#N/A,FALSE,"5.INVESTMENT";#N/A,#N/A,FALSE,"6.공문";#N/A,#N/A,FALSE,"7.netinvest"}</definedName>
    <definedName name="가오아" hidden="1">{#N/A,#N/A,FALSE,"1.CRITERIA";#N/A,#N/A,FALSE,"2.IS";#N/A,#N/A,FALSE,"3.BS";#N/A,#N/A,FALSE,"4.PER PL";#N/A,#N/A,FALSE,"5.INVESTMENT";#N/A,#N/A,FALSE,"6.공문";#N/A,#N/A,FALSE,"7.netinvest"}</definedName>
    <definedName name="가카" localSheetId="24" hidden="1">{#N/A,#N/A,FALSE,"1.CRITERIA";#N/A,#N/A,FALSE,"2.IS";#N/A,#N/A,FALSE,"3.BS";#N/A,#N/A,FALSE,"4.PER PL";#N/A,#N/A,FALSE,"5.INVESTMENT";#N/A,#N/A,FALSE,"6.공문";#N/A,#N/A,FALSE,"7.netinvest"}</definedName>
    <definedName name="가카" localSheetId="18" hidden="1">{#N/A,#N/A,FALSE,"1.CRITERIA";#N/A,#N/A,FALSE,"2.IS";#N/A,#N/A,FALSE,"3.BS";#N/A,#N/A,FALSE,"4.PER PL";#N/A,#N/A,FALSE,"5.INVESTMENT";#N/A,#N/A,FALSE,"6.공문";#N/A,#N/A,FALSE,"7.netinvest"}</definedName>
    <definedName name="가카" localSheetId="25" hidden="1">{#N/A,#N/A,FALSE,"1.CRITERIA";#N/A,#N/A,FALSE,"2.IS";#N/A,#N/A,FALSE,"3.BS";#N/A,#N/A,FALSE,"4.PER PL";#N/A,#N/A,FALSE,"5.INVESTMENT";#N/A,#N/A,FALSE,"6.공문";#N/A,#N/A,FALSE,"7.netinvest"}</definedName>
    <definedName name="가카" hidden="1">{#N/A,#N/A,FALSE,"1.CRITERIA";#N/A,#N/A,FALSE,"2.IS";#N/A,#N/A,FALSE,"3.BS";#N/A,#N/A,FALSE,"4.PER PL";#N/A,#N/A,FALSE,"5.INVESTMENT";#N/A,#N/A,FALSE,"6.공문";#N/A,#N/A,FALSE,"7.netinvest"}</definedName>
    <definedName name="가타" localSheetId="24" hidden="1">{#N/A,#N/A,FALSE,"1.CRITERIA";#N/A,#N/A,FALSE,"2.IS";#N/A,#N/A,FALSE,"3.BS";#N/A,#N/A,FALSE,"4.PER PL";#N/A,#N/A,FALSE,"5.INVESTMENT";#N/A,#N/A,FALSE,"6.공문";#N/A,#N/A,FALSE,"7.netinvest"}</definedName>
    <definedName name="가타" localSheetId="18" hidden="1">{#N/A,#N/A,FALSE,"1.CRITERIA";#N/A,#N/A,FALSE,"2.IS";#N/A,#N/A,FALSE,"3.BS";#N/A,#N/A,FALSE,"4.PER PL";#N/A,#N/A,FALSE,"5.INVESTMENT";#N/A,#N/A,FALSE,"6.공문";#N/A,#N/A,FALSE,"7.netinvest"}</definedName>
    <definedName name="가타" localSheetId="25" hidden="1">{#N/A,#N/A,FALSE,"1.CRITERIA";#N/A,#N/A,FALSE,"2.IS";#N/A,#N/A,FALSE,"3.BS";#N/A,#N/A,FALSE,"4.PER PL";#N/A,#N/A,FALSE,"5.INVESTMENT";#N/A,#N/A,FALSE,"6.공문";#N/A,#N/A,FALSE,"7.netinvest"}</definedName>
    <definedName name="가타" hidden="1">{#N/A,#N/A,FALSE,"1.CRITERIA";#N/A,#N/A,FALSE,"2.IS";#N/A,#N/A,FALSE,"3.BS";#N/A,#N/A,FALSE,"4.PER PL";#N/A,#N/A,FALSE,"5.INVESTMENT";#N/A,#N/A,FALSE,"6.공문";#N/A,#N/A,FALSE,"7.netinvest"}</definedName>
    <definedName name="各物件表紙" localSheetId="24" hidden="1">{"'今後解決すべき点'!$M$26","'今後解決すべき点'!$A$1:$M$55"}</definedName>
    <definedName name="各物件表紙" localSheetId="18" hidden="1">{"'今後解決すべき点'!$M$26","'今後解決すべき点'!$A$1:$M$55"}</definedName>
    <definedName name="各物件表紙" localSheetId="25" hidden="1">{"'今後解決すべき点'!$M$26","'今後解決すべき点'!$A$1:$M$55"}</definedName>
    <definedName name="各物件表紙" hidden="1">{"'今後解決すべき点'!$M$26","'今後解決すべき点'!$A$1:$M$55"}</definedName>
    <definedName name="간지3" localSheetId="24" hidden="1">{"'용역비'!$A$4:$C$8"}</definedName>
    <definedName name="간지3" localSheetId="18" hidden="1">{"'용역비'!$A$4:$C$8"}</definedName>
    <definedName name="간지3" localSheetId="25" hidden="1">{"'용역비'!$A$4:$C$8"}</definedName>
    <definedName name="간지3" hidden="1">{"'용역비'!$A$4:$C$8"}</definedName>
    <definedName name="간호사절감효과" localSheetId="24" hidden="1">{#N/A,#N/A,TRUE,"Y생산";#N/A,#N/A,TRUE,"Y판매";#N/A,#N/A,TRUE,"Y총물량";#N/A,#N/A,TRUE,"Y능력";#N/A,#N/A,TRUE,"YKD"}</definedName>
    <definedName name="간호사절감효과" localSheetId="18" hidden="1">{#N/A,#N/A,TRUE,"Y생산";#N/A,#N/A,TRUE,"Y판매";#N/A,#N/A,TRUE,"Y총물량";#N/A,#N/A,TRUE,"Y능력";#N/A,#N/A,TRUE,"YKD"}</definedName>
    <definedName name="간호사절감효과" localSheetId="25" hidden="1">{#N/A,#N/A,TRUE,"Y생산";#N/A,#N/A,TRUE,"Y판매";#N/A,#N/A,TRUE,"Y총물량";#N/A,#N/A,TRUE,"Y능력";#N/A,#N/A,TRUE,"YKD"}</definedName>
    <definedName name="간호사절감효과" hidden="1">{#N/A,#N/A,TRUE,"Y생산";#N/A,#N/A,TRUE,"Y판매";#N/A,#N/A,TRUE,"Y총물량";#N/A,#N/A,TRUE,"Y능력";#N/A,#N/A,TRUE,"YKD"}</definedName>
    <definedName name="갈" localSheetId="24" hidden="1">{#N/A,#N/A,FALSE,"1.CRITERIA";#N/A,#N/A,FALSE,"2.IS";#N/A,#N/A,FALSE,"3.BS";#N/A,#N/A,FALSE,"4.PER PL";#N/A,#N/A,FALSE,"5.INVESTMENT";#N/A,#N/A,FALSE,"6.공문";#N/A,#N/A,FALSE,"7.netinvest"}</definedName>
    <definedName name="갈" localSheetId="18" hidden="1">{#N/A,#N/A,FALSE,"1.CRITERIA";#N/A,#N/A,FALSE,"2.IS";#N/A,#N/A,FALSE,"3.BS";#N/A,#N/A,FALSE,"4.PER PL";#N/A,#N/A,FALSE,"5.INVESTMENT";#N/A,#N/A,FALSE,"6.공문";#N/A,#N/A,FALSE,"7.netinvest"}</definedName>
    <definedName name="갈" localSheetId="25" hidden="1">{#N/A,#N/A,FALSE,"1.CRITERIA";#N/A,#N/A,FALSE,"2.IS";#N/A,#N/A,FALSE,"3.BS";#N/A,#N/A,FALSE,"4.PER PL";#N/A,#N/A,FALSE,"5.INVESTMENT";#N/A,#N/A,FALSE,"6.공문";#N/A,#N/A,FALSE,"7.netinvest"}</definedName>
    <definedName name="갈" hidden="1">{#N/A,#N/A,FALSE,"1.CRITERIA";#N/A,#N/A,FALSE,"2.IS";#N/A,#N/A,FALSE,"3.BS";#N/A,#N/A,FALSE,"4.PER PL";#N/A,#N/A,FALSE,"5.INVESTMENT";#N/A,#N/A,FALSE,"6.공문";#N/A,#N/A,FALSE,"7.netinvest"}</definedName>
    <definedName name="감" localSheetId="24"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감" localSheetId="18"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감" localSheetId="25"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감"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감가" localSheetId="24" hidden="1">{"'2분기예산별'!$B$2:$O$38"}</definedName>
    <definedName name="감가" localSheetId="18" hidden="1">{"'2분기예산별'!$B$2:$O$38"}</definedName>
    <definedName name="감가" localSheetId="25" hidden="1">{"'2분기예산별'!$B$2:$O$38"}</definedName>
    <definedName name="감가" hidden="1">{"'2분기예산별'!$B$2:$O$38"}</definedName>
    <definedName name="감가3" localSheetId="24" hidden="1">{"'2분기예산별'!$B$2:$O$38"}</definedName>
    <definedName name="감가3" localSheetId="18" hidden="1">{"'2분기예산별'!$B$2:$O$38"}</definedName>
    <definedName name="감가3" localSheetId="25" hidden="1">{"'2분기예산별'!$B$2:$O$38"}</definedName>
    <definedName name="감가3" hidden="1">{"'2분기예산별'!$B$2:$O$38"}</definedName>
    <definedName name="감가상각미화" localSheetId="24" hidden="1">{#N/A,#N/A,FALSE,"이력서&amp;자기소개서"}</definedName>
    <definedName name="감가상각미화" localSheetId="18" hidden="1">{#N/A,#N/A,FALSE,"이력서&amp;자기소개서"}</definedName>
    <definedName name="감가상각미화" localSheetId="25" hidden="1">{#N/A,#N/A,FALSE,"이력서&amp;자기소개서"}</definedName>
    <definedName name="감가상각미화" hidden="1">{#N/A,#N/A,FALSE,"이력서&amp;자기소개서"}</definedName>
    <definedName name="갑지" localSheetId="24" hidden="1">{#N/A,#N/A,FALSE,"CCTV"}</definedName>
    <definedName name="갑지" localSheetId="18" hidden="1">{#N/A,#N/A,FALSE,"CCTV"}</definedName>
    <definedName name="갑지" localSheetId="25" hidden="1">{#N/A,#N/A,FALSE,"CCTV"}</definedName>
    <definedName name="갑지" hidden="1">{#N/A,#N/A,FALSE,"CCTV"}</definedName>
    <definedName name="갑지1" localSheetId="24" hidden="1">{#N/A,#N/A,FALSE,"CCTV"}</definedName>
    <definedName name="갑지1" localSheetId="18" hidden="1">{#N/A,#N/A,FALSE,"CCTV"}</definedName>
    <definedName name="갑지1" localSheetId="25" hidden="1">{#N/A,#N/A,FALSE,"CCTV"}</definedName>
    <definedName name="갑지1" hidden="1">{#N/A,#N/A,FALSE,"CCTV"}</definedName>
    <definedName name="갑지3" localSheetId="24" hidden="1">{#N/A,#N/A,FALSE,"CCTV"}</definedName>
    <definedName name="갑지3" localSheetId="18" hidden="1">{#N/A,#N/A,FALSE,"CCTV"}</definedName>
    <definedName name="갑지3" localSheetId="25" hidden="1">{#N/A,#N/A,FALSE,"CCTV"}</definedName>
    <definedName name="갑지3" hidden="1">{#N/A,#N/A,FALSE,"CCTV"}</definedName>
    <definedName name="값1">'IS(FY)'!$M$83:$DW$83</definedName>
    <definedName name="강" localSheetId="24" hidden="1">{#N/A,#N/A,FALSE,"1.CRITERIA";#N/A,#N/A,FALSE,"2.IS";#N/A,#N/A,FALSE,"3.BS";#N/A,#N/A,FALSE,"4.PER PL";#N/A,#N/A,FALSE,"5.INVESTMENT";#N/A,#N/A,FALSE,"6.공문";#N/A,#N/A,FALSE,"7.netinvest"}</definedName>
    <definedName name="강" localSheetId="18" hidden="1">{#N/A,#N/A,FALSE,"1.CRITERIA";#N/A,#N/A,FALSE,"2.IS";#N/A,#N/A,FALSE,"3.BS";#N/A,#N/A,FALSE,"4.PER PL";#N/A,#N/A,FALSE,"5.INVESTMENT";#N/A,#N/A,FALSE,"6.공문";#N/A,#N/A,FALSE,"7.netinvest"}</definedName>
    <definedName name="강" localSheetId="25" hidden="1">{#N/A,#N/A,FALSE,"1.CRITERIA";#N/A,#N/A,FALSE,"2.IS";#N/A,#N/A,FALSE,"3.BS";#N/A,#N/A,FALSE,"4.PER PL";#N/A,#N/A,FALSE,"5.INVESTMENT";#N/A,#N/A,FALSE,"6.공문";#N/A,#N/A,FALSE,"7.netinvest"}</definedName>
    <definedName name="강" hidden="1">{#N/A,#N/A,FALSE,"1.CRITERIA";#N/A,#N/A,FALSE,"2.IS";#N/A,#N/A,FALSE,"3.BS";#N/A,#N/A,FALSE,"4.PER PL";#N/A,#N/A,FALSE,"5.INVESTMENT";#N/A,#N/A,FALSE,"6.공문";#N/A,#N/A,FALSE,"7.netinvest"}</definedName>
    <definedName name="강관파일" localSheetId="24" hidden="1">{#N/A,#N/A,FALSE,"부대1"}</definedName>
    <definedName name="강관파일" localSheetId="18" hidden="1">{#N/A,#N/A,FALSE,"부대1"}</definedName>
    <definedName name="강관파일" localSheetId="25" hidden="1">{#N/A,#N/A,FALSE,"부대1"}</definedName>
    <definedName name="강관파일" hidden="1">{#N/A,#N/A,FALSE,"부대1"}</definedName>
    <definedName name="강남" localSheetId="24" hidden="1">{#N/A,#N/A,FALSE,"97년 투자계획 세부내역 "}</definedName>
    <definedName name="강남" localSheetId="18" hidden="1">{#N/A,#N/A,FALSE,"97년 투자계획 세부내역 "}</definedName>
    <definedName name="강남" localSheetId="25" hidden="1">{#N/A,#N/A,FALSE,"97년 투자계획 세부내역 "}</definedName>
    <definedName name="강남" hidden="1">{#N/A,#N/A,FALSE,"97년 투자계획 세부내역 "}</definedName>
    <definedName name="강북" localSheetId="24" hidden="1">{#N/A,#N/A,FALSE,"97년 투자계획 세부내역 "}</definedName>
    <definedName name="강북" localSheetId="18" hidden="1">{#N/A,#N/A,FALSE,"97년 투자계획 세부내역 "}</definedName>
    <definedName name="강북" localSheetId="25" hidden="1">{#N/A,#N/A,FALSE,"97년 투자계획 세부내역 "}</definedName>
    <definedName name="강북" hidden="1">{#N/A,#N/A,FALSE,"97년 투자계획 세부내역 "}</definedName>
    <definedName name="강서" localSheetId="24" hidden="1">{#N/A,#N/A,FALSE,"97년 투자계획 세부내역 "}</definedName>
    <definedName name="강서" localSheetId="18" hidden="1">{#N/A,#N/A,FALSE,"97년 투자계획 세부내역 "}</definedName>
    <definedName name="강서" localSheetId="25" hidden="1">{#N/A,#N/A,FALSE,"97년 투자계획 세부내역 "}</definedName>
    <definedName name="강서" hidden="1">{#N/A,#N/A,FALSE,"97년 투자계획 세부내역 "}</definedName>
    <definedName name="개발비" localSheetId="24"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개발비" localSheetId="18"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개발비" localSheetId="25"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개발비"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개선" localSheetId="24" hidden="1">{"'7'!$B$15:$D$32"}</definedName>
    <definedName name="개선" localSheetId="18" hidden="1">{"'7'!$B$15:$D$32"}</definedName>
    <definedName name="개선" localSheetId="25" hidden="1">{"'7'!$B$15:$D$32"}</definedName>
    <definedName name="개선" hidden="1">{"'7'!$B$15:$D$32"}</definedName>
    <definedName name="개선내용" localSheetId="24" hidden="1">{#N/A,#N/A,TRUE,"Y생산";#N/A,#N/A,TRUE,"Y판매";#N/A,#N/A,TRUE,"Y총물량";#N/A,#N/A,TRUE,"Y능력";#N/A,#N/A,TRUE,"YKD"}</definedName>
    <definedName name="개선내용" localSheetId="18" hidden="1">{#N/A,#N/A,TRUE,"Y생산";#N/A,#N/A,TRUE,"Y판매";#N/A,#N/A,TRUE,"Y총물량";#N/A,#N/A,TRUE,"Y능력";#N/A,#N/A,TRUE,"YKD"}</definedName>
    <definedName name="개선내용" localSheetId="25" hidden="1">{#N/A,#N/A,TRUE,"Y생산";#N/A,#N/A,TRUE,"Y판매";#N/A,#N/A,TRUE,"Y총물량";#N/A,#N/A,TRUE,"Y능력";#N/A,#N/A,TRUE,"YKD"}</definedName>
    <definedName name="개선내용" hidden="1">{#N/A,#N/A,TRUE,"Y생산";#N/A,#N/A,TRUE,"Y판매";#N/A,#N/A,TRUE,"Y총물량";#N/A,#N/A,TRUE,"Y능력";#N/A,#N/A,TRUE,"YKD"}</definedName>
    <definedName name="개선내용_1" localSheetId="24" hidden="1">{#N/A,#N/A,TRUE,"Y생산";#N/A,#N/A,TRUE,"Y판매";#N/A,#N/A,TRUE,"Y총물량";#N/A,#N/A,TRUE,"Y능력";#N/A,#N/A,TRUE,"YKD"}</definedName>
    <definedName name="개선내용_1" localSheetId="18" hidden="1">{#N/A,#N/A,TRUE,"Y생산";#N/A,#N/A,TRUE,"Y판매";#N/A,#N/A,TRUE,"Y총물량";#N/A,#N/A,TRUE,"Y능력";#N/A,#N/A,TRUE,"YKD"}</definedName>
    <definedName name="개선내용_1" localSheetId="25" hidden="1">{#N/A,#N/A,TRUE,"Y생산";#N/A,#N/A,TRUE,"Y판매";#N/A,#N/A,TRUE,"Y총물량";#N/A,#N/A,TRUE,"Y능력";#N/A,#N/A,TRUE,"YKD"}</definedName>
    <definedName name="개선내용_1" hidden="1">{#N/A,#N/A,TRUE,"Y생산";#N/A,#N/A,TRUE,"Y판매";#N/A,#N/A,TRUE,"Y총물량";#N/A,#N/A,TRUE,"Y능력";#N/A,#N/A,TRUE,"YKD"}</definedName>
    <definedName name="개선실적" localSheetId="24" hidden="1">{#N/A,#N/A,TRUE,"Y생산";#N/A,#N/A,TRUE,"Y판매";#N/A,#N/A,TRUE,"Y총물량";#N/A,#N/A,TRUE,"Y능력";#N/A,#N/A,TRUE,"YKD"}</definedName>
    <definedName name="개선실적" localSheetId="18" hidden="1">{#N/A,#N/A,TRUE,"Y생산";#N/A,#N/A,TRUE,"Y판매";#N/A,#N/A,TRUE,"Y총물량";#N/A,#N/A,TRUE,"Y능력";#N/A,#N/A,TRUE,"YKD"}</definedName>
    <definedName name="개선실적" localSheetId="25" hidden="1">{#N/A,#N/A,TRUE,"Y생산";#N/A,#N/A,TRUE,"Y판매";#N/A,#N/A,TRUE,"Y총물량";#N/A,#N/A,TRUE,"Y능력";#N/A,#N/A,TRUE,"YKD"}</definedName>
    <definedName name="개선실적" hidden="1">{#N/A,#N/A,TRUE,"Y생산";#N/A,#N/A,TRUE,"Y판매";#N/A,#N/A,TRUE,"Y총물량";#N/A,#N/A,TRUE,"Y능력";#N/A,#N/A,TRUE,"YKD"}</definedName>
    <definedName name="개선실적_1" localSheetId="24" hidden="1">{#N/A,#N/A,TRUE,"Y생산";#N/A,#N/A,TRUE,"Y판매";#N/A,#N/A,TRUE,"Y총물량";#N/A,#N/A,TRUE,"Y능력";#N/A,#N/A,TRUE,"YKD"}</definedName>
    <definedName name="개선실적_1" localSheetId="18" hidden="1">{#N/A,#N/A,TRUE,"Y생산";#N/A,#N/A,TRUE,"Y판매";#N/A,#N/A,TRUE,"Y총물량";#N/A,#N/A,TRUE,"Y능력";#N/A,#N/A,TRUE,"YKD"}</definedName>
    <definedName name="개선실적_1" localSheetId="25" hidden="1">{#N/A,#N/A,TRUE,"Y생산";#N/A,#N/A,TRUE,"Y판매";#N/A,#N/A,TRUE,"Y총물량";#N/A,#N/A,TRUE,"Y능력";#N/A,#N/A,TRUE,"YKD"}</definedName>
    <definedName name="개선실적_1" hidden="1">{#N/A,#N/A,TRUE,"Y생산";#N/A,#N/A,TRUE,"Y판매";#N/A,#N/A,TRUE,"Y총물량";#N/A,#N/A,TRUE,"Y능력";#N/A,#N/A,TRUE,"YKD"}</definedName>
    <definedName name="개선현황" localSheetId="24" hidden="1">{#N/A,#N/A,TRUE,"Y생산";#N/A,#N/A,TRUE,"Y판매";#N/A,#N/A,TRUE,"Y총물량";#N/A,#N/A,TRUE,"Y능력";#N/A,#N/A,TRUE,"YKD"}</definedName>
    <definedName name="개선현황" localSheetId="18" hidden="1">{#N/A,#N/A,TRUE,"Y생산";#N/A,#N/A,TRUE,"Y판매";#N/A,#N/A,TRUE,"Y총물량";#N/A,#N/A,TRUE,"Y능력";#N/A,#N/A,TRUE,"YKD"}</definedName>
    <definedName name="개선현황" localSheetId="25" hidden="1">{#N/A,#N/A,TRUE,"Y생산";#N/A,#N/A,TRUE,"Y판매";#N/A,#N/A,TRUE,"Y총물량";#N/A,#N/A,TRUE,"Y능력";#N/A,#N/A,TRUE,"YKD"}</definedName>
    <definedName name="개선현황" hidden="1">{#N/A,#N/A,TRUE,"Y생산";#N/A,#N/A,TRUE,"Y판매";#N/A,#N/A,TRUE,"Y총물량";#N/A,#N/A,TRUE,"Y능력";#N/A,#N/A,TRUE,"YKD"}</definedName>
    <definedName name="개요_본사" localSheetId="24" hidden="1">{#N/A,#N/A,FALSE,"97년 투자계획 세부내역 "}</definedName>
    <definedName name="개요_본사" localSheetId="18" hidden="1">{#N/A,#N/A,FALSE,"97년 투자계획 세부내역 "}</definedName>
    <definedName name="개요_본사" localSheetId="25" hidden="1">{#N/A,#N/A,FALSE,"97년 투자계획 세부내역 "}</definedName>
    <definedName name="개요_본사" hidden="1">{#N/A,#N/A,FALSE,"97년 투자계획 세부내역 "}</definedName>
    <definedName name="거" localSheetId="24" hidden="1">{#N/A,#N/A,FALSE,"1.CRITERIA";#N/A,#N/A,FALSE,"2.IS";#N/A,#N/A,FALSE,"3.BS";#N/A,#N/A,FALSE,"4.PER PL";#N/A,#N/A,FALSE,"5.INVESTMENT";#N/A,#N/A,FALSE,"6.공문";#N/A,#N/A,FALSE,"7.netinvest"}</definedName>
    <definedName name="거" localSheetId="18" hidden="1">{#N/A,#N/A,FALSE,"1.CRITERIA";#N/A,#N/A,FALSE,"2.IS";#N/A,#N/A,FALSE,"3.BS";#N/A,#N/A,FALSE,"4.PER PL";#N/A,#N/A,FALSE,"5.INVESTMENT";#N/A,#N/A,FALSE,"6.공문";#N/A,#N/A,FALSE,"7.netinvest"}</definedName>
    <definedName name="거" localSheetId="25" hidden="1">{#N/A,#N/A,FALSE,"1.CRITERIA";#N/A,#N/A,FALSE,"2.IS";#N/A,#N/A,FALSE,"3.BS";#N/A,#N/A,FALSE,"4.PER PL";#N/A,#N/A,FALSE,"5.INVESTMENT";#N/A,#N/A,FALSE,"6.공문";#N/A,#N/A,FALSE,"7.netinvest"}</definedName>
    <definedName name="거" hidden="1">{#N/A,#N/A,FALSE,"1.CRITERIA";#N/A,#N/A,FALSE,"2.IS";#N/A,#N/A,FALSE,"3.BS";#N/A,#N/A,FALSE,"4.PER PL";#N/A,#N/A,FALSE,"5.INVESTMENT";#N/A,#N/A,FALSE,"6.공문";#N/A,#N/A,FALSE,"7.netinvest"}</definedName>
    <definedName name="거눛" localSheetId="24" hidden="1">{#N/A,#N/A,FALSE,"기안지";#N/A,#N/A,FALSE,"통신지"}</definedName>
    <definedName name="거눛" localSheetId="18" hidden="1">{#N/A,#N/A,FALSE,"기안지";#N/A,#N/A,FALSE,"통신지"}</definedName>
    <definedName name="거눛" localSheetId="25" hidden="1">{#N/A,#N/A,FALSE,"기안지";#N/A,#N/A,FALSE,"통신지"}</definedName>
    <definedName name="거눛" hidden="1">{#N/A,#N/A,FALSE,"기안지";#N/A,#N/A,FALSE,"통신지"}</definedName>
    <definedName name="거이" localSheetId="24" hidden="1">{#N/A,#N/A,FALSE,"1.CRITERIA";#N/A,#N/A,FALSE,"2.IS";#N/A,#N/A,FALSE,"3.BS";#N/A,#N/A,FALSE,"4.PER PL";#N/A,#N/A,FALSE,"5.INVESTMENT";#N/A,#N/A,FALSE,"6.공문";#N/A,#N/A,FALSE,"7.netinvest"}</definedName>
    <definedName name="거이" localSheetId="18" hidden="1">{#N/A,#N/A,FALSE,"1.CRITERIA";#N/A,#N/A,FALSE,"2.IS";#N/A,#N/A,FALSE,"3.BS";#N/A,#N/A,FALSE,"4.PER PL";#N/A,#N/A,FALSE,"5.INVESTMENT";#N/A,#N/A,FALSE,"6.공문";#N/A,#N/A,FALSE,"7.netinvest"}</definedName>
    <definedName name="거이" localSheetId="25" hidden="1">{#N/A,#N/A,FALSE,"1.CRITERIA";#N/A,#N/A,FALSE,"2.IS";#N/A,#N/A,FALSE,"3.BS";#N/A,#N/A,FALSE,"4.PER PL";#N/A,#N/A,FALSE,"5.INVESTMENT";#N/A,#N/A,FALSE,"6.공문";#N/A,#N/A,FALSE,"7.netinvest"}</definedName>
    <definedName name="거이" hidden="1">{#N/A,#N/A,FALSE,"1.CRITERIA";#N/A,#N/A,FALSE,"2.IS";#N/A,#N/A,FALSE,"3.BS";#N/A,#N/A,FALSE,"4.PER PL";#N/A,#N/A,FALSE,"5.INVESTMENT";#N/A,#N/A,FALSE,"6.공문";#N/A,#N/A,FALSE,"7.netinvest"}</definedName>
    <definedName name="거추서" localSheetId="24" hidden="1">{#N/A,#N/A,FALSE,"견적갑지";#N/A,#N/A,FALSE,"총괄표";#N/A,#N/A,FALSE,"철골공사";#N/A,#N/A,FALSE,"토목공사";#N/A,#N/A,FALSE,"판넬전기공사"}</definedName>
    <definedName name="거추서" localSheetId="18" hidden="1">{#N/A,#N/A,FALSE,"견적갑지";#N/A,#N/A,FALSE,"총괄표";#N/A,#N/A,FALSE,"철골공사";#N/A,#N/A,FALSE,"토목공사";#N/A,#N/A,FALSE,"판넬전기공사"}</definedName>
    <definedName name="거추서" localSheetId="25" hidden="1">{#N/A,#N/A,FALSE,"견적갑지";#N/A,#N/A,FALSE,"총괄표";#N/A,#N/A,FALSE,"철골공사";#N/A,#N/A,FALSE,"토목공사";#N/A,#N/A,FALSE,"판넬전기공사"}</definedName>
    <definedName name="거추서" hidden="1">{#N/A,#N/A,FALSE,"견적갑지";#N/A,#N/A,FALSE,"총괄표";#N/A,#N/A,FALSE,"철골공사";#N/A,#N/A,FALSE,"토목공사";#N/A,#N/A,FALSE,"판넬전기공사"}</definedName>
    <definedName name="건3" localSheetId="24" hidden="1">{#N/A,#N/A,FALSE,"견적갑지";#N/A,#N/A,FALSE,"총괄표";#N/A,#N/A,FALSE,"철골공사";#N/A,#N/A,FALSE,"토목공사";#N/A,#N/A,FALSE,"판넬전기공사"}</definedName>
    <definedName name="건3" localSheetId="18" hidden="1">{#N/A,#N/A,FALSE,"견적갑지";#N/A,#N/A,FALSE,"총괄표";#N/A,#N/A,FALSE,"철골공사";#N/A,#N/A,FALSE,"토목공사";#N/A,#N/A,FALSE,"판넬전기공사"}</definedName>
    <definedName name="건3" localSheetId="25" hidden="1">{#N/A,#N/A,FALSE,"견적갑지";#N/A,#N/A,FALSE,"총괄표";#N/A,#N/A,FALSE,"철골공사";#N/A,#N/A,FALSE,"토목공사";#N/A,#N/A,FALSE,"판넬전기공사"}</definedName>
    <definedName name="건3" hidden="1">{#N/A,#N/A,FALSE,"견적갑지";#N/A,#N/A,FALSE,"총괄표";#N/A,#N/A,FALSE,"철골공사";#N/A,#N/A,FALSE,"토목공사";#N/A,#N/A,FALSE,"판넬전기공사"}</definedName>
    <definedName name="건444" localSheetId="24" hidden="1">{#N/A,#N/A,FALSE,"견적갑지";#N/A,#N/A,FALSE,"총괄표";#N/A,#N/A,FALSE,"철골공사";#N/A,#N/A,FALSE,"토목공사";#N/A,#N/A,FALSE,"판넬전기공사"}</definedName>
    <definedName name="건444" localSheetId="18" hidden="1">{#N/A,#N/A,FALSE,"견적갑지";#N/A,#N/A,FALSE,"총괄표";#N/A,#N/A,FALSE,"철골공사";#N/A,#N/A,FALSE,"토목공사";#N/A,#N/A,FALSE,"판넬전기공사"}</definedName>
    <definedName name="건444" localSheetId="25" hidden="1">{#N/A,#N/A,FALSE,"견적갑지";#N/A,#N/A,FALSE,"총괄표";#N/A,#N/A,FALSE,"철골공사";#N/A,#N/A,FALSE,"토목공사";#N/A,#N/A,FALSE,"판넬전기공사"}</definedName>
    <definedName name="건444" hidden="1">{#N/A,#N/A,FALSE,"견적갑지";#N/A,#N/A,FALSE,"총괄표";#N/A,#N/A,FALSE,"철골공사";#N/A,#N/A,FALSE,"토목공사";#N/A,#N/A,FALSE,"판넬전기공사"}</definedName>
    <definedName name="건검" localSheetId="24" hidden="1">{#N/A,#N/A,FALSE,"견적갑지";#N/A,#N/A,FALSE,"총괄표";#N/A,#N/A,FALSE,"철골공사";#N/A,#N/A,FALSE,"토목공사";#N/A,#N/A,FALSE,"판넬전기공사"}</definedName>
    <definedName name="건검" localSheetId="18" hidden="1">{#N/A,#N/A,FALSE,"견적갑지";#N/A,#N/A,FALSE,"총괄표";#N/A,#N/A,FALSE,"철골공사";#N/A,#N/A,FALSE,"토목공사";#N/A,#N/A,FALSE,"판넬전기공사"}</definedName>
    <definedName name="건검" localSheetId="25" hidden="1">{#N/A,#N/A,FALSE,"견적갑지";#N/A,#N/A,FALSE,"총괄표";#N/A,#N/A,FALSE,"철골공사";#N/A,#N/A,FALSE,"토목공사";#N/A,#N/A,FALSE,"판넬전기공사"}</definedName>
    <definedName name="건검" hidden="1">{#N/A,#N/A,FALSE,"견적갑지";#N/A,#N/A,FALSE,"총괄표";#N/A,#N/A,FALSE,"철골공사";#N/A,#N/A,FALSE,"토목공사";#N/A,#N/A,FALSE,"판넬전기공사"}</definedName>
    <definedName name="建物年間計画表" localSheetId="24" hidden="1">{"ｹﾝﾄ（M)",#N/A,FALSE,"収支・日割";"ｹﾝﾄ（RD)",#N/A,FALSE,"収支・日割";"ｹﾝﾄ（PMC)",#N/A,FALSE,"収支・日割"}</definedName>
    <definedName name="建物年間計画表" localSheetId="18" hidden="1">{"ｹﾝﾄ（M)",#N/A,FALSE,"収支・日割";"ｹﾝﾄ（RD)",#N/A,FALSE,"収支・日割";"ｹﾝﾄ（PMC)",#N/A,FALSE,"収支・日割"}</definedName>
    <definedName name="建物年間計画表" localSheetId="25" hidden="1">{"ｹﾝﾄ（M)",#N/A,FALSE,"収支・日割";"ｹﾝﾄ（RD)",#N/A,FALSE,"収支・日割";"ｹﾝﾄ（PMC)",#N/A,FALSE,"収支・日割"}</definedName>
    <definedName name="建物年間計画表" hidden="1">{"ｹﾝﾄ（M)",#N/A,FALSE,"収支・日割";"ｹﾝﾄ（RD)",#N/A,FALSE,"収支・日割";"ｹﾝﾄ（PMC)",#N/A,FALSE,"収支・日割"}</definedName>
    <definedName name="건물임." localSheetId="24" hidden="1">{"'손익현황'!$A$1:$J$29"}</definedName>
    <definedName name="건물임." localSheetId="18" hidden="1">{"'손익현황'!$A$1:$J$29"}</definedName>
    <definedName name="건물임." localSheetId="25" hidden="1">{"'손익현황'!$A$1:$J$29"}</definedName>
    <definedName name="건물임." hidden="1">{"'손익현황'!$A$1:$J$29"}</definedName>
    <definedName name="건비" localSheetId="24" hidden="1">{"'2분기예산별'!$B$2:$O$38"}</definedName>
    <definedName name="건비" localSheetId="18" hidden="1">{"'2분기예산별'!$B$2:$O$38"}</definedName>
    <definedName name="건비" localSheetId="25" hidden="1">{"'2분기예산별'!$B$2:$O$38"}</definedName>
    <definedName name="건비" hidden="1">{"'2분기예산별'!$B$2:$O$38"}</definedName>
    <definedName name="건설"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건설"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건설"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건설" hidden="1">{#N/A,#N/A,FALSE,"손익표지";#N/A,#N/A,FALSE,"손익계산";#N/A,#N/A,FALSE,"일반관리비";#N/A,#N/A,FALSE,"영업외수익";#N/A,#N/A,FALSE,"영업외비용";#N/A,#N/A,FALSE,"매출액";#N/A,#N/A,FALSE,"요약손익";#N/A,#N/A,FALSE,"요약대차";#N/A,#N/A,FALSE,"매출채권현황";#N/A,#N/A,FALSE,"매출채권명세"}</definedName>
    <definedName name="건설팀" localSheetId="24" hidden="1">{#N/A,#N/A,TRUE,"Y생산";#N/A,#N/A,TRUE,"Y판매";#N/A,#N/A,TRUE,"Y총물량";#N/A,#N/A,TRUE,"Y능력";#N/A,#N/A,TRUE,"YKD"}</definedName>
    <definedName name="건설팀" localSheetId="18" hidden="1">{#N/A,#N/A,TRUE,"Y생산";#N/A,#N/A,TRUE,"Y판매";#N/A,#N/A,TRUE,"Y총물량";#N/A,#N/A,TRUE,"Y능력";#N/A,#N/A,TRUE,"YKD"}</definedName>
    <definedName name="건설팀" localSheetId="25" hidden="1">{#N/A,#N/A,TRUE,"Y생산";#N/A,#N/A,TRUE,"Y판매";#N/A,#N/A,TRUE,"Y총물량";#N/A,#N/A,TRUE,"Y능력";#N/A,#N/A,TRUE,"YKD"}</definedName>
    <definedName name="건설팀" hidden="1">{#N/A,#N/A,TRUE,"Y생산";#N/A,#N/A,TRUE,"Y판매";#N/A,#N/A,TRUE,"Y총물량";#N/A,#N/A,TRUE,"Y능력";#N/A,#N/A,TRUE,"YKD"}</definedName>
    <definedName name="건설팀_1" localSheetId="24" hidden="1">{#N/A,#N/A,TRUE,"Y생산";#N/A,#N/A,TRUE,"Y판매";#N/A,#N/A,TRUE,"Y총물량";#N/A,#N/A,TRUE,"Y능력";#N/A,#N/A,TRUE,"YKD"}</definedName>
    <definedName name="건설팀_1" localSheetId="18" hidden="1">{#N/A,#N/A,TRUE,"Y생산";#N/A,#N/A,TRUE,"Y판매";#N/A,#N/A,TRUE,"Y총물량";#N/A,#N/A,TRUE,"Y능력";#N/A,#N/A,TRUE,"YKD"}</definedName>
    <definedName name="건설팀_1" localSheetId="25" hidden="1">{#N/A,#N/A,TRUE,"Y생산";#N/A,#N/A,TRUE,"Y판매";#N/A,#N/A,TRUE,"Y총물량";#N/A,#N/A,TRUE,"Y능력";#N/A,#N/A,TRUE,"YKD"}</definedName>
    <definedName name="건설팀_1" hidden="1">{#N/A,#N/A,TRUE,"Y생산";#N/A,#N/A,TRUE,"Y판매";#N/A,#N/A,TRUE,"Y총물량";#N/A,#N/A,TRUE,"Y능력";#N/A,#N/A,TRUE,"YKD"}</definedName>
    <definedName name="건추" localSheetId="24" hidden="1">{#N/A,#N/A,FALSE,"견적갑지";#N/A,#N/A,FALSE,"총괄표";#N/A,#N/A,FALSE,"철골공사";#N/A,#N/A,FALSE,"토목공사";#N/A,#N/A,FALSE,"판넬전기공사"}</definedName>
    <definedName name="건추" localSheetId="18" hidden="1">{#N/A,#N/A,FALSE,"견적갑지";#N/A,#N/A,FALSE,"총괄표";#N/A,#N/A,FALSE,"철골공사";#N/A,#N/A,FALSE,"토목공사";#N/A,#N/A,FALSE,"판넬전기공사"}</definedName>
    <definedName name="건추" localSheetId="25" hidden="1">{#N/A,#N/A,FALSE,"견적갑지";#N/A,#N/A,FALSE,"총괄표";#N/A,#N/A,FALSE,"철골공사";#N/A,#N/A,FALSE,"토목공사";#N/A,#N/A,FALSE,"판넬전기공사"}</definedName>
    <definedName name="건추" hidden="1">{#N/A,#N/A,FALSE,"견적갑지";#N/A,#N/A,FALSE,"총괄표";#N/A,#N/A,FALSE,"철골공사";#N/A,#N/A,FALSE,"토목공사";#N/A,#N/A,FALSE,"판넬전기공사"}</definedName>
    <definedName name="건축토공" localSheetId="24" hidden="1">{#N/A,#N/A,FALSE,"기안지";#N/A,#N/A,FALSE,"통신지"}</definedName>
    <definedName name="건축토공" localSheetId="18" hidden="1">{#N/A,#N/A,FALSE,"기안지";#N/A,#N/A,FALSE,"통신지"}</definedName>
    <definedName name="건축토공" localSheetId="25" hidden="1">{#N/A,#N/A,FALSE,"기안지";#N/A,#N/A,FALSE,"통신지"}</definedName>
    <definedName name="건축토공" hidden="1">{#N/A,#N/A,FALSE,"기안지";#N/A,#N/A,FALSE,"통신지"}</definedName>
    <definedName name="건축팀별" localSheetId="24" hidden="1">{#N/A,#N/A,FALSE,"지침";#N/A,#N/A,FALSE,"환경분석";#N/A,#N/A,FALSE,"Sheet16"}</definedName>
    <definedName name="건축팀별" localSheetId="18" hidden="1">{#N/A,#N/A,FALSE,"지침";#N/A,#N/A,FALSE,"환경분석";#N/A,#N/A,FALSE,"Sheet16"}</definedName>
    <definedName name="건축팀별" localSheetId="25" hidden="1">{#N/A,#N/A,FALSE,"지침";#N/A,#N/A,FALSE,"환경분석";#N/A,#N/A,FALSE,"Sheet16"}</definedName>
    <definedName name="건축팀별" hidden="1">{#N/A,#N/A,FALSE,"지침";#N/A,#N/A,FALSE,"환경분석";#N/A,#N/A,FALSE,"Sheet16"}</definedName>
    <definedName name="검사기준서" localSheetId="24" hidden="1">{#N/A,#N/A,FALSE,"업체선정";#N/A,#N/A,FALSE,"업체선정sheet";#N/A,#N/A,FALSE,"업체실태";#N/A,#N/A,FALSE,"업체실태(1)";#N/A,#N/A,FALSE,"종업원현황(2)";#N/A,#N/A,FALSE,"생산품목(3)";#N/A,#N/A,FALSE,"장비보유현황";#N/A,#N/A,FALSE,"차량및약도";#N/A,#N/A,FALSE,"금형LIST"}</definedName>
    <definedName name="검사기준서" localSheetId="18" hidden="1">{#N/A,#N/A,FALSE,"업체선정";#N/A,#N/A,FALSE,"업체선정sheet";#N/A,#N/A,FALSE,"업체실태";#N/A,#N/A,FALSE,"업체실태(1)";#N/A,#N/A,FALSE,"종업원현황(2)";#N/A,#N/A,FALSE,"생산품목(3)";#N/A,#N/A,FALSE,"장비보유현황";#N/A,#N/A,FALSE,"차량및약도";#N/A,#N/A,FALSE,"금형LIST"}</definedName>
    <definedName name="검사기준서" localSheetId="25" hidden="1">{#N/A,#N/A,FALSE,"업체선정";#N/A,#N/A,FALSE,"업체선정sheet";#N/A,#N/A,FALSE,"업체실태";#N/A,#N/A,FALSE,"업체실태(1)";#N/A,#N/A,FALSE,"종업원현황(2)";#N/A,#N/A,FALSE,"생산품목(3)";#N/A,#N/A,FALSE,"장비보유현황";#N/A,#N/A,FALSE,"차량및약도";#N/A,#N/A,FALSE,"금형LIST"}</definedName>
    <definedName name="검사기준서" hidden="1">{#N/A,#N/A,FALSE,"업체선정";#N/A,#N/A,FALSE,"업체선정sheet";#N/A,#N/A,FALSE,"업체실태";#N/A,#N/A,FALSE,"업체실태(1)";#N/A,#N/A,FALSE,"종업원현황(2)";#N/A,#N/A,FALSE,"생산품목(3)";#N/A,#N/A,FALSE,"장비보유현황";#N/A,#N/A,FALSE,"차량및약도";#N/A,#N/A,FALSE,"금형LIST"}</definedName>
    <definedName name="검증박스">'A&amp;R'!$V$4:$AG$23</definedName>
    <definedName name="겉표지10" localSheetId="24" hidden="1">{#N/A,#N/A,TRUE,"Y생산";#N/A,#N/A,TRUE,"Y판매";#N/A,#N/A,TRUE,"Y총물량";#N/A,#N/A,TRUE,"Y능력";#N/A,#N/A,TRUE,"YKD"}</definedName>
    <definedName name="겉표지10" localSheetId="18" hidden="1">{#N/A,#N/A,TRUE,"Y생산";#N/A,#N/A,TRUE,"Y판매";#N/A,#N/A,TRUE,"Y총물량";#N/A,#N/A,TRUE,"Y능력";#N/A,#N/A,TRUE,"YKD"}</definedName>
    <definedName name="겉표지10" localSheetId="25" hidden="1">{#N/A,#N/A,TRUE,"Y생산";#N/A,#N/A,TRUE,"Y판매";#N/A,#N/A,TRUE,"Y총물량";#N/A,#N/A,TRUE,"Y능력";#N/A,#N/A,TRUE,"YKD"}</definedName>
    <definedName name="겉표지10" hidden="1">{#N/A,#N/A,TRUE,"Y생산";#N/A,#N/A,TRUE,"Y판매";#N/A,#N/A,TRUE,"Y총물량";#N/A,#N/A,TRUE,"Y능력";#N/A,#N/A,TRUE,"YKD"}</definedName>
    <definedName name="격려금기초자료11" localSheetId="24" hidden="1">{#N/A,#N/A,FALSE,"단축1";#N/A,#N/A,FALSE,"단축2";#N/A,#N/A,FALSE,"단축3";#N/A,#N/A,FALSE,"장축";#N/A,#N/A,FALSE,"4WD"}</definedName>
    <definedName name="격려금기초자료11" localSheetId="18" hidden="1">{#N/A,#N/A,FALSE,"단축1";#N/A,#N/A,FALSE,"단축2";#N/A,#N/A,FALSE,"단축3";#N/A,#N/A,FALSE,"장축";#N/A,#N/A,FALSE,"4WD"}</definedName>
    <definedName name="격려금기초자료11" localSheetId="25" hidden="1">{#N/A,#N/A,FALSE,"단축1";#N/A,#N/A,FALSE,"단축2";#N/A,#N/A,FALSE,"단축3";#N/A,#N/A,FALSE,"장축";#N/A,#N/A,FALSE,"4WD"}</definedName>
    <definedName name="격려금기초자료11" hidden="1">{#N/A,#N/A,FALSE,"단축1";#N/A,#N/A,FALSE,"단축2";#N/A,#N/A,FALSE,"단축3";#N/A,#N/A,FALSE,"장축";#N/A,#N/A,FALSE,"4WD"}</definedName>
    <definedName name="견적2"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2"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2"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2"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3"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3"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3"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4"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4"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4"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내역" localSheetId="24" hidden="1">{#N/A,#N/A,FALSE,"CCTV"}</definedName>
    <definedName name="견적내역" localSheetId="18" hidden="1">{#N/A,#N/A,FALSE,"CCTV"}</definedName>
    <definedName name="견적내역" localSheetId="25" hidden="1">{#N/A,#N/A,FALSE,"CCTV"}</definedName>
    <definedName name="견적내역" hidden="1">{#N/A,#N/A,FALSE,"CCTV"}</definedName>
    <definedName name="견적대실행" localSheetId="24" hidden="1">{#N/A,#N/A,FALSE,"CAM-G7";#N/A,#N/A,FALSE,"SPL";#N/A,#N/A,FALSE,"butt-in G7";#N/A,#N/A,FALSE,"dia-in G7";#N/A,#N/A,FALSE,"추가-STA G7"}</definedName>
    <definedName name="견적대실행" localSheetId="18" hidden="1">{#N/A,#N/A,FALSE,"CAM-G7";#N/A,#N/A,FALSE,"SPL";#N/A,#N/A,FALSE,"butt-in G7";#N/A,#N/A,FALSE,"dia-in G7";#N/A,#N/A,FALSE,"추가-STA G7"}</definedName>
    <definedName name="견적대실행" localSheetId="25" hidden="1">{#N/A,#N/A,FALSE,"CAM-G7";#N/A,#N/A,FALSE,"SPL";#N/A,#N/A,FALSE,"butt-in G7";#N/A,#N/A,FALSE,"dia-in G7";#N/A,#N/A,FALSE,"추가-STA G7"}</definedName>
    <definedName name="견적대실행" hidden="1">{#N/A,#N/A,FALSE,"CAM-G7";#N/A,#N/A,FALSE,"SPL";#N/A,#N/A,FALSE,"butt-in G7";#N/A,#N/A,FALSE,"dia-in G7";#N/A,#N/A,FALSE,"추가-STA G7"}</definedName>
    <definedName name="견적서" localSheetId="24" hidden="1">{#N/A,#N/A,FALSE,"CAM-G7";#N/A,#N/A,FALSE,"SPL";#N/A,#N/A,FALSE,"butt-in G7";#N/A,#N/A,FALSE,"dia-in G7";#N/A,#N/A,FALSE,"추가-STA G7"}</definedName>
    <definedName name="견적서" localSheetId="18" hidden="1">{#N/A,#N/A,FALSE,"CAM-G7";#N/A,#N/A,FALSE,"SPL";#N/A,#N/A,FALSE,"butt-in G7";#N/A,#N/A,FALSE,"dia-in G7";#N/A,#N/A,FALSE,"추가-STA G7"}</definedName>
    <definedName name="견적서" localSheetId="25" hidden="1">{#N/A,#N/A,FALSE,"CAM-G7";#N/A,#N/A,FALSE,"SPL";#N/A,#N/A,FALSE,"butt-in G7";#N/A,#N/A,FALSE,"dia-in G7";#N/A,#N/A,FALSE,"추가-STA G7"}</definedName>
    <definedName name="견적서" hidden="1">{#N/A,#N/A,FALSE,"CAM-G7";#N/A,#N/A,FALSE,"SPL";#N/A,#N/A,FALSE,"butt-in G7";#N/A,#N/A,FALSE,"dia-in G7";#N/A,#N/A,FALSE,"추가-STA G7"}</definedName>
    <definedName name="견적조건" localSheetId="24" hidden="1">{#N/A,#N/A,FALSE,"CCTV"}</definedName>
    <definedName name="견적조건" localSheetId="18" hidden="1">{#N/A,#N/A,FALSE,"CCTV"}</definedName>
    <definedName name="견적조건" localSheetId="25" hidden="1">{#N/A,#N/A,FALSE,"CCTV"}</definedName>
    <definedName name="견적조건" hidden="1">{#N/A,#N/A,FALSE,"CCTV"}</definedName>
    <definedName name="견적조건8" localSheetId="24" hidden="1">{#N/A,#N/A,FALSE,"CCTV"}</definedName>
    <definedName name="견적조건8" localSheetId="18" hidden="1">{#N/A,#N/A,FALSE,"CCTV"}</definedName>
    <definedName name="견적조건8" localSheetId="25" hidden="1">{#N/A,#N/A,FALSE,"CCTV"}</definedName>
    <definedName name="견적조건8" hidden="1">{#N/A,#N/A,FALSE,"CCTV"}</definedName>
    <definedName name="결과표1">'A&amp;R'!$AN$42:$AN$55</definedName>
    <definedName name="결과표2">'A&amp;R'!$AN$42:$AN$57</definedName>
    <definedName name="결산성과" localSheetId="24"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결산성과" localSheetId="18"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결산성과" localSheetId="25"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결산성과"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경비2" localSheetId="24" hidden="1">{#N/A,#N/A,FALSE,"동부"}</definedName>
    <definedName name="경비2" localSheetId="18" hidden="1">{#N/A,#N/A,FALSE,"동부"}</definedName>
    <definedName name="경비2" localSheetId="25" hidden="1">{#N/A,#N/A,FALSE,"동부"}</definedName>
    <definedName name="경비2" hidden="1">{#N/A,#N/A,FALSE,"동부"}</definedName>
    <definedName name="경비집계" localSheetId="24" hidden="1">{"'용역비'!$A$4:$C$8"}</definedName>
    <definedName name="경비집계" localSheetId="18" hidden="1">{"'용역비'!$A$4:$C$8"}</definedName>
    <definedName name="경비집계" localSheetId="25" hidden="1">{"'용역비'!$A$4:$C$8"}</definedName>
    <definedName name="경비집계" hidden="1">{"'용역비'!$A$4:$C$8"}</definedName>
    <definedName name="경상"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상"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상"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경상" hidden="1">{#N/A,#N/A,FALSE,"손익표지";#N/A,#N/A,FALSE,"손익계산";#N/A,#N/A,FALSE,"일반관리비";#N/A,#N/A,FALSE,"영업외수익";#N/A,#N/A,FALSE,"영업외비용";#N/A,#N/A,FALSE,"매출액";#N/A,#N/A,FALSE,"요약손익";#N/A,#N/A,FALSE,"요약대차";#N/A,#N/A,FALSE,"매출채권현황";#N/A,#N/A,FALSE,"매출채권명세"}</definedName>
    <definedName name="경상비8월" localSheetId="24" hidden="1">{#N/A,#N/A,FALSE,"단축1";#N/A,#N/A,FALSE,"단축2";#N/A,#N/A,FALSE,"단축3";#N/A,#N/A,FALSE,"장축";#N/A,#N/A,FALSE,"4WD"}</definedName>
    <definedName name="경상비8월" localSheetId="18" hidden="1">{#N/A,#N/A,FALSE,"단축1";#N/A,#N/A,FALSE,"단축2";#N/A,#N/A,FALSE,"단축3";#N/A,#N/A,FALSE,"장축";#N/A,#N/A,FALSE,"4WD"}</definedName>
    <definedName name="경상비8월" localSheetId="25" hidden="1">{#N/A,#N/A,FALSE,"단축1";#N/A,#N/A,FALSE,"단축2";#N/A,#N/A,FALSE,"단축3";#N/A,#N/A,FALSE,"장축";#N/A,#N/A,FALSE,"4WD"}</definedName>
    <definedName name="경상비8월" hidden="1">{#N/A,#N/A,FALSE,"단축1";#N/A,#N/A,FALSE,"단축2";#N/A,#N/A,FALSE,"단축3";#N/A,#N/A,FALSE,"장축";#N/A,#N/A,FALSE,"4WD"}</definedName>
    <definedName name="경양"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양"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양"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경양" hidden="1">{#N/A,#N/A,FALSE,"손익표지";#N/A,#N/A,FALSE,"손익계산";#N/A,#N/A,FALSE,"일반관리비";#N/A,#N/A,FALSE,"영업외수익";#N/A,#N/A,FALSE,"영업외비용";#N/A,#N/A,FALSE,"매출액";#N/A,#N/A,FALSE,"요약손익";#N/A,#N/A,FALSE,"요약대차";#N/A,#N/A,FALSE,"매출채권현황";#N/A,#N/A,FALSE,"매출채권명세"}</definedName>
    <definedName name="경영"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영"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영"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경영" hidden="1">{#N/A,#N/A,FALSE,"손익표지";#N/A,#N/A,FALSE,"손익계산";#N/A,#N/A,FALSE,"일반관리비";#N/A,#N/A,FALSE,"영업외수익";#N/A,#N/A,FALSE,"영업외비용";#N/A,#N/A,FALSE,"매출액";#N/A,#N/A,FALSE,"요약손익";#N/A,#N/A,FALSE,"요약대차";#N/A,#N/A,FALSE,"매출채권현황";#N/A,#N/A,FALSE,"매출채권명세"}</definedName>
    <definedName name="경영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영1"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영1"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경영1" hidden="1">{#N/A,#N/A,FALSE,"손익표지";#N/A,#N/A,FALSE,"손익계산";#N/A,#N/A,FALSE,"일반관리비";#N/A,#N/A,FALSE,"영업외수익";#N/A,#N/A,FALSE,"영업외비용";#N/A,#N/A,FALSE,"매출액";#N/A,#N/A,FALSE,"요약손익";#N/A,#N/A,FALSE,"요약대차";#N/A,#N/A,FALSE,"매출채권현황";#N/A,#N/A,FALSE,"매출채권명세"}</definedName>
    <definedName name="경영123"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영123"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영123"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경영123" hidden="1">{#N/A,#N/A,FALSE,"손익표지";#N/A,#N/A,FALSE,"손익계산";#N/A,#N/A,FALSE,"일반관리비";#N/A,#N/A,FALSE,"영업외수익";#N/A,#N/A,FALSE,"영업외비용";#N/A,#N/A,FALSE,"매출액";#N/A,#N/A,FALSE,"요약손익";#N/A,#N/A,FALSE,"요약대차";#N/A,#N/A,FALSE,"매출채권현황";#N/A,#N/A,FALSE,"매출채권명세"}</definedName>
    <definedName name="경영2"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영2"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영2"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경영2" hidden="1">{#N/A,#N/A,FALSE,"손익표지";#N/A,#N/A,FALSE,"손익계산";#N/A,#N/A,FALSE,"일반관리비";#N/A,#N/A,FALSE,"영업외수익";#N/A,#N/A,FALSE,"영업외비용";#N/A,#N/A,FALSE,"매출액";#N/A,#N/A,FALSE,"요약손익";#N/A,#N/A,FALSE,"요약대차";#N/A,#N/A,FALSE,"매출채권현황";#N/A,#N/A,FALSE,"매출채권명세"}</definedName>
    <definedName name="경영3"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영3"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영3"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경영3" hidden="1">{#N/A,#N/A,FALSE,"손익표지";#N/A,#N/A,FALSE,"손익계산";#N/A,#N/A,FALSE,"일반관리비";#N/A,#N/A,FALSE,"영업외수익";#N/A,#N/A,FALSE,"영업외비용";#N/A,#N/A,FALSE,"매출액";#N/A,#N/A,FALSE,"요약손익";#N/A,#N/A,FALSE,"요약대차";#N/A,#N/A,FALSE,"매출채권현황";#N/A,#N/A,FALSE,"매출채권명세"}</definedName>
    <definedName name="경영5"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영5"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영5"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경영5" hidden="1">{#N/A,#N/A,FALSE,"손익표지";#N/A,#N/A,FALSE,"손익계산";#N/A,#N/A,FALSE,"일반관리비";#N/A,#N/A,FALSE,"영업외수익";#N/A,#N/A,FALSE,"영업외비용";#N/A,#N/A,FALSE,"매출액";#N/A,#N/A,FALSE,"요약손익";#N/A,#N/A,FALSE,"요약대차";#N/A,#N/A,FALSE,"매출채권현황";#N/A,#N/A,FALSE,"매출채권명세"}</definedName>
    <definedName name="경쟁사동향" localSheetId="24" hidden="1">{#N/A,#N/A,FALSE,"97년 투자계획 세부내역 "}</definedName>
    <definedName name="경쟁사동향" localSheetId="18" hidden="1">{#N/A,#N/A,FALSE,"97년 투자계획 세부내역 "}</definedName>
    <definedName name="경쟁사동향" localSheetId="25" hidden="1">{#N/A,#N/A,FALSE,"97년 투자계획 세부내역 "}</definedName>
    <definedName name="경쟁사동향" hidden="1">{#N/A,#N/A,FALSE,"97년 투자계획 세부내역 "}</definedName>
    <definedName name="경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제"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경제" hidden="1">{#N/A,#N/A,FALSE,"손익표지";#N/A,#N/A,FALSE,"손익계산";#N/A,#N/A,FALSE,"일반관리비";#N/A,#N/A,FALSE,"영업외수익";#N/A,#N/A,FALSE,"영업외비용";#N/A,#N/A,FALSE,"매출액";#N/A,#N/A,FALSE,"요약손익";#N/A,#N/A,FALSE,"요약대차";#N/A,#N/A,FALSE,"매출채권현황";#N/A,#N/A,FALSE,"매출채권명세"}</definedName>
    <definedName name="계산" localSheetId="24" hidden="1">{#N/A,#N/A,FALSE,"1.CRITERIA";#N/A,#N/A,FALSE,"2.IS";#N/A,#N/A,FALSE,"3.BS";#N/A,#N/A,FALSE,"4.PER PL";#N/A,#N/A,FALSE,"5.INVESTMENT";#N/A,#N/A,FALSE,"6.공문";#N/A,#N/A,FALSE,"7.netinvest"}</definedName>
    <definedName name="계산" localSheetId="18" hidden="1">{#N/A,#N/A,FALSE,"1.CRITERIA";#N/A,#N/A,FALSE,"2.IS";#N/A,#N/A,FALSE,"3.BS";#N/A,#N/A,FALSE,"4.PER PL";#N/A,#N/A,FALSE,"5.INVESTMENT";#N/A,#N/A,FALSE,"6.공문";#N/A,#N/A,FALSE,"7.netinvest"}</definedName>
    <definedName name="계산" localSheetId="25" hidden="1">{#N/A,#N/A,FALSE,"1.CRITERIA";#N/A,#N/A,FALSE,"2.IS";#N/A,#N/A,FALSE,"3.BS";#N/A,#N/A,FALSE,"4.PER PL";#N/A,#N/A,FALSE,"5.INVESTMENT";#N/A,#N/A,FALSE,"6.공문";#N/A,#N/A,FALSE,"7.netinvest"}</definedName>
    <definedName name="계산" hidden="1">{#N/A,#N/A,FALSE,"1.CRITERIA";#N/A,#N/A,FALSE,"2.IS";#N/A,#N/A,FALSE,"3.BS";#N/A,#N/A,FALSE,"4.PER PL";#N/A,#N/A,FALSE,"5.INVESTMENT";#N/A,#N/A,FALSE,"6.공문";#N/A,#N/A,FALSE,"7.netinvest"}</definedName>
    <definedName name="계수" localSheetId="24" hidden="1">{#N/A,#N/A,FALSE,"지침";#N/A,#N/A,FALSE,"환경분석";#N/A,#N/A,FALSE,"Sheet16"}</definedName>
    <definedName name="계수" localSheetId="18" hidden="1">{#N/A,#N/A,FALSE,"지침";#N/A,#N/A,FALSE,"환경분석";#N/A,#N/A,FALSE,"Sheet16"}</definedName>
    <definedName name="계수" localSheetId="25" hidden="1">{#N/A,#N/A,FALSE,"지침";#N/A,#N/A,FALSE,"환경분석";#N/A,#N/A,FALSE,"Sheet16"}</definedName>
    <definedName name="계수" hidden="1">{#N/A,#N/A,FALSE,"지침";#N/A,#N/A,FALSE,"환경분석";#N/A,#N/A,FALSE,"Sheet16"}</definedName>
    <definedName name="계측기기"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계측기기"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계측기기"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계측기기"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系統外出資金" localSheetId="24" hidden="1">{"DCF-北海道",#N/A,TRUE,"北海道";"DCF-東北",#N/A,TRUE,"東北";"DCF-東海",#N/A,TRUE,"東海";"DCF-北陸",#N/A,TRUE,"北陸";"DCF-関西",#N/A,TRUE,"関西";"DCF-中国",#N/A,TRUE,"中国";"DCF-四国",#N/A,TRUE,"四国";"DCF-九州",#N/A,TRUE,"九州";"DCF-連結",#N/A,TRUE,"連結"}</definedName>
    <definedName name="系統外出資金" localSheetId="18" hidden="1">{"DCF-北海道",#N/A,TRUE,"北海道";"DCF-東北",#N/A,TRUE,"東北";"DCF-東海",#N/A,TRUE,"東海";"DCF-北陸",#N/A,TRUE,"北陸";"DCF-関西",#N/A,TRUE,"関西";"DCF-中国",#N/A,TRUE,"中国";"DCF-四国",#N/A,TRUE,"四国";"DCF-九州",#N/A,TRUE,"九州";"DCF-連結",#N/A,TRUE,"連結"}</definedName>
    <definedName name="系統外出資金" localSheetId="25" hidden="1">{"DCF-北海道",#N/A,TRUE,"北海道";"DCF-東北",#N/A,TRUE,"東北";"DCF-東海",#N/A,TRUE,"東海";"DCF-北陸",#N/A,TRUE,"北陸";"DCF-関西",#N/A,TRUE,"関西";"DCF-中国",#N/A,TRUE,"中国";"DCF-四国",#N/A,TRUE,"四国";"DCF-九州",#N/A,TRUE,"九州";"DCF-連結",#N/A,TRUE,"連結"}</definedName>
    <definedName name="系統外出資金" hidden="1">{"DCF-北海道",#N/A,TRUE,"北海道";"DCF-東北",#N/A,TRUE,"東北";"DCF-東海",#N/A,TRUE,"東海";"DCF-北陸",#N/A,TRUE,"北陸";"DCF-関西",#N/A,TRUE,"関西";"DCF-中国",#N/A,TRUE,"中国";"DCF-四国",#N/A,TRUE,"四国";"DCF-九州",#N/A,TRUE,"九州";"DCF-連結",#N/A,TRUE,"連結"}</definedName>
    <definedName name="系統出資金" localSheetId="24" hidden="1">{"DCF-北海道",#N/A,TRUE,"北海道";"DCF-東北",#N/A,TRUE,"東北";"DCF-東海",#N/A,TRUE,"東海";"DCF-北陸",#N/A,TRUE,"北陸";"DCF-関西",#N/A,TRUE,"関西";"DCF-中国",#N/A,TRUE,"中国";"DCF-四国",#N/A,TRUE,"四国";"DCF-九州",#N/A,TRUE,"九州";"DCF-連結",#N/A,TRUE,"連結"}</definedName>
    <definedName name="系統出資金" localSheetId="18" hidden="1">{"DCF-北海道",#N/A,TRUE,"北海道";"DCF-東北",#N/A,TRUE,"東北";"DCF-東海",#N/A,TRUE,"東海";"DCF-北陸",#N/A,TRUE,"北陸";"DCF-関西",#N/A,TRUE,"関西";"DCF-中国",#N/A,TRUE,"中国";"DCF-四国",#N/A,TRUE,"四国";"DCF-九州",#N/A,TRUE,"九州";"DCF-連結",#N/A,TRUE,"連結"}</definedName>
    <definedName name="系統出資金" localSheetId="25" hidden="1">{"DCF-北海道",#N/A,TRUE,"北海道";"DCF-東北",#N/A,TRUE,"東北";"DCF-東海",#N/A,TRUE,"東海";"DCF-北陸",#N/A,TRUE,"北陸";"DCF-関西",#N/A,TRUE,"関西";"DCF-中国",#N/A,TRUE,"中国";"DCF-四国",#N/A,TRUE,"四国";"DCF-九州",#N/A,TRUE,"九州";"DCF-連結",#N/A,TRUE,"連結"}</definedName>
    <definedName name="系統出資金" hidden="1">{"DCF-北海道",#N/A,TRUE,"北海道";"DCF-東北",#N/A,TRUE,"東北";"DCF-東海",#N/A,TRUE,"東海";"DCF-北陸",#N/A,TRUE,"北陸";"DCF-関西",#N/A,TRUE,"関西";"DCF-中国",#N/A,TRUE,"中国";"DCF-四国",#N/A,TRUE,"四国";"DCF-九州",#N/A,TRUE,"九州";"DCF-連結",#N/A,TRUE,"連結"}</definedName>
    <definedName name="계획대실적손익"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계획대실적손익"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계획대실적손익" localSheetId="25"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계획대실적손익"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고" localSheetId="24" hidden="1">{#N/A,#N/A,FALSE,"97년 투자계획 세부내역 "}</definedName>
    <definedName name="고" localSheetId="18" hidden="1">{#N/A,#N/A,FALSE,"97년 투자계획 세부내역 "}</definedName>
    <definedName name="고" localSheetId="25" hidden="1">{#N/A,#N/A,FALSE,"97년 투자계획 세부내역 "}</definedName>
    <definedName name="고" hidden="1">{#N/A,#N/A,FALSE,"97년 투자계획 세부내역 "}</definedName>
    <definedName name="고객" localSheetId="24" hidden="1">{"'7'!$B$15:$D$32"}</definedName>
    <definedName name="고객" localSheetId="18" hidden="1">{"'7'!$B$15:$D$32"}</definedName>
    <definedName name="고객" localSheetId="25" hidden="1">{"'7'!$B$15:$D$32"}</definedName>
    <definedName name="고객" hidden="1">{"'7'!$B$15:$D$32"}</definedName>
    <definedName name="고고" localSheetId="24" hidden="1">{"'통신지'!$A$1:$J$41"}</definedName>
    <definedName name="고고" localSheetId="18" hidden="1">{"'통신지'!$A$1:$J$41"}</definedName>
    <definedName name="고고" localSheetId="25" hidden="1">{"'통신지'!$A$1:$J$41"}</definedName>
    <definedName name="고고" hidden="1">{"'통신지'!$A$1:$J$41"}</definedName>
    <definedName name="고재석" localSheetId="24" hidden="1">{#N/A,#N/A,FALSE,"97년 투자계획 세부내역 "}</definedName>
    <definedName name="고재석" localSheetId="18" hidden="1">{#N/A,#N/A,FALSE,"97년 투자계획 세부내역 "}</definedName>
    <definedName name="고재석" localSheetId="25" hidden="1">{#N/A,#N/A,FALSE,"97년 투자계획 세부내역 "}</definedName>
    <definedName name="고재석" hidden="1">{#N/A,#N/A,FALSE,"97년 투자계획 세부내역 "}</definedName>
    <definedName name="곡동" localSheetId="24" hidden="1">{"'Firr(선)'!$AS$1:$AY$62","'Firr(사)'!$AS$1:$AY$62","'Firr(회)'!$AS$1:$AY$62","'Firr(선)'!$L$1:$V$62","'Firr(사)'!$L$1:$V$62","'Firr(회)'!$L$1:$V$62"}</definedName>
    <definedName name="곡동" localSheetId="18" hidden="1">{"'Firr(선)'!$AS$1:$AY$62","'Firr(사)'!$AS$1:$AY$62","'Firr(회)'!$AS$1:$AY$62","'Firr(선)'!$L$1:$V$62","'Firr(사)'!$L$1:$V$62","'Firr(회)'!$L$1:$V$62"}</definedName>
    <definedName name="곡동" localSheetId="25" hidden="1">{"'Firr(선)'!$AS$1:$AY$62","'Firr(사)'!$AS$1:$AY$62","'Firr(회)'!$AS$1:$AY$62","'Firr(선)'!$L$1:$V$62","'Firr(사)'!$L$1:$V$62","'Firr(회)'!$L$1:$V$62"}</definedName>
    <definedName name="곡동" hidden="1">{"'Firr(선)'!$AS$1:$AY$62","'Firr(사)'!$AS$1:$AY$62","'Firr(회)'!$AS$1:$AY$62","'Firr(선)'!$L$1:$V$62","'Firr(사)'!$L$1:$V$62","'Firr(회)'!$L$1:$V$62"}</definedName>
    <definedName name="곡동1" localSheetId="24" hidden="1">{"'Firr(선)'!$AS$1:$AY$62","'Firr(사)'!$AS$1:$AY$62","'Firr(회)'!$AS$1:$AY$62","'Firr(선)'!$L$1:$V$62","'Firr(사)'!$L$1:$V$62","'Firr(회)'!$L$1:$V$62"}</definedName>
    <definedName name="곡동1" localSheetId="18" hidden="1">{"'Firr(선)'!$AS$1:$AY$62","'Firr(사)'!$AS$1:$AY$62","'Firr(회)'!$AS$1:$AY$62","'Firr(선)'!$L$1:$V$62","'Firr(사)'!$L$1:$V$62","'Firr(회)'!$L$1:$V$62"}</definedName>
    <definedName name="곡동1" localSheetId="25" hidden="1">{"'Firr(선)'!$AS$1:$AY$62","'Firr(사)'!$AS$1:$AY$62","'Firr(회)'!$AS$1:$AY$62","'Firr(선)'!$L$1:$V$62","'Firr(사)'!$L$1:$V$62","'Firr(회)'!$L$1:$V$62"}</definedName>
    <definedName name="곡동1" hidden="1">{"'Firr(선)'!$AS$1:$AY$62","'Firr(사)'!$AS$1:$AY$62","'Firr(회)'!$AS$1:$AY$62","'Firr(선)'!$L$1:$V$62","'Firr(사)'!$L$1:$V$62","'Firr(회)'!$L$1:$V$62"}</definedName>
    <definedName name="공간">5</definedName>
    <definedName name="공공도서"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1"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1"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1"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1"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구기구" localSheetId="24" hidden="1">{"'손익현황'!$A$1:$J$29"}</definedName>
    <definedName name="공구기구" localSheetId="18" hidden="1">{"'손익현황'!$A$1:$J$29"}</definedName>
    <definedName name="공구기구" localSheetId="25" hidden="1">{"'손익현황'!$A$1:$J$29"}</definedName>
    <definedName name="공구기구" hidden="1">{"'손익현황'!$A$1:$J$29"}</definedName>
    <definedName name="공기구" localSheetId="24" hidden="1">{"'용역비'!$A$4:$C$8"}</definedName>
    <definedName name="공기구" localSheetId="18" hidden="1">{"'용역비'!$A$4:$C$8"}</definedName>
    <definedName name="공기구" localSheetId="25" hidden="1">{"'용역비'!$A$4:$C$8"}</definedName>
    <definedName name="공기구" hidden="1">{"'용역비'!$A$4:$C$8"}</definedName>
    <definedName name="공동구토공" localSheetId="24" hidden="1">{#N/A,#N/A,FALSE,"기안지";#N/A,#N/A,FALSE,"통신지"}</definedName>
    <definedName name="공동구토공" localSheetId="18" hidden="1">{#N/A,#N/A,FALSE,"기안지";#N/A,#N/A,FALSE,"통신지"}</definedName>
    <definedName name="공동구토공" localSheetId="25" hidden="1">{#N/A,#N/A,FALSE,"기안지";#N/A,#N/A,FALSE,"통신지"}</definedName>
    <definedName name="공동구토공" hidden="1">{#N/A,#N/A,FALSE,"기안지";#N/A,#N/A,FALSE,"통신지"}</definedName>
    <definedName name="공실대상" localSheetId="24" hidden="1">{#N/A,#N/A,FALSE,"동부"}</definedName>
    <definedName name="공실대상" localSheetId="18" hidden="1">{#N/A,#N/A,FALSE,"동부"}</definedName>
    <definedName name="공실대상" localSheetId="25" hidden="1">{#N/A,#N/A,FALSE,"동부"}</definedName>
    <definedName name="공실대상" hidden="1">{#N/A,#N/A,FALSE,"동부"}</definedName>
    <definedName name="공실대상현황" localSheetId="24" hidden="1">{#N/A,#N/A,FALSE,"동부"}</definedName>
    <definedName name="공실대상현황" localSheetId="18" hidden="1">{#N/A,#N/A,FALSE,"동부"}</definedName>
    <definedName name="공실대상현황" localSheetId="25" hidden="1">{#N/A,#N/A,FALSE,"동부"}</definedName>
    <definedName name="공실대상현황" hidden="1">{#N/A,#N/A,FALSE,"동부"}</definedName>
    <definedName name="공정기술안" localSheetId="24" hidden="1">{#N/A,#N/A,FALSE,"단축1";#N/A,#N/A,FALSE,"단축2";#N/A,#N/A,FALSE,"단축3";#N/A,#N/A,FALSE,"장축";#N/A,#N/A,FALSE,"4WD"}</definedName>
    <definedName name="공정기술안" localSheetId="18" hidden="1">{#N/A,#N/A,FALSE,"단축1";#N/A,#N/A,FALSE,"단축2";#N/A,#N/A,FALSE,"단축3";#N/A,#N/A,FALSE,"장축";#N/A,#N/A,FALSE,"4WD"}</definedName>
    <definedName name="공정기술안" localSheetId="25" hidden="1">{#N/A,#N/A,FALSE,"단축1";#N/A,#N/A,FALSE,"단축2";#N/A,#N/A,FALSE,"단축3";#N/A,#N/A,FALSE,"장축";#N/A,#N/A,FALSE,"4WD"}</definedName>
    <definedName name="공정기술안" hidden="1">{#N/A,#N/A,FALSE,"단축1";#N/A,#N/A,FALSE,"단축2";#N/A,#N/A,FALSE,"단축3";#N/A,#N/A,FALSE,"장축";#N/A,#N/A,FALSE,"4WD"}</definedName>
    <definedName name="공정율" localSheetId="24" hidden="1">{#N/A,#N/A,FALSE,"이태원철근"}</definedName>
    <definedName name="공정율" localSheetId="18" hidden="1">{#N/A,#N/A,FALSE,"이태원철근"}</definedName>
    <definedName name="공정율" localSheetId="25" hidden="1">{#N/A,#N/A,FALSE,"이태원철근"}</definedName>
    <definedName name="공정율" hidden="1">{#N/A,#N/A,FALSE,"이태원철근"}</definedName>
    <definedName name="공정율수정" localSheetId="24" hidden="1">{#N/A,#N/A,FALSE,"이태원철근"}</definedName>
    <definedName name="공정율수정" localSheetId="18" hidden="1">{#N/A,#N/A,FALSE,"이태원철근"}</definedName>
    <definedName name="공정율수정" localSheetId="25" hidden="1">{#N/A,#N/A,FALSE,"이태원철근"}</definedName>
    <definedName name="공정율수정" hidden="1">{#N/A,#N/A,FALSE,"이태원철근"}</definedName>
    <definedName name="공주2" localSheetId="24" hidden="1">{#N/A,#N/A,FALSE,"동부"}</definedName>
    <definedName name="공주2" localSheetId="18" hidden="1">{#N/A,#N/A,FALSE,"동부"}</definedName>
    <definedName name="공주2" localSheetId="25" hidden="1">{#N/A,#N/A,FALSE,"동부"}</definedName>
    <definedName name="공주2" hidden="1">{#N/A,#N/A,FALSE,"동부"}</definedName>
    <definedName name="곽동준" localSheetId="24" hidden="1">{"'Firr(선)'!$AS$1:$AY$62","'Firr(사)'!$AS$1:$AY$62","'Firr(회)'!$AS$1:$AY$62","'Firr(선)'!$L$1:$V$62","'Firr(사)'!$L$1:$V$62","'Firr(회)'!$L$1:$V$62"}</definedName>
    <definedName name="곽동준" localSheetId="18" hidden="1">{"'Firr(선)'!$AS$1:$AY$62","'Firr(사)'!$AS$1:$AY$62","'Firr(회)'!$AS$1:$AY$62","'Firr(선)'!$L$1:$V$62","'Firr(사)'!$L$1:$V$62","'Firr(회)'!$L$1:$V$62"}</definedName>
    <definedName name="곽동준" localSheetId="25" hidden="1">{"'Firr(선)'!$AS$1:$AY$62","'Firr(사)'!$AS$1:$AY$62","'Firr(회)'!$AS$1:$AY$62","'Firr(선)'!$L$1:$V$62","'Firr(사)'!$L$1:$V$62","'Firr(회)'!$L$1:$V$62"}</definedName>
    <definedName name="곽동준" hidden="1">{"'Firr(선)'!$AS$1:$AY$62","'Firr(사)'!$AS$1:$AY$62","'Firr(회)'!$AS$1:$AY$62","'Firr(선)'!$L$1:$V$62","'Firr(사)'!$L$1:$V$62","'Firr(회)'!$L$1:$V$62"}</definedName>
    <definedName name="곽동중" localSheetId="24" hidden="1">{"'Firr(선)'!$AS$1:$AY$62","'Firr(사)'!$AS$1:$AY$62","'Firr(회)'!$AS$1:$AY$62","'Firr(선)'!$L$1:$V$62","'Firr(사)'!$L$1:$V$62","'Firr(회)'!$L$1:$V$62"}</definedName>
    <definedName name="곽동중" localSheetId="18" hidden="1">{"'Firr(선)'!$AS$1:$AY$62","'Firr(사)'!$AS$1:$AY$62","'Firr(회)'!$AS$1:$AY$62","'Firr(선)'!$L$1:$V$62","'Firr(사)'!$L$1:$V$62","'Firr(회)'!$L$1:$V$62"}</definedName>
    <definedName name="곽동중" localSheetId="25" hidden="1">{"'Firr(선)'!$AS$1:$AY$62","'Firr(사)'!$AS$1:$AY$62","'Firr(회)'!$AS$1:$AY$62","'Firr(선)'!$L$1:$V$62","'Firr(사)'!$L$1:$V$62","'Firr(회)'!$L$1:$V$62"}</definedName>
    <definedName name="곽동중" hidden="1">{"'Firr(선)'!$AS$1:$AY$62","'Firr(사)'!$AS$1:$AY$62","'Firr(회)'!$AS$1:$AY$62","'Firr(선)'!$L$1:$V$62","'Firr(사)'!$L$1:$V$62","'Firr(회)'!$L$1:$V$62"}</definedName>
    <definedName name="관계회사" localSheetId="24" hidden="1">{"'9월'!$F$38"}</definedName>
    <definedName name="관계회사" localSheetId="18" hidden="1">{"'9월'!$F$38"}</definedName>
    <definedName name="관계회사" localSheetId="25" hidden="1">{"'9월'!$F$38"}</definedName>
    <definedName name="관계회사" hidden="1">{"'9월'!$F$38"}</definedName>
    <definedName name="관계회사2" localSheetId="24" hidden="1">{"'9월'!$F$38"}</definedName>
    <definedName name="관계회사2" localSheetId="18" hidden="1">{"'9월'!$F$38"}</definedName>
    <definedName name="관계회사2" localSheetId="25" hidden="1">{"'9월'!$F$38"}</definedName>
    <definedName name="관계회사2" hidden="1">{"'9월'!$F$38"}</definedName>
    <definedName name="管理概要2" localSheetId="24" hidden="1">{"賃貸事例比較法",#N/A,FALSE,"Sheet2";"賃貸条件",#N/A,FALSE,"Sheet2"}</definedName>
    <definedName name="管理概要2" localSheetId="18" hidden="1">{"賃貸事例比較法",#N/A,FALSE,"Sheet2";"賃貸条件",#N/A,FALSE,"Sheet2"}</definedName>
    <definedName name="管理概要2" localSheetId="25" hidden="1">{"賃貸事例比較法",#N/A,FALSE,"Sheet2";"賃貸条件",#N/A,FALSE,"Sheet2"}</definedName>
    <definedName name="管理概要2" hidden="1">{"賃貸事例比較法",#N/A,FALSE,"Sheet2";"賃貸条件",#N/A,FALSE,"Sheet2"}</definedName>
    <definedName name="관실적" localSheetId="24"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실적" localSheetId="18"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실적" localSheetId="25"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실적"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유리" localSheetId="24"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유리" localSheetId="18"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유리" localSheetId="25"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유리"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광역위치도" localSheetId="24" hidden="1">{#N/A,#N/A,FALSE,"Sheet6"}</definedName>
    <definedName name="광역위치도" localSheetId="18" hidden="1">{#N/A,#N/A,FALSE,"Sheet6"}</definedName>
    <definedName name="광역위치도" localSheetId="25" hidden="1">{#N/A,#N/A,FALSE,"Sheet6"}</definedName>
    <definedName name="광역위치도" hidden="1">{#N/A,#N/A,FALSE,"Sheet6"}</definedName>
    <definedName name="교굑"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교굑"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교굑"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교굑"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구" localSheetId="24" hidden="1">{#N/A,#N/A,FALSE,"구조2"}</definedName>
    <definedName name="구" localSheetId="18" hidden="1">{#N/A,#N/A,FALSE,"구조2"}</definedName>
    <definedName name="구" localSheetId="25" hidden="1">{#N/A,#N/A,FALSE,"구조2"}</definedName>
    <definedName name="구" hidden="1">{#N/A,#N/A,FALSE,"구조2"}</definedName>
    <definedName name="九段南" localSheetId="24" hidden="1">{"Actual",#N/A,FALSE,"(価格)";"Market",#N/A,FALSE,"(価格)";"Plan",#N/A,FALSE,"(価格)"}</definedName>
    <definedName name="九段南" localSheetId="18" hidden="1">{"Actual",#N/A,FALSE,"(価格)";"Market",#N/A,FALSE,"(価格)";"Plan",#N/A,FALSE,"(価格)"}</definedName>
    <definedName name="九段南" localSheetId="25" hidden="1">{"Actual",#N/A,FALSE,"(価格)";"Market",#N/A,FALSE,"(価格)";"Plan",#N/A,FALSE,"(価格)"}</definedName>
    <definedName name="九段南" hidden="1">{"Actual",#N/A,FALSE,"(価格)";"Market",#N/A,FALSE,"(価格)";"Plan",#N/A,FALSE,"(価格)"}</definedName>
    <definedName name="구미"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구미"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구미"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구미" hidden="1">{#N/A,#N/A,FALSE,"손익표지";#N/A,#N/A,FALSE,"손익계산";#N/A,#N/A,FALSE,"일반관리비";#N/A,#N/A,FALSE,"영업외수익";#N/A,#N/A,FALSE,"영업외비용";#N/A,#N/A,FALSE,"매출액";#N/A,#N/A,FALSE,"요약손익";#N/A,#N/A,FALSE,"요약대차";#N/A,#N/A,FALSE,"매출채권현황";#N/A,#N/A,FALSE,"매출채권명세"}</definedName>
    <definedName name="구축물" localSheetId="24" hidden="1">{"'손익현황'!$A$1:$J$29"}</definedName>
    <definedName name="구축물" localSheetId="18" hidden="1">{"'손익현황'!$A$1:$J$29"}</definedName>
    <definedName name="구축물" localSheetId="25" hidden="1">{"'손익현황'!$A$1:$J$29"}</definedName>
    <definedName name="구축물" hidden="1">{"'손익현황'!$A$1:$J$29"}</definedName>
    <definedName name="구축물임" localSheetId="24" hidden="1">{"'손익현황'!$A$1:$J$29"}</definedName>
    <definedName name="구축물임" localSheetId="18" hidden="1">{"'손익현황'!$A$1:$J$29"}</definedName>
    <definedName name="구축물임" localSheetId="25" hidden="1">{"'손익현황'!$A$1:$J$29"}</definedName>
    <definedName name="구축물임" hidden="1">{"'손익현황'!$A$1:$J$29"}</definedName>
    <definedName name="국제거래"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 localSheetId="25"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_1"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_1"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_1" localSheetId="25"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_1"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2"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2"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2" localSheetId="25"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2"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권대협" localSheetId="24" hidden="1">{#N/A,#N/A,FALSE,"CCTV"}</definedName>
    <definedName name="권대협" localSheetId="18" hidden="1">{#N/A,#N/A,FALSE,"CCTV"}</definedName>
    <definedName name="권대협" localSheetId="25" hidden="1">{#N/A,#N/A,FALSE,"CCTV"}</definedName>
    <definedName name="권대협" hidden="1">{#N/A,#N/A,FALSE,"CCTV"}</definedName>
    <definedName name="규남이" localSheetId="24"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규남이" localSheetId="18"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규남이" localSheetId="25"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규남이"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그린네트" localSheetId="24" hidden="1">{#N/A,#N/A,FALSE,"현장 NCR 분석";#N/A,#N/A,FALSE,"현장품질감사";#N/A,#N/A,FALSE,"현장품질감사"}</definedName>
    <definedName name="그린네트" localSheetId="18" hidden="1">{#N/A,#N/A,FALSE,"현장 NCR 분석";#N/A,#N/A,FALSE,"현장품질감사";#N/A,#N/A,FALSE,"현장품질감사"}</definedName>
    <definedName name="그린네트" localSheetId="25" hidden="1">{#N/A,#N/A,FALSE,"현장 NCR 분석";#N/A,#N/A,FALSE,"현장품질감사";#N/A,#N/A,FALSE,"현장품질감사"}</definedName>
    <definedName name="그린네트" hidden="1">{#N/A,#N/A,FALSE,"현장 NCR 분석";#N/A,#N/A,FALSE,"현장품질감사";#N/A,#N/A,FALSE,"현장품질감사"}</definedName>
    <definedName name="그수임" localSheetId="24" hidden="1">{#N/A,#N/A,FALSE,"97년 투자계획 세부내역 "}</definedName>
    <definedName name="그수임" localSheetId="18" hidden="1">{#N/A,#N/A,FALSE,"97년 투자계획 세부내역 "}</definedName>
    <definedName name="그수임" localSheetId="25" hidden="1">{#N/A,#N/A,FALSE,"97년 투자계획 세부내역 "}</definedName>
    <definedName name="그수임" hidden="1">{#N/A,#N/A,FALSE,"97년 투자계획 세부내역 "}</definedName>
    <definedName name="근거"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근거"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근거"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근거"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근속1" localSheetId="24" hidden="1">{#N/A,#N/A,FALSE,"단축1";#N/A,#N/A,FALSE,"단축2";#N/A,#N/A,FALSE,"단축3";#N/A,#N/A,FALSE,"장축";#N/A,#N/A,FALSE,"4WD"}</definedName>
    <definedName name="근속1" localSheetId="18" hidden="1">{#N/A,#N/A,FALSE,"단축1";#N/A,#N/A,FALSE,"단축2";#N/A,#N/A,FALSE,"단축3";#N/A,#N/A,FALSE,"장축";#N/A,#N/A,FALSE,"4WD"}</definedName>
    <definedName name="근속1" localSheetId="25" hidden="1">{#N/A,#N/A,FALSE,"단축1";#N/A,#N/A,FALSE,"단축2";#N/A,#N/A,FALSE,"단축3";#N/A,#N/A,FALSE,"장축";#N/A,#N/A,FALSE,"4WD"}</definedName>
    <definedName name="근속1" hidden="1">{#N/A,#N/A,FALSE,"단축1";#N/A,#N/A,FALSE,"단축2";#N/A,#N/A,FALSE,"단축3";#N/A,#N/A,FALSE,"장축";#N/A,#N/A,FALSE,"4WD"}</definedName>
    <definedName name="근속현황" localSheetId="24" hidden="1">{#N/A,#N/A,FALSE,"단축1";#N/A,#N/A,FALSE,"단축2";#N/A,#N/A,FALSE,"단축3";#N/A,#N/A,FALSE,"장축";#N/A,#N/A,FALSE,"4WD"}</definedName>
    <definedName name="근속현황" localSheetId="18" hidden="1">{#N/A,#N/A,FALSE,"단축1";#N/A,#N/A,FALSE,"단축2";#N/A,#N/A,FALSE,"단축3";#N/A,#N/A,FALSE,"장축";#N/A,#N/A,FALSE,"4WD"}</definedName>
    <definedName name="근속현황" localSheetId="25" hidden="1">{#N/A,#N/A,FALSE,"단축1";#N/A,#N/A,FALSE,"단축2";#N/A,#N/A,FALSE,"단축3";#N/A,#N/A,FALSE,"장축";#N/A,#N/A,FALSE,"4WD"}</definedName>
    <definedName name="근속현황" hidden="1">{#N/A,#N/A,FALSE,"단축1";#N/A,#N/A,FALSE,"단축2";#N/A,#N/A,FALSE,"단축3";#N/A,#N/A,FALSE,"장축";#N/A,#N/A,FALSE,"4WD"}</definedName>
    <definedName name="근태현황." localSheetId="24" hidden="1">{#N/A,#N/A,TRUE,"대 차 대 조 표"}</definedName>
    <definedName name="근태현황." localSheetId="18" hidden="1">{#N/A,#N/A,TRUE,"대 차 대 조 표"}</definedName>
    <definedName name="근태현황." localSheetId="25" hidden="1">{#N/A,#N/A,TRUE,"대 차 대 조 표"}</definedName>
    <definedName name="근태현황." hidden="1">{#N/A,#N/A,TRUE,"대 차 대 조 표"}</definedName>
    <definedName name="글쎄" localSheetId="24" hidden="1">{#N/A,#N/A,FALSE,"97년 투자계획 세부내역 "}</definedName>
    <definedName name="글쎄" localSheetId="18" hidden="1">{#N/A,#N/A,FALSE,"97년 투자계획 세부내역 "}</definedName>
    <definedName name="글쎄" localSheetId="25" hidden="1">{#N/A,#N/A,FALSE,"97년 투자계획 세부내역 "}</definedName>
    <definedName name="글쎄" hidden="1">{#N/A,#N/A,FALSE,"97년 투자계획 세부내역 "}</definedName>
    <definedName name="금오관"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금오관"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금오관"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금오관"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기" localSheetId="24" hidden="1">{#N/A,#N/A,FALSE,"1.CRITERIA";#N/A,#N/A,FALSE,"2.IS";#N/A,#N/A,FALSE,"3.BS";#N/A,#N/A,FALSE,"4.PER PL";#N/A,#N/A,FALSE,"5.INVESTMENT";#N/A,#N/A,FALSE,"6.공문";#N/A,#N/A,FALSE,"7.netinvest"}</definedName>
    <definedName name="기" localSheetId="18" hidden="1">{#N/A,#N/A,FALSE,"1.CRITERIA";#N/A,#N/A,FALSE,"2.IS";#N/A,#N/A,FALSE,"3.BS";#N/A,#N/A,FALSE,"4.PER PL";#N/A,#N/A,FALSE,"5.INVESTMENT";#N/A,#N/A,FALSE,"6.공문";#N/A,#N/A,FALSE,"7.netinvest"}</definedName>
    <definedName name="기" localSheetId="25" hidden="1">{#N/A,#N/A,FALSE,"1.CRITERIA";#N/A,#N/A,FALSE,"2.IS";#N/A,#N/A,FALSE,"3.BS";#N/A,#N/A,FALSE,"4.PER PL";#N/A,#N/A,FALSE,"5.INVESTMENT";#N/A,#N/A,FALSE,"6.공문";#N/A,#N/A,FALSE,"7.netinvest"}</definedName>
    <definedName name="기" hidden="1">{#N/A,#N/A,FALSE,"1.CRITERIA";#N/A,#N/A,FALSE,"2.IS";#N/A,#N/A,FALSE,"3.BS";#N/A,#N/A,FALSE,"4.PER PL";#N/A,#N/A,FALSE,"5.INVESTMENT";#N/A,#N/A,FALSE,"6.공문";#N/A,#N/A,FALSE,"7.netinvest"}</definedName>
    <definedName name="기계" localSheetId="24" hidden="1">{#N/A,#N/A,FALSE,"견적갑지";#N/A,#N/A,FALSE,"총괄표";#N/A,#N/A,FALSE,"철골공사";#N/A,#N/A,FALSE,"토목공사";#N/A,#N/A,FALSE,"판넬전기공사"}</definedName>
    <definedName name="기계" localSheetId="18" hidden="1">{#N/A,#N/A,FALSE,"견적갑지";#N/A,#N/A,FALSE,"총괄표";#N/A,#N/A,FALSE,"철골공사";#N/A,#N/A,FALSE,"토목공사";#N/A,#N/A,FALSE,"판넬전기공사"}</definedName>
    <definedName name="기계" localSheetId="25" hidden="1">{#N/A,#N/A,FALSE,"견적갑지";#N/A,#N/A,FALSE,"총괄표";#N/A,#N/A,FALSE,"철골공사";#N/A,#N/A,FALSE,"토목공사";#N/A,#N/A,FALSE,"판넬전기공사"}</definedName>
    <definedName name="기계" hidden="1">{#N/A,#N/A,FALSE,"견적갑지";#N/A,#N/A,FALSE,"총괄표";#N/A,#N/A,FALSE,"철골공사";#N/A,#N/A,FALSE,"토목공사";#N/A,#N/A,FALSE,"판넬전기공사"}</definedName>
    <definedName name="기계1" localSheetId="24" hidden="1">{#N/A,#N/A,FALSE,"견적갑지";#N/A,#N/A,FALSE,"총괄표";#N/A,#N/A,FALSE,"철골공사";#N/A,#N/A,FALSE,"토목공사";#N/A,#N/A,FALSE,"판넬전기공사"}</definedName>
    <definedName name="기계1" localSheetId="18" hidden="1">{#N/A,#N/A,FALSE,"견적갑지";#N/A,#N/A,FALSE,"총괄표";#N/A,#N/A,FALSE,"철골공사";#N/A,#N/A,FALSE,"토목공사";#N/A,#N/A,FALSE,"판넬전기공사"}</definedName>
    <definedName name="기계1" localSheetId="25" hidden="1">{#N/A,#N/A,FALSE,"견적갑지";#N/A,#N/A,FALSE,"총괄표";#N/A,#N/A,FALSE,"철골공사";#N/A,#N/A,FALSE,"토목공사";#N/A,#N/A,FALSE,"판넬전기공사"}</definedName>
    <definedName name="기계1" hidden="1">{#N/A,#N/A,FALSE,"견적갑지";#N/A,#N/A,FALSE,"총괄표";#N/A,#N/A,FALSE,"철골공사";#N/A,#N/A,FALSE,"토목공사";#N/A,#N/A,FALSE,"판넬전기공사"}</definedName>
    <definedName name="기계2" localSheetId="24" hidden="1">{#N/A,#N/A,FALSE,"견적갑지";#N/A,#N/A,FALSE,"총괄표";#N/A,#N/A,FALSE,"철골공사";#N/A,#N/A,FALSE,"토목공사";#N/A,#N/A,FALSE,"판넬전기공사"}</definedName>
    <definedName name="기계2" localSheetId="18" hidden="1">{#N/A,#N/A,FALSE,"견적갑지";#N/A,#N/A,FALSE,"총괄표";#N/A,#N/A,FALSE,"철골공사";#N/A,#N/A,FALSE,"토목공사";#N/A,#N/A,FALSE,"판넬전기공사"}</definedName>
    <definedName name="기계2" localSheetId="25" hidden="1">{#N/A,#N/A,FALSE,"견적갑지";#N/A,#N/A,FALSE,"총괄표";#N/A,#N/A,FALSE,"철골공사";#N/A,#N/A,FALSE,"토목공사";#N/A,#N/A,FALSE,"판넬전기공사"}</definedName>
    <definedName name="기계2" hidden="1">{#N/A,#N/A,FALSE,"견적갑지";#N/A,#N/A,FALSE,"총괄표";#N/A,#N/A,FALSE,"철골공사";#N/A,#N/A,FALSE,"토목공사";#N/A,#N/A,FALSE,"판넬전기공사"}</definedName>
    <definedName name="기계5" localSheetId="24" hidden="1">{#N/A,#N/A,FALSE,"견적갑지";#N/A,#N/A,FALSE,"총괄표";#N/A,#N/A,FALSE,"철골공사";#N/A,#N/A,FALSE,"토목공사";#N/A,#N/A,FALSE,"판넬전기공사"}</definedName>
    <definedName name="기계5" localSheetId="18" hidden="1">{#N/A,#N/A,FALSE,"견적갑지";#N/A,#N/A,FALSE,"총괄표";#N/A,#N/A,FALSE,"철골공사";#N/A,#N/A,FALSE,"토목공사";#N/A,#N/A,FALSE,"판넬전기공사"}</definedName>
    <definedName name="기계5" localSheetId="25" hidden="1">{#N/A,#N/A,FALSE,"견적갑지";#N/A,#N/A,FALSE,"총괄표";#N/A,#N/A,FALSE,"철골공사";#N/A,#N/A,FALSE,"토목공사";#N/A,#N/A,FALSE,"판넬전기공사"}</definedName>
    <definedName name="기계5" hidden="1">{#N/A,#N/A,FALSE,"견적갑지";#N/A,#N/A,FALSE,"총괄표";#N/A,#N/A,FALSE,"철골공사";#N/A,#N/A,FALSE,"토목공사";#N/A,#N/A,FALSE,"판넬전기공사"}</definedName>
    <definedName name="기계장치" localSheetId="24" hidden="1">{"'손익현황'!$A$1:$J$29"}</definedName>
    <definedName name="기계장치" localSheetId="18" hidden="1">{"'손익현황'!$A$1:$J$29"}</definedName>
    <definedName name="기계장치" localSheetId="25" hidden="1">{"'손익현황'!$A$1:$J$29"}</definedName>
    <definedName name="기계장치" hidden="1">{"'손익현황'!$A$1:$J$29"}</definedName>
    <definedName name="기계집계" localSheetId="24" hidden="1">{#N/A,#N/A,FALSE,"견적갑지";#N/A,#N/A,FALSE,"총괄표";#N/A,#N/A,FALSE,"철골공사";#N/A,#N/A,FALSE,"토목공사";#N/A,#N/A,FALSE,"판넬전기공사"}</definedName>
    <definedName name="기계집계" localSheetId="18" hidden="1">{#N/A,#N/A,FALSE,"견적갑지";#N/A,#N/A,FALSE,"총괄표";#N/A,#N/A,FALSE,"철골공사";#N/A,#N/A,FALSE,"토목공사";#N/A,#N/A,FALSE,"판넬전기공사"}</definedName>
    <definedName name="기계집계" localSheetId="25" hidden="1">{#N/A,#N/A,FALSE,"견적갑지";#N/A,#N/A,FALSE,"총괄표";#N/A,#N/A,FALSE,"철골공사";#N/A,#N/A,FALSE,"토목공사";#N/A,#N/A,FALSE,"판넬전기공사"}</definedName>
    <definedName name="기계집계" hidden="1">{#N/A,#N/A,FALSE,"견적갑지";#N/A,#N/A,FALSE,"총괄표";#N/A,#N/A,FALSE,"철골공사";#N/A,#N/A,FALSE,"토목공사";#N/A,#N/A,FALSE,"판넬전기공사"}</definedName>
    <definedName name="기관명"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기관명"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기관명"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기관명"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기말중점검토" localSheetId="24" hidden="1">{#N/A,#N/A,FALSE,"BS";#N/A,#N/A,FALSE,"PL";#N/A,#N/A,FALSE,"처분";#N/A,#N/A,FALSE,"현금";#N/A,#N/A,FALSE,"매출";#N/A,#N/A,FALSE,"원가";#N/A,#N/A,FALSE,"경영"}</definedName>
    <definedName name="기말중점검토" localSheetId="18" hidden="1">{#N/A,#N/A,FALSE,"BS";#N/A,#N/A,FALSE,"PL";#N/A,#N/A,FALSE,"처분";#N/A,#N/A,FALSE,"현금";#N/A,#N/A,FALSE,"매출";#N/A,#N/A,FALSE,"원가";#N/A,#N/A,FALSE,"경영"}</definedName>
    <definedName name="기말중점검토" localSheetId="25" hidden="1">{#N/A,#N/A,FALSE,"BS";#N/A,#N/A,FALSE,"PL";#N/A,#N/A,FALSE,"처분";#N/A,#N/A,FALSE,"현금";#N/A,#N/A,FALSE,"매출";#N/A,#N/A,FALSE,"원가";#N/A,#N/A,FALSE,"경영"}</definedName>
    <definedName name="기말중점검토" hidden="1">{#N/A,#N/A,FALSE,"BS";#N/A,#N/A,FALSE,"PL";#N/A,#N/A,FALSE,"처분";#N/A,#N/A,FALSE,"현금";#N/A,#N/A,FALSE,"매출";#N/A,#N/A,FALSE,"원가";#N/A,#N/A,FALSE,"경영"}</definedName>
    <definedName name="기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기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기성"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기성" hidden="1">{#N/A,#N/A,FALSE,"손익표지";#N/A,#N/A,FALSE,"손익계산";#N/A,#N/A,FALSE,"일반관리비";#N/A,#N/A,FALSE,"영업외수익";#N/A,#N/A,FALSE,"영업외비용";#N/A,#N/A,FALSE,"매출액";#N/A,#N/A,FALSE,"요약손익";#N/A,#N/A,FALSE,"요약대차";#N/A,#N/A,FALSE,"매출채권현황";#N/A,#N/A,FALSE,"매출채권명세"}</definedName>
    <definedName name="기성3" localSheetId="24" hidden="1">{#N/A,#N/A,FALSE,"CCTV"}</definedName>
    <definedName name="기성3" localSheetId="18" hidden="1">{#N/A,#N/A,FALSE,"CCTV"}</definedName>
    <definedName name="기성3" localSheetId="25" hidden="1">{#N/A,#N/A,FALSE,"CCTV"}</definedName>
    <definedName name="기성3" hidden="1">{#N/A,#N/A,FALSE,"CCTV"}</definedName>
    <definedName name="기성분"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기성분"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기성분"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기성분" hidden="1">{#N/A,#N/A,FALSE,"손익표지";#N/A,#N/A,FALSE,"손익계산";#N/A,#N/A,FALSE,"일반관리비";#N/A,#N/A,FALSE,"영업외수익";#N/A,#N/A,FALSE,"영업외비용";#N/A,#N/A,FALSE,"매출액";#N/A,#N/A,FALSE,"요약손익";#N/A,#N/A,FALSE,"요약대차";#N/A,#N/A,FALSE,"매출채권현황";#N/A,#N/A,FALSE,"매출채권명세"}</definedName>
    <definedName name="기술료산출표" localSheetId="24" hidden="1">{"'용역비'!$A$4:$C$8"}</definedName>
    <definedName name="기술료산출표" localSheetId="18" hidden="1">{"'용역비'!$A$4:$C$8"}</definedName>
    <definedName name="기술료산출표" localSheetId="25" hidden="1">{"'용역비'!$A$4:$C$8"}</definedName>
    <definedName name="기술료산출표" hidden="1">{"'용역비'!$A$4:$C$8"}</definedName>
    <definedName name="기아" localSheetId="24" hidden="1">{#N/A,#N/A,FALSE,"1.CRITERIA";#N/A,#N/A,FALSE,"2.IS";#N/A,#N/A,FALSE,"3.BS";#N/A,#N/A,FALSE,"4.PER PL";#N/A,#N/A,FALSE,"5.INVESTMENT";#N/A,#N/A,FALSE,"6.공문";#N/A,#N/A,FALSE,"7.netinvest"}</definedName>
    <definedName name="기아" localSheetId="18" hidden="1">{#N/A,#N/A,FALSE,"1.CRITERIA";#N/A,#N/A,FALSE,"2.IS";#N/A,#N/A,FALSE,"3.BS";#N/A,#N/A,FALSE,"4.PER PL";#N/A,#N/A,FALSE,"5.INVESTMENT";#N/A,#N/A,FALSE,"6.공문";#N/A,#N/A,FALSE,"7.netinvest"}</definedName>
    <definedName name="기아" localSheetId="25" hidden="1">{#N/A,#N/A,FALSE,"1.CRITERIA";#N/A,#N/A,FALSE,"2.IS";#N/A,#N/A,FALSE,"3.BS";#N/A,#N/A,FALSE,"4.PER PL";#N/A,#N/A,FALSE,"5.INVESTMENT";#N/A,#N/A,FALSE,"6.공문";#N/A,#N/A,FALSE,"7.netinvest"}</definedName>
    <definedName name="기아" hidden="1">{#N/A,#N/A,FALSE,"1.CRITERIA";#N/A,#N/A,FALSE,"2.IS";#N/A,#N/A,FALSE,"3.BS";#N/A,#N/A,FALSE,"4.PER PL";#N/A,#N/A,FALSE,"5.INVESTMENT";#N/A,#N/A,FALSE,"6.공문";#N/A,#N/A,FALSE,"7.netinvest"}</definedName>
    <definedName name="기아차" localSheetId="24" hidden="1">{#N/A,#N/A,FALSE,"1.CRITERIA";#N/A,#N/A,FALSE,"2.IS";#N/A,#N/A,FALSE,"3.BS";#N/A,#N/A,FALSE,"4.PER PL";#N/A,#N/A,FALSE,"5.INVESTMENT";#N/A,#N/A,FALSE,"6.공문";#N/A,#N/A,FALSE,"7.netinvest"}</definedName>
    <definedName name="기아차" localSheetId="18" hidden="1">{#N/A,#N/A,FALSE,"1.CRITERIA";#N/A,#N/A,FALSE,"2.IS";#N/A,#N/A,FALSE,"3.BS";#N/A,#N/A,FALSE,"4.PER PL";#N/A,#N/A,FALSE,"5.INVESTMENT";#N/A,#N/A,FALSE,"6.공문";#N/A,#N/A,FALSE,"7.netinvest"}</definedName>
    <definedName name="기아차" localSheetId="25" hidden="1">{#N/A,#N/A,FALSE,"1.CRITERIA";#N/A,#N/A,FALSE,"2.IS";#N/A,#N/A,FALSE,"3.BS";#N/A,#N/A,FALSE,"4.PER PL";#N/A,#N/A,FALSE,"5.INVESTMENT";#N/A,#N/A,FALSE,"6.공문";#N/A,#N/A,FALSE,"7.netinvest"}</definedName>
    <definedName name="기아차" hidden="1">{#N/A,#N/A,FALSE,"1.CRITERIA";#N/A,#N/A,FALSE,"2.IS";#N/A,#N/A,FALSE,"3.BS";#N/A,#N/A,FALSE,"4.PER PL";#N/A,#N/A,FALSE,"5.INVESTMENT";#N/A,#N/A,FALSE,"6.공문";#N/A,#N/A,FALSE,"7.netinvest"}</definedName>
    <definedName name="기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기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기준"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기준" hidden="1">{#N/A,#N/A,FALSE,"손익표지";#N/A,#N/A,FALSE,"손익계산";#N/A,#N/A,FALSE,"일반관리비";#N/A,#N/A,FALSE,"영업외수익";#N/A,#N/A,FALSE,"영업외비용";#N/A,#N/A,FALSE,"매출액";#N/A,#N/A,FALSE,"요약손익";#N/A,#N/A,FALSE,"요약대차";#N/A,#N/A,FALSE,"매출채권현황";#N/A,#N/A,FALSE,"매출채권명세"}</definedName>
    <definedName name="기준점1">'A&amp;R'!$AN$42</definedName>
    <definedName name="기타경비" localSheetId="24" hidden="1">{#N/A,#N/A,TRUE,"토적및재료집계";#N/A,#N/A,TRUE,"토적및재료집계";#N/A,#N/A,TRUE,"단위량"}</definedName>
    <definedName name="기타경비" localSheetId="18" hidden="1">{#N/A,#N/A,TRUE,"토적및재료집계";#N/A,#N/A,TRUE,"토적및재료집계";#N/A,#N/A,TRUE,"단위량"}</definedName>
    <definedName name="기타경비" localSheetId="25" hidden="1">{#N/A,#N/A,TRUE,"토적및재료집계";#N/A,#N/A,TRUE,"토적및재료집계";#N/A,#N/A,TRUE,"단위량"}</definedName>
    <definedName name="기타경비" hidden="1">{#N/A,#N/A,TRUE,"토적및재료집계";#N/A,#N/A,TRUE,"토적및재료집계";#N/A,#N/A,TRUE,"단위량"}</definedName>
    <definedName name="기획"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기획"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기획"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기획" hidden="1">{#N/A,#N/A,FALSE,"손익표지";#N/A,#N/A,FALSE,"손익계산";#N/A,#N/A,FALSE,"일반관리비";#N/A,#N/A,FALSE,"영업외수익";#N/A,#N/A,FALSE,"영업외비용";#N/A,#N/A,FALSE,"매출액";#N/A,#N/A,FALSE,"요약손익";#N/A,#N/A,FALSE,"요약대차";#N/A,#N/A,FALSE,"매출채권현황";#N/A,#N/A,FALSE,"매출채권명세"}</definedName>
    <definedName name="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긴"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긴" hidden="1">{#N/A,#N/A,FALSE,"손익표지";#N/A,#N/A,FALSE,"손익계산";#N/A,#N/A,FALSE,"일반관리비";#N/A,#N/A,FALSE,"영업외수익";#N/A,#N/A,FALSE,"영업외비용";#N/A,#N/A,FALSE,"매출액";#N/A,#N/A,FALSE,"요약손익";#N/A,#N/A,FALSE,"요약대차";#N/A,#N/A,FALSE,"매출채권현황";#N/A,#N/A,FALSE,"매출채권명세"}</definedName>
    <definedName name="긴급공사"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긴급공사"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긴급공사"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긴급공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길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길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길이"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길이" hidden="1">{#N/A,#N/A,FALSE,"손익표지";#N/A,#N/A,FALSE,"손익계산";#N/A,#N/A,FALSE,"일반관리비";#N/A,#N/A,FALSE,"영업외수익";#N/A,#N/A,FALSE,"영업외비용";#N/A,#N/A,FALSE,"매출액";#N/A,#N/A,FALSE,"요약손익";#N/A,#N/A,FALSE,"요약대차";#N/A,#N/A,FALSE,"매출채권현황";#N/A,#N/A,FALSE,"매출채권명세"}</definedName>
    <definedName name="길인"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길인"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길인"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길인" hidden="1">{#N/A,#N/A,FALSE,"손익표지";#N/A,#N/A,FALSE,"손익계산";#N/A,#N/A,FALSE,"일반관리비";#N/A,#N/A,FALSE,"영업외수익";#N/A,#N/A,FALSE,"영업외비용";#N/A,#N/A,FALSE,"매출액";#N/A,#N/A,FALSE,"요약손익";#N/A,#N/A,FALSE,"요약대차";#N/A,#N/A,FALSE,"매출채권현황";#N/A,#N/A,FALSE,"매출채권명세"}</definedName>
    <definedName name="김"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김" localSheetId="18"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김" localSheetId="25"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김"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김금봉" localSheetId="24" hidden="1">{#N/A,#N/A,FALSE,"운반시간"}</definedName>
    <definedName name="김금봉" localSheetId="18" hidden="1">{#N/A,#N/A,FALSE,"운반시간"}</definedName>
    <definedName name="김금봉" localSheetId="25" hidden="1">{#N/A,#N/A,FALSE,"운반시간"}</definedName>
    <definedName name="김금봉" hidden="1">{#N/A,#N/A,FALSE,"운반시간"}</definedName>
    <definedName name="김ㄴㅇ리망ㄴ리ㅏㅁ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김ㄴㅇ리망ㄴ리ㅏㅁ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김ㄴㅇ리망ㄴ리ㅏㅁ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김ㄴㅇ리망ㄴ리ㅏㅁㄹ" hidden="1">{#N/A,#N/A,FALSE,"손익표지";#N/A,#N/A,FALSE,"손익계산";#N/A,#N/A,FALSE,"일반관리비";#N/A,#N/A,FALSE,"영업외수익";#N/A,#N/A,FALSE,"영업외비용";#N/A,#N/A,FALSE,"매출액";#N/A,#N/A,FALSE,"요약손익";#N/A,#N/A,FALSE,"요약대차";#N/A,#N/A,FALSE,"매출채권현황";#N/A,#N/A,FALSE,"매출채권명세"}</definedName>
    <definedName name="김동" localSheetId="24" hidden="1">{"'Firr(선)'!$AS$1:$AY$62","'Firr(사)'!$AS$1:$AY$62","'Firr(회)'!$AS$1:$AY$62","'Firr(선)'!$L$1:$V$62","'Firr(사)'!$L$1:$V$62","'Firr(회)'!$L$1:$V$62"}</definedName>
    <definedName name="김동" localSheetId="18" hidden="1">{"'Firr(선)'!$AS$1:$AY$62","'Firr(사)'!$AS$1:$AY$62","'Firr(회)'!$AS$1:$AY$62","'Firr(선)'!$L$1:$V$62","'Firr(사)'!$L$1:$V$62","'Firr(회)'!$L$1:$V$62"}</definedName>
    <definedName name="김동" localSheetId="25" hidden="1">{"'Firr(선)'!$AS$1:$AY$62","'Firr(사)'!$AS$1:$AY$62","'Firr(회)'!$AS$1:$AY$62","'Firr(선)'!$L$1:$V$62","'Firr(사)'!$L$1:$V$62","'Firr(회)'!$L$1:$V$62"}</definedName>
    <definedName name="김동" hidden="1">{"'Firr(선)'!$AS$1:$AY$62","'Firr(사)'!$AS$1:$AY$62","'Firr(회)'!$AS$1:$AY$62","'Firr(선)'!$L$1:$V$62","'Firr(사)'!$L$1:$V$62","'Firr(회)'!$L$1:$V$62"}</definedName>
    <definedName name="김동준" localSheetId="24" hidden="1">{"'Firr(선)'!$AS$1:$AY$62","'Firr(사)'!$AS$1:$AY$62","'Firr(회)'!$AS$1:$AY$62","'Firr(선)'!$L$1:$V$62","'Firr(사)'!$L$1:$V$62","'Firr(회)'!$L$1:$V$62"}</definedName>
    <definedName name="김동준" localSheetId="18" hidden="1">{"'Firr(선)'!$AS$1:$AY$62","'Firr(사)'!$AS$1:$AY$62","'Firr(회)'!$AS$1:$AY$62","'Firr(선)'!$L$1:$V$62","'Firr(사)'!$L$1:$V$62","'Firr(회)'!$L$1:$V$62"}</definedName>
    <definedName name="김동준" localSheetId="25" hidden="1">{"'Firr(선)'!$AS$1:$AY$62","'Firr(사)'!$AS$1:$AY$62","'Firr(회)'!$AS$1:$AY$62","'Firr(선)'!$L$1:$V$62","'Firr(사)'!$L$1:$V$62","'Firr(회)'!$L$1:$V$62"}</definedName>
    <definedName name="김동준" hidden="1">{"'Firr(선)'!$AS$1:$AY$62","'Firr(사)'!$AS$1:$AY$62","'Firr(회)'!$AS$1:$AY$62","'Firr(선)'!$L$1:$V$62","'Firr(사)'!$L$1:$V$62","'Firr(회)'!$L$1:$V$62"}</definedName>
    <definedName name="김선미" localSheetId="24" hidden="1">{"'Firr(선)'!$AS$1:$AY$62","'Firr(사)'!$AS$1:$AY$62","'Firr(회)'!$AS$1:$AY$62","'Firr(선)'!$L$1:$V$62","'Firr(사)'!$L$1:$V$62","'Firr(회)'!$L$1:$V$62"}</definedName>
    <definedName name="김선미" localSheetId="18" hidden="1">{"'Firr(선)'!$AS$1:$AY$62","'Firr(사)'!$AS$1:$AY$62","'Firr(회)'!$AS$1:$AY$62","'Firr(선)'!$L$1:$V$62","'Firr(사)'!$L$1:$V$62","'Firr(회)'!$L$1:$V$62"}</definedName>
    <definedName name="김선미" localSheetId="25" hidden="1">{"'Firr(선)'!$AS$1:$AY$62","'Firr(사)'!$AS$1:$AY$62","'Firr(회)'!$AS$1:$AY$62","'Firr(선)'!$L$1:$V$62","'Firr(사)'!$L$1:$V$62","'Firr(회)'!$L$1:$V$62"}</definedName>
    <definedName name="김선미" hidden="1">{"'Firr(선)'!$AS$1:$AY$62","'Firr(사)'!$AS$1:$AY$62","'Firr(회)'!$AS$1:$AY$62","'Firr(선)'!$L$1:$V$62","'Firr(사)'!$L$1:$V$62","'Firr(회)'!$L$1:$V$62"}</definedName>
    <definedName name="김영철"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김영철"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김영철"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김영철" hidden="1">{#N/A,#N/A,FALSE,"손익표지";#N/A,#N/A,FALSE,"손익계산";#N/A,#N/A,FALSE,"일반관리비";#N/A,#N/A,FALSE,"영업외수익";#N/A,#N/A,FALSE,"영업외비용";#N/A,#N/A,FALSE,"매출액";#N/A,#N/A,FALSE,"요약손익";#N/A,#N/A,FALSE,"요약대차";#N/A,#N/A,FALSE,"매출채권현황";#N/A,#N/A,FALSE,"매출채권명세"}</definedName>
    <definedName name="김재철" localSheetId="24" hidden="1">{#N/A,#N/A,FALSE,"이력서&amp;자기소개서"}</definedName>
    <definedName name="김재철" localSheetId="18" hidden="1">{#N/A,#N/A,FALSE,"이력서&amp;자기소개서"}</definedName>
    <definedName name="김재철" localSheetId="25" hidden="1">{#N/A,#N/A,FALSE,"이력서&amp;자기소개서"}</definedName>
    <definedName name="김재철" hidden="1">{#N/A,#N/A,FALSE,"이력서&amp;자기소개서"}</definedName>
    <definedName name="김제욱" localSheetId="24" hidden="1">{#N/A,#N/A,FALSE,"지침";#N/A,#N/A,FALSE,"환경분석";#N/A,#N/A,FALSE,"Sheet16"}</definedName>
    <definedName name="김제욱" localSheetId="18" hidden="1">{#N/A,#N/A,FALSE,"지침";#N/A,#N/A,FALSE,"환경분석";#N/A,#N/A,FALSE,"Sheet16"}</definedName>
    <definedName name="김제욱" localSheetId="25" hidden="1">{#N/A,#N/A,FALSE,"지침";#N/A,#N/A,FALSE,"환경분석";#N/A,#N/A,FALSE,"Sheet16"}</definedName>
    <definedName name="김제욱" hidden="1">{#N/A,#N/A,FALSE,"지침";#N/A,#N/A,FALSE,"환경분석";#N/A,#N/A,FALSE,"Sheet16"}</definedName>
    <definedName name="김철희" localSheetId="24" hidden="1">{#N/A,#N/A,TRUE,"대 차 대 조 표"}</definedName>
    <definedName name="김철희" localSheetId="18" hidden="1">{#N/A,#N/A,TRUE,"대 차 대 조 표"}</definedName>
    <definedName name="김철희" localSheetId="25" hidden="1">{#N/A,#N/A,TRUE,"대 차 대 조 표"}</definedName>
    <definedName name="김철희" hidden="1">{#N/A,#N/A,TRUE,"대 차 대 조 표"}</definedName>
    <definedName name="김형수" localSheetId="24" hidden="1">{#N/A,#N/A,FALSE,"CAM-G7";#N/A,#N/A,FALSE,"SPL";#N/A,#N/A,FALSE,"butt-in G7";#N/A,#N/A,FALSE,"dia-in G7";#N/A,#N/A,FALSE,"추가-STA G7"}</definedName>
    <definedName name="김형수" localSheetId="18" hidden="1">{#N/A,#N/A,FALSE,"CAM-G7";#N/A,#N/A,FALSE,"SPL";#N/A,#N/A,FALSE,"butt-in G7";#N/A,#N/A,FALSE,"dia-in G7";#N/A,#N/A,FALSE,"추가-STA G7"}</definedName>
    <definedName name="김형수" localSheetId="25" hidden="1">{#N/A,#N/A,FALSE,"CAM-G7";#N/A,#N/A,FALSE,"SPL";#N/A,#N/A,FALSE,"butt-in G7";#N/A,#N/A,FALSE,"dia-in G7";#N/A,#N/A,FALSE,"추가-STA G7"}</definedName>
    <definedName name="김형수" hidden="1">{#N/A,#N/A,FALSE,"CAM-G7";#N/A,#N/A,FALSE,"SPL";#N/A,#N/A,FALSE,"butt-in G7";#N/A,#N/A,FALSE,"dia-in G7";#N/A,#N/A,FALSE,"추가-STA G7"}</definedName>
    <definedName name="김흥주"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김흥주"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김흥주" localSheetId="2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김흥주"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ㄳㄱ" localSheetId="24" hidden="1">{"'용역비'!$A$4:$C$8"}</definedName>
    <definedName name="ㄳㄱ" localSheetId="18" hidden="1">{"'용역비'!$A$4:$C$8"}</definedName>
    <definedName name="ㄳㄱ" localSheetId="25" hidden="1">{"'용역비'!$A$4:$C$8"}</definedName>
    <definedName name="ㄳㄱ" hidden="1">{"'용역비'!$A$4:$C$8"}</definedName>
    <definedName name="ㄳㄳㄳㄳ" localSheetId="24" hidden="1">{"'용역비'!$A$4:$C$8"}</definedName>
    <definedName name="ㄳㄳㄳㄳ" localSheetId="18" hidden="1">{"'용역비'!$A$4:$C$8"}</definedName>
    <definedName name="ㄳㄳㄳㄳ" localSheetId="25" hidden="1">{"'용역비'!$A$4:$C$8"}</definedName>
    <definedName name="ㄳㄳㄳㄳ" hidden="1">{"'용역비'!$A$4:$C$8"}</definedName>
    <definedName name="ㄳㄷㄳ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ㄳㄷㄳ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ㄳㄷㄳㄷ"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ㄳㄷㄳㄷ" hidden="1">{#N/A,#N/A,FALSE,"손익표지";#N/A,#N/A,FALSE,"손익계산";#N/A,#N/A,FALSE,"일반관리비";#N/A,#N/A,FALSE,"영업외수익";#N/A,#N/A,FALSE,"영업외비용";#N/A,#N/A,FALSE,"매출액";#N/A,#N/A,FALSE,"요약손익";#N/A,#N/A,FALSE,"요약대차";#N/A,#N/A,FALSE,"매출채권현황";#N/A,#N/A,FALSE,"매출채권명세"}</definedName>
    <definedName name="ㄴ" localSheetId="24" hidden="1">{"'9월'!$F$38"}</definedName>
    <definedName name="ㄴ" localSheetId="18" hidden="1">{"'9월'!$F$38"}</definedName>
    <definedName name="ㄴ" localSheetId="25" hidden="1">{"'9월'!$F$38"}</definedName>
    <definedName name="ㄴ" hidden="1">{"'9월'!$F$38"}</definedName>
    <definedName name="ㄴㄴ" localSheetId="24" hidden="1">{"'용역비'!$A$4:$C$8"}</definedName>
    <definedName name="ㄴㄴ" localSheetId="18" hidden="1">{"'용역비'!$A$4:$C$8"}</definedName>
    <definedName name="ㄴㄴ" localSheetId="25" hidden="1">{"'용역비'!$A$4:$C$8"}</definedName>
    <definedName name="ㄴㄴ" hidden="1">{"'용역비'!$A$4:$C$8"}</definedName>
    <definedName name="ㄴㄴㄴ" localSheetId="24" hidden="1">{#N/A,#N/A,TRUE,"대 차 대 조 표"}</definedName>
    <definedName name="ㄴㄴㄴ" localSheetId="18" hidden="1">{#N/A,#N/A,TRUE,"대 차 대 조 표"}</definedName>
    <definedName name="ㄴㄴㄴ" localSheetId="25" hidden="1">{#N/A,#N/A,TRUE,"대 차 대 조 표"}</definedName>
    <definedName name="ㄴㄴㄴ" hidden="1">{#N/A,#N/A,TRUE,"대 차 대 조 표"}</definedName>
    <definedName name="ㄴㄴㄴ_1" localSheetId="24" hidden="1">{#N/A,#N/A,TRUE,"대 차 대 조 표"}</definedName>
    <definedName name="ㄴㄴㄴ_1" localSheetId="18" hidden="1">{#N/A,#N/A,TRUE,"대 차 대 조 표"}</definedName>
    <definedName name="ㄴㄴㄴ_1" localSheetId="25" hidden="1">{#N/A,#N/A,TRUE,"대 차 대 조 표"}</definedName>
    <definedName name="ㄴㄴㄴ_1" hidden="1">{#N/A,#N/A,TRUE,"대 차 대 조 표"}</definedName>
    <definedName name="ㄴㄴㄴㄴㄴ" localSheetId="24" hidden="1">{"'7'!$B$15:$D$32"}</definedName>
    <definedName name="ㄴㄴㄴㄴㄴ" localSheetId="18" hidden="1">{"'7'!$B$15:$D$32"}</definedName>
    <definedName name="ㄴㄴㄴㄴㄴ" localSheetId="25" hidden="1">{"'7'!$B$15:$D$32"}</definedName>
    <definedName name="ㄴㄴㄴㄴㄴ" hidden="1">{"'7'!$B$15:$D$32"}</definedName>
    <definedName name="ㄴㄴㄴㄴㄴㄴㄴ" localSheetId="24" hidden="1">{"'7'!$B$15:$D$32"}</definedName>
    <definedName name="ㄴㄴㄴㄴㄴㄴㄴ" localSheetId="18" hidden="1">{"'7'!$B$15:$D$32"}</definedName>
    <definedName name="ㄴㄴㄴㄴㄴㄴㄴ" localSheetId="25" hidden="1">{"'7'!$B$15:$D$32"}</definedName>
    <definedName name="ㄴㄴㄴㄴㄴㄴㄴ" hidden="1">{"'7'!$B$15:$D$32"}</definedName>
    <definedName name="ㄴㄴㅁㄴㅁㅇㅁㄴ" localSheetId="24" hidden="1">{"'7'!$B$15:$D$32"}</definedName>
    <definedName name="ㄴㄴㅁㄴㅁㅇㅁㄴ" localSheetId="18" hidden="1">{"'7'!$B$15:$D$32"}</definedName>
    <definedName name="ㄴㄴㅁㄴㅁㅇㅁㄴ" localSheetId="25" hidden="1">{"'7'!$B$15:$D$32"}</definedName>
    <definedName name="ㄴㄴㅁㄴㅁㅇㅁㄴ" hidden="1">{"'7'!$B$15:$D$32"}</definedName>
    <definedName name="ㄴㄴㅇ" localSheetId="24" hidden="1">{#N/A,#N/A,TRUE,"대 차 대 조 표"}</definedName>
    <definedName name="ㄴㄴㅇ" localSheetId="18" hidden="1">{#N/A,#N/A,TRUE,"대 차 대 조 표"}</definedName>
    <definedName name="ㄴㄴㅇ" localSheetId="25" hidden="1">{#N/A,#N/A,TRUE,"대 차 대 조 표"}</definedName>
    <definedName name="ㄴㄴㅇ" hidden="1">{#N/A,#N/A,TRUE,"대 차 대 조 표"}</definedName>
    <definedName name="ㄴㄷ" localSheetId="24" hidden="1">{#N/A,#N/A,FALSE,"96 3월물량표";#N/A,#N/A,FALSE,"96 4월물량표";#N/A,#N/A,FALSE,"96 5월물량표"}</definedName>
    <definedName name="ㄴㄷ" localSheetId="18" hidden="1">{#N/A,#N/A,FALSE,"96 3월물량표";#N/A,#N/A,FALSE,"96 4월물량표";#N/A,#N/A,FALSE,"96 5월물량표"}</definedName>
    <definedName name="ㄴㄷ" localSheetId="25" hidden="1">{#N/A,#N/A,FALSE,"96 3월물량표";#N/A,#N/A,FALSE,"96 4월물량표";#N/A,#N/A,FALSE,"96 5월물량표"}</definedName>
    <definedName name="ㄴㄷ" hidden="1">{#N/A,#N/A,FALSE,"96 3월물량표";#N/A,#N/A,FALSE,"96 4월물량표";#N/A,#N/A,FALSE,"96 5월물량표"}</definedName>
    <definedName name="ㄴㄷㄹㄴㄷㄹ"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ㄹㄴㄷㄹ"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ㄹㄴㄷㄹ" localSheetId="2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ㄹㄴㄷㄹ"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ㄻㄷㄼㅀㄱㄷㅎ"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ㄻㄷㄼㅀㄱㄷㅎ"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ㄻㄷㄼㅀㄱㄷㅎ" localSheetId="2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ㄻㄷㄼㅀㄱㄷㅎ"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ㄹㅇㄴㅁ" localSheetId="24" hidden="1">{#N/A,#N/A,FALSE,"동부"}</definedName>
    <definedName name="ㄴㄹㅇㄴㅁ" localSheetId="18" hidden="1">{#N/A,#N/A,FALSE,"동부"}</definedName>
    <definedName name="ㄴㄹㅇㄴㅁ" localSheetId="25" hidden="1">{#N/A,#N/A,FALSE,"동부"}</definedName>
    <definedName name="ㄴㄹㅇㄴㅁ" hidden="1">{#N/A,#N/A,FALSE,"동부"}</definedName>
    <definedName name="ㄴㄹㅇㄹㅇㄴ" localSheetId="24" hidden="1">{#N/A,#N/A,FALSE,"Aging Summary";#N/A,#N/A,FALSE,"Ratio Analysis";#N/A,#N/A,FALSE,"Test 120 Day Accts";#N/A,#N/A,FALSE,"Tickmarks"}</definedName>
    <definedName name="ㄴㄹㅇㄹㅇㄴ" localSheetId="18" hidden="1">{#N/A,#N/A,FALSE,"Aging Summary";#N/A,#N/A,FALSE,"Ratio Analysis";#N/A,#N/A,FALSE,"Test 120 Day Accts";#N/A,#N/A,FALSE,"Tickmarks"}</definedName>
    <definedName name="ㄴㄹㅇㄹㅇㄴ" localSheetId="25" hidden="1">{#N/A,#N/A,FALSE,"Aging Summary";#N/A,#N/A,FALSE,"Ratio Analysis";#N/A,#N/A,FALSE,"Test 120 Day Accts";#N/A,#N/A,FALSE,"Tickmarks"}</definedName>
    <definedName name="ㄴㄹㅇㄹㅇㄴ" hidden="1">{#N/A,#N/A,FALSE,"Aging Summary";#N/A,#N/A,FALSE,"Ratio Analysis";#N/A,#N/A,FALSE,"Test 120 Day Accts";#N/A,#N/A,FALSE,"Tickmarks"}</definedName>
    <definedName name="ㄴㄹㅇㅎㅇ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ㄴㄹㅇㅎㅇ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ㄴㄹㅇㅎㅇㄴ"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ㄴㄹㅇㅎㅇㄴ" hidden="1">{#N/A,#N/A,FALSE,"손익표지";#N/A,#N/A,FALSE,"손익계산";#N/A,#N/A,FALSE,"일반관리비";#N/A,#N/A,FALSE,"영업외수익";#N/A,#N/A,FALSE,"영업외비용";#N/A,#N/A,FALSE,"매출액";#N/A,#N/A,FALSE,"요약손익";#N/A,#N/A,FALSE,"요약대차";#N/A,#N/A,FALSE,"매출채권현황";#N/A,#N/A,FALSE,"매출채권명세"}</definedName>
    <definedName name="ㄴㅁㄴㅁㅇ" localSheetId="24" hidden="1">{"'7'!$B$15:$D$32"}</definedName>
    <definedName name="ㄴㅁㄴㅁㅇ" localSheetId="18" hidden="1">{"'7'!$B$15:$D$32"}</definedName>
    <definedName name="ㄴㅁㄴㅁㅇ" localSheetId="25" hidden="1">{"'7'!$B$15:$D$32"}</definedName>
    <definedName name="ㄴㅁㄴㅁㅇ" hidden="1">{"'7'!$B$15:$D$32"}</definedName>
    <definedName name="ㄴㅇ" localSheetId="24" hidden="1">{#N/A,#N/A,TRUE,"Y생산";#N/A,#N/A,TRUE,"Y판매";#N/A,#N/A,TRUE,"Y총물량";#N/A,#N/A,TRUE,"Y능력";#N/A,#N/A,TRUE,"YKD"}</definedName>
    <definedName name="ㄴㅇ" localSheetId="18" hidden="1">{#N/A,#N/A,TRUE,"Y생산";#N/A,#N/A,TRUE,"Y판매";#N/A,#N/A,TRUE,"Y총물량";#N/A,#N/A,TRUE,"Y능력";#N/A,#N/A,TRUE,"YKD"}</definedName>
    <definedName name="ㄴㅇ" localSheetId="25" hidden="1">{#N/A,#N/A,TRUE,"Y생산";#N/A,#N/A,TRUE,"Y판매";#N/A,#N/A,TRUE,"Y총물량";#N/A,#N/A,TRUE,"Y능력";#N/A,#N/A,TRUE,"YKD"}</definedName>
    <definedName name="ㄴㅇ" hidden="1">{#N/A,#N/A,TRUE,"Y생산";#N/A,#N/A,TRUE,"Y판매";#N/A,#N/A,TRUE,"Y총물량";#N/A,#N/A,TRUE,"Y능력";#N/A,#N/A,TRUE,"YKD"}</definedName>
    <definedName name="ㄴㅇ_1" localSheetId="24" hidden="1">{#N/A,#N/A,TRUE,"Y생산";#N/A,#N/A,TRUE,"Y판매";#N/A,#N/A,TRUE,"Y총물량";#N/A,#N/A,TRUE,"Y능력";#N/A,#N/A,TRUE,"YKD"}</definedName>
    <definedName name="ㄴㅇ_1" localSheetId="18" hidden="1">{#N/A,#N/A,TRUE,"Y생산";#N/A,#N/A,TRUE,"Y판매";#N/A,#N/A,TRUE,"Y총물량";#N/A,#N/A,TRUE,"Y능력";#N/A,#N/A,TRUE,"YKD"}</definedName>
    <definedName name="ㄴㅇ_1" localSheetId="25" hidden="1">{#N/A,#N/A,TRUE,"Y생산";#N/A,#N/A,TRUE,"Y판매";#N/A,#N/A,TRUE,"Y총물량";#N/A,#N/A,TRUE,"Y능력";#N/A,#N/A,TRUE,"YKD"}</definedName>
    <definedName name="ㄴㅇ_1" hidden="1">{#N/A,#N/A,TRUE,"Y생산";#N/A,#N/A,TRUE,"Y판매";#N/A,#N/A,TRUE,"Y총물량";#N/A,#N/A,TRUE,"Y능력";#N/A,#N/A,TRUE,"YKD"}</definedName>
    <definedName name="ㄴㅇㄴ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ㄴㅇㄴ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ㄴㅇㄴㅇ"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ㄴㅇㄴㅇ" hidden="1">{#N/A,#N/A,FALSE,"손익표지";#N/A,#N/A,FALSE,"손익계산";#N/A,#N/A,FALSE,"일반관리비";#N/A,#N/A,FALSE,"영업외수익";#N/A,#N/A,FALSE,"영업외비용";#N/A,#N/A,FALSE,"매출액";#N/A,#N/A,FALSE,"요약손익";#N/A,#N/A,FALSE,"요약대차";#N/A,#N/A,FALSE,"매출채권현황";#N/A,#N/A,FALSE,"매출채권명세"}</definedName>
    <definedName name="ㄴㅇㄹ" localSheetId="24" hidden="1">{"'용역비'!$A$4:$C$8"}</definedName>
    <definedName name="ㄴㅇㄹ" localSheetId="18" hidden="1">{"'용역비'!$A$4:$C$8"}</definedName>
    <definedName name="ㄴㅇㄹ" localSheetId="25" hidden="1">{"'용역비'!$A$4:$C$8"}</definedName>
    <definedName name="ㄴㅇㄹ" hidden="1">{"'용역비'!$A$4:$C$8"}</definedName>
    <definedName name="ㄴㅇㄹㄴㅇㄹ" localSheetId="24" hidden="1">{#N/A,#N/A,TRUE,"Y생산";#N/A,#N/A,TRUE,"Y판매";#N/A,#N/A,TRUE,"Y총물량";#N/A,#N/A,TRUE,"Y능력";#N/A,#N/A,TRUE,"YKD"}</definedName>
    <definedName name="ㄴㅇㄹㄴㅇㄹ" localSheetId="18" hidden="1">{#N/A,#N/A,TRUE,"Y생산";#N/A,#N/A,TRUE,"Y판매";#N/A,#N/A,TRUE,"Y총물량";#N/A,#N/A,TRUE,"Y능력";#N/A,#N/A,TRUE,"YKD"}</definedName>
    <definedName name="ㄴㅇㄹㄴㅇㄹ" localSheetId="25" hidden="1">{#N/A,#N/A,TRUE,"Y생산";#N/A,#N/A,TRUE,"Y판매";#N/A,#N/A,TRUE,"Y총물량";#N/A,#N/A,TRUE,"Y능력";#N/A,#N/A,TRUE,"YKD"}</definedName>
    <definedName name="ㄴㅇㄹㄴㅇㄹ" hidden="1">{#N/A,#N/A,TRUE,"Y생산";#N/A,#N/A,TRUE,"Y판매";#N/A,#N/A,TRUE,"Y총물량";#N/A,#N/A,TRUE,"Y능력";#N/A,#N/A,TRUE,"YKD"}</definedName>
    <definedName name="ㄴㅇㄹㄴㅇㄹ_1" localSheetId="24" hidden="1">{#N/A,#N/A,TRUE,"Y생산";#N/A,#N/A,TRUE,"Y판매";#N/A,#N/A,TRUE,"Y총물량";#N/A,#N/A,TRUE,"Y능력";#N/A,#N/A,TRUE,"YKD"}</definedName>
    <definedName name="ㄴㅇㄹㄴㅇㄹ_1" localSheetId="18" hidden="1">{#N/A,#N/A,TRUE,"Y생산";#N/A,#N/A,TRUE,"Y판매";#N/A,#N/A,TRUE,"Y총물량";#N/A,#N/A,TRUE,"Y능력";#N/A,#N/A,TRUE,"YKD"}</definedName>
    <definedName name="ㄴㅇㄹㄴㅇㄹ_1" localSheetId="25" hidden="1">{#N/A,#N/A,TRUE,"Y생산";#N/A,#N/A,TRUE,"Y판매";#N/A,#N/A,TRUE,"Y총물량";#N/A,#N/A,TRUE,"Y능력";#N/A,#N/A,TRUE,"YKD"}</definedName>
    <definedName name="ㄴㅇㄹㄴㅇㄹ_1" hidden="1">{#N/A,#N/A,TRUE,"Y생산";#N/A,#N/A,TRUE,"Y판매";#N/A,#N/A,TRUE,"Y총물량";#N/A,#N/A,TRUE,"Y능력";#N/A,#N/A,TRUE,"YKD"}</definedName>
    <definedName name="ㄴㅇㄹㄴㅇㄹㄴㅇㄹ" localSheetId="24" hidden="1">{#N/A,#N/A,TRUE,"Y생산";#N/A,#N/A,TRUE,"Y판매";#N/A,#N/A,TRUE,"Y총물량";#N/A,#N/A,TRUE,"Y능력";#N/A,#N/A,TRUE,"YKD"}</definedName>
    <definedName name="ㄴㅇㄹㄴㅇㄹㄴㅇㄹ" localSheetId="18" hidden="1">{#N/A,#N/A,TRUE,"Y생산";#N/A,#N/A,TRUE,"Y판매";#N/A,#N/A,TRUE,"Y총물량";#N/A,#N/A,TRUE,"Y능력";#N/A,#N/A,TRUE,"YKD"}</definedName>
    <definedName name="ㄴㅇㄹㄴㅇㄹㄴㅇㄹ" localSheetId="25" hidden="1">{#N/A,#N/A,TRUE,"Y생산";#N/A,#N/A,TRUE,"Y판매";#N/A,#N/A,TRUE,"Y총물량";#N/A,#N/A,TRUE,"Y능력";#N/A,#N/A,TRUE,"YKD"}</definedName>
    <definedName name="ㄴㅇㄹㄴㅇㄹㄴㅇㄹ" hidden="1">{#N/A,#N/A,TRUE,"Y생산";#N/A,#N/A,TRUE,"Y판매";#N/A,#N/A,TRUE,"Y총물량";#N/A,#N/A,TRUE,"Y능력";#N/A,#N/A,TRUE,"YKD"}</definedName>
    <definedName name="ㄴㅇㄹㄴㅇㄹㄴㅇㄹ_1" localSheetId="24" hidden="1">{#N/A,#N/A,TRUE,"Y생산";#N/A,#N/A,TRUE,"Y판매";#N/A,#N/A,TRUE,"Y총물량";#N/A,#N/A,TRUE,"Y능력";#N/A,#N/A,TRUE,"YKD"}</definedName>
    <definedName name="ㄴㅇㄹㄴㅇㄹㄴㅇㄹ_1" localSheetId="18" hidden="1">{#N/A,#N/A,TRUE,"Y생산";#N/A,#N/A,TRUE,"Y판매";#N/A,#N/A,TRUE,"Y총물량";#N/A,#N/A,TRUE,"Y능력";#N/A,#N/A,TRUE,"YKD"}</definedName>
    <definedName name="ㄴㅇㄹㄴㅇㄹㄴㅇㄹ_1" localSheetId="25" hidden="1">{#N/A,#N/A,TRUE,"Y생산";#N/A,#N/A,TRUE,"Y판매";#N/A,#N/A,TRUE,"Y총물량";#N/A,#N/A,TRUE,"Y능력";#N/A,#N/A,TRUE,"YKD"}</definedName>
    <definedName name="ㄴㅇㄹㄴㅇㄹㄴㅇㄹ_1" hidden="1">{#N/A,#N/A,TRUE,"Y생산";#N/A,#N/A,TRUE,"Y판매";#N/A,#N/A,TRUE,"Y총물량";#N/A,#N/A,TRUE,"Y능력";#N/A,#N/A,TRUE,"YKD"}</definedName>
    <definedName name="ㄴㅇㄹㅇ" localSheetId="24" hidden="1">{#N/A,#N/A,TRUE,"Y생산";#N/A,#N/A,TRUE,"Y판매";#N/A,#N/A,TRUE,"Y총물량";#N/A,#N/A,TRUE,"Y능력";#N/A,#N/A,TRUE,"YKD"}</definedName>
    <definedName name="ㄴㅇㄹㅇ" localSheetId="18" hidden="1">{#N/A,#N/A,TRUE,"Y생산";#N/A,#N/A,TRUE,"Y판매";#N/A,#N/A,TRUE,"Y총물량";#N/A,#N/A,TRUE,"Y능력";#N/A,#N/A,TRUE,"YKD"}</definedName>
    <definedName name="ㄴㅇㄹㅇ" localSheetId="25" hidden="1">{#N/A,#N/A,TRUE,"Y생산";#N/A,#N/A,TRUE,"Y판매";#N/A,#N/A,TRUE,"Y총물량";#N/A,#N/A,TRUE,"Y능력";#N/A,#N/A,TRUE,"YKD"}</definedName>
    <definedName name="ㄴㅇㄹㅇ" hidden="1">{#N/A,#N/A,TRUE,"Y생산";#N/A,#N/A,TRUE,"Y판매";#N/A,#N/A,TRUE,"Y총물량";#N/A,#N/A,TRUE,"Y능력";#N/A,#N/A,TRUE,"YKD"}</definedName>
    <definedName name="ㄴㅇㄹㅇㄴㄹㅇㄴㄹ" localSheetId="24" hidden="1">{"'용역비'!$A$4:$C$8"}</definedName>
    <definedName name="ㄴㅇㄹㅇㄴㄹㅇㄴㄹ" localSheetId="18" hidden="1">{"'용역비'!$A$4:$C$8"}</definedName>
    <definedName name="ㄴㅇㄹㅇㄴㄹㅇㄴㄹ" localSheetId="25" hidden="1">{"'용역비'!$A$4:$C$8"}</definedName>
    <definedName name="ㄴㅇㄹㅇㄴㄹㅇㄴㄹ" hidden="1">{"'용역비'!$A$4:$C$8"}</definedName>
    <definedName name="ㄴㅇㄹㅇㄴㅁ" localSheetId="24" hidden="1">{#N/A,#N/A,FALSE,"동부"}</definedName>
    <definedName name="ㄴㅇㄹㅇㄴㅁ" localSheetId="18" hidden="1">{#N/A,#N/A,FALSE,"동부"}</definedName>
    <definedName name="ㄴㅇㄹㅇㄴㅁ" localSheetId="25" hidden="1">{#N/A,#N/A,FALSE,"동부"}</definedName>
    <definedName name="ㄴㅇㄹㅇㄴㅁ" hidden="1">{#N/A,#N/A,FALSE,"동부"}</definedName>
    <definedName name="ㄴㅇㄺㅈ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ㄴㅇㄺㅈ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ㄴㅇㄺㅈ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ㄴㅇㄺㅈㄹ" hidden="1">{#N/A,#N/A,FALSE,"손익표지";#N/A,#N/A,FALSE,"손익계산";#N/A,#N/A,FALSE,"일반관리비";#N/A,#N/A,FALSE,"영업외수익";#N/A,#N/A,FALSE,"영업외비용";#N/A,#N/A,FALSE,"매출액";#N/A,#N/A,FALSE,"요약손익";#N/A,#N/A,FALSE,"요약대차";#N/A,#N/A,FALSE,"매출채권현황";#N/A,#N/A,FALSE,"매출채권명세"}</definedName>
    <definedName name="ㄴㅇㄻㄴㄻㄴ"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ㄴㅇㄻㄴㄻㄴ"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ㄴㅇㄻㄴㄻㄴ"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ㄴㅇㄻㄴㄻㄴ"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ㄴㅇㄻㄴㅇㄹ" localSheetId="24" hidden="1">{"'용역비'!$A$4:$C$8"}</definedName>
    <definedName name="ㄴㅇㄻㄴㅇㄹ" localSheetId="18" hidden="1">{"'용역비'!$A$4:$C$8"}</definedName>
    <definedName name="ㄴㅇㄻㄴㅇㄹ" localSheetId="25" hidden="1">{"'용역비'!$A$4:$C$8"}</definedName>
    <definedName name="ㄴㅇㄻㄴㅇㄹ" hidden="1">{"'용역비'!$A$4:$C$8"}</definedName>
    <definedName name="ㄴㅇㄻㄴㅇㄻ"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ㄴㅇㄻㄴㅇㄻ"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ㄴㅇㄻㄴㅇㄻ" localSheetId="25"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ㄴㅇㄻㄴㅇㄻ"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ㄴㅇㅇㄴ" localSheetId="24" hidden="1">{#N/A,#N/A,FALSE,"동부"}</definedName>
    <definedName name="ㄴㅇㅇㄴ" localSheetId="18" hidden="1">{#N/A,#N/A,FALSE,"동부"}</definedName>
    <definedName name="ㄴㅇㅇㄴ" localSheetId="25" hidden="1">{#N/A,#N/A,FALSE,"동부"}</definedName>
    <definedName name="ㄴㅇㅇㄴ" hidden="1">{#N/A,#N/A,FALSE,"동부"}</definedName>
    <definedName name="ㄴㅌㄴㅌ" localSheetId="24" hidden="1">{#N/A,#N/A,FALSE,"CCTV"}</definedName>
    <definedName name="ㄴㅌㄴㅌ" localSheetId="18" hidden="1">{#N/A,#N/A,FALSE,"CCTV"}</definedName>
    <definedName name="ㄴㅌㄴㅌ" localSheetId="25" hidden="1">{#N/A,#N/A,FALSE,"CCTV"}</definedName>
    <definedName name="ㄴㅌㄴㅌ" hidden="1">{#N/A,#N/A,FALSE,"CCTV"}</definedName>
    <definedName name="나" localSheetId="24" hidden="1">{#N/A,#N/A,FALSE,"1.CRITERIA";#N/A,#N/A,FALSE,"2.IS";#N/A,#N/A,FALSE,"3.BS";#N/A,#N/A,FALSE,"4.PER PL";#N/A,#N/A,FALSE,"5.INVESTMENT";#N/A,#N/A,FALSE,"6.공문";#N/A,#N/A,FALSE,"7.netinvest"}</definedName>
    <definedName name="나" localSheetId="18" hidden="1">{#N/A,#N/A,FALSE,"1.CRITERIA";#N/A,#N/A,FALSE,"2.IS";#N/A,#N/A,FALSE,"3.BS";#N/A,#N/A,FALSE,"4.PER PL";#N/A,#N/A,FALSE,"5.INVESTMENT";#N/A,#N/A,FALSE,"6.공문";#N/A,#N/A,FALSE,"7.netinvest"}</definedName>
    <definedName name="나" localSheetId="25" hidden="1">{#N/A,#N/A,FALSE,"1.CRITERIA";#N/A,#N/A,FALSE,"2.IS";#N/A,#N/A,FALSE,"3.BS";#N/A,#N/A,FALSE,"4.PER PL";#N/A,#N/A,FALSE,"5.INVESTMENT";#N/A,#N/A,FALSE,"6.공문";#N/A,#N/A,FALSE,"7.netinvest"}</definedName>
    <definedName name="나" hidden="1">{#N/A,#N/A,FALSE,"1.CRITERIA";#N/A,#N/A,FALSE,"2.IS";#N/A,#N/A,FALSE,"3.BS";#N/A,#N/A,FALSE,"4.PER PL";#N/A,#N/A,FALSE,"5.INVESTMENT";#N/A,#N/A,FALSE,"6.공문";#N/A,#N/A,FALSE,"7.netinvest"}</definedName>
    <definedName name="나나나" localSheetId="24" hidden="1">{"'미착금액'!$A$4:$G$14"}</definedName>
    <definedName name="나나나" localSheetId="18" hidden="1">{"'미착금액'!$A$4:$G$14"}</definedName>
    <definedName name="나나나" localSheetId="25" hidden="1">{"'미착금액'!$A$4:$G$14"}</definedName>
    <definedName name="나나나" hidden="1">{"'미착금액'!$A$4:$G$14"}</definedName>
    <definedName name="나다라" localSheetId="24" hidden="1">{#N/A,#N/A,FALSE,"1.CRITERIA";#N/A,#N/A,FALSE,"2.IS";#N/A,#N/A,FALSE,"3.BS";#N/A,#N/A,FALSE,"4.PER PL";#N/A,#N/A,FALSE,"5.INVESTMENT";#N/A,#N/A,FALSE,"6.공문";#N/A,#N/A,FALSE,"7.netinvest"}</definedName>
    <definedName name="나다라" localSheetId="18" hidden="1">{#N/A,#N/A,FALSE,"1.CRITERIA";#N/A,#N/A,FALSE,"2.IS";#N/A,#N/A,FALSE,"3.BS";#N/A,#N/A,FALSE,"4.PER PL";#N/A,#N/A,FALSE,"5.INVESTMENT";#N/A,#N/A,FALSE,"6.공문";#N/A,#N/A,FALSE,"7.netinvest"}</definedName>
    <definedName name="나다라" localSheetId="25" hidden="1">{#N/A,#N/A,FALSE,"1.CRITERIA";#N/A,#N/A,FALSE,"2.IS";#N/A,#N/A,FALSE,"3.BS";#N/A,#N/A,FALSE,"4.PER PL";#N/A,#N/A,FALSE,"5.INVESTMENT";#N/A,#N/A,FALSE,"6.공문";#N/A,#N/A,FALSE,"7.netinvest"}</definedName>
    <definedName name="나다라" hidden="1">{#N/A,#N/A,FALSE,"1.CRITERIA";#N/A,#N/A,FALSE,"2.IS";#N/A,#N/A,FALSE,"3.BS";#N/A,#N/A,FALSE,"4.PER PL";#N/A,#N/A,FALSE,"5.INVESTMENT";#N/A,#N/A,FALSE,"6.공문";#N/A,#N/A,FALSE,"7.netinvest"}</definedName>
    <definedName name="나라" localSheetId="24" hidden="1">{#N/A,#N/A,FALSE,"1.CRITERIA";#N/A,#N/A,FALSE,"2.IS";#N/A,#N/A,FALSE,"3.BS";#N/A,#N/A,FALSE,"4.PER PL";#N/A,#N/A,FALSE,"5.INVESTMENT";#N/A,#N/A,FALSE,"6.공문";#N/A,#N/A,FALSE,"7.netinvest"}</definedName>
    <definedName name="나라" localSheetId="18" hidden="1">{#N/A,#N/A,FALSE,"1.CRITERIA";#N/A,#N/A,FALSE,"2.IS";#N/A,#N/A,FALSE,"3.BS";#N/A,#N/A,FALSE,"4.PER PL";#N/A,#N/A,FALSE,"5.INVESTMENT";#N/A,#N/A,FALSE,"6.공문";#N/A,#N/A,FALSE,"7.netinvest"}</definedName>
    <definedName name="나라" localSheetId="25" hidden="1">{#N/A,#N/A,FALSE,"1.CRITERIA";#N/A,#N/A,FALSE,"2.IS";#N/A,#N/A,FALSE,"3.BS";#N/A,#N/A,FALSE,"4.PER PL";#N/A,#N/A,FALSE,"5.INVESTMENT";#N/A,#N/A,FALSE,"6.공문";#N/A,#N/A,FALSE,"7.netinvest"}</definedName>
    <definedName name="나라" hidden="1">{#N/A,#N/A,FALSE,"1.CRITERIA";#N/A,#N/A,FALSE,"2.IS";#N/A,#N/A,FALSE,"3.BS";#N/A,#N/A,FALSE,"4.PER PL";#N/A,#N/A,FALSE,"5.INVESTMENT";#N/A,#N/A,FALSE,"6.공문";#N/A,#N/A,FALSE,"7.netinvest"}</definedName>
    <definedName name="나ㅏㅓㄹ"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나ㅏㅓㄹ"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나ㅏㅓㄹ"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나ㅏㅓㄹ"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南麻布" localSheetId="24" hidden="1">{"Actual",#N/A,FALSE,"(価格)";"Market",#N/A,FALSE,"(価格)";"Plan",#N/A,FALSE,"(価格)"}</definedName>
    <definedName name="南麻布" localSheetId="18" hidden="1">{"Actual",#N/A,FALSE,"(価格)";"Market",#N/A,FALSE,"(価格)";"Plan",#N/A,FALSE,"(価格)"}</definedName>
    <definedName name="南麻布" localSheetId="25" hidden="1">{"Actual",#N/A,FALSE,"(価格)";"Market",#N/A,FALSE,"(価格)";"Plan",#N/A,FALSE,"(価格)"}</definedName>
    <definedName name="南麻布" hidden="1">{"Actual",#N/A,FALSE,"(価格)";"Market",#N/A,FALSE,"(価格)";"Plan",#N/A,FALSE,"(価格)"}</definedName>
    <definedName name="남윤" localSheetId="24" hidden="1">{"'용역비'!$A$4:$C$8"}</definedName>
    <definedName name="남윤" localSheetId="18" hidden="1">{"'용역비'!$A$4:$C$8"}</definedName>
    <definedName name="남윤" localSheetId="25" hidden="1">{"'용역비'!$A$4:$C$8"}</definedName>
    <definedName name="남윤" hidden="1">{"'용역비'!$A$4:$C$8"}</definedName>
    <definedName name="내" localSheetId="24" hidden="1">{#N/A,#N/A,FALSE,"1.CRITERIA";#N/A,#N/A,FALSE,"2.IS";#N/A,#N/A,FALSE,"3.BS";#N/A,#N/A,FALSE,"4.PER PL";#N/A,#N/A,FALSE,"5.INVESTMENT";#N/A,#N/A,FALSE,"6.공문";#N/A,#N/A,FALSE,"7.netinvest"}</definedName>
    <definedName name="내" localSheetId="18" hidden="1">{#N/A,#N/A,FALSE,"1.CRITERIA";#N/A,#N/A,FALSE,"2.IS";#N/A,#N/A,FALSE,"3.BS";#N/A,#N/A,FALSE,"4.PER PL";#N/A,#N/A,FALSE,"5.INVESTMENT";#N/A,#N/A,FALSE,"6.공문";#N/A,#N/A,FALSE,"7.netinvest"}</definedName>
    <definedName name="내" localSheetId="25" hidden="1">{#N/A,#N/A,FALSE,"1.CRITERIA";#N/A,#N/A,FALSE,"2.IS";#N/A,#N/A,FALSE,"3.BS";#N/A,#N/A,FALSE,"4.PER PL";#N/A,#N/A,FALSE,"5.INVESTMENT";#N/A,#N/A,FALSE,"6.공문";#N/A,#N/A,FALSE,"7.netinvest"}</definedName>
    <definedName name="내" hidden="1">{#N/A,#N/A,FALSE,"1.CRITERIA";#N/A,#N/A,FALSE,"2.IS";#N/A,#N/A,FALSE,"3.BS";#N/A,#N/A,FALSE,"4.PER PL";#N/A,#N/A,FALSE,"5.INVESTMENT";#N/A,#N/A,FALSE,"6.공문";#N/A,#N/A,FALSE,"7.netinvest"}</definedName>
    <definedName name="내역" localSheetId="24" hidden="1">{#N/A,#N/A,FALSE,"CCTV"}</definedName>
    <definedName name="내역" localSheetId="18" hidden="1">{#N/A,#N/A,FALSE,"CCTV"}</definedName>
    <definedName name="내역" localSheetId="25" hidden="1">{#N/A,#N/A,FALSE,"CCTV"}</definedName>
    <definedName name="내역" hidden="1">{#N/A,#N/A,FALSE,"CCTV"}</definedName>
    <definedName name="내역노무"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노무"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노무" localSheetId="25"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노무"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서" localSheetId="24" hidden="1">{#N/A,#N/A,TRUE,"대 차 대 조 표"}</definedName>
    <definedName name="내역서" localSheetId="18" hidden="1">{#N/A,#N/A,TRUE,"대 차 대 조 표"}</definedName>
    <definedName name="내역서" localSheetId="25" hidden="1">{#N/A,#N/A,TRUE,"대 차 대 조 표"}</definedName>
    <definedName name="내역서" hidden="1">{#N/A,#N/A,TRUE,"대 차 대 조 표"}</definedName>
    <definedName name="내역서2" localSheetId="24" hidden="1">{#N/A,#N/A,FALSE,"CCTV"}</definedName>
    <definedName name="내역서2" localSheetId="18" hidden="1">{#N/A,#N/A,FALSE,"CCTV"}</definedName>
    <definedName name="내역서2" localSheetId="25" hidden="1">{#N/A,#N/A,FALSE,"CCTV"}</definedName>
    <definedName name="내역서2" hidden="1">{#N/A,#N/A,FALSE,"CCTV"}</definedName>
    <definedName name="내역서3" localSheetId="24" hidden="1">{"'PROFORMA'!$A$1:$H$120"}</definedName>
    <definedName name="내역서3" localSheetId="18" hidden="1">{"'PROFORMA'!$A$1:$H$120"}</definedName>
    <definedName name="내역서3" localSheetId="25" hidden="1">{"'PROFORMA'!$A$1:$H$120"}</definedName>
    <definedName name="내역서3" hidden="1">{"'PROFORMA'!$A$1:$H$120"}</definedName>
    <definedName name="내영.." localSheetId="24" hidden="1">{#N/A,#N/A,TRUE,"Y생산";#N/A,#N/A,TRUE,"Y판매";#N/A,#N/A,TRUE,"Y총물량";#N/A,#N/A,TRUE,"Y능력";#N/A,#N/A,TRUE,"YKD"}</definedName>
    <definedName name="내영.." localSheetId="18" hidden="1">{#N/A,#N/A,TRUE,"Y생산";#N/A,#N/A,TRUE,"Y판매";#N/A,#N/A,TRUE,"Y총물량";#N/A,#N/A,TRUE,"Y능력";#N/A,#N/A,TRUE,"YKD"}</definedName>
    <definedName name="내영.." localSheetId="25" hidden="1">{#N/A,#N/A,TRUE,"Y생산";#N/A,#N/A,TRUE,"Y판매";#N/A,#N/A,TRUE,"Y총물량";#N/A,#N/A,TRUE,"Y능력";#N/A,#N/A,TRUE,"YKD"}</definedName>
    <definedName name="내영.." hidden="1">{#N/A,#N/A,TRUE,"Y생산";#N/A,#N/A,TRUE,"Y판매";#N/A,#N/A,TRUE,"Y총물량";#N/A,#N/A,TRUE,"Y능력";#N/A,#N/A,TRUE,"YKD"}</definedName>
    <definedName name="내영.._1" localSheetId="24" hidden="1">{#N/A,#N/A,TRUE,"Y생산";#N/A,#N/A,TRUE,"Y판매";#N/A,#N/A,TRUE,"Y총물량";#N/A,#N/A,TRUE,"Y능력";#N/A,#N/A,TRUE,"YKD"}</definedName>
    <definedName name="내영.._1" localSheetId="18" hidden="1">{#N/A,#N/A,TRUE,"Y생산";#N/A,#N/A,TRUE,"Y판매";#N/A,#N/A,TRUE,"Y총물량";#N/A,#N/A,TRUE,"Y능력";#N/A,#N/A,TRUE,"YKD"}</definedName>
    <definedName name="내영.._1" localSheetId="25" hidden="1">{#N/A,#N/A,TRUE,"Y생산";#N/A,#N/A,TRUE,"Y판매";#N/A,#N/A,TRUE,"Y총물량";#N/A,#N/A,TRUE,"Y능력";#N/A,#N/A,TRUE,"YKD"}</definedName>
    <definedName name="내영.._1" hidden="1">{#N/A,#N/A,TRUE,"Y생산";#N/A,#N/A,TRUE,"Y판매";#N/A,#N/A,TRUE,"Y총물량";#N/A,#N/A,TRUE,"Y능력";#N/A,#N/A,TRUE,"YKD"}</definedName>
    <definedName name="내용" localSheetId="24" hidden="1">{#N/A,#N/A,TRUE,"Y생산";#N/A,#N/A,TRUE,"Y판매";#N/A,#N/A,TRUE,"Y총물량";#N/A,#N/A,TRUE,"Y능력";#N/A,#N/A,TRUE,"YKD"}</definedName>
    <definedName name="내용" localSheetId="18" hidden="1">{#N/A,#N/A,TRUE,"Y생산";#N/A,#N/A,TRUE,"Y판매";#N/A,#N/A,TRUE,"Y총물량";#N/A,#N/A,TRUE,"Y능력";#N/A,#N/A,TRUE,"YKD"}</definedName>
    <definedName name="내용" localSheetId="25" hidden="1">{#N/A,#N/A,TRUE,"Y생산";#N/A,#N/A,TRUE,"Y판매";#N/A,#N/A,TRUE,"Y총물량";#N/A,#N/A,TRUE,"Y능력";#N/A,#N/A,TRUE,"YKD"}</definedName>
    <definedName name="내용" hidden="1">{#N/A,#N/A,TRUE,"Y생산";#N/A,#N/A,TRUE,"Y판매";#N/A,#N/A,TRUE,"Y총물량";#N/A,#N/A,TRUE,"Y능력";#N/A,#N/A,TRUE,"YKD"}</definedName>
    <definedName name="내용_1" localSheetId="24" hidden="1">{#N/A,#N/A,TRUE,"Y생산";#N/A,#N/A,TRUE,"Y판매";#N/A,#N/A,TRUE,"Y총물량";#N/A,#N/A,TRUE,"Y능력";#N/A,#N/A,TRUE,"YKD"}</definedName>
    <definedName name="내용_1" localSheetId="18" hidden="1">{#N/A,#N/A,TRUE,"Y생산";#N/A,#N/A,TRUE,"Y판매";#N/A,#N/A,TRUE,"Y총물량";#N/A,#N/A,TRUE,"Y능력";#N/A,#N/A,TRUE,"YKD"}</definedName>
    <definedName name="내용_1" localSheetId="25" hidden="1">{#N/A,#N/A,TRUE,"Y생산";#N/A,#N/A,TRUE,"Y판매";#N/A,#N/A,TRUE,"Y총물량";#N/A,#N/A,TRUE,"Y능력";#N/A,#N/A,TRUE,"YKD"}</definedName>
    <definedName name="내용_1" hidden="1">{#N/A,#N/A,TRUE,"Y생산";#N/A,#N/A,TRUE,"Y판매";#N/A,#N/A,TRUE,"Y총물량";#N/A,#N/A,TRUE,"Y능력";#N/A,#N/A,TRUE,"YKD"}</definedName>
    <definedName name="내장"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내장"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내장"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내장"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너" localSheetId="24" hidden="1">{#N/A,#N/A,FALSE,"1.CRITERIA";#N/A,#N/A,FALSE,"2.IS";#N/A,#N/A,FALSE,"3.BS";#N/A,#N/A,FALSE,"4.PER PL";#N/A,#N/A,FALSE,"5.INVESTMENT";#N/A,#N/A,FALSE,"6.공문";#N/A,#N/A,FALSE,"7.netinvest"}</definedName>
    <definedName name="너" localSheetId="18" hidden="1">{#N/A,#N/A,FALSE,"1.CRITERIA";#N/A,#N/A,FALSE,"2.IS";#N/A,#N/A,FALSE,"3.BS";#N/A,#N/A,FALSE,"4.PER PL";#N/A,#N/A,FALSE,"5.INVESTMENT";#N/A,#N/A,FALSE,"6.공문";#N/A,#N/A,FALSE,"7.netinvest"}</definedName>
    <definedName name="너" localSheetId="25" hidden="1">{#N/A,#N/A,FALSE,"1.CRITERIA";#N/A,#N/A,FALSE,"2.IS";#N/A,#N/A,FALSE,"3.BS";#N/A,#N/A,FALSE,"4.PER PL";#N/A,#N/A,FALSE,"5.INVESTMENT";#N/A,#N/A,FALSE,"6.공문";#N/A,#N/A,FALSE,"7.netinvest"}</definedName>
    <definedName name="너" hidden="1">{#N/A,#N/A,FALSE,"1.CRITERIA";#N/A,#N/A,FALSE,"2.IS";#N/A,#N/A,FALSE,"3.BS";#N/A,#N/A,FALSE,"4.PER PL";#N/A,#N/A,FALSE,"5.INVESTMENT";#N/A,#N/A,FALSE,"6.공문";#N/A,#N/A,FALSE,"7.netinvest"}</definedName>
    <definedName name="年間予定" localSheetId="24" hidden="1">{"Actual",#N/A,FALSE,"(価格)";"Market",#N/A,FALSE,"(価格)";"Plan",#N/A,FALSE,"(価格)"}</definedName>
    <definedName name="年間予定" localSheetId="18" hidden="1">{"Actual",#N/A,FALSE,"(価格)";"Market",#N/A,FALSE,"(価格)";"Plan",#N/A,FALSE,"(価格)"}</definedName>
    <definedName name="年間予定" localSheetId="25" hidden="1">{"Actual",#N/A,FALSE,"(価格)";"Market",#N/A,FALSE,"(価格)";"Plan",#N/A,FALSE,"(価格)"}</definedName>
    <definedName name="年間予定" hidden="1">{"Actual",#N/A,FALSE,"(価格)";"Market",#N/A,FALSE,"(価格)";"Plan",#N/A,FALSE,"(価格)"}</definedName>
    <definedName name="년간용역비비교" localSheetId="24" hidden="1">{"'용역비'!$A$4:$C$8"}</definedName>
    <definedName name="년간용역비비교" localSheetId="18" hidden="1">{"'용역비'!$A$4:$C$8"}</definedName>
    <definedName name="년간용역비비교" localSheetId="25" hidden="1">{"'용역비'!$A$4:$C$8"}</definedName>
    <definedName name="년간용역비비교" hidden="1">{"'용역비'!$A$4:$C$8"}</definedName>
    <definedName name="년도별예산추정" localSheetId="24">BlankMacro1</definedName>
    <definedName name="년도별예산추정" localSheetId="18">BlankMacro1</definedName>
    <definedName name="년도별예산추정" localSheetId="25">BlankMacro1</definedName>
    <definedName name="년도별예산추정" localSheetId="16">BlankMacro1</definedName>
    <definedName name="년도별예산추정">BlankMacro1</definedName>
    <definedName name="노" localSheetId="24" hidden="1">{#N/A,#N/A,FALSE,"1.CRITERIA";#N/A,#N/A,FALSE,"2.IS";#N/A,#N/A,FALSE,"3.BS";#N/A,#N/A,FALSE,"4.PER PL";#N/A,#N/A,FALSE,"5.INVESTMENT";#N/A,#N/A,FALSE,"6.공문";#N/A,#N/A,FALSE,"7.netinvest"}</definedName>
    <definedName name="노" localSheetId="18" hidden="1">{#N/A,#N/A,FALSE,"1.CRITERIA";#N/A,#N/A,FALSE,"2.IS";#N/A,#N/A,FALSE,"3.BS";#N/A,#N/A,FALSE,"4.PER PL";#N/A,#N/A,FALSE,"5.INVESTMENT";#N/A,#N/A,FALSE,"6.공문";#N/A,#N/A,FALSE,"7.netinvest"}</definedName>
    <definedName name="노" localSheetId="25" hidden="1">{#N/A,#N/A,FALSE,"1.CRITERIA";#N/A,#N/A,FALSE,"2.IS";#N/A,#N/A,FALSE,"3.BS";#N/A,#N/A,FALSE,"4.PER PL";#N/A,#N/A,FALSE,"5.INVESTMENT";#N/A,#N/A,FALSE,"6.공문";#N/A,#N/A,FALSE,"7.netinvest"}</definedName>
    <definedName name="노" hidden="1">{#N/A,#N/A,FALSE,"1.CRITERIA";#N/A,#N/A,FALSE,"2.IS";#N/A,#N/A,FALSE,"3.BS";#N/A,#N/A,FALSE,"4.PER PL";#N/A,#N/A,FALSE,"5.INVESTMENT";#N/A,#N/A,FALSE,"6.공문";#N/A,#N/A,FALSE,"7.netinvest"}</definedName>
    <definedName name="노무비내역"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무비내역"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무비내역" localSheetId="25"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무비내역"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원문화"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1"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1"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1"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1"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논현동외" localSheetId="24" hidden="1">{#N/A,#N/A,FALSE,"Sheet6"}</definedName>
    <definedName name="논현동외" localSheetId="18" hidden="1">{#N/A,#N/A,FALSE,"Sheet6"}</definedName>
    <definedName name="논현동외" localSheetId="25" hidden="1">{#N/A,#N/A,FALSE,"Sheet6"}</definedName>
    <definedName name="논현동외" hidden="1">{#N/A,#N/A,FALSE,"Sheet6"}</definedName>
    <definedName name="뉴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뉴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뉴셀"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뉴셀" hidden="1">{#N/A,#N/A,FALSE,"손익표지";#N/A,#N/A,FALSE,"손익계산";#N/A,#N/A,FALSE,"일반관리비";#N/A,#N/A,FALSE,"영업외수익";#N/A,#N/A,FALSE,"영업외비용";#N/A,#N/A,FALSE,"매출액";#N/A,#N/A,FALSE,"요약손익";#N/A,#N/A,FALSE,"요약대차";#N/A,#N/A,FALSE,"매출채권현황";#N/A,#N/A,FALSE,"매출채권명세"}</definedName>
    <definedName name="ㄶㄹ" localSheetId="24" hidden="1">{#N/A,#N/A,TRUE,"대 차 대 조 표"}</definedName>
    <definedName name="ㄶㄹ" localSheetId="18" hidden="1">{#N/A,#N/A,TRUE,"대 차 대 조 표"}</definedName>
    <definedName name="ㄶㄹ" localSheetId="25" hidden="1">{#N/A,#N/A,TRUE,"대 차 대 조 표"}</definedName>
    <definedName name="ㄶㄹ" hidden="1">{#N/A,#N/A,TRUE,"대 차 대 조 표"}</definedName>
    <definedName name="ㄷ" localSheetId="24" hidden="1">{#N/A,#N/A,TRUE,"토적및재료집계";#N/A,#N/A,TRUE,"토적및재료집계";#N/A,#N/A,TRUE,"단위량"}</definedName>
    <definedName name="ㄷ" localSheetId="18" hidden="1">{#N/A,#N/A,TRUE,"토적및재료집계";#N/A,#N/A,TRUE,"토적및재료집계";#N/A,#N/A,TRUE,"단위량"}</definedName>
    <definedName name="ㄷ" localSheetId="25" hidden="1">{#N/A,#N/A,TRUE,"토적및재료집계";#N/A,#N/A,TRUE,"토적및재료집계";#N/A,#N/A,TRUE,"단위량"}</definedName>
    <definedName name="ㄷ" hidden="1">{#N/A,#N/A,TRUE,"토적및재료집계";#N/A,#N/A,TRUE,"토적및재료집계";#N/A,#N/A,TRUE,"단위량"}</definedName>
    <definedName name="ㄷ6ㅓ" localSheetId="24" hidden="1">{"'용역비'!$A$4:$C$8"}</definedName>
    <definedName name="ㄷ6ㅓ" localSheetId="18" hidden="1">{"'용역비'!$A$4:$C$8"}</definedName>
    <definedName name="ㄷ6ㅓ" localSheetId="25" hidden="1">{"'용역비'!$A$4:$C$8"}</definedName>
    <definedName name="ㄷ6ㅓ" hidden="1">{"'용역비'!$A$4:$C$8"}</definedName>
    <definedName name="ㄷㄱㄷㄱㄷㄱ" localSheetId="24" hidden="1">{"'용역비'!$A$4:$C$8"}</definedName>
    <definedName name="ㄷㄱㄷㄱㄷㄱ" localSheetId="18" hidden="1">{"'용역비'!$A$4:$C$8"}</definedName>
    <definedName name="ㄷㄱㄷㄱㄷㄱ" localSheetId="25" hidden="1">{"'용역비'!$A$4:$C$8"}</definedName>
    <definedName name="ㄷㄱㄷㄱㄷㄱ" hidden="1">{"'용역비'!$A$4:$C$8"}</definedName>
    <definedName name="ㄷㄱㄷㅈ"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ㄱㄷㅈ"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ㄷㄱㄷㅈ"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ㄷㄱㄷㅈ" hidden="1">{#N/A,#N/A,FALSE,"손익표지";#N/A,#N/A,FALSE,"손익계산";#N/A,#N/A,FALSE,"일반관리비";#N/A,#N/A,FALSE,"영업외수익";#N/A,#N/A,FALSE,"영업외비용";#N/A,#N/A,FALSE,"매출액";#N/A,#N/A,FALSE,"요약손익";#N/A,#N/A,FALSE,"요약대차";#N/A,#N/A,FALSE,"매출채권현황";#N/A,#N/A,FALSE,"매출채권명세"}</definedName>
    <definedName name="ㄷㄱㅇㅎㄹ" localSheetId="24" hidden="1">{#N/A,#N/A,FALSE,"단가표지"}</definedName>
    <definedName name="ㄷㄱㅇㅎㄹ" localSheetId="18" hidden="1">{#N/A,#N/A,FALSE,"단가표지"}</definedName>
    <definedName name="ㄷㄱㅇㅎㄹ" localSheetId="25" hidden="1">{#N/A,#N/A,FALSE,"단가표지"}</definedName>
    <definedName name="ㄷㄱㅇㅎㄹ" hidden="1">{#N/A,#N/A,FALSE,"단가표지"}</definedName>
    <definedName name="ㄷㄱㅈㄱㅈ"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ㄱㅈㄱㅈ"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ㄷㄱㅈㄱㅈ"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ㄷㄱㅈㄱㅈ" hidden="1">{#N/A,#N/A,FALSE,"손익표지";#N/A,#N/A,FALSE,"손익계산";#N/A,#N/A,FALSE,"일반관리비";#N/A,#N/A,FALSE,"영업외수익";#N/A,#N/A,FALSE,"영업외비용";#N/A,#N/A,FALSE,"매출액";#N/A,#N/A,FALSE,"요약손익";#N/A,#N/A,FALSE,"요약대차";#N/A,#N/A,FALSE,"매출채권현황";#N/A,#N/A,FALSE,"매출채권명세"}</definedName>
    <definedName name="ㄷㄳㄱㄷㅅㄱ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ㄳㄱㄷㅅㄱ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ㄷㄳㄱㄷㅅㄱㄷ"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ㄷㄳㄱㄷㅅㄱㄷ" hidden="1">{#N/A,#N/A,FALSE,"손익표지";#N/A,#N/A,FALSE,"손익계산";#N/A,#N/A,FALSE,"일반관리비";#N/A,#N/A,FALSE,"영업외수익";#N/A,#N/A,FALSE,"영업외비용";#N/A,#N/A,FALSE,"매출액";#N/A,#N/A,FALSE,"요약손익";#N/A,#N/A,FALSE,"요약대차";#N/A,#N/A,FALSE,"매출채권현황";#N/A,#N/A,FALSE,"매출채권명세"}</definedName>
    <definedName name="ㄷㄴ" localSheetId="24" hidden="1">{#N/A,#N/A,FALSE,"동부"}</definedName>
    <definedName name="ㄷㄴ" localSheetId="18" hidden="1">{#N/A,#N/A,FALSE,"동부"}</definedName>
    <definedName name="ㄷㄴ" localSheetId="25" hidden="1">{#N/A,#N/A,FALSE,"동부"}</definedName>
    <definedName name="ㄷㄴ" hidden="1">{#N/A,#N/A,FALSE,"동부"}</definedName>
    <definedName name="ㄷㄷ"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ㄷ"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ㄷ"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ㄷ"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ㄷㄱㄱ" localSheetId="24" hidden="1">{"'용역비'!$A$4:$C$8"}</definedName>
    <definedName name="ㄷㄷㄱㄱ" localSheetId="18" hidden="1">{"'용역비'!$A$4:$C$8"}</definedName>
    <definedName name="ㄷㄷㄱㄱ" localSheetId="25" hidden="1">{"'용역비'!$A$4:$C$8"}</definedName>
    <definedName name="ㄷㄷㄱㄱ" hidden="1">{"'용역비'!$A$4:$C$8"}</definedName>
    <definedName name="ㄷㄷ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ㄷ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ㄷㄷㄷ"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ㄷㄷㄷ" hidden="1">{#N/A,#N/A,FALSE,"손익표지";#N/A,#N/A,FALSE,"손익계산";#N/A,#N/A,FALSE,"일반관리비";#N/A,#N/A,FALSE,"영업외수익";#N/A,#N/A,FALSE,"영업외비용";#N/A,#N/A,FALSE,"매출액";#N/A,#N/A,FALSE,"요약손익";#N/A,#N/A,FALSE,"요약대차";#N/A,#N/A,FALSE,"매출채권현황";#N/A,#N/A,FALSE,"매출채권명세"}</definedName>
    <definedName name="ㄷㄷㄷㄷ"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ㄷㄷㄷㄷ"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ㄷㄷㄷㄷ"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ㄷㄷㄷㄷ"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ㄷㄷㄷㄷㄷ" localSheetId="24" hidden="1">{#N/A,#N/A,FALSE,"동부"}</definedName>
    <definedName name="ㄷㄷㄷㄷㄷ" localSheetId="18" hidden="1">{#N/A,#N/A,FALSE,"동부"}</definedName>
    <definedName name="ㄷㄷㄷㄷㄷ" localSheetId="25" hidden="1">{#N/A,#N/A,FALSE,"동부"}</definedName>
    <definedName name="ㄷㄷㄷㄷㄷ" hidden="1">{#N/A,#N/A,FALSE,"동부"}</definedName>
    <definedName name="ㄷㄷㄷㄷㅈㅈㅈㅈ" localSheetId="24" hidden="1">{"'통신지'!$A$1:$J$41"}</definedName>
    <definedName name="ㄷㄷㄷㄷㅈㅈㅈㅈ" localSheetId="18" hidden="1">{"'통신지'!$A$1:$J$41"}</definedName>
    <definedName name="ㄷㄷㄷㄷㅈㅈㅈㅈ" localSheetId="25" hidden="1">{"'통신지'!$A$1:$J$41"}</definedName>
    <definedName name="ㄷㄷㄷㄷㅈㅈㅈㅈ" hidden="1">{"'통신지'!$A$1:$J$41"}</definedName>
    <definedName name="ㄷㄻㄴㄷㄹ"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ㄷㄻㄴㄷㄹ"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ㄷㄻㄴㄷㄹ" localSheetId="2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ㄷㄻㄴㄷㄹ"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ㄷㅀ" localSheetId="24" hidden="1">{#N/A,#N/A,FALSE,"동부"}</definedName>
    <definedName name="ㄷㅀ" localSheetId="18" hidden="1">{#N/A,#N/A,FALSE,"동부"}</definedName>
    <definedName name="ㄷㅀ" localSheetId="25" hidden="1">{#N/A,#N/A,FALSE,"동부"}</definedName>
    <definedName name="ㄷㅀ" hidden="1">{#N/A,#N/A,FALSE,"동부"}</definedName>
    <definedName name="ㄷㅁㄹ" localSheetId="24" hidden="1">{#N/A,#N/A,FALSE,"동부"}</definedName>
    <definedName name="ㄷㅁㄹ" localSheetId="18" hidden="1">{#N/A,#N/A,FALSE,"동부"}</definedName>
    <definedName name="ㄷㅁㄹ" localSheetId="25" hidden="1">{#N/A,#N/A,FALSE,"동부"}</definedName>
    <definedName name="ㄷㅁㄹ" hidden="1">{#N/A,#N/A,FALSE,"동부"}</definedName>
    <definedName name="ㄷㅇ" localSheetId="24" hidden="1">{#N/A,#N/A,TRUE,"Y생산";#N/A,#N/A,TRUE,"Y판매";#N/A,#N/A,TRUE,"Y총물량";#N/A,#N/A,TRUE,"Y능력";#N/A,#N/A,TRUE,"YKD"}</definedName>
    <definedName name="ㄷㅇ" localSheetId="18" hidden="1">{#N/A,#N/A,TRUE,"Y생산";#N/A,#N/A,TRUE,"Y판매";#N/A,#N/A,TRUE,"Y총물량";#N/A,#N/A,TRUE,"Y능력";#N/A,#N/A,TRUE,"YKD"}</definedName>
    <definedName name="ㄷㅇ" localSheetId="25" hidden="1">{#N/A,#N/A,TRUE,"Y생산";#N/A,#N/A,TRUE,"Y판매";#N/A,#N/A,TRUE,"Y총물량";#N/A,#N/A,TRUE,"Y능력";#N/A,#N/A,TRUE,"YKD"}</definedName>
    <definedName name="ㄷㅇ" hidden="1">{#N/A,#N/A,TRUE,"Y생산";#N/A,#N/A,TRUE,"Y판매";#N/A,#N/A,TRUE,"Y총물량";#N/A,#N/A,TRUE,"Y능력";#N/A,#N/A,TRUE,"YKD"}</definedName>
    <definedName name="ㄷㅇ_1" localSheetId="24" hidden="1">{#N/A,#N/A,TRUE,"Y생산";#N/A,#N/A,TRUE,"Y판매";#N/A,#N/A,TRUE,"Y총물량";#N/A,#N/A,TRUE,"Y능력";#N/A,#N/A,TRUE,"YKD"}</definedName>
    <definedName name="ㄷㅇ_1" localSheetId="18" hidden="1">{#N/A,#N/A,TRUE,"Y생산";#N/A,#N/A,TRUE,"Y판매";#N/A,#N/A,TRUE,"Y총물량";#N/A,#N/A,TRUE,"Y능력";#N/A,#N/A,TRUE,"YKD"}</definedName>
    <definedName name="ㄷㅇ_1" localSheetId="25" hidden="1">{#N/A,#N/A,TRUE,"Y생산";#N/A,#N/A,TRUE,"Y판매";#N/A,#N/A,TRUE,"Y총물량";#N/A,#N/A,TRUE,"Y능력";#N/A,#N/A,TRUE,"YKD"}</definedName>
    <definedName name="ㄷㅇ_1" hidden="1">{#N/A,#N/A,TRUE,"Y생산";#N/A,#N/A,TRUE,"Y판매";#N/A,#N/A,TRUE,"Y총물량";#N/A,#N/A,TRUE,"Y능력";#N/A,#N/A,TRUE,"YKD"}</definedName>
    <definedName name="ㄷㅇㄹ"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ㅇㄹ"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ㅇㄹ"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ㅇㄹ"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ㅇㅎ" localSheetId="24" hidden="1">{#N/A,#N/A,TRUE,"대 차 대 조 표"}</definedName>
    <definedName name="ㄷㅇㅎ" localSheetId="18" hidden="1">{#N/A,#N/A,TRUE,"대 차 대 조 표"}</definedName>
    <definedName name="ㄷㅇㅎ" localSheetId="25" hidden="1">{#N/A,#N/A,TRUE,"대 차 대 조 표"}</definedName>
    <definedName name="ㄷㅇㅎ" hidden="1">{#N/A,#N/A,TRUE,"대 차 대 조 표"}</definedName>
    <definedName name="ㄷㅈ" localSheetId="24" hidden="1">{"Const Costs Dev",#N/A,FALSE,"Construction Cost Inputs";"Const Costs orig ccy",#N/A,FALSE,"Construction Cost Inputs";"Const Costs USD",#N/A,FALSE,"Construction Cost Inputs"}</definedName>
    <definedName name="ㄷㅈ" localSheetId="18" hidden="1">{"Const Costs Dev",#N/A,FALSE,"Construction Cost Inputs";"Const Costs orig ccy",#N/A,FALSE,"Construction Cost Inputs";"Const Costs USD",#N/A,FALSE,"Construction Cost Inputs"}</definedName>
    <definedName name="ㄷㅈ" localSheetId="25" hidden="1">{"Const Costs Dev",#N/A,FALSE,"Construction Cost Inputs";"Const Costs orig ccy",#N/A,FALSE,"Construction Cost Inputs";"Const Costs USD",#N/A,FALSE,"Construction Cost Inputs"}</definedName>
    <definedName name="ㄷㅈ" hidden="1">{"Const Costs Dev",#N/A,FALSE,"Construction Cost Inputs";"Const Costs orig ccy",#N/A,FALSE,"Construction Cost Inputs";"Const Costs USD",#N/A,FALSE,"Construction Cost Inputs"}</definedName>
    <definedName name="ㄷㅈㄱㄷㄱㄷ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ㅈㄱㄷㄱㄷ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ㄷㅈㄱㄷㄱㄷㄱ"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ㄷㅈㄱㄷㄱㄷㄱ" hidden="1">{#N/A,#N/A,FALSE,"손익표지";#N/A,#N/A,FALSE,"손익계산";#N/A,#N/A,FALSE,"일반관리비";#N/A,#N/A,FALSE,"영업외수익";#N/A,#N/A,FALSE,"영업외비용";#N/A,#N/A,FALSE,"매출액";#N/A,#N/A,FALSE,"요약손익";#N/A,#N/A,FALSE,"요약대차";#N/A,#N/A,FALSE,"매출채권현황";#N/A,#N/A,FALSE,"매출채권명세"}</definedName>
    <definedName name="ㄷㅈㄱㅈ"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ㅈㄱㅈ"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ㄷㅈㄱㅈ"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ㄷㅈㄱㅈ" hidden="1">{#N/A,#N/A,FALSE,"손익표지";#N/A,#N/A,FALSE,"손익계산";#N/A,#N/A,FALSE,"일반관리비";#N/A,#N/A,FALSE,"영업외수익";#N/A,#N/A,FALSE,"영업외비용";#N/A,#N/A,FALSE,"매출액";#N/A,#N/A,FALSE,"요약손익";#N/A,#N/A,FALSE,"요약대차";#N/A,#N/A,FALSE,"매출채권현황";#N/A,#N/A,FALSE,"매출채권명세"}</definedName>
    <definedName name="ㄷㅈㄱㅈ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ㅈㄱㅈ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ㄷㅈㄱㅈㄱ"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ㄷㅈㄱㅈㄱ" hidden="1">{#N/A,#N/A,FALSE,"손익표지";#N/A,#N/A,FALSE,"손익계산";#N/A,#N/A,FALSE,"일반관리비";#N/A,#N/A,FALSE,"영업외수익";#N/A,#N/A,FALSE,"영업외비용";#N/A,#N/A,FALSE,"매출액";#N/A,#N/A,FALSE,"요약손익";#N/A,#N/A,FALSE,"요약대차";#N/A,#N/A,FALSE,"매출채권현황";#N/A,#N/A,FALSE,"매출채권명세"}</definedName>
    <definedName name="ㄷㅈㄴ" localSheetId="24" hidden="1">{#N/A,#N/A,TRUE,"대 차 대 조 표"}</definedName>
    <definedName name="ㄷㅈㄴ" localSheetId="18" hidden="1">{#N/A,#N/A,TRUE,"대 차 대 조 표"}</definedName>
    <definedName name="ㄷㅈㄴ" localSheetId="25" hidden="1">{#N/A,#N/A,TRUE,"대 차 대 조 표"}</definedName>
    <definedName name="ㄷㅈㄴ" hidden="1">{#N/A,#N/A,TRUE,"대 차 대 조 표"}</definedName>
    <definedName name="ㄷㅈㄹ" localSheetId="24" hidden="1">{"BuildIn 2 Funding Assump",#N/A,FALSE,"Building Inputs";"BuildIn Capex plus Extras",#N/A,FALSE,"Building Inputs"}</definedName>
    <definedName name="ㄷㅈㄹ" localSheetId="18" hidden="1">{"BuildIn 2 Funding Assump",#N/A,FALSE,"Building Inputs";"BuildIn Capex plus Extras",#N/A,FALSE,"Building Inputs"}</definedName>
    <definedName name="ㄷㅈㄹ" localSheetId="25" hidden="1">{"BuildIn 2 Funding Assump",#N/A,FALSE,"Building Inputs";"BuildIn Capex plus Extras",#N/A,FALSE,"Building Inputs"}</definedName>
    <definedName name="ㄷㅈㄹ" hidden="1">{"BuildIn 2 Funding Assump",#N/A,FALSE,"Building Inputs";"BuildIn Capex plus Extras",#N/A,FALSE,"Building Inputs"}</definedName>
    <definedName name="ㄷㅈㄹㅇㄴㅁㄹ" localSheetId="24" hidden="1">{#N/A,#N/A,TRUE,"대 차 대 조 표"}</definedName>
    <definedName name="ㄷㅈㄹㅇㄴㅁㄹ" localSheetId="18" hidden="1">{#N/A,#N/A,TRUE,"대 차 대 조 표"}</definedName>
    <definedName name="ㄷㅈㄹㅇㄴㅁㄹ" localSheetId="25" hidden="1">{#N/A,#N/A,TRUE,"대 차 대 조 표"}</definedName>
    <definedName name="ㄷㅈㄹㅇㄴㅁㄹ" hidden="1">{#N/A,#N/A,TRUE,"대 차 대 조 표"}</definedName>
    <definedName name="ㄷㅈㄹㅈㄴ" localSheetId="24" hidden="1">{"AJD",#N/A,TRUE,"Summary";"AJD",#N/A,TRUE,"CFCONC-outputs";"AJD",#N/A,TRUE,"P&amp;LCONC-outputs";"AJD",#N/A,TRUE,"BSCONC-outputs";"AJD",#N/A,TRUE,"FSCONC-outputs"}</definedName>
    <definedName name="ㄷㅈㄹㅈㄴ" localSheetId="18" hidden="1">{"AJD",#N/A,TRUE,"Summary";"AJD",#N/A,TRUE,"CFCONC-outputs";"AJD",#N/A,TRUE,"P&amp;LCONC-outputs";"AJD",#N/A,TRUE,"BSCONC-outputs";"AJD",#N/A,TRUE,"FSCONC-outputs"}</definedName>
    <definedName name="ㄷㅈㄹㅈㄴ" localSheetId="25" hidden="1">{"AJD",#N/A,TRUE,"Summary";"AJD",#N/A,TRUE,"CFCONC-outputs";"AJD",#N/A,TRUE,"P&amp;LCONC-outputs";"AJD",#N/A,TRUE,"BSCONC-outputs";"AJD",#N/A,TRUE,"FSCONC-outputs"}</definedName>
    <definedName name="ㄷㅈㄹㅈㄴ" hidden="1">{"AJD",#N/A,TRUE,"Summary";"AJD",#N/A,TRUE,"CFCONC-outputs";"AJD",#N/A,TRUE,"P&amp;LCONC-outputs";"AJD",#N/A,TRUE,"BSCONC-outputs";"AJD",#N/A,TRUE,"FSCONC-outputs"}</definedName>
    <definedName name="ㄷㅈㅇ" localSheetId="24" hidden="1">{#N/A,#N/A,TRUE,"대 차 대 조 표"}</definedName>
    <definedName name="ㄷㅈㅇ" localSheetId="18" hidden="1">{#N/A,#N/A,TRUE,"대 차 대 조 표"}</definedName>
    <definedName name="ㄷㅈㅇ" localSheetId="25" hidden="1">{#N/A,#N/A,TRUE,"대 차 대 조 표"}</definedName>
    <definedName name="ㄷㅈㅇ" hidden="1">{#N/A,#N/A,TRUE,"대 차 대 조 표"}</definedName>
    <definedName name="ㄷㅈㅇㅇㄴ" localSheetId="24" hidden="1">{"AJD",#N/A,TRUE,"Summary";"AJD",#N/A,TRUE,"CFCONC-outputs";"AJD",#N/A,TRUE,"P&amp;LCONC-outputs";"AJD",#N/A,TRUE,"BSCONC-outputs";"AJD",#N/A,TRUE,"FSCONC-outputs"}</definedName>
    <definedName name="ㄷㅈㅇㅇㄴ" localSheetId="18" hidden="1">{"AJD",#N/A,TRUE,"Summary";"AJD",#N/A,TRUE,"CFCONC-outputs";"AJD",#N/A,TRUE,"P&amp;LCONC-outputs";"AJD",#N/A,TRUE,"BSCONC-outputs";"AJD",#N/A,TRUE,"FSCONC-outputs"}</definedName>
    <definedName name="ㄷㅈㅇㅇㄴ" localSheetId="25" hidden="1">{"AJD",#N/A,TRUE,"Summary";"AJD",#N/A,TRUE,"CFCONC-outputs";"AJD",#N/A,TRUE,"P&amp;LCONC-outputs";"AJD",#N/A,TRUE,"BSCONC-outputs";"AJD",#N/A,TRUE,"FSCONC-outputs"}</definedName>
    <definedName name="ㄷㅈㅇㅇㄴ" hidden="1">{"AJD",#N/A,TRUE,"Summary";"AJD",#N/A,TRUE,"CFCONC-outputs";"AJD",#N/A,TRUE,"P&amp;LCONC-outputs";"AJD",#N/A,TRUE,"BSCONC-outputs";"AJD",#N/A,TRUE,"FSCONC-outputs"}</definedName>
    <definedName name="ㄷㅍㅂ" localSheetId="24" hidden="1">{"'용역비'!$A$4:$C$8"}</definedName>
    <definedName name="ㄷㅍㅂ" localSheetId="18" hidden="1">{"'용역비'!$A$4:$C$8"}</definedName>
    <definedName name="ㄷㅍㅂ" localSheetId="25" hidden="1">{"'용역비'!$A$4:$C$8"}</definedName>
    <definedName name="ㄷㅍㅂ" hidden="1">{"'용역비'!$A$4:$C$8"}</definedName>
    <definedName name="다" localSheetId="24" hidden="1">{#N/A,#N/A,FALSE,"1.CRITERIA";#N/A,#N/A,FALSE,"2.IS";#N/A,#N/A,FALSE,"3.BS";#N/A,#N/A,FALSE,"4.PER PL";#N/A,#N/A,FALSE,"5.INVESTMENT";#N/A,#N/A,FALSE,"6.공문";#N/A,#N/A,FALSE,"7.netinvest"}</definedName>
    <definedName name="다" localSheetId="18" hidden="1">{#N/A,#N/A,FALSE,"1.CRITERIA";#N/A,#N/A,FALSE,"2.IS";#N/A,#N/A,FALSE,"3.BS";#N/A,#N/A,FALSE,"4.PER PL";#N/A,#N/A,FALSE,"5.INVESTMENT";#N/A,#N/A,FALSE,"6.공문";#N/A,#N/A,FALSE,"7.netinvest"}</definedName>
    <definedName name="다" localSheetId="25" hidden="1">{#N/A,#N/A,FALSE,"1.CRITERIA";#N/A,#N/A,FALSE,"2.IS";#N/A,#N/A,FALSE,"3.BS";#N/A,#N/A,FALSE,"4.PER PL";#N/A,#N/A,FALSE,"5.INVESTMENT";#N/A,#N/A,FALSE,"6.공문";#N/A,#N/A,FALSE,"7.netinvest"}</definedName>
    <definedName name="다" hidden="1">{#N/A,#N/A,FALSE,"1.CRITERIA";#N/A,#N/A,FALSE,"2.IS";#N/A,#N/A,FALSE,"3.BS";#N/A,#N/A,FALSE,"4.PER PL";#N/A,#N/A,FALSE,"5.INVESTMENT";#N/A,#N/A,FALSE,"6.공문";#N/A,#N/A,FALSE,"7.netinvest"}</definedName>
    <definedName name="다다" localSheetId="24" hidden="1">{#N/A,#N/A,FALSE,"단축1";#N/A,#N/A,FALSE,"단축2";#N/A,#N/A,FALSE,"단축3";#N/A,#N/A,FALSE,"장축";#N/A,#N/A,FALSE,"4WD"}</definedName>
    <definedName name="다다" localSheetId="18" hidden="1">{#N/A,#N/A,FALSE,"단축1";#N/A,#N/A,FALSE,"단축2";#N/A,#N/A,FALSE,"단축3";#N/A,#N/A,FALSE,"장축";#N/A,#N/A,FALSE,"4WD"}</definedName>
    <definedName name="다다" localSheetId="25" hidden="1">{#N/A,#N/A,FALSE,"단축1";#N/A,#N/A,FALSE,"단축2";#N/A,#N/A,FALSE,"단축3";#N/A,#N/A,FALSE,"장축";#N/A,#N/A,FALSE,"4WD"}</definedName>
    <definedName name="다다" hidden="1">{#N/A,#N/A,FALSE,"단축1";#N/A,#N/A,FALSE,"단축2";#N/A,#N/A,FALSE,"단축3";#N/A,#N/A,FALSE,"장축";#N/A,#N/A,FALSE,"4WD"}</definedName>
    <definedName name="다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다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다라"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다라" hidden="1">{#N/A,#N/A,FALSE,"손익표지";#N/A,#N/A,FALSE,"손익계산";#N/A,#N/A,FALSE,"일반관리비";#N/A,#N/A,FALSE,"영업외수익";#N/A,#N/A,FALSE,"영업외비용";#N/A,#N/A,FALSE,"매출액";#N/A,#N/A,FALSE,"요약손익";#N/A,#N/A,FALSE,"요약대차";#N/A,#N/A,FALSE,"매출채권현황";#N/A,#N/A,FALSE,"매출채권명세"}</definedName>
    <definedName name="다바" localSheetId="24" hidden="1">{#N/A,#N/A,FALSE,"1.CRITERIA";#N/A,#N/A,FALSE,"2.IS";#N/A,#N/A,FALSE,"3.BS";#N/A,#N/A,FALSE,"4.PER PL";#N/A,#N/A,FALSE,"5.INVESTMENT";#N/A,#N/A,FALSE,"6.공문";#N/A,#N/A,FALSE,"7.netinvest"}</definedName>
    <definedName name="다바" localSheetId="18" hidden="1">{#N/A,#N/A,FALSE,"1.CRITERIA";#N/A,#N/A,FALSE,"2.IS";#N/A,#N/A,FALSE,"3.BS";#N/A,#N/A,FALSE,"4.PER PL";#N/A,#N/A,FALSE,"5.INVESTMENT";#N/A,#N/A,FALSE,"6.공문";#N/A,#N/A,FALSE,"7.netinvest"}</definedName>
    <definedName name="다바" localSheetId="25" hidden="1">{#N/A,#N/A,FALSE,"1.CRITERIA";#N/A,#N/A,FALSE,"2.IS";#N/A,#N/A,FALSE,"3.BS";#N/A,#N/A,FALSE,"4.PER PL";#N/A,#N/A,FALSE,"5.INVESTMENT";#N/A,#N/A,FALSE,"6.공문";#N/A,#N/A,FALSE,"7.netinvest"}</definedName>
    <definedName name="다바" hidden="1">{#N/A,#N/A,FALSE,"1.CRITERIA";#N/A,#N/A,FALSE,"2.IS";#N/A,#N/A,FALSE,"3.BS";#N/A,#N/A,FALSE,"4.PER PL";#N/A,#N/A,FALSE,"5.INVESTMENT";#N/A,#N/A,FALSE,"6.공문";#N/A,#N/A,FALSE,"7.netinvest"}</definedName>
    <definedName name="多摩センター" localSheetId="24" hidden="1">{"ｹﾝﾄ（M)",#N/A,FALSE,"収支・日割";"ｹﾝﾄ（RD)",#N/A,FALSE,"収支・日割";"ｹﾝﾄ（PMC)",#N/A,FALSE,"収支・日割"}</definedName>
    <definedName name="多摩センター" localSheetId="18" hidden="1">{"ｹﾝﾄ（M)",#N/A,FALSE,"収支・日割";"ｹﾝﾄ（RD)",#N/A,FALSE,"収支・日割";"ｹﾝﾄ（PMC)",#N/A,FALSE,"収支・日割"}</definedName>
    <definedName name="多摩センター" localSheetId="25" hidden="1">{"ｹﾝﾄ（M)",#N/A,FALSE,"収支・日割";"ｹﾝﾄ（RD)",#N/A,FALSE,"収支・日割";"ｹﾝﾄ（PMC)",#N/A,FALSE,"収支・日割"}</definedName>
    <definedName name="多摩センター" hidden="1">{"ｹﾝﾄ（M)",#N/A,FALSE,"収支・日割";"ｹﾝﾄ（RD)",#N/A,FALSE,"収支・日割";"ｹﾝﾄ（PMC)",#N/A,FALSE,"収支・日割"}</definedName>
    <definedName name="단가기준" localSheetId="24" hidden="1">{#N/A,#N/A,TRUE,"Y생산";#N/A,#N/A,TRUE,"Y판매";#N/A,#N/A,TRUE,"Y총물량";#N/A,#N/A,TRUE,"Y능력";#N/A,#N/A,TRUE,"YKD"}</definedName>
    <definedName name="단가기준" localSheetId="18" hidden="1">{#N/A,#N/A,TRUE,"Y생산";#N/A,#N/A,TRUE,"Y판매";#N/A,#N/A,TRUE,"Y총물량";#N/A,#N/A,TRUE,"Y능력";#N/A,#N/A,TRUE,"YKD"}</definedName>
    <definedName name="단가기준" localSheetId="25" hidden="1">{#N/A,#N/A,TRUE,"Y생산";#N/A,#N/A,TRUE,"Y판매";#N/A,#N/A,TRUE,"Y총물량";#N/A,#N/A,TRUE,"Y능력";#N/A,#N/A,TRUE,"YKD"}</definedName>
    <definedName name="단가기준" hidden="1">{#N/A,#N/A,TRUE,"Y생산";#N/A,#N/A,TRUE,"Y판매";#N/A,#N/A,TRUE,"Y총물량";#N/A,#N/A,TRUE,"Y능력";#N/A,#N/A,TRUE,"YKD"}</definedName>
    <definedName name="단가기준_1" localSheetId="24" hidden="1">{#N/A,#N/A,TRUE,"Y생산";#N/A,#N/A,TRUE,"Y판매";#N/A,#N/A,TRUE,"Y총물량";#N/A,#N/A,TRUE,"Y능력";#N/A,#N/A,TRUE,"YKD"}</definedName>
    <definedName name="단가기준_1" localSheetId="18" hidden="1">{#N/A,#N/A,TRUE,"Y생산";#N/A,#N/A,TRUE,"Y판매";#N/A,#N/A,TRUE,"Y총물량";#N/A,#N/A,TRUE,"Y능력";#N/A,#N/A,TRUE,"YKD"}</definedName>
    <definedName name="단가기준_1" localSheetId="25" hidden="1">{#N/A,#N/A,TRUE,"Y생산";#N/A,#N/A,TRUE,"Y판매";#N/A,#N/A,TRUE,"Y총물량";#N/A,#N/A,TRUE,"Y능력";#N/A,#N/A,TRUE,"YKD"}</definedName>
    <definedName name="단가기준_1" hidden="1">{#N/A,#N/A,TRUE,"Y생산";#N/A,#N/A,TRUE,"Y판매";#N/A,#N/A,TRUE,"Y총물량";#N/A,#N/A,TRUE,"Y능력";#N/A,#N/A,TRUE,"YKD"}</definedName>
    <definedName name="단기" localSheetId="24" hidden="1">{#N/A,#N/A,TRUE,"Y생산";#N/A,#N/A,TRUE,"Y판매";#N/A,#N/A,TRUE,"Y총물량";#N/A,#N/A,TRUE,"Y능력";#N/A,#N/A,TRUE,"YKD"}</definedName>
    <definedName name="단기" localSheetId="18" hidden="1">{#N/A,#N/A,TRUE,"Y생산";#N/A,#N/A,TRUE,"Y판매";#N/A,#N/A,TRUE,"Y총물량";#N/A,#N/A,TRUE,"Y능력";#N/A,#N/A,TRUE,"YKD"}</definedName>
    <definedName name="단기" localSheetId="25" hidden="1">{#N/A,#N/A,TRUE,"Y생산";#N/A,#N/A,TRUE,"Y판매";#N/A,#N/A,TRUE,"Y총물량";#N/A,#N/A,TRUE,"Y능력";#N/A,#N/A,TRUE,"YKD"}</definedName>
    <definedName name="단기" hidden="1">{#N/A,#N/A,TRUE,"Y생산";#N/A,#N/A,TRUE,"Y판매";#N/A,#N/A,TRUE,"Y총물량";#N/A,#N/A,TRUE,"Y능력";#N/A,#N/A,TRUE,"YKD"}</definedName>
    <definedName name="단기_1" localSheetId="24" hidden="1">{#N/A,#N/A,TRUE,"Y생산";#N/A,#N/A,TRUE,"Y판매";#N/A,#N/A,TRUE,"Y총물량";#N/A,#N/A,TRUE,"Y능력";#N/A,#N/A,TRUE,"YKD"}</definedName>
    <definedName name="단기_1" localSheetId="18" hidden="1">{#N/A,#N/A,TRUE,"Y생산";#N/A,#N/A,TRUE,"Y판매";#N/A,#N/A,TRUE,"Y총물량";#N/A,#N/A,TRUE,"Y능력";#N/A,#N/A,TRUE,"YKD"}</definedName>
    <definedName name="단기_1" localSheetId="25" hidden="1">{#N/A,#N/A,TRUE,"Y생산";#N/A,#N/A,TRUE,"Y판매";#N/A,#N/A,TRUE,"Y총물량";#N/A,#N/A,TRUE,"Y능력";#N/A,#N/A,TRUE,"YKD"}</definedName>
    <definedName name="단기_1" hidden="1">{#N/A,#N/A,TRUE,"Y생산";#N/A,#N/A,TRUE,"Y판매";#N/A,#N/A,TRUE,"Y총물량";#N/A,#N/A,TRUE,"Y능력";#N/A,#N/A,TRUE,"YKD"}</definedName>
    <definedName name="대구" localSheetId="24" hidden="1">{#N/A,#N/A,TRUE,"대 차 대 조 표"}</definedName>
    <definedName name="대구" localSheetId="18" hidden="1">{#N/A,#N/A,TRUE,"대 차 대 조 표"}</definedName>
    <definedName name="대구" localSheetId="25" hidden="1">{#N/A,#N/A,TRUE,"대 차 대 조 표"}</definedName>
    <definedName name="대구" hidden="1">{#N/A,#N/A,TRUE,"대 차 대 조 표"}</definedName>
    <definedName name="대구_1" localSheetId="24" hidden="1">{#N/A,#N/A,TRUE,"대 차 대 조 표"}</definedName>
    <definedName name="대구_1" localSheetId="18" hidden="1">{#N/A,#N/A,TRUE,"대 차 대 조 표"}</definedName>
    <definedName name="대구_1" localSheetId="25" hidden="1">{#N/A,#N/A,TRUE,"대 차 대 조 표"}</definedName>
    <definedName name="대구_1" hidden="1">{#N/A,#N/A,TRUE,"대 차 대 조 표"}</definedName>
    <definedName name="대구200203빌딩별임차현황" localSheetId="24" hidden="1">{#N/A,#N/A,FALSE,"동부"}</definedName>
    <definedName name="대구200203빌딩별임차현황" localSheetId="18" hidden="1">{#N/A,#N/A,FALSE,"동부"}</definedName>
    <definedName name="대구200203빌딩별임차현황" localSheetId="25" hidden="1">{#N/A,#N/A,FALSE,"동부"}</definedName>
    <definedName name="대구200203빌딩별임차현황" hidden="1">{#N/A,#N/A,FALSE,"동부"}</definedName>
    <definedName name="대구200207" localSheetId="24" hidden="1">{#N/A,#N/A,FALSE,"동부"}</definedName>
    <definedName name="대구200207" localSheetId="18" hidden="1">{#N/A,#N/A,FALSE,"동부"}</definedName>
    <definedName name="대구200207" localSheetId="25" hidden="1">{#N/A,#N/A,FALSE,"동부"}</definedName>
    <definedName name="대구200207" hidden="1">{#N/A,#N/A,FALSE,"동부"}</definedName>
    <definedName name="대구공항"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대구공항"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대구공항"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대구공항"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대구대구" localSheetId="24" hidden="1">{#N/A,#N/A,FALSE,"동부"}</definedName>
    <definedName name="대구대구" localSheetId="18" hidden="1">{#N/A,#N/A,FALSE,"동부"}</definedName>
    <definedName name="대구대구" localSheetId="25" hidden="1">{#N/A,#N/A,FALSE,"동부"}</definedName>
    <definedName name="대구대구" hidden="1">{#N/A,#N/A,FALSE,"동부"}</definedName>
    <definedName name="대구임차" localSheetId="24" hidden="1">{#N/A,#N/A,FALSE,"동부"}</definedName>
    <definedName name="대구임차" localSheetId="18" hidden="1">{#N/A,#N/A,FALSE,"동부"}</definedName>
    <definedName name="대구임차" localSheetId="25" hidden="1">{#N/A,#N/A,FALSE,"동부"}</definedName>
    <definedName name="대구임차" hidden="1">{#N/A,#N/A,FALSE,"동부"}</definedName>
    <definedName name="대규모기업집단" localSheetId="24" hidden="1">{#N/A,#N/A,FALSE,"Aging Summary";#N/A,#N/A,FALSE,"Ratio Analysis";#N/A,#N/A,FALSE,"Test 120 Day Accts";#N/A,#N/A,FALSE,"Tickmarks"}</definedName>
    <definedName name="대규모기업집단" localSheetId="18" hidden="1">{#N/A,#N/A,FALSE,"Aging Summary";#N/A,#N/A,FALSE,"Ratio Analysis";#N/A,#N/A,FALSE,"Test 120 Day Accts";#N/A,#N/A,FALSE,"Tickmarks"}</definedName>
    <definedName name="대규모기업집단" localSheetId="25" hidden="1">{#N/A,#N/A,FALSE,"Aging Summary";#N/A,#N/A,FALSE,"Ratio Analysis";#N/A,#N/A,FALSE,"Test 120 Day Accts";#N/A,#N/A,FALSE,"Tickmarks"}</definedName>
    <definedName name="대규모기업집단" hidden="1">{#N/A,#N/A,FALSE,"Aging Summary";#N/A,#N/A,FALSE,"Ratio Analysis";#N/A,#N/A,FALSE,"Test 120 Day Accts";#N/A,#N/A,FALSE,"Tickmarks"}</definedName>
    <definedName name="대덕" localSheetId="24" hidden="1">{#N/A,#N/A,FALSE,"CCTV"}</definedName>
    <definedName name="대덕" localSheetId="18" hidden="1">{#N/A,#N/A,FALSE,"CCTV"}</definedName>
    <definedName name="대덕" localSheetId="25" hidden="1">{#N/A,#N/A,FALSE,"CCTV"}</definedName>
    <definedName name="대덕" hidden="1">{#N/A,#N/A,FALSE,"CCTV"}</definedName>
    <definedName name="대비" localSheetId="24" hidden="1">{#N/A,#N/A,FALSE,"CCTV"}</definedName>
    <definedName name="대비" localSheetId="18" hidden="1">{#N/A,#N/A,FALSE,"CCTV"}</definedName>
    <definedName name="대비" localSheetId="25" hidden="1">{#N/A,#N/A,FALSE,"CCTV"}</definedName>
    <definedName name="대비" hidden="1">{#N/A,#N/A,FALSE,"CCTV"}</definedName>
    <definedName name="대비표" localSheetId="24" hidden="1">{#N/A,#N/A,FALSE,"CAM-G7";#N/A,#N/A,FALSE,"SPL";#N/A,#N/A,FALSE,"butt-in G7";#N/A,#N/A,FALSE,"dia-in G7";#N/A,#N/A,FALSE,"추가-STA G7"}</definedName>
    <definedName name="대비표" localSheetId="18" hidden="1">{#N/A,#N/A,FALSE,"CAM-G7";#N/A,#N/A,FALSE,"SPL";#N/A,#N/A,FALSE,"butt-in G7";#N/A,#N/A,FALSE,"dia-in G7";#N/A,#N/A,FALSE,"추가-STA G7"}</definedName>
    <definedName name="대비표" localSheetId="25" hidden="1">{#N/A,#N/A,FALSE,"CAM-G7";#N/A,#N/A,FALSE,"SPL";#N/A,#N/A,FALSE,"butt-in G7";#N/A,#N/A,FALSE,"dia-in G7";#N/A,#N/A,FALSE,"추가-STA G7"}</definedName>
    <definedName name="대비표" hidden="1">{#N/A,#N/A,FALSE,"CAM-G7";#N/A,#N/A,FALSE,"SPL";#N/A,#N/A,FALSE,"butt-in G7";#N/A,#N/A,FALSE,"dia-in G7";#N/A,#N/A,FALSE,"추가-STA G7"}</definedName>
    <definedName name="대상" localSheetId="24" hidden="1">{#N/A,#N/A,FALSE,"2~8번"}</definedName>
    <definedName name="대상" localSheetId="18" hidden="1">{#N/A,#N/A,FALSE,"2~8번"}</definedName>
    <definedName name="대상" localSheetId="25" hidden="1">{#N/A,#N/A,FALSE,"2~8번"}</definedName>
    <definedName name="대상" hidden="1">{#N/A,#N/A,FALSE,"2~8번"}</definedName>
    <definedName name="대손충당금" localSheetId="24" hidden="1">{#N/A,#N/A,FALSE,"1.CRITERIA";#N/A,#N/A,FALSE,"2.IS";#N/A,#N/A,FALSE,"3.BS";#N/A,#N/A,FALSE,"4.PER PL";#N/A,#N/A,FALSE,"5.INVESTMENT";#N/A,#N/A,FALSE,"6.공문";#N/A,#N/A,FALSE,"7.netinvest"}</definedName>
    <definedName name="대손충당금" localSheetId="18" hidden="1">{#N/A,#N/A,FALSE,"1.CRITERIA";#N/A,#N/A,FALSE,"2.IS";#N/A,#N/A,FALSE,"3.BS";#N/A,#N/A,FALSE,"4.PER PL";#N/A,#N/A,FALSE,"5.INVESTMENT";#N/A,#N/A,FALSE,"6.공문";#N/A,#N/A,FALSE,"7.netinvest"}</definedName>
    <definedName name="대손충당금" localSheetId="25" hidden="1">{#N/A,#N/A,FALSE,"1.CRITERIA";#N/A,#N/A,FALSE,"2.IS";#N/A,#N/A,FALSE,"3.BS";#N/A,#N/A,FALSE,"4.PER PL";#N/A,#N/A,FALSE,"5.INVESTMENT";#N/A,#N/A,FALSE,"6.공문";#N/A,#N/A,FALSE,"7.netinvest"}</definedName>
    <definedName name="대손충당금" hidden="1">{#N/A,#N/A,FALSE,"1.CRITERIA";#N/A,#N/A,FALSE,"2.IS";#N/A,#N/A,FALSE,"3.BS";#N/A,#N/A,FALSE,"4.PER PL";#N/A,#N/A,FALSE,"5.INVESTMENT";#N/A,#N/A,FALSE,"6.공문";#N/A,#N/A,FALSE,"7.netinvest"}</definedName>
    <definedName name="대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대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대일"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대일" hidden="1">{#N/A,#N/A,FALSE,"손익표지";#N/A,#N/A,FALSE,"손익계산";#N/A,#N/A,FALSE,"일반관리비";#N/A,#N/A,FALSE,"영업외수익";#N/A,#N/A,FALSE,"영업외비용";#N/A,#N/A,FALSE,"매출액";#N/A,#N/A,FALSE,"요약손익";#N/A,#N/A,FALSE,"요약대차";#N/A,#N/A,FALSE,"매출채권현황";#N/A,#N/A,FALSE,"매출채권명세"}</definedName>
    <definedName name="대일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대일1"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대일1"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대일1" hidden="1">{#N/A,#N/A,FALSE,"손익표지";#N/A,#N/A,FALSE,"손익계산";#N/A,#N/A,FALSE,"일반관리비";#N/A,#N/A,FALSE,"영업외수익";#N/A,#N/A,FALSE,"영업외비용";#N/A,#N/A,FALSE,"매출액";#N/A,#N/A,FALSE,"요약손익";#N/A,#N/A,FALSE,"요약대차";#N/A,#N/A,FALSE,"매출채권현황";#N/A,#N/A,FALSE,"매출채권명세"}</definedName>
    <definedName name="대조"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대조"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대조"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대조" hidden="1">{#N/A,#N/A,FALSE,"손익표지";#N/A,#N/A,FALSE,"손익계산";#N/A,#N/A,FALSE,"일반관리비";#N/A,#N/A,FALSE,"영업외수익";#N/A,#N/A,FALSE,"영업외비용";#N/A,#N/A,FALSE,"매출액";#N/A,#N/A,FALSE,"요약손익";#N/A,#N/A,FALSE,"요약대차";#N/A,#N/A,FALSE,"매출채권현황";#N/A,#N/A,FALSE,"매출채권명세"}</definedName>
    <definedName name="대차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대차1"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대차1"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대차1" hidden="1">{#N/A,#N/A,FALSE,"손익표지";#N/A,#N/A,FALSE,"손익계산";#N/A,#N/A,FALSE,"일반관리비";#N/A,#N/A,FALSE,"영업외수익";#N/A,#N/A,FALSE,"영업외비용";#N/A,#N/A,FALSE,"매출액";#N/A,#N/A,FALSE,"요약손익";#N/A,#N/A,FALSE,"요약대차";#N/A,#N/A,FALSE,"매출채권현황";#N/A,#N/A,FALSE,"매출채권명세"}</definedName>
    <definedName name="대차123"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 localSheetId="25"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_1"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_1" localSheetId="25"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대조"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대차대조"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대차대조"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대차대조" hidden="1">{#N/A,#N/A,FALSE,"손익표지";#N/A,#N/A,FALSE,"손익계산";#N/A,#N/A,FALSE,"일반관리비";#N/A,#N/A,FALSE,"영업외수익";#N/A,#N/A,FALSE,"영업외비용";#N/A,#N/A,FALSE,"매출액";#N/A,#N/A,FALSE,"요약손익";#N/A,#N/A,FALSE,"요약대차";#N/A,#N/A,FALSE,"매출채권현황";#N/A,#N/A,FALSE,"매출채권명세"}</definedName>
    <definedName name="대차대조표.." hidden="1">#N/A</definedName>
    <definedName name="대흥" localSheetId="24" hidden="1">{#N/A,#N/A,TRUE,"대 차 대 조 표"}</definedName>
    <definedName name="대흥" localSheetId="18" hidden="1">{#N/A,#N/A,TRUE,"대 차 대 조 표"}</definedName>
    <definedName name="대흥" localSheetId="25" hidden="1">{#N/A,#N/A,TRUE,"대 차 대 조 표"}</definedName>
    <definedName name="대흥" hidden="1">{#N/A,#N/A,TRUE,"대 차 대 조 표"}</definedName>
    <definedName name="대흥_1" localSheetId="24" hidden="1">{#N/A,#N/A,TRUE,"대 차 대 조 표"}</definedName>
    <definedName name="대흥_1" localSheetId="18" hidden="1">{#N/A,#N/A,TRUE,"대 차 대 조 표"}</definedName>
    <definedName name="대흥_1" localSheetId="25" hidden="1">{#N/A,#N/A,TRUE,"대 차 대 조 표"}</definedName>
    <definedName name="대흥_1" hidden="1">{#N/A,#N/A,TRUE,"대 차 대 조 표"}</definedName>
    <definedName name="도" localSheetId="24" hidden="1">{#N/A,#N/A,FALSE,"1.CRITERIA";#N/A,#N/A,FALSE,"2.IS";#N/A,#N/A,FALSE,"3.BS";#N/A,#N/A,FALSE,"4.PER PL";#N/A,#N/A,FALSE,"5.INVESTMENT";#N/A,#N/A,FALSE,"6.공문";#N/A,#N/A,FALSE,"7.netinvest"}</definedName>
    <definedName name="도" localSheetId="18" hidden="1">{#N/A,#N/A,FALSE,"1.CRITERIA";#N/A,#N/A,FALSE,"2.IS";#N/A,#N/A,FALSE,"3.BS";#N/A,#N/A,FALSE,"4.PER PL";#N/A,#N/A,FALSE,"5.INVESTMENT";#N/A,#N/A,FALSE,"6.공문";#N/A,#N/A,FALSE,"7.netinvest"}</definedName>
    <definedName name="도" localSheetId="25" hidden="1">{#N/A,#N/A,FALSE,"1.CRITERIA";#N/A,#N/A,FALSE,"2.IS";#N/A,#N/A,FALSE,"3.BS";#N/A,#N/A,FALSE,"4.PER PL";#N/A,#N/A,FALSE,"5.INVESTMENT";#N/A,#N/A,FALSE,"6.공문";#N/A,#N/A,FALSE,"7.netinvest"}</definedName>
    <definedName name="도" hidden="1">{#N/A,#N/A,FALSE,"1.CRITERIA";#N/A,#N/A,FALSE,"2.IS";#N/A,#N/A,FALSE,"3.BS";#N/A,#N/A,FALSE,"4.PER PL";#N/A,#N/A,FALSE,"5.INVESTMENT";#N/A,#N/A,FALSE,"6.공문";#N/A,#N/A,FALSE,"7.netinvest"}</definedName>
    <definedName name="도공" localSheetId="24" hidden="1">{"'7'!$B$15:$D$32"}</definedName>
    <definedName name="도공" localSheetId="18" hidden="1">{"'7'!$B$15:$D$32"}</definedName>
    <definedName name="도공" localSheetId="25" hidden="1">{"'7'!$B$15:$D$32"}</definedName>
    <definedName name="도공" hidden="1">{"'7'!$B$15:$D$32"}</definedName>
    <definedName name="도공1" localSheetId="24" hidden="1">{"'7'!$B$15:$D$32"}</definedName>
    <definedName name="도공1" localSheetId="18" hidden="1">{"'7'!$B$15:$D$32"}</definedName>
    <definedName name="도공1" localSheetId="25" hidden="1">{"'7'!$B$15:$D$32"}</definedName>
    <definedName name="도공1" hidden="1">{"'7'!$B$15:$D$32"}</definedName>
    <definedName name="도급4"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44"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44"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44"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4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오" localSheetId="24" hidden="1">{#N/A,#N/A,FALSE,"포장단가"}</definedName>
    <definedName name="도오" localSheetId="18" hidden="1">{#N/A,#N/A,FALSE,"포장단가"}</definedName>
    <definedName name="도오" localSheetId="25" hidden="1">{#N/A,#N/A,FALSE,"포장단가"}</definedName>
    <definedName name="도오" hidden="1">{#N/A,#N/A,FALSE,"포장단가"}</definedName>
    <definedName name="도장" localSheetId="24" hidden="1">{#N/A,#N/A,FALSE,"CAM-G7";#N/A,#N/A,FALSE,"SPL";#N/A,#N/A,FALSE,"butt-in G7";#N/A,#N/A,FALSE,"dia-in G7";#N/A,#N/A,FALSE,"추가-STA G7"}</definedName>
    <definedName name="도장" localSheetId="18" hidden="1">{#N/A,#N/A,FALSE,"CAM-G7";#N/A,#N/A,FALSE,"SPL";#N/A,#N/A,FALSE,"butt-in G7";#N/A,#N/A,FALSE,"dia-in G7";#N/A,#N/A,FALSE,"추가-STA G7"}</definedName>
    <definedName name="도장" localSheetId="25" hidden="1">{#N/A,#N/A,FALSE,"CAM-G7";#N/A,#N/A,FALSE,"SPL";#N/A,#N/A,FALSE,"butt-in G7";#N/A,#N/A,FALSE,"dia-in G7";#N/A,#N/A,FALSE,"추가-STA G7"}</definedName>
    <definedName name="도장" hidden="1">{#N/A,#N/A,FALSE,"CAM-G7";#N/A,#N/A,FALSE,"SPL";#N/A,#N/A,FALSE,"butt-in G7";#N/A,#N/A,FALSE,"dia-in G7";#N/A,#N/A,FALSE,"추가-STA G7"}</definedName>
    <definedName name="도장상관D" localSheetId="24" hidden="1">{#N/A,#N/A,FALSE,"CAM-G7";#N/A,#N/A,FALSE,"SPL";#N/A,#N/A,FALSE,"butt-in G7";#N/A,#N/A,FALSE,"dia-in G7";#N/A,#N/A,FALSE,"추가-STA G7"}</definedName>
    <definedName name="도장상관D" localSheetId="18" hidden="1">{#N/A,#N/A,FALSE,"CAM-G7";#N/A,#N/A,FALSE,"SPL";#N/A,#N/A,FALSE,"butt-in G7";#N/A,#N/A,FALSE,"dia-in G7";#N/A,#N/A,FALSE,"추가-STA G7"}</definedName>
    <definedName name="도장상관D" localSheetId="25" hidden="1">{#N/A,#N/A,FALSE,"CAM-G7";#N/A,#N/A,FALSE,"SPL";#N/A,#N/A,FALSE,"butt-in G7";#N/A,#N/A,FALSE,"dia-in G7";#N/A,#N/A,FALSE,"추가-STA G7"}</definedName>
    <definedName name="도장상관D" hidden="1">{#N/A,#N/A,FALSE,"CAM-G7";#N/A,#N/A,FALSE,"SPL";#N/A,#N/A,FALSE,"butt-in G7";#N/A,#N/A,FALSE,"dia-in G7";#N/A,#N/A,FALSE,"추가-STA G7"}</definedName>
    <definedName name="도장장호원4" localSheetId="24" hidden="1">{#N/A,#N/A,FALSE,"CAM-G7";#N/A,#N/A,FALSE,"SPL";#N/A,#N/A,FALSE,"butt-in G7";#N/A,#N/A,FALSE,"dia-in G7";#N/A,#N/A,FALSE,"추가-STA G7"}</definedName>
    <definedName name="도장장호원4" localSheetId="18" hidden="1">{#N/A,#N/A,FALSE,"CAM-G7";#N/A,#N/A,FALSE,"SPL";#N/A,#N/A,FALSE,"butt-in G7";#N/A,#N/A,FALSE,"dia-in G7";#N/A,#N/A,FALSE,"추가-STA G7"}</definedName>
    <definedName name="도장장호원4" localSheetId="25" hidden="1">{#N/A,#N/A,FALSE,"CAM-G7";#N/A,#N/A,FALSE,"SPL";#N/A,#N/A,FALSE,"butt-in G7";#N/A,#N/A,FALSE,"dia-in G7";#N/A,#N/A,FALSE,"추가-STA G7"}</definedName>
    <definedName name="도장장호원4" hidden="1">{#N/A,#N/A,FALSE,"CAM-G7";#N/A,#N/A,FALSE,"SPL";#N/A,#N/A,FALSE,"butt-in G7";#N/A,#N/A,FALSE,"dia-in G7";#N/A,#N/A,FALSE,"추가-STA G7"}</definedName>
    <definedName name="도장장호원5" localSheetId="24" hidden="1">{#N/A,#N/A,FALSE,"CAM-G7";#N/A,#N/A,FALSE,"SPL";#N/A,#N/A,FALSE,"butt-in G7";#N/A,#N/A,FALSE,"dia-in G7";#N/A,#N/A,FALSE,"추가-STA G7"}</definedName>
    <definedName name="도장장호원5" localSheetId="18" hidden="1">{#N/A,#N/A,FALSE,"CAM-G7";#N/A,#N/A,FALSE,"SPL";#N/A,#N/A,FALSE,"butt-in G7";#N/A,#N/A,FALSE,"dia-in G7";#N/A,#N/A,FALSE,"추가-STA G7"}</definedName>
    <definedName name="도장장호원5" localSheetId="25" hidden="1">{#N/A,#N/A,FALSE,"CAM-G7";#N/A,#N/A,FALSE,"SPL";#N/A,#N/A,FALSE,"butt-in G7";#N/A,#N/A,FALSE,"dia-in G7";#N/A,#N/A,FALSE,"추가-STA G7"}</definedName>
    <definedName name="도장장호원5" hidden="1">{#N/A,#N/A,FALSE,"CAM-G7";#N/A,#N/A,FALSE,"SPL";#N/A,#N/A,FALSE,"butt-in G7";#N/A,#N/A,FALSE,"dia-in G7";#N/A,#N/A,FALSE,"추가-STA G7"}</definedName>
    <definedName name="독립기초" localSheetId="24" hidden="1">{#N/A,#N/A,FALSE,"기안지";#N/A,#N/A,FALSE,"통신지"}</definedName>
    <definedName name="독립기초" localSheetId="18" hidden="1">{#N/A,#N/A,FALSE,"기안지";#N/A,#N/A,FALSE,"통신지"}</definedName>
    <definedName name="독립기초" localSheetId="25" hidden="1">{#N/A,#N/A,FALSE,"기안지";#N/A,#N/A,FALSE,"통신지"}</definedName>
    <definedName name="독립기초" hidden="1">{#N/A,#N/A,FALSE,"기안지";#N/A,#N/A,FALSE,"통신지"}</definedName>
    <definedName name="독립기초토공수량산출" localSheetId="24" hidden="1">{#N/A,#N/A,FALSE,"기안지";#N/A,#N/A,FALSE,"통신지"}</definedName>
    <definedName name="독립기초토공수량산출" localSheetId="18" hidden="1">{#N/A,#N/A,FALSE,"기안지";#N/A,#N/A,FALSE,"통신지"}</definedName>
    <definedName name="독립기초토공수량산출" localSheetId="25" hidden="1">{#N/A,#N/A,FALSE,"기안지";#N/A,#N/A,FALSE,"통신지"}</definedName>
    <definedName name="독립기초토공수량산출" hidden="1">{#N/A,#N/A,FALSE,"기안지";#N/A,#N/A,FALSE,"통신지"}</definedName>
    <definedName name="돈다123"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돈다123"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돈다123"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돈다123" hidden="1">{#N/A,#N/A,FALSE,"손익표지";#N/A,#N/A,FALSE,"손익계산";#N/A,#N/A,FALSE,"일반관리비";#N/A,#N/A,FALSE,"영업외수익";#N/A,#N/A,FALSE,"영업외비용";#N/A,#N/A,FALSE,"매출액";#N/A,#N/A,FALSE,"요약손익";#N/A,#N/A,FALSE,"요약대차";#N/A,#N/A,FALSE,"매출채권현황";#N/A,#N/A,FALSE,"매출채권명세"}</definedName>
    <definedName name="동" localSheetId="24" hidden="1">{#N/A,#N/A,FALSE,"Aging Summary";#N/A,#N/A,FALSE,"Ratio Analysis";#N/A,#N/A,FALSE,"Test 120 Day Accts";#N/A,#N/A,FALSE,"Tickmarks"}</definedName>
    <definedName name="동" localSheetId="18" hidden="1">{#N/A,#N/A,FALSE,"Aging Summary";#N/A,#N/A,FALSE,"Ratio Analysis";#N/A,#N/A,FALSE,"Test 120 Day Accts";#N/A,#N/A,FALSE,"Tickmarks"}</definedName>
    <definedName name="동" localSheetId="25" hidden="1">{#N/A,#N/A,FALSE,"Aging Summary";#N/A,#N/A,FALSE,"Ratio Analysis";#N/A,#N/A,FALSE,"Test 120 Day Accts";#N/A,#N/A,FALSE,"Tickmarks"}</definedName>
    <definedName name="동" hidden="1">{#N/A,#N/A,FALSE,"Aging Summary";#N/A,#N/A,FALSE,"Ratio Analysis";#N/A,#N/A,FALSE,"Test 120 Day Accts";#N/A,#N/A,FALSE,"Tickmarks"}</definedName>
    <definedName name="동결2" localSheetId="24" hidden="1">{#N/A,#N/A,FALSE,"동부"}</definedName>
    <definedName name="동결2" localSheetId="18" hidden="1">{#N/A,#N/A,FALSE,"동부"}</definedName>
    <definedName name="동결2" localSheetId="25" hidden="1">{#N/A,#N/A,FALSE,"동부"}</definedName>
    <definedName name="동결2" hidden="1">{#N/A,#N/A,FALSE,"동부"}</definedName>
    <definedName name="동양" localSheetId="24" hidden="1">{#N/A,#N/A,FALSE,"CCTV"}</definedName>
    <definedName name="동양" localSheetId="18" hidden="1">{#N/A,#N/A,FALSE,"CCTV"}</definedName>
    <definedName name="동양" localSheetId="25" hidden="1">{#N/A,#N/A,FALSE,"CCTV"}</definedName>
    <definedName name="동양" hidden="1">{#N/A,#N/A,FALSE,"CCTV"}</definedName>
    <definedName name="동은"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동은"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동은"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동은"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동준" localSheetId="24" hidden="1">{"'Firr(선)'!$AS$1:$AY$62","'Firr(사)'!$AS$1:$AY$62","'Firr(회)'!$AS$1:$AY$62","'Firr(선)'!$L$1:$V$62","'Firr(사)'!$L$1:$V$62","'Firr(회)'!$L$1:$V$62"}</definedName>
    <definedName name="동준" localSheetId="18" hidden="1">{"'Firr(선)'!$AS$1:$AY$62","'Firr(사)'!$AS$1:$AY$62","'Firr(회)'!$AS$1:$AY$62","'Firr(선)'!$L$1:$V$62","'Firr(사)'!$L$1:$V$62","'Firr(회)'!$L$1:$V$62"}</definedName>
    <definedName name="동준" localSheetId="25" hidden="1">{"'Firr(선)'!$AS$1:$AY$62","'Firr(사)'!$AS$1:$AY$62","'Firr(회)'!$AS$1:$AY$62","'Firr(선)'!$L$1:$V$62","'Firr(사)'!$L$1:$V$62","'Firr(회)'!$L$1:$V$62"}</definedName>
    <definedName name="동준" hidden="1">{"'Firr(선)'!$AS$1:$AY$62","'Firr(사)'!$AS$1:$AY$62","'Firr(회)'!$AS$1:$AY$62","'Firr(선)'!$L$1:$V$62","'Firr(사)'!$L$1:$V$62","'Firr(회)'!$L$1:$V$62"}</definedName>
    <definedName name="돠" localSheetId="24" hidden="1">{#N/A,#N/A,FALSE,"1.CRITERIA";#N/A,#N/A,FALSE,"2.IS";#N/A,#N/A,FALSE,"3.BS";#N/A,#N/A,FALSE,"4.PER PL";#N/A,#N/A,FALSE,"5.INVESTMENT";#N/A,#N/A,FALSE,"6.공문";#N/A,#N/A,FALSE,"7.netinvest"}</definedName>
    <definedName name="돠" localSheetId="18" hidden="1">{#N/A,#N/A,FALSE,"1.CRITERIA";#N/A,#N/A,FALSE,"2.IS";#N/A,#N/A,FALSE,"3.BS";#N/A,#N/A,FALSE,"4.PER PL";#N/A,#N/A,FALSE,"5.INVESTMENT";#N/A,#N/A,FALSE,"6.공문";#N/A,#N/A,FALSE,"7.netinvest"}</definedName>
    <definedName name="돠" localSheetId="25" hidden="1">{#N/A,#N/A,FALSE,"1.CRITERIA";#N/A,#N/A,FALSE,"2.IS";#N/A,#N/A,FALSE,"3.BS";#N/A,#N/A,FALSE,"4.PER PL";#N/A,#N/A,FALSE,"5.INVESTMENT";#N/A,#N/A,FALSE,"6.공문";#N/A,#N/A,FALSE,"7.netinvest"}</definedName>
    <definedName name="돠" hidden="1">{#N/A,#N/A,FALSE,"1.CRITERIA";#N/A,#N/A,FALSE,"2.IS";#N/A,#N/A,FALSE,"3.BS";#N/A,#N/A,FALSE,"4.PER PL";#N/A,#N/A,FALSE,"5.INVESTMENT";#N/A,#N/A,FALSE,"6.공문";#N/A,#N/A,FALSE,"7.netinvest"}</definedName>
    <definedName name="돼지" localSheetId="24" hidden="1">{#N/A,#N/A,TRUE,"대 차 대 조 표"}</definedName>
    <definedName name="돼지" localSheetId="18" hidden="1">{#N/A,#N/A,TRUE,"대 차 대 조 표"}</definedName>
    <definedName name="돼지" localSheetId="25" hidden="1">{#N/A,#N/A,TRUE,"대 차 대 조 표"}</definedName>
    <definedName name="돼지" hidden="1">{#N/A,#N/A,TRUE,"대 차 대 조 표"}</definedName>
    <definedName name="돼지_1" localSheetId="24" hidden="1">{#N/A,#N/A,TRUE,"대 차 대 조 표"}</definedName>
    <definedName name="돼지_1" localSheetId="18" hidden="1">{#N/A,#N/A,TRUE,"대 차 대 조 표"}</definedName>
    <definedName name="돼지_1" localSheetId="25" hidden="1">{#N/A,#N/A,TRUE,"대 차 대 조 표"}</definedName>
    <definedName name="돼지_1" hidden="1">{#N/A,#N/A,TRUE,"대 차 대 조 표"}</definedName>
    <definedName name="디" localSheetId="24" hidden="1">{#N/A,#N/A,FALSE,"1.CRITERIA";#N/A,#N/A,FALSE,"2.IS";#N/A,#N/A,FALSE,"3.BS";#N/A,#N/A,FALSE,"4.PER PL";#N/A,#N/A,FALSE,"5.INVESTMENT";#N/A,#N/A,FALSE,"6.공문";#N/A,#N/A,FALSE,"7.netinvest"}</definedName>
    <definedName name="디" localSheetId="18" hidden="1">{#N/A,#N/A,FALSE,"1.CRITERIA";#N/A,#N/A,FALSE,"2.IS";#N/A,#N/A,FALSE,"3.BS";#N/A,#N/A,FALSE,"4.PER PL";#N/A,#N/A,FALSE,"5.INVESTMENT";#N/A,#N/A,FALSE,"6.공문";#N/A,#N/A,FALSE,"7.netinvest"}</definedName>
    <definedName name="디" localSheetId="25" hidden="1">{#N/A,#N/A,FALSE,"1.CRITERIA";#N/A,#N/A,FALSE,"2.IS";#N/A,#N/A,FALSE,"3.BS";#N/A,#N/A,FALSE,"4.PER PL";#N/A,#N/A,FALSE,"5.INVESTMENT";#N/A,#N/A,FALSE,"6.공문";#N/A,#N/A,FALSE,"7.netinvest"}</definedName>
    <definedName name="디" hidden="1">{#N/A,#N/A,FALSE,"1.CRITERIA";#N/A,#N/A,FALSE,"2.IS";#N/A,#N/A,FALSE,"3.BS";#N/A,#N/A,FALSE,"4.PER PL";#N/A,#N/A,FALSE,"5.INVESTMENT";#N/A,#N/A,FALSE,"6.공문";#N/A,#N/A,FALSE,"7.netinvest"}</definedName>
    <definedName name="디비" localSheetId="24" hidden="1">{#N/A,#N/A,FALSE,"동부"}</definedName>
    <definedName name="디비" localSheetId="18" hidden="1">{#N/A,#N/A,FALSE,"동부"}</definedName>
    <definedName name="디비" localSheetId="25" hidden="1">{#N/A,#N/A,FALSE,"동부"}</definedName>
    <definedName name="디비" hidden="1">{#N/A,#N/A,FALSE,"동부"}</definedName>
    <definedName name="딩" localSheetId="24" hidden="1">{#N/A,#N/A,FALSE,"동부"}</definedName>
    <definedName name="딩" localSheetId="18" hidden="1">{#N/A,#N/A,FALSE,"동부"}</definedName>
    <definedName name="딩" localSheetId="25" hidden="1">{#N/A,#N/A,FALSE,"동부"}</definedName>
    <definedName name="딩" hidden="1">{#N/A,#N/A,FALSE,"동부"}</definedName>
    <definedName name="ㄹ" localSheetId="24" hidden="1">{"AJD",#N/A,TRUE,"Summary";"AJD",#N/A,TRUE,"CFCONC-outputs";"AJD",#N/A,TRUE,"P&amp;LCONC-outputs";"AJD",#N/A,TRUE,"BSCONC-outputs";"AJD",#N/A,TRUE,"FSCONC-outputs"}</definedName>
    <definedName name="ㄹ" localSheetId="18" hidden="1">{"AJD",#N/A,TRUE,"Summary";"AJD",#N/A,TRUE,"CFCONC-outputs";"AJD",#N/A,TRUE,"P&amp;LCONC-outputs";"AJD",#N/A,TRUE,"BSCONC-outputs";"AJD",#N/A,TRUE,"FSCONC-outputs"}</definedName>
    <definedName name="ㄹ" localSheetId="25" hidden="1">{"AJD",#N/A,TRUE,"Summary";"AJD",#N/A,TRUE,"CFCONC-outputs";"AJD",#N/A,TRUE,"P&amp;LCONC-outputs";"AJD",#N/A,TRUE,"BSCONC-outputs";"AJD",#N/A,TRUE,"FSCONC-outputs"}</definedName>
    <definedName name="ㄹ" hidden="1">{"AJD",#N/A,TRUE,"Summary";"AJD",#N/A,TRUE,"CFCONC-outputs";"AJD",#N/A,TRUE,"P&amp;LCONC-outputs";"AJD",#N/A,TRUE,"BSCONC-outputs";"AJD",#N/A,TRUE,"FSCONC-outputs"}</definedName>
    <definedName name="ㄹㄴㅁㄹㅇㄴㄹ" localSheetId="24" hidden="1">{#N/A,#N/A,FALSE,"동부"}</definedName>
    <definedName name="ㄹㄴㅁㄹㅇㄴㄹ" localSheetId="18" hidden="1">{#N/A,#N/A,FALSE,"동부"}</definedName>
    <definedName name="ㄹㄴㅁㄹㅇㄴㄹ" localSheetId="25" hidden="1">{#N/A,#N/A,FALSE,"동부"}</definedName>
    <definedName name="ㄹㄴㅁㄹㅇㄴㄹ" hidden="1">{#N/A,#N/A,FALSE,"동부"}</definedName>
    <definedName name="ㄹㄴㅇ" localSheetId="24" hidden="1">{#N/A,#N/A,FALSE,"동부"}</definedName>
    <definedName name="ㄹㄴㅇ" localSheetId="18" hidden="1">{#N/A,#N/A,FALSE,"동부"}</definedName>
    <definedName name="ㄹㄴㅇ" localSheetId="25" hidden="1">{#N/A,#N/A,FALSE,"동부"}</definedName>
    <definedName name="ㄹㄴㅇ" hidden="1">{#N/A,#N/A,FALSE,"동부"}</definedName>
    <definedName name="ㄹㄴㅇㄹ" localSheetId="24"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ㄹㄴㅇㄹ" localSheetId="18"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ㄹㄴㅇㄹ" localSheetId="25"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ㄹㄴㅇㄹ"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ㄹㄴㅇㄹㄴㅇㄹㄴㄱㄴㅇ" localSheetId="24" hidden="1">{#N/A,#N/A,FALSE,"지침";#N/A,#N/A,FALSE,"환경분석";#N/A,#N/A,FALSE,"Sheet16"}</definedName>
    <definedName name="ㄹㄴㅇㄹㄴㅇㄹㄴㄱㄴㅇ" localSheetId="18" hidden="1">{#N/A,#N/A,FALSE,"지침";#N/A,#N/A,FALSE,"환경분석";#N/A,#N/A,FALSE,"Sheet16"}</definedName>
    <definedName name="ㄹㄴㅇㄹㄴㅇㄹㄴㄱㄴㅇ" localSheetId="25" hidden="1">{#N/A,#N/A,FALSE,"지침";#N/A,#N/A,FALSE,"환경분석";#N/A,#N/A,FALSE,"Sheet16"}</definedName>
    <definedName name="ㄹㄴㅇㄹㄴㅇㄹㄴㄱㄴㅇ" hidden="1">{#N/A,#N/A,FALSE,"지침";#N/A,#N/A,FALSE,"환경분석";#N/A,#N/A,FALSE,"Sheet16"}</definedName>
    <definedName name="ㄹㄷ" localSheetId="24" hidden="1">{#N/A,#N/A,FALSE,"동부"}</definedName>
    <definedName name="ㄹㄷ" localSheetId="18" hidden="1">{#N/A,#N/A,FALSE,"동부"}</definedName>
    <definedName name="ㄹㄷ" localSheetId="25" hidden="1">{#N/A,#N/A,FALSE,"동부"}</definedName>
    <definedName name="ㄹㄷ" hidden="1">{#N/A,#N/A,FALSE,"동부"}</definedName>
    <definedName name="ㄹㄷㄴㄹㄴ" localSheetId="24" hidden="1">{#N/A,#N/A,FALSE,"동부"}</definedName>
    <definedName name="ㄹㄷㄴㄹㄴ" localSheetId="18" hidden="1">{#N/A,#N/A,FALSE,"동부"}</definedName>
    <definedName name="ㄹㄷㄴㄹㄴ" localSheetId="25" hidden="1">{#N/A,#N/A,FALSE,"동부"}</definedName>
    <definedName name="ㄹㄷㄴㄹㄴ" hidden="1">{#N/A,#N/A,FALSE,"동부"}</definedName>
    <definedName name="ㄹㄹ"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ㄷㄹ" localSheetId="24" hidden="1">{#N/A,#N/A,TRUE,"대 차 대 조 표"}</definedName>
    <definedName name="ㄹㄹㄷㄹ" localSheetId="18" hidden="1">{#N/A,#N/A,TRUE,"대 차 대 조 표"}</definedName>
    <definedName name="ㄹㄹㄷㄹ" localSheetId="25" hidden="1">{#N/A,#N/A,TRUE,"대 차 대 조 표"}</definedName>
    <definedName name="ㄹㄹㄷㄹ" hidden="1">{#N/A,#N/A,TRUE,"대 차 대 조 표"}</definedName>
    <definedName name="ㄹㄹㄷㄹ_1" localSheetId="24" hidden="1">{#N/A,#N/A,TRUE,"대 차 대 조 표"}</definedName>
    <definedName name="ㄹㄹㄷㄹ_1" localSheetId="18" hidden="1">{#N/A,#N/A,TRUE,"대 차 대 조 표"}</definedName>
    <definedName name="ㄹㄹㄷㄹ_1" localSheetId="25" hidden="1">{#N/A,#N/A,TRUE,"대 차 대 조 표"}</definedName>
    <definedName name="ㄹㄹㄷㄹ_1" hidden="1">{#N/A,#N/A,TRUE,"대 차 대 조 표"}</definedName>
    <definedName name="ㄹㄹㄹㄹ" localSheetId="24" hidden="1">{"'Firr(선)'!$AS$1:$AY$62","'Firr(사)'!$AS$1:$AY$62","'Firr(회)'!$AS$1:$AY$62","'Firr(선)'!$L$1:$V$62","'Firr(사)'!$L$1:$V$62","'Firr(회)'!$L$1:$V$62"}</definedName>
    <definedName name="ㄹㄹㄹㄹ" localSheetId="18" hidden="1">{"'Firr(선)'!$AS$1:$AY$62","'Firr(사)'!$AS$1:$AY$62","'Firr(회)'!$AS$1:$AY$62","'Firr(선)'!$L$1:$V$62","'Firr(사)'!$L$1:$V$62","'Firr(회)'!$L$1:$V$62"}</definedName>
    <definedName name="ㄹㄹㄹㄹ" localSheetId="25" hidden="1">{"'Firr(선)'!$AS$1:$AY$62","'Firr(사)'!$AS$1:$AY$62","'Firr(회)'!$AS$1:$AY$62","'Firr(선)'!$L$1:$V$62","'Firr(사)'!$L$1:$V$62","'Firr(회)'!$L$1:$V$62"}</definedName>
    <definedName name="ㄹㄹㄹㄹ" hidden="1">{"'Firr(선)'!$AS$1:$AY$62","'Firr(사)'!$AS$1:$AY$62","'Firr(회)'!$AS$1:$AY$62","'Firr(선)'!$L$1:$V$62","'Firr(사)'!$L$1:$V$62","'Firr(회)'!$L$1:$V$62"}</definedName>
    <definedName name="ㄹㄹㄹㄹㄹㄹㄹㄹㄹㄹ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ㄹ" hidden="1">{#N/A,#N/A,FALSE,"손익표지";#N/A,#N/A,FALSE,"손익계산";#N/A,#N/A,FALSE,"일반관리비";#N/A,#N/A,FALSE,"영업외수익";#N/A,#N/A,FALSE,"영업외비용";#N/A,#N/A,FALSE,"매출액";#N/A,#N/A,FALSE,"요약손익";#N/A,#N/A,FALSE,"요약대차";#N/A,#N/A,FALSE,"매출채권현황";#N/A,#N/A,FALSE,"매출채권명세"}</definedName>
    <definedName name="ㄹㄹㅇㄴㄴ"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ㅇㄴㄴ"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ㅇㄴㄴ"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ㅇㄴ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ㅇㄴ"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ㅇㄴ"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ㅇㄴ"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ㅇ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ㅇㄴㄷ" localSheetId="24" hidden="1">{#N/A,#N/A,FALSE,"동부"}</definedName>
    <definedName name="ㄹㅇㄴㄷ" localSheetId="18" hidden="1">{#N/A,#N/A,FALSE,"동부"}</definedName>
    <definedName name="ㄹㅇㄴㄷ" localSheetId="25" hidden="1">{#N/A,#N/A,FALSE,"동부"}</definedName>
    <definedName name="ㄹㅇㄴㄷ" hidden="1">{#N/A,#N/A,FALSE,"동부"}</definedName>
    <definedName name="ㄹㅇㄴ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ㅇㄴ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ㅇㄴ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ㄹㅇㄴㄹ" hidden="1">{#N/A,#N/A,FALSE,"손익표지";#N/A,#N/A,FALSE,"손익계산";#N/A,#N/A,FALSE,"일반관리비";#N/A,#N/A,FALSE,"영업외수익";#N/A,#N/A,FALSE,"영업외비용";#N/A,#N/A,FALSE,"매출액";#N/A,#N/A,FALSE,"요약손익";#N/A,#N/A,FALSE,"요약대차";#N/A,#N/A,FALSE,"매출채권현황";#N/A,#N/A,FALSE,"매출채권명세"}</definedName>
    <definedName name="ㄹㅇㄴㄹ두" localSheetId="24" hidden="1">{"AJD",#N/A,TRUE,"Summary";"AJD",#N/A,TRUE,"CFCONC-outputs";"AJD",#N/A,TRUE,"P&amp;LCONC-outputs";"AJD",#N/A,TRUE,"BSCONC-outputs";"AJD",#N/A,TRUE,"FSCONC-outputs"}</definedName>
    <definedName name="ㄹㅇㄴㄹ두" localSheetId="18" hidden="1">{"AJD",#N/A,TRUE,"Summary";"AJD",#N/A,TRUE,"CFCONC-outputs";"AJD",#N/A,TRUE,"P&amp;LCONC-outputs";"AJD",#N/A,TRUE,"BSCONC-outputs";"AJD",#N/A,TRUE,"FSCONC-outputs"}</definedName>
    <definedName name="ㄹㅇㄴㄹ두" localSheetId="25" hidden="1">{"AJD",#N/A,TRUE,"Summary";"AJD",#N/A,TRUE,"CFCONC-outputs";"AJD",#N/A,TRUE,"P&amp;LCONC-outputs";"AJD",#N/A,TRUE,"BSCONC-outputs";"AJD",#N/A,TRUE,"FSCONC-outputs"}</definedName>
    <definedName name="ㄹㅇㄴㄹ두" hidden="1">{"AJD",#N/A,TRUE,"Summary";"AJD",#N/A,TRUE,"CFCONC-outputs";"AJD",#N/A,TRUE,"P&amp;LCONC-outputs";"AJD",#N/A,TRUE,"BSCONC-outputs";"AJD",#N/A,TRUE,"FSCONC-outputs"}</definedName>
    <definedName name="ㄹㅇㄴㄹㅇ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ㄴ"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ㄴ"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ㄹ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ㄹㅇ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ㄹㅇ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ㄹㅇㄹ" hidden="1">{#N/A,#N/A,FALSE,"손익표지";#N/A,#N/A,FALSE,"손익계산";#N/A,#N/A,FALSE,"일반관리비";#N/A,#N/A,FALSE,"영업외수익";#N/A,#N/A,FALSE,"영업외비용";#N/A,#N/A,FALSE,"매출액";#N/A,#N/A,FALSE,"요약손익";#N/A,#N/A,FALSE,"요약대차";#N/A,#N/A,FALSE,"매출채권현황";#N/A,#N/A,FALSE,"매출채권명세"}</definedName>
    <definedName name="ㄹㅇㄴㅁ" localSheetId="24" hidden="1">{#N/A,#N/A,FALSE,"동부"}</definedName>
    <definedName name="ㄹㅇㄴㅁ" localSheetId="18" hidden="1">{#N/A,#N/A,FALSE,"동부"}</definedName>
    <definedName name="ㄹㅇㄴㅁ" localSheetId="25" hidden="1">{#N/A,#N/A,FALSE,"동부"}</definedName>
    <definedName name="ㄹㅇㄴㅁ" hidden="1">{#N/A,#N/A,FALSE,"동부"}</definedName>
    <definedName name="ㄹㅇㄴㅁㄹ" localSheetId="24" hidden="1">{#N/A,#N/A,FALSE,"동부"}</definedName>
    <definedName name="ㄹㅇㄴㅁㄹ" localSheetId="18" hidden="1">{#N/A,#N/A,FALSE,"동부"}</definedName>
    <definedName name="ㄹㅇㄴㅁㄹ" localSheetId="25" hidden="1">{#N/A,#N/A,FALSE,"동부"}</definedName>
    <definedName name="ㄹㅇㄴㅁㄹ" hidden="1">{#N/A,#N/A,FALSE,"동부"}</definedName>
    <definedName name="ㄹㅇㄷㅁㄹ" localSheetId="24" hidden="1">{#N/A,#N/A,TRUE,"대 차 대 조 표"}</definedName>
    <definedName name="ㄹㅇㄷㅁㄹ" localSheetId="18" hidden="1">{#N/A,#N/A,TRUE,"대 차 대 조 표"}</definedName>
    <definedName name="ㄹㅇㄷㅁㄹ" localSheetId="25" hidden="1">{#N/A,#N/A,TRUE,"대 차 대 조 표"}</definedName>
    <definedName name="ㄹㅇㄷㅁㄹ" hidden="1">{#N/A,#N/A,TRUE,"대 차 대 조 표"}</definedName>
    <definedName name="ㄹ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ㅇ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ㅇ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ㄹㅇㄹ" hidden="1">{#N/A,#N/A,FALSE,"손익표지";#N/A,#N/A,FALSE,"손익계산";#N/A,#N/A,FALSE,"일반관리비";#N/A,#N/A,FALSE,"영업외수익";#N/A,#N/A,FALSE,"영업외비용";#N/A,#N/A,FALSE,"매출액";#N/A,#N/A,FALSE,"요약손익";#N/A,#N/A,FALSE,"요약대차";#N/A,#N/A,FALSE,"매출채권현황";#N/A,#N/A,FALSE,"매출채권명세"}</definedName>
    <definedName name="ㄹㅇㅁㅎㅇㅁ" localSheetId="24" hidden="1">{#N/A,#N/A,FALSE,"동부"}</definedName>
    <definedName name="ㄹㅇㅁㅎㅇㅁ" localSheetId="18" hidden="1">{#N/A,#N/A,FALSE,"동부"}</definedName>
    <definedName name="ㄹㅇㅁㅎㅇㅁ" localSheetId="25" hidden="1">{#N/A,#N/A,FALSE,"동부"}</definedName>
    <definedName name="ㄹㅇㅁㅎㅇㅁ" hidden="1">{#N/A,#N/A,FALSE,"동부"}</definedName>
    <definedName name="ㄹㅇㅇㅇㅇ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ㅇㅇㅇㅇ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ㅇㅇㅇㅇㅇ"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ㄹㅇㅇㅇㅇㅇ" hidden="1">{#N/A,#N/A,FALSE,"손익표지";#N/A,#N/A,FALSE,"손익계산";#N/A,#N/A,FALSE,"일반관리비";#N/A,#N/A,FALSE,"영업외수익";#N/A,#N/A,FALSE,"영업외비용";#N/A,#N/A,FALSE,"매출액";#N/A,#N/A,FALSE,"요약손익";#N/A,#N/A,FALSE,"요약대차";#N/A,#N/A,FALSE,"매출채권현황";#N/A,#N/A,FALSE,"매출채권명세"}</definedName>
    <definedName name="ㄹㅇㅈㅁㄹㅇㄴㅁ" localSheetId="24" hidden="1">{#N/A,#N/A,TRUE,"대 차 대 조 표"}</definedName>
    <definedName name="ㄹㅇㅈㅁㄹㅇㄴㅁ" localSheetId="18" hidden="1">{#N/A,#N/A,TRUE,"대 차 대 조 표"}</definedName>
    <definedName name="ㄹㅇㅈㅁㄹㅇㄴㅁ" localSheetId="25" hidden="1">{#N/A,#N/A,TRUE,"대 차 대 조 표"}</definedName>
    <definedName name="ㄹㅇㅈㅁㄹㅇㄴㅁ" hidden="1">{#N/A,#N/A,TRUE,"대 차 대 조 표"}</definedName>
    <definedName name="ㄹㅇㅎㄴㅇ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ㅇㅎㄴㅇ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ㅇㅎㄴㅇㅀ"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ㄹㅇㅎㄴㅇㅀ" hidden="1">{#N/A,#N/A,FALSE,"손익표지";#N/A,#N/A,FALSE,"손익계산";#N/A,#N/A,FALSE,"일반관리비";#N/A,#N/A,FALSE,"영업외수익";#N/A,#N/A,FALSE,"영업외비용";#N/A,#N/A,FALSE,"매출액";#N/A,#N/A,FALSE,"요약손익";#N/A,#N/A,FALSE,"요약대차";#N/A,#N/A,FALSE,"매출채권현황";#N/A,#N/A,FALSE,"매출채권명세"}</definedName>
    <definedName name="ㄹㅇㅎㄶ" localSheetId="24" hidden="1">{"AJD",#N/A,TRUE,"Summary";"AJD",#N/A,TRUE,"CFCONC-outputs";"AJD",#N/A,TRUE,"P&amp;LCONC-outputs";"AJD",#N/A,TRUE,"BSCONC-outputs";"AJD",#N/A,TRUE,"FSCONC-outputs"}</definedName>
    <definedName name="ㄹㅇㅎㄶ" localSheetId="18" hidden="1">{"AJD",#N/A,TRUE,"Summary";"AJD",#N/A,TRUE,"CFCONC-outputs";"AJD",#N/A,TRUE,"P&amp;LCONC-outputs";"AJD",#N/A,TRUE,"BSCONC-outputs";"AJD",#N/A,TRUE,"FSCONC-outputs"}</definedName>
    <definedName name="ㄹㅇㅎㄶ" localSheetId="25" hidden="1">{"AJD",#N/A,TRUE,"Summary";"AJD",#N/A,TRUE,"CFCONC-outputs";"AJD",#N/A,TRUE,"P&amp;LCONC-outputs";"AJD",#N/A,TRUE,"BSCONC-outputs";"AJD",#N/A,TRUE,"FSCONC-outputs"}</definedName>
    <definedName name="ㄹㅇㅎㄶ" hidden="1">{"AJD",#N/A,TRUE,"Summary";"AJD",#N/A,TRUE,"CFCONC-outputs";"AJD",#N/A,TRUE,"P&amp;LCONC-outputs";"AJD",#N/A,TRUE,"BSCONC-outputs";"AJD",#N/A,TRUE,"FSCONC-outputs"}</definedName>
    <definedName name="ㄹㅇㅎㄹㅇㄶㄹㅇ" localSheetId="24" hidden="1">{"AJD",#N/A,TRUE,"Summary";"AJD",#N/A,TRUE,"CFCONC-outputs";"AJD",#N/A,TRUE,"P&amp;LCONC-outputs";"AJD",#N/A,TRUE,"BSCONC-outputs";"AJD",#N/A,TRUE,"FSCONC-outputs"}</definedName>
    <definedName name="ㄹㅇㅎㄹㅇㄶㄹㅇ" localSheetId="18" hidden="1">{"AJD",#N/A,TRUE,"Summary";"AJD",#N/A,TRUE,"CFCONC-outputs";"AJD",#N/A,TRUE,"P&amp;LCONC-outputs";"AJD",#N/A,TRUE,"BSCONC-outputs";"AJD",#N/A,TRUE,"FSCONC-outputs"}</definedName>
    <definedName name="ㄹㅇㅎㄹㅇㄶㄹㅇ" localSheetId="25" hidden="1">{"AJD",#N/A,TRUE,"Summary";"AJD",#N/A,TRUE,"CFCONC-outputs";"AJD",#N/A,TRUE,"P&amp;LCONC-outputs";"AJD",#N/A,TRUE,"BSCONC-outputs";"AJD",#N/A,TRUE,"FSCONC-outputs"}</definedName>
    <definedName name="ㄹㅇㅎㄹㅇㄶㄹㅇ" hidden="1">{"AJD",#N/A,TRUE,"Summary";"AJD",#N/A,TRUE,"CFCONC-outputs";"AJD",#N/A,TRUE,"P&amp;LCONC-outputs";"AJD",#N/A,TRUE,"BSCONC-outputs";"AJD",#N/A,TRUE,"FSCONC-outputs"}</definedName>
    <definedName name="ㄹㅇㅎㅍ" localSheetId="24" hidden="1">{#N/A,#N/A,TRUE,"대 차 대 조 표"}</definedName>
    <definedName name="ㄹㅇㅎㅍ" localSheetId="18" hidden="1">{#N/A,#N/A,TRUE,"대 차 대 조 표"}</definedName>
    <definedName name="ㄹㅇㅎㅍ" localSheetId="25" hidden="1">{#N/A,#N/A,TRUE,"대 차 대 조 표"}</definedName>
    <definedName name="ㄹㅇㅎㅍ" hidden="1">{#N/A,#N/A,TRUE,"대 차 대 조 표"}</definedName>
    <definedName name="ㄹ혻" localSheetId="24" hidden="1">{"'용역비'!$A$4:$C$8"}</definedName>
    <definedName name="ㄹ혻" localSheetId="18" hidden="1">{"'용역비'!$A$4:$C$8"}</definedName>
    <definedName name="ㄹ혻" localSheetId="25" hidden="1">{"'용역비'!$A$4:$C$8"}</definedName>
    <definedName name="ㄹ혻" hidden="1">{"'용역비'!$A$4:$C$8"}</definedName>
    <definedName name="ㄹ홓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홓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홓로"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ㄹ홓로" hidden="1">{#N/A,#N/A,FALSE,"손익표지";#N/A,#N/A,FALSE,"손익계산";#N/A,#N/A,FALSE,"일반관리비";#N/A,#N/A,FALSE,"영업외수익";#N/A,#N/A,FALSE,"영업외비용";#N/A,#N/A,FALSE,"매출액";#N/A,#N/A,FALSE,"요약손익";#N/A,#N/A,FALSE,"요약대차";#N/A,#N/A,FALSE,"매출채권현황";#N/A,#N/A,FALSE,"매출채권명세"}</definedName>
    <definedName name="라" localSheetId="24" hidden="1">{#N/A,#N/A,FALSE,"1.CRITERIA";#N/A,#N/A,FALSE,"2.IS";#N/A,#N/A,FALSE,"3.BS";#N/A,#N/A,FALSE,"4.PER PL";#N/A,#N/A,FALSE,"5.INVESTMENT";#N/A,#N/A,FALSE,"6.공문";#N/A,#N/A,FALSE,"7.netinvest"}</definedName>
    <definedName name="라" localSheetId="18" hidden="1">{#N/A,#N/A,FALSE,"1.CRITERIA";#N/A,#N/A,FALSE,"2.IS";#N/A,#N/A,FALSE,"3.BS";#N/A,#N/A,FALSE,"4.PER PL";#N/A,#N/A,FALSE,"5.INVESTMENT";#N/A,#N/A,FALSE,"6.공문";#N/A,#N/A,FALSE,"7.netinvest"}</definedName>
    <definedName name="라" localSheetId="25" hidden="1">{#N/A,#N/A,FALSE,"1.CRITERIA";#N/A,#N/A,FALSE,"2.IS";#N/A,#N/A,FALSE,"3.BS";#N/A,#N/A,FALSE,"4.PER PL";#N/A,#N/A,FALSE,"5.INVESTMENT";#N/A,#N/A,FALSE,"6.공문";#N/A,#N/A,FALSE,"7.netinvest"}</definedName>
    <definedName name="라" hidden="1">{#N/A,#N/A,FALSE,"1.CRITERIA";#N/A,#N/A,FALSE,"2.IS";#N/A,#N/A,FALSE,"3.BS";#N/A,#N/A,FALSE,"4.PER PL";#N/A,#N/A,FALSE,"5.INVESTMENT";#N/A,#N/A,FALSE,"6.공문";#N/A,#N/A,FALSE,"7.netinvest"}</definedName>
    <definedName name="라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라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라라"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라라" hidden="1">{#N/A,#N/A,FALSE,"손익표지";#N/A,#N/A,FALSE,"손익계산";#N/A,#N/A,FALSE,"일반관리비";#N/A,#N/A,FALSE,"영업외수익";#N/A,#N/A,FALSE,"영업외비용";#N/A,#N/A,FALSE,"매출액";#N/A,#N/A,FALSE,"요약손익";#N/A,#N/A,FALSE,"요약대차";#N/A,#N/A,FALSE,"매출채권현황";#N/A,#N/A,FALSE,"매출채권명세"}</definedName>
    <definedName name="라아아" localSheetId="24" hidden="1">{#N/A,#N/A,FALSE,"1.CRITERIA";#N/A,#N/A,FALSE,"2.IS";#N/A,#N/A,FALSE,"3.BS";#N/A,#N/A,FALSE,"4.PER PL";#N/A,#N/A,FALSE,"5.INVESTMENT";#N/A,#N/A,FALSE,"6.공문";#N/A,#N/A,FALSE,"7.netinvest"}</definedName>
    <definedName name="라아아" localSheetId="18" hidden="1">{#N/A,#N/A,FALSE,"1.CRITERIA";#N/A,#N/A,FALSE,"2.IS";#N/A,#N/A,FALSE,"3.BS";#N/A,#N/A,FALSE,"4.PER PL";#N/A,#N/A,FALSE,"5.INVESTMENT";#N/A,#N/A,FALSE,"6.공문";#N/A,#N/A,FALSE,"7.netinvest"}</definedName>
    <definedName name="라아아" localSheetId="25" hidden="1">{#N/A,#N/A,FALSE,"1.CRITERIA";#N/A,#N/A,FALSE,"2.IS";#N/A,#N/A,FALSE,"3.BS";#N/A,#N/A,FALSE,"4.PER PL";#N/A,#N/A,FALSE,"5.INVESTMENT";#N/A,#N/A,FALSE,"6.공문";#N/A,#N/A,FALSE,"7.netinvest"}</definedName>
    <definedName name="라아아" hidden="1">{#N/A,#N/A,FALSE,"1.CRITERIA";#N/A,#N/A,FALSE,"2.IS";#N/A,#N/A,FALSE,"3.BS";#N/A,#N/A,FALSE,"4.PER PL";#N/A,#N/A,FALSE,"5.INVESTMENT";#N/A,#N/A,FALSE,"6.공문";#N/A,#N/A,FALSE,"7.netinvest"}</definedName>
    <definedName name="라ㅓㅇ"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라ㅓㅇ"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라ㅓㅇ"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라ㅓ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랜트롤" localSheetId="24" hidden="1">{#N/A,#N/A,FALSE,"동부"}</definedName>
    <definedName name="랜트롤" localSheetId="18" hidden="1">{#N/A,#N/A,FALSE,"동부"}</definedName>
    <definedName name="랜트롤" localSheetId="25" hidden="1">{#N/A,#N/A,FALSE,"동부"}</definedName>
    <definedName name="랜트롤" hidden="1">{#N/A,#N/A,FALSE,"동부"}</definedName>
    <definedName name="랴" localSheetId="24" hidden="1">{#N/A,#N/A,FALSE,"1.CRITERIA";#N/A,#N/A,FALSE,"2.IS";#N/A,#N/A,FALSE,"3.BS";#N/A,#N/A,FALSE,"4.PER PL";#N/A,#N/A,FALSE,"5.INVESTMENT";#N/A,#N/A,FALSE,"6.공문";#N/A,#N/A,FALSE,"7.netinvest"}</definedName>
    <definedName name="랴" localSheetId="18" hidden="1">{#N/A,#N/A,FALSE,"1.CRITERIA";#N/A,#N/A,FALSE,"2.IS";#N/A,#N/A,FALSE,"3.BS";#N/A,#N/A,FALSE,"4.PER PL";#N/A,#N/A,FALSE,"5.INVESTMENT";#N/A,#N/A,FALSE,"6.공문";#N/A,#N/A,FALSE,"7.netinvest"}</definedName>
    <definedName name="랴" localSheetId="25" hidden="1">{#N/A,#N/A,FALSE,"1.CRITERIA";#N/A,#N/A,FALSE,"2.IS";#N/A,#N/A,FALSE,"3.BS";#N/A,#N/A,FALSE,"4.PER PL";#N/A,#N/A,FALSE,"5.INVESTMENT";#N/A,#N/A,FALSE,"6.공문";#N/A,#N/A,FALSE,"7.netinvest"}</definedName>
    <definedName name="랴" hidden="1">{#N/A,#N/A,FALSE,"1.CRITERIA";#N/A,#N/A,FALSE,"2.IS";#N/A,#N/A,FALSE,"3.BS";#N/A,#N/A,FALSE,"4.PER PL";#N/A,#N/A,FALSE,"5.INVESTMENT";#N/A,#N/A,FALSE,"6.공문";#N/A,#N/A,FALSE,"7.netinvest"}</definedName>
    <definedName name="러" localSheetId="24" hidden="1">{#N/A,#N/A,TRUE,"대 차 대 조 표"}</definedName>
    <definedName name="러" localSheetId="18" hidden="1">{#N/A,#N/A,TRUE,"대 차 대 조 표"}</definedName>
    <definedName name="러" localSheetId="25" hidden="1">{#N/A,#N/A,TRUE,"대 차 대 조 표"}</definedName>
    <definedName name="러" hidden="1">{#N/A,#N/A,TRUE,"대 차 대 조 표"}</definedName>
    <definedName name="러ㅏㅇ"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러ㅏㅇ"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러ㅏㅇ"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러ㅏㅇ"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러ㅏㅇ럼" localSheetId="24" hidden="1">{#N/A,#N/A,FALSE,"이력서&amp;자기소개서"}</definedName>
    <definedName name="러ㅏㅇ럼" localSheetId="18" hidden="1">{#N/A,#N/A,FALSE,"이력서&amp;자기소개서"}</definedName>
    <definedName name="러ㅏㅇ럼" localSheetId="25" hidden="1">{#N/A,#N/A,FALSE,"이력서&amp;자기소개서"}</definedName>
    <definedName name="러ㅏㅇ럼" hidden="1">{#N/A,#N/A,FALSE,"이력서&amp;자기소개서"}</definedName>
    <definedName name="려ㅛㄹ"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려ㅛㄹ"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려ㅛㄹ"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려ㅛㄹ"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련금"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련금"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련금"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련금" hidden="1">{#N/A,#N/A,FALSE,"손익표지";#N/A,#N/A,FALSE,"손익계산";#N/A,#N/A,FALSE,"일반관리비";#N/A,#N/A,FALSE,"영업외수익";#N/A,#N/A,FALSE,"영업외비용";#N/A,#N/A,FALSE,"매출액";#N/A,#N/A,FALSE,"요약손익";#N/A,#N/A,FALSE,"요약대차";#N/A,#N/A,FALSE,"매출채권현황";#N/A,#N/A,FALSE,"매출채권명세"}</definedName>
    <definedName name="로" localSheetId="24" hidden="1">{#N/A,#N/A,FALSE,"1.CRITERIA";#N/A,#N/A,FALSE,"2.IS";#N/A,#N/A,FALSE,"3.BS";#N/A,#N/A,FALSE,"4.PER PL";#N/A,#N/A,FALSE,"5.INVESTMENT";#N/A,#N/A,FALSE,"6.공문";#N/A,#N/A,FALSE,"7.netinvest"}</definedName>
    <definedName name="로" localSheetId="18" hidden="1">{#N/A,#N/A,FALSE,"1.CRITERIA";#N/A,#N/A,FALSE,"2.IS";#N/A,#N/A,FALSE,"3.BS";#N/A,#N/A,FALSE,"4.PER PL";#N/A,#N/A,FALSE,"5.INVESTMENT";#N/A,#N/A,FALSE,"6.공문";#N/A,#N/A,FALSE,"7.netinvest"}</definedName>
    <definedName name="로" localSheetId="25" hidden="1">{#N/A,#N/A,FALSE,"1.CRITERIA";#N/A,#N/A,FALSE,"2.IS";#N/A,#N/A,FALSE,"3.BS";#N/A,#N/A,FALSE,"4.PER PL";#N/A,#N/A,FALSE,"5.INVESTMENT";#N/A,#N/A,FALSE,"6.공문";#N/A,#N/A,FALSE,"7.netinvest"}</definedName>
    <definedName name="로" hidden="1">{#N/A,#N/A,FALSE,"1.CRITERIA";#N/A,#N/A,FALSE,"2.IS";#N/A,#N/A,FALSE,"3.BS";#N/A,#N/A,FALSE,"4.PER PL";#N/A,#N/A,FALSE,"5.INVESTMENT";#N/A,#N/A,FALSE,"6.공문";#N/A,#N/A,FALSE,"7.netinvest"}</definedName>
    <definedName name="로커커버" localSheetId="24" hidden="1">{#N/A,#N/A,FALSE,"단축1";#N/A,#N/A,FALSE,"단축2";#N/A,#N/A,FALSE,"단축3";#N/A,#N/A,FALSE,"장축";#N/A,#N/A,FALSE,"4WD"}</definedName>
    <definedName name="로커커버" localSheetId="18" hidden="1">{#N/A,#N/A,FALSE,"단축1";#N/A,#N/A,FALSE,"단축2";#N/A,#N/A,FALSE,"단축3";#N/A,#N/A,FALSE,"장축";#N/A,#N/A,FALSE,"4WD"}</definedName>
    <definedName name="로커커버" localSheetId="25" hidden="1">{#N/A,#N/A,FALSE,"단축1";#N/A,#N/A,FALSE,"단축2";#N/A,#N/A,FALSE,"단축3";#N/A,#N/A,FALSE,"장축";#N/A,#N/A,FALSE,"4WD"}</definedName>
    <definedName name="로커커버" hidden="1">{#N/A,#N/A,FALSE,"단축1";#N/A,#N/A,FALSE,"단축2";#N/A,#N/A,FALSE,"단축3";#N/A,#N/A,FALSE,"장축";#N/A,#N/A,FALSE,"4WD"}</definedName>
    <definedName name="료" localSheetId="24" hidden="1">{"'용역비'!$A$4:$C$8"}</definedName>
    <definedName name="료" localSheetId="18" hidden="1">{"'용역비'!$A$4:$C$8"}</definedName>
    <definedName name="료" localSheetId="25" hidden="1">{"'용역비'!$A$4:$C$8"}</definedName>
    <definedName name="료" hidden="1">{"'용역비'!$A$4:$C$8"}</definedName>
    <definedName name="류" localSheetId="24" hidden="1">{#N/A,#N/A,FALSE,"1.CRITERIA";#N/A,#N/A,FALSE,"2.IS";#N/A,#N/A,FALSE,"3.BS";#N/A,#N/A,FALSE,"4.PER PL";#N/A,#N/A,FALSE,"5.INVESTMENT";#N/A,#N/A,FALSE,"6.공문";#N/A,#N/A,FALSE,"7.netinvest"}</definedName>
    <definedName name="류" localSheetId="18" hidden="1">{#N/A,#N/A,FALSE,"1.CRITERIA";#N/A,#N/A,FALSE,"2.IS";#N/A,#N/A,FALSE,"3.BS";#N/A,#N/A,FALSE,"4.PER PL";#N/A,#N/A,FALSE,"5.INVESTMENT";#N/A,#N/A,FALSE,"6.공문";#N/A,#N/A,FALSE,"7.netinvest"}</definedName>
    <definedName name="류" localSheetId="25" hidden="1">{#N/A,#N/A,FALSE,"1.CRITERIA";#N/A,#N/A,FALSE,"2.IS";#N/A,#N/A,FALSE,"3.BS";#N/A,#N/A,FALSE,"4.PER PL";#N/A,#N/A,FALSE,"5.INVESTMENT";#N/A,#N/A,FALSE,"6.공문";#N/A,#N/A,FALSE,"7.netinvest"}</definedName>
    <definedName name="류" hidden="1">{#N/A,#N/A,FALSE,"1.CRITERIA";#N/A,#N/A,FALSE,"2.IS";#N/A,#N/A,FALSE,"3.BS";#N/A,#N/A,FALSE,"4.PER PL";#N/A,#N/A,FALSE,"5.INVESTMENT";#N/A,#N/A,FALSE,"6.공문";#N/A,#N/A,FALSE,"7.netinvest"}</definedName>
    <definedName name="류효정" localSheetId="24" hidden="1">{"'Firr(선)'!$AS$1:$AY$62","'Firr(사)'!$AS$1:$AY$62","'Firr(회)'!$AS$1:$AY$62","'Firr(선)'!$L$1:$V$62","'Firr(사)'!$L$1:$V$62","'Firr(회)'!$L$1:$V$62"}</definedName>
    <definedName name="류효정" localSheetId="18" hidden="1">{"'Firr(선)'!$AS$1:$AY$62","'Firr(사)'!$AS$1:$AY$62","'Firr(회)'!$AS$1:$AY$62","'Firr(선)'!$L$1:$V$62","'Firr(사)'!$L$1:$V$62","'Firr(회)'!$L$1:$V$62"}</definedName>
    <definedName name="류효정" localSheetId="25" hidden="1">{"'Firr(선)'!$AS$1:$AY$62","'Firr(사)'!$AS$1:$AY$62","'Firr(회)'!$AS$1:$AY$62","'Firr(선)'!$L$1:$V$62","'Firr(사)'!$L$1:$V$62","'Firr(회)'!$L$1:$V$62"}</definedName>
    <definedName name="류효정" hidden="1">{"'Firr(선)'!$AS$1:$AY$62","'Firr(사)'!$AS$1:$AY$62","'Firr(회)'!$AS$1:$AY$62","'Firr(선)'!$L$1:$V$62","'Firr(사)'!$L$1:$V$62","'Firr(회)'!$L$1:$V$62"}</definedName>
    <definedName name="리얼" localSheetId="24" hidden="1">{#N/A,#N/A,FALSE,"동부"}</definedName>
    <definedName name="리얼" localSheetId="18" hidden="1">{#N/A,#N/A,FALSE,"동부"}</definedName>
    <definedName name="리얼" localSheetId="25" hidden="1">{#N/A,#N/A,FALSE,"동부"}</definedName>
    <definedName name="리얼" hidden="1">{#N/A,#N/A,FALSE,"동부"}</definedName>
    <definedName name="ㄺ" localSheetId="24" hidden="1">{#N/A,#N/A,FALSE,"Aging Summary";#N/A,#N/A,FALSE,"Ratio Analysis";#N/A,#N/A,FALSE,"Test 120 Day Accts";#N/A,#N/A,FALSE,"Tickmarks"}</definedName>
    <definedName name="ㄺ" localSheetId="18" hidden="1">{#N/A,#N/A,FALSE,"Aging Summary";#N/A,#N/A,FALSE,"Ratio Analysis";#N/A,#N/A,FALSE,"Test 120 Day Accts";#N/A,#N/A,FALSE,"Tickmarks"}</definedName>
    <definedName name="ㄺ" localSheetId="25" hidden="1">{#N/A,#N/A,FALSE,"Aging Summary";#N/A,#N/A,FALSE,"Ratio Analysis";#N/A,#N/A,FALSE,"Test 120 Day Accts";#N/A,#N/A,FALSE,"Tickmarks"}</definedName>
    <definedName name="ㄺ" hidden="1">{#N/A,#N/A,FALSE,"Aging Summary";#N/A,#N/A,FALSE,"Ratio Analysis";#N/A,#N/A,FALSE,"Test 120 Day Accts";#N/A,#N/A,FALSE,"Tickmarks"}</definedName>
    <definedName name="ㄻㄹㄷ" localSheetId="24" hidden="1">{#N/A,#N/A,TRUE,"대 차 대 조 표"}</definedName>
    <definedName name="ㄻㄹㄷ" localSheetId="18" hidden="1">{#N/A,#N/A,TRUE,"대 차 대 조 표"}</definedName>
    <definedName name="ㄻㄹㄷ" localSheetId="25" hidden="1">{#N/A,#N/A,TRUE,"대 차 대 조 표"}</definedName>
    <definedName name="ㄻㄹㄷ" hidden="1">{#N/A,#N/A,TRUE,"대 차 대 조 표"}</definedName>
    <definedName name="ㄻㅇㄿ" localSheetId="24" hidden="1">{#N/A,#N/A,FALSE,"동부"}</definedName>
    <definedName name="ㄻㅇㄿ" localSheetId="18" hidden="1">{#N/A,#N/A,FALSE,"동부"}</definedName>
    <definedName name="ㄻㅇㄿ" localSheetId="25" hidden="1">{#N/A,#N/A,FALSE,"동부"}</definedName>
    <definedName name="ㄻㅇㄿ" hidden="1">{#N/A,#N/A,FALSE,"동부"}</definedName>
    <definedName name="ㄻㅎㄱ" localSheetId="24" hidden="1">{#N/A,#N/A,TRUE,"대 차 대 조 표"}</definedName>
    <definedName name="ㄻㅎㄱ" localSheetId="18" hidden="1">{#N/A,#N/A,TRUE,"대 차 대 조 표"}</definedName>
    <definedName name="ㄻㅎㄱ" localSheetId="25" hidden="1">{#N/A,#N/A,TRUE,"대 차 대 조 표"}</definedName>
    <definedName name="ㄻㅎㄱ" hidden="1">{#N/A,#N/A,TRUE,"대 차 대 조 표"}</definedName>
    <definedName name="ㅀㄹㅇㅎ" localSheetId="24" hidden="1">{#N/A,#N/A,FALSE,"포장단가"}</definedName>
    <definedName name="ㅀㄹㅇㅎ" localSheetId="18" hidden="1">{#N/A,#N/A,FALSE,"포장단가"}</definedName>
    <definedName name="ㅀㄹㅇㅎ" localSheetId="25" hidden="1">{#N/A,#N/A,FALSE,"포장단가"}</definedName>
    <definedName name="ㅀㄹㅇㅎ" hidden="1">{#N/A,#N/A,FALSE,"포장단가"}</definedName>
    <definedName name="ㅀ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ㅀ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ㅀㅀ"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ㅀㅀ" hidden="1">{#N/A,#N/A,FALSE,"손익표지";#N/A,#N/A,FALSE,"손익계산";#N/A,#N/A,FALSE,"일반관리비";#N/A,#N/A,FALSE,"영업외수익";#N/A,#N/A,FALSE,"영업외비용";#N/A,#N/A,FALSE,"매출액";#N/A,#N/A,FALSE,"요약손익";#N/A,#N/A,FALSE,"요약대차";#N/A,#N/A,FALSE,"매출채권현황";#N/A,#N/A,FALSE,"매출채권명세"}</definedName>
    <definedName name="ㅀㅇㅀ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ㅀㅇㅀ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ㅀㅇㅀㅇ"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ㅀㅇㅀㅇ" hidden="1">{#N/A,#N/A,FALSE,"손익표지";#N/A,#N/A,FALSE,"손익계산";#N/A,#N/A,FALSE,"일반관리비";#N/A,#N/A,FALSE,"영업외수익";#N/A,#N/A,FALSE,"영업외비용";#N/A,#N/A,FALSE,"매출액";#N/A,#N/A,FALSE,"요약손익";#N/A,#N/A,FALSE,"요약대차";#N/A,#N/A,FALSE,"매출채권현황";#N/A,#N/A,FALSE,"매출채권명세"}</definedName>
    <definedName name="ㅀㅎㅎ" localSheetId="24" hidden="1">{#N/A,#N/A,FALSE,"포장단가"}</definedName>
    <definedName name="ㅀㅎㅎ" localSheetId="18" hidden="1">{#N/A,#N/A,FALSE,"포장단가"}</definedName>
    <definedName name="ㅀㅎㅎ" localSheetId="25" hidden="1">{#N/A,#N/A,FALSE,"포장단가"}</definedName>
    <definedName name="ㅀㅎㅎ" hidden="1">{#N/A,#N/A,FALSE,"포장단가"}</definedName>
    <definedName name="ㅀ허" localSheetId="24" hidden="1">{#N/A,#N/A,FALSE,"CCTV"}</definedName>
    <definedName name="ㅀ허" localSheetId="18" hidden="1">{#N/A,#N/A,FALSE,"CCTV"}</definedName>
    <definedName name="ㅀ허" localSheetId="25" hidden="1">{#N/A,#N/A,FALSE,"CCTV"}</definedName>
    <definedName name="ㅀ허" hidden="1">{#N/A,#N/A,FALSE,"CCTV"}</definedName>
    <definedName name="ㅁㄴㄹㅈ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ㄴㄹㅈ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ㅁㄴㄹㅈㄷ"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ㅁㄴㄹㅈㄷ" hidden="1">{#N/A,#N/A,FALSE,"손익표지";#N/A,#N/A,FALSE,"손익계산";#N/A,#N/A,FALSE,"일반관리비";#N/A,#N/A,FALSE,"영업외수익";#N/A,#N/A,FALSE,"영업외비용";#N/A,#N/A,FALSE,"매출액";#N/A,#N/A,FALSE,"요약손익";#N/A,#N/A,FALSE,"요약대차";#N/A,#N/A,FALSE,"매출채권현황";#N/A,#N/A,FALSE,"매출채권명세"}</definedName>
    <definedName name="ㅁㄴㅇ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ㄴㅇ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ㅁㄴㅇㄴ"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ㅁㄴㅇㄴ" hidden="1">{#N/A,#N/A,FALSE,"손익표지";#N/A,#N/A,FALSE,"손익계산";#N/A,#N/A,FALSE,"일반관리비";#N/A,#N/A,FALSE,"영업외수익";#N/A,#N/A,FALSE,"영업외비용";#N/A,#N/A,FALSE,"매출액";#N/A,#N/A,FALSE,"요약손익";#N/A,#N/A,FALSE,"요약대차";#N/A,#N/A,FALSE,"매출채권현황";#N/A,#N/A,FALSE,"매출채권명세"}</definedName>
    <definedName name="ㅁㄴㅇㄻ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ㄴㅇㄻ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ㅁㄴㅇㄻㄴ"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ㅁㄴㅇㄻㄴ" hidden="1">{#N/A,#N/A,FALSE,"손익표지";#N/A,#N/A,FALSE,"손익계산";#N/A,#N/A,FALSE,"일반관리비";#N/A,#N/A,FALSE,"영업외수익";#N/A,#N/A,FALSE,"영업외비용";#N/A,#N/A,FALSE,"매출액";#N/A,#N/A,FALSE,"요약손익";#N/A,#N/A,FALSE,"요약대차";#N/A,#N/A,FALSE,"매출채권현황";#N/A,#N/A,FALSE,"매출채권명세"}</definedName>
    <definedName name="ㅁㄴㅇㄻㄴㅇㄹㄴㅁㅎㄴㅇㅎ" localSheetId="24" hidden="1">{"'용역비'!$A$4:$C$8"}</definedName>
    <definedName name="ㅁㄴㅇㄻㄴㅇㄹㄴㅁㅎㄴㅇㅎ" localSheetId="18" hidden="1">{"'용역비'!$A$4:$C$8"}</definedName>
    <definedName name="ㅁㄴㅇㄻㄴㅇㄹㄴㅁㅎㄴㅇㅎ" localSheetId="25" hidden="1">{"'용역비'!$A$4:$C$8"}</definedName>
    <definedName name="ㅁㄴㅇㄻㄴㅇㄹㄴㅁㅎㄴㅇㅎ" hidden="1">{"'용역비'!$A$4:$C$8"}</definedName>
    <definedName name="ㅁㄴㅇㅁ" localSheetId="24" hidden="1">{"'용역비'!$A$4:$C$8"}</definedName>
    <definedName name="ㅁㄴㅇㅁ" localSheetId="18" hidden="1">{"'용역비'!$A$4:$C$8"}</definedName>
    <definedName name="ㅁㄴㅇㅁ" localSheetId="25" hidden="1">{"'용역비'!$A$4:$C$8"}</definedName>
    <definedName name="ㅁㄴㅇㅁ" hidden="1">{"'용역비'!$A$4:$C$8"}</definedName>
    <definedName name="ㅁㄴㅇㅁㄴㅇ" localSheetId="24" hidden="1">{#N/A,#N/A,TRUE,"Y생산";#N/A,#N/A,TRUE,"Y판매";#N/A,#N/A,TRUE,"Y총물량";#N/A,#N/A,TRUE,"Y능력";#N/A,#N/A,TRUE,"YKD"}</definedName>
    <definedName name="ㅁㄴㅇㅁㄴㅇ" localSheetId="18" hidden="1">{#N/A,#N/A,TRUE,"Y생산";#N/A,#N/A,TRUE,"Y판매";#N/A,#N/A,TRUE,"Y총물량";#N/A,#N/A,TRUE,"Y능력";#N/A,#N/A,TRUE,"YKD"}</definedName>
    <definedName name="ㅁㄴㅇㅁㄴㅇ" localSheetId="25" hidden="1">{#N/A,#N/A,TRUE,"Y생산";#N/A,#N/A,TRUE,"Y판매";#N/A,#N/A,TRUE,"Y총물량";#N/A,#N/A,TRUE,"Y능력";#N/A,#N/A,TRUE,"YKD"}</definedName>
    <definedName name="ㅁㄴㅇㅁㄴㅇ" hidden="1">{#N/A,#N/A,TRUE,"Y생산";#N/A,#N/A,TRUE,"Y판매";#N/A,#N/A,TRUE,"Y총물량";#N/A,#N/A,TRUE,"Y능력";#N/A,#N/A,TRUE,"YKD"}</definedName>
    <definedName name="ㅁㄴㅇㅁㄴㅇ_1" localSheetId="24" hidden="1">{#N/A,#N/A,TRUE,"Y생산";#N/A,#N/A,TRUE,"Y판매";#N/A,#N/A,TRUE,"Y총물량";#N/A,#N/A,TRUE,"Y능력";#N/A,#N/A,TRUE,"YKD"}</definedName>
    <definedName name="ㅁㄴㅇㅁㄴㅇ_1" localSheetId="18" hidden="1">{#N/A,#N/A,TRUE,"Y생산";#N/A,#N/A,TRUE,"Y판매";#N/A,#N/A,TRUE,"Y총물량";#N/A,#N/A,TRUE,"Y능력";#N/A,#N/A,TRUE,"YKD"}</definedName>
    <definedName name="ㅁㄴㅇㅁㄴㅇ_1" localSheetId="25" hidden="1">{#N/A,#N/A,TRUE,"Y생산";#N/A,#N/A,TRUE,"Y판매";#N/A,#N/A,TRUE,"Y총물량";#N/A,#N/A,TRUE,"Y능력";#N/A,#N/A,TRUE,"YKD"}</definedName>
    <definedName name="ㅁㄴㅇㅁㄴㅇ_1" hidden="1">{#N/A,#N/A,TRUE,"Y생산";#N/A,#N/A,TRUE,"Y판매";#N/A,#N/A,TRUE,"Y총물량";#N/A,#N/A,TRUE,"Y능력";#N/A,#N/A,TRUE,"YKD"}</definedName>
    <definedName name="ㅁㄴㅇㅁㄴㅇㅁ" localSheetId="24" hidden="1">{#N/A,#N/A,TRUE,"Y생산";#N/A,#N/A,TRUE,"Y판매";#N/A,#N/A,TRUE,"Y총물량";#N/A,#N/A,TRUE,"Y능력";#N/A,#N/A,TRUE,"YKD"}</definedName>
    <definedName name="ㅁㄴㅇㅁㄴㅇㅁ" localSheetId="18" hidden="1">{#N/A,#N/A,TRUE,"Y생산";#N/A,#N/A,TRUE,"Y판매";#N/A,#N/A,TRUE,"Y총물량";#N/A,#N/A,TRUE,"Y능력";#N/A,#N/A,TRUE,"YKD"}</definedName>
    <definedName name="ㅁㄴㅇㅁㄴㅇㅁ" localSheetId="25" hidden="1">{#N/A,#N/A,TRUE,"Y생산";#N/A,#N/A,TRUE,"Y판매";#N/A,#N/A,TRUE,"Y총물량";#N/A,#N/A,TRUE,"Y능력";#N/A,#N/A,TRUE,"YKD"}</definedName>
    <definedName name="ㅁㄴㅇㅁㄴㅇㅁ" hidden="1">{#N/A,#N/A,TRUE,"Y생산";#N/A,#N/A,TRUE,"Y판매";#N/A,#N/A,TRUE,"Y총물량";#N/A,#N/A,TRUE,"Y능력";#N/A,#N/A,TRUE,"YKD"}</definedName>
    <definedName name="ㅁㄴㅇㅁㄴㅇㅁ_1" localSheetId="24" hidden="1">{#N/A,#N/A,TRUE,"Y생산";#N/A,#N/A,TRUE,"Y판매";#N/A,#N/A,TRUE,"Y총물량";#N/A,#N/A,TRUE,"Y능력";#N/A,#N/A,TRUE,"YKD"}</definedName>
    <definedName name="ㅁㄴㅇㅁㄴㅇㅁ_1" localSheetId="18" hidden="1">{#N/A,#N/A,TRUE,"Y생산";#N/A,#N/A,TRUE,"Y판매";#N/A,#N/A,TRUE,"Y총물량";#N/A,#N/A,TRUE,"Y능력";#N/A,#N/A,TRUE,"YKD"}</definedName>
    <definedName name="ㅁㄴㅇㅁㄴㅇㅁ_1" localSheetId="25" hidden="1">{#N/A,#N/A,TRUE,"Y생산";#N/A,#N/A,TRUE,"Y판매";#N/A,#N/A,TRUE,"Y총물량";#N/A,#N/A,TRUE,"Y능력";#N/A,#N/A,TRUE,"YKD"}</definedName>
    <definedName name="ㅁㄴㅇㅁㄴㅇㅁ_1" hidden="1">{#N/A,#N/A,TRUE,"Y생산";#N/A,#N/A,TRUE,"Y판매";#N/A,#N/A,TRUE,"Y총물량";#N/A,#N/A,TRUE,"Y능력";#N/A,#N/A,TRUE,"YKD"}</definedName>
    <definedName name="ㅁㄹㅇ" localSheetId="24" hidden="1">{#N/A,#N/A,FALSE,"동부"}</definedName>
    <definedName name="ㅁㄹㅇ" localSheetId="18" hidden="1">{#N/A,#N/A,FALSE,"동부"}</definedName>
    <definedName name="ㅁㄹㅇ" localSheetId="25" hidden="1">{#N/A,#N/A,FALSE,"동부"}</definedName>
    <definedName name="ㅁㄹㅇ" hidden="1">{#N/A,#N/A,FALSE,"동부"}</definedName>
    <definedName name="ㅁㅁ" localSheetId="24" hidden="1">{#N/A,#N/A,FALSE,"동부"}</definedName>
    <definedName name="ㅁㅁ" localSheetId="18" hidden="1">{#N/A,#N/A,FALSE,"동부"}</definedName>
    <definedName name="ㅁㅁ" localSheetId="25" hidden="1">{#N/A,#N/A,FALSE,"동부"}</definedName>
    <definedName name="ㅁㅁ" hidden="1">{#N/A,#N/A,FALSE,"동부"}</definedName>
    <definedName name="ㅁㅁㅁ" localSheetId="24" hidden="1">{#N/A,#N/A,FALSE,"지침";#N/A,#N/A,FALSE,"환경분석";#N/A,#N/A,FALSE,"Sheet16"}</definedName>
    <definedName name="ㅁㅁㅁ" localSheetId="18" hidden="1">{#N/A,#N/A,FALSE,"지침";#N/A,#N/A,FALSE,"환경분석";#N/A,#N/A,FALSE,"Sheet16"}</definedName>
    <definedName name="ㅁㅁㅁ" localSheetId="25" hidden="1">{#N/A,#N/A,FALSE,"지침";#N/A,#N/A,FALSE,"환경분석";#N/A,#N/A,FALSE,"Sheet16"}</definedName>
    <definedName name="ㅁㅁㅁ" hidden="1">{#N/A,#N/A,FALSE,"지침";#N/A,#N/A,FALSE,"환경분석";#N/A,#N/A,FALSE,"Sheet16"}</definedName>
    <definedName name="ㅁㅁㅁㅁ"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ㅁㅁㅁ"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ㅁㅁㅁㅁ"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ㅁㅁㅁㅁ" hidden="1">{#N/A,#N/A,FALSE,"손익표지";#N/A,#N/A,FALSE,"손익계산";#N/A,#N/A,FALSE,"일반관리비";#N/A,#N/A,FALSE,"영업외수익";#N/A,#N/A,FALSE,"영업외비용";#N/A,#N/A,FALSE,"매출액";#N/A,#N/A,FALSE,"요약손익";#N/A,#N/A,FALSE,"요약대차";#N/A,#N/A,FALSE,"매출채권현황";#N/A,#N/A,FALSE,"매출채권명세"}</definedName>
    <definedName name="ㅁㅁㅁㅁㅁ" localSheetId="24" hidden="1">{#N/A,#N/A,FALSE,"CAM-G7";#N/A,#N/A,FALSE,"SPL";#N/A,#N/A,FALSE,"butt-in G7";#N/A,#N/A,FALSE,"dia-in G7";#N/A,#N/A,FALSE,"추가-STA G7"}</definedName>
    <definedName name="ㅁㅁㅁㅁㅁ" localSheetId="18" hidden="1">{#N/A,#N/A,FALSE,"CAM-G7";#N/A,#N/A,FALSE,"SPL";#N/A,#N/A,FALSE,"butt-in G7";#N/A,#N/A,FALSE,"dia-in G7";#N/A,#N/A,FALSE,"추가-STA G7"}</definedName>
    <definedName name="ㅁㅁㅁㅁㅁ" localSheetId="25" hidden="1">{#N/A,#N/A,FALSE,"CAM-G7";#N/A,#N/A,FALSE,"SPL";#N/A,#N/A,FALSE,"butt-in G7";#N/A,#N/A,FALSE,"dia-in G7";#N/A,#N/A,FALSE,"추가-STA G7"}</definedName>
    <definedName name="ㅁㅁㅁㅁㅁ" hidden="1">{#N/A,#N/A,FALSE,"CAM-G7";#N/A,#N/A,FALSE,"SPL";#N/A,#N/A,FALSE,"butt-in G7";#N/A,#N/A,FALSE,"dia-in G7";#N/A,#N/A,FALSE,"추가-STA G7"}</definedName>
    <definedName name="ㅁㅁㅁㅁㅁㅁㅁ"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ㅁㅁㅁㅁㅁㅁ"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ㅁㅁㅁㅁㅁㅁ"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ㅁㅁㅁㅁㅁㅁ"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ㅁㅁㅁㅁㅁㅁㅁㅁㅁㅁㅁㅁㅁ" localSheetId="24" hidden="1">{"'용역비'!$A$4:$C$8"}</definedName>
    <definedName name="ㅁㅁㅁㅁㅁㅁㅁㅁㅁㅁㅁㅁㅁㅁ" localSheetId="18" hidden="1">{"'용역비'!$A$4:$C$8"}</definedName>
    <definedName name="ㅁㅁㅁㅁㅁㅁㅁㅁㅁㅁㅁㅁㅁㅁ" localSheetId="25" hidden="1">{"'용역비'!$A$4:$C$8"}</definedName>
    <definedName name="ㅁㅁㅁㅁㅁㅁㅁㅁㅁㅁㅁㅁㅁㅁ" hidden="1">{"'용역비'!$A$4:$C$8"}</definedName>
    <definedName name="ㅁㅁㅁㅂ" localSheetId="24" hidden="1">{"'용역비'!$A$4:$C$8"}</definedName>
    <definedName name="ㅁㅁㅁㅂ" localSheetId="18" hidden="1">{"'용역비'!$A$4:$C$8"}</definedName>
    <definedName name="ㅁㅁㅁㅂ" localSheetId="25" hidden="1">{"'용역비'!$A$4:$C$8"}</definedName>
    <definedName name="ㅁㅁㅁㅂ" hidden="1">{"'용역비'!$A$4:$C$8"}</definedName>
    <definedName name="ㅁㅅㅅㅁㄱㅈ"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ㅅㅅㅁㄱㅈ"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ㅅㅅㅁㄱㅈ"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ㅅㅅㅁㄱㅈ"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ㅇㄴㅁ"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ㅇㄴㅁ"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ㅇㄴㅁ"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ㅇㄴㅁ"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ㅇㄹ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ㅇㄹ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ㅁㅇㄹㅇ"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ㅁㅇㄹㅇ" hidden="1">{#N/A,#N/A,FALSE,"손익표지";#N/A,#N/A,FALSE,"손익계산";#N/A,#N/A,FALSE,"일반관리비";#N/A,#N/A,FALSE,"영업외수익";#N/A,#N/A,FALSE,"영업외비용";#N/A,#N/A,FALSE,"매출액";#N/A,#N/A,FALSE,"요약손익";#N/A,#N/A,FALSE,"요약대차";#N/A,#N/A,FALSE,"매출채권현황";#N/A,#N/A,FALSE,"매출채권명세"}</definedName>
    <definedName name="ㅁㅇㄹ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ㅇㄹㅇ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ㅁㅇㄹㅇ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ㅁㅇㄹㅇㄹ" hidden="1">{#N/A,#N/A,FALSE,"손익표지";#N/A,#N/A,FALSE,"손익계산";#N/A,#N/A,FALSE,"일반관리비";#N/A,#N/A,FALSE,"영업외수익";#N/A,#N/A,FALSE,"영업외비용";#N/A,#N/A,FALSE,"매출액";#N/A,#N/A,FALSE,"요약손익";#N/A,#N/A,FALSE,"요약대차";#N/A,#N/A,FALSE,"매출채권현황";#N/A,#N/A,FALSE,"매출채권명세"}</definedName>
    <definedName name="ㅁㅇㅁㄴㅇ" localSheetId="24" hidden="1">{"'용역비'!$A$4:$C$8"}</definedName>
    <definedName name="ㅁㅇㅁㄴㅇ" localSheetId="18" hidden="1">{"'용역비'!$A$4:$C$8"}</definedName>
    <definedName name="ㅁㅇㅁㄴㅇ" localSheetId="25" hidden="1">{"'용역비'!$A$4:$C$8"}</definedName>
    <definedName name="ㅁㅇㅁㄴㅇ" hidden="1">{"'용역비'!$A$4:$C$8"}</definedName>
    <definedName name="ㅁㅈㄷ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ㅈㄷ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ㅁㅈㄷㄱ"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ㅁㅈㄷㄱ" hidden="1">{#N/A,#N/A,FALSE,"손익표지";#N/A,#N/A,FALSE,"손익계산";#N/A,#N/A,FALSE,"일반관리비";#N/A,#N/A,FALSE,"영업외수익";#N/A,#N/A,FALSE,"영업외비용";#N/A,#N/A,FALSE,"매출액";#N/A,#N/A,FALSE,"요약손익";#N/A,#N/A,FALSE,"요약대차";#N/A,#N/A,FALSE,"매출채권현황";#N/A,#N/A,FALSE,"매출채권명세"}</definedName>
    <definedName name="ㅁㅎㄹ" localSheetId="24" hidden="1">{#N/A,#N/A,FALSE,"동부"}</definedName>
    <definedName name="ㅁㅎㄹ" localSheetId="18" hidden="1">{#N/A,#N/A,FALSE,"동부"}</definedName>
    <definedName name="ㅁㅎㄹ" localSheetId="25" hidden="1">{#N/A,#N/A,FALSE,"동부"}</definedName>
    <definedName name="ㅁㅎㄹ" hidden="1">{#N/A,#N/A,FALSE,"동부"}</definedName>
    <definedName name="ㅁㅎㅀ" localSheetId="24" hidden="1">{#N/A,#N/A,TRUE,"대 차 대 조 표"}</definedName>
    <definedName name="ㅁㅎㅀ" localSheetId="18" hidden="1">{#N/A,#N/A,TRUE,"대 차 대 조 표"}</definedName>
    <definedName name="ㅁㅎㅀ" localSheetId="25" hidden="1">{#N/A,#N/A,TRUE,"대 차 대 조 표"}</definedName>
    <definedName name="ㅁㅎㅀ" hidden="1">{#N/A,#N/A,TRUE,"대 차 대 조 표"}</definedName>
    <definedName name="마" localSheetId="24" hidden="1">{#N/A,#N/A,FALSE,"1.CRITERIA";#N/A,#N/A,FALSE,"2.IS";#N/A,#N/A,FALSE,"3.BS";#N/A,#N/A,FALSE,"4.PER PL";#N/A,#N/A,FALSE,"5.INVESTMENT";#N/A,#N/A,FALSE,"6.공문";#N/A,#N/A,FALSE,"7.netinvest"}</definedName>
    <definedName name="마" localSheetId="18" hidden="1">{#N/A,#N/A,FALSE,"1.CRITERIA";#N/A,#N/A,FALSE,"2.IS";#N/A,#N/A,FALSE,"3.BS";#N/A,#N/A,FALSE,"4.PER PL";#N/A,#N/A,FALSE,"5.INVESTMENT";#N/A,#N/A,FALSE,"6.공문";#N/A,#N/A,FALSE,"7.netinvest"}</definedName>
    <definedName name="마" localSheetId="25" hidden="1">{#N/A,#N/A,FALSE,"1.CRITERIA";#N/A,#N/A,FALSE,"2.IS";#N/A,#N/A,FALSE,"3.BS";#N/A,#N/A,FALSE,"4.PER PL";#N/A,#N/A,FALSE,"5.INVESTMENT";#N/A,#N/A,FALSE,"6.공문";#N/A,#N/A,FALSE,"7.netinvest"}</definedName>
    <definedName name="마" hidden="1">{#N/A,#N/A,FALSE,"1.CRITERIA";#N/A,#N/A,FALSE,"2.IS";#N/A,#N/A,FALSE,"3.BS";#N/A,#N/A,FALSE,"4.PER PL";#N/A,#N/A,FALSE,"5.INVESTMENT";#N/A,#N/A,FALSE,"6.공문";#N/A,#N/A,FALSE,"7.netinvest"}</definedName>
    <definedName name="마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마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마라"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마라" hidden="1">{#N/A,#N/A,FALSE,"손익표지";#N/A,#N/A,FALSE,"손익계산";#N/A,#N/A,FALSE,"일반관리비";#N/A,#N/A,FALSE,"영업외수익";#N/A,#N/A,FALSE,"영업외비용";#N/A,#N/A,FALSE,"매출액";#N/A,#N/A,FALSE,"요약손익";#N/A,#N/A,FALSE,"요약대차";#N/A,#N/A,FALSE,"매출채권현황";#N/A,#N/A,FALSE,"매출채권명세"}</definedName>
    <definedName name="마마" localSheetId="24" hidden="1">{#N/A,#N/A,FALSE,"1.CRITERIA";#N/A,#N/A,FALSE,"2.IS";#N/A,#N/A,FALSE,"3.BS";#N/A,#N/A,FALSE,"4.PER PL";#N/A,#N/A,FALSE,"5.INVESTMENT";#N/A,#N/A,FALSE,"6.공문";#N/A,#N/A,FALSE,"7.netinvest"}</definedName>
    <definedName name="마마" localSheetId="18" hidden="1">{#N/A,#N/A,FALSE,"1.CRITERIA";#N/A,#N/A,FALSE,"2.IS";#N/A,#N/A,FALSE,"3.BS";#N/A,#N/A,FALSE,"4.PER PL";#N/A,#N/A,FALSE,"5.INVESTMENT";#N/A,#N/A,FALSE,"6.공문";#N/A,#N/A,FALSE,"7.netinvest"}</definedName>
    <definedName name="마마" localSheetId="25" hidden="1">{#N/A,#N/A,FALSE,"1.CRITERIA";#N/A,#N/A,FALSE,"2.IS";#N/A,#N/A,FALSE,"3.BS";#N/A,#N/A,FALSE,"4.PER PL";#N/A,#N/A,FALSE,"5.INVESTMENT";#N/A,#N/A,FALSE,"6.공문";#N/A,#N/A,FALSE,"7.netinvest"}</definedName>
    <definedName name="마마" hidden="1">{#N/A,#N/A,FALSE,"1.CRITERIA";#N/A,#N/A,FALSE,"2.IS";#N/A,#N/A,FALSE,"3.BS";#N/A,#N/A,FALSE,"4.PER PL";#N/A,#N/A,FALSE,"5.INVESTMENT";#N/A,#N/A,FALSE,"6.공문";#N/A,#N/A,FALSE,"7.netinvest"}</definedName>
    <definedName name="마마오" localSheetId="24" hidden="1">{#N/A,#N/A,FALSE,"1.CRITERIA";#N/A,#N/A,FALSE,"2.IS";#N/A,#N/A,FALSE,"3.BS";#N/A,#N/A,FALSE,"4.PER PL";#N/A,#N/A,FALSE,"5.INVESTMENT";#N/A,#N/A,FALSE,"6.공문";#N/A,#N/A,FALSE,"7.netinvest"}</definedName>
    <definedName name="마마오" localSheetId="18" hidden="1">{#N/A,#N/A,FALSE,"1.CRITERIA";#N/A,#N/A,FALSE,"2.IS";#N/A,#N/A,FALSE,"3.BS";#N/A,#N/A,FALSE,"4.PER PL";#N/A,#N/A,FALSE,"5.INVESTMENT";#N/A,#N/A,FALSE,"6.공문";#N/A,#N/A,FALSE,"7.netinvest"}</definedName>
    <definedName name="마마오" localSheetId="25" hidden="1">{#N/A,#N/A,FALSE,"1.CRITERIA";#N/A,#N/A,FALSE,"2.IS";#N/A,#N/A,FALSE,"3.BS";#N/A,#N/A,FALSE,"4.PER PL";#N/A,#N/A,FALSE,"5.INVESTMENT";#N/A,#N/A,FALSE,"6.공문";#N/A,#N/A,FALSE,"7.netinvest"}</definedName>
    <definedName name="마마오" hidden="1">{#N/A,#N/A,FALSE,"1.CRITERIA";#N/A,#N/A,FALSE,"2.IS";#N/A,#N/A,FALSE,"3.BS";#N/A,#N/A,FALSE,"4.PER PL";#N/A,#N/A,FALSE,"5.INVESTMENT";#N/A,#N/A,FALSE,"6.공문";#N/A,#N/A,FALSE,"7.netinvest"}</definedName>
    <definedName name="마마이" localSheetId="24" hidden="1">{#N/A,#N/A,FALSE,"1.CRITERIA";#N/A,#N/A,FALSE,"2.IS";#N/A,#N/A,FALSE,"3.BS";#N/A,#N/A,FALSE,"4.PER PL";#N/A,#N/A,FALSE,"5.INVESTMENT";#N/A,#N/A,FALSE,"6.공문";#N/A,#N/A,FALSE,"7.netinvest"}</definedName>
    <definedName name="마마이" localSheetId="18" hidden="1">{#N/A,#N/A,FALSE,"1.CRITERIA";#N/A,#N/A,FALSE,"2.IS";#N/A,#N/A,FALSE,"3.BS";#N/A,#N/A,FALSE,"4.PER PL";#N/A,#N/A,FALSE,"5.INVESTMENT";#N/A,#N/A,FALSE,"6.공문";#N/A,#N/A,FALSE,"7.netinvest"}</definedName>
    <definedName name="마마이" localSheetId="25" hidden="1">{#N/A,#N/A,FALSE,"1.CRITERIA";#N/A,#N/A,FALSE,"2.IS";#N/A,#N/A,FALSE,"3.BS";#N/A,#N/A,FALSE,"4.PER PL";#N/A,#N/A,FALSE,"5.INVESTMENT";#N/A,#N/A,FALSE,"6.공문";#N/A,#N/A,FALSE,"7.netinvest"}</definedName>
    <definedName name="마마이" hidden="1">{#N/A,#N/A,FALSE,"1.CRITERIA";#N/A,#N/A,FALSE,"2.IS";#N/A,#N/A,FALSE,"3.BS";#N/A,#N/A,FALSE,"4.PER PL";#N/A,#N/A,FALSE,"5.INVESTMENT";#N/A,#N/A,FALSE,"6.공문";#N/A,#N/A,FALSE,"7.netinvest"}</definedName>
    <definedName name="마바"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마바"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마바"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마바" hidden="1">{#N/A,#N/A,FALSE,"손익표지";#N/A,#N/A,FALSE,"손익계산";#N/A,#N/A,FALSE,"일반관리비";#N/A,#N/A,FALSE,"영업외수익";#N/A,#N/A,FALSE,"영업외비용";#N/A,#N/A,FALSE,"매출액";#N/A,#N/A,FALSE,"요약손익";#N/A,#N/A,FALSE,"요약대차";#N/A,#N/A,FALSE,"매출채권현황";#N/A,#N/A,FALSE,"매출채권명세"}</definedName>
    <definedName name="마북리" localSheetId="24" hidden="1">{"'7'!$B$15:$D$32"}</definedName>
    <definedName name="마북리" localSheetId="18" hidden="1">{"'7'!$B$15:$D$32"}</definedName>
    <definedName name="마북리" localSheetId="25" hidden="1">{"'7'!$B$15:$D$32"}</definedName>
    <definedName name="마북리" hidden="1">{"'7'!$B$15:$D$32"}</definedName>
    <definedName name="마아" localSheetId="24" hidden="1">{#N/A,#N/A,FALSE,"1.CRITERIA";#N/A,#N/A,FALSE,"2.IS";#N/A,#N/A,FALSE,"3.BS";#N/A,#N/A,FALSE,"4.PER PL";#N/A,#N/A,FALSE,"5.INVESTMENT";#N/A,#N/A,FALSE,"6.공문";#N/A,#N/A,FALSE,"7.netinvest"}</definedName>
    <definedName name="마아" localSheetId="18" hidden="1">{#N/A,#N/A,FALSE,"1.CRITERIA";#N/A,#N/A,FALSE,"2.IS";#N/A,#N/A,FALSE,"3.BS";#N/A,#N/A,FALSE,"4.PER PL";#N/A,#N/A,FALSE,"5.INVESTMENT";#N/A,#N/A,FALSE,"6.공문";#N/A,#N/A,FALSE,"7.netinvest"}</definedName>
    <definedName name="마아" localSheetId="25" hidden="1">{#N/A,#N/A,FALSE,"1.CRITERIA";#N/A,#N/A,FALSE,"2.IS";#N/A,#N/A,FALSE,"3.BS";#N/A,#N/A,FALSE,"4.PER PL";#N/A,#N/A,FALSE,"5.INVESTMENT";#N/A,#N/A,FALSE,"6.공문";#N/A,#N/A,FALSE,"7.netinvest"}</definedName>
    <definedName name="마아" hidden="1">{#N/A,#N/A,FALSE,"1.CRITERIA";#N/A,#N/A,FALSE,"2.IS";#N/A,#N/A,FALSE,"3.BS";#N/A,#N/A,FALSE,"4.PER PL";#N/A,#N/A,FALSE,"5.INVESTMENT";#N/A,#N/A,FALSE,"6.공문";#N/A,#N/A,FALSE,"7.netinvest"}</definedName>
    <definedName name="마파도" localSheetId="24" hidden="1">{#N/A,#N/A,FALSE,"97년 투자계획 세부내역 "}</definedName>
    <definedName name="마파도" localSheetId="18" hidden="1">{#N/A,#N/A,FALSE,"97년 투자계획 세부내역 "}</definedName>
    <definedName name="마파도" localSheetId="25" hidden="1">{#N/A,#N/A,FALSE,"97년 투자계획 세부내역 "}</definedName>
    <definedName name="마파도" hidden="1">{#N/A,#N/A,FALSE,"97년 투자계획 세부내역 "}</definedName>
    <definedName name="만족" localSheetId="24" hidden="1">{"'7'!$B$15:$D$32"}</definedName>
    <definedName name="만족" localSheetId="18" hidden="1">{"'7'!$B$15:$D$32"}</definedName>
    <definedName name="만족" localSheetId="25" hidden="1">{"'7'!$B$15:$D$32"}</definedName>
    <definedName name="만족" hidden="1">{"'7'!$B$15:$D$32"}</definedName>
    <definedName name="매" localSheetId="24" hidden="1">{#N/A,#N/A,FALSE,"1.CRITERIA";#N/A,#N/A,FALSE,"2.IS";#N/A,#N/A,FALSE,"3.BS";#N/A,#N/A,FALSE,"4.PER PL";#N/A,#N/A,FALSE,"5.INVESTMENT";#N/A,#N/A,FALSE,"6.공문";#N/A,#N/A,FALSE,"7.netinvest"}</definedName>
    <definedName name="매" localSheetId="18" hidden="1">{#N/A,#N/A,FALSE,"1.CRITERIA";#N/A,#N/A,FALSE,"2.IS";#N/A,#N/A,FALSE,"3.BS";#N/A,#N/A,FALSE,"4.PER PL";#N/A,#N/A,FALSE,"5.INVESTMENT";#N/A,#N/A,FALSE,"6.공문";#N/A,#N/A,FALSE,"7.netinvest"}</definedName>
    <definedName name="매" localSheetId="25" hidden="1">{#N/A,#N/A,FALSE,"1.CRITERIA";#N/A,#N/A,FALSE,"2.IS";#N/A,#N/A,FALSE,"3.BS";#N/A,#N/A,FALSE,"4.PER PL";#N/A,#N/A,FALSE,"5.INVESTMENT";#N/A,#N/A,FALSE,"6.공문";#N/A,#N/A,FALSE,"7.netinvest"}</definedName>
    <definedName name="매" hidden="1">{#N/A,#N/A,FALSE,"1.CRITERIA";#N/A,#N/A,FALSE,"2.IS";#N/A,#N/A,FALSE,"3.BS";#N/A,#N/A,FALSE,"4.PER PL";#N/A,#N/A,FALSE,"5.INVESTMENT";#N/A,#N/A,FALSE,"6.공문";#N/A,#N/A,FALSE,"7.netinvest"}</definedName>
    <definedName name="매롱" localSheetId="24" hidden="1">{#N/A,#N/A,FALSE,"동부"}</definedName>
    <definedName name="매롱" localSheetId="18" hidden="1">{#N/A,#N/A,FALSE,"동부"}</definedName>
    <definedName name="매롱" localSheetId="25" hidden="1">{#N/A,#N/A,FALSE,"동부"}</definedName>
    <definedName name="매롱" hidden="1">{#N/A,#N/A,FALSE,"동부"}</definedName>
    <definedName name="매축액2" localSheetId="24" hidden="1">{#N/A,#N/A,FALSE,"1.CRITERIA";#N/A,#N/A,FALSE,"2.IS";#N/A,#N/A,FALSE,"3.BS";#N/A,#N/A,FALSE,"4.PER PL";#N/A,#N/A,FALSE,"5.INVESTMENT";#N/A,#N/A,FALSE,"6.공문";#N/A,#N/A,FALSE,"7.netinvest"}</definedName>
    <definedName name="매축액2" localSheetId="18" hidden="1">{#N/A,#N/A,FALSE,"1.CRITERIA";#N/A,#N/A,FALSE,"2.IS";#N/A,#N/A,FALSE,"3.BS";#N/A,#N/A,FALSE,"4.PER PL";#N/A,#N/A,FALSE,"5.INVESTMENT";#N/A,#N/A,FALSE,"6.공문";#N/A,#N/A,FALSE,"7.netinvest"}</definedName>
    <definedName name="매축액2" localSheetId="25" hidden="1">{#N/A,#N/A,FALSE,"1.CRITERIA";#N/A,#N/A,FALSE,"2.IS";#N/A,#N/A,FALSE,"3.BS";#N/A,#N/A,FALSE,"4.PER PL";#N/A,#N/A,FALSE,"5.INVESTMENT";#N/A,#N/A,FALSE,"6.공문";#N/A,#N/A,FALSE,"7.netinvest"}</definedName>
    <definedName name="매축액2" hidden="1">{#N/A,#N/A,FALSE,"1.CRITERIA";#N/A,#N/A,FALSE,"2.IS";#N/A,#N/A,FALSE,"3.BS";#N/A,#N/A,FALSE,"4.PER PL";#N/A,#N/A,FALSE,"5.INVESTMENT";#N/A,#N/A,FALSE,"6.공문";#N/A,#N/A,FALSE,"7.netinvest"}</definedName>
    <definedName name="매출bogo"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매출bogo"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매출bogo"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매출bogo" hidden="1">{#N/A,#N/A,FALSE,"손익표지";#N/A,#N/A,FALSE,"손익계산";#N/A,#N/A,FALSE,"일반관리비";#N/A,#N/A,FALSE,"영업외수익";#N/A,#N/A,FALSE,"영업외비용";#N/A,#N/A,FALSE,"매출액";#N/A,#N/A,FALSE,"요약손익";#N/A,#N/A,FALSE,"요약대차";#N/A,#N/A,FALSE,"매출채권현황";#N/A,#N/A,FALSE,"매출채권명세"}</definedName>
    <definedName name="매출액2" localSheetId="24" hidden="1">{#N/A,#N/A,FALSE,"1.CRITERIA";#N/A,#N/A,FALSE,"2.IS";#N/A,#N/A,FALSE,"3.BS";#N/A,#N/A,FALSE,"4.PER PL";#N/A,#N/A,FALSE,"5.INVESTMENT";#N/A,#N/A,FALSE,"6.공문";#N/A,#N/A,FALSE,"7.netinvest"}</definedName>
    <definedName name="매출액2" localSheetId="18" hidden="1">{#N/A,#N/A,FALSE,"1.CRITERIA";#N/A,#N/A,FALSE,"2.IS";#N/A,#N/A,FALSE,"3.BS";#N/A,#N/A,FALSE,"4.PER PL";#N/A,#N/A,FALSE,"5.INVESTMENT";#N/A,#N/A,FALSE,"6.공문";#N/A,#N/A,FALSE,"7.netinvest"}</definedName>
    <definedName name="매출액2" localSheetId="25" hidden="1">{#N/A,#N/A,FALSE,"1.CRITERIA";#N/A,#N/A,FALSE,"2.IS";#N/A,#N/A,FALSE,"3.BS";#N/A,#N/A,FALSE,"4.PER PL";#N/A,#N/A,FALSE,"5.INVESTMENT";#N/A,#N/A,FALSE,"6.공문";#N/A,#N/A,FALSE,"7.netinvest"}</definedName>
    <definedName name="매출액2" hidden="1">{#N/A,#N/A,FALSE,"1.CRITERIA";#N/A,#N/A,FALSE,"2.IS";#N/A,#N/A,FALSE,"3.BS";#N/A,#N/A,FALSE,"4.PER PL";#N/A,#N/A,FALSE,"5.INVESTMENT";#N/A,#N/A,FALSE,"6.공문";#N/A,#N/A,FALSE,"7.netinvest"}</definedName>
    <definedName name="맥쿼리" localSheetId="24" hidden="1">{#N/A,#N/A,TRUE,"대 차 대 조 표"}</definedName>
    <definedName name="맥쿼리" localSheetId="18" hidden="1">{#N/A,#N/A,TRUE,"대 차 대 조 표"}</definedName>
    <definedName name="맥쿼리" localSheetId="25" hidden="1">{#N/A,#N/A,TRUE,"대 차 대 조 표"}</definedName>
    <definedName name="맥쿼리" hidden="1">{#N/A,#N/A,TRUE,"대 차 대 조 표"}</definedName>
    <definedName name="머머" localSheetId="24" hidden="1">{#N/A,#N/A,FALSE,"1.CRITERIA";#N/A,#N/A,FALSE,"2.IS";#N/A,#N/A,FALSE,"3.BS";#N/A,#N/A,FALSE,"4.PER PL";#N/A,#N/A,FALSE,"5.INVESTMENT";#N/A,#N/A,FALSE,"6.공문";#N/A,#N/A,FALSE,"7.netinvest"}</definedName>
    <definedName name="머머" localSheetId="18" hidden="1">{#N/A,#N/A,FALSE,"1.CRITERIA";#N/A,#N/A,FALSE,"2.IS";#N/A,#N/A,FALSE,"3.BS";#N/A,#N/A,FALSE,"4.PER PL";#N/A,#N/A,FALSE,"5.INVESTMENT";#N/A,#N/A,FALSE,"6.공문";#N/A,#N/A,FALSE,"7.netinvest"}</definedName>
    <definedName name="머머" localSheetId="25" hidden="1">{#N/A,#N/A,FALSE,"1.CRITERIA";#N/A,#N/A,FALSE,"2.IS";#N/A,#N/A,FALSE,"3.BS";#N/A,#N/A,FALSE,"4.PER PL";#N/A,#N/A,FALSE,"5.INVESTMENT";#N/A,#N/A,FALSE,"6.공문";#N/A,#N/A,FALSE,"7.netinvest"}</definedName>
    <definedName name="머머" hidden="1">{#N/A,#N/A,FALSE,"1.CRITERIA";#N/A,#N/A,FALSE,"2.IS";#N/A,#N/A,FALSE,"3.BS";#N/A,#N/A,FALSE,"4.PER PL";#N/A,#N/A,FALSE,"5.INVESTMENT";#N/A,#N/A,FALSE,"6.공문";#N/A,#N/A,FALSE,"7.netinvest"}</definedName>
    <definedName name="메뉴" localSheetId="24" hidden="1">{"'7'!$B$15:$D$32"}</definedName>
    <definedName name="메뉴" localSheetId="18" hidden="1">{"'7'!$B$15:$D$32"}</definedName>
    <definedName name="메뉴" localSheetId="25" hidden="1">{"'7'!$B$15:$D$32"}</definedName>
    <definedName name="메뉴" hidden="1">{"'7'!$B$15:$D$32"}</definedName>
    <definedName name="메롱" localSheetId="24" hidden="1">{#N/A,#N/A,FALSE,"동부"}</definedName>
    <definedName name="메롱" localSheetId="18" hidden="1">{#N/A,#N/A,FALSE,"동부"}</definedName>
    <definedName name="메롱" localSheetId="25" hidden="1">{#N/A,#N/A,FALSE,"동부"}</definedName>
    <definedName name="메롱" hidden="1">{#N/A,#N/A,FALSE,"동부"}</definedName>
    <definedName name="며며" localSheetId="24" hidden="1">{#N/A,#N/A,FALSE,"1.CRITERIA";#N/A,#N/A,FALSE,"2.IS";#N/A,#N/A,FALSE,"3.BS";#N/A,#N/A,FALSE,"4.PER PL";#N/A,#N/A,FALSE,"5.INVESTMENT";#N/A,#N/A,FALSE,"6.공문";#N/A,#N/A,FALSE,"7.netinvest"}</definedName>
    <definedName name="며며" localSheetId="18" hidden="1">{#N/A,#N/A,FALSE,"1.CRITERIA";#N/A,#N/A,FALSE,"2.IS";#N/A,#N/A,FALSE,"3.BS";#N/A,#N/A,FALSE,"4.PER PL";#N/A,#N/A,FALSE,"5.INVESTMENT";#N/A,#N/A,FALSE,"6.공문";#N/A,#N/A,FALSE,"7.netinvest"}</definedName>
    <definedName name="며며" localSheetId="25" hidden="1">{#N/A,#N/A,FALSE,"1.CRITERIA";#N/A,#N/A,FALSE,"2.IS";#N/A,#N/A,FALSE,"3.BS";#N/A,#N/A,FALSE,"4.PER PL";#N/A,#N/A,FALSE,"5.INVESTMENT";#N/A,#N/A,FALSE,"6.공문";#N/A,#N/A,FALSE,"7.netinvest"}</definedName>
    <definedName name="며며" hidden="1">{#N/A,#N/A,FALSE,"1.CRITERIA";#N/A,#N/A,FALSE,"2.IS";#N/A,#N/A,FALSE,"3.BS";#N/A,#N/A,FALSE,"4.PER PL";#N/A,#N/A,FALSE,"5.INVESTMENT";#N/A,#N/A,FALSE,"6.공문";#N/A,#N/A,FALSE,"7.netinvest"}</definedName>
    <definedName name="모리" localSheetId="24" hidden="1">{#N/A,#N/A,FALSE,"1.CRITERIA";#N/A,#N/A,FALSE,"2.IS";#N/A,#N/A,FALSE,"3.BS";#N/A,#N/A,FALSE,"4.PER PL";#N/A,#N/A,FALSE,"5.INVESTMENT";#N/A,#N/A,FALSE,"6.공문";#N/A,#N/A,FALSE,"7.netinvest"}</definedName>
    <definedName name="모리" localSheetId="18" hidden="1">{#N/A,#N/A,FALSE,"1.CRITERIA";#N/A,#N/A,FALSE,"2.IS";#N/A,#N/A,FALSE,"3.BS";#N/A,#N/A,FALSE,"4.PER PL";#N/A,#N/A,FALSE,"5.INVESTMENT";#N/A,#N/A,FALSE,"6.공문";#N/A,#N/A,FALSE,"7.netinvest"}</definedName>
    <definedName name="모리" localSheetId="25" hidden="1">{#N/A,#N/A,FALSE,"1.CRITERIA";#N/A,#N/A,FALSE,"2.IS";#N/A,#N/A,FALSE,"3.BS";#N/A,#N/A,FALSE,"4.PER PL";#N/A,#N/A,FALSE,"5.INVESTMENT";#N/A,#N/A,FALSE,"6.공문";#N/A,#N/A,FALSE,"7.netinvest"}</definedName>
    <definedName name="모리" hidden="1">{#N/A,#N/A,FALSE,"1.CRITERIA";#N/A,#N/A,FALSE,"2.IS";#N/A,#N/A,FALSE,"3.BS";#N/A,#N/A,FALSE,"4.PER PL";#N/A,#N/A,FALSE,"5.INVESTMENT";#N/A,#N/A,FALSE,"6.공문";#N/A,#N/A,FALSE,"7.netinvest"}</definedName>
    <definedName name="모모" localSheetId="24" hidden="1">{#N/A,#N/A,FALSE,"1.CRITERIA";#N/A,#N/A,FALSE,"2.IS";#N/A,#N/A,FALSE,"3.BS";#N/A,#N/A,FALSE,"4.PER PL";#N/A,#N/A,FALSE,"5.INVESTMENT";#N/A,#N/A,FALSE,"6.공문";#N/A,#N/A,FALSE,"7.netinvest"}</definedName>
    <definedName name="모모" localSheetId="18" hidden="1">{#N/A,#N/A,FALSE,"1.CRITERIA";#N/A,#N/A,FALSE,"2.IS";#N/A,#N/A,FALSE,"3.BS";#N/A,#N/A,FALSE,"4.PER PL";#N/A,#N/A,FALSE,"5.INVESTMENT";#N/A,#N/A,FALSE,"6.공문";#N/A,#N/A,FALSE,"7.netinvest"}</definedName>
    <definedName name="모모" localSheetId="25" hidden="1">{#N/A,#N/A,FALSE,"1.CRITERIA";#N/A,#N/A,FALSE,"2.IS";#N/A,#N/A,FALSE,"3.BS";#N/A,#N/A,FALSE,"4.PER PL";#N/A,#N/A,FALSE,"5.INVESTMENT";#N/A,#N/A,FALSE,"6.공문";#N/A,#N/A,FALSE,"7.netinvest"}</definedName>
    <definedName name="모모" hidden="1">{#N/A,#N/A,FALSE,"1.CRITERIA";#N/A,#N/A,FALSE,"2.IS";#N/A,#N/A,FALSE,"3.BS";#N/A,#N/A,FALSE,"4.PER PL";#N/A,#N/A,FALSE,"5.INVESTMENT";#N/A,#N/A,FALSE,"6.공문";#N/A,#N/A,FALSE,"7.netinvest"}</definedName>
    <definedName name="모형표지" localSheetId="24" hidden="1">{"'용역비'!$A$4:$C$8"}</definedName>
    <definedName name="모형표지" localSheetId="18" hidden="1">{"'용역비'!$A$4:$C$8"}</definedName>
    <definedName name="모형표지" localSheetId="25" hidden="1">{"'용역비'!$A$4:$C$8"}</definedName>
    <definedName name="모형표지" hidden="1">{"'용역비'!$A$4:$C$8"}</definedName>
    <definedName name="목동" localSheetId="24" hidden="1">{#N/A,#N/A,FALSE,"CCTV"}</definedName>
    <definedName name="목동" localSheetId="18" hidden="1">{#N/A,#N/A,FALSE,"CCTV"}</definedName>
    <definedName name="목동" localSheetId="25" hidden="1">{#N/A,#N/A,FALSE,"CCTV"}</definedName>
    <definedName name="목동" hidden="1">{#N/A,#N/A,FALSE,"CCTV"}</definedName>
    <definedName name="목동현대백화점" localSheetId="24" hidden="1">{#N/A,#N/A,FALSE,"CCTV"}</definedName>
    <definedName name="목동현대백화점" localSheetId="18" hidden="1">{#N/A,#N/A,FALSE,"CCTV"}</definedName>
    <definedName name="목동현대백화점" localSheetId="25" hidden="1">{#N/A,#N/A,FALSE,"CCTV"}</definedName>
    <definedName name="목동현대백화점" hidden="1">{#N/A,#N/A,FALSE,"CCTV"}</definedName>
    <definedName name="목차2" localSheetId="24" hidden="1">{"'7'!$B$15:$D$32"}</definedName>
    <definedName name="목차2" localSheetId="18" hidden="1">{"'7'!$B$15:$D$32"}</definedName>
    <definedName name="목차2" localSheetId="25" hidden="1">{"'7'!$B$15:$D$32"}</definedName>
    <definedName name="목차2" hidden="1">{"'7'!$B$15:$D$32"}</definedName>
    <definedName name="목포" localSheetId="24" hidden="1">{#N/A,#N/A,FALSE,"97년 투자계획 세부내역 "}</definedName>
    <definedName name="목포" localSheetId="18" hidden="1">{#N/A,#N/A,FALSE,"97년 투자계획 세부내역 "}</definedName>
    <definedName name="목포" localSheetId="25" hidden="1">{#N/A,#N/A,FALSE,"97년 투자계획 세부내역 "}</definedName>
    <definedName name="목포" hidden="1">{#N/A,#N/A,FALSE,"97년 투자계획 세부내역 "}</definedName>
    <definedName name="뫌" localSheetId="24" hidden="1">{#N/A,#N/A,FALSE,"1.CRITERIA";#N/A,#N/A,FALSE,"2.IS";#N/A,#N/A,FALSE,"3.BS";#N/A,#N/A,FALSE,"4.PER PL";#N/A,#N/A,FALSE,"5.INVESTMENT";#N/A,#N/A,FALSE,"6.공문";#N/A,#N/A,FALSE,"7.netinvest"}</definedName>
    <definedName name="뫌" localSheetId="18" hidden="1">{#N/A,#N/A,FALSE,"1.CRITERIA";#N/A,#N/A,FALSE,"2.IS";#N/A,#N/A,FALSE,"3.BS";#N/A,#N/A,FALSE,"4.PER PL";#N/A,#N/A,FALSE,"5.INVESTMENT";#N/A,#N/A,FALSE,"6.공문";#N/A,#N/A,FALSE,"7.netinvest"}</definedName>
    <definedName name="뫌" localSheetId="25" hidden="1">{#N/A,#N/A,FALSE,"1.CRITERIA";#N/A,#N/A,FALSE,"2.IS";#N/A,#N/A,FALSE,"3.BS";#N/A,#N/A,FALSE,"4.PER PL";#N/A,#N/A,FALSE,"5.INVESTMENT";#N/A,#N/A,FALSE,"6.공문";#N/A,#N/A,FALSE,"7.netinvest"}</definedName>
    <definedName name="뫌" hidden="1">{#N/A,#N/A,FALSE,"1.CRITERIA";#N/A,#N/A,FALSE,"2.IS";#N/A,#N/A,FALSE,"3.BS";#N/A,#N/A,FALSE,"4.PER PL";#N/A,#N/A,FALSE,"5.INVESTMENT";#N/A,#N/A,FALSE,"6.공문";#N/A,#N/A,FALSE,"7.netinvest"}</definedName>
    <definedName name="무무" localSheetId="24" hidden="1">{#N/A,#N/A,FALSE,"1.CRITERIA";#N/A,#N/A,FALSE,"2.IS";#N/A,#N/A,FALSE,"3.BS";#N/A,#N/A,FALSE,"4.PER PL";#N/A,#N/A,FALSE,"5.INVESTMENT";#N/A,#N/A,FALSE,"6.공문";#N/A,#N/A,FALSE,"7.netinvest"}</definedName>
    <definedName name="무무" localSheetId="18" hidden="1">{#N/A,#N/A,FALSE,"1.CRITERIA";#N/A,#N/A,FALSE,"2.IS";#N/A,#N/A,FALSE,"3.BS";#N/A,#N/A,FALSE,"4.PER PL";#N/A,#N/A,FALSE,"5.INVESTMENT";#N/A,#N/A,FALSE,"6.공문";#N/A,#N/A,FALSE,"7.netinvest"}</definedName>
    <definedName name="무무" localSheetId="25" hidden="1">{#N/A,#N/A,FALSE,"1.CRITERIA";#N/A,#N/A,FALSE,"2.IS";#N/A,#N/A,FALSE,"3.BS";#N/A,#N/A,FALSE,"4.PER PL";#N/A,#N/A,FALSE,"5.INVESTMENT";#N/A,#N/A,FALSE,"6.공문";#N/A,#N/A,FALSE,"7.netinvest"}</definedName>
    <definedName name="무무" hidden="1">{#N/A,#N/A,FALSE,"1.CRITERIA";#N/A,#N/A,FALSE,"2.IS";#N/A,#N/A,FALSE,"3.BS";#N/A,#N/A,FALSE,"4.PER PL";#N/A,#N/A,FALSE,"5.INVESTMENT";#N/A,#N/A,FALSE,"6.공문";#N/A,#N/A,FALSE,"7.netinvest"}</definedName>
    <definedName name="무형자산" localSheetId="24" hidden="1">{#N/A,#N/A,FALSE,"Aging Summary";#N/A,#N/A,FALSE,"Ratio Analysis";#N/A,#N/A,FALSE,"Test 120 Day Accts";#N/A,#N/A,FALSE,"Tickmarks"}</definedName>
    <definedName name="무형자산" localSheetId="18" hidden="1">{#N/A,#N/A,FALSE,"Aging Summary";#N/A,#N/A,FALSE,"Ratio Analysis";#N/A,#N/A,FALSE,"Test 120 Day Accts";#N/A,#N/A,FALSE,"Tickmarks"}</definedName>
    <definedName name="무형자산" localSheetId="25" hidden="1">{#N/A,#N/A,FALSE,"Aging Summary";#N/A,#N/A,FALSE,"Ratio Analysis";#N/A,#N/A,FALSE,"Test 120 Day Accts";#N/A,#N/A,FALSE,"Tickmarks"}</definedName>
    <definedName name="무형자산" hidden="1">{#N/A,#N/A,FALSE,"Aging Summary";#N/A,#N/A,FALSE,"Ratio Analysis";#N/A,#N/A,FALSE,"Test 120 Day Accts";#N/A,#N/A,FALSE,"Tickmarks"}</definedName>
    <definedName name="문성수"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문성수"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문성수"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문성수" hidden="1">{#N/A,#N/A,FALSE,"손익표지";#N/A,#N/A,FALSE,"손익계산";#N/A,#N/A,FALSE,"일반관리비";#N/A,#N/A,FALSE,"영업외수익";#N/A,#N/A,FALSE,"영업외비용";#N/A,#N/A,FALSE,"매출액";#N/A,#N/A,FALSE,"요약손익";#N/A,#N/A,FALSE,"요약대차";#N/A,#N/A,FALSE,"매출채권현황";#N/A,#N/A,FALSE,"매출채권명세"}</definedName>
    <definedName name="문진식" localSheetId="24" hidden="1">{"'Firr(선)'!$AS$1:$AY$62","'Firr(사)'!$AS$1:$AY$62","'Firr(회)'!$AS$1:$AY$62","'Firr(선)'!$L$1:$V$62","'Firr(사)'!$L$1:$V$62","'Firr(회)'!$L$1:$V$62"}</definedName>
    <definedName name="문진식" localSheetId="18" hidden="1">{"'Firr(선)'!$AS$1:$AY$62","'Firr(사)'!$AS$1:$AY$62","'Firr(회)'!$AS$1:$AY$62","'Firr(선)'!$L$1:$V$62","'Firr(사)'!$L$1:$V$62","'Firr(회)'!$L$1:$V$62"}</definedName>
    <definedName name="문진식" localSheetId="25" hidden="1">{"'Firr(선)'!$AS$1:$AY$62","'Firr(사)'!$AS$1:$AY$62","'Firr(회)'!$AS$1:$AY$62","'Firr(선)'!$L$1:$V$62","'Firr(사)'!$L$1:$V$62","'Firr(회)'!$L$1:$V$62"}</definedName>
    <definedName name="문진식" hidden="1">{"'Firr(선)'!$AS$1:$AY$62","'Firr(사)'!$AS$1:$AY$62","'Firr(회)'!$AS$1:$AY$62","'Firr(선)'!$L$1:$V$62","'Firr(사)'!$L$1:$V$62","'Firr(회)'!$L$1:$V$62"}</definedName>
    <definedName name="문화관식" localSheetId="24" hidden="1">{#N/A,#N/A,FALSE,"단축1";#N/A,#N/A,FALSE,"단축2";#N/A,#N/A,FALSE,"단축3";#N/A,#N/A,FALSE,"장축";#N/A,#N/A,FALSE,"4WD"}</definedName>
    <definedName name="문화관식" localSheetId="18" hidden="1">{#N/A,#N/A,FALSE,"단축1";#N/A,#N/A,FALSE,"단축2";#N/A,#N/A,FALSE,"단축3";#N/A,#N/A,FALSE,"장축";#N/A,#N/A,FALSE,"4WD"}</definedName>
    <definedName name="문화관식" localSheetId="25" hidden="1">{#N/A,#N/A,FALSE,"단축1";#N/A,#N/A,FALSE,"단축2";#N/A,#N/A,FALSE,"단축3";#N/A,#N/A,FALSE,"장축";#N/A,#N/A,FALSE,"4WD"}</definedName>
    <definedName name="문화관식" hidden="1">{#N/A,#N/A,FALSE,"단축1";#N/A,#N/A,FALSE,"단축2";#N/A,#N/A,FALSE,"단축3";#N/A,#N/A,FALSE,"장축";#N/A,#N/A,FALSE,"4WD"}</definedName>
    <definedName name="물" localSheetId="24" hidden="1">{#N/A,#N/A,FALSE,"이태원철근"}</definedName>
    <definedName name="물" localSheetId="18" hidden="1">{#N/A,#N/A,FALSE,"이태원철근"}</definedName>
    <definedName name="물" localSheetId="25" hidden="1">{#N/A,#N/A,FALSE,"이태원철근"}</definedName>
    <definedName name="물" hidden="1">{#N/A,#N/A,FALSE,"이태원철근"}</definedName>
    <definedName name="물가" localSheetId="24" hidden="1">{#N/A,#N/A,FALSE,"이태원철근"}</definedName>
    <definedName name="물가" localSheetId="18" hidden="1">{#N/A,#N/A,FALSE,"이태원철근"}</definedName>
    <definedName name="물가" localSheetId="25" hidden="1">{#N/A,#N/A,FALSE,"이태원철근"}</definedName>
    <definedName name="물가" hidden="1">{#N/A,#N/A,FALSE,"이태원철근"}</definedName>
    <definedName name="물가지수2" localSheetId="24" hidden="1">{"'7'!$B$15:$D$32"}</definedName>
    <definedName name="물가지수2" localSheetId="18" hidden="1">{"'7'!$B$15:$D$32"}</definedName>
    <definedName name="물가지수2" localSheetId="25" hidden="1">{"'7'!$B$15:$D$32"}</definedName>
    <definedName name="물가지수2" hidden="1">{"'7'!$B$15:$D$32"}</definedName>
    <definedName name="물랴자" localSheetId="24" hidden="1">{#N/A,#N/A,TRUE,"Y생산";#N/A,#N/A,TRUE,"Y판매";#N/A,#N/A,TRUE,"Y총물량";#N/A,#N/A,TRUE,"Y능력";#N/A,#N/A,TRUE,"YKD"}</definedName>
    <definedName name="물랴자" localSheetId="18" hidden="1">{#N/A,#N/A,TRUE,"Y생산";#N/A,#N/A,TRUE,"Y판매";#N/A,#N/A,TRUE,"Y총물량";#N/A,#N/A,TRUE,"Y능력";#N/A,#N/A,TRUE,"YKD"}</definedName>
    <definedName name="물랴자" localSheetId="25" hidden="1">{#N/A,#N/A,TRUE,"Y생산";#N/A,#N/A,TRUE,"Y판매";#N/A,#N/A,TRUE,"Y총물량";#N/A,#N/A,TRUE,"Y능력";#N/A,#N/A,TRUE,"YKD"}</definedName>
    <definedName name="물랴자" hidden="1">{#N/A,#N/A,TRUE,"Y생산";#N/A,#N/A,TRUE,"Y판매";#N/A,#N/A,TRUE,"Y총물량";#N/A,#N/A,TRUE,"Y능력";#N/A,#N/A,TRUE,"YKD"}</definedName>
    <definedName name="물랴자_1" localSheetId="24" hidden="1">{#N/A,#N/A,TRUE,"Y생산";#N/A,#N/A,TRUE,"Y판매";#N/A,#N/A,TRUE,"Y총물량";#N/A,#N/A,TRUE,"Y능력";#N/A,#N/A,TRUE,"YKD"}</definedName>
    <definedName name="물랴자_1" localSheetId="18" hidden="1">{#N/A,#N/A,TRUE,"Y생산";#N/A,#N/A,TRUE,"Y판매";#N/A,#N/A,TRUE,"Y총물량";#N/A,#N/A,TRUE,"Y능력";#N/A,#N/A,TRUE,"YKD"}</definedName>
    <definedName name="물랴자_1" localSheetId="25" hidden="1">{#N/A,#N/A,TRUE,"Y생산";#N/A,#N/A,TRUE,"Y판매";#N/A,#N/A,TRUE,"Y총물량";#N/A,#N/A,TRUE,"Y능력";#N/A,#N/A,TRUE,"YKD"}</definedName>
    <definedName name="물랴자_1" hidden="1">{#N/A,#N/A,TRUE,"Y생산";#N/A,#N/A,TRUE,"Y판매";#N/A,#N/A,TRUE,"Y총물량";#N/A,#N/A,TRUE,"Y능력";#N/A,#N/A,TRUE,"YKD"}</definedName>
    <definedName name="물량2" localSheetId="24" hidden="1">{"'PROFORMA'!$A$1:$H$120"}</definedName>
    <definedName name="물량2" localSheetId="18" hidden="1">{"'PROFORMA'!$A$1:$H$120"}</definedName>
    <definedName name="물량2" localSheetId="25" hidden="1">{"'PROFORMA'!$A$1:$H$120"}</definedName>
    <definedName name="물량2" hidden="1">{"'PROFORMA'!$A$1:$H$120"}</definedName>
    <definedName name="물량산출근거" localSheetId="24" hidden="1">{"'PROFORMA'!$A$1:$H$120"}</definedName>
    <definedName name="물량산출근거" localSheetId="18" hidden="1">{"'PROFORMA'!$A$1:$H$120"}</definedName>
    <definedName name="물량산출근거" localSheetId="25" hidden="1">{"'PROFORMA'!$A$1:$H$120"}</definedName>
    <definedName name="물량산출근거" hidden="1">{"'PROFORMA'!$A$1:$H$120"}</definedName>
    <definedName name="물량산출근거_2" localSheetId="24" hidden="1">{"'PROFORMA'!$A$1:$H$120"}</definedName>
    <definedName name="물량산출근거_2" localSheetId="18" hidden="1">{"'PROFORMA'!$A$1:$H$120"}</definedName>
    <definedName name="물량산출근거_2" localSheetId="25" hidden="1">{"'PROFORMA'!$A$1:$H$120"}</definedName>
    <definedName name="물량산출근거_2" hidden="1">{"'PROFORMA'!$A$1:$H$120"}</definedName>
    <definedName name="물량산출안" localSheetId="24" hidden="1">{"'PROFORMA'!$A$1:$H$120"}</definedName>
    <definedName name="물량산출안" localSheetId="18" hidden="1">{"'PROFORMA'!$A$1:$H$120"}</definedName>
    <definedName name="물량산출안" localSheetId="25" hidden="1">{"'PROFORMA'!$A$1:$H$120"}</definedName>
    <definedName name="물량산출안" hidden="1">{"'PROFORMA'!$A$1:$H$120"}</definedName>
    <definedName name="물량수" localSheetId="24" hidden="1">{#N/A,#N/A,TRUE,"Y생산";#N/A,#N/A,TRUE,"Y판매";#N/A,#N/A,TRUE,"Y총물량";#N/A,#N/A,TRUE,"Y능력";#N/A,#N/A,TRUE,"YKD"}</definedName>
    <definedName name="물량수" localSheetId="18" hidden="1">{#N/A,#N/A,TRUE,"Y생산";#N/A,#N/A,TRUE,"Y판매";#N/A,#N/A,TRUE,"Y총물량";#N/A,#N/A,TRUE,"Y능력";#N/A,#N/A,TRUE,"YKD"}</definedName>
    <definedName name="물량수" localSheetId="25" hidden="1">{#N/A,#N/A,TRUE,"Y생산";#N/A,#N/A,TRUE,"Y판매";#N/A,#N/A,TRUE,"Y총물량";#N/A,#N/A,TRUE,"Y능력";#N/A,#N/A,TRUE,"YKD"}</definedName>
    <definedName name="물량수" hidden="1">{#N/A,#N/A,TRUE,"Y생산";#N/A,#N/A,TRUE,"Y판매";#N/A,#N/A,TRUE,"Y총물량";#N/A,#N/A,TRUE,"Y능력";#N/A,#N/A,TRUE,"YKD"}</definedName>
    <definedName name="물량수_1" localSheetId="24" hidden="1">{#N/A,#N/A,TRUE,"Y생산";#N/A,#N/A,TRUE,"Y판매";#N/A,#N/A,TRUE,"Y총물량";#N/A,#N/A,TRUE,"Y능력";#N/A,#N/A,TRUE,"YKD"}</definedName>
    <definedName name="물량수_1" localSheetId="18" hidden="1">{#N/A,#N/A,TRUE,"Y생산";#N/A,#N/A,TRUE,"Y판매";#N/A,#N/A,TRUE,"Y총물량";#N/A,#N/A,TRUE,"Y능력";#N/A,#N/A,TRUE,"YKD"}</definedName>
    <definedName name="물량수_1" localSheetId="25" hidden="1">{#N/A,#N/A,TRUE,"Y생산";#N/A,#N/A,TRUE,"Y판매";#N/A,#N/A,TRUE,"Y총물량";#N/A,#N/A,TRUE,"Y능력";#N/A,#N/A,TRUE,"YKD"}</definedName>
    <definedName name="물량수_1" hidden="1">{#N/A,#N/A,TRUE,"Y생산";#N/A,#N/A,TRUE,"Y판매";#N/A,#N/A,TRUE,"Y총물량";#N/A,#N/A,TRUE,"Y능력";#N/A,#N/A,TRUE,"YKD"}</definedName>
    <definedName name="물량수정" localSheetId="24" hidden="1">{#N/A,#N/A,TRUE,"Y생산";#N/A,#N/A,TRUE,"Y판매";#N/A,#N/A,TRUE,"Y총물량";#N/A,#N/A,TRUE,"Y능력";#N/A,#N/A,TRUE,"YKD"}</definedName>
    <definedName name="물량수정" localSheetId="18" hidden="1">{#N/A,#N/A,TRUE,"Y생산";#N/A,#N/A,TRUE,"Y판매";#N/A,#N/A,TRUE,"Y총물량";#N/A,#N/A,TRUE,"Y능력";#N/A,#N/A,TRUE,"YKD"}</definedName>
    <definedName name="물량수정" localSheetId="25" hidden="1">{#N/A,#N/A,TRUE,"Y생산";#N/A,#N/A,TRUE,"Y판매";#N/A,#N/A,TRUE,"Y총물량";#N/A,#N/A,TRUE,"Y능력";#N/A,#N/A,TRUE,"YKD"}</definedName>
    <definedName name="물량수정" hidden="1">{#N/A,#N/A,TRUE,"Y생산";#N/A,#N/A,TRUE,"Y판매";#N/A,#N/A,TRUE,"Y총물량";#N/A,#N/A,TRUE,"Y능력";#N/A,#N/A,TRUE,"YKD"}</definedName>
    <definedName name="물량수정_1" localSheetId="24" hidden="1">{#N/A,#N/A,TRUE,"Y생산";#N/A,#N/A,TRUE,"Y판매";#N/A,#N/A,TRUE,"Y총물량";#N/A,#N/A,TRUE,"Y능력";#N/A,#N/A,TRUE,"YKD"}</definedName>
    <definedName name="물량수정_1" localSheetId="18" hidden="1">{#N/A,#N/A,TRUE,"Y생산";#N/A,#N/A,TRUE,"Y판매";#N/A,#N/A,TRUE,"Y총물량";#N/A,#N/A,TRUE,"Y능력";#N/A,#N/A,TRUE,"YKD"}</definedName>
    <definedName name="물량수정_1" localSheetId="25" hidden="1">{#N/A,#N/A,TRUE,"Y생산";#N/A,#N/A,TRUE,"Y판매";#N/A,#N/A,TRUE,"Y총물량";#N/A,#N/A,TRUE,"Y능력";#N/A,#N/A,TRUE,"YKD"}</definedName>
    <definedName name="물량수정_1" hidden="1">{#N/A,#N/A,TRUE,"Y생산";#N/A,#N/A,TRUE,"Y판매";#N/A,#N/A,TRUE,"Y총물량";#N/A,#N/A,TRUE,"Y능력";#N/A,#N/A,TRUE,"YKD"}</definedName>
    <definedName name="물량수정1" localSheetId="24" hidden="1">{#N/A,#N/A,TRUE,"Y생산";#N/A,#N/A,TRUE,"Y판매";#N/A,#N/A,TRUE,"Y총물량";#N/A,#N/A,TRUE,"Y능력";#N/A,#N/A,TRUE,"YKD"}</definedName>
    <definedName name="물량수정1" localSheetId="18" hidden="1">{#N/A,#N/A,TRUE,"Y생산";#N/A,#N/A,TRUE,"Y판매";#N/A,#N/A,TRUE,"Y총물량";#N/A,#N/A,TRUE,"Y능력";#N/A,#N/A,TRUE,"YKD"}</definedName>
    <definedName name="물량수정1" localSheetId="25" hidden="1">{#N/A,#N/A,TRUE,"Y생산";#N/A,#N/A,TRUE,"Y판매";#N/A,#N/A,TRUE,"Y총물량";#N/A,#N/A,TRUE,"Y능력";#N/A,#N/A,TRUE,"YKD"}</definedName>
    <definedName name="물량수정1" hidden="1">{#N/A,#N/A,TRUE,"Y생산";#N/A,#N/A,TRUE,"Y판매";#N/A,#N/A,TRUE,"Y총물량";#N/A,#N/A,TRUE,"Y능력";#N/A,#N/A,TRUE,"YKD"}</definedName>
    <definedName name="물량수정1_1" localSheetId="24" hidden="1">{#N/A,#N/A,TRUE,"Y생산";#N/A,#N/A,TRUE,"Y판매";#N/A,#N/A,TRUE,"Y총물량";#N/A,#N/A,TRUE,"Y능력";#N/A,#N/A,TRUE,"YKD"}</definedName>
    <definedName name="물량수정1_1" localSheetId="18" hidden="1">{#N/A,#N/A,TRUE,"Y생산";#N/A,#N/A,TRUE,"Y판매";#N/A,#N/A,TRUE,"Y총물량";#N/A,#N/A,TRUE,"Y능력";#N/A,#N/A,TRUE,"YKD"}</definedName>
    <definedName name="물량수정1_1" localSheetId="25" hidden="1">{#N/A,#N/A,TRUE,"Y생산";#N/A,#N/A,TRUE,"Y판매";#N/A,#N/A,TRUE,"Y총물량";#N/A,#N/A,TRUE,"Y능력";#N/A,#N/A,TRUE,"YKD"}</definedName>
    <definedName name="물량수정1_1" hidden="1">{#N/A,#N/A,TRUE,"Y생산";#N/A,#N/A,TRUE,"Y판매";#N/A,#N/A,TRUE,"Y총물량";#N/A,#N/A,TRUE,"Y능력";#N/A,#N/A,TRUE,"YKD"}</definedName>
    <definedName name="물량수정2" localSheetId="24" hidden="1">{#N/A,#N/A,TRUE,"Y생산";#N/A,#N/A,TRUE,"Y판매";#N/A,#N/A,TRUE,"Y총물량";#N/A,#N/A,TRUE,"Y능력";#N/A,#N/A,TRUE,"YKD"}</definedName>
    <definedName name="물량수정2" localSheetId="18" hidden="1">{#N/A,#N/A,TRUE,"Y생산";#N/A,#N/A,TRUE,"Y판매";#N/A,#N/A,TRUE,"Y총물량";#N/A,#N/A,TRUE,"Y능력";#N/A,#N/A,TRUE,"YKD"}</definedName>
    <definedName name="물량수정2" localSheetId="25" hidden="1">{#N/A,#N/A,TRUE,"Y생산";#N/A,#N/A,TRUE,"Y판매";#N/A,#N/A,TRUE,"Y총물량";#N/A,#N/A,TRUE,"Y능력";#N/A,#N/A,TRUE,"YKD"}</definedName>
    <definedName name="물량수정2" hidden="1">{#N/A,#N/A,TRUE,"Y생산";#N/A,#N/A,TRUE,"Y판매";#N/A,#N/A,TRUE,"Y총물량";#N/A,#N/A,TRUE,"Y능력";#N/A,#N/A,TRUE,"YKD"}</definedName>
    <definedName name="물량수정2_1" localSheetId="24" hidden="1">{#N/A,#N/A,TRUE,"Y생산";#N/A,#N/A,TRUE,"Y판매";#N/A,#N/A,TRUE,"Y총물량";#N/A,#N/A,TRUE,"Y능력";#N/A,#N/A,TRUE,"YKD"}</definedName>
    <definedName name="물량수정2_1" localSheetId="18" hidden="1">{#N/A,#N/A,TRUE,"Y생산";#N/A,#N/A,TRUE,"Y판매";#N/A,#N/A,TRUE,"Y총물량";#N/A,#N/A,TRUE,"Y능력";#N/A,#N/A,TRUE,"YKD"}</definedName>
    <definedName name="물량수정2_1" localSheetId="25" hidden="1">{#N/A,#N/A,TRUE,"Y생산";#N/A,#N/A,TRUE,"Y판매";#N/A,#N/A,TRUE,"Y총물량";#N/A,#N/A,TRUE,"Y능력";#N/A,#N/A,TRUE,"YKD"}</definedName>
    <definedName name="물량수정2_1" hidden="1">{#N/A,#N/A,TRUE,"Y생산";#N/A,#N/A,TRUE,"Y판매";#N/A,#N/A,TRUE,"Y총물량";#N/A,#N/A,TRUE,"Y능력";#N/A,#N/A,TRUE,"YKD"}</definedName>
    <definedName name="물량정" localSheetId="24" hidden="1">{#N/A,#N/A,TRUE,"Y생산";#N/A,#N/A,TRUE,"Y판매";#N/A,#N/A,TRUE,"Y총물량";#N/A,#N/A,TRUE,"Y능력";#N/A,#N/A,TRUE,"YKD"}</definedName>
    <definedName name="물량정" localSheetId="18" hidden="1">{#N/A,#N/A,TRUE,"Y생산";#N/A,#N/A,TRUE,"Y판매";#N/A,#N/A,TRUE,"Y총물량";#N/A,#N/A,TRUE,"Y능력";#N/A,#N/A,TRUE,"YKD"}</definedName>
    <definedName name="물량정" localSheetId="25" hidden="1">{#N/A,#N/A,TRUE,"Y생산";#N/A,#N/A,TRUE,"Y판매";#N/A,#N/A,TRUE,"Y총물량";#N/A,#N/A,TRUE,"Y능력";#N/A,#N/A,TRUE,"YKD"}</definedName>
    <definedName name="물량정" hidden="1">{#N/A,#N/A,TRUE,"Y생산";#N/A,#N/A,TRUE,"Y판매";#N/A,#N/A,TRUE,"Y총물량";#N/A,#N/A,TRUE,"Y능력";#N/A,#N/A,TRUE,"YKD"}</definedName>
    <definedName name="물량정_1" localSheetId="24" hidden="1">{#N/A,#N/A,TRUE,"Y생산";#N/A,#N/A,TRUE,"Y판매";#N/A,#N/A,TRUE,"Y총물량";#N/A,#N/A,TRUE,"Y능력";#N/A,#N/A,TRUE,"YKD"}</definedName>
    <definedName name="물량정_1" localSheetId="18" hidden="1">{#N/A,#N/A,TRUE,"Y생산";#N/A,#N/A,TRUE,"Y판매";#N/A,#N/A,TRUE,"Y총물량";#N/A,#N/A,TRUE,"Y능력";#N/A,#N/A,TRUE,"YKD"}</definedName>
    <definedName name="물량정_1" localSheetId="25" hidden="1">{#N/A,#N/A,TRUE,"Y생산";#N/A,#N/A,TRUE,"Y판매";#N/A,#N/A,TRUE,"Y총물량";#N/A,#N/A,TRUE,"Y능력";#N/A,#N/A,TRUE,"YKD"}</definedName>
    <definedName name="물량정_1" hidden="1">{#N/A,#N/A,TRUE,"Y생산";#N/A,#N/A,TRUE,"Y판매";#N/A,#N/A,TRUE,"Y총물량";#N/A,#N/A,TRUE,"Y능력";#N/A,#N/A,TRUE,"YKD"}</definedName>
    <definedName name="물량조정" localSheetId="24" hidden="1">{#N/A,#N/A,TRUE,"Y생산";#N/A,#N/A,TRUE,"Y판매";#N/A,#N/A,TRUE,"Y총물량";#N/A,#N/A,TRUE,"Y능력";#N/A,#N/A,TRUE,"YKD"}</definedName>
    <definedName name="물량조정" localSheetId="18" hidden="1">{#N/A,#N/A,TRUE,"Y생산";#N/A,#N/A,TRUE,"Y판매";#N/A,#N/A,TRUE,"Y총물량";#N/A,#N/A,TRUE,"Y능력";#N/A,#N/A,TRUE,"YKD"}</definedName>
    <definedName name="물량조정" localSheetId="25" hidden="1">{#N/A,#N/A,TRUE,"Y생산";#N/A,#N/A,TRUE,"Y판매";#N/A,#N/A,TRUE,"Y총물량";#N/A,#N/A,TRUE,"Y능력";#N/A,#N/A,TRUE,"YKD"}</definedName>
    <definedName name="물량조정" hidden="1">{#N/A,#N/A,TRUE,"Y생산";#N/A,#N/A,TRUE,"Y판매";#N/A,#N/A,TRUE,"Y총물량";#N/A,#N/A,TRUE,"Y능력";#N/A,#N/A,TRUE,"YKD"}</definedName>
    <definedName name="물량조정_1" localSheetId="24" hidden="1">{#N/A,#N/A,TRUE,"Y생산";#N/A,#N/A,TRUE,"Y판매";#N/A,#N/A,TRUE,"Y총물량";#N/A,#N/A,TRUE,"Y능력";#N/A,#N/A,TRUE,"YKD"}</definedName>
    <definedName name="물량조정_1" localSheetId="18" hidden="1">{#N/A,#N/A,TRUE,"Y생산";#N/A,#N/A,TRUE,"Y판매";#N/A,#N/A,TRUE,"Y총물량";#N/A,#N/A,TRUE,"Y능력";#N/A,#N/A,TRUE,"YKD"}</definedName>
    <definedName name="물량조정_1" localSheetId="25" hidden="1">{#N/A,#N/A,TRUE,"Y생산";#N/A,#N/A,TRUE,"Y판매";#N/A,#N/A,TRUE,"Y총물량";#N/A,#N/A,TRUE,"Y능력";#N/A,#N/A,TRUE,"YKD"}</definedName>
    <definedName name="물량조정_1" hidden="1">{#N/A,#N/A,TRUE,"Y생산";#N/A,#N/A,TRUE,"Y판매";#N/A,#N/A,TRUE,"Y총물량";#N/A,#N/A,TRUE,"Y능력";#N/A,#N/A,TRUE,"YKD"}</definedName>
    <definedName name="물수" localSheetId="24" hidden="1">{#N/A,#N/A,TRUE,"Y생산";#N/A,#N/A,TRUE,"Y판매";#N/A,#N/A,TRUE,"Y총물량";#N/A,#N/A,TRUE,"Y능력";#N/A,#N/A,TRUE,"YKD"}</definedName>
    <definedName name="물수" localSheetId="18" hidden="1">{#N/A,#N/A,TRUE,"Y생산";#N/A,#N/A,TRUE,"Y판매";#N/A,#N/A,TRUE,"Y총물량";#N/A,#N/A,TRUE,"Y능력";#N/A,#N/A,TRUE,"YKD"}</definedName>
    <definedName name="물수" localSheetId="25" hidden="1">{#N/A,#N/A,TRUE,"Y생산";#N/A,#N/A,TRUE,"Y판매";#N/A,#N/A,TRUE,"Y총물량";#N/A,#N/A,TRUE,"Y능력";#N/A,#N/A,TRUE,"YKD"}</definedName>
    <definedName name="물수" hidden="1">{#N/A,#N/A,TRUE,"Y생산";#N/A,#N/A,TRUE,"Y판매";#N/A,#N/A,TRUE,"Y총물량";#N/A,#N/A,TRUE,"Y능력";#N/A,#N/A,TRUE,"YKD"}</definedName>
    <definedName name="물수_1" localSheetId="24" hidden="1">{#N/A,#N/A,TRUE,"Y생산";#N/A,#N/A,TRUE,"Y판매";#N/A,#N/A,TRUE,"Y총물량";#N/A,#N/A,TRUE,"Y능력";#N/A,#N/A,TRUE,"YKD"}</definedName>
    <definedName name="물수_1" localSheetId="18" hidden="1">{#N/A,#N/A,TRUE,"Y생산";#N/A,#N/A,TRUE,"Y판매";#N/A,#N/A,TRUE,"Y총물량";#N/A,#N/A,TRUE,"Y능력";#N/A,#N/A,TRUE,"YKD"}</definedName>
    <definedName name="물수_1" localSheetId="25" hidden="1">{#N/A,#N/A,TRUE,"Y생산";#N/A,#N/A,TRUE,"Y판매";#N/A,#N/A,TRUE,"Y총물량";#N/A,#N/A,TRUE,"Y능력";#N/A,#N/A,TRUE,"YKD"}</definedName>
    <definedName name="물수_1" hidden="1">{#N/A,#N/A,TRUE,"Y생산";#N/A,#N/A,TRUE,"Y판매";#N/A,#N/A,TRUE,"Y총물량";#N/A,#N/A,TRUE,"Y능력";#N/A,#N/A,TRUE,"YKD"}</definedName>
    <definedName name="뭐가이태원이야" localSheetId="24" hidden="1">{#N/A,#N/A,FALSE,"이태원철근"}</definedName>
    <definedName name="뭐가이태원이야" localSheetId="18" hidden="1">{#N/A,#N/A,FALSE,"이태원철근"}</definedName>
    <definedName name="뭐가이태원이야" localSheetId="25" hidden="1">{#N/A,#N/A,FALSE,"이태원철근"}</definedName>
    <definedName name="뭐가이태원이야" hidden="1">{#N/A,#N/A,FALSE,"이태원철근"}</definedName>
    <definedName name="뭐야"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뭐야"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뭐야"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뭐야"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뭐지" localSheetId="24" hidden="1">{#N/A,#N/A,FALSE,"CCTV"}</definedName>
    <definedName name="뭐지" localSheetId="18" hidden="1">{#N/A,#N/A,FALSE,"CCTV"}</definedName>
    <definedName name="뭐지" localSheetId="25" hidden="1">{#N/A,#N/A,FALSE,"CCTV"}</definedName>
    <definedName name="뭐지" hidden="1">{#N/A,#N/A,FALSE,"CCTV"}</definedName>
    <definedName name="뮤뮤" localSheetId="24" hidden="1">{#N/A,#N/A,FALSE,"1.CRITERIA";#N/A,#N/A,FALSE,"2.IS";#N/A,#N/A,FALSE,"3.BS";#N/A,#N/A,FALSE,"4.PER PL";#N/A,#N/A,FALSE,"5.INVESTMENT";#N/A,#N/A,FALSE,"6.공문";#N/A,#N/A,FALSE,"7.netinvest"}</definedName>
    <definedName name="뮤뮤" localSheetId="18" hidden="1">{#N/A,#N/A,FALSE,"1.CRITERIA";#N/A,#N/A,FALSE,"2.IS";#N/A,#N/A,FALSE,"3.BS";#N/A,#N/A,FALSE,"4.PER PL";#N/A,#N/A,FALSE,"5.INVESTMENT";#N/A,#N/A,FALSE,"6.공문";#N/A,#N/A,FALSE,"7.netinvest"}</definedName>
    <definedName name="뮤뮤" localSheetId="25" hidden="1">{#N/A,#N/A,FALSE,"1.CRITERIA";#N/A,#N/A,FALSE,"2.IS";#N/A,#N/A,FALSE,"3.BS";#N/A,#N/A,FALSE,"4.PER PL";#N/A,#N/A,FALSE,"5.INVESTMENT";#N/A,#N/A,FALSE,"6.공문";#N/A,#N/A,FALSE,"7.netinvest"}</definedName>
    <definedName name="뮤뮤" hidden="1">{#N/A,#N/A,FALSE,"1.CRITERIA";#N/A,#N/A,FALSE,"2.IS";#N/A,#N/A,FALSE,"3.BS";#N/A,#N/A,FALSE,"4.PER PL";#N/A,#N/A,FALSE,"5.INVESTMENT";#N/A,#N/A,FALSE,"6.공문";#N/A,#N/A,FALSE,"7.netinvest"}</definedName>
    <definedName name="뮬소" localSheetId="24" hidden="1">{#N/A,#N/A,TRUE,"Y생산";#N/A,#N/A,TRUE,"Y판매";#N/A,#N/A,TRUE,"Y총물량";#N/A,#N/A,TRUE,"Y능력";#N/A,#N/A,TRUE,"YKD"}</definedName>
    <definedName name="뮬소" localSheetId="18" hidden="1">{#N/A,#N/A,TRUE,"Y생산";#N/A,#N/A,TRUE,"Y판매";#N/A,#N/A,TRUE,"Y총물량";#N/A,#N/A,TRUE,"Y능력";#N/A,#N/A,TRUE,"YKD"}</definedName>
    <definedName name="뮬소" localSheetId="25" hidden="1">{#N/A,#N/A,TRUE,"Y생산";#N/A,#N/A,TRUE,"Y판매";#N/A,#N/A,TRUE,"Y총물량";#N/A,#N/A,TRUE,"Y능력";#N/A,#N/A,TRUE,"YKD"}</definedName>
    <definedName name="뮬소" hidden="1">{#N/A,#N/A,TRUE,"Y생산";#N/A,#N/A,TRUE,"Y판매";#N/A,#N/A,TRUE,"Y총물량";#N/A,#N/A,TRUE,"Y능력";#N/A,#N/A,TRUE,"YKD"}</definedName>
    <definedName name="뮬소_1" localSheetId="24" hidden="1">{#N/A,#N/A,TRUE,"Y생산";#N/A,#N/A,TRUE,"Y판매";#N/A,#N/A,TRUE,"Y총물량";#N/A,#N/A,TRUE,"Y능력";#N/A,#N/A,TRUE,"YKD"}</definedName>
    <definedName name="뮬소_1" localSheetId="18" hidden="1">{#N/A,#N/A,TRUE,"Y생산";#N/A,#N/A,TRUE,"Y판매";#N/A,#N/A,TRUE,"Y총물량";#N/A,#N/A,TRUE,"Y능력";#N/A,#N/A,TRUE,"YKD"}</definedName>
    <definedName name="뮬소_1" localSheetId="25" hidden="1">{#N/A,#N/A,TRUE,"Y생산";#N/A,#N/A,TRUE,"Y판매";#N/A,#N/A,TRUE,"Y총물량";#N/A,#N/A,TRUE,"Y능력";#N/A,#N/A,TRUE,"YKD"}</definedName>
    <definedName name="뮬소_1" hidden="1">{#N/A,#N/A,TRUE,"Y생산";#N/A,#N/A,TRUE,"Y판매";#N/A,#N/A,TRUE,"Y총물량";#N/A,#N/A,TRUE,"Y능력";#N/A,#N/A,TRUE,"YKD"}</definedName>
    <definedName name="미경원" localSheetId="24" hidden="1">{#N/A,#N/A,FALSE,"이력서&amp;자기소개서"}</definedName>
    <definedName name="미경원" localSheetId="18" hidden="1">{#N/A,#N/A,FALSE,"이력서&amp;자기소개서"}</definedName>
    <definedName name="미경원" localSheetId="25" hidden="1">{#N/A,#N/A,FALSE,"이력서&amp;자기소개서"}</definedName>
    <definedName name="미경원" hidden="1">{#N/A,#N/A,FALSE,"이력서&amp;자기소개서"}</definedName>
    <definedName name="미라" localSheetId="24" hidden="1">{#N/A,#N/A,FALSE,"1.CRITERIA";#N/A,#N/A,FALSE,"2.IS";#N/A,#N/A,FALSE,"3.BS";#N/A,#N/A,FALSE,"4.PER PL";#N/A,#N/A,FALSE,"5.INVESTMENT";#N/A,#N/A,FALSE,"6.공문";#N/A,#N/A,FALSE,"7.netinvest"}</definedName>
    <definedName name="미라" localSheetId="18" hidden="1">{#N/A,#N/A,FALSE,"1.CRITERIA";#N/A,#N/A,FALSE,"2.IS";#N/A,#N/A,FALSE,"3.BS";#N/A,#N/A,FALSE,"4.PER PL";#N/A,#N/A,FALSE,"5.INVESTMENT";#N/A,#N/A,FALSE,"6.공문";#N/A,#N/A,FALSE,"7.netinvest"}</definedName>
    <definedName name="미라" localSheetId="25" hidden="1">{#N/A,#N/A,FALSE,"1.CRITERIA";#N/A,#N/A,FALSE,"2.IS";#N/A,#N/A,FALSE,"3.BS";#N/A,#N/A,FALSE,"4.PER PL";#N/A,#N/A,FALSE,"5.INVESTMENT";#N/A,#N/A,FALSE,"6.공문";#N/A,#N/A,FALSE,"7.netinvest"}</definedName>
    <definedName name="미라" hidden="1">{#N/A,#N/A,FALSE,"1.CRITERIA";#N/A,#N/A,FALSE,"2.IS";#N/A,#N/A,FALSE,"3.BS";#N/A,#N/A,FALSE,"4.PER PL";#N/A,#N/A,FALSE,"5.INVESTMENT";#N/A,#N/A,FALSE,"6.공문";#N/A,#N/A,FALSE,"7.netinvest"}</definedName>
    <definedName name="미레에셋" localSheetId="24" hidden="1">{#N/A,#N/A,FALSE,"이력서&amp;자기소개서"}</definedName>
    <definedName name="미레에셋" localSheetId="18" hidden="1">{#N/A,#N/A,FALSE,"이력서&amp;자기소개서"}</definedName>
    <definedName name="미레에셋" localSheetId="25" hidden="1">{#N/A,#N/A,FALSE,"이력서&amp;자기소개서"}</definedName>
    <definedName name="미레에셋" hidden="1">{#N/A,#N/A,FALSE,"이력서&amp;자기소개서"}</definedName>
    <definedName name="미로" localSheetId="24" hidden="1">{#N/A,#N/A,FALSE,"1.CRITERIA";#N/A,#N/A,FALSE,"2.IS";#N/A,#N/A,FALSE,"3.BS";#N/A,#N/A,FALSE,"4.PER PL";#N/A,#N/A,FALSE,"5.INVESTMENT";#N/A,#N/A,FALSE,"6.공문";#N/A,#N/A,FALSE,"7.netinvest"}</definedName>
    <definedName name="미로" localSheetId="18" hidden="1">{#N/A,#N/A,FALSE,"1.CRITERIA";#N/A,#N/A,FALSE,"2.IS";#N/A,#N/A,FALSE,"3.BS";#N/A,#N/A,FALSE,"4.PER PL";#N/A,#N/A,FALSE,"5.INVESTMENT";#N/A,#N/A,FALSE,"6.공문";#N/A,#N/A,FALSE,"7.netinvest"}</definedName>
    <definedName name="미로" localSheetId="25" hidden="1">{#N/A,#N/A,FALSE,"1.CRITERIA";#N/A,#N/A,FALSE,"2.IS";#N/A,#N/A,FALSE,"3.BS";#N/A,#N/A,FALSE,"4.PER PL";#N/A,#N/A,FALSE,"5.INVESTMENT";#N/A,#N/A,FALSE,"6.공문";#N/A,#N/A,FALSE,"7.netinvest"}</definedName>
    <definedName name="미로" hidden="1">{#N/A,#N/A,FALSE,"1.CRITERIA";#N/A,#N/A,FALSE,"2.IS";#N/A,#N/A,FALSE,"3.BS";#N/A,#N/A,FALSE,"4.PER PL";#N/A,#N/A,FALSE,"5.INVESTMENT";#N/A,#N/A,FALSE,"6.공문";#N/A,#N/A,FALSE,"7.netinvest"}</definedName>
    <definedName name="미로어" localSheetId="24" hidden="1">{#N/A,#N/A,FALSE,"1.CRITERIA";#N/A,#N/A,FALSE,"2.IS";#N/A,#N/A,FALSE,"3.BS";#N/A,#N/A,FALSE,"4.PER PL";#N/A,#N/A,FALSE,"5.INVESTMENT";#N/A,#N/A,FALSE,"6.공문";#N/A,#N/A,FALSE,"7.netinvest"}</definedName>
    <definedName name="미로어" localSheetId="18" hidden="1">{#N/A,#N/A,FALSE,"1.CRITERIA";#N/A,#N/A,FALSE,"2.IS";#N/A,#N/A,FALSE,"3.BS";#N/A,#N/A,FALSE,"4.PER PL";#N/A,#N/A,FALSE,"5.INVESTMENT";#N/A,#N/A,FALSE,"6.공문";#N/A,#N/A,FALSE,"7.netinvest"}</definedName>
    <definedName name="미로어" localSheetId="25" hidden="1">{#N/A,#N/A,FALSE,"1.CRITERIA";#N/A,#N/A,FALSE,"2.IS";#N/A,#N/A,FALSE,"3.BS";#N/A,#N/A,FALSE,"4.PER PL";#N/A,#N/A,FALSE,"5.INVESTMENT";#N/A,#N/A,FALSE,"6.공문";#N/A,#N/A,FALSE,"7.netinvest"}</definedName>
    <definedName name="미로어" hidden="1">{#N/A,#N/A,FALSE,"1.CRITERIA";#N/A,#N/A,FALSE,"2.IS";#N/A,#N/A,FALSE,"3.BS";#N/A,#N/A,FALSE,"4.PER PL";#N/A,#N/A,FALSE,"5.INVESTMENT";#N/A,#N/A,FALSE,"6.공문";#N/A,#N/A,FALSE,"7.netinvest"}</definedName>
    <definedName name="미료" localSheetId="24" hidden="1">{#N/A,#N/A,FALSE,"1.CRITERIA";#N/A,#N/A,FALSE,"2.IS";#N/A,#N/A,FALSE,"3.BS";#N/A,#N/A,FALSE,"4.PER PL";#N/A,#N/A,FALSE,"5.INVESTMENT";#N/A,#N/A,FALSE,"6.공문";#N/A,#N/A,FALSE,"7.netinvest"}</definedName>
    <definedName name="미료" localSheetId="18" hidden="1">{#N/A,#N/A,FALSE,"1.CRITERIA";#N/A,#N/A,FALSE,"2.IS";#N/A,#N/A,FALSE,"3.BS";#N/A,#N/A,FALSE,"4.PER PL";#N/A,#N/A,FALSE,"5.INVESTMENT";#N/A,#N/A,FALSE,"6.공문";#N/A,#N/A,FALSE,"7.netinvest"}</definedName>
    <definedName name="미료" localSheetId="25" hidden="1">{#N/A,#N/A,FALSE,"1.CRITERIA";#N/A,#N/A,FALSE,"2.IS";#N/A,#N/A,FALSE,"3.BS";#N/A,#N/A,FALSE,"4.PER PL";#N/A,#N/A,FALSE,"5.INVESTMENT";#N/A,#N/A,FALSE,"6.공문";#N/A,#N/A,FALSE,"7.netinvest"}</definedName>
    <definedName name="미료" hidden="1">{#N/A,#N/A,FALSE,"1.CRITERIA";#N/A,#N/A,FALSE,"2.IS";#N/A,#N/A,FALSE,"3.BS";#N/A,#N/A,FALSE,"4.PER PL";#N/A,#N/A,FALSE,"5.INVESTMENT";#N/A,#N/A,FALSE,"6.공문";#N/A,#N/A,FALSE,"7.netinvest"}</definedName>
    <definedName name="미미" localSheetId="24" hidden="1">{#N/A,#N/A,FALSE,"1.CRITERIA";#N/A,#N/A,FALSE,"2.IS";#N/A,#N/A,FALSE,"3.BS";#N/A,#N/A,FALSE,"4.PER PL";#N/A,#N/A,FALSE,"5.INVESTMENT";#N/A,#N/A,FALSE,"6.공문";#N/A,#N/A,FALSE,"7.netinvest"}</definedName>
    <definedName name="미미" localSheetId="18" hidden="1">{#N/A,#N/A,FALSE,"1.CRITERIA";#N/A,#N/A,FALSE,"2.IS";#N/A,#N/A,FALSE,"3.BS";#N/A,#N/A,FALSE,"4.PER PL";#N/A,#N/A,FALSE,"5.INVESTMENT";#N/A,#N/A,FALSE,"6.공문";#N/A,#N/A,FALSE,"7.netinvest"}</definedName>
    <definedName name="미미" localSheetId="25" hidden="1">{#N/A,#N/A,FALSE,"1.CRITERIA";#N/A,#N/A,FALSE,"2.IS";#N/A,#N/A,FALSE,"3.BS";#N/A,#N/A,FALSE,"4.PER PL";#N/A,#N/A,FALSE,"5.INVESTMENT";#N/A,#N/A,FALSE,"6.공문";#N/A,#N/A,FALSE,"7.netinvest"}</definedName>
    <definedName name="미미" hidden="1">{#N/A,#N/A,FALSE,"1.CRITERIA";#N/A,#N/A,FALSE,"2.IS";#N/A,#N/A,FALSE,"3.BS";#N/A,#N/A,FALSE,"4.PER PL";#N/A,#N/A,FALSE,"5.INVESTMENT";#N/A,#N/A,FALSE,"6.공문";#N/A,#N/A,FALSE,"7.netinvest"}</definedName>
    <definedName name="미수금" localSheetId="24" hidden="1">{#N/A,#N/A,FALSE,"1.CRITERIA";#N/A,#N/A,FALSE,"2.IS";#N/A,#N/A,FALSE,"3.BS";#N/A,#N/A,FALSE,"4.PER PL";#N/A,#N/A,FALSE,"5.INVESTMENT";#N/A,#N/A,FALSE,"6.공문";#N/A,#N/A,FALSE,"7.netinvest"}</definedName>
    <definedName name="미수금" localSheetId="18" hidden="1">{#N/A,#N/A,FALSE,"1.CRITERIA";#N/A,#N/A,FALSE,"2.IS";#N/A,#N/A,FALSE,"3.BS";#N/A,#N/A,FALSE,"4.PER PL";#N/A,#N/A,FALSE,"5.INVESTMENT";#N/A,#N/A,FALSE,"6.공문";#N/A,#N/A,FALSE,"7.netinvest"}</definedName>
    <definedName name="미수금" localSheetId="25" hidden="1">{#N/A,#N/A,FALSE,"1.CRITERIA";#N/A,#N/A,FALSE,"2.IS";#N/A,#N/A,FALSE,"3.BS";#N/A,#N/A,FALSE,"4.PER PL";#N/A,#N/A,FALSE,"5.INVESTMENT";#N/A,#N/A,FALSE,"6.공문";#N/A,#N/A,FALSE,"7.netinvest"}</definedName>
    <definedName name="미수금" hidden="1">{#N/A,#N/A,FALSE,"1.CRITERIA";#N/A,#N/A,FALSE,"2.IS";#N/A,#N/A,FALSE,"3.BS";#N/A,#N/A,FALSE,"4.PER PL";#N/A,#N/A,FALSE,"5.INVESTMENT";#N/A,#N/A,FALSE,"6.공문";#N/A,#N/A,FALSE,"7.netinvest"}</definedName>
    <definedName name="미수이자1" hidden="1">#N/A</definedName>
    <definedName name="미승인"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미승인"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미승인" localSheetId="25"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미승인"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미화" localSheetId="24" hidden="1">{#N/A,#N/A,FALSE,"이력서&amp;자기소개서"}</definedName>
    <definedName name="미화" localSheetId="18" hidden="1">{#N/A,#N/A,FALSE,"이력서&amp;자기소개서"}</definedName>
    <definedName name="미화" localSheetId="25" hidden="1">{#N/A,#N/A,FALSE,"이력서&amp;자기소개서"}</definedName>
    <definedName name="미화" hidden="1">{#N/A,#N/A,FALSE,"이력서&amp;자기소개서"}</definedName>
    <definedName name="미화_1" localSheetId="24" hidden="1">{#N/A,#N/A,FALSE,"이력서&amp;자기소개서"}</definedName>
    <definedName name="미화_1" localSheetId="18" hidden="1">{#N/A,#N/A,FALSE,"이력서&amp;자기소개서"}</definedName>
    <definedName name="미화_1" localSheetId="25" hidden="1">{#N/A,#N/A,FALSE,"이력서&amp;자기소개서"}</definedName>
    <definedName name="미화_1" hidden="1">{#N/A,#N/A,FALSE,"이력서&amp;자기소개서"}</definedName>
    <definedName name="미화2" localSheetId="24" hidden="1">{#N/A,#N/A,FALSE,"이력서&amp;자기소개서"}</definedName>
    <definedName name="미화2" localSheetId="18" hidden="1">{#N/A,#N/A,FALSE,"이력서&amp;자기소개서"}</definedName>
    <definedName name="미화2" localSheetId="25" hidden="1">{#N/A,#N/A,FALSE,"이력서&amp;자기소개서"}</definedName>
    <definedName name="미화2" hidden="1">{#N/A,#N/A,FALSE,"이력서&amp;자기소개서"}</definedName>
    <definedName name="미화2_1" localSheetId="24" hidden="1">{#N/A,#N/A,FALSE,"이력서&amp;자기소개서"}</definedName>
    <definedName name="미화2_1" localSheetId="18" hidden="1">{#N/A,#N/A,FALSE,"이력서&amp;자기소개서"}</definedName>
    <definedName name="미화2_1" localSheetId="25" hidden="1">{#N/A,#N/A,FALSE,"이력서&amp;자기소개서"}</definedName>
    <definedName name="미화2_1" hidden="1">{#N/A,#N/A,FALSE,"이력서&amp;자기소개서"}</definedName>
    <definedName name="미화산출내역"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미화산출내역"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미화산출내역" localSheetId="2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미화산출내역"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미화시설소모품비1111" localSheetId="24" hidden="1">{#N/A,#N/A,FALSE,"이력서&amp;자기소개서"}</definedName>
    <definedName name="미화시설소모품비1111" localSheetId="18" hidden="1">{#N/A,#N/A,FALSE,"이력서&amp;자기소개서"}</definedName>
    <definedName name="미화시설소모품비1111" localSheetId="25" hidden="1">{#N/A,#N/A,FALSE,"이력서&amp;자기소개서"}</definedName>
    <definedName name="미화시설소모품비1111" hidden="1">{#N/A,#N/A,FALSE,"이력서&amp;자기소개서"}</definedName>
    <definedName name="미화원" localSheetId="24" hidden="1">{#N/A,#N/A,FALSE,"이력서&amp;자기소개서"}</definedName>
    <definedName name="미화원" localSheetId="18" hidden="1">{#N/A,#N/A,FALSE,"이력서&amp;자기소개서"}</definedName>
    <definedName name="미화원" localSheetId="25" hidden="1">{#N/A,#N/A,FALSE,"이력서&amp;자기소개서"}</definedName>
    <definedName name="미화원" hidden="1">{#N/A,#N/A,FALSE,"이력서&amp;자기소개서"}</definedName>
    <definedName name="민" localSheetId="24" hidden="1">{#N/A,#N/A,FALSE,"동부"}</definedName>
    <definedName name="민" localSheetId="18" hidden="1">{#N/A,#N/A,FALSE,"동부"}</definedName>
    <definedName name="민" localSheetId="25" hidden="1">{#N/A,#N/A,FALSE,"동부"}</definedName>
    <definedName name="민" hidden="1">{#N/A,#N/A,FALSE,"동부"}</definedName>
    <definedName name="민감" localSheetId="24" hidden="1">{#N/A,#N/A,TRUE,"대 차 대 조 표"}</definedName>
    <definedName name="민감" localSheetId="18" hidden="1">{#N/A,#N/A,TRUE,"대 차 대 조 표"}</definedName>
    <definedName name="민감" localSheetId="25" hidden="1">{#N/A,#N/A,TRUE,"대 차 대 조 표"}</definedName>
    <definedName name="민감" hidden="1">{#N/A,#N/A,TRUE,"대 차 대 조 표"}</definedName>
    <definedName name="민감도표1">'A&amp;R'!$AV$95:$BA$101</definedName>
    <definedName name="민감도표2">'A&amp;R'!$AV$109:$BA$115</definedName>
    <definedName name="민감도표3">'A&amp;R'!$AV$121:$BA$127</definedName>
    <definedName name="민감도표4">'A&amp;R'!$AV$133:$BA$139</definedName>
    <definedName name="민자사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민자사업"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민자사업"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민자사업" hidden="1">{#N/A,#N/A,FALSE,"손익표지";#N/A,#N/A,FALSE,"손익계산";#N/A,#N/A,FALSE,"일반관리비";#N/A,#N/A,FALSE,"영업외수익";#N/A,#N/A,FALSE,"영업외비용";#N/A,#N/A,FALSE,"매출액";#N/A,#N/A,FALSE,"요약손익";#N/A,#N/A,FALSE,"요약대차";#N/A,#N/A,FALSE,"매출채권현황";#N/A,#N/A,FALSE,"매출채권명세"}</definedName>
    <definedName name="ㅂㄱㄷㅅㅂ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ㅂㄱㄷㅅㅂ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ㅂㄱㄷㅅㅂㄷ"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ㅂㄱㄷㅅㅂㄷ" hidden="1">{#N/A,#N/A,FALSE,"손익표지";#N/A,#N/A,FALSE,"손익계산";#N/A,#N/A,FALSE,"일반관리비";#N/A,#N/A,FALSE,"영업외수익";#N/A,#N/A,FALSE,"영업외비용";#N/A,#N/A,FALSE,"매출액";#N/A,#N/A,FALSE,"요약손익";#N/A,#N/A,FALSE,"요약대차";#N/A,#N/A,FALSE,"매출채권현황";#N/A,#N/A,FALSE,"매출채권명세"}</definedName>
    <definedName name="ㅂㅁㅋ" localSheetId="24" hidden="1">{"'용역비'!$A$4:$C$8"}</definedName>
    <definedName name="ㅂㅁㅋ" localSheetId="18" hidden="1">{"'용역비'!$A$4:$C$8"}</definedName>
    <definedName name="ㅂㅁㅋ" localSheetId="25" hidden="1">{"'용역비'!$A$4:$C$8"}</definedName>
    <definedName name="ㅂㅁㅋ" hidden="1">{"'용역비'!$A$4:$C$8"}</definedName>
    <definedName name="ㅂㅂ"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 localSheetId="25"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_1"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_1" localSheetId="25"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ㅂ" localSheetId="24" hidden="1">{#N/A,#N/A,FALSE,"배수2"}</definedName>
    <definedName name="ㅂㅂㅂ" localSheetId="18" hidden="1">{#N/A,#N/A,FALSE,"배수2"}</definedName>
    <definedName name="ㅂㅂㅂ" localSheetId="25" hidden="1">{#N/A,#N/A,FALSE,"배수2"}</definedName>
    <definedName name="ㅂㅂㅂ" hidden="1">{#N/A,#N/A,FALSE,"배수2"}</definedName>
    <definedName name="ㅂㅂㅂㅂ" localSheetId="24" hidden="1">{#N/A,#N/A,FALSE,"동부"}</definedName>
    <definedName name="ㅂㅂㅂㅂ" localSheetId="18" hidden="1">{#N/A,#N/A,FALSE,"동부"}</definedName>
    <definedName name="ㅂㅂㅂㅂ" localSheetId="25" hidden="1">{#N/A,#N/A,FALSE,"동부"}</definedName>
    <definedName name="ㅂㅂㅂㅂ" hidden="1">{#N/A,#N/A,FALSE,"동부"}</definedName>
    <definedName name="ㅂㅂㅂㅂㅂ" localSheetId="24" hidden="1">{#N/A,#N/A,FALSE,"동부"}</definedName>
    <definedName name="ㅂㅂㅂㅂㅂ" localSheetId="18" hidden="1">{#N/A,#N/A,FALSE,"동부"}</definedName>
    <definedName name="ㅂㅂㅂㅂㅂ" localSheetId="25" hidden="1">{#N/A,#N/A,FALSE,"동부"}</definedName>
    <definedName name="ㅂㅂㅂㅂㅂ" hidden="1">{#N/A,#N/A,FALSE,"동부"}</definedName>
    <definedName name="ㅂㅂㅂㅂㅂㅂ" localSheetId="24" hidden="1">{"'용역비'!$A$4:$C$8"}</definedName>
    <definedName name="ㅂㅂㅂㅂㅂㅂ" localSheetId="18" hidden="1">{"'용역비'!$A$4:$C$8"}</definedName>
    <definedName name="ㅂㅂㅂㅂㅂㅂ" localSheetId="25" hidden="1">{"'용역비'!$A$4:$C$8"}</definedName>
    <definedName name="ㅂㅂㅂㅂㅂㅂ" hidden="1">{"'용역비'!$A$4:$C$8"}</definedName>
    <definedName name="ㅂㅂㅂㅂㅂㅂㅂ" localSheetId="24" hidden="1">{#N/A,#N/A,FALSE,"동부"}</definedName>
    <definedName name="ㅂㅂㅂㅂㅂㅂㅂ" localSheetId="18" hidden="1">{#N/A,#N/A,FALSE,"동부"}</definedName>
    <definedName name="ㅂㅂㅂㅂㅂㅂㅂ" localSheetId="25" hidden="1">{#N/A,#N/A,FALSE,"동부"}</definedName>
    <definedName name="ㅂㅂㅂㅂㅂㅂㅂ" hidden="1">{#N/A,#N/A,FALSE,"동부"}</definedName>
    <definedName name="ㅂㅂㅂㅂㅂㅂㅂㅂ" localSheetId="24" hidden="1">{#N/A,#N/A,FALSE,"동부"}</definedName>
    <definedName name="ㅂㅂㅂㅂㅂㅂㅂㅂ" localSheetId="18" hidden="1">{#N/A,#N/A,FALSE,"동부"}</definedName>
    <definedName name="ㅂㅂㅂㅂㅂㅂㅂㅂ" localSheetId="25" hidden="1">{#N/A,#N/A,FALSE,"동부"}</definedName>
    <definedName name="ㅂㅂㅂㅂㅂㅂㅂㅂ" hidden="1">{#N/A,#N/A,FALSE,"동부"}</definedName>
    <definedName name="ㅂㅂㅂㅂㅂㅂㅂㅂㅂㅂ" localSheetId="24" hidden="1">{#N/A,#N/A,FALSE,"동부"}</definedName>
    <definedName name="ㅂㅂㅂㅂㅂㅂㅂㅂㅂㅂ" localSheetId="18" hidden="1">{#N/A,#N/A,FALSE,"동부"}</definedName>
    <definedName name="ㅂㅂㅂㅂㅂㅂㅂㅂㅂㅂ" localSheetId="25" hidden="1">{#N/A,#N/A,FALSE,"동부"}</definedName>
    <definedName name="ㅂㅂㅂㅂㅂㅂㅂㅂㅂㅂ" hidden="1">{#N/A,#N/A,FALSE,"동부"}</definedName>
    <definedName name="ㅂㅇㅁㄴㄹㅇㄴ" localSheetId="24" hidden="1">{"'7'!$B$15:$D$32"}</definedName>
    <definedName name="ㅂㅇㅁㄴㄹㅇㄴ" localSheetId="18" hidden="1">{"'7'!$B$15:$D$32"}</definedName>
    <definedName name="ㅂㅇㅁㄴㄹㅇㄴ" localSheetId="25" hidden="1">{"'7'!$B$15:$D$32"}</definedName>
    <definedName name="ㅂㅇㅁㄴㄹㅇㄴ" hidden="1">{"'7'!$B$15:$D$32"}</definedName>
    <definedName name="ㅂㅈㄷ">"C0168M47EQ82J0CS1RJ7NZD0U"</definedName>
    <definedName name="ㅂㅈㄷㄱㅂㅈㄷ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ㅂㅈㄷㄱㅂㅈㄷ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ㅂㅈㄷㄱㅂㅈㄷㄱ"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ㅂㅈㄷㄱㅂㅈㄷㄱ" hidden="1">{#N/A,#N/A,FALSE,"손익표지";#N/A,#N/A,FALSE,"손익계산";#N/A,#N/A,FALSE,"일반관리비";#N/A,#N/A,FALSE,"영업외수익";#N/A,#N/A,FALSE,"영업외비용";#N/A,#N/A,FALSE,"매출액";#N/A,#N/A,FALSE,"요약손익";#N/A,#N/A,FALSE,"요약대차";#N/A,#N/A,FALSE,"매출채권현황";#N/A,#N/A,FALSE,"매출채권명세"}</definedName>
    <definedName name="ㅂㅋ" localSheetId="24" hidden="1">{"'용역비'!$A$4:$C$8"}</definedName>
    <definedName name="ㅂㅋ" localSheetId="18" hidden="1">{"'용역비'!$A$4:$C$8"}</definedName>
    <definedName name="ㅂㅋ" localSheetId="25" hidden="1">{"'용역비'!$A$4:$C$8"}</definedName>
    <definedName name="ㅂㅋ" hidden="1">{"'용역비'!$A$4:$C$8"}</definedName>
    <definedName name="바" localSheetId="24" hidden="1">{#N/A,#N/A,FALSE,"1.CRITERIA";#N/A,#N/A,FALSE,"2.IS";#N/A,#N/A,FALSE,"3.BS";#N/A,#N/A,FALSE,"4.PER PL";#N/A,#N/A,FALSE,"5.INVESTMENT";#N/A,#N/A,FALSE,"6.공문";#N/A,#N/A,FALSE,"7.netinvest"}</definedName>
    <definedName name="바" localSheetId="18" hidden="1">{#N/A,#N/A,FALSE,"1.CRITERIA";#N/A,#N/A,FALSE,"2.IS";#N/A,#N/A,FALSE,"3.BS";#N/A,#N/A,FALSE,"4.PER PL";#N/A,#N/A,FALSE,"5.INVESTMENT";#N/A,#N/A,FALSE,"6.공문";#N/A,#N/A,FALSE,"7.netinvest"}</definedName>
    <definedName name="바" localSheetId="25" hidden="1">{#N/A,#N/A,FALSE,"1.CRITERIA";#N/A,#N/A,FALSE,"2.IS";#N/A,#N/A,FALSE,"3.BS";#N/A,#N/A,FALSE,"4.PER PL";#N/A,#N/A,FALSE,"5.INVESTMENT";#N/A,#N/A,FALSE,"6.공문";#N/A,#N/A,FALSE,"7.netinvest"}</definedName>
    <definedName name="바" hidden="1">{#N/A,#N/A,FALSE,"1.CRITERIA";#N/A,#N/A,FALSE,"2.IS";#N/A,#N/A,FALSE,"3.BS";#N/A,#N/A,FALSE,"4.PER PL";#N/A,#N/A,FALSE,"5.INVESTMENT";#N/A,#N/A,FALSE,"6.공문";#N/A,#N/A,FALSE,"7.netinvest"}</definedName>
    <definedName name="바가" localSheetId="24" hidden="1">{#N/A,#N/A,FALSE,"1.CRITERIA";#N/A,#N/A,FALSE,"2.IS";#N/A,#N/A,FALSE,"3.BS";#N/A,#N/A,FALSE,"4.PER PL";#N/A,#N/A,FALSE,"5.INVESTMENT";#N/A,#N/A,FALSE,"6.공문";#N/A,#N/A,FALSE,"7.netinvest"}</definedName>
    <definedName name="바가" localSheetId="18" hidden="1">{#N/A,#N/A,FALSE,"1.CRITERIA";#N/A,#N/A,FALSE,"2.IS";#N/A,#N/A,FALSE,"3.BS";#N/A,#N/A,FALSE,"4.PER PL";#N/A,#N/A,FALSE,"5.INVESTMENT";#N/A,#N/A,FALSE,"6.공문";#N/A,#N/A,FALSE,"7.netinvest"}</definedName>
    <definedName name="바가" localSheetId="25" hidden="1">{#N/A,#N/A,FALSE,"1.CRITERIA";#N/A,#N/A,FALSE,"2.IS";#N/A,#N/A,FALSE,"3.BS";#N/A,#N/A,FALSE,"4.PER PL";#N/A,#N/A,FALSE,"5.INVESTMENT";#N/A,#N/A,FALSE,"6.공문";#N/A,#N/A,FALSE,"7.netinvest"}</definedName>
    <definedName name="바가" hidden="1">{#N/A,#N/A,FALSE,"1.CRITERIA";#N/A,#N/A,FALSE,"2.IS";#N/A,#N/A,FALSE,"3.BS";#N/A,#N/A,FALSE,"4.PER PL";#N/A,#N/A,FALSE,"5.INVESTMENT";#N/A,#N/A,FALSE,"6.공문";#N/A,#N/A,FALSE,"7.netinvest"}</definedName>
    <definedName name="바나" localSheetId="24" hidden="1">{#N/A,#N/A,FALSE,"1.CRITERIA";#N/A,#N/A,FALSE,"2.IS";#N/A,#N/A,FALSE,"3.BS";#N/A,#N/A,FALSE,"4.PER PL";#N/A,#N/A,FALSE,"5.INVESTMENT";#N/A,#N/A,FALSE,"6.공문";#N/A,#N/A,FALSE,"7.netinvest"}</definedName>
    <definedName name="바나" localSheetId="18" hidden="1">{#N/A,#N/A,FALSE,"1.CRITERIA";#N/A,#N/A,FALSE,"2.IS";#N/A,#N/A,FALSE,"3.BS";#N/A,#N/A,FALSE,"4.PER PL";#N/A,#N/A,FALSE,"5.INVESTMENT";#N/A,#N/A,FALSE,"6.공문";#N/A,#N/A,FALSE,"7.netinvest"}</definedName>
    <definedName name="바나" localSheetId="25" hidden="1">{#N/A,#N/A,FALSE,"1.CRITERIA";#N/A,#N/A,FALSE,"2.IS";#N/A,#N/A,FALSE,"3.BS";#N/A,#N/A,FALSE,"4.PER PL";#N/A,#N/A,FALSE,"5.INVESTMENT";#N/A,#N/A,FALSE,"6.공문";#N/A,#N/A,FALSE,"7.netinvest"}</definedName>
    <definedName name="바나" hidden="1">{#N/A,#N/A,FALSE,"1.CRITERIA";#N/A,#N/A,FALSE,"2.IS";#N/A,#N/A,FALSE,"3.BS";#N/A,#N/A,FALSE,"4.PER PL";#N/A,#N/A,FALSE,"5.INVESTMENT";#N/A,#N/A,FALSE,"6.공문";#N/A,#N/A,FALSE,"7.netinvest"}</definedName>
    <definedName name="바다올" localSheetId="24" hidden="1">{#N/A,#N/A,FALSE,"1.CRITERIA";#N/A,#N/A,FALSE,"2.IS";#N/A,#N/A,FALSE,"3.BS";#N/A,#N/A,FALSE,"4.PER PL";#N/A,#N/A,FALSE,"5.INVESTMENT";#N/A,#N/A,FALSE,"6.공문";#N/A,#N/A,FALSE,"7.netinvest"}</definedName>
    <definedName name="바다올" localSheetId="18" hidden="1">{#N/A,#N/A,FALSE,"1.CRITERIA";#N/A,#N/A,FALSE,"2.IS";#N/A,#N/A,FALSE,"3.BS";#N/A,#N/A,FALSE,"4.PER PL";#N/A,#N/A,FALSE,"5.INVESTMENT";#N/A,#N/A,FALSE,"6.공문";#N/A,#N/A,FALSE,"7.netinvest"}</definedName>
    <definedName name="바다올" localSheetId="25" hidden="1">{#N/A,#N/A,FALSE,"1.CRITERIA";#N/A,#N/A,FALSE,"2.IS";#N/A,#N/A,FALSE,"3.BS";#N/A,#N/A,FALSE,"4.PER PL";#N/A,#N/A,FALSE,"5.INVESTMENT";#N/A,#N/A,FALSE,"6.공문";#N/A,#N/A,FALSE,"7.netinvest"}</definedName>
    <definedName name="바다올" hidden="1">{#N/A,#N/A,FALSE,"1.CRITERIA";#N/A,#N/A,FALSE,"2.IS";#N/A,#N/A,FALSE,"3.BS";#N/A,#N/A,FALSE,"4.PER PL";#N/A,#N/A,FALSE,"5.INVESTMENT";#N/A,#N/A,FALSE,"6.공문";#N/A,#N/A,FALSE,"7.netinvest"}</definedName>
    <definedName name="바라" localSheetId="24" hidden="1">{#N/A,#N/A,FALSE,"1.CRITERIA";#N/A,#N/A,FALSE,"2.IS";#N/A,#N/A,FALSE,"3.BS";#N/A,#N/A,FALSE,"4.PER PL";#N/A,#N/A,FALSE,"5.INVESTMENT";#N/A,#N/A,FALSE,"6.공문";#N/A,#N/A,FALSE,"7.netinvest"}</definedName>
    <definedName name="바라" localSheetId="18" hidden="1">{#N/A,#N/A,FALSE,"1.CRITERIA";#N/A,#N/A,FALSE,"2.IS";#N/A,#N/A,FALSE,"3.BS";#N/A,#N/A,FALSE,"4.PER PL";#N/A,#N/A,FALSE,"5.INVESTMENT";#N/A,#N/A,FALSE,"6.공문";#N/A,#N/A,FALSE,"7.netinvest"}</definedName>
    <definedName name="바라" localSheetId="25" hidden="1">{#N/A,#N/A,FALSE,"1.CRITERIA";#N/A,#N/A,FALSE,"2.IS";#N/A,#N/A,FALSE,"3.BS";#N/A,#N/A,FALSE,"4.PER PL";#N/A,#N/A,FALSE,"5.INVESTMENT";#N/A,#N/A,FALSE,"6.공문";#N/A,#N/A,FALSE,"7.netinvest"}</definedName>
    <definedName name="바라" hidden="1">{#N/A,#N/A,FALSE,"1.CRITERIA";#N/A,#N/A,FALSE,"2.IS";#N/A,#N/A,FALSE,"3.BS";#N/A,#N/A,FALSE,"4.PER PL";#N/A,#N/A,FALSE,"5.INVESTMENT";#N/A,#N/A,FALSE,"6.공문";#N/A,#N/A,FALSE,"7.netinvest"}</definedName>
    <definedName name="바라오" localSheetId="24" hidden="1">{#N/A,#N/A,FALSE,"1.CRITERIA";#N/A,#N/A,FALSE,"2.IS";#N/A,#N/A,FALSE,"3.BS";#N/A,#N/A,FALSE,"4.PER PL";#N/A,#N/A,FALSE,"5.INVESTMENT";#N/A,#N/A,FALSE,"6.공문";#N/A,#N/A,FALSE,"7.netinvest"}</definedName>
    <definedName name="바라오" localSheetId="18" hidden="1">{#N/A,#N/A,FALSE,"1.CRITERIA";#N/A,#N/A,FALSE,"2.IS";#N/A,#N/A,FALSE,"3.BS";#N/A,#N/A,FALSE,"4.PER PL";#N/A,#N/A,FALSE,"5.INVESTMENT";#N/A,#N/A,FALSE,"6.공문";#N/A,#N/A,FALSE,"7.netinvest"}</definedName>
    <definedName name="바라오" localSheetId="25" hidden="1">{#N/A,#N/A,FALSE,"1.CRITERIA";#N/A,#N/A,FALSE,"2.IS";#N/A,#N/A,FALSE,"3.BS";#N/A,#N/A,FALSE,"4.PER PL";#N/A,#N/A,FALSE,"5.INVESTMENT";#N/A,#N/A,FALSE,"6.공문";#N/A,#N/A,FALSE,"7.netinvest"}</definedName>
    <definedName name="바라오" hidden="1">{#N/A,#N/A,FALSE,"1.CRITERIA";#N/A,#N/A,FALSE,"2.IS";#N/A,#N/A,FALSE,"3.BS";#N/A,#N/A,FALSE,"4.PER PL";#N/A,#N/A,FALSE,"5.INVESTMENT";#N/A,#N/A,FALSE,"6.공문";#N/A,#N/A,FALSE,"7.netinvest"}</definedName>
    <definedName name="바로" localSheetId="24" hidden="1">{#N/A,#N/A,FALSE,"1.CRITERIA";#N/A,#N/A,FALSE,"2.IS";#N/A,#N/A,FALSE,"3.BS";#N/A,#N/A,FALSE,"4.PER PL";#N/A,#N/A,FALSE,"5.INVESTMENT";#N/A,#N/A,FALSE,"6.공문";#N/A,#N/A,FALSE,"7.netinvest"}</definedName>
    <definedName name="바로" localSheetId="18" hidden="1">{#N/A,#N/A,FALSE,"1.CRITERIA";#N/A,#N/A,FALSE,"2.IS";#N/A,#N/A,FALSE,"3.BS";#N/A,#N/A,FALSE,"4.PER PL";#N/A,#N/A,FALSE,"5.INVESTMENT";#N/A,#N/A,FALSE,"6.공문";#N/A,#N/A,FALSE,"7.netinvest"}</definedName>
    <definedName name="바로" localSheetId="25" hidden="1">{#N/A,#N/A,FALSE,"1.CRITERIA";#N/A,#N/A,FALSE,"2.IS";#N/A,#N/A,FALSE,"3.BS";#N/A,#N/A,FALSE,"4.PER PL";#N/A,#N/A,FALSE,"5.INVESTMENT";#N/A,#N/A,FALSE,"6.공문";#N/A,#N/A,FALSE,"7.netinvest"}</definedName>
    <definedName name="바로" hidden="1">{#N/A,#N/A,FALSE,"1.CRITERIA";#N/A,#N/A,FALSE,"2.IS";#N/A,#N/A,FALSE,"3.BS";#N/A,#N/A,FALSE,"4.PER PL";#N/A,#N/A,FALSE,"5.INVESTMENT";#N/A,#N/A,FALSE,"6.공문";#N/A,#N/A,FALSE,"7.netinvest"}</definedName>
    <definedName name="바바" localSheetId="24" hidden="1">{#N/A,#N/A,FALSE,"1.CRITERIA";#N/A,#N/A,FALSE,"2.IS";#N/A,#N/A,FALSE,"3.BS";#N/A,#N/A,FALSE,"4.PER PL";#N/A,#N/A,FALSE,"5.INVESTMENT";#N/A,#N/A,FALSE,"6.공문";#N/A,#N/A,FALSE,"7.netinvest"}</definedName>
    <definedName name="바바" localSheetId="18" hidden="1">{#N/A,#N/A,FALSE,"1.CRITERIA";#N/A,#N/A,FALSE,"2.IS";#N/A,#N/A,FALSE,"3.BS";#N/A,#N/A,FALSE,"4.PER PL";#N/A,#N/A,FALSE,"5.INVESTMENT";#N/A,#N/A,FALSE,"6.공문";#N/A,#N/A,FALSE,"7.netinvest"}</definedName>
    <definedName name="바바" localSheetId="25" hidden="1">{#N/A,#N/A,FALSE,"1.CRITERIA";#N/A,#N/A,FALSE,"2.IS";#N/A,#N/A,FALSE,"3.BS";#N/A,#N/A,FALSE,"4.PER PL";#N/A,#N/A,FALSE,"5.INVESTMENT";#N/A,#N/A,FALSE,"6.공문";#N/A,#N/A,FALSE,"7.netinvest"}</definedName>
    <definedName name="바바" hidden="1">{#N/A,#N/A,FALSE,"1.CRITERIA";#N/A,#N/A,FALSE,"2.IS";#N/A,#N/A,FALSE,"3.BS";#N/A,#N/A,FALSE,"4.PER PL";#N/A,#N/A,FALSE,"5.INVESTMENT";#N/A,#N/A,FALSE,"6.공문";#N/A,#N/A,FALSE,"7.netinvest"}</definedName>
    <definedName name="바바라" localSheetId="24" hidden="1">{#N/A,#N/A,TRUE,"Y생산";#N/A,#N/A,TRUE,"Y판매";#N/A,#N/A,TRUE,"Y총물량";#N/A,#N/A,TRUE,"Y능력";#N/A,#N/A,TRUE,"YKD"}</definedName>
    <definedName name="바바라" localSheetId="18" hidden="1">{#N/A,#N/A,TRUE,"Y생산";#N/A,#N/A,TRUE,"Y판매";#N/A,#N/A,TRUE,"Y총물량";#N/A,#N/A,TRUE,"Y능력";#N/A,#N/A,TRUE,"YKD"}</definedName>
    <definedName name="바바라" localSheetId="25" hidden="1">{#N/A,#N/A,TRUE,"Y생산";#N/A,#N/A,TRUE,"Y판매";#N/A,#N/A,TRUE,"Y총물량";#N/A,#N/A,TRUE,"Y능력";#N/A,#N/A,TRUE,"YKD"}</definedName>
    <definedName name="바바라" hidden="1">{#N/A,#N/A,TRUE,"Y생산";#N/A,#N/A,TRUE,"Y판매";#N/A,#N/A,TRUE,"Y총물량";#N/A,#N/A,TRUE,"Y능력";#N/A,#N/A,TRUE,"YKD"}</definedName>
    <definedName name="바바라_1" localSheetId="24" hidden="1">{#N/A,#N/A,TRUE,"Y생산";#N/A,#N/A,TRUE,"Y판매";#N/A,#N/A,TRUE,"Y총물량";#N/A,#N/A,TRUE,"Y능력";#N/A,#N/A,TRUE,"YKD"}</definedName>
    <definedName name="바바라_1" localSheetId="18" hidden="1">{#N/A,#N/A,TRUE,"Y생산";#N/A,#N/A,TRUE,"Y판매";#N/A,#N/A,TRUE,"Y총물량";#N/A,#N/A,TRUE,"Y능력";#N/A,#N/A,TRUE,"YKD"}</definedName>
    <definedName name="바바라_1" localSheetId="25" hidden="1">{#N/A,#N/A,TRUE,"Y생산";#N/A,#N/A,TRUE,"Y판매";#N/A,#N/A,TRUE,"Y총물량";#N/A,#N/A,TRUE,"Y능력";#N/A,#N/A,TRUE,"YKD"}</definedName>
    <definedName name="바바라_1" hidden="1">{#N/A,#N/A,TRUE,"Y생산";#N/A,#N/A,TRUE,"Y판매";#N/A,#N/A,TRUE,"Y총물량";#N/A,#N/A,TRUE,"Y능력";#N/A,#N/A,TRUE,"YKD"}</definedName>
    <definedName name="바보" localSheetId="24" hidden="1">{"'용역비'!$A$4:$C$8"}</definedName>
    <definedName name="바보" localSheetId="18" hidden="1">{"'용역비'!$A$4:$C$8"}</definedName>
    <definedName name="바보" localSheetId="25" hidden="1">{"'용역비'!$A$4:$C$8"}</definedName>
    <definedName name="바보" hidden="1">{"'용역비'!$A$4:$C$8"}</definedName>
    <definedName name="바아" localSheetId="24" hidden="1">{#N/A,#N/A,FALSE,"1.CRITERIA";#N/A,#N/A,FALSE,"2.IS";#N/A,#N/A,FALSE,"3.BS";#N/A,#N/A,FALSE,"4.PER PL";#N/A,#N/A,FALSE,"5.INVESTMENT";#N/A,#N/A,FALSE,"6.공문";#N/A,#N/A,FALSE,"7.netinvest"}</definedName>
    <definedName name="바아" localSheetId="18" hidden="1">{#N/A,#N/A,FALSE,"1.CRITERIA";#N/A,#N/A,FALSE,"2.IS";#N/A,#N/A,FALSE,"3.BS";#N/A,#N/A,FALSE,"4.PER PL";#N/A,#N/A,FALSE,"5.INVESTMENT";#N/A,#N/A,FALSE,"6.공문";#N/A,#N/A,FALSE,"7.netinvest"}</definedName>
    <definedName name="바아" localSheetId="25" hidden="1">{#N/A,#N/A,FALSE,"1.CRITERIA";#N/A,#N/A,FALSE,"2.IS";#N/A,#N/A,FALSE,"3.BS";#N/A,#N/A,FALSE,"4.PER PL";#N/A,#N/A,FALSE,"5.INVESTMENT";#N/A,#N/A,FALSE,"6.공문";#N/A,#N/A,FALSE,"7.netinvest"}</definedName>
    <definedName name="바아" hidden="1">{#N/A,#N/A,FALSE,"1.CRITERIA";#N/A,#N/A,FALSE,"2.IS";#N/A,#N/A,FALSE,"3.BS";#N/A,#N/A,FALSE,"4.PER PL";#N/A,#N/A,FALSE,"5.INVESTMENT";#N/A,#N/A,FALSE,"6.공문";#N/A,#N/A,FALSE,"7.netinvest"}</definedName>
    <definedName name="바아가" localSheetId="24" hidden="1">{#N/A,#N/A,FALSE,"1.CRITERIA";#N/A,#N/A,FALSE,"2.IS";#N/A,#N/A,FALSE,"3.BS";#N/A,#N/A,FALSE,"4.PER PL";#N/A,#N/A,FALSE,"5.INVESTMENT";#N/A,#N/A,FALSE,"6.공문";#N/A,#N/A,FALSE,"7.netinvest"}</definedName>
    <definedName name="바아가" localSheetId="18" hidden="1">{#N/A,#N/A,FALSE,"1.CRITERIA";#N/A,#N/A,FALSE,"2.IS";#N/A,#N/A,FALSE,"3.BS";#N/A,#N/A,FALSE,"4.PER PL";#N/A,#N/A,FALSE,"5.INVESTMENT";#N/A,#N/A,FALSE,"6.공문";#N/A,#N/A,FALSE,"7.netinvest"}</definedName>
    <definedName name="바아가" localSheetId="25" hidden="1">{#N/A,#N/A,FALSE,"1.CRITERIA";#N/A,#N/A,FALSE,"2.IS";#N/A,#N/A,FALSE,"3.BS";#N/A,#N/A,FALSE,"4.PER PL";#N/A,#N/A,FALSE,"5.INVESTMENT";#N/A,#N/A,FALSE,"6.공문";#N/A,#N/A,FALSE,"7.netinvest"}</definedName>
    <definedName name="바아가" hidden="1">{#N/A,#N/A,FALSE,"1.CRITERIA";#N/A,#N/A,FALSE,"2.IS";#N/A,#N/A,FALSE,"3.BS";#N/A,#N/A,FALSE,"4.PER PL";#N/A,#N/A,FALSE,"5.INVESTMENT";#N/A,#N/A,FALSE,"6.공문";#N/A,#N/A,FALSE,"7.netinvest"}</definedName>
    <definedName name="바아가오" localSheetId="24" hidden="1">{#N/A,#N/A,FALSE,"1.CRITERIA";#N/A,#N/A,FALSE,"2.IS";#N/A,#N/A,FALSE,"3.BS";#N/A,#N/A,FALSE,"4.PER PL";#N/A,#N/A,FALSE,"5.INVESTMENT";#N/A,#N/A,FALSE,"6.공문";#N/A,#N/A,FALSE,"7.netinvest"}</definedName>
    <definedName name="바아가오" localSheetId="18" hidden="1">{#N/A,#N/A,FALSE,"1.CRITERIA";#N/A,#N/A,FALSE,"2.IS";#N/A,#N/A,FALSE,"3.BS";#N/A,#N/A,FALSE,"4.PER PL";#N/A,#N/A,FALSE,"5.INVESTMENT";#N/A,#N/A,FALSE,"6.공문";#N/A,#N/A,FALSE,"7.netinvest"}</definedName>
    <definedName name="바아가오" localSheetId="25" hidden="1">{#N/A,#N/A,FALSE,"1.CRITERIA";#N/A,#N/A,FALSE,"2.IS";#N/A,#N/A,FALSE,"3.BS";#N/A,#N/A,FALSE,"4.PER PL";#N/A,#N/A,FALSE,"5.INVESTMENT";#N/A,#N/A,FALSE,"6.공문";#N/A,#N/A,FALSE,"7.netinvest"}</definedName>
    <definedName name="바아가오" hidden="1">{#N/A,#N/A,FALSE,"1.CRITERIA";#N/A,#N/A,FALSE,"2.IS";#N/A,#N/A,FALSE,"3.BS";#N/A,#N/A,FALSE,"4.PER PL";#N/A,#N/A,FALSE,"5.INVESTMENT";#N/A,#N/A,FALSE,"6.공문";#N/A,#N/A,FALSE,"7.netinvest"}</definedName>
    <definedName name="바아고" localSheetId="24" hidden="1">{#N/A,#N/A,FALSE,"1.CRITERIA";#N/A,#N/A,FALSE,"2.IS";#N/A,#N/A,FALSE,"3.BS";#N/A,#N/A,FALSE,"4.PER PL";#N/A,#N/A,FALSE,"5.INVESTMENT";#N/A,#N/A,FALSE,"6.공문";#N/A,#N/A,FALSE,"7.netinvest"}</definedName>
    <definedName name="바아고" localSheetId="18" hidden="1">{#N/A,#N/A,FALSE,"1.CRITERIA";#N/A,#N/A,FALSE,"2.IS";#N/A,#N/A,FALSE,"3.BS";#N/A,#N/A,FALSE,"4.PER PL";#N/A,#N/A,FALSE,"5.INVESTMENT";#N/A,#N/A,FALSE,"6.공문";#N/A,#N/A,FALSE,"7.netinvest"}</definedName>
    <definedName name="바아고" localSheetId="25" hidden="1">{#N/A,#N/A,FALSE,"1.CRITERIA";#N/A,#N/A,FALSE,"2.IS";#N/A,#N/A,FALSE,"3.BS";#N/A,#N/A,FALSE,"4.PER PL";#N/A,#N/A,FALSE,"5.INVESTMENT";#N/A,#N/A,FALSE,"6.공문";#N/A,#N/A,FALSE,"7.netinvest"}</definedName>
    <definedName name="바아고" hidden="1">{#N/A,#N/A,FALSE,"1.CRITERIA";#N/A,#N/A,FALSE,"2.IS";#N/A,#N/A,FALSE,"3.BS";#N/A,#N/A,FALSE,"4.PER PL";#N/A,#N/A,FALSE,"5.INVESTMENT";#N/A,#N/A,FALSE,"6.공문";#N/A,#N/A,FALSE,"7.netinvest"}</definedName>
    <definedName name="바이" localSheetId="24" hidden="1">{#N/A,#N/A,FALSE,"1.CRITERIA";#N/A,#N/A,FALSE,"2.IS";#N/A,#N/A,FALSE,"3.BS";#N/A,#N/A,FALSE,"4.PER PL";#N/A,#N/A,FALSE,"5.INVESTMENT";#N/A,#N/A,FALSE,"6.공문";#N/A,#N/A,FALSE,"7.netinvest"}</definedName>
    <definedName name="바이" localSheetId="18" hidden="1">{#N/A,#N/A,FALSE,"1.CRITERIA";#N/A,#N/A,FALSE,"2.IS";#N/A,#N/A,FALSE,"3.BS";#N/A,#N/A,FALSE,"4.PER PL";#N/A,#N/A,FALSE,"5.INVESTMENT";#N/A,#N/A,FALSE,"6.공문";#N/A,#N/A,FALSE,"7.netinvest"}</definedName>
    <definedName name="바이" localSheetId="25" hidden="1">{#N/A,#N/A,FALSE,"1.CRITERIA";#N/A,#N/A,FALSE,"2.IS";#N/A,#N/A,FALSE,"3.BS";#N/A,#N/A,FALSE,"4.PER PL";#N/A,#N/A,FALSE,"5.INVESTMENT";#N/A,#N/A,FALSE,"6.공문";#N/A,#N/A,FALSE,"7.netinvest"}</definedName>
    <definedName name="바이" hidden="1">{#N/A,#N/A,FALSE,"1.CRITERIA";#N/A,#N/A,FALSE,"2.IS";#N/A,#N/A,FALSE,"3.BS";#N/A,#N/A,FALSE,"4.PER PL";#N/A,#N/A,FALSE,"5.INVESTMENT";#N/A,#N/A,FALSE,"6.공문";#N/A,#N/A,FALSE,"7.netinvest"}</definedName>
    <definedName name="박" localSheetId="24" hidden="1">{#N/A,#N/A,FALSE,"1.CRITERIA";#N/A,#N/A,FALSE,"2.IS";#N/A,#N/A,FALSE,"3.BS";#N/A,#N/A,FALSE,"4.PER PL";#N/A,#N/A,FALSE,"5.INVESTMENT";#N/A,#N/A,FALSE,"6.공문";#N/A,#N/A,FALSE,"7.netinvest"}</definedName>
    <definedName name="박" localSheetId="18" hidden="1">{#N/A,#N/A,FALSE,"1.CRITERIA";#N/A,#N/A,FALSE,"2.IS";#N/A,#N/A,FALSE,"3.BS";#N/A,#N/A,FALSE,"4.PER PL";#N/A,#N/A,FALSE,"5.INVESTMENT";#N/A,#N/A,FALSE,"6.공문";#N/A,#N/A,FALSE,"7.netinvest"}</definedName>
    <definedName name="박" localSheetId="25" hidden="1">{#N/A,#N/A,FALSE,"1.CRITERIA";#N/A,#N/A,FALSE,"2.IS";#N/A,#N/A,FALSE,"3.BS";#N/A,#N/A,FALSE,"4.PER PL";#N/A,#N/A,FALSE,"5.INVESTMENT";#N/A,#N/A,FALSE,"6.공문";#N/A,#N/A,FALSE,"7.netinvest"}</definedName>
    <definedName name="박" hidden="1">{#N/A,#N/A,FALSE,"1.CRITERIA";#N/A,#N/A,FALSE,"2.IS";#N/A,#N/A,FALSE,"3.BS";#N/A,#N/A,FALSE,"4.PER PL";#N/A,#N/A,FALSE,"5.INVESTMENT";#N/A,#N/A,FALSE,"6.공문";#N/A,#N/A,FALSE,"7.netinvest"}</definedName>
    <definedName name="박_1" localSheetId="24"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박_1" localSheetId="18"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박_1" localSheetId="25"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박_1"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박원흠" localSheetId="24" hidden="1">{#N/A,#N/A,FALSE,"현장 NCR 분석";#N/A,#N/A,FALSE,"현장품질감사";#N/A,#N/A,FALSE,"현장품질감사"}</definedName>
    <definedName name="박원흠" localSheetId="18" hidden="1">{#N/A,#N/A,FALSE,"현장 NCR 분석";#N/A,#N/A,FALSE,"현장품질감사";#N/A,#N/A,FALSE,"현장품질감사"}</definedName>
    <definedName name="박원흠" localSheetId="25" hidden="1">{#N/A,#N/A,FALSE,"현장 NCR 분석";#N/A,#N/A,FALSE,"현장품질감사";#N/A,#N/A,FALSE,"현장품질감사"}</definedName>
    <definedName name="박원흠" hidden="1">{#N/A,#N/A,FALSE,"현장 NCR 분석";#N/A,#N/A,FALSE,"현장품질감사";#N/A,#N/A,FALSE,"현장품질감사"}</definedName>
    <definedName name="발" localSheetId="24" hidden="1">{#N/A,#N/A,FALSE,"1.CRITERIA";#N/A,#N/A,FALSE,"2.IS";#N/A,#N/A,FALSE,"3.BS";#N/A,#N/A,FALSE,"4.PER PL";#N/A,#N/A,FALSE,"5.INVESTMENT";#N/A,#N/A,FALSE,"6.공문";#N/A,#N/A,FALSE,"7.netinvest"}</definedName>
    <definedName name="발" localSheetId="18" hidden="1">{#N/A,#N/A,FALSE,"1.CRITERIA";#N/A,#N/A,FALSE,"2.IS";#N/A,#N/A,FALSE,"3.BS";#N/A,#N/A,FALSE,"4.PER PL";#N/A,#N/A,FALSE,"5.INVESTMENT";#N/A,#N/A,FALSE,"6.공문";#N/A,#N/A,FALSE,"7.netinvest"}</definedName>
    <definedName name="발" localSheetId="25" hidden="1">{#N/A,#N/A,FALSE,"1.CRITERIA";#N/A,#N/A,FALSE,"2.IS";#N/A,#N/A,FALSE,"3.BS";#N/A,#N/A,FALSE,"4.PER PL";#N/A,#N/A,FALSE,"5.INVESTMENT";#N/A,#N/A,FALSE,"6.공문";#N/A,#N/A,FALSE,"7.netinvest"}</definedName>
    <definedName name="발" hidden="1">{#N/A,#N/A,FALSE,"1.CRITERIA";#N/A,#N/A,FALSE,"2.IS";#N/A,#N/A,FALSE,"3.BS";#N/A,#N/A,FALSE,"4.PER PL";#N/A,#N/A,FALSE,"5.INVESTMENT";#N/A,#N/A,FALSE,"6.공문";#N/A,#N/A,FALSE,"7.netinvest"}</definedName>
    <definedName name="방랑" localSheetId="24" hidden="1">{#N/A,#N/A,FALSE,"포장단가"}</definedName>
    <definedName name="방랑" localSheetId="18" hidden="1">{#N/A,#N/A,FALSE,"포장단가"}</definedName>
    <definedName name="방랑" localSheetId="25" hidden="1">{#N/A,#N/A,FALSE,"포장단가"}</definedName>
    <definedName name="방랑" hidden="1">{#N/A,#N/A,FALSE,"포장단가"}</definedName>
    <definedName name="방음벽" localSheetId="24" hidden="1">{#N/A,#N/A,FALSE,"배수2"}</definedName>
    <definedName name="방음벽" localSheetId="18" hidden="1">{#N/A,#N/A,FALSE,"배수2"}</definedName>
    <definedName name="방음벽" localSheetId="25" hidden="1">{#N/A,#N/A,FALSE,"배수2"}</definedName>
    <definedName name="방음벽" hidden="1">{#N/A,#N/A,FALSE,"배수2"}</definedName>
    <definedName name="방호배치" localSheetId="24" hidden="1">{#N/A,#N/A,FALSE,"단축1";#N/A,#N/A,FALSE,"단축2";#N/A,#N/A,FALSE,"단축3";#N/A,#N/A,FALSE,"장축";#N/A,#N/A,FALSE,"4WD"}</definedName>
    <definedName name="방호배치" localSheetId="18" hidden="1">{#N/A,#N/A,FALSE,"단축1";#N/A,#N/A,FALSE,"단축2";#N/A,#N/A,FALSE,"단축3";#N/A,#N/A,FALSE,"장축";#N/A,#N/A,FALSE,"4WD"}</definedName>
    <definedName name="방호배치" localSheetId="25" hidden="1">{#N/A,#N/A,FALSE,"단축1";#N/A,#N/A,FALSE,"단축2";#N/A,#N/A,FALSE,"단축3";#N/A,#N/A,FALSE,"장축";#N/A,#N/A,FALSE,"4WD"}</definedName>
    <definedName name="방호배치" hidden="1">{#N/A,#N/A,FALSE,"단축1";#N/A,#N/A,FALSE,"단축2";#N/A,#N/A,FALSE,"단축3";#N/A,#N/A,FALSE,"장축";#N/A,#N/A,FALSE,"4WD"}</definedName>
    <definedName name="배" localSheetId="24" hidden="1">{#N/A,#N/A,FALSE,"1.CRITERIA";#N/A,#N/A,FALSE,"2.IS";#N/A,#N/A,FALSE,"3.BS";#N/A,#N/A,FALSE,"4.PER PL";#N/A,#N/A,FALSE,"5.INVESTMENT";#N/A,#N/A,FALSE,"6.공문";#N/A,#N/A,FALSE,"7.netinvest"}</definedName>
    <definedName name="배" localSheetId="18" hidden="1">{#N/A,#N/A,FALSE,"1.CRITERIA";#N/A,#N/A,FALSE,"2.IS";#N/A,#N/A,FALSE,"3.BS";#N/A,#N/A,FALSE,"4.PER PL";#N/A,#N/A,FALSE,"5.INVESTMENT";#N/A,#N/A,FALSE,"6.공문";#N/A,#N/A,FALSE,"7.netinvest"}</definedName>
    <definedName name="배" localSheetId="25" hidden="1">{#N/A,#N/A,FALSE,"1.CRITERIA";#N/A,#N/A,FALSE,"2.IS";#N/A,#N/A,FALSE,"3.BS";#N/A,#N/A,FALSE,"4.PER PL";#N/A,#N/A,FALSE,"5.INVESTMENT";#N/A,#N/A,FALSE,"6.공문";#N/A,#N/A,FALSE,"7.netinvest"}</definedName>
    <definedName name="배" hidden="1">{#N/A,#N/A,FALSE,"1.CRITERIA";#N/A,#N/A,FALSE,"2.IS";#N/A,#N/A,FALSE,"3.BS";#N/A,#N/A,FALSE,"4.PER PL";#N/A,#N/A,FALSE,"5.INVESTMENT";#N/A,#N/A,FALSE,"6.공문";#N/A,#N/A,FALSE,"7.netinvest"}</definedName>
    <definedName name="배배배" localSheetId="24" hidden="1">{"'미착금액'!$A$4:$G$14"}</definedName>
    <definedName name="배배배" localSheetId="18" hidden="1">{"'미착금액'!$A$4:$G$14"}</definedName>
    <definedName name="배배배" localSheetId="25" hidden="1">{"'미착금액'!$A$4:$G$14"}</definedName>
    <definedName name="배배배" hidden="1">{"'미착금액'!$A$4:$G$14"}</definedName>
    <definedName name="배분전" localSheetId="24" hidden="1">{#N/A,#N/A,TRUE,"대 차 대 조 표"}</definedName>
    <definedName name="배분전" localSheetId="18" hidden="1">{#N/A,#N/A,TRUE,"대 차 대 조 표"}</definedName>
    <definedName name="배분전" localSheetId="25" hidden="1">{#N/A,#N/A,TRUE,"대 차 대 조 표"}</definedName>
    <definedName name="배분전" hidden="1">{#N/A,#N/A,TRUE,"대 차 대 조 표"}</definedName>
    <definedName name="배치계획"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배치계획"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배치계획" localSheetId="25"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배치계획"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배치안"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배치안"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배치안" localSheetId="2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배치안"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백만원">1000000</definedName>
    <definedName name="버버" localSheetId="24" hidden="1">{#N/A,#N/A,FALSE,"1.CRITERIA";#N/A,#N/A,FALSE,"2.IS";#N/A,#N/A,FALSE,"3.BS";#N/A,#N/A,FALSE,"4.PER PL";#N/A,#N/A,FALSE,"5.INVESTMENT";#N/A,#N/A,FALSE,"6.공문";#N/A,#N/A,FALSE,"7.netinvest"}</definedName>
    <definedName name="버버" localSheetId="18" hidden="1">{#N/A,#N/A,FALSE,"1.CRITERIA";#N/A,#N/A,FALSE,"2.IS";#N/A,#N/A,FALSE,"3.BS";#N/A,#N/A,FALSE,"4.PER PL";#N/A,#N/A,FALSE,"5.INVESTMENT";#N/A,#N/A,FALSE,"6.공문";#N/A,#N/A,FALSE,"7.netinvest"}</definedName>
    <definedName name="버버" localSheetId="25" hidden="1">{#N/A,#N/A,FALSE,"1.CRITERIA";#N/A,#N/A,FALSE,"2.IS";#N/A,#N/A,FALSE,"3.BS";#N/A,#N/A,FALSE,"4.PER PL";#N/A,#N/A,FALSE,"5.INVESTMENT";#N/A,#N/A,FALSE,"6.공문";#N/A,#N/A,FALSE,"7.netinvest"}</definedName>
    <definedName name="버버" hidden="1">{#N/A,#N/A,FALSE,"1.CRITERIA";#N/A,#N/A,FALSE,"2.IS";#N/A,#N/A,FALSE,"3.BS";#N/A,#N/A,FALSE,"4.PER PL";#N/A,#N/A,FALSE,"5.INVESTMENT";#N/A,#N/A,FALSE,"6.공문";#N/A,#N/A,FALSE,"7.netinvest"}</definedName>
    <definedName name="버전" localSheetId="24" hidden="1">{"'PROFORMA'!$A$1:$H$120"}</definedName>
    <definedName name="버전" localSheetId="18" hidden="1">{"'PROFORMA'!$A$1:$H$120"}</definedName>
    <definedName name="버전" localSheetId="25" hidden="1">{"'PROFORMA'!$A$1:$H$120"}</definedName>
    <definedName name="버전" hidden="1">{"'PROFORMA'!$A$1:$H$120"}</definedName>
    <definedName name="베" localSheetId="24" hidden="1">{#N/A,#N/A,FALSE,"1.CRITERIA";#N/A,#N/A,FALSE,"2.IS";#N/A,#N/A,FALSE,"3.BS";#N/A,#N/A,FALSE,"4.PER PL";#N/A,#N/A,FALSE,"5.INVESTMENT";#N/A,#N/A,FALSE,"6.공문";#N/A,#N/A,FALSE,"7.netinvest"}</definedName>
    <definedName name="베" localSheetId="18" hidden="1">{#N/A,#N/A,FALSE,"1.CRITERIA";#N/A,#N/A,FALSE,"2.IS";#N/A,#N/A,FALSE,"3.BS";#N/A,#N/A,FALSE,"4.PER PL";#N/A,#N/A,FALSE,"5.INVESTMENT";#N/A,#N/A,FALSE,"6.공문";#N/A,#N/A,FALSE,"7.netinvest"}</definedName>
    <definedName name="베" localSheetId="25" hidden="1">{#N/A,#N/A,FALSE,"1.CRITERIA";#N/A,#N/A,FALSE,"2.IS";#N/A,#N/A,FALSE,"3.BS";#N/A,#N/A,FALSE,"4.PER PL";#N/A,#N/A,FALSE,"5.INVESTMENT";#N/A,#N/A,FALSE,"6.공문";#N/A,#N/A,FALSE,"7.netinvest"}</definedName>
    <definedName name="베" hidden="1">{#N/A,#N/A,FALSE,"1.CRITERIA";#N/A,#N/A,FALSE,"2.IS";#N/A,#N/A,FALSE,"3.BS";#N/A,#N/A,FALSE,"4.PER PL";#N/A,#N/A,FALSE,"5.INVESTMENT";#N/A,#N/A,FALSE,"6.공문";#N/A,#N/A,FALSE,"7.netinvest"}</definedName>
    <definedName name="変更" localSheetId="24" hidden="1">{"賃貸事例比較法",#N/A,FALSE,"Sheet2";"賃貸条件",#N/A,FALSE,"Sheet2"}</definedName>
    <definedName name="変更" localSheetId="18" hidden="1">{"賃貸事例比較法",#N/A,FALSE,"Sheet2";"賃貸条件",#N/A,FALSE,"Sheet2"}</definedName>
    <definedName name="変更" localSheetId="25" hidden="1">{"賃貸事例比較法",#N/A,FALSE,"Sheet2";"賃貸条件",#N/A,FALSE,"Sheet2"}</definedName>
    <definedName name="変更" hidden="1">{"賃貸事例比較法",#N/A,FALSE,"Sheet2";"賃貸条件",#N/A,FALSE,"Sheet2"}</definedName>
    <definedName name="변경수량집계"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변경수량집계"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변경수량집계" localSheetId="25"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변경수량집계"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変更後" localSheetId="24" hidden="1">{"summary",#N/A,TRUE,"Focus";"interestexpense",#N/A,TRUE,"Focus";"interestincome",#N/A,TRUE,"Focus";"dividend",#N/A,TRUE,"Focus";"feeincome",#N/A,TRUE,"Focus";"gain",#N/A,TRUE,"Focus"}</definedName>
    <definedName name="変更後" localSheetId="18" hidden="1">{"summary",#N/A,TRUE,"Focus";"interestexpense",#N/A,TRUE,"Focus";"interestincome",#N/A,TRUE,"Focus";"dividend",#N/A,TRUE,"Focus";"feeincome",#N/A,TRUE,"Focus";"gain",#N/A,TRUE,"Focus"}</definedName>
    <definedName name="変更後" localSheetId="25" hidden="1">{"summary",#N/A,TRUE,"Focus";"interestexpense",#N/A,TRUE,"Focus";"interestincome",#N/A,TRUE,"Focus";"dividend",#N/A,TRUE,"Focus";"feeincome",#N/A,TRUE,"Focus";"gain",#N/A,TRUE,"Focus"}</definedName>
    <definedName name="変更後" hidden="1">{"summary",#N/A,TRUE,"Focus";"interestexpense",#N/A,TRUE,"Focus";"interestincome",#N/A,TRUE,"Focus";"dividend",#N/A,TRUE,"Focus";"feeincome",#N/A,TRUE,"Focus";"gain",#N/A,TRUE,"Focus"}</definedName>
    <definedName name="별지66"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 localSheetId="25"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_1"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_1" localSheetId="25"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8"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별지8"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별지8" localSheetId="25"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별지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別表" localSheetId="24" hidden="1">{"REC1",#N/A,FALSE,"Focus";"REC2",#N/A,FALSE,"Focus";"REC3",#N/A,FALSE,"Focus";"REC4",#N/A,FALSE,"Focus"}</definedName>
    <definedName name="別表" localSheetId="18" hidden="1">{"REC1",#N/A,FALSE,"Focus";"REC2",#N/A,FALSE,"Focus";"REC3",#N/A,FALSE,"Focus";"REC4",#N/A,FALSE,"Focus"}</definedName>
    <definedName name="別表" localSheetId="25" hidden="1">{"REC1",#N/A,FALSE,"Focus";"REC2",#N/A,FALSE,"Focus";"REC3",#N/A,FALSE,"Focus";"REC4",#N/A,FALSE,"Focus"}</definedName>
    <definedName name="別表" hidden="1">{"REC1",#N/A,FALSE,"Focus";"REC2",#N/A,FALSE,"Focus";"REC3",#N/A,FALSE,"Focus";"REC4",#N/A,FALSE,"Focus"}</definedName>
    <definedName name="別表１" localSheetId="24" hidden="1">{"gain",#N/A,FALSE,"Focus"}</definedName>
    <definedName name="別表１" localSheetId="18" hidden="1">{"gain",#N/A,FALSE,"Focus"}</definedName>
    <definedName name="別表１" localSheetId="25" hidden="1">{"gain",#N/A,FALSE,"Focus"}</definedName>
    <definedName name="別表１" hidden="1">{"gain",#N/A,FALSE,"Focus"}</definedName>
    <definedName name="別表１賃料" localSheetId="24" hidden="1">{"REC1",#N/A,FALSE,"Focus";"REC2",#N/A,FALSE,"Focus";"REC3",#N/A,FALSE,"Focus";"REC4",#N/A,FALSE,"Focus"}</definedName>
    <definedName name="別表１賃料" localSheetId="18" hidden="1">{"REC1",#N/A,FALSE,"Focus";"REC2",#N/A,FALSE,"Focus";"REC3",#N/A,FALSE,"Focus";"REC4",#N/A,FALSE,"Focus"}</definedName>
    <definedName name="別表１賃料" localSheetId="25" hidden="1">{"REC1",#N/A,FALSE,"Focus";"REC2",#N/A,FALSE,"Focus";"REC3",#N/A,FALSE,"Focus";"REC4",#N/A,FALSE,"Focus"}</definedName>
    <definedName name="別表１賃料" hidden="1">{"REC1",#N/A,FALSE,"Focus";"REC2",#N/A,FALSE,"Focus";"REC3",#N/A,FALSE,"Focus";"REC4",#N/A,FALSE,"Focus"}</definedName>
    <definedName name="別表１賃料明細" localSheetId="24" hidden="1">{"summary",#N/A,TRUE,"Focus";"interestexpense",#N/A,TRUE,"Focus";"interestincome",#N/A,TRUE,"Focus";"dividend",#N/A,TRUE,"Focus";"feeincome",#N/A,TRUE,"Focus";"gain",#N/A,TRUE,"Focus"}</definedName>
    <definedName name="別表１賃料明細" localSheetId="18" hidden="1">{"summary",#N/A,TRUE,"Focus";"interestexpense",#N/A,TRUE,"Focus";"interestincome",#N/A,TRUE,"Focus";"dividend",#N/A,TRUE,"Focus";"feeincome",#N/A,TRUE,"Focus";"gain",#N/A,TRUE,"Focus"}</definedName>
    <definedName name="別表１賃料明細" localSheetId="25" hidden="1">{"summary",#N/A,TRUE,"Focus";"interestexpense",#N/A,TRUE,"Focus";"interestincome",#N/A,TRUE,"Focus";"dividend",#N/A,TRUE,"Focus";"feeincome",#N/A,TRUE,"Focus";"gain",#N/A,TRUE,"Focus"}</definedName>
    <definedName name="別表１賃料明細" hidden="1">{"summary",#N/A,TRUE,"Focus";"interestexpense",#N/A,TRUE,"Focus";"interestincome",#N/A,TRUE,"Focus";"dividend",#N/A,TRUE,"Focus";"feeincome",#N/A,TRUE,"Focus";"gain",#N/A,TRUE,"Focus"}</definedName>
    <definedName name="보" localSheetId="24" hidden="1">{#N/A,#N/A,FALSE,"1.CRITERIA";#N/A,#N/A,FALSE,"2.IS";#N/A,#N/A,FALSE,"3.BS";#N/A,#N/A,FALSE,"4.PER PL";#N/A,#N/A,FALSE,"5.INVESTMENT";#N/A,#N/A,FALSE,"6.공문";#N/A,#N/A,FALSE,"7.netinvest"}</definedName>
    <definedName name="보" localSheetId="18" hidden="1">{#N/A,#N/A,FALSE,"1.CRITERIA";#N/A,#N/A,FALSE,"2.IS";#N/A,#N/A,FALSE,"3.BS";#N/A,#N/A,FALSE,"4.PER PL";#N/A,#N/A,FALSE,"5.INVESTMENT";#N/A,#N/A,FALSE,"6.공문";#N/A,#N/A,FALSE,"7.netinvest"}</definedName>
    <definedName name="보" localSheetId="25" hidden="1">{#N/A,#N/A,FALSE,"1.CRITERIA";#N/A,#N/A,FALSE,"2.IS";#N/A,#N/A,FALSE,"3.BS";#N/A,#N/A,FALSE,"4.PER PL";#N/A,#N/A,FALSE,"5.INVESTMENT";#N/A,#N/A,FALSE,"6.공문";#N/A,#N/A,FALSE,"7.netinvest"}</definedName>
    <definedName name="보" hidden="1">{#N/A,#N/A,FALSE,"1.CRITERIA";#N/A,#N/A,FALSE,"2.IS";#N/A,#N/A,FALSE,"3.BS";#N/A,#N/A,FALSE,"4.PER PL";#N/A,#N/A,FALSE,"5.INVESTMENT";#N/A,#N/A,FALSE,"6.공문";#N/A,#N/A,FALSE,"7.netinvest"}</definedName>
    <definedName name="보고"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보고"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보고"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보고" hidden="1">{#N/A,#N/A,FALSE,"손익표지";#N/A,#N/A,FALSE,"손익계산";#N/A,#N/A,FALSE,"일반관리비";#N/A,#N/A,FALSE,"영업외수익";#N/A,#N/A,FALSE,"영업외비용";#N/A,#N/A,FALSE,"매출액";#N/A,#N/A,FALSE,"요약손익";#N/A,#N/A,FALSE,"요약대차";#N/A,#N/A,FALSE,"매출채권현황";#N/A,#N/A,FALSE,"매출채권명세"}</definedName>
    <definedName name="보고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보고1"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보고1"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보고1" hidden="1">{#N/A,#N/A,FALSE,"손익표지";#N/A,#N/A,FALSE,"손익계산";#N/A,#N/A,FALSE,"일반관리비";#N/A,#N/A,FALSE,"영업외수익";#N/A,#N/A,FALSE,"영업외비용";#N/A,#N/A,FALSE,"매출액";#N/A,#N/A,FALSE,"요약손익";#N/A,#N/A,FALSE,"요약대차";#N/A,#N/A,FALSE,"매출채권현황";#N/A,#N/A,FALSE,"매출채권명세"}</definedName>
    <definedName name="보라차" localSheetId="24" hidden="1">{#N/A,#N/A,FALSE,"1.CRITERIA";#N/A,#N/A,FALSE,"2.IS";#N/A,#N/A,FALSE,"3.BS";#N/A,#N/A,FALSE,"4.PER PL";#N/A,#N/A,FALSE,"5.INVESTMENT";#N/A,#N/A,FALSE,"6.공문";#N/A,#N/A,FALSE,"7.netinvest"}</definedName>
    <definedName name="보라차" localSheetId="18" hidden="1">{#N/A,#N/A,FALSE,"1.CRITERIA";#N/A,#N/A,FALSE,"2.IS";#N/A,#N/A,FALSE,"3.BS";#N/A,#N/A,FALSE,"4.PER PL";#N/A,#N/A,FALSE,"5.INVESTMENT";#N/A,#N/A,FALSE,"6.공문";#N/A,#N/A,FALSE,"7.netinvest"}</definedName>
    <definedName name="보라차" localSheetId="25" hidden="1">{#N/A,#N/A,FALSE,"1.CRITERIA";#N/A,#N/A,FALSE,"2.IS";#N/A,#N/A,FALSE,"3.BS";#N/A,#N/A,FALSE,"4.PER PL";#N/A,#N/A,FALSE,"5.INVESTMENT";#N/A,#N/A,FALSE,"6.공문";#N/A,#N/A,FALSE,"7.netinvest"}</definedName>
    <definedName name="보라차" hidden="1">{#N/A,#N/A,FALSE,"1.CRITERIA";#N/A,#N/A,FALSE,"2.IS";#N/A,#N/A,FALSE,"3.BS";#N/A,#N/A,FALSE,"4.PER PL";#N/A,#N/A,FALSE,"5.INVESTMENT";#N/A,#N/A,FALSE,"6.공문";#N/A,#N/A,FALSE,"7.netinvest"}</definedName>
    <definedName name="보아리" localSheetId="24" hidden="1">{#N/A,#N/A,FALSE,"1.CRITERIA";#N/A,#N/A,FALSE,"2.IS";#N/A,#N/A,FALSE,"3.BS";#N/A,#N/A,FALSE,"4.PER PL";#N/A,#N/A,FALSE,"5.INVESTMENT";#N/A,#N/A,FALSE,"6.공문";#N/A,#N/A,FALSE,"7.netinvest"}</definedName>
    <definedName name="보아리" localSheetId="18" hidden="1">{#N/A,#N/A,FALSE,"1.CRITERIA";#N/A,#N/A,FALSE,"2.IS";#N/A,#N/A,FALSE,"3.BS";#N/A,#N/A,FALSE,"4.PER PL";#N/A,#N/A,FALSE,"5.INVESTMENT";#N/A,#N/A,FALSE,"6.공문";#N/A,#N/A,FALSE,"7.netinvest"}</definedName>
    <definedName name="보아리" localSheetId="25" hidden="1">{#N/A,#N/A,FALSE,"1.CRITERIA";#N/A,#N/A,FALSE,"2.IS";#N/A,#N/A,FALSE,"3.BS";#N/A,#N/A,FALSE,"4.PER PL";#N/A,#N/A,FALSE,"5.INVESTMENT";#N/A,#N/A,FALSE,"6.공문";#N/A,#N/A,FALSE,"7.netinvest"}</definedName>
    <definedName name="보아리" hidden="1">{#N/A,#N/A,FALSE,"1.CRITERIA";#N/A,#N/A,FALSE,"2.IS";#N/A,#N/A,FALSE,"3.BS";#N/A,#N/A,FALSE,"4.PER PL";#N/A,#N/A,FALSE,"5.INVESTMENT";#N/A,#N/A,FALSE,"6.공문";#N/A,#N/A,FALSE,"7.netinvest"}</definedName>
    <definedName name="보안4안"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4안"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4안" localSheetId="2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4안"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감가"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감가"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감가" localSheetId="2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감가"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대장" localSheetId="24" hidden="1">{#N/A,#N/A,FALSE,"이력서&amp;자기소개서"}</definedName>
    <definedName name="보안대장" localSheetId="18" hidden="1">{#N/A,#N/A,FALSE,"이력서&amp;자기소개서"}</definedName>
    <definedName name="보안대장" localSheetId="25" hidden="1">{#N/A,#N/A,FALSE,"이력서&amp;자기소개서"}</definedName>
    <definedName name="보안대장" hidden="1">{#N/A,#N/A,FALSE,"이력서&amp;자기소개서"}</definedName>
    <definedName name="보오링그라우팅"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보오링그라우팅"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보오링그라우팅"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보오링그라우팅"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보이" localSheetId="24" hidden="1">{#N/A,#N/A,FALSE,"1.CRITERIA";#N/A,#N/A,FALSE,"2.IS";#N/A,#N/A,FALSE,"3.BS";#N/A,#N/A,FALSE,"4.PER PL";#N/A,#N/A,FALSE,"5.INVESTMENT";#N/A,#N/A,FALSE,"6.공문";#N/A,#N/A,FALSE,"7.netinvest"}</definedName>
    <definedName name="보이" localSheetId="18" hidden="1">{#N/A,#N/A,FALSE,"1.CRITERIA";#N/A,#N/A,FALSE,"2.IS";#N/A,#N/A,FALSE,"3.BS";#N/A,#N/A,FALSE,"4.PER PL";#N/A,#N/A,FALSE,"5.INVESTMENT";#N/A,#N/A,FALSE,"6.공문";#N/A,#N/A,FALSE,"7.netinvest"}</definedName>
    <definedName name="보이" localSheetId="25" hidden="1">{#N/A,#N/A,FALSE,"1.CRITERIA";#N/A,#N/A,FALSE,"2.IS";#N/A,#N/A,FALSE,"3.BS";#N/A,#N/A,FALSE,"4.PER PL";#N/A,#N/A,FALSE,"5.INVESTMENT";#N/A,#N/A,FALSE,"6.공문";#N/A,#N/A,FALSE,"7.netinvest"}</definedName>
    <definedName name="보이" hidden="1">{#N/A,#N/A,FALSE,"1.CRITERIA";#N/A,#N/A,FALSE,"2.IS";#N/A,#N/A,FALSE,"3.BS";#N/A,#N/A,FALSE,"4.PER PL";#N/A,#N/A,FALSE,"5.INVESTMENT";#N/A,#N/A,FALSE,"6.공문";#N/A,#N/A,FALSE,"7.netinvest"}</definedName>
    <definedName name="보이아" localSheetId="24" hidden="1">{#N/A,#N/A,FALSE,"1.CRITERIA";#N/A,#N/A,FALSE,"2.IS";#N/A,#N/A,FALSE,"3.BS";#N/A,#N/A,FALSE,"4.PER PL";#N/A,#N/A,FALSE,"5.INVESTMENT";#N/A,#N/A,FALSE,"6.공문";#N/A,#N/A,FALSE,"7.netinvest"}</definedName>
    <definedName name="보이아" localSheetId="18" hidden="1">{#N/A,#N/A,FALSE,"1.CRITERIA";#N/A,#N/A,FALSE,"2.IS";#N/A,#N/A,FALSE,"3.BS";#N/A,#N/A,FALSE,"4.PER PL";#N/A,#N/A,FALSE,"5.INVESTMENT";#N/A,#N/A,FALSE,"6.공문";#N/A,#N/A,FALSE,"7.netinvest"}</definedName>
    <definedName name="보이아" localSheetId="25" hidden="1">{#N/A,#N/A,FALSE,"1.CRITERIA";#N/A,#N/A,FALSE,"2.IS";#N/A,#N/A,FALSE,"3.BS";#N/A,#N/A,FALSE,"4.PER PL";#N/A,#N/A,FALSE,"5.INVESTMENT";#N/A,#N/A,FALSE,"6.공문";#N/A,#N/A,FALSE,"7.netinvest"}</definedName>
    <definedName name="보이아" hidden="1">{#N/A,#N/A,FALSE,"1.CRITERIA";#N/A,#N/A,FALSE,"2.IS";#N/A,#N/A,FALSE,"3.BS";#N/A,#N/A,FALSE,"4.PER PL";#N/A,#N/A,FALSE,"5.INVESTMENT";#N/A,#N/A,FALSE,"6.공문";#N/A,#N/A,FALSE,"7.netinvest"}</definedName>
    <definedName name="보헌빌딩2" localSheetId="24" hidden="1">{#N/A,#N/A,FALSE,"이력서&amp;자기소개서"}</definedName>
    <definedName name="보헌빌딩2" localSheetId="18" hidden="1">{#N/A,#N/A,FALSE,"이력서&amp;자기소개서"}</definedName>
    <definedName name="보헌빌딩2" localSheetId="25" hidden="1">{#N/A,#N/A,FALSE,"이력서&amp;자기소개서"}</definedName>
    <definedName name="보헌빌딩2" hidden="1">{#N/A,#N/A,FALSE,"이력서&amp;자기소개서"}</definedName>
    <definedName name="본" localSheetId="24" hidden="1">{"'PROFORMA'!$A$1:$H$120"}</definedName>
    <definedName name="본" localSheetId="18" hidden="1">{"'PROFORMA'!$A$1:$H$120"}</definedName>
    <definedName name="본" localSheetId="25" hidden="1">{"'PROFORMA'!$A$1:$H$120"}</definedName>
    <definedName name="본" hidden="1">{"'PROFORMA'!$A$1:$H$120"}</definedName>
    <definedName name="본사설계안분석" localSheetId="24" hidden="1">{"'PROFORMA'!$A$1:$H$120"}</definedName>
    <definedName name="본사설계안분석" localSheetId="18" hidden="1">{"'PROFORMA'!$A$1:$H$120"}</definedName>
    <definedName name="본사설계안분석" localSheetId="25" hidden="1">{"'PROFORMA'!$A$1:$H$120"}</definedName>
    <definedName name="본사설계안분석" hidden="1">{"'PROFORMA'!$A$1:$H$120"}</definedName>
    <definedName name="볼" localSheetId="24" hidden="1">{#N/A,#N/A,FALSE,"1.CRITERIA";#N/A,#N/A,FALSE,"2.IS";#N/A,#N/A,FALSE,"3.BS";#N/A,#N/A,FALSE,"4.PER PL";#N/A,#N/A,FALSE,"5.INVESTMENT";#N/A,#N/A,FALSE,"6.공문";#N/A,#N/A,FALSE,"7.netinvest"}</definedName>
    <definedName name="볼" localSheetId="18" hidden="1">{#N/A,#N/A,FALSE,"1.CRITERIA";#N/A,#N/A,FALSE,"2.IS";#N/A,#N/A,FALSE,"3.BS";#N/A,#N/A,FALSE,"4.PER PL";#N/A,#N/A,FALSE,"5.INVESTMENT";#N/A,#N/A,FALSE,"6.공문";#N/A,#N/A,FALSE,"7.netinvest"}</definedName>
    <definedName name="볼" localSheetId="25" hidden="1">{#N/A,#N/A,FALSE,"1.CRITERIA";#N/A,#N/A,FALSE,"2.IS";#N/A,#N/A,FALSE,"3.BS";#N/A,#N/A,FALSE,"4.PER PL";#N/A,#N/A,FALSE,"5.INVESTMENT";#N/A,#N/A,FALSE,"6.공문";#N/A,#N/A,FALSE,"7.netinvest"}</definedName>
    <definedName name="볼" hidden="1">{#N/A,#N/A,FALSE,"1.CRITERIA";#N/A,#N/A,FALSE,"2.IS";#N/A,#N/A,FALSE,"3.BS";#N/A,#N/A,FALSE,"4.PER PL";#N/A,#N/A,FALSE,"5.INVESTMENT";#N/A,#N/A,FALSE,"6.공문";#N/A,#N/A,FALSE,"7.netinvest"}</definedName>
    <definedName name="볼트수정" localSheetId="24" hidden="1">{#N/A,#N/A,FALSE,"단축1";#N/A,#N/A,FALSE,"단축2";#N/A,#N/A,FALSE,"단축3";#N/A,#N/A,FALSE,"장축";#N/A,#N/A,FALSE,"4WD"}</definedName>
    <definedName name="볼트수정" localSheetId="18" hidden="1">{#N/A,#N/A,FALSE,"단축1";#N/A,#N/A,FALSE,"단축2";#N/A,#N/A,FALSE,"단축3";#N/A,#N/A,FALSE,"장축";#N/A,#N/A,FALSE,"4WD"}</definedName>
    <definedName name="볼트수정" localSheetId="25" hidden="1">{#N/A,#N/A,FALSE,"단축1";#N/A,#N/A,FALSE,"단축2";#N/A,#N/A,FALSE,"단축3";#N/A,#N/A,FALSE,"장축";#N/A,#N/A,FALSE,"4WD"}</definedName>
    <definedName name="볼트수정" hidden="1">{#N/A,#N/A,FALSE,"단축1";#N/A,#N/A,FALSE,"단축2";#N/A,#N/A,FALSE,"단축3";#N/A,#N/A,FALSE,"장축";#N/A,#N/A,FALSE,"4WD"}</definedName>
    <definedName name="봐" localSheetId="24" hidden="1">{#N/A,#N/A,FALSE,"1.CRITERIA";#N/A,#N/A,FALSE,"2.IS";#N/A,#N/A,FALSE,"3.BS";#N/A,#N/A,FALSE,"4.PER PL";#N/A,#N/A,FALSE,"5.INVESTMENT";#N/A,#N/A,FALSE,"6.공문";#N/A,#N/A,FALSE,"7.netinvest"}</definedName>
    <definedName name="봐" localSheetId="18" hidden="1">{#N/A,#N/A,FALSE,"1.CRITERIA";#N/A,#N/A,FALSE,"2.IS";#N/A,#N/A,FALSE,"3.BS";#N/A,#N/A,FALSE,"4.PER PL";#N/A,#N/A,FALSE,"5.INVESTMENT";#N/A,#N/A,FALSE,"6.공문";#N/A,#N/A,FALSE,"7.netinvest"}</definedName>
    <definedName name="봐" localSheetId="25" hidden="1">{#N/A,#N/A,FALSE,"1.CRITERIA";#N/A,#N/A,FALSE,"2.IS";#N/A,#N/A,FALSE,"3.BS";#N/A,#N/A,FALSE,"4.PER PL";#N/A,#N/A,FALSE,"5.INVESTMENT";#N/A,#N/A,FALSE,"6.공문";#N/A,#N/A,FALSE,"7.netinvest"}</definedName>
    <definedName name="봐" hidden="1">{#N/A,#N/A,FALSE,"1.CRITERIA";#N/A,#N/A,FALSE,"2.IS";#N/A,#N/A,FALSE,"3.BS";#N/A,#N/A,FALSE,"4.PER PL";#N/A,#N/A,FALSE,"5.INVESTMENT";#N/A,#N/A,FALSE,"6.공문";#N/A,#N/A,FALSE,"7.netinvest"}</definedName>
    <definedName name="敷金明細" localSheetId="24" hidden="1">{"summary",#N/A,TRUE,"Focus";"interestexpense",#N/A,TRUE,"Focus";"interestincome",#N/A,TRUE,"Focus";"dividend",#N/A,TRUE,"Focus";"feeincome",#N/A,TRUE,"Focus";"gain",#N/A,TRUE,"Focus"}</definedName>
    <definedName name="敷金明細" localSheetId="18" hidden="1">{"summary",#N/A,TRUE,"Focus";"interestexpense",#N/A,TRUE,"Focus";"interestincome",#N/A,TRUE,"Focus";"dividend",#N/A,TRUE,"Focus";"feeincome",#N/A,TRUE,"Focus";"gain",#N/A,TRUE,"Focus"}</definedName>
    <definedName name="敷金明細" localSheetId="25" hidden="1">{"summary",#N/A,TRUE,"Focus";"interestexpense",#N/A,TRUE,"Focus";"interestincome",#N/A,TRUE,"Focus";"dividend",#N/A,TRUE,"Focus";"feeincome",#N/A,TRUE,"Focus";"gain",#N/A,TRUE,"Focus"}</definedName>
    <definedName name="敷金明細" hidden="1">{"summary",#N/A,TRUE,"Focus";"interestexpense",#N/A,TRUE,"Focus";"interestincome",#N/A,TRUE,"Focus";"dividend",#N/A,TRUE,"Focus";"feeincome",#N/A,TRUE,"Focus";"gain",#N/A,TRUE,"Focus"}</definedName>
    <definedName name="부대원본" localSheetId="24" hidden="1">{#N/A,#N/A,FALSE,"토공2"}</definedName>
    <definedName name="부대원본" localSheetId="18" hidden="1">{#N/A,#N/A,FALSE,"토공2"}</definedName>
    <definedName name="부대원본" localSheetId="25" hidden="1">{#N/A,#N/A,FALSE,"토공2"}</definedName>
    <definedName name="부대원본" hidden="1">{#N/A,#N/A,FALSE,"토공2"}</definedName>
    <definedName name="부발" localSheetId="24" hidden="1">{#N/A,#N/A,FALSE,"견적갑지";#N/A,#N/A,FALSE,"총괄표";#N/A,#N/A,FALSE,"철골공사";#N/A,#N/A,FALSE,"토목공사";#N/A,#N/A,FALSE,"판넬전기공사"}</definedName>
    <definedName name="부발" localSheetId="18" hidden="1">{#N/A,#N/A,FALSE,"견적갑지";#N/A,#N/A,FALSE,"총괄표";#N/A,#N/A,FALSE,"철골공사";#N/A,#N/A,FALSE,"토목공사";#N/A,#N/A,FALSE,"판넬전기공사"}</definedName>
    <definedName name="부발" localSheetId="25" hidden="1">{#N/A,#N/A,FALSE,"견적갑지";#N/A,#N/A,FALSE,"총괄표";#N/A,#N/A,FALSE,"철골공사";#N/A,#N/A,FALSE,"토목공사";#N/A,#N/A,FALSE,"판넬전기공사"}</definedName>
    <definedName name="부발" hidden="1">{#N/A,#N/A,FALSE,"견적갑지";#N/A,#N/A,FALSE,"총괄표";#N/A,#N/A,FALSE,"철골공사";#N/A,#N/A,FALSE,"토목공사";#N/A,#N/A,FALSE,"판넬전기공사"}</definedName>
    <definedName name="不備一覧" localSheetId="24" hidden="1">{"ｹﾝﾄ（M)",#N/A,FALSE,"収支・日割";"ｹﾝﾄ（RD)",#N/A,FALSE,"収支・日割";"ｹﾝﾄ（PMC)",#N/A,FALSE,"収支・日割"}</definedName>
    <definedName name="不備一覧" localSheetId="18" hidden="1">{"ｹﾝﾄ（M)",#N/A,FALSE,"収支・日割";"ｹﾝﾄ（RD)",#N/A,FALSE,"収支・日割";"ｹﾝﾄ（PMC)",#N/A,FALSE,"収支・日割"}</definedName>
    <definedName name="不備一覧" localSheetId="25" hidden="1">{"ｹﾝﾄ（M)",#N/A,FALSE,"収支・日割";"ｹﾝﾄ（RD)",#N/A,FALSE,"収支・日割";"ｹﾝﾄ（PMC)",#N/A,FALSE,"収支・日割"}</definedName>
    <definedName name="不備一覧" hidden="1">{"ｹﾝﾄ（M)",#N/A,FALSE,"収支・日割";"ｹﾝﾄ（RD)",#N/A,FALSE,"収支・日割";"ｹﾝﾄ（PMC)",#N/A,FALSE,"収支・日割"}</definedName>
    <definedName name="부산주경기장"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부산주경기장"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부산주경기장"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부산주경기장"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부속" hidden="1">#N/A</definedName>
    <definedName name="부손익" localSheetId="24" hidden="1">{#N/A,#N/A,FALSE,"현장 NCR 분석";#N/A,#N/A,FALSE,"현장품질감사";#N/A,#N/A,FALSE,"현장품질감사"}</definedName>
    <definedName name="부손익" localSheetId="18" hidden="1">{#N/A,#N/A,FALSE,"현장 NCR 분석";#N/A,#N/A,FALSE,"현장품질감사";#N/A,#N/A,FALSE,"현장품질감사"}</definedName>
    <definedName name="부손익" localSheetId="25" hidden="1">{#N/A,#N/A,FALSE,"현장 NCR 분석";#N/A,#N/A,FALSE,"현장품질감사";#N/A,#N/A,FALSE,"현장품질감사"}</definedName>
    <definedName name="부손익" hidden="1">{#N/A,#N/A,FALSE,"현장 NCR 분석";#N/A,#N/A,FALSE,"현장품질감사";#N/A,#N/A,FALSE,"현장품질감사"}</definedName>
    <definedName name="부평" localSheetId="24" hidden="1">{#N/A,#N/A,FALSE,"97년 투자계획 세부내역 "}</definedName>
    <definedName name="부평" localSheetId="18" hidden="1">{#N/A,#N/A,FALSE,"97년 투자계획 세부내역 "}</definedName>
    <definedName name="부평" localSheetId="25" hidden="1">{#N/A,#N/A,FALSE,"97년 투자계획 세부내역 "}</definedName>
    <definedName name="부평" hidden="1">{#N/A,#N/A,FALSE,"97년 투자계획 세부내역 "}</definedName>
    <definedName name="분" localSheetId="24" hidden="1">{#N/A,#N/A,FALSE,"이태원철근"}</definedName>
    <definedName name="분" localSheetId="18" hidden="1">{#N/A,#N/A,FALSE,"이태원철근"}</definedName>
    <definedName name="분" localSheetId="25" hidden="1">{#N/A,#N/A,FALSE,"이태원철근"}</definedName>
    <definedName name="분" hidden="1">{#N/A,#N/A,FALSE,"이태원철근"}</definedName>
    <definedName name="분개1" localSheetId="24"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분개1" localSheetId="18"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분개1" localSheetId="25"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분개1"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분기별" localSheetId="24" hidden="1">{#N/A,#N/A,TRUE,"Y생산";#N/A,#N/A,TRUE,"Y판매";#N/A,#N/A,TRUE,"Y총물량";#N/A,#N/A,TRUE,"Y능력";#N/A,#N/A,TRUE,"YKD"}</definedName>
    <definedName name="분기별" localSheetId="18" hidden="1">{#N/A,#N/A,TRUE,"Y생산";#N/A,#N/A,TRUE,"Y판매";#N/A,#N/A,TRUE,"Y총물량";#N/A,#N/A,TRUE,"Y능력";#N/A,#N/A,TRUE,"YKD"}</definedName>
    <definedName name="분기별" localSheetId="25" hidden="1">{#N/A,#N/A,TRUE,"Y생산";#N/A,#N/A,TRUE,"Y판매";#N/A,#N/A,TRUE,"Y총물량";#N/A,#N/A,TRUE,"Y능력";#N/A,#N/A,TRUE,"YKD"}</definedName>
    <definedName name="분기별" hidden="1">{#N/A,#N/A,TRUE,"Y생산";#N/A,#N/A,TRUE,"Y판매";#N/A,#N/A,TRUE,"Y총물량";#N/A,#N/A,TRUE,"Y능력";#N/A,#N/A,TRUE,"YKD"}</definedName>
    <definedName name="분기별_1" localSheetId="24" hidden="1">{#N/A,#N/A,TRUE,"Y생산";#N/A,#N/A,TRUE,"Y판매";#N/A,#N/A,TRUE,"Y총물량";#N/A,#N/A,TRUE,"Y능력";#N/A,#N/A,TRUE,"YKD"}</definedName>
    <definedName name="분기별_1" localSheetId="18" hidden="1">{#N/A,#N/A,TRUE,"Y생산";#N/A,#N/A,TRUE,"Y판매";#N/A,#N/A,TRUE,"Y총물량";#N/A,#N/A,TRUE,"Y능력";#N/A,#N/A,TRUE,"YKD"}</definedName>
    <definedName name="분기별_1" localSheetId="25" hidden="1">{#N/A,#N/A,TRUE,"Y생산";#N/A,#N/A,TRUE,"Y판매";#N/A,#N/A,TRUE,"Y총물량";#N/A,#N/A,TRUE,"Y능력";#N/A,#N/A,TRUE,"YKD"}</definedName>
    <definedName name="분기별_1" hidden="1">{#N/A,#N/A,TRUE,"Y생산";#N/A,#N/A,TRUE,"Y판매";#N/A,#N/A,TRUE,"Y총물량";#N/A,#N/A,TRUE,"Y능력";#N/A,#N/A,TRUE,"YKD"}</definedName>
    <definedName name="분당협조" localSheetId="24" hidden="1">{#N/A,#N/A,FALSE,"이태원철근"}</definedName>
    <definedName name="분당협조" localSheetId="18" hidden="1">{#N/A,#N/A,FALSE,"이태원철근"}</definedName>
    <definedName name="분당협조" localSheetId="25" hidden="1">{#N/A,#N/A,FALSE,"이태원철근"}</definedName>
    <definedName name="분당협조" hidden="1">{#N/A,#N/A,FALSE,"이태원철근"}</definedName>
    <definedName name="분류버전" localSheetId="24" hidden="1">{"'PROFORMA'!$A$1:$H$120"}</definedName>
    <definedName name="분류버전" localSheetId="18" hidden="1">{"'PROFORMA'!$A$1:$H$120"}</definedName>
    <definedName name="분류버전" localSheetId="25" hidden="1">{"'PROFORMA'!$A$1:$H$120"}</definedName>
    <definedName name="분류버전" hidden="1">{"'PROFORMA'!$A$1:$H$120"}</definedName>
    <definedName name="분야"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공사비"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공사비"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공사비"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공사비"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양가조견표2" localSheetId="24" hidden="1">{"'표지'!$E$8"}</definedName>
    <definedName name="분양가조견표2" localSheetId="18" hidden="1">{"'표지'!$E$8"}</definedName>
    <definedName name="분양가조견표2" localSheetId="25" hidden="1">{"'표지'!$E$8"}</definedName>
    <definedName name="분양가조견표2" hidden="1">{"'표지'!$E$8"}</definedName>
    <definedName name="분양별"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양별"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양별"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양별"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전반"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분전반"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분전반"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분전반" hidden="1">{#N/A,#N/A,FALSE,"손익표지";#N/A,#N/A,FALSE,"손익계산";#N/A,#N/A,FALSE,"일반관리비";#N/A,#N/A,FALSE,"영업외수익";#N/A,#N/A,FALSE,"영업외비용";#N/A,#N/A,FALSE,"매출액";#N/A,#N/A,FALSE,"요약손익";#N/A,#N/A,FALSE,"요약대차";#N/A,#N/A,FALSE,"매출채권현황";#N/A,#N/A,FALSE,"매출채권명세"}</definedName>
    <definedName name="비" localSheetId="24" hidden="1">{#N/A,#N/A,FALSE,"동부"}</definedName>
    <definedName name="비" localSheetId="18" hidden="1">{#N/A,#N/A,FALSE,"동부"}</definedName>
    <definedName name="비" localSheetId="25" hidden="1">{#N/A,#N/A,FALSE,"동부"}</definedName>
    <definedName name="비" hidden="1">{#N/A,#N/A,FALSE,"동부"}</definedName>
    <definedName name="비교" localSheetId="24" hidden="1">{#N/A,#N/A,FALSE,"이력서&amp;자기소개서"}</definedName>
    <definedName name="비교" localSheetId="18" hidden="1">{#N/A,#N/A,FALSE,"이력서&amp;자기소개서"}</definedName>
    <definedName name="비교" localSheetId="25" hidden="1">{#N/A,#N/A,FALSE,"이력서&amp;자기소개서"}</definedName>
    <definedName name="비교" hidden="1">{#N/A,#N/A,FALSE,"이력서&amp;자기소개서"}</definedName>
    <definedName name="비교표" localSheetId="24" hidden="1">{"'용역비'!$A$4:$C$8"}</definedName>
    <definedName name="비교표" localSheetId="18" hidden="1">{"'용역비'!$A$4:$C$8"}</definedName>
    <definedName name="비교표" localSheetId="25" hidden="1">{"'용역비'!$A$4:$C$8"}</definedName>
    <definedName name="비교표" hidden="1">{"'용역비'!$A$4:$C$8"}</definedName>
    <definedName name="비용" localSheetId="24" hidden="1">{"'용역비'!$A$4:$C$8"}</definedName>
    <definedName name="비용" localSheetId="18" hidden="1">{"'용역비'!$A$4:$C$8"}</definedName>
    <definedName name="비용" localSheetId="25" hidden="1">{"'용역비'!$A$4:$C$8"}</definedName>
    <definedName name="비용" hidden="1">{"'용역비'!$A$4:$C$8"}</definedName>
    <definedName name="비용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비용1"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비용1"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비용1" hidden="1">{#N/A,#N/A,FALSE,"손익표지";#N/A,#N/A,FALSE,"손익계산";#N/A,#N/A,FALSE,"일반관리비";#N/A,#N/A,FALSE,"영업외수익";#N/A,#N/A,FALSE,"영업외비용";#N/A,#N/A,FALSE,"매출액";#N/A,#N/A,FALSE,"요약손익";#N/A,#N/A,FALSE,"요약대차";#N/A,#N/A,FALSE,"매출채권현황";#N/A,#N/A,FALSE,"매출채권명세"}</definedName>
    <definedName name="비용10"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비용10"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비용10"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비용10" hidden="1">{#N/A,#N/A,FALSE,"손익표지";#N/A,#N/A,FALSE,"손익계산";#N/A,#N/A,FALSE,"일반관리비";#N/A,#N/A,FALSE,"영업외수익";#N/A,#N/A,FALSE,"영업외비용";#N/A,#N/A,FALSE,"매출액";#N/A,#N/A,FALSE,"요약손익";#N/A,#N/A,FALSE,"요약대차";#N/A,#N/A,FALSE,"매출채권현황";#N/A,#N/A,FALSE,"매출채권명세"}</definedName>
    <definedName name="비용123"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비용123"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비용123"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비용123" hidden="1">{#N/A,#N/A,FALSE,"손익표지";#N/A,#N/A,FALSE,"손익계산";#N/A,#N/A,FALSE,"일반관리비";#N/A,#N/A,FALSE,"영업외수익";#N/A,#N/A,FALSE,"영업외비용";#N/A,#N/A,FALSE,"매출액";#N/A,#N/A,FALSE,"요약손익";#N/A,#N/A,FALSE,"요약대차";#N/A,#N/A,FALSE,"매출채권현황";#N/A,#N/A,FALSE,"매출채권명세"}</definedName>
    <definedName name="비용2"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비용2"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비용2"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비용2" hidden="1">{#N/A,#N/A,FALSE,"손익표지";#N/A,#N/A,FALSE,"손익계산";#N/A,#N/A,FALSE,"일반관리비";#N/A,#N/A,FALSE,"영업외수익";#N/A,#N/A,FALSE,"영업외비용";#N/A,#N/A,FALSE,"매출액";#N/A,#N/A,FALSE,"요약손익";#N/A,#N/A,FALSE,"요약대차";#N/A,#N/A,FALSE,"매출채권현황";#N/A,#N/A,FALSE,"매출채권명세"}</definedName>
    <definedName name="비용9"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비용9"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비용9"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비용9" hidden="1">{#N/A,#N/A,FALSE,"손익표지";#N/A,#N/A,FALSE,"손익계산";#N/A,#N/A,FALSE,"일반관리비";#N/A,#N/A,FALSE,"영업외수익";#N/A,#N/A,FALSE,"영업외비용";#N/A,#N/A,FALSE,"매출액";#N/A,#N/A,FALSE,"요약손익";#N/A,#N/A,FALSE,"요약대차";#N/A,#N/A,FALSE,"매출채권현황";#N/A,#N/A,FALSE,"매출채권명세"}</definedName>
    <definedName name="빌" localSheetId="24" hidden="1">{#N/A,#N/A,FALSE,"동부"}</definedName>
    <definedName name="빌" localSheetId="18" hidden="1">{#N/A,#N/A,FALSE,"동부"}</definedName>
    <definedName name="빌" localSheetId="25" hidden="1">{#N/A,#N/A,FALSE,"동부"}</definedName>
    <definedName name="빌" hidden="1">{#N/A,#N/A,FALSE,"동부"}</definedName>
    <definedName name="빌딩" localSheetId="24" hidden="1">{#N/A,#N/A,FALSE,"동부"}</definedName>
    <definedName name="빌딩" localSheetId="18" hidden="1">{#N/A,#N/A,FALSE,"동부"}</definedName>
    <definedName name="빌딩" localSheetId="25" hidden="1">{#N/A,#N/A,FALSE,"동부"}</definedName>
    <definedName name="빌딩" hidden="1">{#N/A,#N/A,FALSE,"동부"}</definedName>
    <definedName name="빌딩2" localSheetId="24" hidden="1">{#N/A,#N/A,FALSE,"동부"}</definedName>
    <definedName name="빌딩2" localSheetId="18" hidden="1">{#N/A,#N/A,FALSE,"동부"}</definedName>
    <definedName name="빌딩2" localSheetId="25" hidden="1">{#N/A,#N/A,FALSE,"동부"}</definedName>
    <definedName name="빌딩2" hidden="1">{#N/A,#N/A,FALSE,"동부"}</definedName>
    <definedName name="빌딩3" localSheetId="24" hidden="1">{#N/A,#N/A,FALSE,"동부"}</definedName>
    <definedName name="빌딩3" localSheetId="18" hidden="1">{#N/A,#N/A,FALSE,"동부"}</definedName>
    <definedName name="빌딩3" localSheetId="25" hidden="1">{#N/A,#N/A,FALSE,"동부"}</definedName>
    <definedName name="빌딩3" hidden="1">{#N/A,#N/A,FALSE,"동부"}</definedName>
    <definedName name="빌딩별2" localSheetId="24" hidden="1">{#N/A,#N/A,FALSE,"동부"}</definedName>
    <definedName name="빌딩별2" localSheetId="18" hidden="1">{#N/A,#N/A,FALSE,"동부"}</definedName>
    <definedName name="빌딩별2" localSheetId="25" hidden="1">{#N/A,#N/A,FALSE,"동부"}</definedName>
    <definedName name="빌딩별2" hidden="1">{#N/A,#N/A,FALSE,"동부"}</definedName>
    <definedName name="빌딩별강남" localSheetId="24" hidden="1">{#N/A,#N/A,FALSE,"동부"}</definedName>
    <definedName name="빌딩별강남" localSheetId="18" hidden="1">{#N/A,#N/A,FALSE,"동부"}</definedName>
    <definedName name="빌딩별강남" localSheetId="25" hidden="1">{#N/A,#N/A,FALSE,"동부"}</definedName>
    <definedName name="빌딩별강남" hidden="1">{#N/A,#N/A,FALSE,"동부"}</definedName>
    <definedName name="빙" localSheetId="24" hidden="1">{#N/A,#N/A,FALSE,"견적갑지";#N/A,#N/A,FALSE,"총괄표";#N/A,#N/A,FALSE,"철골공사";#N/A,#N/A,FALSE,"토목공사";#N/A,#N/A,FALSE,"판넬전기공사"}</definedName>
    <definedName name="빙" localSheetId="18" hidden="1">{#N/A,#N/A,FALSE,"견적갑지";#N/A,#N/A,FALSE,"총괄표";#N/A,#N/A,FALSE,"철골공사";#N/A,#N/A,FALSE,"토목공사";#N/A,#N/A,FALSE,"판넬전기공사"}</definedName>
    <definedName name="빙" localSheetId="25" hidden="1">{#N/A,#N/A,FALSE,"견적갑지";#N/A,#N/A,FALSE,"총괄표";#N/A,#N/A,FALSE,"철골공사";#N/A,#N/A,FALSE,"토목공사";#N/A,#N/A,FALSE,"판넬전기공사"}</definedName>
    <definedName name="빙" hidden="1">{#N/A,#N/A,FALSE,"견적갑지";#N/A,#N/A,FALSE,"총괄표";#N/A,#N/A,FALSE,"철골공사";#N/A,#N/A,FALSE,"토목공사";#N/A,#N/A,FALSE,"판넬전기공사"}</definedName>
    <definedName name="빙수" localSheetId="24" hidden="1">{#N/A,#N/A,FALSE,"1.CRITERIA";#N/A,#N/A,FALSE,"2.IS";#N/A,#N/A,FALSE,"3.BS";#N/A,#N/A,FALSE,"4.PER PL";#N/A,#N/A,FALSE,"5.INVESTMENT";#N/A,#N/A,FALSE,"6.공문";#N/A,#N/A,FALSE,"7.netinvest"}</definedName>
    <definedName name="빙수" localSheetId="18" hidden="1">{#N/A,#N/A,FALSE,"1.CRITERIA";#N/A,#N/A,FALSE,"2.IS";#N/A,#N/A,FALSE,"3.BS";#N/A,#N/A,FALSE,"4.PER PL";#N/A,#N/A,FALSE,"5.INVESTMENT";#N/A,#N/A,FALSE,"6.공문";#N/A,#N/A,FALSE,"7.netinvest"}</definedName>
    <definedName name="빙수" localSheetId="25" hidden="1">{#N/A,#N/A,FALSE,"1.CRITERIA";#N/A,#N/A,FALSE,"2.IS";#N/A,#N/A,FALSE,"3.BS";#N/A,#N/A,FALSE,"4.PER PL";#N/A,#N/A,FALSE,"5.INVESTMENT";#N/A,#N/A,FALSE,"6.공문";#N/A,#N/A,FALSE,"7.netinvest"}</definedName>
    <definedName name="빙수" hidden="1">{#N/A,#N/A,FALSE,"1.CRITERIA";#N/A,#N/A,FALSE,"2.IS";#N/A,#N/A,FALSE,"3.BS";#N/A,#N/A,FALSE,"4.PER PL";#N/A,#N/A,FALSE,"5.INVESTMENT";#N/A,#N/A,FALSE,"6.공문";#N/A,#N/A,FALSE,"7.netinvest"}</definedName>
    <definedName name="빙추" localSheetId="24" hidden="1">{#N/A,#N/A,FALSE,"견적갑지";#N/A,#N/A,FALSE,"총괄표";#N/A,#N/A,FALSE,"철골공사";#N/A,#N/A,FALSE,"토목공사";#N/A,#N/A,FALSE,"판넬전기공사"}</definedName>
    <definedName name="빙추" localSheetId="18" hidden="1">{#N/A,#N/A,FALSE,"견적갑지";#N/A,#N/A,FALSE,"총괄표";#N/A,#N/A,FALSE,"철골공사";#N/A,#N/A,FALSE,"토목공사";#N/A,#N/A,FALSE,"판넬전기공사"}</definedName>
    <definedName name="빙추" localSheetId="25" hidden="1">{#N/A,#N/A,FALSE,"견적갑지";#N/A,#N/A,FALSE,"총괄표";#N/A,#N/A,FALSE,"철골공사";#N/A,#N/A,FALSE,"토목공사";#N/A,#N/A,FALSE,"판넬전기공사"}</definedName>
    <definedName name="빙추" hidden="1">{#N/A,#N/A,FALSE,"견적갑지";#N/A,#N/A,FALSE,"총괄표";#N/A,#N/A,FALSE,"철골공사";#N/A,#N/A,FALSE,"토목공사";#N/A,#N/A,FALSE,"판넬전기공사"}</definedName>
    <definedName name="빙축열" localSheetId="24" hidden="1">{#N/A,#N/A,FALSE,"견적갑지";#N/A,#N/A,FALSE,"총괄표";#N/A,#N/A,FALSE,"철골공사";#N/A,#N/A,FALSE,"토목공사";#N/A,#N/A,FALSE,"판넬전기공사"}</definedName>
    <definedName name="빙축열" localSheetId="18" hidden="1">{#N/A,#N/A,FALSE,"견적갑지";#N/A,#N/A,FALSE,"총괄표";#N/A,#N/A,FALSE,"철골공사";#N/A,#N/A,FALSE,"토목공사";#N/A,#N/A,FALSE,"판넬전기공사"}</definedName>
    <definedName name="빙축열" localSheetId="25" hidden="1">{#N/A,#N/A,FALSE,"견적갑지";#N/A,#N/A,FALSE,"총괄표";#N/A,#N/A,FALSE,"철골공사";#N/A,#N/A,FALSE,"토목공사";#N/A,#N/A,FALSE,"판넬전기공사"}</definedName>
    <definedName name="빙축열" hidden="1">{#N/A,#N/A,FALSE,"견적갑지";#N/A,#N/A,FALSE,"총괄표";#N/A,#N/A,FALSE,"철골공사";#N/A,#N/A,FALSE,"토목공사";#N/A,#N/A,FALSE,"판넬전기공사"}</definedName>
    <definedName name="빙축열주요자재" localSheetId="24" hidden="1">{#N/A,#N/A,FALSE,"견적갑지";#N/A,#N/A,FALSE,"총괄표";#N/A,#N/A,FALSE,"철골공사";#N/A,#N/A,FALSE,"토목공사";#N/A,#N/A,FALSE,"판넬전기공사"}</definedName>
    <definedName name="빙축열주요자재" localSheetId="18" hidden="1">{#N/A,#N/A,FALSE,"견적갑지";#N/A,#N/A,FALSE,"총괄표";#N/A,#N/A,FALSE,"철골공사";#N/A,#N/A,FALSE,"토목공사";#N/A,#N/A,FALSE,"판넬전기공사"}</definedName>
    <definedName name="빙축열주요자재" localSheetId="25" hidden="1">{#N/A,#N/A,FALSE,"견적갑지";#N/A,#N/A,FALSE,"총괄표";#N/A,#N/A,FALSE,"철골공사";#N/A,#N/A,FALSE,"토목공사";#N/A,#N/A,FALSE,"판넬전기공사"}</definedName>
    <definedName name="빙축열주요자재" hidden="1">{#N/A,#N/A,FALSE,"견적갑지";#N/A,#N/A,FALSE,"총괄표";#N/A,#N/A,FALSE,"철골공사";#N/A,#N/A,FALSE,"토목공사";#N/A,#N/A,FALSE,"판넬전기공사"}</definedName>
    <definedName name="ㅅ" localSheetId="24" hidden="1">{#N/A,#N/A,TRUE,"토적및재료집계";#N/A,#N/A,TRUE,"토적및재료집계";#N/A,#N/A,TRUE,"단위량"}</definedName>
    <definedName name="ㅅ" localSheetId="18" hidden="1">{#N/A,#N/A,TRUE,"토적및재료집계";#N/A,#N/A,TRUE,"토적및재료집계";#N/A,#N/A,TRUE,"단위량"}</definedName>
    <definedName name="ㅅ" localSheetId="25" hidden="1">{#N/A,#N/A,TRUE,"토적및재료집계";#N/A,#N/A,TRUE,"토적및재료집계";#N/A,#N/A,TRUE,"단위량"}</definedName>
    <definedName name="ㅅ" hidden="1">{#N/A,#N/A,TRUE,"토적및재료집계";#N/A,#N/A,TRUE,"토적및재료집계";#N/A,#N/A,TRUE,"단위량"}</definedName>
    <definedName name="ㅅㄱㄱㄷ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ㅅㄱㄱㄷㅅ"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ㅅㄱㄱㄷㅅ"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ㅅㄱㄱㄷㅅ" hidden="1">{#N/A,#N/A,FALSE,"손익표지";#N/A,#N/A,FALSE,"손익계산";#N/A,#N/A,FALSE,"일반관리비";#N/A,#N/A,FALSE,"영업외수익";#N/A,#N/A,FALSE,"영업외비용";#N/A,#N/A,FALSE,"매출액";#N/A,#N/A,FALSE,"요약손익";#N/A,#N/A,FALSE,"요약대차";#N/A,#N/A,FALSE,"매출채권현황";#N/A,#N/A,FALSE,"매출채권명세"}</definedName>
    <definedName name="ㅅㄱㄱㄷㅅㄷ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ㅅㄱㄱㄷㅅㄷ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ㅅㄱㄱㄷㅅㄷㄱ"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ㅅㄱㄱㄷㅅㄷㄱ" hidden="1">{#N/A,#N/A,FALSE,"손익표지";#N/A,#N/A,FALSE,"손익계산";#N/A,#N/A,FALSE,"일반관리비";#N/A,#N/A,FALSE,"영업외수익";#N/A,#N/A,FALSE,"영업외비용";#N/A,#N/A,FALSE,"매출액";#N/A,#N/A,FALSE,"요약손익";#N/A,#N/A,FALSE,"요약대차";#N/A,#N/A,FALSE,"매출채권현황";#N/A,#N/A,FALSE,"매출채권명세"}</definedName>
    <definedName name="ㅅㄱㄷ" localSheetId="24" hidden="1">{#N/A,#N/A,FALSE,"동부"}</definedName>
    <definedName name="ㅅㄱㄷ" localSheetId="18" hidden="1">{#N/A,#N/A,FALSE,"동부"}</definedName>
    <definedName name="ㅅㄱㄷ" localSheetId="25" hidden="1">{#N/A,#N/A,FALSE,"동부"}</definedName>
    <definedName name="ㅅㄱㄷ" hidden="1">{#N/A,#N/A,FALSE,"동부"}</definedName>
    <definedName name="ㅅㄱㄷㅈㄹㅇ" localSheetId="24" hidden="1">{#N/A,#N/A,FALSE,"동부"}</definedName>
    <definedName name="ㅅㄱㄷㅈㄹㅇ" localSheetId="18" hidden="1">{#N/A,#N/A,FALSE,"동부"}</definedName>
    <definedName name="ㅅㄱㄷㅈㄹㅇ" localSheetId="25" hidden="1">{#N/A,#N/A,FALSE,"동부"}</definedName>
    <definedName name="ㅅㄱㄷㅈㄹㅇ" hidden="1">{#N/A,#N/A,FALSE,"동부"}</definedName>
    <definedName name="ㅅ교교"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ㅅ교교"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ㅅ교교"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ㅅ교교" hidden="1">{#N/A,#N/A,FALSE,"손익표지";#N/A,#N/A,FALSE,"손익계산";#N/A,#N/A,FALSE,"일반관리비";#N/A,#N/A,FALSE,"영업외수익";#N/A,#N/A,FALSE,"영업외비용";#N/A,#N/A,FALSE,"매출액";#N/A,#N/A,FALSE,"요약손익";#N/A,#N/A,FALSE,"요약대차";#N/A,#N/A,FALSE,"매출채권현황";#N/A,#N/A,FALSE,"매출채권명세"}</definedName>
    <definedName name="ㅅ교ㄳ"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ㅅ교ㄳ"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ㅅ교ㄳ"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ㅅ교ㄳ" hidden="1">{#N/A,#N/A,FALSE,"손익표지";#N/A,#N/A,FALSE,"손익계산";#N/A,#N/A,FALSE,"일반관리비";#N/A,#N/A,FALSE,"영업외수익";#N/A,#N/A,FALSE,"영업외비용";#N/A,#N/A,FALSE,"매출액";#N/A,#N/A,FALSE,"요약손익";#N/A,#N/A,FALSE,"요약대차";#N/A,#N/A,FALSE,"매출채권현황";#N/A,#N/A,FALSE,"매출채권명세"}</definedName>
    <definedName name="ㅅㄴㄹ" localSheetId="24" hidden="1">{"AJD",#N/A,TRUE,"Summary";"AJD",#N/A,TRUE,"CFCONC-outputs";"AJD",#N/A,TRUE,"P&amp;LCONC-outputs";"AJD",#N/A,TRUE,"BSCONC-outputs";"AJD",#N/A,TRUE,"FSCONC-outputs"}</definedName>
    <definedName name="ㅅㄴㄹ" localSheetId="18" hidden="1">{"AJD",#N/A,TRUE,"Summary";"AJD",#N/A,TRUE,"CFCONC-outputs";"AJD",#N/A,TRUE,"P&amp;LCONC-outputs";"AJD",#N/A,TRUE,"BSCONC-outputs";"AJD",#N/A,TRUE,"FSCONC-outputs"}</definedName>
    <definedName name="ㅅㄴㄹ" localSheetId="25" hidden="1">{"AJD",#N/A,TRUE,"Summary";"AJD",#N/A,TRUE,"CFCONC-outputs";"AJD",#N/A,TRUE,"P&amp;LCONC-outputs";"AJD",#N/A,TRUE,"BSCONC-outputs";"AJD",#N/A,TRUE,"FSCONC-outputs"}</definedName>
    <definedName name="ㅅㄴㄹ" hidden="1">{"AJD",#N/A,TRUE,"Summary";"AJD",#N/A,TRUE,"CFCONC-outputs";"AJD",#N/A,TRUE,"P&amp;LCONC-outputs";"AJD",#N/A,TRUE,"BSCONC-outputs";"AJD",#N/A,TRUE,"FSCONC-outputs"}</definedName>
    <definedName name="ㅅㄷㄱ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ㅅㄷㄱ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ㅅㄷㄱ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ㅅㄷㄱㄹ" hidden="1">{#N/A,#N/A,FALSE,"손익표지";#N/A,#N/A,FALSE,"손익계산";#N/A,#N/A,FALSE,"일반관리비";#N/A,#N/A,FALSE,"영업외수익";#N/A,#N/A,FALSE,"영업외비용";#N/A,#N/A,FALSE,"매출액";#N/A,#N/A,FALSE,"요약손익";#N/A,#N/A,FALSE,"요약대차";#N/A,#N/A,FALSE,"매출채권현황";#N/A,#N/A,FALSE,"매출채권명세"}</definedName>
    <definedName name="ㅅ마호" localSheetId="24" hidden="1">{"'7'!$B$15:$D$32"}</definedName>
    <definedName name="ㅅ마호" localSheetId="18" hidden="1">{"'7'!$B$15:$D$32"}</definedName>
    <definedName name="ㅅ마호" localSheetId="25" hidden="1">{"'7'!$B$15:$D$32"}</definedName>
    <definedName name="ㅅ마호" hidden="1">{"'7'!$B$15:$D$32"}</definedName>
    <definedName name="ㅅㅅㅅ" localSheetId="24" hidden="1">{"'손익현황'!$A$1:$J$29"}</definedName>
    <definedName name="ㅅㅅㅅ" localSheetId="18" hidden="1">{"'손익현황'!$A$1:$J$29"}</definedName>
    <definedName name="ㅅㅅㅅ" localSheetId="25" hidden="1">{"'손익현황'!$A$1:$J$29"}</definedName>
    <definedName name="ㅅㅅㅅ" hidden="1">{"'손익현황'!$A$1:$J$29"}</definedName>
    <definedName name="사" localSheetId="24" hidden="1">{#N/A,#N/A,FALSE,"지침";#N/A,#N/A,FALSE,"환경분석";#N/A,#N/A,FALSE,"Sheet16"}</definedName>
    <definedName name="사" localSheetId="18" hidden="1">{#N/A,#N/A,FALSE,"지침";#N/A,#N/A,FALSE,"환경분석";#N/A,#N/A,FALSE,"Sheet16"}</definedName>
    <definedName name="사" localSheetId="25" hidden="1">{#N/A,#N/A,FALSE,"지침";#N/A,#N/A,FALSE,"환경분석";#N/A,#N/A,FALSE,"Sheet16"}</definedName>
    <definedName name="사" hidden="1">{#N/A,#N/A,FALSE,"지침";#N/A,#N/A,FALSE,"환경분석";#N/A,#N/A,FALSE,"Sheet16"}</definedName>
    <definedName name="사1" localSheetId="24" hidden="1">{#N/A,#N/A,FALSE,"지침";#N/A,#N/A,FALSE,"환경분석";#N/A,#N/A,FALSE,"Sheet16"}</definedName>
    <definedName name="사1" localSheetId="18" hidden="1">{#N/A,#N/A,FALSE,"지침";#N/A,#N/A,FALSE,"환경분석";#N/A,#N/A,FALSE,"Sheet16"}</definedName>
    <definedName name="사1" localSheetId="25" hidden="1">{#N/A,#N/A,FALSE,"지침";#N/A,#N/A,FALSE,"환경분석";#N/A,#N/A,FALSE,"Sheet16"}</definedName>
    <definedName name="사1" hidden="1">{#N/A,#N/A,FALSE,"지침";#N/A,#N/A,FALSE,"환경분석";#N/A,#N/A,FALSE,"Sheet16"}</definedName>
    <definedName name="사랑"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 localSheetId="25"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_1"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_1"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_1" localSheetId="25"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_1"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사사"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사사사"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사사사"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사사사" hidden="1">{#N/A,#N/A,FALSE,"손익표지";#N/A,#N/A,FALSE,"손익계산";#N/A,#N/A,FALSE,"일반관리비";#N/A,#N/A,FALSE,"영업외수익";#N/A,#N/A,FALSE,"영업외비용";#N/A,#N/A,FALSE,"매출액";#N/A,#N/A,FALSE,"요약손익";#N/A,#N/A,FALSE,"요약대차";#N/A,#N/A,FALSE,"매출채권현황";#N/A,#N/A,FALSE,"매출채권명세"}</definedName>
    <definedName name="사사삿" localSheetId="24" hidden="1">{#N/A,#N/A,FALSE,"견적갑지";#N/A,#N/A,FALSE,"총괄표";#N/A,#N/A,FALSE,"철골공사";#N/A,#N/A,FALSE,"토목공사";#N/A,#N/A,FALSE,"판넬전기공사"}</definedName>
    <definedName name="사사삿" localSheetId="18" hidden="1">{#N/A,#N/A,FALSE,"견적갑지";#N/A,#N/A,FALSE,"총괄표";#N/A,#N/A,FALSE,"철골공사";#N/A,#N/A,FALSE,"토목공사";#N/A,#N/A,FALSE,"판넬전기공사"}</definedName>
    <definedName name="사사삿" localSheetId="25" hidden="1">{#N/A,#N/A,FALSE,"견적갑지";#N/A,#N/A,FALSE,"총괄표";#N/A,#N/A,FALSE,"철골공사";#N/A,#N/A,FALSE,"토목공사";#N/A,#N/A,FALSE,"판넬전기공사"}</definedName>
    <definedName name="사사삿" hidden="1">{#N/A,#N/A,FALSE,"견적갑지";#N/A,#N/A,FALSE,"총괄표";#N/A,#N/A,FALSE,"철골공사";#N/A,#N/A,FALSE,"토목공사";#N/A,#N/A,FALSE,"판넬전기공사"}</definedName>
    <definedName name="사업비최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hidden="1">{#N/A,#N/A,FALSE,"손익표지";#N/A,#N/A,FALSE,"손익계산";#N/A,#N/A,FALSE,"일반관리비";#N/A,#N/A,FALSE,"영업외수익";#N/A,#N/A,FALSE,"영업외비용";#N/A,#N/A,FALSE,"매출액";#N/A,#N/A,FALSE,"요약손익";#N/A,#N/A,FALSE,"요약대차";#N/A,#N/A,FALSE,"매출채권현황";#N/A,#N/A,FALSE,"매출채권명세"}</definedName>
    <definedName name="사업수지표1" localSheetId="24" hidden="1">{"'표지'!$E$8"}</definedName>
    <definedName name="사업수지표1" localSheetId="18" hidden="1">{"'표지'!$E$8"}</definedName>
    <definedName name="사업수지표1" localSheetId="25" hidden="1">{"'표지'!$E$8"}</definedName>
    <definedName name="사업수지표1" hidden="1">{"'표지'!$E$8"}</definedName>
    <definedName name="사옥보수" localSheetId="24" hidden="1">{#N/A,#N/A,FALSE,"97년 투자계획 세부내역 "}</definedName>
    <definedName name="사옥보수" localSheetId="18" hidden="1">{#N/A,#N/A,FALSE,"97년 투자계획 세부내역 "}</definedName>
    <definedName name="사옥보수" localSheetId="25" hidden="1">{#N/A,#N/A,FALSE,"97년 투자계획 세부내역 "}</definedName>
    <definedName name="사옥보수" hidden="1">{#N/A,#N/A,FALSE,"97년 투자계획 세부내역 "}</definedName>
    <definedName name="사용"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사용"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사용"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사용" hidden="1">{#N/A,#N/A,FALSE,"손익표지";#N/A,#N/A,FALSE,"손익계산";#N/A,#N/A,FALSE,"일반관리비";#N/A,#N/A,FALSE,"영업외수익";#N/A,#N/A,FALSE,"영업외비용";#N/A,#N/A,FALSE,"매출액";#N/A,#N/A,FALSE,"요약손익";#N/A,#N/A,FALSE,"요약대차";#N/A,#N/A,FALSE,"매출채권현황";#N/A,#N/A,FALSE,"매출채권명세"}</definedName>
    <definedName name="사원미지급" localSheetId="24" hidden="1">{#N/A,#N/A,FALSE,"1.CRITERIA";#N/A,#N/A,FALSE,"2.IS";#N/A,#N/A,FALSE,"3.BS";#N/A,#N/A,FALSE,"4.PER PL";#N/A,#N/A,FALSE,"5.INVESTMENT";#N/A,#N/A,FALSE,"6.공문";#N/A,#N/A,FALSE,"7.netinvest"}</definedName>
    <definedName name="사원미지급" localSheetId="18" hidden="1">{#N/A,#N/A,FALSE,"1.CRITERIA";#N/A,#N/A,FALSE,"2.IS";#N/A,#N/A,FALSE,"3.BS";#N/A,#N/A,FALSE,"4.PER PL";#N/A,#N/A,FALSE,"5.INVESTMENT";#N/A,#N/A,FALSE,"6.공문";#N/A,#N/A,FALSE,"7.netinvest"}</definedName>
    <definedName name="사원미지급" localSheetId="25" hidden="1">{#N/A,#N/A,FALSE,"1.CRITERIA";#N/A,#N/A,FALSE,"2.IS";#N/A,#N/A,FALSE,"3.BS";#N/A,#N/A,FALSE,"4.PER PL";#N/A,#N/A,FALSE,"5.INVESTMENT";#N/A,#N/A,FALSE,"6.공문";#N/A,#N/A,FALSE,"7.netinvest"}</definedName>
    <definedName name="사원미지급" hidden="1">{#N/A,#N/A,FALSE,"1.CRITERIA";#N/A,#N/A,FALSE,"2.IS";#N/A,#N/A,FALSE,"3.BS";#N/A,#N/A,FALSE,"4.PER PL";#N/A,#N/A,FALSE,"5.INVESTMENT";#N/A,#N/A,FALSE,"6.공문";#N/A,#N/A,FALSE,"7.netinvest"}</definedName>
    <definedName name="사원추가합격자" localSheetId="24" hidden="1">{"'7'!$B$15:$D$32"}</definedName>
    <definedName name="사원추가합격자" localSheetId="18" hidden="1">{"'7'!$B$15:$D$32"}</definedName>
    <definedName name="사원추가합격자" localSheetId="25" hidden="1">{"'7'!$B$15:$D$32"}</definedName>
    <definedName name="사원추가합격자" hidden="1">{"'7'!$B$15:$D$32"}</definedName>
    <definedName name="写真2" localSheetId="24" hidden="1">{"MonthlyRentRoll",#N/A,FALSE,"RentRoll"}</definedName>
    <definedName name="写真2" localSheetId="18" hidden="1">{"MonthlyRentRoll",#N/A,FALSE,"RentRoll"}</definedName>
    <definedName name="写真2" localSheetId="25" hidden="1">{"MonthlyRentRoll",#N/A,FALSE,"RentRoll"}</definedName>
    <definedName name="写真2" hidden="1">{"MonthlyRentRoll",#N/A,FALSE,"RentRoll"}</definedName>
    <definedName name="삭제" localSheetId="24" hidden="1">{#N/A,#N/A,FALSE,"이력서&amp;자기소개서"}</definedName>
    <definedName name="삭제" localSheetId="18" hidden="1">{#N/A,#N/A,FALSE,"이력서&amp;자기소개서"}</definedName>
    <definedName name="삭제" localSheetId="25" hidden="1">{#N/A,#N/A,FALSE,"이력서&amp;자기소개서"}</definedName>
    <definedName name="삭제" hidden="1">{#N/A,#N/A,FALSE,"이력서&amp;자기소개서"}</definedName>
    <definedName name="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살"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살" hidden="1">{#N/A,#N/A,FALSE,"손익표지";#N/A,#N/A,FALSE,"손익계산";#N/A,#N/A,FALSE,"일반관리비";#N/A,#N/A,FALSE,"영업외수익";#N/A,#N/A,FALSE,"영업외비용";#N/A,#N/A,FALSE,"매출액";#N/A,#N/A,FALSE,"요약손익";#N/A,#N/A,FALSE,"요약대차";#N/A,#N/A,FALSE,"매출채권현황";#N/A,#N/A,FALSE,"매출채권명세"}</definedName>
    <definedName name="三茶１０１７" localSheetId="24" hidden="1">{#N/A,#N/A,FALSE,"１";#N/A,#N/A,FALSE,"２";#N/A,#N/A,FALSE,"３";#N/A,#N/A,FALSE,"４"}</definedName>
    <definedName name="三茶１０１７" localSheetId="18" hidden="1">{#N/A,#N/A,FALSE,"１";#N/A,#N/A,FALSE,"２";#N/A,#N/A,FALSE,"３";#N/A,#N/A,FALSE,"４"}</definedName>
    <definedName name="三茶１０１７" localSheetId="25" hidden="1">{#N/A,#N/A,FALSE,"１";#N/A,#N/A,FALSE,"２";#N/A,#N/A,FALSE,"３";#N/A,#N/A,FALSE,"４"}</definedName>
    <definedName name="三茶１０１７" hidden="1">{#N/A,#N/A,FALSE,"１";#N/A,#N/A,FALSE,"２";#N/A,#N/A,FALSE,"３";#N/A,#N/A,FALSE,"４"}</definedName>
    <definedName name="三茶PK1017" localSheetId="24" hidden="1">{"Actual",#N/A,FALSE,"(価格)";"Market",#N/A,FALSE,"(価格)";"Plan",#N/A,FALSE,"(価格)"}</definedName>
    <definedName name="三茶PK1017" localSheetId="18" hidden="1">{"Actual",#N/A,FALSE,"(価格)";"Market",#N/A,FALSE,"(価格)";"Plan",#N/A,FALSE,"(価格)"}</definedName>
    <definedName name="三茶PK1017" localSheetId="25" hidden="1">{"Actual",#N/A,FALSE,"(価格)";"Market",#N/A,FALSE,"(価格)";"Plan",#N/A,FALSE,"(価格)"}</definedName>
    <definedName name="三茶PK1017" hidden="1">{"Actual",#N/A,FALSE,"(価格)";"Market",#N/A,FALSE,"(価格)";"Plan",#N/A,FALSE,"(価格)"}</definedName>
    <definedName name="삼호" localSheetId="24" hidden="1">{"'7'!$B$15:$D$32"}</definedName>
    <definedName name="삼호" localSheetId="18" hidden="1">{"'7'!$B$15:$D$32"}</definedName>
    <definedName name="삼호" localSheetId="25" hidden="1">{"'7'!$B$15:$D$32"}</definedName>
    <definedName name="삼호" hidden="1">{"'7'!$B$15:$D$32"}</definedName>
    <definedName name="상각"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 localSheetId="25"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_1"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_1" localSheetId="25"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관D교" localSheetId="24" hidden="1">{#N/A,#N/A,FALSE,"CAM-G7";#N/A,#N/A,FALSE,"SPL";#N/A,#N/A,FALSE,"butt-in G7";#N/A,#N/A,FALSE,"dia-in G7";#N/A,#N/A,FALSE,"추가-STA G7"}</definedName>
    <definedName name="상관D교" localSheetId="18" hidden="1">{#N/A,#N/A,FALSE,"CAM-G7";#N/A,#N/A,FALSE,"SPL";#N/A,#N/A,FALSE,"butt-in G7";#N/A,#N/A,FALSE,"dia-in G7";#N/A,#N/A,FALSE,"추가-STA G7"}</definedName>
    <definedName name="상관D교" localSheetId="25" hidden="1">{#N/A,#N/A,FALSE,"CAM-G7";#N/A,#N/A,FALSE,"SPL";#N/A,#N/A,FALSE,"butt-in G7";#N/A,#N/A,FALSE,"dia-in G7";#N/A,#N/A,FALSE,"추가-STA G7"}</definedName>
    <definedName name="상관D교" hidden="1">{#N/A,#N/A,FALSE,"CAM-G7";#N/A,#N/A,FALSE,"SPL";#N/A,#N/A,FALSE,"butt-in G7";#N/A,#N/A,FALSE,"dia-in G7";#N/A,#N/A,FALSE,"추가-STA G7"}</definedName>
    <definedName name="상권" localSheetId="24" hidden="1">{"'7'!$B$15:$D$32"}</definedName>
    <definedName name="상권" localSheetId="18" hidden="1">{"'7'!$B$15:$D$32"}</definedName>
    <definedName name="상권" localSheetId="25" hidden="1">{"'7'!$B$15:$D$32"}</definedName>
    <definedName name="상권" hidden="1">{"'7'!$B$15:$D$32"}</definedName>
    <definedName name="상단"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상단"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상단"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상단" hidden="1">{#N/A,#N/A,FALSE,"손익표지";#N/A,#N/A,FALSE,"손익계산";#N/A,#N/A,FALSE,"일반관리비";#N/A,#N/A,FALSE,"영업외수익";#N/A,#N/A,FALSE,"영업외비용";#N/A,#N/A,FALSE,"매출액";#N/A,#N/A,FALSE,"요약손익";#N/A,#N/A,FALSE,"요약대차";#N/A,#N/A,FALSE,"매출채권현황";#N/A,#N/A,FALSE,"매출채권명세"}</definedName>
    <definedName name="상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상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상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상당" hidden="1">{#N/A,#N/A,FALSE,"손익표지";#N/A,#N/A,FALSE,"손익계산";#N/A,#N/A,FALSE,"일반관리비";#N/A,#N/A,FALSE,"영업외수익";#N/A,#N/A,FALSE,"영업외비용";#N/A,#N/A,FALSE,"매출액";#N/A,#N/A,FALSE,"요약손익";#N/A,#N/A,FALSE,"요약대차";#N/A,#N/A,FALSE,"매출채권현황";#N/A,#N/A,FALSE,"매출채권명세"}</definedName>
    <definedName name="상당2"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상당2"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상당2"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상당2" hidden="1">{#N/A,#N/A,FALSE,"손익표지";#N/A,#N/A,FALSE,"손익계산";#N/A,#N/A,FALSE,"일반관리비";#N/A,#N/A,FALSE,"영업외수익";#N/A,#N/A,FALSE,"영업외비용";#N/A,#N/A,FALSE,"매출액";#N/A,#N/A,FALSE,"요약손익";#N/A,#N/A,FALSE,"요약대차";#N/A,#N/A,FALSE,"매출채권현황";#N/A,#N/A,FALSE,"매출채권명세"}</definedName>
    <definedName name="상암" localSheetId="24" hidden="1">{#N/A,#N/A,TRUE,"대 차 대 조 표"}</definedName>
    <definedName name="상암" localSheetId="18" hidden="1">{#N/A,#N/A,TRUE,"대 차 대 조 표"}</definedName>
    <definedName name="상암" localSheetId="25" hidden="1">{#N/A,#N/A,TRUE,"대 차 대 조 표"}</definedName>
    <definedName name="상암" hidden="1">{#N/A,#N/A,TRUE,"대 차 대 조 표"}</definedName>
    <definedName name="새새샛" localSheetId="24" hidden="1">{"'미착금액'!$A$4:$G$14"}</definedName>
    <definedName name="새새샛" localSheetId="18" hidden="1">{"'미착금액'!$A$4:$G$14"}</definedName>
    <definedName name="새새샛" localSheetId="25" hidden="1">{"'미착금액'!$A$4:$G$14"}</definedName>
    <definedName name="새새샛" hidden="1">{"'미착금액'!$A$4:$G$14"}</definedName>
    <definedName name="생산관리부" localSheetId="24" hidden="1">{#N/A,#N/A,FALSE,"단축1";#N/A,#N/A,FALSE,"단축2";#N/A,#N/A,FALSE,"단축3";#N/A,#N/A,FALSE,"장축";#N/A,#N/A,FALSE,"4WD"}</definedName>
    <definedName name="생산관리부" localSheetId="18" hidden="1">{#N/A,#N/A,FALSE,"단축1";#N/A,#N/A,FALSE,"단축2";#N/A,#N/A,FALSE,"단축3";#N/A,#N/A,FALSE,"장축";#N/A,#N/A,FALSE,"4WD"}</definedName>
    <definedName name="생산관리부" localSheetId="25" hidden="1">{#N/A,#N/A,FALSE,"단축1";#N/A,#N/A,FALSE,"단축2";#N/A,#N/A,FALSE,"단축3";#N/A,#N/A,FALSE,"장축";#N/A,#N/A,FALSE,"4WD"}</definedName>
    <definedName name="생산관리부" hidden="1">{#N/A,#N/A,FALSE,"단축1";#N/A,#N/A,FALSE,"단축2";#N/A,#N/A,FALSE,"단축3";#N/A,#N/A,FALSE,"장축";#N/A,#N/A,FALSE,"4WD"}</definedName>
    <definedName name="생활동" localSheetId="24" hidden="1">{#N/A,#N/A,TRUE,"대 차 대 조 표"}</definedName>
    <definedName name="생활동" localSheetId="18" hidden="1">{#N/A,#N/A,TRUE,"대 차 대 조 표"}</definedName>
    <definedName name="생활동" localSheetId="25" hidden="1">{#N/A,#N/A,TRUE,"대 차 대 조 표"}</definedName>
    <definedName name="생활동" hidden="1">{#N/A,#N/A,TRUE,"대 차 대 조 표"}</definedName>
    <definedName name="서" localSheetId="24" hidden="1">{#N/A,#N/A,FALSE,"동부"}</definedName>
    <definedName name="서" localSheetId="18" hidden="1">{#N/A,#N/A,FALSE,"동부"}</definedName>
    <definedName name="서" localSheetId="25" hidden="1">{#N/A,#N/A,FALSE,"동부"}</definedName>
    <definedName name="서" hidden="1">{#N/A,#N/A,FALSE,"동부"}</definedName>
    <definedName name="서부간선" localSheetId="24" hidden="1">{#N/A,#N/A,FALSE,"CAM-G7";#N/A,#N/A,FALSE,"SPL";#N/A,#N/A,FALSE,"butt-in G7";#N/A,#N/A,FALSE,"dia-in G7";#N/A,#N/A,FALSE,"추가-STA G7"}</definedName>
    <definedName name="서부간선" localSheetId="18" hidden="1">{#N/A,#N/A,FALSE,"CAM-G7";#N/A,#N/A,FALSE,"SPL";#N/A,#N/A,FALSE,"butt-in G7";#N/A,#N/A,FALSE,"dia-in G7";#N/A,#N/A,FALSE,"추가-STA G7"}</definedName>
    <definedName name="서부간선" localSheetId="25" hidden="1">{#N/A,#N/A,FALSE,"CAM-G7";#N/A,#N/A,FALSE,"SPL";#N/A,#N/A,FALSE,"butt-in G7";#N/A,#N/A,FALSE,"dia-in G7";#N/A,#N/A,FALSE,"추가-STA G7"}</definedName>
    <definedName name="서부간선" hidden="1">{#N/A,#N/A,FALSE,"CAM-G7";#N/A,#N/A,FALSE,"SPL";#N/A,#N/A,FALSE,"butt-in G7";#N/A,#N/A,FALSE,"dia-in G7";#N/A,#N/A,FALSE,"추가-STA G7"}</definedName>
    <definedName name="서영태" localSheetId="24" hidden="1">{#N/A,#N/A,TRUE,"Y생산";#N/A,#N/A,TRUE,"Y판매";#N/A,#N/A,TRUE,"Y총물량";#N/A,#N/A,TRUE,"Y능력";#N/A,#N/A,TRUE,"YKD"}</definedName>
    <definedName name="서영태" localSheetId="18" hidden="1">{#N/A,#N/A,TRUE,"Y생산";#N/A,#N/A,TRUE,"Y판매";#N/A,#N/A,TRUE,"Y총물량";#N/A,#N/A,TRUE,"Y능력";#N/A,#N/A,TRUE,"YKD"}</definedName>
    <definedName name="서영태" localSheetId="25" hidden="1">{#N/A,#N/A,TRUE,"Y생산";#N/A,#N/A,TRUE,"Y판매";#N/A,#N/A,TRUE,"Y총물량";#N/A,#N/A,TRUE,"Y능력";#N/A,#N/A,TRUE,"YKD"}</definedName>
    <definedName name="서영태" hidden="1">{#N/A,#N/A,TRUE,"Y생산";#N/A,#N/A,TRUE,"Y판매";#N/A,#N/A,TRUE,"Y총물량";#N/A,#N/A,TRUE,"Y능력";#N/A,#N/A,TRUE,"YKD"}</definedName>
    <definedName name="서영태_1" localSheetId="24" hidden="1">{#N/A,#N/A,TRUE,"Y생산";#N/A,#N/A,TRUE,"Y판매";#N/A,#N/A,TRUE,"Y총물량";#N/A,#N/A,TRUE,"Y능력";#N/A,#N/A,TRUE,"YKD"}</definedName>
    <definedName name="서영태_1" localSheetId="18" hidden="1">{#N/A,#N/A,TRUE,"Y생산";#N/A,#N/A,TRUE,"Y판매";#N/A,#N/A,TRUE,"Y총물량";#N/A,#N/A,TRUE,"Y능력";#N/A,#N/A,TRUE,"YKD"}</definedName>
    <definedName name="서영태_1" localSheetId="25" hidden="1">{#N/A,#N/A,TRUE,"Y생산";#N/A,#N/A,TRUE,"Y판매";#N/A,#N/A,TRUE,"Y총물량";#N/A,#N/A,TRUE,"Y능력";#N/A,#N/A,TRUE,"YKD"}</definedName>
    <definedName name="서영태_1" hidden="1">{#N/A,#N/A,TRUE,"Y생산";#N/A,#N/A,TRUE,"Y판매";#N/A,#N/A,TRUE,"Y총물량";#N/A,#N/A,TRUE,"Y능력";#N/A,#N/A,TRUE,"YKD"}</definedName>
    <definedName name="서울" localSheetId="24" hidden="1">{#N/A,#N/A,FALSE,"97년 투자계획 세부내역 "}</definedName>
    <definedName name="서울" localSheetId="18" hidden="1">{#N/A,#N/A,FALSE,"97년 투자계획 세부내역 "}</definedName>
    <definedName name="서울" localSheetId="25" hidden="1">{#N/A,#N/A,FALSE,"97년 투자계획 세부내역 "}</definedName>
    <definedName name="서울" hidden="1">{#N/A,#N/A,FALSE,"97년 투자계획 세부내역 "}</definedName>
    <definedName name="서이" localSheetId="24" hidden="1">{#N/A,#N/A,FALSE,"1.CRITERIA";#N/A,#N/A,FALSE,"2.IS";#N/A,#N/A,FALSE,"3.BS";#N/A,#N/A,FALSE,"4.PER PL";#N/A,#N/A,FALSE,"5.INVESTMENT";#N/A,#N/A,FALSE,"6.공문";#N/A,#N/A,FALSE,"7.netinvest"}</definedName>
    <definedName name="서이" localSheetId="18" hidden="1">{#N/A,#N/A,FALSE,"1.CRITERIA";#N/A,#N/A,FALSE,"2.IS";#N/A,#N/A,FALSE,"3.BS";#N/A,#N/A,FALSE,"4.PER PL";#N/A,#N/A,FALSE,"5.INVESTMENT";#N/A,#N/A,FALSE,"6.공문";#N/A,#N/A,FALSE,"7.netinvest"}</definedName>
    <definedName name="서이" localSheetId="25" hidden="1">{#N/A,#N/A,FALSE,"1.CRITERIA";#N/A,#N/A,FALSE,"2.IS";#N/A,#N/A,FALSE,"3.BS";#N/A,#N/A,FALSE,"4.PER PL";#N/A,#N/A,FALSE,"5.INVESTMENT";#N/A,#N/A,FALSE,"6.공문";#N/A,#N/A,FALSE,"7.netinvest"}</definedName>
    <definedName name="서이" hidden="1">{#N/A,#N/A,FALSE,"1.CRITERIA";#N/A,#N/A,FALSE,"2.IS";#N/A,#N/A,FALSE,"3.BS";#N/A,#N/A,FALSE,"4.PER PL";#N/A,#N/A,FALSE,"5.INVESTMENT";#N/A,#N/A,FALSE,"6.공문";#N/A,#N/A,FALSE,"7.netinvest"}</definedName>
    <definedName name="서초" localSheetId="24" hidden="1">{#N/A,#N/A,TRUE,"대 차 대 조 표"}</definedName>
    <definedName name="서초" localSheetId="18" hidden="1">{#N/A,#N/A,TRUE,"대 차 대 조 표"}</definedName>
    <definedName name="서초" localSheetId="25" hidden="1">{#N/A,#N/A,TRUE,"대 차 대 조 표"}</definedName>
    <definedName name="서초" hidden="1">{#N/A,#N/A,TRUE,"대 차 대 조 표"}</definedName>
    <definedName name="서초_1" localSheetId="24" hidden="1">{#N/A,#N/A,TRUE,"대 차 대 조 표"}</definedName>
    <definedName name="서초_1" localSheetId="18" hidden="1">{#N/A,#N/A,TRUE,"대 차 대 조 표"}</definedName>
    <definedName name="서초_1" localSheetId="25" hidden="1">{#N/A,#N/A,TRUE,"대 차 대 조 표"}</definedName>
    <definedName name="서초_1" hidden="1">{#N/A,#N/A,TRUE,"대 차 대 조 표"}</definedName>
    <definedName name="서초2" localSheetId="24" hidden="1">{#N/A,#N/A,TRUE,"대 차 대 조 표"}</definedName>
    <definedName name="서초2" localSheetId="18" hidden="1">{#N/A,#N/A,TRUE,"대 차 대 조 표"}</definedName>
    <definedName name="서초2" localSheetId="25" hidden="1">{#N/A,#N/A,TRUE,"대 차 대 조 표"}</definedName>
    <definedName name="서초2" hidden="1">{#N/A,#N/A,TRUE,"대 차 대 조 표"}</definedName>
    <definedName name="서초2_1" localSheetId="24" hidden="1">{#N/A,#N/A,TRUE,"대 차 대 조 표"}</definedName>
    <definedName name="서초2_1" localSheetId="18" hidden="1">{#N/A,#N/A,TRUE,"대 차 대 조 표"}</definedName>
    <definedName name="서초2_1" localSheetId="25" hidden="1">{#N/A,#N/A,TRUE,"대 차 대 조 표"}</definedName>
    <definedName name="서초2_1" hidden="1">{#N/A,#N/A,TRUE,"대 차 대 조 표"}</definedName>
    <definedName name="서초해동" localSheetId="24" hidden="1">{#N/A,#N/A,TRUE,"대 차 대 조 표"}</definedName>
    <definedName name="서초해동" localSheetId="18" hidden="1">{#N/A,#N/A,TRUE,"대 차 대 조 표"}</definedName>
    <definedName name="서초해동" localSheetId="25" hidden="1">{#N/A,#N/A,TRUE,"대 차 대 조 표"}</definedName>
    <definedName name="서초해동" hidden="1">{#N/A,#N/A,TRUE,"대 차 대 조 표"}</definedName>
    <definedName name="서초해동_1" localSheetId="24" hidden="1">{#N/A,#N/A,TRUE,"대 차 대 조 표"}</definedName>
    <definedName name="서초해동_1" localSheetId="18" hidden="1">{#N/A,#N/A,TRUE,"대 차 대 조 표"}</definedName>
    <definedName name="서초해동_1" localSheetId="25" hidden="1">{#N/A,#N/A,TRUE,"대 차 대 조 표"}</definedName>
    <definedName name="서초해동_1" hidden="1">{#N/A,#N/A,TRUE,"대 차 대 조 표"}</definedName>
    <definedName name="서해" localSheetId="24" hidden="1">{#N/A,#N/A,TRUE,"대 차 대 조 표"}</definedName>
    <definedName name="서해" localSheetId="18" hidden="1">{#N/A,#N/A,TRUE,"대 차 대 조 표"}</definedName>
    <definedName name="서해" localSheetId="25" hidden="1">{#N/A,#N/A,TRUE,"대 차 대 조 표"}</definedName>
    <definedName name="서해" hidden="1">{#N/A,#N/A,TRUE,"대 차 대 조 표"}</definedName>
    <definedName name="선급금" localSheetId="24" hidden="1">{#N/A,#N/A,FALSE,"1.CRITERIA";#N/A,#N/A,FALSE,"2.IS";#N/A,#N/A,FALSE,"3.BS";#N/A,#N/A,FALSE,"4.PER PL";#N/A,#N/A,FALSE,"5.INVESTMENT";#N/A,#N/A,FALSE,"6.공문";#N/A,#N/A,FALSE,"7.netinvest"}</definedName>
    <definedName name="선급금" localSheetId="18" hidden="1">{#N/A,#N/A,FALSE,"1.CRITERIA";#N/A,#N/A,FALSE,"2.IS";#N/A,#N/A,FALSE,"3.BS";#N/A,#N/A,FALSE,"4.PER PL";#N/A,#N/A,FALSE,"5.INVESTMENT";#N/A,#N/A,FALSE,"6.공문";#N/A,#N/A,FALSE,"7.netinvest"}</definedName>
    <definedName name="선급금" localSheetId="25" hidden="1">{#N/A,#N/A,FALSE,"1.CRITERIA";#N/A,#N/A,FALSE,"2.IS";#N/A,#N/A,FALSE,"3.BS";#N/A,#N/A,FALSE,"4.PER PL";#N/A,#N/A,FALSE,"5.INVESTMENT";#N/A,#N/A,FALSE,"6.공문";#N/A,#N/A,FALSE,"7.netinvest"}</definedName>
    <definedName name="선급금" hidden="1">{#N/A,#N/A,FALSE,"1.CRITERIA";#N/A,#N/A,FALSE,"2.IS";#N/A,#N/A,FALSE,"3.BS";#N/A,#N/A,FALSE,"4.PER PL";#N/A,#N/A,FALSE,"5.INVESTMENT";#N/A,#N/A,FALSE,"6.공문";#N/A,#N/A,FALSE,"7.netinvest"}</definedName>
    <definedName name="설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설명"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설명"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설명" hidden="1">{#N/A,#N/A,FALSE,"손익표지";#N/A,#N/A,FALSE,"손익계산";#N/A,#N/A,FALSE,"일반관리비";#N/A,#N/A,FALSE,"영업외수익";#N/A,#N/A,FALSE,"영업외비용";#N/A,#N/A,FALSE,"매출액";#N/A,#N/A,FALSE,"요약손익";#N/A,#N/A,FALSE,"요약대차";#N/A,#N/A,FALSE,"매출채권현황";#N/A,#N/A,FALSE,"매출채권명세"}</definedName>
    <definedName name="설비" localSheetId="24" hidden="1">{#N/A,#N/A,FALSE,"견적갑지";#N/A,#N/A,FALSE,"총괄표";#N/A,#N/A,FALSE,"철골공사";#N/A,#N/A,FALSE,"토목공사";#N/A,#N/A,FALSE,"판넬전기공사"}</definedName>
    <definedName name="설비" localSheetId="18" hidden="1">{#N/A,#N/A,FALSE,"견적갑지";#N/A,#N/A,FALSE,"총괄표";#N/A,#N/A,FALSE,"철골공사";#N/A,#N/A,FALSE,"토목공사";#N/A,#N/A,FALSE,"판넬전기공사"}</definedName>
    <definedName name="설비" localSheetId="25" hidden="1">{#N/A,#N/A,FALSE,"견적갑지";#N/A,#N/A,FALSE,"총괄표";#N/A,#N/A,FALSE,"철골공사";#N/A,#N/A,FALSE,"토목공사";#N/A,#N/A,FALSE,"판넬전기공사"}</definedName>
    <definedName name="설비" hidden="1">{#N/A,#N/A,FALSE,"견적갑지";#N/A,#N/A,FALSE,"총괄표";#N/A,#N/A,FALSE,"철골공사";#N/A,#N/A,FALSE,"토목공사";#N/A,#N/A,FALSE,"판넬전기공사"}</definedName>
    <definedName name="성우" localSheetId="24" hidden="1">{#N/A,#N/A,FALSE,"CCTV"}</definedName>
    <definedName name="성우" localSheetId="18" hidden="1">{#N/A,#N/A,FALSE,"CCTV"}</definedName>
    <definedName name="성우" localSheetId="25" hidden="1">{#N/A,#N/A,FALSE,"CCTV"}</definedName>
    <definedName name="성우" hidden="1">{#N/A,#N/A,FALSE,"CCTV"}</definedName>
    <definedName name="성원2003"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성원2003"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성원2003" localSheetId="2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성원200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성화기업" localSheetId="24" hidden="1">{#N/A,#N/A,TRUE,"Y생산";#N/A,#N/A,TRUE,"Y판매";#N/A,#N/A,TRUE,"Y총물량";#N/A,#N/A,TRUE,"Y능력";#N/A,#N/A,TRUE,"YKD"}</definedName>
    <definedName name="성화기업" localSheetId="18" hidden="1">{#N/A,#N/A,TRUE,"Y생산";#N/A,#N/A,TRUE,"Y판매";#N/A,#N/A,TRUE,"Y총물량";#N/A,#N/A,TRUE,"Y능력";#N/A,#N/A,TRUE,"YKD"}</definedName>
    <definedName name="성화기업" localSheetId="25" hidden="1">{#N/A,#N/A,TRUE,"Y생산";#N/A,#N/A,TRUE,"Y판매";#N/A,#N/A,TRUE,"Y총물량";#N/A,#N/A,TRUE,"Y능력";#N/A,#N/A,TRUE,"YKD"}</definedName>
    <definedName name="성화기업" hidden="1">{#N/A,#N/A,TRUE,"Y생산";#N/A,#N/A,TRUE,"Y판매";#N/A,#N/A,TRUE,"Y총물량";#N/A,#N/A,TRUE,"Y능력";#N/A,#N/A,TRUE,"YKD"}</definedName>
    <definedName name="성화내역서" localSheetId="24" hidden="1">{#N/A,#N/A,TRUE,"Y생산";#N/A,#N/A,TRUE,"Y판매";#N/A,#N/A,TRUE,"Y총물량";#N/A,#N/A,TRUE,"Y능력";#N/A,#N/A,TRUE,"YKD"}</definedName>
    <definedName name="성화내역서" localSheetId="18" hidden="1">{#N/A,#N/A,TRUE,"Y생산";#N/A,#N/A,TRUE,"Y판매";#N/A,#N/A,TRUE,"Y총물량";#N/A,#N/A,TRUE,"Y능력";#N/A,#N/A,TRUE,"YKD"}</definedName>
    <definedName name="성화내역서" localSheetId="25" hidden="1">{#N/A,#N/A,TRUE,"Y생산";#N/A,#N/A,TRUE,"Y판매";#N/A,#N/A,TRUE,"Y총물량";#N/A,#N/A,TRUE,"Y능력";#N/A,#N/A,TRUE,"YKD"}</definedName>
    <definedName name="성화내역서" hidden="1">{#N/A,#N/A,TRUE,"Y생산";#N/A,#N/A,TRUE,"Y판매";#N/A,#N/A,TRUE,"Y총물량";#N/A,#N/A,TRUE,"Y능력";#N/A,#N/A,TRUE,"YKD"}</definedName>
    <definedName name="세부내역2" localSheetId="24" hidden="1">{"'PROFORMA'!$A$1:$H$120"}</definedName>
    <definedName name="세부내역2" localSheetId="18" hidden="1">{"'PROFORMA'!$A$1:$H$120"}</definedName>
    <definedName name="세부내역2" localSheetId="25" hidden="1">{"'PROFORMA'!$A$1:$H$120"}</definedName>
    <definedName name="세부내역2" hidden="1">{"'PROFORMA'!$A$1:$H$120"}</definedName>
    <definedName name="세부내역서1" localSheetId="24" hidden="1">{#N/A,#N/A,TRUE,"대 차 대 조 표"}</definedName>
    <definedName name="세부내역서1" localSheetId="18" hidden="1">{#N/A,#N/A,TRUE,"대 차 대 조 표"}</definedName>
    <definedName name="세부내역서1" localSheetId="25" hidden="1">{#N/A,#N/A,TRUE,"대 차 대 조 표"}</definedName>
    <definedName name="세부내역서1" hidden="1">{#N/A,#N/A,TRUE,"대 차 대 조 표"}</definedName>
    <definedName name="세전" localSheetId="24" hidden="1">{#N/A,#N/A,FALSE,"지침";#N/A,#N/A,FALSE,"환경분석";#N/A,#N/A,FALSE,"Sheet16"}</definedName>
    <definedName name="세전" localSheetId="18" hidden="1">{#N/A,#N/A,FALSE,"지침";#N/A,#N/A,FALSE,"환경분석";#N/A,#N/A,FALSE,"Sheet16"}</definedName>
    <definedName name="세전" localSheetId="25" hidden="1">{#N/A,#N/A,FALSE,"지침";#N/A,#N/A,FALSE,"환경분석";#N/A,#N/A,FALSE,"Sheet16"}</definedName>
    <definedName name="세전" hidden="1">{#N/A,#N/A,FALSE,"지침";#N/A,#N/A,FALSE,"환경분석";#N/A,#N/A,FALSE,"Sheet16"}</definedName>
    <definedName name="세전익익" localSheetId="24" hidden="1">{#N/A,#N/A,FALSE,"지침";#N/A,#N/A,FALSE,"환경분석";#N/A,#N/A,FALSE,"Sheet16"}</definedName>
    <definedName name="세전익익" localSheetId="18" hidden="1">{#N/A,#N/A,FALSE,"지침";#N/A,#N/A,FALSE,"환경분석";#N/A,#N/A,FALSE,"Sheet16"}</definedName>
    <definedName name="세전익익" localSheetId="25" hidden="1">{#N/A,#N/A,FALSE,"지침";#N/A,#N/A,FALSE,"환경분석";#N/A,#N/A,FALSE,"Sheet16"}</definedName>
    <definedName name="세전익익" hidden="1">{#N/A,#N/A,FALSE,"지침";#N/A,#N/A,FALSE,"환경분석";#N/A,#N/A,FALSE,"Sheet16"}</definedName>
    <definedName name="小石川" localSheetId="24" hidden="1">{#N/A,#N/A,FALSE,"１";#N/A,#N/A,FALSE,"２";#N/A,#N/A,FALSE,"３";#N/A,#N/A,FALSE,"４"}</definedName>
    <definedName name="小石川" localSheetId="18" hidden="1">{#N/A,#N/A,FALSE,"１";#N/A,#N/A,FALSE,"２";#N/A,#N/A,FALSE,"３";#N/A,#N/A,FALSE,"４"}</definedName>
    <definedName name="小石川" localSheetId="25" hidden="1">{#N/A,#N/A,FALSE,"１";#N/A,#N/A,FALSE,"２";#N/A,#N/A,FALSE,"３";#N/A,#N/A,FALSE,"４"}</definedName>
    <definedName name="小石川" hidden="1">{#N/A,#N/A,FALSE,"１";#N/A,#N/A,FALSE,"２";#N/A,#N/A,FALSE,"３";#N/A,#N/A,FALSE,"４"}</definedName>
    <definedName name="소요"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소요"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소요"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소요" hidden="1">{#N/A,#N/A,FALSE,"손익표지";#N/A,#N/A,FALSE,"손익계산";#N/A,#N/A,FALSE,"일반관리비";#N/A,#N/A,FALSE,"영업외수익";#N/A,#N/A,FALSE,"영업외비용";#N/A,#N/A,FALSE,"매출액";#N/A,#N/A,FALSE,"요약손익";#N/A,#N/A,FALSE,"요약대차";#N/A,#N/A,FALSE,"매출채권현황";#N/A,#N/A,FALSE,"매출채권명세"}</definedName>
    <definedName name="소유사옥" localSheetId="24" hidden="1">{#N/A,#N/A,FALSE,"97년 투자계획 세부내역 "}</definedName>
    <definedName name="소유사옥" localSheetId="18" hidden="1">{#N/A,#N/A,FALSE,"97년 투자계획 세부내역 "}</definedName>
    <definedName name="소유사옥" localSheetId="25" hidden="1">{#N/A,#N/A,FALSE,"97년 투자계획 세부내역 "}</definedName>
    <definedName name="소유사옥" hidden="1">{#N/A,#N/A,FALSE,"97년 투자계획 세부내역 "}</definedName>
    <definedName name="소유사옥보수1" localSheetId="24" hidden="1">{#N/A,#N/A,FALSE,"97년 투자계획 세부내역 "}</definedName>
    <definedName name="소유사옥보수1" localSheetId="18" hidden="1">{#N/A,#N/A,FALSE,"97년 투자계획 세부내역 "}</definedName>
    <definedName name="소유사옥보수1" localSheetId="25" hidden="1">{#N/A,#N/A,FALSE,"97년 투자계획 세부내역 "}</definedName>
    <definedName name="소유사옥보수1" hidden="1">{#N/A,#N/A,FALSE,"97년 투자계획 세부내역 "}</definedName>
    <definedName name="소포장" localSheetId="24" hidden="1">{#N/A,#N/A,FALSE,"견적갑지";#N/A,#N/A,FALSE,"총괄표";#N/A,#N/A,FALSE,"철골공사";#N/A,#N/A,FALSE,"토목공사";#N/A,#N/A,FALSE,"판넬전기공사"}</definedName>
    <definedName name="소포장" localSheetId="18" hidden="1">{#N/A,#N/A,FALSE,"견적갑지";#N/A,#N/A,FALSE,"총괄표";#N/A,#N/A,FALSE,"철골공사";#N/A,#N/A,FALSE,"토목공사";#N/A,#N/A,FALSE,"판넬전기공사"}</definedName>
    <definedName name="소포장" localSheetId="25" hidden="1">{#N/A,#N/A,FALSE,"견적갑지";#N/A,#N/A,FALSE,"총괄표";#N/A,#N/A,FALSE,"철골공사";#N/A,#N/A,FALSE,"토목공사";#N/A,#N/A,FALSE,"판넬전기공사"}</definedName>
    <definedName name="소포장" hidden="1">{#N/A,#N/A,FALSE,"견적갑지";#N/A,#N/A,FALSE,"총괄표";#N/A,#N/A,FALSE,"철골공사";#N/A,#N/A,FALSE,"토목공사";#N/A,#N/A,FALSE,"판넬전기공사"}</definedName>
    <definedName name="소포장설비" localSheetId="24" hidden="1">{#N/A,#N/A,FALSE,"견적갑지";#N/A,#N/A,FALSE,"총괄표";#N/A,#N/A,FALSE,"철골공사";#N/A,#N/A,FALSE,"토목공사";#N/A,#N/A,FALSE,"판넬전기공사"}</definedName>
    <definedName name="소포장설비" localSheetId="18" hidden="1">{#N/A,#N/A,FALSE,"견적갑지";#N/A,#N/A,FALSE,"총괄표";#N/A,#N/A,FALSE,"철골공사";#N/A,#N/A,FALSE,"토목공사";#N/A,#N/A,FALSE,"판넬전기공사"}</definedName>
    <definedName name="소포장설비" localSheetId="25" hidden="1">{#N/A,#N/A,FALSE,"견적갑지";#N/A,#N/A,FALSE,"총괄표";#N/A,#N/A,FALSE,"철골공사";#N/A,#N/A,FALSE,"토목공사";#N/A,#N/A,FALSE,"판넬전기공사"}</definedName>
    <definedName name="소포장설비" hidden="1">{#N/A,#N/A,FALSE,"견적갑지";#N/A,#N/A,FALSE,"총괄표";#N/A,#N/A,FALSE,"철골공사";#N/A,#N/A,FALSE,"토목공사";#N/A,#N/A,FALSE,"판넬전기공사"}</definedName>
    <definedName name="소화갑지" localSheetId="24" hidden="1">{#N/A,#N/A,FALSE,"CCTV"}</definedName>
    <definedName name="소화갑지" localSheetId="18" hidden="1">{#N/A,#N/A,FALSE,"CCTV"}</definedName>
    <definedName name="소화갑지" localSheetId="25" hidden="1">{#N/A,#N/A,FALSE,"CCTV"}</definedName>
    <definedName name="소화갑지" hidden="1">{#N/A,#N/A,FALSE,"CCTV"}</definedName>
    <definedName name="손"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손"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손" localSheetId="25"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손"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손실" localSheetId="24" hidden="1">{#N/A,#N/A,FALSE,"1.CRITERIA";#N/A,#N/A,FALSE,"2.IS";#N/A,#N/A,FALSE,"3.BS";#N/A,#N/A,FALSE,"4.PER PL";#N/A,#N/A,FALSE,"5.INVESTMENT";#N/A,#N/A,FALSE,"6.공문";#N/A,#N/A,FALSE,"7.netinvest"}</definedName>
    <definedName name="손실" localSheetId="18" hidden="1">{#N/A,#N/A,FALSE,"1.CRITERIA";#N/A,#N/A,FALSE,"2.IS";#N/A,#N/A,FALSE,"3.BS";#N/A,#N/A,FALSE,"4.PER PL";#N/A,#N/A,FALSE,"5.INVESTMENT";#N/A,#N/A,FALSE,"6.공문";#N/A,#N/A,FALSE,"7.netinvest"}</definedName>
    <definedName name="손실" localSheetId="25" hidden="1">{#N/A,#N/A,FALSE,"1.CRITERIA";#N/A,#N/A,FALSE,"2.IS";#N/A,#N/A,FALSE,"3.BS";#N/A,#N/A,FALSE,"4.PER PL";#N/A,#N/A,FALSE,"5.INVESTMENT";#N/A,#N/A,FALSE,"6.공문";#N/A,#N/A,FALSE,"7.netinvest"}</definedName>
    <definedName name="손실" hidden="1">{#N/A,#N/A,FALSE,"1.CRITERIA";#N/A,#N/A,FALSE,"2.IS";#N/A,#N/A,FALSE,"3.BS";#N/A,#N/A,FALSE,"4.PER PL";#N/A,#N/A,FALSE,"5.INVESTMENT";#N/A,#N/A,FALSE,"6.공문";#N/A,#N/A,FALSE,"7.netinvest"}</definedName>
    <definedName name="손익"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손익"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손익"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손익" hidden="1">{#N/A,#N/A,FALSE,"손익표지";#N/A,#N/A,FALSE,"손익계산";#N/A,#N/A,FALSE,"일반관리비";#N/A,#N/A,FALSE,"영업외수익";#N/A,#N/A,FALSE,"영업외비용";#N/A,#N/A,FALSE,"매출액";#N/A,#N/A,FALSE,"요약손익";#N/A,#N/A,FALSE,"요약대차";#N/A,#N/A,FALSE,"매출채권현황";#N/A,#N/A,FALSE,"매출채권명세"}</definedName>
    <definedName name="손익계산서"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손익계산서"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손익계산서"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손익계산서"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손익계산서조정_04_12" localSheetId="24" hidden="1">{#N/A,#N/A,FALSE,"1.CRITERIA";#N/A,#N/A,FALSE,"2.IS";#N/A,#N/A,FALSE,"3.BS";#N/A,#N/A,FALSE,"4.PER PL";#N/A,#N/A,FALSE,"5.INVESTMENT";#N/A,#N/A,FALSE,"6.공문";#N/A,#N/A,FALSE,"7.netinvest"}</definedName>
    <definedName name="손익계산서조정_04_12" localSheetId="18" hidden="1">{#N/A,#N/A,FALSE,"1.CRITERIA";#N/A,#N/A,FALSE,"2.IS";#N/A,#N/A,FALSE,"3.BS";#N/A,#N/A,FALSE,"4.PER PL";#N/A,#N/A,FALSE,"5.INVESTMENT";#N/A,#N/A,FALSE,"6.공문";#N/A,#N/A,FALSE,"7.netinvest"}</definedName>
    <definedName name="손익계산서조정_04_12" localSheetId="25" hidden="1">{#N/A,#N/A,FALSE,"1.CRITERIA";#N/A,#N/A,FALSE,"2.IS";#N/A,#N/A,FALSE,"3.BS";#N/A,#N/A,FALSE,"4.PER PL";#N/A,#N/A,FALSE,"5.INVESTMENT";#N/A,#N/A,FALSE,"6.공문";#N/A,#N/A,FALSE,"7.netinvest"}</definedName>
    <definedName name="손익계산서조정_04_12" hidden="1">{#N/A,#N/A,FALSE,"1.CRITERIA";#N/A,#N/A,FALSE,"2.IS";#N/A,#N/A,FALSE,"3.BS";#N/A,#N/A,FALSE,"4.PER PL";#N/A,#N/A,FALSE,"5.INVESTMENT";#N/A,#N/A,FALSE,"6.공문";#N/A,#N/A,FALSE,"7.netinvest"}</definedName>
    <definedName name="손익변경" localSheetId="24" hidden="1">{#N/A,#N/A,FALSE,"지침";#N/A,#N/A,FALSE,"환경분석";#N/A,#N/A,FALSE,"Sheet16"}</definedName>
    <definedName name="손익변경" localSheetId="18" hidden="1">{#N/A,#N/A,FALSE,"지침";#N/A,#N/A,FALSE,"환경분석";#N/A,#N/A,FALSE,"Sheet16"}</definedName>
    <definedName name="손익변경" localSheetId="25" hidden="1">{#N/A,#N/A,FALSE,"지침";#N/A,#N/A,FALSE,"환경분석";#N/A,#N/A,FALSE,"Sheet16"}</definedName>
    <definedName name="손익변경" hidden="1">{#N/A,#N/A,FALSE,"지침";#N/A,#N/A,FALSE,"환경분석";#N/A,#N/A,FALSE,"Sheet16"}</definedName>
    <definedName name="솔" localSheetId="24" hidden="1">{#N/A,#N/A,TRUE,"대 차 대 조 표"}</definedName>
    <definedName name="솔" localSheetId="18" hidden="1">{#N/A,#N/A,TRUE,"대 차 대 조 표"}</definedName>
    <definedName name="솔" localSheetId="25" hidden="1">{#N/A,#N/A,TRUE,"대 차 대 조 표"}</definedName>
    <definedName name="솔" hidden="1">{#N/A,#N/A,TRUE,"대 차 대 조 표"}</definedName>
    <definedName name="솔_1" localSheetId="24" hidden="1">{#N/A,#N/A,TRUE,"대 차 대 조 표"}</definedName>
    <definedName name="솔_1" localSheetId="18" hidden="1">{#N/A,#N/A,TRUE,"대 차 대 조 표"}</definedName>
    <definedName name="솔_1" localSheetId="25" hidden="1">{#N/A,#N/A,TRUE,"대 차 대 조 표"}</definedName>
    <definedName name="솔_1" hidden="1">{#N/A,#N/A,TRUE,"대 차 대 조 표"}</definedName>
    <definedName name="송" localSheetId="24" hidden="1">{#N/A,#N/A,TRUE,"Y생산";#N/A,#N/A,TRUE,"Y판매";#N/A,#N/A,TRUE,"Y총물량";#N/A,#N/A,TRUE,"Y능력";#N/A,#N/A,TRUE,"YKD"}</definedName>
    <definedName name="송" localSheetId="18" hidden="1">{#N/A,#N/A,TRUE,"Y생산";#N/A,#N/A,TRUE,"Y판매";#N/A,#N/A,TRUE,"Y총물량";#N/A,#N/A,TRUE,"Y능력";#N/A,#N/A,TRUE,"YKD"}</definedName>
    <definedName name="송" localSheetId="25" hidden="1">{#N/A,#N/A,TRUE,"Y생산";#N/A,#N/A,TRUE,"Y판매";#N/A,#N/A,TRUE,"Y총물량";#N/A,#N/A,TRUE,"Y능력";#N/A,#N/A,TRUE,"YKD"}</definedName>
    <definedName name="송" hidden="1">{#N/A,#N/A,TRUE,"Y생산";#N/A,#N/A,TRUE,"Y판매";#N/A,#N/A,TRUE,"Y총물량";#N/A,#N/A,TRUE,"Y능력";#N/A,#N/A,TRUE,"YKD"}</definedName>
    <definedName name="송ㄶㄹㅇ" localSheetId="24" hidden="1">{#N/A,#N/A,FALSE,"동부"}</definedName>
    <definedName name="송ㄶㄹㅇ" localSheetId="18" hidden="1">{#N/A,#N/A,FALSE,"동부"}</definedName>
    <definedName name="송ㄶㄹㅇ" localSheetId="25" hidden="1">{#N/A,#N/A,FALSE,"동부"}</definedName>
    <definedName name="송ㄶㄹㅇ" hidden="1">{#N/A,#N/A,FALSE,"동부"}</definedName>
    <definedName name="송창기" localSheetId="24" hidden="1">{#N/A,#N/A,TRUE,"Y생산";#N/A,#N/A,TRUE,"Y판매";#N/A,#N/A,TRUE,"Y총물량";#N/A,#N/A,TRUE,"Y능력";#N/A,#N/A,TRUE,"YKD"}</definedName>
    <definedName name="송창기" localSheetId="18" hidden="1">{#N/A,#N/A,TRUE,"Y생산";#N/A,#N/A,TRUE,"Y판매";#N/A,#N/A,TRUE,"Y총물량";#N/A,#N/A,TRUE,"Y능력";#N/A,#N/A,TRUE,"YKD"}</definedName>
    <definedName name="송창기" localSheetId="25" hidden="1">{#N/A,#N/A,TRUE,"Y생산";#N/A,#N/A,TRUE,"Y판매";#N/A,#N/A,TRUE,"Y총물량";#N/A,#N/A,TRUE,"Y능력";#N/A,#N/A,TRUE,"YKD"}</definedName>
    <definedName name="송창기" hidden="1">{#N/A,#N/A,TRUE,"Y생산";#N/A,#N/A,TRUE,"Y판매";#N/A,#N/A,TRUE,"Y총물량";#N/A,#N/A,TRUE,"Y능력";#N/A,#N/A,TRUE,"YKD"}</definedName>
    <definedName name="쇼바2" localSheetId="24" hidden="1">{#N/A,#N/A,FALSE,"단축1";#N/A,#N/A,FALSE,"단축2";#N/A,#N/A,FALSE,"단축3";#N/A,#N/A,FALSE,"장축";#N/A,#N/A,FALSE,"4WD"}</definedName>
    <definedName name="쇼바2" localSheetId="18" hidden="1">{#N/A,#N/A,FALSE,"단축1";#N/A,#N/A,FALSE,"단축2";#N/A,#N/A,FALSE,"단축3";#N/A,#N/A,FALSE,"장축";#N/A,#N/A,FALSE,"4WD"}</definedName>
    <definedName name="쇼바2" localSheetId="25" hidden="1">{#N/A,#N/A,FALSE,"단축1";#N/A,#N/A,FALSE,"단축2";#N/A,#N/A,FALSE,"단축3";#N/A,#N/A,FALSE,"장축";#N/A,#N/A,FALSE,"4WD"}</definedName>
    <definedName name="쇼바2" hidden="1">{#N/A,#N/A,FALSE,"단축1";#N/A,#N/A,FALSE,"단축2";#N/A,#N/A,FALSE,"단축3";#N/A,#N/A,FALSE,"장축";#N/A,#N/A,FALSE,"4WD"}</definedName>
    <definedName name="쇼ㅑㅕ" localSheetId="24" hidden="1">{#N/A,#N/A,TRUE,"Y생산";#N/A,#N/A,TRUE,"Y판매";#N/A,#N/A,TRUE,"Y총물량";#N/A,#N/A,TRUE,"Y능력";#N/A,#N/A,TRUE,"YKD"}</definedName>
    <definedName name="쇼ㅑㅕ" localSheetId="18" hidden="1">{#N/A,#N/A,TRUE,"Y생산";#N/A,#N/A,TRUE,"Y판매";#N/A,#N/A,TRUE,"Y총물량";#N/A,#N/A,TRUE,"Y능력";#N/A,#N/A,TRUE,"YKD"}</definedName>
    <definedName name="쇼ㅑㅕ" localSheetId="25" hidden="1">{#N/A,#N/A,TRUE,"Y생산";#N/A,#N/A,TRUE,"Y판매";#N/A,#N/A,TRUE,"Y총물량";#N/A,#N/A,TRUE,"Y능력";#N/A,#N/A,TRUE,"YKD"}</definedName>
    <definedName name="쇼ㅑㅕ" hidden="1">{#N/A,#N/A,TRUE,"Y생산";#N/A,#N/A,TRUE,"Y판매";#N/A,#N/A,TRUE,"Y총물량";#N/A,#N/A,TRUE,"Y능력";#N/A,#N/A,TRUE,"YKD"}</definedName>
    <definedName name="쇽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쇽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쇽쇼"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쇽쇼" hidden="1">{#N/A,#N/A,FALSE,"손익표지";#N/A,#N/A,FALSE,"손익계산";#N/A,#N/A,FALSE,"일반관리비";#N/A,#N/A,FALSE,"영업외수익";#N/A,#N/A,FALSE,"영업외비용";#N/A,#N/A,FALSE,"매출액";#N/A,#N/A,FALSE,"요약손익";#N/A,#N/A,FALSE,"요약대차";#N/A,#N/A,FALSE,"매출채권현황";#N/A,#N/A,FALSE,"매출채권명세"}</definedName>
    <definedName name="숏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숏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숏ㄱ"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숏ㄱ" hidden="1">{#N/A,#N/A,FALSE,"손익표지";#N/A,#N/A,FALSE,"손익계산";#N/A,#N/A,FALSE,"일반관리비";#N/A,#N/A,FALSE,"영업외수익";#N/A,#N/A,FALSE,"영업외비용";#N/A,#N/A,FALSE,"매출액";#N/A,#N/A,FALSE,"요약손익";#N/A,#N/A,FALSE,"요약대차";#N/A,#N/A,FALSE,"매출채권현황";#N/A,#N/A,FALSE,"매출채권명세"}</definedName>
    <definedName name="숏ㄳ고"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숏ㄳ고"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숏ㄳ고"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숏ㄳ고" hidden="1">{#N/A,#N/A,FALSE,"손익표지";#N/A,#N/A,FALSE,"손익계산";#N/A,#N/A,FALSE,"일반관리비";#N/A,#N/A,FALSE,"영업외수익";#N/A,#N/A,FALSE,"영업외비용";#N/A,#N/A,FALSE,"매출액";#N/A,#N/A,FALSE,"요약손익";#N/A,#N/A,FALSE,"요약대차";#N/A,#N/A,FALSE,"매출채권현황";#N/A,#N/A,FALSE,"매출채권명세"}</definedName>
    <definedName name="수광비" localSheetId="24" hidden="1">{#N/A,#N/A,FALSE,"동부"}</definedName>
    <definedName name="수광비" localSheetId="18" hidden="1">{#N/A,#N/A,FALSE,"동부"}</definedName>
    <definedName name="수광비" localSheetId="25" hidden="1">{#N/A,#N/A,FALSE,"동부"}</definedName>
    <definedName name="수광비" hidden="1">{#N/A,#N/A,FALSE,"동부"}</definedName>
    <definedName name="水道光熱費" localSheetId="24" hidden="1">{"pond1",#N/A,FALSE,"Focus";"pond2",#N/A,FALSE,"Focus"}</definedName>
    <definedName name="水道光熱費" localSheetId="18" hidden="1">{"pond1",#N/A,FALSE,"Focus";"pond2",#N/A,FALSE,"Focus"}</definedName>
    <definedName name="水道光熱費" localSheetId="25" hidden="1">{"pond1",#N/A,FALSE,"Focus";"pond2",#N/A,FALSE,"Focus"}</definedName>
    <definedName name="水道光熱費" hidden="1">{"pond1",#N/A,FALSE,"Focus";"pond2",#N/A,FALSE,"Focus"}</definedName>
    <definedName name="修繕費" localSheetId="24" hidden="1">{"MonthlyRentRoll",#N/A,FALSE,"RentRoll"}</definedName>
    <definedName name="修繕費" localSheetId="18" hidden="1">{"MonthlyRentRoll",#N/A,FALSE,"RentRoll"}</definedName>
    <definedName name="修繕費" localSheetId="25" hidden="1">{"MonthlyRentRoll",#N/A,FALSE,"RentRoll"}</definedName>
    <definedName name="修繕費" hidden="1">{"MonthlyRentRoll",#N/A,FALSE,"RentRoll"}</definedName>
    <definedName name="수송" localSheetId="24">BlankMacro1</definedName>
    <definedName name="수송" localSheetId="18">BlankMacro1</definedName>
    <definedName name="수송" localSheetId="25">BlankMacro1</definedName>
    <definedName name="수송" localSheetId="16">BlankMacro1</definedName>
    <definedName name="수송">BlankMacro1</definedName>
    <definedName name="수식1">'IS(FY)'!$M$81:$DW$81</definedName>
    <definedName name="수익비용"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수익비용"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수익비용"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수익비용" hidden="1">{#N/A,#N/A,FALSE,"손익표지";#N/A,#N/A,FALSE,"손익계산";#N/A,#N/A,FALSE,"일반관리비";#N/A,#N/A,FALSE,"영업외수익";#N/A,#N/A,FALSE,"영업외비용";#N/A,#N/A,FALSE,"매출액";#N/A,#N/A,FALSE,"요약손익";#N/A,#N/A,FALSE,"요약대차";#N/A,#N/A,FALSE,"매출채권현황";#N/A,#N/A,FALSE,"매출채권명세"}</definedName>
    <definedName name="수익비용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수익비용1"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수익비용1"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수익비용1" hidden="1">{#N/A,#N/A,FALSE,"손익표지";#N/A,#N/A,FALSE,"손익계산";#N/A,#N/A,FALSE,"일반관리비";#N/A,#N/A,FALSE,"영업외수익";#N/A,#N/A,FALSE,"영업외비용";#N/A,#N/A,FALSE,"매출액";#N/A,#N/A,FALSE,"요약손익";#N/A,#N/A,FALSE,"요약대차";#N/A,#N/A,FALSE,"매출채권현황";#N/A,#N/A,FALSE,"매출채권명세"}</definedName>
    <definedName name="수익추정" localSheetId="24" hidden="1">{#N/A,#N/A,TRUE,"대 차 대 조 표"}</definedName>
    <definedName name="수익추정" localSheetId="18" hidden="1">{#N/A,#N/A,TRUE,"대 차 대 조 표"}</definedName>
    <definedName name="수익추정" localSheetId="25" hidden="1">{#N/A,#N/A,TRUE,"대 차 대 조 표"}</definedName>
    <definedName name="수익추정" hidden="1">{#N/A,#N/A,TRUE,"대 차 대 조 표"}</definedName>
    <definedName name="수입" localSheetId="24" hidden="1">{#N/A,#N/A,TRUE,"대 차 대 조 표"}</definedName>
    <definedName name="수입" localSheetId="18" hidden="1">{#N/A,#N/A,TRUE,"대 차 대 조 표"}</definedName>
    <definedName name="수입" localSheetId="25" hidden="1">{#N/A,#N/A,TRUE,"대 차 대 조 표"}</definedName>
    <definedName name="수입" hidden="1">{#N/A,#N/A,TRUE,"대 차 대 조 표"}</definedName>
    <definedName name="수입추정"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수입추정"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수입추정"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수입추정" hidden="1">{#N/A,#N/A,FALSE,"손익표지";#N/A,#N/A,FALSE,"손익계산";#N/A,#N/A,FALSE,"일반관리비";#N/A,#N/A,FALSE,"영업외수익";#N/A,#N/A,FALSE,"영업외비용";#N/A,#N/A,FALSE,"매출액";#N/A,#N/A,FALSE,"요약손익";#N/A,#N/A,FALSE,"요약대차";#N/A,#N/A,FALSE,"매출채권현황";#N/A,#N/A,FALSE,"매출채권명세"}</definedName>
    <definedName name="수정" localSheetId="24" hidden="1">{#N/A,#N/A,FALSE,"BS";#N/A,#N/A,FALSE,"PL";#N/A,#N/A,FALSE,"처분";#N/A,#N/A,FALSE,"현금";#N/A,#N/A,FALSE,"매출";#N/A,#N/A,FALSE,"원가";#N/A,#N/A,FALSE,"경영"}</definedName>
    <definedName name="수정" localSheetId="18" hidden="1">{#N/A,#N/A,FALSE,"BS";#N/A,#N/A,FALSE,"PL";#N/A,#N/A,FALSE,"처분";#N/A,#N/A,FALSE,"현금";#N/A,#N/A,FALSE,"매출";#N/A,#N/A,FALSE,"원가";#N/A,#N/A,FALSE,"경영"}</definedName>
    <definedName name="수정" localSheetId="25" hidden="1">{#N/A,#N/A,FALSE,"BS";#N/A,#N/A,FALSE,"PL";#N/A,#N/A,FALSE,"처분";#N/A,#N/A,FALSE,"현금";#N/A,#N/A,FALSE,"매출";#N/A,#N/A,FALSE,"원가";#N/A,#N/A,FALSE,"경영"}</definedName>
    <definedName name="수정" hidden="1">{#N/A,#N/A,FALSE,"BS";#N/A,#N/A,FALSE,"PL";#N/A,#N/A,FALSE,"처분";#N/A,#N/A,FALSE,"현금";#N/A,#N/A,FALSE,"매출";#N/A,#N/A,FALSE,"원가";#N/A,#N/A,FALSE,"경영"}</definedName>
    <definedName name="수정내역" localSheetId="24" hidden="1">{#N/A,#N/A,FALSE,"CAM-G7";#N/A,#N/A,FALSE,"SPL";#N/A,#N/A,FALSE,"butt-in G7";#N/A,#N/A,FALSE,"dia-in G7";#N/A,#N/A,FALSE,"추가-STA G7"}</definedName>
    <definedName name="수정내역" localSheetId="18" hidden="1">{#N/A,#N/A,FALSE,"CAM-G7";#N/A,#N/A,FALSE,"SPL";#N/A,#N/A,FALSE,"butt-in G7";#N/A,#N/A,FALSE,"dia-in G7";#N/A,#N/A,FALSE,"추가-STA G7"}</definedName>
    <definedName name="수정내역" localSheetId="25" hidden="1">{#N/A,#N/A,FALSE,"CAM-G7";#N/A,#N/A,FALSE,"SPL";#N/A,#N/A,FALSE,"butt-in G7";#N/A,#N/A,FALSE,"dia-in G7";#N/A,#N/A,FALSE,"추가-STA G7"}</definedName>
    <definedName name="수정내역" hidden="1">{#N/A,#N/A,FALSE,"CAM-G7";#N/A,#N/A,FALSE,"SPL";#N/A,#N/A,FALSE,"butt-in G7";#N/A,#N/A,FALSE,"dia-in G7";#N/A,#N/A,FALSE,"추가-STA G7"}</definedName>
    <definedName name="수정물량" localSheetId="24" hidden="1">{#N/A,#N/A,TRUE,"Y생산";#N/A,#N/A,TRUE,"Y판매";#N/A,#N/A,TRUE,"Y총물량";#N/A,#N/A,TRUE,"Y능력";#N/A,#N/A,TRUE,"YKD"}</definedName>
    <definedName name="수정물량" localSheetId="18" hidden="1">{#N/A,#N/A,TRUE,"Y생산";#N/A,#N/A,TRUE,"Y판매";#N/A,#N/A,TRUE,"Y총물량";#N/A,#N/A,TRUE,"Y능력";#N/A,#N/A,TRUE,"YKD"}</definedName>
    <definedName name="수정물량" localSheetId="25" hidden="1">{#N/A,#N/A,TRUE,"Y생산";#N/A,#N/A,TRUE,"Y판매";#N/A,#N/A,TRUE,"Y총물량";#N/A,#N/A,TRUE,"Y능력";#N/A,#N/A,TRUE,"YKD"}</definedName>
    <definedName name="수정물량" hidden="1">{#N/A,#N/A,TRUE,"Y생산";#N/A,#N/A,TRUE,"Y판매";#N/A,#N/A,TRUE,"Y총물량";#N/A,#N/A,TRUE,"Y능력";#N/A,#N/A,TRUE,"YKD"}</definedName>
    <definedName name="수정물량_1" localSheetId="24" hidden="1">{#N/A,#N/A,TRUE,"Y생산";#N/A,#N/A,TRUE,"Y판매";#N/A,#N/A,TRUE,"Y총물량";#N/A,#N/A,TRUE,"Y능력";#N/A,#N/A,TRUE,"YKD"}</definedName>
    <definedName name="수정물량_1" localSheetId="18" hidden="1">{#N/A,#N/A,TRUE,"Y생산";#N/A,#N/A,TRUE,"Y판매";#N/A,#N/A,TRUE,"Y총물량";#N/A,#N/A,TRUE,"Y능력";#N/A,#N/A,TRUE,"YKD"}</definedName>
    <definedName name="수정물량_1" localSheetId="25" hidden="1">{#N/A,#N/A,TRUE,"Y생산";#N/A,#N/A,TRUE,"Y판매";#N/A,#N/A,TRUE,"Y총물량";#N/A,#N/A,TRUE,"Y능력";#N/A,#N/A,TRUE,"YKD"}</definedName>
    <definedName name="수정물량_1" hidden="1">{#N/A,#N/A,TRUE,"Y생산";#N/A,#N/A,TRUE,"Y판매";#N/A,#N/A,TRUE,"Y총물량";#N/A,#N/A,TRUE,"Y능력";#N/A,#N/A,TRUE,"YKD"}</definedName>
    <definedName name="수정본" localSheetId="24" hidden="1">{"'PROFORMA'!$A$1:$H$120"}</definedName>
    <definedName name="수정본" localSheetId="18" hidden="1">{"'PROFORMA'!$A$1:$H$120"}</definedName>
    <definedName name="수정본" localSheetId="25" hidden="1">{"'PROFORMA'!$A$1:$H$120"}</definedName>
    <definedName name="수정본" hidden="1">{"'PROFORMA'!$A$1:$H$120"}</definedName>
    <definedName name="수정월보" localSheetId="24" hidden="1">{#N/A,#N/A,FALSE,"업체선정";#N/A,#N/A,FALSE,"업체선정sheet";#N/A,#N/A,FALSE,"업체실태";#N/A,#N/A,FALSE,"업체실태(1)";#N/A,#N/A,FALSE,"종업원현황(2)";#N/A,#N/A,FALSE,"생산품목(3)";#N/A,#N/A,FALSE,"장비보유현황";#N/A,#N/A,FALSE,"차량및약도";#N/A,#N/A,FALSE,"금형LIST"}</definedName>
    <definedName name="수정월보" localSheetId="18" hidden="1">{#N/A,#N/A,FALSE,"업체선정";#N/A,#N/A,FALSE,"업체선정sheet";#N/A,#N/A,FALSE,"업체실태";#N/A,#N/A,FALSE,"업체실태(1)";#N/A,#N/A,FALSE,"종업원현황(2)";#N/A,#N/A,FALSE,"생산품목(3)";#N/A,#N/A,FALSE,"장비보유현황";#N/A,#N/A,FALSE,"차량및약도";#N/A,#N/A,FALSE,"금형LIST"}</definedName>
    <definedName name="수정월보" localSheetId="25" hidden="1">{#N/A,#N/A,FALSE,"업체선정";#N/A,#N/A,FALSE,"업체선정sheet";#N/A,#N/A,FALSE,"업체실태";#N/A,#N/A,FALSE,"업체실태(1)";#N/A,#N/A,FALSE,"종업원현황(2)";#N/A,#N/A,FALSE,"생산품목(3)";#N/A,#N/A,FALSE,"장비보유현황";#N/A,#N/A,FALSE,"차량및약도";#N/A,#N/A,FALSE,"금형LIST"}</definedName>
    <definedName name="수정월보" hidden="1">{#N/A,#N/A,FALSE,"업체선정";#N/A,#N/A,FALSE,"업체선정sheet";#N/A,#N/A,FALSE,"업체실태";#N/A,#N/A,FALSE,"업체실태(1)";#N/A,#N/A,FALSE,"종업원현황(2)";#N/A,#N/A,FALSE,"생산품목(3)";#N/A,#N/A,FALSE,"장비보유현황";#N/A,#N/A,FALSE,"차량및약도";#N/A,#N/A,FALSE,"금형LIST"}</definedName>
    <definedName name="수주2" localSheetId="24" hidden="1">{"'7'!$B$15:$D$32"}</definedName>
    <definedName name="수주2" localSheetId="18" hidden="1">{"'7'!$B$15:$D$32"}</definedName>
    <definedName name="수주2" localSheetId="25" hidden="1">{"'7'!$B$15:$D$32"}</definedName>
    <definedName name="수주2" hidden="1">{"'7'!$B$15:$D$32"}</definedName>
    <definedName name="순공사"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비집"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비집"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비집"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비집"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환1">'IS(FY)'!$M$81:$DU$81</definedName>
    <definedName name="순환1값">'IS(FY)'!$M$83:$DU$83</definedName>
    <definedName name="순환2">'A&amp;R'!$N$23</definedName>
    <definedName name="순환2값">'A&amp;R'!$O$23</definedName>
    <definedName name="순환3">'CF(M)'!$I$113</definedName>
    <definedName name="순환3값">'CF(M)'!$H$113</definedName>
    <definedName name="순환4">'CF(M)'!$H$161</definedName>
    <definedName name="순환4값">'CF(M)'!$H$155</definedName>
    <definedName name="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시"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시" hidden="1">{#N/A,#N/A,FALSE,"손익표지";#N/A,#N/A,FALSE,"손익계산";#N/A,#N/A,FALSE,"일반관리비";#N/A,#N/A,FALSE,"영업외수익";#N/A,#N/A,FALSE,"영업외비용";#N/A,#N/A,FALSE,"매출액";#N/A,#N/A,FALSE,"요약손익";#N/A,#N/A,FALSE,"요약대차";#N/A,#N/A,FALSE,"매출채권현황";#N/A,#N/A,FALSE,"매출채권명세"}</definedName>
    <definedName name="시공사1" localSheetId="24" hidden="1">{"'9월'!$F$38"}</definedName>
    <definedName name="시공사1" localSheetId="18" hidden="1">{"'9월'!$F$38"}</definedName>
    <definedName name="시공사1" localSheetId="25" hidden="1">{"'9월'!$F$38"}</definedName>
    <definedName name="시공사1" hidden="1">{"'9월'!$F$38"}</definedName>
    <definedName name="시설공구산출내역"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시설공구산출내역"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시설공구산출내역" localSheetId="2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시설공구산출내역"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시작장비2" localSheetId="24" hidden="1">{#N/A,#N/A,TRUE,"Y생산";#N/A,#N/A,TRUE,"Y판매";#N/A,#N/A,TRUE,"Y총물량";#N/A,#N/A,TRUE,"Y능력";#N/A,#N/A,TRUE,"YKD"}</definedName>
    <definedName name="시작장비2" localSheetId="18" hidden="1">{#N/A,#N/A,TRUE,"Y생산";#N/A,#N/A,TRUE,"Y판매";#N/A,#N/A,TRUE,"Y총물량";#N/A,#N/A,TRUE,"Y능력";#N/A,#N/A,TRUE,"YKD"}</definedName>
    <definedName name="시작장비2" localSheetId="25" hidden="1">{#N/A,#N/A,TRUE,"Y생산";#N/A,#N/A,TRUE,"Y판매";#N/A,#N/A,TRUE,"Y총물량";#N/A,#N/A,TRUE,"Y능력";#N/A,#N/A,TRUE,"YKD"}</definedName>
    <definedName name="시작장비2" hidden="1">{#N/A,#N/A,TRUE,"Y생산";#N/A,#N/A,TRUE,"Y판매";#N/A,#N/A,TRUE,"Y총물량";#N/A,#N/A,TRUE,"Y능력";#N/A,#N/A,TRUE,"YKD"}</definedName>
    <definedName name="시트" localSheetId="24" hidden="1">{#N/A,#N/A,FALSE,"견적갑지";#N/A,#N/A,FALSE,"총괄표";#N/A,#N/A,FALSE,"철골공사";#N/A,#N/A,FALSE,"토목공사";#N/A,#N/A,FALSE,"판넬전기공사"}</definedName>
    <definedName name="시트" localSheetId="18" hidden="1">{#N/A,#N/A,FALSE,"견적갑지";#N/A,#N/A,FALSE,"총괄표";#N/A,#N/A,FALSE,"철골공사";#N/A,#N/A,FALSE,"토목공사";#N/A,#N/A,FALSE,"판넬전기공사"}</definedName>
    <definedName name="시트" localSheetId="25" hidden="1">{#N/A,#N/A,FALSE,"견적갑지";#N/A,#N/A,FALSE,"총괄표";#N/A,#N/A,FALSE,"철골공사";#N/A,#N/A,FALSE,"토목공사";#N/A,#N/A,FALSE,"판넬전기공사"}</definedName>
    <definedName name="시트" hidden="1">{#N/A,#N/A,FALSE,"견적갑지";#N/A,#N/A,FALSE,"총괄표";#N/A,#N/A,FALSE,"철골공사";#N/A,#N/A,FALSE,"토목공사";#N/A,#N/A,FALSE,"판넬전기공사"}</definedName>
    <definedName name="시행" localSheetId="24" hidden="1">{#N/A,#N/A,FALSE,"이태원철근"}</definedName>
    <definedName name="시행" localSheetId="18" hidden="1">{#N/A,#N/A,FALSE,"이태원철근"}</definedName>
    <definedName name="시행" localSheetId="25" hidden="1">{#N/A,#N/A,FALSE,"이태원철근"}</definedName>
    <definedName name="시행" hidden="1">{#N/A,#N/A,FALSE,"이태원철근"}</definedName>
    <definedName name="식식" localSheetId="24" hidden="1">{#N/A,#N/A,TRUE,"Y생산";#N/A,#N/A,TRUE,"Y판매";#N/A,#N/A,TRUE,"Y총물량";#N/A,#N/A,TRUE,"Y능력";#N/A,#N/A,TRUE,"YKD"}</definedName>
    <definedName name="식식" localSheetId="18" hidden="1">{#N/A,#N/A,TRUE,"Y생산";#N/A,#N/A,TRUE,"Y판매";#N/A,#N/A,TRUE,"Y총물량";#N/A,#N/A,TRUE,"Y능력";#N/A,#N/A,TRUE,"YKD"}</definedName>
    <definedName name="식식" localSheetId="25" hidden="1">{#N/A,#N/A,TRUE,"Y생산";#N/A,#N/A,TRUE,"Y판매";#N/A,#N/A,TRUE,"Y총물량";#N/A,#N/A,TRUE,"Y능력";#N/A,#N/A,TRUE,"YKD"}</definedName>
    <definedName name="식식" hidden="1">{#N/A,#N/A,TRUE,"Y생산";#N/A,#N/A,TRUE,"Y판매";#N/A,#N/A,TRUE,"Y총물량";#N/A,#N/A,TRUE,"Y능력";#N/A,#N/A,TRUE,"YKD"}</definedName>
    <definedName name="신"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신"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신"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신" hidden="1">{#N/A,#N/A,FALSE,"손익표지";#N/A,#N/A,FALSE,"손익계산";#N/A,#N/A,FALSE,"일반관리비";#N/A,#N/A,FALSE,"영업외수익";#N/A,#N/A,FALSE,"영업외비용";#N/A,#N/A,FALSE,"매출액";#N/A,#N/A,FALSE,"요약손익";#N/A,#N/A,FALSE,"요약대차";#N/A,#N/A,FALSE,"매출채권현황";#N/A,#N/A,FALSE,"매출채권명세"}</definedName>
    <definedName name="신고분장" localSheetId="24" hidden="1">{"'통신지'!$A$1:$J$41"}</definedName>
    <definedName name="신고분장" localSheetId="18" hidden="1">{"'통신지'!$A$1:$J$41"}</definedName>
    <definedName name="신고분장" localSheetId="25" hidden="1">{"'통신지'!$A$1:$J$41"}</definedName>
    <definedName name="신고분장" hidden="1">{"'통신지'!$A$1:$J$41"}</definedName>
    <definedName name="신미향사무원" localSheetId="24" hidden="1">{#N/A,#N/A,FALSE,"이력서&amp;자기소개서"}</definedName>
    <definedName name="신미향사무원" localSheetId="18" hidden="1">{#N/A,#N/A,FALSE,"이력서&amp;자기소개서"}</definedName>
    <definedName name="신미향사무원" localSheetId="25" hidden="1">{#N/A,#N/A,FALSE,"이력서&amp;자기소개서"}</definedName>
    <definedName name="신미향사무원" hidden="1">{#N/A,#N/A,FALSE,"이력서&amp;자기소개서"}</definedName>
    <definedName name="실비" localSheetId="24" hidden="1">{"'7'!$B$15:$D$32"}</definedName>
    <definedName name="실비" localSheetId="18" hidden="1">{"'7'!$B$15:$D$32"}</definedName>
    <definedName name="실비" localSheetId="25" hidden="1">{"'7'!$B$15:$D$32"}</definedName>
    <definedName name="실비" hidden="1">{"'7'!$B$15:$D$32"}</definedName>
    <definedName name="실적집계" localSheetId="24" hidden="1">{#N/A,#N/A,FALSE,"단축1";#N/A,#N/A,FALSE,"단축2";#N/A,#N/A,FALSE,"단축3";#N/A,#N/A,FALSE,"장축";#N/A,#N/A,FALSE,"4WD"}</definedName>
    <definedName name="실적집계" localSheetId="18" hidden="1">{#N/A,#N/A,FALSE,"단축1";#N/A,#N/A,FALSE,"단축2";#N/A,#N/A,FALSE,"단축3";#N/A,#N/A,FALSE,"장축";#N/A,#N/A,FALSE,"4WD"}</definedName>
    <definedName name="실적집계" localSheetId="25" hidden="1">{#N/A,#N/A,FALSE,"단축1";#N/A,#N/A,FALSE,"단축2";#N/A,#N/A,FALSE,"단축3";#N/A,#N/A,FALSE,"장축";#N/A,#N/A,FALSE,"4WD"}</definedName>
    <definedName name="실적집계" hidden="1">{#N/A,#N/A,FALSE,"단축1";#N/A,#N/A,FALSE,"단축2";#N/A,#N/A,FALSE,"단축3";#N/A,#N/A,FALSE,"장축";#N/A,#N/A,FALSE,"4WD"}</definedName>
    <definedName name="실제급여" localSheetId="24" hidden="1">{#N/A,#N/A,TRUE,"대 차 대 조 표"}</definedName>
    <definedName name="실제급여" localSheetId="18" hidden="1">{#N/A,#N/A,TRUE,"대 차 대 조 표"}</definedName>
    <definedName name="실제급여" localSheetId="25" hidden="1">{#N/A,#N/A,TRUE,"대 차 대 조 표"}</definedName>
    <definedName name="실제급여" hidden="1">{#N/A,#N/A,TRUE,"대 차 대 조 표"}</definedName>
    <definedName name="실제급여_1" localSheetId="24" hidden="1">{#N/A,#N/A,TRUE,"대 차 대 조 표"}</definedName>
    <definedName name="실제급여_1" localSheetId="18" hidden="1">{#N/A,#N/A,TRUE,"대 차 대 조 표"}</definedName>
    <definedName name="실제급여_1" localSheetId="25" hidden="1">{#N/A,#N/A,TRUE,"대 차 대 조 표"}</definedName>
    <definedName name="실제급여_1" hidden="1">{#N/A,#N/A,TRUE,"대 차 대 조 표"}</definedName>
    <definedName name="실행분석" localSheetId="24" hidden="1">{"'PROFORMA'!$A$1:$H$120"}</definedName>
    <definedName name="실행분석" localSheetId="18" hidden="1">{"'PROFORMA'!$A$1:$H$120"}</definedName>
    <definedName name="실행분석" localSheetId="25" hidden="1">{"'PROFORMA'!$A$1:$H$120"}</definedName>
    <definedName name="실행분석" hidden="1">{"'PROFORMA'!$A$1:$H$120"}</definedName>
    <definedName name="실행분석1" localSheetId="24" hidden="1">{"'PROFORMA'!$A$1:$H$120"}</definedName>
    <definedName name="실행분석1" localSheetId="18" hidden="1">{"'PROFORMA'!$A$1:$H$120"}</definedName>
    <definedName name="실행분석1" localSheetId="25" hidden="1">{"'PROFORMA'!$A$1:$H$120"}</definedName>
    <definedName name="실행분석1" hidden="1">{"'PROFORMA'!$A$1:$H$120"}</definedName>
    <definedName name="씨엔에이치" localSheetId="24" hidden="1">{#N/A,#N/A,TRUE,"대 차 대 조 표"}</definedName>
    <definedName name="씨엔에이치" localSheetId="18" hidden="1">{#N/A,#N/A,TRUE,"대 차 대 조 표"}</definedName>
    <definedName name="씨엔에이치" localSheetId="25" hidden="1">{#N/A,#N/A,TRUE,"대 차 대 조 표"}</definedName>
    <definedName name="씨엔에이치" hidden="1">{#N/A,#N/A,TRUE,"대 차 대 조 표"}</definedName>
    <definedName name="씨엔에이치_1" localSheetId="24" hidden="1">{#N/A,#N/A,TRUE,"대 차 대 조 표"}</definedName>
    <definedName name="씨엔에이치_1" localSheetId="18" hidden="1">{#N/A,#N/A,TRUE,"대 차 대 조 표"}</definedName>
    <definedName name="씨엔에이치_1" localSheetId="25" hidden="1">{#N/A,#N/A,TRUE,"대 차 대 조 표"}</definedName>
    <definedName name="씨엔에이치_1" hidden="1">{#N/A,#N/A,TRUE,"대 차 대 조 표"}</definedName>
    <definedName name="ㅇ0" localSheetId="24"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ㅇ0" localSheetId="18"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ㅇ0" localSheetId="25"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ㅇ0"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ㅇ4년" localSheetId="24" hidden="1">{"'7'!$B$15:$D$32"}</definedName>
    <definedName name="ㅇ4년" localSheetId="18" hidden="1">{"'7'!$B$15:$D$32"}</definedName>
    <definedName name="ㅇ4년" localSheetId="25" hidden="1">{"'7'!$B$15:$D$32"}</definedName>
    <definedName name="ㅇ4년" hidden="1">{"'7'!$B$15:$D$32"}</definedName>
    <definedName name="ㅇㄴ" localSheetId="24" hidden="1">{"'용역비'!$A$4:$C$8"}</definedName>
    <definedName name="ㅇㄴ" localSheetId="18" hidden="1">{"'용역비'!$A$4:$C$8"}</definedName>
    <definedName name="ㅇㄴ" localSheetId="25" hidden="1">{"'용역비'!$A$4:$C$8"}</definedName>
    <definedName name="ㅇㄴ" hidden="1">{"'용역비'!$A$4:$C$8"}</definedName>
    <definedName name="ㅇㄴㄷ" localSheetId="24" hidden="1">{#N/A,#N/A,TRUE,"대 차 대 조 표"}</definedName>
    <definedName name="ㅇㄴㄷ" localSheetId="18" hidden="1">{#N/A,#N/A,TRUE,"대 차 대 조 표"}</definedName>
    <definedName name="ㅇㄴㄷ" localSheetId="25" hidden="1">{#N/A,#N/A,TRUE,"대 차 대 조 표"}</definedName>
    <definedName name="ㅇㄴㄷ" hidden="1">{#N/A,#N/A,TRUE,"대 차 대 조 표"}</definedName>
    <definedName name="ㅇㄴㄹㄴ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ㄴㄹㄴ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ㄴㄹㄴ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ㄴㄹㄴㄹ" hidden="1">{#N/A,#N/A,FALSE,"손익표지";#N/A,#N/A,FALSE,"손익계산";#N/A,#N/A,FALSE,"일반관리비";#N/A,#N/A,FALSE,"영업외수익";#N/A,#N/A,FALSE,"영업외비용";#N/A,#N/A,FALSE,"매출액";#N/A,#N/A,FALSE,"요약손익";#N/A,#N/A,FALSE,"요약대차";#N/A,#N/A,FALSE,"매출채권현황";#N/A,#N/A,FALSE,"매출채권명세"}</definedName>
    <definedName name="ㅇㄴㄹㄷ" localSheetId="24" hidden="1">{#N/A,#N/A,TRUE,"대 차 대 조 표"}</definedName>
    <definedName name="ㅇㄴㄹㄷ" localSheetId="18" hidden="1">{#N/A,#N/A,TRUE,"대 차 대 조 표"}</definedName>
    <definedName name="ㅇㄴㄹㄷ" localSheetId="25" hidden="1">{#N/A,#N/A,TRUE,"대 차 대 조 표"}</definedName>
    <definedName name="ㅇㄴㄹㄷ" hidden="1">{#N/A,#N/A,TRUE,"대 차 대 조 표"}</definedName>
    <definedName name="ㅇㄴㄹㅇㄴ" localSheetId="24" hidden="1">{#N/A,#N/A,TRUE,"대 차 대 조 표"}</definedName>
    <definedName name="ㅇㄴㄹㅇㄴ" localSheetId="18" hidden="1">{#N/A,#N/A,TRUE,"대 차 대 조 표"}</definedName>
    <definedName name="ㅇㄴㄹㅇㄴ" localSheetId="25" hidden="1">{#N/A,#N/A,TRUE,"대 차 대 조 표"}</definedName>
    <definedName name="ㅇㄴㄹㅇㄴ" hidden="1">{#N/A,#N/A,TRUE,"대 차 대 조 표"}</definedName>
    <definedName name="ㅇㄴㄹㅇㄴ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ㄴㄹㅇㄴ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ㄴㄹㅇㄴ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ㄴㄹㅇㄴㄹ" hidden="1">{#N/A,#N/A,FALSE,"손익표지";#N/A,#N/A,FALSE,"손익계산";#N/A,#N/A,FALSE,"일반관리비";#N/A,#N/A,FALSE,"영업외수익";#N/A,#N/A,FALSE,"영업외비용";#N/A,#N/A,FALSE,"매출액";#N/A,#N/A,FALSE,"요약손익";#N/A,#N/A,FALSE,"요약대차";#N/A,#N/A,FALSE,"매출채권현황";#N/A,#N/A,FALSE,"매출채권명세"}</definedName>
    <definedName name="ㅇㄴㄹ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ㄴㄹㅇ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ㄴㄹㅇ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ㄴㄹㅇㄹ" hidden="1">{#N/A,#N/A,FALSE,"손익표지";#N/A,#N/A,FALSE,"손익계산";#N/A,#N/A,FALSE,"일반관리비";#N/A,#N/A,FALSE,"영업외수익";#N/A,#N/A,FALSE,"영업외비용";#N/A,#N/A,FALSE,"매출액";#N/A,#N/A,FALSE,"요약손익";#N/A,#N/A,FALSE,"요약대차";#N/A,#N/A,FALSE,"매출채권현황";#N/A,#N/A,FALSE,"매출채권명세"}</definedName>
    <definedName name="ㅇㄴㄹㅇㄹ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ㄴㄹㅇㄹㅇ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ㄴㄹㅇㄹㅇ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ㄴㄹㅇㄹㅇㄹ" hidden="1">{#N/A,#N/A,FALSE,"손익표지";#N/A,#N/A,FALSE,"손익계산";#N/A,#N/A,FALSE,"일반관리비";#N/A,#N/A,FALSE,"영업외수익";#N/A,#N/A,FALSE,"영업외비용";#N/A,#N/A,FALSE,"매출액";#N/A,#N/A,FALSE,"요약손익";#N/A,#N/A,FALSE,"요약대차";#N/A,#N/A,FALSE,"매출채권현황";#N/A,#N/A,FALSE,"매출채권명세"}</definedName>
    <definedName name="ㅇㄴㄻㄴㅇㄹ" localSheetId="24" hidden="1">{#N/A,#N/A,TRUE,"Y생산";#N/A,#N/A,TRUE,"Y판매";#N/A,#N/A,TRUE,"Y총물량";#N/A,#N/A,TRUE,"Y능력";#N/A,#N/A,TRUE,"YKD"}</definedName>
    <definedName name="ㅇㄴㄻㄴㅇㄹ" localSheetId="18" hidden="1">{#N/A,#N/A,TRUE,"Y생산";#N/A,#N/A,TRUE,"Y판매";#N/A,#N/A,TRUE,"Y총물량";#N/A,#N/A,TRUE,"Y능력";#N/A,#N/A,TRUE,"YKD"}</definedName>
    <definedName name="ㅇㄴㄻㄴㅇㄹ" localSheetId="25" hidden="1">{#N/A,#N/A,TRUE,"Y생산";#N/A,#N/A,TRUE,"Y판매";#N/A,#N/A,TRUE,"Y총물량";#N/A,#N/A,TRUE,"Y능력";#N/A,#N/A,TRUE,"YKD"}</definedName>
    <definedName name="ㅇㄴㄻㄴㅇㄹ" hidden="1">{#N/A,#N/A,TRUE,"Y생산";#N/A,#N/A,TRUE,"Y판매";#N/A,#N/A,TRUE,"Y총물량";#N/A,#N/A,TRUE,"Y능력";#N/A,#N/A,TRUE,"YKD"}</definedName>
    <definedName name="ㅇㄴㄻㄴㅇㄹ_1" localSheetId="24" hidden="1">{#N/A,#N/A,TRUE,"Y생산";#N/A,#N/A,TRUE,"Y판매";#N/A,#N/A,TRUE,"Y총물량";#N/A,#N/A,TRUE,"Y능력";#N/A,#N/A,TRUE,"YKD"}</definedName>
    <definedName name="ㅇㄴㄻㄴㅇㄹ_1" localSheetId="18" hidden="1">{#N/A,#N/A,TRUE,"Y생산";#N/A,#N/A,TRUE,"Y판매";#N/A,#N/A,TRUE,"Y총물량";#N/A,#N/A,TRUE,"Y능력";#N/A,#N/A,TRUE,"YKD"}</definedName>
    <definedName name="ㅇㄴㄻㄴㅇㄹ_1" localSheetId="25" hidden="1">{#N/A,#N/A,TRUE,"Y생산";#N/A,#N/A,TRUE,"Y판매";#N/A,#N/A,TRUE,"Y총물량";#N/A,#N/A,TRUE,"Y능력";#N/A,#N/A,TRUE,"YKD"}</definedName>
    <definedName name="ㅇㄴㄻㄴㅇㄹ_1" hidden="1">{#N/A,#N/A,TRUE,"Y생산";#N/A,#N/A,TRUE,"Y판매";#N/A,#N/A,TRUE,"Y총물량";#N/A,#N/A,TRUE,"Y능력";#N/A,#N/A,TRUE,"YKD"}</definedName>
    <definedName name="ㅇㄴㅀㅇㅎ"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ㄴㅀㅇㅎ"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ㄴㅀㅇㅎ"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ㄴㅀㅇㅎ" hidden="1">{#N/A,#N/A,FALSE,"손익표지";#N/A,#N/A,FALSE,"손익계산";#N/A,#N/A,FALSE,"일반관리비";#N/A,#N/A,FALSE,"영업외수익";#N/A,#N/A,FALSE,"영업외비용";#N/A,#N/A,FALSE,"매출액";#N/A,#N/A,FALSE,"요약손익";#N/A,#N/A,FALSE,"요약대차";#N/A,#N/A,FALSE,"매출채권현황";#N/A,#N/A,FALSE,"매출채권명세"}</definedName>
    <definedName name="ㅇㄴㅁ" localSheetId="24" hidden="1">{#N/A,#N/A,FALSE,"이력서&amp;자기소개서"}</definedName>
    <definedName name="ㅇㄴㅁ" localSheetId="18" hidden="1">{#N/A,#N/A,FALSE,"이력서&amp;자기소개서"}</definedName>
    <definedName name="ㅇㄴㅁ" localSheetId="25" hidden="1">{#N/A,#N/A,FALSE,"이력서&amp;자기소개서"}</definedName>
    <definedName name="ㅇㄴㅁ" hidden="1">{#N/A,#N/A,FALSE,"이력서&amp;자기소개서"}</definedName>
    <definedName name="ㅇㄴㅁㄹㄷ" localSheetId="24" hidden="1">{#N/A,#N/A,TRUE,"대 차 대 조 표"}</definedName>
    <definedName name="ㅇㄴㅁㄹㄷ" localSheetId="18" hidden="1">{#N/A,#N/A,TRUE,"대 차 대 조 표"}</definedName>
    <definedName name="ㅇㄴㅁㄹㄷ" localSheetId="25" hidden="1">{#N/A,#N/A,TRUE,"대 차 대 조 표"}</definedName>
    <definedName name="ㅇㄴㅁㄹㄷ" hidden="1">{#N/A,#N/A,TRUE,"대 차 대 조 표"}</definedName>
    <definedName name="ㅇㄴㅁㄹㅇ" localSheetId="24" hidden="1">{"AJD",#N/A,TRUE,"Summary";"AJD",#N/A,TRUE,"CFCONC-outputs";"AJD",#N/A,TRUE,"P&amp;LCONC-outputs";"AJD",#N/A,TRUE,"BSCONC-outputs";"AJD",#N/A,TRUE,"FSCONC-outputs"}</definedName>
    <definedName name="ㅇㄴㅁㄹㅇ" localSheetId="18" hidden="1">{"AJD",#N/A,TRUE,"Summary";"AJD",#N/A,TRUE,"CFCONC-outputs";"AJD",#N/A,TRUE,"P&amp;LCONC-outputs";"AJD",#N/A,TRUE,"BSCONC-outputs";"AJD",#N/A,TRUE,"FSCONC-outputs"}</definedName>
    <definedName name="ㅇㄴㅁㄹㅇ" localSheetId="25" hidden="1">{"AJD",#N/A,TRUE,"Summary";"AJD",#N/A,TRUE,"CFCONC-outputs";"AJD",#N/A,TRUE,"P&amp;LCONC-outputs";"AJD",#N/A,TRUE,"BSCONC-outputs";"AJD",#N/A,TRUE,"FSCONC-outputs"}</definedName>
    <definedName name="ㅇㄴㅁㄹㅇ" hidden="1">{"AJD",#N/A,TRUE,"Summary";"AJD",#N/A,TRUE,"CFCONC-outputs";"AJD",#N/A,TRUE,"P&amp;LCONC-outputs";"AJD",#N/A,TRUE,"BSCONC-outputs";"AJD",#N/A,TRUE,"FSCONC-outputs"}</definedName>
    <definedName name="ㅇㄴㅁㅇㄴ" localSheetId="24" hidden="1">{#N/A,#N/A,FALSE,"동부"}</definedName>
    <definedName name="ㅇㄴㅁㅇㄴ" localSheetId="18" hidden="1">{#N/A,#N/A,FALSE,"동부"}</definedName>
    <definedName name="ㅇㄴㅁㅇㄴ" localSheetId="25" hidden="1">{#N/A,#N/A,FALSE,"동부"}</definedName>
    <definedName name="ㅇㄴㅁㅇㄴ" hidden="1">{#N/A,#N/A,FALSE,"동부"}</definedName>
    <definedName name="ㅇㄴㅇㄴ" localSheetId="24" hidden="1">{#N/A,#N/A,FALSE,"CCTV"}</definedName>
    <definedName name="ㅇㄴㅇㄴ" localSheetId="18" hidden="1">{#N/A,#N/A,FALSE,"CCTV"}</definedName>
    <definedName name="ㅇㄴㅇㄴ" localSheetId="25" hidden="1">{#N/A,#N/A,FALSE,"CCTV"}</definedName>
    <definedName name="ㅇㄴㅇㄴ" hidden="1">{#N/A,#N/A,FALSE,"CCTV"}</definedName>
    <definedName name="ㅇㄴㅇㄴㄹ" localSheetId="24" hidden="1">{"'7'!$B$15:$D$32"}</definedName>
    <definedName name="ㅇㄴㅇㄴㄹ" localSheetId="18" hidden="1">{"'7'!$B$15:$D$32"}</definedName>
    <definedName name="ㅇㄴㅇㄴㄹ" localSheetId="25" hidden="1">{"'7'!$B$15:$D$32"}</definedName>
    <definedName name="ㅇㄴㅇㄴㄹ" hidden="1">{"'7'!$B$15:$D$32"}</definedName>
    <definedName name="ㅇㄴㅇㄹㄴㅇ" localSheetId="24" hidden="1">{#N/A,#N/A,TRUE,"Y생산";#N/A,#N/A,TRUE,"Y판매";#N/A,#N/A,TRUE,"Y총물량";#N/A,#N/A,TRUE,"Y능력";#N/A,#N/A,TRUE,"YKD"}</definedName>
    <definedName name="ㅇㄴㅇㄹㄴㅇ" localSheetId="18" hidden="1">{#N/A,#N/A,TRUE,"Y생산";#N/A,#N/A,TRUE,"Y판매";#N/A,#N/A,TRUE,"Y총물량";#N/A,#N/A,TRUE,"Y능력";#N/A,#N/A,TRUE,"YKD"}</definedName>
    <definedName name="ㅇㄴㅇㄹㄴㅇ" localSheetId="25" hidden="1">{#N/A,#N/A,TRUE,"Y생산";#N/A,#N/A,TRUE,"Y판매";#N/A,#N/A,TRUE,"Y총물량";#N/A,#N/A,TRUE,"Y능력";#N/A,#N/A,TRUE,"YKD"}</definedName>
    <definedName name="ㅇㄴㅇㄹㄴㅇ" hidden="1">{#N/A,#N/A,TRUE,"Y생산";#N/A,#N/A,TRUE,"Y판매";#N/A,#N/A,TRUE,"Y총물량";#N/A,#N/A,TRUE,"Y능력";#N/A,#N/A,TRUE,"YKD"}</definedName>
    <definedName name="ㅇㄴㅇㄹㄴㅇ_1" localSheetId="24" hidden="1">{#N/A,#N/A,TRUE,"Y생산";#N/A,#N/A,TRUE,"Y판매";#N/A,#N/A,TRUE,"Y총물량";#N/A,#N/A,TRUE,"Y능력";#N/A,#N/A,TRUE,"YKD"}</definedName>
    <definedName name="ㅇㄴㅇㄹㄴㅇ_1" localSheetId="18" hidden="1">{#N/A,#N/A,TRUE,"Y생산";#N/A,#N/A,TRUE,"Y판매";#N/A,#N/A,TRUE,"Y총물량";#N/A,#N/A,TRUE,"Y능력";#N/A,#N/A,TRUE,"YKD"}</definedName>
    <definedName name="ㅇㄴㅇㄹㄴㅇ_1" localSheetId="25" hidden="1">{#N/A,#N/A,TRUE,"Y생산";#N/A,#N/A,TRUE,"Y판매";#N/A,#N/A,TRUE,"Y총물량";#N/A,#N/A,TRUE,"Y능력";#N/A,#N/A,TRUE,"YKD"}</definedName>
    <definedName name="ㅇㄴㅇㄹㄴㅇ_1" hidden="1">{#N/A,#N/A,TRUE,"Y생산";#N/A,#N/A,TRUE,"Y판매";#N/A,#N/A,TRUE,"Y총물량";#N/A,#N/A,TRUE,"Y능력";#N/A,#N/A,TRUE,"YKD"}</definedName>
    <definedName name="ㅇ나ㅓㅗ랑" localSheetId="24" hidden="1">{#N/A,#N/A,FALSE,"동부"}</definedName>
    <definedName name="ㅇ나ㅓㅗ랑" localSheetId="18" hidden="1">{#N/A,#N/A,FALSE,"동부"}</definedName>
    <definedName name="ㅇ나ㅓㅗ랑" localSheetId="25" hidden="1">{#N/A,#N/A,FALSE,"동부"}</definedName>
    <definedName name="ㅇ나ㅓㅗ랑" hidden="1">{#N/A,#N/A,FALSE,"동부"}</definedName>
    <definedName name="ㅇㄷ" localSheetId="24" hidden="1">{#N/A,#N/A,FALSE,"Aging Summary";#N/A,#N/A,FALSE,"Ratio Analysis";#N/A,#N/A,FALSE,"Test 120 Day Accts";#N/A,#N/A,FALSE,"Tickmarks"}</definedName>
    <definedName name="ㅇㄷ" localSheetId="18" hidden="1">{#N/A,#N/A,FALSE,"Aging Summary";#N/A,#N/A,FALSE,"Ratio Analysis";#N/A,#N/A,FALSE,"Test 120 Day Accts";#N/A,#N/A,FALSE,"Tickmarks"}</definedName>
    <definedName name="ㅇㄷ" localSheetId="25" hidden="1">{#N/A,#N/A,FALSE,"Aging Summary";#N/A,#N/A,FALSE,"Ratio Analysis";#N/A,#N/A,FALSE,"Test 120 Day Accts";#N/A,#N/A,FALSE,"Tickmarks"}</definedName>
    <definedName name="ㅇㄷ" hidden="1">{#N/A,#N/A,FALSE,"Aging Summary";#N/A,#N/A,FALSE,"Ratio Analysis";#N/A,#N/A,FALSE,"Test 120 Day Accts";#N/A,#N/A,FALSE,"Tickmarks"}</definedName>
    <definedName name="ㅇㄹ" localSheetId="24" hidden="1">{"'9월'!$F$38"}</definedName>
    <definedName name="ㅇㄹ" localSheetId="18" hidden="1">{"'9월'!$F$38"}</definedName>
    <definedName name="ㅇㄹ" localSheetId="25" hidden="1">{"'9월'!$F$38"}</definedName>
    <definedName name="ㅇㄹ" hidden="1">{"'9월'!$F$38"}</definedName>
    <definedName name="ㅇㄹㄴ" localSheetId="24" hidden="1">{#N/A,#N/A,FALSE,"97년 투자계획 세부내역 "}</definedName>
    <definedName name="ㅇㄹㄴ" localSheetId="18" hidden="1">{#N/A,#N/A,FALSE,"97년 투자계획 세부내역 "}</definedName>
    <definedName name="ㅇㄹㄴ" localSheetId="25" hidden="1">{#N/A,#N/A,FALSE,"97년 투자계획 세부내역 "}</definedName>
    <definedName name="ㅇㄹㄴ" hidden="1">{#N/A,#N/A,FALSE,"97년 투자계획 세부내역 "}</definedName>
    <definedName name="ㅇㄹㄴㄷㄱ" localSheetId="24" hidden="1">{#N/A,#N/A,FALSE,"동부"}</definedName>
    <definedName name="ㅇㄹㄴㄷㄱ" localSheetId="18" hidden="1">{#N/A,#N/A,FALSE,"동부"}</definedName>
    <definedName name="ㅇㄹㄴㄷㄱ" localSheetId="25" hidden="1">{#N/A,#N/A,FALSE,"동부"}</definedName>
    <definedName name="ㅇㄹㄴㄷㄱ" hidden="1">{#N/A,#N/A,FALSE,"동부"}</definedName>
    <definedName name="ㅇㄹㄴㅁㅁㅁㅁㅁㅁㅁㅁㅁ" localSheetId="24" hidden="1">{#N/A,#N/A,TRUE,"대 차 대 조 표"}</definedName>
    <definedName name="ㅇㄹㄴㅁㅁㅁㅁㅁㅁㅁㅁㅁ" localSheetId="18" hidden="1">{#N/A,#N/A,TRUE,"대 차 대 조 표"}</definedName>
    <definedName name="ㅇㄹㄴㅁㅁㅁㅁㅁㅁㅁㅁㅁ" localSheetId="25" hidden="1">{#N/A,#N/A,TRUE,"대 차 대 조 표"}</definedName>
    <definedName name="ㅇㄹㄴㅁㅁㅁㅁㅁㅁㅁㅁㅁ" hidden="1">{#N/A,#N/A,TRUE,"대 차 대 조 표"}</definedName>
    <definedName name="ㅇㄹㄴㅇㄹ" localSheetId="24" hidden="1">{#N/A,#N/A,TRUE,"Y생산";#N/A,#N/A,TRUE,"Y판매";#N/A,#N/A,TRUE,"Y총물량";#N/A,#N/A,TRUE,"Y능력";#N/A,#N/A,TRUE,"YKD"}</definedName>
    <definedName name="ㅇㄹㄴㅇㄹ" localSheetId="18" hidden="1">{#N/A,#N/A,TRUE,"Y생산";#N/A,#N/A,TRUE,"Y판매";#N/A,#N/A,TRUE,"Y총물량";#N/A,#N/A,TRUE,"Y능력";#N/A,#N/A,TRUE,"YKD"}</definedName>
    <definedName name="ㅇㄹㄴㅇㄹ" localSheetId="25" hidden="1">{#N/A,#N/A,TRUE,"Y생산";#N/A,#N/A,TRUE,"Y판매";#N/A,#N/A,TRUE,"Y총물량";#N/A,#N/A,TRUE,"Y능력";#N/A,#N/A,TRUE,"YKD"}</definedName>
    <definedName name="ㅇㄹㄴㅇㄹ" hidden="1">{#N/A,#N/A,TRUE,"Y생산";#N/A,#N/A,TRUE,"Y판매";#N/A,#N/A,TRUE,"Y총물량";#N/A,#N/A,TRUE,"Y능력";#N/A,#N/A,TRUE,"YKD"}</definedName>
    <definedName name="ㅇㄹㄴㅇㄹ_1" localSheetId="24" hidden="1">{#N/A,#N/A,TRUE,"Y생산";#N/A,#N/A,TRUE,"Y판매";#N/A,#N/A,TRUE,"Y총물량";#N/A,#N/A,TRUE,"Y능력";#N/A,#N/A,TRUE,"YKD"}</definedName>
    <definedName name="ㅇㄹㄴㅇㄹ_1" localSheetId="18" hidden="1">{#N/A,#N/A,TRUE,"Y생산";#N/A,#N/A,TRUE,"Y판매";#N/A,#N/A,TRUE,"Y총물량";#N/A,#N/A,TRUE,"Y능력";#N/A,#N/A,TRUE,"YKD"}</definedName>
    <definedName name="ㅇㄹㄴㅇㄹ_1" localSheetId="25" hidden="1">{#N/A,#N/A,TRUE,"Y생산";#N/A,#N/A,TRUE,"Y판매";#N/A,#N/A,TRUE,"Y총물량";#N/A,#N/A,TRUE,"Y능력";#N/A,#N/A,TRUE,"YKD"}</definedName>
    <definedName name="ㅇㄹㄴㅇㄹ_1" hidden="1">{#N/A,#N/A,TRUE,"Y생산";#N/A,#N/A,TRUE,"Y판매";#N/A,#N/A,TRUE,"Y총물량";#N/A,#N/A,TRUE,"Y능력";#N/A,#N/A,TRUE,"YKD"}</definedName>
    <definedName name="ㅇㄹㄹ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ㄹ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ㄹ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ㄹㄹㄹ" hidden="1">{#N/A,#N/A,FALSE,"손익표지";#N/A,#N/A,FALSE,"손익계산";#N/A,#N/A,FALSE,"일반관리비";#N/A,#N/A,FALSE,"영업외수익";#N/A,#N/A,FALSE,"영업외비용";#N/A,#N/A,FALSE,"매출액";#N/A,#N/A,FALSE,"요약손익";#N/A,#N/A,FALSE,"요약대차";#N/A,#N/A,FALSE,"매출채권현황";#N/A,#N/A,FALSE,"매출채권명세"}</definedName>
    <definedName name="ㅇㄹㄹㅇㄹ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ㄹㅇㄹ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ㄹㅇㄹㅇ"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ㄹㄹㅇㄹㅇ" hidden="1">{#N/A,#N/A,FALSE,"손익표지";#N/A,#N/A,FALSE,"손익계산";#N/A,#N/A,FALSE,"일반관리비";#N/A,#N/A,FALSE,"영업외수익";#N/A,#N/A,FALSE,"영업외비용";#N/A,#N/A,FALSE,"매출액";#N/A,#N/A,FALSE,"요약손익";#N/A,#N/A,FALSE,"요약대차";#N/A,#N/A,FALSE,"매출채권현황";#N/A,#N/A,FALSE,"매출채권명세"}</definedName>
    <definedName name="ㅇㄹㅇ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ㅇ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ㅇㄴ"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ㄹㅇㄴ" hidden="1">{#N/A,#N/A,FALSE,"손익표지";#N/A,#N/A,FALSE,"손익계산";#N/A,#N/A,FALSE,"일반관리비";#N/A,#N/A,FALSE,"영업외수익";#N/A,#N/A,FALSE,"영업외비용";#N/A,#N/A,FALSE,"매출액";#N/A,#N/A,FALSE,"요약손익";#N/A,#N/A,FALSE,"요약대차";#N/A,#N/A,FALSE,"매출채권현황";#N/A,#N/A,FALSE,"매출채권명세"}</definedName>
    <definedName name="ㅇㄹㅇㄴㄹ" localSheetId="24" hidden="1">{#N/A,#N/A,TRUE,"Y생산";#N/A,#N/A,TRUE,"Y판매";#N/A,#N/A,TRUE,"Y총물량";#N/A,#N/A,TRUE,"Y능력";#N/A,#N/A,TRUE,"YKD"}</definedName>
    <definedName name="ㅇㄹㅇㄴㄹ" localSheetId="18" hidden="1">{#N/A,#N/A,TRUE,"Y생산";#N/A,#N/A,TRUE,"Y판매";#N/A,#N/A,TRUE,"Y총물량";#N/A,#N/A,TRUE,"Y능력";#N/A,#N/A,TRUE,"YKD"}</definedName>
    <definedName name="ㅇㄹㅇㄴㄹ" localSheetId="25" hidden="1">{#N/A,#N/A,TRUE,"Y생산";#N/A,#N/A,TRUE,"Y판매";#N/A,#N/A,TRUE,"Y총물량";#N/A,#N/A,TRUE,"Y능력";#N/A,#N/A,TRUE,"YKD"}</definedName>
    <definedName name="ㅇㄹㅇㄴㄹ" hidden="1">{#N/A,#N/A,TRUE,"Y생산";#N/A,#N/A,TRUE,"Y판매";#N/A,#N/A,TRUE,"Y총물량";#N/A,#N/A,TRUE,"Y능력";#N/A,#N/A,TRUE,"YKD"}</definedName>
    <definedName name="ㅇㄹㅇㄴㄹ_1" localSheetId="24" hidden="1">{#N/A,#N/A,TRUE,"Y생산";#N/A,#N/A,TRUE,"Y판매";#N/A,#N/A,TRUE,"Y총물량";#N/A,#N/A,TRUE,"Y능력";#N/A,#N/A,TRUE,"YKD"}</definedName>
    <definedName name="ㅇㄹㅇㄴㄹ_1" localSheetId="18" hidden="1">{#N/A,#N/A,TRUE,"Y생산";#N/A,#N/A,TRUE,"Y판매";#N/A,#N/A,TRUE,"Y총물량";#N/A,#N/A,TRUE,"Y능력";#N/A,#N/A,TRUE,"YKD"}</definedName>
    <definedName name="ㅇㄹㅇㄴㄹ_1" localSheetId="25" hidden="1">{#N/A,#N/A,TRUE,"Y생산";#N/A,#N/A,TRUE,"Y판매";#N/A,#N/A,TRUE,"Y총물량";#N/A,#N/A,TRUE,"Y능력";#N/A,#N/A,TRUE,"YKD"}</definedName>
    <definedName name="ㅇㄹㅇㄴㄹ_1" hidden="1">{#N/A,#N/A,TRUE,"Y생산";#N/A,#N/A,TRUE,"Y판매";#N/A,#N/A,TRUE,"Y총물량";#N/A,#N/A,TRUE,"Y능력";#N/A,#N/A,TRUE,"YKD"}</definedName>
    <definedName name="ㅇㄹㅇㄴ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ㅇㄴ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ㅇㄴㅇ"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ㄹㅇㄴㅇ" hidden="1">{#N/A,#N/A,FALSE,"손익표지";#N/A,#N/A,FALSE,"손익계산";#N/A,#N/A,FALSE,"일반관리비";#N/A,#N/A,FALSE,"영업외수익";#N/A,#N/A,FALSE,"영업외비용";#N/A,#N/A,FALSE,"매출액";#N/A,#N/A,FALSE,"요약손익";#N/A,#N/A,FALSE,"요약대차";#N/A,#N/A,FALSE,"매출채권현황";#N/A,#N/A,FALSE,"매출채권명세"}</definedName>
    <definedName name="ㅇㄹㅇㄹ" localSheetId="24" hidden="1">{#N/A,#N/A,TRUE,"Y생산";#N/A,#N/A,TRUE,"Y판매";#N/A,#N/A,TRUE,"Y총물량";#N/A,#N/A,TRUE,"Y능력";#N/A,#N/A,TRUE,"YKD"}</definedName>
    <definedName name="ㅇㄹㅇㄹ" localSheetId="18" hidden="1">{#N/A,#N/A,TRUE,"Y생산";#N/A,#N/A,TRUE,"Y판매";#N/A,#N/A,TRUE,"Y총물량";#N/A,#N/A,TRUE,"Y능력";#N/A,#N/A,TRUE,"YKD"}</definedName>
    <definedName name="ㅇㄹㅇㄹ" localSheetId="25" hidden="1">{#N/A,#N/A,TRUE,"Y생산";#N/A,#N/A,TRUE,"Y판매";#N/A,#N/A,TRUE,"Y총물량";#N/A,#N/A,TRUE,"Y능력";#N/A,#N/A,TRUE,"YKD"}</definedName>
    <definedName name="ㅇㄹㅇㄹ" hidden="1">{#N/A,#N/A,TRUE,"Y생산";#N/A,#N/A,TRUE,"Y판매";#N/A,#N/A,TRUE,"Y총물량";#N/A,#N/A,TRUE,"Y능력";#N/A,#N/A,TRUE,"YKD"}</definedName>
    <definedName name="ㅇㄹㅇㄹ_1" localSheetId="24" hidden="1">{#N/A,#N/A,TRUE,"Y생산";#N/A,#N/A,TRUE,"Y판매";#N/A,#N/A,TRUE,"Y총물량";#N/A,#N/A,TRUE,"Y능력";#N/A,#N/A,TRUE,"YKD"}</definedName>
    <definedName name="ㅇㄹㅇㄹ_1" localSheetId="18" hidden="1">{#N/A,#N/A,TRUE,"Y생산";#N/A,#N/A,TRUE,"Y판매";#N/A,#N/A,TRUE,"Y총물량";#N/A,#N/A,TRUE,"Y능력";#N/A,#N/A,TRUE,"YKD"}</definedName>
    <definedName name="ㅇㄹㅇㄹ_1" localSheetId="25" hidden="1">{#N/A,#N/A,TRUE,"Y생산";#N/A,#N/A,TRUE,"Y판매";#N/A,#N/A,TRUE,"Y총물량";#N/A,#N/A,TRUE,"Y능력";#N/A,#N/A,TRUE,"YKD"}</definedName>
    <definedName name="ㅇㄹㅇㄹ_1" hidden="1">{#N/A,#N/A,TRUE,"Y생산";#N/A,#N/A,TRUE,"Y판매";#N/A,#N/A,TRUE,"Y총물량";#N/A,#N/A,TRUE,"Y능력";#N/A,#N/A,TRUE,"YKD"}</definedName>
    <definedName name="ㅇㄹㅇㄹ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ㅇㄹ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ㅇㄹㅇ"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ㄹㅇㄹㅇ" hidden="1">{#N/A,#N/A,FALSE,"손익표지";#N/A,#N/A,FALSE,"손익계산";#N/A,#N/A,FALSE,"일반관리비";#N/A,#N/A,FALSE,"영업외수익";#N/A,#N/A,FALSE,"영업외비용";#N/A,#N/A,FALSE,"매출액";#N/A,#N/A,FALSE,"요약손익";#N/A,#N/A,FALSE,"요약대차";#N/A,#N/A,FALSE,"매출채권현황";#N/A,#N/A,FALSE,"매출채권명세"}</definedName>
    <definedName name="ㅇㄹㅇㄹ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ㅇㄹㅇ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ㅇㄹㅇ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ㄹㅇㄹㅇㄹ" hidden="1">{#N/A,#N/A,FALSE,"손익표지";#N/A,#N/A,FALSE,"손익계산";#N/A,#N/A,FALSE,"일반관리비";#N/A,#N/A,FALSE,"영업외수익";#N/A,#N/A,FALSE,"영업외비용";#N/A,#N/A,FALSE,"매출액";#N/A,#N/A,FALSE,"요약손익";#N/A,#N/A,FALSE,"요약대차";#N/A,#N/A,FALSE,"매출채권현황";#N/A,#N/A,FALSE,"매출채권명세"}</definedName>
    <definedName name="ㅇㄹㅇㄹㅇㄹㅇㄹㅇㄹㅇㄹㅇㄹㅇㄹ" localSheetId="24" hidden="1">{#N/A,#N/A,FALSE,"이력서&amp;자기소개서"}</definedName>
    <definedName name="ㅇㄹㅇㄹㅇㄹㅇㄹㅇㄹㅇㄹㅇㄹㅇㄹ" localSheetId="18" hidden="1">{#N/A,#N/A,FALSE,"이력서&amp;자기소개서"}</definedName>
    <definedName name="ㅇㄹㅇㄹㅇㄹㅇㄹㅇㄹㅇㄹㅇㄹㅇㄹ" localSheetId="25" hidden="1">{#N/A,#N/A,FALSE,"이력서&amp;자기소개서"}</definedName>
    <definedName name="ㅇㄹㅇㄹㅇㄹㅇㄹㅇㄹㅇㄹㅇㄹㅇㄹ" hidden="1">{#N/A,#N/A,FALSE,"이력서&amp;자기소개서"}</definedName>
    <definedName name="ㅇㄹ홍ㄹ호"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홍ㄹ호"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홍ㄹ호"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ㄹ홍ㄹ호" hidden="1">{#N/A,#N/A,FALSE,"손익표지";#N/A,#N/A,FALSE,"손익계산";#N/A,#N/A,FALSE,"일반관리비";#N/A,#N/A,FALSE,"영업외수익";#N/A,#N/A,FALSE,"영업외비용";#N/A,#N/A,FALSE,"매출액";#N/A,#N/A,FALSE,"요약손익";#N/A,#N/A,FALSE,"요약대차";#N/A,#N/A,FALSE,"매출채권현황";#N/A,#N/A,FALSE,"매출채권명세"}</definedName>
    <definedName name="ㅇㄹ홍ㅎ"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홍ㅎ"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홍ㅎ"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ㄹ홍ㅎ" hidden="1">{#N/A,#N/A,FALSE,"손익표지";#N/A,#N/A,FALSE,"손익계산";#N/A,#N/A,FALSE,"일반관리비";#N/A,#N/A,FALSE,"영업외수익";#N/A,#N/A,FALSE,"영업외비용";#N/A,#N/A,FALSE,"매출액";#N/A,#N/A,FALSE,"요약손익";#N/A,#N/A,FALSE,"요약대차";#N/A,#N/A,FALSE,"매출채권현황";#N/A,#N/A,FALSE,"매출채권명세"}</definedName>
    <definedName name="ㅇ라ㅓㅏㅗㄹ"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ㅇ라ㅓㅏㅗㄹ"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ㅇ라ㅓㅏㅗㄹ"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ㅇ라ㅓㅏㅗㄹ"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ㅇㄺ"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ㄺ"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ㄺ"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ㄺ" hidden="1">{#N/A,#N/A,FALSE,"손익표지";#N/A,#N/A,FALSE,"손익계산";#N/A,#N/A,FALSE,"일반관리비";#N/A,#N/A,FALSE,"영업외수익";#N/A,#N/A,FALSE,"영업외비용";#N/A,#N/A,FALSE,"매출액";#N/A,#N/A,FALSE,"요약손익";#N/A,#N/A,FALSE,"요약대차";#N/A,#N/A,FALSE,"매출채권현황";#N/A,#N/A,FALSE,"매출채권명세"}</definedName>
    <definedName name="ㅇㄺ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ㄺㅅ"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ㄺㅅ"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ㄺㅅ" hidden="1">{#N/A,#N/A,FALSE,"손익표지";#N/A,#N/A,FALSE,"손익계산";#N/A,#N/A,FALSE,"일반관리비";#N/A,#N/A,FALSE,"영업외수익";#N/A,#N/A,FALSE,"영업외비용";#N/A,#N/A,FALSE,"매출액";#N/A,#N/A,FALSE,"요약손익";#N/A,#N/A,FALSE,"요약대차";#N/A,#N/A,FALSE,"매출채권현황";#N/A,#N/A,FALSE,"매출채권명세"}</definedName>
    <definedName name="ㅇㄻ"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ㅇㄻ"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ㅇㄻ" localSheetId="25"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ㅇㄻ"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ㅇㄻㄱㄷ" localSheetId="24" hidden="1">{#N/A,#N/A,FALSE,"동부"}</definedName>
    <definedName name="ㅇㄻㄱㄷ" localSheetId="18" hidden="1">{#N/A,#N/A,FALSE,"동부"}</definedName>
    <definedName name="ㅇㄻㄱㄷ" localSheetId="25" hidden="1">{#N/A,#N/A,FALSE,"동부"}</definedName>
    <definedName name="ㅇㄻㄱㄷ" hidden="1">{#N/A,#N/A,FALSE,"동부"}</definedName>
    <definedName name="ㅇㄻ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ㄻ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ㄻ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ㄻㄹ" hidden="1">{#N/A,#N/A,FALSE,"손익표지";#N/A,#N/A,FALSE,"손익계산";#N/A,#N/A,FALSE,"일반관리비";#N/A,#N/A,FALSE,"영업외수익";#N/A,#N/A,FALSE,"영업외비용";#N/A,#N/A,FALSE,"매출액";#N/A,#N/A,FALSE,"요약손익";#N/A,#N/A,FALSE,"요약대차";#N/A,#N/A,FALSE,"매출채권현황";#N/A,#N/A,FALSE,"매출채권명세"}</definedName>
    <definedName name="ㅇㅀ" localSheetId="24" hidden="1">{#N/A,#N/A,FALSE,"단축1";#N/A,#N/A,FALSE,"단축2";#N/A,#N/A,FALSE,"단축3";#N/A,#N/A,FALSE,"장축";#N/A,#N/A,FALSE,"4WD"}</definedName>
    <definedName name="ㅇㅀ" localSheetId="18" hidden="1">{#N/A,#N/A,FALSE,"단축1";#N/A,#N/A,FALSE,"단축2";#N/A,#N/A,FALSE,"단축3";#N/A,#N/A,FALSE,"장축";#N/A,#N/A,FALSE,"4WD"}</definedName>
    <definedName name="ㅇㅀ" localSheetId="25" hidden="1">{#N/A,#N/A,FALSE,"단축1";#N/A,#N/A,FALSE,"단축2";#N/A,#N/A,FALSE,"단축3";#N/A,#N/A,FALSE,"장축";#N/A,#N/A,FALSE,"4WD"}</definedName>
    <definedName name="ㅇㅀ" hidden="1">{#N/A,#N/A,FALSE,"단축1";#N/A,#N/A,FALSE,"단축2";#N/A,#N/A,FALSE,"단축3";#N/A,#N/A,FALSE,"장축";#N/A,#N/A,FALSE,"4WD"}</definedName>
    <definedName name="ㅇㅀㄹㅇㅎ"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ㅀㄹㅇㅎ"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ㅀㄹㅇㅎ"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ㅀㄹㅇㅎ" hidden="1">{#N/A,#N/A,FALSE,"손익표지";#N/A,#N/A,FALSE,"손익계산";#N/A,#N/A,FALSE,"일반관리비";#N/A,#N/A,FALSE,"영업외수익";#N/A,#N/A,FALSE,"영업외비용";#N/A,#N/A,FALSE,"매출액";#N/A,#N/A,FALSE,"요약손익";#N/A,#N/A,FALSE,"요약대차";#N/A,#N/A,FALSE,"매출채권현황";#N/A,#N/A,FALSE,"매출채권명세"}</definedName>
    <definedName name="ㅇㅀㅇ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ㅀㅇ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ㅀㅇㅀ"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ㅀㅇㅀ" hidden="1">{#N/A,#N/A,FALSE,"손익표지";#N/A,#N/A,FALSE,"손익계산";#N/A,#N/A,FALSE,"일반관리비";#N/A,#N/A,FALSE,"영업외수익";#N/A,#N/A,FALSE,"영업외비용";#N/A,#N/A,FALSE,"매출액";#N/A,#N/A,FALSE,"요약손익";#N/A,#N/A,FALSE,"요약대차";#N/A,#N/A,FALSE,"매출채권현황";#N/A,#N/A,FALSE,"매출채권명세"}</definedName>
    <definedName name="ㅇㅁ" localSheetId="24" hidden="1">{"'용역비'!$A$4:$C$8"}</definedName>
    <definedName name="ㅇㅁ" localSheetId="18" hidden="1">{"'용역비'!$A$4:$C$8"}</definedName>
    <definedName name="ㅇㅁ" localSheetId="25" hidden="1">{"'용역비'!$A$4:$C$8"}</definedName>
    <definedName name="ㅇㅁ" hidden="1">{"'용역비'!$A$4:$C$8"}</definedName>
    <definedName name="ㅇㅁㄴㄻㄴ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ㅁㄴㄻㄴ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ㅁㄴㄻㄴㅇ"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ㅁㄴㄻㄴㅇ" hidden="1">{#N/A,#N/A,FALSE,"손익표지";#N/A,#N/A,FALSE,"손익계산";#N/A,#N/A,FALSE,"일반관리비";#N/A,#N/A,FALSE,"영업외수익";#N/A,#N/A,FALSE,"영업외비용";#N/A,#N/A,FALSE,"매출액";#N/A,#N/A,FALSE,"요약손익";#N/A,#N/A,FALSE,"요약대차";#N/A,#N/A,FALSE,"매출채권현황";#N/A,#N/A,FALSE,"매출채권명세"}</definedName>
    <definedName name="ㅇㅁㄻㄴ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ㅁㄻㄴ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ㅁㄻㄴ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ㅁㄻㄴㄹ" hidden="1">{#N/A,#N/A,FALSE,"손익표지";#N/A,#N/A,FALSE,"손익계산";#N/A,#N/A,FALSE,"일반관리비";#N/A,#N/A,FALSE,"영업외수익";#N/A,#N/A,FALSE,"영업외비용";#N/A,#N/A,FALSE,"매출액";#N/A,#N/A,FALSE,"요약손익";#N/A,#N/A,FALSE,"요약대차";#N/A,#N/A,FALSE,"매출채권현황";#N/A,#N/A,FALSE,"매출채권명세"}</definedName>
    <definedName name="ㅇㅇ" localSheetId="24" hidden="1">{#N/A,#N/A,TRUE,"대 차 대 조 표"}</definedName>
    <definedName name="ㅇㅇ" localSheetId="18" hidden="1">{#N/A,#N/A,TRUE,"대 차 대 조 표"}</definedName>
    <definedName name="ㅇㅇ" localSheetId="25" hidden="1">{#N/A,#N/A,TRUE,"대 차 대 조 표"}</definedName>
    <definedName name="ㅇㅇ" hidden="1">{#N/A,#N/A,TRUE,"대 차 대 조 표"}</definedName>
    <definedName name="ㅇㅇㄴ" localSheetId="24">BlankMacro1</definedName>
    <definedName name="ㅇㅇㄴ" localSheetId="18">BlankMacro1</definedName>
    <definedName name="ㅇㅇㄴ" localSheetId="25">BlankMacro1</definedName>
    <definedName name="ㅇㅇㄴ" localSheetId="16">BlankMacro1</definedName>
    <definedName name="ㅇㅇㄴ">BlankMacro1</definedName>
    <definedName name="ㅇㅇㄹㅇㄹㅇㄹㄴ" localSheetId="24" hidden="1">{"'7'!$B$15:$D$32"}</definedName>
    <definedName name="ㅇㅇㄹㅇㄹㅇㄹㄴ" localSheetId="18" hidden="1">{"'7'!$B$15:$D$32"}</definedName>
    <definedName name="ㅇㅇㄹㅇㄹㅇㄹㄴ" localSheetId="25" hidden="1">{"'7'!$B$15:$D$32"}</definedName>
    <definedName name="ㅇㅇㄹㅇㄹㅇㄹㄴ" hidden="1">{"'7'!$B$15:$D$32"}</definedName>
    <definedName name="ㅇㅇㅇ" localSheetId="24" hidden="1">{#N/A,#N/A,FALSE,"지침";#N/A,#N/A,FALSE,"환경분석";#N/A,#N/A,FALSE,"Sheet16"}</definedName>
    <definedName name="ㅇㅇㅇ" localSheetId="18" hidden="1">{#N/A,#N/A,FALSE,"지침";#N/A,#N/A,FALSE,"환경분석";#N/A,#N/A,FALSE,"Sheet16"}</definedName>
    <definedName name="ㅇㅇㅇ" localSheetId="25" hidden="1">{#N/A,#N/A,FALSE,"지침";#N/A,#N/A,FALSE,"환경분석";#N/A,#N/A,FALSE,"Sheet16"}</definedName>
    <definedName name="ㅇㅇㅇ" hidden="1">{#N/A,#N/A,FALSE,"지침";#N/A,#N/A,FALSE,"환경분석";#N/A,#N/A,FALSE,"Sheet16"}</definedName>
    <definedName name="ㅇㅇㅇㅇ" localSheetId="24" hidden="1">{#N/A,#N/A,FALSE,"지침";#N/A,#N/A,FALSE,"환경분석";#N/A,#N/A,FALSE,"Sheet16"}</definedName>
    <definedName name="ㅇㅇㅇㅇ" localSheetId="18" hidden="1">{#N/A,#N/A,FALSE,"지침";#N/A,#N/A,FALSE,"환경분석";#N/A,#N/A,FALSE,"Sheet16"}</definedName>
    <definedName name="ㅇㅇㅇㅇ" localSheetId="25" hidden="1">{#N/A,#N/A,FALSE,"지침";#N/A,#N/A,FALSE,"환경분석";#N/A,#N/A,FALSE,"Sheet16"}</definedName>
    <definedName name="ㅇㅇㅇㅇ" hidden="1">{#N/A,#N/A,FALSE,"지침";#N/A,#N/A,FALSE,"환경분석";#N/A,#N/A,FALSE,"Sheet16"}</definedName>
    <definedName name="ㅇㅇㅇㅇㅇ" localSheetId="24" hidden="1">{#N/A,#N/A,TRUE,"대 차 대 조 표"}</definedName>
    <definedName name="ㅇㅇㅇㅇㅇ" localSheetId="18" hidden="1">{#N/A,#N/A,TRUE,"대 차 대 조 표"}</definedName>
    <definedName name="ㅇㅇㅇㅇㅇ" localSheetId="25" hidden="1">{#N/A,#N/A,TRUE,"대 차 대 조 표"}</definedName>
    <definedName name="ㅇㅇㅇㅇㅇ" hidden="1">{#N/A,#N/A,TRUE,"대 차 대 조 표"}</definedName>
    <definedName name="ㅇㅇㅇㅇㅇ_1" localSheetId="24" hidden="1">{#N/A,#N/A,TRUE,"대 차 대 조 표"}</definedName>
    <definedName name="ㅇㅇㅇㅇㅇ_1" localSheetId="18" hidden="1">{#N/A,#N/A,TRUE,"대 차 대 조 표"}</definedName>
    <definedName name="ㅇㅇㅇㅇㅇ_1" localSheetId="25" hidden="1">{#N/A,#N/A,TRUE,"대 차 대 조 표"}</definedName>
    <definedName name="ㅇㅇㅇㅇㅇ_1" hidden="1">{#N/A,#N/A,TRUE,"대 차 대 조 표"}</definedName>
    <definedName name="ㅇㅇㅇㅇㅇㅇ" localSheetId="24" hidden="1">{#N/A,#N/A,FALSE,"지침";#N/A,#N/A,FALSE,"환경분석";#N/A,#N/A,FALSE,"Sheet16"}</definedName>
    <definedName name="ㅇㅇㅇㅇㅇㅇ" localSheetId="18" hidden="1">{#N/A,#N/A,FALSE,"지침";#N/A,#N/A,FALSE,"환경분석";#N/A,#N/A,FALSE,"Sheet16"}</definedName>
    <definedName name="ㅇㅇㅇㅇㅇㅇ" localSheetId="25" hidden="1">{#N/A,#N/A,FALSE,"지침";#N/A,#N/A,FALSE,"환경분석";#N/A,#N/A,FALSE,"Sheet16"}</definedName>
    <definedName name="ㅇㅇㅇㅇㅇㅇ" hidden="1">{#N/A,#N/A,FALSE,"지침";#N/A,#N/A,FALSE,"환경분석";#N/A,#N/A,FALSE,"Sheet16"}</definedName>
    <definedName name="ㅇㅇㅇㅇㅇㅇㅇㅇㅇ" localSheetId="24" hidden="1">{"'7'!$B$15:$D$32"}</definedName>
    <definedName name="ㅇㅇㅇㅇㅇㅇㅇㅇㅇ" localSheetId="18" hidden="1">{"'7'!$B$15:$D$32"}</definedName>
    <definedName name="ㅇㅇㅇㅇㅇㅇㅇㅇㅇ" localSheetId="25" hidden="1">{"'7'!$B$15:$D$32"}</definedName>
    <definedName name="ㅇㅇㅇㅇㅇㅇㅇㅇㅇ" hidden="1">{"'7'!$B$15:$D$32"}</definedName>
    <definedName name="ㅇㅇㅇㅇㅇㅇㅇㅇㅇㅇㅇ" localSheetId="24" hidden="1">{#N/A,#N/A,TRUE,"Y생산";#N/A,#N/A,TRUE,"Y판매";#N/A,#N/A,TRUE,"Y총물량";#N/A,#N/A,TRUE,"Y능력";#N/A,#N/A,TRUE,"YKD"}</definedName>
    <definedName name="ㅇㅇㅇㅇㅇㅇㅇㅇㅇㅇㅇ" localSheetId="18" hidden="1">{#N/A,#N/A,TRUE,"Y생산";#N/A,#N/A,TRUE,"Y판매";#N/A,#N/A,TRUE,"Y총물량";#N/A,#N/A,TRUE,"Y능력";#N/A,#N/A,TRUE,"YKD"}</definedName>
    <definedName name="ㅇㅇㅇㅇㅇㅇㅇㅇㅇㅇㅇ" localSheetId="25" hidden="1">{#N/A,#N/A,TRUE,"Y생산";#N/A,#N/A,TRUE,"Y판매";#N/A,#N/A,TRUE,"Y총물량";#N/A,#N/A,TRUE,"Y능력";#N/A,#N/A,TRUE,"YKD"}</definedName>
    <definedName name="ㅇㅇㅇㅇㅇㅇㅇㅇㅇㅇㅇ" hidden="1">{#N/A,#N/A,TRUE,"Y생산";#N/A,#N/A,TRUE,"Y판매";#N/A,#N/A,TRUE,"Y총물량";#N/A,#N/A,TRUE,"Y능력";#N/A,#N/A,TRUE,"YKD"}</definedName>
    <definedName name="ㅇㅇㅇㅇㅇㅇㅇㅇㅇㅇㅇ_1" localSheetId="24" hidden="1">{#N/A,#N/A,TRUE,"Y생산";#N/A,#N/A,TRUE,"Y판매";#N/A,#N/A,TRUE,"Y총물량";#N/A,#N/A,TRUE,"Y능력";#N/A,#N/A,TRUE,"YKD"}</definedName>
    <definedName name="ㅇㅇㅇㅇㅇㅇㅇㅇㅇㅇㅇ_1" localSheetId="18" hidden="1">{#N/A,#N/A,TRUE,"Y생산";#N/A,#N/A,TRUE,"Y판매";#N/A,#N/A,TRUE,"Y총물량";#N/A,#N/A,TRUE,"Y능력";#N/A,#N/A,TRUE,"YKD"}</definedName>
    <definedName name="ㅇㅇㅇㅇㅇㅇㅇㅇㅇㅇㅇ_1" localSheetId="25" hidden="1">{#N/A,#N/A,TRUE,"Y생산";#N/A,#N/A,TRUE,"Y판매";#N/A,#N/A,TRUE,"Y총물량";#N/A,#N/A,TRUE,"Y능력";#N/A,#N/A,TRUE,"YKD"}</definedName>
    <definedName name="ㅇㅇㅇㅇㅇㅇㅇㅇㅇㅇㅇ_1" hidden="1">{#N/A,#N/A,TRUE,"Y생산";#N/A,#N/A,TRUE,"Y판매";#N/A,#N/A,TRUE,"Y총물량";#N/A,#N/A,TRUE,"Y능력";#N/A,#N/A,TRUE,"YKD"}</definedName>
    <definedName name="ㅇㅈ" localSheetId="24"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ㅇㅈ" localSheetId="18"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ㅇㅈ" localSheetId="25"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ㅇㅈ"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ㅇㅈㄴㄹㄴ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ㅈㄴㄹㄴ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ㅈㄴㄹㄴㅇ"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ㅈㄴㄹㄴㅇ" hidden="1">{#N/A,#N/A,FALSE,"손익표지";#N/A,#N/A,FALSE,"손익계산";#N/A,#N/A,FALSE,"일반관리비";#N/A,#N/A,FALSE,"영업외수익";#N/A,#N/A,FALSE,"영업외비용";#N/A,#N/A,FALSE,"매출액";#N/A,#N/A,FALSE,"요약손익";#N/A,#N/A,FALSE,"요약대차";#N/A,#N/A,FALSE,"매출채권현황";#N/A,#N/A,FALSE,"매출채권명세"}</definedName>
    <definedName name="ㅇㅎㄹㅇㄶㄹㅇ" localSheetId="24" hidden="1">{#N/A,#N/A,TRUE,"대 차 대 조 표"}</definedName>
    <definedName name="ㅇㅎㄹㅇㄶㄹㅇ" localSheetId="18" hidden="1">{#N/A,#N/A,TRUE,"대 차 대 조 표"}</definedName>
    <definedName name="ㅇㅎㄹㅇㄶㄹㅇ" localSheetId="25" hidden="1">{#N/A,#N/A,TRUE,"대 차 대 조 표"}</definedName>
    <definedName name="ㅇㅎㄹㅇㄶㄹㅇ" hidden="1">{#N/A,#N/A,TRUE,"대 차 대 조 표"}</definedName>
    <definedName name="ㅇㅎㅁ" localSheetId="24" hidden="1">{#N/A,#N/A,FALSE,"97년 투자계획 세부내역 "}</definedName>
    <definedName name="ㅇㅎㅁ" localSheetId="18" hidden="1">{#N/A,#N/A,FALSE,"97년 투자계획 세부내역 "}</definedName>
    <definedName name="ㅇㅎㅁ" localSheetId="25" hidden="1">{#N/A,#N/A,FALSE,"97년 투자계획 세부내역 "}</definedName>
    <definedName name="ㅇㅎㅁ" hidden="1">{#N/A,#N/A,FALSE,"97년 투자계획 세부내역 "}</definedName>
    <definedName name="ㅇㅎㅇㅎ" localSheetId="24" hidden="1">{"'용역비'!$A$4:$C$8"}</definedName>
    <definedName name="ㅇㅎㅇㅎ" localSheetId="18" hidden="1">{"'용역비'!$A$4:$C$8"}</definedName>
    <definedName name="ㅇㅎㅇㅎ" localSheetId="25" hidden="1">{"'용역비'!$A$4:$C$8"}</definedName>
    <definedName name="ㅇㅎㅇㅎ" hidden="1">{"'용역비'!$A$4:$C$8"}</definedName>
    <definedName name="ㅇ호" localSheetId="24" hidden="1">{"'용역비'!$A$4:$C$8"}</definedName>
    <definedName name="ㅇ호" localSheetId="18" hidden="1">{"'용역비'!$A$4:$C$8"}</definedName>
    <definedName name="ㅇ호" localSheetId="25" hidden="1">{"'용역비'!$A$4:$C$8"}</definedName>
    <definedName name="ㅇ호" hidden="1">{"'용역비'!$A$4:$C$8"}</definedName>
    <definedName name="ㅇ호ㅓ" localSheetId="24" hidden="1">{"'용역비'!$A$4:$C$8"}</definedName>
    <definedName name="ㅇ호ㅓ" localSheetId="18" hidden="1">{"'용역비'!$A$4:$C$8"}</definedName>
    <definedName name="ㅇ호ㅓ" localSheetId="25" hidden="1">{"'용역비'!$A$4:$C$8"}</definedName>
    <definedName name="ㅇ호ㅓ" hidden="1">{"'용역비'!$A$4:$C$8"}</definedName>
    <definedName name="ㅇ호ㅓㅇㅎ" localSheetId="24" hidden="1">{"'용역비'!$A$4:$C$8"}</definedName>
    <definedName name="ㅇ호ㅓㅇㅎ" localSheetId="18" hidden="1">{"'용역비'!$A$4:$C$8"}</definedName>
    <definedName name="ㅇ호ㅓㅇㅎ" localSheetId="25" hidden="1">{"'용역비'!$A$4:$C$8"}</definedName>
    <definedName name="ㅇ호ㅓㅇㅎ" hidden="1">{"'용역비'!$A$4:$C$8"}</definedName>
    <definedName name="ㅇ호ㅓㅇ호ㅓ" localSheetId="24" hidden="1">{"'용역비'!$A$4:$C$8"}</definedName>
    <definedName name="ㅇ호ㅓㅇ호ㅓ" localSheetId="18" hidden="1">{"'용역비'!$A$4:$C$8"}</definedName>
    <definedName name="ㅇ호ㅓㅇ호ㅓ" localSheetId="25" hidden="1">{"'용역비'!$A$4:$C$8"}</definedName>
    <definedName name="ㅇ호ㅓㅇ호ㅓ" hidden="1">{"'용역비'!$A$4:$C$8"}</definedName>
    <definedName name="ㅇ호ㅓㅎ" localSheetId="24" hidden="1">{"'용역비'!$A$4:$C$8"}</definedName>
    <definedName name="ㅇ호ㅓㅎ" localSheetId="18" hidden="1">{"'용역비'!$A$4:$C$8"}</definedName>
    <definedName name="ㅇ호ㅓㅎ" localSheetId="25" hidden="1">{"'용역비'!$A$4:$C$8"}</definedName>
    <definedName name="ㅇ호ㅓㅎ" hidden="1">{"'용역비'!$A$4:$C$8"}</definedName>
    <definedName name="ㅇ호ㅓ호ㅓ" localSheetId="24" hidden="1">{"'용역비'!$A$4:$C$8"}</definedName>
    <definedName name="ㅇ호ㅓ호ㅓ" localSheetId="18" hidden="1">{"'용역비'!$A$4:$C$8"}</definedName>
    <definedName name="ㅇ호ㅓ호ㅓ" localSheetId="25" hidden="1">{"'용역비'!$A$4:$C$8"}</definedName>
    <definedName name="ㅇ호ㅓ호ㅓ" hidden="1">{"'용역비'!$A$4:$C$8"}</definedName>
    <definedName name="아" localSheetId="24" hidden="1">{#N/A,#N/A,FALSE,"1.CRITERIA";#N/A,#N/A,FALSE,"2.IS";#N/A,#N/A,FALSE,"3.BS";#N/A,#N/A,FALSE,"4.PER PL";#N/A,#N/A,FALSE,"5.INVESTMENT";#N/A,#N/A,FALSE,"6.공문";#N/A,#N/A,FALSE,"7.netinvest"}</definedName>
    <definedName name="아" localSheetId="18" hidden="1">{#N/A,#N/A,FALSE,"1.CRITERIA";#N/A,#N/A,FALSE,"2.IS";#N/A,#N/A,FALSE,"3.BS";#N/A,#N/A,FALSE,"4.PER PL";#N/A,#N/A,FALSE,"5.INVESTMENT";#N/A,#N/A,FALSE,"6.공문";#N/A,#N/A,FALSE,"7.netinvest"}</definedName>
    <definedName name="아" localSheetId="25" hidden="1">{#N/A,#N/A,FALSE,"1.CRITERIA";#N/A,#N/A,FALSE,"2.IS";#N/A,#N/A,FALSE,"3.BS";#N/A,#N/A,FALSE,"4.PER PL";#N/A,#N/A,FALSE,"5.INVESTMENT";#N/A,#N/A,FALSE,"6.공문";#N/A,#N/A,FALSE,"7.netinvest"}</definedName>
    <definedName name="아" hidden="1">{#N/A,#N/A,FALSE,"1.CRITERIA";#N/A,#N/A,FALSE,"2.IS";#N/A,#N/A,FALSE,"3.BS";#N/A,#N/A,FALSE,"4.PER PL";#N/A,#N/A,FALSE,"5.INVESTMENT";#N/A,#N/A,FALSE,"6.공문";#N/A,#N/A,FALSE,"7.netinvest"}</definedName>
    <definedName name="아그우" localSheetId="24" hidden="1">{#N/A,#N/A,FALSE,"지침";#N/A,#N/A,FALSE,"환경분석";#N/A,#N/A,FALSE,"Sheet16"}</definedName>
    <definedName name="아그우" localSheetId="18" hidden="1">{#N/A,#N/A,FALSE,"지침";#N/A,#N/A,FALSE,"환경분석";#N/A,#N/A,FALSE,"Sheet16"}</definedName>
    <definedName name="아그우" localSheetId="25" hidden="1">{#N/A,#N/A,FALSE,"지침";#N/A,#N/A,FALSE,"환경분석";#N/A,#N/A,FALSE,"Sheet16"}</definedName>
    <definedName name="아그우" hidden="1">{#N/A,#N/A,FALSE,"지침";#N/A,#N/A,FALSE,"환경분석";#N/A,#N/A,FALSE,"Sheet16"}</definedName>
    <definedName name="아들" localSheetId="24" hidden="1">{"'7'!$B$15:$D$32"}</definedName>
    <definedName name="아들" localSheetId="18" hidden="1">{"'7'!$B$15:$D$32"}</definedName>
    <definedName name="아들" localSheetId="25" hidden="1">{"'7'!$B$15:$D$32"}</definedName>
    <definedName name="아들" hidden="1">{"'7'!$B$15:$D$32"}</definedName>
    <definedName name="아마도" localSheetId="24" hidden="1">{#N/A,#N/A,FALSE,"97년 투자계획 세부내역 "}</definedName>
    <definedName name="아마도" localSheetId="18" hidden="1">{#N/A,#N/A,FALSE,"97년 투자계획 세부내역 "}</definedName>
    <definedName name="아마도" localSheetId="25" hidden="1">{#N/A,#N/A,FALSE,"97년 투자계획 세부내역 "}</definedName>
    <definedName name="아마도" hidden="1">{#N/A,#N/A,FALSE,"97년 투자계획 세부내역 "}</definedName>
    <definedName name="아무거나"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아무거나"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아무거나"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아무거나" hidden="1">{#N/A,#N/A,FALSE,"손익표지";#N/A,#N/A,FALSE,"손익계산";#N/A,#N/A,FALSE,"일반관리비";#N/A,#N/A,FALSE,"영업외수익";#N/A,#N/A,FALSE,"영업외비용";#N/A,#N/A,FALSE,"매출액";#N/A,#N/A,FALSE,"요약손익";#N/A,#N/A,FALSE,"요약대차";#N/A,#N/A,FALSE,"매출채권현황";#N/A,#N/A,FALSE,"매출채권명세"}</definedName>
    <definedName name="아아" localSheetId="24" hidden="1">{#N/A,#N/A,FALSE,"1.CRITERIA";#N/A,#N/A,FALSE,"2.IS";#N/A,#N/A,FALSE,"3.BS";#N/A,#N/A,FALSE,"4.PER PL";#N/A,#N/A,FALSE,"5.INVESTMENT";#N/A,#N/A,FALSE,"6.공문";#N/A,#N/A,FALSE,"7.netinvest"}</definedName>
    <definedName name="아아" localSheetId="18" hidden="1">{#N/A,#N/A,FALSE,"1.CRITERIA";#N/A,#N/A,FALSE,"2.IS";#N/A,#N/A,FALSE,"3.BS";#N/A,#N/A,FALSE,"4.PER PL";#N/A,#N/A,FALSE,"5.INVESTMENT";#N/A,#N/A,FALSE,"6.공문";#N/A,#N/A,FALSE,"7.netinvest"}</definedName>
    <definedName name="아아" localSheetId="25" hidden="1">{#N/A,#N/A,FALSE,"1.CRITERIA";#N/A,#N/A,FALSE,"2.IS";#N/A,#N/A,FALSE,"3.BS";#N/A,#N/A,FALSE,"4.PER PL";#N/A,#N/A,FALSE,"5.INVESTMENT";#N/A,#N/A,FALSE,"6.공문";#N/A,#N/A,FALSE,"7.netinvest"}</definedName>
    <definedName name="아아" hidden="1">{#N/A,#N/A,FALSE,"1.CRITERIA";#N/A,#N/A,FALSE,"2.IS";#N/A,#N/A,FALSE,"3.BS";#N/A,#N/A,FALSE,"4.PER PL";#N/A,#N/A,FALSE,"5.INVESTMENT";#N/A,#N/A,FALSE,"6.공문";#N/A,#N/A,FALSE,"7.netinvest"}</definedName>
    <definedName name="아아아" localSheetId="24" hidden="1">{#N/A,#N/A,FALSE,"1.CRITERIA";#N/A,#N/A,FALSE,"2.IS";#N/A,#N/A,FALSE,"3.BS";#N/A,#N/A,FALSE,"4.PER PL";#N/A,#N/A,FALSE,"5.INVESTMENT";#N/A,#N/A,FALSE,"6.공문";#N/A,#N/A,FALSE,"7.netinvest"}</definedName>
    <definedName name="아아아" localSheetId="18" hidden="1">{#N/A,#N/A,FALSE,"1.CRITERIA";#N/A,#N/A,FALSE,"2.IS";#N/A,#N/A,FALSE,"3.BS";#N/A,#N/A,FALSE,"4.PER PL";#N/A,#N/A,FALSE,"5.INVESTMENT";#N/A,#N/A,FALSE,"6.공문";#N/A,#N/A,FALSE,"7.netinvest"}</definedName>
    <definedName name="아아아" localSheetId="25" hidden="1">{#N/A,#N/A,FALSE,"1.CRITERIA";#N/A,#N/A,FALSE,"2.IS";#N/A,#N/A,FALSE,"3.BS";#N/A,#N/A,FALSE,"4.PER PL";#N/A,#N/A,FALSE,"5.INVESTMENT";#N/A,#N/A,FALSE,"6.공문";#N/A,#N/A,FALSE,"7.netinvest"}</definedName>
    <definedName name="아아아" hidden="1">{#N/A,#N/A,FALSE,"1.CRITERIA";#N/A,#N/A,FALSE,"2.IS";#N/A,#N/A,FALSE,"3.BS";#N/A,#N/A,FALSE,"4.PER PL";#N/A,#N/A,FALSE,"5.INVESTMENT";#N/A,#N/A,FALSE,"6.공문";#N/A,#N/A,FALSE,"7.netinvest"}</definedName>
    <definedName name="아이" localSheetId="24" hidden="1">{#N/A,#N/A,FALSE,"1.CRITERIA";#N/A,#N/A,FALSE,"2.IS";#N/A,#N/A,FALSE,"3.BS";#N/A,#N/A,FALSE,"4.PER PL";#N/A,#N/A,FALSE,"5.INVESTMENT";#N/A,#N/A,FALSE,"6.공문";#N/A,#N/A,FALSE,"7.netinvest"}</definedName>
    <definedName name="아이" localSheetId="18" hidden="1">{#N/A,#N/A,FALSE,"1.CRITERIA";#N/A,#N/A,FALSE,"2.IS";#N/A,#N/A,FALSE,"3.BS";#N/A,#N/A,FALSE,"4.PER PL";#N/A,#N/A,FALSE,"5.INVESTMENT";#N/A,#N/A,FALSE,"6.공문";#N/A,#N/A,FALSE,"7.netinvest"}</definedName>
    <definedName name="아이" localSheetId="25" hidden="1">{#N/A,#N/A,FALSE,"1.CRITERIA";#N/A,#N/A,FALSE,"2.IS";#N/A,#N/A,FALSE,"3.BS";#N/A,#N/A,FALSE,"4.PER PL";#N/A,#N/A,FALSE,"5.INVESTMENT";#N/A,#N/A,FALSE,"6.공문";#N/A,#N/A,FALSE,"7.netinvest"}</definedName>
    <definedName name="아이" hidden="1">{#N/A,#N/A,FALSE,"1.CRITERIA";#N/A,#N/A,FALSE,"2.IS";#N/A,#N/A,FALSE,"3.BS";#N/A,#N/A,FALSE,"4.PER PL";#N/A,#N/A,FALSE,"5.INVESTMENT";#N/A,#N/A,FALSE,"6.공문";#N/A,#N/A,FALSE,"7.netinvest"}</definedName>
    <definedName name="아자자자자" localSheetId="24" hidden="1">{"'PROFORMA'!$A$1:$H$120"}</definedName>
    <definedName name="아자자자자" localSheetId="18" hidden="1">{"'PROFORMA'!$A$1:$H$120"}</definedName>
    <definedName name="아자자자자" localSheetId="25" hidden="1">{"'PROFORMA'!$A$1:$H$120"}</definedName>
    <definedName name="아자자자자" hidden="1">{"'PROFORMA'!$A$1:$H$120"}</definedName>
    <definedName name="아크리스빌딩" localSheetId="24" hidden="1">{#N/A,#N/A,FALSE,"동부"}</definedName>
    <definedName name="아크리스빌딩" localSheetId="18" hidden="1">{#N/A,#N/A,FALSE,"동부"}</definedName>
    <definedName name="아크리스빌딩" localSheetId="25" hidden="1">{#N/A,#N/A,FALSE,"동부"}</definedName>
    <definedName name="아크리스빌딩" hidden="1">{#N/A,#N/A,FALSE,"동부"}</definedName>
    <definedName name="아ㅏㅓ랜"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랜"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랜"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랜"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ㅗㄹ"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ㅗㄹ"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ㅗㄹ"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ㅗㄹ"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ㅣㅣㅣ" localSheetId="24" hidden="1">{#N/A,#N/A,FALSE,"범우구미";#N/A,#N/A,FALSE,"세한케미칼";#N/A,#N/A,FALSE,"세명화학";#N/A,#N/A,FALSE,"신영케미칼";#N/A,#N/A,FALSE,"일석상사"}</definedName>
    <definedName name="아ㅣㅣㅣ" localSheetId="18" hidden="1">{#N/A,#N/A,FALSE,"범우구미";#N/A,#N/A,FALSE,"세한케미칼";#N/A,#N/A,FALSE,"세명화학";#N/A,#N/A,FALSE,"신영케미칼";#N/A,#N/A,FALSE,"일석상사"}</definedName>
    <definedName name="아ㅣㅣㅣ" localSheetId="25" hidden="1">{#N/A,#N/A,FALSE,"범우구미";#N/A,#N/A,FALSE,"세한케미칼";#N/A,#N/A,FALSE,"세명화학";#N/A,#N/A,FALSE,"신영케미칼";#N/A,#N/A,FALSE,"일석상사"}</definedName>
    <definedName name="아ㅣㅣㅣ" hidden="1">{#N/A,#N/A,FALSE,"범우구미";#N/A,#N/A,FALSE,"세한케미칼";#N/A,#N/A,FALSE,"세명화학";#N/A,#N/A,FALSE,"신영케미칼";#N/A,#N/A,FALSE,"일석상사"}</definedName>
    <definedName name="안건" localSheetId="24" hidden="1">{#N/A,#N/A,FALSE,"BS";#N/A,#N/A,FALSE,"PL";#N/A,#N/A,FALSE,"처분";#N/A,#N/A,FALSE,"현금";#N/A,#N/A,FALSE,"매출";#N/A,#N/A,FALSE,"원가";#N/A,#N/A,FALSE,"경영"}</definedName>
    <definedName name="안건" localSheetId="18" hidden="1">{#N/A,#N/A,FALSE,"BS";#N/A,#N/A,FALSE,"PL";#N/A,#N/A,FALSE,"처분";#N/A,#N/A,FALSE,"현금";#N/A,#N/A,FALSE,"매출";#N/A,#N/A,FALSE,"원가";#N/A,#N/A,FALSE,"경영"}</definedName>
    <definedName name="안건" localSheetId="25" hidden="1">{#N/A,#N/A,FALSE,"BS";#N/A,#N/A,FALSE,"PL";#N/A,#N/A,FALSE,"처분";#N/A,#N/A,FALSE,"현금";#N/A,#N/A,FALSE,"매출";#N/A,#N/A,FALSE,"원가";#N/A,#N/A,FALSE,"경영"}</definedName>
    <definedName name="안건" hidden="1">{#N/A,#N/A,FALSE,"BS";#N/A,#N/A,FALSE,"PL";#N/A,#N/A,FALSE,"처분";#N/A,#N/A,FALSE,"현금";#N/A,#N/A,FALSE,"매출";#N/A,#N/A,FALSE,"원가";#N/A,#N/A,FALSE,"경영"}</definedName>
    <definedName name="안범기" localSheetId="24" hidden="1">{#N/A,#N/A,TRUE,"대 차 대 조 표"}</definedName>
    <definedName name="안범기" localSheetId="18" hidden="1">{#N/A,#N/A,TRUE,"대 차 대 조 표"}</definedName>
    <definedName name="안범기" localSheetId="25" hidden="1">{#N/A,#N/A,TRUE,"대 차 대 조 표"}</definedName>
    <definedName name="안범기" hidden="1">{#N/A,#N/A,TRUE,"대 차 대 조 표"}</definedName>
    <definedName name="안산" localSheetId="24" hidden="1">{#N/A,#N/A,FALSE,"CCTV"}</definedName>
    <definedName name="안산" localSheetId="18" hidden="1">{#N/A,#N/A,FALSE,"CCTV"}</definedName>
    <definedName name="안산" localSheetId="25" hidden="1">{#N/A,#N/A,FALSE,"CCTV"}</definedName>
    <definedName name="안산" hidden="1">{#N/A,#N/A,FALSE,"CCTV"}</definedName>
    <definedName name="안전절감효과" localSheetId="24" hidden="1">{#N/A,#N/A,TRUE,"Y생산";#N/A,#N/A,TRUE,"Y판매";#N/A,#N/A,TRUE,"Y총물량";#N/A,#N/A,TRUE,"Y능력";#N/A,#N/A,TRUE,"YKD"}</definedName>
    <definedName name="안전절감효과" localSheetId="18" hidden="1">{#N/A,#N/A,TRUE,"Y생산";#N/A,#N/A,TRUE,"Y판매";#N/A,#N/A,TRUE,"Y총물량";#N/A,#N/A,TRUE,"Y능력";#N/A,#N/A,TRUE,"YKD"}</definedName>
    <definedName name="안전절감효과" localSheetId="25" hidden="1">{#N/A,#N/A,TRUE,"Y생산";#N/A,#N/A,TRUE,"Y판매";#N/A,#N/A,TRUE,"Y총물량";#N/A,#N/A,TRUE,"Y능력";#N/A,#N/A,TRUE,"YKD"}</definedName>
    <definedName name="안전절감효과" hidden="1">{#N/A,#N/A,TRUE,"Y생산";#N/A,#N/A,TRUE,"Y판매";#N/A,#N/A,TRUE,"Y총물량";#N/A,#N/A,TRUE,"Y능력";#N/A,#N/A,TRUE,"YKD"}</definedName>
    <definedName name="안전점검내역" localSheetId="24" hidden="1">{#N/A,#N/A,FALSE,"현장 NCR 분석";#N/A,#N/A,FALSE,"현장품질감사";#N/A,#N/A,FALSE,"현장품질감사"}</definedName>
    <definedName name="안전점검내역" localSheetId="18" hidden="1">{#N/A,#N/A,FALSE,"현장 NCR 분석";#N/A,#N/A,FALSE,"현장품질감사";#N/A,#N/A,FALSE,"현장품질감사"}</definedName>
    <definedName name="안전점검내역" localSheetId="25" hidden="1">{#N/A,#N/A,FALSE,"현장 NCR 분석";#N/A,#N/A,FALSE,"현장품질감사";#N/A,#N/A,FALSE,"현장품질감사"}</definedName>
    <definedName name="안전점검내역" hidden="1">{#N/A,#N/A,FALSE,"현장 NCR 분석";#N/A,#N/A,FALSE,"현장품질감사";#N/A,#N/A,FALSE,"현장품질감사"}</definedName>
    <definedName name="암사" localSheetId="24" hidden="1">{#N/A,#N/A,TRUE,"대 차 대 조 표"}</definedName>
    <definedName name="암사" localSheetId="18" hidden="1">{#N/A,#N/A,TRUE,"대 차 대 조 표"}</definedName>
    <definedName name="암사" localSheetId="25" hidden="1">{#N/A,#N/A,TRUE,"대 차 대 조 표"}</definedName>
    <definedName name="암사" hidden="1">{#N/A,#N/A,TRUE,"대 차 대 조 표"}</definedName>
    <definedName name="암사_1" localSheetId="24" hidden="1">{#N/A,#N/A,TRUE,"대 차 대 조 표"}</definedName>
    <definedName name="암사_1" localSheetId="18" hidden="1">{#N/A,#N/A,TRUE,"대 차 대 조 표"}</definedName>
    <definedName name="암사_1" localSheetId="25" hidden="1">{#N/A,#N/A,TRUE,"대 차 대 조 표"}</definedName>
    <definedName name="암사_1" hidden="1">{#N/A,#N/A,TRUE,"대 차 대 조 표"}</definedName>
    <definedName name="앙" localSheetId="24" hidden="1">{#N/A,#N/A,FALSE,"이력서&amp;자기소개서"}</definedName>
    <definedName name="앙" localSheetId="18" hidden="1">{#N/A,#N/A,FALSE,"이력서&amp;자기소개서"}</definedName>
    <definedName name="앙" localSheetId="25" hidden="1">{#N/A,#N/A,FALSE,"이력서&amp;자기소개서"}</definedName>
    <definedName name="앙" hidden="1">{#N/A,#N/A,FALSE,"이력서&amp;자기소개서"}</definedName>
    <definedName name="앙_1" localSheetId="24" hidden="1">{#N/A,#N/A,FALSE,"BS";#N/A,#N/A,FALSE,"PL";#N/A,#N/A,FALSE,"처분";#N/A,#N/A,FALSE,"현금";#N/A,#N/A,FALSE,"매출";#N/A,#N/A,FALSE,"원가";#N/A,#N/A,FALSE,"경영"}</definedName>
    <definedName name="앙_1" localSheetId="18" hidden="1">{#N/A,#N/A,FALSE,"BS";#N/A,#N/A,FALSE,"PL";#N/A,#N/A,FALSE,"처분";#N/A,#N/A,FALSE,"현금";#N/A,#N/A,FALSE,"매출";#N/A,#N/A,FALSE,"원가";#N/A,#N/A,FALSE,"경영"}</definedName>
    <definedName name="앙_1" localSheetId="25" hidden="1">{#N/A,#N/A,FALSE,"BS";#N/A,#N/A,FALSE,"PL";#N/A,#N/A,FALSE,"처분";#N/A,#N/A,FALSE,"현금";#N/A,#N/A,FALSE,"매출";#N/A,#N/A,FALSE,"원가";#N/A,#N/A,FALSE,"경영"}</definedName>
    <definedName name="앙_1" hidden="1">{#N/A,#N/A,FALSE,"BS";#N/A,#N/A,FALSE,"PL";#N/A,#N/A,FALSE,"처분";#N/A,#N/A,FALSE,"현금";#N/A,#N/A,FALSE,"매출";#N/A,#N/A,FALSE,"원가";#N/A,#N/A,FALSE,"경영"}</definedName>
    <definedName name="약" localSheetId="24" hidden="1">{#N/A,#N/A,FALSE,"동부"}</definedName>
    <definedName name="약" localSheetId="18" hidden="1">{#N/A,#N/A,FALSE,"동부"}</definedName>
    <definedName name="약" localSheetId="25" hidden="1">{#N/A,#N/A,FALSE,"동부"}</definedName>
    <definedName name="약" hidden="1">{#N/A,#N/A,FALSE,"동부"}</definedName>
    <definedName name="양"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양"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양"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양"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어" localSheetId="24" hidden="1">{"'용역비'!$A$4:$C$8"}</definedName>
    <definedName name="어" localSheetId="18" hidden="1">{"'용역비'!$A$4:$C$8"}</definedName>
    <definedName name="어" localSheetId="25" hidden="1">{"'용역비'!$A$4:$C$8"}</definedName>
    <definedName name="어" hidden="1">{"'용역비'!$A$4:$C$8"}</definedName>
    <definedName name="어어" localSheetId="24" hidden="1">{#N/A,#N/A,FALSE,"1.CRITERIA";#N/A,#N/A,FALSE,"2.IS";#N/A,#N/A,FALSE,"3.BS";#N/A,#N/A,FALSE,"4.PER PL";#N/A,#N/A,FALSE,"5.INVESTMENT";#N/A,#N/A,FALSE,"6.공문";#N/A,#N/A,FALSE,"7.netinvest"}</definedName>
    <definedName name="어어" localSheetId="18" hidden="1">{#N/A,#N/A,FALSE,"1.CRITERIA";#N/A,#N/A,FALSE,"2.IS";#N/A,#N/A,FALSE,"3.BS";#N/A,#N/A,FALSE,"4.PER PL";#N/A,#N/A,FALSE,"5.INVESTMENT";#N/A,#N/A,FALSE,"6.공문";#N/A,#N/A,FALSE,"7.netinvest"}</definedName>
    <definedName name="어어" localSheetId="25" hidden="1">{#N/A,#N/A,FALSE,"1.CRITERIA";#N/A,#N/A,FALSE,"2.IS";#N/A,#N/A,FALSE,"3.BS";#N/A,#N/A,FALSE,"4.PER PL";#N/A,#N/A,FALSE,"5.INVESTMENT";#N/A,#N/A,FALSE,"6.공문";#N/A,#N/A,FALSE,"7.netinvest"}</definedName>
    <definedName name="어어" hidden="1">{#N/A,#N/A,FALSE,"1.CRITERIA";#N/A,#N/A,FALSE,"2.IS";#N/A,#N/A,FALSE,"3.BS";#N/A,#N/A,FALSE,"4.PER PL";#N/A,#N/A,FALSE,"5.INVESTMENT";#N/A,#N/A,FALSE,"6.공문";#N/A,#N/A,FALSE,"7.netinvest"}</definedName>
    <definedName name="어어어어어" localSheetId="24" hidden="1">{"'2분기예산별'!$B$2:$O$38"}</definedName>
    <definedName name="어어어어어" localSheetId="18" hidden="1">{"'2분기예산별'!$B$2:$O$38"}</definedName>
    <definedName name="어어어어어" localSheetId="25" hidden="1">{"'2분기예산별'!$B$2:$O$38"}</definedName>
    <definedName name="어어어어어" hidden="1">{"'2분기예산별'!$B$2:$O$38"}</definedName>
    <definedName name="어음수표" localSheetId="24" hidden="1">{#N/A,#N/A,FALSE,"1.CRITERIA";#N/A,#N/A,FALSE,"2.IS";#N/A,#N/A,FALSE,"3.BS";#N/A,#N/A,FALSE,"4.PER PL";#N/A,#N/A,FALSE,"5.INVESTMENT";#N/A,#N/A,FALSE,"6.공문";#N/A,#N/A,FALSE,"7.netinvest"}</definedName>
    <definedName name="어음수표" localSheetId="18" hidden="1">{#N/A,#N/A,FALSE,"1.CRITERIA";#N/A,#N/A,FALSE,"2.IS";#N/A,#N/A,FALSE,"3.BS";#N/A,#N/A,FALSE,"4.PER PL";#N/A,#N/A,FALSE,"5.INVESTMENT";#N/A,#N/A,FALSE,"6.공문";#N/A,#N/A,FALSE,"7.netinvest"}</definedName>
    <definedName name="어음수표" localSheetId="25" hidden="1">{#N/A,#N/A,FALSE,"1.CRITERIA";#N/A,#N/A,FALSE,"2.IS";#N/A,#N/A,FALSE,"3.BS";#N/A,#N/A,FALSE,"4.PER PL";#N/A,#N/A,FALSE,"5.INVESTMENT";#N/A,#N/A,FALSE,"6.공문";#N/A,#N/A,FALSE,"7.netinvest"}</definedName>
    <definedName name="어음수표" hidden="1">{#N/A,#N/A,FALSE,"1.CRITERIA";#N/A,#N/A,FALSE,"2.IS";#N/A,#N/A,FALSE,"3.BS";#N/A,#N/A,FALSE,"4.PER PL";#N/A,#N/A,FALSE,"5.INVESTMENT";#N/A,#N/A,FALSE,"6.공문";#N/A,#N/A,FALSE,"7.netinvest"}</definedName>
    <definedName name="어ㅓㅓㅇ"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ㅓㅓㅇ"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ㅓㅓㅇ"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ㅓㅓ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ㅘㄴ"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ㅘㄴ"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ㅘㄴ"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ㅘ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업무" localSheetId="24" hidden="1">{#N/A,#N/A,TRUE,"대 차 대 조 표"}</definedName>
    <definedName name="업무" localSheetId="18" hidden="1">{#N/A,#N/A,TRUE,"대 차 대 조 표"}</definedName>
    <definedName name="업무" localSheetId="25" hidden="1">{#N/A,#N/A,TRUE,"대 차 대 조 표"}</definedName>
    <definedName name="업무" hidden="1">{#N/A,#N/A,TRUE,"대 차 대 조 표"}</definedName>
    <definedName name="업무_1" localSheetId="24" hidden="1">{#N/A,#N/A,TRUE,"대 차 대 조 표"}</definedName>
    <definedName name="업무_1" localSheetId="18" hidden="1">{#N/A,#N/A,TRUE,"대 차 대 조 표"}</definedName>
    <definedName name="업무_1" localSheetId="25" hidden="1">{#N/A,#N/A,TRUE,"대 차 대 조 표"}</definedName>
    <definedName name="업무_1" hidden="1">{#N/A,#N/A,TRUE,"대 차 대 조 표"}</definedName>
    <definedName name="업무계획표" localSheetId="24" hidden="1">{#N/A,#N/A,TRUE,"대 차 대 조 표"}</definedName>
    <definedName name="업무계획표" localSheetId="18" hidden="1">{#N/A,#N/A,TRUE,"대 차 대 조 표"}</definedName>
    <definedName name="업무계획표" localSheetId="25" hidden="1">{#N/A,#N/A,TRUE,"대 차 대 조 표"}</definedName>
    <definedName name="업무계획표" hidden="1">{#N/A,#N/A,TRUE,"대 차 대 조 표"}</definedName>
    <definedName name="업무계획표_1" localSheetId="24" hidden="1">{#N/A,#N/A,TRUE,"대 차 대 조 표"}</definedName>
    <definedName name="업무계획표_1" localSheetId="18" hidden="1">{#N/A,#N/A,TRUE,"대 차 대 조 표"}</definedName>
    <definedName name="업무계획표_1" localSheetId="25" hidden="1">{#N/A,#N/A,TRUE,"대 차 대 조 표"}</definedName>
    <definedName name="업무계획표_1" hidden="1">{#N/A,#N/A,TRUE,"대 차 대 조 표"}</definedName>
    <definedName name="업무계획표01" localSheetId="24" hidden="1">{#N/A,#N/A,TRUE,"대 차 대 조 표"}</definedName>
    <definedName name="업무계획표01" localSheetId="18" hidden="1">{#N/A,#N/A,TRUE,"대 차 대 조 표"}</definedName>
    <definedName name="업무계획표01" localSheetId="25" hidden="1">{#N/A,#N/A,TRUE,"대 차 대 조 표"}</definedName>
    <definedName name="업무계획표01" hidden="1">{#N/A,#N/A,TRUE,"대 차 대 조 표"}</definedName>
    <definedName name="업무계획표01_1" localSheetId="24" hidden="1">{#N/A,#N/A,TRUE,"대 차 대 조 표"}</definedName>
    <definedName name="업무계획표01_1" localSheetId="18" hidden="1">{#N/A,#N/A,TRUE,"대 차 대 조 표"}</definedName>
    <definedName name="업무계획표01_1" localSheetId="25" hidden="1">{#N/A,#N/A,TRUE,"대 차 대 조 표"}</definedName>
    <definedName name="업무계획표01_1" hidden="1">{#N/A,#N/A,TRUE,"대 차 대 조 표"}</definedName>
    <definedName name="업체근속" localSheetId="24" hidden="1">{#N/A,#N/A,FALSE,"단축1";#N/A,#N/A,FALSE,"단축2";#N/A,#N/A,FALSE,"단축3";#N/A,#N/A,FALSE,"장축";#N/A,#N/A,FALSE,"4WD"}</definedName>
    <definedName name="업체근속" localSheetId="18" hidden="1">{#N/A,#N/A,FALSE,"단축1";#N/A,#N/A,FALSE,"단축2";#N/A,#N/A,FALSE,"단축3";#N/A,#N/A,FALSE,"장축";#N/A,#N/A,FALSE,"4WD"}</definedName>
    <definedName name="업체근속" localSheetId="25" hidden="1">{#N/A,#N/A,FALSE,"단축1";#N/A,#N/A,FALSE,"단축2";#N/A,#N/A,FALSE,"단축3";#N/A,#N/A,FALSE,"장축";#N/A,#N/A,FALSE,"4WD"}</definedName>
    <definedName name="업체근속" hidden="1">{#N/A,#N/A,FALSE,"단축1";#N/A,#N/A,FALSE,"단축2";#N/A,#N/A,FALSE,"단축3";#N/A,#N/A,FALSE,"장축";#N/A,#N/A,FALSE,"4WD"}</definedName>
    <definedName name="없애버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없애버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없애버림"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없애버림" hidden="1">{#N/A,#N/A,FALSE,"손익표지";#N/A,#N/A,FALSE,"손익계산";#N/A,#N/A,FALSE,"일반관리비";#N/A,#N/A,FALSE,"영업외수익";#N/A,#N/A,FALSE,"영업외비용";#N/A,#N/A,FALSE,"매출액";#N/A,#N/A,FALSE,"요약손익";#N/A,#N/A,FALSE,"요약대차";#N/A,#N/A,FALSE,"매출채권현황";#N/A,#N/A,FALSE,"매출채권명세"}</definedName>
    <definedName name="에너지비용산출근거" localSheetId="24">BlankMacro1</definedName>
    <definedName name="에너지비용산출근거" localSheetId="18">BlankMacro1</definedName>
    <definedName name="에너지비용산출근거" localSheetId="25">BlankMacro1</definedName>
    <definedName name="에너지비용산출근거" localSheetId="16">BlankMacro1</definedName>
    <definedName name="에너지비용산출근거">BlankMacro1</definedName>
    <definedName name="에스" localSheetId="24" hidden="1">{#N/A,#N/A,FALSE,"동부"}</definedName>
    <definedName name="에스" localSheetId="18" hidden="1">{#N/A,#N/A,FALSE,"동부"}</definedName>
    <definedName name="에스" localSheetId="25" hidden="1">{#N/A,#N/A,FALSE,"동부"}</definedName>
    <definedName name="에스" hidden="1">{#N/A,#N/A,FALSE,"동부"}</definedName>
    <definedName name="予算" localSheetId="24" hidden="1">{"pond1",#N/A,FALSE,"Focus";"pond2",#N/A,FALSE,"Focus"}</definedName>
    <definedName name="予算" localSheetId="18" hidden="1">{"pond1",#N/A,FALSE,"Focus";"pond2",#N/A,FALSE,"Focus"}</definedName>
    <definedName name="予算" localSheetId="25" hidden="1">{"pond1",#N/A,FALSE,"Focus";"pond2",#N/A,FALSE,"Focus"}</definedName>
    <definedName name="予算" hidden="1">{"pond1",#N/A,FALSE,"Focus";"pond2",#N/A,FALSE,"Focus"}</definedName>
    <definedName name="여의도"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여의도"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여의도"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여의도" hidden="1">{#N/A,#N/A,FALSE,"손익표지";#N/A,#N/A,FALSE,"손익계산";#N/A,#N/A,FALSE,"일반관리비";#N/A,#N/A,FALSE,"영업외수익";#N/A,#N/A,FALSE,"영업외비용";#N/A,#N/A,FALSE,"매출액";#N/A,#N/A,FALSE,"요약손익";#N/A,#N/A,FALSE,"요약대차";#N/A,#N/A,FALSE,"매출채권현황";#N/A,#N/A,FALSE,"매출채권명세"}</definedName>
    <definedName name="여의도산출내역"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여의도산출내역"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여의도산출내역" localSheetId="2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여의도산출내역"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여이" localSheetId="24" hidden="1">{#N/A,#N/A,FALSE,"1.CRITERIA";#N/A,#N/A,FALSE,"2.IS";#N/A,#N/A,FALSE,"3.BS";#N/A,#N/A,FALSE,"4.PER PL";#N/A,#N/A,FALSE,"5.INVESTMENT";#N/A,#N/A,FALSE,"6.공문";#N/A,#N/A,FALSE,"7.netinvest"}</definedName>
    <definedName name="여이" localSheetId="18" hidden="1">{#N/A,#N/A,FALSE,"1.CRITERIA";#N/A,#N/A,FALSE,"2.IS";#N/A,#N/A,FALSE,"3.BS";#N/A,#N/A,FALSE,"4.PER PL";#N/A,#N/A,FALSE,"5.INVESTMENT";#N/A,#N/A,FALSE,"6.공문";#N/A,#N/A,FALSE,"7.netinvest"}</definedName>
    <definedName name="여이" localSheetId="25" hidden="1">{#N/A,#N/A,FALSE,"1.CRITERIA";#N/A,#N/A,FALSE,"2.IS";#N/A,#N/A,FALSE,"3.BS";#N/A,#N/A,FALSE,"4.PER PL";#N/A,#N/A,FALSE,"5.INVESTMENT";#N/A,#N/A,FALSE,"6.공문";#N/A,#N/A,FALSE,"7.netinvest"}</definedName>
    <definedName name="여이" hidden="1">{#N/A,#N/A,FALSE,"1.CRITERIA";#N/A,#N/A,FALSE,"2.IS";#N/A,#N/A,FALSE,"3.BS";#N/A,#N/A,FALSE,"4.PER PL";#N/A,#N/A,FALSE,"5.INVESTMENT";#N/A,#N/A,FALSE,"6.공문";#N/A,#N/A,FALSE,"7.netinvest"}</definedName>
    <definedName name="역삼4월" localSheetId="24" hidden="1">{#N/A,#N/A,TRUE,"대 차 대 조 표"}</definedName>
    <definedName name="역삼4월" localSheetId="18" hidden="1">{#N/A,#N/A,TRUE,"대 차 대 조 표"}</definedName>
    <definedName name="역삼4월" localSheetId="25" hidden="1">{#N/A,#N/A,TRUE,"대 차 대 조 표"}</definedName>
    <definedName name="역삼4월" hidden="1">{#N/A,#N/A,TRUE,"대 차 대 조 표"}</definedName>
    <definedName name="역삼5월" localSheetId="24" hidden="1">{#N/A,#N/A,TRUE,"대 차 대 조 표"}</definedName>
    <definedName name="역삼5월" localSheetId="18" hidden="1">{#N/A,#N/A,TRUE,"대 차 대 조 표"}</definedName>
    <definedName name="역삼5월" localSheetId="25" hidden="1">{#N/A,#N/A,TRUE,"대 차 대 조 표"}</definedName>
    <definedName name="역삼5월" hidden="1">{#N/A,#N/A,TRUE,"대 차 대 조 표"}</definedName>
    <definedName name="역삼5월청구" localSheetId="24" hidden="1">{#N/A,#N/A,TRUE,"대 차 대 조 표"}</definedName>
    <definedName name="역삼5월청구" localSheetId="18" hidden="1">{#N/A,#N/A,TRUE,"대 차 대 조 표"}</definedName>
    <definedName name="역삼5월청구" localSheetId="25" hidden="1">{#N/A,#N/A,TRUE,"대 차 대 조 표"}</definedName>
    <definedName name="역삼5월청구" hidden="1">{#N/A,#N/A,TRUE,"대 차 대 조 표"}</definedName>
    <definedName name="역삼계" localSheetId="24" hidden="1">{#N/A,#N/A,TRUE,"대 차 대 조 표"}</definedName>
    <definedName name="역삼계" localSheetId="18" hidden="1">{#N/A,#N/A,TRUE,"대 차 대 조 표"}</definedName>
    <definedName name="역삼계" localSheetId="25" hidden="1">{#N/A,#N/A,TRUE,"대 차 대 조 표"}</definedName>
    <definedName name="역삼계" hidden="1">{#N/A,#N/A,TRUE,"대 차 대 조 표"}</definedName>
    <definedName name="연구" localSheetId="24" hidden="1">{"'7'!$B$15:$D$32"}</definedName>
    <definedName name="연구" localSheetId="18" hidden="1">{"'7'!$B$15:$D$32"}</definedName>
    <definedName name="연구" localSheetId="25" hidden="1">{"'7'!$B$15:$D$32"}</definedName>
    <definedName name="연구" hidden="1">{"'7'!$B$15:$D$32"}</definedName>
    <definedName name="연세대학교" localSheetId="24" hidden="1">{#N/A,#N/A,FALSE,"이력서&amp;자기소개서"}</definedName>
    <definedName name="연세대학교" localSheetId="18" hidden="1">{#N/A,#N/A,FALSE,"이력서&amp;자기소개서"}</definedName>
    <definedName name="연세대학교" localSheetId="25" hidden="1">{#N/A,#N/A,FALSE,"이력서&amp;자기소개서"}</definedName>
    <definedName name="연세대학교" hidden="1">{#N/A,#N/A,FALSE,"이력서&amp;자기소개서"}</definedName>
    <definedName name="엽기" localSheetId="24" hidden="1">{#N/A,#N/A,FALSE,"단축1";#N/A,#N/A,FALSE,"단축2";#N/A,#N/A,FALSE,"단축3";#N/A,#N/A,FALSE,"장축";#N/A,#N/A,FALSE,"4WD"}</definedName>
    <definedName name="엽기" localSheetId="18" hidden="1">{#N/A,#N/A,FALSE,"단축1";#N/A,#N/A,FALSE,"단축2";#N/A,#N/A,FALSE,"단축3";#N/A,#N/A,FALSE,"장축";#N/A,#N/A,FALSE,"4WD"}</definedName>
    <definedName name="엽기" localSheetId="25" hidden="1">{#N/A,#N/A,FALSE,"단축1";#N/A,#N/A,FALSE,"단축2";#N/A,#N/A,FALSE,"단축3";#N/A,#N/A,FALSE,"장축";#N/A,#N/A,FALSE,"4WD"}</definedName>
    <definedName name="엽기" hidden="1">{#N/A,#N/A,FALSE,"단축1";#N/A,#N/A,FALSE,"단축2";#N/A,#N/A,FALSE,"단축3";#N/A,#N/A,FALSE,"장축";#N/A,#N/A,FALSE,"4WD"}</definedName>
    <definedName name="영" localSheetId="24" hidden="1">{#N/A,#N/A,FALSE,"1.CRITERIA";#N/A,#N/A,FALSE,"2.IS";#N/A,#N/A,FALSE,"3.BS";#N/A,#N/A,FALSE,"4.PER PL";#N/A,#N/A,FALSE,"5.INVESTMENT";#N/A,#N/A,FALSE,"6.공문";#N/A,#N/A,FALSE,"7.netinvest"}</definedName>
    <definedName name="영" localSheetId="18" hidden="1">{#N/A,#N/A,FALSE,"1.CRITERIA";#N/A,#N/A,FALSE,"2.IS";#N/A,#N/A,FALSE,"3.BS";#N/A,#N/A,FALSE,"4.PER PL";#N/A,#N/A,FALSE,"5.INVESTMENT";#N/A,#N/A,FALSE,"6.공문";#N/A,#N/A,FALSE,"7.netinvest"}</definedName>
    <definedName name="영" localSheetId="25" hidden="1">{#N/A,#N/A,FALSE,"1.CRITERIA";#N/A,#N/A,FALSE,"2.IS";#N/A,#N/A,FALSE,"3.BS";#N/A,#N/A,FALSE,"4.PER PL";#N/A,#N/A,FALSE,"5.INVESTMENT";#N/A,#N/A,FALSE,"6.공문";#N/A,#N/A,FALSE,"7.netinvest"}</definedName>
    <definedName name="영" hidden="1">{#N/A,#N/A,FALSE,"1.CRITERIA";#N/A,#N/A,FALSE,"2.IS";#N/A,#N/A,FALSE,"3.BS";#N/A,#N/A,FALSE,"4.PER PL";#N/A,#N/A,FALSE,"5.INVESTMENT";#N/A,#N/A,FALSE,"6.공문";#N/A,#N/A,FALSE,"7.netinvest"}</definedName>
    <definedName name="영구" localSheetId="24" hidden="1">{#N/A,#N/A,FALSE,"지침";#N/A,#N/A,FALSE,"환경분석";#N/A,#N/A,FALSE,"Sheet16"}</definedName>
    <definedName name="영구" localSheetId="18" hidden="1">{#N/A,#N/A,FALSE,"지침";#N/A,#N/A,FALSE,"환경분석";#N/A,#N/A,FALSE,"Sheet16"}</definedName>
    <definedName name="영구" localSheetId="25" hidden="1">{#N/A,#N/A,FALSE,"지침";#N/A,#N/A,FALSE,"환경분석";#N/A,#N/A,FALSE,"Sheet16"}</definedName>
    <definedName name="영구" hidden="1">{#N/A,#N/A,FALSE,"지침";#N/A,#N/A,FALSE,"환경분석";#N/A,#N/A,FALSE,"Sheet16"}</definedName>
    <definedName name="영성기업" localSheetId="24" hidden="1">{#N/A,#N/A,FALSE,"범우구미";#N/A,#N/A,FALSE,"세한케미칼";#N/A,#N/A,FALSE,"세명화학";#N/A,#N/A,FALSE,"신영케미칼";#N/A,#N/A,FALSE,"일석상사"}</definedName>
    <definedName name="영성기업" localSheetId="18" hidden="1">{#N/A,#N/A,FALSE,"범우구미";#N/A,#N/A,FALSE,"세한케미칼";#N/A,#N/A,FALSE,"세명화학";#N/A,#N/A,FALSE,"신영케미칼";#N/A,#N/A,FALSE,"일석상사"}</definedName>
    <definedName name="영성기업" localSheetId="25" hidden="1">{#N/A,#N/A,FALSE,"범우구미";#N/A,#N/A,FALSE,"세한케미칼";#N/A,#N/A,FALSE,"세명화학";#N/A,#N/A,FALSE,"신영케미칼";#N/A,#N/A,FALSE,"일석상사"}</definedName>
    <definedName name="영성기업" hidden="1">{#N/A,#N/A,FALSE,"범우구미";#N/A,#N/A,FALSE,"세한케미칼";#N/A,#N/A,FALSE,"세명화학";#N/A,#N/A,FALSE,"신영케미칼";#N/A,#N/A,FALSE,"일석상사"}</definedName>
    <definedName name="영업수" localSheetId="24" hidden="1">{#N/A,#N/A,FALSE,"1.CRITERIA";#N/A,#N/A,FALSE,"2.IS";#N/A,#N/A,FALSE,"3.BS";#N/A,#N/A,FALSE,"4.PER PL";#N/A,#N/A,FALSE,"5.INVESTMENT";#N/A,#N/A,FALSE,"6.공문";#N/A,#N/A,FALSE,"7.netinvest"}</definedName>
    <definedName name="영업수" localSheetId="18" hidden="1">{#N/A,#N/A,FALSE,"1.CRITERIA";#N/A,#N/A,FALSE,"2.IS";#N/A,#N/A,FALSE,"3.BS";#N/A,#N/A,FALSE,"4.PER PL";#N/A,#N/A,FALSE,"5.INVESTMENT";#N/A,#N/A,FALSE,"6.공문";#N/A,#N/A,FALSE,"7.netinvest"}</definedName>
    <definedName name="영업수" localSheetId="25" hidden="1">{#N/A,#N/A,FALSE,"1.CRITERIA";#N/A,#N/A,FALSE,"2.IS";#N/A,#N/A,FALSE,"3.BS";#N/A,#N/A,FALSE,"4.PER PL";#N/A,#N/A,FALSE,"5.INVESTMENT";#N/A,#N/A,FALSE,"6.공문";#N/A,#N/A,FALSE,"7.netinvest"}</definedName>
    <definedName name="영업수" hidden="1">{#N/A,#N/A,FALSE,"1.CRITERIA";#N/A,#N/A,FALSE,"2.IS";#N/A,#N/A,FALSE,"3.BS";#N/A,#N/A,FALSE,"4.PER PL";#N/A,#N/A,FALSE,"5.INVESTMENT";#N/A,#N/A,FALSE,"6.공문";#N/A,#N/A,FALSE,"7.netinvest"}</definedName>
    <definedName name="영업수익" localSheetId="24" hidden="1">{#N/A,#N/A,FALSE,"1.CRITERIA";#N/A,#N/A,FALSE,"2.IS";#N/A,#N/A,FALSE,"3.BS";#N/A,#N/A,FALSE,"4.PER PL";#N/A,#N/A,FALSE,"5.INVESTMENT";#N/A,#N/A,FALSE,"6.공문";#N/A,#N/A,FALSE,"7.netinvest"}</definedName>
    <definedName name="영업수익" localSheetId="18" hidden="1">{#N/A,#N/A,FALSE,"1.CRITERIA";#N/A,#N/A,FALSE,"2.IS";#N/A,#N/A,FALSE,"3.BS";#N/A,#N/A,FALSE,"4.PER PL";#N/A,#N/A,FALSE,"5.INVESTMENT";#N/A,#N/A,FALSE,"6.공문";#N/A,#N/A,FALSE,"7.netinvest"}</definedName>
    <definedName name="영업수익" localSheetId="25" hidden="1">{#N/A,#N/A,FALSE,"1.CRITERIA";#N/A,#N/A,FALSE,"2.IS";#N/A,#N/A,FALSE,"3.BS";#N/A,#N/A,FALSE,"4.PER PL";#N/A,#N/A,FALSE,"5.INVESTMENT";#N/A,#N/A,FALSE,"6.공문";#N/A,#N/A,FALSE,"7.netinvest"}</definedName>
    <definedName name="영업수익" hidden="1">{#N/A,#N/A,FALSE,"1.CRITERIA";#N/A,#N/A,FALSE,"2.IS";#N/A,#N/A,FALSE,"3.BS";#N/A,#N/A,FALSE,"4.PER PL";#N/A,#N/A,FALSE,"5.INVESTMENT";#N/A,#N/A,FALSE,"6.공문";#N/A,#N/A,FALSE,"7.netinvest"}</definedName>
    <definedName name="영업외비용" localSheetId="24" hidden="1">{#N/A,#N/A,FALSE,"BS";#N/A,#N/A,FALSE,"PL";#N/A,#N/A,FALSE,"처분";#N/A,#N/A,FALSE,"현금";#N/A,#N/A,FALSE,"매출";#N/A,#N/A,FALSE,"원가";#N/A,#N/A,FALSE,"경영"}</definedName>
    <definedName name="영업외비용" localSheetId="18" hidden="1">{#N/A,#N/A,FALSE,"BS";#N/A,#N/A,FALSE,"PL";#N/A,#N/A,FALSE,"처분";#N/A,#N/A,FALSE,"현금";#N/A,#N/A,FALSE,"매출";#N/A,#N/A,FALSE,"원가";#N/A,#N/A,FALSE,"경영"}</definedName>
    <definedName name="영업외비용" localSheetId="25" hidden="1">{#N/A,#N/A,FALSE,"BS";#N/A,#N/A,FALSE,"PL";#N/A,#N/A,FALSE,"처분";#N/A,#N/A,FALSE,"현금";#N/A,#N/A,FALSE,"매출";#N/A,#N/A,FALSE,"원가";#N/A,#N/A,FALSE,"경영"}</definedName>
    <definedName name="영업외비용" hidden="1">{#N/A,#N/A,FALSE,"BS";#N/A,#N/A,FALSE,"PL";#N/A,#N/A,FALSE,"처분";#N/A,#N/A,FALSE,"현금";#N/A,#N/A,FALSE,"매출";#N/A,#N/A,FALSE,"원가";#N/A,#N/A,FALSE,"경영"}</definedName>
    <definedName name="영업외수익" localSheetId="24" hidden="1">{#N/A,#N/A,FALSE,"1.CRITERIA";#N/A,#N/A,FALSE,"2.IS";#N/A,#N/A,FALSE,"3.BS";#N/A,#N/A,FALSE,"4.PER PL";#N/A,#N/A,FALSE,"5.INVESTMENT";#N/A,#N/A,FALSE,"6.공문";#N/A,#N/A,FALSE,"7.netinvest"}</definedName>
    <definedName name="영업외수익" localSheetId="18" hidden="1">{#N/A,#N/A,FALSE,"1.CRITERIA";#N/A,#N/A,FALSE,"2.IS";#N/A,#N/A,FALSE,"3.BS";#N/A,#N/A,FALSE,"4.PER PL";#N/A,#N/A,FALSE,"5.INVESTMENT";#N/A,#N/A,FALSE,"6.공문";#N/A,#N/A,FALSE,"7.netinvest"}</definedName>
    <definedName name="영업외수익" localSheetId="25" hidden="1">{#N/A,#N/A,FALSE,"1.CRITERIA";#N/A,#N/A,FALSE,"2.IS";#N/A,#N/A,FALSE,"3.BS";#N/A,#N/A,FALSE,"4.PER PL";#N/A,#N/A,FALSE,"5.INVESTMENT";#N/A,#N/A,FALSE,"6.공문";#N/A,#N/A,FALSE,"7.netinvest"}</definedName>
    <definedName name="영업외수익" hidden="1">{#N/A,#N/A,FALSE,"1.CRITERIA";#N/A,#N/A,FALSE,"2.IS";#N/A,#N/A,FALSE,"3.BS";#N/A,#N/A,FALSE,"4.PER PL";#N/A,#N/A,FALSE,"5.INVESTMENT";#N/A,#N/A,FALSE,"6.공문";#N/A,#N/A,FALSE,"7.netinvest"}</definedName>
    <definedName name="영업인건배부" localSheetId="24" hidden="1">{#N/A,#N/A,FALSE,"97년 투자계획 세부내역 "}</definedName>
    <definedName name="영업인건배부" localSheetId="18" hidden="1">{#N/A,#N/A,FALSE,"97년 투자계획 세부내역 "}</definedName>
    <definedName name="영업인건배부" localSheetId="25" hidden="1">{#N/A,#N/A,FALSE,"97년 투자계획 세부내역 "}</definedName>
    <definedName name="영업인건배부" hidden="1">{#N/A,#N/A,FALSE,"97년 투자계획 세부내역 "}</definedName>
    <definedName name="영업인건비배부" localSheetId="24" hidden="1">{#N/A,#N/A,FALSE,"97년 투자계획 세부내역 "}</definedName>
    <definedName name="영업인건비배부" localSheetId="18" hidden="1">{#N/A,#N/A,FALSE,"97년 투자계획 세부내역 "}</definedName>
    <definedName name="영업인건비배부" localSheetId="25" hidden="1">{#N/A,#N/A,FALSE,"97년 투자계획 세부내역 "}</definedName>
    <definedName name="영업인건비배부" hidden="1">{#N/A,#N/A,FALSE,"97년 투자계획 세부내역 "}</definedName>
    <definedName name="영업현금" localSheetId="24" hidden="1">{#N/A,#N/A,FALSE,"지침";#N/A,#N/A,FALSE,"환경분석";#N/A,#N/A,FALSE,"Sheet16"}</definedName>
    <definedName name="영업현금" localSheetId="18" hidden="1">{#N/A,#N/A,FALSE,"지침";#N/A,#N/A,FALSE,"환경분석";#N/A,#N/A,FALSE,"Sheet16"}</definedName>
    <definedName name="영업현금" localSheetId="25" hidden="1">{#N/A,#N/A,FALSE,"지침";#N/A,#N/A,FALSE,"환경분석";#N/A,#N/A,FALSE,"Sheet16"}</definedName>
    <definedName name="영업현금" hidden="1">{#N/A,#N/A,FALSE,"지침";#N/A,#N/A,FALSE,"환경분석";#N/A,#N/A,FALSE,"Sheet16"}</definedName>
    <definedName name="예금" localSheetId="24" hidden="1">{#N/A,#N/A,FALSE,"1.CRITERIA";#N/A,#N/A,FALSE,"2.IS";#N/A,#N/A,FALSE,"3.BS";#N/A,#N/A,FALSE,"4.PER PL";#N/A,#N/A,FALSE,"5.INVESTMENT";#N/A,#N/A,FALSE,"6.공문";#N/A,#N/A,FALSE,"7.netinvest"}</definedName>
    <definedName name="예금" localSheetId="18" hidden="1">{#N/A,#N/A,FALSE,"1.CRITERIA";#N/A,#N/A,FALSE,"2.IS";#N/A,#N/A,FALSE,"3.BS";#N/A,#N/A,FALSE,"4.PER PL";#N/A,#N/A,FALSE,"5.INVESTMENT";#N/A,#N/A,FALSE,"6.공문";#N/A,#N/A,FALSE,"7.netinvest"}</definedName>
    <definedName name="예금" localSheetId="25" hidden="1">{#N/A,#N/A,FALSE,"1.CRITERIA";#N/A,#N/A,FALSE,"2.IS";#N/A,#N/A,FALSE,"3.BS";#N/A,#N/A,FALSE,"4.PER PL";#N/A,#N/A,FALSE,"5.INVESTMENT";#N/A,#N/A,FALSE,"6.공문";#N/A,#N/A,FALSE,"7.netinvest"}</definedName>
    <definedName name="예금" hidden="1">{#N/A,#N/A,FALSE,"1.CRITERIA";#N/A,#N/A,FALSE,"2.IS";#N/A,#N/A,FALSE,"3.BS";#N/A,#N/A,FALSE,"4.PER PL";#N/A,#N/A,FALSE,"5.INVESTMENT";#N/A,#N/A,FALSE,"6.공문";#N/A,#N/A,FALSE,"7.netinvest"}</definedName>
    <definedName name="예금2"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예금2"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예금2" localSheetId="25"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예금2"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예산" localSheetId="24" hidden="1">{#N/A,#N/A,FALSE,"이력서&amp;자기소개서"}</definedName>
    <definedName name="예산" localSheetId="18" hidden="1">{#N/A,#N/A,FALSE,"이력서&amp;자기소개서"}</definedName>
    <definedName name="예산" localSheetId="25" hidden="1">{#N/A,#N/A,FALSE,"이력서&amp;자기소개서"}</definedName>
    <definedName name="예산" hidden="1">{#N/A,#N/A,FALSE,"이력서&amp;자기소개서"}</definedName>
    <definedName name="예산내역" localSheetId="24" hidden="1">{"'용역비'!$A$4:$C$8"}</definedName>
    <definedName name="예산내역" localSheetId="18" hidden="1">{"'용역비'!$A$4:$C$8"}</definedName>
    <definedName name="예산내역" localSheetId="25" hidden="1">{"'용역비'!$A$4:$C$8"}</definedName>
    <definedName name="예산내역" hidden="1">{"'용역비'!$A$4:$C$8"}</definedName>
    <definedName name="예산서"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산서"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산서" localSheetId="25"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산서"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상" localSheetId="24" hidden="1">{#N/A,#N/A,FALSE,"97년 투자계획 세부내역 "}</definedName>
    <definedName name="예상" localSheetId="18" hidden="1">{#N/A,#N/A,FALSE,"97년 투자계획 세부내역 "}</definedName>
    <definedName name="예상" localSheetId="25" hidden="1">{#N/A,#N/A,FALSE,"97년 투자계획 세부내역 "}</definedName>
    <definedName name="예상" hidden="1">{#N/A,#N/A,FALSE,"97년 투자계획 세부내역 "}</definedName>
    <definedName name="예상도급내역" localSheetId="24" hidden="1">{#N/A,#N/A,FALSE,"CCTV"}</definedName>
    <definedName name="예상도급내역" localSheetId="18" hidden="1">{#N/A,#N/A,FALSE,"CCTV"}</definedName>
    <definedName name="예상도급내역" localSheetId="25" hidden="1">{#N/A,#N/A,FALSE,"CCTV"}</definedName>
    <definedName name="예상도급내역" hidden="1">{#N/A,#N/A,FALSE,"CCTV"}</definedName>
    <definedName name="예상마감" localSheetId="24" hidden="1">{"'9월'!$F$38"}</definedName>
    <definedName name="예상마감" localSheetId="18" hidden="1">{"'9월'!$F$38"}</definedName>
    <definedName name="예상마감" localSheetId="25" hidden="1">{"'9월'!$F$38"}</definedName>
    <definedName name="예상마감" hidden="1">{"'9월'!$F$38"}</definedName>
    <definedName name="예신사"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신사"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신사" localSheetId="25"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신사"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오" localSheetId="24" hidden="1">{#N/A,#N/A,FALSE,"1.CRITERIA";#N/A,#N/A,FALSE,"2.IS";#N/A,#N/A,FALSE,"3.BS";#N/A,#N/A,FALSE,"4.PER PL";#N/A,#N/A,FALSE,"5.INVESTMENT";#N/A,#N/A,FALSE,"6.공문";#N/A,#N/A,FALSE,"7.netinvest"}</definedName>
    <definedName name="오" localSheetId="18" hidden="1">{#N/A,#N/A,FALSE,"1.CRITERIA";#N/A,#N/A,FALSE,"2.IS";#N/A,#N/A,FALSE,"3.BS";#N/A,#N/A,FALSE,"4.PER PL";#N/A,#N/A,FALSE,"5.INVESTMENT";#N/A,#N/A,FALSE,"6.공문";#N/A,#N/A,FALSE,"7.netinvest"}</definedName>
    <definedName name="오" localSheetId="25" hidden="1">{#N/A,#N/A,FALSE,"1.CRITERIA";#N/A,#N/A,FALSE,"2.IS";#N/A,#N/A,FALSE,"3.BS";#N/A,#N/A,FALSE,"4.PER PL";#N/A,#N/A,FALSE,"5.INVESTMENT";#N/A,#N/A,FALSE,"6.공문";#N/A,#N/A,FALSE,"7.netinvest"}</definedName>
    <definedName name="오" hidden="1">{#N/A,#N/A,FALSE,"1.CRITERIA";#N/A,#N/A,FALSE,"2.IS";#N/A,#N/A,FALSE,"3.BS";#N/A,#N/A,FALSE,"4.PER PL";#N/A,#N/A,FALSE,"5.INVESTMENT";#N/A,#N/A,FALSE,"6.공문";#N/A,#N/A,FALSE,"7.netinvest"}</definedName>
    <definedName name="오금동" localSheetId="24" hidden="1">{#N/A,#N/A,FALSE,"Sheet6"}</definedName>
    <definedName name="오금동" localSheetId="18" hidden="1">{#N/A,#N/A,FALSE,"Sheet6"}</definedName>
    <definedName name="오금동" localSheetId="25" hidden="1">{#N/A,#N/A,FALSE,"Sheet6"}</definedName>
    <definedName name="오금동" hidden="1">{#N/A,#N/A,FALSE,"Sheet6"}</definedName>
    <definedName name="오서방" localSheetId="24" hidden="1">{#N/A,#N/A,FALSE,"97년 투자계획 세부내역 "}</definedName>
    <definedName name="오서방" localSheetId="18" hidden="1">{#N/A,#N/A,FALSE,"97년 투자계획 세부내역 "}</definedName>
    <definedName name="오서방" localSheetId="25" hidden="1">{#N/A,#N/A,FALSE,"97년 투자계획 세부내역 "}</definedName>
    <definedName name="오서방" hidden="1">{#N/A,#N/A,FALSE,"97년 투자계획 세부내역 "}</definedName>
    <definedName name="오성협" localSheetId="24" hidden="1">{#N/A,#N/A,TRUE,"Y생산";#N/A,#N/A,TRUE,"Y판매";#N/A,#N/A,TRUE,"Y총물량";#N/A,#N/A,TRUE,"Y능력";#N/A,#N/A,TRUE,"YKD"}</definedName>
    <definedName name="오성협" localSheetId="18" hidden="1">{#N/A,#N/A,TRUE,"Y생산";#N/A,#N/A,TRUE,"Y판매";#N/A,#N/A,TRUE,"Y총물량";#N/A,#N/A,TRUE,"Y능력";#N/A,#N/A,TRUE,"YKD"}</definedName>
    <definedName name="오성협" localSheetId="25" hidden="1">{#N/A,#N/A,TRUE,"Y생산";#N/A,#N/A,TRUE,"Y판매";#N/A,#N/A,TRUE,"Y총물량";#N/A,#N/A,TRUE,"Y능력";#N/A,#N/A,TRUE,"YKD"}</definedName>
    <definedName name="오성협" hidden="1">{#N/A,#N/A,TRUE,"Y생산";#N/A,#N/A,TRUE,"Y판매";#N/A,#N/A,TRUE,"Y총물량";#N/A,#N/A,TRUE,"Y능력";#N/A,#N/A,TRUE,"YKD"}</definedName>
    <definedName name="오세범" localSheetId="24" hidden="1">{#N/A,#N/A,FALSE,"97년 투자계획 세부내역 "}</definedName>
    <definedName name="오세범" localSheetId="18" hidden="1">{#N/A,#N/A,FALSE,"97년 투자계획 세부내역 "}</definedName>
    <definedName name="오세범" localSheetId="25" hidden="1">{#N/A,#N/A,FALSE,"97년 투자계획 세부내역 "}</definedName>
    <definedName name="오세범" hidden="1">{#N/A,#N/A,FALSE,"97년 투자계획 세부내역 "}</definedName>
    <definedName name="오세범1" localSheetId="24" hidden="1">{#N/A,#N/A,FALSE,"97년 투자계획 세부내역 "}</definedName>
    <definedName name="오세범1" localSheetId="18" hidden="1">{#N/A,#N/A,FALSE,"97년 투자계획 세부내역 "}</definedName>
    <definedName name="오세범1" localSheetId="25" hidden="1">{#N/A,#N/A,FALSE,"97년 투자계획 세부내역 "}</definedName>
    <definedName name="오세범1" hidden="1">{#N/A,#N/A,FALSE,"97년 투자계획 세부내역 "}</definedName>
    <definedName name="오세범2" localSheetId="24" hidden="1">{#N/A,#N/A,FALSE,"97년 투자계획 세부내역 "}</definedName>
    <definedName name="오세범2" localSheetId="18" hidden="1">{#N/A,#N/A,FALSE,"97년 투자계획 세부내역 "}</definedName>
    <definedName name="오세범2" localSheetId="25" hidden="1">{#N/A,#N/A,FALSE,"97년 투자계획 세부내역 "}</definedName>
    <definedName name="오세범2" hidden="1">{#N/A,#N/A,FALSE,"97년 투자계획 세부내역 "}</definedName>
    <definedName name="오세범3" localSheetId="24" hidden="1">{#N/A,#N/A,FALSE,"97년 투자계획 세부내역 "}</definedName>
    <definedName name="오세범3" localSheetId="18" hidden="1">{#N/A,#N/A,FALSE,"97년 투자계획 세부내역 "}</definedName>
    <definedName name="오세범3" localSheetId="25" hidden="1">{#N/A,#N/A,FALSE,"97년 투자계획 세부내역 "}</definedName>
    <definedName name="오세범3" hidden="1">{#N/A,#N/A,FALSE,"97년 투자계획 세부내역 "}</definedName>
    <definedName name="오소처리장" localSheetId="24" hidden="1">{#N/A,#N/A,FALSE,"97년 투자계획 세부내역 "}</definedName>
    <definedName name="오소처리장" localSheetId="18" hidden="1">{#N/A,#N/A,FALSE,"97년 투자계획 세부내역 "}</definedName>
    <definedName name="오소처리장" localSheetId="25" hidden="1">{#N/A,#N/A,FALSE,"97년 투자계획 세부내역 "}</definedName>
    <definedName name="오소처리장" hidden="1">{#N/A,#N/A,FALSE,"97년 투자계획 세부내역 "}</definedName>
    <definedName name="오수토공" localSheetId="24" hidden="1">{#N/A,#N/A,FALSE,"기안지";#N/A,#N/A,FALSE,"통신지"}</definedName>
    <definedName name="오수토공" localSheetId="18" hidden="1">{#N/A,#N/A,FALSE,"기안지";#N/A,#N/A,FALSE,"통신지"}</definedName>
    <definedName name="오수토공" localSheetId="25" hidden="1">{#N/A,#N/A,FALSE,"기안지";#N/A,#N/A,FALSE,"통신지"}</definedName>
    <definedName name="오수토공" hidden="1">{#N/A,#N/A,FALSE,"기안지";#N/A,#N/A,FALSE,"통신지"}</definedName>
    <definedName name="오피스임대료" localSheetId="24" hidden="1">{#N/A,#N/A,TRUE,"대 차 대 조 표"}</definedName>
    <definedName name="오피스임대료" localSheetId="18" hidden="1">{#N/A,#N/A,TRUE,"대 차 대 조 표"}</definedName>
    <definedName name="오피스임대료" localSheetId="25" hidden="1">{#N/A,#N/A,TRUE,"대 차 대 조 표"}</definedName>
    <definedName name="오피스임대료" hidden="1">{#N/A,#N/A,TRUE,"대 차 대 조 표"}</definedName>
    <definedName name="옥외대비" localSheetId="24" hidden="1">{#N/A,#N/A,FALSE,"이태원철근"}</definedName>
    <definedName name="옥외대비" localSheetId="18" hidden="1">{#N/A,#N/A,FALSE,"이태원철근"}</definedName>
    <definedName name="옥외대비" localSheetId="25" hidden="1">{#N/A,#N/A,FALSE,"이태원철근"}</definedName>
    <definedName name="옥외대비" hidden="1">{#N/A,#N/A,FALSE,"이태원철근"}</definedName>
    <definedName name="옳ㅇ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옳ㅇ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옳ㅇ로"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옳ㅇ로" hidden="1">{#N/A,#N/A,FALSE,"손익표지";#N/A,#N/A,FALSE,"손익계산";#N/A,#N/A,FALSE,"일반관리비";#N/A,#N/A,FALSE,"영업외수익";#N/A,#N/A,FALSE,"영업외비용";#N/A,#N/A,FALSE,"매출액";#N/A,#N/A,FALSE,"요약손익";#N/A,#N/A,FALSE,"요약대차";#N/A,#N/A,FALSE,"매출채권현황";#N/A,#N/A,FALSE,"매출채권명세"}</definedName>
    <definedName name="왜이래"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왜이래"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왜이래"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왜이래" hidden="1">{#N/A,#N/A,FALSE,"손익표지";#N/A,#N/A,FALSE,"손익계산";#N/A,#N/A,FALSE,"일반관리비";#N/A,#N/A,FALSE,"영업외수익";#N/A,#N/A,FALSE,"영업외비용";#N/A,#N/A,FALSE,"매출액";#N/A,#N/A,FALSE,"요약손익";#N/A,#N/A,FALSE,"요약대차";#N/A,#N/A,FALSE,"매출채권현황";#N/A,#N/A,FALSE,"매출채권명세"}</definedName>
    <definedName name="외예금" localSheetId="24" hidden="1">{#N/A,#N/A,FALSE,"1.CRITERIA";#N/A,#N/A,FALSE,"2.IS";#N/A,#N/A,FALSE,"3.BS";#N/A,#N/A,FALSE,"4.PER PL";#N/A,#N/A,FALSE,"5.INVESTMENT";#N/A,#N/A,FALSE,"6.공문";#N/A,#N/A,FALSE,"7.netinvest"}</definedName>
    <definedName name="외예금" localSheetId="18" hidden="1">{#N/A,#N/A,FALSE,"1.CRITERIA";#N/A,#N/A,FALSE,"2.IS";#N/A,#N/A,FALSE,"3.BS";#N/A,#N/A,FALSE,"4.PER PL";#N/A,#N/A,FALSE,"5.INVESTMENT";#N/A,#N/A,FALSE,"6.공문";#N/A,#N/A,FALSE,"7.netinvest"}</definedName>
    <definedName name="외예금" localSheetId="25" hidden="1">{#N/A,#N/A,FALSE,"1.CRITERIA";#N/A,#N/A,FALSE,"2.IS";#N/A,#N/A,FALSE,"3.BS";#N/A,#N/A,FALSE,"4.PER PL";#N/A,#N/A,FALSE,"5.INVESTMENT";#N/A,#N/A,FALSE,"6.공문";#N/A,#N/A,FALSE,"7.netinvest"}</definedName>
    <definedName name="외예금" hidden="1">{#N/A,#N/A,FALSE,"1.CRITERIA";#N/A,#N/A,FALSE,"2.IS";#N/A,#N/A,FALSE,"3.BS";#N/A,#N/A,FALSE,"4.PER PL";#N/A,#N/A,FALSE,"5.INVESTMENT";#N/A,#N/A,FALSE,"6.공문";#N/A,#N/A,FALSE,"7.netinvest"}</definedName>
    <definedName name="요" localSheetId="24" hidden="1">{#N/A,#N/A,FALSE,"1.CRITERIA";#N/A,#N/A,FALSE,"2.IS";#N/A,#N/A,FALSE,"3.BS";#N/A,#N/A,FALSE,"4.PER PL";#N/A,#N/A,FALSE,"5.INVESTMENT";#N/A,#N/A,FALSE,"6.공문";#N/A,#N/A,FALSE,"7.netinvest"}</definedName>
    <definedName name="요" localSheetId="18" hidden="1">{#N/A,#N/A,FALSE,"1.CRITERIA";#N/A,#N/A,FALSE,"2.IS";#N/A,#N/A,FALSE,"3.BS";#N/A,#N/A,FALSE,"4.PER PL";#N/A,#N/A,FALSE,"5.INVESTMENT";#N/A,#N/A,FALSE,"6.공문";#N/A,#N/A,FALSE,"7.netinvest"}</definedName>
    <definedName name="요" localSheetId="25" hidden="1">{#N/A,#N/A,FALSE,"1.CRITERIA";#N/A,#N/A,FALSE,"2.IS";#N/A,#N/A,FALSE,"3.BS";#N/A,#N/A,FALSE,"4.PER PL";#N/A,#N/A,FALSE,"5.INVESTMENT";#N/A,#N/A,FALSE,"6.공문";#N/A,#N/A,FALSE,"7.netinvest"}</definedName>
    <definedName name="요" hidden="1">{#N/A,#N/A,FALSE,"1.CRITERIA";#N/A,#N/A,FALSE,"2.IS";#N/A,#N/A,FALSE,"3.BS";#N/A,#N/A,FALSE,"4.PER PL";#N/A,#N/A,FALSE,"5.INVESTMENT";#N/A,#N/A,FALSE,"6.공문";#N/A,#N/A,FALSE,"7.netinvest"}</definedName>
    <definedName name="요약1" localSheetId="24" hidden="1">{"'7'!$B$15:$D$32"}</definedName>
    <definedName name="요약1" localSheetId="18" hidden="1">{"'7'!$B$15:$D$32"}</definedName>
    <definedName name="요약1" localSheetId="25" hidden="1">{"'7'!$B$15:$D$32"}</definedName>
    <definedName name="요약1" hidden="1">{"'7'!$B$15:$D$32"}</definedName>
    <definedName name="용역비" localSheetId="24" hidden="1">{"'7'!$B$15:$D$32"}</definedName>
    <definedName name="용역비" localSheetId="18" hidden="1">{"'7'!$B$15:$D$32"}</definedName>
    <definedName name="용역비" localSheetId="25" hidden="1">{"'7'!$B$15:$D$32"}</definedName>
    <definedName name="용역비" hidden="1">{"'7'!$B$15:$D$32"}</definedName>
    <definedName name="운영"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운영"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운영"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운영" hidden="1">{#N/A,#N/A,FALSE,"손익표지";#N/A,#N/A,FALSE,"손익계산";#N/A,#N/A,FALSE,"일반관리비";#N/A,#N/A,FALSE,"영업외수익";#N/A,#N/A,FALSE,"영업외비용";#N/A,#N/A,FALSE,"매출액";#N/A,#N/A,FALSE,"요약손익";#N/A,#N/A,FALSE,"요약대차";#N/A,#N/A,FALSE,"매출채권현황";#N/A,#N/A,FALSE,"매출채권명세"}</definedName>
    <definedName name="운영개선" localSheetId="24" hidden="1">{"'7'!$B$15:$D$32"}</definedName>
    <definedName name="운영개선" localSheetId="18" hidden="1">{"'7'!$B$15:$D$32"}</definedName>
    <definedName name="운영개선" localSheetId="25" hidden="1">{"'7'!$B$15:$D$32"}</definedName>
    <definedName name="운영개선" hidden="1">{"'7'!$B$15:$D$32"}</definedName>
    <definedName name="운영팀2" localSheetId="24" hidden="1">{#N/A,#N/A,TRUE,"Y생산";#N/A,#N/A,TRUE,"Y판매";#N/A,#N/A,TRUE,"Y총물량";#N/A,#N/A,TRUE,"Y능력";#N/A,#N/A,TRUE,"YKD"}</definedName>
    <definedName name="운영팀2" localSheetId="18" hidden="1">{#N/A,#N/A,TRUE,"Y생산";#N/A,#N/A,TRUE,"Y판매";#N/A,#N/A,TRUE,"Y총물량";#N/A,#N/A,TRUE,"Y능력";#N/A,#N/A,TRUE,"YKD"}</definedName>
    <definedName name="운영팀2" localSheetId="25" hidden="1">{#N/A,#N/A,TRUE,"Y생산";#N/A,#N/A,TRUE,"Y판매";#N/A,#N/A,TRUE,"Y총물량";#N/A,#N/A,TRUE,"Y능력";#N/A,#N/A,TRUE,"YKD"}</definedName>
    <definedName name="운영팀2" hidden="1">{#N/A,#N/A,TRUE,"Y생산";#N/A,#N/A,TRUE,"Y판매";#N/A,#N/A,TRUE,"Y총물량";#N/A,#N/A,TRUE,"Y능력";#N/A,#N/A,TRUE,"YKD"}</definedName>
    <definedName name="운영팀2_1" localSheetId="24" hidden="1">{#N/A,#N/A,TRUE,"Y생산";#N/A,#N/A,TRUE,"Y판매";#N/A,#N/A,TRUE,"Y총물량";#N/A,#N/A,TRUE,"Y능력";#N/A,#N/A,TRUE,"YKD"}</definedName>
    <definedName name="운영팀2_1" localSheetId="18" hidden="1">{#N/A,#N/A,TRUE,"Y생산";#N/A,#N/A,TRUE,"Y판매";#N/A,#N/A,TRUE,"Y총물량";#N/A,#N/A,TRUE,"Y능력";#N/A,#N/A,TRUE,"YKD"}</definedName>
    <definedName name="운영팀2_1" localSheetId="25" hidden="1">{#N/A,#N/A,TRUE,"Y생산";#N/A,#N/A,TRUE,"Y판매";#N/A,#N/A,TRUE,"Y총물량";#N/A,#N/A,TRUE,"Y능력";#N/A,#N/A,TRUE,"YKD"}</definedName>
    <definedName name="운영팀2_1" hidden="1">{#N/A,#N/A,TRUE,"Y생산";#N/A,#N/A,TRUE,"Y판매";#N/A,#N/A,TRUE,"Y총물량";#N/A,#N/A,TRUE,"Y능력";#N/A,#N/A,TRUE,"YKD"}</definedName>
    <definedName name="울산"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울산"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울산"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울산" hidden="1">{#N/A,#N/A,FALSE,"손익표지";#N/A,#N/A,FALSE,"손익계산";#N/A,#N/A,FALSE,"일반관리비";#N/A,#N/A,FALSE,"영업외수익";#N/A,#N/A,FALSE,"영업외비용";#N/A,#N/A,FALSE,"매출액";#N/A,#N/A,FALSE,"요약손익";#N/A,#N/A,FALSE,"요약대차";#N/A,#N/A,FALSE,"매출채권현황";#N/A,#N/A,FALSE,"매출채권명세"}</definedName>
    <definedName name="원가"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간"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간"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간"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간"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산19"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산19"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산19"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산19"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분석" localSheetId="24" hidden="1">{#N/A,#N/A,FALSE,"1.CRITERIA";#N/A,#N/A,FALSE,"2.IS";#N/A,#N/A,FALSE,"3.BS";#N/A,#N/A,FALSE,"4.PER PL";#N/A,#N/A,FALSE,"5.INVESTMENT";#N/A,#N/A,FALSE,"6.공문";#N/A,#N/A,FALSE,"7.netinvest"}</definedName>
    <definedName name="원가분석" localSheetId="18" hidden="1">{#N/A,#N/A,FALSE,"1.CRITERIA";#N/A,#N/A,FALSE,"2.IS";#N/A,#N/A,FALSE,"3.BS";#N/A,#N/A,FALSE,"4.PER PL";#N/A,#N/A,FALSE,"5.INVESTMENT";#N/A,#N/A,FALSE,"6.공문";#N/A,#N/A,FALSE,"7.netinvest"}</definedName>
    <definedName name="원가분석" localSheetId="25" hidden="1">{#N/A,#N/A,FALSE,"1.CRITERIA";#N/A,#N/A,FALSE,"2.IS";#N/A,#N/A,FALSE,"3.BS";#N/A,#N/A,FALSE,"4.PER PL";#N/A,#N/A,FALSE,"5.INVESTMENT";#N/A,#N/A,FALSE,"6.공문";#N/A,#N/A,FALSE,"7.netinvest"}</definedName>
    <definedName name="원가분석" hidden="1">{#N/A,#N/A,FALSE,"1.CRITERIA";#N/A,#N/A,FALSE,"2.IS";#N/A,#N/A,FALSE,"3.BS";#N/A,#N/A,FALSE,"4.PER PL";#N/A,#N/A,FALSE,"5.INVESTMENT";#N/A,#N/A,FALSE,"6.공문";#N/A,#N/A,FALSE,"7.netinvest"}</definedName>
    <definedName name="원각"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각"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각"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각"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기기ㅣㅇ"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기기ㅣㅇ"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기기ㅣㅇ"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기기ㅣ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본1" localSheetId="24" hidden="1">{#N/A,#N/A,FALSE,"단축1";#N/A,#N/A,FALSE,"단축2";#N/A,#N/A,FALSE,"단축3";#N/A,#N/A,FALSE,"장축";#N/A,#N/A,FALSE,"4WD"}</definedName>
    <definedName name="원본1" localSheetId="18" hidden="1">{#N/A,#N/A,FALSE,"단축1";#N/A,#N/A,FALSE,"단축2";#N/A,#N/A,FALSE,"단축3";#N/A,#N/A,FALSE,"장축";#N/A,#N/A,FALSE,"4WD"}</definedName>
    <definedName name="원본1" localSheetId="25" hidden="1">{#N/A,#N/A,FALSE,"단축1";#N/A,#N/A,FALSE,"단축2";#N/A,#N/A,FALSE,"단축3";#N/A,#N/A,FALSE,"장축";#N/A,#N/A,FALSE,"4WD"}</definedName>
    <definedName name="원본1" hidden="1">{#N/A,#N/A,FALSE,"단축1";#N/A,#N/A,FALSE,"단축2";#N/A,#N/A,FALSE,"단축3";#N/A,#N/A,FALSE,"장축";#N/A,#N/A,FALSE,"4WD"}</definedName>
    <definedName name="원천"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원천"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원천" localSheetId="25"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원천"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원천납부8"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 localSheetId="25"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_1"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_1"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_1" localSheetId="25"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_1"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징수세액조정명세서"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2"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2"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2"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2"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월" localSheetId="24" hidden="1">{#N/A,#N/A,FALSE,"1.CRITERIA";#N/A,#N/A,FALSE,"2.IS";#N/A,#N/A,FALSE,"3.BS";#N/A,#N/A,FALSE,"4.PER PL";#N/A,#N/A,FALSE,"5.INVESTMENT";#N/A,#N/A,FALSE,"6.공문";#N/A,#N/A,FALSE,"7.netinvest"}</definedName>
    <definedName name="월" localSheetId="18" hidden="1">{#N/A,#N/A,FALSE,"1.CRITERIA";#N/A,#N/A,FALSE,"2.IS";#N/A,#N/A,FALSE,"3.BS";#N/A,#N/A,FALSE,"4.PER PL";#N/A,#N/A,FALSE,"5.INVESTMENT";#N/A,#N/A,FALSE,"6.공문";#N/A,#N/A,FALSE,"7.netinvest"}</definedName>
    <definedName name="월" localSheetId="25" hidden="1">{#N/A,#N/A,FALSE,"1.CRITERIA";#N/A,#N/A,FALSE,"2.IS";#N/A,#N/A,FALSE,"3.BS";#N/A,#N/A,FALSE,"4.PER PL";#N/A,#N/A,FALSE,"5.INVESTMENT";#N/A,#N/A,FALSE,"6.공문";#N/A,#N/A,FALSE,"7.netinvest"}</definedName>
    <definedName name="월" hidden="1">{#N/A,#N/A,FALSE,"1.CRITERIA";#N/A,#N/A,FALSE,"2.IS";#N/A,#N/A,FALSE,"3.BS";#N/A,#N/A,FALSE,"4.PER PL";#N/A,#N/A,FALSE,"5.INVESTMENT";#N/A,#N/A,FALSE,"6.공문";#N/A,#N/A,FALSE,"7.netinvest"}</definedName>
    <definedName name="월말" localSheetId="24" hidden="1">{#N/A,#N/A,FALSE,"1.CRITERIA";#N/A,#N/A,FALSE,"2.IS";#N/A,#N/A,FALSE,"3.BS";#N/A,#N/A,FALSE,"4.PER PL";#N/A,#N/A,FALSE,"5.INVESTMENT";#N/A,#N/A,FALSE,"6.공문";#N/A,#N/A,FALSE,"7.netinvest"}</definedName>
    <definedName name="월말" localSheetId="18" hidden="1">{#N/A,#N/A,FALSE,"1.CRITERIA";#N/A,#N/A,FALSE,"2.IS";#N/A,#N/A,FALSE,"3.BS";#N/A,#N/A,FALSE,"4.PER PL";#N/A,#N/A,FALSE,"5.INVESTMENT";#N/A,#N/A,FALSE,"6.공문";#N/A,#N/A,FALSE,"7.netinvest"}</definedName>
    <definedName name="월말" localSheetId="25" hidden="1">{#N/A,#N/A,FALSE,"1.CRITERIA";#N/A,#N/A,FALSE,"2.IS";#N/A,#N/A,FALSE,"3.BS";#N/A,#N/A,FALSE,"4.PER PL";#N/A,#N/A,FALSE,"5.INVESTMENT";#N/A,#N/A,FALSE,"6.공문";#N/A,#N/A,FALSE,"7.netinvest"}</definedName>
    <definedName name="월말" hidden="1">{#N/A,#N/A,FALSE,"1.CRITERIA";#N/A,#N/A,FALSE,"2.IS";#N/A,#N/A,FALSE,"3.BS";#N/A,#N/A,FALSE,"4.PER PL";#N/A,#N/A,FALSE,"5.INVESTMENT";#N/A,#N/A,FALSE,"6.공문";#N/A,#N/A,FALSE,"7.netinvest"}</definedName>
    <definedName name="월별" localSheetId="24" hidden="1">{#N/A,#N/A,FALSE,"1.CRITERIA";#N/A,#N/A,FALSE,"2.IS";#N/A,#N/A,FALSE,"3.BS";#N/A,#N/A,FALSE,"4.PER PL";#N/A,#N/A,FALSE,"5.INVESTMENT";#N/A,#N/A,FALSE,"6.공문";#N/A,#N/A,FALSE,"7.netinvest"}</definedName>
    <definedName name="월별" localSheetId="18" hidden="1">{#N/A,#N/A,FALSE,"1.CRITERIA";#N/A,#N/A,FALSE,"2.IS";#N/A,#N/A,FALSE,"3.BS";#N/A,#N/A,FALSE,"4.PER PL";#N/A,#N/A,FALSE,"5.INVESTMENT";#N/A,#N/A,FALSE,"6.공문";#N/A,#N/A,FALSE,"7.netinvest"}</definedName>
    <definedName name="월별" localSheetId="25" hidden="1">{#N/A,#N/A,FALSE,"1.CRITERIA";#N/A,#N/A,FALSE,"2.IS";#N/A,#N/A,FALSE,"3.BS";#N/A,#N/A,FALSE,"4.PER PL";#N/A,#N/A,FALSE,"5.INVESTMENT";#N/A,#N/A,FALSE,"6.공문";#N/A,#N/A,FALSE,"7.netinvest"}</definedName>
    <definedName name="월별" hidden="1">{#N/A,#N/A,FALSE,"1.CRITERIA";#N/A,#N/A,FALSE,"2.IS";#N/A,#N/A,FALSE,"3.BS";#N/A,#N/A,FALSE,"4.PER PL";#N/A,#N/A,FALSE,"5.INVESTMENT";#N/A,#N/A,FALSE,"6.공문";#N/A,#N/A,FALSE,"7.netinvest"}</definedName>
    <definedName name="월별매출3" localSheetId="24" hidden="1">{#N/A,#N/A,FALSE,"97년 투자계획 세부내역 "}</definedName>
    <definedName name="월별매출3" localSheetId="18" hidden="1">{#N/A,#N/A,FALSE,"97년 투자계획 세부내역 "}</definedName>
    <definedName name="월별매출3" localSheetId="25" hidden="1">{#N/A,#N/A,FALSE,"97년 투자계획 세부내역 "}</definedName>
    <definedName name="월별매출3" hidden="1">{#N/A,#N/A,FALSE,"97년 투자계획 세부내역 "}</definedName>
    <definedName name="월별영업비용" localSheetId="24" hidden="1">{#N/A,#N/A,FALSE,"1.CRITERIA";#N/A,#N/A,FALSE,"2.IS";#N/A,#N/A,FALSE,"3.BS";#N/A,#N/A,FALSE,"4.PER PL";#N/A,#N/A,FALSE,"5.INVESTMENT";#N/A,#N/A,FALSE,"6.공문";#N/A,#N/A,FALSE,"7.netinvest"}</definedName>
    <definedName name="월별영업비용" localSheetId="18" hidden="1">{#N/A,#N/A,FALSE,"1.CRITERIA";#N/A,#N/A,FALSE,"2.IS";#N/A,#N/A,FALSE,"3.BS";#N/A,#N/A,FALSE,"4.PER PL";#N/A,#N/A,FALSE,"5.INVESTMENT";#N/A,#N/A,FALSE,"6.공문";#N/A,#N/A,FALSE,"7.netinvest"}</definedName>
    <definedName name="월별영업비용" localSheetId="25" hidden="1">{#N/A,#N/A,FALSE,"1.CRITERIA";#N/A,#N/A,FALSE,"2.IS";#N/A,#N/A,FALSE,"3.BS";#N/A,#N/A,FALSE,"4.PER PL";#N/A,#N/A,FALSE,"5.INVESTMENT";#N/A,#N/A,FALSE,"6.공문";#N/A,#N/A,FALSE,"7.netinvest"}</definedName>
    <definedName name="월별영업비용" hidden="1">{#N/A,#N/A,FALSE,"1.CRITERIA";#N/A,#N/A,FALSE,"2.IS";#N/A,#N/A,FALSE,"3.BS";#N/A,#N/A,FALSE,"4.PER PL";#N/A,#N/A,FALSE,"5.INVESTMENT";#N/A,#N/A,FALSE,"6.공문";#N/A,#N/A,FALSE,"7.netinvest"}</definedName>
    <definedName name="월업무실적" localSheetId="24" hidden="1">{#N/A,#N/A,TRUE,"대 차 대 조 표"}</definedName>
    <definedName name="월업무실적" localSheetId="18" hidden="1">{#N/A,#N/A,TRUE,"대 차 대 조 표"}</definedName>
    <definedName name="월업무실적" localSheetId="25" hidden="1">{#N/A,#N/A,TRUE,"대 차 대 조 표"}</definedName>
    <definedName name="월업무실적" hidden="1">{#N/A,#N/A,TRUE,"대 차 대 조 표"}</definedName>
    <definedName name="위생" localSheetId="24" hidden="1">{"'7'!$B$15:$D$32"}</definedName>
    <definedName name="위생" localSheetId="18" hidden="1">{"'7'!$B$15:$D$32"}</definedName>
    <definedName name="위생" localSheetId="25" hidden="1">{"'7'!$B$15:$D$32"}</definedName>
    <definedName name="위생" hidden="1">{"'7'!$B$15:$D$32"}</definedName>
    <definedName name="유" localSheetId="24" hidden="1">{#N/A,#N/A,FALSE,"97년 투자계획 세부내역 "}</definedName>
    <definedName name="유" localSheetId="18" hidden="1">{#N/A,#N/A,FALSE,"97년 투자계획 세부내역 "}</definedName>
    <definedName name="유" localSheetId="25" hidden="1">{#N/A,#N/A,FALSE,"97년 투자계획 세부내역 "}</definedName>
    <definedName name="유" hidden="1">{#N/A,#N/A,FALSE,"97년 투자계획 세부내역 "}</definedName>
    <definedName name="유동" localSheetId="24" hidden="1">{#N/A,#N/A,FALSE,"BS";#N/A,#N/A,FALSE,"PL";#N/A,#N/A,FALSE,"처분";#N/A,#N/A,FALSE,"현금";#N/A,#N/A,FALSE,"매출";#N/A,#N/A,FALSE,"원가";#N/A,#N/A,FALSE,"경영"}</definedName>
    <definedName name="유동" localSheetId="18" hidden="1">{#N/A,#N/A,FALSE,"BS";#N/A,#N/A,FALSE,"PL";#N/A,#N/A,FALSE,"처분";#N/A,#N/A,FALSE,"현금";#N/A,#N/A,FALSE,"매출";#N/A,#N/A,FALSE,"원가";#N/A,#N/A,FALSE,"경영"}</definedName>
    <definedName name="유동" localSheetId="25" hidden="1">{#N/A,#N/A,FALSE,"BS";#N/A,#N/A,FALSE,"PL";#N/A,#N/A,FALSE,"처분";#N/A,#N/A,FALSE,"현금";#N/A,#N/A,FALSE,"매출";#N/A,#N/A,FALSE,"원가";#N/A,#N/A,FALSE,"경영"}</definedName>
    <definedName name="유동" hidden="1">{#N/A,#N/A,FALSE,"BS";#N/A,#N/A,FALSE,"PL";#N/A,#N/A,FALSE,"처분";#N/A,#N/A,FALSE,"현금";#N/A,#N/A,FALSE,"매출";#N/A,#N/A,FALSE,"원가";#N/A,#N/A,FALSE,"경영"}</definedName>
    <definedName name="유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유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유로"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유로" hidden="1">{#N/A,#N/A,FALSE,"손익표지";#N/A,#N/A,FALSE,"손익계산";#N/A,#N/A,FALSE,"일반관리비";#N/A,#N/A,FALSE,"영업외수익";#N/A,#N/A,FALSE,"영업외비용";#N/A,#N/A,FALSE,"매출액";#N/A,#N/A,FALSE,"요약손익";#N/A,#N/A,FALSE,"요약대차";#N/A,#N/A,FALSE,"매출채권현황";#N/A,#N/A,FALSE,"매출채권명세"}</definedName>
    <definedName name="유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유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유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유승" hidden="1">{#N/A,#N/A,FALSE,"손익표지";#N/A,#N/A,FALSE,"손익계산";#N/A,#N/A,FALSE,"일반관리비";#N/A,#N/A,FALSE,"영업외수익";#N/A,#N/A,FALSE,"영업외비용";#N/A,#N/A,FALSE,"매출액";#N/A,#N/A,FALSE,"요약손익";#N/A,#N/A,FALSE,"요약대차";#N/A,#N/A,FALSE,"매출채권현황";#N/A,#N/A,FALSE,"매출채권명세"}</definedName>
    <definedName name="유승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유승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유승주"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유승주" hidden="1">{#N/A,#N/A,FALSE,"손익표지";#N/A,#N/A,FALSE,"손익계산";#N/A,#N/A,FALSE,"일반관리비";#N/A,#N/A,FALSE,"영업외수익";#N/A,#N/A,FALSE,"영업외비용";#N/A,#N/A,FALSE,"매출액";#N/A,#N/A,FALSE,"요약손익";#N/A,#N/A,FALSE,"요약대차";#N/A,#N/A,FALSE,"매출채권현황";#N/A,#N/A,FALSE,"매출채권명세"}</definedName>
    <definedName name="유이" localSheetId="24" hidden="1">{#N/A,#N/A,FALSE,"1.CRITERIA";#N/A,#N/A,FALSE,"2.IS";#N/A,#N/A,FALSE,"3.BS";#N/A,#N/A,FALSE,"4.PER PL";#N/A,#N/A,FALSE,"5.INVESTMENT";#N/A,#N/A,FALSE,"6.공문";#N/A,#N/A,FALSE,"7.netinvest"}</definedName>
    <definedName name="유이" localSheetId="18" hidden="1">{#N/A,#N/A,FALSE,"1.CRITERIA";#N/A,#N/A,FALSE,"2.IS";#N/A,#N/A,FALSE,"3.BS";#N/A,#N/A,FALSE,"4.PER PL";#N/A,#N/A,FALSE,"5.INVESTMENT";#N/A,#N/A,FALSE,"6.공문";#N/A,#N/A,FALSE,"7.netinvest"}</definedName>
    <definedName name="유이" localSheetId="25" hidden="1">{#N/A,#N/A,FALSE,"1.CRITERIA";#N/A,#N/A,FALSE,"2.IS";#N/A,#N/A,FALSE,"3.BS";#N/A,#N/A,FALSE,"4.PER PL";#N/A,#N/A,FALSE,"5.INVESTMENT";#N/A,#N/A,FALSE,"6.공문";#N/A,#N/A,FALSE,"7.netinvest"}</definedName>
    <definedName name="유이" hidden="1">{#N/A,#N/A,FALSE,"1.CRITERIA";#N/A,#N/A,FALSE,"2.IS";#N/A,#N/A,FALSE,"3.BS";#N/A,#N/A,FALSE,"4.PER PL";#N/A,#N/A,FALSE,"5.INVESTMENT";#N/A,#N/A,FALSE,"6.공문";#N/A,#N/A,FALSE,"7.netinvest"}</definedName>
    <definedName name="유지니" localSheetId="24" hidden="1">{#N/A,#N/A,FALSE,"97년 투자계획 세부내역 "}</definedName>
    <definedName name="유지니" localSheetId="18" hidden="1">{#N/A,#N/A,FALSE,"97년 투자계획 세부내역 "}</definedName>
    <definedName name="유지니" localSheetId="25" hidden="1">{#N/A,#N/A,FALSE,"97년 투자계획 세부내역 "}</definedName>
    <definedName name="유지니" hidden="1">{#N/A,#N/A,FALSE,"97년 투자계획 세부내역 "}</definedName>
    <definedName name="유지니네" localSheetId="24" hidden="1">{#N/A,#N/A,FALSE,"97년 투자계획 세부내역 "}</definedName>
    <definedName name="유지니네" localSheetId="18" hidden="1">{#N/A,#N/A,FALSE,"97년 투자계획 세부내역 "}</definedName>
    <definedName name="유지니네" localSheetId="25" hidden="1">{#N/A,#N/A,FALSE,"97년 투자계획 세부내역 "}</definedName>
    <definedName name="유지니네" hidden="1">{#N/A,#N/A,FALSE,"97년 투자계획 세부내역 "}</definedName>
    <definedName name="유지니다" localSheetId="24" hidden="1">{#N/A,#N/A,FALSE,"97년 투자계획 세부내역 "}</definedName>
    <definedName name="유지니다" localSheetId="18" hidden="1">{#N/A,#N/A,FALSE,"97년 투자계획 세부내역 "}</definedName>
    <definedName name="유지니다" localSheetId="25" hidden="1">{#N/A,#N/A,FALSE,"97년 투자계획 세부내역 "}</definedName>
    <definedName name="유지니다" hidden="1">{#N/A,#N/A,FALSE,"97년 투자계획 세부내역 "}</definedName>
    <definedName name="유진" localSheetId="24" hidden="1">{#N/A,#N/A,FALSE,"이력서&amp;자기소개서"}</definedName>
    <definedName name="유진" localSheetId="18" hidden="1">{#N/A,#N/A,FALSE,"이력서&amp;자기소개서"}</definedName>
    <definedName name="유진" localSheetId="25" hidden="1">{#N/A,#N/A,FALSE,"이력서&amp;자기소개서"}</definedName>
    <definedName name="유진" hidden="1">{#N/A,#N/A,FALSE,"이력서&amp;자기소개서"}</definedName>
    <definedName name="유타워" localSheetId="24" hidden="1">{#N/A,#N/A,FALSE,"이력서&amp;자기소개서"}</definedName>
    <definedName name="유타워" localSheetId="18" hidden="1">{#N/A,#N/A,FALSE,"이력서&amp;자기소개서"}</definedName>
    <definedName name="유타워" localSheetId="25" hidden="1">{#N/A,#N/A,FALSE,"이력서&amp;자기소개서"}</definedName>
    <definedName name="유타워" hidden="1">{#N/A,#N/A,FALSE,"이력서&amp;자기소개서"}</definedName>
    <definedName name="육각블럭" localSheetId="24" hidden="1">{#N/A,#N/A,FALSE,"포장단가"}</definedName>
    <definedName name="육각블럭" localSheetId="18" hidden="1">{#N/A,#N/A,FALSE,"포장단가"}</definedName>
    <definedName name="육각블럭" localSheetId="25" hidden="1">{#N/A,#N/A,FALSE,"포장단가"}</definedName>
    <definedName name="육각블럭" hidden="1">{#N/A,#N/A,FALSE,"포장단가"}</definedName>
    <definedName name="육삼시티" localSheetId="24" hidden="1">{#N/A,#N/A,FALSE,"97년 투자계획 세부내역 "}</definedName>
    <definedName name="육삼시티" localSheetId="18" hidden="1">{#N/A,#N/A,FALSE,"97년 투자계획 세부내역 "}</definedName>
    <definedName name="육삼시티" localSheetId="25" hidden="1">{#N/A,#N/A,FALSE,"97년 투자계획 세부내역 "}</definedName>
    <definedName name="육삼시티" hidden="1">{#N/A,#N/A,FALSE,"97년 투자계획 세부내역 "}</definedName>
    <definedName name="육아휴직처리절자1" localSheetId="24" hidden="1">{#N/A,#N/A,FALSE,"이력서&amp;자기소개서"}</definedName>
    <definedName name="육아휴직처리절자1" localSheetId="18" hidden="1">{#N/A,#N/A,FALSE,"이력서&amp;자기소개서"}</definedName>
    <definedName name="육아휴직처리절자1" localSheetId="25" hidden="1">{#N/A,#N/A,FALSE,"이력서&amp;자기소개서"}</definedName>
    <definedName name="육아휴직처리절자1" hidden="1">{#N/A,#N/A,FALSE,"이력서&amp;자기소개서"}</definedName>
    <definedName name="율리1총괄표"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율리1총괄표"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율리1총괄표" localSheetId="25"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율리1총괄표"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은평기준">#N/A</definedName>
    <definedName name="音羽ビル" localSheetId="24" hidden="1">{#N/A,#N/A,FALSE,"１";#N/A,#N/A,FALSE,"２";#N/A,#N/A,FALSE,"３";#N/A,#N/A,FALSE,"４"}</definedName>
    <definedName name="音羽ビル" localSheetId="18" hidden="1">{#N/A,#N/A,FALSE,"１";#N/A,#N/A,FALSE,"２";#N/A,#N/A,FALSE,"３";#N/A,#N/A,FALSE,"４"}</definedName>
    <definedName name="音羽ビル" localSheetId="25" hidden="1">{#N/A,#N/A,FALSE,"１";#N/A,#N/A,FALSE,"２";#N/A,#N/A,FALSE,"３";#N/A,#N/A,FALSE,"４"}</definedName>
    <definedName name="音羽ビル" hidden="1">{#N/A,#N/A,FALSE,"１";#N/A,#N/A,FALSE,"２";#N/A,#N/A,FALSE,"３";#N/A,#N/A,FALSE,"４"}</definedName>
    <definedName name="응용" localSheetId="24" hidden="1">{"'용역비'!$A$4:$C$8"}</definedName>
    <definedName name="응용" localSheetId="18" hidden="1">{"'용역비'!$A$4:$C$8"}</definedName>
    <definedName name="응용" localSheetId="25" hidden="1">{"'용역비'!$A$4:$C$8"}</definedName>
    <definedName name="응용" hidden="1">{"'용역비'!$A$4:$C$8"}</definedName>
    <definedName name="이가" localSheetId="24" hidden="1">{"'Firr(선)'!$AS$1:$AY$62","'Firr(사)'!$AS$1:$AY$62","'Firr(회)'!$AS$1:$AY$62","'Firr(선)'!$L$1:$V$62","'Firr(사)'!$L$1:$V$62","'Firr(회)'!$L$1:$V$62"}</definedName>
    <definedName name="이가" localSheetId="18" hidden="1">{"'Firr(선)'!$AS$1:$AY$62","'Firr(사)'!$AS$1:$AY$62","'Firr(회)'!$AS$1:$AY$62","'Firr(선)'!$L$1:$V$62","'Firr(사)'!$L$1:$V$62","'Firr(회)'!$L$1:$V$62"}</definedName>
    <definedName name="이가" localSheetId="25" hidden="1">{"'Firr(선)'!$AS$1:$AY$62","'Firr(사)'!$AS$1:$AY$62","'Firr(회)'!$AS$1:$AY$62","'Firr(선)'!$L$1:$V$62","'Firr(사)'!$L$1:$V$62","'Firr(회)'!$L$1:$V$62"}</definedName>
    <definedName name="이가" hidden="1">{"'Firr(선)'!$AS$1:$AY$62","'Firr(사)'!$AS$1:$AY$62","'Firr(회)'!$AS$1:$AY$62","'Firr(선)'!$L$1:$V$62","'Firr(사)'!$L$1:$V$62","'Firr(회)'!$L$1:$V$62"}</definedName>
    <definedName name="이근우" localSheetId="24" hidden="1">{#N/A,#N/A,FALSE,"BS";#N/A,#N/A,FALSE,"PL";#N/A,#N/A,FALSE,"처분";#N/A,#N/A,FALSE,"현금";#N/A,#N/A,FALSE,"매출";#N/A,#N/A,FALSE,"원가";#N/A,#N/A,FALSE,"경영"}</definedName>
    <definedName name="이근우" localSheetId="18" hidden="1">{#N/A,#N/A,FALSE,"BS";#N/A,#N/A,FALSE,"PL";#N/A,#N/A,FALSE,"처분";#N/A,#N/A,FALSE,"현금";#N/A,#N/A,FALSE,"매출";#N/A,#N/A,FALSE,"원가";#N/A,#N/A,FALSE,"경영"}</definedName>
    <definedName name="이근우" localSheetId="25" hidden="1">{#N/A,#N/A,FALSE,"BS";#N/A,#N/A,FALSE,"PL";#N/A,#N/A,FALSE,"처분";#N/A,#N/A,FALSE,"현금";#N/A,#N/A,FALSE,"매출";#N/A,#N/A,FALSE,"원가";#N/A,#N/A,FALSE,"경영"}</definedName>
    <definedName name="이근우" hidden="1">{#N/A,#N/A,FALSE,"BS";#N/A,#N/A,FALSE,"PL";#N/A,#N/A,FALSE,"처분";#N/A,#N/A,FALSE,"현금";#N/A,#N/A,FALSE,"매출";#N/A,#N/A,FALSE,"원가";#N/A,#N/A,FALSE,"경영"}</definedName>
    <definedName name="伊藤忠コムネット" localSheetId="24" hidden="1">{"Actual",#N/A,FALSE,"(価格)";"Market",#N/A,FALSE,"(価格)";"Plan",#N/A,FALSE,"(価格)"}</definedName>
    <definedName name="伊藤忠コムネット" localSheetId="18" hidden="1">{"Actual",#N/A,FALSE,"(価格)";"Market",#N/A,FALSE,"(価格)";"Plan",#N/A,FALSE,"(価格)"}</definedName>
    <definedName name="伊藤忠コムネット" localSheetId="25" hidden="1">{"Actual",#N/A,FALSE,"(価格)";"Market",#N/A,FALSE,"(価格)";"Plan",#N/A,FALSE,"(価格)"}</definedName>
    <definedName name="伊藤忠コムネット" hidden="1">{"Actual",#N/A,FALSE,"(価格)";"Market",#N/A,FALSE,"(価格)";"Plan",#N/A,FALSE,"(価格)"}</definedName>
    <definedName name="이란" localSheetId="24" hidden="1">{#N/A,#N/A,FALSE,"단축1";#N/A,#N/A,FALSE,"단축2";#N/A,#N/A,FALSE,"단축3";#N/A,#N/A,FALSE,"장축";#N/A,#N/A,FALSE,"4WD"}</definedName>
    <definedName name="이란" localSheetId="18" hidden="1">{#N/A,#N/A,FALSE,"단축1";#N/A,#N/A,FALSE,"단축2";#N/A,#N/A,FALSE,"단축3";#N/A,#N/A,FALSE,"장축";#N/A,#N/A,FALSE,"4WD"}</definedName>
    <definedName name="이란" localSheetId="25" hidden="1">{#N/A,#N/A,FALSE,"단축1";#N/A,#N/A,FALSE,"단축2";#N/A,#N/A,FALSE,"단축3";#N/A,#N/A,FALSE,"장축";#N/A,#N/A,FALSE,"4WD"}</definedName>
    <definedName name="이란" hidden="1">{#N/A,#N/A,FALSE,"단축1";#N/A,#N/A,FALSE,"단축2";#N/A,#N/A,FALSE,"단축3";#N/A,#N/A,FALSE,"장축";#N/A,#N/A,FALSE,"4WD"}</definedName>
    <definedName name="이력" localSheetId="24" hidden="1">{#N/A,#N/A,FALSE,"이력서&amp;자기소개서"}</definedName>
    <definedName name="이력" localSheetId="18" hidden="1">{#N/A,#N/A,FALSE,"이력서&amp;자기소개서"}</definedName>
    <definedName name="이력" localSheetId="25" hidden="1">{#N/A,#N/A,FALSE,"이력서&amp;자기소개서"}</definedName>
    <definedName name="이력" hidden="1">{#N/A,#N/A,FALSE,"이력서&amp;자기소개서"}</definedName>
    <definedName name="이름" localSheetId="24" hidden="1">{#N/A,#N/A,TRUE,"대 차 대 조 표"}</definedName>
    <definedName name="이름" localSheetId="18" hidden="1">{#N/A,#N/A,TRUE,"대 차 대 조 표"}</definedName>
    <definedName name="이름" localSheetId="25" hidden="1">{#N/A,#N/A,TRUE,"대 차 대 조 표"}</definedName>
    <definedName name="이름" hidden="1">{#N/A,#N/A,TRUE,"대 차 대 조 표"}</definedName>
    <definedName name="이쁘니" localSheetId="24"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 localSheetId="18"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 localSheetId="25"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_1" localSheetId="24"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_1" localSheetId="18"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_1" localSheetId="25"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_1"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슈" localSheetId="24" hidden="1">{#N/A,#N/A,FALSE,"지침";#N/A,#N/A,FALSE,"환경분석";#N/A,#N/A,FALSE,"Sheet16"}</definedName>
    <definedName name="이슈" localSheetId="18" hidden="1">{#N/A,#N/A,FALSE,"지침";#N/A,#N/A,FALSE,"환경분석";#N/A,#N/A,FALSE,"Sheet16"}</definedName>
    <definedName name="이슈" localSheetId="25" hidden="1">{#N/A,#N/A,FALSE,"지침";#N/A,#N/A,FALSE,"환경분석";#N/A,#N/A,FALSE,"Sheet16"}</definedName>
    <definedName name="이슈" hidden="1">{#N/A,#N/A,FALSE,"지침";#N/A,#N/A,FALSE,"환경분석";#N/A,#N/A,FALSE,"Sheet16"}</definedName>
    <definedName name="이안" localSheetId="24" hidden="1">{#N/A,#N/A,FALSE,"포장단가"}</definedName>
    <definedName name="이안" localSheetId="18" hidden="1">{#N/A,#N/A,FALSE,"포장단가"}</definedName>
    <definedName name="이안" localSheetId="25" hidden="1">{#N/A,#N/A,FALSE,"포장단가"}</definedName>
    <definedName name="이안" hidden="1">{#N/A,#N/A,FALSE,"포장단가"}</definedName>
    <definedName name="이용정" localSheetId="24" hidden="1">{#N/A,#N/A,FALSE,"이력서&amp;자기소개서"}</definedName>
    <definedName name="이용정" localSheetId="18" hidden="1">{#N/A,#N/A,FALSE,"이력서&amp;자기소개서"}</definedName>
    <definedName name="이용정" localSheetId="25" hidden="1">{#N/A,#N/A,FALSE,"이력서&amp;자기소개서"}</definedName>
    <definedName name="이용정" hidden="1">{#N/A,#N/A,FALSE,"이력서&amp;자기소개서"}</definedName>
    <definedName name="이읏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이읏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이읏ㄷ"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이읏ㄷ" hidden="1">{#N/A,#N/A,FALSE,"손익표지";#N/A,#N/A,FALSE,"손익계산";#N/A,#N/A,FALSE,"일반관리비";#N/A,#N/A,FALSE,"영업외수익";#N/A,#N/A,FALSE,"영업외비용";#N/A,#N/A,FALSE,"매출액";#N/A,#N/A,FALSE,"요약손익";#N/A,#N/A,FALSE,"요약대차";#N/A,#N/A,FALSE,"매출채권현황";#N/A,#N/A,FALSE,"매출채권명세"}</definedName>
    <definedName name="이이" localSheetId="24" hidden="1">{#N/A,#N/A,TRUE,"Y생산";#N/A,#N/A,TRUE,"Y판매";#N/A,#N/A,TRUE,"Y총물량";#N/A,#N/A,TRUE,"Y능력";#N/A,#N/A,TRUE,"YKD"}</definedName>
    <definedName name="이이" localSheetId="18" hidden="1">{#N/A,#N/A,TRUE,"Y생산";#N/A,#N/A,TRUE,"Y판매";#N/A,#N/A,TRUE,"Y총물량";#N/A,#N/A,TRUE,"Y능력";#N/A,#N/A,TRUE,"YKD"}</definedName>
    <definedName name="이이" localSheetId="25" hidden="1">{#N/A,#N/A,TRUE,"Y생산";#N/A,#N/A,TRUE,"Y판매";#N/A,#N/A,TRUE,"Y총물량";#N/A,#N/A,TRUE,"Y능력";#N/A,#N/A,TRUE,"YKD"}</definedName>
    <definedName name="이이" hidden="1">{#N/A,#N/A,TRUE,"Y생산";#N/A,#N/A,TRUE,"Y판매";#N/A,#N/A,TRUE,"Y총물량";#N/A,#N/A,TRUE,"Y능력";#N/A,#N/A,TRUE,"YKD"}</definedName>
    <definedName name="이이_1" localSheetId="24" hidden="1">{#N/A,#N/A,TRUE,"Y생산";#N/A,#N/A,TRUE,"Y판매";#N/A,#N/A,TRUE,"Y총물량";#N/A,#N/A,TRUE,"Y능력";#N/A,#N/A,TRUE,"YKD"}</definedName>
    <definedName name="이이_1" localSheetId="18" hidden="1">{#N/A,#N/A,TRUE,"Y생산";#N/A,#N/A,TRUE,"Y판매";#N/A,#N/A,TRUE,"Y총물량";#N/A,#N/A,TRUE,"Y능력";#N/A,#N/A,TRUE,"YKD"}</definedName>
    <definedName name="이이_1" localSheetId="25" hidden="1">{#N/A,#N/A,TRUE,"Y생산";#N/A,#N/A,TRUE,"Y판매";#N/A,#N/A,TRUE,"Y총물량";#N/A,#N/A,TRUE,"Y능력";#N/A,#N/A,TRUE,"YKD"}</definedName>
    <definedName name="이이_1" hidden="1">{#N/A,#N/A,TRUE,"Y생산";#N/A,#N/A,TRUE,"Y판매";#N/A,#N/A,TRUE,"Y총물량";#N/A,#N/A,TRUE,"Y능력";#N/A,#N/A,TRUE,"YKD"}</definedName>
    <definedName name="이정" localSheetId="24" hidden="1">{#N/A,#N/A,FALSE,"2~8번"}</definedName>
    <definedName name="이정" localSheetId="18" hidden="1">{#N/A,#N/A,FALSE,"2~8번"}</definedName>
    <definedName name="이정" localSheetId="25" hidden="1">{#N/A,#N/A,FALSE,"2~8번"}</definedName>
    <definedName name="이정" hidden="1">{#N/A,#N/A,FALSE,"2~8번"}</definedName>
    <definedName name="이천순복음"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이천순복음"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이천순복음"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이천순복음"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이호버" localSheetId="24" hidden="1">{#N/A,#N/A,FALSE,"97년 투자계획 세부내역 "}</definedName>
    <definedName name="이호버" localSheetId="18" hidden="1">{#N/A,#N/A,FALSE,"97년 투자계획 세부내역 "}</definedName>
    <definedName name="이호버" localSheetId="25" hidden="1">{#N/A,#N/A,FALSE,"97년 투자계획 세부내역 "}</definedName>
    <definedName name="이호버" hidden="1">{#N/A,#N/A,FALSE,"97년 투자계획 세부내역 "}</definedName>
    <definedName name="인건비1" localSheetId="24" hidden="1">{"'2분기예산별'!$B$2:$O$38"}</definedName>
    <definedName name="인건비1" localSheetId="18" hidden="1">{"'2분기예산별'!$B$2:$O$38"}</definedName>
    <definedName name="인건비1" localSheetId="25" hidden="1">{"'2분기예산별'!$B$2:$O$38"}</definedName>
    <definedName name="인건비1" hidden="1">{"'2분기예산별'!$B$2:$O$38"}</definedName>
    <definedName name="인ㅁㅇㅇ" localSheetId="24" hidden="1">{"'7'!$B$15:$D$32"}</definedName>
    <definedName name="인ㅁㅇㅇ" localSheetId="18" hidden="1">{"'7'!$B$15:$D$32"}</definedName>
    <definedName name="인ㅁㅇㅇ" localSheetId="25" hidden="1">{"'7'!$B$15:$D$32"}</definedName>
    <definedName name="인ㅁㅇㅇ" hidden="1">{"'7'!$B$15:$D$32"}</definedName>
    <definedName name="인상분상세" localSheetId="24" hidden="1">{"'7'!$B$15:$D$32"}</definedName>
    <definedName name="인상분상세" localSheetId="18" hidden="1">{"'7'!$B$15:$D$32"}</definedName>
    <definedName name="인상분상세" localSheetId="25" hidden="1">{"'7'!$B$15:$D$32"}</definedName>
    <definedName name="인상분상세" hidden="1">{"'7'!$B$15:$D$32"}</definedName>
    <definedName name="인연"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인연"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인연"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인연" hidden="1">{#N/A,#N/A,FALSE,"손익표지";#N/A,#N/A,FALSE,"손익계산";#N/A,#N/A,FALSE,"일반관리비";#N/A,#N/A,FALSE,"영업외수익";#N/A,#N/A,FALSE,"영업외비용";#N/A,#N/A,FALSE,"매출액";#N/A,#N/A,FALSE,"요약손익";#N/A,#N/A,FALSE,"요약대차";#N/A,#N/A,FALSE,"매출채권현황";#N/A,#N/A,FALSE,"매출채권명세"}</definedName>
    <definedName name="인원현황2"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인원현황2"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인원현황2"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인원현황2" hidden="1">{#N/A,#N/A,FALSE,"손익표지";#N/A,#N/A,FALSE,"손익계산";#N/A,#N/A,FALSE,"일반관리비";#N/A,#N/A,FALSE,"영업외수익";#N/A,#N/A,FALSE,"영업외비용";#N/A,#N/A,FALSE,"매출액";#N/A,#N/A,FALSE,"요약손익";#N/A,#N/A,FALSE,"요약대차";#N/A,#N/A,FALSE,"매출채권현황";#N/A,#N/A,FALSE,"매출채권명세"}</definedName>
    <definedName name="인천지검"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인천지검"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인천지검"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인천지검"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인테리어관련품의" localSheetId="24" hidden="1">{"'7'!$B$15:$D$32"}</definedName>
    <definedName name="인테리어관련품의" localSheetId="18" hidden="1">{"'7'!$B$15:$D$32"}</definedName>
    <definedName name="인테리어관련품의" localSheetId="25" hidden="1">{"'7'!$B$15:$D$32"}</definedName>
    <definedName name="인테리어관련품의" hidden="1">{"'7'!$B$15:$D$32"}</definedName>
    <definedName name="인테리어팀" localSheetId="24" hidden="1">{#N/A,#N/A,TRUE,"Y생산";#N/A,#N/A,TRUE,"Y판매";#N/A,#N/A,TRUE,"Y총물량";#N/A,#N/A,TRUE,"Y능력";#N/A,#N/A,TRUE,"YKD"}</definedName>
    <definedName name="인테리어팀" localSheetId="18" hidden="1">{#N/A,#N/A,TRUE,"Y생산";#N/A,#N/A,TRUE,"Y판매";#N/A,#N/A,TRUE,"Y총물량";#N/A,#N/A,TRUE,"Y능력";#N/A,#N/A,TRUE,"YKD"}</definedName>
    <definedName name="인테리어팀" localSheetId="25" hidden="1">{#N/A,#N/A,TRUE,"Y생산";#N/A,#N/A,TRUE,"Y판매";#N/A,#N/A,TRUE,"Y총물량";#N/A,#N/A,TRUE,"Y능력";#N/A,#N/A,TRUE,"YKD"}</definedName>
    <definedName name="인테리어팀" hidden="1">{#N/A,#N/A,TRUE,"Y생산";#N/A,#N/A,TRUE,"Y판매";#N/A,#N/A,TRUE,"Y총물량";#N/A,#N/A,TRUE,"Y능력";#N/A,#N/A,TRUE,"YKD"}</definedName>
    <definedName name="인테리어팀_1" localSheetId="24" hidden="1">{#N/A,#N/A,TRUE,"Y생산";#N/A,#N/A,TRUE,"Y판매";#N/A,#N/A,TRUE,"Y총물량";#N/A,#N/A,TRUE,"Y능력";#N/A,#N/A,TRUE,"YKD"}</definedName>
    <definedName name="인테리어팀_1" localSheetId="18" hidden="1">{#N/A,#N/A,TRUE,"Y생산";#N/A,#N/A,TRUE,"Y판매";#N/A,#N/A,TRUE,"Y총물량";#N/A,#N/A,TRUE,"Y능력";#N/A,#N/A,TRUE,"YKD"}</definedName>
    <definedName name="인테리어팀_1" localSheetId="25" hidden="1">{#N/A,#N/A,TRUE,"Y생산";#N/A,#N/A,TRUE,"Y판매";#N/A,#N/A,TRUE,"Y총물량";#N/A,#N/A,TRUE,"Y능력";#N/A,#N/A,TRUE,"YKD"}</definedName>
    <definedName name="인테리어팀_1" hidden="1">{#N/A,#N/A,TRUE,"Y생산";#N/A,#N/A,TRUE,"Y판매";#N/A,#N/A,TRUE,"Y총물량";#N/A,#N/A,TRUE,"Y능력";#N/A,#N/A,TRUE,"YKD"}</definedName>
    <definedName name="인테리어품의" localSheetId="24" hidden="1">{"'7'!$B$15:$D$32"}</definedName>
    <definedName name="인테리어품의" localSheetId="18" hidden="1">{"'7'!$B$15:$D$32"}</definedName>
    <definedName name="인테리어품의" localSheetId="25" hidden="1">{"'7'!$B$15:$D$32"}</definedName>
    <definedName name="인테리어품의" hidden="1">{"'7'!$B$15:$D$32"}</definedName>
    <definedName name="一括" localSheetId="24" hidden="1">{"DCF-北海道",#N/A,TRUE,"北海道";"DCF-東北",#N/A,TRUE,"東北";"DCF-東海",#N/A,TRUE,"東海";"DCF-北陸",#N/A,TRUE,"北陸";"DCF-関西",#N/A,TRUE,"関西";"DCF-中国",#N/A,TRUE,"中国";"DCF-四国",#N/A,TRUE,"四国";"DCF-九州",#N/A,TRUE,"九州";"DCF-連結",#N/A,TRUE,"連結"}</definedName>
    <definedName name="一括" localSheetId="18" hidden="1">{"DCF-北海道",#N/A,TRUE,"北海道";"DCF-東北",#N/A,TRUE,"東北";"DCF-東海",#N/A,TRUE,"東海";"DCF-北陸",#N/A,TRUE,"北陸";"DCF-関西",#N/A,TRUE,"関西";"DCF-中国",#N/A,TRUE,"中国";"DCF-四国",#N/A,TRUE,"四国";"DCF-九州",#N/A,TRUE,"九州";"DCF-連結",#N/A,TRUE,"連結"}</definedName>
    <definedName name="一括" localSheetId="25" hidden="1">{"DCF-北海道",#N/A,TRUE,"北海道";"DCF-東北",#N/A,TRUE,"東北";"DCF-東海",#N/A,TRUE,"東海";"DCF-北陸",#N/A,TRUE,"北陸";"DCF-関西",#N/A,TRUE,"関西";"DCF-中国",#N/A,TRUE,"中国";"DCF-四国",#N/A,TRUE,"四国";"DCF-九州",#N/A,TRUE,"九州";"DCF-連結",#N/A,TRUE,"連結"}</definedName>
    <definedName name="一括" hidden="1">{"DCF-北海道",#N/A,TRUE,"北海道";"DCF-東北",#N/A,TRUE,"東北";"DCF-東海",#N/A,TRUE,"東海";"DCF-北陸",#N/A,TRUE,"北陸";"DCF-関西",#N/A,TRUE,"関西";"DCF-中国",#N/A,TRUE,"中国";"DCF-四国",#N/A,TRUE,"四国";"DCF-九州",#N/A,TRUE,"九州";"DCF-連結",#N/A,TRUE,"連結"}</definedName>
    <definedName name="일산"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일산"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일산"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일산" hidden="1">{#N/A,#N/A,FALSE,"손익표지";#N/A,#N/A,FALSE,"손익계산";#N/A,#N/A,FALSE,"일반관리비";#N/A,#N/A,FALSE,"영업외수익";#N/A,#N/A,FALSE,"영업외비용";#N/A,#N/A,FALSE,"매출액";#N/A,#N/A,FALSE,"요약손익";#N/A,#N/A,FALSE,"요약대차";#N/A,#N/A,FALSE,"매출채권현황";#N/A,#N/A,FALSE,"매출채권명세"}</definedName>
    <definedName name="일선종건" localSheetId="24" hidden="1">{#N/A,#N/A,FALSE,"현장 NCR 분석";#N/A,#N/A,FALSE,"현장품질감사";#N/A,#N/A,FALSE,"현장품질감사"}</definedName>
    <definedName name="일선종건" localSheetId="18" hidden="1">{#N/A,#N/A,FALSE,"현장 NCR 분석";#N/A,#N/A,FALSE,"현장품질감사";#N/A,#N/A,FALSE,"현장품질감사"}</definedName>
    <definedName name="일선종건" localSheetId="25" hidden="1">{#N/A,#N/A,FALSE,"현장 NCR 분석";#N/A,#N/A,FALSE,"현장품질감사";#N/A,#N/A,FALSE,"현장품질감사"}</definedName>
    <definedName name="일선종건" hidden="1">{#N/A,#N/A,FALSE,"현장 NCR 분석";#N/A,#N/A,FALSE,"현장품질감사";#N/A,#N/A,FALSE,"현장품질감사"}</definedName>
    <definedName name="일자별"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일자별"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일자별"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일자별" hidden="1">{#N/A,#N/A,FALSE,"손익표지";#N/A,#N/A,FALSE,"손익계산";#N/A,#N/A,FALSE,"일반관리비";#N/A,#N/A,FALSE,"영업외수익";#N/A,#N/A,FALSE,"영업외비용";#N/A,#N/A,FALSE,"매출액";#N/A,#N/A,FALSE,"요약손익";#N/A,#N/A,FALSE,"요약대차";#N/A,#N/A,FALSE,"매출채권현황";#N/A,#N/A,FALSE,"매출채권명세"}</definedName>
    <definedName name="임ㄴ" localSheetId="24" hidden="1">{"'공사부문'!$A$6:$A$32"}</definedName>
    <definedName name="임ㄴ" localSheetId="18" hidden="1">{"'공사부문'!$A$6:$A$32"}</definedName>
    <definedName name="임ㄴ" localSheetId="25" hidden="1">{"'공사부문'!$A$6:$A$32"}</definedName>
    <definedName name="임ㄴ" hidden="1">{"'공사부문'!$A$6:$A$32"}</definedName>
    <definedName name="임시" localSheetId="24" hidden="1">{#N/A,#N/A,FALSE,"현장 NCR 분석";#N/A,#N/A,FALSE,"현장품질감사";#N/A,#N/A,FALSE,"현장품질감사"}</definedName>
    <definedName name="임시" localSheetId="18" hidden="1">{#N/A,#N/A,FALSE,"현장 NCR 분석";#N/A,#N/A,FALSE,"현장품질감사";#N/A,#N/A,FALSE,"현장품질감사"}</definedName>
    <definedName name="임시" localSheetId="25" hidden="1">{#N/A,#N/A,FALSE,"현장 NCR 분석";#N/A,#N/A,FALSE,"현장품질감사";#N/A,#N/A,FALSE,"현장품질감사"}</definedName>
    <definedName name="임시" hidden="1">{#N/A,#N/A,FALSE,"현장 NCR 분석";#N/A,#N/A,FALSE,"현장품질감사";#N/A,#N/A,FALSE,"현장품질감사"}</definedName>
    <definedName name="임차풀" localSheetId="24" hidden="1">{#N/A,#N/A,FALSE,"동부"}</definedName>
    <definedName name="임차풀" localSheetId="18" hidden="1">{#N/A,#N/A,FALSE,"동부"}</definedName>
    <definedName name="임차풀" localSheetId="25" hidden="1">{#N/A,#N/A,FALSE,"동부"}</definedName>
    <definedName name="임차풀" hidden="1">{#N/A,#N/A,FALSE,"동부"}</definedName>
    <definedName name="入金明細" localSheetId="24" hidden="1">{"pond1",#N/A,FALSE,"Focus";"pond2",#N/A,FALSE,"Focus"}</definedName>
    <definedName name="入金明細" localSheetId="18" hidden="1">{"pond1",#N/A,FALSE,"Focus";"pond2",#N/A,FALSE,"Focus"}</definedName>
    <definedName name="入金明細" localSheetId="25" hidden="1">{"pond1",#N/A,FALSE,"Focus";"pond2",#N/A,FALSE,"Focus"}</definedName>
    <definedName name="入金明細" hidden="1">{"pond1",#N/A,FALSE,"Focus";"pond2",#N/A,FALSE,"Focus"}</definedName>
    <definedName name="入力済" localSheetId="24" hidden="1">{"MonthlyRentRoll",#N/A,FALSE,"RentRoll"}</definedName>
    <definedName name="入力済" localSheetId="18" hidden="1">{"MonthlyRentRoll",#N/A,FALSE,"RentRoll"}</definedName>
    <definedName name="入力済" localSheetId="25" hidden="1">{"MonthlyRentRoll",#N/A,FALSE,"RentRoll"}</definedName>
    <definedName name="入力済" hidden="1">{"MonthlyRentRoll",#N/A,FALSE,"RentRoll"}</definedName>
    <definedName name="入力済_1" localSheetId="24" hidden="1">{"MonthlyRentRoll",#N/A,FALSE,"RentRoll"}</definedName>
    <definedName name="入力済_1" localSheetId="18" hidden="1">{"MonthlyRentRoll",#N/A,FALSE,"RentRoll"}</definedName>
    <definedName name="入力済_1" localSheetId="25" hidden="1">{"MonthlyRentRoll",#N/A,FALSE,"RentRoll"}</definedName>
    <definedName name="入力済_1" hidden="1">{"MonthlyRentRoll",#N/A,FALSE,"RentRoll"}</definedName>
    <definedName name="입면도1" localSheetId="24"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입면도1" localSheetId="18"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입면도1" localSheetId="25"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입면도1"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ㅈ" localSheetId="24" hidden="1">{#N/A,#N/A,FALSE,"BS";#N/A,#N/A,FALSE,"PL";#N/A,#N/A,FALSE,"처분";#N/A,#N/A,FALSE,"현금";#N/A,#N/A,FALSE,"매출";#N/A,#N/A,FALSE,"원가";#N/A,#N/A,FALSE,"경영"}</definedName>
    <definedName name="ㅈ" localSheetId="18" hidden="1">{#N/A,#N/A,FALSE,"BS";#N/A,#N/A,FALSE,"PL";#N/A,#N/A,FALSE,"처분";#N/A,#N/A,FALSE,"현금";#N/A,#N/A,FALSE,"매출";#N/A,#N/A,FALSE,"원가";#N/A,#N/A,FALSE,"경영"}</definedName>
    <definedName name="ㅈ" localSheetId="25" hidden="1">{#N/A,#N/A,FALSE,"BS";#N/A,#N/A,FALSE,"PL";#N/A,#N/A,FALSE,"처분";#N/A,#N/A,FALSE,"현금";#N/A,#N/A,FALSE,"매출";#N/A,#N/A,FALSE,"원가";#N/A,#N/A,FALSE,"경영"}</definedName>
    <definedName name="ㅈ" hidden="1">{#N/A,#N/A,FALSE,"BS";#N/A,#N/A,FALSE,"PL";#N/A,#N/A,FALSE,"처분";#N/A,#N/A,FALSE,"현금";#N/A,#N/A,FALSE,"매출";#N/A,#N/A,FALSE,"원가";#N/A,#N/A,FALSE,"경영"}</definedName>
    <definedName name="ㅈ3" localSheetId="24" hidden="1">{#N/A,#N/A,FALSE,"업체선정";#N/A,#N/A,FALSE,"업체선정sheet";#N/A,#N/A,FALSE,"업체실태";#N/A,#N/A,FALSE,"업체실태(1)";#N/A,#N/A,FALSE,"종업원현황(2)";#N/A,#N/A,FALSE,"생산품목(3)";#N/A,#N/A,FALSE,"장비보유현황";#N/A,#N/A,FALSE,"차량및약도";#N/A,#N/A,FALSE,"금형LIST"}</definedName>
    <definedName name="ㅈ3" localSheetId="18" hidden="1">{#N/A,#N/A,FALSE,"업체선정";#N/A,#N/A,FALSE,"업체선정sheet";#N/A,#N/A,FALSE,"업체실태";#N/A,#N/A,FALSE,"업체실태(1)";#N/A,#N/A,FALSE,"종업원현황(2)";#N/A,#N/A,FALSE,"생산품목(3)";#N/A,#N/A,FALSE,"장비보유현황";#N/A,#N/A,FALSE,"차량및약도";#N/A,#N/A,FALSE,"금형LIST"}</definedName>
    <definedName name="ㅈ3" localSheetId="25" hidden="1">{#N/A,#N/A,FALSE,"업체선정";#N/A,#N/A,FALSE,"업체선정sheet";#N/A,#N/A,FALSE,"업체실태";#N/A,#N/A,FALSE,"업체실태(1)";#N/A,#N/A,FALSE,"종업원현황(2)";#N/A,#N/A,FALSE,"생산품목(3)";#N/A,#N/A,FALSE,"장비보유현황";#N/A,#N/A,FALSE,"차량및약도";#N/A,#N/A,FALSE,"금형LIST"}</definedName>
    <definedName name="ㅈ3" hidden="1">{#N/A,#N/A,FALSE,"업체선정";#N/A,#N/A,FALSE,"업체선정sheet";#N/A,#N/A,FALSE,"업체실태";#N/A,#N/A,FALSE,"업체실태(1)";#N/A,#N/A,FALSE,"종업원현황(2)";#N/A,#N/A,FALSE,"생산품목(3)";#N/A,#N/A,FALSE,"장비보유현황";#N/A,#N/A,FALSE,"차량및약도";#N/A,#N/A,FALSE,"금형LIST"}</definedName>
    <definedName name="ㅈ56ㅕ" localSheetId="24" hidden="1">{"'용역비'!$A$4:$C$8"}</definedName>
    <definedName name="ㅈ56ㅕ" localSheetId="18" hidden="1">{"'용역비'!$A$4:$C$8"}</definedName>
    <definedName name="ㅈ56ㅕ" localSheetId="25" hidden="1">{"'용역비'!$A$4:$C$8"}</definedName>
    <definedName name="ㅈ56ㅕ" hidden="1">{"'용역비'!$A$4:$C$8"}</definedName>
    <definedName name="ㅈㄳ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ㅈㄳ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ㅈㄳㄱ"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ㅈㄳㄱ" hidden="1">{#N/A,#N/A,FALSE,"손익표지";#N/A,#N/A,FALSE,"손익계산";#N/A,#N/A,FALSE,"일반관리비";#N/A,#N/A,FALSE,"영업외수익";#N/A,#N/A,FALSE,"영업외비용";#N/A,#N/A,FALSE,"매출액";#N/A,#N/A,FALSE,"요약손익";#N/A,#N/A,FALSE,"요약대차";#N/A,#N/A,FALSE,"매출채권현황";#N/A,#N/A,FALSE,"매출채권명세"}</definedName>
    <definedName name="ㅈㄳ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ㅈㄳ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ㅈㄳ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ㅈㄳㄹ" hidden="1">{#N/A,#N/A,FALSE,"손익표지";#N/A,#N/A,FALSE,"손익계산";#N/A,#N/A,FALSE,"일반관리비";#N/A,#N/A,FALSE,"영업외수익";#N/A,#N/A,FALSE,"영업외비용";#N/A,#N/A,FALSE,"매출액";#N/A,#N/A,FALSE,"요약손익";#N/A,#N/A,FALSE,"요약대차";#N/A,#N/A,FALSE,"매출채권현황";#N/A,#N/A,FALSE,"매출채권명세"}</definedName>
    <definedName name="ㅈㄷㄱㄷㄱㄷ" localSheetId="24" hidden="1">{"'용역비'!$A$4:$C$8"}</definedName>
    <definedName name="ㅈㄷㄱㄷㄱㄷ" localSheetId="18" hidden="1">{"'용역비'!$A$4:$C$8"}</definedName>
    <definedName name="ㅈㄷㄱㄷㄱㄷ" localSheetId="25" hidden="1">{"'용역비'!$A$4:$C$8"}</definedName>
    <definedName name="ㅈㄷㄱㄷㄱㄷ" hidden="1">{"'용역비'!$A$4:$C$8"}</definedName>
    <definedName name="ㅈㄷㄱㅈㄷ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ㅈㄷㄱㅈㄷ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ㅈㄷㄱㅈㄷㄱ"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ㅈㄷㄱㅈㄷㄱ" hidden="1">{#N/A,#N/A,FALSE,"손익표지";#N/A,#N/A,FALSE,"손익계산";#N/A,#N/A,FALSE,"일반관리비";#N/A,#N/A,FALSE,"영업외수익";#N/A,#N/A,FALSE,"영업외비용";#N/A,#N/A,FALSE,"매출액";#N/A,#N/A,FALSE,"요약손익";#N/A,#N/A,FALSE,"요약대차";#N/A,#N/A,FALSE,"매출채권현황";#N/A,#N/A,FALSE,"매출채권명세"}</definedName>
    <definedName name="ㅈㄷㄷ" localSheetId="24" hidden="1">{"'PROFORMA'!$A$1:$H$120"}</definedName>
    <definedName name="ㅈㄷㄷ" localSheetId="18" hidden="1">{"'PROFORMA'!$A$1:$H$120"}</definedName>
    <definedName name="ㅈㄷㄷ" localSheetId="25" hidden="1">{"'PROFORMA'!$A$1:$H$120"}</definedName>
    <definedName name="ㅈㄷㄷ" hidden="1">{"'PROFORMA'!$A$1:$H$120"}</definedName>
    <definedName name="ㅈㄷㅈㄷ" localSheetId="24" hidden="1">{"'통신지'!$A$1:$J$41"}</definedName>
    <definedName name="ㅈㄷㅈㄷ" localSheetId="18" hidden="1">{"'통신지'!$A$1:$J$41"}</definedName>
    <definedName name="ㅈㄷㅈㄷ" localSheetId="25" hidden="1">{"'통신지'!$A$1:$J$41"}</definedName>
    <definedName name="ㅈㄷㅈㄷ" hidden="1">{"'통신지'!$A$1:$J$41"}</definedName>
    <definedName name="ㅈㅁㅁ" localSheetId="24" hidden="1">{#N/A,#N/A,FALSE,"동부"}</definedName>
    <definedName name="ㅈㅁㅁ" localSheetId="18" hidden="1">{#N/A,#N/A,FALSE,"동부"}</definedName>
    <definedName name="ㅈㅁㅁ" localSheetId="25" hidden="1">{#N/A,#N/A,FALSE,"동부"}</definedName>
    <definedName name="ㅈㅁㅁ" hidden="1">{#N/A,#N/A,FALSE,"동부"}</definedName>
    <definedName name="ㅈㅂㄱㅂㅈㄷㄱ" localSheetId="24" hidden="1">{#N/A,#N/A,FALSE,"CAM-G7";#N/A,#N/A,FALSE,"SPL";#N/A,#N/A,FALSE,"butt-in G7";#N/A,#N/A,FALSE,"dia-in G7";#N/A,#N/A,FALSE,"추가-STA G7"}</definedName>
    <definedName name="ㅈㅂㄱㅂㅈㄷㄱ" localSheetId="18" hidden="1">{#N/A,#N/A,FALSE,"CAM-G7";#N/A,#N/A,FALSE,"SPL";#N/A,#N/A,FALSE,"butt-in G7";#N/A,#N/A,FALSE,"dia-in G7";#N/A,#N/A,FALSE,"추가-STA G7"}</definedName>
    <definedName name="ㅈㅂㄱㅂㅈㄷㄱ" localSheetId="25" hidden="1">{#N/A,#N/A,FALSE,"CAM-G7";#N/A,#N/A,FALSE,"SPL";#N/A,#N/A,FALSE,"butt-in G7";#N/A,#N/A,FALSE,"dia-in G7";#N/A,#N/A,FALSE,"추가-STA G7"}</definedName>
    <definedName name="ㅈㅂㄱㅂㅈㄷㄱ" hidden="1">{#N/A,#N/A,FALSE,"CAM-G7";#N/A,#N/A,FALSE,"SPL";#N/A,#N/A,FALSE,"butt-in G7";#N/A,#N/A,FALSE,"dia-in G7";#N/A,#N/A,FALSE,"추가-STA G7"}</definedName>
    <definedName name="ㅈㅇ" localSheetId="24" hidden="1">{"'용역비'!$A$4:$C$8"}</definedName>
    <definedName name="ㅈㅇ" localSheetId="18" hidden="1">{"'용역비'!$A$4:$C$8"}</definedName>
    <definedName name="ㅈㅇ" localSheetId="25" hidden="1">{"'용역비'!$A$4:$C$8"}</definedName>
    <definedName name="ㅈㅇ" hidden="1">{"'용역비'!$A$4:$C$8"}</definedName>
    <definedName name="ㅈㅈㅈㅈ" localSheetId="24" hidden="1">{#N/A,#N/A,FALSE,"Aging Summary";#N/A,#N/A,FALSE,"Ratio Analysis";#N/A,#N/A,FALSE,"Test 120 Day Accts";#N/A,#N/A,FALSE,"Tickmarks"}</definedName>
    <definedName name="ㅈㅈㅈㅈ" localSheetId="18" hidden="1">{#N/A,#N/A,FALSE,"Aging Summary";#N/A,#N/A,FALSE,"Ratio Analysis";#N/A,#N/A,FALSE,"Test 120 Day Accts";#N/A,#N/A,FALSE,"Tickmarks"}</definedName>
    <definedName name="ㅈㅈㅈㅈ" localSheetId="25" hidden="1">{#N/A,#N/A,FALSE,"Aging Summary";#N/A,#N/A,FALSE,"Ratio Analysis";#N/A,#N/A,FALSE,"Test 120 Day Accts";#N/A,#N/A,FALSE,"Tickmarks"}</definedName>
    <definedName name="ㅈㅈㅈㅈ" hidden="1">{#N/A,#N/A,FALSE,"Aging Summary";#N/A,#N/A,FALSE,"Ratio Analysis";#N/A,#N/A,FALSE,"Test 120 Day Accts";#N/A,#N/A,FALSE,"Tickmarks"}</definedName>
    <definedName name="ㅈㅈㅈㅈㅈㅈ" localSheetId="24" hidden="1">{"'용역비'!$A$4:$C$8"}</definedName>
    <definedName name="ㅈㅈㅈㅈㅈㅈ" localSheetId="18" hidden="1">{"'용역비'!$A$4:$C$8"}</definedName>
    <definedName name="ㅈㅈㅈㅈㅈㅈ" localSheetId="25" hidden="1">{"'용역비'!$A$4:$C$8"}</definedName>
    <definedName name="ㅈㅈㅈㅈㅈㅈ" hidden="1">{"'용역비'!$A$4:$C$8"}</definedName>
    <definedName name="자"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자"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자"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자" hidden="1">{#N/A,#N/A,FALSE,"손익표지";#N/A,#N/A,FALSE,"손익계산";#N/A,#N/A,FALSE,"일반관리비";#N/A,#N/A,FALSE,"영업외수익";#N/A,#N/A,FALSE,"영업외비용";#N/A,#N/A,FALSE,"매출액";#N/A,#N/A,FALSE,"요약손익";#N/A,#N/A,FALSE,"요약대차";#N/A,#N/A,FALSE,"매출채권현황";#N/A,#N/A,FALSE,"매출채권명세"}</definedName>
    <definedName name="자금수지_00" localSheetId="24"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자금수지_00" localSheetId="18"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자금수지_00" localSheetId="25"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자금수지_00"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자본건축총괄" localSheetId="24" hidden="1">{#N/A,#N/A,FALSE,"97년 투자계획 세부내역 "}</definedName>
    <definedName name="자본건축총괄" localSheetId="18" hidden="1">{#N/A,#N/A,FALSE,"97년 투자계획 세부내역 "}</definedName>
    <definedName name="자본건축총괄" localSheetId="25" hidden="1">{#N/A,#N/A,FALSE,"97년 투자계획 세부내역 "}</definedName>
    <definedName name="자본건축총괄" hidden="1">{#N/A,#N/A,FALSE,"97년 투자계획 세부내역 "}</definedName>
    <definedName name="자본금" localSheetId="24" hidden="1">{#N/A,#N/A,FALSE,"Aging Summary";#N/A,#N/A,FALSE,"Ratio Analysis";#N/A,#N/A,FALSE,"Test 120 Day Accts";#N/A,#N/A,FALSE,"Tickmarks"}</definedName>
    <definedName name="자본금" localSheetId="18" hidden="1">{#N/A,#N/A,FALSE,"Aging Summary";#N/A,#N/A,FALSE,"Ratio Analysis";#N/A,#N/A,FALSE,"Test 120 Day Accts";#N/A,#N/A,FALSE,"Tickmarks"}</definedName>
    <definedName name="자본금" localSheetId="25" hidden="1">{#N/A,#N/A,FALSE,"Aging Summary";#N/A,#N/A,FALSE,"Ratio Analysis";#N/A,#N/A,FALSE,"Test 120 Day Accts";#N/A,#N/A,FALSE,"Tickmarks"}</definedName>
    <definedName name="자본금" hidden="1">{#N/A,#N/A,FALSE,"Aging Summary";#N/A,#N/A,FALSE,"Ratio Analysis";#N/A,#N/A,FALSE,"Test 120 Day Accts";#N/A,#N/A,FALSE,"Tickmarks"}</definedName>
    <definedName name="자재비" localSheetId="24" hidden="1">{"'용역비'!$A$4:$C$8"}</definedName>
    <definedName name="자재비" localSheetId="18" hidden="1">{"'용역비'!$A$4:$C$8"}</definedName>
    <definedName name="자재비" localSheetId="25" hidden="1">{"'용역비'!$A$4:$C$8"}</definedName>
    <definedName name="자재비" hidden="1">{"'용역비'!$A$4:$C$8"}</definedName>
    <definedName name="자차"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자차"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자차"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자차" hidden="1">{#N/A,#N/A,FALSE,"손익표지";#N/A,#N/A,FALSE,"손익계산";#N/A,#N/A,FALSE,"일반관리비";#N/A,#N/A,FALSE,"영업외수익";#N/A,#N/A,FALSE,"영업외비용";#N/A,#N/A,FALSE,"매출액";#N/A,#N/A,FALSE,"요약손익";#N/A,#N/A,FALSE,"요약대차";#N/A,#N/A,FALSE,"매출채권현황";#N/A,#N/A,FALSE,"매출채권명세"}</definedName>
    <definedName name="작성조서" localSheetId="24" hidden="1">{#N/A,#N/A,FALSE,"BS";#N/A,#N/A,FALSE,"PL";#N/A,#N/A,FALSE,"처분";#N/A,#N/A,FALSE,"현금";#N/A,#N/A,FALSE,"매출";#N/A,#N/A,FALSE,"원가";#N/A,#N/A,FALSE,"경영"}</definedName>
    <definedName name="작성조서" localSheetId="18" hidden="1">{#N/A,#N/A,FALSE,"BS";#N/A,#N/A,FALSE,"PL";#N/A,#N/A,FALSE,"처분";#N/A,#N/A,FALSE,"현금";#N/A,#N/A,FALSE,"매출";#N/A,#N/A,FALSE,"원가";#N/A,#N/A,FALSE,"경영"}</definedName>
    <definedName name="작성조서" localSheetId="25" hidden="1">{#N/A,#N/A,FALSE,"BS";#N/A,#N/A,FALSE,"PL";#N/A,#N/A,FALSE,"처분";#N/A,#N/A,FALSE,"현금";#N/A,#N/A,FALSE,"매출";#N/A,#N/A,FALSE,"원가";#N/A,#N/A,FALSE,"경영"}</definedName>
    <definedName name="작성조서" hidden="1">{#N/A,#N/A,FALSE,"BS";#N/A,#N/A,FALSE,"PL";#N/A,#N/A,FALSE,"처분";#N/A,#N/A,FALSE,"현금";#N/A,#N/A,FALSE,"매출";#N/A,#N/A,FALSE,"원가";#N/A,#N/A,FALSE,"경영"}</definedName>
    <definedName name="作業中" localSheetId="24" hidden="1">{"summary",#N/A,TRUE,"Focus";"interestexpense",#N/A,TRUE,"Focus";"interestincome",#N/A,TRUE,"Focus";"dividend",#N/A,TRUE,"Focus";"feeincome",#N/A,TRUE,"Focus";"gain",#N/A,TRUE,"Focus"}</definedName>
    <definedName name="作業中" localSheetId="18" hidden="1">{"summary",#N/A,TRUE,"Focus";"interestexpense",#N/A,TRUE,"Focus";"interestincome",#N/A,TRUE,"Focus";"dividend",#N/A,TRUE,"Focus";"feeincome",#N/A,TRUE,"Focus";"gain",#N/A,TRUE,"Focus"}</definedName>
    <definedName name="作業中" localSheetId="25" hidden="1">{"summary",#N/A,TRUE,"Focus";"interestexpense",#N/A,TRUE,"Focus";"interestincome",#N/A,TRUE,"Focus";"dividend",#N/A,TRUE,"Focus";"feeincome",#N/A,TRUE,"Focus";"gain",#N/A,TRUE,"Focus"}</definedName>
    <definedName name="作業中" hidden="1">{"summary",#N/A,TRUE,"Focus";"interestexpense",#N/A,TRUE,"Focus";"interestincome",#N/A,TRUE,"Focus";"dividend",#N/A,TRUE,"Focus";"feeincome",#N/A,TRUE,"Focus";"gain",#N/A,TRUE,"Focus"}</definedName>
    <definedName name="잡손실" localSheetId="24" hidden="1">{#N/A,#N/A,FALSE,"1.CRITERIA";#N/A,#N/A,FALSE,"2.IS";#N/A,#N/A,FALSE,"3.BS";#N/A,#N/A,FALSE,"4.PER PL";#N/A,#N/A,FALSE,"5.INVESTMENT";#N/A,#N/A,FALSE,"6.공문";#N/A,#N/A,FALSE,"7.netinvest"}</definedName>
    <definedName name="잡손실" localSheetId="18" hidden="1">{#N/A,#N/A,FALSE,"1.CRITERIA";#N/A,#N/A,FALSE,"2.IS";#N/A,#N/A,FALSE,"3.BS";#N/A,#N/A,FALSE,"4.PER PL";#N/A,#N/A,FALSE,"5.INVESTMENT";#N/A,#N/A,FALSE,"6.공문";#N/A,#N/A,FALSE,"7.netinvest"}</definedName>
    <definedName name="잡손실" localSheetId="25" hidden="1">{#N/A,#N/A,FALSE,"1.CRITERIA";#N/A,#N/A,FALSE,"2.IS";#N/A,#N/A,FALSE,"3.BS";#N/A,#N/A,FALSE,"4.PER PL";#N/A,#N/A,FALSE,"5.INVESTMENT";#N/A,#N/A,FALSE,"6.공문";#N/A,#N/A,FALSE,"7.netinvest"}</definedName>
    <definedName name="잡손실" hidden="1">{#N/A,#N/A,FALSE,"1.CRITERIA";#N/A,#N/A,FALSE,"2.IS";#N/A,#N/A,FALSE,"3.BS";#N/A,#N/A,FALSE,"4.PER PL";#N/A,#N/A,FALSE,"5.INVESTMENT";#N/A,#N/A,FALSE,"6.공문";#N/A,#N/A,FALSE,"7.netinvest"}</definedName>
    <definedName name="잡이익" localSheetId="24" hidden="1">{#N/A,#N/A,FALSE,"1.CRITERIA";#N/A,#N/A,FALSE,"2.IS";#N/A,#N/A,FALSE,"3.BS";#N/A,#N/A,FALSE,"4.PER PL";#N/A,#N/A,FALSE,"5.INVESTMENT";#N/A,#N/A,FALSE,"6.공문";#N/A,#N/A,FALSE,"7.netinvest"}</definedName>
    <definedName name="잡이익" localSheetId="18" hidden="1">{#N/A,#N/A,FALSE,"1.CRITERIA";#N/A,#N/A,FALSE,"2.IS";#N/A,#N/A,FALSE,"3.BS";#N/A,#N/A,FALSE,"4.PER PL";#N/A,#N/A,FALSE,"5.INVESTMENT";#N/A,#N/A,FALSE,"6.공문";#N/A,#N/A,FALSE,"7.netinvest"}</definedName>
    <definedName name="잡이익" localSheetId="25" hidden="1">{#N/A,#N/A,FALSE,"1.CRITERIA";#N/A,#N/A,FALSE,"2.IS";#N/A,#N/A,FALSE,"3.BS";#N/A,#N/A,FALSE,"4.PER PL";#N/A,#N/A,FALSE,"5.INVESTMENT";#N/A,#N/A,FALSE,"6.공문";#N/A,#N/A,FALSE,"7.netinvest"}</definedName>
    <definedName name="잡이익" hidden="1">{#N/A,#N/A,FALSE,"1.CRITERIA";#N/A,#N/A,FALSE,"2.IS";#N/A,#N/A,FALSE,"3.BS";#N/A,#N/A,FALSE,"4.PER PL";#N/A,#N/A,FALSE,"5.INVESTMENT";#N/A,#N/A,FALSE,"6.공문";#N/A,#N/A,FALSE,"7.netinvest"}</definedName>
    <definedName name="잡철공사"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잡철공사"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잡철공사" localSheetId="25"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잡철공사"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장"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4" localSheetId="24" hidden="1">{#N/A,#N/A,FALSE,"CAM-G7";#N/A,#N/A,FALSE,"SPL";#N/A,#N/A,FALSE,"butt-in G7";#N/A,#N/A,FALSE,"dia-in G7";#N/A,#N/A,FALSE,"추가-STA G7"}</definedName>
    <definedName name="장4" localSheetId="18" hidden="1">{#N/A,#N/A,FALSE,"CAM-G7";#N/A,#N/A,FALSE,"SPL";#N/A,#N/A,FALSE,"butt-in G7";#N/A,#N/A,FALSE,"dia-in G7";#N/A,#N/A,FALSE,"추가-STA G7"}</definedName>
    <definedName name="장4" localSheetId="25" hidden="1">{#N/A,#N/A,FALSE,"CAM-G7";#N/A,#N/A,FALSE,"SPL";#N/A,#N/A,FALSE,"butt-in G7";#N/A,#N/A,FALSE,"dia-in G7";#N/A,#N/A,FALSE,"추가-STA G7"}</definedName>
    <definedName name="장4" hidden="1">{#N/A,#N/A,FALSE,"CAM-G7";#N/A,#N/A,FALSE,"SPL";#N/A,#N/A,FALSE,"butt-in G7";#N/A,#N/A,FALSE,"dia-in G7";#N/A,#N/A,FALSE,"추가-STA G7"}</definedName>
    <definedName name="장기" localSheetId="24" hidden="1">{#N/A,#N/A,TRUE,"Y생산";#N/A,#N/A,TRUE,"Y판매";#N/A,#N/A,TRUE,"Y총물량";#N/A,#N/A,TRUE,"Y능력";#N/A,#N/A,TRUE,"YKD"}</definedName>
    <definedName name="장기" localSheetId="18" hidden="1">{#N/A,#N/A,TRUE,"Y생산";#N/A,#N/A,TRUE,"Y판매";#N/A,#N/A,TRUE,"Y총물량";#N/A,#N/A,TRUE,"Y능력";#N/A,#N/A,TRUE,"YKD"}</definedName>
    <definedName name="장기" localSheetId="25" hidden="1">{#N/A,#N/A,TRUE,"Y생산";#N/A,#N/A,TRUE,"Y판매";#N/A,#N/A,TRUE,"Y총물량";#N/A,#N/A,TRUE,"Y능력";#N/A,#N/A,TRUE,"YKD"}</definedName>
    <definedName name="장기" hidden="1">{#N/A,#N/A,TRUE,"Y생산";#N/A,#N/A,TRUE,"Y판매";#N/A,#N/A,TRUE,"Y총물량";#N/A,#N/A,TRUE,"Y능력";#N/A,#N/A,TRUE,"YKD"}</definedName>
    <definedName name="장기_1" localSheetId="24" hidden="1">{#N/A,#N/A,TRUE,"Y생산";#N/A,#N/A,TRUE,"Y판매";#N/A,#N/A,TRUE,"Y총물량";#N/A,#N/A,TRUE,"Y능력";#N/A,#N/A,TRUE,"YKD"}</definedName>
    <definedName name="장기_1" localSheetId="18" hidden="1">{#N/A,#N/A,TRUE,"Y생산";#N/A,#N/A,TRUE,"Y판매";#N/A,#N/A,TRUE,"Y총물량";#N/A,#N/A,TRUE,"Y능력";#N/A,#N/A,TRUE,"YKD"}</definedName>
    <definedName name="장기_1" localSheetId="25" hidden="1">{#N/A,#N/A,TRUE,"Y생산";#N/A,#N/A,TRUE,"Y판매";#N/A,#N/A,TRUE,"Y총물량";#N/A,#N/A,TRUE,"Y능력";#N/A,#N/A,TRUE,"YKD"}</definedName>
    <definedName name="장기_1" hidden="1">{#N/A,#N/A,TRUE,"Y생산";#N/A,#N/A,TRUE,"Y판매";#N/A,#N/A,TRUE,"Y총물량";#N/A,#N/A,TRUE,"Y능력";#N/A,#N/A,TRUE,"YKD"}</definedName>
    <definedName name="장종"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열"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열"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열"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집" localSheetId="24" hidden="1">{"'용역비'!$A$4:$C$8"}</definedName>
    <definedName name="장집" localSheetId="18" hidden="1">{"'용역비'!$A$4:$C$8"}</definedName>
    <definedName name="장집" localSheetId="25" hidden="1">{"'용역비'!$A$4:$C$8"}</definedName>
    <definedName name="장집" hidden="1">{"'용역비'!$A$4:$C$8"}</definedName>
    <definedName name="再" localSheetId="24" hidden="1">{"summary",#N/A,TRUE,"Focus";"interestexpense",#N/A,TRUE,"Focus";"interestincome",#N/A,TRUE,"Focus";"dividend",#N/A,TRUE,"Focus";"feeincome",#N/A,TRUE,"Focus";"gain",#N/A,TRUE,"Focus"}</definedName>
    <definedName name="再" localSheetId="18" hidden="1">{"summary",#N/A,TRUE,"Focus";"interestexpense",#N/A,TRUE,"Focus";"interestincome",#N/A,TRUE,"Focus";"dividend",#N/A,TRUE,"Focus";"feeincome",#N/A,TRUE,"Focus";"gain",#N/A,TRUE,"Focus"}</definedName>
    <definedName name="再" localSheetId="25" hidden="1">{"summary",#N/A,TRUE,"Focus";"interestexpense",#N/A,TRUE,"Focus";"interestincome",#N/A,TRUE,"Focus";"dividend",#N/A,TRUE,"Focus";"feeincome",#N/A,TRUE,"Focus";"gain",#N/A,TRUE,"Focus"}</definedName>
    <definedName name="再" hidden="1">{"summary",#N/A,TRUE,"Focus";"interestexpense",#N/A,TRUE,"Focus";"interestincome",#N/A,TRUE,"Focus";"dividend",#N/A,TRUE,"Focus";"feeincome",#N/A,TRUE,"Focus";"gain",#N/A,TRUE,"Focus"}</definedName>
    <definedName name="재고관리" localSheetId="24" hidden="1">{#N/A,#N/A,TRUE,"Y생산";#N/A,#N/A,TRUE,"Y판매";#N/A,#N/A,TRUE,"Y총물량";#N/A,#N/A,TRUE,"Y능력";#N/A,#N/A,TRUE,"YKD"}</definedName>
    <definedName name="재고관리" localSheetId="18" hidden="1">{#N/A,#N/A,TRUE,"Y생산";#N/A,#N/A,TRUE,"Y판매";#N/A,#N/A,TRUE,"Y총물량";#N/A,#N/A,TRUE,"Y능력";#N/A,#N/A,TRUE,"YKD"}</definedName>
    <definedName name="재고관리" localSheetId="25" hidden="1">{#N/A,#N/A,TRUE,"Y생산";#N/A,#N/A,TRUE,"Y판매";#N/A,#N/A,TRUE,"Y총물량";#N/A,#N/A,TRUE,"Y능력";#N/A,#N/A,TRUE,"YKD"}</definedName>
    <definedName name="재고관리" hidden="1">{#N/A,#N/A,TRUE,"Y생산";#N/A,#N/A,TRUE,"Y판매";#N/A,#N/A,TRUE,"Y총물량";#N/A,#N/A,TRUE,"Y능력";#N/A,#N/A,TRUE,"YKD"}</definedName>
    <definedName name="재댜ㅓㄹㅈ디마" localSheetId="24" hidden="1">{#N/A,#N/A,TRUE,"대 차 대 조 표"}</definedName>
    <definedName name="재댜ㅓㄹㅈ디마" localSheetId="18" hidden="1">{#N/A,#N/A,TRUE,"대 차 대 조 표"}</definedName>
    <definedName name="재댜ㅓㄹㅈ디마" localSheetId="25" hidden="1">{#N/A,#N/A,TRUE,"대 차 대 조 표"}</definedName>
    <definedName name="재댜ㅓㄹㅈ디마" hidden="1">{#N/A,#N/A,TRUE,"대 차 대 조 표"}</definedName>
    <definedName name="재료비" localSheetId="24" hidden="1">{#N/A,#N/A,TRUE,"일정"}</definedName>
    <definedName name="재료비" localSheetId="18" hidden="1">{#N/A,#N/A,TRUE,"일정"}</definedName>
    <definedName name="재료비" localSheetId="25" hidden="1">{#N/A,#N/A,TRUE,"일정"}</definedName>
    <definedName name="재료비" hidden="1">{#N/A,#N/A,TRUE,"일정"}</definedName>
    <definedName name="재무제표"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 localSheetId="25"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_1"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_1" localSheetId="25"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재재" localSheetId="24" hidden="1">{"'미착금액'!$A$4:$G$14"}</definedName>
    <definedName name="재재재" localSheetId="18" hidden="1">{"'미착금액'!$A$4:$G$14"}</definedName>
    <definedName name="재재재" localSheetId="25" hidden="1">{"'미착금액'!$A$4:$G$14"}</definedName>
    <definedName name="재재재" hidden="1">{"'미착금액'!$A$4:$G$14"}</definedName>
    <definedName name="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저"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저" hidden="1">{#N/A,#N/A,FALSE,"손익표지";#N/A,#N/A,FALSE,"손익계산";#N/A,#N/A,FALSE,"일반관리비";#N/A,#N/A,FALSE,"영업외수익";#N/A,#N/A,FALSE,"영업외비용";#N/A,#N/A,FALSE,"매출액";#N/A,#N/A,FALSE,"요약손익";#N/A,#N/A,FALSE,"요약대차";#N/A,#N/A,FALSE,"매출채권현황";#N/A,#N/A,FALSE,"매출채권명세"}</definedName>
    <definedName name="저온" localSheetId="24" hidden="1">{#N/A,#N/A,FALSE,"견적갑지";#N/A,#N/A,FALSE,"총괄표";#N/A,#N/A,FALSE,"철골공사";#N/A,#N/A,FALSE,"토목공사";#N/A,#N/A,FALSE,"판넬전기공사"}</definedName>
    <definedName name="저온" localSheetId="18" hidden="1">{#N/A,#N/A,FALSE,"견적갑지";#N/A,#N/A,FALSE,"총괄표";#N/A,#N/A,FALSE,"철골공사";#N/A,#N/A,FALSE,"토목공사";#N/A,#N/A,FALSE,"판넬전기공사"}</definedName>
    <definedName name="저온" localSheetId="25" hidden="1">{#N/A,#N/A,FALSE,"견적갑지";#N/A,#N/A,FALSE,"총괄표";#N/A,#N/A,FALSE,"철골공사";#N/A,#N/A,FALSE,"토목공사";#N/A,#N/A,FALSE,"판넬전기공사"}</definedName>
    <definedName name="저온" hidden="1">{#N/A,#N/A,FALSE,"견적갑지";#N/A,#N/A,FALSE,"총괄표";#N/A,#N/A,FALSE,"철골공사";#N/A,#N/A,FALSE,"토목공사";#N/A,#N/A,FALSE,"판넬전기공사"}</definedName>
    <definedName name="저온1" localSheetId="24" hidden="1">{#N/A,#N/A,FALSE,"견적갑지";#N/A,#N/A,FALSE,"총괄표";#N/A,#N/A,FALSE,"철골공사";#N/A,#N/A,FALSE,"토목공사";#N/A,#N/A,FALSE,"판넬전기공사"}</definedName>
    <definedName name="저온1" localSheetId="18" hidden="1">{#N/A,#N/A,FALSE,"견적갑지";#N/A,#N/A,FALSE,"총괄표";#N/A,#N/A,FALSE,"철골공사";#N/A,#N/A,FALSE,"토목공사";#N/A,#N/A,FALSE,"판넬전기공사"}</definedName>
    <definedName name="저온1" localSheetId="25" hidden="1">{#N/A,#N/A,FALSE,"견적갑지";#N/A,#N/A,FALSE,"총괄표";#N/A,#N/A,FALSE,"철골공사";#N/A,#N/A,FALSE,"토목공사";#N/A,#N/A,FALSE,"판넬전기공사"}</definedName>
    <definedName name="저온1" hidden="1">{#N/A,#N/A,FALSE,"견적갑지";#N/A,#N/A,FALSE,"총괄표";#N/A,#N/A,FALSE,"철골공사";#N/A,#N/A,FALSE,"토목공사";#N/A,#N/A,FALSE,"판넬전기공사"}</definedName>
    <definedName name="저온냉동" localSheetId="24" hidden="1">{#N/A,#N/A,FALSE,"견적갑지";#N/A,#N/A,FALSE,"총괄표";#N/A,#N/A,FALSE,"철골공사";#N/A,#N/A,FALSE,"토목공사";#N/A,#N/A,FALSE,"판넬전기공사"}</definedName>
    <definedName name="저온냉동" localSheetId="18" hidden="1">{#N/A,#N/A,FALSE,"견적갑지";#N/A,#N/A,FALSE,"총괄표";#N/A,#N/A,FALSE,"철골공사";#N/A,#N/A,FALSE,"토목공사";#N/A,#N/A,FALSE,"판넬전기공사"}</definedName>
    <definedName name="저온냉동" localSheetId="25" hidden="1">{#N/A,#N/A,FALSE,"견적갑지";#N/A,#N/A,FALSE,"총괄표";#N/A,#N/A,FALSE,"철골공사";#N/A,#N/A,FALSE,"토목공사";#N/A,#N/A,FALSE,"판넬전기공사"}</definedName>
    <definedName name="저온냉동" hidden="1">{#N/A,#N/A,FALSE,"견적갑지";#N/A,#N/A,FALSE,"총괄표";#N/A,#N/A,FALSE,"철골공사";#N/A,#N/A,FALSE,"토목공사";#N/A,#N/A,FALSE,"판넬전기공사"}</definedName>
    <definedName name="저온설비" localSheetId="24" hidden="1">{#N/A,#N/A,FALSE,"견적갑지";#N/A,#N/A,FALSE,"총괄표";#N/A,#N/A,FALSE,"철골공사";#N/A,#N/A,FALSE,"토목공사";#N/A,#N/A,FALSE,"판넬전기공사"}</definedName>
    <definedName name="저온설비" localSheetId="18" hidden="1">{#N/A,#N/A,FALSE,"견적갑지";#N/A,#N/A,FALSE,"총괄표";#N/A,#N/A,FALSE,"철골공사";#N/A,#N/A,FALSE,"토목공사";#N/A,#N/A,FALSE,"판넬전기공사"}</definedName>
    <definedName name="저온설비" localSheetId="25" hidden="1">{#N/A,#N/A,FALSE,"견적갑지";#N/A,#N/A,FALSE,"총괄표";#N/A,#N/A,FALSE,"철골공사";#N/A,#N/A,FALSE,"토목공사";#N/A,#N/A,FALSE,"판넬전기공사"}</definedName>
    <definedName name="저온설비" hidden="1">{#N/A,#N/A,FALSE,"견적갑지";#N/A,#N/A,FALSE,"총괄표";#N/A,#N/A,FALSE,"철골공사";#N/A,#N/A,FALSE,"토목공사";#N/A,#N/A,FALSE,"판넬전기공사"}</definedName>
    <definedName name="저온저장고" localSheetId="24" hidden="1">{#N/A,#N/A,FALSE,"견적갑지";#N/A,#N/A,FALSE,"총괄표";#N/A,#N/A,FALSE,"철골공사";#N/A,#N/A,FALSE,"토목공사";#N/A,#N/A,FALSE,"판넬전기공사"}</definedName>
    <definedName name="저온저장고" localSheetId="18" hidden="1">{#N/A,#N/A,FALSE,"견적갑지";#N/A,#N/A,FALSE,"총괄표";#N/A,#N/A,FALSE,"철골공사";#N/A,#N/A,FALSE,"토목공사";#N/A,#N/A,FALSE,"판넬전기공사"}</definedName>
    <definedName name="저온저장고" localSheetId="25" hidden="1">{#N/A,#N/A,FALSE,"견적갑지";#N/A,#N/A,FALSE,"총괄표";#N/A,#N/A,FALSE,"철골공사";#N/A,#N/A,FALSE,"토목공사";#N/A,#N/A,FALSE,"판넬전기공사"}</definedName>
    <definedName name="저온저장고" hidden="1">{#N/A,#N/A,FALSE,"견적갑지";#N/A,#N/A,FALSE,"총괄표";#N/A,#N/A,FALSE,"철골공사";#N/A,#N/A,FALSE,"토목공사";#N/A,#N/A,FALSE,"판넬전기공사"}</definedName>
    <definedName name="저온집계" localSheetId="24" hidden="1">{#N/A,#N/A,FALSE,"견적갑지";#N/A,#N/A,FALSE,"총괄표";#N/A,#N/A,FALSE,"철골공사";#N/A,#N/A,FALSE,"토목공사";#N/A,#N/A,FALSE,"판넬전기공사"}</definedName>
    <definedName name="저온집계" localSheetId="18" hidden="1">{#N/A,#N/A,FALSE,"견적갑지";#N/A,#N/A,FALSE,"총괄표";#N/A,#N/A,FALSE,"철골공사";#N/A,#N/A,FALSE,"토목공사";#N/A,#N/A,FALSE,"판넬전기공사"}</definedName>
    <definedName name="저온집계" localSheetId="25" hidden="1">{#N/A,#N/A,FALSE,"견적갑지";#N/A,#N/A,FALSE,"총괄표";#N/A,#N/A,FALSE,"철골공사";#N/A,#N/A,FALSE,"토목공사";#N/A,#N/A,FALSE,"판넬전기공사"}</definedName>
    <definedName name="저온집계" hidden="1">{#N/A,#N/A,FALSE,"견적갑지";#N/A,#N/A,FALSE,"총괄표";#N/A,#N/A,FALSE,"철골공사";#N/A,#N/A,FALSE,"토목공사";#N/A,#N/A,FALSE,"판넬전기공사"}</definedName>
    <definedName name="적정분양가" localSheetId="24"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적정분양가" localSheetId="18"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적정분양가" localSheetId="25"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적정분양가"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전" localSheetId="24" hidden="1">{#N/A,#N/A,FALSE,"97년 투자계획 세부내역 "}</definedName>
    <definedName name="전" localSheetId="18" hidden="1">{#N/A,#N/A,FALSE,"97년 투자계획 세부내역 "}</definedName>
    <definedName name="전" localSheetId="25" hidden="1">{#N/A,#N/A,FALSE,"97년 투자계획 세부내역 "}</definedName>
    <definedName name="전" hidden="1">{#N/A,#N/A,FALSE,"97년 투자계획 세부내역 "}</definedName>
    <definedName name="전기" localSheetId="24" hidden="1">{#N/A,#N/A,FALSE,"97년 투자계획 세부내역 "}</definedName>
    <definedName name="전기" localSheetId="18" hidden="1">{#N/A,#N/A,FALSE,"97년 투자계획 세부내역 "}</definedName>
    <definedName name="전기" localSheetId="25" hidden="1">{#N/A,#N/A,FALSE,"97년 투자계획 세부내역 "}</definedName>
    <definedName name="전기" hidden="1">{#N/A,#N/A,FALSE,"97년 투자계획 세부내역 "}</definedName>
    <definedName name="전기1" localSheetId="24" hidden="1">{#N/A,#N/A,FALSE,"견적갑지";#N/A,#N/A,FALSE,"총괄표";#N/A,#N/A,FALSE,"철골공사";#N/A,#N/A,FALSE,"토목공사";#N/A,#N/A,FALSE,"판넬전기공사"}</definedName>
    <definedName name="전기1" localSheetId="18" hidden="1">{#N/A,#N/A,FALSE,"견적갑지";#N/A,#N/A,FALSE,"총괄표";#N/A,#N/A,FALSE,"철골공사";#N/A,#N/A,FALSE,"토목공사";#N/A,#N/A,FALSE,"판넬전기공사"}</definedName>
    <definedName name="전기1" localSheetId="25" hidden="1">{#N/A,#N/A,FALSE,"견적갑지";#N/A,#N/A,FALSE,"총괄표";#N/A,#N/A,FALSE,"철골공사";#N/A,#N/A,FALSE,"토목공사";#N/A,#N/A,FALSE,"판넬전기공사"}</definedName>
    <definedName name="전기1" hidden="1">{#N/A,#N/A,FALSE,"견적갑지";#N/A,#N/A,FALSE,"총괄표";#N/A,#N/A,FALSE,"철골공사";#N/A,#N/A,FALSE,"토목공사";#N/A,#N/A,FALSE,"판넬전기공사"}</definedName>
    <definedName name="전기3" localSheetId="24" hidden="1">{#N/A,#N/A,FALSE,"견적갑지";#N/A,#N/A,FALSE,"총괄표";#N/A,#N/A,FALSE,"철골공사";#N/A,#N/A,FALSE,"토목공사";#N/A,#N/A,FALSE,"판넬전기공사"}</definedName>
    <definedName name="전기3" localSheetId="18" hidden="1">{#N/A,#N/A,FALSE,"견적갑지";#N/A,#N/A,FALSE,"총괄표";#N/A,#N/A,FALSE,"철골공사";#N/A,#N/A,FALSE,"토목공사";#N/A,#N/A,FALSE,"판넬전기공사"}</definedName>
    <definedName name="전기3" localSheetId="25" hidden="1">{#N/A,#N/A,FALSE,"견적갑지";#N/A,#N/A,FALSE,"총괄표";#N/A,#N/A,FALSE,"철골공사";#N/A,#N/A,FALSE,"토목공사";#N/A,#N/A,FALSE,"판넬전기공사"}</definedName>
    <definedName name="전기3" hidden="1">{#N/A,#N/A,FALSE,"견적갑지";#N/A,#N/A,FALSE,"총괄표";#N/A,#N/A,FALSE,"철골공사";#N/A,#N/A,FALSE,"토목공사";#N/A,#N/A,FALSE,"판넬전기공사"}</definedName>
    <definedName name="전기4" localSheetId="24" hidden="1">{#N/A,#N/A,FALSE,"견적갑지";#N/A,#N/A,FALSE,"총괄표";#N/A,#N/A,FALSE,"철골공사";#N/A,#N/A,FALSE,"토목공사";#N/A,#N/A,FALSE,"판넬전기공사"}</definedName>
    <definedName name="전기4" localSheetId="18" hidden="1">{#N/A,#N/A,FALSE,"견적갑지";#N/A,#N/A,FALSE,"총괄표";#N/A,#N/A,FALSE,"철골공사";#N/A,#N/A,FALSE,"토목공사";#N/A,#N/A,FALSE,"판넬전기공사"}</definedName>
    <definedName name="전기4" localSheetId="25" hidden="1">{#N/A,#N/A,FALSE,"견적갑지";#N/A,#N/A,FALSE,"총괄표";#N/A,#N/A,FALSE,"철골공사";#N/A,#N/A,FALSE,"토목공사";#N/A,#N/A,FALSE,"판넬전기공사"}</definedName>
    <definedName name="전기4" hidden="1">{#N/A,#N/A,FALSE,"견적갑지";#N/A,#N/A,FALSE,"총괄표";#N/A,#N/A,FALSE,"철골공사";#N/A,#N/A,FALSE,"토목공사";#N/A,#N/A,FALSE,"판넬전기공사"}</definedName>
    <definedName name="전기내역" localSheetId="24" hidden="1">{#N/A,#N/A,FALSE,"CCTV"}</definedName>
    <definedName name="전기내역" localSheetId="18" hidden="1">{#N/A,#N/A,FALSE,"CCTV"}</definedName>
    <definedName name="전기내역" localSheetId="25" hidden="1">{#N/A,#N/A,FALSE,"CCTV"}</definedName>
    <definedName name="전기내역" hidden="1">{#N/A,#N/A,FALSE,"CCTV"}</definedName>
    <definedName name="전문" localSheetId="24" hidden="1">{"'7'!$B$15:$D$32"}</definedName>
    <definedName name="전문" localSheetId="18" hidden="1">{"'7'!$B$15:$D$32"}</definedName>
    <definedName name="전문" localSheetId="25" hidden="1">{"'7'!$B$15:$D$32"}</definedName>
    <definedName name="전문" hidden="1">{"'7'!$B$15:$D$32"}</definedName>
    <definedName name="전용원" localSheetId="24" hidden="1">{#N/A,#N/A,FALSE,"97년 투자계획 세부내역 "}</definedName>
    <definedName name="전용원" localSheetId="18" hidden="1">{#N/A,#N/A,FALSE,"97년 투자계획 세부내역 "}</definedName>
    <definedName name="전용원" localSheetId="25" hidden="1">{#N/A,#N/A,FALSE,"97년 투자계획 세부내역 "}</definedName>
    <definedName name="전용원" hidden="1">{#N/A,#N/A,FALSE,"97년 투자계획 세부내역 "}</definedName>
    <definedName name="전자"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전자"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전자"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전자" hidden="1">{#N/A,#N/A,FALSE,"손익표지";#N/A,#N/A,FALSE,"손익계산";#N/A,#N/A,FALSE,"일반관리비";#N/A,#N/A,FALSE,"영업외수익";#N/A,#N/A,FALSE,"영업외비용";#N/A,#N/A,FALSE,"매출액";#N/A,#N/A,FALSE,"요약손익";#N/A,#N/A,FALSE,"요약대차";#N/A,#N/A,FALSE,"매출채권현황";#N/A,#N/A,FALSE,"매출채권명세"}</definedName>
    <definedName name="전자CF" localSheetId="24" hidden="1">{#N/A,#N/A,FALSE,"지침";#N/A,#N/A,FALSE,"환경분석";#N/A,#N/A,FALSE,"Sheet16"}</definedName>
    <definedName name="전자CF" localSheetId="18" hidden="1">{#N/A,#N/A,FALSE,"지침";#N/A,#N/A,FALSE,"환경분석";#N/A,#N/A,FALSE,"Sheet16"}</definedName>
    <definedName name="전자CF" localSheetId="25" hidden="1">{#N/A,#N/A,FALSE,"지침";#N/A,#N/A,FALSE,"환경분석";#N/A,#N/A,FALSE,"Sheet16"}</definedName>
    <definedName name="전자CF" hidden="1">{#N/A,#N/A,FALSE,"지침";#N/A,#N/A,FALSE,"환경분석";#N/A,#N/A,FALSE,"Sheet16"}</definedName>
    <definedName name="전체_검토_도급포함" localSheetId="24" hidden="1">{#N/A,#N/A,FALSE,"CCTV"}</definedName>
    <definedName name="전체_검토_도급포함" localSheetId="18" hidden="1">{#N/A,#N/A,FALSE,"CCTV"}</definedName>
    <definedName name="전체_검토_도급포함" localSheetId="25" hidden="1">{#N/A,#N/A,FALSE,"CCTV"}</definedName>
    <definedName name="전체_검토_도급포함" hidden="1">{#N/A,#N/A,FALSE,"CCTV"}</definedName>
    <definedName name="절감효과" localSheetId="24" hidden="1">{#N/A,#N/A,TRUE,"Y생산";#N/A,#N/A,TRUE,"Y판매";#N/A,#N/A,TRUE,"Y총물량";#N/A,#N/A,TRUE,"Y능력";#N/A,#N/A,TRUE,"YKD"}</definedName>
    <definedName name="절감효과" localSheetId="18" hidden="1">{#N/A,#N/A,TRUE,"Y생산";#N/A,#N/A,TRUE,"Y판매";#N/A,#N/A,TRUE,"Y총물량";#N/A,#N/A,TRUE,"Y능력";#N/A,#N/A,TRUE,"YKD"}</definedName>
    <definedName name="절감효과" localSheetId="25" hidden="1">{#N/A,#N/A,TRUE,"Y생산";#N/A,#N/A,TRUE,"Y판매";#N/A,#N/A,TRUE,"Y총물량";#N/A,#N/A,TRUE,"Y능력";#N/A,#N/A,TRUE,"YKD"}</definedName>
    <definedName name="절감효과" hidden="1">{#N/A,#N/A,TRUE,"Y생산";#N/A,#N/A,TRUE,"Y판매";#N/A,#N/A,TRUE,"Y총물량";#N/A,#N/A,TRUE,"Y능력";#N/A,#N/A,TRUE,"YKD"}</definedName>
    <definedName name="정" localSheetId="24" hidden="1">{#N/A,#N/A,FALSE,"채권채무";#N/A,#N/A,FALSE,"control sheet"}</definedName>
    <definedName name="정" localSheetId="18" hidden="1">{#N/A,#N/A,FALSE,"채권채무";#N/A,#N/A,FALSE,"control sheet"}</definedName>
    <definedName name="정" localSheetId="25" hidden="1">{#N/A,#N/A,FALSE,"채권채무";#N/A,#N/A,FALSE,"control sheet"}</definedName>
    <definedName name="정" hidden="1">{#N/A,#N/A,FALSE,"채권채무";#N/A,#N/A,FALSE,"control sheet"}</definedName>
    <definedName name="정리" localSheetId="24" hidden="1">{#N/A,#N/A,TRUE,"대 차 대 조 표"}</definedName>
    <definedName name="정리" localSheetId="18" hidden="1">{#N/A,#N/A,TRUE,"대 차 대 조 표"}</definedName>
    <definedName name="정리" localSheetId="25" hidden="1">{#N/A,#N/A,TRUE,"대 차 대 조 표"}</definedName>
    <definedName name="정리" hidden="1">{#N/A,#N/A,TRUE,"대 차 대 조 표"}</definedName>
    <definedName name="정리_1" localSheetId="24" hidden="1">{#N/A,#N/A,TRUE,"대 차 대 조 표"}</definedName>
    <definedName name="정리_1" localSheetId="18" hidden="1">{#N/A,#N/A,TRUE,"대 차 대 조 표"}</definedName>
    <definedName name="정리_1" localSheetId="25" hidden="1">{#N/A,#N/A,TRUE,"대 차 대 조 표"}</definedName>
    <definedName name="정리_1" hidden="1">{#N/A,#N/A,TRUE,"대 차 대 조 표"}</definedName>
    <definedName name="정보" localSheetId="24" hidden="1">{"'7'!$B$15:$D$32"}</definedName>
    <definedName name="정보" localSheetId="18" hidden="1">{"'7'!$B$15:$D$32"}</definedName>
    <definedName name="정보" localSheetId="25" hidden="1">{"'7'!$B$15:$D$32"}</definedName>
    <definedName name="정보" hidden="1">{"'7'!$B$15:$D$32"}</definedName>
    <definedName name="정봉용"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정봉용"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정봉용"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정봉용" hidden="1">{#N/A,#N/A,FALSE,"손익표지";#N/A,#N/A,FALSE,"손익계산";#N/A,#N/A,FALSE,"일반관리비";#N/A,#N/A,FALSE,"영업외수익";#N/A,#N/A,FALSE,"영업외비용";#N/A,#N/A,FALSE,"매출액";#N/A,#N/A,FALSE,"요약손익";#N/A,#N/A,FALSE,"요약대차";#N/A,#N/A,FALSE,"매출채권현황";#N/A,#N/A,FALSE,"매출채권명세"}</definedName>
    <definedName name="정상2" localSheetId="24"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2" localSheetId="18"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2" localSheetId="25"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2"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3" localSheetId="24"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3" localSheetId="18"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3" localSheetId="25"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3"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6"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6"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6" localSheetId="25"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6"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가격" localSheetId="24"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가격" localSheetId="18"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가격" localSheetId="25"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가격"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가격2"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가격2"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가격2" localSheetId="25"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가격2"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인"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정인"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정인"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정인" hidden="1">{#N/A,#N/A,FALSE,"손익표지";#N/A,#N/A,FALSE,"손익계산";#N/A,#N/A,FALSE,"일반관리비";#N/A,#N/A,FALSE,"영업외수익";#N/A,#N/A,FALSE,"영업외비용";#N/A,#N/A,FALSE,"매출액";#N/A,#N/A,FALSE,"요약손익";#N/A,#N/A,FALSE,"요약대차";#N/A,#N/A,FALSE,"매출채권현황";#N/A,#N/A,FALSE,"매출채권명세"}</definedName>
    <definedName name="정인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정인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정인보"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정인보" hidden="1">{#N/A,#N/A,FALSE,"손익표지";#N/A,#N/A,FALSE,"손익계산";#N/A,#N/A,FALSE,"일반관리비";#N/A,#N/A,FALSE,"영업외수익";#N/A,#N/A,FALSE,"영업외비용";#N/A,#N/A,FALSE,"매출액";#N/A,#N/A,FALSE,"요약손익";#N/A,#N/A,FALSE,"요약대차";#N/A,#N/A,FALSE,"매출채권현황";#N/A,#N/A,FALSE,"매출채권명세"}</definedName>
    <definedName name="訂正" localSheetId="24" hidden="1">{"Actual",#N/A,FALSE,"(価格)";"Market",#N/A,FALSE,"(価格)";"Plan",#N/A,FALSE,"(価格)"}</definedName>
    <definedName name="訂正" localSheetId="18" hidden="1">{"Actual",#N/A,FALSE,"(価格)";"Market",#N/A,FALSE,"(価格)";"Plan",#N/A,FALSE,"(価格)"}</definedName>
    <definedName name="訂正" localSheetId="25" hidden="1">{"Actual",#N/A,FALSE,"(価格)";"Market",#N/A,FALSE,"(価格)";"Plan",#N/A,FALSE,"(価格)"}</definedName>
    <definedName name="訂正" hidden="1">{"Actual",#N/A,FALSE,"(価格)";"Market",#N/A,FALSE,"(価格)";"Plan",#N/A,FALSE,"(価格)"}</definedName>
    <definedName name="정종구"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정종구"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정종구"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정종구" hidden="1">{#N/A,#N/A,FALSE,"손익표지";#N/A,#N/A,FALSE,"손익계산";#N/A,#N/A,FALSE,"일반관리비";#N/A,#N/A,FALSE,"영업외수익";#N/A,#N/A,FALSE,"영업외비용";#N/A,#N/A,FALSE,"매출액";#N/A,#N/A,FALSE,"요약손익";#N/A,#N/A,FALSE,"요약대차";#N/A,#N/A,FALSE,"매출채권현황";#N/A,#N/A,FALSE,"매출채권명세"}</definedName>
    <definedName name="정희원" localSheetId="24" hidden="1">{#N/A,#N/A,TRUE,"Y생산";#N/A,#N/A,TRUE,"Y판매";#N/A,#N/A,TRUE,"Y총물량";#N/A,#N/A,TRUE,"Y능력";#N/A,#N/A,TRUE,"YKD"}</definedName>
    <definedName name="정희원" localSheetId="18" hidden="1">{#N/A,#N/A,TRUE,"Y생산";#N/A,#N/A,TRUE,"Y판매";#N/A,#N/A,TRUE,"Y총물량";#N/A,#N/A,TRUE,"Y능력";#N/A,#N/A,TRUE,"YKD"}</definedName>
    <definedName name="정희원" localSheetId="25" hidden="1">{#N/A,#N/A,TRUE,"Y생산";#N/A,#N/A,TRUE,"Y판매";#N/A,#N/A,TRUE,"Y총물량";#N/A,#N/A,TRUE,"Y능력";#N/A,#N/A,TRUE,"YKD"}</definedName>
    <definedName name="정희원" hidden="1">{#N/A,#N/A,TRUE,"Y생산";#N/A,#N/A,TRUE,"Y판매";#N/A,#N/A,TRUE,"Y총물량";#N/A,#N/A,TRUE,"Y능력";#N/A,#N/A,TRUE,"YKD"}</definedName>
    <definedName name="제경비산출표" localSheetId="24" hidden="1">{"'용역비'!$A$4:$C$8"}</definedName>
    <definedName name="제경비산출표" localSheetId="18" hidden="1">{"'용역비'!$A$4:$C$8"}</definedName>
    <definedName name="제경비산출표" localSheetId="25" hidden="1">{"'용역비'!$A$4:$C$8"}</definedName>
    <definedName name="제경비산출표" hidden="1">{"'용역비'!$A$4:$C$8"}</definedName>
    <definedName name="제관공사" localSheetId="24" hidden="1">{#N/A,#N/A,FALSE,"CCTV"}</definedName>
    <definedName name="제관공사" localSheetId="18" hidden="1">{#N/A,#N/A,FALSE,"CCTV"}</definedName>
    <definedName name="제관공사" localSheetId="25" hidden="1">{#N/A,#N/A,FALSE,"CCTV"}</definedName>
    <definedName name="제관공사" hidden="1">{#N/A,#N/A,FALSE,"CCTV"}</definedName>
    <definedName name="제동시험동" localSheetId="24" hidden="1">{"'PROFORMA'!$A$1:$H$120"}</definedName>
    <definedName name="제동시험동" localSheetId="18" hidden="1">{"'PROFORMA'!$A$1:$H$120"}</definedName>
    <definedName name="제동시험동" localSheetId="25" hidden="1">{"'PROFORMA'!$A$1:$H$120"}</definedName>
    <definedName name="제동시험동" hidden="1">{"'PROFORMA'!$A$1:$H$120"}</definedName>
    <definedName name="제수추가" localSheetId="24" hidden="1">{"'용역비'!$A$4:$C$8"}</definedName>
    <definedName name="제수추가" localSheetId="18" hidden="1">{"'용역비'!$A$4:$C$8"}</definedName>
    <definedName name="제수추가" localSheetId="25" hidden="1">{"'용역비'!$A$4:$C$8"}</definedName>
    <definedName name="제수추가" hidden="1">{"'용역비'!$A$4:$C$8"}</definedName>
    <definedName name="제안요약" localSheetId="24" hidden="1">{"'7'!$B$15:$D$32"}</definedName>
    <definedName name="제안요약" localSheetId="18" hidden="1">{"'7'!$B$15:$D$32"}</definedName>
    <definedName name="제안요약" localSheetId="25" hidden="1">{"'7'!$B$15:$D$32"}</definedName>
    <definedName name="제안요약" hidden="1">{"'7'!$B$15:$D$32"}</definedName>
    <definedName name="제작설치대비표" localSheetId="24" hidden="1">{#N/A,#N/A,FALSE,"CAM-G7";#N/A,#N/A,FALSE,"SPL";#N/A,#N/A,FALSE,"butt-in G7";#N/A,#N/A,FALSE,"dia-in G7";#N/A,#N/A,FALSE,"추가-STA G7"}</definedName>
    <definedName name="제작설치대비표" localSheetId="18" hidden="1">{#N/A,#N/A,FALSE,"CAM-G7";#N/A,#N/A,FALSE,"SPL";#N/A,#N/A,FALSE,"butt-in G7";#N/A,#N/A,FALSE,"dia-in G7";#N/A,#N/A,FALSE,"추가-STA G7"}</definedName>
    <definedName name="제작설치대비표" localSheetId="25" hidden="1">{#N/A,#N/A,FALSE,"CAM-G7";#N/A,#N/A,FALSE,"SPL";#N/A,#N/A,FALSE,"butt-in G7";#N/A,#N/A,FALSE,"dia-in G7";#N/A,#N/A,FALSE,"추가-STA G7"}</definedName>
    <definedName name="제작설치대비표" hidden="1">{#N/A,#N/A,FALSE,"CAM-G7";#N/A,#N/A,FALSE,"SPL";#N/A,#N/A,FALSE,"butt-in G7";#N/A,#N/A,FALSE,"dia-in G7";#N/A,#N/A,FALSE,"추가-STA G7"}</definedName>
    <definedName name="제조" localSheetId="24" hidden="1">{#N/A,#N/A,FALSE,"1.CRITERIA";#N/A,#N/A,FALSE,"2.IS";#N/A,#N/A,FALSE,"3.BS";#N/A,#N/A,FALSE,"4.PER PL";#N/A,#N/A,FALSE,"5.INVESTMENT";#N/A,#N/A,FALSE,"6.공문";#N/A,#N/A,FALSE,"7.netinvest"}</definedName>
    <definedName name="제조" localSheetId="18" hidden="1">{#N/A,#N/A,FALSE,"1.CRITERIA";#N/A,#N/A,FALSE,"2.IS";#N/A,#N/A,FALSE,"3.BS";#N/A,#N/A,FALSE,"4.PER PL";#N/A,#N/A,FALSE,"5.INVESTMENT";#N/A,#N/A,FALSE,"6.공문";#N/A,#N/A,FALSE,"7.netinvest"}</definedName>
    <definedName name="제조" localSheetId="25" hidden="1">{#N/A,#N/A,FALSE,"1.CRITERIA";#N/A,#N/A,FALSE,"2.IS";#N/A,#N/A,FALSE,"3.BS";#N/A,#N/A,FALSE,"4.PER PL";#N/A,#N/A,FALSE,"5.INVESTMENT";#N/A,#N/A,FALSE,"6.공문";#N/A,#N/A,FALSE,"7.netinvest"}</definedName>
    <definedName name="제조" hidden="1">{#N/A,#N/A,FALSE,"1.CRITERIA";#N/A,#N/A,FALSE,"2.IS";#N/A,#N/A,FALSE,"3.BS";#N/A,#N/A,FALSE,"4.PER PL";#N/A,#N/A,FALSE,"5.INVESTMENT";#N/A,#N/A,FALSE,"6.공문";#N/A,#N/A,FALSE,"7.netinvest"}</definedName>
    <definedName name="제출2"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제출2"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제출2"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제출2"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제출내역2" localSheetId="24" hidden="1">{"'PROFORMA'!$A$1:$H$120"}</definedName>
    <definedName name="제출내역2" localSheetId="18" hidden="1">{"'PROFORMA'!$A$1:$H$120"}</definedName>
    <definedName name="제출내역2" localSheetId="25" hidden="1">{"'PROFORMA'!$A$1:$H$120"}</definedName>
    <definedName name="제출내역2" hidden="1">{"'PROFORMA'!$A$1:$H$120"}</definedName>
    <definedName name="조" localSheetId="24" hidden="1">{#N/A,#N/A,FALSE,"1.CRITERIA";#N/A,#N/A,FALSE,"2.IS";#N/A,#N/A,FALSE,"3.BS";#N/A,#N/A,FALSE,"4.PER PL";#N/A,#N/A,FALSE,"5.INVESTMENT";#N/A,#N/A,FALSE,"6.공문";#N/A,#N/A,FALSE,"7.netinvest"}</definedName>
    <definedName name="조" localSheetId="18" hidden="1">{#N/A,#N/A,FALSE,"1.CRITERIA";#N/A,#N/A,FALSE,"2.IS";#N/A,#N/A,FALSE,"3.BS";#N/A,#N/A,FALSE,"4.PER PL";#N/A,#N/A,FALSE,"5.INVESTMENT";#N/A,#N/A,FALSE,"6.공문";#N/A,#N/A,FALSE,"7.netinvest"}</definedName>
    <definedName name="조" localSheetId="25" hidden="1">{#N/A,#N/A,FALSE,"1.CRITERIA";#N/A,#N/A,FALSE,"2.IS";#N/A,#N/A,FALSE,"3.BS";#N/A,#N/A,FALSE,"4.PER PL";#N/A,#N/A,FALSE,"5.INVESTMENT";#N/A,#N/A,FALSE,"6.공문";#N/A,#N/A,FALSE,"7.netinvest"}</definedName>
    <definedName name="조" hidden="1">{#N/A,#N/A,FALSE,"1.CRITERIA";#N/A,#N/A,FALSE,"2.IS";#N/A,#N/A,FALSE,"3.BS";#N/A,#N/A,FALSE,"4.PER PL";#N/A,#N/A,FALSE,"5.INVESTMENT";#N/A,#N/A,FALSE,"6.공문";#N/A,#N/A,FALSE,"7.netinvest"}</definedName>
    <definedName name="조경" localSheetId="24" hidden="1">{#N/A,#N/A,FALSE,"이력서&amp;자기소개서"}</definedName>
    <definedName name="조경" localSheetId="18" hidden="1">{#N/A,#N/A,FALSE,"이력서&amp;자기소개서"}</definedName>
    <definedName name="조경" localSheetId="25" hidden="1">{#N/A,#N/A,FALSE,"이력서&amp;자기소개서"}</definedName>
    <definedName name="조경" hidden="1">{#N/A,#N/A,FALSE,"이력서&amp;자기소개서"}</definedName>
    <definedName name="조효" localSheetId="24" hidden="1">{"'Firr(선)'!$AS$1:$AY$62","'Firr(사)'!$AS$1:$AY$62","'Firr(회)'!$AS$1:$AY$62","'Firr(선)'!$L$1:$V$62","'Firr(사)'!$L$1:$V$62","'Firr(회)'!$L$1:$V$62"}</definedName>
    <definedName name="조효" localSheetId="18" hidden="1">{"'Firr(선)'!$AS$1:$AY$62","'Firr(사)'!$AS$1:$AY$62","'Firr(회)'!$AS$1:$AY$62","'Firr(선)'!$L$1:$V$62","'Firr(사)'!$L$1:$V$62","'Firr(회)'!$L$1:$V$62"}</definedName>
    <definedName name="조효" localSheetId="25" hidden="1">{"'Firr(선)'!$AS$1:$AY$62","'Firr(사)'!$AS$1:$AY$62","'Firr(회)'!$AS$1:$AY$62","'Firr(선)'!$L$1:$V$62","'Firr(사)'!$L$1:$V$62","'Firr(회)'!$L$1:$V$62"}</definedName>
    <definedName name="조효" hidden="1">{"'Firr(선)'!$AS$1:$AY$62","'Firr(사)'!$AS$1:$AY$62","'Firr(회)'!$AS$1:$AY$62","'Firr(선)'!$L$1:$V$62","'Firr(사)'!$L$1:$V$62","'Firr(회)'!$L$1:$V$62"}</definedName>
    <definedName name="조효석" localSheetId="24" hidden="1">{"'Firr(선)'!$AS$1:$AY$62","'Firr(사)'!$AS$1:$AY$62","'Firr(회)'!$AS$1:$AY$62","'Firr(선)'!$L$1:$V$62","'Firr(사)'!$L$1:$V$62","'Firr(회)'!$L$1:$V$62"}</definedName>
    <definedName name="조효석" localSheetId="18" hidden="1">{"'Firr(선)'!$AS$1:$AY$62","'Firr(사)'!$AS$1:$AY$62","'Firr(회)'!$AS$1:$AY$62","'Firr(선)'!$L$1:$V$62","'Firr(사)'!$L$1:$V$62","'Firr(회)'!$L$1:$V$62"}</definedName>
    <definedName name="조효석" localSheetId="25" hidden="1">{"'Firr(선)'!$AS$1:$AY$62","'Firr(사)'!$AS$1:$AY$62","'Firr(회)'!$AS$1:$AY$62","'Firr(선)'!$L$1:$V$62","'Firr(사)'!$L$1:$V$62","'Firr(회)'!$L$1:$V$62"}</definedName>
    <definedName name="조효석" hidden="1">{"'Firr(선)'!$AS$1:$AY$62","'Firr(사)'!$AS$1:$AY$62","'Firr(회)'!$AS$1:$AY$62","'Firr(선)'!$L$1:$V$62","'Firr(사)'!$L$1:$V$62","'Firr(회)'!$L$1:$V$62"}</definedName>
    <definedName name="종합어음"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종합어음"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종합어음"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종합어음" hidden="1">{#N/A,#N/A,FALSE,"손익표지";#N/A,#N/A,FALSE,"손익계산";#N/A,#N/A,FALSE,"일반관리비";#N/A,#N/A,FALSE,"영업외수익";#N/A,#N/A,FALSE,"영업외비용";#N/A,#N/A,FALSE,"매출액";#N/A,#N/A,FALSE,"요약손익";#N/A,#N/A,FALSE,"요약대차";#N/A,#N/A,FALSE,"매출채권현황";#N/A,#N/A,FALSE,"매출채권명세"}</definedName>
    <definedName name="종합청사"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종합청사"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종합청사"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종합청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주" localSheetId="24" hidden="1">{#N/A,#N/A,FALSE,"지침";#N/A,#N/A,FALSE,"환경분석";#N/A,#N/A,FALSE,"Sheet16"}</definedName>
    <definedName name="주" localSheetId="18" hidden="1">{#N/A,#N/A,FALSE,"지침";#N/A,#N/A,FALSE,"환경분석";#N/A,#N/A,FALSE,"Sheet16"}</definedName>
    <definedName name="주" localSheetId="25" hidden="1">{#N/A,#N/A,FALSE,"지침";#N/A,#N/A,FALSE,"환경분석";#N/A,#N/A,FALSE,"Sheet16"}</definedName>
    <definedName name="주" hidden="1">{#N/A,#N/A,FALSE,"지침";#N/A,#N/A,FALSE,"환경분석";#N/A,#N/A,FALSE,"Sheet16"}</definedName>
    <definedName name="주임급최종합격자" localSheetId="24" hidden="1">{"'7'!$B$15:$D$32"}</definedName>
    <definedName name="주임급최종합격자" localSheetId="18" hidden="1">{"'7'!$B$15:$D$32"}</definedName>
    <definedName name="주임급최종합격자" localSheetId="25" hidden="1">{"'7'!$B$15:$D$32"}</definedName>
    <definedName name="주임급최종합격자" hidden="1">{"'7'!$B$15:$D$32"}</definedName>
    <definedName name="주임급합격자" localSheetId="24" hidden="1">{"'7'!$B$15:$D$32"}</definedName>
    <definedName name="주임급합격자" localSheetId="18" hidden="1">{"'7'!$B$15:$D$32"}</definedName>
    <definedName name="주임급합격자" localSheetId="25" hidden="1">{"'7'!$B$15:$D$32"}</definedName>
    <definedName name="주임급합격자" hidden="1">{"'7'!$B$15:$D$32"}</definedName>
    <definedName name="주임이상책정안" localSheetId="24" hidden="1">{"'7'!$B$15:$D$32"}</definedName>
    <definedName name="주임이상책정안" localSheetId="18" hidden="1">{"'7'!$B$15:$D$32"}</definedName>
    <definedName name="주임이상책정안" localSheetId="25" hidden="1">{"'7'!$B$15:$D$32"}</definedName>
    <definedName name="주임이상책정안" hidden="1">{"'7'!$B$15:$D$32"}</definedName>
    <definedName name="주정" localSheetId="24" hidden="1">{#N/A,#N/A,TRUE,"Y생산";#N/A,#N/A,TRUE,"Y판매";#N/A,#N/A,TRUE,"Y총물량";#N/A,#N/A,TRUE,"Y능력";#N/A,#N/A,TRUE,"YKD"}</definedName>
    <definedName name="주정" localSheetId="18" hidden="1">{#N/A,#N/A,TRUE,"Y생산";#N/A,#N/A,TRUE,"Y판매";#N/A,#N/A,TRUE,"Y총물량";#N/A,#N/A,TRUE,"Y능력";#N/A,#N/A,TRUE,"YKD"}</definedName>
    <definedName name="주정" localSheetId="25" hidden="1">{#N/A,#N/A,TRUE,"Y생산";#N/A,#N/A,TRUE,"Y판매";#N/A,#N/A,TRUE,"Y총물량";#N/A,#N/A,TRUE,"Y능력";#N/A,#N/A,TRUE,"YKD"}</definedName>
    <definedName name="주정" hidden="1">{#N/A,#N/A,TRUE,"Y생산";#N/A,#N/A,TRUE,"Y판매";#N/A,#N/A,TRUE,"Y총물량";#N/A,#N/A,TRUE,"Y능력";#N/A,#N/A,TRUE,"YKD"}</definedName>
    <definedName name="주정관" localSheetId="24" hidden="1">{#N/A,#N/A,TRUE,"일정"}</definedName>
    <definedName name="주정관" localSheetId="18" hidden="1">{#N/A,#N/A,TRUE,"일정"}</definedName>
    <definedName name="주정관" localSheetId="25" hidden="1">{#N/A,#N/A,TRUE,"일정"}</definedName>
    <definedName name="주정관" hidden="1">{#N/A,#N/A,TRUE,"일정"}</definedName>
    <definedName name="주차현황" localSheetId="24" hidden="1">{#N/A,#N/A,FALSE,"이력서&amp;자기소개서"}</definedName>
    <definedName name="주차현황" localSheetId="18" hidden="1">{#N/A,#N/A,FALSE,"이력서&amp;자기소개서"}</definedName>
    <definedName name="주차현황" localSheetId="25" hidden="1">{#N/A,#N/A,FALSE,"이력서&amp;자기소개서"}</definedName>
    <definedName name="주차현황" hidden="1">{#N/A,#N/A,FALSE,"이력서&amp;자기소개서"}</definedName>
    <definedName name="중간예납"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중간예납"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중간예납"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중간예납"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중간예납신고납계산서" localSheetId="24"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중간예납신고납계산서" localSheetId="18"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중간예납신고납계산서" localSheetId="25"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중간예납신고납계산서"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중간예납신고납부계산서"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중간예납신고납부계산서"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중간예납신고납부계산서" localSheetId="25"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중간예납신고납부계산서"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중간요약" localSheetId="24" hidden="1">{#N/A,#N/A,FALSE,"BS";#N/A,#N/A,FALSE,"PL";#N/A,#N/A,FALSE,"처분";#N/A,#N/A,FALSE,"현금";#N/A,#N/A,FALSE,"매출";#N/A,#N/A,FALSE,"원가";#N/A,#N/A,FALSE,"경영"}</definedName>
    <definedName name="중간요약" localSheetId="18" hidden="1">{#N/A,#N/A,FALSE,"BS";#N/A,#N/A,FALSE,"PL";#N/A,#N/A,FALSE,"처분";#N/A,#N/A,FALSE,"현금";#N/A,#N/A,FALSE,"매출";#N/A,#N/A,FALSE,"원가";#N/A,#N/A,FALSE,"경영"}</definedName>
    <definedName name="중간요약" localSheetId="25" hidden="1">{#N/A,#N/A,FALSE,"BS";#N/A,#N/A,FALSE,"PL";#N/A,#N/A,FALSE,"처분";#N/A,#N/A,FALSE,"현금";#N/A,#N/A,FALSE,"매출";#N/A,#N/A,FALSE,"원가";#N/A,#N/A,FALSE,"경영"}</definedName>
    <definedName name="중간요약" hidden="1">{#N/A,#N/A,FALSE,"BS";#N/A,#N/A,FALSE,"PL";#N/A,#N/A,FALSE,"처분";#N/A,#N/A,FALSE,"현금";#N/A,#N/A,FALSE,"매출";#N/A,#N/A,FALSE,"원가";#N/A,#N/A,FALSE,"경영"}</definedName>
    <definedName name="중대가시설2">#N/A</definedName>
    <definedName name="중점검토" localSheetId="24" hidden="1">{#N/A,#N/A,FALSE,"BS";#N/A,#N/A,FALSE,"PL";#N/A,#N/A,FALSE,"처분";#N/A,#N/A,FALSE,"현금";#N/A,#N/A,FALSE,"매출";#N/A,#N/A,FALSE,"원가";#N/A,#N/A,FALSE,"경영"}</definedName>
    <definedName name="중점검토" localSheetId="18" hidden="1">{#N/A,#N/A,FALSE,"BS";#N/A,#N/A,FALSE,"PL";#N/A,#N/A,FALSE,"처분";#N/A,#N/A,FALSE,"현금";#N/A,#N/A,FALSE,"매출";#N/A,#N/A,FALSE,"원가";#N/A,#N/A,FALSE,"경영"}</definedName>
    <definedName name="중점검토" localSheetId="25" hidden="1">{#N/A,#N/A,FALSE,"BS";#N/A,#N/A,FALSE,"PL";#N/A,#N/A,FALSE,"처분";#N/A,#N/A,FALSE,"현금";#N/A,#N/A,FALSE,"매출";#N/A,#N/A,FALSE,"원가";#N/A,#N/A,FALSE,"경영"}</definedName>
    <definedName name="중점검토" hidden="1">{#N/A,#N/A,FALSE,"BS";#N/A,#N/A,FALSE,"PL";#N/A,#N/A,FALSE,"처분";#N/A,#N/A,FALSE,"현금";#N/A,#N/A,FALSE,"매출";#N/A,#N/A,FALSE,"원가";#N/A,#N/A,FALSE,"경영"}</definedName>
    <definedName name="中項目表紙" localSheetId="24" hidden="1">{"'今後解決すべき点'!$M$26","'今後解決すべき点'!$A$1:$M$55"}</definedName>
    <definedName name="中項目表紙" localSheetId="18" hidden="1">{"'今後解決すべき点'!$M$26","'今後解決すべき点'!$A$1:$M$55"}</definedName>
    <definedName name="中項目表紙" localSheetId="25" hidden="1">{"'今後解決すべき点'!$M$26","'今後解決すべき点'!$A$1:$M$55"}</definedName>
    <definedName name="中項目表紙" hidden="1">{"'今後解決すべき点'!$M$26","'今後解決すべき点'!$A$1:$M$55"}</definedName>
    <definedName name="증감분석96계획95실적" localSheetId="24" hidden="1">{#N/A,#N/A,FALSE,"97년 투자계획 세부내역 "}</definedName>
    <definedName name="증감분석96계획95실적" localSheetId="18" hidden="1">{#N/A,#N/A,FALSE,"97년 투자계획 세부내역 "}</definedName>
    <definedName name="증감분석96계획95실적" localSheetId="25" hidden="1">{#N/A,#N/A,FALSE,"97년 투자계획 세부내역 "}</definedName>
    <definedName name="증감분석96계획95실적" hidden="1">{#N/A,#N/A,FALSE,"97년 투자계획 세부내역 "}</definedName>
    <definedName name="지" localSheetId="24" hidden="1">{#N/A,#N/A,FALSE,"견적갑지";#N/A,#N/A,FALSE,"총괄표";#N/A,#N/A,FALSE,"철골공사";#N/A,#N/A,FALSE,"토목공사";#N/A,#N/A,FALSE,"판넬전기공사"}</definedName>
    <definedName name="지" localSheetId="18" hidden="1">{#N/A,#N/A,FALSE,"견적갑지";#N/A,#N/A,FALSE,"총괄표";#N/A,#N/A,FALSE,"철골공사";#N/A,#N/A,FALSE,"토목공사";#N/A,#N/A,FALSE,"판넬전기공사"}</definedName>
    <definedName name="지" localSheetId="25" hidden="1">{#N/A,#N/A,FALSE,"견적갑지";#N/A,#N/A,FALSE,"총괄표";#N/A,#N/A,FALSE,"철골공사";#N/A,#N/A,FALSE,"토목공사";#N/A,#N/A,FALSE,"판넬전기공사"}</definedName>
    <definedName name="지" hidden="1">{#N/A,#N/A,FALSE,"견적갑지";#N/A,#N/A,FALSE,"총괄표";#N/A,#N/A,FALSE,"철골공사";#N/A,#N/A,FALSE,"토목공사";#N/A,#N/A,FALSE,"판넬전기공사"}</definedName>
    <definedName name="지급" localSheetId="24" hidden="1">{#N/A,#N/A,FALSE,"견적갑지";#N/A,#N/A,FALSE,"총괄표";#N/A,#N/A,FALSE,"철골공사";#N/A,#N/A,FALSE,"토목공사";#N/A,#N/A,FALSE,"판넬전기공사"}</definedName>
    <definedName name="지급" localSheetId="18" hidden="1">{#N/A,#N/A,FALSE,"견적갑지";#N/A,#N/A,FALSE,"총괄표";#N/A,#N/A,FALSE,"철골공사";#N/A,#N/A,FALSE,"토목공사";#N/A,#N/A,FALSE,"판넬전기공사"}</definedName>
    <definedName name="지급" localSheetId="25" hidden="1">{#N/A,#N/A,FALSE,"견적갑지";#N/A,#N/A,FALSE,"총괄표";#N/A,#N/A,FALSE,"철골공사";#N/A,#N/A,FALSE,"토목공사";#N/A,#N/A,FALSE,"판넬전기공사"}</definedName>
    <definedName name="지급" hidden="1">{#N/A,#N/A,FALSE,"견적갑지";#N/A,#N/A,FALSE,"총괄표";#N/A,#N/A,FALSE,"철골공사";#N/A,#N/A,FALSE,"토목공사";#N/A,#N/A,FALSE,"판넬전기공사"}</definedName>
    <definedName name="지원동" localSheetId="24" hidden="1">{#N/A,#N/A,TRUE,"대 차 대 조 표"}</definedName>
    <definedName name="지원동" localSheetId="18" hidden="1">{#N/A,#N/A,TRUE,"대 차 대 조 표"}</definedName>
    <definedName name="지원동" localSheetId="25" hidden="1">{#N/A,#N/A,TRUE,"대 차 대 조 표"}</definedName>
    <definedName name="지원동" hidden="1">{#N/A,#N/A,TRUE,"대 차 대 조 표"}</definedName>
    <definedName name="지원동_1" localSheetId="24" hidden="1">{#N/A,#N/A,TRUE,"대 차 대 조 표"}</definedName>
    <definedName name="지원동_1" localSheetId="18" hidden="1">{#N/A,#N/A,TRUE,"대 차 대 조 표"}</definedName>
    <definedName name="지원동_1" localSheetId="25" hidden="1">{#N/A,#N/A,TRUE,"대 차 대 조 표"}</definedName>
    <definedName name="지원동_1" hidden="1">{#N/A,#N/A,TRUE,"대 차 대 조 표"}</definedName>
    <definedName name="지지지" localSheetId="24" hidden="1">{"'미착금액'!$A$4:$G$14"}</definedName>
    <definedName name="지지지" localSheetId="18" hidden="1">{"'미착금액'!$A$4:$G$14"}</definedName>
    <definedName name="지지지" localSheetId="25" hidden="1">{"'미착금액'!$A$4:$G$14"}</definedName>
    <definedName name="지지지" hidden="1">{"'미착금액'!$A$4:$G$14"}</definedName>
    <definedName name="직급별초입비교" localSheetId="24"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직급별초입비교" localSheetId="18"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직급별초입비교" localSheetId="25"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직급별초입비교"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직매54P" localSheetId="24" hidden="1">{#N/A,#N/A,TRUE,"토적및재료집계";#N/A,#N/A,TRUE,"토적및재료집계";#N/A,#N/A,TRUE,"단위량"}</definedName>
    <definedName name="직매54P" localSheetId="18" hidden="1">{#N/A,#N/A,TRUE,"토적및재료집계";#N/A,#N/A,TRUE,"토적및재료집계";#N/A,#N/A,TRUE,"단위량"}</definedName>
    <definedName name="직매54P" localSheetId="25" hidden="1">{#N/A,#N/A,TRUE,"토적및재료집계";#N/A,#N/A,TRUE,"토적및재료집계";#N/A,#N/A,TRUE,"단위량"}</definedName>
    <definedName name="직매54P" hidden="1">{#N/A,#N/A,TRUE,"토적및재료집계";#N/A,#N/A,TRUE,"토적및재료집계";#N/A,#N/A,TRUE,"단위량"}</definedName>
    <definedName name="직재" localSheetId="24" hidden="1">{"'용역비'!$A$4:$C$8"}</definedName>
    <definedName name="직재" localSheetId="18" hidden="1">{"'용역비'!$A$4:$C$8"}</definedName>
    <definedName name="직재" localSheetId="25" hidden="1">{"'용역비'!$A$4:$C$8"}</definedName>
    <definedName name="직재" hidden="1">{"'용역비'!$A$4:$C$8"}</definedName>
    <definedName name="직접경비1" localSheetId="24" hidden="1">{"'용역비'!$A$4:$C$8"}</definedName>
    <definedName name="직접경비1" localSheetId="18" hidden="1">{"'용역비'!$A$4:$C$8"}</definedName>
    <definedName name="직접경비1" localSheetId="25" hidden="1">{"'용역비'!$A$4:$C$8"}</definedName>
    <definedName name="직접경비1" hidden="1">{"'용역비'!$A$4:$C$8"}</definedName>
    <definedName name="직접인건비A" localSheetId="24" hidden="1">{"'2분기예산별'!$B$2:$O$38"}</definedName>
    <definedName name="직접인건비A" localSheetId="18" hidden="1">{"'2분기예산별'!$B$2:$O$38"}</definedName>
    <definedName name="직접인건비A" localSheetId="25" hidden="1">{"'2분기예산별'!$B$2:$O$38"}</definedName>
    <definedName name="직접인건비A" hidden="1">{"'2분기예산별'!$B$2:$O$38"}</definedName>
    <definedName name="직접인건비세부내역A" localSheetId="24" hidden="1">{"'2분기예산별'!$B$2:$O$38"}</definedName>
    <definedName name="직접인건비세부내역A" localSheetId="18" hidden="1">{"'2분기예산별'!$B$2:$O$38"}</definedName>
    <definedName name="직접인건비세부내역A" localSheetId="25" hidden="1">{"'2분기예산별'!$B$2:$O$38"}</definedName>
    <definedName name="직접인건비세부내역A" hidden="1">{"'2분기예산별'!$B$2:$O$38"}</definedName>
    <definedName name="진" localSheetId="24" hidden="1">{#N/A,#N/A,FALSE,"동부"}</definedName>
    <definedName name="진" localSheetId="18" hidden="1">{#N/A,#N/A,FALSE,"동부"}</definedName>
    <definedName name="진" localSheetId="25" hidden="1">{#N/A,#N/A,FALSE,"동부"}</definedName>
    <definedName name="진" hidden="1">{#N/A,#N/A,FALSE,"동부"}</definedName>
    <definedName name="진짜원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진짜원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진짜원가"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진짜원가" hidden="1">{#N/A,#N/A,FALSE,"손익표지";#N/A,#N/A,FALSE,"손익계산";#N/A,#N/A,FALSE,"일반관리비";#N/A,#N/A,FALSE,"영업외수익";#N/A,#N/A,FALSE,"영업외비용";#N/A,#N/A,FALSE,"매출액";#N/A,#N/A,FALSE,"요약손익";#N/A,#N/A,FALSE,"요약대차";#N/A,#N/A,FALSE,"매출채권현황";#N/A,#N/A,FALSE,"매출채권명세"}</definedName>
    <definedName name="진행사항보고.xls" localSheetId="24" hidden="1">{#N/A,#N/A,FALSE,"97년 투자계획 세부내역 "}</definedName>
    <definedName name="진행사항보고.xls" localSheetId="18" hidden="1">{#N/A,#N/A,FALSE,"97년 투자계획 세부내역 "}</definedName>
    <definedName name="진행사항보고.xls" localSheetId="25" hidden="1">{#N/A,#N/A,FALSE,"97년 투자계획 세부내역 "}</definedName>
    <definedName name="진행사항보고.xls" hidden="1">{#N/A,#N/A,FALSE,"97년 투자계획 세부내역 "}</definedName>
    <definedName name="ㅊ" localSheetId="24" hidden="1">{#N/A,#N/A,FALSE,"BS";#N/A,#N/A,FALSE,"PL";#N/A,#N/A,FALSE,"처분";#N/A,#N/A,FALSE,"현금";#N/A,#N/A,FALSE,"매출";#N/A,#N/A,FALSE,"원가";#N/A,#N/A,FALSE,"경영"}</definedName>
    <definedName name="ㅊ" localSheetId="18" hidden="1">{#N/A,#N/A,FALSE,"BS";#N/A,#N/A,FALSE,"PL";#N/A,#N/A,FALSE,"처분";#N/A,#N/A,FALSE,"현금";#N/A,#N/A,FALSE,"매출";#N/A,#N/A,FALSE,"원가";#N/A,#N/A,FALSE,"경영"}</definedName>
    <definedName name="ㅊ" localSheetId="25" hidden="1">{#N/A,#N/A,FALSE,"BS";#N/A,#N/A,FALSE,"PL";#N/A,#N/A,FALSE,"처분";#N/A,#N/A,FALSE,"현금";#N/A,#N/A,FALSE,"매출";#N/A,#N/A,FALSE,"원가";#N/A,#N/A,FALSE,"경영"}</definedName>
    <definedName name="ㅊ" hidden="1">{#N/A,#N/A,FALSE,"BS";#N/A,#N/A,FALSE,"PL";#N/A,#N/A,FALSE,"처분";#N/A,#N/A,FALSE,"현금";#N/A,#N/A,FALSE,"매출";#N/A,#N/A,FALSE,"원가";#N/A,#N/A,FALSE,"경영"}</definedName>
    <definedName name="ㅊㅇ" localSheetId="24" hidden="1">{#N/A,#N/A,TRUE,"대 차 대 조 표"}</definedName>
    <definedName name="ㅊㅇ" localSheetId="18" hidden="1">{#N/A,#N/A,TRUE,"대 차 대 조 표"}</definedName>
    <definedName name="ㅊㅇ" localSheetId="25" hidden="1">{#N/A,#N/A,TRUE,"대 차 대 조 표"}</definedName>
    <definedName name="ㅊㅇ" hidden="1">{#N/A,#N/A,TRUE,"대 차 대 조 표"}</definedName>
    <definedName name="ㅊㅊ"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ㅊㅊ"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ㅊㅊ" localSheetId="25"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ㅊㅊ"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ㅊㅊㅊㅊㅊㅊㅊㅊㅊㅊ"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ㅊㅊㅊㅊㅊㅊㅊㅊㅊㅊ"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ㅊㅊㅊㅊㅊㅊㅊㅊㅊㅊ"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ㅊㅊㅊㅊㅊㅊㅊㅊㅊㅊ" hidden="1">{#N/A,#N/A,FALSE,"손익표지";#N/A,#N/A,FALSE,"손익계산";#N/A,#N/A,FALSE,"일반관리비";#N/A,#N/A,FALSE,"영업외수익";#N/A,#N/A,FALSE,"영업외비용";#N/A,#N/A,FALSE,"매출액";#N/A,#N/A,FALSE,"요약손익";#N/A,#N/A,FALSE,"요약대차";#N/A,#N/A,FALSE,"매출채권현황";#N/A,#N/A,FALSE,"매출채권명세"}</definedName>
    <definedName name="ㅊㅋㅍ" localSheetId="24" hidden="1">{#N/A,#N/A,FALSE,"동부"}</definedName>
    <definedName name="ㅊㅋㅍ" localSheetId="18" hidden="1">{#N/A,#N/A,FALSE,"동부"}</definedName>
    <definedName name="ㅊㅋㅍ" localSheetId="25" hidden="1">{#N/A,#N/A,FALSE,"동부"}</definedName>
    <definedName name="ㅊㅋㅍ" hidden="1">{#N/A,#N/A,FALSE,"동부"}</definedName>
    <definedName name="ㅊㅌㅁㅍ" localSheetId="24" hidden="1">{#N/A,#N/A,FALSE,"동부"}</definedName>
    <definedName name="ㅊㅌㅁㅍ" localSheetId="18" hidden="1">{#N/A,#N/A,FALSE,"동부"}</definedName>
    <definedName name="ㅊㅌㅁㅍ" localSheetId="25" hidden="1">{#N/A,#N/A,FALSE,"동부"}</definedName>
    <definedName name="ㅊㅌㅁㅍ" hidden="1">{#N/A,#N/A,FALSE,"동부"}</definedName>
    <definedName name="ㅊㅌㅋㅍ" localSheetId="24" hidden="1">{#N/A,#N/A,FALSE,"동부"}</definedName>
    <definedName name="ㅊㅌㅋㅍ" localSheetId="18" hidden="1">{#N/A,#N/A,FALSE,"동부"}</definedName>
    <definedName name="ㅊㅌㅋㅍ" localSheetId="25" hidden="1">{#N/A,#N/A,FALSE,"동부"}</definedName>
    <definedName name="ㅊㅌㅋㅍ" hidden="1">{#N/A,#N/A,FALSE,"동부"}</definedName>
    <definedName name="ㅊㅍㄷㄹ" localSheetId="24" hidden="1">{#N/A,#N/A,TRUE,"대 차 대 조 표"}</definedName>
    <definedName name="ㅊㅍㄷㄹ" localSheetId="18" hidden="1">{#N/A,#N/A,TRUE,"대 차 대 조 표"}</definedName>
    <definedName name="ㅊㅍㄷㄹ" localSheetId="25" hidden="1">{#N/A,#N/A,TRUE,"대 차 대 조 표"}</definedName>
    <definedName name="ㅊㅍㄷㄹ" hidden="1">{#N/A,#N/A,TRUE,"대 차 대 조 표"}</definedName>
    <definedName name="차" localSheetId="24" hidden="1">{#N/A,#N/A,FALSE,"1.CRITERIA";#N/A,#N/A,FALSE,"2.IS";#N/A,#N/A,FALSE,"3.BS";#N/A,#N/A,FALSE,"4.PER PL";#N/A,#N/A,FALSE,"5.INVESTMENT";#N/A,#N/A,FALSE,"6.공문";#N/A,#N/A,FALSE,"7.netinvest"}</definedName>
    <definedName name="차" localSheetId="18" hidden="1">{#N/A,#N/A,FALSE,"1.CRITERIA";#N/A,#N/A,FALSE,"2.IS";#N/A,#N/A,FALSE,"3.BS";#N/A,#N/A,FALSE,"4.PER PL";#N/A,#N/A,FALSE,"5.INVESTMENT";#N/A,#N/A,FALSE,"6.공문";#N/A,#N/A,FALSE,"7.netinvest"}</definedName>
    <definedName name="차" localSheetId="25" hidden="1">{#N/A,#N/A,FALSE,"1.CRITERIA";#N/A,#N/A,FALSE,"2.IS";#N/A,#N/A,FALSE,"3.BS";#N/A,#N/A,FALSE,"4.PER PL";#N/A,#N/A,FALSE,"5.INVESTMENT";#N/A,#N/A,FALSE,"6.공문";#N/A,#N/A,FALSE,"7.netinvest"}</definedName>
    <definedName name="차" hidden="1">{#N/A,#N/A,FALSE,"1.CRITERIA";#N/A,#N/A,FALSE,"2.IS";#N/A,#N/A,FALSE,"3.BS";#N/A,#N/A,FALSE,"4.PER PL";#N/A,#N/A,FALSE,"5.INVESTMENT";#N/A,#N/A,FALSE,"6.공문";#N/A,#N/A,FALSE,"7.netinvest"}</definedName>
    <definedName name="차량SVC" localSheetId="24" hidden="1">{#N/A,#N/A,FALSE,"UNIT";#N/A,#N/A,FALSE,"UNIT";#N/A,#N/A,FALSE,"계정"}</definedName>
    <definedName name="차량SVC" localSheetId="18" hidden="1">{#N/A,#N/A,FALSE,"UNIT";#N/A,#N/A,FALSE,"UNIT";#N/A,#N/A,FALSE,"계정"}</definedName>
    <definedName name="차량SVC" localSheetId="25" hidden="1">{#N/A,#N/A,FALSE,"UNIT";#N/A,#N/A,FALSE,"UNIT";#N/A,#N/A,FALSE,"계정"}</definedName>
    <definedName name="차량SVC" hidden="1">{#N/A,#N/A,FALSE,"UNIT";#N/A,#N/A,FALSE,"UNIT";#N/A,#N/A,FALSE,"계정"}</definedName>
    <definedName name="차량운반구" localSheetId="24" hidden="1">{"'손익현황'!$A$1:$J$29"}</definedName>
    <definedName name="차량운반구" localSheetId="18" hidden="1">{"'손익현황'!$A$1:$J$29"}</definedName>
    <definedName name="차량운반구" localSheetId="25" hidden="1">{"'손익현황'!$A$1:$J$29"}</definedName>
    <definedName name="차량운반구" hidden="1">{"'손익현황'!$A$1:$J$29"}</definedName>
    <definedName name="차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차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차이"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차이" hidden="1">{#N/A,#N/A,FALSE,"손익표지";#N/A,#N/A,FALSE,"손익계산";#N/A,#N/A,FALSE,"일반관리비";#N/A,#N/A,FALSE,"영업외수익";#N/A,#N/A,FALSE,"영업외비용";#N/A,#N/A,FALSE,"매출액";#N/A,#N/A,FALSE,"요약손익";#N/A,#N/A,FALSE,"요약대차";#N/A,#N/A,FALSE,"매출채권현황";#N/A,#N/A,FALSE,"매출채권명세"}</definedName>
    <definedName name="差入書" localSheetId="24" hidden="1">{"ｹﾝﾄ（M)",#N/A,FALSE,"収支・日割";"ｹﾝﾄ（RD)",#N/A,FALSE,"収支・日割";"ｹﾝﾄ（PMC)",#N/A,FALSE,"収支・日割"}</definedName>
    <definedName name="差入書" localSheetId="18" hidden="1">{"ｹﾝﾄ（M)",#N/A,FALSE,"収支・日割";"ｹﾝﾄ（RD)",#N/A,FALSE,"収支・日割";"ｹﾝﾄ（PMC)",#N/A,FALSE,"収支・日割"}</definedName>
    <definedName name="差入書" localSheetId="25" hidden="1">{"ｹﾝﾄ（M)",#N/A,FALSE,"収支・日割";"ｹﾝﾄ（RD)",#N/A,FALSE,"収支・日割";"ｹﾝﾄ（PMC)",#N/A,FALSE,"収支・日割"}</definedName>
    <definedName name="差入書" hidden="1">{"ｹﾝﾄ（M)",#N/A,FALSE,"収支・日割";"ｹﾝﾄ（RD)",#N/A,FALSE,"収支・日割";"ｹﾝﾄ（PMC)",#N/A,FALSE,"収支・日割"}</definedName>
    <definedName name="차주" localSheetId="24" hidden="1">{"'9월'!$F$38"}</definedName>
    <definedName name="차주" localSheetId="18" hidden="1">{"'9월'!$F$38"}</definedName>
    <definedName name="차주" localSheetId="25" hidden="1">{"'9월'!$F$38"}</definedName>
    <definedName name="차주" hidden="1">{"'9월'!$F$38"}</definedName>
    <definedName name="차차"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차차"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차차"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차차" hidden="1">{#N/A,#N/A,FALSE,"손익표지";#N/A,#N/A,FALSE,"손익계산";#N/A,#N/A,FALSE,"일반관리비";#N/A,#N/A,FALSE,"영업외수익";#N/A,#N/A,FALSE,"영업외비용";#N/A,#N/A,FALSE,"매출액";#N/A,#N/A,FALSE,"요약손익";#N/A,#N/A,FALSE,"요약대차";#N/A,#N/A,FALSE,"매출채권현황";#N/A,#N/A,FALSE,"매출채권명세"}</definedName>
    <definedName name="채권재" localSheetId="24" hidden="1">{#N/A,#N/A,FALSE,"채권채무";#N/A,#N/A,FALSE,"control sheet"}</definedName>
    <definedName name="채권재" localSheetId="18" hidden="1">{#N/A,#N/A,FALSE,"채권채무";#N/A,#N/A,FALSE,"control sheet"}</definedName>
    <definedName name="채권재" localSheetId="25" hidden="1">{#N/A,#N/A,FALSE,"채권채무";#N/A,#N/A,FALSE,"control sheet"}</definedName>
    <definedName name="채권재" hidden="1">{#N/A,#N/A,FALSE,"채권채무";#N/A,#N/A,FALSE,"control sheet"}</definedName>
    <definedName name="천사" localSheetId="24" hidden="1">{"'용역비'!$A$4:$C$8"}</definedName>
    <definedName name="천사" localSheetId="18" hidden="1">{"'용역비'!$A$4:$C$8"}</definedName>
    <definedName name="천사" localSheetId="25" hidden="1">{"'용역비'!$A$4:$C$8"}</definedName>
    <definedName name="천사" hidden="1">{"'용역비'!$A$4:$C$8"}</definedName>
    <definedName name="철2" localSheetId="24" hidden="1">{#N/A,#N/A,FALSE,"혼합골재"}</definedName>
    <definedName name="철2" localSheetId="18" hidden="1">{#N/A,#N/A,FALSE,"혼합골재"}</definedName>
    <definedName name="철2" localSheetId="25" hidden="1">{#N/A,#N/A,FALSE,"혼합골재"}</definedName>
    <definedName name="철2" hidden="1">{#N/A,#N/A,FALSE,"혼합골재"}</definedName>
    <definedName name="첨부" localSheetId="24" hidden="1">{#N/A,#N/A,TRUE,"Y생산";#N/A,#N/A,TRUE,"Y판매";#N/A,#N/A,TRUE,"Y총물량";#N/A,#N/A,TRUE,"Y능력";#N/A,#N/A,TRUE,"YKD"}</definedName>
    <definedName name="첨부" localSheetId="18" hidden="1">{#N/A,#N/A,TRUE,"Y생산";#N/A,#N/A,TRUE,"Y판매";#N/A,#N/A,TRUE,"Y총물량";#N/A,#N/A,TRUE,"Y능력";#N/A,#N/A,TRUE,"YKD"}</definedName>
    <definedName name="첨부" localSheetId="25" hidden="1">{#N/A,#N/A,TRUE,"Y생산";#N/A,#N/A,TRUE,"Y판매";#N/A,#N/A,TRUE,"Y총물량";#N/A,#N/A,TRUE,"Y능력";#N/A,#N/A,TRUE,"YKD"}</definedName>
    <definedName name="첨부" hidden="1">{#N/A,#N/A,TRUE,"Y생산";#N/A,#N/A,TRUE,"Y판매";#N/A,#N/A,TRUE,"Y총물량";#N/A,#N/A,TRUE,"Y능력";#N/A,#N/A,TRUE,"YKD"}</definedName>
    <definedName name="청와대" localSheetId="24" hidden="1">{#N/A,#N/A,FALSE,"이력서&amp;자기소개서"}</definedName>
    <definedName name="청와대" localSheetId="18" hidden="1">{#N/A,#N/A,FALSE,"이력서&amp;자기소개서"}</definedName>
    <definedName name="청와대" localSheetId="25" hidden="1">{#N/A,#N/A,FALSE,"이력서&amp;자기소개서"}</definedName>
    <definedName name="청와대" hidden="1">{#N/A,#N/A,FALSE,"이력서&amp;자기소개서"}</definedName>
    <definedName name="체육관" localSheetId="24" hidden="1">{#N/A,#N/A,TRUE,"대 차 대 조 표"}</definedName>
    <definedName name="체육관" localSheetId="18" hidden="1">{#N/A,#N/A,TRUE,"대 차 대 조 표"}</definedName>
    <definedName name="체육관" localSheetId="25" hidden="1">{#N/A,#N/A,TRUE,"대 차 대 조 표"}</definedName>
    <definedName name="체육관" hidden="1">{#N/A,#N/A,TRUE,"대 차 대 조 표"}</definedName>
    <definedName name="체육관_1" localSheetId="24" hidden="1">{#N/A,#N/A,TRUE,"대 차 대 조 표"}</definedName>
    <definedName name="체육관_1" localSheetId="18" hidden="1">{#N/A,#N/A,TRUE,"대 차 대 조 표"}</definedName>
    <definedName name="체육관_1" localSheetId="25" hidden="1">{#N/A,#N/A,TRUE,"대 차 대 조 표"}</definedName>
    <definedName name="체육관_1" hidden="1">{#N/A,#N/A,TRUE,"대 차 대 조 표"}</definedName>
    <definedName name="체크아웃시스템" localSheetId="24" hidden="1">{#N/A,#N/A,FALSE,"견적갑지";#N/A,#N/A,FALSE,"총괄표";#N/A,#N/A,FALSE,"철골공사";#N/A,#N/A,FALSE,"토목공사";#N/A,#N/A,FALSE,"판넬전기공사"}</definedName>
    <definedName name="체크아웃시스템" localSheetId="18" hidden="1">{#N/A,#N/A,FALSE,"견적갑지";#N/A,#N/A,FALSE,"총괄표";#N/A,#N/A,FALSE,"철골공사";#N/A,#N/A,FALSE,"토목공사";#N/A,#N/A,FALSE,"판넬전기공사"}</definedName>
    <definedName name="체크아웃시스템" localSheetId="25" hidden="1">{#N/A,#N/A,FALSE,"견적갑지";#N/A,#N/A,FALSE,"총괄표";#N/A,#N/A,FALSE,"철골공사";#N/A,#N/A,FALSE,"토목공사";#N/A,#N/A,FALSE,"판넬전기공사"}</definedName>
    <definedName name="체크아웃시스템" hidden="1">{#N/A,#N/A,FALSE,"견적갑지";#N/A,#N/A,FALSE,"총괄표";#N/A,#N/A,FALSE,"철골공사";#N/A,#N/A,FALSE,"토목공사";#N/A,#N/A,FALSE,"판넬전기공사"}</definedName>
    <definedName name="총" localSheetId="24" hidden="1">{#N/A,#N/A,FALSE,"이력서&amp;자기소개서"}</definedName>
    <definedName name="총" localSheetId="18" hidden="1">{#N/A,#N/A,FALSE,"이력서&amp;자기소개서"}</definedName>
    <definedName name="총" localSheetId="25" hidden="1">{#N/A,#N/A,FALSE,"이력서&amp;자기소개서"}</definedName>
    <definedName name="총" hidden="1">{#N/A,#N/A,FALSE,"이력서&amp;자기소개서"}</definedName>
    <definedName name="총공" localSheetId="24" hidden="1">{#N/A,#N/A,FALSE,"운반시간"}</definedName>
    <definedName name="총공" localSheetId="18" hidden="1">{#N/A,#N/A,FALSE,"운반시간"}</definedName>
    <definedName name="총공" localSheetId="25" hidden="1">{#N/A,#N/A,FALSE,"운반시간"}</definedName>
    <definedName name="총공" hidden="1">{#N/A,#N/A,FALSE,"운반시간"}</definedName>
    <definedName name="총괄" localSheetId="24" hidden="1">{#N/A,#N/A,TRUE,"1호 과표세액";#N/A,#N/A,TRUE,"6호 첨부(익)";#N/A,#N/A,TRUE,"6-3호 퇴충";#N/A,#N/A,TRUE,"PL";#N/A,#N/A,TRUE,"BS";#N/A,#N/A,TRUE,"RE";#N/A,#N/A,TRUE,"표지"}</definedName>
    <definedName name="총괄" localSheetId="18" hidden="1">{#N/A,#N/A,TRUE,"1호 과표세액";#N/A,#N/A,TRUE,"6호 첨부(익)";#N/A,#N/A,TRUE,"6-3호 퇴충";#N/A,#N/A,TRUE,"PL";#N/A,#N/A,TRUE,"BS";#N/A,#N/A,TRUE,"RE";#N/A,#N/A,TRUE,"표지"}</definedName>
    <definedName name="총괄" localSheetId="25" hidden="1">{#N/A,#N/A,TRUE,"1호 과표세액";#N/A,#N/A,TRUE,"6호 첨부(익)";#N/A,#N/A,TRUE,"6-3호 퇴충";#N/A,#N/A,TRUE,"PL";#N/A,#N/A,TRUE,"BS";#N/A,#N/A,TRUE,"RE";#N/A,#N/A,TRUE,"표지"}</definedName>
    <definedName name="총괄" hidden="1">{#N/A,#N/A,TRUE,"1호 과표세액";#N/A,#N/A,TRUE,"6호 첨부(익)";#N/A,#N/A,TRUE,"6-3호 퇴충";#N/A,#N/A,TRUE,"PL";#N/A,#N/A,TRUE,"BS";#N/A,#N/A,TRUE,"RE";#N/A,#N/A,TRUE,"표지"}</definedName>
    <definedName name="총괄표"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 localSheetId="25"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_1"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_1"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_1" localSheetId="25"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_1"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2" localSheetId="24" hidden="1">{#N/A,#N/A,FALSE,"CAM-G7";#N/A,#N/A,FALSE,"SPL";#N/A,#N/A,FALSE,"butt-in G7";#N/A,#N/A,FALSE,"dia-in G7";#N/A,#N/A,FALSE,"추가-STA G7"}</definedName>
    <definedName name="총괄표2" localSheetId="18" hidden="1">{#N/A,#N/A,FALSE,"CAM-G7";#N/A,#N/A,FALSE,"SPL";#N/A,#N/A,FALSE,"butt-in G7";#N/A,#N/A,FALSE,"dia-in G7";#N/A,#N/A,FALSE,"추가-STA G7"}</definedName>
    <definedName name="총괄표2" localSheetId="25" hidden="1">{#N/A,#N/A,FALSE,"CAM-G7";#N/A,#N/A,FALSE,"SPL";#N/A,#N/A,FALSE,"butt-in G7";#N/A,#N/A,FALSE,"dia-in G7";#N/A,#N/A,FALSE,"추가-STA G7"}</definedName>
    <definedName name="총괄표2" hidden="1">{#N/A,#N/A,FALSE,"CAM-G7";#N/A,#N/A,FALSE,"SPL";#N/A,#N/A,FALSE,"butt-in G7";#N/A,#N/A,FALSE,"dia-in G7";#N/A,#N/A,FALSE,"추가-STA G7"}</definedName>
    <definedName name="총괄표3" localSheetId="24" hidden="1">{#N/A,#N/A,FALSE,"현장 NCR 분석";#N/A,#N/A,FALSE,"현장품질감사";#N/A,#N/A,FALSE,"현장품질감사"}</definedName>
    <definedName name="총괄표3" localSheetId="18" hidden="1">{#N/A,#N/A,FALSE,"현장 NCR 분석";#N/A,#N/A,FALSE,"현장품질감사";#N/A,#N/A,FALSE,"현장품질감사"}</definedName>
    <definedName name="총괄표3" localSheetId="25" hidden="1">{#N/A,#N/A,FALSE,"현장 NCR 분석";#N/A,#N/A,FALSE,"현장품질감사";#N/A,#N/A,FALSE,"현장품질감사"}</definedName>
    <definedName name="총괄표3" hidden="1">{#N/A,#N/A,FALSE,"현장 NCR 분석";#N/A,#N/A,FALSE,"현장품질감사";#N/A,#N/A,FALSE,"현장품질감사"}</definedName>
    <definedName name="총무3" localSheetId="24" hidden="1">{#N/A,#N/A,FALSE,"단축1";#N/A,#N/A,FALSE,"단축2";#N/A,#N/A,FALSE,"단축3";#N/A,#N/A,FALSE,"장축";#N/A,#N/A,FALSE,"4WD"}</definedName>
    <definedName name="총무3" localSheetId="18" hidden="1">{#N/A,#N/A,FALSE,"단축1";#N/A,#N/A,FALSE,"단축2";#N/A,#N/A,FALSE,"단축3";#N/A,#N/A,FALSE,"장축";#N/A,#N/A,FALSE,"4WD"}</definedName>
    <definedName name="총무3" localSheetId="25" hidden="1">{#N/A,#N/A,FALSE,"단축1";#N/A,#N/A,FALSE,"단축2";#N/A,#N/A,FALSE,"단축3";#N/A,#N/A,FALSE,"장축";#N/A,#N/A,FALSE,"4WD"}</definedName>
    <definedName name="총무3" hidden="1">{#N/A,#N/A,FALSE,"단축1";#N/A,#N/A,FALSE,"단축2";#N/A,#N/A,FALSE,"단축3";#N/A,#N/A,FALSE,"장축";#N/A,#N/A,FALSE,"4WD"}</definedName>
    <definedName name="촤" localSheetId="24" hidden="1">{#N/A,#N/A,FALSE,"1.CRITERIA";#N/A,#N/A,FALSE,"2.IS";#N/A,#N/A,FALSE,"3.BS";#N/A,#N/A,FALSE,"4.PER PL";#N/A,#N/A,FALSE,"5.INVESTMENT";#N/A,#N/A,FALSE,"6.공문";#N/A,#N/A,FALSE,"7.netinvest"}</definedName>
    <definedName name="촤" localSheetId="18" hidden="1">{#N/A,#N/A,FALSE,"1.CRITERIA";#N/A,#N/A,FALSE,"2.IS";#N/A,#N/A,FALSE,"3.BS";#N/A,#N/A,FALSE,"4.PER PL";#N/A,#N/A,FALSE,"5.INVESTMENT";#N/A,#N/A,FALSE,"6.공문";#N/A,#N/A,FALSE,"7.netinvest"}</definedName>
    <definedName name="촤" localSheetId="25" hidden="1">{#N/A,#N/A,FALSE,"1.CRITERIA";#N/A,#N/A,FALSE,"2.IS";#N/A,#N/A,FALSE,"3.BS";#N/A,#N/A,FALSE,"4.PER PL";#N/A,#N/A,FALSE,"5.INVESTMENT";#N/A,#N/A,FALSE,"6.공문";#N/A,#N/A,FALSE,"7.netinvest"}</definedName>
    <definedName name="촤" hidden="1">{#N/A,#N/A,FALSE,"1.CRITERIA";#N/A,#N/A,FALSE,"2.IS";#N/A,#N/A,FALSE,"3.BS";#N/A,#N/A,FALSE,"4.PER PL";#N/A,#N/A,FALSE,"5.INVESTMENT";#N/A,#N/A,FALSE,"6.공문";#N/A,#N/A,FALSE,"7.netinvest"}</definedName>
    <definedName name="최종"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최종"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최종"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최종"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최종분" localSheetId="24" hidden="1">{#N/A,#N/A,TRUE,"대 차 대 조 표"}</definedName>
    <definedName name="최종분" localSheetId="18" hidden="1">{#N/A,#N/A,TRUE,"대 차 대 조 표"}</definedName>
    <definedName name="최종분" localSheetId="25" hidden="1">{#N/A,#N/A,TRUE,"대 차 대 조 표"}</definedName>
    <definedName name="최종분" hidden="1">{#N/A,#N/A,TRUE,"대 차 대 조 표"}</definedName>
    <definedName name="최종분임"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최종분임"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최종분임"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최종분임"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hidden="1">{#N/A,#N/A,FALSE,"손익표지";#N/A,#N/A,FALSE,"손익계산";#N/A,#N/A,FALSE,"일반관리비";#N/A,#N/A,FALSE,"영업외수익";#N/A,#N/A,FALSE,"영업외비용";#N/A,#N/A,FALSE,"매출액";#N/A,#N/A,FALSE,"요약손익";#N/A,#N/A,FALSE,"요약대차";#N/A,#N/A,FALSE,"매출채권현황";#N/A,#N/A,FALSE,"매출채권명세"}</definedName>
    <definedName name="최한희"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최한희"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최한희"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최한희" hidden="1">{#N/A,#N/A,FALSE,"손익표지";#N/A,#N/A,FALSE,"손익계산";#N/A,#N/A,FALSE,"일반관리비";#N/A,#N/A,FALSE,"영업외수익";#N/A,#N/A,FALSE,"영업외비용";#N/A,#N/A,FALSE,"매출액";#N/A,#N/A,FALSE,"요약손익";#N/A,#N/A,FALSE,"요약대차";#N/A,#N/A,FALSE,"매출채권현황";#N/A,#N/A,FALSE,"매출채권명세"}</definedName>
    <definedName name="추산산서2" localSheetId="24" hidden="1">{#N/A,#N/A,FALSE,"견적갑지";#N/A,#N/A,FALSE,"총괄표";#N/A,#N/A,FALSE,"철골공사";#N/A,#N/A,FALSE,"토목공사";#N/A,#N/A,FALSE,"판넬전기공사"}</definedName>
    <definedName name="추산산서2" localSheetId="18" hidden="1">{#N/A,#N/A,FALSE,"견적갑지";#N/A,#N/A,FALSE,"총괄표";#N/A,#N/A,FALSE,"철골공사";#N/A,#N/A,FALSE,"토목공사";#N/A,#N/A,FALSE,"판넬전기공사"}</definedName>
    <definedName name="추산산서2" localSheetId="25" hidden="1">{#N/A,#N/A,FALSE,"견적갑지";#N/A,#N/A,FALSE,"총괄표";#N/A,#N/A,FALSE,"철골공사";#N/A,#N/A,FALSE,"토목공사";#N/A,#N/A,FALSE,"판넬전기공사"}</definedName>
    <definedName name="추산산서2" hidden="1">{#N/A,#N/A,FALSE,"견적갑지";#N/A,#N/A,FALSE,"총괄표";#N/A,#N/A,FALSE,"철골공사";#N/A,#N/A,FALSE,"토목공사";#N/A,#N/A,FALSE,"판넬전기공사"}</definedName>
    <definedName name="추정매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추정매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추정매출"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추정매출" hidden="1">{#N/A,#N/A,FALSE,"손익표지";#N/A,#N/A,FALSE,"손익계산";#N/A,#N/A,FALSE,"일반관리비";#N/A,#N/A,FALSE,"영업외수익";#N/A,#N/A,FALSE,"영업외비용";#N/A,#N/A,FALSE,"매출액";#N/A,#N/A,FALSE,"요약손익";#N/A,#N/A,FALSE,"요약대차";#N/A,#N/A,FALSE,"매출채권현황";#N/A,#N/A,FALSE,"매출채권명세"}</definedName>
    <definedName name="축수산장설비" localSheetId="24" hidden="1">{#N/A,#N/A,FALSE,"견적갑지";#N/A,#N/A,FALSE,"총괄표";#N/A,#N/A,FALSE,"철골공사";#N/A,#N/A,FALSE,"토목공사";#N/A,#N/A,FALSE,"판넬전기공사"}</definedName>
    <definedName name="축수산장설비" localSheetId="18" hidden="1">{#N/A,#N/A,FALSE,"견적갑지";#N/A,#N/A,FALSE,"총괄표";#N/A,#N/A,FALSE,"철골공사";#N/A,#N/A,FALSE,"토목공사";#N/A,#N/A,FALSE,"판넬전기공사"}</definedName>
    <definedName name="축수산장설비" localSheetId="25" hidden="1">{#N/A,#N/A,FALSE,"견적갑지";#N/A,#N/A,FALSE,"총괄표";#N/A,#N/A,FALSE,"철골공사";#N/A,#N/A,FALSE,"토목공사";#N/A,#N/A,FALSE,"판넬전기공사"}</definedName>
    <definedName name="축수산장설비" hidden="1">{#N/A,#N/A,FALSE,"견적갑지";#N/A,#N/A,FALSE,"총괄표";#N/A,#N/A,FALSE,"철골공사";#N/A,#N/A,FALSE,"토목공사";#N/A,#N/A,FALSE,"판넬전기공사"}</definedName>
    <definedName name="출입문2"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출입문2"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출입문2" localSheetId="25"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출입문2"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출판" localSheetId="24" hidden="1">{#N/A,#N/A,FALSE,"지침";#N/A,#N/A,FALSE,"환경분석";#N/A,#N/A,FALSE,"Sheet16"}</definedName>
    <definedName name="출판" localSheetId="18" hidden="1">{#N/A,#N/A,FALSE,"지침";#N/A,#N/A,FALSE,"환경분석";#N/A,#N/A,FALSE,"Sheet16"}</definedName>
    <definedName name="출판" localSheetId="25" hidden="1">{#N/A,#N/A,FALSE,"지침";#N/A,#N/A,FALSE,"환경분석";#N/A,#N/A,FALSE,"Sheet16"}</definedName>
    <definedName name="출판" hidden="1">{#N/A,#N/A,FALSE,"지침";#N/A,#N/A,FALSE,"환경분석";#N/A,#N/A,FALSE,"Sheet16"}</definedName>
    <definedName name="치" localSheetId="24" hidden="1">{#N/A,#N/A,FALSE,"97년 투자계획 세부내역 "}</definedName>
    <definedName name="치" localSheetId="18" hidden="1">{#N/A,#N/A,FALSE,"97년 투자계획 세부내역 "}</definedName>
    <definedName name="치" localSheetId="25" hidden="1">{#N/A,#N/A,FALSE,"97년 투자계획 세부내역 "}</definedName>
    <definedName name="치" hidden="1">{#N/A,#N/A,FALSE,"97년 투자계획 세부내역 "}</definedName>
    <definedName name="ㅋ" localSheetId="24" hidden="1">{#N/A,#N/A,FALSE,"BS";#N/A,#N/A,FALSE,"PL";#N/A,#N/A,FALSE,"처분";#N/A,#N/A,FALSE,"현금";#N/A,#N/A,FALSE,"매출";#N/A,#N/A,FALSE,"원가";#N/A,#N/A,FALSE,"경영"}</definedName>
    <definedName name="ㅋ" localSheetId="18" hidden="1">{#N/A,#N/A,FALSE,"BS";#N/A,#N/A,FALSE,"PL";#N/A,#N/A,FALSE,"처분";#N/A,#N/A,FALSE,"현금";#N/A,#N/A,FALSE,"매출";#N/A,#N/A,FALSE,"원가";#N/A,#N/A,FALSE,"경영"}</definedName>
    <definedName name="ㅋ" localSheetId="25" hidden="1">{#N/A,#N/A,FALSE,"BS";#N/A,#N/A,FALSE,"PL";#N/A,#N/A,FALSE,"처분";#N/A,#N/A,FALSE,"현금";#N/A,#N/A,FALSE,"매출";#N/A,#N/A,FALSE,"원가";#N/A,#N/A,FALSE,"경영"}</definedName>
    <definedName name="ㅋ" hidden="1">{#N/A,#N/A,FALSE,"BS";#N/A,#N/A,FALSE,"PL";#N/A,#N/A,FALSE,"처분";#N/A,#N/A,FALSE,"현금";#N/A,#N/A,FALSE,"매출";#N/A,#N/A,FALSE,"원가";#N/A,#N/A,FALSE,"경영"}</definedName>
    <definedName name="ㅋㅋㅋ"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ㅋㅋㅋ"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ㅋㅋㅋ"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ㅋㅋㅋ" hidden="1">{#N/A,#N/A,FALSE,"손익표지";#N/A,#N/A,FALSE,"손익계산";#N/A,#N/A,FALSE,"일반관리비";#N/A,#N/A,FALSE,"영업외수익";#N/A,#N/A,FALSE,"영업외비용";#N/A,#N/A,FALSE,"매출액";#N/A,#N/A,FALSE,"요약손익";#N/A,#N/A,FALSE,"요약대차";#N/A,#N/A,FALSE,"매출채권현황";#N/A,#N/A,FALSE,"매출채권명세"}</definedName>
    <definedName name="ㅋㅋㅋㅋ" localSheetId="24" hidden="1">{#N/A,#N/A,TRUE,"대 차 대 조 표"}</definedName>
    <definedName name="ㅋㅋㅋㅋ" localSheetId="18" hidden="1">{#N/A,#N/A,TRUE,"대 차 대 조 표"}</definedName>
    <definedName name="ㅋㅋㅋㅋ" localSheetId="25" hidden="1">{#N/A,#N/A,TRUE,"대 차 대 조 표"}</definedName>
    <definedName name="ㅋㅋㅋㅋ" hidden="1">{#N/A,#N/A,TRUE,"대 차 대 조 표"}</definedName>
    <definedName name="ㅋㅋㅋㅋ_1" localSheetId="24" hidden="1">{#N/A,#N/A,TRUE,"대 차 대 조 표"}</definedName>
    <definedName name="ㅋㅋㅋㅋ_1" localSheetId="18" hidden="1">{#N/A,#N/A,TRUE,"대 차 대 조 표"}</definedName>
    <definedName name="ㅋㅋㅋㅋ_1" localSheetId="25" hidden="1">{#N/A,#N/A,TRUE,"대 차 대 조 표"}</definedName>
    <definedName name="ㅋㅋㅋㅋ_1" hidden="1">{#N/A,#N/A,TRUE,"대 차 대 조 표"}</definedName>
    <definedName name="ㅋㅌ" localSheetId="24" hidden="1">{"'용역비'!$A$4:$C$8"}</definedName>
    <definedName name="ㅋㅌ" localSheetId="18" hidden="1">{"'용역비'!$A$4:$C$8"}</definedName>
    <definedName name="ㅋㅌ" localSheetId="25" hidden="1">{"'용역비'!$A$4:$C$8"}</definedName>
    <definedName name="ㅋㅌ" hidden="1">{"'용역비'!$A$4:$C$8"}</definedName>
    <definedName name="카" localSheetId="24" hidden="1">{"'7'!$B$15:$D$32"}</definedName>
    <definedName name="카" localSheetId="18" hidden="1">{"'7'!$B$15:$D$32"}</definedName>
    <definedName name="카" localSheetId="25" hidden="1">{"'7'!$B$15:$D$32"}</definedName>
    <definedName name="카" hidden="1">{"'7'!$B$15:$D$32"}</definedName>
    <definedName name="카러" localSheetId="24" hidden="1">{#N/A,#N/A,FALSE,"1.CRITERIA";#N/A,#N/A,FALSE,"2.IS";#N/A,#N/A,FALSE,"3.BS";#N/A,#N/A,FALSE,"4.PER PL";#N/A,#N/A,FALSE,"5.INVESTMENT";#N/A,#N/A,FALSE,"6.공문";#N/A,#N/A,FALSE,"7.netinvest"}</definedName>
    <definedName name="카러" localSheetId="18" hidden="1">{#N/A,#N/A,FALSE,"1.CRITERIA";#N/A,#N/A,FALSE,"2.IS";#N/A,#N/A,FALSE,"3.BS";#N/A,#N/A,FALSE,"4.PER PL";#N/A,#N/A,FALSE,"5.INVESTMENT";#N/A,#N/A,FALSE,"6.공문";#N/A,#N/A,FALSE,"7.netinvest"}</definedName>
    <definedName name="카러" localSheetId="25" hidden="1">{#N/A,#N/A,FALSE,"1.CRITERIA";#N/A,#N/A,FALSE,"2.IS";#N/A,#N/A,FALSE,"3.BS";#N/A,#N/A,FALSE,"4.PER PL";#N/A,#N/A,FALSE,"5.INVESTMENT";#N/A,#N/A,FALSE,"6.공문";#N/A,#N/A,FALSE,"7.netinvest"}</definedName>
    <definedName name="카러" hidden="1">{#N/A,#N/A,FALSE,"1.CRITERIA";#N/A,#N/A,FALSE,"2.IS";#N/A,#N/A,FALSE,"3.BS";#N/A,#N/A,FALSE,"4.PER PL";#N/A,#N/A,FALSE,"5.INVESTMENT";#N/A,#N/A,FALSE,"6.공문";#N/A,#N/A,FALSE,"7.netinvest"}</definedName>
    <definedName name="캐쉬" localSheetId="24" hidden="1">{#N/A,#N/A,FALSE,"지침";#N/A,#N/A,FALSE,"환경분석";#N/A,#N/A,FALSE,"Sheet16"}</definedName>
    <definedName name="캐쉬" localSheetId="18" hidden="1">{#N/A,#N/A,FALSE,"지침";#N/A,#N/A,FALSE,"환경분석";#N/A,#N/A,FALSE,"Sheet16"}</definedName>
    <definedName name="캐쉬" localSheetId="25" hidden="1">{#N/A,#N/A,FALSE,"지침";#N/A,#N/A,FALSE,"환경분석";#N/A,#N/A,FALSE,"Sheet16"}</definedName>
    <definedName name="캐쉬" hidden="1">{#N/A,#N/A,FALSE,"지침";#N/A,#N/A,FALSE,"환경분석";#N/A,#N/A,FALSE,"Sheet16"}</definedName>
    <definedName name="캐쉬변경후" localSheetId="24" hidden="1">{#N/A,#N/A,TRUE,"사업자등록증 (2)"}</definedName>
    <definedName name="캐쉬변경후" localSheetId="18" hidden="1">{#N/A,#N/A,TRUE,"사업자등록증 (2)"}</definedName>
    <definedName name="캐쉬변경후" localSheetId="25" hidden="1">{#N/A,#N/A,TRUE,"사업자등록증 (2)"}</definedName>
    <definedName name="캐쉬변경후" hidden="1">{#N/A,#N/A,TRUE,"사업자등록증 (2)"}</definedName>
    <definedName name="커머" localSheetId="24" hidden="1">{#N/A,#N/A,FALSE,"1.CRITERIA";#N/A,#N/A,FALSE,"2.IS";#N/A,#N/A,FALSE,"3.BS";#N/A,#N/A,FALSE,"4.PER PL";#N/A,#N/A,FALSE,"5.INVESTMENT";#N/A,#N/A,FALSE,"6.공문";#N/A,#N/A,FALSE,"7.netinvest"}</definedName>
    <definedName name="커머" localSheetId="18" hidden="1">{#N/A,#N/A,FALSE,"1.CRITERIA";#N/A,#N/A,FALSE,"2.IS";#N/A,#N/A,FALSE,"3.BS";#N/A,#N/A,FALSE,"4.PER PL";#N/A,#N/A,FALSE,"5.INVESTMENT";#N/A,#N/A,FALSE,"6.공문";#N/A,#N/A,FALSE,"7.netinvest"}</definedName>
    <definedName name="커머" localSheetId="25" hidden="1">{#N/A,#N/A,FALSE,"1.CRITERIA";#N/A,#N/A,FALSE,"2.IS";#N/A,#N/A,FALSE,"3.BS";#N/A,#N/A,FALSE,"4.PER PL";#N/A,#N/A,FALSE,"5.INVESTMENT";#N/A,#N/A,FALSE,"6.공문";#N/A,#N/A,FALSE,"7.netinvest"}</definedName>
    <definedName name="커머" hidden="1">{#N/A,#N/A,FALSE,"1.CRITERIA";#N/A,#N/A,FALSE,"2.IS";#N/A,#N/A,FALSE,"3.BS";#N/A,#N/A,FALSE,"4.PER PL";#N/A,#N/A,FALSE,"5.INVESTMENT";#N/A,#N/A,FALSE,"6.공문";#N/A,#N/A,FALSE,"7.netinvest"}</definedName>
    <definedName name="컼커" localSheetId="24" hidden="1">{#N/A,#N/A,FALSE,"1.CRITERIA";#N/A,#N/A,FALSE,"2.IS";#N/A,#N/A,FALSE,"3.BS";#N/A,#N/A,FALSE,"4.PER PL";#N/A,#N/A,FALSE,"5.INVESTMENT";#N/A,#N/A,FALSE,"6.공문";#N/A,#N/A,FALSE,"7.netinvest"}</definedName>
    <definedName name="컼커" localSheetId="18" hidden="1">{#N/A,#N/A,FALSE,"1.CRITERIA";#N/A,#N/A,FALSE,"2.IS";#N/A,#N/A,FALSE,"3.BS";#N/A,#N/A,FALSE,"4.PER PL";#N/A,#N/A,FALSE,"5.INVESTMENT";#N/A,#N/A,FALSE,"6.공문";#N/A,#N/A,FALSE,"7.netinvest"}</definedName>
    <definedName name="컼커" localSheetId="25" hidden="1">{#N/A,#N/A,FALSE,"1.CRITERIA";#N/A,#N/A,FALSE,"2.IS";#N/A,#N/A,FALSE,"3.BS";#N/A,#N/A,FALSE,"4.PER PL";#N/A,#N/A,FALSE,"5.INVESTMENT";#N/A,#N/A,FALSE,"6.공문";#N/A,#N/A,FALSE,"7.netinvest"}</definedName>
    <definedName name="컼커" hidden="1">{#N/A,#N/A,FALSE,"1.CRITERIA";#N/A,#N/A,FALSE,"2.IS";#N/A,#N/A,FALSE,"3.BS";#N/A,#N/A,FALSE,"4.PER PL";#N/A,#N/A,FALSE,"5.INVESTMENT";#N/A,#N/A,FALSE,"6.공문";#N/A,#N/A,FALSE,"7.netinvest"}</definedName>
    <definedName name="케이블간지" localSheetId="24" hidden="1">{#N/A,#N/A,TRUE,"토적및재료집계";#N/A,#N/A,TRUE,"토적및재료집계";#N/A,#N/A,TRUE,"단위량"}</definedName>
    <definedName name="케이블간지" localSheetId="18" hidden="1">{#N/A,#N/A,TRUE,"토적및재료집계";#N/A,#N/A,TRUE,"토적및재료집계";#N/A,#N/A,TRUE,"단위량"}</definedName>
    <definedName name="케이블간지" localSheetId="25" hidden="1">{#N/A,#N/A,TRUE,"토적및재료집계";#N/A,#N/A,TRUE,"토적및재료집계";#N/A,#N/A,TRUE,"단위량"}</definedName>
    <definedName name="케이블간지" hidden="1">{#N/A,#N/A,TRUE,"토적및재료집계";#N/A,#N/A,TRUE,"토적및재료집계";#N/A,#N/A,TRUE,"단위량"}</definedName>
    <definedName name="코" localSheetId="24" hidden="1">{#N/A,#N/A,FALSE,"1.CRITERIA";#N/A,#N/A,FALSE,"2.IS";#N/A,#N/A,FALSE,"3.BS";#N/A,#N/A,FALSE,"4.PER PL";#N/A,#N/A,FALSE,"5.INVESTMENT";#N/A,#N/A,FALSE,"6.공문";#N/A,#N/A,FALSE,"7.netinvest"}</definedName>
    <definedName name="코" localSheetId="18" hidden="1">{#N/A,#N/A,FALSE,"1.CRITERIA";#N/A,#N/A,FALSE,"2.IS";#N/A,#N/A,FALSE,"3.BS";#N/A,#N/A,FALSE,"4.PER PL";#N/A,#N/A,FALSE,"5.INVESTMENT";#N/A,#N/A,FALSE,"6.공문";#N/A,#N/A,FALSE,"7.netinvest"}</definedName>
    <definedName name="코" localSheetId="25" hidden="1">{#N/A,#N/A,FALSE,"1.CRITERIA";#N/A,#N/A,FALSE,"2.IS";#N/A,#N/A,FALSE,"3.BS";#N/A,#N/A,FALSE,"4.PER PL";#N/A,#N/A,FALSE,"5.INVESTMENT";#N/A,#N/A,FALSE,"6.공문";#N/A,#N/A,FALSE,"7.netinvest"}</definedName>
    <definedName name="코" hidden="1">{#N/A,#N/A,FALSE,"1.CRITERIA";#N/A,#N/A,FALSE,"2.IS";#N/A,#N/A,FALSE,"3.BS";#N/A,#N/A,FALSE,"4.PER PL";#N/A,#N/A,FALSE,"5.INVESTMENT";#N/A,#N/A,FALSE,"6.공문";#N/A,#N/A,FALSE,"7.netinvest"}</definedName>
    <definedName name="코크랩총괄예산" localSheetId="24" hidden="1">{#N/A,#N/A,FALSE,"이력서&amp;자기소개서"}</definedName>
    <definedName name="코크랩총괄예산" localSheetId="18" hidden="1">{#N/A,#N/A,FALSE,"이력서&amp;자기소개서"}</definedName>
    <definedName name="코크랩총괄예산" localSheetId="25" hidden="1">{#N/A,#N/A,FALSE,"이력서&amp;자기소개서"}</definedName>
    <definedName name="코크랩총괄예산" hidden="1">{#N/A,#N/A,FALSE,"이력서&amp;자기소개서"}</definedName>
    <definedName name="키" localSheetId="24" hidden="1">{#N/A,#N/A,FALSE,"1.CRITERIA";#N/A,#N/A,FALSE,"2.IS";#N/A,#N/A,FALSE,"3.BS";#N/A,#N/A,FALSE,"4.PER PL";#N/A,#N/A,FALSE,"5.INVESTMENT";#N/A,#N/A,FALSE,"6.공문";#N/A,#N/A,FALSE,"7.netinvest"}</definedName>
    <definedName name="키" localSheetId="18" hidden="1">{#N/A,#N/A,FALSE,"1.CRITERIA";#N/A,#N/A,FALSE,"2.IS";#N/A,#N/A,FALSE,"3.BS";#N/A,#N/A,FALSE,"4.PER PL";#N/A,#N/A,FALSE,"5.INVESTMENT";#N/A,#N/A,FALSE,"6.공문";#N/A,#N/A,FALSE,"7.netinvest"}</definedName>
    <definedName name="키" localSheetId="25" hidden="1">{#N/A,#N/A,FALSE,"1.CRITERIA";#N/A,#N/A,FALSE,"2.IS";#N/A,#N/A,FALSE,"3.BS";#N/A,#N/A,FALSE,"4.PER PL";#N/A,#N/A,FALSE,"5.INVESTMENT";#N/A,#N/A,FALSE,"6.공문";#N/A,#N/A,FALSE,"7.netinvest"}</definedName>
    <definedName name="키" hidden="1">{#N/A,#N/A,FALSE,"1.CRITERIA";#N/A,#N/A,FALSE,"2.IS";#N/A,#N/A,FALSE,"3.BS";#N/A,#N/A,FALSE,"4.PER PL";#N/A,#N/A,FALSE,"5.INVESTMENT";#N/A,#N/A,FALSE,"6.공문";#N/A,#N/A,FALSE,"7.netinvest"}</definedName>
    <definedName name="ㅌ" localSheetId="24" hidden="1">{"'용역비'!$A$4:$C$8"}</definedName>
    <definedName name="ㅌ" localSheetId="18" hidden="1">{"'용역비'!$A$4:$C$8"}</definedName>
    <definedName name="ㅌ" localSheetId="25" hidden="1">{"'용역비'!$A$4:$C$8"}</definedName>
    <definedName name="ㅌ" hidden="1">{"'용역비'!$A$4:$C$8"}</definedName>
    <definedName name="ㅌㅇ" localSheetId="24" hidden="1">{#N/A,#N/A,FALSE,"업체선정";#N/A,#N/A,FALSE,"업체선정sheet";#N/A,#N/A,FALSE,"업체실태";#N/A,#N/A,FALSE,"업체실태(1)";#N/A,#N/A,FALSE,"종업원현황(2)";#N/A,#N/A,FALSE,"생산품목(3)";#N/A,#N/A,FALSE,"장비보유현황";#N/A,#N/A,FALSE,"차량및약도";#N/A,#N/A,FALSE,"금형LIST"}</definedName>
    <definedName name="ㅌㅇ" localSheetId="18" hidden="1">{#N/A,#N/A,FALSE,"업체선정";#N/A,#N/A,FALSE,"업체선정sheet";#N/A,#N/A,FALSE,"업체실태";#N/A,#N/A,FALSE,"업체실태(1)";#N/A,#N/A,FALSE,"종업원현황(2)";#N/A,#N/A,FALSE,"생산품목(3)";#N/A,#N/A,FALSE,"장비보유현황";#N/A,#N/A,FALSE,"차량및약도";#N/A,#N/A,FALSE,"금형LIST"}</definedName>
    <definedName name="ㅌㅇ" localSheetId="25" hidden="1">{#N/A,#N/A,FALSE,"업체선정";#N/A,#N/A,FALSE,"업체선정sheet";#N/A,#N/A,FALSE,"업체실태";#N/A,#N/A,FALSE,"업체실태(1)";#N/A,#N/A,FALSE,"종업원현황(2)";#N/A,#N/A,FALSE,"생산품목(3)";#N/A,#N/A,FALSE,"장비보유현황";#N/A,#N/A,FALSE,"차량및약도";#N/A,#N/A,FALSE,"금형LIST"}</definedName>
    <definedName name="ㅌㅇ" hidden="1">{#N/A,#N/A,FALSE,"업체선정";#N/A,#N/A,FALSE,"업체선정sheet";#N/A,#N/A,FALSE,"업체실태";#N/A,#N/A,FALSE,"업체실태(1)";#N/A,#N/A,FALSE,"종업원현황(2)";#N/A,#N/A,FALSE,"생산품목(3)";#N/A,#N/A,FALSE,"장비보유현황";#N/A,#N/A,FALSE,"차량및약도";#N/A,#N/A,FALSE,"금형LIST"}</definedName>
    <definedName name="ㅌㅇㅍㅊㅍㅎ" localSheetId="24" hidden="1">{#N/A,#N/A,FALSE,"96 3월물량표";#N/A,#N/A,FALSE,"96 4월물량표";#N/A,#N/A,FALSE,"96 5월물량표"}</definedName>
    <definedName name="ㅌㅇㅍㅊㅍㅎ" localSheetId="18" hidden="1">{#N/A,#N/A,FALSE,"96 3월물량표";#N/A,#N/A,FALSE,"96 4월물량표";#N/A,#N/A,FALSE,"96 5월물량표"}</definedName>
    <definedName name="ㅌㅇㅍㅊㅍㅎ" localSheetId="25" hidden="1">{#N/A,#N/A,FALSE,"96 3월물량표";#N/A,#N/A,FALSE,"96 4월물량표";#N/A,#N/A,FALSE,"96 5월물량표"}</definedName>
    <definedName name="ㅌㅇㅍㅊㅍㅎ" hidden="1">{#N/A,#N/A,FALSE,"96 3월물량표";#N/A,#N/A,FALSE,"96 4월물량표";#N/A,#N/A,FALSE,"96 5월물량표"}</definedName>
    <definedName name="ㅌㅊ" localSheetId="24" hidden="1">{#N/A,#N/A,TRUE,"Y생산";#N/A,#N/A,TRUE,"Y판매";#N/A,#N/A,TRUE,"Y총물량";#N/A,#N/A,TRUE,"Y능력";#N/A,#N/A,TRUE,"YKD"}</definedName>
    <definedName name="ㅌㅊ" localSheetId="18" hidden="1">{#N/A,#N/A,TRUE,"Y생산";#N/A,#N/A,TRUE,"Y판매";#N/A,#N/A,TRUE,"Y총물량";#N/A,#N/A,TRUE,"Y능력";#N/A,#N/A,TRUE,"YKD"}</definedName>
    <definedName name="ㅌㅊ" localSheetId="25" hidden="1">{#N/A,#N/A,TRUE,"Y생산";#N/A,#N/A,TRUE,"Y판매";#N/A,#N/A,TRUE,"Y총물량";#N/A,#N/A,TRUE,"Y능력";#N/A,#N/A,TRUE,"YKD"}</definedName>
    <definedName name="ㅌㅊ" hidden="1">{#N/A,#N/A,TRUE,"Y생산";#N/A,#N/A,TRUE,"Y판매";#N/A,#N/A,TRUE,"Y총물량";#N/A,#N/A,TRUE,"Y능력";#N/A,#N/A,TRUE,"YKD"}</definedName>
    <definedName name="ㅌㅊㅋㅌㅊ"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ㅌㅊㅋㅌㅊ"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ㅌㅊㅋㅌㅊ"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ㅌㅊㅋㅌㅊ" hidden="1">{#N/A,#N/A,FALSE,"손익표지";#N/A,#N/A,FALSE,"손익계산";#N/A,#N/A,FALSE,"일반관리비";#N/A,#N/A,FALSE,"영업외수익";#N/A,#N/A,FALSE,"영업외비용";#N/A,#N/A,FALSE,"매출액";#N/A,#N/A,FALSE,"요약손익";#N/A,#N/A,FALSE,"요약대차";#N/A,#N/A,FALSE,"매출채권현황";#N/A,#N/A,FALSE,"매출채권명세"}</definedName>
    <definedName name="ㅌㅌ" localSheetId="24" hidden="1">{#N/A,#N/A,TRUE,"일정"}</definedName>
    <definedName name="ㅌㅌ" localSheetId="18" hidden="1">{#N/A,#N/A,TRUE,"일정"}</definedName>
    <definedName name="ㅌㅌ" localSheetId="25" hidden="1">{#N/A,#N/A,TRUE,"일정"}</definedName>
    <definedName name="ㅌㅌ" hidden="1">{#N/A,#N/A,TRUE,"일정"}</definedName>
    <definedName name="타" localSheetId="24" hidden="1">{#N/A,#N/A,FALSE,"견적갑지";#N/A,#N/A,FALSE,"총괄표";#N/A,#N/A,FALSE,"철골공사";#N/A,#N/A,FALSE,"토목공사";#N/A,#N/A,FALSE,"판넬전기공사"}</definedName>
    <definedName name="타" localSheetId="18" hidden="1">{#N/A,#N/A,FALSE,"견적갑지";#N/A,#N/A,FALSE,"총괄표";#N/A,#N/A,FALSE,"철골공사";#N/A,#N/A,FALSE,"토목공사";#N/A,#N/A,FALSE,"판넬전기공사"}</definedName>
    <definedName name="타" localSheetId="25" hidden="1">{#N/A,#N/A,FALSE,"견적갑지";#N/A,#N/A,FALSE,"총괄표";#N/A,#N/A,FALSE,"철골공사";#N/A,#N/A,FALSE,"토목공사";#N/A,#N/A,FALSE,"판넬전기공사"}</definedName>
    <definedName name="타" hidden="1">{#N/A,#N/A,FALSE,"견적갑지";#N/A,#N/A,FALSE,"총괄표";#N/A,#N/A,FALSE,"철골공사";#N/A,#N/A,FALSE,"토목공사";#N/A,#N/A,FALSE,"판넬전기공사"}</definedName>
    <definedName name="테넌트" localSheetId="24" hidden="1">{#N/A,#N/A,TRUE,"Y생산";#N/A,#N/A,TRUE,"Y판매";#N/A,#N/A,TRUE,"Y총물량";#N/A,#N/A,TRUE,"Y능력";#N/A,#N/A,TRUE,"YKD"}</definedName>
    <definedName name="테넌트" localSheetId="18" hidden="1">{#N/A,#N/A,TRUE,"Y생산";#N/A,#N/A,TRUE,"Y판매";#N/A,#N/A,TRUE,"Y총물량";#N/A,#N/A,TRUE,"Y능력";#N/A,#N/A,TRUE,"YKD"}</definedName>
    <definedName name="테넌트" localSheetId="25" hidden="1">{#N/A,#N/A,TRUE,"Y생산";#N/A,#N/A,TRUE,"Y판매";#N/A,#N/A,TRUE,"Y총물량";#N/A,#N/A,TRUE,"Y능력";#N/A,#N/A,TRUE,"YKD"}</definedName>
    <definedName name="테넌트" hidden="1">{#N/A,#N/A,TRUE,"Y생산";#N/A,#N/A,TRUE,"Y판매";#N/A,#N/A,TRUE,"Y총물량";#N/A,#N/A,TRUE,"Y능력";#N/A,#N/A,TRUE,"YKD"}</definedName>
    <definedName name="테넌트_1" localSheetId="24" hidden="1">{#N/A,#N/A,TRUE,"Y생산";#N/A,#N/A,TRUE,"Y판매";#N/A,#N/A,TRUE,"Y총물량";#N/A,#N/A,TRUE,"Y능력";#N/A,#N/A,TRUE,"YKD"}</definedName>
    <definedName name="테넌트_1" localSheetId="18" hidden="1">{#N/A,#N/A,TRUE,"Y생산";#N/A,#N/A,TRUE,"Y판매";#N/A,#N/A,TRUE,"Y총물량";#N/A,#N/A,TRUE,"Y능력";#N/A,#N/A,TRUE,"YKD"}</definedName>
    <definedName name="테넌트_1" localSheetId="25" hidden="1">{#N/A,#N/A,TRUE,"Y생산";#N/A,#N/A,TRUE,"Y판매";#N/A,#N/A,TRUE,"Y총물량";#N/A,#N/A,TRUE,"Y능력";#N/A,#N/A,TRUE,"YKD"}</definedName>
    <definedName name="테넌트_1" hidden="1">{#N/A,#N/A,TRUE,"Y생산";#N/A,#N/A,TRUE,"Y판매";#N/A,#N/A,TRUE,"Y총물량";#N/A,#N/A,TRUE,"Y능력";#N/A,#N/A,TRUE,"YKD"}</definedName>
    <definedName name="테넌트팀" localSheetId="24" hidden="1">{#N/A,#N/A,TRUE,"Y생산";#N/A,#N/A,TRUE,"Y판매";#N/A,#N/A,TRUE,"Y총물량";#N/A,#N/A,TRUE,"Y능력";#N/A,#N/A,TRUE,"YKD"}</definedName>
    <definedName name="테넌트팀" localSheetId="18" hidden="1">{#N/A,#N/A,TRUE,"Y생산";#N/A,#N/A,TRUE,"Y판매";#N/A,#N/A,TRUE,"Y총물량";#N/A,#N/A,TRUE,"Y능력";#N/A,#N/A,TRUE,"YKD"}</definedName>
    <definedName name="테넌트팀" localSheetId="25" hidden="1">{#N/A,#N/A,TRUE,"Y생산";#N/A,#N/A,TRUE,"Y판매";#N/A,#N/A,TRUE,"Y총물량";#N/A,#N/A,TRUE,"Y능력";#N/A,#N/A,TRUE,"YKD"}</definedName>
    <definedName name="테넌트팀" hidden="1">{#N/A,#N/A,TRUE,"Y생산";#N/A,#N/A,TRUE,"Y판매";#N/A,#N/A,TRUE,"Y총물량";#N/A,#N/A,TRUE,"Y능력";#N/A,#N/A,TRUE,"YKD"}</definedName>
    <definedName name="테넌트팀_1" localSheetId="24" hidden="1">{#N/A,#N/A,TRUE,"Y생산";#N/A,#N/A,TRUE,"Y판매";#N/A,#N/A,TRUE,"Y총물량";#N/A,#N/A,TRUE,"Y능력";#N/A,#N/A,TRUE,"YKD"}</definedName>
    <definedName name="테넌트팀_1" localSheetId="18" hidden="1">{#N/A,#N/A,TRUE,"Y생산";#N/A,#N/A,TRUE,"Y판매";#N/A,#N/A,TRUE,"Y총물량";#N/A,#N/A,TRUE,"Y능력";#N/A,#N/A,TRUE,"YKD"}</definedName>
    <definedName name="테넌트팀_1" localSheetId="25" hidden="1">{#N/A,#N/A,TRUE,"Y생산";#N/A,#N/A,TRUE,"Y판매";#N/A,#N/A,TRUE,"Y총물량";#N/A,#N/A,TRUE,"Y능력";#N/A,#N/A,TRUE,"YKD"}</definedName>
    <definedName name="테넌트팀_1" hidden="1">{#N/A,#N/A,TRUE,"Y생산";#N/A,#N/A,TRUE,"Y판매";#N/A,#N/A,TRUE,"Y총물량";#N/A,#N/A,TRUE,"Y능력";#N/A,#N/A,TRUE,"YKD"}</definedName>
    <definedName name="테르" localSheetId="24" hidden="1">{#N/A,#N/A,FALSE,"동부"}</definedName>
    <definedName name="테르" localSheetId="18" hidden="1">{#N/A,#N/A,FALSE,"동부"}</definedName>
    <definedName name="테르" localSheetId="25" hidden="1">{#N/A,#N/A,FALSE,"동부"}</definedName>
    <definedName name="테르" hidden="1">{#N/A,#N/A,FALSE,"동부"}</definedName>
    <definedName name="템플리트모듈1" localSheetId="24">BlankMacro1</definedName>
    <definedName name="템플리트모듈1" localSheetId="18">BlankMacro1</definedName>
    <definedName name="템플리트모듈1" localSheetId="25">BlankMacro1</definedName>
    <definedName name="템플리트모듈1" localSheetId="16">BlankMacro1</definedName>
    <definedName name="템플리트모듈1">BlankMacro1</definedName>
    <definedName name="템플리트모듈2" localSheetId="24">BlankMacro1</definedName>
    <definedName name="템플리트모듈2" localSheetId="18">BlankMacro1</definedName>
    <definedName name="템플리트모듈2" localSheetId="25">BlankMacro1</definedName>
    <definedName name="템플리트모듈2" localSheetId="16">BlankMacro1</definedName>
    <definedName name="템플리트모듈2">BlankMacro1</definedName>
    <definedName name="템플리트모듈3" localSheetId="24">BlankMacro1</definedName>
    <definedName name="템플리트모듈3" localSheetId="18">BlankMacro1</definedName>
    <definedName name="템플리트모듈3" localSheetId="25">BlankMacro1</definedName>
    <definedName name="템플리트모듈3" localSheetId="16">BlankMacro1</definedName>
    <definedName name="템플리트모듈3">BlankMacro1</definedName>
    <definedName name="템플리트모듈4" localSheetId="24">BlankMacro1</definedName>
    <definedName name="템플리트모듈4" localSheetId="18">BlankMacro1</definedName>
    <definedName name="템플리트모듈4" localSheetId="25">BlankMacro1</definedName>
    <definedName name="템플리트모듈4" localSheetId="16">BlankMacro1</definedName>
    <definedName name="템플리트모듈4">BlankMacro1</definedName>
    <definedName name="템플리트모듈5" localSheetId="24">BlankMacro1</definedName>
    <definedName name="템플리트모듈5" localSheetId="18">BlankMacro1</definedName>
    <definedName name="템플리트모듈5" localSheetId="25">BlankMacro1</definedName>
    <definedName name="템플리트모듈5" localSheetId="16">BlankMacro1</definedName>
    <definedName name="템플리트모듈5">BlankMacro1</definedName>
    <definedName name="템플리트모듈6" localSheetId="24">BlankMacro1</definedName>
    <definedName name="템플리트모듈6" localSheetId="18">BlankMacro1</definedName>
    <definedName name="템플리트모듈6" localSheetId="25">BlankMacro1</definedName>
    <definedName name="템플리트모듈6" localSheetId="16">BlankMacro1</definedName>
    <definedName name="템플리트모듈6">BlankMacro1</definedName>
    <definedName name="토공2" localSheetId="24" hidden="1">{#N/A,#N/A,FALSE,"2~8번"}</definedName>
    <definedName name="토공2" localSheetId="18" hidden="1">{#N/A,#N/A,FALSE,"2~8번"}</definedName>
    <definedName name="토공2" localSheetId="25" hidden="1">{#N/A,#N/A,FALSE,"2~8번"}</definedName>
    <definedName name="토공2" hidden="1">{#N/A,#N/A,FALSE,"2~8번"}</definedName>
    <definedName name="토공전체" localSheetId="24" hidden="1">{#N/A,#N/A,FALSE,"운반시간"}</definedName>
    <definedName name="토공전체" localSheetId="18" hidden="1">{#N/A,#N/A,FALSE,"운반시간"}</definedName>
    <definedName name="토공전체" localSheetId="25" hidden="1">{#N/A,#N/A,FALSE,"운반시간"}</definedName>
    <definedName name="토공전체" hidden="1">{#N/A,#N/A,FALSE,"운반시간"}</definedName>
    <definedName name="토목"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토목"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토목" localSheetId="25" hidden="1">{#N/A,#N/A,FALSE,"손익표지";#N/A,#N/A,FALSE,"손익계산";#N/A,#N/A,FALSE,"일반관리비";#N/A,#N/A,FALSE,"영업외수익";#N/A,#N/A,FALSE,"영업외비용";#N/A,#N/A,FALSE,"매출액";#N/A,#N/A,FALSE,"요약손익";#N/A,#N/A,FALSE,"요약대차";#N/A,#N/A,FALSE,"매출채권현황";#N/A,#N/A,FALSE,"매출채권명세"}</definedName>
    <definedName name="토목" hidden="1">{#N/A,#N/A,FALSE,"손익표지";#N/A,#N/A,FALSE,"손익계산";#N/A,#N/A,FALSE,"일반관리비";#N/A,#N/A,FALSE,"영업외수익";#N/A,#N/A,FALSE,"영업외비용";#N/A,#N/A,FALSE,"매출액";#N/A,#N/A,FALSE,"요약손익";#N/A,#N/A,FALSE,"요약대차";#N/A,#N/A,FALSE,"매출채권현황";#N/A,#N/A,FALSE,"매출채권명세"}</definedName>
    <definedName name="토목공사" localSheetId="24" hidden="1">{#N/A,#N/A,FALSE,"이태원철근"}</definedName>
    <definedName name="토목공사" localSheetId="18" hidden="1">{#N/A,#N/A,FALSE,"이태원철근"}</definedName>
    <definedName name="토목공사" localSheetId="25" hidden="1">{#N/A,#N/A,FALSE,"이태원철근"}</definedName>
    <definedName name="토목공사" hidden="1">{#N/A,#N/A,FALSE,"이태원철근"}</definedName>
    <definedName name="토목공사계약3" localSheetId="24" hidden="1">{#N/A,#N/A,FALSE,"CCTV"}</definedName>
    <definedName name="토목공사계약3" localSheetId="18" hidden="1">{#N/A,#N/A,FALSE,"CCTV"}</definedName>
    <definedName name="토목공사계약3" localSheetId="25" hidden="1">{#N/A,#N/A,FALSE,"CCTV"}</definedName>
    <definedName name="토목공사계약3" hidden="1">{#N/A,#N/A,FALSE,"CCTV"}</definedName>
    <definedName name="토목설계" localSheetId="24" hidden="1">{#N/A,#N/A,FALSE,"골재소요량";#N/A,#N/A,FALSE,"골재소요량"}</definedName>
    <definedName name="토목설계" localSheetId="18" hidden="1">{#N/A,#N/A,FALSE,"골재소요량";#N/A,#N/A,FALSE,"골재소요량"}</definedName>
    <definedName name="토목설계" localSheetId="25" hidden="1">{#N/A,#N/A,FALSE,"골재소요량";#N/A,#N/A,FALSE,"골재소요량"}</definedName>
    <definedName name="토목설계" hidden="1">{#N/A,#N/A,FALSE,"골재소요량";#N/A,#N/A,FALSE,"골재소요량"}</definedName>
    <definedName name="퇴충명세"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_1"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_1"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_1"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투자" localSheetId="24" hidden="1">{#N/A,#N/A,FALSE,"97년 투자계획 세부내역 "}</definedName>
    <definedName name="투자" localSheetId="18" hidden="1">{#N/A,#N/A,FALSE,"97년 투자계획 세부내역 "}</definedName>
    <definedName name="투자" localSheetId="25" hidden="1">{#N/A,#N/A,FALSE,"97년 투자계획 세부내역 "}</definedName>
    <definedName name="투자" hidden="1">{#N/A,#N/A,FALSE,"97년 투자계획 세부내역 "}</definedName>
    <definedName name="투자3" localSheetId="24" hidden="1">{"'9월'!$F$38"}</definedName>
    <definedName name="투자3" localSheetId="18" hidden="1">{"'9월'!$F$38"}</definedName>
    <definedName name="투자3" localSheetId="25" hidden="1">{"'9월'!$F$38"}</definedName>
    <definedName name="투자3" hidden="1">{"'9월'!$F$38"}</definedName>
    <definedName name="投資推定" localSheetId="24" hidden="1">{#N/A,#N/A,FALSE,"財務PL";#N/A,#N/A,FALSE,"管理PL";#N/A,#N/A,FALSE,"経費明細";#N/A,#N/A,FALSE,"ﾃﾞｰﾀ整理表"}</definedName>
    <definedName name="投資推定" localSheetId="18" hidden="1">{#N/A,#N/A,FALSE,"財務PL";#N/A,#N/A,FALSE,"管理PL";#N/A,#N/A,FALSE,"経費明細";#N/A,#N/A,FALSE,"ﾃﾞｰﾀ整理表"}</definedName>
    <definedName name="投資推定" localSheetId="25" hidden="1">{#N/A,#N/A,FALSE,"財務PL";#N/A,#N/A,FALSE,"管理PL";#N/A,#N/A,FALSE,"経費明細";#N/A,#N/A,FALSE,"ﾃﾞｰﾀ整理表"}</definedName>
    <definedName name="投資推定" hidden="1">{#N/A,#N/A,FALSE,"財務PL";#N/A,#N/A,FALSE,"管理PL";#N/A,#N/A,FALSE,"経費明細";#N/A,#N/A,FALSE,"ﾃﾞｰﾀ整理表"}</definedName>
    <definedName name="튶ㄹ" localSheetId="24" hidden="1">{"Const Costs Dev",#N/A,FALSE,"Construction Cost Inputs";"Const Costs orig ccy",#N/A,FALSE,"Construction Cost Inputs";"Const Costs USD",#N/A,FALSE,"Construction Cost Inputs"}</definedName>
    <definedName name="튶ㄹ" localSheetId="18" hidden="1">{"Const Costs Dev",#N/A,FALSE,"Construction Cost Inputs";"Const Costs orig ccy",#N/A,FALSE,"Construction Cost Inputs";"Const Costs USD",#N/A,FALSE,"Construction Cost Inputs"}</definedName>
    <definedName name="튶ㄹ" localSheetId="25" hidden="1">{"Const Costs Dev",#N/A,FALSE,"Construction Cost Inputs";"Const Costs orig ccy",#N/A,FALSE,"Construction Cost Inputs";"Const Costs USD",#N/A,FALSE,"Construction Cost Inputs"}</definedName>
    <definedName name="튶ㄹ" hidden="1">{"Const Costs Dev",#N/A,FALSE,"Construction Cost Inputs";"Const Costs orig ccy",#N/A,FALSE,"Construction Cost Inputs";"Const Costs USD",#N/A,FALSE,"Construction Cost Inputs"}</definedName>
    <definedName name="특정" localSheetId="24" hidden="1">{#N/A,#N/A,FALSE,"1.CRITERIA";#N/A,#N/A,FALSE,"2.IS";#N/A,#N/A,FALSE,"3.BS";#N/A,#N/A,FALSE,"4.PER PL";#N/A,#N/A,FALSE,"5.INVESTMENT";#N/A,#N/A,FALSE,"6.공문";#N/A,#N/A,FALSE,"7.netinvest"}</definedName>
    <definedName name="특정" localSheetId="18" hidden="1">{#N/A,#N/A,FALSE,"1.CRITERIA";#N/A,#N/A,FALSE,"2.IS";#N/A,#N/A,FALSE,"3.BS";#N/A,#N/A,FALSE,"4.PER PL";#N/A,#N/A,FALSE,"5.INVESTMENT";#N/A,#N/A,FALSE,"6.공문";#N/A,#N/A,FALSE,"7.netinvest"}</definedName>
    <definedName name="특정" localSheetId="25" hidden="1">{#N/A,#N/A,FALSE,"1.CRITERIA";#N/A,#N/A,FALSE,"2.IS";#N/A,#N/A,FALSE,"3.BS";#N/A,#N/A,FALSE,"4.PER PL";#N/A,#N/A,FALSE,"5.INVESTMENT";#N/A,#N/A,FALSE,"6.공문";#N/A,#N/A,FALSE,"7.netinvest"}</definedName>
    <definedName name="특정" hidden="1">{#N/A,#N/A,FALSE,"1.CRITERIA";#N/A,#N/A,FALSE,"2.IS";#N/A,#N/A,FALSE,"3.BS";#N/A,#N/A,FALSE,"4.PER PL";#N/A,#N/A,FALSE,"5.INVESTMENT";#N/A,#N/A,FALSE,"6.공문";#N/A,#N/A,FALSE,"7.netinvest"}</definedName>
    <definedName name="티지" localSheetId="24" hidden="1">{#N/A,#N/A,FALSE,"LoanAssumptions"}</definedName>
    <definedName name="티지" localSheetId="18" hidden="1">{#N/A,#N/A,FALSE,"LoanAssumptions"}</definedName>
    <definedName name="티지" localSheetId="25" hidden="1">{#N/A,#N/A,FALSE,"LoanAssumptions"}</definedName>
    <definedName name="티지" hidden="1">{#N/A,#N/A,FALSE,"LoanAssumptions"}</definedName>
    <definedName name="ㅍ" localSheetId="24" hidden="1">{#N/A,#N/A,FALSE,"Aging Summary";#N/A,#N/A,FALSE,"Ratio Analysis";#N/A,#N/A,FALSE,"Test 120 Day Accts";#N/A,#N/A,FALSE,"Tickmarks"}</definedName>
    <definedName name="ㅍ" localSheetId="18" hidden="1">{#N/A,#N/A,FALSE,"Aging Summary";#N/A,#N/A,FALSE,"Ratio Analysis";#N/A,#N/A,FALSE,"Test 120 Day Accts";#N/A,#N/A,FALSE,"Tickmarks"}</definedName>
    <definedName name="ㅍ" localSheetId="25" hidden="1">{#N/A,#N/A,FALSE,"Aging Summary";#N/A,#N/A,FALSE,"Ratio Analysis";#N/A,#N/A,FALSE,"Test 120 Day Accts";#N/A,#N/A,FALSE,"Tickmarks"}</definedName>
    <definedName name="ㅍ" hidden="1">{#N/A,#N/A,FALSE,"Aging Summary";#N/A,#N/A,FALSE,"Ratio Analysis";#N/A,#N/A,FALSE,"Test 120 Day Accts";#N/A,#N/A,FALSE,"Tickmarks"}</definedName>
    <definedName name="ㅍㄹ유" localSheetId="24" hidden="1">{"AJD",#N/A,TRUE,"Summary";"AJD",#N/A,TRUE,"CFCONC-outputs";"AJD",#N/A,TRUE,"P&amp;LCONC-outputs";"AJD",#N/A,TRUE,"BSCONC-outputs";"AJD",#N/A,TRUE,"FSCONC-outputs"}</definedName>
    <definedName name="ㅍㄹ유" localSheetId="18" hidden="1">{"AJD",#N/A,TRUE,"Summary";"AJD",#N/A,TRUE,"CFCONC-outputs";"AJD",#N/A,TRUE,"P&amp;LCONC-outputs";"AJD",#N/A,TRUE,"BSCONC-outputs";"AJD",#N/A,TRUE,"FSCONC-outputs"}</definedName>
    <definedName name="ㅍㄹ유" localSheetId="25" hidden="1">{"AJD",#N/A,TRUE,"Summary";"AJD",#N/A,TRUE,"CFCONC-outputs";"AJD",#N/A,TRUE,"P&amp;LCONC-outputs";"AJD",#N/A,TRUE,"BSCONC-outputs";"AJD",#N/A,TRUE,"FSCONC-outputs"}</definedName>
    <definedName name="ㅍㄹ유" hidden="1">{"AJD",#N/A,TRUE,"Summary";"AJD",#N/A,TRUE,"CFCONC-outputs";"AJD",#N/A,TRUE,"P&amp;LCONC-outputs";"AJD",#N/A,TRUE,"BSCONC-outputs";"AJD",#N/A,TRUE,"FSCONC-outputs"}</definedName>
    <definedName name="ㅍㅇㅇㄴ" localSheetId="24" hidden="1">{#N/A,#N/A,FALSE,"동부"}</definedName>
    <definedName name="ㅍㅇㅇㄴ" localSheetId="18" hidden="1">{#N/A,#N/A,FALSE,"동부"}</definedName>
    <definedName name="ㅍㅇㅇㄴ" localSheetId="25" hidden="1">{#N/A,#N/A,FALSE,"동부"}</definedName>
    <definedName name="ㅍㅇㅇㄴ" hidden="1">{#N/A,#N/A,FALSE,"동부"}</definedName>
    <definedName name="ㅍㅊㅌㄴㅋㅍ" localSheetId="24" hidden="1">{"Const Costs Dev",#N/A,FALSE,"Construction Cost Inputs";"Const Costs orig ccy",#N/A,FALSE,"Construction Cost Inputs";"Const Costs USD",#N/A,FALSE,"Construction Cost Inputs"}</definedName>
    <definedName name="ㅍㅊㅌㄴㅋㅍ" localSheetId="18" hidden="1">{"Const Costs Dev",#N/A,FALSE,"Construction Cost Inputs";"Const Costs orig ccy",#N/A,FALSE,"Construction Cost Inputs";"Const Costs USD",#N/A,FALSE,"Construction Cost Inputs"}</definedName>
    <definedName name="ㅍㅊㅌㄴㅋㅍ" localSheetId="25" hidden="1">{"Const Costs Dev",#N/A,FALSE,"Construction Cost Inputs";"Const Costs orig ccy",#N/A,FALSE,"Construction Cost Inputs";"Const Costs USD",#N/A,FALSE,"Construction Cost Inputs"}</definedName>
    <definedName name="ㅍㅊㅌㄴㅋㅍ" hidden="1">{"Const Costs Dev",#N/A,FALSE,"Construction Cost Inputs";"Const Costs orig ccy",#N/A,FALSE,"Construction Cost Inputs";"Const Costs USD",#N/A,FALSE,"Construction Cost Inputs"}</definedName>
    <definedName name="ㅍㅊㅌㅁㄴㅍ" localSheetId="24" hidden="1">{"BuildIn 2 Funding Assump",#N/A,FALSE,"Building Inputs";"BuildIn Capex plus Extras",#N/A,FALSE,"Building Inputs"}</definedName>
    <definedName name="ㅍㅊㅌㅁㄴㅍ" localSheetId="18" hidden="1">{"BuildIn 2 Funding Assump",#N/A,FALSE,"Building Inputs";"BuildIn Capex plus Extras",#N/A,FALSE,"Building Inputs"}</definedName>
    <definedName name="ㅍㅊㅌㅁㄴㅍ" localSheetId="25" hidden="1">{"BuildIn 2 Funding Assump",#N/A,FALSE,"Building Inputs";"BuildIn Capex plus Extras",#N/A,FALSE,"Building Inputs"}</definedName>
    <definedName name="ㅍㅊㅌㅁㄴㅍ" hidden="1">{"BuildIn 2 Funding Assump",#N/A,FALSE,"Building Inputs";"BuildIn Capex plus Extras",#N/A,FALSE,"Building Inputs"}</definedName>
    <definedName name="ㅍㅊㅌㅁㄹㅇ" localSheetId="24" hidden="1">{#N/A,#N/A,FALSE,"동부"}</definedName>
    <definedName name="ㅍㅊㅌㅁㄹㅇ" localSheetId="18" hidden="1">{#N/A,#N/A,FALSE,"동부"}</definedName>
    <definedName name="ㅍㅊㅌㅁㄹㅇ" localSheetId="25" hidden="1">{#N/A,#N/A,FALSE,"동부"}</definedName>
    <definedName name="ㅍㅊㅌㅁㄹㅇ" hidden="1">{#N/A,#N/A,FALSE,"동부"}</definedName>
    <definedName name="ㅍ츛" localSheetId="24" hidden="1">{#N/A,#N/A,FALSE,"동부"}</definedName>
    <definedName name="ㅍ츛" localSheetId="18" hidden="1">{#N/A,#N/A,FALSE,"동부"}</definedName>
    <definedName name="ㅍ츛" localSheetId="25" hidden="1">{#N/A,#N/A,FALSE,"동부"}</definedName>
    <definedName name="ㅍ츛" hidden="1">{#N/A,#N/A,FALSE,"동부"}</definedName>
    <definedName name="파" localSheetId="24" hidden="1">{#N/A,#N/A,FALSE,"1.CRITERIA";#N/A,#N/A,FALSE,"2.IS";#N/A,#N/A,FALSE,"3.BS";#N/A,#N/A,FALSE,"4.PER PL";#N/A,#N/A,FALSE,"5.INVESTMENT";#N/A,#N/A,FALSE,"6.공문";#N/A,#N/A,FALSE,"7.netinvest"}</definedName>
    <definedName name="파" localSheetId="18" hidden="1">{#N/A,#N/A,FALSE,"1.CRITERIA";#N/A,#N/A,FALSE,"2.IS";#N/A,#N/A,FALSE,"3.BS";#N/A,#N/A,FALSE,"4.PER PL";#N/A,#N/A,FALSE,"5.INVESTMENT";#N/A,#N/A,FALSE,"6.공문";#N/A,#N/A,FALSE,"7.netinvest"}</definedName>
    <definedName name="파" localSheetId="25" hidden="1">{#N/A,#N/A,FALSE,"1.CRITERIA";#N/A,#N/A,FALSE,"2.IS";#N/A,#N/A,FALSE,"3.BS";#N/A,#N/A,FALSE,"4.PER PL";#N/A,#N/A,FALSE,"5.INVESTMENT";#N/A,#N/A,FALSE,"6.공문";#N/A,#N/A,FALSE,"7.netinvest"}</definedName>
    <definedName name="파" hidden="1">{#N/A,#N/A,FALSE,"1.CRITERIA";#N/A,#N/A,FALSE,"2.IS";#N/A,#N/A,FALSE,"3.BS";#N/A,#N/A,FALSE,"4.PER PL";#N/A,#N/A,FALSE,"5.INVESTMENT";#N/A,#N/A,FALSE,"6.공문";#N/A,#N/A,FALSE,"7.netinvest"}</definedName>
    <definedName name="파아라" localSheetId="24" hidden="1">{#N/A,#N/A,FALSE,"1.CRITERIA";#N/A,#N/A,FALSE,"2.IS";#N/A,#N/A,FALSE,"3.BS";#N/A,#N/A,FALSE,"4.PER PL";#N/A,#N/A,FALSE,"5.INVESTMENT";#N/A,#N/A,FALSE,"6.공문";#N/A,#N/A,FALSE,"7.netinvest"}</definedName>
    <definedName name="파아라" localSheetId="18" hidden="1">{#N/A,#N/A,FALSE,"1.CRITERIA";#N/A,#N/A,FALSE,"2.IS";#N/A,#N/A,FALSE,"3.BS";#N/A,#N/A,FALSE,"4.PER PL";#N/A,#N/A,FALSE,"5.INVESTMENT";#N/A,#N/A,FALSE,"6.공문";#N/A,#N/A,FALSE,"7.netinvest"}</definedName>
    <definedName name="파아라" localSheetId="25" hidden="1">{#N/A,#N/A,FALSE,"1.CRITERIA";#N/A,#N/A,FALSE,"2.IS";#N/A,#N/A,FALSE,"3.BS";#N/A,#N/A,FALSE,"4.PER PL";#N/A,#N/A,FALSE,"5.INVESTMENT";#N/A,#N/A,FALSE,"6.공문";#N/A,#N/A,FALSE,"7.netinvest"}</definedName>
    <definedName name="파아라" hidden="1">{#N/A,#N/A,FALSE,"1.CRITERIA";#N/A,#N/A,FALSE,"2.IS";#N/A,#N/A,FALSE,"3.BS";#N/A,#N/A,FALSE,"4.PER PL";#N/A,#N/A,FALSE,"5.INVESTMENT";#N/A,#N/A,FALSE,"6.공문";#N/A,#N/A,FALSE,"7.netinvest"}</definedName>
    <definedName name="파하" localSheetId="24" hidden="1">{#N/A,#N/A,FALSE,"1.CRITERIA";#N/A,#N/A,FALSE,"2.IS";#N/A,#N/A,FALSE,"3.BS";#N/A,#N/A,FALSE,"4.PER PL";#N/A,#N/A,FALSE,"5.INVESTMENT";#N/A,#N/A,FALSE,"6.공문";#N/A,#N/A,FALSE,"7.netinvest"}</definedName>
    <definedName name="파하" localSheetId="18" hidden="1">{#N/A,#N/A,FALSE,"1.CRITERIA";#N/A,#N/A,FALSE,"2.IS";#N/A,#N/A,FALSE,"3.BS";#N/A,#N/A,FALSE,"4.PER PL";#N/A,#N/A,FALSE,"5.INVESTMENT";#N/A,#N/A,FALSE,"6.공문";#N/A,#N/A,FALSE,"7.netinvest"}</definedName>
    <definedName name="파하" localSheetId="25" hidden="1">{#N/A,#N/A,FALSE,"1.CRITERIA";#N/A,#N/A,FALSE,"2.IS";#N/A,#N/A,FALSE,"3.BS";#N/A,#N/A,FALSE,"4.PER PL";#N/A,#N/A,FALSE,"5.INVESTMENT";#N/A,#N/A,FALSE,"6.공문";#N/A,#N/A,FALSE,"7.netinvest"}</definedName>
    <definedName name="파하" hidden="1">{#N/A,#N/A,FALSE,"1.CRITERIA";#N/A,#N/A,FALSE,"2.IS";#N/A,#N/A,FALSE,"3.BS";#N/A,#N/A,FALSE,"4.PER PL";#N/A,#N/A,FALSE,"5.INVESTMENT";#N/A,#N/A,FALSE,"6.공문";#N/A,#N/A,FALSE,"7.netinvest"}</definedName>
    <definedName name="팔레"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팔레"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팔레" localSheetId="25" hidden="1">{#N/A,#N/A,FALSE,"손익표지";#N/A,#N/A,FALSE,"손익계산";#N/A,#N/A,FALSE,"일반관리비";#N/A,#N/A,FALSE,"영업외수익";#N/A,#N/A,FALSE,"영업외비용";#N/A,#N/A,FALSE,"매출액";#N/A,#N/A,FALSE,"요약손익";#N/A,#N/A,FALSE,"요약대차";#N/A,#N/A,FALSE,"매출채권현황";#N/A,#N/A,FALSE,"매출채권명세"}</definedName>
    <definedName name="팔레" hidden="1">{#N/A,#N/A,FALSE,"손익표지";#N/A,#N/A,FALSE,"손익계산";#N/A,#N/A,FALSE,"일반관리비";#N/A,#N/A,FALSE,"영업외수익";#N/A,#N/A,FALSE,"영업외비용";#N/A,#N/A,FALSE,"매출액";#N/A,#N/A,FALSE,"요약손익";#N/A,#N/A,FALSE,"요약대차";#N/A,#N/A,FALSE,"매출채권현황";#N/A,#N/A,FALSE,"매출채권명세"}</definedName>
    <definedName name="퍄" localSheetId="24" hidden="1">{#N/A,#N/A,FALSE,"1.CRITERIA";#N/A,#N/A,FALSE,"2.IS";#N/A,#N/A,FALSE,"3.BS";#N/A,#N/A,FALSE,"4.PER PL";#N/A,#N/A,FALSE,"5.INVESTMENT";#N/A,#N/A,FALSE,"6.공문";#N/A,#N/A,FALSE,"7.netinvest"}</definedName>
    <definedName name="퍄" localSheetId="18" hidden="1">{#N/A,#N/A,FALSE,"1.CRITERIA";#N/A,#N/A,FALSE,"2.IS";#N/A,#N/A,FALSE,"3.BS";#N/A,#N/A,FALSE,"4.PER PL";#N/A,#N/A,FALSE,"5.INVESTMENT";#N/A,#N/A,FALSE,"6.공문";#N/A,#N/A,FALSE,"7.netinvest"}</definedName>
    <definedName name="퍄" localSheetId="25" hidden="1">{#N/A,#N/A,FALSE,"1.CRITERIA";#N/A,#N/A,FALSE,"2.IS";#N/A,#N/A,FALSE,"3.BS";#N/A,#N/A,FALSE,"4.PER PL";#N/A,#N/A,FALSE,"5.INVESTMENT";#N/A,#N/A,FALSE,"6.공문";#N/A,#N/A,FALSE,"7.netinvest"}</definedName>
    <definedName name="퍄" hidden="1">{#N/A,#N/A,FALSE,"1.CRITERIA";#N/A,#N/A,FALSE,"2.IS";#N/A,#N/A,FALSE,"3.BS";#N/A,#N/A,FALSE,"4.PER PL";#N/A,#N/A,FALSE,"5.INVESTMENT";#N/A,#N/A,FALSE,"6.공문";#N/A,#N/A,FALSE,"7.netinvest"}</definedName>
    <definedName name="페" localSheetId="24" hidden="1">{#N/A,#N/A,FALSE,"1.CRITERIA";#N/A,#N/A,FALSE,"2.IS";#N/A,#N/A,FALSE,"3.BS";#N/A,#N/A,FALSE,"4.PER PL";#N/A,#N/A,FALSE,"5.INVESTMENT";#N/A,#N/A,FALSE,"6.공문";#N/A,#N/A,FALSE,"7.netinvest"}</definedName>
    <definedName name="페" localSheetId="18" hidden="1">{#N/A,#N/A,FALSE,"1.CRITERIA";#N/A,#N/A,FALSE,"2.IS";#N/A,#N/A,FALSE,"3.BS";#N/A,#N/A,FALSE,"4.PER PL";#N/A,#N/A,FALSE,"5.INVESTMENT";#N/A,#N/A,FALSE,"6.공문";#N/A,#N/A,FALSE,"7.netinvest"}</definedName>
    <definedName name="페" localSheetId="25" hidden="1">{#N/A,#N/A,FALSE,"1.CRITERIA";#N/A,#N/A,FALSE,"2.IS";#N/A,#N/A,FALSE,"3.BS";#N/A,#N/A,FALSE,"4.PER PL";#N/A,#N/A,FALSE,"5.INVESTMENT";#N/A,#N/A,FALSE,"6.공문";#N/A,#N/A,FALSE,"7.netinvest"}</definedName>
    <definedName name="페" hidden="1">{#N/A,#N/A,FALSE,"1.CRITERIA";#N/A,#N/A,FALSE,"2.IS";#N/A,#N/A,FALSE,"3.BS";#N/A,#N/A,FALSE,"4.PER PL";#N/A,#N/A,FALSE,"5.INVESTMENT";#N/A,#N/A,FALSE,"6.공문";#N/A,#N/A,FALSE,"7.netinvest"}</definedName>
    <definedName name="페이지" localSheetId="24" hidden="1">{"'Firr(선)'!$AS$1:$AY$62","'Firr(사)'!$AS$1:$AY$62","'Firr(회)'!$AS$1:$AY$62","'Firr(선)'!$L$1:$V$62","'Firr(사)'!$L$1:$V$62","'Firr(회)'!$L$1:$V$62"}</definedName>
    <definedName name="페이지" localSheetId="18" hidden="1">{"'Firr(선)'!$AS$1:$AY$62","'Firr(사)'!$AS$1:$AY$62","'Firr(회)'!$AS$1:$AY$62","'Firr(선)'!$L$1:$V$62","'Firr(사)'!$L$1:$V$62","'Firr(회)'!$L$1:$V$62"}</definedName>
    <definedName name="페이지" localSheetId="25" hidden="1">{"'Firr(선)'!$AS$1:$AY$62","'Firr(사)'!$AS$1:$AY$62","'Firr(회)'!$AS$1:$AY$62","'Firr(선)'!$L$1:$V$62","'Firr(사)'!$L$1:$V$62","'Firr(회)'!$L$1:$V$62"}</definedName>
    <definedName name="페이지" hidden="1">{"'Firr(선)'!$AS$1:$AY$62","'Firr(사)'!$AS$1:$AY$62","'Firr(회)'!$AS$1:$AY$62","'Firr(선)'!$L$1:$V$62","'Firr(사)'!$L$1:$V$62","'Firr(회)'!$L$1:$V$62"}</definedName>
    <definedName name="펴" localSheetId="24" hidden="1">{#N/A,#N/A,FALSE,"1.CRITERIA";#N/A,#N/A,FALSE,"2.IS";#N/A,#N/A,FALSE,"3.BS";#N/A,#N/A,FALSE,"4.PER PL";#N/A,#N/A,FALSE,"5.INVESTMENT";#N/A,#N/A,FALSE,"6.공문";#N/A,#N/A,FALSE,"7.netinvest"}</definedName>
    <definedName name="펴" localSheetId="18" hidden="1">{#N/A,#N/A,FALSE,"1.CRITERIA";#N/A,#N/A,FALSE,"2.IS";#N/A,#N/A,FALSE,"3.BS";#N/A,#N/A,FALSE,"4.PER PL";#N/A,#N/A,FALSE,"5.INVESTMENT";#N/A,#N/A,FALSE,"6.공문";#N/A,#N/A,FALSE,"7.netinvest"}</definedName>
    <definedName name="펴" localSheetId="25" hidden="1">{#N/A,#N/A,FALSE,"1.CRITERIA";#N/A,#N/A,FALSE,"2.IS";#N/A,#N/A,FALSE,"3.BS";#N/A,#N/A,FALSE,"4.PER PL";#N/A,#N/A,FALSE,"5.INVESTMENT";#N/A,#N/A,FALSE,"6.공문";#N/A,#N/A,FALSE,"7.netinvest"}</definedName>
    <definedName name="펴" hidden="1">{#N/A,#N/A,FALSE,"1.CRITERIA";#N/A,#N/A,FALSE,"2.IS";#N/A,#N/A,FALSE,"3.BS";#N/A,#N/A,FALSE,"4.PER PL";#N/A,#N/A,FALSE,"5.INVESTMENT";#N/A,#N/A,FALSE,"6.공문";#N/A,#N/A,FALSE,"7.netinvest"}</definedName>
    <definedName name="평">0.3025</definedName>
    <definedName name="포" localSheetId="24" hidden="1">{#N/A,#N/A,FALSE,"1.CRITERIA";#N/A,#N/A,FALSE,"2.IS";#N/A,#N/A,FALSE,"3.BS";#N/A,#N/A,FALSE,"4.PER PL";#N/A,#N/A,FALSE,"5.INVESTMENT";#N/A,#N/A,FALSE,"6.공문";#N/A,#N/A,FALSE,"7.netinvest"}</definedName>
    <definedName name="포" localSheetId="18" hidden="1">{#N/A,#N/A,FALSE,"1.CRITERIA";#N/A,#N/A,FALSE,"2.IS";#N/A,#N/A,FALSE,"3.BS";#N/A,#N/A,FALSE,"4.PER PL";#N/A,#N/A,FALSE,"5.INVESTMENT";#N/A,#N/A,FALSE,"6.공문";#N/A,#N/A,FALSE,"7.netinvest"}</definedName>
    <definedName name="포" localSheetId="25" hidden="1">{#N/A,#N/A,FALSE,"1.CRITERIA";#N/A,#N/A,FALSE,"2.IS";#N/A,#N/A,FALSE,"3.BS";#N/A,#N/A,FALSE,"4.PER PL";#N/A,#N/A,FALSE,"5.INVESTMENT";#N/A,#N/A,FALSE,"6.공문";#N/A,#N/A,FALSE,"7.netinvest"}</definedName>
    <definedName name="포" hidden="1">{#N/A,#N/A,FALSE,"1.CRITERIA";#N/A,#N/A,FALSE,"2.IS";#N/A,#N/A,FALSE,"3.BS";#N/A,#N/A,FALSE,"4.PER PL";#N/A,#N/A,FALSE,"5.INVESTMENT";#N/A,#N/A,FALSE,"6.공문";#N/A,#N/A,FALSE,"7.netinvest"}</definedName>
    <definedName name="포공화학" localSheetId="24" hidden="1">{#N/A,#N/A,FALSE,"범우구미";#N/A,#N/A,FALSE,"세한케미칼";#N/A,#N/A,FALSE,"세명화학";#N/A,#N/A,FALSE,"신영케미칼";#N/A,#N/A,FALSE,"일석상사"}</definedName>
    <definedName name="포공화학" localSheetId="18" hidden="1">{#N/A,#N/A,FALSE,"범우구미";#N/A,#N/A,FALSE,"세한케미칼";#N/A,#N/A,FALSE,"세명화학";#N/A,#N/A,FALSE,"신영케미칼";#N/A,#N/A,FALSE,"일석상사"}</definedName>
    <definedName name="포공화학" localSheetId="25" hidden="1">{#N/A,#N/A,FALSE,"범우구미";#N/A,#N/A,FALSE,"세한케미칼";#N/A,#N/A,FALSE,"세명화학";#N/A,#N/A,FALSE,"신영케미칼";#N/A,#N/A,FALSE,"일석상사"}</definedName>
    <definedName name="포공화학" hidden="1">{#N/A,#N/A,FALSE,"범우구미";#N/A,#N/A,FALSE,"세한케미칼";#N/A,#N/A,FALSE,"세명화학";#N/A,#N/A,FALSE,"신영케미칼";#N/A,#N/A,FALSE,"일석상사"}</definedName>
    <definedName name="포바" localSheetId="24" hidden="1">{#N/A,#N/A,TRUE,"대 차 대 조 표"}</definedName>
    <definedName name="포바" localSheetId="18" hidden="1">{#N/A,#N/A,TRUE,"대 차 대 조 표"}</definedName>
    <definedName name="포바" localSheetId="25" hidden="1">{#N/A,#N/A,TRUE,"대 차 대 조 표"}</definedName>
    <definedName name="포바" hidden="1">{#N/A,#N/A,TRUE,"대 차 대 조 표"}</definedName>
    <definedName name="포스코" localSheetId="24" hidden="1">{#N/A,#N/A,TRUE,"대 차 대 조 표"}</definedName>
    <definedName name="포스코" localSheetId="18" hidden="1">{#N/A,#N/A,TRUE,"대 차 대 조 표"}</definedName>
    <definedName name="포스코" localSheetId="25" hidden="1">{#N/A,#N/A,TRUE,"대 차 대 조 표"}</definedName>
    <definedName name="포스코" hidden="1">{#N/A,#N/A,TRUE,"대 차 대 조 표"}</definedName>
    <definedName name="포스코_1" localSheetId="24" hidden="1">{#N/A,#N/A,TRUE,"대 차 대 조 표"}</definedName>
    <definedName name="포스코_1" localSheetId="18" hidden="1">{#N/A,#N/A,TRUE,"대 차 대 조 표"}</definedName>
    <definedName name="포스코_1" localSheetId="25" hidden="1">{#N/A,#N/A,TRUE,"대 차 대 조 표"}</definedName>
    <definedName name="포스코_1" hidden="1">{#N/A,#N/A,TRUE,"대 차 대 조 표"}</definedName>
    <definedName name="포장2월ocf" localSheetId="24" hidden="1">{#N/A,#N/A,FALSE,"지침";#N/A,#N/A,FALSE,"환경분석";#N/A,#N/A,FALSE,"Sheet16"}</definedName>
    <definedName name="포장2월ocf" localSheetId="18" hidden="1">{#N/A,#N/A,FALSE,"지침";#N/A,#N/A,FALSE,"환경분석";#N/A,#N/A,FALSE,"Sheet16"}</definedName>
    <definedName name="포장2월ocf" localSheetId="25" hidden="1">{#N/A,#N/A,FALSE,"지침";#N/A,#N/A,FALSE,"환경분석";#N/A,#N/A,FALSE,"Sheet16"}</definedName>
    <definedName name="포장2월ocf" hidden="1">{#N/A,#N/A,FALSE,"지침";#N/A,#N/A,FALSE,"환경분석";#N/A,#N/A,FALSE,"Sheet16"}</definedName>
    <definedName name="포장ocf" localSheetId="24" hidden="1">{#N/A,#N/A,FALSE,"지침";#N/A,#N/A,FALSE,"환경분석";#N/A,#N/A,FALSE,"Sheet16"}</definedName>
    <definedName name="포장ocf" localSheetId="18" hidden="1">{#N/A,#N/A,FALSE,"지침";#N/A,#N/A,FALSE,"환경분석";#N/A,#N/A,FALSE,"Sheet16"}</definedName>
    <definedName name="포장ocf" localSheetId="25" hidden="1">{#N/A,#N/A,FALSE,"지침";#N/A,#N/A,FALSE,"환경분석";#N/A,#N/A,FALSE,"Sheet16"}</definedName>
    <definedName name="포장ocf" hidden="1">{#N/A,#N/A,FALSE,"지침";#N/A,#N/A,FALSE,"환경분석";#N/A,#N/A,FALSE,"Sheet16"}</definedName>
    <definedName name="표"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표"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표"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표"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표준화실적99" localSheetId="24" hidden="1">{#N/A,#N/A,FALSE,"단축1";#N/A,#N/A,FALSE,"단축2";#N/A,#N/A,FALSE,"단축3";#N/A,#N/A,FALSE,"장축";#N/A,#N/A,FALSE,"4WD"}</definedName>
    <definedName name="표준화실적99" localSheetId="18" hidden="1">{#N/A,#N/A,FALSE,"단축1";#N/A,#N/A,FALSE,"단축2";#N/A,#N/A,FALSE,"단축3";#N/A,#N/A,FALSE,"장축";#N/A,#N/A,FALSE,"4WD"}</definedName>
    <definedName name="표준화실적99" localSheetId="25" hidden="1">{#N/A,#N/A,FALSE,"단축1";#N/A,#N/A,FALSE,"단축2";#N/A,#N/A,FALSE,"단축3";#N/A,#N/A,FALSE,"장축";#N/A,#N/A,FALSE,"4WD"}</definedName>
    <definedName name="표준화실적99" hidden="1">{#N/A,#N/A,FALSE,"단축1";#N/A,#N/A,FALSE,"단축2";#N/A,#N/A,FALSE,"단축3";#N/A,#N/A,FALSE,"장축";#N/A,#N/A,FALSE,"4WD"}</definedName>
    <definedName name="표지" localSheetId="24" hidden="1">{#N/A,#N/A,FALSE,"동부"}</definedName>
    <definedName name="표지" localSheetId="18" hidden="1">{#N/A,#N/A,FALSE,"동부"}</definedName>
    <definedName name="표지" localSheetId="25" hidden="1">{#N/A,#N/A,FALSE,"동부"}</definedName>
    <definedName name="표지" hidden="1">{#N/A,#N/A,FALSE,"동부"}</definedName>
    <definedName name="표지_1" localSheetId="24" hidden="1">{#N/A,#N/A,FALSE,"동부"}</definedName>
    <definedName name="표지_1" localSheetId="18" hidden="1">{#N/A,#N/A,FALSE,"동부"}</definedName>
    <definedName name="표지_1" localSheetId="25" hidden="1">{#N/A,#N/A,FALSE,"동부"}</definedName>
    <definedName name="표지_1" hidden="1">{#N/A,#N/A,FALSE,"동부"}</definedName>
    <definedName name="표지3" localSheetId="24" hidden="1">{"'PROFORMA'!$A$1:$H$120"}</definedName>
    <definedName name="표지3" localSheetId="18" hidden="1">{"'PROFORMA'!$A$1:$H$120"}</definedName>
    <definedName name="표지3" localSheetId="25" hidden="1">{"'PROFORMA'!$A$1:$H$120"}</definedName>
    <definedName name="표지3" hidden="1">{"'PROFORMA'!$A$1:$H$120"}</definedName>
    <definedName name="풀" localSheetId="24" hidden="1">{#N/A,#N/A,FALSE,"동부"}</definedName>
    <definedName name="풀" localSheetId="18" hidden="1">{#N/A,#N/A,FALSE,"동부"}</definedName>
    <definedName name="풀" localSheetId="25" hidden="1">{#N/A,#N/A,FALSE,"동부"}</definedName>
    <definedName name="풀" hidden="1">{#N/A,#N/A,FALSE,"동부"}</definedName>
    <definedName name="품의" localSheetId="24" hidden="1">{#N/A,#N/A,FALSE,"Sheet6"}</definedName>
    <definedName name="품의" localSheetId="18" hidden="1">{#N/A,#N/A,FALSE,"Sheet6"}</definedName>
    <definedName name="품의" localSheetId="25" hidden="1">{#N/A,#N/A,FALSE,"Sheet6"}</definedName>
    <definedName name="품의" hidden="1">{#N/A,#N/A,FALSE,"Sheet6"}</definedName>
    <definedName name="품의3" localSheetId="24" hidden="1">{"'7'!$B$15:$D$32"}</definedName>
    <definedName name="품의3" localSheetId="18" hidden="1">{"'7'!$B$15:$D$32"}</definedName>
    <definedName name="품의3" localSheetId="25" hidden="1">{"'7'!$B$15:$D$32"}</definedName>
    <definedName name="품의3" hidden="1">{"'7'!$B$15:$D$32"}</definedName>
    <definedName name="품의서" localSheetId="24" hidden="1">{"'7'!$B$15:$D$32"}</definedName>
    <definedName name="품의서" localSheetId="18" hidden="1">{"'7'!$B$15:$D$32"}</definedName>
    <definedName name="품의서" localSheetId="25" hidden="1">{"'7'!$B$15:$D$32"}</definedName>
    <definedName name="품의서" hidden="1">{"'7'!$B$15:$D$32"}</definedName>
    <definedName name="플" localSheetId="24" hidden="1">{#N/A,#N/A,FALSE,"동부"}</definedName>
    <definedName name="플" localSheetId="18" hidden="1">{#N/A,#N/A,FALSE,"동부"}</definedName>
    <definedName name="플" localSheetId="25" hidden="1">{#N/A,#N/A,FALSE,"동부"}</definedName>
    <definedName name="플" hidden="1">{#N/A,#N/A,FALSE,"동부"}</definedName>
    <definedName name="피" localSheetId="24" hidden="1">{#N/A,#N/A,FALSE,"견적갑지";#N/A,#N/A,FALSE,"총괄표";#N/A,#N/A,FALSE,"철골공사";#N/A,#N/A,FALSE,"토목공사";#N/A,#N/A,FALSE,"판넬전기공사"}</definedName>
    <definedName name="피" localSheetId="18" hidden="1">{#N/A,#N/A,FALSE,"견적갑지";#N/A,#N/A,FALSE,"총괄표";#N/A,#N/A,FALSE,"철골공사";#N/A,#N/A,FALSE,"토목공사";#N/A,#N/A,FALSE,"판넬전기공사"}</definedName>
    <definedName name="피" localSheetId="25" hidden="1">{#N/A,#N/A,FALSE,"견적갑지";#N/A,#N/A,FALSE,"총괄표";#N/A,#N/A,FALSE,"철골공사";#N/A,#N/A,FALSE,"토목공사";#N/A,#N/A,FALSE,"판넬전기공사"}</definedName>
    <definedName name="피" hidden="1">{#N/A,#N/A,FALSE,"견적갑지";#N/A,#N/A,FALSE,"총괄표";#N/A,#N/A,FALSE,"철골공사";#N/A,#N/A,FALSE,"토목공사";#N/A,#N/A,FALSE,"판넬전기공사"}</definedName>
    <definedName name="ㅎ" localSheetId="24">BlankMacro1</definedName>
    <definedName name="ㅎ" localSheetId="18">BlankMacro1</definedName>
    <definedName name="ㅎ" localSheetId="25">BlankMacro1</definedName>
    <definedName name="ㅎ" localSheetId="16">BlankMacro1</definedName>
    <definedName name="ㅎ">BlankMacro1</definedName>
    <definedName name="ㅎㄱ" localSheetId="24" hidden="1">{"'용역비'!$A$4:$C$8"}</definedName>
    <definedName name="ㅎㄱ" localSheetId="18" hidden="1">{"'용역비'!$A$4:$C$8"}</definedName>
    <definedName name="ㅎㄱ" localSheetId="25" hidden="1">{"'용역비'!$A$4:$C$8"}</definedName>
    <definedName name="ㅎㄱ" hidden="1">{"'용역비'!$A$4:$C$8"}</definedName>
    <definedName name="ㅎㄱㅎ" localSheetId="24" hidden="1">{"'용역비'!$A$4:$C$8"}</definedName>
    <definedName name="ㅎㄱㅎ" localSheetId="18" hidden="1">{"'용역비'!$A$4:$C$8"}</definedName>
    <definedName name="ㅎㄱㅎ" localSheetId="25" hidden="1">{"'용역비'!$A$4:$C$8"}</definedName>
    <definedName name="ㅎㄱㅎ" hidden="1">{"'용역비'!$A$4:$C$8"}</definedName>
    <definedName name="ㅎㄱㅎㄱㅎㄱㅎ" localSheetId="24" hidden="1">{"'용역비'!$A$4:$C$8"}</definedName>
    <definedName name="ㅎㄱㅎㄱㅎㄱㅎ" localSheetId="18" hidden="1">{"'용역비'!$A$4:$C$8"}</definedName>
    <definedName name="ㅎㄱㅎㄱㅎㄱㅎ" localSheetId="25" hidden="1">{"'용역비'!$A$4:$C$8"}</definedName>
    <definedName name="ㅎㄱㅎㄱㅎㄱㅎ" hidden="1">{"'용역비'!$A$4:$C$8"}</definedName>
    <definedName name="ㅎㄴ" localSheetId="24" hidden="1">{#N/A,#N/A,FALSE,"동부"}</definedName>
    <definedName name="ㅎㄴ" localSheetId="18" hidden="1">{#N/A,#N/A,FALSE,"동부"}</definedName>
    <definedName name="ㅎㄴ" localSheetId="25" hidden="1">{#N/A,#N/A,FALSE,"동부"}</definedName>
    <definedName name="ㅎㄴ" hidden="1">{#N/A,#N/A,FALSE,"동부"}</definedName>
    <definedName name="ㅎㄴㅁㄹㅇ" localSheetId="24" hidden="1">{#N/A,#N/A,FALSE,"동부"}</definedName>
    <definedName name="ㅎㄴㅁㄹㅇ" localSheetId="18" hidden="1">{#N/A,#N/A,FALSE,"동부"}</definedName>
    <definedName name="ㅎㄴㅁㄹㅇ" localSheetId="25" hidden="1">{#N/A,#N/A,FALSE,"동부"}</definedName>
    <definedName name="ㅎㄴㅁㄹㅇ" hidden="1">{#N/A,#N/A,FALSE,"동부"}</definedName>
    <definedName name="ㅎㄴㅁㄹㅇㄴ" localSheetId="24" hidden="1">{"AJD",#N/A,TRUE,"Summary";"AJD",#N/A,TRUE,"CFCONC-outputs";"AJD",#N/A,TRUE,"P&amp;LCONC-outputs";"AJD",#N/A,TRUE,"BSCONC-outputs";"AJD",#N/A,TRUE,"FSCONC-outputs"}</definedName>
    <definedName name="ㅎㄴㅁㄹㅇㄴ" localSheetId="18" hidden="1">{"AJD",#N/A,TRUE,"Summary";"AJD",#N/A,TRUE,"CFCONC-outputs";"AJD",#N/A,TRUE,"P&amp;LCONC-outputs";"AJD",#N/A,TRUE,"BSCONC-outputs";"AJD",#N/A,TRUE,"FSCONC-outputs"}</definedName>
    <definedName name="ㅎㄴㅁㄹㅇㄴ" localSheetId="25" hidden="1">{"AJD",#N/A,TRUE,"Summary";"AJD",#N/A,TRUE,"CFCONC-outputs";"AJD",#N/A,TRUE,"P&amp;LCONC-outputs";"AJD",#N/A,TRUE,"BSCONC-outputs";"AJD",#N/A,TRUE,"FSCONC-outputs"}</definedName>
    <definedName name="ㅎㄴㅁㄹㅇㄴ" hidden="1">{"AJD",#N/A,TRUE,"Summary";"AJD",#N/A,TRUE,"CFCONC-outputs";"AJD",#N/A,TRUE,"P&amp;LCONC-outputs";"AJD",#N/A,TRUE,"BSCONC-outputs";"AJD",#N/A,TRUE,"FSCONC-outputs"}</definedName>
    <definedName name="ㅎㄶㄹㅇㄶ" localSheetId="24" hidden="1">{#N/A,#N/A,FALSE,"동부"}</definedName>
    <definedName name="ㅎㄶㄹㅇㄶ" localSheetId="18" hidden="1">{#N/A,#N/A,FALSE,"동부"}</definedName>
    <definedName name="ㅎㄶㄹㅇㄶ" localSheetId="25" hidden="1">{#N/A,#N/A,FALSE,"동부"}</definedName>
    <definedName name="ㅎㄶㄹㅇㄶ" hidden="1">{#N/A,#N/A,FALSE,"동부"}</definedName>
    <definedName name="ㅎㄹㄴ" localSheetId="24" hidden="1">{#N/A,#N/A,FALSE,"97년 투자계획 세부내역 "}</definedName>
    <definedName name="ㅎㄹㄴ" localSheetId="18" hidden="1">{#N/A,#N/A,FALSE,"97년 투자계획 세부내역 "}</definedName>
    <definedName name="ㅎㄹㄴ" localSheetId="25" hidden="1">{#N/A,#N/A,FALSE,"97년 투자계획 세부내역 "}</definedName>
    <definedName name="ㅎㄹㄴ" hidden="1">{#N/A,#N/A,FALSE,"97년 투자계획 세부내역 "}</definedName>
    <definedName name="ㅎㄹㅇㄴㄹ" localSheetId="24" hidden="1">{#N/A,#N/A,TRUE,"대 차 대 조 표"}</definedName>
    <definedName name="ㅎㄹㅇㄴㄹ" localSheetId="18" hidden="1">{#N/A,#N/A,TRUE,"대 차 대 조 표"}</definedName>
    <definedName name="ㅎㄹㅇㄴㄹ" localSheetId="25" hidden="1">{#N/A,#N/A,TRUE,"대 차 대 조 표"}</definedName>
    <definedName name="ㅎㄹㅇㄴㄹ" hidden="1">{#N/A,#N/A,TRUE,"대 차 대 조 표"}</definedName>
    <definedName name="ㅎㄹㅇㄴㅁㄹ" localSheetId="24" hidden="1">{#N/A,#N/A,FALSE,"동부"}</definedName>
    <definedName name="ㅎㄹㅇㄴㅁㄹ" localSheetId="18" hidden="1">{#N/A,#N/A,FALSE,"동부"}</definedName>
    <definedName name="ㅎㄹㅇㄴㅁㄹ" localSheetId="25" hidden="1">{#N/A,#N/A,FALSE,"동부"}</definedName>
    <definedName name="ㅎㄹㅇㄴㅁㄹ" hidden="1">{#N/A,#N/A,FALSE,"동부"}</definedName>
    <definedName name="ㅎㄹㅇㄴㅁㄹㅇ" localSheetId="24" hidden="1">{#N/A,#N/A,FALSE,"동부"}</definedName>
    <definedName name="ㅎㄹㅇㄴㅁㄹㅇ" localSheetId="18" hidden="1">{#N/A,#N/A,FALSE,"동부"}</definedName>
    <definedName name="ㅎㄹㅇㄴㅁㄹㅇ" localSheetId="25" hidden="1">{#N/A,#N/A,FALSE,"동부"}</definedName>
    <definedName name="ㅎㄹㅇㄴㅁㄹㅇ" hidden="1">{#N/A,#N/A,FALSE,"동부"}</definedName>
    <definedName name="ㅎㄹㅇ농" localSheetId="24" hidden="1">{"BuildIn 2 Funding Assump",#N/A,FALSE,"Building Inputs";"BuildIn Capex plus Extras",#N/A,FALSE,"Building Inputs"}</definedName>
    <definedName name="ㅎㄹㅇ농" localSheetId="18" hidden="1">{"BuildIn 2 Funding Assump",#N/A,FALSE,"Building Inputs";"BuildIn Capex plus Extras",#N/A,FALSE,"Building Inputs"}</definedName>
    <definedName name="ㅎㄹㅇ농" localSheetId="25" hidden="1">{"BuildIn 2 Funding Assump",#N/A,FALSE,"Building Inputs";"BuildIn Capex plus Extras",#N/A,FALSE,"Building Inputs"}</definedName>
    <definedName name="ㅎㄹㅇ농" hidden="1">{"BuildIn 2 Funding Assump",#N/A,FALSE,"Building Inputs";"BuildIn Capex plus Extras",#N/A,FALSE,"Building Inputs"}</definedName>
    <definedName name="ㅎㄹㅇㄶㄹ" localSheetId="24" hidden="1">{#N/A,#N/A,FALSE,"동부"}</definedName>
    <definedName name="ㅎㄹㅇㄶㄹ" localSheetId="18" hidden="1">{#N/A,#N/A,FALSE,"동부"}</definedName>
    <definedName name="ㅎㄹㅇㄶㄹ" localSheetId="25" hidden="1">{#N/A,#N/A,FALSE,"동부"}</definedName>
    <definedName name="ㅎㄹㅇㄶㄹ" hidden="1">{#N/A,#N/A,FALSE,"동부"}</definedName>
    <definedName name="ㅎㄹㅇㄶㄹㅇ" localSheetId="24" hidden="1">{#N/A,#N/A,FALSE,"동부"}</definedName>
    <definedName name="ㅎㄹㅇㄶㄹㅇ" localSheetId="18" hidden="1">{#N/A,#N/A,FALSE,"동부"}</definedName>
    <definedName name="ㅎㄹㅇㄶㄹㅇ" localSheetId="25" hidden="1">{#N/A,#N/A,FALSE,"동부"}</definedName>
    <definedName name="ㅎㄹㅇㄶㄹㅇ" hidden="1">{#N/A,#N/A,FALSE,"동부"}</definedName>
    <definedName name="ㅎㄹㅇㄶㄹㅇㅎ" localSheetId="24" hidden="1">{#N/A,#N/A,FALSE,"동부"}</definedName>
    <definedName name="ㅎㄹㅇㄶㄹㅇㅎ" localSheetId="18" hidden="1">{#N/A,#N/A,FALSE,"동부"}</definedName>
    <definedName name="ㅎㄹㅇㄶㄹㅇㅎ" localSheetId="25" hidden="1">{#N/A,#N/A,FALSE,"동부"}</definedName>
    <definedName name="ㅎㄹㅇㄶㄹㅇㅎ" hidden="1">{#N/A,#N/A,FALSE,"동부"}</definedName>
    <definedName name="ㅎㄹㅇㄶ로" localSheetId="24" hidden="1">{"AJD",#N/A,TRUE,"Summary";"AJD",#N/A,TRUE,"CFCONC-outputs";"AJD",#N/A,TRUE,"P&amp;LCONC-outputs";"AJD",#N/A,TRUE,"BSCONC-outputs";"AJD",#N/A,TRUE,"FSCONC-outputs"}</definedName>
    <definedName name="ㅎㄹㅇㄶ로" localSheetId="18" hidden="1">{"AJD",#N/A,TRUE,"Summary";"AJD",#N/A,TRUE,"CFCONC-outputs";"AJD",#N/A,TRUE,"P&amp;LCONC-outputs";"AJD",#N/A,TRUE,"BSCONC-outputs";"AJD",#N/A,TRUE,"FSCONC-outputs"}</definedName>
    <definedName name="ㅎㄹㅇㄶ로" localSheetId="25" hidden="1">{"AJD",#N/A,TRUE,"Summary";"AJD",#N/A,TRUE,"CFCONC-outputs";"AJD",#N/A,TRUE,"P&amp;LCONC-outputs";"AJD",#N/A,TRUE,"BSCONC-outputs";"AJD",#N/A,TRUE,"FSCONC-outputs"}</definedName>
    <definedName name="ㅎㄹㅇㄶ로" hidden="1">{"AJD",#N/A,TRUE,"Summary";"AJD",#N/A,TRUE,"CFCONC-outputs";"AJD",#N/A,TRUE,"P&amp;LCONC-outputs";"AJD",#N/A,TRUE,"BSCONC-outputs";"AJD",#N/A,TRUE,"FSCONC-outputs"}</definedName>
    <definedName name="ㅎㄹㅇㄹㅇ" localSheetId="24" hidden="1">{#N/A,#N/A,TRUE,"대 차 대 조 표"}</definedName>
    <definedName name="ㅎㄹㅇㄹㅇ" localSheetId="18" hidden="1">{#N/A,#N/A,TRUE,"대 차 대 조 표"}</definedName>
    <definedName name="ㅎㄹㅇㄹㅇ" localSheetId="25" hidden="1">{#N/A,#N/A,TRUE,"대 차 대 조 표"}</definedName>
    <definedName name="ㅎㄹㅇㄹㅇ" hidden="1">{#N/A,#N/A,TRUE,"대 차 대 조 표"}</definedName>
    <definedName name="ㅎㄹㅇㅁ" localSheetId="24" hidden="1">{"AJD",#N/A,TRUE,"Summary";"AJD",#N/A,TRUE,"CFCONC-outputs";"AJD",#N/A,TRUE,"P&amp;LCONC-outputs";"AJD",#N/A,TRUE,"BSCONC-outputs";"AJD",#N/A,TRUE,"FSCONC-outputs"}</definedName>
    <definedName name="ㅎㄹㅇㅁ" localSheetId="18" hidden="1">{"AJD",#N/A,TRUE,"Summary";"AJD",#N/A,TRUE,"CFCONC-outputs";"AJD",#N/A,TRUE,"P&amp;LCONC-outputs";"AJD",#N/A,TRUE,"BSCONC-outputs";"AJD",#N/A,TRUE,"FSCONC-outputs"}</definedName>
    <definedName name="ㅎㄹㅇㅁ" localSheetId="25" hidden="1">{"AJD",#N/A,TRUE,"Summary";"AJD",#N/A,TRUE,"CFCONC-outputs";"AJD",#N/A,TRUE,"P&amp;LCONC-outputs";"AJD",#N/A,TRUE,"BSCONC-outputs";"AJD",#N/A,TRUE,"FSCONC-outputs"}</definedName>
    <definedName name="ㅎㄹㅇㅁ" hidden="1">{"AJD",#N/A,TRUE,"Summary";"AJD",#N/A,TRUE,"CFCONC-outputs";"AJD",#N/A,TRUE,"P&amp;LCONC-outputs";"AJD",#N/A,TRUE,"BSCONC-outputs";"AJD",#N/A,TRUE,"FSCONC-outputs"}</definedName>
    <definedName name="ㅎㄹㅇㅎㄴ" localSheetId="24" hidden="1">{#N/A,#N/A,FALSE,"동부"}</definedName>
    <definedName name="ㅎㄹㅇㅎㄴ" localSheetId="18" hidden="1">{#N/A,#N/A,FALSE,"동부"}</definedName>
    <definedName name="ㅎㄹㅇㅎㄴ" localSheetId="25" hidden="1">{#N/A,#N/A,FALSE,"동부"}</definedName>
    <definedName name="ㅎㄹㅇㅎㄴ" hidden="1">{#N/A,#N/A,FALSE,"동부"}</definedName>
    <definedName name="ㅎㄹㅇㅎㅎ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ㅎㄹㅇㅎㅎ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ㅎㄹㅇㅎㅎ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ㅎㄹㅇㅎㅎㄹ" hidden="1">{#N/A,#N/A,FALSE,"손익표지";#N/A,#N/A,FALSE,"손익계산";#N/A,#N/A,FALSE,"일반관리비";#N/A,#N/A,FALSE,"영업외수익";#N/A,#N/A,FALSE,"영업외비용";#N/A,#N/A,FALSE,"매출액";#N/A,#N/A,FALSE,"요약손익";#N/A,#N/A,FALSE,"요약대차";#N/A,#N/A,FALSE,"매출채권현황";#N/A,#N/A,FALSE,"매출채권명세"}</definedName>
    <definedName name="ㅎㄹ오하ㅓ"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ㄹ오하ㅓ"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ㄹ오하ㅓ"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ㄹ오하ㅓ"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ㄻㅍㅇㅈㄷㅁ" localSheetId="24" hidden="1">{#N/A,#N/A,TRUE,"대 차 대 조 표"}</definedName>
    <definedName name="ㅎㄻㅍㅇㅈㄷㅁ" localSheetId="18" hidden="1">{#N/A,#N/A,TRUE,"대 차 대 조 표"}</definedName>
    <definedName name="ㅎㄻㅍㅇㅈㄷㅁ" localSheetId="25" hidden="1">{#N/A,#N/A,TRUE,"대 차 대 조 표"}</definedName>
    <definedName name="ㅎㄻㅍㅇㅈㄷㅁ" hidden="1">{#N/A,#N/A,TRUE,"대 차 대 조 표"}</definedName>
    <definedName name="ㅎㄿㄱ" localSheetId="24" hidden="1">{#N/A,#N/A,FALSE,"동부"}</definedName>
    <definedName name="ㅎㄿㄱ" localSheetId="18" hidden="1">{#N/A,#N/A,FALSE,"동부"}</definedName>
    <definedName name="ㅎㄿㄱ" localSheetId="25" hidden="1">{#N/A,#N/A,FALSE,"동부"}</definedName>
    <definedName name="ㅎㄿㄱ" hidden="1">{#N/A,#N/A,FALSE,"동부"}</definedName>
    <definedName name="ㅎ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ㅎ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ㅎㅀ"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ㅎㅀ" hidden="1">{#N/A,#N/A,FALSE,"손익표지";#N/A,#N/A,FALSE,"손익계산";#N/A,#N/A,FALSE,"일반관리비";#N/A,#N/A,FALSE,"영업외수익";#N/A,#N/A,FALSE,"영업외비용";#N/A,#N/A,FALSE,"매출액";#N/A,#N/A,FALSE,"요약손익";#N/A,#N/A,FALSE,"요약대차";#N/A,#N/A,FALSE,"매출채권현황";#N/A,#N/A,FALSE,"매출채권명세"}</definedName>
    <definedName name="ㅎㅀㅀㅀㅀㄹ" localSheetId="24" hidden="1">{#N/A,#N/A,FALSE,"CCTV"}</definedName>
    <definedName name="ㅎㅀㅀㅀㅀㄹ" localSheetId="18" hidden="1">{#N/A,#N/A,FALSE,"CCTV"}</definedName>
    <definedName name="ㅎㅀㅀㅀㅀㄹ" localSheetId="25" hidden="1">{#N/A,#N/A,FALSE,"CCTV"}</definedName>
    <definedName name="ㅎㅀㅀㅀㅀㄹ" hidden="1">{#N/A,#N/A,FALSE,"CCTV"}</definedName>
    <definedName name="ㅎㅅㄴ" localSheetId="24" hidden="1">{"OpCostIn Technical",#N/A,FALSE,"Operations Cost Inputs";"OpCostIn V plus F",#N/A,FALSE,"Operations Cost Inputs";"OpCostIn Maint",#N/A,FALSE,"Operations Cost Inputs";"OpCostIn LDs Add Cost",#N/A,FALSE,"Operations Cost Inputs"}</definedName>
    <definedName name="ㅎㅅㄴ" localSheetId="18" hidden="1">{"OpCostIn Technical",#N/A,FALSE,"Operations Cost Inputs";"OpCostIn V plus F",#N/A,FALSE,"Operations Cost Inputs";"OpCostIn Maint",#N/A,FALSE,"Operations Cost Inputs";"OpCostIn LDs Add Cost",#N/A,FALSE,"Operations Cost Inputs"}</definedName>
    <definedName name="ㅎㅅㄴ" localSheetId="25" hidden="1">{"OpCostIn Technical",#N/A,FALSE,"Operations Cost Inputs";"OpCostIn V plus F",#N/A,FALSE,"Operations Cost Inputs";"OpCostIn Maint",#N/A,FALSE,"Operations Cost Inputs";"OpCostIn LDs Add Cost",#N/A,FALSE,"Operations Cost Inputs"}</definedName>
    <definedName name="ㅎㅅㄴ" hidden="1">{"OpCostIn Technical",#N/A,FALSE,"Operations Cost Inputs";"OpCostIn V plus F",#N/A,FALSE,"Operations Cost Inputs";"OpCostIn Maint",#N/A,FALSE,"Operations Cost Inputs";"OpCostIn LDs Add Cost",#N/A,FALSE,"Operations Cost Inputs"}</definedName>
    <definedName name="ㅎㅅㅈㄷㄹ" localSheetId="24" hidden="1">{#N/A,#N/A,TRUE,"대 차 대 조 표"}</definedName>
    <definedName name="ㅎㅅㅈㄷㄹ" localSheetId="18" hidden="1">{#N/A,#N/A,TRUE,"대 차 대 조 표"}</definedName>
    <definedName name="ㅎㅅㅈㄷㄹ" localSheetId="25" hidden="1">{#N/A,#N/A,TRUE,"대 차 대 조 표"}</definedName>
    <definedName name="ㅎㅅㅈㄷㄹ" hidden="1">{#N/A,#N/A,TRUE,"대 차 대 조 표"}</definedName>
    <definedName name="ㅎㅇ" localSheetId="24" hidden="1">{#N/A,#N/A,FALSE,"Aging Summary";#N/A,#N/A,FALSE,"Ratio Analysis";#N/A,#N/A,FALSE,"Test 120 Day Accts";#N/A,#N/A,FALSE,"Tickmarks"}</definedName>
    <definedName name="ㅎㅇ" localSheetId="18" hidden="1">{#N/A,#N/A,FALSE,"Aging Summary";#N/A,#N/A,FALSE,"Ratio Analysis";#N/A,#N/A,FALSE,"Test 120 Day Accts";#N/A,#N/A,FALSE,"Tickmarks"}</definedName>
    <definedName name="ㅎㅇ" localSheetId="25" hidden="1">{#N/A,#N/A,FALSE,"Aging Summary";#N/A,#N/A,FALSE,"Ratio Analysis";#N/A,#N/A,FALSE,"Test 120 Day Accts";#N/A,#N/A,FALSE,"Tickmarks"}</definedName>
    <definedName name="ㅎㅇ" hidden="1">{#N/A,#N/A,FALSE,"Aging Summary";#N/A,#N/A,FALSE,"Ratio Analysis";#N/A,#N/A,FALSE,"Test 120 Day Accts";#N/A,#N/A,FALSE,"Tickmarks"}</definedName>
    <definedName name="ㅎㅇㄴ" localSheetId="24" hidden="1">{#N/A,#N/A,TRUE,"대 차 대 조 표"}</definedName>
    <definedName name="ㅎㅇㄴ" localSheetId="18" hidden="1">{#N/A,#N/A,TRUE,"대 차 대 조 표"}</definedName>
    <definedName name="ㅎㅇㄴ" localSheetId="25" hidden="1">{#N/A,#N/A,TRUE,"대 차 대 조 표"}</definedName>
    <definedName name="ㅎㅇㄴ" hidden="1">{#N/A,#N/A,TRUE,"대 차 대 조 표"}</definedName>
    <definedName name="ㅎㅇㄴㅁ" localSheetId="24" hidden="1">{"AJD",#N/A,TRUE,"Summary";"AJD",#N/A,TRUE,"CFCONC-outputs";"AJD",#N/A,TRUE,"P&amp;LCONC-outputs";"AJD",#N/A,TRUE,"BSCONC-outputs";"AJD",#N/A,TRUE,"FSCONC-outputs"}</definedName>
    <definedName name="ㅎㅇㄴㅁ" localSheetId="18" hidden="1">{"AJD",#N/A,TRUE,"Summary";"AJD",#N/A,TRUE,"CFCONC-outputs";"AJD",#N/A,TRUE,"P&amp;LCONC-outputs";"AJD",#N/A,TRUE,"BSCONC-outputs";"AJD",#N/A,TRUE,"FSCONC-outputs"}</definedName>
    <definedName name="ㅎㅇㄴㅁ" localSheetId="25" hidden="1">{"AJD",#N/A,TRUE,"Summary";"AJD",#N/A,TRUE,"CFCONC-outputs";"AJD",#N/A,TRUE,"P&amp;LCONC-outputs";"AJD",#N/A,TRUE,"BSCONC-outputs";"AJD",#N/A,TRUE,"FSCONC-outputs"}</definedName>
    <definedName name="ㅎㅇㄴㅁ" hidden="1">{"AJD",#N/A,TRUE,"Summary";"AJD",#N/A,TRUE,"CFCONC-outputs";"AJD",#N/A,TRUE,"P&amp;LCONC-outputs";"AJD",#N/A,TRUE,"BSCONC-outputs";"AJD",#N/A,TRUE,"FSCONC-outputs"}</definedName>
    <definedName name="ㅎㅇㄴㅁㅎㄱㄷ" localSheetId="24" hidden="1">{#N/A,#N/A,TRUE,"대 차 대 조 표"}</definedName>
    <definedName name="ㅎㅇㄴㅁㅎㄱㄷ" localSheetId="18" hidden="1">{#N/A,#N/A,TRUE,"대 차 대 조 표"}</definedName>
    <definedName name="ㅎㅇㄴㅁㅎㄱㄷ" localSheetId="25" hidden="1">{#N/A,#N/A,TRUE,"대 차 대 조 표"}</definedName>
    <definedName name="ㅎㅇㄴㅁㅎㄱㄷ" hidden="1">{#N/A,#N/A,TRUE,"대 차 대 조 표"}</definedName>
    <definedName name="ㅎ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ㅎㅇ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ㅎㅇ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ㅎㅇㄹ" hidden="1">{#N/A,#N/A,FALSE,"손익표지";#N/A,#N/A,FALSE,"손익계산";#N/A,#N/A,FALSE,"일반관리비";#N/A,#N/A,FALSE,"영업외수익";#N/A,#N/A,FALSE,"영업외비용";#N/A,#N/A,FALSE,"매출액";#N/A,#N/A,FALSE,"요약손익";#N/A,#N/A,FALSE,"요약대차";#N/A,#N/A,FALSE,"매출채권현황";#N/A,#N/A,FALSE,"매출채권명세"}</definedName>
    <definedName name="ㅎㅇㅈ" localSheetId="24" hidden="1">{#N/A,#N/A,TRUE,"대 차 대 조 표"}</definedName>
    <definedName name="ㅎㅇㅈ" localSheetId="18" hidden="1">{#N/A,#N/A,TRUE,"대 차 대 조 표"}</definedName>
    <definedName name="ㅎㅇㅈ" localSheetId="25" hidden="1">{#N/A,#N/A,TRUE,"대 차 대 조 표"}</definedName>
    <definedName name="ㅎㅇㅈ" hidden="1">{#N/A,#N/A,TRUE,"대 차 대 조 표"}</definedName>
    <definedName name="ㅎ오" localSheetId="24" hidden="1">{"'용역비'!$A$4:$C$8"}</definedName>
    <definedName name="ㅎ오" localSheetId="18" hidden="1">{"'용역비'!$A$4:$C$8"}</definedName>
    <definedName name="ㅎ오" localSheetId="25" hidden="1">{"'용역비'!$A$4:$C$8"}</definedName>
    <definedName name="ㅎ오" hidden="1">{"'용역비'!$A$4:$C$8"}</definedName>
    <definedName name="ㅎㅎ" localSheetId="24" hidden="1">{"AJD",#N/A,TRUE,"Summary";"AJD",#N/A,TRUE,"CFCONC-outputs";"AJD",#N/A,TRUE,"P&amp;LCONC-outputs";"AJD",#N/A,TRUE,"BSCONC-outputs";"AJD",#N/A,TRUE,"FSCONC-outputs"}</definedName>
    <definedName name="ㅎㅎ" localSheetId="18" hidden="1">{"AJD",#N/A,TRUE,"Summary";"AJD",#N/A,TRUE,"CFCONC-outputs";"AJD",#N/A,TRUE,"P&amp;LCONC-outputs";"AJD",#N/A,TRUE,"BSCONC-outputs";"AJD",#N/A,TRUE,"FSCONC-outputs"}</definedName>
    <definedName name="ㅎㅎ" localSheetId="25" hidden="1">{"AJD",#N/A,TRUE,"Summary";"AJD",#N/A,TRUE,"CFCONC-outputs";"AJD",#N/A,TRUE,"P&amp;LCONC-outputs";"AJD",#N/A,TRUE,"BSCONC-outputs";"AJD",#N/A,TRUE,"FSCONC-outputs"}</definedName>
    <definedName name="ㅎㅎ" hidden="1">{"AJD",#N/A,TRUE,"Summary";"AJD",#N/A,TRUE,"CFCONC-outputs";"AJD",#N/A,TRUE,"P&amp;LCONC-outputs";"AJD",#N/A,TRUE,"BSCONC-outputs";"AJD",#N/A,TRUE,"FSCONC-outputs"}</definedName>
    <definedName name="ㅎㅎㅎ" localSheetId="24" hidden="1">{"'용역비'!$A$4:$C$8"}</definedName>
    <definedName name="ㅎㅎㅎ" localSheetId="18" hidden="1">{"'용역비'!$A$4:$C$8"}</definedName>
    <definedName name="ㅎㅎㅎ" localSheetId="25" hidden="1">{"'용역비'!$A$4:$C$8"}</definedName>
    <definedName name="ㅎㅎㅎ" hidden="1">{"'용역비'!$A$4:$C$8"}</definedName>
    <definedName name="ㅎㅎㅎㅇ"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ㅎㅎㅇ"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ㅎㅎㅇ"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ㅎㅎ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ㅎㅎㅎ" localSheetId="24" hidden="1">{#N/A,#N/A,FALSE,"BS";#N/A,#N/A,FALSE,"PL";#N/A,#N/A,FALSE,"처분";#N/A,#N/A,FALSE,"현금";#N/A,#N/A,FALSE,"매출";#N/A,#N/A,FALSE,"원가";#N/A,#N/A,FALSE,"경영"}</definedName>
    <definedName name="ㅎㅎㅎㅎ" localSheetId="18" hidden="1">{#N/A,#N/A,FALSE,"BS";#N/A,#N/A,FALSE,"PL";#N/A,#N/A,FALSE,"처분";#N/A,#N/A,FALSE,"현금";#N/A,#N/A,FALSE,"매출";#N/A,#N/A,FALSE,"원가";#N/A,#N/A,FALSE,"경영"}</definedName>
    <definedName name="ㅎㅎㅎㅎ" localSheetId="25" hidden="1">{#N/A,#N/A,FALSE,"BS";#N/A,#N/A,FALSE,"PL";#N/A,#N/A,FALSE,"처분";#N/A,#N/A,FALSE,"현금";#N/A,#N/A,FALSE,"매출";#N/A,#N/A,FALSE,"원가";#N/A,#N/A,FALSE,"경영"}</definedName>
    <definedName name="ㅎㅎㅎㅎ" hidden="1">{#N/A,#N/A,FALSE,"BS";#N/A,#N/A,FALSE,"PL";#N/A,#N/A,FALSE,"처분";#N/A,#N/A,FALSE,"현금";#N/A,#N/A,FALSE,"매출";#N/A,#N/A,FALSE,"원가";#N/A,#N/A,FALSE,"경영"}</definedName>
    <definedName name="하" localSheetId="24" hidden="1">{#N/A,#N/A,FALSE,"1.CRITERIA";#N/A,#N/A,FALSE,"2.IS";#N/A,#N/A,FALSE,"3.BS";#N/A,#N/A,FALSE,"4.PER PL";#N/A,#N/A,FALSE,"5.INVESTMENT";#N/A,#N/A,FALSE,"6.공문";#N/A,#N/A,FALSE,"7.netinvest"}</definedName>
    <definedName name="하" localSheetId="18" hidden="1">{#N/A,#N/A,FALSE,"1.CRITERIA";#N/A,#N/A,FALSE,"2.IS";#N/A,#N/A,FALSE,"3.BS";#N/A,#N/A,FALSE,"4.PER PL";#N/A,#N/A,FALSE,"5.INVESTMENT";#N/A,#N/A,FALSE,"6.공문";#N/A,#N/A,FALSE,"7.netinvest"}</definedName>
    <definedName name="하" localSheetId="25" hidden="1">{#N/A,#N/A,FALSE,"1.CRITERIA";#N/A,#N/A,FALSE,"2.IS";#N/A,#N/A,FALSE,"3.BS";#N/A,#N/A,FALSE,"4.PER PL";#N/A,#N/A,FALSE,"5.INVESTMENT";#N/A,#N/A,FALSE,"6.공문";#N/A,#N/A,FALSE,"7.netinvest"}</definedName>
    <definedName name="하" hidden="1">{#N/A,#N/A,FALSE,"1.CRITERIA";#N/A,#N/A,FALSE,"2.IS";#N/A,#N/A,FALSE,"3.BS";#N/A,#N/A,FALSE,"4.PER PL";#N/A,#N/A,FALSE,"5.INVESTMENT";#N/A,#N/A,FALSE,"6.공문";#N/A,#N/A,FALSE,"7.netinvest"}</definedName>
    <definedName name="하나222"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하나222"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하나222" localSheetId="2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하나222"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하늘" localSheetId="24" hidden="1">{"'7'!$B$15:$D$32"}</definedName>
    <definedName name="하늘" localSheetId="18" hidden="1">{"'7'!$B$15:$D$32"}</definedName>
    <definedName name="하늘" localSheetId="25" hidden="1">{"'7'!$B$15:$D$32"}</definedName>
    <definedName name="하늘" hidden="1">{"'7'!$B$15:$D$32"}</definedName>
    <definedName name="하도사"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도사"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도사"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도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동사"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동사"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동사"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동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반기차입금계획"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하반기차입금계획"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하반기차입금계획" localSheetId="25" hidden="1">{#N/A,#N/A,FALSE,"손익표지";#N/A,#N/A,FALSE,"손익계산";#N/A,#N/A,FALSE,"일반관리비";#N/A,#N/A,FALSE,"영업외수익";#N/A,#N/A,FALSE,"영업외비용";#N/A,#N/A,FALSE,"매출액";#N/A,#N/A,FALSE,"요약손익";#N/A,#N/A,FALSE,"요약대차";#N/A,#N/A,FALSE,"매출채권현황";#N/A,#N/A,FALSE,"매출채권명세"}</definedName>
    <definedName name="하반기차입금계획" hidden="1">{#N/A,#N/A,FALSE,"손익표지";#N/A,#N/A,FALSE,"손익계산";#N/A,#N/A,FALSE,"일반관리비";#N/A,#N/A,FALSE,"영업외수익";#N/A,#N/A,FALSE,"영업외비용";#N/A,#N/A,FALSE,"매출액";#N/A,#N/A,FALSE,"요약손익";#N/A,#N/A,FALSE,"요약대차";#N/A,#N/A,FALSE,"매출채권현황";#N/A,#N/A,FALSE,"매출채권명세"}</definedName>
    <definedName name="하서" localSheetId="24" hidden="1">{#N/A,#N/A,FALSE,"동부"}</definedName>
    <definedName name="하서" localSheetId="18" hidden="1">{#N/A,#N/A,FALSE,"동부"}</definedName>
    <definedName name="하서" localSheetId="25" hidden="1">{#N/A,#N/A,FALSE,"동부"}</definedName>
    <definedName name="하서" hidden="1">{#N/A,#N/A,FALSE,"동부"}</definedName>
    <definedName name="하수도2"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수도2"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수도2"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수도2"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수암거" localSheetId="24" hidden="1">{#N/A,#N/A,FALSE,"포장단가"}</definedName>
    <definedName name="하수암거" localSheetId="18" hidden="1">{#N/A,#N/A,FALSE,"포장단가"}</definedName>
    <definedName name="하수암거" localSheetId="25" hidden="1">{#N/A,#N/A,FALSE,"포장단가"}</definedName>
    <definedName name="하수암거" hidden="1">{#N/A,#N/A,FALSE,"포장단가"}</definedName>
    <definedName name="하하" localSheetId="24" hidden="1">{#N/A,#N/A,FALSE,"CAM-G7";#N/A,#N/A,FALSE,"SPL";#N/A,#N/A,FALSE,"butt-in G7";#N/A,#N/A,FALSE,"dia-in G7";#N/A,#N/A,FALSE,"추가-STA G7"}</definedName>
    <definedName name="하하" localSheetId="18" hidden="1">{#N/A,#N/A,FALSE,"CAM-G7";#N/A,#N/A,FALSE,"SPL";#N/A,#N/A,FALSE,"butt-in G7";#N/A,#N/A,FALSE,"dia-in G7";#N/A,#N/A,FALSE,"추가-STA G7"}</definedName>
    <definedName name="하하" localSheetId="25" hidden="1">{#N/A,#N/A,FALSE,"CAM-G7";#N/A,#N/A,FALSE,"SPL";#N/A,#N/A,FALSE,"butt-in G7";#N/A,#N/A,FALSE,"dia-in G7";#N/A,#N/A,FALSE,"추가-STA G7"}</definedName>
    <definedName name="하하" hidden="1">{#N/A,#N/A,FALSE,"CAM-G7";#N/A,#N/A,FALSE,"SPL";#N/A,#N/A,FALSE,"butt-in G7";#N/A,#N/A,FALSE,"dia-in G7";#N/A,#N/A,FALSE,"추가-STA G7"}</definedName>
    <definedName name="하하하"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하하하"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하하하" localSheetId="25" hidden="1">{#N/A,#N/A,FALSE,"손익표지";#N/A,#N/A,FALSE,"손익계산";#N/A,#N/A,FALSE,"일반관리비";#N/A,#N/A,FALSE,"영업외수익";#N/A,#N/A,FALSE,"영업외비용";#N/A,#N/A,FALSE,"매출액";#N/A,#N/A,FALSE,"요약손익";#N/A,#N/A,FALSE,"요약대차";#N/A,#N/A,FALSE,"매출채권현황";#N/A,#N/A,FALSE,"매출채권명세"}</definedName>
    <definedName name="하하하" hidden="1">{#N/A,#N/A,FALSE,"손익표지";#N/A,#N/A,FALSE,"손익계산";#N/A,#N/A,FALSE,"일반관리비";#N/A,#N/A,FALSE,"영업외수익";#N/A,#N/A,FALSE,"영업외비용";#N/A,#N/A,FALSE,"매출액";#N/A,#N/A,FALSE,"요약손익";#N/A,#N/A,FALSE,"요약대차";#N/A,#N/A,FALSE,"매출채권현황";#N/A,#N/A,FALSE,"매출채권명세"}</definedName>
    <definedName name="하ㅏ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하ㅏ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하ㅏ라" localSheetId="25" hidden="1">{#N/A,#N/A,FALSE,"손익표지";#N/A,#N/A,FALSE,"손익계산";#N/A,#N/A,FALSE,"일반관리비";#N/A,#N/A,FALSE,"영업외수익";#N/A,#N/A,FALSE,"영업외비용";#N/A,#N/A,FALSE,"매출액";#N/A,#N/A,FALSE,"요약손익";#N/A,#N/A,FALSE,"요약대차";#N/A,#N/A,FALSE,"매출채권현황";#N/A,#N/A,FALSE,"매출채권명세"}</definedName>
    <definedName name="하ㅏ라" hidden="1">{#N/A,#N/A,FALSE,"손익표지";#N/A,#N/A,FALSE,"손익계산";#N/A,#N/A,FALSE,"일반관리비";#N/A,#N/A,FALSE,"영업외수익";#N/A,#N/A,FALSE,"영업외비용";#N/A,#N/A,FALSE,"매출액";#N/A,#N/A,FALSE,"요약손익";#N/A,#N/A,FALSE,"요약대차";#N/A,#N/A,FALSE,"매출채권현황";#N/A,#N/A,FALSE,"매출채권명세"}</definedName>
    <definedName name="한국생" localSheetId="24" hidden="1">{#N/A,#N/A,TRUE,"대 차 대 조 표"}</definedName>
    <definedName name="한국생" localSheetId="18" hidden="1">{#N/A,#N/A,TRUE,"대 차 대 조 표"}</definedName>
    <definedName name="한국생" localSheetId="25" hidden="1">{#N/A,#N/A,TRUE,"대 차 대 조 표"}</definedName>
    <definedName name="한국생" hidden="1">{#N/A,#N/A,TRUE,"대 차 대 조 표"}</definedName>
    <definedName name="한국타이어" localSheetId="24" hidden="1">{"'용역비'!$A$4:$C$8"}</definedName>
    <definedName name="한국타이어" localSheetId="18" hidden="1">{"'용역비'!$A$4:$C$8"}</definedName>
    <definedName name="한국타이어" localSheetId="25" hidden="1">{"'용역비'!$A$4:$C$8"}</definedName>
    <definedName name="한국타이어" hidden="1">{"'용역비'!$A$4:$C$8"}</definedName>
    <definedName name="한도" localSheetId="24" hidden="1">{"'7'!$B$15:$D$32"}</definedName>
    <definedName name="한도" localSheetId="18" hidden="1">{"'7'!$B$15:$D$32"}</definedName>
    <definedName name="한도" localSheetId="25" hidden="1">{"'7'!$B$15:$D$32"}</definedName>
    <definedName name="한도" hidden="1">{"'7'!$B$15:$D$32"}</definedName>
    <definedName name="한영사전" localSheetId="24" hidden="1">{#N/A,#N/A,TRUE,"Y생산";#N/A,#N/A,TRUE,"Y판매";#N/A,#N/A,TRUE,"Y총물량";#N/A,#N/A,TRUE,"Y능력";#N/A,#N/A,TRUE,"YKD"}</definedName>
    <definedName name="한영사전" localSheetId="18" hidden="1">{#N/A,#N/A,TRUE,"Y생산";#N/A,#N/A,TRUE,"Y판매";#N/A,#N/A,TRUE,"Y총물량";#N/A,#N/A,TRUE,"Y능력";#N/A,#N/A,TRUE,"YKD"}</definedName>
    <definedName name="한영사전" localSheetId="25" hidden="1">{#N/A,#N/A,TRUE,"Y생산";#N/A,#N/A,TRUE,"Y판매";#N/A,#N/A,TRUE,"Y총물량";#N/A,#N/A,TRUE,"Y능력";#N/A,#N/A,TRUE,"YKD"}</definedName>
    <definedName name="한영사전" hidden="1">{#N/A,#N/A,TRUE,"Y생산";#N/A,#N/A,TRUE,"Y판매";#N/A,#N/A,TRUE,"Y총물량";#N/A,#N/A,TRUE,"Y능력";#N/A,#N/A,TRUE,"YKD"}</definedName>
    <definedName name="한영사전_1" localSheetId="24" hidden="1">{#N/A,#N/A,TRUE,"Y생산";#N/A,#N/A,TRUE,"Y판매";#N/A,#N/A,TRUE,"Y총물량";#N/A,#N/A,TRUE,"Y능력";#N/A,#N/A,TRUE,"YKD"}</definedName>
    <definedName name="한영사전_1" localSheetId="18" hidden="1">{#N/A,#N/A,TRUE,"Y생산";#N/A,#N/A,TRUE,"Y판매";#N/A,#N/A,TRUE,"Y총물량";#N/A,#N/A,TRUE,"Y능력";#N/A,#N/A,TRUE,"YKD"}</definedName>
    <definedName name="한영사전_1" localSheetId="25" hidden="1">{#N/A,#N/A,TRUE,"Y생산";#N/A,#N/A,TRUE,"Y판매";#N/A,#N/A,TRUE,"Y총물량";#N/A,#N/A,TRUE,"Y능력";#N/A,#N/A,TRUE,"YKD"}</definedName>
    <definedName name="한영사전_1" hidden="1">{#N/A,#N/A,TRUE,"Y생산";#N/A,#N/A,TRUE,"Y판매";#N/A,#N/A,TRUE,"Y총물량";#N/A,#N/A,TRUE,"Y능력";#N/A,#N/A,TRUE,"YKD"}</definedName>
    <definedName name="한원양행" localSheetId="24" hidden="1">{#N/A,#N/A,FALSE,"범우구미";#N/A,#N/A,FALSE,"세한케미칼";#N/A,#N/A,FALSE,"세명화학";#N/A,#N/A,FALSE,"신영케미칼";#N/A,#N/A,FALSE,"일석상사"}</definedName>
    <definedName name="한원양행" localSheetId="18" hidden="1">{#N/A,#N/A,FALSE,"범우구미";#N/A,#N/A,FALSE,"세한케미칼";#N/A,#N/A,FALSE,"세명화학";#N/A,#N/A,FALSE,"신영케미칼";#N/A,#N/A,FALSE,"일석상사"}</definedName>
    <definedName name="한원양행" localSheetId="25" hidden="1">{#N/A,#N/A,FALSE,"범우구미";#N/A,#N/A,FALSE,"세한케미칼";#N/A,#N/A,FALSE,"세명화학";#N/A,#N/A,FALSE,"신영케미칼";#N/A,#N/A,FALSE,"일석상사"}</definedName>
    <definedName name="한원양행" hidden="1">{#N/A,#N/A,FALSE,"범우구미";#N/A,#N/A,FALSE,"세한케미칼";#N/A,#N/A,FALSE,"세명화학";#N/A,#N/A,FALSE,"신영케미칼";#N/A,#N/A,FALSE,"일석상사"}</definedName>
    <definedName name="한일건설" localSheetId="24" hidden="1">{#N/A,#N/A,FALSE,"현장 NCR 분석";#N/A,#N/A,FALSE,"현장품질감사";#N/A,#N/A,FALSE,"현장품질감사"}</definedName>
    <definedName name="한일건설" localSheetId="18" hidden="1">{#N/A,#N/A,FALSE,"현장 NCR 분석";#N/A,#N/A,FALSE,"현장품질감사";#N/A,#N/A,FALSE,"현장품질감사"}</definedName>
    <definedName name="한일건설" localSheetId="25" hidden="1">{#N/A,#N/A,FALSE,"현장 NCR 분석";#N/A,#N/A,FALSE,"현장품질감사";#N/A,#N/A,FALSE,"현장품질감사"}</definedName>
    <definedName name="한일건설" hidden="1">{#N/A,#N/A,FALSE,"현장 NCR 분석";#N/A,#N/A,FALSE,"현장품질감사";#N/A,#N/A,FALSE,"현장품질감사"}</definedName>
    <definedName name="한컴" localSheetId="24" hidden="1">{#N/A,#N/A,TRUE,"대 차 대 조 표"}</definedName>
    <definedName name="한컴" localSheetId="18" hidden="1">{#N/A,#N/A,TRUE,"대 차 대 조 표"}</definedName>
    <definedName name="한컴" localSheetId="25" hidden="1">{#N/A,#N/A,TRUE,"대 차 대 조 표"}</definedName>
    <definedName name="한컴" hidden="1">{#N/A,#N/A,TRUE,"대 차 대 조 표"}</definedName>
    <definedName name="햐" localSheetId="24" hidden="1">{#N/A,#N/A,FALSE,"1.CRITERIA";#N/A,#N/A,FALSE,"2.IS";#N/A,#N/A,FALSE,"3.BS";#N/A,#N/A,FALSE,"4.PER PL";#N/A,#N/A,FALSE,"5.INVESTMENT";#N/A,#N/A,FALSE,"6.공문";#N/A,#N/A,FALSE,"7.netinvest"}</definedName>
    <definedName name="햐" localSheetId="18" hidden="1">{#N/A,#N/A,FALSE,"1.CRITERIA";#N/A,#N/A,FALSE,"2.IS";#N/A,#N/A,FALSE,"3.BS";#N/A,#N/A,FALSE,"4.PER PL";#N/A,#N/A,FALSE,"5.INVESTMENT";#N/A,#N/A,FALSE,"6.공문";#N/A,#N/A,FALSE,"7.netinvest"}</definedName>
    <definedName name="햐" localSheetId="25" hidden="1">{#N/A,#N/A,FALSE,"1.CRITERIA";#N/A,#N/A,FALSE,"2.IS";#N/A,#N/A,FALSE,"3.BS";#N/A,#N/A,FALSE,"4.PER PL";#N/A,#N/A,FALSE,"5.INVESTMENT";#N/A,#N/A,FALSE,"6.공문";#N/A,#N/A,FALSE,"7.netinvest"}</definedName>
    <definedName name="햐" hidden="1">{#N/A,#N/A,FALSE,"1.CRITERIA";#N/A,#N/A,FALSE,"2.IS";#N/A,#N/A,FALSE,"3.BS";#N/A,#N/A,FALSE,"4.PER PL";#N/A,#N/A,FALSE,"5.INVESTMENT";#N/A,#N/A,FALSE,"6.공문";#N/A,#N/A,FALSE,"7.netinvest"}</definedName>
    <definedName name="햐ㅓㅈ바허ㅏㅣ농하ㅗㅎ" localSheetId="24" hidden="1">{#N/A,#N/A,FALSE,"CCTV"}</definedName>
    <definedName name="햐ㅓㅈ바허ㅏㅣ농하ㅗㅎ" localSheetId="18" hidden="1">{#N/A,#N/A,FALSE,"CCTV"}</definedName>
    <definedName name="햐ㅓㅈ바허ㅏㅣ농하ㅗㅎ" localSheetId="25" hidden="1">{#N/A,#N/A,FALSE,"CCTV"}</definedName>
    <definedName name="햐ㅓㅈ바허ㅏㅣ농하ㅗㅎ" hidden="1">{#N/A,#N/A,FALSE,"CCTV"}</definedName>
    <definedName name="향후추정" localSheetId="24" hidden="1">{"'9월'!$F$38"}</definedName>
    <definedName name="향후추정" localSheetId="18" hidden="1">{"'9월'!$F$38"}</definedName>
    <definedName name="향후추정" localSheetId="25" hidden="1">{"'9월'!$F$38"}</definedName>
    <definedName name="향후추정" hidden="1">{"'9월'!$F$38"}</definedName>
    <definedName name="혀" localSheetId="24" hidden="1">{#N/A,#N/A,FALSE,"1.CRITERIA";#N/A,#N/A,FALSE,"2.IS";#N/A,#N/A,FALSE,"3.BS";#N/A,#N/A,FALSE,"4.PER PL";#N/A,#N/A,FALSE,"5.INVESTMENT";#N/A,#N/A,FALSE,"6.공문";#N/A,#N/A,FALSE,"7.netinvest"}</definedName>
    <definedName name="혀" localSheetId="18" hidden="1">{#N/A,#N/A,FALSE,"1.CRITERIA";#N/A,#N/A,FALSE,"2.IS";#N/A,#N/A,FALSE,"3.BS";#N/A,#N/A,FALSE,"4.PER PL";#N/A,#N/A,FALSE,"5.INVESTMENT";#N/A,#N/A,FALSE,"6.공문";#N/A,#N/A,FALSE,"7.netinvest"}</definedName>
    <definedName name="혀" localSheetId="25" hidden="1">{#N/A,#N/A,FALSE,"1.CRITERIA";#N/A,#N/A,FALSE,"2.IS";#N/A,#N/A,FALSE,"3.BS";#N/A,#N/A,FALSE,"4.PER PL";#N/A,#N/A,FALSE,"5.INVESTMENT";#N/A,#N/A,FALSE,"6.공문";#N/A,#N/A,FALSE,"7.netinvest"}</definedName>
    <definedName name="혀" hidden="1">{#N/A,#N/A,FALSE,"1.CRITERIA";#N/A,#N/A,FALSE,"2.IS";#N/A,#N/A,FALSE,"3.BS";#N/A,#N/A,FALSE,"4.PER PL";#N/A,#N/A,FALSE,"5.INVESTMENT";#N/A,#N/A,FALSE,"6.공문";#N/A,#N/A,FALSE,"7.netinvest"}</definedName>
    <definedName name="현금"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현금"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현금" localSheetId="25" hidden="1">{#N/A,#N/A,FALSE,"손익표지";#N/A,#N/A,FALSE,"손익계산";#N/A,#N/A,FALSE,"일반관리비";#N/A,#N/A,FALSE,"영업외수익";#N/A,#N/A,FALSE,"영업외비용";#N/A,#N/A,FALSE,"매출액";#N/A,#N/A,FALSE,"요약손익";#N/A,#N/A,FALSE,"요약대차";#N/A,#N/A,FALSE,"매출채권현황";#N/A,#N/A,FALSE,"매출채권명세"}</definedName>
    <definedName name="현금" hidden="1">{#N/A,#N/A,FALSE,"손익표지";#N/A,#N/A,FALSE,"손익계산";#N/A,#N/A,FALSE,"일반관리비";#N/A,#N/A,FALSE,"영업외수익";#N/A,#N/A,FALSE,"영업외비용";#N/A,#N/A,FALSE,"매출액";#N/A,#N/A,FALSE,"요약손익";#N/A,#N/A,FALSE,"요약대차";#N/A,#N/A,FALSE,"매출채권현황";#N/A,#N/A,FALSE,"매출채권명세"}</definedName>
    <definedName name="현금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현금1"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현금1" localSheetId="25" hidden="1">{#N/A,#N/A,FALSE,"손익표지";#N/A,#N/A,FALSE,"손익계산";#N/A,#N/A,FALSE,"일반관리비";#N/A,#N/A,FALSE,"영업외수익";#N/A,#N/A,FALSE,"영업외비용";#N/A,#N/A,FALSE,"매출액";#N/A,#N/A,FALSE,"요약손익";#N/A,#N/A,FALSE,"요약대차";#N/A,#N/A,FALSE,"매출채권현황";#N/A,#N/A,FALSE,"매출채권명세"}</definedName>
    <definedName name="현금1" hidden="1">{#N/A,#N/A,FALSE,"손익표지";#N/A,#N/A,FALSE,"손익계산";#N/A,#N/A,FALSE,"일반관리비";#N/A,#N/A,FALSE,"영업외수익";#N/A,#N/A,FALSE,"영업외비용";#N/A,#N/A,FALSE,"매출액";#N/A,#N/A,FALSE,"요약손익";#N/A,#N/A,FALSE,"요약대차";#N/A,#N/A,FALSE,"매출채권현황";#N/A,#N/A,FALSE,"매출채권명세"}</definedName>
    <definedName name="현금7"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현금7"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현금7" localSheetId="25" hidden="1">{#N/A,#N/A,FALSE,"손익표지";#N/A,#N/A,FALSE,"손익계산";#N/A,#N/A,FALSE,"일반관리비";#N/A,#N/A,FALSE,"영업외수익";#N/A,#N/A,FALSE,"영업외비용";#N/A,#N/A,FALSE,"매출액";#N/A,#N/A,FALSE,"요약손익";#N/A,#N/A,FALSE,"요약대차";#N/A,#N/A,FALSE,"매출채권현황";#N/A,#N/A,FALSE,"매출채권명세"}</definedName>
    <definedName name="현금7" hidden="1">{#N/A,#N/A,FALSE,"손익표지";#N/A,#N/A,FALSE,"손익계산";#N/A,#N/A,FALSE,"일반관리비";#N/A,#N/A,FALSE,"영업외수익";#N/A,#N/A,FALSE,"영업외비용";#N/A,#N/A,FALSE,"매출액";#N/A,#N/A,FALSE,"요약손익";#N/A,#N/A,FALSE,"요약대차";#N/A,#N/A,FALSE,"매출채권현황";#N/A,#N/A,FALSE,"매출채권명세"}</definedName>
    <definedName name="현금검증표" localSheetId="24" hidden="1">{#N/A,#N/A,FALSE,"1.CRITERIA";#N/A,#N/A,FALSE,"2.IS";#N/A,#N/A,FALSE,"3.BS";#N/A,#N/A,FALSE,"4.PER PL";#N/A,#N/A,FALSE,"5.INVESTMENT";#N/A,#N/A,FALSE,"6.공문";#N/A,#N/A,FALSE,"7.netinvest"}</definedName>
    <definedName name="현금검증표" localSheetId="18" hidden="1">{#N/A,#N/A,FALSE,"1.CRITERIA";#N/A,#N/A,FALSE,"2.IS";#N/A,#N/A,FALSE,"3.BS";#N/A,#N/A,FALSE,"4.PER PL";#N/A,#N/A,FALSE,"5.INVESTMENT";#N/A,#N/A,FALSE,"6.공문";#N/A,#N/A,FALSE,"7.netinvest"}</definedName>
    <definedName name="현금검증표" localSheetId="25" hidden="1">{#N/A,#N/A,FALSE,"1.CRITERIA";#N/A,#N/A,FALSE,"2.IS";#N/A,#N/A,FALSE,"3.BS";#N/A,#N/A,FALSE,"4.PER PL";#N/A,#N/A,FALSE,"5.INVESTMENT";#N/A,#N/A,FALSE,"6.공문";#N/A,#N/A,FALSE,"7.netinvest"}</definedName>
    <definedName name="현금검증표" hidden="1">{#N/A,#N/A,FALSE,"1.CRITERIA";#N/A,#N/A,FALSE,"2.IS";#N/A,#N/A,FALSE,"3.BS";#N/A,#N/A,FALSE,"4.PER PL";#N/A,#N/A,FALSE,"5.INVESTMENT";#N/A,#N/A,FALSE,"6.공문";#N/A,#N/A,FALSE,"7.netinvest"}</definedName>
    <definedName name="현금등가물" localSheetId="24" hidden="1">{#N/A,#N/A,FALSE,"Aging Summary";#N/A,#N/A,FALSE,"Ratio Analysis";#N/A,#N/A,FALSE,"Test 120 Day Accts";#N/A,#N/A,FALSE,"Tickmarks"}</definedName>
    <definedName name="현금등가물" localSheetId="18" hidden="1">{#N/A,#N/A,FALSE,"Aging Summary";#N/A,#N/A,FALSE,"Ratio Analysis";#N/A,#N/A,FALSE,"Test 120 Day Accts";#N/A,#N/A,FALSE,"Tickmarks"}</definedName>
    <definedName name="현금등가물" localSheetId="25" hidden="1">{#N/A,#N/A,FALSE,"Aging Summary";#N/A,#N/A,FALSE,"Ratio Analysis";#N/A,#N/A,FALSE,"Test 120 Day Accts";#N/A,#N/A,FALSE,"Tickmarks"}</definedName>
    <definedName name="현금등가물" hidden="1">{#N/A,#N/A,FALSE,"Aging Summary";#N/A,#N/A,FALSE,"Ratio Analysis";#N/A,#N/A,FALSE,"Test 120 Day Accts";#N/A,#N/A,FALSE,"Tickmarks"}</definedName>
    <definedName name="현금등가물및단기" localSheetId="24" hidden="1">{#N/A,#N/A,FALSE,"Aging Summary";#N/A,#N/A,FALSE,"Ratio Analysis";#N/A,#N/A,FALSE,"Test 120 Day Accts";#N/A,#N/A,FALSE,"Tickmarks"}</definedName>
    <definedName name="현금등가물및단기" localSheetId="18" hidden="1">{#N/A,#N/A,FALSE,"Aging Summary";#N/A,#N/A,FALSE,"Ratio Analysis";#N/A,#N/A,FALSE,"Test 120 Day Accts";#N/A,#N/A,FALSE,"Tickmarks"}</definedName>
    <definedName name="현금등가물및단기" localSheetId="25" hidden="1">{#N/A,#N/A,FALSE,"Aging Summary";#N/A,#N/A,FALSE,"Ratio Analysis";#N/A,#N/A,FALSE,"Test 120 Day Accts";#N/A,#N/A,FALSE,"Tickmarks"}</definedName>
    <definedName name="현금등가물및단기" hidden="1">{#N/A,#N/A,FALSE,"Aging Summary";#N/A,#N/A,FALSE,"Ratio Analysis";#N/A,#N/A,FALSE,"Test 120 Day Accts";#N/A,#N/A,FALSE,"Tickmarks"}</definedName>
    <definedName name="현금흐름" localSheetId="24" hidden="1">{#N/A,#N/A,FALSE,"Aging Summary";#N/A,#N/A,FALSE,"Ratio Analysis";#N/A,#N/A,FALSE,"Test 120 Day Accts";#N/A,#N/A,FALSE,"Tickmarks"}</definedName>
    <definedName name="현금흐름" localSheetId="18" hidden="1">{#N/A,#N/A,FALSE,"Aging Summary";#N/A,#N/A,FALSE,"Ratio Analysis";#N/A,#N/A,FALSE,"Test 120 Day Accts";#N/A,#N/A,FALSE,"Tickmarks"}</definedName>
    <definedName name="현금흐름" localSheetId="25" hidden="1">{#N/A,#N/A,FALSE,"Aging Summary";#N/A,#N/A,FALSE,"Ratio Analysis";#N/A,#N/A,FALSE,"Test 120 Day Accts";#N/A,#N/A,FALSE,"Tickmarks"}</definedName>
    <definedName name="현금흐름" hidden="1">{#N/A,#N/A,FALSE,"Aging Summary";#N/A,#N/A,FALSE,"Ratio Analysis";#N/A,#N/A,FALSE,"Test 120 Day Accts";#N/A,#N/A,FALSE,"Tickmarks"}</definedName>
    <definedName name="현대건설" localSheetId="24" hidden="1">{#N/A,#N/A,FALSE,"현장 NCR 분석";#N/A,#N/A,FALSE,"현장품질감사";#N/A,#N/A,FALSE,"현장품질감사"}</definedName>
    <definedName name="현대건설" localSheetId="18" hidden="1">{#N/A,#N/A,FALSE,"현장 NCR 분석";#N/A,#N/A,FALSE,"현장품질감사";#N/A,#N/A,FALSE,"현장품질감사"}</definedName>
    <definedName name="현대건설" localSheetId="25" hidden="1">{#N/A,#N/A,FALSE,"현장 NCR 분석";#N/A,#N/A,FALSE,"현장품질감사";#N/A,#N/A,FALSE,"현장품질감사"}</definedName>
    <definedName name="현대건설" hidden="1">{#N/A,#N/A,FALSE,"현장 NCR 분석";#N/A,#N/A,FALSE,"현장품질감사";#N/A,#N/A,FALSE,"현장품질감사"}</definedName>
    <definedName name="현대백화점" localSheetId="24" hidden="1">{#N/A,#N/A,FALSE,"CCTV"}</definedName>
    <definedName name="현대백화점" localSheetId="18" hidden="1">{#N/A,#N/A,FALSE,"CCTV"}</definedName>
    <definedName name="현대백화점" localSheetId="25" hidden="1">{#N/A,#N/A,FALSE,"CCTV"}</definedName>
    <definedName name="현대백화점" hidden="1">{#N/A,#N/A,FALSE,"CCTV"}</definedName>
    <definedName name="현작성조서" localSheetId="24" hidden="1">{#N/A,#N/A,FALSE,"BS";#N/A,#N/A,FALSE,"PL";#N/A,#N/A,FALSE,"처분";#N/A,#N/A,FALSE,"현금";#N/A,#N/A,FALSE,"매출";#N/A,#N/A,FALSE,"원가";#N/A,#N/A,FALSE,"경영"}</definedName>
    <definedName name="현작성조서" localSheetId="18" hidden="1">{#N/A,#N/A,FALSE,"BS";#N/A,#N/A,FALSE,"PL";#N/A,#N/A,FALSE,"처분";#N/A,#N/A,FALSE,"현금";#N/A,#N/A,FALSE,"매출";#N/A,#N/A,FALSE,"원가";#N/A,#N/A,FALSE,"경영"}</definedName>
    <definedName name="현작성조서" localSheetId="25" hidden="1">{#N/A,#N/A,FALSE,"BS";#N/A,#N/A,FALSE,"PL";#N/A,#N/A,FALSE,"처분";#N/A,#N/A,FALSE,"현금";#N/A,#N/A,FALSE,"매출";#N/A,#N/A,FALSE,"원가";#N/A,#N/A,FALSE,"경영"}</definedName>
    <definedName name="현작성조서" hidden="1">{#N/A,#N/A,FALSE,"BS";#N/A,#N/A,FALSE,"PL";#N/A,#N/A,FALSE,"처분";#N/A,#N/A,FALSE,"현금";#N/A,#N/A,FALSE,"매출";#N/A,#N/A,FALSE,"원가";#N/A,#N/A,FALSE,"경영"}</definedName>
    <definedName name="현장사진" localSheetId="24" hidden="1">{#N/A,#N/A,FALSE,"Sheet6"}</definedName>
    <definedName name="현장사진" localSheetId="18" hidden="1">{#N/A,#N/A,FALSE,"Sheet6"}</definedName>
    <definedName name="현장사진" localSheetId="25" hidden="1">{#N/A,#N/A,FALSE,"Sheet6"}</definedName>
    <definedName name="현장사진" hidden="1">{#N/A,#N/A,FALSE,"Sheet6"}</definedName>
    <definedName name="현황" localSheetId="24" hidden="1">{#N/A,#N/A,TRUE,"Y생산";#N/A,#N/A,TRUE,"Y판매";#N/A,#N/A,TRUE,"Y총물량";#N/A,#N/A,TRUE,"Y능력";#N/A,#N/A,TRUE,"YKD"}</definedName>
    <definedName name="현황" localSheetId="18" hidden="1">{#N/A,#N/A,TRUE,"Y생산";#N/A,#N/A,TRUE,"Y판매";#N/A,#N/A,TRUE,"Y총물량";#N/A,#N/A,TRUE,"Y능력";#N/A,#N/A,TRUE,"YKD"}</definedName>
    <definedName name="현황" localSheetId="25" hidden="1">{#N/A,#N/A,TRUE,"Y생산";#N/A,#N/A,TRUE,"Y판매";#N/A,#N/A,TRUE,"Y총물량";#N/A,#N/A,TRUE,"Y능력";#N/A,#N/A,TRUE,"YKD"}</definedName>
    <definedName name="현황" hidden="1">{#N/A,#N/A,TRUE,"Y생산";#N/A,#N/A,TRUE,"Y판매";#N/A,#N/A,TRUE,"Y총물량";#N/A,#N/A,TRUE,"Y능력";#N/A,#N/A,TRUE,"YKD"}</definedName>
    <definedName name="호" localSheetId="24" hidden="1">{#N/A,#N/A,FALSE,"1.CRITERIA";#N/A,#N/A,FALSE,"2.IS";#N/A,#N/A,FALSE,"3.BS";#N/A,#N/A,FALSE,"4.PER PL";#N/A,#N/A,FALSE,"5.INVESTMENT";#N/A,#N/A,FALSE,"6.공문";#N/A,#N/A,FALSE,"7.netinvest"}</definedName>
    <definedName name="호" localSheetId="18" hidden="1">{#N/A,#N/A,FALSE,"1.CRITERIA";#N/A,#N/A,FALSE,"2.IS";#N/A,#N/A,FALSE,"3.BS";#N/A,#N/A,FALSE,"4.PER PL";#N/A,#N/A,FALSE,"5.INVESTMENT";#N/A,#N/A,FALSE,"6.공문";#N/A,#N/A,FALSE,"7.netinvest"}</definedName>
    <definedName name="호" localSheetId="25" hidden="1">{#N/A,#N/A,FALSE,"1.CRITERIA";#N/A,#N/A,FALSE,"2.IS";#N/A,#N/A,FALSE,"3.BS";#N/A,#N/A,FALSE,"4.PER PL";#N/A,#N/A,FALSE,"5.INVESTMENT";#N/A,#N/A,FALSE,"6.공문";#N/A,#N/A,FALSE,"7.netinvest"}</definedName>
    <definedName name="호" hidden="1">{#N/A,#N/A,FALSE,"1.CRITERIA";#N/A,#N/A,FALSE,"2.IS";#N/A,#N/A,FALSE,"3.BS";#N/A,#N/A,FALSE,"4.PER PL";#N/A,#N/A,FALSE,"5.INVESTMENT";#N/A,#N/A,FALSE,"6.공문";#N/A,#N/A,FALSE,"7.netinvest"}</definedName>
    <definedName name="호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호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호로" localSheetId="25" hidden="1">{#N/A,#N/A,FALSE,"손익표지";#N/A,#N/A,FALSE,"손익계산";#N/A,#N/A,FALSE,"일반관리비";#N/A,#N/A,FALSE,"영업외수익";#N/A,#N/A,FALSE,"영업외비용";#N/A,#N/A,FALSE,"매출액";#N/A,#N/A,FALSE,"요약손익";#N/A,#N/A,FALSE,"요약대차";#N/A,#N/A,FALSE,"매출채권현황";#N/A,#N/A,FALSE,"매출채권명세"}</definedName>
    <definedName name="호로" hidden="1">{#N/A,#N/A,FALSE,"손익표지";#N/A,#N/A,FALSE,"손익계산";#N/A,#N/A,FALSE,"일반관리비";#N/A,#N/A,FALSE,"영업외수익";#N/A,#N/A,FALSE,"영업외비용";#N/A,#N/A,FALSE,"매출액";#N/A,#N/A,FALSE,"요약손익";#N/A,#N/A,FALSE,"요약대차";#N/A,#N/A,FALSE,"매출채권현황";#N/A,#N/A,FALSE,"매출채권명세"}</definedName>
    <definedName name="호ㅓ" localSheetId="24" hidden="1">{"'용역비'!$A$4:$C$8"}</definedName>
    <definedName name="호ㅓ" localSheetId="18" hidden="1">{"'용역비'!$A$4:$C$8"}</definedName>
    <definedName name="호ㅓ" localSheetId="25" hidden="1">{"'용역비'!$A$4:$C$8"}</definedName>
    <definedName name="호ㅓ" hidden="1">{"'용역비'!$A$4:$C$8"}</definedName>
    <definedName name="호ㅓㅎ"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호ㅓㅎ"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호ㅓㅎ" localSheetId="25" hidden="1">{#N/A,#N/A,FALSE,"손익표지";#N/A,#N/A,FALSE,"손익계산";#N/A,#N/A,FALSE,"일반관리비";#N/A,#N/A,FALSE,"영업외수익";#N/A,#N/A,FALSE,"영업외비용";#N/A,#N/A,FALSE,"매출액";#N/A,#N/A,FALSE,"요약손익";#N/A,#N/A,FALSE,"요약대차";#N/A,#N/A,FALSE,"매출채권현황";#N/A,#N/A,FALSE,"매출채권명세"}</definedName>
    <definedName name="호ㅓㅎ" hidden="1">{#N/A,#N/A,FALSE,"손익표지";#N/A,#N/A,FALSE,"손익계산";#N/A,#N/A,FALSE,"일반관리비";#N/A,#N/A,FALSE,"영업외수익";#N/A,#N/A,FALSE,"영업외비용";#N/A,#N/A,FALSE,"매출액";#N/A,#N/A,FALSE,"요약손익";#N/A,#N/A,FALSE,"요약대차";#N/A,#N/A,FALSE,"매출채권현황";#N/A,#N/A,FALSE,"매출채권명세"}</definedName>
    <definedName name="호ㅓ호ㅓ"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호ㅓ호ㅓ"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호ㅓ호ㅓ" localSheetId="25" hidden="1">{#N/A,#N/A,FALSE,"손익표지";#N/A,#N/A,FALSE,"손익계산";#N/A,#N/A,FALSE,"일반관리비";#N/A,#N/A,FALSE,"영업외수익";#N/A,#N/A,FALSE,"영업외비용";#N/A,#N/A,FALSE,"매출액";#N/A,#N/A,FALSE,"요약손익";#N/A,#N/A,FALSE,"요약대차";#N/A,#N/A,FALSE,"매출채권현황";#N/A,#N/A,FALSE,"매출채권명세"}</definedName>
    <definedName name="호ㅓ호ㅓ" hidden="1">{#N/A,#N/A,FALSE,"손익표지";#N/A,#N/A,FALSE,"손익계산";#N/A,#N/A,FALSE,"일반관리비";#N/A,#N/A,FALSE,"영업외수익";#N/A,#N/A,FALSE,"영업외비용";#N/A,#N/A,FALSE,"매출액";#N/A,#N/A,FALSE,"요약손익";#N/A,#N/A,FALSE,"요약대차";#N/A,#N/A,FALSE,"매출채권현황";#N/A,#N/A,FALSE,"매출채권명세"}</definedName>
    <definedName name="호ㅓㅏ호"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호ㅓㅏ호"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호ㅓㅏ호" localSheetId="25" hidden="1">{#N/A,#N/A,FALSE,"손익표지";#N/A,#N/A,FALSE,"손익계산";#N/A,#N/A,FALSE,"일반관리비";#N/A,#N/A,FALSE,"영업외수익";#N/A,#N/A,FALSE,"영업외비용";#N/A,#N/A,FALSE,"매출액";#N/A,#N/A,FALSE,"요약손익";#N/A,#N/A,FALSE,"요약대차";#N/A,#N/A,FALSE,"매출채권현황";#N/A,#N/A,FALSE,"매출채권명세"}</definedName>
    <definedName name="호ㅓㅏ호" hidden="1">{#N/A,#N/A,FALSE,"손익표지";#N/A,#N/A,FALSE,"손익계산";#N/A,#N/A,FALSE,"일반관리비";#N/A,#N/A,FALSE,"영업외수익";#N/A,#N/A,FALSE,"영업외비용";#N/A,#N/A,FALSE,"매출액";#N/A,#N/A,FALSE,"요약손익";#N/A,#N/A,FALSE,"요약대차";#N/A,#N/A,FALSE,"매출채권현황";#N/A,#N/A,FALSE,"매출채권명세"}</definedName>
    <definedName name="홇롷러ㅗㄹ호" localSheetId="24" hidden="1">{#N/A,#N/A,FALSE,"CAM-G7";#N/A,#N/A,FALSE,"SPL";#N/A,#N/A,FALSE,"butt-in G7";#N/A,#N/A,FALSE,"dia-in G7";#N/A,#N/A,FALSE,"추가-STA G7"}</definedName>
    <definedName name="홇롷러ㅗㄹ호" localSheetId="18" hidden="1">{#N/A,#N/A,FALSE,"CAM-G7";#N/A,#N/A,FALSE,"SPL";#N/A,#N/A,FALSE,"butt-in G7";#N/A,#N/A,FALSE,"dia-in G7";#N/A,#N/A,FALSE,"추가-STA G7"}</definedName>
    <definedName name="홇롷러ㅗㄹ호" localSheetId="25" hidden="1">{#N/A,#N/A,FALSE,"CAM-G7";#N/A,#N/A,FALSE,"SPL";#N/A,#N/A,FALSE,"butt-in G7";#N/A,#N/A,FALSE,"dia-in G7";#N/A,#N/A,FALSE,"추가-STA G7"}</definedName>
    <definedName name="홇롷러ㅗㄹ호" hidden="1">{#N/A,#N/A,FALSE,"CAM-G7";#N/A,#N/A,FALSE,"SPL";#N/A,#N/A,FALSE,"butt-in G7";#N/A,#N/A,FALSE,"dia-in G7";#N/A,#N/A,FALSE,"추가-STA G7"}</definedName>
    <definedName name="홈ㄹ" localSheetId="24" hidden="1">{#N/A,#N/A,FALSE,"동부"}</definedName>
    <definedName name="홈ㄹ" localSheetId="18" hidden="1">{#N/A,#N/A,FALSE,"동부"}</definedName>
    <definedName name="홈ㄹ" localSheetId="25" hidden="1">{#N/A,#N/A,FALSE,"동부"}</definedName>
    <definedName name="홈ㄹ" hidden="1">{#N/A,#N/A,FALSE,"동부"}</definedName>
    <definedName name="홈에버用"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홈에버用"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홈에버用" localSheetId="25" hidden="1">{#N/A,#N/A,FALSE,"손익표지";#N/A,#N/A,FALSE,"손익계산";#N/A,#N/A,FALSE,"일반관리비";#N/A,#N/A,FALSE,"영업외수익";#N/A,#N/A,FALSE,"영업외비용";#N/A,#N/A,FALSE,"매출액";#N/A,#N/A,FALSE,"요약손익";#N/A,#N/A,FALSE,"요약대차";#N/A,#N/A,FALSE,"매출채권현황";#N/A,#N/A,FALSE,"매출채권명세"}</definedName>
    <definedName name="홈에버用" hidden="1">{#N/A,#N/A,FALSE,"손익표지";#N/A,#N/A,FALSE,"손익계산";#N/A,#N/A,FALSE,"일반관리비";#N/A,#N/A,FALSE,"영업외수익";#N/A,#N/A,FALSE,"영업외비용";#N/A,#N/A,FALSE,"매출액";#N/A,#N/A,FALSE,"요약손익";#N/A,#N/A,FALSE,"요약대차";#N/A,#N/A,FALSE,"매출채권현황";#N/A,#N/A,FALSE,"매출채권명세"}</definedName>
    <definedName name="홍성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홍성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홍성태" localSheetId="25" hidden="1">{#N/A,#N/A,FALSE,"손익표지";#N/A,#N/A,FALSE,"손익계산";#N/A,#N/A,FALSE,"일반관리비";#N/A,#N/A,FALSE,"영업외수익";#N/A,#N/A,FALSE,"영업외비용";#N/A,#N/A,FALSE,"매출액";#N/A,#N/A,FALSE,"요약손익";#N/A,#N/A,FALSE,"요약대차";#N/A,#N/A,FALSE,"매출채권현황";#N/A,#N/A,FALSE,"매출채권명세"}</definedName>
    <definedName name="홍성태" hidden="1">{#N/A,#N/A,FALSE,"손익표지";#N/A,#N/A,FALSE,"손익계산";#N/A,#N/A,FALSE,"일반관리비";#N/A,#N/A,FALSE,"영업외수익";#N/A,#N/A,FALSE,"영업외비용";#N/A,#N/A,FALSE,"매출액";#N/A,#N/A,FALSE,"요약손익";#N/A,#N/A,FALSE,"요약대차";#N/A,#N/A,FALSE,"매출채권현황";#N/A,#N/A,FALSE,"매출채권명세"}</definedName>
    <definedName name="홍ㅇ호" localSheetId="24" hidden="1">{"'용역비'!$A$4:$C$8"}</definedName>
    <definedName name="홍ㅇ호" localSheetId="18" hidden="1">{"'용역비'!$A$4:$C$8"}</definedName>
    <definedName name="홍ㅇ호" localSheetId="25" hidden="1">{"'용역비'!$A$4:$C$8"}</definedName>
    <definedName name="홍ㅇ호" hidden="1">{"'용역비'!$A$4:$C$8"}</definedName>
    <definedName name="홓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홓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홓롷" localSheetId="25" hidden="1">{#N/A,#N/A,FALSE,"손익표지";#N/A,#N/A,FALSE,"손익계산";#N/A,#N/A,FALSE,"일반관리비";#N/A,#N/A,FALSE,"영업외수익";#N/A,#N/A,FALSE,"영업외비용";#N/A,#N/A,FALSE,"매출액";#N/A,#N/A,FALSE,"요약손익";#N/A,#N/A,FALSE,"요약대차";#N/A,#N/A,FALSE,"매출채권현황";#N/A,#N/A,FALSE,"매출채권명세"}</definedName>
    <definedName name="홓롷" hidden="1">{#N/A,#N/A,FALSE,"손익표지";#N/A,#N/A,FALSE,"손익계산";#N/A,#N/A,FALSE,"일반관리비";#N/A,#N/A,FALSE,"영업외수익";#N/A,#N/A,FALSE,"영업외비용";#N/A,#N/A,FALSE,"매출액";#N/A,#N/A,FALSE,"요약손익";#N/A,#N/A,FALSE,"요약대차";#N/A,#N/A,FALSE,"매출채권현황";#N/A,#N/A,FALSE,"매출채권명세"}</definedName>
    <definedName name="화ㅚㅏㅑㅓㅏㅣ" localSheetId="24" hidden="1">{#N/A,#N/A,TRUE,"대 차 대 조 표"}</definedName>
    <definedName name="화ㅚㅏㅑㅓㅏㅣ" localSheetId="18" hidden="1">{#N/A,#N/A,TRUE,"대 차 대 조 표"}</definedName>
    <definedName name="화ㅚㅏㅑㅓㅏㅣ" localSheetId="25" hidden="1">{#N/A,#N/A,TRUE,"대 차 대 조 표"}</definedName>
    <definedName name="화ㅚㅏㅑㅓㅏㅣ" hidden="1">{#N/A,#N/A,TRUE,"대 차 대 조 표"}</definedName>
    <definedName name="확정심사의견" localSheetId="24" hidden="1">{"'9월'!$F$38"}</definedName>
    <definedName name="확정심사의견" localSheetId="18" hidden="1">{"'9월'!$F$38"}</definedName>
    <definedName name="확정심사의견" localSheetId="25" hidden="1">{"'9월'!$F$38"}</definedName>
    <definedName name="확정심사의견" hidden="1">{"'9월'!$F$38"}</definedName>
    <definedName name="회" localSheetId="24" hidden="1">{#N/A,#N/A,FALSE,"동부"}</definedName>
    <definedName name="회" localSheetId="18" hidden="1">{#N/A,#N/A,FALSE,"동부"}</definedName>
    <definedName name="회" localSheetId="25" hidden="1">{#N/A,#N/A,FALSE,"동부"}</definedName>
    <definedName name="회" hidden="1">{#N/A,#N/A,FALSE,"동부"}</definedName>
    <definedName name="회색"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회색"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회색" localSheetId="25" hidden="1">{#N/A,#N/A,FALSE,"손익표지";#N/A,#N/A,FALSE,"손익계산";#N/A,#N/A,FALSE,"일반관리비";#N/A,#N/A,FALSE,"영업외수익";#N/A,#N/A,FALSE,"영업외비용";#N/A,#N/A,FALSE,"매출액";#N/A,#N/A,FALSE,"요약손익";#N/A,#N/A,FALSE,"요약대차";#N/A,#N/A,FALSE,"매출채권현황";#N/A,#N/A,FALSE,"매출채권명세"}</definedName>
    <definedName name="회색" hidden="1">{#N/A,#N/A,FALSE,"손익표지";#N/A,#N/A,FALSE,"손익계산";#N/A,#N/A,FALSE,"일반관리비";#N/A,#N/A,FALSE,"영업외수익";#N/A,#N/A,FALSE,"영업외비용";#N/A,#N/A,FALSE,"매출액";#N/A,#N/A,FALSE,"요약손익";#N/A,#N/A,FALSE,"요약대차";#N/A,#N/A,FALSE,"매출채권현황";#N/A,#N/A,FALSE,"매출채권명세"}</definedName>
    <definedName name="회현"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회현"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회현" localSheetId="25" hidden="1">{#N/A,#N/A,FALSE,"손익표지";#N/A,#N/A,FALSE,"손익계산";#N/A,#N/A,FALSE,"일반관리비";#N/A,#N/A,FALSE,"영업외수익";#N/A,#N/A,FALSE,"영업외비용";#N/A,#N/A,FALSE,"매출액";#N/A,#N/A,FALSE,"요약손익";#N/A,#N/A,FALSE,"요약대차";#N/A,#N/A,FALSE,"매출채권현황";#N/A,#N/A,FALSE,"매출채권명세"}</definedName>
    <definedName name="회현" hidden="1">{#N/A,#N/A,FALSE,"손익표지";#N/A,#N/A,FALSE,"손익계산";#N/A,#N/A,FALSE,"일반관리비";#N/A,#N/A,FALSE,"영업외수익";#N/A,#N/A,FALSE,"영업외비용";#N/A,#N/A,FALSE,"매출액";#N/A,#N/A,FALSE,"요약손익";#N/A,#N/A,FALSE,"요약대차";#N/A,#N/A,FALSE,"매출채권현황";#N/A,#N/A,FALSE,"매출채권명세"}</definedName>
    <definedName name="효" localSheetId="24" hidden="1">{#N/A,#N/A,FALSE,"1.CRITERIA";#N/A,#N/A,FALSE,"2.IS";#N/A,#N/A,FALSE,"3.BS";#N/A,#N/A,FALSE,"4.PER PL";#N/A,#N/A,FALSE,"5.INVESTMENT";#N/A,#N/A,FALSE,"6.공문";#N/A,#N/A,FALSE,"7.netinvest"}</definedName>
    <definedName name="효" localSheetId="18" hidden="1">{#N/A,#N/A,FALSE,"1.CRITERIA";#N/A,#N/A,FALSE,"2.IS";#N/A,#N/A,FALSE,"3.BS";#N/A,#N/A,FALSE,"4.PER PL";#N/A,#N/A,FALSE,"5.INVESTMENT";#N/A,#N/A,FALSE,"6.공문";#N/A,#N/A,FALSE,"7.netinvest"}</definedName>
    <definedName name="효" localSheetId="25" hidden="1">{#N/A,#N/A,FALSE,"1.CRITERIA";#N/A,#N/A,FALSE,"2.IS";#N/A,#N/A,FALSE,"3.BS";#N/A,#N/A,FALSE,"4.PER PL";#N/A,#N/A,FALSE,"5.INVESTMENT";#N/A,#N/A,FALSE,"6.공문";#N/A,#N/A,FALSE,"7.netinvest"}</definedName>
    <definedName name="효" hidden="1">{#N/A,#N/A,FALSE,"1.CRITERIA";#N/A,#N/A,FALSE,"2.IS";#N/A,#N/A,FALSE,"3.BS";#N/A,#N/A,FALSE,"4.PER PL";#N/A,#N/A,FALSE,"5.INVESTMENT";#N/A,#N/A,FALSE,"6.공문";#N/A,#N/A,FALSE,"7.netinvest"}</definedName>
    <definedName name="효석" localSheetId="24" hidden="1">{"'Firr(선)'!$AS$1:$AY$62","'Firr(사)'!$AS$1:$AY$62","'Firr(회)'!$AS$1:$AY$62","'Firr(선)'!$L$1:$V$62","'Firr(사)'!$L$1:$V$62","'Firr(회)'!$L$1:$V$62"}</definedName>
    <definedName name="효석" localSheetId="18" hidden="1">{"'Firr(선)'!$AS$1:$AY$62","'Firr(사)'!$AS$1:$AY$62","'Firr(회)'!$AS$1:$AY$62","'Firr(선)'!$L$1:$V$62","'Firr(사)'!$L$1:$V$62","'Firr(회)'!$L$1:$V$62"}</definedName>
    <definedName name="효석" localSheetId="25" hidden="1">{"'Firr(선)'!$AS$1:$AY$62","'Firr(사)'!$AS$1:$AY$62","'Firr(회)'!$AS$1:$AY$62","'Firr(선)'!$L$1:$V$62","'Firr(사)'!$L$1:$V$62","'Firr(회)'!$L$1:$V$62"}</definedName>
    <definedName name="효석" hidden="1">{"'Firr(선)'!$AS$1:$AY$62","'Firr(사)'!$AS$1:$AY$62","'Firr(회)'!$AS$1:$AY$62","'Firr(선)'!$L$1:$V$62","'Firr(사)'!$L$1:$V$62","'Firr(회)'!$L$1:$V$62"}</definedName>
    <definedName name="후" localSheetId="24" hidden="1">{#N/A,#N/A,FALSE,"1.CRITERIA";#N/A,#N/A,FALSE,"2.IS";#N/A,#N/A,FALSE,"3.BS";#N/A,#N/A,FALSE,"4.PER PL";#N/A,#N/A,FALSE,"5.INVESTMENT";#N/A,#N/A,FALSE,"6.공문";#N/A,#N/A,FALSE,"7.netinvest"}</definedName>
    <definedName name="후" localSheetId="18" hidden="1">{#N/A,#N/A,FALSE,"1.CRITERIA";#N/A,#N/A,FALSE,"2.IS";#N/A,#N/A,FALSE,"3.BS";#N/A,#N/A,FALSE,"4.PER PL";#N/A,#N/A,FALSE,"5.INVESTMENT";#N/A,#N/A,FALSE,"6.공문";#N/A,#N/A,FALSE,"7.netinvest"}</definedName>
    <definedName name="후" localSheetId="25" hidden="1">{#N/A,#N/A,FALSE,"1.CRITERIA";#N/A,#N/A,FALSE,"2.IS";#N/A,#N/A,FALSE,"3.BS";#N/A,#N/A,FALSE,"4.PER PL";#N/A,#N/A,FALSE,"5.INVESTMENT";#N/A,#N/A,FALSE,"6.공문";#N/A,#N/A,FALSE,"7.netinvest"}</definedName>
    <definedName name="후" hidden="1">{#N/A,#N/A,FALSE,"1.CRITERIA";#N/A,#N/A,FALSE,"2.IS";#N/A,#N/A,FALSE,"3.BS";#N/A,#N/A,FALSE,"4.PER PL";#N/A,#N/A,FALSE,"5.INVESTMENT";#N/A,#N/A,FALSE,"6.공문";#N/A,#N/A,FALSE,"7.netinvest"}</definedName>
    <definedName name="후후후" localSheetId="24" hidden="1">{"'미착금액'!$A$4:$G$14"}</definedName>
    <definedName name="후후후" localSheetId="18" hidden="1">{"'미착금액'!$A$4:$G$14"}</definedName>
    <definedName name="후후후" localSheetId="25" hidden="1">{"'미착금액'!$A$4:$G$14"}</definedName>
    <definedName name="후후후" hidden="1">{"'미착금액'!$A$4:$G$14"}</definedName>
    <definedName name="훈민정음복사시트" localSheetId="24">BlankMacro1</definedName>
    <definedName name="훈민정음복사시트" localSheetId="18">BlankMacro1</definedName>
    <definedName name="훈민정음복사시트" localSheetId="25">BlankMacro1</definedName>
    <definedName name="훈민정음복사시트" localSheetId="16">BlankMacro1</definedName>
    <definedName name="훈민정음복사시트">BlankMacro1</definedName>
    <definedName name="훠호ㅓㅎ" localSheetId="24" hidden="1">{#N/A,#N/A,FALSE,"96 3월물량표";#N/A,#N/A,FALSE,"96 4월물량표";#N/A,#N/A,FALSE,"96 5월물량표"}</definedName>
    <definedName name="훠호ㅓㅎ" localSheetId="18" hidden="1">{#N/A,#N/A,FALSE,"96 3월물량표";#N/A,#N/A,FALSE,"96 4월물량표";#N/A,#N/A,FALSE,"96 5월물량표"}</definedName>
    <definedName name="훠호ㅓㅎ" localSheetId="25" hidden="1">{#N/A,#N/A,FALSE,"96 3월물량표";#N/A,#N/A,FALSE,"96 4월물량표";#N/A,#N/A,FALSE,"96 5월물량표"}</definedName>
    <definedName name="훠호ㅓㅎ" hidden="1">{#N/A,#N/A,FALSE,"96 3월물량표";#N/A,#N/A,FALSE,"96 4월물량표";#N/A,#N/A,FALSE,"96 5월물량표"}</definedName>
    <definedName name="휴" localSheetId="24" hidden="1">{#N/A,#N/A,FALSE,"1.CRITERIA";#N/A,#N/A,FALSE,"2.IS";#N/A,#N/A,FALSE,"3.BS";#N/A,#N/A,FALSE,"4.PER PL";#N/A,#N/A,FALSE,"5.INVESTMENT";#N/A,#N/A,FALSE,"6.공문";#N/A,#N/A,FALSE,"7.netinvest"}</definedName>
    <definedName name="휴" localSheetId="18" hidden="1">{#N/A,#N/A,FALSE,"1.CRITERIA";#N/A,#N/A,FALSE,"2.IS";#N/A,#N/A,FALSE,"3.BS";#N/A,#N/A,FALSE,"4.PER PL";#N/A,#N/A,FALSE,"5.INVESTMENT";#N/A,#N/A,FALSE,"6.공문";#N/A,#N/A,FALSE,"7.netinvest"}</definedName>
    <definedName name="휴" localSheetId="25" hidden="1">{#N/A,#N/A,FALSE,"1.CRITERIA";#N/A,#N/A,FALSE,"2.IS";#N/A,#N/A,FALSE,"3.BS";#N/A,#N/A,FALSE,"4.PER PL";#N/A,#N/A,FALSE,"5.INVESTMENT";#N/A,#N/A,FALSE,"6.공문";#N/A,#N/A,FALSE,"7.netinvest"}</definedName>
    <definedName name="휴" hidden="1">{#N/A,#N/A,FALSE,"1.CRITERIA";#N/A,#N/A,FALSE,"2.IS";#N/A,#N/A,FALSE,"3.BS";#N/A,#N/A,FALSE,"4.PER PL";#N/A,#N/A,FALSE,"5.INVESTMENT";#N/A,#N/A,FALSE,"6.공문";#N/A,#N/A,FALSE,"7.netinvest"}</definedName>
    <definedName name="흐" localSheetId="24" hidden="1">{#N/A,#N/A,FALSE,"1.CRITERIA";#N/A,#N/A,FALSE,"2.IS";#N/A,#N/A,FALSE,"3.BS";#N/A,#N/A,FALSE,"4.PER PL";#N/A,#N/A,FALSE,"5.INVESTMENT";#N/A,#N/A,FALSE,"6.공문";#N/A,#N/A,FALSE,"7.netinvest"}</definedName>
    <definedName name="흐" localSheetId="18" hidden="1">{#N/A,#N/A,FALSE,"1.CRITERIA";#N/A,#N/A,FALSE,"2.IS";#N/A,#N/A,FALSE,"3.BS";#N/A,#N/A,FALSE,"4.PER PL";#N/A,#N/A,FALSE,"5.INVESTMENT";#N/A,#N/A,FALSE,"6.공문";#N/A,#N/A,FALSE,"7.netinvest"}</definedName>
    <definedName name="흐" localSheetId="25" hidden="1">{#N/A,#N/A,FALSE,"1.CRITERIA";#N/A,#N/A,FALSE,"2.IS";#N/A,#N/A,FALSE,"3.BS";#N/A,#N/A,FALSE,"4.PER PL";#N/A,#N/A,FALSE,"5.INVESTMENT";#N/A,#N/A,FALSE,"6.공문";#N/A,#N/A,FALSE,"7.netinvest"}</definedName>
    <definedName name="흐" hidden="1">{#N/A,#N/A,FALSE,"1.CRITERIA";#N/A,#N/A,FALSE,"2.IS";#N/A,#N/A,FALSE,"3.BS";#N/A,#N/A,FALSE,"4.PER PL";#N/A,#N/A,FALSE,"5.INVESTMENT";#N/A,#N/A,FALSE,"6.공문";#N/A,#N/A,FALSE,"7.netinvest"}</definedName>
    <definedName name="흐름" localSheetId="24" hidden="1">{#N/A,#N/A,FALSE,"BS";#N/A,#N/A,FALSE,"PL";#N/A,#N/A,FALSE,"처분";#N/A,#N/A,FALSE,"현금";#N/A,#N/A,FALSE,"매출";#N/A,#N/A,FALSE,"원가";#N/A,#N/A,FALSE,"경영"}</definedName>
    <definedName name="흐름" localSheetId="18" hidden="1">{#N/A,#N/A,FALSE,"BS";#N/A,#N/A,FALSE,"PL";#N/A,#N/A,FALSE,"처분";#N/A,#N/A,FALSE,"현금";#N/A,#N/A,FALSE,"매출";#N/A,#N/A,FALSE,"원가";#N/A,#N/A,FALSE,"경영"}</definedName>
    <definedName name="흐름" localSheetId="25" hidden="1">{#N/A,#N/A,FALSE,"BS";#N/A,#N/A,FALSE,"PL";#N/A,#N/A,FALSE,"처분";#N/A,#N/A,FALSE,"현금";#N/A,#N/A,FALSE,"매출";#N/A,#N/A,FALSE,"원가";#N/A,#N/A,FALSE,"경영"}</definedName>
    <definedName name="흐름" hidden="1">{#N/A,#N/A,FALSE,"BS";#N/A,#N/A,FALSE,"PL";#N/A,#N/A,FALSE,"처분";#N/A,#N/A,FALSE,"현금";#N/A,#N/A,FALSE,"매출";#N/A,#N/A,FALSE,"원가";#N/A,#N/A,FALSE,"경영"}</definedName>
    <definedName name="희진" localSheetId="24" hidden="1">{#N/A,#N/A,FALSE,"이력서&amp;자기소개서"}</definedName>
    <definedName name="희진" localSheetId="18" hidden="1">{#N/A,#N/A,FALSE,"이력서&amp;자기소개서"}</definedName>
    <definedName name="희진" localSheetId="25" hidden="1">{#N/A,#N/A,FALSE,"이력서&amp;자기소개서"}</definedName>
    <definedName name="희진" hidden="1">{#N/A,#N/A,FALSE,"이력서&amp;자기소개서"}</definedName>
    <definedName name="ㅏ" localSheetId="24" hidden="1">{#N/A,#N/A,FALSE,"BS";#N/A,#N/A,FALSE,"PL";#N/A,#N/A,FALSE,"처분";#N/A,#N/A,FALSE,"현금";#N/A,#N/A,FALSE,"매출";#N/A,#N/A,FALSE,"원가";#N/A,#N/A,FALSE,"경영"}</definedName>
    <definedName name="ㅏ" localSheetId="18" hidden="1">{#N/A,#N/A,FALSE,"BS";#N/A,#N/A,FALSE,"PL";#N/A,#N/A,FALSE,"처분";#N/A,#N/A,FALSE,"현금";#N/A,#N/A,FALSE,"매출";#N/A,#N/A,FALSE,"원가";#N/A,#N/A,FALSE,"경영"}</definedName>
    <definedName name="ㅏ" localSheetId="25" hidden="1">{#N/A,#N/A,FALSE,"BS";#N/A,#N/A,FALSE,"PL";#N/A,#N/A,FALSE,"처분";#N/A,#N/A,FALSE,"현금";#N/A,#N/A,FALSE,"매출";#N/A,#N/A,FALSE,"원가";#N/A,#N/A,FALSE,"경영"}</definedName>
    <definedName name="ㅏ" hidden="1">{#N/A,#N/A,FALSE,"BS";#N/A,#N/A,FALSE,"PL";#N/A,#N/A,FALSE,"처분";#N/A,#N/A,FALSE,"현금";#N/A,#N/A,FALSE,"매출";#N/A,#N/A,FALSE,"원가";#N/A,#N/A,FALSE,"경영"}</definedName>
    <definedName name="ㅏ나앙"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 localSheetId="25"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_1"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_1"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_1" localSheetId="25"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_1"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ㅅ" localSheetId="24" hidden="1">{#N/A,#N/A,FALSE,"견적갑지";#N/A,#N/A,FALSE,"총괄표";#N/A,#N/A,FALSE,"철골공사";#N/A,#N/A,FALSE,"토목공사";#N/A,#N/A,FALSE,"판넬전기공사"}</definedName>
    <definedName name="ㅏㅅ" localSheetId="18" hidden="1">{#N/A,#N/A,FALSE,"견적갑지";#N/A,#N/A,FALSE,"총괄표";#N/A,#N/A,FALSE,"철골공사";#N/A,#N/A,FALSE,"토목공사";#N/A,#N/A,FALSE,"판넬전기공사"}</definedName>
    <definedName name="ㅏㅅ" localSheetId="25" hidden="1">{#N/A,#N/A,FALSE,"견적갑지";#N/A,#N/A,FALSE,"총괄표";#N/A,#N/A,FALSE,"철골공사";#N/A,#N/A,FALSE,"토목공사";#N/A,#N/A,FALSE,"판넬전기공사"}</definedName>
    <definedName name="ㅏㅅ" hidden="1">{#N/A,#N/A,FALSE,"견적갑지";#N/A,#N/A,FALSE,"총괄표";#N/A,#N/A,FALSE,"철골공사";#N/A,#N/A,FALSE,"토목공사";#N/A,#N/A,FALSE,"판넬전기공사"}</definedName>
    <definedName name="ㅏㅇ" localSheetId="24" hidden="1">{#N/A,#N/A,FALSE,"동부"}</definedName>
    <definedName name="ㅏㅇ" localSheetId="18" hidden="1">{#N/A,#N/A,FALSE,"동부"}</definedName>
    <definedName name="ㅏㅇ" localSheetId="25" hidden="1">{#N/A,#N/A,FALSE,"동부"}</definedName>
    <definedName name="ㅏㅇ" hidden="1">{#N/A,#N/A,FALSE,"동부"}</definedName>
    <definedName name="ㅏ앙" localSheetId="24"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 localSheetId="18"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 localSheetId="25"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_1" localSheetId="24"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_1" localSheetId="18"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_1" localSheetId="25"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_1"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어러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ㅏ어러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ㅏ어러이"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ㅏ어러이" hidden="1">{#N/A,#N/A,FALSE,"손익표지";#N/A,#N/A,FALSE,"손익계산";#N/A,#N/A,FALSE,"일반관리비";#N/A,#N/A,FALSE,"영업외수익";#N/A,#N/A,FALSE,"영업외비용";#N/A,#N/A,FALSE,"매출액";#N/A,#N/A,FALSE,"요약손익";#N/A,#N/A,FALSE,"요약대차";#N/A,#N/A,FALSE,"매출채권현황";#N/A,#N/A,FALSE,"매출채권명세"}</definedName>
    <definedName name="ㅏㅏ" localSheetId="24" hidden="1">{#N/A,#N/A,FALSE,"이력서&amp;자기소개서"}</definedName>
    <definedName name="ㅏㅏ" localSheetId="18" hidden="1">{#N/A,#N/A,FALSE,"이력서&amp;자기소개서"}</definedName>
    <definedName name="ㅏㅏ" localSheetId="25" hidden="1">{#N/A,#N/A,FALSE,"이력서&amp;자기소개서"}</definedName>
    <definedName name="ㅏㅏ" hidden="1">{#N/A,#N/A,FALSE,"이력서&amp;자기소개서"}</definedName>
    <definedName name="ㅏㅏㅏ"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갸"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갸"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갸"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갸"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데"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데"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데"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데"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ㅣ"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ㅣ"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ㅣ"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ㅣ"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ㅓㅇ" localSheetId="24" hidden="1">{#N/A,#N/A,FALSE,"동부"}</definedName>
    <definedName name="ㅏㅓㅇ" localSheetId="18" hidden="1">{#N/A,#N/A,FALSE,"동부"}</definedName>
    <definedName name="ㅏㅓㅇ" localSheetId="25" hidden="1">{#N/A,#N/A,FALSE,"동부"}</definedName>
    <definedName name="ㅏㅓㅇ" hidden="1">{#N/A,#N/A,FALSE,"동부"}</definedName>
    <definedName name="ㅏㅓㅗㅎㄹㅇ" localSheetId="24" hidden="1">{"AJD",#N/A,TRUE,"Summary";"AJD",#N/A,TRUE,"CFCONC-outputs";"AJD",#N/A,TRUE,"P&amp;LCONC-outputs";"AJD",#N/A,TRUE,"BSCONC-outputs";"AJD",#N/A,TRUE,"FSCONC-outputs"}</definedName>
    <definedName name="ㅏㅓㅗㅎㄹㅇ" localSheetId="18" hidden="1">{"AJD",#N/A,TRUE,"Summary";"AJD",#N/A,TRUE,"CFCONC-outputs";"AJD",#N/A,TRUE,"P&amp;LCONC-outputs";"AJD",#N/A,TRUE,"BSCONC-outputs";"AJD",#N/A,TRUE,"FSCONC-outputs"}</definedName>
    <definedName name="ㅏㅓㅗㅎㄹㅇ" localSheetId="25" hidden="1">{"AJD",#N/A,TRUE,"Summary";"AJD",#N/A,TRUE,"CFCONC-outputs";"AJD",#N/A,TRUE,"P&amp;LCONC-outputs";"AJD",#N/A,TRUE,"BSCONC-outputs";"AJD",#N/A,TRUE,"FSCONC-outputs"}</definedName>
    <definedName name="ㅏㅓㅗㅎㄹㅇ" hidden="1">{"AJD",#N/A,TRUE,"Summary";"AJD",#N/A,TRUE,"CFCONC-outputs";"AJD",#N/A,TRUE,"P&amp;LCONC-outputs";"AJD",#N/A,TRUE,"BSCONC-outputs";"AJD",#N/A,TRUE,"FSCONC-outputs"}</definedName>
    <definedName name="ㅏㅗㅎㅇ러" localSheetId="24" hidden="1">{"OpCostIn Technical",#N/A,FALSE,"Operations Cost Inputs";"OpCostIn V plus F",#N/A,FALSE,"Operations Cost Inputs";"OpCostIn Maint",#N/A,FALSE,"Operations Cost Inputs";"OpCostIn LDs Add Cost",#N/A,FALSE,"Operations Cost Inputs"}</definedName>
    <definedName name="ㅏㅗㅎㅇ러" localSheetId="18" hidden="1">{"OpCostIn Technical",#N/A,FALSE,"Operations Cost Inputs";"OpCostIn V plus F",#N/A,FALSE,"Operations Cost Inputs";"OpCostIn Maint",#N/A,FALSE,"Operations Cost Inputs";"OpCostIn LDs Add Cost",#N/A,FALSE,"Operations Cost Inputs"}</definedName>
    <definedName name="ㅏㅗㅎㅇ러" localSheetId="25" hidden="1">{"OpCostIn Technical",#N/A,FALSE,"Operations Cost Inputs";"OpCostIn V plus F",#N/A,FALSE,"Operations Cost Inputs";"OpCostIn Maint",#N/A,FALSE,"Operations Cost Inputs";"OpCostIn LDs Add Cost",#N/A,FALSE,"Operations Cost Inputs"}</definedName>
    <definedName name="ㅏㅗㅎㅇ러" hidden="1">{"OpCostIn Technical",#N/A,FALSE,"Operations Cost Inputs";"OpCostIn V plus F",#N/A,FALSE,"Operations Cost Inputs";"OpCostIn Maint",#N/A,FALSE,"Operations Cost Inputs";"OpCostIn LDs Add Cost",#N/A,FALSE,"Operations Cost Inputs"}</definedName>
    <definedName name="ㅏㅛㅅ됴" localSheetId="24" hidden="1">{#N/A,#N/A,FALSE,"동부"}</definedName>
    <definedName name="ㅏㅛㅅ됴" localSheetId="18" hidden="1">{#N/A,#N/A,FALSE,"동부"}</definedName>
    <definedName name="ㅏㅛㅅ됴" localSheetId="25" hidden="1">{#N/A,#N/A,FALSE,"동부"}</definedName>
    <definedName name="ㅏㅛㅅ됴" hidden="1">{#N/A,#N/A,FALSE,"동부"}</definedName>
    <definedName name="ㅐㅐㅐ" localSheetId="24" hidden="1">{#N/A,#N/A,FALSE,"지침";#N/A,#N/A,FALSE,"환경분석";#N/A,#N/A,FALSE,"Sheet16"}</definedName>
    <definedName name="ㅐㅐㅐ" localSheetId="18" hidden="1">{#N/A,#N/A,FALSE,"지침";#N/A,#N/A,FALSE,"환경분석";#N/A,#N/A,FALSE,"Sheet16"}</definedName>
    <definedName name="ㅐㅐㅐ" localSheetId="25" hidden="1">{#N/A,#N/A,FALSE,"지침";#N/A,#N/A,FALSE,"환경분석";#N/A,#N/A,FALSE,"Sheet16"}</definedName>
    <definedName name="ㅐㅐㅐ" hidden="1">{#N/A,#N/A,FALSE,"지침";#N/A,#N/A,FALSE,"환경분석";#N/A,#N/A,FALSE,"Sheet16"}</definedName>
    <definedName name="ㅐㅐㅐㅐㅐ" localSheetId="24" hidden="1">{"'7'!$B$15:$D$32"}</definedName>
    <definedName name="ㅐㅐㅐㅐㅐ" localSheetId="18" hidden="1">{"'7'!$B$15:$D$32"}</definedName>
    <definedName name="ㅐㅐㅐㅐㅐ" localSheetId="25" hidden="1">{"'7'!$B$15:$D$32"}</definedName>
    <definedName name="ㅐㅐㅐㅐㅐ" hidden="1">{"'7'!$B$15:$D$32"}</definedName>
    <definedName name="ㅐㅐㅐㅐㅐㅐㅐㅐ" localSheetId="24" hidden="1">{"'7'!$B$15:$D$32"}</definedName>
    <definedName name="ㅐㅐㅐㅐㅐㅐㅐㅐ" localSheetId="18" hidden="1">{"'7'!$B$15:$D$32"}</definedName>
    <definedName name="ㅐㅐㅐㅐㅐㅐㅐㅐ" localSheetId="25" hidden="1">{"'7'!$B$15:$D$32"}</definedName>
    <definedName name="ㅐㅐㅐㅐㅐㅐㅐㅐ" hidden="1">{"'7'!$B$15:$D$32"}</definedName>
    <definedName name="ㅐㅑㅛㅅ"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ㅐㅑㅛㅅ"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ㅐㅑㅛㅅ"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ㅐㅑㅛㅅ"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ㅑ" localSheetId="24" hidden="1">{#N/A,#N/A,FALSE,"Aging Summary";#N/A,#N/A,FALSE,"Ratio Analysis";#N/A,#N/A,FALSE,"Test 120 Day Accts";#N/A,#N/A,FALSE,"Tickmarks"}</definedName>
    <definedName name="ㅑ" localSheetId="18" hidden="1">{#N/A,#N/A,FALSE,"Aging Summary";#N/A,#N/A,FALSE,"Ratio Analysis";#N/A,#N/A,FALSE,"Test 120 Day Accts";#N/A,#N/A,FALSE,"Tickmarks"}</definedName>
    <definedName name="ㅑ" localSheetId="25" hidden="1">{#N/A,#N/A,FALSE,"Aging Summary";#N/A,#N/A,FALSE,"Ratio Analysis";#N/A,#N/A,FALSE,"Test 120 Day Accts";#N/A,#N/A,FALSE,"Tickmarks"}</definedName>
    <definedName name="ㅑ" hidden="1">{#N/A,#N/A,FALSE,"Aging Summary";#N/A,#N/A,FALSE,"Ratio Analysis";#N/A,#N/A,FALSE,"Test 120 Day Accts";#N/A,#N/A,FALSE,"Tickmarks"}</definedName>
    <definedName name="ㅑㅐㅑㅐ"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ㅑㅐㅑㅐ"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ㅑㅐㅑㅐ"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ㅑㅐㅑㅐ" hidden="1">{#N/A,#N/A,FALSE,"손익표지";#N/A,#N/A,FALSE,"손익계산";#N/A,#N/A,FALSE,"일반관리비";#N/A,#N/A,FALSE,"영업외수익";#N/A,#N/A,FALSE,"영업외비용";#N/A,#N/A,FALSE,"매출액";#N/A,#N/A,FALSE,"요약손익";#N/A,#N/A,FALSE,"요약대차";#N/A,#N/A,FALSE,"매출채권현황";#N/A,#N/A,FALSE,"매출채권명세"}</definedName>
    <definedName name="ㅑㅑ" localSheetId="24" hidden="1">{"'용역비'!$A$4:$C$8"}</definedName>
    <definedName name="ㅑㅑ" localSheetId="18" hidden="1">{"'용역비'!$A$4:$C$8"}</definedName>
    <definedName name="ㅑㅑ" localSheetId="25" hidden="1">{"'용역비'!$A$4:$C$8"}</definedName>
    <definedName name="ㅑㅑ" hidden="1">{"'용역비'!$A$4:$C$8"}</definedName>
    <definedName name="ㅑㅑㅑ"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ㅑㅑㅑ"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ㅑㅑㅑ"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ㅑㅑㅑ"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ㅑㅑㅑㅑㅑ" localSheetId="24" hidden="1">{"'용역비'!$A$4:$C$8"}</definedName>
    <definedName name="ㅑㅑㅑㅑㅑ" localSheetId="18" hidden="1">{"'용역비'!$A$4:$C$8"}</definedName>
    <definedName name="ㅑㅑㅑㅑㅑ" localSheetId="25" hidden="1">{"'용역비'!$A$4:$C$8"}</definedName>
    <definedName name="ㅑㅑㅑㅑㅑ" hidden="1">{"'용역비'!$A$4:$C$8"}</definedName>
    <definedName name="ㅑㅑㅑㅑㅑㅑ" localSheetId="24" hidden="1">{"'용역비'!$A$4:$C$8"}</definedName>
    <definedName name="ㅑㅑㅑㅑㅑㅑ" localSheetId="18" hidden="1">{"'용역비'!$A$4:$C$8"}</definedName>
    <definedName name="ㅑㅑㅑㅑㅑㅑ" localSheetId="25" hidden="1">{"'용역비'!$A$4:$C$8"}</definedName>
    <definedName name="ㅑㅑㅑㅑㅑㅑ" hidden="1">{"'용역비'!$A$4:$C$8"}</definedName>
    <definedName name="ㅑㅕ"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ㅑㅕ"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ㅑㅕ"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ㅑㅕ" hidden="1">{#N/A,#N/A,FALSE,"손익표지";#N/A,#N/A,FALSE,"손익계산";#N/A,#N/A,FALSE,"일반관리비";#N/A,#N/A,FALSE,"영업외수익";#N/A,#N/A,FALSE,"영업외비용";#N/A,#N/A,FALSE,"매출액";#N/A,#N/A,FALSE,"요약손익";#N/A,#N/A,FALSE,"요약대차";#N/A,#N/A,FALSE,"매출채권현황";#N/A,#N/A,FALSE,"매출채권명세"}</definedName>
    <definedName name="ㅑㅕㅓ고" localSheetId="24" hidden="1">{#N/A,#N/A,TRUE,"대 차 대 조 표"}</definedName>
    <definedName name="ㅑㅕㅓ고" localSheetId="18" hidden="1">{#N/A,#N/A,TRUE,"대 차 대 조 표"}</definedName>
    <definedName name="ㅑㅕㅓ고" localSheetId="25" hidden="1">{#N/A,#N/A,TRUE,"대 차 대 조 표"}</definedName>
    <definedName name="ㅑㅕㅓ고" hidden="1">{#N/A,#N/A,TRUE,"대 차 대 조 표"}</definedName>
    <definedName name="ㅑㅕㅕ" localSheetId="24" hidden="1">{"'용역비'!$A$4:$C$8"}</definedName>
    <definedName name="ㅑㅕㅕ" localSheetId="18" hidden="1">{"'용역비'!$A$4:$C$8"}</definedName>
    <definedName name="ㅑㅕㅕ" localSheetId="25" hidden="1">{"'용역비'!$A$4:$C$8"}</definedName>
    <definedName name="ㅑㅕㅕ" hidden="1">{"'용역비'!$A$4:$C$8"}</definedName>
    <definedName name="ㅓㄱㅎㄹ옿" localSheetId="24" hidden="1">{#N/A,#N/A,TRUE,"대 차 대 조 표"}</definedName>
    <definedName name="ㅓㄱㅎㄹ옿" localSheetId="18" hidden="1">{#N/A,#N/A,TRUE,"대 차 대 조 표"}</definedName>
    <definedName name="ㅓㄱㅎㄹ옿" localSheetId="25" hidden="1">{#N/A,#N/A,TRUE,"대 차 대 조 표"}</definedName>
    <definedName name="ㅓㄱㅎㄹ옿" hidden="1">{#N/A,#N/A,TRUE,"대 차 대 조 표"}</definedName>
    <definedName name="ㅓㄴ" localSheetId="24" hidden="1">{#N/A,#N/A,TRUE,"대 차 대 조 표"}</definedName>
    <definedName name="ㅓㄴ" localSheetId="18" hidden="1">{#N/A,#N/A,TRUE,"대 차 대 조 표"}</definedName>
    <definedName name="ㅓㄴ" localSheetId="25" hidden="1">{#N/A,#N/A,TRUE,"대 차 대 조 표"}</definedName>
    <definedName name="ㅓㄴ" hidden="1">{#N/A,#N/A,TRUE,"대 차 대 조 표"}</definedName>
    <definedName name="ㅓ난"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난"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난"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난"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노" localSheetId="24" hidden="1">{#N/A,#N/A,TRUE,"대 차 대 조 표"}</definedName>
    <definedName name="ㅓ노" localSheetId="18" hidden="1">{#N/A,#N/A,TRUE,"대 차 대 조 표"}</definedName>
    <definedName name="ㅓ노" localSheetId="25" hidden="1">{#N/A,#N/A,TRUE,"대 차 대 조 표"}</definedName>
    <definedName name="ㅓ노" hidden="1">{#N/A,#N/A,TRUE,"대 차 대 조 표"}</definedName>
    <definedName name="ㅓㄹ온" localSheetId="24" hidden="1">{#N/A,#N/A,FALSE,"동부"}</definedName>
    <definedName name="ㅓㄹ온" localSheetId="18" hidden="1">{#N/A,#N/A,FALSE,"동부"}</definedName>
    <definedName name="ㅓㄹ온" localSheetId="25" hidden="1">{#N/A,#N/A,FALSE,"동부"}</definedName>
    <definedName name="ㅓㄹ온" hidden="1">{#N/A,#N/A,FALSE,"동부"}</definedName>
    <definedName name="ㅓㅎㄹㄴ" localSheetId="24" hidden="1">{#N/A,#N/A,FALSE,"동부"}</definedName>
    <definedName name="ㅓㅎㄹㄴ" localSheetId="18" hidden="1">{#N/A,#N/A,FALSE,"동부"}</definedName>
    <definedName name="ㅓㅎㄹㄴ" localSheetId="25" hidden="1">{#N/A,#N/A,FALSE,"동부"}</definedName>
    <definedName name="ㅓㅎㄹㄴ" hidden="1">{#N/A,#N/A,FALSE,"동부"}</definedName>
    <definedName name="ㅓㅎㄹ논" localSheetId="24" hidden="1">{#N/A,#N/A,TRUE,"대 차 대 조 표"}</definedName>
    <definedName name="ㅓㅎㄹ논" localSheetId="18" hidden="1">{#N/A,#N/A,TRUE,"대 차 대 조 표"}</definedName>
    <definedName name="ㅓㅎㄹ논" localSheetId="25" hidden="1">{#N/A,#N/A,TRUE,"대 차 대 조 표"}</definedName>
    <definedName name="ㅓㅎㄹ논" hidden="1">{#N/A,#N/A,TRUE,"대 차 대 조 표"}</definedName>
    <definedName name="ㅓㅎ로" localSheetId="24" hidden="1">{"AJD",#N/A,TRUE,"Summary";"AJD",#N/A,TRUE,"CFCONC-outputs";"AJD",#N/A,TRUE,"P&amp;LCONC-outputs";"AJD",#N/A,TRUE,"BSCONC-outputs";"AJD",#N/A,TRUE,"FSCONC-outputs"}</definedName>
    <definedName name="ㅓㅎ로" localSheetId="18" hidden="1">{"AJD",#N/A,TRUE,"Summary";"AJD",#N/A,TRUE,"CFCONC-outputs";"AJD",#N/A,TRUE,"P&amp;LCONC-outputs";"AJD",#N/A,TRUE,"BSCONC-outputs";"AJD",#N/A,TRUE,"FSCONC-outputs"}</definedName>
    <definedName name="ㅓㅎ로" localSheetId="25" hidden="1">{"AJD",#N/A,TRUE,"Summary";"AJD",#N/A,TRUE,"CFCONC-outputs";"AJD",#N/A,TRUE,"P&amp;LCONC-outputs";"AJD",#N/A,TRUE,"BSCONC-outputs";"AJD",#N/A,TRUE,"FSCONC-outputs"}</definedName>
    <definedName name="ㅓㅎ로" hidden="1">{"AJD",#N/A,TRUE,"Summary";"AJD",#N/A,TRUE,"CFCONC-outputs";"AJD",#N/A,TRUE,"P&amp;LCONC-outputs";"AJD",#N/A,TRUE,"BSCONC-outputs";"AJD",#N/A,TRUE,"FSCONC-outputs"}</definedName>
    <definedName name="ㅓㅏ" localSheetId="24" hidden="1">{#N/A,#N/A,TRUE,"대 차 대 조 표"}</definedName>
    <definedName name="ㅓㅏ" localSheetId="18" hidden="1">{#N/A,#N/A,TRUE,"대 차 대 조 표"}</definedName>
    <definedName name="ㅓㅏ" localSheetId="25" hidden="1">{#N/A,#N/A,TRUE,"대 차 대 조 표"}</definedName>
    <definedName name="ㅓㅏ" hidden="1">{#N/A,#N/A,TRUE,"대 차 대 조 표"}</definedName>
    <definedName name="ㅓㅏㅓ"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ㅓㅏㅓ"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ㅓㅏㅓ"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ㅓㅏㅓ" hidden="1">{#N/A,#N/A,FALSE,"손익표지";#N/A,#N/A,FALSE,"손익계산";#N/A,#N/A,FALSE,"일반관리비";#N/A,#N/A,FALSE,"영업외수익";#N/A,#N/A,FALSE,"영업외비용";#N/A,#N/A,FALSE,"매출액";#N/A,#N/A,FALSE,"요약손익";#N/A,#N/A,FALSE,"요약대차";#N/A,#N/A,FALSE,"매출채권현황";#N/A,#N/A,FALSE,"매출채권명세"}</definedName>
    <definedName name="ㅓㅓ"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ㅏ니ㅣㅇ"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ㅏ니ㅣㅇ"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ㅏ니ㅣㅇ"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ㅏ니ㅣ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ㅓ" localSheetId="24" hidden="1">{#N/A,#N/A,FALSE,"97년 투자계획 세부내역 "}</definedName>
    <definedName name="ㅓㅓㅓ" localSheetId="18" hidden="1">{#N/A,#N/A,FALSE,"97년 투자계획 세부내역 "}</definedName>
    <definedName name="ㅓㅓㅓ" localSheetId="25" hidden="1">{#N/A,#N/A,FALSE,"97년 투자계획 세부내역 "}</definedName>
    <definedName name="ㅓㅓㅓ" hidden="1">{#N/A,#N/A,FALSE,"97년 투자계획 세부내역 "}</definedName>
    <definedName name="ㅓㅓㅓㄴ"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ㅓㄴ"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ㅓㄴ"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ㅓ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ㅗㅎㄹㅇㄴ" localSheetId="24" hidden="1">{#N/A,#N/A,FALSE,"동부"}</definedName>
    <definedName name="ㅓㅗㅎㄹㅇㄴ" localSheetId="18" hidden="1">{#N/A,#N/A,FALSE,"동부"}</definedName>
    <definedName name="ㅓㅗㅎㄹㅇㄴ" localSheetId="25" hidden="1">{#N/A,#N/A,FALSE,"동부"}</definedName>
    <definedName name="ㅓㅗㅎㄹㅇㄴ" hidden="1">{#N/A,#N/A,FALSE,"동부"}</definedName>
    <definedName name="ㅔ" localSheetId="24" hidden="1">{#N/A,#N/A,TRUE,"대 차 대 조 표"}</definedName>
    <definedName name="ㅔ" localSheetId="18" hidden="1">{#N/A,#N/A,TRUE,"대 차 대 조 표"}</definedName>
    <definedName name="ㅔ" localSheetId="25" hidden="1">{#N/A,#N/A,TRUE,"대 차 대 조 표"}</definedName>
    <definedName name="ㅔ" hidden="1">{#N/A,#N/A,TRUE,"대 차 대 조 표"}</definedName>
    <definedName name="ㅔㅣ" localSheetId="24" hidden="1">{"'용역비'!$A$4:$C$8"}</definedName>
    <definedName name="ㅔㅣ" localSheetId="18" hidden="1">{"'용역비'!$A$4:$C$8"}</definedName>
    <definedName name="ㅔㅣ" localSheetId="25" hidden="1">{"'용역비'!$A$4:$C$8"}</definedName>
    <definedName name="ㅔㅣ" hidden="1">{"'용역비'!$A$4:$C$8"}</definedName>
    <definedName name="ㅕ" localSheetId="24" hidden="1">{#N/A,#N/A,FALSE,"BS";#N/A,#N/A,FALSE,"PL";#N/A,#N/A,FALSE,"처분";#N/A,#N/A,FALSE,"현금";#N/A,#N/A,FALSE,"매출";#N/A,#N/A,FALSE,"원가";#N/A,#N/A,FALSE,"경영"}</definedName>
    <definedName name="ㅕ" localSheetId="18" hidden="1">{#N/A,#N/A,FALSE,"BS";#N/A,#N/A,FALSE,"PL";#N/A,#N/A,FALSE,"처분";#N/A,#N/A,FALSE,"현금";#N/A,#N/A,FALSE,"매출";#N/A,#N/A,FALSE,"원가";#N/A,#N/A,FALSE,"경영"}</definedName>
    <definedName name="ㅕ" localSheetId="25" hidden="1">{#N/A,#N/A,FALSE,"BS";#N/A,#N/A,FALSE,"PL";#N/A,#N/A,FALSE,"처분";#N/A,#N/A,FALSE,"현금";#N/A,#N/A,FALSE,"매출";#N/A,#N/A,FALSE,"원가";#N/A,#N/A,FALSE,"경영"}</definedName>
    <definedName name="ㅕ" hidden="1">{#N/A,#N/A,FALSE,"BS";#N/A,#N/A,FALSE,"PL";#N/A,#N/A,FALSE,"처분";#N/A,#N/A,FALSE,"현금";#N/A,#N/A,FALSE,"매출";#N/A,#N/A,FALSE,"원가";#N/A,#N/A,FALSE,"경영"}</definedName>
    <definedName name="ㅕ6ㅕㅕ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ㅕ6ㅕㅕㅅ"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ㅕ6ㅕㅕㅅ"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ㅕ6ㅕㅕㅅ" hidden="1">{#N/A,#N/A,FALSE,"손익표지";#N/A,#N/A,FALSE,"손익계산";#N/A,#N/A,FALSE,"일반관리비";#N/A,#N/A,FALSE,"영업외수익";#N/A,#N/A,FALSE,"영업외비용";#N/A,#N/A,FALSE,"매출액";#N/A,#N/A,FALSE,"요약손익";#N/A,#N/A,FALSE,"요약대차";#N/A,#N/A,FALSE,"매출채권현황";#N/A,#N/A,FALSE,"매출채권명세"}</definedName>
    <definedName name="ㅕ겨겨"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ㅕ겨겨"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ㅕ겨겨"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ㅕ겨겨"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ㅕㄷ" localSheetId="24" hidden="1">{#N/A,#N/A,TRUE,"대 차 대 조 표"}</definedName>
    <definedName name="ㅕㄷ" localSheetId="18" hidden="1">{#N/A,#N/A,TRUE,"대 차 대 조 표"}</definedName>
    <definedName name="ㅕㄷ" localSheetId="25" hidden="1">{#N/A,#N/A,TRUE,"대 차 대 조 표"}</definedName>
    <definedName name="ㅕㄷ" hidden="1">{#N/A,#N/A,TRUE,"대 차 대 조 표"}</definedName>
    <definedName name="ㅕㄹㅇ려ㅗ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ㅕㄹㅇ려ㅗ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ㅕㄹㅇ려ㅗㅇ"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ㅕㄹㅇ려ㅗㅇ" hidden="1">{#N/A,#N/A,FALSE,"손익표지";#N/A,#N/A,FALSE,"손익계산";#N/A,#N/A,FALSE,"일반관리비";#N/A,#N/A,FALSE,"영업외수익";#N/A,#N/A,FALSE,"영업외비용";#N/A,#N/A,FALSE,"매출액";#N/A,#N/A,FALSE,"요약손익";#N/A,#N/A,FALSE,"요약대차";#N/A,#N/A,FALSE,"매출채권현황";#N/A,#N/A,FALSE,"매출채권명세"}</definedName>
    <definedName name="ㅕ셧"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ㅕ셧"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ㅕ셧"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ㅕ셧" hidden="1">{#N/A,#N/A,FALSE,"손익표지";#N/A,#N/A,FALSE,"손익계산";#N/A,#N/A,FALSE,"일반관리비";#N/A,#N/A,FALSE,"영업외수익";#N/A,#N/A,FALSE,"영업외비용";#N/A,#N/A,FALSE,"매출액";#N/A,#N/A,FALSE,"요약손익";#N/A,#N/A,FALSE,"요약대차";#N/A,#N/A,FALSE,"매출채권현황";#N/A,#N/A,FALSE,"매출채권명세"}</definedName>
    <definedName name="ㅕㅏㅑㅣ" localSheetId="24" hidden="1">{#N/A,#N/A,FALSE,"96 3월물량표";#N/A,#N/A,FALSE,"96 4월물량표";#N/A,#N/A,FALSE,"96 5월물량표"}</definedName>
    <definedName name="ㅕㅏㅑㅣ" localSheetId="18" hidden="1">{#N/A,#N/A,FALSE,"96 3월물량표";#N/A,#N/A,FALSE,"96 4월물량표";#N/A,#N/A,FALSE,"96 5월물량표"}</definedName>
    <definedName name="ㅕㅏㅑㅣ" localSheetId="25" hidden="1">{#N/A,#N/A,FALSE,"96 3월물량표";#N/A,#N/A,FALSE,"96 4월물량표";#N/A,#N/A,FALSE,"96 5월물량표"}</definedName>
    <definedName name="ㅕㅏㅑㅣ" hidden="1">{#N/A,#N/A,FALSE,"96 3월물량표";#N/A,#N/A,FALSE,"96 4월물량표";#N/A,#N/A,FALSE,"96 5월물량표"}</definedName>
    <definedName name="ㅕㅑㅑㅕ"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ㅕㅑㅑㅕ"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ㅕㅑㅑㅕ"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ㅕㅑㅑㅕ" hidden="1">{#N/A,#N/A,FALSE,"손익표지";#N/A,#N/A,FALSE,"손익계산";#N/A,#N/A,FALSE,"일반관리비";#N/A,#N/A,FALSE,"영업외수익";#N/A,#N/A,FALSE,"영업외비용";#N/A,#N/A,FALSE,"매출액";#N/A,#N/A,FALSE,"요약손익";#N/A,#N/A,FALSE,"요약대차";#N/A,#N/A,FALSE,"매출채권현황";#N/A,#N/A,FALSE,"매출채권명세"}</definedName>
    <definedName name="ㅕㅓ" localSheetId="24" hidden="1">{#N/A,#N/A,TRUE,"대 차 대 조 표"}</definedName>
    <definedName name="ㅕㅓ" localSheetId="18" hidden="1">{#N/A,#N/A,TRUE,"대 차 대 조 표"}</definedName>
    <definedName name="ㅕㅓ" localSheetId="25" hidden="1">{#N/A,#N/A,TRUE,"대 차 대 조 표"}</definedName>
    <definedName name="ㅕㅓ" hidden="1">{#N/A,#N/A,TRUE,"대 차 대 조 표"}</definedName>
    <definedName name="ㅗ" localSheetId="24" hidden="1">{#N/A,#N/A,FALSE,"BS";#N/A,#N/A,FALSE,"PL";#N/A,#N/A,FALSE,"처분";#N/A,#N/A,FALSE,"현금";#N/A,#N/A,FALSE,"매출";#N/A,#N/A,FALSE,"원가";#N/A,#N/A,FALSE,"경영"}</definedName>
    <definedName name="ㅗ" localSheetId="18" hidden="1">{#N/A,#N/A,FALSE,"BS";#N/A,#N/A,FALSE,"PL";#N/A,#N/A,FALSE,"처분";#N/A,#N/A,FALSE,"현금";#N/A,#N/A,FALSE,"매출";#N/A,#N/A,FALSE,"원가";#N/A,#N/A,FALSE,"경영"}</definedName>
    <definedName name="ㅗ" localSheetId="25" hidden="1">{#N/A,#N/A,FALSE,"BS";#N/A,#N/A,FALSE,"PL";#N/A,#N/A,FALSE,"처분";#N/A,#N/A,FALSE,"현금";#N/A,#N/A,FALSE,"매출";#N/A,#N/A,FALSE,"원가";#N/A,#N/A,FALSE,"경영"}</definedName>
    <definedName name="ㅗ" hidden="1">{#N/A,#N/A,FALSE,"BS";#N/A,#N/A,FALSE,"PL";#N/A,#N/A,FALSE,"처분";#N/A,#N/A,FALSE,"현금";#N/A,#N/A,FALSE,"매출";#N/A,#N/A,FALSE,"원가";#N/A,#N/A,FALSE,"경영"}</definedName>
    <definedName name="ㅗㄴㄹㅇㄴ" localSheetId="24" hidden="1">{#N/A,#N/A,FALSE,"동부"}</definedName>
    <definedName name="ㅗㄴㄹㅇㄴ" localSheetId="18" hidden="1">{#N/A,#N/A,FALSE,"동부"}</definedName>
    <definedName name="ㅗㄴㄹㅇㄴ" localSheetId="25" hidden="1">{#N/A,#N/A,FALSE,"동부"}</definedName>
    <definedName name="ㅗㄴㄹㅇㄴ" hidden="1">{#N/A,#N/A,FALSE,"동부"}</definedName>
    <definedName name="ㅗㄴㅇㅇㄷ" localSheetId="24" hidden="1">{#N/A,#N/A,FALSE,"동부"}</definedName>
    <definedName name="ㅗㄴㅇㅇㄷ" localSheetId="18" hidden="1">{#N/A,#N/A,FALSE,"동부"}</definedName>
    <definedName name="ㅗㄴㅇㅇㄷ" localSheetId="25" hidden="1">{#N/A,#N/A,FALSE,"동부"}</definedName>
    <definedName name="ㅗㄴㅇㅇㄷ" hidden="1">{#N/A,#N/A,FALSE,"동부"}</definedName>
    <definedName name="ㅗ노" localSheetId="24" hidden="1">{#N/A,#N/A,TRUE,"대 차 대 조 표"}</definedName>
    <definedName name="ㅗ노" localSheetId="18" hidden="1">{#N/A,#N/A,TRUE,"대 차 대 조 표"}</definedName>
    <definedName name="ㅗ노" localSheetId="25" hidden="1">{#N/A,#N/A,TRUE,"대 차 대 조 표"}</definedName>
    <definedName name="ㅗ노" hidden="1">{#N/A,#N/A,TRUE,"대 차 대 조 표"}</definedName>
    <definedName name="ㅗㄷ" localSheetId="24" hidden="1">{#N/A,#N/A,FALSE,"동부"}</definedName>
    <definedName name="ㅗㄷ" localSheetId="18" hidden="1">{#N/A,#N/A,FALSE,"동부"}</definedName>
    <definedName name="ㅗㄷ" localSheetId="25" hidden="1">{#N/A,#N/A,FALSE,"동부"}</definedName>
    <definedName name="ㅗㄷ" hidden="1">{#N/A,#N/A,FALSE,"동부"}</definedName>
    <definedName name="ㅗㄹㄴ" localSheetId="24" hidden="1">{#N/A,#N/A,TRUE,"대 차 대 조 표"}</definedName>
    <definedName name="ㅗㄹㄴ" localSheetId="18" hidden="1">{#N/A,#N/A,TRUE,"대 차 대 조 표"}</definedName>
    <definedName name="ㅗㄹㄴ" localSheetId="25" hidden="1">{#N/A,#N/A,TRUE,"대 차 대 조 표"}</definedName>
    <definedName name="ㅗㄹㄴ" hidden="1">{#N/A,#N/A,TRUE,"대 차 대 조 표"}</definedName>
    <definedName name="ㅗㄹㅇ" localSheetId="24" hidden="1">{#N/A,#N/A,FALSE,"동부"}</definedName>
    <definedName name="ㅗㄹㅇ" localSheetId="18" hidden="1">{#N/A,#N/A,FALSE,"동부"}</definedName>
    <definedName name="ㅗㄹㅇ" localSheetId="25" hidden="1">{#N/A,#N/A,FALSE,"동부"}</definedName>
    <definedName name="ㅗㄹㅇ" hidden="1">{#N/A,#N/A,FALSE,"동부"}</definedName>
    <definedName name="ㅗㄹㅇㅁ" localSheetId="24" hidden="1">{"OpCostIn Technical",#N/A,FALSE,"Operations Cost Inputs";"OpCostIn V plus F",#N/A,FALSE,"Operations Cost Inputs";"OpCostIn Maint",#N/A,FALSE,"Operations Cost Inputs";"OpCostIn LDs Add Cost",#N/A,FALSE,"Operations Cost Inputs"}</definedName>
    <definedName name="ㅗㄹㅇㅁ" localSheetId="18" hidden="1">{"OpCostIn Technical",#N/A,FALSE,"Operations Cost Inputs";"OpCostIn V plus F",#N/A,FALSE,"Operations Cost Inputs";"OpCostIn Maint",#N/A,FALSE,"Operations Cost Inputs";"OpCostIn LDs Add Cost",#N/A,FALSE,"Operations Cost Inputs"}</definedName>
    <definedName name="ㅗㄹㅇㅁ" localSheetId="25" hidden="1">{"OpCostIn Technical",#N/A,FALSE,"Operations Cost Inputs";"OpCostIn V plus F",#N/A,FALSE,"Operations Cost Inputs";"OpCostIn Maint",#N/A,FALSE,"Operations Cost Inputs";"OpCostIn LDs Add Cost",#N/A,FALSE,"Operations Cost Inputs"}</definedName>
    <definedName name="ㅗㄹㅇㅁ" hidden="1">{"OpCostIn Technical",#N/A,FALSE,"Operations Cost Inputs";"OpCostIn V plus F",#N/A,FALSE,"Operations Cost Inputs";"OpCostIn Maint",#N/A,FALSE,"Operations Cost Inputs";"OpCostIn LDs Add Cost",#N/A,FALSE,"Operations Cost Inputs"}</definedName>
    <definedName name="ㅗㄹ호"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ㅗㄹ호"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ㅗㄹ호" localSheetId="25"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ㅗㄹ호"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ㅗ로ㅓㅗㅓ허ㅏ" localSheetId="24" hidden="1">{#N/A,#N/A,FALSE,"CAM-G7";#N/A,#N/A,FALSE,"SPL";#N/A,#N/A,FALSE,"butt-in G7";#N/A,#N/A,FALSE,"dia-in G7";#N/A,#N/A,FALSE,"추가-STA G7"}</definedName>
    <definedName name="ㅗ로ㅓㅗㅓ허ㅏ" localSheetId="18" hidden="1">{#N/A,#N/A,FALSE,"CAM-G7";#N/A,#N/A,FALSE,"SPL";#N/A,#N/A,FALSE,"butt-in G7";#N/A,#N/A,FALSE,"dia-in G7";#N/A,#N/A,FALSE,"추가-STA G7"}</definedName>
    <definedName name="ㅗ로ㅓㅗㅓ허ㅏ" localSheetId="25" hidden="1">{#N/A,#N/A,FALSE,"CAM-G7";#N/A,#N/A,FALSE,"SPL";#N/A,#N/A,FALSE,"butt-in G7";#N/A,#N/A,FALSE,"dia-in G7";#N/A,#N/A,FALSE,"추가-STA G7"}</definedName>
    <definedName name="ㅗ로ㅓㅗㅓ허ㅏ" hidden="1">{#N/A,#N/A,FALSE,"CAM-G7";#N/A,#N/A,FALSE,"SPL";#N/A,#N/A,FALSE,"butt-in G7";#N/A,#N/A,FALSE,"dia-in G7";#N/A,#N/A,FALSE,"추가-STA G7"}</definedName>
    <definedName name="ㅗ마ㅓ리"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마ㅓ리"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마ㅓ리"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마ㅓ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ㅅㄶㄹ" localSheetId="24" hidden="1">{#N/A,#N/A,FALSE,"동부"}</definedName>
    <definedName name="ㅗㅅㄶㄹ" localSheetId="18" hidden="1">{#N/A,#N/A,FALSE,"동부"}</definedName>
    <definedName name="ㅗㅅㄶㄹ" localSheetId="25" hidden="1">{#N/A,#N/A,FALSE,"동부"}</definedName>
    <definedName name="ㅗㅅㄶㄹ" hidden="1">{#N/A,#N/A,FALSE,"동부"}</definedName>
    <definedName name="ㅗㅇㄴ" localSheetId="24" hidden="1">{"AJD",#N/A,TRUE,"Summary";"AJD",#N/A,TRUE,"CFCONC-outputs";"AJD",#N/A,TRUE,"P&amp;LCONC-outputs";"AJD",#N/A,TRUE,"BSCONC-outputs";"AJD",#N/A,TRUE,"FSCONC-outputs"}</definedName>
    <definedName name="ㅗㅇㄴ" localSheetId="18" hidden="1">{"AJD",#N/A,TRUE,"Summary";"AJD",#N/A,TRUE,"CFCONC-outputs";"AJD",#N/A,TRUE,"P&amp;LCONC-outputs";"AJD",#N/A,TRUE,"BSCONC-outputs";"AJD",#N/A,TRUE,"FSCONC-outputs"}</definedName>
    <definedName name="ㅗㅇㄴ" localSheetId="25" hidden="1">{"AJD",#N/A,TRUE,"Summary";"AJD",#N/A,TRUE,"CFCONC-outputs";"AJD",#N/A,TRUE,"P&amp;LCONC-outputs";"AJD",#N/A,TRUE,"BSCONC-outputs";"AJD",#N/A,TRUE,"FSCONC-outputs"}</definedName>
    <definedName name="ㅗㅇㄴ" hidden="1">{"AJD",#N/A,TRUE,"Summary";"AJD",#N/A,TRUE,"CFCONC-outputs";"AJD",#N/A,TRUE,"P&amp;LCONC-outputs";"AJD",#N/A,TRUE,"BSCONC-outputs";"AJD",#N/A,TRUE,"FSCONC-outputs"}</definedName>
    <definedName name="ㅗㅇㄹ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ㅇㄹ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ㅗㅇㄹ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ㅗㅇㄹㄹ" hidden="1">{#N/A,#N/A,FALSE,"손익표지";#N/A,#N/A,FALSE,"손익계산";#N/A,#N/A,FALSE,"일반관리비";#N/A,#N/A,FALSE,"영업외수익";#N/A,#N/A,FALSE,"영업외비용";#N/A,#N/A,FALSE,"매출액";#N/A,#N/A,FALSE,"요약손익";#N/A,#N/A,FALSE,"요약대차";#N/A,#N/A,FALSE,"매출채권현황";#N/A,#N/A,FALSE,"매출채권명세"}</definedName>
    <definedName name="ㅗㅎㄴ" localSheetId="24" hidden="1">{#N/A,#N/A,FALSE,"동부"}</definedName>
    <definedName name="ㅗㅎㄴ" localSheetId="18" hidden="1">{#N/A,#N/A,FALSE,"동부"}</definedName>
    <definedName name="ㅗㅎㄴ" localSheetId="25" hidden="1">{#N/A,#N/A,FALSE,"동부"}</definedName>
    <definedName name="ㅗㅎㄴ" hidden="1">{#N/A,#N/A,FALSE,"동부"}</definedName>
    <definedName name="ㅗㅎ롯" localSheetId="24" hidden="1">{#N/A,#N/A,TRUE,"대 차 대 조 표"}</definedName>
    <definedName name="ㅗㅎ롯" localSheetId="18" hidden="1">{#N/A,#N/A,TRUE,"대 차 대 조 표"}</definedName>
    <definedName name="ㅗㅎ롯" localSheetId="25" hidden="1">{#N/A,#N/A,TRUE,"대 차 대 조 표"}</definedName>
    <definedName name="ㅗㅎ롯" hidden="1">{#N/A,#N/A,TRUE,"대 차 대 조 표"}</definedName>
    <definedName name="ㅗㅎㅀㄹ" localSheetId="24" hidden="1">{#N/A,#N/A,FALSE,"동부"}</definedName>
    <definedName name="ㅗㅎㅀㄹ" localSheetId="18" hidden="1">{#N/A,#N/A,FALSE,"동부"}</definedName>
    <definedName name="ㅗㅎㅀㄹ" localSheetId="25" hidden="1">{#N/A,#N/A,FALSE,"동부"}</definedName>
    <definedName name="ㅗㅎㅀㄹ" hidden="1">{#N/A,#N/A,FALSE,"동부"}</definedName>
    <definedName name="ㅗㅎㅎ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ㅎㅎ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ㅗㅎㅎ로"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ㅗㅎㅎ로" hidden="1">{#N/A,#N/A,FALSE,"손익표지";#N/A,#N/A,FALSE,"손익계산";#N/A,#N/A,FALSE,"일반관리비";#N/A,#N/A,FALSE,"영업외수익";#N/A,#N/A,FALSE,"영업외비용";#N/A,#N/A,FALSE,"매출액";#N/A,#N/A,FALSE,"요약손익";#N/A,#N/A,FALSE,"요약대차";#N/A,#N/A,FALSE,"매출채권현황";#N/A,#N/A,FALSE,"매출채권명세"}</definedName>
    <definedName name="ㅗ하ㅣㄴ어ㅗ뢔ㅑㅇㅈ" localSheetId="24" hidden="1">{#N/A,#N/A,FALSE,"CCTV"}</definedName>
    <definedName name="ㅗ하ㅣㄴ어ㅗ뢔ㅑㅇㅈ" localSheetId="18" hidden="1">{#N/A,#N/A,FALSE,"CCTV"}</definedName>
    <definedName name="ㅗ하ㅣㄴ어ㅗ뢔ㅑㅇㅈ" localSheetId="25" hidden="1">{#N/A,#N/A,FALSE,"CCTV"}</definedName>
    <definedName name="ㅗ하ㅣㄴ어ㅗ뢔ㅑㅇㅈ" hidden="1">{#N/A,#N/A,FALSE,"CCTV"}</definedName>
    <definedName name="ㅗ허호ㅓ"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허호ㅓ"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ㅗ허호ㅓ"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ㅗ허호ㅓ" hidden="1">{#N/A,#N/A,FALSE,"손익표지";#N/A,#N/A,FALSE,"손익계산";#N/A,#N/A,FALSE,"일반관리비";#N/A,#N/A,FALSE,"영업외수익";#N/A,#N/A,FALSE,"영업외비용";#N/A,#N/A,FALSE,"매출액";#N/A,#N/A,FALSE,"요약손익";#N/A,#N/A,FALSE,"요약대차";#N/A,#N/A,FALSE,"매출채권현황";#N/A,#N/A,FALSE,"매출채권명세"}</definedName>
    <definedName name="ㅗ호호"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호호"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ㅗ호호"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ㅗ호호" hidden="1">{#N/A,#N/A,FALSE,"손익표지";#N/A,#N/A,FALSE,"손익계산";#N/A,#N/A,FALSE,"일반관리비";#N/A,#N/A,FALSE,"영업외수익";#N/A,#N/A,FALSE,"영업외비용";#N/A,#N/A,FALSE,"매출액";#N/A,#N/A,FALSE,"요약손익";#N/A,#N/A,FALSE,"요약대차";#N/A,#N/A,FALSE,"매출채권현황";#N/A,#N/A,FALSE,"매출채권명세"}</definedName>
    <definedName name="ㅗ호ㅗㅎ"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호ㅗㅎ"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ㅗ호ㅗㅎ"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ㅗ호ㅗㅎ" hidden="1">{#N/A,#N/A,FALSE,"손익표지";#N/A,#N/A,FALSE,"손익계산";#N/A,#N/A,FALSE,"일반관리비";#N/A,#N/A,FALSE,"영업외수익";#N/A,#N/A,FALSE,"영업외비용";#N/A,#N/A,FALSE,"매출액";#N/A,#N/A,FALSE,"요약손익";#N/A,#N/A,FALSE,"요약대차";#N/A,#N/A,FALSE,"매출채권현황";#N/A,#N/A,FALSE,"매출채권명세"}</definedName>
    <definedName name="ㅗㅓ" localSheetId="24" hidden="1">{#N/A,#N/A,TRUE,"대 차 대 조 표"}</definedName>
    <definedName name="ㅗㅓ" localSheetId="18" hidden="1">{#N/A,#N/A,TRUE,"대 차 대 조 표"}</definedName>
    <definedName name="ㅗㅓ" localSheetId="25" hidden="1">{#N/A,#N/A,TRUE,"대 차 대 조 표"}</definedName>
    <definedName name="ㅗㅓ" hidden="1">{#N/A,#N/A,TRUE,"대 차 대 조 표"}</definedName>
    <definedName name="ㅗㅓㅅㄱㅈㅅ" localSheetId="24" hidden="1">{#N/A,#N/A,FALSE,"동부"}</definedName>
    <definedName name="ㅗㅓㅅㄱㅈㅅ" localSheetId="18" hidden="1">{#N/A,#N/A,FALSE,"동부"}</definedName>
    <definedName name="ㅗㅓㅅㄱㅈㅅ" localSheetId="25" hidden="1">{#N/A,#N/A,FALSE,"동부"}</definedName>
    <definedName name="ㅗㅓㅅㄱㅈㅅ" hidden="1">{#N/A,#N/A,FALSE,"동부"}</definedName>
    <definedName name="ㅗㅓ하ㅓ하ㅓㅗ" localSheetId="24" hidden="1">{#N/A,#N/A,FALSE,"CAM-G7";#N/A,#N/A,FALSE,"SPL";#N/A,#N/A,FALSE,"butt-in G7";#N/A,#N/A,FALSE,"dia-in G7";#N/A,#N/A,FALSE,"추가-STA G7"}</definedName>
    <definedName name="ㅗㅓ하ㅓ하ㅓㅗ" localSheetId="18" hidden="1">{#N/A,#N/A,FALSE,"CAM-G7";#N/A,#N/A,FALSE,"SPL";#N/A,#N/A,FALSE,"butt-in G7";#N/A,#N/A,FALSE,"dia-in G7";#N/A,#N/A,FALSE,"추가-STA G7"}</definedName>
    <definedName name="ㅗㅓ하ㅓ하ㅓㅗ" localSheetId="25" hidden="1">{#N/A,#N/A,FALSE,"CAM-G7";#N/A,#N/A,FALSE,"SPL";#N/A,#N/A,FALSE,"butt-in G7";#N/A,#N/A,FALSE,"dia-in G7";#N/A,#N/A,FALSE,"추가-STA G7"}</definedName>
    <definedName name="ㅗㅓ하ㅓ하ㅓㅗ" hidden="1">{#N/A,#N/A,FALSE,"CAM-G7";#N/A,#N/A,FALSE,"SPL";#N/A,#N/A,FALSE,"butt-in G7";#N/A,#N/A,FALSE,"dia-in G7";#N/A,#N/A,FALSE,"추가-STA G7"}</definedName>
    <definedName name="ㅗㅓㅗㅓ"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ㅓㅗㅓ"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ㅗㅓㅗㅓ"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ㅗㅓㅗㅓ" hidden="1">{#N/A,#N/A,FALSE,"손익표지";#N/A,#N/A,FALSE,"손익계산";#N/A,#N/A,FALSE,"일반관리비";#N/A,#N/A,FALSE,"영업외수익";#N/A,#N/A,FALSE,"영업외비용";#N/A,#N/A,FALSE,"매출액";#N/A,#N/A,FALSE,"요약손익";#N/A,#N/A,FALSE,"요약대차";#N/A,#N/A,FALSE,"매출채권현황";#N/A,#N/A,FALSE,"매출채권명세"}</definedName>
    <definedName name="ㅗㅓㅣ" localSheetId="24" hidden="1">{#N/A,#N/A,FALSE,"업체선정";#N/A,#N/A,FALSE,"업체선정sheet";#N/A,#N/A,FALSE,"업체실태";#N/A,#N/A,FALSE,"업체실태(1)";#N/A,#N/A,FALSE,"종업원현황(2)";#N/A,#N/A,FALSE,"생산품목(3)";#N/A,#N/A,FALSE,"장비보유현황";#N/A,#N/A,FALSE,"차량및약도";#N/A,#N/A,FALSE,"금형LIST"}</definedName>
    <definedName name="ㅗㅓㅣ" localSheetId="18" hidden="1">{#N/A,#N/A,FALSE,"업체선정";#N/A,#N/A,FALSE,"업체선정sheet";#N/A,#N/A,FALSE,"업체실태";#N/A,#N/A,FALSE,"업체실태(1)";#N/A,#N/A,FALSE,"종업원현황(2)";#N/A,#N/A,FALSE,"생산품목(3)";#N/A,#N/A,FALSE,"장비보유현황";#N/A,#N/A,FALSE,"차량및약도";#N/A,#N/A,FALSE,"금형LIST"}</definedName>
    <definedName name="ㅗㅓㅣ" localSheetId="25" hidden="1">{#N/A,#N/A,FALSE,"업체선정";#N/A,#N/A,FALSE,"업체선정sheet";#N/A,#N/A,FALSE,"업체실태";#N/A,#N/A,FALSE,"업체실태(1)";#N/A,#N/A,FALSE,"종업원현황(2)";#N/A,#N/A,FALSE,"생산품목(3)";#N/A,#N/A,FALSE,"장비보유현황";#N/A,#N/A,FALSE,"차량및약도";#N/A,#N/A,FALSE,"금형LIST"}</definedName>
    <definedName name="ㅗㅓㅣ" hidden="1">{#N/A,#N/A,FALSE,"업체선정";#N/A,#N/A,FALSE,"업체선정sheet";#N/A,#N/A,FALSE,"업체실태";#N/A,#N/A,FALSE,"업체실태(1)";#N/A,#N/A,FALSE,"종업원현황(2)";#N/A,#N/A,FALSE,"생산품목(3)";#N/A,#N/A,FALSE,"장비보유현황";#N/A,#N/A,FALSE,"차량및약도";#N/A,#N/A,FALSE,"금형LIST"}</definedName>
    <definedName name="ㅗㅓㅣㅕ" localSheetId="24" hidden="1">{#N/A,#N/A,FALSE,"단축1";#N/A,#N/A,FALSE,"단축2";#N/A,#N/A,FALSE,"단축3";#N/A,#N/A,FALSE,"장축";#N/A,#N/A,FALSE,"4WD"}</definedName>
    <definedName name="ㅗㅓㅣㅕ" localSheetId="18" hidden="1">{#N/A,#N/A,FALSE,"단축1";#N/A,#N/A,FALSE,"단축2";#N/A,#N/A,FALSE,"단축3";#N/A,#N/A,FALSE,"장축";#N/A,#N/A,FALSE,"4WD"}</definedName>
    <definedName name="ㅗㅓㅣㅕ" localSheetId="25" hidden="1">{#N/A,#N/A,FALSE,"단축1";#N/A,#N/A,FALSE,"단축2";#N/A,#N/A,FALSE,"단축3";#N/A,#N/A,FALSE,"장축";#N/A,#N/A,FALSE,"4WD"}</definedName>
    <definedName name="ㅗㅓㅣㅕ" hidden="1">{#N/A,#N/A,FALSE,"단축1";#N/A,#N/A,FALSE,"단축2";#N/A,#N/A,FALSE,"단축3";#N/A,#N/A,FALSE,"장축";#N/A,#N/A,FALSE,"4WD"}</definedName>
    <definedName name="ㅗㅗ" localSheetId="24" hidden="1">{#N/A,#N/A,FALSE,"동부"}</definedName>
    <definedName name="ㅗㅗ" localSheetId="18" hidden="1">{#N/A,#N/A,FALSE,"동부"}</definedName>
    <definedName name="ㅗㅗ" localSheetId="25" hidden="1">{#N/A,#N/A,FALSE,"동부"}</definedName>
    <definedName name="ㅗㅗ" hidden="1">{#N/A,#N/A,FALSE,"동부"}</definedName>
    <definedName name="ㅗㅗㅎ"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ㅗㅎ"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ㅗㅗㅎ"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ㅗㅗㅎ" hidden="1">{#N/A,#N/A,FALSE,"손익표지";#N/A,#N/A,FALSE,"손익계산";#N/A,#N/A,FALSE,"일반관리비";#N/A,#N/A,FALSE,"영업외수익";#N/A,#N/A,FALSE,"영업외비용";#N/A,#N/A,FALSE,"매출액";#N/A,#N/A,FALSE,"요약손익";#N/A,#N/A,FALSE,"요약대차";#N/A,#N/A,FALSE,"매출채권현황";#N/A,#N/A,FALSE,"매출채권명세"}</definedName>
    <definedName name="ㅗㅗㅗ"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ㅗㅗ"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ㅗㅗ"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ㅗㅗ"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ㅘㅓㅣ" localSheetId="24" hidden="1">{#N/A,#N/A,TRUE,"Y생산";#N/A,#N/A,TRUE,"Y판매";#N/A,#N/A,TRUE,"Y총물량";#N/A,#N/A,TRUE,"Y능력";#N/A,#N/A,TRUE,"YKD"}</definedName>
    <definedName name="ㅘㅓㅣ" localSheetId="18" hidden="1">{#N/A,#N/A,TRUE,"Y생산";#N/A,#N/A,TRUE,"Y판매";#N/A,#N/A,TRUE,"Y총물량";#N/A,#N/A,TRUE,"Y능력";#N/A,#N/A,TRUE,"YKD"}</definedName>
    <definedName name="ㅘㅓㅣ" localSheetId="25" hidden="1">{#N/A,#N/A,TRUE,"Y생산";#N/A,#N/A,TRUE,"Y판매";#N/A,#N/A,TRUE,"Y총물량";#N/A,#N/A,TRUE,"Y능력";#N/A,#N/A,TRUE,"YKD"}</definedName>
    <definedName name="ㅘㅓㅣ" hidden="1">{#N/A,#N/A,TRUE,"Y생산";#N/A,#N/A,TRUE,"Y판매";#N/A,#N/A,TRUE,"Y총물량";#N/A,#N/A,TRUE,"Y능력";#N/A,#N/A,TRUE,"YKD"}</definedName>
    <definedName name="ㅛ" localSheetId="24" hidden="1">{"'용역비'!$A$4:$C$8"}</definedName>
    <definedName name="ㅛ" localSheetId="18" hidden="1">{"'용역비'!$A$4:$C$8"}</definedName>
    <definedName name="ㅛ" localSheetId="25" hidden="1">{"'용역비'!$A$4:$C$8"}</definedName>
    <definedName name="ㅛ" hidden="1">{"'용역비'!$A$4:$C$8"}</definedName>
    <definedName name="ㅛㄱㄷㄹㅇ" localSheetId="24" hidden="1">{"AJD",#N/A,TRUE,"Summary";"AJD",#N/A,TRUE,"CFCONC-outputs";"AJD",#N/A,TRUE,"P&amp;LCONC-outputs";"AJD",#N/A,TRUE,"BSCONC-outputs";"AJD",#N/A,TRUE,"FSCONC-outputs"}</definedName>
    <definedName name="ㅛㄱㄷㄹㅇ" localSheetId="18" hidden="1">{"AJD",#N/A,TRUE,"Summary";"AJD",#N/A,TRUE,"CFCONC-outputs";"AJD",#N/A,TRUE,"P&amp;LCONC-outputs";"AJD",#N/A,TRUE,"BSCONC-outputs";"AJD",#N/A,TRUE,"FSCONC-outputs"}</definedName>
    <definedName name="ㅛㄱㄷㄹㅇ" localSheetId="25" hidden="1">{"AJD",#N/A,TRUE,"Summary";"AJD",#N/A,TRUE,"CFCONC-outputs";"AJD",#N/A,TRUE,"P&amp;LCONC-outputs";"AJD",#N/A,TRUE,"BSCONC-outputs";"AJD",#N/A,TRUE,"FSCONC-outputs"}</definedName>
    <definedName name="ㅛㄱㄷㄹㅇ" hidden="1">{"AJD",#N/A,TRUE,"Summary";"AJD",#N/A,TRUE,"CFCONC-outputs";"AJD",#N/A,TRUE,"P&amp;LCONC-outputs";"AJD",#N/A,TRUE,"BSCONC-outputs";"AJD",#N/A,TRUE,"FSCONC-outputs"}</definedName>
    <definedName name="ㅛㄷㄶㅎ" localSheetId="24" hidden="1">{#N/A,#N/A,FALSE,"동부"}</definedName>
    <definedName name="ㅛㄷㄶㅎ" localSheetId="18" hidden="1">{#N/A,#N/A,FALSE,"동부"}</definedName>
    <definedName name="ㅛㄷㄶㅎ" localSheetId="25" hidden="1">{#N/A,#N/A,FALSE,"동부"}</definedName>
    <definedName name="ㅛㄷㄶㅎ" hidden="1">{#N/A,#N/A,FALSE,"동부"}</definedName>
    <definedName name="ㅛㅓㅛ"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ㅛㅓㅛ"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ㅛㅓㅛ"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ㅛㅓㅛ" hidden="1">{#N/A,#N/A,FALSE,"손익표지";#N/A,#N/A,FALSE,"손익계산";#N/A,#N/A,FALSE,"일반관리비";#N/A,#N/A,FALSE,"영업외수익";#N/A,#N/A,FALSE,"영업외비용";#N/A,#N/A,FALSE,"매출액";#N/A,#N/A,FALSE,"요약손익";#N/A,#N/A,FALSE,"요약대차";#N/A,#N/A,FALSE,"매출채권현황";#N/A,#N/A,FALSE,"매출채권명세"}</definedName>
    <definedName name="ㅛㅕ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ㅛㅕ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ㅛㅕ쇼"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ㅛㅕ쇼" hidden="1">{#N/A,#N/A,FALSE,"손익표지";#N/A,#N/A,FALSE,"손익계산";#N/A,#N/A,FALSE,"일반관리비";#N/A,#N/A,FALSE,"영업외수익";#N/A,#N/A,FALSE,"영업외비용";#N/A,#N/A,FALSE,"매출액";#N/A,#N/A,FALSE,"요약손익";#N/A,#N/A,FALSE,"요약대차";#N/A,#N/A,FALSE,"매출채권현황";#N/A,#N/A,FALSE,"매출채권명세"}</definedName>
    <definedName name="ㅛㅛ" localSheetId="24" hidden="1">{"'용역비'!$A$4:$C$8"}</definedName>
    <definedName name="ㅛㅛ" localSheetId="18" hidden="1">{"'용역비'!$A$4:$C$8"}</definedName>
    <definedName name="ㅛㅛ" localSheetId="25" hidden="1">{"'용역비'!$A$4:$C$8"}</definedName>
    <definedName name="ㅛㅛ" hidden="1">{"'용역비'!$A$4:$C$8"}</definedName>
    <definedName name="ㅛㅛㅛ"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ㅛㅛㅛ"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ㅛㅛㅛ"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ㅛㅛㅛ"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ㅜㅊ4263"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ㅜㅊ4263"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ㅜㅊ4263"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ㅜㅊ4263" hidden="1">{#N/A,#N/A,FALSE,"손익표지";#N/A,#N/A,FALSE,"손익계산";#N/A,#N/A,FALSE,"일반관리비";#N/A,#N/A,FALSE,"영업외수익";#N/A,#N/A,FALSE,"영업외비용";#N/A,#N/A,FALSE,"매출액";#N/A,#N/A,FALSE,"요약손익";#N/A,#N/A,FALSE,"요약대차";#N/A,#N/A,FALSE,"매출채권현황";#N/A,#N/A,FALSE,"매출채권명세"}</definedName>
    <definedName name="ㅜㅜㅜㅜ" localSheetId="24" hidden="1">{#N/A,#N/A,FALSE,"동부"}</definedName>
    <definedName name="ㅜㅜㅜㅜ" localSheetId="18" hidden="1">{#N/A,#N/A,FALSE,"동부"}</definedName>
    <definedName name="ㅜㅜㅜㅜ" localSheetId="25" hidden="1">{#N/A,#N/A,FALSE,"동부"}</definedName>
    <definedName name="ㅜㅜㅜㅜ" hidden="1">{#N/A,#N/A,FALSE,"동부"}</definedName>
    <definedName name="ㅜㅜㅜㅜㅜㅜㅜㅜㅜㅜㅜㅜㅜㅜㅜㅜㅜㅜㅜㅜㅜㅜㅜㅜㅜㅜㅜㅜㅜㅜㅜㅜㅜㅜㅜㅜㅜㅜㅜㅜㅜㅜ" localSheetId="24" hidden="1">{#N/A,#N/A,FALSE,"CCTV"}</definedName>
    <definedName name="ㅜㅜㅜㅜㅜㅜㅜㅜㅜㅜㅜㅜㅜㅜㅜㅜㅜㅜㅜㅜㅜㅜㅜㅜㅜㅜㅜㅜㅜㅜㅜㅜㅜㅜㅜㅜㅜㅜㅜㅜㅜㅜ" localSheetId="18" hidden="1">{#N/A,#N/A,FALSE,"CCTV"}</definedName>
    <definedName name="ㅜㅜㅜㅜㅜㅜㅜㅜㅜㅜㅜㅜㅜㅜㅜㅜㅜㅜㅜㅜㅜㅜㅜㅜㅜㅜㅜㅜㅜㅜㅜㅜㅜㅜㅜㅜㅜㅜㅜㅜㅜㅜ" localSheetId="25" hidden="1">{#N/A,#N/A,FALSE,"CCTV"}</definedName>
    <definedName name="ㅜㅜㅜㅜㅜㅜㅜㅜㅜㅜㅜㅜㅜㅜㅜㅜㅜㅜㅜㅜㅜㅜㅜㅜㅜㅜㅜㅜㅜㅜㅜㅜㅜㅜㅜㅜㅜㅜㅜㅜㅜㅜ" hidden="1">{#N/A,#N/A,FALSE,"CCTV"}</definedName>
    <definedName name="ㅟㅓㅇㄹ니" localSheetId="24">BlankMacro1</definedName>
    <definedName name="ㅟㅓㅇㄹ니" localSheetId="18">BlankMacro1</definedName>
    <definedName name="ㅟㅓㅇㄹ니" localSheetId="25">BlankMacro1</definedName>
    <definedName name="ㅟㅓㅇㄹ니" localSheetId="16">BlankMacro1</definedName>
    <definedName name="ㅟㅓㅇㄹ니">BlankMacro1</definedName>
    <definedName name="ㅠㄱ" localSheetId="24" hidden="1">{"'용역비'!$A$4:$C$8"}</definedName>
    <definedName name="ㅠㄱ" localSheetId="18" hidden="1">{"'용역비'!$A$4:$C$8"}</definedName>
    <definedName name="ㅠㄱ" localSheetId="25" hidden="1">{"'용역비'!$A$4:$C$8"}</definedName>
    <definedName name="ㅠㄱ" hidden="1">{"'용역비'!$A$4:$C$8"}</definedName>
    <definedName name="ㅠㅍㅊㄴㄹ" localSheetId="24" hidden="1">{#N/A,#N/A,FALSE,"동부"}</definedName>
    <definedName name="ㅠㅍㅊㄴㄹ" localSheetId="18" hidden="1">{#N/A,#N/A,FALSE,"동부"}</definedName>
    <definedName name="ㅠㅍㅊㄴㄹ" localSheetId="25" hidden="1">{#N/A,#N/A,FALSE,"동부"}</definedName>
    <definedName name="ㅠㅍㅊㄴㄹ" hidden="1">{#N/A,#N/A,FALSE,"동부"}</definedName>
    <definedName name="ㅠㅗㅠ" localSheetId="24" hidden="1">{#N/A,#N/A,FALSE,"골재소요량";#N/A,#N/A,FALSE,"골재소요량"}</definedName>
    <definedName name="ㅠㅗㅠ" localSheetId="18" hidden="1">{#N/A,#N/A,FALSE,"골재소요량";#N/A,#N/A,FALSE,"골재소요량"}</definedName>
    <definedName name="ㅠㅗㅠ" localSheetId="25" hidden="1">{#N/A,#N/A,FALSE,"골재소요량";#N/A,#N/A,FALSE,"골재소요량"}</definedName>
    <definedName name="ㅠㅗㅠ" hidden="1">{#N/A,#N/A,FALSE,"골재소요량";#N/A,#N/A,FALSE,"골재소요량"}</definedName>
    <definedName name="ㅠㅠㅠ" localSheetId="24" hidden="1">{#N/A,#N/A,FALSE,"지침";#N/A,#N/A,FALSE,"환경분석";#N/A,#N/A,FALSE,"Sheet16"}</definedName>
    <definedName name="ㅠㅠㅠ" localSheetId="18" hidden="1">{#N/A,#N/A,FALSE,"지침";#N/A,#N/A,FALSE,"환경분석";#N/A,#N/A,FALSE,"Sheet16"}</definedName>
    <definedName name="ㅠㅠㅠ" localSheetId="25" hidden="1">{#N/A,#N/A,FALSE,"지침";#N/A,#N/A,FALSE,"환경분석";#N/A,#N/A,FALSE,"Sheet16"}</definedName>
    <definedName name="ㅠㅠㅠ" hidden="1">{#N/A,#N/A,FALSE,"지침";#N/A,#N/A,FALSE,"환경분석";#N/A,#N/A,FALSE,"Sheet16"}</definedName>
    <definedName name="ㅡㅜㅠ츠" localSheetId="24" hidden="1">{"BuildIn 2 Funding Assump",#N/A,FALSE,"Building Inputs";"BuildIn Capex plus Extras",#N/A,FALSE,"Building Inputs"}</definedName>
    <definedName name="ㅡㅜㅠ츠" localSheetId="18" hidden="1">{"BuildIn 2 Funding Assump",#N/A,FALSE,"Building Inputs";"BuildIn Capex plus Extras",#N/A,FALSE,"Building Inputs"}</definedName>
    <definedName name="ㅡㅜㅠ츠" localSheetId="25" hidden="1">{"BuildIn 2 Funding Assump",#N/A,FALSE,"Building Inputs";"BuildIn Capex plus Extras",#N/A,FALSE,"Building Inputs"}</definedName>
    <definedName name="ㅡㅜㅠ츠" hidden="1">{"BuildIn 2 Funding Assump",#N/A,FALSE,"Building Inputs";"BuildIn Capex plus Extras",#N/A,FALSE,"Building Inputs"}</definedName>
    <definedName name="ㅡㅡ" localSheetId="24" hidden="1">{"'용역비'!$A$4:$C$8"}</definedName>
    <definedName name="ㅡㅡ" localSheetId="18" hidden="1">{"'용역비'!$A$4:$C$8"}</definedName>
    <definedName name="ㅡㅡ" localSheetId="25" hidden="1">{"'용역비'!$A$4:$C$8"}</definedName>
    <definedName name="ㅡㅡ" hidden="1">{"'용역비'!$A$4:$C$8"}</definedName>
    <definedName name="ㅡㅡㅡ" localSheetId="24" hidden="1">{#N/A,#N/A,FALSE,"지침";#N/A,#N/A,FALSE,"환경분석";#N/A,#N/A,FALSE,"Sheet16"}</definedName>
    <definedName name="ㅡㅡㅡ" localSheetId="18" hidden="1">{#N/A,#N/A,FALSE,"지침";#N/A,#N/A,FALSE,"환경분석";#N/A,#N/A,FALSE,"Sheet16"}</definedName>
    <definedName name="ㅡㅡㅡ" localSheetId="25" hidden="1">{#N/A,#N/A,FALSE,"지침";#N/A,#N/A,FALSE,"환경분석";#N/A,#N/A,FALSE,"Sheet16"}</definedName>
    <definedName name="ㅡㅡㅡ" hidden="1">{#N/A,#N/A,FALSE,"지침";#N/A,#N/A,FALSE,"환경분석";#N/A,#N/A,FALSE,"Sheet16"}</definedName>
    <definedName name="ㅣ" localSheetId="24" hidden="1">{"'용역비'!$A$4:$C$8"}</definedName>
    <definedName name="ㅣ" localSheetId="18" hidden="1">{"'용역비'!$A$4:$C$8"}</definedName>
    <definedName name="ㅣ" localSheetId="25" hidden="1">{"'용역비'!$A$4:$C$8"}</definedName>
    <definedName name="ㅣ" hidden="1">{"'용역비'!$A$4:$C$8"}</definedName>
    <definedName name="ㅣㅏ" localSheetId="24" hidden="1">{#N/A,#N/A,FALSE,"이력서&amp;자기소개서"}</definedName>
    <definedName name="ㅣㅏ" localSheetId="18" hidden="1">{#N/A,#N/A,FALSE,"이력서&amp;자기소개서"}</definedName>
    <definedName name="ㅣㅏ" localSheetId="25" hidden="1">{#N/A,#N/A,FALSE,"이력서&amp;자기소개서"}</definedName>
    <definedName name="ㅣㅏ" hidden="1">{#N/A,#N/A,FALSE,"이력서&amp;자기소개서"}</definedName>
    <definedName name="ㅣㅏ아ㅓㄴ"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ㅏ아ㅓㄴ"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ㅏ아ㅓㄴ"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ㅏ아ㅓ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ㅏㅏ" localSheetId="24" hidden="1">{#N/A,#N/A,FALSE,"97년 투자계획 세부내역 "}</definedName>
    <definedName name="ㅣㅏㅏ" localSheetId="18" hidden="1">{#N/A,#N/A,FALSE,"97년 투자계획 세부내역 "}</definedName>
    <definedName name="ㅣㅏㅏ" localSheetId="25" hidden="1">{#N/A,#N/A,FALSE,"97년 투자계획 세부내역 "}</definedName>
    <definedName name="ㅣㅏㅏ" hidden="1">{#N/A,#N/A,FALSE,"97년 투자계획 세부내역 "}</definedName>
    <definedName name="ㅣㅕ6겨ㅓㅛ" localSheetId="24" hidden="1">{#N/A,#N/A,TRUE,"대 차 대 조 표"}</definedName>
    <definedName name="ㅣㅕ6겨ㅓㅛ" localSheetId="18" hidden="1">{#N/A,#N/A,TRUE,"대 차 대 조 표"}</definedName>
    <definedName name="ㅣㅕ6겨ㅓㅛ" localSheetId="25" hidden="1">{#N/A,#N/A,TRUE,"대 차 대 조 표"}</definedName>
    <definedName name="ㅣㅕ6겨ㅓㅛ" hidden="1">{#N/A,#N/A,TRUE,"대 차 대 조 표"}</definedName>
    <definedName name="ㅣㅣ" localSheetId="24" hidden="1">{#N/A,#N/A,FALSE,"동부"}</definedName>
    <definedName name="ㅣㅣ" localSheetId="18" hidden="1">{#N/A,#N/A,FALSE,"동부"}</definedName>
    <definedName name="ㅣㅣ" localSheetId="25" hidden="1">{#N/A,#N/A,FALSE,"동부"}</definedName>
    <definedName name="ㅣㅣ" hidden="1">{#N/A,#N/A,FALSE,"동부"}</definedName>
    <definedName name="ㅣㅣㅣ">25</definedName>
    <definedName name="ㅣㅣㅣ노원문화"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ㅣㅣ노원문화"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ㅣㅣ노원문화"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ㅣㅣ노원문화"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ㅣㅣㅣ" localSheetId="24" hidden="1">{#N/A,#N/A,FALSE,"BS";#N/A,#N/A,FALSE,"PL";#N/A,#N/A,FALSE,"처분";#N/A,#N/A,FALSE,"현금";#N/A,#N/A,FALSE,"매출";#N/A,#N/A,FALSE,"원가";#N/A,#N/A,FALSE,"경영"}</definedName>
    <definedName name="ㅣㅣㅣㅣ" localSheetId="18" hidden="1">{#N/A,#N/A,FALSE,"BS";#N/A,#N/A,FALSE,"PL";#N/A,#N/A,FALSE,"처분";#N/A,#N/A,FALSE,"현금";#N/A,#N/A,FALSE,"매출";#N/A,#N/A,FALSE,"원가";#N/A,#N/A,FALSE,"경영"}</definedName>
    <definedName name="ㅣㅣㅣㅣ" localSheetId="25" hidden="1">{#N/A,#N/A,FALSE,"BS";#N/A,#N/A,FALSE,"PL";#N/A,#N/A,FALSE,"처분";#N/A,#N/A,FALSE,"현금";#N/A,#N/A,FALSE,"매출";#N/A,#N/A,FALSE,"원가";#N/A,#N/A,FALSE,"경영"}</definedName>
    <definedName name="ㅣㅣㅣㅣ" hidden="1">{#N/A,#N/A,FALSE,"BS";#N/A,#N/A,FALSE,"PL";#N/A,#N/A,FALSE,"처분";#N/A,#N/A,FALSE,"현금";#N/A,#N/A,FALSE,"매출";#N/A,#N/A,FALSE,"원가";#N/A,#N/A,FALSE,"경영"}</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Q44" i="19" l="1"/>
  <c r="EP44" i="19"/>
  <c r="EO44" i="19"/>
  <c r="EN44" i="19"/>
  <c r="EM44" i="19"/>
  <c r="EL44" i="19"/>
  <c r="EK44" i="19"/>
  <c r="EJ44" i="19"/>
  <c r="EI44" i="19"/>
  <c r="EH44" i="19"/>
  <c r="EG44" i="19"/>
  <c r="EF44" i="19"/>
  <c r="EE44" i="19"/>
  <c r="ED44" i="19"/>
  <c r="EC44" i="19"/>
  <c r="EA44" i="19"/>
  <c r="DZ44" i="19"/>
  <c r="DY44" i="19"/>
  <c r="DX44" i="19"/>
  <c r="DW44" i="19"/>
  <c r="DU44" i="19"/>
  <c r="DT44" i="19"/>
  <c r="DS44" i="19"/>
  <c r="DR44" i="19"/>
  <c r="DQ44" i="19"/>
  <c r="DO44" i="19"/>
  <c r="DN44" i="19"/>
  <c r="DM44" i="19"/>
  <c r="DL44" i="19"/>
  <c r="DK44" i="19"/>
  <c r="DI44" i="19"/>
  <c r="DH44" i="19"/>
  <c r="DG44" i="19"/>
  <c r="DF44" i="19"/>
  <c r="DE44" i="19"/>
  <c r="DC44" i="19"/>
  <c r="DB44" i="19"/>
  <c r="DA44" i="19"/>
  <c r="CZ44" i="19"/>
  <c r="CY44" i="19"/>
  <c r="CW44" i="19"/>
  <c r="CV44" i="19"/>
  <c r="CU44" i="19"/>
  <c r="CT44" i="19"/>
  <c r="CS44" i="19"/>
  <c r="CQ44" i="19"/>
  <c r="CP44" i="19"/>
  <c r="CO44" i="19"/>
  <c r="CN44" i="19"/>
  <c r="CM44" i="19"/>
  <c r="CK44" i="19"/>
  <c r="CJ44" i="19"/>
  <c r="CI44" i="19"/>
  <c r="CH44" i="19"/>
  <c r="CG44" i="19"/>
  <c r="CE44" i="19"/>
  <c r="CD44" i="19"/>
  <c r="CC44" i="19"/>
  <c r="CB44" i="19"/>
  <c r="CA44" i="19"/>
  <c r="BY44" i="19"/>
  <c r="BX44" i="19"/>
  <c r="BW44" i="19"/>
  <c r="BV44" i="19"/>
  <c r="BU44" i="19"/>
  <c r="BS44" i="19"/>
  <c r="BR44" i="19"/>
  <c r="BQ44" i="19"/>
  <c r="BP44" i="19"/>
  <c r="BO44" i="19"/>
  <c r="BM44" i="19"/>
  <c r="BL44" i="19"/>
  <c r="BK44" i="19"/>
  <c r="BJ44" i="19"/>
  <c r="BI44" i="19"/>
  <c r="BG44" i="19"/>
  <c r="BF44" i="19"/>
  <c r="BE44" i="19"/>
  <c r="BD44" i="19"/>
  <c r="BC44" i="19"/>
  <c r="BA44" i="19"/>
  <c r="AZ44" i="19"/>
  <c r="AY44" i="19"/>
  <c r="AX44" i="19"/>
  <c r="AW44" i="19"/>
  <c r="AU44" i="19"/>
  <c r="AT44" i="19"/>
  <c r="AS44" i="19"/>
  <c r="AR44" i="19"/>
  <c r="AQ44" i="19"/>
  <c r="AO44" i="19"/>
  <c r="AN44" i="19"/>
  <c r="AM44" i="19"/>
  <c r="AL44" i="19"/>
  <c r="AK44" i="19"/>
  <c r="AI44" i="19"/>
  <c r="AH44" i="19"/>
  <c r="AG44" i="19"/>
  <c r="AF44" i="19"/>
  <c r="AE44" i="19"/>
  <c r="AC44" i="19"/>
  <c r="AB44" i="19"/>
  <c r="AA44" i="19"/>
  <c r="Z44" i="19"/>
  <c r="Y44" i="19"/>
  <c r="W44" i="19"/>
  <c r="V44" i="19"/>
  <c r="U44" i="19"/>
  <c r="T44" i="19"/>
  <c r="S44" i="19"/>
  <c r="Q44" i="19"/>
  <c r="P44" i="19"/>
  <c r="O44" i="19"/>
  <c r="N44" i="19"/>
  <c r="M44" i="19"/>
  <c r="L44" i="19"/>
  <c r="EQ43" i="19"/>
  <c r="EP43" i="19"/>
  <c r="EO43" i="19"/>
  <c r="EN43" i="19"/>
  <c r="EM43" i="19"/>
  <c r="EL43" i="19"/>
  <c r="EK43" i="19"/>
  <c r="EJ43" i="19"/>
  <c r="EI43" i="19"/>
  <c r="EH43" i="19"/>
  <c r="EG43" i="19"/>
  <c r="EF43" i="19"/>
  <c r="EE43" i="19"/>
  <c r="ED43" i="19"/>
  <c r="EC43" i="19"/>
  <c r="EB43" i="19"/>
  <c r="EA43" i="19"/>
  <c r="DZ43" i="19"/>
  <c r="DY43" i="19"/>
  <c r="DX43" i="19"/>
  <c r="DW43" i="19"/>
  <c r="DV43" i="19"/>
  <c r="DU43" i="19"/>
  <c r="DT43" i="19"/>
  <c r="DS43" i="19"/>
  <c r="DR43" i="19"/>
  <c r="DQ43" i="19"/>
  <c r="DP43" i="19"/>
  <c r="DO43" i="19"/>
  <c r="DN43" i="19"/>
  <c r="DM43" i="19"/>
  <c r="DL43" i="19"/>
  <c r="DK43" i="19"/>
  <c r="DJ43" i="19"/>
  <c r="DI43" i="19"/>
  <c r="DH43" i="19"/>
  <c r="DG43" i="19"/>
  <c r="DF43" i="19"/>
  <c r="DE43" i="19"/>
  <c r="DD43" i="19"/>
  <c r="DC43" i="19"/>
  <c r="DB43" i="19"/>
  <c r="DA43" i="19"/>
  <c r="CZ43" i="19"/>
  <c r="CY43" i="19"/>
  <c r="CX43" i="19"/>
  <c r="CW43" i="19"/>
  <c r="CV43" i="19"/>
  <c r="CU43" i="19"/>
  <c r="CT43" i="19"/>
  <c r="CS43" i="19"/>
  <c r="CR43" i="19"/>
  <c r="CQ43" i="19"/>
  <c r="CP43" i="19"/>
  <c r="CO43" i="19"/>
  <c r="CN43" i="19"/>
  <c r="CM43" i="19"/>
  <c r="CL43" i="19"/>
  <c r="CK43" i="19"/>
  <c r="CJ43" i="19"/>
  <c r="CI43" i="19"/>
  <c r="CH43" i="19"/>
  <c r="CG43" i="19"/>
  <c r="CF43" i="19"/>
  <c r="CE43" i="19"/>
  <c r="CD43" i="19"/>
  <c r="CC43" i="19"/>
  <c r="CB43" i="19"/>
  <c r="CA43" i="19"/>
  <c r="BZ43" i="19"/>
  <c r="BY43" i="19"/>
  <c r="BX43" i="19"/>
  <c r="BW43" i="19"/>
  <c r="BV43" i="19"/>
  <c r="BU43" i="19"/>
  <c r="BT43" i="19"/>
  <c r="BS43" i="19"/>
  <c r="BR43" i="19"/>
  <c r="BQ43" i="19"/>
  <c r="BP43" i="19"/>
  <c r="BO43" i="19"/>
  <c r="BN43" i="19"/>
  <c r="BM43" i="19"/>
  <c r="BL43" i="19"/>
  <c r="BK43" i="19"/>
  <c r="BJ43" i="19"/>
  <c r="BI43" i="19"/>
  <c r="BH43" i="19"/>
  <c r="BG43" i="19"/>
  <c r="BF43" i="19"/>
  <c r="BE43" i="19"/>
  <c r="BD43" i="19"/>
  <c r="BC43" i="19"/>
  <c r="BB43" i="19"/>
  <c r="BA43" i="19"/>
  <c r="AZ43" i="19"/>
  <c r="AY43" i="19"/>
  <c r="AX43" i="19"/>
  <c r="AW43" i="19"/>
  <c r="AV43" i="19"/>
  <c r="AU43" i="19"/>
  <c r="AT43" i="19"/>
  <c r="AS43" i="19"/>
  <c r="AR43" i="19"/>
  <c r="AQ43" i="19"/>
  <c r="AP43" i="19"/>
  <c r="AO43" i="19"/>
  <c r="AN43" i="19"/>
  <c r="AM43" i="19"/>
  <c r="AL43" i="19"/>
  <c r="AK43" i="19"/>
  <c r="AJ43" i="19"/>
  <c r="AI43" i="19"/>
  <c r="AH43" i="19"/>
  <c r="AG43" i="19"/>
  <c r="AF43" i="19"/>
  <c r="AE43" i="19"/>
  <c r="AD43" i="19"/>
  <c r="AC43" i="19"/>
  <c r="AB43" i="19"/>
  <c r="AA43" i="19"/>
  <c r="Z43" i="19"/>
  <c r="Y43" i="19"/>
  <c r="X43" i="19"/>
  <c r="W43" i="19"/>
  <c r="V43" i="19"/>
  <c r="U43" i="19"/>
  <c r="T43" i="19"/>
  <c r="S43" i="19"/>
  <c r="R43" i="19"/>
  <c r="Q43" i="19"/>
  <c r="P43" i="19"/>
  <c r="O43" i="19"/>
  <c r="N43" i="19"/>
  <c r="M43" i="19"/>
  <c r="L43" i="19"/>
  <c r="I38" i="19"/>
  <c r="EQ38" i="19" s="1"/>
  <c r="EM38" i="19"/>
  <c r="EL38" i="19"/>
  <c r="EK38" i="19"/>
  <c r="EJ38" i="19"/>
  <c r="EI38" i="19"/>
  <c r="EH38" i="19"/>
  <c r="EG38" i="19"/>
  <c r="EF38" i="19"/>
  <c r="ED38" i="19"/>
  <c r="EA38" i="19"/>
  <c r="DZ38" i="19"/>
  <c r="DY38" i="19"/>
  <c r="DX38" i="19"/>
  <c r="DW38" i="19"/>
  <c r="DV38" i="19"/>
  <c r="DU38" i="19"/>
  <c r="DT38" i="19"/>
  <c r="DR38" i="19"/>
  <c r="DP38" i="19"/>
  <c r="DO38" i="19"/>
  <c r="DN38" i="19"/>
  <c r="DM38" i="19"/>
  <c r="DL38" i="19"/>
  <c r="DK38" i="19"/>
  <c r="DJ38" i="19"/>
  <c r="DI38" i="19"/>
  <c r="DH38" i="19"/>
  <c r="DF38" i="19"/>
  <c r="DD38" i="19"/>
  <c r="DC38" i="19"/>
  <c r="DB38" i="19"/>
  <c r="DA38" i="19"/>
  <c r="CZ38" i="19"/>
  <c r="CY38" i="19"/>
  <c r="CX38" i="19"/>
  <c r="CW38" i="19"/>
  <c r="CV38" i="19"/>
  <c r="CU38" i="19"/>
  <c r="CT38" i="19"/>
  <c r="CR38" i="19"/>
  <c r="CQ38" i="19"/>
  <c r="CP38" i="19"/>
  <c r="CO38" i="19"/>
  <c r="CN38" i="19"/>
  <c r="CM38" i="19"/>
  <c r="CL38" i="19"/>
  <c r="CK38" i="19"/>
  <c r="CJ38" i="19"/>
  <c r="CI38" i="19"/>
  <c r="CH38" i="19"/>
  <c r="CG38" i="19"/>
  <c r="CF38" i="19"/>
  <c r="CE38" i="19"/>
  <c r="CD38" i="19"/>
  <c r="CC38" i="19"/>
  <c r="CB38" i="19"/>
  <c r="CA38" i="19"/>
  <c r="BZ38" i="19"/>
  <c r="BY38" i="19"/>
  <c r="BX38" i="19"/>
  <c r="BW38" i="19"/>
  <c r="BV38" i="19"/>
  <c r="BU38" i="19"/>
  <c r="BT38" i="19"/>
  <c r="BS38" i="19"/>
  <c r="BR38" i="19"/>
  <c r="BQ38" i="19"/>
  <c r="BP38" i="19"/>
  <c r="BO38" i="19"/>
  <c r="BN38" i="19"/>
  <c r="BM38" i="19"/>
  <c r="BL38" i="19"/>
  <c r="BK38" i="19"/>
  <c r="BJ38" i="19"/>
  <c r="BI38" i="19"/>
  <c r="BH38" i="19"/>
  <c r="BG38" i="19"/>
  <c r="BF38" i="19"/>
  <c r="BE38" i="19"/>
  <c r="BD38" i="19"/>
  <c r="BC38" i="19"/>
  <c r="BB38" i="19"/>
  <c r="BA38" i="19"/>
  <c r="AZ38" i="19"/>
  <c r="AY38" i="19"/>
  <c r="AX38" i="19"/>
  <c r="AW38" i="19"/>
  <c r="AV38" i="19"/>
  <c r="AU38" i="19"/>
  <c r="AT38" i="19"/>
  <c r="AS38" i="19"/>
  <c r="AR38" i="19"/>
  <c r="AQ38" i="19"/>
  <c r="AP38" i="19"/>
  <c r="AO38" i="19"/>
  <c r="AN38" i="19"/>
  <c r="AM38" i="19"/>
  <c r="AL38" i="19"/>
  <c r="AK38" i="19"/>
  <c r="AJ38" i="19"/>
  <c r="AI38" i="19"/>
  <c r="AH38" i="19"/>
  <c r="AG38" i="19"/>
  <c r="AF38" i="19"/>
  <c r="AE38" i="19"/>
  <c r="AD38" i="19"/>
  <c r="AC38" i="19"/>
  <c r="AB38" i="19"/>
  <c r="AA38" i="19"/>
  <c r="Z38" i="19"/>
  <c r="Y38" i="19"/>
  <c r="X38" i="19"/>
  <c r="W38" i="19"/>
  <c r="V38" i="19"/>
  <c r="U38" i="19"/>
  <c r="T38" i="19"/>
  <c r="S38" i="19"/>
  <c r="R38" i="19"/>
  <c r="Q38" i="19"/>
  <c r="P38" i="19"/>
  <c r="O38" i="19"/>
  <c r="N38" i="19"/>
  <c r="M38" i="19"/>
  <c r="L38" i="19"/>
  <c r="F38" i="19"/>
  <c r="H38" i="19"/>
  <c r="H39" i="19"/>
  <c r="L37" i="19"/>
  <c r="X70" i="1"/>
  <c r="X74" i="1"/>
  <c r="Y73" i="1"/>
  <c r="Y68" i="1"/>
  <c r="Y70" i="1"/>
  <c r="EB38" i="19" l="1"/>
  <c r="EN38" i="19"/>
  <c r="CS38" i="19"/>
  <c r="DE38" i="19"/>
  <c r="DQ38" i="19"/>
  <c r="EC38" i="19"/>
  <c r="EO38" i="19"/>
  <c r="EP38" i="19"/>
  <c r="DG38" i="19"/>
  <c r="DS38" i="19"/>
  <c r="EE38" i="19"/>
  <c r="F26" i="19" l="1"/>
  <c r="X78" i="21"/>
  <c r="Z97" i="21"/>
  <c r="Z96" i="21"/>
  <c r="Z95" i="21"/>
  <c r="Z94" i="21"/>
  <c r="Z93" i="21"/>
  <c r="Z92" i="21"/>
  <c r="Z91" i="21"/>
  <c r="Z90" i="21"/>
  <c r="Z89" i="21"/>
  <c r="Z88" i="21"/>
  <c r="Z87" i="21"/>
  <c r="Z86" i="21"/>
  <c r="Z85" i="21"/>
  <c r="Z84" i="21"/>
  <c r="Z83" i="21"/>
  <c r="Z82" i="21"/>
  <c r="Z81" i="21"/>
  <c r="Z80" i="21"/>
  <c r="Z79" i="21"/>
  <c r="Z78" i="21"/>
  <c r="AA78" i="21"/>
  <c r="AB77" i="21"/>
  <c r="AA77" i="21"/>
  <c r="Z77" i="21"/>
  <c r="Y77" i="21"/>
  <c r="X77" i="21"/>
  <c r="W77" i="21"/>
  <c r="C18" i="21"/>
  <c r="I245" i="11"/>
  <c r="N92" i="1"/>
  <c r="R93" i="1"/>
  <c r="S93" i="1" s="1"/>
  <c r="T93" i="1" s="1"/>
  <c r="Q93" i="1"/>
  <c r="N91" i="1"/>
  <c r="C48" i="36"/>
  <c r="F27" i="36"/>
  <c r="L42" i="19"/>
  <c r="AB78" i="21" l="1"/>
  <c r="AB59" i="1"/>
  <c r="M114" i="19"/>
  <c r="M115" i="19" s="1"/>
  <c r="M116" i="19" s="1"/>
  <c r="M117" i="19" s="1"/>
  <c r="M118" i="19" s="1"/>
  <c r="M119" i="19" s="1"/>
  <c r="M120" i="19" s="1"/>
  <c r="M121" i="19" s="1"/>
  <c r="M122" i="19" s="1"/>
  <c r="M123" i="19" s="1"/>
  <c r="AE95" i="19"/>
  <c r="AE96" i="19" s="1"/>
  <c r="AE97" i="19" s="1"/>
  <c r="AE98" i="19" s="1"/>
  <c r="AE99" i="19" s="1"/>
  <c r="AE100" i="19" s="1"/>
  <c r="AE101" i="19" s="1"/>
  <c r="AE102" i="19" s="1"/>
  <c r="AE103" i="19" s="1"/>
  <c r="AF95" i="19"/>
  <c r="AG95" i="19" s="1"/>
  <c r="AF96" i="19" s="1"/>
  <c r="AG96" i="19" s="1"/>
  <c r="AF97" i="19" s="1"/>
  <c r="AG97" i="19" s="1"/>
  <c r="AF98" i="19" s="1"/>
  <c r="AG98" i="19" s="1"/>
  <c r="AF99" i="19" s="1"/>
  <c r="AG99" i="19" s="1"/>
  <c r="AF100" i="19" s="1"/>
  <c r="AG100" i="19" s="1"/>
  <c r="AF101" i="19" s="1"/>
  <c r="AG101" i="19" s="1"/>
  <c r="AF102" i="19" s="1"/>
  <c r="AG102" i="19" s="1"/>
  <c r="AF103" i="19" s="1"/>
  <c r="AG103" i="19" s="1"/>
  <c r="M69" i="16" l="1"/>
  <c r="Q32" i="1"/>
  <c r="AO39" i="1"/>
  <c r="L140" i="5"/>
  <c r="C30" i="35" l="1"/>
  <c r="C29" i="35"/>
  <c r="R32" i="1" l="1"/>
  <c r="P33" i="1"/>
  <c r="M111" i="1"/>
  <c r="P110" i="1"/>
  <c r="P111" i="1" s="1"/>
  <c r="T112" i="1" s="1"/>
  <c r="P112" i="1"/>
  <c r="U111" i="1"/>
  <c r="S110" i="1"/>
  <c r="O115" i="1"/>
  <c r="O118" i="1"/>
  <c r="Q111" i="1" s="1"/>
  <c r="R111" i="1" s="1"/>
  <c r="AN41" i="1" a="1"/>
  <c r="AN41" i="1" s="1"/>
  <c r="Q33" i="1" s="1"/>
  <c r="AN40" i="1" a="1"/>
  <c r="AN40" i="1" s="1"/>
  <c r="AN39" i="1" a="1"/>
  <c r="AN39" i="1" s="1"/>
  <c r="AN38" i="1" a="1"/>
  <c r="AN38" i="1" s="1"/>
  <c r="AN37" i="1" a="1"/>
  <c r="AN37" i="1" s="1"/>
  <c r="AI24" i="1" s="1"/>
  <c r="BN40" i="1"/>
  <c r="BM40" i="1"/>
  <c r="BL40" i="1"/>
  <c r="BK40" i="1"/>
  <c r="BJ40" i="1"/>
  <c r="BI40" i="1"/>
  <c r="BN39" i="1"/>
  <c r="BM39" i="1"/>
  <c r="BL39" i="1"/>
  <c r="BK39" i="1"/>
  <c r="BJ39" i="1"/>
  <c r="BI39" i="1"/>
  <c r="BN38" i="1"/>
  <c r="BM38" i="1"/>
  <c r="BL38" i="1"/>
  <c r="BK38" i="1"/>
  <c r="BJ38" i="1"/>
  <c r="BI38" i="1"/>
  <c r="BN37" i="1"/>
  <c r="BM37" i="1"/>
  <c r="BL37" i="1"/>
  <c r="BK37" i="1"/>
  <c r="BJ37" i="1"/>
  <c r="BI37" i="1"/>
  <c r="BH41" i="1"/>
  <c r="BI41" i="1" s="1"/>
  <c r="BJ41" i="1" s="1"/>
  <c r="BK41" i="1" s="1"/>
  <c r="BL41" i="1" s="1"/>
  <c r="BM41" i="1" s="1"/>
  <c r="BN41" i="1" s="1"/>
  <c r="BG41" i="1"/>
  <c r="BF41" i="1"/>
  <c r="BE41" i="1"/>
  <c r="BD41" i="1"/>
  <c r="BC41" i="1"/>
  <c r="BB41" i="1"/>
  <c r="BA41" i="1"/>
  <c r="AZ41" i="1"/>
  <c r="AY41" i="1"/>
  <c r="AX41" i="1"/>
  <c r="AW41" i="1"/>
  <c r="AV41" i="1"/>
  <c r="AU41" i="1"/>
  <c r="AT41" i="1"/>
  <c r="AS41" i="1"/>
  <c r="AR41" i="1"/>
  <c r="AQ41" i="1"/>
  <c r="AP41" i="1"/>
  <c r="BI36" i="1"/>
  <c r="BJ36" i="1" s="1"/>
  <c r="BK36" i="1" s="1"/>
  <c r="BL36" i="1" s="1"/>
  <c r="BM36" i="1" s="1"/>
  <c r="BN36" i="1" s="1"/>
  <c r="AJ23" i="1" l="1"/>
  <c r="AK24" i="1"/>
  <c r="S112" i="1"/>
  <c r="U110" i="1"/>
  <c r="U112" i="1" s="1"/>
  <c r="I983" i="32"/>
  <c r="J983" i="32" s="1"/>
  <c r="K983" i="32" s="1"/>
  <c r="L983" i="32" s="1"/>
  <c r="F979" i="32"/>
  <c r="G963" i="32"/>
  <c r="G977" i="32" s="1"/>
  <c r="G964" i="32"/>
  <c r="G978" i="32" s="1"/>
  <c r="D965" i="32"/>
  <c r="D979" i="32" s="1"/>
  <c r="E965" i="32"/>
  <c r="F965" i="32"/>
  <c r="G965" i="32"/>
  <c r="G979" i="32" s="1"/>
  <c r="D966" i="32"/>
  <c r="D980" i="32" s="1"/>
  <c r="E966" i="32"/>
  <c r="E980" i="32" s="1"/>
  <c r="F966" i="32"/>
  <c r="F980" i="32" s="1"/>
  <c r="G966" i="32"/>
  <c r="G980" i="32" s="1"/>
  <c r="O949" i="32"/>
  <c r="P949" i="32"/>
  <c r="Q949" i="32"/>
  <c r="O950" i="32"/>
  <c r="Q950" i="32"/>
  <c r="O951" i="32"/>
  <c r="O952" i="32"/>
  <c r="O953" i="32"/>
  <c r="Q953" i="32"/>
  <c r="D952" i="32"/>
  <c r="D963" i="32" s="1"/>
  <c r="D977" i="32" s="1"/>
  <c r="D953" i="32"/>
  <c r="H954" i="32"/>
  <c r="M954" i="32" s="1"/>
  <c r="H804" i="32"/>
  <c r="C935" i="32"/>
  <c r="C936" i="32"/>
  <c r="H839" i="32"/>
  <c r="H840" i="32"/>
  <c r="F880" i="32" s="1"/>
  <c r="H841" i="32"/>
  <c r="I841" i="32" s="1"/>
  <c r="H842" i="32"/>
  <c r="H880" i="32" s="1"/>
  <c r="H843" i="32"/>
  <c r="H844" i="32"/>
  <c r="J880" i="32" s="1"/>
  <c r="H845" i="32"/>
  <c r="I845" i="32" s="1"/>
  <c r="H846" i="32"/>
  <c r="L880" i="32" s="1"/>
  <c r="H847" i="32"/>
  <c r="H848" i="32"/>
  <c r="N880" i="32" s="1"/>
  <c r="H849" i="32"/>
  <c r="I849" i="32" s="1"/>
  <c r="H850" i="32"/>
  <c r="I850" i="32" s="1"/>
  <c r="H851" i="32"/>
  <c r="I851" i="32" s="1"/>
  <c r="H852" i="32"/>
  <c r="H853" i="32"/>
  <c r="I853" i="32" s="1"/>
  <c r="H854" i="32"/>
  <c r="I854" i="32" s="1"/>
  <c r="H855" i="32"/>
  <c r="I855" i="32" s="1"/>
  <c r="H856" i="32"/>
  <c r="H857" i="32"/>
  <c r="I857" i="32" s="1"/>
  <c r="H858" i="32"/>
  <c r="I858" i="32" s="1"/>
  <c r="C833" i="32"/>
  <c r="C834" i="32"/>
  <c r="C690" i="32"/>
  <c r="L824" i="32"/>
  <c r="C831" i="32"/>
  <c r="C832" i="32"/>
  <c r="K954" i="32" l="1"/>
  <c r="H965" i="32"/>
  <c r="J965" i="32" s="1"/>
  <c r="D964" i="32"/>
  <c r="E979" i="32"/>
  <c r="J954" i="32"/>
  <c r="M983" i="32"/>
  <c r="C937" i="32"/>
  <c r="L954" i="32"/>
  <c r="S804" i="32"/>
  <c r="I848" i="32"/>
  <c r="S817" i="32"/>
  <c r="H859" i="32"/>
  <c r="I860" i="32" s="1"/>
  <c r="I844" i="32"/>
  <c r="S809" i="32"/>
  <c r="S811" i="32"/>
  <c r="S819" i="32"/>
  <c r="S818" i="32"/>
  <c r="S810" i="32"/>
  <c r="S808" i="32"/>
  <c r="S816" i="32"/>
  <c r="S823" i="32"/>
  <c r="S815" i="32"/>
  <c r="S807" i="32"/>
  <c r="S822" i="32"/>
  <c r="S814" i="32"/>
  <c r="S806" i="32"/>
  <c r="S821" i="32"/>
  <c r="S805" i="32"/>
  <c r="S813" i="32"/>
  <c r="I840" i="32"/>
  <c r="S820" i="32"/>
  <c r="S812" i="32"/>
  <c r="V880" i="32"/>
  <c r="R880" i="32"/>
  <c r="I843" i="32"/>
  <c r="I880" i="32"/>
  <c r="W880" i="32"/>
  <c r="S880" i="32"/>
  <c r="X880" i="32"/>
  <c r="T880" i="32"/>
  <c r="Q880" i="32"/>
  <c r="I856" i="32"/>
  <c r="U880" i="32"/>
  <c r="I852" i="32"/>
  <c r="P880" i="32"/>
  <c r="I847" i="32"/>
  <c r="M880" i="32"/>
  <c r="I846" i="32"/>
  <c r="I842" i="32"/>
  <c r="E880" i="32"/>
  <c r="I839" i="32"/>
  <c r="O880" i="32"/>
  <c r="K880" i="32"/>
  <c r="G880" i="32"/>
  <c r="F21" i="2"/>
  <c r="M90" i="36"/>
  <c r="M79" i="36"/>
  <c r="M91" i="36" s="1"/>
  <c r="B79" i="36"/>
  <c r="B91" i="36" s="1"/>
  <c r="D69" i="36"/>
  <c r="D81" i="36" s="1"/>
  <c r="M68" i="36"/>
  <c r="M80" i="36" s="1"/>
  <c r="M92" i="36" s="1"/>
  <c r="D68" i="36"/>
  <c r="D80" i="36" s="1"/>
  <c r="M59" i="36"/>
  <c r="M71" i="36" s="1"/>
  <c r="M83" i="36" s="1"/>
  <c r="M95" i="36" s="1"/>
  <c r="D48" i="36"/>
  <c r="M46" i="36"/>
  <c r="M57" i="36" s="1"/>
  <c r="M69" i="36" s="1"/>
  <c r="M81" i="36" s="1"/>
  <c r="M93" i="36" s="1"/>
  <c r="F39" i="36"/>
  <c r="F50" i="36" s="1"/>
  <c r="F61" i="36" s="1"/>
  <c r="F73" i="36" s="1"/>
  <c r="F85" i="36" s="1"/>
  <c r="F97" i="36" s="1"/>
  <c r="E39" i="36"/>
  <c r="E50" i="36" s="1"/>
  <c r="E61" i="36" s="1"/>
  <c r="E73" i="36" s="1"/>
  <c r="E85" i="36" s="1"/>
  <c r="E97" i="36" s="1"/>
  <c r="C39" i="36"/>
  <c r="E38" i="36"/>
  <c r="E49" i="36" s="1"/>
  <c r="E60" i="36" s="1"/>
  <c r="E72" i="36" s="1"/>
  <c r="E84" i="36" s="1"/>
  <c r="E96" i="36" s="1"/>
  <c r="D38" i="36"/>
  <c r="C38" i="36"/>
  <c r="D37" i="36"/>
  <c r="C37" i="36"/>
  <c r="C59" i="36" s="1"/>
  <c r="C71" i="36" s="1"/>
  <c r="C83" i="36" s="1"/>
  <c r="C95" i="36" s="1"/>
  <c r="B37" i="36"/>
  <c r="B48" i="36" s="1"/>
  <c r="B59" i="36" s="1"/>
  <c r="B71" i="36" s="1"/>
  <c r="B83" i="36" s="1"/>
  <c r="B95" i="36" s="1"/>
  <c r="M36" i="36"/>
  <c r="M47" i="36" s="1"/>
  <c r="M58" i="36" s="1"/>
  <c r="M70" i="36" s="1"/>
  <c r="M82" i="36" s="1"/>
  <c r="M94" i="36" s="1"/>
  <c r="C36" i="36"/>
  <c r="C47" i="36" s="1"/>
  <c r="B36" i="36"/>
  <c r="B47" i="36" s="1"/>
  <c r="B58" i="36" s="1"/>
  <c r="B70" i="36" s="1"/>
  <c r="B82" i="36" s="1"/>
  <c r="B94" i="36" s="1"/>
  <c r="B28" i="36"/>
  <c r="B39" i="36" s="1"/>
  <c r="B50" i="36" s="1"/>
  <c r="B61" i="36" s="1"/>
  <c r="B73" i="36" s="1"/>
  <c r="B85" i="36" s="1"/>
  <c r="B97" i="36" s="1"/>
  <c r="B27" i="36"/>
  <c r="B38" i="36" s="1"/>
  <c r="B49" i="36" s="1"/>
  <c r="B60" i="36" s="1"/>
  <c r="B72" i="36" s="1"/>
  <c r="B84" i="36" s="1"/>
  <c r="B96" i="36" s="1"/>
  <c r="C24" i="36"/>
  <c r="C35" i="36" s="1"/>
  <c r="C46" i="36" s="1"/>
  <c r="B24" i="36"/>
  <c r="B35" i="36" s="1"/>
  <c r="B46" i="36" s="1"/>
  <c r="B57" i="36" s="1"/>
  <c r="B69" i="36" s="1"/>
  <c r="B81" i="36" s="1"/>
  <c r="B93" i="36" s="1"/>
  <c r="D23" i="36"/>
  <c r="C23" i="36"/>
  <c r="C34" i="36" s="1"/>
  <c r="C45" i="36" s="1"/>
  <c r="C56" i="36" s="1"/>
  <c r="B23" i="36"/>
  <c r="B34" i="36" s="1"/>
  <c r="B45" i="36" s="1"/>
  <c r="B56" i="36" s="1"/>
  <c r="B68" i="36" s="1"/>
  <c r="B80" i="36" s="1"/>
  <c r="B92" i="36" s="1"/>
  <c r="D22" i="36"/>
  <c r="D33" i="36" s="1"/>
  <c r="D44" i="36" s="1"/>
  <c r="C22" i="36"/>
  <c r="C33" i="36" s="1"/>
  <c r="C44" i="36" s="1"/>
  <c r="B22" i="36"/>
  <c r="B33" i="36" s="1"/>
  <c r="B44" i="36" s="1"/>
  <c r="B55" i="36" s="1"/>
  <c r="B66" i="36" s="1"/>
  <c r="B78" i="36" s="1"/>
  <c r="B90" i="36" s="1"/>
  <c r="P95" i="1"/>
  <c r="D15" i="36"/>
  <c r="F13" i="36"/>
  <c r="E13" i="36"/>
  <c r="E14" i="36" s="1"/>
  <c r="E15" i="36" s="1"/>
  <c r="K965" i="32" l="1"/>
  <c r="H979" i="32"/>
  <c r="M965" i="32"/>
  <c r="L965" i="32"/>
  <c r="D978" i="32"/>
  <c r="S824" i="32"/>
  <c r="D890" i="32" s="1"/>
  <c r="F14" i="36"/>
  <c r="P90" i="1"/>
  <c r="I27" i="36"/>
  <c r="K27" i="36" s="1"/>
  <c r="F38" i="36"/>
  <c r="G27" i="36"/>
  <c r="H27" i="36" s="1"/>
  <c r="E23" i="36"/>
  <c r="E34" i="36" s="1"/>
  <c r="E45" i="36" s="1"/>
  <c r="E56" i="36" s="1"/>
  <c r="E68" i="36" s="1"/>
  <c r="E80" i="36" s="1"/>
  <c r="E92" i="36" s="1"/>
  <c r="E22" i="36"/>
  <c r="E33" i="36" s="1"/>
  <c r="E44" i="36" s="1"/>
  <c r="E55" i="36" s="1"/>
  <c r="E66" i="36" s="1"/>
  <c r="I13" i="36"/>
  <c r="K13" i="36" s="1"/>
  <c r="F22" i="36"/>
  <c r="E24" i="36"/>
  <c r="E16" i="36"/>
  <c r="E17" i="36" s="1"/>
  <c r="D93" i="36"/>
  <c r="C55" i="36"/>
  <c r="D59" i="36"/>
  <c r="C58" i="36"/>
  <c r="D34" i="36"/>
  <c r="C57" i="36"/>
  <c r="C49" i="36"/>
  <c r="D49" i="36"/>
  <c r="D92" i="36"/>
  <c r="D24" i="36"/>
  <c r="G13" i="36"/>
  <c r="C50" i="36"/>
  <c r="D55" i="36"/>
  <c r="C68" i="36"/>
  <c r="J979" i="32" l="1"/>
  <c r="M979" i="32"/>
  <c r="L979" i="32"/>
  <c r="K979" i="32"/>
  <c r="F23" i="36"/>
  <c r="F15" i="36"/>
  <c r="P91" i="1"/>
  <c r="R91" i="1" s="1"/>
  <c r="S91" i="1" s="1"/>
  <c r="T91" i="1" s="1"/>
  <c r="G14" i="36"/>
  <c r="H14" i="36" s="1"/>
  <c r="I14" i="36"/>
  <c r="K14" i="36" s="1"/>
  <c r="G22" i="36"/>
  <c r="H22" i="36" s="1"/>
  <c r="E78" i="36"/>
  <c r="E90" i="36" s="1"/>
  <c r="E67" i="36"/>
  <c r="E79" i="36" s="1"/>
  <c r="E91" i="36" s="1"/>
  <c r="F49" i="36"/>
  <c r="I38" i="36"/>
  <c r="K38" i="36" s="1"/>
  <c r="G38" i="36"/>
  <c r="H38" i="36" s="1"/>
  <c r="F33" i="36"/>
  <c r="G33" i="36" s="1"/>
  <c r="H33" i="36" s="1"/>
  <c r="I22" i="36"/>
  <c r="K22" i="36" s="1"/>
  <c r="D60" i="36"/>
  <c r="D25" i="36"/>
  <c r="E25" i="36"/>
  <c r="E35" i="36"/>
  <c r="E46" i="36" s="1"/>
  <c r="E57" i="36" s="1"/>
  <c r="E69" i="36" s="1"/>
  <c r="E81" i="36" s="1"/>
  <c r="E93" i="36" s="1"/>
  <c r="C60" i="36"/>
  <c r="D45" i="36"/>
  <c r="C69" i="36"/>
  <c r="D71" i="36"/>
  <c r="D66" i="36"/>
  <c r="C66" i="36"/>
  <c r="C80" i="36"/>
  <c r="C70" i="36"/>
  <c r="H13" i="36"/>
  <c r="C61" i="36"/>
  <c r="F34" i="36" l="1"/>
  <c r="I34" i="36" s="1"/>
  <c r="K34" i="36" s="1"/>
  <c r="I23" i="36"/>
  <c r="K23" i="36" s="1"/>
  <c r="G23" i="36"/>
  <c r="H23" i="36" s="1"/>
  <c r="F24" i="36"/>
  <c r="G24" i="36" s="1"/>
  <c r="H24" i="36" s="1"/>
  <c r="I15" i="36"/>
  <c r="K15" i="36" s="1"/>
  <c r="P92" i="1"/>
  <c r="R92" i="1" s="1"/>
  <c r="S92" i="1" s="1"/>
  <c r="G15" i="36"/>
  <c r="H15" i="36" s="1"/>
  <c r="F60" i="36"/>
  <c r="I49" i="36"/>
  <c r="K49" i="36" s="1"/>
  <c r="G49" i="36"/>
  <c r="H49" i="36" s="1"/>
  <c r="I33" i="36"/>
  <c r="K33" i="36" s="1"/>
  <c r="F44" i="36"/>
  <c r="F55" i="36" s="1"/>
  <c r="C73" i="36"/>
  <c r="C72" i="36"/>
  <c r="D67" i="36"/>
  <c r="C67" i="36"/>
  <c r="C78" i="36"/>
  <c r="C92" i="36"/>
  <c r="E26" i="36"/>
  <c r="E37" i="36" s="1"/>
  <c r="E48" i="36" s="1"/>
  <c r="E59" i="36" s="1"/>
  <c r="E71" i="36" s="1"/>
  <c r="E83" i="36" s="1"/>
  <c r="E95" i="36" s="1"/>
  <c r="E36" i="36"/>
  <c r="E47" i="36" s="1"/>
  <c r="E58" i="36" s="1"/>
  <c r="E70" i="36" s="1"/>
  <c r="E82" i="36" s="1"/>
  <c r="E94" i="36" s="1"/>
  <c r="D36" i="36"/>
  <c r="D72" i="36"/>
  <c r="D83" i="36"/>
  <c r="C81" i="36"/>
  <c r="C82" i="36"/>
  <c r="T92" i="1" l="1"/>
  <c r="F45" i="36"/>
  <c r="G34" i="36"/>
  <c r="H34" i="36" s="1"/>
  <c r="I24" i="36"/>
  <c r="K24" i="36" s="1"/>
  <c r="F35" i="36"/>
  <c r="F25" i="36"/>
  <c r="F72" i="36"/>
  <c r="I60" i="36"/>
  <c r="K60" i="36" s="1"/>
  <c r="G60" i="36"/>
  <c r="H60" i="36" s="1"/>
  <c r="G44" i="36"/>
  <c r="H44" i="36" s="1"/>
  <c r="I44" i="36"/>
  <c r="K44" i="36" s="1"/>
  <c r="D79" i="36"/>
  <c r="D84" i="36"/>
  <c r="C93" i="36"/>
  <c r="C90" i="36"/>
  <c r="D47" i="36"/>
  <c r="D95" i="36"/>
  <c r="C84" i="36"/>
  <c r="C79" i="36"/>
  <c r="C85" i="36"/>
  <c r="C94" i="36"/>
  <c r="F66" i="36"/>
  <c r="G55" i="36"/>
  <c r="I55" i="36"/>
  <c r="F56" i="36" l="1"/>
  <c r="G45" i="36"/>
  <c r="H45" i="36" s="1"/>
  <c r="I45" i="36"/>
  <c r="K45" i="36" s="1"/>
  <c r="G35" i="36"/>
  <c r="H35" i="36" s="1"/>
  <c r="I35" i="36"/>
  <c r="K35" i="36" s="1"/>
  <c r="F46" i="36"/>
  <c r="F26" i="36"/>
  <c r="G25" i="36"/>
  <c r="H25" i="36" s="1"/>
  <c r="F36" i="36"/>
  <c r="I25" i="36"/>
  <c r="K25" i="36" s="1"/>
  <c r="F84" i="36"/>
  <c r="G72" i="36"/>
  <c r="H72" i="36" s="1"/>
  <c r="I72" i="36"/>
  <c r="K72" i="36" s="1"/>
  <c r="K55" i="36"/>
  <c r="C97" i="36"/>
  <c r="C91" i="36"/>
  <c r="H55" i="36"/>
  <c r="F78" i="36"/>
  <c r="F67" i="36"/>
  <c r="G66" i="36"/>
  <c r="I66" i="36"/>
  <c r="C96" i="36"/>
  <c r="D91" i="36"/>
  <c r="D58" i="36"/>
  <c r="G56" i="36" l="1"/>
  <c r="H56" i="36" s="1"/>
  <c r="I56" i="36"/>
  <c r="K56" i="36" s="1"/>
  <c r="F68" i="36"/>
  <c r="G46" i="36"/>
  <c r="H46" i="36" s="1"/>
  <c r="I46" i="36"/>
  <c r="K46" i="36" s="1"/>
  <c r="F57" i="36"/>
  <c r="F69" i="36" s="1"/>
  <c r="F37" i="36"/>
  <c r="I26" i="36"/>
  <c r="G26" i="36"/>
  <c r="F47" i="36"/>
  <c r="G36" i="36"/>
  <c r="H36" i="36" s="1"/>
  <c r="I36" i="36"/>
  <c r="K36" i="36" s="1"/>
  <c r="F96" i="36"/>
  <c r="I84" i="36"/>
  <c r="K84" i="36" s="1"/>
  <c r="G84" i="36"/>
  <c r="H84" i="36" s="1"/>
  <c r="F79" i="36"/>
  <c r="G67" i="36"/>
  <c r="H67" i="36" s="1"/>
  <c r="I67" i="36"/>
  <c r="D70" i="36"/>
  <c r="H66" i="36"/>
  <c r="I78" i="36"/>
  <c r="G78" i="36"/>
  <c r="F90" i="36"/>
  <c r="K66" i="36"/>
  <c r="G68" i="36" l="1"/>
  <c r="H68" i="36" s="1"/>
  <c r="F80" i="36"/>
  <c r="I68" i="36"/>
  <c r="K68" i="36" s="1"/>
  <c r="I47" i="36"/>
  <c r="K47" i="36" s="1"/>
  <c r="G47" i="36"/>
  <c r="H47" i="36" s="1"/>
  <c r="F58" i="36"/>
  <c r="I57" i="36"/>
  <c r="K57" i="36" s="1"/>
  <c r="G57" i="36"/>
  <c r="H57" i="36" s="1"/>
  <c r="F48" i="36"/>
  <c r="G37" i="36"/>
  <c r="I37" i="36"/>
  <c r="K26" i="36"/>
  <c r="H26" i="36"/>
  <c r="G96" i="36"/>
  <c r="H96" i="36" s="1"/>
  <c r="I96" i="36"/>
  <c r="K96" i="36" s="1"/>
  <c r="K78" i="36"/>
  <c r="F81" i="36"/>
  <c r="I69" i="36"/>
  <c r="G69" i="36"/>
  <c r="D82" i="36"/>
  <c r="F91" i="36"/>
  <c r="G79" i="36"/>
  <c r="H79" i="36" s="1"/>
  <c r="I79" i="36"/>
  <c r="H78" i="36"/>
  <c r="K67" i="36"/>
  <c r="I90" i="36"/>
  <c r="G90" i="36"/>
  <c r="F92" i="36" l="1"/>
  <c r="I80" i="36"/>
  <c r="K80" i="36" s="1"/>
  <c r="G80" i="36"/>
  <c r="H80" i="36" s="1"/>
  <c r="H37" i="36"/>
  <c r="F70" i="36"/>
  <c r="I58" i="36"/>
  <c r="K58" i="36" s="1"/>
  <c r="G58" i="36"/>
  <c r="H58" i="36" s="1"/>
  <c r="F59" i="36"/>
  <c r="G48" i="36"/>
  <c r="I48" i="36"/>
  <c r="K37" i="36"/>
  <c r="F93" i="36"/>
  <c r="G81" i="36"/>
  <c r="I81" i="36"/>
  <c r="K90" i="36"/>
  <c r="H90" i="36"/>
  <c r="K79" i="36"/>
  <c r="H69" i="36"/>
  <c r="K69" i="36"/>
  <c r="I91" i="36"/>
  <c r="G91" i="36"/>
  <c r="H91" i="36" s="1"/>
  <c r="D94" i="36"/>
  <c r="G92" i="36" l="1"/>
  <c r="H92" i="36" s="1"/>
  <c r="I92" i="36"/>
  <c r="K92" i="36" s="1"/>
  <c r="G70" i="36"/>
  <c r="H70" i="36" s="1"/>
  <c r="I70" i="36"/>
  <c r="K70" i="36" s="1"/>
  <c r="F82" i="36"/>
  <c r="F71" i="36"/>
  <c r="I59" i="36"/>
  <c r="G59" i="36"/>
  <c r="H48" i="36"/>
  <c r="K48" i="36"/>
  <c r="I93" i="36"/>
  <c r="G93" i="36"/>
  <c r="K91" i="36"/>
  <c r="K81" i="36"/>
  <c r="H81" i="36"/>
  <c r="F94" i="36" l="1"/>
  <c r="I82" i="36"/>
  <c r="K82" i="36" s="1"/>
  <c r="G82" i="36"/>
  <c r="H82" i="36" s="1"/>
  <c r="F83" i="36"/>
  <c r="G71" i="36"/>
  <c r="I71" i="36"/>
  <c r="K59" i="36"/>
  <c r="H59" i="36"/>
  <c r="H93" i="36"/>
  <c r="K93" i="36"/>
  <c r="G94" i="36" l="1"/>
  <c r="H94" i="36" s="1"/>
  <c r="I94" i="36"/>
  <c r="K94" i="36" s="1"/>
  <c r="F95" i="36"/>
  <c r="I95" i="36" s="1"/>
  <c r="I83" i="36"/>
  <c r="G83" i="36"/>
  <c r="H71" i="36"/>
  <c r="K71" i="36"/>
  <c r="G95" i="36" l="1"/>
  <c r="H95" i="36" s="1"/>
  <c r="K83" i="36"/>
  <c r="H83" i="36"/>
  <c r="K95" i="36"/>
  <c r="D23" i="35" l="1"/>
  <c r="E23" i="35" s="1"/>
  <c r="C6" i="35"/>
  <c r="C33" i="35"/>
  <c r="C27" i="35"/>
  <c r="C25" i="35"/>
  <c r="D28" i="35"/>
  <c r="H28" i="35"/>
  <c r="H23" i="35"/>
  <c r="J5" i="35"/>
  <c r="N634" i="32"/>
  <c r="O634" i="32" s="1"/>
  <c r="N635" i="32"/>
  <c r="O635" i="32" s="1"/>
  <c r="N636" i="32"/>
  <c r="O636" i="32" s="1"/>
  <c r="N637" i="32"/>
  <c r="O637" i="32" s="1"/>
  <c r="M19" i="10"/>
  <c r="C10" i="35" l="1"/>
  <c r="C24" i="35" s="1"/>
  <c r="C34" i="35" s="1"/>
  <c r="K5" i="35"/>
  <c r="D503" i="32"/>
  <c r="E503" i="32" s="1"/>
  <c r="F503" i="32" s="1"/>
  <c r="G503" i="32" s="1"/>
  <c r="H503" i="32" s="1"/>
  <c r="I503" i="32" s="1"/>
  <c r="J503" i="32" s="1"/>
  <c r="D489" i="32"/>
  <c r="E489" i="32" s="1"/>
  <c r="F489" i="32" s="1"/>
  <c r="G489" i="32" s="1"/>
  <c r="H489" i="32" s="1"/>
  <c r="I489" i="32" s="1"/>
  <c r="J489" i="32" s="1"/>
  <c r="B506" i="32"/>
  <c r="B507" i="32" s="1"/>
  <c r="B508" i="32" s="1"/>
  <c r="B509" i="32" s="1"/>
  <c r="B510" i="32" s="1"/>
  <c r="B511" i="32" s="1"/>
  <c r="B512" i="32" s="1"/>
  <c r="B513" i="32" s="1"/>
  <c r="B514" i="32" s="1"/>
  <c r="B492" i="32"/>
  <c r="B493" i="32" s="1"/>
  <c r="B494" i="32" s="1"/>
  <c r="B495" i="32" s="1"/>
  <c r="B496" i="32" s="1"/>
  <c r="B497" i="32" s="1"/>
  <c r="B498" i="32" s="1"/>
  <c r="B499" i="32" s="1"/>
  <c r="B500" i="32" s="1"/>
  <c r="M453" i="32"/>
  <c r="K476" i="32" s="1"/>
  <c r="K477" i="32" s="1"/>
  <c r="K478" i="32" s="1"/>
  <c r="K479" i="32" s="1"/>
  <c r="K480" i="32" s="1"/>
  <c r="K481" i="32" s="1"/>
  <c r="K482" i="32" s="1"/>
  <c r="K483" i="32" s="1"/>
  <c r="K484" i="32" s="1"/>
  <c r="K485" i="32" s="1"/>
  <c r="K486" i="32" s="1"/>
  <c r="M452" i="32"/>
  <c r="K464" i="32" s="1"/>
  <c r="K465" i="32" s="1"/>
  <c r="K466" i="32" s="1"/>
  <c r="K467" i="32" s="1"/>
  <c r="K468" i="32" s="1"/>
  <c r="K469" i="32" s="1"/>
  <c r="K470" i="32" s="1"/>
  <c r="K471" i="32" s="1"/>
  <c r="K472" i="32" s="1"/>
  <c r="K473" i="32" s="1"/>
  <c r="K474" i="32" s="1"/>
  <c r="C792" i="32"/>
  <c r="D715" i="32"/>
  <c r="D770" i="32" s="1"/>
  <c r="E715" i="32"/>
  <c r="E770" i="32" s="1"/>
  <c r="F676" i="32"/>
  <c r="F715" i="32" s="1"/>
  <c r="F770" i="32" s="1"/>
  <c r="C661" i="32"/>
  <c r="D584" i="32"/>
  <c r="D639" i="32" s="1"/>
  <c r="E584" i="32"/>
  <c r="E639" i="32" s="1"/>
  <c r="C559" i="32"/>
  <c r="D549" i="32"/>
  <c r="F545" i="32"/>
  <c r="F584" i="32" s="1"/>
  <c r="F639" i="32" s="1"/>
  <c r="AD138" i="21"/>
  <c r="W102" i="21" s="1"/>
  <c r="AG114" i="21"/>
  <c r="AG115" i="21"/>
  <c r="AG116" i="21"/>
  <c r="AG117" i="21"/>
  <c r="AG118" i="21"/>
  <c r="AG119" i="21"/>
  <c r="AG120" i="21"/>
  <c r="AG121" i="21"/>
  <c r="AG122" i="21"/>
  <c r="AG123" i="21"/>
  <c r="AG124" i="21"/>
  <c r="AG125" i="21"/>
  <c r="AG126" i="21"/>
  <c r="AG127" i="21"/>
  <c r="AG128" i="21"/>
  <c r="AG129" i="21"/>
  <c r="AG130" i="21"/>
  <c r="AG131" i="21"/>
  <c r="AG132" i="21"/>
  <c r="AG133" i="21"/>
  <c r="AE114" i="21"/>
  <c r="P102" i="21"/>
  <c r="Q78" i="21"/>
  <c r="F402" i="32"/>
  <c r="AF114" i="21" s="1"/>
  <c r="H401" i="32"/>
  <c r="I401" i="32"/>
  <c r="N127" i="21"/>
  <c r="G127" i="21"/>
  <c r="B127" i="21"/>
  <c r="I127" i="21" s="1"/>
  <c r="N78" i="21"/>
  <c r="G78" i="21"/>
  <c r="U68" i="21"/>
  <c r="T68" i="21"/>
  <c r="Q68" i="21"/>
  <c r="U67" i="21"/>
  <c r="T67" i="21"/>
  <c r="B64" i="21"/>
  <c r="B65" i="21" s="1"/>
  <c r="B66" i="21" s="1"/>
  <c r="B67" i="21" s="1"/>
  <c r="B68" i="21" s="1"/>
  <c r="B69" i="21" s="1"/>
  <c r="B70" i="21" s="1"/>
  <c r="B71" i="21" s="1"/>
  <c r="B72" i="21" s="1"/>
  <c r="B73" i="21" s="1"/>
  <c r="Q63" i="21"/>
  <c r="U61" i="21"/>
  <c r="T61" i="21"/>
  <c r="Q61" i="21"/>
  <c r="U60" i="21"/>
  <c r="T60" i="21"/>
  <c r="Q60" i="21"/>
  <c r="U59" i="21"/>
  <c r="T59" i="21"/>
  <c r="Q59" i="21"/>
  <c r="W47" i="21" s="1"/>
  <c r="U57" i="21"/>
  <c r="Q57" i="21"/>
  <c r="W46" i="21" s="1"/>
  <c r="AC46" i="21" s="1"/>
  <c r="Q56" i="21"/>
  <c r="W45" i="21" s="1"/>
  <c r="AC45" i="21" s="1"/>
  <c r="R49" i="21"/>
  <c r="P38" i="21"/>
  <c r="R37" i="21"/>
  <c r="P37" i="21"/>
  <c r="S36" i="21"/>
  <c r="Q36" i="21"/>
  <c r="P36" i="21"/>
  <c r="S35" i="21"/>
  <c r="P35" i="21"/>
  <c r="S34" i="21"/>
  <c r="P34" i="21"/>
  <c r="S29" i="21"/>
  <c r="S28" i="21"/>
  <c r="Q28" i="21"/>
  <c r="S27" i="21"/>
  <c r="Q27" i="21"/>
  <c r="S26" i="21"/>
  <c r="Q26" i="21"/>
  <c r="N26" i="21"/>
  <c r="I26" i="21"/>
  <c r="I78" i="21" s="1"/>
  <c r="W114" i="21" s="1"/>
  <c r="P78" i="21" s="1"/>
  <c r="AD114" i="21" s="1"/>
  <c r="W78" i="21" s="1"/>
  <c r="G26" i="21"/>
  <c r="B26" i="21"/>
  <c r="B78" i="21" s="1"/>
  <c r="S25" i="21"/>
  <c r="Q25" i="21"/>
  <c r="S24" i="21"/>
  <c r="S15" i="21"/>
  <c r="S8" i="21"/>
  <c r="S7" i="21"/>
  <c r="S6" i="21"/>
  <c r="C3" i="21"/>
  <c r="W139" i="21"/>
  <c r="AD140" i="21" s="1"/>
  <c r="W104" i="21" s="1"/>
  <c r="W138" i="21"/>
  <c r="P103" i="21" s="1"/>
  <c r="W137" i="21"/>
  <c r="W136" i="21"/>
  <c r="P100" i="21" s="1"/>
  <c r="AD136" i="21" s="1"/>
  <c r="W100" i="21" s="1"/>
  <c r="W135" i="21"/>
  <c r="P99" i="21" s="1"/>
  <c r="AD135" i="21" s="1"/>
  <c r="W99" i="21" s="1"/>
  <c r="AB113" i="21"/>
  <c r="U77" i="21" s="1"/>
  <c r="AI113" i="21" s="1"/>
  <c r="AA113" i="21"/>
  <c r="T77" i="21" s="1"/>
  <c r="AH113" i="21" s="1"/>
  <c r="Z113" i="21"/>
  <c r="S77" i="21" s="1"/>
  <c r="AG113" i="21" s="1"/>
  <c r="Y113" i="21"/>
  <c r="R77" i="21" s="1"/>
  <c r="AF113" i="21" s="1"/>
  <c r="X113" i="21"/>
  <c r="Q77" i="21" s="1"/>
  <c r="AE113" i="21" s="1"/>
  <c r="W113" i="21"/>
  <c r="P77" i="21" s="1"/>
  <c r="AD113" i="21" s="1"/>
  <c r="S33" i="21"/>
  <c r="V9" i="21"/>
  <c r="V8" i="21"/>
  <c r="V7" i="21"/>
  <c r="U49" i="21" l="1"/>
  <c r="AA48" i="21"/>
  <c r="L5" i="35"/>
  <c r="AD139" i="21"/>
  <c r="W103" i="21" s="1"/>
  <c r="AD137" i="21"/>
  <c r="W101" i="21" s="1"/>
  <c r="P101" i="21"/>
  <c r="P104" i="21"/>
  <c r="G545" i="32"/>
  <c r="H545" i="32" s="1"/>
  <c r="I545" i="32" s="1"/>
  <c r="J545" i="32" s="1"/>
  <c r="K545" i="32" s="1"/>
  <c r="L545" i="32" s="1"/>
  <c r="L584" i="32" s="1"/>
  <c r="L639" i="32" s="1"/>
  <c r="G676" i="32"/>
  <c r="H676" i="32" s="1"/>
  <c r="H715" i="32" l="1"/>
  <c r="H770" i="32" s="1"/>
  <c r="I676" i="32"/>
  <c r="J676" i="32" s="1"/>
  <c r="K676" i="32" s="1"/>
  <c r="L676" i="32" s="1"/>
  <c r="M676" i="32" s="1"/>
  <c r="N676" i="32" s="1"/>
  <c r="O676" i="32" s="1"/>
  <c r="P676" i="32" s="1"/>
  <c r="Q676" i="32" s="1"/>
  <c r="R676" i="32" s="1"/>
  <c r="S676" i="32" s="1"/>
  <c r="T676" i="32" s="1"/>
  <c r="U676" i="32" s="1"/>
  <c r="V676" i="32" s="1"/>
  <c r="W676" i="32" s="1"/>
  <c r="X676" i="32" s="1"/>
  <c r="M5" i="35"/>
  <c r="K584" i="32"/>
  <c r="K639" i="32" s="1"/>
  <c r="H584" i="32"/>
  <c r="H639" i="32" s="1"/>
  <c r="J584" i="32"/>
  <c r="J639" i="32" s="1"/>
  <c r="G584" i="32"/>
  <c r="G639" i="32" s="1"/>
  <c r="I584" i="32"/>
  <c r="I639" i="32" s="1"/>
  <c r="G715" i="32"/>
  <c r="G770" i="32" s="1"/>
  <c r="N5" i="35" l="1"/>
  <c r="G375" i="32"/>
  <c r="F375" i="32"/>
  <c r="F349" i="32"/>
  <c r="R78" i="21" s="1"/>
  <c r="G349" i="32"/>
  <c r="S78" i="21" s="1"/>
  <c r="E318" i="32"/>
  <c r="G297" i="32"/>
  <c r="G348" i="32" s="1"/>
  <c r="F297" i="32"/>
  <c r="F348" i="32" s="1"/>
  <c r="E297" i="32"/>
  <c r="E348" i="32" s="1"/>
  <c r="D297" i="32"/>
  <c r="D348" i="32" s="1"/>
  <c r="B297" i="32"/>
  <c r="B348" i="32" s="1"/>
  <c r="B531" i="32"/>
  <c r="B532" i="32"/>
  <c r="F451" i="32"/>
  <c r="G451" i="32" s="1"/>
  <c r="H451" i="32" s="1"/>
  <c r="I451" i="32" s="1"/>
  <c r="J451" i="32" s="1"/>
  <c r="K451" i="32" s="1"/>
  <c r="L451" i="32" s="1"/>
  <c r="B323" i="32"/>
  <c r="B374" i="32" s="1"/>
  <c r="B401" i="32" s="1"/>
  <c r="D323" i="32"/>
  <c r="D374" i="32" s="1"/>
  <c r="D401" i="32" s="1"/>
  <c r="E323" i="32"/>
  <c r="E374" i="32" s="1"/>
  <c r="E401" i="32" s="1"/>
  <c r="F323" i="32"/>
  <c r="F374" i="32" s="1"/>
  <c r="F401" i="32" s="1"/>
  <c r="B249" i="32"/>
  <c r="B250" i="32" s="1"/>
  <c r="B251" i="32" s="1"/>
  <c r="B252" i="32" s="1"/>
  <c r="B253" i="32" s="1"/>
  <c r="B254" i="32" s="1"/>
  <c r="B255" i="32" s="1"/>
  <c r="B256" i="32" s="1"/>
  <c r="B257" i="32" s="1"/>
  <c r="B258" i="32" s="1"/>
  <c r="B259" i="32" s="1"/>
  <c r="B260" i="32" s="1"/>
  <c r="B261" i="32" s="1"/>
  <c r="B262" i="32" s="1"/>
  <c r="B263" i="32" s="1"/>
  <c r="B264" i="32" s="1"/>
  <c r="B265" i="32" s="1"/>
  <c r="B266" i="32" s="1"/>
  <c r="B267" i="32" s="1"/>
  <c r="B275" i="32"/>
  <c r="B276" i="32" s="1"/>
  <c r="B277" i="32" s="1"/>
  <c r="B278" i="32" s="1"/>
  <c r="B279" i="32" s="1"/>
  <c r="B280" i="32" s="1"/>
  <c r="B281" i="32" s="1"/>
  <c r="B282" i="32" s="1"/>
  <c r="B283" i="32" s="1"/>
  <c r="B284" i="32" s="1"/>
  <c r="B285" i="32" s="1"/>
  <c r="B286" i="32" s="1"/>
  <c r="B287" i="32" s="1"/>
  <c r="B288" i="32" s="1"/>
  <c r="B289" i="32" s="1"/>
  <c r="B290" i="32" s="1"/>
  <c r="B291" i="32" s="1"/>
  <c r="B292" i="32" s="1"/>
  <c r="B293" i="32" s="1"/>
  <c r="B236" i="32"/>
  <c r="B237" i="32"/>
  <c r="B238" i="32"/>
  <c r="B239" i="32"/>
  <c r="D154" i="32"/>
  <c r="D209" i="32" s="1"/>
  <c r="E154" i="32"/>
  <c r="E209" i="32" s="1"/>
  <c r="E72" i="32"/>
  <c r="E71" i="32"/>
  <c r="D72" i="32"/>
  <c r="D71" i="32"/>
  <c r="E75" i="32"/>
  <c r="E74" i="32"/>
  <c r="E73" i="32"/>
  <c r="D73" i="32"/>
  <c r="E70" i="32"/>
  <c r="D70" i="32"/>
  <c r="E69" i="32"/>
  <c r="D439" i="32"/>
  <c r="E439" i="32"/>
  <c r="F439" i="32"/>
  <c r="E440" i="32"/>
  <c r="F440" i="32"/>
  <c r="B444" i="32"/>
  <c r="B445" i="32"/>
  <c r="B446" i="32"/>
  <c r="B447" i="32"/>
  <c r="D435" i="32"/>
  <c r="E436" i="32"/>
  <c r="F436" i="32"/>
  <c r="E437" i="32"/>
  <c r="F437" i="32"/>
  <c r="D438" i="32"/>
  <c r="F438" i="32"/>
  <c r="E444" i="32"/>
  <c r="F444" i="32"/>
  <c r="G444" i="32"/>
  <c r="E445" i="32"/>
  <c r="F445" i="32"/>
  <c r="G445" i="32"/>
  <c r="E446" i="32"/>
  <c r="F446" i="32"/>
  <c r="G446" i="32"/>
  <c r="G447" i="32"/>
  <c r="O5" i="35" l="1"/>
  <c r="P34" i="1"/>
  <c r="D437" i="32" s="1"/>
  <c r="Q67" i="21"/>
  <c r="D436" i="32"/>
  <c r="T78" i="21"/>
  <c r="C129" i="32"/>
  <c r="C3" i="33"/>
  <c r="C60" i="32"/>
  <c r="C59" i="32"/>
  <c r="C58" i="32"/>
  <c r="C57" i="32"/>
  <c r="C56" i="32"/>
  <c r="C47" i="32"/>
  <c r="C46" i="32"/>
  <c r="F45" i="32"/>
  <c r="E45" i="32" s="1"/>
  <c r="C45" i="32"/>
  <c r="F44" i="32"/>
  <c r="E44" i="32" s="1"/>
  <c r="C44" i="32"/>
  <c r="C42" i="32"/>
  <c r="C41" i="32"/>
  <c r="C40" i="32"/>
  <c r="F15" i="32"/>
  <c r="E15" i="32" s="1"/>
  <c r="E6" i="32"/>
  <c r="E5" i="32"/>
  <c r="G272" i="32"/>
  <c r="G323" i="32" s="1"/>
  <c r="G374" i="32" s="1"/>
  <c r="G401" i="32" s="1"/>
  <c r="L232" i="32"/>
  <c r="F115" i="32"/>
  <c r="D33" i="32"/>
  <c r="P5" i="35" l="1"/>
  <c r="D41" i="32"/>
  <c r="C531" i="32"/>
  <c r="D42" i="32"/>
  <c r="C532" i="32"/>
  <c r="G115" i="32"/>
  <c r="F154" i="32"/>
  <c r="F209" i="32" s="1"/>
  <c r="Q5" i="35" l="1"/>
  <c r="H115" i="32"/>
  <c r="G154" i="32"/>
  <c r="G209" i="32" s="1"/>
  <c r="F43" i="2"/>
  <c r="E43" i="2"/>
  <c r="E42" i="2"/>
  <c r="H42" i="2" s="1"/>
  <c r="G43" i="2" l="1"/>
  <c r="I971" i="32" s="1"/>
  <c r="R5" i="35"/>
  <c r="I115" i="32"/>
  <c r="H154" i="32"/>
  <c r="H209" i="32" s="1"/>
  <c r="S5" i="35" l="1"/>
  <c r="J115" i="32"/>
  <c r="I154" i="32"/>
  <c r="I209" i="32" s="1"/>
  <c r="BC89" i="1"/>
  <c r="BB89" i="1"/>
  <c r="BA89" i="1"/>
  <c r="AZ89" i="1"/>
  <c r="BC88" i="1"/>
  <c r="BB88" i="1"/>
  <c r="BA88" i="1"/>
  <c r="AZ88" i="1"/>
  <c r="BC87" i="1"/>
  <c r="BB87" i="1"/>
  <c r="BA87" i="1"/>
  <c r="AZ87" i="1"/>
  <c r="BC86" i="1"/>
  <c r="BB86" i="1"/>
  <c r="BA86" i="1"/>
  <c r="AZ86" i="1"/>
  <c r="BC85" i="1"/>
  <c r="BB85" i="1"/>
  <c r="BA85" i="1"/>
  <c r="AZ85" i="1"/>
  <c r="BC84" i="1"/>
  <c r="BB84" i="1"/>
  <c r="BA84" i="1"/>
  <c r="AZ84" i="1"/>
  <c r="BC83" i="1"/>
  <c r="BB83" i="1"/>
  <c r="BA83" i="1"/>
  <c r="AZ83" i="1"/>
  <c r="BC82" i="1"/>
  <c r="BB82" i="1"/>
  <c r="BA82" i="1"/>
  <c r="AZ82" i="1"/>
  <c r="BC81" i="1"/>
  <c r="BB81" i="1"/>
  <c r="BA81" i="1"/>
  <c r="AZ81" i="1"/>
  <c r="AY89" i="1"/>
  <c r="AY88" i="1"/>
  <c r="AY87" i="1"/>
  <c r="AY86" i="1"/>
  <c r="AX89" i="1"/>
  <c r="AX88" i="1"/>
  <c r="BH40" i="1"/>
  <c r="BG40" i="1"/>
  <c r="BH39" i="1"/>
  <c r="BG39" i="1"/>
  <c r="BG37" i="1"/>
  <c r="BH37" i="1"/>
  <c r="BG38" i="1"/>
  <c r="BH38" i="1"/>
  <c r="AX87" i="1"/>
  <c r="AX86" i="1"/>
  <c r="B73" i="31"/>
  <c r="C58" i="31"/>
  <c r="E58" i="31" s="1"/>
  <c r="B58" i="31"/>
  <c r="D58" i="31" s="1"/>
  <c r="C57" i="31"/>
  <c r="E57" i="31" s="1"/>
  <c r="B57" i="31"/>
  <c r="D57" i="31" s="1"/>
  <c r="C56" i="31"/>
  <c r="E56" i="31" s="1"/>
  <c r="B56" i="31"/>
  <c r="D56" i="31" s="1"/>
  <c r="C55" i="31"/>
  <c r="E55" i="31" s="1"/>
  <c r="B55" i="31"/>
  <c r="D55" i="31" s="1"/>
  <c r="C54" i="31"/>
  <c r="E54" i="31" s="1"/>
  <c r="B54" i="31"/>
  <c r="D54" i="31" s="1"/>
  <c r="F49" i="31"/>
  <c r="F48" i="31"/>
  <c r="F47" i="31"/>
  <c r="F46" i="31"/>
  <c r="F45" i="31"/>
  <c r="C40" i="31"/>
  <c r="B40" i="31"/>
  <c r="C39" i="31"/>
  <c r="B39" i="31"/>
  <c r="C38" i="31"/>
  <c r="B38" i="31"/>
  <c r="C37" i="31"/>
  <c r="B37" i="31"/>
  <c r="C36" i="31"/>
  <c r="B36" i="31"/>
  <c r="C31" i="31"/>
  <c r="B31" i="31"/>
  <c r="C28" i="31"/>
  <c r="B28" i="31"/>
  <c r="D20" i="31"/>
  <c r="C20" i="31"/>
  <c r="B20" i="31"/>
  <c r="D19" i="31"/>
  <c r="E45" i="31" s="1"/>
  <c r="C19" i="31"/>
  <c r="B19" i="31"/>
  <c r="B22" i="31" s="1"/>
  <c r="E18" i="31"/>
  <c r="E17" i="31"/>
  <c r="D39" i="31" l="1"/>
  <c r="E39" i="31" s="1"/>
  <c r="D38" i="31"/>
  <c r="E38" i="31" s="1"/>
  <c r="D48" i="31"/>
  <c r="H48" i="31" s="1"/>
  <c r="D49" i="31"/>
  <c r="H49" i="31" s="1"/>
  <c r="E20" i="31"/>
  <c r="T5" i="35"/>
  <c r="D40" i="31"/>
  <c r="E40" i="31" s="1"/>
  <c r="D21" i="31"/>
  <c r="E49" i="31"/>
  <c r="D46" i="31"/>
  <c r="H46" i="31" s="1"/>
  <c r="E46" i="31"/>
  <c r="C29" i="31"/>
  <c r="B74" i="31"/>
  <c r="B23" i="31"/>
  <c r="D22" i="31"/>
  <c r="D23" i="31" s="1"/>
  <c r="D36" i="31"/>
  <c r="E36" i="31" s="1"/>
  <c r="E48" i="31"/>
  <c r="E19" i="31"/>
  <c r="D37" i="31"/>
  <c r="E37" i="31" s="1"/>
  <c r="K115" i="32"/>
  <c r="J154" i="32"/>
  <c r="J209" i="32" s="1"/>
  <c r="C21" i="31"/>
  <c r="D47" i="31"/>
  <c r="C73" i="31"/>
  <c r="D73" i="31" s="1"/>
  <c r="C22" i="31"/>
  <c r="B29" i="31"/>
  <c r="E47" i="31"/>
  <c r="D45" i="31"/>
  <c r="B30" i="31"/>
  <c r="G48" i="31" l="1"/>
  <c r="G49" i="31"/>
  <c r="E21" i="31"/>
  <c r="U5" i="35"/>
  <c r="G46" i="31"/>
  <c r="U56" i="21"/>
  <c r="F435" i="32"/>
  <c r="D24" i="31"/>
  <c r="L115" i="32"/>
  <c r="K154" i="32"/>
  <c r="K209" i="32" s="1"/>
  <c r="G45" i="31"/>
  <c r="H45" i="31"/>
  <c r="C23" i="31"/>
  <c r="C74" i="31"/>
  <c r="D74" i="31" s="1"/>
  <c r="E22" i="31"/>
  <c r="H47" i="31"/>
  <c r="G47" i="31"/>
  <c r="V5" i="35" l="1"/>
  <c r="M115" i="32"/>
  <c r="L154" i="32"/>
  <c r="L209" i="32" s="1"/>
  <c r="C24" i="31"/>
  <c r="E23" i="31"/>
  <c r="W5" i="35" l="1"/>
  <c r="N115" i="32"/>
  <c r="N154" i="32" s="1"/>
  <c r="N209" i="32" s="1"/>
  <c r="M154" i="32"/>
  <c r="M209" i="32" s="1"/>
  <c r="C78" i="31"/>
  <c r="E24" i="31"/>
  <c r="X5" i="35" l="1"/>
  <c r="AS68" i="1"/>
  <c r="AR68" i="1"/>
  <c r="AQ68" i="1"/>
  <c r="AP68" i="1"/>
  <c r="AO68" i="1"/>
  <c r="AS67" i="1"/>
  <c r="AR67" i="1"/>
  <c r="AQ67" i="1"/>
  <c r="AP67" i="1"/>
  <c r="AO67" i="1"/>
  <c r="AS66" i="1"/>
  <c r="AR66" i="1"/>
  <c r="AQ66" i="1"/>
  <c r="AP66" i="1"/>
  <c r="AO66" i="1"/>
  <c r="AS65" i="1"/>
  <c r="AR65" i="1"/>
  <c r="AQ65" i="1"/>
  <c r="AP65" i="1"/>
  <c r="AO65" i="1"/>
  <c r="AN68" i="1"/>
  <c r="AN66" i="1"/>
  <c r="AN67" i="1"/>
  <c r="AN65" i="1"/>
  <c r="AM68" i="1"/>
  <c r="AM67" i="1"/>
  <c r="AM66" i="1"/>
  <c r="AM65" i="1"/>
  <c r="A43" i="28"/>
  <c r="T67" i="28"/>
  <c r="Q67" i="28"/>
  <c r="N67" i="28"/>
  <c r="H67" i="28"/>
  <c r="G67" i="28"/>
  <c r="I46" i="28"/>
  <c r="H46" i="28"/>
  <c r="H70" i="28" s="1"/>
  <c r="T45" i="28"/>
  <c r="T69" i="28" s="1"/>
  <c r="Q45" i="28"/>
  <c r="Q69" i="28" s="1"/>
  <c r="N45" i="28"/>
  <c r="N69" i="28" s="1"/>
  <c r="J45" i="28"/>
  <c r="I45" i="28"/>
  <c r="H45" i="28"/>
  <c r="H69" i="28" s="1"/>
  <c r="T44" i="28"/>
  <c r="T68" i="28" s="1"/>
  <c r="Q44" i="28"/>
  <c r="Q68" i="28" s="1"/>
  <c r="N44" i="28"/>
  <c r="N68" i="28" s="1"/>
  <c r="H44" i="28"/>
  <c r="T42" i="28"/>
  <c r="T66" i="28" s="1"/>
  <c r="Q42" i="28"/>
  <c r="Q66" i="28" s="1"/>
  <c r="N42" i="28"/>
  <c r="N66" i="28" s="1"/>
  <c r="J42" i="28"/>
  <c r="I42" i="28"/>
  <c r="H42" i="28"/>
  <c r="H66" i="28" s="1"/>
  <c r="T41" i="28"/>
  <c r="T65" i="28" s="1"/>
  <c r="Q41" i="28"/>
  <c r="Q65" i="28" s="1"/>
  <c r="N41" i="28"/>
  <c r="N65" i="28" s="1"/>
  <c r="J41" i="28"/>
  <c r="I41" i="28"/>
  <c r="H41" i="28"/>
  <c r="H65" i="28" s="1"/>
  <c r="T40" i="28"/>
  <c r="T64" i="28" s="1"/>
  <c r="Q40" i="28"/>
  <c r="Q64" i="28" s="1"/>
  <c r="N40" i="28"/>
  <c r="N64" i="28" s="1"/>
  <c r="J40" i="28"/>
  <c r="I40" i="28"/>
  <c r="H40" i="28"/>
  <c r="H64" i="28" s="1"/>
  <c r="T39" i="28"/>
  <c r="T63" i="28" s="1"/>
  <c r="Q39" i="28"/>
  <c r="Q63" i="28" s="1"/>
  <c r="N39" i="28"/>
  <c r="N63" i="28" s="1"/>
  <c r="J39" i="28"/>
  <c r="I39" i="28"/>
  <c r="H39" i="28"/>
  <c r="H63" i="28" s="1"/>
  <c r="T38" i="28"/>
  <c r="T62" i="28" s="1"/>
  <c r="Q38" i="28"/>
  <c r="Q62" i="28" s="1"/>
  <c r="N38" i="28"/>
  <c r="N62" i="28" s="1"/>
  <c r="J38" i="28"/>
  <c r="I38" i="28"/>
  <c r="H38" i="28"/>
  <c r="H62" i="28" s="1"/>
  <c r="T37" i="28"/>
  <c r="T61" i="28" s="1"/>
  <c r="Q37" i="28"/>
  <c r="Q61" i="28" s="1"/>
  <c r="N37" i="28"/>
  <c r="N61" i="28" s="1"/>
  <c r="J37" i="28"/>
  <c r="I37" i="28"/>
  <c r="H37" i="28"/>
  <c r="H61" i="28" s="1"/>
  <c r="T36" i="28"/>
  <c r="T60" i="28" s="1"/>
  <c r="Q36" i="28"/>
  <c r="Q60" i="28" s="1"/>
  <c r="N36" i="28"/>
  <c r="N60" i="28" s="1"/>
  <c r="J36" i="28"/>
  <c r="I36" i="28"/>
  <c r="H36" i="28"/>
  <c r="T35" i="28"/>
  <c r="T59" i="28" s="1"/>
  <c r="Q35" i="28"/>
  <c r="Q59" i="28" s="1"/>
  <c r="N35" i="28"/>
  <c r="N59" i="28" s="1"/>
  <c r="J35" i="28"/>
  <c r="I35" i="28"/>
  <c r="H35" i="28"/>
  <c r="H59" i="28" s="1"/>
  <c r="T34" i="28"/>
  <c r="T58" i="28" s="1"/>
  <c r="Q34" i="28"/>
  <c r="Q58" i="28" s="1"/>
  <c r="N34" i="28"/>
  <c r="N58" i="28" s="1"/>
  <c r="H34" i="28"/>
  <c r="T33" i="28"/>
  <c r="T57" i="28" s="1"/>
  <c r="Q33" i="28"/>
  <c r="Q57" i="28" s="1"/>
  <c r="N33" i="28"/>
  <c r="N57" i="28" s="1"/>
  <c r="H33" i="28"/>
  <c r="H57" i="28" s="1"/>
  <c r="T32" i="28"/>
  <c r="T56" i="28" s="1"/>
  <c r="Q32" i="28"/>
  <c r="Q56" i="28" s="1"/>
  <c r="N32" i="28"/>
  <c r="N56" i="28" s="1"/>
  <c r="J32" i="28"/>
  <c r="I32" i="28"/>
  <c r="H32" i="28"/>
  <c r="T31" i="28"/>
  <c r="Q31" i="28"/>
  <c r="Q55" i="28" s="1"/>
  <c r="N31" i="28"/>
  <c r="N55" i="28" s="1"/>
  <c r="J31" i="28"/>
  <c r="I31" i="28"/>
  <c r="H31" i="28"/>
  <c r="H55" i="28" s="1"/>
  <c r="E28" i="30"/>
  <c r="E23" i="30"/>
  <c r="H13" i="6"/>
  <c r="G5" i="30"/>
  <c r="AX81" i="1"/>
  <c r="BC75" i="1"/>
  <c r="BB75" i="1"/>
  <c r="BA75" i="1"/>
  <c r="AZ75" i="1"/>
  <c r="AY75" i="1"/>
  <c r="AX75" i="1"/>
  <c r="BC74" i="1"/>
  <c r="BB74" i="1"/>
  <c r="BA74" i="1"/>
  <c r="AZ74" i="1"/>
  <c r="AY74" i="1"/>
  <c r="AX74" i="1"/>
  <c r="BC73" i="1"/>
  <c r="BB73" i="1"/>
  <c r="BA73" i="1"/>
  <c r="AZ73" i="1"/>
  <c r="AY73" i="1"/>
  <c r="AX73" i="1"/>
  <c r="BC72" i="1"/>
  <c r="BB72" i="1"/>
  <c r="BA72" i="1"/>
  <c r="AZ72" i="1"/>
  <c r="AY72" i="1"/>
  <c r="AX72" i="1"/>
  <c r="BC71" i="1"/>
  <c r="BB71" i="1"/>
  <c r="BA71" i="1"/>
  <c r="AZ71" i="1"/>
  <c r="AY71" i="1"/>
  <c r="AX71" i="1"/>
  <c r="M44" i="28" l="1"/>
  <c r="P34" i="28"/>
  <c r="M32" i="28"/>
  <c r="P36" i="28"/>
  <c r="H20" i="28"/>
  <c r="H68" i="28" s="1"/>
  <c r="H56" i="28"/>
  <c r="S41" i="28"/>
  <c r="H60" i="28"/>
  <c r="P38" i="28"/>
  <c r="P42" i="28"/>
  <c r="S42" i="28"/>
  <c r="T55" i="28"/>
  <c r="H58" i="28"/>
  <c r="M35" i="28"/>
  <c r="S36" i="28"/>
  <c r="M40" i="28"/>
  <c r="M37" i="28"/>
  <c r="M38" i="28"/>
  <c r="S39" i="28"/>
  <c r="S31" i="28"/>
  <c r="S38" i="28"/>
  <c r="P37" i="28"/>
  <c r="S32" i="28"/>
  <c r="P33" i="28"/>
  <c r="S37" i="28"/>
  <c r="P41" i="28"/>
  <c r="P39" i="28"/>
  <c r="M42" i="28"/>
  <c r="S44" i="28"/>
  <c r="S45" i="28"/>
  <c r="P45" i="28"/>
  <c r="M39" i="28"/>
  <c r="M45" i="28"/>
  <c r="P44" i="28"/>
  <c r="H47" i="28"/>
  <c r="S35" i="28"/>
  <c r="M41" i="28"/>
  <c r="S33" i="28"/>
  <c r="P35" i="28"/>
  <c r="P32" i="28"/>
  <c r="S40" i="28"/>
  <c r="S34" i="28"/>
  <c r="M36" i="28"/>
  <c r="M31" i="28"/>
  <c r="M34" i="28"/>
  <c r="M33" i="28"/>
  <c r="P31" i="28"/>
  <c r="P40" i="28"/>
  <c r="H5" i="30"/>
  <c r="H71" i="28" l="1"/>
  <c r="I5" i="30"/>
  <c r="O93" i="28"/>
  <c r="N93" i="28"/>
  <c r="J93" i="28"/>
  <c r="I93" i="28"/>
  <c r="H93" i="28"/>
  <c r="G93" i="28"/>
  <c r="F93" i="28"/>
  <c r="E93" i="28"/>
  <c r="D93" i="28"/>
  <c r="O92" i="28"/>
  <c r="N92" i="28"/>
  <c r="J92" i="28"/>
  <c r="I92" i="28"/>
  <c r="H92" i="28"/>
  <c r="G92" i="28"/>
  <c r="F92" i="28"/>
  <c r="E92" i="28"/>
  <c r="D92" i="28"/>
  <c r="O91" i="28"/>
  <c r="N91" i="28"/>
  <c r="J91" i="28"/>
  <c r="I91" i="28"/>
  <c r="H91" i="28"/>
  <c r="F91" i="28"/>
  <c r="E91" i="28"/>
  <c r="D91" i="28"/>
  <c r="O90" i="28"/>
  <c r="N90" i="28"/>
  <c r="J90" i="28"/>
  <c r="I90" i="28"/>
  <c r="H90" i="28"/>
  <c r="G90" i="28"/>
  <c r="F90" i="28"/>
  <c r="E90" i="28"/>
  <c r="D90" i="28"/>
  <c r="O89" i="28"/>
  <c r="N89" i="28"/>
  <c r="J89" i="28"/>
  <c r="I89" i="28"/>
  <c r="H89" i="28"/>
  <c r="G89" i="28"/>
  <c r="F89" i="28"/>
  <c r="E89" i="28"/>
  <c r="D89" i="28"/>
  <c r="O88" i="28"/>
  <c r="N88" i="28"/>
  <c r="J88" i="28"/>
  <c r="I88" i="28"/>
  <c r="H88" i="28"/>
  <c r="G88" i="28"/>
  <c r="F88" i="28"/>
  <c r="E88" i="28"/>
  <c r="D88" i="28"/>
  <c r="O87" i="28"/>
  <c r="N87" i="28"/>
  <c r="J87" i="28"/>
  <c r="I87" i="28"/>
  <c r="H87" i="28"/>
  <c r="G87" i="28"/>
  <c r="F87" i="28"/>
  <c r="E87" i="28"/>
  <c r="D87" i="28"/>
  <c r="O86" i="28"/>
  <c r="N86" i="28"/>
  <c r="J86" i="28"/>
  <c r="I86" i="28"/>
  <c r="H86" i="28"/>
  <c r="G86" i="28"/>
  <c r="F86" i="28"/>
  <c r="E86" i="28"/>
  <c r="D86" i="28"/>
  <c r="O85" i="28"/>
  <c r="N85" i="28"/>
  <c r="J85" i="28"/>
  <c r="I85" i="28"/>
  <c r="H85" i="28"/>
  <c r="G85" i="28"/>
  <c r="F85" i="28"/>
  <c r="E85" i="28"/>
  <c r="D85" i="28"/>
  <c r="O84" i="28"/>
  <c r="N84" i="28"/>
  <c r="J84" i="28"/>
  <c r="I84" i="28"/>
  <c r="H84" i="28"/>
  <c r="G84" i="28"/>
  <c r="F84" i="28"/>
  <c r="E84" i="28"/>
  <c r="D84" i="28"/>
  <c r="O83" i="28"/>
  <c r="N83" i="28"/>
  <c r="J83" i="28"/>
  <c r="I83" i="28"/>
  <c r="H83" i="28"/>
  <c r="G83" i="28"/>
  <c r="F83" i="28"/>
  <c r="E83" i="28"/>
  <c r="D83" i="28"/>
  <c r="O82" i="28"/>
  <c r="N82" i="28"/>
  <c r="J82" i="28"/>
  <c r="I82" i="28"/>
  <c r="H82" i="28"/>
  <c r="G82" i="28"/>
  <c r="F82" i="28"/>
  <c r="E82" i="28"/>
  <c r="D82" i="28"/>
  <c r="O81" i="28"/>
  <c r="N81" i="28"/>
  <c r="J81" i="28"/>
  <c r="I81" i="28"/>
  <c r="H81" i="28"/>
  <c r="G81" i="28"/>
  <c r="F81" i="28"/>
  <c r="E81" i="28"/>
  <c r="D81" i="28"/>
  <c r="O80" i="28"/>
  <c r="N80" i="28"/>
  <c r="J80" i="28"/>
  <c r="I80" i="28"/>
  <c r="H80" i="28"/>
  <c r="G80" i="28"/>
  <c r="F80" i="28"/>
  <c r="E80" i="28"/>
  <c r="D80" i="28"/>
  <c r="O79" i="28"/>
  <c r="N79" i="28"/>
  <c r="J79" i="28"/>
  <c r="I79" i="28"/>
  <c r="H79" i="28"/>
  <c r="G79" i="28"/>
  <c r="F79" i="28"/>
  <c r="E79" i="28"/>
  <c r="D79" i="28"/>
  <c r="O78" i="28"/>
  <c r="N78" i="28"/>
  <c r="J78" i="28"/>
  <c r="I78" i="28"/>
  <c r="H78" i="28"/>
  <c r="G78" i="28"/>
  <c r="F78" i="28"/>
  <c r="E78" i="28"/>
  <c r="D78" i="28"/>
  <c r="T23" i="28"/>
  <c r="Q23" i="28"/>
  <c r="N23" i="28"/>
  <c r="H23" i="28"/>
  <c r="S22" i="28"/>
  <c r="R22" i="28"/>
  <c r="P22" i="28"/>
  <c r="O22" i="28"/>
  <c r="M22" i="28"/>
  <c r="L22" i="28"/>
  <c r="K22" i="28"/>
  <c r="S21" i="28"/>
  <c r="S69" i="28" s="1"/>
  <c r="R21" i="28"/>
  <c r="P21" i="28"/>
  <c r="P69" i="28" s="1"/>
  <c r="O21" i="28"/>
  <c r="M21" i="28"/>
  <c r="M69" i="28" s="1"/>
  <c r="L21" i="28"/>
  <c r="K21" i="28"/>
  <c r="S20" i="28"/>
  <c r="S68" i="28" s="1"/>
  <c r="P20" i="28"/>
  <c r="P68" i="28" s="1"/>
  <c r="M20" i="28"/>
  <c r="M68" i="28" s="1"/>
  <c r="S19" i="28"/>
  <c r="S67" i="28" s="1"/>
  <c r="R19" i="28"/>
  <c r="P19" i="28"/>
  <c r="P67" i="28" s="1"/>
  <c r="O19" i="28"/>
  <c r="M19" i="28"/>
  <c r="M67" i="28" s="1"/>
  <c r="L19" i="28"/>
  <c r="K19" i="28"/>
  <c r="S18" i="28"/>
  <c r="S66" i="28" s="1"/>
  <c r="R18" i="28"/>
  <c r="P18" i="28"/>
  <c r="P66" i="28" s="1"/>
  <c r="O18" i="28"/>
  <c r="M18" i="28"/>
  <c r="M66" i="28" s="1"/>
  <c r="L18" i="28"/>
  <c r="K18" i="28"/>
  <c r="S17" i="28"/>
  <c r="S65" i="28" s="1"/>
  <c r="R17" i="28"/>
  <c r="P17" i="28"/>
  <c r="P65" i="28" s="1"/>
  <c r="O17" i="28"/>
  <c r="M17" i="28"/>
  <c r="M65" i="28" s="1"/>
  <c r="L17" i="28"/>
  <c r="K17" i="28"/>
  <c r="S16" i="28"/>
  <c r="S64" i="28" s="1"/>
  <c r="R16" i="28"/>
  <c r="P16" i="28"/>
  <c r="P64" i="28" s="1"/>
  <c r="O16" i="28"/>
  <c r="M16" i="28"/>
  <c r="M64" i="28" s="1"/>
  <c r="L16" i="28"/>
  <c r="K16" i="28"/>
  <c r="S15" i="28"/>
  <c r="S63" i="28" s="1"/>
  <c r="R15" i="28"/>
  <c r="P15" i="28"/>
  <c r="P63" i="28" s="1"/>
  <c r="O15" i="28"/>
  <c r="M15" i="28"/>
  <c r="M63" i="28" s="1"/>
  <c r="L15" i="28"/>
  <c r="K15" i="28"/>
  <c r="S14" i="28"/>
  <c r="S62" i="28" s="1"/>
  <c r="R14" i="28"/>
  <c r="P14" i="28"/>
  <c r="P62" i="28" s="1"/>
  <c r="O14" i="28"/>
  <c r="M14" i="28"/>
  <c r="M62" i="28" s="1"/>
  <c r="L14" i="28"/>
  <c r="K14" i="28"/>
  <c r="S13" i="28"/>
  <c r="S61" i="28" s="1"/>
  <c r="R13" i="28"/>
  <c r="P13" i="28"/>
  <c r="P61" i="28" s="1"/>
  <c r="O13" i="28"/>
  <c r="M13" i="28"/>
  <c r="M61" i="28" s="1"/>
  <c r="L13" i="28"/>
  <c r="K13" i="28"/>
  <c r="S12" i="28"/>
  <c r="S60" i="28" s="1"/>
  <c r="R12" i="28"/>
  <c r="P12" i="28"/>
  <c r="P60" i="28" s="1"/>
  <c r="O12" i="28"/>
  <c r="M12" i="28"/>
  <c r="M60" i="28" s="1"/>
  <c r="L12" i="28"/>
  <c r="K12" i="28"/>
  <c r="S11" i="28"/>
  <c r="S59" i="28" s="1"/>
  <c r="R11" i="28"/>
  <c r="P11" i="28"/>
  <c r="P59" i="28" s="1"/>
  <c r="O11" i="28"/>
  <c r="M11" i="28"/>
  <c r="M59" i="28" s="1"/>
  <c r="L11" i="28"/>
  <c r="K11" i="28"/>
  <c r="S10" i="28"/>
  <c r="S58" i="28" s="1"/>
  <c r="R10" i="28"/>
  <c r="P10" i="28"/>
  <c r="P58" i="28" s="1"/>
  <c r="O10" i="28"/>
  <c r="M10" i="28"/>
  <c r="M58" i="28" s="1"/>
  <c r="L10" i="28"/>
  <c r="S9" i="28"/>
  <c r="S57" i="28" s="1"/>
  <c r="R9" i="28"/>
  <c r="P9" i="28"/>
  <c r="P57" i="28" s="1"/>
  <c r="O9" i="28"/>
  <c r="M9" i="28"/>
  <c r="M57" i="28" s="1"/>
  <c r="L9" i="28"/>
  <c r="S8" i="28"/>
  <c r="S56" i="28" s="1"/>
  <c r="R8" i="28"/>
  <c r="P8" i="28"/>
  <c r="P56" i="28" s="1"/>
  <c r="O8" i="28"/>
  <c r="M8" i="28"/>
  <c r="M56" i="28" s="1"/>
  <c r="L8" i="28"/>
  <c r="K8" i="28"/>
  <c r="S7" i="28"/>
  <c r="S55" i="28" s="1"/>
  <c r="R7" i="28"/>
  <c r="P7" i="28"/>
  <c r="P55" i="28" s="1"/>
  <c r="O7" i="28"/>
  <c r="M7" i="28"/>
  <c r="M55" i="28" s="1"/>
  <c r="L7" i="28"/>
  <c r="K7" i="28"/>
  <c r="M81" i="28" l="1"/>
  <c r="P81" i="28" s="1"/>
  <c r="M89" i="28"/>
  <c r="P89" i="28" s="1"/>
  <c r="L92" i="28"/>
  <c r="K90" i="28"/>
  <c r="O67" i="28"/>
  <c r="M87" i="28"/>
  <c r="P87" i="28" s="1"/>
  <c r="K88" i="28"/>
  <c r="M79" i="28"/>
  <c r="P79" i="28" s="1"/>
  <c r="K80" i="28"/>
  <c r="L81" i="28"/>
  <c r="M85" i="28"/>
  <c r="P85" i="28" s="1"/>
  <c r="K87" i="28"/>
  <c r="L89" i="28"/>
  <c r="M92" i="28"/>
  <c r="P92" i="28" s="1"/>
  <c r="L85" i="28"/>
  <c r="K82" i="28"/>
  <c r="L84" i="28"/>
  <c r="M88" i="28"/>
  <c r="P88" i="28" s="1"/>
  <c r="K81" i="28"/>
  <c r="L82" i="28"/>
  <c r="M86" i="28"/>
  <c r="P86" i="28" s="1"/>
  <c r="M84" i="28"/>
  <c r="P84" i="28" s="1"/>
  <c r="K86" i="28"/>
  <c r="L88" i="28"/>
  <c r="K93" i="28"/>
  <c r="L79" i="28"/>
  <c r="K83" i="28"/>
  <c r="K89" i="28"/>
  <c r="L90" i="28"/>
  <c r="R67" i="28"/>
  <c r="M93" i="28"/>
  <c r="P93" i="28" s="1"/>
  <c r="M78" i="28"/>
  <c r="P78" i="28" s="1"/>
  <c r="K79" i="28"/>
  <c r="L80" i="28"/>
  <c r="M83" i="28"/>
  <c r="P83" i="28" s="1"/>
  <c r="K85" i="28"/>
  <c r="L87" i="28"/>
  <c r="K92" i="28"/>
  <c r="L78" i="28"/>
  <c r="M80" i="28"/>
  <c r="P80" i="28" s="1"/>
  <c r="L83" i="28"/>
  <c r="K78" i="28"/>
  <c r="M82" i="28"/>
  <c r="P82" i="28" s="1"/>
  <c r="K84" i="28"/>
  <c r="L86" i="28"/>
  <c r="M90" i="28"/>
  <c r="P90" i="28" s="1"/>
  <c r="L67" i="28"/>
  <c r="L93" i="28"/>
  <c r="S23" i="28"/>
  <c r="P23" i="28"/>
  <c r="J5" i="30"/>
  <c r="M23" i="28"/>
  <c r="K5" i="30" l="1"/>
  <c r="N94" i="1"/>
  <c r="N90" i="1"/>
  <c r="AY85" i="1"/>
  <c r="AY84" i="1"/>
  <c r="AY83" i="1"/>
  <c r="AY82" i="1"/>
  <c r="AY81" i="1"/>
  <c r="AX85" i="1"/>
  <c r="AX84" i="1"/>
  <c r="AX83" i="1"/>
  <c r="AX82" i="1"/>
  <c r="BC66" i="1"/>
  <c r="BB66" i="1"/>
  <c r="BA66" i="1"/>
  <c r="BC65" i="1"/>
  <c r="BB65" i="1"/>
  <c r="BA65" i="1"/>
  <c r="BC64" i="1"/>
  <c r="BB64" i="1"/>
  <c r="BA64" i="1"/>
  <c r="BC63" i="1"/>
  <c r="BB63" i="1"/>
  <c r="BA63" i="1"/>
  <c r="BC62" i="1"/>
  <c r="BB62" i="1"/>
  <c r="BA62" i="1"/>
  <c r="AZ66" i="1"/>
  <c r="AW75" i="1" s="1"/>
  <c r="AZ65" i="1"/>
  <c r="AW74" i="1" s="1"/>
  <c r="AZ64" i="1"/>
  <c r="AW73" i="1" s="1"/>
  <c r="AZ63" i="1"/>
  <c r="AW72" i="1" s="1"/>
  <c r="AZ62" i="1"/>
  <c r="AW71" i="1" s="1"/>
  <c r="AY66" i="1"/>
  <c r="AX66" i="1"/>
  <c r="AW66" i="1"/>
  <c r="AY65" i="1"/>
  <c r="AX65" i="1"/>
  <c r="AW65" i="1"/>
  <c r="AY64" i="1"/>
  <c r="AX64" i="1"/>
  <c r="AW64" i="1"/>
  <c r="AY63" i="1"/>
  <c r="AX63" i="1"/>
  <c r="AW63" i="1"/>
  <c r="AY62" i="1"/>
  <c r="AX62" i="1"/>
  <c r="AW62" i="1"/>
  <c r="H113" i="1"/>
  <c r="R90" i="1" l="1"/>
  <c r="L5" i="30"/>
  <c r="BA40" i="1"/>
  <c r="AZ40" i="1"/>
  <c r="AY40" i="1"/>
  <c r="AX40" i="1"/>
  <c r="AW40" i="1"/>
  <c r="BA39" i="1"/>
  <c r="AX79" i="1" s="1"/>
  <c r="AZ39" i="1"/>
  <c r="AY39" i="1"/>
  <c r="AX39" i="1"/>
  <c r="AW39" i="1"/>
  <c r="BB38" i="1"/>
  <c r="AV40" i="1"/>
  <c r="AU40" i="1"/>
  <c r="AT40" i="1"/>
  <c r="AS40" i="1"/>
  <c r="AR40" i="1"/>
  <c r="AQ40" i="1"/>
  <c r="AP40" i="1"/>
  <c r="AV39" i="1"/>
  <c r="AU39" i="1"/>
  <c r="AT39" i="1"/>
  <c r="AS39" i="1"/>
  <c r="AR39" i="1"/>
  <c r="AQ39" i="1"/>
  <c r="AP39" i="1"/>
  <c r="BF38" i="1"/>
  <c r="BE38" i="1"/>
  <c r="BD38" i="1"/>
  <c r="BC38" i="1"/>
  <c r="AU38" i="1"/>
  <c r="AT38" i="1"/>
  <c r="AS38" i="1"/>
  <c r="AR38" i="1"/>
  <c r="AQ38" i="1"/>
  <c r="AP38" i="1"/>
  <c r="BF37" i="1"/>
  <c r="BE37" i="1"/>
  <c r="BD37" i="1"/>
  <c r="BC37" i="1"/>
  <c r="BB37" i="1"/>
  <c r="BA37" i="1"/>
  <c r="AZ37" i="1"/>
  <c r="AY37" i="1"/>
  <c r="AX37" i="1"/>
  <c r="AW37" i="1"/>
  <c r="AV37" i="1"/>
  <c r="AP36" i="1"/>
  <c r="AQ36" i="1" s="1"/>
  <c r="AR36" i="1" s="1"/>
  <c r="AS36" i="1" s="1"/>
  <c r="AT36" i="1" s="1"/>
  <c r="AU36" i="1" s="1"/>
  <c r="AV36" i="1" s="1"/>
  <c r="AW36" i="1" s="1"/>
  <c r="AX36" i="1" s="1"/>
  <c r="AY36" i="1" s="1"/>
  <c r="AZ36" i="1" s="1"/>
  <c r="BA36" i="1" s="1"/>
  <c r="BB36" i="1" s="1"/>
  <c r="T44" i="1"/>
  <c r="G114" i="5" s="1"/>
  <c r="O153" i="5"/>
  <c r="O152" i="5"/>
  <c r="H152" i="5"/>
  <c r="H151" i="5"/>
  <c r="AZ61" i="1"/>
  <c r="BC61" i="1" s="1"/>
  <c r="AC32" i="1"/>
  <c r="S90" i="1" l="1"/>
  <c r="U62" i="21"/>
  <c r="F447" i="32"/>
  <c r="BB40" i="1"/>
  <c r="AY80" i="1" s="1"/>
  <c r="BB39" i="1"/>
  <c r="AY79" i="1" s="1"/>
  <c r="BC36" i="1"/>
  <c r="M5" i="30"/>
  <c r="BB61" i="1"/>
  <c r="AY61" i="1"/>
  <c r="AW61" i="1"/>
  <c r="AX61" i="1"/>
  <c r="BA61" i="1"/>
  <c r="Q4" i="1"/>
  <c r="G79" i="6"/>
  <c r="G74" i="6"/>
  <c r="M78" i="19"/>
  <c r="B128" i="21" s="1"/>
  <c r="I128" i="21" s="1"/>
  <c r="L32" i="19"/>
  <c r="B123" i="26"/>
  <c r="B122" i="26"/>
  <c r="B121" i="26"/>
  <c r="B120" i="26"/>
  <c r="B125" i="17"/>
  <c r="B124" i="17"/>
  <c r="B123" i="17"/>
  <c r="B122" i="17"/>
  <c r="B121" i="17"/>
  <c r="B120" i="17"/>
  <c r="B119" i="17"/>
  <c r="B118" i="17"/>
  <c r="G99" i="17"/>
  <c r="C73" i="1"/>
  <c r="C74" i="1" s="1"/>
  <c r="C75" i="1" s="1"/>
  <c r="T20" i="1"/>
  <c r="T19" i="1"/>
  <c r="G109" i="5"/>
  <c r="G104" i="5"/>
  <c r="C105" i="5"/>
  <c r="C100" i="17" s="1"/>
  <c r="C100" i="26" s="1"/>
  <c r="C100" i="5"/>
  <c r="C95" i="17" s="1"/>
  <c r="C95" i="26" s="1"/>
  <c r="I84" i="6"/>
  <c r="I79" i="6"/>
  <c r="M83" i="6"/>
  <c r="M78" i="6"/>
  <c r="I74" i="6"/>
  <c r="F45" i="2"/>
  <c r="F44" i="2"/>
  <c r="E45" i="2"/>
  <c r="L259" i="11"/>
  <c r="L254" i="11"/>
  <c r="L249" i="11"/>
  <c r="L244" i="11"/>
  <c r="L71" i="11"/>
  <c r="L66" i="11"/>
  <c r="Q43" i="1"/>
  <c r="Q42" i="1"/>
  <c r="I235" i="11" l="1"/>
  <c r="T90" i="1"/>
  <c r="N5" i="30"/>
  <c r="I67" i="11"/>
  <c r="C445" i="32"/>
  <c r="E8" i="32"/>
  <c r="D45" i="32" s="1"/>
  <c r="BC39" i="1"/>
  <c r="AZ79" i="1" s="1"/>
  <c r="BC40" i="1"/>
  <c r="AZ80" i="1" s="1"/>
  <c r="N153" i="5"/>
  <c r="W48" i="21"/>
  <c r="I72" i="11"/>
  <c r="C446" i="32"/>
  <c r="C8" i="32"/>
  <c r="E9" i="32"/>
  <c r="D46" i="32" s="1"/>
  <c r="N154" i="5"/>
  <c r="W49" i="21"/>
  <c r="BD36" i="1"/>
  <c r="M79" i="19"/>
  <c r="B129" i="21" s="1"/>
  <c r="I129" i="21" s="1"/>
  <c r="C76" i="1"/>
  <c r="M6" i="26"/>
  <c r="J116" i="26"/>
  <c r="C75" i="26"/>
  <c r="D41" i="26"/>
  <c r="D40" i="26"/>
  <c r="D39" i="26"/>
  <c r="D38" i="26"/>
  <c r="D37" i="26"/>
  <c r="D36" i="26"/>
  <c r="P37" i="1"/>
  <c r="J33" i="2"/>
  <c r="H80" i="16"/>
  <c r="J26" i="1"/>
  <c r="O5" i="30" l="1"/>
  <c r="O150" i="5"/>
  <c r="D440" i="32"/>
  <c r="BD40" i="1"/>
  <c r="BA80" i="1" s="1"/>
  <c r="BD39" i="1"/>
  <c r="BA79" i="1" s="1"/>
  <c r="BE36" i="1"/>
  <c r="O149" i="5"/>
  <c r="H150" i="5"/>
  <c r="M80" i="19"/>
  <c r="B130" i="21" s="1"/>
  <c r="I130" i="21" s="1"/>
  <c r="N6" i="26"/>
  <c r="C77" i="1"/>
  <c r="AH19" i="1"/>
  <c r="AH22" i="1"/>
  <c r="O45" i="1"/>
  <c r="P5" i="30" l="1"/>
  <c r="BE40" i="1"/>
  <c r="BB80" i="1" s="1"/>
  <c r="BE39" i="1"/>
  <c r="BB79" i="1" s="1"/>
  <c r="BF36" i="1"/>
  <c r="M81" i="19"/>
  <c r="B131" i="21" s="1"/>
  <c r="I131" i="21" s="1"/>
  <c r="O6" i="26"/>
  <c r="C78" i="1"/>
  <c r="Q5" i="30" l="1"/>
  <c r="BF39" i="1"/>
  <c r="BC79" i="1" s="1"/>
  <c r="BF40" i="1"/>
  <c r="BC80" i="1" s="1"/>
  <c r="M82" i="19"/>
  <c r="B132" i="21" s="1"/>
  <c r="I132" i="21" s="1"/>
  <c r="P6" i="26"/>
  <c r="C79" i="1"/>
  <c r="L279" i="11"/>
  <c r="L274" i="11"/>
  <c r="C91" i="11"/>
  <c r="L92" i="11"/>
  <c r="C75" i="11"/>
  <c r="C115" i="5"/>
  <c r="J119" i="5"/>
  <c r="J118" i="5"/>
  <c r="C110" i="5"/>
  <c r="C95" i="5"/>
  <c r="C90" i="17" s="1"/>
  <c r="C90" i="26" s="1"/>
  <c r="C75" i="17"/>
  <c r="D41" i="17"/>
  <c r="D40" i="17"/>
  <c r="D39" i="17"/>
  <c r="D38" i="17"/>
  <c r="D37" i="17"/>
  <c r="D36" i="17"/>
  <c r="D43" i="16"/>
  <c r="D42" i="16"/>
  <c r="D52" i="6"/>
  <c r="D46" i="16" s="1"/>
  <c r="D51" i="6"/>
  <c r="D45" i="16" s="1"/>
  <c r="D50" i="6"/>
  <c r="D44" i="16" s="1"/>
  <c r="D49" i="6"/>
  <c r="D48" i="6"/>
  <c r="C86" i="5"/>
  <c r="C83" i="5"/>
  <c r="C77" i="5"/>
  <c r="L124" i="11"/>
  <c r="L119" i="11"/>
  <c r="L114" i="11"/>
  <c r="L109" i="11"/>
  <c r="L104" i="11"/>
  <c r="I125" i="11"/>
  <c r="I110" i="11"/>
  <c r="I105" i="11"/>
  <c r="C123" i="11"/>
  <c r="C118" i="11"/>
  <c r="C113" i="11"/>
  <c r="C108" i="11"/>
  <c r="C103" i="11"/>
  <c r="C74" i="5" s="1"/>
  <c r="C98" i="11"/>
  <c r="I32" i="11"/>
  <c r="C45" i="11"/>
  <c r="C40" i="11"/>
  <c r="C30" i="11"/>
  <c r="C25" i="11"/>
  <c r="L31" i="11"/>
  <c r="L46" i="11"/>
  <c r="I27" i="11"/>
  <c r="L41" i="11"/>
  <c r="L26" i="11"/>
  <c r="R5" i="30" l="1"/>
  <c r="M83" i="19"/>
  <c r="B133" i="21" s="1"/>
  <c r="I133" i="21" s="1"/>
  <c r="Q6" i="26"/>
  <c r="C80" i="1"/>
  <c r="C110" i="17"/>
  <c r="C110" i="26"/>
  <c r="C72" i="17"/>
  <c r="C72" i="26"/>
  <c r="C81" i="17"/>
  <c r="C81" i="26"/>
  <c r="C69" i="17"/>
  <c r="C69" i="26"/>
  <c r="C78" i="17"/>
  <c r="C78" i="26"/>
  <c r="L105" i="11"/>
  <c r="M48" i="6" s="1"/>
  <c r="L110" i="11"/>
  <c r="M49" i="6" s="1"/>
  <c r="L125" i="11"/>
  <c r="M52" i="6" s="1"/>
  <c r="H31" i="10"/>
  <c r="P75" i="1"/>
  <c r="H15" i="25"/>
  <c r="F46" i="25" s="1"/>
  <c r="H14" i="25"/>
  <c r="F45" i="25" s="1"/>
  <c r="H13" i="25"/>
  <c r="F44" i="25" s="1"/>
  <c r="H12" i="25"/>
  <c r="F43" i="25" s="1"/>
  <c r="H11" i="25"/>
  <c r="F42" i="25" s="1"/>
  <c r="C8" i="25"/>
  <c r="C7" i="25"/>
  <c r="D47" i="25"/>
  <c r="E46" i="25"/>
  <c r="E45" i="25"/>
  <c r="E44" i="25"/>
  <c r="E43" i="25"/>
  <c r="E42" i="25"/>
  <c r="S5" i="30" l="1"/>
  <c r="H43" i="25"/>
  <c r="I43" i="25" s="1"/>
  <c r="K43" i="25" s="1"/>
  <c r="E47" i="25"/>
  <c r="H45" i="25"/>
  <c r="I45" i="25" s="1"/>
  <c r="K45" i="25" s="1"/>
  <c r="O75" i="1"/>
  <c r="C76" i="32"/>
  <c r="H46" i="25"/>
  <c r="I46" i="25" s="1"/>
  <c r="K46" i="25" s="1"/>
  <c r="H44" i="25"/>
  <c r="I44" i="25" s="1"/>
  <c r="K44" i="25" s="1"/>
  <c r="M84" i="19"/>
  <c r="B134" i="21" s="1"/>
  <c r="I134" i="21" s="1"/>
  <c r="R6" i="26"/>
  <c r="C81" i="1"/>
  <c r="I56" i="25"/>
  <c r="J56" i="25" s="1"/>
  <c r="H42" i="25"/>
  <c r="I42" i="25" s="1"/>
  <c r="K42" i="25" s="1"/>
  <c r="T5" i="30" l="1"/>
  <c r="H47" i="25"/>
  <c r="M85" i="19"/>
  <c r="B135" i="21" s="1"/>
  <c r="I135" i="21" s="1"/>
  <c r="S6" i="26"/>
  <c r="C82" i="1"/>
  <c r="K47" i="25"/>
  <c r="F24" i="25" s="1"/>
  <c r="I24" i="25" s="1"/>
  <c r="I47" i="25"/>
  <c r="C50" i="25" s="1"/>
  <c r="J45" i="25" s="1"/>
  <c r="L45" i="25" s="1"/>
  <c r="M45" i="25" s="1"/>
  <c r="U5" i="30" l="1"/>
  <c r="M86" i="19"/>
  <c r="B136" i="21" s="1"/>
  <c r="I136" i="21" s="1"/>
  <c r="T6" i="26"/>
  <c r="C83" i="1"/>
  <c r="J43" i="25"/>
  <c r="L43" i="25" s="1"/>
  <c r="M43" i="25" s="1"/>
  <c r="J42" i="25"/>
  <c r="L42" i="25" s="1"/>
  <c r="J44" i="25"/>
  <c r="L44" i="25" s="1"/>
  <c r="M44" i="25" s="1"/>
  <c r="J46" i="25"/>
  <c r="L46" i="25" s="1"/>
  <c r="M46" i="25" s="1"/>
  <c r="M87" i="19" l="1"/>
  <c r="B137" i="21" s="1"/>
  <c r="I137" i="21" s="1"/>
  <c r="U6" i="26"/>
  <c r="C84" i="1"/>
  <c r="J47" i="25"/>
  <c r="L47" i="25"/>
  <c r="F25" i="25" s="1"/>
  <c r="I25" i="25" s="1"/>
  <c r="M42" i="25"/>
  <c r="M47" i="25" s="1"/>
  <c r="K56" i="25" l="1"/>
  <c r="L56" i="25" s="1"/>
  <c r="M56" i="25" s="1"/>
  <c r="N56" i="25" s="1"/>
  <c r="P74" i="1" s="1"/>
  <c r="F23" i="25"/>
  <c r="M88" i="19"/>
  <c r="B138" i="21" s="1"/>
  <c r="I138" i="21" s="1"/>
  <c r="V6" i="26"/>
  <c r="C85" i="1"/>
  <c r="F26" i="25" l="1"/>
  <c r="I26" i="25" s="1"/>
  <c r="I23" i="25"/>
  <c r="O74" i="1"/>
  <c r="C75" i="32"/>
  <c r="M89" i="19"/>
  <c r="B139" i="21" s="1"/>
  <c r="I139" i="21" s="1"/>
  <c r="W6" i="26"/>
  <c r="C86" i="1"/>
  <c r="K60" i="24"/>
  <c r="K61" i="24" s="1"/>
  <c r="L56" i="24"/>
  <c r="L59" i="24" s="1"/>
  <c r="L60" i="24" s="1"/>
  <c r="K56" i="24"/>
  <c r="J56" i="24"/>
  <c r="I56" i="24"/>
  <c r="H56" i="24"/>
  <c r="M39" i="24"/>
  <c r="K38" i="24"/>
  <c r="H38" i="24"/>
  <c r="C38" i="24"/>
  <c r="L37" i="24"/>
  <c r="F37" i="24"/>
  <c r="F38" i="24" s="1"/>
  <c r="G38" i="24" s="1"/>
  <c r="C34" i="24"/>
  <c r="L33" i="24"/>
  <c r="F33" i="24"/>
  <c r="G34" i="24" s="1"/>
  <c r="C30" i="24"/>
  <c r="L29" i="24"/>
  <c r="F29" i="24"/>
  <c r="G30" i="24" s="1"/>
  <c r="C25" i="24"/>
  <c r="F25" i="24" s="1"/>
  <c r="F26" i="24" s="1"/>
  <c r="C22" i="24"/>
  <c r="L21" i="24"/>
  <c r="F21" i="24"/>
  <c r="I16" i="24"/>
  <c r="K57" i="24" l="1"/>
  <c r="L25" i="24"/>
  <c r="L20" i="24" s="1"/>
  <c r="D18" i="25"/>
  <c r="G31" i="25"/>
  <c r="I31" i="25" s="1"/>
  <c r="K26" i="25"/>
  <c r="C26" i="24"/>
  <c r="L18" i="24" s="1"/>
  <c r="M90" i="19"/>
  <c r="B140" i="21" s="1"/>
  <c r="I140" i="21" s="1"/>
  <c r="X6" i="26"/>
  <c r="C87" i="1"/>
  <c r="I38" i="24"/>
  <c r="J38" i="24" s="1"/>
  <c r="I34" i="24"/>
  <c r="I30" i="24"/>
  <c r="H26" i="24"/>
  <c r="G26" i="24"/>
  <c r="F41" i="24"/>
  <c r="F22" i="24"/>
  <c r="F34" i="24"/>
  <c r="H34" i="24" s="1"/>
  <c r="F30" i="24"/>
  <c r="H30" i="24" s="1"/>
  <c r="J30" i="24" l="1"/>
  <c r="M37" i="24"/>
  <c r="M18" i="24"/>
  <c r="N17" i="24" s="1"/>
  <c r="N18" i="24" s="1"/>
  <c r="O18" i="24" s="1"/>
  <c r="H42" i="24"/>
  <c r="G42" i="24"/>
  <c r="M91" i="19"/>
  <c r="B141" i="21" s="1"/>
  <c r="I141" i="21" s="1"/>
  <c r="Y6" i="26"/>
  <c r="C88" i="1"/>
  <c r="J34" i="24"/>
  <c r="H41" i="24"/>
  <c r="E7" i="24" s="1"/>
  <c r="G41" i="24"/>
  <c r="G22" i="24"/>
  <c r="H22" i="24"/>
  <c r="I26" i="24"/>
  <c r="J26" i="24" s="1"/>
  <c r="I42" i="24" l="1"/>
  <c r="J42" i="24" s="1"/>
  <c r="M92" i="19"/>
  <c r="B142" i="21" s="1"/>
  <c r="I142" i="21" s="1"/>
  <c r="Z6" i="26"/>
  <c r="C89" i="1"/>
  <c r="I22" i="24"/>
  <c r="J22" i="24" s="1"/>
  <c r="C7" i="24"/>
  <c r="I41" i="24"/>
  <c r="G7" i="24" s="1"/>
  <c r="M93" i="19" l="1"/>
  <c r="B143" i="21" s="1"/>
  <c r="I143" i="21" s="1"/>
  <c r="AA6" i="26"/>
  <c r="C90" i="1"/>
  <c r="I7" i="24"/>
  <c r="P73" i="1" s="1"/>
  <c r="J41" i="24"/>
  <c r="C74" i="32" l="1"/>
  <c r="O73" i="1"/>
  <c r="M94" i="19"/>
  <c r="B144" i="21" s="1"/>
  <c r="I144" i="21" s="1"/>
  <c r="AB6" i="26"/>
  <c r="C91" i="1"/>
  <c r="B3" i="24"/>
  <c r="M95" i="19" l="1"/>
  <c r="B145" i="21" s="1"/>
  <c r="I145" i="21" s="1"/>
  <c r="AC6" i="26"/>
  <c r="C92" i="1"/>
  <c r="AV88" i="14"/>
  <c r="AW88" i="14"/>
  <c r="AX88" i="14"/>
  <c r="AY88" i="14"/>
  <c r="AZ88" i="14"/>
  <c r="K17" i="14"/>
  <c r="H17" i="14"/>
  <c r="G17" i="14"/>
  <c r="F17" i="14"/>
  <c r="D17" i="14"/>
  <c r="K35" i="14"/>
  <c r="H35" i="14"/>
  <c r="G35" i="14"/>
  <c r="F35" i="14"/>
  <c r="D35" i="14"/>
  <c r="K53" i="14"/>
  <c r="H53" i="14"/>
  <c r="G53" i="14"/>
  <c r="F53" i="14"/>
  <c r="D53" i="14"/>
  <c r="K71" i="14"/>
  <c r="H71" i="14"/>
  <c r="F71" i="14"/>
  <c r="D71" i="14"/>
  <c r="F89" i="14"/>
  <c r="D89" i="14"/>
  <c r="F107" i="14"/>
  <c r="D107" i="14"/>
  <c r="F125" i="14"/>
  <c r="D125" i="14"/>
  <c r="K143" i="14"/>
  <c r="H143" i="14"/>
  <c r="G143" i="14"/>
  <c r="F143" i="14"/>
  <c r="D143" i="14"/>
  <c r="K161" i="14"/>
  <c r="H161" i="14"/>
  <c r="G161" i="14"/>
  <c r="F161" i="14"/>
  <c r="D161" i="14"/>
  <c r="K197" i="14"/>
  <c r="K179" i="14"/>
  <c r="H179" i="14"/>
  <c r="G179" i="14"/>
  <c r="F179" i="14"/>
  <c r="D179" i="14"/>
  <c r="H197" i="14"/>
  <c r="G197" i="14"/>
  <c r="F197" i="14"/>
  <c r="D197" i="14"/>
  <c r="F215" i="14"/>
  <c r="D215" i="14"/>
  <c r="G126" i="12"/>
  <c r="G127" i="12" s="1"/>
  <c r="G128" i="12" s="1"/>
  <c r="G129" i="12" s="1"/>
  <c r="G71" i="14" l="1"/>
  <c r="M96" i="19"/>
  <c r="B146" i="21" s="1"/>
  <c r="I146" i="21" s="1"/>
  <c r="AD6" i="26"/>
  <c r="M97" i="19" l="1"/>
  <c r="B147" i="21" s="1"/>
  <c r="I147" i="21" s="1"/>
  <c r="AE6" i="26"/>
  <c r="AF6" i="26" l="1"/>
  <c r="AG6" i="26" l="1"/>
  <c r="AH6" i="26" l="1"/>
  <c r="P31" i="1"/>
  <c r="Q55" i="21" l="1"/>
  <c r="W44" i="21" s="1"/>
  <c r="AC44" i="21" s="1"/>
  <c r="M19" i="21"/>
  <c r="C529" i="32"/>
  <c r="E4" i="32"/>
  <c r="D40" i="32" s="1"/>
  <c r="D43" i="32" s="1"/>
  <c r="C106" i="32"/>
  <c r="P952" i="32" s="1"/>
  <c r="T35" i="1"/>
  <c r="W57" i="21" s="1"/>
  <c r="T32" i="1"/>
  <c r="W56" i="21" s="1"/>
  <c r="H149" i="5"/>
  <c r="O148" i="5"/>
  <c r="T33" i="1"/>
  <c r="W67" i="21" s="1"/>
  <c r="T34" i="1"/>
  <c r="AI6" i="26"/>
  <c r="T14" i="1"/>
  <c r="I17" i="11" l="1"/>
  <c r="N148" i="5"/>
  <c r="AJ6" i="26"/>
  <c r="AK6" i="26" l="1"/>
  <c r="C23" i="22"/>
  <c r="H29" i="22"/>
  <c r="G29" i="22"/>
  <c r="F29" i="22"/>
  <c r="E29" i="22"/>
  <c r="D29" i="22"/>
  <c r="H28" i="22"/>
  <c r="G28" i="22"/>
  <c r="F28" i="22"/>
  <c r="E28" i="22"/>
  <c r="D28" i="22"/>
  <c r="H25" i="22"/>
  <c r="G25" i="22"/>
  <c r="F25" i="22"/>
  <c r="E25" i="22"/>
  <c r="D25" i="22"/>
  <c r="H27" i="22"/>
  <c r="G27" i="22"/>
  <c r="F27" i="22"/>
  <c r="E27" i="22"/>
  <c r="D27" i="22"/>
  <c r="H26" i="22"/>
  <c r="G26" i="22"/>
  <c r="F26" i="22"/>
  <c r="E26" i="22"/>
  <c r="D26" i="22"/>
  <c r="F30" i="22" l="1"/>
  <c r="H30" i="22"/>
  <c r="D30" i="22"/>
  <c r="E30" i="22"/>
  <c r="G30" i="22"/>
  <c r="AL6" i="26"/>
  <c r="K231" i="14"/>
  <c r="K230" i="14"/>
  <c r="K228" i="14"/>
  <c r="K227" i="14"/>
  <c r="K226" i="14"/>
  <c r="K225" i="14"/>
  <c r="K224" i="14"/>
  <c r="K223" i="14"/>
  <c r="K222" i="14"/>
  <c r="K221" i="14"/>
  <c r="K220" i="14"/>
  <c r="K219" i="14"/>
  <c r="K218" i="14"/>
  <c r="K229" i="14"/>
  <c r="K217" i="14"/>
  <c r="K216" i="14"/>
  <c r="AM6" i="26" l="1"/>
  <c r="V11" i="22"/>
  <c r="AN6" i="26" l="1"/>
  <c r="I120" i="11"/>
  <c r="L120" i="11" s="1"/>
  <c r="M51" i="6" s="1"/>
  <c r="DU22" i="6"/>
  <c r="DV22" i="6"/>
  <c r="DW22" i="6"/>
  <c r="DX22" i="6"/>
  <c r="DY22" i="6"/>
  <c r="DZ22" i="6"/>
  <c r="EA22" i="6"/>
  <c r="EB22" i="6"/>
  <c r="EC22" i="6"/>
  <c r="ED22" i="6"/>
  <c r="EE22" i="6"/>
  <c r="EF22" i="6"/>
  <c r="EG22" i="6"/>
  <c r="EH22" i="6"/>
  <c r="EI22" i="6"/>
  <c r="EJ22" i="6"/>
  <c r="EK22" i="6"/>
  <c r="EL22" i="6"/>
  <c r="EM22" i="6"/>
  <c r="EN22" i="6"/>
  <c r="EO22" i="6"/>
  <c r="EP22" i="6"/>
  <c r="EQ22" i="6"/>
  <c r="ER22" i="6"/>
  <c r="F42" i="2"/>
  <c r="L36" i="11"/>
  <c r="D39" i="11"/>
  <c r="D38" i="11"/>
  <c r="D37" i="11"/>
  <c r="D36" i="11"/>
  <c r="AO6" i="26" l="1"/>
  <c r="G42" i="2"/>
  <c r="T16" i="1"/>
  <c r="N150" i="5" s="1"/>
  <c r="I37" i="11"/>
  <c r="BB21" i="1"/>
  <c r="BB20" i="1"/>
  <c r="BB9" i="1"/>
  <c r="BB8" i="1"/>
  <c r="AZ21" i="1"/>
  <c r="AZ20" i="1"/>
  <c r="AZ9" i="1"/>
  <c r="AZ8" i="1"/>
  <c r="BF23" i="1"/>
  <c r="BF21" i="1"/>
  <c r="BF20" i="1"/>
  <c r="BF9" i="1"/>
  <c r="BF8" i="1"/>
  <c r="BE23" i="1"/>
  <c r="BE20" i="1"/>
  <c r="BD23" i="1"/>
  <c r="BD20" i="1"/>
  <c r="AX23" i="1"/>
  <c r="AX20" i="1"/>
  <c r="AW20" i="1"/>
  <c r="AV23" i="1"/>
  <c r="AV22" i="1"/>
  <c r="AV21" i="1"/>
  <c r="AV20" i="1"/>
  <c r="AV19" i="1"/>
  <c r="AV18" i="1"/>
  <c r="AV17" i="1"/>
  <c r="AV16" i="1"/>
  <c r="AV15" i="1"/>
  <c r="AV14" i="1"/>
  <c r="AV13" i="1"/>
  <c r="AV12" i="1"/>
  <c r="AV11" i="1"/>
  <c r="AV10" i="1"/>
  <c r="AV9" i="1"/>
  <c r="AV8" i="1"/>
  <c r="AT22" i="1"/>
  <c r="AT21" i="1"/>
  <c r="AT20" i="1"/>
  <c r="AT19" i="1"/>
  <c r="AT18" i="1"/>
  <c r="AT11" i="1"/>
  <c r="AT10" i="1"/>
  <c r="AT9" i="1"/>
  <c r="AU23" i="1"/>
  <c r="AU22" i="1"/>
  <c r="AU21" i="1"/>
  <c r="AU20" i="1"/>
  <c r="AU17" i="1"/>
  <c r="AU16" i="1"/>
  <c r="AU15" i="1"/>
  <c r="AU14" i="1"/>
  <c r="AU13" i="1"/>
  <c r="AU12" i="1"/>
  <c r="AU11" i="1"/>
  <c r="AU10" i="1"/>
  <c r="AU9" i="1"/>
  <c r="AU8" i="1"/>
  <c r="I970" i="32" l="1"/>
  <c r="AP6" i="26"/>
  <c r="BA20" i="1"/>
  <c r="BC20" i="1"/>
  <c r="AY20" i="1"/>
  <c r="AN94" i="1"/>
  <c r="M108" i="6"/>
  <c r="M103" i="6"/>
  <c r="M98" i="6"/>
  <c r="M93" i="6"/>
  <c r="T17" i="1"/>
  <c r="N151" i="5" s="1"/>
  <c r="L139" i="11"/>
  <c r="AK114" i="1"/>
  <c r="AK113" i="1"/>
  <c r="AK112" i="1"/>
  <c r="AK111" i="1"/>
  <c r="AK110" i="1"/>
  <c r="AK109" i="1"/>
  <c r="AK108" i="1"/>
  <c r="AK107" i="1"/>
  <c r="AK106" i="1"/>
  <c r="AK105" i="1"/>
  <c r="AK104" i="1"/>
  <c r="AK103" i="1"/>
  <c r="AK102" i="1"/>
  <c r="AK101" i="1"/>
  <c r="AK100" i="1"/>
  <c r="AK99" i="1"/>
  <c r="AK98" i="1"/>
  <c r="AK97" i="1"/>
  <c r="AK96" i="1"/>
  <c r="AK95" i="1"/>
  <c r="AK94" i="1"/>
  <c r="AQ6" i="26" l="1"/>
  <c r="L134" i="11"/>
  <c r="I135" i="11"/>
  <c r="I80" i="11"/>
  <c r="I89" i="11"/>
  <c r="L83" i="11"/>
  <c r="AI95" i="1"/>
  <c r="AI96" i="1" s="1"/>
  <c r="AI97" i="1" s="1"/>
  <c r="AI98" i="1" s="1"/>
  <c r="AI99" i="1" s="1"/>
  <c r="AI100" i="1" s="1"/>
  <c r="AI101" i="1" s="1"/>
  <c r="AI102" i="1" s="1"/>
  <c r="AI103" i="1" s="1"/>
  <c r="AI104" i="1" s="1"/>
  <c r="AI105" i="1" s="1"/>
  <c r="AI106" i="1" s="1"/>
  <c r="AI107" i="1" s="1"/>
  <c r="AI108" i="1" s="1"/>
  <c r="AI109" i="1" s="1"/>
  <c r="AI110" i="1" s="1"/>
  <c r="AI111" i="1" s="1"/>
  <c r="AI112" i="1" s="1"/>
  <c r="AI113" i="1" s="1"/>
  <c r="AI114" i="1" s="1"/>
  <c r="L56" i="11"/>
  <c r="I57" i="11"/>
  <c r="L53" i="19"/>
  <c r="L21" i="19"/>
  <c r="J80" i="16"/>
  <c r="AR6" i="26" l="1"/>
  <c r="L89" i="11"/>
  <c r="L135" i="11"/>
  <c r="L136" i="11" s="1"/>
  <c r="I80" i="16"/>
  <c r="J116" i="17"/>
  <c r="G94" i="17"/>
  <c r="M74" i="16"/>
  <c r="I65" i="16"/>
  <c r="M64" i="16"/>
  <c r="M59" i="16"/>
  <c r="D47" i="16"/>
  <c r="D41" i="16"/>
  <c r="I35" i="16"/>
  <c r="G35" i="16"/>
  <c r="I34" i="16"/>
  <c r="I33" i="16"/>
  <c r="I32" i="16"/>
  <c r="I19" i="16"/>
  <c r="G19" i="16"/>
  <c r="L269" i="11"/>
  <c r="L264" i="11"/>
  <c r="AX21" i="1"/>
  <c r="AX9" i="1"/>
  <c r="AX8" i="1"/>
  <c r="H35" i="1"/>
  <c r="M88" i="6"/>
  <c r="M73" i="6"/>
  <c r="M68" i="6"/>
  <c r="L234" i="11"/>
  <c r="L239" i="11"/>
  <c r="L284" i="11"/>
  <c r="L194" i="11"/>
  <c r="L209" i="11"/>
  <c r="L204" i="11"/>
  <c r="L199" i="11"/>
  <c r="K56" i="6"/>
  <c r="I41" i="6"/>
  <c r="G41" i="6"/>
  <c r="R81" i="1"/>
  <c r="I40" i="6"/>
  <c r="I39" i="6"/>
  <c r="I38" i="6"/>
  <c r="G25" i="6"/>
  <c r="I25" i="6"/>
  <c r="L184" i="11"/>
  <c r="L189" i="11"/>
  <c r="L179" i="11"/>
  <c r="L174" i="11"/>
  <c r="L169" i="11"/>
  <c r="L164" i="11"/>
  <c r="R80" i="1"/>
  <c r="C96" i="32" s="1"/>
  <c r="L221" i="11"/>
  <c r="L159" i="11"/>
  <c r="I227" i="11"/>
  <c r="L226" i="11"/>
  <c r="L216" i="11"/>
  <c r="I130" i="11"/>
  <c r="C50" i="11"/>
  <c r="L51" i="11"/>
  <c r="C20" i="11"/>
  <c r="C15" i="11"/>
  <c r="D53" i="6"/>
  <c r="D47" i="6"/>
  <c r="J30" i="2"/>
  <c r="J25" i="2"/>
  <c r="D21" i="32" s="1"/>
  <c r="J24" i="2"/>
  <c r="D20" i="32" s="1"/>
  <c r="J23" i="2"/>
  <c r="D19" i="32" s="1"/>
  <c r="J22" i="2"/>
  <c r="D18" i="32" s="1"/>
  <c r="J21" i="2"/>
  <c r="D17" i="32" s="1"/>
  <c r="AJ52" i="1"/>
  <c r="M15" i="21" s="1"/>
  <c r="H17" i="2"/>
  <c r="H53" i="10"/>
  <c r="H30" i="10"/>
  <c r="H52" i="10" s="1"/>
  <c r="H29" i="10"/>
  <c r="H51" i="10" s="1"/>
  <c r="H28" i="10"/>
  <c r="H50" i="10" s="1"/>
  <c r="H27" i="10"/>
  <c r="H49" i="10" s="1"/>
  <c r="H26" i="10"/>
  <c r="H48" i="10" s="1"/>
  <c r="H25" i="10"/>
  <c r="H47" i="10" s="1"/>
  <c r="H24" i="10"/>
  <c r="H46" i="10" s="1"/>
  <c r="H23" i="10"/>
  <c r="H45" i="10" s="1"/>
  <c r="H22" i="10"/>
  <c r="H44" i="10" s="1"/>
  <c r="H156" i="14"/>
  <c r="G157" i="14"/>
  <c r="G156" i="14"/>
  <c r="G145" i="14"/>
  <c r="G144" i="14"/>
  <c r="N95" i="14"/>
  <c r="N96" i="14"/>
  <c r="N97" i="14"/>
  <c r="N105" i="14"/>
  <c r="N103" i="14"/>
  <c r="N102" i="14"/>
  <c r="N101" i="14"/>
  <c r="N100" i="14"/>
  <c r="N98" i="14"/>
  <c r="N92" i="14"/>
  <c r="N91" i="14"/>
  <c r="N90" i="14"/>
  <c r="AA67" i="1"/>
  <c r="S78" i="1"/>
  <c r="Q78" i="1"/>
  <c r="K33" i="14"/>
  <c r="K69" i="14" s="1"/>
  <c r="K31" i="14"/>
  <c r="K67" i="14" s="1"/>
  <c r="J33" i="14"/>
  <c r="I33" i="14"/>
  <c r="G31" i="14"/>
  <c r="F33" i="14"/>
  <c r="F231" i="14" s="1"/>
  <c r="E33" i="14"/>
  <c r="F32" i="14"/>
  <c r="E32" i="14"/>
  <c r="F31" i="14"/>
  <c r="F229" i="14" s="1"/>
  <c r="E31" i="14"/>
  <c r="E229" i="14" s="1"/>
  <c r="F30" i="14"/>
  <c r="F228" i="14" s="1"/>
  <c r="D32" i="14"/>
  <c r="D31" i="14"/>
  <c r="D229" i="14" s="1"/>
  <c r="K30" i="14"/>
  <c r="K66" i="14" s="1"/>
  <c r="K19" i="14"/>
  <c r="K55" i="14" s="1"/>
  <c r="K18" i="14"/>
  <c r="K36" i="14" s="1"/>
  <c r="K72" i="14" s="1"/>
  <c r="G30" i="14"/>
  <c r="G19" i="14"/>
  <c r="G18" i="14"/>
  <c r="J30" i="14"/>
  <c r="J66" i="14" s="1"/>
  <c r="I30" i="14"/>
  <c r="H30" i="14"/>
  <c r="H66" i="14" s="1"/>
  <c r="H84" i="14" s="1"/>
  <c r="E30" i="14"/>
  <c r="E228" i="14" s="1"/>
  <c r="D30" i="14"/>
  <c r="D228" i="14" s="1"/>
  <c r="F29" i="14"/>
  <c r="D29" i="14"/>
  <c r="D227" i="14" s="1"/>
  <c r="F28" i="14"/>
  <c r="F226" i="14" s="1"/>
  <c r="D28" i="14"/>
  <c r="D226" i="14" s="1"/>
  <c r="F27" i="14"/>
  <c r="E27" i="14"/>
  <c r="F26" i="14"/>
  <c r="F224" i="14" s="1"/>
  <c r="E26" i="14"/>
  <c r="F25" i="14"/>
  <c r="F223" i="14" s="1"/>
  <c r="E25" i="14"/>
  <c r="E223" i="14" s="1"/>
  <c r="F24" i="14"/>
  <c r="F222" i="14" s="1"/>
  <c r="E24" i="14"/>
  <c r="E222" i="14" s="1"/>
  <c r="F23" i="14"/>
  <c r="E23" i="14"/>
  <c r="F22" i="14"/>
  <c r="F220" i="14" s="1"/>
  <c r="E22" i="14"/>
  <c r="E220" i="14" s="1"/>
  <c r="F21" i="14"/>
  <c r="E21" i="14"/>
  <c r="D21" i="14"/>
  <c r="D219" i="14" s="1"/>
  <c r="F20" i="14"/>
  <c r="F218" i="14" s="1"/>
  <c r="E20" i="14"/>
  <c r="D20" i="14"/>
  <c r="D218" i="14" s="1"/>
  <c r="F19" i="14"/>
  <c r="E19" i="14"/>
  <c r="D19" i="14"/>
  <c r="D217" i="14" s="1"/>
  <c r="F18" i="14"/>
  <c r="F216" i="14" s="1"/>
  <c r="E18" i="14"/>
  <c r="D31" i="2"/>
  <c r="D29" i="2"/>
  <c r="D28" i="2"/>
  <c r="C27" i="2"/>
  <c r="D26" i="2"/>
  <c r="D25" i="2"/>
  <c r="D24" i="2"/>
  <c r="D23" i="2"/>
  <c r="D22" i="2"/>
  <c r="D21" i="2"/>
  <c r="D17" i="2"/>
  <c r="D16" i="2"/>
  <c r="DT22" i="6"/>
  <c r="DS22" i="6"/>
  <c r="DR22" i="6"/>
  <c r="DQ22" i="6"/>
  <c r="DP22" i="6"/>
  <c r="DO22" i="6"/>
  <c r="DN22" i="6"/>
  <c r="DM22" i="6"/>
  <c r="DL22" i="6"/>
  <c r="DK22" i="6"/>
  <c r="DJ22" i="6"/>
  <c r="DI22" i="6"/>
  <c r="DH22" i="6"/>
  <c r="DG22" i="6"/>
  <c r="DF22" i="6"/>
  <c r="DE22" i="6"/>
  <c r="DD22" i="6"/>
  <c r="DC22" i="6"/>
  <c r="DB22" i="6"/>
  <c r="DA22" i="6"/>
  <c r="CZ22" i="6"/>
  <c r="CY22" i="6"/>
  <c r="CX22" i="6"/>
  <c r="CW22" i="6"/>
  <c r="CV22" i="6"/>
  <c r="CU22" i="6"/>
  <c r="CT22" i="6"/>
  <c r="CS22" i="6"/>
  <c r="CR22" i="6"/>
  <c r="CQ22" i="6"/>
  <c r="CP22" i="6"/>
  <c r="CO22" i="6"/>
  <c r="CN22" i="6"/>
  <c r="CM22" i="6"/>
  <c r="CL22" i="6"/>
  <c r="CK22" i="6"/>
  <c r="CJ22" i="6"/>
  <c r="CI22" i="6"/>
  <c r="CH22" i="6"/>
  <c r="CG22" i="6"/>
  <c r="CF22" i="6"/>
  <c r="CE22" i="6"/>
  <c r="CD22" i="6"/>
  <c r="CC22" i="6"/>
  <c r="CB22" i="6"/>
  <c r="CA22" i="6"/>
  <c r="BZ22" i="6"/>
  <c r="BY22" i="6"/>
  <c r="BX22" i="6"/>
  <c r="BW22" i="6"/>
  <c r="BV22" i="6"/>
  <c r="BU22" i="6"/>
  <c r="BT22" i="6"/>
  <c r="BS22" i="6"/>
  <c r="BR22" i="6"/>
  <c r="BQ22" i="6"/>
  <c r="BP22" i="6"/>
  <c r="BO22" i="6"/>
  <c r="BN22" i="6"/>
  <c r="BM22" i="6"/>
  <c r="BL22" i="6"/>
  <c r="BK22" i="6"/>
  <c r="BJ22" i="6"/>
  <c r="BI22" i="6"/>
  <c r="BH22" i="6"/>
  <c r="BG22" i="6"/>
  <c r="BF22" i="6"/>
  <c r="BE22" i="6"/>
  <c r="BD22" i="6"/>
  <c r="BC22" i="6"/>
  <c r="BB22" i="6"/>
  <c r="BA22" i="6"/>
  <c r="AZ22" i="6"/>
  <c r="AY22" i="6"/>
  <c r="AX22" i="6"/>
  <c r="AW22" i="6"/>
  <c r="AV22" i="6"/>
  <c r="AU22" i="6"/>
  <c r="AT22" i="6"/>
  <c r="AS22" i="6"/>
  <c r="AR22" i="6"/>
  <c r="AQ22" i="6"/>
  <c r="AP22" i="6"/>
  <c r="AO22" i="6"/>
  <c r="AN22" i="6"/>
  <c r="AM22" i="6"/>
  <c r="AL22" i="6"/>
  <c r="AK22" i="6"/>
  <c r="AJ22" i="6"/>
  <c r="AI22" i="6"/>
  <c r="AH22" i="6"/>
  <c r="AG22" i="6"/>
  <c r="AF22" i="6"/>
  <c r="AE22" i="6"/>
  <c r="AD22" i="6"/>
  <c r="AC22" i="6"/>
  <c r="AB22" i="6"/>
  <c r="AA22" i="6"/>
  <c r="Z22" i="6"/>
  <c r="Y22" i="6"/>
  <c r="X22" i="6"/>
  <c r="W22" i="6"/>
  <c r="V22" i="6"/>
  <c r="U22" i="6"/>
  <c r="T22" i="6"/>
  <c r="S22" i="6"/>
  <c r="R22" i="6"/>
  <c r="Q22" i="6"/>
  <c r="P22" i="6"/>
  <c r="O22" i="6"/>
  <c r="N22" i="6"/>
  <c r="M22" i="6"/>
  <c r="K23" i="6"/>
  <c r="K22" i="6" s="1"/>
  <c r="Z9" i="1"/>
  <c r="AA9" i="1"/>
  <c r="AH9" i="1" s="1"/>
  <c r="Z10" i="1"/>
  <c r="AA10" i="1"/>
  <c r="Z11" i="1"/>
  <c r="AA11" i="1"/>
  <c r="AH11" i="1" s="1"/>
  <c r="Z12" i="1"/>
  <c r="AA12" i="1"/>
  <c r="AH12" i="1" s="1"/>
  <c r="Z13" i="1"/>
  <c r="AA13" i="1"/>
  <c r="AH13" i="1" s="1"/>
  <c r="Z14" i="1"/>
  <c r="AA14" i="1"/>
  <c r="AH14" i="1" s="1"/>
  <c r="Z15" i="1"/>
  <c r="BD16" i="1" s="1"/>
  <c r="AA15" i="1"/>
  <c r="AH15" i="1" s="1"/>
  <c r="Z16" i="1"/>
  <c r="AA16" i="1"/>
  <c r="Z17" i="1"/>
  <c r="AA17" i="1"/>
  <c r="AH17" i="1" s="1"/>
  <c r="Z18" i="1"/>
  <c r="AA18" i="1"/>
  <c r="AH18" i="1" s="1"/>
  <c r="Z21" i="1"/>
  <c r="AA21" i="1"/>
  <c r="AH21" i="1" s="1"/>
  <c r="AB22" i="1"/>
  <c r="H231" i="14" s="1"/>
  <c r="V22" i="1"/>
  <c r="AF21" i="1"/>
  <c r="AB19" i="1"/>
  <c r="H228" i="14" s="1"/>
  <c r="AF18" i="1"/>
  <c r="W18" i="1"/>
  <c r="AF17" i="1"/>
  <c r="W17" i="1"/>
  <c r="AF16" i="1"/>
  <c r="V16" i="1"/>
  <c r="AF15" i="1"/>
  <c r="V15" i="1"/>
  <c r="AF14" i="1"/>
  <c r="V14" i="1"/>
  <c r="AF13" i="1"/>
  <c r="V13" i="1"/>
  <c r="AF12" i="1"/>
  <c r="V12" i="1"/>
  <c r="AF11" i="1"/>
  <c r="V11" i="1"/>
  <c r="AF10" i="1"/>
  <c r="AF9" i="1"/>
  <c r="V7" i="1"/>
  <c r="C97" i="32" l="1"/>
  <c r="R38" i="21"/>
  <c r="AH10" i="1"/>
  <c r="AA8" i="1"/>
  <c r="AA7" i="1"/>
  <c r="AS6" i="26"/>
  <c r="BE17" i="1"/>
  <c r="AH16" i="1"/>
  <c r="AB67" i="1"/>
  <c r="E54" i="14"/>
  <c r="E72" i="14" s="1"/>
  <c r="E216" i="14"/>
  <c r="E55" i="14"/>
  <c r="E73" i="14" s="1"/>
  <c r="E217" i="14"/>
  <c r="F55" i="14"/>
  <c r="F73" i="14" s="1"/>
  <c r="F217" i="14"/>
  <c r="E56" i="14"/>
  <c r="E74" i="14" s="1"/>
  <c r="E218" i="14"/>
  <c r="E39" i="14"/>
  <c r="E93" i="14" s="1"/>
  <c r="E111" i="14" s="1"/>
  <c r="E129" i="14" s="1"/>
  <c r="E219" i="14"/>
  <c r="F57" i="14"/>
  <c r="F75" i="14" s="1"/>
  <c r="F219" i="14"/>
  <c r="E59" i="14"/>
  <c r="E77" i="14" s="1"/>
  <c r="E221" i="14"/>
  <c r="F59" i="14"/>
  <c r="F77" i="14" s="1"/>
  <c r="F221" i="14"/>
  <c r="E152" i="14"/>
  <c r="E224" i="14"/>
  <c r="E63" i="14"/>
  <c r="E81" i="14" s="1"/>
  <c r="E225" i="14"/>
  <c r="F63" i="14"/>
  <c r="F81" i="14" s="1"/>
  <c r="F225" i="14"/>
  <c r="F47" i="14"/>
  <c r="F101" i="14" s="1"/>
  <c r="F119" i="14" s="1"/>
  <c r="F137" i="14" s="1"/>
  <c r="F227" i="14"/>
  <c r="D68" i="14"/>
  <c r="D86" i="14" s="1"/>
  <c r="D230" i="14"/>
  <c r="E68" i="14"/>
  <c r="E86" i="14" s="1"/>
  <c r="E230" i="14"/>
  <c r="F68" i="14"/>
  <c r="F86" i="14" s="1"/>
  <c r="F230" i="14"/>
  <c r="E159" i="14"/>
  <c r="E177" i="14" s="1"/>
  <c r="E213" i="14" s="1"/>
  <c r="E231" i="14"/>
  <c r="I159" i="14"/>
  <c r="I195" i="14" s="1"/>
  <c r="P12" i="1"/>
  <c r="P13" i="1"/>
  <c r="P20" i="1"/>
  <c r="P14" i="1"/>
  <c r="P15" i="1"/>
  <c r="P11" i="1"/>
  <c r="G66" i="14"/>
  <c r="G181" i="14"/>
  <c r="G67" i="14"/>
  <c r="G192" i="14"/>
  <c r="G180" i="14"/>
  <c r="G193" i="14"/>
  <c r="G54" i="14"/>
  <c r="G55" i="14"/>
  <c r="K27" i="14"/>
  <c r="K63" i="14" s="1"/>
  <c r="BF17" i="1"/>
  <c r="J22" i="14"/>
  <c r="J148" i="14" s="1"/>
  <c r="BE12" i="1"/>
  <c r="I21" i="14"/>
  <c r="BD11" i="1"/>
  <c r="I22" i="14"/>
  <c r="BD12" i="1"/>
  <c r="J29" i="14"/>
  <c r="J65" i="14" s="1"/>
  <c r="BE19" i="1"/>
  <c r="J21" i="14"/>
  <c r="J57" i="14" s="1"/>
  <c r="BE11" i="1"/>
  <c r="I20" i="14"/>
  <c r="BD10" i="1"/>
  <c r="K22" i="14"/>
  <c r="K58" i="14" s="1"/>
  <c r="BF12" i="1"/>
  <c r="J25" i="14"/>
  <c r="J61" i="14" s="1"/>
  <c r="BE15" i="1"/>
  <c r="K20" i="14"/>
  <c r="K56" i="14" s="1"/>
  <c r="BF10" i="1"/>
  <c r="K25" i="14"/>
  <c r="K61" i="14" s="1"/>
  <c r="BF15" i="1"/>
  <c r="I25" i="14"/>
  <c r="BD15" i="1"/>
  <c r="I28" i="14"/>
  <c r="BD18" i="1"/>
  <c r="I24" i="14"/>
  <c r="BD14" i="1"/>
  <c r="K21" i="14"/>
  <c r="K57" i="14" s="1"/>
  <c r="BF11" i="1"/>
  <c r="J26" i="14"/>
  <c r="J62" i="14" s="1"/>
  <c r="BE16" i="1"/>
  <c r="K29" i="14"/>
  <c r="K65" i="14" s="1"/>
  <c r="BF19" i="1"/>
  <c r="I32" i="14"/>
  <c r="BD22" i="1"/>
  <c r="I29" i="14"/>
  <c r="BD19" i="1"/>
  <c r="K32" i="14"/>
  <c r="K68" i="14" s="1"/>
  <c r="BF22" i="1"/>
  <c r="K23" i="14"/>
  <c r="K59" i="14" s="1"/>
  <c r="BF13" i="1"/>
  <c r="J28" i="14"/>
  <c r="J64" i="14" s="1"/>
  <c r="BE18" i="1"/>
  <c r="J24" i="14"/>
  <c r="J60" i="14" s="1"/>
  <c r="BE14" i="1"/>
  <c r="J20" i="14"/>
  <c r="J56" i="14" s="1"/>
  <c r="BE10" i="1"/>
  <c r="K28" i="14"/>
  <c r="K64" i="14" s="1"/>
  <c r="BF18" i="1"/>
  <c r="K26" i="14"/>
  <c r="K80" i="14" s="1"/>
  <c r="BF16" i="1"/>
  <c r="J23" i="14"/>
  <c r="J59" i="14" s="1"/>
  <c r="BE13" i="1"/>
  <c r="I27" i="14"/>
  <c r="BD17" i="1"/>
  <c r="I23" i="14"/>
  <c r="BD13" i="1"/>
  <c r="K24" i="14"/>
  <c r="K60" i="14" s="1"/>
  <c r="BF14" i="1"/>
  <c r="J32" i="14"/>
  <c r="J68" i="14" s="1"/>
  <c r="BE22" i="1"/>
  <c r="D22" i="14"/>
  <c r="AT12" i="1"/>
  <c r="D18" i="14"/>
  <c r="AT8" i="1"/>
  <c r="D27" i="14"/>
  <c r="AT17" i="1"/>
  <c r="D23" i="14"/>
  <c r="AT13" i="1"/>
  <c r="E28" i="14"/>
  <c r="AU18" i="1"/>
  <c r="E29" i="14"/>
  <c r="AU19" i="1"/>
  <c r="D26" i="14"/>
  <c r="AT16" i="1"/>
  <c r="D33" i="14"/>
  <c r="AT23" i="1"/>
  <c r="D24" i="14"/>
  <c r="AT14" i="1"/>
  <c r="D25" i="14"/>
  <c r="AT15" i="1"/>
  <c r="G109" i="17"/>
  <c r="AB15" i="1"/>
  <c r="H224" i="14" s="1"/>
  <c r="I26" i="14"/>
  <c r="L130" i="11"/>
  <c r="M53" i="6" s="1"/>
  <c r="D565" i="32" s="1"/>
  <c r="I69" i="14"/>
  <c r="I156" i="14"/>
  <c r="I192" i="14" s="1"/>
  <c r="I66" i="14"/>
  <c r="D46" i="14"/>
  <c r="D100" i="14" s="1"/>
  <c r="D118" i="14" s="1"/>
  <c r="D136" i="14" s="1"/>
  <c r="D64" i="14"/>
  <c r="D82" i="14" s="1"/>
  <c r="D145" i="14"/>
  <c r="D55" i="14"/>
  <c r="D73" i="14" s="1"/>
  <c r="I51" i="14"/>
  <c r="I87" i="14" s="1"/>
  <c r="J69" i="14"/>
  <c r="H174" i="14"/>
  <c r="H210" i="14" s="1"/>
  <c r="H192" i="14"/>
  <c r="D49" i="14"/>
  <c r="D103" i="14" s="1"/>
  <c r="D121" i="14" s="1"/>
  <c r="D139" i="14" s="1"/>
  <c r="D67" i="14"/>
  <c r="D85" i="14" s="1"/>
  <c r="D38" i="14"/>
  <c r="D92" i="14" s="1"/>
  <c r="D110" i="14" s="1"/>
  <c r="D128" i="14" s="1"/>
  <c r="D56" i="14"/>
  <c r="D74" i="14" s="1"/>
  <c r="D156" i="14"/>
  <c r="D66" i="14"/>
  <c r="D84" i="14" s="1"/>
  <c r="F48" i="14"/>
  <c r="F102" i="14" s="1"/>
  <c r="F120" i="14" s="1"/>
  <c r="F138" i="14" s="1"/>
  <c r="F66" i="14"/>
  <c r="F84" i="14" s="1"/>
  <c r="F42" i="14"/>
  <c r="F96" i="14" s="1"/>
  <c r="F114" i="14" s="1"/>
  <c r="F132" i="14" s="1"/>
  <c r="F60" i="14"/>
  <c r="F78" i="14" s="1"/>
  <c r="E156" i="14"/>
  <c r="E66" i="14"/>
  <c r="E84" i="14" s="1"/>
  <c r="E49" i="14"/>
  <c r="E103" i="14" s="1"/>
  <c r="E121" i="14" s="1"/>
  <c r="E139" i="14" s="1"/>
  <c r="E67" i="14"/>
  <c r="E85" i="14" s="1"/>
  <c r="E43" i="14"/>
  <c r="E97" i="14" s="1"/>
  <c r="E115" i="14" s="1"/>
  <c r="E133" i="14" s="1"/>
  <c r="E61" i="14"/>
  <c r="E79" i="14" s="1"/>
  <c r="D147" i="14"/>
  <c r="D57" i="14"/>
  <c r="D75" i="14" s="1"/>
  <c r="E150" i="14"/>
  <c r="E60" i="14"/>
  <c r="E78" i="14" s="1"/>
  <c r="F38" i="14"/>
  <c r="F92" i="14" s="1"/>
  <c r="F110" i="14" s="1"/>
  <c r="F128" i="14" s="1"/>
  <c r="F56" i="14"/>
  <c r="F74" i="14" s="1"/>
  <c r="F49" i="14"/>
  <c r="F103" i="14" s="1"/>
  <c r="F121" i="14" s="1"/>
  <c r="F139" i="14" s="1"/>
  <c r="F67" i="14"/>
  <c r="F85" i="14" s="1"/>
  <c r="F151" i="14"/>
  <c r="F61" i="14"/>
  <c r="F79" i="14" s="1"/>
  <c r="D47" i="14"/>
  <c r="D101" i="14" s="1"/>
  <c r="D119" i="14" s="1"/>
  <c r="D137" i="14" s="1"/>
  <c r="D65" i="14"/>
  <c r="D83" i="14" s="1"/>
  <c r="E62" i="14"/>
  <c r="E80" i="14" s="1"/>
  <c r="F152" i="14"/>
  <c r="F62" i="14"/>
  <c r="F80" i="14" s="1"/>
  <c r="E69" i="14"/>
  <c r="E87" i="14" s="1"/>
  <c r="E57" i="14"/>
  <c r="E75" i="14" s="1"/>
  <c r="F46" i="14"/>
  <c r="F100" i="14" s="1"/>
  <c r="F118" i="14" s="1"/>
  <c r="F136" i="14" s="1"/>
  <c r="F64" i="14"/>
  <c r="F82" i="14" s="1"/>
  <c r="K54" i="14"/>
  <c r="E40" i="14"/>
  <c r="E94" i="14" s="1"/>
  <c r="E112" i="14" s="1"/>
  <c r="E130" i="14" s="1"/>
  <c r="E58" i="14"/>
  <c r="E76" i="14" s="1"/>
  <c r="F159" i="14"/>
  <c r="F69" i="14"/>
  <c r="F87" i="14" s="1"/>
  <c r="F148" i="14"/>
  <c r="F58" i="14"/>
  <c r="F76" i="14" s="1"/>
  <c r="F36" i="14"/>
  <c r="F90" i="14" s="1"/>
  <c r="F108" i="14" s="1"/>
  <c r="F126" i="14" s="1"/>
  <c r="F54" i="14"/>
  <c r="F72" i="14" s="1"/>
  <c r="F65" i="14"/>
  <c r="F83" i="14" s="1"/>
  <c r="AB12" i="1"/>
  <c r="H221" i="14" s="1"/>
  <c r="AB11" i="1"/>
  <c r="H220" i="14" s="1"/>
  <c r="AB17" i="1"/>
  <c r="H226" i="14" s="1"/>
  <c r="AB13" i="1"/>
  <c r="H222" i="14" s="1"/>
  <c r="AB9" i="1"/>
  <c r="H218" i="14" s="1"/>
  <c r="AB18" i="1"/>
  <c r="H227" i="14" s="1"/>
  <c r="AB14" i="1"/>
  <c r="H223" i="14" s="1"/>
  <c r="AB10" i="1"/>
  <c r="H219" i="14" s="1"/>
  <c r="F150" i="14"/>
  <c r="E147" i="14"/>
  <c r="E148" i="14"/>
  <c r="E42" i="14"/>
  <c r="D154" i="14"/>
  <c r="E151" i="14"/>
  <c r="F144" i="14"/>
  <c r="D146" i="14"/>
  <c r="D157" i="14"/>
  <c r="F146" i="14"/>
  <c r="F41" i="14"/>
  <c r="F95" i="14" s="1"/>
  <c r="F113" i="14" s="1"/>
  <c r="F131" i="14" s="1"/>
  <c r="F149" i="14"/>
  <c r="E157" i="14"/>
  <c r="E37" i="14"/>
  <c r="E145" i="14"/>
  <c r="E41" i="14"/>
  <c r="E149" i="14"/>
  <c r="E45" i="14"/>
  <c r="E153" i="14"/>
  <c r="F37" i="14"/>
  <c r="F91" i="14" s="1"/>
  <c r="F109" i="14" s="1"/>
  <c r="F127" i="14" s="1"/>
  <c r="F145" i="14"/>
  <c r="F45" i="14"/>
  <c r="F99" i="14" s="1"/>
  <c r="F117" i="14" s="1"/>
  <c r="F135" i="14" s="1"/>
  <c r="F153" i="14"/>
  <c r="E38" i="14"/>
  <c r="E146" i="14"/>
  <c r="F50" i="14"/>
  <c r="F104" i="14" s="1"/>
  <c r="F122" i="14" s="1"/>
  <c r="F140" i="14" s="1"/>
  <c r="F158" i="14"/>
  <c r="F157" i="14"/>
  <c r="K48" i="14"/>
  <c r="K84" i="14" s="1"/>
  <c r="K156" i="14"/>
  <c r="K192" i="14" s="1"/>
  <c r="J159" i="14"/>
  <c r="D50" i="14"/>
  <c r="D104" i="14" s="1"/>
  <c r="D122" i="14" s="1"/>
  <c r="D140" i="14" s="1"/>
  <c r="D158" i="14"/>
  <c r="K49" i="14"/>
  <c r="K85" i="14" s="1"/>
  <c r="K157" i="14"/>
  <c r="K144" i="14"/>
  <c r="K51" i="14"/>
  <c r="K87" i="14" s="1"/>
  <c r="K159" i="14"/>
  <c r="K195" i="14" s="1"/>
  <c r="F156" i="14"/>
  <c r="D155" i="14"/>
  <c r="F154" i="14"/>
  <c r="F39" i="14"/>
  <c r="F93" i="14" s="1"/>
  <c r="F111" i="14" s="1"/>
  <c r="F129" i="14" s="1"/>
  <c r="F147" i="14"/>
  <c r="I48" i="14"/>
  <c r="I84" i="14" s="1"/>
  <c r="J156" i="14"/>
  <c r="F155" i="14"/>
  <c r="E36" i="14"/>
  <c r="E144" i="14"/>
  <c r="K37" i="14"/>
  <c r="K73" i="14" s="1"/>
  <c r="K145" i="14"/>
  <c r="K181" i="14" s="1"/>
  <c r="E50" i="14"/>
  <c r="E158" i="14"/>
  <c r="N94" i="14"/>
  <c r="N93" i="14"/>
  <c r="F44" i="14"/>
  <c r="F98" i="14" s="1"/>
  <c r="F116" i="14" s="1"/>
  <c r="F134" i="14" s="1"/>
  <c r="F51" i="14"/>
  <c r="F105" i="14" s="1"/>
  <c r="F123" i="14" s="1"/>
  <c r="F141" i="14" s="1"/>
  <c r="F40" i="14"/>
  <c r="F94" i="14" s="1"/>
  <c r="F112" i="14" s="1"/>
  <c r="F130" i="14" s="1"/>
  <c r="D37" i="14"/>
  <c r="D91" i="14" s="1"/>
  <c r="D109" i="14" s="1"/>
  <c r="D127" i="14" s="1"/>
  <c r="AB16" i="1"/>
  <c r="H225" i="14" s="1"/>
  <c r="J27" i="14"/>
  <c r="J63" i="14" s="1"/>
  <c r="F43" i="14"/>
  <c r="F97" i="14" s="1"/>
  <c r="F115" i="14" s="1"/>
  <c r="F133" i="14" s="1"/>
  <c r="D48" i="14"/>
  <c r="D102" i="14" s="1"/>
  <c r="D120" i="14" s="1"/>
  <c r="D138" i="14" s="1"/>
  <c r="H48" i="14"/>
  <c r="E44" i="14"/>
  <c r="E48" i="14"/>
  <c r="E51" i="14"/>
  <c r="D39" i="14"/>
  <c r="D93" i="14" s="1"/>
  <c r="D111" i="14" s="1"/>
  <c r="D129" i="14" s="1"/>
  <c r="AB21" i="1"/>
  <c r="H230" i="14" s="1"/>
  <c r="AT6" i="26" l="1"/>
  <c r="E188" i="14"/>
  <c r="E170" i="14"/>
  <c r="E206" i="14" s="1"/>
  <c r="AC67" i="1"/>
  <c r="E195" i="14"/>
  <c r="I152" i="14"/>
  <c r="I188" i="14" s="1"/>
  <c r="D61" i="14"/>
  <c r="D79" i="14" s="1"/>
  <c r="D223" i="14"/>
  <c r="D150" i="14"/>
  <c r="D186" i="14" s="1"/>
  <c r="D222" i="14"/>
  <c r="D69" i="14"/>
  <c r="D87" i="14" s="1"/>
  <c r="D231" i="14"/>
  <c r="D62" i="14"/>
  <c r="D80" i="14" s="1"/>
  <c r="D224" i="14"/>
  <c r="E155" i="14"/>
  <c r="E191" i="14" s="1"/>
  <c r="E227" i="14"/>
  <c r="E46" i="14"/>
  <c r="E100" i="14" s="1"/>
  <c r="E118" i="14" s="1"/>
  <c r="E136" i="14" s="1"/>
  <c r="E226" i="14"/>
  <c r="D59" i="14"/>
  <c r="D77" i="14" s="1"/>
  <c r="D221" i="14"/>
  <c r="D45" i="14"/>
  <c r="D99" i="14" s="1"/>
  <c r="D117" i="14" s="1"/>
  <c r="D135" i="14" s="1"/>
  <c r="D225" i="14"/>
  <c r="D54" i="14"/>
  <c r="D72" i="14" s="1"/>
  <c r="D216" i="14"/>
  <c r="D58" i="14"/>
  <c r="D76" i="14" s="1"/>
  <c r="D220" i="14"/>
  <c r="I59" i="14"/>
  <c r="I63" i="14"/>
  <c r="I155" i="14"/>
  <c r="I191" i="14" s="1"/>
  <c r="I68" i="14"/>
  <c r="I150" i="14"/>
  <c r="I186" i="14" s="1"/>
  <c r="I154" i="14"/>
  <c r="I190" i="14" s="1"/>
  <c r="I61" i="14"/>
  <c r="I146" i="14"/>
  <c r="I182" i="14" s="1"/>
  <c r="I58" i="14"/>
  <c r="I147" i="14"/>
  <c r="I183" i="14" s="1"/>
  <c r="K155" i="14"/>
  <c r="K191" i="14" s="1"/>
  <c r="J154" i="14"/>
  <c r="I172" i="14" s="1"/>
  <c r="I208" i="14" s="1"/>
  <c r="D60" i="14"/>
  <c r="D78" i="14" s="1"/>
  <c r="J158" i="14"/>
  <c r="I176" i="14" s="1"/>
  <c r="I212" i="14" s="1"/>
  <c r="I43" i="14"/>
  <c r="I79" i="14" s="1"/>
  <c r="J155" i="14"/>
  <c r="I173" i="14" s="1"/>
  <c r="I209" i="14" s="1"/>
  <c r="K158" i="14"/>
  <c r="K176" i="14" s="1"/>
  <c r="K212" i="14" s="1"/>
  <c r="I47" i="14"/>
  <c r="I83" i="14" s="1"/>
  <c r="J151" i="14"/>
  <c r="J187" i="14" s="1"/>
  <c r="K154" i="14"/>
  <c r="K172" i="14" s="1"/>
  <c r="K208" i="14" s="1"/>
  <c r="K150" i="14"/>
  <c r="K168" i="14" s="1"/>
  <c r="K204" i="14" s="1"/>
  <c r="I153" i="14"/>
  <c r="I189" i="14" s="1"/>
  <c r="K46" i="14"/>
  <c r="K82" i="14" s="1"/>
  <c r="D144" i="14"/>
  <c r="D180" i="14" s="1"/>
  <c r="I50" i="14"/>
  <c r="I86" i="14" s="1"/>
  <c r="J58" i="14"/>
  <c r="D159" i="14"/>
  <c r="D177" i="14" s="1"/>
  <c r="D213" i="14" s="1"/>
  <c r="D36" i="14"/>
  <c r="D90" i="14" s="1"/>
  <c r="D108" i="14" s="1"/>
  <c r="D126" i="14" s="1"/>
  <c r="I40" i="14"/>
  <c r="I76" i="14" s="1"/>
  <c r="I148" i="14"/>
  <c r="I184" i="14" s="1"/>
  <c r="D153" i="14"/>
  <c r="D171" i="14" s="1"/>
  <c r="D207" i="14" s="1"/>
  <c r="K47" i="14"/>
  <c r="K83" i="14" s="1"/>
  <c r="I151" i="14"/>
  <c r="I187" i="14" s="1"/>
  <c r="K50" i="14"/>
  <c r="K86" i="14" s="1"/>
  <c r="I65" i="14"/>
  <c r="K153" i="14"/>
  <c r="K189" i="14" s="1"/>
  <c r="K149" i="14"/>
  <c r="K167" i="14" s="1"/>
  <c r="K203" i="14" s="1"/>
  <c r="K41" i="14"/>
  <c r="K77" i="14" s="1"/>
  <c r="K45" i="14"/>
  <c r="K81" i="14" s="1"/>
  <c r="E64" i="14"/>
  <c r="E82" i="14" s="1"/>
  <c r="D43" i="14"/>
  <c r="D97" i="14" s="1"/>
  <c r="D115" i="14" s="1"/>
  <c r="D133" i="14" s="1"/>
  <c r="K38" i="14"/>
  <c r="K74" i="14" s="1"/>
  <c r="I64" i="14"/>
  <c r="D51" i="14"/>
  <c r="D105" i="14" s="1"/>
  <c r="D123" i="14" s="1"/>
  <c r="D141" i="14" s="1"/>
  <c r="K42" i="14"/>
  <c r="K78" i="14" s="1"/>
  <c r="E65" i="14"/>
  <c r="E83" i="14" s="1"/>
  <c r="K148" i="14"/>
  <c r="K184" i="14" s="1"/>
  <c r="K146" i="14"/>
  <c r="K182" i="14" s="1"/>
  <c r="K40" i="14"/>
  <c r="K76" i="14" s="1"/>
  <c r="D42" i="14"/>
  <c r="D96" i="14" s="1"/>
  <c r="D114" i="14" s="1"/>
  <c r="D132" i="14" s="1"/>
  <c r="J149" i="14"/>
  <c r="I167" i="14" s="1"/>
  <c r="I203" i="14" s="1"/>
  <c r="I41" i="14"/>
  <c r="I77" i="14" s="1"/>
  <c r="E154" i="14"/>
  <c r="E190" i="14" s="1"/>
  <c r="D63" i="14"/>
  <c r="D81" i="14" s="1"/>
  <c r="K147" i="14"/>
  <c r="K183" i="14" s="1"/>
  <c r="K151" i="14"/>
  <c r="K187" i="14" s="1"/>
  <c r="I149" i="14"/>
  <c r="I185" i="14" s="1"/>
  <c r="I39" i="14"/>
  <c r="I75" i="14" s="1"/>
  <c r="I46" i="14"/>
  <c r="I82" i="14" s="1"/>
  <c r="I158" i="14"/>
  <c r="I194" i="14" s="1"/>
  <c r="I60" i="14"/>
  <c r="I56" i="14"/>
  <c r="D41" i="14"/>
  <c r="D95" i="14" s="1"/>
  <c r="D113" i="14" s="1"/>
  <c r="D131" i="14" s="1"/>
  <c r="J152" i="14"/>
  <c r="J188" i="14" s="1"/>
  <c r="I38" i="14"/>
  <c r="I74" i="14" s="1"/>
  <c r="J147" i="14"/>
  <c r="J183" i="14" s="1"/>
  <c r="I44" i="14"/>
  <c r="I80" i="14" s="1"/>
  <c r="J146" i="14"/>
  <c r="I164" i="14" s="1"/>
  <c r="I200" i="14" s="1"/>
  <c r="J150" i="14"/>
  <c r="I168" i="14" s="1"/>
  <c r="I204" i="14" s="1"/>
  <c r="I42" i="14"/>
  <c r="I78" i="14" s="1"/>
  <c r="K39" i="14"/>
  <c r="K75" i="14" s="1"/>
  <c r="K43" i="14"/>
  <c r="K79" i="14" s="1"/>
  <c r="K152" i="14"/>
  <c r="K188" i="14" s="1"/>
  <c r="D151" i="14"/>
  <c r="D187" i="14" s="1"/>
  <c r="D148" i="14"/>
  <c r="D184" i="14" s="1"/>
  <c r="K62" i="14"/>
  <c r="D152" i="14"/>
  <c r="D170" i="14" s="1"/>
  <c r="D206" i="14" s="1"/>
  <c r="D44" i="14"/>
  <c r="D98" i="14" s="1"/>
  <c r="D116" i="14" s="1"/>
  <c r="D134" i="14" s="1"/>
  <c r="D40" i="14"/>
  <c r="D94" i="14" s="1"/>
  <c r="D112" i="14" s="1"/>
  <c r="D130" i="14" s="1"/>
  <c r="I57" i="14"/>
  <c r="E47" i="14"/>
  <c r="E101" i="14" s="1"/>
  <c r="E119" i="14" s="1"/>
  <c r="E137" i="14" s="1"/>
  <c r="D149" i="14"/>
  <c r="D185" i="14" s="1"/>
  <c r="I62" i="14"/>
  <c r="E167" i="14"/>
  <c r="E203" i="14" s="1"/>
  <c r="E185" i="14"/>
  <c r="F164" i="14"/>
  <c r="F200" i="14" s="1"/>
  <c r="F182" i="14"/>
  <c r="E176" i="14"/>
  <c r="E212" i="14" s="1"/>
  <c r="E194" i="14"/>
  <c r="F177" i="14"/>
  <c r="F213" i="14" s="1"/>
  <c r="F195" i="14"/>
  <c r="F171" i="14"/>
  <c r="F207" i="14" s="1"/>
  <c r="F189" i="14"/>
  <c r="E165" i="14"/>
  <c r="E201" i="14" s="1"/>
  <c r="E183" i="14"/>
  <c r="F167" i="14"/>
  <c r="F203" i="14" s="1"/>
  <c r="F185" i="14"/>
  <c r="I166" i="14"/>
  <c r="I202" i="14" s="1"/>
  <c r="J184" i="14"/>
  <c r="F174" i="14"/>
  <c r="F210" i="14" s="1"/>
  <c r="F192" i="14"/>
  <c r="D176" i="14"/>
  <c r="D212" i="14" s="1"/>
  <c r="D194" i="14"/>
  <c r="E164" i="14"/>
  <c r="E200" i="14" s="1"/>
  <c r="E182" i="14"/>
  <c r="E171" i="14"/>
  <c r="E207" i="14" s="1"/>
  <c r="E189" i="14"/>
  <c r="F173" i="14"/>
  <c r="F209" i="14" s="1"/>
  <c r="F191" i="14"/>
  <c r="E166" i="14"/>
  <c r="E202" i="14" s="1"/>
  <c r="E184" i="14"/>
  <c r="D163" i="14"/>
  <c r="D199" i="14" s="1"/>
  <c r="D181" i="14"/>
  <c r="I174" i="14"/>
  <c r="I210" i="14" s="1"/>
  <c r="J192" i="14"/>
  <c r="F172" i="14"/>
  <c r="F208" i="14" s="1"/>
  <c r="F190" i="14"/>
  <c r="F163" i="14"/>
  <c r="F199" i="14" s="1"/>
  <c r="F181" i="14"/>
  <c r="E163" i="14"/>
  <c r="E199" i="14" s="1"/>
  <c r="E181" i="14"/>
  <c r="D175" i="14"/>
  <c r="D211" i="14" s="1"/>
  <c r="D193" i="14"/>
  <c r="E168" i="14"/>
  <c r="E204" i="14" s="1"/>
  <c r="E186" i="14"/>
  <c r="F165" i="14"/>
  <c r="F201" i="14" s="1"/>
  <c r="F183" i="14"/>
  <c r="E175" i="14"/>
  <c r="E211" i="14" s="1"/>
  <c r="E193" i="14"/>
  <c r="F168" i="14"/>
  <c r="F204" i="14" s="1"/>
  <c r="F186" i="14"/>
  <c r="D174" i="14"/>
  <c r="D210" i="14" s="1"/>
  <c r="D192" i="14"/>
  <c r="F175" i="14"/>
  <c r="F211" i="14" s="1"/>
  <c r="F193" i="14"/>
  <c r="F162" i="14"/>
  <c r="F198" i="14" s="1"/>
  <c r="F180" i="14"/>
  <c r="F169" i="14"/>
  <c r="F205" i="14" s="1"/>
  <c r="F187" i="14"/>
  <c r="D173" i="14"/>
  <c r="D209" i="14" s="1"/>
  <c r="D191" i="14"/>
  <c r="D164" i="14"/>
  <c r="D200" i="14" s="1"/>
  <c r="D182" i="14"/>
  <c r="E162" i="14"/>
  <c r="E198" i="14" s="1"/>
  <c r="E180" i="14"/>
  <c r="I177" i="14"/>
  <c r="I213" i="14" s="1"/>
  <c r="J195" i="14"/>
  <c r="F176" i="14"/>
  <c r="F212" i="14" s="1"/>
  <c r="F194" i="14"/>
  <c r="E169" i="14"/>
  <c r="E205" i="14" s="1"/>
  <c r="E187" i="14"/>
  <c r="E174" i="14"/>
  <c r="E210" i="14" s="1"/>
  <c r="E192" i="14"/>
  <c r="K162" i="14"/>
  <c r="K180" i="14"/>
  <c r="F166" i="14"/>
  <c r="F202" i="14" s="1"/>
  <c r="F184" i="14"/>
  <c r="K175" i="14"/>
  <c r="K211" i="14" s="1"/>
  <c r="K193" i="14"/>
  <c r="D172" i="14"/>
  <c r="D208" i="14" s="1"/>
  <c r="D190" i="14"/>
  <c r="F170" i="14"/>
  <c r="F206" i="14" s="1"/>
  <c r="F188" i="14"/>
  <c r="D165" i="14"/>
  <c r="D201" i="14" s="1"/>
  <c r="D183" i="14"/>
  <c r="E98" i="14"/>
  <c r="E116" i="14" s="1"/>
  <c r="E134" i="14" s="1"/>
  <c r="E90" i="14"/>
  <c r="E108" i="14" s="1"/>
  <c r="E126" i="14" s="1"/>
  <c r="E105" i="14"/>
  <c r="E123" i="14" s="1"/>
  <c r="E141" i="14" s="1"/>
  <c r="E92" i="14"/>
  <c r="E110" i="14" s="1"/>
  <c r="E128" i="14" s="1"/>
  <c r="E99" i="14"/>
  <c r="E117" i="14" s="1"/>
  <c r="E135" i="14" s="1"/>
  <c r="E96" i="14"/>
  <c r="E114" i="14" s="1"/>
  <c r="E132" i="14" s="1"/>
  <c r="E102" i="14"/>
  <c r="E120" i="14" s="1"/>
  <c r="E138" i="14" s="1"/>
  <c r="E104" i="14"/>
  <c r="E122" i="14" s="1"/>
  <c r="E140" i="14" s="1"/>
  <c r="E95" i="14"/>
  <c r="E113" i="14" s="1"/>
  <c r="E131" i="14" s="1"/>
  <c r="E91" i="14"/>
  <c r="E109" i="14" s="1"/>
  <c r="E127" i="14" s="1"/>
  <c r="K177" i="14"/>
  <c r="K213" i="14" s="1"/>
  <c r="K174" i="14"/>
  <c r="K210" i="14" s="1"/>
  <c r="I45" i="14"/>
  <c r="I81" i="14" s="1"/>
  <c r="J153" i="14"/>
  <c r="K163" i="14"/>
  <c r="K199" i="14" s="1"/>
  <c r="AU6" i="26" l="1"/>
  <c r="AD67" i="1"/>
  <c r="K198" i="14"/>
  <c r="K194" i="14"/>
  <c r="D168" i="14"/>
  <c r="D204" i="14" s="1"/>
  <c r="E173" i="14"/>
  <c r="E209" i="14" s="1"/>
  <c r="K173" i="14"/>
  <c r="K209" i="14" s="1"/>
  <c r="I169" i="14"/>
  <c r="I205" i="14" s="1"/>
  <c r="J190" i="14"/>
  <c r="J194" i="14"/>
  <c r="J191" i="14"/>
  <c r="K190" i="14"/>
  <c r="K166" i="14"/>
  <c r="K202" i="14" s="1"/>
  <c r="D189" i="14"/>
  <c r="K186" i="14"/>
  <c r="D195" i="14"/>
  <c r="D162" i="14"/>
  <c r="D198" i="14" s="1"/>
  <c r="K171" i="14"/>
  <c r="K207" i="14" s="1"/>
  <c r="J185" i="14"/>
  <c r="E172" i="14"/>
  <c r="E208" i="14" s="1"/>
  <c r="K164" i="14"/>
  <c r="K200" i="14" s="1"/>
  <c r="D169" i="14"/>
  <c r="D205" i="14" s="1"/>
  <c r="K170" i="14"/>
  <c r="K206" i="14" s="1"/>
  <c r="K185" i="14"/>
  <c r="I170" i="14"/>
  <c r="D166" i="14"/>
  <c r="D202" i="14" s="1"/>
  <c r="D167" i="14"/>
  <c r="D203" i="14" s="1"/>
  <c r="J186" i="14"/>
  <c r="J182" i="14"/>
  <c r="K169" i="14"/>
  <c r="K205" i="14" s="1"/>
  <c r="I165" i="14"/>
  <c r="I201" i="14" s="1"/>
  <c r="D188" i="14"/>
  <c r="K165" i="14"/>
  <c r="K201" i="14" s="1"/>
  <c r="I171" i="14"/>
  <c r="I207" i="14" s="1"/>
  <c r="J189" i="14"/>
  <c r="AV6" i="26" l="1"/>
  <c r="AE67" i="1"/>
  <c r="I206" i="14"/>
  <c r="AW6" i="26" l="1"/>
  <c r="AF67" i="1"/>
  <c r="N49" i="1"/>
  <c r="P49" i="1"/>
  <c r="N50" i="1"/>
  <c r="S50" i="1" s="1"/>
  <c r="N51" i="1"/>
  <c r="N52" i="1"/>
  <c r="N53" i="1"/>
  <c r="S53" i="1" s="1"/>
  <c r="T53" i="1" s="1"/>
  <c r="N54" i="1"/>
  <c r="S54" i="1" s="1"/>
  <c r="T54" i="1" s="1"/>
  <c r="N55" i="1"/>
  <c r="N56" i="1"/>
  <c r="P56" i="1"/>
  <c r="N57" i="1"/>
  <c r="S57" i="1" s="1"/>
  <c r="N58" i="1"/>
  <c r="S58" i="1" s="1"/>
  <c r="U58" i="1" s="1"/>
  <c r="O59" i="1"/>
  <c r="Q59" i="1"/>
  <c r="R59" i="1"/>
  <c r="L75" i="12"/>
  <c r="D119" i="12"/>
  <c r="G117" i="12"/>
  <c r="L116" i="12"/>
  <c r="H116" i="12"/>
  <c r="A116" i="12"/>
  <c r="L115" i="12"/>
  <c r="H115" i="12"/>
  <c r="A115" i="12"/>
  <c r="L114" i="12"/>
  <c r="H114" i="12"/>
  <c r="A114" i="12"/>
  <c r="O85" i="12"/>
  <c r="N85" i="12"/>
  <c r="S84" i="12"/>
  <c r="A84" i="12"/>
  <c r="J75" i="12"/>
  <c r="H75" i="12"/>
  <c r="W74" i="12"/>
  <c r="M74" i="12"/>
  <c r="K74" i="12"/>
  <c r="I74" i="12"/>
  <c r="X73" i="12"/>
  <c r="M73" i="12"/>
  <c r="K73" i="12"/>
  <c r="I73" i="12"/>
  <c r="A73" i="12"/>
  <c r="A74" i="12" s="1"/>
  <c r="X72" i="12"/>
  <c r="K72" i="12"/>
  <c r="I72" i="12"/>
  <c r="S72" i="12" s="1"/>
  <c r="K71" i="12"/>
  <c r="I71" i="12"/>
  <c r="P71" i="12" s="1"/>
  <c r="X70" i="12"/>
  <c r="K70" i="12"/>
  <c r="I70" i="12"/>
  <c r="AB69" i="12"/>
  <c r="X69" i="12"/>
  <c r="K69" i="12"/>
  <c r="I69" i="12"/>
  <c r="X68" i="12"/>
  <c r="M68" i="12"/>
  <c r="K68" i="12"/>
  <c r="I68" i="12"/>
  <c r="X67" i="12"/>
  <c r="M67" i="12"/>
  <c r="K67" i="12"/>
  <c r="I67" i="12"/>
  <c r="AB66" i="12"/>
  <c r="X66" i="12"/>
  <c r="M66" i="12"/>
  <c r="K66" i="12"/>
  <c r="I66" i="12"/>
  <c r="X65" i="12"/>
  <c r="M65" i="12"/>
  <c r="K65" i="12"/>
  <c r="I65" i="12"/>
  <c r="X64" i="12"/>
  <c r="M64" i="12"/>
  <c r="K64" i="12"/>
  <c r="I64" i="12"/>
  <c r="X63" i="12"/>
  <c r="M63" i="12"/>
  <c r="K63" i="12"/>
  <c r="I63" i="12"/>
  <c r="X62" i="12"/>
  <c r="M62" i="12"/>
  <c r="K62" i="12"/>
  <c r="I62" i="12"/>
  <c r="X61" i="12"/>
  <c r="K61" i="12"/>
  <c r="I61" i="12"/>
  <c r="K60" i="12"/>
  <c r="I60" i="12"/>
  <c r="A57" i="12"/>
  <c r="X49" i="12"/>
  <c r="K49" i="12"/>
  <c r="I49" i="12"/>
  <c r="K48" i="12"/>
  <c r="I48" i="12"/>
  <c r="K47" i="12"/>
  <c r="I47" i="12"/>
  <c r="K46" i="12"/>
  <c r="I46" i="12"/>
  <c r="K45" i="12"/>
  <c r="I45" i="12"/>
  <c r="K44" i="12"/>
  <c r="I44" i="12"/>
  <c r="K43" i="12"/>
  <c r="I43" i="12"/>
  <c r="K42" i="12"/>
  <c r="I42" i="12"/>
  <c r="K41" i="12"/>
  <c r="I41" i="12"/>
  <c r="K40" i="12"/>
  <c r="I40" i="12"/>
  <c r="M39" i="12"/>
  <c r="K39" i="12"/>
  <c r="I39" i="12"/>
  <c r="Y17" i="1" l="1"/>
  <c r="D58" i="32"/>
  <c r="G41" i="28"/>
  <c r="G44" i="28"/>
  <c r="X74" i="12"/>
  <c r="J46" i="28"/>
  <c r="Y22" i="1"/>
  <c r="H33" i="14" s="1"/>
  <c r="G46" i="28"/>
  <c r="Y11" i="1"/>
  <c r="H148" i="14" s="1"/>
  <c r="G35" i="28"/>
  <c r="Y13" i="1"/>
  <c r="H150" i="14" s="1"/>
  <c r="G37" i="28"/>
  <c r="Y15" i="1"/>
  <c r="H26" i="14" s="1"/>
  <c r="D57" i="32"/>
  <c r="G39" i="28"/>
  <c r="G34" i="28"/>
  <c r="Y21" i="1"/>
  <c r="G45" i="28"/>
  <c r="Y8" i="1"/>
  <c r="H19" i="14" s="1"/>
  <c r="G33" i="28"/>
  <c r="Y10" i="1"/>
  <c r="AW11" i="1" s="1"/>
  <c r="D56" i="32"/>
  <c r="G32" i="28"/>
  <c r="Y16" i="1"/>
  <c r="H27" i="14" s="1"/>
  <c r="G40" i="28"/>
  <c r="Y18" i="1"/>
  <c r="D59" i="32"/>
  <c r="G42" i="28"/>
  <c r="Y9" i="1"/>
  <c r="H146" i="14" s="1"/>
  <c r="D60" i="32"/>
  <c r="G31" i="28"/>
  <c r="Y12" i="1"/>
  <c r="H23" i="14" s="1"/>
  <c r="G36" i="28"/>
  <c r="Y14" i="1"/>
  <c r="H151" i="14" s="1"/>
  <c r="G38" i="28"/>
  <c r="Y7" i="1"/>
  <c r="AW8" i="1" s="1"/>
  <c r="AX6" i="26"/>
  <c r="AG67" i="1"/>
  <c r="Y20" i="1"/>
  <c r="P59" i="1"/>
  <c r="P70" i="12"/>
  <c r="N68" i="12"/>
  <c r="N73" i="12"/>
  <c r="AE21" i="1" s="1"/>
  <c r="AX22" i="1" s="1"/>
  <c r="S69" i="12"/>
  <c r="P64" i="12"/>
  <c r="AC13" i="1" s="1"/>
  <c r="S67" i="12"/>
  <c r="AD16" i="1" s="1"/>
  <c r="S65" i="12"/>
  <c r="AD14" i="1" s="1"/>
  <c r="P61" i="12"/>
  <c r="AC10" i="1" s="1"/>
  <c r="S63" i="12"/>
  <c r="AD12" i="1" s="1"/>
  <c r="S66" i="12"/>
  <c r="N62" i="12"/>
  <c r="T50" i="1"/>
  <c r="T58" i="1"/>
  <c r="S49" i="12"/>
  <c r="U53" i="1"/>
  <c r="U50" i="1"/>
  <c r="T57" i="1"/>
  <c r="S52" i="1"/>
  <c r="T52" i="1" s="1"/>
  <c r="S55" i="1"/>
  <c r="U55" i="1" s="1"/>
  <c r="U54" i="1"/>
  <c r="S49" i="1"/>
  <c r="T49" i="1" s="1"/>
  <c r="S56" i="1"/>
  <c r="S51" i="1"/>
  <c r="N59" i="1"/>
  <c r="U57" i="1"/>
  <c r="J30" i="1" s="1"/>
  <c r="P68" i="12"/>
  <c r="S68" i="12"/>
  <c r="S70" i="12"/>
  <c r="P62" i="12"/>
  <c r="S62" i="12"/>
  <c r="M75" i="12"/>
  <c r="I75" i="12"/>
  <c r="N65" i="12"/>
  <c r="AE14" i="1" s="1"/>
  <c r="AX15" i="1" s="1"/>
  <c r="N67" i="12"/>
  <c r="AE16" i="1" s="1"/>
  <c r="AX17" i="1" s="1"/>
  <c r="S61" i="12"/>
  <c r="AD10" i="1" s="1"/>
  <c r="N63" i="12"/>
  <c r="AE12" i="1" s="1"/>
  <c r="AX13" i="1" s="1"/>
  <c r="P65" i="12"/>
  <c r="AC14" i="1" s="1"/>
  <c r="P67" i="12"/>
  <c r="AC16" i="1" s="1"/>
  <c r="N72" i="12"/>
  <c r="P63" i="12"/>
  <c r="AC12" i="1" s="1"/>
  <c r="N70" i="12"/>
  <c r="P72" i="12"/>
  <c r="H117" i="12"/>
  <c r="N49" i="12"/>
  <c r="G60" i="32" s="1"/>
  <c r="P49" i="12"/>
  <c r="K75" i="12"/>
  <c r="S64" i="12"/>
  <c r="AD13" i="1" s="1"/>
  <c r="N66" i="12"/>
  <c r="S71" i="12"/>
  <c r="P73" i="12"/>
  <c r="AC21" i="1" s="1"/>
  <c r="S73" i="12"/>
  <c r="AD21" i="1" s="1"/>
  <c r="N69" i="12"/>
  <c r="N64" i="12"/>
  <c r="AE13" i="1" s="1"/>
  <c r="AX14" i="1" s="1"/>
  <c r="P69" i="12"/>
  <c r="N71" i="12"/>
  <c r="N61" i="12"/>
  <c r="AE10" i="1" s="1"/>
  <c r="AX11" i="1" s="1"/>
  <c r="P66" i="12"/>
  <c r="H154" i="14" l="1"/>
  <c r="AW18" i="1"/>
  <c r="H28" i="14"/>
  <c r="H158" i="14"/>
  <c r="AW22" i="1"/>
  <c r="AY22" i="1" s="1"/>
  <c r="H32" i="14"/>
  <c r="AW19" i="1"/>
  <c r="H29" i="14"/>
  <c r="AW14" i="1"/>
  <c r="AY14" i="1" s="1"/>
  <c r="H24" i="14"/>
  <c r="H22" i="14"/>
  <c r="AW12" i="1"/>
  <c r="AW15" i="1"/>
  <c r="AY15" i="1" s="1"/>
  <c r="H25" i="14"/>
  <c r="H61" i="14" s="1"/>
  <c r="H79" i="14" s="1"/>
  <c r="H144" i="14"/>
  <c r="AW9" i="1"/>
  <c r="H145" i="14"/>
  <c r="H181" i="14" s="1"/>
  <c r="H147" i="14"/>
  <c r="H165" i="14" s="1"/>
  <c r="H201" i="14" s="1"/>
  <c r="H155" i="14"/>
  <c r="H173" i="14" s="1"/>
  <c r="H209" i="14" s="1"/>
  <c r="AW23" i="1"/>
  <c r="AY23" i="1" s="1"/>
  <c r="H21" i="14"/>
  <c r="H149" i="14"/>
  <c r="AD17" i="1"/>
  <c r="BB18" i="1" s="1"/>
  <c r="F58" i="32"/>
  <c r="A46" i="28"/>
  <c r="G70" i="28"/>
  <c r="AE17" i="1"/>
  <c r="AX18" i="1" s="1"/>
  <c r="G58" i="32"/>
  <c r="AW17" i="1"/>
  <c r="AY17" i="1" s="1"/>
  <c r="L32" i="28"/>
  <c r="L56" i="28" s="1"/>
  <c r="A32" i="28"/>
  <c r="G56" i="28"/>
  <c r="O32" i="28"/>
  <c r="R32" i="28"/>
  <c r="AC15" i="1"/>
  <c r="G26" i="14" s="1"/>
  <c r="E57" i="32"/>
  <c r="W32" i="1" a="1"/>
  <c r="Y23" i="1"/>
  <c r="Z2" i="1" s="1"/>
  <c r="A42" i="28"/>
  <c r="G66" i="28"/>
  <c r="L42" i="28"/>
  <c r="L66" i="28" s="1"/>
  <c r="O42" i="28"/>
  <c r="R42" i="28"/>
  <c r="A33" i="28"/>
  <c r="G57" i="28"/>
  <c r="L33" i="28"/>
  <c r="L57" i="28" s="1"/>
  <c r="O33" i="28"/>
  <c r="R33" i="28"/>
  <c r="G61" i="28"/>
  <c r="A37" i="28"/>
  <c r="L37" i="28"/>
  <c r="L61" i="28" s="1"/>
  <c r="R37" i="28"/>
  <c r="O37" i="28"/>
  <c r="L44" i="28"/>
  <c r="G20" i="28"/>
  <c r="R44" i="28"/>
  <c r="X44" i="28" s="1"/>
  <c r="O44" i="28"/>
  <c r="U44" i="28" s="1"/>
  <c r="G58" i="28"/>
  <c r="A34" i="28"/>
  <c r="R34" i="28"/>
  <c r="O34" i="28"/>
  <c r="L34" i="28"/>
  <c r="L58" i="28" s="1"/>
  <c r="O39" i="28"/>
  <c r="G63" i="28"/>
  <c r="A39" i="28"/>
  <c r="L39" i="28"/>
  <c r="L63" i="28" s="1"/>
  <c r="R39" i="28"/>
  <c r="H153" i="14"/>
  <c r="H171" i="14" s="1"/>
  <c r="H207" i="14" s="1"/>
  <c r="AC18" i="1"/>
  <c r="G29" i="14" s="1"/>
  <c r="E59" i="32"/>
  <c r="AD11" i="1"/>
  <c r="F56" i="32"/>
  <c r="AD9" i="1"/>
  <c r="G146" i="14" s="1"/>
  <c r="F60" i="32"/>
  <c r="H152" i="14"/>
  <c r="H188" i="14" s="1"/>
  <c r="H20" i="14"/>
  <c r="H56" i="14" s="1"/>
  <c r="H74" i="14" s="1"/>
  <c r="H18" i="14"/>
  <c r="H54" i="14" s="1"/>
  <c r="R38" i="28"/>
  <c r="A38" i="28"/>
  <c r="G62" i="28"/>
  <c r="O38" i="28"/>
  <c r="L38" i="28"/>
  <c r="L62" i="28" s="1"/>
  <c r="R41" i="28"/>
  <c r="A41" i="28"/>
  <c r="G65" i="28"/>
  <c r="O41" i="28"/>
  <c r="L41" i="28"/>
  <c r="L65" i="28" s="1"/>
  <c r="AC17" i="1"/>
  <c r="AZ18" i="1" s="1"/>
  <c r="E58" i="32"/>
  <c r="W31" i="1" a="1"/>
  <c r="AE15" i="1"/>
  <c r="AX16" i="1" s="1"/>
  <c r="G57" i="32"/>
  <c r="AC9" i="1"/>
  <c r="AZ10" i="1" s="1"/>
  <c r="E60" i="32"/>
  <c r="AC11" i="1"/>
  <c r="G22" i="14" s="1"/>
  <c r="E56" i="32"/>
  <c r="AW16" i="1"/>
  <c r="H159" i="14"/>
  <c r="H195" i="14" s="1"/>
  <c r="AW10" i="1"/>
  <c r="AW13" i="1"/>
  <c r="AY13" i="1" s="1"/>
  <c r="G69" i="28"/>
  <c r="A45" i="28"/>
  <c r="R45" i="28"/>
  <c r="L45" i="28"/>
  <c r="L69" i="28" s="1"/>
  <c r="O45" i="28"/>
  <c r="G59" i="28"/>
  <c r="A35" i="28"/>
  <c r="O35" i="28"/>
  <c r="L35" i="28"/>
  <c r="L59" i="28" s="1"/>
  <c r="R35" i="28"/>
  <c r="AE11" i="1"/>
  <c r="AX12" i="1" s="1"/>
  <c r="G56" i="32"/>
  <c r="AD15" i="1"/>
  <c r="G152" i="14" s="1"/>
  <c r="F57" i="32"/>
  <c r="G55" i="28"/>
  <c r="A31" i="28"/>
  <c r="O31" i="28"/>
  <c r="L31" i="28"/>
  <c r="L55" i="28" s="1"/>
  <c r="G47" i="28"/>
  <c r="R31" i="28"/>
  <c r="N75" i="12"/>
  <c r="D61" i="32"/>
  <c r="AE18" i="1"/>
  <c r="AX19" i="1" s="1"/>
  <c r="G59" i="32"/>
  <c r="AD18" i="1"/>
  <c r="G155" i="14" s="1"/>
  <c r="F59" i="32"/>
  <c r="O36" i="28"/>
  <c r="A36" i="28"/>
  <c r="G60" i="28"/>
  <c r="L36" i="28"/>
  <c r="L60" i="28" s="1"/>
  <c r="R36" i="28"/>
  <c r="A40" i="28"/>
  <c r="G64" i="28"/>
  <c r="R40" i="28"/>
  <c r="L40" i="28"/>
  <c r="L64" i="28" s="1"/>
  <c r="O40" i="28"/>
  <c r="W26" i="1" a="1"/>
  <c r="AE9" i="1"/>
  <c r="AX10" i="1" s="1"/>
  <c r="W28" i="1" a="1"/>
  <c r="W29" i="1" a="1"/>
  <c r="W30" i="1" a="1"/>
  <c r="W27" i="1" a="1"/>
  <c r="AY6" i="26"/>
  <c r="AH67" i="1"/>
  <c r="AY11" i="1"/>
  <c r="AG27" i="1" a="1"/>
  <c r="AG31" i="1" a="1"/>
  <c r="AG30" i="1" a="1"/>
  <c r="G147" i="14"/>
  <c r="BB11" i="1"/>
  <c r="BC11" i="1" s="1"/>
  <c r="H69" i="14"/>
  <c r="H87" i="14" s="1"/>
  <c r="H51" i="14"/>
  <c r="H182" i="14"/>
  <c r="H164" i="14"/>
  <c r="H200" i="14" s="1"/>
  <c r="G158" i="14"/>
  <c r="BB22" i="1"/>
  <c r="G27" i="14"/>
  <c r="AZ17" i="1"/>
  <c r="G32" i="14"/>
  <c r="AZ22" i="1"/>
  <c r="BB14" i="1"/>
  <c r="G150" i="14"/>
  <c r="AW21" i="1"/>
  <c r="H157" i="14"/>
  <c r="H31" i="14"/>
  <c r="G151" i="14"/>
  <c r="BB15" i="1"/>
  <c r="H37" i="14"/>
  <c r="H55" i="14"/>
  <c r="H62" i="14"/>
  <c r="H80" i="14" s="1"/>
  <c r="H44" i="14"/>
  <c r="H59" i="14"/>
  <c r="H77" i="14" s="1"/>
  <c r="H41" i="14"/>
  <c r="H169" i="14"/>
  <c r="H205" i="14" s="1"/>
  <c r="H187" i="14"/>
  <c r="G149" i="14"/>
  <c r="BB13" i="1"/>
  <c r="H166" i="14"/>
  <c r="H202" i="14" s="1"/>
  <c r="H184" i="14"/>
  <c r="G23" i="14"/>
  <c r="AZ13" i="1"/>
  <c r="G21" i="14"/>
  <c r="AZ11" i="1"/>
  <c r="BA11" i="1" s="1"/>
  <c r="H168" i="14"/>
  <c r="H204" i="14" s="1"/>
  <c r="H186" i="14"/>
  <c r="H63" i="14"/>
  <c r="H81" i="14" s="1"/>
  <c r="H45" i="14"/>
  <c r="BB17" i="1"/>
  <c r="G153" i="14"/>
  <c r="G25" i="14"/>
  <c r="AZ15" i="1"/>
  <c r="G24" i="14"/>
  <c r="AZ14" i="1"/>
  <c r="BA8" i="1"/>
  <c r="BC8" i="1"/>
  <c r="AY8" i="1"/>
  <c r="N74" i="12"/>
  <c r="S74" i="12"/>
  <c r="AD22" i="1" s="1"/>
  <c r="P74" i="12"/>
  <c r="AC22" i="1" s="1"/>
  <c r="U51" i="1"/>
  <c r="S59" i="1"/>
  <c r="U49" i="1"/>
  <c r="T56" i="1"/>
  <c r="T55" i="1"/>
  <c r="U52" i="1"/>
  <c r="T51" i="1"/>
  <c r="G104" i="17" s="1"/>
  <c r="U56" i="1"/>
  <c r="H57" i="14" l="1"/>
  <c r="H75" i="14" s="1"/>
  <c r="H39" i="14"/>
  <c r="H185" i="14"/>
  <c r="H167" i="14"/>
  <c r="H203" i="14" s="1"/>
  <c r="AH3" i="1"/>
  <c r="AH2" i="1" s="1"/>
  <c r="AI2" i="1" s="1"/>
  <c r="AG28" i="1" a="1"/>
  <c r="BA22" i="1"/>
  <c r="BA18" i="1"/>
  <c r="AY19" i="1"/>
  <c r="BC22" i="1"/>
  <c r="H194" i="14"/>
  <c r="H176" i="14"/>
  <c r="H212" i="14" s="1"/>
  <c r="H68" i="14"/>
  <c r="H86" i="14" s="1"/>
  <c r="H50" i="14"/>
  <c r="H60" i="14"/>
  <c r="H78" i="14" s="1"/>
  <c r="H42" i="14"/>
  <c r="BC18" i="1"/>
  <c r="AY18" i="1"/>
  <c r="BC14" i="1"/>
  <c r="BC15" i="1"/>
  <c r="BA15" i="1"/>
  <c r="BA14" i="1"/>
  <c r="H190" i="14"/>
  <c r="H172" i="14"/>
  <c r="H208" i="14" s="1"/>
  <c r="H46" i="14"/>
  <c r="H64" i="14"/>
  <c r="H82" i="14" s="1"/>
  <c r="H65" i="14"/>
  <c r="H83" i="14" s="1"/>
  <c r="H47" i="14"/>
  <c r="H58" i="14"/>
  <c r="H76" i="14" s="1"/>
  <c r="H40" i="14"/>
  <c r="H162" i="14"/>
  <c r="H198" i="14" s="1"/>
  <c r="H180" i="14"/>
  <c r="BC9" i="1"/>
  <c r="AY9" i="1"/>
  <c r="BA9" i="1"/>
  <c r="G148" i="14"/>
  <c r="G184" i="14" s="1"/>
  <c r="BB12" i="1"/>
  <c r="BC12" i="1" s="1"/>
  <c r="AY12" i="1"/>
  <c r="AZ12" i="1"/>
  <c r="BA12" i="1" s="1"/>
  <c r="G154" i="14"/>
  <c r="G190" i="14" s="1"/>
  <c r="H191" i="14"/>
  <c r="H43" i="14"/>
  <c r="H189" i="14"/>
  <c r="G20" i="14"/>
  <c r="G56" i="14" s="1"/>
  <c r="H183" i="14"/>
  <c r="AZ19" i="1"/>
  <c r="BA19" i="1" s="1"/>
  <c r="H163" i="14"/>
  <c r="H199" i="14" s="1"/>
  <c r="AG26" i="1" a="1"/>
  <c r="X23" i="1" a="1"/>
  <c r="AG29" i="1" a="1"/>
  <c r="AY16" i="1"/>
  <c r="AG32" i="1" a="1"/>
  <c r="AZ16" i="1"/>
  <c r="BA16" i="1" s="1"/>
  <c r="G28" i="14"/>
  <c r="G64" i="14" s="1"/>
  <c r="AA31" i="1" a="1"/>
  <c r="H170" i="14"/>
  <c r="H206" i="14" s="1"/>
  <c r="AA32" i="1" a="1"/>
  <c r="H177" i="14"/>
  <c r="H213" i="14" s="1"/>
  <c r="BB16" i="1"/>
  <c r="BC16" i="1" s="1"/>
  <c r="BB10" i="1"/>
  <c r="BC10" i="1" s="1"/>
  <c r="BA10" i="1"/>
  <c r="X37" i="28"/>
  <c r="Y37" i="28" s="1"/>
  <c r="R61" i="28"/>
  <c r="BB19" i="1"/>
  <c r="BC19" i="1" s="1"/>
  <c r="U42" i="28"/>
  <c r="V42" i="28" s="1"/>
  <c r="O66" i="28"/>
  <c r="AA28" i="1" a="1"/>
  <c r="AA30" i="1" a="1"/>
  <c r="BA17" i="1"/>
  <c r="U45" i="28"/>
  <c r="V45" i="28" s="1"/>
  <c r="O69" i="28"/>
  <c r="U38" i="28"/>
  <c r="V38" i="28" s="1"/>
  <c r="O62" i="28"/>
  <c r="U32" i="28"/>
  <c r="V32" i="28" s="1"/>
  <c r="O56" i="28"/>
  <c r="U35" i="28"/>
  <c r="V35" i="28" s="1"/>
  <c r="O59" i="28"/>
  <c r="X34" i="28"/>
  <c r="Y34" i="28" s="1"/>
  <c r="R58" i="28"/>
  <c r="X36" i="28"/>
  <c r="Y36" i="28" s="1"/>
  <c r="R60" i="28"/>
  <c r="X41" i="28"/>
  <c r="Y41" i="28" s="1"/>
  <c r="R65" i="28"/>
  <c r="X39" i="28"/>
  <c r="Y39" i="28" s="1"/>
  <c r="R63" i="28"/>
  <c r="BC17" i="1"/>
  <c r="AA27" i="1" a="1"/>
  <c r="AA26" i="1" a="1"/>
  <c r="H36" i="14"/>
  <c r="AW24" i="1"/>
  <c r="AW25" i="1" s="1"/>
  <c r="U40" i="28"/>
  <c r="V40" i="28" s="1"/>
  <c r="O64" i="28"/>
  <c r="X31" i="28"/>
  <c r="Y31" i="28" s="1"/>
  <c r="R55" i="28"/>
  <c r="X33" i="28"/>
  <c r="Y33" i="28" s="1"/>
  <c r="R57" i="28"/>
  <c r="U34" i="28"/>
  <c r="V34" i="28" s="1"/>
  <c r="O58" i="28"/>
  <c r="U37" i="28"/>
  <c r="V37" i="28" s="1"/>
  <c r="O61" i="28"/>
  <c r="X42" i="28"/>
  <c r="Y42" i="28" s="1"/>
  <c r="R66" i="28"/>
  <c r="AY10" i="1"/>
  <c r="X32" i="28"/>
  <c r="Y32" i="28" s="1"/>
  <c r="R56" i="28"/>
  <c r="H38" i="14"/>
  <c r="AE23" i="1"/>
  <c r="AB23" i="1" s="1"/>
  <c r="AA29" i="1" a="1"/>
  <c r="U36" i="28"/>
  <c r="V36" i="28" s="1"/>
  <c r="O60" i="28"/>
  <c r="X45" i="28"/>
  <c r="Y45" i="28" s="1"/>
  <c r="R69" i="28"/>
  <c r="U39" i="28"/>
  <c r="V39" i="28" s="1"/>
  <c r="O63" i="28"/>
  <c r="A44" i="28"/>
  <c r="G68" i="28"/>
  <c r="K71" i="28" s="1"/>
  <c r="O20" i="28"/>
  <c r="V44" i="28" s="1"/>
  <c r="G23" i="28"/>
  <c r="G91" i="28"/>
  <c r="L20" i="28"/>
  <c r="R20" i="28"/>
  <c r="Y44" i="28" s="1"/>
  <c r="K23" i="28"/>
  <c r="U33" i="28"/>
  <c r="V33" i="28" s="1"/>
  <c r="O57" i="28"/>
  <c r="U31" i="28"/>
  <c r="V31" i="28" s="1"/>
  <c r="O55" i="28"/>
  <c r="Y32" i="1" a="1"/>
  <c r="Z29" i="1" a="1"/>
  <c r="BC13" i="1"/>
  <c r="BA13" i="1"/>
  <c r="X40" i="28"/>
  <c r="Y40" i="28" s="1"/>
  <c r="R64" i="28"/>
  <c r="X35" i="28"/>
  <c r="Y35" i="28" s="1"/>
  <c r="R59" i="28"/>
  <c r="U41" i="28"/>
  <c r="V41" i="28" s="1"/>
  <c r="O65" i="28"/>
  <c r="X38" i="28"/>
  <c r="Y38" i="28" s="1"/>
  <c r="R62" i="28"/>
  <c r="Y27" i="1" a="1"/>
  <c r="H72" i="14"/>
  <c r="G185" i="14"/>
  <c r="G187" i="14"/>
  <c r="G191" i="14"/>
  <c r="G194" i="14"/>
  <c r="G62" i="14"/>
  <c r="G189" i="14"/>
  <c r="G186" i="14"/>
  <c r="H73" i="14"/>
  <c r="G59" i="14"/>
  <c r="G182" i="14"/>
  <c r="G68" i="14"/>
  <c r="G188" i="14"/>
  <c r="G58" i="14"/>
  <c r="G57" i="14"/>
  <c r="G60" i="14"/>
  <c r="G61" i="14"/>
  <c r="G65" i="14"/>
  <c r="G63" i="14"/>
  <c r="G183" i="14"/>
  <c r="AZ6" i="26"/>
  <c r="AI67" i="1"/>
  <c r="AC23" i="1"/>
  <c r="R15" i="21" s="1"/>
  <c r="Y29" i="1" a="1"/>
  <c r="Y30" i="1" a="1"/>
  <c r="Y28" i="1" a="1"/>
  <c r="Y31" i="1" a="1"/>
  <c r="G159" i="14"/>
  <c r="BB23" i="1"/>
  <c r="BC23" i="1" s="1"/>
  <c r="H193" i="14"/>
  <c r="H175" i="14"/>
  <c r="H211" i="14" s="1"/>
  <c r="Z27" i="1" a="1"/>
  <c r="Z26" i="1" a="1"/>
  <c r="Z28" i="1" a="1"/>
  <c r="Z32" i="1" a="1"/>
  <c r="AD23" i="1"/>
  <c r="G33" i="14"/>
  <c r="AZ23" i="1"/>
  <c r="BA23" i="1" s="1"/>
  <c r="Y26" i="1" a="1"/>
  <c r="Z30" i="1" a="1"/>
  <c r="H67" i="14"/>
  <c r="H49" i="14"/>
  <c r="AY21" i="1"/>
  <c r="BC21" i="1"/>
  <c r="BA21" i="1"/>
  <c r="Z31" i="1" a="1"/>
  <c r="Q74" i="12"/>
  <c r="T74" i="12"/>
  <c r="T46" i="28" s="1"/>
  <c r="O74" i="12"/>
  <c r="N46" i="28" s="1"/>
  <c r="U59" i="1"/>
  <c r="S61" i="1" s="1"/>
  <c r="T59" i="1"/>
  <c r="G17" i="11" l="1"/>
  <c r="AY24" i="1"/>
  <c r="F31" i="10"/>
  <c r="P77" i="1"/>
  <c r="C77" i="32" s="1"/>
  <c r="G71" i="28"/>
  <c r="L68" i="28"/>
  <c r="M91" i="28"/>
  <c r="N70" i="28"/>
  <c r="N71" i="28" s="1"/>
  <c r="N47" i="28"/>
  <c r="M46" i="28"/>
  <c r="M70" i="28" s="1"/>
  <c r="L46" i="28"/>
  <c r="L70" i="28" s="1"/>
  <c r="O23" i="28"/>
  <c r="L23" i="28"/>
  <c r="R23" i="28"/>
  <c r="K91" i="28"/>
  <c r="K94" i="28" s="1"/>
  <c r="O68" i="28"/>
  <c r="R46" i="28"/>
  <c r="T70" i="28"/>
  <c r="T71" i="28" s="1"/>
  <c r="S46" i="28"/>
  <c r="S70" i="28" s="1"/>
  <c r="T47" i="28"/>
  <c r="R66" i="12"/>
  <c r="Q46" i="28"/>
  <c r="R17" i="21"/>
  <c r="Q17" i="21"/>
  <c r="R68" i="28"/>
  <c r="L91" i="28"/>
  <c r="L94" i="28" s="1"/>
  <c r="AE3" i="1"/>
  <c r="AE2" i="1" s="1"/>
  <c r="G21" i="6"/>
  <c r="H21" i="6" s="1"/>
  <c r="AA23" i="1"/>
  <c r="Q15" i="21" s="1"/>
  <c r="H85" i="14"/>
  <c r="G69" i="14"/>
  <c r="G195" i="14"/>
  <c r="BA6" i="26"/>
  <c r="AJ67" i="1"/>
  <c r="BC24" i="1"/>
  <c r="BA24" i="1"/>
  <c r="Q61" i="1"/>
  <c r="R61" i="1"/>
  <c r="P61" i="1"/>
  <c r="O61" i="1"/>
  <c r="N61" i="1"/>
  <c r="P60" i="1"/>
  <c r="S60" i="1"/>
  <c r="N60" i="1"/>
  <c r="R60" i="1"/>
  <c r="O60" i="1"/>
  <c r="Q60" i="1"/>
  <c r="P91" i="28" l="1"/>
  <c r="M94" i="28"/>
  <c r="O77" i="1"/>
  <c r="L71" i="28"/>
  <c r="M71" i="28"/>
  <c r="Q70" i="28"/>
  <c r="Q71" i="28" s="1"/>
  <c r="P46" i="28"/>
  <c r="P70" i="28" s="1"/>
  <c r="Q47" i="28"/>
  <c r="O46" i="28"/>
  <c r="R71" i="28"/>
  <c r="S71" i="28"/>
  <c r="X46" i="28"/>
  <c r="Y46" i="28" s="1"/>
  <c r="R70" i="28"/>
  <c r="T48" i="28"/>
  <c r="S47" i="28"/>
  <c r="R47" i="28"/>
  <c r="M47" i="28"/>
  <c r="N48" i="28"/>
  <c r="L47" i="28"/>
  <c r="BB6" i="26"/>
  <c r="U61" i="1"/>
  <c r="T60" i="1"/>
  <c r="U46" i="28" l="1"/>
  <c r="V46" i="28" s="1"/>
  <c r="O70" i="28"/>
  <c r="P47" i="28"/>
  <c r="Q48" i="28"/>
  <c r="O47" i="28"/>
  <c r="O71" i="28"/>
  <c r="P71" i="28"/>
  <c r="BC6" i="26"/>
  <c r="C43" i="1"/>
  <c r="B27" i="21" l="1"/>
  <c r="B79" i="21" s="1"/>
  <c r="I27" i="21"/>
  <c r="I79" i="21" s="1"/>
  <c r="W115" i="21" s="1"/>
  <c r="P79" i="21" s="1"/>
  <c r="AD115" i="21" s="1"/>
  <c r="W79" i="21" s="1"/>
  <c r="BD6" i="26"/>
  <c r="C44" i="1"/>
  <c r="L152" i="11"/>
  <c r="L147" i="11"/>
  <c r="L129" i="11"/>
  <c r="L99" i="11"/>
  <c r="L76" i="11"/>
  <c r="L80" i="11" s="1"/>
  <c r="L61" i="11"/>
  <c r="L21" i="11"/>
  <c r="L16" i="11"/>
  <c r="J121" i="5"/>
  <c r="D35" i="1"/>
  <c r="J25" i="1"/>
  <c r="J24" i="1"/>
  <c r="K24" i="1" s="1"/>
  <c r="K23" i="1"/>
  <c r="K22" i="1"/>
  <c r="C26" i="22" s="1"/>
  <c r="Z35" i="1"/>
  <c r="D3" i="21" s="1"/>
  <c r="D39" i="1" l="1"/>
  <c r="Q9" i="21" s="1"/>
  <c r="Q6" i="21"/>
  <c r="B28" i="21"/>
  <c r="B80" i="21" s="1"/>
  <c r="I28" i="21"/>
  <c r="I80" i="21" s="1"/>
  <c r="W116" i="21" s="1"/>
  <c r="P80" i="21" s="1"/>
  <c r="AD116" i="21" s="1"/>
  <c r="W80" i="21" s="1"/>
  <c r="BE6" i="26"/>
  <c r="C45" i="1"/>
  <c r="H160" i="11"/>
  <c r="I16" i="4"/>
  <c r="H18" i="4" s="1"/>
  <c r="L4" i="4"/>
  <c r="L4" i="19" s="1"/>
  <c r="K30" i="1"/>
  <c r="AA35" i="1"/>
  <c r="E3" i="21" s="1"/>
  <c r="K25" i="1"/>
  <c r="E35" i="1"/>
  <c r="R6" i="21" s="1"/>
  <c r="I29" i="21" l="1"/>
  <c r="I81" i="21" s="1"/>
  <c r="W117" i="21" s="1"/>
  <c r="P81" i="21" s="1"/>
  <c r="AD117" i="21" s="1"/>
  <c r="W81" i="21" s="1"/>
  <c r="B29" i="21"/>
  <c r="B81" i="21" s="1"/>
  <c r="BF6" i="26"/>
  <c r="C46" i="1"/>
  <c r="A94" i="1"/>
  <c r="C28" i="22"/>
  <c r="AH94" i="1"/>
  <c r="P4" i="14"/>
  <c r="M5" i="16"/>
  <c r="H217" i="11"/>
  <c r="H222" i="11" s="1"/>
  <c r="H161" i="11"/>
  <c r="AB35" i="1"/>
  <c r="F3" i="21" s="1"/>
  <c r="L5" i="4"/>
  <c r="M5" i="6"/>
  <c r="M4" i="2"/>
  <c r="M4" i="10"/>
  <c r="L4" i="5"/>
  <c r="I17" i="4"/>
  <c r="I18" i="4" s="1"/>
  <c r="H43" i="4"/>
  <c r="M44" i="1"/>
  <c r="H265" i="11" s="1"/>
  <c r="I41" i="4"/>
  <c r="K26" i="1"/>
  <c r="D36" i="1"/>
  <c r="E36" i="1" s="1"/>
  <c r="D37" i="1" s="1"/>
  <c r="R62" i="21" l="1"/>
  <c r="H447" i="32"/>
  <c r="M43" i="1"/>
  <c r="Q7" i="21"/>
  <c r="I30" i="21"/>
  <c r="I82" i="21" s="1"/>
  <c r="W118" i="21" s="1"/>
  <c r="P82" i="21" s="1"/>
  <c r="AD118" i="21" s="1"/>
  <c r="W82" i="21" s="1"/>
  <c r="B30" i="21"/>
  <c r="B82" i="21" s="1"/>
  <c r="K32" i="28"/>
  <c r="K36" i="28"/>
  <c r="K38" i="28"/>
  <c r="K41" i="28"/>
  <c r="K46" i="28"/>
  <c r="K40" i="28"/>
  <c r="K31" i="28"/>
  <c r="K35" i="28"/>
  <c r="K42" i="28"/>
  <c r="K45" i="28"/>
  <c r="K39" i="28"/>
  <c r="K37" i="28"/>
  <c r="BG6" i="26"/>
  <c r="M42" i="1"/>
  <c r="H245" i="11" s="1"/>
  <c r="M41" i="1"/>
  <c r="H235" i="11" s="1"/>
  <c r="L4" i="17"/>
  <c r="K4" i="18" s="1"/>
  <c r="L4" i="26"/>
  <c r="K105" i="1"/>
  <c r="G80" i="16" s="1"/>
  <c r="G81" i="16" s="1"/>
  <c r="Z6" i="1"/>
  <c r="AC35" i="1"/>
  <c r="G3" i="21" s="1"/>
  <c r="C47" i="1"/>
  <c r="F77" i="11"/>
  <c r="L4" i="11"/>
  <c r="K4" i="15"/>
  <c r="AH95" i="1"/>
  <c r="AH96" i="1" s="1"/>
  <c r="AH97" i="1" s="1"/>
  <c r="AH98" i="1" s="1"/>
  <c r="AH99" i="1" s="1"/>
  <c r="AH100" i="1" s="1"/>
  <c r="AH101" i="1" s="1"/>
  <c r="AH102" i="1" s="1"/>
  <c r="AH103" i="1" s="1"/>
  <c r="AH104" i="1" s="1"/>
  <c r="AH105" i="1" s="1"/>
  <c r="AH106" i="1" s="1"/>
  <c r="AH107" i="1" s="1"/>
  <c r="AH108" i="1" s="1"/>
  <c r="AH109" i="1" s="1"/>
  <c r="AH110" i="1" s="1"/>
  <c r="AH111" i="1" s="1"/>
  <c r="AH112" i="1" s="1"/>
  <c r="AH113" i="1" s="1"/>
  <c r="AH114" i="1" s="1"/>
  <c r="G113" i="1"/>
  <c r="G114" i="1"/>
  <c r="H79" i="6" s="1"/>
  <c r="M39" i="1"/>
  <c r="H84" i="11" s="1"/>
  <c r="P5" i="14"/>
  <c r="P15" i="14" s="1"/>
  <c r="L5" i="19"/>
  <c r="U81" i="1"/>
  <c r="M6" i="16"/>
  <c r="U80" i="1"/>
  <c r="H165" i="11"/>
  <c r="R76" i="1"/>
  <c r="G30" i="10" s="1"/>
  <c r="G52" i="10" s="1"/>
  <c r="R75" i="1"/>
  <c r="G29" i="10" s="1"/>
  <c r="G51" i="10" s="1"/>
  <c r="U82" i="1"/>
  <c r="R77" i="1"/>
  <c r="R74" i="1"/>
  <c r="G28" i="10" s="1"/>
  <c r="G50" i="10" s="1"/>
  <c r="R70" i="1"/>
  <c r="G24" i="10" s="1"/>
  <c r="G46" i="10" s="1"/>
  <c r="R73" i="1"/>
  <c r="G27" i="10" s="1"/>
  <c r="G49" i="10" s="1"/>
  <c r="R72" i="1"/>
  <c r="G26" i="10" s="1"/>
  <c r="G48" i="10" s="1"/>
  <c r="R71" i="1"/>
  <c r="H19" i="16" s="1"/>
  <c r="R69" i="1"/>
  <c r="R68" i="1"/>
  <c r="G22" i="10" s="1"/>
  <c r="G44" i="10" s="1"/>
  <c r="U84" i="1"/>
  <c r="U83" i="1"/>
  <c r="L7" i="4"/>
  <c r="L14" i="4"/>
  <c r="L6" i="4"/>
  <c r="M4" i="4"/>
  <c r="M4" i="19" s="1"/>
  <c r="M6" i="6"/>
  <c r="D543" i="32" s="1"/>
  <c r="L5" i="5"/>
  <c r="M5" i="2"/>
  <c r="M14" i="2" s="1"/>
  <c r="M5" i="10"/>
  <c r="M14" i="10" s="1"/>
  <c r="M36" i="10" s="1"/>
  <c r="Z7" i="1"/>
  <c r="Z20" i="1"/>
  <c r="Z8" i="1"/>
  <c r="F48" i="4"/>
  <c r="I44" i="4"/>
  <c r="M31" i="1"/>
  <c r="H17" i="11" s="1"/>
  <c r="I20" i="4"/>
  <c r="M32" i="1"/>
  <c r="I3" i="35" s="1"/>
  <c r="K42" i="10"/>
  <c r="AJ40" i="1" s="1"/>
  <c r="J29" i="1"/>
  <c r="J31" i="1" s="1"/>
  <c r="E37" i="1"/>
  <c r="R7" i="21" s="1"/>
  <c r="K5" i="15" l="1"/>
  <c r="K13" i="15" s="1"/>
  <c r="N43" i="1"/>
  <c r="H255" i="11"/>
  <c r="H72" i="11"/>
  <c r="I4" i="35"/>
  <c r="J3" i="35" s="1"/>
  <c r="J4" i="35" s="1"/>
  <c r="D3" i="35"/>
  <c r="R56" i="21"/>
  <c r="C247" i="32"/>
  <c r="H435" i="32"/>
  <c r="R60" i="21"/>
  <c r="H445" i="32"/>
  <c r="D544" i="32"/>
  <c r="D583" i="32" s="1"/>
  <c r="D638" i="32" s="1"/>
  <c r="E543" i="32"/>
  <c r="E542" i="32"/>
  <c r="B31" i="21"/>
  <c r="B83" i="21" s="1"/>
  <c r="I31" i="21"/>
  <c r="I83" i="21" s="1"/>
  <c r="W119" i="21" s="1"/>
  <c r="P83" i="21" s="1"/>
  <c r="AD119" i="21" s="1"/>
  <c r="W83" i="21" s="1"/>
  <c r="R61" i="21"/>
  <c r="H446" i="32"/>
  <c r="R59" i="21"/>
  <c r="H444" i="32"/>
  <c r="L5" i="26"/>
  <c r="L8" i="26" s="1"/>
  <c r="D674" i="32"/>
  <c r="D113" i="32"/>
  <c r="K47" i="28"/>
  <c r="I13" i="6"/>
  <c r="J13" i="6" s="1"/>
  <c r="F3" i="30"/>
  <c r="F4" i="30" s="1"/>
  <c r="G3" i="30" s="1"/>
  <c r="G4" i="30" s="1"/>
  <c r="H3" i="30" s="1"/>
  <c r="H4" i="30" s="1"/>
  <c r="I3" i="30" s="1"/>
  <c r="I4" i="30" s="1"/>
  <c r="J3" i="30" s="1"/>
  <c r="J4" i="30" s="1"/>
  <c r="K3" i="30" s="1"/>
  <c r="K4" i="30" s="1"/>
  <c r="L3" i="30" s="1"/>
  <c r="L4" i="30" s="1"/>
  <c r="M3" i="30" s="1"/>
  <c r="M4" i="30" s="1"/>
  <c r="N3" i="30" s="1"/>
  <c r="N4" i="30" s="1"/>
  <c r="O3" i="30" s="1"/>
  <c r="O4" i="30" s="1"/>
  <c r="P3" i="30" s="1"/>
  <c r="P4" i="30" s="1"/>
  <c r="Q3" i="30" s="1"/>
  <c r="Q4" i="30" s="1"/>
  <c r="R3" i="30" s="1"/>
  <c r="R4" i="30" s="1"/>
  <c r="S3" i="30" s="1"/>
  <c r="S4" i="30" s="1"/>
  <c r="T3" i="30" s="1"/>
  <c r="T4" i="30" s="1"/>
  <c r="U3" i="30" s="1"/>
  <c r="U4" i="30" s="1"/>
  <c r="AB8" i="1"/>
  <c r="AB7" i="1"/>
  <c r="H15" i="19"/>
  <c r="H16" i="19" s="1"/>
  <c r="H17" i="19" s="1"/>
  <c r="H74" i="6"/>
  <c r="H67" i="11"/>
  <c r="H47" i="19"/>
  <c r="H48" i="19" s="1"/>
  <c r="H49" i="19" s="1"/>
  <c r="H26" i="19"/>
  <c r="BH6" i="26"/>
  <c r="N42" i="1"/>
  <c r="N41" i="1"/>
  <c r="N34" i="1"/>
  <c r="AH7" i="1"/>
  <c r="AH8" i="1"/>
  <c r="AA20" i="1"/>
  <c r="M16" i="6"/>
  <c r="M60" i="6" s="1"/>
  <c r="AD35" i="1"/>
  <c r="H3" i="21" s="1"/>
  <c r="H100" i="11"/>
  <c r="M45" i="1"/>
  <c r="R63" i="21" s="1"/>
  <c r="AA6" i="1"/>
  <c r="G31" i="10"/>
  <c r="G53" i="10" s="1"/>
  <c r="I143" i="14"/>
  <c r="I17" i="14"/>
  <c r="I53" i="14"/>
  <c r="I179" i="14"/>
  <c r="C48" i="1"/>
  <c r="P99" i="14"/>
  <c r="M35" i="1"/>
  <c r="I19" i="14"/>
  <c r="BD9" i="1"/>
  <c r="I18" i="14"/>
  <c r="BD8" i="1"/>
  <c r="I31" i="14"/>
  <c r="BD21" i="1"/>
  <c r="H57" i="11"/>
  <c r="P104" i="14"/>
  <c r="H22" i="11"/>
  <c r="N32" i="1"/>
  <c r="H39" i="16"/>
  <c r="L13" i="19"/>
  <c r="P7" i="14"/>
  <c r="L7" i="19"/>
  <c r="P6" i="14"/>
  <c r="L6" i="19"/>
  <c r="H39" i="6"/>
  <c r="H33" i="16"/>
  <c r="L5" i="17"/>
  <c r="M10" i="16"/>
  <c r="M54" i="16" s="1"/>
  <c r="N5" i="16"/>
  <c r="H40" i="6"/>
  <c r="H34" i="16"/>
  <c r="H38" i="6"/>
  <c r="H32" i="16"/>
  <c r="H41" i="6"/>
  <c r="H35" i="16"/>
  <c r="H218" i="11"/>
  <c r="H223" i="11" s="1"/>
  <c r="H228" i="11" s="1"/>
  <c r="H45" i="6"/>
  <c r="L17" i="4"/>
  <c r="M30" i="2" s="1"/>
  <c r="G25" i="10"/>
  <c r="G47" i="10" s="1"/>
  <c r="H25" i="6"/>
  <c r="H77" i="11"/>
  <c r="H62" i="11"/>
  <c r="R78" i="1"/>
  <c r="G23" i="10"/>
  <c r="G45" i="10" s="1"/>
  <c r="M5" i="4"/>
  <c r="Q4" i="14"/>
  <c r="L5" i="11"/>
  <c r="L14" i="11" s="1"/>
  <c r="L13" i="5"/>
  <c r="L231" i="11" s="1"/>
  <c r="M7" i="6"/>
  <c r="L6" i="5"/>
  <c r="M6" i="2"/>
  <c r="M6" i="10"/>
  <c r="L41" i="4"/>
  <c r="L16" i="4"/>
  <c r="L7" i="5"/>
  <c r="M8" i="6"/>
  <c r="M7" i="2"/>
  <c r="M7" i="10"/>
  <c r="L18" i="4"/>
  <c r="N5" i="6"/>
  <c r="M4" i="5"/>
  <c r="N4" i="10"/>
  <c r="N4" i="2"/>
  <c r="L44" i="4"/>
  <c r="L8" i="4" s="1"/>
  <c r="G48" i="4"/>
  <c r="H48" i="4"/>
  <c r="H22" i="4"/>
  <c r="I24" i="4"/>
  <c r="L20" i="4"/>
  <c r="I29" i="4"/>
  <c r="M38" i="1"/>
  <c r="O38" i="1" s="1"/>
  <c r="S38" i="1" s="1"/>
  <c r="I21" i="4"/>
  <c r="J27" i="1"/>
  <c r="K27" i="1" s="1"/>
  <c r="K29" i="1"/>
  <c r="K31" i="1"/>
  <c r="D38" i="1"/>
  <c r="Q8" i="21" s="1"/>
  <c r="N31" i="1"/>
  <c r="N68" i="1" l="1"/>
  <c r="S16" i="1"/>
  <c r="S15" i="1"/>
  <c r="L137" i="5"/>
  <c r="L138" i="5"/>
  <c r="D877" i="32"/>
  <c r="S61" i="21"/>
  <c r="I446" i="32"/>
  <c r="H73" i="11"/>
  <c r="H256" i="11"/>
  <c r="H261" i="11"/>
  <c r="L245" i="11"/>
  <c r="L235" i="11"/>
  <c r="M4" i="26"/>
  <c r="M5" i="26" s="1"/>
  <c r="D4" i="35"/>
  <c r="K3" i="35"/>
  <c r="K4" i="35" s="1"/>
  <c r="L3" i="35" s="1"/>
  <c r="L4" i="35" s="1"/>
  <c r="M3" i="35" s="1"/>
  <c r="M4" i="35" s="1"/>
  <c r="N3" i="35" s="1"/>
  <c r="N4" i="35" s="1"/>
  <c r="O3" i="35" s="1"/>
  <c r="O4" i="35" s="1"/>
  <c r="P3" i="35" s="1"/>
  <c r="P4" i="35" s="1"/>
  <c r="Q3" i="35" s="1"/>
  <c r="Q4" i="35" s="1"/>
  <c r="R3" i="35" s="1"/>
  <c r="R4" i="35" s="1"/>
  <c r="S3" i="35" s="1"/>
  <c r="S4" i="35" s="1"/>
  <c r="T3" i="35" s="1"/>
  <c r="T4" i="35" s="1"/>
  <c r="U3" i="35" s="1"/>
  <c r="U4" i="35" s="1"/>
  <c r="V3" i="35" s="1"/>
  <c r="V4" i="35" s="1"/>
  <c r="W3" i="35" s="1"/>
  <c r="W4" i="35" s="1"/>
  <c r="X3" i="35" s="1"/>
  <c r="X4" i="35" s="1"/>
  <c r="Q24" i="21"/>
  <c r="D69" i="32"/>
  <c r="H115" i="11"/>
  <c r="R57" i="21"/>
  <c r="H438" i="32"/>
  <c r="H111" i="11"/>
  <c r="I437" i="32"/>
  <c r="F543" i="32"/>
  <c r="E544" i="32"/>
  <c r="E583" i="32" s="1"/>
  <c r="E638" i="32" s="1"/>
  <c r="F542" i="32"/>
  <c r="S59" i="21"/>
  <c r="I444" i="32"/>
  <c r="D114" i="32"/>
  <c r="D153" i="32" s="1"/>
  <c r="D208" i="32" s="1"/>
  <c r="E113" i="32"/>
  <c r="E112" i="32"/>
  <c r="I32" i="21"/>
  <c r="I84" i="21" s="1"/>
  <c r="W120" i="21" s="1"/>
  <c r="P84" i="21" s="1"/>
  <c r="AD120" i="21" s="1"/>
  <c r="W84" i="21" s="1"/>
  <c r="B32" i="21"/>
  <c r="B84" i="21" s="1"/>
  <c r="S60" i="21"/>
  <c r="I445" i="32"/>
  <c r="D675" i="32"/>
  <c r="D714" i="32" s="1"/>
  <c r="D769" i="32" s="1"/>
  <c r="E674" i="32"/>
  <c r="E673" i="32"/>
  <c r="C273" i="32"/>
  <c r="C298" i="32" s="1"/>
  <c r="C324" i="32" s="1"/>
  <c r="C349" i="32" s="1"/>
  <c r="C248" i="32"/>
  <c r="S56" i="21"/>
  <c r="I435" i="32"/>
  <c r="M13" i="6"/>
  <c r="BE21" i="1"/>
  <c r="H216" i="14"/>
  <c r="H68" i="11"/>
  <c r="H80" i="6"/>
  <c r="H217" i="14"/>
  <c r="H20" i="19"/>
  <c r="H31" i="19"/>
  <c r="H27" i="19"/>
  <c r="H28" i="19" s="1"/>
  <c r="H29" i="19" s="1"/>
  <c r="BI6" i="26"/>
  <c r="O42" i="1"/>
  <c r="H953" i="32" s="1"/>
  <c r="L67" i="11"/>
  <c r="L101" i="5" s="1"/>
  <c r="D622" i="32" s="1"/>
  <c r="L72" i="11"/>
  <c r="L106" i="5" s="1"/>
  <c r="AE35" i="1"/>
  <c r="N37" i="1"/>
  <c r="H33" i="11"/>
  <c r="AB20" i="1"/>
  <c r="AH20" i="1"/>
  <c r="N45" i="1"/>
  <c r="S63" i="21" s="1"/>
  <c r="H93" i="11"/>
  <c r="AB6" i="1"/>
  <c r="AH6" i="1"/>
  <c r="H23" i="11"/>
  <c r="H101" i="11"/>
  <c r="P88" i="14"/>
  <c r="O41" i="1"/>
  <c r="H952" i="32" s="1"/>
  <c r="I71" i="14"/>
  <c r="I35" i="14"/>
  <c r="J143" i="14"/>
  <c r="I197" i="14"/>
  <c r="J179" i="14"/>
  <c r="J17" i="14"/>
  <c r="J53" i="14"/>
  <c r="I161" i="14"/>
  <c r="C27" i="22"/>
  <c r="N74" i="1"/>
  <c r="D75" i="32" s="1"/>
  <c r="N73" i="1"/>
  <c r="N77" i="1"/>
  <c r="D77" i="32" s="1"/>
  <c r="C49" i="1"/>
  <c r="H37" i="11"/>
  <c r="L37" i="11" s="1"/>
  <c r="L81" i="5" s="1"/>
  <c r="N35" i="1"/>
  <c r="E38" i="1"/>
  <c r="R8" i="21" s="1"/>
  <c r="N39" i="1"/>
  <c r="L6" i="11"/>
  <c r="K6" i="15"/>
  <c r="L7" i="11"/>
  <c r="K7" i="15"/>
  <c r="M4" i="11"/>
  <c r="L4" i="15"/>
  <c r="H18" i="19"/>
  <c r="H50" i="19"/>
  <c r="I67" i="14"/>
  <c r="I157" i="14"/>
  <c r="I144" i="14"/>
  <c r="I145" i="14"/>
  <c r="I55" i="14"/>
  <c r="L87" i="11"/>
  <c r="I54" i="14"/>
  <c r="J18" i="14"/>
  <c r="J54" i="14" s="1"/>
  <c r="BE8" i="1"/>
  <c r="J19" i="14"/>
  <c r="J55" i="14" s="1"/>
  <c r="BE9" i="1"/>
  <c r="L57" i="11"/>
  <c r="M33" i="1"/>
  <c r="P8" i="14"/>
  <c r="L8" i="19"/>
  <c r="M6" i="4"/>
  <c r="N7" i="6" s="1"/>
  <c r="M5" i="19"/>
  <c r="M23" i="2"/>
  <c r="M24" i="2"/>
  <c r="M4" i="17"/>
  <c r="L4" i="18" s="1"/>
  <c r="N6" i="16"/>
  <c r="K5" i="18"/>
  <c r="K8" i="18" s="1"/>
  <c r="L8" i="17"/>
  <c r="M21" i="2"/>
  <c r="M25" i="2"/>
  <c r="M22" i="2"/>
  <c r="O31" i="1"/>
  <c r="H18" i="11"/>
  <c r="H63" i="11"/>
  <c r="H52" i="11"/>
  <c r="H153" i="11"/>
  <c r="O65" i="1"/>
  <c r="P65" i="1" s="1"/>
  <c r="N63" i="1"/>
  <c r="N64" i="1"/>
  <c r="O64" i="1" s="1"/>
  <c r="P64" i="1" s="1"/>
  <c r="O72" i="1"/>
  <c r="R28" i="21" s="1"/>
  <c r="O69" i="1"/>
  <c r="R25" i="21" s="1"/>
  <c r="O68" i="1"/>
  <c r="R24" i="21" s="1"/>
  <c r="O76" i="1"/>
  <c r="R29" i="21" s="1"/>
  <c r="O71" i="1"/>
  <c r="R27" i="21" s="1"/>
  <c r="O70" i="1"/>
  <c r="R26" i="21" s="1"/>
  <c r="N5" i="10"/>
  <c r="N14" i="10" s="1"/>
  <c r="N36" i="10" s="1"/>
  <c r="N4" i="4"/>
  <c r="M7" i="4"/>
  <c r="M14" i="4"/>
  <c r="Q5" i="14"/>
  <c r="Q15" i="14" s="1"/>
  <c r="N6" i="6"/>
  <c r="N13" i="6" s="1"/>
  <c r="M5" i="5"/>
  <c r="N5" i="2"/>
  <c r="N14" i="2" s="1"/>
  <c r="J31" i="14"/>
  <c r="J67" i="14" s="1"/>
  <c r="L17" i="11"/>
  <c r="L69" i="5" s="1"/>
  <c r="L97" i="11"/>
  <c r="M9" i="6"/>
  <c r="M8" i="2"/>
  <c r="L8" i="5"/>
  <c r="M8" i="10"/>
  <c r="I35" i="4"/>
  <c r="I22" i="4"/>
  <c r="L21" i="4"/>
  <c r="H31" i="4"/>
  <c r="L29" i="4"/>
  <c r="L24" i="4"/>
  <c r="M137" i="5" l="1"/>
  <c r="M138" i="5"/>
  <c r="J953" i="32"/>
  <c r="H964" i="32"/>
  <c r="M953" i="32"/>
  <c r="H963" i="32"/>
  <c r="J952" i="32"/>
  <c r="M952" i="32"/>
  <c r="E877" i="32"/>
  <c r="C804" i="32"/>
  <c r="C839" i="32" s="1"/>
  <c r="C375" i="32"/>
  <c r="C402" i="32" s="1"/>
  <c r="M8" i="26"/>
  <c r="N4" i="26"/>
  <c r="N5" i="26" s="1"/>
  <c r="F544" i="32"/>
  <c r="F583" i="32" s="1"/>
  <c r="F638" i="32" s="1"/>
  <c r="G542" i="32"/>
  <c r="G543" i="32"/>
  <c r="H116" i="11"/>
  <c r="S57" i="21"/>
  <c r="I438" i="32"/>
  <c r="F674" i="32"/>
  <c r="E675" i="32"/>
  <c r="E714" i="32" s="1"/>
  <c r="E769" i="32" s="1"/>
  <c r="F673" i="32"/>
  <c r="E114" i="32"/>
  <c r="E153" i="32" s="1"/>
  <c r="E208" i="32" s="1"/>
  <c r="F112" i="32"/>
  <c r="F113" i="32"/>
  <c r="D74" i="32"/>
  <c r="C249" i="32"/>
  <c r="C274" i="32"/>
  <c r="C299" i="32" s="1"/>
  <c r="C325" i="32" s="1"/>
  <c r="C350" i="32" s="1"/>
  <c r="R67" i="21"/>
  <c r="H436" i="32"/>
  <c r="B33" i="21"/>
  <c r="B85" i="21" s="1"/>
  <c r="I33" i="21"/>
  <c r="I85" i="21" s="1"/>
  <c r="W121" i="21" s="1"/>
  <c r="P85" i="21" s="1"/>
  <c r="AD121" i="21" s="1"/>
  <c r="W85" i="21" s="1"/>
  <c r="H126" i="11"/>
  <c r="I440" i="32"/>
  <c r="AF35" i="1"/>
  <c r="J3" i="21" s="1"/>
  <c r="I3" i="21"/>
  <c r="H215" i="14"/>
  <c r="BJ6" i="26"/>
  <c r="L250" i="11"/>
  <c r="H48" i="11"/>
  <c r="H276" i="11"/>
  <c r="H94" i="11"/>
  <c r="H281" i="11"/>
  <c r="N16" i="6"/>
  <c r="N60" i="6" s="1"/>
  <c r="H105" i="11"/>
  <c r="N33" i="1"/>
  <c r="H27" i="11"/>
  <c r="L27" i="11" s="1"/>
  <c r="H58" i="11"/>
  <c r="L58" i="11" s="1"/>
  <c r="H38" i="11"/>
  <c r="L38" i="11" s="1"/>
  <c r="C50" i="1"/>
  <c r="O35" i="1"/>
  <c r="O39" i="1"/>
  <c r="S39" i="1" s="1"/>
  <c r="I140" i="11" s="1"/>
  <c r="L140" i="11" s="1"/>
  <c r="M54" i="6" s="1"/>
  <c r="H85" i="11"/>
  <c r="AI3" i="1"/>
  <c r="H229" i="14"/>
  <c r="E39" i="1"/>
  <c r="L8" i="11"/>
  <c r="K8" i="15"/>
  <c r="M13" i="5"/>
  <c r="M231" i="11" s="1"/>
  <c r="L5" i="15"/>
  <c r="L13" i="15" s="1"/>
  <c r="L22" i="4"/>
  <c r="L88" i="11"/>
  <c r="I181" i="14"/>
  <c r="I180" i="14"/>
  <c r="I193" i="14"/>
  <c r="I37" i="14"/>
  <c r="I36" i="14"/>
  <c r="J145" i="14"/>
  <c r="I163" i="14" s="1"/>
  <c r="I199" i="14" s="1"/>
  <c r="J144" i="14"/>
  <c r="J180" i="14" s="1"/>
  <c r="S33" i="1"/>
  <c r="M36" i="1"/>
  <c r="L90" i="5"/>
  <c r="N6" i="2"/>
  <c r="M6" i="5"/>
  <c r="N6" i="10"/>
  <c r="M13" i="19"/>
  <c r="Q7" i="14"/>
  <c r="M7" i="19"/>
  <c r="R4" i="14"/>
  <c r="N4" i="19"/>
  <c r="Q6" i="14"/>
  <c r="M6" i="19"/>
  <c r="N10" i="16"/>
  <c r="N54" i="16" s="1"/>
  <c r="M5" i="17"/>
  <c r="O5" i="16"/>
  <c r="M17" i="4"/>
  <c r="N30" i="2" s="1"/>
  <c r="M24" i="4"/>
  <c r="M16" i="4"/>
  <c r="M18" i="4"/>
  <c r="M44" i="4"/>
  <c r="M8" i="4" s="1"/>
  <c r="M29" i="4"/>
  <c r="I36" i="4"/>
  <c r="I37" i="4" s="1"/>
  <c r="H53" i="11"/>
  <c r="H154" i="11"/>
  <c r="L145" i="11"/>
  <c r="L214" i="11"/>
  <c r="O63" i="1"/>
  <c r="O66" i="1" s="1"/>
  <c r="N66" i="1"/>
  <c r="O4" i="2"/>
  <c r="O4" i="10"/>
  <c r="O5" i="6"/>
  <c r="N4" i="5"/>
  <c r="P70" i="1"/>
  <c r="C71" i="32" s="1"/>
  <c r="F24" i="10"/>
  <c r="F25" i="10"/>
  <c r="P71" i="1"/>
  <c r="F30" i="10"/>
  <c r="P76" i="1"/>
  <c r="F27" i="10"/>
  <c r="F28" i="10"/>
  <c r="F22" i="10"/>
  <c r="P68" i="1"/>
  <c r="C69" i="32" s="1"/>
  <c r="P69" i="1"/>
  <c r="C70" i="32" s="1"/>
  <c r="F23" i="10"/>
  <c r="F26" i="10"/>
  <c r="P72" i="1"/>
  <c r="C73" i="32" s="1"/>
  <c r="N8" i="6"/>
  <c r="N7" i="10"/>
  <c r="N7" i="2"/>
  <c r="N5" i="4"/>
  <c r="M7" i="5"/>
  <c r="M20" i="4"/>
  <c r="M21" i="4"/>
  <c r="M41" i="4"/>
  <c r="M5" i="11"/>
  <c r="M14" i="11" s="1"/>
  <c r="I49" i="14"/>
  <c r="J157" i="14"/>
  <c r="Q104" i="14"/>
  <c r="Q99" i="14"/>
  <c r="M22" i="4"/>
  <c r="N21" i="6" s="1"/>
  <c r="L18" i="11"/>
  <c r="M35" i="4"/>
  <c r="H37" i="4"/>
  <c r="L35" i="4"/>
  <c r="L47" i="4"/>
  <c r="L11" i="4" s="1"/>
  <c r="L45" i="4"/>
  <c r="L9" i="4" s="1"/>
  <c r="L46" i="4"/>
  <c r="L10" i="4" s="1"/>
  <c r="L10" i="19" s="1"/>
  <c r="L25" i="4"/>
  <c r="L27" i="4"/>
  <c r="L26" i="4"/>
  <c r="H23" i="4"/>
  <c r="H978" i="32" l="1"/>
  <c r="M964" i="32"/>
  <c r="J964" i="32"/>
  <c r="H977" i="32"/>
  <c r="J963" i="32"/>
  <c r="M963" i="32"/>
  <c r="F877" i="32"/>
  <c r="C805" i="32"/>
  <c r="C840" i="32" s="1"/>
  <c r="O4" i="26"/>
  <c r="O5" i="26" s="1"/>
  <c r="N8" i="26"/>
  <c r="C376" i="32"/>
  <c r="C403" i="32" s="1"/>
  <c r="M245" i="11"/>
  <c r="M235" i="11"/>
  <c r="C250" i="32"/>
  <c r="C275" i="32"/>
  <c r="C300" i="32" s="1"/>
  <c r="C326" i="32" s="1"/>
  <c r="C351" i="32" s="1"/>
  <c r="N19" i="10"/>
  <c r="H75" i="6"/>
  <c r="R9" i="21"/>
  <c r="AG35" i="1"/>
  <c r="K3" i="21" s="1"/>
  <c r="F114" i="32"/>
  <c r="F153" i="32" s="1"/>
  <c r="F208" i="32" s="1"/>
  <c r="G112" i="32"/>
  <c r="G113" i="32"/>
  <c r="S67" i="21"/>
  <c r="I436" i="32"/>
  <c r="I34" i="21"/>
  <c r="I86" i="21" s="1"/>
  <c r="W122" i="21" s="1"/>
  <c r="P86" i="21" s="1"/>
  <c r="AD122" i="21" s="1"/>
  <c r="W86" i="21" s="1"/>
  <c r="B34" i="21"/>
  <c r="B86" i="21" s="1"/>
  <c r="R68" i="21"/>
  <c r="H439" i="32"/>
  <c r="G544" i="32"/>
  <c r="G583" i="32" s="1"/>
  <c r="G638" i="32" s="1"/>
  <c r="H543" i="32"/>
  <c r="H542" i="32"/>
  <c r="G94" i="1"/>
  <c r="C72" i="32"/>
  <c r="F675" i="32"/>
  <c r="F714" i="32" s="1"/>
  <c r="F769" i="32" s="1"/>
  <c r="G674" i="32"/>
  <c r="G673" i="32"/>
  <c r="V67" i="21"/>
  <c r="G436" i="32"/>
  <c r="T36" i="1"/>
  <c r="W68" i="21" s="1"/>
  <c r="M79" i="6"/>
  <c r="M74" i="6"/>
  <c r="H99" i="17"/>
  <c r="H34" i="19"/>
  <c r="H104" i="17"/>
  <c r="BK6" i="26"/>
  <c r="H109" i="5"/>
  <c r="H104" i="5"/>
  <c r="M84" i="6"/>
  <c r="M67" i="11"/>
  <c r="M101" i="5" s="1"/>
  <c r="M72" i="11"/>
  <c r="M106" i="5" s="1"/>
  <c r="N41" i="6"/>
  <c r="Q88" i="14"/>
  <c r="H42" i="11"/>
  <c r="H120" i="11"/>
  <c r="M34" i="1"/>
  <c r="H437" i="32" s="1"/>
  <c r="H106" i="11"/>
  <c r="L106" i="11" s="1"/>
  <c r="H28" i="11"/>
  <c r="L28" i="11" s="1"/>
  <c r="L76" i="5" s="1"/>
  <c r="I30" i="4"/>
  <c r="N36" i="1"/>
  <c r="L75" i="5"/>
  <c r="N31" i="10"/>
  <c r="M31" i="10"/>
  <c r="M37" i="11"/>
  <c r="M81" i="5" s="1"/>
  <c r="M27" i="11"/>
  <c r="M75" i="5" s="1"/>
  <c r="M44" i="6"/>
  <c r="C51" i="1"/>
  <c r="L141" i="11"/>
  <c r="L48" i="5" s="1"/>
  <c r="M25" i="6"/>
  <c r="H23" i="19"/>
  <c r="H55" i="19" s="1"/>
  <c r="F39" i="1"/>
  <c r="S9" i="21" s="1"/>
  <c r="N44" i="1"/>
  <c r="H99" i="5"/>
  <c r="H94" i="17"/>
  <c r="I42" i="4"/>
  <c r="H114" i="5"/>
  <c r="H109" i="17"/>
  <c r="M6" i="11"/>
  <c r="L6" i="15"/>
  <c r="M7" i="11"/>
  <c r="L7" i="15"/>
  <c r="N4" i="11"/>
  <c r="M4" i="15"/>
  <c r="M41" i="6"/>
  <c r="L227" i="11"/>
  <c r="M26" i="6" s="1"/>
  <c r="I72" i="14"/>
  <c r="I73" i="14"/>
  <c r="J181" i="14"/>
  <c r="I162" i="14"/>
  <c r="L39" i="11"/>
  <c r="M36" i="11" s="1"/>
  <c r="L82" i="5"/>
  <c r="L61" i="19"/>
  <c r="L84" i="11"/>
  <c r="L85" i="11" s="1"/>
  <c r="L86" i="11" s="1"/>
  <c r="L91" i="5"/>
  <c r="M57" i="11"/>
  <c r="M90" i="5" s="1"/>
  <c r="M61" i="19" s="1"/>
  <c r="M87" i="11"/>
  <c r="R5" i="14"/>
  <c r="R15" i="14" s="1"/>
  <c r="N5" i="19"/>
  <c r="P9" i="14"/>
  <c r="L9" i="19"/>
  <c r="P11" i="14"/>
  <c r="L11" i="19"/>
  <c r="Q8" i="14"/>
  <c r="M8" i="19"/>
  <c r="M46" i="4"/>
  <c r="M10" i="4" s="1"/>
  <c r="N10" i="2" s="1"/>
  <c r="M45" i="4"/>
  <c r="M9" i="4" s="1"/>
  <c r="M26" i="4"/>
  <c r="M47" i="4"/>
  <c r="M11" i="4" s="1"/>
  <c r="M27" i="4"/>
  <c r="M25" i="4"/>
  <c r="P10" i="14"/>
  <c r="M7" i="16"/>
  <c r="O6" i="16"/>
  <c r="N4" i="17"/>
  <c r="M4" i="18" s="1"/>
  <c r="N21" i="2"/>
  <c r="M8" i="17"/>
  <c r="L5" i="18"/>
  <c r="L8" i="18" s="1"/>
  <c r="N22" i="2"/>
  <c r="N25" i="2"/>
  <c r="N23" i="2"/>
  <c r="N24" i="2"/>
  <c r="N8" i="2"/>
  <c r="N25" i="6"/>
  <c r="L19" i="11"/>
  <c r="L70" i="5"/>
  <c r="D618" i="32" s="1"/>
  <c r="N8" i="10"/>
  <c r="N9" i="6"/>
  <c r="M8" i="5"/>
  <c r="L36" i="4"/>
  <c r="M36" i="4"/>
  <c r="P63" i="1"/>
  <c r="P66" i="1" s="1"/>
  <c r="L157" i="11"/>
  <c r="N7" i="4"/>
  <c r="N6" i="4"/>
  <c r="O5" i="2"/>
  <c r="O14" i="2" s="1"/>
  <c r="P78" i="1"/>
  <c r="O4" i="4"/>
  <c r="N5" i="5"/>
  <c r="O6" i="6"/>
  <c r="O13" i="6" s="1"/>
  <c r="N14" i="4"/>
  <c r="O5" i="10"/>
  <c r="O14" i="10" s="1"/>
  <c r="I175" i="14"/>
  <c r="J193" i="14"/>
  <c r="I85" i="14"/>
  <c r="F48" i="10"/>
  <c r="N26" i="10"/>
  <c r="M26" i="10"/>
  <c r="N23" i="10"/>
  <c r="F45" i="10"/>
  <c r="M23" i="10"/>
  <c r="N22" i="10"/>
  <c r="M22" i="10"/>
  <c r="F44" i="10"/>
  <c r="F50" i="10"/>
  <c r="M28" i="10"/>
  <c r="N28" i="10"/>
  <c r="M27" i="10"/>
  <c r="N27" i="10"/>
  <c r="F49" i="10"/>
  <c r="F53" i="10"/>
  <c r="N30" i="10"/>
  <c r="F52" i="10"/>
  <c r="M30" i="10"/>
  <c r="F47" i="10"/>
  <c r="N25" i="10"/>
  <c r="M25" i="10"/>
  <c r="F46" i="10"/>
  <c r="N24" i="10"/>
  <c r="M24" i="10"/>
  <c r="M17" i="11"/>
  <c r="M97" i="11"/>
  <c r="L37" i="4"/>
  <c r="M11" i="6"/>
  <c r="L10" i="5"/>
  <c r="M10" i="10"/>
  <c r="M10" i="2"/>
  <c r="M10" i="6"/>
  <c r="M9" i="2"/>
  <c r="L9" i="5"/>
  <c r="M9" i="10"/>
  <c r="M12" i="6"/>
  <c r="L11" i="5"/>
  <c r="M11" i="10"/>
  <c r="M11" i="2"/>
  <c r="M37" i="4"/>
  <c r="I23" i="4"/>
  <c r="N137" i="5" l="1"/>
  <c r="N138" i="5"/>
  <c r="M79" i="16"/>
  <c r="M80" i="16" s="1"/>
  <c r="M977" i="32"/>
  <c r="J977" i="32"/>
  <c r="M978" i="32"/>
  <c r="J978" i="32"/>
  <c r="C806" i="32"/>
  <c r="C841" i="32" s="1"/>
  <c r="G877" i="32"/>
  <c r="C377" i="32"/>
  <c r="C404" i="32" s="1"/>
  <c r="P4" i="26"/>
  <c r="P5" i="26" s="1"/>
  <c r="O8" i="26"/>
  <c r="G95" i="1"/>
  <c r="M63" i="6"/>
  <c r="D566" i="32"/>
  <c r="L35" i="5"/>
  <c r="D610" i="32" s="1"/>
  <c r="D573" i="32"/>
  <c r="S62" i="21"/>
  <c r="I447" i="32"/>
  <c r="L195" i="11"/>
  <c r="D572" i="32"/>
  <c r="H544" i="32"/>
  <c r="H583" i="32" s="1"/>
  <c r="H638" i="32" s="1"/>
  <c r="I542" i="32"/>
  <c r="I543" i="32"/>
  <c r="L19" i="5"/>
  <c r="L20" i="5"/>
  <c r="D601" i="32" s="1"/>
  <c r="D562" i="32"/>
  <c r="G675" i="32"/>
  <c r="G714" i="32" s="1"/>
  <c r="G769" i="32" s="1"/>
  <c r="H674" i="32"/>
  <c r="H673" i="32"/>
  <c r="L80" i="5"/>
  <c r="AH35" i="1"/>
  <c r="L3" i="21" s="1"/>
  <c r="O36" i="1"/>
  <c r="S68" i="21"/>
  <c r="I439" i="32"/>
  <c r="G114" i="32"/>
  <c r="G153" i="32" s="1"/>
  <c r="G208" i="32" s="1"/>
  <c r="H113" i="32"/>
  <c r="H112" i="32"/>
  <c r="I35" i="21"/>
  <c r="I87" i="21" s="1"/>
  <c r="W123" i="21" s="1"/>
  <c r="P87" i="21" s="1"/>
  <c r="AD123" i="21" s="1"/>
  <c r="W87" i="21" s="1"/>
  <c r="B35" i="21"/>
  <c r="B87" i="21" s="1"/>
  <c r="C276" i="32"/>
  <c r="C301" i="32" s="1"/>
  <c r="C327" i="32" s="1"/>
  <c r="C352" i="32" s="1"/>
  <c r="C251" i="32"/>
  <c r="M195" i="11"/>
  <c r="M35" i="5"/>
  <c r="BL6" i="26"/>
  <c r="K10" i="15"/>
  <c r="M250" i="11"/>
  <c r="L21" i="5"/>
  <c r="O16" i="6"/>
  <c r="O60" i="6" s="1"/>
  <c r="L107" i="11"/>
  <c r="M104" i="11" s="1"/>
  <c r="L42" i="5"/>
  <c r="O34" i="1"/>
  <c r="S34" i="1" s="1"/>
  <c r="G437" i="32" s="1"/>
  <c r="H32" i="11"/>
  <c r="M37" i="1"/>
  <c r="H440" i="32" s="1"/>
  <c r="H110" i="11"/>
  <c r="L111" i="11" s="1"/>
  <c r="L30" i="4"/>
  <c r="M30" i="4"/>
  <c r="I31" i="4"/>
  <c r="H43" i="11"/>
  <c r="H121" i="11"/>
  <c r="L121" i="11" s="1"/>
  <c r="L29" i="11"/>
  <c r="M26" i="11" s="1"/>
  <c r="M105" i="11" s="1"/>
  <c r="N48" i="6" s="1"/>
  <c r="L74" i="5"/>
  <c r="M140" i="11"/>
  <c r="M38" i="11"/>
  <c r="M39" i="11" s="1"/>
  <c r="N36" i="11" s="1"/>
  <c r="O36" i="10"/>
  <c r="L63" i="19"/>
  <c r="L142" i="11"/>
  <c r="M139" i="11" s="1"/>
  <c r="C52" i="1"/>
  <c r="R99" i="14"/>
  <c r="N51" i="4"/>
  <c r="O44" i="1"/>
  <c r="H52" i="19" s="1"/>
  <c r="H78" i="11"/>
  <c r="H286" i="11" s="1"/>
  <c r="M50" i="4"/>
  <c r="L42" i="4"/>
  <c r="I43" i="4"/>
  <c r="M48" i="4"/>
  <c r="L48" i="4"/>
  <c r="M53" i="4"/>
  <c r="M54" i="4"/>
  <c r="L54" i="4"/>
  <c r="M55" i="4"/>
  <c r="L52" i="4"/>
  <c r="L50" i="4"/>
  <c r="M42" i="4"/>
  <c r="L53" i="4"/>
  <c r="M51" i="4"/>
  <c r="L51" i="4"/>
  <c r="M52" i="4"/>
  <c r="L55" i="4"/>
  <c r="L9" i="11"/>
  <c r="K9" i="15"/>
  <c r="M8" i="11"/>
  <c r="L8" i="15"/>
  <c r="N13" i="5"/>
  <c r="N231" i="11" s="1"/>
  <c r="M5" i="15"/>
  <c r="M13" i="15" s="1"/>
  <c r="L11" i="11"/>
  <c r="K11" i="15"/>
  <c r="L228" i="11"/>
  <c r="L229" i="11" s="1"/>
  <c r="K23" i="15" s="1"/>
  <c r="D646" i="32" s="1"/>
  <c r="I198" i="14"/>
  <c r="L38" i="4"/>
  <c r="L39" i="4" s="1"/>
  <c r="L131" i="11" s="1"/>
  <c r="L62" i="19"/>
  <c r="L89" i="5"/>
  <c r="M88" i="11"/>
  <c r="L137" i="11"/>
  <c r="M134" i="11" s="1"/>
  <c r="R104" i="14"/>
  <c r="N17" i="4"/>
  <c r="O21" i="2" s="1"/>
  <c r="N13" i="19"/>
  <c r="N11" i="6"/>
  <c r="N10" i="10"/>
  <c r="M10" i="5"/>
  <c r="R6" i="14"/>
  <c r="N6" i="19"/>
  <c r="Q9" i="14"/>
  <c r="M9" i="19"/>
  <c r="R7" i="14"/>
  <c r="N7" i="19"/>
  <c r="S4" i="14"/>
  <c r="O4" i="19"/>
  <c r="Q10" i="14"/>
  <c r="M10" i="19"/>
  <c r="N9" i="10"/>
  <c r="N10" i="6"/>
  <c r="Q11" i="14"/>
  <c r="M11" i="19"/>
  <c r="N18" i="4"/>
  <c r="N50" i="4"/>
  <c r="M11" i="5"/>
  <c r="N41" i="4"/>
  <c r="N11" i="2"/>
  <c r="N12" i="6"/>
  <c r="N9" i="2"/>
  <c r="N11" i="10"/>
  <c r="M9" i="5"/>
  <c r="N24" i="4"/>
  <c r="N44" i="4"/>
  <c r="N8" i="4" s="1"/>
  <c r="N21" i="4"/>
  <c r="N37" i="4"/>
  <c r="N38" i="4" s="1"/>
  <c r="N39" i="4" s="1"/>
  <c r="P5" i="16"/>
  <c r="O10" i="16"/>
  <c r="O54" i="16" s="1"/>
  <c r="N5" i="17"/>
  <c r="L6" i="17"/>
  <c r="N7" i="16"/>
  <c r="N30" i="4"/>
  <c r="N48" i="4"/>
  <c r="O7" i="2"/>
  <c r="N7" i="5"/>
  <c r="N42" i="4"/>
  <c r="P4" i="10"/>
  <c r="N16" i="4"/>
  <c r="N20" i="4"/>
  <c r="O4" i="5"/>
  <c r="P4" i="2"/>
  <c r="N36" i="4"/>
  <c r="P5" i="6"/>
  <c r="O5" i="4"/>
  <c r="N35" i="4"/>
  <c r="N29" i="4"/>
  <c r="M16" i="11"/>
  <c r="M18" i="11" s="1"/>
  <c r="K31" i="15"/>
  <c r="D652" i="32" s="1"/>
  <c r="L10" i="11"/>
  <c r="M30" i="6"/>
  <c r="D553" i="32" s="1"/>
  <c r="L26" i="5"/>
  <c r="D593" i="32" s="1"/>
  <c r="N30" i="6"/>
  <c r="M26" i="5"/>
  <c r="M27" i="6"/>
  <c r="D551" i="32" s="1"/>
  <c r="L23" i="5"/>
  <c r="D591" i="32" s="1"/>
  <c r="N27" i="6"/>
  <c r="M23" i="5"/>
  <c r="M29" i="6"/>
  <c r="D555" i="32" s="1"/>
  <c r="L25" i="5"/>
  <c r="D595" i="32" s="1"/>
  <c r="M28" i="6"/>
  <c r="D552" i="32" s="1"/>
  <c r="L24" i="5"/>
  <c r="D592" i="32" s="1"/>
  <c r="N29" i="6"/>
  <c r="M25" i="5"/>
  <c r="N28" i="6"/>
  <c r="M24" i="5"/>
  <c r="L68" i="5"/>
  <c r="M69" i="5"/>
  <c r="O7" i="10"/>
  <c r="O8" i="6"/>
  <c r="N6" i="5"/>
  <c r="O6" i="2"/>
  <c r="O7" i="6"/>
  <c r="O6" i="10"/>
  <c r="M35" i="6"/>
  <c r="L185" i="11"/>
  <c r="N35" i="6"/>
  <c r="M185" i="11"/>
  <c r="L190" i="11"/>
  <c r="M36" i="6"/>
  <c r="D556" i="32" s="1"/>
  <c r="N36" i="6"/>
  <c r="M190" i="11"/>
  <c r="N32" i="6"/>
  <c r="M170" i="11"/>
  <c r="M32" i="6"/>
  <c r="L170" i="11"/>
  <c r="N33" i="6"/>
  <c r="M175" i="11"/>
  <c r="M33" i="6"/>
  <c r="L175" i="11"/>
  <c r="L166" i="11"/>
  <c r="M31" i="6"/>
  <c r="D554" i="32" s="1"/>
  <c r="N31" i="6"/>
  <c r="M166" i="11"/>
  <c r="N22" i="4"/>
  <c r="N53" i="4"/>
  <c r="N52" i="4"/>
  <c r="N54" i="4"/>
  <c r="N55" i="4"/>
  <c r="N5" i="11"/>
  <c r="N14" i="11" s="1"/>
  <c r="M145" i="11"/>
  <c r="M214" i="11"/>
  <c r="I211" i="14"/>
  <c r="M38" i="4"/>
  <c r="M39" i="4" s="1"/>
  <c r="M23" i="4"/>
  <c r="L23" i="4"/>
  <c r="N23" i="4"/>
  <c r="L45" i="19" l="1"/>
  <c r="M42" i="19" s="1"/>
  <c r="L28" i="19"/>
  <c r="H675" i="32"/>
  <c r="H714" i="32" s="1"/>
  <c r="H769" i="32" s="1"/>
  <c r="C807" i="32"/>
  <c r="C842" i="32" s="1"/>
  <c r="H877" i="32"/>
  <c r="I674" i="32"/>
  <c r="Q4" i="26"/>
  <c r="Q5" i="26" s="1"/>
  <c r="P8" i="26"/>
  <c r="C101" i="21"/>
  <c r="C238" i="32"/>
  <c r="C965" i="32" s="1"/>
  <c r="C378" i="32"/>
  <c r="C405" i="32" s="1"/>
  <c r="T37" i="1"/>
  <c r="S36" i="1"/>
  <c r="N245" i="11"/>
  <c r="N235" i="11"/>
  <c r="C252" i="32"/>
  <c r="C277" i="32"/>
  <c r="C302" i="32" s="1"/>
  <c r="C328" i="32" s="1"/>
  <c r="C353" i="32" s="1"/>
  <c r="I544" i="32"/>
  <c r="I583" i="32" s="1"/>
  <c r="I638" i="32" s="1"/>
  <c r="J542" i="32"/>
  <c r="J543" i="32"/>
  <c r="M12" i="10"/>
  <c r="P12" i="14" s="1"/>
  <c r="P182" i="14" s="1"/>
  <c r="H114" i="32"/>
  <c r="H153" i="32" s="1"/>
  <c r="H208" i="32" s="1"/>
  <c r="I113" i="32"/>
  <c r="I112" i="32"/>
  <c r="D589" i="32"/>
  <c r="O31" i="10"/>
  <c r="O36" i="6" s="1"/>
  <c r="O21" i="6"/>
  <c r="B36" i="21"/>
  <c r="B88" i="21" s="1"/>
  <c r="I36" i="21"/>
  <c r="I88" i="21" s="1"/>
  <c r="W124" i="21" s="1"/>
  <c r="P88" i="21" s="1"/>
  <c r="AD124" i="21" s="1"/>
  <c r="W88" i="21" s="1"/>
  <c r="O52" i="10"/>
  <c r="L196" i="11"/>
  <c r="L197" i="11" s="1"/>
  <c r="M194" i="11" s="1"/>
  <c r="M196" i="11" s="1"/>
  <c r="M197" i="11" s="1"/>
  <c r="N194" i="11" s="1"/>
  <c r="BM6" i="26"/>
  <c r="L246" i="11"/>
  <c r="L251" i="11"/>
  <c r="L252" i="11" s="1"/>
  <c r="M249" i="11" s="1"/>
  <c r="M251" i="11" s="1"/>
  <c r="M252" i="11" s="1"/>
  <c r="N249" i="11" s="1"/>
  <c r="M85" i="6"/>
  <c r="N67" i="11"/>
  <c r="N101" i="5" s="1"/>
  <c r="N72" i="11"/>
  <c r="N106" i="5" s="1"/>
  <c r="M106" i="11"/>
  <c r="M107" i="11" s="1"/>
  <c r="N104" i="11" s="1"/>
  <c r="H47" i="11"/>
  <c r="H125" i="11"/>
  <c r="O37" i="1"/>
  <c r="S37" i="1" s="1"/>
  <c r="G440" i="32" s="1"/>
  <c r="L32" i="11"/>
  <c r="M32" i="11"/>
  <c r="M78" i="5" s="1"/>
  <c r="L112" i="11"/>
  <c r="M109" i="11" s="1"/>
  <c r="L43" i="5"/>
  <c r="M28" i="11"/>
  <c r="M29" i="11" s="1"/>
  <c r="N26" i="11" s="1"/>
  <c r="N105" i="11" s="1"/>
  <c r="O48" i="6" s="1"/>
  <c r="M31" i="4"/>
  <c r="L31" i="4"/>
  <c r="L122" i="11"/>
  <c r="M119" i="11" s="1"/>
  <c r="L45" i="5"/>
  <c r="N31" i="4"/>
  <c r="M82" i="5"/>
  <c r="N32" i="11"/>
  <c r="N78" i="5" s="1"/>
  <c r="N27" i="11"/>
  <c r="R88" i="14"/>
  <c r="M52" i="10"/>
  <c r="C53" i="1"/>
  <c r="M43" i="4"/>
  <c r="L43" i="4"/>
  <c r="O23" i="10"/>
  <c r="O28" i="6" s="1"/>
  <c r="N43" i="4"/>
  <c r="M10" i="11"/>
  <c r="L10" i="15"/>
  <c r="O4" i="11"/>
  <c r="N4" i="15"/>
  <c r="N6" i="11"/>
  <c r="M6" i="15"/>
  <c r="M11" i="11"/>
  <c r="L11" i="15"/>
  <c r="M9" i="11"/>
  <c r="L9" i="15"/>
  <c r="N7" i="11"/>
  <c r="M7" i="15"/>
  <c r="M226" i="11"/>
  <c r="L47" i="5"/>
  <c r="D604" i="32" s="1"/>
  <c r="L132" i="11"/>
  <c r="M129" i="11" s="1"/>
  <c r="N87" i="11"/>
  <c r="N37" i="11"/>
  <c r="N81" i="5" s="1"/>
  <c r="O22" i="2"/>
  <c r="O24" i="2"/>
  <c r="O25" i="2"/>
  <c r="O23" i="2"/>
  <c r="O30" i="2"/>
  <c r="N97" i="11"/>
  <c r="N57" i="11"/>
  <c r="N90" i="5" s="1"/>
  <c r="N25" i="4"/>
  <c r="N46" i="4"/>
  <c r="N10" i="4" s="1"/>
  <c r="O10" i="10" s="1"/>
  <c r="N47" i="4"/>
  <c r="N11" i="4" s="1"/>
  <c r="O11" i="2" s="1"/>
  <c r="R8" i="14"/>
  <c r="N8" i="19"/>
  <c r="S5" i="14"/>
  <c r="S15" i="14" s="1"/>
  <c r="O5" i="19"/>
  <c r="O8" i="2"/>
  <c r="N8" i="5"/>
  <c r="N45" i="4"/>
  <c r="N9" i="4" s="1"/>
  <c r="O10" i="6" s="1"/>
  <c r="N27" i="4"/>
  <c r="N26" i="4"/>
  <c r="O8" i="10"/>
  <c r="O9" i="6"/>
  <c r="O4" i="17"/>
  <c r="N4" i="18" s="1"/>
  <c r="P6" i="16"/>
  <c r="O7" i="16"/>
  <c r="M6" i="17"/>
  <c r="K6" i="18"/>
  <c r="N8" i="17"/>
  <c r="M5" i="18"/>
  <c r="M8" i="18" s="1"/>
  <c r="P5" i="2"/>
  <c r="P14" i="2" s="1"/>
  <c r="P6" i="6"/>
  <c r="P13" i="6" s="1"/>
  <c r="P5" i="10"/>
  <c r="P14" i="10" s="1"/>
  <c r="O6" i="4"/>
  <c r="O5" i="5"/>
  <c r="O14" i="4"/>
  <c r="O21" i="4" s="1"/>
  <c r="O7" i="4"/>
  <c r="P4" i="4"/>
  <c r="O25" i="10"/>
  <c r="O30" i="6" s="1"/>
  <c r="O22" i="10"/>
  <c r="O27" i="6" s="1"/>
  <c r="O30" i="10"/>
  <c r="O35" i="6" s="1"/>
  <c r="O41" i="6"/>
  <c r="O25" i="6"/>
  <c r="M157" i="11"/>
  <c r="M19" i="11"/>
  <c r="L31" i="15" s="1"/>
  <c r="M70" i="5"/>
  <c r="N17" i="11"/>
  <c r="O26" i="10"/>
  <c r="N166" i="11" s="1"/>
  <c r="O28" i="10"/>
  <c r="O33" i="6" s="1"/>
  <c r="O24" i="10"/>
  <c r="O27" i="10"/>
  <c r="O32" i="6" s="1"/>
  <c r="L176" i="11"/>
  <c r="L171" i="11"/>
  <c r="L191" i="11"/>
  <c r="L186" i="11"/>
  <c r="N48" i="10"/>
  <c r="N45" i="10"/>
  <c r="N44" i="10"/>
  <c r="N50" i="10"/>
  <c r="N52" i="10"/>
  <c r="O50" i="10"/>
  <c r="O47" i="10"/>
  <c r="O49" i="10"/>
  <c r="O48" i="10"/>
  <c r="O44" i="10"/>
  <c r="O45" i="10"/>
  <c r="M44" i="10"/>
  <c r="O46" i="10"/>
  <c r="M46" i="10"/>
  <c r="M47" i="10"/>
  <c r="M53" i="10"/>
  <c r="M50" i="10"/>
  <c r="M48" i="10"/>
  <c r="M45" i="10"/>
  <c r="M49" i="10"/>
  <c r="O53" i="10"/>
  <c r="N47" i="10"/>
  <c r="N49" i="10"/>
  <c r="N46" i="10"/>
  <c r="N53" i="10"/>
  <c r="C979" i="32" l="1"/>
  <c r="I979" i="32" s="1"/>
  <c r="I965" i="32"/>
  <c r="I877" i="32"/>
  <c r="C808" i="32"/>
  <c r="C843" i="32" s="1"/>
  <c r="I675" i="32"/>
  <c r="J674" i="32"/>
  <c r="V68" i="21"/>
  <c r="G439" i="32"/>
  <c r="R4" i="26"/>
  <c r="R5" i="26" s="1"/>
  <c r="Q8" i="26"/>
  <c r="C379" i="32"/>
  <c r="C406" i="32" s="1"/>
  <c r="P191" i="14"/>
  <c r="P193" i="14"/>
  <c r="P55" i="14"/>
  <c r="P53" i="14"/>
  <c r="P179" i="14"/>
  <c r="P62" i="14"/>
  <c r="P184" i="14"/>
  <c r="P183" i="14"/>
  <c r="P180" i="14"/>
  <c r="P66" i="14"/>
  <c r="P67" i="14"/>
  <c r="P56" i="14"/>
  <c r="P63" i="14"/>
  <c r="P57" i="14"/>
  <c r="P61" i="14"/>
  <c r="P185" i="14"/>
  <c r="P54" i="14"/>
  <c r="P59" i="14"/>
  <c r="P71" i="14"/>
  <c r="P60" i="14"/>
  <c r="P187" i="14"/>
  <c r="P194" i="14"/>
  <c r="P195" i="14"/>
  <c r="P181" i="14"/>
  <c r="P197" i="14"/>
  <c r="P65" i="14"/>
  <c r="P68" i="14"/>
  <c r="P69" i="14"/>
  <c r="P188" i="14"/>
  <c r="P189" i="14"/>
  <c r="P64" i="14"/>
  <c r="P186" i="14"/>
  <c r="P58" i="14"/>
  <c r="P192" i="14"/>
  <c r="P190" i="14"/>
  <c r="J544" i="32"/>
  <c r="J583" i="32" s="1"/>
  <c r="J638" i="32" s="1"/>
  <c r="K543" i="32"/>
  <c r="K542" i="32"/>
  <c r="I114" i="32"/>
  <c r="I153" i="32" s="1"/>
  <c r="I208" i="32" s="1"/>
  <c r="J112" i="32"/>
  <c r="J113" i="32"/>
  <c r="P24" i="14"/>
  <c r="P19" i="14"/>
  <c r="P22" i="14"/>
  <c r="P21" i="14"/>
  <c r="P145" i="14"/>
  <c r="P147" i="14"/>
  <c r="P150" i="14"/>
  <c r="P158" i="14"/>
  <c r="P149" i="14"/>
  <c r="P17" i="14"/>
  <c r="P161" i="14"/>
  <c r="P27" i="14"/>
  <c r="P35" i="14"/>
  <c r="P144" i="14"/>
  <c r="P29" i="14"/>
  <c r="P148" i="14"/>
  <c r="P23" i="14"/>
  <c r="P18" i="14"/>
  <c r="P33" i="14"/>
  <c r="P154" i="14"/>
  <c r="P25" i="14"/>
  <c r="P28" i="14"/>
  <c r="P153" i="14"/>
  <c r="P20" i="14"/>
  <c r="P31" i="14"/>
  <c r="P30" i="14"/>
  <c r="P143" i="14"/>
  <c r="P32" i="14"/>
  <c r="P159" i="14"/>
  <c r="P157" i="14"/>
  <c r="P146" i="14"/>
  <c r="P26" i="14"/>
  <c r="P152" i="14"/>
  <c r="P155" i="14"/>
  <c r="P156" i="14"/>
  <c r="P151" i="14"/>
  <c r="O19" i="10"/>
  <c r="C253" i="32"/>
  <c r="C278" i="32"/>
  <c r="C303" i="32" s="1"/>
  <c r="C329" i="32" s="1"/>
  <c r="C354" i="32" s="1"/>
  <c r="B37" i="21"/>
  <c r="B89" i="21" s="1"/>
  <c r="I37" i="21"/>
  <c r="I89" i="21" s="1"/>
  <c r="W125" i="21" s="1"/>
  <c r="P89" i="21" s="1"/>
  <c r="AD125" i="21" s="1"/>
  <c r="W89" i="21" s="1"/>
  <c r="N35" i="5"/>
  <c r="N195" i="11"/>
  <c r="N196" i="11" s="1"/>
  <c r="N197" i="11" s="1"/>
  <c r="O194" i="11" s="1"/>
  <c r="L39" i="5"/>
  <c r="D609" i="32" s="1"/>
  <c r="BN6" i="26"/>
  <c r="L108" i="5"/>
  <c r="M86" i="6"/>
  <c r="N83" i="6" s="1"/>
  <c r="L247" i="11"/>
  <c r="M244" i="11" s="1"/>
  <c r="M246" i="11" s="1"/>
  <c r="L68" i="11"/>
  <c r="L102" i="5" s="1"/>
  <c r="N250" i="11"/>
  <c r="N251" i="11" s="1"/>
  <c r="M80" i="5"/>
  <c r="P16" i="6"/>
  <c r="P60" i="6" s="1"/>
  <c r="M42" i="5"/>
  <c r="N32" i="4"/>
  <c r="N33" i="4" s="1"/>
  <c r="L32" i="4"/>
  <c r="L33" i="4" s="1"/>
  <c r="M32" i="4"/>
  <c r="M33" i="4" s="1"/>
  <c r="M76" i="5"/>
  <c r="L78" i="5"/>
  <c r="L33" i="11"/>
  <c r="L79" i="5" s="1"/>
  <c r="L126" i="11"/>
  <c r="N28" i="11"/>
  <c r="N76" i="5" s="1"/>
  <c r="N75" i="5"/>
  <c r="N106" i="11"/>
  <c r="P36" i="10"/>
  <c r="C54" i="1"/>
  <c r="S104" i="14"/>
  <c r="N24" i="5"/>
  <c r="M39" i="5"/>
  <c r="N8" i="11"/>
  <c r="M8" i="15"/>
  <c r="O5" i="11"/>
  <c r="O14" i="11" s="1"/>
  <c r="N5" i="15"/>
  <c r="N13" i="15" s="1"/>
  <c r="N88" i="11"/>
  <c r="N140" i="11"/>
  <c r="N38" i="11"/>
  <c r="N61" i="19"/>
  <c r="N214" i="11"/>
  <c r="N145" i="11"/>
  <c r="N157" i="11" s="1"/>
  <c r="O48" i="4"/>
  <c r="N10" i="5"/>
  <c r="O11" i="6"/>
  <c r="N10" i="19"/>
  <c r="O10" i="2"/>
  <c r="S99" i="14"/>
  <c r="R10" i="14"/>
  <c r="N11" i="5"/>
  <c r="O12" i="6"/>
  <c r="O11" i="10"/>
  <c r="O31" i="4"/>
  <c r="O13" i="19"/>
  <c r="N11" i="19"/>
  <c r="R11" i="14"/>
  <c r="N9" i="5"/>
  <c r="T4" i="14"/>
  <c r="P4" i="19"/>
  <c r="S7" i="14"/>
  <c r="O7" i="19"/>
  <c r="S6" i="14"/>
  <c r="O6" i="19"/>
  <c r="R9" i="14"/>
  <c r="N9" i="19"/>
  <c r="O9" i="10"/>
  <c r="O9" i="2"/>
  <c r="P6" i="10"/>
  <c r="O6" i="5"/>
  <c r="P7" i="6"/>
  <c r="P6" i="2"/>
  <c r="O13" i="5"/>
  <c r="O231" i="11" s="1"/>
  <c r="N6" i="17"/>
  <c r="P7" i="16"/>
  <c r="L6" i="18"/>
  <c r="O5" i="17"/>
  <c r="P10" i="16"/>
  <c r="P54" i="16" s="1"/>
  <c r="Q5" i="16"/>
  <c r="O30" i="4"/>
  <c r="O37" i="4"/>
  <c r="O20" i="4"/>
  <c r="O41" i="4"/>
  <c r="O55" i="4"/>
  <c r="O51" i="4"/>
  <c r="O16" i="4"/>
  <c r="O53" i="4"/>
  <c r="O7" i="5"/>
  <c r="P8" i="6"/>
  <c r="O50" i="4"/>
  <c r="P7" i="10"/>
  <c r="O22" i="4"/>
  <c r="P21" i="6" s="1"/>
  <c r="P19" i="10" s="1"/>
  <c r="O43" i="4"/>
  <c r="P7" i="2"/>
  <c r="O44" i="4"/>
  <c r="O8" i="4" s="1"/>
  <c r="Q4" i="2"/>
  <c r="Q4" i="10"/>
  <c r="O18" i="4"/>
  <c r="O23" i="4"/>
  <c r="P50" i="10" s="1"/>
  <c r="P4" i="5"/>
  <c r="O24" i="4"/>
  <c r="O47" i="4" s="1"/>
  <c r="O11" i="4" s="1"/>
  <c r="Q5" i="6"/>
  <c r="O17" i="4"/>
  <c r="P5" i="4"/>
  <c r="O29" i="4"/>
  <c r="N185" i="11"/>
  <c r="N26" i="5"/>
  <c r="O54" i="4"/>
  <c r="O52" i="4"/>
  <c r="O36" i="4"/>
  <c r="O42" i="4"/>
  <c r="O35" i="4"/>
  <c r="N23" i="5"/>
  <c r="N16" i="11"/>
  <c r="N18" i="11" s="1"/>
  <c r="N190" i="11"/>
  <c r="O31" i="6"/>
  <c r="N175" i="11"/>
  <c r="O29" i="6"/>
  <c r="N25" i="5"/>
  <c r="M68" i="5"/>
  <c r="L187" i="11"/>
  <c r="M184" i="11" s="1"/>
  <c r="M186" i="11" s="1"/>
  <c r="L31" i="5"/>
  <c r="L192" i="11"/>
  <c r="M189" i="11" s="1"/>
  <c r="M191" i="11" s="1"/>
  <c r="L32" i="5"/>
  <c r="D596" i="32" s="1"/>
  <c r="L172" i="11"/>
  <c r="L28" i="5"/>
  <c r="L177" i="11"/>
  <c r="M174" i="11" s="1"/>
  <c r="M176" i="11" s="1"/>
  <c r="L29" i="5"/>
  <c r="N69" i="5"/>
  <c r="N170" i="11"/>
  <c r="J675" i="32" l="1"/>
  <c r="J877" i="32"/>
  <c r="K674" i="32"/>
  <c r="C809" i="32"/>
  <c r="C844" i="32" s="1"/>
  <c r="S4" i="26"/>
  <c r="S5" i="26" s="1"/>
  <c r="R8" i="26"/>
  <c r="C380" i="32"/>
  <c r="C407" i="32" s="1"/>
  <c r="O245" i="11"/>
  <c r="O235" i="11"/>
  <c r="P125" i="14"/>
  <c r="P178" i="14"/>
  <c r="P52" i="14"/>
  <c r="K544" i="32"/>
  <c r="K583" i="32" s="1"/>
  <c r="K638" i="32" s="1"/>
  <c r="L543" i="32"/>
  <c r="L544" i="32" s="1"/>
  <c r="L583" i="32" s="1"/>
  <c r="L638" i="32" s="1"/>
  <c r="L542" i="32"/>
  <c r="P107" i="14"/>
  <c r="P16" i="14"/>
  <c r="P215" i="14"/>
  <c r="P142" i="14"/>
  <c r="I38" i="21"/>
  <c r="I90" i="21" s="1"/>
  <c r="W126" i="21" s="1"/>
  <c r="P90" i="21" s="1"/>
  <c r="AD126" i="21" s="1"/>
  <c r="W90" i="21" s="1"/>
  <c r="B38" i="21"/>
  <c r="B90" i="21" s="1"/>
  <c r="J114" i="32"/>
  <c r="J153" i="32" s="1"/>
  <c r="J208" i="32" s="1"/>
  <c r="K113" i="32"/>
  <c r="K112" i="32"/>
  <c r="C254" i="32"/>
  <c r="C279" i="32"/>
  <c r="C304" i="32" s="1"/>
  <c r="C330" i="32" s="1"/>
  <c r="C355" i="32" s="1"/>
  <c r="E549" i="32"/>
  <c r="L27" i="19"/>
  <c r="BO6" i="26"/>
  <c r="M247" i="11"/>
  <c r="N244" i="11" s="1"/>
  <c r="N246" i="11" s="1"/>
  <c r="M68" i="11"/>
  <c r="M102" i="5" s="1"/>
  <c r="N252" i="11"/>
  <c r="O249" i="11" s="1"/>
  <c r="O72" i="11"/>
  <c r="O106" i="5" s="1"/>
  <c r="O67" i="11"/>
  <c r="O101" i="5" s="1"/>
  <c r="E622" i="32" s="1"/>
  <c r="M74" i="5"/>
  <c r="L34" i="11"/>
  <c r="M31" i="11" s="1"/>
  <c r="M110" i="11" s="1"/>
  <c r="N29" i="11"/>
  <c r="O26" i="11" s="1"/>
  <c r="O105" i="11" s="1"/>
  <c r="P48" i="6" s="1"/>
  <c r="L127" i="11"/>
  <c r="L46" i="5"/>
  <c r="L77" i="5"/>
  <c r="N107" i="11"/>
  <c r="O104" i="11" s="1"/>
  <c r="N42" i="5"/>
  <c r="N74" i="5"/>
  <c r="O32" i="11"/>
  <c r="P31" i="10"/>
  <c r="P36" i="6" s="1"/>
  <c r="E556" i="32" s="1"/>
  <c r="O37" i="11"/>
  <c r="O81" i="5" s="1"/>
  <c r="O27" i="11"/>
  <c r="O75" i="5" s="1"/>
  <c r="S88" i="14"/>
  <c r="C55" i="1"/>
  <c r="N39" i="5"/>
  <c r="O97" i="11"/>
  <c r="O87" i="11"/>
  <c r="O88" i="11" s="1"/>
  <c r="O57" i="11"/>
  <c r="O90" i="5" s="1"/>
  <c r="O61" i="19" s="1"/>
  <c r="O17" i="11"/>
  <c r="O69" i="5" s="1"/>
  <c r="P25" i="10"/>
  <c r="P30" i="6" s="1"/>
  <c r="N11" i="11"/>
  <c r="M11" i="15"/>
  <c r="O7" i="11"/>
  <c r="N7" i="15"/>
  <c r="O6" i="11"/>
  <c r="N6" i="15"/>
  <c r="N9" i="11"/>
  <c r="M9" i="15"/>
  <c r="P4" i="11"/>
  <c r="O4" i="15"/>
  <c r="N10" i="11"/>
  <c r="M10" i="15"/>
  <c r="O32" i="4"/>
  <c r="O33" i="4" s="1"/>
  <c r="O38" i="4"/>
  <c r="O39" i="4" s="1"/>
  <c r="N39" i="11"/>
  <c r="O36" i="11" s="1"/>
  <c r="N82" i="5"/>
  <c r="N80" i="5" s="1"/>
  <c r="S8" i="14"/>
  <c r="O8" i="19"/>
  <c r="S11" i="14"/>
  <c r="O11" i="19"/>
  <c r="T5" i="14"/>
  <c r="T15" i="14" s="1"/>
  <c r="P5" i="19"/>
  <c r="P41" i="6"/>
  <c r="E572" i="32" s="1"/>
  <c r="P23" i="10"/>
  <c r="P28" i="6" s="1"/>
  <c r="E552" i="32" s="1"/>
  <c r="P28" i="10"/>
  <c r="P33" i="6" s="1"/>
  <c r="P24" i="10"/>
  <c r="P29" i="6" s="1"/>
  <c r="E555" i="32" s="1"/>
  <c r="P27" i="10"/>
  <c r="P32" i="6" s="1"/>
  <c r="P30" i="10"/>
  <c r="O185" i="11" s="1"/>
  <c r="P25" i="6"/>
  <c r="E573" i="32" s="1"/>
  <c r="P46" i="10"/>
  <c r="M6" i="18"/>
  <c r="P4" i="17"/>
  <c r="O4" i="18" s="1"/>
  <c r="Q6" i="16"/>
  <c r="Q7" i="16"/>
  <c r="O6" i="17"/>
  <c r="O8" i="17"/>
  <c r="N5" i="18"/>
  <c r="N8" i="18" s="1"/>
  <c r="Q5" i="2"/>
  <c r="Q14" i="2" s="1"/>
  <c r="P5" i="5"/>
  <c r="O27" i="4"/>
  <c r="P44" i="10"/>
  <c r="P24" i="2"/>
  <c r="P21" i="2"/>
  <c r="P25" i="2"/>
  <c r="P22" i="2"/>
  <c r="P52" i="10"/>
  <c r="O25" i="4"/>
  <c r="O26" i="4"/>
  <c r="O45" i="4"/>
  <c r="O9" i="4" s="1"/>
  <c r="P48" i="10"/>
  <c r="O46" i="4"/>
  <c r="O10" i="4" s="1"/>
  <c r="P53" i="10"/>
  <c r="P45" i="10"/>
  <c r="P47" i="10"/>
  <c r="P14" i="4"/>
  <c r="P35" i="4" s="1"/>
  <c r="P26" i="10"/>
  <c r="P31" i="6" s="1"/>
  <c r="E554" i="32" s="1"/>
  <c r="P22" i="10"/>
  <c r="P27" i="6" s="1"/>
  <c r="P9" i="6"/>
  <c r="P8" i="10"/>
  <c r="O8" i="5"/>
  <c r="P8" i="2"/>
  <c r="P7" i="4"/>
  <c r="P6" i="4"/>
  <c r="Q4" i="4"/>
  <c r="P23" i="2"/>
  <c r="P30" i="2"/>
  <c r="P49" i="10"/>
  <c r="Q6" i="6"/>
  <c r="Q13" i="6" s="1"/>
  <c r="Q5" i="10"/>
  <c r="Q14" i="10" s="1"/>
  <c r="M169" i="11"/>
  <c r="M171" i="11" s="1"/>
  <c r="M28" i="5" s="1"/>
  <c r="M31" i="5"/>
  <c r="M187" i="11"/>
  <c r="N184" i="11" s="1"/>
  <c r="N186" i="11" s="1"/>
  <c r="M177" i="11"/>
  <c r="N174" i="11" s="1"/>
  <c r="N176" i="11" s="1"/>
  <c r="N29" i="5" s="1"/>
  <c r="M29" i="5"/>
  <c r="M192" i="11"/>
  <c r="N189" i="11" s="1"/>
  <c r="N191" i="11" s="1"/>
  <c r="M32" i="5"/>
  <c r="N19" i="11"/>
  <c r="M31" i="15" s="1"/>
  <c r="N70" i="5"/>
  <c r="P11" i="2"/>
  <c r="P11" i="10"/>
  <c r="P12" i="6"/>
  <c r="O11" i="5"/>
  <c r="P137" i="5" l="1"/>
  <c r="P138" i="5"/>
  <c r="K675" i="32"/>
  <c r="C810" i="32"/>
  <c r="C845" i="32" s="1"/>
  <c r="K877" i="32"/>
  <c r="L674" i="32"/>
  <c r="T4" i="26"/>
  <c r="T5" i="26" s="1"/>
  <c r="S8" i="26"/>
  <c r="C381" i="32"/>
  <c r="C408" i="32" s="1"/>
  <c r="E553" i="32"/>
  <c r="E551" i="32"/>
  <c r="K114" i="32"/>
  <c r="K153" i="32" s="1"/>
  <c r="K208" i="32" s="1"/>
  <c r="L112" i="32"/>
  <c r="L113" i="32"/>
  <c r="I39" i="21"/>
  <c r="I91" i="21" s="1"/>
  <c r="W127" i="21" s="1"/>
  <c r="P91" i="21" s="1"/>
  <c r="AD127" i="21" s="1"/>
  <c r="W91" i="21" s="1"/>
  <c r="B39" i="21"/>
  <c r="B91" i="21" s="1"/>
  <c r="C255" i="32"/>
  <c r="C280" i="32"/>
  <c r="C305" i="32" s="1"/>
  <c r="C331" i="32" s="1"/>
  <c r="C356" i="32" s="1"/>
  <c r="O195" i="11"/>
  <c r="O196" i="11" s="1"/>
  <c r="O35" i="5"/>
  <c r="E610" i="32" s="1"/>
  <c r="M27" i="19"/>
  <c r="BP6" i="26"/>
  <c r="N247" i="11"/>
  <c r="O244" i="11" s="1"/>
  <c r="N68" i="11"/>
  <c r="N102" i="5" s="1"/>
  <c r="N27" i="19" s="1"/>
  <c r="Q16" i="6"/>
  <c r="Q60" i="6" s="1"/>
  <c r="M33" i="11"/>
  <c r="M79" i="5" s="1"/>
  <c r="N49" i="6"/>
  <c r="M111" i="11"/>
  <c r="M124" i="11"/>
  <c r="O28" i="11"/>
  <c r="O29" i="11" s="1"/>
  <c r="P26" i="11" s="1"/>
  <c r="P105" i="11" s="1"/>
  <c r="Q48" i="6" s="1"/>
  <c r="O78" i="5"/>
  <c r="O140" i="11"/>
  <c r="O106" i="11"/>
  <c r="Q36" i="10"/>
  <c r="O214" i="11"/>
  <c r="O145" i="11"/>
  <c r="O157" i="11" s="1"/>
  <c r="C56" i="1"/>
  <c r="T104" i="14"/>
  <c r="T88" i="14" s="1"/>
  <c r="O26" i="5"/>
  <c r="E593" i="32" s="1"/>
  <c r="O11" i="11"/>
  <c r="N11" i="15"/>
  <c r="O8" i="11"/>
  <c r="N8" i="15"/>
  <c r="P13" i="5"/>
  <c r="P231" i="11" s="1"/>
  <c r="O5" i="15"/>
  <c r="O13" i="15" s="1"/>
  <c r="O38" i="11"/>
  <c r="O82" i="5" s="1"/>
  <c r="O24" i="5"/>
  <c r="E592" i="32" s="1"/>
  <c r="P13" i="19"/>
  <c r="O175" i="11"/>
  <c r="S9" i="14"/>
  <c r="O9" i="19"/>
  <c r="S10" i="14"/>
  <c r="O10" i="19"/>
  <c r="O190" i="11"/>
  <c r="O25" i="5"/>
  <c r="E595" i="32" s="1"/>
  <c r="U4" i="14"/>
  <c r="Q4" i="19"/>
  <c r="T7" i="14"/>
  <c r="P7" i="19"/>
  <c r="T6" i="14"/>
  <c r="P6" i="19"/>
  <c r="P35" i="6"/>
  <c r="O170" i="11"/>
  <c r="P10" i="6"/>
  <c r="P9" i="2"/>
  <c r="O9" i="5"/>
  <c r="P55" i="4"/>
  <c r="P44" i="4"/>
  <c r="P8" i="4" s="1"/>
  <c r="R4" i="2"/>
  <c r="R5" i="6"/>
  <c r="P9" i="10"/>
  <c r="P52" i="4"/>
  <c r="Q7" i="2"/>
  <c r="P23" i="4"/>
  <c r="Q49" i="10" s="1"/>
  <c r="Q8" i="6"/>
  <c r="P31" i="4"/>
  <c r="P37" i="4"/>
  <c r="P43" i="4"/>
  <c r="P17" i="4"/>
  <c r="Q25" i="2" s="1"/>
  <c r="O10" i="5"/>
  <c r="P29" i="4"/>
  <c r="P5" i="11"/>
  <c r="P14" i="11" s="1"/>
  <c r="P5" i="17"/>
  <c r="Q10" i="16"/>
  <c r="Q54" i="16" s="1"/>
  <c r="R5" i="16"/>
  <c r="N6" i="18"/>
  <c r="P6" i="17"/>
  <c r="R7" i="16"/>
  <c r="N68" i="5"/>
  <c r="P10" i="10"/>
  <c r="P36" i="4"/>
  <c r="P22" i="4"/>
  <c r="Q21" i="6" s="1"/>
  <c r="P51" i="4"/>
  <c r="P21" i="4"/>
  <c r="P54" i="4"/>
  <c r="O166" i="11"/>
  <c r="P41" i="4"/>
  <c r="P11" i="6"/>
  <c r="P18" i="4"/>
  <c r="P16" i="4"/>
  <c r="P10" i="2"/>
  <c r="P53" i="4"/>
  <c r="P30" i="4"/>
  <c r="P24" i="4"/>
  <c r="P47" i="4" s="1"/>
  <c r="P11" i="4" s="1"/>
  <c r="P50" i="4"/>
  <c r="P42" i="4"/>
  <c r="P20" i="4"/>
  <c r="P48" i="4"/>
  <c r="Q7" i="6"/>
  <c r="O23" i="5"/>
  <c r="E591" i="32" s="1"/>
  <c r="R4" i="10"/>
  <c r="Q4" i="5"/>
  <c r="Q6" i="10"/>
  <c r="P7" i="5"/>
  <c r="Q5" i="4"/>
  <c r="Q6" i="2"/>
  <c r="P6" i="5"/>
  <c r="Q7" i="10"/>
  <c r="M172" i="11"/>
  <c r="O16" i="11"/>
  <c r="O18" i="11" s="1"/>
  <c r="O70" i="5" s="1"/>
  <c r="O68" i="5" s="1"/>
  <c r="N177" i="11"/>
  <c r="O174" i="11" s="1"/>
  <c r="N187" i="11"/>
  <c r="O184" i="11" s="1"/>
  <c r="O186" i="11" s="1"/>
  <c r="N31" i="5"/>
  <c r="N192" i="11"/>
  <c r="O189" i="11" s="1"/>
  <c r="N32" i="5"/>
  <c r="L877" i="32" l="1"/>
  <c r="C811" i="32"/>
  <c r="C846" i="32" s="1"/>
  <c r="L675" i="32"/>
  <c r="M674" i="32"/>
  <c r="U4" i="26"/>
  <c r="U5" i="26" s="1"/>
  <c r="T8" i="26"/>
  <c r="O197" i="11"/>
  <c r="P194" i="11" s="1"/>
  <c r="O39" i="5"/>
  <c r="E609" i="32" s="1"/>
  <c r="C382" i="32"/>
  <c r="C409" i="32" s="1"/>
  <c r="P245" i="11"/>
  <c r="P235" i="11"/>
  <c r="L114" i="32"/>
  <c r="L153" i="32" s="1"/>
  <c r="L208" i="32" s="1"/>
  <c r="M113" i="32"/>
  <c r="M112" i="32"/>
  <c r="Q19" i="10"/>
  <c r="B40" i="21"/>
  <c r="B92" i="21" s="1"/>
  <c r="I40" i="21"/>
  <c r="I92" i="21" s="1"/>
  <c r="W128" i="21" s="1"/>
  <c r="P92" i="21" s="1"/>
  <c r="AD128" i="21" s="1"/>
  <c r="W92" i="21" s="1"/>
  <c r="C281" i="32"/>
  <c r="C306" i="32" s="1"/>
  <c r="C332" i="32" s="1"/>
  <c r="C357" i="32" s="1"/>
  <c r="C256" i="32"/>
  <c r="E618" i="32"/>
  <c r="BQ6" i="26"/>
  <c r="O250" i="11"/>
  <c r="O246" i="11"/>
  <c r="P67" i="11"/>
  <c r="P101" i="5" s="1"/>
  <c r="P72" i="11"/>
  <c r="P106" i="5" s="1"/>
  <c r="M77" i="5"/>
  <c r="O80" i="5"/>
  <c r="M34" i="11"/>
  <c r="N31" i="11" s="1"/>
  <c r="N110" i="11" s="1"/>
  <c r="O49" i="6" s="1"/>
  <c r="M112" i="11"/>
  <c r="N109" i="11" s="1"/>
  <c r="M43" i="5"/>
  <c r="O76" i="5"/>
  <c r="O107" i="11"/>
  <c r="P104" i="11" s="1"/>
  <c r="O42" i="5"/>
  <c r="P32" i="11"/>
  <c r="Q31" i="10"/>
  <c r="Q36" i="6" s="1"/>
  <c r="P27" i="11"/>
  <c r="C57" i="1"/>
  <c r="Q23" i="10"/>
  <c r="Q28" i="6" s="1"/>
  <c r="Q4" i="11"/>
  <c r="P4" i="15"/>
  <c r="N10" i="15"/>
  <c r="O9" i="11"/>
  <c r="N9" i="15"/>
  <c r="P6" i="11"/>
  <c r="O6" i="15"/>
  <c r="P7" i="11"/>
  <c r="O7" i="15"/>
  <c r="N169" i="11"/>
  <c r="N171" i="11" s="1"/>
  <c r="N28" i="5" s="1"/>
  <c r="P38" i="4"/>
  <c r="P39" i="4" s="1"/>
  <c r="P32" i="4"/>
  <c r="P33" i="4" s="1"/>
  <c r="O39" i="11"/>
  <c r="P36" i="11" s="1"/>
  <c r="P87" i="11"/>
  <c r="P37" i="11"/>
  <c r="P81" i="5" s="1"/>
  <c r="P97" i="11"/>
  <c r="P57" i="11"/>
  <c r="P90" i="5" s="1"/>
  <c r="O191" i="11"/>
  <c r="O192" i="11" s="1"/>
  <c r="P189" i="11" s="1"/>
  <c r="O176" i="11"/>
  <c r="O177" i="11" s="1"/>
  <c r="P174" i="11" s="1"/>
  <c r="U5" i="14"/>
  <c r="U15" i="14" s="1"/>
  <c r="Q5" i="19"/>
  <c r="T8" i="14"/>
  <c r="P8" i="19"/>
  <c r="T11" i="14"/>
  <c r="P11" i="19"/>
  <c r="Q8" i="10"/>
  <c r="Q9" i="6"/>
  <c r="Q45" i="10"/>
  <c r="O10" i="11"/>
  <c r="Q8" i="2"/>
  <c r="P8" i="5"/>
  <c r="P27" i="4"/>
  <c r="Q50" i="10"/>
  <c r="P45" i="4"/>
  <c r="P9" i="4" s="1"/>
  <c r="Q46" i="10"/>
  <c r="Q52" i="10"/>
  <c r="Q53" i="10"/>
  <c r="Q24" i="2"/>
  <c r="Q44" i="10"/>
  <c r="Q30" i="2"/>
  <c r="Q48" i="10"/>
  <c r="Q22" i="2"/>
  <c r="Q21" i="2"/>
  <c r="Q47" i="10"/>
  <c r="Q23" i="2"/>
  <c r="Q24" i="10"/>
  <c r="Q29" i="6" s="1"/>
  <c r="Q27" i="10"/>
  <c r="P170" i="11" s="1"/>
  <c r="Q28" i="10"/>
  <c r="P175" i="11" s="1"/>
  <c r="Q25" i="6"/>
  <c r="Q22" i="10"/>
  <c r="P23" i="5" s="1"/>
  <c r="Q25" i="10"/>
  <c r="P26" i="5" s="1"/>
  <c r="Q41" i="6"/>
  <c r="P17" i="11"/>
  <c r="P69" i="5" s="1"/>
  <c r="Q26" i="10"/>
  <c r="P166" i="11" s="1"/>
  <c r="Q30" i="10"/>
  <c r="Q35" i="6" s="1"/>
  <c r="R6" i="16"/>
  <c r="Q4" i="17"/>
  <c r="P4" i="18" s="1"/>
  <c r="P25" i="4"/>
  <c r="P46" i="4"/>
  <c r="P10" i="4" s="1"/>
  <c r="P10" i="19" s="1"/>
  <c r="P26" i="4"/>
  <c r="S7" i="16"/>
  <c r="Q6" i="17"/>
  <c r="O6" i="18"/>
  <c r="P8" i="17"/>
  <c r="O5" i="18"/>
  <c r="O8" i="18" s="1"/>
  <c r="O19" i="11"/>
  <c r="Q7" i="4"/>
  <c r="Q14" i="4"/>
  <c r="Q42" i="4" s="1"/>
  <c r="R4" i="4"/>
  <c r="Q6" i="4"/>
  <c r="Q5" i="5"/>
  <c r="R6" i="6"/>
  <c r="R13" i="6" s="1"/>
  <c r="R5" i="10"/>
  <c r="R14" i="10" s="1"/>
  <c r="R5" i="2"/>
  <c r="R14" i="2" s="1"/>
  <c r="O187" i="11"/>
  <c r="P184" i="11" s="1"/>
  <c r="O31" i="5"/>
  <c r="Q11" i="10"/>
  <c r="Q11" i="2"/>
  <c r="P11" i="5"/>
  <c r="Q12" i="6"/>
  <c r="Q137" i="5" l="1"/>
  <c r="Q138" i="5"/>
  <c r="M877" i="32"/>
  <c r="C812" i="32"/>
  <c r="C847" i="32" s="1"/>
  <c r="N674" i="32"/>
  <c r="M675" i="32"/>
  <c r="V4" i="26"/>
  <c r="V5" i="26" s="1"/>
  <c r="U8" i="26"/>
  <c r="C383" i="32"/>
  <c r="C410" i="32" s="1"/>
  <c r="I41" i="21"/>
  <c r="I93" i="21" s="1"/>
  <c r="W129" i="21" s="1"/>
  <c r="P93" i="21" s="1"/>
  <c r="AD129" i="21" s="1"/>
  <c r="W93" i="21" s="1"/>
  <c r="B41" i="21"/>
  <c r="B93" i="21" s="1"/>
  <c r="M114" i="32"/>
  <c r="M153" i="32" s="1"/>
  <c r="M208" i="32" s="1"/>
  <c r="N112" i="32"/>
  <c r="N113" i="32"/>
  <c r="N114" i="32" s="1"/>
  <c r="N153" i="32" s="1"/>
  <c r="N208" i="32" s="1"/>
  <c r="P35" i="5"/>
  <c r="P195" i="11"/>
  <c r="P196" i="11" s="1"/>
  <c r="P39" i="5" s="1"/>
  <c r="C282" i="32"/>
  <c r="C307" i="32" s="1"/>
  <c r="C333" i="32" s="1"/>
  <c r="C358" i="32" s="1"/>
  <c r="C257" i="32"/>
  <c r="BR6" i="26"/>
  <c r="O247" i="11"/>
  <c r="P244" i="11" s="1"/>
  <c r="O251" i="11"/>
  <c r="O68" i="11" s="1"/>
  <c r="O102" i="5" s="1"/>
  <c r="O74" i="5"/>
  <c r="R16" i="6"/>
  <c r="R60" i="6" s="1"/>
  <c r="N33" i="11"/>
  <c r="N34" i="11" s="1"/>
  <c r="O31" i="11" s="1"/>
  <c r="N111" i="11"/>
  <c r="P28" i="11"/>
  <c r="P75" i="5"/>
  <c r="P78" i="5"/>
  <c r="P106" i="11"/>
  <c r="R36" i="10"/>
  <c r="P24" i="5"/>
  <c r="C58" i="1"/>
  <c r="U104" i="14"/>
  <c r="Q13" i="5"/>
  <c r="Q231" i="11" s="1"/>
  <c r="P5" i="15"/>
  <c r="P13" i="15" s="1"/>
  <c r="P8" i="11"/>
  <c r="O8" i="15"/>
  <c r="P11" i="11"/>
  <c r="O11" i="15"/>
  <c r="P88" i="11"/>
  <c r="P16" i="11"/>
  <c r="P18" i="11" s="1"/>
  <c r="P19" i="11" s="1"/>
  <c r="O31" i="15" s="1"/>
  <c r="N31" i="15"/>
  <c r="E652" i="32" s="1"/>
  <c r="P140" i="11"/>
  <c r="P38" i="11"/>
  <c r="P61" i="19"/>
  <c r="P145" i="11"/>
  <c r="P157" i="11" s="1"/>
  <c r="O32" i="5"/>
  <c r="E596" i="32" s="1"/>
  <c r="P214" i="11"/>
  <c r="U99" i="14"/>
  <c r="O29" i="5"/>
  <c r="Q13" i="19"/>
  <c r="V4" i="14"/>
  <c r="R4" i="19"/>
  <c r="U6" i="14"/>
  <c r="Q6" i="19"/>
  <c r="U7" i="14"/>
  <c r="Q7" i="19"/>
  <c r="T9" i="14"/>
  <c r="P9" i="19"/>
  <c r="Q9" i="2"/>
  <c r="Q52" i="4"/>
  <c r="N172" i="11"/>
  <c r="Q30" i="4"/>
  <c r="P25" i="5"/>
  <c r="Q33" i="6"/>
  <c r="Q17" i="4"/>
  <c r="R21" i="2" s="1"/>
  <c r="Q37" i="4"/>
  <c r="Q30" i="6"/>
  <c r="Q53" i="4"/>
  <c r="R7" i="10"/>
  <c r="Q24" i="4"/>
  <c r="Q45" i="4" s="1"/>
  <c r="Q9" i="4" s="1"/>
  <c r="Q16" i="4"/>
  <c r="Q35" i="4"/>
  <c r="Q10" i="6"/>
  <c r="Q9" i="10"/>
  <c r="Q48" i="4"/>
  <c r="P9" i="5"/>
  <c r="Q20" i="4"/>
  <c r="Q51" i="4"/>
  <c r="R8" i="6"/>
  <c r="Q44" i="4"/>
  <c r="Q8" i="4" s="1"/>
  <c r="R7" i="2"/>
  <c r="Q23" i="4"/>
  <c r="R48" i="10" s="1"/>
  <c r="Q32" i="6"/>
  <c r="Q41" i="4"/>
  <c r="Q31" i="6"/>
  <c r="Q54" i="4"/>
  <c r="Q36" i="4"/>
  <c r="Q29" i="4"/>
  <c r="Q55" i="4"/>
  <c r="Q31" i="4"/>
  <c r="P190" i="11"/>
  <c r="P191" i="11" s="1"/>
  <c r="P192" i="11" s="1"/>
  <c r="Q189" i="11" s="1"/>
  <c r="Q43" i="4"/>
  <c r="Q27" i="6"/>
  <c r="P185" i="11"/>
  <c r="P186" i="11" s="1"/>
  <c r="P187" i="11" s="1"/>
  <c r="Q184" i="11" s="1"/>
  <c r="Q7" i="5"/>
  <c r="S4" i="2"/>
  <c r="P6" i="18"/>
  <c r="T10" i="14"/>
  <c r="Q11" i="6"/>
  <c r="P10" i="5"/>
  <c r="Q10" i="2"/>
  <c r="Q10" i="10"/>
  <c r="R5" i="4"/>
  <c r="S4" i="10"/>
  <c r="R4" i="5"/>
  <c r="R6" i="17"/>
  <c r="T7" i="16"/>
  <c r="R7" i="6"/>
  <c r="Q5" i="17"/>
  <c r="S5" i="16"/>
  <c r="R10" i="16"/>
  <c r="R54" i="16" s="1"/>
  <c r="Q5" i="11"/>
  <c r="Q14" i="11" s="1"/>
  <c r="S5" i="6"/>
  <c r="Q18" i="4"/>
  <c r="Q6" i="5"/>
  <c r="R6" i="2"/>
  <c r="Q50" i="4"/>
  <c r="Q21" i="4"/>
  <c r="R6" i="10"/>
  <c r="Q22" i="4"/>
  <c r="R21" i="6" s="1"/>
  <c r="P176" i="11"/>
  <c r="P177" i="11" s="1"/>
  <c r="Q174" i="11" s="1"/>
  <c r="N877" i="32" l="1"/>
  <c r="C813" i="32"/>
  <c r="C848" i="32" s="1"/>
  <c r="O674" i="32"/>
  <c r="N675" i="32"/>
  <c r="W4" i="26"/>
  <c r="W5" i="26" s="1"/>
  <c r="V8" i="26"/>
  <c r="C384" i="32"/>
  <c r="C411" i="32" s="1"/>
  <c r="Q245" i="11"/>
  <c r="Q235" i="11"/>
  <c r="B42" i="21"/>
  <c r="B94" i="21" s="1"/>
  <c r="I42" i="21"/>
  <c r="I94" i="21" s="1"/>
  <c r="W130" i="21" s="1"/>
  <c r="P94" i="21" s="1"/>
  <c r="AD130" i="21" s="1"/>
  <c r="W94" i="21" s="1"/>
  <c r="C258" i="32"/>
  <c r="C283" i="32"/>
  <c r="C308" i="32" s="1"/>
  <c r="C334" i="32" s="1"/>
  <c r="C359" i="32" s="1"/>
  <c r="R19" i="10"/>
  <c r="P197" i="11"/>
  <c r="Q194" i="11" s="1"/>
  <c r="O27" i="19"/>
  <c r="BS6" i="26"/>
  <c r="P246" i="11"/>
  <c r="P247" i="11" s="1"/>
  <c r="Q244" i="11" s="1"/>
  <c r="O252" i="11"/>
  <c r="P249" i="11" s="1"/>
  <c r="P250" i="11"/>
  <c r="Q72" i="11"/>
  <c r="Q106" i="5" s="1"/>
  <c r="Q67" i="11"/>
  <c r="Q101" i="5" s="1"/>
  <c r="N79" i="5"/>
  <c r="O33" i="11"/>
  <c r="O79" i="5" s="1"/>
  <c r="O77" i="5" s="1"/>
  <c r="O110" i="11"/>
  <c r="P49" i="6" s="1"/>
  <c r="N112" i="11"/>
  <c r="O109" i="11" s="1"/>
  <c r="N43" i="5"/>
  <c r="P107" i="11"/>
  <c r="Q104" i="11" s="1"/>
  <c r="P42" i="5"/>
  <c r="P29" i="11"/>
  <c r="Q26" i="11" s="1"/>
  <c r="Q105" i="11" s="1"/>
  <c r="R48" i="6" s="1"/>
  <c r="P76" i="5"/>
  <c r="Q32" i="11"/>
  <c r="R31" i="10"/>
  <c r="R36" i="6" s="1"/>
  <c r="U88" i="14"/>
  <c r="Q27" i="11"/>
  <c r="C59" i="1"/>
  <c r="O10" i="15"/>
  <c r="R4" i="11"/>
  <c r="Q4" i="15"/>
  <c r="Q6" i="11"/>
  <c r="P6" i="15"/>
  <c r="P9" i="11"/>
  <c r="O9" i="15"/>
  <c r="Q7" i="11"/>
  <c r="P7" i="15"/>
  <c r="O169" i="11"/>
  <c r="O171" i="11" s="1"/>
  <c r="O28" i="5" s="1"/>
  <c r="Q32" i="4"/>
  <c r="Q33" i="4" s="1"/>
  <c r="Q38" i="4"/>
  <c r="Q39" i="4" s="1"/>
  <c r="P39" i="11"/>
  <c r="Q36" i="11" s="1"/>
  <c r="P82" i="5"/>
  <c r="P80" i="5" s="1"/>
  <c r="Q87" i="11"/>
  <c r="Q37" i="11"/>
  <c r="Q81" i="5" s="1"/>
  <c r="R30" i="2"/>
  <c r="Q97" i="11"/>
  <c r="Q57" i="11"/>
  <c r="Q90" i="5" s="1"/>
  <c r="R24" i="2"/>
  <c r="U8" i="14"/>
  <c r="Q8" i="19"/>
  <c r="V5" i="14"/>
  <c r="V15" i="14" s="1"/>
  <c r="R5" i="19"/>
  <c r="U9" i="14"/>
  <c r="Q9" i="19"/>
  <c r="R25" i="2"/>
  <c r="R49" i="10"/>
  <c r="P10" i="11"/>
  <c r="Q25" i="4"/>
  <c r="P70" i="5"/>
  <c r="P68" i="5" s="1"/>
  <c r="R22" i="2"/>
  <c r="R46" i="10"/>
  <c r="Q26" i="4"/>
  <c r="R47" i="10"/>
  <c r="R50" i="10"/>
  <c r="R44" i="10"/>
  <c r="R23" i="2"/>
  <c r="R45" i="10"/>
  <c r="R53" i="10"/>
  <c r="Q47" i="4"/>
  <c r="Q11" i="4" s="1"/>
  <c r="Q46" i="4"/>
  <c r="Q10" i="4" s="1"/>
  <c r="Q27" i="4"/>
  <c r="R8" i="10"/>
  <c r="Q8" i="5"/>
  <c r="R9" i="6"/>
  <c r="R52" i="10"/>
  <c r="R8" i="2"/>
  <c r="S4" i="4"/>
  <c r="T4" i="2" s="1"/>
  <c r="Q17" i="11"/>
  <c r="Q69" i="5" s="1"/>
  <c r="R7" i="4"/>
  <c r="P31" i="5"/>
  <c r="S5" i="2"/>
  <c r="S14" i="2" s="1"/>
  <c r="S6" i="6"/>
  <c r="S13" i="6" s="1"/>
  <c r="Q6" i="18"/>
  <c r="R14" i="4"/>
  <c r="R17" i="4" s="1"/>
  <c r="R6" i="4"/>
  <c r="P5" i="18"/>
  <c r="P8" i="18" s="1"/>
  <c r="Q8" i="17"/>
  <c r="S6" i="16"/>
  <c r="R4" i="17"/>
  <c r="Q4" i="18" s="1"/>
  <c r="S5" i="10"/>
  <c r="S14" i="10" s="1"/>
  <c r="R5" i="5"/>
  <c r="U7" i="16"/>
  <c r="S6" i="17"/>
  <c r="R24" i="10"/>
  <c r="R29" i="6" s="1"/>
  <c r="R25" i="6"/>
  <c r="R25" i="10"/>
  <c r="R30" i="6" s="1"/>
  <c r="R30" i="10"/>
  <c r="R35" i="6" s="1"/>
  <c r="R27" i="10"/>
  <c r="R32" i="6" s="1"/>
  <c r="R22" i="10"/>
  <c r="R27" i="6" s="1"/>
  <c r="R23" i="10"/>
  <c r="Q24" i="5" s="1"/>
  <c r="P29" i="5"/>
  <c r="R28" i="10"/>
  <c r="Q175" i="11" s="1"/>
  <c r="Q176" i="11" s="1"/>
  <c r="R41" i="6"/>
  <c r="R26" i="10"/>
  <c r="R31" i="6" s="1"/>
  <c r="Q16" i="11"/>
  <c r="P32" i="5"/>
  <c r="R9" i="10"/>
  <c r="R10" i="6"/>
  <c r="Q9" i="5"/>
  <c r="R9" i="2"/>
  <c r="C814" i="32" l="1"/>
  <c r="C849" i="32" s="1"/>
  <c r="O877" i="32"/>
  <c r="P674" i="32"/>
  <c r="O675" i="32"/>
  <c r="X4" i="26"/>
  <c r="X5" i="26" s="1"/>
  <c r="W8" i="26"/>
  <c r="C385" i="32"/>
  <c r="C412" i="32" s="1"/>
  <c r="Q195" i="11"/>
  <c r="Q196" i="11" s="1"/>
  <c r="Q39" i="5" s="1"/>
  <c r="C259" i="32"/>
  <c r="C284" i="32"/>
  <c r="C309" i="32" s="1"/>
  <c r="C335" i="32" s="1"/>
  <c r="C360" i="32" s="1"/>
  <c r="I43" i="21"/>
  <c r="I95" i="21" s="1"/>
  <c r="W131" i="21" s="1"/>
  <c r="P95" i="21" s="1"/>
  <c r="AD131" i="21" s="1"/>
  <c r="W95" i="21" s="1"/>
  <c r="B43" i="21"/>
  <c r="B95" i="21" s="1"/>
  <c r="Q35" i="5"/>
  <c r="BT6" i="26"/>
  <c r="P251" i="11"/>
  <c r="P252" i="11" s="1"/>
  <c r="Q249" i="11" s="1"/>
  <c r="Q246" i="11"/>
  <c r="O34" i="11"/>
  <c r="P31" i="11" s="1"/>
  <c r="P33" i="11" s="1"/>
  <c r="P79" i="5" s="1"/>
  <c r="N77" i="5"/>
  <c r="O111" i="11"/>
  <c r="O43" i="5" s="1"/>
  <c r="S16" i="6"/>
  <c r="S60" i="6" s="1"/>
  <c r="Q106" i="11"/>
  <c r="Q107" i="11" s="1"/>
  <c r="R104" i="11" s="1"/>
  <c r="Q78" i="5"/>
  <c r="Q28" i="11"/>
  <c r="Q75" i="5"/>
  <c r="P74" i="5"/>
  <c r="S36" i="10"/>
  <c r="Q140" i="11"/>
  <c r="C60" i="1"/>
  <c r="Q190" i="11"/>
  <c r="Q191" i="11" s="1"/>
  <c r="Q192" i="11" s="1"/>
  <c r="R189" i="11" s="1"/>
  <c r="V104" i="14"/>
  <c r="R5" i="11"/>
  <c r="R14" i="11" s="1"/>
  <c r="Q5" i="15"/>
  <c r="Q13" i="15" s="1"/>
  <c r="Q9" i="11"/>
  <c r="P9" i="15"/>
  <c r="Q8" i="11"/>
  <c r="P8" i="15"/>
  <c r="Q88" i="11"/>
  <c r="O172" i="11"/>
  <c r="P169" i="11" s="1"/>
  <c r="Q38" i="11"/>
  <c r="Q39" i="11" s="1"/>
  <c r="R36" i="11" s="1"/>
  <c r="Q61" i="19"/>
  <c r="Q145" i="11"/>
  <c r="Q157" i="11" s="1"/>
  <c r="Q214" i="11"/>
  <c r="V99" i="14"/>
  <c r="R13" i="19"/>
  <c r="V7" i="14"/>
  <c r="R7" i="19"/>
  <c r="W4" i="14"/>
  <c r="S4" i="19"/>
  <c r="U11" i="14"/>
  <c r="Q11" i="19"/>
  <c r="V6" i="14"/>
  <c r="R6" i="19"/>
  <c r="U10" i="14"/>
  <c r="Q10" i="19"/>
  <c r="T5" i="6"/>
  <c r="R24" i="4"/>
  <c r="R46" i="4" s="1"/>
  <c r="R10" i="4" s="1"/>
  <c r="R10" i="10"/>
  <c r="R10" i="2"/>
  <c r="R11" i="10"/>
  <c r="R12" i="6"/>
  <c r="R21" i="4"/>
  <c r="Q10" i="5"/>
  <c r="R11" i="6"/>
  <c r="R11" i="2"/>
  <c r="Q11" i="5"/>
  <c r="R50" i="4"/>
  <c r="R18" i="4"/>
  <c r="S5" i="4"/>
  <c r="T5" i="2" s="1"/>
  <c r="T14" i="2" s="1"/>
  <c r="S7" i="6"/>
  <c r="R6" i="5"/>
  <c r="S6" i="2"/>
  <c r="S6" i="10"/>
  <c r="S7" i="2"/>
  <c r="S8" i="6"/>
  <c r="S4" i="5"/>
  <c r="R7" i="5"/>
  <c r="T4" i="10"/>
  <c r="Q170" i="11"/>
  <c r="Q18" i="11"/>
  <c r="Q19" i="11" s="1"/>
  <c r="P31" i="15" s="1"/>
  <c r="S7" i="10"/>
  <c r="R37" i="4"/>
  <c r="R51" i="4"/>
  <c r="R16" i="4"/>
  <c r="R20" i="4"/>
  <c r="R44" i="4"/>
  <c r="R8" i="4" s="1"/>
  <c r="R52" i="4"/>
  <c r="R35" i="4"/>
  <c r="R41" i="4"/>
  <c r="R22" i="4"/>
  <c r="Q25" i="5"/>
  <c r="R13" i="5"/>
  <c r="R231" i="11" s="1"/>
  <c r="Q185" i="11"/>
  <c r="Q186" i="11" s="1"/>
  <c r="Q166" i="11"/>
  <c r="R33" i="6"/>
  <c r="R28" i="6"/>
  <c r="R6" i="18"/>
  <c r="R36" i="4"/>
  <c r="R54" i="4"/>
  <c r="R29" i="4"/>
  <c r="R23" i="4"/>
  <c r="S46" i="10" s="1"/>
  <c r="R53" i="4"/>
  <c r="T6" i="17"/>
  <c r="V7" i="16"/>
  <c r="R5" i="17"/>
  <c r="S10" i="16"/>
  <c r="S54" i="16" s="1"/>
  <c r="T5" i="16"/>
  <c r="R30" i="4"/>
  <c r="R48" i="4"/>
  <c r="Q26" i="5"/>
  <c r="R55" i="4"/>
  <c r="R31" i="4"/>
  <c r="R43" i="4"/>
  <c r="R42" i="4"/>
  <c r="Q23" i="5"/>
  <c r="Q177" i="11"/>
  <c r="R174" i="11" s="1"/>
  <c r="Q29" i="5"/>
  <c r="S24" i="2"/>
  <c r="S23" i="2"/>
  <c r="S30" i="2"/>
  <c r="S21" i="2"/>
  <c r="S25" i="2"/>
  <c r="S22" i="2"/>
  <c r="C815" i="32" l="1"/>
  <c r="C850" i="32" s="1"/>
  <c r="P877" i="32"/>
  <c r="P675" i="32"/>
  <c r="Q674" i="32"/>
  <c r="Y4" i="26"/>
  <c r="Y5" i="26" s="1"/>
  <c r="X8" i="26"/>
  <c r="C386" i="32"/>
  <c r="C413" i="32" s="1"/>
  <c r="R245" i="11"/>
  <c r="R235" i="11"/>
  <c r="Q197" i="11"/>
  <c r="R194" i="11" s="1"/>
  <c r="S22" i="10"/>
  <c r="S27" i="6" s="1"/>
  <c r="F551" i="32" s="1"/>
  <c r="S21" i="6"/>
  <c r="C260" i="32"/>
  <c r="C285" i="32"/>
  <c r="C310" i="32" s="1"/>
  <c r="C336" i="32" s="1"/>
  <c r="C361" i="32" s="1"/>
  <c r="B44" i="21"/>
  <c r="B96" i="21" s="1"/>
  <c r="I44" i="21"/>
  <c r="I96" i="21" s="1"/>
  <c r="W132" i="21" s="1"/>
  <c r="P96" i="21" s="1"/>
  <c r="AD132" i="21" s="1"/>
  <c r="W96" i="21" s="1"/>
  <c r="BU6" i="26"/>
  <c r="P68" i="11"/>
  <c r="P102" i="5" s="1"/>
  <c r="Q247" i="11"/>
  <c r="R244" i="11" s="1"/>
  <c r="P110" i="11"/>
  <c r="Q49" i="6" s="1"/>
  <c r="Q250" i="11"/>
  <c r="Q251" i="11" s="1"/>
  <c r="Q252" i="11" s="1"/>
  <c r="R249" i="11" s="1"/>
  <c r="R72" i="11"/>
  <c r="R106" i="5" s="1"/>
  <c r="R67" i="11"/>
  <c r="R101" i="5" s="1"/>
  <c r="F622" i="32" s="1"/>
  <c r="O112" i="11"/>
  <c r="P109" i="11" s="1"/>
  <c r="Q42" i="5"/>
  <c r="P77" i="5"/>
  <c r="P34" i="11"/>
  <c r="Q31" i="11" s="1"/>
  <c r="Q29" i="11"/>
  <c r="R26" i="11" s="1"/>
  <c r="R105" i="11" s="1"/>
  <c r="S48" i="6" s="1"/>
  <c r="Q76" i="5"/>
  <c r="R32" i="11"/>
  <c r="S31" i="10"/>
  <c r="R190" i="11" s="1"/>
  <c r="R191" i="11" s="1"/>
  <c r="R37" i="11"/>
  <c r="R81" i="5" s="1"/>
  <c r="R27" i="11"/>
  <c r="V88" i="14"/>
  <c r="Q32" i="5"/>
  <c r="C61" i="1"/>
  <c r="R57" i="11"/>
  <c r="R90" i="5" s="1"/>
  <c r="R61" i="19" s="1"/>
  <c r="R97" i="11"/>
  <c r="R17" i="11"/>
  <c r="R69" i="5" s="1"/>
  <c r="R87" i="11"/>
  <c r="R88" i="11" s="1"/>
  <c r="Q11" i="11"/>
  <c r="P11" i="15"/>
  <c r="R7" i="11"/>
  <c r="Q7" i="15"/>
  <c r="R6" i="11"/>
  <c r="Q6" i="15"/>
  <c r="P10" i="15"/>
  <c r="S4" i="11"/>
  <c r="R4" i="15"/>
  <c r="P171" i="11"/>
  <c r="P28" i="5" s="1"/>
  <c r="R38" i="4"/>
  <c r="R39" i="4" s="1"/>
  <c r="R32" i="4"/>
  <c r="R33" i="4" s="1"/>
  <c r="Q82" i="5"/>
  <c r="Q80" i="5" s="1"/>
  <c r="V8" i="14"/>
  <c r="R8" i="19"/>
  <c r="V10" i="14"/>
  <c r="R10" i="19"/>
  <c r="W5" i="14"/>
  <c r="W15" i="14" s="1"/>
  <c r="S5" i="19"/>
  <c r="Q10" i="11"/>
  <c r="R26" i="4"/>
  <c r="T5" i="10"/>
  <c r="T14" i="10" s="1"/>
  <c r="S5" i="5"/>
  <c r="T6" i="6"/>
  <c r="T13" i="6" s="1"/>
  <c r="R27" i="4"/>
  <c r="R25" i="4"/>
  <c r="R45" i="4"/>
  <c r="R9" i="4" s="1"/>
  <c r="R47" i="4"/>
  <c r="R11" i="4" s="1"/>
  <c r="S41" i="6"/>
  <c r="S14" i="4"/>
  <c r="S44" i="4" s="1"/>
  <c r="S8" i="4" s="1"/>
  <c r="T8" i="2" s="1"/>
  <c r="T4" i="4"/>
  <c r="S6" i="4"/>
  <c r="T6" i="2" s="1"/>
  <c r="S24" i="10"/>
  <c r="S29" i="6" s="1"/>
  <c r="S7" i="4"/>
  <c r="T7" i="2" s="1"/>
  <c r="R8" i="5"/>
  <c r="S23" i="10"/>
  <c r="S28" i="6" s="1"/>
  <c r="F552" i="32" s="1"/>
  <c r="S30" i="10"/>
  <c r="S35" i="6" s="1"/>
  <c r="S26" i="10"/>
  <c r="R166" i="11" s="1"/>
  <c r="Q70" i="5"/>
  <c r="Q68" i="5" s="1"/>
  <c r="S8" i="2"/>
  <c r="S25" i="10"/>
  <c r="R26" i="5" s="1"/>
  <c r="F593" i="32" s="1"/>
  <c r="S9" i="6"/>
  <c r="S49" i="10"/>
  <c r="S53" i="10"/>
  <c r="S47" i="10"/>
  <c r="S52" i="10"/>
  <c r="S27" i="10"/>
  <c r="R170" i="11" s="1"/>
  <c r="S45" i="10"/>
  <c r="S25" i="6"/>
  <c r="S8" i="10"/>
  <c r="S28" i="10"/>
  <c r="R175" i="11" s="1"/>
  <c r="R176" i="11" s="1"/>
  <c r="S48" i="10"/>
  <c r="S50" i="10"/>
  <c r="S44" i="10"/>
  <c r="S4" i="17"/>
  <c r="R4" i="18" s="1"/>
  <c r="T6" i="16"/>
  <c r="Q5" i="18"/>
  <c r="Q8" i="18" s="1"/>
  <c r="R8" i="17"/>
  <c r="W7" i="16"/>
  <c r="U6" i="17"/>
  <c r="S6" i="18"/>
  <c r="R16" i="11"/>
  <c r="Q187" i="11"/>
  <c r="R184" i="11" s="1"/>
  <c r="Q31" i="5"/>
  <c r="S10" i="2"/>
  <c r="S10" i="10"/>
  <c r="S11" i="6"/>
  <c r="R10" i="5"/>
  <c r="S138" i="5" l="1"/>
  <c r="S137" i="5"/>
  <c r="Q877" i="32"/>
  <c r="C816" i="32"/>
  <c r="C851" i="32" s="1"/>
  <c r="Q675" i="32"/>
  <c r="R674" i="32"/>
  <c r="Z4" i="26"/>
  <c r="Z5" i="26" s="1"/>
  <c r="AA4" i="26" s="1"/>
  <c r="AA5" i="26" s="1"/>
  <c r="Y8" i="26"/>
  <c r="C387" i="32"/>
  <c r="C414" i="32" s="1"/>
  <c r="F555" i="32"/>
  <c r="R23" i="5"/>
  <c r="F591" i="32" s="1"/>
  <c r="R35" i="5"/>
  <c r="F610" i="32" s="1"/>
  <c r="F573" i="32"/>
  <c r="S19" i="10"/>
  <c r="F549" i="32"/>
  <c r="C261" i="32"/>
  <c r="C286" i="32"/>
  <c r="C311" i="32" s="1"/>
  <c r="C337" i="32" s="1"/>
  <c r="C362" i="32" s="1"/>
  <c r="I45" i="21"/>
  <c r="I97" i="21" s="1"/>
  <c r="W133" i="21" s="1"/>
  <c r="P97" i="21" s="1"/>
  <c r="AD133" i="21" s="1"/>
  <c r="W97" i="21" s="1"/>
  <c r="B45" i="21"/>
  <c r="B97" i="21" s="1"/>
  <c r="R195" i="11"/>
  <c r="F572" i="32"/>
  <c r="P27" i="19"/>
  <c r="P111" i="11"/>
  <c r="P112" i="11" s="1"/>
  <c r="Q109" i="11" s="1"/>
  <c r="BV6" i="26"/>
  <c r="Q68" i="11"/>
  <c r="Q102" i="5" s="1"/>
  <c r="Q27" i="19" s="1"/>
  <c r="R250" i="11"/>
  <c r="R251" i="11" s="1"/>
  <c r="Q74" i="5"/>
  <c r="T16" i="6"/>
  <c r="T60" i="6" s="1"/>
  <c r="Q110" i="11"/>
  <c r="R49" i="6" s="1"/>
  <c r="Q33" i="11"/>
  <c r="Q79" i="5" s="1"/>
  <c r="Q10" i="15"/>
  <c r="R78" i="5"/>
  <c r="R28" i="11"/>
  <c r="R75" i="5"/>
  <c r="R106" i="11"/>
  <c r="R38" i="11"/>
  <c r="R82" i="5" s="1"/>
  <c r="R80" i="5" s="1"/>
  <c r="T36" i="10"/>
  <c r="R140" i="11"/>
  <c r="R214" i="11"/>
  <c r="R145" i="11"/>
  <c r="R157" i="11" s="1"/>
  <c r="C62" i="1"/>
  <c r="R18" i="11"/>
  <c r="R70" i="5" s="1"/>
  <c r="F618" i="32" s="1"/>
  <c r="W99" i="14"/>
  <c r="W88" i="14" s="1"/>
  <c r="R8" i="11"/>
  <c r="Q8" i="15"/>
  <c r="T4" i="5"/>
  <c r="U4" i="2"/>
  <c r="S5" i="11"/>
  <c r="S14" i="11" s="1"/>
  <c r="R5" i="15"/>
  <c r="R13" i="15" s="1"/>
  <c r="P172" i="11"/>
  <c r="Q169" i="11" s="1"/>
  <c r="Q171" i="11" s="1"/>
  <c r="Q28" i="5" s="1"/>
  <c r="S13" i="19"/>
  <c r="S22" i="4"/>
  <c r="S55" i="4"/>
  <c r="S42" i="4"/>
  <c r="S50" i="4"/>
  <c r="S41" i="4"/>
  <c r="S23" i="4"/>
  <c r="S53" i="4"/>
  <c r="S29" i="4"/>
  <c r="S35" i="4"/>
  <c r="S43" i="4"/>
  <c r="S24" i="4"/>
  <c r="S26" i="4" s="1"/>
  <c r="S30" i="4"/>
  <c r="U5" i="6"/>
  <c r="S54" i="4"/>
  <c r="U4" i="10"/>
  <c r="S52" i="4"/>
  <c r="S31" i="4"/>
  <c r="S32" i="4" s="1"/>
  <c r="S33" i="4" s="1"/>
  <c r="S37" i="4"/>
  <c r="S38" i="4" s="1"/>
  <c r="S39" i="4" s="1"/>
  <c r="T5" i="4"/>
  <c r="S21" i="4"/>
  <c r="S17" i="4"/>
  <c r="S16" i="4"/>
  <c r="S36" i="4"/>
  <c r="S51" i="4"/>
  <c r="W6" i="14"/>
  <c r="S6" i="19"/>
  <c r="X4" i="14"/>
  <c r="T4" i="19"/>
  <c r="W8" i="14"/>
  <c r="S8" i="19"/>
  <c r="W7" i="14"/>
  <c r="S7" i="19"/>
  <c r="V9" i="14"/>
  <c r="R9" i="19"/>
  <c r="R24" i="5"/>
  <c r="F592" i="32" s="1"/>
  <c r="V11" i="14"/>
  <c r="R11" i="19"/>
  <c r="R185" i="11"/>
  <c r="R186" i="11" s="1"/>
  <c r="R31" i="5" s="1"/>
  <c r="S48" i="4"/>
  <c r="S13" i="5"/>
  <c r="S231" i="11" s="1"/>
  <c r="S30" i="6"/>
  <c r="F553" i="32" s="1"/>
  <c r="S11" i="2"/>
  <c r="S20" i="4"/>
  <c r="S18" i="4"/>
  <c r="S11" i="10"/>
  <c r="R11" i="5"/>
  <c r="S9" i="10"/>
  <c r="T8" i="6"/>
  <c r="S7" i="5"/>
  <c r="S12" i="6"/>
  <c r="T7" i="10"/>
  <c r="S9" i="2"/>
  <c r="S10" i="6"/>
  <c r="R9" i="5"/>
  <c r="S32" i="6"/>
  <c r="T6" i="10"/>
  <c r="R25" i="5"/>
  <c r="F595" i="32" s="1"/>
  <c r="T7" i="6"/>
  <c r="S6" i="5"/>
  <c r="S33" i="6"/>
  <c r="S31" i="6"/>
  <c r="S36" i="6"/>
  <c r="F556" i="32" s="1"/>
  <c r="T6" i="18"/>
  <c r="X7" i="16"/>
  <c r="V6" i="17"/>
  <c r="R10" i="11"/>
  <c r="T10" i="16"/>
  <c r="T54" i="16" s="1"/>
  <c r="S5" i="17"/>
  <c r="U5" i="16"/>
  <c r="R192" i="11"/>
  <c r="S189" i="11" s="1"/>
  <c r="R32" i="5"/>
  <c r="F596" i="32" s="1"/>
  <c r="R177" i="11"/>
  <c r="S174" i="11" s="1"/>
  <c r="R29" i="5"/>
  <c r="T8" i="10"/>
  <c r="T9" i="6"/>
  <c r="S8" i="5"/>
  <c r="Z8" i="26" l="1"/>
  <c r="R877" i="32"/>
  <c r="C817" i="32"/>
  <c r="C852" i="32" s="1"/>
  <c r="R675" i="32"/>
  <c r="S674" i="32"/>
  <c r="R196" i="11"/>
  <c r="C388" i="32"/>
  <c r="C415" i="32" s="1"/>
  <c r="S245" i="11"/>
  <c r="S235" i="11"/>
  <c r="F554" i="32"/>
  <c r="T22" i="10"/>
  <c r="T21" i="6"/>
  <c r="C262" i="32"/>
  <c r="C287" i="32"/>
  <c r="C312" i="32" s="1"/>
  <c r="C338" i="32" s="1"/>
  <c r="C363" i="32" s="1"/>
  <c r="B46" i="21"/>
  <c r="B98" i="21" s="1"/>
  <c r="I46" i="21"/>
  <c r="I98" i="21" s="1"/>
  <c r="W134" i="21" s="1"/>
  <c r="P98" i="21" s="1"/>
  <c r="AD134" i="21" s="1"/>
  <c r="W98" i="21" s="1"/>
  <c r="P43" i="5"/>
  <c r="BW6" i="26"/>
  <c r="R246" i="11"/>
  <c r="R252" i="11"/>
  <c r="S249" i="11" s="1"/>
  <c r="S72" i="11"/>
  <c r="S106" i="5" s="1"/>
  <c r="S67" i="11"/>
  <c r="S101" i="5" s="1"/>
  <c r="Q77" i="5"/>
  <c r="AB4" i="26"/>
  <c r="AB5" i="26" s="1"/>
  <c r="AA8" i="26"/>
  <c r="R39" i="11"/>
  <c r="S36" i="11" s="1"/>
  <c r="Q111" i="11"/>
  <c r="Q112" i="11" s="1"/>
  <c r="R109" i="11" s="1"/>
  <c r="R107" i="11"/>
  <c r="S104" i="11" s="1"/>
  <c r="R42" i="5"/>
  <c r="Q34" i="11"/>
  <c r="R31" i="11" s="1"/>
  <c r="R29" i="11"/>
  <c r="S26" i="11" s="1"/>
  <c r="S105" i="11" s="1"/>
  <c r="T48" i="6" s="1"/>
  <c r="R76" i="5"/>
  <c r="R74" i="5" s="1"/>
  <c r="S32" i="11"/>
  <c r="T31" i="10"/>
  <c r="S190" i="11" s="1"/>
  <c r="S37" i="11"/>
  <c r="S27" i="11"/>
  <c r="R19" i="11"/>
  <c r="Q31" i="15" s="1"/>
  <c r="F652" i="32" s="1"/>
  <c r="S57" i="11"/>
  <c r="S90" i="5" s="1"/>
  <c r="S61" i="19" s="1"/>
  <c r="S87" i="11"/>
  <c r="S88" i="11" s="1"/>
  <c r="S97" i="11"/>
  <c r="S17" i="11"/>
  <c r="S69" i="5" s="1"/>
  <c r="R11" i="11"/>
  <c r="Q11" i="15"/>
  <c r="S6" i="11"/>
  <c r="R6" i="15"/>
  <c r="T22" i="2"/>
  <c r="T30" i="2"/>
  <c r="T21" i="2"/>
  <c r="T25" i="2"/>
  <c r="T24" i="2"/>
  <c r="T23" i="2"/>
  <c r="X5" i="14"/>
  <c r="X15" i="14" s="1"/>
  <c r="U5" i="2"/>
  <c r="U14" i="2" s="1"/>
  <c r="R9" i="11"/>
  <c r="Q9" i="15"/>
  <c r="S8" i="11"/>
  <c r="R8" i="15"/>
  <c r="S7" i="11"/>
  <c r="R7" i="15"/>
  <c r="T4" i="11"/>
  <c r="S4" i="15"/>
  <c r="Q172" i="11"/>
  <c r="R169" i="11" s="1"/>
  <c r="R171" i="11" s="1"/>
  <c r="R28" i="5" s="1"/>
  <c r="T25" i="10"/>
  <c r="T30" i="6" s="1"/>
  <c r="T25" i="6"/>
  <c r="T23" i="10"/>
  <c r="S24" i="5" s="1"/>
  <c r="U6" i="6"/>
  <c r="U13" i="6" s="1"/>
  <c r="U5" i="10"/>
  <c r="U14" i="10" s="1"/>
  <c r="T28" i="10"/>
  <c r="T33" i="6" s="1"/>
  <c r="T24" i="10"/>
  <c r="S25" i="5" s="1"/>
  <c r="T5" i="5"/>
  <c r="T14" i="4"/>
  <c r="T36" i="4" s="1"/>
  <c r="T6" i="4"/>
  <c r="T30" i="10"/>
  <c r="T35" i="6" s="1"/>
  <c r="T41" i="6"/>
  <c r="T47" i="10"/>
  <c r="T44" i="10"/>
  <c r="T53" i="10"/>
  <c r="T26" i="10"/>
  <c r="T31" i="6" s="1"/>
  <c r="T48" i="10"/>
  <c r="T27" i="10"/>
  <c r="T32" i="6" s="1"/>
  <c r="T45" i="10"/>
  <c r="T52" i="10"/>
  <c r="T50" i="10"/>
  <c r="S46" i="4"/>
  <c r="S10" i="4" s="1"/>
  <c r="T46" i="10"/>
  <c r="T49" i="10"/>
  <c r="S25" i="4"/>
  <c r="S27" i="4"/>
  <c r="T7" i="4"/>
  <c r="S45" i="4"/>
  <c r="S9" i="4" s="1"/>
  <c r="S47" i="4"/>
  <c r="S11" i="4" s="1"/>
  <c r="T11" i="2" s="1"/>
  <c r="T5" i="19"/>
  <c r="U4" i="4"/>
  <c r="R5" i="18"/>
  <c r="R8" i="18" s="1"/>
  <c r="S8" i="17"/>
  <c r="U6" i="16"/>
  <c r="T4" i="17"/>
  <c r="S4" i="18" s="1"/>
  <c r="Y7" i="16"/>
  <c r="W6" i="17"/>
  <c r="R68" i="5"/>
  <c r="U6" i="18"/>
  <c r="R187" i="11"/>
  <c r="S184" i="11" s="1"/>
  <c r="T137" i="5" l="1"/>
  <c r="T138" i="5"/>
  <c r="C818" i="32"/>
  <c r="C853" i="32" s="1"/>
  <c r="S877" i="32"/>
  <c r="T674" i="32"/>
  <c r="S675" i="32"/>
  <c r="R39" i="5"/>
  <c r="F609" i="32" s="1"/>
  <c r="R197" i="11"/>
  <c r="S194" i="11" s="1"/>
  <c r="S23" i="5"/>
  <c r="T27" i="6"/>
  <c r="C389" i="32"/>
  <c r="C416" i="32" s="1"/>
  <c r="S35" i="5"/>
  <c r="T19" i="10"/>
  <c r="S195" i="11"/>
  <c r="C288" i="32"/>
  <c r="C313" i="32" s="1"/>
  <c r="C339" i="32" s="1"/>
  <c r="C364" i="32" s="1"/>
  <c r="C263" i="32"/>
  <c r="BX6" i="26"/>
  <c r="R247" i="11"/>
  <c r="S244" i="11" s="1"/>
  <c r="R68" i="11"/>
  <c r="R102" i="5" s="1"/>
  <c r="R27" i="19" s="1"/>
  <c r="AC4" i="26"/>
  <c r="AC5" i="26" s="1"/>
  <c r="AB8" i="26"/>
  <c r="M81" i="16"/>
  <c r="U16" i="6"/>
  <c r="U60" i="6" s="1"/>
  <c r="Q43" i="5"/>
  <c r="S38" i="11"/>
  <c r="R110" i="11"/>
  <c r="S49" i="6" s="1"/>
  <c r="R33" i="11"/>
  <c r="R79" i="5" s="1"/>
  <c r="S78" i="5"/>
  <c r="S28" i="11"/>
  <c r="S75" i="5"/>
  <c r="S106" i="11"/>
  <c r="S81" i="5"/>
  <c r="S145" i="11"/>
  <c r="S157" i="11" s="1"/>
  <c r="U36" i="10"/>
  <c r="X99" i="14"/>
  <c r="S140" i="11"/>
  <c r="S16" i="11"/>
  <c r="S18" i="11" s="1"/>
  <c r="S70" i="5" s="1"/>
  <c r="S68" i="5" s="1"/>
  <c r="S214" i="11"/>
  <c r="X104" i="14"/>
  <c r="Y4" i="14"/>
  <c r="V4" i="2"/>
  <c r="T6" i="19"/>
  <c r="U6" i="2"/>
  <c r="T10" i="6"/>
  <c r="T9" i="2"/>
  <c r="T5" i="11"/>
  <c r="T14" i="11" s="1"/>
  <c r="S5" i="15"/>
  <c r="S13" i="15" s="1"/>
  <c r="W10" i="14"/>
  <c r="T10" i="2"/>
  <c r="U7" i="10"/>
  <c r="U7" i="2"/>
  <c r="R172" i="11"/>
  <c r="S169" i="11" s="1"/>
  <c r="T51" i="4"/>
  <c r="S26" i="5"/>
  <c r="T28" i="6"/>
  <c r="T29" i="6"/>
  <c r="T6" i="5"/>
  <c r="U6" i="10"/>
  <c r="U7" i="6"/>
  <c r="X6" i="14"/>
  <c r="S175" i="11"/>
  <c r="S176" i="11" s="1"/>
  <c r="S29" i="5" s="1"/>
  <c r="T37" i="4"/>
  <c r="T38" i="4" s="1"/>
  <c r="T39" i="4" s="1"/>
  <c r="T43" i="4"/>
  <c r="T31" i="4"/>
  <c r="T32" i="4" s="1"/>
  <c r="T33" i="4" s="1"/>
  <c r="T17" i="4"/>
  <c r="T35" i="4"/>
  <c r="T30" i="4"/>
  <c r="T44" i="4"/>
  <c r="T8" i="4" s="1"/>
  <c r="T13" i="5"/>
  <c r="T231" i="11" s="1"/>
  <c r="T16" i="4"/>
  <c r="T22" i="4"/>
  <c r="T53" i="4"/>
  <c r="T11" i="6"/>
  <c r="T21" i="4"/>
  <c r="T52" i="4"/>
  <c r="T10" i="10"/>
  <c r="T23" i="4"/>
  <c r="U47" i="10" s="1"/>
  <c r="T54" i="4"/>
  <c r="T29" i="4"/>
  <c r="T41" i="4"/>
  <c r="T48" i="4"/>
  <c r="T50" i="4"/>
  <c r="S10" i="5"/>
  <c r="T18" i="4"/>
  <c r="T20" i="4"/>
  <c r="T24" i="4"/>
  <c r="T26" i="4" s="1"/>
  <c r="T55" i="4"/>
  <c r="S185" i="11"/>
  <c r="S186" i="11" s="1"/>
  <c r="S31" i="5" s="1"/>
  <c r="T42" i="4"/>
  <c r="V4" i="10"/>
  <c r="U4" i="5"/>
  <c r="V5" i="6"/>
  <c r="U5" i="4"/>
  <c r="S10" i="19"/>
  <c r="S170" i="11"/>
  <c r="T7" i="19"/>
  <c r="S9" i="5"/>
  <c r="U8" i="6"/>
  <c r="T36" i="6"/>
  <c r="X7" i="14"/>
  <c r="T9" i="10"/>
  <c r="T7" i="5"/>
  <c r="U4" i="19"/>
  <c r="S11" i="5"/>
  <c r="S166" i="11"/>
  <c r="T11" i="10"/>
  <c r="T13" i="19"/>
  <c r="T12" i="6"/>
  <c r="W9" i="14"/>
  <c r="S9" i="19"/>
  <c r="S11" i="19"/>
  <c r="W11" i="14"/>
  <c r="V6" i="18"/>
  <c r="T5" i="17"/>
  <c r="V5" i="16"/>
  <c r="U10" i="16"/>
  <c r="U54" i="16" s="1"/>
  <c r="X6" i="17"/>
  <c r="Z7" i="16"/>
  <c r="S191" i="11"/>
  <c r="C819" i="32" l="1"/>
  <c r="C854" i="32" s="1"/>
  <c r="T877" i="32"/>
  <c r="T675" i="32"/>
  <c r="U674" i="32"/>
  <c r="C390" i="32"/>
  <c r="C417" i="32" s="1"/>
  <c r="S196" i="11"/>
  <c r="T245" i="11"/>
  <c r="T235" i="11"/>
  <c r="U22" i="10"/>
  <c r="U21" i="6"/>
  <c r="C264" i="32"/>
  <c r="C289" i="32"/>
  <c r="C314" i="32" s="1"/>
  <c r="C340" i="32" s="1"/>
  <c r="C365" i="32" s="1"/>
  <c r="BY6" i="26"/>
  <c r="S246" i="11"/>
  <c r="S247" i="11" s="1"/>
  <c r="T244" i="11" s="1"/>
  <c r="S250" i="11"/>
  <c r="S251" i="11" s="1"/>
  <c r="S252" i="11" s="1"/>
  <c r="T249" i="11" s="1"/>
  <c r="T72" i="11"/>
  <c r="T106" i="5" s="1"/>
  <c r="T67" i="11"/>
  <c r="T101" i="5" s="1"/>
  <c r="R77" i="5"/>
  <c r="AD4" i="26"/>
  <c r="AD5" i="26" s="1"/>
  <c r="AC8" i="26"/>
  <c r="S82" i="5"/>
  <c r="S80" i="5" s="1"/>
  <c r="S39" i="11"/>
  <c r="T36" i="11" s="1"/>
  <c r="R111" i="11"/>
  <c r="R43" i="5" s="1"/>
  <c r="S107" i="11"/>
  <c r="T104" i="11" s="1"/>
  <c r="S42" i="5"/>
  <c r="R34" i="11"/>
  <c r="S31" i="11" s="1"/>
  <c r="S29" i="11"/>
  <c r="T26" i="11" s="1"/>
  <c r="T105" i="11" s="1"/>
  <c r="U48" i="6" s="1"/>
  <c r="S76" i="5"/>
  <c r="S74" i="5" s="1"/>
  <c r="T32" i="11"/>
  <c r="U31" i="10"/>
  <c r="T190" i="11" s="1"/>
  <c r="T37" i="11"/>
  <c r="T81" i="5" s="1"/>
  <c r="T27" i="11"/>
  <c r="X88" i="14"/>
  <c r="S19" i="11"/>
  <c r="R31" i="15" s="1"/>
  <c r="T97" i="11"/>
  <c r="T17" i="11"/>
  <c r="T69" i="5" s="1"/>
  <c r="S10" i="11"/>
  <c r="R10" i="15"/>
  <c r="S11" i="11"/>
  <c r="R11" i="15"/>
  <c r="T7" i="11"/>
  <c r="S7" i="15"/>
  <c r="T87" i="11"/>
  <c r="T88" i="11" s="1"/>
  <c r="T6" i="11"/>
  <c r="S6" i="15"/>
  <c r="U8" i="10"/>
  <c r="U8" i="2"/>
  <c r="T57" i="11"/>
  <c r="T90" i="5" s="1"/>
  <c r="T61" i="19" s="1"/>
  <c r="S9" i="11"/>
  <c r="R9" i="15"/>
  <c r="V5" i="10"/>
  <c r="V14" i="10" s="1"/>
  <c r="V5" i="2"/>
  <c r="V14" i="2" s="1"/>
  <c r="U4" i="11"/>
  <c r="T4" i="15"/>
  <c r="U23" i="2"/>
  <c r="U22" i="2"/>
  <c r="U30" i="2"/>
  <c r="U24" i="2"/>
  <c r="U25" i="2"/>
  <c r="U21" i="2"/>
  <c r="V4" i="4"/>
  <c r="U14" i="4"/>
  <c r="U17" i="4" s="1"/>
  <c r="S177" i="11"/>
  <c r="T174" i="11" s="1"/>
  <c r="U5" i="19"/>
  <c r="U23" i="10"/>
  <c r="U28" i="6" s="1"/>
  <c r="U46" i="10"/>
  <c r="U50" i="10"/>
  <c r="T45" i="4"/>
  <c r="T9" i="4" s="1"/>
  <c r="T46" i="4"/>
  <c r="T10" i="4" s="1"/>
  <c r="T47" i="4"/>
  <c r="T11" i="4" s="1"/>
  <c r="U44" i="10"/>
  <c r="U52" i="10"/>
  <c r="T8" i="19"/>
  <c r="U48" i="10"/>
  <c r="U49" i="10"/>
  <c r="X8" i="14"/>
  <c r="T8" i="5"/>
  <c r="U45" i="10"/>
  <c r="U9" i="6"/>
  <c r="U53" i="10"/>
  <c r="U25" i="6"/>
  <c r="U41" i="6"/>
  <c r="U27" i="10"/>
  <c r="U32" i="6" s="1"/>
  <c r="U30" i="10"/>
  <c r="U35" i="6" s="1"/>
  <c r="T25" i="4"/>
  <c r="U26" i="10"/>
  <c r="U31" i="6" s="1"/>
  <c r="U28" i="10"/>
  <c r="U33" i="6" s="1"/>
  <c r="U24" i="10"/>
  <c r="T25" i="5" s="1"/>
  <c r="U25" i="10"/>
  <c r="T27" i="4"/>
  <c r="U6" i="4"/>
  <c r="Y5" i="14"/>
  <c r="Y15" i="14" s="1"/>
  <c r="U7" i="4"/>
  <c r="S171" i="11"/>
  <c r="S28" i="5" s="1"/>
  <c r="U5" i="5"/>
  <c r="V6" i="6"/>
  <c r="V13" i="6" s="1"/>
  <c r="S187" i="11"/>
  <c r="T184" i="11" s="1"/>
  <c r="T8" i="17"/>
  <c r="S5" i="18"/>
  <c r="S8" i="18" s="1"/>
  <c r="W6" i="18"/>
  <c r="V6" i="16"/>
  <c r="U4" i="17"/>
  <c r="T4" i="18" s="1"/>
  <c r="AA7" i="16"/>
  <c r="Y6" i="17"/>
  <c r="S192" i="11"/>
  <c r="T189" i="11" s="1"/>
  <c r="S32" i="5"/>
  <c r="U877" i="32" l="1"/>
  <c r="C820" i="32"/>
  <c r="C855" i="32" s="1"/>
  <c r="V674" i="32"/>
  <c r="U675" i="32"/>
  <c r="S39" i="5"/>
  <c r="S197" i="11"/>
  <c r="T194" i="11" s="1"/>
  <c r="U27" i="6"/>
  <c r="T23" i="5"/>
  <c r="C391" i="32"/>
  <c r="C418" i="32" s="1"/>
  <c r="T195" i="11"/>
  <c r="C265" i="32"/>
  <c r="C290" i="32"/>
  <c r="C315" i="32" s="1"/>
  <c r="C341" i="32" s="1"/>
  <c r="C366" i="32" s="1"/>
  <c r="U19" i="10"/>
  <c r="T35" i="5"/>
  <c r="U13" i="19"/>
  <c r="BZ6" i="26"/>
  <c r="S68" i="11"/>
  <c r="S102" i="5" s="1"/>
  <c r="S27" i="19" s="1"/>
  <c r="T246" i="11"/>
  <c r="AE4" i="26"/>
  <c r="AE5" i="26" s="1"/>
  <c r="AD8" i="26"/>
  <c r="V16" i="6"/>
  <c r="V60" i="6" s="1"/>
  <c r="R112" i="11"/>
  <c r="S109" i="11" s="1"/>
  <c r="S110" i="11"/>
  <c r="T49" i="6" s="1"/>
  <c r="S33" i="11"/>
  <c r="S79" i="5" s="1"/>
  <c r="T78" i="5"/>
  <c r="T28" i="11"/>
  <c r="T75" i="5"/>
  <c r="T106" i="11"/>
  <c r="T140" i="11"/>
  <c r="V36" i="10"/>
  <c r="T38" i="11"/>
  <c r="T39" i="11" s="1"/>
  <c r="U36" i="11" s="1"/>
  <c r="T214" i="11"/>
  <c r="T145" i="11"/>
  <c r="T157" i="11" s="1"/>
  <c r="T16" i="11"/>
  <c r="T18" i="11" s="1"/>
  <c r="T70" i="5" s="1"/>
  <c r="T68" i="5" s="1"/>
  <c r="Y104" i="14"/>
  <c r="Y7" i="14"/>
  <c r="V7" i="2"/>
  <c r="V21" i="2"/>
  <c r="V23" i="2"/>
  <c r="V30" i="2"/>
  <c r="V24" i="2"/>
  <c r="V22" i="2"/>
  <c r="V25" i="2"/>
  <c r="U12" i="6"/>
  <c r="U11" i="2"/>
  <c r="Y6" i="14"/>
  <c r="V6" i="2"/>
  <c r="V5" i="4"/>
  <c r="W5" i="2" s="1"/>
  <c r="W14" i="2" s="1"/>
  <c r="W4" i="2"/>
  <c r="U5" i="11"/>
  <c r="U14" i="11" s="1"/>
  <c r="T5" i="15"/>
  <c r="T13" i="15" s="1"/>
  <c r="U10" i="10"/>
  <c r="U10" i="2"/>
  <c r="T9" i="19"/>
  <c r="U9" i="2"/>
  <c r="T8" i="11"/>
  <c r="S8" i="15"/>
  <c r="V4" i="5"/>
  <c r="Z4" i="14"/>
  <c r="V4" i="19"/>
  <c r="W4" i="10"/>
  <c r="W5" i="6"/>
  <c r="U52" i="4"/>
  <c r="U20" i="4"/>
  <c r="U18" i="4"/>
  <c r="U24" i="4"/>
  <c r="U25" i="4" s="1"/>
  <c r="U54" i="4"/>
  <c r="U16" i="4"/>
  <c r="U42" i="4"/>
  <c r="U37" i="4"/>
  <c r="U38" i="4" s="1"/>
  <c r="U39" i="4" s="1"/>
  <c r="U48" i="4"/>
  <c r="U41" i="4"/>
  <c r="U30" i="4"/>
  <c r="U51" i="4"/>
  <c r="U50" i="4"/>
  <c r="U22" i="4"/>
  <c r="T10" i="19"/>
  <c r="X9" i="14"/>
  <c r="U21" i="4"/>
  <c r="U35" i="4"/>
  <c r="U53" i="4"/>
  <c r="U36" i="4"/>
  <c r="U29" i="4"/>
  <c r="U55" i="4"/>
  <c r="U44" i="4"/>
  <c r="U8" i="4" s="1"/>
  <c r="U23" i="4"/>
  <c r="V47" i="10" s="1"/>
  <c r="U31" i="4"/>
  <c r="U32" i="4" s="1"/>
  <c r="U33" i="4" s="1"/>
  <c r="U43" i="4"/>
  <c r="U29" i="6"/>
  <c r="T9" i="5"/>
  <c r="U10" i="6"/>
  <c r="T24" i="5"/>
  <c r="U9" i="10"/>
  <c r="U36" i="6"/>
  <c r="T170" i="11"/>
  <c r="U11" i="6"/>
  <c r="X10" i="14"/>
  <c r="T10" i="5"/>
  <c r="T175" i="11"/>
  <c r="T176" i="11" s="1"/>
  <c r="T11" i="19"/>
  <c r="U11" i="10"/>
  <c r="T11" i="5"/>
  <c r="X11" i="14"/>
  <c r="V7" i="6"/>
  <c r="V6" i="10"/>
  <c r="U6" i="5"/>
  <c r="U6" i="19"/>
  <c r="T26" i="5"/>
  <c r="U13" i="5"/>
  <c r="U231" i="11" s="1"/>
  <c r="T185" i="11"/>
  <c r="T186" i="11" s="1"/>
  <c r="T31" i="5" s="1"/>
  <c r="U30" i="6"/>
  <c r="T166" i="11"/>
  <c r="S172" i="11"/>
  <c r="V7" i="10"/>
  <c r="U7" i="5"/>
  <c r="Y99" i="14"/>
  <c r="V8" i="6"/>
  <c r="U7" i="19"/>
  <c r="U5" i="17"/>
  <c r="V10" i="16"/>
  <c r="V54" i="16" s="1"/>
  <c r="W5" i="16"/>
  <c r="X6" i="18"/>
  <c r="AB7" i="16"/>
  <c r="Z6" i="17"/>
  <c r="T191" i="11"/>
  <c r="V877" i="32" l="1"/>
  <c r="C821" i="32"/>
  <c r="C856" i="32" s="1"/>
  <c r="W674" i="32"/>
  <c r="V675" i="32"/>
  <c r="C392" i="32"/>
  <c r="C419" i="32" s="1"/>
  <c r="T196" i="11"/>
  <c r="T39" i="5" s="1"/>
  <c r="U245" i="11"/>
  <c r="U235" i="11"/>
  <c r="C291" i="32"/>
  <c r="C316" i="32" s="1"/>
  <c r="C342" i="32" s="1"/>
  <c r="C367" i="32" s="1"/>
  <c r="C266" i="32"/>
  <c r="V26" i="10"/>
  <c r="U166" i="11" s="1"/>
  <c r="V21" i="6"/>
  <c r="CA6" i="26"/>
  <c r="T247" i="11"/>
  <c r="U244" i="11" s="1"/>
  <c r="T250" i="11"/>
  <c r="T251" i="11" s="1"/>
  <c r="T68" i="11" s="1"/>
  <c r="T102" i="5" s="1"/>
  <c r="T27" i="19" s="1"/>
  <c r="U72" i="11"/>
  <c r="U106" i="5" s="1"/>
  <c r="U67" i="11"/>
  <c r="U101" i="5" s="1"/>
  <c r="G622" i="32" s="1"/>
  <c r="S77" i="5"/>
  <c r="AF4" i="26"/>
  <c r="AF5" i="26" s="1"/>
  <c r="AE8" i="26"/>
  <c r="T107" i="11"/>
  <c r="U104" i="11" s="1"/>
  <c r="T42" i="5"/>
  <c r="S111" i="11"/>
  <c r="S34" i="11"/>
  <c r="T31" i="11" s="1"/>
  <c r="T29" i="11"/>
  <c r="U26" i="11" s="1"/>
  <c r="U105" i="11" s="1"/>
  <c r="V48" i="6" s="1"/>
  <c r="T76" i="5"/>
  <c r="T74" i="5" s="1"/>
  <c r="U32" i="11"/>
  <c r="V31" i="10"/>
  <c r="U190" i="11" s="1"/>
  <c r="T82" i="5"/>
  <c r="T80" i="5" s="1"/>
  <c r="Y88" i="14"/>
  <c r="U37" i="11"/>
  <c r="U81" i="5" s="1"/>
  <c r="U27" i="11"/>
  <c r="T19" i="11"/>
  <c r="S31" i="15" s="1"/>
  <c r="U17" i="11"/>
  <c r="U69" i="5" s="1"/>
  <c r="U45" i="4"/>
  <c r="U9" i="4" s="1"/>
  <c r="V9" i="2" s="1"/>
  <c r="U27" i="4"/>
  <c r="U26" i="4"/>
  <c r="U57" i="11"/>
  <c r="U90" i="5" s="1"/>
  <c r="U61" i="19" s="1"/>
  <c r="U97" i="11"/>
  <c r="Z5" i="14"/>
  <c r="Z15" i="14" s="1"/>
  <c r="V14" i="4"/>
  <c r="V43" i="4" s="1"/>
  <c r="V5" i="19"/>
  <c r="W5" i="10"/>
  <c r="W14" i="10" s="1"/>
  <c r="V5" i="5"/>
  <c r="V7" i="4"/>
  <c r="W7" i="2" s="1"/>
  <c r="W6" i="6"/>
  <c r="W13" i="6" s="1"/>
  <c r="W4" i="4"/>
  <c r="X4" i="2" s="1"/>
  <c r="V6" i="4"/>
  <c r="W6" i="2" s="1"/>
  <c r="U6" i="11"/>
  <c r="T6" i="15"/>
  <c r="U87" i="11"/>
  <c r="U88" i="11" s="1"/>
  <c r="T10" i="11"/>
  <c r="S10" i="15"/>
  <c r="T9" i="11"/>
  <c r="S9" i="15"/>
  <c r="U7" i="11"/>
  <c r="T7" i="15"/>
  <c r="U8" i="19"/>
  <c r="V8" i="2"/>
  <c r="V4" i="11"/>
  <c r="U4" i="15"/>
  <c r="T11" i="11"/>
  <c r="S11" i="15"/>
  <c r="T169" i="11"/>
  <c r="T171" i="11" s="1"/>
  <c r="T172" i="11" s="1"/>
  <c r="V25" i="10"/>
  <c r="V30" i="6" s="1"/>
  <c r="G553" i="32" s="1"/>
  <c r="V41" i="6"/>
  <c r="U46" i="4"/>
  <c r="U10" i="4" s="1"/>
  <c r="V10" i="10" s="1"/>
  <c r="U47" i="4"/>
  <c r="U11" i="4" s="1"/>
  <c r="V11" i="2" s="1"/>
  <c r="V46" i="10"/>
  <c r="V28" i="10"/>
  <c r="V33" i="6" s="1"/>
  <c r="V24" i="10"/>
  <c r="U25" i="5" s="1"/>
  <c r="G595" i="32" s="1"/>
  <c r="V49" i="10"/>
  <c r="V30" i="10"/>
  <c r="U185" i="11" s="1"/>
  <c r="V27" i="10"/>
  <c r="V32" i="6" s="1"/>
  <c r="V25" i="6"/>
  <c r="V23" i="10"/>
  <c r="V28" i="6" s="1"/>
  <c r="G552" i="32" s="1"/>
  <c r="V48" i="10"/>
  <c r="V22" i="10"/>
  <c r="V27" i="6" s="1"/>
  <c r="G551" i="32" s="1"/>
  <c r="V44" i="10"/>
  <c r="V8" i="10"/>
  <c r="U8" i="5"/>
  <c r="Y8" i="14"/>
  <c r="V45" i="10"/>
  <c r="V9" i="6"/>
  <c r="V52" i="10"/>
  <c r="V50" i="10"/>
  <c r="V53" i="10"/>
  <c r="T187" i="11"/>
  <c r="U184" i="11" s="1"/>
  <c r="Y6" i="18"/>
  <c r="T5" i="18"/>
  <c r="T8" i="18" s="1"/>
  <c r="U8" i="17"/>
  <c r="AC7" i="16"/>
  <c r="AA6" i="17"/>
  <c r="W6" i="16"/>
  <c r="V4" i="17"/>
  <c r="U4" i="18" s="1"/>
  <c r="T177" i="11"/>
  <c r="U174" i="11" s="1"/>
  <c r="T29" i="5"/>
  <c r="T192" i="11"/>
  <c r="U189" i="11" s="1"/>
  <c r="T32" i="5"/>
  <c r="T197" i="11" l="1"/>
  <c r="U194" i="11" s="1"/>
  <c r="U5" i="15"/>
  <c r="U13" i="15" s="1"/>
  <c r="V138" i="5"/>
  <c r="V137" i="5"/>
  <c r="C822" i="32"/>
  <c r="C857" i="32" s="1"/>
  <c r="W877" i="32"/>
  <c r="X674" i="32"/>
  <c r="W675" i="32"/>
  <c r="C393" i="32"/>
  <c r="C420" i="32" s="1"/>
  <c r="U195" i="11"/>
  <c r="G572" i="32"/>
  <c r="V31" i="6"/>
  <c r="G554" i="32" s="1"/>
  <c r="C292" i="32"/>
  <c r="C317" i="32" s="1"/>
  <c r="C343" i="32" s="1"/>
  <c r="C368" i="32" s="1"/>
  <c r="C267" i="32"/>
  <c r="C293" i="32" s="1"/>
  <c r="C318" i="32" s="1"/>
  <c r="C344" i="32" s="1"/>
  <c r="C369" i="32" s="1"/>
  <c r="V19" i="10"/>
  <c r="G549" i="32"/>
  <c r="U35" i="5"/>
  <c r="G610" i="32" s="1"/>
  <c r="G573" i="32"/>
  <c r="V13" i="19"/>
  <c r="CB6" i="26"/>
  <c r="T252" i="11"/>
  <c r="U249" i="11" s="1"/>
  <c r="U246" i="11"/>
  <c r="AG4" i="26"/>
  <c r="AG5" i="26" s="1"/>
  <c r="AF8" i="26"/>
  <c r="W16" i="6"/>
  <c r="W60" i="6" s="1"/>
  <c r="S112" i="11"/>
  <c r="T109" i="11" s="1"/>
  <c r="S43" i="5"/>
  <c r="T110" i="11"/>
  <c r="U49" i="6" s="1"/>
  <c r="T33" i="11"/>
  <c r="T79" i="5" s="1"/>
  <c r="T77" i="5" s="1"/>
  <c r="U78" i="5"/>
  <c r="U28" i="11"/>
  <c r="U75" i="5"/>
  <c r="U106" i="11"/>
  <c r="U38" i="11"/>
  <c r="U39" i="11" s="1"/>
  <c r="V36" i="11" s="1"/>
  <c r="V9" i="10"/>
  <c r="V10" i="6"/>
  <c r="V5" i="11"/>
  <c r="V14" i="11" s="1"/>
  <c r="U214" i="11"/>
  <c r="W36" i="10"/>
  <c r="U140" i="11"/>
  <c r="U9" i="19"/>
  <c r="Y9" i="14"/>
  <c r="U9" i="5"/>
  <c r="T9" i="15" s="1"/>
  <c r="Z99" i="14"/>
  <c r="U16" i="11"/>
  <c r="U18" i="11" s="1"/>
  <c r="U70" i="5" s="1"/>
  <c r="U68" i="5" s="1"/>
  <c r="V24" i="4"/>
  <c r="V27" i="4" s="1"/>
  <c r="W6" i="10"/>
  <c r="V54" i="4"/>
  <c r="V42" i="4"/>
  <c r="V16" i="4"/>
  <c r="V31" i="4"/>
  <c r="V32" i="4" s="1"/>
  <c r="V33" i="4" s="1"/>
  <c r="U145" i="11"/>
  <c r="U157" i="11" s="1"/>
  <c r="V29" i="4"/>
  <c r="V22" i="4"/>
  <c r="V23" i="4"/>
  <c r="W47" i="10" s="1"/>
  <c r="V36" i="4"/>
  <c r="V21" i="4"/>
  <c r="V7" i="5"/>
  <c r="V7" i="11" s="1"/>
  <c r="V20" i="4"/>
  <c r="V52" i="4"/>
  <c r="V48" i="4"/>
  <c r="V53" i="4"/>
  <c r="V51" i="4"/>
  <c r="V44" i="4"/>
  <c r="V8" i="4" s="1"/>
  <c r="W8" i="2" s="1"/>
  <c r="V55" i="4"/>
  <c r="V18" i="4"/>
  <c r="V35" i="4"/>
  <c r="V30" i="4"/>
  <c r="V17" i="4"/>
  <c r="W25" i="2" s="1"/>
  <c r="V41" i="4"/>
  <c r="V37" i="4"/>
  <c r="V38" i="4" s="1"/>
  <c r="V39" i="4" s="1"/>
  <c r="V50" i="4"/>
  <c r="Z104" i="14"/>
  <c r="W4" i="5"/>
  <c r="W4" i="11" s="1"/>
  <c r="V6" i="5"/>
  <c r="U6" i="15" s="1"/>
  <c r="X5" i="6"/>
  <c r="V13" i="5"/>
  <c r="V231" i="11" s="1"/>
  <c r="V7" i="19"/>
  <c r="W7" i="6"/>
  <c r="W5" i="4"/>
  <c r="X5" i="2" s="1"/>
  <c r="X14" i="2" s="1"/>
  <c r="Z7" i="14"/>
  <c r="W4" i="19"/>
  <c r="X4" i="10"/>
  <c r="W7" i="10"/>
  <c r="W8" i="6"/>
  <c r="AA4" i="14"/>
  <c r="V6" i="19"/>
  <c r="Z6" i="14"/>
  <c r="U8" i="11"/>
  <c r="T8" i="15"/>
  <c r="U10" i="5"/>
  <c r="V10" i="2"/>
  <c r="U10" i="19"/>
  <c r="V36" i="6"/>
  <c r="G556" i="32" s="1"/>
  <c r="V11" i="6"/>
  <c r="Y10" i="14"/>
  <c r="U11" i="19"/>
  <c r="Y11" i="14"/>
  <c r="U26" i="5"/>
  <c r="G593" i="32" s="1"/>
  <c r="V11" i="10"/>
  <c r="U11" i="5"/>
  <c r="V12" i="6"/>
  <c r="U175" i="11"/>
  <c r="U176" i="11" s="1"/>
  <c r="U29" i="5" s="1"/>
  <c r="V29" i="6"/>
  <c r="G555" i="32" s="1"/>
  <c r="U23" i="5"/>
  <c r="G591" i="32" s="1"/>
  <c r="V35" i="6"/>
  <c r="U170" i="11"/>
  <c r="U24" i="5"/>
  <c r="G592" i="32" s="1"/>
  <c r="T28" i="5"/>
  <c r="U186" i="11"/>
  <c r="U31" i="5" s="1"/>
  <c r="V5" i="17"/>
  <c r="W10" i="16"/>
  <c r="W54" i="16" s="1"/>
  <c r="X5" i="16"/>
  <c r="Z6" i="18"/>
  <c r="AD7" i="16"/>
  <c r="AB6" i="17"/>
  <c r="U169" i="11"/>
  <c r="U191" i="11"/>
  <c r="U32" i="5" s="1"/>
  <c r="G596" i="32" s="1"/>
  <c r="X675" i="32" l="1"/>
  <c r="C823" i="32"/>
  <c r="C858" i="32" s="1"/>
  <c r="X877" i="32"/>
  <c r="C880" i="32" s="1"/>
  <c r="I861" i="32" s="1"/>
  <c r="C394" i="32"/>
  <c r="C421" i="32" s="1"/>
  <c r="C395" i="32"/>
  <c r="C422" i="32" s="1"/>
  <c r="U196" i="11"/>
  <c r="V245" i="11"/>
  <c r="V235" i="11"/>
  <c r="G618" i="32"/>
  <c r="W30" i="10"/>
  <c r="V185" i="11" s="1"/>
  <c r="W21" i="6"/>
  <c r="CC6" i="26"/>
  <c r="U247" i="11"/>
  <c r="V244" i="11" s="1"/>
  <c r="U250" i="11"/>
  <c r="U251" i="11" s="1"/>
  <c r="U252" i="11" s="1"/>
  <c r="V249" i="11" s="1"/>
  <c r="V67" i="11"/>
  <c r="V101" i="5" s="1"/>
  <c r="V72" i="11"/>
  <c r="V106" i="5" s="1"/>
  <c r="AH4" i="26"/>
  <c r="AH5" i="26" s="1"/>
  <c r="AG8" i="26"/>
  <c r="W31" i="10"/>
  <c r="W36" i="6" s="1"/>
  <c r="U107" i="11"/>
  <c r="V104" i="11" s="1"/>
  <c r="U42" i="5"/>
  <c r="T111" i="11"/>
  <c r="T10" i="15"/>
  <c r="T34" i="11"/>
  <c r="U31" i="11" s="1"/>
  <c r="U29" i="11"/>
  <c r="V26" i="11" s="1"/>
  <c r="V105" i="11" s="1"/>
  <c r="W48" i="6" s="1"/>
  <c r="U76" i="5"/>
  <c r="U74" i="5" s="1"/>
  <c r="U82" i="5"/>
  <c r="U9" i="11"/>
  <c r="V37" i="11"/>
  <c r="V38" i="11" s="1"/>
  <c r="V82" i="5" s="1"/>
  <c r="V32" i="11"/>
  <c r="V97" i="11"/>
  <c r="V145" i="11" s="1"/>
  <c r="V17" i="11"/>
  <c r="V69" i="5" s="1"/>
  <c r="V87" i="11"/>
  <c r="V88" i="11" s="1"/>
  <c r="V57" i="11"/>
  <c r="V90" i="5" s="1"/>
  <c r="V61" i="19" s="1"/>
  <c r="V27" i="11"/>
  <c r="U7" i="15"/>
  <c r="V26" i="4"/>
  <c r="V25" i="4"/>
  <c r="V46" i="4"/>
  <c r="V10" i="4" s="1"/>
  <c r="W10" i="2" s="1"/>
  <c r="V45" i="4"/>
  <c r="V9" i="4" s="1"/>
  <c r="W9" i="2" s="1"/>
  <c r="V47" i="4"/>
  <c r="V11" i="4" s="1"/>
  <c r="W11" i="2" s="1"/>
  <c r="Z88" i="14"/>
  <c r="W6" i="4"/>
  <c r="X6" i="2" s="1"/>
  <c r="W14" i="4"/>
  <c r="W52" i="4" s="1"/>
  <c r="W5" i="5"/>
  <c r="U19" i="11"/>
  <c r="T31" i="15" s="1"/>
  <c r="G652" i="32" s="1"/>
  <c r="W28" i="10"/>
  <c r="V175" i="11" s="1"/>
  <c r="W23" i="10"/>
  <c r="V24" i="5" s="1"/>
  <c r="W41" i="6"/>
  <c r="W24" i="10"/>
  <c r="W29" i="6" s="1"/>
  <c r="W44" i="10"/>
  <c r="W27" i="10"/>
  <c r="W32" i="6" s="1"/>
  <c r="W26" i="10"/>
  <c r="V166" i="11" s="1"/>
  <c r="W25" i="10"/>
  <c r="V26" i="5" s="1"/>
  <c r="W25" i="6"/>
  <c r="V4" i="15"/>
  <c r="W22" i="10"/>
  <c r="V23" i="5" s="1"/>
  <c r="W46" i="10"/>
  <c r="W45" i="10"/>
  <c r="V6" i="11"/>
  <c r="W52" i="10"/>
  <c r="W50" i="10"/>
  <c r="W30" i="2"/>
  <c r="W53" i="10"/>
  <c r="W49" i="10"/>
  <c r="W22" i="2"/>
  <c r="W48" i="10"/>
  <c r="W21" i="2"/>
  <c r="W5" i="19"/>
  <c r="Z8" i="14"/>
  <c r="W24" i="2"/>
  <c r="W23" i="2"/>
  <c r="V8" i="5"/>
  <c r="U8" i="15" s="1"/>
  <c r="W8" i="10"/>
  <c r="W9" i="6"/>
  <c r="V8" i="19"/>
  <c r="AA5" i="14"/>
  <c r="AA15" i="14" s="1"/>
  <c r="X6" i="6"/>
  <c r="X13" i="6" s="1"/>
  <c r="X5" i="10"/>
  <c r="X14" i="10" s="1"/>
  <c r="W7" i="4"/>
  <c r="X7" i="2" s="1"/>
  <c r="X4" i="4"/>
  <c r="Y4" i="2" s="1"/>
  <c r="U10" i="11"/>
  <c r="U11" i="11"/>
  <c r="T11" i="15"/>
  <c r="U171" i="11"/>
  <c r="U28" i="5" s="1"/>
  <c r="U187" i="11"/>
  <c r="V184" i="11" s="1"/>
  <c r="X6" i="16"/>
  <c r="W4" i="17"/>
  <c r="V4" i="18" s="1"/>
  <c r="AA6" i="18"/>
  <c r="V8" i="17"/>
  <c r="U5" i="18"/>
  <c r="U8" i="18" s="1"/>
  <c r="AE7" i="16"/>
  <c r="AC6" i="17"/>
  <c r="U177" i="11"/>
  <c r="V174" i="11" s="1"/>
  <c r="U192" i="11"/>
  <c r="V189" i="11" s="1"/>
  <c r="V5" i="15" l="1"/>
  <c r="V13" i="15" s="1"/>
  <c r="W138" i="5"/>
  <c r="W137" i="5"/>
  <c r="U39" i="5"/>
  <c r="G609" i="32" s="1"/>
  <c r="U197" i="11"/>
  <c r="V194" i="11" s="1"/>
  <c r="W19" i="10"/>
  <c r="V195" i="11"/>
  <c r="V35" i="5"/>
  <c r="W35" i="6"/>
  <c r="U80" i="5"/>
  <c r="V186" i="11"/>
  <c r="V187" i="11" s="1"/>
  <c r="W184" i="11" s="1"/>
  <c r="W13" i="19"/>
  <c r="CD6" i="26"/>
  <c r="U68" i="11"/>
  <c r="U102" i="5" s="1"/>
  <c r="U27" i="19" s="1"/>
  <c r="V246" i="11"/>
  <c r="AI4" i="26"/>
  <c r="AI5" i="26" s="1"/>
  <c r="AH8" i="26"/>
  <c r="X16" i="6"/>
  <c r="X60" i="6" s="1"/>
  <c r="W11" i="6"/>
  <c r="U110" i="11"/>
  <c r="V49" i="6" s="1"/>
  <c r="U33" i="11"/>
  <c r="U79" i="5" s="1"/>
  <c r="U77" i="5" s="1"/>
  <c r="T112" i="11"/>
  <c r="U109" i="11" s="1"/>
  <c r="T43" i="5"/>
  <c r="W9" i="10"/>
  <c r="V140" i="11"/>
  <c r="V28" i="11"/>
  <c r="V75" i="5"/>
  <c r="V78" i="5"/>
  <c r="V214" i="11"/>
  <c r="V39" i="11"/>
  <c r="W36" i="11" s="1"/>
  <c r="V81" i="5"/>
  <c r="W13" i="5"/>
  <c r="W231" i="11" s="1"/>
  <c r="W5" i="11"/>
  <c r="W14" i="11" s="1"/>
  <c r="V106" i="11"/>
  <c r="W10" i="10"/>
  <c r="V9" i="5"/>
  <c r="V9" i="11" s="1"/>
  <c r="X6" i="10"/>
  <c r="V10" i="19"/>
  <c r="Z10" i="14"/>
  <c r="V10" i="5"/>
  <c r="W54" i="4"/>
  <c r="W51" i="4"/>
  <c r="W55" i="4"/>
  <c r="W21" i="4"/>
  <c r="W6" i="19"/>
  <c r="W50" i="4"/>
  <c r="W24" i="4"/>
  <c r="W45" i="4" s="1"/>
  <c r="W9" i="4" s="1"/>
  <c r="X9" i="2" s="1"/>
  <c r="W43" i="4"/>
  <c r="W10" i="6"/>
  <c r="W44" i="4"/>
  <c r="W8" i="4" s="1"/>
  <c r="X8" i="2" s="1"/>
  <c r="W27" i="6"/>
  <c r="AA6" i="14"/>
  <c r="V11" i="19"/>
  <c r="W37" i="4"/>
  <c r="W38" i="4" s="1"/>
  <c r="W39" i="4" s="1"/>
  <c r="Z11" i="14"/>
  <c r="X5" i="4"/>
  <c r="Y5" i="2" s="1"/>
  <c r="Y14" i="2" s="1"/>
  <c r="W30" i="4"/>
  <c r="W20" i="4"/>
  <c r="X7" i="10"/>
  <c r="V9" i="19"/>
  <c r="X4" i="5"/>
  <c r="X4" i="11" s="1"/>
  <c r="W48" i="4"/>
  <c r="W42" i="4"/>
  <c r="Z9" i="14"/>
  <c r="W18" i="4"/>
  <c r="W6" i="5"/>
  <c r="V6" i="15" s="1"/>
  <c r="W35" i="4"/>
  <c r="W11" i="10"/>
  <c r="W36" i="4"/>
  <c r="W17" i="4"/>
  <c r="X25" i="2" s="1"/>
  <c r="W53" i="4"/>
  <c r="W22" i="4"/>
  <c r="X21" i="6" s="1"/>
  <c r="X19" i="10" s="1"/>
  <c r="W41" i="4"/>
  <c r="W29" i="4"/>
  <c r="X36" i="10"/>
  <c r="V11" i="5"/>
  <c r="W23" i="4"/>
  <c r="W12" i="6"/>
  <c r="W16" i="4"/>
  <c r="W31" i="4"/>
  <c r="W32" i="4" s="1"/>
  <c r="W33" i="4" s="1"/>
  <c r="W33" i="6"/>
  <c r="X7" i="6"/>
  <c r="AA104" i="14"/>
  <c r="W28" i="6"/>
  <c r="Y4" i="10"/>
  <c r="V16" i="11"/>
  <c r="V18" i="11" s="1"/>
  <c r="V70" i="5" s="1"/>
  <c r="V68" i="5" s="1"/>
  <c r="V170" i="11"/>
  <c r="W31" i="6"/>
  <c r="V190" i="11"/>
  <c r="V191" i="11" s="1"/>
  <c r="Y5" i="6"/>
  <c r="W30" i="6"/>
  <c r="V25" i="5"/>
  <c r="AB4" i="14"/>
  <c r="W7" i="19"/>
  <c r="X4" i="19"/>
  <c r="V8" i="11"/>
  <c r="W7" i="5"/>
  <c r="W7" i="11" s="1"/>
  <c r="AA7" i="14"/>
  <c r="X8" i="6"/>
  <c r="AA99" i="14"/>
  <c r="U172" i="11"/>
  <c r="V176" i="11"/>
  <c r="V177" i="11" s="1"/>
  <c r="W174" i="11" s="1"/>
  <c r="AB6" i="18"/>
  <c r="AF7" i="16"/>
  <c r="AD6" i="17"/>
  <c r="W5" i="17"/>
  <c r="X10" i="16"/>
  <c r="X54" i="16" s="1"/>
  <c r="Y5" i="16"/>
  <c r="V157" i="11"/>
  <c r="V196" i="11" l="1"/>
  <c r="V39" i="5" s="1"/>
  <c r="V197" i="11"/>
  <c r="W194" i="11" s="1"/>
  <c r="W245" i="11"/>
  <c r="W235" i="11"/>
  <c r="V31" i="5"/>
  <c r="V80" i="5"/>
  <c r="CE6" i="26"/>
  <c r="V250" i="11"/>
  <c r="V251" i="11" s="1"/>
  <c r="V252" i="11" s="1"/>
  <c r="W249" i="11" s="1"/>
  <c r="V247" i="11"/>
  <c r="W244" i="11" s="1"/>
  <c r="W67" i="11"/>
  <c r="W101" i="5" s="1"/>
  <c r="W72" i="11"/>
  <c r="W106" i="5" s="1"/>
  <c r="V11" i="11"/>
  <c r="AJ4" i="26"/>
  <c r="AJ5" i="26" s="1"/>
  <c r="AI8" i="26"/>
  <c r="W37" i="11"/>
  <c r="W81" i="5" s="1"/>
  <c r="U34" i="11"/>
  <c r="V31" i="11" s="1"/>
  <c r="W26" i="4"/>
  <c r="U111" i="11"/>
  <c r="U112" i="11" s="1"/>
  <c r="V109" i="11" s="1"/>
  <c r="X9" i="6"/>
  <c r="X8" i="10"/>
  <c r="U10" i="15"/>
  <c r="V107" i="11"/>
  <c r="W104" i="11" s="1"/>
  <c r="V42" i="5"/>
  <c r="W97" i="11"/>
  <c r="W145" i="11" s="1"/>
  <c r="W17" i="11"/>
  <c r="W69" i="5" s="1"/>
  <c r="V29" i="11"/>
  <c r="W26" i="11" s="1"/>
  <c r="W105" i="11" s="1"/>
  <c r="X48" i="6" s="1"/>
  <c r="V76" i="5"/>
  <c r="V74" i="5" s="1"/>
  <c r="W32" i="11"/>
  <c r="U9" i="15"/>
  <c r="W87" i="11"/>
  <c r="W88" i="11" s="1"/>
  <c r="W27" i="11"/>
  <c r="W57" i="11"/>
  <c r="W90" i="5" s="1"/>
  <c r="W61" i="19" s="1"/>
  <c r="X30" i="10"/>
  <c r="X35" i="6" s="1"/>
  <c r="W8" i="5"/>
  <c r="W8" i="11" s="1"/>
  <c r="W8" i="19"/>
  <c r="AA8" i="14"/>
  <c r="X5" i="19"/>
  <c r="X28" i="10"/>
  <c r="X33" i="6" s="1"/>
  <c r="X14" i="4"/>
  <c r="X25" i="6"/>
  <c r="X41" i="6"/>
  <c r="X22" i="10"/>
  <c r="X27" i="6" s="1"/>
  <c r="X24" i="10"/>
  <c r="X29" i="6" s="1"/>
  <c r="W6" i="11"/>
  <c r="X31" i="10"/>
  <c r="X36" i="6" s="1"/>
  <c r="X44" i="10"/>
  <c r="W47" i="4"/>
  <c r="W11" i="4" s="1"/>
  <c r="X11" i="2" s="1"/>
  <c r="W25" i="4"/>
  <c r="W27" i="4"/>
  <c r="W46" i="4"/>
  <c r="W10" i="4" s="1"/>
  <c r="X10" i="2" s="1"/>
  <c r="X23" i="10"/>
  <c r="X28" i="6" s="1"/>
  <c r="X26" i="10"/>
  <c r="X31" i="6" s="1"/>
  <c r="X24" i="2"/>
  <c r="Y6" i="6"/>
  <c r="Y13" i="6" s="1"/>
  <c r="X27" i="10"/>
  <c r="W170" i="11" s="1"/>
  <c r="V10" i="11"/>
  <c r="X23" i="2"/>
  <c r="AB5" i="14"/>
  <c r="AB15" i="14" s="1"/>
  <c r="X5" i="5"/>
  <c r="W5" i="15" s="1"/>
  <c r="W13" i="15" s="1"/>
  <c r="U11" i="15"/>
  <c r="W4" i="15"/>
  <c r="X50" i="10"/>
  <c r="X53" i="10"/>
  <c r="X49" i="10"/>
  <c r="Y5" i="10"/>
  <c r="Y14" i="10" s="1"/>
  <c r="Y36" i="10" s="1"/>
  <c r="X47" i="10"/>
  <c r="X6" i="4"/>
  <c r="Y6" i="2" s="1"/>
  <c r="X46" i="10"/>
  <c r="X48" i="10"/>
  <c r="X7" i="4"/>
  <c r="Y7" i="2" s="1"/>
  <c r="X25" i="10"/>
  <c r="X30" i="6" s="1"/>
  <c r="X45" i="10"/>
  <c r="X22" i="2"/>
  <c r="X21" i="2"/>
  <c r="X52" i="10"/>
  <c r="X30" i="2"/>
  <c r="Y4" i="4"/>
  <c r="Z4" i="2" s="1"/>
  <c r="AA88" i="14"/>
  <c r="V19" i="11"/>
  <c r="U31" i="15" s="1"/>
  <c r="V7" i="15"/>
  <c r="V169" i="11"/>
  <c r="V171" i="11" s="1"/>
  <c r="V28" i="5" s="1"/>
  <c r="V29" i="5"/>
  <c r="AA9" i="14"/>
  <c r="W9" i="19"/>
  <c r="AE6" i="17"/>
  <c r="AG7" i="16"/>
  <c r="AC6" i="18"/>
  <c r="Y6" i="16"/>
  <c r="X4" i="17"/>
  <c r="W4" i="18" s="1"/>
  <c r="V5" i="18"/>
  <c r="V8" i="18" s="1"/>
  <c r="W8" i="17"/>
  <c r="V192" i="11"/>
  <c r="W189" i="11" s="1"/>
  <c r="V32" i="5"/>
  <c r="X10" i="6"/>
  <c r="X9" i="10"/>
  <c r="W9" i="5"/>
  <c r="W195" i="11" l="1"/>
  <c r="W196" i="11" s="1"/>
  <c r="W39" i="5" s="1"/>
  <c r="W35" i="5"/>
  <c r="X13" i="19"/>
  <c r="CF6" i="26"/>
  <c r="V68" i="11"/>
  <c r="V102" i="5" s="1"/>
  <c r="V27" i="19" s="1"/>
  <c r="W246" i="11"/>
  <c r="AK4" i="26"/>
  <c r="AK5" i="26" s="1"/>
  <c r="AJ8" i="26"/>
  <c r="X20" i="4"/>
  <c r="X30" i="4"/>
  <c r="Y16" i="6"/>
  <c r="Y60" i="6" s="1"/>
  <c r="W38" i="11"/>
  <c r="W39" i="11" s="1"/>
  <c r="X36" i="11" s="1"/>
  <c r="W11" i="19"/>
  <c r="X32" i="6"/>
  <c r="W25" i="5"/>
  <c r="W190" i="11"/>
  <c r="W191" i="11" s="1"/>
  <c r="W192" i="11" s="1"/>
  <c r="X189" i="11" s="1"/>
  <c r="V110" i="11"/>
  <c r="W49" i="6" s="1"/>
  <c r="V33" i="11"/>
  <c r="V79" i="5" s="1"/>
  <c r="V77" i="5" s="1"/>
  <c r="U43" i="5"/>
  <c r="X35" i="4"/>
  <c r="X21" i="4"/>
  <c r="X36" i="4"/>
  <c r="X37" i="4"/>
  <c r="X38" i="4" s="1"/>
  <c r="X39" i="4" s="1"/>
  <c r="X24" i="4"/>
  <c r="X26" i="4" s="1"/>
  <c r="X31" i="4"/>
  <c r="X32" i="4" s="1"/>
  <c r="X33" i="4" s="1"/>
  <c r="X55" i="4"/>
  <c r="X51" i="4"/>
  <c r="X22" i="4"/>
  <c r="Y21" i="6" s="1"/>
  <c r="X41" i="4"/>
  <c r="X50" i="4"/>
  <c r="W175" i="11"/>
  <c r="W176" i="11" s="1"/>
  <c r="W29" i="5" s="1"/>
  <c r="X42" i="4"/>
  <c r="X53" i="4"/>
  <c r="X48" i="4"/>
  <c r="AA11" i="14"/>
  <c r="X23" i="4"/>
  <c r="Y48" i="10" s="1"/>
  <c r="W24" i="5"/>
  <c r="W106" i="11"/>
  <c r="W42" i="5" s="1"/>
  <c r="W140" i="11"/>
  <c r="W214" i="11"/>
  <c r="W78" i="5"/>
  <c r="W28" i="11"/>
  <c r="W75" i="5"/>
  <c r="X13" i="5"/>
  <c r="X231" i="11" s="1"/>
  <c r="W23" i="5"/>
  <c r="X16" i="4"/>
  <c r="X29" i="4"/>
  <c r="X52" i="4"/>
  <c r="X18" i="4"/>
  <c r="X43" i="4"/>
  <c r="X54" i="4"/>
  <c r="V8" i="15"/>
  <c r="X17" i="4"/>
  <c r="Y25" i="2" s="1"/>
  <c r="X44" i="4"/>
  <c r="X8" i="4" s="1"/>
  <c r="Y8" i="2" s="1"/>
  <c r="AB99" i="14"/>
  <c r="W185" i="11"/>
  <c r="W186" i="11" s="1"/>
  <c r="W31" i="5" s="1"/>
  <c r="X7" i="5"/>
  <c r="X7" i="11" s="1"/>
  <c r="AB104" i="14"/>
  <c r="X11" i="6"/>
  <c r="Y4" i="19"/>
  <c r="Z5" i="6"/>
  <c r="AA10" i="14"/>
  <c r="Y5" i="4"/>
  <c r="Z5" i="2" s="1"/>
  <c r="Z14" i="2" s="1"/>
  <c r="X12" i="6"/>
  <c r="X10" i="10"/>
  <c r="W10" i="5"/>
  <c r="AC4" i="14"/>
  <c r="W166" i="11"/>
  <c r="L165" i="11" s="1"/>
  <c r="Y4" i="5"/>
  <c r="Y4" i="11" s="1"/>
  <c r="W11" i="5"/>
  <c r="W26" i="5"/>
  <c r="X11" i="10"/>
  <c r="Y8" i="6"/>
  <c r="X7" i="19"/>
  <c r="X5" i="11"/>
  <c r="X14" i="11" s="1"/>
  <c r="W10" i="19"/>
  <c r="Z4" i="10"/>
  <c r="Y7" i="10"/>
  <c r="AB7" i="14"/>
  <c r="Y7" i="6"/>
  <c r="X6" i="19"/>
  <c r="AB6" i="14"/>
  <c r="Y6" i="10"/>
  <c r="X6" i="5"/>
  <c r="X6" i="11" s="1"/>
  <c r="W16" i="11"/>
  <c r="W18" i="11" s="1"/>
  <c r="W70" i="5" s="1"/>
  <c r="W68" i="5" s="1"/>
  <c r="W9" i="11"/>
  <c r="V9" i="15"/>
  <c r="V172" i="11"/>
  <c r="W169" i="11" s="1"/>
  <c r="W171" i="11" s="1"/>
  <c r="W172" i="11" s="1"/>
  <c r="X5" i="17"/>
  <c r="Y10" i="16"/>
  <c r="Y54" i="16" s="1"/>
  <c r="Z5" i="16"/>
  <c r="AH7" i="16"/>
  <c r="AH79" i="16" s="1"/>
  <c r="AF6" i="17"/>
  <c r="AD6" i="18"/>
  <c r="W157" i="11"/>
  <c r="X245" i="11" l="1"/>
  <c r="X235" i="11"/>
  <c r="Y19" i="10"/>
  <c r="H549" i="32"/>
  <c r="W197" i="11"/>
  <c r="X194" i="11" s="1"/>
  <c r="V11" i="15"/>
  <c r="CG6" i="26"/>
  <c r="W247" i="11"/>
  <c r="X244" i="11" s="1"/>
  <c r="W250" i="11"/>
  <c r="W251" i="11" s="1"/>
  <c r="W252" i="11" s="1"/>
  <c r="X249" i="11" s="1"/>
  <c r="X72" i="11"/>
  <c r="X106" i="5" s="1"/>
  <c r="X67" i="11"/>
  <c r="X101" i="5" s="1"/>
  <c r="H622" i="32" s="1"/>
  <c r="AL4" i="26"/>
  <c r="AL5" i="26" s="1"/>
  <c r="AK8" i="26"/>
  <c r="W82" i="5"/>
  <c r="W80" i="5" s="1"/>
  <c r="W177" i="11"/>
  <c r="X174" i="11" s="1"/>
  <c r="Y50" i="10"/>
  <c r="Y22" i="10"/>
  <c r="Y27" i="6" s="1"/>
  <c r="H551" i="32" s="1"/>
  <c r="Y25" i="6"/>
  <c r="X47" i="4"/>
  <c r="X11" i="4" s="1"/>
  <c r="Y11" i="2" s="1"/>
  <c r="V111" i="11"/>
  <c r="V112" i="11" s="1"/>
  <c r="W109" i="11" s="1"/>
  <c r="V34" i="11"/>
  <c r="W31" i="11" s="1"/>
  <c r="W110" i="11" s="1"/>
  <c r="X49" i="6" s="1"/>
  <c r="Y28" i="10"/>
  <c r="X175" i="11" s="1"/>
  <c r="Y8" i="10"/>
  <c r="X45" i="4"/>
  <c r="X9" i="4" s="1"/>
  <c r="Y9" i="2" s="1"/>
  <c r="Y23" i="10"/>
  <c r="X24" i="5" s="1"/>
  <c r="H592" i="32" s="1"/>
  <c r="Y24" i="10"/>
  <c r="Y29" i="6" s="1"/>
  <c r="H555" i="32" s="1"/>
  <c r="Y26" i="10"/>
  <c r="X166" i="11" s="1"/>
  <c r="X46" i="4"/>
  <c r="X10" i="4" s="1"/>
  <c r="Y10" i="2" s="1"/>
  <c r="Y30" i="10"/>
  <c r="X185" i="11" s="1"/>
  <c r="W187" i="11"/>
  <c r="X184" i="11" s="1"/>
  <c r="Y53" i="10"/>
  <c r="X25" i="4"/>
  <c r="X27" i="4"/>
  <c r="Y27" i="10"/>
  <c r="Y32" i="6" s="1"/>
  <c r="Y24" i="2"/>
  <c r="Y21" i="2"/>
  <c r="Y52" i="10"/>
  <c r="Y46" i="10"/>
  <c r="Y23" i="2"/>
  <c r="V10" i="15"/>
  <c r="Y25" i="10"/>
  <c r="Y30" i="6" s="1"/>
  <c r="H553" i="32" s="1"/>
  <c r="Y22" i="2"/>
  <c r="W107" i="11"/>
  <c r="X104" i="11" s="1"/>
  <c r="Y5" i="19"/>
  <c r="Y31" i="10"/>
  <c r="X190" i="11" s="1"/>
  <c r="X191" i="11" s="1"/>
  <c r="Y44" i="10"/>
  <c r="AB8" i="14"/>
  <c r="Y30" i="2"/>
  <c r="Y49" i="10"/>
  <c r="Y41" i="6"/>
  <c r="Y9" i="6"/>
  <c r="Y45" i="10"/>
  <c r="Y47" i="10"/>
  <c r="AB88" i="14"/>
  <c r="W29" i="11"/>
  <c r="X26" i="11" s="1"/>
  <c r="X105" i="11" s="1"/>
  <c r="Y48" i="6" s="1"/>
  <c r="W76" i="5"/>
  <c r="W74" i="5" s="1"/>
  <c r="W7" i="15"/>
  <c r="X57" i="11"/>
  <c r="X90" i="5" s="1"/>
  <c r="X61" i="19" s="1"/>
  <c r="X32" i="11"/>
  <c r="AC5" i="14"/>
  <c r="AC15" i="14" s="1"/>
  <c r="X8" i="5"/>
  <c r="X8" i="11" s="1"/>
  <c r="X8" i="19"/>
  <c r="X27" i="11"/>
  <c r="Z6" i="6"/>
  <c r="Z13" i="6" s="1"/>
  <c r="Z5" i="10"/>
  <c r="Z14" i="10" s="1"/>
  <c r="Z36" i="10" s="1"/>
  <c r="Y5" i="5"/>
  <c r="X37" i="11"/>
  <c r="X38" i="11" s="1"/>
  <c r="X82" i="5" s="1"/>
  <c r="X97" i="11"/>
  <c r="X214" i="11" s="1"/>
  <c r="W19" i="11"/>
  <c r="V31" i="15" s="1"/>
  <c r="X17" i="11"/>
  <c r="X69" i="5" s="1"/>
  <c r="W11" i="11"/>
  <c r="X4" i="15"/>
  <c r="Y7" i="4"/>
  <c r="Z7" i="2" s="1"/>
  <c r="X87" i="11"/>
  <c r="X88" i="11" s="1"/>
  <c r="Y6" i="4"/>
  <c r="Z6" i="2" s="1"/>
  <c r="Z4" i="4"/>
  <c r="AA4" i="2" s="1"/>
  <c r="Y14" i="4"/>
  <c r="Y52" i="4" s="1"/>
  <c r="W10" i="11"/>
  <c r="W6" i="15"/>
  <c r="L27" i="5"/>
  <c r="D594" i="32" s="1"/>
  <c r="L167" i="11"/>
  <c r="AE6" i="18"/>
  <c r="W5" i="18"/>
  <c r="W8" i="18" s="1"/>
  <c r="X8" i="17"/>
  <c r="Y4" i="17"/>
  <c r="X4" i="18" s="1"/>
  <c r="Z6" i="16"/>
  <c r="AG6" i="17"/>
  <c r="AI7" i="16"/>
  <c r="AI79" i="16" s="1"/>
  <c r="X169" i="11"/>
  <c r="W28" i="5"/>
  <c r="W32" i="5"/>
  <c r="X5" i="15" l="1"/>
  <c r="X13" i="15" s="1"/>
  <c r="Y137" i="5"/>
  <c r="Y138" i="5"/>
  <c r="X195" i="11"/>
  <c r="X196" i="11" s="1"/>
  <c r="X39" i="5" s="1"/>
  <c r="H609" i="32" s="1"/>
  <c r="H572" i="32"/>
  <c r="X35" i="5"/>
  <c r="H610" i="32" s="1"/>
  <c r="H573" i="32"/>
  <c r="AC104" i="14"/>
  <c r="Y13" i="19"/>
  <c r="CH6" i="26"/>
  <c r="W68" i="11"/>
  <c r="W102" i="5" s="1"/>
  <c r="W27" i="19" s="1"/>
  <c r="X246" i="11"/>
  <c r="AM4" i="26"/>
  <c r="AM5" i="26" s="1"/>
  <c r="AL8" i="26"/>
  <c r="Z16" i="6"/>
  <c r="Z60" i="6" s="1"/>
  <c r="Y11" i="10"/>
  <c r="X11" i="5"/>
  <c r="Y12" i="6"/>
  <c r="Y33" i="6"/>
  <c r="V43" i="5"/>
  <c r="X11" i="19"/>
  <c r="Y10" i="6"/>
  <c r="AB11" i="14"/>
  <c r="X23" i="5"/>
  <c r="H591" i="32" s="1"/>
  <c r="Y31" i="6"/>
  <c r="H554" i="32" s="1"/>
  <c r="W33" i="11"/>
  <c r="W79" i="5" s="1"/>
  <c r="W77" i="5" s="1"/>
  <c r="W111" i="11"/>
  <c r="W43" i="5" s="1"/>
  <c r="Y28" i="6"/>
  <c r="H552" i="32" s="1"/>
  <c r="X25" i="5"/>
  <c r="H595" i="32" s="1"/>
  <c r="X10" i="5"/>
  <c r="X10" i="19"/>
  <c r="AB10" i="14"/>
  <c r="Y10" i="10"/>
  <c r="Y11" i="6"/>
  <c r="AB9" i="14"/>
  <c r="Y35" i="6"/>
  <c r="X9" i="19"/>
  <c r="X9" i="5"/>
  <c r="X9" i="11" s="1"/>
  <c r="Y9" i="10"/>
  <c r="X26" i="5"/>
  <c r="H593" i="32" s="1"/>
  <c r="Y36" i="6"/>
  <c r="H556" i="32" s="1"/>
  <c r="AC99" i="14"/>
  <c r="X170" i="11"/>
  <c r="X171" i="11" s="1"/>
  <c r="Z8" i="6"/>
  <c r="Z7" i="10"/>
  <c r="Y7" i="5"/>
  <c r="Y7" i="11" s="1"/>
  <c r="X28" i="11"/>
  <c r="X75" i="5"/>
  <c r="X78" i="5"/>
  <c r="W8" i="15"/>
  <c r="X106" i="11"/>
  <c r="Z4" i="5"/>
  <c r="Y4" i="15" s="1"/>
  <c r="Y30" i="4"/>
  <c r="Y13" i="5"/>
  <c r="Y231" i="11" s="1"/>
  <c r="X39" i="11"/>
  <c r="Y36" i="11" s="1"/>
  <c r="Y5" i="11"/>
  <c r="Y14" i="11" s="1"/>
  <c r="Y24" i="4"/>
  <c r="Y25" i="4" s="1"/>
  <c r="X145" i="11"/>
  <c r="X157" i="11" s="1"/>
  <c r="Y31" i="4"/>
  <c r="Y32" i="4" s="1"/>
  <c r="Y33" i="4" s="1"/>
  <c r="Z5" i="4"/>
  <c r="AA5" i="2" s="1"/>
  <c r="AA14" i="2" s="1"/>
  <c r="Y55" i="4"/>
  <c r="Y42" i="4"/>
  <c r="Y53" i="4"/>
  <c r="Y22" i="4"/>
  <c r="Y36" i="4"/>
  <c r="Y7" i="19"/>
  <c r="Y20" i="4"/>
  <c r="AC7" i="14"/>
  <c r="X140" i="11"/>
  <c r="Y41" i="4"/>
  <c r="X16" i="11"/>
  <c r="X18" i="11" s="1"/>
  <c r="X70" i="5" s="1"/>
  <c r="X68" i="5" s="1"/>
  <c r="X81" i="5"/>
  <c r="Y48" i="4"/>
  <c r="Z4" i="19"/>
  <c r="Y23" i="4"/>
  <c r="Y50" i="4"/>
  <c r="Z6" i="10"/>
  <c r="AD4" i="14"/>
  <c r="Y16" i="4"/>
  <c r="AA5" i="6"/>
  <c r="AA4" i="10"/>
  <c r="Y17" i="4"/>
  <c r="Z23" i="2" s="1"/>
  <c r="Y21" i="4"/>
  <c r="Z7" i="6"/>
  <c r="Y6" i="19"/>
  <c r="Y44" i="4"/>
  <c r="Y8" i="4" s="1"/>
  <c r="Z8" i="2" s="1"/>
  <c r="AC6" i="14"/>
  <c r="Y29" i="4"/>
  <c r="Y35" i="4"/>
  <c r="Y18" i="4"/>
  <c r="Y51" i="4"/>
  <c r="Y37" i="4"/>
  <c r="Y38" i="4" s="1"/>
  <c r="Y39" i="4" s="1"/>
  <c r="Y6" i="5"/>
  <c r="Y6" i="11" s="1"/>
  <c r="Y54" i="4"/>
  <c r="Y43" i="4"/>
  <c r="M164" i="11"/>
  <c r="K19" i="15"/>
  <c r="D643" i="32" s="1"/>
  <c r="M165" i="11"/>
  <c r="M27" i="5" s="1"/>
  <c r="AJ7" i="16"/>
  <c r="AJ79" i="16" s="1"/>
  <c r="AH6" i="17"/>
  <c r="AF6" i="18"/>
  <c r="Y5" i="17"/>
  <c r="AA5" i="16"/>
  <c r="Z10" i="16"/>
  <c r="Z54" i="16" s="1"/>
  <c r="X192" i="11"/>
  <c r="Y189" i="11" s="1"/>
  <c r="X32" i="5"/>
  <c r="H596" i="32" s="1"/>
  <c r="X176" i="11"/>
  <c r="X186" i="11"/>
  <c r="Y245" i="11" l="1"/>
  <c r="Y235" i="11"/>
  <c r="X197" i="11"/>
  <c r="Y194" i="11" s="1"/>
  <c r="Z28" i="10"/>
  <c r="Z33" i="6" s="1"/>
  <c r="Z21" i="6"/>
  <c r="X80" i="5"/>
  <c r="H618" i="32"/>
  <c r="AC88" i="14"/>
  <c r="W10" i="15"/>
  <c r="CI6" i="26"/>
  <c r="X247" i="11"/>
  <c r="Y244" i="11" s="1"/>
  <c r="X250" i="11"/>
  <c r="X251" i="11" s="1"/>
  <c r="X252" i="11" s="1"/>
  <c r="Y249" i="11" s="1"/>
  <c r="Y67" i="11"/>
  <c r="Y101" i="5" s="1"/>
  <c r="Y72" i="11"/>
  <c r="Y106" i="5" s="1"/>
  <c r="AN4" i="26"/>
  <c r="AN5" i="26" s="1"/>
  <c r="AM8" i="26"/>
  <c r="X11" i="11"/>
  <c r="W11" i="15"/>
  <c r="X10" i="11"/>
  <c r="Y46" i="4"/>
  <c r="Y10" i="4" s="1"/>
  <c r="Z10" i="10" s="1"/>
  <c r="Y47" i="4"/>
  <c r="Y11" i="4" s="1"/>
  <c r="Z11" i="2" s="1"/>
  <c r="W34" i="11"/>
  <c r="X31" i="11" s="1"/>
  <c r="W112" i="11"/>
  <c r="X109" i="11" s="1"/>
  <c r="Y45" i="4"/>
  <c r="Y9" i="4" s="1"/>
  <c r="Z9" i="2" s="1"/>
  <c r="Z25" i="6"/>
  <c r="W9" i="15"/>
  <c r="Z6" i="4"/>
  <c r="AA6" i="2" s="1"/>
  <c r="Z14" i="4"/>
  <c r="Z43" i="4" s="1"/>
  <c r="Z26" i="10"/>
  <c r="Z31" i="6" s="1"/>
  <c r="Z8" i="10"/>
  <c r="Z52" i="10"/>
  <c r="Z24" i="10"/>
  <c r="Y25" i="5" s="1"/>
  <c r="X7" i="15"/>
  <c r="Z31" i="10"/>
  <c r="Z36" i="6" s="1"/>
  <c r="X107" i="11"/>
  <c r="Y104" i="11" s="1"/>
  <c r="X42" i="5"/>
  <c r="Y8" i="5"/>
  <c r="Y8" i="11" s="1"/>
  <c r="Z30" i="10"/>
  <c r="Z35" i="6" s="1"/>
  <c r="Z45" i="10"/>
  <c r="Z9" i="6"/>
  <c r="Z4" i="11"/>
  <c r="X29" i="11"/>
  <c r="Y26" i="11" s="1"/>
  <c r="Y105" i="11" s="1"/>
  <c r="Z48" i="6" s="1"/>
  <c r="X76" i="5"/>
  <c r="X74" i="5" s="1"/>
  <c r="Y37" i="11"/>
  <c r="Y38" i="11" s="1"/>
  <c r="Y82" i="5" s="1"/>
  <c r="Y32" i="11"/>
  <c r="Y87" i="11"/>
  <c r="Y88" i="11" s="1"/>
  <c r="Y17" i="11"/>
  <c r="Y69" i="5" s="1"/>
  <c r="Y57" i="11"/>
  <c r="Y90" i="5" s="1"/>
  <c r="Y61" i="19" s="1"/>
  <c r="Y97" i="11"/>
  <c r="AA4" i="4"/>
  <c r="AB4" i="2" s="1"/>
  <c r="Z24" i="2"/>
  <c r="Y27" i="11"/>
  <c r="Z25" i="10"/>
  <c r="Z30" i="6" s="1"/>
  <c r="AC8" i="14"/>
  <c r="Z7" i="4"/>
  <c r="AA7" i="2" s="1"/>
  <c r="X19" i="11"/>
  <c r="W31" i="15" s="1"/>
  <c r="H652" i="32" s="1"/>
  <c r="AA6" i="6"/>
  <c r="AA13" i="6" s="1"/>
  <c r="Z5" i="19"/>
  <c r="Z5" i="5"/>
  <c r="Z23" i="10"/>
  <c r="Z28" i="6" s="1"/>
  <c r="AD5" i="14"/>
  <c r="AD15" i="14" s="1"/>
  <c r="AA5" i="10"/>
  <c r="AA14" i="10" s="1"/>
  <c r="AA36" i="10" s="1"/>
  <c r="Z46" i="10"/>
  <c r="Z50" i="10"/>
  <c r="Y26" i="4"/>
  <c r="Z49" i="10"/>
  <c r="Y27" i="4"/>
  <c r="Z44" i="10"/>
  <c r="Z53" i="10"/>
  <c r="Z22" i="10"/>
  <c r="Z27" i="6" s="1"/>
  <c r="Z27" i="10"/>
  <c r="Z32" i="6" s="1"/>
  <c r="Z41" i="6"/>
  <c r="Y8" i="19"/>
  <c r="Z22" i="2"/>
  <c r="X6" i="15"/>
  <c r="Z25" i="2"/>
  <c r="Z21" i="2"/>
  <c r="Z47" i="10"/>
  <c r="Z30" i="2"/>
  <c r="Z48" i="10"/>
  <c r="M167" i="11"/>
  <c r="AK7" i="16"/>
  <c r="AI6" i="17"/>
  <c r="Z4" i="17"/>
  <c r="Y4" i="18" s="1"/>
  <c r="AA6" i="16"/>
  <c r="Y8" i="17"/>
  <c r="X5" i="18"/>
  <c r="X8" i="18" s="1"/>
  <c r="AG6" i="18"/>
  <c r="X187" i="11"/>
  <c r="Y184" i="11" s="1"/>
  <c r="X31" i="5"/>
  <c r="X177" i="11"/>
  <c r="Y174" i="11" s="1"/>
  <c r="X29" i="5"/>
  <c r="X172" i="11"/>
  <c r="X28" i="5"/>
  <c r="AK79" i="16" l="1"/>
  <c r="Y5" i="15"/>
  <c r="Y13" i="15" s="1"/>
  <c r="Z137" i="5"/>
  <c r="Z138" i="5"/>
  <c r="Z19" i="10"/>
  <c r="Y195" i="11"/>
  <c r="Y196" i="11" s="1"/>
  <c r="Y39" i="5" s="1"/>
  <c r="Y175" i="11"/>
  <c r="Y176" i="11" s="1"/>
  <c r="Y177" i="11" s="1"/>
  <c r="Z174" i="11" s="1"/>
  <c r="Y35" i="5"/>
  <c r="AD99" i="14"/>
  <c r="Z13" i="19"/>
  <c r="CJ6" i="26"/>
  <c r="X68" i="11"/>
  <c r="X102" i="5" s="1"/>
  <c r="X27" i="19" s="1"/>
  <c r="Y246" i="11"/>
  <c r="AO4" i="26"/>
  <c r="AO5" i="26" s="1"/>
  <c r="AN8" i="26"/>
  <c r="Z11" i="6"/>
  <c r="Z10" i="2"/>
  <c r="Y10" i="19"/>
  <c r="AC10" i="14"/>
  <c r="AA16" i="6"/>
  <c r="AA60" i="6" s="1"/>
  <c r="Z16" i="4"/>
  <c r="Z42" i="4"/>
  <c r="Y166" i="11"/>
  <c r="N165" i="11" s="1"/>
  <c r="N27" i="5" s="1"/>
  <c r="Z54" i="4"/>
  <c r="Y10" i="5"/>
  <c r="Z50" i="4"/>
  <c r="AC11" i="14"/>
  <c r="Z24" i="4"/>
  <c r="Z45" i="4" s="1"/>
  <c r="Z9" i="4" s="1"/>
  <c r="AA9" i="2" s="1"/>
  <c r="Z11" i="10"/>
  <c r="Z53" i="4"/>
  <c r="Z12" i="6"/>
  <c r="Y11" i="5"/>
  <c r="Z6" i="19"/>
  <c r="AD6" i="14"/>
  <c r="AB4" i="10"/>
  <c r="Z9" i="10"/>
  <c r="Y9" i="5"/>
  <c r="X9" i="15" s="1"/>
  <c r="Z10" i="6"/>
  <c r="Y11" i="19"/>
  <c r="Z18" i="4"/>
  <c r="Z44" i="4"/>
  <c r="Z8" i="4" s="1"/>
  <c r="AA8" i="2" s="1"/>
  <c r="AA6" i="10"/>
  <c r="Z6" i="5"/>
  <c r="Y6" i="15" s="1"/>
  <c r="Z21" i="4"/>
  <c r="Y190" i="11"/>
  <c r="Y191" i="11" s="1"/>
  <c r="Y32" i="5" s="1"/>
  <c r="Z29" i="4"/>
  <c r="Z23" i="4"/>
  <c r="Z37" i="4"/>
  <c r="Z38" i="4" s="1"/>
  <c r="Z39" i="4" s="1"/>
  <c r="Z48" i="4"/>
  <c r="Z31" i="4"/>
  <c r="Z32" i="4" s="1"/>
  <c r="Z33" i="4" s="1"/>
  <c r="Z52" i="4"/>
  <c r="Z35" i="4"/>
  <c r="Z55" i="4"/>
  <c r="Z36" i="4"/>
  <c r="Z41" i="4"/>
  <c r="AA7" i="6"/>
  <c r="Z20" i="4"/>
  <c r="Z51" i="4"/>
  <c r="Z22" i="4"/>
  <c r="Z30" i="4"/>
  <c r="Y9" i="19"/>
  <c r="AC9" i="14"/>
  <c r="Z17" i="4"/>
  <c r="AA24" i="2" s="1"/>
  <c r="X110" i="11"/>
  <c r="X111" i="11" s="1"/>
  <c r="X43" i="5" s="1"/>
  <c r="X33" i="11"/>
  <c r="X8" i="15"/>
  <c r="Y26" i="5"/>
  <c r="Y185" i="11"/>
  <c r="Y186" i="11" s="1"/>
  <c r="Y187" i="11" s="1"/>
  <c r="Z184" i="11" s="1"/>
  <c r="Z7" i="19"/>
  <c r="AD7" i="14"/>
  <c r="AA5" i="4"/>
  <c r="AB5" i="2" s="1"/>
  <c r="AB14" i="2" s="1"/>
  <c r="Z29" i="6"/>
  <c r="AA4" i="19"/>
  <c r="AE4" i="14"/>
  <c r="AB5" i="6"/>
  <c r="AA4" i="5"/>
  <c r="Z4" i="15" s="1"/>
  <c r="Y78" i="5"/>
  <c r="Y28" i="11"/>
  <c r="Y75" i="5"/>
  <c r="Y39" i="11"/>
  <c r="Z36" i="11" s="1"/>
  <c r="Z13" i="5"/>
  <c r="Z231" i="11" s="1"/>
  <c r="Z5" i="11"/>
  <c r="Z14" i="11" s="1"/>
  <c r="Y81" i="5"/>
  <c r="Y106" i="11"/>
  <c r="Y214" i="11"/>
  <c r="Y140" i="11"/>
  <c r="Y145" i="11"/>
  <c r="Y157" i="11" s="1"/>
  <c r="AD104" i="14"/>
  <c r="Y170" i="11"/>
  <c r="Y24" i="5"/>
  <c r="Z7" i="5"/>
  <c r="Z7" i="11" s="1"/>
  <c r="AA7" i="10"/>
  <c r="Y16" i="11"/>
  <c r="Y18" i="11" s="1"/>
  <c r="Y70" i="5" s="1"/>
  <c r="Y68" i="5" s="1"/>
  <c r="AA8" i="6"/>
  <c r="Y23" i="5"/>
  <c r="L19" i="15"/>
  <c r="N164" i="11"/>
  <c r="AB5" i="16"/>
  <c r="Z5" i="17"/>
  <c r="AA10" i="16"/>
  <c r="AA54" i="16" s="1"/>
  <c r="AH6" i="18"/>
  <c r="AJ6" i="17"/>
  <c r="AL7" i="16"/>
  <c r="Y169" i="11"/>
  <c r="AL79" i="16" l="1"/>
  <c r="Z245" i="11"/>
  <c r="Z235" i="11"/>
  <c r="AD88" i="14"/>
  <c r="AA31" i="10"/>
  <c r="AA21" i="6"/>
  <c r="Y197" i="11"/>
  <c r="Z194" i="11" s="1"/>
  <c r="Y80" i="5"/>
  <c r="X10" i="15"/>
  <c r="CK6" i="26"/>
  <c r="Y247" i="11"/>
  <c r="Z244" i="11" s="1"/>
  <c r="Y250" i="11"/>
  <c r="Y251" i="11" s="1"/>
  <c r="Y252" i="11" s="1"/>
  <c r="Z249" i="11" s="1"/>
  <c r="Z72" i="11"/>
  <c r="Z106" i="5" s="1"/>
  <c r="Z67" i="11"/>
  <c r="Z101" i="5" s="1"/>
  <c r="Y11" i="11"/>
  <c r="AP4" i="26"/>
  <c r="AP5" i="26" s="1"/>
  <c r="AO8" i="26"/>
  <c r="AA25" i="10"/>
  <c r="AA30" i="6" s="1"/>
  <c r="X11" i="15"/>
  <c r="Z27" i="4"/>
  <c r="Z46" i="4"/>
  <c r="Z10" i="4" s="1"/>
  <c r="AA10" i="2" s="1"/>
  <c r="Z47" i="4"/>
  <c r="Z11" i="4" s="1"/>
  <c r="AA11" i="2" s="1"/>
  <c r="Z25" i="4"/>
  <c r="Z26" i="4"/>
  <c r="Y10" i="11"/>
  <c r="AA9" i="6"/>
  <c r="Z27" i="11"/>
  <c r="Z75" i="5" s="1"/>
  <c r="AA8" i="10"/>
  <c r="AA30" i="10"/>
  <c r="AA35" i="6" s="1"/>
  <c r="AA30" i="2"/>
  <c r="AA28" i="10"/>
  <c r="AA33" i="6" s="1"/>
  <c r="Z8" i="19"/>
  <c r="AA27" i="10"/>
  <c r="AA32" i="6" s="1"/>
  <c r="AD8" i="14"/>
  <c r="AA5" i="5"/>
  <c r="Z5" i="15" s="1"/>
  <c r="Z13" i="15" s="1"/>
  <c r="AA25" i="6"/>
  <c r="Z8" i="5"/>
  <c r="Z8" i="11" s="1"/>
  <c r="Y9" i="11"/>
  <c r="AA26" i="10"/>
  <c r="Z166" i="11" s="1"/>
  <c r="AA41" i="6"/>
  <c r="AA24" i="10"/>
  <c r="Z25" i="5" s="1"/>
  <c r="AA21" i="2"/>
  <c r="AA23" i="10"/>
  <c r="AA28" i="6" s="1"/>
  <c r="AB5" i="10"/>
  <c r="AB14" i="10" s="1"/>
  <c r="AB36" i="10" s="1"/>
  <c r="AA22" i="10"/>
  <c r="AA27" i="6" s="1"/>
  <c r="AA49" i="10"/>
  <c r="AA53" i="10"/>
  <c r="AA25" i="2"/>
  <c r="AA47" i="10"/>
  <c r="AA23" i="2"/>
  <c r="AA22" i="2"/>
  <c r="AA44" i="10"/>
  <c r="Y192" i="11"/>
  <c r="Z189" i="11" s="1"/>
  <c r="AA48" i="10"/>
  <c r="AA46" i="10"/>
  <c r="Z6" i="11"/>
  <c r="X34" i="11"/>
  <c r="Y31" i="11" s="1"/>
  <c r="X79" i="5"/>
  <c r="X77" i="5" s="1"/>
  <c r="Y49" i="6"/>
  <c r="X112" i="11"/>
  <c r="Y109" i="11" s="1"/>
  <c r="AA52" i="10"/>
  <c r="AA50" i="10"/>
  <c r="AA45" i="10"/>
  <c r="AA4" i="11"/>
  <c r="AA6" i="4"/>
  <c r="AB6" i="2" s="1"/>
  <c r="AA14" i="4"/>
  <c r="AA54" i="4" s="1"/>
  <c r="AB6" i="6"/>
  <c r="AB13" i="6" s="1"/>
  <c r="AA7" i="4"/>
  <c r="AB7" i="2" s="1"/>
  <c r="AB4" i="4"/>
  <c r="AC4" i="2" s="1"/>
  <c r="AA5" i="19"/>
  <c r="AE5" i="14"/>
  <c r="AE15" i="14" s="1"/>
  <c r="Y29" i="5"/>
  <c r="Y107" i="11"/>
  <c r="Z104" i="11" s="1"/>
  <c r="Y42" i="5"/>
  <c r="Z37" i="11"/>
  <c r="Z38" i="11" s="1"/>
  <c r="Z82" i="5" s="1"/>
  <c r="Z17" i="11"/>
  <c r="Z69" i="5" s="1"/>
  <c r="Z97" i="11"/>
  <c r="Z140" i="11" s="1"/>
  <c r="Y29" i="11"/>
  <c r="Z26" i="11" s="1"/>
  <c r="Z105" i="11" s="1"/>
  <c r="Y76" i="5"/>
  <c r="Y74" i="5" s="1"/>
  <c r="Z32" i="11"/>
  <c r="Z87" i="11"/>
  <c r="Z88" i="11" s="1"/>
  <c r="Z57" i="11"/>
  <c r="Z90" i="5" s="1"/>
  <c r="Z61" i="19" s="1"/>
  <c r="Y171" i="11"/>
  <c r="Y28" i="5" s="1"/>
  <c r="Y19" i="11"/>
  <c r="X31" i="15" s="1"/>
  <c r="Y7" i="15"/>
  <c r="N167" i="11"/>
  <c r="M19" i="15" s="1"/>
  <c r="AD9" i="14"/>
  <c r="Z9" i="19"/>
  <c r="Y5" i="18"/>
  <c r="Y8" i="18" s="1"/>
  <c r="Z8" i="17"/>
  <c r="AA4" i="17"/>
  <c r="Z4" i="18" s="1"/>
  <c r="AB6" i="16"/>
  <c r="AM7" i="16"/>
  <c r="AK6" i="17"/>
  <c r="AI6" i="18"/>
  <c r="Y31" i="5"/>
  <c r="AA10" i="6"/>
  <c r="Z9" i="5"/>
  <c r="AA9" i="10"/>
  <c r="AM79" i="16" l="1"/>
  <c r="AA36" i="6"/>
  <c r="Z190" i="11"/>
  <c r="Z191" i="11" s="1"/>
  <c r="Z192" i="11" s="1"/>
  <c r="AA189" i="11" s="1"/>
  <c r="Z35" i="5"/>
  <c r="AA19" i="10"/>
  <c r="Z195" i="11"/>
  <c r="Z196" i="11" s="1"/>
  <c r="Z39" i="5" s="1"/>
  <c r="AE99" i="14"/>
  <c r="AA13" i="19"/>
  <c r="CL6" i="26"/>
  <c r="Y68" i="11"/>
  <c r="Y102" i="5" s="1"/>
  <c r="Y27" i="19" s="1"/>
  <c r="AQ4" i="26"/>
  <c r="AQ5" i="26" s="1"/>
  <c r="AP8" i="26"/>
  <c r="AB16" i="6"/>
  <c r="AB60" i="6" s="1"/>
  <c r="Z26" i="5"/>
  <c r="AA12" i="6"/>
  <c r="Z11" i="5"/>
  <c r="AA11" i="10"/>
  <c r="Z10" i="19"/>
  <c r="AA11" i="6"/>
  <c r="Z11" i="19"/>
  <c r="Z10" i="5"/>
  <c r="AD11" i="14"/>
  <c r="AD10" i="14"/>
  <c r="AA10" i="10"/>
  <c r="Z185" i="11"/>
  <c r="Z186" i="11" s="1"/>
  <c r="AA13" i="5"/>
  <c r="AA231" i="11" s="1"/>
  <c r="Z175" i="11"/>
  <c r="Z176" i="11" s="1"/>
  <c r="Z29" i="5" s="1"/>
  <c r="Y8" i="15"/>
  <c r="AB4" i="19"/>
  <c r="Z23" i="5"/>
  <c r="AA5" i="11"/>
  <c r="AA14" i="11" s="1"/>
  <c r="Z24" i="5"/>
  <c r="Z170" i="11"/>
  <c r="AA24" i="4"/>
  <c r="AA25" i="4" s="1"/>
  <c r="AA48" i="4"/>
  <c r="AA31" i="6"/>
  <c r="AA29" i="6"/>
  <c r="AA7" i="19"/>
  <c r="AC4" i="10"/>
  <c r="AC5" i="6"/>
  <c r="AB4" i="5"/>
  <c r="AB4" i="11" s="1"/>
  <c r="AE7" i="14"/>
  <c r="AB5" i="4"/>
  <c r="AC5" i="2" s="1"/>
  <c r="AC14" i="2" s="1"/>
  <c r="AA7" i="5"/>
  <c r="Z7" i="15" s="1"/>
  <c r="AB7" i="10"/>
  <c r="AB8" i="6"/>
  <c r="AA41" i="4"/>
  <c r="AA31" i="4"/>
  <c r="AA32" i="4" s="1"/>
  <c r="AA33" i="4" s="1"/>
  <c r="AA17" i="4"/>
  <c r="AB24" i="2" s="1"/>
  <c r="Z145" i="11"/>
  <c r="Z157" i="11" s="1"/>
  <c r="AA43" i="4"/>
  <c r="AA6" i="5"/>
  <c r="Z6" i="15" s="1"/>
  <c r="AA50" i="4"/>
  <c r="AA23" i="4"/>
  <c r="AB52" i="10" s="1"/>
  <c r="AA21" i="4"/>
  <c r="AA55" i="4"/>
  <c r="AE6" i="14"/>
  <c r="AA6" i="19"/>
  <c r="AB6" i="10"/>
  <c r="Y110" i="11"/>
  <c r="Y111" i="11" s="1"/>
  <c r="Y43" i="5" s="1"/>
  <c r="Y33" i="11"/>
  <c r="Y79" i="5" s="1"/>
  <c r="Y77" i="5" s="1"/>
  <c r="Z214" i="11"/>
  <c r="AA44" i="4"/>
  <c r="AA8" i="4" s="1"/>
  <c r="AB8" i="2" s="1"/>
  <c r="AA29" i="4"/>
  <c r="AA35" i="4"/>
  <c r="AA20" i="4"/>
  <c r="AB7" i="6"/>
  <c r="AE104" i="14"/>
  <c r="AA18" i="4"/>
  <c r="AA36" i="4"/>
  <c r="AA30" i="4"/>
  <c r="AA37" i="4"/>
  <c r="AA38" i="4" s="1"/>
  <c r="AA39" i="4" s="1"/>
  <c r="AA53" i="4"/>
  <c r="AA52" i="4"/>
  <c r="Z39" i="11"/>
  <c r="AA36" i="11" s="1"/>
  <c r="AA22" i="4"/>
  <c r="AA51" i="4"/>
  <c r="Z81" i="5"/>
  <c r="AA42" i="4"/>
  <c r="AA16" i="4"/>
  <c r="AF4" i="14"/>
  <c r="Y172" i="11"/>
  <c r="Z169" i="11" s="1"/>
  <c r="Z106" i="11"/>
  <c r="AA48" i="6"/>
  <c r="Z78" i="5"/>
  <c r="Z28" i="11"/>
  <c r="Z16" i="11"/>
  <c r="Z18" i="11" s="1"/>
  <c r="Z70" i="5" s="1"/>
  <c r="Z68" i="5" s="1"/>
  <c r="O164" i="11"/>
  <c r="O165" i="11"/>
  <c r="Z9" i="11"/>
  <c r="Y9" i="15"/>
  <c r="AJ6" i="18"/>
  <c r="AN7" i="16"/>
  <c r="AL6" i="17"/>
  <c r="AC5" i="16"/>
  <c r="AA5" i="17"/>
  <c r="AB10" i="16"/>
  <c r="AB54" i="16" s="1"/>
  <c r="AN79" i="16" l="1"/>
  <c r="AA245" i="11"/>
  <c r="AA235" i="11"/>
  <c r="Z197" i="11"/>
  <c r="AA194" i="11" s="1"/>
  <c r="Z80" i="5"/>
  <c r="AB30" i="10"/>
  <c r="AB35" i="6" s="1"/>
  <c r="AB21" i="6"/>
  <c r="AE88" i="14"/>
  <c r="Z10" i="11"/>
  <c r="CM6" i="26"/>
  <c r="Z246" i="11"/>
  <c r="Z250" i="11"/>
  <c r="Z251" i="11" s="1"/>
  <c r="Z252" i="11" s="1"/>
  <c r="AA249" i="11" s="1"/>
  <c r="AA72" i="11"/>
  <c r="AA106" i="5" s="1"/>
  <c r="AA67" i="11"/>
  <c r="AA101" i="5" s="1"/>
  <c r="I622" i="32" s="1"/>
  <c r="AR4" i="26"/>
  <c r="AR5" i="26" s="1"/>
  <c r="AQ8" i="26"/>
  <c r="Y11" i="15"/>
  <c r="Z11" i="11"/>
  <c r="Y10" i="15"/>
  <c r="Z177" i="11"/>
  <c r="AA174" i="11" s="1"/>
  <c r="AB47" i="10"/>
  <c r="AA97" i="11"/>
  <c r="AA57" i="11"/>
  <c r="AA90" i="5" s="1"/>
  <c r="AA61" i="19" s="1"/>
  <c r="AA27" i="11"/>
  <c r="AA75" i="5" s="1"/>
  <c r="AA37" i="11"/>
  <c r="AA38" i="11" s="1"/>
  <c r="AA39" i="11" s="1"/>
  <c r="AB36" i="11" s="1"/>
  <c r="AA32" i="11"/>
  <c r="AA78" i="5" s="1"/>
  <c r="AA87" i="11"/>
  <c r="AA88" i="11" s="1"/>
  <c r="AA17" i="11"/>
  <c r="AA69" i="5" s="1"/>
  <c r="AA8" i="5"/>
  <c r="AA8" i="11" s="1"/>
  <c r="AB9" i="6"/>
  <c r="AB8" i="10"/>
  <c r="Z32" i="5"/>
  <c r="AB6" i="4"/>
  <c r="AC6" i="2" s="1"/>
  <c r="AB25" i="2"/>
  <c r="AA26" i="4"/>
  <c r="AA46" i="4"/>
  <c r="AA10" i="4" s="1"/>
  <c r="AB10" i="2" s="1"/>
  <c r="Y34" i="11"/>
  <c r="Z31" i="11" s="1"/>
  <c r="Z110" i="11" s="1"/>
  <c r="AA49" i="6" s="1"/>
  <c r="AA4" i="15"/>
  <c r="AA47" i="4"/>
  <c r="AA11" i="4" s="1"/>
  <c r="AB11" i="2" s="1"/>
  <c r="AA27" i="4"/>
  <c r="AA45" i="4"/>
  <c r="AA9" i="4" s="1"/>
  <c r="AB9" i="2" s="1"/>
  <c r="Z171" i="11"/>
  <c r="Z172" i="11" s="1"/>
  <c r="AA169" i="11" s="1"/>
  <c r="AB53" i="10"/>
  <c r="AB21" i="2"/>
  <c r="AB23" i="2"/>
  <c r="AF5" i="14"/>
  <c r="AF15" i="14" s="1"/>
  <c r="AB25" i="6"/>
  <c r="AC4" i="4"/>
  <c r="AD4" i="2" s="1"/>
  <c r="AB5" i="19"/>
  <c r="AB25" i="10"/>
  <c r="AB30" i="6" s="1"/>
  <c r="I553" i="32" s="1"/>
  <c r="AB14" i="4"/>
  <c r="AB55" i="4" s="1"/>
  <c r="AB28" i="10"/>
  <c r="AA175" i="11" s="1"/>
  <c r="AB23" i="10"/>
  <c r="AB28" i="6" s="1"/>
  <c r="I552" i="32" s="1"/>
  <c r="AA7" i="11"/>
  <c r="AB7" i="4"/>
  <c r="AC7" i="2" s="1"/>
  <c r="AC5" i="10"/>
  <c r="AC14" i="10" s="1"/>
  <c r="AC36" i="10" s="1"/>
  <c r="AB22" i="10"/>
  <c r="AB27" i="6" s="1"/>
  <c r="I551" i="32" s="1"/>
  <c r="AB22" i="2"/>
  <c r="AB5" i="5"/>
  <c r="AB30" i="2"/>
  <c r="AC6" i="6"/>
  <c r="AC13" i="6" s="1"/>
  <c r="AB45" i="10"/>
  <c r="AB49" i="10"/>
  <c r="AB48" i="10"/>
  <c r="Z49" i="6"/>
  <c r="Y112" i="11"/>
  <c r="Z109" i="11" s="1"/>
  <c r="AB46" i="10"/>
  <c r="AA6" i="11"/>
  <c r="AB44" i="10"/>
  <c r="AB50" i="10"/>
  <c r="AA8" i="19"/>
  <c r="AE8" i="14"/>
  <c r="AB31" i="10"/>
  <c r="AB36" i="6" s="1"/>
  <c r="I556" i="32" s="1"/>
  <c r="AB41" i="6"/>
  <c r="AB26" i="10"/>
  <c r="AA166" i="11" s="1"/>
  <c r="AB24" i="10"/>
  <c r="AB29" i="6" s="1"/>
  <c r="I555" i="32" s="1"/>
  <c r="AB27" i="10"/>
  <c r="AB32" i="6" s="1"/>
  <c r="Z107" i="11"/>
  <c r="AA104" i="11" s="1"/>
  <c r="Z42" i="5"/>
  <c r="Z29" i="11"/>
  <c r="AA26" i="11" s="1"/>
  <c r="AA105" i="11" s="1"/>
  <c r="AB48" i="6" s="1"/>
  <c r="Z76" i="5"/>
  <c r="Z74" i="5" s="1"/>
  <c r="Z19" i="11"/>
  <c r="Y31" i="15" s="1"/>
  <c r="AK6" i="18"/>
  <c r="AA8" i="17"/>
  <c r="Z5" i="18"/>
  <c r="Z8" i="18" s="1"/>
  <c r="AC6" i="16"/>
  <c r="AB4" i="17"/>
  <c r="AA4" i="18" s="1"/>
  <c r="AO7" i="16"/>
  <c r="AM6" i="17"/>
  <c r="O27" i="5"/>
  <c r="E594" i="32" s="1"/>
  <c r="Z187" i="11"/>
  <c r="AA184" i="11" s="1"/>
  <c r="Z31" i="5"/>
  <c r="O167" i="11"/>
  <c r="N19" i="15" s="1"/>
  <c r="E643" i="32" s="1"/>
  <c r="AO79" i="16" l="1"/>
  <c r="AA5" i="15"/>
  <c r="AA13" i="15" s="1"/>
  <c r="AB137" i="5"/>
  <c r="AB138" i="5"/>
  <c r="AB19" i="10"/>
  <c r="I549" i="32"/>
  <c r="AA35" i="5"/>
  <c r="I610" i="32" s="1"/>
  <c r="I573" i="32"/>
  <c r="AA185" i="11"/>
  <c r="AA186" i="11" s="1"/>
  <c r="AA31" i="5" s="1"/>
  <c r="AA195" i="11"/>
  <c r="AA196" i="11" s="1"/>
  <c r="AA39" i="5" s="1"/>
  <c r="I609" i="32" s="1"/>
  <c r="I572" i="32"/>
  <c r="AF104" i="14"/>
  <c r="AF88" i="14" s="1"/>
  <c r="AB13" i="19"/>
  <c r="CN6" i="26"/>
  <c r="Z247" i="11"/>
  <c r="AA244" i="11" s="1"/>
  <c r="Z68" i="11"/>
  <c r="Z102" i="5" s="1"/>
  <c r="Z27" i="19" s="1"/>
  <c r="AS4" i="26"/>
  <c r="AS5" i="26" s="1"/>
  <c r="AR8" i="26"/>
  <c r="AA176" i="11"/>
  <c r="AA177" i="11" s="1"/>
  <c r="AB174" i="11" s="1"/>
  <c r="AC16" i="6"/>
  <c r="AC60" i="6" s="1"/>
  <c r="Z8" i="15"/>
  <c r="AA11" i="5"/>
  <c r="AB12" i="6"/>
  <c r="AC6" i="10"/>
  <c r="AC7" i="6"/>
  <c r="AA23" i="5"/>
  <c r="I591" i="32" s="1"/>
  <c r="AF6" i="14"/>
  <c r="AA11" i="19"/>
  <c r="AB11" i="10"/>
  <c r="AB6" i="19"/>
  <c r="AB6" i="5"/>
  <c r="AB6" i="11" s="1"/>
  <c r="AE11" i="14"/>
  <c r="AA140" i="11"/>
  <c r="AA214" i="11"/>
  <c r="AA9" i="5"/>
  <c r="AA9" i="11" s="1"/>
  <c r="AA145" i="11"/>
  <c r="AA157" i="11" s="1"/>
  <c r="AA9" i="19"/>
  <c r="AE9" i="14"/>
  <c r="AA81" i="5"/>
  <c r="AB54" i="4"/>
  <c r="AB52" i="4"/>
  <c r="Z111" i="11"/>
  <c r="Z43" i="5" s="1"/>
  <c r="Z28" i="5"/>
  <c r="Z33" i="11"/>
  <c r="Z79" i="5" s="1"/>
  <c r="Z77" i="5" s="1"/>
  <c r="AC5" i="4"/>
  <c r="AD5" i="2" s="1"/>
  <c r="AD14" i="2" s="1"/>
  <c r="AD5" i="6"/>
  <c r="AB33" i="6"/>
  <c r="AA25" i="5"/>
  <c r="I595" i="32" s="1"/>
  <c r="AD4" i="10"/>
  <c r="AB41" i="4"/>
  <c r="AG4" i="14"/>
  <c r="AB11" i="6"/>
  <c r="AB20" i="4"/>
  <c r="AA10" i="5"/>
  <c r="AB10" i="6"/>
  <c r="AB10" i="10"/>
  <c r="AA10" i="19"/>
  <c r="AC4" i="5"/>
  <c r="AC4" i="11" s="1"/>
  <c r="AC4" i="19"/>
  <c r="AB22" i="4"/>
  <c r="AC21" i="6" s="1"/>
  <c r="AB16" i="4"/>
  <c r="AB9" i="10"/>
  <c r="AE10" i="14"/>
  <c r="AB53" i="4"/>
  <c r="AB48" i="4"/>
  <c r="AB29" i="4"/>
  <c r="AB42" i="4"/>
  <c r="AB18" i="4"/>
  <c r="AA26" i="5"/>
  <c r="I593" i="32" s="1"/>
  <c r="AB35" i="4"/>
  <c r="AB30" i="4"/>
  <c r="AB43" i="4"/>
  <c r="AB24" i="4"/>
  <c r="AB46" i="4" s="1"/>
  <c r="AB10" i="4" s="1"/>
  <c r="AC10" i="2" s="1"/>
  <c r="AB50" i="4"/>
  <c r="AB17" i="4"/>
  <c r="AC25" i="2" s="1"/>
  <c r="AB44" i="4"/>
  <c r="AB8" i="4" s="1"/>
  <c r="AC8" i="2" s="1"/>
  <c r="AB13" i="5"/>
  <c r="AB231" i="11" s="1"/>
  <c r="AB23" i="4"/>
  <c r="AB5" i="11"/>
  <c r="AB14" i="11" s="1"/>
  <c r="AB51" i="4"/>
  <c r="AB21" i="4"/>
  <c r="AB36" i="4"/>
  <c r="AB31" i="4"/>
  <c r="AB32" i="4" s="1"/>
  <c r="AB33" i="4" s="1"/>
  <c r="AB37" i="4"/>
  <c r="AB38" i="4" s="1"/>
  <c r="AB39" i="4" s="1"/>
  <c r="AC7" i="10"/>
  <c r="AB7" i="5"/>
  <c r="AA7" i="15" s="1"/>
  <c r="AC8" i="6"/>
  <c r="AB7" i="19"/>
  <c r="AF7" i="14"/>
  <c r="AA24" i="5"/>
  <c r="I592" i="32" s="1"/>
  <c r="AA82" i="5"/>
  <c r="AA190" i="11"/>
  <c r="AA191" i="11" s="1"/>
  <c r="AA32" i="5" s="1"/>
  <c r="I596" i="32" s="1"/>
  <c r="AB31" i="6"/>
  <c r="I554" i="32" s="1"/>
  <c r="AA170" i="11"/>
  <c r="AA171" i="11" s="1"/>
  <c r="AA28" i="5" s="1"/>
  <c r="AA106" i="11"/>
  <c r="AA107" i="11" s="1"/>
  <c r="AB104" i="11" s="1"/>
  <c r="AA28" i="11"/>
  <c r="AA76" i="5" s="1"/>
  <c r="AA74" i="5" s="1"/>
  <c r="AA16" i="11"/>
  <c r="AA18" i="11" s="1"/>
  <c r="AA70" i="5" s="1"/>
  <c r="AA68" i="5" s="1"/>
  <c r="P165" i="11"/>
  <c r="AN6" i="17"/>
  <c r="AP7" i="16"/>
  <c r="AL6" i="18"/>
  <c r="AB5" i="17"/>
  <c r="AC10" i="16"/>
  <c r="AC54" i="16" s="1"/>
  <c r="AD5" i="16"/>
  <c r="P164" i="11"/>
  <c r="AP79" i="16" l="1"/>
  <c r="AB245" i="11"/>
  <c r="AB235" i="11"/>
  <c r="AA197" i="11"/>
  <c r="AB194" i="11" s="1"/>
  <c r="AC19" i="10"/>
  <c r="I618" i="32"/>
  <c r="Z11" i="15"/>
  <c r="CO6" i="26"/>
  <c r="AA246" i="11"/>
  <c r="AA247" i="11" s="1"/>
  <c r="AB244" i="11" s="1"/>
  <c r="AA250" i="11"/>
  <c r="AA251" i="11" s="1"/>
  <c r="AA252" i="11" s="1"/>
  <c r="AB249" i="11" s="1"/>
  <c r="AB72" i="11"/>
  <c r="AB106" i="5" s="1"/>
  <c r="AB67" i="11"/>
  <c r="AB101" i="5" s="1"/>
  <c r="AA29" i="5"/>
  <c r="AT4" i="26"/>
  <c r="AT5" i="26" s="1"/>
  <c r="AS8" i="26"/>
  <c r="AC6" i="4"/>
  <c r="AB8" i="5"/>
  <c r="AC23" i="10"/>
  <c r="AC28" i="6" s="1"/>
  <c r="AB8" i="19"/>
  <c r="AC8" i="10"/>
  <c r="AD6" i="6"/>
  <c r="AD13" i="6" s="1"/>
  <c r="AA11" i="11"/>
  <c r="AD5" i="10"/>
  <c r="AD14" i="10" s="1"/>
  <c r="AD36" i="10" s="1"/>
  <c r="Z9" i="15"/>
  <c r="AC5" i="5"/>
  <c r="AF8" i="14"/>
  <c r="AD4" i="4"/>
  <c r="AC14" i="4"/>
  <c r="AC5" i="19"/>
  <c r="AC7" i="4"/>
  <c r="AD7" i="2" s="1"/>
  <c r="AG5" i="14"/>
  <c r="AG15" i="14" s="1"/>
  <c r="AC28" i="10"/>
  <c r="AB175" i="11" s="1"/>
  <c r="AB176" i="11" s="1"/>
  <c r="AA10" i="11"/>
  <c r="AA6" i="15"/>
  <c r="AC9" i="6"/>
  <c r="AC22" i="10"/>
  <c r="AC27" i="6" s="1"/>
  <c r="AA80" i="5"/>
  <c r="Z112" i="11"/>
  <c r="AA109" i="11" s="1"/>
  <c r="AB32" i="11"/>
  <c r="AB78" i="5" s="1"/>
  <c r="Z10" i="15"/>
  <c r="Z34" i="11"/>
  <c r="AA31" i="11" s="1"/>
  <c r="AA110" i="11" s="1"/>
  <c r="AB49" i="6" s="1"/>
  <c r="AC21" i="2"/>
  <c r="AC23" i="2"/>
  <c r="AC30" i="2"/>
  <c r="AC25" i="6"/>
  <c r="AC22" i="2"/>
  <c r="AC24" i="2"/>
  <c r="AB17" i="11"/>
  <c r="AB69" i="5" s="1"/>
  <c r="AC41" i="6"/>
  <c r="AB27" i="11"/>
  <c r="AB75" i="5" s="1"/>
  <c r="AC25" i="10"/>
  <c r="AC30" i="6" s="1"/>
  <c r="AB37" i="11"/>
  <c r="AB38" i="11" s="1"/>
  <c r="AB82" i="5" s="1"/>
  <c r="AC24" i="10"/>
  <c r="AC29" i="6" s="1"/>
  <c r="AB87" i="11"/>
  <c r="AB88" i="11" s="1"/>
  <c r="AC30" i="10"/>
  <c r="AC35" i="6" s="1"/>
  <c r="AC31" i="10"/>
  <c r="AC36" i="6" s="1"/>
  <c r="AC26" i="10"/>
  <c r="AC31" i="6" s="1"/>
  <c r="AC53" i="10"/>
  <c r="AC44" i="10"/>
  <c r="AB4" i="15"/>
  <c r="AC49" i="10"/>
  <c r="AC48" i="10"/>
  <c r="AC27" i="10"/>
  <c r="AB170" i="11" s="1"/>
  <c r="AC47" i="10"/>
  <c r="AB97" i="11"/>
  <c r="AB214" i="11" s="1"/>
  <c r="AB57" i="11"/>
  <c r="AB90" i="5" s="1"/>
  <c r="AB61" i="19" s="1"/>
  <c r="AB26" i="4"/>
  <c r="AB25" i="4"/>
  <c r="AC46" i="10"/>
  <c r="AB27" i="4"/>
  <c r="AC45" i="10"/>
  <c r="AB45" i="4"/>
  <c r="AB9" i="4" s="1"/>
  <c r="AC9" i="2" s="1"/>
  <c r="AB47" i="4"/>
  <c r="AB11" i="4" s="1"/>
  <c r="AC11" i="2" s="1"/>
  <c r="AC50" i="10"/>
  <c r="AC52" i="10"/>
  <c r="AB7" i="11"/>
  <c r="AA192" i="11"/>
  <c r="AB189" i="11" s="1"/>
  <c r="AA187" i="11"/>
  <c r="AB184" i="11" s="1"/>
  <c r="AA42" i="5"/>
  <c r="AA29" i="11"/>
  <c r="AB26" i="11" s="1"/>
  <c r="AB105" i="11" s="1"/>
  <c r="AC48" i="6" s="1"/>
  <c r="AA19" i="11"/>
  <c r="Z31" i="15" s="1"/>
  <c r="I652" i="32" s="1"/>
  <c r="AA172" i="11"/>
  <c r="AF10" i="14"/>
  <c r="AB10" i="19"/>
  <c r="AB8" i="17"/>
  <c r="AA5" i="18"/>
  <c r="AA8" i="18" s="1"/>
  <c r="AQ7" i="16"/>
  <c r="AO6" i="17"/>
  <c r="AC4" i="17"/>
  <c r="AB4" i="18" s="1"/>
  <c r="AD6" i="16"/>
  <c r="AM6" i="18"/>
  <c r="P167" i="11"/>
  <c r="O19" i="15" s="1"/>
  <c r="P27" i="5"/>
  <c r="AC10" i="10"/>
  <c r="AB10" i="5"/>
  <c r="AC11" i="6"/>
  <c r="AQ79" i="16" l="1"/>
  <c r="AC138" i="5"/>
  <c r="AC137" i="5"/>
  <c r="AB35" i="5"/>
  <c r="AB195" i="11"/>
  <c r="AB196" i="11" s="1"/>
  <c r="AB39" i="5" s="1"/>
  <c r="AG99" i="14"/>
  <c r="AC13" i="19"/>
  <c r="CP6" i="26"/>
  <c r="AA68" i="11"/>
  <c r="AA102" i="5" s="1"/>
  <c r="AA27" i="19" s="1"/>
  <c r="AU4" i="26"/>
  <c r="AU5" i="26" s="1"/>
  <c r="AT8" i="26"/>
  <c r="AG6" i="14"/>
  <c r="AC6" i="19"/>
  <c r="AD6" i="2"/>
  <c r="AC6" i="5"/>
  <c r="AB6" i="15" s="1"/>
  <c r="AD6" i="10"/>
  <c r="AD7" i="6"/>
  <c r="AB8" i="11"/>
  <c r="AA8" i="15"/>
  <c r="AC52" i="4"/>
  <c r="AC54" i="4"/>
  <c r="AC53" i="4"/>
  <c r="AB5" i="15"/>
  <c r="AB13" i="15" s="1"/>
  <c r="AC5" i="11"/>
  <c r="AC14" i="11" s="1"/>
  <c r="AE4" i="2"/>
  <c r="AH4" i="14"/>
  <c r="AD4" i="19"/>
  <c r="AE5" i="6"/>
  <c r="AD5" i="4"/>
  <c r="AC41" i="4"/>
  <c r="AC44" i="4"/>
  <c r="AC8" i="4" s="1"/>
  <c r="AC17" i="4"/>
  <c r="AC42" i="4"/>
  <c r="AC21" i="4"/>
  <c r="AC23" i="4"/>
  <c r="AC48" i="4"/>
  <c r="AC50" i="4"/>
  <c r="AC22" i="4"/>
  <c r="AD21" i="6" s="1"/>
  <c r="AC18" i="4"/>
  <c r="AC37" i="4"/>
  <c r="AC38" i="4" s="1"/>
  <c r="AC39" i="4" s="1"/>
  <c r="AC16" i="4"/>
  <c r="AD16" i="6"/>
  <c r="AC51" i="4"/>
  <c r="AC29" i="4"/>
  <c r="AD4" i="5"/>
  <c r="AD7" i="10"/>
  <c r="AC7" i="5"/>
  <c r="AC35" i="4"/>
  <c r="AC24" i="4"/>
  <c r="AC43" i="4"/>
  <c r="AB24" i="5"/>
  <c r="AC7" i="19"/>
  <c r="AC55" i="4"/>
  <c r="AC31" i="4"/>
  <c r="AC32" i="4" s="1"/>
  <c r="AC33" i="4" s="1"/>
  <c r="AC20" i="4"/>
  <c r="AC30" i="4"/>
  <c r="AG7" i="14"/>
  <c r="AC33" i="6"/>
  <c r="AD8" i="6"/>
  <c r="AC36" i="4"/>
  <c r="AC13" i="5"/>
  <c r="AC231" i="11" s="1"/>
  <c r="AG104" i="14"/>
  <c r="AE4" i="10"/>
  <c r="AB23" i="5"/>
  <c r="AF11" i="14"/>
  <c r="AB39" i="11"/>
  <c r="AC36" i="11" s="1"/>
  <c r="AC32" i="6"/>
  <c r="AA111" i="11"/>
  <c r="AA112" i="11" s="1"/>
  <c r="AB109" i="11" s="1"/>
  <c r="AA33" i="11"/>
  <c r="AA34" i="11" s="1"/>
  <c r="AB31" i="11" s="1"/>
  <c r="AB110" i="11" s="1"/>
  <c r="AC49" i="6" s="1"/>
  <c r="AB25" i="5"/>
  <c r="AB140" i="11"/>
  <c r="AB11" i="19"/>
  <c r="AB166" i="11"/>
  <c r="Q165" i="11" s="1"/>
  <c r="Q27" i="5" s="1"/>
  <c r="AB145" i="11"/>
  <c r="AB157" i="11" s="1"/>
  <c r="AB26" i="5"/>
  <c r="AB185" i="11"/>
  <c r="AB186" i="11" s="1"/>
  <c r="AB31" i="5" s="1"/>
  <c r="AB81" i="5"/>
  <c r="AB190" i="11"/>
  <c r="AB191" i="11" s="1"/>
  <c r="AB192" i="11" s="1"/>
  <c r="AC189" i="11" s="1"/>
  <c r="AB9" i="19"/>
  <c r="AF9" i="14"/>
  <c r="AC12" i="6"/>
  <c r="AC10" i="6"/>
  <c r="AB9" i="5"/>
  <c r="AB9" i="11" s="1"/>
  <c r="AB11" i="5"/>
  <c r="AC9" i="10"/>
  <c r="AC11" i="10"/>
  <c r="AB16" i="11"/>
  <c r="AB18" i="11" s="1"/>
  <c r="AB70" i="5" s="1"/>
  <c r="AB68" i="5" s="1"/>
  <c r="AB28" i="11"/>
  <c r="AB29" i="11" s="1"/>
  <c r="AC26" i="11" s="1"/>
  <c r="AC105" i="11" s="1"/>
  <c r="AD48" i="6" s="1"/>
  <c r="AB106" i="11"/>
  <c r="AB107" i="11" s="1"/>
  <c r="AC104" i="11" s="1"/>
  <c r="AA10" i="15"/>
  <c r="AB169" i="11"/>
  <c r="AB171" i="11" s="1"/>
  <c r="AB172" i="11" s="1"/>
  <c r="AD10" i="16"/>
  <c r="AD54" i="16" s="1"/>
  <c r="AC5" i="17"/>
  <c r="AE5" i="16"/>
  <c r="AB10" i="11"/>
  <c r="AR7" i="16"/>
  <c r="AP6" i="17"/>
  <c r="AN6" i="18"/>
  <c r="Q164" i="11"/>
  <c r="AB177" i="11"/>
  <c r="AC174" i="11" s="1"/>
  <c r="AB29" i="5"/>
  <c r="AR79" i="16" l="1"/>
  <c r="AC245" i="11"/>
  <c r="AC235" i="11"/>
  <c r="AB197" i="11"/>
  <c r="AC194" i="11" s="1"/>
  <c r="AB80" i="5"/>
  <c r="AD19" i="10"/>
  <c r="AG88" i="14"/>
  <c r="AB11" i="11"/>
  <c r="CQ6" i="26"/>
  <c r="AB246" i="11"/>
  <c r="AB247" i="11" s="1"/>
  <c r="AC244" i="11" s="1"/>
  <c r="AB250" i="11"/>
  <c r="AB251" i="11" s="1"/>
  <c r="AB252" i="11" s="1"/>
  <c r="AC249" i="11" s="1"/>
  <c r="AC72" i="11"/>
  <c r="AC106" i="5" s="1"/>
  <c r="AC67" i="11"/>
  <c r="AC101" i="5" s="1"/>
  <c r="AC6" i="11"/>
  <c r="AV4" i="26"/>
  <c r="AV5" i="26" s="1"/>
  <c r="AU8" i="26"/>
  <c r="AC37" i="11"/>
  <c r="AC81" i="5" s="1"/>
  <c r="AC27" i="11"/>
  <c r="AC32" i="11"/>
  <c r="AC78" i="5" s="1"/>
  <c r="AC17" i="11"/>
  <c r="AC69" i="5" s="1"/>
  <c r="AC97" i="11"/>
  <c r="AC106" i="11" s="1"/>
  <c r="AC57" i="11"/>
  <c r="AC90" i="5" s="1"/>
  <c r="AC61" i="19" s="1"/>
  <c r="AC87" i="11"/>
  <c r="AC88" i="11" s="1"/>
  <c r="AE5" i="2"/>
  <c r="AE14" i="2" s="1"/>
  <c r="AD6" i="4"/>
  <c r="AD7" i="4"/>
  <c r="AD14" i="4"/>
  <c r="AE5" i="10"/>
  <c r="AE14" i="10" s="1"/>
  <c r="AE36" i="10" s="1"/>
  <c r="AD5" i="5"/>
  <c r="AH5" i="14"/>
  <c r="AH15" i="14" s="1"/>
  <c r="AD5" i="19"/>
  <c r="AE6" i="6"/>
  <c r="AE4" i="4"/>
  <c r="AD8" i="2"/>
  <c r="AG8" i="14"/>
  <c r="AD8" i="10"/>
  <c r="AC8" i="5"/>
  <c r="AB8" i="15" s="1"/>
  <c r="AD9" i="6"/>
  <c r="AC8" i="19"/>
  <c r="AD25" i="2"/>
  <c r="AD22" i="2"/>
  <c r="AD23" i="2"/>
  <c r="AD21" i="2"/>
  <c r="AD30" i="2"/>
  <c r="AD24" i="2"/>
  <c r="AD48" i="10"/>
  <c r="AD49" i="10"/>
  <c r="AD45" i="10"/>
  <c r="AD52" i="10"/>
  <c r="AD53" i="10"/>
  <c r="AD44" i="10"/>
  <c r="AD50" i="10"/>
  <c r="AD47" i="10"/>
  <c r="AD31" i="10"/>
  <c r="AD26" i="10"/>
  <c r="AD23" i="10"/>
  <c r="AD30" i="10"/>
  <c r="AD28" i="10"/>
  <c r="AD25" i="10"/>
  <c r="AD27" i="10"/>
  <c r="AD22" i="10"/>
  <c r="AD24" i="10"/>
  <c r="AD60" i="6"/>
  <c r="AD41" i="6"/>
  <c r="AD25" i="6"/>
  <c r="AC4" i="15"/>
  <c r="AD4" i="11"/>
  <c r="AC7" i="11"/>
  <c r="AB7" i="15"/>
  <c r="AC47" i="4"/>
  <c r="AC11" i="4" s="1"/>
  <c r="AC11" i="19" s="1"/>
  <c r="AC26" i="4"/>
  <c r="AC25" i="4"/>
  <c r="AC45" i="4"/>
  <c r="AC9" i="4" s="1"/>
  <c r="AC27" i="4"/>
  <c r="AC46" i="4"/>
  <c r="AC10" i="4" s="1"/>
  <c r="AD46" i="10"/>
  <c r="AA43" i="5"/>
  <c r="AA11" i="15"/>
  <c r="AB33" i="11"/>
  <c r="AB34" i="11" s="1"/>
  <c r="AC31" i="11" s="1"/>
  <c r="AC110" i="11" s="1"/>
  <c r="AB111" i="11"/>
  <c r="AB112" i="11" s="1"/>
  <c r="AC109" i="11" s="1"/>
  <c r="AA79" i="5"/>
  <c r="AA77" i="5" s="1"/>
  <c r="AA9" i="15"/>
  <c r="AB76" i="5"/>
  <c r="AB74" i="5" s="1"/>
  <c r="Q167" i="11"/>
  <c r="P19" i="15" s="1"/>
  <c r="AB32" i="5"/>
  <c r="AB19" i="11"/>
  <c r="AA31" i="15" s="1"/>
  <c r="AB42" i="5"/>
  <c r="AO6" i="18"/>
  <c r="AC8" i="17"/>
  <c r="AB5" i="18"/>
  <c r="AB8" i="18" s="1"/>
  <c r="AS7" i="16"/>
  <c r="AQ6" i="17"/>
  <c r="AE6" i="16"/>
  <c r="AD4" i="17"/>
  <c r="AC4" i="18" s="1"/>
  <c r="AB28" i="5"/>
  <c r="AC169" i="11"/>
  <c r="AB187" i="11"/>
  <c r="AC184" i="11" s="1"/>
  <c r="AS79" i="16" l="1"/>
  <c r="AC35" i="5"/>
  <c r="AC195" i="11"/>
  <c r="AE16" i="6"/>
  <c r="AE60" i="6" s="1"/>
  <c r="AE13" i="6"/>
  <c r="AH99" i="14"/>
  <c r="AD13" i="19"/>
  <c r="CR6" i="26"/>
  <c r="AB68" i="11"/>
  <c r="AB102" i="5" s="1"/>
  <c r="AB27" i="19" s="1"/>
  <c r="AC246" i="11"/>
  <c r="AC38" i="11"/>
  <c r="AC82" i="5" s="1"/>
  <c r="AC80" i="5" s="1"/>
  <c r="AC8" i="11"/>
  <c r="AW4" i="26"/>
  <c r="AW5" i="26" s="1"/>
  <c r="AV8" i="26"/>
  <c r="AH104" i="14"/>
  <c r="AG11" i="14"/>
  <c r="AC28" i="11"/>
  <c r="AC29" i="11" s="1"/>
  <c r="AD26" i="11" s="1"/>
  <c r="AD105" i="11" s="1"/>
  <c r="AE48" i="6" s="1"/>
  <c r="AC75" i="5"/>
  <c r="AC140" i="11"/>
  <c r="AC214" i="11"/>
  <c r="AC145" i="11"/>
  <c r="AC157" i="11" s="1"/>
  <c r="AE7" i="6"/>
  <c r="AD6" i="5"/>
  <c r="AE6" i="10"/>
  <c r="AD7" i="5"/>
  <c r="AE7" i="10"/>
  <c r="AE8" i="6"/>
  <c r="AD22" i="4"/>
  <c r="AE21" i="6" s="1"/>
  <c r="AD30" i="4"/>
  <c r="AD18" i="4"/>
  <c r="AD17" i="4"/>
  <c r="AD50" i="4"/>
  <c r="AD48" i="4"/>
  <c r="AD20" i="4"/>
  <c r="AD37" i="4"/>
  <c r="AD38" i="4" s="1"/>
  <c r="AD39" i="4" s="1"/>
  <c r="AD24" i="4"/>
  <c r="AD31" i="4"/>
  <c r="AD32" i="4" s="1"/>
  <c r="AD33" i="4" s="1"/>
  <c r="AD16" i="4"/>
  <c r="AD41" i="4"/>
  <c r="AD51" i="4"/>
  <c r="AD44" i="4"/>
  <c r="AD8" i="4" s="1"/>
  <c r="AD36" i="4"/>
  <c r="AD35" i="4"/>
  <c r="AD29" i="4"/>
  <c r="AD23" i="4"/>
  <c r="AE52" i="10" s="1"/>
  <c r="AD42" i="4"/>
  <c r="AD43" i="4"/>
  <c r="AD21" i="4"/>
  <c r="AC5" i="15"/>
  <c r="AC13" i="15" s="1"/>
  <c r="AD5" i="11"/>
  <c r="AD14" i="11" s="1"/>
  <c r="AD13" i="5"/>
  <c r="AD231" i="11" s="1"/>
  <c r="AF4" i="10"/>
  <c r="AE4" i="5"/>
  <c r="AD4" i="15" s="1"/>
  <c r="AE5" i="4"/>
  <c r="AF5" i="2" s="1"/>
  <c r="AF14" i="2" s="1"/>
  <c r="AF5" i="6"/>
  <c r="AD28" i="6"/>
  <c r="AC24" i="5"/>
  <c r="AD11" i="2"/>
  <c r="AC11" i="5"/>
  <c r="AD12" i="6"/>
  <c r="AD11" i="10"/>
  <c r="AE6" i="2"/>
  <c r="AH6" i="14"/>
  <c r="AD6" i="19"/>
  <c r="AE7" i="2"/>
  <c r="AH7" i="14"/>
  <c r="AD7" i="19"/>
  <c r="AD55" i="4"/>
  <c r="AD54" i="4"/>
  <c r="AD53" i="4"/>
  <c r="AD52" i="4"/>
  <c r="AF4" i="2"/>
  <c r="AI4" i="14"/>
  <c r="AE4" i="19"/>
  <c r="AC190" i="11"/>
  <c r="AC191" i="11" s="1"/>
  <c r="AD36" i="6"/>
  <c r="AC166" i="11"/>
  <c r="R165" i="11" s="1"/>
  <c r="AD31" i="6"/>
  <c r="AC185" i="11"/>
  <c r="AC186" i="11" s="1"/>
  <c r="AC31" i="5" s="1"/>
  <c r="AD35" i="6"/>
  <c r="AC175" i="11"/>
  <c r="AD33" i="6"/>
  <c r="AD30" i="6"/>
  <c r="AC26" i="5"/>
  <c r="AD32" i="6"/>
  <c r="AC170" i="11"/>
  <c r="AC171" i="11" s="1"/>
  <c r="AC172" i="11" s="1"/>
  <c r="AD27" i="6"/>
  <c r="AC23" i="5"/>
  <c r="AD29" i="6"/>
  <c r="AC25" i="5"/>
  <c r="AD9" i="2"/>
  <c r="AD10" i="6"/>
  <c r="AC9" i="19"/>
  <c r="AG9" i="14"/>
  <c r="AC9" i="5"/>
  <c r="AD9" i="10"/>
  <c r="AD10" i="2"/>
  <c r="AG10" i="14"/>
  <c r="AC10" i="19"/>
  <c r="AC10" i="5"/>
  <c r="AD11" i="6"/>
  <c r="AD10" i="10"/>
  <c r="AB79" i="5"/>
  <c r="AB77" i="5" s="1"/>
  <c r="AB43" i="5"/>
  <c r="AC16" i="11"/>
  <c r="AC18" i="11" s="1"/>
  <c r="AC70" i="5" s="1"/>
  <c r="AC68" i="5" s="1"/>
  <c r="R164" i="11"/>
  <c r="AC111" i="11"/>
  <c r="AD49" i="6"/>
  <c r="AC107" i="11"/>
  <c r="AD104" i="11" s="1"/>
  <c r="AC42" i="5"/>
  <c r="AC33" i="11"/>
  <c r="AC79" i="5" s="1"/>
  <c r="AC77" i="5" s="1"/>
  <c r="AP6" i="18"/>
  <c r="AD5" i="17"/>
  <c r="AE10" i="16"/>
  <c r="AE54" i="16" s="1"/>
  <c r="AF5" i="16"/>
  <c r="AR6" i="17"/>
  <c r="AT7" i="16"/>
  <c r="AT79" i="16" l="1"/>
  <c r="AC196" i="11"/>
  <c r="AC39" i="5" s="1"/>
  <c r="AD245" i="11"/>
  <c r="AD235" i="11"/>
  <c r="AE19" i="10"/>
  <c r="J549" i="32"/>
  <c r="AH88" i="14"/>
  <c r="AC10" i="11"/>
  <c r="AC11" i="11"/>
  <c r="CS6" i="26"/>
  <c r="AE48" i="10"/>
  <c r="AC247" i="11"/>
  <c r="AD244" i="11" s="1"/>
  <c r="AC39" i="11"/>
  <c r="AD36" i="11" s="1"/>
  <c r="AC250" i="11"/>
  <c r="AC251" i="11" s="1"/>
  <c r="AC252" i="11" s="1"/>
  <c r="AD249" i="11" s="1"/>
  <c r="AD32" i="11"/>
  <c r="AD78" i="5" s="1"/>
  <c r="AD72" i="11"/>
  <c r="AD106" i="5" s="1"/>
  <c r="AD67" i="11"/>
  <c r="AD101" i="5" s="1"/>
  <c r="J622" i="32" s="1"/>
  <c r="AE46" i="10"/>
  <c r="AD27" i="11"/>
  <c r="AD75" i="5" s="1"/>
  <c r="AE27" i="10"/>
  <c r="AE32" i="6" s="1"/>
  <c r="AE14" i="4"/>
  <c r="AE55" i="4" s="1"/>
  <c r="AE25" i="10"/>
  <c r="AE30" i="6" s="1"/>
  <c r="J553" i="32" s="1"/>
  <c r="AI5" i="14"/>
  <c r="AI15" i="14" s="1"/>
  <c r="AE26" i="10"/>
  <c r="AE31" i="6" s="1"/>
  <c r="J554" i="32" s="1"/>
  <c r="AE41" i="6"/>
  <c r="AF5" i="10"/>
  <c r="AF14" i="10" s="1"/>
  <c r="AF36" i="10" s="1"/>
  <c r="AE25" i="6"/>
  <c r="AE5" i="5"/>
  <c r="AE6" i="4"/>
  <c r="AF6" i="2" s="1"/>
  <c r="AE5" i="19"/>
  <c r="AE7" i="4"/>
  <c r="AF7" i="2" s="1"/>
  <c r="AX4" i="26"/>
  <c r="AX5" i="26" s="1"/>
  <c r="AW8" i="26"/>
  <c r="AD87" i="11"/>
  <c r="AD88" i="11" s="1"/>
  <c r="AD97" i="11"/>
  <c r="AB11" i="15"/>
  <c r="AD37" i="11"/>
  <c r="AD81" i="5" s="1"/>
  <c r="AD57" i="11"/>
  <c r="AD90" i="5" s="1"/>
  <c r="AD61" i="19" s="1"/>
  <c r="AD17" i="11"/>
  <c r="AD69" i="5" s="1"/>
  <c r="AE4" i="11"/>
  <c r="AB10" i="15"/>
  <c r="AE45" i="10"/>
  <c r="AF4" i="4"/>
  <c r="AG4" i="2" s="1"/>
  <c r="AE47" i="10"/>
  <c r="AE49" i="10"/>
  <c r="AE53" i="10"/>
  <c r="AE50" i="10"/>
  <c r="AE44" i="10"/>
  <c r="AF6" i="6"/>
  <c r="AC76" i="5"/>
  <c r="AC74" i="5" s="1"/>
  <c r="AD6" i="11"/>
  <c r="AC6" i="15"/>
  <c r="AC7" i="15"/>
  <c r="AD7" i="11"/>
  <c r="AE31" i="10"/>
  <c r="AE23" i="10"/>
  <c r="AE28" i="6" s="1"/>
  <c r="J552" i="32" s="1"/>
  <c r="AE28" i="10"/>
  <c r="AE22" i="10"/>
  <c r="AE27" i="6" s="1"/>
  <c r="J551" i="32" s="1"/>
  <c r="AE24" i="10"/>
  <c r="AE29" i="6" s="1"/>
  <c r="J555" i="32" s="1"/>
  <c r="AE30" i="10"/>
  <c r="AE21" i="2"/>
  <c r="AE22" i="2"/>
  <c r="AE23" i="2"/>
  <c r="AE25" i="2"/>
  <c r="AE30" i="2"/>
  <c r="AE24" i="2"/>
  <c r="AD26" i="4"/>
  <c r="AD47" i="4"/>
  <c r="AD11" i="4" s="1"/>
  <c r="AH11" i="14" s="1"/>
  <c r="AD46" i="4"/>
  <c r="AD10" i="4" s="1"/>
  <c r="AD27" i="4"/>
  <c r="AD45" i="4"/>
  <c r="AD9" i="4" s="1"/>
  <c r="AD25" i="4"/>
  <c r="AE8" i="2"/>
  <c r="AH8" i="14"/>
  <c r="AD8" i="19"/>
  <c r="AE8" i="10"/>
  <c r="AE9" i="6"/>
  <c r="AD8" i="5"/>
  <c r="AC8" i="15" s="1"/>
  <c r="AC32" i="5"/>
  <c r="AC192" i="11"/>
  <c r="AD189" i="11" s="1"/>
  <c r="AC176" i="11"/>
  <c r="AC9" i="11"/>
  <c r="AB9" i="15"/>
  <c r="AC19" i="11"/>
  <c r="AC34" i="11"/>
  <c r="AD31" i="11" s="1"/>
  <c r="AD110" i="11" s="1"/>
  <c r="AE49" i="6" s="1"/>
  <c r="AC112" i="11"/>
  <c r="AD109" i="11" s="1"/>
  <c r="AC43" i="5"/>
  <c r="AC28" i="5"/>
  <c r="AF6" i="16"/>
  <c r="AE4" i="17"/>
  <c r="AD4" i="18" s="1"/>
  <c r="AU7" i="16"/>
  <c r="AS6" i="17"/>
  <c r="AC5" i="18"/>
  <c r="AC8" i="18" s="1"/>
  <c r="AD8" i="17"/>
  <c r="AQ6" i="18"/>
  <c r="AD169" i="11"/>
  <c r="AC187" i="11"/>
  <c r="AD184" i="11" s="1"/>
  <c r="R167" i="11"/>
  <c r="Q19" i="15" s="1"/>
  <c r="F643" i="32" s="1"/>
  <c r="R27" i="5"/>
  <c r="F594" i="32" s="1"/>
  <c r="AD5" i="15" l="1"/>
  <c r="AD13" i="15" s="1"/>
  <c r="AE138" i="5"/>
  <c r="AE137" i="5"/>
  <c r="AU79" i="16"/>
  <c r="AC197" i="11"/>
  <c r="AD194" i="11" s="1"/>
  <c r="AD195" i="11"/>
  <c r="J572" i="32"/>
  <c r="AD35" i="5"/>
  <c r="J610" i="32" s="1"/>
  <c r="J573" i="32"/>
  <c r="AF16" i="6"/>
  <c r="AF60" i="6" s="1"/>
  <c r="AF13" i="6"/>
  <c r="AI99" i="14"/>
  <c r="AI88" i="14" s="1"/>
  <c r="AE21" i="4"/>
  <c r="AE42" i="4"/>
  <c r="AE41" i="4"/>
  <c r="AE51" i="4"/>
  <c r="AE13" i="19"/>
  <c r="CT6" i="26"/>
  <c r="AE30" i="4"/>
  <c r="AC68" i="11"/>
  <c r="AC102" i="5" s="1"/>
  <c r="AC27" i="19" s="1"/>
  <c r="AI7" i="14"/>
  <c r="AE29" i="4"/>
  <c r="AE7" i="19"/>
  <c r="AE22" i="4"/>
  <c r="AE48" i="4"/>
  <c r="AE17" i="4"/>
  <c r="AF25" i="2" s="1"/>
  <c r="AE44" i="4"/>
  <c r="AE8" i="4" s="1"/>
  <c r="AF8" i="2" s="1"/>
  <c r="AD166" i="11"/>
  <c r="S165" i="11" s="1"/>
  <c r="AE23" i="4"/>
  <c r="AF45" i="10" s="1"/>
  <c r="AF7" i="10"/>
  <c r="AE18" i="4"/>
  <c r="AE52" i="4"/>
  <c r="AE16" i="4"/>
  <c r="AE50" i="4"/>
  <c r="AE54" i="4"/>
  <c r="AE36" i="4"/>
  <c r="AE20" i="4"/>
  <c r="AE31" i="4"/>
  <c r="AE32" i="4" s="1"/>
  <c r="AE33" i="4" s="1"/>
  <c r="AE43" i="4"/>
  <c r="AE53" i="4"/>
  <c r="AE37" i="4"/>
  <c r="AE38" i="4" s="1"/>
  <c r="AE39" i="4" s="1"/>
  <c r="AE5" i="11"/>
  <c r="AE14" i="11" s="1"/>
  <c r="AE24" i="4"/>
  <c r="AE25" i="4" s="1"/>
  <c r="AE35" i="4"/>
  <c r="AE13" i="5"/>
  <c r="AE231" i="11" s="1"/>
  <c r="AD28" i="11"/>
  <c r="AD29" i="11" s="1"/>
  <c r="AE26" i="11" s="1"/>
  <c r="AE105" i="11" s="1"/>
  <c r="AF48" i="6" s="1"/>
  <c r="AD26" i="5"/>
  <c r="J593" i="32" s="1"/>
  <c r="AD170" i="11"/>
  <c r="AD171" i="11" s="1"/>
  <c r="AD28" i="5" s="1"/>
  <c r="AE7" i="5"/>
  <c r="AD7" i="15" s="1"/>
  <c r="AF8" i="6"/>
  <c r="AD140" i="11"/>
  <c r="AD214" i="11"/>
  <c r="AD145" i="11"/>
  <c r="AD157" i="11" s="1"/>
  <c r="AF4" i="19"/>
  <c r="AD106" i="11"/>
  <c r="AD107" i="11" s="1"/>
  <c r="AE104" i="11" s="1"/>
  <c r="AD11" i="19"/>
  <c r="AF6" i="10"/>
  <c r="AD24" i="5"/>
  <c r="J592" i="32" s="1"/>
  <c r="AD8" i="11"/>
  <c r="AE6" i="19"/>
  <c r="AI6" i="14"/>
  <c r="AE6" i="5"/>
  <c r="AE6" i="11" s="1"/>
  <c r="AF7" i="6"/>
  <c r="AD38" i="11"/>
  <c r="AD82" i="5" s="1"/>
  <c r="AD80" i="5" s="1"/>
  <c r="AY4" i="26"/>
  <c r="AY5" i="26" s="1"/>
  <c r="AX8" i="26"/>
  <c r="AD23" i="5"/>
  <c r="J591" i="32" s="1"/>
  <c r="AD25" i="5"/>
  <c r="J595" i="32" s="1"/>
  <c r="AJ4" i="14"/>
  <c r="AF5" i="4"/>
  <c r="AG5" i="2" s="1"/>
  <c r="AG14" i="2" s="1"/>
  <c r="AG4" i="10"/>
  <c r="AF4" i="5"/>
  <c r="AF4" i="11" s="1"/>
  <c r="AG5" i="6"/>
  <c r="AE35" i="6"/>
  <c r="AD185" i="11"/>
  <c r="AD186" i="11" s="1"/>
  <c r="AD190" i="11"/>
  <c r="AD191" i="11" s="1"/>
  <c r="AE36" i="6"/>
  <c r="J556" i="32" s="1"/>
  <c r="AE33" i="6"/>
  <c r="AD175" i="11"/>
  <c r="AE11" i="2"/>
  <c r="AD11" i="5"/>
  <c r="AE11" i="10"/>
  <c r="AE12" i="6"/>
  <c r="AE10" i="2"/>
  <c r="AH10" i="14"/>
  <c r="AD10" i="19"/>
  <c r="AE11" i="6"/>
  <c r="AD10" i="5"/>
  <c r="AE10" i="10"/>
  <c r="AE9" i="2"/>
  <c r="AH9" i="14"/>
  <c r="AD9" i="19"/>
  <c r="AE9" i="10"/>
  <c r="AD9" i="5"/>
  <c r="AE10" i="6"/>
  <c r="AC29" i="5"/>
  <c r="AC177" i="11"/>
  <c r="AD174" i="11" s="1"/>
  <c r="AB31" i="15"/>
  <c r="AD16" i="11"/>
  <c r="AD33" i="11"/>
  <c r="AD34" i="11" s="1"/>
  <c r="AE31" i="11" s="1"/>
  <c r="AE110" i="11" s="1"/>
  <c r="AF49" i="6" s="1"/>
  <c r="AD111" i="11"/>
  <c r="AD112" i="11" s="1"/>
  <c r="AE109" i="11" s="1"/>
  <c r="AT6" i="17"/>
  <c r="AV7" i="16"/>
  <c r="AR6" i="18"/>
  <c r="AE5" i="17"/>
  <c r="AF10" i="16"/>
  <c r="AF54" i="16" s="1"/>
  <c r="AG5" i="16"/>
  <c r="S164" i="11"/>
  <c r="AV79" i="16" l="1"/>
  <c r="AD196" i="11"/>
  <c r="AE245" i="11"/>
  <c r="AE235" i="11"/>
  <c r="AF30" i="10"/>
  <c r="AF35" i="6" s="1"/>
  <c r="AF21" i="6"/>
  <c r="AF23" i="10"/>
  <c r="AE24" i="5" s="1"/>
  <c r="AF25" i="10"/>
  <c r="AE26" i="5" s="1"/>
  <c r="AF28" i="10"/>
  <c r="AE175" i="11" s="1"/>
  <c r="AF23" i="2"/>
  <c r="AF22" i="10"/>
  <c r="AF27" i="6" s="1"/>
  <c r="AF24" i="2"/>
  <c r="AF27" i="10"/>
  <c r="AF32" i="6" s="1"/>
  <c r="AE8" i="19"/>
  <c r="AF25" i="6"/>
  <c r="CU6" i="26"/>
  <c r="AF52" i="10"/>
  <c r="AF30" i="2"/>
  <c r="AF8" i="10"/>
  <c r="AF9" i="6"/>
  <c r="AF46" i="10"/>
  <c r="AE8" i="5"/>
  <c r="AE8" i="11" s="1"/>
  <c r="AF47" i="10"/>
  <c r="AF41" i="6"/>
  <c r="AF22" i="2"/>
  <c r="AF21" i="2"/>
  <c r="AD246" i="11"/>
  <c r="AD250" i="11"/>
  <c r="AE32" i="11"/>
  <c r="AE78" i="5" s="1"/>
  <c r="AE67" i="11"/>
  <c r="AE101" i="5" s="1"/>
  <c r="AE72" i="11"/>
  <c r="AE106" i="5" s="1"/>
  <c r="AF50" i="10"/>
  <c r="AI8" i="14"/>
  <c r="AF49" i="10"/>
  <c r="AF31" i="10"/>
  <c r="AF36" i="6" s="1"/>
  <c r="AF53" i="10"/>
  <c r="AF26" i="10"/>
  <c r="AE166" i="11" s="1"/>
  <c r="T165" i="11" s="1"/>
  <c r="AF48" i="10"/>
  <c r="AF24" i="10"/>
  <c r="AF29" i="6" s="1"/>
  <c r="AE7" i="11"/>
  <c r="AE37" i="11"/>
  <c r="AE81" i="5" s="1"/>
  <c r="AE57" i="11"/>
  <c r="AE90" i="5" s="1"/>
  <c r="AE61" i="19" s="1"/>
  <c r="AD42" i="5"/>
  <c r="AE87" i="11"/>
  <c r="AE88" i="11" s="1"/>
  <c r="AE26" i="4"/>
  <c r="AE27" i="4"/>
  <c r="AE27" i="11"/>
  <c r="AE75" i="5" s="1"/>
  <c r="AE45" i="4"/>
  <c r="AE9" i="4" s="1"/>
  <c r="AF9" i="2" s="1"/>
  <c r="AE46" i="4"/>
  <c r="AE10" i="4" s="1"/>
  <c r="AF10" i="2" s="1"/>
  <c r="AE47" i="4"/>
  <c r="AE11" i="4" s="1"/>
  <c r="AF11" i="2" s="1"/>
  <c r="AE97" i="11"/>
  <c r="AE111" i="11" s="1"/>
  <c r="AE17" i="11"/>
  <c r="AE69" i="5" s="1"/>
  <c r="AF44" i="10"/>
  <c r="AG5" i="10"/>
  <c r="AG14" i="10" s="1"/>
  <c r="AG36" i="10" s="1"/>
  <c r="AD76" i="5"/>
  <c r="AD74" i="5" s="1"/>
  <c r="AF5" i="5"/>
  <c r="AG6" i="6"/>
  <c r="AF6" i="4"/>
  <c r="AG6" i="2" s="1"/>
  <c r="AF5" i="19"/>
  <c r="AJ5" i="14"/>
  <c r="AJ15" i="14" s="1"/>
  <c r="AD39" i="11"/>
  <c r="AE36" i="11" s="1"/>
  <c r="AG4" i="4"/>
  <c r="AH4" i="2" s="1"/>
  <c r="AF7" i="4"/>
  <c r="AG7" i="2" s="1"/>
  <c r="AD6" i="15"/>
  <c r="AF14" i="4"/>
  <c r="AF37" i="4" s="1"/>
  <c r="AF38" i="4" s="1"/>
  <c r="AF39" i="4" s="1"/>
  <c r="AD176" i="11"/>
  <c r="AD29" i="5" s="1"/>
  <c r="AZ4" i="26"/>
  <c r="AZ5" i="26" s="1"/>
  <c r="AY8" i="26"/>
  <c r="AD192" i="11"/>
  <c r="AE189" i="11" s="1"/>
  <c r="AD32" i="5"/>
  <c r="J596" i="32" s="1"/>
  <c r="AE4" i="15"/>
  <c r="AD11" i="11"/>
  <c r="AC11" i="15"/>
  <c r="AC10" i="15"/>
  <c r="AD10" i="11"/>
  <c r="AD9" i="11"/>
  <c r="AC9" i="15"/>
  <c r="AD18" i="11"/>
  <c r="AD70" i="5" s="1"/>
  <c r="AD79" i="5"/>
  <c r="AD77" i="5" s="1"/>
  <c r="AD43" i="5"/>
  <c r="AD172" i="11"/>
  <c r="AD5" i="18"/>
  <c r="AD8" i="18" s="1"/>
  <c r="AE8" i="17"/>
  <c r="AS6" i="18"/>
  <c r="AF4" i="17"/>
  <c r="AE4" i="18" s="1"/>
  <c r="AG6" i="16"/>
  <c r="AW7" i="16"/>
  <c r="AU6" i="17"/>
  <c r="AD187" i="11"/>
  <c r="AE184" i="11" s="1"/>
  <c r="AD31" i="5"/>
  <c r="S167" i="11"/>
  <c r="R19" i="15" s="1"/>
  <c r="S27" i="5"/>
  <c r="AW79" i="16" l="1"/>
  <c r="AE5" i="15"/>
  <c r="AE13" i="15" s="1"/>
  <c r="AF137" i="5"/>
  <c r="AF138" i="5"/>
  <c r="AD39" i="5"/>
  <c r="J609" i="32" s="1"/>
  <c r="AD197" i="11"/>
  <c r="AE194" i="11" s="1"/>
  <c r="AE185" i="11"/>
  <c r="AE186" i="11" s="1"/>
  <c r="AE31" i="5" s="1"/>
  <c r="AF19" i="10"/>
  <c r="AE195" i="11"/>
  <c r="AE35" i="5"/>
  <c r="AD68" i="5"/>
  <c r="J618" i="32"/>
  <c r="AG16" i="6"/>
  <c r="AG60" i="6" s="1"/>
  <c r="AG13" i="6"/>
  <c r="AF28" i="6"/>
  <c r="AF33" i="6"/>
  <c r="AJ104" i="14"/>
  <c r="AF30" i="6"/>
  <c r="AE23" i="5"/>
  <c r="AE170" i="11"/>
  <c r="AD8" i="15"/>
  <c r="AF13" i="19"/>
  <c r="CV6" i="26"/>
  <c r="AE25" i="5"/>
  <c r="AF31" i="6"/>
  <c r="AE33" i="11"/>
  <c r="AE79" i="5" s="1"/>
  <c r="AE77" i="5" s="1"/>
  <c r="AF21" i="4"/>
  <c r="AF29" i="4"/>
  <c r="AF7" i="5"/>
  <c r="AF7" i="11" s="1"/>
  <c r="AF7" i="19"/>
  <c r="AJ99" i="14"/>
  <c r="AG7" i="10"/>
  <c r="AG8" i="6"/>
  <c r="AE190" i="11"/>
  <c r="AE191" i="11" s="1"/>
  <c r="AE192" i="11" s="1"/>
  <c r="AF189" i="11" s="1"/>
  <c r="AJ7" i="14"/>
  <c r="AD247" i="11"/>
  <c r="AE244" i="11" s="1"/>
  <c r="AD251" i="11"/>
  <c r="AD252" i="11" s="1"/>
  <c r="AE249" i="11" s="1"/>
  <c r="AE250" i="11"/>
  <c r="AE28" i="11"/>
  <c r="AE29" i="11" s="1"/>
  <c r="AF26" i="11" s="1"/>
  <c r="AF105" i="11" s="1"/>
  <c r="AG48" i="6" s="1"/>
  <c r="AE214" i="11"/>
  <c r="AF6" i="19"/>
  <c r="AE145" i="11"/>
  <c r="AE157" i="11" s="1"/>
  <c r="AF11" i="6"/>
  <c r="AF10" i="6"/>
  <c r="AF9" i="10"/>
  <c r="AE9" i="5"/>
  <c r="AE9" i="11" s="1"/>
  <c r="AE140" i="11"/>
  <c r="AF6" i="5"/>
  <c r="AF6" i="11" s="1"/>
  <c r="AF41" i="4"/>
  <c r="AE11" i="19"/>
  <c r="AF13" i="5"/>
  <c r="AF231" i="11" s="1"/>
  <c r="AE10" i="19"/>
  <c r="AG6" i="10"/>
  <c r="AF11" i="10"/>
  <c r="AF42" i="4"/>
  <c r="AI11" i="14"/>
  <c r="AF23" i="4"/>
  <c r="AG46" i="10" s="1"/>
  <c r="AE11" i="5"/>
  <c r="AE9" i="19"/>
  <c r="AE106" i="11"/>
  <c r="AE107" i="11" s="1"/>
  <c r="AF104" i="11" s="1"/>
  <c r="AJ6" i="14"/>
  <c r="AG7" i="6"/>
  <c r="AF5" i="11"/>
  <c r="AF14" i="11" s="1"/>
  <c r="AI10" i="14"/>
  <c r="AF48" i="4"/>
  <c r="AF10" i="10"/>
  <c r="AI9" i="14"/>
  <c r="AF12" i="6"/>
  <c r="AF16" i="4"/>
  <c r="AE10" i="5"/>
  <c r="AG5" i="4"/>
  <c r="AH5" i="2" s="1"/>
  <c r="AH14" i="2" s="1"/>
  <c r="AG4" i="5"/>
  <c r="AG4" i="11" s="1"/>
  <c r="AH4" i="10"/>
  <c r="AH5" i="6"/>
  <c r="AG4" i="19"/>
  <c r="AF36" i="4"/>
  <c r="AK4" i="14"/>
  <c r="AF44" i="4"/>
  <c r="AF8" i="4" s="1"/>
  <c r="AG8" i="2" s="1"/>
  <c r="AE38" i="11"/>
  <c r="AE82" i="5" s="1"/>
  <c r="AE80" i="5" s="1"/>
  <c r="AF43" i="4"/>
  <c r="AF51" i="4"/>
  <c r="AF18" i="4"/>
  <c r="AF24" i="4"/>
  <c r="AF26" i="4" s="1"/>
  <c r="AF35" i="4"/>
  <c r="AF20" i="4"/>
  <c r="AF52" i="4"/>
  <c r="AF31" i="4"/>
  <c r="AF32" i="4" s="1"/>
  <c r="AF33" i="4" s="1"/>
  <c r="AF53" i="4"/>
  <c r="AF30" i="4"/>
  <c r="AF55" i="4"/>
  <c r="AF22" i="4"/>
  <c r="AF50" i="4"/>
  <c r="AF54" i="4"/>
  <c r="AF17" i="4"/>
  <c r="AG22" i="2" s="1"/>
  <c r="AD177" i="11"/>
  <c r="AE174" i="11" s="1"/>
  <c r="AE176" i="11" s="1"/>
  <c r="AE177" i="11" s="1"/>
  <c r="AF174" i="11" s="1"/>
  <c r="AD19" i="11"/>
  <c r="AE16" i="11" s="1"/>
  <c r="BA4" i="26"/>
  <c r="BA5" i="26" s="1"/>
  <c r="AZ8" i="26"/>
  <c r="AE112" i="11"/>
  <c r="AF109" i="11" s="1"/>
  <c r="AE43" i="5"/>
  <c r="AE169" i="11"/>
  <c r="AF5" i="17"/>
  <c r="AH5" i="16"/>
  <c r="AG10" i="16"/>
  <c r="AG54" i="16" s="1"/>
  <c r="AT6" i="18"/>
  <c r="AV6" i="17"/>
  <c r="AX7" i="16"/>
  <c r="T164" i="11"/>
  <c r="AX79" i="16" l="1"/>
  <c r="AE196" i="11"/>
  <c r="AE39" i="5" s="1"/>
  <c r="AF245" i="11"/>
  <c r="AF235" i="11"/>
  <c r="AG26" i="10"/>
  <c r="AG21" i="6"/>
  <c r="AJ88" i="14"/>
  <c r="AE171" i="11"/>
  <c r="AE172" i="11" s="1"/>
  <c r="AF169" i="11" s="1"/>
  <c r="AF47" i="4"/>
  <c r="AF11" i="4" s="1"/>
  <c r="AG11" i="2" s="1"/>
  <c r="AD11" i="15"/>
  <c r="AE10" i="11"/>
  <c r="CW6" i="26"/>
  <c r="AF45" i="4"/>
  <c r="AF9" i="4" s="1"/>
  <c r="AG9" i="2" s="1"/>
  <c r="AE34" i="11"/>
  <c r="AF31" i="11" s="1"/>
  <c r="AF110" i="11" s="1"/>
  <c r="AG49" i="6" s="1"/>
  <c r="AF46" i="4"/>
  <c r="AF10" i="4" s="1"/>
  <c r="AG10" i="2" s="1"/>
  <c r="AE246" i="11"/>
  <c r="AE247" i="11" s="1"/>
  <c r="AF244" i="11" s="1"/>
  <c r="AE7" i="15"/>
  <c r="AD10" i="15"/>
  <c r="AE11" i="11"/>
  <c r="AH6" i="6"/>
  <c r="AG5" i="19"/>
  <c r="AH5" i="10"/>
  <c r="AH14" i="10" s="1"/>
  <c r="AH36" i="10" s="1"/>
  <c r="AG25" i="2"/>
  <c r="AD68" i="11"/>
  <c r="AD102" i="5" s="1"/>
  <c r="AD27" i="19" s="1"/>
  <c r="AG23" i="2"/>
  <c r="AG5" i="5"/>
  <c r="AF5" i="15" s="1"/>
  <c r="AF13" i="15" s="1"/>
  <c r="AK5" i="14"/>
  <c r="AK15" i="14" s="1"/>
  <c r="AG21" i="2"/>
  <c r="AG14" i="4"/>
  <c r="AG55" i="4" s="1"/>
  <c r="AG24" i="2"/>
  <c r="AG6" i="4"/>
  <c r="AH6" i="2" s="1"/>
  <c r="AG44" i="10"/>
  <c r="AF4" i="15"/>
  <c r="AE251" i="11"/>
  <c r="AE252" i="11" s="1"/>
  <c r="AF249" i="11" s="1"/>
  <c r="AE6" i="15"/>
  <c r="AE76" i="5"/>
  <c r="AE74" i="5" s="1"/>
  <c r="AF32" i="11"/>
  <c r="AF78" i="5" s="1"/>
  <c r="AF72" i="11"/>
  <c r="AF106" i="5" s="1"/>
  <c r="AF67" i="11"/>
  <c r="AF101" i="5" s="1"/>
  <c r="AE42" i="5"/>
  <c r="AF97" i="11"/>
  <c r="AF214" i="11" s="1"/>
  <c r="AF17" i="11"/>
  <c r="AF69" i="5" s="1"/>
  <c r="AE32" i="5"/>
  <c r="AD9" i="15"/>
  <c r="AF8" i="19"/>
  <c r="AF27" i="11"/>
  <c r="AF28" i="11" s="1"/>
  <c r="AJ8" i="14"/>
  <c r="AF37" i="11"/>
  <c r="AF81" i="5" s="1"/>
  <c r="AH4" i="4"/>
  <c r="AI4" i="2" s="1"/>
  <c r="AF87" i="11"/>
  <c r="AF88" i="11" s="1"/>
  <c r="AG7" i="4"/>
  <c r="AH7" i="2" s="1"/>
  <c r="AF57" i="11"/>
  <c r="AF90" i="5" s="1"/>
  <c r="AF61" i="19" s="1"/>
  <c r="AF27" i="4"/>
  <c r="AG48" i="10"/>
  <c r="AG47" i="10"/>
  <c r="AG30" i="2"/>
  <c r="AG49" i="10"/>
  <c r="AG52" i="10"/>
  <c r="AG45" i="10"/>
  <c r="AG53" i="10"/>
  <c r="AG8" i="10"/>
  <c r="AF8" i="5"/>
  <c r="AF8" i="11" s="1"/>
  <c r="AG9" i="6"/>
  <c r="AF25" i="4"/>
  <c r="AG50" i="10"/>
  <c r="AG27" i="10"/>
  <c r="AF170" i="11" s="1"/>
  <c r="AE39" i="11"/>
  <c r="AF36" i="11" s="1"/>
  <c r="AE29" i="5"/>
  <c r="AG41" i="6"/>
  <c r="AG31" i="10"/>
  <c r="AG36" i="6" s="1"/>
  <c r="AG28" i="10"/>
  <c r="AF175" i="11" s="1"/>
  <c r="AG22" i="10"/>
  <c r="AG27" i="6" s="1"/>
  <c r="AG30" i="10"/>
  <c r="AG35" i="6" s="1"/>
  <c r="AG25" i="6"/>
  <c r="AG24" i="10"/>
  <c r="AG29" i="6" s="1"/>
  <c r="AG25" i="10"/>
  <c r="AG30" i="6" s="1"/>
  <c r="AG23" i="10"/>
  <c r="AF24" i="5" s="1"/>
  <c r="AC31" i="15"/>
  <c r="J652" i="32" s="1"/>
  <c r="BB4" i="26"/>
  <c r="BB5" i="26" s="1"/>
  <c r="BA8" i="26"/>
  <c r="AE18" i="11"/>
  <c r="AE70" i="5" s="1"/>
  <c r="AE68" i="5" s="1"/>
  <c r="AE187" i="11"/>
  <c r="AF184" i="11" s="1"/>
  <c r="AW6" i="17"/>
  <c r="AY7" i="16"/>
  <c r="AE5" i="18"/>
  <c r="AE8" i="18" s="1"/>
  <c r="AF8" i="17"/>
  <c r="AU6" i="18"/>
  <c r="AH6" i="16"/>
  <c r="AG4" i="17"/>
  <c r="AF4" i="18" s="1"/>
  <c r="T167" i="11"/>
  <c r="S19" i="15" s="1"/>
  <c r="T27" i="5"/>
  <c r="AY79" i="16" l="1"/>
  <c r="AE197" i="11"/>
  <c r="AF194" i="11" s="1"/>
  <c r="AG31" i="6"/>
  <c r="AF166" i="11"/>
  <c r="U165" i="11" s="1"/>
  <c r="U27" i="5" s="1"/>
  <c r="G594" i="32" s="1"/>
  <c r="AF195" i="11"/>
  <c r="AG19" i="10"/>
  <c r="AF35" i="5"/>
  <c r="AH16" i="6"/>
  <c r="AH60" i="6" s="1"/>
  <c r="AH13" i="6"/>
  <c r="AF11" i="5"/>
  <c r="AF11" i="11" s="1"/>
  <c r="AG12" i="6"/>
  <c r="AE28" i="5"/>
  <c r="AK104" i="14"/>
  <c r="AG11" i="10"/>
  <c r="AF11" i="19"/>
  <c r="AJ11" i="14"/>
  <c r="AF9" i="5"/>
  <c r="AE9" i="15" s="1"/>
  <c r="AG10" i="6"/>
  <c r="AF9" i="19"/>
  <c r="AJ9" i="14"/>
  <c r="AF10" i="19"/>
  <c r="AG9" i="10"/>
  <c r="AG11" i="6"/>
  <c r="AF10" i="5"/>
  <c r="AF10" i="11" s="1"/>
  <c r="AJ10" i="14"/>
  <c r="AG10" i="10"/>
  <c r="AG13" i="19"/>
  <c r="CX6" i="26"/>
  <c r="AG28" i="6"/>
  <c r="AF33" i="11"/>
  <c r="AF79" i="5" s="1"/>
  <c r="AF77" i="5" s="1"/>
  <c r="AG48" i="4"/>
  <c r="AG36" i="4"/>
  <c r="AK99" i="14"/>
  <c r="AG29" i="4"/>
  <c r="AG24" i="4"/>
  <c r="AG46" i="4" s="1"/>
  <c r="AG10" i="4" s="1"/>
  <c r="AH10" i="2" s="1"/>
  <c r="AG51" i="4"/>
  <c r="AI4" i="10"/>
  <c r="AG42" i="4"/>
  <c r="AG30" i="4"/>
  <c r="AG23" i="4"/>
  <c r="AH46" i="10" s="1"/>
  <c r="AG32" i="6"/>
  <c r="AG31" i="4"/>
  <c r="AG32" i="4" s="1"/>
  <c r="AG33" i="4" s="1"/>
  <c r="AI5" i="6"/>
  <c r="AG37" i="4"/>
  <c r="AG38" i="4" s="1"/>
  <c r="AG39" i="4" s="1"/>
  <c r="AH4" i="5"/>
  <c r="AH4" i="11" s="1"/>
  <c r="AG17" i="4"/>
  <c r="AH30" i="2" s="1"/>
  <c r="AG20" i="4"/>
  <c r="AG41" i="4"/>
  <c r="AF25" i="5"/>
  <c r="AG18" i="4"/>
  <c r="AG21" i="4"/>
  <c r="AG44" i="4"/>
  <c r="AG8" i="4" s="1"/>
  <c r="AH8" i="2" s="1"/>
  <c r="AG50" i="4"/>
  <c r="AG53" i="4"/>
  <c r="AH7" i="6"/>
  <c r="AG43" i="4"/>
  <c r="AG54" i="4"/>
  <c r="AH6" i="10"/>
  <c r="AG35" i="4"/>
  <c r="AG52" i="4"/>
  <c r="AH4" i="19"/>
  <c r="AG22" i="4"/>
  <c r="AG16" i="4"/>
  <c r="AH5" i="4"/>
  <c r="AI5" i="2" s="1"/>
  <c r="AI14" i="2" s="1"/>
  <c r="AL4" i="14"/>
  <c r="AG6" i="19"/>
  <c r="AG13" i="5"/>
  <c r="AG231" i="11" s="1"/>
  <c r="AG5" i="11"/>
  <c r="AG14" i="11" s="1"/>
  <c r="AG72" i="11" s="1"/>
  <c r="AG106" i="5" s="1"/>
  <c r="AG6" i="5"/>
  <c r="AG6" i="11" s="1"/>
  <c r="AK6" i="14"/>
  <c r="AG33" i="6"/>
  <c r="AE68" i="11"/>
  <c r="AE102" i="5" s="1"/>
  <c r="AE27" i="19" s="1"/>
  <c r="AF111" i="11"/>
  <c r="AF112" i="11" s="1"/>
  <c r="AG109" i="11" s="1"/>
  <c r="AF246" i="11"/>
  <c r="AF145" i="11"/>
  <c r="AF157" i="11" s="1"/>
  <c r="AF140" i="11"/>
  <c r="AF106" i="11"/>
  <c r="AF107" i="11" s="1"/>
  <c r="AG104" i="11" s="1"/>
  <c r="AF75" i="5"/>
  <c r="AG7" i="5"/>
  <c r="AF7" i="15" s="1"/>
  <c r="AE8" i="15"/>
  <c r="AH7" i="10"/>
  <c r="AF185" i="11"/>
  <c r="AF186" i="11" s="1"/>
  <c r="AF31" i="5" s="1"/>
  <c r="AG7" i="19"/>
  <c r="AH8" i="6"/>
  <c r="AK7" i="14"/>
  <c r="AF38" i="11"/>
  <c r="AF82" i="5" s="1"/>
  <c r="AF80" i="5" s="1"/>
  <c r="AF23" i="5"/>
  <c r="AF26" i="5"/>
  <c r="AF190" i="11"/>
  <c r="AF191" i="11" s="1"/>
  <c r="AF32" i="5" s="1"/>
  <c r="BC4" i="26"/>
  <c r="BC5" i="26" s="1"/>
  <c r="BB8" i="26"/>
  <c r="AE19" i="11"/>
  <c r="AF29" i="11"/>
  <c r="AG26" i="11" s="1"/>
  <c r="AG105" i="11" s="1"/>
  <c r="AH48" i="6" s="1"/>
  <c r="AF76" i="5"/>
  <c r="AZ7" i="16"/>
  <c r="AX6" i="17"/>
  <c r="AV6" i="18"/>
  <c r="AH10" i="16"/>
  <c r="AH54" i="16" s="1"/>
  <c r="AH80" i="16" s="1"/>
  <c r="AI5" i="16"/>
  <c r="AG5" i="17"/>
  <c r="U164" i="11"/>
  <c r="AF176" i="11"/>
  <c r="AF171" i="11"/>
  <c r="AZ79" i="16" l="1"/>
  <c r="U167" i="11"/>
  <c r="AF196" i="11"/>
  <c r="AF39" i="5" s="1"/>
  <c r="AG245" i="11"/>
  <c r="AG235" i="11"/>
  <c r="AH23" i="10"/>
  <c r="AH21" i="6"/>
  <c r="AE11" i="15"/>
  <c r="AK88" i="14"/>
  <c r="AF9" i="11"/>
  <c r="AF34" i="11"/>
  <c r="AG31" i="11" s="1"/>
  <c r="AG110" i="11" s="1"/>
  <c r="AH49" i="6" s="1"/>
  <c r="AE10" i="15"/>
  <c r="AH25" i="2"/>
  <c r="AH24" i="2"/>
  <c r="AG47" i="4"/>
  <c r="AG11" i="4" s="1"/>
  <c r="AH11" i="2" s="1"/>
  <c r="AG26" i="4"/>
  <c r="CY6" i="26"/>
  <c r="AH23" i="2"/>
  <c r="AG27" i="4"/>
  <c r="AH22" i="2"/>
  <c r="AH21" i="2"/>
  <c r="AG57" i="11"/>
  <c r="AG90" i="5" s="1"/>
  <c r="AG61" i="19" s="1"/>
  <c r="AH24" i="10"/>
  <c r="AG25" i="5" s="1"/>
  <c r="K595" i="32" s="1"/>
  <c r="AH25" i="10"/>
  <c r="AH30" i="6" s="1"/>
  <c r="K553" i="32" s="1"/>
  <c r="AG4" i="15"/>
  <c r="AG25" i="4"/>
  <c r="AH50" i="10"/>
  <c r="AH45" i="10"/>
  <c r="AG8" i="5"/>
  <c r="AG8" i="11" s="1"/>
  <c r="AH9" i="6"/>
  <c r="AH52" i="10"/>
  <c r="AI5" i="10"/>
  <c r="AI14" i="10" s="1"/>
  <c r="AI36" i="10" s="1"/>
  <c r="AH49" i="10"/>
  <c r="AG97" i="11"/>
  <c r="AI6" i="6"/>
  <c r="AH26" i="10"/>
  <c r="AH31" i="6" s="1"/>
  <c r="K554" i="32" s="1"/>
  <c r="AH30" i="10"/>
  <c r="AH35" i="6" s="1"/>
  <c r="AI4" i="4"/>
  <c r="AJ4" i="2" s="1"/>
  <c r="AH6" i="4"/>
  <c r="AI6" i="2" s="1"/>
  <c r="AH5" i="5"/>
  <c r="AH27" i="10"/>
  <c r="AH32" i="6" s="1"/>
  <c r="AG45" i="4"/>
  <c r="AG9" i="4" s="1"/>
  <c r="AH9" i="2" s="1"/>
  <c r="AH25" i="6"/>
  <c r="AK8" i="14"/>
  <c r="AG32" i="11"/>
  <c r="AG78" i="5" s="1"/>
  <c r="AH7" i="4"/>
  <c r="AI7" i="2" s="1"/>
  <c r="AH44" i="10"/>
  <c r="AH53" i="10"/>
  <c r="AH14" i="4"/>
  <c r="AH29" i="4" s="1"/>
  <c r="AH47" i="10"/>
  <c r="AH48" i="10"/>
  <c r="AG8" i="19"/>
  <c r="AH8" i="10"/>
  <c r="AH41" i="6"/>
  <c r="AH5" i="19"/>
  <c r="AG67" i="11"/>
  <c r="AG101" i="5" s="1"/>
  <c r="K622" i="32" s="1"/>
  <c r="AG37" i="11"/>
  <c r="AG81" i="5" s="1"/>
  <c r="AH28" i="10"/>
  <c r="AH33" i="6" s="1"/>
  <c r="AH22" i="10"/>
  <c r="AG23" i="5" s="1"/>
  <c r="K591" i="32" s="1"/>
  <c r="AL5" i="14"/>
  <c r="AL15" i="14" s="1"/>
  <c r="AH31" i="10"/>
  <c r="AH36" i="6" s="1"/>
  <c r="K556" i="32" s="1"/>
  <c r="AG17" i="11"/>
  <c r="AG69" i="5" s="1"/>
  <c r="AG87" i="11"/>
  <c r="AG88" i="11" s="1"/>
  <c r="AF6" i="15"/>
  <c r="AG27" i="11"/>
  <c r="AG75" i="5" s="1"/>
  <c r="AG7" i="11"/>
  <c r="AF43" i="5"/>
  <c r="AF247" i="11"/>
  <c r="AG244" i="11" s="1"/>
  <c r="AF42" i="5"/>
  <c r="AF250" i="11"/>
  <c r="AF251" i="11" s="1"/>
  <c r="AF252" i="11" s="1"/>
  <c r="AG249" i="11" s="1"/>
  <c r="AF74" i="5"/>
  <c r="AF39" i="11"/>
  <c r="AG36" i="11" s="1"/>
  <c r="AF192" i="11"/>
  <c r="AG189" i="11" s="1"/>
  <c r="BD4" i="26"/>
  <c r="BD5" i="26" s="1"/>
  <c r="BC8" i="26"/>
  <c r="AH81" i="16"/>
  <c r="AD31" i="15"/>
  <c r="AF16" i="11"/>
  <c r="AF187" i="11"/>
  <c r="AG184" i="11" s="1"/>
  <c r="AK10" i="14"/>
  <c r="AG10" i="19"/>
  <c r="AW6" i="18"/>
  <c r="AF5" i="18"/>
  <c r="AF8" i="18" s="1"/>
  <c r="AG8" i="17"/>
  <c r="BA7" i="16"/>
  <c r="AY6" i="17"/>
  <c r="AH4" i="17"/>
  <c r="AG4" i="18" s="1"/>
  <c r="AI6" i="16"/>
  <c r="AF172" i="11"/>
  <c r="AF28" i="5"/>
  <c r="AF177" i="11"/>
  <c r="AG174" i="11" s="1"/>
  <c r="AF29" i="5"/>
  <c r="AH11" i="6"/>
  <c r="AG10" i="5"/>
  <c r="AH10" i="10"/>
  <c r="AG5" i="15" l="1"/>
  <c r="AG13" i="15" s="1"/>
  <c r="AH137" i="5"/>
  <c r="AH138" i="5"/>
  <c r="BA79" i="16"/>
  <c r="AF197" i="11"/>
  <c r="AG194" i="11" s="1"/>
  <c r="T19" i="15"/>
  <c r="G643" i="32" s="1"/>
  <c r="V164" i="11"/>
  <c r="AG24" i="5"/>
  <c r="K592" i="32" s="1"/>
  <c r="AH28" i="6"/>
  <c r="K552" i="32" s="1"/>
  <c r="AK11" i="14"/>
  <c r="AG35" i="5"/>
  <c r="K610" i="32" s="1"/>
  <c r="K573" i="32"/>
  <c r="AH19" i="10"/>
  <c r="K549" i="32"/>
  <c r="AG195" i="11"/>
  <c r="K572" i="32"/>
  <c r="AI16" i="6"/>
  <c r="AI60" i="6" s="1"/>
  <c r="AI13" i="6"/>
  <c r="AG11" i="5"/>
  <c r="AF11" i="15" s="1"/>
  <c r="AG11" i="19"/>
  <c r="AL99" i="14"/>
  <c r="AG111" i="11"/>
  <c r="AG112" i="11" s="1"/>
  <c r="AH109" i="11" s="1"/>
  <c r="AH11" i="10"/>
  <c r="AH12" i="6"/>
  <c r="AG26" i="5"/>
  <c r="K593" i="32" s="1"/>
  <c r="AH13" i="19"/>
  <c r="CZ6" i="26"/>
  <c r="AG250" i="11"/>
  <c r="AG251" i="11" s="1"/>
  <c r="AG252" i="11" s="1"/>
  <c r="AH249" i="11" s="1"/>
  <c r="AH29" i="6"/>
  <c r="K555" i="32" s="1"/>
  <c r="AH21" i="4"/>
  <c r="AH13" i="5"/>
  <c r="AH231" i="11" s="1"/>
  <c r="AH5" i="11"/>
  <c r="AH14" i="11" s="1"/>
  <c r="AH27" i="11" s="1"/>
  <c r="AM4" i="14"/>
  <c r="AG140" i="11"/>
  <c r="AG214" i="11"/>
  <c r="AG145" i="11"/>
  <c r="AG157" i="11" s="1"/>
  <c r="AG170" i="11"/>
  <c r="AG106" i="11"/>
  <c r="AG107" i="11" s="1"/>
  <c r="AH104" i="11" s="1"/>
  <c r="AH6" i="5"/>
  <c r="AH6" i="11" s="1"/>
  <c r="AJ5" i="6"/>
  <c r="AH7" i="5"/>
  <c r="AH7" i="11" s="1"/>
  <c r="AI5" i="4"/>
  <c r="AJ5" i="2" s="1"/>
  <c r="AJ14" i="2" s="1"/>
  <c r="AI8" i="6"/>
  <c r="AI4" i="5"/>
  <c r="AH4" i="15" s="1"/>
  <c r="AG33" i="11"/>
  <c r="AG34" i="11" s="1"/>
  <c r="AH31" i="11" s="1"/>
  <c r="AH110" i="11" s="1"/>
  <c r="AI49" i="6" s="1"/>
  <c r="AH36" i="4"/>
  <c r="AH23" i="4"/>
  <c r="AI49" i="10" s="1"/>
  <c r="AH41" i="4"/>
  <c r="AH42" i="4"/>
  <c r="AH6" i="19"/>
  <c r="AH35" i="4"/>
  <c r="AG9" i="19"/>
  <c r="AG185" i="11"/>
  <c r="AG186" i="11" s="1"/>
  <c r="AG31" i="5" s="1"/>
  <c r="AK9" i="14"/>
  <c r="AH31" i="4"/>
  <c r="AH32" i="4" s="1"/>
  <c r="AH33" i="4" s="1"/>
  <c r="AG166" i="11"/>
  <c r="V165" i="11" s="1"/>
  <c r="AH20" i="4"/>
  <c r="AG175" i="11"/>
  <c r="AG176" i="11" s="1"/>
  <c r="AG177" i="11" s="1"/>
  <c r="AH174" i="11" s="1"/>
  <c r="AL6" i="14"/>
  <c r="AH50" i="4"/>
  <c r="AH7" i="19"/>
  <c r="AH24" i="4"/>
  <c r="AH46" i="4" s="1"/>
  <c r="AH10" i="4" s="1"/>
  <c r="AI10" i="2" s="1"/>
  <c r="AI7" i="6"/>
  <c r="AH53" i="4"/>
  <c r="AL7" i="14"/>
  <c r="AF8" i="15"/>
  <c r="AH37" i="4"/>
  <c r="AH38" i="4" s="1"/>
  <c r="AH39" i="4" s="1"/>
  <c r="AH44" i="4"/>
  <c r="AH8" i="4" s="1"/>
  <c r="AI8" i="2" s="1"/>
  <c r="AH22" i="4"/>
  <c r="AI7" i="10"/>
  <c r="AI6" i="10"/>
  <c r="AH17" i="4"/>
  <c r="AI21" i="2" s="1"/>
  <c r="AJ4" i="10"/>
  <c r="AG9" i="5"/>
  <c r="AG9" i="11" s="1"/>
  <c r="AF68" i="11"/>
  <c r="AF102" i="5" s="1"/>
  <c r="AF27" i="19" s="1"/>
  <c r="AH51" i="4"/>
  <c r="AH52" i="4"/>
  <c r="AH54" i="4"/>
  <c r="AH10" i="6"/>
  <c r="AH18" i="4"/>
  <c r="AH48" i="4"/>
  <c r="AH9" i="10"/>
  <c r="AH43" i="4"/>
  <c r="AH16" i="4"/>
  <c r="AH55" i="4"/>
  <c r="AH30" i="4"/>
  <c r="AI4" i="19"/>
  <c r="AH27" i="6"/>
  <c r="K551" i="32" s="1"/>
  <c r="AL104" i="14"/>
  <c r="AG190" i="11"/>
  <c r="AG191" i="11" s="1"/>
  <c r="AG192" i="11" s="1"/>
  <c r="AH189" i="11" s="1"/>
  <c r="AG28" i="11"/>
  <c r="AG29" i="11" s="1"/>
  <c r="AH26" i="11" s="1"/>
  <c r="AH105" i="11" s="1"/>
  <c r="AI48" i="6" s="1"/>
  <c r="AG38" i="11"/>
  <c r="AG82" i="5" s="1"/>
  <c r="AG80" i="5" s="1"/>
  <c r="AG246" i="11"/>
  <c r="BE4" i="26"/>
  <c r="BE5" i="26" s="1"/>
  <c r="BD8" i="26"/>
  <c r="AF18" i="11"/>
  <c r="AF70" i="5" s="1"/>
  <c r="AF68" i="5" s="1"/>
  <c r="AF10" i="15"/>
  <c r="AG10" i="11"/>
  <c r="BB7" i="16"/>
  <c r="AZ6" i="17"/>
  <c r="AI10" i="16"/>
  <c r="AI54" i="16" s="1"/>
  <c r="AI80" i="16" s="1"/>
  <c r="AH5" i="17"/>
  <c r="AJ5" i="16"/>
  <c r="AX6" i="18"/>
  <c r="AG169" i="11"/>
  <c r="BB79" i="16" l="1"/>
  <c r="AG196" i="11"/>
  <c r="AG39" i="5" s="1"/>
  <c r="K609" i="32" s="1"/>
  <c r="AH245" i="11"/>
  <c r="AH235" i="11"/>
  <c r="AI27" i="10"/>
  <c r="AI21" i="6"/>
  <c r="AG11" i="11"/>
  <c r="AL88" i="14"/>
  <c r="AG43" i="5"/>
  <c r="AH25" i="4"/>
  <c r="AJ4" i="4"/>
  <c r="AK4" i="2" s="1"/>
  <c r="AI7" i="4"/>
  <c r="AJ7" i="2" s="1"/>
  <c r="AI14" i="4"/>
  <c r="AI37" i="4" s="1"/>
  <c r="AI38" i="4" s="1"/>
  <c r="AI39" i="4" s="1"/>
  <c r="AI50" i="10"/>
  <c r="AI45" i="10"/>
  <c r="DA6" i="26"/>
  <c r="AH45" i="4"/>
  <c r="AH9" i="4" s="1"/>
  <c r="AI9" i="2" s="1"/>
  <c r="AI52" i="10"/>
  <c r="AI5" i="19"/>
  <c r="AJ5" i="10"/>
  <c r="AJ14" i="10" s="1"/>
  <c r="AJ36" i="10" s="1"/>
  <c r="AI53" i="10"/>
  <c r="AM5" i="14"/>
  <c r="AM15" i="14" s="1"/>
  <c r="AI46" i="10"/>
  <c r="AI5" i="5"/>
  <c r="AI44" i="10"/>
  <c r="AI48" i="10"/>
  <c r="AJ6" i="6"/>
  <c r="AG171" i="11"/>
  <c r="AG172" i="11" s="1"/>
  <c r="AH169" i="11" s="1"/>
  <c r="AH87" i="11"/>
  <c r="AH88" i="11" s="1"/>
  <c r="AH57" i="11"/>
  <c r="AH90" i="5" s="1"/>
  <c r="AH61" i="19" s="1"/>
  <c r="AG79" i="5"/>
  <c r="AG77" i="5" s="1"/>
  <c r="AH37" i="11"/>
  <c r="AH81" i="5" s="1"/>
  <c r="AH97" i="11"/>
  <c r="AH145" i="11" s="1"/>
  <c r="AI4" i="11"/>
  <c r="AG6" i="15"/>
  <c r="AH67" i="11"/>
  <c r="AH101" i="5" s="1"/>
  <c r="AH72" i="11"/>
  <c r="AH106" i="5" s="1"/>
  <c r="AH17" i="11"/>
  <c r="AH69" i="5" s="1"/>
  <c r="AH32" i="11"/>
  <c r="AH78" i="5" s="1"/>
  <c r="AF9" i="15"/>
  <c r="AG42" i="5"/>
  <c r="AG7" i="15"/>
  <c r="AH27" i="4"/>
  <c r="AH47" i="4"/>
  <c r="AH11" i="4" s="1"/>
  <c r="AI11" i="2" s="1"/>
  <c r="AH26" i="4"/>
  <c r="AI24" i="2"/>
  <c r="AI25" i="2"/>
  <c r="AI30" i="2"/>
  <c r="AI22" i="10"/>
  <c r="AI27" i="6" s="1"/>
  <c r="AI23" i="2"/>
  <c r="AI22" i="2"/>
  <c r="AI6" i="4"/>
  <c r="AJ6" i="2" s="1"/>
  <c r="AI47" i="10"/>
  <c r="AI24" i="10"/>
  <c r="AI29" i="6" s="1"/>
  <c r="AI25" i="10"/>
  <c r="AH26" i="5" s="1"/>
  <c r="AI25" i="6"/>
  <c r="AI31" i="10"/>
  <c r="AH190" i="11" s="1"/>
  <c r="AH191" i="11" s="1"/>
  <c r="AI28" i="10"/>
  <c r="AI33" i="6" s="1"/>
  <c r="AH8" i="19"/>
  <c r="AI23" i="10"/>
  <c r="AI28" i="6" s="1"/>
  <c r="AI30" i="10"/>
  <c r="AH185" i="11" s="1"/>
  <c r="AL8" i="14"/>
  <c r="AI8" i="10"/>
  <c r="AH8" i="5"/>
  <c r="AH8" i="11" s="1"/>
  <c r="AI9" i="6"/>
  <c r="AI26" i="10"/>
  <c r="AH166" i="11" s="1"/>
  <c r="W165" i="11" s="1"/>
  <c r="AG76" i="5"/>
  <c r="AG74" i="5" s="1"/>
  <c r="AI41" i="6"/>
  <c r="AG39" i="11"/>
  <c r="AH36" i="11" s="1"/>
  <c r="AG32" i="5"/>
  <c r="K596" i="32" s="1"/>
  <c r="AG247" i="11"/>
  <c r="AH244" i="11" s="1"/>
  <c r="AG68" i="11"/>
  <c r="AG102" i="5" s="1"/>
  <c r="AG27" i="19" s="1"/>
  <c r="BF4" i="26"/>
  <c r="BF5" i="26" s="1"/>
  <c r="BE8" i="26"/>
  <c r="AF19" i="11"/>
  <c r="AG16" i="11" s="1"/>
  <c r="AI81" i="16"/>
  <c r="AH28" i="11"/>
  <c r="AH75" i="5"/>
  <c r="AG187" i="11"/>
  <c r="AH184" i="11" s="1"/>
  <c r="AL10" i="14"/>
  <c r="AH10" i="19"/>
  <c r="AH8" i="17"/>
  <c r="AG5" i="18"/>
  <c r="AG8" i="18" s="1"/>
  <c r="AY6" i="18"/>
  <c r="AJ6" i="16"/>
  <c r="AI4" i="17"/>
  <c r="AH4" i="18" s="1"/>
  <c r="BC7" i="16"/>
  <c r="BA6" i="17"/>
  <c r="AG29" i="5"/>
  <c r="V167" i="11"/>
  <c r="U19" i="15" s="1"/>
  <c r="V27" i="5"/>
  <c r="AI11" i="6"/>
  <c r="AH10" i="5"/>
  <c r="AI10" i="10"/>
  <c r="BC79" i="16" l="1"/>
  <c r="AH5" i="15"/>
  <c r="AH13" i="15" s="1"/>
  <c r="AI137" i="5"/>
  <c r="AI138" i="5"/>
  <c r="AG197" i="11"/>
  <c r="AH194" i="11" s="1"/>
  <c r="AI32" i="6"/>
  <c r="AH170" i="11"/>
  <c r="AH171" i="11" s="1"/>
  <c r="AH28" i="5" s="1"/>
  <c r="AI19" i="10"/>
  <c r="AH195" i="11"/>
  <c r="AH35" i="5"/>
  <c r="AJ16" i="6"/>
  <c r="AJ60" i="6" s="1"/>
  <c r="AJ13" i="6"/>
  <c r="AI36" i="4"/>
  <c r="AI35" i="4"/>
  <c r="AI16" i="4"/>
  <c r="AI29" i="4"/>
  <c r="AI9" i="10"/>
  <c r="AM104" i="14"/>
  <c r="AH106" i="11"/>
  <c r="AH107" i="11" s="1"/>
  <c r="AI104" i="11" s="1"/>
  <c r="AH250" i="11"/>
  <c r="AH251" i="11" s="1"/>
  <c r="AH252" i="11" s="1"/>
  <c r="AI249" i="11" s="1"/>
  <c r="AK4" i="10"/>
  <c r="AM7" i="14"/>
  <c r="AM99" i="14"/>
  <c r="AJ8" i="6"/>
  <c r="AJ4" i="5"/>
  <c r="AJ4" i="11" s="1"/>
  <c r="AJ4" i="19"/>
  <c r="AK5" i="6"/>
  <c r="AH24" i="5"/>
  <c r="AN4" i="14"/>
  <c r="AJ5" i="4"/>
  <c r="AK5" i="2" s="1"/>
  <c r="AK14" i="2" s="1"/>
  <c r="AG28" i="5"/>
  <c r="AJ7" i="10"/>
  <c r="AI7" i="5"/>
  <c r="AI7" i="11" s="1"/>
  <c r="AI7" i="19"/>
  <c r="AI43" i="4"/>
  <c r="AI20" i="4"/>
  <c r="AI24" i="4"/>
  <c r="AI27" i="4" s="1"/>
  <c r="AH111" i="11"/>
  <c r="AH43" i="5" s="1"/>
  <c r="AH25" i="5"/>
  <c r="AI54" i="4"/>
  <c r="AI18" i="4"/>
  <c r="AI22" i="4"/>
  <c r="AJ21" i="6" s="1"/>
  <c r="AJ19" i="10" s="1"/>
  <c r="AH9" i="19"/>
  <c r="AI21" i="4"/>
  <c r="AL9" i="14"/>
  <c r="AI42" i="4"/>
  <c r="AI17" i="4"/>
  <c r="AJ30" i="2" s="1"/>
  <c r="AI55" i="4"/>
  <c r="AI52" i="4"/>
  <c r="AI31" i="4"/>
  <c r="AI32" i="4" s="1"/>
  <c r="AI33" i="4" s="1"/>
  <c r="AI23" i="4"/>
  <c r="AI12" i="6"/>
  <c r="AI50" i="4"/>
  <c r="AI41" i="4"/>
  <c r="AI48" i="4"/>
  <c r="AI44" i="4"/>
  <c r="AI8" i="4" s="1"/>
  <c r="AJ8" i="2" s="1"/>
  <c r="AI51" i="4"/>
  <c r="AI13" i="5"/>
  <c r="AI231" i="11" s="1"/>
  <c r="AI30" i="4"/>
  <c r="AI53" i="4"/>
  <c r="AI5" i="11"/>
  <c r="AI14" i="11" s="1"/>
  <c r="AI27" i="11" s="1"/>
  <c r="AI13" i="19"/>
  <c r="DB6" i="26"/>
  <c r="AH140" i="11"/>
  <c r="AI10" i="6"/>
  <c r="AH9" i="5"/>
  <c r="AH9" i="11" s="1"/>
  <c r="AH214" i="11"/>
  <c r="AH175" i="11"/>
  <c r="AH176" i="11" s="1"/>
  <c r="AH33" i="11"/>
  <c r="AH79" i="5" s="1"/>
  <c r="AH77" i="5" s="1"/>
  <c r="AJ7" i="6"/>
  <c r="AH23" i="5"/>
  <c r="AI6" i="5"/>
  <c r="AH6" i="15" s="1"/>
  <c r="AH11" i="19"/>
  <c r="AL11" i="14"/>
  <c r="AH11" i="5"/>
  <c r="AH11" i="11" s="1"/>
  <c r="AI11" i="10"/>
  <c r="AI35" i="6"/>
  <c r="AI30" i="6"/>
  <c r="AI6" i="19"/>
  <c r="AM6" i="14"/>
  <c r="AJ6" i="10"/>
  <c r="AI36" i="6"/>
  <c r="AI31" i="6"/>
  <c r="AG8" i="15"/>
  <c r="AH38" i="11"/>
  <c r="AH82" i="5" s="1"/>
  <c r="AH80" i="5" s="1"/>
  <c r="AE31" i="15"/>
  <c r="BG4" i="26"/>
  <c r="BG5" i="26" s="1"/>
  <c r="BF8" i="26"/>
  <c r="AG18" i="11"/>
  <c r="AG70" i="5" s="1"/>
  <c r="AH29" i="11"/>
  <c r="AI26" i="11" s="1"/>
  <c r="AI105" i="11" s="1"/>
  <c r="AJ48" i="6" s="1"/>
  <c r="AH76" i="5"/>
  <c r="AH74" i="5" s="1"/>
  <c r="AG10" i="15"/>
  <c r="AH186" i="11"/>
  <c r="AH31" i="5" s="1"/>
  <c r="BB6" i="17"/>
  <c r="BD7" i="16"/>
  <c r="AZ6" i="18"/>
  <c r="AI5" i="17"/>
  <c r="AK5" i="16"/>
  <c r="AJ10" i="16"/>
  <c r="AJ54" i="16" s="1"/>
  <c r="AJ80" i="16" s="1"/>
  <c r="AH10" i="11"/>
  <c r="W164" i="11"/>
  <c r="AH192" i="11"/>
  <c r="AI189" i="11" s="1"/>
  <c r="AH32" i="5"/>
  <c r="AH157" i="11"/>
  <c r="BD79" i="16" l="1"/>
  <c r="AH196" i="11"/>
  <c r="AH39" i="5" s="1"/>
  <c r="AI245" i="11"/>
  <c r="AI235" i="11"/>
  <c r="AG68" i="5"/>
  <c r="K618" i="32"/>
  <c r="AM88" i="14"/>
  <c r="AH7" i="15"/>
  <c r="AH42" i="5"/>
  <c r="AH246" i="11"/>
  <c r="AH247" i="11" s="1"/>
  <c r="AI244" i="11" s="1"/>
  <c r="AJ26" i="10"/>
  <c r="AJ31" i="6" s="1"/>
  <c r="AJ25" i="6"/>
  <c r="AI4" i="15"/>
  <c r="AJ31" i="10"/>
  <c r="AI190" i="11" s="1"/>
  <c r="AI191" i="11" s="1"/>
  <c r="AK4" i="4"/>
  <c r="AL4" i="2" s="1"/>
  <c r="AI26" i="4"/>
  <c r="AJ6" i="4"/>
  <c r="AK6" i="2" s="1"/>
  <c r="AJ21" i="2"/>
  <c r="AI25" i="4"/>
  <c r="AJ27" i="10"/>
  <c r="AJ32" i="6" s="1"/>
  <c r="AJ22" i="10"/>
  <c r="AJ27" i="6" s="1"/>
  <c r="AI45" i="4"/>
  <c r="AI9" i="4" s="1"/>
  <c r="AJ9" i="2" s="1"/>
  <c r="AI46" i="4"/>
  <c r="AI10" i="4" s="1"/>
  <c r="AJ10" i="2" s="1"/>
  <c r="AJ28" i="10"/>
  <c r="AI175" i="11" s="1"/>
  <c r="AJ41" i="6"/>
  <c r="AJ24" i="2"/>
  <c r="AJ30" i="10"/>
  <c r="AI185" i="11" s="1"/>
  <c r="AG11" i="15"/>
  <c r="AJ14" i="4"/>
  <c r="AJ29" i="4" s="1"/>
  <c r="AJ7" i="4"/>
  <c r="AK7" i="2" s="1"/>
  <c r="AJ5" i="19"/>
  <c r="AH112" i="11"/>
  <c r="AI109" i="11" s="1"/>
  <c r="AI47" i="4"/>
  <c r="AI11" i="4" s="1"/>
  <c r="AJ11" i="2" s="1"/>
  <c r="AK5" i="10"/>
  <c r="AK14" i="10" s="1"/>
  <c r="AK36" i="10" s="1"/>
  <c r="AJ5" i="5"/>
  <c r="AI5" i="15" s="1"/>
  <c r="AI13" i="15" s="1"/>
  <c r="AI8" i="5"/>
  <c r="AH8" i="15" s="1"/>
  <c r="AN5" i="14"/>
  <c r="AN15" i="14" s="1"/>
  <c r="AN99" i="14" s="1"/>
  <c r="AK6" i="6"/>
  <c r="AJ25" i="10"/>
  <c r="AI26" i="5" s="1"/>
  <c r="AI57" i="11"/>
  <c r="AI90" i="5" s="1"/>
  <c r="AI61" i="19" s="1"/>
  <c r="AJ23" i="10"/>
  <c r="AI24" i="5" s="1"/>
  <c r="AJ22" i="2"/>
  <c r="AJ24" i="10"/>
  <c r="AJ29" i="6" s="1"/>
  <c r="AJ25" i="2"/>
  <c r="AJ49" i="10"/>
  <c r="AJ53" i="10"/>
  <c r="AJ52" i="10"/>
  <c r="AG9" i="15"/>
  <c r="AJ45" i="10"/>
  <c r="AJ46" i="10"/>
  <c r="AI17" i="11"/>
  <c r="AI69" i="5" s="1"/>
  <c r="AJ44" i="10"/>
  <c r="AJ23" i="2"/>
  <c r="AJ47" i="10"/>
  <c r="AJ50" i="10"/>
  <c r="AI97" i="11"/>
  <c r="AI145" i="11" s="1"/>
  <c r="AI87" i="11"/>
  <c r="AI88" i="11" s="1"/>
  <c r="AI32" i="11"/>
  <c r="AI78" i="5" s="1"/>
  <c r="AH34" i="11"/>
  <c r="AI31" i="11" s="1"/>
  <c r="AI110" i="11" s="1"/>
  <c r="AJ49" i="6" s="1"/>
  <c r="AI8" i="19"/>
  <c r="AI67" i="11"/>
  <c r="AI101" i="5" s="1"/>
  <c r="AJ48" i="10"/>
  <c r="AM8" i="14"/>
  <c r="AI37" i="11"/>
  <c r="AI81" i="5" s="1"/>
  <c r="AI72" i="11"/>
  <c r="AI106" i="5" s="1"/>
  <c r="AJ8" i="10"/>
  <c r="AJ9" i="6"/>
  <c r="DC6" i="26"/>
  <c r="AI6" i="11"/>
  <c r="AH172" i="11"/>
  <c r="AI169" i="11" s="1"/>
  <c r="AH39" i="11"/>
  <c r="AI36" i="11" s="1"/>
  <c r="AG19" i="11"/>
  <c r="AF31" i="15" s="1"/>
  <c r="K652" i="32" s="1"/>
  <c r="BH4" i="26"/>
  <c r="BH5" i="26" s="1"/>
  <c r="BG8" i="26"/>
  <c r="AJ81" i="16"/>
  <c r="AI28" i="11"/>
  <c r="AI75" i="5"/>
  <c r="AH187" i="11"/>
  <c r="AI184" i="11" s="1"/>
  <c r="AH5" i="18"/>
  <c r="AH8" i="18" s="1"/>
  <c r="AI8" i="17"/>
  <c r="BA6" i="18"/>
  <c r="BC6" i="17"/>
  <c r="BE7" i="16"/>
  <c r="AK6" i="16"/>
  <c r="AJ4" i="17"/>
  <c r="AI4" i="18" s="1"/>
  <c r="AH177" i="11"/>
  <c r="AH29" i="5"/>
  <c r="W167" i="11"/>
  <c r="V19" i="15" s="1"/>
  <c r="W27" i="5"/>
  <c r="AJ13" i="19" l="1"/>
  <c r="BE79" i="16"/>
  <c r="AH197" i="11"/>
  <c r="AI194" i="11" s="1"/>
  <c r="AI35" i="5"/>
  <c r="AI195" i="11"/>
  <c r="AK16" i="6"/>
  <c r="AK60" i="6" s="1"/>
  <c r="AK13" i="6"/>
  <c r="AJ31" i="4"/>
  <c r="AJ32" i="4" s="1"/>
  <c r="AJ33" i="4" s="1"/>
  <c r="AJ48" i="4"/>
  <c r="AJ17" i="4"/>
  <c r="AK24" i="2" s="1"/>
  <c r="AJ37" i="4"/>
  <c r="AJ38" i="4" s="1"/>
  <c r="AJ39" i="4" s="1"/>
  <c r="AN104" i="14"/>
  <c r="AN88" i="14" s="1"/>
  <c r="AJ55" i="4"/>
  <c r="AJ53" i="4"/>
  <c r="AH68" i="11"/>
  <c r="AH102" i="5" s="1"/>
  <c r="AH27" i="19" s="1"/>
  <c r="AI170" i="11"/>
  <c r="AI171" i="11" s="1"/>
  <c r="AJ42" i="4"/>
  <c r="AJ22" i="4"/>
  <c r="AJ35" i="4"/>
  <c r="AJ24" i="4"/>
  <c r="AJ25" i="4" s="1"/>
  <c r="AI166" i="11"/>
  <c r="X165" i="11" s="1"/>
  <c r="AK5" i="4"/>
  <c r="AL5" i="2" s="1"/>
  <c r="AL14" i="2" s="1"/>
  <c r="AK7" i="6"/>
  <c r="AJ35" i="6"/>
  <c r="AJ36" i="6"/>
  <c r="AJ6" i="5"/>
  <c r="AI6" i="15" s="1"/>
  <c r="AL4" i="10"/>
  <c r="AK4" i="5"/>
  <c r="AK4" i="11" s="1"/>
  <c r="AL5" i="6"/>
  <c r="AJ33" i="6"/>
  <c r="AI11" i="5"/>
  <c r="AH11" i="15" s="1"/>
  <c r="AJ12" i="6"/>
  <c r="AN6" i="14"/>
  <c r="AK4" i="19"/>
  <c r="AJ11" i="6"/>
  <c r="AI23" i="5"/>
  <c r="AO4" i="14"/>
  <c r="AJ6" i="19"/>
  <c r="AI10" i="5"/>
  <c r="AH10" i="15" s="1"/>
  <c r="AI10" i="19"/>
  <c r="AJ10" i="10"/>
  <c r="AK6" i="10"/>
  <c r="AI9" i="19"/>
  <c r="AM9" i="14"/>
  <c r="AI8" i="11"/>
  <c r="AJ28" i="6"/>
  <c r="AJ10" i="6"/>
  <c r="AI9" i="5"/>
  <c r="AI9" i="11" s="1"/>
  <c r="AM10" i="14"/>
  <c r="AJ52" i="4"/>
  <c r="AJ41" i="4"/>
  <c r="AK8" i="6"/>
  <c r="AJ23" i="4"/>
  <c r="AJ7" i="5"/>
  <c r="AJ7" i="11" s="1"/>
  <c r="AJ16" i="4"/>
  <c r="AJ36" i="4"/>
  <c r="AJ54" i="4"/>
  <c r="AJ18" i="4"/>
  <c r="AJ7" i="19"/>
  <c r="AJ20" i="4"/>
  <c r="AJ51" i="4"/>
  <c r="AJ44" i="4"/>
  <c r="AJ8" i="4" s="1"/>
  <c r="AK8" i="2" s="1"/>
  <c r="AK7" i="10"/>
  <c r="AJ30" i="4"/>
  <c r="AJ21" i="4"/>
  <c r="AJ50" i="4"/>
  <c r="AJ43" i="4"/>
  <c r="AJ9" i="10"/>
  <c r="AJ5" i="11"/>
  <c r="AJ14" i="11" s="1"/>
  <c r="AJ67" i="11" s="1"/>
  <c r="AJ101" i="5" s="1"/>
  <c r="L622" i="32" s="1"/>
  <c r="C622" i="32" s="1"/>
  <c r="AJ30" i="6"/>
  <c r="AM11" i="14"/>
  <c r="AJ11" i="10"/>
  <c r="AI25" i="5"/>
  <c r="AN7" i="14"/>
  <c r="AI11" i="19"/>
  <c r="AI246" i="11"/>
  <c r="AI247" i="11" s="1"/>
  <c r="AJ244" i="11" s="1"/>
  <c r="AI111" i="11"/>
  <c r="AI112" i="11" s="1"/>
  <c r="AJ109" i="11" s="1"/>
  <c r="AJ13" i="5"/>
  <c r="AJ231" i="11" s="1"/>
  <c r="AI140" i="11"/>
  <c r="AI33" i="11"/>
  <c r="AI34" i="11" s="1"/>
  <c r="AJ31" i="11" s="1"/>
  <c r="AJ110" i="11" s="1"/>
  <c r="AK49" i="6" s="1"/>
  <c r="AI214" i="11"/>
  <c r="AI106" i="11"/>
  <c r="AI107" i="11" s="1"/>
  <c r="AJ104" i="11" s="1"/>
  <c r="DD6" i="26"/>
  <c r="AI38" i="11"/>
  <c r="AI39" i="11" s="1"/>
  <c r="AJ36" i="11" s="1"/>
  <c r="AH16" i="11"/>
  <c r="AH18" i="11" s="1"/>
  <c r="AH70" i="5" s="1"/>
  <c r="AH68" i="5" s="1"/>
  <c r="BI4" i="26"/>
  <c r="BI5" i="26" s="1"/>
  <c r="BH8" i="26"/>
  <c r="AI29" i="11"/>
  <c r="AJ26" i="11" s="1"/>
  <c r="AJ105" i="11" s="1"/>
  <c r="AK48" i="6" s="1"/>
  <c r="AI76" i="5"/>
  <c r="AI74" i="5" s="1"/>
  <c r="AI186" i="11"/>
  <c r="AI31" i="5" s="1"/>
  <c r="BD6" i="17"/>
  <c r="BF7" i="16"/>
  <c r="AJ5" i="17"/>
  <c r="AK10" i="16"/>
  <c r="AK54" i="16" s="1"/>
  <c r="AK80" i="16" s="1"/>
  <c r="AL5" i="16"/>
  <c r="BB6" i="18"/>
  <c r="AI174" i="11"/>
  <c r="X164" i="11"/>
  <c r="AI192" i="11"/>
  <c r="AJ189" i="11" s="1"/>
  <c r="AI32" i="5"/>
  <c r="AI157" i="11"/>
  <c r="BF79" i="16" l="1"/>
  <c r="AI196" i="11"/>
  <c r="AJ245" i="11"/>
  <c r="AJ235" i="11"/>
  <c r="AK31" i="10"/>
  <c r="AK21" i="6"/>
  <c r="AK22" i="10"/>
  <c r="AJ23" i="5" s="1"/>
  <c r="L591" i="32" s="1"/>
  <c r="C591" i="32" s="1"/>
  <c r="AK28" i="10"/>
  <c r="AK23" i="10"/>
  <c r="AK21" i="2"/>
  <c r="AJ26" i="4"/>
  <c r="AJ27" i="4"/>
  <c r="AK25" i="2"/>
  <c r="AJ46" i="4"/>
  <c r="AJ10" i="4" s="1"/>
  <c r="AK10" i="2" s="1"/>
  <c r="AK23" i="2"/>
  <c r="AJ47" i="4"/>
  <c r="AJ11" i="4" s="1"/>
  <c r="AJ11" i="5" s="1"/>
  <c r="AK22" i="2"/>
  <c r="AJ45" i="4"/>
  <c r="AJ9" i="4" s="1"/>
  <c r="AK9" i="2" s="1"/>
  <c r="AK25" i="10"/>
  <c r="AK30" i="6" s="1"/>
  <c r="L553" i="32" s="1"/>
  <c r="C553" i="32" s="1"/>
  <c r="AL4" i="4"/>
  <c r="AM4" i="2" s="1"/>
  <c r="AK6" i="4"/>
  <c r="AL6" i="2" s="1"/>
  <c r="AK5" i="19"/>
  <c r="AK41" i="6"/>
  <c r="AK27" i="10"/>
  <c r="AK32" i="6" s="1"/>
  <c r="AK30" i="10"/>
  <c r="AK35" i="6" s="1"/>
  <c r="AK30" i="2"/>
  <c r="AK7" i="4"/>
  <c r="AL7" i="2" s="1"/>
  <c r="AK26" i="10"/>
  <c r="AK31" i="6" s="1"/>
  <c r="L554" i="32" s="1"/>
  <c r="C554" i="32" s="1"/>
  <c r="AK25" i="6"/>
  <c r="AK24" i="10"/>
  <c r="AK29" i="6" s="1"/>
  <c r="L555" i="32" s="1"/>
  <c r="C555" i="32" s="1"/>
  <c r="AJ6" i="11"/>
  <c r="AL5" i="10"/>
  <c r="AL14" i="10" s="1"/>
  <c r="AL36" i="10" s="1"/>
  <c r="AK5" i="5"/>
  <c r="AL6" i="6"/>
  <c r="AO5" i="14"/>
  <c r="AO15" i="14" s="1"/>
  <c r="AK14" i="4"/>
  <c r="AK30" i="4" s="1"/>
  <c r="AJ4" i="15"/>
  <c r="AI10" i="11"/>
  <c r="AI11" i="11"/>
  <c r="AK9" i="6"/>
  <c r="AH9" i="15"/>
  <c r="AJ32" i="11"/>
  <c r="AJ33" i="11" s="1"/>
  <c r="AJ97" i="11"/>
  <c r="AJ140" i="11" s="1"/>
  <c r="AK8" i="10"/>
  <c r="AK48" i="10"/>
  <c r="AJ87" i="11"/>
  <c r="AJ88" i="11" s="1"/>
  <c r="AK53" i="10"/>
  <c r="AJ72" i="11"/>
  <c r="AJ106" i="5" s="1"/>
  <c r="AK49" i="10"/>
  <c r="AJ17" i="11"/>
  <c r="AJ69" i="5" s="1"/>
  <c r="AJ8" i="5"/>
  <c r="AI8" i="15" s="1"/>
  <c r="AJ8" i="19"/>
  <c r="AJ27" i="11"/>
  <c r="AJ28" i="11" s="1"/>
  <c r="AK44" i="10"/>
  <c r="AK52" i="10"/>
  <c r="AN8" i="14"/>
  <c r="AJ37" i="11"/>
  <c r="AJ81" i="5" s="1"/>
  <c r="AJ57" i="11"/>
  <c r="AJ90" i="5" s="1"/>
  <c r="AJ61" i="19" s="1"/>
  <c r="AK47" i="10"/>
  <c r="AK46" i="10"/>
  <c r="AK50" i="10"/>
  <c r="AI7" i="15"/>
  <c r="AK45" i="10"/>
  <c r="AI43" i="5"/>
  <c r="AI250" i="11"/>
  <c r="AI251" i="11" s="1"/>
  <c r="AI252" i="11" s="1"/>
  <c r="AJ249" i="11" s="1"/>
  <c r="AI79" i="5"/>
  <c r="AI77" i="5" s="1"/>
  <c r="AI42" i="5"/>
  <c r="DE6" i="26"/>
  <c r="AI82" i="5"/>
  <c r="AI80" i="5" s="1"/>
  <c r="AH19" i="11"/>
  <c r="AG31" i="15" s="1"/>
  <c r="BJ4" i="26"/>
  <c r="BJ5" i="26" s="1"/>
  <c r="BI8" i="26"/>
  <c r="AK81" i="16"/>
  <c r="AI187" i="11"/>
  <c r="AJ184" i="11" s="1"/>
  <c r="AI176" i="11"/>
  <c r="AI29" i="5" s="1"/>
  <c r="BC6" i="18"/>
  <c r="AI5" i="18"/>
  <c r="AI8" i="18" s="1"/>
  <c r="AJ8" i="17"/>
  <c r="AL6" i="16"/>
  <c r="AK4" i="17"/>
  <c r="AJ4" i="18" s="1"/>
  <c r="BE6" i="17"/>
  <c r="BG7" i="16"/>
  <c r="AI172" i="11"/>
  <c r="AI28" i="5"/>
  <c r="X167" i="11"/>
  <c r="W19" i="15" s="1"/>
  <c r="H643" i="32" s="1"/>
  <c r="X27" i="5"/>
  <c r="H594" i="32" s="1"/>
  <c r="AK13" i="19" l="1"/>
  <c r="BG79" i="16"/>
  <c r="AJ5" i="15"/>
  <c r="AJ13" i="15" s="1"/>
  <c r="AK138" i="5"/>
  <c r="AK137" i="5"/>
  <c r="AI39" i="5"/>
  <c r="AI197" i="11"/>
  <c r="AJ194" i="11" s="1"/>
  <c r="AJ190" i="11"/>
  <c r="AK36" i="6"/>
  <c r="L556" i="32" s="1"/>
  <c r="C556" i="32" s="1"/>
  <c r="AJ175" i="11"/>
  <c r="AK33" i="6"/>
  <c r="AK28" i="6"/>
  <c r="L552" i="32" s="1"/>
  <c r="C552" i="32" s="1"/>
  <c r="AJ24" i="5"/>
  <c r="L592" i="32" s="1"/>
  <c r="C592" i="32" s="1"/>
  <c r="AK11" i="2"/>
  <c r="AN11" i="14"/>
  <c r="AK10" i="10"/>
  <c r="AJ10" i="5"/>
  <c r="AK11" i="6"/>
  <c r="AJ10" i="19"/>
  <c r="AK27" i="6"/>
  <c r="L551" i="32" s="1"/>
  <c r="C551" i="32" s="1"/>
  <c r="AJ195" i="11"/>
  <c r="L572" i="32"/>
  <c r="C572" i="32" s="1"/>
  <c r="AK19" i="10"/>
  <c r="L549" i="32"/>
  <c r="C549" i="32" s="1"/>
  <c r="AJ35" i="5"/>
  <c r="L610" i="32" s="1"/>
  <c r="C610" i="32" s="1"/>
  <c r="L573" i="32"/>
  <c r="C573" i="32" s="1"/>
  <c r="AL16" i="6"/>
  <c r="AL60" i="6" s="1"/>
  <c r="AL13" i="6"/>
  <c r="AJ170" i="11"/>
  <c r="AK41" i="4"/>
  <c r="AL7" i="6"/>
  <c r="AK37" i="4"/>
  <c r="AK38" i="4" s="1"/>
  <c r="AK39" i="4" s="1"/>
  <c r="AK44" i="4"/>
  <c r="AK8" i="4" s="1"/>
  <c r="AK12" i="6"/>
  <c r="AK11" i="10"/>
  <c r="AJ9" i="19"/>
  <c r="AN9" i="14"/>
  <c r="AJ25" i="5"/>
  <c r="L595" i="32" s="1"/>
  <c r="C595" i="32" s="1"/>
  <c r="AJ11" i="19"/>
  <c r="AK6" i="5"/>
  <c r="AK6" i="11" s="1"/>
  <c r="AJ9" i="5"/>
  <c r="AJ9" i="11" s="1"/>
  <c r="AJ26" i="5"/>
  <c r="L593" i="32" s="1"/>
  <c r="C593" i="32" s="1"/>
  <c r="AN10" i="14"/>
  <c r="AK20" i="4"/>
  <c r="AO7" i="14"/>
  <c r="AK51" i="4"/>
  <c r="AK6" i="19"/>
  <c r="AK9" i="10"/>
  <c r="AK10" i="6"/>
  <c r="AO6" i="14"/>
  <c r="AL4" i="5"/>
  <c r="AL4" i="11" s="1"/>
  <c r="AK13" i="5"/>
  <c r="AK231" i="11" s="1"/>
  <c r="AK52" i="4"/>
  <c r="AL6" i="10"/>
  <c r="AK18" i="4"/>
  <c r="AK53" i="4"/>
  <c r="AK7" i="19"/>
  <c r="AJ185" i="11"/>
  <c r="AJ186" i="11" s="1"/>
  <c r="AK7" i="5"/>
  <c r="AK7" i="11" s="1"/>
  <c r="AK22" i="4"/>
  <c r="AL8" i="6"/>
  <c r="AJ166" i="11"/>
  <c r="Y165" i="11" s="1"/>
  <c r="Y27" i="5" s="1"/>
  <c r="AK50" i="4"/>
  <c r="AM4" i="10"/>
  <c r="AK23" i="4"/>
  <c r="AL50" i="10" s="1"/>
  <c r="AM5" i="6"/>
  <c r="AK16" i="4"/>
  <c r="AK55" i="4"/>
  <c r="AL4" i="19"/>
  <c r="AO104" i="14"/>
  <c r="AL7" i="10"/>
  <c r="AP4" i="14"/>
  <c r="AL5" i="4"/>
  <c r="AM5" i="2" s="1"/>
  <c r="AM14" i="2" s="1"/>
  <c r="AK54" i="4"/>
  <c r="AK21" i="4"/>
  <c r="AO99" i="14"/>
  <c r="AJ78" i="5"/>
  <c r="AK35" i="4"/>
  <c r="AK17" i="4"/>
  <c r="AL21" i="2" s="1"/>
  <c r="AK31" i="4"/>
  <c r="AK32" i="4" s="1"/>
  <c r="AK33" i="4" s="1"/>
  <c r="AK24" i="4"/>
  <c r="AK46" i="4" s="1"/>
  <c r="AK10" i="4" s="1"/>
  <c r="AL10" i="2" s="1"/>
  <c r="AK36" i="4"/>
  <c r="AK48" i="4"/>
  <c r="AK43" i="4"/>
  <c r="AK42" i="4"/>
  <c r="AK5" i="11"/>
  <c r="AK14" i="11" s="1"/>
  <c r="AK57" i="11" s="1"/>
  <c r="AK90" i="5" s="1"/>
  <c r="AK29" i="4"/>
  <c r="AJ214" i="11"/>
  <c r="AJ111" i="11"/>
  <c r="AJ43" i="5" s="1"/>
  <c r="AJ38" i="11"/>
  <c r="AJ39" i="11" s="1"/>
  <c r="AK36" i="11" s="1"/>
  <c r="AJ106" i="11"/>
  <c r="AJ107" i="11" s="1"/>
  <c r="AK104" i="11" s="1"/>
  <c r="AJ145" i="11"/>
  <c r="AJ157" i="11" s="1"/>
  <c r="AJ8" i="11"/>
  <c r="AJ250" i="11"/>
  <c r="AJ251" i="11" s="1"/>
  <c r="AJ252" i="11" s="1"/>
  <c r="AK249" i="11" s="1"/>
  <c r="AI68" i="11"/>
  <c r="AI102" i="5" s="1"/>
  <c r="AI27" i="19" s="1"/>
  <c r="AJ75" i="5"/>
  <c r="DF6" i="26"/>
  <c r="AI16" i="11"/>
  <c r="AI18" i="11" s="1"/>
  <c r="AI70" i="5" s="1"/>
  <c r="AI68" i="5" s="1"/>
  <c r="BK4" i="26"/>
  <c r="BK5" i="26" s="1"/>
  <c r="BJ8" i="26"/>
  <c r="AJ34" i="11"/>
  <c r="AK31" i="11" s="1"/>
  <c r="AK110" i="11" s="1"/>
  <c r="AL49" i="6" s="1"/>
  <c r="AJ79" i="5"/>
  <c r="AJ29" i="11"/>
  <c r="AK26" i="11" s="1"/>
  <c r="AK105" i="11" s="1"/>
  <c r="AL48" i="6" s="1"/>
  <c r="AJ76" i="5"/>
  <c r="AJ11" i="11"/>
  <c r="AI11" i="15"/>
  <c r="AI177" i="11"/>
  <c r="AJ174" i="11" s="1"/>
  <c r="BD6" i="18"/>
  <c r="AK5" i="17"/>
  <c r="AL10" i="16"/>
  <c r="AL54" i="16" s="1"/>
  <c r="AL80" i="16" s="1"/>
  <c r="AM5" i="16"/>
  <c r="BF6" i="17"/>
  <c r="BH7" i="16"/>
  <c r="AJ169" i="11"/>
  <c r="Y164" i="11"/>
  <c r="BH79" i="16" l="1"/>
  <c r="AJ191" i="11"/>
  <c r="AI10" i="15"/>
  <c r="AJ10" i="11"/>
  <c r="AJ196" i="11"/>
  <c r="AJ176" i="11"/>
  <c r="AJ171" i="11"/>
  <c r="AL8" i="2"/>
  <c r="AO8" i="14"/>
  <c r="AK245" i="11"/>
  <c r="AK235" i="11"/>
  <c r="AL23" i="10"/>
  <c r="AL21" i="6"/>
  <c r="AL19" i="10" s="1"/>
  <c r="AK8" i="5"/>
  <c r="AJ8" i="15" s="1"/>
  <c r="AK8" i="19"/>
  <c r="AL9" i="6"/>
  <c r="AL8" i="10"/>
  <c r="AL26" i="10"/>
  <c r="AL31" i="6" s="1"/>
  <c r="AL41" i="6"/>
  <c r="AK195" i="11" s="1"/>
  <c r="AK47" i="4"/>
  <c r="AK11" i="4" s="1"/>
  <c r="AL11" i="2" s="1"/>
  <c r="AO88" i="14"/>
  <c r="AI9" i="15"/>
  <c r="AJ6" i="15"/>
  <c r="AK4" i="15"/>
  <c r="AL47" i="10"/>
  <c r="AL44" i="10"/>
  <c r="AJ77" i="5"/>
  <c r="AM5" i="10"/>
  <c r="AM14" i="10" s="1"/>
  <c r="AM36" i="10" s="1"/>
  <c r="AL5" i="19"/>
  <c r="AL5" i="5"/>
  <c r="AM6" i="6"/>
  <c r="AP5" i="14"/>
  <c r="AP15" i="14" s="1"/>
  <c r="AP104" i="14" s="1"/>
  <c r="AL7" i="4"/>
  <c r="AM7" i="2" s="1"/>
  <c r="AJ7" i="15"/>
  <c r="AL6" i="4"/>
  <c r="AM6" i="2" s="1"/>
  <c r="Y167" i="11"/>
  <c r="X19" i="15" s="1"/>
  <c r="AL31" i="10"/>
  <c r="AK190" i="11" s="1"/>
  <c r="AK26" i="4"/>
  <c r="AL25" i="6"/>
  <c r="AK35" i="5" s="1"/>
  <c r="AL24" i="10"/>
  <c r="AL29" i="6" s="1"/>
  <c r="AK25" i="4"/>
  <c r="AL22" i="10"/>
  <c r="AK23" i="5" s="1"/>
  <c r="AL48" i="10"/>
  <c r="AK45" i="4"/>
  <c r="AK9" i="4" s="1"/>
  <c r="AL9" i="2" s="1"/>
  <c r="AK27" i="4"/>
  <c r="AL30" i="2"/>
  <c r="AL23" i="2"/>
  <c r="AL25" i="10"/>
  <c r="AK26" i="5" s="1"/>
  <c r="AL25" i="2"/>
  <c r="AL27" i="10"/>
  <c r="AL32" i="6" s="1"/>
  <c r="AL46" i="10"/>
  <c r="AL14" i="4"/>
  <c r="AL37" i="4" s="1"/>
  <c r="AL38" i="4" s="1"/>
  <c r="AL39" i="4" s="1"/>
  <c r="AL49" i="10"/>
  <c r="AL24" i="2"/>
  <c r="AL52" i="10"/>
  <c r="AM4" i="4"/>
  <c r="AN4" i="2" s="1"/>
  <c r="AL22" i="2"/>
  <c r="AL53" i="10"/>
  <c r="AL45" i="10"/>
  <c r="AJ112" i="11"/>
  <c r="AK109" i="11" s="1"/>
  <c r="AL30" i="10"/>
  <c r="AL35" i="6" s="1"/>
  <c r="AL28" i="10"/>
  <c r="AL33" i="6" s="1"/>
  <c r="AK27" i="11"/>
  <c r="AK75" i="5" s="1"/>
  <c r="AK37" i="11"/>
  <c r="AK38" i="11" s="1"/>
  <c r="AK82" i="5" s="1"/>
  <c r="AJ82" i="5"/>
  <c r="AK97" i="11"/>
  <c r="AK32" i="11"/>
  <c r="AK78" i="5" s="1"/>
  <c r="AK67" i="11"/>
  <c r="AK101" i="5" s="1"/>
  <c r="AK17" i="11"/>
  <c r="AK69" i="5" s="1"/>
  <c r="AK87" i="11"/>
  <c r="AK88" i="11" s="1"/>
  <c r="AK72" i="11"/>
  <c r="AK106" i="5" s="1"/>
  <c r="AJ42" i="5"/>
  <c r="AJ74" i="5"/>
  <c r="AJ246" i="11"/>
  <c r="AJ247" i="11" s="1"/>
  <c r="AK244" i="11" s="1"/>
  <c r="DG6" i="26"/>
  <c r="BL4" i="26"/>
  <c r="BL5" i="26" s="1"/>
  <c r="BK8" i="26"/>
  <c r="AI19" i="11"/>
  <c r="AL81" i="16"/>
  <c r="AK61" i="19"/>
  <c r="AO10" i="14"/>
  <c r="AK10" i="19"/>
  <c r="AJ5" i="18"/>
  <c r="AJ8" i="18" s="1"/>
  <c r="AK8" i="17"/>
  <c r="BI7" i="16"/>
  <c r="BG6" i="17"/>
  <c r="BE6" i="18"/>
  <c r="AL4" i="17"/>
  <c r="AK4" i="18" s="1"/>
  <c r="AM6" i="16"/>
  <c r="AJ187" i="11"/>
  <c r="AK184" i="11" s="1"/>
  <c r="AJ31" i="5"/>
  <c r="AK10" i="5"/>
  <c r="AL11" i="6"/>
  <c r="AL10" i="10"/>
  <c r="AL13" i="19" l="1"/>
  <c r="BI79" i="16"/>
  <c r="AK5" i="15"/>
  <c r="AK13" i="15" s="1"/>
  <c r="AL137" i="5"/>
  <c r="AL138" i="5"/>
  <c r="AJ32" i="5"/>
  <c r="L596" i="32" s="1"/>
  <c r="C596" i="32" s="1"/>
  <c r="AJ192" i="11"/>
  <c r="AK189" i="11" s="1"/>
  <c r="AK191" i="11" s="1"/>
  <c r="AK32" i="5" s="1"/>
  <c r="AL28" i="6"/>
  <c r="AK24" i="5"/>
  <c r="AJ29" i="5"/>
  <c r="AJ177" i="11"/>
  <c r="AK174" i="11" s="1"/>
  <c r="AJ197" i="11"/>
  <c r="AK194" i="11" s="1"/>
  <c r="AJ39" i="5"/>
  <c r="L609" i="32" s="1"/>
  <c r="C609" i="32" s="1"/>
  <c r="AJ172" i="11"/>
  <c r="AK169" i="11" s="1"/>
  <c r="AJ28" i="5"/>
  <c r="AK8" i="11"/>
  <c r="AJ80" i="5"/>
  <c r="AL11" i="10"/>
  <c r="AM6" i="10"/>
  <c r="AM16" i="6"/>
  <c r="AM60" i="6" s="1"/>
  <c r="AM13" i="6"/>
  <c r="AL12" i="6"/>
  <c r="AP6" i="14"/>
  <c r="AK11" i="5"/>
  <c r="AK11" i="11" s="1"/>
  <c r="AK166" i="11"/>
  <c r="Z165" i="11" s="1"/>
  <c r="AK11" i="19"/>
  <c r="AL6" i="5"/>
  <c r="AK6" i="15" s="1"/>
  <c r="AO11" i="14"/>
  <c r="AM7" i="6"/>
  <c r="AL21" i="4"/>
  <c r="AL7" i="19"/>
  <c r="AL6" i="19"/>
  <c r="AL17" i="4"/>
  <c r="AM30" i="2" s="1"/>
  <c r="AK175" i="11"/>
  <c r="AK9" i="5"/>
  <c r="AJ9" i="15" s="1"/>
  <c r="AL5" i="11"/>
  <c r="AL14" i="11" s="1"/>
  <c r="AL32" i="11" s="1"/>
  <c r="AN4" i="10"/>
  <c r="AP7" i="14"/>
  <c r="AM5" i="4"/>
  <c r="AN5" i="2" s="1"/>
  <c r="AN14" i="2" s="1"/>
  <c r="AN5" i="6"/>
  <c r="AL13" i="5"/>
  <c r="AL231" i="11" s="1"/>
  <c r="AP99" i="14"/>
  <c r="AP88" i="14" s="1"/>
  <c r="AM4" i="5"/>
  <c r="AL4" i="15" s="1"/>
  <c r="AM4" i="19"/>
  <c r="AK33" i="11"/>
  <c r="AK79" i="5" s="1"/>
  <c r="AK77" i="5" s="1"/>
  <c r="AQ4" i="14"/>
  <c r="AK185" i="11"/>
  <c r="AK186" i="11" s="1"/>
  <c r="AK31" i="5" s="1"/>
  <c r="AL29" i="4"/>
  <c r="AL41" i="4"/>
  <c r="AL20" i="4"/>
  <c r="AL53" i="4"/>
  <c r="AM8" i="6"/>
  <c r="AL23" i="4"/>
  <c r="AM46" i="10" s="1"/>
  <c r="AL36" i="6"/>
  <c r="AK170" i="11"/>
  <c r="AL52" i="4"/>
  <c r="AL24" i="4"/>
  <c r="AL27" i="4" s="1"/>
  <c r="AL55" i="4"/>
  <c r="AL7" i="5"/>
  <c r="AL7" i="11" s="1"/>
  <c r="AM7" i="10"/>
  <c r="AL48" i="4"/>
  <c r="AL27" i="6"/>
  <c r="AL31" i="4"/>
  <c r="AL32" i="4" s="1"/>
  <c r="AL33" i="4" s="1"/>
  <c r="AL36" i="4"/>
  <c r="AK25" i="5"/>
  <c r="AL18" i="4"/>
  <c r="AL50" i="4"/>
  <c r="AL42" i="4"/>
  <c r="AL51" i="4"/>
  <c r="AK140" i="11"/>
  <c r="AK214" i="11"/>
  <c r="AK145" i="11"/>
  <c r="AK157" i="11" s="1"/>
  <c r="Z164" i="11"/>
  <c r="AK28" i="11"/>
  <c r="AK29" i="11" s="1"/>
  <c r="AL26" i="11" s="1"/>
  <c r="AL105" i="11" s="1"/>
  <c r="AM48" i="6" s="1"/>
  <c r="AL30" i="6"/>
  <c r="AL54" i="4"/>
  <c r="AL43" i="4"/>
  <c r="AL22" i="4"/>
  <c r="AK9" i="19"/>
  <c r="AK39" i="11"/>
  <c r="AL36" i="11" s="1"/>
  <c r="AL35" i="4"/>
  <c r="AL30" i="4"/>
  <c r="AO9" i="14"/>
  <c r="AL9" i="10"/>
  <c r="AL16" i="4"/>
  <c r="AL44" i="4"/>
  <c r="AL8" i="4" s="1"/>
  <c r="AM8" i="2" s="1"/>
  <c r="AL10" i="6"/>
  <c r="AK106" i="11"/>
  <c r="AK107" i="11" s="1"/>
  <c r="AL104" i="11" s="1"/>
  <c r="AK111" i="11"/>
  <c r="AK112" i="11" s="1"/>
  <c r="AL109" i="11" s="1"/>
  <c r="AK81" i="5"/>
  <c r="AK80" i="5" s="1"/>
  <c r="AK250" i="11"/>
  <c r="AK251" i="11" s="1"/>
  <c r="AK252" i="11" s="1"/>
  <c r="AL249" i="11" s="1"/>
  <c r="AJ68" i="11"/>
  <c r="AJ102" i="5" s="1"/>
  <c r="AJ27" i="19" s="1"/>
  <c r="DH6" i="26"/>
  <c r="BM4" i="26"/>
  <c r="BM5" i="26" s="1"/>
  <c r="BL8" i="26"/>
  <c r="AH31" i="15"/>
  <c r="AJ16" i="11"/>
  <c r="AJ10" i="15"/>
  <c r="BJ7" i="16"/>
  <c r="BH6" i="17"/>
  <c r="BF6" i="18"/>
  <c r="AN5" i="16"/>
  <c r="AL5" i="17"/>
  <c r="AM10" i="16"/>
  <c r="AM54" i="16" s="1"/>
  <c r="AM80" i="16" s="1"/>
  <c r="AK10" i="11"/>
  <c r="BJ79" i="16" l="1"/>
  <c r="AK192" i="11"/>
  <c r="AL189" i="11" s="1"/>
  <c r="AK176" i="11"/>
  <c r="AK196" i="11"/>
  <c r="AK39" i="5" s="1"/>
  <c r="AK171" i="11"/>
  <c r="AL245" i="11"/>
  <c r="AL235" i="11"/>
  <c r="AM31" i="10"/>
  <c r="AM21" i="6"/>
  <c r="AM19" i="10" s="1"/>
  <c r="AJ11" i="15"/>
  <c r="AL6" i="11"/>
  <c r="AK9" i="11"/>
  <c r="AK42" i="5"/>
  <c r="AL17" i="11"/>
  <c r="AL69" i="5" s="1"/>
  <c r="AM23" i="2"/>
  <c r="AL97" i="11"/>
  <c r="AL145" i="11" s="1"/>
  <c r="AM21" i="2"/>
  <c r="AQ5" i="14"/>
  <c r="AQ15" i="14" s="1"/>
  <c r="AQ104" i="14" s="1"/>
  <c r="AL72" i="11"/>
  <c r="AL106" i="5" s="1"/>
  <c r="AL67" i="11"/>
  <c r="AL101" i="5" s="1"/>
  <c r="AL27" i="11"/>
  <c r="AL28" i="11" s="1"/>
  <c r="AL87" i="11"/>
  <c r="AL88" i="11" s="1"/>
  <c r="AL37" i="11"/>
  <c r="AL81" i="5" s="1"/>
  <c r="AL57" i="11"/>
  <c r="AL90" i="5" s="1"/>
  <c r="AL61" i="19" s="1"/>
  <c r="AM4" i="11"/>
  <c r="AM6" i="4"/>
  <c r="AN6" i="2" s="1"/>
  <c r="AM14" i="4"/>
  <c r="AM53" i="4" s="1"/>
  <c r="AN4" i="4"/>
  <c r="AO4" i="2" s="1"/>
  <c r="AM5" i="19"/>
  <c r="AM25" i="2"/>
  <c r="AM7" i="4"/>
  <c r="AN7" i="2" s="1"/>
  <c r="AL25" i="4"/>
  <c r="AM24" i="2"/>
  <c r="AM22" i="2"/>
  <c r="AN5" i="10"/>
  <c r="AN14" i="10" s="1"/>
  <c r="AN36" i="10" s="1"/>
  <c r="AN6" i="6"/>
  <c r="AM5" i="5"/>
  <c r="AL5" i="15" s="1"/>
  <c r="AL13" i="15" s="1"/>
  <c r="AM9" i="6"/>
  <c r="AL8" i="5"/>
  <c r="AL8" i="11" s="1"/>
  <c r="AL47" i="4"/>
  <c r="AL11" i="4" s="1"/>
  <c r="AM11" i="2" s="1"/>
  <c r="AK34" i="11"/>
  <c r="AL31" i="11" s="1"/>
  <c r="AL110" i="11" s="1"/>
  <c r="AM49" i="6" s="1"/>
  <c r="AM47" i="10"/>
  <c r="AM53" i="10"/>
  <c r="AM45" i="10"/>
  <c r="AM44" i="10"/>
  <c r="AM50" i="10"/>
  <c r="AL46" i="4"/>
  <c r="AL10" i="4" s="1"/>
  <c r="AM10" i="2" s="1"/>
  <c r="AM48" i="10"/>
  <c r="AM26" i="10"/>
  <c r="AL166" i="11" s="1"/>
  <c r="AM25" i="6"/>
  <c r="AL35" i="5" s="1"/>
  <c r="AM28" i="10"/>
  <c r="AL175" i="11" s="1"/>
  <c r="AM52" i="10"/>
  <c r="AK7" i="15"/>
  <c r="AL45" i="4"/>
  <c r="AL9" i="4" s="1"/>
  <c r="AM9" i="2" s="1"/>
  <c r="AM49" i="10"/>
  <c r="AL8" i="19"/>
  <c r="AL26" i="4"/>
  <c r="AP8" i="14"/>
  <c r="AK43" i="5"/>
  <c r="AK76" i="5"/>
  <c r="AK74" i="5" s="1"/>
  <c r="AM30" i="10"/>
  <c r="AM35" i="6" s="1"/>
  <c r="AM25" i="10"/>
  <c r="AL26" i="5" s="1"/>
  <c r="AM41" i="6"/>
  <c r="AL195" i="11" s="1"/>
  <c r="AM24" i="10"/>
  <c r="AL25" i="5" s="1"/>
  <c r="AM22" i="10"/>
  <c r="AM27" i="6" s="1"/>
  <c r="AM23" i="10"/>
  <c r="AL24" i="5" s="1"/>
  <c r="AM8" i="10"/>
  <c r="AM27" i="10"/>
  <c r="AM32" i="6" s="1"/>
  <c r="AK246" i="11"/>
  <c r="AK68" i="11" s="1"/>
  <c r="AK102" i="5" s="1"/>
  <c r="AK27" i="19" s="1"/>
  <c r="DI6" i="26"/>
  <c r="BN4" i="26"/>
  <c r="BN5" i="26" s="1"/>
  <c r="BM8" i="26"/>
  <c r="AJ18" i="11"/>
  <c r="AJ70" i="5" s="1"/>
  <c r="AM81" i="16"/>
  <c r="AL78" i="5"/>
  <c r="AM4" i="17"/>
  <c r="AL4" i="18" s="1"/>
  <c r="AN6" i="16"/>
  <c r="AL8" i="17"/>
  <c r="AK5" i="18"/>
  <c r="AK8" i="18" s="1"/>
  <c r="BG6" i="18"/>
  <c r="BK7" i="16"/>
  <c r="BI6" i="17"/>
  <c r="AK187" i="11"/>
  <c r="AL184" i="11" s="1"/>
  <c r="Z167" i="11"/>
  <c r="Y19" i="15" s="1"/>
  <c r="Z27" i="5"/>
  <c r="AM13" i="19" l="1"/>
  <c r="BK79" i="16"/>
  <c r="AK197" i="11"/>
  <c r="AL194" i="11" s="1"/>
  <c r="AK177" i="11"/>
  <c r="AL174" i="11" s="1"/>
  <c r="AK29" i="5"/>
  <c r="AL196" i="11"/>
  <c r="AK172" i="11"/>
  <c r="AL169" i="11" s="1"/>
  <c r="AK28" i="5"/>
  <c r="AL190" i="11"/>
  <c r="AL191" i="11" s="1"/>
  <c r="AM36" i="6"/>
  <c r="AJ68" i="5"/>
  <c r="L618" i="32"/>
  <c r="C618" i="32" s="1"/>
  <c r="AM5" i="11"/>
  <c r="AM14" i="11" s="1"/>
  <c r="AQ99" i="14"/>
  <c r="AQ88" i="14" s="1"/>
  <c r="AL106" i="11"/>
  <c r="AL42" i="5" s="1"/>
  <c r="AM18" i="4"/>
  <c r="AM44" i="4"/>
  <c r="AM8" i="4" s="1"/>
  <c r="AL214" i="11"/>
  <c r="AN16" i="6"/>
  <c r="AN60" i="6" s="1"/>
  <c r="AN13" i="6"/>
  <c r="AL250" i="11"/>
  <c r="AL251" i="11" s="1"/>
  <c r="AL252" i="11" s="1"/>
  <c r="AM249" i="11" s="1"/>
  <c r="AL140" i="11"/>
  <c r="AM52" i="4"/>
  <c r="AM54" i="4"/>
  <c r="AL38" i="11"/>
  <c r="AL39" i="11" s="1"/>
  <c r="AM36" i="11" s="1"/>
  <c r="AL33" i="11"/>
  <c r="AL34" i="11" s="1"/>
  <c r="AM31" i="11" s="1"/>
  <c r="AM110" i="11" s="1"/>
  <c r="AN49" i="6" s="1"/>
  <c r="AL75" i="5"/>
  <c r="AM7" i="19"/>
  <c r="AN4" i="19"/>
  <c r="AO4" i="10"/>
  <c r="AM48" i="4"/>
  <c r="AM31" i="4"/>
  <c r="AM32" i="4" s="1"/>
  <c r="AM33" i="4" s="1"/>
  <c r="AR4" i="14"/>
  <c r="AM35" i="4"/>
  <c r="AK8" i="15"/>
  <c r="AM24" i="4"/>
  <c r="AM26" i="4" s="1"/>
  <c r="AM55" i="4"/>
  <c r="AM30" i="4"/>
  <c r="AM43" i="4"/>
  <c r="AM6" i="5"/>
  <c r="AM6" i="11" s="1"/>
  <c r="AM6" i="19"/>
  <c r="AM20" i="4"/>
  <c r="AO5" i="6"/>
  <c r="AN5" i="4"/>
  <c r="AO5" i="2" s="1"/>
  <c r="AO14" i="2" s="1"/>
  <c r="AN4" i="5"/>
  <c r="AN4" i="11" s="1"/>
  <c r="AN6" i="10"/>
  <c r="AN7" i="6"/>
  <c r="AM23" i="4"/>
  <c r="AQ6" i="14"/>
  <c r="AM36" i="4"/>
  <c r="AM13" i="5"/>
  <c r="AM231" i="11" s="1"/>
  <c r="AM16" i="4"/>
  <c r="AM21" i="4"/>
  <c r="AM50" i="4"/>
  <c r="AM28" i="6"/>
  <c r="AM37" i="4"/>
  <c r="AM38" i="4" s="1"/>
  <c r="AM39" i="4" s="1"/>
  <c r="AM42" i="4"/>
  <c r="AL111" i="11"/>
  <c r="AL112" i="11" s="1"/>
  <c r="AM109" i="11" s="1"/>
  <c r="AM29" i="4"/>
  <c r="AM41" i="4"/>
  <c r="AM22" i="4"/>
  <c r="AP11" i="14"/>
  <c r="AL9" i="19"/>
  <c r="AP9" i="14"/>
  <c r="AQ7" i="14"/>
  <c r="AM51" i="4"/>
  <c r="AN7" i="10"/>
  <c r="AM9" i="10"/>
  <c r="AM7" i="5"/>
  <c r="AM7" i="11" s="1"/>
  <c r="AL9" i="5"/>
  <c r="AK9" i="15" s="1"/>
  <c r="AM17" i="4"/>
  <c r="AN21" i="2" s="1"/>
  <c r="AL11" i="19"/>
  <c r="AM33" i="6"/>
  <c r="AM10" i="6"/>
  <c r="AN8" i="6"/>
  <c r="AL185" i="11"/>
  <c r="AL186" i="11" s="1"/>
  <c r="AL187" i="11" s="1"/>
  <c r="AM184" i="11" s="1"/>
  <c r="AL11" i="5"/>
  <c r="AL11" i="11" s="1"/>
  <c r="AM12" i="6"/>
  <c r="AM11" i="10"/>
  <c r="AL170" i="11"/>
  <c r="AM30" i="6"/>
  <c r="AL23" i="5"/>
  <c r="AL10" i="19"/>
  <c r="AM31" i="6"/>
  <c r="AP10" i="14"/>
  <c r="AL10" i="5"/>
  <c r="AL10" i="11" s="1"/>
  <c r="AM10" i="10"/>
  <c r="AM11" i="6"/>
  <c r="AM29" i="6"/>
  <c r="AK247" i="11"/>
  <c r="AL244" i="11" s="1"/>
  <c r="AL246" i="11" s="1"/>
  <c r="DJ6" i="26"/>
  <c r="AJ19" i="11"/>
  <c r="AI31" i="15" s="1"/>
  <c r="L652" i="32" s="1"/>
  <c r="BO4" i="26"/>
  <c r="BO5" i="26" s="1"/>
  <c r="BN8" i="26"/>
  <c r="AL29" i="11"/>
  <c r="AM26" i="11" s="1"/>
  <c r="AM105" i="11" s="1"/>
  <c r="AN48" i="6" s="1"/>
  <c r="AL76" i="5"/>
  <c r="AM5" i="17"/>
  <c r="AN10" i="16"/>
  <c r="AN54" i="16" s="1"/>
  <c r="AN80" i="16" s="1"/>
  <c r="AO5" i="16"/>
  <c r="BH6" i="18"/>
  <c r="BL7" i="16"/>
  <c r="BJ6" i="17"/>
  <c r="AA164" i="11"/>
  <c r="AA165" i="11"/>
  <c r="AL157" i="11"/>
  <c r="BL79" i="16" l="1"/>
  <c r="AL176" i="11"/>
  <c r="AL171" i="11"/>
  <c r="AL39" i="5"/>
  <c r="AL197" i="11"/>
  <c r="AM194" i="11" s="1"/>
  <c r="AN50" i="10"/>
  <c r="AN45" i="10"/>
  <c r="AM67" i="11"/>
  <c r="AM101" i="5" s="1"/>
  <c r="AM97" i="11"/>
  <c r="AM72" i="11"/>
  <c r="AM106" i="5" s="1"/>
  <c r="AM37" i="11"/>
  <c r="AM27" i="11"/>
  <c r="AN8" i="2"/>
  <c r="AN8" i="10"/>
  <c r="AQ8" i="14"/>
  <c r="AM245" i="11"/>
  <c r="AM235" i="11"/>
  <c r="AL68" i="11"/>
  <c r="AL102" i="5" s="1"/>
  <c r="AL27" i="19" s="1"/>
  <c r="AL107" i="11"/>
  <c r="AM104" i="11" s="1"/>
  <c r="AM32" i="11"/>
  <c r="AM8" i="5"/>
  <c r="AM8" i="19"/>
  <c r="AM17" i="11"/>
  <c r="AM69" i="5" s="1"/>
  <c r="AM87" i="11"/>
  <c r="AM88" i="11" s="1"/>
  <c r="AM57" i="11"/>
  <c r="AM90" i="5" s="1"/>
  <c r="AM61" i="19" s="1"/>
  <c r="AL9" i="11"/>
  <c r="AN6" i="4"/>
  <c r="AN23" i="10"/>
  <c r="AN21" i="6"/>
  <c r="AN19" i="10" s="1"/>
  <c r="AO6" i="6"/>
  <c r="AO13" i="6" s="1"/>
  <c r="AN14" i="4"/>
  <c r="AN23" i="4" s="1"/>
  <c r="AN9" i="6"/>
  <c r="AN5" i="19"/>
  <c r="AL6" i="15"/>
  <c r="AL82" i="5"/>
  <c r="AL80" i="5" s="1"/>
  <c r="AL79" i="5"/>
  <c r="AL77" i="5" s="1"/>
  <c r="AL74" i="5"/>
  <c r="AN7" i="4"/>
  <c r="AO7" i="2" s="1"/>
  <c r="AO4" i="4"/>
  <c r="AP4" i="2" s="1"/>
  <c r="AR5" i="14"/>
  <c r="AR15" i="14" s="1"/>
  <c r="AR104" i="14" s="1"/>
  <c r="AR88" i="14" s="1"/>
  <c r="AM4" i="15"/>
  <c r="AN49" i="10"/>
  <c r="AN53" i="10"/>
  <c r="AK11" i="15"/>
  <c r="AN44" i="10"/>
  <c r="AL43" i="5"/>
  <c r="AO5" i="10"/>
  <c r="AO14" i="10" s="1"/>
  <c r="AO36" i="10" s="1"/>
  <c r="AN5" i="5"/>
  <c r="AN48" i="10"/>
  <c r="AM45" i="4"/>
  <c r="AM9" i="4" s="1"/>
  <c r="AN9" i="2" s="1"/>
  <c r="AM46" i="4"/>
  <c r="AM10" i="4" s="1"/>
  <c r="AN10" i="2" s="1"/>
  <c r="AM25" i="4"/>
  <c r="AN47" i="10"/>
  <c r="AM47" i="4"/>
  <c r="AM11" i="4" s="1"/>
  <c r="AN11" i="2" s="1"/>
  <c r="AN28" i="10"/>
  <c r="AN33" i="6" s="1"/>
  <c r="AM27" i="4"/>
  <c r="AN46" i="10"/>
  <c r="AN27" i="10"/>
  <c r="AM170" i="11" s="1"/>
  <c r="AN30" i="10"/>
  <c r="AM185" i="11" s="1"/>
  <c r="AN24" i="2"/>
  <c r="AN22" i="10"/>
  <c r="AM23" i="5" s="1"/>
  <c r="AN25" i="2"/>
  <c r="AN31" i="10"/>
  <c r="AN36" i="6" s="1"/>
  <c r="AN23" i="2"/>
  <c r="AN52" i="10"/>
  <c r="AN26" i="10"/>
  <c r="AM166" i="11" s="1"/>
  <c r="AN30" i="2"/>
  <c r="AN25" i="10"/>
  <c r="AN30" i="6" s="1"/>
  <c r="AN24" i="10"/>
  <c r="AN29" i="6" s="1"/>
  <c r="AN25" i="6"/>
  <c r="AM35" i="5" s="1"/>
  <c r="AL7" i="15"/>
  <c r="AN41" i="6"/>
  <c r="AM195" i="11" s="1"/>
  <c r="AN22" i="2"/>
  <c r="AK10" i="15"/>
  <c r="AL247" i="11"/>
  <c r="AM244" i="11" s="1"/>
  <c r="DK6" i="26"/>
  <c r="AK16" i="11"/>
  <c r="AK18" i="11" s="1"/>
  <c r="AK70" i="5" s="1"/>
  <c r="AK68" i="5" s="1"/>
  <c r="BP4" i="26"/>
  <c r="BP5" i="26" s="1"/>
  <c r="BO8" i="26"/>
  <c r="AN81" i="16"/>
  <c r="BI6" i="18"/>
  <c r="AN4" i="17"/>
  <c r="AM4" i="18" s="1"/>
  <c r="AO6" i="16"/>
  <c r="BM7" i="16"/>
  <c r="BK6" i="17"/>
  <c r="AM8" i="17"/>
  <c r="AL5" i="18"/>
  <c r="AL8" i="18" s="1"/>
  <c r="AL31" i="5"/>
  <c r="AL192" i="11"/>
  <c r="AM189" i="11" s="1"/>
  <c r="AL32" i="5"/>
  <c r="AA167" i="11"/>
  <c r="Z19" i="15" s="1"/>
  <c r="I643" i="32" s="1"/>
  <c r="AA27" i="5"/>
  <c r="I594" i="32" s="1"/>
  <c r="AN13" i="19" l="1"/>
  <c r="BM79" i="16"/>
  <c r="AM5" i="15"/>
  <c r="AM13" i="15" s="1"/>
  <c r="AN138" i="5"/>
  <c r="AN137" i="5"/>
  <c r="AM196" i="11"/>
  <c r="AL29" i="5"/>
  <c r="AL177" i="11"/>
  <c r="AM174" i="11" s="1"/>
  <c r="AL172" i="11"/>
  <c r="AM169" i="11" s="1"/>
  <c r="AM171" i="11" s="1"/>
  <c r="AM172" i="11" s="1"/>
  <c r="AL28" i="5"/>
  <c r="AM106" i="11"/>
  <c r="AM81" i="5"/>
  <c r="AM38" i="11"/>
  <c r="AN28" i="6"/>
  <c r="AM24" i="5"/>
  <c r="AM111" i="11"/>
  <c r="AM140" i="11"/>
  <c r="AM145" i="11"/>
  <c r="AM157" i="11" s="1"/>
  <c r="AM214" i="11"/>
  <c r="AR6" i="14"/>
  <c r="AN6" i="19"/>
  <c r="AM28" i="11"/>
  <c r="AM75" i="5"/>
  <c r="AO6" i="2"/>
  <c r="AO6" i="10"/>
  <c r="AN6" i="5"/>
  <c r="AO7" i="6"/>
  <c r="AM33" i="11"/>
  <c r="AM78" i="5"/>
  <c r="AM8" i="11"/>
  <c r="AL8" i="15"/>
  <c r="AR7" i="14"/>
  <c r="AM11" i="5"/>
  <c r="AO16" i="6"/>
  <c r="AO60" i="6" s="1"/>
  <c r="AN17" i="4"/>
  <c r="AO24" i="2" s="1"/>
  <c r="AN48" i="4"/>
  <c r="AN22" i="4"/>
  <c r="AN44" i="4"/>
  <c r="AN8" i="4" s="1"/>
  <c r="AO8" i="2" s="1"/>
  <c r="AN12" i="6"/>
  <c r="AN18" i="4"/>
  <c r="AN51" i="4"/>
  <c r="AN54" i="4"/>
  <c r="AN43" i="4"/>
  <c r="AN20" i="4"/>
  <c r="AN35" i="4"/>
  <c r="AN7" i="19"/>
  <c r="AN41" i="4"/>
  <c r="AN36" i="4"/>
  <c r="AN29" i="4"/>
  <c r="AN53" i="4"/>
  <c r="AN31" i="4"/>
  <c r="AN32" i="4" s="1"/>
  <c r="AN33" i="4" s="1"/>
  <c r="AN42" i="4"/>
  <c r="AN52" i="4"/>
  <c r="AN55" i="4"/>
  <c r="AN37" i="4"/>
  <c r="AN38" i="4" s="1"/>
  <c r="AN39" i="4" s="1"/>
  <c r="AN24" i="4"/>
  <c r="AN21" i="4"/>
  <c r="AN30" i="4"/>
  <c r="AN50" i="4"/>
  <c r="AN16" i="4"/>
  <c r="AQ9" i="14"/>
  <c r="AM9" i="19"/>
  <c r="AO4" i="5"/>
  <c r="AN4" i="15" s="1"/>
  <c r="AP5" i="6"/>
  <c r="AO5" i="4"/>
  <c r="AP5" i="2" s="1"/>
  <c r="AP14" i="2" s="1"/>
  <c r="AP4" i="10"/>
  <c r="AO4" i="19"/>
  <c r="AO7" i="10"/>
  <c r="AS4" i="14"/>
  <c r="AO8" i="6"/>
  <c r="AN7" i="5"/>
  <c r="AN7" i="11" s="1"/>
  <c r="AN10" i="6"/>
  <c r="AM9" i="5"/>
  <c r="AM9" i="11" s="1"/>
  <c r="AM10" i="5"/>
  <c r="AL10" i="15" s="1"/>
  <c r="AN11" i="6"/>
  <c r="AM26" i="5"/>
  <c r="AN9" i="10"/>
  <c r="AM11" i="19"/>
  <c r="AN27" i="6"/>
  <c r="AQ11" i="14"/>
  <c r="AM190" i="11"/>
  <c r="AM191" i="11" s="1"/>
  <c r="AM32" i="5" s="1"/>
  <c r="AN35" i="6"/>
  <c r="AQ10" i="14"/>
  <c r="AN5" i="11"/>
  <c r="AN14" i="11" s="1"/>
  <c r="AN57" i="11" s="1"/>
  <c r="AN90" i="5" s="1"/>
  <c r="AN13" i="5"/>
  <c r="AN231" i="11" s="1"/>
  <c r="AM10" i="19"/>
  <c r="AN32" i="6"/>
  <c r="AM175" i="11"/>
  <c r="AN11" i="10"/>
  <c r="AN10" i="10"/>
  <c r="AN31" i="6"/>
  <c r="AM25" i="5"/>
  <c r="AM246" i="11"/>
  <c r="AM247" i="11" s="1"/>
  <c r="AN244" i="11" s="1"/>
  <c r="DL6" i="26"/>
  <c r="AM250" i="11"/>
  <c r="AM251" i="11" s="1"/>
  <c r="AM252" i="11" s="1"/>
  <c r="AN249" i="11" s="1"/>
  <c r="BQ4" i="26"/>
  <c r="BQ5" i="26" s="1"/>
  <c r="BP8" i="26"/>
  <c r="AK19" i="11"/>
  <c r="BL6" i="17"/>
  <c r="BN7" i="16"/>
  <c r="BJ6" i="18"/>
  <c r="AO10" i="16"/>
  <c r="AO54" i="16" s="1"/>
  <c r="AO80" i="16" s="1"/>
  <c r="AP5" i="16"/>
  <c r="AN5" i="17"/>
  <c r="AB164" i="11"/>
  <c r="AB165" i="11"/>
  <c r="AM186" i="11"/>
  <c r="AO44" i="10"/>
  <c r="AO45" i="10"/>
  <c r="AO47" i="10"/>
  <c r="AO48" i="10"/>
  <c r="AO49" i="10"/>
  <c r="AO52" i="10"/>
  <c r="AO50" i="10"/>
  <c r="AO53" i="10"/>
  <c r="AO46" i="10"/>
  <c r="BN79" i="16" l="1"/>
  <c r="AM176" i="11"/>
  <c r="AM197" i="11"/>
  <c r="AN194" i="11" s="1"/>
  <c r="AM39" i="5"/>
  <c r="AM82" i="5"/>
  <c r="AM80" i="5" s="1"/>
  <c r="AM39" i="11"/>
  <c r="AN36" i="11" s="1"/>
  <c r="AM107" i="11"/>
  <c r="AN104" i="11" s="1"/>
  <c r="AM42" i="5"/>
  <c r="AM112" i="11"/>
  <c r="AN109" i="11" s="1"/>
  <c r="AM43" i="5"/>
  <c r="AM29" i="11"/>
  <c r="AN26" i="11" s="1"/>
  <c r="AN105" i="11" s="1"/>
  <c r="AO48" i="6" s="1"/>
  <c r="AM76" i="5"/>
  <c r="AM74" i="5" s="1"/>
  <c r="AM6" i="15"/>
  <c r="AN6" i="11"/>
  <c r="AO27" i="10"/>
  <c r="AO23" i="10"/>
  <c r="AO30" i="10"/>
  <c r="AO24" i="10"/>
  <c r="AN27" i="4"/>
  <c r="AN47" i="4"/>
  <c r="AN11" i="4" s="1"/>
  <c r="AN25" i="4"/>
  <c r="AN26" i="4"/>
  <c r="AO21" i="6"/>
  <c r="AO19" i="10" s="1"/>
  <c r="AO22" i="10"/>
  <c r="AO31" i="10"/>
  <c r="AM34" i="11"/>
  <c r="AN31" i="11" s="1"/>
  <c r="AN110" i="11" s="1"/>
  <c r="AO49" i="6" s="1"/>
  <c r="AM79" i="5"/>
  <c r="AM77" i="5" s="1"/>
  <c r="AM11" i="11"/>
  <c r="AL11" i="15"/>
  <c r="AN245" i="11"/>
  <c r="AN235" i="11"/>
  <c r="AR8" i="14"/>
  <c r="AO8" i="10"/>
  <c r="AO26" i="10"/>
  <c r="AN8" i="19"/>
  <c r="AO25" i="6"/>
  <c r="AN35" i="5" s="1"/>
  <c r="AN8" i="5"/>
  <c r="AO25" i="10"/>
  <c r="AO41" i="6"/>
  <c r="AN195" i="11" s="1"/>
  <c r="AO23" i="2"/>
  <c r="AO9" i="6"/>
  <c r="AO25" i="2"/>
  <c r="AO21" i="2"/>
  <c r="AO30" i="2"/>
  <c r="AO22" i="2"/>
  <c r="AO28" i="10"/>
  <c r="AN175" i="11" s="1"/>
  <c r="AN45" i="4"/>
  <c r="AN9" i="4" s="1"/>
  <c r="AN46" i="4"/>
  <c r="AN10" i="4" s="1"/>
  <c r="AO5" i="5"/>
  <c r="AP6" i="6"/>
  <c r="AP13" i="6" s="1"/>
  <c r="AP4" i="4"/>
  <c r="AQ4" i="2" s="1"/>
  <c r="AO6" i="4"/>
  <c r="AP6" i="2" s="1"/>
  <c r="AO7" i="4"/>
  <c r="AP7" i="2" s="1"/>
  <c r="AO14" i="4"/>
  <c r="AP5" i="10"/>
  <c r="AP14" i="10" s="1"/>
  <c r="AP36" i="10" s="1"/>
  <c r="AO5" i="19"/>
  <c r="AO4" i="11"/>
  <c r="AM7" i="15"/>
  <c r="AS5" i="14"/>
  <c r="AS15" i="14" s="1"/>
  <c r="AS99" i="14" s="1"/>
  <c r="AM10" i="11"/>
  <c r="AN97" i="11"/>
  <c r="AN140" i="11" s="1"/>
  <c r="AN17" i="11"/>
  <c r="AN69" i="5" s="1"/>
  <c r="AL9" i="15"/>
  <c r="AN37" i="11"/>
  <c r="AN32" i="11"/>
  <c r="AN78" i="5" s="1"/>
  <c r="AN27" i="11"/>
  <c r="AN72" i="11"/>
  <c r="AN106" i="5" s="1"/>
  <c r="AN87" i="11"/>
  <c r="AN88" i="11" s="1"/>
  <c r="AN67" i="11"/>
  <c r="AN101" i="5" s="1"/>
  <c r="DM6" i="26"/>
  <c r="AM68" i="11"/>
  <c r="AM102" i="5" s="1"/>
  <c r="AM27" i="19" s="1"/>
  <c r="BR4" i="26"/>
  <c r="BR5" i="26" s="1"/>
  <c r="BQ8" i="26"/>
  <c r="AO81" i="16"/>
  <c r="AJ31" i="15"/>
  <c r="AL16" i="11"/>
  <c r="AN61" i="19"/>
  <c r="AN8" i="17"/>
  <c r="AM5" i="18"/>
  <c r="AM8" i="18" s="1"/>
  <c r="BK6" i="18"/>
  <c r="AO4" i="17"/>
  <c r="AN4" i="18" s="1"/>
  <c r="AP6" i="16"/>
  <c r="BM6" i="17"/>
  <c r="BO7" i="16"/>
  <c r="AM28" i="5"/>
  <c r="AM192" i="11"/>
  <c r="AN189" i="11" s="1"/>
  <c r="AN169" i="11"/>
  <c r="AM187" i="11"/>
  <c r="AN184" i="11" s="1"/>
  <c r="AM31" i="5"/>
  <c r="AB167" i="11"/>
  <c r="AA19" i="15" s="1"/>
  <c r="AB27" i="5"/>
  <c r="AO13" i="19" l="1"/>
  <c r="AO138" i="5"/>
  <c r="AO137" i="5"/>
  <c r="BO79" i="16"/>
  <c r="AN196" i="11"/>
  <c r="AN38" i="11"/>
  <c r="AM29" i="5"/>
  <c r="AM177" i="11"/>
  <c r="AN174" i="11" s="1"/>
  <c r="AN176" i="11" s="1"/>
  <c r="AN28" i="11"/>
  <c r="AN24" i="5"/>
  <c r="AO28" i="6"/>
  <c r="AN25" i="5"/>
  <c r="AO29" i="6"/>
  <c r="AR11" i="14"/>
  <c r="AN11" i="19"/>
  <c r="AO32" i="6"/>
  <c r="AN170" i="11"/>
  <c r="AN171" i="11" s="1"/>
  <c r="AN28" i="5" s="1"/>
  <c r="AO35" i="6"/>
  <c r="AN185" i="11"/>
  <c r="AN186" i="11" s="1"/>
  <c r="AN31" i="5" s="1"/>
  <c r="AO11" i="2"/>
  <c r="AN11" i="5"/>
  <c r="AO12" i="6"/>
  <c r="AO11" i="10"/>
  <c r="AN5" i="15"/>
  <c r="AN13" i="15" s="1"/>
  <c r="AO5" i="11"/>
  <c r="AO14" i="11" s="1"/>
  <c r="AO13" i="5"/>
  <c r="AO231" i="11" s="1"/>
  <c r="AO27" i="6"/>
  <c r="AN23" i="5"/>
  <c r="AO36" i="6"/>
  <c r="AN190" i="11"/>
  <c r="AN191" i="11" s="1"/>
  <c r="AN192" i="11" s="1"/>
  <c r="AO189" i="11" s="1"/>
  <c r="AO24" i="4"/>
  <c r="AO30" i="4"/>
  <c r="AN111" i="11"/>
  <c r="AO31" i="6"/>
  <c r="AN166" i="11"/>
  <c r="AC165" i="11" s="1"/>
  <c r="AN8" i="11"/>
  <c r="AM8" i="15"/>
  <c r="AO30" i="6"/>
  <c r="AN26" i="5"/>
  <c r="AO9" i="2"/>
  <c r="AO10" i="6"/>
  <c r="AO10" i="2"/>
  <c r="AO11" i="6"/>
  <c r="AO10" i="10"/>
  <c r="AR10" i="14"/>
  <c r="AN10" i="19"/>
  <c r="AN10" i="5"/>
  <c r="AQ5" i="6"/>
  <c r="AO7" i="5"/>
  <c r="AO33" i="6"/>
  <c r="AP5" i="4"/>
  <c r="AO9" i="10"/>
  <c r="AP4" i="5"/>
  <c r="AN9" i="19"/>
  <c r="AN9" i="5"/>
  <c r="AQ4" i="10"/>
  <c r="AR9" i="14"/>
  <c r="AN33" i="11"/>
  <c r="AO55" i="4"/>
  <c r="AO50" i="4"/>
  <c r="AP7" i="10"/>
  <c r="AO44" i="4"/>
  <c r="AO8" i="4" s="1"/>
  <c r="AS6" i="14"/>
  <c r="AO31" i="4"/>
  <c r="AO32" i="4" s="1"/>
  <c r="AO33" i="4" s="1"/>
  <c r="AO6" i="19"/>
  <c r="AP6" i="10"/>
  <c r="AP4" i="19"/>
  <c r="AP8" i="6"/>
  <c r="AO35" i="4"/>
  <c r="AO6" i="5"/>
  <c r="AN6" i="15" s="1"/>
  <c r="AT4" i="14"/>
  <c r="AS104" i="14"/>
  <c r="AS88" i="14" s="1"/>
  <c r="AO48" i="4"/>
  <c r="AP7" i="6"/>
  <c r="AO37" i="4"/>
  <c r="AO38" i="4" s="1"/>
  <c r="AO39" i="4" s="1"/>
  <c r="AO7" i="19"/>
  <c r="AO16" i="4"/>
  <c r="AO42" i="4"/>
  <c r="AO29" i="4"/>
  <c r="AO41" i="4"/>
  <c r="AS7" i="14"/>
  <c r="AO36" i="4"/>
  <c r="AO21" i="4"/>
  <c r="AO53" i="4"/>
  <c r="AO22" i="4"/>
  <c r="AP28" i="10" s="1"/>
  <c r="AO20" i="4"/>
  <c r="AO43" i="4"/>
  <c r="AO54" i="4"/>
  <c r="AO17" i="4"/>
  <c r="AO23" i="4"/>
  <c r="AP46" i="10" s="1"/>
  <c r="AO51" i="4"/>
  <c r="AO52" i="4"/>
  <c r="AO18" i="4"/>
  <c r="AP16" i="6"/>
  <c r="AP60" i="6" s="1"/>
  <c r="AN81" i="5"/>
  <c r="AN75" i="5"/>
  <c r="AN214" i="11"/>
  <c r="AN145" i="11"/>
  <c r="AN157" i="11" s="1"/>
  <c r="AN106" i="11"/>
  <c r="AN107" i="11" s="1"/>
  <c r="AO104" i="11" s="1"/>
  <c r="AN250" i="11"/>
  <c r="AN251" i="11" s="1"/>
  <c r="AN252" i="11" s="1"/>
  <c r="AO249" i="11" s="1"/>
  <c r="DN6" i="26"/>
  <c r="BS4" i="26"/>
  <c r="BS5" i="26" s="1"/>
  <c r="BR8" i="26"/>
  <c r="AL18" i="11"/>
  <c r="AL70" i="5" s="1"/>
  <c r="AL68" i="5" s="1"/>
  <c r="AO5" i="17"/>
  <c r="AP10" i="16"/>
  <c r="AP54" i="16" s="1"/>
  <c r="AP80" i="16" s="1"/>
  <c r="AQ5" i="16"/>
  <c r="BL6" i="18"/>
  <c r="BP7" i="16"/>
  <c r="BN6" i="17"/>
  <c r="AC164" i="11"/>
  <c r="BP79" i="16" l="1"/>
  <c r="AN10" i="11"/>
  <c r="AM10" i="15"/>
  <c r="AN39" i="5"/>
  <c r="AN197" i="11"/>
  <c r="AO194" i="11" s="1"/>
  <c r="AN82" i="5"/>
  <c r="AN80" i="5" s="1"/>
  <c r="AN39" i="11"/>
  <c r="AO36" i="11" s="1"/>
  <c r="AO46" i="4"/>
  <c r="AO10" i="4" s="1"/>
  <c r="AO45" i="4"/>
  <c r="AO9" i="4" s="1"/>
  <c r="AO25" i="4"/>
  <c r="AO27" i="4"/>
  <c r="AO26" i="4"/>
  <c r="AO47" i="4"/>
  <c r="AO11" i="4" s="1"/>
  <c r="AN76" i="5"/>
  <c r="AN74" i="5" s="1"/>
  <c r="AN29" i="11"/>
  <c r="AO26" i="11" s="1"/>
  <c r="AO72" i="11"/>
  <c r="AO106" i="5" s="1"/>
  <c r="AO67" i="11"/>
  <c r="AO101" i="5" s="1"/>
  <c r="AN11" i="11"/>
  <c r="AM11" i="15"/>
  <c r="AO32" i="11"/>
  <c r="AO78" i="5" s="1"/>
  <c r="AO37" i="11"/>
  <c r="AO27" i="11"/>
  <c r="AO75" i="5" s="1"/>
  <c r="AO87" i="11"/>
  <c r="AO88" i="11" s="1"/>
  <c r="AO57" i="11"/>
  <c r="AO90" i="5" s="1"/>
  <c r="AO61" i="19" s="1"/>
  <c r="AO97" i="11"/>
  <c r="AO17" i="11"/>
  <c r="AO69" i="5" s="1"/>
  <c r="AO245" i="11"/>
  <c r="AO235" i="11"/>
  <c r="AN7" i="15"/>
  <c r="AO7" i="11"/>
  <c r="AT5" i="14"/>
  <c r="AT15" i="14" s="1"/>
  <c r="AP5" i="19"/>
  <c r="AP4" i="11"/>
  <c r="AO4" i="15"/>
  <c r="AN9" i="11"/>
  <c r="AM9" i="15"/>
  <c r="AN79" i="5"/>
  <c r="AN77" i="5" s="1"/>
  <c r="AN34" i="11"/>
  <c r="AO31" i="11" s="1"/>
  <c r="AO8" i="19"/>
  <c r="AS8" i="14"/>
  <c r="AN112" i="11"/>
  <c r="AO109" i="11" s="1"/>
  <c r="AN43" i="5"/>
  <c r="AP21" i="2"/>
  <c r="AP25" i="2"/>
  <c r="AP23" i="2"/>
  <c r="AQ5" i="2"/>
  <c r="AQ14" i="2" s="1"/>
  <c r="AQ4" i="4"/>
  <c r="AP6" i="4"/>
  <c r="AP7" i="4"/>
  <c r="AQ6" i="6"/>
  <c r="AP5" i="5"/>
  <c r="AP5" i="11" s="1"/>
  <c r="AP14" i="11" s="1"/>
  <c r="AQ5" i="10"/>
  <c r="AQ14" i="10" s="1"/>
  <c r="AQ36" i="10" s="1"/>
  <c r="AP8" i="2"/>
  <c r="AP9" i="6"/>
  <c r="AO8" i="5"/>
  <c r="AP8" i="10"/>
  <c r="AP14" i="4"/>
  <c r="AO6" i="11"/>
  <c r="AP26" i="10"/>
  <c r="AP31" i="6" s="1"/>
  <c r="AP30" i="10"/>
  <c r="AP35" i="6" s="1"/>
  <c r="AP31" i="10"/>
  <c r="AP25" i="10"/>
  <c r="AP30" i="6" s="1"/>
  <c r="AP22" i="10"/>
  <c r="AP27" i="6" s="1"/>
  <c r="AP27" i="10"/>
  <c r="AP32" i="6" s="1"/>
  <c r="AP25" i="6"/>
  <c r="AO35" i="5" s="1"/>
  <c r="AP41" i="6"/>
  <c r="AO195" i="11" s="1"/>
  <c r="AP24" i="10"/>
  <c r="AP29" i="6" s="1"/>
  <c r="AP21" i="6"/>
  <c r="AP19" i="10" s="1"/>
  <c r="AP23" i="10"/>
  <c r="AO24" i="5" s="1"/>
  <c r="AP53" i="10"/>
  <c r="AP50" i="10"/>
  <c r="AP45" i="10"/>
  <c r="AP24" i="2"/>
  <c r="AP52" i="10"/>
  <c r="AP49" i="10"/>
  <c r="AP22" i="2"/>
  <c r="AP48" i="10"/>
  <c r="AP30" i="2"/>
  <c r="AP44" i="10"/>
  <c r="AP47" i="10"/>
  <c r="AN246" i="11"/>
  <c r="AN68" i="11" s="1"/>
  <c r="AN102" i="5" s="1"/>
  <c r="AN27" i="19" s="1"/>
  <c r="AN42" i="5"/>
  <c r="DO6" i="26"/>
  <c r="AL19" i="11"/>
  <c r="AK31" i="15" s="1"/>
  <c r="BT4" i="26"/>
  <c r="BT5" i="26" s="1"/>
  <c r="BS8" i="26"/>
  <c r="AP81" i="16"/>
  <c r="AN172" i="11"/>
  <c r="AN187" i="11"/>
  <c r="AO184" i="11" s="1"/>
  <c r="AN32" i="5"/>
  <c r="BM6" i="18"/>
  <c r="AQ6" i="16"/>
  <c r="AP4" i="17"/>
  <c r="AO4" i="18" s="1"/>
  <c r="BO6" i="17"/>
  <c r="BQ7" i="16"/>
  <c r="AN5" i="18"/>
  <c r="AN8" i="18" s="1"/>
  <c r="AO8" i="17"/>
  <c r="AN177" i="11"/>
  <c r="AO174" i="11" s="1"/>
  <c r="AN29" i="5"/>
  <c r="AC167" i="11"/>
  <c r="AB19" i="15" s="1"/>
  <c r="AC27" i="5"/>
  <c r="AP33" i="6"/>
  <c r="AO175" i="11"/>
  <c r="AP13" i="19" l="1"/>
  <c r="BQ79" i="16"/>
  <c r="AO196" i="11"/>
  <c r="AO39" i="5" s="1"/>
  <c r="AP10" i="2"/>
  <c r="AS10" i="14"/>
  <c r="AO10" i="19"/>
  <c r="AP11" i="6"/>
  <c r="AO10" i="5"/>
  <c r="AP10" i="10"/>
  <c r="AP9" i="2"/>
  <c r="AS9" i="14"/>
  <c r="AO9" i="19"/>
  <c r="AP10" i="6"/>
  <c r="AO9" i="5"/>
  <c r="AP9" i="10"/>
  <c r="AP11" i="2"/>
  <c r="AS11" i="14"/>
  <c r="AO11" i="19"/>
  <c r="AP11" i="10"/>
  <c r="AO11" i="5"/>
  <c r="AP12" i="6"/>
  <c r="AO105" i="11"/>
  <c r="AO28" i="11"/>
  <c r="AO81" i="5"/>
  <c r="AO38" i="11"/>
  <c r="AO110" i="11"/>
  <c r="AO33" i="11"/>
  <c r="AO140" i="11"/>
  <c r="AO145" i="11"/>
  <c r="AO157" i="11" s="1"/>
  <c r="AO214" i="11"/>
  <c r="AT99" i="14"/>
  <c r="AT104" i="14"/>
  <c r="AU4" i="14"/>
  <c r="AQ4" i="19"/>
  <c r="AQ5" i="4"/>
  <c r="AR5" i="6"/>
  <c r="AQ4" i="5"/>
  <c r="AP6" i="5"/>
  <c r="AQ6" i="10"/>
  <c r="AQ7" i="6"/>
  <c r="AQ8" i="6"/>
  <c r="AQ7" i="10"/>
  <c r="AP7" i="5"/>
  <c r="AQ13" i="6"/>
  <c r="AQ16" i="6"/>
  <c r="AO5" i="15"/>
  <c r="AO13" i="15" s="1"/>
  <c r="AP13" i="5"/>
  <c r="AP231" i="11" s="1"/>
  <c r="AO8" i="11"/>
  <c r="AN8" i="15"/>
  <c r="AP53" i="4"/>
  <c r="AP55" i="4"/>
  <c r="AP52" i="4"/>
  <c r="AP54" i="4"/>
  <c r="AR4" i="2"/>
  <c r="AR4" i="10"/>
  <c r="AQ6" i="2"/>
  <c r="AT6" i="14"/>
  <c r="AP6" i="19"/>
  <c r="AQ7" i="2"/>
  <c r="AT7" i="14"/>
  <c r="AP7" i="19"/>
  <c r="AP44" i="4"/>
  <c r="AP8" i="4" s="1"/>
  <c r="AP42" i="4"/>
  <c r="AP36" i="4"/>
  <c r="AP35" i="4"/>
  <c r="AP29" i="4"/>
  <c r="AP18" i="4"/>
  <c r="AP51" i="4"/>
  <c r="AP37" i="4"/>
  <c r="AP38" i="4" s="1"/>
  <c r="AP39" i="4" s="1"/>
  <c r="AP50" i="4"/>
  <c r="AP30" i="4"/>
  <c r="AP22" i="4"/>
  <c r="AP20" i="4"/>
  <c r="AP17" i="4"/>
  <c r="AP21" i="4"/>
  <c r="AP43" i="4"/>
  <c r="AP16" i="4"/>
  <c r="AP41" i="4"/>
  <c r="AP31" i="4"/>
  <c r="AP32" i="4" s="1"/>
  <c r="AP33" i="4" s="1"/>
  <c r="AP48" i="4"/>
  <c r="AP23" i="4"/>
  <c r="AP24" i="4"/>
  <c r="AP36" i="6"/>
  <c r="AO190" i="11"/>
  <c r="AO23" i="5"/>
  <c r="AO170" i="11"/>
  <c r="AO166" i="11"/>
  <c r="AD165" i="11" s="1"/>
  <c r="AO185" i="11"/>
  <c r="AO186" i="11" s="1"/>
  <c r="AO26" i="5"/>
  <c r="AP28" i="6"/>
  <c r="AO197" i="11"/>
  <c r="AP194" i="11" s="1"/>
  <c r="AO25" i="5"/>
  <c r="AN247" i="11"/>
  <c r="AO244" i="11" s="1"/>
  <c r="AO246" i="11" s="1"/>
  <c r="DP6" i="26"/>
  <c r="AO250" i="11"/>
  <c r="AO251" i="11" s="1"/>
  <c r="AO252" i="11" s="1"/>
  <c r="AP249" i="11" s="1"/>
  <c r="AM16" i="11"/>
  <c r="AM18" i="11" s="1"/>
  <c r="AM70" i="5" s="1"/>
  <c r="AM68" i="5" s="1"/>
  <c r="AP72" i="11"/>
  <c r="AP106" i="5" s="1"/>
  <c r="AP67" i="11"/>
  <c r="AP101" i="5" s="1"/>
  <c r="BU4" i="26"/>
  <c r="BU5" i="26" s="1"/>
  <c r="BT8" i="26"/>
  <c r="AP32" i="11"/>
  <c r="AP37" i="11"/>
  <c r="AP27" i="11"/>
  <c r="AO169" i="11"/>
  <c r="AP57" i="11"/>
  <c r="AP90" i="5" s="1"/>
  <c r="AP87" i="11"/>
  <c r="AP88" i="11" s="1"/>
  <c r="BP6" i="17"/>
  <c r="BR7" i="16"/>
  <c r="AQ10" i="16"/>
  <c r="AQ54" i="16" s="1"/>
  <c r="AQ80" i="16" s="1"/>
  <c r="AP5" i="17"/>
  <c r="AR5" i="16"/>
  <c r="BN6" i="18"/>
  <c r="AD164" i="11"/>
  <c r="AO176" i="11"/>
  <c r="AO177" i="11" s="1"/>
  <c r="AP174" i="11" s="1"/>
  <c r="AP17" i="11"/>
  <c r="AP97" i="11"/>
  <c r="BR79" i="16" l="1"/>
  <c r="AP48" i="6"/>
  <c r="AO106" i="11"/>
  <c r="AP49" i="6"/>
  <c r="AO111" i="11"/>
  <c r="AO10" i="11"/>
  <c r="AN10" i="15"/>
  <c r="AO9" i="11"/>
  <c r="AN9" i="15"/>
  <c r="AO11" i="11"/>
  <c r="AN11" i="15"/>
  <c r="AT88" i="14"/>
  <c r="AQ22" i="10"/>
  <c r="AQ30" i="10"/>
  <c r="AQ26" i="10"/>
  <c r="AQ23" i="10"/>
  <c r="AQ25" i="10"/>
  <c r="AQ27" i="10"/>
  <c r="AQ28" i="10"/>
  <c r="AQ45" i="10"/>
  <c r="AQ44" i="10"/>
  <c r="AQ52" i="10"/>
  <c r="AQ49" i="10"/>
  <c r="AQ47" i="10"/>
  <c r="AQ50" i="10"/>
  <c r="AQ48" i="10"/>
  <c r="AP25" i="4"/>
  <c r="AP47" i="4"/>
  <c r="AP11" i="4" s="1"/>
  <c r="AP45" i="4"/>
  <c r="AP9" i="4" s="1"/>
  <c r="AP26" i="4"/>
  <c r="AP46" i="4"/>
  <c r="AP10" i="4" s="1"/>
  <c r="AP27" i="4"/>
  <c r="AO29" i="11"/>
  <c r="AP26" i="11" s="1"/>
  <c r="AO76" i="5"/>
  <c r="AO74" i="5" s="1"/>
  <c r="AO39" i="11"/>
  <c r="AP36" i="11" s="1"/>
  <c r="AO82" i="5"/>
  <c r="AO80" i="5" s="1"/>
  <c r="AO34" i="11"/>
  <c r="AP31" i="11" s="1"/>
  <c r="AO79" i="5"/>
  <c r="AO77" i="5" s="1"/>
  <c r="AQ14" i="4"/>
  <c r="AQ6" i="4"/>
  <c r="AQ7" i="4"/>
  <c r="AR6" i="6"/>
  <c r="AR5" i="10"/>
  <c r="AR14" i="10" s="1"/>
  <c r="AR36" i="10" s="1"/>
  <c r="AR4" i="4"/>
  <c r="AQ5" i="5"/>
  <c r="AQ4" i="11"/>
  <c r="AP4" i="15"/>
  <c r="AP6" i="11"/>
  <c r="AO6" i="15"/>
  <c r="AP7" i="11"/>
  <c r="AO7" i="15"/>
  <c r="AP245" i="11"/>
  <c r="AP235" i="11"/>
  <c r="AR5" i="2"/>
  <c r="AR14" i="2" s="1"/>
  <c r="AU5" i="14"/>
  <c r="AU15" i="14" s="1"/>
  <c r="AU99" i="14" s="1"/>
  <c r="AU88" i="14" s="1"/>
  <c r="AQ5" i="19"/>
  <c r="AQ60" i="6"/>
  <c r="AQ25" i="6"/>
  <c r="AP35" i="5" s="1"/>
  <c r="AQ41" i="6"/>
  <c r="AP195" i="11" s="1"/>
  <c r="AP196" i="11" s="1"/>
  <c r="AP39" i="5" s="1"/>
  <c r="AQ53" i="10"/>
  <c r="AQ46" i="10"/>
  <c r="AO171" i="11"/>
  <c r="AQ8" i="2"/>
  <c r="AQ8" i="10"/>
  <c r="AT8" i="14"/>
  <c r="AP8" i="19"/>
  <c r="AP8" i="5"/>
  <c r="AQ9" i="6"/>
  <c r="AQ24" i="10"/>
  <c r="AQ21" i="6"/>
  <c r="AQ19" i="10" s="1"/>
  <c r="AQ31" i="10"/>
  <c r="AQ23" i="2"/>
  <c r="AQ24" i="2"/>
  <c r="AQ22" i="2"/>
  <c r="AQ21" i="2"/>
  <c r="AQ30" i="2"/>
  <c r="AQ25" i="2"/>
  <c r="AO191" i="11"/>
  <c r="DQ6" i="26"/>
  <c r="AO247" i="11"/>
  <c r="AP244" i="11" s="1"/>
  <c r="AO68" i="11"/>
  <c r="AO102" i="5" s="1"/>
  <c r="AO27" i="19" s="1"/>
  <c r="BV4" i="26"/>
  <c r="BV5" i="26" s="1"/>
  <c r="BU8" i="26"/>
  <c r="AQ81" i="16"/>
  <c r="AM19" i="11"/>
  <c r="AP75" i="5"/>
  <c r="AP78" i="5"/>
  <c r="AP81" i="5"/>
  <c r="AP140" i="11"/>
  <c r="AP61" i="19"/>
  <c r="AP8" i="17"/>
  <c r="AO5" i="18"/>
  <c r="AO8" i="18" s="1"/>
  <c r="BO6" i="18"/>
  <c r="BQ6" i="17"/>
  <c r="BS7" i="16"/>
  <c r="AQ4" i="17"/>
  <c r="AP4" i="18" s="1"/>
  <c r="AR6" i="16"/>
  <c r="AO29" i="5"/>
  <c r="AP69" i="5"/>
  <c r="AO187" i="11"/>
  <c r="AP184" i="11" s="1"/>
  <c r="AO31" i="5"/>
  <c r="AD167" i="11"/>
  <c r="AC19" i="15" s="1"/>
  <c r="J643" i="32" s="1"/>
  <c r="AD27" i="5"/>
  <c r="J594" i="32" s="1"/>
  <c r="AP145" i="11"/>
  <c r="AP214" i="11"/>
  <c r="AQ13" i="19" l="1"/>
  <c r="BS79" i="16"/>
  <c r="AQ137" i="5"/>
  <c r="AQ138" i="5"/>
  <c r="AO42" i="5"/>
  <c r="AO107" i="11"/>
  <c r="AP104" i="11" s="1"/>
  <c r="AO112" i="11"/>
  <c r="AP109" i="11" s="1"/>
  <c r="AO43" i="5"/>
  <c r="AQ27" i="6"/>
  <c r="AP23" i="5"/>
  <c r="AQ35" i="6"/>
  <c r="AP185" i="11"/>
  <c r="AP186" i="11" s="1"/>
  <c r="AQ31" i="6"/>
  <c r="AP166" i="11"/>
  <c r="AE165" i="11" s="1"/>
  <c r="AP24" i="5"/>
  <c r="AQ28" i="6"/>
  <c r="AQ30" i="6"/>
  <c r="AP26" i="5"/>
  <c r="AQ32" i="6"/>
  <c r="AP170" i="11"/>
  <c r="AQ33" i="6"/>
  <c r="AP175" i="11"/>
  <c r="AQ11" i="2"/>
  <c r="AP11" i="19"/>
  <c r="AP11" i="5"/>
  <c r="AQ12" i="6"/>
  <c r="AQ11" i="10"/>
  <c r="AT11" i="14"/>
  <c r="AQ9" i="2"/>
  <c r="AT9" i="14"/>
  <c r="AP9" i="19"/>
  <c r="AQ9" i="10"/>
  <c r="AQ10" i="6"/>
  <c r="AP9" i="5"/>
  <c r="AQ10" i="2"/>
  <c r="AP10" i="19"/>
  <c r="AP10" i="5"/>
  <c r="AQ10" i="10"/>
  <c r="AT10" i="14"/>
  <c r="AQ11" i="6"/>
  <c r="AP38" i="11"/>
  <c r="AP105" i="11"/>
  <c r="AP28" i="11"/>
  <c r="AP110" i="11"/>
  <c r="AP33" i="11"/>
  <c r="AP197" i="11"/>
  <c r="AQ194" i="11" s="1"/>
  <c r="AQ29" i="4"/>
  <c r="AQ17" i="4"/>
  <c r="AR30" i="2" s="1"/>
  <c r="AQ31" i="4"/>
  <c r="AQ32" i="4" s="1"/>
  <c r="AQ33" i="4" s="1"/>
  <c r="AQ20" i="4"/>
  <c r="AQ22" i="4"/>
  <c r="AQ21" i="4"/>
  <c r="AQ51" i="4"/>
  <c r="AQ23" i="4"/>
  <c r="AQ52" i="4"/>
  <c r="AQ41" i="4"/>
  <c r="AQ30" i="4"/>
  <c r="AQ48" i="4"/>
  <c r="AQ24" i="4"/>
  <c r="AQ35" i="4"/>
  <c r="AQ37" i="4"/>
  <c r="AQ38" i="4" s="1"/>
  <c r="AQ39" i="4" s="1"/>
  <c r="AQ54" i="4"/>
  <c r="AQ53" i="4"/>
  <c r="AQ55" i="4"/>
  <c r="AQ44" i="4"/>
  <c r="AQ8" i="4" s="1"/>
  <c r="AQ42" i="4"/>
  <c r="AQ43" i="4"/>
  <c r="AQ36" i="4"/>
  <c r="AQ50" i="4"/>
  <c r="AQ16" i="4"/>
  <c r="AQ18" i="4"/>
  <c r="AR6" i="2"/>
  <c r="AQ6" i="5"/>
  <c r="AQ6" i="19"/>
  <c r="AU6" i="14"/>
  <c r="AR7" i="6"/>
  <c r="AR6" i="10"/>
  <c r="AR7" i="2"/>
  <c r="AQ7" i="19"/>
  <c r="AQ7" i="5"/>
  <c r="AR8" i="6"/>
  <c r="AR7" i="10"/>
  <c r="AU7" i="14"/>
  <c r="AR13" i="6"/>
  <c r="AR16" i="6"/>
  <c r="AS4" i="2"/>
  <c r="AR4" i="19"/>
  <c r="AV4" i="14"/>
  <c r="AR4" i="5"/>
  <c r="AS5" i="6"/>
  <c r="AR5" i="4"/>
  <c r="AS4" i="10"/>
  <c r="AP5" i="15"/>
  <c r="AP13" i="15" s="1"/>
  <c r="AQ5" i="11"/>
  <c r="AQ14" i="11" s="1"/>
  <c r="AQ13" i="5"/>
  <c r="AQ231" i="11" s="1"/>
  <c r="AO172" i="11"/>
  <c r="AP169" i="11" s="1"/>
  <c r="AO28" i="5"/>
  <c r="AP8" i="11"/>
  <c r="AO8" i="15"/>
  <c r="AQ36" i="6"/>
  <c r="AP190" i="11"/>
  <c r="AO32" i="5"/>
  <c r="AO192" i="11"/>
  <c r="AP189" i="11" s="1"/>
  <c r="AP25" i="5"/>
  <c r="AQ29" i="6"/>
  <c r="DR6" i="26"/>
  <c r="AP246" i="11"/>
  <c r="AP247" i="11" s="1"/>
  <c r="AQ244" i="11" s="1"/>
  <c r="AP250" i="11"/>
  <c r="AP251" i="11" s="1"/>
  <c r="AP252" i="11" s="1"/>
  <c r="AQ249" i="11" s="1"/>
  <c r="BW4" i="26"/>
  <c r="BW5" i="26" s="1"/>
  <c r="BV8" i="26"/>
  <c r="AL31" i="15"/>
  <c r="AN16" i="11"/>
  <c r="BP6" i="18"/>
  <c r="BT7" i="16"/>
  <c r="BR6" i="17"/>
  <c r="AS5" i="16"/>
  <c r="AQ5" i="17"/>
  <c r="AR10" i="16"/>
  <c r="AR54" i="16" s="1"/>
  <c r="AR80" i="16" s="1"/>
  <c r="AE164" i="11"/>
  <c r="AP157" i="11"/>
  <c r="BT79" i="16" l="1"/>
  <c r="AP11" i="11"/>
  <c r="AO11" i="15"/>
  <c r="AP29" i="11"/>
  <c r="AQ26" i="11" s="1"/>
  <c r="AQ105" i="11" s="1"/>
  <c r="AR48" i="6" s="1"/>
  <c r="AP76" i="5"/>
  <c r="AP74" i="5" s="1"/>
  <c r="AP34" i="11"/>
  <c r="AQ31" i="11" s="1"/>
  <c r="AQ110" i="11" s="1"/>
  <c r="AR49" i="6" s="1"/>
  <c r="AP79" i="5"/>
  <c r="AP77" i="5" s="1"/>
  <c r="AR23" i="10"/>
  <c r="AR31" i="10"/>
  <c r="AR44" i="10"/>
  <c r="AR45" i="10"/>
  <c r="AR25" i="2"/>
  <c r="AR22" i="2"/>
  <c r="AR21" i="2"/>
  <c r="AR23" i="2"/>
  <c r="AR24" i="2"/>
  <c r="AR26" i="10"/>
  <c r="AR24" i="10"/>
  <c r="AR49" i="10"/>
  <c r="AR47" i="10"/>
  <c r="AR46" i="10"/>
  <c r="AR50" i="10"/>
  <c r="AR53" i="10"/>
  <c r="AP171" i="11"/>
  <c r="AP176" i="11"/>
  <c r="AO9" i="15"/>
  <c r="AP9" i="11"/>
  <c r="AO10" i="15"/>
  <c r="AP10" i="11"/>
  <c r="AQ48" i="6"/>
  <c r="AP106" i="11"/>
  <c r="AQ49" i="6"/>
  <c r="AP111" i="11"/>
  <c r="AP82" i="5"/>
  <c r="AP80" i="5" s="1"/>
  <c r="AP39" i="11"/>
  <c r="AQ36" i="11" s="1"/>
  <c r="AR30" i="10"/>
  <c r="AR21" i="6"/>
  <c r="AR19" i="10" s="1"/>
  <c r="AR27" i="10"/>
  <c r="AR25" i="10"/>
  <c r="AR22" i="10"/>
  <c r="AR28" i="10"/>
  <c r="AQ72" i="11"/>
  <c r="AQ106" i="5" s="1"/>
  <c r="AQ67" i="11"/>
  <c r="AQ101" i="5" s="1"/>
  <c r="AQ245" i="11"/>
  <c r="AQ246" i="11" s="1"/>
  <c r="AQ235" i="11"/>
  <c r="AR48" i="10"/>
  <c r="AR52" i="10"/>
  <c r="AQ47" i="4"/>
  <c r="AQ11" i="4" s="1"/>
  <c r="AQ27" i="4"/>
  <c r="AQ25" i="4"/>
  <c r="AQ26" i="4"/>
  <c r="AQ46" i="4"/>
  <c r="AQ10" i="4" s="1"/>
  <c r="AQ45" i="4"/>
  <c r="AQ9" i="4" s="1"/>
  <c r="AR8" i="2"/>
  <c r="AQ8" i="5"/>
  <c r="AR9" i="6"/>
  <c r="AU8" i="14"/>
  <c r="AQ8" i="19"/>
  <c r="AR8" i="10"/>
  <c r="AQ6" i="11"/>
  <c r="AP6" i="15"/>
  <c r="AQ7" i="11"/>
  <c r="AP7" i="15"/>
  <c r="AR60" i="6"/>
  <c r="AR25" i="6"/>
  <c r="AQ35" i="5" s="1"/>
  <c r="AR41" i="6"/>
  <c r="AQ195" i="11" s="1"/>
  <c r="AR4" i="11"/>
  <c r="AQ4" i="15"/>
  <c r="AS5" i="2"/>
  <c r="AS14" i="2" s="1"/>
  <c r="AR5" i="19"/>
  <c r="AR14" i="4"/>
  <c r="AR5" i="5"/>
  <c r="AR6" i="4"/>
  <c r="AV5" i="14"/>
  <c r="AV15" i="14" s="1"/>
  <c r="AS4" i="4"/>
  <c r="AR7" i="4"/>
  <c r="AS6" i="6"/>
  <c r="AS5" i="10"/>
  <c r="AS14" i="10" s="1"/>
  <c r="AS36" i="10" s="1"/>
  <c r="AQ87" i="11"/>
  <c r="AQ88" i="11" s="1"/>
  <c r="AQ57" i="11"/>
  <c r="AQ90" i="5" s="1"/>
  <c r="AQ61" i="19" s="1"/>
  <c r="AQ27" i="11"/>
  <c r="AQ17" i="11"/>
  <c r="AQ69" i="5" s="1"/>
  <c r="AQ37" i="11"/>
  <c r="AQ81" i="5" s="1"/>
  <c r="AQ97" i="11"/>
  <c r="AQ32" i="11"/>
  <c r="AP191" i="11"/>
  <c r="DS6" i="26"/>
  <c r="AP68" i="11"/>
  <c r="AP102" i="5" s="1"/>
  <c r="AP27" i="19" s="1"/>
  <c r="BX4" i="26"/>
  <c r="BX5" i="26" s="1"/>
  <c r="BW8" i="26"/>
  <c r="AN18" i="11"/>
  <c r="AN70" i="5" s="1"/>
  <c r="AN68" i="5" s="1"/>
  <c r="AR81" i="16"/>
  <c r="BQ6" i="18"/>
  <c r="AP5" i="18"/>
  <c r="AP8" i="18" s="1"/>
  <c r="AQ8" i="17"/>
  <c r="AS6" i="16"/>
  <c r="AR4" i="17"/>
  <c r="AQ4" i="18" s="1"/>
  <c r="BS6" i="17"/>
  <c r="BU7" i="16"/>
  <c r="AP187" i="11"/>
  <c r="AQ184" i="11" s="1"/>
  <c r="AP31" i="5"/>
  <c r="AE167" i="11"/>
  <c r="AD19" i="15" s="1"/>
  <c r="AE27" i="5"/>
  <c r="AR13" i="19" l="1"/>
  <c r="BU79" i="16"/>
  <c r="AR137" i="5"/>
  <c r="AR138" i="5"/>
  <c r="AP29" i="5"/>
  <c r="AP177" i="11"/>
  <c r="AQ174" i="11" s="1"/>
  <c r="AR28" i="6"/>
  <c r="AQ24" i="5"/>
  <c r="AR36" i="6"/>
  <c r="AQ190" i="11"/>
  <c r="AQ166" i="11"/>
  <c r="AF165" i="11" s="1"/>
  <c r="AR31" i="6"/>
  <c r="AR29" i="6"/>
  <c r="AQ25" i="5"/>
  <c r="AP43" i="5"/>
  <c r="AP112" i="11"/>
  <c r="AQ109" i="11" s="1"/>
  <c r="AQ111" i="11" s="1"/>
  <c r="AP172" i="11"/>
  <c r="AQ169" i="11" s="1"/>
  <c r="AP28" i="5"/>
  <c r="AP42" i="5"/>
  <c r="AP107" i="11"/>
  <c r="AQ104" i="11" s="1"/>
  <c r="AQ106" i="11" s="1"/>
  <c r="AR35" i="6"/>
  <c r="AQ185" i="11"/>
  <c r="AQ186" i="11" s="1"/>
  <c r="AQ31" i="5" s="1"/>
  <c r="AQ38" i="11"/>
  <c r="AQ170" i="11"/>
  <c r="AR32" i="6"/>
  <c r="AR30" i="6"/>
  <c r="AQ26" i="5"/>
  <c r="AQ23" i="5"/>
  <c r="AR27" i="6"/>
  <c r="AQ175" i="11"/>
  <c r="AR33" i="6"/>
  <c r="AU11" i="14"/>
  <c r="AQ11" i="19"/>
  <c r="AU10" i="14"/>
  <c r="AQ10" i="19"/>
  <c r="AU9" i="14"/>
  <c r="AQ9" i="19"/>
  <c r="AQ8" i="11"/>
  <c r="AP8" i="15"/>
  <c r="AQ196" i="11"/>
  <c r="AV6" i="14"/>
  <c r="AR6" i="19"/>
  <c r="AS4" i="19"/>
  <c r="AW4" i="14"/>
  <c r="AV7" i="14"/>
  <c r="AR7" i="19"/>
  <c r="AS13" i="6"/>
  <c r="AS16" i="6"/>
  <c r="AQ28" i="11"/>
  <c r="AQ75" i="5"/>
  <c r="AQ140" i="11"/>
  <c r="AQ33" i="11"/>
  <c r="AQ78" i="5"/>
  <c r="AR11" i="2"/>
  <c r="AQ11" i="5"/>
  <c r="AR12" i="6"/>
  <c r="AR11" i="10"/>
  <c r="AR10" i="2"/>
  <c r="AR11" i="6"/>
  <c r="AQ10" i="5"/>
  <c r="AR10" i="10"/>
  <c r="AR9" i="2"/>
  <c r="AQ9" i="5"/>
  <c r="AR10" i="6"/>
  <c r="AR9" i="10"/>
  <c r="AR30" i="4"/>
  <c r="AR55" i="4"/>
  <c r="AR52" i="4"/>
  <c r="AR54" i="4"/>
  <c r="AR53" i="4"/>
  <c r="AR20" i="4"/>
  <c r="AR21" i="4"/>
  <c r="AR37" i="4"/>
  <c r="AR38" i="4" s="1"/>
  <c r="AR39" i="4" s="1"/>
  <c r="AR17" i="4"/>
  <c r="AR22" i="4"/>
  <c r="AS28" i="10" s="1"/>
  <c r="AR42" i="4"/>
  <c r="AR41" i="4"/>
  <c r="AR50" i="4"/>
  <c r="AR35" i="4"/>
  <c r="AR48" i="4"/>
  <c r="AR43" i="4"/>
  <c r="AR51" i="4"/>
  <c r="AR18" i="4"/>
  <c r="AR29" i="4"/>
  <c r="AR23" i="4"/>
  <c r="AR16" i="4"/>
  <c r="AR24" i="4"/>
  <c r="AR31" i="4"/>
  <c r="AR32" i="4" s="1"/>
  <c r="AR33" i="4" s="1"/>
  <c r="AR44" i="4"/>
  <c r="AR8" i="4" s="1"/>
  <c r="AR36" i="4"/>
  <c r="AQ5" i="15"/>
  <c r="AQ13" i="15" s="1"/>
  <c r="AR13" i="5"/>
  <c r="AR231" i="11" s="1"/>
  <c r="AR5" i="11"/>
  <c r="AR14" i="11" s="1"/>
  <c r="AS6" i="2"/>
  <c r="AR6" i="5"/>
  <c r="AS6" i="10"/>
  <c r="AS7" i="6"/>
  <c r="AT4" i="2"/>
  <c r="AT5" i="6"/>
  <c r="AS4" i="5"/>
  <c r="AS5" i="4"/>
  <c r="AT4" i="10"/>
  <c r="AS7" i="2"/>
  <c r="AS8" i="6"/>
  <c r="AR7" i="5"/>
  <c r="AS7" i="10"/>
  <c r="AQ145" i="11"/>
  <c r="AQ157" i="11" s="1"/>
  <c r="AQ214" i="11"/>
  <c r="AP32" i="5"/>
  <c r="AP192" i="11"/>
  <c r="AQ189" i="11" s="1"/>
  <c r="DT6" i="26"/>
  <c r="AQ247" i="11"/>
  <c r="AR244" i="11" s="1"/>
  <c r="AQ250" i="11"/>
  <c r="AQ251" i="11" s="1"/>
  <c r="AQ252" i="11" s="1"/>
  <c r="AR249" i="11" s="1"/>
  <c r="BY4" i="26"/>
  <c r="BY5" i="26" s="1"/>
  <c r="BX8" i="26"/>
  <c r="AN19" i="11"/>
  <c r="AS10" i="16"/>
  <c r="AS54" i="16" s="1"/>
  <c r="AS80" i="16" s="1"/>
  <c r="AT5" i="16"/>
  <c r="AR5" i="17"/>
  <c r="BV7" i="16"/>
  <c r="BT6" i="17"/>
  <c r="BR6" i="18"/>
  <c r="AF164" i="11"/>
  <c r="BV79" i="16" l="1"/>
  <c r="AQ176" i="11"/>
  <c r="AR32" i="11"/>
  <c r="AR78" i="5" s="1"/>
  <c r="AR37" i="11"/>
  <c r="AR81" i="5" s="1"/>
  <c r="AR27" i="11"/>
  <c r="AR75" i="5" s="1"/>
  <c r="AR17" i="11"/>
  <c r="AR69" i="5" s="1"/>
  <c r="AR97" i="11"/>
  <c r="AR140" i="11" s="1"/>
  <c r="AS7" i="4"/>
  <c r="AT4" i="4"/>
  <c r="AS6" i="4"/>
  <c r="AS14" i="4"/>
  <c r="AQ171" i="11"/>
  <c r="AQ107" i="11"/>
  <c r="AR104" i="11" s="1"/>
  <c r="AQ42" i="5"/>
  <c r="AQ82" i="5"/>
  <c r="AQ80" i="5" s="1"/>
  <c r="AQ39" i="11"/>
  <c r="AR36" i="11" s="1"/>
  <c r="AQ39" i="5"/>
  <c r="AQ197" i="11"/>
  <c r="AR194" i="11" s="1"/>
  <c r="AS60" i="6"/>
  <c r="AS41" i="6"/>
  <c r="AR195" i="11" s="1"/>
  <c r="AS25" i="6"/>
  <c r="AR35" i="5" s="1"/>
  <c r="AQ76" i="5"/>
  <c r="AQ74" i="5" s="1"/>
  <c r="AQ29" i="11"/>
  <c r="AR26" i="11" s="1"/>
  <c r="AQ112" i="11"/>
  <c r="AR109" i="11" s="1"/>
  <c r="AQ43" i="5"/>
  <c r="AQ34" i="11"/>
  <c r="AR31" i="11" s="1"/>
  <c r="AQ79" i="5"/>
  <c r="AQ77" i="5" s="1"/>
  <c r="AS23" i="10"/>
  <c r="AS26" i="10"/>
  <c r="AS31" i="10"/>
  <c r="AS30" i="10"/>
  <c r="AS24" i="10"/>
  <c r="AS22" i="10"/>
  <c r="AS25" i="10"/>
  <c r="AS47" i="10"/>
  <c r="AS48" i="10"/>
  <c r="AS50" i="10"/>
  <c r="AS52" i="10"/>
  <c r="AS46" i="10"/>
  <c r="AS49" i="10"/>
  <c r="AS44" i="10"/>
  <c r="AS45" i="10"/>
  <c r="AS53" i="10"/>
  <c r="AR47" i="4"/>
  <c r="AR11" i="4" s="1"/>
  <c r="AR27" i="4"/>
  <c r="AR26" i="4"/>
  <c r="AR25" i="4"/>
  <c r="AR45" i="4"/>
  <c r="AR9" i="4" s="1"/>
  <c r="AR46" i="4"/>
  <c r="AR10" i="4" s="1"/>
  <c r="AS8" i="10"/>
  <c r="AS9" i="6"/>
  <c r="AR8" i="5"/>
  <c r="AR72" i="11"/>
  <c r="AR106" i="5" s="1"/>
  <c r="AR67" i="11"/>
  <c r="AR101" i="5" s="1"/>
  <c r="AT6" i="6"/>
  <c r="AT5" i="10"/>
  <c r="AT14" i="10" s="1"/>
  <c r="AT36" i="10" s="1"/>
  <c r="AS5" i="5"/>
  <c r="AQ7" i="15"/>
  <c r="AR7" i="11"/>
  <c r="AQ191" i="11"/>
  <c r="AQ32" i="5" s="1"/>
  <c r="AS30" i="2"/>
  <c r="AS21" i="2"/>
  <c r="AS25" i="2"/>
  <c r="AS23" i="2"/>
  <c r="AS22" i="2"/>
  <c r="AS24" i="2"/>
  <c r="AS27" i="10"/>
  <c r="AS21" i="6"/>
  <c r="AS19" i="10" s="1"/>
  <c r="AS8" i="2"/>
  <c r="AR8" i="19"/>
  <c r="AV8" i="14"/>
  <c r="AR245" i="11"/>
  <c r="AR246" i="11" s="1"/>
  <c r="AR235" i="11"/>
  <c r="AR57" i="11"/>
  <c r="AR90" i="5" s="1"/>
  <c r="AR61" i="19" s="1"/>
  <c r="AR87" i="11"/>
  <c r="AR88" i="11" s="1"/>
  <c r="AR6" i="11"/>
  <c r="AQ6" i="15"/>
  <c r="AR4" i="15"/>
  <c r="AS4" i="11"/>
  <c r="AT5" i="2"/>
  <c r="AT14" i="2" s="1"/>
  <c r="AW5" i="14"/>
  <c r="AW15" i="14" s="1"/>
  <c r="AS5" i="19"/>
  <c r="AQ11" i="11"/>
  <c r="AP11" i="15"/>
  <c r="AQ10" i="11"/>
  <c r="AP10" i="15"/>
  <c r="AP9" i="15"/>
  <c r="AQ9" i="11"/>
  <c r="DU6" i="26"/>
  <c r="AQ68" i="11"/>
  <c r="AQ102" i="5" s="1"/>
  <c r="AQ27" i="19" s="1"/>
  <c r="BZ4" i="26"/>
  <c r="BZ5" i="26" s="1"/>
  <c r="BY8" i="26"/>
  <c r="AM31" i="15"/>
  <c r="AO16" i="11"/>
  <c r="AS81" i="16"/>
  <c r="BW7" i="16"/>
  <c r="BU6" i="17"/>
  <c r="AQ5" i="18"/>
  <c r="AQ8" i="18" s="1"/>
  <c r="AR8" i="17"/>
  <c r="AT6" i="16"/>
  <c r="AS4" i="17"/>
  <c r="AR4" i="18" s="1"/>
  <c r="BS6" i="18"/>
  <c r="AQ187" i="11"/>
  <c r="AR184" i="11" s="1"/>
  <c r="AF167" i="11"/>
  <c r="AE19" i="15" s="1"/>
  <c r="AF27" i="5"/>
  <c r="AS33" i="6"/>
  <c r="AR175" i="11"/>
  <c r="AS13" i="19" l="1"/>
  <c r="BW79" i="16"/>
  <c r="AR196" i="11"/>
  <c r="AR39" i="5" s="1"/>
  <c r="AQ192" i="11"/>
  <c r="AR189" i="11" s="1"/>
  <c r="AW7" i="14"/>
  <c r="AS7" i="19"/>
  <c r="AX4" i="14"/>
  <c r="AT4" i="19"/>
  <c r="AW6" i="14"/>
  <c r="AS6" i="19"/>
  <c r="AS53" i="4"/>
  <c r="AS55" i="4"/>
  <c r="AS52" i="4"/>
  <c r="AS54" i="4"/>
  <c r="AQ177" i="11"/>
  <c r="AR174" i="11" s="1"/>
  <c r="AR176" i="11" s="1"/>
  <c r="AR29" i="5" s="1"/>
  <c r="AQ29" i="5"/>
  <c r="AR145" i="11"/>
  <c r="AR157" i="11" s="1"/>
  <c r="AR214" i="11"/>
  <c r="AS44" i="4"/>
  <c r="AS8" i="4" s="1"/>
  <c r="AS31" i="4"/>
  <c r="AS32" i="4" s="1"/>
  <c r="AS33" i="4" s="1"/>
  <c r="AS50" i="4"/>
  <c r="AS43" i="4"/>
  <c r="AS51" i="4"/>
  <c r="AS30" i="4"/>
  <c r="AS41" i="4"/>
  <c r="AS48" i="4"/>
  <c r="AS21" i="4"/>
  <c r="AS22" i="4"/>
  <c r="AS24" i="4"/>
  <c r="AS42" i="4"/>
  <c r="AS23" i="4"/>
  <c r="AT47" i="10" s="1"/>
  <c r="AT7" i="2"/>
  <c r="AT8" i="6"/>
  <c r="AS7" i="5"/>
  <c r="AT7" i="10"/>
  <c r="AU4" i="2"/>
  <c r="AU5" i="6"/>
  <c r="AT5" i="4"/>
  <c r="AU4" i="10"/>
  <c r="AT4" i="5"/>
  <c r="AT6" i="2"/>
  <c r="AT7" i="6"/>
  <c r="AS6" i="5"/>
  <c r="AT6" i="10"/>
  <c r="AS35" i="4"/>
  <c r="AS37" i="4"/>
  <c r="AS38" i="4" s="1"/>
  <c r="AS39" i="4" s="1"/>
  <c r="AS17" i="4"/>
  <c r="AT22" i="2" s="1"/>
  <c r="AS18" i="4"/>
  <c r="AS20" i="4"/>
  <c r="AS16" i="4"/>
  <c r="AS36" i="4"/>
  <c r="AS29" i="4"/>
  <c r="AR110" i="11"/>
  <c r="AR33" i="11"/>
  <c r="AR79" i="5" s="1"/>
  <c r="AR77" i="5" s="1"/>
  <c r="AQ172" i="11"/>
  <c r="AR169" i="11" s="1"/>
  <c r="AQ28" i="5"/>
  <c r="AR197" i="11"/>
  <c r="AS194" i="11" s="1"/>
  <c r="AR38" i="11"/>
  <c r="AR105" i="11"/>
  <c r="AR28" i="11"/>
  <c r="AR8" i="11"/>
  <c r="AQ8" i="15"/>
  <c r="AT13" i="6"/>
  <c r="AT16" i="6"/>
  <c r="AS28" i="6"/>
  <c r="AR24" i="5"/>
  <c r="AR166" i="11"/>
  <c r="AG165" i="11" s="1"/>
  <c r="AS31" i="6"/>
  <c r="AR190" i="11"/>
  <c r="AS36" i="6"/>
  <c r="AS35" i="6"/>
  <c r="AR185" i="11"/>
  <c r="AR186" i="11" s="1"/>
  <c r="AS29" i="6"/>
  <c r="AR25" i="5"/>
  <c r="AS27" i="6"/>
  <c r="AR23" i="5"/>
  <c r="AS30" i="6"/>
  <c r="AR26" i="5"/>
  <c r="AR5" i="15"/>
  <c r="AR13" i="15" s="1"/>
  <c r="AS13" i="5"/>
  <c r="AS231" i="11" s="1"/>
  <c r="AS5" i="11"/>
  <c r="AS14" i="11" s="1"/>
  <c r="AS11" i="2"/>
  <c r="AV11" i="14"/>
  <c r="AR11" i="19"/>
  <c r="AS11" i="10"/>
  <c r="AS12" i="6"/>
  <c r="AR11" i="5"/>
  <c r="AS9" i="2"/>
  <c r="AV9" i="14"/>
  <c r="AR9" i="19"/>
  <c r="AS10" i="6"/>
  <c r="AR9" i="5"/>
  <c r="AS9" i="10"/>
  <c r="AS10" i="2"/>
  <c r="AV10" i="14"/>
  <c r="AR10" i="19"/>
  <c r="AS10" i="10"/>
  <c r="AR10" i="5"/>
  <c r="AS11" i="6"/>
  <c r="AS32" i="6"/>
  <c r="AR170" i="11"/>
  <c r="DV6" i="26"/>
  <c r="AR247" i="11"/>
  <c r="AS244" i="11" s="1"/>
  <c r="AR250" i="11"/>
  <c r="AR251" i="11" s="1"/>
  <c r="AR252" i="11" s="1"/>
  <c r="AS249" i="11" s="1"/>
  <c r="CA4" i="26"/>
  <c r="CA5" i="26" s="1"/>
  <c r="BZ8" i="26"/>
  <c r="AO18" i="11"/>
  <c r="AO70" i="5" s="1"/>
  <c r="AO68" i="5" s="1"/>
  <c r="BT6" i="18"/>
  <c r="BX7" i="16"/>
  <c r="BV6" i="17"/>
  <c r="AT10" i="16"/>
  <c r="AT54" i="16" s="1"/>
  <c r="AT80" i="16" s="1"/>
  <c r="AU5" i="16"/>
  <c r="AS5" i="17"/>
  <c r="AG164" i="11"/>
  <c r="AT45" i="10"/>
  <c r="BX79" i="16" l="1"/>
  <c r="AR34" i="11"/>
  <c r="AS31" i="11" s="1"/>
  <c r="AS110" i="11" s="1"/>
  <c r="AT49" i="6" s="1"/>
  <c r="AT23" i="2"/>
  <c r="AT30" i="2"/>
  <c r="AT25" i="2"/>
  <c r="AT24" i="2"/>
  <c r="AT21" i="2"/>
  <c r="AW8" i="14"/>
  <c r="AS8" i="19"/>
  <c r="AT28" i="10"/>
  <c r="AT23" i="10"/>
  <c r="AT8" i="2"/>
  <c r="AT8" i="10"/>
  <c r="AS8" i="5"/>
  <c r="AT9" i="6"/>
  <c r="AT24" i="10"/>
  <c r="AT22" i="10"/>
  <c r="AT21" i="6"/>
  <c r="AT19" i="10" s="1"/>
  <c r="AT27" i="10"/>
  <c r="AT31" i="10"/>
  <c r="AT26" i="10"/>
  <c r="AT30" i="10"/>
  <c r="AT25" i="10"/>
  <c r="AS27" i="4"/>
  <c r="AS45" i="4"/>
  <c r="AS9" i="4" s="1"/>
  <c r="AS26" i="4"/>
  <c r="AS25" i="4"/>
  <c r="AS47" i="4"/>
  <c r="AS11" i="4" s="1"/>
  <c r="AS46" i="4"/>
  <c r="AS10" i="4" s="1"/>
  <c r="AT50" i="10"/>
  <c r="AT53" i="10"/>
  <c r="AT46" i="10"/>
  <c r="AT44" i="10"/>
  <c r="AT52" i="10"/>
  <c r="AT48" i="10"/>
  <c r="AT49" i="10"/>
  <c r="AR7" i="15"/>
  <c r="AS7" i="11"/>
  <c r="AX5" i="14"/>
  <c r="AX15" i="14" s="1"/>
  <c r="AT5" i="19"/>
  <c r="AU4" i="4"/>
  <c r="AT7" i="4"/>
  <c r="AU6" i="6"/>
  <c r="AU13" i="6" s="1"/>
  <c r="AT5" i="5"/>
  <c r="AT6" i="4"/>
  <c r="AT6" i="5" s="1"/>
  <c r="AT14" i="4"/>
  <c r="AT54" i="4" s="1"/>
  <c r="AT4" i="11"/>
  <c r="AS4" i="15"/>
  <c r="AS6" i="11"/>
  <c r="AR6" i="15"/>
  <c r="AU5" i="2"/>
  <c r="AU14" i="2" s="1"/>
  <c r="AU5" i="10"/>
  <c r="AU14" i="10" s="1"/>
  <c r="AU36" i="10" s="1"/>
  <c r="AS49" i="6"/>
  <c r="AR111" i="11"/>
  <c r="AS72" i="11"/>
  <c r="AS106" i="5" s="1"/>
  <c r="AS67" i="11"/>
  <c r="AS101" i="5" s="1"/>
  <c r="AS245" i="11"/>
  <c r="AS246" i="11" s="1"/>
  <c r="AS235" i="11"/>
  <c r="AR106" i="11"/>
  <c r="AS48" i="6"/>
  <c r="AR82" i="5"/>
  <c r="AR80" i="5" s="1"/>
  <c r="AR39" i="11"/>
  <c r="AS36" i="11" s="1"/>
  <c r="AR29" i="11"/>
  <c r="AS26" i="11" s="1"/>
  <c r="AS105" i="11" s="1"/>
  <c r="AT48" i="6" s="1"/>
  <c r="AR76" i="5"/>
  <c r="AR74" i="5" s="1"/>
  <c r="AT60" i="6"/>
  <c r="AT41" i="6"/>
  <c r="AS195" i="11" s="1"/>
  <c r="AT25" i="6"/>
  <c r="AS35" i="5" s="1"/>
  <c r="AS97" i="11"/>
  <c r="AS17" i="11"/>
  <c r="AS69" i="5" s="1"/>
  <c r="AR171" i="11"/>
  <c r="AR191" i="11"/>
  <c r="AS37" i="11"/>
  <c r="AS32" i="11"/>
  <c r="AS27" i="11"/>
  <c r="AS57" i="11"/>
  <c r="AS90" i="5" s="1"/>
  <c r="AS61" i="19" s="1"/>
  <c r="AS87" i="11"/>
  <c r="AS88" i="11" s="1"/>
  <c r="AQ10" i="15"/>
  <c r="AR10" i="11"/>
  <c r="AR11" i="11"/>
  <c r="AQ11" i="15"/>
  <c r="AR9" i="11"/>
  <c r="AQ9" i="15"/>
  <c r="AR68" i="11"/>
  <c r="AR102" i="5" s="1"/>
  <c r="AR27" i="19" s="1"/>
  <c r="AO19" i="11"/>
  <c r="AN31" i="15" s="1"/>
  <c r="CB4" i="26"/>
  <c r="CB5" i="26" s="1"/>
  <c r="CA8" i="26"/>
  <c r="AT81" i="16"/>
  <c r="AR177" i="11"/>
  <c r="AS174" i="11" s="1"/>
  <c r="BW6" i="17"/>
  <c r="BY7" i="16"/>
  <c r="AS8" i="17"/>
  <c r="AR5" i="18"/>
  <c r="AR8" i="18" s="1"/>
  <c r="AT4" i="17"/>
  <c r="AS4" i="18" s="1"/>
  <c r="AU6" i="16"/>
  <c r="BU6" i="18"/>
  <c r="AR187" i="11"/>
  <c r="AS184" i="11" s="1"/>
  <c r="AR31" i="5"/>
  <c r="AG167" i="11"/>
  <c r="AF19" i="15" s="1"/>
  <c r="K643" i="32" s="1"/>
  <c r="AG27" i="5"/>
  <c r="K594" i="32" s="1"/>
  <c r="AT13" i="19" l="1"/>
  <c r="BY79" i="16"/>
  <c r="AS5" i="15"/>
  <c r="AS13" i="15" s="1"/>
  <c r="AT138" i="5"/>
  <c r="AT137" i="5"/>
  <c r="AU6" i="10"/>
  <c r="AT24" i="4"/>
  <c r="AT27" i="4" s="1"/>
  <c r="AT55" i="4"/>
  <c r="AT23" i="4"/>
  <c r="AU48" i="10" s="1"/>
  <c r="AT30" i="4"/>
  <c r="AT36" i="4"/>
  <c r="AT43" i="4"/>
  <c r="AT42" i="4"/>
  <c r="AT20" i="4"/>
  <c r="AT50" i="4"/>
  <c r="AT48" i="4"/>
  <c r="AT29" i="4"/>
  <c r="AU7" i="6"/>
  <c r="AT35" i="4"/>
  <c r="AT21" i="4"/>
  <c r="AT44" i="4"/>
  <c r="AT8" i="4" s="1"/>
  <c r="AU8" i="2" s="1"/>
  <c r="AT16" i="4"/>
  <c r="AT22" i="4"/>
  <c r="AU30" i="10" s="1"/>
  <c r="AT53" i="4"/>
  <c r="AT17" i="4"/>
  <c r="AU22" i="2" s="1"/>
  <c r="AT52" i="4"/>
  <c r="AT13" i="5"/>
  <c r="AT231" i="11" s="1"/>
  <c r="AT245" i="11" s="1"/>
  <c r="AT37" i="4"/>
  <c r="AT38" i="4" s="1"/>
  <c r="AT39" i="4" s="1"/>
  <c r="AT18" i="4"/>
  <c r="AT41" i="4"/>
  <c r="AT51" i="4"/>
  <c r="AT31" i="4"/>
  <c r="AT32" i="4" s="1"/>
  <c r="AT33" i="4" s="1"/>
  <c r="AT5" i="11"/>
  <c r="AT14" i="11" s="1"/>
  <c r="AT87" i="11" s="1"/>
  <c r="AT88" i="11" s="1"/>
  <c r="AU16" i="6"/>
  <c r="AU60" i="6" s="1"/>
  <c r="AT33" i="6"/>
  <c r="AS175" i="11"/>
  <c r="AS176" i="11" s="1"/>
  <c r="AS29" i="5" s="1"/>
  <c r="AT28" i="6"/>
  <c r="AS24" i="5"/>
  <c r="AS8" i="11"/>
  <c r="AR8" i="15"/>
  <c r="AT27" i="6"/>
  <c r="AS23" i="5"/>
  <c r="AT29" i="6"/>
  <c r="AS25" i="5"/>
  <c r="AS170" i="11"/>
  <c r="AT32" i="6"/>
  <c r="AT36" i="6"/>
  <c r="AS190" i="11"/>
  <c r="AS166" i="11"/>
  <c r="AH165" i="11" s="1"/>
  <c r="AT31" i="6"/>
  <c r="AS185" i="11"/>
  <c r="AS186" i="11" s="1"/>
  <c r="AS31" i="5" s="1"/>
  <c r="AT35" i="6"/>
  <c r="AT30" i="6"/>
  <c r="AS26" i="5"/>
  <c r="AT9" i="2"/>
  <c r="AT9" i="10"/>
  <c r="AT10" i="6"/>
  <c r="AW9" i="14"/>
  <c r="AS9" i="19"/>
  <c r="AS9" i="5"/>
  <c r="AT11" i="2"/>
  <c r="AW11" i="14"/>
  <c r="AS11" i="19"/>
  <c r="AT12" i="6"/>
  <c r="AS11" i="5"/>
  <c r="AT11" i="10"/>
  <c r="AT10" i="2"/>
  <c r="AW10" i="14"/>
  <c r="AS10" i="19"/>
  <c r="AT11" i="6"/>
  <c r="AT10" i="10"/>
  <c r="AS10" i="5"/>
  <c r="AR10" i="15" s="1"/>
  <c r="AV4" i="2"/>
  <c r="AU4" i="19"/>
  <c r="AY4" i="14"/>
  <c r="AV4" i="10"/>
  <c r="AV5" i="6"/>
  <c r="AU4" i="5"/>
  <c r="AU5" i="4"/>
  <c r="AV4" i="4" s="1"/>
  <c r="AW4" i="2" s="1"/>
  <c r="AU7" i="2"/>
  <c r="AT7" i="19"/>
  <c r="AX7" i="14"/>
  <c r="AT7" i="5"/>
  <c r="AU8" i="6"/>
  <c r="AU7" i="10"/>
  <c r="AU6" i="2"/>
  <c r="AX6" i="14"/>
  <c r="AT6" i="19"/>
  <c r="AR43" i="5"/>
  <c r="AR112" i="11"/>
  <c r="AS109" i="11" s="1"/>
  <c r="AS111" i="11" s="1"/>
  <c r="AR32" i="5"/>
  <c r="AR192" i="11"/>
  <c r="AS189" i="11" s="1"/>
  <c r="AS196" i="11"/>
  <c r="AS39" i="5" s="1"/>
  <c r="AS145" i="11"/>
  <c r="AS157" i="11" s="1"/>
  <c r="AS214" i="11"/>
  <c r="AR42" i="5"/>
  <c r="AR107" i="11"/>
  <c r="AS104" i="11" s="1"/>
  <c r="AS106" i="11" s="1"/>
  <c r="AS42" i="5" s="1"/>
  <c r="AS140" i="11"/>
  <c r="AR28" i="5"/>
  <c r="AR172" i="11"/>
  <c r="AS169" i="11" s="1"/>
  <c r="AS81" i="5"/>
  <c r="AS38" i="11"/>
  <c r="AS33" i="11"/>
  <c r="AS78" i="5"/>
  <c r="AS28" i="11"/>
  <c r="AS75" i="5"/>
  <c r="AU23" i="10"/>
  <c r="AT24" i="5" s="1"/>
  <c r="AS250" i="11"/>
  <c r="AS251" i="11" s="1"/>
  <c r="AS252" i="11" s="1"/>
  <c r="AT249" i="11" s="1"/>
  <c r="AS247" i="11"/>
  <c r="AT244" i="11" s="1"/>
  <c r="AP16" i="11"/>
  <c r="AP18" i="11" s="1"/>
  <c r="AP70" i="5" s="1"/>
  <c r="AP68" i="5" s="1"/>
  <c r="CC4" i="26"/>
  <c r="CC5" i="26" s="1"/>
  <c r="CB8" i="26"/>
  <c r="AT6" i="11"/>
  <c r="AS6" i="15"/>
  <c r="AU10" i="16"/>
  <c r="AU54" i="16" s="1"/>
  <c r="AU80" i="16" s="1"/>
  <c r="AT5" i="17"/>
  <c r="AV5" i="16"/>
  <c r="BZ7" i="16"/>
  <c r="BX6" i="17"/>
  <c r="BV6" i="18"/>
  <c r="AH164" i="11"/>
  <c r="AU50" i="10"/>
  <c r="AU52" i="10"/>
  <c r="AT47" i="4"/>
  <c r="AT11" i="4" s="1"/>
  <c r="AU11" i="2" s="1"/>
  <c r="AT25" i="4"/>
  <c r="AT46" i="4"/>
  <c r="AT10" i="4" s="1"/>
  <c r="AU10" i="2" s="1"/>
  <c r="AT8" i="19" l="1"/>
  <c r="AU24" i="10"/>
  <c r="AT57" i="11"/>
  <c r="AT90" i="5" s="1"/>
  <c r="AU46" i="10"/>
  <c r="AU45" i="10"/>
  <c r="AT72" i="11"/>
  <c r="AT106" i="5" s="1"/>
  <c r="AU49" i="10"/>
  <c r="BZ79" i="16"/>
  <c r="AU44" i="10"/>
  <c r="AU25" i="10"/>
  <c r="AU30" i="6" s="1"/>
  <c r="AU21" i="6"/>
  <c r="AU19" i="10" s="1"/>
  <c r="AU47" i="10"/>
  <c r="AT26" i="4"/>
  <c r="AT45" i="4"/>
  <c r="AT9" i="4" s="1"/>
  <c r="AU9" i="2" s="1"/>
  <c r="AU21" i="2"/>
  <c r="AU23" i="2"/>
  <c r="AU30" i="2"/>
  <c r="AT17" i="11"/>
  <c r="AT69" i="5" s="1"/>
  <c r="AT97" i="11"/>
  <c r="AT214" i="11" s="1"/>
  <c r="AU8" i="10"/>
  <c r="AU9" i="6"/>
  <c r="AX8" i="14"/>
  <c r="AT8" i="5"/>
  <c r="AT8" i="11" s="1"/>
  <c r="AU53" i="10"/>
  <c r="AS10" i="11"/>
  <c r="AT27" i="11"/>
  <c r="AT75" i="5" s="1"/>
  <c r="AT32" i="11"/>
  <c r="AT78" i="5" s="1"/>
  <c r="AU7" i="4"/>
  <c r="AV7" i="2" s="1"/>
  <c r="AU14" i="4"/>
  <c r="AU29" i="4" s="1"/>
  <c r="AU31" i="10"/>
  <c r="AU36" i="6" s="1"/>
  <c r="AU28" i="10"/>
  <c r="AU33" i="6" s="1"/>
  <c r="AU27" i="10"/>
  <c r="AT170" i="11" s="1"/>
  <c r="AU26" i="10"/>
  <c r="AU31" i="6" s="1"/>
  <c r="AU25" i="2"/>
  <c r="AU22" i="10"/>
  <c r="AU27" i="6" s="1"/>
  <c r="AU24" i="2"/>
  <c r="AT67" i="11"/>
  <c r="AT101" i="5" s="1"/>
  <c r="AV6" i="6"/>
  <c r="AV13" i="6" s="1"/>
  <c r="AU5" i="5"/>
  <c r="AT235" i="11"/>
  <c r="AV5" i="10"/>
  <c r="AV14" i="10" s="1"/>
  <c r="AV36" i="10" s="1"/>
  <c r="AU6" i="4"/>
  <c r="AV6" i="2" s="1"/>
  <c r="AU41" i="6"/>
  <c r="AT195" i="11" s="1"/>
  <c r="AU25" i="6"/>
  <c r="AT35" i="5" s="1"/>
  <c r="AT37" i="11"/>
  <c r="AT81" i="5" s="1"/>
  <c r="AS197" i="11"/>
  <c r="AT194" i="11" s="1"/>
  <c r="AS191" i="11"/>
  <c r="AS11" i="11"/>
  <c r="AR11" i="15"/>
  <c r="AT4" i="15"/>
  <c r="AU4" i="11"/>
  <c r="AV5" i="2"/>
  <c r="AV14" i="2" s="1"/>
  <c r="AY5" i="14"/>
  <c r="AY15" i="14" s="1"/>
  <c r="AU5" i="19"/>
  <c r="AT7" i="11"/>
  <c r="AS7" i="15"/>
  <c r="AS171" i="11"/>
  <c r="AR9" i="15"/>
  <c r="AS9" i="11"/>
  <c r="AS107" i="11"/>
  <c r="AT104" i="11" s="1"/>
  <c r="AS39" i="11"/>
  <c r="AT36" i="11" s="1"/>
  <c r="AS82" i="5"/>
  <c r="AS80" i="5" s="1"/>
  <c r="AS34" i="11"/>
  <c r="AT31" i="11" s="1"/>
  <c r="AS79" i="5"/>
  <c r="AS77" i="5" s="1"/>
  <c r="AS29" i="11"/>
  <c r="AT26" i="11" s="1"/>
  <c r="AS76" i="5"/>
  <c r="AS74" i="5" s="1"/>
  <c r="AS112" i="11"/>
  <c r="AT109" i="11" s="1"/>
  <c r="AS43" i="5"/>
  <c r="AU28" i="6"/>
  <c r="AS68" i="11"/>
  <c r="AS102" i="5" s="1"/>
  <c r="AS27" i="19" s="1"/>
  <c r="AT246" i="11"/>
  <c r="AP19" i="11"/>
  <c r="AO31" i="15" s="1"/>
  <c r="CD4" i="26"/>
  <c r="CD5" i="26" s="1"/>
  <c r="CC8" i="26"/>
  <c r="AU81" i="16"/>
  <c r="AS177" i="11"/>
  <c r="AT174" i="11" s="1"/>
  <c r="AT61" i="19"/>
  <c r="AX10" i="14"/>
  <c r="AT10" i="19"/>
  <c r="AX11" i="14"/>
  <c r="AT11" i="19"/>
  <c r="AZ4" i="14"/>
  <c r="AV4" i="19"/>
  <c r="AS187" i="11"/>
  <c r="AT184" i="11" s="1"/>
  <c r="AS5" i="18"/>
  <c r="AS8" i="18" s="1"/>
  <c r="AT8" i="17"/>
  <c r="BW6" i="18"/>
  <c r="CA7" i="16"/>
  <c r="BY6" i="17"/>
  <c r="AV6" i="16"/>
  <c r="AU4" i="17"/>
  <c r="AT4" i="18" s="1"/>
  <c r="AU29" i="6"/>
  <c r="AT25" i="5"/>
  <c r="AH167" i="11"/>
  <c r="AG19" i="15" s="1"/>
  <c r="AH27" i="5"/>
  <c r="AU35" i="6"/>
  <c r="AT185" i="11"/>
  <c r="AV5" i="4"/>
  <c r="AW5" i="2" s="1"/>
  <c r="AW14" i="2" s="1"/>
  <c r="AW4" i="10"/>
  <c r="AW5" i="6"/>
  <c r="AV4" i="5"/>
  <c r="AU10" i="6"/>
  <c r="AU9" i="10"/>
  <c r="AU18" i="4"/>
  <c r="AU37" i="4"/>
  <c r="AU38" i="4" s="1"/>
  <c r="AU39" i="4" s="1"/>
  <c r="AU11" i="6"/>
  <c r="AT10" i="5"/>
  <c r="AU10" i="10"/>
  <c r="AT11" i="5"/>
  <c r="AU12" i="6"/>
  <c r="AU11" i="10"/>
  <c r="AU13" i="19" l="1"/>
  <c r="AT26" i="5"/>
  <c r="AT9" i="5"/>
  <c r="AT9" i="11" s="1"/>
  <c r="AT145" i="11"/>
  <c r="AT175" i="11"/>
  <c r="AT176" i="11" s="1"/>
  <c r="AT29" i="5" s="1"/>
  <c r="AT5" i="15"/>
  <c r="AT13" i="15" s="1"/>
  <c r="AU137" i="5"/>
  <c r="AU138" i="5"/>
  <c r="CA79" i="16"/>
  <c r="AT9" i="19"/>
  <c r="AX9" i="14"/>
  <c r="AU7" i="19"/>
  <c r="AY7" i="14"/>
  <c r="AT140" i="11"/>
  <c r="AV7" i="6"/>
  <c r="AV6" i="10"/>
  <c r="AU31" i="4"/>
  <c r="AU32" i="4" s="1"/>
  <c r="AU33" i="4" s="1"/>
  <c r="AU6" i="5"/>
  <c r="AT6" i="15" s="1"/>
  <c r="AU30" i="4"/>
  <c r="AU6" i="19"/>
  <c r="AS8" i="15"/>
  <c r="AU32" i="6"/>
  <c r="AU53" i="4"/>
  <c r="AU17" i="4"/>
  <c r="AV22" i="2" s="1"/>
  <c r="AU20" i="4"/>
  <c r="AU42" i="4"/>
  <c r="AU16" i="4"/>
  <c r="AU43" i="4"/>
  <c r="AU35" i="4"/>
  <c r="AU54" i="4"/>
  <c r="AU23" i="4"/>
  <c r="AV47" i="10" s="1"/>
  <c r="AU55" i="4"/>
  <c r="AU52" i="4"/>
  <c r="AU44" i="4"/>
  <c r="AU8" i="4" s="1"/>
  <c r="AV8" i="2" s="1"/>
  <c r="AU48" i="4"/>
  <c r="AU24" i="4"/>
  <c r="AU45" i="4" s="1"/>
  <c r="AU9" i="4" s="1"/>
  <c r="AV9" i="2" s="1"/>
  <c r="AU22" i="4"/>
  <c r="AV26" i="10" s="1"/>
  <c r="AU21" i="4"/>
  <c r="AU7" i="5"/>
  <c r="AT7" i="15" s="1"/>
  <c r="AU50" i="4"/>
  <c r="AV8" i="6"/>
  <c r="AT23" i="5"/>
  <c r="AU41" i="4"/>
  <c r="AU51" i="4"/>
  <c r="AV7" i="10"/>
  <c r="AT166" i="11"/>
  <c r="AI165" i="11" s="1"/>
  <c r="AT190" i="11"/>
  <c r="AU36" i="4"/>
  <c r="AT196" i="11"/>
  <c r="AT39" i="5" s="1"/>
  <c r="AV16" i="6"/>
  <c r="AV60" i="6" s="1"/>
  <c r="AU5" i="11"/>
  <c r="AU14" i="11" s="1"/>
  <c r="AU72" i="11" s="1"/>
  <c r="AU106" i="5" s="1"/>
  <c r="AU13" i="5"/>
  <c r="AU231" i="11" s="1"/>
  <c r="AU245" i="11" s="1"/>
  <c r="AY6" i="14"/>
  <c r="AS192" i="11"/>
  <c r="AT189" i="11" s="1"/>
  <c r="AS32" i="5"/>
  <c r="AS172" i="11"/>
  <c r="AT169" i="11" s="1"/>
  <c r="AT171" i="11" s="1"/>
  <c r="AS28" i="5"/>
  <c r="AT38" i="11"/>
  <c r="AT110" i="11"/>
  <c r="AT33" i="11"/>
  <c r="AT105" i="11"/>
  <c r="AT28" i="11"/>
  <c r="AT247" i="11"/>
  <c r="AU244" i="11" s="1"/>
  <c r="AT250" i="11"/>
  <c r="AQ16" i="11"/>
  <c r="AQ18" i="11" s="1"/>
  <c r="AQ70" i="5" s="1"/>
  <c r="AQ68" i="5" s="1"/>
  <c r="CE4" i="26"/>
  <c r="CE5" i="26" s="1"/>
  <c r="CD8" i="26"/>
  <c r="AT11" i="11"/>
  <c r="AS11" i="15"/>
  <c r="AS9" i="15"/>
  <c r="AS10" i="15"/>
  <c r="AV4" i="11"/>
  <c r="AU4" i="15"/>
  <c r="AZ5" i="14"/>
  <c r="AZ15" i="14" s="1"/>
  <c r="AV5" i="19"/>
  <c r="CB7" i="16"/>
  <c r="BZ6" i="17"/>
  <c r="BX6" i="18"/>
  <c r="AT10" i="11"/>
  <c r="AW5" i="16"/>
  <c r="AU5" i="17"/>
  <c r="AV10" i="16"/>
  <c r="AV54" i="16" s="1"/>
  <c r="AV80" i="16" s="1"/>
  <c r="AI164" i="11"/>
  <c r="AT186" i="11"/>
  <c r="AT31" i="5" s="1"/>
  <c r="AT157" i="11"/>
  <c r="AV7" i="4"/>
  <c r="AW7" i="2" s="1"/>
  <c r="AW4" i="4"/>
  <c r="AX4" i="2" s="1"/>
  <c r="AV6" i="4"/>
  <c r="AW6" i="2" s="1"/>
  <c r="AV14" i="4"/>
  <c r="AW6" i="6"/>
  <c r="AW13" i="6" s="1"/>
  <c r="AW5" i="10"/>
  <c r="AW14" i="10" s="1"/>
  <c r="AV5" i="5"/>
  <c r="AU5" i="15" s="1"/>
  <c r="AU13" i="15" s="1"/>
  <c r="AU6" i="11" l="1"/>
  <c r="CB79" i="16"/>
  <c r="AU7" i="11"/>
  <c r="AV25" i="10"/>
  <c r="AV30" i="6" s="1"/>
  <c r="AU8" i="5"/>
  <c r="AV9" i="6"/>
  <c r="AV22" i="10"/>
  <c r="AU23" i="5" s="1"/>
  <c r="AV28" i="10"/>
  <c r="AU175" i="11" s="1"/>
  <c r="AV30" i="2"/>
  <c r="AV31" i="10"/>
  <c r="AU190" i="11" s="1"/>
  <c r="AV27" i="10"/>
  <c r="AU170" i="11" s="1"/>
  <c r="AV25" i="2"/>
  <c r="AU27" i="4"/>
  <c r="AU26" i="4"/>
  <c r="AU25" i="4"/>
  <c r="AV23" i="10"/>
  <c r="AV28" i="6" s="1"/>
  <c r="AV24" i="2"/>
  <c r="AV30" i="10"/>
  <c r="AU185" i="11" s="1"/>
  <c r="AV21" i="2"/>
  <c r="AU47" i="4"/>
  <c r="AU11" i="4" s="1"/>
  <c r="AV11" i="2" s="1"/>
  <c r="AV50" i="10"/>
  <c r="AV21" i="6"/>
  <c r="AV19" i="10" s="1"/>
  <c r="AT197" i="11"/>
  <c r="AU194" i="11" s="1"/>
  <c r="AU46" i="4"/>
  <c r="AU10" i="4" s="1"/>
  <c r="AV10" i="2" s="1"/>
  <c r="AV24" i="10"/>
  <c r="AV29" i="6" s="1"/>
  <c r="AV23" i="2"/>
  <c r="AU17" i="11"/>
  <c r="AU69" i="5" s="1"/>
  <c r="AU87" i="11"/>
  <c r="AU88" i="11" s="1"/>
  <c r="AU57" i="11"/>
  <c r="AU90" i="5" s="1"/>
  <c r="AU61" i="19" s="1"/>
  <c r="AU27" i="11"/>
  <c r="AU75" i="5" s="1"/>
  <c r="AU37" i="11"/>
  <c r="AU81" i="5" s="1"/>
  <c r="AV8" i="10"/>
  <c r="AV53" i="10"/>
  <c r="AV44" i="10"/>
  <c r="AV52" i="10"/>
  <c r="AV46" i="10"/>
  <c r="AT191" i="11"/>
  <c r="AT192" i="11" s="1"/>
  <c r="AU189" i="11" s="1"/>
  <c r="AV49" i="10"/>
  <c r="AV48" i="10"/>
  <c r="AV45" i="10"/>
  <c r="AU97" i="11"/>
  <c r="AU145" i="11" s="1"/>
  <c r="AV41" i="6"/>
  <c r="AU195" i="11" s="1"/>
  <c r="AU8" i="19"/>
  <c r="AU32" i="11"/>
  <c r="AU78" i="5" s="1"/>
  <c r="AV25" i="6"/>
  <c r="AU35" i="5" s="1"/>
  <c r="AY8" i="14"/>
  <c r="AU67" i="11"/>
  <c r="AU101" i="5" s="1"/>
  <c r="AU235" i="11"/>
  <c r="AU49" i="6"/>
  <c r="AT111" i="11"/>
  <c r="AU48" i="6"/>
  <c r="AT106" i="11"/>
  <c r="AT82" i="5"/>
  <c r="AT80" i="5" s="1"/>
  <c r="AT39" i="11"/>
  <c r="AU36" i="11" s="1"/>
  <c r="AT34" i="11"/>
  <c r="AU31" i="11" s="1"/>
  <c r="AT79" i="5"/>
  <c r="AT77" i="5" s="1"/>
  <c r="AT29" i="11"/>
  <c r="AU26" i="11" s="1"/>
  <c r="AU105" i="11" s="1"/>
  <c r="AV48" i="6" s="1"/>
  <c r="AT76" i="5"/>
  <c r="AT74" i="5" s="1"/>
  <c r="AT251" i="11"/>
  <c r="AT68" i="11" s="1"/>
  <c r="AT102" i="5" s="1"/>
  <c r="AT27" i="19" s="1"/>
  <c r="AU246" i="11"/>
  <c r="AQ19" i="11"/>
  <c r="AP31" i="15" s="1"/>
  <c r="CF4" i="26"/>
  <c r="CF5" i="26" s="1"/>
  <c r="CE8" i="26"/>
  <c r="AV81" i="16"/>
  <c r="AW16" i="6"/>
  <c r="AW60" i="6" s="1"/>
  <c r="AU8" i="11"/>
  <c r="AT8" i="15"/>
  <c r="AV13" i="19"/>
  <c r="AZ7" i="14"/>
  <c r="AV7" i="19"/>
  <c r="AY9" i="14"/>
  <c r="AU9" i="19"/>
  <c r="AZ6" i="14"/>
  <c r="AV6" i="19"/>
  <c r="BA4" i="14"/>
  <c r="AW4" i="19"/>
  <c r="AT5" i="18"/>
  <c r="AT8" i="18" s="1"/>
  <c r="AU8" i="17"/>
  <c r="BY6" i="18"/>
  <c r="AV4" i="17"/>
  <c r="AU4" i="18" s="1"/>
  <c r="AW6" i="16"/>
  <c r="CC7" i="16"/>
  <c r="CA6" i="17"/>
  <c r="AT172" i="11"/>
  <c r="AT28" i="5"/>
  <c r="AT187" i="11"/>
  <c r="AU184" i="11" s="1"/>
  <c r="AV27" i="6"/>
  <c r="AT177" i="11"/>
  <c r="AU174" i="11" s="1"/>
  <c r="AI167" i="11"/>
  <c r="AH19" i="15" s="1"/>
  <c r="AI27" i="5"/>
  <c r="AV54" i="4"/>
  <c r="AV52" i="4"/>
  <c r="AV55" i="4"/>
  <c r="AV53" i="4"/>
  <c r="AV31" i="6"/>
  <c r="AU166" i="11"/>
  <c r="AW36" i="10"/>
  <c r="AW8" i="6"/>
  <c r="AV7" i="5"/>
  <c r="AW7" i="10"/>
  <c r="AU9" i="5"/>
  <c r="AV9" i="10"/>
  <c r="AV10" i="6"/>
  <c r="AV5" i="11"/>
  <c r="AV14" i="11" s="1"/>
  <c r="AV13" i="5"/>
  <c r="AV231" i="11" s="1"/>
  <c r="AV44" i="4"/>
  <c r="AV8" i="4" s="1"/>
  <c r="AW8" i="2" s="1"/>
  <c r="AV43" i="4"/>
  <c r="AV50" i="4"/>
  <c r="AV36" i="4"/>
  <c r="AV42" i="4"/>
  <c r="AV30" i="4"/>
  <c r="AV23" i="4"/>
  <c r="AW52" i="10" s="1"/>
  <c r="AV21" i="4"/>
  <c r="AV48" i="4"/>
  <c r="AV16" i="4"/>
  <c r="AV31" i="4"/>
  <c r="AV32" i="4" s="1"/>
  <c r="AV33" i="4" s="1"/>
  <c r="AV37" i="4"/>
  <c r="AV38" i="4" s="1"/>
  <c r="AV39" i="4" s="1"/>
  <c r="AV24" i="4"/>
  <c r="AV20" i="4"/>
  <c r="AV51" i="4"/>
  <c r="AV18" i="4"/>
  <c r="AV22" i="4"/>
  <c r="AV17" i="4"/>
  <c r="AV41" i="4"/>
  <c r="AV29" i="4"/>
  <c r="AV35" i="4"/>
  <c r="AV6" i="5"/>
  <c r="AW6" i="10"/>
  <c r="AW7" i="6"/>
  <c r="AW4" i="5"/>
  <c r="AX4" i="10"/>
  <c r="AW5" i="4"/>
  <c r="AX5" i="2" s="1"/>
  <c r="AX14" i="2" s="1"/>
  <c r="AX5" i="6"/>
  <c r="AV11" i="10" l="1"/>
  <c r="AY10" i="14"/>
  <c r="AU11" i="5"/>
  <c r="CC79" i="16"/>
  <c r="AU11" i="19"/>
  <c r="AV33" i="6"/>
  <c r="AV12" i="6"/>
  <c r="AU26" i="5"/>
  <c r="AY11" i="14"/>
  <c r="AV32" i="6"/>
  <c r="AV36" i="6"/>
  <c r="AU10" i="19"/>
  <c r="AV10" i="10"/>
  <c r="AV11" i="6"/>
  <c r="AU196" i="11"/>
  <c r="AU39" i="5" s="1"/>
  <c r="AU10" i="5"/>
  <c r="AU25" i="5"/>
  <c r="AV35" i="6"/>
  <c r="AU24" i="5"/>
  <c r="AU214" i="11"/>
  <c r="AU140" i="11"/>
  <c r="AT32" i="5"/>
  <c r="AU28" i="11"/>
  <c r="AU29" i="11" s="1"/>
  <c r="AV26" i="11" s="1"/>
  <c r="AV105" i="11" s="1"/>
  <c r="AW48" i="6" s="1"/>
  <c r="AT42" i="5"/>
  <c r="AT107" i="11"/>
  <c r="AU104" i="11" s="1"/>
  <c r="AT43" i="5"/>
  <c r="AT112" i="11"/>
  <c r="AU109" i="11" s="1"/>
  <c r="AU38" i="11"/>
  <c r="AU110" i="11"/>
  <c r="AV49" i="6" s="1"/>
  <c r="AU33" i="11"/>
  <c r="AU176" i="11"/>
  <c r="AU191" i="11"/>
  <c r="AV245" i="11"/>
  <c r="AV235" i="11"/>
  <c r="AW27" i="10"/>
  <c r="AW21" i="6"/>
  <c r="AW19" i="10" s="1"/>
  <c r="AT252" i="11"/>
  <c r="AU249" i="11" s="1"/>
  <c r="AU247" i="11"/>
  <c r="AV244" i="11" s="1"/>
  <c r="AU250" i="11"/>
  <c r="AV72" i="11"/>
  <c r="AV106" i="5" s="1"/>
  <c r="AV67" i="11"/>
  <c r="AV101" i="5" s="1"/>
  <c r="AR16" i="11"/>
  <c r="AR18" i="11" s="1"/>
  <c r="AR70" i="5" s="1"/>
  <c r="AR68" i="5" s="1"/>
  <c r="CG4" i="26"/>
  <c r="CG5" i="26" s="1"/>
  <c r="CF8" i="26"/>
  <c r="AV32" i="11"/>
  <c r="AW31" i="10"/>
  <c r="AV37" i="11"/>
  <c r="AV81" i="5" s="1"/>
  <c r="AV27" i="11"/>
  <c r="AW4" i="11"/>
  <c r="AV4" i="15"/>
  <c r="AU9" i="11"/>
  <c r="AT9" i="15"/>
  <c r="AU11" i="11"/>
  <c r="AT11" i="15"/>
  <c r="AV6" i="11"/>
  <c r="AU6" i="15"/>
  <c r="AV7" i="11"/>
  <c r="AU7" i="15"/>
  <c r="AW22" i="2"/>
  <c r="AW21" i="2"/>
  <c r="AW25" i="2"/>
  <c r="AW24" i="2"/>
  <c r="AW30" i="2"/>
  <c r="AW23" i="2"/>
  <c r="AT10" i="15"/>
  <c r="AV57" i="11"/>
  <c r="AV90" i="5" s="1"/>
  <c r="AV87" i="11"/>
  <c r="AV88" i="11" s="1"/>
  <c r="AZ8" i="14"/>
  <c r="AV8" i="19"/>
  <c r="BA5" i="14"/>
  <c r="BA15" i="14" s="1"/>
  <c r="AW5" i="19"/>
  <c r="AU186" i="11"/>
  <c r="AU31" i="5" s="1"/>
  <c r="BZ6" i="18"/>
  <c r="AV5" i="17"/>
  <c r="AX5" i="16"/>
  <c r="AW10" i="16"/>
  <c r="AW54" i="16" s="1"/>
  <c r="AW80" i="16" s="1"/>
  <c r="CD7" i="16"/>
  <c r="CB6" i="17"/>
  <c r="AU10" i="11"/>
  <c r="AU169" i="11"/>
  <c r="AU171" i="11" s="1"/>
  <c r="AJ164" i="11"/>
  <c r="AW41" i="6"/>
  <c r="AV195" i="11" s="1"/>
  <c r="AW25" i="6"/>
  <c r="AV35" i="5" s="1"/>
  <c r="AJ165" i="11"/>
  <c r="AU157" i="11"/>
  <c r="AW53" i="10"/>
  <c r="AW48" i="10"/>
  <c r="AW44" i="10"/>
  <c r="AW47" i="10"/>
  <c r="AW28" i="10"/>
  <c r="AW22" i="10"/>
  <c r="AW30" i="10"/>
  <c r="AW45" i="10"/>
  <c r="AW24" i="10"/>
  <c r="AW50" i="10"/>
  <c r="AW25" i="10"/>
  <c r="AW26" i="10"/>
  <c r="AW49" i="10"/>
  <c r="AW23" i="10"/>
  <c r="AW46" i="10"/>
  <c r="AX4" i="4"/>
  <c r="AY4" i="2" s="1"/>
  <c r="AW6" i="4"/>
  <c r="AX6" i="2" s="1"/>
  <c r="AW7" i="4"/>
  <c r="AX7" i="2" s="1"/>
  <c r="AW14" i="4"/>
  <c r="AX6" i="6"/>
  <c r="AX13" i="6" s="1"/>
  <c r="AX5" i="10"/>
  <c r="AX14" i="10" s="1"/>
  <c r="AW5" i="5"/>
  <c r="AV17" i="11"/>
  <c r="AV97" i="11"/>
  <c r="AV45" i="4"/>
  <c r="AV9" i="4" s="1"/>
  <c r="AW9" i="2" s="1"/>
  <c r="AV25" i="4"/>
  <c r="AV46" i="4"/>
  <c r="AV10" i="4" s="1"/>
  <c r="AW10" i="2" s="1"/>
  <c r="AV26" i="4"/>
  <c r="AV47" i="4"/>
  <c r="AV11" i="4" s="1"/>
  <c r="AW11" i="2" s="1"/>
  <c r="AV27" i="4"/>
  <c r="AW9" i="6"/>
  <c r="AV8" i="5"/>
  <c r="AW8" i="10"/>
  <c r="AV5" i="15" l="1"/>
  <c r="AV13" i="15" s="1"/>
  <c r="AW138" i="5"/>
  <c r="AW137" i="5"/>
  <c r="CD79" i="16"/>
  <c r="AU197" i="11"/>
  <c r="AV194" i="11" s="1"/>
  <c r="AV196" i="11" s="1"/>
  <c r="AU76" i="5"/>
  <c r="AU74" i="5" s="1"/>
  <c r="AU106" i="11"/>
  <c r="AU111" i="11"/>
  <c r="AU39" i="11"/>
  <c r="AV36" i="11" s="1"/>
  <c r="AU82" i="5"/>
  <c r="AU80" i="5" s="1"/>
  <c r="AU34" i="11"/>
  <c r="AV31" i="11" s="1"/>
  <c r="AU79" i="5"/>
  <c r="AU77" i="5" s="1"/>
  <c r="AU177" i="11"/>
  <c r="AV174" i="11" s="1"/>
  <c r="AU29" i="5"/>
  <c r="AU192" i="11"/>
  <c r="AV189" i="11" s="1"/>
  <c r="AU32" i="5"/>
  <c r="AV170" i="11"/>
  <c r="AW32" i="6"/>
  <c r="AU251" i="11"/>
  <c r="AU252" i="11" s="1"/>
  <c r="AV249" i="11" s="1"/>
  <c r="AV246" i="11"/>
  <c r="CH4" i="26"/>
  <c r="CH5" i="26" s="1"/>
  <c r="CG8" i="26"/>
  <c r="AW81" i="16"/>
  <c r="AR19" i="11"/>
  <c r="AX16" i="6"/>
  <c r="AX60" i="6" s="1"/>
  <c r="AV78" i="5"/>
  <c r="AV28" i="11"/>
  <c r="AV75" i="5"/>
  <c r="BA99" i="14"/>
  <c r="AV8" i="11"/>
  <c r="AU8" i="15"/>
  <c r="AV140" i="11"/>
  <c r="AV61" i="19"/>
  <c r="BA104" i="14"/>
  <c r="AW13" i="19"/>
  <c r="AZ11" i="14"/>
  <c r="AV11" i="19"/>
  <c r="BA7" i="14"/>
  <c r="AW7" i="19"/>
  <c r="BA6" i="14"/>
  <c r="AW6" i="19"/>
  <c r="AZ10" i="14"/>
  <c r="AV10" i="19"/>
  <c r="BB4" i="14"/>
  <c r="AX4" i="19"/>
  <c r="AU187" i="11"/>
  <c r="AV184" i="11" s="1"/>
  <c r="AZ9" i="14"/>
  <c r="AV9" i="19"/>
  <c r="AX6" i="16"/>
  <c r="AW4" i="17"/>
  <c r="AV4" i="18" s="1"/>
  <c r="AU5" i="18"/>
  <c r="AU8" i="18" s="1"/>
  <c r="AV8" i="17"/>
  <c r="CA6" i="18"/>
  <c r="CE7" i="16"/>
  <c r="CC6" i="17"/>
  <c r="AW29" i="6"/>
  <c r="AV25" i="5"/>
  <c r="AW27" i="6"/>
  <c r="AV23" i="5"/>
  <c r="AW28" i="6"/>
  <c r="AV24" i="5"/>
  <c r="AW30" i="6"/>
  <c r="AV26" i="5"/>
  <c r="AV69" i="5"/>
  <c r="AU172" i="11"/>
  <c r="AU28" i="5"/>
  <c r="AJ167" i="11"/>
  <c r="AI19" i="15" s="1"/>
  <c r="L643" i="32" s="1"/>
  <c r="AJ27" i="5"/>
  <c r="L594" i="32" s="1"/>
  <c r="AW55" i="4"/>
  <c r="AW53" i="4"/>
  <c r="AW52" i="4"/>
  <c r="AW54" i="4"/>
  <c r="AW31" i="6"/>
  <c r="AV166" i="11"/>
  <c r="AW35" i="6"/>
  <c r="AV185" i="11"/>
  <c r="AW36" i="6"/>
  <c r="AV190" i="11"/>
  <c r="AW33" i="6"/>
  <c r="AV175" i="11"/>
  <c r="AV145" i="11"/>
  <c r="AV214" i="11"/>
  <c r="AX36" i="10"/>
  <c r="AW10" i="10"/>
  <c r="AW11" i="6"/>
  <c r="AV10" i="5"/>
  <c r="AW5" i="11"/>
  <c r="AW14" i="11" s="1"/>
  <c r="AW13" i="5"/>
  <c r="AW231" i="11" s="1"/>
  <c r="AV9" i="5"/>
  <c r="AW10" i="6"/>
  <c r="AW9" i="10"/>
  <c r="AW44" i="4"/>
  <c r="AW8" i="4" s="1"/>
  <c r="AX8" i="2" s="1"/>
  <c r="AW16" i="4"/>
  <c r="AW35" i="4"/>
  <c r="AW50" i="4"/>
  <c r="AW23" i="4"/>
  <c r="AX47" i="10" s="1"/>
  <c r="AW18" i="4"/>
  <c r="AW37" i="4"/>
  <c r="AW38" i="4" s="1"/>
  <c r="AW39" i="4" s="1"/>
  <c r="AW51" i="4"/>
  <c r="AW30" i="4"/>
  <c r="AW20" i="4"/>
  <c r="AW21" i="4"/>
  <c r="AW42" i="4"/>
  <c r="AW43" i="4"/>
  <c r="AW36" i="4"/>
  <c r="AW41" i="4"/>
  <c r="AW29" i="4"/>
  <c r="AW31" i="4"/>
  <c r="AW32" i="4" s="1"/>
  <c r="AW33" i="4" s="1"/>
  <c r="AW24" i="4"/>
  <c r="AW48" i="4"/>
  <c r="AW22" i="4"/>
  <c r="AW17" i="4"/>
  <c r="AX7" i="10"/>
  <c r="AW7" i="5"/>
  <c r="AX8" i="6"/>
  <c r="AX7" i="6"/>
  <c r="AX6" i="10"/>
  <c r="AW6" i="5"/>
  <c r="AX5" i="4"/>
  <c r="AY5" i="2" s="1"/>
  <c r="AY14" i="2" s="1"/>
  <c r="AX4" i="5"/>
  <c r="AY5" i="6"/>
  <c r="AY4" i="10"/>
  <c r="AW12" i="6"/>
  <c r="AV11" i="5"/>
  <c r="AW11" i="10"/>
  <c r="CE79" i="16" l="1"/>
  <c r="AV39" i="5"/>
  <c r="AV197" i="11"/>
  <c r="AW194" i="11" s="1"/>
  <c r="AV110" i="11"/>
  <c r="AW49" i="6" s="1"/>
  <c r="AV33" i="11"/>
  <c r="AU42" i="5"/>
  <c r="AU107" i="11"/>
  <c r="AV104" i="11" s="1"/>
  <c r="AV106" i="11" s="1"/>
  <c r="AV38" i="11"/>
  <c r="AU112" i="11"/>
  <c r="AV109" i="11" s="1"/>
  <c r="AU43" i="5"/>
  <c r="AV176" i="11"/>
  <c r="AV191" i="11"/>
  <c r="AW245" i="11"/>
  <c r="AW235" i="11"/>
  <c r="AX24" i="10"/>
  <c r="AX21" i="6"/>
  <c r="AX19" i="10" s="1"/>
  <c r="C594" i="32"/>
  <c r="AU68" i="11"/>
  <c r="AU102" i="5" s="1"/>
  <c r="AU27" i="19" s="1"/>
  <c r="AV247" i="11"/>
  <c r="AW244" i="11" s="1"/>
  <c r="AV250" i="11"/>
  <c r="AV251" i="11" s="1"/>
  <c r="AV252" i="11" s="1"/>
  <c r="AW249" i="11" s="1"/>
  <c r="AW67" i="11"/>
  <c r="AW101" i="5" s="1"/>
  <c r="AW72" i="11"/>
  <c r="AW106" i="5" s="1"/>
  <c r="CI4" i="26"/>
  <c r="CI5" i="26" s="1"/>
  <c r="CH8" i="26"/>
  <c r="AQ31" i="15"/>
  <c r="AS16" i="11"/>
  <c r="AV29" i="11"/>
  <c r="AW26" i="11" s="1"/>
  <c r="AW105" i="11" s="1"/>
  <c r="AX48" i="6" s="1"/>
  <c r="AV76" i="5"/>
  <c r="AV74" i="5" s="1"/>
  <c r="AW32" i="11"/>
  <c r="AX31" i="10"/>
  <c r="BA88" i="14"/>
  <c r="AW37" i="11"/>
  <c r="AW81" i="5" s="1"/>
  <c r="AW27" i="11"/>
  <c r="AW6" i="11"/>
  <c r="AV6" i="15"/>
  <c r="AW7" i="11"/>
  <c r="AV7" i="15"/>
  <c r="AV9" i="11"/>
  <c r="AU9" i="15"/>
  <c r="AV11" i="11"/>
  <c r="AU11" i="15"/>
  <c r="AX24" i="2"/>
  <c r="AX21" i="2"/>
  <c r="AX22" i="2"/>
  <c r="AX23" i="2"/>
  <c r="AX25" i="2"/>
  <c r="AX30" i="2"/>
  <c r="AU10" i="15"/>
  <c r="AX4" i="11"/>
  <c r="AW4" i="15"/>
  <c r="AW57" i="11"/>
  <c r="AW90" i="5" s="1"/>
  <c r="AW87" i="11"/>
  <c r="AW88" i="11" s="1"/>
  <c r="BB5" i="14"/>
  <c r="BB15" i="14" s="1"/>
  <c r="AX5" i="19"/>
  <c r="AV186" i="11"/>
  <c r="AV31" i="5" s="1"/>
  <c r="BA8" i="14"/>
  <c r="AW8" i="19"/>
  <c r="CB6" i="18"/>
  <c r="CF7" i="16"/>
  <c r="CD6" i="17"/>
  <c r="AV10" i="11"/>
  <c r="AX10" i="16"/>
  <c r="AX54" i="16" s="1"/>
  <c r="AX80" i="16" s="1"/>
  <c r="AY5" i="16"/>
  <c r="AW5" i="17"/>
  <c r="AV169" i="11"/>
  <c r="AV171" i="11" s="1"/>
  <c r="AV28" i="5" s="1"/>
  <c r="AK164" i="11"/>
  <c r="AX25" i="6"/>
  <c r="AW35" i="5" s="1"/>
  <c r="AX41" i="6"/>
  <c r="AW195" i="11" s="1"/>
  <c r="AW196" i="11" s="1"/>
  <c r="AW39" i="5" s="1"/>
  <c r="AK165" i="11"/>
  <c r="AX49" i="10"/>
  <c r="AX48" i="10"/>
  <c r="AV157" i="11"/>
  <c r="AX45" i="10"/>
  <c r="AX44" i="10"/>
  <c r="AX28" i="10"/>
  <c r="AX23" i="10"/>
  <c r="AX53" i="10"/>
  <c r="AX27" i="10"/>
  <c r="AX50" i="10"/>
  <c r="AX26" i="10"/>
  <c r="AX46" i="10"/>
  <c r="AX25" i="10"/>
  <c r="AX22" i="10"/>
  <c r="AX30" i="10"/>
  <c r="AX52" i="10"/>
  <c r="AW47" i="4"/>
  <c r="AW11" i="4" s="1"/>
  <c r="AX11" i="2" s="1"/>
  <c r="AW46" i="4"/>
  <c r="AW10" i="4" s="1"/>
  <c r="AX10" i="2" s="1"/>
  <c r="AW45" i="4"/>
  <c r="AW9" i="4" s="1"/>
  <c r="AX9" i="2" s="1"/>
  <c r="AW25" i="4"/>
  <c r="AW26" i="4"/>
  <c r="AW27" i="4"/>
  <c r="AW17" i="11"/>
  <c r="AW97" i="11"/>
  <c r="AX9" i="6"/>
  <c r="AX8" i="10"/>
  <c r="AW8" i="5"/>
  <c r="AX7" i="4"/>
  <c r="AY7" i="2" s="1"/>
  <c r="AY4" i="4"/>
  <c r="AZ4" i="2" s="1"/>
  <c r="AX14" i="4"/>
  <c r="AX6" i="4"/>
  <c r="AY6" i="2" s="1"/>
  <c r="AX5" i="5"/>
  <c r="AY5" i="10"/>
  <c r="AY14" i="10" s="1"/>
  <c r="AY6" i="6"/>
  <c r="AY13" i="6" s="1"/>
  <c r="AW5" i="15" l="1"/>
  <c r="AW13" i="15" s="1"/>
  <c r="AX137" i="5"/>
  <c r="AX138" i="5"/>
  <c r="CF79" i="16"/>
  <c r="AV34" i="11"/>
  <c r="AW31" i="11" s="1"/>
  <c r="AW110" i="11" s="1"/>
  <c r="AX49" i="6" s="1"/>
  <c r="AV79" i="5"/>
  <c r="AV77" i="5" s="1"/>
  <c r="AV107" i="11"/>
  <c r="AW104" i="11" s="1"/>
  <c r="AW106" i="11" s="1"/>
  <c r="AV42" i="5"/>
  <c r="AV82" i="5"/>
  <c r="AV80" i="5" s="1"/>
  <c r="AV39" i="11"/>
  <c r="AW36" i="11" s="1"/>
  <c r="AW38" i="11" s="1"/>
  <c r="AW82" i="5" s="1"/>
  <c r="AW80" i="5" s="1"/>
  <c r="AV111" i="11"/>
  <c r="AV177" i="11"/>
  <c r="AW174" i="11" s="1"/>
  <c r="AV29" i="5"/>
  <c r="AV192" i="11"/>
  <c r="AW189" i="11" s="1"/>
  <c r="AV32" i="5"/>
  <c r="AX29" i="6"/>
  <c r="AW25" i="5"/>
  <c r="AV68" i="11"/>
  <c r="AV102" i="5" s="1"/>
  <c r="AV27" i="19" s="1"/>
  <c r="AW246" i="11"/>
  <c r="CJ4" i="26"/>
  <c r="CJ5" i="26" s="1"/>
  <c r="CI8" i="26"/>
  <c r="AX81" i="16"/>
  <c r="AS18" i="11"/>
  <c r="AS70" i="5" s="1"/>
  <c r="AS68" i="5" s="1"/>
  <c r="AY16" i="6"/>
  <c r="AY60" i="6" s="1"/>
  <c r="AW28" i="11"/>
  <c r="AW75" i="5"/>
  <c r="AW78" i="5"/>
  <c r="BB104" i="14"/>
  <c r="AW8" i="11"/>
  <c r="AV8" i="15"/>
  <c r="AW140" i="11"/>
  <c r="AW61" i="19"/>
  <c r="AV187" i="11"/>
  <c r="AW184" i="11" s="1"/>
  <c r="BB99" i="14"/>
  <c r="AX13" i="19"/>
  <c r="AV172" i="11"/>
  <c r="BA10" i="14"/>
  <c r="AW10" i="19"/>
  <c r="BB7" i="14"/>
  <c r="AX7" i="19"/>
  <c r="BA11" i="14"/>
  <c r="AW11" i="19"/>
  <c r="BC4" i="14"/>
  <c r="AY4" i="19"/>
  <c r="BB6" i="14"/>
  <c r="AX6" i="19"/>
  <c r="BA9" i="14"/>
  <c r="AW9" i="19"/>
  <c r="CC6" i="18"/>
  <c r="AW8" i="17"/>
  <c r="AV5" i="18"/>
  <c r="AV8" i="18" s="1"/>
  <c r="AY6" i="16"/>
  <c r="AX4" i="17"/>
  <c r="AW4" i="18" s="1"/>
  <c r="CE6" i="17"/>
  <c r="CG7" i="16"/>
  <c r="AW197" i="11"/>
  <c r="AX194" i="11" s="1"/>
  <c r="AX27" i="6"/>
  <c r="AW23" i="5"/>
  <c r="AX28" i="6"/>
  <c r="AW24" i="5"/>
  <c r="AX30" i="6"/>
  <c r="AW26" i="5"/>
  <c r="AW69" i="5"/>
  <c r="AK167" i="11"/>
  <c r="AJ19" i="15" s="1"/>
  <c r="AK27" i="5"/>
  <c r="AX52" i="4"/>
  <c r="AX53" i="4"/>
  <c r="AX54" i="4"/>
  <c r="AX55" i="4"/>
  <c r="AX35" i="6"/>
  <c r="AW185" i="11"/>
  <c r="AX31" i="6"/>
  <c r="AW166" i="11"/>
  <c r="AX32" i="6"/>
  <c r="AW170" i="11"/>
  <c r="AW175" i="11"/>
  <c r="AX33" i="6"/>
  <c r="AX36" i="6"/>
  <c r="AW190" i="11"/>
  <c r="AW145" i="11"/>
  <c r="AW214" i="11"/>
  <c r="AY36" i="10"/>
  <c r="AY7" i="6"/>
  <c r="AX6" i="5"/>
  <c r="AY6" i="10"/>
  <c r="AX44" i="4"/>
  <c r="AX8" i="4" s="1"/>
  <c r="AY8" i="2" s="1"/>
  <c r="AX36" i="4"/>
  <c r="AX30" i="4"/>
  <c r="AX23" i="4"/>
  <c r="AY50" i="10" s="1"/>
  <c r="AX20" i="4"/>
  <c r="AX41" i="4"/>
  <c r="AX42" i="4"/>
  <c r="AX17" i="4"/>
  <c r="AX35" i="4"/>
  <c r="AX18" i="4"/>
  <c r="AX50" i="4"/>
  <c r="AX22" i="4"/>
  <c r="AX29" i="4"/>
  <c r="AX51" i="4"/>
  <c r="AX16" i="4"/>
  <c r="AX48" i="4"/>
  <c r="AX21" i="4"/>
  <c r="AX31" i="4"/>
  <c r="AX32" i="4" s="1"/>
  <c r="AX33" i="4" s="1"/>
  <c r="AX24" i="4"/>
  <c r="AX37" i="4"/>
  <c r="AX38" i="4" s="1"/>
  <c r="AX39" i="4" s="1"/>
  <c r="AX43" i="4"/>
  <c r="AY5" i="4"/>
  <c r="AZ5" i="2" s="1"/>
  <c r="AZ14" i="2" s="1"/>
  <c r="AZ5" i="6"/>
  <c r="AY4" i="5"/>
  <c r="AZ4" i="10"/>
  <c r="AY8" i="6"/>
  <c r="AY7" i="10"/>
  <c r="AX7" i="5"/>
  <c r="AX10" i="6"/>
  <c r="AW9" i="5"/>
  <c r="AX9" i="10"/>
  <c r="AW10" i="5"/>
  <c r="AX11" i="6"/>
  <c r="AX10" i="10"/>
  <c r="AX11" i="10"/>
  <c r="AX12" i="6"/>
  <c r="AW11" i="5"/>
  <c r="AX5" i="11"/>
  <c r="AX14" i="11" s="1"/>
  <c r="AX13" i="5"/>
  <c r="AX231" i="11" s="1"/>
  <c r="AW33" i="11" l="1"/>
  <c r="CG79" i="16"/>
  <c r="AW176" i="11"/>
  <c r="AV43" i="5"/>
  <c r="AV112" i="11"/>
  <c r="AW109" i="11" s="1"/>
  <c r="AW191" i="11"/>
  <c r="AX245" i="11"/>
  <c r="AX235" i="11"/>
  <c r="AY23" i="10"/>
  <c r="AY21" i="6"/>
  <c r="AY19" i="10" s="1"/>
  <c r="AW247" i="11"/>
  <c r="AX244" i="11" s="1"/>
  <c r="AW250" i="11"/>
  <c r="AW251" i="11" s="1"/>
  <c r="AW252" i="11" s="1"/>
  <c r="AX249" i="11" s="1"/>
  <c r="AX72" i="11"/>
  <c r="AX106" i="5" s="1"/>
  <c r="AX67" i="11"/>
  <c r="AX101" i="5" s="1"/>
  <c r="AS19" i="11"/>
  <c r="AR31" i="15" s="1"/>
  <c r="CK4" i="26"/>
  <c r="CK5" i="26" s="1"/>
  <c r="CJ8" i="26"/>
  <c r="AW107" i="11"/>
  <c r="AX104" i="11" s="1"/>
  <c r="AW42" i="5"/>
  <c r="AW34" i="11"/>
  <c r="AX31" i="11" s="1"/>
  <c r="AX110" i="11" s="1"/>
  <c r="AY49" i="6" s="1"/>
  <c r="AW79" i="5"/>
  <c r="AW77" i="5" s="1"/>
  <c r="AW39" i="11"/>
  <c r="AX36" i="11" s="1"/>
  <c r="AW29" i="11"/>
  <c r="AX26" i="11" s="1"/>
  <c r="AX105" i="11" s="1"/>
  <c r="AY48" i="6" s="1"/>
  <c r="AW76" i="5"/>
  <c r="AW74" i="5" s="1"/>
  <c r="AX32" i="11"/>
  <c r="BB88" i="14"/>
  <c r="AY31" i="10"/>
  <c r="AY36" i="6" s="1"/>
  <c r="AX37" i="11"/>
  <c r="AX27" i="11"/>
  <c r="AV10" i="15"/>
  <c r="AY22" i="2"/>
  <c r="AY24" i="2"/>
  <c r="AY23" i="2"/>
  <c r="AY30" i="2"/>
  <c r="AY25" i="2"/>
  <c r="AY21" i="2"/>
  <c r="AW11" i="11"/>
  <c r="AV11" i="15"/>
  <c r="AW9" i="11"/>
  <c r="AV9" i="15"/>
  <c r="AX6" i="11"/>
  <c r="AW6" i="15"/>
  <c r="AY4" i="11"/>
  <c r="AX4" i="15"/>
  <c r="AX7" i="11"/>
  <c r="AW7" i="15"/>
  <c r="AW169" i="11"/>
  <c r="AW171" i="11" s="1"/>
  <c r="AW172" i="11" s="1"/>
  <c r="AX57" i="11"/>
  <c r="AX90" i="5" s="1"/>
  <c r="AX61" i="19" s="1"/>
  <c r="AX87" i="11"/>
  <c r="AX88" i="11" s="1"/>
  <c r="BC5" i="14"/>
  <c r="BC15" i="14" s="1"/>
  <c r="AY5" i="19"/>
  <c r="BB8" i="14"/>
  <c r="AX8" i="19"/>
  <c r="CD6" i="18"/>
  <c r="AW10" i="11"/>
  <c r="AY10" i="16"/>
  <c r="AY54" i="16" s="1"/>
  <c r="AY80" i="16" s="1"/>
  <c r="AZ5" i="16"/>
  <c r="AX5" i="17"/>
  <c r="CH7" i="16"/>
  <c r="CF6" i="17"/>
  <c r="AL164" i="11"/>
  <c r="AY41" i="6"/>
  <c r="AX195" i="11" s="1"/>
  <c r="AX196" i="11" s="1"/>
  <c r="AX39" i="5" s="1"/>
  <c r="AY25" i="6"/>
  <c r="AX35" i="5" s="1"/>
  <c r="AL165" i="11"/>
  <c r="AW186" i="11"/>
  <c r="AW31" i="5" s="1"/>
  <c r="AY27" i="10"/>
  <c r="AY22" i="10"/>
  <c r="AY30" i="10"/>
  <c r="AW157" i="11"/>
  <c r="AY53" i="10"/>
  <c r="AY49" i="10"/>
  <c r="AY52" i="10"/>
  <c r="AY24" i="10"/>
  <c r="AY47" i="10"/>
  <c r="AY25" i="10"/>
  <c r="AY44" i="10"/>
  <c r="AY26" i="10"/>
  <c r="AY46" i="10"/>
  <c r="AY45" i="10"/>
  <c r="AY28" i="10"/>
  <c r="AY48" i="10"/>
  <c r="AY9" i="6"/>
  <c r="AY8" i="10"/>
  <c r="AX8" i="5"/>
  <c r="AX17" i="11"/>
  <c r="AX97" i="11"/>
  <c r="AY7" i="4"/>
  <c r="AZ7" i="2" s="1"/>
  <c r="AY14" i="4"/>
  <c r="AZ4" i="4"/>
  <c r="BA4" i="2" s="1"/>
  <c r="AY6" i="4"/>
  <c r="AZ6" i="2" s="1"/>
  <c r="AZ6" i="6"/>
  <c r="AZ13" i="6" s="1"/>
  <c r="AY5" i="5"/>
  <c r="AX5" i="15" s="1"/>
  <c r="AX13" i="15" s="1"/>
  <c r="AZ5" i="10"/>
  <c r="AZ14" i="10" s="1"/>
  <c r="AX47" i="4"/>
  <c r="AX11" i="4" s="1"/>
  <c r="AY11" i="2" s="1"/>
  <c r="AX46" i="4"/>
  <c r="AX10" i="4" s="1"/>
  <c r="AY10" i="2" s="1"/>
  <c r="AX27" i="4"/>
  <c r="AX45" i="4"/>
  <c r="AX9" i="4" s="1"/>
  <c r="AY9" i="2" s="1"/>
  <c r="AX25" i="4"/>
  <c r="AX26" i="4"/>
  <c r="CH79" i="16" l="1"/>
  <c r="AW177" i="11"/>
  <c r="AX174" i="11" s="1"/>
  <c r="AW29" i="5"/>
  <c r="AW111" i="11"/>
  <c r="AW43" i="5" s="1"/>
  <c r="AW192" i="11"/>
  <c r="AX189" i="11" s="1"/>
  <c r="AW32" i="5"/>
  <c r="AY28" i="6"/>
  <c r="AX24" i="5"/>
  <c r="AW68" i="11"/>
  <c r="AW102" i="5" s="1"/>
  <c r="AW27" i="19" s="1"/>
  <c r="AX246" i="11"/>
  <c r="AT16" i="11"/>
  <c r="AT18" i="11" s="1"/>
  <c r="AT70" i="5" s="1"/>
  <c r="AT68" i="5" s="1"/>
  <c r="CL4" i="26"/>
  <c r="CL5" i="26" s="1"/>
  <c r="CK8" i="26"/>
  <c r="AY81" i="16"/>
  <c r="AZ16" i="6"/>
  <c r="AZ60" i="6" s="1"/>
  <c r="AX38" i="11"/>
  <c r="AX82" i="5" s="1"/>
  <c r="AX28" i="11"/>
  <c r="AX75" i="5"/>
  <c r="AX33" i="11"/>
  <c r="AX78" i="5"/>
  <c r="AX106" i="11"/>
  <c r="AX81" i="5"/>
  <c r="BC99" i="14"/>
  <c r="AX8" i="11"/>
  <c r="AW8" i="15"/>
  <c r="BC104" i="14"/>
  <c r="AX140" i="11"/>
  <c r="AW28" i="5"/>
  <c r="AY13" i="19"/>
  <c r="BB11" i="14"/>
  <c r="AX11" i="19"/>
  <c r="BD4" i="14"/>
  <c r="AZ4" i="19"/>
  <c r="BC7" i="14"/>
  <c r="AY7" i="19"/>
  <c r="BC6" i="14"/>
  <c r="AY6" i="19"/>
  <c r="BB9" i="14"/>
  <c r="AX9" i="19"/>
  <c r="BB10" i="14"/>
  <c r="AX10" i="19"/>
  <c r="AW5" i="18"/>
  <c r="AW8" i="18" s="1"/>
  <c r="AX8" i="17"/>
  <c r="AZ6" i="16"/>
  <c r="AY4" i="17"/>
  <c r="AX4" i="18" s="1"/>
  <c r="CE6" i="18"/>
  <c r="CI7" i="16"/>
  <c r="CG6" i="17"/>
  <c r="AX169" i="11"/>
  <c r="AX197" i="11"/>
  <c r="AY194" i="11" s="1"/>
  <c r="AY27" i="6"/>
  <c r="AX23" i="5"/>
  <c r="AX190" i="11"/>
  <c r="AY29" i="6"/>
  <c r="AX25" i="5"/>
  <c r="AY30" i="6"/>
  <c r="AX26" i="5"/>
  <c r="AW187" i="11"/>
  <c r="AX184" i="11" s="1"/>
  <c r="AX69" i="5"/>
  <c r="AL167" i="11"/>
  <c r="AK19" i="15" s="1"/>
  <c r="AL27" i="5"/>
  <c r="AY55" i="4"/>
  <c r="AY53" i="4"/>
  <c r="AY54" i="4"/>
  <c r="AY52" i="4"/>
  <c r="AY33" i="6"/>
  <c r="AX175" i="11"/>
  <c r="AY31" i="6"/>
  <c r="AX166" i="11"/>
  <c r="AY35" i="6"/>
  <c r="AX185" i="11"/>
  <c r="AY32" i="6"/>
  <c r="AX170" i="11"/>
  <c r="AX145" i="11"/>
  <c r="AX214" i="11"/>
  <c r="AZ36" i="10"/>
  <c r="AY5" i="11"/>
  <c r="AY14" i="11" s="1"/>
  <c r="AY13" i="5"/>
  <c r="AY231" i="11" s="1"/>
  <c r="AY6" i="5"/>
  <c r="AZ7" i="6"/>
  <c r="AZ6" i="10"/>
  <c r="AZ5" i="4"/>
  <c r="BA5" i="2" s="1"/>
  <c r="BA14" i="2" s="1"/>
  <c r="BA5" i="6"/>
  <c r="BA4" i="10"/>
  <c r="AZ4" i="5"/>
  <c r="AY10" i="6"/>
  <c r="AX9" i="5"/>
  <c r="AY9" i="10"/>
  <c r="AY44" i="4"/>
  <c r="AY8" i="4" s="1"/>
  <c r="AZ8" i="2" s="1"/>
  <c r="AY17" i="4"/>
  <c r="AY23" i="4"/>
  <c r="AZ45" i="10" s="1"/>
  <c r="AY35" i="4"/>
  <c r="AY21" i="4"/>
  <c r="AY37" i="4"/>
  <c r="AY38" i="4" s="1"/>
  <c r="AY39" i="4" s="1"/>
  <c r="AY20" i="4"/>
  <c r="AY43" i="4"/>
  <c r="AY29" i="4"/>
  <c r="AY50" i="4"/>
  <c r="AY31" i="4"/>
  <c r="AY32" i="4" s="1"/>
  <c r="AY33" i="4" s="1"/>
  <c r="AY22" i="4"/>
  <c r="AY41" i="4"/>
  <c r="AY24" i="4"/>
  <c r="AY42" i="4"/>
  <c r="AY48" i="4"/>
  <c r="AY36" i="4"/>
  <c r="AY18" i="4"/>
  <c r="AY51" i="4"/>
  <c r="AY30" i="4"/>
  <c r="AY16" i="4"/>
  <c r="AY7" i="5"/>
  <c r="AZ7" i="10"/>
  <c r="AZ8" i="6"/>
  <c r="AX10" i="5"/>
  <c r="AY10" i="10"/>
  <c r="AY11" i="6"/>
  <c r="AX11" i="5"/>
  <c r="AY12" i="6"/>
  <c r="AY11" i="10"/>
  <c r="CI79" i="16" l="1"/>
  <c r="AW112" i="11"/>
  <c r="AX109" i="11" s="1"/>
  <c r="AX111" i="11" s="1"/>
  <c r="AX112" i="11" s="1"/>
  <c r="AY109" i="11" s="1"/>
  <c r="AX191" i="11"/>
  <c r="AX176" i="11"/>
  <c r="AY245" i="11"/>
  <c r="AY235" i="11"/>
  <c r="AZ26" i="10"/>
  <c r="AZ21" i="6"/>
  <c r="AZ19" i="10" s="1"/>
  <c r="AX247" i="11"/>
  <c r="AY244" i="11" s="1"/>
  <c r="AX250" i="11"/>
  <c r="AX251" i="11" s="1"/>
  <c r="AX252" i="11" s="1"/>
  <c r="AY249" i="11" s="1"/>
  <c r="AY72" i="11"/>
  <c r="AY106" i="5" s="1"/>
  <c r="AY67" i="11"/>
  <c r="AY101" i="5" s="1"/>
  <c r="AT19" i="11"/>
  <c r="AS31" i="15" s="1"/>
  <c r="CM4" i="26"/>
  <c r="CM5" i="26" s="1"/>
  <c r="CL8" i="26"/>
  <c r="AX39" i="11"/>
  <c r="AY36" i="11" s="1"/>
  <c r="AX80" i="5"/>
  <c r="AX107" i="11"/>
  <c r="AY104" i="11" s="1"/>
  <c r="AX42" i="5"/>
  <c r="AX34" i="11"/>
  <c r="AY31" i="11" s="1"/>
  <c r="AY110" i="11" s="1"/>
  <c r="AZ49" i="6" s="1"/>
  <c r="AX79" i="5"/>
  <c r="AX77" i="5" s="1"/>
  <c r="AX29" i="11"/>
  <c r="AY26" i="11" s="1"/>
  <c r="AY105" i="11" s="1"/>
  <c r="AZ48" i="6" s="1"/>
  <c r="AX76" i="5"/>
  <c r="AX74" i="5" s="1"/>
  <c r="AY32" i="11"/>
  <c r="AY78" i="5" s="1"/>
  <c r="AZ31" i="10"/>
  <c r="AY37" i="11"/>
  <c r="AY81" i="5" s="1"/>
  <c r="AY27" i="11"/>
  <c r="BC88" i="14"/>
  <c r="AZ21" i="2"/>
  <c r="AZ24" i="2"/>
  <c r="AZ30" i="2"/>
  <c r="AZ23" i="2"/>
  <c r="AZ25" i="2"/>
  <c r="AZ22" i="2"/>
  <c r="AX9" i="11"/>
  <c r="AW9" i="15"/>
  <c r="AY7" i="11"/>
  <c r="AX7" i="15"/>
  <c r="AZ4" i="11"/>
  <c r="AY4" i="15"/>
  <c r="AY6" i="11"/>
  <c r="AX6" i="15"/>
  <c r="AW10" i="15"/>
  <c r="AX11" i="11"/>
  <c r="AW11" i="15"/>
  <c r="AY57" i="11"/>
  <c r="AY90" i="5" s="1"/>
  <c r="AY87" i="11"/>
  <c r="AY88" i="11" s="1"/>
  <c r="BC8" i="14"/>
  <c r="AY8" i="19"/>
  <c r="BD5" i="14"/>
  <c r="BD15" i="14" s="1"/>
  <c r="AZ5" i="19"/>
  <c r="AX10" i="11"/>
  <c r="CH6" i="17"/>
  <c r="CJ7" i="16"/>
  <c r="AY5" i="17"/>
  <c r="BA5" i="16"/>
  <c r="AZ10" i="16"/>
  <c r="AZ54" i="16" s="1"/>
  <c r="AZ80" i="16" s="1"/>
  <c r="CF6" i="18"/>
  <c r="AX171" i="11"/>
  <c r="AX172" i="11" s="1"/>
  <c r="AX186" i="11"/>
  <c r="AX31" i="5" s="1"/>
  <c r="AM164" i="11"/>
  <c r="AZ41" i="6"/>
  <c r="AY195" i="11" s="1"/>
  <c r="AY196" i="11" s="1"/>
  <c r="AY39" i="5" s="1"/>
  <c r="AZ25" i="6"/>
  <c r="AY35" i="5" s="1"/>
  <c r="AM165" i="11"/>
  <c r="AX157" i="11"/>
  <c r="AZ46" i="10"/>
  <c r="AZ30" i="10"/>
  <c r="AZ52" i="10"/>
  <c r="AZ22" i="10"/>
  <c r="AZ47" i="10"/>
  <c r="AZ25" i="10"/>
  <c r="AZ44" i="10"/>
  <c r="AZ28" i="10"/>
  <c r="AZ48" i="10"/>
  <c r="AZ27" i="10"/>
  <c r="AZ50" i="10"/>
  <c r="AZ49" i="10"/>
  <c r="AZ24" i="10"/>
  <c r="AZ23" i="10"/>
  <c r="AZ53" i="10"/>
  <c r="AZ14" i="4"/>
  <c r="BA4" i="4"/>
  <c r="BB4" i="2" s="1"/>
  <c r="AZ7" i="4"/>
  <c r="BA7" i="2" s="1"/>
  <c r="AZ6" i="4"/>
  <c r="BA6" i="2" s="1"/>
  <c r="BA6" i="6"/>
  <c r="BA13" i="6" s="1"/>
  <c r="BA5" i="10"/>
  <c r="BA14" i="10" s="1"/>
  <c r="AZ5" i="5"/>
  <c r="AY27" i="4"/>
  <c r="AY45" i="4"/>
  <c r="AY9" i="4" s="1"/>
  <c r="AZ9" i="2" s="1"/>
  <c r="AY46" i="4"/>
  <c r="AY10" i="4" s="1"/>
  <c r="AZ10" i="2" s="1"/>
  <c r="AY47" i="4"/>
  <c r="AY11" i="4" s="1"/>
  <c r="AZ11" i="2" s="1"/>
  <c r="AY26" i="4"/>
  <c r="AY25" i="4"/>
  <c r="AZ8" i="10"/>
  <c r="AZ9" i="6"/>
  <c r="AY8" i="5"/>
  <c r="AY17" i="11"/>
  <c r="AY97" i="11"/>
  <c r="CJ79" i="16" l="1"/>
  <c r="AY5" i="15"/>
  <c r="AY13" i="15" s="1"/>
  <c r="AZ137" i="5"/>
  <c r="AZ138" i="5"/>
  <c r="AX43" i="5"/>
  <c r="AX32" i="5"/>
  <c r="AX192" i="11"/>
  <c r="AY189" i="11" s="1"/>
  <c r="AX177" i="11"/>
  <c r="AY174" i="11" s="1"/>
  <c r="AX29" i="5"/>
  <c r="AZ31" i="6"/>
  <c r="AY166" i="11"/>
  <c r="AN165" i="11" s="1"/>
  <c r="AX68" i="11"/>
  <c r="AX102" i="5" s="1"/>
  <c r="AX27" i="19" s="1"/>
  <c r="AY246" i="11"/>
  <c r="AU16" i="11"/>
  <c r="AU18" i="11" s="1"/>
  <c r="AU70" i="5" s="1"/>
  <c r="AU68" i="5" s="1"/>
  <c r="CN4" i="26"/>
  <c r="CN5" i="26" s="1"/>
  <c r="CM8" i="26"/>
  <c r="AZ81" i="16"/>
  <c r="BA16" i="6"/>
  <c r="BA60" i="6" s="1"/>
  <c r="AY28" i="11"/>
  <c r="AY75" i="5"/>
  <c r="AY111" i="11"/>
  <c r="AY106" i="11"/>
  <c r="AY33" i="11"/>
  <c r="AY79" i="5" s="1"/>
  <c r="AY77" i="5" s="1"/>
  <c r="AY38" i="11"/>
  <c r="AY82" i="5" s="1"/>
  <c r="AY80" i="5" s="1"/>
  <c r="BD99" i="14"/>
  <c r="AY8" i="11"/>
  <c r="AX8" i="15"/>
  <c r="AY140" i="11"/>
  <c r="AY61" i="19"/>
  <c r="BD104" i="14"/>
  <c r="AZ13" i="19"/>
  <c r="BD7" i="14"/>
  <c r="AZ7" i="19"/>
  <c r="BC10" i="14"/>
  <c r="AY10" i="19"/>
  <c r="BC9" i="14"/>
  <c r="AY9" i="19"/>
  <c r="BE4" i="14"/>
  <c r="BA4" i="19"/>
  <c r="BC11" i="14"/>
  <c r="AY11" i="19"/>
  <c r="BD6" i="14"/>
  <c r="AZ6" i="19"/>
  <c r="AX187" i="11"/>
  <c r="AY184" i="11" s="1"/>
  <c r="AX5" i="18"/>
  <c r="AX8" i="18" s="1"/>
  <c r="AY8" i="17"/>
  <c r="CK7" i="16"/>
  <c r="CI6" i="17"/>
  <c r="CG6" i="18"/>
  <c r="AZ4" i="17"/>
  <c r="AY4" i="18" s="1"/>
  <c r="BA6" i="16"/>
  <c r="AX28" i="5"/>
  <c r="AY169" i="11"/>
  <c r="AZ30" i="6"/>
  <c r="AY26" i="5"/>
  <c r="AY197" i="11"/>
  <c r="AZ194" i="11" s="1"/>
  <c r="AZ28" i="6"/>
  <c r="AY24" i="5"/>
  <c r="AZ29" i="6"/>
  <c r="AY25" i="5"/>
  <c r="AZ27" i="6"/>
  <c r="AY23" i="5"/>
  <c r="AY69" i="5"/>
  <c r="AM167" i="11"/>
  <c r="AL19" i="15" s="1"/>
  <c r="AM27" i="5"/>
  <c r="AZ54" i="4"/>
  <c r="AZ52" i="4"/>
  <c r="AZ55" i="4"/>
  <c r="AZ53" i="4"/>
  <c r="AZ32" i="6"/>
  <c r="AY170" i="11"/>
  <c r="AZ33" i="6"/>
  <c r="AY175" i="11"/>
  <c r="AZ36" i="6"/>
  <c r="AY190" i="11"/>
  <c r="AZ35" i="6"/>
  <c r="AY185" i="11"/>
  <c r="AY145" i="11"/>
  <c r="AY214" i="11"/>
  <c r="BA36" i="10"/>
  <c r="AY9" i="5"/>
  <c r="AZ10" i="6"/>
  <c r="AZ9" i="10"/>
  <c r="AZ5" i="11"/>
  <c r="AZ14" i="11" s="1"/>
  <c r="AZ13" i="5"/>
  <c r="AZ231" i="11" s="1"/>
  <c r="AZ10" i="10"/>
  <c r="AY10" i="5"/>
  <c r="AZ11" i="6"/>
  <c r="BA7" i="6"/>
  <c r="BA6" i="10"/>
  <c r="AZ6" i="5"/>
  <c r="AZ7" i="5"/>
  <c r="BA8" i="6"/>
  <c r="BA7" i="10"/>
  <c r="BB5" i="6"/>
  <c r="BA4" i="5"/>
  <c r="BB4" i="10"/>
  <c r="BA5" i="4"/>
  <c r="BB5" i="2" s="1"/>
  <c r="BB14" i="2" s="1"/>
  <c r="AZ44" i="4"/>
  <c r="AZ8" i="4" s="1"/>
  <c r="BA8" i="2" s="1"/>
  <c r="AZ31" i="4"/>
  <c r="AZ32" i="4" s="1"/>
  <c r="AZ33" i="4" s="1"/>
  <c r="AZ22" i="4"/>
  <c r="AZ23" i="4"/>
  <c r="BA50" i="10" s="1"/>
  <c r="AZ36" i="4"/>
  <c r="AZ37" i="4"/>
  <c r="AZ38" i="4" s="1"/>
  <c r="AZ39" i="4" s="1"/>
  <c r="AZ21" i="4"/>
  <c r="AZ42" i="4"/>
  <c r="AZ24" i="4"/>
  <c r="AZ16" i="4"/>
  <c r="AZ43" i="4"/>
  <c r="AZ30" i="4"/>
  <c r="AZ17" i="4"/>
  <c r="AZ51" i="4"/>
  <c r="AZ29" i="4"/>
  <c r="AZ50" i="4"/>
  <c r="AZ20" i="4"/>
  <c r="AZ41" i="4"/>
  <c r="AZ35" i="4"/>
  <c r="AZ48" i="4"/>
  <c r="AZ18" i="4"/>
  <c r="AY11" i="5"/>
  <c r="AZ12" i="6"/>
  <c r="AZ11" i="10"/>
  <c r="CK79" i="16" l="1"/>
  <c r="AY176" i="11"/>
  <c r="AZ245" i="11"/>
  <c r="AZ235" i="11"/>
  <c r="BA24" i="10"/>
  <c r="BA21" i="6"/>
  <c r="BA19" i="10" s="1"/>
  <c r="AY250" i="11"/>
  <c r="AY251" i="11" s="1"/>
  <c r="AY252" i="11" s="1"/>
  <c r="AZ249" i="11" s="1"/>
  <c r="AY247" i="11"/>
  <c r="AZ244" i="11" s="1"/>
  <c r="AZ72" i="11"/>
  <c r="AZ106" i="5" s="1"/>
  <c r="AZ67" i="11"/>
  <c r="AZ101" i="5" s="1"/>
  <c r="AU19" i="11"/>
  <c r="AT31" i="15" s="1"/>
  <c r="CO4" i="26"/>
  <c r="CO5" i="26" s="1"/>
  <c r="CN8" i="26"/>
  <c r="AY107" i="11"/>
  <c r="AZ104" i="11" s="1"/>
  <c r="AY42" i="5"/>
  <c r="BD88" i="14"/>
  <c r="AY112" i="11"/>
  <c r="AZ109" i="11" s="1"/>
  <c r="AY43" i="5"/>
  <c r="AY34" i="11"/>
  <c r="AZ31" i="11" s="1"/>
  <c r="AZ110" i="11" s="1"/>
  <c r="BA49" i="6" s="1"/>
  <c r="AY29" i="11"/>
  <c r="AZ26" i="11" s="1"/>
  <c r="AZ105" i="11" s="1"/>
  <c r="BA48" i="6" s="1"/>
  <c r="AY76" i="5"/>
  <c r="AY74" i="5" s="1"/>
  <c r="AY39" i="11"/>
  <c r="AZ36" i="11" s="1"/>
  <c r="AZ32" i="11"/>
  <c r="BA31" i="10"/>
  <c r="AZ37" i="11"/>
  <c r="AZ27" i="11"/>
  <c r="AY9" i="11"/>
  <c r="AX9" i="15"/>
  <c r="AZ7" i="11"/>
  <c r="AY7" i="15"/>
  <c r="BA4" i="11"/>
  <c r="AZ4" i="15"/>
  <c r="AZ6" i="11"/>
  <c r="AY6" i="15"/>
  <c r="AY11" i="11"/>
  <c r="AX11" i="15"/>
  <c r="BA25" i="2"/>
  <c r="BA22" i="2"/>
  <c r="BA24" i="2"/>
  <c r="BA21" i="2"/>
  <c r="BA23" i="2"/>
  <c r="BA30" i="2"/>
  <c r="AX10" i="15"/>
  <c r="AY186" i="11"/>
  <c r="AY31" i="5" s="1"/>
  <c r="AZ57" i="11"/>
  <c r="AZ90" i="5" s="1"/>
  <c r="AZ87" i="11"/>
  <c r="AZ88" i="11" s="1"/>
  <c r="BD8" i="14"/>
  <c r="AZ8" i="19"/>
  <c r="BE5" i="14"/>
  <c r="BE15" i="14" s="1"/>
  <c r="BA5" i="19"/>
  <c r="CH6" i="18"/>
  <c r="CL7" i="16"/>
  <c r="CJ6" i="17"/>
  <c r="AY10" i="11"/>
  <c r="AY171" i="11"/>
  <c r="AY28" i="5" s="1"/>
  <c r="BA10" i="16"/>
  <c r="BA54" i="16" s="1"/>
  <c r="BA80" i="16" s="1"/>
  <c r="BB5" i="16"/>
  <c r="AZ5" i="17"/>
  <c r="AN164" i="11"/>
  <c r="AN167" i="11" s="1"/>
  <c r="AM19" i="15" s="1"/>
  <c r="BA22" i="10"/>
  <c r="BA27" i="6" s="1"/>
  <c r="BA41" i="6"/>
  <c r="AZ195" i="11" s="1"/>
  <c r="AZ196" i="11" s="1"/>
  <c r="AZ39" i="5" s="1"/>
  <c r="BA25" i="6"/>
  <c r="AZ35" i="5" s="1"/>
  <c r="AN27" i="5"/>
  <c r="AY191" i="11"/>
  <c r="AY32" i="5" s="1"/>
  <c r="AY157" i="11"/>
  <c r="BA25" i="10"/>
  <c r="BA44" i="10"/>
  <c r="BA49" i="10"/>
  <c r="BA30" i="10"/>
  <c r="BA26" i="10"/>
  <c r="BA28" i="10"/>
  <c r="BA47" i="10"/>
  <c r="BA52" i="10"/>
  <c r="BA45" i="10"/>
  <c r="BA23" i="10"/>
  <c r="BA48" i="10"/>
  <c r="BA27" i="10"/>
  <c r="BA53" i="10"/>
  <c r="BA46" i="10"/>
  <c r="BA9" i="6"/>
  <c r="BA8" i="10"/>
  <c r="AZ8" i="5"/>
  <c r="AZ97" i="11"/>
  <c r="AZ17" i="11"/>
  <c r="BA6" i="4"/>
  <c r="BB6" i="2" s="1"/>
  <c r="BB4" i="4"/>
  <c r="BC4" i="2" s="1"/>
  <c r="BA7" i="4"/>
  <c r="BB7" i="2" s="1"/>
  <c r="BA14" i="4"/>
  <c r="BB5" i="10"/>
  <c r="BB14" i="10" s="1"/>
  <c r="BB6" i="6"/>
  <c r="BB13" i="6" s="1"/>
  <c r="BA5" i="5"/>
  <c r="AZ46" i="4"/>
  <c r="AZ10" i="4" s="1"/>
  <c r="BA10" i="2" s="1"/>
  <c r="AZ45" i="4"/>
  <c r="AZ9" i="4" s="1"/>
  <c r="BA9" i="2" s="1"/>
  <c r="AZ47" i="4"/>
  <c r="AZ11" i="4" s="1"/>
  <c r="BA11" i="2" s="1"/>
  <c r="AZ27" i="4"/>
  <c r="AZ26" i="4"/>
  <c r="AZ25" i="4"/>
  <c r="AZ5" i="15" l="1"/>
  <c r="AZ13" i="15" s="1"/>
  <c r="BA137" i="5"/>
  <c r="BA138" i="5"/>
  <c r="CL79" i="16"/>
  <c r="AY177" i="11"/>
  <c r="AZ174" i="11" s="1"/>
  <c r="AY29" i="5"/>
  <c r="AZ25" i="5"/>
  <c r="BA29" i="6"/>
  <c r="AY68" i="11"/>
  <c r="AY102" i="5" s="1"/>
  <c r="AY27" i="19" s="1"/>
  <c r="AV16" i="11"/>
  <c r="AV18" i="11" s="1"/>
  <c r="AV70" i="5" s="1"/>
  <c r="AV68" i="5" s="1"/>
  <c r="AZ246" i="11"/>
  <c r="CP4" i="26"/>
  <c r="CP5" i="26" s="1"/>
  <c r="CO8" i="26"/>
  <c r="BA81" i="16"/>
  <c r="BB16" i="6"/>
  <c r="BB60" i="6" s="1"/>
  <c r="AZ38" i="11"/>
  <c r="AZ82" i="5" s="1"/>
  <c r="AZ33" i="11"/>
  <c r="AZ78" i="5"/>
  <c r="AZ81" i="5"/>
  <c r="AZ28" i="11"/>
  <c r="AZ75" i="5"/>
  <c r="AZ111" i="11"/>
  <c r="AZ106" i="11"/>
  <c r="BE99" i="14"/>
  <c r="AZ8" i="11"/>
  <c r="AY8" i="15"/>
  <c r="AZ140" i="11"/>
  <c r="AY187" i="11"/>
  <c r="AZ184" i="11" s="1"/>
  <c r="AZ61" i="19"/>
  <c r="BE104" i="14"/>
  <c r="BA13" i="19"/>
  <c r="BD10" i="14"/>
  <c r="AZ10" i="19"/>
  <c r="BD9" i="14"/>
  <c r="AZ9" i="19"/>
  <c r="BD11" i="14"/>
  <c r="AZ11" i="19"/>
  <c r="BE7" i="14"/>
  <c r="BA7" i="19"/>
  <c r="BF4" i="14"/>
  <c r="BB4" i="19"/>
  <c r="BE6" i="14"/>
  <c r="BA6" i="19"/>
  <c r="AY172" i="11"/>
  <c r="CK6" i="17"/>
  <c r="CM7" i="16"/>
  <c r="AZ8" i="17"/>
  <c r="AY5" i="18"/>
  <c r="AY8" i="18" s="1"/>
  <c r="BA4" i="17"/>
  <c r="AZ4" i="18" s="1"/>
  <c r="BB6" i="16"/>
  <c r="CI6" i="18"/>
  <c r="AZ23" i="5"/>
  <c r="AO164" i="11"/>
  <c r="AY192" i="11"/>
  <c r="AZ189" i="11" s="1"/>
  <c r="AZ197" i="11"/>
  <c r="BA194" i="11" s="1"/>
  <c r="BA28" i="6"/>
  <c r="AZ24" i="5"/>
  <c r="BA30" i="6"/>
  <c r="AZ26" i="5"/>
  <c r="AZ69" i="5"/>
  <c r="BA55" i="4"/>
  <c r="BA52" i="4"/>
  <c r="BA53" i="4"/>
  <c r="BA54" i="4"/>
  <c r="BA32" i="6"/>
  <c r="AZ170" i="11"/>
  <c r="BA36" i="6"/>
  <c r="AZ190" i="11"/>
  <c r="BA33" i="6"/>
  <c r="AZ175" i="11"/>
  <c r="BA31" i="6"/>
  <c r="AZ166" i="11"/>
  <c r="BA35" i="6"/>
  <c r="AZ185" i="11"/>
  <c r="AZ145" i="11"/>
  <c r="AZ214" i="11"/>
  <c r="BB36" i="10"/>
  <c r="BA5" i="11"/>
  <c r="BA14" i="11" s="1"/>
  <c r="BA13" i="5"/>
  <c r="BA231" i="11" s="1"/>
  <c r="BA44" i="4"/>
  <c r="BA8" i="4" s="1"/>
  <c r="BB8" i="2" s="1"/>
  <c r="BA17" i="4"/>
  <c r="BA37" i="4"/>
  <c r="BA38" i="4" s="1"/>
  <c r="BA39" i="4" s="1"/>
  <c r="BA20" i="4"/>
  <c r="BA51" i="4"/>
  <c r="BA41" i="4"/>
  <c r="BA35" i="4"/>
  <c r="BA22" i="4"/>
  <c r="BA29" i="4"/>
  <c r="BA24" i="4"/>
  <c r="BA36" i="4"/>
  <c r="BA50" i="4"/>
  <c r="BA31" i="4"/>
  <c r="BA32" i="4" s="1"/>
  <c r="BA33" i="4" s="1"/>
  <c r="BA23" i="4"/>
  <c r="BB53" i="10" s="1"/>
  <c r="BA43" i="4"/>
  <c r="BA48" i="4"/>
  <c r="BA18" i="4"/>
  <c r="BA30" i="4"/>
  <c r="BA16" i="4"/>
  <c r="BA42" i="4"/>
  <c r="BA21" i="4"/>
  <c r="BB8" i="6"/>
  <c r="BA7" i="5"/>
  <c r="BB7" i="10"/>
  <c r="BB4" i="5"/>
  <c r="BB5" i="4"/>
  <c r="BC5" i="2" s="1"/>
  <c r="BC14" i="2" s="1"/>
  <c r="BC5" i="6"/>
  <c r="BC4" i="10"/>
  <c r="AZ11" i="5"/>
  <c r="BA11" i="10"/>
  <c r="BA12" i="6"/>
  <c r="BB7" i="6"/>
  <c r="BB6" i="10"/>
  <c r="BA6" i="5"/>
  <c r="BA10" i="6"/>
  <c r="BA9" i="10"/>
  <c r="AZ9" i="5"/>
  <c r="BA10" i="10"/>
  <c r="BA11" i="6"/>
  <c r="AZ10" i="5"/>
  <c r="CM79" i="16" l="1"/>
  <c r="AZ176" i="11"/>
  <c r="AZ177" i="11" s="1"/>
  <c r="BA174" i="11" s="1"/>
  <c r="BA245" i="11"/>
  <c r="BA235" i="11"/>
  <c r="BB24" i="10"/>
  <c r="BB29" i="6" s="1"/>
  <c r="BB21" i="6"/>
  <c r="BB19" i="10" s="1"/>
  <c r="AZ247" i="11"/>
  <c r="BA244" i="11" s="1"/>
  <c r="AZ250" i="11"/>
  <c r="AZ251" i="11" s="1"/>
  <c r="AZ252" i="11" s="1"/>
  <c r="BA249" i="11" s="1"/>
  <c r="BA67" i="11"/>
  <c r="BA101" i="5" s="1"/>
  <c r="BA72" i="11"/>
  <c r="BA106" i="5" s="1"/>
  <c r="AV19" i="11"/>
  <c r="AU31" i="15" s="1"/>
  <c r="CQ4" i="26"/>
  <c r="CQ5" i="26" s="1"/>
  <c r="CP8" i="26"/>
  <c r="AZ112" i="11"/>
  <c r="BA109" i="11" s="1"/>
  <c r="AZ43" i="5"/>
  <c r="AZ107" i="11"/>
  <c r="BA104" i="11" s="1"/>
  <c r="AZ42" i="5"/>
  <c r="AZ80" i="5"/>
  <c r="AZ39" i="11"/>
  <c r="BA36" i="11" s="1"/>
  <c r="AZ29" i="11"/>
  <c r="BA26" i="11" s="1"/>
  <c r="BA105" i="11" s="1"/>
  <c r="BB48" i="6" s="1"/>
  <c r="AZ76" i="5"/>
  <c r="AZ74" i="5" s="1"/>
  <c r="AZ34" i="11"/>
  <c r="BA31" i="11" s="1"/>
  <c r="BA110" i="11" s="1"/>
  <c r="BB49" i="6" s="1"/>
  <c r="AZ79" i="5"/>
  <c r="AZ77" i="5" s="1"/>
  <c r="BA32" i="11"/>
  <c r="BB31" i="10"/>
  <c r="BE88" i="14"/>
  <c r="BA37" i="11"/>
  <c r="BA81" i="5" s="1"/>
  <c r="BA27" i="11"/>
  <c r="BA7" i="11"/>
  <c r="AZ7" i="15"/>
  <c r="BA6" i="11"/>
  <c r="AZ6" i="15"/>
  <c r="AZ11" i="11"/>
  <c r="AY11" i="15"/>
  <c r="AY10" i="15"/>
  <c r="BB25" i="2"/>
  <c r="BB30" i="2"/>
  <c r="BB21" i="2"/>
  <c r="BB22" i="2"/>
  <c r="BB23" i="2"/>
  <c r="BB24" i="2"/>
  <c r="AZ9" i="11"/>
  <c r="AY9" i="15"/>
  <c r="BB4" i="11"/>
  <c r="BA4" i="15"/>
  <c r="AZ169" i="11"/>
  <c r="AZ171" i="11" s="1"/>
  <c r="AZ172" i="11" s="1"/>
  <c r="AZ186" i="11"/>
  <c r="AZ31" i="5" s="1"/>
  <c r="BA57" i="11"/>
  <c r="BA90" i="5" s="1"/>
  <c r="BA87" i="11"/>
  <c r="BA88" i="11" s="1"/>
  <c r="BE8" i="14"/>
  <c r="BA8" i="19"/>
  <c r="BF5" i="14"/>
  <c r="BF15" i="14" s="1"/>
  <c r="BB5" i="19"/>
  <c r="BA5" i="17"/>
  <c r="BB10" i="16"/>
  <c r="BB54" i="16" s="1"/>
  <c r="BB80" i="16" s="1"/>
  <c r="BC5" i="16"/>
  <c r="AZ10" i="11"/>
  <c r="CN7" i="16"/>
  <c r="CL6" i="17"/>
  <c r="CJ6" i="18"/>
  <c r="AZ191" i="11"/>
  <c r="AZ32" i="5" s="1"/>
  <c r="BB41" i="6"/>
  <c r="BA195" i="11" s="1"/>
  <c r="BA196" i="11" s="1"/>
  <c r="BA39" i="5" s="1"/>
  <c r="BB25" i="6"/>
  <c r="BA35" i="5" s="1"/>
  <c r="AO165" i="11"/>
  <c r="AZ157" i="11"/>
  <c r="BB28" i="10"/>
  <c r="BB22" i="10"/>
  <c r="BB26" i="10"/>
  <c r="BB47" i="10"/>
  <c r="BB49" i="10"/>
  <c r="BB23" i="10"/>
  <c r="BB27" i="10"/>
  <c r="BB30" i="10"/>
  <c r="BB46" i="10"/>
  <c r="BB48" i="10"/>
  <c r="BB52" i="10"/>
  <c r="BB44" i="10"/>
  <c r="BB45" i="10"/>
  <c r="BB25" i="10"/>
  <c r="BB50" i="10"/>
  <c r="BA46" i="4"/>
  <c r="BA10" i="4" s="1"/>
  <c r="BB10" i="2" s="1"/>
  <c r="BA45" i="4"/>
  <c r="BA9" i="4" s="1"/>
  <c r="BB9" i="2" s="1"/>
  <c r="BA26" i="4"/>
  <c r="BA27" i="4"/>
  <c r="BA25" i="4"/>
  <c r="BA47" i="4"/>
  <c r="BA11" i="4" s="1"/>
  <c r="BB11" i="2" s="1"/>
  <c r="BA97" i="11"/>
  <c r="BA17" i="11"/>
  <c r="BB9" i="6"/>
  <c r="BB8" i="10"/>
  <c r="BA8" i="5"/>
  <c r="BB6" i="4"/>
  <c r="BC6" i="2" s="1"/>
  <c r="BB14" i="4"/>
  <c r="BC4" i="4"/>
  <c r="BD4" i="2" s="1"/>
  <c r="BB7" i="4"/>
  <c r="BC7" i="2" s="1"/>
  <c r="BC6" i="6"/>
  <c r="BC13" i="6" s="1"/>
  <c r="BC5" i="10"/>
  <c r="BC14" i="10" s="1"/>
  <c r="BB5" i="5"/>
  <c r="BA5" i="15" s="1"/>
  <c r="BA13" i="15" s="1"/>
  <c r="CN79" i="16" l="1"/>
  <c r="AZ29" i="5"/>
  <c r="BA25" i="5"/>
  <c r="AZ68" i="11"/>
  <c r="AZ102" i="5" s="1"/>
  <c r="AZ27" i="19" s="1"/>
  <c r="BA246" i="11"/>
  <c r="AW16" i="11"/>
  <c r="AW18" i="11" s="1"/>
  <c r="AW70" i="5" s="1"/>
  <c r="AW68" i="5" s="1"/>
  <c r="CR4" i="26"/>
  <c r="CR5" i="26" s="1"/>
  <c r="CQ8" i="26"/>
  <c r="BB81" i="16"/>
  <c r="BC16" i="6"/>
  <c r="BC60" i="6" s="1"/>
  <c r="BA33" i="11"/>
  <c r="BA78" i="5"/>
  <c r="BA28" i="11"/>
  <c r="BA75" i="5"/>
  <c r="BA111" i="11"/>
  <c r="BA106" i="11"/>
  <c r="BA38" i="11"/>
  <c r="BA39" i="11" s="1"/>
  <c r="BB36" i="11" s="1"/>
  <c r="BF104" i="14"/>
  <c r="BA8" i="11"/>
  <c r="AZ8" i="15"/>
  <c r="AZ187" i="11"/>
  <c r="BA184" i="11" s="1"/>
  <c r="BF99" i="14"/>
  <c r="BA140" i="11"/>
  <c r="BA61" i="19"/>
  <c r="BB13" i="19"/>
  <c r="BF7" i="14"/>
  <c r="BB7" i="19"/>
  <c r="BG4" i="14"/>
  <c r="BC4" i="19"/>
  <c r="AZ28" i="5"/>
  <c r="AZ192" i="11"/>
  <c r="BA189" i="11" s="1"/>
  <c r="BE11" i="14"/>
  <c r="BA11" i="19"/>
  <c r="BF6" i="14"/>
  <c r="BB6" i="19"/>
  <c r="BE9" i="14"/>
  <c r="BA9" i="19"/>
  <c r="BE10" i="14"/>
  <c r="BA10" i="19"/>
  <c r="CK6" i="18"/>
  <c r="BC6" i="16"/>
  <c r="BB4" i="17"/>
  <c r="BA4" i="18" s="1"/>
  <c r="CO7" i="16"/>
  <c r="CM6" i="17"/>
  <c r="AZ5" i="18"/>
  <c r="AZ8" i="18" s="1"/>
  <c r="BA8" i="17"/>
  <c r="BA169" i="11"/>
  <c r="BA197" i="11"/>
  <c r="BB194" i="11" s="1"/>
  <c r="BB27" i="6"/>
  <c r="BA23" i="5"/>
  <c r="BB30" i="6"/>
  <c r="BA26" i="5"/>
  <c r="BB28" i="6"/>
  <c r="BA24" i="5"/>
  <c r="BA69" i="5"/>
  <c r="AO167" i="11"/>
  <c r="AN19" i="15" s="1"/>
  <c r="AO27" i="5"/>
  <c r="BB53" i="4"/>
  <c r="BB52" i="4"/>
  <c r="BB55" i="4"/>
  <c r="BB54" i="4"/>
  <c r="BB35" i="6"/>
  <c r="BA185" i="11"/>
  <c r="BB32" i="6"/>
  <c r="BA170" i="11"/>
  <c r="BB36" i="6"/>
  <c r="BA190" i="11"/>
  <c r="BB31" i="6"/>
  <c r="BA166" i="11"/>
  <c r="BB33" i="6"/>
  <c r="BA175" i="11"/>
  <c r="BA176" i="11" s="1"/>
  <c r="BA145" i="11"/>
  <c r="BA214" i="11"/>
  <c r="BC36" i="10"/>
  <c r="BB5" i="11"/>
  <c r="BB14" i="11" s="1"/>
  <c r="BB13" i="5"/>
  <c r="BB231" i="11" s="1"/>
  <c r="BA11" i="5"/>
  <c r="BB12" i="6"/>
  <c r="BB11" i="10"/>
  <c r="BC8" i="6"/>
  <c r="BC7" i="10"/>
  <c r="BB7" i="5"/>
  <c r="BC5" i="4"/>
  <c r="BD5" i="2" s="1"/>
  <c r="BD14" i="2" s="1"/>
  <c r="BD5" i="6"/>
  <c r="BC4" i="5"/>
  <c r="BD4" i="10"/>
  <c r="BB9" i="10"/>
  <c r="BA9" i="5"/>
  <c r="BB10" i="6"/>
  <c r="BA10" i="5"/>
  <c r="BB11" i="6"/>
  <c r="BB10" i="10"/>
  <c r="BB44" i="4"/>
  <c r="BB8" i="4" s="1"/>
  <c r="BC8" i="2" s="1"/>
  <c r="BB37" i="4"/>
  <c r="BB38" i="4" s="1"/>
  <c r="BB39" i="4" s="1"/>
  <c r="BB22" i="4"/>
  <c r="BB18" i="4"/>
  <c r="BB35" i="4"/>
  <c r="BB17" i="4"/>
  <c r="BB50" i="4"/>
  <c r="BB41" i="4"/>
  <c r="BB21" i="4"/>
  <c r="BB29" i="4"/>
  <c r="BB23" i="4"/>
  <c r="BC44" i="10" s="1"/>
  <c r="BB24" i="4"/>
  <c r="BB43" i="4"/>
  <c r="BB51" i="4"/>
  <c r="BB48" i="4"/>
  <c r="BB42" i="4"/>
  <c r="BB30" i="4"/>
  <c r="BB20" i="4"/>
  <c r="BB16" i="4"/>
  <c r="BB36" i="4"/>
  <c r="BB31" i="4"/>
  <c r="BB32" i="4" s="1"/>
  <c r="BB33" i="4" s="1"/>
  <c r="BB6" i="5"/>
  <c r="BC7" i="6"/>
  <c r="BC6" i="10"/>
  <c r="CO79" i="16" l="1"/>
  <c r="BB245" i="11"/>
  <c r="BB235" i="11"/>
  <c r="BC28" i="10"/>
  <c r="BC33" i="6" s="1"/>
  <c r="BC21" i="6"/>
  <c r="BC19" i="10" s="1"/>
  <c r="BA250" i="11"/>
  <c r="BA251" i="11" s="1"/>
  <c r="BA252" i="11" s="1"/>
  <c r="BB249" i="11" s="1"/>
  <c r="BA247" i="11"/>
  <c r="BB244" i="11" s="1"/>
  <c r="BB67" i="11"/>
  <c r="BB101" i="5" s="1"/>
  <c r="BB72" i="11"/>
  <c r="BB106" i="5" s="1"/>
  <c r="AW19" i="11"/>
  <c r="AV31" i="15" s="1"/>
  <c r="CS4" i="26"/>
  <c r="CS5" i="26" s="1"/>
  <c r="CR8" i="26"/>
  <c r="BA107" i="11"/>
  <c r="BB104" i="11" s="1"/>
  <c r="BA42" i="5"/>
  <c r="BA112" i="11"/>
  <c r="BB109" i="11" s="1"/>
  <c r="BA43" i="5"/>
  <c r="BA29" i="11"/>
  <c r="BB26" i="11" s="1"/>
  <c r="BB105" i="11" s="1"/>
  <c r="BC48" i="6" s="1"/>
  <c r="BA76" i="5"/>
  <c r="BA74" i="5" s="1"/>
  <c r="BA34" i="11"/>
  <c r="BB31" i="11" s="1"/>
  <c r="BB110" i="11" s="1"/>
  <c r="BC49" i="6" s="1"/>
  <c r="BA79" i="5"/>
  <c r="BA77" i="5" s="1"/>
  <c r="BA82" i="5"/>
  <c r="BA80" i="5" s="1"/>
  <c r="BB32" i="11"/>
  <c r="BC31" i="10"/>
  <c r="BF88" i="14"/>
  <c r="BB37" i="11"/>
  <c r="BB38" i="11" s="1"/>
  <c r="BB27" i="11"/>
  <c r="BB6" i="11"/>
  <c r="BA6" i="15"/>
  <c r="AZ10" i="15"/>
  <c r="BB7" i="11"/>
  <c r="BA7" i="15"/>
  <c r="BA11" i="11"/>
  <c r="AZ11" i="15"/>
  <c r="BA9" i="11"/>
  <c r="AZ9" i="15"/>
  <c r="BC30" i="2"/>
  <c r="BC23" i="2"/>
  <c r="BC24" i="2"/>
  <c r="BC25" i="2"/>
  <c r="BC21" i="2"/>
  <c r="BC22" i="2"/>
  <c r="BC4" i="11"/>
  <c r="BB4" i="15"/>
  <c r="BA186" i="11"/>
  <c r="BA31" i="5" s="1"/>
  <c r="BB57" i="11"/>
  <c r="BB90" i="5" s="1"/>
  <c r="BB87" i="11"/>
  <c r="BB88" i="11" s="1"/>
  <c r="BA191" i="11"/>
  <c r="BA192" i="11" s="1"/>
  <c r="BB189" i="11" s="1"/>
  <c r="BF8" i="14"/>
  <c r="BB8" i="19"/>
  <c r="BG5" i="14"/>
  <c r="BG15" i="14" s="1"/>
  <c r="BC5" i="19"/>
  <c r="BD5" i="16"/>
  <c r="BB5" i="17"/>
  <c r="BC10" i="16"/>
  <c r="BC54" i="16" s="1"/>
  <c r="BC80" i="16" s="1"/>
  <c r="CL6" i="18"/>
  <c r="CP7" i="16"/>
  <c r="CN6" i="17"/>
  <c r="BA10" i="11"/>
  <c r="BA171" i="11"/>
  <c r="BA172" i="11" s="1"/>
  <c r="AP164" i="11"/>
  <c r="BC25" i="6"/>
  <c r="BB35" i="5" s="1"/>
  <c r="BC24" i="10"/>
  <c r="BB25" i="5" s="1"/>
  <c r="BC41" i="6"/>
  <c r="BB195" i="11" s="1"/>
  <c r="BB196" i="11" s="1"/>
  <c r="BB39" i="5" s="1"/>
  <c r="BA177" i="11"/>
  <c r="BB174" i="11" s="1"/>
  <c r="BA29" i="5"/>
  <c r="AP165" i="11"/>
  <c r="BC23" i="10"/>
  <c r="BA157" i="11"/>
  <c r="BC25" i="10"/>
  <c r="BC26" i="10"/>
  <c r="BC27" i="10"/>
  <c r="BC48" i="10"/>
  <c r="BC50" i="10"/>
  <c r="BC52" i="10"/>
  <c r="BC45" i="10"/>
  <c r="BC47" i="10"/>
  <c r="BC22" i="10"/>
  <c r="BC53" i="10"/>
  <c r="BC30" i="10"/>
  <c r="BC46" i="10"/>
  <c r="BC49" i="10"/>
  <c r="BB8" i="5"/>
  <c r="BC8" i="10"/>
  <c r="BC9" i="6"/>
  <c r="BB45" i="4"/>
  <c r="BB9" i="4" s="1"/>
  <c r="BC9" i="2" s="1"/>
  <c r="BB47" i="4"/>
  <c r="BB11" i="4" s="1"/>
  <c r="BC11" i="2" s="1"/>
  <c r="BB46" i="4"/>
  <c r="BB10" i="4" s="1"/>
  <c r="BC10" i="2" s="1"/>
  <c r="BB26" i="4"/>
  <c r="BB27" i="4"/>
  <c r="BB25" i="4"/>
  <c r="BC7" i="4"/>
  <c r="BD7" i="2" s="1"/>
  <c r="BC6" i="4"/>
  <c r="BD6" i="2" s="1"/>
  <c r="BC14" i="4"/>
  <c r="BD4" i="4"/>
  <c r="BE4" i="2" s="1"/>
  <c r="BD6" i="6"/>
  <c r="BD13" i="6" s="1"/>
  <c r="BC5" i="5"/>
  <c r="BD5" i="10"/>
  <c r="BD14" i="10" s="1"/>
  <c r="BB97" i="11"/>
  <c r="BB17" i="11"/>
  <c r="BB5" i="15" l="1"/>
  <c r="BB13" i="15" s="1"/>
  <c r="BC137" i="5"/>
  <c r="BC138" i="5"/>
  <c r="CP79" i="16"/>
  <c r="BB175" i="11"/>
  <c r="BB176" i="11" s="1"/>
  <c r="BB29" i="5" s="1"/>
  <c r="BA68" i="11"/>
  <c r="BA102" i="5" s="1"/>
  <c r="BA27" i="19" s="1"/>
  <c r="AX16" i="11"/>
  <c r="AX18" i="11" s="1"/>
  <c r="AX70" i="5" s="1"/>
  <c r="AX68" i="5" s="1"/>
  <c r="BB250" i="11"/>
  <c r="BB251" i="11" s="1"/>
  <c r="BB252" i="11" s="1"/>
  <c r="BC249" i="11" s="1"/>
  <c r="CT4" i="26"/>
  <c r="CT5" i="26" s="1"/>
  <c r="CS8" i="26"/>
  <c r="BC81" i="16"/>
  <c r="BD16" i="6"/>
  <c r="BD60" i="6" s="1"/>
  <c r="BB33" i="11"/>
  <c r="BB78" i="5"/>
  <c r="BB28" i="11"/>
  <c r="BB75" i="5"/>
  <c r="BB111" i="11"/>
  <c r="BB106" i="11"/>
  <c r="BB81" i="5"/>
  <c r="BG104" i="14"/>
  <c r="BA187" i="11"/>
  <c r="BB184" i="11" s="1"/>
  <c r="BB8" i="11"/>
  <c r="BA8" i="15"/>
  <c r="BB39" i="11"/>
  <c r="BC36" i="11" s="1"/>
  <c r="BB82" i="5"/>
  <c r="BB140" i="11"/>
  <c r="BB61" i="19"/>
  <c r="BA32" i="5"/>
  <c r="BG99" i="14"/>
  <c r="BC13" i="19"/>
  <c r="BH4" i="14"/>
  <c r="BD4" i="19"/>
  <c r="BG6" i="14"/>
  <c r="BC6" i="19"/>
  <c r="BF10" i="14"/>
  <c r="BB10" i="19"/>
  <c r="BF11" i="14"/>
  <c r="BB11" i="19"/>
  <c r="BG7" i="14"/>
  <c r="BC7" i="19"/>
  <c r="BF9" i="14"/>
  <c r="BB9" i="19"/>
  <c r="CQ7" i="16"/>
  <c r="CO6" i="17"/>
  <c r="BA5" i="18"/>
  <c r="BA8" i="18" s="1"/>
  <c r="BB8" i="17"/>
  <c r="CM6" i="18"/>
  <c r="BC4" i="17"/>
  <c r="BB4" i="18" s="1"/>
  <c r="BD6" i="16"/>
  <c r="BA28" i="5"/>
  <c r="BC29" i="6"/>
  <c r="BB169" i="11"/>
  <c r="BC28" i="6"/>
  <c r="BB24" i="5"/>
  <c r="BC30" i="6"/>
  <c r="BB26" i="5"/>
  <c r="BC27" i="6"/>
  <c r="BB23" i="5"/>
  <c r="BB197" i="11"/>
  <c r="BC194" i="11" s="1"/>
  <c r="BB69" i="5"/>
  <c r="AP167" i="11"/>
  <c r="AO19" i="15" s="1"/>
  <c r="AP27" i="5"/>
  <c r="BC54" i="4"/>
  <c r="BC52" i="4"/>
  <c r="BC55" i="4"/>
  <c r="BC53" i="4"/>
  <c r="BC35" i="6"/>
  <c r="BB185" i="11"/>
  <c r="BC36" i="6"/>
  <c r="BB190" i="11"/>
  <c r="BB191" i="11" s="1"/>
  <c r="BC32" i="6"/>
  <c r="BB170" i="11"/>
  <c r="BC31" i="6"/>
  <c r="BB166" i="11"/>
  <c r="BB145" i="11"/>
  <c r="BB214" i="11"/>
  <c r="BD36" i="10"/>
  <c r="BC11" i="6"/>
  <c r="BB10" i="5"/>
  <c r="BC10" i="10"/>
  <c r="BC12" i="6"/>
  <c r="BC11" i="10"/>
  <c r="BB11" i="5"/>
  <c r="BC10" i="6"/>
  <c r="BB9" i="5"/>
  <c r="BC9" i="10"/>
  <c r="BC5" i="11"/>
  <c r="BC14" i="11" s="1"/>
  <c r="BC13" i="5"/>
  <c r="BC231" i="11" s="1"/>
  <c r="BE5" i="6"/>
  <c r="BD4" i="5"/>
  <c r="BE4" i="10"/>
  <c r="BD5" i="4"/>
  <c r="BE5" i="2" s="1"/>
  <c r="BE14" i="2" s="1"/>
  <c r="BC44" i="4"/>
  <c r="BC8" i="4" s="1"/>
  <c r="BD8" i="2" s="1"/>
  <c r="BC50" i="4"/>
  <c r="BC21" i="4"/>
  <c r="BC35" i="4"/>
  <c r="BC48" i="4"/>
  <c r="BC29" i="4"/>
  <c r="BC42" i="4"/>
  <c r="BC36" i="4"/>
  <c r="BC41" i="4"/>
  <c r="BC51" i="4"/>
  <c r="BC43" i="4"/>
  <c r="BC20" i="4"/>
  <c r="BC37" i="4"/>
  <c r="BC38" i="4" s="1"/>
  <c r="BC39" i="4" s="1"/>
  <c r="BC24" i="4"/>
  <c r="BC30" i="4"/>
  <c r="BC16" i="4"/>
  <c r="BC23" i="4"/>
  <c r="BD48" i="10" s="1"/>
  <c r="BC18" i="4"/>
  <c r="BC22" i="4"/>
  <c r="BC31" i="4"/>
  <c r="BC32" i="4" s="1"/>
  <c r="BC33" i="4" s="1"/>
  <c r="BC17" i="4"/>
  <c r="BC6" i="5"/>
  <c r="BD6" i="10"/>
  <c r="BD7" i="6"/>
  <c r="BC7" i="5"/>
  <c r="BD8" i="6"/>
  <c r="BD7" i="10"/>
  <c r="CQ79" i="16" l="1"/>
  <c r="BC245" i="11"/>
  <c r="BC235" i="11"/>
  <c r="BD31" i="10"/>
  <c r="BD21" i="6"/>
  <c r="BD19" i="10" s="1"/>
  <c r="BB246" i="11"/>
  <c r="BC67" i="11"/>
  <c r="BC101" i="5" s="1"/>
  <c r="BC72" i="11"/>
  <c r="BC106" i="5" s="1"/>
  <c r="AX19" i="11"/>
  <c r="AW31" i="15" s="1"/>
  <c r="CU4" i="26"/>
  <c r="CU5" i="26" s="1"/>
  <c r="CT8" i="26"/>
  <c r="BG88" i="14"/>
  <c r="BB107" i="11"/>
  <c r="BC104" i="11" s="1"/>
  <c r="BB42" i="5"/>
  <c r="BB112" i="11"/>
  <c r="BC109" i="11" s="1"/>
  <c r="BB43" i="5"/>
  <c r="BB80" i="5"/>
  <c r="BB29" i="11"/>
  <c r="BC26" i="11" s="1"/>
  <c r="BC105" i="11" s="1"/>
  <c r="BD48" i="6" s="1"/>
  <c r="BB76" i="5"/>
  <c r="BB74" i="5" s="1"/>
  <c r="BB34" i="11"/>
  <c r="BC31" i="11" s="1"/>
  <c r="BC110" i="11" s="1"/>
  <c r="BD49" i="6" s="1"/>
  <c r="BB79" i="5"/>
  <c r="BB77" i="5" s="1"/>
  <c r="BC32" i="11"/>
  <c r="BC37" i="11"/>
  <c r="BC81" i="5" s="1"/>
  <c r="BC27" i="11"/>
  <c r="BB186" i="11"/>
  <c r="BB187" i="11" s="1"/>
  <c r="BC184" i="11" s="1"/>
  <c r="BB9" i="11"/>
  <c r="BA9" i="15"/>
  <c r="BB11" i="11"/>
  <c r="BA11" i="15"/>
  <c r="BC7" i="11"/>
  <c r="BB7" i="15"/>
  <c r="BA10" i="15"/>
  <c r="BC6" i="11"/>
  <c r="BB6" i="15"/>
  <c r="BD4" i="11"/>
  <c r="BC4" i="15"/>
  <c r="BD30" i="2"/>
  <c r="BD25" i="2"/>
  <c r="BD24" i="2"/>
  <c r="BD21" i="2"/>
  <c r="BD22" i="2"/>
  <c r="BD23" i="2"/>
  <c r="BC57" i="11"/>
  <c r="BC90" i="5" s="1"/>
  <c r="BC87" i="11"/>
  <c r="BC88" i="11" s="1"/>
  <c r="BG8" i="14"/>
  <c r="BC8" i="19"/>
  <c r="BH5" i="14"/>
  <c r="BH15" i="14" s="1"/>
  <c r="BD5" i="19"/>
  <c r="BB10" i="11"/>
  <c r="BE5" i="16"/>
  <c r="BC5" i="17"/>
  <c r="BD10" i="16"/>
  <c r="BD54" i="16" s="1"/>
  <c r="BD80" i="16" s="1"/>
  <c r="CN6" i="18"/>
  <c r="CP6" i="17"/>
  <c r="CR7" i="16"/>
  <c r="BB177" i="11"/>
  <c r="BC174" i="11" s="1"/>
  <c r="BB171" i="11"/>
  <c r="BB172" i="11" s="1"/>
  <c r="AQ164" i="11"/>
  <c r="BD25" i="6"/>
  <c r="BC35" i="5" s="1"/>
  <c r="BD41" i="6"/>
  <c r="BC195" i="11" s="1"/>
  <c r="BC196" i="11" s="1"/>
  <c r="BC39" i="5" s="1"/>
  <c r="BB192" i="11"/>
  <c r="BC189" i="11" s="1"/>
  <c r="BB32" i="5"/>
  <c r="AQ165" i="11"/>
  <c r="BB157" i="11"/>
  <c r="BD28" i="10"/>
  <c r="BD27" i="10"/>
  <c r="BD24" i="10"/>
  <c r="BD44" i="10"/>
  <c r="BD53" i="10"/>
  <c r="BD50" i="10"/>
  <c r="BD49" i="10"/>
  <c r="BD46" i="10"/>
  <c r="BD45" i="10"/>
  <c r="BD47" i="10"/>
  <c r="BD26" i="10"/>
  <c r="BD25" i="10"/>
  <c r="BD23" i="10"/>
  <c r="BD52" i="10"/>
  <c r="BD22" i="10"/>
  <c r="BD30" i="10"/>
  <c r="BC47" i="4"/>
  <c r="BC11" i="4" s="1"/>
  <c r="BD11" i="2" s="1"/>
  <c r="BC46" i="4"/>
  <c r="BC10" i="4" s="1"/>
  <c r="BD10" i="2" s="1"/>
  <c r="BC27" i="4"/>
  <c r="BC25" i="4"/>
  <c r="BC45" i="4"/>
  <c r="BC9" i="4" s="1"/>
  <c r="BD9" i="2" s="1"/>
  <c r="BC26" i="4"/>
  <c r="BC8" i="5"/>
  <c r="BD9" i="6"/>
  <c r="BD8" i="10"/>
  <c r="BC17" i="11"/>
  <c r="BC97" i="11"/>
  <c r="BE4" i="4"/>
  <c r="BF4" i="2" s="1"/>
  <c r="BD7" i="4"/>
  <c r="BE7" i="2" s="1"/>
  <c r="BD14" i="4"/>
  <c r="BD6" i="4"/>
  <c r="BE6" i="2" s="1"/>
  <c r="BE6" i="6"/>
  <c r="BE13" i="6" s="1"/>
  <c r="BE5" i="10"/>
  <c r="BE14" i="10" s="1"/>
  <c r="BD5" i="5"/>
  <c r="CR79" i="16" l="1"/>
  <c r="BC5" i="15"/>
  <c r="BC13" i="15" s="1"/>
  <c r="BD137" i="5"/>
  <c r="BD138" i="5"/>
  <c r="BB247" i="11"/>
  <c r="BC244" i="11" s="1"/>
  <c r="BB68" i="11"/>
  <c r="BB102" i="5" s="1"/>
  <c r="BB27" i="19" s="1"/>
  <c r="AY16" i="11"/>
  <c r="AY18" i="11" s="1"/>
  <c r="AY70" i="5" s="1"/>
  <c r="AY68" i="5" s="1"/>
  <c r="CV4" i="26"/>
  <c r="CV5" i="26" s="1"/>
  <c r="CU8" i="26"/>
  <c r="BD81" i="16"/>
  <c r="BE16" i="6"/>
  <c r="BE60" i="6" s="1"/>
  <c r="BC28" i="11"/>
  <c r="BC75" i="5"/>
  <c r="BC33" i="11"/>
  <c r="BC78" i="5"/>
  <c r="BC111" i="11"/>
  <c r="BC106" i="11"/>
  <c r="BC38" i="11"/>
  <c r="BC82" i="5" s="1"/>
  <c r="BC80" i="5" s="1"/>
  <c r="BH99" i="14"/>
  <c r="BB31" i="5"/>
  <c r="BH104" i="14"/>
  <c r="BC8" i="11"/>
  <c r="BB8" i="15"/>
  <c r="BC140" i="11"/>
  <c r="BC61" i="19"/>
  <c r="BD13" i="19"/>
  <c r="BH6" i="14"/>
  <c r="BD6" i="19"/>
  <c r="BH7" i="14"/>
  <c r="BD7" i="19"/>
  <c r="BI4" i="14"/>
  <c r="BE4" i="19"/>
  <c r="BG10" i="14"/>
  <c r="BC10" i="19"/>
  <c r="BG11" i="14"/>
  <c r="BC11" i="19"/>
  <c r="BG9" i="14"/>
  <c r="BC9" i="19"/>
  <c r="BB28" i="5"/>
  <c r="BB5" i="18"/>
  <c r="BB8" i="18" s="1"/>
  <c r="BC8" i="17"/>
  <c r="CO6" i="18"/>
  <c r="BD4" i="17"/>
  <c r="BC4" i="18" s="1"/>
  <c r="BE6" i="16"/>
  <c r="CS7" i="16"/>
  <c r="CQ6" i="17"/>
  <c r="BC169" i="11"/>
  <c r="BC197" i="11"/>
  <c r="BD194" i="11" s="1"/>
  <c r="BD28" i="6"/>
  <c r="BC24" i="5"/>
  <c r="BD27" i="6"/>
  <c r="BC23" i="5"/>
  <c r="BD29" i="6"/>
  <c r="BC25" i="5"/>
  <c r="BD30" i="6"/>
  <c r="BC26" i="5"/>
  <c r="BC69" i="5"/>
  <c r="AQ167" i="11"/>
  <c r="AP19" i="15" s="1"/>
  <c r="AQ27" i="5"/>
  <c r="BD52" i="4"/>
  <c r="BD53" i="4"/>
  <c r="BD55" i="4"/>
  <c r="BD54" i="4"/>
  <c r="BD35" i="6"/>
  <c r="BC185" i="11"/>
  <c r="BD31" i="6"/>
  <c r="BC166" i="11"/>
  <c r="BD36" i="6"/>
  <c r="BC190" i="11"/>
  <c r="BC191" i="11" s="1"/>
  <c r="BD32" i="6"/>
  <c r="BC170" i="11"/>
  <c r="BD33" i="6"/>
  <c r="BC175" i="11"/>
  <c r="BC145" i="11"/>
  <c r="BC214" i="11"/>
  <c r="BE36" i="10"/>
  <c r="BC9" i="5"/>
  <c r="BD10" i="6"/>
  <c r="BD9" i="10"/>
  <c r="BD5" i="11"/>
  <c r="BD14" i="11" s="1"/>
  <c r="BD13" i="5"/>
  <c r="BD231" i="11" s="1"/>
  <c r="BD10" i="10"/>
  <c r="BD11" i="6"/>
  <c r="BC10" i="5"/>
  <c r="BD12" i="6"/>
  <c r="BD11" i="10"/>
  <c r="BC11" i="5"/>
  <c r="BD6" i="5"/>
  <c r="BE6" i="10"/>
  <c r="BE7" i="6"/>
  <c r="BD44" i="4"/>
  <c r="BD8" i="4" s="1"/>
  <c r="BE8" i="2" s="1"/>
  <c r="BD43" i="4"/>
  <c r="BD35" i="4"/>
  <c r="BD48" i="4"/>
  <c r="BD22" i="4"/>
  <c r="BD18" i="4"/>
  <c r="BD24" i="4"/>
  <c r="BD50" i="4"/>
  <c r="BD37" i="4"/>
  <c r="BD38" i="4" s="1"/>
  <c r="BD39" i="4" s="1"/>
  <c r="BD30" i="4"/>
  <c r="BD20" i="4"/>
  <c r="BD21" i="4"/>
  <c r="BD29" i="4"/>
  <c r="BD36" i="4"/>
  <c r="BD51" i="4"/>
  <c r="BD41" i="4"/>
  <c r="BD17" i="4"/>
  <c r="BD16" i="4"/>
  <c r="BD42" i="4"/>
  <c r="BD31" i="4"/>
  <c r="BD32" i="4" s="1"/>
  <c r="BD33" i="4" s="1"/>
  <c r="BD23" i="4"/>
  <c r="BE46" i="10" s="1"/>
  <c r="BD7" i="5"/>
  <c r="BE8" i="6"/>
  <c r="BE7" i="10"/>
  <c r="BF5" i="6"/>
  <c r="BE4" i="5"/>
  <c r="BF4" i="10"/>
  <c r="BE5" i="4"/>
  <c r="BF5" i="2" s="1"/>
  <c r="BF14" i="2" s="1"/>
  <c r="CS79" i="16" l="1"/>
  <c r="BD245" i="11"/>
  <c r="BD235" i="11"/>
  <c r="BE27" i="10"/>
  <c r="BD170" i="11" s="1"/>
  <c r="BE21" i="6"/>
  <c r="BE19" i="10" s="1"/>
  <c r="BC246" i="11"/>
  <c r="BC247" i="11" s="1"/>
  <c r="BD244" i="11" s="1"/>
  <c r="BC250" i="11"/>
  <c r="BD72" i="11"/>
  <c r="BD106" i="5" s="1"/>
  <c r="BD67" i="11"/>
  <c r="BD101" i="5" s="1"/>
  <c r="CW4" i="26"/>
  <c r="CW5" i="26" s="1"/>
  <c r="CV8" i="26"/>
  <c r="AY19" i="11"/>
  <c r="BC107" i="11"/>
  <c r="BD104" i="11" s="1"/>
  <c r="BC42" i="5"/>
  <c r="BC112" i="11"/>
  <c r="BD109" i="11" s="1"/>
  <c r="BC43" i="5"/>
  <c r="BC34" i="11"/>
  <c r="BD31" i="11" s="1"/>
  <c r="BD110" i="11" s="1"/>
  <c r="BE49" i="6" s="1"/>
  <c r="BC79" i="5"/>
  <c r="BC77" i="5" s="1"/>
  <c r="BC29" i="11"/>
  <c r="BD26" i="11" s="1"/>
  <c r="BD105" i="11" s="1"/>
  <c r="BE48" i="6" s="1"/>
  <c r="BC76" i="5"/>
  <c r="BC74" i="5" s="1"/>
  <c r="BC39" i="11"/>
  <c r="BD36" i="11" s="1"/>
  <c r="BD32" i="11"/>
  <c r="BE31" i="10"/>
  <c r="BD37" i="11"/>
  <c r="BD81" i="5" s="1"/>
  <c r="BD27" i="11"/>
  <c r="BH88" i="14"/>
  <c r="BE4" i="11"/>
  <c r="BD4" i="15"/>
  <c r="BC9" i="11"/>
  <c r="BB9" i="15"/>
  <c r="BD6" i="11"/>
  <c r="BC6" i="15"/>
  <c r="BD7" i="11"/>
  <c r="BC7" i="15"/>
  <c r="BC11" i="11"/>
  <c r="BB11" i="15"/>
  <c r="BB10" i="15"/>
  <c r="BE30" i="2"/>
  <c r="BE22" i="2"/>
  <c r="BE23" i="2"/>
  <c r="BE24" i="2"/>
  <c r="BE25" i="2"/>
  <c r="BE21" i="2"/>
  <c r="BD57" i="11"/>
  <c r="BD90" i="5" s="1"/>
  <c r="BD61" i="19" s="1"/>
  <c r="BD87" i="11"/>
  <c r="BD88" i="11" s="1"/>
  <c r="BH8" i="14"/>
  <c r="BD8" i="19"/>
  <c r="BI5" i="14"/>
  <c r="BI15" i="14" s="1"/>
  <c r="BE5" i="19"/>
  <c r="BC10" i="11"/>
  <c r="BE10" i="16"/>
  <c r="BE54" i="16" s="1"/>
  <c r="BE80" i="16" s="1"/>
  <c r="BF5" i="16"/>
  <c r="BD5" i="17"/>
  <c r="CP6" i="18"/>
  <c r="CR6" i="17"/>
  <c r="CT7" i="16"/>
  <c r="BC171" i="11"/>
  <c r="BC172" i="11" s="1"/>
  <c r="AR164" i="11"/>
  <c r="BE25" i="6"/>
  <c r="BD35" i="5" s="1"/>
  <c r="BE41" i="6"/>
  <c r="BD195" i="11" s="1"/>
  <c r="BD196" i="11" s="1"/>
  <c r="BD39" i="5" s="1"/>
  <c r="BC192" i="11"/>
  <c r="BD189" i="11" s="1"/>
  <c r="BC32" i="5"/>
  <c r="AR165" i="11"/>
  <c r="BC176" i="11"/>
  <c r="BC186" i="11"/>
  <c r="BC31" i="5" s="1"/>
  <c r="BE50" i="10"/>
  <c r="BE52" i="10"/>
  <c r="BE49" i="10"/>
  <c r="BE53" i="10"/>
  <c r="BC157" i="11"/>
  <c r="BE44" i="10"/>
  <c r="BE26" i="10"/>
  <c r="BE47" i="10"/>
  <c r="BE28" i="10"/>
  <c r="BE24" i="10"/>
  <c r="BE48" i="10"/>
  <c r="BE22" i="10"/>
  <c r="BE25" i="10"/>
  <c r="BE45" i="10"/>
  <c r="BE23" i="10"/>
  <c r="BE30" i="10"/>
  <c r="BE7" i="4"/>
  <c r="BF7" i="2" s="1"/>
  <c r="BF4" i="4"/>
  <c r="BG4" i="2" s="1"/>
  <c r="BE6" i="4"/>
  <c r="BF6" i="2" s="1"/>
  <c r="BE14" i="4"/>
  <c r="BF5" i="10"/>
  <c r="BF14" i="10" s="1"/>
  <c r="BE5" i="5"/>
  <c r="BD5" i="15" s="1"/>
  <c r="BD13" i="15" s="1"/>
  <c r="BF6" i="6"/>
  <c r="BF13" i="6" s="1"/>
  <c r="BD45" i="4"/>
  <c r="BD9" i="4" s="1"/>
  <c r="BE9" i="2" s="1"/>
  <c r="BD47" i="4"/>
  <c r="BD11" i="4" s="1"/>
  <c r="BE11" i="2" s="1"/>
  <c r="BD27" i="4"/>
  <c r="BD25" i="4"/>
  <c r="BD46" i="4"/>
  <c r="BD10" i="4" s="1"/>
  <c r="BE10" i="2" s="1"/>
  <c r="BD26" i="4"/>
  <c r="BD97" i="11"/>
  <c r="BD17" i="11"/>
  <c r="BE9" i="6"/>
  <c r="BD8" i="5"/>
  <c r="BE8" i="10"/>
  <c r="CT79" i="16" l="1"/>
  <c r="BE32" i="6"/>
  <c r="BD246" i="11"/>
  <c r="BC251" i="11"/>
  <c r="BC68" i="11" s="1"/>
  <c r="BC102" i="5" s="1"/>
  <c r="BC27" i="19" s="1"/>
  <c r="CX4" i="26"/>
  <c r="CX5" i="26" s="1"/>
  <c r="CW8" i="26"/>
  <c r="AX31" i="15"/>
  <c r="AZ16" i="11"/>
  <c r="BE81" i="16"/>
  <c r="BF16" i="6"/>
  <c r="BF60" i="6" s="1"/>
  <c r="BD33" i="11"/>
  <c r="BD78" i="5"/>
  <c r="BD28" i="11"/>
  <c r="BD75" i="5"/>
  <c r="BD38" i="11"/>
  <c r="BD82" i="5" s="1"/>
  <c r="BD80" i="5" s="1"/>
  <c r="BD111" i="11"/>
  <c r="BD106" i="11"/>
  <c r="BI99" i="14"/>
  <c r="BD8" i="11"/>
  <c r="BC8" i="15"/>
  <c r="BD140" i="11"/>
  <c r="BI104" i="14"/>
  <c r="BC28" i="5"/>
  <c r="BE13" i="19"/>
  <c r="BH9" i="14"/>
  <c r="BD9" i="19"/>
  <c r="BJ4" i="14"/>
  <c r="BF4" i="19"/>
  <c r="BI6" i="14"/>
  <c r="BE6" i="19"/>
  <c r="BI7" i="14"/>
  <c r="BE7" i="19"/>
  <c r="BH11" i="14"/>
  <c r="BD11" i="19"/>
  <c r="BH10" i="14"/>
  <c r="BD10" i="19"/>
  <c r="CS6" i="17"/>
  <c r="CU7" i="16"/>
  <c r="BC5" i="18"/>
  <c r="BC8" i="18" s="1"/>
  <c r="BD8" i="17"/>
  <c r="BE4" i="17"/>
  <c r="BD4" i="18" s="1"/>
  <c r="BF6" i="16"/>
  <c r="CQ6" i="18"/>
  <c r="BD169" i="11"/>
  <c r="BD171" i="11" s="1"/>
  <c r="BD172" i="11" s="1"/>
  <c r="BD197" i="11"/>
  <c r="BE194" i="11" s="1"/>
  <c r="BE28" i="6"/>
  <c r="BD24" i="5"/>
  <c r="BE27" i="6"/>
  <c r="BD23" i="5"/>
  <c r="BE29" i="6"/>
  <c r="BD25" i="5"/>
  <c r="BE30" i="6"/>
  <c r="BD26" i="5"/>
  <c r="BC187" i="11"/>
  <c r="BD184" i="11" s="1"/>
  <c r="BD69" i="5"/>
  <c r="BC177" i="11"/>
  <c r="BD174" i="11" s="1"/>
  <c r="BC29" i="5"/>
  <c r="AR167" i="11"/>
  <c r="AQ19" i="15" s="1"/>
  <c r="AR27" i="5"/>
  <c r="BE53" i="4"/>
  <c r="BE55" i="4"/>
  <c r="BE54" i="4"/>
  <c r="BE52" i="4"/>
  <c r="BE35" i="6"/>
  <c r="BD185" i="11"/>
  <c r="BD190" i="11"/>
  <c r="BE36" i="6"/>
  <c r="BE33" i="6"/>
  <c r="BD175" i="11"/>
  <c r="BE31" i="6"/>
  <c r="BD166" i="11"/>
  <c r="BD145" i="11"/>
  <c r="BD214" i="11"/>
  <c r="BF36" i="10"/>
  <c r="BE12" i="6"/>
  <c r="BD11" i="5"/>
  <c r="BE11" i="10"/>
  <c r="BD9" i="5"/>
  <c r="BE10" i="6"/>
  <c r="BE9" i="10"/>
  <c r="BE5" i="11"/>
  <c r="BE14" i="11" s="1"/>
  <c r="BE13" i="5"/>
  <c r="BE231" i="11" s="1"/>
  <c r="BE44" i="4"/>
  <c r="BE8" i="4" s="1"/>
  <c r="BF8" i="2" s="1"/>
  <c r="BE16" i="4"/>
  <c r="BE20" i="4"/>
  <c r="BE29" i="4"/>
  <c r="BE31" i="4"/>
  <c r="BE32" i="4" s="1"/>
  <c r="BE33" i="4" s="1"/>
  <c r="BE22" i="4"/>
  <c r="BE35" i="4"/>
  <c r="BE23" i="4"/>
  <c r="BF49" i="10" s="1"/>
  <c r="BE50" i="4"/>
  <c r="BE51" i="4"/>
  <c r="BE37" i="4"/>
  <c r="BE38" i="4" s="1"/>
  <c r="BE39" i="4" s="1"/>
  <c r="BE21" i="4"/>
  <c r="BE48" i="4"/>
  <c r="BE36" i="4"/>
  <c r="BE42" i="4"/>
  <c r="BE17" i="4"/>
  <c r="BE18" i="4"/>
  <c r="BE30" i="4"/>
  <c r="BE41" i="4"/>
  <c r="BE24" i="4"/>
  <c r="BE43" i="4"/>
  <c r="BF7" i="6"/>
  <c r="BE6" i="5"/>
  <c r="BF6" i="10"/>
  <c r="BE11" i="6"/>
  <c r="BD10" i="5"/>
  <c r="BE10" i="10"/>
  <c r="BG4" i="10"/>
  <c r="BF5" i="4"/>
  <c r="BG5" i="2" s="1"/>
  <c r="BG14" i="2" s="1"/>
  <c r="BG5" i="6"/>
  <c r="BF4" i="5"/>
  <c r="BF8" i="6"/>
  <c r="BE7" i="5"/>
  <c r="BF7" i="10"/>
  <c r="CU79" i="16" l="1"/>
  <c r="BE245" i="11"/>
  <c r="BE235" i="11"/>
  <c r="BF31" i="10"/>
  <c r="BF21" i="6"/>
  <c r="BF19" i="10" s="1"/>
  <c r="BD250" i="11"/>
  <c r="BC252" i="11"/>
  <c r="BD249" i="11" s="1"/>
  <c r="BD247" i="11"/>
  <c r="BE244" i="11" s="1"/>
  <c r="BE67" i="11"/>
  <c r="BE101" i="5" s="1"/>
  <c r="BE72" i="11"/>
  <c r="BE106" i="5" s="1"/>
  <c r="CY4" i="26"/>
  <c r="CY5" i="26" s="1"/>
  <c r="CX8" i="26"/>
  <c r="AZ18" i="11"/>
  <c r="AZ70" i="5" s="1"/>
  <c r="AZ68" i="5" s="1"/>
  <c r="BD39" i="11"/>
  <c r="BE36" i="11" s="1"/>
  <c r="BD107" i="11"/>
  <c r="BE104" i="11" s="1"/>
  <c r="BD42" i="5"/>
  <c r="BD112" i="11"/>
  <c r="BE109" i="11" s="1"/>
  <c r="BD43" i="5"/>
  <c r="BD29" i="11"/>
  <c r="BE26" i="11" s="1"/>
  <c r="BE105" i="11" s="1"/>
  <c r="BF48" i="6" s="1"/>
  <c r="BD76" i="5"/>
  <c r="BD74" i="5" s="1"/>
  <c r="BD34" i="11"/>
  <c r="BE31" i="11" s="1"/>
  <c r="BE110" i="11" s="1"/>
  <c r="BF49" i="6" s="1"/>
  <c r="BD79" i="5"/>
  <c r="BD77" i="5" s="1"/>
  <c r="BE32" i="11"/>
  <c r="BI88" i="14"/>
  <c r="BE37" i="11"/>
  <c r="BE81" i="5" s="1"/>
  <c r="BE27" i="11"/>
  <c r="BD9" i="11"/>
  <c r="BC9" i="15"/>
  <c r="BF4" i="11"/>
  <c r="BE4" i="15"/>
  <c r="BD11" i="11"/>
  <c r="BC11" i="15"/>
  <c r="BF21" i="2"/>
  <c r="BF22" i="2"/>
  <c r="BF23" i="2"/>
  <c r="BF24" i="2"/>
  <c r="BF25" i="2"/>
  <c r="BF30" i="2"/>
  <c r="BC10" i="15"/>
  <c r="BE7" i="11"/>
  <c r="BD7" i="15"/>
  <c r="BE6" i="11"/>
  <c r="BD6" i="15"/>
  <c r="BE57" i="11"/>
  <c r="BE90" i="5" s="1"/>
  <c r="BE87" i="11"/>
  <c r="BE88" i="11" s="1"/>
  <c r="BJ5" i="14"/>
  <c r="BJ15" i="14" s="1"/>
  <c r="BF5" i="19"/>
  <c r="BI8" i="14"/>
  <c r="BE8" i="19"/>
  <c r="BD10" i="11"/>
  <c r="CV7" i="16"/>
  <c r="CT6" i="17"/>
  <c r="BE5" i="17"/>
  <c r="BF10" i="16"/>
  <c r="BF54" i="16" s="1"/>
  <c r="BF80" i="16" s="1"/>
  <c r="BG5" i="16"/>
  <c r="CR6" i="18"/>
  <c r="BE169" i="11"/>
  <c r="BD28" i="5"/>
  <c r="AS164" i="11"/>
  <c r="BD186" i="11"/>
  <c r="BD187" i="11" s="1"/>
  <c r="BE184" i="11" s="1"/>
  <c r="BF25" i="6"/>
  <c r="BE35" i="5" s="1"/>
  <c r="BF41" i="6"/>
  <c r="BE195" i="11" s="1"/>
  <c r="BE196" i="11" s="1"/>
  <c r="BE39" i="5" s="1"/>
  <c r="BD176" i="11"/>
  <c r="BD177" i="11" s="1"/>
  <c r="BE174" i="11" s="1"/>
  <c r="AS165" i="11"/>
  <c r="BD191" i="11"/>
  <c r="BD157" i="11"/>
  <c r="BF30" i="10"/>
  <c r="BF25" i="10"/>
  <c r="BF46" i="10"/>
  <c r="BF28" i="10"/>
  <c r="BF48" i="10"/>
  <c r="BF24" i="10"/>
  <c r="BF23" i="10"/>
  <c r="BF47" i="10"/>
  <c r="BF45" i="10"/>
  <c r="BF52" i="10"/>
  <c r="BF27" i="10"/>
  <c r="BF53" i="10"/>
  <c r="BF22" i="10"/>
  <c r="BF50" i="10"/>
  <c r="BF26" i="10"/>
  <c r="BF44" i="10"/>
  <c r="BF7" i="4"/>
  <c r="BG7" i="2" s="1"/>
  <c r="BF14" i="4"/>
  <c r="BG4" i="4"/>
  <c r="BH4" i="2" s="1"/>
  <c r="BF6" i="4"/>
  <c r="BG6" i="2" s="1"/>
  <c r="BF5" i="5"/>
  <c r="BG6" i="6"/>
  <c r="BG13" i="6" s="1"/>
  <c r="BG5" i="10"/>
  <c r="BG14" i="10" s="1"/>
  <c r="BE26" i="4"/>
  <c r="BE47" i="4"/>
  <c r="BE11" i="4" s="1"/>
  <c r="BF11" i="2" s="1"/>
  <c r="BE45" i="4"/>
  <c r="BE9" i="4" s="1"/>
  <c r="BF9" i="2" s="1"/>
  <c r="BE46" i="4"/>
  <c r="BE10" i="4" s="1"/>
  <c r="BF10" i="2" s="1"/>
  <c r="BE25" i="4"/>
  <c r="BE27" i="4"/>
  <c r="BE17" i="11"/>
  <c r="BE97" i="11"/>
  <c r="BF9" i="6"/>
  <c r="BE8" i="5"/>
  <c r="BF8" i="10"/>
  <c r="CV79" i="16" l="1"/>
  <c r="BE5" i="15"/>
  <c r="BE13" i="15" s="1"/>
  <c r="BF138" i="5"/>
  <c r="BF137" i="5"/>
  <c r="BD251" i="11"/>
  <c r="BD252" i="11" s="1"/>
  <c r="BE249" i="11" s="1"/>
  <c r="BE246" i="11"/>
  <c r="CZ4" i="26"/>
  <c r="CZ5" i="26" s="1"/>
  <c r="CY8" i="26"/>
  <c r="AZ19" i="11"/>
  <c r="BF81" i="16"/>
  <c r="BG16" i="6"/>
  <c r="BG60" i="6" s="1"/>
  <c r="BE28" i="11"/>
  <c r="BE75" i="5"/>
  <c r="BE33" i="11"/>
  <c r="BE78" i="5"/>
  <c r="BE111" i="11"/>
  <c r="BE106" i="11"/>
  <c r="BE38" i="11"/>
  <c r="BE39" i="11" s="1"/>
  <c r="BF36" i="11" s="1"/>
  <c r="BJ104" i="14"/>
  <c r="BJ99" i="14"/>
  <c r="BE8" i="11"/>
  <c r="BD8" i="15"/>
  <c r="BE140" i="11"/>
  <c r="BE61" i="19"/>
  <c r="BF13" i="19"/>
  <c r="BK4" i="14"/>
  <c r="BG4" i="19"/>
  <c r="BJ7" i="14"/>
  <c r="BF7" i="19"/>
  <c r="BI10" i="14"/>
  <c r="BE10" i="19"/>
  <c r="BJ6" i="14"/>
  <c r="BF6" i="19"/>
  <c r="BI9" i="14"/>
  <c r="BE9" i="19"/>
  <c r="BI11" i="14"/>
  <c r="BE11" i="19"/>
  <c r="CU6" i="17"/>
  <c r="CW7" i="16"/>
  <c r="CS6" i="18"/>
  <c r="BD5" i="18"/>
  <c r="BD8" i="18" s="1"/>
  <c r="BE8" i="17"/>
  <c r="BG6" i="16"/>
  <c r="BF4" i="17"/>
  <c r="BE4" i="18" s="1"/>
  <c r="BD31" i="5"/>
  <c r="BD29" i="5"/>
  <c r="BF28" i="6"/>
  <c r="BE24" i="5"/>
  <c r="BE197" i="11"/>
  <c r="BF194" i="11" s="1"/>
  <c r="BF27" i="6"/>
  <c r="BE23" i="5"/>
  <c r="BF29" i="6"/>
  <c r="BE25" i="5"/>
  <c r="BF30" i="6"/>
  <c r="BE26" i="5"/>
  <c r="BE69" i="5"/>
  <c r="BD192" i="11"/>
  <c r="BE189" i="11" s="1"/>
  <c r="BD32" i="5"/>
  <c r="AS167" i="11"/>
  <c r="AR19" i="15" s="1"/>
  <c r="AS27" i="5"/>
  <c r="BF55" i="4"/>
  <c r="BF52" i="4"/>
  <c r="BF54" i="4"/>
  <c r="BF53" i="4"/>
  <c r="BF31" i="6"/>
  <c r="BE166" i="11"/>
  <c r="BF32" i="6"/>
  <c r="BE170" i="11"/>
  <c r="BE171" i="11" s="1"/>
  <c r="BF36" i="6"/>
  <c r="BE190" i="11"/>
  <c r="BF33" i="6"/>
  <c r="BE175" i="11"/>
  <c r="BE176" i="11" s="1"/>
  <c r="BE185" i="11"/>
  <c r="BF35" i="6"/>
  <c r="BE145" i="11"/>
  <c r="BE214" i="11"/>
  <c r="BG36" i="10"/>
  <c r="BF5" i="11"/>
  <c r="BF14" i="11" s="1"/>
  <c r="BF13" i="5"/>
  <c r="BF231" i="11" s="1"/>
  <c r="BG7" i="6"/>
  <c r="BF6" i="5"/>
  <c r="BG6" i="10"/>
  <c r="BH4" i="10"/>
  <c r="BG5" i="4"/>
  <c r="BH5" i="2" s="1"/>
  <c r="BH14" i="2" s="1"/>
  <c r="BH5" i="6"/>
  <c r="BG4" i="5"/>
  <c r="BF44" i="4"/>
  <c r="BF8" i="4" s="1"/>
  <c r="BG8" i="2" s="1"/>
  <c r="BF50" i="4"/>
  <c r="BF23" i="4"/>
  <c r="BG48" i="10" s="1"/>
  <c r="BF43" i="4"/>
  <c r="BF22" i="4"/>
  <c r="BF29" i="4"/>
  <c r="BF17" i="4"/>
  <c r="BF21" i="4"/>
  <c r="BF24" i="4"/>
  <c r="BF36" i="4"/>
  <c r="BF42" i="4"/>
  <c r="BF41" i="4"/>
  <c r="BF37" i="4"/>
  <c r="BF38" i="4" s="1"/>
  <c r="BF39" i="4" s="1"/>
  <c r="BF51" i="4"/>
  <c r="BF30" i="4"/>
  <c r="BF48" i="4"/>
  <c r="BF31" i="4"/>
  <c r="BF32" i="4" s="1"/>
  <c r="BF33" i="4" s="1"/>
  <c r="BF18" i="4"/>
  <c r="BF20" i="4"/>
  <c r="BF16" i="4"/>
  <c r="BF35" i="4"/>
  <c r="BF7" i="5"/>
  <c r="BG7" i="10"/>
  <c r="BG8" i="6"/>
  <c r="BF11" i="6"/>
  <c r="BE10" i="5"/>
  <c r="BF10" i="10"/>
  <c r="BF10" i="6"/>
  <c r="BE9" i="5"/>
  <c r="BF9" i="10"/>
  <c r="BF12" i="6"/>
  <c r="BE11" i="5"/>
  <c r="BF11" i="10"/>
  <c r="CW79" i="16" l="1"/>
  <c r="BF245" i="11"/>
  <c r="BF235" i="11"/>
  <c r="BG22" i="10"/>
  <c r="BG21" i="6"/>
  <c r="BG19" i="10" s="1"/>
  <c r="BD68" i="11"/>
  <c r="BD102" i="5" s="1"/>
  <c r="BD27" i="19" s="1"/>
  <c r="BE247" i="11"/>
  <c r="BF244" i="11" s="1"/>
  <c r="BE250" i="11"/>
  <c r="BE251" i="11" s="1"/>
  <c r="BE252" i="11" s="1"/>
  <c r="BF249" i="11" s="1"/>
  <c r="BF72" i="11"/>
  <c r="BF106" i="5" s="1"/>
  <c r="BF67" i="11"/>
  <c r="BF101" i="5" s="1"/>
  <c r="DA4" i="26"/>
  <c r="DA5" i="26" s="1"/>
  <c r="CZ8" i="26"/>
  <c r="AY31" i="15"/>
  <c r="BA16" i="11"/>
  <c r="BJ88" i="14"/>
  <c r="BE107" i="11"/>
  <c r="BF104" i="11" s="1"/>
  <c r="BE42" i="5"/>
  <c r="BE112" i="11"/>
  <c r="BF109" i="11" s="1"/>
  <c r="BE43" i="5"/>
  <c r="BE34" i="11"/>
  <c r="BF31" i="11" s="1"/>
  <c r="BF110" i="11" s="1"/>
  <c r="BG49" i="6" s="1"/>
  <c r="BE79" i="5"/>
  <c r="BE77" i="5" s="1"/>
  <c r="BE29" i="11"/>
  <c r="BF26" i="11" s="1"/>
  <c r="BF105" i="11" s="1"/>
  <c r="BG48" i="6" s="1"/>
  <c r="BE76" i="5"/>
  <c r="BE74" i="5" s="1"/>
  <c r="BE82" i="5"/>
  <c r="BE80" i="5" s="1"/>
  <c r="BF32" i="11"/>
  <c r="BG31" i="10"/>
  <c r="BF37" i="11"/>
  <c r="BF81" i="5" s="1"/>
  <c r="BF27" i="11"/>
  <c r="BE9" i="11"/>
  <c r="BD9" i="15"/>
  <c r="BG4" i="11"/>
  <c r="BF4" i="15"/>
  <c r="BF7" i="11"/>
  <c r="BE7" i="15"/>
  <c r="BD10" i="15"/>
  <c r="BE11" i="11"/>
  <c r="BD11" i="15"/>
  <c r="BG23" i="2"/>
  <c r="BG30" i="2"/>
  <c r="BG21" i="2"/>
  <c r="BG22" i="2"/>
  <c r="BG24" i="2"/>
  <c r="BG25" i="2"/>
  <c r="BF6" i="11"/>
  <c r="BE6" i="15"/>
  <c r="BF57" i="11"/>
  <c r="BF90" i="5" s="1"/>
  <c r="BF87" i="11"/>
  <c r="BF88" i="11" s="1"/>
  <c r="BJ8" i="14"/>
  <c r="BF8" i="19"/>
  <c r="BK5" i="14"/>
  <c r="BK15" i="14" s="1"/>
  <c r="BG5" i="19"/>
  <c r="BE10" i="11"/>
  <c r="CT6" i="18"/>
  <c r="CX7" i="16"/>
  <c r="CV6" i="17"/>
  <c r="BG10" i="16"/>
  <c r="BG54" i="16" s="1"/>
  <c r="BG80" i="16" s="1"/>
  <c r="BF5" i="17"/>
  <c r="BH5" i="16"/>
  <c r="AT164" i="11"/>
  <c r="BG41" i="6"/>
  <c r="BF195" i="11" s="1"/>
  <c r="BF196" i="11" s="1"/>
  <c r="BF39" i="5" s="1"/>
  <c r="BG25" i="6"/>
  <c r="BF35" i="5" s="1"/>
  <c r="BE177" i="11"/>
  <c r="BF174" i="11" s="1"/>
  <c r="BE29" i="5"/>
  <c r="BE172" i="11"/>
  <c r="BE28" i="5"/>
  <c r="BE186" i="11"/>
  <c r="BE31" i="5" s="1"/>
  <c r="BE191" i="11"/>
  <c r="AT165" i="11"/>
  <c r="BE157" i="11"/>
  <c r="BG45" i="10"/>
  <c r="BG50" i="10"/>
  <c r="BG46" i="10"/>
  <c r="BG28" i="10"/>
  <c r="BG44" i="10"/>
  <c r="BG49" i="10"/>
  <c r="BG53" i="10"/>
  <c r="BG25" i="10"/>
  <c r="BG26" i="10"/>
  <c r="BG23" i="10"/>
  <c r="BG47" i="10"/>
  <c r="BG30" i="10"/>
  <c r="BG27" i="10"/>
  <c r="BG24" i="10"/>
  <c r="BG52" i="10"/>
  <c r="BG8" i="10"/>
  <c r="BF8" i="5"/>
  <c r="BG9" i="6"/>
  <c r="BF97" i="11"/>
  <c r="BF17" i="11"/>
  <c r="BF27" i="4"/>
  <c r="BF45" i="4"/>
  <c r="BF9" i="4" s="1"/>
  <c r="BG9" i="2" s="1"/>
  <c r="BF26" i="4"/>
  <c r="BF25" i="4"/>
  <c r="BF46" i="4"/>
  <c r="BF10" i="4" s="1"/>
  <c r="BG10" i="2" s="1"/>
  <c r="BF47" i="4"/>
  <c r="BF11" i="4" s="1"/>
  <c r="BG11" i="2" s="1"/>
  <c r="BH4" i="4"/>
  <c r="BI4" i="2" s="1"/>
  <c r="BG14" i="4"/>
  <c r="BG7" i="4"/>
  <c r="BH7" i="2" s="1"/>
  <c r="BG6" i="4"/>
  <c r="BH6" i="2" s="1"/>
  <c r="BH5" i="10"/>
  <c r="BH14" i="10" s="1"/>
  <c r="BG5" i="5"/>
  <c r="BH6" i="6"/>
  <c r="BH13" i="6" s="1"/>
  <c r="CX79" i="16" l="1"/>
  <c r="BF5" i="15"/>
  <c r="BF13" i="15" s="1"/>
  <c r="BG138" i="5"/>
  <c r="BG137" i="5"/>
  <c r="BG27" i="6"/>
  <c r="BF23" i="5"/>
  <c r="BE68" i="11"/>
  <c r="BE102" i="5" s="1"/>
  <c r="BE27" i="19" s="1"/>
  <c r="BF246" i="11"/>
  <c r="DB4" i="26"/>
  <c r="DB5" i="26" s="1"/>
  <c r="DA8" i="26"/>
  <c r="BA18" i="11"/>
  <c r="BA70" i="5" s="1"/>
  <c r="BA68" i="5" s="1"/>
  <c r="BG81" i="16"/>
  <c r="BH16" i="6"/>
  <c r="BH60" i="6" s="1"/>
  <c r="BF28" i="11"/>
  <c r="BF75" i="5"/>
  <c r="BF33" i="11"/>
  <c r="BF78" i="5"/>
  <c r="BF111" i="11"/>
  <c r="BF106" i="11"/>
  <c r="BF38" i="11"/>
  <c r="BF39" i="11" s="1"/>
  <c r="BG36" i="11" s="1"/>
  <c r="BK99" i="14"/>
  <c r="BF8" i="11"/>
  <c r="BE8" i="15"/>
  <c r="BF140" i="11"/>
  <c r="BF61" i="19"/>
  <c r="BK104" i="14"/>
  <c r="BG13" i="19"/>
  <c r="BK6" i="14"/>
  <c r="BG6" i="19"/>
  <c r="BK7" i="14"/>
  <c r="BG7" i="19"/>
  <c r="BL4" i="14"/>
  <c r="BH4" i="19"/>
  <c r="BJ11" i="14"/>
  <c r="BF11" i="19"/>
  <c r="BJ9" i="14"/>
  <c r="BF9" i="19"/>
  <c r="BJ10" i="14"/>
  <c r="BF10" i="19"/>
  <c r="BH6" i="16"/>
  <c r="BG4" i="17"/>
  <c r="BF4" i="18" s="1"/>
  <c r="BF8" i="17"/>
  <c r="BE5" i="18"/>
  <c r="BE8" i="18" s="1"/>
  <c r="CU6" i="18"/>
  <c r="CW6" i="17"/>
  <c r="CY7" i="16"/>
  <c r="BF169" i="11"/>
  <c r="BF197" i="11"/>
  <c r="BG194" i="11" s="1"/>
  <c r="BE187" i="11"/>
  <c r="BF184" i="11" s="1"/>
  <c r="BG29" i="6"/>
  <c r="BF25" i="5"/>
  <c r="BG30" i="6"/>
  <c r="BF26" i="5"/>
  <c r="BG28" i="6"/>
  <c r="BF24" i="5"/>
  <c r="BF69" i="5"/>
  <c r="BE192" i="11"/>
  <c r="BF189" i="11" s="1"/>
  <c r="BE32" i="5"/>
  <c r="AT167" i="11"/>
  <c r="AS19" i="15" s="1"/>
  <c r="AT27" i="5"/>
  <c r="BG53" i="4"/>
  <c r="BG55" i="4"/>
  <c r="BG52" i="4"/>
  <c r="BG54" i="4"/>
  <c r="BG32" i="6"/>
  <c r="BF170" i="11"/>
  <c r="BF185" i="11"/>
  <c r="BG35" i="6"/>
  <c r="BG36" i="6"/>
  <c r="BF190" i="11"/>
  <c r="BG31" i="6"/>
  <c r="BF166" i="11"/>
  <c r="BG33" i="6"/>
  <c r="BF175" i="11"/>
  <c r="BF145" i="11"/>
  <c r="BF214" i="11"/>
  <c r="BH36" i="10"/>
  <c r="BG44" i="4"/>
  <c r="BG8" i="4" s="1"/>
  <c r="BH8" i="2" s="1"/>
  <c r="BG43" i="4"/>
  <c r="BG31" i="4"/>
  <c r="BG32" i="4" s="1"/>
  <c r="BG33" i="4" s="1"/>
  <c r="BG36" i="4"/>
  <c r="BG50" i="4"/>
  <c r="BG42" i="4"/>
  <c r="BG29" i="4"/>
  <c r="BG35" i="4"/>
  <c r="BG37" i="4"/>
  <c r="BG38" i="4" s="1"/>
  <c r="BG39" i="4" s="1"/>
  <c r="BG20" i="4"/>
  <c r="BG24" i="4"/>
  <c r="BG17" i="4"/>
  <c r="BG48" i="4"/>
  <c r="BG51" i="4"/>
  <c r="BG21" i="4"/>
  <c r="BG18" i="4"/>
  <c r="BG41" i="4"/>
  <c r="BG23" i="4"/>
  <c r="BH45" i="10" s="1"/>
  <c r="BG16" i="4"/>
  <c r="BG30" i="4"/>
  <c r="BG22" i="4"/>
  <c r="BH5" i="4"/>
  <c r="BI5" i="2" s="1"/>
  <c r="BI14" i="2" s="1"/>
  <c r="BI5" i="6"/>
  <c r="BH4" i="5"/>
  <c r="BI4" i="10"/>
  <c r="BH8" i="6"/>
  <c r="BG7" i="5"/>
  <c r="BH7" i="10"/>
  <c r="BG11" i="10"/>
  <c r="BF11" i="5"/>
  <c r="BG12" i="6"/>
  <c r="BF10" i="5"/>
  <c r="BG11" i="6"/>
  <c r="BG10" i="10"/>
  <c r="BG5" i="11"/>
  <c r="BG14" i="11" s="1"/>
  <c r="BG13" i="5"/>
  <c r="BG231" i="11" s="1"/>
  <c r="BG10" i="6"/>
  <c r="BF9" i="5"/>
  <c r="BG9" i="10"/>
  <c r="BH7" i="6"/>
  <c r="BH6" i="10"/>
  <c r="BG6" i="5"/>
  <c r="CY79" i="16" l="1"/>
  <c r="BG245" i="11"/>
  <c r="BG235" i="11"/>
  <c r="BH22" i="10"/>
  <c r="BH21" i="6"/>
  <c r="BH19" i="10" s="1"/>
  <c r="BF247" i="11"/>
  <c r="BG244" i="11" s="1"/>
  <c r="BF250" i="11"/>
  <c r="BG72" i="11"/>
  <c r="BG106" i="5" s="1"/>
  <c r="BG67" i="11"/>
  <c r="BG101" i="5" s="1"/>
  <c r="BA19" i="11"/>
  <c r="AZ31" i="15" s="1"/>
  <c r="DC4" i="26"/>
  <c r="DC5" i="26" s="1"/>
  <c r="DB8" i="26"/>
  <c r="BF107" i="11"/>
  <c r="BG104" i="11" s="1"/>
  <c r="BF42" i="5"/>
  <c r="BF112" i="11"/>
  <c r="BG109" i="11" s="1"/>
  <c r="BF43" i="5"/>
  <c r="BF34" i="11"/>
  <c r="BG31" i="11" s="1"/>
  <c r="BG110" i="11" s="1"/>
  <c r="BH49" i="6" s="1"/>
  <c r="BF79" i="5"/>
  <c r="BF77" i="5" s="1"/>
  <c r="BF29" i="11"/>
  <c r="BG26" i="11" s="1"/>
  <c r="BG105" i="11" s="1"/>
  <c r="BH48" i="6" s="1"/>
  <c r="BF76" i="5"/>
  <c r="BF74" i="5" s="1"/>
  <c r="BF82" i="5"/>
  <c r="BF80" i="5" s="1"/>
  <c r="BG32" i="11"/>
  <c r="BH31" i="10"/>
  <c r="BG37" i="11"/>
  <c r="BG38" i="11" s="1"/>
  <c r="BG82" i="5" s="1"/>
  <c r="BG27" i="11"/>
  <c r="BK88" i="14"/>
  <c r="BG7" i="11"/>
  <c r="BF7" i="15"/>
  <c r="BF11" i="11"/>
  <c r="BE11" i="15"/>
  <c r="BH4" i="11"/>
  <c r="BG4" i="15"/>
  <c r="BG6" i="11"/>
  <c r="BF6" i="15"/>
  <c r="BH21" i="2"/>
  <c r="BH23" i="2"/>
  <c r="BH22" i="2"/>
  <c r="BH24" i="2"/>
  <c r="BH25" i="2"/>
  <c r="BH30" i="2"/>
  <c r="BF9" i="11"/>
  <c r="BE9" i="15"/>
  <c r="BE10" i="15"/>
  <c r="BG57" i="11"/>
  <c r="BG90" i="5" s="1"/>
  <c r="BG87" i="11"/>
  <c r="BG88" i="11" s="1"/>
  <c r="BK8" i="14"/>
  <c r="BG8" i="19"/>
  <c r="BL5" i="14"/>
  <c r="BL15" i="14" s="1"/>
  <c r="BH5" i="19"/>
  <c r="BF171" i="11"/>
  <c r="BF172" i="11" s="1"/>
  <c r="BF10" i="11"/>
  <c r="CV6" i="18"/>
  <c r="CX6" i="17"/>
  <c r="CZ7" i="16"/>
  <c r="BH10" i="16"/>
  <c r="BH54" i="16" s="1"/>
  <c r="BH80" i="16" s="1"/>
  <c r="BI5" i="16"/>
  <c r="BG5" i="17"/>
  <c r="BF186" i="11"/>
  <c r="BF31" i="5" s="1"/>
  <c r="AU164" i="11"/>
  <c r="BH25" i="6"/>
  <c r="BG35" i="5" s="1"/>
  <c r="BH41" i="6"/>
  <c r="BG195" i="11" s="1"/>
  <c r="BG196" i="11" s="1"/>
  <c r="BG39" i="5" s="1"/>
  <c r="BF191" i="11"/>
  <c r="BF192" i="11" s="1"/>
  <c r="BG189" i="11" s="1"/>
  <c r="AU165" i="11"/>
  <c r="BF176" i="11"/>
  <c r="BH46" i="10"/>
  <c r="BH52" i="10"/>
  <c r="BF157" i="11"/>
  <c r="BH49" i="10"/>
  <c r="BH53" i="10"/>
  <c r="BH44" i="10"/>
  <c r="BH24" i="10"/>
  <c r="BH50" i="10"/>
  <c r="BH26" i="10"/>
  <c r="BH25" i="10"/>
  <c r="BH30" i="10"/>
  <c r="BH48" i="10"/>
  <c r="BH27" i="10"/>
  <c r="BH23" i="10"/>
  <c r="BH28" i="10"/>
  <c r="BH47" i="10"/>
  <c r="BH7" i="4"/>
  <c r="BI7" i="2" s="1"/>
  <c r="BH14" i="4"/>
  <c r="BH6" i="4"/>
  <c r="BI6" i="2" s="1"/>
  <c r="BI4" i="4"/>
  <c r="BJ4" i="2" s="1"/>
  <c r="BI6" i="6"/>
  <c r="BI13" i="6" s="1"/>
  <c r="BH5" i="5"/>
  <c r="BG5" i="15" s="1"/>
  <c r="BG13" i="15" s="1"/>
  <c r="BI5" i="10"/>
  <c r="BI14" i="10" s="1"/>
  <c r="BG25" i="4"/>
  <c r="BG26" i="4"/>
  <c r="BG45" i="4"/>
  <c r="BG9" i="4" s="1"/>
  <c r="BH9" i="2" s="1"/>
  <c r="BG47" i="4"/>
  <c r="BG11" i="4" s="1"/>
  <c r="BH11" i="2" s="1"/>
  <c r="BG46" i="4"/>
  <c r="BG10" i="4" s="1"/>
  <c r="BH10" i="2" s="1"/>
  <c r="BG27" i="4"/>
  <c r="BG17" i="11"/>
  <c r="BG97" i="11"/>
  <c r="BH8" i="10"/>
  <c r="BH9" i="6"/>
  <c r="BG8" i="5"/>
  <c r="CZ79" i="16" l="1"/>
  <c r="BH27" i="6"/>
  <c r="BG23" i="5"/>
  <c r="BG246" i="11"/>
  <c r="BF251" i="11"/>
  <c r="BB16" i="11"/>
  <c r="BB18" i="11" s="1"/>
  <c r="BB70" i="5" s="1"/>
  <c r="BB68" i="5" s="1"/>
  <c r="DD4" i="26"/>
  <c r="DD5" i="26" s="1"/>
  <c r="DC8" i="26"/>
  <c r="BH81" i="16"/>
  <c r="BI16" i="6"/>
  <c r="BI60" i="6" s="1"/>
  <c r="BG33" i="11"/>
  <c r="BG78" i="5"/>
  <c r="BG28" i="11"/>
  <c r="BG75" i="5"/>
  <c r="BG111" i="11"/>
  <c r="BG106" i="11"/>
  <c r="BG81" i="5"/>
  <c r="BG80" i="5" s="1"/>
  <c r="BL99" i="14"/>
  <c r="BG8" i="11"/>
  <c r="BF8" i="15"/>
  <c r="BG39" i="11"/>
  <c r="BH36" i="11" s="1"/>
  <c r="BG140" i="11"/>
  <c r="BG61" i="19"/>
  <c r="BF28" i="5"/>
  <c r="BL104" i="14"/>
  <c r="BH13" i="19"/>
  <c r="BL6" i="14"/>
  <c r="BH6" i="19"/>
  <c r="BK10" i="14"/>
  <c r="BG10" i="19"/>
  <c r="BK11" i="14"/>
  <c r="BG11" i="19"/>
  <c r="BK9" i="14"/>
  <c r="BG9" i="19"/>
  <c r="BM4" i="14"/>
  <c r="BI4" i="19"/>
  <c r="BL7" i="14"/>
  <c r="BH7" i="19"/>
  <c r="DA7" i="16"/>
  <c r="CY6" i="17"/>
  <c r="BF5" i="18"/>
  <c r="BF8" i="18" s="1"/>
  <c r="BG8" i="17"/>
  <c r="BI6" i="16"/>
  <c r="BH4" i="17"/>
  <c r="BG4" i="18" s="1"/>
  <c r="CW6" i="18"/>
  <c r="BF187" i="11"/>
  <c r="BG184" i="11" s="1"/>
  <c r="BG169" i="11"/>
  <c r="BF32" i="5"/>
  <c r="BH28" i="6"/>
  <c r="BG24" i="5"/>
  <c r="BH30" i="6"/>
  <c r="BG26" i="5"/>
  <c r="BH29" i="6"/>
  <c r="BG25" i="5"/>
  <c r="BG197" i="11"/>
  <c r="BH194" i="11" s="1"/>
  <c r="BG69" i="5"/>
  <c r="BF177" i="11"/>
  <c r="BG174" i="11" s="1"/>
  <c r="BF29" i="5"/>
  <c r="AU167" i="11"/>
  <c r="AT19" i="15" s="1"/>
  <c r="AU27" i="5"/>
  <c r="BH54" i="4"/>
  <c r="BH52" i="4"/>
  <c r="BH55" i="4"/>
  <c r="BH53" i="4"/>
  <c r="BG175" i="11"/>
  <c r="BH33" i="6"/>
  <c r="BH32" i="6"/>
  <c r="BG170" i="11"/>
  <c r="BH36" i="6"/>
  <c r="BG190" i="11"/>
  <c r="BG191" i="11" s="1"/>
  <c r="BH35" i="6"/>
  <c r="BG185" i="11"/>
  <c r="BH31" i="6"/>
  <c r="BG166" i="11"/>
  <c r="BG145" i="11"/>
  <c r="BG214" i="11"/>
  <c r="BI36" i="10"/>
  <c r="BH5" i="11"/>
  <c r="BH14" i="11" s="1"/>
  <c r="BH13" i="5"/>
  <c r="BH231" i="11" s="1"/>
  <c r="BJ5" i="6"/>
  <c r="BJ4" i="10"/>
  <c r="BI4" i="5"/>
  <c r="BI5" i="4"/>
  <c r="BJ5" i="2" s="1"/>
  <c r="BJ14" i="2" s="1"/>
  <c r="BI7" i="6"/>
  <c r="BH6" i="5"/>
  <c r="BI6" i="10"/>
  <c r="BH44" i="4"/>
  <c r="BH8" i="4" s="1"/>
  <c r="BI8" i="2" s="1"/>
  <c r="BH37" i="4"/>
  <c r="BH38" i="4" s="1"/>
  <c r="BH39" i="4" s="1"/>
  <c r="BH29" i="4"/>
  <c r="BH20" i="4"/>
  <c r="BH21" i="4"/>
  <c r="BH36" i="4"/>
  <c r="BH17" i="4"/>
  <c r="BH30" i="4"/>
  <c r="BH18" i="4"/>
  <c r="BH50" i="4"/>
  <c r="BH41" i="4"/>
  <c r="BH51" i="4"/>
  <c r="BH48" i="4"/>
  <c r="BH31" i="4"/>
  <c r="BH32" i="4" s="1"/>
  <c r="BH33" i="4" s="1"/>
  <c r="BH23" i="4"/>
  <c r="BI46" i="10" s="1"/>
  <c r="BH22" i="4"/>
  <c r="BH16" i="4"/>
  <c r="BH35" i="4"/>
  <c r="BH24" i="4"/>
  <c r="BH43" i="4"/>
  <c r="BH42" i="4"/>
  <c r="BH11" i="6"/>
  <c r="BG10" i="5"/>
  <c r="BH10" i="10"/>
  <c r="BI8" i="6"/>
  <c r="BI7" i="10"/>
  <c r="BH7" i="5"/>
  <c r="BG11" i="5"/>
  <c r="BH12" i="6"/>
  <c r="BH11" i="10"/>
  <c r="BG9" i="5"/>
  <c r="BH10" i="6"/>
  <c r="BH9" i="10"/>
  <c r="DA79" i="16" l="1"/>
  <c r="BH245" i="11"/>
  <c r="BH235" i="11"/>
  <c r="BI23" i="10"/>
  <c r="BI28" i="6" s="1"/>
  <c r="BI21" i="6"/>
  <c r="BI19" i="10" s="1"/>
  <c r="BF252" i="11"/>
  <c r="BG249" i="11" s="1"/>
  <c r="BF68" i="11"/>
  <c r="BF102" i="5" s="1"/>
  <c r="BF27" i="19" s="1"/>
  <c r="BG247" i="11"/>
  <c r="BH244" i="11" s="1"/>
  <c r="BG250" i="11"/>
  <c r="BH72" i="11"/>
  <c r="BH106" i="5" s="1"/>
  <c r="BH67" i="11"/>
  <c r="BH101" i="5" s="1"/>
  <c r="BB19" i="11"/>
  <c r="BA31" i="15" s="1"/>
  <c r="DE4" i="26"/>
  <c r="DE5" i="26" s="1"/>
  <c r="DD8" i="26"/>
  <c r="BL88" i="14"/>
  <c r="BG107" i="11"/>
  <c r="BH104" i="11" s="1"/>
  <c r="BG42" i="5"/>
  <c r="BG112" i="11"/>
  <c r="BH109" i="11" s="1"/>
  <c r="BG43" i="5"/>
  <c r="BG29" i="11"/>
  <c r="BH26" i="11" s="1"/>
  <c r="BH105" i="11" s="1"/>
  <c r="BI48" i="6" s="1"/>
  <c r="BG76" i="5"/>
  <c r="BG74" i="5" s="1"/>
  <c r="BG34" i="11"/>
  <c r="BH31" i="11" s="1"/>
  <c r="BH110" i="11" s="1"/>
  <c r="BI49" i="6" s="1"/>
  <c r="BG79" i="5"/>
  <c r="BG77" i="5" s="1"/>
  <c r="BH32" i="11"/>
  <c r="BI31" i="10"/>
  <c r="BH37" i="11"/>
  <c r="BH38" i="11" s="1"/>
  <c r="BH82" i="5" s="1"/>
  <c r="BH27" i="11"/>
  <c r="BG9" i="11"/>
  <c r="BF9" i="15"/>
  <c r="BH7" i="11"/>
  <c r="BG7" i="15"/>
  <c r="BI22" i="2"/>
  <c r="BI21" i="2"/>
  <c r="BI24" i="2"/>
  <c r="BI23" i="2"/>
  <c r="BI25" i="2"/>
  <c r="BI30" i="2"/>
  <c r="BF10" i="15"/>
  <c r="BG11" i="11"/>
  <c r="BF11" i="15"/>
  <c r="BH6" i="11"/>
  <c r="BG6" i="15"/>
  <c r="BI4" i="11"/>
  <c r="BH4" i="15"/>
  <c r="BH57" i="11"/>
  <c r="BH90" i="5" s="1"/>
  <c r="BH87" i="11"/>
  <c r="BH88" i="11" s="1"/>
  <c r="BL8" i="14"/>
  <c r="BH8" i="19"/>
  <c r="BM5" i="14"/>
  <c r="BM15" i="14" s="1"/>
  <c r="BI5" i="19"/>
  <c r="BH5" i="17"/>
  <c r="BI10" i="16"/>
  <c r="BI54" i="16" s="1"/>
  <c r="BI80" i="16" s="1"/>
  <c r="BJ5" i="16"/>
  <c r="CX6" i="18"/>
  <c r="BG10" i="11"/>
  <c r="CZ6" i="17"/>
  <c r="DB7" i="16"/>
  <c r="AV164" i="11"/>
  <c r="BG176" i="11"/>
  <c r="BG29" i="5" s="1"/>
  <c r="BI41" i="6"/>
  <c r="BH195" i="11" s="1"/>
  <c r="BH196" i="11" s="1"/>
  <c r="BH39" i="5" s="1"/>
  <c r="BI25" i="6"/>
  <c r="BH35" i="5" s="1"/>
  <c r="BG192" i="11"/>
  <c r="BH189" i="11" s="1"/>
  <c r="BG32" i="5"/>
  <c r="AV165" i="11"/>
  <c r="BG186" i="11"/>
  <c r="BG31" i="5" s="1"/>
  <c r="BG171" i="11"/>
  <c r="BI28" i="10"/>
  <c r="BG157" i="11"/>
  <c r="BI49" i="10"/>
  <c r="BI45" i="10"/>
  <c r="BI47" i="10"/>
  <c r="BI25" i="10"/>
  <c r="BI30" i="10"/>
  <c r="BI48" i="10"/>
  <c r="BI24" i="10"/>
  <c r="BI50" i="10"/>
  <c r="BI53" i="10"/>
  <c r="BI27" i="10"/>
  <c r="BI52" i="10"/>
  <c r="BI22" i="10"/>
  <c r="BI26" i="10"/>
  <c r="BI44" i="10"/>
  <c r="BI8" i="10"/>
  <c r="BI9" i="6"/>
  <c r="BH8" i="5"/>
  <c r="BH97" i="11"/>
  <c r="BH17" i="11"/>
  <c r="BH46" i="4"/>
  <c r="BH10" i="4" s="1"/>
  <c r="BI10" i="2" s="1"/>
  <c r="BH45" i="4"/>
  <c r="BH9" i="4" s="1"/>
  <c r="BI9" i="2" s="1"/>
  <c r="BH25" i="4"/>
  <c r="BH47" i="4"/>
  <c r="BH11" i="4" s="1"/>
  <c r="BI11" i="2" s="1"/>
  <c r="BH27" i="4"/>
  <c r="BH26" i="4"/>
  <c r="BI6" i="4"/>
  <c r="BJ6" i="2" s="1"/>
  <c r="BI14" i="4"/>
  <c r="BI7" i="4"/>
  <c r="BJ7" i="2" s="1"/>
  <c r="BJ4" i="4"/>
  <c r="BK4" i="2" s="1"/>
  <c r="BJ6" i="6"/>
  <c r="BJ13" i="6" s="1"/>
  <c r="BI5" i="5"/>
  <c r="BJ5" i="10"/>
  <c r="BJ14" i="10" s="1"/>
  <c r="BH5" i="15" l="1"/>
  <c r="BH13" i="15" s="1"/>
  <c r="BI137" i="5"/>
  <c r="BI138" i="5"/>
  <c r="DB79" i="16"/>
  <c r="BH24" i="5"/>
  <c r="BG251" i="11"/>
  <c r="BG252" i="11" s="1"/>
  <c r="BH249" i="11" s="1"/>
  <c r="BC16" i="11"/>
  <c r="BC18" i="11" s="1"/>
  <c r="BC70" i="5" s="1"/>
  <c r="BC68" i="5" s="1"/>
  <c r="DF4" i="26"/>
  <c r="DF5" i="26" s="1"/>
  <c r="DE8" i="26"/>
  <c r="BI81" i="16"/>
  <c r="BJ16" i="6"/>
  <c r="BJ60" i="6" s="1"/>
  <c r="BH33" i="11"/>
  <c r="BH78" i="5"/>
  <c r="BH28" i="11"/>
  <c r="BH75" i="5"/>
  <c r="BH111" i="11"/>
  <c r="BH106" i="11"/>
  <c r="BH81" i="5"/>
  <c r="BH80" i="5" s="1"/>
  <c r="BM104" i="14"/>
  <c r="BH8" i="11"/>
  <c r="BG8" i="15"/>
  <c r="BH39" i="11"/>
  <c r="BI36" i="11" s="1"/>
  <c r="BH140" i="11"/>
  <c r="BH61" i="19"/>
  <c r="BM99" i="14"/>
  <c r="BI13" i="19"/>
  <c r="BL11" i="14"/>
  <c r="BH11" i="19"/>
  <c r="BN4" i="14"/>
  <c r="BJ4" i="19"/>
  <c r="BM6" i="14"/>
  <c r="BI6" i="19"/>
  <c r="BL9" i="14"/>
  <c r="BH9" i="19"/>
  <c r="BM7" i="14"/>
  <c r="BI7" i="19"/>
  <c r="BL10" i="14"/>
  <c r="BH10" i="19"/>
  <c r="DA6" i="17"/>
  <c r="DC7" i="16"/>
  <c r="CY6" i="18"/>
  <c r="BJ6" i="16"/>
  <c r="BI4" i="17"/>
  <c r="BH4" i="18" s="1"/>
  <c r="BH8" i="17"/>
  <c r="BG5" i="18"/>
  <c r="BG8" i="18" s="1"/>
  <c r="BG177" i="11"/>
  <c r="BH174" i="11" s="1"/>
  <c r="BG187" i="11"/>
  <c r="BH184" i="11" s="1"/>
  <c r="BI27" i="6"/>
  <c r="BH23" i="5"/>
  <c r="BI29" i="6"/>
  <c r="BH25" i="5"/>
  <c r="BI30" i="6"/>
  <c r="BH26" i="5"/>
  <c r="BH197" i="11"/>
  <c r="BI194" i="11" s="1"/>
  <c r="BH69" i="5"/>
  <c r="BG172" i="11"/>
  <c r="BG28" i="5"/>
  <c r="AV167" i="11"/>
  <c r="AU19" i="15" s="1"/>
  <c r="AV27" i="5"/>
  <c r="BI53" i="4"/>
  <c r="BI55" i="4"/>
  <c r="BI54" i="4"/>
  <c r="BI52" i="4"/>
  <c r="BI31" i="6"/>
  <c r="BH166" i="11"/>
  <c r="BI32" i="6"/>
  <c r="BH170" i="11"/>
  <c r="BI35" i="6"/>
  <c r="BH185" i="11"/>
  <c r="BI33" i="6"/>
  <c r="BH175" i="11"/>
  <c r="BI36" i="6"/>
  <c r="BH190" i="11"/>
  <c r="BH145" i="11"/>
  <c r="BH214" i="11"/>
  <c r="BJ36" i="10"/>
  <c r="BJ5" i="4"/>
  <c r="BK5" i="2" s="1"/>
  <c r="BK14" i="2" s="1"/>
  <c r="BK5" i="6"/>
  <c r="BJ4" i="5"/>
  <c r="BK4" i="10"/>
  <c r="BI7" i="5"/>
  <c r="BJ8" i="6"/>
  <c r="BJ7" i="10"/>
  <c r="BJ7" i="6"/>
  <c r="BI6" i="5"/>
  <c r="BJ6" i="10"/>
  <c r="BI44" i="4"/>
  <c r="BI8" i="4" s="1"/>
  <c r="BJ8" i="2" s="1"/>
  <c r="BI17" i="4"/>
  <c r="BI43" i="4"/>
  <c r="BI35" i="4"/>
  <c r="BI31" i="4"/>
  <c r="BI32" i="4" s="1"/>
  <c r="BI33" i="4" s="1"/>
  <c r="BI24" i="4"/>
  <c r="BI36" i="4"/>
  <c r="BI41" i="4"/>
  <c r="BI48" i="4"/>
  <c r="BI21" i="4"/>
  <c r="BI18" i="4"/>
  <c r="BI22" i="4"/>
  <c r="BI50" i="4"/>
  <c r="BI20" i="4"/>
  <c r="BI37" i="4"/>
  <c r="BI38" i="4" s="1"/>
  <c r="BI39" i="4" s="1"/>
  <c r="BI29" i="4"/>
  <c r="BI51" i="4"/>
  <c r="BI16" i="4"/>
  <c r="BI42" i="4"/>
  <c r="BI30" i="4"/>
  <c r="BI23" i="4"/>
  <c r="BJ49" i="10" s="1"/>
  <c r="BH11" i="5"/>
  <c r="BI12" i="6"/>
  <c r="BI11" i="10"/>
  <c r="BI10" i="6"/>
  <c r="BH9" i="5"/>
  <c r="BI9" i="10"/>
  <c r="BI11" i="6"/>
  <c r="BH10" i="5"/>
  <c r="BI10" i="10"/>
  <c r="BI5" i="11"/>
  <c r="BI14" i="11" s="1"/>
  <c r="BI13" i="5"/>
  <c r="BI231" i="11" s="1"/>
  <c r="DC79" i="16" l="1"/>
  <c r="BI245" i="11"/>
  <c r="BI235" i="11"/>
  <c r="BJ28" i="10"/>
  <c r="BJ21" i="6"/>
  <c r="BJ19" i="10" s="1"/>
  <c r="BG68" i="11"/>
  <c r="BG102" i="5" s="1"/>
  <c r="BG27" i="19" s="1"/>
  <c r="BH246" i="11"/>
  <c r="BH247" i="11" s="1"/>
  <c r="BI244" i="11" s="1"/>
  <c r="BH250" i="11"/>
  <c r="BH251" i="11" s="1"/>
  <c r="BH252" i="11" s="1"/>
  <c r="BI249" i="11" s="1"/>
  <c r="BI67" i="11"/>
  <c r="BI101" i="5" s="1"/>
  <c r="BI72" i="11"/>
  <c r="BI106" i="5" s="1"/>
  <c r="BC19" i="11"/>
  <c r="BB31" i="15" s="1"/>
  <c r="DG4" i="26"/>
  <c r="DG5" i="26" s="1"/>
  <c r="DF8" i="26"/>
  <c r="BH107" i="11"/>
  <c r="BI104" i="11" s="1"/>
  <c r="BH42" i="5"/>
  <c r="BH112" i="11"/>
  <c r="BI109" i="11" s="1"/>
  <c r="BH43" i="5"/>
  <c r="BH29" i="11"/>
  <c r="BI26" i="11" s="1"/>
  <c r="BI105" i="11" s="1"/>
  <c r="BJ48" i="6" s="1"/>
  <c r="BH76" i="5"/>
  <c r="BH74" i="5" s="1"/>
  <c r="BH34" i="11"/>
  <c r="BI31" i="11" s="1"/>
  <c r="BI110" i="11" s="1"/>
  <c r="BJ49" i="6" s="1"/>
  <c r="BH79" i="5"/>
  <c r="BH77" i="5" s="1"/>
  <c r="BI32" i="11"/>
  <c r="BJ31" i="10"/>
  <c r="BM88" i="14"/>
  <c r="BI37" i="11"/>
  <c r="BI81" i="5" s="1"/>
  <c r="BI27" i="11"/>
  <c r="BI6" i="11"/>
  <c r="BH6" i="15"/>
  <c r="BH11" i="11"/>
  <c r="BG11" i="15"/>
  <c r="BJ4" i="11"/>
  <c r="BI4" i="15"/>
  <c r="BI7" i="11"/>
  <c r="BH7" i="15"/>
  <c r="BG10" i="15"/>
  <c r="BH9" i="11"/>
  <c r="BG9" i="15"/>
  <c r="BJ24" i="2"/>
  <c r="BJ23" i="2"/>
  <c r="BJ30" i="2"/>
  <c r="BJ21" i="2"/>
  <c r="BJ22" i="2"/>
  <c r="BJ25" i="2"/>
  <c r="BI57" i="11"/>
  <c r="BI90" i="5" s="1"/>
  <c r="BI87" i="11"/>
  <c r="BI88" i="11" s="1"/>
  <c r="BH186" i="11"/>
  <c r="BH31" i="5" s="1"/>
  <c r="BM8" i="14"/>
  <c r="BI8" i="19"/>
  <c r="BN5" i="14"/>
  <c r="BN15" i="14" s="1"/>
  <c r="BJ5" i="19"/>
  <c r="BJ10" i="16"/>
  <c r="BJ54" i="16" s="1"/>
  <c r="BJ80" i="16" s="1"/>
  <c r="BK5" i="16"/>
  <c r="BI5" i="17"/>
  <c r="DD7" i="16"/>
  <c r="DB6" i="17"/>
  <c r="CZ6" i="18"/>
  <c r="BH10" i="11"/>
  <c r="BH176" i="11"/>
  <c r="BH177" i="11" s="1"/>
  <c r="BI174" i="11" s="1"/>
  <c r="BH169" i="11"/>
  <c r="BH171" i="11" s="1"/>
  <c r="AW164" i="11"/>
  <c r="BJ25" i="6"/>
  <c r="BI35" i="5" s="1"/>
  <c r="BJ41" i="6"/>
  <c r="BI195" i="11" s="1"/>
  <c r="BI196" i="11" s="1"/>
  <c r="BI39" i="5" s="1"/>
  <c r="BH191" i="11"/>
  <c r="AW165" i="11"/>
  <c r="BH157" i="11"/>
  <c r="BJ23" i="10"/>
  <c r="BJ26" i="10"/>
  <c r="BJ22" i="10"/>
  <c r="BJ27" i="10"/>
  <c r="BJ48" i="10"/>
  <c r="BJ53" i="10"/>
  <c r="BJ47" i="10"/>
  <c r="BJ46" i="10"/>
  <c r="BJ30" i="10"/>
  <c r="BJ25" i="10"/>
  <c r="BJ50" i="10"/>
  <c r="BJ52" i="10"/>
  <c r="BJ24" i="10"/>
  <c r="BJ44" i="10"/>
  <c r="BJ45" i="10"/>
  <c r="BJ8" i="10"/>
  <c r="BJ9" i="6"/>
  <c r="BI8" i="5"/>
  <c r="BI17" i="11"/>
  <c r="BI97" i="11"/>
  <c r="BI45" i="4"/>
  <c r="BI9" i="4" s="1"/>
  <c r="BJ9" i="2" s="1"/>
  <c r="BI47" i="4"/>
  <c r="BI11" i="4" s="1"/>
  <c r="BJ11" i="2" s="1"/>
  <c r="BI25" i="4"/>
  <c r="BI27" i="4"/>
  <c r="BI26" i="4"/>
  <c r="BI46" i="4"/>
  <c r="BI10" i="4" s="1"/>
  <c r="BJ10" i="2" s="1"/>
  <c r="BJ14" i="4"/>
  <c r="BK4" i="4"/>
  <c r="BL4" i="2" s="1"/>
  <c r="BJ7" i="4"/>
  <c r="BK7" i="2" s="1"/>
  <c r="BJ6" i="4"/>
  <c r="BK6" i="2" s="1"/>
  <c r="BK6" i="6"/>
  <c r="BK13" i="6" s="1"/>
  <c r="BJ5" i="5"/>
  <c r="BK5" i="10"/>
  <c r="BK14" i="10" s="1"/>
  <c r="BI5" i="15" l="1"/>
  <c r="BI13" i="15" s="1"/>
  <c r="BJ138" i="5"/>
  <c r="BJ137" i="5"/>
  <c r="DD79" i="16"/>
  <c r="BI175" i="11"/>
  <c r="BI176" i="11" s="1"/>
  <c r="BI177" i="11" s="1"/>
  <c r="BJ174" i="11" s="1"/>
  <c r="BJ33" i="6"/>
  <c r="BH68" i="11"/>
  <c r="BH102" i="5" s="1"/>
  <c r="BH27" i="19" s="1"/>
  <c r="BI246" i="11"/>
  <c r="BD16" i="11"/>
  <c r="BD18" i="11" s="1"/>
  <c r="BD70" i="5" s="1"/>
  <c r="BD68" i="5" s="1"/>
  <c r="DH4" i="26"/>
  <c r="DH5" i="26" s="1"/>
  <c r="DG8" i="26"/>
  <c r="BJ81" i="16"/>
  <c r="BK16" i="6"/>
  <c r="BK60" i="6" s="1"/>
  <c r="BI28" i="11"/>
  <c r="BI75" i="5"/>
  <c r="BI33" i="11"/>
  <c r="BI78" i="5"/>
  <c r="BI111" i="11"/>
  <c r="BI106" i="11"/>
  <c r="BI38" i="11"/>
  <c r="BI82" i="5" s="1"/>
  <c r="BI80" i="5" s="1"/>
  <c r="BN99" i="14"/>
  <c r="BI8" i="11"/>
  <c r="BH8" i="15"/>
  <c r="BI140" i="11"/>
  <c r="BI61" i="19"/>
  <c r="BN104" i="14"/>
  <c r="BH187" i="11"/>
  <c r="BI184" i="11" s="1"/>
  <c r="BJ13" i="19"/>
  <c r="BN7" i="14"/>
  <c r="BJ7" i="19"/>
  <c r="BN6" i="14"/>
  <c r="BJ6" i="19"/>
  <c r="BO4" i="14"/>
  <c r="BK4" i="19"/>
  <c r="BM10" i="14"/>
  <c r="BI10" i="19"/>
  <c r="BM11" i="14"/>
  <c r="BI11" i="19"/>
  <c r="BM9" i="14"/>
  <c r="BI9" i="19"/>
  <c r="BH29" i="5"/>
  <c r="DC6" i="17"/>
  <c r="DE7" i="16"/>
  <c r="DA6" i="18"/>
  <c r="BI8" i="17"/>
  <c r="BH5" i="18"/>
  <c r="BH8" i="18" s="1"/>
  <c r="BJ4" i="17"/>
  <c r="BI4" i="18" s="1"/>
  <c r="BK6" i="16"/>
  <c r="BH28" i="5"/>
  <c r="BH172" i="11"/>
  <c r="BJ30" i="6"/>
  <c r="BI26" i="5"/>
  <c r="BI197" i="11"/>
  <c r="BJ194" i="11" s="1"/>
  <c r="BJ27" i="6"/>
  <c r="BI23" i="5"/>
  <c r="BJ29" i="6"/>
  <c r="BI25" i="5"/>
  <c r="BJ28" i="6"/>
  <c r="BI24" i="5"/>
  <c r="BI69" i="5"/>
  <c r="BH192" i="11"/>
  <c r="BI189" i="11" s="1"/>
  <c r="BH32" i="5"/>
  <c r="AW167" i="11"/>
  <c r="AV19" i="15" s="1"/>
  <c r="AW27" i="5"/>
  <c r="BJ52" i="4"/>
  <c r="BJ53" i="4"/>
  <c r="BJ54" i="4"/>
  <c r="BJ55" i="4"/>
  <c r="BI190" i="11"/>
  <c r="BJ36" i="6"/>
  <c r="BJ35" i="6"/>
  <c r="BI185" i="11"/>
  <c r="BJ32" i="6"/>
  <c r="BI170" i="11"/>
  <c r="BJ31" i="6"/>
  <c r="BI166" i="11"/>
  <c r="BI145" i="11"/>
  <c r="BI214" i="11"/>
  <c r="BK36" i="10"/>
  <c r="BJ44" i="4"/>
  <c r="BJ8" i="4" s="1"/>
  <c r="BK8" i="2" s="1"/>
  <c r="BJ50" i="4"/>
  <c r="BJ24" i="4"/>
  <c r="BJ35" i="4"/>
  <c r="BJ31" i="4"/>
  <c r="BJ32" i="4" s="1"/>
  <c r="BJ33" i="4" s="1"/>
  <c r="BJ20" i="4"/>
  <c r="BJ21" i="4"/>
  <c r="BJ30" i="4"/>
  <c r="BJ48" i="4"/>
  <c r="BJ23" i="4"/>
  <c r="BK47" i="10" s="1"/>
  <c r="BJ18" i="4"/>
  <c r="BJ36" i="4"/>
  <c r="BJ16" i="4"/>
  <c r="BJ42" i="4"/>
  <c r="BJ17" i="4"/>
  <c r="BJ51" i="4"/>
  <c r="BJ29" i="4"/>
  <c r="BJ43" i="4"/>
  <c r="BJ22" i="4"/>
  <c r="BJ41" i="4"/>
  <c r="BJ37" i="4"/>
  <c r="BJ38" i="4" s="1"/>
  <c r="BJ39" i="4" s="1"/>
  <c r="BI10" i="5"/>
  <c r="BJ11" i="6"/>
  <c r="BJ10" i="10"/>
  <c r="BJ12" i="6"/>
  <c r="BJ11" i="10"/>
  <c r="BI11" i="5"/>
  <c r="BJ5" i="11"/>
  <c r="BJ14" i="11" s="1"/>
  <c r="BJ13" i="5"/>
  <c r="BJ231" i="11" s="1"/>
  <c r="BK5" i="4"/>
  <c r="BL5" i="2" s="1"/>
  <c r="BL14" i="2" s="1"/>
  <c r="BK4" i="5"/>
  <c r="BL5" i="6"/>
  <c r="BL4" i="10"/>
  <c r="BJ9" i="10"/>
  <c r="BJ10" i="6"/>
  <c r="BI9" i="5"/>
  <c r="BK7" i="6"/>
  <c r="BJ6" i="5"/>
  <c r="BK6" i="10"/>
  <c r="BJ7" i="5"/>
  <c r="BK8" i="6"/>
  <c r="BK7" i="10"/>
  <c r="DE79" i="16" l="1"/>
  <c r="BJ245" i="11"/>
  <c r="BJ235" i="11"/>
  <c r="BK24" i="10"/>
  <c r="BK29" i="6" s="1"/>
  <c r="BK21" i="6"/>
  <c r="BK19" i="10" s="1"/>
  <c r="BI250" i="11"/>
  <c r="BI251" i="11" s="1"/>
  <c r="BI252" i="11" s="1"/>
  <c r="BJ249" i="11" s="1"/>
  <c r="BI247" i="11"/>
  <c r="BJ244" i="11" s="1"/>
  <c r="BJ72" i="11"/>
  <c r="BJ106" i="5" s="1"/>
  <c r="BJ67" i="11"/>
  <c r="BJ101" i="5" s="1"/>
  <c r="BD19" i="11"/>
  <c r="BC31" i="15" s="1"/>
  <c r="DI4" i="26"/>
  <c r="DI5" i="26" s="1"/>
  <c r="DH8" i="26"/>
  <c r="BI107" i="11"/>
  <c r="BJ104" i="11" s="1"/>
  <c r="BI42" i="5"/>
  <c r="BI112" i="11"/>
  <c r="BJ109" i="11" s="1"/>
  <c r="BI43" i="5"/>
  <c r="BN88" i="14"/>
  <c r="BI29" i="11"/>
  <c r="BJ26" i="11" s="1"/>
  <c r="BJ105" i="11" s="1"/>
  <c r="BK48" i="6" s="1"/>
  <c r="BI76" i="5"/>
  <c r="BI74" i="5" s="1"/>
  <c r="BI34" i="11"/>
  <c r="BJ31" i="11" s="1"/>
  <c r="BJ110" i="11" s="1"/>
  <c r="BK49" i="6" s="1"/>
  <c r="BI79" i="5"/>
  <c r="BI77" i="5" s="1"/>
  <c r="BI39" i="11"/>
  <c r="BJ36" i="11" s="1"/>
  <c r="BJ32" i="11"/>
  <c r="BK31" i="10"/>
  <c r="BJ37" i="11"/>
  <c r="BJ27" i="11"/>
  <c r="BI9" i="11"/>
  <c r="BH9" i="15"/>
  <c r="BH10" i="15"/>
  <c r="BI11" i="11"/>
  <c r="BH11" i="15"/>
  <c r="BK22" i="2"/>
  <c r="BK21" i="2"/>
  <c r="BK24" i="2"/>
  <c r="BK23" i="2"/>
  <c r="BK30" i="2"/>
  <c r="BK25" i="2"/>
  <c r="BK4" i="11"/>
  <c r="BJ4" i="15"/>
  <c r="BJ7" i="11"/>
  <c r="BI7" i="15"/>
  <c r="BJ6" i="11"/>
  <c r="BI6" i="15"/>
  <c r="BI186" i="11"/>
  <c r="BI31" i="5" s="1"/>
  <c r="BJ57" i="11"/>
  <c r="BJ90" i="5" s="1"/>
  <c r="BJ61" i="19" s="1"/>
  <c r="BJ87" i="11"/>
  <c r="BJ88" i="11" s="1"/>
  <c r="BN8" i="14"/>
  <c r="BJ8" i="19"/>
  <c r="BO5" i="14"/>
  <c r="BO15" i="14" s="1"/>
  <c r="BK5" i="19"/>
  <c r="DF7" i="16"/>
  <c r="DD6" i="17"/>
  <c r="BI10" i="11"/>
  <c r="DB6" i="18"/>
  <c r="BJ5" i="17"/>
  <c r="BK10" i="16"/>
  <c r="BK54" i="16" s="1"/>
  <c r="BK80" i="16" s="1"/>
  <c r="BL5" i="16"/>
  <c r="BI29" i="5"/>
  <c r="BI169" i="11"/>
  <c r="BI171" i="11" s="1"/>
  <c r="AX164" i="11"/>
  <c r="BK41" i="6"/>
  <c r="BJ195" i="11" s="1"/>
  <c r="BJ196" i="11" s="1"/>
  <c r="BJ39" i="5" s="1"/>
  <c r="BK25" i="6"/>
  <c r="BJ35" i="5" s="1"/>
  <c r="BI191" i="11"/>
  <c r="BI32" i="5" s="1"/>
  <c r="AX165" i="11"/>
  <c r="BK26" i="10"/>
  <c r="BK22" i="10"/>
  <c r="BI157" i="11"/>
  <c r="BK27" i="10"/>
  <c r="BK45" i="10"/>
  <c r="BK28" i="10"/>
  <c r="BK23" i="10"/>
  <c r="BK25" i="10"/>
  <c r="BK49" i="10"/>
  <c r="BK48" i="10"/>
  <c r="BK50" i="10"/>
  <c r="BK52" i="10"/>
  <c r="BK53" i="10"/>
  <c r="BK30" i="10"/>
  <c r="BK44" i="10"/>
  <c r="BK46" i="10"/>
  <c r="BJ97" i="11"/>
  <c r="BJ17" i="11"/>
  <c r="BK14" i="4"/>
  <c r="BK7" i="4"/>
  <c r="BL7" i="2" s="1"/>
  <c r="BK6" i="4"/>
  <c r="BL6" i="2" s="1"/>
  <c r="BL4" i="4"/>
  <c r="BM4" i="2" s="1"/>
  <c r="BL6" i="6"/>
  <c r="BL13" i="6" s="1"/>
  <c r="BK5" i="5"/>
  <c r="BL5" i="10"/>
  <c r="BL14" i="10" s="1"/>
  <c r="BJ26" i="4"/>
  <c r="BJ27" i="4"/>
  <c r="BJ47" i="4"/>
  <c r="BJ11" i="4" s="1"/>
  <c r="BK11" i="2" s="1"/>
  <c r="BJ45" i="4"/>
  <c r="BJ9" i="4" s="1"/>
  <c r="BK9" i="2" s="1"/>
  <c r="BJ46" i="4"/>
  <c r="BJ10" i="4" s="1"/>
  <c r="BK10" i="2" s="1"/>
  <c r="BJ25" i="4"/>
  <c r="BK9" i="6"/>
  <c r="BJ8" i="5"/>
  <c r="BK8" i="10"/>
  <c r="BJ5" i="15" l="1"/>
  <c r="BJ13" i="15" s="1"/>
  <c r="BK138" i="5"/>
  <c r="BK137" i="5"/>
  <c r="DF79" i="16"/>
  <c r="BJ25" i="5"/>
  <c r="BI68" i="11"/>
  <c r="BI102" i="5" s="1"/>
  <c r="BI27" i="19" s="1"/>
  <c r="BJ246" i="11"/>
  <c r="BE16" i="11"/>
  <c r="BE18" i="11" s="1"/>
  <c r="BE70" i="5" s="1"/>
  <c r="BE68" i="5" s="1"/>
  <c r="DJ4" i="26"/>
  <c r="DJ5" i="26" s="1"/>
  <c r="DI8" i="26"/>
  <c r="BK81" i="16"/>
  <c r="BL16" i="6"/>
  <c r="BL60" i="6" s="1"/>
  <c r="BJ28" i="11"/>
  <c r="BJ75" i="5"/>
  <c r="BJ33" i="11"/>
  <c r="BJ78" i="5"/>
  <c r="BJ111" i="11"/>
  <c r="BJ38" i="11"/>
  <c r="BJ82" i="5" s="1"/>
  <c r="BJ106" i="11"/>
  <c r="BJ81" i="5"/>
  <c r="BO104" i="14"/>
  <c r="BJ8" i="11"/>
  <c r="BI8" i="15"/>
  <c r="BI187" i="11"/>
  <c r="BJ184" i="11" s="1"/>
  <c r="BO99" i="14"/>
  <c r="BJ140" i="11"/>
  <c r="BK13" i="19"/>
  <c r="BP4" i="14"/>
  <c r="BL4" i="19"/>
  <c r="BO6" i="14"/>
  <c r="BK6" i="19"/>
  <c r="BO7" i="14"/>
  <c r="BK7" i="19"/>
  <c r="BN10" i="14"/>
  <c r="BJ10" i="19"/>
  <c r="BN9" i="14"/>
  <c r="BJ9" i="19"/>
  <c r="BN11" i="14"/>
  <c r="BJ11" i="19"/>
  <c r="BJ8" i="17"/>
  <c r="BI5" i="18"/>
  <c r="BI8" i="18" s="1"/>
  <c r="BK4" i="17"/>
  <c r="BJ4" i="18" s="1"/>
  <c r="BL6" i="16"/>
  <c r="DC6" i="18"/>
  <c r="DG7" i="16"/>
  <c r="DE6" i="17"/>
  <c r="BI172" i="11"/>
  <c r="BI28" i="5"/>
  <c r="BJ197" i="11"/>
  <c r="BK194" i="11" s="1"/>
  <c r="BK27" i="6"/>
  <c r="BJ23" i="5"/>
  <c r="BK30" i="6"/>
  <c r="BJ26" i="5"/>
  <c r="BK28" i="6"/>
  <c r="BJ24" i="5"/>
  <c r="BI192" i="11"/>
  <c r="BJ189" i="11" s="1"/>
  <c r="BJ69" i="5"/>
  <c r="AX167" i="11"/>
  <c r="AW19" i="15" s="1"/>
  <c r="AX27" i="5"/>
  <c r="BK55" i="4"/>
  <c r="BK52" i="4"/>
  <c r="BK53" i="4"/>
  <c r="BK54" i="4"/>
  <c r="BK35" i="6"/>
  <c r="BJ185" i="11"/>
  <c r="BJ175" i="11"/>
  <c r="BJ176" i="11" s="1"/>
  <c r="BK33" i="6"/>
  <c r="BK36" i="6"/>
  <c r="BJ190" i="11"/>
  <c r="BJ170" i="11"/>
  <c r="BK32" i="6"/>
  <c r="BK31" i="6"/>
  <c r="BJ166" i="11"/>
  <c r="BJ145" i="11"/>
  <c r="BJ214" i="11"/>
  <c r="BL36" i="10"/>
  <c r="BJ10" i="5"/>
  <c r="BK10" i="10"/>
  <c r="BK11" i="6"/>
  <c r="BK7" i="5"/>
  <c r="BL7" i="10"/>
  <c r="BL8" i="6"/>
  <c r="BK9" i="10"/>
  <c r="BJ9" i="5"/>
  <c r="BK10" i="6"/>
  <c r="BK44" i="4"/>
  <c r="BK8" i="4" s="1"/>
  <c r="BL8" i="2" s="1"/>
  <c r="BK18" i="4"/>
  <c r="BK30" i="4"/>
  <c r="BK16" i="4"/>
  <c r="BK50" i="4"/>
  <c r="BK21" i="4"/>
  <c r="BK51" i="4"/>
  <c r="BK48" i="4"/>
  <c r="BK29" i="4"/>
  <c r="BK22" i="4"/>
  <c r="BK24" i="4"/>
  <c r="BK35" i="4"/>
  <c r="BK20" i="4"/>
  <c r="BK42" i="4"/>
  <c r="BK37" i="4"/>
  <c r="BK38" i="4" s="1"/>
  <c r="BK39" i="4" s="1"/>
  <c r="BK41" i="4"/>
  <c r="BK36" i="4"/>
  <c r="BK43" i="4"/>
  <c r="BK17" i="4"/>
  <c r="BK23" i="4"/>
  <c r="BL45" i="10" s="1"/>
  <c r="BK31" i="4"/>
  <c r="BK32" i="4" s="1"/>
  <c r="BK33" i="4" s="1"/>
  <c r="BL7" i="6"/>
  <c r="BL6" i="10"/>
  <c r="BK6" i="5"/>
  <c r="BK12" i="6"/>
  <c r="BJ11" i="5"/>
  <c r="BK11" i="10"/>
  <c r="BK5" i="11"/>
  <c r="BK14" i="11" s="1"/>
  <c r="BK13" i="5"/>
  <c r="BK231" i="11" s="1"/>
  <c r="BL5" i="4"/>
  <c r="BM5" i="2" s="1"/>
  <c r="BM14" i="2" s="1"/>
  <c r="BM5" i="6"/>
  <c r="BL4" i="5"/>
  <c r="BM4" i="10"/>
  <c r="DG79" i="16" l="1"/>
  <c r="BK245" i="11"/>
  <c r="BK235" i="11"/>
  <c r="BL27" i="10"/>
  <c r="BL21" i="6"/>
  <c r="BL19" i="10" s="1"/>
  <c r="BJ247" i="11"/>
  <c r="BK244" i="11" s="1"/>
  <c r="BJ250" i="11"/>
  <c r="BJ251" i="11" s="1"/>
  <c r="BJ252" i="11" s="1"/>
  <c r="BK249" i="11" s="1"/>
  <c r="BK72" i="11"/>
  <c r="BK106" i="5" s="1"/>
  <c r="BK67" i="11"/>
  <c r="BK101" i="5" s="1"/>
  <c r="BE19" i="11"/>
  <c r="BD31" i="15" s="1"/>
  <c r="DK4" i="26"/>
  <c r="DK5" i="26" s="1"/>
  <c r="DJ8" i="26"/>
  <c r="BJ107" i="11"/>
  <c r="BK104" i="11" s="1"/>
  <c r="BJ42" i="5"/>
  <c r="BJ112" i="11"/>
  <c r="BK109" i="11" s="1"/>
  <c r="BJ43" i="5"/>
  <c r="BJ39" i="11"/>
  <c r="BK36" i="11" s="1"/>
  <c r="BJ34" i="11"/>
  <c r="BK31" i="11" s="1"/>
  <c r="BK110" i="11" s="1"/>
  <c r="BL49" i="6" s="1"/>
  <c r="BJ79" i="5"/>
  <c r="BJ77" i="5" s="1"/>
  <c r="BJ80" i="5"/>
  <c r="BJ29" i="11"/>
  <c r="BK26" i="11" s="1"/>
  <c r="BK105" i="11" s="1"/>
  <c r="BL48" i="6" s="1"/>
  <c r="BJ76" i="5"/>
  <c r="BJ74" i="5" s="1"/>
  <c r="BK32" i="11"/>
  <c r="BL31" i="10"/>
  <c r="BK37" i="11"/>
  <c r="BK81" i="5" s="1"/>
  <c r="BK27" i="11"/>
  <c r="BO88" i="14"/>
  <c r="BK6" i="11"/>
  <c r="BJ6" i="15"/>
  <c r="BJ9" i="11"/>
  <c r="BI9" i="15"/>
  <c r="BJ11" i="11"/>
  <c r="BI11" i="15"/>
  <c r="BL4" i="11"/>
  <c r="BK4" i="15"/>
  <c r="BL22" i="2"/>
  <c r="BL21" i="2"/>
  <c r="BL23" i="2"/>
  <c r="BL24" i="2"/>
  <c r="BL30" i="2"/>
  <c r="BL25" i="2"/>
  <c r="BK7" i="11"/>
  <c r="BJ7" i="15"/>
  <c r="BI10" i="15"/>
  <c r="BK57" i="11"/>
  <c r="BK90" i="5" s="1"/>
  <c r="BK87" i="11"/>
  <c r="BK88" i="11" s="1"/>
  <c r="BP5" i="14"/>
  <c r="BP15" i="14" s="1"/>
  <c r="BL5" i="19"/>
  <c r="BO8" i="14"/>
  <c r="BK8" i="19"/>
  <c r="BK5" i="17"/>
  <c r="BL10" i="16"/>
  <c r="BL54" i="16" s="1"/>
  <c r="BL80" i="16" s="1"/>
  <c r="BM5" i="16"/>
  <c r="BJ10" i="11"/>
  <c r="DD6" i="18"/>
  <c r="DH7" i="16"/>
  <c r="DF6" i="17"/>
  <c r="BJ169" i="11"/>
  <c r="AY164" i="11"/>
  <c r="BL25" i="6"/>
  <c r="BK35" i="5" s="1"/>
  <c r="BL41" i="6"/>
  <c r="BK195" i="11" s="1"/>
  <c r="BK196" i="11" s="1"/>
  <c r="BK39" i="5" s="1"/>
  <c r="BJ177" i="11"/>
  <c r="BK174" i="11" s="1"/>
  <c r="BJ29" i="5"/>
  <c r="AY165" i="11"/>
  <c r="BJ186" i="11"/>
  <c r="BJ31" i="5" s="1"/>
  <c r="BJ191" i="11"/>
  <c r="BL46" i="10"/>
  <c r="BL52" i="10"/>
  <c r="BJ157" i="11"/>
  <c r="BL22" i="10"/>
  <c r="BL28" i="10"/>
  <c r="BL26" i="10"/>
  <c r="BL23" i="10"/>
  <c r="BL24" i="10"/>
  <c r="BL25" i="10"/>
  <c r="BL48" i="10"/>
  <c r="BL49" i="10"/>
  <c r="BL44" i="10"/>
  <c r="BL50" i="10"/>
  <c r="BL47" i="10"/>
  <c r="BL30" i="10"/>
  <c r="BL53" i="10"/>
  <c r="BK45" i="4"/>
  <c r="BK9" i="4" s="1"/>
  <c r="BL9" i="2" s="1"/>
  <c r="BK26" i="4"/>
  <c r="BK46" i="4"/>
  <c r="BK10" i="4" s="1"/>
  <c r="BL10" i="2" s="1"/>
  <c r="BK47" i="4"/>
  <c r="BK11" i="4" s="1"/>
  <c r="BL11" i="2" s="1"/>
  <c r="BK25" i="4"/>
  <c r="BK27" i="4"/>
  <c r="BM4" i="4"/>
  <c r="BN4" i="2" s="1"/>
  <c r="BL7" i="4"/>
  <c r="BM7" i="2" s="1"/>
  <c r="BL6" i="4"/>
  <c r="BM6" i="2" s="1"/>
  <c r="BL14" i="4"/>
  <c r="BM6" i="6"/>
  <c r="BM13" i="6" s="1"/>
  <c r="BL5" i="5"/>
  <c r="BM5" i="10"/>
  <c r="BM14" i="10" s="1"/>
  <c r="BK97" i="11"/>
  <c r="BK17" i="11"/>
  <c r="BK8" i="5"/>
  <c r="BL9" i="6"/>
  <c r="BL8" i="10"/>
  <c r="BK5" i="15" l="1"/>
  <c r="BK13" i="15" s="1"/>
  <c r="BL137" i="5"/>
  <c r="BL138" i="5"/>
  <c r="DH79" i="16"/>
  <c r="BL32" i="6"/>
  <c r="BK170" i="11"/>
  <c r="BJ68" i="11"/>
  <c r="BJ102" i="5" s="1"/>
  <c r="BJ27" i="19" s="1"/>
  <c r="BF16" i="11"/>
  <c r="BF18" i="11" s="1"/>
  <c r="BF70" i="5" s="1"/>
  <c r="BF68" i="5" s="1"/>
  <c r="DL4" i="26"/>
  <c r="DL5" i="26" s="1"/>
  <c r="DK8" i="26"/>
  <c r="BL81" i="16"/>
  <c r="BM16" i="6"/>
  <c r="BM60" i="6" s="1"/>
  <c r="BK33" i="11"/>
  <c r="BK78" i="5"/>
  <c r="BK28" i="11"/>
  <c r="BK75" i="5"/>
  <c r="BK111" i="11"/>
  <c r="BK106" i="11"/>
  <c r="BK38" i="11"/>
  <c r="BK82" i="5" s="1"/>
  <c r="BK80" i="5" s="1"/>
  <c r="BP104" i="14"/>
  <c r="BK8" i="11"/>
  <c r="BJ8" i="15"/>
  <c r="BP99" i="14"/>
  <c r="BK140" i="11"/>
  <c r="BK61" i="19"/>
  <c r="BL13" i="19"/>
  <c r="BP6" i="14"/>
  <c r="BL6" i="19"/>
  <c r="BP7" i="14"/>
  <c r="BL7" i="19"/>
  <c r="BO11" i="14"/>
  <c r="BK11" i="19"/>
  <c r="BQ4" i="14"/>
  <c r="BM4" i="19"/>
  <c r="BO10" i="14"/>
  <c r="BK10" i="19"/>
  <c r="BO9" i="14"/>
  <c r="BK9" i="19"/>
  <c r="BM6" i="16"/>
  <c r="BL4" i="17"/>
  <c r="BK4" i="18" s="1"/>
  <c r="BJ5" i="18"/>
  <c r="BJ8" i="18" s="1"/>
  <c r="BK8" i="17"/>
  <c r="DG6" i="17"/>
  <c r="DI7" i="16"/>
  <c r="DE6" i="18"/>
  <c r="BJ171" i="11"/>
  <c r="BJ28" i="5" s="1"/>
  <c r="BL27" i="6"/>
  <c r="BK23" i="5"/>
  <c r="BK197" i="11"/>
  <c r="BL194" i="11" s="1"/>
  <c r="BL30" i="6"/>
  <c r="BK26" i="5"/>
  <c r="BL29" i="6"/>
  <c r="BK25" i="5"/>
  <c r="BL28" i="6"/>
  <c r="BK24" i="5"/>
  <c r="BJ187" i="11"/>
  <c r="BK184" i="11" s="1"/>
  <c r="BK69" i="5"/>
  <c r="BJ192" i="11"/>
  <c r="BK189" i="11" s="1"/>
  <c r="BJ32" i="5"/>
  <c r="AY167" i="11"/>
  <c r="AX19" i="15" s="1"/>
  <c r="AY27" i="5"/>
  <c r="BL52" i="4"/>
  <c r="BL53" i="4"/>
  <c r="BL54" i="4"/>
  <c r="BL55" i="4"/>
  <c r="BL35" i="6"/>
  <c r="BK185" i="11"/>
  <c r="BL36" i="6"/>
  <c r="BK190" i="11"/>
  <c r="BL31" i="6"/>
  <c r="BK166" i="11"/>
  <c r="BL33" i="6"/>
  <c r="BK175" i="11"/>
  <c r="BK176" i="11" s="1"/>
  <c r="BK145" i="11"/>
  <c r="BK214" i="11"/>
  <c r="BM36" i="10"/>
  <c r="BL5" i="11"/>
  <c r="BL14" i="11" s="1"/>
  <c r="BL13" i="5"/>
  <c r="BL231" i="11" s="1"/>
  <c r="BL44" i="4"/>
  <c r="BL8" i="4" s="1"/>
  <c r="BM8" i="2" s="1"/>
  <c r="BL48" i="4"/>
  <c r="BL22" i="4"/>
  <c r="BL20" i="4"/>
  <c r="BL35" i="4"/>
  <c r="BL23" i="4"/>
  <c r="BM47" i="10" s="1"/>
  <c r="BL16" i="4"/>
  <c r="BL21" i="4"/>
  <c r="BL43" i="4"/>
  <c r="BL41" i="4"/>
  <c r="BL51" i="4"/>
  <c r="BL37" i="4"/>
  <c r="BL38" i="4" s="1"/>
  <c r="BL39" i="4" s="1"/>
  <c r="BL24" i="4"/>
  <c r="BL29" i="4"/>
  <c r="BL17" i="4"/>
  <c r="BL36" i="4"/>
  <c r="BL42" i="4"/>
  <c r="BL30" i="4"/>
  <c r="BL50" i="4"/>
  <c r="BL18" i="4"/>
  <c r="BL31" i="4"/>
  <c r="BL32" i="4" s="1"/>
  <c r="BL33" i="4" s="1"/>
  <c r="BL6" i="5"/>
  <c r="BM6" i="10"/>
  <c r="BM7" i="6"/>
  <c r="BM8" i="6"/>
  <c r="BL7" i="5"/>
  <c r="BM7" i="10"/>
  <c r="BN5" i="6"/>
  <c r="BM5" i="4"/>
  <c r="BN5" i="2" s="1"/>
  <c r="BN14" i="2" s="1"/>
  <c r="BM4" i="5"/>
  <c r="BN4" i="10"/>
  <c r="BL12" i="6"/>
  <c r="BL11" i="10"/>
  <c r="BK11" i="5"/>
  <c r="BL11" i="6"/>
  <c r="BL10" i="10"/>
  <c r="BK10" i="5"/>
  <c r="BL10" i="6"/>
  <c r="BL9" i="10"/>
  <c r="BK9" i="5"/>
  <c r="DI79" i="16" l="1"/>
  <c r="BL245" i="11"/>
  <c r="BL235" i="11"/>
  <c r="BM24" i="10"/>
  <c r="BM29" i="6" s="1"/>
  <c r="BM21" i="6"/>
  <c r="BM19" i="10" s="1"/>
  <c r="BK246" i="11"/>
  <c r="BK250" i="11"/>
  <c r="BK251" i="11" s="1"/>
  <c r="BK252" i="11" s="1"/>
  <c r="BL249" i="11" s="1"/>
  <c r="BL72" i="11"/>
  <c r="BL106" i="5" s="1"/>
  <c r="BL67" i="11"/>
  <c r="BL101" i="5" s="1"/>
  <c r="DM4" i="26"/>
  <c r="DM5" i="26" s="1"/>
  <c r="DL8" i="26"/>
  <c r="BF19" i="11"/>
  <c r="BP88" i="14"/>
  <c r="BK107" i="11"/>
  <c r="BL104" i="11" s="1"/>
  <c r="BK42" i="5"/>
  <c r="BK112" i="11"/>
  <c r="BL109" i="11" s="1"/>
  <c r="BK43" i="5"/>
  <c r="BK29" i="11"/>
  <c r="BL26" i="11" s="1"/>
  <c r="BL105" i="11" s="1"/>
  <c r="BM48" i="6" s="1"/>
  <c r="BK76" i="5"/>
  <c r="BK74" i="5" s="1"/>
  <c r="BK34" i="11"/>
  <c r="BL31" i="11" s="1"/>
  <c r="BL110" i="11" s="1"/>
  <c r="BM49" i="6" s="1"/>
  <c r="BK79" i="5"/>
  <c r="BK77" i="5" s="1"/>
  <c r="BL32" i="11"/>
  <c r="BK39" i="11"/>
  <c r="BL36" i="11" s="1"/>
  <c r="BM31" i="10"/>
  <c r="BL37" i="11"/>
  <c r="BL27" i="11"/>
  <c r="BM4" i="11"/>
  <c r="BL4" i="15"/>
  <c r="BK9" i="11"/>
  <c r="BJ9" i="15"/>
  <c r="BJ10" i="15"/>
  <c r="BM25" i="2"/>
  <c r="BM22" i="2"/>
  <c r="BM24" i="2"/>
  <c r="BM21" i="2"/>
  <c r="BM30" i="2"/>
  <c r="BM23" i="2"/>
  <c r="BK11" i="11"/>
  <c r="BJ11" i="15"/>
  <c r="BL6" i="11"/>
  <c r="BK6" i="15"/>
  <c r="BL7" i="11"/>
  <c r="BK7" i="15"/>
  <c r="BL57" i="11"/>
  <c r="BL90" i="5" s="1"/>
  <c r="BL87" i="11"/>
  <c r="BL88" i="11" s="1"/>
  <c r="BP8" i="14"/>
  <c r="BL8" i="19"/>
  <c r="BQ5" i="14"/>
  <c r="BQ15" i="14" s="1"/>
  <c r="BM5" i="19"/>
  <c r="DJ7" i="16"/>
  <c r="DH6" i="17"/>
  <c r="DF6" i="18"/>
  <c r="BK10" i="11"/>
  <c r="BN5" i="16"/>
  <c r="BL5" i="17"/>
  <c r="BM10" i="16"/>
  <c r="BM54" i="16" s="1"/>
  <c r="BM80" i="16" s="1"/>
  <c r="BJ172" i="11"/>
  <c r="AZ164" i="11"/>
  <c r="BM41" i="6"/>
  <c r="BL195" i="11" s="1"/>
  <c r="BL196" i="11" s="1"/>
  <c r="BL39" i="5" s="1"/>
  <c r="BK186" i="11"/>
  <c r="BK31" i="5" s="1"/>
  <c r="BM25" i="6"/>
  <c r="BL35" i="5" s="1"/>
  <c r="BK177" i="11"/>
  <c r="BL174" i="11" s="1"/>
  <c r="BK29" i="5"/>
  <c r="AZ165" i="11"/>
  <c r="BK191" i="11"/>
  <c r="BK157" i="11"/>
  <c r="BM48" i="10"/>
  <c r="BM52" i="10"/>
  <c r="BM44" i="10"/>
  <c r="BM27" i="10"/>
  <c r="BM23" i="10"/>
  <c r="BM22" i="10"/>
  <c r="BM26" i="10"/>
  <c r="BM28" i="10"/>
  <c r="BM25" i="10"/>
  <c r="BM30" i="10"/>
  <c r="BM53" i="10"/>
  <c r="BM49" i="10"/>
  <c r="BM45" i="10"/>
  <c r="BM50" i="10"/>
  <c r="BM46" i="10"/>
  <c r="BL46" i="4"/>
  <c r="BL10" i="4" s="1"/>
  <c r="BM10" i="2" s="1"/>
  <c r="BL47" i="4"/>
  <c r="BL11" i="4" s="1"/>
  <c r="BM11" i="2" s="1"/>
  <c r="BL27" i="4"/>
  <c r="BL25" i="4"/>
  <c r="BL26" i="4"/>
  <c r="BL45" i="4"/>
  <c r="BL9" i="4" s="1"/>
  <c r="BM9" i="2" s="1"/>
  <c r="BM9" i="6"/>
  <c r="BL8" i="5"/>
  <c r="BM8" i="10"/>
  <c r="BM14" i="4"/>
  <c r="BN4" i="4"/>
  <c r="BO4" i="2" s="1"/>
  <c r="BM6" i="4"/>
  <c r="BN6" i="2" s="1"/>
  <c r="BM7" i="4"/>
  <c r="BN7" i="2" s="1"/>
  <c r="BN5" i="10"/>
  <c r="BN14" i="10" s="1"/>
  <c r="BM5" i="5"/>
  <c r="BN6" i="6"/>
  <c r="BN13" i="6" s="1"/>
  <c r="BL17" i="11"/>
  <c r="BL97" i="11"/>
  <c r="DJ79" i="16" l="1"/>
  <c r="BL5" i="15"/>
  <c r="BL13" i="15" s="1"/>
  <c r="BM138" i="5"/>
  <c r="BM137" i="5"/>
  <c r="BL25" i="5"/>
  <c r="BK247" i="11"/>
  <c r="BL244" i="11" s="1"/>
  <c r="BK68" i="11"/>
  <c r="BK102" i="5" s="1"/>
  <c r="BK27" i="19" s="1"/>
  <c r="BL250" i="11"/>
  <c r="BL251" i="11" s="1"/>
  <c r="BL252" i="11" s="1"/>
  <c r="BM249" i="11" s="1"/>
  <c r="DN4" i="26"/>
  <c r="DN5" i="26" s="1"/>
  <c r="DM8" i="26"/>
  <c r="BE31" i="15"/>
  <c r="BG16" i="11"/>
  <c r="BM81" i="16"/>
  <c r="BN16" i="6"/>
  <c r="BN60" i="6" s="1"/>
  <c r="BL33" i="11"/>
  <c r="BL78" i="5"/>
  <c r="BL28" i="11"/>
  <c r="BL75" i="5"/>
  <c r="BL111" i="11"/>
  <c r="BL38" i="11"/>
  <c r="BL39" i="11" s="1"/>
  <c r="BM36" i="11" s="1"/>
  <c r="BL106" i="11"/>
  <c r="BL81" i="5"/>
  <c r="BQ104" i="14"/>
  <c r="BL8" i="11"/>
  <c r="BK8" i="15"/>
  <c r="BL140" i="11"/>
  <c r="BL61" i="19"/>
  <c r="BQ99" i="14"/>
  <c r="BM13" i="19"/>
  <c r="BQ6" i="14"/>
  <c r="BM6" i="19"/>
  <c r="BQ7" i="14"/>
  <c r="BM7" i="19"/>
  <c r="BP10" i="14"/>
  <c r="BL10" i="19"/>
  <c r="BR4" i="14"/>
  <c r="BN4" i="19"/>
  <c r="BP9" i="14"/>
  <c r="BL9" i="19"/>
  <c r="BP11" i="14"/>
  <c r="BL11" i="19"/>
  <c r="BM4" i="17"/>
  <c r="BL4" i="18" s="1"/>
  <c r="BN6" i="16"/>
  <c r="DG6" i="18"/>
  <c r="DI6" i="17"/>
  <c r="DK7" i="16"/>
  <c r="BL8" i="17"/>
  <c r="BK5" i="18"/>
  <c r="BK8" i="18" s="1"/>
  <c r="BK187" i="11"/>
  <c r="BL184" i="11" s="1"/>
  <c r="BK169" i="11"/>
  <c r="BM30" i="6"/>
  <c r="BL26" i="5"/>
  <c r="BL197" i="11"/>
  <c r="BM194" i="11" s="1"/>
  <c r="BM27" i="6"/>
  <c r="BL23" i="5"/>
  <c r="BM28" i="6"/>
  <c r="BL24" i="5"/>
  <c r="BL69" i="5"/>
  <c r="BK192" i="11"/>
  <c r="BL189" i="11" s="1"/>
  <c r="BK32" i="5"/>
  <c r="AZ167" i="11"/>
  <c r="AY19" i="15" s="1"/>
  <c r="AZ27" i="5"/>
  <c r="BM55" i="4"/>
  <c r="BM53" i="4"/>
  <c r="BM52" i="4"/>
  <c r="BM54" i="4"/>
  <c r="BM35" i="6"/>
  <c r="BL185" i="11"/>
  <c r="BM33" i="6"/>
  <c r="BL175" i="11"/>
  <c r="BL176" i="11" s="1"/>
  <c r="BM31" i="6"/>
  <c r="BL166" i="11"/>
  <c r="BM36" i="6"/>
  <c r="BL190" i="11"/>
  <c r="BM32" i="6"/>
  <c r="BL170" i="11"/>
  <c r="BL145" i="11"/>
  <c r="BL214" i="11"/>
  <c r="BN36" i="10"/>
  <c r="BM5" i="11"/>
  <c r="BM14" i="11" s="1"/>
  <c r="BM13" i="5"/>
  <c r="BM231" i="11" s="1"/>
  <c r="BM10" i="6"/>
  <c r="BM9" i="10"/>
  <c r="BL9" i="5"/>
  <c r="BN8" i="6"/>
  <c r="BM7" i="5"/>
  <c r="BN7" i="10"/>
  <c r="BN7" i="6"/>
  <c r="BM6" i="5"/>
  <c r="BN6" i="10"/>
  <c r="BO5" i="6"/>
  <c r="BO4" i="10"/>
  <c r="BN5" i="4"/>
  <c r="BO5" i="2" s="1"/>
  <c r="BO14" i="2" s="1"/>
  <c r="BN4" i="5"/>
  <c r="BM44" i="4"/>
  <c r="BM8" i="4" s="1"/>
  <c r="BN8" i="2" s="1"/>
  <c r="BM21" i="4"/>
  <c r="BM16" i="4"/>
  <c r="BM31" i="4"/>
  <c r="BM32" i="4" s="1"/>
  <c r="BM33" i="4" s="1"/>
  <c r="BM23" i="4"/>
  <c r="BN46" i="10" s="1"/>
  <c r="BM30" i="4"/>
  <c r="BM22" i="4"/>
  <c r="BM41" i="4"/>
  <c r="BM37" i="4"/>
  <c r="BM38" i="4" s="1"/>
  <c r="BM39" i="4" s="1"/>
  <c r="BM48" i="4"/>
  <c r="BM35" i="4"/>
  <c r="BM51" i="4"/>
  <c r="BM42" i="4"/>
  <c r="BM50" i="4"/>
  <c r="BM29" i="4"/>
  <c r="BM24" i="4"/>
  <c r="BM36" i="4"/>
  <c r="BM20" i="4"/>
  <c r="BM43" i="4"/>
  <c r="BM18" i="4"/>
  <c r="BM17" i="4"/>
  <c r="BM12" i="6"/>
  <c r="BL11" i="5"/>
  <c r="BM11" i="10"/>
  <c r="BL10" i="5"/>
  <c r="BM11" i="6"/>
  <c r="BM10" i="10"/>
  <c r="DK79" i="16" l="1"/>
  <c r="BM245" i="11"/>
  <c r="BM235" i="11"/>
  <c r="BN27" i="10"/>
  <c r="BN21" i="6"/>
  <c r="BN19" i="10" s="1"/>
  <c r="BL246" i="11"/>
  <c r="BM72" i="11"/>
  <c r="BM106" i="5" s="1"/>
  <c r="BM67" i="11"/>
  <c r="BM101" i="5" s="1"/>
  <c r="DO4" i="26"/>
  <c r="DO5" i="26" s="1"/>
  <c r="DN8" i="26"/>
  <c r="BG18" i="11"/>
  <c r="BG70" i="5" s="1"/>
  <c r="BG68" i="5" s="1"/>
  <c r="BL107" i="11"/>
  <c r="BM104" i="11" s="1"/>
  <c r="BL42" i="5"/>
  <c r="BL112" i="11"/>
  <c r="BM109" i="11" s="1"/>
  <c r="BL43" i="5"/>
  <c r="BL29" i="11"/>
  <c r="BM26" i="11" s="1"/>
  <c r="BM105" i="11" s="1"/>
  <c r="BN48" i="6" s="1"/>
  <c r="BL76" i="5"/>
  <c r="BL74" i="5" s="1"/>
  <c r="BL34" i="11"/>
  <c r="BM31" i="11" s="1"/>
  <c r="BM110" i="11" s="1"/>
  <c r="BN49" i="6" s="1"/>
  <c r="BL79" i="5"/>
  <c r="BL77" i="5" s="1"/>
  <c r="BL82" i="5"/>
  <c r="BL80" i="5" s="1"/>
  <c r="BM32" i="11"/>
  <c r="BN31" i="10"/>
  <c r="BM37" i="11"/>
  <c r="BM81" i="5" s="1"/>
  <c r="BM27" i="11"/>
  <c r="BQ88" i="14"/>
  <c r="BN25" i="2"/>
  <c r="BN21" i="2"/>
  <c r="BN30" i="2"/>
  <c r="BN23" i="2"/>
  <c r="BN24" i="2"/>
  <c r="BN22" i="2"/>
  <c r="BM7" i="11"/>
  <c r="BL7" i="15"/>
  <c r="BL9" i="11"/>
  <c r="BK9" i="15"/>
  <c r="BL11" i="11"/>
  <c r="BK11" i="15"/>
  <c r="BM6" i="11"/>
  <c r="BL6" i="15"/>
  <c r="BK10" i="15"/>
  <c r="BN4" i="11"/>
  <c r="BM4" i="15"/>
  <c r="BM57" i="11"/>
  <c r="BM90" i="5" s="1"/>
  <c r="BM87" i="11"/>
  <c r="BM88" i="11" s="1"/>
  <c r="BR5" i="14"/>
  <c r="BR15" i="14" s="1"/>
  <c r="BN5" i="19"/>
  <c r="BQ8" i="14"/>
  <c r="BM8" i="19"/>
  <c r="DH6" i="18"/>
  <c r="DL7" i="16"/>
  <c r="DJ6" i="17"/>
  <c r="BM5" i="17"/>
  <c r="BO5" i="16"/>
  <c r="BN10" i="16"/>
  <c r="BN54" i="16" s="1"/>
  <c r="BN80" i="16" s="1"/>
  <c r="BL10" i="11"/>
  <c r="BK171" i="11"/>
  <c r="BK28" i="5" s="1"/>
  <c r="BA164" i="11"/>
  <c r="BN25" i="6"/>
  <c r="BM35" i="5" s="1"/>
  <c r="BN41" i="6"/>
  <c r="BM195" i="11" s="1"/>
  <c r="BM196" i="11" s="1"/>
  <c r="BM39" i="5" s="1"/>
  <c r="BL191" i="11"/>
  <c r="BL192" i="11" s="1"/>
  <c r="BM189" i="11" s="1"/>
  <c r="BL177" i="11"/>
  <c r="BM174" i="11" s="1"/>
  <c r="BL29" i="5"/>
  <c r="BL186" i="11"/>
  <c r="BA165" i="11"/>
  <c r="BN25" i="10"/>
  <c r="BL157" i="11"/>
  <c r="BN47" i="10"/>
  <c r="BN30" i="10"/>
  <c r="BN24" i="10"/>
  <c r="BN44" i="10"/>
  <c r="BN26" i="10"/>
  <c r="BN52" i="10"/>
  <c r="BN45" i="10"/>
  <c r="BN48" i="10"/>
  <c r="BN50" i="10"/>
  <c r="BN53" i="10"/>
  <c r="BN22" i="10"/>
  <c r="BN28" i="10"/>
  <c r="BN49" i="10"/>
  <c r="BN23" i="10"/>
  <c r="BN7" i="4"/>
  <c r="BO7" i="2" s="1"/>
  <c r="BO4" i="4"/>
  <c r="BP4" i="2" s="1"/>
  <c r="BN14" i="4"/>
  <c r="BN6" i="4"/>
  <c r="BO6" i="2" s="1"/>
  <c r="BO5" i="10"/>
  <c r="BO14" i="10" s="1"/>
  <c r="BO6" i="6"/>
  <c r="BO13" i="6" s="1"/>
  <c r="BN5" i="5"/>
  <c r="BM17" i="11"/>
  <c r="BM97" i="11"/>
  <c r="BN8" i="10"/>
  <c r="BM8" i="5"/>
  <c r="BN9" i="6"/>
  <c r="BM27" i="4"/>
  <c r="BM46" i="4"/>
  <c r="BM10" i="4" s="1"/>
  <c r="BN10" i="2" s="1"/>
  <c r="BM47" i="4"/>
  <c r="BM11" i="4" s="1"/>
  <c r="BN11" i="2" s="1"/>
  <c r="BM25" i="4"/>
  <c r="BM45" i="4"/>
  <c r="BM9" i="4" s="1"/>
  <c r="BN9" i="2" s="1"/>
  <c r="BM26" i="4"/>
  <c r="BM5" i="15" l="1"/>
  <c r="BM13" i="15" s="1"/>
  <c r="BN137" i="5"/>
  <c r="BN138" i="5"/>
  <c r="DL79" i="16"/>
  <c r="BN32" i="6"/>
  <c r="BM170" i="11"/>
  <c r="BL247" i="11"/>
  <c r="BM244" i="11" s="1"/>
  <c r="BL68" i="11"/>
  <c r="BL102" i="5" s="1"/>
  <c r="BL27" i="19" s="1"/>
  <c r="BG19" i="11"/>
  <c r="BF31" i="15" s="1"/>
  <c r="DP4" i="26"/>
  <c r="DP5" i="26" s="1"/>
  <c r="DO8" i="26"/>
  <c r="BN81" i="16"/>
  <c r="BO16" i="6"/>
  <c r="BO60" i="6" s="1"/>
  <c r="BM28" i="11"/>
  <c r="BM75" i="5"/>
  <c r="BM33" i="11"/>
  <c r="BM78" i="5"/>
  <c r="BM38" i="11"/>
  <c r="BM39" i="11" s="1"/>
  <c r="BN36" i="11" s="1"/>
  <c r="BM111" i="11"/>
  <c r="BM106" i="11"/>
  <c r="BR99" i="14"/>
  <c r="BM8" i="11"/>
  <c r="BL8" i="15"/>
  <c r="BR104" i="14"/>
  <c r="BM140" i="11"/>
  <c r="BM61" i="19"/>
  <c r="BN13" i="19"/>
  <c r="BS4" i="14"/>
  <c r="BO4" i="19"/>
  <c r="BQ11" i="14"/>
  <c r="BM11" i="19"/>
  <c r="BR7" i="14"/>
  <c r="BN7" i="19"/>
  <c r="BQ10" i="14"/>
  <c r="BM10" i="19"/>
  <c r="BR6" i="14"/>
  <c r="BN6" i="19"/>
  <c r="BQ9" i="14"/>
  <c r="BM9" i="19"/>
  <c r="DI6" i="18"/>
  <c r="DK6" i="17"/>
  <c r="DM7" i="16"/>
  <c r="BO6" i="16"/>
  <c r="BN4" i="17"/>
  <c r="BM4" i="18" s="1"/>
  <c r="BL5" i="18"/>
  <c r="BL8" i="18" s="1"/>
  <c r="BM8" i="17"/>
  <c r="BK172" i="11"/>
  <c r="BL32" i="5"/>
  <c r="BN30" i="6"/>
  <c r="BM26" i="5"/>
  <c r="BN29" i="6"/>
  <c r="BM25" i="5"/>
  <c r="BM197" i="11"/>
  <c r="BN194" i="11" s="1"/>
  <c r="BN27" i="6"/>
  <c r="BM23" i="5"/>
  <c r="BN28" i="6"/>
  <c r="BM24" i="5"/>
  <c r="BM69" i="5"/>
  <c r="BL187" i="11"/>
  <c r="BM184" i="11" s="1"/>
  <c r="BL31" i="5"/>
  <c r="BA167" i="11"/>
  <c r="AZ19" i="15" s="1"/>
  <c r="BA27" i="5"/>
  <c r="BN53" i="4"/>
  <c r="BN54" i="4"/>
  <c r="BN52" i="4"/>
  <c r="BN55" i="4"/>
  <c r="BN33" i="6"/>
  <c r="BM175" i="11"/>
  <c r="BM176" i="11" s="1"/>
  <c r="BN31" i="6"/>
  <c r="BM166" i="11"/>
  <c r="BM185" i="11"/>
  <c r="BN35" i="6"/>
  <c r="BN36" i="6"/>
  <c r="BM190" i="11"/>
  <c r="BM191" i="11" s="1"/>
  <c r="BM145" i="11"/>
  <c r="BM214" i="11"/>
  <c r="BO36" i="10"/>
  <c r="BN5" i="11"/>
  <c r="BN14" i="11" s="1"/>
  <c r="BN13" i="5"/>
  <c r="BN231" i="11" s="1"/>
  <c r="BN6" i="5"/>
  <c r="BO7" i="6"/>
  <c r="BO6" i="10"/>
  <c r="BN44" i="4"/>
  <c r="BN8" i="4" s="1"/>
  <c r="BO8" i="2" s="1"/>
  <c r="BN23" i="4"/>
  <c r="BN30" i="4"/>
  <c r="BN18" i="4"/>
  <c r="BN21" i="4"/>
  <c r="BN43" i="4"/>
  <c r="BN29" i="4"/>
  <c r="BN22" i="4"/>
  <c r="BN48" i="4"/>
  <c r="BN17" i="4"/>
  <c r="BN36" i="4"/>
  <c r="BN16" i="4"/>
  <c r="BN51" i="4"/>
  <c r="BN24" i="4"/>
  <c r="BN42" i="4"/>
  <c r="BN20" i="4"/>
  <c r="BN35" i="4"/>
  <c r="BN50" i="4"/>
  <c r="BN37" i="4"/>
  <c r="BN38" i="4" s="1"/>
  <c r="BN39" i="4" s="1"/>
  <c r="BN41" i="4"/>
  <c r="BN31" i="4"/>
  <c r="BN32" i="4" s="1"/>
  <c r="BN33" i="4" s="1"/>
  <c r="BO5" i="4"/>
  <c r="BP5" i="2" s="1"/>
  <c r="BP14" i="2" s="1"/>
  <c r="BP4" i="10"/>
  <c r="BP5" i="6"/>
  <c r="BO4" i="5"/>
  <c r="BO7" i="10"/>
  <c r="BO8" i="6"/>
  <c r="BN7" i="5"/>
  <c r="BN12" i="6"/>
  <c r="BM11" i="5"/>
  <c r="BN11" i="10"/>
  <c r="BN10" i="6"/>
  <c r="BN9" i="10"/>
  <c r="BM9" i="5"/>
  <c r="BN10" i="10"/>
  <c r="BM10" i="5"/>
  <c r="BN11" i="6"/>
  <c r="DM79" i="16" l="1"/>
  <c r="BN245" i="11"/>
  <c r="BN235" i="11"/>
  <c r="BO27" i="10"/>
  <c r="BO21" i="6"/>
  <c r="BO19" i="10" s="1"/>
  <c r="BM246" i="11"/>
  <c r="BM250" i="11"/>
  <c r="BM251" i="11" s="1"/>
  <c r="BM252" i="11" s="1"/>
  <c r="BN249" i="11" s="1"/>
  <c r="BN72" i="11"/>
  <c r="BN106" i="5" s="1"/>
  <c r="BN67" i="11"/>
  <c r="BN101" i="5" s="1"/>
  <c r="BH16" i="11"/>
  <c r="BH18" i="11" s="1"/>
  <c r="BH70" i="5" s="1"/>
  <c r="BH68" i="5" s="1"/>
  <c r="DQ4" i="26"/>
  <c r="DQ5" i="26" s="1"/>
  <c r="DP8" i="26"/>
  <c r="BM82" i="5"/>
  <c r="BM80" i="5" s="1"/>
  <c r="BM107" i="11"/>
  <c r="BN104" i="11" s="1"/>
  <c r="BM42" i="5"/>
  <c r="BM112" i="11"/>
  <c r="BN109" i="11" s="1"/>
  <c r="BM43" i="5"/>
  <c r="BO31" i="10"/>
  <c r="BM34" i="11"/>
  <c r="BN31" i="11" s="1"/>
  <c r="BN110" i="11" s="1"/>
  <c r="BO49" i="6" s="1"/>
  <c r="BM79" i="5"/>
  <c r="BM77" i="5" s="1"/>
  <c r="BM29" i="11"/>
  <c r="BN26" i="11" s="1"/>
  <c r="BN105" i="11" s="1"/>
  <c r="BO48" i="6" s="1"/>
  <c r="BM76" i="5"/>
  <c r="BM74" i="5" s="1"/>
  <c r="BN32" i="11"/>
  <c r="BN37" i="11"/>
  <c r="BN38" i="11" s="1"/>
  <c r="BN27" i="11"/>
  <c r="BR88" i="14"/>
  <c r="BO4" i="11"/>
  <c r="BN4" i="15"/>
  <c r="BN6" i="11"/>
  <c r="BM6" i="15"/>
  <c r="BM11" i="11"/>
  <c r="BL11" i="15"/>
  <c r="BO22" i="2"/>
  <c r="BO21" i="2"/>
  <c r="BO25" i="2"/>
  <c r="BO30" i="2"/>
  <c r="BO23" i="2"/>
  <c r="BO24" i="2"/>
  <c r="BN7" i="11"/>
  <c r="BM7" i="15"/>
  <c r="BM9" i="11"/>
  <c r="BL9" i="15"/>
  <c r="BL10" i="15"/>
  <c r="BL169" i="11"/>
  <c r="BL171" i="11" s="1"/>
  <c r="BL28" i="5" s="1"/>
  <c r="BN57" i="11"/>
  <c r="BN90" i="5" s="1"/>
  <c r="BN87" i="11"/>
  <c r="BN88" i="11" s="1"/>
  <c r="BR8" i="14"/>
  <c r="BN8" i="19"/>
  <c r="BS5" i="14"/>
  <c r="BS15" i="14" s="1"/>
  <c r="BO5" i="19"/>
  <c r="DJ6" i="18"/>
  <c r="BM10" i="11"/>
  <c r="BN5" i="17"/>
  <c r="BO10" i="16"/>
  <c r="BO54" i="16" s="1"/>
  <c r="BO80" i="16" s="1"/>
  <c r="BP5" i="16"/>
  <c r="DL6" i="17"/>
  <c r="DN7" i="16"/>
  <c r="BB164" i="11"/>
  <c r="BO41" i="6"/>
  <c r="BN195" i="11" s="1"/>
  <c r="BN196" i="11" s="1"/>
  <c r="BN39" i="5" s="1"/>
  <c r="BO25" i="6"/>
  <c r="BN35" i="5" s="1"/>
  <c r="BM186" i="11"/>
  <c r="BM31" i="5" s="1"/>
  <c r="BM192" i="11"/>
  <c r="BN189" i="11" s="1"/>
  <c r="BM32" i="5"/>
  <c r="BM177" i="11"/>
  <c r="BN174" i="11" s="1"/>
  <c r="BM29" i="5"/>
  <c r="BB165" i="11"/>
  <c r="BM157" i="11"/>
  <c r="BO26" i="10"/>
  <c r="BO30" i="10"/>
  <c r="BO28" i="10"/>
  <c r="BO25" i="10"/>
  <c r="BO22" i="10"/>
  <c r="BO23" i="10"/>
  <c r="BO52" i="10"/>
  <c r="BO47" i="10"/>
  <c r="BO44" i="10"/>
  <c r="BO24" i="10"/>
  <c r="BO53" i="10"/>
  <c r="BO50" i="10"/>
  <c r="BO49" i="10"/>
  <c r="BO48" i="10"/>
  <c r="BO45" i="10"/>
  <c r="BO46" i="10"/>
  <c r="BN47" i="4"/>
  <c r="BN11" i="4" s="1"/>
  <c r="BO11" i="2" s="1"/>
  <c r="BN25" i="4"/>
  <c r="BN27" i="4"/>
  <c r="BN46" i="4"/>
  <c r="BN10" i="4" s="1"/>
  <c r="BO10" i="2" s="1"/>
  <c r="BN26" i="4"/>
  <c r="BN45" i="4"/>
  <c r="BN9" i="4" s="1"/>
  <c r="BO9" i="2" s="1"/>
  <c r="BO9" i="6"/>
  <c r="BN8" i="5"/>
  <c r="BO8" i="10"/>
  <c r="BO14" i="4"/>
  <c r="BO7" i="4"/>
  <c r="BP7" i="2" s="1"/>
  <c r="BO6" i="4"/>
  <c r="BP6" i="2" s="1"/>
  <c r="BP4" i="4"/>
  <c r="BQ4" i="2" s="1"/>
  <c r="BO5" i="5"/>
  <c r="BP6" i="6"/>
  <c r="BP13" i="6" s="1"/>
  <c r="BP5" i="10"/>
  <c r="BP14" i="10" s="1"/>
  <c r="BN97" i="11"/>
  <c r="BN17" i="11"/>
  <c r="BN5" i="15" l="1"/>
  <c r="BN13" i="15" s="1"/>
  <c r="BO137" i="5"/>
  <c r="BO138" i="5"/>
  <c r="DN79" i="16"/>
  <c r="BO32" i="6"/>
  <c r="BN170" i="11"/>
  <c r="BM247" i="11"/>
  <c r="BN244" i="11" s="1"/>
  <c r="BM68" i="11"/>
  <c r="BM102" i="5" s="1"/>
  <c r="BM27" i="19" s="1"/>
  <c r="BH19" i="11"/>
  <c r="BG31" i="15" s="1"/>
  <c r="DR4" i="26"/>
  <c r="DR5" i="26" s="1"/>
  <c r="DQ8" i="26"/>
  <c r="BO81" i="16"/>
  <c r="BP16" i="6"/>
  <c r="BP60" i="6" s="1"/>
  <c r="BN33" i="11"/>
  <c r="BN78" i="5"/>
  <c r="BN28" i="11"/>
  <c r="BN75" i="5"/>
  <c r="BN111" i="11"/>
  <c r="BN81" i="5"/>
  <c r="BN106" i="11"/>
  <c r="BS99" i="14"/>
  <c r="BN8" i="11"/>
  <c r="BM8" i="15"/>
  <c r="BN39" i="11"/>
  <c r="BO36" i="11" s="1"/>
  <c r="BN82" i="5"/>
  <c r="BN140" i="11"/>
  <c r="BN61" i="19"/>
  <c r="BS104" i="14"/>
  <c r="BO13" i="19"/>
  <c r="BT4" i="14"/>
  <c r="BP4" i="19"/>
  <c r="BS6" i="14"/>
  <c r="BO6" i="19"/>
  <c r="BS7" i="14"/>
  <c r="BO7" i="19"/>
  <c r="BR9" i="14"/>
  <c r="BN9" i="19"/>
  <c r="BR11" i="14"/>
  <c r="BN11" i="19"/>
  <c r="BR10" i="14"/>
  <c r="BN10" i="19"/>
  <c r="DO7" i="16"/>
  <c r="DM6" i="17"/>
  <c r="DK6" i="18"/>
  <c r="BP6" i="16"/>
  <c r="BO4" i="17"/>
  <c r="BN4" i="18" s="1"/>
  <c r="BN8" i="17"/>
  <c r="BM5" i="18"/>
  <c r="BM8" i="18" s="1"/>
  <c r="BL172" i="11"/>
  <c r="BN197" i="11"/>
  <c r="BO194" i="11" s="1"/>
  <c r="BM187" i="11"/>
  <c r="BN184" i="11" s="1"/>
  <c r="BO28" i="6"/>
  <c r="BN24" i="5"/>
  <c r="BO27" i="6"/>
  <c r="BN23" i="5"/>
  <c r="BO30" i="6"/>
  <c r="BN26" i="5"/>
  <c r="BO29" i="6"/>
  <c r="BN25" i="5"/>
  <c r="BN69" i="5"/>
  <c r="BB167" i="11"/>
  <c r="BA19" i="15" s="1"/>
  <c r="BB27" i="5"/>
  <c r="BO54" i="4"/>
  <c r="BO52" i="4"/>
  <c r="BO53" i="4"/>
  <c r="BO55" i="4"/>
  <c r="BO33" i="6"/>
  <c r="BN175" i="11"/>
  <c r="BN176" i="11" s="1"/>
  <c r="BO36" i="6"/>
  <c r="BN190" i="11"/>
  <c r="BN191" i="11" s="1"/>
  <c r="BO35" i="6"/>
  <c r="BN185" i="11"/>
  <c r="BO31" i="6"/>
  <c r="BN166" i="11"/>
  <c r="BN145" i="11"/>
  <c r="BN214" i="11"/>
  <c r="BP36" i="10"/>
  <c r="BO5" i="11"/>
  <c r="BO14" i="11" s="1"/>
  <c r="BO13" i="5"/>
  <c r="BO231" i="11" s="1"/>
  <c r="BO9" i="10"/>
  <c r="BO10" i="6"/>
  <c r="BN9" i="5"/>
  <c r="BP5" i="4"/>
  <c r="BQ5" i="2" s="1"/>
  <c r="BQ14" i="2" s="1"/>
  <c r="BQ5" i="6"/>
  <c r="BP4" i="5"/>
  <c r="BQ4" i="10"/>
  <c r="BP6" i="10"/>
  <c r="BP7" i="6"/>
  <c r="BO6" i="5"/>
  <c r="BO10" i="10"/>
  <c r="BO11" i="6"/>
  <c r="BN10" i="5"/>
  <c r="BO7" i="5"/>
  <c r="BP7" i="10"/>
  <c r="BP8" i="6"/>
  <c r="BO44" i="4"/>
  <c r="BO8" i="4" s="1"/>
  <c r="BP8" i="2" s="1"/>
  <c r="BO16" i="4"/>
  <c r="BO22" i="4"/>
  <c r="BO36" i="4"/>
  <c r="BO37" i="4"/>
  <c r="BO38" i="4" s="1"/>
  <c r="BO39" i="4" s="1"/>
  <c r="BO21" i="4"/>
  <c r="BO30" i="4"/>
  <c r="BO48" i="4"/>
  <c r="BO50" i="4"/>
  <c r="BO29" i="4"/>
  <c r="BO43" i="4"/>
  <c r="BO42" i="4"/>
  <c r="BO20" i="4"/>
  <c r="BO24" i="4"/>
  <c r="BO51" i="4"/>
  <c r="BO23" i="4"/>
  <c r="BP53" i="10" s="1"/>
  <c r="BO41" i="4"/>
  <c r="BO31" i="4"/>
  <c r="BO32" i="4" s="1"/>
  <c r="BO33" i="4" s="1"/>
  <c r="BO35" i="4"/>
  <c r="BO18" i="4"/>
  <c r="BO17" i="4"/>
  <c r="BO11" i="10"/>
  <c r="BN11" i="5"/>
  <c r="BO12" i="6"/>
  <c r="DO79" i="16" l="1"/>
  <c r="BO245" i="11"/>
  <c r="BO235" i="11"/>
  <c r="BP24" i="10"/>
  <c r="BP29" i="6" s="1"/>
  <c r="BP21" i="6"/>
  <c r="BP19" i="10" s="1"/>
  <c r="BN246" i="11"/>
  <c r="BN250" i="11"/>
  <c r="BN251" i="11" s="1"/>
  <c r="BN252" i="11" s="1"/>
  <c r="BO249" i="11" s="1"/>
  <c r="BO72" i="11"/>
  <c r="BO106" i="5" s="1"/>
  <c r="BO67" i="11"/>
  <c r="BO101" i="5" s="1"/>
  <c r="BI16" i="11"/>
  <c r="BI18" i="11" s="1"/>
  <c r="BI70" i="5" s="1"/>
  <c r="BI68" i="5" s="1"/>
  <c r="DS4" i="26"/>
  <c r="DS5" i="26" s="1"/>
  <c r="DR8" i="26"/>
  <c r="BN107" i="11"/>
  <c r="BO104" i="11" s="1"/>
  <c r="BN42" i="5"/>
  <c r="BN80" i="5"/>
  <c r="BN112" i="11"/>
  <c r="BO109" i="11" s="1"/>
  <c r="BN43" i="5"/>
  <c r="BN29" i="11"/>
  <c r="BO26" i="11" s="1"/>
  <c r="BO105" i="11" s="1"/>
  <c r="BP48" i="6" s="1"/>
  <c r="BN76" i="5"/>
  <c r="BN74" i="5" s="1"/>
  <c r="BN34" i="11"/>
  <c r="BO31" i="11" s="1"/>
  <c r="BO110" i="11" s="1"/>
  <c r="BP49" i="6" s="1"/>
  <c r="BN79" i="5"/>
  <c r="BN77" i="5" s="1"/>
  <c r="BO32" i="11"/>
  <c r="BP31" i="10"/>
  <c r="BS88" i="14"/>
  <c r="BO37" i="11"/>
  <c r="BO81" i="5" s="1"/>
  <c r="BO27" i="11"/>
  <c r="BP4" i="11"/>
  <c r="BO4" i="15"/>
  <c r="BN11" i="11"/>
  <c r="BM11" i="15"/>
  <c r="BN9" i="11"/>
  <c r="BM9" i="15"/>
  <c r="BO6" i="11"/>
  <c r="BN6" i="15"/>
  <c r="BO7" i="11"/>
  <c r="BN7" i="15"/>
  <c r="BM10" i="15"/>
  <c r="BP30" i="2"/>
  <c r="BP25" i="2"/>
  <c r="BP21" i="2"/>
  <c r="BP22" i="2"/>
  <c r="BP24" i="2"/>
  <c r="BP23" i="2"/>
  <c r="BM169" i="11"/>
  <c r="BM171" i="11" s="1"/>
  <c r="BM28" i="5" s="1"/>
  <c r="BO57" i="11"/>
  <c r="BO90" i="5" s="1"/>
  <c r="BO87" i="11"/>
  <c r="BO88" i="11" s="1"/>
  <c r="BT5" i="14"/>
  <c r="BT15" i="14" s="1"/>
  <c r="BP5" i="19"/>
  <c r="BS8" i="14"/>
  <c r="BO8" i="19"/>
  <c r="BO5" i="17"/>
  <c r="BP10" i="16"/>
  <c r="BP54" i="16" s="1"/>
  <c r="BP80" i="16" s="1"/>
  <c r="BQ5" i="16"/>
  <c r="BN10" i="11"/>
  <c r="DL6" i="18"/>
  <c r="DP7" i="16"/>
  <c r="DN6" i="17"/>
  <c r="BC164" i="11"/>
  <c r="BN186" i="11"/>
  <c r="BN31" i="5" s="1"/>
  <c r="BP41" i="6"/>
  <c r="BO195" i="11" s="1"/>
  <c r="BO196" i="11" s="1"/>
  <c r="BO39" i="5" s="1"/>
  <c r="BP25" i="6"/>
  <c r="BO35" i="5" s="1"/>
  <c r="BN192" i="11"/>
  <c r="BO189" i="11" s="1"/>
  <c r="BN32" i="5"/>
  <c r="BN177" i="11"/>
  <c r="BO174" i="11" s="1"/>
  <c r="BN29" i="5"/>
  <c r="BC165" i="11"/>
  <c r="BN157" i="11"/>
  <c r="BP48" i="10"/>
  <c r="BP28" i="10"/>
  <c r="BP44" i="10"/>
  <c r="BP46" i="10"/>
  <c r="BP22" i="10"/>
  <c r="BP25" i="10"/>
  <c r="BP52" i="10"/>
  <c r="BP45" i="10"/>
  <c r="BP27" i="10"/>
  <c r="BP49" i="10"/>
  <c r="BP30" i="10"/>
  <c r="BP50" i="10"/>
  <c r="BP23" i="10"/>
  <c r="BP26" i="10"/>
  <c r="BP47" i="10"/>
  <c r="BP9" i="6"/>
  <c r="BO8" i="5"/>
  <c r="BP8" i="10"/>
  <c r="BO97" i="11"/>
  <c r="BO17" i="11"/>
  <c r="BP6" i="4"/>
  <c r="BQ6" i="2" s="1"/>
  <c r="BQ4" i="4"/>
  <c r="BR4" i="2" s="1"/>
  <c r="BP14" i="4"/>
  <c r="BP7" i="4"/>
  <c r="BQ7" i="2" s="1"/>
  <c r="BP5" i="5"/>
  <c r="BQ6" i="6"/>
  <c r="BQ13" i="6" s="1"/>
  <c r="BQ5" i="10"/>
  <c r="BQ14" i="10" s="1"/>
  <c r="BO46" i="4"/>
  <c r="BO10" i="4" s="1"/>
  <c r="BP10" i="2" s="1"/>
  <c r="BO25" i="4"/>
  <c r="BO26" i="4"/>
  <c r="BO27" i="4"/>
  <c r="BO45" i="4"/>
  <c r="BO9" i="4" s="1"/>
  <c r="BP9" i="2" s="1"/>
  <c r="BO47" i="4"/>
  <c r="BO11" i="4" s="1"/>
  <c r="BP11" i="2" s="1"/>
  <c r="BO5" i="15" l="1"/>
  <c r="BO13" i="15" s="1"/>
  <c r="BP137" i="5"/>
  <c r="BP138" i="5"/>
  <c r="DP79" i="16"/>
  <c r="BO25" i="5"/>
  <c r="BN247" i="11"/>
  <c r="BO244" i="11" s="1"/>
  <c r="BN68" i="11"/>
  <c r="BN102" i="5" s="1"/>
  <c r="BN27" i="19" s="1"/>
  <c r="BI19" i="11"/>
  <c r="BJ16" i="11" s="1"/>
  <c r="DT4" i="26"/>
  <c r="DT5" i="26" s="1"/>
  <c r="DS8" i="26"/>
  <c r="BP81" i="16"/>
  <c r="BQ16" i="6"/>
  <c r="BQ60" i="6" s="1"/>
  <c r="BO33" i="11"/>
  <c r="BO78" i="5"/>
  <c r="BO28" i="11"/>
  <c r="BO75" i="5"/>
  <c r="BO111" i="11"/>
  <c r="BO106" i="11"/>
  <c r="BO38" i="11"/>
  <c r="BO82" i="5" s="1"/>
  <c r="BO80" i="5" s="1"/>
  <c r="BT104" i="14"/>
  <c r="BO8" i="11"/>
  <c r="BN8" i="15"/>
  <c r="BO140" i="11"/>
  <c r="BO61" i="19"/>
  <c r="BT99" i="14"/>
  <c r="BP13" i="19"/>
  <c r="BS11" i="14"/>
  <c r="BO11" i="19"/>
  <c r="BU4" i="14"/>
  <c r="BQ4" i="19"/>
  <c r="BS9" i="14"/>
  <c r="BO9" i="19"/>
  <c r="BT6" i="14"/>
  <c r="BP6" i="19"/>
  <c r="BS10" i="14"/>
  <c r="BO10" i="19"/>
  <c r="BT7" i="14"/>
  <c r="BP7" i="19"/>
  <c r="BN187" i="11"/>
  <c r="BO184" i="11" s="1"/>
  <c r="BQ6" i="16"/>
  <c r="BP4" i="17"/>
  <c r="BO4" i="18" s="1"/>
  <c r="DM6" i="18"/>
  <c r="DO6" i="17"/>
  <c r="DQ7" i="16"/>
  <c r="BO8" i="17"/>
  <c r="BN5" i="18"/>
  <c r="BN8" i="18" s="1"/>
  <c r="BM172" i="11"/>
  <c r="BO197" i="11"/>
  <c r="BP194" i="11" s="1"/>
  <c r="BP28" i="6"/>
  <c r="BO24" i="5"/>
  <c r="BP30" i="6"/>
  <c r="BO26" i="5"/>
  <c r="BP27" i="6"/>
  <c r="BO23" i="5"/>
  <c r="BO69" i="5"/>
  <c r="BC167" i="11"/>
  <c r="BB19" i="15" s="1"/>
  <c r="BC27" i="5"/>
  <c r="BP55" i="4"/>
  <c r="BP52" i="4"/>
  <c r="BP54" i="4"/>
  <c r="BP53" i="4"/>
  <c r="BP31" i="6"/>
  <c r="BO166" i="11"/>
  <c r="BO185" i="11"/>
  <c r="BP35" i="6"/>
  <c r="BP32" i="6"/>
  <c r="BO170" i="11"/>
  <c r="BP36" i="6"/>
  <c r="BO190" i="11"/>
  <c r="BO175" i="11"/>
  <c r="BO176" i="11" s="1"/>
  <c r="BP33" i="6"/>
  <c r="BO145" i="11"/>
  <c r="BO214" i="11"/>
  <c r="BQ36" i="10"/>
  <c r="BP5" i="11"/>
  <c r="BP14" i="11" s="1"/>
  <c r="BP13" i="5"/>
  <c r="BP231" i="11" s="1"/>
  <c r="BQ7" i="10"/>
  <c r="BQ8" i="6"/>
  <c r="BP7" i="5"/>
  <c r="BP12" i="6"/>
  <c r="BO11" i="5"/>
  <c r="BP11" i="10"/>
  <c r="BP44" i="4"/>
  <c r="BP8" i="4" s="1"/>
  <c r="BQ8" i="2" s="1"/>
  <c r="BP41" i="4"/>
  <c r="BP24" i="4"/>
  <c r="BP42" i="4"/>
  <c r="BP23" i="4"/>
  <c r="BQ49" i="10" s="1"/>
  <c r="BP36" i="4"/>
  <c r="BP22" i="4"/>
  <c r="BP30" i="4"/>
  <c r="BP48" i="4"/>
  <c r="BP31" i="4"/>
  <c r="BP32" i="4" s="1"/>
  <c r="BP33" i="4" s="1"/>
  <c r="BP51" i="4"/>
  <c r="BP17" i="4"/>
  <c r="BP35" i="4"/>
  <c r="BP43" i="4"/>
  <c r="BP20" i="4"/>
  <c r="BP21" i="4"/>
  <c r="BP37" i="4"/>
  <c r="BP38" i="4" s="1"/>
  <c r="BP39" i="4" s="1"/>
  <c r="BP18" i="4"/>
  <c r="BP16" i="4"/>
  <c r="BP50" i="4"/>
  <c r="BP29" i="4"/>
  <c r="BQ5" i="4"/>
  <c r="BR5" i="2" s="1"/>
  <c r="BR14" i="2" s="1"/>
  <c r="BR5" i="6"/>
  <c r="BQ4" i="5"/>
  <c r="BR4" i="10"/>
  <c r="BP6" i="5"/>
  <c r="BQ6" i="10"/>
  <c r="BQ7" i="6"/>
  <c r="BP10" i="10"/>
  <c r="BO10" i="5"/>
  <c r="BP11" i="6"/>
  <c r="BO9" i="5"/>
  <c r="BP9" i="10"/>
  <c r="BP10" i="6"/>
  <c r="DQ79" i="16" l="1"/>
  <c r="BP245" i="11"/>
  <c r="BP235" i="11"/>
  <c r="BQ26" i="10"/>
  <c r="BQ21" i="6"/>
  <c r="BQ19" i="10" s="1"/>
  <c r="BO246" i="11"/>
  <c r="BO247" i="11" s="1"/>
  <c r="BP244" i="11" s="1"/>
  <c r="BO250" i="11"/>
  <c r="BO251" i="11" s="1"/>
  <c r="BO252" i="11" s="1"/>
  <c r="BP249" i="11" s="1"/>
  <c r="BP72" i="11"/>
  <c r="BP106" i="5" s="1"/>
  <c r="BP67" i="11"/>
  <c r="BP101" i="5" s="1"/>
  <c r="BH31" i="15"/>
  <c r="DU4" i="26"/>
  <c r="DU5" i="26" s="1"/>
  <c r="DT8" i="26"/>
  <c r="BJ18" i="11"/>
  <c r="BJ70" i="5" s="1"/>
  <c r="BJ68" i="5" s="1"/>
  <c r="BO107" i="11"/>
  <c r="BP104" i="11" s="1"/>
  <c r="BO42" i="5"/>
  <c r="BO112" i="11"/>
  <c r="BP109" i="11" s="1"/>
  <c r="BO43" i="5"/>
  <c r="BO29" i="11"/>
  <c r="BP26" i="11" s="1"/>
  <c r="BP105" i="11" s="1"/>
  <c r="BQ48" i="6" s="1"/>
  <c r="BO76" i="5"/>
  <c r="BO74" i="5" s="1"/>
  <c r="BO34" i="11"/>
  <c r="BP31" i="11" s="1"/>
  <c r="BP110" i="11" s="1"/>
  <c r="BQ49" i="6" s="1"/>
  <c r="BO79" i="5"/>
  <c r="BO77" i="5" s="1"/>
  <c r="BO39" i="11"/>
  <c r="BP36" i="11" s="1"/>
  <c r="BP32" i="11"/>
  <c r="BT88" i="14"/>
  <c r="BQ31" i="10"/>
  <c r="BP37" i="11"/>
  <c r="BP81" i="5" s="1"/>
  <c r="BP27" i="11"/>
  <c r="BQ4" i="11"/>
  <c r="BP4" i="15"/>
  <c r="BQ30" i="2"/>
  <c r="BQ23" i="2"/>
  <c r="BQ24" i="2"/>
  <c r="BQ25" i="2"/>
  <c r="BQ21" i="2"/>
  <c r="BQ22" i="2"/>
  <c r="BP6" i="11"/>
  <c r="BO6" i="15"/>
  <c r="BO11" i="11"/>
  <c r="BN11" i="15"/>
  <c r="BP7" i="11"/>
  <c r="BO7" i="15"/>
  <c r="BO9" i="11"/>
  <c r="BN9" i="15"/>
  <c r="BN10" i="15"/>
  <c r="BP57" i="11"/>
  <c r="BP90" i="5" s="1"/>
  <c r="BP61" i="19" s="1"/>
  <c r="BP87" i="11"/>
  <c r="BP88" i="11" s="1"/>
  <c r="BU5" i="14"/>
  <c r="BU15" i="14" s="1"/>
  <c r="BQ5" i="19"/>
  <c r="BT8" i="14"/>
  <c r="BP8" i="19"/>
  <c r="DP6" i="17"/>
  <c r="DR7" i="16"/>
  <c r="BO10" i="11"/>
  <c r="BR5" i="16"/>
  <c r="BP5" i="17"/>
  <c r="BQ10" i="16"/>
  <c r="BQ54" i="16" s="1"/>
  <c r="BQ80" i="16" s="1"/>
  <c r="DN6" i="18"/>
  <c r="BN169" i="11"/>
  <c r="BD164" i="11"/>
  <c r="BQ41" i="6"/>
  <c r="BP195" i="11" s="1"/>
  <c r="BP196" i="11" s="1"/>
  <c r="BP39" i="5" s="1"/>
  <c r="BQ25" i="6"/>
  <c r="BP35" i="5" s="1"/>
  <c r="BO177" i="11"/>
  <c r="BP174" i="11" s="1"/>
  <c r="BO29" i="5"/>
  <c r="BO186" i="11"/>
  <c r="BO31" i="5" s="1"/>
  <c r="BO191" i="11"/>
  <c r="BD165" i="11"/>
  <c r="BO157" i="11"/>
  <c r="BQ44" i="10"/>
  <c r="BQ47" i="10"/>
  <c r="BQ25" i="10"/>
  <c r="BQ48" i="10"/>
  <c r="BQ24" i="10"/>
  <c r="BQ53" i="10"/>
  <c r="BQ22" i="10"/>
  <c r="BQ46" i="10"/>
  <c r="BQ27" i="10"/>
  <c r="BQ45" i="10"/>
  <c r="BQ23" i="10"/>
  <c r="BQ50" i="10"/>
  <c r="BQ30" i="10"/>
  <c r="BQ28" i="10"/>
  <c r="BQ52" i="10"/>
  <c r="BP46" i="4"/>
  <c r="BP10" i="4" s="1"/>
  <c r="BQ10" i="2" s="1"/>
  <c r="BP45" i="4"/>
  <c r="BP9" i="4" s="1"/>
  <c r="BQ9" i="2" s="1"/>
  <c r="BP25" i="4"/>
  <c r="BP27" i="4"/>
  <c r="BP47" i="4"/>
  <c r="BP11" i="4" s="1"/>
  <c r="BQ11" i="2" s="1"/>
  <c r="BP26" i="4"/>
  <c r="BQ9" i="6"/>
  <c r="BP8" i="5"/>
  <c r="BQ8" i="10"/>
  <c r="BQ7" i="4"/>
  <c r="BR7" i="2" s="1"/>
  <c r="BR4" i="4"/>
  <c r="BS4" i="2" s="1"/>
  <c r="BQ14" i="4"/>
  <c r="BQ6" i="4"/>
  <c r="BR6" i="2" s="1"/>
  <c r="BQ5" i="5"/>
  <c r="BR5" i="10"/>
  <c r="BR14" i="10" s="1"/>
  <c r="BR6" i="6"/>
  <c r="BR13" i="6" s="1"/>
  <c r="BP17" i="11"/>
  <c r="BP97" i="11"/>
  <c r="DR79" i="16" l="1"/>
  <c r="BP5" i="15"/>
  <c r="BP13" i="15" s="1"/>
  <c r="BQ138" i="5"/>
  <c r="BQ137" i="5"/>
  <c r="BQ31" i="6"/>
  <c r="BP166" i="11"/>
  <c r="BE165" i="11" s="1"/>
  <c r="BE27" i="5" s="1"/>
  <c r="BO68" i="11"/>
  <c r="BO102" i="5" s="1"/>
  <c r="BO27" i="19" s="1"/>
  <c r="BP246" i="11"/>
  <c r="BJ19" i="11"/>
  <c r="BI31" i="15" s="1"/>
  <c r="DV4" i="26"/>
  <c r="DV5" i="26" s="1"/>
  <c r="DV8" i="26" s="1"/>
  <c r="DU8" i="26"/>
  <c r="BQ81" i="16"/>
  <c r="BR16" i="6"/>
  <c r="BR60" i="6" s="1"/>
  <c r="BP28" i="11"/>
  <c r="BP75" i="5"/>
  <c r="BP33" i="11"/>
  <c r="BP78" i="5"/>
  <c r="BP111" i="11"/>
  <c r="BP106" i="11"/>
  <c r="BP38" i="11"/>
  <c r="BP39" i="11" s="1"/>
  <c r="BQ36" i="11" s="1"/>
  <c r="BU99" i="14"/>
  <c r="BP8" i="11"/>
  <c r="BO8" i="15"/>
  <c r="BU104" i="14"/>
  <c r="BP140" i="11"/>
  <c r="BQ13" i="19"/>
  <c r="BT11" i="14"/>
  <c r="BP11" i="19"/>
  <c r="BU6" i="14"/>
  <c r="BQ6" i="19"/>
  <c r="BT10" i="14"/>
  <c r="BP10" i="19"/>
  <c r="BV4" i="14"/>
  <c r="BR4" i="19"/>
  <c r="BU7" i="14"/>
  <c r="BQ7" i="19"/>
  <c r="BT9" i="14"/>
  <c r="BP9" i="19"/>
  <c r="DQ6" i="17"/>
  <c r="DS7" i="16"/>
  <c r="BO5" i="18"/>
  <c r="BO8" i="18" s="1"/>
  <c r="BP8" i="17"/>
  <c r="DO6" i="18"/>
  <c r="BQ4" i="17"/>
  <c r="BP4" i="18" s="1"/>
  <c r="BR6" i="16"/>
  <c r="BN171" i="11"/>
  <c r="BN28" i="5" s="1"/>
  <c r="BQ27" i="6"/>
  <c r="BP23" i="5"/>
  <c r="BQ29" i="6"/>
  <c r="BP25" i="5"/>
  <c r="BP197" i="11"/>
  <c r="BQ194" i="11" s="1"/>
  <c r="BQ28" i="6"/>
  <c r="BP24" i="5"/>
  <c r="BQ30" i="6"/>
  <c r="BP26" i="5"/>
  <c r="BO187" i="11"/>
  <c r="BP184" i="11" s="1"/>
  <c r="BP69" i="5"/>
  <c r="BO192" i="11"/>
  <c r="BP189" i="11" s="1"/>
  <c r="BO32" i="5"/>
  <c r="BD167" i="11"/>
  <c r="BC19" i="15" s="1"/>
  <c r="BD27" i="5"/>
  <c r="BQ55" i="4"/>
  <c r="BQ53" i="4"/>
  <c r="BQ54" i="4"/>
  <c r="BQ52" i="4"/>
  <c r="BQ33" i="6"/>
  <c r="BP175" i="11"/>
  <c r="BP176" i="11" s="1"/>
  <c r="BQ35" i="6"/>
  <c r="BP185" i="11"/>
  <c r="BQ32" i="6"/>
  <c r="BP170" i="11"/>
  <c r="BQ36" i="6"/>
  <c r="BP190" i="11"/>
  <c r="BP145" i="11"/>
  <c r="BP214" i="11"/>
  <c r="BR36" i="10"/>
  <c r="BQ12" i="6"/>
  <c r="BP11" i="5"/>
  <c r="BQ11" i="10"/>
  <c r="BQ5" i="11"/>
  <c r="BQ14" i="11" s="1"/>
  <c r="BQ13" i="5"/>
  <c r="BQ231" i="11" s="1"/>
  <c r="BR7" i="6"/>
  <c r="BR6" i="10"/>
  <c r="BQ6" i="5"/>
  <c r="BQ10" i="6"/>
  <c r="BQ9" i="10"/>
  <c r="BP9" i="5"/>
  <c r="BR4" i="5"/>
  <c r="BS4" i="10"/>
  <c r="BR5" i="4"/>
  <c r="BS5" i="2" s="1"/>
  <c r="BS14" i="2" s="1"/>
  <c r="BS5" i="6"/>
  <c r="BQ44" i="4"/>
  <c r="BQ8" i="4" s="1"/>
  <c r="BR8" i="2" s="1"/>
  <c r="BQ18" i="4"/>
  <c r="BQ41" i="4"/>
  <c r="BQ23" i="4"/>
  <c r="BR44" i="10" s="1"/>
  <c r="BQ48" i="4"/>
  <c r="BQ21" i="4"/>
  <c r="BQ16" i="4"/>
  <c r="BQ51" i="4"/>
  <c r="BQ24" i="4"/>
  <c r="BQ37" i="4"/>
  <c r="BQ38" i="4" s="1"/>
  <c r="BQ39" i="4" s="1"/>
  <c r="BQ29" i="4"/>
  <c r="BQ22" i="4"/>
  <c r="BQ35" i="4"/>
  <c r="BQ42" i="4"/>
  <c r="BQ43" i="4"/>
  <c r="BQ30" i="4"/>
  <c r="BQ20" i="4"/>
  <c r="BQ36" i="4"/>
  <c r="BQ31" i="4"/>
  <c r="BQ32" i="4" s="1"/>
  <c r="BQ33" i="4" s="1"/>
  <c r="BQ50" i="4"/>
  <c r="BQ17" i="4"/>
  <c r="BQ11" i="6"/>
  <c r="BP10" i="5"/>
  <c r="BQ10" i="10"/>
  <c r="BR8" i="6"/>
  <c r="BQ7" i="5"/>
  <c r="BR7" i="10"/>
  <c r="DS79" i="16" l="1"/>
  <c r="BQ245" i="11"/>
  <c r="BQ235" i="11"/>
  <c r="BR27" i="10"/>
  <c r="BR32" i="6" s="1"/>
  <c r="BR21" i="6"/>
  <c r="BR19" i="10" s="1"/>
  <c r="BK16" i="11"/>
  <c r="BK18" i="11" s="1"/>
  <c r="BK70" i="5" s="1"/>
  <c r="BK68" i="5" s="1"/>
  <c r="BP247" i="11"/>
  <c r="BQ244" i="11" s="1"/>
  <c r="BP250" i="11"/>
  <c r="BP251" i="11" s="1"/>
  <c r="BP252" i="11" s="1"/>
  <c r="BQ249" i="11" s="1"/>
  <c r="BQ67" i="11"/>
  <c r="BQ101" i="5" s="1"/>
  <c r="BQ72" i="11"/>
  <c r="BQ106" i="5" s="1"/>
  <c r="BP112" i="11"/>
  <c r="BQ109" i="11" s="1"/>
  <c r="BP43" i="5"/>
  <c r="BP107" i="11"/>
  <c r="BQ104" i="11" s="1"/>
  <c r="BP42" i="5"/>
  <c r="BP34" i="11"/>
  <c r="BQ31" i="11" s="1"/>
  <c r="BQ110" i="11" s="1"/>
  <c r="BR49" i="6" s="1"/>
  <c r="BP79" i="5"/>
  <c r="BP77" i="5" s="1"/>
  <c r="BP29" i="11"/>
  <c r="BQ26" i="11" s="1"/>
  <c r="BQ105" i="11" s="1"/>
  <c r="BR48" i="6" s="1"/>
  <c r="BP76" i="5"/>
  <c r="BP74" i="5" s="1"/>
  <c r="BQ32" i="11"/>
  <c r="BR31" i="10"/>
  <c r="BP82" i="5"/>
  <c r="BP80" i="5" s="1"/>
  <c r="BQ37" i="11"/>
  <c r="BQ38" i="11" s="1"/>
  <c r="BQ27" i="11"/>
  <c r="BU88" i="14"/>
  <c r="BQ6" i="11"/>
  <c r="BP6" i="15"/>
  <c r="BQ7" i="11"/>
  <c r="BP7" i="15"/>
  <c r="BP11" i="11"/>
  <c r="BO11" i="15"/>
  <c r="BO10" i="15"/>
  <c r="BR21" i="2"/>
  <c r="BR22" i="2"/>
  <c r="BR25" i="2"/>
  <c r="BR23" i="2"/>
  <c r="BR24" i="2"/>
  <c r="BR30" i="2"/>
  <c r="BR4" i="11"/>
  <c r="BQ4" i="15"/>
  <c r="BP9" i="11"/>
  <c r="BO9" i="15"/>
  <c r="BQ57" i="11"/>
  <c r="BQ90" i="5" s="1"/>
  <c r="BQ87" i="11"/>
  <c r="BQ88" i="11" s="1"/>
  <c r="BV5" i="14"/>
  <c r="BV15" i="14" s="1"/>
  <c r="BR5" i="19"/>
  <c r="BU8" i="14"/>
  <c r="BQ8" i="19"/>
  <c r="DR6" i="17"/>
  <c r="DT7" i="16"/>
  <c r="DP6" i="18"/>
  <c r="BP10" i="11"/>
  <c r="BR10" i="16"/>
  <c r="BR54" i="16" s="1"/>
  <c r="BR80" i="16" s="1"/>
  <c r="BS5" i="16"/>
  <c r="BQ5" i="17"/>
  <c r="BN172" i="11"/>
  <c r="BE164" i="11"/>
  <c r="BE167" i="11" s="1"/>
  <c r="BD19" i="15" s="1"/>
  <c r="BP191" i="11"/>
  <c r="BP32" i="5" s="1"/>
  <c r="BR41" i="6"/>
  <c r="BQ195" i="11" s="1"/>
  <c r="BQ196" i="11" s="1"/>
  <c r="BQ39" i="5" s="1"/>
  <c r="BP186" i="11"/>
  <c r="BP31" i="5" s="1"/>
  <c r="BR25" i="6"/>
  <c r="BQ35" i="5" s="1"/>
  <c r="BP177" i="11"/>
  <c r="BQ174" i="11" s="1"/>
  <c r="BP29" i="5"/>
  <c r="BR47" i="10"/>
  <c r="BR48" i="10"/>
  <c r="BR52" i="10"/>
  <c r="BR50" i="10"/>
  <c r="BP157" i="11"/>
  <c r="BR49" i="10"/>
  <c r="BR24" i="10"/>
  <c r="BR26" i="10"/>
  <c r="BR30" i="10"/>
  <c r="BR25" i="10"/>
  <c r="BR45" i="10"/>
  <c r="BR53" i="10"/>
  <c r="BR22" i="10"/>
  <c r="BR28" i="10"/>
  <c r="BR23" i="10"/>
  <c r="BR46" i="10"/>
  <c r="BQ17" i="11"/>
  <c r="BQ97" i="11"/>
  <c r="BQ8" i="5"/>
  <c r="BR9" i="6"/>
  <c r="BR8" i="10"/>
  <c r="BQ46" i="4"/>
  <c r="BQ10" i="4" s="1"/>
  <c r="BR10" i="2" s="1"/>
  <c r="BQ47" i="4"/>
  <c r="BQ11" i="4" s="1"/>
  <c r="BR11" i="2" s="1"/>
  <c r="BQ45" i="4"/>
  <c r="BQ9" i="4" s="1"/>
  <c r="BR9" i="2" s="1"/>
  <c r="BQ25" i="4"/>
  <c r="BQ26" i="4"/>
  <c r="BQ27" i="4"/>
  <c r="BR14" i="4"/>
  <c r="BR6" i="4"/>
  <c r="BS6" i="2" s="1"/>
  <c r="BR7" i="4"/>
  <c r="BS7" i="2" s="1"/>
  <c r="BS4" i="4"/>
  <c r="BT4" i="2" s="1"/>
  <c r="BR5" i="5"/>
  <c r="BS5" i="10"/>
  <c r="BS14" i="10" s="1"/>
  <c r="BS6" i="6"/>
  <c r="BS13" i="6" s="1"/>
  <c r="BQ5" i="15" l="1"/>
  <c r="BQ13" i="15" s="1"/>
  <c r="BR138" i="5"/>
  <c r="BR137" i="5"/>
  <c r="DT79" i="16"/>
  <c r="BQ170" i="11"/>
  <c r="BP68" i="11"/>
  <c r="BP102" i="5" s="1"/>
  <c r="BP27" i="19" s="1"/>
  <c r="BQ246" i="11"/>
  <c r="BK19" i="11"/>
  <c r="BJ31" i="15" s="1"/>
  <c r="BR81" i="16"/>
  <c r="BS16" i="6"/>
  <c r="BS60" i="6" s="1"/>
  <c r="BQ28" i="11"/>
  <c r="BQ75" i="5"/>
  <c r="BQ33" i="11"/>
  <c r="BQ78" i="5"/>
  <c r="BQ111" i="11"/>
  <c r="BQ106" i="11"/>
  <c r="BQ81" i="5"/>
  <c r="BV104" i="14"/>
  <c r="BQ8" i="11"/>
  <c r="BP8" i="15"/>
  <c r="BO169" i="11"/>
  <c r="BO171" i="11" s="1"/>
  <c r="BO28" i="5" s="1"/>
  <c r="BV99" i="14"/>
  <c r="BQ39" i="11"/>
  <c r="BR36" i="11" s="1"/>
  <c r="BQ82" i="5"/>
  <c r="BQ140" i="11"/>
  <c r="BQ61" i="19"/>
  <c r="BR13" i="19"/>
  <c r="BW4" i="14"/>
  <c r="BS4" i="19"/>
  <c r="BV7" i="14"/>
  <c r="BR7" i="19"/>
  <c r="BV6" i="14"/>
  <c r="BR6" i="19"/>
  <c r="BU9" i="14"/>
  <c r="BQ9" i="19"/>
  <c r="BU11" i="14"/>
  <c r="BQ11" i="19"/>
  <c r="BU10" i="14"/>
  <c r="BQ10" i="19"/>
  <c r="DS6" i="17"/>
  <c r="DU7" i="16"/>
  <c r="BP5" i="18"/>
  <c r="BP8" i="18" s="1"/>
  <c r="BQ8" i="17"/>
  <c r="DQ6" i="18"/>
  <c r="BR4" i="17"/>
  <c r="BQ4" i="18" s="1"/>
  <c r="BS6" i="16"/>
  <c r="BP192" i="11"/>
  <c r="BQ189" i="11" s="1"/>
  <c r="BP187" i="11"/>
  <c r="BQ184" i="11" s="1"/>
  <c r="BQ197" i="11"/>
  <c r="BR194" i="11" s="1"/>
  <c r="BF164" i="11"/>
  <c r="BR30" i="6"/>
  <c r="BQ26" i="5"/>
  <c r="BR29" i="6"/>
  <c r="BQ25" i="5"/>
  <c r="BR28" i="6"/>
  <c r="BQ24" i="5"/>
  <c r="BR27" i="6"/>
  <c r="BQ23" i="5"/>
  <c r="BQ69" i="5"/>
  <c r="BR55" i="4"/>
  <c r="BR52" i="4"/>
  <c r="BR54" i="4"/>
  <c r="BR53" i="4"/>
  <c r="BR33" i="6"/>
  <c r="BQ175" i="11"/>
  <c r="BQ176" i="11" s="1"/>
  <c r="BR35" i="6"/>
  <c r="BQ185" i="11"/>
  <c r="BR31" i="6"/>
  <c r="BQ166" i="11"/>
  <c r="BR36" i="6"/>
  <c r="BQ190" i="11"/>
  <c r="BQ145" i="11"/>
  <c r="BQ214" i="11"/>
  <c r="BS36" i="10"/>
  <c r="BR10" i="6"/>
  <c r="BQ9" i="5"/>
  <c r="BR9" i="10"/>
  <c r="BQ11" i="5"/>
  <c r="BR11" i="10"/>
  <c r="BR12" i="6"/>
  <c r="BR44" i="4"/>
  <c r="BR8" i="4" s="1"/>
  <c r="BS8" i="2" s="1"/>
  <c r="BR41" i="4"/>
  <c r="BR21" i="4"/>
  <c r="BR35" i="4"/>
  <c r="BR48" i="4"/>
  <c r="BR22" i="4"/>
  <c r="BR24" i="4"/>
  <c r="BR30" i="4"/>
  <c r="BR17" i="4"/>
  <c r="BR31" i="4"/>
  <c r="BR29" i="4"/>
  <c r="BR36" i="4"/>
  <c r="BR18" i="4"/>
  <c r="BR16" i="4"/>
  <c r="BR51" i="4"/>
  <c r="BR43" i="4"/>
  <c r="BR50" i="4"/>
  <c r="BR23" i="4"/>
  <c r="BS52" i="10" s="1"/>
  <c r="BR37" i="4"/>
  <c r="BR42" i="4"/>
  <c r="BR20" i="4"/>
  <c r="BQ10" i="5"/>
  <c r="BR10" i="10"/>
  <c r="BR11" i="6"/>
  <c r="BR5" i="11"/>
  <c r="BR14" i="11" s="1"/>
  <c r="BR13" i="5"/>
  <c r="BR231" i="11" s="1"/>
  <c r="BS5" i="4"/>
  <c r="BT5" i="2" s="1"/>
  <c r="BT14" i="2" s="1"/>
  <c r="BT5" i="6"/>
  <c r="BS4" i="5"/>
  <c r="BT4" i="10"/>
  <c r="BS8" i="6"/>
  <c r="BR7" i="5"/>
  <c r="BS7" i="10"/>
  <c r="BS7" i="6"/>
  <c r="BR6" i="5"/>
  <c r="BS6" i="10"/>
  <c r="DU79" i="16" l="1"/>
  <c r="BR245" i="11"/>
  <c r="BR235" i="11"/>
  <c r="BS30" i="10"/>
  <c r="BS21" i="6"/>
  <c r="BS19" i="10" s="1"/>
  <c r="BQ247" i="11"/>
  <c r="BR244" i="11" s="1"/>
  <c r="BQ250" i="11"/>
  <c r="BQ251" i="11" s="1"/>
  <c r="BQ252" i="11" s="1"/>
  <c r="BR249" i="11" s="1"/>
  <c r="BR72" i="11"/>
  <c r="BR106" i="5" s="1"/>
  <c r="BR67" i="11"/>
  <c r="BR101" i="5" s="1"/>
  <c r="BL16" i="11"/>
  <c r="BL18" i="11" s="1"/>
  <c r="BL70" i="5" s="1"/>
  <c r="BL68" i="5" s="1"/>
  <c r="BQ107" i="11"/>
  <c r="BR104" i="11" s="1"/>
  <c r="BQ42" i="5"/>
  <c r="BQ112" i="11"/>
  <c r="BR109" i="11" s="1"/>
  <c r="BQ43" i="5"/>
  <c r="BQ80" i="5"/>
  <c r="BQ34" i="11"/>
  <c r="BR31" i="11" s="1"/>
  <c r="BR110" i="11" s="1"/>
  <c r="BS49" i="6" s="1"/>
  <c r="BQ79" i="5"/>
  <c r="BQ77" i="5" s="1"/>
  <c r="BQ29" i="11"/>
  <c r="BR26" i="11" s="1"/>
  <c r="BR105" i="11" s="1"/>
  <c r="BS48" i="6" s="1"/>
  <c r="BQ76" i="5"/>
  <c r="BQ74" i="5" s="1"/>
  <c r="BR32" i="11"/>
  <c r="BS31" i="10"/>
  <c r="BV88" i="14"/>
  <c r="BR37" i="11"/>
  <c r="BR81" i="5" s="1"/>
  <c r="BR27" i="11"/>
  <c r="BS4" i="11"/>
  <c r="BR4" i="15"/>
  <c r="BP10" i="15"/>
  <c r="BR6" i="11"/>
  <c r="BQ6" i="15"/>
  <c r="BQ11" i="11"/>
  <c r="BP11" i="15"/>
  <c r="BS23" i="2"/>
  <c r="BS30" i="2"/>
  <c r="BS21" i="2"/>
  <c r="BS22" i="2"/>
  <c r="BS25" i="2"/>
  <c r="BS24" i="2"/>
  <c r="BR7" i="11"/>
  <c r="BQ7" i="15"/>
  <c r="BQ9" i="11"/>
  <c r="BP9" i="15"/>
  <c r="BR57" i="11"/>
  <c r="BR90" i="5" s="1"/>
  <c r="BR87" i="11"/>
  <c r="BR88" i="11" s="1"/>
  <c r="BW5" i="14"/>
  <c r="BW15" i="14" s="1"/>
  <c r="BS5" i="19"/>
  <c r="BV8" i="14"/>
  <c r="BR8" i="19"/>
  <c r="BQ186" i="11"/>
  <c r="BQ187" i="11" s="1"/>
  <c r="BR184" i="11" s="1"/>
  <c r="BO172" i="11"/>
  <c r="BQ10" i="11"/>
  <c r="DT6" i="17"/>
  <c r="DV7" i="16"/>
  <c r="BT5" i="16"/>
  <c r="BR5" i="17"/>
  <c r="BS10" i="16"/>
  <c r="BS54" i="16" s="1"/>
  <c r="BS80" i="16" s="1"/>
  <c r="DR6" i="18"/>
  <c r="BQ191" i="11"/>
  <c r="BQ32" i="5" s="1"/>
  <c r="BS41" i="6"/>
  <c r="BR195" i="11" s="1"/>
  <c r="BR196" i="11" s="1"/>
  <c r="BR39" i="5" s="1"/>
  <c r="BS25" i="6"/>
  <c r="BR35" i="5" s="1"/>
  <c r="BQ177" i="11"/>
  <c r="BR174" i="11" s="1"/>
  <c r="BQ29" i="5"/>
  <c r="BF165" i="11"/>
  <c r="BS50" i="10"/>
  <c r="BS45" i="10"/>
  <c r="BQ157" i="11"/>
  <c r="BS44" i="10"/>
  <c r="BS49" i="10"/>
  <c r="BS27" i="10"/>
  <c r="BS22" i="10"/>
  <c r="BS23" i="10"/>
  <c r="BS28" i="10"/>
  <c r="BS26" i="10"/>
  <c r="BS46" i="10"/>
  <c r="BS53" i="10"/>
  <c r="BS47" i="10"/>
  <c r="BS25" i="10"/>
  <c r="BS24" i="10"/>
  <c r="BS48" i="10"/>
  <c r="BR8" i="5"/>
  <c r="BS8" i="10"/>
  <c r="BS9" i="6"/>
  <c r="BR17" i="11"/>
  <c r="BR69" i="5" s="1"/>
  <c r="BR97" i="11"/>
  <c r="BS14" i="4"/>
  <c r="BS6" i="4"/>
  <c r="BT6" i="2" s="1"/>
  <c r="BT4" i="4"/>
  <c r="BU4" i="2" s="1"/>
  <c r="BS7" i="4"/>
  <c r="BT7" i="2" s="1"/>
  <c r="BT6" i="6"/>
  <c r="BT13" i="6" s="1"/>
  <c r="BS5" i="5"/>
  <c r="BT5" i="10"/>
  <c r="BT14" i="10" s="1"/>
  <c r="BR32" i="4"/>
  <c r="BR38" i="4"/>
  <c r="BR45" i="4"/>
  <c r="BR9" i="4" s="1"/>
  <c r="BS9" i="2" s="1"/>
  <c r="BR47" i="4"/>
  <c r="BR11" i="4" s="1"/>
  <c r="BS11" i="2" s="1"/>
  <c r="BR46" i="4"/>
  <c r="BR10" i="4" s="1"/>
  <c r="BS10" i="2" s="1"/>
  <c r="BR26" i="4"/>
  <c r="BR27" i="4"/>
  <c r="BR25" i="4"/>
  <c r="DV79" i="16" l="1"/>
  <c r="BR5" i="15"/>
  <c r="BR13" i="15" s="1"/>
  <c r="BS138" i="5"/>
  <c r="BS137" i="5"/>
  <c r="BS35" i="6"/>
  <c r="BR185" i="11"/>
  <c r="BR186" i="11" s="1"/>
  <c r="BR31" i="5" s="1"/>
  <c r="BQ68" i="11"/>
  <c r="BQ102" i="5" s="1"/>
  <c r="BQ27" i="19" s="1"/>
  <c r="BR246" i="11"/>
  <c r="BS81" i="16"/>
  <c r="BL19" i="11"/>
  <c r="BT16" i="6"/>
  <c r="BT60" i="6" s="1"/>
  <c r="BR33" i="11"/>
  <c r="BR78" i="5"/>
  <c r="BR28" i="11"/>
  <c r="BR75" i="5"/>
  <c r="BR111" i="11"/>
  <c r="BR106" i="11"/>
  <c r="BR38" i="11"/>
  <c r="BR82" i="5" s="1"/>
  <c r="BR80" i="5" s="1"/>
  <c r="BW99" i="14"/>
  <c r="BR8" i="11"/>
  <c r="BQ8" i="15"/>
  <c r="BP169" i="11"/>
  <c r="BP171" i="11" s="1"/>
  <c r="BP28" i="5" s="1"/>
  <c r="BW104" i="14"/>
  <c r="BR140" i="11"/>
  <c r="BR61" i="19"/>
  <c r="BS13" i="19"/>
  <c r="BV11" i="14"/>
  <c r="BR11" i="19"/>
  <c r="BV9" i="14"/>
  <c r="BR9" i="19"/>
  <c r="BQ31" i="5"/>
  <c r="BV10" i="14"/>
  <c r="BR10" i="19"/>
  <c r="BW7" i="14"/>
  <c r="BS7" i="19"/>
  <c r="BX4" i="14"/>
  <c r="BT4" i="19"/>
  <c r="BW6" i="14"/>
  <c r="BS6" i="19"/>
  <c r="DS6" i="18"/>
  <c r="BQ192" i="11"/>
  <c r="BR189" i="11" s="1"/>
  <c r="DU6" i="17"/>
  <c r="DW7" i="16"/>
  <c r="BR8" i="17"/>
  <c r="BQ5" i="18"/>
  <c r="BQ8" i="18" s="1"/>
  <c r="BT6" i="16"/>
  <c r="BS4" i="17"/>
  <c r="BR4" i="18" s="1"/>
  <c r="BS28" i="6"/>
  <c r="BR24" i="5"/>
  <c r="BS29" i="6"/>
  <c r="BR25" i="5"/>
  <c r="BS27" i="6"/>
  <c r="BR23" i="5"/>
  <c r="BS30" i="6"/>
  <c r="BR26" i="5"/>
  <c r="BR197" i="11"/>
  <c r="BS194" i="11" s="1"/>
  <c r="BF167" i="11"/>
  <c r="BE19" i="15" s="1"/>
  <c r="BF27" i="5"/>
  <c r="BS53" i="4"/>
  <c r="BS52" i="4"/>
  <c r="BS54" i="4"/>
  <c r="BS55" i="4"/>
  <c r="BS36" i="6"/>
  <c r="BR190" i="11"/>
  <c r="BS31" i="6"/>
  <c r="BR166" i="11"/>
  <c r="BS33" i="6"/>
  <c r="BR175" i="11"/>
  <c r="BR176" i="11" s="1"/>
  <c r="BS32" i="6"/>
  <c r="BR170" i="11"/>
  <c r="BR145" i="11"/>
  <c r="BR214" i="11"/>
  <c r="BT36" i="10"/>
  <c r="BS6" i="5"/>
  <c r="BT7" i="6"/>
  <c r="BT6" i="10"/>
  <c r="BT5" i="4"/>
  <c r="BU5" i="2" s="1"/>
  <c r="BU14" i="2" s="1"/>
  <c r="BT4" i="5"/>
  <c r="BU4" i="10"/>
  <c r="BU5" i="6"/>
  <c r="BS44" i="4"/>
  <c r="BS8" i="4" s="1"/>
  <c r="BT8" i="2" s="1"/>
  <c r="BS18" i="4"/>
  <c r="BS31" i="4"/>
  <c r="BS16" i="4"/>
  <c r="BS41" i="4"/>
  <c r="BS22" i="4"/>
  <c r="BS48" i="4"/>
  <c r="BS42" i="4"/>
  <c r="BS51" i="4"/>
  <c r="BS23" i="4"/>
  <c r="BT44" i="10" s="1"/>
  <c r="BS21" i="4"/>
  <c r="BS29" i="4"/>
  <c r="BS24" i="4"/>
  <c r="BS37" i="4"/>
  <c r="BS50" i="4"/>
  <c r="BS20" i="4"/>
  <c r="BS30" i="4"/>
  <c r="BS35" i="4"/>
  <c r="BS17" i="4"/>
  <c r="BS36" i="4"/>
  <c r="BS43" i="4"/>
  <c r="BR39" i="4"/>
  <c r="BS5" i="11"/>
  <c r="BS14" i="11" s="1"/>
  <c r="BS13" i="5"/>
  <c r="BS231" i="11" s="1"/>
  <c r="BR10" i="5"/>
  <c r="BS10" i="10"/>
  <c r="BS11" i="6"/>
  <c r="BR33" i="4"/>
  <c r="BS12" i="6"/>
  <c r="BR11" i="5"/>
  <c r="BS11" i="10"/>
  <c r="BS10" i="6"/>
  <c r="BR9" i="5"/>
  <c r="BS9" i="10"/>
  <c r="BT8" i="6"/>
  <c r="BT7" i="10"/>
  <c r="BS7" i="5"/>
  <c r="DW79" i="16" l="1"/>
  <c r="BS245" i="11"/>
  <c r="BS235" i="11"/>
  <c r="BT23" i="10"/>
  <c r="BT21" i="6"/>
  <c r="BT19" i="10" s="1"/>
  <c r="BR247" i="11"/>
  <c r="BS244" i="11" s="1"/>
  <c r="BR250" i="11"/>
  <c r="BR251" i="11" s="1"/>
  <c r="BR252" i="11" s="1"/>
  <c r="BS249" i="11" s="1"/>
  <c r="BS72" i="11"/>
  <c r="BS106" i="5" s="1"/>
  <c r="BS67" i="11"/>
  <c r="BS101" i="5" s="1"/>
  <c r="BK31" i="15"/>
  <c r="BM16" i="11"/>
  <c r="BR112" i="11"/>
  <c r="BS109" i="11" s="1"/>
  <c r="BR43" i="5"/>
  <c r="BR107" i="11"/>
  <c r="BS104" i="11" s="1"/>
  <c r="BR42" i="5"/>
  <c r="BR29" i="11"/>
  <c r="BS26" i="11" s="1"/>
  <c r="BS105" i="11" s="1"/>
  <c r="BT48" i="6" s="1"/>
  <c r="BR76" i="5"/>
  <c r="BR74" i="5" s="1"/>
  <c r="BR34" i="11"/>
  <c r="BS31" i="11" s="1"/>
  <c r="BS110" i="11" s="1"/>
  <c r="BT49" i="6" s="1"/>
  <c r="BR79" i="5"/>
  <c r="BR77" i="5" s="1"/>
  <c r="BR39" i="11"/>
  <c r="BS36" i="11" s="1"/>
  <c r="BS32" i="11"/>
  <c r="BW88" i="14"/>
  <c r="BT31" i="10"/>
  <c r="BS37" i="11"/>
  <c r="BS27" i="11"/>
  <c r="BT4" i="11"/>
  <c r="BS4" i="15"/>
  <c r="BS6" i="11"/>
  <c r="BR6" i="15"/>
  <c r="BT21" i="2"/>
  <c r="BT23" i="2"/>
  <c r="BT24" i="2"/>
  <c r="BT25" i="2"/>
  <c r="BT30" i="2"/>
  <c r="BT22" i="2"/>
  <c r="BR11" i="11"/>
  <c r="BQ11" i="15"/>
  <c r="BR9" i="11"/>
  <c r="BQ9" i="15"/>
  <c r="BS7" i="11"/>
  <c r="BR7" i="15"/>
  <c r="BQ10" i="15"/>
  <c r="BS57" i="11"/>
  <c r="BS90" i="5" s="1"/>
  <c r="BS87" i="11"/>
  <c r="BS88" i="11" s="1"/>
  <c r="BR191" i="11"/>
  <c r="BR32" i="5" s="1"/>
  <c r="BX5" i="14"/>
  <c r="BX15" i="14" s="1"/>
  <c r="BT5" i="19"/>
  <c r="BW8" i="14"/>
  <c r="BS8" i="19"/>
  <c r="DV6" i="17"/>
  <c r="DT6" i="18"/>
  <c r="BR10" i="11"/>
  <c r="BU5" i="16"/>
  <c r="BT10" i="16"/>
  <c r="BT54" i="16" s="1"/>
  <c r="BT80" i="16" s="1"/>
  <c r="BS5" i="17"/>
  <c r="BR187" i="11"/>
  <c r="BS184" i="11" s="1"/>
  <c r="BP172" i="11"/>
  <c r="BG164" i="11"/>
  <c r="BT41" i="6"/>
  <c r="BS195" i="11" s="1"/>
  <c r="BS196" i="11" s="1"/>
  <c r="BS39" i="5" s="1"/>
  <c r="BT25" i="6"/>
  <c r="BS35" i="5" s="1"/>
  <c r="BR177" i="11"/>
  <c r="BS174" i="11" s="1"/>
  <c r="BR29" i="5"/>
  <c r="BT45" i="10"/>
  <c r="BG165" i="11"/>
  <c r="BR157" i="11"/>
  <c r="BT28" i="10"/>
  <c r="BT49" i="10"/>
  <c r="BT50" i="10"/>
  <c r="BT47" i="10"/>
  <c r="BT27" i="10"/>
  <c r="BT53" i="10"/>
  <c r="BT24" i="10"/>
  <c r="BT22" i="10"/>
  <c r="BT30" i="10"/>
  <c r="BT26" i="10"/>
  <c r="BT46" i="10"/>
  <c r="BT25" i="10"/>
  <c r="BT52" i="10"/>
  <c r="BT48" i="10"/>
  <c r="BT6" i="4"/>
  <c r="BU6" i="2" s="1"/>
  <c r="BT7" i="4"/>
  <c r="BU7" i="2" s="1"/>
  <c r="BU4" i="4"/>
  <c r="BV4" i="2" s="1"/>
  <c r="BT14" i="4"/>
  <c r="BU5" i="10"/>
  <c r="BU14" i="10" s="1"/>
  <c r="BU6" i="6"/>
  <c r="BU13" i="6" s="1"/>
  <c r="BT5" i="5"/>
  <c r="BS32" i="4"/>
  <c r="BS97" i="11"/>
  <c r="BS17" i="11"/>
  <c r="BS26" i="4"/>
  <c r="BS25" i="4"/>
  <c r="BS47" i="4"/>
  <c r="BS11" i="4" s="1"/>
  <c r="BT11" i="2" s="1"/>
  <c r="BS45" i="4"/>
  <c r="BS9" i="4" s="1"/>
  <c r="BT9" i="2" s="1"/>
  <c r="BS46" i="4"/>
  <c r="BS10" i="4" s="1"/>
  <c r="BT10" i="2" s="1"/>
  <c r="BS27" i="4"/>
  <c r="BS38" i="4"/>
  <c r="BT8" i="10"/>
  <c r="BS8" i="5"/>
  <c r="BT9" i="6"/>
  <c r="BS5" i="15" l="1"/>
  <c r="BS13" i="15" s="1"/>
  <c r="BT137" i="5"/>
  <c r="BT138" i="5"/>
  <c r="BT28" i="6"/>
  <c r="BS24" i="5"/>
  <c r="BR68" i="11"/>
  <c r="BR102" i="5" s="1"/>
  <c r="BR27" i="19" s="1"/>
  <c r="BS246" i="11"/>
  <c r="BT81" i="16"/>
  <c r="BM18" i="11"/>
  <c r="BM70" i="5" s="1"/>
  <c r="BM68" i="5" s="1"/>
  <c r="BU16" i="6"/>
  <c r="BU60" i="6" s="1"/>
  <c r="BS33" i="11"/>
  <c r="BS78" i="5"/>
  <c r="BS28" i="11"/>
  <c r="BS75" i="5"/>
  <c r="BS111" i="11"/>
  <c r="BS38" i="11"/>
  <c r="BS82" i="5" s="1"/>
  <c r="BS106" i="11"/>
  <c r="BS81" i="5"/>
  <c r="BX104" i="14"/>
  <c r="BS8" i="11"/>
  <c r="BR8" i="15"/>
  <c r="BS140" i="11"/>
  <c r="BS61" i="19"/>
  <c r="BR192" i="11"/>
  <c r="BS189" i="11" s="1"/>
  <c r="BX99" i="14"/>
  <c r="BT13" i="19"/>
  <c r="BW9" i="14"/>
  <c r="BS9" i="19"/>
  <c r="BY4" i="14"/>
  <c r="BU4" i="19"/>
  <c r="BW11" i="14"/>
  <c r="BS11" i="19"/>
  <c r="BX6" i="14"/>
  <c r="BT6" i="19"/>
  <c r="BW10" i="14"/>
  <c r="BS10" i="19"/>
  <c r="BX7" i="14"/>
  <c r="BT7" i="19"/>
  <c r="BU6" i="16"/>
  <c r="BT4" i="17"/>
  <c r="BS4" i="18" s="1"/>
  <c r="BS8" i="17"/>
  <c r="BR5" i="18"/>
  <c r="BR8" i="18" s="1"/>
  <c r="DU6" i="18"/>
  <c r="BQ169" i="11"/>
  <c r="BS197" i="11"/>
  <c r="BT194" i="11" s="1"/>
  <c r="BT29" i="6"/>
  <c r="BS25" i="5"/>
  <c r="BT30" i="6"/>
  <c r="BS26" i="5"/>
  <c r="BT27" i="6"/>
  <c r="BS23" i="5"/>
  <c r="BS69" i="5"/>
  <c r="BG167" i="11"/>
  <c r="BF19" i="15" s="1"/>
  <c r="BG27" i="5"/>
  <c r="BT54" i="4"/>
  <c r="BT52" i="4"/>
  <c r="BT55" i="4"/>
  <c r="BT53" i="4"/>
  <c r="BT36" i="6"/>
  <c r="BS190" i="11"/>
  <c r="BT31" i="6"/>
  <c r="BS166" i="11"/>
  <c r="BT35" i="6"/>
  <c r="BS185" i="11"/>
  <c r="BT32" i="6"/>
  <c r="BS170" i="11"/>
  <c r="BT33" i="6"/>
  <c r="BS175" i="11"/>
  <c r="BS145" i="11"/>
  <c r="BS214" i="11"/>
  <c r="BU36" i="10"/>
  <c r="BT5" i="11"/>
  <c r="BT14" i="11" s="1"/>
  <c r="BT13" i="5"/>
  <c r="BT231" i="11" s="1"/>
  <c r="BT11" i="10"/>
  <c r="BS11" i="5"/>
  <c r="BT12" i="6"/>
  <c r="BT44" i="4"/>
  <c r="BT8" i="4" s="1"/>
  <c r="BU8" i="2" s="1"/>
  <c r="BT30" i="4"/>
  <c r="BT41" i="4"/>
  <c r="BT20" i="4"/>
  <c r="BT37" i="4"/>
  <c r="BT51" i="4"/>
  <c r="BT21" i="4"/>
  <c r="BT29" i="4"/>
  <c r="BT50" i="4"/>
  <c r="BT22" i="4"/>
  <c r="BT48" i="4"/>
  <c r="BT18" i="4"/>
  <c r="BT24" i="4"/>
  <c r="BT23" i="4"/>
  <c r="BU46" i="10" s="1"/>
  <c r="BT16" i="4"/>
  <c r="BT42" i="4"/>
  <c r="BT43" i="4"/>
  <c r="BT17" i="4"/>
  <c r="BT36" i="4"/>
  <c r="BT35" i="4"/>
  <c r="BT31" i="4"/>
  <c r="BV4" i="10"/>
  <c r="BU5" i="4"/>
  <c r="BV5" i="2" s="1"/>
  <c r="BV14" i="2" s="1"/>
  <c r="BV5" i="6"/>
  <c r="BU4" i="5"/>
  <c r="BU7" i="10"/>
  <c r="BU8" i="6"/>
  <c r="BT7" i="5"/>
  <c r="BS39" i="4"/>
  <c r="BU6" i="10"/>
  <c r="BU7" i="6"/>
  <c r="BT6" i="5"/>
  <c r="BT11" i="6"/>
  <c r="BT10" i="10"/>
  <c r="BS10" i="5"/>
  <c r="BT10" i="6"/>
  <c r="BS9" i="5"/>
  <c r="BT9" i="10"/>
  <c r="BS33" i="4"/>
  <c r="BT245" i="11" l="1"/>
  <c r="BT235" i="11"/>
  <c r="BU24" i="10"/>
  <c r="BU21" i="6"/>
  <c r="BU19" i="10" s="1"/>
  <c r="BS247" i="11"/>
  <c r="BT244" i="11" s="1"/>
  <c r="BS250" i="11"/>
  <c r="BS251" i="11" s="1"/>
  <c r="BS252" i="11" s="1"/>
  <c r="BT249" i="11" s="1"/>
  <c r="BT72" i="11"/>
  <c r="BT106" i="5" s="1"/>
  <c r="BT67" i="11"/>
  <c r="BT101" i="5" s="1"/>
  <c r="BM19" i="11"/>
  <c r="BS112" i="11"/>
  <c r="BT109" i="11" s="1"/>
  <c r="BS43" i="5"/>
  <c r="BS107" i="11"/>
  <c r="BT104" i="11" s="1"/>
  <c r="BS42" i="5"/>
  <c r="BS29" i="11"/>
  <c r="BT26" i="11" s="1"/>
  <c r="BT105" i="11" s="1"/>
  <c r="BU48" i="6" s="1"/>
  <c r="BS76" i="5"/>
  <c r="BS74" i="5" s="1"/>
  <c r="BS34" i="11"/>
  <c r="BT31" i="11" s="1"/>
  <c r="BT110" i="11" s="1"/>
  <c r="BU49" i="6" s="1"/>
  <c r="BS79" i="5"/>
  <c r="BS77" i="5" s="1"/>
  <c r="BS80" i="5"/>
  <c r="BS39" i="11"/>
  <c r="BT36" i="11" s="1"/>
  <c r="BT32" i="11"/>
  <c r="BU31" i="10"/>
  <c r="BT37" i="11"/>
  <c r="BT81" i="5" s="1"/>
  <c r="BT27" i="11"/>
  <c r="BX88" i="14"/>
  <c r="BU4" i="11"/>
  <c r="BT4" i="15"/>
  <c r="BR10" i="15"/>
  <c r="BS11" i="11"/>
  <c r="BR11" i="15"/>
  <c r="BU22" i="2"/>
  <c r="BU21" i="2"/>
  <c r="BU24" i="2"/>
  <c r="BU25" i="2"/>
  <c r="BU30" i="2"/>
  <c r="BU23" i="2"/>
  <c r="BS9" i="11"/>
  <c r="BR9" i="15"/>
  <c r="BT6" i="11"/>
  <c r="BS6" i="15"/>
  <c r="BT7" i="11"/>
  <c r="BS7" i="15"/>
  <c r="BS191" i="11"/>
  <c r="BS192" i="11" s="1"/>
  <c r="BT189" i="11" s="1"/>
  <c r="BT57" i="11"/>
  <c r="BT90" i="5" s="1"/>
  <c r="BT87" i="11"/>
  <c r="BT88" i="11" s="1"/>
  <c r="BX8" i="14"/>
  <c r="BT8" i="19"/>
  <c r="BY5" i="14"/>
  <c r="BY15" i="14" s="1"/>
  <c r="BU5" i="19"/>
  <c r="BS10" i="11"/>
  <c r="BU10" i="16"/>
  <c r="BU54" i="16" s="1"/>
  <c r="BU80" i="16" s="1"/>
  <c r="BT5" i="17"/>
  <c r="BV5" i="16"/>
  <c r="BQ171" i="11"/>
  <c r="BQ28" i="5" s="1"/>
  <c r="BH164" i="11"/>
  <c r="BU25" i="6"/>
  <c r="BT35" i="5" s="1"/>
  <c r="BU41" i="6"/>
  <c r="BT195" i="11" s="1"/>
  <c r="BT196" i="11" s="1"/>
  <c r="BT39" i="5" s="1"/>
  <c r="BS176" i="11"/>
  <c r="BS29" i="5" s="1"/>
  <c r="BS186" i="11"/>
  <c r="BH165" i="11"/>
  <c r="BS157" i="11"/>
  <c r="BU28" i="10"/>
  <c r="BU30" i="10"/>
  <c r="BU47" i="10"/>
  <c r="BU48" i="10"/>
  <c r="BU53" i="10"/>
  <c r="BU22" i="10"/>
  <c r="BU26" i="10"/>
  <c r="BU23" i="10"/>
  <c r="BU45" i="10"/>
  <c r="BU52" i="10"/>
  <c r="BU49" i="10"/>
  <c r="BU27" i="10"/>
  <c r="BU50" i="10"/>
  <c r="BU25" i="10"/>
  <c r="BU44" i="10"/>
  <c r="BT27" i="4"/>
  <c r="BT26" i="4"/>
  <c r="BT45" i="4"/>
  <c r="BT9" i="4" s="1"/>
  <c r="BU9" i="2" s="1"/>
  <c r="BT47" i="4"/>
  <c r="BT11" i="4" s="1"/>
  <c r="BU11" i="2" s="1"/>
  <c r="BT46" i="4"/>
  <c r="BT10" i="4" s="1"/>
  <c r="BU10" i="2" s="1"/>
  <c r="BT25" i="4"/>
  <c r="BU9" i="6"/>
  <c r="BT8" i="5"/>
  <c r="BU8" i="10"/>
  <c r="BU6" i="4"/>
  <c r="BV6" i="2" s="1"/>
  <c r="BU7" i="4"/>
  <c r="BV7" i="2" s="1"/>
  <c r="BU14" i="4"/>
  <c r="BV4" i="4"/>
  <c r="BW4" i="2" s="1"/>
  <c r="BV5" i="10"/>
  <c r="BV14" i="10" s="1"/>
  <c r="BV6" i="6"/>
  <c r="BV13" i="6" s="1"/>
  <c r="BU5" i="5"/>
  <c r="BT32" i="4"/>
  <c r="BT97" i="11"/>
  <c r="BT17" i="11"/>
  <c r="BT38" i="4"/>
  <c r="BT5" i="15" l="1"/>
  <c r="BT13" i="15" s="1"/>
  <c r="BU138" i="5"/>
  <c r="BU137" i="5"/>
  <c r="BT25" i="5"/>
  <c r="BU29" i="6"/>
  <c r="BS68" i="11"/>
  <c r="BS102" i="5" s="1"/>
  <c r="BS27" i="19" s="1"/>
  <c r="BT246" i="11"/>
  <c r="BU81" i="16"/>
  <c r="BL31" i="15"/>
  <c r="BN16" i="11"/>
  <c r="BV16" i="6"/>
  <c r="BV60" i="6" s="1"/>
  <c r="BT28" i="11"/>
  <c r="BT76" i="5" s="1"/>
  <c r="BT75" i="5"/>
  <c r="BT33" i="11"/>
  <c r="BT78" i="5"/>
  <c r="BT38" i="11"/>
  <c r="BT82" i="5" s="1"/>
  <c r="BT80" i="5" s="1"/>
  <c r="BT111" i="11"/>
  <c r="BT106" i="11"/>
  <c r="BY99" i="14"/>
  <c r="BT8" i="11"/>
  <c r="BS8" i="15"/>
  <c r="BS32" i="5"/>
  <c r="BT140" i="11"/>
  <c r="BT61" i="19"/>
  <c r="BY104" i="14"/>
  <c r="BU13" i="19"/>
  <c r="BX10" i="14"/>
  <c r="BT10" i="19"/>
  <c r="BZ4" i="14"/>
  <c r="BV4" i="19"/>
  <c r="BX9" i="14"/>
  <c r="BT9" i="19"/>
  <c r="BY7" i="14"/>
  <c r="BU7" i="19"/>
  <c r="BX11" i="14"/>
  <c r="BT11" i="19"/>
  <c r="BY6" i="14"/>
  <c r="BU6" i="19"/>
  <c r="BU4" i="17"/>
  <c r="BT4" i="18" s="1"/>
  <c r="BV6" i="16"/>
  <c r="BS5" i="18"/>
  <c r="BS8" i="18" s="1"/>
  <c r="BT8" i="17"/>
  <c r="BQ172" i="11"/>
  <c r="BS177" i="11"/>
  <c r="BT174" i="11" s="1"/>
  <c r="BU30" i="6"/>
  <c r="BT26" i="5"/>
  <c r="BT197" i="11"/>
  <c r="BU194" i="11" s="1"/>
  <c r="BU28" i="6"/>
  <c r="BT24" i="5"/>
  <c r="BU27" i="6"/>
  <c r="BT23" i="5"/>
  <c r="BT69" i="5"/>
  <c r="BS187" i="11"/>
  <c r="BT184" i="11" s="1"/>
  <c r="BS31" i="5"/>
  <c r="BH167" i="11"/>
  <c r="BG19" i="15" s="1"/>
  <c r="BH27" i="5"/>
  <c r="BU53" i="4"/>
  <c r="BU52" i="4"/>
  <c r="BU54" i="4"/>
  <c r="BU55" i="4"/>
  <c r="BU32" i="6"/>
  <c r="BT170" i="11"/>
  <c r="BU36" i="6"/>
  <c r="BT190" i="11"/>
  <c r="BT191" i="11" s="1"/>
  <c r="BU31" i="6"/>
  <c r="BT166" i="11"/>
  <c r="BU35" i="6"/>
  <c r="BT185" i="11"/>
  <c r="BU33" i="6"/>
  <c r="BT175" i="11"/>
  <c r="BT145" i="11"/>
  <c r="BT214" i="11"/>
  <c r="BV36" i="10"/>
  <c r="BU5" i="11"/>
  <c r="BU14" i="11" s="1"/>
  <c r="BU13" i="5"/>
  <c r="BU231" i="11" s="1"/>
  <c r="BU11" i="6"/>
  <c r="BU10" i="10"/>
  <c r="BT10" i="5"/>
  <c r="BU12" i="6"/>
  <c r="BT11" i="5"/>
  <c r="BU11" i="10"/>
  <c r="BV5" i="4"/>
  <c r="BW5" i="2" s="1"/>
  <c r="BW14" i="2" s="1"/>
  <c r="BW5" i="6"/>
  <c r="BV4" i="5"/>
  <c r="BW4" i="10"/>
  <c r="BU7" i="5"/>
  <c r="BV8" i="6"/>
  <c r="BV7" i="10"/>
  <c r="BU10" i="6"/>
  <c r="BT9" i="5"/>
  <c r="BU9" i="10"/>
  <c r="BU44" i="4"/>
  <c r="BU8" i="4" s="1"/>
  <c r="BV8" i="2" s="1"/>
  <c r="BU36" i="4"/>
  <c r="BU37" i="4"/>
  <c r="BU35" i="4"/>
  <c r="BU20" i="4"/>
  <c r="BU50" i="4"/>
  <c r="BU23" i="4"/>
  <c r="BV45" i="10" s="1"/>
  <c r="BU43" i="4"/>
  <c r="BU51" i="4"/>
  <c r="BU42" i="4"/>
  <c r="BU48" i="4"/>
  <c r="BU29" i="4"/>
  <c r="BU24" i="4"/>
  <c r="BU31" i="4"/>
  <c r="BU18" i="4"/>
  <c r="BU22" i="4"/>
  <c r="BU16" i="4"/>
  <c r="BU21" i="4"/>
  <c r="BU30" i="4"/>
  <c r="BU17" i="4"/>
  <c r="BU41" i="4"/>
  <c r="BT39" i="4"/>
  <c r="BT33" i="4"/>
  <c r="BV6" i="10"/>
  <c r="BV7" i="6"/>
  <c r="BU6" i="5"/>
  <c r="BU245" i="11" l="1"/>
  <c r="BU235" i="11"/>
  <c r="BV27" i="10"/>
  <c r="BV21" i="6"/>
  <c r="BV19" i="10" s="1"/>
  <c r="BT247" i="11"/>
  <c r="BU244" i="11" s="1"/>
  <c r="BT250" i="11"/>
  <c r="BT251" i="11" s="1"/>
  <c r="BT252" i="11" s="1"/>
  <c r="BU249" i="11" s="1"/>
  <c r="BU67" i="11"/>
  <c r="BU101" i="5" s="1"/>
  <c r="BU72" i="11"/>
  <c r="BU106" i="5" s="1"/>
  <c r="BN18" i="11"/>
  <c r="BN70" i="5" s="1"/>
  <c r="BN68" i="5" s="1"/>
  <c r="BT29" i="11"/>
  <c r="BU26" i="11" s="1"/>
  <c r="BU105" i="11" s="1"/>
  <c r="BV48" i="6" s="1"/>
  <c r="BY88" i="14"/>
  <c r="BT112" i="11"/>
  <c r="BU109" i="11" s="1"/>
  <c r="BT43" i="5"/>
  <c r="BT107" i="11"/>
  <c r="BU104" i="11" s="1"/>
  <c r="BT42" i="5"/>
  <c r="BT74" i="5"/>
  <c r="BT34" i="11"/>
  <c r="BU31" i="11" s="1"/>
  <c r="BU110" i="11" s="1"/>
  <c r="BV49" i="6" s="1"/>
  <c r="BT79" i="5"/>
  <c r="BT77" i="5" s="1"/>
  <c r="BT39" i="11"/>
  <c r="BU36" i="11" s="1"/>
  <c r="BU32" i="11"/>
  <c r="BV31" i="10"/>
  <c r="BU37" i="11"/>
  <c r="BU81" i="5" s="1"/>
  <c r="BU27" i="11"/>
  <c r="BV24" i="2"/>
  <c r="BV23" i="2"/>
  <c r="BV30" i="2"/>
  <c r="BV22" i="2"/>
  <c r="BV25" i="2"/>
  <c r="BV21" i="2"/>
  <c r="BV4" i="11"/>
  <c r="BU4" i="15"/>
  <c r="BU7" i="11"/>
  <c r="BT7" i="15"/>
  <c r="BU6" i="11"/>
  <c r="BT6" i="15"/>
  <c r="BT11" i="11"/>
  <c r="BS11" i="15"/>
  <c r="BT9" i="11"/>
  <c r="BS9" i="15"/>
  <c r="BS10" i="15"/>
  <c r="BU57" i="11"/>
  <c r="BU90" i="5" s="1"/>
  <c r="BU87" i="11"/>
  <c r="BU88" i="11" s="1"/>
  <c r="BT176" i="11"/>
  <c r="BT177" i="11" s="1"/>
  <c r="BU174" i="11" s="1"/>
  <c r="BY8" i="14"/>
  <c r="BU8" i="19"/>
  <c r="BZ5" i="14"/>
  <c r="BZ15" i="14" s="1"/>
  <c r="BV5" i="19"/>
  <c r="BT10" i="11"/>
  <c r="BU5" i="17"/>
  <c r="BV10" i="16"/>
  <c r="BV54" i="16" s="1"/>
  <c r="BV80" i="16" s="1"/>
  <c r="BW5" i="16"/>
  <c r="BR169" i="11"/>
  <c r="BI164" i="11"/>
  <c r="BV41" i="6"/>
  <c r="BU195" i="11" s="1"/>
  <c r="BU196" i="11" s="1"/>
  <c r="BU39" i="5" s="1"/>
  <c r="BV25" i="6"/>
  <c r="BU35" i="5" s="1"/>
  <c r="BT186" i="11"/>
  <c r="BT31" i="5" s="1"/>
  <c r="BT192" i="11"/>
  <c r="BU189" i="11" s="1"/>
  <c r="BT32" i="5"/>
  <c r="BI165" i="11"/>
  <c r="BT157" i="11"/>
  <c r="BV25" i="10"/>
  <c r="BV30" i="10"/>
  <c r="BV44" i="10"/>
  <c r="BV48" i="10"/>
  <c r="BV50" i="10"/>
  <c r="BV24" i="10"/>
  <c r="BV46" i="10"/>
  <c r="BV26" i="10"/>
  <c r="BV53" i="10"/>
  <c r="BV22" i="10"/>
  <c r="BV47" i="10"/>
  <c r="BV23" i="10"/>
  <c r="BV49" i="10"/>
  <c r="BV52" i="10"/>
  <c r="BV28" i="10"/>
  <c r="BU26" i="4"/>
  <c r="BU45" i="4"/>
  <c r="BU9" i="4" s="1"/>
  <c r="BV9" i="2" s="1"/>
  <c r="BU25" i="4"/>
  <c r="BU46" i="4"/>
  <c r="BU10" i="4" s="1"/>
  <c r="BV10" i="2" s="1"/>
  <c r="BU47" i="4"/>
  <c r="BU11" i="4" s="1"/>
  <c r="BV11" i="2" s="1"/>
  <c r="BU27" i="4"/>
  <c r="BV8" i="10"/>
  <c r="BV9" i="6"/>
  <c r="BU8" i="5"/>
  <c r="BV14" i="4"/>
  <c r="BV7" i="4"/>
  <c r="BW7" i="2" s="1"/>
  <c r="BW4" i="4"/>
  <c r="BX4" i="2" s="1"/>
  <c r="BV6" i="4"/>
  <c r="BW6" i="2" s="1"/>
  <c r="BW6" i="6"/>
  <c r="BW13" i="6" s="1"/>
  <c r="BW5" i="10"/>
  <c r="BW14" i="10" s="1"/>
  <c r="BV5" i="5"/>
  <c r="BU38" i="4"/>
  <c r="BU17" i="11"/>
  <c r="BU97" i="11"/>
  <c r="BU32" i="4"/>
  <c r="BU5" i="15" l="1"/>
  <c r="BU13" i="15" s="1"/>
  <c r="BV138" i="5"/>
  <c r="BV137" i="5"/>
  <c r="BV32" i="6"/>
  <c r="BU170" i="11"/>
  <c r="BT68" i="11"/>
  <c r="BT102" i="5" s="1"/>
  <c r="BT27" i="19" s="1"/>
  <c r="BU250" i="11"/>
  <c r="BU251" i="11" s="1"/>
  <c r="BU252" i="11" s="1"/>
  <c r="BV249" i="11" s="1"/>
  <c r="BN19" i="11"/>
  <c r="BV81" i="16"/>
  <c r="BW16" i="6"/>
  <c r="BW60" i="6" s="1"/>
  <c r="BU33" i="11"/>
  <c r="BU78" i="5"/>
  <c r="BU28" i="11"/>
  <c r="BU75" i="5"/>
  <c r="BU111" i="11"/>
  <c r="BU106" i="11"/>
  <c r="BU38" i="11"/>
  <c r="BU39" i="11" s="1"/>
  <c r="BV36" i="11" s="1"/>
  <c r="BZ104" i="14"/>
  <c r="BU8" i="11"/>
  <c r="BT8" i="15"/>
  <c r="BZ99" i="14"/>
  <c r="BU140" i="11"/>
  <c r="BU61" i="19"/>
  <c r="BT29" i="5"/>
  <c r="BV13" i="19"/>
  <c r="BY11" i="14"/>
  <c r="BU11" i="19"/>
  <c r="BY10" i="14"/>
  <c r="BU10" i="19"/>
  <c r="BZ6" i="14"/>
  <c r="BV6" i="19"/>
  <c r="BY9" i="14"/>
  <c r="BU9" i="19"/>
  <c r="CA4" i="14"/>
  <c r="BW4" i="19"/>
  <c r="BZ7" i="14"/>
  <c r="BV7" i="19"/>
  <c r="BU8" i="17"/>
  <c r="BT5" i="18"/>
  <c r="BT8" i="18" s="1"/>
  <c r="BW6" i="16"/>
  <c r="BV4" i="17"/>
  <c r="BU4" i="18" s="1"/>
  <c r="BR171" i="11"/>
  <c r="BR28" i="5" s="1"/>
  <c r="BU197" i="11"/>
  <c r="BV194" i="11" s="1"/>
  <c r="BV30" i="6"/>
  <c r="BU26" i="5"/>
  <c r="BV29" i="6"/>
  <c r="BU25" i="5"/>
  <c r="BT187" i="11"/>
  <c r="BU184" i="11" s="1"/>
  <c r="BV27" i="6"/>
  <c r="BU23" i="5"/>
  <c r="BV28" i="6"/>
  <c r="BU24" i="5"/>
  <c r="BU69" i="5"/>
  <c r="BI167" i="11"/>
  <c r="BH19" i="15" s="1"/>
  <c r="BI27" i="5"/>
  <c r="BV53" i="4"/>
  <c r="BV55" i="4"/>
  <c r="BV52" i="4"/>
  <c r="BV54" i="4"/>
  <c r="BV33" i="6"/>
  <c r="BU175" i="11"/>
  <c r="BU176" i="11" s="1"/>
  <c r="BV31" i="6"/>
  <c r="BU166" i="11"/>
  <c r="BV36" i="6"/>
  <c r="BU190" i="11"/>
  <c r="BU191" i="11" s="1"/>
  <c r="BV35" i="6"/>
  <c r="BU185" i="11"/>
  <c r="BU145" i="11"/>
  <c r="BU214" i="11"/>
  <c r="BW36" i="10"/>
  <c r="BW6" i="10"/>
  <c r="BV6" i="5"/>
  <c r="BW7" i="6"/>
  <c r="BU33" i="4"/>
  <c r="BV12" i="6"/>
  <c r="BU11" i="5"/>
  <c r="BV11" i="10"/>
  <c r="BX4" i="10"/>
  <c r="BX5" i="6"/>
  <c r="BW5" i="4"/>
  <c r="BX5" i="2" s="1"/>
  <c r="BX14" i="2" s="1"/>
  <c r="BW4" i="5"/>
  <c r="BV10" i="10"/>
  <c r="BV11" i="6"/>
  <c r="BU10" i="5"/>
  <c r="BV5" i="11"/>
  <c r="BV14" i="11" s="1"/>
  <c r="BV13" i="5"/>
  <c r="BV231" i="11" s="1"/>
  <c r="BV7" i="5"/>
  <c r="BW8" i="6"/>
  <c r="BW7" i="10"/>
  <c r="BU39" i="4"/>
  <c r="BV44" i="4"/>
  <c r="BV8" i="4" s="1"/>
  <c r="BW8" i="2" s="1"/>
  <c r="BV30" i="4"/>
  <c r="BV22" i="4"/>
  <c r="BW21" i="6" s="1"/>
  <c r="BW19" i="10" s="1"/>
  <c r="BV51" i="4"/>
  <c r="BV23" i="4"/>
  <c r="BV20" i="4"/>
  <c r="BV29" i="4"/>
  <c r="BV36" i="4"/>
  <c r="BV24" i="4"/>
  <c r="BV18" i="4"/>
  <c r="BV48" i="4"/>
  <c r="BV31" i="4"/>
  <c r="BV17" i="4"/>
  <c r="BV42" i="4"/>
  <c r="BV41" i="4"/>
  <c r="BV16" i="4"/>
  <c r="BV37" i="4"/>
  <c r="BV21" i="4"/>
  <c r="BV43" i="4"/>
  <c r="BV50" i="4"/>
  <c r="BV35" i="4"/>
  <c r="BV10" i="6"/>
  <c r="BU9" i="5"/>
  <c r="BV9" i="10"/>
  <c r="BV245" i="11" l="1"/>
  <c r="BV235" i="11"/>
  <c r="BU246" i="11"/>
  <c r="BV72" i="11"/>
  <c r="BV106" i="5" s="1"/>
  <c r="BV67" i="11"/>
  <c r="BV101" i="5" s="1"/>
  <c r="BM31" i="15"/>
  <c r="BO16" i="11"/>
  <c r="BU112" i="11"/>
  <c r="BV109" i="11" s="1"/>
  <c r="BU43" i="5"/>
  <c r="BU107" i="11"/>
  <c r="BV104" i="11" s="1"/>
  <c r="BU42" i="5"/>
  <c r="BU29" i="11"/>
  <c r="BV26" i="11" s="1"/>
  <c r="BV105" i="11" s="1"/>
  <c r="BW48" i="6" s="1"/>
  <c r="BU76" i="5"/>
  <c r="BU74" i="5" s="1"/>
  <c r="BU34" i="11"/>
  <c r="BV31" i="11" s="1"/>
  <c r="BV110" i="11" s="1"/>
  <c r="BW49" i="6" s="1"/>
  <c r="BU79" i="5"/>
  <c r="BU77" i="5" s="1"/>
  <c r="BV32" i="11"/>
  <c r="BU82" i="5"/>
  <c r="BU80" i="5" s="1"/>
  <c r="BW31" i="10"/>
  <c r="BV37" i="11"/>
  <c r="BV81" i="5" s="1"/>
  <c r="BV27" i="11"/>
  <c r="BZ88" i="14"/>
  <c r="BT10" i="15"/>
  <c r="BV6" i="11"/>
  <c r="BU6" i="15"/>
  <c r="BU9" i="11"/>
  <c r="BT9" i="15"/>
  <c r="BU11" i="11"/>
  <c r="BT11" i="15"/>
  <c r="BW4" i="11"/>
  <c r="BV4" i="15"/>
  <c r="BW22" i="2"/>
  <c r="BW24" i="2"/>
  <c r="BW23" i="2"/>
  <c r="BW30" i="2"/>
  <c r="BW25" i="2"/>
  <c r="BW21" i="2"/>
  <c r="BV7" i="11"/>
  <c r="BU7" i="15"/>
  <c r="BV57" i="11"/>
  <c r="BV90" i="5" s="1"/>
  <c r="BV61" i="19" s="1"/>
  <c r="BV87" i="11"/>
  <c r="BV88" i="11" s="1"/>
  <c r="BZ8" i="14"/>
  <c r="BV8" i="19"/>
  <c r="CA5" i="14"/>
  <c r="CA15" i="14" s="1"/>
  <c r="BW5" i="19"/>
  <c r="BX5" i="16"/>
  <c r="BW10" i="16"/>
  <c r="BW54" i="16" s="1"/>
  <c r="BW80" i="16" s="1"/>
  <c r="BV5" i="17"/>
  <c r="BU10" i="11"/>
  <c r="BR172" i="11"/>
  <c r="BJ164" i="11"/>
  <c r="BU186" i="11"/>
  <c r="BU31" i="5" s="1"/>
  <c r="BW41" i="6"/>
  <c r="BV195" i="11" s="1"/>
  <c r="BV196" i="11" s="1"/>
  <c r="BV39" i="5" s="1"/>
  <c r="BW25" i="6"/>
  <c r="BV35" i="5" s="1"/>
  <c r="BU192" i="11"/>
  <c r="BV189" i="11" s="1"/>
  <c r="BU32" i="5"/>
  <c r="BU177" i="11"/>
  <c r="BV174" i="11" s="1"/>
  <c r="BU29" i="5"/>
  <c r="BJ165" i="11"/>
  <c r="BU157" i="11"/>
  <c r="BW49" i="10"/>
  <c r="BW50" i="10"/>
  <c r="BW46" i="10"/>
  <c r="BW52" i="10"/>
  <c r="BW48" i="10"/>
  <c r="BW45" i="10"/>
  <c r="BW47" i="10"/>
  <c r="BW26" i="10"/>
  <c r="BW30" i="10"/>
  <c r="BW22" i="10"/>
  <c r="BW28" i="10"/>
  <c r="BW25" i="10"/>
  <c r="BW24" i="10"/>
  <c r="BW27" i="10"/>
  <c r="BW44" i="10"/>
  <c r="BW23" i="10"/>
  <c r="BW53" i="10"/>
  <c r="BV32" i="4"/>
  <c r="BV17" i="11"/>
  <c r="BV97" i="11"/>
  <c r="BV26" i="4"/>
  <c r="BV25" i="4"/>
  <c r="BV45" i="4"/>
  <c r="BV9" i="4" s="1"/>
  <c r="BW9" i="2" s="1"/>
  <c r="BV46" i="4"/>
  <c r="BV10" i="4" s="1"/>
  <c r="BW10" i="2" s="1"/>
  <c r="BV47" i="4"/>
  <c r="BV11" i="4" s="1"/>
  <c r="BW11" i="2" s="1"/>
  <c r="BV27" i="4"/>
  <c r="BV38" i="4"/>
  <c r="BW6" i="4"/>
  <c r="BX6" i="2" s="1"/>
  <c r="BX4" i="4"/>
  <c r="BY4" i="2" s="1"/>
  <c r="BW7" i="4"/>
  <c r="BX7" i="2" s="1"/>
  <c r="BW14" i="4"/>
  <c r="BW5" i="5"/>
  <c r="BX6" i="6"/>
  <c r="BX13" i="6" s="1"/>
  <c r="BX5" i="10"/>
  <c r="BX14" i="10" s="1"/>
  <c r="BW9" i="6"/>
  <c r="BV8" i="5"/>
  <c r="BW8" i="10"/>
  <c r="BV5" i="15" l="1"/>
  <c r="BV13" i="15" s="1"/>
  <c r="BW137" i="5"/>
  <c r="BW138" i="5"/>
  <c r="BU247" i="11"/>
  <c r="BV244" i="11" s="1"/>
  <c r="BU68" i="11"/>
  <c r="BU102" i="5" s="1"/>
  <c r="BU27" i="19" s="1"/>
  <c r="BO18" i="11"/>
  <c r="BO70" i="5" s="1"/>
  <c r="BO68" i="5" s="1"/>
  <c r="BW81" i="16"/>
  <c r="BX16" i="6"/>
  <c r="BX60" i="6" s="1"/>
  <c r="BV33" i="11"/>
  <c r="BV78" i="5"/>
  <c r="BV28" i="11"/>
  <c r="BV75" i="5"/>
  <c r="BV111" i="11"/>
  <c r="BV38" i="11"/>
  <c r="BV39" i="11" s="1"/>
  <c r="BW36" i="11" s="1"/>
  <c r="BV106" i="11"/>
  <c r="CA104" i="14"/>
  <c r="BV8" i="11"/>
  <c r="BU8" i="15"/>
  <c r="CA99" i="14"/>
  <c r="BV140" i="11"/>
  <c r="BW13" i="19"/>
  <c r="BU187" i="11"/>
  <c r="BV184" i="11" s="1"/>
  <c r="BZ10" i="14"/>
  <c r="BV10" i="19"/>
  <c r="BZ9" i="14"/>
  <c r="BV9" i="19"/>
  <c r="CA7" i="14"/>
  <c r="BW7" i="19"/>
  <c r="BZ11" i="14"/>
  <c r="BV11" i="19"/>
  <c r="CB4" i="14"/>
  <c r="BX4" i="19"/>
  <c r="CA6" i="14"/>
  <c r="BW6" i="19"/>
  <c r="BV8" i="17"/>
  <c r="BU5" i="18"/>
  <c r="BU8" i="18" s="1"/>
  <c r="BW4" i="17"/>
  <c r="BV4" i="18" s="1"/>
  <c r="BX6" i="16"/>
  <c r="BS169" i="11"/>
  <c r="BV197" i="11"/>
  <c r="BW194" i="11" s="1"/>
  <c r="BW27" i="6"/>
  <c r="BV23" i="5"/>
  <c r="BW28" i="6"/>
  <c r="BV24" i="5"/>
  <c r="BW29" i="6"/>
  <c r="BV25" i="5"/>
  <c r="BW30" i="6"/>
  <c r="BV26" i="5"/>
  <c r="BV69" i="5"/>
  <c r="BJ167" i="11"/>
  <c r="BI19" i="15" s="1"/>
  <c r="BJ27" i="5"/>
  <c r="BW54" i="4"/>
  <c r="BW55" i="4"/>
  <c r="BW52" i="4"/>
  <c r="BW53" i="4"/>
  <c r="BW32" i="6"/>
  <c r="BV170" i="11"/>
  <c r="BW36" i="6"/>
  <c r="BV190" i="11"/>
  <c r="BV191" i="11" s="1"/>
  <c r="BW33" i="6"/>
  <c r="BV175" i="11"/>
  <c r="BV176" i="11" s="1"/>
  <c r="BV185" i="11"/>
  <c r="BW35" i="6"/>
  <c r="BW31" i="6"/>
  <c r="BV166" i="11"/>
  <c r="BV145" i="11"/>
  <c r="BV214" i="11"/>
  <c r="BX36" i="10"/>
  <c r="BX6" i="10"/>
  <c r="BX7" i="6"/>
  <c r="BW6" i="5"/>
  <c r="BX5" i="4"/>
  <c r="BY5" i="2" s="1"/>
  <c r="BY14" i="2" s="1"/>
  <c r="BY5" i="6"/>
  <c r="BX4" i="5"/>
  <c r="BY4" i="10"/>
  <c r="BW7" i="5"/>
  <c r="BX8" i="6"/>
  <c r="BX7" i="10"/>
  <c r="BV39" i="4"/>
  <c r="BV11" i="5"/>
  <c r="BW11" i="10"/>
  <c r="BW12" i="6"/>
  <c r="BW11" i="6"/>
  <c r="BV10" i="5"/>
  <c r="BW10" i="10"/>
  <c r="BW5" i="11"/>
  <c r="BW14" i="11" s="1"/>
  <c r="BW13" i="5"/>
  <c r="BW231" i="11" s="1"/>
  <c r="BV33" i="4"/>
  <c r="BW10" i="6"/>
  <c r="BW9" i="10"/>
  <c r="BV9" i="5"/>
  <c r="BW44" i="4"/>
  <c r="BW8" i="4" s="1"/>
  <c r="BX8" i="2" s="1"/>
  <c r="BW29" i="4"/>
  <c r="BW21" i="4"/>
  <c r="BW42" i="4"/>
  <c r="BW23" i="4"/>
  <c r="BW30" i="4"/>
  <c r="BW36" i="4"/>
  <c r="BW37" i="4"/>
  <c r="BW38" i="4" s="1"/>
  <c r="BW39" i="4" s="1"/>
  <c r="BW18" i="4"/>
  <c r="BW35" i="4"/>
  <c r="BW51" i="4"/>
  <c r="BW16" i="4"/>
  <c r="BW50" i="4"/>
  <c r="BW22" i="4"/>
  <c r="BW48" i="4"/>
  <c r="BW31" i="4"/>
  <c r="BW32" i="4" s="1"/>
  <c r="BW33" i="4" s="1"/>
  <c r="BW24" i="4"/>
  <c r="BW43" i="4"/>
  <c r="BW41" i="4"/>
  <c r="BW20" i="4"/>
  <c r="BW17" i="4"/>
  <c r="BW245" i="11" l="1"/>
  <c r="BW235" i="11"/>
  <c r="BX22" i="10"/>
  <c r="BX21" i="6"/>
  <c r="BX19" i="10" s="1"/>
  <c r="BV246" i="11"/>
  <c r="BV247" i="11" s="1"/>
  <c r="BW244" i="11" s="1"/>
  <c r="BV250" i="11"/>
  <c r="BV251" i="11" s="1"/>
  <c r="BV252" i="11" s="1"/>
  <c r="BW249" i="11" s="1"/>
  <c r="BW67" i="11"/>
  <c r="BW101" i="5" s="1"/>
  <c r="BW72" i="11"/>
  <c r="BW106" i="5" s="1"/>
  <c r="BO19" i="11"/>
  <c r="BN31" i="15" s="1"/>
  <c r="BV112" i="11"/>
  <c r="BW109" i="11" s="1"/>
  <c r="BV43" i="5"/>
  <c r="BV107" i="11"/>
  <c r="BW104" i="11" s="1"/>
  <c r="BV42" i="5"/>
  <c r="BV34" i="11"/>
  <c r="BW31" i="11" s="1"/>
  <c r="BW110" i="11" s="1"/>
  <c r="BX49" i="6" s="1"/>
  <c r="BV79" i="5"/>
  <c r="BV77" i="5" s="1"/>
  <c r="BV29" i="11"/>
  <c r="BW26" i="11" s="1"/>
  <c r="BW105" i="11" s="1"/>
  <c r="BX48" i="6" s="1"/>
  <c r="BV76" i="5"/>
  <c r="BV74" i="5" s="1"/>
  <c r="BV82" i="5"/>
  <c r="BV80" i="5" s="1"/>
  <c r="BW32" i="11"/>
  <c r="CA88" i="14"/>
  <c r="BX31" i="10"/>
  <c r="BW37" i="11"/>
  <c r="BW81" i="5" s="1"/>
  <c r="BW27" i="11"/>
  <c r="BU10" i="15"/>
  <c r="BX22" i="2"/>
  <c r="BX23" i="2"/>
  <c r="BX24" i="2"/>
  <c r="BX25" i="2"/>
  <c r="BX30" i="2"/>
  <c r="BX21" i="2"/>
  <c r="BW7" i="11"/>
  <c r="BV7" i="15"/>
  <c r="BV9" i="11"/>
  <c r="BU9" i="15"/>
  <c r="BW6" i="11"/>
  <c r="BV6" i="15"/>
  <c r="BV11" i="11"/>
  <c r="BU11" i="15"/>
  <c r="BX4" i="11"/>
  <c r="BW4" i="15"/>
  <c r="BW57" i="11"/>
  <c r="BW90" i="5" s="1"/>
  <c r="BW87" i="11"/>
  <c r="BW88" i="11" s="1"/>
  <c r="BV186" i="11"/>
  <c r="BV31" i="5" s="1"/>
  <c r="CA8" i="14"/>
  <c r="BW8" i="19"/>
  <c r="CB5" i="14"/>
  <c r="CB15" i="14" s="1"/>
  <c r="BX5" i="19"/>
  <c r="BV10" i="11"/>
  <c r="BX10" i="16"/>
  <c r="BX54" i="16" s="1"/>
  <c r="BX80" i="16" s="1"/>
  <c r="BW5" i="17"/>
  <c r="BY5" i="16"/>
  <c r="BS171" i="11"/>
  <c r="BS28" i="5" s="1"/>
  <c r="BK164" i="11"/>
  <c r="BX25" i="6"/>
  <c r="BW35" i="5" s="1"/>
  <c r="BX41" i="6"/>
  <c r="BW195" i="11" s="1"/>
  <c r="BW196" i="11" s="1"/>
  <c r="BW39" i="5" s="1"/>
  <c r="BV177" i="11"/>
  <c r="BW174" i="11" s="1"/>
  <c r="BV29" i="5"/>
  <c r="BV192" i="11"/>
  <c r="BW189" i="11" s="1"/>
  <c r="BV32" i="5"/>
  <c r="BK165" i="11"/>
  <c r="BV157" i="11"/>
  <c r="BX23" i="10"/>
  <c r="BX25" i="10"/>
  <c r="BX44" i="10"/>
  <c r="BX24" i="10"/>
  <c r="BX53" i="10"/>
  <c r="BX26" i="10"/>
  <c r="BX45" i="10"/>
  <c r="BX28" i="10"/>
  <c r="BX52" i="10"/>
  <c r="BX50" i="10"/>
  <c r="BX48" i="10"/>
  <c r="BX27" i="10"/>
  <c r="BX46" i="10"/>
  <c r="BX47" i="10"/>
  <c r="BX30" i="10"/>
  <c r="BX49" i="10"/>
  <c r="BW26" i="4"/>
  <c r="BW27" i="4"/>
  <c r="BW47" i="4"/>
  <c r="BW11" i="4" s="1"/>
  <c r="BX11" i="2" s="1"/>
  <c r="BW25" i="4"/>
  <c r="BW45" i="4"/>
  <c r="BW9" i="4" s="1"/>
  <c r="BX9" i="2" s="1"/>
  <c r="BW46" i="4"/>
  <c r="BW10" i="4" s="1"/>
  <c r="BX10" i="2" s="1"/>
  <c r="BW17" i="11"/>
  <c r="BW97" i="11"/>
  <c r="BY4" i="4"/>
  <c r="BZ4" i="2" s="1"/>
  <c r="BX7" i="4"/>
  <c r="BY7" i="2" s="1"/>
  <c r="BX6" i="4"/>
  <c r="BY6" i="2" s="1"/>
  <c r="BX14" i="4"/>
  <c r="BX5" i="5"/>
  <c r="BY5" i="10"/>
  <c r="BY14" i="10" s="1"/>
  <c r="BY6" i="6"/>
  <c r="BY13" i="6" s="1"/>
  <c r="BW8" i="5"/>
  <c r="BX8" i="10"/>
  <c r="BX9" i="6"/>
  <c r="BW5" i="15" l="1"/>
  <c r="BW13" i="15" s="1"/>
  <c r="BX137" i="5"/>
  <c r="BX138" i="5"/>
  <c r="BX27" i="6"/>
  <c r="BW23" i="5"/>
  <c r="BV68" i="11"/>
  <c r="BV102" i="5" s="1"/>
  <c r="BV27" i="19" s="1"/>
  <c r="BW250" i="11"/>
  <c r="BW251" i="11" s="1"/>
  <c r="BW252" i="11" s="1"/>
  <c r="BX249" i="11" s="1"/>
  <c r="BP16" i="11"/>
  <c r="BP18" i="11" s="1"/>
  <c r="BP70" i="5" s="1"/>
  <c r="BP68" i="5" s="1"/>
  <c r="BX81" i="16"/>
  <c r="BY16" i="6"/>
  <c r="BY60" i="6" s="1"/>
  <c r="BW33" i="11"/>
  <c r="BW78" i="5"/>
  <c r="BW28" i="11"/>
  <c r="BW75" i="5"/>
  <c r="BW111" i="11"/>
  <c r="BW106" i="11"/>
  <c r="BW38" i="11"/>
  <c r="BW82" i="5" s="1"/>
  <c r="BW80" i="5" s="1"/>
  <c r="CB104" i="14"/>
  <c r="BW8" i="11"/>
  <c r="BV8" i="15"/>
  <c r="BW140" i="11"/>
  <c r="BW61" i="19"/>
  <c r="CB99" i="14"/>
  <c r="BV187" i="11"/>
  <c r="BW184" i="11" s="1"/>
  <c r="BX13" i="19"/>
  <c r="CA10" i="14"/>
  <c r="BW10" i="19"/>
  <c r="CA9" i="14"/>
  <c r="BW9" i="19"/>
  <c r="CA11" i="14"/>
  <c r="BW11" i="19"/>
  <c r="CB6" i="14"/>
  <c r="BX6" i="19"/>
  <c r="CB7" i="14"/>
  <c r="BX7" i="19"/>
  <c r="CC4" i="14"/>
  <c r="BY4" i="19"/>
  <c r="BV5" i="18"/>
  <c r="BV8" i="18" s="1"/>
  <c r="BW8" i="17"/>
  <c r="BX4" i="17"/>
  <c r="BW4" i="18" s="1"/>
  <c r="BY6" i="16"/>
  <c r="BS172" i="11"/>
  <c r="BX28" i="6"/>
  <c r="BW24" i="5"/>
  <c r="BX29" i="6"/>
  <c r="BW25" i="5"/>
  <c r="BX30" i="6"/>
  <c r="BW26" i="5"/>
  <c r="BW197" i="11"/>
  <c r="BX194" i="11" s="1"/>
  <c r="BW69" i="5"/>
  <c r="BK167" i="11"/>
  <c r="BJ19" i="15" s="1"/>
  <c r="BK27" i="5"/>
  <c r="BX53" i="4"/>
  <c r="BX54" i="4"/>
  <c r="BX55" i="4"/>
  <c r="BX52" i="4"/>
  <c r="BX35" i="6"/>
  <c r="BW185" i="11"/>
  <c r="BX32" i="6"/>
  <c r="BW170" i="11"/>
  <c r="BX36" i="6"/>
  <c r="BW190" i="11"/>
  <c r="BW191" i="11" s="1"/>
  <c r="BX33" i="6"/>
  <c r="BW175" i="11"/>
  <c r="BW176" i="11" s="1"/>
  <c r="BX31" i="6"/>
  <c r="BW166" i="11"/>
  <c r="BW145" i="11"/>
  <c r="BW214" i="11"/>
  <c r="BY36" i="10"/>
  <c r="BX6" i="5"/>
  <c r="BY7" i="6"/>
  <c r="BY6" i="10"/>
  <c r="BY4" i="5"/>
  <c r="BZ4" i="10"/>
  <c r="BZ5" i="6"/>
  <c r="BY5" i="4"/>
  <c r="BZ5" i="2" s="1"/>
  <c r="BZ14" i="2" s="1"/>
  <c r="BX5" i="11"/>
  <c r="BX14" i="11" s="1"/>
  <c r="BX13" i="5"/>
  <c r="BX231" i="11" s="1"/>
  <c r="BX44" i="4"/>
  <c r="BX8" i="4" s="1"/>
  <c r="BY8" i="2" s="1"/>
  <c r="BX20" i="4"/>
  <c r="BX17" i="4"/>
  <c r="BX37" i="4"/>
  <c r="BX38" i="4" s="1"/>
  <c r="BX39" i="4" s="1"/>
  <c r="BX29" i="4"/>
  <c r="BX43" i="4"/>
  <c r="BX31" i="4"/>
  <c r="BX32" i="4" s="1"/>
  <c r="BX33" i="4" s="1"/>
  <c r="BX41" i="4"/>
  <c r="BX50" i="4"/>
  <c r="BX18" i="4"/>
  <c r="BX16" i="4"/>
  <c r="BX36" i="4"/>
  <c r="BX35" i="4"/>
  <c r="BX21" i="4"/>
  <c r="BX23" i="4"/>
  <c r="BX42" i="4"/>
  <c r="BX22" i="4"/>
  <c r="BX30" i="4"/>
  <c r="BX48" i="4"/>
  <c r="BX51" i="4"/>
  <c r="BX24" i="4"/>
  <c r="BW10" i="5"/>
  <c r="BX11" i="6"/>
  <c r="BX10" i="10"/>
  <c r="BX7" i="5"/>
  <c r="BY8" i="6"/>
  <c r="BY7" i="10"/>
  <c r="BX9" i="10"/>
  <c r="BW9" i="5"/>
  <c r="BX10" i="6"/>
  <c r="BX12" i="6"/>
  <c r="BW11" i="5"/>
  <c r="BX11" i="10"/>
  <c r="BX245" i="11" l="1"/>
  <c r="BX235" i="11"/>
  <c r="BY30" i="10"/>
  <c r="BY21" i="6"/>
  <c r="BY19" i="10" s="1"/>
  <c r="BW246" i="11"/>
  <c r="BX72" i="11"/>
  <c r="BX106" i="5" s="1"/>
  <c r="BX67" i="11"/>
  <c r="BX101" i="5" s="1"/>
  <c r="BP19" i="11"/>
  <c r="BQ16" i="11" s="1"/>
  <c r="BW112" i="11"/>
  <c r="BX109" i="11" s="1"/>
  <c r="BW43" i="5"/>
  <c r="BW107" i="11"/>
  <c r="BX104" i="11" s="1"/>
  <c r="BW42" i="5"/>
  <c r="BW29" i="11"/>
  <c r="BX26" i="11" s="1"/>
  <c r="BX105" i="11" s="1"/>
  <c r="BY48" i="6" s="1"/>
  <c r="BW76" i="5"/>
  <c r="BW74" i="5" s="1"/>
  <c r="BW34" i="11"/>
  <c r="BX31" i="11" s="1"/>
  <c r="BX110" i="11" s="1"/>
  <c r="BY49" i="6" s="1"/>
  <c r="BW79" i="5"/>
  <c r="BW77" i="5" s="1"/>
  <c r="BW39" i="11"/>
  <c r="BX36" i="11" s="1"/>
  <c r="BX32" i="11"/>
  <c r="BY31" i="10"/>
  <c r="BX37" i="11"/>
  <c r="BX27" i="11"/>
  <c r="CB88" i="14"/>
  <c r="BX7" i="11"/>
  <c r="BW7" i="15"/>
  <c r="BW11" i="11"/>
  <c r="BV11" i="15"/>
  <c r="BY4" i="11"/>
  <c r="BX4" i="15"/>
  <c r="BX6" i="11"/>
  <c r="BW6" i="15"/>
  <c r="BV10" i="15"/>
  <c r="BW9" i="11"/>
  <c r="BV9" i="15"/>
  <c r="BY21" i="2"/>
  <c r="BY25" i="2"/>
  <c r="BY24" i="2"/>
  <c r="BY22" i="2"/>
  <c r="BY23" i="2"/>
  <c r="BY30" i="2"/>
  <c r="BT169" i="11"/>
  <c r="BT171" i="11" s="1"/>
  <c r="BT28" i="5" s="1"/>
  <c r="BW186" i="11"/>
  <c r="BW31" i="5" s="1"/>
  <c r="BX57" i="11"/>
  <c r="BX90" i="5" s="1"/>
  <c r="BX87" i="11"/>
  <c r="BX88" i="11" s="1"/>
  <c r="CB8" i="14"/>
  <c r="BX8" i="19"/>
  <c r="CC5" i="14"/>
  <c r="CC15" i="14" s="1"/>
  <c r="BY5" i="19"/>
  <c r="BW10" i="11"/>
  <c r="BY10" i="16"/>
  <c r="BY54" i="16" s="1"/>
  <c r="BY80" i="16" s="1"/>
  <c r="BX5" i="17"/>
  <c r="BZ5" i="16"/>
  <c r="BL164" i="11"/>
  <c r="BY41" i="6"/>
  <c r="BX195" i="11" s="1"/>
  <c r="BX196" i="11" s="1"/>
  <c r="BX39" i="5" s="1"/>
  <c r="BY25" i="6"/>
  <c r="BX35" i="5" s="1"/>
  <c r="BW177" i="11"/>
  <c r="BX174" i="11" s="1"/>
  <c r="BW29" i="5"/>
  <c r="BW192" i="11"/>
  <c r="BX189" i="11" s="1"/>
  <c r="BW32" i="5"/>
  <c r="BL165" i="11"/>
  <c r="BY22" i="10"/>
  <c r="BY50" i="10"/>
  <c r="BY24" i="10"/>
  <c r="BY27" i="10"/>
  <c r="BW157" i="11"/>
  <c r="BY52" i="10"/>
  <c r="BY45" i="10"/>
  <c r="BY23" i="10"/>
  <c r="BY49" i="10"/>
  <c r="BY44" i="10"/>
  <c r="BY46" i="10"/>
  <c r="BY48" i="10"/>
  <c r="BY25" i="10"/>
  <c r="BY28" i="10"/>
  <c r="BY26" i="10"/>
  <c r="BY47" i="10"/>
  <c r="BY53" i="10"/>
  <c r="BZ4" i="4"/>
  <c r="CA4" i="2" s="1"/>
  <c r="BY7" i="4"/>
  <c r="BZ7" i="2" s="1"/>
  <c r="BY14" i="4"/>
  <c r="BY6" i="4"/>
  <c r="BZ6" i="2" s="1"/>
  <c r="BY5" i="5"/>
  <c r="BZ5" i="10"/>
  <c r="BZ14" i="10" s="1"/>
  <c r="BZ6" i="6"/>
  <c r="BZ13" i="6" s="1"/>
  <c r="BX8" i="5"/>
  <c r="BY9" i="6"/>
  <c r="BY8" i="10"/>
  <c r="BX46" i="4"/>
  <c r="BX10" i="4" s="1"/>
  <c r="BY10" i="2" s="1"/>
  <c r="BX27" i="4"/>
  <c r="BX25" i="4"/>
  <c r="BX26" i="4"/>
  <c r="BX47" i="4"/>
  <c r="BX11" i="4" s="1"/>
  <c r="BY11" i="2" s="1"/>
  <c r="BX45" i="4"/>
  <c r="BX9" i="4" s="1"/>
  <c r="BY9" i="2" s="1"/>
  <c r="BX17" i="11"/>
  <c r="BX97" i="11"/>
  <c r="BX5" i="15" l="1"/>
  <c r="BX13" i="15" s="1"/>
  <c r="BY138" i="5"/>
  <c r="BY137" i="5"/>
  <c r="BY35" i="6"/>
  <c r="BX185" i="11"/>
  <c r="BW247" i="11"/>
  <c r="BX244" i="11" s="1"/>
  <c r="BW68" i="11"/>
  <c r="BW102" i="5" s="1"/>
  <c r="BW27" i="19" s="1"/>
  <c r="BO31" i="15"/>
  <c r="BY81" i="16"/>
  <c r="BQ18" i="11"/>
  <c r="BQ70" i="5" s="1"/>
  <c r="BQ68" i="5" s="1"/>
  <c r="BZ16" i="6"/>
  <c r="BZ60" i="6" s="1"/>
  <c r="BX33" i="11"/>
  <c r="BX78" i="5"/>
  <c r="BX28" i="11"/>
  <c r="BX75" i="5"/>
  <c r="BX38" i="11"/>
  <c r="BX39" i="11" s="1"/>
  <c r="BY36" i="11" s="1"/>
  <c r="BX111" i="11"/>
  <c r="BX106" i="11"/>
  <c r="BX81" i="5"/>
  <c r="CC99" i="14"/>
  <c r="BX8" i="11"/>
  <c r="BW8" i="15"/>
  <c r="BW187" i="11"/>
  <c r="BX184" i="11" s="1"/>
  <c r="CC104" i="14"/>
  <c r="BX140" i="11"/>
  <c r="BX61" i="19"/>
  <c r="BY13" i="19"/>
  <c r="CB9" i="14"/>
  <c r="BX9" i="19"/>
  <c r="CB11" i="14"/>
  <c r="BX11" i="19"/>
  <c r="CB10" i="14"/>
  <c r="BX10" i="19"/>
  <c r="CD4" i="14"/>
  <c r="BZ4" i="19"/>
  <c r="CC6" i="14"/>
  <c r="BY6" i="19"/>
  <c r="CC7" i="14"/>
  <c r="BY7" i="19"/>
  <c r="BY4" i="17"/>
  <c r="BX4" i="18" s="1"/>
  <c r="BZ6" i="16"/>
  <c r="BX8" i="17"/>
  <c r="BW5" i="18"/>
  <c r="BW8" i="18" s="1"/>
  <c r="BT172" i="11"/>
  <c r="BY30" i="6"/>
  <c r="BX26" i="5"/>
  <c r="BY29" i="6"/>
  <c r="BX25" i="5"/>
  <c r="BY27" i="6"/>
  <c r="BX23" i="5"/>
  <c r="BY28" i="6"/>
  <c r="BX24" i="5"/>
  <c r="BX197" i="11"/>
  <c r="BY194" i="11" s="1"/>
  <c r="BX69" i="5"/>
  <c r="BL167" i="11"/>
  <c r="BK19" i="15" s="1"/>
  <c r="BL27" i="5"/>
  <c r="BY55" i="4"/>
  <c r="BY54" i="4"/>
  <c r="BY52" i="4"/>
  <c r="BY53" i="4"/>
  <c r="BY31" i="6"/>
  <c r="BX166" i="11"/>
  <c r="BY33" i="6"/>
  <c r="BX175" i="11"/>
  <c r="BX176" i="11" s="1"/>
  <c r="BY36" i="6"/>
  <c r="BX190" i="11"/>
  <c r="BX191" i="11" s="1"/>
  <c r="BX170" i="11"/>
  <c r="BY32" i="6"/>
  <c r="BX145" i="11"/>
  <c r="BX214" i="11"/>
  <c r="BZ36" i="10"/>
  <c r="BX10" i="5"/>
  <c r="BY10" i="10"/>
  <c r="BY11" i="6"/>
  <c r="BY10" i="6"/>
  <c r="BX9" i="5"/>
  <c r="BY9" i="10"/>
  <c r="BY12" i="6"/>
  <c r="BY11" i="10"/>
  <c r="BX11" i="5"/>
  <c r="BY5" i="11"/>
  <c r="BY14" i="11" s="1"/>
  <c r="BY13" i="5"/>
  <c r="BY231" i="11" s="1"/>
  <c r="BZ7" i="6"/>
  <c r="BZ6" i="10"/>
  <c r="BY6" i="5"/>
  <c r="BY44" i="4"/>
  <c r="BY8" i="4" s="1"/>
  <c r="BZ8" i="2" s="1"/>
  <c r="BY18" i="4"/>
  <c r="BY51" i="4"/>
  <c r="BY35" i="4"/>
  <c r="BY16" i="4"/>
  <c r="BY50" i="4"/>
  <c r="BY20" i="4"/>
  <c r="BY17" i="4"/>
  <c r="BY30" i="4"/>
  <c r="BY48" i="4"/>
  <c r="BY22" i="4"/>
  <c r="BY36" i="4"/>
  <c r="BY41" i="4"/>
  <c r="BY37" i="4"/>
  <c r="BY38" i="4" s="1"/>
  <c r="BY39" i="4" s="1"/>
  <c r="BY24" i="4"/>
  <c r="BY42" i="4"/>
  <c r="BY29" i="4"/>
  <c r="BY31" i="4"/>
  <c r="BY32" i="4" s="1"/>
  <c r="BY33" i="4" s="1"/>
  <c r="BY21" i="4"/>
  <c r="BY43" i="4"/>
  <c r="BY23" i="4"/>
  <c r="BZ52" i="10" s="1"/>
  <c r="BZ8" i="6"/>
  <c r="BZ7" i="10"/>
  <c r="BY7" i="5"/>
  <c r="BZ4" i="5"/>
  <c r="BZ5" i="4"/>
  <c r="CA5" i="2" s="1"/>
  <c r="CA14" i="2" s="1"/>
  <c r="CA5" i="6"/>
  <c r="CA4" i="10"/>
  <c r="BX186" i="11" l="1"/>
  <c r="BY245" i="11"/>
  <c r="BY235" i="11"/>
  <c r="BZ22" i="10"/>
  <c r="BZ21" i="6"/>
  <c r="BZ19" i="10" s="1"/>
  <c r="BX246" i="11"/>
  <c r="BX247" i="11" s="1"/>
  <c r="BY244" i="11" s="1"/>
  <c r="BX250" i="11"/>
  <c r="BX251" i="11" s="1"/>
  <c r="BX252" i="11" s="1"/>
  <c r="BY249" i="11" s="1"/>
  <c r="BY72" i="11"/>
  <c r="BY106" i="5" s="1"/>
  <c r="BY67" i="11"/>
  <c r="BY101" i="5" s="1"/>
  <c r="BQ19" i="11"/>
  <c r="BR16" i="11" s="1"/>
  <c r="BX82" i="5"/>
  <c r="BX80" i="5" s="1"/>
  <c r="BX107" i="11"/>
  <c r="BY104" i="11" s="1"/>
  <c r="BX42" i="5"/>
  <c r="BX112" i="11"/>
  <c r="BY109" i="11" s="1"/>
  <c r="BX43" i="5"/>
  <c r="BX29" i="11"/>
  <c r="BY26" i="11" s="1"/>
  <c r="BY105" i="11" s="1"/>
  <c r="BZ48" i="6" s="1"/>
  <c r="BX76" i="5"/>
  <c r="BX74" i="5" s="1"/>
  <c r="BX34" i="11"/>
  <c r="BY31" i="11" s="1"/>
  <c r="BY110" i="11" s="1"/>
  <c r="BZ49" i="6" s="1"/>
  <c r="BX79" i="5"/>
  <c r="BX77" i="5" s="1"/>
  <c r="BY32" i="11"/>
  <c r="BZ31" i="10"/>
  <c r="CC88" i="14"/>
  <c r="BY37" i="11"/>
  <c r="BY38" i="11" s="1"/>
  <c r="BY27" i="11"/>
  <c r="BY7" i="11"/>
  <c r="BX7" i="15"/>
  <c r="BX10" i="11"/>
  <c r="BW10" i="15"/>
  <c r="BZ22" i="2"/>
  <c r="BZ21" i="2"/>
  <c r="BZ25" i="2"/>
  <c r="BZ23" i="2"/>
  <c r="BZ24" i="2"/>
  <c r="BZ30" i="2"/>
  <c r="BZ4" i="11"/>
  <c r="BY4" i="15"/>
  <c r="BY6" i="11"/>
  <c r="BX6" i="15"/>
  <c r="BX11" i="11"/>
  <c r="BW11" i="15"/>
  <c r="BX9" i="11"/>
  <c r="BW9" i="15"/>
  <c r="BY57" i="11"/>
  <c r="BY90" i="5" s="1"/>
  <c r="BY87" i="11"/>
  <c r="BY88" i="11" s="1"/>
  <c r="CC8" i="14"/>
  <c r="BY8" i="19"/>
  <c r="CD5" i="14"/>
  <c r="CD15" i="14" s="1"/>
  <c r="BZ5" i="19"/>
  <c r="BZ10" i="16"/>
  <c r="BZ54" i="16" s="1"/>
  <c r="BZ80" i="16" s="1"/>
  <c r="BY5" i="17"/>
  <c r="CA5" i="16"/>
  <c r="BU169" i="11"/>
  <c r="BU171" i="11" s="1"/>
  <c r="BM164" i="11"/>
  <c r="BZ25" i="6"/>
  <c r="BY35" i="5" s="1"/>
  <c r="BZ41" i="6"/>
  <c r="BY195" i="11" s="1"/>
  <c r="BY196" i="11" s="1"/>
  <c r="BY39" i="5" s="1"/>
  <c r="BX192" i="11"/>
  <c r="BY189" i="11" s="1"/>
  <c r="BX32" i="5"/>
  <c r="BX177" i="11"/>
  <c r="BY174" i="11" s="1"/>
  <c r="BX29" i="5"/>
  <c r="BM165" i="11"/>
  <c r="BX157" i="11"/>
  <c r="BZ50" i="10"/>
  <c r="BZ49" i="10"/>
  <c r="BZ24" i="10"/>
  <c r="BZ26" i="10"/>
  <c r="BZ44" i="10"/>
  <c r="BZ46" i="10"/>
  <c r="BZ27" i="10"/>
  <c r="BZ30" i="10"/>
  <c r="BZ45" i="10"/>
  <c r="BZ47" i="10"/>
  <c r="BZ25" i="10"/>
  <c r="BZ53" i="10"/>
  <c r="BZ23" i="10"/>
  <c r="BZ48" i="10"/>
  <c r="BZ28" i="10"/>
  <c r="CA4" i="4"/>
  <c r="CB4" i="2" s="1"/>
  <c r="BZ6" i="4"/>
  <c r="CA6" i="2" s="1"/>
  <c r="BZ14" i="4"/>
  <c r="BZ7" i="4"/>
  <c r="CA7" i="2" s="1"/>
  <c r="CA6" i="6"/>
  <c r="CA13" i="6" s="1"/>
  <c r="BZ5" i="5"/>
  <c r="CA5" i="10"/>
  <c r="CA14" i="10" s="1"/>
  <c r="BY17" i="11"/>
  <c r="BY97" i="11"/>
  <c r="BY26" i="4"/>
  <c r="BY27" i="4"/>
  <c r="BY25" i="4"/>
  <c r="BY46" i="4"/>
  <c r="BY10" i="4" s="1"/>
  <c r="BZ10" i="2" s="1"/>
  <c r="BY47" i="4"/>
  <c r="BY11" i="4" s="1"/>
  <c r="BZ11" i="2" s="1"/>
  <c r="BY45" i="4"/>
  <c r="BY9" i="4" s="1"/>
  <c r="BZ9" i="2" s="1"/>
  <c r="BZ8" i="10"/>
  <c r="BY8" i="5"/>
  <c r="BZ9" i="6"/>
  <c r="BY5" i="15" l="1"/>
  <c r="BY13" i="15" s="1"/>
  <c r="BZ137" i="5"/>
  <c r="BZ138" i="5"/>
  <c r="BX187" i="11"/>
  <c r="BY184" i="11" s="1"/>
  <c r="BX31" i="5"/>
  <c r="BZ27" i="6"/>
  <c r="BY23" i="5"/>
  <c r="BX68" i="11"/>
  <c r="BX102" i="5" s="1"/>
  <c r="BX27" i="19" s="1"/>
  <c r="BY246" i="11"/>
  <c r="BP31" i="15"/>
  <c r="BZ81" i="16"/>
  <c r="BR18" i="11"/>
  <c r="BR70" i="5" s="1"/>
  <c r="BR68" i="5" s="1"/>
  <c r="CA16" i="6"/>
  <c r="CA60" i="6" s="1"/>
  <c r="BY33" i="11"/>
  <c r="BY78" i="5"/>
  <c r="BY28" i="11"/>
  <c r="BY75" i="5"/>
  <c r="BY111" i="11"/>
  <c r="BY106" i="11"/>
  <c r="BY81" i="5"/>
  <c r="CD99" i="14"/>
  <c r="BY8" i="11"/>
  <c r="BX8" i="15"/>
  <c r="CD104" i="14"/>
  <c r="BY39" i="11"/>
  <c r="BZ36" i="11" s="1"/>
  <c r="BY82" i="5"/>
  <c r="BY140" i="11"/>
  <c r="BY61" i="19"/>
  <c r="BZ13" i="19"/>
  <c r="CE4" i="14"/>
  <c r="CA4" i="19"/>
  <c r="CC9" i="14"/>
  <c r="BY9" i="19"/>
  <c r="CD7" i="14"/>
  <c r="BZ7" i="19"/>
  <c r="CC11" i="14"/>
  <c r="BY11" i="19"/>
  <c r="CC10" i="14"/>
  <c r="BY10" i="19"/>
  <c r="CD6" i="14"/>
  <c r="BZ6" i="19"/>
  <c r="CA6" i="16"/>
  <c r="BZ4" i="17"/>
  <c r="BY4" i="18" s="1"/>
  <c r="BX5" i="18"/>
  <c r="BX8" i="18" s="1"/>
  <c r="BY8" i="17"/>
  <c r="BU172" i="11"/>
  <c r="BU28" i="5"/>
  <c r="BY197" i="11"/>
  <c r="BZ194" i="11" s="1"/>
  <c r="BZ28" i="6"/>
  <c r="BY24" i="5"/>
  <c r="BZ30" i="6"/>
  <c r="BY26" i="5"/>
  <c r="BZ29" i="6"/>
  <c r="BY25" i="5"/>
  <c r="BY69" i="5"/>
  <c r="BM167" i="11"/>
  <c r="BL19" i="15" s="1"/>
  <c r="BM27" i="5"/>
  <c r="BZ55" i="4"/>
  <c r="BZ53" i="4"/>
  <c r="BZ52" i="4"/>
  <c r="BZ54" i="4"/>
  <c r="BZ33" i="6"/>
  <c r="BY175" i="11"/>
  <c r="BY176" i="11" s="1"/>
  <c r="BZ36" i="6"/>
  <c r="BY190" i="11"/>
  <c r="BY191" i="11" s="1"/>
  <c r="BZ35" i="6"/>
  <c r="BY185" i="11"/>
  <c r="BZ32" i="6"/>
  <c r="BY170" i="11"/>
  <c r="BZ31" i="6"/>
  <c r="BY166" i="11"/>
  <c r="BY145" i="11"/>
  <c r="BY214" i="11"/>
  <c r="CA36" i="10"/>
  <c r="BZ10" i="6"/>
  <c r="BY9" i="5"/>
  <c r="BZ9" i="10"/>
  <c r="BZ11" i="6"/>
  <c r="BY10" i="5"/>
  <c r="BZ10" i="10"/>
  <c r="BY11" i="5"/>
  <c r="BZ12" i="6"/>
  <c r="BZ11" i="10"/>
  <c r="CA6" i="10"/>
  <c r="BZ6" i="5"/>
  <c r="CA7" i="6"/>
  <c r="BZ5" i="11"/>
  <c r="BZ14" i="11" s="1"/>
  <c r="BZ13" i="5"/>
  <c r="BZ231" i="11" s="1"/>
  <c r="CA8" i="6"/>
  <c r="CA7" i="10"/>
  <c r="BZ7" i="5"/>
  <c r="BZ44" i="4"/>
  <c r="BZ8" i="4" s="1"/>
  <c r="CA8" i="2" s="1"/>
  <c r="BZ37" i="4"/>
  <c r="BZ38" i="4" s="1"/>
  <c r="BZ39" i="4" s="1"/>
  <c r="BZ21" i="4"/>
  <c r="BZ48" i="4"/>
  <c r="BZ29" i="4"/>
  <c r="BZ24" i="4"/>
  <c r="BZ23" i="4"/>
  <c r="CA46" i="10" s="1"/>
  <c r="BZ43" i="4"/>
  <c r="BZ50" i="4"/>
  <c r="BZ22" i="4"/>
  <c r="BZ36" i="4"/>
  <c r="BZ30" i="4"/>
  <c r="BZ42" i="4"/>
  <c r="BZ20" i="4"/>
  <c r="BZ41" i="4"/>
  <c r="BZ18" i="4"/>
  <c r="BZ51" i="4"/>
  <c r="BZ31" i="4"/>
  <c r="BZ32" i="4" s="1"/>
  <c r="BZ33" i="4" s="1"/>
  <c r="BZ17" i="4"/>
  <c r="BZ16" i="4"/>
  <c r="BZ35" i="4"/>
  <c r="CA5" i="4"/>
  <c r="CB5" i="2" s="1"/>
  <c r="CB14" i="2" s="1"/>
  <c r="CB5" i="6"/>
  <c r="CA4" i="5"/>
  <c r="CB4" i="10"/>
  <c r="BZ245" i="11" l="1"/>
  <c r="BZ235" i="11"/>
  <c r="CA22" i="10"/>
  <c r="CA21" i="6"/>
  <c r="CA19" i="10" s="1"/>
  <c r="BY247" i="11"/>
  <c r="BZ244" i="11" s="1"/>
  <c r="BY250" i="11"/>
  <c r="BY251" i="11" s="1"/>
  <c r="BY252" i="11" s="1"/>
  <c r="BZ249" i="11" s="1"/>
  <c r="BZ72" i="11"/>
  <c r="BZ106" i="5" s="1"/>
  <c r="BZ67" i="11"/>
  <c r="BZ101" i="5" s="1"/>
  <c r="BR19" i="11"/>
  <c r="BQ31" i="15" s="1"/>
  <c r="BY107" i="11"/>
  <c r="BZ104" i="11" s="1"/>
  <c r="BY42" i="5"/>
  <c r="BY112" i="11"/>
  <c r="BZ109" i="11" s="1"/>
  <c r="BY43" i="5"/>
  <c r="BY80" i="5"/>
  <c r="BY29" i="11"/>
  <c r="BZ26" i="11" s="1"/>
  <c r="BZ105" i="11" s="1"/>
  <c r="CA48" i="6" s="1"/>
  <c r="BY76" i="5"/>
  <c r="BY74" i="5" s="1"/>
  <c r="BY34" i="11"/>
  <c r="BZ31" i="11" s="1"/>
  <c r="BZ110" i="11" s="1"/>
  <c r="CA49" i="6" s="1"/>
  <c r="BY79" i="5"/>
  <c r="BY77" i="5" s="1"/>
  <c r="BZ32" i="11"/>
  <c r="CA31" i="10"/>
  <c r="CD88" i="14"/>
  <c r="BZ37" i="11"/>
  <c r="BZ38" i="11" s="1"/>
  <c r="BZ27" i="11"/>
  <c r="BZ6" i="11"/>
  <c r="BY6" i="15"/>
  <c r="BY10" i="11"/>
  <c r="BX10" i="15"/>
  <c r="CA4" i="11"/>
  <c r="BZ4" i="15"/>
  <c r="BZ7" i="11"/>
  <c r="BY7" i="15"/>
  <c r="BY9" i="11"/>
  <c r="BX9" i="15"/>
  <c r="CA22" i="2"/>
  <c r="CA30" i="2"/>
  <c r="CA25" i="2"/>
  <c r="CA21" i="2"/>
  <c r="CA23" i="2"/>
  <c r="CA24" i="2"/>
  <c r="BY11" i="11"/>
  <c r="BX11" i="15"/>
  <c r="BZ57" i="11"/>
  <c r="BZ90" i="5" s="1"/>
  <c r="BZ87" i="11"/>
  <c r="BZ88" i="11" s="1"/>
  <c r="CE5" i="14"/>
  <c r="CE15" i="14" s="1"/>
  <c r="CA5" i="19"/>
  <c r="CD8" i="14"/>
  <c r="BZ8" i="19"/>
  <c r="CB5" i="16"/>
  <c r="CA10" i="16"/>
  <c r="CA54" i="16" s="1"/>
  <c r="CA80" i="16" s="1"/>
  <c r="BZ5" i="17"/>
  <c r="BV169" i="11"/>
  <c r="BN164" i="11"/>
  <c r="CA41" i="6"/>
  <c r="BZ195" i="11" s="1"/>
  <c r="BZ196" i="11" s="1"/>
  <c r="BZ39" i="5" s="1"/>
  <c r="CA25" i="6"/>
  <c r="BZ35" i="5" s="1"/>
  <c r="BY192" i="11"/>
  <c r="BZ189" i="11" s="1"/>
  <c r="BY32" i="5"/>
  <c r="BY177" i="11"/>
  <c r="BZ174" i="11" s="1"/>
  <c r="BY29" i="5"/>
  <c r="BN165" i="11"/>
  <c r="BY186" i="11"/>
  <c r="BY157" i="11"/>
  <c r="CA26" i="10"/>
  <c r="CA30" i="10"/>
  <c r="CA53" i="10"/>
  <c r="CA24" i="10"/>
  <c r="CA48" i="10"/>
  <c r="CA27" i="10"/>
  <c r="CA52" i="10"/>
  <c r="CA50" i="10"/>
  <c r="CA25" i="10"/>
  <c r="CA49" i="10"/>
  <c r="CA28" i="10"/>
  <c r="CA47" i="10"/>
  <c r="CA45" i="10"/>
  <c r="CA23" i="10"/>
  <c r="CA44" i="10"/>
  <c r="BZ8" i="5"/>
  <c r="CA8" i="10"/>
  <c r="CA9" i="6"/>
  <c r="CA14" i="4"/>
  <c r="CA6" i="4"/>
  <c r="CB6" i="2" s="1"/>
  <c r="CB4" i="4"/>
  <c r="CC4" i="2" s="1"/>
  <c r="CA7" i="4"/>
  <c r="CB7" i="2" s="1"/>
  <c r="CB6" i="6"/>
  <c r="CB13" i="6" s="1"/>
  <c r="CA5" i="5"/>
  <c r="CB5" i="10"/>
  <c r="CB14" i="10" s="1"/>
  <c r="BZ17" i="11"/>
  <c r="BZ97" i="11"/>
  <c r="BZ46" i="4"/>
  <c r="BZ10" i="4" s="1"/>
  <c r="CA10" i="2" s="1"/>
  <c r="BZ25" i="4"/>
  <c r="BZ45" i="4"/>
  <c r="BZ9" i="4" s="1"/>
  <c r="CA9" i="2" s="1"/>
  <c r="BZ26" i="4"/>
  <c r="BZ47" i="4"/>
  <c r="BZ11" i="4" s="1"/>
  <c r="CA11" i="2" s="1"/>
  <c r="BZ27" i="4"/>
  <c r="BZ5" i="15" l="1"/>
  <c r="BZ13" i="15" s="1"/>
  <c r="CA137" i="5"/>
  <c r="CA138" i="5"/>
  <c r="CA27" i="6"/>
  <c r="BZ23" i="5"/>
  <c r="BY68" i="11"/>
  <c r="BY102" i="5" s="1"/>
  <c r="BY27" i="19" s="1"/>
  <c r="BZ246" i="11"/>
  <c r="BS16" i="11"/>
  <c r="BS18" i="11" s="1"/>
  <c r="BS70" i="5" s="1"/>
  <c r="BS68" i="5" s="1"/>
  <c r="CA81" i="16"/>
  <c r="CB16" i="6"/>
  <c r="CB60" i="6" s="1"/>
  <c r="BZ33" i="11"/>
  <c r="BZ78" i="5"/>
  <c r="BZ28" i="11"/>
  <c r="BZ75" i="5"/>
  <c r="BZ111" i="11"/>
  <c r="BZ106" i="11"/>
  <c r="BZ81" i="5"/>
  <c r="CE99" i="14"/>
  <c r="BZ8" i="11"/>
  <c r="BY8" i="15"/>
  <c r="CE104" i="14"/>
  <c r="BZ39" i="11"/>
  <c r="CA36" i="11" s="1"/>
  <c r="BZ82" i="5"/>
  <c r="BZ140" i="11"/>
  <c r="BZ61" i="19"/>
  <c r="CA13" i="19"/>
  <c r="CE6" i="14"/>
  <c r="CA6" i="19"/>
  <c r="CD9" i="14"/>
  <c r="BZ9" i="19"/>
  <c r="CE7" i="14"/>
  <c r="CA7" i="19"/>
  <c r="CD11" i="14"/>
  <c r="BZ11" i="19"/>
  <c r="CF4" i="14"/>
  <c r="CB4" i="19"/>
  <c r="CD10" i="14"/>
  <c r="BZ10" i="19"/>
  <c r="BY5" i="18"/>
  <c r="BY8" i="18" s="1"/>
  <c r="BZ8" i="17"/>
  <c r="CB6" i="16"/>
  <c r="CA4" i="17"/>
  <c r="BZ4" i="18" s="1"/>
  <c r="BV171" i="11"/>
  <c r="BV28" i="5" s="1"/>
  <c r="CA28" i="6"/>
  <c r="BZ24" i="5"/>
  <c r="BZ197" i="11"/>
  <c r="CA194" i="11" s="1"/>
  <c r="CA29" i="6"/>
  <c r="BZ25" i="5"/>
  <c r="CA30" i="6"/>
  <c r="BZ26" i="5"/>
  <c r="BZ69" i="5"/>
  <c r="BY187" i="11"/>
  <c r="BZ184" i="11" s="1"/>
  <c r="BY31" i="5"/>
  <c r="BN167" i="11"/>
  <c r="BM19" i="15" s="1"/>
  <c r="BN27" i="5"/>
  <c r="CA54" i="4"/>
  <c r="CA52" i="4"/>
  <c r="CA55" i="4"/>
  <c r="CA53" i="4"/>
  <c r="CA33" i="6"/>
  <c r="BZ175" i="11"/>
  <c r="BZ176" i="11" s="1"/>
  <c r="CA32" i="6"/>
  <c r="BZ170" i="11"/>
  <c r="CA36" i="6"/>
  <c r="BZ190" i="11"/>
  <c r="BZ191" i="11" s="1"/>
  <c r="CA35" i="6"/>
  <c r="BZ185" i="11"/>
  <c r="CA31" i="6"/>
  <c r="BZ166" i="11"/>
  <c r="BZ145" i="11"/>
  <c r="BZ214" i="11"/>
  <c r="CB36" i="10"/>
  <c r="CC4" i="10"/>
  <c r="CB5" i="4"/>
  <c r="CC5" i="2" s="1"/>
  <c r="CC14" i="2" s="1"/>
  <c r="CC5" i="6"/>
  <c r="CB4" i="5"/>
  <c r="CB8" i="6"/>
  <c r="CA7" i="5"/>
  <c r="CB7" i="10"/>
  <c r="CA10" i="6"/>
  <c r="CA9" i="10"/>
  <c r="BZ9" i="5"/>
  <c r="BZ11" i="5"/>
  <c r="CA12" i="6"/>
  <c r="CA11" i="10"/>
  <c r="CB7" i="6"/>
  <c r="CB6" i="10"/>
  <c r="CA6" i="5"/>
  <c r="CA44" i="4"/>
  <c r="CA8" i="4" s="1"/>
  <c r="CB8" i="2" s="1"/>
  <c r="CA36" i="4"/>
  <c r="CA20" i="4"/>
  <c r="CA50" i="4"/>
  <c r="CA31" i="4"/>
  <c r="CA32" i="4" s="1"/>
  <c r="CA33" i="4" s="1"/>
  <c r="CA51" i="4"/>
  <c r="CA29" i="4"/>
  <c r="CA43" i="4"/>
  <c r="CA21" i="4"/>
  <c r="CA41" i="4"/>
  <c r="CA30" i="4"/>
  <c r="CA35" i="4"/>
  <c r="CA24" i="4"/>
  <c r="CA37" i="4"/>
  <c r="CA38" i="4" s="1"/>
  <c r="CA39" i="4" s="1"/>
  <c r="CA18" i="4"/>
  <c r="CA22" i="4"/>
  <c r="CA17" i="4"/>
  <c r="CA48" i="4"/>
  <c r="CA23" i="4"/>
  <c r="CB47" i="10" s="1"/>
  <c r="CA16" i="4"/>
  <c r="CA42" i="4"/>
  <c r="BZ10" i="5"/>
  <c r="CA11" i="6"/>
  <c r="CA10" i="10"/>
  <c r="CA5" i="11"/>
  <c r="CA14" i="11" s="1"/>
  <c r="CA13" i="5"/>
  <c r="CA231" i="11" s="1"/>
  <c r="CA245" i="11" l="1"/>
  <c r="CA235" i="11"/>
  <c r="CB24" i="10"/>
  <c r="CB29" i="6" s="1"/>
  <c r="CB21" i="6"/>
  <c r="CB19" i="10" s="1"/>
  <c r="BZ247" i="11"/>
  <c r="CA244" i="11" s="1"/>
  <c r="BZ250" i="11"/>
  <c r="BZ251" i="11" s="1"/>
  <c r="BZ252" i="11" s="1"/>
  <c r="CA249" i="11" s="1"/>
  <c r="CA72" i="11"/>
  <c r="CA106" i="5" s="1"/>
  <c r="CA67" i="11"/>
  <c r="CA101" i="5" s="1"/>
  <c r="BS19" i="11"/>
  <c r="BR31" i="15" s="1"/>
  <c r="BZ112" i="11"/>
  <c r="CA109" i="11" s="1"/>
  <c r="BZ43" i="5"/>
  <c r="BZ107" i="11"/>
  <c r="CA104" i="11" s="1"/>
  <c r="BZ42" i="5"/>
  <c r="BZ80" i="5"/>
  <c r="BZ29" i="11"/>
  <c r="CA26" i="11" s="1"/>
  <c r="CA105" i="11" s="1"/>
  <c r="CB48" i="6" s="1"/>
  <c r="BZ76" i="5"/>
  <c r="BZ74" i="5" s="1"/>
  <c r="BZ34" i="11"/>
  <c r="CA31" i="11" s="1"/>
  <c r="CA110" i="11" s="1"/>
  <c r="CB49" i="6" s="1"/>
  <c r="BZ79" i="5"/>
  <c r="BZ77" i="5" s="1"/>
  <c r="CA32" i="11"/>
  <c r="CB31" i="10"/>
  <c r="CA37" i="11"/>
  <c r="CA81" i="5" s="1"/>
  <c r="CA27" i="11"/>
  <c r="CE88" i="14"/>
  <c r="BZ9" i="11"/>
  <c r="BY9" i="15"/>
  <c r="BZ11" i="11"/>
  <c r="BY11" i="15"/>
  <c r="CA7" i="11"/>
  <c r="BZ7" i="15"/>
  <c r="CB4" i="11"/>
  <c r="CA4" i="15"/>
  <c r="CB30" i="2"/>
  <c r="CB21" i="2"/>
  <c r="CB25" i="2"/>
  <c r="CB22" i="2"/>
  <c r="CB23" i="2"/>
  <c r="CB24" i="2"/>
  <c r="CA6" i="11"/>
  <c r="BZ6" i="15"/>
  <c r="BZ10" i="11"/>
  <c r="BY10" i="15"/>
  <c r="CA57" i="11"/>
  <c r="CA90" i="5" s="1"/>
  <c r="CA87" i="11"/>
  <c r="CA88" i="11" s="1"/>
  <c r="BV172" i="11"/>
  <c r="CE8" i="14"/>
  <c r="CA8" i="19"/>
  <c r="CF5" i="14"/>
  <c r="CF15" i="14" s="1"/>
  <c r="CB5" i="19"/>
  <c r="CB10" i="16"/>
  <c r="CB54" i="16" s="1"/>
  <c r="CB80" i="16" s="1"/>
  <c r="CC5" i="16"/>
  <c r="CA5" i="17"/>
  <c r="BO164" i="11"/>
  <c r="CB25" i="6"/>
  <c r="CA35" i="5" s="1"/>
  <c r="CB41" i="6"/>
  <c r="CA195" i="11" s="1"/>
  <c r="CA196" i="11" s="1"/>
  <c r="CA39" i="5" s="1"/>
  <c r="BZ192" i="11"/>
  <c r="CA189" i="11" s="1"/>
  <c r="BZ32" i="5"/>
  <c r="BZ177" i="11"/>
  <c r="CA174" i="11" s="1"/>
  <c r="BZ29" i="5"/>
  <c r="BO165" i="11"/>
  <c r="BZ186" i="11"/>
  <c r="BZ157" i="11"/>
  <c r="CB30" i="10"/>
  <c r="CB50" i="10"/>
  <c r="CB48" i="10"/>
  <c r="CB44" i="10"/>
  <c r="CB49" i="10"/>
  <c r="CB46" i="10"/>
  <c r="CB27" i="10"/>
  <c r="CB23" i="10"/>
  <c r="CB26" i="10"/>
  <c r="CB52" i="10"/>
  <c r="CB28" i="10"/>
  <c r="CB53" i="10"/>
  <c r="CB22" i="10"/>
  <c r="CB25" i="10"/>
  <c r="CB45" i="10"/>
  <c r="CA17" i="11"/>
  <c r="CA97" i="11"/>
  <c r="CA47" i="4"/>
  <c r="CA11" i="4" s="1"/>
  <c r="CB11" i="2" s="1"/>
  <c r="CA46" i="4"/>
  <c r="CA10" i="4" s="1"/>
  <c r="CB10" i="2" s="1"/>
  <c r="CA26" i="4"/>
  <c r="CA25" i="4"/>
  <c r="CA45" i="4"/>
  <c r="CA9" i="4" s="1"/>
  <c r="CB9" i="2" s="1"/>
  <c r="CA27" i="4"/>
  <c r="CB9" i="6"/>
  <c r="CA8" i="5"/>
  <c r="CB8" i="10"/>
  <c r="CB14" i="4"/>
  <c r="CB7" i="4"/>
  <c r="CC7" i="2" s="1"/>
  <c r="CB6" i="4"/>
  <c r="CC6" i="2" s="1"/>
  <c r="CC4" i="4"/>
  <c r="CD4" i="2" s="1"/>
  <c r="CC6" i="6"/>
  <c r="CC13" i="6" s="1"/>
  <c r="CC5" i="10"/>
  <c r="CC14" i="10" s="1"/>
  <c r="CB5" i="5"/>
  <c r="CA5" i="15" l="1"/>
  <c r="CA13" i="15" s="1"/>
  <c r="CB137" i="5"/>
  <c r="CB138" i="5"/>
  <c r="CA25" i="5"/>
  <c r="BZ68" i="11"/>
  <c r="BZ102" i="5" s="1"/>
  <c r="BZ27" i="19" s="1"/>
  <c r="BT16" i="11"/>
  <c r="BT18" i="11" s="1"/>
  <c r="BT70" i="5" s="1"/>
  <c r="BT68" i="5" s="1"/>
  <c r="CA246" i="11"/>
  <c r="CB81" i="16"/>
  <c r="CC16" i="6"/>
  <c r="CC60" i="6" s="1"/>
  <c r="CA33" i="11"/>
  <c r="CA78" i="5"/>
  <c r="CA28" i="11"/>
  <c r="CA75" i="5"/>
  <c r="CA111" i="11"/>
  <c r="CA106" i="11"/>
  <c r="CA38" i="11"/>
  <c r="CA39" i="11" s="1"/>
  <c r="CB36" i="11" s="1"/>
  <c r="CF104" i="14"/>
  <c r="CA8" i="11"/>
  <c r="BZ8" i="15"/>
  <c r="BW169" i="11"/>
  <c r="BW171" i="11" s="1"/>
  <c r="BW28" i="5" s="1"/>
  <c r="CF99" i="14"/>
  <c r="CA140" i="11"/>
  <c r="CA61" i="19"/>
  <c r="CB13" i="19"/>
  <c r="CE9" i="14"/>
  <c r="CA9" i="19"/>
  <c r="CE11" i="14"/>
  <c r="CA11" i="19"/>
  <c r="CG4" i="14"/>
  <c r="CC4" i="19"/>
  <c r="CF6" i="14"/>
  <c r="CB6" i="19"/>
  <c r="CF7" i="14"/>
  <c r="CB7" i="19"/>
  <c r="CE10" i="14"/>
  <c r="CA10" i="19"/>
  <c r="BZ5" i="18"/>
  <c r="BZ8" i="18" s="1"/>
  <c r="CA8" i="17"/>
  <c r="CB4" i="17"/>
  <c r="CA4" i="18" s="1"/>
  <c r="CC6" i="16"/>
  <c r="CB30" i="6"/>
  <c r="CA26" i="5"/>
  <c r="CB28" i="6"/>
  <c r="CA24" i="5"/>
  <c r="CA197" i="11"/>
  <c r="CB194" i="11" s="1"/>
  <c r="CB27" i="6"/>
  <c r="CA23" i="5"/>
  <c r="CA69" i="5"/>
  <c r="BZ187" i="11"/>
  <c r="CA184" i="11" s="1"/>
  <c r="BZ31" i="5"/>
  <c r="BO167" i="11"/>
  <c r="BN19" i="15" s="1"/>
  <c r="BO27" i="5"/>
  <c r="CB53" i="4"/>
  <c r="CB55" i="4"/>
  <c r="CB52" i="4"/>
  <c r="CB54" i="4"/>
  <c r="CB33" i="6"/>
  <c r="CA175" i="11"/>
  <c r="CB31" i="6"/>
  <c r="CA166" i="11"/>
  <c r="CB32" i="6"/>
  <c r="CA170" i="11"/>
  <c r="CB36" i="6"/>
  <c r="CA190" i="11"/>
  <c r="CA191" i="11" s="1"/>
  <c r="CB35" i="6"/>
  <c r="CA185" i="11"/>
  <c r="CA145" i="11"/>
  <c r="CA214" i="11"/>
  <c r="CC36" i="10"/>
  <c r="CA11" i="5"/>
  <c r="CB11" i="10"/>
  <c r="CB12" i="6"/>
  <c r="CB7" i="5"/>
  <c r="CC8" i="6"/>
  <c r="CC7" i="10"/>
  <c r="CB5" i="11"/>
  <c r="CB14" i="11" s="1"/>
  <c r="CB13" i="5"/>
  <c r="CB231" i="11" s="1"/>
  <c r="CB11" i="6"/>
  <c r="CA10" i="5"/>
  <c r="CB10" i="10"/>
  <c r="CB44" i="4"/>
  <c r="CB8" i="4" s="1"/>
  <c r="CC8" i="2" s="1"/>
  <c r="CB30" i="4"/>
  <c r="CB22" i="4"/>
  <c r="CB23" i="4"/>
  <c r="CC49" i="10" s="1"/>
  <c r="CB35" i="4"/>
  <c r="CB41" i="4"/>
  <c r="CB21" i="4"/>
  <c r="CB17" i="4"/>
  <c r="CB36" i="4"/>
  <c r="CB31" i="4"/>
  <c r="CB32" i="4" s="1"/>
  <c r="CB33" i="4" s="1"/>
  <c r="CB20" i="4"/>
  <c r="CB48" i="4"/>
  <c r="CB37" i="4"/>
  <c r="CB38" i="4" s="1"/>
  <c r="CB39" i="4" s="1"/>
  <c r="CB29" i="4"/>
  <c r="CB43" i="4"/>
  <c r="CB42" i="4"/>
  <c r="CB16" i="4"/>
  <c r="CB24" i="4"/>
  <c r="CB18" i="4"/>
  <c r="CB50" i="4"/>
  <c r="CB51" i="4"/>
  <c r="CB6" i="5"/>
  <c r="CC6" i="10"/>
  <c r="CC7" i="6"/>
  <c r="CC4" i="5"/>
  <c r="CC5" i="4"/>
  <c r="CD5" i="2" s="1"/>
  <c r="CD14" i="2" s="1"/>
  <c r="CD5" i="6"/>
  <c r="CD4" i="10"/>
  <c r="CA9" i="5"/>
  <c r="CB9" i="10"/>
  <c r="CB10" i="6"/>
  <c r="CB245" i="11" l="1"/>
  <c r="CB235" i="11"/>
  <c r="CC26" i="10"/>
  <c r="CC21" i="6"/>
  <c r="CC19" i="10" s="1"/>
  <c r="CA247" i="11"/>
  <c r="CB244" i="11" s="1"/>
  <c r="CA250" i="11"/>
  <c r="CB72" i="11"/>
  <c r="CB106" i="5" s="1"/>
  <c r="CB67" i="11"/>
  <c r="CB101" i="5" s="1"/>
  <c r="BT19" i="11"/>
  <c r="BS31" i="15" s="1"/>
  <c r="CA107" i="11"/>
  <c r="CB104" i="11" s="1"/>
  <c r="CA42" i="5"/>
  <c r="CA112" i="11"/>
  <c r="CB109" i="11" s="1"/>
  <c r="CA43" i="5"/>
  <c r="CA29" i="11"/>
  <c r="CB26" i="11" s="1"/>
  <c r="CB105" i="11" s="1"/>
  <c r="CC48" i="6" s="1"/>
  <c r="CA76" i="5"/>
  <c r="CA74" i="5" s="1"/>
  <c r="CA34" i="11"/>
  <c r="CB31" i="11" s="1"/>
  <c r="CB110" i="11" s="1"/>
  <c r="CC49" i="6" s="1"/>
  <c r="CA79" i="5"/>
  <c r="CA77" i="5" s="1"/>
  <c r="CB32" i="11"/>
  <c r="CA82" i="5"/>
  <c r="CA80" i="5" s="1"/>
  <c r="CC31" i="10"/>
  <c r="CB37" i="11"/>
  <c r="CB38" i="11" s="1"/>
  <c r="CB82" i="5" s="1"/>
  <c r="CB27" i="11"/>
  <c r="CF88" i="14"/>
  <c r="CC4" i="11"/>
  <c r="CB4" i="15"/>
  <c r="CA10" i="11"/>
  <c r="BZ10" i="15"/>
  <c r="CC30" i="2"/>
  <c r="CC22" i="2"/>
  <c r="CC23" i="2"/>
  <c r="CC24" i="2"/>
  <c r="CC21" i="2"/>
  <c r="CC25" i="2"/>
  <c r="CB6" i="11"/>
  <c r="CA6" i="15"/>
  <c r="CA9" i="11"/>
  <c r="BZ9" i="15"/>
  <c r="CB7" i="11"/>
  <c r="CA7" i="15"/>
  <c r="CA11" i="11"/>
  <c r="BZ11" i="15"/>
  <c r="CB57" i="11"/>
  <c r="CB90" i="5" s="1"/>
  <c r="CB61" i="19" s="1"/>
  <c r="CB87" i="11"/>
  <c r="CB88" i="11" s="1"/>
  <c r="CG5" i="14"/>
  <c r="CG15" i="14" s="1"/>
  <c r="CC5" i="19"/>
  <c r="CF8" i="14"/>
  <c r="CB8" i="19"/>
  <c r="BW172" i="11"/>
  <c r="CB5" i="17"/>
  <c r="CC10" i="16"/>
  <c r="CC54" i="16" s="1"/>
  <c r="CC80" i="16" s="1"/>
  <c r="CD5" i="16"/>
  <c r="CA186" i="11"/>
  <c r="CA31" i="5" s="1"/>
  <c r="BP164" i="11"/>
  <c r="CC41" i="6"/>
  <c r="CB195" i="11" s="1"/>
  <c r="CB196" i="11" s="1"/>
  <c r="CB39" i="5" s="1"/>
  <c r="CC25" i="6"/>
  <c r="CB35" i="5" s="1"/>
  <c r="CA192" i="11"/>
  <c r="CB189" i="11" s="1"/>
  <c r="CA32" i="5"/>
  <c r="BP165" i="11"/>
  <c r="CA176" i="11"/>
  <c r="CA157" i="11"/>
  <c r="CC46" i="10"/>
  <c r="CC44" i="10"/>
  <c r="CC52" i="10"/>
  <c r="CC27" i="10"/>
  <c r="CC23" i="10"/>
  <c r="CC24" i="10"/>
  <c r="CC30" i="10"/>
  <c r="CC22" i="10"/>
  <c r="CC48" i="10"/>
  <c r="CC47" i="10"/>
  <c r="CC28" i="10"/>
  <c r="CC45" i="10"/>
  <c r="CC50" i="10"/>
  <c r="CC25" i="10"/>
  <c r="CC53" i="10"/>
  <c r="CB27" i="4"/>
  <c r="CB26" i="4"/>
  <c r="CB25" i="4"/>
  <c r="CB46" i="4"/>
  <c r="CB10" i="4" s="1"/>
  <c r="CC10" i="2" s="1"/>
  <c r="CB45" i="4"/>
  <c r="CB9" i="4" s="1"/>
  <c r="CC9" i="2" s="1"/>
  <c r="CB47" i="4"/>
  <c r="CB11" i="4" s="1"/>
  <c r="CC11" i="2" s="1"/>
  <c r="CB97" i="11"/>
  <c r="CB17" i="11"/>
  <c r="CB8" i="5"/>
  <c r="CC9" i="6"/>
  <c r="CC8" i="10"/>
  <c r="CC7" i="4"/>
  <c r="CD7" i="2" s="1"/>
  <c r="CD4" i="4"/>
  <c r="CE4" i="2" s="1"/>
  <c r="CC14" i="4"/>
  <c r="CC6" i="4"/>
  <c r="CD6" i="2" s="1"/>
  <c r="CD6" i="6"/>
  <c r="CD13" i="6" s="1"/>
  <c r="CC5" i="5"/>
  <c r="CD5" i="10"/>
  <c r="CD14" i="10" s="1"/>
  <c r="CB5" i="15" l="1"/>
  <c r="CB13" i="15" s="1"/>
  <c r="CC138" i="5"/>
  <c r="CC137" i="5"/>
  <c r="CB166" i="11"/>
  <c r="BQ165" i="11" s="1"/>
  <c r="BQ27" i="5" s="1"/>
  <c r="CC31" i="6"/>
  <c r="CB246" i="11"/>
  <c r="CA251" i="11"/>
  <c r="BU16" i="11"/>
  <c r="BU18" i="11" s="1"/>
  <c r="BU70" i="5" s="1"/>
  <c r="BU68" i="5" s="1"/>
  <c r="CC81" i="16"/>
  <c r="CD16" i="6"/>
  <c r="CD60" i="6" s="1"/>
  <c r="CB33" i="11"/>
  <c r="CB78" i="5"/>
  <c r="CB28" i="11"/>
  <c r="CB75" i="5"/>
  <c r="CB111" i="11"/>
  <c r="CB106" i="11"/>
  <c r="CB81" i="5"/>
  <c r="CB80" i="5" s="1"/>
  <c r="CG104" i="14"/>
  <c r="CB8" i="11"/>
  <c r="CA8" i="15"/>
  <c r="BX169" i="11"/>
  <c r="BX171" i="11" s="1"/>
  <c r="BX28" i="5" s="1"/>
  <c r="CB39" i="11"/>
  <c r="CC36" i="11" s="1"/>
  <c r="CB140" i="11"/>
  <c r="CG99" i="14"/>
  <c r="CC13" i="19"/>
  <c r="CF11" i="14"/>
  <c r="CB11" i="19"/>
  <c r="CF9" i="14"/>
  <c r="CB9" i="19"/>
  <c r="CG6" i="14"/>
  <c r="CC6" i="19"/>
  <c r="CF10" i="14"/>
  <c r="CB10" i="19"/>
  <c r="CH4" i="14"/>
  <c r="CD4" i="19"/>
  <c r="CG7" i="14"/>
  <c r="CC7" i="19"/>
  <c r="CA187" i="11"/>
  <c r="CB184" i="11" s="1"/>
  <c r="CC4" i="17"/>
  <c r="CB4" i="18" s="1"/>
  <c r="CD6" i="16"/>
  <c r="CB8" i="17"/>
  <c r="CA5" i="18"/>
  <c r="CA8" i="18" s="1"/>
  <c r="CB197" i="11"/>
  <c r="CC194" i="11" s="1"/>
  <c r="CC30" i="6"/>
  <c r="CB26" i="5"/>
  <c r="CC27" i="6"/>
  <c r="CB23" i="5"/>
  <c r="CC29" i="6"/>
  <c r="CB25" i="5"/>
  <c r="CC28" i="6"/>
  <c r="CB24" i="5"/>
  <c r="CB69" i="5"/>
  <c r="CA177" i="11"/>
  <c r="CB174" i="11" s="1"/>
  <c r="CA29" i="5"/>
  <c r="BP167" i="11"/>
  <c r="BO19" i="15" s="1"/>
  <c r="BP27" i="5"/>
  <c r="CC54" i="4"/>
  <c r="CC55" i="4"/>
  <c r="CC52" i="4"/>
  <c r="CC53" i="4"/>
  <c r="CC33" i="6"/>
  <c r="CB175" i="11"/>
  <c r="CC36" i="6"/>
  <c r="CB190" i="11"/>
  <c r="CB191" i="11" s="1"/>
  <c r="CC35" i="6"/>
  <c r="CB185" i="11"/>
  <c r="CC32" i="6"/>
  <c r="CB170" i="11"/>
  <c r="CB145" i="11"/>
  <c r="CB214" i="11"/>
  <c r="CD36" i="10"/>
  <c r="CD7" i="10"/>
  <c r="CC7" i="5"/>
  <c r="CD8" i="6"/>
  <c r="CC44" i="4"/>
  <c r="CC8" i="4" s="1"/>
  <c r="CD8" i="2" s="1"/>
  <c r="CC17" i="4"/>
  <c r="CC30" i="4"/>
  <c r="CC43" i="4"/>
  <c r="CC18" i="4"/>
  <c r="CC22" i="4"/>
  <c r="CC16" i="4"/>
  <c r="CC50" i="4"/>
  <c r="CC21" i="4"/>
  <c r="CC41" i="4"/>
  <c r="CC24" i="4"/>
  <c r="CC48" i="4"/>
  <c r="CC29" i="4"/>
  <c r="CC31" i="4"/>
  <c r="CC32" i="4" s="1"/>
  <c r="CC33" i="4" s="1"/>
  <c r="CC42" i="4"/>
  <c r="CC51" i="4"/>
  <c r="CC37" i="4"/>
  <c r="CC38" i="4" s="1"/>
  <c r="CC39" i="4" s="1"/>
  <c r="CC36" i="4"/>
  <c r="CC20" i="4"/>
  <c r="CC35" i="4"/>
  <c r="CC23" i="4"/>
  <c r="CD50" i="10" s="1"/>
  <c r="CC11" i="10"/>
  <c r="CB11" i="5"/>
  <c r="CC12" i="6"/>
  <c r="CE4" i="10"/>
  <c r="CD4" i="5"/>
  <c r="CD5" i="4"/>
  <c r="CE5" i="2" s="1"/>
  <c r="CE14" i="2" s="1"/>
  <c r="CE5" i="6"/>
  <c r="CC11" i="6"/>
  <c r="CB10" i="5"/>
  <c r="CC10" i="10"/>
  <c r="CC10" i="6"/>
  <c r="CB9" i="5"/>
  <c r="CC9" i="10"/>
  <c r="CC5" i="11"/>
  <c r="CC14" i="11" s="1"/>
  <c r="CC13" i="5"/>
  <c r="CC231" i="11" s="1"/>
  <c r="CD6" i="10"/>
  <c r="CD7" i="6"/>
  <c r="CC6" i="5"/>
  <c r="CC245" i="11" l="1"/>
  <c r="CC235" i="11"/>
  <c r="CD23" i="10"/>
  <c r="CD21" i="6"/>
  <c r="CD19" i="10" s="1"/>
  <c r="CA252" i="11"/>
  <c r="CB249" i="11" s="1"/>
  <c r="CA68" i="11"/>
  <c r="CA102" i="5" s="1"/>
  <c r="CA27" i="19" s="1"/>
  <c r="CB247" i="11"/>
  <c r="CC244" i="11" s="1"/>
  <c r="CB250" i="11"/>
  <c r="CC72" i="11"/>
  <c r="CC106" i="5" s="1"/>
  <c r="CC67" i="11"/>
  <c r="CC101" i="5" s="1"/>
  <c r="BU19" i="11"/>
  <c r="BT31" i="15" s="1"/>
  <c r="CB112" i="11"/>
  <c r="CC109" i="11" s="1"/>
  <c r="CB43" i="5"/>
  <c r="CB107" i="11"/>
  <c r="CC104" i="11" s="1"/>
  <c r="CB42" i="5"/>
  <c r="CB29" i="11"/>
  <c r="CC26" i="11" s="1"/>
  <c r="CC105" i="11" s="1"/>
  <c r="CD48" i="6" s="1"/>
  <c r="CB76" i="5"/>
  <c r="CB74" i="5" s="1"/>
  <c r="CB34" i="11"/>
  <c r="CC31" i="11" s="1"/>
  <c r="CC110" i="11" s="1"/>
  <c r="CD49" i="6" s="1"/>
  <c r="CB79" i="5"/>
  <c r="CB77" i="5" s="1"/>
  <c r="CC32" i="11"/>
  <c r="CD31" i="10"/>
  <c r="CC37" i="11"/>
  <c r="CC81" i="5" s="1"/>
  <c r="CC27" i="11"/>
  <c r="CG88" i="14"/>
  <c r="CC6" i="11"/>
  <c r="CB6" i="15"/>
  <c r="CD4" i="11"/>
  <c r="CC4" i="15"/>
  <c r="CB10" i="11"/>
  <c r="CA10" i="15"/>
  <c r="CD21" i="2"/>
  <c r="CD23" i="2"/>
  <c r="CD24" i="2"/>
  <c r="CD25" i="2"/>
  <c r="CD30" i="2"/>
  <c r="CD22" i="2"/>
  <c r="CB11" i="11"/>
  <c r="CA11" i="15"/>
  <c r="CC7" i="11"/>
  <c r="CB7" i="15"/>
  <c r="CB9" i="11"/>
  <c r="CA9" i="15"/>
  <c r="CC57" i="11"/>
  <c r="CC90" i="5" s="1"/>
  <c r="CC87" i="11"/>
  <c r="CC88" i="11" s="1"/>
  <c r="CH5" i="14"/>
  <c r="CH15" i="14" s="1"/>
  <c r="CD5" i="19"/>
  <c r="CG8" i="14"/>
  <c r="CC8" i="19"/>
  <c r="CB186" i="11"/>
  <c r="CB31" i="5" s="1"/>
  <c r="CC5" i="17"/>
  <c r="CD10" i="16"/>
  <c r="CD54" i="16" s="1"/>
  <c r="CD80" i="16" s="1"/>
  <c r="CE5" i="16"/>
  <c r="BX172" i="11"/>
  <c r="BQ164" i="11"/>
  <c r="BQ167" i="11" s="1"/>
  <c r="BP19" i="15" s="1"/>
  <c r="CB176" i="11"/>
  <c r="CB177" i="11" s="1"/>
  <c r="CC174" i="11" s="1"/>
  <c r="CD25" i="6"/>
  <c r="CC35" i="5" s="1"/>
  <c r="CD41" i="6"/>
  <c r="CC195" i="11" s="1"/>
  <c r="CC196" i="11" s="1"/>
  <c r="CC39" i="5" s="1"/>
  <c r="CB192" i="11"/>
  <c r="CC189" i="11" s="1"/>
  <c r="CB32" i="5"/>
  <c r="CB157" i="11"/>
  <c r="CD52" i="10"/>
  <c r="CD27" i="10"/>
  <c r="CD44" i="10"/>
  <c r="CD45" i="10"/>
  <c r="CD30" i="10"/>
  <c r="CD26" i="10"/>
  <c r="CD49" i="10"/>
  <c r="CD28" i="10"/>
  <c r="CD47" i="10"/>
  <c r="CD24" i="10"/>
  <c r="CD46" i="10"/>
  <c r="CD22" i="10"/>
  <c r="CD48" i="10"/>
  <c r="CD25" i="10"/>
  <c r="CD53" i="10"/>
  <c r="CD9" i="6"/>
  <c r="CC8" i="5"/>
  <c r="CD8" i="10"/>
  <c r="CC25" i="4"/>
  <c r="CC45" i="4"/>
  <c r="CC9" i="4" s="1"/>
  <c r="CD9" i="2" s="1"/>
  <c r="CC47" i="4"/>
  <c r="CC11" i="4" s="1"/>
  <c r="CD11" i="2" s="1"/>
  <c r="CC26" i="4"/>
  <c r="CC46" i="4"/>
  <c r="CC10" i="4" s="1"/>
  <c r="CD10" i="2" s="1"/>
  <c r="CC27" i="4"/>
  <c r="CE4" i="4"/>
  <c r="CF4" i="2" s="1"/>
  <c r="CD14" i="4"/>
  <c r="CD7" i="4"/>
  <c r="CE7" i="2" s="1"/>
  <c r="CD6" i="4"/>
  <c r="CE6" i="2" s="1"/>
  <c r="CE6" i="6"/>
  <c r="CE13" i="6" s="1"/>
  <c r="CE5" i="10"/>
  <c r="CE14" i="10" s="1"/>
  <c r="CD5" i="5"/>
  <c r="CC17" i="11"/>
  <c r="CC97" i="11"/>
  <c r="CC5" i="15" l="1"/>
  <c r="CC13" i="15" s="1"/>
  <c r="CD137" i="5"/>
  <c r="CD138" i="5"/>
  <c r="CC24" i="5"/>
  <c r="CD28" i="6"/>
  <c r="CB251" i="11"/>
  <c r="CB68" i="11" s="1"/>
  <c r="CB102" i="5" s="1"/>
  <c r="CB27" i="19" s="1"/>
  <c r="CC246" i="11"/>
  <c r="BV16" i="11"/>
  <c r="BV18" i="11" s="1"/>
  <c r="BV70" i="5" s="1"/>
  <c r="BV68" i="5" s="1"/>
  <c r="CD81" i="16"/>
  <c r="CE16" i="6"/>
  <c r="CE60" i="6" s="1"/>
  <c r="CC33" i="11"/>
  <c r="CC78" i="5"/>
  <c r="CC28" i="11"/>
  <c r="CC75" i="5"/>
  <c r="CC111" i="11"/>
  <c r="CC106" i="11"/>
  <c r="CC38" i="11"/>
  <c r="CC39" i="11" s="1"/>
  <c r="CD36" i="11" s="1"/>
  <c r="CH104" i="14"/>
  <c r="CC8" i="11"/>
  <c r="CB8" i="15"/>
  <c r="CC140" i="11"/>
  <c r="CC61" i="19"/>
  <c r="CB187" i="11"/>
  <c r="CC184" i="11" s="1"/>
  <c r="CH99" i="14"/>
  <c r="CD13" i="19"/>
  <c r="CI4" i="14"/>
  <c r="CE4" i="19"/>
  <c r="CG10" i="14"/>
  <c r="CC10" i="19"/>
  <c r="CG11" i="14"/>
  <c r="CC11" i="19"/>
  <c r="CG9" i="14"/>
  <c r="CC9" i="19"/>
  <c r="CH6" i="14"/>
  <c r="CD6" i="19"/>
  <c r="CH7" i="14"/>
  <c r="CD7" i="19"/>
  <c r="CD4" i="17"/>
  <c r="CC4" i="18" s="1"/>
  <c r="CE6" i="16"/>
  <c r="CC8" i="17"/>
  <c r="CB5" i="18"/>
  <c r="CB8" i="18" s="1"/>
  <c r="CB29" i="5"/>
  <c r="BY169" i="11"/>
  <c r="BR164" i="11"/>
  <c r="CC197" i="11"/>
  <c r="CD194" i="11" s="1"/>
  <c r="CD29" i="6"/>
  <c r="CC25" i="5"/>
  <c r="CD27" i="6"/>
  <c r="CC23" i="5"/>
  <c r="CD30" i="6"/>
  <c r="CC26" i="5"/>
  <c r="CC69" i="5"/>
  <c r="CD55" i="4"/>
  <c r="CD52" i="4"/>
  <c r="CD53" i="4"/>
  <c r="CD54" i="4"/>
  <c r="CD33" i="6"/>
  <c r="CC175" i="11"/>
  <c r="CC176" i="11" s="1"/>
  <c r="CD31" i="6"/>
  <c r="CC166" i="11"/>
  <c r="CC185" i="11"/>
  <c r="CD35" i="6"/>
  <c r="CD36" i="6"/>
  <c r="CC190" i="11"/>
  <c r="CC191" i="11" s="1"/>
  <c r="CC170" i="11"/>
  <c r="CD32" i="6"/>
  <c r="CC145" i="11"/>
  <c r="CC214" i="11"/>
  <c r="CE36" i="10"/>
  <c r="CE7" i="6"/>
  <c r="CE6" i="10"/>
  <c r="CD6" i="5"/>
  <c r="CD10" i="6"/>
  <c r="CC9" i="5"/>
  <c r="CD9" i="10"/>
  <c r="CE8" i="6"/>
  <c r="CD7" i="5"/>
  <c r="CE7" i="10"/>
  <c r="CD44" i="4"/>
  <c r="CD8" i="4" s="1"/>
  <c r="CE8" i="2" s="1"/>
  <c r="CD31" i="4"/>
  <c r="CD32" i="4" s="1"/>
  <c r="CD33" i="4" s="1"/>
  <c r="CD41" i="4"/>
  <c r="CD30" i="4"/>
  <c r="CD50" i="4"/>
  <c r="CD22" i="4"/>
  <c r="CE21" i="6" s="1"/>
  <c r="CE19" i="10" s="1"/>
  <c r="CD23" i="4"/>
  <c r="CE48" i="10" s="1"/>
  <c r="CD17" i="4"/>
  <c r="CD42" i="4"/>
  <c r="CD51" i="4"/>
  <c r="CD20" i="4"/>
  <c r="CD37" i="4"/>
  <c r="CD38" i="4" s="1"/>
  <c r="CD39" i="4" s="1"/>
  <c r="CD43" i="4"/>
  <c r="CD21" i="4"/>
  <c r="CD29" i="4"/>
  <c r="CD18" i="4"/>
  <c r="CD36" i="4"/>
  <c r="CD16" i="4"/>
  <c r="CD48" i="4"/>
  <c r="CD24" i="4"/>
  <c r="CD35" i="4"/>
  <c r="CD11" i="6"/>
  <c r="CC10" i="5"/>
  <c r="CD10" i="10"/>
  <c r="CF5" i="6"/>
  <c r="CF4" i="10"/>
  <c r="CE5" i="4"/>
  <c r="CF5" i="2" s="1"/>
  <c r="CF14" i="2" s="1"/>
  <c r="CE4" i="5"/>
  <c r="CD5" i="11"/>
  <c r="CD14" i="11" s="1"/>
  <c r="CD13" i="5"/>
  <c r="CD231" i="11" s="1"/>
  <c r="CC11" i="5"/>
  <c r="CD12" i="6"/>
  <c r="CD11" i="10"/>
  <c r="CD245" i="11" l="1"/>
  <c r="CD235" i="11"/>
  <c r="CB252" i="11"/>
  <c r="CC249" i="11" s="1"/>
  <c r="CC247" i="11"/>
  <c r="CD244" i="11" s="1"/>
  <c r="CC250" i="11"/>
  <c r="CD72" i="11"/>
  <c r="CD106" i="5" s="1"/>
  <c r="CD67" i="11"/>
  <c r="CD101" i="5" s="1"/>
  <c r="BV19" i="11"/>
  <c r="BW16" i="11" s="1"/>
  <c r="CC112" i="11"/>
  <c r="CD109" i="11" s="1"/>
  <c r="CC43" i="5"/>
  <c r="CC107" i="11"/>
  <c r="CD104" i="11" s="1"/>
  <c r="CC42" i="5"/>
  <c r="CC34" i="11"/>
  <c r="CD31" i="11" s="1"/>
  <c r="CD110" i="11" s="1"/>
  <c r="CE49" i="6" s="1"/>
  <c r="CC79" i="5"/>
  <c r="CC77" i="5" s="1"/>
  <c r="CC29" i="11"/>
  <c r="CD26" i="11" s="1"/>
  <c r="CD105" i="11" s="1"/>
  <c r="CE48" i="6" s="1"/>
  <c r="CC76" i="5"/>
  <c r="CC74" i="5" s="1"/>
  <c r="CC82" i="5"/>
  <c r="CC80" i="5" s="1"/>
  <c r="CD32" i="11"/>
  <c r="CE31" i="10"/>
  <c r="CD190" i="11" s="1"/>
  <c r="CD37" i="11"/>
  <c r="CD81" i="5" s="1"/>
  <c r="CD27" i="11"/>
  <c r="CH88" i="14"/>
  <c r="CC10" i="11"/>
  <c r="CB10" i="15"/>
  <c r="CD7" i="11"/>
  <c r="CC7" i="15"/>
  <c r="CE23" i="2"/>
  <c r="CE30" i="2"/>
  <c r="CE24" i="2"/>
  <c r="CE21" i="2"/>
  <c r="CE22" i="2"/>
  <c r="CE25" i="2"/>
  <c r="CC9" i="11"/>
  <c r="CB9" i="15"/>
  <c r="CD6" i="11"/>
  <c r="CC6" i="15"/>
  <c r="CC11" i="11"/>
  <c r="CB11" i="15"/>
  <c r="CE4" i="11"/>
  <c r="CD4" i="15"/>
  <c r="CC186" i="11"/>
  <c r="CC187" i="11" s="1"/>
  <c r="CD184" i="11" s="1"/>
  <c r="CD57" i="11"/>
  <c r="CD90" i="5" s="1"/>
  <c r="CD87" i="11"/>
  <c r="CD88" i="11" s="1"/>
  <c r="CH8" i="14"/>
  <c r="CD8" i="19"/>
  <c r="CI5" i="14"/>
  <c r="CI15" i="14" s="1"/>
  <c r="CE5" i="19"/>
  <c r="CD5" i="17"/>
  <c r="CE10" i="16"/>
  <c r="CE54" i="16" s="1"/>
  <c r="CE80" i="16" s="1"/>
  <c r="CF5" i="16"/>
  <c r="BY171" i="11"/>
  <c r="BY28" i="5" s="1"/>
  <c r="CE41" i="6"/>
  <c r="CD195" i="11" s="1"/>
  <c r="CD196" i="11" s="1"/>
  <c r="CD39" i="5" s="1"/>
  <c r="CE25" i="6"/>
  <c r="CD35" i="5" s="1"/>
  <c r="CC192" i="11"/>
  <c r="CD189" i="11" s="1"/>
  <c r="CC32" i="5"/>
  <c r="CC177" i="11"/>
  <c r="CD174" i="11" s="1"/>
  <c r="CC29" i="5"/>
  <c r="BR165" i="11"/>
  <c r="CE26" i="10"/>
  <c r="CE30" i="10"/>
  <c r="CC157" i="11"/>
  <c r="CE24" i="10"/>
  <c r="CE44" i="10"/>
  <c r="CE53" i="10"/>
  <c r="CE45" i="10"/>
  <c r="CE28" i="10"/>
  <c r="CE22" i="10"/>
  <c r="CE27" i="10"/>
  <c r="CE47" i="10"/>
  <c r="CE52" i="10"/>
  <c r="CE23" i="10"/>
  <c r="CE49" i="10"/>
  <c r="CE46" i="10"/>
  <c r="CE25" i="10"/>
  <c r="CE50" i="10"/>
  <c r="CE6" i="4"/>
  <c r="CF6" i="2" s="1"/>
  <c r="CE7" i="4"/>
  <c r="CF7" i="2" s="1"/>
  <c r="CE14" i="4"/>
  <c r="CF4" i="4"/>
  <c r="CG4" i="2" s="1"/>
  <c r="CF6" i="6"/>
  <c r="CF13" i="6" s="1"/>
  <c r="CE5" i="5"/>
  <c r="CF5" i="10"/>
  <c r="CF14" i="10" s="1"/>
  <c r="CD25" i="4"/>
  <c r="CD26" i="4"/>
  <c r="CD46" i="4"/>
  <c r="CD10" i="4" s="1"/>
  <c r="CE10" i="2" s="1"/>
  <c r="CD45" i="4"/>
  <c r="CD9" i="4" s="1"/>
  <c r="CE9" i="2" s="1"/>
  <c r="CD47" i="4"/>
  <c r="CD11" i="4" s="1"/>
  <c r="CE11" i="2" s="1"/>
  <c r="CD27" i="4"/>
  <c r="CE8" i="10"/>
  <c r="CD8" i="5"/>
  <c r="CE9" i="6"/>
  <c r="CD17" i="11"/>
  <c r="CD97" i="11"/>
  <c r="CD5" i="15" l="1"/>
  <c r="CD13" i="15" s="1"/>
  <c r="CE138" i="5"/>
  <c r="CE137" i="5"/>
  <c r="CC251" i="11"/>
  <c r="CC68" i="11" s="1"/>
  <c r="CC102" i="5" s="1"/>
  <c r="CC27" i="19" s="1"/>
  <c r="CD246" i="11"/>
  <c r="BU31" i="15"/>
  <c r="CE81" i="16"/>
  <c r="BW18" i="11"/>
  <c r="BW70" i="5" s="1"/>
  <c r="BW68" i="5" s="1"/>
  <c r="CF16" i="6"/>
  <c r="CF60" i="6" s="1"/>
  <c r="CE36" i="6"/>
  <c r="CD33" i="11"/>
  <c r="CD78" i="5"/>
  <c r="CD28" i="11"/>
  <c r="CD76" i="5" s="1"/>
  <c r="CD75" i="5"/>
  <c r="CD111" i="11"/>
  <c r="CD106" i="11"/>
  <c r="CD38" i="11"/>
  <c r="CD39" i="11" s="1"/>
  <c r="CE36" i="11" s="1"/>
  <c r="CI99" i="14"/>
  <c r="CD8" i="11"/>
  <c r="CC8" i="15"/>
  <c r="CC31" i="5"/>
  <c r="CI104" i="14"/>
  <c r="CD140" i="11"/>
  <c r="CD61" i="19"/>
  <c r="CE13" i="19"/>
  <c r="CJ4" i="14"/>
  <c r="CF4" i="19"/>
  <c r="CH10" i="14"/>
  <c r="CD10" i="19"/>
  <c r="CI7" i="14"/>
  <c r="CE7" i="19"/>
  <c r="CH11" i="14"/>
  <c r="CD11" i="19"/>
  <c r="CI6" i="14"/>
  <c r="CE6" i="19"/>
  <c r="CH9" i="14"/>
  <c r="CD9" i="19"/>
  <c r="CE4" i="17"/>
  <c r="CD4" i="18" s="1"/>
  <c r="CF6" i="16"/>
  <c r="CD8" i="17"/>
  <c r="CC5" i="18"/>
  <c r="CC8" i="18" s="1"/>
  <c r="BY172" i="11"/>
  <c r="CE30" i="6"/>
  <c r="CD26" i="5"/>
  <c r="CE27" i="6"/>
  <c r="CD23" i="5"/>
  <c r="CD197" i="11"/>
  <c r="CE194" i="11" s="1"/>
  <c r="CE28" i="6"/>
  <c r="CD24" i="5"/>
  <c r="CE29" i="6"/>
  <c r="CD25" i="5"/>
  <c r="CD191" i="11"/>
  <c r="CD32" i="5" s="1"/>
  <c r="CD69" i="5"/>
  <c r="BR167" i="11"/>
  <c r="BQ19" i="15" s="1"/>
  <c r="BR27" i="5"/>
  <c r="CE55" i="4"/>
  <c r="CE52" i="4"/>
  <c r="CE53" i="4"/>
  <c r="CE54" i="4"/>
  <c r="CE32" i="6"/>
  <c r="CD170" i="11"/>
  <c r="CE33" i="6"/>
  <c r="CD175" i="11"/>
  <c r="CE35" i="6"/>
  <c r="CD185" i="11"/>
  <c r="CD166" i="11"/>
  <c r="CE31" i="6"/>
  <c r="CD145" i="11"/>
  <c r="CD214" i="11"/>
  <c r="CF36" i="10"/>
  <c r="CE10" i="10"/>
  <c r="CD10" i="5"/>
  <c r="CE11" i="6"/>
  <c r="CD9" i="5"/>
  <c r="CE9" i="10"/>
  <c r="CE10" i="6"/>
  <c r="CE5" i="11"/>
  <c r="CE14" i="11" s="1"/>
  <c r="CE13" i="5"/>
  <c r="CE231" i="11" s="1"/>
  <c r="CG5" i="6"/>
  <c r="CF4" i="5"/>
  <c r="CG4" i="10"/>
  <c r="CF5" i="4"/>
  <c r="CG5" i="2" s="1"/>
  <c r="CG14" i="2" s="1"/>
  <c r="CE44" i="4"/>
  <c r="CE8" i="4" s="1"/>
  <c r="CF8" i="2" s="1"/>
  <c r="CE36" i="4"/>
  <c r="CE51" i="4"/>
  <c r="CE43" i="4"/>
  <c r="CE20" i="4"/>
  <c r="CE22" i="4"/>
  <c r="CE23" i="4"/>
  <c r="CF53" i="10" s="1"/>
  <c r="CE48" i="4"/>
  <c r="CE21" i="4"/>
  <c r="CE31" i="4"/>
  <c r="CE32" i="4" s="1"/>
  <c r="CE33" i="4" s="1"/>
  <c r="CE29" i="4"/>
  <c r="CE41" i="4"/>
  <c r="CE50" i="4"/>
  <c r="CE37" i="4"/>
  <c r="CE38" i="4" s="1"/>
  <c r="CE39" i="4" s="1"/>
  <c r="CE30" i="4"/>
  <c r="CE24" i="4"/>
  <c r="CE17" i="4"/>
  <c r="CE35" i="4"/>
  <c r="CE18" i="4"/>
  <c r="CE16" i="4"/>
  <c r="CE42" i="4"/>
  <c r="CF8" i="6"/>
  <c r="CE7" i="5"/>
  <c r="CF7" i="10"/>
  <c r="CE12" i="6"/>
  <c r="CD11" i="5"/>
  <c r="CE11" i="10"/>
  <c r="CF7" i="6"/>
  <c r="CE6" i="5"/>
  <c r="CF6" i="10"/>
  <c r="CE245" i="11" l="1"/>
  <c r="CE235" i="11"/>
  <c r="CF26" i="10"/>
  <c r="CF21" i="6"/>
  <c r="CF19" i="10" s="1"/>
  <c r="CC252" i="11"/>
  <c r="CD249" i="11" s="1"/>
  <c r="CD247" i="11"/>
  <c r="CE244" i="11" s="1"/>
  <c r="CD250" i="11"/>
  <c r="CE72" i="11"/>
  <c r="CE106" i="5" s="1"/>
  <c r="CE67" i="11"/>
  <c r="CE101" i="5" s="1"/>
  <c r="BW19" i="11"/>
  <c r="BV31" i="15" s="1"/>
  <c r="CD112" i="11"/>
  <c r="CE109" i="11" s="1"/>
  <c r="CD43" i="5"/>
  <c r="CD107" i="11"/>
  <c r="CE104" i="11" s="1"/>
  <c r="CD42" i="5"/>
  <c r="CD74" i="5"/>
  <c r="CD29" i="11"/>
  <c r="CE26" i="11" s="1"/>
  <c r="CE105" i="11" s="1"/>
  <c r="CF48" i="6" s="1"/>
  <c r="CD34" i="11"/>
  <c r="CE31" i="11" s="1"/>
  <c r="CE110" i="11" s="1"/>
  <c r="CF49" i="6" s="1"/>
  <c r="CD79" i="5"/>
  <c r="CD77" i="5" s="1"/>
  <c r="CE32" i="11"/>
  <c r="CD82" i="5"/>
  <c r="CD80" i="5" s="1"/>
  <c r="CI88" i="14"/>
  <c r="CF31" i="10"/>
  <c r="CE37" i="11"/>
  <c r="CE38" i="11" s="1"/>
  <c r="CE82" i="5" s="1"/>
  <c r="CE27" i="11"/>
  <c r="CD11" i="11"/>
  <c r="CC11" i="15"/>
  <c r="CD10" i="11"/>
  <c r="CC10" i="15"/>
  <c r="CF4" i="11"/>
  <c r="CE4" i="15"/>
  <c r="CE7" i="11"/>
  <c r="CD7" i="15"/>
  <c r="CE6" i="11"/>
  <c r="CD6" i="15"/>
  <c r="CD9" i="11"/>
  <c r="CC9" i="15"/>
  <c r="CF21" i="2"/>
  <c r="CF23" i="2"/>
  <c r="CF24" i="2"/>
  <c r="CF22" i="2"/>
  <c r="CF30" i="2"/>
  <c r="CF25" i="2"/>
  <c r="BZ169" i="11"/>
  <c r="BZ171" i="11" s="1"/>
  <c r="BZ28" i="5" s="1"/>
  <c r="CE57" i="11"/>
  <c r="CE90" i="5" s="1"/>
  <c r="CE87" i="11"/>
  <c r="CE88" i="11" s="1"/>
  <c r="CI8" i="14"/>
  <c r="CE8" i="19"/>
  <c r="CJ5" i="14"/>
  <c r="CJ15" i="14" s="1"/>
  <c r="CF5" i="19"/>
  <c r="CF10" i="16"/>
  <c r="CF54" i="16" s="1"/>
  <c r="CF80" i="16" s="1"/>
  <c r="CG5" i="16"/>
  <c r="CE5" i="17"/>
  <c r="BS164" i="11"/>
  <c r="CD192" i="11"/>
  <c r="CE189" i="11" s="1"/>
  <c r="CF25" i="6"/>
  <c r="CE35" i="5" s="1"/>
  <c r="CF41" i="6"/>
  <c r="CE195" i="11" s="1"/>
  <c r="CE196" i="11" s="1"/>
  <c r="CE39" i="5" s="1"/>
  <c r="BS165" i="11"/>
  <c r="CD186" i="11"/>
  <c r="CD176" i="11"/>
  <c r="CF50" i="10"/>
  <c r="CF47" i="10"/>
  <c r="CF27" i="10"/>
  <c r="CD157" i="11"/>
  <c r="CF25" i="10"/>
  <c r="CF48" i="10"/>
  <c r="CF24" i="10"/>
  <c r="CF49" i="10"/>
  <c r="CF22" i="10"/>
  <c r="CF30" i="10"/>
  <c r="CF45" i="10"/>
  <c r="CF44" i="10"/>
  <c r="CF52" i="10"/>
  <c r="CF28" i="10"/>
  <c r="CF23" i="10"/>
  <c r="CF46" i="10"/>
  <c r="CF6" i="4"/>
  <c r="CG6" i="2" s="1"/>
  <c r="CF14" i="4"/>
  <c r="CF7" i="4"/>
  <c r="CG7" i="2" s="1"/>
  <c r="CG4" i="4"/>
  <c r="CH4" i="2" s="1"/>
  <c r="CG6" i="6"/>
  <c r="CG13" i="6" s="1"/>
  <c r="CF5" i="5"/>
  <c r="CG5" i="10"/>
  <c r="CG14" i="10" s="1"/>
  <c r="CE45" i="4"/>
  <c r="CE9" i="4" s="1"/>
  <c r="CF9" i="2" s="1"/>
  <c r="CE25" i="4"/>
  <c r="CE27" i="4"/>
  <c r="CE46" i="4"/>
  <c r="CE10" i="4" s="1"/>
  <c r="CF10" i="2" s="1"/>
  <c r="CE26" i="4"/>
  <c r="CE47" i="4"/>
  <c r="CE11" i="4" s="1"/>
  <c r="CF11" i="2" s="1"/>
  <c r="CE17" i="11"/>
  <c r="CE97" i="11"/>
  <c r="CF9" i="6"/>
  <c r="CE8" i="5"/>
  <c r="CF8" i="10"/>
  <c r="CE5" i="15" l="1"/>
  <c r="CE13" i="15" s="1"/>
  <c r="CF137" i="5"/>
  <c r="CF138" i="5"/>
  <c r="CE166" i="11"/>
  <c r="BT165" i="11" s="1"/>
  <c r="CF31" i="6"/>
  <c r="CD251" i="11"/>
  <c r="CD252" i="11" s="1"/>
  <c r="CE249" i="11" s="1"/>
  <c r="BX16" i="11"/>
  <c r="BX18" i="11" s="1"/>
  <c r="BX70" i="5" s="1"/>
  <c r="BX68" i="5" s="1"/>
  <c r="CF81" i="16"/>
  <c r="CG16" i="6"/>
  <c r="CG60" i="6" s="1"/>
  <c r="CE28" i="11"/>
  <c r="CE75" i="5"/>
  <c r="CE33" i="11"/>
  <c r="CE78" i="5"/>
  <c r="CE111" i="11"/>
  <c r="CE106" i="11"/>
  <c r="CE81" i="5"/>
  <c r="CE80" i="5" s="1"/>
  <c r="CJ104" i="14"/>
  <c r="CE8" i="11"/>
  <c r="CD8" i="15"/>
  <c r="CE39" i="11"/>
  <c r="CF36" i="11" s="1"/>
  <c r="CJ99" i="14"/>
  <c r="CE140" i="11"/>
  <c r="CE61" i="19"/>
  <c r="CF13" i="19"/>
  <c r="CI9" i="14"/>
  <c r="CE9" i="19"/>
  <c r="CI10" i="14"/>
  <c r="CE10" i="19"/>
  <c r="CK4" i="14"/>
  <c r="CG4" i="19"/>
  <c r="CJ7" i="14"/>
  <c r="CF7" i="19"/>
  <c r="CI11" i="14"/>
  <c r="CE11" i="19"/>
  <c r="CJ6" i="14"/>
  <c r="CF6" i="19"/>
  <c r="CG6" i="16"/>
  <c r="CF4" i="17"/>
  <c r="CE4" i="18" s="1"/>
  <c r="CE8" i="17"/>
  <c r="CD5" i="18"/>
  <c r="CD8" i="18" s="1"/>
  <c r="BZ172" i="11"/>
  <c r="CF27" i="6"/>
  <c r="CE23" i="5"/>
  <c r="CE197" i="11"/>
  <c r="CF194" i="11" s="1"/>
  <c r="CF29" i="6"/>
  <c r="CE25" i="5"/>
  <c r="CF28" i="6"/>
  <c r="CE24" i="5"/>
  <c r="CF30" i="6"/>
  <c r="CE26" i="5"/>
  <c r="CE69" i="5"/>
  <c r="CD177" i="11"/>
  <c r="CE174" i="11" s="1"/>
  <c r="CD29" i="5"/>
  <c r="CD187" i="11"/>
  <c r="CE184" i="11" s="1"/>
  <c r="CD31" i="5"/>
  <c r="BS167" i="11"/>
  <c r="BR19" i="15" s="1"/>
  <c r="BS27" i="5"/>
  <c r="CF55" i="4"/>
  <c r="CF54" i="4"/>
  <c r="CF52" i="4"/>
  <c r="CF53" i="4"/>
  <c r="CF33" i="6"/>
  <c r="CE175" i="11"/>
  <c r="CF36" i="6"/>
  <c r="CE190" i="11"/>
  <c r="CE191" i="11" s="1"/>
  <c r="CF35" i="6"/>
  <c r="CE185" i="11"/>
  <c r="CF32" i="6"/>
  <c r="CE170" i="11"/>
  <c r="CE145" i="11"/>
  <c r="CE214" i="11"/>
  <c r="CG36" i="10"/>
  <c r="CH5" i="6"/>
  <c r="CG4" i="5"/>
  <c r="CG5" i="4"/>
  <c r="CH5" i="2" s="1"/>
  <c r="CH14" i="2" s="1"/>
  <c r="CH4" i="10"/>
  <c r="CF44" i="4"/>
  <c r="CF8" i="4" s="1"/>
  <c r="CG8" i="2" s="1"/>
  <c r="CF41" i="4"/>
  <c r="CF29" i="4"/>
  <c r="CF50" i="4"/>
  <c r="CF30" i="4"/>
  <c r="CF20" i="4"/>
  <c r="CF24" i="4"/>
  <c r="CF16" i="4"/>
  <c r="CF43" i="4"/>
  <c r="CF17" i="4"/>
  <c r="CF31" i="4"/>
  <c r="CF32" i="4" s="1"/>
  <c r="CF33" i="4" s="1"/>
  <c r="CF23" i="4"/>
  <c r="CG47" i="10" s="1"/>
  <c r="CF21" i="4"/>
  <c r="CF35" i="4"/>
  <c r="CF48" i="4"/>
  <c r="CF51" i="4"/>
  <c r="CF42" i="4"/>
  <c r="CF37" i="4"/>
  <c r="CF38" i="4" s="1"/>
  <c r="CF39" i="4" s="1"/>
  <c r="CF36" i="4"/>
  <c r="CF18" i="4"/>
  <c r="CF22" i="4"/>
  <c r="CF5" i="11"/>
  <c r="CF14" i="11" s="1"/>
  <c r="CF13" i="5"/>
  <c r="CF231" i="11" s="1"/>
  <c r="CG7" i="6"/>
  <c r="CG6" i="10"/>
  <c r="CF6" i="5"/>
  <c r="CF12" i="6"/>
  <c r="CE11" i="5"/>
  <c r="CF11" i="10"/>
  <c r="CE10" i="5"/>
  <c r="CF11" i="6"/>
  <c r="CF10" i="10"/>
  <c r="CG8" i="6"/>
  <c r="CF7" i="5"/>
  <c r="CG7" i="10"/>
  <c r="CF10" i="6"/>
  <c r="CF9" i="10"/>
  <c r="CE9" i="5"/>
  <c r="CF245" i="11" l="1"/>
  <c r="CF235" i="11"/>
  <c r="CG31" i="10"/>
  <c r="CG21" i="6"/>
  <c r="CG19" i="10" s="1"/>
  <c r="CD68" i="11"/>
  <c r="CD102" i="5" s="1"/>
  <c r="CD27" i="19" s="1"/>
  <c r="CE246" i="11"/>
  <c r="CE250" i="11"/>
  <c r="CE251" i="11" s="1"/>
  <c r="CE252" i="11" s="1"/>
  <c r="CF249" i="11" s="1"/>
  <c r="CF72" i="11"/>
  <c r="CF106" i="5" s="1"/>
  <c r="CF67" i="11"/>
  <c r="CF101" i="5" s="1"/>
  <c r="BX19" i="11"/>
  <c r="BW31" i="15" s="1"/>
  <c r="CE107" i="11"/>
  <c r="CF104" i="11" s="1"/>
  <c r="CE42" i="5"/>
  <c r="CE112" i="11"/>
  <c r="CF109" i="11" s="1"/>
  <c r="CE43" i="5"/>
  <c r="CE34" i="11"/>
  <c r="CF31" i="11" s="1"/>
  <c r="CF110" i="11" s="1"/>
  <c r="CG49" i="6" s="1"/>
  <c r="CE79" i="5"/>
  <c r="CE77" i="5" s="1"/>
  <c r="CE29" i="11"/>
  <c r="CF26" i="11" s="1"/>
  <c r="CF105" i="11" s="1"/>
  <c r="CG48" i="6" s="1"/>
  <c r="CE76" i="5"/>
  <c r="CE74" i="5" s="1"/>
  <c r="CF32" i="11"/>
  <c r="CF37" i="11"/>
  <c r="CF38" i="11" s="1"/>
  <c r="CF82" i="5" s="1"/>
  <c r="CF27" i="11"/>
  <c r="CJ88" i="14"/>
  <c r="CE10" i="11"/>
  <c r="CD10" i="15"/>
  <c r="CE9" i="11"/>
  <c r="CD9" i="15"/>
  <c r="CF6" i="11"/>
  <c r="CE6" i="15"/>
  <c r="CE11" i="11"/>
  <c r="CD11" i="15"/>
  <c r="CG22" i="2"/>
  <c r="CG21" i="2"/>
  <c r="CG25" i="2"/>
  <c r="CG23" i="2"/>
  <c r="CG24" i="2"/>
  <c r="CG30" i="2"/>
  <c r="CF7" i="11"/>
  <c r="CE7" i="15"/>
  <c r="CG4" i="11"/>
  <c r="CF4" i="15"/>
  <c r="CF57" i="11"/>
  <c r="CF90" i="5" s="1"/>
  <c r="CF87" i="11"/>
  <c r="CF88" i="11" s="1"/>
  <c r="CJ8" i="14"/>
  <c r="CF8" i="19"/>
  <c r="CK5" i="14"/>
  <c r="CK15" i="14" s="1"/>
  <c r="CG5" i="19"/>
  <c r="CF5" i="17"/>
  <c r="CG10" i="16"/>
  <c r="CG54" i="16" s="1"/>
  <c r="CG80" i="16" s="1"/>
  <c r="CH5" i="16"/>
  <c r="CA169" i="11"/>
  <c r="BT164" i="11"/>
  <c r="BT167" i="11" s="1"/>
  <c r="BS19" i="15" s="1"/>
  <c r="CG41" i="6"/>
  <c r="CF195" i="11" s="1"/>
  <c r="CF196" i="11" s="1"/>
  <c r="CF39" i="5" s="1"/>
  <c r="CG25" i="6"/>
  <c r="CF35" i="5" s="1"/>
  <c r="CE186" i="11"/>
  <c r="CE31" i="5" s="1"/>
  <c r="CE176" i="11"/>
  <c r="CE177" i="11" s="1"/>
  <c r="CF174" i="11" s="1"/>
  <c r="CE192" i="11"/>
  <c r="CF189" i="11" s="1"/>
  <c r="CE32" i="5"/>
  <c r="BT27" i="5"/>
  <c r="CG52" i="10"/>
  <c r="CG46" i="10"/>
  <c r="CG45" i="10"/>
  <c r="CG50" i="10"/>
  <c r="CG49" i="10"/>
  <c r="CE157" i="11"/>
  <c r="CG27" i="10"/>
  <c r="CG48" i="10"/>
  <c r="CG25" i="10"/>
  <c r="CG30" i="10"/>
  <c r="CG26" i="10"/>
  <c r="CG28" i="10"/>
  <c r="CG24" i="10"/>
  <c r="CG44" i="10"/>
  <c r="CG53" i="10"/>
  <c r="CG22" i="10"/>
  <c r="CG23" i="10"/>
  <c r="CG9" i="6"/>
  <c r="CF8" i="5"/>
  <c r="CG8" i="10"/>
  <c r="CF97" i="11"/>
  <c r="CF17" i="11"/>
  <c r="CH4" i="4"/>
  <c r="CI4" i="2" s="1"/>
  <c r="CG6" i="4"/>
  <c r="CH6" i="2" s="1"/>
  <c r="CG14" i="4"/>
  <c r="CG7" i="4"/>
  <c r="CH7" i="2" s="1"/>
  <c r="CH6" i="6"/>
  <c r="CH13" i="6" s="1"/>
  <c r="CG5" i="5"/>
  <c r="CH5" i="10"/>
  <c r="CH14" i="10" s="1"/>
  <c r="CF46" i="4"/>
  <c r="CF10" i="4" s="1"/>
  <c r="CG10" i="2" s="1"/>
  <c r="CF47" i="4"/>
  <c r="CF11" i="4" s="1"/>
  <c r="CG11" i="2" s="1"/>
  <c r="CF27" i="4"/>
  <c r="CF25" i="4"/>
  <c r="CF45" i="4"/>
  <c r="CF9" i="4" s="1"/>
  <c r="CG9" i="2" s="1"/>
  <c r="CF26" i="4"/>
  <c r="CF5" i="15" l="1"/>
  <c r="CF13" i="15" s="1"/>
  <c r="CG137" i="5"/>
  <c r="CG138" i="5"/>
  <c r="CF190" i="11"/>
  <c r="CF191" i="11" s="1"/>
  <c r="CF32" i="5" s="1"/>
  <c r="CG36" i="6"/>
  <c r="CE247" i="11"/>
  <c r="CF244" i="11" s="1"/>
  <c r="CE68" i="11"/>
  <c r="CE102" i="5" s="1"/>
  <c r="CE27" i="19" s="1"/>
  <c r="BY16" i="11"/>
  <c r="BY18" i="11" s="1"/>
  <c r="BY70" i="5" s="1"/>
  <c r="BY68" i="5" s="1"/>
  <c r="CG81" i="16"/>
  <c r="CH16" i="6"/>
  <c r="CH60" i="6" s="1"/>
  <c r="CF81" i="5"/>
  <c r="CF80" i="5" s="1"/>
  <c r="CF28" i="11"/>
  <c r="CF76" i="5" s="1"/>
  <c r="CF75" i="5"/>
  <c r="CF33" i="11"/>
  <c r="CF78" i="5"/>
  <c r="CF111" i="11"/>
  <c r="CF106" i="11"/>
  <c r="CK104" i="14"/>
  <c r="CF8" i="11"/>
  <c r="CE8" i="15"/>
  <c r="CF39" i="11"/>
  <c r="CG36" i="11" s="1"/>
  <c r="CK99" i="14"/>
  <c r="CF140" i="11"/>
  <c r="CF61" i="19"/>
  <c r="CG13" i="19"/>
  <c r="CK7" i="14"/>
  <c r="CG7" i="19"/>
  <c r="CK6" i="14"/>
  <c r="CG6" i="19"/>
  <c r="CJ9" i="14"/>
  <c r="CF9" i="19"/>
  <c r="CL4" i="14"/>
  <c r="CH4" i="19"/>
  <c r="CJ11" i="14"/>
  <c r="CF11" i="19"/>
  <c r="CJ10" i="14"/>
  <c r="CF10" i="19"/>
  <c r="CH6" i="16"/>
  <c r="CG4" i="17"/>
  <c r="CF4" i="18" s="1"/>
  <c r="CF8" i="17"/>
  <c r="CE5" i="18"/>
  <c r="CE8" i="18" s="1"/>
  <c r="CA171" i="11"/>
  <c r="CA28" i="5" s="1"/>
  <c r="BU164" i="11"/>
  <c r="CE187" i="11"/>
  <c r="CF184" i="11" s="1"/>
  <c r="CE29" i="5"/>
  <c r="CG28" i="6"/>
  <c r="CF24" i="5"/>
  <c r="CG27" i="6"/>
  <c r="CF23" i="5"/>
  <c r="CG30" i="6"/>
  <c r="CF26" i="5"/>
  <c r="CG29" i="6"/>
  <c r="CF25" i="5"/>
  <c r="CF197" i="11"/>
  <c r="CG194" i="11" s="1"/>
  <c r="CF69" i="5"/>
  <c r="CG53" i="4"/>
  <c r="CG52" i="4"/>
  <c r="CG55" i="4"/>
  <c r="CG54" i="4"/>
  <c r="CF175" i="11"/>
  <c r="CG33" i="6"/>
  <c r="CF166" i="11"/>
  <c r="CG31" i="6"/>
  <c r="CG35" i="6"/>
  <c r="CF185" i="11"/>
  <c r="CG32" i="6"/>
  <c r="CF170" i="11"/>
  <c r="CF145" i="11"/>
  <c r="CF214" i="11"/>
  <c r="CH36" i="10"/>
  <c r="CH7" i="10"/>
  <c r="CG7" i="5"/>
  <c r="CH8" i="6"/>
  <c r="CG44" i="4"/>
  <c r="CG8" i="4" s="1"/>
  <c r="CH8" i="2" s="1"/>
  <c r="CG16" i="4"/>
  <c r="CG35" i="4"/>
  <c r="CG41" i="4"/>
  <c r="CG30" i="4"/>
  <c r="CG37" i="4"/>
  <c r="CG38" i="4" s="1"/>
  <c r="CG39" i="4" s="1"/>
  <c r="CG36" i="4"/>
  <c r="CG22" i="4"/>
  <c r="CG43" i="4"/>
  <c r="CG24" i="4"/>
  <c r="CG29" i="4"/>
  <c r="CG23" i="4"/>
  <c r="CH52" i="10" s="1"/>
  <c r="CG17" i="4"/>
  <c r="CG48" i="4"/>
  <c r="CG21" i="4"/>
  <c r="CG51" i="4"/>
  <c r="CG20" i="4"/>
  <c r="CG18" i="4"/>
  <c r="CG42" i="4"/>
  <c r="CG50" i="4"/>
  <c r="CG31" i="4"/>
  <c r="CG32" i="4" s="1"/>
  <c r="CG33" i="4" s="1"/>
  <c r="CG5" i="11"/>
  <c r="CG14" i="11" s="1"/>
  <c r="CG13" i="5"/>
  <c r="CG231" i="11" s="1"/>
  <c r="CH5" i="4"/>
  <c r="CI5" i="2" s="1"/>
  <c r="CI14" i="2" s="1"/>
  <c r="CH4" i="5"/>
  <c r="CI4" i="10"/>
  <c r="CI5" i="6"/>
  <c r="CG6" i="5"/>
  <c r="CH7" i="6"/>
  <c r="CH6" i="10"/>
  <c r="CG9" i="10"/>
  <c r="CG10" i="6"/>
  <c r="CF9" i="5"/>
  <c r="CG11" i="10"/>
  <c r="CG12" i="6"/>
  <c r="CF11" i="5"/>
  <c r="CG11" i="6"/>
  <c r="CF10" i="5"/>
  <c r="CG10" i="10"/>
  <c r="CG245" i="11" l="1"/>
  <c r="CG235" i="11"/>
  <c r="CH24" i="10"/>
  <c r="CH21" i="6"/>
  <c r="CH19" i="10" s="1"/>
  <c r="CF250" i="11"/>
  <c r="CF251" i="11" s="1"/>
  <c r="CF252" i="11" s="1"/>
  <c r="CG249" i="11" s="1"/>
  <c r="CF246" i="11"/>
  <c r="CG67" i="11"/>
  <c r="CG101" i="5" s="1"/>
  <c r="CG72" i="11"/>
  <c r="CG106" i="5" s="1"/>
  <c r="BY19" i="11"/>
  <c r="BX31" i="15" s="1"/>
  <c r="CF29" i="11"/>
  <c r="CG26" i="11" s="1"/>
  <c r="CG105" i="11" s="1"/>
  <c r="CH48" i="6" s="1"/>
  <c r="CF74" i="5"/>
  <c r="CF107" i="11"/>
  <c r="CG104" i="11" s="1"/>
  <c r="CF42" i="5"/>
  <c r="CF112" i="11"/>
  <c r="CG109" i="11" s="1"/>
  <c r="CF43" i="5"/>
  <c r="CF34" i="11"/>
  <c r="CG31" i="11" s="1"/>
  <c r="CG110" i="11" s="1"/>
  <c r="CH49" i="6" s="1"/>
  <c r="CF79" i="5"/>
  <c r="CF77" i="5" s="1"/>
  <c r="CG32" i="11"/>
  <c r="CH31" i="10"/>
  <c r="CG37" i="11"/>
  <c r="CG81" i="5" s="1"/>
  <c r="CG27" i="11"/>
  <c r="CK88" i="14"/>
  <c r="CF9" i="11"/>
  <c r="CE9" i="15"/>
  <c r="CG7" i="11"/>
  <c r="CF7" i="15"/>
  <c r="CG6" i="11"/>
  <c r="CF6" i="15"/>
  <c r="CF11" i="11"/>
  <c r="CE11" i="15"/>
  <c r="CF10" i="11"/>
  <c r="CE10" i="15"/>
  <c r="CH4" i="11"/>
  <c r="CG4" i="15"/>
  <c r="CH24" i="2"/>
  <c r="CH23" i="2"/>
  <c r="CH21" i="2"/>
  <c r="CH22" i="2"/>
  <c r="CH25" i="2"/>
  <c r="CH30" i="2"/>
  <c r="CG57" i="11"/>
  <c r="CG90" i="5" s="1"/>
  <c r="CG87" i="11"/>
  <c r="CG88" i="11" s="1"/>
  <c r="CL5" i="14"/>
  <c r="CL15" i="14" s="1"/>
  <c r="CH5" i="19"/>
  <c r="CK8" i="14"/>
  <c r="CG8" i="19"/>
  <c r="CG5" i="17"/>
  <c r="CH10" i="16"/>
  <c r="CH54" i="16" s="1"/>
  <c r="CH80" i="16" s="1"/>
  <c r="CI5" i="16"/>
  <c r="CA172" i="11"/>
  <c r="CF192" i="11"/>
  <c r="CG189" i="11" s="1"/>
  <c r="CH41" i="6"/>
  <c r="CG195" i="11" s="1"/>
  <c r="CG196" i="11" s="1"/>
  <c r="CG39" i="5" s="1"/>
  <c r="CH25" i="6"/>
  <c r="CG35" i="5" s="1"/>
  <c r="BU165" i="11"/>
  <c r="CF176" i="11"/>
  <c r="CH44" i="10"/>
  <c r="CF186" i="11"/>
  <c r="CH26" i="10"/>
  <c r="CG166" i="11" s="1"/>
  <c r="CF157" i="11"/>
  <c r="CH46" i="10"/>
  <c r="CH30" i="10"/>
  <c r="CH27" i="10"/>
  <c r="CH22" i="10"/>
  <c r="CH48" i="10"/>
  <c r="CH23" i="10"/>
  <c r="CH50" i="10"/>
  <c r="CH53" i="10"/>
  <c r="CH28" i="10"/>
  <c r="CH47" i="10"/>
  <c r="CH49" i="10"/>
  <c r="CH25" i="10"/>
  <c r="CH45" i="10"/>
  <c r="CH14" i="4"/>
  <c r="CH7" i="4"/>
  <c r="CI7" i="2" s="1"/>
  <c r="CI4" i="4"/>
  <c r="CJ4" i="2" s="1"/>
  <c r="CH6" i="4"/>
  <c r="CI6" i="2" s="1"/>
  <c r="CI6" i="6"/>
  <c r="CI13" i="6" s="1"/>
  <c r="CI5" i="10"/>
  <c r="CI14" i="10" s="1"/>
  <c r="CH5" i="5"/>
  <c r="CG45" i="4"/>
  <c r="CG9" i="4" s="1"/>
  <c r="CH9" i="2" s="1"/>
  <c r="CG46" i="4"/>
  <c r="CG10" i="4" s="1"/>
  <c r="CH10" i="2" s="1"/>
  <c r="CG25" i="4"/>
  <c r="CG47" i="4"/>
  <c r="CG11" i="4" s="1"/>
  <c r="CH11" i="2" s="1"/>
  <c r="CG27" i="4"/>
  <c r="CG26" i="4"/>
  <c r="CH8" i="10"/>
  <c r="CG8" i="5"/>
  <c r="CH9" i="6"/>
  <c r="CG97" i="11"/>
  <c r="CG17" i="11"/>
  <c r="CG5" i="15" l="1"/>
  <c r="CG13" i="15" s="1"/>
  <c r="CH138" i="5"/>
  <c r="CH137" i="5"/>
  <c r="CH29" i="6"/>
  <c r="CG25" i="5"/>
  <c r="CF247" i="11"/>
  <c r="CG244" i="11" s="1"/>
  <c r="CF68" i="11"/>
  <c r="CF102" i="5" s="1"/>
  <c r="CF27" i="19" s="1"/>
  <c r="BZ16" i="11"/>
  <c r="BZ18" i="11" s="1"/>
  <c r="CH81" i="16"/>
  <c r="CI16" i="6"/>
  <c r="CI60" i="6" s="1"/>
  <c r="CG33" i="11"/>
  <c r="CG78" i="5"/>
  <c r="CG28" i="11"/>
  <c r="CG75" i="5"/>
  <c r="CG111" i="11"/>
  <c r="CG106" i="11"/>
  <c r="CG38" i="11"/>
  <c r="CG82" i="5" s="1"/>
  <c r="CG80" i="5" s="1"/>
  <c r="CL99" i="14"/>
  <c r="CG8" i="11"/>
  <c r="CF8" i="15"/>
  <c r="CB169" i="11"/>
  <c r="CB171" i="11" s="1"/>
  <c r="CB28" i="5" s="1"/>
  <c r="CL104" i="14"/>
  <c r="CG140" i="11"/>
  <c r="CG61" i="19"/>
  <c r="CH13" i="19"/>
  <c r="CM4" i="14"/>
  <c r="CI4" i="19"/>
  <c r="CL7" i="14"/>
  <c r="CH7" i="19"/>
  <c r="CK11" i="14"/>
  <c r="CG11" i="19"/>
  <c r="CK10" i="14"/>
  <c r="CG10" i="19"/>
  <c r="CK9" i="14"/>
  <c r="CG9" i="19"/>
  <c r="CL6" i="14"/>
  <c r="CH6" i="19"/>
  <c r="CG8" i="17"/>
  <c r="CF5" i="18"/>
  <c r="CF8" i="18" s="1"/>
  <c r="CH4" i="17"/>
  <c r="CG4" i="18" s="1"/>
  <c r="CI6" i="16"/>
  <c r="CG197" i="11"/>
  <c r="CH194" i="11" s="1"/>
  <c r="CH27" i="6"/>
  <c r="CG23" i="5"/>
  <c r="CH30" i="6"/>
  <c r="CG26" i="5"/>
  <c r="CH28" i="6"/>
  <c r="CG24" i="5"/>
  <c r="CG69" i="5"/>
  <c r="CF187" i="11"/>
  <c r="CG184" i="11" s="1"/>
  <c r="CF31" i="5"/>
  <c r="CF177" i="11"/>
  <c r="CG174" i="11" s="1"/>
  <c r="CF29" i="5"/>
  <c r="BU167" i="11"/>
  <c r="BT19" i="15" s="1"/>
  <c r="BU27" i="5"/>
  <c r="BV165" i="11"/>
  <c r="CH31" i="6"/>
  <c r="CH53" i="4"/>
  <c r="CH55" i="4"/>
  <c r="CH52" i="4"/>
  <c r="CH54" i="4"/>
  <c r="CH33" i="6"/>
  <c r="CG175" i="11"/>
  <c r="CG190" i="11"/>
  <c r="CG191" i="11" s="1"/>
  <c r="CH36" i="6"/>
  <c r="CH32" i="6"/>
  <c r="CG170" i="11"/>
  <c r="CH35" i="6"/>
  <c r="CG185" i="11"/>
  <c r="CG145" i="11"/>
  <c r="CG214" i="11"/>
  <c r="CI36" i="10"/>
  <c r="CH10" i="6"/>
  <c r="CH9" i="10"/>
  <c r="CG9" i="5"/>
  <c r="CH5" i="11"/>
  <c r="CH14" i="11" s="1"/>
  <c r="CH13" i="5"/>
  <c r="CH231" i="11" s="1"/>
  <c r="CI7" i="6"/>
  <c r="CH6" i="5"/>
  <c r="CI6" i="10"/>
  <c r="CI5" i="4"/>
  <c r="CJ5" i="2" s="1"/>
  <c r="CJ14" i="2" s="1"/>
  <c r="CJ5" i="6"/>
  <c r="CJ4" i="10"/>
  <c r="CI4" i="5"/>
  <c r="CH7" i="5"/>
  <c r="CI7" i="10"/>
  <c r="CI8" i="6"/>
  <c r="CH12" i="6"/>
  <c r="CH11" i="10"/>
  <c r="CG11" i="5"/>
  <c r="CH44" i="4"/>
  <c r="CH8" i="4" s="1"/>
  <c r="CI8" i="2" s="1"/>
  <c r="CH43" i="4"/>
  <c r="CH23" i="4"/>
  <c r="CI53" i="10" s="1"/>
  <c r="CH42" i="4"/>
  <c r="CH22" i="4"/>
  <c r="CH50" i="4"/>
  <c r="CH24" i="4"/>
  <c r="CH41" i="4"/>
  <c r="CH36" i="4"/>
  <c r="CH20" i="4"/>
  <c r="CH16" i="4"/>
  <c r="CH17" i="4"/>
  <c r="CH18" i="4"/>
  <c r="CH31" i="4"/>
  <c r="CH32" i="4" s="1"/>
  <c r="CH33" i="4" s="1"/>
  <c r="CH35" i="4"/>
  <c r="CH37" i="4"/>
  <c r="CH38" i="4" s="1"/>
  <c r="CH39" i="4" s="1"/>
  <c r="CH29" i="4"/>
  <c r="CH30" i="4"/>
  <c r="CH51" i="4"/>
  <c r="CH48" i="4"/>
  <c r="CH21" i="4"/>
  <c r="CG10" i="5"/>
  <c r="CH10" i="10"/>
  <c r="CH11" i="6"/>
  <c r="CH245" i="11" l="1"/>
  <c r="CH235" i="11"/>
  <c r="CI24" i="10"/>
  <c r="CI21" i="6"/>
  <c r="CI19" i="10" s="1"/>
  <c r="CG246" i="11"/>
  <c r="CG247" i="11" s="1"/>
  <c r="CH244" i="11" s="1"/>
  <c r="CG250" i="11"/>
  <c r="CG251" i="11" s="1"/>
  <c r="CG252" i="11" s="1"/>
  <c r="CH249" i="11" s="1"/>
  <c r="CH72" i="11"/>
  <c r="CH106" i="5" s="1"/>
  <c r="CH67" i="11"/>
  <c r="CH101" i="5" s="1"/>
  <c r="BZ70" i="5"/>
  <c r="BZ68" i="5" s="1"/>
  <c r="BZ19" i="11"/>
  <c r="CA16" i="11" s="1"/>
  <c r="CG107" i="11"/>
  <c r="CH104" i="11" s="1"/>
  <c r="CG42" i="5"/>
  <c r="CG112" i="11"/>
  <c r="CH109" i="11" s="1"/>
  <c r="CG43" i="5"/>
  <c r="CG29" i="11"/>
  <c r="CH26" i="11" s="1"/>
  <c r="CH105" i="11" s="1"/>
  <c r="CI48" i="6" s="1"/>
  <c r="CG76" i="5"/>
  <c r="CG74" i="5" s="1"/>
  <c r="CG34" i="11"/>
  <c r="CH31" i="11" s="1"/>
  <c r="CH110" i="11" s="1"/>
  <c r="CI49" i="6" s="1"/>
  <c r="CG79" i="5"/>
  <c r="CG77" i="5" s="1"/>
  <c r="CH32" i="11"/>
  <c r="CG39" i="11"/>
  <c r="CH36" i="11" s="1"/>
  <c r="CI31" i="10"/>
  <c r="CL88" i="14"/>
  <c r="CH37" i="11"/>
  <c r="CH27" i="11"/>
  <c r="CI4" i="11"/>
  <c r="CH4" i="15"/>
  <c r="CH7" i="11"/>
  <c r="CG7" i="15"/>
  <c r="CH6" i="11"/>
  <c r="CG6" i="15"/>
  <c r="CI22" i="2"/>
  <c r="CI24" i="2"/>
  <c r="CI25" i="2"/>
  <c r="CI30" i="2"/>
  <c r="CI23" i="2"/>
  <c r="CI21" i="2"/>
  <c r="CG11" i="11"/>
  <c r="CF11" i="15"/>
  <c r="CG10" i="11"/>
  <c r="CF10" i="15"/>
  <c r="CG9" i="11"/>
  <c r="CF9" i="15"/>
  <c r="CH57" i="11"/>
  <c r="CH90" i="5" s="1"/>
  <c r="CH61" i="19" s="1"/>
  <c r="CH87" i="11"/>
  <c r="CH88" i="11" s="1"/>
  <c r="CM5" i="14"/>
  <c r="CM15" i="14" s="1"/>
  <c r="CI5" i="19"/>
  <c r="CL8" i="14"/>
  <c r="CH8" i="19"/>
  <c r="CH5" i="17"/>
  <c r="CI10" i="16"/>
  <c r="CI54" i="16" s="1"/>
  <c r="CI80" i="16" s="1"/>
  <c r="CJ5" i="16"/>
  <c r="CB172" i="11"/>
  <c r="BV164" i="11"/>
  <c r="BV167" i="11" s="1"/>
  <c r="BU19" i="15" s="1"/>
  <c r="CG176" i="11"/>
  <c r="CG177" i="11" s="1"/>
  <c r="CH174" i="11" s="1"/>
  <c r="CI25" i="6"/>
  <c r="CH35" i="5" s="1"/>
  <c r="CI41" i="6"/>
  <c r="CH195" i="11" s="1"/>
  <c r="CH196" i="11" s="1"/>
  <c r="CH39" i="5" s="1"/>
  <c r="CG186" i="11"/>
  <c r="CG31" i="5" s="1"/>
  <c r="CG192" i="11"/>
  <c r="CH189" i="11" s="1"/>
  <c r="CG32" i="5"/>
  <c r="BV27" i="5"/>
  <c r="CG157" i="11"/>
  <c r="CI30" i="10"/>
  <c r="CI23" i="10"/>
  <c r="CI26" i="10"/>
  <c r="CI44" i="10"/>
  <c r="CI47" i="10"/>
  <c r="CI46" i="10"/>
  <c r="CI45" i="10"/>
  <c r="CI27" i="10"/>
  <c r="CI49" i="10"/>
  <c r="CI28" i="10"/>
  <c r="CI50" i="10"/>
  <c r="CI52" i="10"/>
  <c r="CI22" i="10"/>
  <c r="CI25" i="10"/>
  <c r="CI48" i="10"/>
  <c r="CI8" i="10"/>
  <c r="CH8" i="5"/>
  <c r="CI9" i="6"/>
  <c r="CI6" i="4"/>
  <c r="CJ6" i="2" s="1"/>
  <c r="CI7" i="4"/>
  <c r="CJ7" i="2" s="1"/>
  <c r="CJ4" i="4"/>
  <c r="CK4" i="2" s="1"/>
  <c r="CI14" i="4"/>
  <c r="CJ6" i="6"/>
  <c r="CJ13" i="6" s="1"/>
  <c r="CJ5" i="10"/>
  <c r="CJ14" i="10" s="1"/>
  <c r="CI5" i="5"/>
  <c r="CH45" i="4"/>
  <c r="CH9" i="4" s="1"/>
  <c r="CI9" i="2" s="1"/>
  <c r="CH46" i="4"/>
  <c r="CH10" i="4" s="1"/>
  <c r="CI10" i="2" s="1"/>
  <c r="CH47" i="4"/>
  <c r="CH11" i="4" s="1"/>
  <c r="CI11" i="2" s="1"/>
  <c r="CH25" i="4"/>
  <c r="CH26" i="4"/>
  <c r="CH27" i="4"/>
  <c r="CH97" i="11"/>
  <c r="CH17" i="11"/>
  <c r="CH5" i="15" l="1"/>
  <c r="CH13" i="15" s="1"/>
  <c r="CI138" i="5"/>
  <c r="CI137" i="5"/>
  <c r="CI29" i="6"/>
  <c r="CH25" i="5"/>
  <c r="CG68" i="11"/>
  <c r="CG102" i="5" s="1"/>
  <c r="CG27" i="19" s="1"/>
  <c r="CH250" i="11"/>
  <c r="CH251" i="11" s="1"/>
  <c r="CH252" i="11" s="1"/>
  <c r="CI249" i="11" s="1"/>
  <c r="BY31" i="15"/>
  <c r="CA18" i="11"/>
  <c r="CA70" i="5" s="1"/>
  <c r="CA68" i="5" s="1"/>
  <c r="CI81" i="16"/>
  <c r="CJ16" i="6"/>
  <c r="CJ60" i="6" s="1"/>
  <c r="CH33" i="11"/>
  <c r="CH78" i="5"/>
  <c r="CH28" i="11"/>
  <c r="CH75" i="5"/>
  <c r="CH111" i="11"/>
  <c r="CH38" i="11"/>
  <c r="CH39" i="11" s="1"/>
  <c r="CI36" i="11" s="1"/>
  <c r="CH106" i="11"/>
  <c r="CH81" i="5"/>
  <c r="CM99" i="14"/>
  <c r="CH8" i="11"/>
  <c r="CG8" i="15"/>
  <c r="CC169" i="11"/>
  <c r="CC171" i="11" s="1"/>
  <c r="CC28" i="5" s="1"/>
  <c r="CM104" i="14"/>
  <c r="CH140" i="11"/>
  <c r="CI13" i="19"/>
  <c r="CN4" i="14"/>
  <c r="CJ4" i="19"/>
  <c r="CM7" i="14"/>
  <c r="CI7" i="19"/>
  <c r="CL10" i="14"/>
  <c r="CH10" i="19"/>
  <c r="CM6" i="14"/>
  <c r="CI6" i="19"/>
  <c r="CL11" i="14"/>
  <c r="CH11" i="19"/>
  <c r="CL9" i="14"/>
  <c r="CH9" i="19"/>
  <c r="CJ6" i="16"/>
  <c r="CI4" i="17"/>
  <c r="CH4" i="18" s="1"/>
  <c r="CG5" i="18"/>
  <c r="CG8" i="18" s="1"/>
  <c r="CH8" i="17"/>
  <c r="BW164" i="11"/>
  <c r="CG29" i="5"/>
  <c r="CI30" i="6"/>
  <c r="CH26" i="5"/>
  <c r="CG187" i="11"/>
  <c r="CH184" i="11" s="1"/>
  <c r="CH197" i="11"/>
  <c r="CI194" i="11" s="1"/>
  <c r="CI27" i="6"/>
  <c r="CH23" i="5"/>
  <c r="CI28" i="6"/>
  <c r="CH24" i="5"/>
  <c r="CH69" i="5"/>
  <c r="CI52" i="4"/>
  <c r="CI54" i="4"/>
  <c r="CI53" i="4"/>
  <c r="CI55" i="4"/>
  <c r="CH175" i="11"/>
  <c r="CH176" i="11" s="1"/>
  <c r="CI33" i="6"/>
  <c r="CI32" i="6"/>
  <c r="CH170" i="11"/>
  <c r="CI36" i="6"/>
  <c r="CH190" i="11"/>
  <c r="CH191" i="11" s="1"/>
  <c r="CI31" i="6"/>
  <c r="CH166" i="11"/>
  <c r="CI35" i="6"/>
  <c r="CH185" i="11"/>
  <c r="CH145" i="11"/>
  <c r="CH214" i="11"/>
  <c r="CJ36" i="10"/>
  <c r="CI44" i="4"/>
  <c r="CI8" i="4" s="1"/>
  <c r="CJ8" i="2" s="1"/>
  <c r="CI16" i="4"/>
  <c r="CI37" i="4"/>
  <c r="CI38" i="4" s="1"/>
  <c r="CI39" i="4" s="1"/>
  <c r="CI17" i="4"/>
  <c r="CI29" i="4"/>
  <c r="CI50" i="4"/>
  <c r="CI42" i="4"/>
  <c r="CI20" i="4"/>
  <c r="CI22" i="4"/>
  <c r="CI41" i="4"/>
  <c r="CI24" i="4"/>
  <c r="CI43" i="4"/>
  <c r="CI23" i="4"/>
  <c r="CJ48" i="10" s="1"/>
  <c r="CI51" i="4"/>
  <c r="CI48" i="4"/>
  <c r="CI36" i="4"/>
  <c r="CI30" i="4"/>
  <c r="CI31" i="4"/>
  <c r="CI32" i="4" s="1"/>
  <c r="CI33" i="4" s="1"/>
  <c r="CI35" i="4"/>
  <c r="CI21" i="4"/>
  <c r="CI18" i="4"/>
  <c r="CI12" i="6"/>
  <c r="CI11" i="10"/>
  <c r="CH11" i="5"/>
  <c r="CJ7" i="6"/>
  <c r="CI6" i="5"/>
  <c r="CJ6" i="10"/>
  <c r="CJ5" i="4"/>
  <c r="CK5" i="2" s="1"/>
  <c r="CK14" i="2" s="1"/>
  <c r="CK5" i="6"/>
  <c r="CJ4" i="5"/>
  <c r="CK4" i="10"/>
  <c r="CI11" i="6"/>
  <c r="CH10" i="5"/>
  <c r="CI10" i="10"/>
  <c r="CJ8" i="6"/>
  <c r="CI7" i="5"/>
  <c r="CJ7" i="10"/>
  <c r="CH9" i="5"/>
  <c r="CI9" i="10"/>
  <c r="CI10" i="6"/>
  <c r="CI5" i="11"/>
  <c r="CI14" i="11" s="1"/>
  <c r="CI13" i="5"/>
  <c r="CI231" i="11" s="1"/>
  <c r="CI245" i="11" l="1"/>
  <c r="CI235" i="11"/>
  <c r="CJ23" i="10"/>
  <c r="CJ21" i="6"/>
  <c r="CJ19" i="10" s="1"/>
  <c r="CH246" i="11"/>
  <c r="CH247" i="11" s="1"/>
  <c r="CI244" i="11" s="1"/>
  <c r="CI72" i="11"/>
  <c r="CI106" i="5" s="1"/>
  <c r="CI67" i="11"/>
  <c r="CI101" i="5" s="1"/>
  <c r="CA19" i="11"/>
  <c r="CB16" i="11" s="1"/>
  <c r="CH82" i="5"/>
  <c r="CH80" i="5" s="1"/>
  <c r="CH107" i="11"/>
  <c r="CI104" i="11" s="1"/>
  <c r="CH42" i="5"/>
  <c r="CH112" i="11"/>
  <c r="CI109" i="11" s="1"/>
  <c r="CH43" i="5"/>
  <c r="CH29" i="11"/>
  <c r="CI26" i="11" s="1"/>
  <c r="CI105" i="11" s="1"/>
  <c r="CJ48" i="6" s="1"/>
  <c r="CH76" i="5"/>
  <c r="CH74" i="5" s="1"/>
  <c r="CH34" i="11"/>
  <c r="CI31" i="11" s="1"/>
  <c r="CI110" i="11" s="1"/>
  <c r="CJ49" i="6" s="1"/>
  <c r="CH79" i="5"/>
  <c r="CH77" i="5" s="1"/>
  <c r="CI32" i="11"/>
  <c r="CJ31" i="10"/>
  <c r="CM88" i="14"/>
  <c r="CI37" i="11"/>
  <c r="CI38" i="11" s="1"/>
  <c r="CI27" i="11"/>
  <c r="CH9" i="11"/>
  <c r="CG9" i="15"/>
  <c r="CJ25" i="2"/>
  <c r="CJ30" i="2"/>
  <c r="CJ23" i="2"/>
  <c r="CJ22" i="2"/>
  <c r="CJ21" i="2"/>
  <c r="CJ24" i="2"/>
  <c r="CI7" i="11"/>
  <c r="CH7" i="15"/>
  <c r="CH11" i="11"/>
  <c r="CG11" i="15"/>
  <c r="CH10" i="11"/>
  <c r="CG10" i="15"/>
  <c r="CI6" i="11"/>
  <c r="CH6" i="15"/>
  <c r="CJ4" i="11"/>
  <c r="CI4" i="15"/>
  <c r="CI57" i="11"/>
  <c r="CI90" i="5" s="1"/>
  <c r="CI87" i="11"/>
  <c r="CI88" i="11" s="1"/>
  <c r="CM8" i="14"/>
  <c r="CI8" i="19"/>
  <c r="CN5" i="14"/>
  <c r="CN15" i="14" s="1"/>
  <c r="CJ5" i="19"/>
  <c r="CI5" i="17"/>
  <c r="CJ10" i="16"/>
  <c r="CJ54" i="16" s="1"/>
  <c r="CJ80" i="16" s="1"/>
  <c r="CK5" i="16"/>
  <c r="CC172" i="11"/>
  <c r="CJ41" i="6"/>
  <c r="CI195" i="11" s="1"/>
  <c r="CI196" i="11" s="1"/>
  <c r="CI39" i="5" s="1"/>
  <c r="CJ25" i="6"/>
  <c r="CI35" i="5" s="1"/>
  <c r="CJ46" i="10"/>
  <c r="CH192" i="11"/>
  <c r="CI189" i="11" s="1"/>
  <c r="CH32" i="5"/>
  <c r="CH177" i="11"/>
  <c r="CI174" i="11" s="1"/>
  <c r="CH29" i="5"/>
  <c r="CH186" i="11"/>
  <c r="BW165" i="11"/>
  <c r="CH157" i="11"/>
  <c r="CJ50" i="10"/>
  <c r="CJ52" i="10"/>
  <c r="CJ28" i="10"/>
  <c r="CJ53" i="10"/>
  <c r="CJ30" i="10"/>
  <c r="CJ22" i="10"/>
  <c r="CJ27" i="10"/>
  <c r="CJ49" i="10"/>
  <c r="CJ45" i="10"/>
  <c r="CJ24" i="10"/>
  <c r="CJ44" i="10"/>
  <c r="CJ25" i="10"/>
  <c r="CJ26" i="10"/>
  <c r="CJ47" i="10"/>
  <c r="CI45" i="4"/>
  <c r="CI9" i="4" s="1"/>
  <c r="CJ9" i="2" s="1"/>
  <c r="CI46" i="4"/>
  <c r="CI10" i="4" s="1"/>
  <c r="CJ10" i="2" s="1"/>
  <c r="CI26" i="4"/>
  <c r="CI27" i="4"/>
  <c r="CI25" i="4"/>
  <c r="CI47" i="4"/>
  <c r="CI11" i="4" s="1"/>
  <c r="CJ11" i="2" s="1"/>
  <c r="CJ6" i="4"/>
  <c r="CK6" i="2" s="1"/>
  <c r="CJ7" i="4"/>
  <c r="CK7" i="2" s="1"/>
  <c r="CJ14" i="4"/>
  <c r="CK4" i="4"/>
  <c r="CL4" i="2" s="1"/>
  <c r="CJ5" i="5"/>
  <c r="CK5" i="10"/>
  <c r="CK14" i="10" s="1"/>
  <c r="CK6" i="6"/>
  <c r="CK13" i="6" s="1"/>
  <c r="CI97" i="11"/>
  <c r="CI17" i="11"/>
  <c r="CI8" i="5"/>
  <c r="CJ8" i="10"/>
  <c r="CJ9" i="6"/>
  <c r="CI5" i="15" l="1"/>
  <c r="CI13" i="15" s="1"/>
  <c r="CJ138" i="5"/>
  <c r="CJ137" i="5"/>
  <c r="CJ28" i="6"/>
  <c r="CI24" i="5"/>
  <c r="CH68" i="11"/>
  <c r="CH102" i="5" s="1"/>
  <c r="CH27" i="19" s="1"/>
  <c r="BZ31" i="15"/>
  <c r="CI246" i="11"/>
  <c r="CB18" i="11"/>
  <c r="CB70" i="5" s="1"/>
  <c r="CB68" i="5" s="1"/>
  <c r="CJ81" i="16"/>
  <c r="CK16" i="6"/>
  <c r="CK60" i="6" s="1"/>
  <c r="CI33" i="11"/>
  <c r="CI78" i="5"/>
  <c r="CI28" i="11"/>
  <c r="CI75" i="5"/>
  <c r="CI111" i="11"/>
  <c r="CI106" i="11"/>
  <c r="CI81" i="5"/>
  <c r="CN99" i="14"/>
  <c r="CN104" i="14"/>
  <c r="CI8" i="11"/>
  <c r="CH8" i="15"/>
  <c r="CD169" i="11"/>
  <c r="CD171" i="11" s="1"/>
  <c r="CD28" i="5" s="1"/>
  <c r="CI39" i="11"/>
  <c r="CJ36" i="11" s="1"/>
  <c r="CI82" i="5"/>
  <c r="CI140" i="11"/>
  <c r="CI61" i="19"/>
  <c r="CJ13" i="19"/>
  <c r="CO4" i="14"/>
  <c r="CK4" i="19"/>
  <c r="CN6" i="14"/>
  <c r="CJ6" i="19"/>
  <c r="CN7" i="14"/>
  <c r="CJ7" i="19"/>
  <c r="CM11" i="14"/>
  <c r="CI11" i="19"/>
  <c r="CM10" i="14"/>
  <c r="CI10" i="19"/>
  <c r="CM9" i="14"/>
  <c r="CI9" i="19"/>
  <c r="CI8" i="17"/>
  <c r="CH5" i="18"/>
  <c r="CH8" i="18" s="1"/>
  <c r="CK6" i="16"/>
  <c r="CJ4" i="17"/>
  <c r="CI4" i="18" s="1"/>
  <c r="CJ29" i="6"/>
  <c r="CI25" i="5"/>
  <c r="CI197" i="11"/>
  <c r="CJ194" i="11" s="1"/>
  <c r="CJ27" i="6"/>
  <c r="CI23" i="5"/>
  <c r="CJ30" i="6"/>
  <c r="CI26" i="5"/>
  <c r="CI69" i="5"/>
  <c r="CH187" i="11"/>
  <c r="CI184" i="11" s="1"/>
  <c r="CH31" i="5"/>
  <c r="BW167" i="11"/>
  <c r="BV19" i="15" s="1"/>
  <c r="BW27" i="5"/>
  <c r="CJ54" i="4"/>
  <c r="CJ53" i="4"/>
  <c r="CJ52" i="4"/>
  <c r="CJ55" i="4"/>
  <c r="CJ31" i="6"/>
  <c r="CI166" i="11"/>
  <c r="CI170" i="11"/>
  <c r="CJ32" i="6"/>
  <c r="CJ35" i="6"/>
  <c r="CI185" i="11"/>
  <c r="CJ33" i="6"/>
  <c r="CI175" i="11"/>
  <c r="CI176" i="11" s="1"/>
  <c r="CJ36" i="6"/>
  <c r="CI190" i="11"/>
  <c r="CI191" i="11" s="1"/>
  <c r="CI145" i="11"/>
  <c r="CI214" i="11"/>
  <c r="CK36" i="10"/>
  <c r="CK7" i="6"/>
  <c r="CK6" i="10"/>
  <c r="CJ6" i="5"/>
  <c r="CJ7" i="5"/>
  <c r="CK8" i="6"/>
  <c r="CK7" i="10"/>
  <c r="CJ12" i="6"/>
  <c r="CI11" i="5"/>
  <c r="CJ11" i="10"/>
  <c r="CI10" i="5"/>
  <c r="CJ11" i="6"/>
  <c r="CJ10" i="10"/>
  <c r="CJ5" i="11"/>
  <c r="CJ14" i="11" s="1"/>
  <c r="CJ13" i="5"/>
  <c r="CJ231" i="11" s="1"/>
  <c r="CJ9" i="10"/>
  <c r="CI9" i="5"/>
  <c r="CJ10" i="6"/>
  <c r="CK5" i="4"/>
  <c r="CL5" i="2" s="1"/>
  <c r="CL14" i="2" s="1"/>
  <c r="CL5" i="6"/>
  <c r="CL4" i="10"/>
  <c r="CK4" i="5"/>
  <c r="CJ44" i="4"/>
  <c r="CJ8" i="4" s="1"/>
  <c r="CK8" i="2" s="1"/>
  <c r="CJ23" i="4"/>
  <c r="CK53" i="10" s="1"/>
  <c r="CJ30" i="4"/>
  <c r="CJ31" i="4"/>
  <c r="CJ32" i="4" s="1"/>
  <c r="CJ33" i="4" s="1"/>
  <c r="CJ21" i="4"/>
  <c r="CJ20" i="4"/>
  <c r="CJ17" i="4"/>
  <c r="CJ37" i="4"/>
  <c r="CJ38" i="4" s="1"/>
  <c r="CJ39" i="4" s="1"/>
  <c r="CJ50" i="4"/>
  <c r="CJ36" i="4"/>
  <c r="CJ35" i="4"/>
  <c r="CJ18" i="4"/>
  <c r="CJ16" i="4"/>
  <c r="CJ43" i="4"/>
  <c r="CJ24" i="4"/>
  <c r="CJ29" i="4"/>
  <c r="CJ48" i="4"/>
  <c r="CJ22" i="4"/>
  <c r="CJ51" i="4"/>
  <c r="CJ41" i="4"/>
  <c r="CJ42" i="4"/>
  <c r="CJ245" i="11" l="1"/>
  <c r="CJ235" i="11"/>
  <c r="CK22" i="10"/>
  <c r="CK27" i="6" s="1"/>
  <c r="CK21" i="6"/>
  <c r="CK19" i="10" s="1"/>
  <c r="CI247" i="11"/>
  <c r="CJ244" i="11" s="1"/>
  <c r="CI250" i="11"/>
  <c r="CI251" i="11" s="1"/>
  <c r="CI252" i="11" s="1"/>
  <c r="CJ249" i="11" s="1"/>
  <c r="CJ72" i="11"/>
  <c r="CJ106" i="5" s="1"/>
  <c r="CJ67" i="11"/>
  <c r="CJ101" i="5" s="1"/>
  <c r="CB19" i="11"/>
  <c r="CA31" i="15" s="1"/>
  <c r="CI80" i="5"/>
  <c r="CI112" i="11"/>
  <c r="CJ109" i="11" s="1"/>
  <c r="CI43" i="5"/>
  <c r="CI107" i="11"/>
  <c r="CJ104" i="11" s="1"/>
  <c r="CI42" i="5"/>
  <c r="CI34" i="11"/>
  <c r="CJ31" i="11" s="1"/>
  <c r="CJ110" i="11" s="1"/>
  <c r="CK49" i="6" s="1"/>
  <c r="CI79" i="5"/>
  <c r="CI77" i="5" s="1"/>
  <c r="CI29" i="11"/>
  <c r="CJ26" i="11" s="1"/>
  <c r="CJ105" i="11" s="1"/>
  <c r="CK48" i="6" s="1"/>
  <c r="CI76" i="5"/>
  <c r="CI74" i="5" s="1"/>
  <c r="CJ32" i="11"/>
  <c r="CK31" i="10"/>
  <c r="CJ37" i="11"/>
  <c r="CJ38" i="11" s="1"/>
  <c r="CJ27" i="11"/>
  <c r="CN88" i="14"/>
  <c r="CI10" i="11"/>
  <c r="CH10" i="15"/>
  <c r="CK4" i="11"/>
  <c r="CJ4" i="15"/>
  <c r="CI11" i="11"/>
  <c r="CH11" i="15"/>
  <c r="CK25" i="2"/>
  <c r="CK24" i="2"/>
  <c r="CK21" i="2"/>
  <c r="CK22" i="2"/>
  <c r="CK23" i="2"/>
  <c r="CK30" i="2"/>
  <c r="CI9" i="11"/>
  <c r="CH9" i="15"/>
  <c r="CJ7" i="11"/>
  <c r="CI7" i="15"/>
  <c r="CJ6" i="11"/>
  <c r="CI6" i="15"/>
  <c r="CJ57" i="11"/>
  <c r="CJ90" i="5" s="1"/>
  <c r="CJ87" i="11"/>
  <c r="CJ88" i="11" s="1"/>
  <c r="CO5" i="14"/>
  <c r="CO15" i="14" s="1"/>
  <c r="CK5" i="19"/>
  <c r="CN8" i="14"/>
  <c r="CJ8" i="19"/>
  <c r="CI186" i="11"/>
  <c r="CI31" i="5" s="1"/>
  <c r="CJ5" i="17"/>
  <c r="CK10" i="16"/>
  <c r="CK54" i="16" s="1"/>
  <c r="CK80" i="16" s="1"/>
  <c r="CL5" i="16"/>
  <c r="CD172" i="11"/>
  <c r="BX164" i="11"/>
  <c r="CK41" i="6"/>
  <c r="CJ195" i="11" s="1"/>
  <c r="CJ196" i="11" s="1"/>
  <c r="CJ39" i="5" s="1"/>
  <c r="CK25" i="6"/>
  <c r="CJ35" i="5" s="1"/>
  <c r="CI192" i="11"/>
  <c r="CJ189" i="11" s="1"/>
  <c r="CI32" i="5"/>
  <c r="CI177" i="11"/>
  <c r="CJ174" i="11" s="1"/>
  <c r="CI29" i="5"/>
  <c r="BX165" i="11"/>
  <c r="CI157" i="11"/>
  <c r="CK27" i="10"/>
  <c r="CK23" i="10"/>
  <c r="CK26" i="10"/>
  <c r="CK48" i="10"/>
  <c r="CK47" i="10"/>
  <c r="CK46" i="10"/>
  <c r="CK50" i="10"/>
  <c r="CK45" i="10"/>
  <c r="CK30" i="10"/>
  <c r="CK52" i="10"/>
  <c r="CK25" i="10"/>
  <c r="CK44" i="10"/>
  <c r="CK24" i="10"/>
  <c r="CK49" i="10"/>
  <c r="CK28" i="10"/>
  <c r="CK6" i="4"/>
  <c r="CL6" i="2" s="1"/>
  <c r="CK14" i="4"/>
  <c r="CL4" i="4"/>
  <c r="CM4" i="2" s="1"/>
  <c r="CK7" i="4"/>
  <c r="CL7" i="2" s="1"/>
  <c r="CL6" i="6"/>
  <c r="CL13" i="6" s="1"/>
  <c r="CL5" i="10"/>
  <c r="CL14" i="10" s="1"/>
  <c r="CK5" i="5"/>
  <c r="CJ46" i="4"/>
  <c r="CJ10" i="4" s="1"/>
  <c r="CK10" i="2" s="1"/>
  <c r="CJ27" i="4"/>
  <c r="CJ47" i="4"/>
  <c r="CJ11" i="4" s="1"/>
  <c r="CK11" i="2" s="1"/>
  <c r="CJ45" i="4"/>
  <c r="CJ9" i="4" s="1"/>
  <c r="CK9" i="2" s="1"/>
  <c r="CJ26" i="4"/>
  <c r="CJ25" i="4"/>
  <c r="CK8" i="10"/>
  <c r="CJ8" i="5"/>
  <c r="CK9" i="6"/>
  <c r="CJ97" i="11"/>
  <c r="CJ17" i="11"/>
  <c r="CJ5" i="15" l="1"/>
  <c r="CJ13" i="15" s="1"/>
  <c r="CK137" i="5"/>
  <c r="CK138" i="5"/>
  <c r="CJ23" i="5"/>
  <c r="CI68" i="11"/>
  <c r="CI102" i="5" s="1"/>
  <c r="CI27" i="19" s="1"/>
  <c r="CJ246" i="11"/>
  <c r="CC16" i="11"/>
  <c r="CC18" i="11" s="1"/>
  <c r="CC70" i="5" s="1"/>
  <c r="CC68" i="5" s="1"/>
  <c r="CK81" i="16"/>
  <c r="CL16" i="6"/>
  <c r="CL60" i="6" s="1"/>
  <c r="CJ33" i="11"/>
  <c r="CJ78" i="5"/>
  <c r="CJ28" i="11"/>
  <c r="CJ75" i="5"/>
  <c r="CJ111" i="11"/>
  <c r="CJ106" i="11"/>
  <c r="CJ81" i="5"/>
  <c r="CO104" i="14"/>
  <c r="CJ8" i="11"/>
  <c r="CI8" i="15"/>
  <c r="CE169" i="11"/>
  <c r="CE171" i="11" s="1"/>
  <c r="CE28" i="5" s="1"/>
  <c r="CO99" i="14"/>
  <c r="CJ39" i="11"/>
  <c r="CK36" i="11" s="1"/>
  <c r="CJ82" i="5"/>
  <c r="CJ140" i="11"/>
  <c r="CJ61" i="19"/>
  <c r="CI187" i="11"/>
  <c r="CJ184" i="11" s="1"/>
  <c r="CK13" i="19"/>
  <c r="CP4" i="14"/>
  <c r="CL4" i="19"/>
  <c r="CN11" i="14"/>
  <c r="CJ11" i="19"/>
  <c r="CO7" i="14"/>
  <c r="CK7" i="19"/>
  <c r="CN9" i="14"/>
  <c r="CJ9" i="19"/>
  <c r="CO6" i="14"/>
  <c r="CK6" i="19"/>
  <c r="CN10" i="14"/>
  <c r="CJ10" i="19"/>
  <c r="CL6" i="16"/>
  <c r="CK4" i="17"/>
  <c r="CJ4" i="18" s="1"/>
  <c r="CI5" i="18"/>
  <c r="CI8" i="18" s="1"/>
  <c r="CJ8" i="17"/>
  <c r="CJ197" i="11"/>
  <c r="CK194" i="11" s="1"/>
  <c r="CK29" i="6"/>
  <c r="CJ25" i="5"/>
  <c r="CK30" i="6"/>
  <c r="CJ26" i="5"/>
  <c r="CK28" i="6"/>
  <c r="CJ24" i="5"/>
  <c r="CJ69" i="5"/>
  <c r="BX167" i="11"/>
  <c r="BW19" i="15" s="1"/>
  <c r="BX27" i="5"/>
  <c r="CK55" i="4"/>
  <c r="CK53" i="4"/>
  <c r="CK54" i="4"/>
  <c r="CK52" i="4"/>
  <c r="CK33" i="6"/>
  <c r="CJ175" i="11"/>
  <c r="CJ176" i="11" s="1"/>
  <c r="CK35" i="6"/>
  <c r="CJ185" i="11"/>
  <c r="CK36" i="6"/>
  <c r="CJ190" i="11"/>
  <c r="CJ191" i="11" s="1"/>
  <c r="CK31" i="6"/>
  <c r="CJ166" i="11"/>
  <c r="CK32" i="6"/>
  <c r="CJ170" i="11"/>
  <c r="CJ145" i="11"/>
  <c r="CJ214" i="11"/>
  <c r="CL36" i="10"/>
  <c r="CK11" i="6"/>
  <c r="CJ10" i="5"/>
  <c r="CK10" i="10"/>
  <c r="CK44" i="4"/>
  <c r="CK8" i="4" s="1"/>
  <c r="CL8" i="2" s="1"/>
  <c r="CK16" i="4"/>
  <c r="CK31" i="4"/>
  <c r="CK32" i="4" s="1"/>
  <c r="CK33" i="4" s="1"/>
  <c r="CK17" i="4"/>
  <c r="CK36" i="4"/>
  <c r="CK42" i="4"/>
  <c r="CK29" i="4"/>
  <c r="CK35" i="4"/>
  <c r="CK21" i="4"/>
  <c r="CK43" i="4"/>
  <c r="CK24" i="4"/>
  <c r="CK18" i="4"/>
  <c r="CK20" i="4"/>
  <c r="CK50" i="4"/>
  <c r="CK22" i="4"/>
  <c r="CK48" i="4"/>
  <c r="CK51" i="4"/>
  <c r="CK37" i="4"/>
  <c r="CK38" i="4" s="1"/>
  <c r="CK39" i="4" s="1"/>
  <c r="CK23" i="4"/>
  <c r="CL46" i="10" s="1"/>
  <c r="CK41" i="4"/>
  <c r="CK30" i="4"/>
  <c r="CK7" i="5"/>
  <c r="CL7" i="10"/>
  <c r="CL8" i="6"/>
  <c r="CK5" i="11"/>
  <c r="CK14" i="11" s="1"/>
  <c r="CK13" i="5"/>
  <c r="CK231" i="11" s="1"/>
  <c r="CL5" i="4"/>
  <c r="CM5" i="2" s="1"/>
  <c r="CM14" i="2" s="1"/>
  <c r="CM5" i="6"/>
  <c r="CL4" i="5"/>
  <c r="CM4" i="10"/>
  <c r="CK10" i="6"/>
  <c r="CJ9" i="5"/>
  <c r="CK9" i="10"/>
  <c r="CL6" i="10"/>
  <c r="CL7" i="6"/>
  <c r="CK6" i="5"/>
  <c r="CK12" i="6"/>
  <c r="CK11" i="10"/>
  <c r="CJ11" i="5"/>
  <c r="CK245" i="11" l="1"/>
  <c r="CK235" i="11"/>
  <c r="CL23" i="10"/>
  <c r="CL21" i="6"/>
  <c r="CL19" i="10" s="1"/>
  <c r="CJ247" i="11"/>
  <c r="CK244" i="11" s="1"/>
  <c r="CJ250" i="11"/>
  <c r="CJ251" i="11" s="1"/>
  <c r="CJ252" i="11" s="1"/>
  <c r="CK249" i="11" s="1"/>
  <c r="CK72" i="11"/>
  <c r="CK106" i="5" s="1"/>
  <c r="CK67" i="11"/>
  <c r="CK101" i="5" s="1"/>
  <c r="CC19" i="11"/>
  <c r="CB31" i="15" s="1"/>
  <c r="CJ107" i="11"/>
  <c r="CK104" i="11" s="1"/>
  <c r="CJ42" i="5"/>
  <c r="CJ112" i="11"/>
  <c r="CK109" i="11" s="1"/>
  <c r="CJ43" i="5"/>
  <c r="CJ80" i="5"/>
  <c r="CJ29" i="11"/>
  <c r="CK26" i="11" s="1"/>
  <c r="CK105" i="11" s="1"/>
  <c r="CL48" i="6" s="1"/>
  <c r="CJ76" i="5"/>
  <c r="CJ74" i="5" s="1"/>
  <c r="CJ34" i="11"/>
  <c r="CK31" i="11" s="1"/>
  <c r="CK110" i="11" s="1"/>
  <c r="CL49" i="6" s="1"/>
  <c r="CJ79" i="5"/>
  <c r="CJ77" i="5" s="1"/>
  <c r="CK32" i="11"/>
  <c r="CL31" i="10"/>
  <c r="CK37" i="11"/>
  <c r="CK81" i="5" s="1"/>
  <c r="CK27" i="11"/>
  <c r="CO88" i="14"/>
  <c r="CJ10" i="11"/>
  <c r="CI10" i="15"/>
  <c r="CK7" i="11"/>
  <c r="CJ7" i="15"/>
  <c r="CJ11" i="11"/>
  <c r="CI11" i="15"/>
  <c r="CK6" i="11"/>
  <c r="CJ6" i="15"/>
  <c r="CJ9" i="11"/>
  <c r="CI9" i="15"/>
  <c r="CL4" i="11"/>
  <c r="CK4" i="15"/>
  <c r="CL25" i="2"/>
  <c r="CL23" i="2"/>
  <c r="CL24" i="2"/>
  <c r="CL21" i="2"/>
  <c r="CL22" i="2"/>
  <c r="CL30" i="2"/>
  <c r="CK57" i="11"/>
  <c r="CK90" i="5" s="1"/>
  <c r="CK87" i="11"/>
  <c r="CK88" i="11" s="1"/>
  <c r="CJ186" i="11"/>
  <c r="CJ31" i="5" s="1"/>
  <c r="CP5" i="14"/>
  <c r="CP15" i="14" s="1"/>
  <c r="CL5" i="19"/>
  <c r="CO8" i="14"/>
  <c r="CK8" i="19"/>
  <c r="CL10" i="16"/>
  <c r="CL54" i="16" s="1"/>
  <c r="CL80" i="16" s="1"/>
  <c r="CM5" i="16"/>
  <c r="CK5" i="17"/>
  <c r="CE172" i="11"/>
  <c r="BY164" i="11"/>
  <c r="CL25" i="6"/>
  <c r="CK35" i="5" s="1"/>
  <c r="CL41" i="6"/>
  <c r="CK195" i="11" s="1"/>
  <c r="CK196" i="11" s="1"/>
  <c r="CK39" i="5" s="1"/>
  <c r="CJ192" i="11"/>
  <c r="CK189" i="11" s="1"/>
  <c r="CJ32" i="5"/>
  <c r="CJ177" i="11"/>
  <c r="CK174" i="11" s="1"/>
  <c r="CJ29" i="5"/>
  <c r="BY165" i="11"/>
  <c r="CL47" i="10"/>
  <c r="CJ157" i="11"/>
  <c r="CL52" i="10"/>
  <c r="CL45" i="10"/>
  <c r="CL48" i="10"/>
  <c r="CL53" i="10"/>
  <c r="CL44" i="10"/>
  <c r="CL28" i="10"/>
  <c r="CL25" i="10"/>
  <c r="CL50" i="10"/>
  <c r="CL30" i="10"/>
  <c r="CL27" i="10"/>
  <c r="CL24" i="10"/>
  <c r="CL22" i="10"/>
  <c r="CL26" i="10"/>
  <c r="CL49" i="10"/>
  <c r="CK8" i="5"/>
  <c r="CL9" i="6"/>
  <c r="CL8" i="10"/>
  <c r="CK46" i="4"/>
  <c r="CK10" i="4" s="1"/>
  <c r="CL10" i="2" s="1"/>
  <c r="CK26" i="4"/>
  <c r="CK27" i="4"/>
  <c r="CK25" i="4"/>
  <c r="CK45" i="4"/>
  <c r="CK9" i="4" s="1"/>
  <c r="CL9" i="2" s="1"/>
  <c r="CK47" i="4"/>
  <c r="CK11" i="4" s="1"/>
  <c r="CL11" i="2" s="1"/>
  <c r="CL14" i="4"/>
  <c r="CM4" i="4"/>
  <c r="CN4" i="2" s="1"/>
  <c r="CL6" i="4"/>
  <c r="CM6" i="2" s="1"/>
  <c r="CL7" i="4"/>
  <c r="CM7" i="2" s="1"/>
  <c r="CM6" i="6"/>
  <c r="CM13" i="6" s="1"/>
  <c r="CM5" i="10"/>
  <c r="CM14" i="10" s="1"/>
  <c r="CL5" i="5"/>
  <c r="CK17" i="11"/>
  <c r="CK97" i="11"/>
  <c r="CK5" i="15" l="1"/>
  <c r="CK13" i="15" s="1"/>
  <c r="CL137" i="5"/>
  <c r="CL138" i="5"/>
  <c r="CL28" i="6"/>
  <c r="CK24" i="5"/>
  <c r="CJ68" i="11"/>
  <c r="CJ102" i="5" s="1"/>
  <c r="CJ27" i="19" s="1"/>
  <c r="CK246" i="11"/>
  <c r="CD16" i="11"/>
  <c r="CD18" i="11" s="1"/>
  <c r="CD70" i="5" s="1"/>
  <c r="CD68" i="5" s="1"/>
  <c r="CL81" i="16"/>
  <c r="CM16" i="6"/>
  <c r="CM60" i="6" s="1"/>
  <c r="CK33" i="11"/>
  <c r="CK78" i="5"/>
  <c r="CK28" i="11"/>
  <c r="CK75" i="5"/>
  <c r="CK38" i="11"/>
  <c r="CK39" i="11" s="1"/>
  <c r="CL36" i="11" s="1"/>
  <c r="CK111" i="11"/>
  <c r="CK106" i="11"/>
  <c r="CP104" i="14"/>
  <c r="CK8" i="11"/>
  <c r="CJ8" i="15"/>
  <c r="CP99" i="14"/>
  <c r="CK140" i="11"/>
  <c r="CK61" i="19"/>
  <c r="CJ187" i="11"/>
  <c r="CK184" i="11" s="1"/>
  <c r="CL13" i="19"/>
  <c r="CO9" i="14"/>
  <c r="CK9" i="19"/>
  <c r="CO10" i="14"/>
  <c r="CK10" i="19"/>
  <c r="CQ4" i="14"/>
  <c r="CM4" i="19"/>
  <c r="CP7" i="14"/>
  <c r="CL7" i="19"/>
  <c r="CP6" i="14"/>
  <c r="CL6" i="19"/>
  <c r="CO11" i="14"/>
  <c r="CK11" i="19"/>
  <c r="CL4" i="17"/>
  <c r="CK4" i="18" s="1"/>
  <c r="CM6" i="16"/>
  <c r="CJ5" i="18"/>
  <c r="CJ8" i="18" s="1"/>
  <c r="CK8" i="17"/>
  <c r="CF169" i="11"/>
  <c r="CL29" i="6"/>
  <c r="CK25" i="5"/>
  <c r="CL30" i="6"/>
  <c r="CK26" i="5"/>
  <c r="CK197" i="11"/>
  <c r="CL194" i="11" s="1"/>
  <c r="CL27" i="6"/>
  <c r="CK23" i="5"/>
  <c r="CK69" i="5"/>
  <c r="BY167" i="11"/>
  <c r="BX19" i="15" s="1"/>
  <c r="BY27" i="5"/>
  <c r="CL53" i="4"/>
  <c r="CL54" i="4"/>
  <c r="CL52" i="4"/>
  <c r="CL55" i="4"/>
  <c r="CK166" i="11"/>
  <c r="CL31" i="6"/>
  <c r="CL36" i="6"/>
  <c r="CK190" i="11"/>
  <c r="CL32" i="6"/>
  <c r="CK170" i="11"/>
  <c r="CL35" i="6"/>
  <c r="CK185" i="11"/>
  <c r="CL33" i="6"/>
  <c r="CK175" i="11"/>
  <c r="CK176" i="11" s="1"/>
  <c r="CK145" i="11"/>
  <c r="CK214" i="11"/>
  <c r="CM36" i="10"/>
  <c r="CK9" i="5"/>
  <c r="CL9" i="10"/>
  <c r="CL10" i="6"/>
  <c r="CL5" i="11"/>
  <c r="CL14" i="11" s="1"/>
  <c r="CL13" i="5"/>
  <c r="CL231" i="11" s="1"/>
  <c r="CL12" i="6"/>
  <c r="CK11" i="5"/>
  <c r="CL11" i="10"/>
  <c r="CL10" i="10"/>
  <c r="CL11" i="6"/>
  <c r="CK10" i="5"/>
  <c r="CM7" i="10"/>
  <c r="CM8" i="6"/>
  <c r="CL7" i="5"/>
  <c r="CM7" i="6"/>
  <c r="CL6" i="5"/>
  <c r="CM6" i="10"/>
  <c r="CM5" i="4"/>
  <c r="CN5" i="2" s="1"/>
  <c r="CN14" i="2" s="1"/>
  <c r="CN5" i="6"/>
  <c r="CM4" i="5"/>
  <c r="CN4" i="10"/>
  <c r="CL44" i="4"/>
  <c r="CL8" i="4" s="1"/>
  <c r="CM8" i="2" s="1"/>
  <c r="CL50" i="4"/>
  <c r="CL20" i="4"/>
  <c r="CL43" i="4"/>
  <c r="CL24" i="4"/>
  <c r="CL29" i="4"/>
  <c r="CL42" i="4"/>
  <c r="CL18" i="4"/>
  <c r="CL36" i="4"/>
  <c r="CL37" i="4"/>
  <c r="CL38" i="4" s="1"/>
  <c r="CL39" i="4" s="1"/>
  <c r="CL41" i="4"/>
  <c r="CL21" i="4"/>
  <c r="CL17" i="4"/>
  <c r="CL35" i="4"/>
  <c r="CL16" i="4"/>
  <c r="CL23" i="4"/>
  <c r="CM50" i="10" s="1"/>
  <c r="CL31" i="4"/>
  <c r="CL32" i="4" s="1"/>
  <c r="CL33" i="4" s="1"/>
  <c r="CL30" i="4"/>
  <c r="CL48" i="4"/>
  <c r="CL51" i="4"/>
  <c r="CL22" i="4"/>
  <c r="CM21" i="6" s="1"/>
  <c r="CM19" i="10" s="1"/>
  <c r="CL245" i="11" l="1"/>
  <c r="CL235" i="11"/>
  <c r="CK247" i="11"/>
  <c r="CL244" i="11" s="1"/>
  <c r="CK250" i="11"/>
  <c r="CL72" i="11"/>
  <c r="CL106" i="5" s="1"/>
  <c r="CL67" i="11"/>
  <c r="CL101" i="5" s="1"/>
  <c r="CD19" i="11"/>
  <c r="CC31" i="15" s="1"/>
  <c r="CK82" i="5"/>
  <c r="CK80" i="5" s="1"/>
  <c r="CK112" i="11"/>
  <c r="CL109" i="11" s="1"/>
  <c r="CK43" i="5"/>
  <c r="CK107" i="11"/>
  <c r="CL104" i="11" s="1"/>
  <c r="CK42" i="5"/>
  <c r="CP88" i="14"/>
  <c r="CK29" i="11"/>
  <c r="CL26" i="11" s="1"/>
  <c r="CL105" i="11" s="1"/>
  <c r="CM48" i="6" s="1"/>
  <c r="CK76" i="5"/>
  <c r="CK74" i="5" s="1"/>
  <c r="CK34" i="11"/>
  <c r="CL31" i="11" s="1"/>
  <c r="CL110" i="11" s="1"/>
  <c r="CM49" i="6" s="1"/>
  <c r="CK79" i="5"/>
  <c r="CK77" i="5" s="1"/>
  <c r="CL32" i="11"/>
  <c r="CM31" i="10"/>
  <c r="CL37" i="11"/>
  <c r="CL81" i="5" s="1"/>
  <c r="CL27" i="11"/>
  <c r="CK10" i="11"/>
  <c r="CJ10" i="15"/>
  <c r="CK9" i="11"/>
  <c r="CJ9" i="15"/>
  <c r="CM21" i="2"/>
  <c r="CM23" i="2"/>
  <c r="CM24" i="2"/>
  <c r="CM30" i="2"/>
  <c r="CM22" i="2"/>
  <c r="CM25" i="2"/>
  <c r="CM4" i="11"/>
  <c r="CL4" i="15"/>
  <c r="CL7" i="11"/>
  <c r="CK7" i="15"/>
  <c r="CK11" i="11"/>
  <c r="CJ11" i="15"/>
  <c r="CL6" i="11"/>
  <c r="CK6" i="15"/>
  <c r="CK186" i="11"/>
  <c r="CK31" i="5" s="1"/>
  <c r="CL57" i="11"/>
  <c r="CL90" i="5" s="1"/>
  <c r="CL87" i="11"/>
  <c r="CL88" i="11" s="1"/>
  <c r="CP8" i="14"/>
  <c r="CL8" i="19"/>
  <c r="CQ5" i="14"/>
  <c r="CQ15" i="14" s="1"/>
  <c r="CM5" i="19"/>
  <c r="CL5" i="17"/>
  <c r="CM10" i="16"/>
  <c r="CM54" i="16" s="1"/>
  <c r="CM80" i="16" s="1"/>
  <c r="CN5" i="16"/>
  <c r="CF171" i="11"/>
  <c r="CF28" i="5" s="1"/>
  <c r="BZ164" i="11"/>
  <c r="CM41" i="6"/>
  <c r="CL195" i="11" s="1"/>
  <c r="CL196" i="11" s="1"/>
  <c r="CL39" i="5" s="1"/>
  <c r="CM25" i="6"/>
  <c r="CL35" i="5" s="1"/>
  <c r="CK177" i="11"/>
  <c r="CL174" i="11" s="1"/>
  <c r="CK29" i="5"/>
  <c r="BZ165" i="11"/>
  <c r="CK191" i="11"/>
  <c r="CM22" i="10"/>
  <c r="CM30" i="10"/>
  <c r="CK157" i="11"/>
  <c r="CM45" i="10"/>
  <c r="CM48" i="10"/>
  <c r="CM46" i="10"/>
  <c r="CM26" i="10"/>
  <c r="CM44" i="10"/>
  <c r="CM25" i="10"/>
  <c r="CM53" i="10"/>
  <c r="CM28" i="10"/>
  <c r="CM47" i="10"/>
  <c r="CM23" i="10"/>
  <c r="CM27" i="10"/>
  <c r="CM49" i="10"/>
  <c r="CM24" i="10"/>
  <c r="CM52" i="10"/>
  <c r="CL97" i="11"/>
  <c r="CL17" i="11"/>
  <c r="CL45" i="4"/>
  <c r="CL9" i="4" s="1"/>
  <c r="CM9" i="2" s="1"/>
  <c r="CL27" i="4"/>
  <c r="CL25" i="4"/>
  <c r="CL26" i="4"/>
  <c r="CL47" i="4"/>
  <c r="CL11" i="4" s="1"/>
  <c r="CM11" i="2" s="1"/>
  <c r="CL46" i="4"/>
  <c r="CL10" i="4" s="1"/>
  <c r="CM10" i="2" s="1"/>
  <c r="CM14" i="4"/>
  <c r="CN4" i="4"/>
  <c r="CO4" i="2" s="1"/>
  <c r="CM6" i="4"/>
  <c r="CN6" i="2" s="1"/>
  <c r="CM7" i="4"/>
  <c r="CN7" i="2" s="1"/>
  <c r="CN5" i="10"/>
  <c r="CN14" i="10" s="1"/>
  <c r="CN6" i="6"/>
  <c r="CN13" i="6" s="1"/>
  <c r="CM5" i="5"/>
  <c r="CM9" i="6"/>
  <c r="CL8" i="5"/>
  <c r="CM8" i="10"/>
  <c r="CL5" i="15" l="1"/>
  <c r="CL13" i="15" s="1"/>
  <c r="CM137" i="5"/>
  <c r="CM138" i="5"/>
  <c r="CE16" i="11"/>
  <c r="CE18" i="11" s="1"/>
  <c r="CE70" i="5" s="1"/>
  <c r="CE68" i="5" s="1"/>
  <c r="CL246" i="11"/>
  <c r="CK251" i="11"/>
  <c r="CM81" i="16"/>
  <c r="CN16" i="6"/>
  <c r="CN60" i="6" s="1"/>
  <c r="CL33" i="11"/>
  <c r="CL78" i="5"/>
  <c r="CL28" i="11"/>
  <c r="CL75" i="5"/>
  <c r="CL38" i="11"/>
  <c r="CL82" i="5" s="1"/>
  <c r="CL80" i="5" s="1"/>
  <c r="CL111" i="11"/>
  <c r="CL106" i="11"/>
  <c r="CQ99" i="14"/>
  <c r="CL8" i="11"/>
  <c r="CK8" i="15"/>
  <c r="CQ104" i="14"/>
  <c r="CK187" i="11"/>
  <c r="CL184" i="11" s="1"/>
  <c r="CL140" i="11"/>
  <c r="CL61" i="19"/>
  <c r="CM13" i="19"/>
  <c r="CR4" i="14"/>
  <c r="CN4" i="19"/>
  <c r="CP10" i="14"/>
  <c r="CL10" i="19"/>
  <c r="CP11" i="14"/>
  <c r="CL11" i="19"/>
  <c r="CP9" i="14"/>
  <c r="CL9" i="19"/>
  <c r="CQ7" i="14"/>
  <c r="CM7" i="19"/>
  <c r="CQ6" i="14"/>
  <c r="CM6" i="19"/>
  <c r="CL8" i="17"/>
  <c r="CK5" i="18"/>
  <c r="CK8" i="18" s="1"/>
  <c r="CN6" i="16"/>
  <c r="CM4" i="17"/>
  <c r="CL4" i="18" s="1"/>
  <c r="CF172" i="11"/>
  <c r="CM28" i="6"/>
  <c r="CL24" i="5"/>
  <c r="CM27" i="6"/>
  <c r="CL23" i="5"/>
  <c r="CM29" i="6"/>
  <c r="CL25" i="5"/>
  <c r="CM30" i="6"/>
  <c r="CL26" i="5"/>
  <c r="CL197" i="11"/>
  <c r="CM194" i="11" s="1"/>
  <c r="CL69" i="5"/>
  <c r="CK192" i="11"/>
  <c r="CL189" i="11" s="1"/>
  <c r="CK32" i="5"/>
  <c r="BZ167" i="11"/>
  <c r="BY19" i="15" s="1"/>
  <c r="BZ27" i="5"/>
  <c r="CM52" i="4"/>
  <c r="CM55" i="4"/>
  <c r="CM54" i="4"/>
  <c r="CM53" i="4"/>
  <c r="CM36" i="6"/>
  <c r="CL190" i="11"/>
  <c r="CM32" i="6"/>
  <c r="CL170" i="11"/>
  <c r="CM33" i="6"/>
  <c r="CL175" i="11"/>
  <c r="CL176" i="11" s="1"/>
  <c r="CM31" i="6"/>
  <c r="CL166" i="11"/>
  <c r="CM35" i="6"/>
  <c r="CL185" i="11"/>
  <c r="CL145" i="11"/>
  <c r="CL214" i="11"/>
  <c r="CN36" i="10"/>
  <c r="CM10" i="6"/>
  <c r="CL9" i="5"/>
  <c r="CM9" i="10"/>
  <c r="CN8" i="6"/>
  <c r="CM7" i="5"/>
  <c r="CN7" i="10"/>
  <c r="CM5" i="11"/>
  <c r="CM14" i="11" s="1"/>
  <c r="CM13" i="5"/>
  <c r="CM231" i="11" s="1"/>
  <c r="CN6" i="10"/>
  <c r="CN7" i="6"/>
  <c r="CM6" i="5"/>
  <c r="CN5" i="4"/>
  <c r="CO5" i="2" s="1"/>
  <c r="CO14" i="2" s="1"/>
  <c r="CO4" i="10"/>
  <c r="CO5" i="6"/>
  <c r="CN4" i="5"/>
  <c r="CM11" i="6"/>
  <c r="CM10" i="10"/>
  <c r="CL10" i="5"/>
  <c r="CM44" i="4"/>
  <c r="CM8" i="4" s="1"/>
  <c r="CN8" i="2" s="1"/>
  <c r="CM35" i="4"/>
  <c r="CM29" i="4"/>
  <c r="CM23" i="4"/>
  <c r="CN45" i="10" s="1"/>
  <c r="CM22" i="4"/>
  <c r="CM16" i="4"/>
  <c r="CM24" i="4"/>
  <c r="CM37" i="4"/>
  <c r="CM38" i="4" s="1"/>
  <c r="CM39" i="4" s="1"/>
  <c r="CM50" i="4"/>
  <c r="CM20" i="4"/>
  <c r="CM43" i="4"/>
  <c r="CM48" i="4"/>
  <c r="CM31" i="4"/>
  <c r="CM32" i="4" s="1"/>
  <c r="CM33" i="4" s="1"/>
  <c r="CM18" i="4"/>
  <c r="CM51" i="4"/>
  <c r="CM30" i="4"/>
  <c r="CM42" i="4"/>
  <c r="CM36" i="4"/>
  <c r="CM41" i="4"/>
  <c r="CM17" i="4"/>
  <c r="CM21" i="4"/>
  <c r="CM11" i="10"/>
  <c r="CL11" i="5"/>
  <c r="CM12" i="6"/>
  <c r="CM245" i="11" l="1"/>
  <c r="CM235" i="11"/>
  <c r="CN22" i="10"/>
  <c r="CN21" i="6"/>
  <c r="CN19" i="10" s="1"/>
  <c r="CK252" i="11"/>
  <c r="CL249" i="11" s="1"/>
  <c r="CK68" i="11"/>
  <c r="CK102" i="5" s="1"/>
  <c r="CK27" i="19" s="1"/>
  <c r="CL247" i="11"/>
  <c r="CM244" i="11" s="1"/>
  <c r="CL250" i="11"/>
  <c r="CM72" i="11"/>
  <c r="CM106" i="5" s="1"/>
  <c r="CM67" i="11"/>
  <c r="CM101" i="5" s="1"/>
  <c r="CE19" i="11"/>
  <c r="CL39" i="11"/>
  <c r="CM36" i="11" s="1"/>
  <c r="CL112" i="11"/>
  <c r="CM109" i="11" s="1"/>
  <c r="CL43" i="5"/>
  <c r="CL107" i="11"/>
  <c r="CM104" i="11" s="1"/>
  <c r="CL42" i="5"/>
  <c r="CL29" i="11"/>
  <c r="CM26" i="11" s="1"/>
  <c r="CM105" i="11" s="1"/>
  <c r="CN48" i="6" s="1"/>
  <c r="CL76" i="5"/>
  <c r="CL74" i="5" s="1"/>
  <c r="CL34" i="11"/>
  <c r="CM31" i="11" s="1"/>
  <c r="CM110" i="11" s="1"/>
  <c r="CN49" i="6" s="1"/>
  <c r="CL79" i="5"/>
  <c r="CL77" i="5" s="1"/>
  <c r="CM32" i="11"/>
  <c r="CQ88" i="14"/>
  <c r="CN31" i="10"/>
  <c r="CM37" i="11"/>
  <c r="CM81" i="5" s="1"/>
  <c r="CM27" i="11"/>
  <c r="CL10" i="11"/>
  <c r="CK10" i="15"/>
  <c r="CN22" i="2"/>
  <c r="CN30" i="2"/>
  <c r="CN21" i="2"/>
  <c r="CN25" i="2"/>
  <c r="CN23" i="2"/>
  <c r="CN24" i="2"/>
  <c r="CL11" i="11"/>
  <c r="CK11" i="15"/>
  <c r="CM7" i="11"/>
  <c r="CL7" i="15"/>
  <c r="CN4" i="11"/>
  <c r="CM4" i="15"/>
  <c r="CL9" i="11"/>
  <c r="CK9" i="15"/>
  <c r="CM6" i="11"/>
  <c r="CL6" i="15"/>
  <c r="CL186" i="11"/>
  <c r="CL187" i="11" s="1"/>
  <c r="CM184" i="11" s="1"/>
  <c r="CM57" i="11"/>
  <c r="CM90" i="5" s="1"/>
  <c r="CM87" i="11"/>
  <c r="CM88" i="11" s="1"/>
  <c r="CQ8" i="14"/>
  <c r="CM8" i="19"/>
  <c r="CR5" i="14"/>
  <c r="CR15" i="14" s="1"/>
  <c r="CN5" i="19"/>
  <c r="CN10" i="16"/>
  <c r="CN54" i="16" s="1"/>
  <c r="CN80" i="16" s="1"/>
  <c r="CO5" i="16"/>
  <c r="CM5" i="17"/>
  <c r="CG169" i="11"/>
  <c r="CG171" i="11" s="1"/>
  <c r="CA164" i="11"/>
  <c r="CN41" i="6"/>
  <c r="CM195" i="11" s="1"/>
  <c r="CM196" i="11" s="1"/>
  <c r="CM39" i="5" s="1"/>
  <c r="CN25" i="6"/>
  <c r="CM35" i="5" s="1"/>
  <c r="CL177" i="11"/>
  <c r="CM174" i="11" s="1"/>
  <c r="CL29" i="5"/>
  <c r="CL191" i="11"/>
  <c r="CA165" i="11"/>
  <c r="CL157" i="11"/>
  <c r="CN53" i="10"/>
  <c r="CN24" i="10"/>
  <c r="CN47" i="10"/>
  <c r="CN30" i="10"/>
  <c r="CN44" i="10"/>
  <c r="CN26" i="10"/>
  <c r="CN48" i="10"/>
  <c r="CN27" i="10"/>
  <c r="CN49" i="10"/>
  <c r="CN46" i="10"/>
  <c r="CN23" i="10"/>
  <c r="CN25" i="10"/>
  <c r="CN50" i="10"/>
  <c r="CN28" i="10"/>
  <c r="CN52" i="10"/>
  <c r="CO4" i="4"/>
  <c r="CP4" i="2" s="1"/>
  <c r="CN6" i="4"/>
  <c r="CO6" i="2" s="1"/>
  <c r="CN7" i="4"/>
  <c r="CO7" i="2" s="1"/>
  <c r="CN14" i="4"/>
  <c r="CO6" i="6"/>
  <c r="CO13" i="6" s="1"/>
  <c r="CO5" i="10"/>
  <c r="CO14" i="10" s="1"/>
  <c r="CN5" i="5"/>
  <c r="CN9" i="6"/>
  <c r="CN8" i="10"/>
  <c r="CM8" i="5"/>
  <c r="CM17" i="11"/>
  <c r="CM97" i="11"/>
  <c r="CM27" i="4"/>
  <c r="CM26" i="4"/>
  <c r="CM46" i="4"/>
  <c r="CM10" i="4" s="1"/>
  <c r="CN10" i="2" s="1"/>
  <c r="CM25" i="4"/>
  <c r="CM45" i="4"/>
  <c r="CM9" i="4" s="1"/>
  <c r="CN9" i="2" s="1"/>
  <c r="CM47" i="4"/>
  <c r="CM11" i="4" s="1"/>
  <c r="CN11" i="2" s="1"/>
  <c r="CM5" i="15" l="1"/>
  <c r="CM13" i="15" s="1"/>
  <c r="CN137" i="5"/>
  <c r="CN138" i="5"/>
  <c r="CN27" i="6"/>
  <c r="CM23" i="5"/>
  <c r="CM246" i="11"/>
  <c r="CL251" i="11"/>
  <c r="CN81" i="16"/>
  <c r="CD31" i="15"/>
  <c r="CF16" i="11"/>
  <c r="CO16" i="6"/>
  <c r="CO60" i="6" s="1"/>
  <c r="CM33" i="11"/>
  <c r="CM78" i="5"/>
  <c r="CM28" i="11"/>
  <c r="CM75" i="5"/>
  <c r="CM111" i="11"/>
  <c r="CM106" i="11"/>
  <c r="CM38" i="11"/>
  <c r="CM39" i="11" s="1"/>
  <c r="CN36" i="11" s="1"/>
  <c r="CL31" i="5"/>
  <c r="CR99" i="14"/>
  <c r="CM8" i="11"/>
  <c r="CL8" i="15"/>
  <c r="CR104" i="14"/>
  <c r="CM140" i="11"/>
  <c r="CM61" i="19"/>
  <c r="CN13" i="19"/>
  <c r="CQ11" i="14"/>
  <c r="CM11" i="19"/>
  <c r="CQ9" i="14"/>
  <c r="CM9" i="19"/>
  <c r="CQ10" i="14"/>
  <c r="CM10" i="19"/>
  <c r="CR7" i="14"/>
  <c r="CN7" i="19"/>
  <c r="CR6" i="14"/>
  <c r="CN6" i="19"/>
  <c r="CS4" i="14"/>
  <c r="CO4" i="19"/>
  <c r="CM8" i="17"/>
  <c r="CL5" i="18"/>
  <c r="CL8" i="18" s="1"/>
  <c r="CO6" i="16"/>
  <c r="CN4" i="17"/>
  <c r="CM4" i="18" s="1"/>
  <c r="CM197" i="11"/>
  <c r="CN194" i="11" s="1"/>
  <c r="CG172" i="11"/>
  <c r="CG28" i="5"/>
  <c r="CN29" i="6"/>
  <c r="CM25" i="5"/>
  <c r="CN30" i="6"/>
  <c r="CM26" i="5"/>
  <c r="CN28" i="6"/>
  <c r="CM24" i="5"/>
  <c r="CM69" i="5"/>
  <c r="CL192" i="11"/>
  <c r="CM189" i="11" s="1"/>
  <c r="CL32" i="5"/>
  <c r="CA167" i="11"/>
  <c r="BZ19" i="15" s="1"/>
  <c r="CA27" i="5"/>
  <c r="CN55" i="4"/>
  <c r="CN54" i="4"/>
  <c r="CN52" i="4"/>
  <c r="CN53" i="4"/>
  <c r="CN33" i="6"/>
  <c r="CM175" i="11"/>
  <c r="CM176" i="11" s="1"/>
  <c r="CN32" i="6"/>
  <c r="CM170" i="11"/>
  <c r="CN31" i="6"/>
  <c r="CM166" i="11"/>
  <c r="CM190" i="11"/>
  <c r="CN36" i="6"/>
  <c r="CM185" i="11"/>
  <c r="CN35" i="6"/>
  <c r="CM145" i="11"/>
  <c r="CM214" i="11"/>
  <c r="CO36" i="10"/>
  <c r="CN11" i="10"/>
  <c r="CM11" i="5"/>
  <c r="CN12" i="6"/>
  <c r="CN5" i="11"/>
  <c r="CN14" i="11" s="1"/>
  <c r="CN13" i="5"/>
  <c r="CN231" i="11" s="1"/>
  <c r="CN10" i="6"/>
  <c r="CN9" i="10"/>
  <c r="CM9" i="5"/>
  <c r="CN44" i="4"/>
  <c r="CN8" i="4" s="1"/>
  <c r="CO8" i="2" s="1"/>
  <c r="CN31" i="4"/>
  <c r="CN32" i="4" s="1"/>
  <c r="CN33" i="4" s="1"/>
  <c r="CN35" i="4"/>
  <c r="CN21" i="4"/>
  <c r="CN18" i="4"/>
  <c r="CN42" i="4"/>
  <c r="CN20" i="4"/>
  <c r="CN24" i="4"/>
  <c r="CN23" i="4"/>
  <c r="CO48" i="10" s="1"/>
  <c r="CN50" i="4"/>
  <c r="CN22" i="4"/>
  <c r="CN17" i="4"/>
  <c r="CN48" i="4"/>
  <c r="CN16" i="4"/>
  <c r="CN43" i="4"/>
  <c r="CN30" i="4"/>
  <c r="CN36" i="4"/>
  <c r="CN51" i="4"/>
  <c r="CN29" i="4"/>
  <c r="CN37" i="4"/>
  <c r="CN38" i="4" s="1"/>
  <c r="CN39" i="4" s="1"/>
  <c r="CN41" i="4"/>
  <c r="CN7" i="5"/>
  <c r="CO8" i="6"/>
  <c r="CO7" i="10"/>
  <c r="CN10" i="10"/>
  <c r="CM10" i="5"/>
  <c r="CN11" i="6"/>
  <c r="CO6" i="10"/>
  <c r="CN6" i="5"/>
  <c r="CO7" i="6"/>
  <c r="CO5" i="4"/>
  <c r="CP5" i="2" s="1"/>
  <c r="CP14" i="2" s="1"/>
  <c r="CP5" i="6"/>
  <c r="CP4" i="10"/>
  <c r="CO4" i="5"/>
  <c r="CN245" i="11" l="1"/>
  <c r="CN235" i="11"/>
  <c r="CO30" i="10"/>
  <c r="CO21" i="6"/>
  <c r="CO19" i="10" s="1"/>
  <c r="CL252" i="11"/>
  <c r="CM249" i="11" s="1"/>
  <c r="CL68" i="11"/>
  <c r="CL102" i="5" s="1"/>
  <c r="CL27" i="19" s="1"/>
  <c r="CM247" i="11"/>
  <c r="CN244" i="11" s="1"/>
  <c r="CM250" i="11"/>
  <c r="CN72" i="11"/>
  <c r="CN106" i="5" s="1"/>
  <c r="CN67" i="11"/>
  <c r="CN101" i="5" s="1"/>
  <c r="CF18" i="11"/>
  <c r="CF70" i="5" s="1"/>
  <c r="CF68" i="5" s="1"/>
  <c r="CM112" i="11"/>
  <c r="CN109" i="11" s="1"/>
  <c r="CM43" i="5"/>
  <c r="CM107" i="11"/>
  <c r="CN104" i="11" s="1"/>
  <c r="CM42" i="5"/>
  <c r="CM29" i="11"/>
  <c r="CN26" i="11" s="1"/>
  <c r="CN105" i="11" s="1"/>
  <c r="CO48" i="6" s="1"/>
  <c r="CM76" i="5"/>
  <c r="CM74" i="5" s="1"/>
  <c r="CM34" i="11"/>
  <c r="CN31" i="11" s="1"/>
  <c r="CN110" i="11" s="1"/>
  <c r="CO49" i="6" s="1"/>
  <c r="CM79" i="5"/>
  <c r="CM77" i="5" s="1"/>
  <c r="CN32" i="11"/>
  <c r="CM82" i="5"/>
  <c r="CM80" i="5" s="1"/>
  <c r="CO31" i="10"/>
  <c r="CR88" i="14"/>
  <c r="CN37" i="11"/>
  <c r="CN38" i="11" s="1"/>
  <c r="CN27" i="11"/>
  <c r="CN7" i="11"/>
  <c r="CM7" i="15"/>
  <c r="CO22" i="2"/>
  <c r="CO30" i="2"/>
  <c r="CO21" i="2"/>
  <c r="CO24" i="2"/>
  <c r="CO23" i="2"/>
  <c r="CO25" i="2"/>
  <c r="CO4" i="11"/>
  <c r="CN4" i="15"/>
  <c r="CN6" i="11"/>
  <c r="CM6" i="15"/>
  <c r="CM11" i="11"/>
  <c r="CL11" i="15"/>
  <c r="CM10" i="11"/>
  <c r="CL10" i="15"/>
  <c r="CM9" i="11"/>
  <c r="CL9" i="15"/>
  <c r="CN57" i="11"/>
  <c r="CN90" i="5" s="1"/>
  <c r="CN61" i="19" s="1"/>
  <c r="CN87" i="11"/>
  <c r="CN88" i="11" s="1"/>
  <c r="CR8" i="14"/>
  <c r="CN8" i="19"/>
  <c r="CS5" i="14"/>
  <c r="CS15" i="14" s="1"/>
  <c r="CO5" i="19"/>
  <c r="CN5" i="17"/>
  <c r="CO10" i="16"/>
  <c r="CO54" i="16" s="1"/>
  <c r="CO80" i="16" s="1"/>
  <c r="CP5" i="16"/>
  <c r="CH169" i="11"/>
  <c r="CB164" i="11"/>
  <c r="CM191" i="11"/>
  <c r="CM192" i="11" s="1"/>
  <c r="CN189" i="11" s="1"/>
  <c r="CO41" i="6"/>
  <c r="CN195" i="11" s="1"/>
  <c r="CN196" i="11" s="1"/>
  <c r="CN39" i="5" s="1"/>
  <c r="CO25" i="6"/>
  <c r="CN35" i="5" s="1"/>
  <c r="CM177" i="11"/>
  <c r="CN174" i="11" s="1"/>
  <c r="CM29" i="5"/>
  <c r="CM186" i="11"/>
  <c r="CB165" i="11"/>
  <c r="CO53" i="10"/>
  <c r="CM157" i="11"/>
  <c r="CO47" i="10"/>
  <c r="CO50" i="10"/>
  <c r="CO44" i="10"/>
  <c r="CO22" i="10"/>
  <c r="CO28" i="10"/>
  <c r="CO45" i="10"/>
  <c r="CO49" i="10"/>
  <c r="CO52" i="10"/>
  <c r="CO24" i="10"/>
  <c r="CO27" i="10"/>
  <c r="CO23" i="10"/>
  <c r="CO25" i="10"/>
  <c r="CO26" i="10"/>
  <c r="CO46" i="10"/>
  <c r="CN8" i="5"/>
  <c r="CO9" i="6"/>
  <c r="CO8" i="10"/>
  <c r="CP4" i="4"/>
  <c r="CQ4" i="2" s="1"/>
  <c r="CO6" i="4"/>
  <c r="CP6" i="2" s="1"/>
  <c r="CO14" i="4"/>
  <c r="CO7" i="4"/>
  <c r="CP7" i="2" s="1"/>
  <c r="CP6" i="6"/>
  <c r="CP13" i="6" s="1"/>
  <c r="CO5" i="5"/>
  <c r="CP5" i="10"/>
  <c r="CP14" i="10" s="1"/>
  <c r="CN47" i="4"/>
  <c r="CN11" i="4" s="1"/>
  <c r="CO11" i="2" s="1"/>
  <c r="CN45" i="4"/>
  <c r="CN9" i="4" s="1"/>
  <c r="CO9" i="2" s="1"/>
  <c r="CN46" i="4"/>
  <c r="CN10" i="4" s="1"/>
  <c r="CO10" i="2" s="1"/>
  <c r="CN25" i="4"/>
  <c r="CN27" i="4"/>
  <c r="CN26" i="4"/>
  <c r="CN17" i="11"/>
  <c r="CN97" i="11"/>
  <c r="CN5" i="15" l="1"/>
  <c r="CN13" i="15" s="1"/>
  <c r="CO138" i="5"/>
  <c r="CO137" i="5"/>
  <c r="CO35" i="6"/>
  <c r="CN185" i="11"/>
  <c r="CM251" i="11"/>
  <c r="CM68" i="11" s="1"/>
  <c r="CM102" i="5" s="1"/>
  <c r="CM27" i="19" s="1"/>
  <c r="CN246" i="11"/>
  <c r="CF19" i="11"/>
  <c r="CO81" i="16"/>
  <c r="CP16" i="6"/>
  <c r="CP60" i="6" s="1"/>
  <c r="CN28" i="11"/>
  <c r="CN75" i="5"/>
  <c r="CN33" i="11"/>
  <c r="CN78" i="5"/>
  <c r="CN111" i="11"/>
  <c r="CN106" i="11"/>
  <c r="CN81" i="5"/>
  <c r="CS99" i="14"/>
  <c r="CN8" i="11"/>
  <c r="CM8" i="15"/>
  <c r="CS104" i="14"/>
  <c r="CN39" i="11"/>
  <c r="CO36" i="11" s="1"/>
  <c r="CN82" i="5"/>
  <c r="CN140" i="11"/>
  <c r="CO13" i="19"/>
  <c r="CS7" i="14"/>
  <c r="CO7" i="19"/>
  <c r="CS6" i="14"/>
  <c r="CO6" i="19"/>
  <c r="CR10" i="14"/>
  <c r="CN10" i="19"/>
  <c r="CT4" i="14"/>
  <c r="CP4" i="19"/>
  <c r="CR9" i="14"/>
  <c r="CN9" i="19"/>
  <c r="CR11" i="14"/>
  <c r="CN11" i="19"/>
  <c r="CP6" i="16"/>
  <c r="CO4" i="17"/>
  <c r="CN4" i="18" s="1"/>
  <c r="CN8" i="17"/>
  <c r="CM5" i="18"/>
  <c r="CM8" i="18" s="1"/>
  <c r="CM32" i="5"/>
  <c r="CH171" i="11"/>
  <c r="CH28" i="5" s="1"/>
  <c r="CO28" i="6"/>
  <c r="CN24" i="5"/>
  <c r="CO29" i="6"/>
  <c r="CN25" i="5"/>
  <c r="CN197" i="11"/>
  <c r="CO194" i="11" s="1"/>
  <c r="CO30" i="6"/>
  <c r="CN26" i="5"/>
  <c r="CO27" i="6"/>
  <c r="CN23" i="5"/>
  <c r="CN69" i="5"/>
  <c r="CM187" i="11"/>
  <c r="CN184" i="11" s="1"/>
  <c r="CM31" i="5"/>
  <c r="CB167" i="11"/>
  <c r="CA19" i="15" s="1"/>
  <c r="CB27" i="5"/>
  <c r="CO55" i="4"/>
  <c r="CO52" i="4"/>
  <c r="CO53" i="4"/>
  <c r="CO54" i="4"/>
  <c r="CO31" i="6"/>
  <c r="CN166" i="11"/>
  <c r="CO36" i="6"/>
  <c r="CN190" i="11"/>
  <c r="CN191" i="11" s="1"/>
  <c r="CO32" i="6"/>
  <c r="CN170" i="11"/>
  <c r="CN175" i="11"/>
  <c r="CN176" i="11" s="1"/>
  <c r="CO33" i="6"/>
  <c r="CN145" i="11"/>
  <c r="CN214" i="11"/>
  <c r="CP36" i="10"/>
  <c r="CP8" i="6"/>
  <c r="CP7" i="10"/>
  <c r="CO7" i="5"/>
  <c r="CO6" i="5"/>
  <c r="CP6" i="10"/>
  <c r="CP7" i="6"/>
  <c r="CO5" i="11"/>
  <c r="CO14" i="11" s="1"/>
  <c r="CO13" i="5"/>
  <c r="CO231" i="11" s="1"/>
  <c r="CO10" i="6"/>
  <c r="CN9" i="5"/>
  <c r="CO9" i="10"/>
  <c r="CO44" i="4"/>
  <c r="CO8" i="4" s="1"/>
  <c r="CP8" i="2" s="1"/>
  <c r="CO16" i="4"/>
  <c r="CO31" i="4"/>
  <c r="CO32" i="4" s="1"/>
  <c r="CO33" i="4" s="1"/>
  <c r="CO35" i="4"/>
  <c r="CO21" i="4"/>
  <c r="CO42" i="4"/>
  <c r="CO17" i="4"/>
  <c r="CO30" i="4"/>
  <c r="CO37" i="4"/>
  <c r="CO38" i="4" s="1"/>
  <c r="CO39" i="4" s="1"/>
  <c r="CO29" i="4"/>
  <c r="CO41" i="4"/>
  <c r="CO18" i="4"/>
  <c r="CO20" i="4"/>
  <c r="CO23" i="4"/>
  <c r="CP46" i="10" s="1"/>
  <c r="CO24" i="4"/>
  <c r="CO22" i="4"/>
  <c r="CP21" i="6" s="1"/>
  <c r="CP19" i="10" s="1"/>
  <c r="CO43" i="4"/>
  <c r="CO36" i="4"/>
  <c r="CO50" i="4"/>
  <c r="CO51" i="4"/>
  <c r="CO48" i="4"/>
  <c r="CP4" i="5"/>
  <c r="CQ5" i="6"/>
  <c r="CQ4" i="10"/>
  <c r="CP5" i="4"/>
  <c r="CQ5" i="2" s="1"/>
  <c r="CQ14" i="2" s="1"/>
  <c r="CO11" i="6"/>
  <c r="CN10" i="5"/>
  <c r="CO10" i="10"/>
  <c r="CO12" i="6"/>
  <c r="CN11" i="5"/>
  <c r="CO11" i="10"/>
  <c r="CO245" i="11" l="1"/>
  <c r="CO235" i="11"/>
  <c r="CM252" i="11"/>
  <c r="CN249" i="11" s="1"/>
  <c r="CN247" i="11"/>
  <c r="CO244" i="11" s="1"/>
  <c r="CN250" i="11"/>
  <c r="CO67" i="11"/>
  <c r="CO101" i="5" s="1"/>
  <c r="CO72" i="11"/>
  <c r="CO106" i="5" s="1"/>
  <c r="CE31" i="15"/>
  <c r="CG16" i="11"/>
  <c r="CN107" i="11"/>
  <c r="CO104" i="11" s="1"/>
  <c r="CN42" i="5"/>
  <c r="CN112" i="11"/>
  <c r="CO109" i="11" s="1"/>
  <c r="CN43" i="5"/>
  <c r="CN80" i="5"/>
  <c r="CN34" i="11"/>
  <c r="CO31" i="11" s="1"/>
  <c r="CO110" i="11" s="1"/>
  <c r="CP49" i="6" s="1"/>
  <c r="CN79" i="5"/>
  <c r="CN77" i="5" s="1"/>
  <c r="CN29" i="11"/>
  <c r="CO26" i="11" s="1"/>
  <c r="CO105" i="11" s="1"/>
  <c r="CP48" i="6" s="1"/>
  <c r="CN76" i="5"/>
  <c r="CN74" i="5" s="1"/>
  <c r="CO32" i="11"/>
  <c r="CP31" i="10"/>
  <c r="CO37" i="11"/>
  <c r="CO81" i="5" s="1"/>
  <c r="CO27" i="11"/>
  <c r="CS88" i="14"/>
  <c r="CO7" i="11"/>
  <c r="CN7" i="15"/>
  <c r="CN10" i="11"/>
  <c r="CM10" i="15"/>
  <c r="CP21" i="2"/>
  <c r="CP30" i="2"/>
  <c r="CP22" i="2"/>
  <c r="CP23" i="2"/>
  <c r="CP24" i="2"/>
  <c r="CP25" i="2"/>
  <c r="CN11" i="11"/>
  <c r="CM11" i="15"/>
  <c r="CO6" i="11"/>
  <c r="CN6" i="15"/>
  <c r="CN9" i="11"/>
  <c r="CM9" i="15"/>
  <c r="CP4" i="11"/>
  <c r="CO4" i="15"/>
  <c r="CO57" i="11"/>
  <c r="CO90" i="5" s="1"/>
  <c r="CO87" i="11"/>
  <c r="CO88" i="11" s="1"/>
  <c r="CS8" i="14"/>
  <c r="CO8" i="19"/>
  <c r="CT5" i="14"/>
  <c r="CT15" i="14" s="1"/>
  <c r="CP5" i="19"/>
  <c r="CO5" i="17"/>
  <c r="CP10" i="16"/>
  <c r="CP54" i="16" s="1"/>
  <c r="CP80" i="16" s="1"/>
  <c r="CQ5" i="16"/>
  <c r="CH172" i="11"/>
  <c r="CC164" i="11"/>
  <c r="CP41" i="6"/>
  <c r="CO195" i="11" s="1"/>
  <c r="CO196" i="11" s="1"/>
  <c r="CO39" i="5" s="1"/>
  <c r="CN186" i="11"/>
  <c r="CN31" i="5" s="1"/>
  <c r="CP25" i="6"/>
  <c r="CO35" i="5" s="1"/>
  <c r="CN177" i="11"/>
  <c r="CO174" i="11" s="1"/>
  <c r="CN29" i="5"/>
  <c r="CN192" i="11"/>
  <c r="CO189" i="11" s="1"/>
  <c r="CN32" i="5"/>
  <c r="CC165" i="11"/>
  <c r="CN157" i="11"/>
  <c r="CP47" i="10"/>
  <c r="CP30" i="10"/>
  <c r="CP22" i="10"/>
  <c r="CP45" i="10"/>
  <c r="CP24" i="10"/>
  <c r="CP53" i="10"/>
  <c r="CP44" i="10"/>
  <c r="CP25" i="10"/>
  <c r="CP50" i="10"/>
  <c r="CP27" i="10"/>
  <c r="CP23" i="10"/>
  <c r="CP26" i="10"/>
  <c r="CP49" i="10"/>
  <c r="CP28" i="10"/>
  <c r="CP52" i="10"/>
  <c r="CP48" i="10"/>
  <c r="CO45" i="4"/>
  <c r="CO9" i="4" s="1"/>
  <c r="CP9" i="2" s="1"/>
  <c r="CO25" i="4"/>
  <c r="CO26" i="4"/>
  <c r="CO27" i="4"/>
  <c r="CO46" i="4"/>
  <c r="CO10" i="4" s="1"/>
  <c r="CP10" i="2" s="1"/>
  <c r="CO47" i="4"/>
  <c r="CO11" i="4" s="1"/>
  <c r="CP11" i="2" s="1"/>
  <c r="CO17" i="11"/>
  <c r="CO97" i="11"/>
  <c r="CQ4" i="4"/>
  <c r="CR4" i="2" s="1"/>
  <c r="CP14" i="4"/>
  <c r="CP6" i="4"/>
  <c r="CQ6" i="2" s="1"/>
  <c r="CP7" i="4"/>
  <c r="CQ7" i="2" s="1"/>
  <c r="CP5" i="5"/>
  <c r="CQ6" i="6"/>
  <c r="CQ13" i="6" s="1"/>
  <c r="CQ5" i="10"/>
  <c r="CQ14" i="10" s="1"/>
  <c r="CP9" i="6"/>
  <c r="CO8" i="5"/>
  <c r="CP8" i="10"/>
  <c r="CO5" i="15" l="1"/>
  <c r="CO13" i="15" s="1"/>
  <c r="CP137" i="5"/>
  <c r="CP138" i="5"/>
  <c r="CT104" i="14"/>
  <c r="CO246" i="11"/>
  <c r="CN251" i="11"/>
  <c r="CP81" i="16"/>
  <c r="CG18" i="11"/>
  <c r="CG70" i="5" s="1"/>
  <c r="CG68" i="5" s="1"/>
  <c r="CQ16" i="6"/>
  <c r="CQ60" i="6" s="1"/>
  <c r="CO28" i="11"/>
  <c r="CO75" i="5"/>
  <c r="CO33" i="11"/>
  <c r="CO78" i="5"/>
  <c r="CO111" i="11"/>
  <c r="CO106" i="11"/>
  <c r="CO38" i="11"/>
  <c r="CO82" i="5" s="1"/>
  <c r="CO80" i="5" s="1"/>
  <c r="CT99" i="14"/>
  <c r="CO8" i="11"/>
  <c r="CN8" i="15"/>
  <c r="CI169" i="11"/>
  <c r="CI171" i="11" s="1"/>
  <c r="CI28" i="5" s="1"/>
  <c r="CO140" i="11"/>
  <c r="CO61" i="19"/>
  <c r="CP13" i="19"/>
  <c r="CU4" i="14"/>
  <c r="CQ4" i="19"/>
  <c r="CS10" i="14"/>
  <c r="CO10" i="19"/>
  <c r="CS11" i="14"/>
  <c r="CO11" i="19"/>
  <c r="CS9" i="14"/>
  <c r="CO9" i="19"/>
  <c r="CT7" i="14"/>
  <c r="CP7" i="19"/>
  <c r="CT6" i="14"/>
  <c r="CP6" i="19"/>
  <c r="CP4" i="17"/>
  <c r="CO4" i="18" s="1"/>
  <c r="CQ6" i="16"/>
  <c r="CN5" i="18"/>
  <c r="CN8" i="18" s="1"/>
  <c r="CO8" i="17"/>
  <c r="CP27" i="6"/>
  <c r="CO23" i="5"/>
  <c r="CP28" i="6"/>
  <c r="CO24" i="5"/>
  <c r="CO197" i="11"/>
  <c r="CP194" i="11" s="1"/>
  <c r="CP30" i="6"/>
  <c r="CO26" i="5"/>
  <c r="CP29" i="6"/>
  <c r="CO25" i="5"/>
  <c r="CN187" i="11"/>
  <c r="CO184" i="11" s="1"/>
  <c r="CO69" i="5"/>
  <c r="CC167" i="11"/>
  <c r="CB19" i="15" s="1"/>
  <c r="CC27" i="5"/>
  <c r="CP55" i="4"/>
  <c r="CP53" i="4"/>
  <c r="CP52" i="4"/>
  <c r="CP54" i="4"/>
  <c r="CP33" i="6"/>
  <c r="CO175" i="11"/>
  <c r="CO176" i="11" s="1"/>
  <c r="CP31" i="6"/>
  <c r="CO166" i="11"/>
  <c r="CP32" i="6"/>
  <c r="CO170" i="11"/>
  <c r="CP36" i="6"/>
  <c r="CO190" i="11"/>
  <c r="CP35" i="6"/>
  <c r="CO185" i="11"/>
  <c r="CO145" i="11"/>
  <c r="CO214" i="11"/>
  <c r="CQ36" i="10"/>
  <c r="CP10" i="10"/>
  <c r="CP11" i="6"/>
  <c r="CO10" i="5"/>
  <c r="CP12" i="6"/>
  <c r="CO11" i="5"/>
  <c r="CP11" i="10"/>
  <c r="CP10" i="6"/>
  <c r="CO9" i="5"/>
  <c r="CP9" i="10"/>
  <c r="CQ6" i="10"/>
  <c r="CP6" i="5"/>
  <c r="CQ7" i="6"/>
  <c r="CQ8" i="6"/>
  <c r="CQ7" i="10"/>
  <c r="CP7" i="5"/>
  <c r="CP5" i="11"/>
  <c r="CP14" i="11" s="1"/>
  <c r="CP13" i="5"/>
  <c r="CP231" i="11" s="1"/>
  <c r="CP44" i="4"/>
  <c r="CP8" i="4" s="1"/>
  <c r="CQ8" i="2" s="1"/>
  <c r="CP41" i="4"/>
  <c r="CP20" i="4"/>
  <c r="CP51" i="4"/>
  <c r="CP24" i="4"/>
  <c r="CP37" i="4"/>
  <c r="CP38" i="4" s="1"/>
  <c r="CP39" i="4" s="1"/>
  <c r="CP31" i="4"/>
  <c r="CP32" i="4" s="1"/>
  <c r="CP33" i="4" s="1"/>
  <c r="CP35" i="4"/>
  <c r="CP23" i="4"/>
  <c r="CP17" i="4"/>
  <c r="CP22" i="4"/>
  <c r="CP18" i="4"/>
  <c r="CP42" i="4"/>
  <c r="CP16" i="4"/>
  <c r="CP36" i="4"/>
  <c r="CP29" i="4"/>
  <c r="CP48" i="4"/>
  <c r="CP43" i="4"/>
  <c r="CP50" i="4"/>
  <c r="CP30" i="4"/>
  <c r="CP21" i="4"/>
  <c r="CQ5" i="4"/>
  <c r="CR5" i="2" s="1"/>
  <c r="CR14" i="2" s="1"/>
  <c r="CQ4" i="5"/>
  <c r="CR5" i="6"/>
  <c r="CR4" i="10"/>
  <c r="CP245" i="11" l="1"/>
  <c r="CP235" i="11"/>
  <c r="CQ30" i="10"/>
  <c r="CP185" i="11" s="1"/>
  <c r="CQ21" i="6"/>
  <c r="CQ19" i="10" s="1"/>
  <c r="CT88" i="14"/>
  <c r="CN252" i="11"/>
  <c r="CO249" i="11" s="1"/>
  <c r="CN68" i="11"/>
  <c r="CN102" i="5" s="1"/>
  <c r="CN27" i="19" s="1"/>
  <c r="CO247" i="11"/>
  <c r="CP244" i="11" s="1"/>
  <c r="CO250" i="11"/>
  <c r="CP72" i="11"/>
  <c r="CP106" i="5" s="1"/>
  <c r="CP67" i="11"/>
  <c r="CP101" i="5" s="1"/>
  <c r="CG19" i="11"/>
  <c r="CF31" i="15" s="1"/>
  <c r="CO112" i="11"/>
  <c r="CP109" i="11" s="1"/>
  <c r="CO43" i="5"/>
  <c r="CO107" i="11"/>
  <c r="CP104" i="11" s="1"/>
  <c r="CO42" i="5"/>
  <c r="CO34" i="11"/>
  <c r="CP31" i="11" s="1"/>
  <c r="CP110" i="11" s="1"/>
  <c r="CQ49" i="6" s="1"/>
  <c r="CO79" i="5"/>
  <c r="CO77" i="5" s="1"/>
  <c r="CO29" i="11"/>
  <c r="CP26" i="11" s="1"/>
  <c r="CP105" i="11" s="1"/>
  <c r="CQ48" i="6" s="1"/>
  <c r="CO76" i="5"/>
  <c r="CO74" i="5" s="1"/>
  <c r="CO39" i="11"/>
  <c r="CP36" i="11" s="1"/>
  <c r="CP32" i="11"/>
  <c r="CQ31" i="10"/>
  <c r="CP37" i="11"/>
  <c r="CP27" i="11"/>
  <c r="CP6" i="11"/>
  <c r="CO6" i="15"/>
  <c r="CO11" i="11"/>
  <c r="CN11" i="15"/>
  <c r="CQ4" i="11"/>
  <c r="CP4" i="15"/>
  <c r="CQ23" i="2"/>
  <c r="CQ21" i="2"/>
  <c r="CQ22" i="2"/>
  <c r="CQ30" i="2"/>
  <c r="CQ24" i="2"/>
  <c r="CQ25" i="2"/>
  <c r="CP7" i="11"/>
  <c r="CO7" i="15"/>
  <c r="CO10" i="11"/>
  <c r="CN10" i="15"/>
  <c r="CO9" i="11"/>
  <c r="CN9" i="15"/>
  <c r="CP57" i="11"/>
  <c r="CP90" i="5" s="1"/>
  <c r="CP87" i="11"/>
  <c r="CP88" i="11" s="1"/>
  <c r="CT8" i="14"/>
  <c r="CP8" i="19"/>
  <c r="CU5" i="14"/>
  <c r="CU15" i="14" s="1"/>
  <c r="CQ5" i="19"/>
  <c r="CQ10" i="16"/>
  <c r="CQ54" i="16" s="1"/>
  <c r="CQ80" i="16" s="1"/>
  <c r="CR5" i="16"/>
  <c r="CP5" i="17"/>
  <c r="CI172" i="11"/>
  <c r="CD164" i="11"/>
  <c r="CQ41" i="6"/>
  <c r="CP195" i="11" s="1"/>
  <c r="CP196" i="11" s="1"/>
  <c r="CQ25" i="6"/>
  <c r="CP35" i="5" s="1"/>
  <c r="CO177" i="11"/>
  <c r="CP174" i="11" s="1"/>
  <c r="CO29" i="5"/>
  <c r="CO186" i="11"/>
  <c r="CO191" i="11"/>
  <c r="CD165" i="11"/>
  <c r="CO157" i="11"/>
  <c r="CQ50" i="10"/>
  <c r="CQ45" i="10"/>
  <c r="CQ53" i="10"/>
  <c r="CQ48" i="10"/>
  <c r="CQ52" i="10"/>
  <c r="CQ47" i="10"/>
  <c r="CQ27" i="10"/>
  <c r="CQ28" i="10"/>
  <c r="CQ22" i="10"/>
  <c r="CQ46" i="10"/>
  <c r="CQ26" i="10"/>
  <c r="CQ23" i="10"/>
  <c r="CQ49" i="10"/>
  <c r="CQ24" i="10"/>
  <c r="CQ25" i="10"/>
  <c r="CQ44" i="10"/>
  <c r="CP45" i="4"/>
  <c r="CP9" i="4" s="1"/>
  <c r="CQ9" i="2" s="1"/>
  <c r="CP46" i="4"/>
  <c r="CP10" i="4" s="1"/>
  <c r="CQ10" i="2" s="1"/>
  <c r="CP25" i="4"/>
  <c r="CP27" i="4"/>
  <c r="CP47" i="4"/>
  <c r="CP11" i="4" s="1"/>
  <c r="CQ11" i="2" s="1"/>
  <c r="CP26" i="4"/>
  <c r="CQ6" i="4"/>
  <c r="CR6" i="2" s="1"/>
  <c r="CQ7" i="4"/>
  <c r="CR7" i="2" s="1"/>
  <c r="CQ14" i="4"/>
  <c r="CR4" i="4"/>
  <c r="CS4" i="2" s="1"/>
  <c r="CR6" i="6"/>
  <c r="CR13" i="6" s="1"/>
  <c r="CQ5" i="5"/>
  <c r="CR5" i="10"/>
  <c r="CR14" i="10" s="1"/>
  <c r="CQ8" i="10"/>
  <c r="CQ9" i="6"/>
  <c r="CP8" i="5"/>
  <c r="CP97" i="11"/>
  <c r="CP17" i="11"/>
  <c r="CP5" i="15" l="1"/>
  <c r="CP13" i="15" s="1"/>
  <c r="CQ138" i="5"/>
  <c r="CQ137" i="5"/>
  <c r="CQ35" i="6"/>
  <c r="CO251" i="11"/>
  <c r="CO252" i="11" s="1"/>
  <c r="CP249" i="11" s="1"/>
  <c r="CH16" i="11"/>
  <c r="CH18" i="11" s="1"/>
  <c r="CH70" i="5" s="1"/>
  <c r="CH68" i="5" s="1"/>
  <c r="CP246" i="11"/>
  <c r="CQ81" i="16"/>
  <c r="CR16" i="6"/>
  <c r="CR60" i="6" s="1"/>
  <c r="CP38" i="11"/>
  <c r="CP33" i="11"/>
  <c r="CP78" i="5"/>
  <c r="CP28" i="11"/>
  <c r="CP75" i="5"/>
  <c r="CP111" i="11"/>
  <c r="CP106" i="11"/>
  <c r="CP81" i="5"/>
  <c r="CU104" i="14"/>
  <c r="CP8" i="11"/>
  <c r="CO8" i="15"/>
  <c r="CJ169" i="11"/>
  <c r="CJ171" i="11" s="1"/>
  <c r="CJ28" i="5" s="1"/>
  <c r="CU99" i="14"/>
  <c r="CP140" i="11"/>
  <c r="CP61" i="19"/>
  <c r="CQ13" i="19"/>
  <c r="CU6" i="14"/>
  <c r="CQ6" i="19"/>
  <c r="CV4" i="14"/>
  <c r="CR4" i="19"/>
  <c r="CU7" i="14"/>
  <c r="CQ7" i="19"/>
  <c r="CT11" i="14"/>
  <c r="CP11" i="19"/>
  <c r="CT10" i="14"/>
  <c r="CP10" i="19"/>
  <c r="CT9" i="14"/>
  <c r="CP9" i="19"/>
  <c r="CR6" i="16"/>
  <c r="CQ4" i="17"/>
  <c r="CP4" i="18" s="1"/>
  <c r="CP8" i="17"/>
  <c r="CO5" i="18"/>
  <c r="CO8" i="18" s="1"/>
  <c r="CP39" i="5"/>
  <c r="CP197" i="11"/>
  <c r="CQ194" i="11" s="1"/>
  <c r="CQ28" i="6"/>
  <c r="CP24" i="5"/>
  <c r="CQ27" i="6"/>
  <c r="CP23" i="5"/>
  <c r="CQ30" i="6"/>
  <c r="CP26" i="5"/>
  <c r="CQ29" i="6"/>
  <c r="CP25" i="5"/>
  <c r="CP69" i="5"/>
  <c r="CO192" i="11"/>
  <c r="CP189" i="11" s="1"/>
  <c r="CO32" i="5"/>
  <c r="CO187" i="11"/>
  <c r="CP184" i="11" s="1"/>
  <c r="CP186" i="11" s="1"/>
  <c r="CO31" i="5"/>
  <c r="CD167" i="11"/>
  <c r="CC19" i="15" s="1"/>
  <c r="CD27" i="5"/>
  <c r="CQ53" i="4"/>
  <c r="CQ54" i="4"/>
  <c r="CQ55" i="4"/>
  <c r="CQ52" i="4"/>
  <c r="CP166" i="11"/>
  <c r="CQ31" i="6"/>
  <c r="CQ36" i="6"/>
  <c r="CP190" i="11"/>
  <c r="CQ33" i="6"/>
  <c r="CP175" i="11"/>
  <c r="CQ32" i="6"/>
  <c r="CP170" i="11"/>
  <c r="CP145" i="11"/>
  <c r="CP214" i="11"/>
  <c r="CR36" i="10"/>
  <c r="CQ12" i="6"/>
  <c r="CP11" i="5"/>
  <c r="CQ11" i="10"/>
  <c r="CQ5" i="11"/>
  <c r="CQ14" i="11" s="1"/>
  <c r="CQ13" i="5"/>
  <c r="CQ231" i="11" s="1"/>
  <c r="CR5" i="4"/>
  <c r="CS5" i="2" s="1"/>
  <c r="CS14" i="2" s="1"/>
  <c r="CS5" i="6"/>
  <c r="CS4" i="10"/>
  <c r="CR4" i="5"/>
  <c r="CQ11" i="6"/>
  <c r="CP10" i="5"/>
  <c r="CQ10" i="10"/>
  <c r="CQ44" i="4"/>
  <c r="CQ8" i="4" s="1"/>
  <c r="CR8" i="2" s="1"/>
  <c r="CQ16" i="4"/>
  <c r="CQ37" i="4"/>
  <c r="CQ38" i="4" s="1"/>
  <c r="CQ39" i="4" s="1"/>
  <c r="CQ21" i="4"/>
  <c r="CQ18" i="4"/>
  <c r="CQ31" i="4"/>
  <c r="CQ32" i="4" s="1"/>
  <c r="CQ33" i="4" s="1"/>
  <c r="CQ35" i="4"/>
  <c r="CQ23" i="4"/>
  <c r="CR47" i="10" s="1"/>
  <c r="CQ36" i="4"/>
  <c r="CQ24" i="4"/>
  <c r="CQ30" i="4"/>
  <c r="CQ29" i="4"/>
  <c r="CQ50" i="4"/>
  <c r="CQ22" i="4"/>
  <c r="CQ51" i="4"/>
  <c r="CQ17" i="4"/>
  <c r="CQ41" i="4"/>
  <c r="CQ20" i="4"/>
  <c r="CQ43" i="4"/>
  <c r="CQ48" i="4"/>
  <c r="CQ42" i="4"/>
  <c r="CQ10" i="6"/>
  <c r="CP9" i="5"/>
  <c r="CQ9" i="10"/>
  <c r="CQ7" i="5"/>
  <c r="CR7" i="10"/>
  <c r="CR8" i="6"/>
  <c r="CR7" i="6"/>
  <c r="CQ6" i="5"/>
  <c r="CR6" i="10"/>
  <c r="CQ245" i="11" l="1"/>
  <c r="CQ235" i="11"/>
  <c r="CR22" i="10"/>
  <c r="CR21" i="6"/>
  <c r="CR19" i="10" s="1"/>
  <c r="CO68" i="11"/>
  <c r="CO102" i="5" s="1"/>
  <c r="CO27" i="19" s="1"/>
  <c r="CP247" i="11"/>
  <c r="CQ244" i="11" s="1"/>
  <c r="CP250" i="11"/>
  <c r="CP251" i="11" s="1"/>
  <c r="CP252" i="11" s="1"/>
  <c r="CQ249" i="11" s="1"/>
  <c r="CQ72" i="11"/>
  <c r="CQ106" i="5" s="1"/>
  <c r="CQ67" i="11"/>
  <c r="CQ101" i="5" s="1"/>
  <c r="CH19" i="11"/>
  <c r="CG31" i="15" s="1"/>
  <c r="CP82" i="5"/>
  <c r="CP80" i="5" s="1"/>
  <c r="CP39" i="11"/>
  <c r="CQ36" i="11" s="1"/>
  <c r="CP112" i="11"/>
  <c r="CQ109" i="11" s="1"/>
  <c r="CP43" i="5"/>
  <c r="CP107" i="11"/>
  <c r="CQ104" i="11" s="1"/>
  <c r="CP42" i="5"/>
  <c r="CP29" i="11"/>
  <c r="CQ26" i="11" s="1"/>
  <c r="CQ105" i="11" s="1"/>
  <c r="CR48" i="6" s="1"/>
  <c r="CP76" i="5"/>
  <c r="CP74" i="5" s="1"/>
  <c r="CP34" i="11"/>
  <c r="CQ31" i="11" s="1"/>
  <c r="CQ110" i="11" s="1"/>
  <c r="CR49" i="6" s="1"/>
  <c r="CP79" i="5"/>
  <c r="CP77" i="5" s="1"/>
  <c r="CQ32" i="11"/>
  <c r="CR31" i="10"/>
  <c r="CQ37" i="11"/>
  <c r="CQ27" i="11"/>
  <c r="CU88" i="14"/>
  <c r="CR21" i="2"/>
  <c r="CR23" i="2"/>
  <c r="CR22" i="2"/>
  <c r="CR24" i="2"/>
  <c r="CR25" i="2"/>
  <c r="CR30" i="2"/>
  <c r="CR4" i="11"/>
  <c r="CQ4" i="15"/>
  <c r="CQ6" i="11"/>
  <c r="CP6" i="15"/>
  <c r="CP11" i="11"/>
  <c r="CO11" i="15"/>
  <c r="CQ7" i="11"/>
  <c r="CP7" i="15"/>
  <c r="CP9" i="11"/>
  <c r="CO9" i="15"/>
  <c r="CP10" i="11"/>
  <c r="CO10" i="15"/>
  <c r="CQ57" i="11"/>
  <c r="CQ90" i="5" s="1"/>
  <c r="CQ87" i="11"/>
  <c r="CQ88" i="11" s="1"/>
  <c r="CV5" i="14"/>
  <c r="CV15" i="14" s="1"/>
  <c r="CR5" i="19"/>
  <c r="CU8" i="14"/>
  <c r="CQ8" i="19"/>
  <c r="CR10" i="16"/>
  <c r="CR54" i="16" s="1"/>
  <c r="CR80" i="16" s="1"/>
  <c r="CS5" i="16"/>
  <c r="CQ5" i="17"/>
  <c r="CJ172" i="11"/>
  <c r="CE164" i="11"/>
  <c r="CP191" i="11"/>
  <c r="CP192" i="11" s="1"/>
  <c r="CQ189" i="11" s="1"/>
  <c r="CR41" i="6"/>
  <c r="CQ195" i="11" s="1"/>
  <c r="CQ196" i="11" s="1"/>
  <c r="CQ39" i="5" s="1"/>
  <c r="CR25" i="6"/>
  <c r="CQ35" i="5" s="1"/>
  <c r="CP187" i="11"/>
  <c r="CQ184" i="11" s="1"/>
  <c r="CP31" i="5"/>
  <c r="CP176" i="11"/>
  <c r="CE165" i="11"/>
  <c r="CP157" i="11"/>
  <c r="CR23" i="10"/>
  <c r="CR45" i="10"/>
  <c r="CR48" i="10"/>
  <c r="CR50" i="10"/>
  <c r="CR28" i="10"/>
  <c r="CR26" i="10"/>
  <c r="CR46" i="10"/>
  <c r="CR30" i="10"/>
  <c r="CR25" i="10"/>
  <c r="CR49" i="10"/>
  <c r="CR27" i="10"/>
  <c r="CR53" i="10"/>
  <c r="CR44" i="10"/>
  <c r="CR24" i="10"/>
  <c r="CR52" i="10"/>
  <c r="CQ17" i="11"/>
  <c r="CQ69" i="5" s="1"/>
  <c r="CQ97" i="11"/>
  <c r="CR7" i="4"/>
  <c r="CS7" i="2" s="1"/>
  <c r="CS4" i="4"/>
  <c r="CT4" i="2" s="1"/>
  <c r="CR6" i="4"/>
  <c r="CS6" i="2" s="1"/>
  <c r="CR14" i="4"/>
  <c r="CR5" i="5"/>
  <c r="CS6" i="6"/>
  <c r="CS13" i="6" s="1"/>
  <c r="CS5" i="10"/>
  <c r="CS14" i="10" s="1"/>
  <c r="CR9" i="6"/>
  <c r="CQ8" i="5"/>
  <c r="CR8" i="10"/>
  <c r="CQ25" i="4"/>
  <c r="CQ26" i="4"/>
  <c r="CQ27" i="4"/>
  <c r="CQ45" i="4"/>
  <c r="CQ9" i="4" s="1"/>
  <c r="CR9" i="2" s="1"/>
  <c r="CQ47" i="4"/>
  <c r="CQ11" i="4" s="1"/>
  <c r="CR11" i="2" s="1"/>
  <c r="CQ46" i="4"/>
  <c r="CQ10" i="4" s="1"/>
  <c r="CR10" i="2" s="1"/>
  <c r="CQ5" i="15" l="1"/>
  <c r="CQ13" i="15" s="1"/>
  <c r="CR138" i="5"/>
  <c r="CR137" i="5"/>
  <c r="CR27" i="6"/>
  <c r="CQ23" i="5"/>
  <c r="CP68" i="11"/>
  <c r="CP102" i="5" s="1"/>
  <c r="CP27" i="19" s="1"/>
  <c r="CQ246" i="11"/>
  <c r="CI16" i="11"/>
  <c r="CI18" i="11" s="1"/>
  <c r="CI70" i="5" s="1"/>
  <c r="CI68" i="5" s="1"/>
  <c r="CQ38" i="11"/>
  <c r="CQ82" i="5" s="1"/>
  <c r="CR81" i="16"/>
  <c r="CS16" i="6"/>
  <c r="CS60" i="6" s="1"/>
  <c r="CQ33" i="11"/>
  <c r="CQ78" i="5"/>
  <c r="CQ28" i="11"/>
  <c r="CQ75" i="5"/>
  <c r="CQ111" i="11"/>
  <c r="CQ106" i="11"/>
  <c r="CQ81" i="5"/>
  <c r="CV104" i="14"/>
  <c r="CQ8" i="11"/>
  <c r="CP8" i="15"/>
  <c r="CK169" i="11"/>
  <c r="CK171" i="11" s="1"/>
  <c r="CK28" i="5" s="1"/>
  <c r="CV99" i="14"/>
  <c r="CQ140" i="11"/>
  <c r="CQ61" i="19"/>
  <c r="CR13" i="19"/>
  <c r="CU9" i="14"/>
  <c r="CQ9" i="19"/>
  <c r="CU10" i="14"/>
  <c r="CQ10" i="19"/>
  <c r="CU11" i="14"/>
  <c r="CQ11" i="19"/>
  <c r="CV6" i="14"/>
  <c r="CR6" i="19"/>
  <c r="CW4" i="14"/>
  <c r="CS4" i="19"/>
  <c r="CV7" i="14"/>
  <c r="CR7" i="19"/>
  <c r="CQ8" i="17"/>
  <c r="CP5" i="18"/>
  <c r="CP8" i="18" s="1"/>
  <c r="CS6" i="16"/>
  <c r="CR4" i="17"/>
  <c r="CQ4" i="18" s="1"/>
  <c r="CP32" i="5"/>
  <c r="CR28" i="6"/>
  <c r="CQ24" i="5"/>
  <c r="CR29" i="6"/>
  <c r="CQ25" i="5"/>
  <c r="CQ197" i="11"/>
  <c r="CR194" i="11" s="1"/>
  <c r="CR30" i="6"/>
  <c r="CQ26" i="5"/>
  <c r="CP177" i="11"/>
  <c r="CQ174" i="11" s="1"/>
  <c r="CP29" i="5"/>
  <c r="CE167" i="11"/>
  <c r="CD19" i="15" s="1"/>
  <c r="CE27" i="5"/>
  <c r="CR52" i="4"/>
  <c r="CR55" i="4"/>
  <c r="CR54" i="4"/>
  <c r="CR53" i="4"/>
  <c r="CR36" i="6"/>
  <c r="CQ190" i="11"/>
  <c r="CR32" i="6"/>
  <c r="CQ170" i="11"/>
  <c r="CR35" i="6"/>
  <c r="CQ185" i="11"/>
  <c r="CR31" i="6"/>
  <c r="CQ166" i="11"/>
  <c r="CR33" i="6"/>
  <c r="CQ175" i="11"/>
  <c r="CQ145" i="11"/>
  <c r="CQ214" i="11"/>
  <c r="CS36" i="10"/>
  <c r="CT4" i="10"/>
  <c r="CS5" i="4"/>
  <c r="CT5" i="2" s="1"/>
  <c r="CT14" i="2" s="1"/>
  <c r="CT5" i="6"/>
  <c r="CS4" i="5"/>
  <c r="CS6" i="10"/>
  <c r="CS7" i="6"/>
  <c r="CR6" i="5"/>
  <c r="CQ10" i="5"/>
  <c r="CR11" i="6"/>
  <c r="CR10" i="10"/>
  <c r="CR9" i="10"/>
  <c r="CR10" i="6"/>
  <c r="CQ9" i="5"/>
  <c r="CR44" i="4"/>
  <c r="CR8" i="4" s="1"/>
  <c r="CS8" i="2" s="1"/>
  <c r="CR42" i="4"/>
  <c r="CR23" i="4"/>
  <c r="CS52" i="10" s="1"/>
  <c r="CR43" i="4"/>
  <c r="CR36" i="4"/>
  <c r="CR24" i="4"/>
  <c r="CR41" i="4"/>
  <c r="CR35" i="4"/>
  <c r="CR21" i="4"/>
  <c r="CR20" i="4"/>
  <c r="CR48" i="4"/>
  <c r="CR50" i="4"/>
  <c r="CR31" i="4"/>
  <c r="CR32" i="4" s="1"/>
  <c r="CR33" i="4" s="1"/>
  <c r="CR22" i="4"/>
  <c r="CR30" i="4"/>
  <c r="CR37" i="4"/>
  <c r="CR38" i="4" s="1"/>
  <c r="CR39" i="4" s="1"/>
  <c r="CR17" i="4"/>
  <c r="CR29" i="4"/>
  <c r="CR51" i="4"/>
  <c r="CR18" i="4"/>
  <c r="CR16" i="4"/>
  <c r="CS8" i="6"/>
  <c r="CR7" i="5"/>
  <c r="CS7" i="10"/>
  <c r="CQ11" i="5"/>
  <c r="CR11" i="10"/>
  <c r="CR12" i="6"/>
  <c r="CR5" i="11"/>
  <c r="CR14" i="11" s="1"/>
  <c r="CR13" i="5"/>
  <c r="CR231" i="11" s="1"/>
  <c r="CR245" i="11" l="1"/>
  <c r="CR235" i="11"/>
  <c r="CS25" i="10"/>
  <c r="CS21" i="6"/>
  <c r="CS19" i="10" s="1"/>
  <c r="CQ247" i="11"/>
  <c r="CR244" i="11" s="1"/>
  <c r="CQ250" i="11"/>
  <c r="CQ251" i="11" s="1"/>
  <c r="CQ252" i="11" s="1"/>
  <c r="CR249" i="11" s="1"/>
  <c r="CR72" i="11"/>
  <c r="CR106" i="5" s="1"/>
  <c r="CR67" i="11"/>
  <c r="CR101" i="5" s="1"/>
  <c r="CI19" i="11"/>
  <c r="CH31" i="15" s="1"/>
  <c r="CQ39" i="11"/>
  <c r="CR36" i="11" s="1"/>
  <c r="CQ80" i="5"/>
  <c r="CQ112" i="11"/>
  <c r="CR109" i="11" s="1"/>
  <c r="CQ43" i="5"/>
  <c r="CQ107" i="11"/>
  <c r="CR104" i="11" s="1"/>
  <c r="CQ42" i="5"/>
  <c r="CQ29" i="11"/>
  <c r="CR26" i="11" s="1"/>
  <c r="CR105" i="11" s="1"/>
  <c r="CS48" i="6" s="1"/>
  <c r="CQ76" i="5"/>
  <c r="CQ74" i="5" s="1"/>
  <c r="CQ34" i="11"/>
  <c r="CR31" i="11" s="1"/>
  <c r="CR110" i="11" s="1"/>
  <c r="CS49" i="6" s="1"/>
  <c r="CQ79" i="5"/>
  <c r="CQ77" i="5" s="1"/>
  <c r="CR32" i="11"/>
  <c r="CS31" i="10"/>
  <c r="CR37" i="11"/>
  <c r="CR81" i="5" s="1"/>
  <c r="CR27" i="11"/>
  <c r="CV88" i="14"/>
  <c r="CQ11" i="11"/>
  <c r="CP11" i="15"/>
  <c r="CQ9" i="11"/>
  <c r="CP9" i="15"/>
  <c r="CQ10" i="11"/>
  <c r="CP10" i="15"/>
  <c r="CS22" i="2"/>
  <c r="CS23" i="2"/>
  <c r="CS21" i="2"/>
  <c r="CS25" i="2"/>
  <c r="CS30" i="2"/>
  <c r="CS24" i="2"/>
  <c r="CR6" i="11"/>
  <c r="CQ6" i="15"/>
  <c r="CS4" i="11"/>
  <c r="CR4" i="15"/>
  <c r="CR7" i="11"/>
  <c r="CQ7" i="15"/>
  <c r="CR57" i="11"/>
  <c r="CR90" i="5" s="1"/>
  <c r="CR87" i="11"/>
  <c r="CR88" i="11" s="1"/>
  <c r="CV8" i="14"/>
  <c r="CR8" i="19"/>
  <c r="CW5" i="14"/>
  <c r="CW15" i="14" s="1"/>
  <c r="CS5" i="19"/>
  <c r="CR5" i="17"/>
  <c r="CS10" i="16"/>
  <c r="CS54" i="16" s="1"/>
  <c r="CS80" i="16" s="1"/>
  <c r="CT5" i="16"/>
  <c r="CK172" i="11"/>
  <c r="CF164" i="11"/>
  <c r="CQ176" i="11"/>
  <c r="CQ177" i="11" s="1"/>
  <c r="CR174" i="11" s="1"/>
  <c r="CS25" i="6"/>
  <c r="CR35" i="5" s="1"/>
  <c r="CS41" i="6"/>
  <c r="CR195" i="11" s="1"/>
  <c r="CR196" i="11" s="1"/>
  <c r="CR39" i="5" s="1"/>
  <c r="CQ191" i="11"/>
  <c r="CF165" i="11"/>
  <c r="CQ186" i="11"/>
  <c r="CQ157" i="11"/>
  <c r="CS22" i="10"/>
  <c r="CS50" i="10"/>
  <c r="CS44" i="10"/>
  <c r="CS26" i="10"/>
  <c r="CS46" i="10"/>
  <c r="CS27" i="10"/>
  <c r="CS48" i="10"/>
  <c r="CS45" i="10"/>
  <c r="CS23" i="10"/>
  <c r="CS53" i="10"/>
  <c r="CS28" i="10"/>
  <c r="CS49" i="10"/>
  <c r="CS24" i="10"/>
  <c r="CS30" i="10"/>
  <c r="CS47" i="10"/>
  <c r="CR97" i="11"/>
  <c r="CR17" i="11"/>
  <c r="CS9" i="6"/>
  <c r="CR8" i="5"/>
  <c r="CS8" i="10"/>
  <c r="CS7" i="4"/>
  <c r="CT7" i="2" s="1"/>
  <c r="CS14" i="4"/>
  <c r="CT4" i="4"/>
  <c r="CU4" i="2" s="1"/>
  <c r="CS6" i="4"/>
  <c r="CT6" i="2" s="1"/>
  <c r="CT6" i="6"/>
  <c r="CT13" i="6" s="1"/>
  <c r="CS5" i="5"/>
  <c r="CT5" i="10"/>
  <c r="CT14" i="10" s="1"/>
  <c r="CR45" i="4"/>
  <c r="CR9" i="4" s="1"/>
  <c r="CS9" i="2" s="1"/>
  <c r="CR47" i="4"/>
  <c r="CR11" i="4" s="1"/>
  <c r="CS11" i="2" s="1"/>
  <c r="CR46" i="4"/>
  <c r="CR10" i="4" s="1"/>
  <c r="CS10" i="2" s="1"/>
  <c r="CR26" i="4"/>
  <c r="CR25" i="4"/>
  <c r="CR27" i="4"/>
  <c r="CR5" i="15" l="1"/>
  <c r="CR13" i="15" s="1"/>
  <c r="CS137" i="5"/>
  <c r="CS138" i="5"/>
  <c r="CS30" i="6"/>
  <c r="CR26" i="5"/>
  <c r="CQ68" i="11"/>
  <c r="CQ102" i="5" s="1"/>
  <c r="CQ27" i="19" s="1"/>
  <c r="CR246" i="11"/>
  <c r="CJ16" i="11"/>
  <c r="CJ18" i="11" s="1"/>
  <c r="CJ70" i="5" s="1"/>
  <c r="CJ68" i="5" s="1"/>
  <c r="CS81" i="16"/>
  <c r="CT16" i="6"/>
  <c r="CT60" i="6" s="1"/>
  <c r="CR33" i="11"/>
  <c r="CR78" i="5"/>
  <c r="CR28" i="11"/>
  <c r="CR75" i="5"/>
  <c r="CR111" i="11"/>
  <c r="CR106" i="11"/>
  <c r="CR38" i="11"/>
  <c r="CR82" i="5" s="1"/>
  <c r="CR80" i="5" s="1"/>
  <c r="CW99" i="14"/>
  <c r="CW104" i="14"/>
  <c r="CR8" i="11"/>
  <c r="CQ8" i="15"/>
  <c r="CR140" i="11"/>
  <c r="CR61" i="19"/>
  <c r="CS13" i="19"/>
  <c r="CW6" i="14"/>
  <c r="CS6" i="19"/>
  <c r="CX4" i="14"/>
  <c r="CT4" i="19"/>
  <c r="CV10" i="14"/>
  <c r="CR10" i="19"/>
  <c r="CW7" i="14"/>
  <c r="CS7" i="19"/>
  <c r="CV11" i="14"/>
  <c r="CR11" i="19"/>
  <c r="CV9" i="14"/>
  <c r="CR9" i="19"/>
  <c r="CT6" i="16"/>
  <c r="CS4" i="17"/>
  <c r="CR4" i="18" s="1"/>
  <c r="CQ5" i="18"/>
  <c r="CQ8" i="18" s="1"/>
  <c r="CR8" i="17"/>
  <c r="CQ29" i="5"/>
  <c r="CL169" i="11"/>
  <c r="CS28" i="6"/>
  <c r="CR24" i="5"/>
  <c r="CS27" i="6"/>
  <c r="CR23" i="5"/>
  <c r="CR197" i="11"/>
  <c r="CS194" i="11" s="1"/>
  <c r="CS29" i="6"/>
  <c r="CR25" i="5"/>
  <c r="CR69" i="5"/>
  <c r="CQ187" i="11"/>
  <c r="CR184" i="11" s="1"/>
  <c r="CQ31" i="5"/>
  <c r="CQ192" i="11"/>
  <c r="CR189" i="11" s="1"/>
  <c r="CQ32" i="5"/>
  <c r="CF167" i="11"/>
  <c r="CE19" i="15" s="1"/>
  <c r="CF27" i="5"/>
  <c r="CS53" i="4"/>
  <c r="CS54" i="4"/>
  <c r="CS55" i="4"/>
  <c r="CS52" i="4"/>
  <c r="CS35" i="6"/>
  <c r="CR185" i="11"/>
  <c r="CS33" i="6"/>
  <c r="CR175" i="11"/>
  <c r="CR176" i="11" s="1"/>
  <c r="CS32" i="6"/>
  <c r="CR170" i="11"/>
  <c r="CS36" i="6"/>
  <c r="CR190" i="11"/>
  <c r="CS31" i="6"/>
  <c r="CR166" i="11"/>
  <c r="CR145" i="11"/>
  <c r="CR214" i="11"/>
  <c r="CT36" i="10"/>
  <c r="CS44" i="4"/>
  <c r="CS8" i="4" s="1"/>
  <c r="CT8" i="2" s="1"/>
  <c r="CS17" i="4"/>
  <c r="CS48" i="4"/>
  <c r="CS41" i="4"/>
  <c r="CS42" i="4"/>
  <c r="CS20" i="4"/>
  <c r="CS16" i="4"/>
  <c r="CS31" i="4"/>
  <c r="CS32" i="4" s="1"/>
  <c r="CS33" i="4" s="1"/>
  <c r="CS37" i="4"/>
  <c r="CS38" i="4" s="1"/>
  <c r="CS39" i="4" s="1"/>
  <c r="CS36" i="4"/>
  <c r="CS35" i="4"/>
  <c r="CS23" i="4"/>
  <c r="CT45" i="10" s="1"/>
  <c r="CS22" i="4"/>
  <c r="CS30" i="4"/>
  <c r="CS29" i="4"/>
  <c r="CS51" i="4"/>
  <c r="CS21" i="4"/>
  <c r="CS43" i="4"/>
  <c r="CS18" i="4"/>
  <c r="CS50" i="4"/>
  <c r="CS24" i="4"/>
  <c r="CT7" i="6"/>
  <c r="CS6" i="5"/>
  <c r="CT6" i="10"/>
  <c r="CS11" i="6"/>
  <c r="CR10" i="5"/>
  <c r="CS10" i="10"/>
  <c r="CS10" i="6"/>
  <c r="CR9" i="5"/>
  <c r="CS9" i="10"/>
  <c r="CS5" i="11"/>
  <c r="CS14" i="11" s="1"/>
  <c r="CS13" i="5"/>
  <c r="CS231" i="11" s="1"/>
  <c r="CT4" i="5"/>
  <c r="CU4" i="10"/>
  <c r="CT5" i="4"/>
  <c r="CU5" i="2" s="1"/>
  <c r="CU14" i="2" s="1"/>
  <c r="CU5" i="6"/>
  <c r="CS11" i="10"/>
  <c r="CR11" i="5"/>
  <c r="CS12" i="6"/>
  <c r="CT7" i="10"/>
  <c r="CS7" i="5"/>
  <c r="CT8" i="6"/>
  <c r="CS245" i="11" l="1"/>
  <c r="CS235" i="11"/>
  <c r="CT24" i="10"/>
  <c r="CT21" i="6"/>
  <c r="CT19" i="10" s="1"/>
  <c r="CR247" i="11"/>
  <c r="CS244" i="11" s="1"/>
  <c r="CR250" i="11"/>
  <c r="CR251" i="11" s="1"/>
  <c r="CR252" i="11" s="1"/>
  <c r="CS249" i="11" s="1"/>
  <c r="CS72" i="11"/>
  <c r="CS106" i="5" s="1"/>
  <c r="CS67" i="11"/>
  <c r="CS101" i="5" s="1"/>
  <c r="CJ19" i="11"/>
  <c r="CR112" i="11"/>
  <c r="CS109" i="11" s="1"/>
  <c r="CR43" i="5"/>
  <c r="CR107" i="11"/>
  <c r="CS104" i="11" s="1"/>
  <c r="CR42" i="5"/>
  <c r="CR29" i="11"/>
  <c r="CS26" i="11" s="1"/>
  <c r="CS105" i="11" s="1"/>
  <c r="CT48" i="6" s="1"/>
  <c r="CR76" i="5"/>
  <c r="CR74" i="5" s="1"/>
  <c r="CR34" i="11"/>
  <c r="CS31" i="11" s="1"/>
  <c r="CS110" i="11" s="1"/>
  <c r="CT49" i="6" s="1"/>
  <c r="CR79" i="5"/>
  <c r="CR77" i="5" s="1"/>
  <c r="CR39" i="11"/>
  <c r="CS36" i="11" s="1"/>
  <c r="CS32" i="11"/>
  <c r="CT31" i="10"/>
  <c r="CS37" i="11"/>
  <c r="CS27" i="11"/>
  <c r="CW88" i="14"/>
  <c r="CS6" i="11"/>
  <c r="CR6" i="15"/>
  <c r="CT4" i="11"/>
  <c r="CS4" i="15"/>
  <c r="CS7" i="11"/>
  <c r="CR7" i="15"/>
  <c r="CR9" i="11"/>
  <c r="CQ9" i="15"/>
  <c r="CR11" i="11"/>
  <c r="CQ11" i="15"/>
  <c r="CR10" i="11"/>
  <c r="CQ10" i="15"/>
  <c r="CT24" i="2"/>
  <c r="CT23" i="2"/>
  <c r="CT22" i="2"/>
  <c r="CT21" i="2"/>
  <c r="CT30" i="2"/>
  <c r="CT25" i="2"/>
  <c r="CS57" i="11"/>
  <c r="CS90" i="5" s="1"/>
  <c r="CS87" i="11"/>
  <c r="CS88" i="11" s="1"/>
  <c r="CX5" i="14"/>
  <c r="CX15" i="14" s="1"/>
  <c r="CT5" i="19"/>
  <c r="CW8" i="14"/>
  <c r="CS8" i="19"/>
  <c r="CS5" i="17"/>
  <c r="CT10" i="16"/>
  <c r="CT54" i="16" s="1"/>
  <c r="CT80" i="16" s="1"/>
  <c r="CU5" i="16"/>
  <c r="CL171" i="11"/>
  <c r="CL28" i="5" s="1"/>
  <c r="CG164" i="11"/>
  <c r="CT41" i="6"/>
  <c r="CS195" i="11" s="1"/>
  <c r="CS196" i="11" s="1"/>
  <c r="CS39" i="5" s="1"/>
  <c r="CT25" i="6"/>
  <c r="CS35" i="5" s="1"/>
  <c r="CR191" i="11"/>
  <c r="CR192" i="11" s="1"/>
  <c r="CS189" i="11" s="1"/>
  <c r="CR177" i="11"/>
  <c r="CS174" i="11" s="1"/>
  <c r="CR29" i="5"/>
  <c r="CT25" i="10"/>
  <c r="CR186" i="11"/>
  <c r="CG165" i="11"/>
  <c r="CT26" i="10"/>
  <c r="CS166" i="11" s="1"/>
  <c r="CR157" i="11"/>
  <c r="CT52" i="10"/>
  <c r="CT47" i="10"/>
  <c r="CT28" i="10"/>
  <c r="CT53" i="10"/>
  <c r="CT50" i="10"/>
  <c r="CT23" i="10"/>
  <c r="CT46" i="10"/>
  <c r="CT22" i="10"/>
  <c r="CT44" i="10"/>
  <c r="CT30" i="10"/>
  <c r="CT48" i="10"/>
  <c r="CT27" i="10"/>
  <c r="CT49" i="10"/>
  <c r="CT14" i="4"/>
  <c r="CU4" i="4"/>
  <c r="CV4" i="2" s="1"/>
  <c r="CT6" i="4"/>
  <c r="CU6" i="2" s="1"/>
  <c r="CT7" i="4"/>
  <c r="CU7" i="2" s="1"/>
  <c r="CT5" i="5"/>
  <c r="CU5" i="10"/>
  <c r="CU14" i="10" s="1"/>
  <c r="CU6" i="6"/>
  <c r="CU13" i="6" s="1"/>
  <c r="CT8" i="10"/>
  <c r="CS8" i="5"/>
  <c r="CT9" i="6"/>
  <c r="CS17" i="11"/>
  <c r="CS97" i="11"/>
  <c r="CS46" i="4"/>
  <c r="CS10" i="4" s="1"/>
  <c r="CT10" i="2" s="1"/>
  <c r="CS26" i="4"/>
  <c r="CS27" i="4"/>
  <c r="CS45" i="4"/>
  <c r="CS9" i="4" s="1"/>
  <c r="CT9" i="2" s="1"/>
  <c r="CS47" i="4"/>
  <c r="CS11" i="4" s="1"/>
  <c r="CT11" i="2" s="1"/>
  <c r="CS25" i="4"/>
  <c r="CS5" i="15" l="1"/>
  <c r="CS13" i="15" s="1"/>
  <c r="CT138" i="5"/>
  <c r="CT137" i="5"/>
  <c r="CT29" i="6"/>
  <c r="CS25" i="5"/>
  <c r="CR68" i="11"/>
  <c r="CR102" i="5" s="1"/>
  <c r="CR27" i="19" s="1"/>
  <c r="CT81" i="16"/>
  <c r="CI31" i="15"/>
  <c r="CK16" i="11"/>
  <c r="CU16" i="6"/>
  <c r="CU60" i="6" s="1"/>
  <c r="CS33" i="11"/>
  <c r="CS78" i="5"/>
  <c r="CS28" i="11"/>
  <c r="CS75" i="5"/>
  <c r="CS38" i="11"/>
  <c r="CS82" i="5" s="1"/>
  <c r="CS111" i="11"/>
  <c r="CS106" i="11"/>
  <c r="CS81" i="5"/>
  <c r="CX99" i="14"/>
  <c r="CS8" i="11"/>
  <c r="CR8" i="15"/>
  <c r="CS140" i="11"/>
  <c r="CS61" i="19"/>
  <c r="CX104" i="14"/>
  <c r="CT13" i="19"/>
  <c r="CW11" i="14"/>
  <c r="CS11" i="19"/>
  <c r="CW9" i="14"/>
  <c r="CS9" i="19"/>
  <c r="CW10" i="14"/>
  <c r="CS10" i="19"/>
  <c r="CX6" i="14"/>
  <c r="CT6" i="19"/>
  <c r="CY4" i="14"/>
  <c r="CU4" i="19"/>
  <c r="CX7" i="14"/>
  <c r="CT7" i="19"/>
  <c r="CU6" i="16"/>
  <c r="CT4" i="17"/>
  <c r="CS4" i="18" s="1"/>
  <c r="CS8" i="17"/>
  <c r="CR5" i="18"/>
  <c r="CR8" i="18" s="1"/>
  <c r="CL172" i="11"/>
  <c r="CT28" i="6"/>
  <c r="CS24" i="5"/>
  <c r="CT27" i="6"/>
  <c r="CS23" i="5"/>
  <c r="CT30" i="6"/>
  <c r="CS26" i="5"/>
  <c r="CS197" i="11"/>
  <c r="CT194" i="11" s="1"/>
  <c r="CR32" i="5"/>
  <c r="CS69" i="5"/>
  <c r="CR187" i="11"/>
  <c r="CS184" i="11" s="1"/>
  <c r="CR31" i="5"/>
  <c r="CG167" i="11"/>
  <c r="CF19" i="15" s="1"/>
  <c r="CG27" i="5"/>
  <c r="CH165" i="11"/>
  <c r="CT31" i="6"/>
  <c r="CT55" i="4"/>
  <c r="CT54" i="4"/>
  <c r="CT52" i="4"/>
  <c r="CT53" i="4"/>
  <c r="CT32" i="6"/>
  <c r="CS170" i="11"/>
  <c r="CT35" i="6"/>
  <c r="CS185" i="11"/>
  <c r="CS190" i="11"/>
  <c r="CT36" i="6"/>
  <c r="CT33" i="6"/>
  <c r="CS175" i="11"/>
  <c r="CS176" i="11" s="1"/>
  <c r="CS145" i="11"/>
  <c r="CS214" i="11"/>
  <c r="CU36" i="10"/>
  <c r="CT11" i="6"/>
  <c r="CS10" i="5"/>
  <c r="CT10" i="10"/>
  <c r="CT5" i="11"/>
  <c r="CT14" i="11" s="1"/>
  <c r="CT13" i="5"/>
  <c r="CT231" i="11" s="1"/>
  <c r="CS11" i="5"/>
  <c r="CT11" i="10"/>
  <c r="CT12" i="6"/>
  <c r="CU8" i="6"/>
  <c r="CT7" i="5"/>
  <c r="CU7" i="10"/>
  <c r="CS9" i="5"/>
  <c r="CT10" i="6"/>
  <c r="CT9" i="10"/>
  <c r="CT6" i="5"/>
  <c r="CU7" i="6"/>
  <c r="CU6" i="10"/>
  <c r="CU4" i="5"/>
  <c r="CV4" i="10"/>
  <c r="CU5" i="4"/>
  <c r="CV5" i="2" s="1"/>
  <c r="CV14" i="2" s="1"/>
  <c r="CV5" i="6"/>
  <c r="CT44" i="4"/>
  <c r="CT8" i="4" s="1"/>
  <c r="CU8" i="2" s="1"/>
  <c r="CT42" i="4"/>
  <c r="CT37" i="4"/>
  <c r="CT38" i="4" s="1"/>
  <c r="CT39" i="4" s="1"/>
  <c r="CT31" i="4"/>
  <c r="CT32" i="4" s="1"/>
  <c r="CT33" i="4" s="1"/>
  <c r="CT30" i="4"/>
  <c r="CT43" i="4"/>
  <c r="CT21" i="4"/>
  <c r="CT35" i="4"/>
  <c r="CT36" i="4"/>
  <c r="CT29" i="4"/>
  <c r="CT18" i="4"/>
  <c r="CT48" i="4"/>
  <c r="CT41" i="4"/>
  <c r="CT24" i="4"/>
  <c r="CT16" i="4"/>
  <c r="CT22" i="4"/>
  <c r="CT17" i="4"/>
  <c r="CT51" i="4"/>
  <c r="CT20" i="4"/>
  <c r="CT50" i="4"/>
  <c r="CT23" i="4"/>
  <c r="CU52" i="10" s="1"/>
  <c r="CT245" i="11" l="1"/>
  <c r="CT235" i="11"/>
  <c r="CU25" i="10"/>
  <c r="CU30" i="6" s="1"/>
  <c r="CU21" i="6"/>
  <c r="CU19" i="10" s="1"/>
  <c r="CS246" i="11"/>
  <c r="CS250" i="11"/>
  <c r="CS251" i="11" s="1"/>
  <c r="CS252" i="11" s="1"/>
  <c r="CT249" i="11" s="1"/>
  <c r="CT72" i="11"/>
  <c r="CT106" i="5" s="1"/>
  <c r="CT67" i="11"/>
  <c r="CT101" i="5" s="1"/>
  <c r="CK18" i="11"/>
  <c r="CK70" i="5" s="1"/>
  <c r="CK68" i="5" s="1"/>
  <c r="CS39" i="11"/>
  <c r="CT36" i="11" s="1"/>
  <c r="CS107" i="11"/>
  <c r="CT104" i="11" s="1"/>
  <c r="CS42" i="5"/>
  <c r="CS112" i="11"/>
  <c r="CT109" i="11" s="1"/>
  <c r="CS43" i="5"/>
  <c r="CX88" i="14"/>
  <c r="CS80" i="5"/>
  <c r="CS29" i="11"/>
  <c r="CT26" i="11" s="1"/>
  <c r="CT105" i="11" s="1"/>
  <c r="CU48" i="6" s="1"/>
  <c r="CS76" i="5"/>
  <c r="CS74" i="5" s="1"/>
  <c r="CS34" i="11"/>
  <c r="CT31" i="11" s="1"/>
  <c r="CT110" i="11" s="1"/>
  <c r="CU49" i="6" s="1"/>
  <c r="CS79" i="5"/>
  <c r="CS77" i="5" s="1"/>
  <c r="CT32" i="11"/>
  <c r="CU31" i="10"/>
  <c r="CT37" i="11"/>
  <c r="CT27" i="11"/>
  <c r="CT7" i="11"/>
  <c r="CS7" i="15"/>
  <c r="CS9" i="11"/>
  <c r="CR9" i="15"/>
  <c r="CU4" i="11"/>
  <c r="CT4" i="15"/>
  <c r="CS11" i="11"/>
  <c r="CR11" i="15"/>
  <c r="CT6" i="11"/>
  <c r="CS6" i="15"/>
  <c r="CU22" i="2"/>
  <c r="CU24" i="2"/>
  <c r="CU23" i="2"/>
  <c r="CU30" i="2"/>
  <c r="CU25" i="2"/>
  <c r="CU21" i="2"/>
  <c r="CS10" i="11"/>
  <c r="CR10" i="15"/>
  <c r="CT57" i="11"/>
  <c r="CT90" i="5" s="1"/>
  <c r="CT61" i="19" s="1"/>
  <c r="CT87" i="11"/>
  <c r="CT88" i="11" s="1"/>
  <c r="CX8" i="14"/>
  <c r="CT8" i="19"/>
  <c r="CY5" i="14"/>
  <c r="CY15" i="14" s="1"/>
  <c r="CU5" i="19"/>
  <c r="CT5" i="17"/>
  <c r="CU10" i="16"/>
  <c r="CU54" i="16" s="1"/>
  <c r="CU80" i="16" s="1"/>
  <c r="CV5" i="16"/>
  <c r="CM169" i="11"/>
  <c r="CH164" i="11"/>
  <c r="CH167" i="11" s="1"/>
  <c r="CG19" i="15" s="1"/>
  <c r="CU41" i="6"/>
  <c r="CT195" i="11" s="1"/>
  <c r="CT196" i="11" s="1"/>
  <c r="CT39" i="5" s="1"/>
  <c r="CU25" i="6"/>
  <c r="CT35" i="5" s="1"/>
  <c r="CS177" i="11"/>
  <c r="CT174" i="11" s="1"/>
  <c r="CS29" i="5"/>
  <c r="CH27" i="5"/>
  <c r="CS191" i="11"/>
  <c r="CS186" i="11"/>
  <c r="CS157" i="11"/>
  <c r="CU44" i="10"/>
  <c r="CU24" i="10"/>
  <c r="CU30" i="10"/>
  <c r="CU49" i="10"/>
  <c r="CU26" i="10"/>
  <c r="CU50" i="10"/>
  <c r="CU27" i="10"/>
  <c r="CU45" i="10"/>
  <c r="CU47" i="10"/>
  <c r="CU22" i="10"/>
  <c r="CU48" i="10"/>
  <c r="CU23" i="10"/>
  <c r="CU53" i="10"/>
  <c r="CU28" i="10"/>
  <c r="CU46" i="10"/>
  <c r="CT97" i="11"/>
  <c r="CT17" i="11"/>
  <c r="CV4" i="4"/>
  <c r="CW4" i="2" s="1"/>
  <c r="CU6" i="4"/>
  <c r="CV6" i="2" s="1"/>
  <c r="CU14" i="4"/>
  <c r="CU7" i="4"/>
  <c r="CV7" i="2" s="1"/>
  <c r="CV5" i="10"/>
  <c r="CV14" i="10" s="1"/>
  <c r="CV6" i="6"/>
  <c r="CV13" i="6" s="1"/>
  <c r="CU5" i="5"/>
  <c r="CU9" i="6"/>
  <c r="CT8" i="5"/>
  <c r="CU8" i="10"/>
  <c r="CT25" i="4"/>
  <c r="CT45" i="4"/>
  <c r="CT9" i="4" s="1"/>
  <c r="CU9" i="2" s="1"/>
  <c r="CT26" i="4"/>
  <c r="CT46" i="4"/>
  <c r="CT10" i="4" s="1"/>
  <c r="CU10" i="2" s="1"/>
  <c r="CT47" i="4"/>
  <c r="CT11" i="4" s="1"/>
  <c r="CU11" i="2" s="1"/>
  <c r="CT27" i="4"/>
  <c r="CT5" i="15" l="1"/>
  <c r="CT13" i="15" s="1"/>
  <c r="CU138" i="5"/>
  <c r="CU137" i="5"/>
  <c r="CT26" i="5"/>
  <c r="CS247" i="11"/>
  <c r="CT244" i="11" s="1"/>
  <c r="CS68" i="11"/>
  <c r="CS102" i="5" s="1"/>
  <c r="CS27" i="19" s="1"/>
  <c r="CT250" i="11"/>
  <c r="CT251" i="11" s="1"/>
  <c r="CT252" i="11" s="1"/>
  <c r="CU249" i="11" s="1"/>
  <c r="CK19" i="11"/>
  <c r="CL16" i="11" s="1"/>
  <c r="CU81" i="16"/>
  <c r="CT38" i="11"/>
  <c r="CT39" i="11" s="1"/>
  <c r="CU36" i="11" s="1"/>
  <c r="CV16" i="6"/>
  <c r="CV60" i="6" s="1"/>
  <c r="CT33" i="11"/>
  <c r="CT78" i="5"/>
  <c r="CT28" i="11"/>
  <c r="CT75" i="5"/>
  <c r="CT111" i="11"/>
  <c r="CT81" i="5"/>
  <c r="CT106" i="11"/>
  <c r="CY99" i="14"/>
  <c r="CT8" i="11"/>
  <c r="CS8" i="15"/>
  <c r="CT140" i="11"/>
  <c r="CY104" i="14"/>
  <c r="CU13" i="19"/>
  <c r="CX11" i="14"/>
  <c r="CT11" i="19"/>
  <c r="CX10" i="14"/>
  <c r="CT10" i="19"/>
  <c r="CZ4" i="14"/>
  <c r="CV4" i="19"/>
  <c r="CY7" i="14"/>
  <c r="CU7" i="19"/>
  <c r="CX9" i="14"/>
  <c r="CT9" i="19"/>
  <c r="CY6" i="14"/>
  <c r="CU6" i="19"/>
  <c r="CV6" i="16"/>
  <c r="CU4" i="17"/>
  <c r="CT4" i="18" s="1"/>
  <c r="CS5" i="18"/>
  <c r="CS8" i="18" s="1"/>
  <c r="CT8" i="17"/>
  <c r="CM171" i="11"/>
  <c r="CM28" i="5" s="1"/>
  <c r="CI164" i="11"/>
  <c r="CU27" i="6"/>
  <c r="CT23" i="5"/>
  <c r="CU29" i="6"/>
  <c r="CT25" i="5"/>
  <c r="CT197" i="11"/>
  <c r="CU194" i="11" s="1"/>
  <c r="CU28" i="6"/>
  <c r="CT24" i="5"/>
  <c r="CT69" i="5"/>
  <c r="CS187" i="11"/>
  <c r="CT184" i="11" s="1"/>
  <c r="CS31" i="5"/>
  <c r="CS192" i="11"/>
  <c r="CT189" i="11" s="1"/>
  <c r="CS32" i="5"/>
  <c r="CU52" i="4"/>
  <c r="CU55" i="4"/>
  <c r="CU53" i="4"/>
  <c r="CU54" i="4"/>
  <c r="CT175" i="11"/>
  <c r="CT176" i="11" s="1"/>
  <c r="CU33" i="6"/>
  <c r="CT170" i="11"/>
  <c r="CU32" i="6"/>
  <c r="CU31" i="6"/>
  <c r="CT166" i="11"/>
  <c r="CT190" i="11"/>
  <c r="CU36" i="6"/>
  <c r="CU35" i="6"/>
  <c r="CT185" i="11"/>
  <c r="CT145" i="11"/>
  <c r="CT214" i="11"/>
  <c r="CV36" i="10"/>
  <c r="CU44" i="4"/>
  <c r="CU8" i="4" s="1"/>
  <c r="CV8" i="2" s="1"/>
  <c r="CU18" i="4"/>
  <c r="CU29" i="4"/>
  <c r="CU22" i="4"/>
  <c r="CU43" i="4"/>
  <c r="CU24" i="4"/>
  <c r="CU16" i="4"/>
  <c r="CU42" i="4"/>
  <c r="CU48" i="4"/>
  <c r="CU23" i="4"/>
  <c r="CV50" i="10" s="1"/>
  <c r="CU17" i="4"/>
  <c r="CU51" i="4"/>
  <c r="CU21" i="4"/>
  <c r="CU50" i="4"/>
  <c r="CU35" i="4"/>
  <c r="CU36" i="4"/>
  <c r="CU31" i="4"/>
  <c r="CU32" i="4" s="1"/>
  <c r="CU33" i="4" s="1"/>
  <c r="CU30" i="4"/>
  <c r="CU41" i="4"/>
  <c r="CU37" i="4"/>
  <c r="CU38" i="4" s="1"/>
  <c r="CU39" i="4" s="1"/>
  <c r="CU20" i="4"/>
  <c r="CU5" i="11"/>
  <c r="CU14" i="11" s="1"/>
  <c r="CU13" i="5"/>
  <c r="CU231" i="11" s="1"/>
  <c r="CU11" i="6"/>
  <c r="CT10" i="5"/>
  <c r="CU10" i="10"/>
  <c r="CU11" i="10"/>
  <c r="CU12" i="6"/>
  <c r="CT11" i="5"/>
  <c r="CV8" i="6"/>
  <c r="CU7" i="5"/>
  <c r="CV7" i="10"/>
  <c r="CU9" i="10"/>
  <c r="CU10" i="6"/>
  <c r="CT9" i="5"/>
  <c r="CV7" i="6"/>
  <c r="CU6" i="5"/>
  <c r="CV6" i="10"/>
  <c r="CV4" i="5"/>
  <c r="CV5" i="4"/>
  <c r="CW5" i="2" s="1"/>
  <c r="CW14" i="2" s="1"/>
  <c r="CW5" i="6"/>
  <c r="CW4" i="10"/>
  <c r="CU245" i="11" l="1"/>
  <c r="CU235" i="11"/>
  <c r="CV31" i="10"/>
  <c r="CV36" i="6" s="1"/>
  <c r="CV21" i="6"/>
  <c r="CV19" i="10" s="1"/>
  <c r="CJ31" i="15"/>
  <c r="CT246" i="11"/>
  <c r="CU72" i="11"/>
  <c r="CU106" i="5" s="1"/>
  <c r="CU67" i="11"/>
  <c r="CU101" i="5" s="1"/>
  <c r="CT82" i="5"/>
  <c r="CT80" i="5" s="1"/>
  <c r="CL18" i="11"/>
  <c r="CL70" i="5" s="1"/>
  <c r="CL68" i="5" s="1"/>
  <c r="CT107" i="11"/>
  <c r="CU104" i="11" s="1"/>
  <c r="CT42" i="5"/>
  <c r="CT112" i="11"/>
  <c r="CU109" i="11" s="1"/>
  <c r="CT43" i="5"/>
  <c r="CT29" i="11"/>
  <c r="CU26" i="11" s="1"/>
  <c r="CU105" i="11" s="1"/>
  <c r="CV48" i="6" s="1"/>
  <c r="CT76" i="5"/>
  <c r="CT74" i="5" s="1"/>
  <c r="CT34" i="11"/>
  <c r="CU31" i="11" s="1"/>
  <c r="CU110" i="11" s="1"/>
  <c r="CV49" i="6" s="1"/>
  <c r="CT79" i="5"/>
  <c r="CT77" i="5" s="1"/>
  <c r="CU32" i="11"/>
  <c r="CY88" i="14"/>
  <c r="CU37" i="11"/>
  <c r="CU38" i="11" s="1"/>
  <c r="CU27" i="11"/>
  <c r="CU7" i="11"/>
  <c r="CT7" i="15"/>
  <c r="CU6" i="11"/>
  <c r="CT6" i="15"/>
  <c r="CT10" i="11"/>
  <c r="CS10" i="15"/>
  <c r="CT11" i="11"/>
  <c r="CS11" i="15"/>
  <c r="CV4" i="11"/>
  <c r="CU4" i="15"/>
  <c r="CT9" i="11"/>
  <c r="CS9" i="15"/>
  <c r="CV30" i="2"/>
  <c r="CV21" i="2"/>
  <c r="CV23" i="2"/>
  <c r="CV22" i="2"/>
  <c r="CV24" i="2"/>
  <c r="CV25" i="2"/>
  <c r="CU57" i="11"/>
  <c r="CU90" i="5" s="1"/>
  <c r="CU87" i="11"/>
  <c r="CU88" i="11" s="1"/>
  <c r="CZ5" i="14"/>
  <c r="CZ15" i="14" s="1"/>
  <c r="CV5" i="19"/>
  <c r="CY8" i="14"/>
  <c r="CU8" i="19"/>
  <c r="CU5" i="17"/>
  <c r="CV10" i="16"/>
  <c r="CV54" i="16" s="1"/>
  <c r="CV80" i="16" s="1"/>
  <c r="CW5" i="16"/>
  <c r="CM172" i="11"/>
  <c r="CV41" i="6"/>
  <c r="CU195" i="11" s="1"/>
  <c r="CU196" i="11" s="1"/>
  <c r="CU39" i="5" s="1"/>
  <c r="CV25" i="6"/>
  <c r="CU35" i="5" s="1"/>
  <c r="CT186" i="11"/>
  <c r="CT31" i="5" s="1"/>
  <c r="CT177" i="11"/>
  <c r="CU174" i="11" s="1"/>
  <c r="CT29" i="5"/>
  <c r="CI165" i="11"/>
  <c r="CT191" i="11"/>
  <c r="CT157" i="11"/>
  <c r="CV46" i="10"/>
  <c r="CV52" i="10"/>
  <c r="CV30" i="10"/>
  <c r="CV23" i="10"/>
  <c r="CV27" i="10"/>
  <c r="CV26" i="10"/>
  <c r="CV25" i="10"/>
  <c r="CV44" i="10"/>
  <c r="CV47" i="10"/>
  <c r="CV28" i="10"/>
  <c r="CV48" i="10"/>
  <c r="CV22" i="10"/>
  <c r="CV53" i="10"/>
  <c r="CV45" i="10"/>
  <c r="CV49" i="10"/>
  <c r="CV24" i="10"/>
  <c r="CU8" i="5"/>
  <c r="CV9" i="6"/>
  <c r="CV8" i="10"/>
  <c r="CV6" i="4"/>
  <c r="CW6" i="2" s="1"/>
  <c r="CV7" i="4"/>
  <c r="CW7" i="2" s="1"/>
  <c r="CW4" i="4"/>
  <c r="CX4" i="2" s="1"/>
  <c r="CV14" i="4"/>
  <c r="CW6" i="6"/>
  <c r="CW13" i="6" s="1"/>
  <c r="CV5" i="5"/>
  <c r="CW5" i="10"/>
  <c r="CW14" i="10" s="1"/>
  <c r="CU97" i="11"/>
  <c r="CU17" i="11"/>
  <c r="CU27" i="4"/>
  <c r="CU46" i="4"/>
  <c r="CU10" i="4" s="1"/>
  <c r="CV10" i="2" s="1"/>
  <c r="CU26" i="4"/>
  <c r="CU25" i="4"/>
  <c r="CU47" i="4"/>
  <c r="CU11" i="4" s="1"/>
  <c r="CV11" i="2" s="1"/>
  <c r="CU45" i="4"/>
  <c r="CU9" i="4" s="1"/>
  <c r="CV9" i="2" s="1"/>
  <c r="CU5" i="15" l="1"/>
  <c r="CU13" i="15" s="1"/>
  <c r="CV137" i="5"/>
  <c r="CV138" i="5"/>
  <c r="CU190" i="11"/>
  <c r="CT247" i="11"/>
  <c r="CU244" i="11" s="1"/>
  <c r="CT68" i="11"/>
  <c r="CT102" i="5" s="1"/>
  <c r="CT27" i="19" s="1"/>
  <c r="CL19" i="11"/>
  <c r="CK31" i="15" s="1"/>
  <c r="CV81" i="16"/>
  <c r="CW16" i="6"/>
  <c r="CW60" i="6" s="1"/>
  <c r="CU33" i="11"/>
  <c r="CU78" i="5"/>
  <c r="CU28" i="11"/>
  <c r="CU75" i="5"/>
  <c r="CU111" i="11"/>
  <c r="CU106" i="11"/>
  <c r="CU81" i="5"/>
  <c r="CZ99" i="14"/>
  <c r="CU8" i="11"/>
  <c r="CT8" i="15"/>
  <c r="CN169" i="11"/>
  <c r="CN171" i="11" s="1"/>
  <c r="CN28" i="5" s="1"/>
  <c r="CZ104" i="14"/>
  <c r="CU39" i="11"/>
  <c r="CV36" i="11" s="1"/>
  <c r="CU82" i="5"/>
  <c r="CU140" i="11"/>
  <c r="CU61" i="19"/>
  <c r="CV13" i="19"/>
  <c r="DA4" i="14"/>
  <c r="CW4" i="19"/>
  <c r="CY9" i="14"/>
  <c r="CU9" i="19"/>
  <c r="CY10" i="14"/>
  <c r="CU10" i="19"/>
  <c r="CY11" i="14"/>
  <c r="CU11" i="19"/>
  <c r="CZ7" i="14"/>
  <c r="CV7" i="19"/>
  <c r="CZ6" i="14"/>
  <c r="CV6" i="19"/>
  <c r="CU8" i="17"/>
  <c r="CT5" i="18"/>
  <c r="CT8" i="18" s="1"/>
  <c r="CW6" i="16"/>
  <c r="CV4" i="17"/>
  <c r="CU4" i="18" s="1"/>
  <c r="CT187" i="11"/>
  <c r="CU184" i="11" s="1"/>
  <c r="CV29" i="6"/>
  <c r="CU25" i="5"/>
  <c r="CV30" i="6"/>
  <c r="CU26" i="5"/>
  <c r="CU197" i="11"/>
  <c r="CV194" i="11" s="1"/>
  <c r="CV27" i="6"/>
  <c r="CU23" i="5"/>
  <c r="CV28" i="6"/>
  <c r="CU24" i="5"/>
  <c r="CU69" i="5"/>
  <c r="CT192" i="11"/>
  <c r="CU189" i="11" s="1"/>
  <c r="CT32" i="5"/>
  <c r="CI167" i="11"/>
  <c r="CH19" i="15" s="1"/>
  <c r="CI27" i="5"/>
  <c r="CV54" i="4"/>
  <c r="CV53" i="4"/>
  <c r="CV55" i="4"/>
  <c r="CV52" i="4"/>
  <c r="CV33" i="6"/>
  <c r="CU175" i="11"/>
  <c r="CU176" i="11" s="1"/>
  <c r="CV31" i="6"/>
  <c r="CU166" i="11"/>
  <c r="CU170" i="11"/>
  <c r="CV32" i="6"/>
  <c r="CU185" i="11"/>
  <c r="CV35" i="6"/>
  <c r="CU145" i="11"/>
  <c r="CU214" i="11"/>
  <c r="CW36" i="10"/>
  <c r="CV5" i="11"/>
  <c r="CV14" i="11" s="1"/>
  <c r="CV13" i="5"/>
  <c r="CV231" i="11" s="1"/>
  <c r="CU10" i="5"/>
  <c r="CV11" i="6"/>
  <c r="CV10" i="10"/>
  <c r="CV10" i="6"/>
  <c r="CV9" i="10"/>
  <c r="CU9" i="5"/>
  <c r="CV44" i="4"/>
  <c r="CV8" i="4" s="1"/>
  <c r="CW8" i="2" s="1"/>
  <c r="CV21" i="4"/>
  <c r="CV22" i="4"/>
  <c r="CV18" i="4"/>
  <c r="CV50" i="4"/>
  <c r="CV29" i="4"/>
  <c r="CV43" i="4"/>
  <c r="CV20" i="4"/>
  <c r="CV42" i="4"/>
  <c r="CV24" i="4"/>
  <c r="CV41" i="4"/>
  <c r="CV48" i="4"/>
  <c r="CV16" i="4"/>
  <c r="CV31" i="4"/>
  <c r="CV32" i="4" s="1"/>
  <c r="CV33" i="4" s="1"/>
  <c r="CV36" i="4"/>
  <c r="CV51" i="4"/>
  <c r="CV35" i="4"/>
  <c r="CV17" i="4"/>
  <c r="CV23" i="4"/>
  <c r="CW50" i="10" s="1"/>
  <c r="CV30" i="4"/>
  <c r="CV37" i="4"/>
  <c r="CV38" i="4" s="1"/>
  <c r="CV39" i="4" s="1"/>
  <c r="CW4" i="5"/>
  <c r="CW5" i="4"/>
  <c r="CX5" i="2" s="1"/>
  <c r="CX14" i="2" s="1"/>
  <c r="CX5" i="6"/>
  <c r="CX4" i="10"/>
  <c r="CW8" i="6"/>
  <c r="CW7" i="10"/>
  <c r="CV7" i="5"/>
  <c r="CW7" i="6"/>
  <c r="CW6" i="10"/>
  <c r="CV6" i="5"/>
  <c r="CV12" i="6"/>
  <c r="CU11" i="5"/>
  <c r="CV11" i="10"/>
  <c r="CV245" i="11" l="1"/>
  <c r="CV235" i="11"/>
  <c r="CU191" i="11"/>
  <c r="CW26" i="10"/>
  <c r="CW21" i="6"/>
  <c r="CW19" i="10" s="1"/>
  <c r="CU246" i="11"/>
  <c r="CU247" i="11" s="1"/>
  <c r="CV244" i="11" s="1"/>
  <c r="CU250" i="11"/>
  <c r="CU251" i="11" s="1"/>
  <c r="CU252" i="11" s="1"/>
  <c r="CV249" i="11" s="1"/>
  <c r="CV72" i="11"/>
  <c r="CV106" i="5" s="1"/>
  <c r="CV67" i="11"/>
  <c r="CV101" i="5" s="1"/>
  <c r="CM16" i="11"/>
  <c r="CM18" i="11" s="1"/>
  <c r="CM70" i="5" s="1"/>
  <c r="CM68" i="5" s="1"/>
  <c r="CU107" i="11"/>
  <c r="CV104" i="11" s="1"/>
  <c r="CU42" i="5"/>
  <c r="CU112" i="11"/>
  <c r="CV109" i="11" s="1"/>
  <c r="CU43" i="5"/>
  <c r="CU80" i="5"/>
  <c r="CU34" i="11"/>
  <c r="CV31" i="11" s="1"/>
  <c r="CV110" i="11" s="1"/>
  <c r="CW49" i="6" s="1"/>
  <c r="CU79" i="5"/>
  <c r="CU77" i="5" s="1"/>
  <c r="CU29" i="11"/>
  <c r="CV26" i="11" s="1"/>
  <c r="CV105" i="11" s="1"/>
  <c r="CW48" i="6" s="1"/>
  <c r="CU76" i="5"/>
  <c r="CU74" i="5" s="1"/>
  <c r="CV32" i="11"/>
  <c r="CW31" i="10"/>
  <c r="CV37" i="11"/>
  <c r="CV81" i="5" s="1"/>
  <c r="CV27" i="11"/>
  <c r="CZ88" i="14"/>
  <c r="CV7" i="11"/>
  <c r="CU7" i="15"/>
  <c r="CW25" i="2"/>
  <c r="CW24" i="2"/>
  <c r="CW21" i="2"/>
  <c r="CW22" i="2"/>
  <c r="CW23" i="2"/>
  <c r="CW30" i="2"/>
  <c r="CU9" i="11"/>
  <c r="CT9" i="15"/>
  <c r="CW4" i="11"/>
  <c r="CV4" i="15"/>
  <c r="CU11" i="11"/>
  <c r="CT11" i="15"/>
  <c r="CV6" i="11"/>
  <c r="CU6" i="15"/>
  <c r="CU10" i="11"/>
  <c r="CT10" i="15"/>
  <c r="CV57" i="11"/>
  <c r="CV90" i="5" s="1"/>
  <c r="CV87" i="11"/>
  <c r="CV88" i="11" s="1"/>
  <c r="CZ8" i="14"/>
  <c r="CV8" i="19"/>
  <c r="DA5" i="14"/>
  <c r="DA15" i="14" s="1"/>
  <c r="CW5" i="19"/>
  <c r="CV5" i="17"/>
  <c r="CW10" i="16"/>
  <c r="CW54" i="16" s="1"/>
  <c r="CW80" i="16" s="1"/>
  <c r="CX5" i="16"/>
  <c r="CN172" i="11"/>
  <c r="CU186" i="11"/>
  <c r="CU31" i="5" s="1"/>
  <c r="CJ164" i="11"/>
  <c r="CW41" i="6"/>
  <c r="CV195" i="11" s="1"/>
  <c r="CV196" i="11" s="1"/>
  <c r="CV39" i="5" s="1"/>
  <c r="CW25" i="6"/>
  <c r="CV35" i="5" s="1"/>
  <c r="CU177" i="11"/>
  <c r="CV174" i="11" s="1"/>
  <c r="CU29" i="5"/>
  <c r="CJ165" i="11"/>
  <c r="CW49" i="10"/>
  <c r="CW52" i="10"/>
  <c r="CU157" i="11"/>
  <c r="CW48" i="10"/>
  <c r="CW53" i="10"/>
  <c r="CW27" i="10"/>
  <c r="CW44" i="10"/>
  <c r="CW23" i="10"/>
  <c r="CW24" i="10"/>
  <c r="CW45" i="10"/>
  <c r="CW25" i="10"/>
  <c r="CW22" i="10"/>
  <c r="CW28" i="10"/>
  <c r="CW47" i="10"/>
  <c r="CW46" i="10"/>
  <c r="CW30" i="10"/>
  <c r="CV46" i="4"/>
  <c r="CV10" i="4" s="1"/>
  <c r="CW10" i="2" s="1"/>
  <c r="CV45" i="4"/>
  <c r="CV9" i="4" s="1"/>
  <c r="CW9" i="2" s="1"/>
  <c r="CV47" i="4"/>
  <c r="CV11" i="4" s="1"/>
  <c r="CW11" i="2" s="1"/>
  <c r="CV27" i="4"/>
  <c r="CV25" i="4"/>
  <c r="CV26" i="4"/>
  <c r="CV8" i="5"/>
  <c r="CW9" i="6"/>
  <c r="CW8" i="10"/>
  <c r="CW14" i="4"/>
  <c r="CX4" i="4"/>
  <c r="CY4" i="2" s="1"/>
  <c r="CW7" i="4"/>
  <c r="CX7" i="2" s="1"/>
  <c r="CW6" i="4"/>
  <c r="CX6" i="2" s="1"/>
  <c r="CW5" i="5"/>
  <c r="CX6" i="6"/>
  <c r="CX13" i="6" s="1"/>
  <c r="CX5" i="10"/>
  <c r="CX14" i="10" s="1"/>
  <c r="CV97" i="11"/>
  <c r="CV17" i="11"/>
  <c r="CV5" i="15" l="1"/>
  <c r="CV13" i="15" s="1"/>
  <c r="CW138" i="5"/>
  <c r="CW137" i="5"/>
  <c r="CU192" i="11"/>
  <c r="CV189" i="11" s="1"/>
  <c r="CU32" i="5"/>
  <c r="CV166" i="11"/>
  <c r="CK165" i="11" s="1"/>
  <c r="CK27" i="5" s="1"/>
  <c r="CW31" i="6"/>
  <c r="CU68" i="11"/>
  <c r="CU102" i="5" s="1"/>
  <c r="CU27" i="19" s="1"/>
  <c r="CV250" i="11"/>
  <c r="CV251" i="11" s="1"/>
  <c r="CV252" i="11" s="1"/>
  <c r="CW249" i="11" s="1"/>
  <c r="CM19" i="11"/>
  <c r="CN16" i="11" s="1"/>
  <c r="CW81" i="16"/>
  <c r="CX16" i="6"/>
  <c r="CX60" i="6" s="1"/>
  <c r="CV33" i="11"/>
  <c r="CV78" i="5"/>
  <c r="CV28" i="11"/>
  <c r="CV75" i="5"/>
  <c r="CV111" i="11"/>
  <c r="CV106" i="11"/>
  <c r="CV38" i="11"/>
  <c r="CV39" i="11" s="1"/>
  <c r="CW36" i="11" s="1"/>
  <c r="DA99" i="14"/>
  <c r="CV8" i="11"/>
  <c r="CU8" i="15"/>
  <c r="CO169" i="11"/>
  <c r="CO171" i="11" s="1"/>
  <c r="CO28" i="5" s="1"/>
  <c r="DA104" i="14"/>
  <c r="CV140" i="11"/>
  <c r="CV61" i="19"/>
  <c r="CW13" i="19"/>
  <c r="DA6" i="14"/>
  <c r="CW6" i="19"/>
  <c r="CZ9" i="14"/>
  <c r="CV9" i="19"/>
  <c r="DA7" i="14"/>
  <c r="CW7" i="19"/>
  <c r="CZ10" i="14"/>
  <c r="CV10" i="19"/>
  <c r="DB4" i="14"/>
  <c r="CX4" i="19"/>
  <c r="CZ11" i="14"/>
  <c r="CV11" i="19"/>
  <c r="CU187" i="11"/>
  <c r="CV184" i="11" s="1"/>
  <c r="CW4" i="17"/>
  <c r="CV4" i="18" s="1"/>
  <c r="CX6" i="16"/>
  <c r="CV8" i="17"/>
  <c r="CU5" i="18"/>
  <c r="CU8" i="18" s="1"/>
  <c r="CW30" i="6"/>
  <c r="CV26" i="5"/>
  <c r="CW27" i="6"/>
  <c r="CV23" i="5"/>
  <c r="CW29" i="6"/>
  <c r="CV25" i="5"/>
  <c r="CW28" i="6"/>
  <c r="CV24" i="5"/>
  <c r="CV197" i="11"/>
  <c r="CW194" i="11" s="1"/>
  <c r="CV69" i="5"/>
  <c r="CJ167" i="11"/>
  <c r="CI19" i="15" s="1"/>
  <c r="CJ27" i="5"/>
  <c r="CW55" i="4"/>
  <c r="CW52" i="4"/>
  <c r="CW53" i="4"/>
  <c r="CW54" i="4"/>
  <c r="CW35" i="6"/>
  <c r="CV185" i="11"/>
  <c r="CW33" i="6"/>
  <c r="CV175" i="11"/>
  <c r="CV176" i="11" s="1"/>
  <c r="CW36" i="6"/>
  <c r="CV190" i="11"/>
  <c r="CW32" i="6"/>
  <c r="CV170" i="11"/>
  <c r="CV145" i="11"/>
  <c r="CV214" i="11"/>
  <c r="CX36" i="10"/>
  <c r="CW5" i="11"/>
  <c r="CW14" i="11" s="1"/>
  <c r="CW13" i="5"/>
  <c r="CW231" i="11" s="1"/>
  <c r="CW6" i="5"/>
  <c r="CX6" i="10"/>
  <c r="CX7" i="6"/>
  <c r="CX7" i="10"/>
  <c r="CX8" i="6"/>
  <c r="CW7" i="5"/>
  <c r="CX5" i="4"/>
  <c r="CY5" i="2" s="1"/>
  <c r="CY14" i="2" s="1"/>
  <c r="CY5" i="6"/>
  <c r="CY4" i="10"/>
  <c r="CX4" i="5"/>
  <c r="CW44" i="4"/>
  <c r="CW8" i="4" s="1"/>
  <c r="CX8" i="2" s="1"/>
  <c r="CW17" i="4"/>
  <c r="CW22" i="4"/>
  <c r="CW41" i="4"/>
  <c r="CW23" i="4"/>
  <c r="CX50" i="10" s="1"/>
  <c r="CW51" i="4"/>
  <c r="CW24" i="4"/>
  <c r="CW48" i="4"/>
  <c r="CW43" i="4"/>
  <c r="CW37" i="4"/>
  <c r="CW38" i="4" s="1"/>
  <c r="CW39" i="4" s="1"/>
  <c r="CW50" i="4"/>
  <c r="CW31" i="4"/>
  <c r="CW32" i="4" s="1"/>
  <c r="CW33" i="4" s="1"/>
  <c r="CW35" i="4"/>
  <c r="CW20" i="4"/>
  <c r="CW42" i="4"/>
  <c r="CW29" i="4"/>
  <c r="CW21" i="4"/>
  <c r="CW36" i="4"/>
  <c r="CW16" i="4"/>
  <c r="CW18" i="4"/>
  <c r="CW30" i="4"/>
  <c r="CW11" i="10"/>
  <c r="CW12" i="6"/>
  <c r="CV11" i="5"/>
  <c r="CV9" i="5"/>
  <c r="CW9" i="10"/>
  <c r="CW10" i="6"/>
  <c r="CV10" i="5"/>
  <c r="CW11" i="6"/>
  <c r="CW10" i="10"/>
  <c r="CW245" i="11" l="1"/>
  <c r="CW235" i="11"/>
  <c r="CX25" i="10"/>
  <c r="CX21" i="6"/>
  <c r="CX19" i="10" s="1"/>
  <c r="CL31" i="15"/>
  <c r="CV246" i="11"/>
  <c r="CV68" i="11" s="1"/>
  <c r="CV102" i="5" s="1"/>
  <c r="CV27" i="19" s="1"/>
  <c r="CW72" i="11"/>
  <c r="CW106" i="5" s="1"/>
  <c r="CW67" i="11"/>
  <c r="CW101" i="5" s="1"/>
  <c r="CN18" i="11"/>
  <c r="CN70" i="5" s="1"/>
  <c r="CN68" i="5" s="1"/>
  <c r="CV107" i="11"/>
  <c r="CW104" i="11" s="1"/>
  <c r="CV42" i="5"/>
  <c r="CV112" i="11"/>
  <c r="CW109" i="11" s="1"/>
  <c r="CV43" i="5"/>
  <c r="CV29" i="11"/>
  <c r="CW26" i="11" s="1"/>
  <c r="CW105" i="11" s="1"/>
  <c r="CX48" i="6" s="1"/>
  <c r="CV76" i="5"/>
  <c r="CV74" i="5" s="1"/>
  <c r="CV34" i="11"/>
  <c r="CW31" i="11" s="1"/>
  <c r="CW110" i="11" s="1"/>
  <c r="CX49" i="6" s="1"/>
  <c r="CV79" i="5"/>
  <c r="CV77" i="5" s="1"/>
  <c r="CV82" i="5"/>
  <c r="CV80" i="5" s="1"/>
  <c r="CW32" i="11"/>
  <c r="CX31" i="10"/>
  <c r="DA88" i="14"/>
  <c r="CW37" i="11"/>
  <c r="CW38" i="11" s="1"/>
  <c r="CW27" i="11"/>
  <c r="CV11" i="11"/>
  <c r="CU11" i="15"/>
  <c r="CW7" i="11"/>
  <c r="CV7" i="15"/>
  <c r="CX4" i="11"/>
  <c r="CW4" i="15"/>
  <c r="CV10" i="11"/>
  <c r="CU10" i="15"/>
  <c r="CW6" i="11"/>
  <c r="CV6" i="15"/>
  <c r="CX25" i="2"/>
  <c r="CX30" i="2"/>
  <c r="CX23" i="2"/>
  <c r="CX24" i="2"/>
  <c r="CX21" i="2"/>
  <c r="CX22" i="2"/>
  <c r="CV9" i="11"/>
  <c r="CU9" i="15"/>
  <c r="CW57" i="11"/>
  <c r="CW90" i="5" s="1"/>
  <c r="CW87" i="11"/>
  <c r="CW88" i="11" s="1"/>
  <c r="DB5" i="14"/>
  <c r="DB15" i="14" s="1"/>
  <c r="CX5" i="19"/>
  <c r="DA8" i="14"/>
  <c r="CW8" i="19"/>
  <c r="CY5" i="16"/>
  <c r="CW5" i="17"/>
  <c r="CX10" i="16"/>
  <c r="CX54" i="16" s="1"/>
  <c r="CX80" i="16" s="1"/>
  <c r="CO172" i="11"/>
  <c r="CK164" i="11"/>
  <c r="CK167" i="11" s="1"/>
  <c r="CJ19" i="15" s="1"/>
  <c r="CX41" i="6"/>
  <c r="CW195" i="11" s="1"/>
  <c r="CW196" i="11" s="1"/>
  <c r="CW39" i="5" s="1"/>
  <c r="CX25" i="6"/>
  <c r="CW35" i="5" s="1"/>
  <c r="CV177" i="11"/>
  <c r="CW174" i="11" s="1"/>
  <c r="CV29" i="5"/>
  <c r="CV191" i="11"/>
  <c r="CV186" i="11"/>
  <c r="CX53" i="10"/>
  <c r="CX48" i="10"/>
  <c r="CX23" i="10"/>
  <c r="CV157" i="11"/>
  <c r="CX45" i="10"/>
  <c r="CX24" i="10"/>
  <c r="CX49" i="10"/>
  <c r="CX44" i="10"/>
  <c r="CX28" i="10"/>
  <c r="CX52" i="10"/>
  <c r="CX22" i="10"/>
  <c r="CX26" i="10"/>
  <c r="CX47" i="10"/>
  <c r="CX30" i="10"/>
  <c r="CX27" i="10"/>
  <c r="CX46" i="10"/>
  <c r="CW45" i="4"/>
  <c r="CW9" i="4" s="1"/>
  <c r="CX9" i="2" s="1"/>
  <c r="CW25" i="4"/>
  <c r="CW46" i="4"/>
  <c r="CW10" i="4" s="1"/>
  <c r="CX10" i="2" s="1"/>
  <c r="CW47" i="4"/>
  <c r="CW11" i="4" s="1"/>
  <c r="CX11" i="2" s="1"/>
  <c r="CW27" i="4"/>
  <c r="CW26" i="4"/>
  <c r="CX7" i="4"/>
  <c r="CY7" i="2" s="1"/>
  <c r="CX14" i="4"/>
  <c r="CY4" i="4"/>
  <c r="CZ4" i="2" s="1"/>
  <c r="CX6" i="4"/>
  <c r="CY6" i="2" s="1"/>
  <c r="CX5" i="5"/>
  <c r="CY5" i="10"/>
  <c r="CY14" i="10" s="1"/>
  <c r="CY6" i="6"/>
  <c r="CY13" i="6" s="1"/>
  <c r="CW8" i="5"/>
  <c r="CX9" i="6"/>
  <c r="CX8" i="10"/>
  <c r="CW17" i="11"/>
  <c r="CW97" i="11"/>
  <c r="CW5" i="15" l="1"/>
  <c r="CW13" i="15" s="1"/>
  <c r="CX137" i="5"/>
  <c r="CX138" i="5"/>
  <c r="CW26" i="5"/>
  <c r="CX30" i="6"/>
  <c r="CV247" i="11"/>
  <c r="CW244" i="11" s="1"/>
  <c r="CN19" i="11"/>
  <c r="CM31" i="15" s="1"/>
  <c r="CX81" i="16"/>
  <c r="CY16" i="6"/>
  <c r="CY60" i="6" s="1"/>
  <c r="CW33" i="11"/>
  <c r="CW78" i="5"/>
  <c r="CW28" i="11"/>
  <c r="CW75" i="5"/>
  <c r="CW111" i="11"/>
  <c r="CW106" i="11"/>
  <c r="CW81" i="5"/>
  <c r="DB104" i="14"/>
  <c r="CW8" i="11"/>
  <c r="CV8" i="15"/>
  <c r="DB99" i="14"/>
  <c r="CW39" i="11"/>
  <c r="CX36" i="11" s="1"/>
  <c r="CW82" i="5"/>
  <c r="CW140" i="11"/>
  <c r="CW61" i="19"/>
  <c r="CX13" i="19"/>
  <c r="DC4" i="14"/>
  <c r="CY4" i="19"/>
  <c r="DB6" i="14"/>
  <c r="CX6" i="19"/>
  <c r="DB7" i="14"/>
  <c r="CX7" i="19"/>
  <c r="DA11" i="14"/>
  <c r="CW11" i="19"/>
  <c r="DA10" i="14"/>
  <c r="CW10" i="19"/>
  <c r="DA9" i="14"/>
  <c r="CW9" i="19"/>
  <c r="CV5" i="18"/>
  <c r="CV8" i="18" s="1"/>
  <c r="CW8" i="17"/>
  <c r="CY6" i="16"/>
  <c r="CX4" i="17"/>
  <c r="CW4" i="18" s="1"/>
  <c r="CP169" i="11"/>
  <c r="CL164" i="11"/>
  <c r="CX28" i="6"/>
  <c r="CW24" i="5"/>
  <c r="CX27" i="6"/>
  <c r="CW23" i="5"/>
  <c r="CW197" i="11"/>
  <c r="CX194" i="11" s="1"/>
  <c r="CX29" i="6"/>
  <c r="CW25" i="5"/>
  <c r="CW69" i="5"/>
  <c r="CV187" i="11"/>
  <c r="CW184" i="11" s="1"/>
  <c r="CV31" i="5"/>
  <c r="CV192" i="11"/>
  <c r="CW189" i="11" s="1"/>
  <c r="CV32" i="5"/>
  <c r="CX53" i="4"/>
  <c r="CX55" i="4"/>
  <c r="CX52" i="4"/>
  <c r="CX54" i="4"/>
  <c r="CX32" i="6"/>
  <c r="CW170" i="11"/>
  <c r="CX35" i="6"/>
  <c r="CW185" i="11"/>
  <c r="CX31" i="6"/>
  <c r="CW166" i="11"/>
  <c r="CX33" i="6"/>
  <c r="CW175" i="11"/>
  <c r="CW176" i="11" s="1"/>
  <c r="CW190" i="11"/>
  <c r="CX36" i="6"/>
  <c r="CW145" i="11"/>
  <c r="CW214" i="11"/>
  <c r="CY36" i="10"/>
  <c r="CX5" i="11"/>
  <c r="CX14" i="11" s="1"/>
  <c r="CX13" i="5"/>
  <c r="CX231" i="11" s="1"/>
  <c r="CZ4" i="10"/>
  <c r="CY4" i="5"/>
  <c r="CZ5" i="6"/>
  <c r="CY5" i="4"/>
  <c r="CZ5" i="2" s="1"/>
  <c r="CZ14" i="2" s="1"/>
  <c r="CY8" i="6"/>
  <c r="CY7" i="10"/>
  <c r="CX7" i="5"/>
  <c r="CX44" i="4"/>
  <c r="CX8" i="4" s="1"/>
  <c r="CY8" i="2" s="1"/>
  <c r="CX30" i="4"/>
  <c r="CX41" i="4"/>
  <c r="CX20" i="4"/>
  <c r="CX35" i="4"/>
  <c r="CX51" i="4"/>
  <c r="CX37" i="4"/>
  <c r="CX38" i="4" s="1"/>
  <c r="CX39" i="4" s="1"/>
  <c r="CX22" i="4"/>
  <c r="CY21" i="6" s="1"/>
  <c r="CY19" i="10" s="1"/>
  <c r="CX48" i="4"/>
  <c r="CX23" i="4"/>
  <c r="CY47" i="10" s="1"/>
  <c r="CX21" i="4"/>
  <c r="CX17" i="4"/>
  <c r="CX50" i="4"/>
  <c r="CX31" i="4"/>
  <c r="CX32" i="4" s="1"/>
  <c r="CX33" i="4" s="1"/>
  <c r="CX18" i="4"/>
  <c r="CX36" i="4"/>
  <c r="CX16" i="4"/>
  <c r="CX24" i="4"/>
  <c r="CX42" i="4"/>
  <c r="CX43" i="4"/>
  <c r="CX29" i="4"/>
  <c r="CY7" i="6"/>
  <c r="CX6" i="5"/>
  <c r="CY6" i="10"/>
  <c r="CW11" i="5"/>
  <c r="CX12" i="6"/>
  <c r="CX11" i="10"/>
  <c r="CX11" i="6"/>
  <c r="CW10" i="5"/>
  <c r="CX10" i="10"/>
  <c r="CX10" i="6"/>
  <c r="CX9" i="10"/>
  <c r="CW9" i="5"/>
  <c r="CX245" i="11" l="1"/>
  <c r="CX235" i="11"/>
  <c r="CW246" i="11"/>
  <c r="CW247" i="11" s="1"/>
  <c r="CX244" i="11" s="1"/>
  <c r="CW250" i="11"/>
  <c r="CW251" i="11" s="1"/>
  <c r="CW252" i="11" s="1"/>
  <c r="CX249" i="11" s="1"/>
  <c r="CX72" i="11"/>
  <c r="CX106" i="5" s="1"/>
  <c r="CX67" i="11"/>
  <c r="CX101" i="5" s="1"/>
  <c r="CO16" i="11"/>
  <c r="CO18" i="11" s="1"/>
  <c r="CO70" i="5" s="1"/>
  <c r="CO68" i="5" s="1"/>
  <c r="CW107" i="11"/>
  <c r="CX104" i="11" s="1"/>
  <c r="CW42" i="5"/>
  <c r="CW112" i="11"/>
  <c r="CX109" i="11" s="1"/>
  <c r="CW43" i="5"/>
  <c r="CW29" i="11"/>
  <c r="CX26" i="11" s="1"/>
  <c r="CX105" i="11" s="1"/>
  <c r="CY48" i="6" s="1"/>
  <c r="CW76" i="5"/>
  <c r="CW74" i="5" s="1"/>
  <c r="CW80" i="5"/>
  <c r="CW34" i="11"/>
  <c r="CX31" i="11" s="1"/>
  <c r="CX110" i="11" s="1"/>
  <c r="CY49" i="6" s="1"/>
  <c r="CW79" i="5"/>
  <c r="CW77" i="5" s="1"/>
  <c r="CX32" i="11"/>
  <c r="CY31" i="10"/>
  <c r="CX190" i="11" s="1"/>
  <c r="CX37" i="11"/>
  <c r="CX38" i="11" s="1"/>
  <c r="CX27" i="11"/>
  <c r="DB88" i="14"/>
  <c r="CW11" i="11"/>
  <c r="CV11" i="15"/>
  <c r="CX6" i="11"/>
  <c r="CW6" i="15"/>
  <c r="CX7" i="11"/>
  <c r="CW7" i="15"/>
  <c r="CY30" i="2"/>
  <c r="CY21" i="2"/>
  <c r="CY23" i="2"/>
  <c r="CY24" i="2"/>
  <c r="CY25" i="2"/>
  <c r="CY22" i="2"/>
  <c r="CW9" i="11"/>
  <c r="CV9" i="15"/>
  <c r="CW10" i="11"/>
  <c r="CV10" i="15"/>
  <c r="CY4" i="11"/>
  <c r="CX4" i="15"/>
  <c r="CX57" i="11"/>
  <c r="CX90" i="5" s="1"/>
  <c r="CX87" i="11"/>
  <c r="CX88" i="11" s="1"/>
  <c r="DB8" i="14"/>
  <c r="CX8" i="19"/>
  <c r="DC5" i="14"/>
  <c r="DC15" i="14" s="1"/>
  <c r="CY5" i="19"/>
  <c r="CX5" i="17"/>
  <c r="CY10" i="16"/>
  <c r="CY54" i="16" s="1"/>
  <c r="CY80" i="16" s="1"/>
  <c r="CZ5" i="16"/>
  <c r="CP171" i="11"/>
  <c r="CP28" i="5" s="1"/>
  <c r="CW186" i="11"/>
  <c r="CW187" i="11" s="1"/>
  <c r="CX184" i="11" s="1"/>
  <c r="CY41" i="6"/>
  <c r="CX195" i="11" s="1"/>
  <c r="CX196" i="11" s="1"/>
  <c r="CX39" i="5" s="1"/>
  <c r="CY25" i="6"/>
  <c r="CX35" i="5" s="1"/>
  <c r="CW191" i="11"/>
  <c r="CW192" i="11" s="1"/>
  <c r="CX189" i="11" s="1"/>
  <c r="CW177" i="11"/>
  <c r="CX174" i="11" s="1"/>
  <c r="CW29" i="5"/>
  <c r="CL165" i="11"/>
  <c r="CW157" i="11"/>
  <c r="CY45" i="10"/>
  <c r="CY53" i="10"/>
  <c r="CY27" i="10"/>
  <c r="CY26" i="10"/>
  <c r="CY48" i="10"/>
  <c r="CY46" i="10"/>
  <c r="CY50" i="10"/>
  <c r="CY25" i="10"/>
  <c r="CY28" i="10"/>
  <c r="CY49" i="10"/>
  <c r="CY23" i="10"/>
  <c r="CY44" i="10"/>
  <c r="CY22" i="10"/>
  <c r="CY24" i="10"/>
  <c r="CY30" i="10"/>
  <c r="CY52" i="10"/>
  <c r="CX47" i="4"/>
  <c r="CX11" i="4" s="1"/>
  <c r="CY11" i="2" s="1"/>
  <c r="CX27" i="4"/>
  <c r="CX25" i="4"/>
  <c r="CX26" i="4"/>
  <c r="CX46" i="4"/>
  <c r="CX10" i="4" s="1"/>
  <c r="CY10" i="2" s="1"/>
  <c r="CX45" i="4"/>
  <c r="CX9" i="4" s="1"/>
  <c r="CY9" i="2" s="1"/>
  <c r="CY7" i="4"/>
  <c r="CZ7" i="2" s="1"/>
  <c r="CY14" i="4"/>
  <c r="CZ4" i="4"/>
  <c r="DA4" i="2" s="1"/>
  <c r="CY6" i="4"/>
  <c r="CZ6" i="2" s="1"/>
  <c r="CZ6" i="6"/>
  <c r="CZ13" i="6" s="1"/>
  <c r="CY5" i="5"/>
  <c r="CZ5" i="10"/>
  <c r="CZ14" i="10" s="1"/>
  <c r="CY9" i="6"/>
  <c r="CX8" i="5"/>
  <c r="CY8" i="10"/>
  <c r="CX17" i="11"/>
  <c r="CX97" i="11"/>
  <c r="CX5" i="15" l="1"/>
  <c r="CX13" i="15" s="1"/>
  <c r="CY137" i="5"/>
  <c r="CY138" i="5"/>
  <c r="CW68" i="11"/>
  <c r="CW102" i="5" s="1"/>
  <c r="CW27" i="19" s="1"/>
  <c r="CO19" i="11"/>
  <c r="CN31" i="15" s="1"/>
  <c r="CY81" i="16"/>
  <c r="CZ16" i="6"/>
  <c r="CZ60" i="6" s="1"/>
  <c r="CX33" i="11"/>
  <c r="CX78" i="5"/>
  <c r="CX28" i="11"/>
  <c r="CX75" i="5"/>
  <c r="CX111" i="11"/>
  <c r="CX106" i="11"/>
  <c r="CX81" i="5"/>
  <c r="CY36" i="6"/>
  <c r="DC99" i="14"/>
  <c r="CX8" i="11"/>
  <c r="CW8" i="15"/>
  <c r="CX39" i="11"/>
  <c r="CY36" i="11" s="1"/>
  <c r="CX82" i="5"/>
  <c r="CX140" i="11"/>
  <c r="CX61" i="19"/>
  <c r="DC104" i="14"/>
  <c r="CY13" i="19"/>
  <c r="DB9" i="14"/>
  <c r="CX9" i="19"/>
  <c r="DD4" i="14"/>
  <c r="CZ4" i="19"/>
  <c r="DC7" i="14"/>
  <c r="CY7" i="19"/>
  <c r="DB10" i="14"/>
  <c r="CX10" i="19"/>
  <c r="DB11" i="14"/>
  <c r="CX11" i="19"/>
  <c r="DC6" i="14"/>
  <c r="CY6" i="19"/>
  <c r="CP172" i="11"/>
  <c r="CY4" i="17"/>
  <c r="CX4" i="18" s="1"/>
  <c r="CZ6" i="16"/>
  <c r="CW5" i="18"/>
  <c r="CW8" i="18" s="1"/>
  <c r="CX8" i="17"/>
  <c r="CW31" i="5"/>
  <c r="CW32" i="5"/>
  <c r="CX191" i="11"/>
  <c r="CX192" i="11" s="1"/>
  <c r="CY189" i="11" s="1"/>
  <c r="CY28" i="6"/>
  <c r="CX24" i="5"/>
  <c r="CY30" i="6"/>
  <c r="CX26" i="5"/>
  <c r="CX197" i="11"/>
  <c r="CY194" i="11" s="1"/>
  <c r="CY29" i="6"/>
  <c r="CX25" i="5"/>
  <c r="CY27" i="6"/>
  <c r="CX23" i="5"/>
  <c r="CX69" i="5"/>
  <c r="CL167" i="11"/>
  <c r="CK19" i="15" s="1"/>
  <c r="CL27" i="5"/>
  <c r="CY52" i="4"/>
  <c r="CY53" i="4"/>
  <c r="CY54" i="4"/>
  <c r="CY55" i="4"/>
  <c r="CY35" i="6"/>
  <c r="CX185" i="11"/>
  <c r="CY33" i="6"/>
  <c r="CX175" i="11"/>
  <c r="CX176" i="11" s="1"/>
  <c r="CY31" i="6"/>
  <c r="CX166" i="11"/>
  <c r="CX170" i="11"/>
  <c r="CY32" i="6"/>
  <c r="CX145" i="11"/>
  <c r="CX214" i="11"/>
  <c r="CZ36" i="10"/>
  <c r="CZ5" i="4"/>
  <c r="DA5" i="2" s="1"/>
  <c r="DA14" i="2" s="1"/>
  <c r="DA5" i="6"/>
  <c r="CZ4" i="5"/>
  <c r="DA4" i="10"/>
  <c r="CY7" i="5"/>
  <c r="CZ8" i="6"/>
  <c r="CZ7" i="10"/>
  <c r="CY44" i="4"/>
  <c r="CY8" i="4" s="1"/>
  <c r="CZ8" i="2" s="1"/>
  <c r="CY16" i="4"/>
  <c r="CY41" i="4"/>
  <c r="CY22" i="4"/>
  <c r="CY17" i="4"/>
  <c r="CY43" i="4"/>
  <c r="CY24" i="4"/>
  <c r="CY37" i="4"/>
  <c r="CY38" i="4" s="1"/>
  <c r="CY39" i="4" s="1"/>
  <c r="CY48" i="4"/>
  <c r="CY18" i="4"/>
  <c r="CY42" i="4"/>
  <c r="CY35" i="4"/>
  <c r="CY30" i="4"/>
  <c r="CY21" i="4"/>
  <c r="CY23" i="4"/>
  <c r="CZ46" i="10" s="1"/>
  <c r="CY20" i="4"/>
  <c r="CY29" i="4"/>
  <c r="CY31" i="4"/>
  <c r="CY32" i="4" s="1"/>
  <c r="CY33" i="4" s="1"/>
  <c r="CY36" i="4"/>
  <c r="CY51" i="4"/>
  <c r="CY50" i="4"/>
  <c r="CY11" i="6"/>
  <c r="CX10" i="5"/>
  <c r="CY10" i="10"/>
  <c r="CY5" i="11"/>
  <c r="CY14" i="11" s="1"/>
  <c r="CY13" i="5"/>
  <c r="CY231" i="11" s="1"/>
  <c r="CY6" i="5"/>
  <c r="CZ6" i="10"/>
  <c r="CZ7" i="6"/>
  <c r="CX9" i="5"/>
  <c r="CY9" i="10"/>
  <c r="CY10" i="6"/>
  <c r="CY11" i="10"/>
  <c r="CX11" i="5"/>
  <c r="CY12" i="6"/>
  <c r="CY245" i="11" l="1"/>
  <c r="CY235" i="11"/>
  <c r="CZ26" i="10"/>
  <c r="CY166" i="11" s="1"/>
  <c r="CZ21" i="6"/>
  <c r="CZ19" i="10" s="1"/>
  <c r="CX246" i="11"/>
  <c r="CX250" i="11"/>
  <c r="CY72" i="11"/>
  <c r="CY106" i="5" s="1"/>
  <c r="CY67" i="11"/>
  <c r="CY101" i="5" s="1"/>
  <c r="CP16" i="11"/>
  <c r="CP18" i="11" s="1"/>
  <c r="CP70" i="5" s="1"/>
  <c r="CP68" i="5" s="1"/>
  <c r="DC88" i="14"/>
  <c r="CX80" i="5"/>
  <c r="CX107" i="11"/>
  <c r="CY104" i="11" s="1"/>
  <c r="CX42" i="5"/>
  <c r="CX112" i="11"/>
  <c r="CY109" i="11" s="1"/>
  <c r="CX43" i="5"/>
  <c r="CX29" i="11"/>
  <c r="CY26" i="11" s="1"/>
  <c r="CY105" i="11" s="1"/>
  <c r="CZ48" i="6" s="1"/>
  <c r="CX76" i="5"/>
  <c r="CX74" i="5" s="1"/>
  <c r="CX34" i="11"/>
  <c r="CY31" i="11" s="1"/>
  <c r="CY110" i="11" s="1"/>
  <c r="CZ49" i="6" s="1"/>
  <c r="CX79" i="5"/>
  <c r="CX77" i="5" s="1"/>
  <c r="CY32" i="11"/>
  <c r="CZ31" i="10"/>
  <c r="CY37" i="11"/>
  <c r="CY38" i="11" s="1"/>
  <c r="CY27" i="11"/>
  <c r="CZ4" i="11"/>
  <c r="CY4" i="15"/>
  <c r="CX9" i="11"/>
  <c r="CW9" i="15"/>
  <c r="CZ30" i="2"/>
  <c r="CZ25" i="2"/>
  <c r="CZ23" i="2"/>
  <c r="CZ24" i="2"/>
  <c r="CZ22" i="2"/>
  <c r="CZ21" i="2"/>
  <c r="CY6" i="11"/>
  <c r="CX6" i="15"/>
  <c r="CX10" i="11"/>
  <c r="CW10" i="15"/>
  <c r="CX11" i="11"/>
  <c r="CW11" i="15"/>
  <c r="CY7" i="11"/>
  <c r="CX7" i="15"/>
  <c r="CQ169" i="11"/>
  <c r="CQ171" i="11" s="1"/>
  <c r="CQ28" i="5" s="1"/>
  <c r="CY57" i="11"/>
  <c r="CY90" i="5" s="1"/>
  <c r="CY87" i="11"/>
  <c r="CY88" i="11" s="1"/>
  <c r="DC8" i="14"/>
  <c r="CY8" i="19"/>
  <c r="DD5" i="14"/>
  <c r="DD15" i="14" s="1"/>
  <c r="CZ5" i="19"/>
  <c r="CY5" i="17"/>
  <c r="CZ10" i="16"/>
  <c r="CZ54" i="16" s="1"/>
  <c r="CZ80" i="16" s="1"/>
  <c r="DA5" i="16"/>
  <c r="CX32" i="5"/>
  <c r="CM164" i="11"/>
  <c r="CZ25" i="6"/>
  <c r="CY35" i="5" s="1"/>
  <c r="CZ41" i="6"/>
  <c r="CY195" i="11" s="1"/>
  <c r="CY196" i="11" s="1"/>
  <c r="CY39" i="5" s="1"/>
  <c r="CX177" i="11"/>
  <c r="CY174" i="11" s="1"/>
  <c r="CX29" i="5"/>
  <c r="CX186" i="11"/>
  <c r="CX31" i="5" s="1"/>
  <c r="CM165" i="11"/>
  <c r="CX157" i="11"/>
  <c r="CZ28" i="10"/>
  <c r="CZ27" i="10"/>
  <c r="CZ30" i="10"/>
  <c r="CZ44" i="10"/>
  <c r="CZ53" i="10"/>
  <c r="CZ22" i="10"/>
  <c r="CZ49" i="10"/>
  <c r="CZ23" i="10"/>
  <c r="CZ50" i="10"/>
  <c r="CZ47" i="10"/>
  <c r="CZ25" i="10"/>
  <c r="CZ48" i="10"/>
  <c r="CZ52" i="10"/>
  <c r="CZ24" i="10"/>
  <c r="CZ45" i="10"/>
  <c r="CZ9" i="6"/>
  <c r="CY8" i="5"/>
  <c r="CZ8" i="10"/>
  <c r="CZ14" i="4"/>
  <c r="DA4" i="4"/>
  <c r="DB4" i="2" s="1"/>
  <c r="CZ6" i="4"/>
  <c r="DA6" i="2" s="1"/>
  <c r="CZ7" i="4"/>
  <c r="DA7" i="2" s="1"/>
  <c r="DA6" i="6"/>
  <c r="DA13" i="6" s="1"/>
  <c r="CZ5" i="5"/>
  <c r="DA5" i="10"/>
  <c r="DA14" i="10" s="1"/>
  <c r="CY26" i="4"/>
  <c r="CY46" i="4"/>
  <c r="CY10" i="4" s="1"/>
  <c r="CZ10" i="2" s="1"/>
  <c r="CY27" i="4"/>
  <c r="CY47" i="4"/>
  <c r="CY11" i="4" s="1"/>
  <c r="CZ11" i="2" s="1"/>
  <c r="CY25" i="4"/>
  <c r="CY45" i="4"/>
  <c r="CY9" i="4" s="1"/>
  <c r="CZ9" i="2" s="1"/>
  <c r="CY97" i="11"/>
  <c r="CY17" i="11"/>
  <c r="CY5" i="15" l="1"/>
  <c r="CY13" i="15" s="1"/>
  <c r="CZ137" i="5"/>
  <c r="CZ138" i="5"/>
  <c r="CZ31" i="6"/>
  <c r="CX247" i="11"/>
  <c r="CY244" i="11" s="1"/>
  <c r="CX251" i="11"/>
  <c r="CX68" i="11" s="1"/>
  <c r="CX102" i="5" s="1"/>
  <c r="CX27" i="19" s="1"/>
  <c r="CP19" i="11"/>
  <c r="CO31" i="15" s="1"/>
  <c r="CZ81" i="16"/>
  <c r="DA16" i="6"/>
  <c r="DA60" i="6" s="1"/>
  <c r="CY33" i="11"/>
  <c r="CY78" i="5"/>
  <c r="CY28" i="11"/>
  <c r="CY75" i="5"/>
  <c r="CY111" i="11"/>
  <c r="CY106" i="11"/>
  <c r="CY81" i="5"/>
  <c r="DD104" i="14"/>
  <c r="CY8" i="11"/>
  <c r="CX8" i="15"/>
  <c r="DD99" i="14"/>
  <c r="CY39" i="11"/>
  <c r="CZ36" i="11" s="1"/>
  <c r="CY82" i="5"/>
  <c r="CY140" i="11"/>
  <c r="CY61" i="19"/>
  <c r="CZ13" i="19"/>
  <c r="DD6" i="14"/>
  <c r="CZ6" i="19"/>
  <c r="DC9" i="14"/>
  <c r="CY9" i="19"/>
  <c r="DC10" i="14"/>
  <c r="CY10" i="19"/>
  <c r="DD7" i="14"/>
  <c r="CZ7" i="19"/>
  <c r="DE4" i="14"/>
  <c r="DA4" i="19"/>
  <c r="DC11" i="14"/>
  <c r="CY11" i="19"/>
  <c r="CX5" i="18"/>
  <c r="CX8" i="18" s="1"/>
  <c r="CY8" i="17"/>
  <c r="CZ4" i="17"/>
  <c r="CY4" i="18" s="1"/>
  <c r="DA6" i="16"/>
  <c r="CQ172" i="11"/>
  <c r="CY197" i="11"/>
  <c r="CZ194" i="11" s="1"/>
  <c r="CX187" i="11"/>
  <c r="CY184" i="11" s="1"/>
  <c r="CZ28" i="6"/>
  <c r="CY24" i="5"/>
  <c r="CZ29" i="6"/>
  <c r="CY25" i="5"/>
  <c r="CZ27" i="6"/>
  <c r="CY23" i="5"/>
  <c r="CZ30" i="6"/>
  <c r="CY26" i="5"/>
  <c r="CY69" i="5"/>
  <c r="CM167" i="11"/>
  <c r="CL19" i="15" s="1"/>
  <c r="CM27" i="5"/>
  <c r="CN165" i="11"/>
  <c r="CZ52" i="4"/>
  <c r="CZ55" i="4"/>
  <c r="CZ53" i="4"/>
  <c r="CZ54" i="4"/>
  <c r="CZ36" i="6"/>
  <c r="CY190" i="11"/>
  <c r="CY191" i="11" s="1"/>
  <c r="CZ35" i="6"/>
  <c r="CY185" i="11"/>
  <c r="CZ32" i="6"/>
  <c r="CY170" i="11"/>
  <c r="CZ33" i="6"/>
  <c r="CY175" i="11"/>
  <c r="CY176" i="11" s="1"/>
  <c r="CY145" i="11"/>
  <c r="CY214" i="11"/>
  <c r="DA36" i="10"/>
  <c r="CZ44" i="4"/>
  <c r="CZ8" i="4" s="1"/>
  <c r="DA8" i="2" s="1"/>
  <c r="CZ43" i="4"/>
  <c r="CZ24" i="4"/>
  <c r="CZ21" i="4"/>
  <c r="CZ30" i="4"/>
  <c r="CZ31" i="4"/>
  <c r="CZ32" i="4" s="1"/>
  <c r="CZ33" i="4" s="1"/>
  <c r="CZ23" i="4"/>
  <c r="DA53" i="10" s="1"/>
  <c r="CZ16" i="4"/>
  <c r="CZ20" i="4"/>
  <c r="CZ37" i="4"/>
  <c r="CZ38" i="4" s="1"/>
  <c r="CZ39" i="4" s="1"/>
  <c r="CZ17" i="4"/>
  <c r="CZ51" i="4"/>
  <c r="CZ22" i="4"/>
  <c r="CZ18" i="4"/>
  <c r="CZ41" i="4"/>
  <c r="CZ50" i="4"/>
  <c r="CZ35" i="4"/>
  <c r="CZ48" i="4"/>
  <c r="CZ42" i="4"/>
  <c r="CZ36" i="4"/>
  <c r="CZ29" i="4"/>
  <c r="CZ11" i="6"/>
  <c r="CZ10" i="10"/>
  <c r="CY10" i="5"/>
  <c r="DA4" i="5"/>
  <c r="DA5" i="4"/>
  <c r="DB5" i="2" s="1"/>
  <c r="DB14" i="2" s="1"/>
  <c r="DB5" i="6"/>
  <c r="DB4" i="10"/>
  <c r="CY11" i="5"/>
  <c r="CZ12" i="6"/>
  <c r="CZ11" i="10"/>
  <c r="CZ5" i="11"/>
  <c r="CZ14" i="11" s="1"/>
  <c r="CZ13" i="5"/>
  <c r="CZ231" i="11" s="1"/>
  <c r="DA7" i="6"/>
  <c r="CZ6" i="5"/>
  <c r="DA6" i="10"/>
  <c r="CZ9" i="10"/>
  <c r="CZ10" i="6"/>
  <c r="CY9" i="5"/>
  <c r="DA8" i="6"/>
  <c r="DA7" i="10"/>
  <c r="CZ7" i="5"/>
  <c r="CZ245" i="11" l="1"/>
  <c r="CZ235" i="11"/>
  <c r="DA25" i="10"/>
  <c r="DA21" i="6"/>
  <c r="DA19" i="10" s="1"/>
  <c r="CY246" i="11"/>
  <c r="CY247" i="11" s="1"/>
  <c r="CZ244" i="11" s="1"/>
  <c r="CX252" i="11"/>
  <c r="CY249" i="11" s="1"/>
  <c r="CY250" i="11"/>
  <c r="CZ72" i="11"/>
  <c r="CZ106" i="5" s="1"/>
  <c r="CZ67" i="11"/>
  <c r="CZ101" i="5" s="1"/>
  <c r="CQ16" i="11"/>
  <c r="CQ18" i="11" s="1"/>
  <c r="CQ70" i="5" s="1"/>
  <c r="CQ68" i="5" s="1"/>
  <c r="CY107" i="11"/>
  <c r="CZ104" i="11" s="1"/>
  <c r="CY42" i="5"/>
  <c r="CY112" i="11"/>
  <c r="CZ109" i="11" s="1"/>
  <c r="CY43" i="5"/>
  <c r="CY80" i="5"/>
  <c r="CY29" i="11"/>
  <c r="CZ26" i="11" s="1"/>
  <c r="CZ105" i="11" s="1"/>
  <c r="DA48" i="6" s="1"/>
  <c r="CY76" i="5"/>
  <c r="CY74" i="5" s="1"/>
  <c r="CY34" i="11"/>
  <c r="CZ31" i="11" s="1"/>
  <c r="CZ110" i="11" s="1"/>
  <c r="DA49" i="6" s="1"/>
  <c r="CY79" i="5"/>
  <c r="CY77" i="5" s="1"/>
  <c r="CZ32" i="11"/>
  <c r="DD88" i="14"/>
  <c r="DA31" i="10"/>
  <c r="CZ37" i="11"/>
  <c r="CZ81" i="5" s="1"/>
  <c r="CZ27" i="11"/>
  <c r="CY10" i="11"/>
  <c r="CX10" i="15"/>
  <c r="CY9" i="11"/>
  <c r="CX9" i="15"/>
  <c r="CZ7" i="11"/>
  <c r="CY7" i="15"/>
  <c r="CY11" i="11"/>
  <c r="CX11" i="15"/>
  <c r="DA4" i="11"/>
  <c r="CZ4" i="15"/>
  <c r="CZ6" i="11"/>
  <c r="CY6" i="15"/>
  <c r="DA21" i="2"/>
  <c r="DA30" i="2"/>
  <c r="DA23" i="2"/>
  <c r="DA24" i="2"/>
  <c r="DA25" i="2"/>
  <c r="DA22" i="2"/>
  <c r="CR169" i="11"/>
  <c r="CR171" i="11" s="1"/>
  <c r="CR28" i="5" s="1"/>
  <c r="CZ57" i="11"/>
  <c r="CZ90" i="5" s="1"/>
  <c r="CZ61" i="19" s="1"/>
  <c r="CZ87" i="11"/>
  <c r="CZ88" i="11" s="1"/>
  <c r="DD8" i="14"/>
  <c r="CZ8" i="19"/>
  <c r="DE5" i="14"/>
  <c r="DE15" i="14" s="1"/>
  <c r="DA5" i="19"/>
  <c r="CZ5" i="17"/>
  <c r="DA10" i="16"/>
  <c r="DA54" i="16" s="1"/>
  <c r="DA80" i="16" s="1"/>
  <c r="DB5" i="16"/>
  <c r="CY186" i="11"/>
  <c r="CY31" i="5" s="1"/>
  <c r="CN164" i="11"/>
  <c r="CN167" i="11" s="1"/>
  <c r="CM19" i="15" s="1"/>
  <c r="DA41" i="6"/>
  <c r="CZ195" i="11" s="1"/>
  <c r="CZ196" i="11" s="1"/>
  <c r="CZ39" i="5" s="1"/>
  <c r="DA25" i="6"/>
  <c r="CZ35" i="5" s="1"/>
  <c r="CY177" i="11"/>
  <c r="CZ174" i="11" s="1"/>
  <c r="CY29" i="5"/>
  <c r="CY192" i="11"/>
  <c r="CZ189" i="11" s="1"/>
  <c r="CY32" i="5"/>
  <c r="CN27" i="5"/>
  <c r="DA45" i="10"/>
  <c r="CY157" i="11"/>
  <c r="DA49" i="10"/>
  <c r="DA30" i="10"/>
  <c r="DA44" i="10"/>
  <c r="DA24" i="10"/>
  <c r="DA50" i="10"/>
  <c r="DA27" i="10"/>
  <c r="DA48" i="10"/>
  <c r="DA23" i="10"/>
  <c r="DA28" i="10"/>
  <c r="DA52" i="10"/>
  <c r="DA46" i="10"/>
  <c r="DA22" i="10"/>
  <c r="DA26" i="10"/>
  <c r="DA47" i="10"/>
  <c r="CZ17" i="11"/>
  <c r="CZ97" i="11"/>
  <c r="DA14" i="4"/>
  <c r="DB4" i="4"/>
  <c r="DC4" i="2" s="1"/>
  <c r="DA6" i="4"/>
  <c r="DB6" i="2" s="1"/>
  <c r="DA7" i="4"/>
  <c r="DB7" i="2" s="1"/>
  <c r="DB6" i="6"/>
  <c r="DB13" i="6" s="1"/>
  <c r="DB5" i="10"/>
  <c r="DB14" i="10" s="1"/>
  <c r="DA5" i="5"/>
  <c r="CZ47" i="4"/>
  <c r="CZ11" i="4" s="1"/>
  <c r="DA11" i="2" s="1"/>
  <c r="CZ27" i="4"/>
  <c r="CZ45" i="4"/>
  <c r="CZ9" i="4" s="1"/>
  <c r="DA9" i="2" s="1"/>
  <c r="CZ25" i="4"/>
  <c r="CZ26" i="4"/>
  <c r="CZ46" i="4"/>
  <c r="CZ10" i="4" s="1"/>
  <c r="DA10" i="2" s="1"/>
  <c r="DA8" i="10"/>
  <c r="DA9" i="6"/>
  <c r="CZ8" i="5"/>
  <c r="CZ5" i="15" l="1"/>
  <c r="CZ13" i="15" s="1"/>
  <c r="DA138" i="5"/>
  <c r="DA137" i="5"/>
  <c r="DA30" i="6"/>
  <c r="CZ26" i="5"/>
  <c r="CY251" i="11"/>
  <c r="CY252" i="11" s="1"/>
  <c r="CZ249" i="11" s="1"/>
  <c r="CZ246" i="11"/>
  <c r="CQ19" i="11"/>
  <c r="CR16" i="11" s="1"/>
  <c r="DA81" i="16"/>
  <c r="DB16" i="6"/>
  <c r="DB60" i="6" s="1"/>
  <c r="CZ33" i="11"/>
  <c r="CZ78" i="5"/>
  <c r="CZ28" i="11"/>
  <c r="CZ75" i="5"/>
  <c r="CZ111" i="11"/>
  <c r="CZ106" i="11"/>
  <c r="CZ38" i="11"/>
  <c r="CZ39" i="11" s="1"/>
  <c r="DA36" i="11" s="1"/>
  <c r="DE99" i="14"/>
  <c r="CZ8" i="11"/>
  <c r="CY8" i="15"/>
  <c r="CZ140" i="11"/>
  <c r="DE104" i="14"/>
  <c r="DA13" i="19"/>
  <c r="DD9" i="14"/>
  <c r="CZ9" i="19"/>
  <c r="DE7" i="14"/>
  <c r="DA7" i="19"/>
  <c r="DE6" i="14"/>
  <c r="DA6" i="19"/>
  <c r="DD10" i="14"/>
  <c r="CZ10" i="19"/>
  <c r="DF4" i="14"/>
  <c r="DB4" i="19"/>
  <c r="DD11" i="14"/>
  <c r="CZ11" i="19"/>
  <c r="CY187" i="11"/>
  <c r="CZ184" i="11" s="1"/>
  <c r="DB6" i="16"/>
  <c r="DA4" i="17"/>
  <c r="CZ4" i="18" s="1"/>
  <c r="CY5" i="18"/>
  <c r="CY8" i="18" s="1"/>
  <c r="CZ8" i="17"/>
  <c r="CR172" i="11"/>
  <c r="CO164" i="11"/>
  <c r="DA29" i="6"/>
  <c r="CZ25" i="5"/>
  <c r="CZ197" i="11"/>
  <c r="DA194" i="11" s="1"/>
  <c r="DA27" i="6"/>
  <c r="CZ23" i="5"/>
  <c r="DA28" i="6"/>
  <c r="CZ24" i="5"/>
  <c r="CZ69" i="5"/>
  <c r="DA54" i="4"/>
  <c r="DA52" i="4"/>
  <c r="DA53" i="4"/>
  <c r="DA55" i="4"/>
  <c r="CZ166" i="11"/>
  <c r="DA31" i="6"/>
  <c r="DA36" i="6"/>
  <c r="CZ190" i="11"/>
  <c r="CZ191" i="11" s="1"/>
  <c r="CZ175" i="11"/>
  <c r="CZ176" i="11" s="1"/>
  <c r="DA33" i="6"/>
  <c r="DA32" i="6"/>
  <c r="CZ170" i="11"/>
  <c r="DA35" i="6"/>
  <c r="CZ185" i="11"/>
  <c r="CZ145" i="11"/>
  <c r="CZ214" i="11"/>
  <c r="DB36" i="10"/>
  <c r="DB5" i="4"/>
  <c r="DC5" i="2" s="1"/>
  <c r="DC14" i="2" s="1"/>
  <c r="DC4" i="10"/>
  <c r="DB4" i="5"/>
  <c r="DC5" i="6"/>
  <c r="DB7" i="6"/>
  <c r="DB6" i="10"/>
  <c r="DA6" i="5"/>
  <c r="DA12" i="6"/>
  <c r="DA11" i="10"/>
  <c r="CZ11" i="5"/>
  <c r="DA9" i="10"/>
  <c r="DA10" i="6"/>
  <c r="CZ9" i="5"/>
  <c r="DB8" i="6"/>
  <c r="DA7" i="5"/>
  <c r="DB7" i="10"/>
  <c r="DA44" i="4"/>
  <c r="DA8" i="4" s="1"/>
  <c r="DB8" i="2" s="1"/>
  <c r="DA18" i="4"/>
  <c r="DA30" i="4"/>
  <c r="DA31" i="4"/>
  <c r="DA32" i="4" s="1"/>
  <c r="DA33" i="4" s="1"/>
  <c r="DA21" i="4"/>
  <c r="DA36" i="4"/>
  <c r="DA23" i="4"/>
  <c r="DB53" i="10" s="1"/>
  <c r="DA50" i="4"/>
  <c r="DA41" i="4"/>
  <c r="DA22" i="4"/>
  <c r="DA24" i="4"/>
  <c r="DA17" i="4"/>
  <c r="DA43" i="4"/>
  <c r="DA29" i="4"/>
  <c r="DA51" i="4"/>
  <c r="DA37" i="4"/>
  <c r="DA38" i="4" s="1"/>
  <c r="DA39" i="4" s="1"/>
  <c r="DA48" i="4"/>
  <c r="DA20" i="4"/>
  <c r="DA35" i="4"/>
  <c r="DA42" i="4"/>
  <c r="DA16" i="4"/>
  <c r="DA5" i="11"/>
  <c r="DA14" i="11" s="1"/>
  <c r="DA13" i="5"/>
  <c r="DA231" i="11" s="1"/>
  <c r="CZ10" i="5"/>
  <c r="DA11" i="6"/>
  <c r="DA10" i="10"/>
  <c r="DA245" i="11" l="1"/>
  <c r="DA235" i="11"/>
  <c r="DB23" i="10"/>
  <c r="DB21" i="6"/>
  <c r="DB19" i="10" s="1"/>
  <c r="CY68" i="11"/>
  <c r="CY102" i="5" s="1"/>
  <c r="CY27" i="19" s="1"/>
  <c r="CZ247" i="11"/>
  <c r="DA244" i="11" s="1"/>
  <c r="CZ250" i="11"/>
  <c r="CZ251" i="11" s="1"/>
  <c r="CZ252" i="11" s="1"/>
  <c r="DA249" i="11" s="1"/>
  <c r="DA72" i="11"/>
  <c r="DA106" i="5" s="1"/>
  <c r="DA67" i="11"/>
  <c r="DA101" i="5" s="1"/>
  <c r="CP31" i="15"/>
  <c r="CR18" i="11"/>
  <c r="CR70" i="5" s="1"/>
  <c r="CR68" i="5" s="1"/>
  <c r="CZ107" i="11"/>
  <c r="DA104" i="11" s="1"/>
  <c r="CZ42" i="5"/>
  <c r="CZ112" i="11"/>
  <c r="DA109" i="11" s="1"/>
  <c r="CZ43" i="5"/>
  <c r="CZ29" i="11"/>
  <c r="DA26" i="11" s="1"/>
  <c r="DA105" i="11" s="1"/>
  <c r="DB48" i="6" s="1"/>
  <c r="CZ76" i="5"/>
  <c r="CZ74" i="5" s="1"/>
  <c r="CZ34" i="11"/>
  <c r="DA31" i="11" s="1"/>
  <c r="DA110" i="11" s="1"/>
  <c r="DB49" i="6" s="1"/>
  <c r="CZ79" i="5"/>
  <c r="CZ77" i="5" s="1"/>
  <c r="DA32" i="11"/>
  <c r="CZ82" i="5"/>
  <c r="CZ80" i="5" s="1"/>
  <c r="DB31" i="10"/>
  <c r="DE88" i="14"/>
  <c r="DA37" i="11"/>
  <c r="DA38" i="11" s="1"/>
  <c r="DA27" i="11"/>
  <c r="CZ9" i="11"/>
  <c r="CY9" i="15"/>
  <c r="DA7" i="11"/>
  <c r="CZ7" i="15"/>
  <c r="DB4" i="11"/>
  <c r="DA4" i="15"/>
  <c r="CZ11" i="11"/>
  <c r="CY11" i="15"/>
  <c r="DA6" i="11"/>
  <c r="CZ6" i="15"/>
  <c r="DB21" i="2"/>
  <c r="DB22" i="2"/>
  <c r="DB23" i="2"/>
  <c r="DB24" i="2"/>
  <c r="DB25" i="2"/>
  <c r="DB30" i="2"/>
  <c r="CZ10" i="11"/>
  <c r="CY10" i="15"/>
  <c r="CS169" i="11"/>
  <c r="CS171" i="11" s="1"/>
  <c r="CS28" i="5" s="1"/>
  <c r="DA57" i="11"/>
  <c r="DA90" i="5" s="1"/>
  <c r="DA87" i="11"/>
  <c r="DA88" i="11" s="1"/>
  <c r="DF5" i="14"/>
  <c r="DF15" i="14" s="1"/>
  <c r="DB5" i="19"/>
  <c r="DE8" i="14"/>
  <c r="DA8" i="19"/>
  <c r="DB10" i="16"/>
  <c r="DB54" i="16" s="1"/>
  <c r="DB80" i="16" s="1"/>
  <c r="DA5" i="17"/>
  <c r="DC5" i="16"/>
  <c r="DB41" i="6"/>
  <c r="DA195" i="11" s="1"/>
  <c r="DA196" i="11" s="1"/>
  <c r="DA39" i="5" s="1"/>
  <c r="DB25" i="6"/>
  <c r="DA35" i="5" s="1"/>
  <c r="CZ177" i="11"/>
  <c r="DA174" i="11" s="1"/>
  <c r="CZ29" i="5"/>
  <c r="CZ192" i="11"/>
  <c r="DA189" i="11" s="1"/>
  <c r="CZ32" i="5"/>
  <c r="CO165" i="11"/>
  <c r="CZ186" i="11"/>
  <c r="DB50" i="10"/>
  <c r="DB47" i="10"/>
  <c r="CZ157" i="11"/>
  <c r="DB49" i="10"/>
  <c r="DB27" i="10"/>
  <c r="DB26" i="10"/>
  <c r="DB46" i="10"/>
  <c r="DB25" i="10"/>
  <c r="DB44" i="10"/>
  <c r="DB45" i="10"/>
  <c r="DB22" i="10"/>
  <c r="DB24" i="10"/>
  <c r="DB52" i="10"/>
  <c r="DB28" i="10"/>
  <c r="DB30" i="10"/>
  <c r="DB48" i="10"/>
  <c r="DB9" i="6"/>
  <c r="DB8" i="10"/>
  <c r="DA8" i="5"/>
  <c r="DA27" i="4"/>
  <c r="DA26" i="4"/>
  <c r="DA46" i="4"/>
  <c r="DA10" i="4" s="1"/>
  <c r="DB10" i="2" s="1"/>
  <c r="DA47" i="4"/>
  <c r="DA11" i="4" s="1"/>
  <c r="DB11" i="2" s="1"/>
  <c r="DA25" i="4"/>
  <c r="DA45" i="4"/>
  <c r="DA9" i="4" s="1"/>
  <c r="DB9" i="2" s="1"/>
  <c r="DB6" i="4"/>
  <c r="DC6" i="2" s="1"/>
  <c r="DB7" i="4"/>
  <c r="DC7" i="2" s="1"/>
  <c r="DC4" i="4"/>
  <c r="DD4" i="2" s="1"/>
  <c r="DB14" i="4"/>
  <c r="DC6" i="6"/>
  <c r="DC13" i="6" s="1"/>
  <c r="DC5" i="10"/>
  <c r="DC14" i="10" s="1"/>
  <c r="DB5" i="5"/>
  <c r="DA17" i="11"/>
  <c r="DA97" i="11"/>
  <c r="DA5" i="15" l="1"/>
  <c r="DA13" i="15" s="1"/>
  <c r="DB137" i="5"/>
  <c r="DB138" i="5"/>
  <c r="DA24" i="5"/>
  <c r="DB28" i="6"/>
  <c r="CZ68" i="11"/>
  <c r="CZ102" i="5" s="1"/>
  <c r="CZ27" i="19" s="1"/>
  <c r="DA246" i="11"/>
  <c r="CR19" i="11"/>
  <c r="CQ31" i="15" s="1"/>
  <c r="DB81" i="16"/>
  <c r="DC16" i="6"/>
  <c r="DC60" i="6" s="1"/>
  <c r="DA28" i="11"/>
  <c r="DA75" i="5"/>
  <c r="DA33" i="11"/>
  <c r="DA78" i="5"/>
  <c r="DA111" i="11"/>
  <c r="DA106" i="11"/>
  <c r="DA81" i="5"/>
  <c r="DF99" i="14"/>
  <c r="DA8" i="11"/>
  <c r="CZ8" i="15"/>
  <c r="DF104" i="14"/>
  <c r="DA39" i="11"/>
  <c r="DB36" i="11" s="1"/>
  <c r="DA82" i="5"/>
  <c r="DA140" i="11"/>
  <c r="DA61" i="19"/>
  <c r="DB13" i="19"/>
  <c r="DE10" i="14"/>
  <c r="DA10" i="19"/>
  <c r="DG4" i="14"/>
  <c r="DC4" i="19"/>
  <c r="DF7" i="14"/>
  <c r="DB7" i="19"/>
  <c r="DF6" i="14"/>
  <c r="DB6" i="19"/>
  <c r="DE9" i="14"/>
  <c r="DA9" i="19"/>
  <c r="DE11" i="14"/>
  <c r="DA11" i="19"/>
  <c r="DC6" i="16"/>
  <c r="DB4" i="17"/>
  <c r="DA4" i="18" s="1"/>
  <c r="CZ5" i="18"/>
  <c r="CZ8" i="18" s="1"/>
  <c r="DA8" i="17"/>
  <c r="CS172" i="11"/>
  <c r="DB29" i="6"/>
  <c r="DA25" i="5"/>
  <c r="DA197" i="11"/>
  <c r="DB194" i="11" s="1"/>
  <c r="DB30" i="6"/>
  <c r="DA26" i="5"/>
  <c r="DB27" i="6"/>
  <c r="DA23" i="5"/>
  <c r="DA69" i="5"/>
  <c r="CZ187" i="11"/>
  <c r="DA184" i="11" s="1"/>
  <c r="CZ31" i="5"/>
  <c r="CO167" i="11"/>
  <c r="CN19" i="15" s="1"/>
  <c r="CO27" i="5"/>
  <c r="DB55" i="4"/>
  <c r="DB54" i="4"/>
  <c r="DB52" i="4"/>
  <c r="DB53" i="4"/>
  <c r="DA185" i="11"/>
  <c r="DB35" i="6"/>
  <c r="DB33" i="6"/>
  <c r="DA175" i="11"/>
  <c r="DB36" i="6"/>
  <c r="DA190" i="11"/>
  <c r="DA191" i="11" s="1"/>
  <c r="DB31" i="6"/>
  <c r="DA166" i="11"/>
  <c r="DB32" i="6"/>
  <c r="DA170" i="11"/>
  <c r="DA145" i="11"/>
  <c r="DA214" i="11"/>
  <c r="DC36" i="10"/>
  <c r="DC5" i="4"/>
  <c r="DD5" i="2" s="1"/>
  <c r="DD14" i="2" s="1"/>
  <c r="DD5" i="6"/>
  <c r="DC4" i="5"/>
  <c r="DD4" i="10"/>
  <c r="DB44" i="4"/>
  <c r="DB8" i="4" s="1"/>
  <c r="DC8" i="2" s="1"/>
  <c r="DB36" i="4"/>
  <c r="DB48" i="4"/>
  <c r="DB29" i="4"/>
  <c r="DB31" i="4"/>
  <c r="DB32" i="4" s="1"/>
  <c r="DB33" i="4" s="1"/>
  <c r="DB43" i="4"/>
  <c r="DB21" i="4"/>
  <c r="DB51" i="4"/>
  <c r="DB35" i="4"/>
  <c r="DB23" i="4"/>
  <c r="DC53" i="10" s="1"/>
  <c r="DB17" i="4"/>
  <c r="DB20" i="4"/>
  <c r="DB18" i="4"/>
  <c r="DB30" i="4"/>
  <c r="DB24" i="4"/>
  <c r="DB16" i="4"/>
  <c r="DB42" i="4"/>
  <c r="DB22" i="4"/>
  <c r="DB50" i="4"/>
  <c r="DB37" i="4"/>
  <c r="DB38" i="4" s="1"/>
  <c r="DB39" i="4" s="1"/>
  <c r="DB41" i="4"/>
  <c r="DC7" i="6"/>
  <c r="DC6" i="10"/>
  <c r="DB6" i="5"/>
  <c r="DB5" i="11"/>
  <c r="DB14" i="11" s="1"/>
  <c r="DB13" i="5"/>
  <c r="DB231" i="11" s="1"/>
  <c r="DC8" i="6"/>
  <c r="DC7" i="10"/>
  <c r="DB7" i="5"/>
  <c r="DB10" i="6"/>
  <c r="DA9" i="5"/>
  <c r="DB9" i="10"/>
  <c r="DB11" i="10"/>
  <c r="DA11" i="5"/>
  <c r="DB12" i="6"/>
  <c r="DA10" i="5"/>
  <c r="CZ10" i="15" s="1"/>
  <c r="DB11" i="6"/>
  <c r="DB10" i="10"/>
  <c r="DB245" i="11" l="1"/>
  <c r="DB235" i="11"/>
  <c r="DC24" i="10"/>
  <c r="DC29" i="6" s="1"/>
  <c r="DC21" i="6"/>
  <c r="DC19" i="10" s="1"/>
  <c r="DA247" i="11"/>
  <c r="DB244" i="11" s="1"/>
  <c r="DA250" i="11"/>
  <c r="DB67" i="11"/>
  <c r="DB101" i="5" s="1"/>
  <c r="DB72" i="11"/>
  <c r="DB106" i="5" s="1"/>
  <c r="CS16" i="11"/>
  <c r="CS18" i="11" s="1"/>
  <c r="CS70" i="5" s="1"/>
  <c r="CS68" i="5" s="1"/>
  <c r="DA80" i="5"/>
  <c r="DA107" i="11"/>
  <c r="DB104" i="11" s="1"/>
  <c r="DA42" i="5"/>
  <c r="DA112" i="11"/>
  <c r="DB109" i="11" s="1"/>
  <c r="DA43" i="5"/>
  <c r="DA34" i="11"/>
  <c r="DB31" i="11" s="1"/>
  <c r="DB110" i="11" s="1"/>
  <c r="DC49" i="6" s="1"/>
  <c r="DA79" i="5"/>
  <c r="DA77" i="5" s="1"/>
  <c r="DA29" i="11"/>
  <c r="DB26" i="11" s="1"/>
  <c r="DB105" i="11" s="1"/>
  <c r="DC48" i="6" s="1"/>
  <c r="DA76" i="5"/>
  <c r="DA74" i="5" s="1"/>
  <c r="DB32" i="11"/>
  <c r="DF88" i="14"/>
  <c r="DC31" i="10"/>
  <c r="DB37" i="11"/>
  <c r="DB38" i="11" s="1"/>
  <c r="DB27" i="11"/>
  <c r="DC23" i="2"/>
  <c r="DC21" i="2"/>
  <c r="DC22" i="2"/>
  <c r="DC30" i="2"/>
  <c r="DC25" i="2"/>
  <c r="DC24" i="2"/>
  <c r="DC4" i="11"/>
  <c r="DB4" i="15"/>
  <c r="DA11" i="11"/>
  <c r="CZ11" i="15"/>
  <c r="DA9" i="11"/>
  <c r="CZ9" i="15"/>
  <c r="DB7" i="11"/>
  <c r="DA7" i="15"/>
  <c r="DB6" i="11"/>
  <c r="DA6" i="15"/>
  <c r="DB57" i="11"/>
  <c r="DB90" i="5" s="1"/>
  <c r="DB87" i="11"/>
  <c r="DB88" i="11" s="1"/>
  <c r="DF8" i="14"/>
  <c r="DB8" i="19"/>
  <c r="DG5" i="14"/>
  <c r="DG15" i="14" s="1"/>
  <c r="DC5" i="19"/>
  <c r="DA10" i="11"/>
  <c r="DB5" i="17"/>
  <c r="DC10" i="16"/>
  <c r="DC54" i="16" s="1"/>
  <c r="DC80" i="16" s="1"/>
  <c r="DD5" i="16"/>
  <c r="DC41" i="6"/>
  <c r="DB195" i="11" s="1"/>
  <c r="CT169" i="11"/>
  <c r="CP164" i="11"/>
  <c r="DA186" i="11"/>
  <c r="DA31" i="5" s="1"/>
  <c r="DC25" i="6"/>
  <c r="DB35" i="5" s="1"/>
  <c r="DA192" i="11"/>
  <c r="DB189" i="11" s="1"/>
  <c r="DA32" i="5"/>
  <c r="CP165" i="11"/>
  <c r="DA176" i="11"/>
  <c r="DA157" i="11"/>
  <c r="DC23" i="10"/>
  <c r="DC27" i="10"/>
  <c r="DC22" i="10"/>
  <c r="DC28" i="10"/>
  <c r="DC44" i="10"/>
  <c r="DC25" i="10"/>
  <c r="DC52" i="10"/>
  <c r="DC30" i="10"/>
  <c r="DC50" i="10"/>
  <c r="DC48" i="10"/>
  <c r="DC45" i="10"/>
  <c r="DC49" i="10"/>
  <c r="DC26" i="10"/>
  <c r="DC46" i="10"/>
  <c r="DC47" i="10"/>
  <c r="DB8" i="5"/>
  <c r="DC9" i="6"/>
  <c r="DC8" i="10"/>
  <c r="DB26" i="4"/>
  <c r="DB47" i="4"/>
  <c r="DB11" i="4" s="1"/>
  <c r="DC11" i="2" s="1"/>
  <c r="DB45" i="4"/>
  <c r="DB9" i="4" s="1"/>
  <c r="DC9" i="2" s="1"/>
  <c r="DB46" i="4"/>
  <c r="DB10" i="4" s="1"/>
  <c r="DC10" i="2" s="1"/>
  <c r="DB27" i="4"/>
  <c r="DB25" i="4"/>
  <c r="DB97" i="11"/>
  <c r="DB17" i="11"/>
  <c r="DC7" i="4"/>
  <c r="DD7" i="2" s="1"/>
  <c r="DC6" i="4"/>
  <c r="DD6" i="2" s="1"/>
  <c r="DC14" i="4"/>
  <c r="DD4" i="4"/>
  <c r="DE4" i="2" s="1"/>
  <c r="DD6" i="6"/>
  <c r="DD13" i="6" s="1"/>
  <c r="DD5" i="10"/>
  <c r="DD14" i="10" s="1"/>
  <c r="DC5" i="5"/>
  <c r="DB5" i="15" l="1"/>
  <c r="DB13" i="15" s="1"/>
  <c r="DC138" i="5"/>
  <c r="DC137" i="5"/>
  <c r="DB25" i="5"/>
  <c r="DB246" i="11"/>
  <c r="DA251" i="11"/>
  <c r="DA68" i="11" s="1"/>
  <c r="DA102" i="5" s="1"/>
  <c r="DA27" i="19" s="1"/>
  <c r="CS19" i="11"/>
  <c r="CR31" i="15" s="1"/>
  <c r="DC81" i="16"/>
  <c r="DD16" i="6"/>
  <c r="DD60" i="6" s="1"/>
  <c r="DB28" i="11"/>
  <c r="DB75" i="5"/>
  <c r="DB33" i="11"/>
  <c r="DB78" i="5"/>
  <c r="DB111" i="11"/>
  <c r="DB106" i="11"/>
  <c r="DB81" i="5"/>
  <c r="DG104" i="14"/>
  <c r="DB8" i="11"/>
  <c r="DA8" i="15"/>
  <c r="DG99" i="14"/>
  <c r="DB39" i="11"/>
  <c r="DC36" i="11" s="1"/>
  <c r="DB82" i="5"/>
  <c r="DB140" i="11"/>
  <c r="DB61" i="19"/>
  <c r="DC13" i="19"/>
  <c r="DF10" i="14"/>
  <c r="DB10" i="19"/>
  <c r="DF9" i="14"/>
  <c r="DB9" i="19"/>
  <c r="DH4" i="14"/>
  <c r="DD4" i="19"/>
  <c r="DG6" i="14"/>
  <c r="DC6" i="19"/>
  <c r="DG7" i="14"/>
  <c r="DC7" i="19"/>
  <c r="DF11" i="14"/>
  <c r="DB11" i="19"/>
  <c r="DD6" i="16"/>
  <c r="DC4" i="17"/>
  <c r="DB4" i="18" s="1"/>
  <c r="DA5" i="18"/>
  <c r="DA8" i="18" s="1"/>
  <c r="DB8" i="17"/>
  <c r="DB196" i="11"/>
  <c r="DB39" i="5" s="1"/>
  <c r="CT171" i="11"/>
  <c r="CT28" i="5" s="1"/>
  <c r="DA187" i="11"/>
  <c r="DB184" i="11" s="1"/>
  <c r="DC30" i="6"/>
  <c r="DB26" i="5"/>
  <c r="DC27" i="6"/>
  <c r="DB23" i="5"/>
  <c r="DC28" i="6"/>
  <c r="DB24" i="5"/>
  <c r="DB69" i="5"/>
  <c r="DA177" i="11"/>
  <c r="DB174" i="11" s="1"/>
  <c r="DA29" i="5"/>
  <c r="CP167" i="11"/>
  <c r="CO19" i="15" s="1"/>
  <c r="CP27" i="5"/>
  <c r="DC54" i="4"/>
  <c r="DC55" i="4"/>
  <c r="DC52" i="4"/>
  <c r="DC53" i="4"/>
  <c r="DC31" i="6"/>
  <c r="DB166" i="11"/>
  <c r="DC36" i="6"/>
  <c r="DB190" i="11"/>
  <c r="DB191" i="11" s="1"/>
  <c r="DC35" i="6"/>
  <c r="DB185" i="11"/>
  <c r="DC33" i="6"/>
  <c r="DB175" i="11"/>
  <c r="DC32" i="6"/>
  <c r="DB170" i="11"/>
  <c r="DB145" i="11"/>
  <c r="DB214" i="11"/>
  <c r="DD36" i="10"/>
  <c r="DD4" i="5"/>
  <c r="DE4" i="10"/>
  <c r="DD5" i="4"/>
  <c r="DE5" i="2" s="1"/>
  <c r="DE14" i="2" s="1"/>
  <c r="DE5" i="6"/>
  <c r="DC44" i="4"/>
  <c r="DC8" i="4" s="1"/>
  <c r="DD8" i="2" s="1"/>
  <c r="DC17" i="4"/>
  <c r="DC51" i="4"/>
  <c r="DC35" i="4"/>
  <c r="DC18" i="4"/>
  <c r="DC50" i="4"/>
  <c r="DC37" i="4"/>
  <c r="DC38" i="4" s="1"/>
  <c r="DC39" i="4" s="1"/>
  <c r="DC42" i="4"/>
  <c r="DC36" i="4"/>
  <c r="DC16" i="4"/>
  <c r="DC41" i="4"/>
  <c r="DC21" i="4"/>
  <c r="DC24" i="4"/>
  <c r="DC48" i="4"/>
  <c r="DC20" i="4"/>
  <c r="DC30" i="4"/>
  <c r="DC43" i="4"/>
  <c r="DC22" i="4"/>
  <c r="DC23" i="4"/>
  <c r="DD49" i="10" s="1"/>
  <c r="DC31" i="4"/>
  <c r="DC32" i="4" s="1"/>
  <c r="DC33" i="4" s="1"/>
  <c r="DC29" i="4"/>
  <c r="DB10" i="5"/>
  <c r="DA10" i="15" s="1"/>
  <c r="DC11" i="6"/>
  <c r="DC10" i="10"/>
  <c r="DC10" i="6"/>
  <c r="DC9" i="10"/>
  <c r="DB9" i="5"/>
  <c r="DC6" i="5"/>
  <c r="DD7" i="6"/>
  <c r="DD6" i="10"/>
  <c r="DB11" i="5"/>
  <c r="DC11" i="10"/>
  <c r="DC12" i="6"/>
  <c r="DD8" i="6"/>
  <c r="DD7" i="10"/>
  <c r="DC7" i="5"/>
  <c r="DC5" i="11"/>
  <c r="DC14" i="11" s="1"/>
  <c r="DC13" i="5"/>
  <c r="DC231" i="11" s="1"/>
  <c r="DC245" i="11" l="1"/>
  <c r="DC235" i="11"/>
  <c r="DD25" i="10"/>
  <c r="DD21" i="6"/>
  <c r="DD19" i="10" s="1"/>
  <c r="DB250" i="11"/>
  <c r="DA252" i="11"/>
  <c r="DB249" i="11" s="1"/>
  <c r="DB247" i="11"/>
  <c r="DC244" i="11" s="1"/>
  <c r="DC72" i="11"/>
  <c r="DC106" i="5" s="1"/>
  <c r="DC67" i="11"/>
  <c r="DC101" i="5" s="1"/>
  <c r="CT16" i="11"/>
  <c r="CT18" i="11" s="1"/>
  <c r="CT70" i="5" s="1"/>
  <c r="CT68" i="5" s="1"/>
  <c r="DB80" i="5"/>
  <c r="DB107" i="11"/>
  <c r="DC104" i="11" s="1"/>
  <c r="DB42" i="5"/>
  <c r="DB112" i="11"/>
  <c r="DC109" i="11" s="1"/>
  <c r="DB43" i="5"/>
  <c r="DB34" i="11"/>
  <c r="DC31" i="11" s="1"/>
  <c r="DC110" i="11" s="1"/>
  <c r="DD49" i="6" s="1"/>
  <c r="DB79" i="5"/>
  <c r="DB77" i="5" s="1"/>
  <c r="DB29" i="11"/>
  <c r="DC26" i="11" s="1"/>
  <c r="DC105" i="11" s="1"/>
  <c r="DD48" i="6" s="1"/>
  <c r="DB76" i="5"/>
  <c r="DB74" i="5" s="1"/>
  <c r="DC32" i="11"/>
  <c r="DD31" i="10"/>
  <c r="DC37" i="11"/>
  <c r="DC38" i="11" s="1"/>
  <c r="DC27" i="11"/>
  <c r="DG88" i="14"/>
  <c r="DC7" i="11"/>
  <c r="DB7" i="15"/>
  <c r="DD4" i="11"/>
  <c r="DC4" i="15"/>
  <c r="DB11" i="11"/>
  <c r="DA11" i="15"/>
  <c r="DC6" i="11"/>
  <c r="DB6" i="15"/>
  <c r="DB9" i="11"/>
  <c r="DA9" i="15"/>
  <c r="DD21" i="2"/>
  <c r="DD23" i="2"/>
  <c r="DD22" i="2"/>
  <c r="DD25" i="2"/>
  <c r="DD30" i="2"/>
  <c r="DD24" i="2"/>
  <c r="DC57" i="11"/>
  <c r="DC90" i="5" s="1"/>
  <c r="DC87" i="11"/>
  <c r="DC88" i="11" s="1"/>
  <c r="DG8" i="14"/>
  <c r="DC8" i="19"/>
  <c r="DH5" i="14"/>
  <c r="DH15" i="14" s="1"/>
  <c r="DD5" i="19"/>
  <c r="DC5" i="17"/>
  <c r="DD10" i="16"/>
  <c r="DD54" i="16" s="1"/>
  <c r="DD80" i="16" s="1"/>
  <c r="DE5" i="16"/>
  <c r="DB186" i="11"/>
  <c r="DB31" i="5" s="1"/>
  <c r="DB10" i="11"/>
  <c r="CT172" i="11"/>
  <c r="DB197" i="11"/>
  <c r="DC194" i="11" s="1"/>
  <c r="CQ164" i="11"/>
  <c r="DB176" i="11"/>
  <c r="DB177" i="11" s="1"/>
  <c r="DC174" i="11" s="1"/>
  <c r="DD25" i="6"/>
  <c r="DC35" i="5" s="1"/>
  <c r="DD41" i="6"/>
  <c r="DC195" i="11" s="1"/>
  <c r="DB192" i="11"/>
  <c r="DC189" i="11" s="1"/>
  <c r="DB32" i="5"/>
  <c r="CQ165" i="11"/>
  <c r="DB157" i="11"/>
  <c r="DD48" i="10"/>
  <c r="DD50" i="10"/>
  <c r="DD44" i="10"/>
  <c r="DD46" i="10"/>
  <c r="DD28" i="10"/>
  <c r="DD52" i="10"/>
  <c r="DD47" i="10"/>
  <c r="DD24" i="10"/>
  <c r="DD27" i="10"/>
  <c r="DD22" i="10"/>
  <c r="DD53" i="10"/>
  <c r="DD26" i="10"/>
  <c r="DD30" i="10"/>
  <c r="DD23" i="10"/>
  <c r="DD45" i="10"/>
  <c r="DC27" i="4"/>
  <c r="DC46" i="4"/>
  <c r="DC10" i="4" s="1"/>
  <c r="DD10" i="2" s="1"/>
  <c r="DC26" i="4"/>
  <c r="DC25" i="4"/>
  <c r="DC45" i="4"/>
  <c r="DC9" i="4" s="1"/>
  <c r="DD9" i="2" s="1"/>
  <c r="DC47" i="4"/>
  <c r="DC11" i="4" s="1"/>
  <c r="DD11" i="2" s="1"/>
  <c r="DD9" i="6"/>
  <c r="DD8" i="10"/>
  <c r="DC8" i="5"/>
  <c r="DD7" i="4"/>
  <c r="DE7" i="2" s="1"/>
  <c r="DD14" i="4"/>
  <c r="DD6" i="4"/>
  <c r="DE6" i="2" s="1"/>
  <c r="DE4" i="4"/>
  <c r="DF4" i="2" s="1"/>
  <c r="DE6" i="6"/>
  <c r="DE13" i="6" s="1"/>
  <c r="DD5" i="5"/>
  <c r="DE5" i="10"/>
  <c r="DE14" i="10" s="1"/>
  <c r="DC17" i="11"/>
  <c r="DC97" i="11"/>
  <c r="DC5" i="15" l="1"/>
  <c r="DC13" i="15" s="1"/>
  <c r="DD137" i="5"/>
  <c r="DD138" i="5"/>
  <c r="DD30" i="6"/>
  <c r="DC26" i="5"/>
  <c r="DB251" i="11"/>
  <c r="DB68" i="11" s="1"/>
  <c r="DB102" i="5" s="1"/>
  <c r="DB27" i="19" s="1"/>
  <c r="DC246" i="11"/>
  <c r="CT19" i="11"/>
  <c r="CS31" i="15" s="1"/>
  <c r="DD81" i="16"/>
  <c r="DE16" i="6"/>
  <c r="DE60" i="6" s="1"/>
  <c r="DC33" i="11"/>
  <c r="DC78" i="5"/>
  <c r="DC28" i="11"/>
  <c r="DC75" i="5"/>
  <c r="DC111" i="11"/>
  <c r="DC106" i="11"/>
  <c r="DC81" i="5"/>
  <c r="DH99" i="14"/>
  <c r="DC8" i="11"/>
  <c r="DB8" i="15"/>
  <c r="DC39" i="11"/>
  <c r="DD36" i="11" s="1"/>
  <c r="DC82" i="5"/>
  <c r="DC140" i="11"/>
  <c r="DC61" i="19"/>
  <c r="DH104" i="14"/>
  <c r="DD13" i="19"/>
  <c r="DB187" i="11"/>
  <c r="DC184" i="11" s="1"/>
  <c r="DG11" i="14"/>
  <c r="DC11" i="19"/>
  <c r="DG10" i="14"/>
  <c r="DC10" i="19"/>
  <c r="DH6" i="14"/>
  <c r="DD6" i="19"/>
  <c r="DI4" i="14"/>
  <c r="DE4" i="19"/>
  <c r="DH7" i="14"/>
  <c r="DD7" i="19"/>
  <c r="DG9" i="14"/>
  <c r="DC9" i="19"/>
  <c r="DE6" i="16"/>
  <c r="DD4" i="17"/>
  <c r="DC4" i="18" s="1"/>
  <c r="DB5" i="18"/>
  <c r="DB8" i="18" s="1"/>
  <c r="DC8" i="17"/>
  <c r="DC196" i="11"/>
  <c r="DC39" i="5" s="1"/>
  <c r="DB29" i="5"/>
  <c r="CU169" i="11"/>
  <c r="DD27" i="6"/>
  <c r="DC23" i="5"/>
  <c r="DD29" i="6"/>
  <c r="DC25" i="5"/>
  <c r="DD28" i="6"/>
  <c r="DC24" i="5"/>
  <c r="DC69" i="5"/>
  <c r="CQ167" i="11"/>
  <c r="CP19" i="15" s="1"/>
  <c r="CQ27" i="5"/>
  <c r="DD52" i="4"/>
  <c r="DD53" i="4"/>
  <c r="DD55" i="4"/>
  <c r="DD54" i="4"/>
  <c r="DD35" i="6"/>
  <c r="DC185" i="11"/>
  <c r="DC166" i="11"/>
  <c r="DD31" i="6"/>
  <c r="DD32" i="6"/>
  <c r="DC170" i="11"/>
  <c r="DD36" i="6"/>
  <c r="DC190" i="11"/>
  <c r="DC191" i="11" s="1"/>
  <c r="DD33" i="6"/>
  <c r="DC175" i="11"/>
  <c r="DC145" i="11"/>
  <c r="DC214" i="11"/>
  <c r="DE36" i="10"/>
  <c r="DD9" i="10"/>
  <c r="DC9" i="5"/>
  <c r="DD10" i="6"/>
  <c r="DE6" i="10"/>
  <c r="DE7" i="6"/>
  <c r="DD6" i="5"/>
  <c r="DD12" i="6"/>
  <c r="DC11" i="5"/>
  <c r="DD11" i="10"/>
  <c r="DD5" i="11"/>
  <c r="DD14" i="11" s="1"/>
  <c r="DD13" i="5"/>
  <c r="DD231" i="11" s="1"/>
  <c r="DE5" i="4"/>
  <c r="DF5" i="2" s="1"/>
  <c r="DF14" i="2" s="1"/>
  <c r="DF5" i="6"/>
  <c r="DE4" i="5"/>
  <c r="DF4" i="10"/>
  <c r="DD44" i="4"/>
  <c r="DD8" i="4" s="1"/>
  <c r="DE8" i="2" s="1"/>
  <c r="DD35" i="4"/>
  <c r="DD20" i="4"/>
  <c r="DD50" i="4"/>
  <c r="DD31" i="4"/>
  <c r="DD32" i="4" s="1"/>
  <c r="DD33" i="4" s="1"/>
  <c r="DD37" i="4"/>
  <c r="DD38" i="4" s="1"/>
  <c r="DD39" i="4" s="1"/>
  <c r="DD21" i="4"/>
  <c r="DD30" i="4"/>
  <c r="DD23" i="4"/>
  <c r="DE49" i="10" s="1"/>
  <c r="DD18" i="4"/>
  <c r="DD29" i="4"/>
  <c r="DD16" i="4"/>
  <c r="DD22" i="4"/>
  <c r="DD17" i="4"/>
  <c r="DD43" i="4"/>
  <c r="DD36" i="4"/>
  <c r="DD51" i="4"/>
  <c r="DD24" i="4"/>
  <c r="DD42" i="4"/>
  <c r="DD41" i="4"/>
  <c r="DD48" i="4"/>
  <c r="DE8" i="6"/>
  <c r="DD7" i="5"/>
  <c r="DE7" i="10"/>
  <c r="DC10" i="5"/>
  <c r="DB10" i="15" s="1"/>
  <c r="DD10" i="10"/>
  <c r="DD11" i="6"/>
  <c r="DD245" i="11" l="1"/>
  <c r="DD235" i="11"/>
  <c r="DB252" i="11"/>
  <c r="DC249" i="11" s="1"/>
  <c r="DE25" i="10"/>
  <c r="DE21" i="6"/>
  <c r="DE19" i="10" s="1"/>
  <c r="DC247" i="11"/>
  <c r="DD244" i="11" s="1"/>
  <c r="DC250" i="11"/>
  <c r="DD67" i="11"/>
  <c r="DD101" i="5" s="1"/>
  <c r="DD72" i="11"/>
  <c r="DD106" i="5" s="1"/>
  <c r="CU16" i="11"/>
  <c r="CU18" i="11" s="1"/>
  <c r="CU70" i="5" s="1"/>
  <c r="CU68" i="5" s="1"/>
  <c r="DC80" i="5"/>
  <c r="DC107" i="11"/>
  <c r="DD104" i="11" s="1"/>
  <c r="DC42" i="5"/>
  <c r="DC112" i="11"/>
  <c r="DD109" i="11" s="1"/>
  <c r="DC43" i="5"/>
  <c r="DC29" i="11"/>
  <c r="DD26" i="11" s="1"/>
  <c r="DD105" i="11" s="1"/>
  <c r="DE48" i="6" s="1"/>
  <c r="DC76" i="5"/>
  <c r="DC74" i="5" s="1"/>
  <c r="DC34" i="11"/>
  <c r="DD31" i="11" s="1"/>
  <c r="DD110" i="11" s="1"/>
  <c r="DE49" i="6" s="1"/>
  <c r="DC79" i="5"/>
  <c r="DC77" i="5" s="1"/>
  <c r="DD32" i="11"/>
  <c r="DH88" i="14"/>
  <c r="DE31" i="10"/>
  <c r="DD37" i="11"/>
  <c r="DD81" i="5" s="1"/>
  <c r="DD27" i="11"/>
  <c r="DD6" i="11"/>
  <c r="DC6" i="15"/>
  <c r="DE22" i="2"/>
  <c r="DE25" i="2"/>
  <c r="DE24" i="2"/>
  <c r="DE23" i="2"/>
  <c r="DE21" i="2"/>
  <c r="DE30" i="2"/>
  <c r="DD7" i="11"/>
  <c r="DC7" i="15"/>
  <c r="DE4" i="11"/>
  <c r="DD4" i="15"/>
  <c r="DC9" i="11"/>
  <c r="DB9" i="15"/>
  <c r="DC11" i="11"/>
  <c r="DB11" i="15"/>
  <c r="DD57" i="11"/>
  <c r="DD90" i="5" s="1"/>
  <c r="DD87" i="11"/>
  <c r="DD88" i="11" s="1"/>
  <c r="DC186" i="11"/>
  <c r="DC31" i="5" s="1"/>
  <c r="DI5" i="14"/>
  <c r="DI15" i="14" s="1"/>
  <c r="DE5" i="19"/>
  <c r="DH8" i="14"/>
  <c r="DD8" i="19"/>
  <c r="DD5" i="17"/>
  <c r="DE10" i="16"/>
  <c r="DE54" i="16" s="1"/>
  <c r="DE80" i="16" s="1"/>
  <c r="DF5" i="16"/>
  <c r="DC10" i="11"/>
  <c r="DC197" i="11"/>
  <c r="DD194" i="11" s="1"/>
  <c r="CU171" i="11"/>
  <c r="CU28" i="5" s="1"/>
  <c r="CR164" i="11"/>
  <c r="DE25" i="6"/>
  <c r="DD35" i="5" s="1"/>
  <c r="DE41" i="6"/>
  <c r="DD195" i="11" s="1"/>
  <c r="DC192" i="11"/>
  <c r="DD189" i="11" s="1"/>
  <c r="DC32" i="5"/>
  <c r="CR165" i="11"/>
  <c r="DC176" i="11"/>
  <c r="DE47" i="10"/>
  <c r="DC157" i="11"/>
  <c r="DE26" i="10"/>
  <c r="DE53" i="10"/>
  <c r="DE22" i="10"/>
  <c r="DE50" i="10"/>
  <c r="DE27" i="10"/>
  <c r="DE45" i="10"/>
  <c r="DE28" i="10"/>
  <c r="DE44" i="10"/>
  <c r="DE30" i="10"/>
  <c r="DE24" i="10"/>
  <c r="DE48" i="10"/>
  <c r="DE23" i="10"/>
  <c r="DE46" i="10"/>
  <c r="DE52" i="10"/>
  <c r="DD97" i="11"/>
  <c r="DD17" i="11"/>
  <c r="DE6" i="4"/>
  <c r="DF6" i="2" s="1"/>
  <c r="DE14" i="4"/>
  <c r="DE7" i="4"/>
  <c r="DF7" i="2" s="1"/>
  <c r="DF4" i="4"/>
  <c r="DG4" i="2" s="1"/>
  <c r="DF6" i="6"/>
  <c r="DF13" i="6" s="1"/>
  <c r="DE5" i="5"/>
  <c r="DF5" i="10"/>
  <c r="DF14" i="10" s="1"/>
  <c r="DD46" i="4"/>
  <c r="DD10" i="4" s="1"/>
  <c r="DE10" i="2" s="1"/>
  <c r="DD27" i="4"/>
  <c r="DD47" i="4"/>
  <c r="DD11" i="4" s="1"/>
  <c r="DE11" i="2" s="1"/>
  <c r="DD25" i="4"/>
  <c r="DD26" i="4"/>
  <c r="DD45" i="4"/>
  <c r="DD9" i="4" s="1"/>
  <c r="DE9" i="2" s="1"/>
  <c r="DD8" i="5"/>
  <c r="DE9" i="6"/>
  <c r="DE8" i="10"/>
  <c r="DD5" i="15" l="1"/>
  <c r="DD13" i="15" s="1"/>
  <c r="DE137" i="5"/>
  <c r="DE138" i="5"/>
  <c r="DD26" i="5"/>
  <c r="DE30" i="6"/>
  <c r="DC251" i="11"/>
  <c r="DD250" i="11"/>
  <c r="DE81" i="16"/>
  <c r="CU19" i="11"/>
  <c r="DF16" i="6"/>
  <c r="DF60" i="6" s="1"/>
  <c r="DD28" i="11"/>
  <c r="DD75" i="5"/>
  <c r="DD33" i="11"/>
  <c r="DD78" i="5"/>
  <c r="DD111" i="11"/>
  <c r="DD106" i="11"/>
  <c r="DD38" i="11"/>
  <c r="DD39" i="11" s="1"/>
  <c r="DE36" i="11" s="1"/>
  <c r="DI99" i="14"/>
  <c r="DD8" i="11"/>
  <c r="DC8" i="15"/>
  <c r="DD140" i="11"/>
  <c r="DD61" i="19"/>
  <c r="DI104" i="14"/>
  <c r="DC187" i="11"/>
  <c r="DD184" i="11" s="1"/>
  <c r="DE13" i="19"/>
  <c r="DJ4" i="14"/>
  <c r="DF4" i="19"/>
  <c r="DI7" i="14"/>
  <c r="DE7" i="19"/>
  <c r="DH11" i="14"/>
  <c r="DD11" i="19"/>
  <c r="DH10" i="14"/>
  <c r="DD10" i="19"/>
  <c r="DH9" i="14"/>
  <c r="DD9" i="19"/>
  <c r="DI6" i="14"/>
  <c r="DE6" i="19"/>
  <c r="DF6" i="16"/>
  <c r="DE4" i="17"/>
  <c r="DD4" i="18" s="1"/>
  <c r="DC5" i="18"/>
  <c r="DC8" i="18" s="1"/>
  <c r="DD8" i="17"/>
  <c r="DD196" i="11"/>
  <c r="DD39" i="5" s="1"/>
  <c r="CU172" i="11"/>
  <c r="DE28" i="6"/>
  <c r="DD24" i="5"/>
  <c r="DE27" i="6"/>
  <c r="DD23" i="5"/>
  <c r="DE29" i="6"/>
  <c r="DD25" i="5"/>
  <c r="DD69" i="5"/>
  <c r="DC177" i="11"/>
  <c r="DD174" i="11" s="1"/>
  <c r="DC29" i="5"/>
  <c r="CR167" i="11"/>
  <c r="CQ19" i="15" s="1"/>
  <c r="CR27" i="5"/>
  <c r="DE53" i="4"/>
  <c r="DE55" i="4"/>
  <c r="DE54" i="4"/>
  <c r="DE52" i="4"/>
  <c r="DE35" i="6"/>
  <c r="DD185" i="11"/>
  <c r="DE33" i="6"/>
  <c r="DD175" i="11"/>
  <c r="DE36" i="6"/>
  <c r="DD190" i="11"/>
  <c r="DD191" i="11" s="1"/>
  <c r="DD170" i="11"/>
  <c r="DE32" i="6"/>
  <c r="DE31" i="6"/>
  <c r="DD166" i="11"/>
  <c r="DD145" i="11"/>
  <c r="DD214" i="11"/>
  <c r="DF36" i="10"/>
  <c r="DF6" i="10"/>
  <c r="DF7" i="6"/>
  <c r="DE6" i="5"/>
  <c r="DE10" i="6"/>
  <c r="DD9" i="5"/>
  <c r="DE9" i="10"/>
  <c r="DE12" i="6"/>
  <c r="DD11" i="5"/>
  <c r="DE11" i="10"/>
  <c r="DD10" i="5"/>
  <c r="DC10" i="15" s="1"/>
  <c r="DE11" i="6"/>
  <c r="DE10" i="10"/>
  <c r="DE5" i="11"/>
  <c r="DE14" i="11" s="1"/>
  <c r="DE13" i="5"/>
  <c r="DE231" i="11" s="1"/>
  <c r="DE44" i="4"/>
  <c r="DE8" i="4" s="1"/>
  <c r="DF8" i="2" s="1"/>
  <c r="DE17" i="4"/>
  <c r="DE18" i="4"/>
  <c r="DE50" i="4"/>
  <c r="DE20" i="4"/>
  <c r="DE16" i="4"/>
  <c r="DE48" i="4"/>
  <c r="DE37" i="4"/>
  <c r="DE38" i="4" s="1"/>
  <c r="DE39" i="4" s="1"/>
  <c r="DE43" i="4"/>
  <c r="DE24" i="4"/>
  <c r="DE31" i="4"/>
  <c r="DE32" i="4" s="1"/>
  <c r="DE33" i="4" s="1"/>
  <c r="DE23" i="4"/>
  <c r="DF50" i="10" s="1"/>
  <c r="DE42" i="4"/>
  <c r="DE22" i="4"/>
  <c r="DE29" i="4"/>
  <c r="DE36" i="4"/>
  <c r="DE30" i="4"/>
  <c r="DE51" i="4"/>
  <c r="DE41" i="4"/>
  <c r="DE21" i="4"/>
  <c r="DE35" i="4"/>
  <c r="DF5" i="4"/>
  <c r="DG5" i="2" s="1"/>
  <c r="DG14" i="2" s="1"/>
  <c r="DF4" i="5"/>
  <c r="DG5" i="6"/>
  <c r="DG4" i="10"/>
  <c r="DF8" i="6"/>
  <c r="DE7" i="5"/>
  <c r="DF7" i="10"/>
  <c r="DC252" i="11" l="1"/>
  <c r="DD249" i="11" s="1"/>
  <c r="DD251" i="11" s="1"/>
  <c r="DD252" i="11" s="1"/>
  <c r="DE249" i="11" s="1"/>
  <c r="DC68" i="11"/>
  <c r="DC102" i="5" s="1"/>
  <c r="DC27" i="19" s="1"/>
  <c r="DE245" i="11"/>
  <c r="DE235" i="11"/>
  <c r="DF24" i="10"/>
  <c r="DF21" i="6"/>
  <c r="DF19" i="10" s="1"/>
  <c r="DD246" i="11"/>
  <c r="DE72" i="11"/>
  <c r="DE106" i="5" s="1"/>
  <c r="DE67" i="11"/>
  <c r="DE101" i="5" s="1"/>
  <c r="CT31" i="15"/>
  <c r="CV16" i="11"/>
  <c r="DD107" i="11"/>
  <c r="DE104" i="11" s="1"/>
  <c r="DD42" i="5"/>
  <c r="DD112" i="11"/>
  <c r="DE109" i="11" s="1"/>
  <c r="DD43" i="5"/>
  <c r="DD29" i="11"/>
  <c r="DE26" i="11" s="1"/>
  <c r="DE105" i="11" s="1"/>
  <c r="DF48" i="6" s="1"/>
  <c r="DD76" i="5"/>
  <c r="DD74" i="5" s="1"/>
  <c r="DD34" i="11"/>
  <c r="DE31" i="11" s="1"/>
  <c r="DE110" i="11" s="1"/>
  <c r="DF49" i="6" s="1"/>
  <c r="DD79" i="5"/>
  <c r="DD77" i="5" s="1"/>
  <c r="DD82" i="5"/>
  <c r="DD80" i="5" s="1"/>
  <c r="DE32" i="11"/>
  <c r="DF31" i="10"/>
  <c r="DI88" i="14"/>
  <c r="DE37" i="11"/>
  <c r="DE38" i="11" s="1"/>
  <c r="DE27" i="11"/>
  <c r="DF24" i="2"/>
  <c r="DF21" i="2"/>
  <c r="DF22" i="2"/>
  <c r="DF23" i="2"/>
  <c r="DF25" i="2"/>
  <c r="DF30" i="2"/>
  <c r="DF4" i="11"/>
  <c r="DE4" i="15"/>
  <c r="DE6" i="11"/>
  <c r="DD6" i="15"/>
  <c r="DD11" i="11"/>
  <c r="DC11" i="15"/>
  <c r="DE7" i="11"/>
  <c r="DD7" i="15"/>
  <c r="DD9" i="11"/>
  <c r="DC9" i="15"/>
  <c r="DD186" i="11"/>
  <c r="DD187" i="11" s="1"/>
  <c r="DE184" i="11" s="1"/>
  <c r="DE57" i="11"/>
  <c r="DE90" i="5" s="1"/>
  <c r="DE87" i="11"/>
  <c r="DE88" i="11" s="1"/>
  <c r="DI8" i="14"/>
  <c r="DE8" i="19"/>
  <c r="DJ5" i="14"/>
  <c r="DJ15" i="14" s="1"/>
  <c r="DF5" i="19"/>
  <c r="DD197" i="11"/>
  <c r="DE194" i="11" s="1"/>
  <c r="DD10" i="11"/>
  <c r="DE5" i="17"/>
  <c r="DF10" i="16"/>
  <c r="DF54" i="16" s="1"/>
  <c r="DF80" i="16" s="1"/>
  <c r="DG5" i="16"/>
  <c r="DD176" i="11"/>
  <c r="DD29" i="5" s="1"/>
  <c r="CV169" i="11"/>
  <c r="CS164" i="11"/>
  <c r="DF25" i="6"/>
  <c r="DE35" i="5" s="1"/>
  <c r="DF41" i="6"/>
  <c r="DE195" i="11" s="1"/>
  <c r="DD192" i="11"/>
  <c r="DE189" i="11" s="1"/>
  <c r="DD32" i="5"/>
  <c r="CS165" i="11"/>
  <c r="DD157" i="11"/>
  <c r="DF47" i="10"/>
  <c r="DF44" i="10"/>
  <c r="DF52" i="10"/>
  <c r="DF25" i="10"/>
  <c r="DF46" i="10"/>
  <c r="DF23" i="10"/>
  <c r="DF27" i="10"/>
  <c r="DF30" i="10"/>
  <c r="DF45" i="10"/>
  <c r="DF28" i="10"/>
  <c r="DF48" i="10"/>
  <c r="DF26" i="10"/>
  <c r="DF53" i="10"/>
  <c r="DF22" i="10"/>
  <c r="DF49" i="10"/>
  <c r="DF8" i="10"/>
  <c r="DF9" i="6"/>
  <c r="DE8" i="5"/>
  <c r="DE17" i="11"/>
  <c r="DE97" i="11"/>
  <c r="DE26" i="4"/>
  <c r="DE27" i="4"/>
  <c r="DE46" i="4"/>
  <c r="DE10" i="4" s="1"/>
  <c r="DF10" i="2" s="1"/>
  <c r="DE47" i="4"/>
  <c r="DE11" i="4" s="1"/>
  <c r="DF11" i="2" s="1"/>
  <c r="DE45" i="4"/>
  <c r="DE9" i="4" s="1"/>
  <c r="DF9" i="2" s="1"/>
  <c r="DE25" i="4"/>
  <c r="DF14" i="4"/>
  <c r="DF7" i="4"/>
  <c r="DG7" i="2" s="1"/>
  <c r="DF6" i="4"/>
  <c r="DG6" i="2" s="1"/>
  <c r="DG4" i="4"/>
  <c r="DH4" i="2" s="1"/>
  <c r="DG6" i="6"/>
  <c r="DG13" i="6" s="1"/>
  <c r="DF5" i="5"/>
  <c r="DG5" i="10"/>
  <c r="DG14" i="10" s="1"/>
  <c r="DE5" i="15" l="1"/>
  <c r="DE13" i="15" s="1"/>
  <c r="DF137" i="5"/>
  <c r="DF138" i="5"/>
  <c r="DE25" i="5"/>
  <c r="DF29" i="6"/>
  <c r="DD247" i="11"/>
  <c r="DE244" i="11" s="1"/>
  <c r="DD68" i="11"/>
  <c r="DD102" i="5" s="1"/>
  <c r="DD27" i="19" s="1"/>
  <c r="CV18" i="11"/>
  <c r="CV70" i="5" s="1"/>
  <c r="CV68" i="5" s="1"/>
  <c r="DF81" i="16"/>
  <c r="DG16" i="6"/>
  <c r="DG60" i="6" s="1"/>
  <c r="DE106" i="11"/>
  <c r="DE33" i="11"/>
  <c r="DE78" i="5"/>
  <c r="DE28" i="11"/>
  <c r="DE75" i="5"/>
  <c r="DE111" i="11"/>
  <c r="DE81" i="5"/>
  <c r="DJ104" i="14"/>
  <c r="DE8" i="11"/>
  <c r="DD8" i="15"/>
  <c r="DD31" i="5"/>
  <c r="DJ99" i="14"/>
  <c r="DE39" i="11"/>
  <c r="DF36" i="11" s="1"/>
  <c r="DE82" i="5"/>
  <c r="DE140" i="11"/>
  <c r="DE61" i="19"/>
  <c r="DE196" i="11"/>
  <c r="DE39" i="5" s="1"/>
  <c r="DF13" i="19"/>
  <c r="DK4" i="14"/>
  <c r="DG4" i="19"/>
  <c r="DI9" i="14"/>
  <c r="DE9" i="19"/>
  <c r="DJ6" i="14"/>
  <c r="DF6" i="19"/>
  <c r="DJ7" i="14"/>
  <c r="DF7" i="19"/>
  <c r="DI11" i="14"/>
  <c r="DE11" i="19"/>
  <c r="DI10" i="14"/>
  <c r="DE10" i="19"/>
  <c r="DE8" i="17"/>
  <c r="DD5" i="18"/>
  <c r="DD8" i="18" s="1"/>
  <c r="DG6" i="16"/>
  <c r="DF4" i="17"/>
  <c r="DE4" i="18" s="1"/>
  <c r="DD177" i="11"/>
  <c r="DE174" i="11" s="1"/>
  <c r="CV171" i="11"/>
  <c r="CV28" i="5" s="1"/>
  <c r="DF28" i="6"/>
  <c r="DE24" i="5"/>
  <c r="DF27" i="6"/>
  <c r="DE23" i="5"/>
  <c r="DF30" i="6"/>
  <c r="DE26" i="5"/>
  <c r="DE69" i="5"/>
  <c r="CS167" i="11"/>
  <c r="CR19" i="15" s="1"/>
  <c r="CS27" i="5"/>
  <c r="DF55" i="4"/>
  <c r="DF54" i="4"/>
  <c r="DF52" i="4"/>
  <c r="DF53" i="4"/>
  <c r="DF31" i="6"/>
  <c r="DE166" i="11"/>
  <c r="DF33" i="6"/>
  <c r="DE175" i="11"/>
  <c r="DE185" i="11"/>
  <c r="DF35" i="6"/>
  <c r="DF32" i="6"/>
  <c r="DE170" i="11"/>
  <c r="DE190" i="11"/>
  <c r="DE191" i="11" s="1"/>
  <c r="DF36" i="6"/>
  <c r="DE145" i="11"/>
  <c r="DE214" i="11"/>
  <c r="DG36" i="10"/>
  <c r="DG6" i="10"/>
  <c r="DF6" i="5"/>
  <c r="DG7" i="6"/>
  <c r="DG7" i="10"/>
  <c r="DG8" i="6"/>
  <c r="DF7" i="5"/>
  <c r="DG5" i="4"/>
  <c r="DH5" i="2" s="1"/>
  <c r="DH14" i="2" s="1"/>
  <c r="DH5" i="6"/>
  <c r="DG4" i="5"/>
  <c r="DH4" i="10"/>
  <c r="DF44" i="4"/>
  <c r="DF8" i="4" s="1"/>
  <c r="DG8" i="2" s="1"/>
  <c r="DF35" i="4"/>
  <c r="DF29" i="4"/>
  <c r="DF16" i="4"/>
  <c r="DF22" i="4"/>
  <c r="DF21" i="4"/>
  <c r="DF50" i="4"/>
  <c r="DF31" i="4"/>
  <c r="DF32" i="4" s="1"/>
  <c r="DF33" i="4" s="1"/>
  <c r="DF18" i="4"/>
  <c r="DF17" i="4"/>
  <c r="DF41" i="4"/>
  <c r="DF51" i="4"/>
  <c r="DF20" i="4"/>
  <c r="DF48" i="4"/>
  <c r="DF36" i="4"/>
  <c r="DF43" i="4"/>
  <c r="DF30" i="4"/>
  <c r="DF42" i="4"/>
  <c r="DF23" i="4"/>
  <c r="DG49" i="10" s="1"/>
  <c r="DF24" i="4"/>
  <c r="DF37" i="4"/>
  <c r="DF38" i="4" s="1"/>
  <c r="DF39" i="4" s="1"/>
  <c r="DE9" i="5"/>
  <c r="DF9" i="10"/>
  <c r="DF10" i="6"/>
  <c r="DE11" i="5"/>
  <c r="DF12" i="6"/>
  <c r="DF11" i="10"/>
  <c r="DF11" i="6"/>
  <c r="DF10" i="10"/>
  <c r="DE10" i="5"/>
  <c r="DF5" i="11"/>
  <c r="DF14" i="11" s="1"/>
  <c r="DF13" i="5"/>
  <c r="DF231" i="11" s="1"/>
  <c r="DF245" i="11" l="1"/>
  <c r="DF235" i="11"/>
  <c r="DG28" i="10"/>
  <c r="DG21" i="6"/>
  <c r="DG19" i="10" s="1"/>
  <c r="DE246" i="11"/>
  <c r="DE247" i="11" s="1"/>
  <c r="DF244" i="11" s="1"/>
  <c r="DE250" i="11"/>
  <c r="DE251" i="11" s="1"/>
  <c r="DE252" i="11" s="1"/>
  <c r="DF249" i="11" s="1"/>
  <c r="DF72" i="11"/>
  <c r="DF106" i="5" s="1"/>
  <c r="DF67" i="11"/>
  <c r="DF101" i="5" s="1"/>
  <c r="CV19" i="11"/>
  <c r="CW16" i="11" s="1"/>
  <c r="DE112" i="11"/>
  <c r="DF109" i="11" s="1"/>
  <c r="DE43" i="5"/>
  <c r="DE107" i="11"/>
  <c r="DF104" i="11" s="1"/>
  <c r="DE42" i="5"/>
  <c r="DE80" i="5"/>
  <c r="DE29" i="11"/>
  <c r="DF26" i="11" s="1"/>
  <c r="DF105" i="11" s="1"/>
  <c r="DG48" i="6" s="1"/>
  <c r="DE76" i="5"/>
  <c r="DE74" i="5" s="1"/>
  <c r="DE34" i="11"/>
  <c r="DF31" i="11" s="1"/>
  <c r="DF110" i="11" s="1"/>
  <c r="DG49" i="6" s="1"/>
  <c r="DE79" i="5"/>
  <c r="DE77" i="5" s="1"/>
  <c r="DF32" i="11"/>
  <c r="DG31" i="10"/>
  <c r="DF37" i="11"/>
  <c r="DF81" i="5" s="1"/>
  <c r="DF27" i="11"/>
  <c r="DJ88" i="14"/>
  <c r="DF7" i="11"/>
  <c r="DE7" i="15"/>
  <c r="DE11" i="11"/>
  <c r="DD11" i="15"/>
  <c r="DG4" i="11"/>
  <c r="DF4" i="15"/>
  <c r="DE10" i="11"/>
  <c r="DD10" i="15"/>
  <c r="DE9" i="11"/>
  <c r="DD9" i="15"/>
  <c r="DF6" i="11"/>
  <c r="DE6" i="15"/>
  <c r="DG22" i="2"/>
  <c r="DG24" i="2"/>
  <c r="DG21" i="2"/>
  <c r="DG30" i="2"/>
  <c r="DG25" i="2"/>
  <c r="DG23" i="2"/>
  <c r="DF57" i="11"/>
  <c r="DF90" i="5" s="1"/>
  <c r="DF61" i="19" s="1"/>
  <c r="DF87" i="11"/>
  <c r="DF88" i="11" s="1"/>
  <c r="DE197" i="11"/>
  <c r="DF194" i="11" s="1"/>
  <c r="DK5" i="14"/>
  <c r="DK15" i="14" s="1"/>
  <c r="DG5" i="19"/>
  <c r="DJ8" i="14"/>
  <c r="DF8" i="19"/>
  <c r="DE176" i="11"/>
  <c r="DE177" i="11" s="1"/>
  <c r="DF174" i="11" s="1"/>
  <c r="DF5" i="17"/>
  <c r="DG10" i="16"/>
  <c r="DG54" i="16" s="1"/>
  <c r="DG80" i="16" s="1"/>
  <c r="DH5" i="16"/>
  <c r="CV172" i="11"/>
  <c r="CT164" i="11"/>
  <c r="DG25" i="6"/>
  <c r="DF35" i="5" s="1"/>
  <c r="DG41" i="6"/>
  <c r="DF195" i="11" s="1"/>
  <c r="DE192" i="11"/>
  <c r="DF189" i="11" s="1"/>
  <c r="DE32" i="5"/>
  <c r="CT165" i="11"/>
  <c r="DE186" i="11"/>
  <c r="DE157" i="11"/>
  <c r="DG46" i="10"/>
  <c r="DG47" i="10"/>
  <c r="DG52" i="10"/>
  <c r="DG23" i="10"/>
  <c r="DG26" i="10"/>
  <c r="DG22" i="10"/>
  <c r="DG30" i="10"/>
  <c r="DG25" i="10"/>
  <c r="DG53" i="10"/>
  <c r="DG50" i="10"/>
  <c r="DG48" i="10"/>
  <c r="DG45" i="10"/>
  <c r="DG24" i="10"/>
  <c r="DG44" i="10"/>
  <c r="DG27" i="10"/>
  <c r="DG9" i="6"/>
  <c r="DF8" i="5"/>
  <c r="DG8" i="10"/>
  <c r="DF97" i="11"/>
  <c r="DF17" i="11"/>
  <c r="DF45" i="4"/>
  <c r="DF9" i="4" s="1"/>
  <c r="DG9" i="2" s="1"/>
  <c r="DF47" i="4"/>
  <c r="DF11" i="4" s="1"/>
  <c r="DG11" i="2" s="1"/>
  <c r="DF46" i="4"/>
  <c r="DF10" i="4" s="1"/>
  <c r="DG10" i="2" s="1"/>
  <c r="DF27" i="4"/>
  <c r="DF26" i="4"/>
  <c r="DF25" i="4"/>
  <c r="DG6" i="4"/>
  <c r="DH6" i="2" s="1"/>
  <c r="DG7" i="4"/>
  <c r="DH7" i="2" s="1"/>
  <c r="DG14" i="4"/>
  <c r="DH4" i="4"/>
  <c r="DI4" i="2" s="1"/>
  <c r="DG5" i="5"/>
  <c r="DH6" i="6"/>
  <c r="DH13" i="6" s="1"/>
  <c r="DH5" i="10"/>
  <c r="DH14" i="10" s="1"/>
  <c r="DF5" i="15" l="1"/>
  <c r="DF13" i="15" s="1"/>
  <c r="DG138" i="5"/>
  <c r="DG137" i="5"/>
  <c r="DF175" i="11"/>
  <c r="DF176" i="11" s="1"/>
  <c r="DF177" i="11" s="1"/>
  <c r="DG174" i="11" s="1"/>
  <c r="DG33" i="6"/>
  <c r="DE68" i="11"/>
  <c r="DE102" i="5" s="1"/>
  <c r="DE27" i="19" s="1"/>
  <c r="DF246" i="11"/>
  <c r="CU31" i="15"/>
  <c r="DG81" i="16"/>
  <c r="CW18" i="11"/>
  <c r="CW70" i="5" s="1"/>
  <c r="CW68" i="5" s="1"/>
  <c r="DH16" i="6"/>
  <c r="DH60" i="6" s="1"/>
  <c r="DF33" i="11"/>
  <c r="DF78" i="5"/>
  <c r="DF28" i="11"/>
  <c r="DF75" i="5"/>
  <c r="DF111" i="11"/>
  <c r="DF106" i="11"/>
  <c r="DF38" i="11"/>
  <c r="DF82" i="5" s="1"/>
  <c r="DF80" i="5" s="1"/>
  <c r="DK99" i="14"/>
  <c r="DF8" i="11"/>
  <c r="DE8" i="15"/>
  <c r="CW169" i="11"/>
  <c r="CW171" i="11" s="1"/>
  <c r="CW28" i="5" s="1"/>
  <c r="DK104" i="14"/>
  <c r="DF140" i="11"/>
  <c r="DF196" i="11"/>
  <c r="DF39" i="5" s="1"/>
  <c r="DE29" i="5"/>
  <c r="DG13" i="19"/>
  <c r="DJ10" i="14"/>
  <c r="DF10" i="19"/>
  <c r="DJ11" i="14"/>
  <c r="DF11" i="19"/>
  <c r="DJ9" i="14"/>
  <c r="DF9" i="19"/>
  <c r="DL4" i="14"/>
  <c r="DH4" i="19"/>
  <c r="DK7" i="14"/>
  <c r="DG7" i="19"/>
  <c r="DK6" i="14"/>
  <c r="DG6" i="19"/>
  <c r="DH6" i="16"/>
  <c r="DG4" i="17"/>
  <c r="DF4" i="18" s="1"/>
  <c r="DE5" i="18"/>
  <c r="DE8" i="18" s="1"/>
  <c r="DF8" i="17"/>
  <c r="DG30" i="6"/>
  <c r="DF26" i="5"/>
  <c r="DG29" i="6"/>
  <c r="DF25" i="5"/>
  <c r="DG27" i="6"/>
  <c r="DF23" i="5"/>
  <c r="DG28" i="6"/>
  <c r="DF24" i="5"/>
  <c r="DF69" i="5"/>
  <c r="DE187" i="11"/>
  <c r="DF184" i="11" s="1"/>
  <c r="DE31" i="5"/>
  <c r="CT167" i="11"/>
  <c r="CS19" i="15" s="1"/>
  <c r="CT27" i="5"/>
  <c r="DG54" i="4"/>
  <c r="DG55" i="4"/>
  <c r="DG52" i="4"/>
  <c r="DG53" i="4"/>
  <c r="DG32" i="6"/>
  <c r="DF170" i="11"/>
  <c r="DG35" i="6"/>
  <c r="DF185" i="11"/>
  <c r="DG36" i="6"/>
  <c r="DF190" i="11"/>
  <c r="DG31" i="6"/>
  <c r="DF166" i="11"/>
  <c r="DF145" i="11"/>
  <c r="DF214" i="11"/>
  <c r="DH36" i="10"/>
  <c r="DG6" i="5"/>
  <c r="DH7" i="6"/>
  <c r="DH6" i="10"/>
  <c r="DF10" i="5"/>
  <c r="DG11" i="6"/>
  <c r="DG10" i="10"/>
  <c r="DF11" i="5"/>
  <c r="DG12" i="6"/>
  <c r="DG11" i="10"/>
  <c r="DI5" i="6"/>
  <c r="DH5" i="4"/>
  <c r="DI5" i="2" s="1"/>
  <c r="DI14" i="2" s="1"/>
  <c r="DI4" i="10"/>
  <c r="DH4" i="5"/>
  <c r="DG10" i="6"/>
  <c r="DF9" i="5"/>
  <c r="DG9" i="10"/>
  <c r="DG5" i="11"/>
  <c r="DG14" i="11" s="1"/>
  <c r="DG13" i="5"/>
  <c r="DG231" i="11" s="1"/>
  <c r="DG44" i="4"/>
  <c r="DG8" i="4" s="1"/>
  <c r="DH8" i="2" s="1"/>
  <c r="DG18" i="4"/>
  <c r="DG51" i="4"/>
  <c r="DG24" i="4"/>
  <c r="DG48" i="4"/>
  <c r="DG41" i="4"/>
  <c r="DG30" i="4"/>
  <c r="DG37" i="4"/>
  <c r="DG38" i="4" s="1"/>
  <c r="DG39" i="4" s="1"/>
  <c r="DG16" i="4"/>
  <c r="DG50" i="4"/>
  <c r="DG21" i="4"/>
  <c r="DG23" i="4"/>
  <c r="DH45" i="10" s="1"/>
  <c r="DG43" i="4"/>
  <c r="DG17" i="4"/>
  <c r="DG29" i="4"/>
  <c r="DG22" i="4"/>
  <c r="DG36" i="4"/>
  <c r="DG42" i="4"/>
  <c r="DG35" i="4"/>
  <c r="DG31" i="4"/>
  <c r="DG32" i="4" s="1"/>
  <c r="DG33" i="4" s="1"/>
  <c r="DG20" i="4"/>
  <c r="DG7" i="5"/>
  <c r="DH7" i="10"/>
  <c r="DH8" i="6"/>
  <c r="DG245" i="11" l="1"/>
  <c r="DG235" i="11"/>
  <c r="DH23" i="10"/>
  <c r="DH21" i="6"/>
  <c r="DH19" i="10" s="1"/>
  <c r="DF247" i="11"/>
  <c r="DG244" i="11" s="1"/>
  <c r="DF250" i="11"/>
  <c r="DF251" i="11" s="1"/>
  <c r="DF252" i="11" s="1"/>
  <c r="DG249" i="11" s="1"/>
  <c r="DG72" i="11"/>
  <c r="DG106" i="5" s="1"/>
  <c r="DG67" i="11"/>
  <c r="DG101" i="5" s="1"/>
  <c r="CW19" i="11"/>
  <c r="CX16" i="11" s="1"/>
  <c r="DF107" i="11"/>
  <c r="DG104" i="11" s="1"/>
  <c r="DF42" i="5"/>
  <c r="DF112" i="11"/>
  <c r="DG109" i="11" s="1"/>
  <c r="DF43" i="5"/>
  <c r="DF29" i="11"/>
  <c r="DG26" i="11" s="1"/>
  <c r="DG105" i="11" s="1"/>
  <c r="DH48" i="6" s="1"/>
  <c r="DF76" i="5"/>
  <c r="DF74" i="5" s="1"/>
  <c r="DF34" i="11"/>
  <c r="DG31" i="11" s="1"/>
  <c r="DG110" i="11" s="1"/>
  <c r="DH49" i="6" s="1"/>
  <c r="DF79" i="5"/>
  <c r="DF77" i="5" s="1"/>
  <c r="DG32" i="11"/>
  <c r="DF39" i="11"/>
  <c r="DG36" i="11" s="1"/>
  <c r="DH31" i="10"/>
  <c r="DG37" i="11"/>
  <c r="DG27" i="11"/>
  <c r="DK88" i="14"/>
  <c r="DH21" i="2"/>
  <c r="DH22" i="2"/>
  <c r="DH30" i="2"/>
  <c r="DH25" i="2"/>
  <c r="DH24" i="2"/>
  <c r="DH23" i="2"/>
  <c r="DG7" i="11"/>
  <c r="DF7" i="15"/>
  <c r="DF10" i="11"/>
  <c r="DE10" i="15"/>
  <c r="DF9" i="11"/>
  <c r="DE9" i="15"/>
  <c r="DH4" i="11"/>
  <c r="DG4" i="15"/>
  <c r="DF11" i="11"/>
  <c r="DE11" i="15"/>
  <c r="DG6" i="11"/>
  <c r="DF6" i="15"/>
  <c r="DG57" i="11"/>
  <c r="DG90" i="5" s="1"/>
  <c r="DG87" i="11"/>
  <c r="DG88" i="11" s="1"/>
  <c r="DF197" i="11"/>
  <c r="DG194" i="11" s="1"/>
  <c r="DL5" i="14"/>
  <c r="DL15" i="14" s="1"/>
  <c r="DH5" i="19"/>
  <c r="DK8" i="14"/>
  <c r="DG8" i="19"/>
  <c r="DH10" i="16"/>
  <c r="DH54" i="16" s="1"/>
  <c r="DH80" i="16" s="1"/>
  <c r="DI5" i="16"/>
  <c r="DG5" i="17"/>
  <c r="CW172" i="11"/>
  <c r="CU164" i="11"/>
  <c r="DF29" i="5"/>
  <c r="DH25" i="6"/>
  <c r="DG35" i="5" s="1"/>
  <c r="DH41" i="6"/>
  <c r="DG195" i="11" s="1"/>
  <c r="DF186" i="11"/>
  <c r="DF187" i="11" s="1"/>
  <c r="DG184" i="11" s="1"/>
  <c r="CU165" i="11"/>
  <c r="DF191" i="11"/>
  <c r="DH53" i="10"/>
  <c r="DH25" i="10"/>
  <c r="DH49" i="10"/>
  <c r="DF157" i="11"/>
  <c r="DH52" i="10"/>
  <c r="DH44" i="10"/>
  <c r="DH24" i="10"/>
  <c r="DH48" i="10"/>
  <c r="DH28" i="10"/>
  <c r="DH46" i="10"/>
  <c r="DH30" i="10"/>
  <c r="DH27" i="10"/>
  <c r="DH26" i="10"/>
  <c r="DH47" i="10"/>
  <c r="DH22" i="10"/>
  <c r="DH50" i="10"/>
  <c r="DG8" i="5"/>
  <c r="DH9" i="6"/>
  <c r="DH8" i="10"/>
  <c r="DG97" i="11"/>
  <c r="DG17" i="11"/>
  <c r="DH14" i="4"/>
  <c r="DH7" i="4"/>
  <c r="DI7" i="2" s="1"/>
  <c r="DH6" i="4"/>
  <c r="DI6" i="2" s="1"/>
  <c r="DI4" i="4"/>
  <c r="DJ4" i="2" s="1"/>
  <c r="DH5" i="5"/>
  <c r="DI5" i="10"/>
  <c r="DI14" i="10" s="1"/>
  <c r="DI6" i="6"/>
  <c r="DI13" i="6" s="1"/>
  <c r="DG47" i="4"/>
  <c r="DG11" i="4" s="1"/>
  <c r="DH11" i="2" s="1"/>
  <c r="DG46" i="4"/>
  <c r="DG10" i="4" s="1"/>
  <c r="DH10" i="2" s="1"/>
  <c r="DG25" i="4"/>
  <c r="DG26" i="4"/>
  <c r="DG27" i="4"/>
  <c r="DG45" i="4"/>
  <c r="DG9" i="4" s="1"/>
  <c r="DH9" i="2" s="1"/>
  <c r="DG5" i="15" l="1"/>
  <c r="DG13" i="15" s="1"/>
  <c r="DH137" i="5"/>
  <c r="DH138" i="5"/>
  <c r="DH28" i="6"/>
  <c r="DG24" i="5"/>
  <c r="DF68" i="11"/>
  <c r="DF102" i="5" s="1"/>
  <c r="DF27" i="19" s="1"/>
  <c r="CV31" i="15"/>
  <c r="DG246" i="11"/>
  <c r="CX18" i="11"/>
  <c r="CX70" i="5" s="1"/>
  <c r="CX68" i="5" s="1"/>
  <c r="DH81" i="16"/>
  <c r="DI16" i="6"/>
  <c r="DI60" i="6" s="1"/>
  <c r="DG33" i="11"/>
  <c r="DG78" i="5"/>
  <c r="DG28" i="11"/>
  <c r="DG75" i="5"/>
  <c r="DG38" i="11"/>
  <c r="DG82" i="5" s="1"/>
  <c r="DG111" i="11"/>
  <c r="DG106" i="11"/>
  <c r="DG81" i="5"/>
  <c r="DL99" i="14"/>
  <c r="DG8" i="11"/>
  <c r="DF8" i="15"/>
  <c r="DL104" i="14"/>
  <c r="DG140" i="11"/>
  <c r="DG61" i="19"/>
  <c r="DG196" i="11"/>
  <c r="DG39" i="5" s="1"/>
  <c r="DH13" i="19"/>
  <c r="DM4" i="14"/>
  <c r="DI4" i="19"/>
  <c r="DL7" i="14"/>
  <c r="DH7" i="19"/>
  <c r="DL6" i="14"/>
  <c r="DH6" i="19"/>
  <c r="DK9" i="14"/>
  <c r="DG9" i="19"/>
  <c r="DK10" i="14"/>
  <c r="DG10" i="19"/>
  <c r="DK11" i="14"/>
  <c r="DG11" i="19"/>
  <c r="DI6" i="16"/>
  <c r="DH4" i="17"/>
  <c r="DG4" i="18" s="1"/>
  <c r="DG8" i="17"/>
  <c r="DF5" i="18"/>
  <c r="DF8" i="18" s="1"/>
  <c r="CX169" i="11"/>
  <c r="DF31" i="5"/>
  <c r="DH30" i="6"/>
  <c r="DG26" i="5"/>
  <c r="DH29" i="6"/>
  <c r="DG25" i="5"/>
  <c r="DH27" i="6"/>
  <c r="DG23" i="5"/>
  <c r="DG69" i="5"/>
  <c r="DF192" i="11"/>
  <c r="DG189" i="11" s="1"/>
  <c r="DF32" i="5"/>
  <c r="CU167" i="11"/>
  <c r="CT19" i="15" s="1"/>
  <c r="CU27" i="5"/>
  <c r="DH54" i="4"/>
  <c r="DH55" i="4"/>
  <c r="DH52" i="4"/>
  <c r="DH53" i="4"/>
  <c r="DG166" i="11"/>
  <c r="DH31" i="6"/>
  <c r="DH32" i="6"/>
  <c r="DG170" i="11"/>
  <c r="DH36" i="6"/>
  <c r="DG190" i="11"/>
  <c r="DH35" i="6"/>
  <c r="DG185" i="11"/>
  <c r="DH33" i="6"/>
  <c r="DG175" i="11"/>
  <c r="DG176" i="11" s="1"/>
  <c r="DG145" i="11"/>
  <c r="DG214" i="11"/>
  <c r="DI36" i="10"/>
  <c r="DH5" i="11"/>
  <c r="DH14" i="11" s="1"/>
  <c r="DH13" i="5"/>
  <c r="DH231" i="11" s="1"/>
  <c r="DH9" i="10"/>
  <c r="DH10" i="6"/>
  <c r="DG9" i="5"/>
  <c r="DI8" i="6"/>
  <c r="DI7" i="10"/>
  <c r="DH7" i="5"/>
  <c r="DI5" i="4"/>
  <c r="DJ5" i="2" s="1"/>
  <c r="DJ14" i="2" s="1"/>
  <c r="DJ5" i="6"/>
  <c r="DI4" i="5"/>
  <c r="DJ4" i="10"/>
  <c r="DI7" i="6"/>
  <c r="DI6" i="10"/>
  <c r="DH6" i="5"/>
  <c r="DH44" i="4"/>
  <c r="DH8" i="4" s="1"/>
  <c r="DI8" i="2" s="1"/>
  <c r="DH23" i="4"/>
  <c r="DI50" i="10" s="1"/>
  <c r="DH29" i="4"/>
  <c r="DH43" i="4"/>
  <c r="DH22" i="4"/>
  <c r="DH31" i="4"/>
  <c r="DH32" i="4" s="1"/>
  <c r="DH33" i="4" s="1"/>
  <c r="DH18" i="4"/>
  <c r="DH16" i="4"/>
  <c r="DH51" i="4"/>
  <c r="DH24" i="4"/>
  <c r="DH36" i="4"/>
  <c r="DH17" i="4"/>
  <c r="DH48" i="4"/>
  <c r="DH20" i="4"/>
  <c r="DH35" i="4"/>
  <c r="DH42" i="4"/>
  <c r="DH21" i="4"/>
  <c r="DH50" i="4"/>
  <c r="DH41" i="4"/>
  <c r="DH30" i="4"/>
  <c r="DH37" i="4"/>
  <c r="DH38" i="4" s="1"/>
  <c r="DH39" i="4" s="1"/>
  <c r="DG11" i="5"/>
  <c r="DH12" i="6"/>
  <c r="DH11" i="10"/>
  <c r="DH11" i="6"/>
  <c r="DG10" i="5"/>
  <c r="DH10" i="10"/>
  <c r="DH245" i="11" l="1"/>
  <c r="DH235" i="11"/>
  <c r="DI24" i="10"/>
  <c r="DH25" i="5" s="1"/>
  <c r="DI21" i="6"/>
  <c r="DI19" i="10" s="1"/>
  <c r="DG247" i="11"/>
  <c r="DH244" i="11" s="1"/>
  <c r="DG250" i="11"/>
  <c r="DG251" i="11" s="1"/>
  <c r="DG252" i="11" s="1"/>
  <c r="DH249" i="11" s="1"/>
  <c r="DH67" i="11"/>
  <c r="DH101" i="5" s="1"/>
  <c r="DH72" i="11"/>
  <c r="DH106" i="5" s="1"/>
  <c r="CX19" i="11"/>
  <c r="DG39" i="11"/>
  <c r="DH36" i="11" s="1"/>
  <c r="DG80" i="5"/>
  <c r="DG107" i="11"/>
  <c r="DH104" i="11" s="1"/>
  <c r="DG42" i="5"/>
  <c r="DG112" i="11"/>
  <c r="DH109" i="11" s="1"/>
  <c r="DG43" i="5"/>
  <c r="DG29" i="11"/>
  <c r="DH26" i="11" s="1"/>
  <c r="DH105" i="11" s="1"/>
  <c r="DI48" i="6" s="1"/>
  <c r="DG76" i="5"/>
  <c r="DG74" i="5" s="1"/>
  <c r="DG34" i="11"/>
  <c r="DH31" i="11" s="1"/>
  <c r="DH110" i="11" s="1"/>
  <c r="DI49" i="6" s="1"/>
  <c r="DG79" i="5"/>
  <c r="DG77" i="5" s="1"/>
  <c r="DH32" i="11"/>
  <c r="DI31" i="10"/>
  <c r="DL88" i="14"/>
  <c r="DH37" i="11"/>
  <c r="DH81" i="5" s="1"/>
  <c r="DH27" i="11"/>
  <c r="DG11" i="11"/>
  <c r="DF11" i="15"/>
  <c r="DH6" i="11"/>
  <c r="DG6" i="15"/>
  <c r="DI25" i="2"/>
  <c r="DI24" i="2"/>
  <c r="DI21" i="2"/>
  <c r="DI22" i="2"/>
  <c r="DI23" i="2"/>
  <c r="DI30" i="2"/>
  <c r="DI4" i="11"/>
  <c r="DH4" i="15"/>
  <c r="DH7" i="11"/>
  <c r="DG7" i="15"/>
  <c r="DG10" i="11"/>
  <c r="DF10" i="15"/>
  <c r="DG9" i="11"/>
  <c r="DF9" i="15"/>
  <c r="DH57" i="11"/>
  <c r="DH90" i="5" s="1"/>
  <c r="DH87" i="11"/>
  <c r="DH88" i="11" s="1"/>
  <c r="DG197" i="11"/>
  <c r="DH194" i="11" s="1"/>
  <c r="DM5" i="14"/>
  <c r="DM15" i="14" s="1"/>
  <c r="DI5" i="19"/>
  <c r="DL8" i="14"/>
  <c r="DH8" i="19"/>
  <c r="DJ5" i="16"/>
  <c r="DH5" i="17"/>
  <c r="DI10" i="16"/>
  <c r="DI54" i="16" s="1"/>
  <c r="DI80" i="16" s="1"/>
  <c r="CX171" i="11"/>
  <c r="CX28" i="5" s="1"/>
  <c r="CV164" i="11"/>
  <c r="DI41" i="6"/>
  <c r="DH195" i="11" s="1"/>
  <c r="DI25" i="6"/>
  <c r="DH35" i="5" s="1"/>
  <c r="DG177" i="11"/>
  <c r="DH174" i="11" s="1"/>
  <c r="DG29" i="5"/>
  <c r="CV165" i="11"/>
  <c r="DG186" i="11"/>
  <c r="DG191" i="11"/>
  <c r="DG157" i="11"/>
  <c r="DI23" i="10"/>
  <c r="DI26" i="10"/>
  <c r="DI22" i="10"/>
  <c r="DI27" i="10"/>
  <c r="DI49" i="10"/>
  <c r="DI53" i="10"/>
  <c r="DI30" i="10"/>
  <c r="DI44" i="10"/>
  <c r="DI47" i="10"/>
  <c r="DI48" i="10"/>
  <c r="DI25" i="10"/>
  <c r="DI45" i="10"/>
  <c r="DI28" i="10"/>
  <c r="DI52" i="10"/>
  <c r="DI46" i="10"/>
  <c r="DH97" i="11"/>
  <c r="DH17" i="11"/>
  <c r="DI7" i="4"/>
  <c r="DJ7" i="2" s="1"/>
  <c r="DI6" i="4"/>
  <c r="DJ6" i="2" s="1"/>
  <c r="DI14" i="4"/>
  <c r="DJ4" i="4"/>
  <c r="DK4" i="2" s="1"/>
  <c r="DJ5" i="10"/>
  <c r="DJ14" i="10" s="1"/>
  <c r="DJ6" i="6"/>
  <c r="DJ13" i="6" s="1"/>
  <c r="DI5" i="5"/>
  <c r="DI8" i="10"/>
  <c r="DI9" i="6"/>
  <c r="DH8" i="5"/>
  <c r="DH46" i="4"/>
  <c r="DH10" i="4" s="1"/>
  <c r="DI10" i="2" s="1"/>
  <c r="DH47" i="4"/>
  <c r="DH11" i="4" s="1"/>
  <c r="DI11" i="2" s="1"/>
  <c r="DH45" i="4"/>
  <c r="DH9" i="4" s="1"/>
  <c r="DI9" i="2" s="1"/>
  <c r="DH25" i="4"/>
  <c r="DH26" i="4"/>
  <c r="DH27" i="4"/>
  <c r="DH5" i="15" l="1"/>
  <c r="DH13" i="15" s="1"/>
  <c r="DI137" i="5"/>
  <c r="DI138" i="5"/>
  <c r="DI29" i="6"/>
  <c r="DG68" i="11"/>
  <c r="DG102" i="5" s="1"/>
  <c r="DG27" i="19" s="1"/>
  <c r="DH246" i="11"/>
  <c r="CW31" i="15"/>
  <c r="CY16" i="11"/>
  <c r="DI81" i="16"/>
  <c r="DJ16" i="6"/>
  <c r="DJ60" i="6" s="1"/>
  <c r="DH28" i="11"/>
  <c r="DH75" i="5"/>
  <c r="DH33" i="11"/>
  <c r="DH78" i="5"/>
  <c r="DH111" i="11"/>
  <c r="DH106" i="11"/>
  <c r="DH38" i="11"/>
  <c r="DH82" i="5" s="1"/>
  <c r="DH80" i="5" s="1"/>
  <c r="DM99" i="14"/>
  <c r="DH8" i="11"/>
  <c r="DG8" i="15"/>
  <c r="DM104" i="14"/>
  <c r="DH140" i="11"/>
  <c r="DH61" i="19"/>
  <c r="DH196" i="11"/>
  <c r="DH39" i="5" s="1"/>
  <c r="CX172" i="11"/>
  <c r="DI13" i="19"/>
  <c r="DL10" i="14"/>
  <c r="DH10" i="19"/>
  <c r="DN4" i="14"/>
  <c r="DJ4" i="19"/>
  <c r="DL11" i="14"/>
  <c r="DH11" i="19"/>
  <c r="DL9" i="14"/>
  <c r="DH9" i="19"/>
  <c r="DM7" i="14"/>
  <c r="DI7" i="19"/>
  <c r="DM6" i="14"/>
  <c r="DI6" i="19"/>
  <c r="DJ6" i="16"/>
  <c r="DI4" i="17"/>
  <c r="DH4" i="18" s="1"/>
  <c r="DG5" i="18"/>
  <c r="DG8" i="18" s="1"/>
  <c r="DH8" i="17"/>
  <c r="DI27" i="6"/>
  <c r="DH23" i="5"/>
  <c r="DI30" i="6"/>
  <c r="DH26" i="5"/>
  <c r="DI28" i="6"/>
  <c r="DH24" i="5"/>
  <c r="DH69" i="5"/>
  <c r="DG192" i="11"/>
  <c r="DH189" i="11" s="1"/>
  <c r="DG32" i="5"/>
  <c r="DG187" i="11"/>
  <c r="DH184" i="11" s="1"/>
  <c r="DG31" i="5"/>
  <c r="CV167" i="11"/>
  <c r="CU19" i="15" s="1"/>
  <c r="CV27" i="5"/>
  <c r="DI55" i="4"/>
  <c r="DI52" i="4"/>
  <c r="DI53" i="4"/>
  <c r="DI54" i="4"/>
  <c r="DI33" i="6"/>
  <c r="DH175" i="11"/>
  <c r="DH176" i="11" s="1"/>
  <c r="DI35" i="6"/>
  <c r="DH185" i="11"/>
  <c r="DI36" i="6"/>
  <c r="DH190" i="11"/>
  <c r="DI32" i="6"/>
  <c r="DH170" i="11"/>
  <c r="DI31" i="6"/>
  <c r="DH166" i="11"/>
  <c r="DH145" i="11"/>
  <c r="DH214" i="11"/>
  <c r="DJ36" i="10"/>
  <c r="DJ5" i="4"/>
  <c r="DK5" i="2" s="1"/>
  <c r="DK14" i="2" s="1"/>
  <c r="DK5" i="6"/>
  <c r="DK4" i="10"/>
  <c r="DJ4" i="5"/>
  <c r="DJ8" i="6"/>
  <c r="DI7" i="5"/>
  <c r="DJ7" i="10"/>
  <c r="DI44" i="4"/>
  <c r="DI8" i="4" s="1"/>
  <c r="DJ8" i="2" s="1"/>
  <c r="DI16" i="4"/>
  <c r="DI42" i="4"/>
  <c r="DI24" i="4"/>
  <c r="DI17" i="4"/>
  <c r="DI43" i="4"/>
  <c r="DI23" i="4"/>
  <c r="DJ49" i="10" s="1"/>
  <c r="DI21" i="4"/>
  <c r="DI48" i="4"/>
  <c r="DI50" i="4"/>
  <c r="DI22" i="4"/>
  <c r="DI37" i="4"/>
  <c r="DI38" i="4" s="1"/>
  <c r="DI39" i="4" s="1"/>
  <c r="DI31" i="4"/>
  <c r="DI32" i="4" s="1"/>
  <c r="DI33" i="4" s="1"/>
  <c r="DI29" i="4"/>
  <c r="DI20" i="4"/>
  <c r="DI41" i="4"/>
  <c r="DI30" i="4"/>
  <c r="DI36" i="4"/>
  <c r="DI51" i="4"/>
  <c r="DI35" i="4"/>
  <c r="DI18" i="4"/>
  <c r="DH9" i="5"/>
  <c r="DI9" i="10"/>
  <c r="DI10" i="6"/>
  <c r="DI12" i="6"/>
  <c r="DI11" i="10"/>
  <c r="DH11" i="5"/>
  <c r="DI6" i="5"/>
  <c r="DJ7" i="6"/>
  <c r="DJ6" i="10"/>
  <c r="DI11" i="6"/>
  <c r="DH10" i="5"/>
  <c r="DI10" i="10"/>
  <c r="DI5" i="11"/>
  <c r="DI14" i="11" s="1"/>
  <c r="DI13" i="5"/>
  <c r="DI231" i="11" s="1"/>
  <c r="DI245" i="11" l="1"/>
  <c r="DI235" i="11"/>
  <c r="DJ30" i="10"/>
  <c r="DJ21" i="6"/>
  <c r="DJ19" i="10" s="1"/>
  <c r="DH250" i="11"/>
  <c r="DH251" i="11" s="1"/>
  <c r="DH252" i="11" s="1"/>
  <c r="DI249" i="11" s="1"/>
  <c r="DH247" i="11"/>
  <c r="DI244" i="11" s="1"/>
  <c r="DI67" i="11"/>
  <c r="DI101" i="5" s="1"/>
  <c r="DI72" i="11"/>
  <c r="DI106" i="5" s="1"/>
  <c r="CY18" i="11"/>
  <c r="CY70" i="5" s="1"/>
  <c r="CY68" i="5" s="1"/>
  <c r="DH107" i="11"/>
  <c r="DI104" i="11" s="1"/>
  <c r="DH42" i="5"/>
  <c r="DH112" i="11"/>
  <c r="DI109" i="11" s="1"/>
  <c r="DH43" i="5"/>
  <c r="DH34" i="11"/>
  <c r="DI31" i="11" s="1"/>
  <c r="DI110" i="11" s="1"/>
  <c r="DJ49" i="6" s="1"/>
  <c r="DH79" i="5"/>
  <c r="DH77" i="5" s="1"/>
  <c r="DH29" i="11"/>
  <c r="DI26" i="11" s="1"/>
  <c r="DI105" i="11" s="1"/>
  <c r="DJ48" i="6" s="1"/>
  <c r="DH76" i="5"/>
  <c r="DH74" i="5" s="1"/>
  <c r="DH39" i="11"/>
  <c r="DI36" i="11" s="1"/>
  <c r="DI32" i="11"/>
  <c r="DJ31" i="10"/>
  <c r="DI37" i="11"/>
  <c r="DI27" i="11"/>
  <c r="DM88" i="14"/>
  <c r="DH11" i="11"/>
  <c r="DG11" i="15"/>
  <c r="DJ25" i="2"/>
  <c r="DJ21" i="2"/>
  <c r="DJ23" i="2"/>
  <c r="DJ24" i="2"/>
  <c r="DJ22" i="2"/>
  <c r="DJ30" i="2"/>
  <c r="DI6" i="11"/>
  <c r="DH6" i="15"/>
  <c r="DI7" i="11"/>
  <c r="DH7" i="15"/>
  <c r="DJ4" i="11"/>
  <c r="DI4" i="15"/>
  <c r="DH9" i="11"/>
  <c r="DG9" i="15"/>
  <c r="DH10" i="11"/>
  <c r="DG10" i="15"/>
  <c r="CY169" i="11"/>
  <c r="CY171" i="11" s="1"/>
  <c r="CY28" i="5" s="1"/>
  <c r="DI57" i="11"/>
  <c r="DI90" i="5" s="1"/>
  <c r="DI87" i="11"/>
  <c r="DI88" i="11" s="1"/>
  <c r="DH197" i="11"/>
  <c r="DI194" i="11" s="1"/>
  <c r="DM8" i="14"/>
  <c r="DI8" i="19"/>
  <c r="DN5" i="14"/>
  <c r="DN15" i="14" s="1"/>
  <c r="DJ5" i="19"/>
  <c r="DI5" i="17"/>
  <c r="DJ10" i="16"/>
  <c r="DJ54" i="16" s="1"/>
  <c r="DJ80" i="16" s="1"/>
  <c r="DK5" i="16"/>
  <c r="CW164" i="11"/>
  <c r="DH186" i="11"/>
  <c r="DH31" i="5" s="1"/>
  <c r="DJ41" i="6"/>
  <c r="DI195" i="11" s="1"/>
  <c r="DJ25" i="6"/>
  <c r="DI35" i="5" s="1"/>
  <c r="DH191" i="11"/>
  <c r="DH32" i="5" s="1"/>
  <c r="DH177" i="11"/>
  <c r="DI174" i="11" s="1"/>
  <c r="DH29" i="5"/>
  <c r="CW165" i="11"/>
  <c r="DH157" i="11"/>
  <c r="DJ28" i="10"/>
  <c r="DJ44" i="10"/>
  <c r="DJ47" i="10"/>
  <c r="DJ27" i="10"/>
  <c r="DJ23" i="10"/>
  <c r="DJ26" i="10"/>
  <c r="DJ24" i="10"/>
  <c r="DJ53" i="10"/>
  <c r="DJ50" i="10"/>
  <c r="DJ45" i="10"/>
  <c r="DJ46" i="10"/>
  <c r="DJ22" i="10"/>
  <c r="DJ48" i="10"/>
  <c r="DJ25" i="10"/>
  <c r="DJ52" i="10"/>
  <c r="DI45" i="4"/>
  <c r="DI9" i="4" s="1"/>
  <c r="DJ9" i="2" s="1"/>
  <c r="DI46" i="4"/>
  <c r="DI10" i="4" s="1"/>
  <c r="DJ10" i="2" s="1"/>
  <c r="DI47" i="4"/>
  <c r="DI11" i="4" s="1"/>
  <c r="DJ11" i="2" s="1"/>
  <c r="DI25" i="4"/>
  <c r="DI26" i="4"/>
  <c r="DI27" i="4"/>
  <c r="DI97" i="11"/>
  <c r="DI17" i="11"/>
  <c r="DJ8" i="10"/>
  <c r="DJ9" i="6"/>
  <c r="DI8" i="5"/>
  <c r="DK4" i="4"/>
  <c r="DL4" i="2" s="1"/>
  <c r="DJ6" i="4"/>
  <c r="DK6" i="2" s="1"/>
  <c r="DJ7" i="4"/>
  <c r="DK7" i="2" s="1"/>
  <c r="DJ14" i="4"/>
  <c r="DK5" i="10"/>
  <c r="DK14" i="10" s="1"/>
  <c r="DJ5" i="5"/>
  <c r="DK6" i="6"/>
  <c r="DK13" i="6" s="1"/>
  <c r="DI5" i="15" l="1"/>
  <c r="DI13" i="15" s="1"/>
  <c r="DJ137" i="5"/>
  <c r="DJ138" i="5"/>
  <c r="DJ35" i="6"/>
  <c r="DI185" i="11"/>
  <c r="DH68" i="11"/>
  <c r="DH102" i="5" s="1"/>
  <c r="DH27" i="19" s="1"/>
  <c r="DI246" i="11"/>
  <c r="CY19" i="11"/>
  <c r="CX31" i="15" s="1"/>
  <c r="DJ81" i="16"/>
  <c r="DK16" i="6"/>
  <c r="DK60" i="6" s="1"/>
  <c r="DI33" i="11"/>
  <c r="DI78" i="5"/>
  <c r="DI28" i="11"/>
  <c r="DI75" i="5"/>
  <c r="DI111" i="11"/>
  <c r="DI38" i="11"/>
  <c r="DI39" i="11" s="1"/>
  <c r="DJ36" i="11" s="1"/>
  <c r="DI106" i="11"/>
  <c r="DI81" i="5"/>
  <c r="DN104" i="14"/>
  <c r="DI8" i="11"/>
  <c r="DH8" i="15"/>
  <c r="DN99" i="14"/>
  <c r="DI140" i="11"/>
  <c r="DI61" i="19"/>
  <c r="DI196" i="11"/>
  <c r="DI39" i="5" s="1"/>
  <c r="DJ13" i="19"/>
  <c r="DM11" i="14"/>
  <c r="DI11" i="19"/>
  <c r="DM10" i="14"/>
  <c r="DI10" i="19"/>
  <c r="DN6" i="14"/>
  <c r="DJ6" i="19"/>
  <c r="DO4" i="14"/>
  <c r="DK4" i="19"/>
  <c r="DM9" i="14"/>
  <c r="DI9" i="19"/>
  <c r="DN7" i="14"/>
  <c r="DJ7" i="19"/>
  <c r="DJ4" i="17"/>
  <c r="DI4" i="18" s="1"/>
  <c r="DK6" i="16"/>
  <c r="DH5" i="18"/>
  <c r="DH8" i="18" s="1"/>
  <c r="DI8" i="17"/>
  <c r="CY172" i="11"/>
  <c r="DH192" i="11"/>
  <c r="DI189" i="11" s="1"/>
  <c r="DH187" i="11"/>
  <c r="DI184" i="11" s="1"/>
  <c r="DJ30" i="6"/>
  <c r="DI26" i="5"/>
  <c r="DJ27" i="6"/>
  <c r="DI23" i="5"/>
  <c r="DJ28" i="6"/>
  <c r="DI24" i="5"/>
  <c r="DJ29" i="6"/>
  <c r="DI25" i="5"/>
  <c r="DI69" i="5"/>
  <c r="CW167" i="11"/>
  <c r="CV19" i="15" s="1"/>
  <c r="CW27" i="5"/>
  <c r="DJ53" i="4"/>
  <c r="DJ55" i="4"/>
  <c r="DJ54" i="4"/>
  <c r="DJ52" i="4"/>
  <c r="DI190" i="11"/>
  <c r="DJ36" i="6"/>
  <c r="DJ31" i="6"/>
  <c r="DI166" i="11"/>
  <c r="DJ32" i="6"/>
  <c r="DI170" i="11"/>
  <c r="DJ33" i="6"/>
  <c r="DI175" i="11"/>
  <c r="DI176" i="11" s="1"/>
  <c r="DI145" i="11"/>
  <c r="DI214" i="11"/>
  <c r="DK36" i="10"/>
  <c r="DK5" i="4"/>
  <c r="DL5" i="2" s="1"/>
  <c r="DL14" i="2" s="1"/>
  <c r="DL5" i="6"/>
  <c r="DK4" i="5"/>
  <c r="DL4" i="10"/>
  <c r="DK7" i="6"/>
  <c r="DK6" i="10"/>
  <c r="DJ6" i="5"/>
  <c r="DJ12" i="6"/>
  <c r="DI11" i="5"/>
  <c r="DJ11" i="10"/>
  <c r="DJ11" i="6"/>
  <c r="DI10" i="5"/>
  <c r="DJ10" i="10"/>
  <c r="DI9" i="5"/>
  <c r="DJ9" i="10"/>
  <c r="DJ10" i="6"/>
  <c r="DJ5" i="11"/>
  <c r="DJ14" i="11" s="1"/>
  <c r="DJ13" i="5"/>
  <c r="DJ231" i="11" s="1"/>
  <c r="DJ44" i="4"/>
  <c r="DJ8" i="4" s="1"/>
  <c r="DK8" i="2" s="1"/>
  <c r="DJ35" i="4"/>
  <c r="DJ37" i="4"/>
  <c r="DJ38" i="4" s="1"/>
  <c r="DJ39" i="4" s="1"/>
  <c r="DJ31" i="4"/>
  <c r="DJ32" i="4" s="1"/>
  <c r="DJ33" i="4" s="1"/>
  <c r="DJ30" i="4"/>
  <c r="DJ20" i="4"/>
  <c r="DJ16" i="4"/>
  <c r="DJ36" i="4"/>
  <c r="DJ21" i="4"/>
  <c r="DJ51" i="4"/>
  <c r="DJ18" i="4"/>
  <c r="DJ43" i="4"/>
  <c r="DJ17" i="4"/>
  <c r="DJ22" i="4"/>
  <c r="DJ41" i="4"/>
  <c r="DJ24" i="4"/>
  <c r="DJ50" i="4"/>
  <c r="DJ29" i="4"/>
  <c r="DJ23" i="4"/>
  <c r="DK45" i="10" s="1"/>
  <c r="DJ42" i="4"/>
  <c r="DJ48" i="4"/>
  <c r="DK8" i="6"/>
  <c r="DK7" i="10"/>
  <c r="DJ7" i="5"/>
  <c r="DI186" i="11" l="1"/>
  <c r="DJ245" i="11"/>
  <c r="DJ235" i="11"/>
  <c r="DK23" i="10"/>
  <c r="DK21" i="6"/>
  <c r="DK19" i="10" s="1"/>
  <c r="DI250" i="11"/>
  <c r="DI251" i="11" s="1"/>
  <c r="DI252" i="11" s="1"/>
  <c r="DJ249" i="11" s="1"/>
  <c r="DI247" i="11"/>
  <c r="DJ244" i="11" s="1"/>
  <c r="DJ72" i="11"/>
  <c r="DJ106" i="5" s="1"/>
  <c r="DJ67" i="11"/>
  <c r="DJ101" i="5" s="1"/>
  <c r="CZ16" i="11"/>
  <c r="CZ18" i="11" s="1"/>
  <c r="CZ70" i="5" s="1"/>
  <c r="CZ68" i="5" s="1"/>
  <c r="DI82" i="5"/>
  <c r="DI80" i="5" s="1"/>
  <c r="DN88" i="14"/>
  <c r="DI107" i="11"/>
  <c r="DJ104" i="11" s="1"/>
  <c r="DI42" i="5"/>
  <c r="DI112" i="11"/>
  <c r="DJ109" i="11" s="1"/>
  <c r="DI43" i="5"/>
  <c r="DI29" i="11"/>
  <c r="DJ26" i="11" s="1"/>
  <c r="DJ105" i="11" s="1"/>
  <c r="DK48" i="6" s="1"/>
  <c r="DI76" i="5"/>
  <c r="DI74" i="5" s="1"/>
  <c r="DI34" i="11"/>
  <c r="DJ31" i="11" s="1"/>
  <c r="DJ110" i="11" s="1"/>
  <c r="DK49" i="6" s="1"/>
  <c r="DI79" i="5"/>
  <c r="DI77" i="5" s="1"/>
  <c r="DJ32" i="11"/>
  <c r="DK31" i="10"/>
  <c r="DJ37" i="11"/>
  <c r="DJ38" i="11" s="1"/>
  <c r="DJ27" i="11"/>
  <c r="DI11" i="11"/>
  <c r="DH11" i="15"/>
  <c r="DK22" i="2"/>
  <c r="DK23" i="2"/>
  <c r="DK24" i="2"/>
  <c r="DK30" i="2"/>
  <c r="DK25" i="2"/>
  <c r="DK21" i="2"/>
  <c r="DJ6" i="11"/>
  <c r="DI6" i="15"/>
  <c r="DK4" i="11"/>
  <c r="DJ4" i="15"/>
  <c r="DI10" i="11"/>
  <c r="DH10" i="15"/>
  <c r="DJ7" i="11"/>
  <c r="DI7" i="15"/>
  <c r="DI9" i="11"/>
  <c r="DH9" i="15"/>
  <c r="CZ169" i="11"/>
  <c r="CZ171" i="11" s="1"/>
  <c r="CZ28" i="5" s="1"/>
  <c r="DJ57" i="11"/>
  <c r="DJ90" i="5" s="1"/>
  <c r="DJ87" i="11"/>
  <c r="DJ88" i="11" s="1"/>
  <c r="DI197" i="11"/>
  <c r="DJ194" i="11" s="1"/>
  <c r="DN8" i="14"/>
  <c r="DJ8" i="19"/>
  <c r="DO5" i="14"/>
  <c r="DO15" i="14" s="1"/>
  <c r="DK5" i="19"/>
  <c r="DI191" i="11"/>
  <c r="DI32" i="5" s="1"/>
  <c r="DJ5" i="17"/>
  <c r="DK10" i="16"/>
  <c r="DK54" i="16" s="1"/>
  <c r="DK80" i="16" s="1"/>
  <c r="DL5" i="16"/>
  <c r="CX164" i="11"/>
  <c r="DK41" i="6"/>
  <c r="DJ195" i="11" s="1"/>
  <c r="DK25" i="6"/>
  <c r="DJ35" i="5" s="1"/>
  <c r="DI177" i="11"/>
  <c r="DJ174" i="11" s="1"/>
  <c r="DI29" i="5"/>
  <c r="CX165" i="11"/>
  <c r="DK27" i="10"/>
  <c r="DK30" i="10"/>
  <c r="DI157" i="11"/>
  <c r="DK25" i="10"/>
  <c r="DK46" i="10"/>
  <c r="DK50" i="10"/>
  <c r="DK22" i="10"/>
  <c r="DK48" i="10"/>
  <c r="DK24" i="10"/>
  <c r="DK44" i="10"/>
  <c r="DK53" i="10"/>
  <c r="DK28" i="10"/>
  <c r="DK52" i="10"/>
  <c r="DK26" i="10"/>
  <c r="DK49" i="10"/>
  <c r="DK47" i="10"/>
  <c r="DK8" i="10"/>
  <c r="DJ8" i="5"/>
  <c r="DK9" i="6"/>
  <c r="DJ97" i="11"/>
  <c r="DJ17" i="11"/>
  <c r="DL4" i="4"/>
  <c r="DM4" i="2" s="1"/>
  <c r="DK14" i="4"/>
  <c r="DK7" i="4"/>
  <c r="DL7" i="2" s="1"/>
  <c r="DK6" i="4"/>
  <c r="DL6" i="2" s="1"/>
  <c r="DL6" i="6"/>
  <c r="DL13" i="6" s="1"/>
  <c r="DK5" i="5"/>
  <c r="DL5" i="10"/>
  <c r="DL14" i="10" s="1"/>
  <c r="DJ25" i="4"/>
  <c r="DJ47" i="4"/>
  <c r="DJ11" i="4" s="1"/>
  <c r="DK11" i="2" s="1"/>
  <c r="DJ26" i="4"/>
  <c r="DJ27" i="4"/>
  <c r="DJ46" i="4"/>
  <c r="DJ10" i="4" s="1"/>
  <c r="DK10" i="2" s="1"/>
  <c r="DJ45" i="4"/>
  <c r="DJ9" i="4" s="1"/>
  <c r="DK9" i="2" s="1"/>
  <c r="DJ5" i="15" l="1"/>
  <c r="DJ13" i="15" s="1"/>
  <c r="DK137" i="5"/>
  <c r="DK138" i="5"/>
  <c r="DI31" i="5"/>
  <c r="DI187" i="11"/>
  <c r="DJ184" i="11" s="1"/>
  <c r="DK28" i="6"/>
  <c r="DJ24" i="5"/>
  <c r="DI68" i="11"/>
  <c r="DI102" i="5" s="1"/>
  <c r="DI27" i="19" s="1"/>
  <c r="DJ246" i="11"/>
  <c r="CZ19" i="11"/>
  <c r="CY31" i="15" s="1"/>
  <c r="DK81" i="16"/>
  <c r="DL16" i="6"/>
  <c r="DL60" i="6" s="1"/>
  <c r="DJ33" i="11"/>
  <c r="DJ78" i="5"/>
  <c r="DJ28" i="11"/>
  <c r="DJ75" i="5"/>
  <c r="DJ111" i="11"/>
  <c r="DJ106" i="11"/>
  <c r="DJ81" i="5"/>
  <c r="DO99" i="14"/>
  <c r="DJ8" i="11"/>
  <c r="DI8" i="15"/>
  <c r="DO104" i="14"/>
  <c r="DJ196" i="11"/>
  <c r="DJ39" i="5" s="1"/>
  <c r="DJ39" i="11"/>
  <c r="DK36" i="11" s="1"/>
  <c r="DJ82" i="5"/>
  <c r="DJ140" i="11"/>
  <c r="DJ61" i="19"/>
  <c r="DI192" i="11"/>
  <c r="DJ189" i="11" s="1"/>
  <c r="DK13" i="19"/>
  <c r="DN10" i="14"/>
  <c r="DJ10" i="19"/>
  <c r="DP4" i="14"/>
  <c r="DL4" i="19"/>
  <c r="DN11" i="14"/>
  <c r="DJ11" i="19"/>
  <c r="DO6" i="14"/>
  <c r="DK6" i="19"/>
  <c r="DO7" i="14"/>
  <c r="DK7" i="19"/>
  <c r="DN9" i="14"/>
  <c r="DJ9" i="19"/>
  <c r="DI5" i="18"/>
  <c r="DI8" i="18" s="1"/>
  <c r="DJ8" i="17"/>
  <c r="DK4" i="17"/>
  <c r="DJ4" i="18" s="1"/>
  <c r="DL6" i="16"/>
  <c r="CZ172" i="11"/>
  <c r="DK29" i="6"/>
  <c r="DJ25" i="5"/>
  <c r="DK27" i="6"/>
  <c r="DJ23" i="5"/>
  <c r="DK30" i="6"/>
  <c r="DJ26" i="5"/>
  <c r="DJ69" i="5"/>
  <c r="CX167" i="11"/>
  <c r="CW19" i="15" s="1"/>
  <c r="CX27" i="5"/>
  <c r="DK52" i="4"/>
  <c r="DK53" i="4"/>
  <c r="DK54" i="4"/>
  <c r="DK55" i="4"/>
  <c r="DK31" i="6"/>
  <c r="DJ166" i="11"/>
  <c r="DK33" i="6"/>
  <c r="DJ175" i="11"/>
  <c r="DJ176" i="11" s="1"/>
  <c r="DK35" i="6"/>
  <c r="DJ185" i="11"/>
  <c r="DK36" i="6"/>
  <c r="DJ190" i="11"/>
  <c r="DJ170" i="11"/>
  <c r="DK32" i="6"/>
  <c r="DJ145" i="11"/>
  <c r="DJ214" i="11"/>
  <c r="DL36" i="10"/>
  <c r="DL7" i="10"/>
  <c r="DL8" i="6"/>
  <c r="DK7" i="5"/>
  <c r="DL5" i="4"/>
  <c r="DM5" i="2" s="1"/>
  <c r="DM14" i="2" s="1"/>
  <c r="DM5" i="6"/>
  <c r="DL4" i="5"/>
  <c r="DM4" i="10"/>
  <c r="DK6" i="5"/>
  <c r="DL6" i="10"/>
  <c r="DL7" i="6"/>
  <c r="DK44" i="4"/>
  <c r="DK8" i="4" s="1"/>
  <c r="DL8" i="2" s="1"/>
  <c r="DK18" i="4"/>
  <c r="DK29" i="4"/>
  <c r="DK16" i="4"/>
  <c r="DK50" i="4"/>
  <c r="DK21" i="4"/>
  <c r="DK17" i="4"/>
  <c r="DK23" i="4"/>
  <c r="DL50" i="10" s="1"/>
  <c r="DK41" i="4"/>
  <c r="DK24" i="4"/>
  <c r="DK22" i="4"/>
  <c r="DK48" i="4"/>
  <c r="DK51" i="4"/>
  <c r="DK20" i="4"/>
  <c r="DK31" i="4"/>
  <c r="DK32" i="4" s="1"/>
  <c r="DK33" i="4" s="1"/>
  <c r="DK43" i="4"/>
  <c r="DK42" i="4"/>
  <c r="DK30" i="4"/>
  <c r="DK36" i="4"/>
  <c r="DK35" i="4"/>
  <c r="DK37" i="4"/>
  <c r="DK38" i="4" s="1"/>
  <c r="DK39" i="4" s="1"/>
  <c r="DK10" i="6"/>
  <c r="DJ9" i="5"/>
  <c r="DK9" i="10"/>
  <c r="DK11" i="10"/>
  <c r="DK12" i="6"/>
  <c r="DJ11" i="5"/>
  <c r="DK11" i="6"/>
  <c r="DJ10" i="5"/>
  <c r="DK10" i="10"/>
  <c r="DK5" i="11"/>
  <c r="DK14" i="11" s="1"/>
  <c r="DK13" i="5"/>
  <c r="DK231" i="11" s="1"/>
  <c r="DK245" i="11" l="1"/>
  <c r="DK235" i="11"/>
  <c r="DL28" i="10"/>
  <c r="DL21" i="6"/>
  <c r="DL19" i="10" s="1"/>
  <c r="DJ247" i="11"/>
  <c r="DK244" i="11" s="1"/>
  <c r="DA16" i="11"/>
  <c r="DA18" i="11" s="1"/>
  <c r="DA70" i="5" s="1"/>
  <c r="DA68" i="5" s="1"/>
  <c r="DJ250" i="11"/>
  <c r="DJ251" i="11" s="1"/>
  <c r="DJ252" i="11" s="1"/>
  <c r="DK249" i="11" s="1"/>
  <c r="DK67" i="11"/>
  <c r="DK101" i="5" s="1"/>
  <c r="DK72" i="11"/>
  <c r="DK106" i="5" s="1"/>
  <c r="DJ107" i="11"/>
  <c r="DK104" i="11" s="1"/>
  <c r="DJ42" i="5"/>
  <c r="DJ112" i="11"/>
  <c r="DK109" i="11" s="1"/>
  <c r="DJ43" i="5"/>
  <c r="DJ80" i="5"/>
  <c r="DJ29" i="11"/>
  <c r="DK26" i="11" s="1"/>
  <c r="DK105" i="11" s="1"/>
  <c r="DL48" i="6" s="1"/>
  <c r="DJ76" i="5"/>
  <c r="DJ74" i="5" s="1"/>
  <c r="DJ34" i="11"/>
  <c r="DK31" i="11" s="1"/>
  <c r="DK110" i="11" s="1"/>
  <c r="DL49" i="6" s="1"/>
  <c r="DJ79" i="5"/>
  <c r="DJ77" i="5" s="1"/>
  <c r="DK32" i="11"/>
  <c r="DL31" i="10"/>
  <c r="DO88" i="14"/>
  <c r="DK37" i="11"/>
  <c r="DK81" i="5" s="1"/>
  <c r="DK27" i="11"/>
  <c r="DK6" i="11"/>
  <c r="DJ6" i="15"/>
  <c r="DJ9" i="11"/>
  <c r="DI9" i="15"/>
  <c r="DJ11" i="11"/>
  <c r="DI11" i="15"/>
  <c r="DL4" i="11"/>
  <c r="DK4" i="15"/>
  <c r="DL30" i="2"/>
  <c r="DL25" i="2"/>
  <c r="DL22" i="2"/>
  <c r="DL23" i="2"/>
  <c r="DL24" i="2"/>
  <c r="DL21" i="2"/>
  <c r="DJ10" i="11"/>
  <c r="DI10" i="15"/>
  <c r="DK7" i="11"/>
  <c r="DJ7" i="15"/>
  <c r="DJ197" i="11"/>
  <c r="DK194" i="11" s="1"/>
  <c r="DK57" i="11"/>
  <c r="DK90" i="5" s="1"/>
  <c r="DK87" i="11"/>
  <c r="DK88" i="11" s="1"/>
  <c r="DJ191" i="11"/>
  <c r="DJ192" i="11" s="1"/>
  <c r="DK189" i="11" s="1"/>
  <c r="DO8" i="14"/>
  <c r="DK8" i="19"/>
  <c r="DP5" i="14"/>
  <c r="DP15" i="14" s="1"/>
  <c r="DL5" i="19"/>
  <c r="DK5" i="17"/>
  <c r="DM5" i="16"/>
  <c r="DL10" i="16"/>
  <c r="DL54" i="16" s="1"/>
  <c r="DL80" i="16" s="1"/>
  <c r="DA169" i="11"/>
  <c r="CY164" i="11"/>
  <c r="DL41" i="6"/>
  <c r="DK195" i="11" s="1"/>
  <c r="DL25" i="6"/>
  <c r="DK35" i="5" s="1"/>
  <c r="DJ177" i="11"/>
  <c r="DK174" i="11" s="1"/>
  <c r="DJ29" i="5"/>
  <c r="CY165" i="11"/>
  <c r="DJ186" i="11"/>
  <c r="DJ157" i="11"/>
  <c r="DL45" i="10"/>
  <c r="DL49" i="10"/>
  <c r="DL46" i="10"/>
  <c r="DL24" i="10"/>
  <c r="DL26" i="10"/>
  <c r="DL23" i="10"/>
  <c r="DL44" i="10"/>
  <c r="DL25" i="10"/>
  <c r="DL53" i="10"/>
  <c r="DL27" i="10"/>
  <c r="DL52" i="10"/>
  <c r="DL30" i="10"/>
  <c r="DL48" i="10"/>
  <c r="DL22" i="10"/>
  <c r="DL47" i="10"/>
  <c r="DL14" i="4"/>
  <c r="DL7" i="4"/>
  <c r="DM7" i="2" s="1"/>
  <c r="DM4" i="4"/>
  <c r="DN4" i="2" s="1"/>
  <c r="DL6" i="4"/>
  <c r="DM6" i="2" s="1"/>
  <c r="DL5" i="5"/>
  <c r="DM5" i="10"/>
  <c r="DM14" i="10" s="1"/>
  <c r="DM6" i="6"/>
  <c r="DM13" i="6" s="1"/>
  <c r="DK97" i="11"/>
  <c r="DK17" i="11"/>
  <c r="DL9" i="6"/>
  <c r="DK8" i="5"/>
  <c r="DL8" i="10"/>
  <c r="DK26" i="4"/>
  <c r="DK27" i="4"/>
  <c r="DK45" i="4"/>
  <c r="DK9" i="4" s="1"/>
  <c r="DL9" i="2" s="1"/>
  <c r="DK25" i="4"/>
  <c r="DK46" i="4"/>
  <c r="DK10" i="4" s="1"/>
  <c r="DL10" i="2" s="1"/>
  <c r="DK47" i="4"/>
  <c r="DK11" i="4" s="1"/>
  <c r="DL11" i="2" s="1"/>
  <c r="DK5" i="15" l="1"/>
  <c r="DK13" i="15" s="1"/>
  <c r="DL137" i="5"/>
  <c r="DL138" i="5"/>
  <c r="DL33" i="6"/>
  <c r="DK175" i="11"/>
  <c r="DK176" i="11" s="1"/>
  <c r="DJ68" i="11"/>
  <c r="DJ102" i="5" s="1"/>
  <c r="DJ27" i="19" s="1"/>
  <c r="DK246" i="11"/>
  <c r="DA19" i="11"/>
  <c r="DB16" i="11" s="1"/>
  <c r="DL81" i="16"/>
  <c r="DM16" i="6"/>
  <c r="DM60" i="6" s="1"/>
  <c r="DK33" i="11"/>
  <c r="DK78" i="5"/>
  <c r="DK28" i="11"/>
  <c r="DK75" i="5"/>
  <c r="DK111" i="11"/>
  <c r="DK106" i="11"/>
  <c r="DK38" i="11"/>
  <c r="DK82" i="5" s="1"/>
  <c r="DK80" i="5" s="1"/>
  <c r="DP99" i="14"/>
  <c r="DK8" i="11"/>
  <c r="DJ8" i="15"/>
  <c r="DP104" i="14"/>
  <c r="DK196" i="11"/>
  <c r="DK39" i="5" s="1"/>
  <c r="DK140" i="11"/>
  <c r="DK61" i="19"/>
  <c r="DJ32" i="5"/>
  <c r="DL13" i="19"/>
  <c r="DO11" i="14"/>
  <c r="DK11" i="19"/>
  <c r="DO10" i="14"/>
  <c r="DK10" i="19"/>
  <c r="DO9" i="14"/>
  <c r="DK9" i="19"/>
  <c r="DQ4" i="14"/>
  <c r="DM4" i="19"/>
  <c r="DP7" i="14"/>
  <c r="DL7" i="19"/>
  <c r="DP6" i="14"/>
  <c r="DL6" i="19"/>
  <c r="DM6" i="16"/>
  <c r="DL4" i="17"/>
  <c r="DK4" i="18" s="1"/>
  <c r="DJ5" i="18"/>
  <c r="DJ8" i="18" s="1"/>
  <c r="DK8" i="17"/>
  <c r="DA171" i="11"/>
  <c r="DA28" i="5" s="1"/>
  <c r="DL30" i="6"/>
  <c r="DK26" i="5"/>
  <c r="DL28" i="6"/>
  <c r="DK24" i="5"/>
  <c r="DL27" i="6"/>
  <c r="DK23" i="5"/>
  <c r="DL29" i="6"/>
  <c r="DK25" i="5"/>
  <c r="DK69" i="5"/>
  <c r="DJ187" i="11"/>
  <c r="DK184" i="11" s="1"/>
  <c r="DJ31" i="5"/>
  <c r="CY167" i="11"/>
  <c r="CX19" i="15" s="1"/>
  <c r="CY27" i="5"/>
  <c r="DL52" i="4"/>
  <c r="DL54" i="4"/>
  <c r="DL55" i="4"/>
  <c r="DL53" i="4"/>
  <c r="DL35" i="6"/>
  <c r="DK185" i="11"/>
  <c r="DL32" i="6"/>
  <c r="DK170" i="11"/>
  <c r="DL36" i="6"/>
  <c r="DK190" i="11"/>
  <c r="DK191" i="11" s="1"/>
  <c r="DL31" i="6"/>
  <c r="DK166" i="11"/>
  <c r="DK145" i="11"/>
  <c r="DK214" i="11"/>
  <c r="DM36" i="10"/>
  <c r="DL10" i="6"/>
  <c r="DL9" i="10"/>
  <c r="DK9" i="5"/>
  <c r="DL10" i="10"/>
  <c r="DL11" i="6"/>
  <c r="DK10" i="5"/>
  <c r="DL5" i="11"/>
  <c r="DL14" i="11" s="1"/>
  <c r="DL13" i="5"/>
  <c r="DL231" i="11" s="1"/>
  <c r="DL6" i="5"/>
  <c r="DM7" i="6"/>
  <c r="DM6" i="10"/>
  <c r="DM5" i="4"/>
  <c r="DN5" i="2" s="1"/>
  <c r="DN14" i="2" s="1"/>
  <c r="DN5" i="6"/>
  <c r="DM4" i="5"/>
  <c r="DN4" i="10"/>
  <c r="DK11" i="5"/>
  <c r="DL12" i="6"/>
  <c r="DL11" i="10"/>
  <c r="DM7" i="10"/>
  <c r="DM8" i="6"/>
  <c r="DL7" i="5"/>
  <c r="DL44" i="4"/>
  <c r="DL8" i="4" s="1"/>
  <c r="DM8" i="2" s="1"/>
  <c r="DL48" i="4"/>
  <c r="DL42" i="4"/>
  <c r="DL36" i="4"/>
  <c r="DL21" i="4"/>
  <c r="DL35" i="4"/>
  <c r="DL20" i="4"/>
  <c r="DL51" i="4"/>
  <c r="DL18" i="4"/>
  <c r="DL22" i="4"/>
  <c r="DL17" i="4"/>
  <c r="DL37" i="4"/>
  <c r="DL38" i="4" s="1"/>
  <c r="DL39" i="4" s="1"/>
  <c r="DL41" i="4"/>
  <c r="DL43" i="4"/>
  <c r="DL16" i="4"/>
  <c r="DL50" i="4"/>
  <c r="DL30" i="4"/>
  <c r="DL24" i="4"/>
  <c r="DL23" i="4"/>
  <c r="DM46" i="10" s="1"/>
  <c r="DL29" i="4"/>
  <c r="DL31" i="4"/>
  <c r="DL32" i="4" s="1"/>
  <c r="DL33" i="4" s="1"/>
  <c r="DL245" i="11" l="1"/>
  <c r="DL235" i="11"/>
  <c r="DM24" i="10"/>
  <c r="DL25" i="5" s="1"/>
  <c r="DM21" i="6"/>
  <c r="DM19" i="10" s="1"/>
  <c r="DK247" i="11"/>
  <c r="DL244" i="11" s="1"/>
  <c r="DK250" i="11"/>
  <c r="DK251" i="11" s="1"/>
  <c r="DK252" i="11" s="1"/>
  <c r="DL249" i="11" s="1"/>
  <c r="CZ31" i="15"/>
  <c r="DL72" i="11"/>
  <c r="DL106" i="5" s="1"/>
  <c r="DL67" i="11"/>
  <c r="DL101" i="5" s="1"/>
  <c r="DB18" i="11"/>
  <c r="DB70" i="5" s="1"/>
  <c r="DB68" i="5" s="1"/>
  <c r="DK107" i="11"/>
  <c r="DL104" i="11" s="1"/>
  <c r="DK42" i="5"/>
  <c r="DK112" i="11"/>
  <c r="DL109" i="11" s="1"/>
  <c r="DK43" i="5"/>
  <c r="DK29" i="11"/>
  <c r="DL26" i="11" s="1"/>
  <c r="DL105" i="11" s="1"/>
  <c r="DM48" i="6" s="1"/>
  <c r="DK76" i="5"/>
  <c r="DK74" i="5" s="1"/>
  <c r="DK34" i="11"/>
  <c r="DL31" i="11" s="1"/>
  <c r="DL110" i="11" s="1"/>
  <c r="DM49" i="6" s="1"/>
  <c r="DK79" i="5"/>
  <c r="DK77" i="5" s="1"/>
  <c r="DL32" i="11"/>
  <c r="DK39" i="11"/>
  <c r="DL36" i="11" s="1"/>
  <c r="DM31" i="10"/>
  <c r="DL37" i="11"/>
  <c r="DL81" i="5" s="1"/>
  <c r="DL27" i="11"/>
  <c r="DP88" i="14"/>
  <c r="DL7" i="11"/>
  <c r="DK7" i="15"/>
  <c r="DL6" i="11"/>
  <c r="DK6" i="15"/>
  <c r="DM30" i="2"/>
  <c r="DM23" i="2"/>
  <c r="DM24" i="2"/>
  <c r="DM21" i="2"/>
  <c r="DM22" i="2"/>
  <c r="DM25" i="2"/>
  <c r="DK11" i="11"/>
  <c r="DJ11" i="15"/>
  <c r="DK10" i="11"/>
  <c r="DJ10" i="15"/>
  <c r="DM4" i="11"/>
  <c r="DL4" i="15"/>
  <c r="DK9" i="11"/>
  <c r="DJ9" i="15"/>
  <c r="DK197" i="11"/>
  <c r="DL194" i="11" s="1"/>
  <c r="DL57" i="11"/>
  <c r="DL90" i="5" s="1"/>
  <c r="DL61" i="19" s="1"/>
  <c r="DL87" i="11"/>
  <c r="DL88" i="11" s="1"/>
  <c r="DP8" i="14"/>
  <c r="DL8" i="19"/>
  <c r="DQ5" i="14"/>
  <c r="DQ15" i="14" s="1"/>
  <c r="DM5" i="19"/>
  <c r="DN5" i="16"/>
  <c r="DL5" i="17"/>
  <c r="DM10" i="16"/>
  <c r="DM54" i="16" s="1"/>
  <c r="DM80" i="16" s="1"/>
  <c r="DA172" i="11"/>
  <c r="CZ164" i="11"/>
  <c r="DK186" i="11"/>
  <c r="DK31" i="5" s="1"/>
  <c r="DM41" i="6"/>
  <c r="DL195" i="11" s="1"/>
  <c r="DM25" i="6"/>
  <c r="DL35" i="5" s="1"/>
  <c r="DK192" i="11"/>
  <c r="DL189" i="11" s="1"/>
  <c r="DK32" i="5"/>
  <c r="DK177" i="11"/>
  <c r="DL174" i="11" s="1"/>
  <c r="DK29" i="5"/>
  <c r="CZ165" i="11"/>
  <c r="DM25" i="10"/>
  <c r="DM28" i="10"/>
  <c r="DK157" i="11"/>
  <c r="DM30" i="10"/>
  <c r="DM22" i="10"/>
  <c r="DM52" i="10"/>
  <c r="DM50" i="10"/>
  <c r="DM45" i="10"/>
  <c r="DM47" i="10"/>
  <c r="DM23" i="10"/>
  <c r="DM48" i="10"/>
  <c r="DM26" i="10"/>
  <c r="DM49" i="10"/>
  <c r="DM53" i="10"/>
  <c r="DM27" i="10"/>
  <c r="DM44" i="10"/>
  <c r="DM7" i="4"/>
  <c r="DN7" i="2" s="1"/>
  <c r="DM14" i="4"/>
  <c r="DN4" i="4"/>
  <c r="DO4" i="2" s="1"/>
  <c r="DM6" i="4"/>
  <c r="DN6" i="2" s="1"/>
  <c r="DN6" i="6"/>
  <c r="DN13" i="6" s="1"/>
  <c r="DN5" i="10"/>
  <c r="DN14" i="10" s="1"/>
  <c r="DM5" i="5"/>
  <c r="DL47" i="4"/>
  <c r="DL11" i="4" s="1"/>
  <c r="DM11" i="2" s="1"/>
  <c r="DL46" i="4"/>
  <c r="DL10" i="4" s="1"/>
  <c r="DM10" i="2" s="1"/>
  <c r="DL27" i="4"/>
  <c r="DL45" i="4"/>
  <c r="DL9" i="4" s="1"/>
  <c r="DM9" i="2" s="1"/>
  <c r="DL26" i="4"/>
  <c r="DL25" i="4"/>
  <c r="DL97" i="11"/>
  <c r="DL17" i="11"/>
  <c r="DM9" i="6"/>
  <c r="DL8" i="5"/>
  <c r="DM8" i="10"/>
  <c r="DL5" i="15" l="1"/>
  <c r="DL13" i="15" s="1"/>
  <c r="DM137" i="5"/>
  <c r="DM138" i="5"/>
  <c r="DM29" i="6"/>
  <c r="DK68" i="11"/>
  <c r="DK102" i="5" s="1"/>
  <c r="DK27" i="19" s="1"/>
  <c r="DL246" i="11"/>
  <c r="DB19" i="11"/>
  <c r="DM81" i="16"/>
  <c r="DN16" i="6"/>
  <c r="DN60" i="6" s="1"/>
  <c r="DL28" i="11"/>
  <c r="DL75" i="5"/>
  <c r="DL33" i="11"/>
  <c r="DL78" i="5"/>
  <c r="DL111" i="11"/>
  <c r="DL106" i="11"/>
  <c r="DL38" i="11"/>
  <c r="DL82" i="5" s="1"/>
  <c r="DL80" i="5" s="1"/>
  <c r="DQ99" i="14"/>
  <c r="DL8" i="11"/>
  <c r="DK8" i="15"/>
  <c r="DL196" i="11"/>
  <c r="DL39" i="5" s="1"/>
  <c r="DL140" i="11"/>
  <c r="DQ104" i="14"/>
  <c r="DM13" i="19"/>
  <c r="DQ6" i="14"/>
  <c r="DM6" i="19"/>
  <c r="DP9" i="14"/>
  <c r="DL9" i="19"/>
  <c r="DP10" i="14"/>
  <c r="DL10" i="19"/>
  <c r="DP11" i="14"/>
  <c r="DL11" i="19"/>
  <c r="DR4" i="14"/>
  <c r="DN4" i="19"/>
  <c r="DQ7" i="14"/>
  <c r="DM7" i="19"/>
  <c r="DK187" i="11"/>
  <c r="DL184" i="11" s="1"/>
  <c r="DK5" i="18"/>
  <c r="DK8" i="18" s="1"/>
  <c r="DL8" i="17"/>
  <c r="DM4" i="17"/>
  <c r="DL4" i="18" s="1"/>
  <c r="DN6" i="16"/>
  <c r="DB169" i="11"/>
  <c r="DM27" i="6"/>
  <c r="DL23" i="5"/>
  <c r="DM30" i="6"/>
  <c r="DL26" i="5"/>
  <c r="DM28" i="6"/>
  <c r="DL24" i="5"/>
  <c r="DL69" i="5"/>
  <c r="CZ167" i="11"/>
  <c r="CY19" i="15" s="1"/>
  <c r="CZ27" i="5"/>
  <c r="DM53" i="4"/>
  <c r="DM54" i="4"/>
  <c r="DM55" i="4"/>
  <c r="DM52" i="4"/>
  <c r="DM36" i="6"/>
  <c r="DL190" i="11"/>
  <c r="DL191" i="11" s="1"/>
  <c r="DM32" i="6"/>
  <c r="DL170" i="11"/>
  <c r="DM31" i="6"/>
  <c r="DL166" i="11"/>
  <c r="DM35" i="6"/>
  <c r="DL185" i="11"/>
  <c r="DM33" i="6"/>
  <c r="DL175" i="11"/>
  <c r="DL176" i="11" s="1"/>
  <c r="DL145" i="11"/>
  <c r="DL214" i="11"/>
  <c r="DN36" i="10"/>
  <c r="DM5" i="11"/>
  <c r="DM14" i="11" s="1"/>
  <c r="DM13" i="5"/>
  <c r="DM231" i="11" s="1"/>
  <c r="DM11" i="6"/>
  <c r="DL10" i="5"/>
  <c r="DM10" i="10"/>
  <c r="DN7" i="6"/>
  <c r="DN6" i="10"/>
  <c r="DM6" i="5"/>
  <c r="DM10" i="6"/>
  <c r="DL9" i="5"/>
  <c r="DM9" i="10"/>
  <c r="DN5" i="4"/>
  <c r="DO5" i="2" s="1"/>
  <c r="DO14" i="2" s="1"/>
  <c r="DO5" i="6"/>
  <c r="DN4" i="5"/>
  <c r="DO4" i="10"/>
  <c r="DM44" i="4"/>
  <c r="DM8" i="4" s="1"/>
  <c r="DN8" i="2" s="1"/>
  <c r="DM18" i="4"/>
  <c r="DM42" i="4"/>
  <c r="DM24" i="4"/>
  <c r="DM16" i="4"/>
  <c r="DM29" i="4"/>
  <c r="DM30" i="4"/>
  <c r="DM36" i="4"/>
  <c r="DM22" i="4"/>
  <c r="DM37" i="4"/>
  <c r="DM38" i="4" s="1"/>
  <c r="DM39" i="4" s="1"/>
  <c r="DM51" i="4"/>
  <c r="DM41" i="4"/>
  <c r="DM35" i="4"/>
  <c r="DM21" i="4"/>
  <c r="DM50" i="4"/>
  <c r="DM48" i="4"/>
  <c r="DM31" i="4"/>
  <c r="DM32" i="4" s="1"/>
  <c r="DM33" i="4" s="1"/>
  <c r="DM17" i="4"/>
  <c r="DM43" i="4"/>
  <c r="DM23" i="4"/>
  <c r="DN50" i="10" s="1"/>
  <c r="DM20" i="4"/>
  <c r="DN8" i="6"/>
  <c r="DM7" i="5"/>
  <c r="DN7" i="10"/>
  <c r="DM11" i="10"/>
  <c r="DM12" i="6"/>
  <c r="DL11" i="5"/>
  <c r="DM245" i="11" l="1"/>
  <c r="DM235" i="11"/>
  <c r="DN30" i="10"/>
  <c r="DN21" i="6"/>
  <c r="DN19" i="10" s="1"/>
  <c r="DL247" i="11"/>
  <c r="DM244" i="11" s="1"/>
  <c r="DL250" i="11"/>
  <c r="DL251" i="11" s="1"/>
  <c r="DL252" i="11" s="1"/>
  <c r="DM249" i="11" s="1"/>
  <c r="DM67" i="11"/>
  <c r="DM101" i="5" s="1"/>
  <c r="DM72" i="11"/>
  <c r="DM106" i="5" s="1"/>
  <c r="DA31" i="15"/>
  <c r="DC16" i="11"/>
  <c r="DL107" i="11"/>
  <c r="DM104" i="11" s="1"/>
  <c r="DL42" i="5"/>
  <c r="DL112" i="11"/>
  <c r="DM109" i="11" s="1"/>
  <c r="DL43" i="5"/>
  <c r="DL34" i="11"/>
  <c r="DM31" i="11" s="1"/>
  <c r="DM110" i="11" s="1"/>
  <c r="DN49" i="6" s="1"/>
  <c r="DL79" i="5"/>
  <c r="DL77" i="5" s="1"/>
  <c r="DL29" i="11"/>
  <c r="DM26" i="11" s="1"/>
  <c r="DM105" i="11" s="1"/>
  <c r="DN48" i="6" s="1"/>
  <c r="DL76" i="5"/>
  <c r="DL74" i="5" s="1"/>
  <c r="DM32" i="11"/>
  <c r="DL39" i="11"/>
  <c r="DM36" i="11" s="1"/>
  <c r="DN31" i="10"/>
  <c r="DM37" i="11"/>
  <c r="DM81" i="5" s="1"/>
  <c r="DM27" i="11"/>
  <c r="DQ88" i="14"/>
  <c r="DL197" i="11"/>
  <c r="DM194" i="11" s="1"/>
  <c r="DN21" i="2"/>
  <c r="DN23" i="2"/>
  <c r="DN24" i="2"/>
  <c r="DN22" i="2"/>
  <c r="DN30" i="2"/>
  <c r="DN25" i="2"/>
  <c r="DM6" i="11"/>
  <c r="DL6" i="15"/>
  <c r="DL11" i="11"/>
  <c r="DK11" i="15"/>
  <c r="DL9" i="11"/>
  <c r="DK9" i="15"/>
  <c r="DL10" i="11"/>
  <c r="DK10" i="15"/>
  <c r="DM7" i="11"/>
  <c r="DL7" i="15"/>
  <c r="DN4" i="11"/>
  <c r="DM4" i="15"/>
  <c r="DM57" i="11"/>
  <c r="DM90" i="5" s="1"/>
  <c r="DM87" i="11"/>
  <c r="DM88" i="11" s="1"/>
  <c r="DQ8" i="14"/>
  <c r="DM8" i="19"/>
  <c r="DR5" i="14"/>
  <c r="DR15" i="14" s="1"/>
  <c r="DN5" i="19"/>
  <c r="DM5" i="17"/>
  <c r="DN10" i="16"/>
  <c r="DN54" i="16" s="1"/>
  <c r="DN80" i="16" s="1"/>
  <c r="DO5" i="16"/>
  <c r="DB171" i="11"/>
  <c r="DB28" i="5" s="1"/>
  <c r="DA164" i="11"/>
  <c r="DN25" i="6"/>
  <c r="DM35" i="5" s="1"/>
  <c r="DN41" i="6"/>
  <c r="DM195" i="11" s="1"/>
  <c r="DL177" i="11"/>
  <c r="DM174" i="11" s="1"/>
  <c r="DL29" i="5"/>
  <c r="DL192" i="11"/>
  <c r="DM189" i="11" s="1"/>
  <c r="DL32" i="5"/>
  <c r="DL186" i="11"/>
  <c r="DA165" i="11"/>
  <c r="DL157" i="11"/>
  <c r="DN49" i="10"/>
  <c r="DN44" i="10"/>
  <c r="DN25" i="10"/>
  <c r="DN48" i="10"/>
  <c r="DN24" i="10"/>
  <c r="DN22" i="10"/>
  <c r="DN47" i="10"/>
  <c r="DN52" i="10"/>
  <c r="DN23" i="10"/>
  <c r="DN53" i="10"/>
  <c r="DN26" i="10"/>
  <c r="DN27" i="10"/>
  <c r="DN45" i="10"/>
  <c r="DN46" i="10"/>
  <c r="DN28" i="10"/>
  <c r="DN8" i="10"/>
  <c r="DN9" i="6"/>
  <c r="DM8" i="5"/>
  <c r="DN14" i="4"/>
  <c r="DO4" i="4"/>
  <c r="DP4" i="2" s="1"/>
  <c r="DN6" i="4"/>
  <c r="DO6" i="2" s="1"/>
  <c r="DN7" i="4"/>
  <c r="DO7" i="2" s="1"/>
  <c r="DN5" i="5"/>
  <c r="DO5" i="10"/>
  <c r="DO14" i="10" s="1"/>
  <c r="DO6" i="6"/>
  <c r="DO13" i="6" s="1"/>
  <c r="DM25" i="4"/>
  <c r="DM46" i="4"/>
  <c r="DM10" i="4" s="1"/>
  <c r="DN10" i="2" s="1"/>
  <c r="DM26" i="4"/>
  <c r="DM47" i="4"/>
  <c r="DM11" i="4" s="1"/>
  <c r="DN11" i="2" s="1"/>
  <c r="DM27" i="4"/>
  <c r="DM45" i="4"/>
  <c r="DM9" i="4" s="1"/>
  <c r="DN9" i="2" s="1"/>
  <c r="DM97" i="11"/>
  <c r="DM17" i="11"/>
  <c r="DM5" i="15" l="1"/>
  <c r="DM13" i="15" s="1"/>
  <c r="DN137" i="5"/>
  <c r="DN138" i="5"/>
  <c r="DM185" i="11"/>
  <c r="DN35" i="6"/>
  <c r="DL68" i="11"/>
  <c r="DL102" i="5" s="1"/>
  <c r="DL27" i="19" s="1"/>
  <c r="DM246" i="11"/>
  <c r="DC18" i="11"/>
  <c r="DC70" i="5" s="1"/>
  <c r="DC68" i="5" s="1"/>
  <c r="DN81" i="16"/>
  <c r="DO16" i="6"/>
  <c r="DO60" i="6" s="1"/>
  <c r="DM28" i="11"/>
  <c r="DM76" i="5" s="1"/>
  <c r="DM75" i="5"/>
  <c r="DM33" i="11"/>
  <c r="DM78" i="5"/>
  <c r="DM111" i="11"/>
  <c r="DM106" i="11"/>
  <c r="DM38" i="11"/>
  <c r="DM82" i="5" s="1"/>
  <c r="DM80" i="5" s="1"/>
  <c r="DM196" i="11"/>
  <c r="DM39" i="5" s="1"/>
  <c r="DR99" i="14"/>
  <c r="DM8" i="11"/>
  <c r="DL8" i="15"/>
  <c r="DR104" i="14"/>
  <c r="DM140" i="11"/>
  <c r="DM61" i="19"/>
  <c r="DN13" i="19"/>
  <c r="DR7" i="14"/>
  <c r="DN7" i="19"/>
  <c r="DR6" i="14"/>
  <c r="DN6" i="19"/>
  <c r="DQ11" i="14"/>
  <c r="DM11" i="19"/>
  <c r="DQ10" i="14"/>
  <c r="DM10" i="19"/>
  <c r="DS4" i="14"/>
  <c r="DO4" i="19"/>
  <c r="DQ9" i="14"/>
  <c r="DM9" i="19"/>
  <c r="DN4" i="17"/>
  <c r="DM4" i="18" s="1"/>
  <c r="DO6" i="16"/>
  <c r="DM8" i="17"/>
  <c r="DL5" i="18"/>
  <c r="DL8" i="18" s="1"/>
  <c r="DB172" i="11"/>
  <c r="DN27" i="6"/>
  <c r="DM23" i="5"/>
  <c r="DN29" i="6"/>
  <c r="DM25" i="5"/>
  <c r="DN30" i="6"/>
  <c r="DM26" i="5"/>
  <c r="DN28" i="6"/>
  <c r="DM24" i="5"/>
  <c r="DM69" i="5"/>
  <c r="DL187" i="11"/>
  <c r="DM184" i="11" s="1"/>
  <c r="DL31" i="5"/>
  <c r="DA167" i="11"/>
  <c r="CZ19" i="15" s="1"/>
  <c r="DA27" i="5"/>
  <c r="DN55" i="4"/>
  <c r="DN54" i="4"/>
  <c r="DN52" i="4"/>
  <c r="DN53" i="4"/>
  <c r="DM175" i="11"/>
  <c r="DN33" i="6"/>
  <c r="DN32" i="6"/>
  <c r="DM170" i="11"/>
  <c r="DM166" i="11"/>
  <c r="DN31" i="6"/>
  <c r="DM190" i="11"/>
  <c r="DM191" i="11" s="1"/>
  <c r="DN36" i="6"/>
  <c r="DM145" i="11"/>
  <c r="DM214" i="11"/>
  <c r="DO36" i="10"/>
  <c r="DN6" i="5"/>
  <c r="DO6" i="10"/>
  <c r="DO7" i="6"/>
  <c r="DM11" i="5"/>
  <c r="DN12" i="6"/>
  <c r="DN11" i="10"/>
  <c r="DO8" i="6"/>
  <c r="DN7" i="5"/>
  <c r="DO7" i="10"/>
  <c r="DM10" i="5"/>
  <c r="DN10" i="10"/>
  <c r="DN11" i="6"/>
  <c r="DO4" i="5"/>
  <c r="DP5" i="6"/>
  <c r="DO5" i="4"/>
  <c r="DP5" i="2" s="1"/>
  <c r="DP14" i="2" s="1"/>
  <c r="DP4" i="10"/>
  <c r="DN44" i="4"/>
  <c r="DN8" i="4" s="1"/>
  <c r="DO8" i="2" s="1"/>
  <c r="DN35" i="4"/>
  <c r="DN23" i="4"/>
  <c r="DO46" i="10" s="1"/>
  <c r="DN31" i="4"/>
  <c r="DN32" i="4" s="1"/>
  <c r="DN33" i="4" s="1"/>
  <c r="DN17" i="4"/>
  <c r="DN22" i="4"/>
  <c r="DN21" i="4"/>
  <c r="DN41" i="4"/>
  <c r="DN30" i="4"/>
  <c r="DN36" i="4"/>
  <c r="DN42" i="4"/>
  <c r="DN18" i="4"/>
  <c r="DN48" i="4"/>
  <c r="DN20" i="4"/>
  <c r="DN50" i="4"/>
  <c r="DN29" i="4"/>
  <c r="DN51" i="4"/>
  <c r="DN16" i="4"/>
  <c r="DN43" i="4"/>
  <c r="DN37" i="4"/>
  <c r="DN38" i="4" s="1"/>
  <c r="DN39" i="4" s="1"/>
  <c r="DN24" i="4"/>
  <c r="DM9" i="5"/>
  <c r="DN10" i="6"/>
  <c r="DN9" i="10"/>
  <c r="DN5" i="11"/>
  <c r="DN14" i="11" s="1"/>
  <c r="DN13" i="5"/>
  <c r="DN231" i="11" s="1"/>
  <c r="DM186" i="11" l="1"/>
  <c r="DN245" i="11"/>
  <c r="DN235" i="11"/>
  <c r="DO25" i="10"/>
  <c r="DO21" i="6"/>
  <c r="DO19" i="10" s="1"/>
  <c r="DM247" i="11"/>
  <c r="DN244" i="11" s="1"/>
  <c r="DM250" i="11"/>
  <c r="DM251" i="11" s="1"/>
  <c r="DM252" i="11" s="1"/>
  <c r="DN249" i="11" s="1"/>
  <c r="DN67" i="11"/>
  <c r="DN101" i="5" s="1"/>
  <c r="DN72" i="11"/>
  <c r="DN106" i="5" s="1"/>
  <c r="DC19" i="11"/>
  <c r="DB31" i="15" s="1"/>
  <c r="DM29" i="11"/>
  <c r="DN26" i="11" s="1"/>
  <c r="DN105" i="11" s="1"/>
  <c r="DO48" i="6" s="1"/>
  <c r="DM107" i="11"/>
  <c r="DN104" i="11" s="1"/>
  <c r="DM42" i="5"/>
  <c r="DM112" i="11"/>
  <c r="DN109" i="11" s="1"/>
  <c r="DM43" i="5"/>
  <c r="DM74" i="5"/>
  <c r="DM34" i="11"/>
  <c r="DN31" i="11" s="1"/>
  <c r="DN110" i="11" s="1"/>
  <c r="DO49" i="6" s="1"/>
  <c r="DM79" i="5"/>
  <c r="DM77" i="5" s="1"/>
  <c r="DM39" i="11"/>
  <c r="DN36" i="11" s="1"/>
  <c r="DN32" i="11"/>
  <c r="DR88" i="14"/>
  <c r="DM197" i="11"/>
  <c r="DN194" i="11" s="1"/>
  <c r="DO31" i="10"/>
  <c r="DN37" i="11"/>
  <c r="DN81" i="5" s="1"/>
  <c r="DN27" i="11"/>
  <c r="DN7" i="11"/>
  <c r="DM7" i="15"/>
  <c r="DO23" i="2"/>
  <c r="DO30" i="2"/>
  <c r="DO21" i="2"/>
  <c r="DO22" i="2"/>
  <c r="DO25" i="2"/>
  <c r="DO24" i="2"/>
  <c r="DM11" i="11"/>
  <c r="DL11" i="15"/>
  <c r="DO4" i="11"/>
  <c r="DN4" i="15"/>
  <c r="DM9" i="11"/>
  <c r="DL9" i="15"/>
  <c r="DN6" i="11"/>
  <c r="DM6" i="15"/>
  <c r="DM10" i="11"/>
  <c r="DL10" i="15"/>
  <c r="DN57" i="11"/>
  <c r="DN90" i="5" s="1"/>
  <c r="DN87" i="11"/>
  <c r="DN88" i="11" s="1"/>
  <c r="DS5" i="14"/>
  <c r="DS15" i="14" s="1"/>
  <c r="DO5" i="19"/>
  <c r="DR8" i="14"/>
  <c r="DN8" i="19"/>
  <c r="DN5" i="17"/>
  <c r="DO10" i="16"/>
  <c r="DO54" i="16" s="1"/>
  <c r="DO80" i="16" s="1"/>
  <c r="DP5" i="16"/>
  <c r="DC169" i="11"/>
  <c r="DB164" i="11"/>
  <c r="DO25" i="6"/>
  <c r="DN35" i="5" s="1"/>
  <c r="DO41" i="6"/>
  <c r="DN195" i="11" s="1"/>
  <c r="DM192" i="11"/>
  <c r="DN189" i="11" s="1"/>
  <c r="DM32" i="5"/>
  <c r="DM176" i="11"/>
  <c r="DM29" i="5" s="1"/>
  <c r="DB165" i="11"/>
  <c r="DO30" i="10"/>
  <c r="DM157" i="11"/>
  <c r="DO28" i="10"/>
  <c r="DO44" i="10"/>
  <c r="DO27" i="10"/>
  <c r="DO50" i="10"/>
  <c r="DO23" i="10"/>
  <c r="DO52" i="10"/>
  <c r="DO48" i="10"/>
  <c r="DO24" i="10"/>
  <c r="DO47" i="10"/>
  <c r="DO22" i="10"/>
  <c r="DO49" i="10"/>
  <c r="DO53" i="10"/>
  <c r="DO26" i="10"/>
  <c r="DO45" i="10"/>
  <c r="DO14" i="4"/>
  <c r="DP4" i="4"/>
  <c r="DQ4" i="2" s="1"/>
  <c r="DO6" i="4"/>
  <c r="DP6" i="2" s="1"/>
  <c r="DO7" i="4"/>
  <c r="DP7" i="2" s="1"/>
  <c r="DP6" i="6"/>
  <c r="DP13" i="6" s="1"/>
  <c r="DP5" i="10"/>
  <c r="DP14" i="10" s="1"/>
  <c r="DO5" i="5"/>
  <c r="DN97" i="11"/>
  <c r="DN17" i="11"/>
  <c r="DN27" i="4"/>
  <c r="DN25" i="4"/>
  <c r="DN26" i="4"/>
  <c r="DN47" i="4"/>
  <c r="DN11" i="4" s="1"/>
  <c r="DO11" i="2" s="1"/>
  <c r="DN46" i="4"/>
  <c r="DN10" i="4" s="1"/>
  <c r="DO10" i="2" s="1"/>
  <c r="DN45" i="4"/>
  <c r="DN9" i="4" s="1"/>
  <c r="DO9" i="2" s="1"/>
  <c r="DO9" i="6"/>
  <c r="DN8" i="5"/>
  <c r="DO8" i="10"/>
  <c r="DN5" i="15" l="1"/>
  <c r="DN13" i="15" s="1"/>
  <c r="DO138" i="5"/>
  <c r="DO137" i="5"/>
  <c r="DM187" i="11"/>
  <c r="DN184" i="11" s="1"/>
  <c r="DM31" i="5"/>
  <c r="DO30" i="6"/>
  <c r="DN26" i="5"/>
  <c r="DM68" i="11"/>
  <c r="DM102" i="5" s="1"/>
  <c r="DM27" i="19" s="1"/>
  <c r="DN246" i="11"/>
  <c r="DD16" i="11"/>
  <c r="DD18" i="11" s="1"/>
  <c r="DD70" i="5" s="1"/>
  <c r="DD68" i="5" s="1"/>
  <c r="DO81" i="16"/>
  <c r="DP16" i="6"/>
  <c r="DP60" i="6" s="1"/>
  <c r="DN33" i="11"/>
  <c r="DN78" i="5"/>
  <c r="DN28" i="11"/>
  <c r="DN75" i="5"/>
  <c r="DN111" i="11"/>
  <c r="DN106" i="11"/>
  <c r="DN38" i="11"/>
  <c r="DN39" i="11" s="1"/>
  <c r="DO36" i="11" s="1"/>
  <c r="DN196" i="11"/>
  <c r="DN39" i="5" s="1"/>
  <c r="DS99" i="14"/>
  <c r="DN8" i="11"/>
  <c r="DM8" i="15"/>
  <c r="DS104" i="14"/>
  <c r="DN140" i="11"/>
  <c r="DN61" i="19"/>
  <c r="DO13" i="19"/>
  <c r="DR9" i="14"/>
  <c r="DN9" i="19"/>
  <c r="DS7" i="14"/>
  <c r="DO7" i="19"/>
  <c r="DR10" i="14"/>
  <c r="DN10" i="19"/>
  <c r="DS6" i="14"/>
  <c r="DO6" i="19"/>
  <c r="DR11" i="14"/>
  <c r="DN11" i="19"/>
  <c r="DT4" i="14"/>
  <c r="DP4" i="19"/>
  <c r="DP6" i="16"/>
  <c r="DO4" i="17"/>
  <c r="DN4" i="18" s="1"/>
  <c r="DN8" i="17"/>
  <c r="DM5" i="18"/>
  <c r="DM8" i="18" s="1"/>
  <c r="DC171" i="11"/>
  <c r="DC28" i="5" s="1"/>
  <c r="DO27" i="6"/>
  <c r="DN23" i="5"/>
  <c r="DO29" i="6"/>
  <c r="DN25" i="5"/>
  <c r="DO28" i="6"/>
  <c r="DN24" i="5"/>
  <c r="DM177" i="11"/>
  <c r="DN174" i="11" s="1"/>
  <c r="DN69" i="5"/>
  <c r="DB167" i="11"/>
  <c r="DA19" i="15" s="1"/>
  <c r="DB27" i="5"/>
  <c r="DO54" i="4"/>
  <c r="DO55" i="4"/>
  <c r="DO52" i="4"/>
  <c r="DO53" i="4"/>
  <c r="DO31" i="6"/>
  <c r="DN166" i="11"/>
  <c r="DO36" i="6"/>
  <c r="DN190" i="11"/>
  <c r="DN191" i="11" s="1"/>
  <c r="DO32" i="6"/>
  <c r="DN170" i="11"/>
  <c r="DN175" i="11"/>
  <c r="DO33" i="6"/>
  <c r="DO35" i="6"/>
  <c r="DN185" i="11"/>
  <c r="DN145" i="11"/>
  <c r="DN214" i="11"/>
  <c r="DP36" i="10"/>
  <c r="DO5" i="11"/>
  <c r="DO14" i="11" s="1"/>
  <c r="DO13" i="5"/>
  <c r="DO231" i="11" s="1"/>
  <c r="DP7" i="10"/>
  <c r="DP8" i="6"/>
  <c r="DO7" i="5"/>
  <c r="DO10" i="6"/>
  <c r="DN9" i="5"/>
  <c r="DO9" i="10"/>
  <c r="DO11" i="6"/>
  <c r="DN10" i="5"/>
  <c r="DO10" i="10"/>
  <c r="DO11" i="10"/>
  <c r="DN11" i="5"/>
  <c r="DO12" i="6"/>
  <c r="DP6" i="10"/>
  <c r="DO6" i="5"/>
  <c r="DP7" i="6"/>
  <c r="DQ5" i="6"/>
  <c r="DP4" i="5"/>
  <c r="DQ4" i="10"/>
  <c r="DP5" i="4"/>
  <c r="DQ5" i="2" s="1"/>
  <c r="DQ14" i="2" s="1"/>
  <c r="DO44" i="4"/>
  <c r="DO8" i="4" s="1"/>
  <c r="DP8" i="2" s="1"/>
  <c r="DO18" i="4"/>
  <c r="DO36" i="4"/>
  <c r="DO16" i="4"/>
  <c r="DO21" i="4"/>
  <c r="DO35" i="4"/>
  <c r="DO23" i="4"/>
  <c r="DP52" i="10" s="1"/>
  <c r="DO37" i="4"/>
  <c r="DO38" i="4" s="1"/>
  <c r="DO39" i="4" s="1"/>
  <c r="DO51" i="4"/>
  <c r="DO20" i="4"/>
  <c r="DO41" i="4"/>
  <c r="DO50" i="4"/>
  <c r="DO42" i="4"/>
  <c r="DO24" i="4"/>
  <c r="DO22" i="4"/>
  <c r="DO43" i="4"/>
  <c r="DO30" i="4"/>
  <c r="DO29" i="4"/>
  <c r="DO31" i="4"/>
  <c r="DO32" i="4" s="1"/>
  <c r="DO33" i="4" s="1"/>
  <c r="DO48" i="4"/>
  <c r="DO17" i="4"/>
  <c r="DO245" i="11" l="1"/>
  <c r="DO235" i="11"/>
  <c r="DP25" i="10"/>
  <c r="DP21" i="6"/>
  <c r="DP19" i="10" s="1"/>
  <c r="DN250" i="11"/>
  <c r="DN251" i="11" s="1"/>
  <c r="DN252" i="11" s="1"/>
  <c r="DO249" i="11" s="1"/>
  <c r="DN247" i="11"/>
  <c r="DO244" i="11" s="1"/>
  <c r="DO67" i="11"/>
  <c r="DO101" i="5" s="1"/>
  <c r="DO72" i="11"/>
  <c r="DO106" i="5" s="1"/>
  <c r="DD19" i="11"/>
  <c r="DN107" i="11"/>
  <c r="DO104" i="11" s="1"/>
  <c r="DN42" i="5"/>
  <c r="DN112" i="11"/>
  <c r="DO109" i="11" s="1"/>
  <c r="DN43" i="5"/>
  <c r="DN29" i="11"/>
  <c r="DO26" i="11" s="1"/>
  <c r="DO105" i="11" s="1"/>
  <c r="DP48" i="6" s="1"/>
  <c r="DN76" i="5"/>
  <c r="DN74" i="5" s="1"/>
  <c r="DN34" i="11"/>
  <c r="DO31" i="11" s="1"/>
  <c r="DO110" i="11" s="1"/>
  <c r="DP49" i="6" s="1"/>
  <c r="DN79" i="5"/>
  <c r="DN77" i="5" s="1"/>
  <c r="DO32" i="11"/>
  <c r="DN82" i="5"/>
  <c r="DN80" i="5" s="1"/>
  <c r="DN197" i="11"/>
  <c r="DO194" i="11" s="1"/>
  <c r="DP31" i="10"/>
  <c r="DO37" i="11"/>
  <c r="DO81" i="5" s="1"/>
  <c r="DO27" i="11"/>
  <c r="DS88" i="14"/>
  <c r="DP4" i="11"/>
  <c r="DO4" i="15"/>
  <c r="DN11" i="11"/>
  <c r="DM11" i="15"/>
  <c r="DN9" i="11"/>
  <c r="DM9" i="15"/>
  <c r="DO7" i="11"/>
  <c r="DN7" i="15"/>
  <c r="DN10" i="11"/>
  <c r="DM10" i="15"/>
  <c r="DP21" i="2"/>
  <c r="DP22" i="2"/>
  <c r="DP23" i="2"/>
  <c r="DP24" i="2"/>
  <c r="DP25" i="2"/>
  <c r="DP30" i="2"/>
  <c r="DO6" i="11"/>
  <c r="DN6" i="15"/>
  <c r="DO57" i="11"/>
  <c r="DO90" i="5" s="1"/>
  <c r="DO87" i="11"/>
  <c r="DO88" i="11" s="1"/>
  <c r="DS8" i="14"/>
  <c r="DO8" i="19"/>
  <c r="DT5" i="14"/>
  <c r="DT15" i="14" s="1"/>
  <c r="DP5" i="19"/>
  <c r="DQ5" i="16"/>
  <c r="DO5" i="17"/>
  <c r="DP10" i="16"/>
  <c r="DP54" i="16" s="1"/>
  <c r="DP80" i="16" s="1"/>
  <c r="DC172" i="11"/>
  <c r="DN176" i="11"/>
  <c r="DN177" i="11" s="1"/>
  <c r="DO174" i="11" s="1"/>
  <c r="DC164" i="11"/>
  <c r="DP25" i="6"/>
  <c r="DO35" i="5" s="1"/>
  <c r="DP41" i="6"/>
  <c r="DO195" i="11" s="1"/>
  <c r="DN192" i="11"/>
  <c r="DO189" i="11" s="1"/>
  <c r="DN32" i="5"/>
  <c r="DC165" i="11"/>
  <c r="DN186" i="11"/>
  <c r="DP44" i="10"/>
  <c r="DP49" i="10"/>
  <c r="DN157" i="11"/>
  <c r="DP24" i="10"/>
  <c r="DP26" i="10"/>
  <c r="DP53" i="10"/>
  <c r="DP28" i="10"/>
  <c r="DP50" i="10"/>
  <c r="DP23" i="10"/>
  <c r="DP46" i="10"/>
  <c r="DP30" i="10"/>
  <c r="DP48" i="10"/>
  <c r="DP27" i="10"/>
  <c r="DP45" i="10"/>
  <c r="DP22" i="10"/>
  <c r="DP47" i="10"/>
  <c r="DO26" i="4"/>
  <c r="DO47" i="4"/>
  <c r="DO11" i="4" s="1"/>
  <c r="DP11" i="2" s="1"/>
  <c r="DO27" i="4"/>
  <c r="DO46" i="4"/>
  <c r="DO10" i="4" s="1"/>
  <c r="DP10" i="2" s="1"/>
  <c r="DO45" i="4"/>
  <c r="DO9" i="4" s="1"/>
  <c r="DP9" i="2" s="1"/>
  <c r="DO25" i="4"/>
  <c r="DO97" i="11"/>
  <c r="DO17" i="11"/>
  <c r="DP14" i="4"/>
  <c r="DP6" i="4"/>
  <c r="DQ6" i="2" s="1"/>
  <c r="DP7" i="4"/>
  <c r="DQ7" i="2" s="1"/>
  <c r="DQ4" i="4"/>
  <c r="DQ5" i="10"/>
  <c r="DQ14" i="10" s="1"/>
  <c r="DP5" i="5"/>
  <c r="DQ6" i="6"/>
  <c r="DQ13" i="6" s="1"/>
  <c r="DP8" i="10"/>
  <c r="DP9" i="6"/>
  <c r="DO8" i="5"/>
  <c r="DO5" i="15" l="1"/>
  <c r="DO13" i="15" s="1"/>
  <c r="DP138" i="5"/>
  <c r="DP137" i="5"/>
  <c r="DP30" i="6"/>
  <c r="DO26" i="5"/>
  <c r="DN68" i="11"/>
  <c r="DN102" i="5" s="1"/>
  <c r="DN27" i="19" s="1"/>
  <c r="DO246" i="11"/>
  <c r="DC31" i="15"/>
  <c r="DE16" i="11"/>
  <c r="DP81" i="16"/>
  <c r="DQ16" i="6"/>
  <c r="DQ60" i="6" s="1"/>
  <c r="DO196" i="11"/>
  <c r="DO39" i="5" s="1"/>
  <c r="DO28" i="11"/>
  <c r="DO75" i="5"/>
  <c r="DO33" i="11"/>
  <c r="DO78" i="5"/>
  <c r="DO111" i="11"/>
  <c r="DO106" i="11"/>
  <c r="DO38" i="11"/>
  <c r="DO39" i="11" s="1"/>
  <c r="DP36" i="11" s="1"/>
  <c r="DT104" i="14"/>
  <c r="DQ4" i="5"/>
  <c r="DP4" i="15" s="1"/>
  <c r="DR4" i="2"/>
  <c r="DO8" i="11"/>
  <c r="DN8" i="15"/>
  <c r="DT99" i="14"/>
  <c r="DO140" i="11"/>
  <c r="DO61" i="19"/>
  <c r="DP13" i="19"/>
  <c r="DT6" i="14"/>
  <c r="DP6" i="19"/>
  <c r="DS9" i="14"/>
  <c r="DO9" i="19"/>
  <c r="DS10" i="14"/>
  <c r="DO10" i="19"/>
  <c r="DS11" i="14"/>
  <c r="DO11" i="19"/>
  <c r="DU4" i="14"/>
  <c r="DQ4" i="19"/>
  <c r="DT7" i="14"/>
  <c r="DP7" i="19"/>
  <c r="DN5" i="18"/>
  <c r="DN8" i="18" s="1"/>
  <c r="DO8" i="17"/>
  <c r="DQ6" i="16"/>
  <c r="DP4" i="17"/>
  <c r="DO4" i="18" s="1"/>
  <c r="DN29" i="5"/>
  <c r="DD169" i="11"/>
  <c r="DP27" i="6"/>
  <c r="DO23" i="5"/>
  <c r="DP29" i="6"/>
  <c r="DO25" i="5"/>
  <c r="DP28" i="6"/>
  <c r="DO24" i="5"/>
  <c r="DO69" i="5"/>
  <c r="DN187" i="11"/>
  <c r="DO184" i="11" s="1"/>
  <c r="DN31" i="5"/>
  <c r="DC167" i="11"/>
  <c r="DB19" i="15" s="1"/>
  <c r="DC27" i="5"/>
  <c r="DP54" i="4"/>
  <c r="DP52" i="4"/>
  <c r="DP55" i="4"/>
  <c r="DP53" i="4"/>
  <c r="DP32" i="6"/>
  <c r="DO170" i="11"/>
  <c r="DO185" i="11"/>
  <c r="DP35" i="6"/>
  <c r="DP33" i="6"/>
  <c r="DO175" i="11"/>
  <c r="DO176" i="11" s="1"/>
  <c r="DP36" i="6"/>
  <c r="DO190" i="11"/>
  <c r="DO191" i="11" s="1"/>
  <c r="DO166" i="11"/>
  <c r="DP31" i="6"/>
  <c r="DO145" i="11"/>
  <c r="DO214" i="11"/>
  <c r="DQ36" i="10"/>
  <c r="DP11" i="6"/>
  <c r="DO10" i="5"/>
  <c r="DP10" i="10"/>
  <c r="DQ5" i="4"/>
  <c r="DR5" i="6"/>
  <c r="DR4" i="10"/>
  <c r="DQ7" i="6"/>
  <c r="DQ6" i="10"/>
  <c r="DP6" i="5"/>
  <c r="DO11" i="5"/>
  <c r="DP12" i="6"/>
  <c r="DP11" i="10"/>
  <c r="DP7" i="5"/>
  <c r="DQ7" i="10"/>
  <c r="DQ8" i="6"/>
  <c r="DP10" i="6"/>
  <c r="DP9" i="10"/>
  <c r="DO9" i="5"/>
  <c r="DP44" i="4"/>
  <c r="DP8" i="4" s="1"/>
  <c r="DQ8" i="2" s="1"/>
  <c r="DP48" i="4"/>
  <c r="DP20" i="4"/>
  <c r="DP50" i="4"/>
  <c r="DP42" i="4"/>
  <c r="DP36" i="4"/>
  <c r="DP29" i="4"/>
  <c r="DP24" i="4"/>
  <c r="DP41" i="4"/>
  <c r="DP35" i="4"/>
  <c r="DP18" i="4"/>
  <c r="DP30" i="4"/>
  <c r="DP16" i="4"/>
  <c r="DP22" i="4"/>
  <c r="DP23" i="4"/>
  <c r="DQ47" i="10" s="1"/>
  <c r="DP17" i="4"/>
  <c r="DP43" i="4"/>
  <c r="DP51" i="4"/>
  <c r="DP37" i="4"/>
  <c r="DP38" i="4" s="1"/>
  <c r="DP39" i="4" s="1"/>
  <c r="DP31" i="4"/>
  <c r="DP32" i="4" s="1"/>
  <c r="DP33" i="4" s="1"/>
  <c r="DP21" i="4"/>
  <c r="DP5" i="11"/>
  <c r="DP14" i="11" s="1"/>
  <c r="DP13" i="5"/>
  <c r="DP231" i="11" s="1"/>
  <c r="DP245" i="11" l="1"/>
  <c r="DP235" i="11"/>
  <c r="DQ24" i="10"/>
  <c r="DQ29" i="6" s="1"/>
  <c r="DQ21" i="6"/>
  <c r="DQ19" i="10" s="1"/>
  <c r="DO250" i="11"/>
  <c r="DO251" i="11" s="1"/>
  <c r="DO252" i="11" s="1"/>
  <c r="DP249" i="11" s="1"/>
  <c r="DO247" i="11"/>
  <c r="DP244" i="11" s="1"/>
  <c r="DP67" i="11"/>
  <c r="DP101" i="5" s="1"/>
  <c r="DP72" i="11"/>
  <c r="DP106" i="5" s="1"/>
  <c r="DE18" i="11"/>
  <c r="DE70" i="5" s="1"/>
  <c r="DE68" i="5" s="1"/>
  <c r="DO197" i="11"/>
  <c r="DP194" i="11" s="1"/>
  <c r="DO107" i="11"/>
  <c r="DP104" i="11" s="1"/>
  <c r="DO42" i="5"/>
  <c r="DO112" i="11"/>
  <c r="DP109" i="11" s="1"/>
  <c r="DO43" i="5"/>
  <c r="DO34" i="11"/>
  <c r="DP31" i="11" s="1"/>
  <c r="DP110" i="11" s="1"/>
  <c r="DQ49" i="6" s="1"/>
  <c r="DO79" i="5"/>
  <c r="DO77" i="5" s="1"/>
  <c r="DO29" i="11"/>
  <c r="DP26" i="11" s="1"/>
  <c r="DP105" i="11" s="1"/>
  <c r="DQ48" i="6" s="1"/>
  <c r="DO76" i="5"/>
  <c r="DO74" i="5" s="1"/>
  <c r="DP32" i="11"/>
  <c r="DO82" i="5"/>
  <c r="DO80" i="5" s="1"/>
  <c r="DQ31" i="10"/>
  <c r="DP37" i="11"/>
  <c r="DP81" i="5" s="1"/>
  <c r="DP27" i="11"/>
  <c r="DP75" i="5" s="1"/>
  <c r="DT88" i="14"/>
  <c r="DQ22" i="2"/>
  <c r="DQ21" i="2"/>
  <c r="DQ24" i="2"/>
  <c r="DQ25" i="2"/>
  <c r="DQ30" i="2"/>
  <c r="DQ23" i="2"/>
  <c r="DO11" i="11"/>
  <c r="DN11" i="15"/>
  <c r="DQ4" i="11"/>
  <c r="DP6" i="11"/>
  <c r="DO6" i="15"/>
  <c r="DO9" i="11"/>
  <c r="DN9" i="15"/>
  <c r="DQ5" i="5"/>
  <c r="DR5" i="2"/>
  <c r="DR14" i="2" s="1"/>
  <c r="DP7" i="11"/>
  <c r="DO7" i="15"/>
  <c r="DO10" i="11"/>
  <c r="DN10" i="15"/>
  <c r="DP57" i="11"/>
  <c r="DP90" i="5" s="1"/>
  <c r="DP87" i="11"/>
  <c r="DP88" i="11" s="1"/>
  <c r="DU5" i="14"/>
  <c r="DU15" i="14" s="1"/>
  <c r="DQ5" i="19"/>
  <c r="DT8" i="14"/>
  <c r="DP8" i="19"/>
  <c r="DP5" i="17"/>
  <c r="DQ10" i="16"/>
  <c r="DQ54" i="16" s="1"/>
  <c r="DQ80" i="16" s="1"/>
  <c r="DR5" i="16"/>
  <c r="DD171" i="11"/>
  <c r="DD28" i="5" s="1"/>
  <c r="DD164" i="11"/>
  <c r="DQ25" i="6"/>
  <c r="DP35" i="5" s="1"/>
  <c r="DO186" i="11"/>
  <c r="DO31" i="5" s="1"/>
  <c r="DQ41" i="6"/>
  <c r="DP195" i="11" s="1"/>
  <c r="DO192" i="11"/>
  <c r="DP189" i="11" s="1"/>
  <c r="DO32" i="5"/>
  <c r="DO177" i="11"/>
  <c r="DP174" i="11" s="1"/>
  <c r="DO29" i="5"/>
  <c r="DD165" i="11"/>
  <c r="DQ50" i="10"/>
  <c r="DO157" i="11"/>
  <c r="DQ45" i="10"/>
  <c r="DQ49" i="10"/>
  <c r="DQ25" i="10"/>
  <c r="DQ28" i="10"/>
  <c r="DQ26" i="10"/>
  <c r="DQ27" i="10"/>
  <c r="DQ44" i="10"/>
  <c r="DQ22" i="10"/>
  <c r="DQ46" i="10"/>
  <c r="DQ30" i="10"/>
  <c r="DQ23" i="10"/>
  <c r="DQ52" i="10"/>
  <c r="DQ53" i="10"/>
  <c r="DQ48" i="10"/>
  <c r="DQ14" i="4"/>
  <c r="DQ7" i="4"/>
  <c r="DR4" i="4"/>
  <c r="DQ6" i="4"/>
  <c r="DR6" i="6"/>
  <c r="DR13" i="6" s="1"/>
  <c r="DR5" i="10"/>
  <c r="DR14" i="10" s="1"/>
  <c r="DP97" i="11"/>
  <c r="DP17" i="11"/>
  <c r="DQ8" i="10"/>
  <c r="DQ9" i="6"/>
  <c r="DP8" i="5"/>
  <c r="DP46" i="4"/>
  <c r="DP10" i="4" s="1"/>
  <c r="DQ10" i="2" s="1"/>
  <c r="DP47" i="4"/>
  <c r="DP11" i="4" s="1"/>
  <c r="DQ11" i="2" s="1"/>
  <c r="DP45" i="4"/>
  <c r="DP9" i="4" s="1"/>
  <c r="DQ9" i="2" s="1"/>
  <c r="DP27" i="4"/>
  <c r="DP25" i="4"/>
  <c r="DP26" i="4"/>
  <c r="DQ137" i="5" l="1"/>
  <c r="DQ138" i="5"/>
  <c r="DP25" i="5"/>
  <c r="DO68" i="11"/>
  <c r="DO102" i="5" s="1"/>
  <c r="DO27" i="19" s="1"/>
  <c r="DP250" i="11"/>
  <c r="DP251" i="11" s="1"/>
  <c r="DP252" i="11" s="1"/>
  <c r="DQ249" i="11" s="1"/>
  <c r="DE19" i="11"/>
  <c r="DF16" i="11" s="1"/>
  <c r="DQ81" i="16"/>
  <c r="DP196" i="11"/>
  <c r="DR16" i="6"/>
  <c r="DR60" i="6" s="1"/>
  <c r="DP28" i="11"/>
  <c r="DP76" i="5" s="1"/>
  <c r="DP74" i="5" s="1"/>
  <c r="DP33" i="11"/>
  <c r="DP78" i="5"/>
  <c r="DP111" i="11"/>
  <c r="DP106" i="11"/>
  <c r="DP38" i="11"/>
  <c r="DP39" i="11" s="1"/>
  <c r="DQ36" i="11" s="1"/>
  <c r="DU99" i="14"/>
  <c r="DQ6" i="5"/>
  <c r="DP6" i="15" s="1"/>
  <c r="DR6" i="2"/>
  <c r="DR4" i="5"/>
  <c r="DQ4" i="15" s="1"/>
  <c r="DS4" i="2"/>
  <c r="DP8" i="11"/>
  <c r="DO8" i="15"/>
  <c r="DQ7" i="5"/>
  <c r="DP7" i="15" s="1"/>
  <c r="DR7" i="2"/>
  <c r="DQ13" i="5"/>
  <c r="DQ231" i="11" s="1"/>
  <c r="DP5" i="15"/>
  <c r="DP13" i="15" s="1"/>
  <c r="DU104" i="14"/>
  <c r="DP140" i="11"/>
  <c r="DP61" i="19"/>
  <c r="DQ13" i="19"/>
  <c r="DO187" i="11"/>
  <c r="DP184" i="11" s="1"/>
  <c r="DT10" i="14"/>
  <c r="DP10" i="19"/>
  <c r="DT9" i="14"/>
  <c r="DP9" i="19"/>
  <c r="DT11" i="14"/>
  <c r="DP11" i="19"/>
  <c r="DU6" i="14"/>
  <c r="DQ6" i="19"/>
  <c r="DU7" i="14"/>
  <c r="DQ7" i="19"/>
  <c r="DV4" i="14"/>
  <c r="DR4" i="19"/>
  <c r="DR6" i="16"/>
  <c r="DQ4" i="17"/>
  <c r="DP4" i="18" s="1"/>
  <c r="DP8" i="17"/>
  <c r="DO5" i="18"/>
  <c r="DO8" i="18" s="1"/>
  <c r="DD172" i="11"/>
  <c r="DQ28" i="6"/>
  <c r="DP24" i="5"/>
  <c r="DQ27" i="6"/>
  <c r="DP23" i="5"/>
  <c r="DQ30" i="6"/>
  <c r="DP26" i="5"/>
  <c r="DP69" i="5"/>
  <c r="DD167" i="11"/>
  <c r="DC19" i="15" s="1"/>
  <c r="DD27" i="5"/>
  <c r="DQ55" i="4"/>
  <c r="DQ53" i="4"/>
  <c r="DQ54" i="4"/>
  <c r="DQ52" i="4"/>
  <c r="DQ36" i="6"/>
  <c r="DP190" i="11"/>
  <c r="DP191" i="11" s="1"/>
  <c r="DQ35" i="6"/>
  <c r="DP185" i="11"/>
  <c r="DQ32" i="6"/>
  <c r="DP170" i="11"/>
  <c r="DQ31" i="6"/>
  <c r="DP166" i="11"/>
  <c r="DQ33" i="6"/>
  <c r="DP175" i="11"/>
  <c r="DP176" i="11" s="1"/>
  <c r="DP145" i="11"/>
  <c r="DP214" i="11"/>
  <c r="DR36" i="10"/>
  <c r="DQ9" i="10"/>
  <c r="DP9" i="5"/>
  <c r="DQ10" i="6"/>
  <c r="DQ11" i="6"/>
  <c r="DP10" i="5"/>
  <c r="DQ10" i="10"/>
  <c r="DR5" i="4"/>
  <c r="DS5" i="6"/>
  <c r="DS4" i="10"/>
  <c r="DQ5" i="11"/>
  <c r="DQ14" i="11" s="1"/>
  <c r="DQ12" i="6"/>
  <c r="DQ11" i="10"/>
  <c r="DP11" i="5"/>
  <c r="DR7" i="6"/>
  <c r="DR6" i="10"/>
  <c r="DR7" i="10"/>
  <c r="DR8" i="6"/>
  <c r="DQ44" i="4"/>
  <c r="DQ8" i="4" s="1"/>
  <c r="DQ16" i="4"/>
  <c r="DQ43" i="4"/>
  <c r="DQ30" i="4"/>
  <c r="DQ42" i="4"/>
  <c r="DQ20" i="4"/>
  <c r="DQ50" i="4"/>
  <c r="DQ29" i="4"/>
  <c r="DQ31" i="4"/>
  <c r="DQ32" i="4" s="1"/>
  <c r="DQ33" i="4" s="1"/>
  <c r="DQ37" i="4"/>
  <c r="DQ38" i="4" s="1"/>
  <c r="DQ39" i="4" s="1"/>
  <c r="DQ35" i="4"/>
  <c r="DQ51" i="4"/>
  <c r="DQ23" i="4"/>
  <c r="DR52" i="10" s="1"/>
  <c r="DQ22" i="4"/>
  <c r="DQ24" i="4"/>
  <c r="DQ21" i="4"/>
  <c r="DQ41" i="4"/>
  <c r="DQ36" i="4"/>
  <c r="DQ48" i="4"/>
  <c r="DQ17" i="4"/>
  <c r="DQ18" i="4"/>
  <c r="DQ245" i="11" l="1"/>
  <c r="DQ235" i="11"/>
  <c r="DR24" i="10"/>
  <c r="DQ25" i="5" s="1"/>
  <c r="DR21" i="6"/>
  <c r="DR19" i="10" s="1"/>
  <c r="DD31" i="15"/>
  <c r="DP246" i="11"/>
  <c r="DQ72" i="11"/>
  <c r="DQ106" i="5" s="1"/>
  <c r="DQ67" i="11"/>
  <c r="DQ101" i="5" s="1"/>
  <c r="DF18" i="11"/>
  <c r="DF70" i="5" s="1"/>
  <c r="DF68" i="5" s="1"/>
  <c r="DP39" i="5"/>
  <c r="DP197" i="11"/>
  <c r="DQ194" i="11" s="1"/>
  <c r="DP29" i="11"/>
  <c r="DQ26" i="11" s="1"/>
  <c r="DQ105" i="11" s="1"/>
  <c r="DR48" i="6" s="1"/>
  <c r="DP82" i="5"/>
  <c r="DP80" i="5" s="1"/>
  <c r="DP107" i="11"/>
  <c r="DQ104" i="11" s="1"/>
  <c r="DP42" i="5"/>
  <c r="DP112" i="11"/>
  <c r="DQ109" i="11" s="1"/>
  <c r="DP43" i="5"/>
  <c r="DP34" i="11"/>
  <c r="DQ31" i="11" s="1"/>
  <c r="DQ110" i="11" s="1"/>
  <c r="DR49" i="6" s="1"/>
  <c r="DP79" i="5"/>
  <c r="DP77" i="5" s="1"/>
  <c r="DQ32" i="11"/>
  <c r="DU88" i="14"/>
  <c r="DR31" i="10"/>
  <c r="DQ37" i="11"/>
  <c r="DQ81" i="5" s="1"/>
  <c r="DQ27" i="11"/>
  <c r="DQ6" i="11"/>
  <c r="DQ7" i="11"/>
  <c r="DR4" i="11"/>
  <c r="DR5" i="5"/>
  <c r="DS5" i="2"/>
  <c r="DS14" i="2" s="1"/>
  <c r="DP11" i="11"/>
  <c r="DO11" i="15"/>
  <c r="DR24" i="2"/>
  <c r="DR21" i="2"/>
  <c r="DR22" i="2"/>
  <c r="DR23" i="2"/>
  <c r="DR30" i="2"/>
  <c r="DR25" i="2"/>
  <c r="DP10" i="11"/>
  <c r="DO10" i="15"/>
  <c r="DP9" i="11"/>
  <c r="DO9" i="15"/>
  <c r="DQ8" i="5"/>
  <c r="DP8" i="15" s="1"/>
  <c r="DR8" i="2"/>
  <c r="DP186" i="11"/>
  <c r="DP31" i="5" s="1"/>
  <c r="DQ57" i="11"/>
  <c r="DQ90" i="5" s="1"/>
  <c r="DQ87" i="11"/>
  <c r="DV5" i="14"/>
  <c r="DV15" i="14" s="1"/>
  <c r="DR5" i="19"/>
  <c r="DU8" i="14"/>
  <c r="DQ8" i="19"/>
  <c r="DQ5" i="17"/>
  <c r="DR10" i="16"/>
  <c r="DR54" i="16" s="1"/>
  <c r="DR80" i="16" s="1"/>
  <c r="DS5" i="16"/>
  <c r="DE169" i="11"/>
  <c r="DE164" i="11"/>
  <c r="DR41" i="6"/>
  <c r="DQ195" i="11" s="1"/>
  <c r="DR25" i="6"/>
  <c r="DQ35" i="5" s="1"/>
  <c r="DP177" i="11"/>
  <c r="DQ174" i="11" s="1"/>
  <c r="DP29" i="5"/>
  <c r="DP192" i="11"/>
  <c r="DQ189" i="11" s="1"/>
  <c r="DP32" i="5"/>
  <c r="DE165" i="11"/>
  <c r="DP157" i="11"/>
  <c r="DR47" i="10"/>
  <c r="DR48" i="10"/>
  <c r="DR44" i="10"/>
  <c r="DR22" i="10"/>
  <c r="DQ23" i="5" s="1"/>
  <c r="DR27" i="10"/>
  <c r="DR50" i="10"/>
  <c r="DR23" i="10"/>
  <c r="DQ24" i="5" s="1"/>
  <c r="DR53" i="10"/>
  <c r="DR30" i="10"/>
  <c r="DR25" i="10"/>
  <c r="DQ26" i="5" s="1"/>
  <c r="DR45" i="10"/>
  <c r="DR26" i="10"/>
  <c r="DR49" i="10"/>
  <c r="DR28" i="10"/>
  <c r="DR46" i="10"/>
  <c r="DR8" i="10"/>
  <c r="DR9" i="6"/>
  <c r="DQ97" i="11"/>
  <c r="DQ17" i="11"/>
  <c r="DQ69" i="5" s="1"/>
  <c r="DQ26" i="4"/>
  <c r="DQ27" i="4"/>
  <c r="DQ46" i="4"/>
  <c r="DQ10" i="4" s="1"/>
  <c r="DQ25" i="4"/>
  <c r="DQ47" i="4"/>
  <c r="DQ11" i="4" s="1"/>
  <c r="DQ45" i="4"/>
  <c r="DQ9" i="4" s="1"/>
  <c r="DR14" i="4"/>
  <c r="DR6" i="4"/>
  <c r="DR7" i="4"/>
  <c r="DS4" i="4"/>
  <c r="DS6" i="6"/>
  <c r="DS13" i="6" s="1"/>
  <c r="DS5" i="10"/>
  <c r="DS14" i="10" s="1"/>
  <c r="DR137" i="5" l="1"/>
  <c r="DR138" i="5"/>
  <c r="DR29" i="6"/>
  <c r="DP247" i="11"/>
  <c r="DQ244" i="11" s="1"/>
  <c r="DP68" i="11"/>
  <c r="DP102" i="5" s="1"/>
  <c r="DP27" i="19" s="1"/>
  <c r="DF19" i="11"/>
  <c r="DG16" i="11" s="1"/>
  <c r="DQ196" i="11"/>
  <c r="DQ39" i="5" s="1"/>
  <c r="DR81" i="16"/>
  <c r="DS16" i="6"/>
  <c r="DS60" i="6" s="1"/>
  <c r="DQ33" i="11"/>
  <c r="DQ78" i="5"/>
  <c r="DQ28" i="11"/>
  <c r="DQ75" i="5"/>
  <c r="DQ111" i="11"/>
  <c r="DQ106" i="11"/>
  <c r="DQ38" i="11"/>
  <c r="DQ82" i="5" s="1"/>
  <c r="DQ80" i="5" s="1"/>
  <c r="DV104" i="14"/>
  <c r="DQ8" i="11"/>
  <c r="DS4" i="5"/>
  <c r="DR4" i="15" s="1"/>
  <c r="DT4" i="2"/>
  <c r="DR7" i="5"/>
  <c r="DQ7" i="15" s="1"/>
  <c r="DS7" i="2"/>
  <c r="DR6" i="5"/>
  <c r="DQ6" i="15" s="1"/>
  <c r="DS6" i="2"/>
  <c r="DR9" i="2"/>
  <c r="DQ9" i="5"/>
  <c r="DP9" i="15" s="1"/>
  <c r="DR11" i="2"/>
  <c r="DQ11" i="5"/>
  <c r="DP11" i="15" s="1"/>
  <c r="DQ10" i="5"/>
  <c r="DP10" i="15" s="1"/>
  <c r="DR10" i="2"/>
  <c r="DQ5" i="15"/>
  <c r="DQ13" i="15" s="1"/>
  <c r="DR13" i="5"/>
  <c r="DR231" i="11" s="1"/>
  <c r="DQ88" i="11"/>
  <c r="DP187" i="11"/>
  <c r="DQ184" i="11" s="1"/>
  <c r="DV99" i="14"/>
  <c r="DQ140" i="11"/>
  <c r="DQ61" i="19"/>
  <c r="DR13" i="19"/>
  <c r="DV7" i="14"/>
  <c r="DR7" i="19"/>
  <c r="DW4" i="14"/>
  <c r="DS4" i="19"/>
  <c r="DU9" i="14"/>
  <c r="DQ9" i="19"/>
  <c r="DU11" i="14"/>
  <c r="DQ11" i="19"/>
  <c r="DV6" i="14"/>
  <c r="DR6" i="19"/>
  <c r="DU10" i="14"/>
  <c r="DQ10" i="19"/>
  <c r="DS6" i="16"/>
  <c r="DR4" i="17"/>
  <c r="DQ4" i="18" s="1"/>
  <c r="DQ8" i="17"/>
  <c r="DP5" i="18"/>
  <c r="DP8" i="18" s="1"/>
  <c r="DE171" i="11"/>
  <c r="DE28" i="5" s="1"/>
  <c r="DR30" i="6"/>
  <c r="DR28" i="6"/>
  <c r="DR27" i="6"/>
  <c r="DE167" i="11"/>
  <c r="DD19" i="15" s="1"/>
  <c r="DE27" i="5"/>
  <c r="DR52" i="4"/>
  <c r="DR54" i="4"/>
  <c r="DR55" i="4"/>
  <c r="DR53" i="4"/>
  <c r="DR33" i="6"/>
  <c r="DQ175" i="11"/>
  <c r="DQ176" i="11" s="1"/>
  <c r="DQ29" i="5" s="1"/>
  <c r="DQ166" i="11"/>
  <c r="DR31" i="6"/>
  <c r="DR35" i="6"/>
  <c r="DQ185" i="11"/>
  <c r="DR32" i="6"/>
  <c r="DQ170" i="11"/>
  <c r="DR36" i="6"/>
  <c r="DQ190" i="11"/>
  <c r="DQ191" i="11" s="1"/>
  <c r="DQ32" i="5" s="1"/>
  <c r="DQ145" i="11"/>
  <c r="DQ214" i="11"/>
  <c r="DS36" i="10"/>
  <c r="DR10" i="6"/>
  <c r="DR9" i="10"/>
  <c r="DR44" i="4"/>
  <c r="DR8" i="4" s="1"/>
  <c r="DR30" i="4"/>
  <c r="DR23" i="4"/>
  <c r="DS47" i="10" s="1"/>
  <c r="DR37" i="4"/>
  <c r="DR38" i="4" s="1"/>
  <c r="DR39" i="4" s="1"/>
  <c r="DR18" i="4"/>
  <c r="DR22" i="4"/>
  <c r="DR31" i="4"/>
  <c r="DR32" i="4" s="1"/>
  <c r="DR33" i="4" s="1"/>
  <c r="DR51" i="4"/>
  <c r="DR29" i="4"/>
  <c r="DR20" i="4"/>
  <c r="DR16" i="4"/>
  <c r="DR35" i="4"/>
  <c r="DR42" i="4"/>
  <c r="DR24" i="4"/>
  <c r="DR17" i="4"/>
  <c r="DR48" i="4"/>
  <c r="DR21" i="4"/>
  <c r="DR43" i="4"/>
  <c r="DR36" i="4"/>
  <c r="DR50" i="4"/>
  <c r="DR41" i="4"/>
  <c r="DS8" i="6"/>
  <c r="DS7" i="10"/>
  <c r="DR10" i="10"/>
  <c r="DR11" i="6"/>
  <c r="DS6" i="10"/>
  <c r="DS7" i="6"/>
  <c r="DR11" i="10"/>
  <c r="DR12" i="6"/>
  <c r="DR5" i="11"/>
  <c r="DR14" i="11" s="1"/>
  <c r="DS5" i="4"/>
  <c r="DT5" i="6"/>
  <c r="DT4" i="10"/>
  <c r="DR245" i="11" l="1"/>
  <c r="DR235" i="11"/>
  <c r="DS25" i="10"/>
  <c r="DS21" i="6"/>
  <c r="DS19" i="10" s="1"/>
  <c r="DQ197" i="11"/>
  <c r="DR194" i="11" s="1"/>
  <c r="DQ246" i="11"/>
  <c r="DQ247" i="11" s="1"/>
  <c r="DR244" i="11" s="1"/>
  <c r="DQ250" i="11"/>
  <c r="DQ251" i="11" s="1"/>
  <c r="DQ252" i="11" s="1"/>
  <c r="DR249" i="11" s="1"/>
  <c r="DR72" i="11"/>
  <c r="DR106" i="5" s="1"/>
  <c r="DR67" i="11"/>
  <c r="DR101" i="5" s="1"/>
  <c r="DE31" i="15"/>
  <c r="DG18" i="11"/>
  <c r="DG70" i="5" s="1"/>
  <c r="DG68" i="5" s="1"/>
  <c r="DQ107" i="11"/>
  <c r="DR104" i="11" s="1"/>
  <c r="DQ42" i="5"/>
  <c r="DQ112" i="11"/>
  <c r="DR109" i="11" s="1"/>
  <c r="DQ43" i="5"/>
  <c r="DQ29" i="11"/>
  <c r="DR26" i="11" s="1"/>
  <c r="DR105" i="11" s="1"/>
  <c r="DS48" i="6" s="1"/>
  <c r="DQ76" i="5"/>
  <c r="DQ74" i="5" s="1"/>
  <c r="DQ39" i="11"/>
  <c r="DR36" i="11" s="1"/>
  <c r="DQ34" i="11"/>
  <c r="DR31" i="11" s="1"/>
  <c r="DR110" i="11" s="1"/>
  <c r="DS49" i="6" s="1"/>
  <c r="DQ79" i="5"/>
  <c r="DQ77" i="5" s="1"/>
  <c r="DR6" i="11"/>
  <c r="DR32" i="11"/>
  <c r="DS31" i="10"/>
  <c r="DR37" i="11"/>
  <c r="DR81" i="5" s="1"/>
  <c r="DR27" i="11"/>
  <c r="DV88" i="14"/>
  <c r="DS4" i="11"/>
  <c r="DQ9" i="11"/>
  <c r="DR7" i="11"/>
  <c r="DQ10" i="11"/>
  <c r="DS22" i="2"/>
  <c r="DS24" i="2"/>
  <c r="DS23" i="2"/>
  <c r="DS21" i="2"/>
  <c r="DS30" i="2"/>
  <c r="DS25" i="2"/>
  <c r="DR8" i="5"/>
  <c r="DQ8" i="15" s="1"/>
  <c r="DS8" i="2"/>
  <c r="DT5" i="2"/>
  <c r="DT14" i="2" s="1"/>
  <c r="DS5" i="5"/>
  <c r="DQ11" i="11"/>
  <c r="DR57" i="11"/>
  <c r="DR87" i="11"/>
  <c r="DW5" i="14"/>
  <c r="DW15" i="14" s="1"/>
  <c r="DS5" i="19"/>
  <c r="DV8" i="14"/>
  <c r="DR8" i="19"/>
  <c r="DS10" i="16"/>
  <c r="DS54" i="16" s="1"/>
  <c r="DS80" i="16" s="1"/>
  <c r="DT5" i="16"/>
  <c r="DR5" i="17"/>
  <c r="DE172" i="11"/>
  <c r="DF164" i="11"/>
  <c r="DS25" i="6"/>
  <c r="DR35" i="5" s="1"/>
  <c r="DS41" i="6"/>
  <c r="DR195" i="11" s="1"/>
  <c r="DQ192" i="11"/>
  <c r="DR189" i="11" s="1"/>
  <c r="DQ177" i="11"/>
  <c r="DR174" i="11" s="1"/>
  <c r="DQ186" i="11"/>
  <c r="DQ31" i="5" s="1"/>
  <c r="DF165" i="11"/>
  <c r="DQ157" i="11"/>
  <c r="DS49" i="10"/>
  <c r="DS30" i="10"/>
  <c r="DS24" i="10"/>
  <c r="DR25" i="5" s="1"/>
  <c r="DS22" i="10"/>
  <c r="DR23" i="5" s="1"/>
  <c r="DS48" i="10"/>
  <c r="DS44" i="10"/>
  <c r="DS53" i="10"/>
  <c r="DS27" i="10"/>
  <c r="DS52" i="10"/>
  <c r="DS23" i="10"/>
  <c r="DR24" i="5" s="1"/>
  <c r="DS26" i="10"/>
  <c r="DS45" i="10"/>
  <c r="DS50" i="10"/>
  <c r="DS46" i="10"/>
  <c r="DS28" i="10"/>
  <c r="DR45" i="4"/>
  <c r="DR9" i="4" s="1"/>
  <c r="DR26" i="4"/>
  <c r="DR47" i="4"/>
  <c r="DR11" i="4" s="1"/>
  <c r="DR25" i="4"/>
  <c r="DR46" i="4"/>
  <c r="DR10" i="4" s="1"/>
  <c r="DR27" i="4"/>
  <c r="DS9" i="6"/>
  <c r="DS8" i="10"/>
  <c r="DT4" i="4"/>
  <c r="DS6" i="4"/>
  <c r="DS14" i="4"/>
  <c r="DS7" i="4"/>
  <c r="DT6" i="6"/>
  <c r="DT13" i="6" s="1"/>
  <c r="DT5" i="10"/>
  <c r="DT14" i="10" s="1"/>
  <c r="DR97" i="11"/>
  <c r="DR17" i="11"/>
  <c r="DR69" i="5" s="1"/>
  <c r="DS138" i="5" l="1"/>
  <c r="DS137" i="5"/>
  <c r="DR26" i="5"/>
  <c r="DS30" i="6"/>
  <c r="DR196" i="11"/>
  <c r="DQ68" i="11"/>
  <c r="DQ102" i="5" s="1"/>
  <c r="DQ27" i="19" s="1"/>
  <c r="DG19" i="11"/>
  <c r="DF31" i="15" s="1"/>
  <c r="DS81" i="16"/>
  <c r="DT16" i="6"/>
  <c r="DT60" i="6" s="1"/>
  <c r="DR28" i="11"/>
  <c r="DR75" i="5"/>
  <c r="DR33" i="11"/>
  <c r="DR78" i="5"/>
  <c r="DR111" i="11"/>
  <c r="DR106" i="11"/>
  <c r="DR38" i="11"/>
  <c r="DR82" i="5" s="1"/>
  <c r="DR80" i="5" s="1"/>
  <c r="DW99" i="14"/>
  <c r="DR8" i="11"/>
  <c r="DS6" i="5"/>
  <c r="DR6" i="15" s="1"/>
  <c r="DT6" i="2"/>
  <c r="DT4" i="19"/>
  <c r="DU5" i="6"/>
  <c r="DU4" i="2"/>
  <c r="DT4" i="5"/>
  <c r="DS4" i="15" s="1"/>
  <c r="DS11" i="2"/>
  <c r="DR11" i="5"/>
  <c r="DQ11" i="15" s="1"/>
  <c r="DR9" i="5"/>
  <c r="DQ9" i="15" s="1"/>
  <c r="DS9" i="2"/>
  <c r="DR5" i="15"/>
  <c r="DR13" i="15" s="1"/>
  <c r="DS13" i="5"/>
  <c r="DS231" i="11" s="1"/>
  <c r="DR10" i="5"/>
  <c r="DQ10" i="15" s="1"/>
  <c r="DS10" i="2"/>
  <c r="DT7" i="2"/>
  <c r="DS7" i="5"/>
  <c r="DR7" i="15" s="1"/>
  <c r="DR90" i="5"/>
  <c r="DR88" i="11"/>
  <c r="DF169" i="11"/>
  <c r="DF171" i="11" s="1"/>
  <c r="DF28" i="5" s="1"/>
  <c r="DW104" i="14"/>
  <c r="DR140" i="11"/>
  <c r="DS13" i="19"/>
  <c r="DV10" i="14"/>
  <c r="DR10" i="19"/>
  <c r="DV11" i="14"/>
  <c r="DR11" i="19"/>
  <c r="DW7" i="14"/>
  <c r="DS7" i="19"/>
  <c r="DV9" i="14"/>
  <c r="DR9" i="19"/>
  <c r="DW6" i="14"/>
  <c r="DS6" i="19"/>
  <c r="DX4" i="14"/>
  <c r="DQ5" i="18"/>
  <c r="DQ8" i="18" s="1"/>
  <c r="DR8" i="17"/>
  <c r="DS4" i="17"/>
  <c r="DR4" i="18" s="1"/>
  <c r="DT6" i="16"/>
  <c r="DQ187" i="11"/>
  <c r="DR184" i="11" s="1"/>
  <c r="DS28" i="6"/>
  <c r="DS27" i="6"/>
  <c r="DS29" i="6"/>
  <c r="DF167" i="11"/>
  <c r="DE19" i="15" s="1"/>
  <c r="DF27" i="5"/>
  <c r="DS54" i="4"/>
  <c r="DS53" i="4"/>
  <c r="DS55" i="4"/>
  <c r="DS52" i="4"/>
  <c r="DR175" i="11"/>
  <c r="DR176" i="11" s="1"/>
  <c r="DR29" i="5" s="1"/>
  <c r="DS33" i="6"/>
  <c r="DS31" i="6"/>
  <c r="DR166" i="11"/>
  <c r="DS32" i="6"/>
  <c r="DR170" i="11"/>
  <c r="DS36" i="6"/>
  <c r="DR190" i="11"/>
  <c r="DR191" i="11" s="1"/>
  <c r="DR32" i="5" s="1"/>
  <c r="DR185" i="11"/>
  <c r="DS35" i="6"/>
  <c r="DR145" i="11"/>
  <c r="DR214" i="11"/>
  <c r="DT36" i="10"/>
  <c r="DT5" i="4"/>
  <c r="DU4" i="10"/>
  <c r="DS5" i="11"/>
  <c r="DS14" i="11" s="1"/>
  <c r="DT7" i="10"/>
  <c r="DT8" i="6"/>
  <c r="DS44" i="4"/>
  <c r="DS8" i="4" s="1"/>
  <c r="DS17" i="4"/>
  <c r="DS30" i="4"/>
  <c r="DS42" i="4"/>
  <c r="DS37" i="4"/>
  <c r="DS38" i="4" s="1"/>
  <c r="DS39" i="4" s="1"/>
  <c r="DS22" i="4"/>
  <c r="DS43" i="4"/>
  <c r="DS29" i="4"/>
  <c r="DS50" i="4"/>
  <c r="DS31" i="4"/>
  <c r="DS32" i="4" s="1"/>
  <c r="DS33" i="4" s="1"/>
  <c r="DS51" i="4"/>
  <c r="DS21" i="4"/>
  <c r="DS24" i="4"/>
  <c r="DS36" i="4"/>
  <c r="DS20" i="4"/>
  <c r="DS35" i="4"/>
  <c r="DS16" i="4"/>
  <c r="DS41" i="4"/>
  <c r="DS23" i="4"/>
  <c r="DT49" i="10" s="1"/>
  <c r="DS18" i="4"/>
  <c r="DS48" i="4"/>
  <c r="DT6" i="10"/>
  <c r="DT7" i="6"/>
  <c r="DS10" i="10"/>
  <c r="DS11" i="6"/>
  <c r="DS11" i="10"/>
  <c r="DS12" i="6"/>
  <c r="DS9" i="10"/>
  <c r="DS10" i="6"/>
  <c r="DR39" i="5" l="1"/>
  <c r="DR197" i="11"/>
  <c r="DS194" i="11" s="1"/>
  <c r="DS245" i="11"/>
  <c r="DS235" i="11"/>
  <c r="DT27" i="10"/>
  <c r="DT21" i="6"/>
  <c r="DT19" i="10" s="1"/>
  <c r="DR246" i="11"/>
  <c r="DR250" i="11"/>
  <c r="DR251" i="11" s="1"/>
  <c r="DR252" i="11" s="1"/>
  <c r="DS249" i="11" s="1"/>
  <c r="DS72" i="11"/>
  <c r="DS106" i="5" s="1"/>
  <c r="DS67" i="11"/>
  <c r="DS101" i="5" s="1"/>
  <c r="DH16" i="11"/>
  <c r="DH18" i="11" s="1"/>
  <c r="DH70" i="5" s="1"/>
  <c r="DH68" i="5" s="1"/>
  <c r="DR107" i="11"/>
  <c r="DS104" i="11" s="1"/>
  <c r="DR42" i="5"/>
  <c r="DR112" i="11"/>
  <c r="DS109" i="11" s="1"/>
  <c r="DR43" i="5"/>
  <c r="DR34" i="11"/>
  <c r="DS31" i="11" s="1"/>
  <c r="DS110" i="11" s="1"/>
  <c r="DT49" i="6" s="1"/>
  <c r="DR79" i="5"/>
  <c r="DR77" i="5" s="1"/>
  <c r="DR29" i="11"/>
  <c r="DS26" i="11" s="1"/>
  <c r="DS105" i="11" s="1"/>
  <c r="DT48" i="6" s="1"/>
  <c r="DR76" i="5"/>
  <c r="DR74" i="5" s="1"/>
  <c r="DS32" i="11"/>
  <c r="DR39" i="11"/>
  <c r="DS36" i="11" s="1"/>
  <c r="DT31" i="10"/>
  <c r="DS37" i="11"/>
  <c r="DS81" i="5" s="1"/>
  <c r="DS27" i="11"/>
  <c r="DW88" i="14"/>
  <c r="DS6" i="11"/>
  <c r="DR9" i="11"/>
  <c r="DR10" i="11"/>
  <c r="DS7" i="11"/>
  <c r="DT21" i="2"/>
  <c r="DT23" i="2"/>
  <c r="DT25" i="2"/>
  <c r="DT24" i="2"/>
  <c r="DT30" i="2"/>
  <c r="DT22" i="2"/>
  <c r="DR11" i="11"/>
  <c r="DT4" i="11"/>
  <c r="DT5" i="19"/>
  <c r="DU6" i="6"/>
  <c r="DU13" i="6" s="1"/>
  <c r="DU5" i="2"/>
  <c r="DU14" i="2" s="1"/>
  <c r="DT5" i="5"/>
  <c r="DS8" i="5"/>
  <c r="DR8" i="15" s="1"/>
  <c r="DT8" i="2"/>
  <c r="DR61" i="19"/>
  <c r="DS57" i="11"/>
  <c r="DS90" i="5" s="1"/>
  <c r="DS87" i="11"/>
  <c r="DX5" i="14"/>
  <c r="DX15" i="14" s="1"/>
  <c r="DW8" i="14"/>
  <c r="DS8" i="19"/>
  <c r="DU5" i="16"/>
  <c r="DT10" i="16"/>
  <c r="DT54" i="16" s="1"/>
  <c r="DT80" i="16" s="1"/>
  <c r="DS5" i="17"/>
  <c r="DF172" i="11"/>
  <c r="DR186" i="11"/>
  <c r="DR31" i="5" s="1"/>
  <c r="DG164" i="11"/>
  <c r="DT41" i="6"/>
  <c r="DS195" i="11" s="1"/>
  <c r="DT25" i="6"/>
  <c r="DS35" i="5" s="1"/>
  <c r="DR192" i="11"/>
  <c r="DS189" i="11" s="1"/>
  <c r="DR177" i="11"/>
  <c r="DS174" i="11" s="1"/>
  <c r="DG165" i="11"/>
  <c r="DT45" i="10"/>
  <c r="DR157" i="11"/>
  <c r="DT50" i="10"/>
  <c r="DT30" i="10"/>
  <c r="DT46" i="10"/>
  <c r="DT53" i="10"/>
  <c r="DT23" i="10"/>
  <c r="DS24" i="5" s="1"/>
  <c r="DT25" i="10"/>
  <c r="DS26" i="5" s="1"/>
  <c r="DT52" i="10"/>
  <c r="DT24" i="10"/>
  <c r="DS25" i="5" s="1"/>
  <c r="DT28" i="10"/>
  <c r="DT26" i="10"/>
  <c r="DT48" i="10"/>
  <c r="DT44" i="10"/>
  <c r="DT22" i="10"/>
  <c r="DS23" i="5" s="1"/>
  <c r="DT47" i="10"/>
  <c r="DS17" i="11"/>
  <c r="DS69" i="5" s="1"/>
  <c r="DS97" i="11"/>
  <c r="DT9" i="6"/>
  <c r="DT8" i="10"/>
  <c r="DS45" i="4"/>
  <c r="DS9" i="4" s="1"/>
  <c r="DS47" i="4"/>
  <c r="DS11" i="4" s="1"/>
  <c r="DS46" i="4"/>
  <c r="DS10" i="4" s="1"/>
  <c r="DS26" i="4"/>
  <c r="DS25" i="4"/>
  <c r="DS27" i="4"/>
  <c r="DT7" i="4"/>
  <c r="DT6" i="4"/>
  <c r="DU4" i="4"/>
  <c r="DT14" i="4"/>
  <c r="DU5" i="10"/>
  <c r="DU14" i="10" s="1"/>
  <c r="DT137" i="5" l="1"/>
  <c r="DT138" i="5"/>
  <c r="DS196" i="11"/>
  <c r="DS170" i="11"/>
  <c r="DT32" i="6"/>
  <c r="DT13" i="19"/>
  <c r="DR247" i="11"/>
  <c r="DS244" i="11" s="1"/>
  <c r="DR68" i="11"/>
  <c r="DR102" i="5" s="1"/>
  <c r="DR27" i="19" s="1"/>
  <c r="DH19" i="11"/>
  <c r="DG31" i="15" s="1"/>
  <c r="DT81" i="16"/>
  <c r="DU16" i="6"/>
  <c r="DU60" i="6" s="1"/>
  <c r="DS33" i="11"/>
  <c r="DS78" i="5"/>
  <c r="DS28" i="11"/>
  <c r="DS75" i="5"/>
  <c r="DS111" i="11"/>
  <c r="DS106" i="11"/>
  <c r="DS38" i="11"/>
  <c r="DS82" i="5" s="1"/>
  <c r="DS80" i="5" s="1"/>
  <c r="DS8" i="11"/>
  <c r="DX99" i="14"/>
  <c r="DS9" i="5"/>
  <c r="DR9" i="15" s="1"/>
  <c r="DT9" i="2"/>
  <c r="DS5" i="15"/>
  <c r="DS13" i="15" s="1"/>
  <c r="DT13" i="5"/>
  <c r="DT231" i="11" s="1"/>
  <c r="DT7" i="19"/>
  <c r="DU8" i="6"/>
  <c r="DT7" i="5"/>
  <c r="DS7" i="15" s="1"/>
  <c r="DU7" i="2"/>
  <c r="DU4" i="5"/>
  <c r="DV4" i="2"/>
  <c r="DU4" i="19"/>
  <c r="DV5" i="6"/>
  <c r="DS11" i="5"/>
  <c r="DR11" i="15" s="1"/>
  <c r="DT11" i="2"/>
  <c r="DU7" i="6"/>
  <c r="DT6" i="5"/>
  <c r="DS6" i="15" s="1"/>
  <c r="DT6" i="19"/>
  <c r="DU6" i="2"/>
  <c r="DS10" i="5"/>
  <c r="DR10" i="15" s="1"/>
  <c r="DT10" i="2"/>
  <c r="DS88" i="11"/>
  <c r="DG169" i="11"/>
  <c r="DG171" i="11" s="1"/>
  <c r="DG28" i="5" s="1"/>
  <c r="DX104" i="14"/>
  <c r="DS140" i="11"/>
  <c r="DS61" i="19"/>
  <c r="DW11" i="14"/>
  <c r="DS11" i="19"/>
  <c r="DW9" i="14"/>
  <c r="DS9" i="19"/>
  <c r="DW10" i="14"/>
  <c r="DS10" i="19"/>
  <c r="DX7" i="14"/>
  <c r="DY4" i="14"/>
  <c r="DX6" i="14"/>
  <c r="DR187" i="11"/>
  <c r="DS184" i="11" s="1"/>
  <c r="DS8" i="17"/>
  <c r="DR5" i="18"/>
  <c r="DR8" i="18" s="1"/>
  <c r="DT4" i="17"/>
  <c r="DS4" i="18" s="1"/>
  <c r="DU6" i="16"/>
  <c r="DT27" i="6"/>
  <c r="DT30" i="6"/>
  <c r="DT28" i="6"/>
  <c r="DT29" i="6"/>
  <c r="DG167" i="11"/>
  <c r="DF19" i="15" s="1"/>
  <c r="DG27" i="5"/>
  <c r="DT54" i="4"/>
  <c r="DT52" i="4"/>
  <c r="DT53" i="4"/>
  <c r="DT55" i="4"/>
  <c r="DT36" i="6"/>
  <c r="DS190" i="11"/>
  <c r="DS191" i="11" s="1"/>
  <c r="DS32" i="5" s="1"/>
  <c r="DT31" i="6"/>
  <c r="DS166" i="11"/>
  <c r="DT33" i="6"/>
  <c r="DS175" i="11"/>
  <c r="DS176" i="11" s="1"/>
  <c r="DS29" i="5" s="1"/>
  <c r="DT35" i="6"/>
  <c r="DS185" i="11"/>
  <c r="DS145" i="11"/>
  <c r="DS214" i="11"/>
  <c r="DU36" i="10"/>
  <c r="DT11" i="6"/>
  <c r="DT10" i="10"/>
  <c r="DT5" i="11"/>
  <c r="DT14" i="11" s="1"/>
  <c r="DU7" i="10"/>
  <c r="DT12" i="6"/>
  <c r="DT11" i="10"/>
  <c r="DT9" i="10"/>
  <c r="DT10" i="6"/>
  <c r="DT44" i="4"/>
  <c r="DT8" i="4" s="1"/>
  <c r="DT41" i="4"/>
  <c r="DT24" i="4"/>
  <c r="DT37" i="4"/>
  <c r="DT38" i="4" s="1"/>
  <c r="DT39" i="4" s="1"/>
  <c r="DT35" i="4"/>
  <c r="DT36" i="4"/>
  <c r="DT31" i="4"/>
  <c r="DT32" i="4" s="1"/>
  <c r="DT33" i="4" s="1"/>
  <c r="DT30" i="4"/>
  <c r="DT51" i="4"/>
  <c r="DT16" i="4"/>
  <c r="DT48" i="4"/>
  <c r="DT21" i="4"/>
  <c r="DT18" i="4"/>
  <c r="DT29" i="4"/>
  <c r="DT17" i="4"/>
  <c r="DT23" i="4"/>
  <c r="DT43" i="4"/>
  <c r="DT22" i="4"/>
  <c r="DT50" i="4"/>
  <c r="DT42" i="4"/>
  <c r="DT20" i="4"/>
  <c r="DU5" i="4"/>
  <c r="DV4" i="10"/>
  <c r="DU6" i="10"/>
  <c r="DS39" i="5" l="1"/>
  <c r="DS197" i="11"/>
  <c r="DT194" i="11" s="1"/>
  <c r="DT245" i="11"/>
  <c r="DT235" i="11"/>
  <c r="DU31" i="10"/>
  <c r="DU36" i="6" s="1"/>
  <c r="DU21" i="6"/>
  <c r="DU19" i="10" s="1"/>
  <c r="DS246" i="11"/>
  <c r="DS247" i="11" s="1"/>
  <c r="DT244" i="11" s="1"/>
  <c r="DI16" i="11"/>
  <c r="DI18" i="11" s="1"/>
  <c r="DI70" i="5" s="1"/>
  <c r="DI68" i="5" s="1"/>
  <c r="DS250" i="11"/>
  <c r="DS251" i="11" s="1"/>
  <c r="DS252" i="11" s="1"/>
  <c r="DT249" i="11" s="1"/>
  <c r="DT72" i="11"/>
  <c r="DT106" i="5" s="1"/>
  <c r="DT67" i="11"/>
  <c r="DT101" i="5" s="1"/>
  <c r="DS107" i="11"/>
  <c r="DT104" i="11" s="1"/>
  <c r="DS42" i="5"/>
  <c r="DS112" i="11"/>
  <c r="DT109" i="11" s="1"/>
  <c r="DS43" i="5"/>
  <c r="DS29" i="11"/>
  <c r="DT26" i="11" s="1"/>
  <c r="DT105" i="11" s="1"/>
  <c r="DU48" i="6" s="1"/>
  <c r="DS76" i="5"/>
  <c r="DS74" i="5" s="1"/>
  <c r="DS34" i="11"/>
  <c r="DT31" i="11" s="1"/>
  <c r="DT110" i="11" s="1"/>
  <c r="DU49" i="6" s="1"/>
  <c r="DS79" i="5"/>
  <c r="DS77" i="5" s="1"/>
  <c r="DS39" i="11"/>
  <c r="DT36" i="11" s="1"/>
  <c r="DT32" i="11"/>
  <c r="DT6" i="11"/>
  <c r="DS10" i="11"/>
  <c r="DT37" i="11"/>
  <c r="DT81" i="5" s="1"/>
  <c r="DT27" i="11"/>
  <c r="DX88" i="14"/>
  <c r="DS11" i="11"/>
  <c r="DS9" i="11"/>
  <c r="DT7" i="11"/>
  <c r="DU4" i="11"/>
  <c r="DT4" i="15"/>
  <c r="DU25" i="2"/>
  <c r="DU22" i="2"/>
  <c r="DU24" i="2"/>
  <c r="DU21" i="2"/>
  <c r="DU23" i="2"/>
  <c r="DU30" i="2"/>
  <c r="DT8" i="19"/>
  <c r="DU9" i="6"/>
  <c r="DT8" i="5"/>
  <c r="DS8" i="15" s="1"/>
  <c r="DU8" i="2"/>
  <c r="DV4" i="4"/>
  <c r="DV5" i="2"/>
  <c r="DV14" i="2" s="1"/>
  <c r="DV6" i="6"/>
  <c r="DV13" i="6" s="1"/>
  <c r="DU5" i="5"/>
  <c r="DU5" i="19"/>
  <c r="DU25" i="10"/>
  <c r="DU41" i="6"/>
  <c r="DT195" i="11" s="1"/>
  <c r="DT196" i="11" s="1"/>
  <c r="DT39" i="5" s="1"/>
  <c r="DU25" i="6"/>
  <c r="DT35" i="5" s="1"/>
  <c r="DT57" i="11"/>
  <c r="DT90" i="5" s="1"/>
  <c r="DT61" i="19" s="1"/>
  <c r="DT87" i="11"/>
  <c r="DX8" i="14"/>
  <c r="DY5" i="14"/>
  <c r="DY15" i="14" s="1"/>
  <c r="DS186" i="11"/>
  <c r="DS31" i="5" s="1"/>
  <c r="DU10" i="16"/>
  <c r="DU54" i="16" s="1"/>
  <c r="DU80" i="16" s="1"/>
  <c r="DV5" i="16"/>
  <c r="DT5" i="17"/>
  <c r="DG172" i="11"/>
  <c r="DH164" i="11"/>
  <c r="DS177" i="11"/>
  <c r="DT174" i="11" s="1"/>
  <c r="DS192" i="11"/>
  <c r="DT189" i="11" s="1"/>
  <c r="DH165" i="11"/>
  <c r="DU24" i="10"/>
  <c r="DU27" i="10"/>
  <c r="DU32" i="6" s="1"/>
  <c r="DU30" i="10"/>
  <c r="DU35" i="6" s="1"/>
  <c r="DS157" i="11"/>
  <c r="DU49" i="10"/>
  <c r="DU48" i="10"/>
  <c r="DU46" i="10"/>
  <c r="DU28" i="10"/>
  <c r="DU33" i="6" s="1"/>
  <c r="DU52" i="10"/>
  <c r="DU23" i="10"/>
  <c r="DU45" i="10"/>
  <c r="DU44" i="10"/>
  <c r="DU22" i="10"/>
  <c r="DU47" i="10"/>
  <c r="DU26" i="10"/>
  <c r="DU31" i="6" s="1"/>
  <c r="DU50" i="10"/>
  <c r="DU53" i="10"/>
  <c r="DU8" i="10"/>
  <c r="DT25" i="4"/>
  <c r="DT27" i="4"/>
  <c r="DT26" i="4"/>
  <c r="DT46" i="4"/>
  <c r="DT10" i="4" s="1"/>
  <c r="DT45" i="4"/>
  <c r="DT9" i="4" s="1"/>
  <c r="DT47" i="4"/>
  <c r="DT11" i="4" s="1"/>
  <c r="DU6" i="4"/>
  <c r="DU7" i="4"/>
  <c r="DU14" i="4"/>
  <c r="DV5" i="10"/>
  <c r="DV14" i="10" s="1"/>
  <c r="DT97" i="11"/>
  <c r="DT17" i="11"/>
  <c r="DT69" i="5" s="1"/>
  <c r="DU138" i="5" l="1"/>
  <c r="DU137" i="5"/>
  <c r="DU13" i="19"/>
  <c r="DS68" i="11"/>
  <c r="DS102" i="5" s="1"/>
  <c r="DS27" i="19" s="1"/>
  <c r="DT246" i="11"/>
  <c r="DI19" i="11"/>
  <c r="DJ16" i="11" s="1"/>
  <c r="DU81" i="16"/>
  <c r="DV16" i="6"/>
  <c r="DV60" i="6" s="1"/>
  <c r="DT33" i="11"/>
  <c r="DT78" i="5"/>
  <c r="DT28" i="11"/>
  <c r="DT76" i="5" s="1"/>
  <c r="DT75" i="5"/>
  <c r="DT111" i="11"/>
  <c r="DT106" i="11"/>
  <c r="DT38" i="11"/>
  <c r="DT82" i="5" s="1"/>
  <c r="DT80" i="5" s="1"/>
  <c r="DT8" i="11"/>
  <c r="DY99" i="14"/>
  <c r="DU10" i="6"/>
  <c r="DU9" i="2"/>
  <c r="DT9" i="19"/>
  <c r="DT9" i="5"/>
  <c r="DS9" i="15" s="1"/>
  <c r="DU7" i="5"/>
  <c r="DU7" i="19"/>
  <c r="DV7" i="2"/>
  <c r="DV8" i="6"/>
  <c r="DT5" i="15"/>
  <c r="DT13" i="15" s="1"/>
  <c r="DU5" i="11"/>
  <c r="DU14" i="11" s="1"/>
  <c r="DU13" i="5"/>
  <c r="DU231" i="11" s="1"/>
  <c r="DT10" i="19"/>
  <c r="DT10" i="5"/>
  <c r="DT10" i="11" s="1"/>
  <c r="DU11" i="6"/>
  <c r="DU10" i="2"/>
  <c r="DV5" i="4"/>
  <c r="DW4" i="2"/>
  <c r="DW5" i="6"/>
  <c r="DV4" i="5"/>
  <c r="DV4" i="19"/>
  <c r="DZ4" i="14"/>
  <c r="DW4" i="10"/>
  <c r="DY104" i="14"/>
  <c r="DU6" i="19"/>
  <c r="DV6" i="2"/>
  <c r="DU6" i="5"/>
  <c r="DV7" i="6"/>
  <c r="DT11" i="19"/>
  <c r="DU12" i="6"/>
  <c r="DT11" i="5"/>
  <c r="DS11" i="15" s="1"/>
  <c r="DU11" i="2"/>
  <c r="DU28" i="6"/>
  <c r="DT24" i="5"/>
  <c r="DT26" i="5"/>
  <c r="DU30" i="6"/>
  <c r="DU27" i="6"/>
  <c r="DT23" i="5"/>
  <c r="DT25" i="5"/>
  <c r="DU29" i="6"/>
  <c r="DT88" i="11"/>
  <c r="DH169" i="11"/>
  <c r="DH171" i="11" s="1"/>
  <c r="DH28" i="5" s="1"/>
  <c r="DT140" i="11"/>
  <c r="DS187" i="11"/>
  <c r="DT184" i="11" s="1"/>
  <c r="DX10" i="14"/>
  <c r="DY7" i="14"/>
  <c r="DY6" i="14"/>
  <c r="DX11" i="14"/>
  <c r="DX9" i="14"/>
  <c r="DS5" i="18"/>
  <c r="DS8" i="18" s="1"/>
  <c r="DT8" i="17"/>
  <c r="DV6" i="16"/>
  <c r="DU4" i="17"/>
  <c r="DT4" i="18" s="1"/>
  <c r="DT197" i="11"/>
  <c r="DU194" i="11" s="1"/>
  <c r="DH167" i="11"/>
  <c r="DG19" i="15" s="1"/>
  <c r="DH27" i="5"/>
  <c r="DU55" i="4"/>
  <c r="DU53" i="4"/>
  <c r="DU52" i="4"/>
  <c r="DU54" i="4"/>
  <c r="DT166" i="11"/>
  <c r="DT190" i="11"/>
  <c r="DT191" i="11" s="1"/>
  <c r="DT32" i="5" s="1"/>
  <c r="DT175" i="11"/>
  <c r="DT176" i="11" s="1"/>
  <c r="DT29" i="5" s="1"/>
  <c r="DT185" i="11"/>
  <c r="DT170" i="11"/>
  <c r="DT145" i="11"/>
  <c r="DT214" i="11"/>
  <c r="DV36" i="10"/>
  <c r="DU11" i="10"/>
  <c r="DU10" i="10"/>
  <c r="DU9" i="10"/>
  <c r="DU44" i="4"/>
  <c r="DU8" i="4" s="1"/>
  <c r="DU18" i="4"/>
  <c r="DU30" i="4"/>
  <c r="DU16" i="4"/>
  <c r="DU51" i="4"/>
  <c r="DU35" i="4"/>
  <c r="DU21" i="4"/>
  <c r="DU22" i="4"/>
  <c r="DV21" i="6" s="1"/>
  <c r="DV19" i="10" s="1"/>
  <c r="DU17" i="4"/>
  <c r="DU20" i="4"/>
  <c r="DU24" i="4"/>
  <c r="DU29" i="4"/>
  <c r="DU48" i="4"/>
  <c r="DU37" i="4"/>
  <c r="DU38" i="4" s="1"/>
  <c r="DU39" i="4" s="1"/>
  <c r="DU50" i="4"/>
  <c r="DU23" i="4"/>
  <c r="DV49" i="10" s="1"/>
  <c r="DU42" i="4"/>
  <c r="DU36" i="4"/>
  <c r="DU31" i="4"/>
  <c r="DU32" i="4" s="1"/>
  <c r="DU33" i="4" s="1"/>
  <c r="DU41" i="4"/>
  <c r="DU43" i="4"/>
  <c r="DV7" i="10"/>
  <c r="DV6" i="10"/>
  <c r="DU245" i="11" l="1"/>
  <c r="DU235" i="11"/>
  <c r="DT247" i="11"/>
  <c r="DU244" i="11" s="1"/>
  <c r="DT250" i="11"/>
  <c r="DT251" i="11" s="1"/>
  <c r="DT252" i="11" s="1"/>
  <c r="DU249" i="11" s="1"/>
  <c r="DH31" i="15"/>
  <c r="DU72" i="11"/>
  <c r="DU106" i="5" s="1"/>
  <c r="DU67" i="11"/>
  <c r="DU101" i="5" s="1"/>
  <c r="DJ18" i="11"/>
  <c r="DJ70" i="5" s="1"/>
  <c r="DJ68" i="5" s="1"/>
  <c r="DT107" i="11"/>
  <c r="DU104" i="11" s="1"/>
  <c r="DT42" i="5"/>
  <c r="DT112" i="11"/>
  <c r="DU109" i="11" s="1"/>
  <c r="DT43" i="5"/>
  <c r="DT74" i="5"/>
  <c r="DT29" i="11"/>
  <c r="DU26" i="11" s="1"/>
  <c r="DU105" i="11" s="1"/>
  <c r="DV48" i="6" s="1"/>
  <c r="DT39" i="11"/>
  <c r="DU36" i="11" s="1"/>
  <c r="DT34" i="11"/>
  <c r="DU31" i="11" s="1"/>
  <c r="DU110" i="11" s="1"/>
  <c r="DV49" i="6" s="1"/>
  <c r="DT79" i="5"/>
  <c r="DT77" i="5" s="1"/>
  <c r="DU32" i="11"/>
  <c r="DV31" i="10"/>
  <c r="DY88" i="14"/>
  <c r="DU27" i="11"/>
  <c r="DT9" i="11"/>
  <c r="DU97" i="11"/>
  <c r="DU37" i="11"/>
  <c r="DU81" i="5" s="1"/>
  <c r="DU87" i="11"/>
  <c r="DU17" i="11"/>
  <c r="DU69" i="5" s="1"/>
  <c r="DU57" i="11"/>
  <c r="DU90" i="5" s="1"/>
  <c r="DU61" i="19" s="1"/>
  <c r="DU4" i="15"/>
  <c r="DV4" i="11"/>
  <c r="DT7" i="15"/>
  <c r="DU7" i="11"/>
  <c r="DU8" i="19"/>
  <c r="DU8" i="5"/>
  <c r="DV8" i="2"/>
  <c r="DV9" i="6"/>
  <c r="DV5" i="19"/>
  <c r="DW5" i="2"/>
  <c r="DW14" i="2" s="1"/>
  <c r="DV5" i="5"/>
  <c r="DW6" i="6"/>
  <c r="DW13" i="6" s="1"/>
  <c r="DW5" i="10"/>
  <c r="DW14" i="10" s="1"/>
  <c r="DZ5" i="14"/>
  <c r="DZ15" i="14" s="1"/>
  <c r="DV7" i="4"/>
  <c r="DV6" i="4"/>
  <c r="DW4" i="4"/>
  <c r="DV14" i="4"/>
  <c r="DV25" i="2"/>
  <c r="DV23" i="2"/>
  <c r="DV24" i="2"/>
  <c r="DV21" i="2"/>
  <c r="DV22" i="2"/>
  <c r="DV30" i="2"/>
  <c r="DT11" i="11"/>
  <c r="DT6" i="15"/>
  <c r="DU6" i="11"/>
  <c r="DS10" i="15"/>
  <c r="DV24" i="10"/>
  <c r="DV25" i="6"/>
  <c r="DU35" i="5" s="1"/>
  <c r="DV41" i="6"/>
  <c r="DT186" i="11"/>
  <c r="DT31" i="5" s="1"/>
  <c r="DY8" i="14"/>
  <c r="DU5" i="17"/>
  <c r="DV10" i="16"/>
  <c r="DV54" i="16" s="1"/>
  <c r="DV80" i="16" s="1"/>
  <c r="DW5" i="16"/>
  <c r="DH172" i="11"/>
  <c r="DI164" i="11"/>
  <c r="DT177" i="11"/>
  <c r="DU174" i="11" s="1"/>
  <c r="DT192" i="11"/>
  <c r="DU189" i="11" s="1"/>
  <c r="DI165" i="11"/>
  <c r="DV50" i="10"/>
  <c r="DV30" i="10"/>
  <c r="DT157" i="11"/>
  <c r="DV48" i="10"/>
  <c r="DV45" i="10"/>
  <c r="DV26" i="10"/>
  <c r="DV47" i="10"/>
  <c r="DV23" i="10"/>
  <c r="DV44" i="10"/>
  <c r="DV27" i="10"/>
  <c r="DV25" i="10"/>
  <c r="DV53" i="10"/>
  <c r="DV28" i="10"/>
  <c r="DV52" i="10"/>
  <c r="DV22" i="10"/>
  <c r="DV46" i="10"/>
  <c r="DV8" i="10"/>
  <c r="DU45" i="4"/>
  <c r="DU9" i="4" s="1"/>
  <c r="DU46" i="4"/>
  <c r="DU10" i="4" s="1"/>
  <c r="DU47" i="4"/>
  <c r="DU11" i="4" s="1"/>
  <c r="DU26" i="4"/>
  <c r="DU27" i="4"/>
  <c r="DU25" i="4"/>
  <c r="DV137" i="5" l="1"/>
  <c r="DV138" i="5"/>
  <c r="DV13" i="19"/>
  <c r="DT68" i="11"/>
  <c r="DT102" i="5" s="1"/>
  <c r="DT27" i="19" s="1"/>
  <c r="DU246" i="11"/>
  <c r="DJ19" i="11"/>
  <c r="DI31" i="15" s="1"/>
  <c r="DV81" i="16"/>
  <c r="DW16" i="6"/>
  <c r="DW60" i="6" s="1"/>
  <c r="DU33" i="11"/>
  <c r="DU78" i="5"/>
  <c r="DU28" i="11"/>
  <c r="DU75" i="5"/>
  <c r="DU111" i="11"/>
  <c r="DU106" i="11"/>
  <c r="DW36" i="10"/>
  <c r="DU38" i="11"/>
  <c r="DU82" i="5" s="1"/>
  <c r="DU80" i="5" s="1"/>
  <c r="DU11" i="5"/>
  <c r="DU11" i="19"/>
  <c r="DV11" i="2"/>
  <c r="DV12" i="6"/>
  <c r="DU9" i="19"/>
  <c r="DU9" i="5"/>
  <c r="DV10" i="6"/>
  <c r="DV9" i="2"/>
  <c r="DV5" i="11"/>
  <c r="DV14" i="11" s="1"/>
  <c r="DU5" i="15"/>
  <c r="DU13" i="15" s="1"/>
  <c r="DV13" i="5"/>
  <c r="DV231" i="11" s="1"/>
  <c r="DV52" i="4"/>
  <c r="DV54" i="4"/>
  <c r="DV18" i="4"/>
  <c r="DV51" i="4"/>
  <c r="DV55" i="4"/>
  <c r="DV42" i="4"/>
  <c r="DV41" i="4"/>
  <c r="DV53" i="4"/>
  <c r="DV48" i="4"/>
  <c r="DV21" i="4"/>
  <c r="DV22" i="4"/>
  <c r="DW21" i="6" s="1"/>
  <c r="DW19" i="10" s="1"/>
  <c r="DV31" i="4"/>
  <c r="DV32" i="4" s="1"/>
  <c r="DV33" i="4" s="1"/>
  <c r="DV29" i="4"/>
  <c r="DV17" i="4"/>
  <c r="DV20" i="4"/>
  <c r="DV44" i="4"/>
  <c r="DV8" i="4" s="1"/>
  <c r="DV50" i="4"/>
  <c r="DV16" i="4"/>
  <c r="DV43" i="4"/>
  <c r="DV24" i="4"/>
  <c r="DV36" i="4"/>
  <c r="DV23" i="4"/>
  <c r="DV37" i="4"/>
  <c r="DV38" i="4" s="1"/>
  <c r="DV39" i="4" s="1"/>
  <c r="DV35" i="4"/>
  <c r="DV30" i="4"/>
  <c r="DT8" i="15"/>
  <c r="DU8" i="11"/>
  <c r="DW5" i="4"/>
  <c r="DW4" i="19"/>
  <c r="DX4" i="2"/>
  <c r="DW4" i="5"/>
  <c r="DX5" i="6"/>
  <c r="DX4" i="10"/>
  <c r="EA4" i="14"/>
  <c r="DV6" i="19"/>
  <c r="DW6" i="2"/>
  <c r="DV6" i="5"/>
  <c r="DW7" i="6"/>
  <c r="DZ6" i="14"/>
  <c r="DW6" i="10"/>
  <c r="DW8" i="6"/>
  <c r="DV7" i="19"/>
  <c r="DV7" i="5"/>
  <c r="DW7" i="10"/>
  <c r="DW7" i="2"/>
  <c r="DZ7" i="14"/>
  <c r="DZ99" i="14"/>
  <c r="DZ104" i="14"/>
  <c r="DU88" i="11"/>
  <c r="DV11" i="6"/>
  <c r="DU10" i="19"/>
  <c r="DU10" i="5"/>
  <c r="DV10" i="2"/>
  <c r="DU145" i="11"/>
  <c r="DU157" i="11" s="1"/>
  <c r="DU214" i="11"/>
  <c r="DU140" i="11"/>
  <c r="DU170" i="11"/>
  <c r="DV32" i="6"/>
  <c r="DV28" i="6"/>
  <c r="DU24" i="5"/>
  <c r="DU190" i="11"/>
  <c r="DU191" i="11" s="1"/>
  <c r="DV36" i="6"/>
  <c r="DU166" i="11"/>
  <c r="DV31" i="6"/>
  <c r="DU23" i="5"/>
  <c r="DV27" i="6"/>
  <c r="DU175" i="11"/>
  <c r="DU176" i="11" s="1"/>
  <c r="DV33" i="6"/>
  <c r="DU185" i="11"/>
  <c r="DV35" i="6"/>
  <c r="DV30" i="6"/>
  <c r="DU26" i="5"/>
  <c r="DV29" i="6"/>
  <c r="DU25" i="5"/>
  <c r="DU195" i="11"/>
  <c r="DT187" i="11"/>
  <c r="DU184" i="11" s="1"/>
  <c r="DY10" i="14"/>
  <c r="DY11" i="14"/>
  <c r="DY9" i="14"/>
  <c r="DW6" i="16"/>
  <c r="DV4" i="17"/>
  <c r="DU4" i="18" s="1"/>
  <c r="DU8" i="17"/>
  <c r="DT5" i="18"/>
  <c r="DT8" i="18" s="1"/>
  <c r="DI169" i="11"/>
  <c r="DI167" i="11"/>
  <c r="DH19" i="15" s="1"/>
  <c r="DI27" i="5"/>
  <c r="DV11" i="10"/>
  <c r="DV10" i="10"/>
  <c r="DV9" i="10"/>
  <c r="DV245" i="11" l="1"/>
  <c r="DV235" i="11"/>
  <c r="DU247" i="11"/>
  <c r="DV244" i="11" s="1"/>
  <c r="DU250" i="11"/>
  <c r="DU251" i="11" s="1"/>
  <c r="DU252" i="11" s="1"/>
  <c r="DV249" i="11" s="1"/>
  <c r="DV72" i="11"/>
  <c r="DV106" i="5" s="1"/>
  <c r="DV67" i="11"/>
  <c r="DV101" i="5" s="1"/>
  <c r="DK16" i="11"/>
  <c r="DK18" i="11" s="1"/>
  <c r="DK70" i="5" s="1"/>
  <c r="DK68" i="5" s="1"/>
  <c r="DU107" i="11"/>
  <c r="DV104" i="11" s="1"/>
  <c r="DU42" i="5"/>
  <c r="DU112" i="11"/>
  <c r="DV109" i="11" s="1"/>
  <c r="DU43" i="5"/>
  <c r="DU29" i="11"/>
  <c r="DV26" i="11" s="1"/>
  <c r="DV105" i="11" s="1"/>
  <c r="DW48" i="6" s="1"/>
  <c r="DU76" i="5"/>
  <c r="DU74" i="5" s="1"/>
  <c r="DU34" i="11"/>
  <c r="DV31" i="11" s="1"/>
  <c r="DV110" i="11" s="1"/>
  <c r="DW49" i="6" s="1"/>
  <c r="DU79" i="5"/>
  <c r="DU77" i="5" s="1"/>
  <c r="DV32" i="11"/>
  <c r="DZ88" i="14"/>
  <c r="DW31" i="10"/>
  <c r="DV27" i="11"/>
  <c r="DU39" i="11"/>
  <c r="DV36" i="11" s="1"/>
  <c r="DW27" i="10"/>
  <c r="DW24" i="10"/>
  <c r="DW28" i="10"/>
  <c r="DW26" i="10"/>
  <c r="DW25" i="10"/>
  <c r="DW41" i="6"/>
  <c r="DV195" i="11" s="1"/>
  <c r="DW22" i="10"/>
  <c r="DW23" i="10"/>
  <c r="DW25" i="6"/>
  <c r="DV35" i="5" s="1"/>
  <c r="DW30" i="10"/>
  <c r="DW53" i="10"/>
  <c r="DW44" i="10"/>
  <c r="DW47" i="10"/>
  <c r="DW45" i="10"/>
  <c r="DW46" i="10"/>
  <c r="DW49" i="10"/>
  <c r="DW48" i="10"/>
  <c r="DW52" i="10"/>
  <c r="DV97" i="11"/>
  <c r="DV37" i="11"/>
  <c r="DV17" i="11"/>
  <c r="DV69" i="5" s="1"/>
  <c r="DV87" i="11"/>
  <c r="DV57" i="11"/>
  <c r="DV90" i="5" s="1"/>
  <c r="DV61" i="19" s="1"/>
  <c r="DV47" i="4"/>
  <c r="DV11" i="4" s="1"/>
  <c r="DV27" i="4"/>
  <c r="DV25" i="4"/>
  <c r="DV45" i="4"/>
  <c r="DV9" i="4" s="1"/>
  <c r="DV46" i="4"/>
  <c r="DV10" i="4" s="1"/>
  <c r="DV26" i="4"/>
  <c r="DU7" i="15"/>
  <c r="DV7" i="11"/>
  <c r="DV4" i="15"/>
  <c r="DW4" i="11"/>
  <c r="DT9" i="15"/>
  <c r="DU9" i="11"/>
  <c r="DW50" i="10"/>
  <c r="DW5" i="19"/>
  <c r="DX6" i="6"/>
  <c r="DX13" i="6" s="1"/>
  <c r="DW5" i="5"/>
  <c r="DX5" i="2"/>
  <c r="DX14" i="2" s="1"/>
  <c r="DX5" i="10"/>
  <c r="DX14" i="10" s="1"/>
  <c r="EA5" i="14"/>
  <c r="EA15" i="14" s="1"/>
  <c r="DW14" i="4"/>
  <c r="DW6" i="4"/>
  <c r="DX4" i="4"/>
  <c r="DW7" i="4"/>
  <c r="DV8" i="5"/>
  <c r="DW8" i="2"/>
  <c r="DV8" i="19"/>
  <c r="DW8" i="10"/>
  <c r="DZ8" i="14"/>
  <c r="DW9" i="6"/>
  <c r="DT10" i="15"/>
  <c r="DU10" i="11"/>
  <c r="DW25" i="2"/>
  <c r="DW23" i="2"/>
  <c r="DW24" i="2"/>
  <c r="DW30" i="2"/>
  <c r="DW22" i="2"/>
  <c r="DW21" i="2"/>
  <c r="DU11" i="11"/>
  <c r="DT11" i="15"/>
  <c r="DU6" i="15"/>
  <c r="DV6" i="11"/>
  <c r="DU32" i="5"/>
  <c r="DU192" i="11"/>
  <c r="DV189" i="11" s="1"/>
  <c r="DU177" i="11"/>
  <c r="DV174" i="11" s="1"/>
  <c r="DU29" i="5"/>
  <c r="DU186" i="11"/>
  <c r="DU196" i="11"/>
  <c r="DV5" i="17"/>
  <c r="DW10" i="16"/>
  <c r="DW54" i="16" s="1"/>
  <c r="DW80" i="16" s="1"/>
  <c r="DI171" i="11"/>
  <c r="DI28" i="5" s="1"/>
  <c r="DJ164" i="11"/>
  <c r="DJ165" i="11"/>
  <c r="DW137" i="5" l="1"/>
  <c r="DW138" i="5"/>
  <c r="DW13" i="19"/>
  <c r="DU68" i="11"/>
  <c r="DU102" i="5" s="1"/>
  <c r="DU27" i="19" s="1"/>
  <c r="DV246" i="11"/>
  <c r="DK19" i="11"/>
  <c r="DJ31" i="15" s="1"/>
  <c r="M65" i="6"/>
  <c r="N65" i="6"/>
  <c r="O65" i="6"/>
  <c r="P65" i="6"/>
  <c r="Q65" i="6"/>
  <c r="R65" i="6"/>
  <c r="S65" i="6"/>
  <c r="T65" i="6"/>
  <c r="U65" i="6"/>
  <c r="V65" i="6"/>
  <c r="W65" i="6"/>
  <c r="X65" i="6"/>
  <c r="Y65" i="6"/>
  <c r="Z65" i="6"/>
  <c r="AA65" i="6"/>
  <c r="AB65" i="6"/>
  <c r="AE65" i="6"/>
  <c r="AC65" i="6"/>
  <c r="AD65" i="6"/>
  <c r="AF65" i="6"/>
  <c r="AG65" i="6"/>
  <c r="AH65" i="6"/>
  <c r="AI65" i="6"/>
  <c r="AK65" i="6"/>
  <c r="AJ65" i="6"/>
  <c r="AL65" i="6"/>
  <c r="AN65" i="6"/>
  <c r="AM65" i="6"/>
  <c r="AO65" i="6"/>
  <c r="AP65" i="6"/>
  <c r="AQ65" i="6"/>
  <c r="AR65" i="6"/>
  <c r="AS65" i="6"/>
  <c r="AT65" i="6"/>
  <c r="AU65" i="6"/>
  <c r="AV65" i="6"/>
  <c r="AY65" i="6"/>
  <c r="AW65" i="6"/>
  <c r="AX65" i="6"/>
  <c r="AZ65" i="6"/>
  <c r="BA65" i="6"/>
  <c r="BB65" i="6"/>
  <c r="BC65" i="6"/>
  <c r="BD65" i="6"/>
  <c r="BE65" i="6"/>
  <c r="BF65" i="6"/>
  <c r="BG65" i="6"/>
  <c r="BH65" i="6"/>
  <c r="BI65" i="6"/>
  <c r="BJ65" i="6"/>
  <c r="BK65" i="6"/>
  <c r="BL65" i="6"/>
  <c r="BM65" i="6"/>
  <c r="BN65" i="6"/>
  <c r="BO65" i="6"/>
  <c r="DW81" i="16"/>
  <c r="BP65" i="6"/>
  <c r="BQ65" i="6"/>
  <c r="BR65" i="6"/>
  <c r="BS65" i="6"/>
  <c r="BT65" i="6"/>
  <c r="BU65" i="6"/>
  <c r="BV65" i="6"/>
  <c r="BW65" i="6"/>
  <c r="BX65" i="6"/>
  <c r="BY65" i="6"/>
  <c r="BZ65" i="6"/>
  <c r="CA65" i="6"/>
  <c r="CB65" i="6"/>
  <c r="CC65" i="6"/>
  <c r="CD65" i="6"/>
  <c r="CE65" i="6"/>
  <c r="CF65" i="6"/>
  <c r="CG65" i="6"/>
  <c r="CH65" i="6"/>
  <c r="CI65" i="6"/>
  <c r="CJ65" i="6"/>
  <c r="CK65" i="6"/>
  <c r="CL65" i="6"/>
  <c r="CM65" i="6"/>
  <c r="CN65" i="6"/>
  <c r="CO65" i="6"/>
  <c r="CP65" i="6"/>
  <c r="CQ65" i="6"/>
  <c r="CR65" i="6"/>
  <c r="CS65" i="6"/>
  <c r="CT65" i="6"/>
  <c r="CU65" i="6"/>
  <c r="CV65" i="6"/>
  <c r="CX65" i="6"/>
  <c r="CW65" i="6"/>
  <c r="CY65" i="6"/>
  <c r="CZ65" i="6"/>
  <c r="DA65" i="6"/>
  <c r="DB65" i="6"/>
  <c r="DC65" i="6"/>
  <c r="DD65" i="6"/>
  <c r="DE65" i="6"/>
  <c r="DG65" i="6"/>
  <c r="DF65" i="6"/>
  <c r="DH65" i="6"/>
  <c r="DJ65" i="6"/>
  <c r="DI65" i="6"/>
  <c r="DK65" i="6"/>
  <c r="DL65" i="6"/>
  <c r="DM65" i="6"/>
  <c r="DN65" i="6"/>
  <c r="DO65" i="6"/>
  <c r="DP65" i="6"/>
  <c r="DQ65" i="6"/>
  <c r="DT65" i="6"/>
  <c r="DR65" i="6"/>
  <c r="DS65" i="6"/>
  <c r="DU65" i="6"/>
  <c r="DV65" i="6"/>
  <c r="DW65" i="6"/>
  <c r="DX16" i="6"/>
  <c r="DX60" i="6" s="1"/>
  <c r="DV33" i="11"/>
  <c r="DV78" i="5"/>
  <c r="DV28" i="11"/>
  <c r="DV75" i="5"/>
  <c r="DV111" i="11"/>
  <c r="DV106" i="11"/>
  <c r="DV5" i="15"/>
  <c r="DV13" i="15" s="1"/>
  <c r="DW13" i="5"/>
  <c r="DW231" i="11" s="1"/>
  <c r="DW5" i="11"/>
  <c r="DW14" i="11" s="1"/>
  <c r="DV81" i="5"/>
  <c r="DV38" i="11"/>
  <c r="DV82" i="5" s="1"/>
  <c r="DV26" i="5"/>
  <c r="DW30" i="6"/>
  <c r="DV145" i="11"/>
  <c r="DV157" i="11" s="1"/>
  <c r="DV214" i="11"/>
  <c r="DV140" i="11"/>
  <c r="DW36" i="6"/>
  <c r="DV190" i="11"/>
  <c r="DV191" i="11" s="1"/>
  <c r="DV192" i="11" s="1"/>
  <c r="DW189" i="11" s="1"/>
  <c r="DV166" i="11"/>
  <c r="DW31" i="6"/>
  <c r="DV10" i="19"/>
  <c r="DW11" i="6"/>
  <c r="DV10" i="5"/>
  <c r="DW10" i="2"/>
  <c r="DW10" i="10"/>
  <c r="DZ10" i="14"/>
  <c r="DW33" i="6"/>
  <c r="DV175" i="11"/>
  <c r="DV176" i="11" s="1"/>
  <c r="DV24" i="5"/>
  <c r="DW28" i="6"/>
  <c r="DV9" i="19"/>
  <c r="DW10" i="6"/>
  <c r="DV9" i="5"/>
  <c r="DW9" i="2"/>
  <c r="DW9" i="10"/>
  <c r="DZ9" i="14"/>
  <c r="DV8" i="11"/>
  <c r="DU8" i="15"/>
  <c r="DW27" i="6"/>
  <c r="DV23" i="5"/>
  <c r="DW32" i="6"/>
  <c r="DV170" i="11"/>
  <c r="DW7" i="5"/>
  <c r="DX8" i="6"/>
  <c r="DX7" i="2"/>
  <c r="DW7" i="19"/>
  <c r="DX7" i="10"/>
  <c r="EA7" i="14"/>
  <c r="DX5" i="4"/>
  <c r="DX4" i="5"/>
  <c r="DY5" i="6"/>
  <c r="DY4" i="2"/>
  <c r="DX4" i="19"/>
  <c r="DY4" i="10"/>
  <c r="EB4" i="14"/>
  <c r="DV11" i="5"/>
  <c r="DV11" i="19"/>
  <c r="DW12" i="6"/>
  <c r="DW11" i="10"/>
  <c r="DW11" i="2"/>
  <c r="DZ11" i="14"/>
  <c r="DW6" i="19"/>
  <c r="DW6" i="5"/>
  <c r="DX7" i="6"/>
  <c r="DX6" i="2"/>
  <c r="EA6" i="14"/>
  <c r="DX6" i="10"/>
  <c r="EA99" i="14"/>
  <c r="EA104" i="14"/>
  <c r="DW35" i="6"/>
  <c r="DV185" i="11"/>
  <c r="DV25" i="5"/>
  <c r="DW29" i="6"/>
  <c r="DW17" i="4"/>
  <c r="DW21" i="4"/>
  <c r="DW41" i="4"/>
  <c r="DW20" i="4"/>
  <c r="DW18" i="4"/>
  <c r="DW42" i="4"/>
  <c r="DW48" i="4"/>
  <c r="DW51" i="4"/>
  <c r="DW43" i="4"/>
  <c r="DW54" i="4"/>
  <c r="DW44" i="4"/>
  <c r="DW8" i="4" s="1"/>
  <c r="DW50" i="4"/>
  <c r="DW29" i="4"/>
  <c r="DW24" i="4"/>
  <c r="DW53" i="4"/>
  <c r="DW36" i="4"/>
  <c r="DW52" i="4"/>
  <c r="DW16" i="4"/>
  <c r="DW31" i="4"/>
  <c r="DW32" i="4" s="1"/>
  <c r="DW33" i="4" s="1"/>
  <c r="DW55" i="4"/>
  <c r="DW23" i="4"/>
  <c r="DW30" i="4"/>
  <c r="DW37" i="4"/>
  <c r="DW38" i="4" s="1"/>
  <c r="DW39" i="4" s="1"/>
  <c r="DW22" i="4"/>
  <c r="DX21" i="6" s="1"/>
  <c r="DX19" i="10" s="1"/>
  <c r="DW35" i="4"/>
  <c r="DX36" i="10"/>
  <c r="DV88" i="11"/>
  <c r="DU197" i="11"/>
  <c r="DV194" i="11" s="1"/>
  <c r="DV196" i="11" s="1"/>
  <c r="DV39" i="5" s="1"/>
  <c r="DU39" i="5"/>
  <c r="DU187" i="11"/>
  <c r="DV184" i="11" s="1"/>
  <c r="DU31" i="5"/>
  <c r="DU5" i="18"/>
  <c r="DU8" i="18" s="1"/>
  <c r="DV8" i="17"/>
  <c r="DI172" i="11"/>
  <c r="DJ167" i="11"/>
  <c r="DI19" i="15" s="1"/>
  <c r="DJ27" i="5"/>
  <c r="DW245" i="11" l="1"/>
  <c r="DW235" i="11"/>
  <c r="DV247" i="11"/>
  <c r="DW244" i="11" s="1"/>
  <c r="DL16" i="11"/>
  <c r="DL18" i="11" s="1"/>
  <c r="DL70" i="5" s="1"/>
  <c r="DL68" i="5" s="1"/>
  <c r="DV250" i="11"/>
  <c r="DW72" i="11"/>
  <c r="DW106" i="5" s="1"/>
  <c r="DW67" i="11"/>
  <c r="DW101" i="5" s="1"/>
  <c r="DX65" i="6"/>
  <c r="DV107" i="11"/>
  <c r="DW104" i="11" s="1"/>
  <c r="DV42" i="5"/>
  <c r="DV112" i="11"/>
  <c r="DW109" i="11" s="1"/>
  <c r="DV43" i="5"/>
  <c r="DV80" i="5"/>
  <c r="DV29" i="11"/>
  <c r="DW26" i="11" s="1"/>
  <c r="DW105" i="11" s="1"/>
  <c r="DX48" i="6" s="1"/>
  <c r="DV76" i="5"/>
  <c r="DV74" i="5" s="1"/>
  <c r="DV34" i="11"/>
  <c r="DW31" i="11" s="1"/>
  <c r="DW110" i="11" s="1"/>
  <c r="DX49" i="6" s="1"/>
  <c r="DV79" i="5"/>
  <c r="DV77" i="5" s="1"/>
  <c r="DW32" i="11"/>
  <c r="DX31" i="10"/>
  <c r="DX36" i="6" s="1"/>
  <c r="DW27" i="11"/>
  <c r="EA88" i="14"/>
  <c r="DX25" i="10"/>
  <c r="DW26" i="5" s="1"/>
  <c r="DX26" i="10"/>
  <c r="DW166" i="11" s="1"/>
  <c r="DV177" i="11"/>
  <c r="DW174" i="11" s="1"/>
  <c r="DV29" i="5"/>
  <c r="DX52" i="10"/>
  <c r="DX23" i="10"/>
  <c r="DX28" i="6" s="1"/>
  <c r="DX44" i="10"/>
  <c r="DX48" i="10"/>
  <c r="DX22" i="10"/>
  <c r="DW23" i="5" s="1"/>
  <c r="DV32" i="5"/>
  <c r="DX27" i="10"/>
  <c r="DX25" i="6"/>
  <c r="DW35" i="5" s="1"/>
  <c r="DX50" i="10"/>
  <c r="DX28" i="10"/>
  <c r="DW175" i="11" s="1"/>
  <c r="DX24" i="10"/>
  <c r="DX29" i="6" s="1"/>
  <c r="DX30" i="10"/>
  <c r="DX35" i="6" s="1"/>
  <c r="DX49" i="10"/>
  <c r="DU10" i="15"/>
  <c r="DV10" i="11"/>
  <c r="DU11" i="15"/>
  <c r="DV11" i="11"/>
  <c r="DW27" i="4"/>
  <c r="DW45" i="4"/>
  <c r="DW9" i="4" s="1"/>
  <c r="DW26" i="4"/>
  <c r="DW47" i="4"/>
  <c r="DW11" i="4" s="1"/>
  <c r="DW46" i="4"/>
  <c r="DW10" i="4" s="1"/>
  <c r="DW25" i="4"/>
  <c r="DX41" i="6"/>
  <c r="DW195" i="11" s="1"/>
  <c r="DX45" i="10"/>
  <c r="DX30" i="2"/>
  <c r="DX25" i="2"/>
  <c r="DX21" i="2"/>
  <c r="DX23" i="2"/>
  <c r="DX24" i="2"/>
  <c r="DX22" i="2"/>
  <c r="DX53" i="10"/>
  <c r="DV6" i="15"/>
  <c r="DW6" i="11"/>
  <c r="DX9" i="6"/>
  <c r="DX8" i="2"/>
  <c r="DX8" i="10"/>
  <c r="DW8" i="5"/>
  <c r="DW8" i="19"/>
  <c r="EA8" i="14"/>
  <c r="DV39" i="11"/>
  <c r="DW36" i="11" s="1"/>
  <c r="DV9" i="11"/>
  <c r="DU9" i="15"/>
  <c r="DW4" i="15"/>
  <c r="DX4" i="11"/>
  <c r="DW7" i="11"/>
  <c r="DV7" i="15"/>
  <c r="DW97" i="11"/>
  <c r="DW37" i="11"/>
  <c r="DW81" i="5" s="1"/>
  <c r="DW87" i="11"/>
  <c r="DW17" i="11"/>
  <c r="DW69" i="5" s="1"/>
  <c r="DW57" i="11"/>
  <c r="DW90" i="5" s="1"/>
  <c r="DW61" i="19" s="1"/>
  <c r="DX5" i="19"/>
  <c r="DX5" i="5"/>
  <c r="DY6" i="6"/>
  <c r="DY13" i="6" s="1"/>
  <c r="DY5" i="2"/>
  <c r="DY14" i="2" s="1"/>
  <c r="EB5" i="14"/>
  <c r="EB15" i="14" s="1"/>
  <c r="DY5" i="10"/>
  <c r="DY14" i="10" s="1"/>
  <c r="DY4" i="4"/>
  <c r="DX7" i="4"/>
  <c r="DX14" i="4"/>
  <c r="DX6" i="4"/>
  <c r="DV186" i="11"/>
  <c r="DV187" i="11" s="1"/>
  <c r="DW184" i="11" s="1"/>
  <c r="DX47" i="10"/>
  <c r="DX46" i="10"/>
  <c r="DV197" i="11"/>
  <c r="DW194" i="11" s="1"/>
  <c r="DJ169" i="11"/>
  <c r="DK164" i="11"/>
  <c r="DX137" i="5" l="1"/>
  <c r="DX138" i="5"/>
  <c r="DX13" i="19"/>
  <c r="DW246" i="11"/>
  <c r="DV251" i="11"/>
  <c r="DL19" i="11"/>
  <c r="DM16" i="11" s="1"/>
  <c r="DY16" i="6"/>
  <c r="DY60" i="6" s="1"/>
  <c r="DW33" i="11"/>
  <c r="DW78" i="5"/>
  <c r="DW28" i="11"/>
  <c r="DW75" i="5"/>
  <c r="DW111" i="11"/>
  <c r="DW106" i="11"/>
  <c r="DX30" i="6"/>
  <c r="DW24" i="5"/>
  <c r="DW25" i="5"/>
  <c r="DW196" i="11"/>
  <c r="DW197" i="11" s="1"/>
  <c r="DX194" i="11" s="1"/>
  <c r="DW190" i="11"/>
  <c r="DW191" i="11" s="1"/>
  <c r="DW32" i="5" s="1"/>
  <c r="DX31" i="6"/>
  <c r="DX27" i="6"/>
  <c r="DW176" i="11"/>
  <c r="DW177" i="11" s="1"/>
  <c r="DX174" i="11" s="1"/>
  <c r="DW185" i="11"/>
  <c r="DW186" i="11" s="1"/>
  <c r="DW31" i="5" s="1"/>
  <c r="DX33" i="6"/>
  <c r="DV31" i="5"/>
  <c r="DX32" i="6"/>
  <c r="DW170" i="11"/>
  <c r="DX23" i="4"/>
  <c r="DY52" i="10" s="1"/>
  <c r="DX53" i="4"/>
  <c r="DX30" i="4"/>
  <c r="DX41" i="4"/>
  <c r="DX43" i="4"/>
  <c r="DX54" i="4"/>
  <c r="DX48" i="4"/>
  <c r="DX44" i="4"/>
  <c r="DX8" i="4" s="1"/>
  <c r="DX16" i="4"/>
  <c r="DX24" i="4"/>
  <c r="DX31" i="4"/>
  <c r="DX32" i="4" s="1"/>
  <c r="DX33" i="4" s="1"/>
  <c r="DX29" i="4"/>
  <c r="DX21" i="4"/>
  <c r="DX51" i="4"/>
  <c r="DX42" i="4"/>
  <c r="DX55" i="4"/>
  <c r="DX20" i="4"/>
  <c r="DX17" i="4"/>
  <c r="DX37" i="4"/>
  <c r="DX38" i="4" s="1"/>
  <c r="DX39" i="4" s="1"/>
  <c r="DX36" i="4"/>
  <c r="DX50" i="4"/>
  <c r="DX35" i="4"/>
  <c r="DX18" i="4"/>
  <c r="DX52" i="4"/>
  <c r="DX22" i="4"/>
  <c r="DX6" i="19"/>
  <c r="DX6" i="5"/>
  <c r="DY6" i="2"/>
  <c r="DY7" i="6"/>
  <c r="DY6" i="10"/>
  <c r="EB6" i="14"/>
  <c r="DW11" i="5"/>
  <c r="DX12" i="6"/>
  <c r="DW11" i="19"/>
  <c r="DX11" i="2"/>
  <c r="EA11" i="14"/>
  <c r="DX11" i="10"/>
  <c r="DX7" i="19"/>
  <c r="DY7" i="2"/>
  <c r="EB7" i="14"/>
  <c r="DY7" i="10"/>
  <c r="DY8" i="6"/>
  <c r="DX7" i="5"/>
  <c r="DW9" i="19"/>
  <c r="DX10" i="6"/>
  <c r="DX9" i="10"/>
  <c r="DW9" i="5"/>
  <c r="DX9" i="2"/>
  <c r="EA9" i="14"/>
  <c r="DY5" i="4"/>
  <c r="DY4" i="19"/>
  <c r="DY4" i="5"/>
  <c r="DZ5" i="6"/>
  <c r="DZ4" i="2"/>
  <c r="EC4" i="14"/>
  <c r="DZ4" i="10"/>
  <c r="DW38" i="11"/>
  <c r="DW82" i="5" s="1"/>
  <c r="DW80" i="5" s="1"/>
  <c r="DY36" i="10"/>
  <c r="EB104" i="14"/>
  <c r="EB99" i="14"/>
  <c r="DW8" i="11"/>
  <c r="DV8" i="15"/>
  <c r="DW214" i="11"/>
  <c r="DW145" i="11"/>
  <c r="DW157" i="11" s="1"/>
  <c r="DW140" i="11"/>
  <c r="DW5" i="15"/>
  <c r="DW13" i="15" s="1"/>
  <c r="DX13" i="5"/>
  <c r="DX231" i="11" s="1"/>
  <c r="DX5" i="11"/>
  <c r="DX14" i="11" s="1"/>
  <c r="DW88" i="11"/>
  <c r="DW10" i="19"/>
  <c r="DW10" i="5"/>
  <c r="DX11" i="6"/>
  <c r="DX10" i="2"/>
  <c r="EA10" i="14"/>
  <c r="DX10" i="10"/>
  <c r="DJ171" i="11"/>
  <c r="DJ28" i="5" s="1"/>
  <c r="DX245" i="11" l="1"/>
  <c r="DX235" i="11"/>
  <c r="DY24" i="10"/>
  <c r="DY29" i="6" s="1"/>
  <c r="DY21" i="6"/>
  <c r="DY19" i="10" s="1"/>
  <c r="DK31" i="15"/>
  <c r="DV252" i="11"/>
  <c r="DW249" i="11" s="1"/>
  <c r="DV68" i="11"/>
  <c r="DV102" i="5" s="1"/>
  <c r="DV27" i="19" s="1"/>
  <c r="DW247" i="11"/>
  <c r="DX244" i="11" s="1"/>
  <c r="DW250" i="11"/>
  <c r="DX67" i="11"/>
  <c r="DX101" i="5" s="1"/>
  <c r="DX72" i="11"/>
  <c r="DX106" i="5" s="1"/>
  <c r="DY65" i="6"/>
  <c r="DM18" i="11"/>
  <c r="DM70" i="5" s="1"/>
  <c r="DM68" i="5" s="1"/>
  <c r="DW107" i="11"/>
  <c r="DX104" i="11" s="1"/>
  <c r="DW42" i="5"/>
  <c r="DW112" i="11"/>
  <c r="DX109" i="11" s="1"/>
  <c r="DW43" i="5"/>
  <c r="DW29" i="11"/>
  <c r="DX26" i="11" s="1"/>
  <c r="DX105" i="11" s="1"/>
  <c r="DY48" i="6" s="1"/>
  <c r="DW76" i="5"/>
  <c r="DW74" i="5" s="1"/>
  <c r="DW34" i="11"/>
  <c r="DX31" i="11" s="1"/>
  <c r="DX110" i="11" s="1"/>
  <c r="DY49" i="6" s="1"/>
  <c r="DW79" i="5"/>
  <c r="DW77" i="5" s="1"/>
  <c r="DX32" i="11"/>
  <c r="DY31" i="10"/>
  <c r="DY36" i="6" s="1"/>
  <c r="EB88" i="14"/>
  <c r="DX27" i="11"/>
  <c r="DY44" i="10"/>
  <c r="DW39" i="5"/>
  <c r="DY53" i="10"/>
  <c r="DW29" i="5"/>
  <c r="DW192" i="11"/>
  <c r="DX189" i="11" s="1"/>
  <c r="DY22" i="10"/>
  <c r="DX23" i="5" s="1"/>
  <c r="DY30" i="10"/>
  <c r="DX185" i="11" s="1"/>
  <c r="DY25" i="6"/>
  <c r="DX35" i="5" s="1"/>
  <c r="DY23" i="10"/>
  <c r="DY28" i="6" s="1"/>
  <c r="DY46" i="10"/>
  <c r="DY41" i="6"/>
  <c r="DX195" i="11" s="1"/>
  <c r="DX196" i="11" s="1"/>
  <c r="DX39" i="5" s="1"/>
  <c r="DY49" i="10"/>
  <c r="DY47" i="10"/>
  <c r="DY50" i="10"/>
  <c r="DW39" i="11"/>
  <c r="DX36" i="11" s="1"/>
  <c r="DY27" i="10"/>
  <c r="DY32" i="6" s="1"/>
  <c r="DW187" i="11"/>
  <c r="DX184" i="11" s="1"/>
  <c r="DY26" i="10"/>
  <c r="DY31" i="6" s="1"/>
  <c r="DY45" i="10"/>
  <c r="DY48" i="10"/>
  <c r="DY28" i="10"/>
  <c r="DY33" i="6" s="1"/>
  <c r="DY25" i="10"/>
  <c r="DY30" i="6" s="1"/>
  <c r="DX25" i="5"/>
  <c r="DX7" i="11"/>
  <c r="DW7" i="15"/>
  <c r="DV11" i="15"/>
  <c r="DW11" i="11"/>
  <c r="DY9" i="6"/>
  <c r="DX8" i="19"/>
  <c r="DY8" i="2"/>
  <c r="DX8" i="5"/>
  <c r="DY8" i="10"/>
  <c r="EB8" i="14"/>
  <c r="DY4" i="11"/>
  <c r="DX4" i="15"/>
  <c r="DY30" i="2"/>
  <c r="DY21" i="2"/>
  <c r="DY22" i="2"/>
  <c r="DY25" i="2"/>
  <c r="DY23" i="2"/>
  <c r="DY24" i="2"/>
  <c r="DZ5" i="2"/>
  <c r="DZ14" i="2" s="1"/>
  <c r="DZ6" i="6"/>
  <c r="DZ13" i="6" s="1"/>
  <c r="DY5" i="5"/>
  <c r="EC5" i="14"/>
  <c r="EC15" i="14" s="1"/>
  <c r="DY5" i="19"/>
  <c r="DZ5" i="10"/>
  <c r="DZ14" i="10" s="1"/>
  <c r="DZ4" i="4"/>
  <c r="DY7" i="4"/>
  <c r="DY6" i="4"/>
  <c r="DY14" i="4"/>
  <c r="DV10" i="15"/>
  <c r="DW10" i="11"/>
  <c r="DW6" i="15"/>
  <c r="DX6" i="11"/>
  <c r="DX97" i="11"/>
  <c r="DX37" i="11"/>
  <c r="DX81" i="5" s="1"/>
  <c r="DX87" i="11"/>
  <c r="DX17" i="11"/>
  <c r="DX69" i="5" s="1"/>
  <c r="DX57" i="11"/>
  <c r="DX90" i="5" s="1"/>
  <c r="DX61" i="19" s="1"/>
  <c r="DW9" i="11"/>
  <c r="DV9" i="15"/>
  <c r="DX26" i="4"/>
  <c r="DX46" i="4"/>
  <c r="DX10" i="4" s="1"/>
  <c r="DX45" i="4"/>
  <c r="DX9" i="4" s="1"/>
  <c r="DX25" i="4"/>
  <c r="DX47" i="4"/>
  <c r="DX11" i="4" s="1"/>
  <c r="DX27" i="4"/>
  <c r="DJ172" i="11"/>
  <c r="DY138" i="5" l="1"/>
  <c r="DY137" i="5"/>
  <c r="DW251" i="11"/>
  <c r="DW252" i="11" s="1"/>
  <c r="DX249" i="11" s="1"/>
  <c r="DY13" i="19"/>
  <c r="DX246" i="11"/>
  <c r="DM19" i="11"/>
  <c r="DZ16" i="6"/>
  <c r="DZ60" i="6" s="1"/>
  <c r="DX33" i="11"/>
  <c r="DX78" i="5"/>
  <c r="DX28" i="11"/>
  <c r="DX75" i="5"/>
  <c r="DX111" i="11"/>
  <c r="DX106" i="11"/>
  <c r="DX170" i="11"/>
  <c r="DY27" i="6"/>
  <c r="DY35" i="6"/>
  <c r="DX24" i="5"/>
  <c r="DX190" i="11"/>
  <c r="DX191" i="11" s="1"/>
  <c r="DX32" i="5" s="1"/>
  <c r="DX197" i="11"/>
  <c r="DY194" i="11" s="1"/>
  <c r="DX38" i="11"/>
  <c r="DX39" i="11" s="1"/>
  <c r="DY36" i="11" s="1"/>
  <c r="DX166" i="11"/>
  <c r="DX175" i="11"/>
  <c r="DX176" i="11" s="1"/>
  <c r="DX29" i="5" s="1"/>
  <c r="DX26" i="5"/>
  <c r="DX11" i="5"/>
  <c r="DY12" i="6"/>
  <c r="DX11" i="19"/>
  <c r="DY11" i="2"/>
  <c r="DY11" i="10"/>
  <c r="EB11" i="14"/>
  <c r="DY31" i="4"/>
  <c r="DY50" i="4"/>
  <c r="DY29" i="4"/>
  <c r="DY30" i="4"/>
  <c r="DY43" i="4"/>
  <c r="DY48" i="4"/>
  <c r="DY16" i="4"/>
  <c r="DY52" i="4"/>
  <c r="DY55" i="4"/>
  <c r="DY23" i="4"/>
  <c r="DY18" i="4"/>
  <c r="DY41" i="4"/>
  <c r="DY35" i="4"/>
  <c r="DY37" i="4"/>
  <c r="DY54" i="4"/>
  <c r="DY21" i="4"/>
  <c r="DY36" i="4"/>
  <c r="DY17" i="4"/>
  <c r="DY20" i="4"/>
  <c r="DY42" i="4"/>
  <c r="DY51" i="4"/>
  <c r="DY22" i="4"/>
  <c r="DZ21" i="6" s="1"/>
  <c r="DZ19" i="10" s="1"/>
  <c r="DY53" i="4"/>
  <c r="DY44" i="4"/>
  <c r="DY8" i="4" s="1"/>
  <c r="DY24" i="4"/>
  <c r="DX9" i="19"/>
  <c r="DX9" i="5"/>
  <c r="DY10" i="6"/>
  <c r="DY9" i="2"/>
  <c r="EB9" i="14"/>
  <c r="DY9" i="10"/>
  <c r="DY6" i="19"/>
  <c r="DY6" i="5"/>
  <c r="DZ6" i="2"/>
  <c r="DZ7" i="6"/>
  <c r="DZ6" i="10"/>
  <c r="EC6" i="14"/>
  <c r="DX10" i="5"/>
  <c r="DX10" i="19"/>
  <c r="DY11" i="6"/>
  <c r="DY10" i="2"/>
  <c r="DY10" i="10"/>
  <c r="EB10" i="14"/>
  <c r="DX88" i="11"/>
  <c r="DY7" i="19"/>
  <c r="DZ7" i="2"/>
  <c r="DZ8" i="6"/>
  <c r="DY7" i="5"/>
  <c r="DZ7" i="10"/>
  <c r="EC7" i="14"/>
  <c r="DX8" i="11"/>
  <c r="DW8" i="15"/>
  <c r="DX5" i="15"/>
  <c r="DX13" i="15" s="1"/>
  <c r="DY13" i="5"/>
  <c r="DY231" i="11" s="1"/>
  <c r="DY5" i="11"/>
  <c r="DY14" i="11" s="1"/>
  <c r="DX186" i="11"/>
  <c r="DX31" i="5" s="1"/>
  <c r="DZ5" i="4"/>
  <c r="DZ4" i="19"/>
  <c r="EA5" i="6"/>
  <c r="EA4" i="10"/>
  <c r="EA4" i="2"/>
  <c r="ED4" i="14"/>
  <c r="DZ4" i="5"/>
  <c r="DX214" i="11"/>
  <c r="DX145" i="11"/>
  <c r="DX157" i="11" s="1"/>
  <c r="DX140" i="11"/>
  <c r="DZ36" i="10"/>
  <c r="EC99" i="14"/>
  <c r="EC104" i="14"/>
  <c r="DK169" i="11"/>
  <c r="DK171" i="11" s="1"/>
  <c r="DK172" i="11" s="1"/>
  <c r="DY245" i="11" l="1"/>
  <c r="DY235" i="11"/>
  <c r="DW68" i="11"/>
  <c r="DW102" i="5" s="1"/>
  <c r="DW27" i="19" s="1"/>
  <c r="DX247" i="11"/>
  <c r="DY244" i="11" s="1"/>
  <c r="DX250" i="11"/>
  <c r="DX251" i="11" s="1"/>
  <c r="DX252" i="11" s="1"/>
  <c r="DY249" i="11" s="1"/>
  <c r="DY67" i="11"/>
  <c r="DY101" i="5" s="1"/>
  <c r="DY72" i="11"/>
  <c r="DY106" i="5" s="1"/>
  <c r="DZ65" i="6"/>
  <c r="DL31" i="15"/>
  <c r="DN16" i="11"/>
  <c r="DX107" i="11"/>
  <c r="DY104" i="11" s="1"/>
  <c r="DX42" i="5"/>
  <c r="DX112" i="11"/>
  <c r="DY109" i="11" s="1"/>
  <c r="DX43" i="5"/>
  <c r="DX29" i="11"/>
  <c r="DY26" i="11" s="1"/>
  <c r="DY105" i="11" s="1"/>
  <c r="DZ48" i="6" s="1"/>
  <c r="DX76" i="5"/>
  <c r="DX74" i="5" s="1"/>
  <c r="DX34" i="11"/>
  <c r="DY31" i="11" s="1"/>
  <c r="DY110" i="11" s="1"/>
  <c r="DZ49" i="6" s="1"/>
  <c r="DX79" i="5"/>
  <c r="DX77" i="5" s="1"/>
  <c r="DY32" i="11"/>
  <c r="EC88" i="14"/>
  <c r="DZ31" i="10"/>
  <c r="DZ36" i="6" s="1"/>
  <c r="DY27" i="11"/>
  <c r="DZ49" i="10"/>
  <c r="DZ50" i="10"/>
  <c r="DZ46" i="10"/>
  <c r="DZ45" i="10"/>
  <c r="DZ28" i="10"/>
  <c r="DZ33" i="6" s="1"/>
  <c r="DZ44" i="10"/>
  <c r="DZ23" i="10"/>
  <c r="DY24" i="5" s="1"/>
  <c r="DZ53" i="10"/>
  <c r="DZ30" i="10"/>
  <c r="DY185" i="11" s="1"/>
  <c r="DZ48" i="10"/>
  <c r="DZ22" i="10"/>
  <c r="DZ27" i="6" s="1"/>
  <c r="DX192" i="11"/>
  <c r="DY189" i="11" s="1"/>
  <c r="DZ25" i="10"/>
  <c r="DY26" i="5" s="1"/>
  <c r="DX82" i="5"/>
  <c r="DX80" i="5" s="1"/>
  <c r="DZ24" i="10"/>
  <c r="DY25" i="5" s="1"/>
  <c r="DZ26" i="10"/>
  <c r="DY166" i="11" s="1"/>
  <c r="DZ52" i="10"/>
  <c r="DZ47" i="10"/>
  <c r="DZ27" i="10"/>
  <c r="DZ32" i="6" s="1"/>
  <c r="DY97" i="11"/>
  <c r="DY37" i="11"/>
  <c r="DY81" i="5" s="1"/>
  <c r="DY17" i="11"/>
  <c r="DY69" i="5" s="1"/>
  <c r="DY87" i="11"/>
  <c r="DY57" i="11"/>
  <c r="DY90" i="5" s="1"/>
  <c r="DY61" i="19" s="1"/>
  <c r="DW9" i="15"/>
  <c r="DX9" i="11"/>
  <c r="DW11" i="15"/>
  <c r="DX11" i="11"/>
  <c r="DY26" i="4"/>
  <c r="DY25" i="4"/>
  <c r="DY27" i="4"/>
  <c r="DY46" i="4"/>
  <c r="DY10" i="4" s="1"/>
  <c r="DY47" i="4"/>
  <c r="DY11" i="4" s="1"/>
  <c r="DY45" i="4"/>
  <c r="DY9" i="4" s="1"/>
  <c r="DY32" i="4"/>
  <c r="DY33" i="4" s="1"/>
  <c r="DX177" i="11"/>
  <c r="DY174" i="11" s="1"/>
  <c r="DY8" i="5"/>
  <c r="DZ9" i="6"/>
  <c r="DY8" i="19"/>
  <c r="DZ8" i="2"/>
  <c r="DZ8" i="10"/>
  <c r="EC8" i="14"/>
  <c r="DZ4" i="11"/>
  <c r="DY4" i="15"/>
  <c r="DY6" i="11"/>
  <c r="DX6" i="15"/>
  <c r="DY7" i="11"/>
  <c r="DX7" i="15"/>
  <c r="DZ41" i="6"/>
  <c r="DY195" i="11" s="1"/>
  <c r="DX10" i="11"/>
  <c r="DW10" i="15"/>
  <c r="DZ21" i="2"/>
  <c r="DZ30" i="2"/>
  <c r="DZ23" i="2"/>
  <c r="DZ24" i="2"/>
  <c r="DZ25" i="2"/>
  <c r="DZ22" i="2"/>
  <c r="DZ25" i="6"/>
  <c r="DY35" i="5" s="1"/>
  <c r="DY38" i="4"/>
  <c r="DY39" i="4" s="1"/>
  <c r="DZ5" i="19"/>
  <c r="DZ5" i="5"/>
  <c r="EA6" i="6"/>
  <c r="EA13" i="6" s="1"/>
  <c r="EA5" i="2"/>
  <c r="EA14" i="2" s="1"/>
  <c r="EA5" i="10"/>
  <c r="EA14" i="10" s="1"/>
  <c r="ED5" i="14"/>
  <c r="ED15" i="14" s="1"/>
  <c r="DZ6" i="4"/>
  <c r="DZ7" i="4"/>
  <c r="DZ14" i="4"/>
  <c r="EA4" i="4"/>
  <c r="DX187" i="11"/>
  <c r="DY184" i="11" s="1"/>
  <c r="DL169" i="11"/>
  <c r="DK28" i="5"/>
  <c r="I22" i="11"/>
  <c r="DZ137" i="5" l="1"/>
  <c r="DZ138" i="5"/>
  <c r="DZ13" i="19"/>
  <c r="DX68" i="11"/>
  <c r="DX102" i="5" s="1"/>
  <c r="DX27" i="19" s="1"/>
  <c r="DY246" i="11"/>
  <c r="DN18" i="11"/>
  <c r="DN70" i="5" s="1"/>
  <c r="DN68" i="5" s="1"/>
  <c r="EA16" i="6"/>
  <c r="EA60" i="6" s="1"/>
  <c r="DY33" i="11"/>
  <c r="DY78" i="5"/>
  <c r="DY28" i="11"/>
  <c r="DY75" i="5"/>
  <c r="DY111" i="11"/>
  <c r="DY106" i="11"/>
  <c r="DY190" i="11"/>
  <c r="DY191" i="11" s="1"/>
  <c r="DY32" i="5" s="1"/>
  <c r="DZ30" i="6"/>
  <c r="DZ28" i="6"/>
  <c r="DZ29" i="6"/>
  <c r="DZ31" i="6"/>
  <c r="DY23" i="5"/>
  <c r="DZ35" i="6"/>
  <c r="DY175" i="11"/>
  <c r="DY176" i="11" s="1"/>
  <c r="DY29" i="5" s="1"/>
  <c r="DY38" i="11"/>
  <c r="DY82" i="5" s="1"/>
  <c r="DY80" i="5" s="1"/>
  <c r="DY170" i="11"/>
  <c r="DZ6" i="19"/>
  <c r="DZ6" i="5"/>
  <c r="EA7" i="6"/>
  <c r="EA6" i="2"/>
  <c r="EA6" i="10"/>
  <c r="ED6" i="14"/>
  <c r="DY186" i="11"/>
  <c r="DY31" i="5" s="1"/>
  <c r="EA5" i="4"/>
  <c r="EA4" i="19"/>
  <c r="EA4" i="5"/>
  <c r="EB4" i="2"/>
  <c r="EB5" i="6"/>
  <c r="EB4" i="10"/>
  <c r="EE4" i="14"/>
  <c r="DZ55" i="4"/>
  <c r="DZ21" i="4"/>
  <c r="DZ48" i="4"/>
  <c r="DZ52" i="4"/>
  <c r="DZ53" i="4"/>
  <c r="DZ29" i="4"/>
  <c r="DZ41" i="4"/>
  <c r="DZ31" i="4"/>
  <c r="DZ51" i="4"/>
  <c r="DZ50" i="4"/>
  <c r="DZ44" i="4"/>
  <c r="DZ8" i="4" s="1"/>
  <c r="DZ35" i="4"/>
  <c r="DZ16" i="4"/>
  <c r="DZ24" i="4"/>
  <c r="DZ22" i="4"/>
  <c r="EA21" i="6" s="1"/>
  <c r="EA19" i="10" s="1"/>
  <c r="DZ20" i="4"/>
  <c r="DZ37" i="4"/>
  <c r="DZ17" i="4"/>
  <c r="DZ42" i="4"/>
  <c r="DZ23" i="4"/>
  <c r="DZ18" i="4"/>
  <c r="DZ43" i="4"/>
  <c r="DZ30" i="4"/>
  <c r="DZ36" i="4"/>
  <c r="DZ54" i="4"/>
  <c r="DZ7" i="19"/>
  <c r="DZ7" i="5"/>
  <c r="EA7" i="2"/>
  <c r="EA8" i="6"/>
  <c r="EA7" i="10"/>
  <c r="ED7" i="14"/>
  <c r="ED104" i="14"/>
  <c r="ED99" i="14"/>
  <c r="DX8" i="15"/>
  <c r="DY8" i="11"/>
  <c r="DY9" i="19"/>
  <c r="DZ9" i="2"/>
  <c r="DY9" i="5"/>
  <c r="DZ10" i="6"/>
  <c r="DZ9" i="10"/>
  <c r="EC9" i="14"/>
  <c r="EA36" i="10"/>
  <c r="DY11" i="19"/>
  <c r="DY11" i="5"/>
  <c r="DZ12" i="6"/>
  <c r="DZ11" i="2"/>
  <c r="DZ11" i="10"/>
  <c r="EC11" i="14"/>
  <c r="DY88" i="11"/>
  <c r="DY10" i="19"/>
  <c r="DY10" i="5"/>
  <c r="DZ11" i="6"/>
  <c r="DZ10" i="2"/>
  <c r="DZ10" i="10"/>
  <c r="EC10" i="14"/>
  <c r="DZ13" i="5"/>
  <c r="DZ231" i="11" s="1"/>
  <c r="DZ5" i="11"/>
  <c r="DZ14" i="11" s="1"/>
  <c r="DY5" i="15"/>
  <c r="DY13" i="15" s="1"/>
  <c r="DY196" i="11"/>
  <c r="DY39" i="5" s="1"/>
  <c r="DY145" i="11"/>
  <c r="DY157" i="11" s="1"/>
  <c r="DY214" i="11"/>
  <c r="DY140" i="11"/>
  <c r="DX22" i="11"/>
  <c r="DX72" i="5" s="1"/>
  <c r="DW22" i="11"/>
  <c r="DW72" i="5" s="1"/>
  <c r="DY22" i="11"/>
  <c r="DY72" i="5" s="1"/>
  <c r="DV22" i="11"/>
  <c r="DV72" i="5" s="1"/>
  <c r="DU22" i="11"/>
  <c r="DU72" i="5" s="1"/>
  <c r="DL171" i="11"/>
  <c r="DL172" i="11" s="1"/>
  <c r="L22" i="11"/>
  <c r="L72" i="5" s="1"/>
  <c r="M22" i="11"/>
  <c r="M72" i="5" s="1"/>
  <c r="N22" i="11"/>
  <c r="N72" i="5" s="1"/>
  <c r="O22" i="11"/>
  <c r="O72" i="5" s="1"/>
  <c r="P22" i="11"/>
  <c r="P72" i="5" s="1"/>
  <c r="Q22" i="11"/>
  <c r="Q72" i="5" s="1"/>
  <c r="R22" i="11"/>
  <c r="R72" i="5" s="1"/>
  <c r="S22" i="11"/>
  <c r="S72" i="5" s="1"/>
  <c r="T22" i="11"/>
  <c r="T72" i="5" s="1"/>
  <c r="U22" i="11"/>
  <c r="U72" i="5" s="1"/>
  <c r="V22" i="11"/>
  <c r="V72" i="5" s="1"/>
  <c r="W22" i="11"/>
  <c r="W72" i="5" s="1"/>
  <c r="X22" i="11"/>
  <c r="X72" i="5" s="1"/>
  <c r="Y22" i="11"/>
  <c r="Y72" i="5" s="1"/>
  <c r="Z22" i="11"/>
  <c r="Z72" i="5" s="1"/>
  <c r="AA22" i="11"/>
  <c r="AA72" i="5" s="1"/>
  <c r="AB22" i="11"/>
  <c r="AB72" i="5" s="1"/>
  <c r="AC22" i="11"/>
  <c r="AC72" i="5" s="1"/>
  <c r="AD22" i="11"/>
  <c r="AD72" i="5" s="1"/>
  <c r="AE22" i="11"/>
  <c r="AE72" i="5" s="1"/>
  <c r="AF22" i="11"/>
  <c r="AF72" i="5" s="1"/>
  <c r="AG22" i="11"/>
  <c r="AG72" i="5" s="1"/>
  <c r="AH22" i="11"/>
  <c r="AH72" i="5" s="1"/>
  <c r="AI22" i="11"/>
  <c r="AI72" i="5" s="1"/>
  <c r="AJ22" i="11"/>
  <c r="AJ72" i="5" s="1"/>
  <c r="AK22" i="11"/>
  <c r="AK72" i="5" s="1"/>
  <c r="AL22" i="11"/>
  <c r="AL72" i="5" s="1"/>
  <c r="AM22" i="11"/>
  <c r="AM72" i="5" s="1"/>
  <c r="AN22" i="11"/>
  <c r="AN72" i="5" s="1"/>
  <c r="AO22" i="11"/>
  <c r="AO72" i="5" s="1"/>
  <c r="AP22" i="11"/>
  <c r="AP72" i="5" s="1"/>
  <c r="AQ22" i="11"/>
  <c r="AQ72" i="5" s="1"/>
  <c r="AR22" i="11"/>
  <c r="AR72" i="5" s="1"/>
  <c r="AS22" i="11"/>
  <c r="AS72" i="5" s="1"/>
  <c r="AT22" i="11"/>
  <c r="AT72" i="5" s="1"/>
  <c r="AU22" i="11"/>
  <c r="AU72" i="5" s="1"/>
  <c r="AV22" i="11"/>
  <c r="AV72" i="5" s="1"/>
  <c r="AW22" i="11"/>
  <c r="AW72" i="5" s="1"/>
  <c r="AX22" i="11"/>
  <c r="AX72" i="5" s="1"/>
  <c r="AY22" i="11"/>
  <c r="AY72" i="5" s="1"/>
  <c r="AZ22" i="11"/>
  <c r="AZ72" i="5" s="1"/>
  <c r="BA22" i="11"/>
  <c r="BA72" i="5" s="1"/>
  <c r="BB22" i="11"/>
  <c r="BB72" i="5" s="1"/>
  <c r="BC22" i="11"/>
  <c r="BC72" i="5" s="1"/>
  <c r="BD22" i="11"/>
  <c r="BD72" i="5" s="1"/>
  <c r="BE22" i="11"/>
  <c r="BE72" i="5" s="1"/>
  <c r="BF22" i="11"/>
  <c r="BF72" i="5" s="1"/>
  <c r="BG22" i="11"/>
  <c r="BG72" i="5" s="1"/>
  <c r="BH22" i="11"/>
  <c r="BH72" i="5" s="1"/>
  <c r="BI22" i="11"/>
  <c r="BI72" i="5" s="1"/>
  <c r="BJ22" i="11"/>
  <c r="BJ72" i="5" s="1"/>
  <c r="BK22" i="11"/>
  <c r="BK72" i="5" s="1"/>
  <c r="BL22" i="11"/>
  <c r="BL72" i="5" s="1"/>
  <c r="BM22" i="11"/>
  <c r="BM72" i="5" s="1"/>
  <c r="BN22" i="11"/>
  <c r="BN72" i="5" s="1"/>
  <c r="BO22" i="11"/>
  <c r="BO72" i="5" s="1"/>
  <c r="BP22" i="11"/>
  <c r="BP72" i="5" s="1"/>
  <c r="BQ22" i="11"/>
  <c r="BQ72" i="5" s="1"/>
  <c r="BR22" i="11"/>
  <c r="BR72" i="5" s="1"/>
  <c r="BS22" i="11"/>
  <c r="BS72" i="5" s="1"/>
  <c r="BT22" i="11"/>
  <c r="BT72" i="5" s="1"/>
  <c r="BU22" i="11"/>
  <c r="BU72" i="5" s="1"/>
  <c r="BV22" i="11"/>
  <c r="BV72" i="5" s="1"/>
  <c r="BW22" i="11"/>
  <c r="BW72" i="5" s="1"/>
  <c r="BX22" i="11"/>
  <c r="BX72" i="5" s="1"/>
  <c r="BY22" i="11"/>
  <c r="BY72" i="5" s="1"/>
  <c r="BZ22" i="11"/>
  <c r="BZ72" i="5" s="1"/>
  <c r="CA22" i="11"/>
  <c r="CA72" i="5" s="1"/>
  <c r="CB22" i="11"/>
  <c r="CB72" i="5" s="1"/>
  <c r="CC22" i="11"/>
  <c r="CC72" i="5" s="1"/>
  <c r="CD22" i="11"/>
  <c r="CD72" i="5" s="1"/>
  <c r="CE22" i="11"/>
  <c r="CE72" i="5" s="1"/>
  <c r="CF22" i="11"/>
  <c r="CF72" i="5" s="1"/>
  <c r="CG22" i="11"/>
  <c r="CG72" i="5" s="1"/>
  <c r="CH22" i="11"/>
  <c r="CH72" i="5" s="1"/>
  <c r="CI22" i="11"/>
  <c r="CI72" i="5" s="1"/>
  <c r="CJ22" i="11"/>
  <c r="CJ72" i="5" s="1"/>
  <c r="CK22" i="11"/>
  <c r="CK72" i="5" s="1"/>
  <c r="CL22" i="11"/>
  <c r="CL72" i="5" s="1"/>
  <c r="CM22" i="11"/>
  <c r="CM72" i="5" s="1"/>
  <c r="CN22" i="11"/>
  <c r="CN72" i="5" s="1"/>
  <c r="CO22" i="11"/>
  <c r="CO72" i="5" s="1"/>
  <c r="CP22" i="11"/>
  <c r="CP72" i="5" s="1"/>
  <c r="CQ22" i="11"/>
  <c r="CQ72" i="5" s="1"/>
  <c r="CR22" i="11"/>
  <c r="CR72" i="5" s="1"/>
  <c r="CS22" i="11"/>
  <c r="CS72" i="5" s="1"/>
  <c r="CT22" i="11"/>
  <c r="CT72" i="5" s="1"/>
  <c r="CU22" i="11"/>
  <c r="CU72" i="5" s="1"/>
  <c r="CV22" i="11"/>
  <c r="CV72" i="5" s="1"/>
  <c r="CW22" i="11"/>
  <c r="CW72" i="5" s="1"/>
  <c r="CX22" i="11"/>
  <c r="CX72" i="5" s="1"/>
  <c r="CY22" i="11"/>
  <c r="CY72" i="5" s="1"/>
  <c r="CZ22" i="11"/>
  <c r="CZ72" i="5" s="1"/>
  <c r="DA22" i="11"/>
  <c r="DA72" i="5" s="1"/>
  <c r="DB22" i="11"/>
  <c r="DB72" i="5" s="1"/>
  <c r="DC22" i="11"/>
  <c r="DC72" i="5" s="1"/>
  <c r="DD22" i="11"/>
  <c r="DD72" i="5" s="1"/>
  <c r="DE22" i="11"/>
  <c r="DE72" i="5" s="1"/>
  <c r="DF22" i="11"/>
  <c r="DF72" i="5" s="1"/>
  <c r="DG22" i="11"/>
  <c r="DG72" i="5" s="1"/>
  <c r="DH22" i="11"/>
  <c r="DH72" i="5" s="1"/>
  <c r="DI22" i="11"/>
  <c r="DI72" i="5" s="1"/>
  <c r="DJ22" i="11"/>
  <c r="DJ72" i="5" s="1"/>
  <c r="DK22" i="11"/>
  <c r="DK72" i="5" s="1"/>
  <c r="DL22" i="11"/>
  <c r="DL72" i="5" s="1"/>
  <c r="DM22" i="11"/>
  <c r="DM72" i="5" s="1"/>
  <c r="DN22" i="11"/>
  <c r="DN72" i="5" s="1"/>
  <c r="DO22" i="11"/>
  <c r="DO72" i="5" s="1"/>
  <c r="DP22" i="11"/>
  <c r="DP72" i="5" s="1"/>
  <c r="DQ22" i="11"/>
  <c r="DQ72" i="5" s="1"/>
  <c r="DR22" i="11"/>
  <c r="DR72" i="5" s="1"/>
  <c r="DS22" i="11"/>
  <c r="DS72" i="5" s="1"/>
  <c r="DT22" i="11"/>
  <c r="DT72" i="5" s="1"/>
  <c r="T15" i="1"/>
  <c r="N149" i="5" l="1"/>
  <c r="DZ245" i="11"/>
  <c r="DZ235" i="11"/>
  <c r="DY247" i="11"/>
  <c r="DZ244" i="11" s="1"/>
  <c r="DY250" i="11"/>
  <c r="DY251" i="11" s="1"/>
  <c r="DY252" i="11" s="1"/>
  <c r="DZ249" i="11" s="1"/>
  <c r="DZ67" i="11"/>
  <c r="DZ101" i="5" s="1"/>
  <c r="DZ72" i="11"/>
  <c r="DZ106" i="5" s="1"/>
  <c r="DN19" i="11"/>
  <c r="DO16" i="11" s="1"/>
  <c r="EA65" i="6"/>
  <c r="DY107" i="11"/>
  <c r="DZ104" i="11" s="1"/>
  <c r="DY42" i="5"/>
  <c r="DY112" i="11"/>
  <c r="DZ109" i="11" s="1"/>
  <c r="DY43" i="5"/>
  <c r="DY29" i="11"/>
  <c r="DZ26" i="11" s="1"/>
  <c r="DZ105" i="11" s="1"/>
  <c r="EA48" i="6" s="1"/>
  <c r="DY76" i="5"/>
  <c r="DY74" i="5" s="1"/>
  <c r="DY34" i="11"/>
  <c r="DZ31" i="11" s="1"/>
  <c r="DZ110" i="11" s="1"/>
  <c r="EA49" i="6" s="1"/>
  <c r="DY79" i="5"/>
  <c r="DY77" i="5" s="1"/>
  <c r="DZ32" i="11"/>
  <c r="EA31" i="10"/>
  <c r="DZ190" i="11" s="1"/>
  <c r="ED88" i="14"/>
  <c r="DZ22" i="11"/>
  <c r="DZ72" i="5" s="1"/>
  <c r="DZ27" i="11"/>
  <c r="DY192" i="11"/>
  <c r="DZ189" i="11" s="1"/>
  <c r="DY197" i="11"/>
  <c r="DZ194" i="11" s="1"/>
  <c r="DY39" i="11"/>
  <c r="DZ36" i="11" s="1"/>
  <c r="EA23" i="10"/>
  <c r="DZ24" i="5" s="1"/>
  <c r="EA27" i="10"/>
  <c r="DZ170" i="11" s="1"/>
  <c r="EA30" i="10"/>
  <c r="DZ185" i="11" s="1"/>
  <c r="EA25" i="6"/>
  <c r="DZ35" i="5" s="1"/>
  <c r="EA24" i="10"/>
  <c r="DZ25" i="5" s="1"/>
  <c r="EA41" i="6"/>
  <c r="DZ195" i="11" s="1"/>
  <c r="EA25" i="10"/>
  <c r="DZ26" i="5" s="1"/>
  <c r="EA28" i="10"/>
  <c r="EA33" i="6" s="1"/>
  <c r="EA22" i="10"/>
  <c r="DZ23" i="5" s="1"/>
  <c r="EA49" i="10"/>
  <c r="EA44" i="10"/>
  <c r="EA48" i="10"/>
  <c r="EA53" i="10"/>
  <c r="EA46" i="10"/>
  <c r="EA50" i="10"/>
  <c r="EA52" i="10"/>
  <c r="EA47" i="10"/>
  <c r="EA45" i="10"/>
  <c r="EA26" i="10"/>
  <c r="DZ166" i="11" s="1"/>
  <c r="DY187" i="11"/>
  <c r="DZ184" i="11" s="1"/>
  <c r="DZ27" i="4"/>
  <c r="DZ25" i="4"/>
  <c r="DZ45" i="4"/>
  <c r="DZ9" i="4" s="1"/>
  <c r="DZ46" i="4"/>
  <c r="DZ10" i="4" s="1"/>
  <c r="DZ47" i="4"/>
  <c r="DZ11" i="4" s="1"/>
  <c r="DZ26" i="4"/>
  <c r="DX10" i="15"/>
  <c r="DY10" i="11"/>
  <c r="DZ8" i="19"/>
  <c r="EA8" i="2"/>
  <c r="EA9" i="6"/>
  <c r="DZ8" i="5"/>
  <c r="ED8" i="14"/>
  <c r="EA8" i="10"/>
  <c r="DZ97" i="11"/>
  <c r="DZ37" i="11"/>
  <c r="DZ87" i="11"/>
  <c r="DZ88" i="11" s="1"/>
  <c r="DZ17" i="11"/>
  <c r="DZ69" i="5" s="1"/>
  <c r="DZ57" i="11"/>
  <c r="DZ90" i="5" s="1"/>
  <c r="DZ61" i="19" s="1"/>
  <c r="DX9" i="15"/>
  <c r="DY9" i="11"/>
  <c r="DZ32" i="4"/>
  <c r="DZ33" i="4" s="1"/>
  <c r="DZ7" i="11"/>
  <c r="DY7" i="15"/>
  <c r="DZ4" i="15"/>
  <c r="EA4" i="11"/>
  <c r="DY6" i="15"/>
  <c r="DZ6" i="11"/>
  <c r="DX11" i="15"/>
  <c r="DY11" i="11"/>
  <c r="EA23" i="2"/>
  <c r="EA30" i="2"/>
  <c r="EA21" i="2"/>
  <c r="EA25" i="2"/>
  <c r="EA22" i="2"/>
  <c r="EA24" i="2"/>
  <c r="DZ38" i="4"/>
  <c r="EB4" i="4"/>
  <c r="EA5" i="5"/>
  <c r="EA5" i="19"/>
  <c r="EB6" i="6"/>
  <c r="EB13" i="6" s="1"/>
  <c r="EB5" i="2"/>
  <c r="EB14" i="2" s="1"/>
  <c r="EB5" i="10"/>
  <c r="EB14" i="10" s="1"/>
  <c r="EE5" i="14"/>
  <c r="EE15" i="14" s="1"/>
  <c r="EA14" i="4"/>
  <c r="EA6" i="4"/>
  <c r="EA7" i="4"/>
  <c r="DY177" i="11"/>
  <c r="DZ174" i="11" s="1"/>
  <c r="DM169" i="11"/>
  <c r="DL28" i="5"/>
  <c r="L23" i="11"/>
  <c r="L73" i="5" s="1"/>
  <c r="D619" i="32" s="1"/>
  <c r="EA138" i="5" l="1"/>
  <c r="EA137" i="5"/>
  <c r="EA13" i="19"/>
  <c r="DY68" i="11"/>
  <c r="DY102" i="5" s="1"/>
  <c r="DY27" i="19" s="1"/>
  <c r="DZ246" i="11"/>
  <c r="DM31" i="15"/>
  <c r="DO18" i="11"/>
  <c r="DO70" i="5" s="1"/>
  <c r="DO68" i="5" s="1"/>
  <c r="EB16" i="6"/>
  <c r="EB60" i="6" s="1"/>
  <c r="EB65" i="6" s="1"/>
  <c r="DZ33" i="11"/>
  <c r="DZ78" i="5"/>
  <c r="DZ28" i="11"/>
  <c r="DZ76" i="5" s="1"/>
  <c r="DZ75" i="5"/>
  <c r="DZ111" i="11"/>
  <c r="DZ106" i="11"/>
  <c r="DZ175" i="11"/>
  <c r="DZ176" i="11" s="1"/>
  <c r="DZ29" i="5" s="1"/>
  <c r="DZ196" i="11"/>
  <c r="DZ39" i="5" s="1"/>
  <c r="DZ191" i="11"/>
  <c r="DZ32" i="5" s="1"/>
  <c r="EA29" i="6"/>
  <c r="EA30" i="6"/>
  <c r="EA35" i="6"/>
  <c r="DZ38" i="11"/>
  <c r="DZ82" i="5" s="1"/>
  <c r="EA27" i="6"/>
  <c r="EA32" i="6"/>
  <c r="EA28" i="6"/>
  <c r="EA36" i="6"/>
  <c r="EA31" i="6"/>
  <c r="EA7" i="5"/>
  <c r="EB7" i="2"/>
  <c r="EA7" i="19"/>
  <c r="EE7" i="14"/>
  <c r="EB8" i="6"/>
  <c r="EB7" i="10"/>
  <c r="EA20" i="4"/>
  <c r="EA18" i="4"/>
  <c r="EA21" i="4"/>
  <c r="EA23" i="4"/>
  <c r="EA55" i="4"/>
  <c r="EA53" i="4"/>
  <c r="EA31" i="4"/>
  <c r="EA36" i="4"/>
  <c r="EA16" i="4"/>
  <c r="EA44" i="4"/>
  <c r="EA8" i="4" s="1"/>
  <c r="EA50" i="4"/>
  <c r="EA41" i="4"/>
  <c r="EA54" i="4"/>
  <c r="EA29" i="4"/>
  <c r="EA35" i="4"/>
  <c r="EA37" i="4"/>
  <c r="EA30" i="4"/>
  <c r="EA52" i="4"/>
  <c r="EA17" i="4"/>
  <c r="EA42" i="4"/>
  <c r="EA43" i="4"/>
  <c r="EA48" i="4"/>
  <c r="EA22" i="4"/>
  <c r="EB21" i="6" s="1"/>
  <c r="EB19" i="10" s="1"/>
  <c r="EA24" i="4"/>
  <c r="EA51" i="4"/>
  <c r="DY8" i="15"/>
  <c r="DZ8" i="11"/>
  <c r="DZ11" i="5"/>
  <c r="DZ11" i="19"/>
  <c r="EA12" i="6"/>
  <c r="EA11" i="2"/>
  <c r="EA11" i="10"/>
  <c r="ED11" i="14"/>
  <c r="DZ10" i="19"/>
  <c r="DZ10" i="5"/>
  <c r="EA10" i="2"/>
  <c r="EA11" i="6"/>
  <c r="EA10" i="10"/>
  <c r="ED10" i="14"/>
  <c r="EE104" i="14"/>
  <c r="EE99" i="14"/>
  <c r="EB36" i="10"/>
  <c r="DZ9" i="19"/>
  <c r="DZ9" i="5"/>
  <c r="EA9" i="2"/>
  <c r="EA10" i="6"/>
  <c r="ED9" i="14"/>
  <c r="EA9" i="10"/>
  <c r="DZ186" i="11"/>
  <c r="DZ31" i="5" s="1"/>
  <c r="EA13" i="5"/>
  <c r="EA231" i="11" s="1"/>
  <c r="EA5" i="11"/>
  <c r="EA14" i="11" s="1"/>
  <c r="DZ5" i="15"/>
  <c r="DZ13" i="15" s="1"/>
  <c r="EB5" i="4"/>
  <c r="EB4" i="19"/>
  <c r="EB4" i="5"/>
  <c r="EC4" i="2"/>
  <c r="EC5" i="6"/>
  <c r="EF4" i="14"/>
  <c r="EC4" i="10"/>
  <c r="DZ81" i="5"/>
  <c r="EA6" i="19"/>
  <c r="EA6" i="5"/>
  <c r="EB7" i="6"/>
  <c r="EB6" i="2"/>
  <c r="EB6" i="10"/>
  <c r="EE6" i="14"/>
  <c r="DZ39" i="4"/>
  <c r="DZ145" i="11"/>
  <c r="DZ157" i="11" s="1"/>
  <c r="DZ214" i="11"/>
  <c r="DZ140" i="11"/>
  <c r="DK165" i="11"/>
  <c r="DK167" i="11" s="1"/>
  <c r="DJ19" i="15" s="1"/>
  <c r="DL165" i="11"/>
  <c r="DL27" i="5" s="1"/>
  <c r="DO165" i="11"/>
  <c r="DO27" i="5" s="1"/>
  <c r="DM165" i="11"/>
  <c r="DM27" i="5" s="1"/>
  <c r="DN165" i="11"/>
  <c r="DN27" i="5" s="1"/>
  <c r="DM171" i="11"/>
  <c r="DM172" i="11" s="1"/>
  <c r="L24" i="11"/>
  <c r="EA245" i="11" l="1"/>
  <c r="EA235" i="11"/>
  <c r="DZ247" i="11"/>
  <c r="EA244" i="11" s="1"/>
  <c r="DZ250" i="11"/>
  <c r="DZ251" i="11" s="1"/>
  <c r="DZ252" i="11" s="1"/>
  <c r="EA249" i="11" s="1"/>
  <c r="EA67" i="11"/>
  <c r="EA101" i="5" s="1"/>
  <c r="EA72" i="11"/>
  <c r="EA106" i="5" s="1"/>
  <c r="DO19" i="11"/>
  <c r="DN31" i="15" s="1"/>
  <c r="DZ80" i="5"/>
  <c r="DZ107" i="11"/>
  <c r="EA104" i="11" s="1"/>
  <c r="DZ42" i="5"/>
  <c r="DZ112" i="11"/>
  <c r="EA109" i="11" s="1"/>
  <c r="DZ43" i="5"/>
  <c r="EE88" i="14"/>
  <c r="DZ74" i="5"/>
  <c r="DZ29" i="11"/>
  <c r="EA26" i="11" s="1"/>
  <c r="EA105" i="11" s="1"/>
  <c r="EB48" i="6" s="1"/>
  <c r="DZ34" i="11"/>
  <c r="EA31" i="11" s="1"/>
  <c r="EA110" i="11" s="1"/>
  <c r="EB49" i="6" s="1"/>
  <c r="DZ79" i="5"/>
  <c r="DZ77" i="5" s="1"/>
  <c r="EA32" i="11"/>
  <c r="EB31" i="10"/>
  <c r="EA190" i="11" s="1"/>
  <c r="DZ197" i="11"/>
  <c r="EA194" i="11" s="1"/>
  <c r="EA27" i="11"/>
  <c r="DZ192" i="11"/>
  <c r="EA189" i="11" s="1"/>
  <c r="DZ39" i="11"/>
  <c r="EA36" i="11" s="1"/>
  <c r="EB46" i="10"/>
  <c r="EB30" i="10"/>
  <c r="EA185" i="11" s="1"/>
  <c r="EB24" i="10"/>
  <c r="EB29" i="6" s="1"/>
  <c r="EB23" i="10"/>
  <c r="EA24" i="5" s="1"/>
  <c r="EB27" i="10"/>
  <c r="EA170" i="11" s="1"/>
  <c r="EB28" i="10"/>
  <c r="EA175" i="11" s="1"/>
  <c r="DZ177" i="11"/>
  <c r="EA174" i="11" s="1"/>
  <c r="EB41" i="6"/>
  <c r="EA195" i="11" s="1"/>
  <c r="EB26" i="10"/>
  <c r="EB31" i="6" s="1"/>
  <c r="EB25" i="10"/>
  <c r="EA26" i="5" s="1"/>
  <c r="EB25" i="6"/>
  <c r="EA35" i="5" s="1"/>
  <c r="EB22" i="10"/>
  <c r="EB27" i="6" s="1"/>
  <c r="EB53" i="10"/>
  <c r="EB45" i="10"/>
  <c r="EB48" i="10"/>
  <c r="EB44" i="10"/>
  <c r="EB50" i="10"/>
  <c r="EB52" i="10"/>
  <c r="EB47" i="10"/>
  <c r="EA4" i="15"/>
  <c r="EB4" i="11"/>
  <c r="DY11" i="15"/>
  <c r="DZ11" i="11"/>
  <c r="DZ10" i="11"/>
  <c r="DY10" i="15"/>
  <c r="EA7" i="11"/>
  <c r="DZ7" i="15"/>
  <c r="EA38" i="4"/>
  <c r="DZ6" i="15"/>
  <c r="EA6" i="11"/>
  <c r="EA97" i="11"/>
  <c r="EA37" i="11"/>
  <c r="EA87" i="11"/>
  <c r="EA88" i="11" s="1"/>
  <c r="EA17" i="11"/>
  <c r="EA57" i="11"/>
  <c r="EA22" i="11"/>
  <c r="EA72" i="5" s="1"/>
  <c r="EA45" i="4"/>
  <c r="EA9" i="4" s="1"/>
  <c r="EA46" i="4"/>
  <c r="EA10" i="4" s="1"/>
  <c r="EA27" i="4"/>
  <c r="EA26" i="4"/>
  <c r="EA47" i="4"/>
  <c r="EA11" i="4" s="1"/>
  <c r="EA25" i="4"/>
  <c r="EA8" i="19"/>
  <c r="EB9" i="6"/>
  <c r="EA8" i="5"/>
  <c r="EB8" i="2"/>
  <c r="EB8" i="10"/>
  <c r="EE8" i="14"/>
  <c r="DZ187" i="11"/>
  <c r="EA184" i="11" s="1"/>
  <c r="EB5" i="19"/>
  <c r="EB5" i="5"/>
  <c r="EC5" i="10"/>
  <c r="EC14" i="10" s="1"/>
  <c r="EC6" i="6"/>
  <c r="EC13" i="6" s="1"/>
  <c r="EC5" i="2"/>
  <c r="EC14" i="2" s="1"/>
  <c r="EF5" i="14"/>
  <c r="EF15" i="14" s="1"/>
  <c r="EB7" i="4"/>
  <c r="EB6" i="4"/>
  <c r="EC4" i="4"/>
  <c r="EB14" i="4"/>
  <c r="DY9" i="15"/>
  <c r="DZ9" i="11"/>
  <c r="EB49" i="10"/>
  <c r="EB21" i="2"/>
  <c r="EB23" i="2"/>
  <c r="EB22" i="2"/>
  <c r="EB24" i="2"/>
  <c r="EB30" i="2"/>
  <c r="EB25" i="2"/>
  <c r="EA32" i="4"/>
  <c r="DK27" i="5"/>
  <c r="DL164" i="11"/>
  <c r="DL167" i="11" s="1"/>
  <c r="DK19" i="15" s="1"/>
  <c r="DN169" i="11"/>
  <c r="M21" i="11"/>
  <c r="DM28" i="5"/>
  <c r="L71" i="5"/>
  <c r="EB137" i="5" l="1"/>
  <c r="EB138" i="5"/>
  <c r="EB13" i="19"/>
  <c r="DZ68" i="11"/>
  <c r="DZ102" i="5" s="1"/>
  <c r="DZ27" i="19" s="1"/>
  <c r="EA246" i="11"/>
  <c r="DP16" i="11"/>
  <c r="DP18" i="11" s="1"/>
  <c r="DP70" i="5" s="1"/>
  <c r="DP68" i="5" s="1"/>
  <c r="EC16" i="6"/>
  <c r="EC60" i="6" s="1"/>
  <c r="EC65" i="6" s="1"/>
  <c r="EA28" i="11"/>
  <c r="EA75" i="5"/>
  <c r="EA33" i="11"/>
  <c r="EA78" i="5"/>
  <c r="EA111" i="11"/>
  <c r="EA106" i="11"/>
  <c r="EA191" i="11"/>
  <c r="EA32" i="5" s="1"/>
  <c r="EB35" i="6"/>
  <c r="EB32" i="6"/>
  <c r="EA23" i="5"/>
  <c r="EA25" i="5"/>
  <c r="EB28" i="6"/>
  <c r="EB33" i="6"/>
  <c r="EA166" i="11"/>
  <c r="DP165" i="11" s="1"/>
  <c r="EB30" i="6"/>
  <c r="EB36" i="6"/>
  <c r="EA176" i="11"/>
  <c r="EA29" i="5" s="1"/>
  <c r="EB13" i="5"/>
  <c r="EB231" i="11" s="1"/>
  <c r="EA5" i="15"/>
  <c r="EA13" i="15" s="1"/>
  <c r="EB5" i="11"/>
  <c r="EB14" i="11" s="1"/>
  <c r="EB12" i="6"/>
  <c r="EA11" i="5"/>
  <c r="EA11" i="19"/>
  <c r="EE11" i="14"/>
  <c r="EB11" i="2"/>
  <c r="EB11" i="10"/>
  <c r="EA90" i="5"/>
  <c r="EA186" i="11"/>
  <c r="EA31" i="5" s="1"/>
  <c r="EA69" i="5"/>
  <c r="EA33" i="4"/>
  <c r="EB52" i="4"/>
  <c r="EB30" i="4"/>
  <c r="EB17" i="4"/>
  <c r="EB16" i="4"/>
  <c r="EB48" i="4"/>
  <c r="EB51" i="4"/>
  <c r="EB42" i="4"/>
  <c r="EB29" i="4"/>
  <c r="EB20" i="4"/>
  <c r="EB41" i="4"/>
  <c r="EB22" i="4"/>
  <c r="EC21" i="6" s="1"/>
  <c r="EC19" i="10" s="1"/>
  <c r="ED41" i="10" s="1"/>
  <c r="EB23" i="4"/>
  <c r="EB36" i="4"/>
  <c r="EB24" i="4"/>
  <c r="EB21" i="4"/>
  <c r="EB55" i="4"/>
  <c r="EB18" i="4"/>
  <c r="EB50" i="4"/>
  <c r="EB37" i="4"/>
  <c r="EB53" i="4"/>
  <c r="EB54" i="4"/>
  <c r="EB31" i="4"/>
  <c r="EB44" i="4"/>
  <c r="EB8" i="4" s="1"/>
  <c r="EB43" i="4"/>
  <c r="EB35" i="4"/>
  <c r="EA10" i="5"/>
  <c r="EA10" i="19"/>
  <c r="EB10" i="10"/>
  <c r="EB10" i="2"/>
  <c r="EB11" i="6"/>
  <c r="EE10" i="14"/>
  <c r="EA81" i="5"/>
  <c r="EC5" i="4"/>
  <c r="EC4" i="19"/>
  <c r="EC4" i="5"/>
  <c r="ED5" i="6"/>
  <c r="ED4" i="2"/>
  <c r="ED4" i="10"/>
  <c r="EG4" i="14"/>
  <c r="EA9" i="19"/>
  <c r="EA9" i="5"/>
  <c r="EB9" i="2"/>
  <c r="EB10" i="6"/>
  <c r="EE9" i="14"/>
  <c r="EB9" i="10"/>
  <c r="EA214" i="11"/>
  <c r="EA145" i="11"/>
  <c r="EA157" i="11" s="1"/>
  <c r="EA140" i="11"/>
  <c r="EC6" i="2"/>
  <c r="EB6" i="19"/>
  <c r="EC7" i="6"/>
  <c r="EB6" i="5"/>
  <c r="EF6" i="14"/>
  <c r="EC6" i="10"/>
  <c r="EB7" i="19"/>
  <c r="EB7" i="5"/>
  <c r="EC8" i="6"/>
  <c r="EC7" i="2"/>
  <c r="EF7" i="14"/>
  <c r="EC7" i="10"/>
  <c r="EF99" i="14"/>
  <c r="EF104" i="14"/>
  <c r="DZ8" i="15"/>
  <c r="EA8" i="11"/>
  <c r="EA39" i="4"/>
  <c r="EA196" i="11"/>
  <c r="EA39" i="5" s="1"/>
  <c r="EC36" i="10"/>
  <c r="EA38" i="11"/>
  <c r="DM164" i="11"/>
  <c r="DM167" i="11" s="1"/>
  <c r="DL19" i="15" s="1"/>
  <c r="M23" i="11"/>
  <c r="DN171" i="11"/>
  <c r="DN172" i="11" s="1"/>
  <c r="EB245" i="11" l="1"/>
  <c r="EB235" i="11"/>
  <c r="EE41" i="10"/>
  <c r="EF41" i="10" s="1"/>
  <c r="EG41" i="10" s="1"/>
  <c r="EH41" i="10" s="1"/>
  <c r="EI41" i="10" s="1"/>
  <c r="EJ41" i="10" s="1"/>
  <c r="EK41" i="10" s="1"/>
  <c r="EL41" i="10" s="1"/>
  <c r="EM41" i="10" s="1"/>
  <c r="EN41" i="10" s="1"/>
  <c r="EO41" i="10" s="1"/>
  <c r="EA250" i="11"/>
  <c r="EA251" i="11" s="1"/>
  <c r="EA252" i="11" s="1"/>
  <c r="EB249" i="11" s="1"/>
  <c r="EA247" i="11"/>
  <c r="EB244" i="11" s="1"/>
  <c r="EB67" i="11"/>
  <c r="EB101" i="5" s="1"/>
  <c r="EB72" i="11"/>
  <c r="EB106" i="5" s="1"/>
  <c r="DP19" i="11"/>
  <c r="DO31" i="15" s="1"/>
  <c r="EA107" i="11"/>
  <c r="EB104" i="11" s="1"/>
  <c r="EA42" i="5"/>
  <c r="EA112" i="11"/>
  <c r="EB109" i="11" s="1"/>
  <c r="EA43" i="5"/>
  <c r="EA192" i="11"/>
  <c r="EB189" i="11" s="1"/>
  <c r="EA34" i="11"/>
  <c r="EB31" i="11" s="1"/>
  <c r="EB110" i="11" s="1"/>
  <c r="EC49" i="6" s="1"/>
  <c r="EA79" i="5"/>
  <c r="EA77" i="5" s="1"/>
  <c r="EA29" i="11"/>
  <c r="EB26" i="11" s="1"/>
  <c r="EB105" i="11" s="1"/>
  <c r="EC48" i="6" s="1"/>
  <c r="EA76" i="5"/>
  <c r="EA74" i="5" s="1"/>
  <c r="EB32" i="11"/>
  <c r="EC31" i="10"/>
  <c r="EC36" i="6" s="1"/>
  <c r="EB27" i="11"/>
  <c r="M24" i="11"/>
  <c r="M73" i="5"/>
  <c r="EF88" i="14"/>
  <c r="EC48" i="10"/>
  <c r="EC44" i="10"/>
  <c r="EC50" i="10"/>
  <c r="EC52" i="10"/>
  <c r="EC49" i="10"/>
  <c r="EA177" i="11"/>
  <c r="EB174" i="11" s="1"/>
  <c r="EC45" i="10"/>
  <c r="EC46" i="10"/>
  <c r="EC53" i="10"/>
  <c r="EC25" i="6"/>
  <c r="EB35" i="5" s="1"/>
  <c r="EC25" i="10"/>
  <c r="EB26" i="5" s="1"/>
  <c r="EC23" i="10"/>
  <c r="EB24" i="5" s="1"/>
  <c r="EC41" i="6"/>
  <c r="EB195" i="11" s="1"/>
  <c r="EC30" i="10"/>
  <c r="EB185" i="11" s="1"/>
  <c r="EC27" i="10"/>
  <c r="EB170" i="11" s="1"/>
  <c r="EA197" i="11"/>
  <c r="EB194" i="11" s="1"/>
  <c r="EC22" i="10"/>
  <c r="EC27" i="6" s="1"/>
  <c r="EC28" i="10"/>
  <c r="EB175" i="11" s="1"/>
  <c r="EC24" i="10"/>
  <c r="EC29" i="6" s="1"/>
  <c r="EC26" i="10"/>
  <c r="EB166" i="11" s="1"/>
  <c r="EC47" i="10"/>
  <c r="EC5" i="19"/>
  <c r="EC5" i="5"/>
  <c r="ED5" i="10"/>
  <c r="ED14" i="10" s="1"/>
  <c r="ED6" i="6"/>
  <c r="ED13" i="6" s="1"/>
  <c r="EG5" i="14"/>
  <c r="EG15" i="14" s="1"/>
  <c r="ED5" i="2"/>
  <c r="ED14" i="2" s="1"/>
  <c r="ED4" i="4"/>
  <c r="EC7" i="4"/>
  <c r="EC14" i="4"/>
  <c r="EC6" i="4"/>
  <c r="DZ11" i="15"/>
  <c r="EA11" i="11"/>
  <c r="EA10" i="11"/>
  <c r="DZ10" i="15"/>
  <c r="EA82" i="5"/>
  <c r="EA80" i="5" s="1"/>
  <c r="EA39" i="11"/>
  <c r="EB36" i="11" s="1"/>
  <c r="EB7" i="11"/>
  <c r="EA7" i="15"/>
  <c r="EC22" i="2"/>
  <c r="EC25" i="2"/>
  <c r="EC30" i="2"/>
  <c r="EC23" i="2"/>
  <c r="EC24" i="2"/>
  <c r="EC21" i="2"/>
  <c r="EB46" i="4"/>
  <c r="EB10" i="4" s="1"/>
  <c r="EB25" i="4"/>
  <c r="EB45" i="4"/>
  <c r="EB9" i="4" s="1"/>
  <c r="EB27" i="4"/>
  <c r="EB47" i="4"/>
  <c r="EB11" i="4" s="1"/>
  <c r="EB26" i="4"/>
  <c r="DZ9" i="15"/>
  <c r="EA9" i="11"/>
  <c r="EB8" i="5"/>
  <c r="EC8" i="2"/>
  <c r="EB8" i="19"/>
  <c r="EC9" i="6"/>
  <c r="EF8" i="14"/>
  <c r="EC8" i="10"/>
  <c r="EB32" i="4"/>
  <c r="EA61" i="19"/>
  <c r="EB97" i="11"/>
  <c r="EB22" i="11"/>
  <c r="EB72" i="5" s="1"/>
  <c r="EB17" i="11"/>
  <c r="EB57" i="11"/>
  <c r="EB87" i="11"/>
  <c r="EB88" i="11" s="1"/>
  <c r="EB37" i="11"/>
  <c r="EA187" i="11"/>
  <c r="EB184" i="11" s="1"/>
  <c r="DP27" i="5"/>
  <c r="EB4" i="15"/>
  <c r="EC4" i="11"/>
  <c r="EB38" i="4"/>
  <c r="EB6" i="11"/>
  <c r="EA6" i="15"/>
  <c r="DN164" i="11"/>
  <c r="DN167" i="11" s="1"/>
  <c r="DM19" i="15" s="1"/>
  <c r="DO169" i="11"/>
  <c r="DN28" i="5"/>
  <c r="EC137" i="5" l="1"/>
  <c r="EC138" i="5"/>
  <c r="K41" i="10"/>
  <c r="AJ39" i="1" s="1"/>
  <c r="M7" i="21" s="1"/>
  <c r="EC13" i="19"/>
  <c r="EA68" i="11"/>
  <c r="EA102" i="5" s="1"/>
  <c r="EA27" i="19" s="1"/>
  <c r="EB250" i="11"/>
  <c r="EB251" i="11" s="1"/>
  <c r="EB252" i="11" s="1"/>
  <c r="EC249" i="11" s="1"/>
  <c r="DQ16" i="11"/>
  <c r="DQ18" i="11" s="1"/>
  <c r="DQ70" i="5" s="1"/>
  <c r="DQ68" i="5" s="1"/>
  <c r="ED16" i="6"/>
  <c r="ED60" i="6" s="1"/>
  <c r="ED65" i="6" s="1"/>
  <c r="EB33" i="11"/>
  <c r="EB78" i="5"/>
  <c r="EB28" i="11"/>
  <c r="EB76" i="5" s="1"/>
  <c r="EB75" i="5"/>
  <c r="EB111" i="11"/>
  <c r="EB106" i="11"/>
  <c r="N21" i="11"/>
  <c r="N23" i="11" s="1"/>
  <c r="EC35" i="6"/>
  <c r="EC30" i="6"/>
  <c r="EB196" i="11"/>
  <c r="EB39" i="5" s="1"/>
  <c r="EC31" i="6"/>
  <c r="EC33" i="6"/>
  <c r="EB190" i="11"/>
  <c r="EB191" i="11" s="1"/>
  <c r="EB32" i="5" s="1"/>
  <c r="EB38" i="11"/>
  <c r="EB82" i="5" s="1"/>
  <c r="EC28" i="6"/>
  <c r="EB23" i="5"/>
  <c r="EC32" i="6"/>
  <c r="EB25" i="5"/>
  <c r="EB39" i="4"/>
  <c r="DQ165" i="11"/>
  <c r="EB186" i="11"/>
  <c r="EB31" i="5" s="1"/>
  <c r="EB214" i="11"/>
  <c r="EB145" i="11"/>
  <c r="EB157" i="11" s="1"/>
  <c r="EB140" i="11"/>
  <c r="EB10" i="19"/>
  <c r="EC10" i="2"/>
  <c r="EB10" i="5"/>
  <c r="EF10" i="14"/>
  <c r="EC10" i="10"/>
  <c r="EC11" i="6"/>
  <c r="EC13" i="5"/>
  <c r="EC231" i="11" s="1"/>
  <c r="EB5" i="15"/>
  <c r="EB13" i="15" s="1"/>
  <c r="EC5" i="11"/>
  <c r="EC14" i="11" s="1"/>
  <c r="EB176" i="11"/>
  <c r="EB29" i="5" s="1"/>
  <c r="EB81" i="5"/>
  <c r="EA8" i="15"/>
  <c r="EB8" i="11"/>
  <c r="EB11" i="19"/>
  <c r="EB11" i="5"/>
  <c r="EC11" i="2"/>
  <c r="EC12" i="6"/>
  <c r="EC11" i="10"/>
  <c r="EF11" i="14"/>
  <c r="EB90" i="5"/>
  <c r="EB69" i="5"/>
  <c r="EB9" i="19"/>
  <c r="EB9" i="5"/>
  <c r="EC10" i="6"/>
  <c r="EC9" i="2"/>
  <c r="EC9" i="10"/>
  <c r="EF9" i="14"/>
  <c r="EB33" i="4"/>
  <c r="ED36" i="10"/>
  <c r="ED7" i="6"/>
  <c r="EC6" i="19"/>
  <c r="ED6" i="2"/>
  <c r="EC6" i="5"/>
  <c r="ED6" i="10"/>
  <c r="EG6" i="14"/>
  <c r="EC22" i="4"/>
  <c r="ED21" i="6" s="1"/>
  <c r="ED19" i="10" s="1"/>
  <c r="EC44" i="4"/>
  <c r="EC8" i="4" s="1"/>
  <c r="EC37" i="4"/>
  <c r="EC17" i="4"/>
  <c r="EC43" i="4"/>
  <c r="EC48" i="4"/>
  <c r="EC18" i="4"/>
  <c r="EC51" i="4"/>
  <c r="EC20" i="4"/>
  <c r="EC21" i="4"/>
  <c r="EC50" i="4"/>
  <c r="EC30" i="4"/>
  <c r="EC31" i="4"/>
  <c r="EC29" i="4"/>
  <c r="EC35" i="4"/>
  <c r="EC54" i="4"/>
  <c r="EC23" i="4"/>
  <c r="EC55" i="4"/>
  <c r="EC53" i="4"/>
  <c r="EC16" i="4"/>
  <c r="EC42" i="4"/>
  <c r="EC36" i="4"/>
  <c r="EC24" i="4"/>
  <c r="EC52" i="4"/>
  <c r="EC41" i="4"/>
  <c r="EC7" i="5"/>
  <c r="ED8" i="6"/>
  <c r="EC7" i="19"/>
  <c r="ED7" i="2"/>
  <c r="EG7" i="14"/>
  <c r="ED7" i="10"/>
  <c r="ED5" i="4"/>
  <c r="ED4" i="5"/>
  <c r="EE5" i="6"/>
  <c r="ED4" i="19"/>
  <c r="EE4" i="2"/>
  <c r="EE4" i="10"/>
  <c r="EH4" i="14"/>
  <c r="EG104" i="14"/>
  <c r="EG99" i="14"/>
  <c r="DO164" i="11"/>
  <c r="DO167" i="11" s="1"/>
  <c r="DN19" i="15" s="1"/>
  <c r="M71" i="5"/>
  <c r="DO171" i="11"/>
  <c r="DO28" i="5" s="1"/>
  <c r="EC245" i="11" l="1"/>
  <c r="EC235" i="11"/>
  <c r="EB246" i="11"/>
  <c r="EC67" i="11"/>
  <c r="EC101" i="5" s="1"/>
  <c r="EC72" i="11"/>
  <c r="EC106" i="5" s="1"/>
  <c r="DQ19" i="11"/>
  <c r="DP31" i="15" s="1"/>
  <c r="EB107" i="11"/>
  <c r="EC104" i="11" s="1"/>
  <c r="EB42" i="5"/>
  <c r="EB112" i="11"/>
  <c r="EC109" i="11" s="1"/>
  <c r="EB43" i="5"/>
  <c r="EG88" i="14"/>
  <c r="EB80" i="5"/>
  <c r="EB74" i="5"/>
  <c r="EB29" i="11"/>
  <c r="EC26" i="11" s="1"/>
  <c r="EC105" i="11" s="1"/>
  <c r="ED48" i="6" s="1"/>
  <c r="EB34" i="11"/>
  <c r="EC31" i="11" s="1"/>
  <c r="EC110" i="11" s="1"/>
  <c r="ED49" i="6" s="1"/>
  <c r="EB79" i="5"/>
  <c r="EB77" i="5" s="1"/>
  <c r="EC32" i="11"/>
  <c r="ED31" i="10"/>
  <c r="ED36" i="6" s="1"/>
  <c r="EC27" i="11"/>
  <c r="N24" i="11"/>
  <c r="N73" i="5"/>
  <c r="EB197" i="11"/>
  <c r="EC194" i="11" s="1"/>
  <c r="ED25" i="6"/>
  <c r="EC35" i="5" s="1"/>
  <c r="EB192" i="11"/>
  <c r="EC189" i="11" s="1"/>
  <c r="EB39" i="11"/>
  <c r="EC36" i="11" s="1"/>
  <c r="ED46" i="10"/>
  <c r="ED23" i="10"/>
  <c r="EC24" i="5" s="1"/>
  <c r="ED25" i="10"/>
  <c r="ED30" i="6" s="1"/>
  <c r="ED22" i="10"/>
  <c r="EC23" i="5" s="1"/>
  <c r="EB177" i="11"/>
  <c r="EC174" i="11" s="1"/>
  <c r="ED28" i="10"/>
  <c r="ED33" i="6" s="1"/>
  <c r="ED27" i="10"/>
  <c r="ED32" i="6" s="1"/>
  <c r="ED45" i="10"/>
  <c r="ED49" i="10"/>
  <c r="ED53" i="10"/>
  <c r="ED30" i="10"/>
  <c r="EC185" i="11" s="1"/>
  <c r="ED24" i="10"/>
  <c r="EC25" i="5" s="1"/>
  <c r="ED50" i="10"/>
  <c r="ED26" i="10"/>
  <c r="ED31" i="6" s="1"/>
  <c r="ED47" i="10"/>
  <c r="ED41" i="6"/>
  <c r="EC195" i="11" s="1"/>
  <c r="EB187" i="11"/>
  <c r="EC184" i="11" s="1"/>
  <c r="EB7" i="15"/>
  <c r="EC7" i="11"/>
  <c r="EC38" i="4"/>
  <c r="ED48" i="10"/>
  <c r="EC4" i="15"/>
  <c r="ED4" i="11"/>
  <c r="EC27" i="4"/>
  <c r="EC47" i="4"/>
  <c r="EC11" i="4" s="1"/>
  <c r="EC26" i="4"/>
  <c r="EC25" i="4"/>
  <c r="EC46" i="4"/>
  <c r="EC10" i="4" s="1"/>
  <c r="EC45" i="4"/>
  <c r="EC9" i="4" s="1"/>
  <c r="EA9" i="15"/>
  <c r="EB9" i="11"/>
  <c r="EB10" i="11"/>
  <c r="EA10" i="15"/>
  <c r="ED5" i="19"/>
  <c r="ED5" i="5"/>
  <c r="EE6" i="6"/>
  <c r="EE13" i="6" s="1"/>
  <c r="EE5" i="10"/>
  <c r="EE14" i="10" s="1"/>
  <c r="EE5" i="2"/>
  <c r="EE14" i="2" s="1"/>
  <c r="EH5" i="14"/>
  <c r="EH15" i="14" s="1"/>
  <c r="EE4" i="4"/>
  <c r="ED6" i="4"/>
  <c r="ED7" i="4"/>
  <c r="ED14" i="4"/>
  <c r="EB6" i="15"/>
  <c r="EC6" i="11"/>
  <c r="ED52" i="10"/>
  <c r="DQ27" i="5"/>
  <c r="ED44" i="10"/>
  <c r="ED24" i="2"/>
  <c r="ED23" i="2"/>
  <c r="ED22" i="2"/>
  <c r="ED21" i="2"/>
  <c r="ED30" i="2"/>
  <c r="ED25" i="2"/>
  <c r="EA11" i="15"/>
  <c r="EB11" i="11"/>
  <c r="EB61" i="19"/>
  <c r="EC97" i="11"/>
  <c r="EC17" i="11"/>
  <c r="EC22" i="11"/>
  <c r="EC72" i="5" s="1"/>
  <c r="EC87" i="11"/>
  <c r="EC88" i="11" s="1"/>
  <c r="EC57" i="11"/>
  <c r="EC37" i="11"/>
  <c r="EC8" i="19"/>
  <c r="ED9" i="6"/>
  <c r="ED8" i="2"/>
  <c r="EG8" i="14"/>
  <c r="EC8" i="5"/>
  <c r="ED8" i="10"/>
  <c r="EC32" i="4"/>
  <c r="DP164" i="11"/>
  <c r="DP167" i="11" s="1"/>
  <c r="DO19" i="15" s="1"/>
  <c r="DO172" i="11"/>
  <c r="ED138" i="5" l="1"/>
  <c r="ED137" i="5"/>
  <c r="ED13" i="19"/>
  <c r="EC190" i="11"/>
  <c r="EC191" i="11" s="1"/>
  <c r="EC32" i="5" s="1"/>
  <c r="EB247" i="11"/>
  <c r="EC244" i="11" s="1"/>
  <c r="EB68" i="11"/>
  <c r="EB102" i="5" s="1"/>
  <c r="EB27" i="19" s="1"/>
  <c r="DR16" i="11"/>
  <c r="DR18" i="11" s="1"/>
  <c r="DR70" i="5" s="1"/>
  <c r="DR68" i="5" s="1"/>
  <c r="N71" i="5"/>
  <c r="EE16" i="6"/>
  <c r="EE60" i="6" s="1"/>
  <c r="EE65" i="6" s="1"/>
  <c r="EC106" i="11"/>
  <c r="EC107" i="11" s="1"/>
  <c r="ED104" i="11" s="1"/>
  <c r="O21" i="11"/>
  <c r="O23" i="11" s="1"/>
  <c r="O73" i="5" s="1"/>
  <c r="O71" i="5" s="1"/>
  <c r="EC33" i="11"/>
  <c r="EC78" i="5"/>
  <c r="EC28" i="11"/>
  <c r="EC75" i="5"/>
  <c r="EC111" i="11"/>
  <c r="ED27" i="6"/>
  <c r="EC26" i="5"/>
  <c r="EC38" i="11"/>
  <c r="EC82" i="5" s="1"/>
  <c r="EC170" i="11"/>
  <c r="ED29" i="6"/>
  <c r="EC186" i="11"/>
  <c r="EC31" i="5" s="1"/>
  <c r="ED35" i="6"/>
  <c r="EC175" i="11"/>
  <c r="EC176" i="11" s="1"/>
  <c r="EC29" i="5" s="1"/>
  <c r="EC166" i="11"/>
  <c r="DR165" i="11" s="1"/>
  <c r="ED28" i="6"/>
  <c r="EC145" i="11"/>
  <c r="EC157" i="11" s="1"/>
  <c r="EC214" i="11"/>
  <c r="EC140" i="11"/>
  <c r="EC33" i="4"/>
  <c r="EC90" i="5"/>
  <c r="EB8" i="15"/>
  <c r="EC8" i="11"/>
  <c r="EC69" i="5"/>
  <c r="EE36" i="10"/>
  <c r="ED13" i="5"/>
  <c r="ED231" i="11" s="1"/>
  <c r="EC5" i="15"/>
  <c r="EC13" i="15" s="1"/>
  <c r="ED5" i="11"/>
  <c r="ED14" i="11" s="1"/>
  <c r="ED17" i="4"/>
  <c r="ED44" i="4"/>
  <c r="ED8" i="4" s="1"/>
  <c r="ED31" i="4"/>
  <c r="ED51" i="4"/>
  <c r="ED24" i="4"/>
  <c r="ED18" i="4"/>
  <c r="ED41" i="4"/>
  <c r="ED23" i="4"/>
  <c r="ED43" i="4"/>
  <c r="ED21" i="4"/>
  <c r="ED36" i="4"/>
  <c r="ED48" i="4"/>
  <c r="ED37" i="4"/>
  <c r="ED22" i="4"/>
  <c r="ED29" i="4"/>
  <c r="ED54" i="4"/>
  <c r="ED35" i="4"/>
  <c r="ED30" i="4"/>
  <c r="ED53" i="4"/>
  <c r="ED50" i="4"/>
  <c r="ED16" i="4"/>
  <c r="ED42" i="4"/>
  <c r="ED52" i="4"/>
  <c r="ED55" i="4"/>
  <c r="ED20" i="4"/>
  <c r="ED7" i="19"/>
  <c r="EE8" i="6"/>
  <c r="ED7" i="5"/>
  <c r="EE7" i="2"/>
  <c r="EE7" i="10"/>
  <c r="EH7" i="14"/>
  <c r="EC81" i="5"/>
  <c r="ED6" i="19"/>
  <c r="ED6" i="5"/>
  <c r="EE6" i="10"/>
  <c r="EE7" i="6"/>
  <c r="EE6" i="2"/>
  <c r="EH6" i="14"/>
  <c r="EC196" i="11"/>
  <c r="EC39" i="5" s="1"/>
  <c r="EE5" i="4"/>
  <c r="EE4" i="19"/>
  <c r="EF4" i="2"/>
  <c r="EE4" i="5"/>
  <c r="EF5" i="6"/>
  <c r="EF4" i="10"/>
  <c r="EI4" i="14"/>
  <c r="EH104" i="14"/>
  <c r="EH99" i="14"/>
  <c r="EC9" i="19"/>
  <c r="ED10" i="6"/>
  <c r="ED9" i="2"/>
  <c r="EC9" i="5"/>
  <c r="ED9" i="10"/>
  <c r="EG9" i="14"/>
  <c r="EC10" i="19"/>
  <c r="EC10" i="5"/>
  <c r="ED11" i="6"/>
  <c r="EG10" i="14"/>
  <c r="ED10" i="2"/>
  <c r="ED10" i="10"/>
  <c r="EC11" i="19"/>
  <c r="EC11" i="5"/>
  <c r="ED11" i="2"/>
  <c r="ED11" i="10"/>
  <c r="ED12" i="6"/>
  <c r="EG11" i="14"/>
  <c r="EC39" i="4"/>
  <c r="DQ164" i="11"/>
  <c r="DQ167" i="11" s="1"/>
  <c r="DP19" i="15" s="1"/>
  <c r="DP169" i="11"/>
  <c r="ED245" i="11" l="1"/>
  <c r="ED235" i="11"/>
  <c r="EE28" i="10"/>
  <c r="EE33" i="6" s="1"/>
  <c r="EE21" i="6"/>
  <c r="EE19" i="10" s="1"/>
  <c r="E619" i="32"/>
  <c r="EC246" i="11"/>
  <c r="EC247" i="11" s="1"/>
  <c r="ED244" i="11" s="1"/>
  <c r="EC250" i="11"/>
  <c r="EC251" i="11" s="1"/>
  <c r="EC252" i="11" s="1"/>
  <c r="ED249" i="11" s="1"/>
  <c r="ED67" i="11"/>
  <c r="ED101" i="5" s="1"/>
  <c r="ED72" i="11"/>
  <c r="ED106" i="5" s="1"/>
  <c r="EH88" i="14"/>
  <c r="DR19" i="11"/>
  <c r="DQ31" i="15" s="1"/>
  <c r="EC42" i="5"/>
  <c r="EC112" i="11"/>
  <c r="ED109" i="11" s="1"/>
  <c r="EC43" i="5"/>
  <c r="EC29" i="11"/>
  <c r="ED26" i="11" s="1"/>
  <c r="ED105" i="11" s="1"/>
  <c r="EE48" i="6" s="1"/>
  <c r="EC76" i="5"/>
  <c r="EC74" i="5" s="1"/>
  <c r="EC80" i="5"/>
  <c r="O24" i="11"/>
  <c r="P21" i="11" s="1"/>
  <c r="EC34" i="11"/>
  <c r="ED31" i="11" s="1"/>
  <c r="ED110" i="11" s="1"/>
  <c r="EE49" i="6" s="1"/>
  <c r="EC79" i="5"/>
  <c r="EC77" i="5" s="1"/>
  <c r="ED32" i="11"/>
  <c r="EE31" i="10"/>
  <c r="ED27" i="11"/>
  <c r="EC39" i="11"/>
  <c r="ED36" i="11" s="1"/>
  <c r="EC187" i="11"/>
  <c r="ED184" i="11" s="1"/>
  <c r="EE30" i="10"/>
  <c r="ED185" i="11" s="1"/>
  <c r="EC177" i="11"/>
  <c r="ED174" i="11" s="1"/>
  <c r="EE22" i="10"/>
  <c r="ED23" i="5" s="1"/>
  <c r="EC197" i="11"/>
  <c r="ED194" i="11" s="1"/>
  <c r="EC192" i="11"/>
  <c r="ED189" i="11" s="1"/>
  <c r="EE50" i="10"/>
  <c r="EE46" i="10"/>
  <c r="EB9" i="15"/>
  <c r="EC9" i="11"/>
  <c r="EE26" i="10"/>
  <c r="ED25" i="4"/>
  <c r="ED47" i="4"/>
  <c r="ED11" i="4" s="1"/>
  <c r="ED45" i="4"/>
  <c r="ED9" i="4" s="1"/>
  <c r="ED46" i="4"/>
  <c r="ED10" i="4" s="1"/>
  <c r="ED26" i="4"/>
  <c r="ED27" i="4"/>
  <c r="EE48" i="10"/>
  <c r="EE45" i="10"/>
  <c r="EC61" i="19"/>
  <c r="EE47" i="10"/>
  <c r="EE53" i="10"/>
  <c r="EE41" i="6"/>
  <c r="EE49" i="10"/>
  <c r="ED32" i="4"/>
  <c r="EE44" i="10"/>
  <c r="EE27" i="10"/>
  <c r="EE25" i="6"/>
  <c r="ED4" i="15"/>
  <c r="EE4" i="11"/>
  <c r="EC6" i="15"/>
  <c r="ED6" i="11"/>
  <c r="ED8" i="19"/>
  <c r="ED8" i="5"/>
  <c r="EE9" i="6"/>
  <c r="EE8" i="2"/>
  <c r="EE8" i="10"/>
  <c r="EH8" i="14"/>
  <c r="ED37" i="11"/>
  <c r="ED57" i="11"/>
  <c r="ED97" i="11"/>
  <c r="ED87" i="11"/>
  <c r="ED88" i="11" s="1"/>
  <c r="ED22" i="11"/>
  <c r="ED72" i="5" s="1"/>
  <c r="ED17" i="11"/>
  <c r="EE52" i="10"/>
  <c r="EC7" i="15"/>
  <c r="ED7" i="11"/>
  <c r="ED38" i="4"/>
  <c r="EE22" i="2"/>
  <c r="EE21" i="2"/>
  <c r="EE24" i="2"/>
  <c r="EE25" i="2"/>
  <c r="EE30" i="2"/>
  <c r="EE23" i="2"/>
  <c r="DR27" i="5"/>
  <c r="EE25" i="10"/>
  <c r="EC10" i="11"/>
  <c r="EB10" i="15"/>
  <c r="EE23" i="10"/>
  <c r="EE24" i="10"/>
  <c r="EB11" i="15"/>
  <c r="EC11" i="11"/>
  <c r="EE5" i="5"/>
  <c r="EE5" i="19"/>
  <c r="EF6" i="6"/>
  <c r="EF13" i="6" s="1"/>
  <c r="EF5" i="10"/>
  <c r="EF14" i="10" s="1"/>
  <c r="EI5" i="14"/>
  <c r="EI15" i="14" s="1"/>
  <c r="EF5" i="2"/>
  <c r="EF14" i="2" s="1"/>
  <c r="EF4" i="4"/>
  <c r="EE7" i="4"/>
  <c r="EE14" i="4"/>
  <c r="EE6" i="4"/>
  <c r="DR164" i="11"/>
  <c r="DR167" i="11" s="1"/>
  <c r="DQ19" i="15" s="1"/>
  <c r="DP171" i="11"/>
  <c r="DP28" i="5" s="1"/>
  <c r="EE137" i="5" l="1"/>
  <c r="EE138" i="5"/>
  <c r="ED175" i="11"/>
  <c r="ED176" i="11" s="1"/>
  <c r="ED177" i="11" s="1"/>
  <c r="EE174" i="11" s="1"/>
  <c r="EC68" i="11"/>
  <c r="EC102" i="5" s="1"/>
  <c r="EC27" i="19" s="1"/>
  <c r="EE13" i="19"/>
  <c r="ED250" i="11"/>
  <c r="ED251" i="11" s="1"/>
  <c r="ED252" i="11" s="1"/>
  <c r="EE249" i="11" s="1"/>
  <c r="DS16" i="11"/>
  <c r="DS18" i="11" s="1"/>
  <c r="DS70" i="5" s="1"/>
  <c r="DS68" i="5" s="1"/>
  <c r="EF16" i="6"/>
  <c r="EF60" i="6" s="1"/>
  <c r="EF65" i="6" s="1"/>
  <c r="ED33" i="11"/>
  <c r="ED78" i="5"/>
  <c r="ED28" i="11"/>
  <c r="ED75" i="5"/>
  <c r="ED111" i="11"/>
  <c r="ED106" i="11"/>
  <c r="ED186" i="11"/>
  <c r="ED31" i="5" s="1"/>
  <c r="EE35" i="6"/>
  <c r="EE27" i="6"/>
  <c r="EE36" i="4"/>
  <c r="EE17" i="4"/>
  <c r="EE42" i="4"/>
  <c r="EE44" i="4"/>
  <c r="EE8" i="4" s="1"/>
  <c r="EE50" i="4"/>
  <c r="EE48" i="4"/>
  <c r="EE24" i="4"/>
  <c r="EE29" i="4"/>
  <c r="EE21" i="4"/>
  <c r="EE52" i="4"/>
  <c r="EE53" i="4"/>
  <c r="EE54" i="4"/>
  <c r="EE20" i="4"/>
  <c r="EE23" i="4"/>
  <c r="EE55" i="4"/>
  <c r="EE37" i="4"/>
  <c r="EE38" i="4" s="1"/>
  <c r="EE39" i="4" s="1"/>
  <c r="EE41" i="4"/>
  <c r="EE16" i="4"/>
  <c r="EE35" i="4"/>
  <c r="EE51" i="4"/>
  <c r="EE30" i="4"/>
  <c r="EE43" i="4"/>
  <c r="EE22" i="4"/>
  <c r="EF21" i="6" s="1"/>
  <c r="EF19" i="10" s="1"/>
  <c r="EE31" i="4"/>
  <c r="EE18" i="4"/>
  <c r="EE7" i="19"/>
  <c r="EF7" i="2"/>
  <c r="EE7" i="5"/>
  <c r="EF8" i="6"/>
  <c r="EF7" i="10"/>
  <c r="EI7" i="14"/>
  <c r="EF4" i="19"/>
  <c r="EG5" i="6"/>
  <c r="EF4" i="5"/>
  <c r="EG4" i="2"/>
  <c r="EF5" i="4"/>
  <c r="EG4" i="10"/>
  <c r="EJ4" i="14"/>
  <c r="ED24" i="5"/>
  <c r="EE28" i="6"/>
  <c r="EI104" i="14"/>
  <c r="EI99" i="14"/>
  <c r="EF36" i="10"/>
  <c r="EE13" i="5"/>
  <c r="EE231" i="11" s="1"/>
  <c r="ED5" i="15"/>
  <c r="ED13" i="15" s="1"/>
  <c r="EE5" i="11"/>
  <c r="EE14" i="11" s="1"/>
  <c r="ED25" i="5"/>
  <c r="EE29" i="6"/>
  <c r="ED26" i="5"/>
  <c r="EE30" i="6"/>
  <c r="EF7" i="6"/>
  <c r="EF6" i="2"/>
  <c r="EE6" i="19"/>
  <c r="EF6" i="10"/>
  <c r="EE6" i="5"/>
  <c r="EI6" i="14"/>
  <c r="ED81" i="5"/>
  <c r="ED38" i="11"/>
  <c r="ED39" i="4"/>
  <c r="ED35" i="5"/>
  <c r="ED145" i="11"/>
  <c r="ED157" i="11" s="1"/>
  <c r="ED214" i="11"/>
  <c r="ED140" i="11"/>
  <c r="ED195" i="11"/>
  <c r="ED90" i="5"/>
  <c r="EE32" i="6"/>
  <c r="ED170" i="11"/>
  <c r="EE36" i="6"/>
  <c r="ED190" i="11"/>
  <c r="EE31" i="6"/>
  <c r="ED166" i="11"/>
  <c r="ED10" i="19"/>
  <c r="EE10" i="2"/>
  <c r="ED10" i="5"/>
  <c r="EE11" i="6"/>
  <c r="EE10" i="10"/>
  <c r="EH10" i="14"/>
  <c r="ED9" i="5"/>
  <c r="EE9" i="2"/>
  <c r="ED9" i="19"/>
  <c r="EE9" i="10"/>
  <c r="EE10" i="6"/>
  <c r="EH9" i="14"/>
  <c r="ED8" i="11"/>
  <c r="EC8" i="15"/>
  <c r="ED33" i="4"/>
  <c r="ED11" i="19"/>
  <c r="EE12" i="6"/>
  <c r="ED11" i="5"/>
  <c r="EE11" i="10"/>
  <c r="EE11" i="2"/>
  <c r="EH11" i="14"/>
  <c r="ED69" i="5"/>
  <c r="DS164" i="11"/>
  <c r="P23" i="11"/>
  <c r="DP172" i="11"/>
  <c r="EE245" i="11" l="1"/>
  <c r="EE235" i="11"/>
  <c r="ED246" i="11"/>
  <c r="ED247" i="11" s="1"/>
  <c r="EE244" i="11" s="1"/>
  <c r="EE72" i="11"/>
  <c r="EE106" i="5" s="1"/>
  <c r="EE67" i="11"/>
  <c r="EE101" i="5" s="1"/>
  <c r="DS19" i="11"/>
  <c r="DR31" i="15" s="1"/>
  <c r="EI88" i="14"/>
  <c r="ED107" i="11"/>
  <c r="EE104" i="11" s="1"/>
  <c r="ED42" i="5"/>
  <c r="ED112" i="11"/>
  <c r="EE109" i="11" s="1"/>
  <c r="ED43" i="5"/>
  <c r="ED29" i="11"/>
  <c r="EE26" i="11" s="1"/>
  <c r="EE105" i="11" s="1"/>
  <c r="EF48" i="6" s="1"/>
  <c r="ED76" i="5"/>
  <c r="ED74" i="5" s="1"/>
  <c r="ED34" i="11"/>
  <c r="EE31" i="11" s="1"/>
  <c r="EE110" i="11" s="1"/>
  <c r="EF49" i="6" s="1"/>
  <c r="ED79" i="5"/>
  <c r="ED77" i="5" s="1"/>
  <c r="EE32" i="11"/>
  <c r="EF31" i="10"/>
  <c r="EE190" i="11" s="1"/>
  <c r="EE27" i="11"/>
  <c r="ED187" i="11"/>
  <c r="EE184" i="11" s="1"/>
  <c r="P24" i="11"/>
  <c r="P73" i="5"/>
  <c r="EF30" i="10"/>
  <c r="EF35" i="6" s="1"/>
  <c r="ED29" i="5"/>
  <c r="EF28" i="10"/>
  <c r="EE175" i="11" s="1"/>
  <c r="EF41" i="6"/>
  <c r="EE195" i="11" s="1"/>
  <c r="EF25" i="6"/>
  <c r="EE35" i="5" s="1"/>
  <c r="EF26" i="10"/>
  <c r="EF31" i="6" s="1"/>
  <c r="EF23" i="10"/>
  <c r="EF28" i="6" s="1"/>
  <c r="EF25" i="10"/>
  <c r="EE26" i="5" s="1"/>
  <c r="EF22" i="10"/>
  <c r="EF27" i="6" s="1"/>
  <c r="EF24" i="10"/>
  <c r="EF29" i="6" s="1"/>
  <c r="EF52" i="10"/>
  <c r="EF53" i="10"/>
  <c r="EF48" i="10"/>
  <c r="EF27" i="10"/>
  <c r="EF45" i="10"/>
  <c r="EF49" i="10"/>
  <c r="EF50" i="10"/>
  <c r="EF46" i="10"/>
  <c r="EF47" i="10"/>
  <c r="EF44" i="10"/>
  <c r="DS165" i="11"/>
  <c r="DS167" i="11" s="1"/>
  <c r="ED82" i="5"/>
  <c r="ED80" i="5" s="1"/>
  <c r="ED39" i="11"/>
  <c r="EE36" i="11" s="1"/>
  <c r="EE46" i="4"/>
  <c r="EE10" i="4" s="1"/>
  <c r="EE25" i="4"/>
  <c r="EE26" i="4"/>
  <c r="EE27" i="4"/>
  <c r="EE47" i="4"/>
  <c r="EE11" i="4" s="1"/>
  <c r="EE45" i="4"/>
  <c r="EE9" i="4" s="1"/>
  <c r="ED61" i="19"/>
  <c r="EE6" i="11"/>
  <c r="ED6" i="15"/>
  <c r="ED7" i="15"/>
  <c r="EE7" i="11"/>
  <c r="EE8" i="19"/>
  <c r="EF9" i="6"/>
  <c r="EF8" i="2"/>
  <c r="EE8" i="5"/>
  <c r="EF8" i="10"/>
  <c r="EI8" i="14"/>
  <c r="EG4" i="4"/>
  <c r="EF5" i="19"/>
  <c r="EG6" i="6"/>
  <c r="EG13" i="6" s="1"/>
  <c r="EG5" i="2"/>
  <c r="EG14" i="2" s="1"/>
  <c r="EF5" i="5"/>
  <c r="EF14" i="4"/>
  <c r="EG5" i="10"/>
  <c r="EG14" i="10" s="1"/>
  <c r="EJ5" i="14"/>
  <c r="EJ15" i="14" s="1"/>
  <c r="EF7" i="4"/>
  <c r="EF6" i="4"/>
  <c r="ED10" i="11"/>
  <c r="EC10" i="15"/>
  <c r="EE17" i="11"/>
  <c r="EE57" i="11"/>
  <c r="EE22" i="11"/>
  <c r="EE72" i="5" s="1"/>
  <c r="EE87" i="11"/>
  <c r="EE88" i="11" s="1"/>
  <c r="EE37" i="11"/>
  <c r="EE97" i="11"/>
  <c r="EF22" i="2"/>
  <c r="EF21" i="2"/>
  <c r="EF25" i="2"/>
  <c r="EF30" i="2"/>
  <c r="EF23" i="2"/>
  <c r="EF24" i="2"/>
  <c r="ED191" i="11"/>
  <c r="ED32" i="5" s="1"/>
  <c r="EE4" i="15"/>
  <c r="EF4" i="11"/>
  <c r="EC11" i="15"/>
  <c r="ED11" i="11"/>
  <c r="ED9" i="11"/>
  <c r="EC9" i="15"/>
  <c r="EE32" i="4"/>
  <c r="EE33" i="4" s="1"/>
  <c r="ED196" i="11"/>
  <c r="ED39" i="5" s="1"/>
  <c r="DQ169" i="11"/>
  <c r="DQ171" i="11" s="1"/>
  <c r="DQ28" i="5" s="1"/>
  <c r="EF138" i="5" l="1"/>
  <c r="EF137" i="5"/>
  <c r="ED68" i="11"/>
  <c r="ED102" i="5" s="1"/>
  <c r="ED27" i="19" s="1"/>
  <c r="EF13" i="19"/>
  <c r="DT16" i="11"/>
  <c r="DT18" i="11" s="1"/>
  <c r="DT70" i="5" s="1"/>
  <c r="DT68" i="5" s="1"/>
  <c r="P71" i="5"/>
  <c r="EG16" i="6"/>
  <c r="EG60" i="6" s="1"/>
  <c r="EG65" i="6" s="1"/>
  <c r="EE185" i="11"/>
  <c r="EE186" i="11" s="1"/>
  <c r="EE31" i="5" s="1"/>
  <c r="EE28" i="11"/>
  <c r="EE75" i="5"/>
  <c r="EE33" i="11"/>
  <c r="EE78" i="5"/>
  <c r="EE111" i="11"/>
  <c r="EE106" i="11"/>
  <c r="Q21" i="11"/>
  <c r="EF36" i="6"/>
  <c r="EE25" i="5"/>
  <c r="EF33" i="6"/>
  <c r="ED197" i="11"/>
  <c r="EE194" i="11" s="1"/>
  <c r="EE196" i="11" s="1"/>
  <c r="EE39" i="5" s="1"/>
  <c r="EE166" i="11"/>
  <c r="DT165" i="11" s="1"/>
  <c r="DT27" i="5" s="1"/>
  <c r="EE24" i="5"/>
  <c r="EF30" i="6"/>
  <c r="EE23" i="5"/>
  <c r="EE38" i="11"/>
  <c r="EE82" i="5" s="1"/>
  <c r="EE170" i="11"/>
  <c r="EF32" i="6"/>
  <c r="ED192" i="11"/>
  <c r="EE189" i="11" s="1"/>
  <c r="EE191" i="11" s="1"/>
  <c r="EE32" i="5" s="1"/>
  <c r="DR19" i="15"/>
  <c r="DT164" i="11"/>
  <c r="EE90" i="5"/>
  <c r="EE69" i="5"/>
  <c r="EE176" i="11"/>
  <c r="EE29" i="5" s="1"/>
  <c r="EE145" i="11"/>
  <c r="EE157" i="11" s="1"/>
  <c r="EE214" i="11"/>
  <c r="EE140" i="11"/>
  <c r="EE81" i="5"/>
  <c r="EG5" i="4"/>
  <c r="EG4" i="19"/>
  <c r="EH5" i="6"/>
  <c r="EH4" i="2"/>
  <c r="EG4" i="5"/>
  <c r="EH4" i="10"/>
  <c r="EK4" i="14"/>
  <c r="EG7" i="6"/>
  <c r="EG6" i="2"/>
  <c r="EF6" i="19"/>
  <c r="EF6" i="5"/>
  <c r="EG6" i="10"/>
  <c r="EJ6" i="14"/>
  <c r="EF7" i="19"/>
  <c r="EG8" i="6"/>
  <c r="EG7" i="10"/>
  <c r="EF7" i="5"/>
  <c r="EG7" i="2"/>
  <c r="EJ7" i="14"/>
  <c r="EJ104" i="14"/>
  <c r="EJ99" i="14"/>
  <c r="EG36" i="10"/>
  <c r="EF17" i="4"/>
  <c r="EF18" i="4"/>
  <c r="EF36" i="4"/>
  <c r="EF29" i="4"/>
  <c r="EF16" i="4"/>
  <c r="EF41" i="4"/>
  <c r="EF20" i="4"/>
  <c r="EF44" i="4"/>
  <c r="EF8" i="4" s="1"/>
  <c r="EF24" i="4"/>
  <c r="EF21" i="4"/>
  <c r="EF53" i="4"/>
  <c r="EF50" i="4"/>
  <c r="EF30" i="4"/>
  <c r="EF54" i="4"/>
  <c r="EF48" i="4"/>
  <c r="EF42" i="4"/>
  <c r="EF35" i="4"/>
  <c r="EF22" i="4"/>
  <c r="EG21" i="6" s="1"/>
  <c r="EG19" i="10" s="1"/>
  <c r="EF51" i="4"/>
  <c r="EF52" i="4"/>
  <c r="EF55" i="4"/>
  <c r="EF31" i="4"/>
  <c r="EF32" i="4" s="1"/>
  <c r="EF33" i="4" s="1"/>
  <c r="EF43" i="4"/>
  <c r="EF37" i="4"/>
  <c r="EF38" i="4" s="1"/>
  <c r="EF39" i="4" s="1"/>
  <c r="EF23" i="4"/>
  <c r="EG48" i="10" s="1"/>
  <c r="EE5" i="15"/>
  <c r="EE13" i="15" s="1"/>
  <c r="EF13" i="5"/>
  <c r="EF231" i="11" s="1"/>
  <c r="EF5" i="11"/>
  <c r="EF14" i="11" s="1"/>
  <c r="EE8" i="11"/>
  <c r="ED8" i="15"/>
  <c r="DS27" i="5"/>
  <c r="EF10" i="6"/>
  <c r="EF9" i="2"/>
  <c r="EE9" i="19"/>
  <c r="EE9" i="5"/>
  <c r="EI9" i="14"/>
  <c r="EF9" i="10"/>
  <c r="EE11" i="19"/>
  <c r="EF11" i="2"/>
  <c r="EF12" i="6"/>
  <c r="EE11" i="5"/>
  <c r="EF11" i="10"/>
  <c r="EI11" i="14"/>
  <c r="EE10" i="5"/>
  <c r="EE10" i="19"/>
  <c r="EF11" i="6"/>
  <c r="EF10" i="2"/>
  <c r="EF10" i="10"/>
  <c r="EI10" i="14"/>
  <c r="DQ172" i="11"/>
  <c r="EF245" i="11" l="1"/>
  <c r="EF235" i="11"/>
  <c r="EE246" i="11"/>
  <c r="EE250" i="11"/>
  <c r="EE251" i="11" s="1"/>
  <c r="EE252" i="11" s="1"/>
  <c r="EF249" i="11" s="1"/>
  <c r="EF67" i="11"/>
  <c r="EF101" i="5" s="1"/>
  <c r="EF72" i="11"/>
  <c r="EF106" i="5" s="1"/>
  <c r="DT19" i="11"/>
  <c r="DS31" i="15" s="1"/>
  <c r="EE80" i="5"/>
  <c r="EE187" i="11"/>
  <c r="EF184" i="11" s="1"/>
  <c r="EE107" i="11"/>
  <c r="EF104" i="11" s="1"/>
  <c r="EE42" i="5"/>
  <c r="EE112" i="11"/>
  <c r="EF109" i="11" s="1"/>
  <c r="EE43" i="5"/>
  <c r="EE34" i="11"/>
  <c r="EF31" i="11" s="1"/>
  <c r="EF110" i="11" s="1"/>
  <c r="EG49" i="6" s="1"/>
  <c r="EE79" i="5"/>
  <c r="EE77" i="5" s="1"/>
  <c r="EE29" i="11"/>
  <c r="EF26" i="11" s="1"/>
  <c r="EF105" i="11" s="1"/>
  <c r="EG48" i="6" s="1"/>
  <c r="EE76" i="5"/>
  <c r="EE74" i="5" s="1"/>
  <c r="Q23" i="11"/>
  <c r="Q73" i="5" s="1"/>
  <c r="EF32" i="11"/>
  <c r="EG31" i="10"/>
  <c r="EF190" i="11" s="1"/>
  <c r="EJ88" i="14"/>
  <c r="EF27" i="11"/>
  <c r="EE39" i="11"/>
  <c r="EF36" i="11" s="1"/>
  <c r="EG50" i="10"/>
  <c r="EG25" i="10"/>
  <c r="EG30" i="6" s="1"/>
  <c r="EG49" i="10"/>
  <c r="EG47" i="10"/>
  <c r="EG45" i="10"/>
  <c r="EG53" i="10"/>
  <c r="EG52" i="10"/>
  <c r="EG28" i="10"/>
  <c r="EG33" i="6" s="1"/>
  <c r="DT167" i="11"/>
  <c r="DS19" i="15" s="1"/>
  <c r="EE10" i="11"/>
  <c r="ED10" i="15"/>
  <c r="EG44" i="10"/>
  <c r="EG27" i="10"/>
  <c r="EE197" i="11"/>
  <c r="EF194" i="11" s="1"/>
  <c r="EE192" i="11"/>
  <c r="EF189" i="11" s="1"/>
  <c r="EF47" i="4"/>
  <c r="EF11" i="4" s="1"/>
  <c r="EF46" i="4"/>
  <c r="EF10" i="4" s="1"/>
  <c r="EF45" i="4"/>
  <c r="EF9" i="4" s="1"/>
  <c r="EF25" i="4"/>
  <c r="EF27" i="4"/>
  <c r="EF26" i="4"/>
  <c r="EH5" i="2"/>
  <c r="EH14" i="2" s="1"/>
  <c r="EG5" i="5"/>
  <c r="EG5" i="19"/>
  <c r="EH6" i="6"/>
  <c r="EH13" i="6" s="1"/>
  <c r="EH5" i="10"/>
  <c r="EH14" i="10" s="1"/>
  <c r="EG14" i="4"/>
  <c r="EK5" i="14"/>
  <c r="EK15" i="14" s="1"/>
  <c r="EG6" i="4"/>
  <c r="EH4" i="4"/>
  <c r="EG7" i="4"/>
  <c r="EF8" i="19"/>
  <c r="EG9" i="6"/>
  <c r="EF8" i="5"/>
  <c r="EG8" i="2"/>
  <c r="EG8" i="10"/>
  <c r="EJ8" i="14"/>
  <c r="EG22" i="10"/>
  <c r="EG41" i="6"/>
  <c r="EF195" i="11" s="1"/>
  <c r="EG26" i="10"/>
  <c r="EF6" i="11"/>
  <c r="EE6" i="15"/>
  <c r="EG25" i="6"/>
  <c r="ED11" i="15"/>
  <c r="EE11" i="11"/>
  <c r="EG24" i="10"/>
  <c r="EF17" i="11"/>
  <c r="EF69" i="5" s="1"/>
  <c r="EF97" i="11"/>
  <c r="EF87" i="11"/>
  <c r="EF88" i="11" s="1"/>
  <c r="EF22" i="11"/>
  <c r="EF72" i="5" s="1"/>
  <c r="EF57" i="11"/>
  <c r="EF90" i="5" s="1"/>
  <c r="EF61" i="19" s="1"/>
  <c r="EF37" i="11"/>
  <c r="EF81" i="5" s="1"/>
  <c r="EE177" i="11"/>
  <c r="EF174" i="11" s="1"/>
  <c r="ED9" i="15"/>
  <c r="EE9" i="11"/>
  <c r="EG30" i="10"/>
  <c r="EE7" i="15"/>
  <c r="EF7" i="11"/>
  <c r="EF4" i="15"/>
  <c r="EG4" i="11"/>
  <c r="EG25" i="2"/>
  <c r="EG22" i="2"/>
  <c r="EG24" i="2"/>
  <c r="EG21" i="2"/>
  <c r="EG23" i="2"/>
  <c r="EG30" i="2"/>
  <c r="EG46" i="10"/>
  <c r="EG23" i="10"/>
  <c r="EE61" i="19"/>
  <c r="DR169" i="11"/>
  <c r="DR171" i="11" s="1"/>
  <c r="DR28" i="5" s="1"/>
  <c r="EG137" i="5" l="1"/>
  <c r="EG138" i="5"/>
  <c r="EG13" i="19"/>
  <c r="EE247" i="11"/>
  <c r="EF244" i="11" s="1"/>
  <c r="EE68" i="11"/>
  <c r="EE102" i="5" s="1"/>
  <c r="EE27" i="19" s="1"/>
  <c r="EF250" i="11"/>
  <c r="EF251" i="11" s="1"/>
  <c r="EF252" i="11" s="1"/>
  <c r="EG249" i="11" s="1"/>
  <c r="DU16" i="11"/>
  <c r="DU18" i="11" s="1"/>
  <c r="DU70" i="5" s="1"/>
  <c r="DU68" i="5" s="1"/>
  <c r="Q71" i="5"/>
  <c r="EH16" i="6"/>
  <c r="EH60" i="6" s="1"/>
  <c r="EH65" i="6" s="1"/>
  <c r="EF33" i="11"/>
  <c r="EF78" i="5"/>
  <c r="EF28" i="11"/>
  <c r="EF75" i="5"/>
  <c r="EF111" i="11"/>
  <c r="EF106" i="11"/>
  <c r="Q24" i="11"/>
  <c r="EF196" i="11"/>
  <c r="EF39" i="5" s="1"/>
  <c r="EF38" i="11"/>
  <c r="EF82" i="5" s="1"/>
  <c r="EF80" i="5" s="1"/>
  <c r="EF26" i="5"/>
  <c r="EG36" i="6"/>
  <c r="EF175" i="11"/>
  <c r="EF176" i="11" s="1"/>
  <c r="EF29" i="5" s="1"/>
  <c r="DU164" i="11"/>
  <c r="EF24" i="5"/>
  <c r="EG28" i="6"/>
  <c r="EG35" i="6"/>
  <c r="EF185" i="11"/>
  <c r="EF145" i="11"/>
  <c r="EF157" i="11" s="1"/>
  <c r="EF214" i="11"/>
  <c r="EF140" i="11"/>
  <c r="EF191" i="11"/>
  <c r="EF32" i="5" s="1"/>
  <c r="EG7" i="5"/>
  <c r="EG7" i="19"/>
  <c r="EH8" i="6"/>
  <c r="EH7" i="10"/>
  <c r="EK7" i="14"/>
  <c r="EH7" i="2"/>
  <c r="EH5" i="4"/>
  <c r="EI4" i="2"/>
  <c r="EI5" i="6"/>
  <c r="EH4" i="19"/>
  <c r="EI4" i="10"/>
  <c r="EL4" i="14"/>
  <c r="EH4" i="5"/>
  <c r="EG6" i="19"/>
  <c r="EH6" i="2"/>
  <c r="EG6" i="5"/>
  <c r="EH7" i="6"/>
  <c r="EK6" i="14"/>
  <c r="EH6" i="10"/>
  <c r="EG32" i="6"/>
  <c r="EF170" i="11"/>
  <c r="EK104" i="14"/>
  <c r="EK99" i="14"/>
  <c r="EF25" i="5"/>
  <c r="EG29" i="6"/>
  <c r="EG27" i="6"/>
  <c r="EF23" i="5"/>
  <c r="EG36" i="4"/>
  <c r="EG17" i="4"/>
  <c r="EG16" i="4"/>
  <c r="EG41" i="4"/>
  <c r="EG18" i="4"/>
  <c r="EG20" i="4"/>
  <c r="EG29" i="4"/>
  <c r="EG44" i="4"/>
  <c r="EG8" i="4" s="1"/>
  <c r="EG24" i="4"/>
  <c r="EG21" i="4"/>
  <c r="EG53" i="4"/>
  <c r="EG55" i="4"/>
  <c r="EG30" i="4"/>
  <c r="EG35" i="4"/>
  <c r="EG50" i="4"/>
  <c r="EG48" i="4"/>
  <c r="EG54" i="4"/>
  <c r="EG52" i="4"/>
  <c r="EG42" i="4"/>
  <c r="EG51" i="4"/>
  <c r="EG22" i="4"/>
  <c r="EH21" i="6" s="1"/>
  <c r="EH19" i="10" s="1"/>
  <c r="EG37" i="4"/>
  <c r="EG38" i="4" s="1"/>
  <c r="EG39" i="4" s="1"/>
  <c r="EG31" i="4"/>
  <c r="EG32" i="4" s="1"/>
  <c r="EG33" i="4" s="1"/>
  <c r="EG43" i="4"/>
  <c r="EG23" i="4"/>
  <c r="EG10" i="6"/>
  <c r="EF9" i="5"/>
  <c r="EG9" i="2"/>
  <c r="EF9" i="19"/>
  <c r="EG9" i="10"/>
  <c r="EJ9" i="14"/>
  <c r="EH36" i="10"/>
  <c r="EG11" i="6"/>
  <c r="EF10" i="19"/>
  <c r="EF10" i="5"/>
  <c r="EG10" i="2"/>
  <c r="EG10" i="10"/>
  <c r="EJ10" i="14"/>
  <c r="EG31" i="6"/>
  <c r="EF166" i="11"/>
  <c r="EF11" i="19"/>
  <c r="EF11" i="5"/>
  <c r="EG12" i="6"/>
  <c r="EG11" i="2"/>
  <c r="EG11" i="10"/>
  <c r="EJ11" i="14"/>
  <c r="EF35" i="5"/>
  <c r="EF8" i="11"/>
  <c r="EE8" i="15"/>
  <c r="EG5" i="11"/>
  <c r="EG14" i="11" s="1"/>
  <c r="EF5" i="15"/>
  <c r="EF13" i="15" s="1"/>
  <c r="EG13" i="5"/>
  <c r="EG231" i="11" s="1"/>
  <c r="DR172" i="11"/>
  <c r="EG245" i="11" l="1"/>
  <c r="EG235" i="11"/>
  <c r="EF246" i="11"/>
  <c r="EG72" i="11"/>
  <c r="EG106" i="5" s="1"/>
  <c r="EG67" i="11"/>
  <c r="EG101" i="5" s="1"/>
  <c r="DU19" i="11"/>
  <c r="DV16" i="11" s="1"/>
  <c r="EK88" i="14"/>
  <c r="EF107" i="11"/>
  <c r="EG104" i="11" s="1"/>
  <c r="EF42" i="5"/>
  <c r="EF112" i="11"/>
  <c r="EG109" i="11" s="1"/>
  <c r="EF43" i="5"/>
  <c r="EF29" i="11"/>
  <c r="EG26" i="11" s="1"/>
  <c r="EG105" i="11" s="1"/>
  <c r="EH48" i="6" s="1"/>
  <c r="EF76" i="5"/>
  <c r="EF74" i="5" s="1"/>
  <c r="EF34" i="11"/>
  <c r="EG31" i="11" s="1"/>
  <c r="EG110" i="11" s="1"/>
  <c r="EH49" i="6" s="1"/>
  <c r="EF79" i="5"/>
  <c r="EF77" i="5" s="1"/>
  <c r="R21" i="11"/>
  <c r="EG32" i="11"/>
  <c r="EH31" i="10"/>
  <c r="EG27" i="11"/>
  <c r="EF197" i="11"/>
  <c r="EG194" i="11" s="1"/>
  <c r="EH25" i="10"/>
  <c r="EH30" i="6" s="1"/>
  <c r="EF39" i="11"/>
  <c r="EG36" i="11" s="1"/>
  <c r="EH46" i="10"/>
  <c r="EH48" i="10"/>
  <c r="EH22" i="10"/>
  <c r="EG23" i="5" s="1"/>
  <c r="EH49" i="10"/>
  <c r="EH50" i="10"/>
  <c r="EH28" i="10"/>
  <c r="EG175" i="11" s="1"/>
  <c r="EH52" i="10"/>
  <c r="EH44" i="10"/>
  <c r="EH23" i="10"/>
  <c r="EG24" i="5" s="1"/>
  <c r="EH47" i="10"/>
  <c r="EG8" i="19"/>
  <c r="EG8" i="5"/>
  <c r="EH8" i="2"/>
  <c r="EH9" i="6"/>
  <c r="EH8" i="10"/>
  <c r="EK8" i="14"/>
  <c r="EG6" i="11"/>
  <c r="EF6" i="15"/>
  <c r="EF192" i="11"/>
  <c r="EG189" i="11" s="1"/>
  <c r="EE10" i="15"/>
  <c r="EF10" i="11"/>
  <c r="EF186" i="11"/>
  <c r="EF31" i="5" s="1"/>
  <c r="EG46" i="4"/>
  <c r="EG10" i="4" s="1"/>
  <c r="EG45" i="4"/>
  <c r="EG9" i="4" s="1"/>
  <c r="EG26" i="4"/>
  <c r="EG25" i="4"/>
  <c r="EG27" i="4"/>
  <c r="EG47" i="4"/>
  <c r="EG11" i="4" s="1"/>
  <c r="EE11" i="15"/>
  <c r="EF11" i="11"/>
  <c r="EG22" i="11"/>
  <c r="EG72" i="5" s="1"/>
  <c r="EG97" i="11"/>
  <c r="EG57" i="11"/>
  <c r="EG90" i="5" s="1"/>
  <c r="EG61" i="19" s="1"/>
  <c r="EG17" i="11"/>
  <c r="EG69" i="5" s="1"/>
  <c r="EG87" i="11"/>
  <c r="EG88" i="11" s="1"/>
  <c r="EG37" i="11"/>
  <c r="EG81" i="5" s="1"/>
  <c r="EH24" i="10"/>
  <c r="EF177" i="11"/>
  <c r="EG174" i="11" s="1"/>
  <c r="EH41" i="6"/>
  <c r="EG195" i="11" s="1"/>
  <c r="EH30" i="10"/>
  <c r="EH27" i="10"/>
  <c r="EH25" i="6"/>
  <c r="EG35" i="5" s="1"/>
  <c r="EH53" i="10"/>
  <c r="EE9" i="15"/>
  <c r="EF9" i="11"/>
  <c r="EH4" i="11"/>
  <c r="EG4" i="15"/>
  <c r="EH25" i="2"/>
  <c r="EH21" i="2"/>
  <c r="EH23" i="2"/>
  <c r="EH24" i="2"/>
  <c r="EH22" i="2"/>
  <c r="EH30" i="2"/>
  <c r="DU165" i="11"/>
  <c r="EH45" i="10"/>
  <c r="EH26" i="10"/>
  <c r="EG7" i="11"/>
  <c r="EF7" i="15"/>
  <c r="EH5" i="19"/>
  <c r="EI5" i="2"/>
  <c r="EI14" i="2" s="1"/>
  <c r="EH5" i="5"/>
  <c r="EI5" i="10"/>
  <c r="EI14" i="10" s="1"/>
  <c r="EI6" i="6"/>
  <c r="EI13" i="6" s="1"/>
  <c r="EL5" i="14"/>
  <c r="EL15" i="14" s="1"/>
  <c r="EH6" i="4"/>
  <c r="EH7" i="4"/>
  <c r="EH14" i="4"/>
  <c r="EI4" i="4"/>
  <c r="DS169" i="11"/>
  <c r="DS171" i="11" s="1"/>
  <c r="DS28" i="5" s="1"/>
  <c r="EH137" i="5" l="1"/>
  <c r="EH138" i="5"/>
  <c r="EH13" i="19"/>
  <c r="EF247" i="11"/>
  <c r="EG244" i="11" s="1"/>
  <c r="EF68" i="11"/>
  <c r="EF102" i="5" s="1"/>
  <c r="EF27" i="19" s="1"/>
  <c r="DT31" i="15"/>
  <c r="DV18" i="11"/>
  <c r="DV70" i="5" s="1"/>
  <c r="DV68" i="5" s="1"/>
  <c r="EI16" i="6"/>
  <c r="EI60" i="6" s="1"/>
  <c r="EI65" i="6" s="1"/>
  <c r="EG28" i="11"/>
  <c r="EG75" i="5"/>
  <c r="EG33" i="11"/>
  <c r="EG78" i="5"/>
  <c r="EG111" i="11"/>
  <c r="EG106" i="11"/>
  <c r="R23" i="11"/>
  <c r="R73" i="5" s="1"/>
  <c r="EG26" i="5"/>
  <c r="EG196" i="11"/>
  <c r="EG39" i="5" s="1"/>
  <c r="EH27" i="6"/>
  <c r="EH33" i="6"/>
  <c r="EH28" i="6"/>
  <c r="EG38" i="11"/>
  <c r="EG82" i="5" s="1"/>
  <c r="EG80" i="5" s="1"/>
  <c r="EH7" i="19"/>
  <c r="EI8" i="6"/>
  <c r="EI7" i="2"/>
  <c r="EH7" i="5"/>
  <c r="EL7" i="14"/>
  <c r="EI7" i="10"/>
  <c r="EF187" i="11"/>
  <c r="EG184" i="11" s="1"/>
  <c r="EG8" i="11"/>
  <c r="EF8" i="15"/>
  <c r="EH6" i="19"/>
  <c r="EI6" i="2"/>
  <c r="EI7" i="6"/>
  <c r="EI6" i="10"/>
  <c r="EH6" i="5"/>
  <c r="EL6" i="14"/>
  <c r="EG190" i="11"/>
  <c r="EG191" i="11" s="1"/>
  <c r="EH36" i="6"/>
  <c r="EG9" i="19"/>
  <c r="EG9" i="5"/>
  <c r="EH9" i="2"/>
  <c r="EH10" i="6"/>
  <c r="EK9" i="14"/>
  <c r="EH9" i="10"/>
  <c r="DU27" i="5"/>
  <c r="DU167" i="11"/>
  <c r="EL99" i="14"/>
  <c r="EL104" i="14"/>
  <c r="EG10" i="5"/>
  <c r="EH11" i="6"/>
  <c r="EH10" i="2"/>
  <c r="EG10" i="19"/>
  <c r="EK10" i="14"/>
  <c r="EH10" i="10"/>
  <c r="EI36" i="10"/>
  <c r="EG5" i="15"/>
  <c r="EG13" i="15" s="1"/>
  <c r="EH5" i="11"/>
  <c r="EH14" i="11" s="1"/>
  <c r="EH13" i="5"/>
  <c r="EH231" i="11" s="1"/>
  <c r="EG145" i="11"/>
  <c r="EG157" i="11" s="1"/>
  <c r="EG214" i="11"/>
  <c r="EG140" i="11"/>
  <c r="EH32" i="6"/>
  <c r="EG170" i="11"/>
  <c r="EG25" i="5"/>
  <c r="EH29" i="6"/>
  <c r="EH31" i="6"/>
  <c r="EG166" i="11"/>
  <c r="EH16" i="4"/>
  <c r="EH41" i="4"/>
  <c r="EH29" i="4"/>
  <c r="EH20" i="4"/>
  <c r="EH36" i="4"/>
  <c r="EH17" i="4"/>
  <c r="EH18" i="4"/>
  <c r="EH44" i="4"/>
  <c r="EH8" i="4" s="1"/>
  <c r="EH21" i="4"/>
  <c r="EH24" i="4"/>
  <c r="EH42" i="4"/>
  <c r="EH50" i="4"/>
  <c r="EH55" i="4"/>
  <c r="EH53" i="4"/>
  <c r="EH52" i="4"/>
  <c r="EH48" i="4"/>
  <c r="EH51" i="4"/>
  <c r="EH30" i="4"/>
  <c r="EH35" i="4"/>
  <c r="EH22" i="4"/>
  <c r="EI21" i="6" s="1"/>
  <c r="EI19" i="10" s="1"/>
  <c r="EH54" i="4"/>
  <c r="EH43" i="4"/>
  <c r="EH31" i="4"/>
  <c r="EH32" i="4" s="1"/>
  <c r="EH33" i="4" s="1"/>
  <c r="EH37" i="4"/>
  <c r="EH38" i="4" s="1"/>
  <c r="EH39" i="4" s="1"/>
  <c r="EH23" i="4"/>
  <c r="EI50" i="10" s="1"/>
  <c r="EH35" i="6"/>
  <c r="EG185" i="11"/>
  <c r="EG176" i="11"/>
  <c r="EG29" i="5" s="1"/>
  <c r="EI5" i="4"/>
  <c r="EJ5" i="6"/>
  <c r="EI4" i="19"/>
  <c r="EI4" i="5"/>
  <c r="EJ4" i="2"/>
  <c r="EJ4" i="10"/>
  <c r="EM4" i="14"/>
  <c r="EG11" i="19"/>
  <c r="EG11" i="5"/>
  <c r="EH11" i="2"/>
  <c r="EH12" i="6"/>
  <c r="EH11" i="10"/>
  <c r="EK11" i="14"/>
  <c r="DS172" i="11"/>
  <c r="EH245" i="11" l="1"/>
  <c r="EH235" i="11"/>
  <c r="R71" i="5"/>
  <c r="F619" i="32"/>
  <c r="EG246" i="11"/>
  <c r="EG247" i="11" s="1"/>
  <c r="EH244" i="11" s="1"/>
  <c r="EG250" i="11"/>
  <c r="EH67" i="11"/>
  <c r="EH101" i="5" s="1"/>
  <c r="EH72" i="11"/>
  <c r="EH106" i="5" s="1"/>
  <c r="DV19" i="11"/>
  <c r="DW16" i="11" s="1"/>
  <c r="EG107" i="11"/>
  <c r="EH104" i="11" s="1"/>
  <c r="EG42" i="5"/>
  <c r="EG112" i="11"/>
  <c r="EH109" i="11" s="1"/>
  <c r="EG43" i="5"/>
  <c r="EG34" i="11"/>
  <c r="EH31" i="11" s="1"/>
  <c r="EH110" i="11" s="1"/>
  <c r="EI49" i="6" s="1"/>
  <c r="EG79" i="5"/>
  <c r="EG77" i="5" s="1"/>
  <c r="EG29" i="11"/>
  <c r="EH26" i="11" s="1"/>
  <c r="EH105" i="11" s="1"/>
  <c r="EI48" i="6" s="1"/>
  <c r="EG76" i="5"/>
  <c r="EG74" i="5" s="1"/>
  <c r="R24" i="11"/>
  <c r="EH32" i="11"/>
  <c r="EI31" i="10"/>
  <c r="EH27" i="11"/>
  <c r="EG197" i="11"/>
  <c r="EH194" i="11" s="1"/>
  <c r="EL88" i="14"/>
  <c r="EG39" i="11"/>
  <c r="EH36" i="11" s="1"/>
  <c r="EI26" i="10"/>
  <c r="EI31" i="6" s="1"/>
  <c r="EI45" i="10"/>
  <c r="EI47" i="10"/>
  <c r="EG192" i="11"/>
  <c r="EH189" i="11" s="1"/>
  <c r="EG32" i="5"/>
  <c r="EH46" i="4"/>
  <c r="EH10" i="4" s="1"/>
  <c r="EH47" i="4"/>
  <c r="EH11" i="4" s="1"/>
  <c r="EH27" i="4"/>
  <c r="EH45" i="4"/>
  <c r="EH9" i="4" s="1"/>
  <c r="EH25" i="4"/>
  <c r="EH26" i="4"/>
  <c r="EI53" i="10"/>
  <c r="EI30" i="10"/>
  <c r="EG177" i="11"/>
  <c r="EH174" i="11" s="1"/>
  <c r="EI52" i="10"/>
  <c r="EH8" i="19"/>
  <c r="EI8" i="2"/>
  <c r="EH8" i="5"/>
  <c r="EI9" i="6"/>
  <c r="EI8" i="10"/>
  <c r="EL8" i="14"/>
  <c r="EI27" i="10"/>
  <c r="EH17" i="11"/>
  <c r="EH69" i="5" s="1"/>
  <c r="EH87" i="11"/>
  <c r="EH88" i="11" s="1"/>
  <c r="EH57" i="11"/>
  <c r="EH90" i="5" s="1"/>
  <c r="EH61" i="19" s="1"/>
  <c r="EH22" i="11"/>
  <c r="EH72" i="5" s="1"/>
  <c r="EH37" i="11"/>
  <c r="EH81" i="5" s="1"/>
  <c r="EH97" i="11"/>
  <c r="EI46" i="10"/>
  <c r="EI23" i="10"/>
  <c r="EF9" i="15"/>
  <c r="EG9" i="11"/>
  <c r="EG6" i="15"/>
  <c r="EH6" i="11"/>
  <c r="EI22" i="2"/>
  <c r="EI23" i="2"/>
  <c r="EI24" i="2"/>
  <c r="EI21" i="2"/>
  <c r="EI25" i="2"/>
  <c r="EI30" i="2"/>
  <c r="EH4" i="15"/>
  <c r="EI4" i="11"/>
  <c r="EI25" i="6"/>
  <c r="EH35" i="5" s="1"/>
  <c r="EH7" i="11"/>
  <c r="EG7" i="15"/>
  <c r="EI41" i="6"/>
  <c r="EH195" i="11" s="1"/>
  <c r="EI44" i="10"/>
  <c r="EI28" i="10"/>
  <c r="EI22" i="10"/>
  <c r="DV164" i="11"/>
  <c r="DT19" i="15"/>
  <c r="EJ6" i="6"/>
  <c r="EJ13" i="6" s="1"/>
  <c r="EI5" i="19"/>
  <c r="EJ5" i="2"/>
  <c r="EJ14" i="2" s="1"/>
  <c r="EI5" i="5"/>
  <c r="EM5" i="14"/>
  <c r="EM15" i="14" s="1"/>
  <c r="EJ5" i="10"/>
  <c r="EJ14" i="10" s="1"/>
  <c r="EI7" i="4"/>
  <c r="EI6" i="4"/>
  <c r="EI14" i="4"/>
  <c r="EJ4" i="4"/>
  <c r="EI25" i="10"/>
  <c r="EI48" i="10"/>
  <c r="EF11" i="15"/>
  <c r="EG11" i="11"/>
  <c r="DV165" i="11"/>
  <c r="DV27" i="5" s="1"/>
  <c r="EI49" i="10"/>
  <c r="EI24" i="10"/>
  <c r="EF10" i="15"/>
  <c r="EG10" i="11"/>
  <c r="EG186" i="11"/>
  <c r="EG31" i="5" s="1"/>
  <c r="DT169" i="11"/>
  <c r="EI137" i="5" l="1"/>
  <c r="EI138" i="5"/>
  <c r="EI13" i="19"/>
  <c r="EH246" i="11"/>
  <c r="EG251" i="11"/>
  <c r="EG68" i="11" s="1"/>
  <c r="EG102" i="5" s="1"/>
  <c r="EG27" i="19" s="1"/>
  <c r="DU31" i="15"/>
  <c r="DW18" i="11"/>
  <c r="DW70" i="5" s="1"/>
  <c r="DW68" i="5" s="1"/>
  <c r="EJ16" i="6"/>
  <c r="EJ60" i="6" s="1"/>
  <c r="EJ65" i="6" s="1"/>
  <c r="S21" i="11"/>
  <c r="EH33" i="11"/>
  <c r="EH78" i="5"/>
  <c r="EH28" i="11"/>
  <c r="EH75" i="5"/>
  <c r="EH111" i="11"/>
  <c r="EH106" i="11"/>
  <c r="EH166" i="11"/>
  <c r="DW165" i="11" s="1"/>
  <c r="DW27" i="5" s="1"/>
  <c r="DV167" i="11"/>
  <c r="DU19" i="15" s="1"/>
  <c r="EH175" i="11"/>
  <c r="EH176" i="11" s="1"/>
  <c r="EH29" i="5" s="1"/>
  <c r="EI33" i="6"/>
  <c r="EH38" i="11"/>
  <c r="EH82" i="5" s="1"/>
  <c r="EH80" i="5" s="1"/>
  <c r="EH185" i="11"/>
  <c r="EI35" i="6"/>
  <c r="EI32" i="6"/>
  <c r="EH170" i="11"/>
  <c r="EH145" i="11"/>
  <c r="EH157" i="11" s="1"/>
  <c r="EH214" i="11"/>
  <c r="EH140" i="11"/>
  <c r="EH25" i="5"/>
  <c r="EI29" i="6"/>
  <c r="EH26" i="5"/>
  <c r="EI30" i="6"/>
  <c r="EJ5" i="4"/>
  <c r="EJ4" i="19"/>
  <c r="EK5" i="6"/>
  <c r="EJ4" i="5"/>
  <c r="EK4" i="2"/>
  <c r="EK4" i="10"/>
  <c r="EN4" i="14"/>
  <c r="EI27" i="6"/>
  <c r="EH23" i="5"/>
  <c r="EI29" i="4"/>
  <c r="EI18" i="4"/>
  <c r="EI17" i="4"/>
  <c r="EI20" i="4"/>
  <c r="EI16" i="4"/>
  <c r="EI36" i="4"/>
  <c r="EI41" i="4"/>
  <c r="EI44" i="4"/>
  <c r="EI8" i="4" s="1"/>
  <c r="EI21" i="4"/>
  <c r="EI24" i="4"/>
  <c r="EI53" i="4"/>
  <c r="EI51" i="4"/>
  <c r="EI50" i="4"/>
  <c r="EI55" i="4"/>
  <c r="EI52" i="4"/>
  <c r="EI42" i="4"/>
  <c r="EI30" i="4"/>
  <c r="EI35" i="4"/>
  <c r="EI48" i="4"/>
  <c r="EI22" i="4"/>
  <c r="EJ21" i="6" s="1"/>
  <c r="EJ19" i="10" s="1"/>
  <c r="EI54" i="4"/>
  <c r="EI43" i="4"/>
  <c r="EI31" i="4"/>
  <c r="EI32" i="4" s="1"/>
  <c r="EI33" i="4" s="1"/>
  <c r="EI37" i="4"/>
  <c r="EI38" i="4" s="1"/>
  <c r="EI39" i="4" s="1"/>
  <c r="EI23" i="4"/>
  <c r="EH8" i="11"/>
  <c r="EG8" i="15"/>
  <c r="EH9" i="19"/>
  <c r="EH9" i="5"/>
  <c r="EI10" i="6"/>
  <c r="EI9" i="2"/>
  <c r="EL9" i="14"/>
  <c r="EI9" i="10"/>
  <c r="EI6" i="19"/>
  <c r="EJ7" i="6"/>
  <c r="EI6" i="5"/>
  <c r="EJ6" i="2"/>
  <c r="EM6" i="14"/>
  <c r="EJ6" i="10"/>
  <c r="EH196" i="11"/>
  <c r="EH39" i="5" s="1"/>
  <c r="EI7" i="19"/>
  <c r="EJ8" i="6"/>
  <c r="EI7" i="5"/>
  <c r="EJ7" i="2"/>
  <c r="EM7" i="14"/>
  <c r="EJ7" i="10"/>
  <c r="EH11" i="19"/>
  <c r="EI12" i="6"/>
  <c r="EH11" i="5"/>
  <c r="EI11" i="2"/>
  <c r="EL11" i="14"/>
  <c r="EI11" i="10"/>
  <c r="EJ36" i="10"/>
  <c r="EI36" i="6"/>
  <c r="EH190" i="11"/>
  <c r="EH191" i="11" s="1"/>
  <c r="EH32" i="5" s="1"/>
  <c r="EH10" i="19"/>
  <c r="EH10" i="5"/>
  <c r="EI11" i="6"/>
  <c r="EI10" i="2"/>
  <c r="EI10" i="10"/>
  <c r="EL10" i="14"/>
  <c r="EM99" i="14"/>
  <c r="EM104" i="14"/>
  <c r="EG187" i="11"/>
  <c r="EH184" i="11" s="1"/>
  <c r="EH5" i="15"/>
  <c r="EH13" i="15" s="1"/>
  <c r="EI13" i="5"/>
  <c r="EI231" i="11" s="1"/>
  <c r="EI5" i="11"/>
  <c r="EI14" i="11" s="1"/>
  <c r="EH24" i="5"/>
  <c r="EI28" i="6"/>
  <c r="DT171" i="11"/>
  <c r="DT28" i="5" s="1"/>
  <c r="EI245" i="11" l="1"/>
  <c r="EI235" i="11"/>
  <c r="EG252" i="11"/>
  <c r="EH249" i="11" s="1"/>
  <c r="EH247" i="11"/>
  <c r="EI244" i="11" s="1"/>
  <c r="EJ41" i="6"/>
  <c r="EI195" i="11" s="1"/>
  <c r="EH250" i="11"/>
  <c r="EI72" i="11"/>
  <c r="EI106" i="5" s="1"/>
  <c r="EI67" i="11"/>
  <c r="EI101" i="5" s="1"/>
  <c r="DW19" i="11"/>
  <c r="DV31" i="15" s="1"/>
  <c r="S23" i="11"/>
  <c r="S73" i="5" s="1"/>
  <c r="EH107" i="11"/>
  <c r="EI104" i="11" s="1"/>
  <c r="EH42" i="5"/>
  <c r="EH112" i="11"/>
  <c r="EI109" i="11" s="1"/>
  <c r="EH43" i="5"/>
  <c r="EH29" i="11"/>
  <c r="EI26" i="11" s="1"/>
  <c r="EI105" i="11" s="1"/>
  <c r="EJ48" i="6" s="1"/>
  <c r="EH76" i="5"/>
  <c r="EH74" i="5" s="1"/>
  <c r="EH34" i="11"/>
  <c r="EI31" i="11" s="1"/>
  <c r="EI110" i="11" s="1"/>
  <c r="EJ49" i="6" s="1"/>
  <c r="EH79" i="5"/>
  <c r="EH77" i="5" s="1"/>
  <c r="EI32" i="11"/>
  <c r="EI78" i="5" s="1"/>
  <c r="EJ31" i="10"/>
  <c r="EJ36" i="6" s="1"/>
  <c r="EI27" i="11"/>
  <c r="EM88" i="14"/>
  <c r="EJ23" i="10"/>
  <c r="EI24" i="5" s="1"/>
  <c r="EJ27" i="10"/>
  <c r="EJ32" i="6" s="1"/>
  <c r="EJ25" i="10"/>
  <c r="EJ30" i="6" s="1"/>
  <c r="EJ22" i="10"/>
  <c r="EJ27" i="6" s="1"/>
  <c r="EH186" i="11"/>
  <c r="EH187" i="11" s="1"/>
  <c r="EI184" i="11" s="1"/>
  <c r="EJ26" i="10"/>
  <c r="EJ31" i="6" s="1"/>
  <c r="EJ28" i="10"/>
  <c r="EI175" i="11" s="1"/>
  <c r="EJ30" i="10"/>
  <c r="EJ35" i="6" s="1"/>
  <c r="EH192" i="11"/>
  <c r="EI189" i="11" s="1"/>
  <c r="EJ50" i="10"/>
  <c r="EJ48" i="10"/>
  <c r="EH39" i="11"/>
  <c r="EI36" i="11" s="1"/>
  <c r="EJ53" i="10"/>
  <c r="EJ46" i="10"/>
  <c r="EH197" i="11"/>
  <c r="EI194" i="11" s="1"/>
  <c r="EJ47" i="10"/>
  <c r="EH177" i="11"/>
  <c r="EI174" i="11" s="1"/>
  <c r="EJ52" i="10"/>
  <c r="EJ24" i="10"/>
  <c r="EJ29" i="6" s="1"/>
  <c r="DW164" i="11"/>
  <c r="DW167" i="11" s="1"/>
  <c r="DX164" i="11" s="1"/>
  <c r="EJ49" i="10"/>
  <c r="EJ30" i="2"/>
  <c r="EJ25" i="2"/>
  <c r="EJ23" i="2"/>
  <c r="EJ24" i="2"/>
  <c r="EJ22" i="2"/>
  <c r="EJ21" i="2"/>
  <c r="EI4" i="15"/>
  <c r="EJ4" i="11"/>
  <c r="EI57" i="11"/>
  <c r="EI90" i="5" s="1"/>
  <c r="EI61" i="19" s="1"/>
  <c r="EI17" i="11"/>
  <c r="EI69" i="5" s="1"/>
  <c r="EI22" i="11"/>
  <c r="EI72" i="5" s="1"/>
  <c r="EI87" i="11"/>
  <c r="EI88" i="11" s="1"/>
  <c r="EI37" i="11"/>
  <c r="EI81" i="5" s="1"/>
  <c r="EI97" i="11"/>
  <c r="EG10" i="15"/>
  <c r="EH10" i="11"/>
  <c r="EH6" i="15"/>
  <c r="EI6" i="11"/>
  <c r="EJ44" i="10"/>
  <c r="EJ5" i="19"/>
  <c r="EK5" i="2"/>
  <c r="EK14" i="2" s="1"/>
  <c r="EJ5" i="5"/>
  <c r="EK6" i="6"/>
  <c r="EK13" i="6" s="1"/>
  <c r="EN5" i="14"/>
  <c r="EN15" i="14" s="1"/>
  <c r="EK5" i="10"/>
  <c r="EK14" i="10" s="1"/>
  <c r="EJ7" i="4"/>
  <c r="EJ6" i="4"/>
  <c r="EK4" i="4"/>
  <c r="EJ14" i="4"/>
  <c r="EI7" i="11"/>
  <c r="EH7" i="15"/>
  <c r="EI26" i="4"/>
  <c r="EI46" i="4"/>
  <c r="EI10" i="4" s="1"/>
  <c r="EI47" i="4"/>
  <c r="EI11" i="4" s="1"/>
  <c r="EI25" i="4"/>
  <c r="EI27" i="4"/>
  <c r="EI45" i="4"/>
  <c r="EI9" i="4" s="1"/>
  <c r="EI8" i="19"/>
  <c r="EI8" i="5"/>
  <c r="EJ9" i="6"/>
  <c r="EJ8" i="2"/>
  <c r="EJ8" i="10"/>
  <c r="EM8" i="14"/>
  <c r="EJ25" i="6"/>
  <c r="EI35" i="5" s="1"/>
  <c r="EG11" i="15"/>
  <c r="EH11" i="11"/>
  <c r="EJ45" i="10"/>
  <c r="EG9" i="15"/>
  <c r="EH9" i="11"/>
  <c r="DT172" i="11"/>
  <c r="EJ137" i="5" l="1"/>
  <c r="EJ138" i="5"/>
  <c r="S71" i="5"/>
  <c r="EI196" i="11"/>
  <c r="EI39" i="5" s="1"/>
  <c r="EJ13" i="19"/>
  <c r="EH251" i="11"/>
  <c r="EH252" i="11" s="1"/>
  <c r="EI249" i="11" s="1"/>
  <c r="EI246" i="11"/>
  <c r="DX16" i="11"/>
  <c r="DX18" i="11" s="1"/>
  <c r="DX70" i="5" s="1"/>
  <c r="DX68" i="5" s="1"/>
  <c r="S24" i="11"/>
  <c r="T21" i="11" s="1"/>
  <c r="EK16" i="6"/>
  <c r="EK60" i="6" s="1"/>
  <c r="EK65" i="6" s="1"/>
  <c r="EI28" i="11"/>
  <c r="EI75" i="5"/>
  <c r="EI111" i="11"/>
  <c r="EI106" i="11"/>
  <c r="EI33" i="11"/>
  <c r="EI185" i="11"/>
  <c r="EI186" i="11" s="1"/>
  <c r="EI187" i="11" s="1"/>
  <c r="EJ184" i="11" s="1"/>
  <c r="EH31" i="5"/>
  <c r="EJ28" i="6"/>
  <c r="EI190" i="11"/>
  <c r="EI191" i="11" s="1"/>
  <c r="EI32" i="5" s="1"/>
  <c r="EI166" i="11"/>
  <c r="DX165" i="11" s="1"/>
  <c r="DX27" i="5" s="1"/>
  <c r="EI23" i="5"/>
  <c r="EI170" i="11"/>
  <c r="EI26" i="5"/>
  <c r="EJ33" i="6"/>
  <c r="EI176" i="11"/>
  <c r="EI177" i="11" s="1"/>
  <c r="EJ174" i="11" s="1"/>
  <c r="EI25" i="5"/>
  <c r="DV19" i="15"/>
  <c r="EN104" i="14"/>
  <c r="EN99" i="14"/>
  <c r="EJ10" i="6"/>
  <c r="EI9" i="19"/>
  <c r="EJ9" i="2"/>
  <c r="EI9" i="5"/>
  <c r="EM9" i="14"/>
  <c r="EJ9" i="10"/>
  <c r="EI5" i="15"/>
  <c r="EI13" i="15" s="1"/>
  <c r="EJ13" i="5"/>
  <c r="EJ231" i="11" s="1"/>
  <c r="EJ5" i="11"/>
  <c r="EJ14" i="11" s="1"/>
  <c r="EI10" i="19"/>
  <c r="EJ11" i="6"/>
  <c r="EI10" i="5"/>
  <c r="EJ10" i="2"/>
  <c r="EJ10" i="10"/>
  <c r="EM10" i="14"/>
  <c r="EI11" i="19"/>
  <c r="EJ12" i="6"/>
  <c r="EI11" i="5"/>
  <c r="EJ11" i="2"/>
  <c r="EJ11" i="10"/>
  <c r="EM11" i="14"/>
  <c r="EJ16" i="4"/>
  <c r="EJ36" i="4"/>
  <c r="EJ41" i="4"/>
  <c r="EJ17" i="4"/>
  <c r="EJ20" i="4"/>
  <c r="EJ29" i="4"/>
  <c r="EJ18" i="4"/>
  <c r="EJ44" i="4"/>
  <c r="EJ8" i="4" s="1"/>
  <c r="EJ21" i="4"/>
  <c r="EJ24" i="4"/>
  <c r="EJ55" i="4"/>
  <c r="EJ52" i="4"/>
  <c r="EJ54" i="4"/>
  <c r="EJ42" i="4"/>
  <c r="EJ51" i="4"/>
  <c r="EJ53" i="4"/>
  <c r="EJ50" i="4"/>
  <c r="EJ48" i="4"/>
  <c r="EJ30" i="4"/>
  <c r="EJ35" i="4"/>
  <c r="EJ22" i="4"/>
  <c r="EK21" i="6" s="1"/>
  <c r="EK19" i="10" s="1"/>
  <c r="EJ43" i="4"/>
  <c r="EJ31" i="4"/>
  <c r="EJ32" i="4" s="1"/>
  <c r="EJ33" i="4" s="1"/>
  <c r="EJ37" i="4"/>
  <c r="EJ38" i="4" s="1"/>
  <c r="EJ39" i="4" s="1"/>
  <c r="EJ23" i="4"/>
  <c r="EK48" i="10" s="1"/>
  <c r="EI38" i="11"/>
  <c r="EK5" i="4"/>
  <c r="EK4" i="19"/>
  <c r="EK4" i="5"/>
  <c r="EL5" i="6"/>
  <c r="EL4" i="2"/>
  <c r="EO4" i="14"/>
  <c r="EL4" i="10"/>
  <c r="EJ6" i="19"/>
  <c r="EJ6" i="5"/>
  <c r="EK7" i="6"/>
  <c r="EK6" i="2"/>
  <c r="EN6" i="14"/>
  <c r="EK6" i="10"/>
  <c r="EI214" i="11"/>
  <c r="EI145" i="11"/>
  <c r="EI157" i="11" s="1"/>
  <c r="EI140" i="11"/>
  <c r="EJ7" i="19"/>
  <c r="EJ7" i="5"/>
  <c r="EK7" i="2"/>
  <c r="EK8" i="6"/>
  <c r="EK7" i="10"/>
  <c r="EN7" i="14"/>
  <c r="EH8" i="15"/>
  <c r="EI8" i="11"/>
  <c r="EK36" i="10"/>
  <c r="DU169" i="11"/>
  <c r="DU171" i="11" s="1"/>
  <c r="EJ245" i="11" l="1"/>
  <c r="EJ235" i="11"/>
  <c r="EI197" i="11"/>
  <c r="EJ194" i="11" s="1"/>
  <c r="EH68" i="11"/>
  <c r="EH102" i="5" s="1"/>
  <c r="EH27" i="19" s="1"/>
  <c r="EI247" i="11"/>
  <c r="EJ244" i="11" s="1"/>
  <c r="EI250" i="11"/>
  <c r="EI251" i="11" s="1"/>
  <c r="EI68" i="11" s="1"/>
  <c r="EI102" i="5" s="1"/>
  <c r="EI27" i="19" s="1"/>
  <c r="EJ72" i="11"/>
  <c r="EJ106" i="5" s="1"/>
  <c r="EJ67" i="11"/>
  <c r="EJ101" i="5" s="1"/>
  <c r="DX19" i="11"/>
  <c r="DY16" i="11" s="1"/>
  <c r="T23" i="11"/>
  <c r="T73" i="5" s="1"/>
  <c r="EI112" i="11"/>
  <c r="EJ109" i="11" s="1"/>
  <c r="EI43" i="5"/>
  <c r="EI107" i="11"/>
  <c r="EJ104" i="11" s="1"/>
  <c r="EI42" i="5"/>
  <c r="EI34" i="11"/>
  <c r="EJ31" i="11" s="1"/>
  <c r="EJ110" i="11" s="1"/>
  <c r="EK49" i="6" s="1"/>
  <c r="EI79" i="5"/>
  <c r="EI77" i="5" s="1"/>
  <c r="EI29" i="11"/>
  <c r="EJ26" i="11" s="1"/>
  <c r="EJ105" i="11" s="1"/>
  <c r="EK48" i="6" s="1"/>
  <c r="EI76" i="5"/>
  <c r="EI74" i="5" s="1"/>
  <c r="EJ32" i="11"/>
  <c r="EJ78" i="5" s="1"/>
  <c r="EN88" i="14"/>
  <c r="EK31" i="10"/>
  <c r="EK36" i="6" s="1"/>
  <c r="EJ27" i="11"/>
  <c r="EI192" i="11"/>
  <c r="EJ189" i="11" s="1"/>
  <c r="EK28" i="10"/>
  <c r="EJ175" i="11" s="1"/>
  <c r="EJ176" i="11" s="1"/>
  <c r="EK23" i="10"/>
  <c r="EK28" i="6" s="1"/>
  <c r="EI29" i="5"/>
  <c r="EK30" i="10"/>
  <c r="EJ185" i="11" s="1"/>
  <c r="EJ186" i="11" s="1"/>
  <c r="EK27" i="10"/>
  <c r="EJ170" i="11" s="1"/>
  <c r="EK22" i="10"/>
  <c r="EK27" i="6" s="1"/>
  <c r="EK49" i="10"/>
  <c r="EK53" i="10"/>
  <c r="EK46" i="10"/>
  <c r="EK52" i="10"/>
  <c r="EK44" i="10"/>
  <c r="EK47" i="10"/>
  <c r="EK45" i="10"/>
  <c r="EK50" i="10"/>
  <c r="EK26" i="10"/>
  <c r="EJ166" i="11" s="1"/>
  <c r="EK25" i="10"/>
  <c r="EK30" i="6" s="1"/>
  <c r="EK5" i="5"/>
  <c r="EL5" i="2"/>
  <c r="EL14" i="2" s="1"/>
  <c r="EK5" i="19"/>
  <c r="EL5" i="10"/>
  <c r="EL14" i="10" s="1"/>
  <c r="EL6" i="6"/>
  <c r="EL13" i="6" s="1"/>
  <c r="EO5" i="14"/>
  <c r="EO15" i="14" s="1"/>
  <c r="EK14" i="4"/>
  <c r="EL4" i="4"/>
  <c r="EK6" i="4"/>
  <c r="EK7" i="4"/>
  <c r="EI11" i="11"/>
  <c r="EH11" i="15"/>
  <c r="EI9" i="11"/>
  <c r="EH9" i="15"/>
  <c r="EJ8" i="5"/>
  <c r="EJ8" i="19"/>
  <c r="EK9" i="6"/>
  <c r="EK8" i="2"/>
  <c r="EK8" i="10"/>
  <c r="EN8" i="14"/>
  <c r="DX167" i="11"/>
  <c r="EJ7" i="11"/>
  <c r="EI7" i="15"/>
  <c r="EI6" i="15"/>
  <c r="EJ6" i="11"/>
  <c r="EK30" i="2"/>
  <c r="EK23" i="2"/>
  <c r="EK24" i="2"/>
  <c r="EK21" i="2"/>
  <c r="EK22" i="2"/>
  <c r="EK25" i="2"/>
  <c r="EI82" i="5"/>
  <c r="EI80" i="5" s="1"/>
  <c r="EI39" i="11"/>
  <c r="EJ36" i="11" s="1"/>
  <c r="EI31" i="5"/>
  <c r="EI10" i="11"/>
  <c r="EH10" i="15"/>
  <c r="EJ57" i="11"/>
  <c r="EJ90" i="5" s="1"/>
  <c r="EJ61" i="19" s="1"/>
  <c r="EJ97" i="11"/>
  <c r="EJ87" i="11"/>
  <c r="EJ88" i="11" s="1"/>
  <c r="EJ37" i="11"/>
  <c r="EJ81" i="5" s="1"/>
  <c r="EJ22" i="11"/>
  <c r="EJ72" i="5" s="1"/>
  <c r="EJ17" i="11"/>
  <c r="EJ69" i="5" s="1"/>
  <c r="EK41" i="6"/>
  <c r="EJ195" i="11" s="1"/>
  <c r="EK25" i="6"/>
  <c r="EJ35" i="5" s="1"/>
  <c r="EJ4" i="15"/>
  <c r="EK4" i="11"/>
  <c r="EK24" i="10"/>
  <c r="EJ46" i="4"/>
  <c r="EJ10" i="4" s="1"/>
  <c r="EJ25" i="4"/>
  <c r="EJ26" i="4"/>
  <c r="EJ45" i="4"/>
  <c r="EJ9" i="4" s="1"/>
  <c r="EJ47" i="4"/>
  <c r="EJ11" i="4" s="1"/>
  <c r="EJ27" i="4"/>
  <c r="DU172" i="11"/>
  <c r="DU28" i="5"/>
  <c r="EK138" i="5" l="1"/>
  <c r="EK137" i="5"/>
  <c r="EJ196" i="11"/>
  <c r="EJ39" i="5" s="1"/>
  <c r="T71" i="5"/>
  <c r="EK13" i="19"/>
  <c r="EI252" i="11"/>
  <c r="EJ249" i="11" s="1"/>
  <c r="EJ246" i="11"/>
  <c r="T24" i="11"/>
  <c r="U21" i="11" s="1"/>
  <c r="DW31" i="15"/>
  <c r="DY18" i="11"/>
  <c r="DY70" i="5" s="1"/>
  <c r="DY68" i="5" s="1"/>
  <c r="EL16" i="6"/>
  <c r="EL60" i="6" s="1"/>
  <c r="EL65" i="6" s="1"/>
  <c r="EJ28" i="11"/>
  <c r="EJ75" i="5"/>
  <c r="EJ33" i="11"/>
  <c r="EJ111" i="11"/>
  <c r="EJ106" i="11"/>
  <c r="EJ24" i="5"/>
  <c r="EK33" i="6"/>
  <c r="EJ23" i="5"/>
  <c r="EK32" i="6"/>
  <c r="EJ190" i="11"/>
  <c r="EJ191" i="11" s="1"/>
  <c r="EJ32" i="5" s="1"/>
  <c r="EK35" i="6"/>
  <c r="EJ26" i="5"/>
  <c r="EK31" i="6"/>
  <c r="EJ177" i="11"/>
  <c r="EK174" i="11" s="1"/>
  <c r="EJ31" i="5"/>
  <c r="EO104" i="14"/>
  <c r="EO99" i="14"/>
  <c r="EI8" i="15"/>
  <c r="EJ8" i="11"/>
  <c r="EL36" i="10"/>
  <c r="EJ145" i="11"/>
  <c r="EJ157" i="11" s="1"/>
  <c r="EJ214" i="11"/>
  <c r="EJ140" i="11"/>
  <c r="DY164" i="11"/>
  <c r="DW19" i="15"/>
  <c r="EJ5" i="15"/>
  <c r="EJ13" i="15" s="1"/>
  <c r="EK13" i="5"/>
  <c r="EK231" i="11" s="1"/>
  <c r="EK5" i="11"/>
  <c r="EK14" i="11" s="1"/>
  <c r="EJ29" i="5"/>
  <c r="EJ11" i="19"/>
  <c r="EJ11" i="5"/>
  <c r="EK11" i="10"/>
  <c r="EK12" i="6"/>
  <c r="EK11" i="2"/>
  <c r="EN11" i="14"/>
  <c r="EJ10" i="5"/>
  <c r="EK11" i="6"/>
  <c r="EJ10" i="19"/>
  <c r="EK10" i="2"/>
  <c r="EK10" i="10"/>
  <c r="EN10" i="14"/>
  <c r="EJ25" i="5"/>
  <c r="EK29" i="6"/>
  <c r="EK7" i="19"/>
  <c r="EL7" i="2"/>
  <c r="EL8" i="6"/>
  <c r="EK7" i="5"/>
  <c r="EO7" i="14"/>
  <c r="EL7" i="10"/>
  <c r="EK6" i="19"/>
  <c r="EK6" i="5"/>
  <c r="EL6" i="2"/>
  <c r="EL7" i="6"/>
  <c r="EL6" i="10"/>
  <c r="EO6" i="14"/>
  <c r="EJ9" i="19"/>
  <c r="EJ9" i="5"/>
  <c r="EK10" i="6"/>
  <c r="EK9" i="10"/>
  <c r="EN9" i="14"/>
  <c r="EK9" i="2"/>
  <c r="EL5" i="4"/>
  <c r="EL4" i="19"/>
  <c r="EL4" i="5"/>
  <c r="EM4" i="10"/>
  <c r="EM5" i="6"/>
  <c r="EM4" i="2"/>
  <c r="EP4" i="14"/>
  <c r="EJ187" i="11"/>
  <c r="EK184" i="11" s="1"/>
  <c r="EJ38" i="11"/>
  <c r="EJ82" i="5" s="1"/>
  <c r="EJ80" i="5" s="1"/>
  <c r="DY165" i="11"/>
  <c r="DY27" i="5" s="1"/>
  <c r="EK41" i="4"/>
  <c r="EK16" i="4"/>
  <c r="EK36" i="4"/>
  <c r="EK17" i="4"/>
  <c r="EK20" i="4"/>
  <c r="EK29" i="4"/>
  <c r="EK18" i="4"/>
  <c r="EK44" i="4"/>
  <c r="EK8" i="4" s="1"/>
  <c r="EK24" i="4"/>
  <c r="EK21" i="4"/>
  <c r="EK22" i="4"/>
  <c r="EL21" i="6" s="1"/>
  <c r="EL19" i="10" s="1"/>
  <c r="EK51" i="4"/>
  <c r="EK30" i="4"/>
  <c r="EK42" i="4"/>
  <c r="EK48" i="4"/>
  <c r="EK55" i="4"/>
  <c r="EK35" i="4"/>
  <c r="EK54" i="4"/>
  <c r="EK50" i="4"/>
  <c r="EK53" i="4"/>
  <c r="EK52" i="4"/>
  <c r="EK43" i="4"/>
  <c r="EK31" i="4"/>
  <c r="EK32" i="4" s="1"/>
  <c r="EK33" i="4" s="1"/>
  <c r="EK37" i="4"/>
  <c r="EK38" i="4" s="1"/>
  <c r="EK39" i="4" s="1"/>
  <c r="EK23" i="4"/>
  <c r="DV169" i="11"/>
  <c r="DV171" i="11" s="1"/>
  <c r="EK245" i="11" l="1"/>
  <c r="EK235" i="11"/>
  <c r="EJ197" i="11"/>
  <c r="EK194" i="11" s="1"/>
  <c r="EJ247" i="11"/>
  <c r="EK244" i="11" s="1"/>
  <c r="U23" i="11"/>
  <c r="U73" i="5" s="1"/>
  <c r="EJ250" i="11"/>
  <c r="EK67" i="11"/>
  <c r="EK101" i="5" s="1"/>
  <c r="EK72" i="11"/>
  <c r="EK106" i="5" s="1"/>
  <c r="DY19" i="11"/>
  <c r="DZ16" i="11" s="1"/>
  <c r="EO88" i="14"/>
  <c r="EJ107" i="11"/>
  <c r="EK104" i="11" s="1"/>
  <c r="EJ42" i="5"/>
  <c r="EJ112" i="11"/>
  <c r="EK109" i="11" s="1"/>
  <c r="EJ43" i="5"/>
  <c r="EJ34" i="11"/>
  <c r="EK31" i="11" s="1"/>
  <c r="EK110" i="11" s="1"/>
  <c r="EL49" i="6" s="1"/>
  <c r="EJ79" i="5"/>
  <c r="EJ77" i="5" s="1"/>
  <c r="EJ29" i="11"/>
  <c r="EK26" i="11" s="1"/>
  <c r="EK105" i="11" s="1"/>
  <c r="EL48" i="6" s="1"/>
  <c r="EJ76" i="5"/>
  <c r="EJ74" i="5" s="1"/>
  <c r="EK32" i="11"/>
  <c r="EL31" i="10"/>
  <c r="EL36" i="6" s="1"/>
  <c r="EK27" i="11"/>
  <c r="EJ192" i="11"/>
  <c r="EK189" i="11" s="1"/>
  <c r="EL49" i="10"/>
  <c r="EJ39" i="11"/>
  <c r="EK36" i="11" s="1"/>
  <c r="EJ9" i="11"/>
  <c r="EI9" i="15"/>
  <c r="EL21" i="2"/>
  <c r="EL22" i="2"/>
  <c r="EL23" i="2"/>
  <c r="EL30" i="2"/>
  <c r="EL25" i="2"/>
  <c r="EL24" i="2"/>
  <c r="EL46" i="10"/>
  <c r="EL23" i="10"/>
  <c r="EJ6" i="15"/>
  <c r="EK6" i="11"/>
  <c r="EL44" i="10"/>
  <c r="EL27" i="10"/>
  <c r="EK17" i="11"/>
  <c r="EK69" i="5" s="1"/>
  <c r="EK37" i="11"/>
  <c r="EK81" i="5" s="1"/>
  <c r="EK87" i="11"/>
  <c r="EK88" i="11" s="1"/>
  <c r="EK97" i="11"/>
  <c r="EK57" i="11"/>
  <c r="EK90" i="5" s="1"/>
  <c r="EK61" i="19" s="1"/>
  <c r="EK22" i="11"/>
  <c r="EK72" i="5" s="1"/>
  <c r="EL47" i="10"/>
  <c r="EL22" i="10"/>
  <c r="EL53" i="10"/>
  <c r="EI10" i="15"/>
  <c r="EJ10" i="11"/>
  <c r="EL52" i="10"/>
  <c r="EL28" i="10"/>
  <c r="EL25" i="6"/>
  <c r="EK35" i="5" s="1"/>
  <c r="EL45" i="10"/>
  <c r="EL24" i="10"/>
  <c r="EL41" i="6"/>
  <c r="EK195" i="11" s="1"/>
  <c r="EL48" i="10"/>
  <c r="EL30" i="10"/>
  <c r="EK25" i="4"/>
  <c r="EK27" i="4"/>
  <c r="EK47" i="4"/>
  <c r="EK11" i="4" s="1"/>
  <c r="EK46" i="4"/>
  <c r="EK10" i="4" s="1"/>
  <c r="EK26" i="4"/>
  <c r="EK45" i="4"/>
  <c r="EK9" i="4" s="1"/>
  <c r="EK8" i="5"/>
  <c r="EK8" i="19"/>
  <c r="EL8" i="2"/>
  <c r="EL9" i="6"/>
  <c r="EL8" i="10"/>
  <c r="EO8" i="14"/>
  <c r="EK7" i="11"/>
  <c r="EJ7" i="15"/>
  <c r="DY167" i="11"/>
  <c r="EL50" i="10"/>
  <c r="EL4" i="11"/>
  <c r="EK4" i="15"/>
  <c r="EI11" i="15"/>
  <c r="EJ11" i="11"/>
  <c r="EL26" i="10"/>
  <c r="EL5" i="19"/>
  <c r="EM6" i="6"/>
  <c r="EM13" i="6" s="1"/>
  <c r="EM5" i="2"/>
  <c r="EM14" i="2" s="1"/>
  <c r="EL5" i="5"/>
  <c r="EP5" i="14"/>
  <c r="EP15" i="14" s="1"/>
  <c r="EM5" i="10"/>
  <c r="EM14" i="10" s="1"/>
  <c r="EL14" i="4"/>
  <c r="EL6" i="4"/>
  <c r="EM4" i="4"/>
  <c r="EL7" i="4"/>
  <c r="EL25" i="10"/>
  <c r="DV172" i="11"/>
  <c r="DV28" i="5"/>
  <c r="EL138" i="5" l="1"/>
  <c r="EL137" i="5"/>
  <c r="EK196" i="11"/>
  <c r="U71" i="5"/>
  <c r="G619" i="32"/>
  <c r="U24" i="11"/>
  <c r="V21" i="11" s="1"/>
  <c r="EL13" i="19"/>
  <c r="EK246" i="11"/>
  <c r="EJ251" i="11"/>
  <c r="DX31" i="15"/>
  <c r="DZ18" i="11"/>
  <c r="DZ70" i="5" s="1"/>
  <c r="DZ68" i="5" s="1"/>
  <c r="EM16" i="6"/>
  <c r="EM60" i="6" s="1"/>
  <c r="EM65" i="6" s="1"/>
  <c r="EK28" i="11"/>
  <c r="EK75" i="5"/>
  <c r="EK33" i="11"/>
  <c r="EK78" i="5"/>
  <c r="EK111" i="11"/>
  <c r="EK106" i="11"/>
  <c r="EK190" i="11"/>
  <c r="EK191" i="11" s="1"/>
  <c r="EK32" i="5" s="1"/>
  <c r="EL30" i="6"/>
  <c r="EK26" i="5"/>
  <c r="EM5" i="4"/>
  <c r="EM4" i="19"/>
  <c r="EM4" i="5"/>
  <c r="EN5" i="6"/>
  <c r="EN4" i="2"/>
  <c r="EN4" i="10"/>
  <c r="EQ4" i="14"/>
  <c r="EK11" i="19"/>
  <c r="EK11" i="5"/>
  <c r="EL11" i="2"/>
  <c r="EL12" i="6"/>
  <c r="EL11" i="10"/>
  <c r="EO11" i="14"/>
  <c r="EK185" i="11"/>
  <c r="EK186" i="11" s="1"/>
  <c r="EL35" i="6"/>
  <c r="EK24" i="5"/>
  <c r="EL28" i="6"/>
  <c r="EL18" i="4"/>
  <c r="EL36" i="4"/>
  <c r="EL29" i="4"/>
  <c r="EL20" i="4"/>
  <c r="EL41" i="4"/>
  <c r="EL16" i="4"/>
  <c r="EL17" i="4"/>
  <c r="EL44" i="4"/>
  <c r="EL8" i="4" s="1"/>
  <c r="EL24" i="4"/>
  <c r="EL21" i="4"/>
  <c r="EL52" i="4"/>
  <c r="EL22" i="4"/>
  <c r="EL51" i="4"/>
  <c r="EL50" i="4"/>
  <c r="EL53" i="4"/>
  <c r="EL55" i="4"/>
  <c r="EL54" i="4"/>
  <c r="EL42" i="4"/>
  <c r="EL48" i="4"/>
  <c r="EL30" i="4"/>
  <c r="EL35" i="4"/>
  <c r="EL43" i="4"/>
  <c r="EL31" i="4"/>
  <c r="EL32" i="4" s="1"/>
  <c r="EL33" i="4" s="1"/>
  <c r="EL37" i="4"/>
  <c r="EL38" i="4" s="1"/>
  <c r="EL39" i="4" s="1"/>
  <c r="EL23" i="4"/>
  <c r="EM46" i="10" s="1"/>
  <c r="EM36" i="10"/>
  <c r="EL29" i="6"/>
  <c r="EK25" i="5"/>
  <c r="EL13" i="5"/>
  <c r="EL231" i="11" s="1"/>
  <c r="EK5" i="15"/>
  <c r="EK13" i="15" s="1"/>
  <c r="EL5" i="11"/>
  <c r="EL14" i="11" s="1"/>
  <c r="EL27" i="6"/>
  <c r="EK23" i="5"/>
  <c r="EP104" i="14"/>
  <c r="EP99" i="14"/>
  <c r="EK8" i="11"/>
  <c r="EJ8" i="15"/>
  <c r="EK38" i="11"/>
  <c r="EL33" i="6"/>
  <c r="EK175" i="11"/>
  <c r="EK170" i="11"/>
  <c r="EL32" i="6"/>
  <c r="EL9" i="2"/>
  <c r="EK9" i="5"/>
  <c r="EK9" i="19"/>
  <c r="EL9" i="10"/>
  <c r="EL10" i="6"/>
  <c r="EO9" i="14"/>
  <c r="EL6" i="5"/>
  <c r="EM7" i="6"/>
  <c r="EL6" i="19"/>
  <c r="EM6" i="2"/>
  <c r="EM6" i="10"/>
  <c r="EP6" i="14"/>
  <c r="DX19" i="15"/>
  <c r="DZ164" i="11"/>
  <c r="EL7" i="19"/>
  <c r="EL7" i="5"/>
  <c r="EM8" i="6"/>
  <c r="EM7" i="2"/>
  <c r="EM7" i="10"/>
  <c r="EP7" i="14"/>
  <c r="EL31" i="6"/>
  <c r="EK166" i="11"/>
  <c r="EK10" i="19"/>
  <c r="EK10" i="5"/>
  <c r="EL11" i="6"/>
  <c r="EL10" i="10"/>
  <c r="EL10" i="2"/>
  <c r="EO10" i="14"/>
  <c r="EK145" i="11"/>
  <c r="EK157" i="11" s="1"/>
  <c r="EK214" i="11"/>
  <c r="EK140" i="11"/>
  <c r="DW169" i="11"/>
  <c r="DW171" i="11" s="1"/>
  <c r="EK197" i="11" l="1"/>
  <c r="EL194" i="11" s="1"/>
  <c r="EK39" i="5"/>
  <c r="EL245" i="11"/>
  <c r="EL235" i="11"/>
  <c r="EM31" i="10"/>
  <c r="EM21" i="6"/>
  <c r="EM19" i="10" s="1"/>
  <c r="EJ252" i="11"/>
  <c r="EK249" i="11" s="1"/>
  <c r="EJ68" i="11"/>
  <c r="EJ102" i="5" s="1"/>
  <c r="EJ27" i="19" s="1"/>
  <c r="EK247" i="11"/>
  <c r="EL244" i="11" s="1"/>
  <c r="EK250" i="11"/>
  <c r="EL67" i="11"/>
  <c r="EL101" i="5" s="1"/>
  <c r="EL72" i="11"/>
  <c r="EL106" i="5" s="1"/>
  <c r="DZ19" i="11"/>
  <c r="EA16" i="11" s="1"/>
  <c r="EK112" i="11"/>
  <c r="EL109" i="11" s="1"/>
  <c r="EK43" i="5"/>
  <c r="EK107" i="11"/>
  <c r="EL104" i="11" s="1"/>
  <c r="EK42" i="5"/>
  <c r="EK34" i="11"/>
  <c r="EL31" i="11" s="1"/>
  <c r="EL110" i="11" s="1"/>
  <c r="EM49" i="6" s="1"/>
  <c r="EK79" i="5"/>
  <c r="EK77" i="5" s="1"/>
  <c r="EK29" i="11"/>
  <c r="EL26" i="11" s="1"/>
  <c r="EL105" i="11" s="1"/>
  <c r="EM48" i="6" s="1"/>
  <c r="EK76" i="5"/>
  <c r="EK74" i="5" s="1"/>
  <c r="V23" i="11"/>
  <c r="V73" i="5" s="1"/>
  <c r="EL32" i="11"/>
  <c r="EP88" i="14"/>
  <c r="EL27" i="11"/>
  <c r="EK192" i="11"/>
  <c r="EL189" i="11" s="1"/>
  <c r="EM28" i="10"/>
  <c r="EM33" i="6" s="1"/>
  <c r="EM47" i="10"/>
  <c r="EM30" i="10"/>
  <c r="EM35" i="6" s="1"/>
  <c r="EM50" i="10"/>
  <c r="EM49" i="10"/>
  <c r="EM27" i="10"/>
  <c r="EL170" i="11" s="1"/>
  <c r="EM41" i="6"/>
  <c r="EL195" i="11" s="1"/>
  <c r="EL196" i="11" s="1"/>
  <c r="EM48" i="10"/>
  <c r="EM25" i="10"/>
  <c r="EL26" i="5" s="1"/>
  <c r="EM44" i="10"/>
  <c r="EM24" i="10"/>
  <c r="EL25" i="5" s="1"/>
  <c r="EM23" i="10"/>
  <c r="EL24" i="5" s="1"/>
  <c r="EM25" i="6"/>
  <c r="EL35" i="5" s="1"/>
  <c r="EM45" i="10"/>
  <c r="EM26" i="10"/>
  <c r="EM31" i="6" s="1"/>
  <c r="EM52" i="10"/>
  <c r="EM22" i="10"/>
  <c r="EL23" i="5" s="1"/>
  <c r="DZ165" i="11"/>
  <c r="DZ27" i="5" s="1"/>
  <c r="EL4" i="15"/>
  <c r="EM4" i="11"/>
  <c r="EK9" i="11"/>
  <c r="EJ9" i="15"/>
  <c r="EM5" i="19"/>
  <c r="EM5" i="5"/>
  <c r="EN6" i="6"/>
  <c r="EN13" i="6" s="1"/>
  <c r="EN5" i="2"/>
  <c r="EN14" i="2" s="1"/>
  <c r="EQ5" i="14"/>
  <c r="EQ15" i="14" s="1"/>
  <c r="EN5" i="10"/>
  <c r="EN14" i="10" s="1"/>
  <c r="EM14" i="4"/>
  <c r="EM6" i="4"/>
  <c r="EM7" i="4"/>
  <c r="EN4" i="4"/>
  <c r="EK176" i="11"/>
  <c r="EK177" i="11" s="1"/>
  <c r="EL174" i="11" s="1"/>
  <c r="EL7" i="11"/>
  <c r="EK7" i="15"/>
  <c r="EL6" i="11"/>
  <c r="EK6" i="15"/>
  <c r="EK11" i="11"/>
  <c r="EJ11" i="15"/>
  <c r="EK39" i="11"/>
  <c r="EL36" i="11" s="1"/>
  <c r="EK82" i="5"/>
  <c r="EK80" i="5" s="1"/>
  <c r="EL26" i="4"/>
  <c r="EL25" i="4"/>
  <c r="EL45" i="4"/>
  <c r="EL9" i="4" s="1"/>
  <c r="EL47" i="4"/>
  <c r="EL11" i="4" s="1"/>
  <c r="EL27" i="4"/>
  <c r="EL46" i="4"/>
  <c r="EL10" i="4" s="1"/>
  <c r="EL87" i="11"/>
  <c r="EL88" i="11" s="1"/>
  <c r="EL17" i="11"/>
  <c r="EL69" i="5" s="1"/>
  <c r="EL22" i="11"/>
  <c r="EL72" i="5" s="1"/>
  <c r="EL57" i="11"/>
  <c r="EL90" i="5" s="1"/>
  <c r="EL61" i="19" s="1"/>
  <c r="EL97" i="11"/>
  <c r="EL37" i="11"/>
  <c r="EL81" i="5" s="1"/>
  <c r="EL8" i="19"/>
  <c r="EL8" i="5"/>
  <c r="EM9" i="6"/>
  <c r="EM8" i="2"/>
  <c r="EP8" i="14"/>
  <c r="EM8" i="10"/>
  <c r="EJ10" i="15"/>
  <c r="EK10" i="11"/>
  <c r="EM53" i="10"/>
  <c r="EM23" i="2"/>
  <c r="EM30" i="2"/>
  <c r="EM21" i="2"/>
  <c r="EM22" i="2"/>
  <c r="EM24" i="2"/>
  <c r="EM25" i="2"/>
  <c r="EK187" i="11"/>
  <c r="EL184" i="11" s="1"/>
  <c r="EK31" i="5"/>
  <c r="DW172" i="11"/>
  <c r="DW28" i="5"/>
  <c r="EM138" i="5" l="1"/>
  <c r="EM137" i="5"/>
  <c r="EL190" i="11"/>
  <c r="EL191" i="11" s="1"/>
  <c r="EL192" i="11" s="1"/>
  <c r="EM189" i="11" s="1"/>
  <c r="EM36" i="6"/>
  <c r="V71" i="5"/>
  <c r="EK251" i="11"/>
  <c r="EK252" i="11" s="1"/>
  <c r="EL249" i="11" s="1"/>
  <c r="EM13" i="19"/>
  <c r="EL246" i="11"/>
  <c r="DY31" i="15"/>
  <c r="EA18" i="11"/>
  <c r="EA70" i="5" s="1"/>
  <c r="EA68" i="5" s="1"/>
  <c r="EN16" i="6"/>
  <c r="EN60" i="6" s="1"/>
  <c r="EN65" i="6" s="1"/>
  <c r="EL28" i="11"/>
  <c r="EL75" i="5"/>
  <c r="EL33" i="11"/>
  <c r="EL78" i="5"/>
  <c r="V24" i="11"/>
  <c r="EL111" i="11"/>
  <c r="EL106" i="11"/>
  <c r="EM30" i="6"/>
  <c r="EM32" i="6"/>
  <c r="EL166" i="11"/>
  <c r="EA165" i="11" s="1"/>
  <c r="EA27" i="5" s="1"/>
  <c r="EL197" i="11"/>
  <c r="EM194" i="11" s="1"/>
  <c r="EL38" i="11"/>
  <c r="EL82" i="5" s="1"/>
  <c r="EL80" i="5" s="1"/>
  <c r="EM27" i="6"/>
  <c r="EM29" i="6"/>
  <c r="EL185" i="11"/>
  <c r="EL186" i="11" s="1"/>
  <c r="EL31" i="5" s="1"/>
  <c r="EM28" i="6"/>
  <c r="EL175" i="11"/>
  <c r="EL176" i="11" s="1"/>
  <c r="EL10" i="19"/>
  <c r="EL10" i="5"/>
  <c r="EM11" i="6"/>
  <c r="EM10" i="2"/>
  <c r="EP10" i="14"/>
  <c r="EM10" i="10"/>
  <c r="EL9" i="19"/>
  <c r="EM10" i="6"/>
  <c r="EM9" i="10"/>
  <c r="EP9" i="14"/>
  <c r="EM9" i="2"/>
  <c r="EL9" i="5"/>
  <c r="EM6" i="19"/>
  <c r="EN7" i="6"/>
  <c r="EN6" i="2"/>
  <c r="EM6" i="5"/>
  <c r="EN6" i="10"/>
  <c r="EQ6" i="14"/>
  <c r="EN5" i="4"/>
  <c r="EN4" i="19"/>
  <c r="EN4" i="5"/>
  <c r="EO5" i="6"/>
  <c r="EO4" i="2"/>
  <c r="ER4" i="14"/>
  <c r="EO4" i="10"/>
  <c r="EM7" i="5"/>
  <c r="EM7" i="19"/>
  <c r="EN7" i="2"/>
  <c r="EN8" i="6"/>
  <c r="EN7" i="10"/>
  <c r="EQ7" i="14"/>
  <c r="EM41" i="4"/>
  <c r="EM36" i="4"/>
  <c r="EM18" i="4"/>
  <c r="EM29" i="4"/>
  <c r="EM17" i="4"/>
  <c r="EM16" i="4"/>
  <c r="EM20" i="4"/>
  <c r="EM44" i="4"/>
  <c r="EM8" i="4" s="1"/>
  <c r="EM24" i="4"/>
  <c r="EM21" i="4"/>
  <c r="EM30" i="4"/>
  <c r="EM35" i="4"/>
  <c r="EM22" i="4"/>
  <c r="EN21" i="6" s="1"/>
  <c r="EN19" i="10" s="1"/>
  <c r="EM54" i="4"/>
  <c r="EM55" i="4"/>
  <c r="EM48" i="4"/>
  <c r="EM53" i="4"/>
  <c r="EM52" i="4"/>
  <c r="EM42" i="4"/>
  <c r="EM51" i="4"/>
  <c r="EM50" i="4"/>
  <c r="EM31" i="4"/>
  <c r="EM32" i="4" s="1"/>
  <c r="EM33" i="4" s="1"/>
  <c r="EM37" i="4"/>
  <c r="EM38" i="4" s="1"/>
  <c r="EM39" i="4" s="1"/>
  <c r="EM43" i="4"/>
  <c r="EM23" i="4"/>
  <c r="EL214" i="11"/>
  <c r="EL145" i="11"/>
  <c r="EL157" i="11" s="1"/>
  <c r="EL140" i="11"/>
  <c r="EN36" i="10"/>
  <c r="DZ167" i="11"/>
  <c r="EL39" i="5"/>
  <c r="EQ99" i="14"/>
  <c r="EQ104" i="14"/>
  <c r="EL11" i="19"/>
  <c r="EM12" i="6"/>
  <c r="EL11" i="5"/>
  <c r="EM11" i="2"/>
  <c r="EM11" i="10"/>
  <c r="EP11" i="14"/>
  <c r="EK29" i="5"/>
  <c r="EL5" i="15"/>
  <c r="EL13" i="15" s="1"/>
  <c r="EM13" i="5"/>
  <c r="EM231" i="11" s="1"/>
  <c r="EM5" i="11"/>
  <c r="EM14" i="11" s="1"/>
  <c r="EK8" i="15"/>
  <c r="EL8" i="11"/>
  <c r="DX169" i="11"/>
  <c r="DX171" i="11" s="1"/>
  <c r="EM245" i="11" l="1"/>
  <c r="EM235" i="11"/>
  <c r="EK68" i="11"/>
  <c r="EK102" i="5" s="1"/>
  <c r="EK27" i="19" s="1"/>
  <c r="EL247" i="11"/>
  <c r="EM244" i="11" s="1"/>
  <c r="EL250" i="11"/>
  <c r="EL251" i="11" s="1"/>
  <c r="EL252" i="11" s="1"/>
  <c r="EM249" i="11" s="1"/>
  <c r="EM67" i="11"/>
  <c r="EM101" i="5" s="1"/>
  <c r="EM72" i="11"/>
  <c r="EM106" i="5" s="1"/>
  <c r="EA19" i="11"/>
  <c r="EB16" i="11" s="1"/>
  <c r="EL112" i="11"/>
  <c r="EM109" i="11" s="1"/>
  <c r="EL43" i="5"/>
  <c r="W21" i="11"/>
  <c r="EL107" i="11"/>
  <c r="EM104" i="11" s="1"/>
  <c r="EL42" i="5"/>
  <c r="EL34" i="11"/>
  <c r="EM31" i="11" s="1"/>
  <c r="EM110" i="11" s="1"/>
  <c r="EN49" i="6" s="1"/>
  <c r="EL79" i="5"/>
  <c r="EL77" i="5" s="1"/>
  <c r="EL29" i="11"/>
  <c r="EM26" i="11" s="1"/>
  <c r="EM105" i="11" s="1"/>
  <c r="EN48" i="6" s="1"/>
  <c r="EL76" i="5"/>
  <c r="EL74" i="5" s="1"/>
  <c r="EM32" i="11"/>
  <c r="EN31" i="10"/>
  <c r="EN36" i="6" s="1"/>
  <c r="EM27" i="11"/>
  <c r="EQ88" i="14"/>
  <c r="EL32" i="5"/>
  <c r="EL187" i="11"/>
  <c r="EM184" i="11" s="1"/>
  <c r="EL39" i="11"/>
  <c r="EM36" i="11" s="1"/>
  <c r="EN27" i="10"/>
  <c r="EN32" i="6" s="1"/>
  <c r="EL29" i="5"/>
  <c r="EL177" i="11"/>
  <c r="EM174" i="11" s="1"/>
  <c r="EN48" i="10"/>
  <c r="EN26" i="10"/>
  <c r="EN31" i="6" s="1"/>
  <c r="EN22" i="10"/>
  <c r="EN27" i="6" s="1"/>
  <c r="EN44" i="10"/>
  <c r="EN23" i="10"/>
  <c r="EN28" i="6" s="1"/>
  <c r="EN41" i="6"/>
  <c r="EM195" i="11" s="1"/>
  <c r="EN25" i="10"/>
  <c r="EN30" i="6" s="1"/>
  <c r="EN30" i="10"/>
  <c r="EN35" i="6" s="1"/>
  <c r="EN25" i="6"/>
  <c r="EM35" i="5" s="1"/>
  <c r="EN50" i="10"/>
  <c r="EN21" i="2"/>
  <c r="EN23" i="2"/>
  <c r="EN25" i="2"/>
  <c r="EN24" i="2"/>
  <c r="EN22" i="2"/>
  <c r="EN30" i="2"/>
  <c r="EM87" i="11"/>
  <c r="EM88" i="11" s="1"/>
  <c r="EM57" i="11"/>
  <c r="EM90" i="5" s="1"/>
  <c r="EM61" i="19" s="1"/>
  <c r="EM22" i="11"/>
  <c r="EM72" i="5" s="1"/>
  <c r="EM17" i="11"/>
  <c r="EM69" i="5" s="1"/>
  <c r="EM37" i="11"/>
  <c r="EM81" i="5" s="1"/>
  <c r="EM97" i="11"/>
  <c r="EN45" i="10"/>
  <c r="EN46" i="10"/>
  <c r="EM4" i="15"/>
  <c r="EN4" i="11"/>
  <c r="EK10" i="15"/>
  <c r="EL10" i="11"/>
  <c r="EN52" i="10"/>
  <c r="EN5" i="19"/>
  <c r="EO6" i="6"/>
  <c r="EO13" i="6" s="1"/>
  <c r="EO5" i="2"/>
  <c r="EO14" i="2" s="1"/>
  <c r="EO5" i="10"/>
  <c r="EO14" i="10" s="1"/>
  <c r="ER5" i="14"/>
  <c r="ER15" i="14" s="1"/>
  <c r="EN5" i="5"/>
  <c r="EN14" i="4"/>
  <c r="EO4" i="4"/>
  <c r="EN7" i="4"/>
  <c r="EN6" i="4"/>
  <c r="EN49" i="10"/>
  <c r="EK9" i="15"/>
  <c r="EL9" i="11"/>
  <c r="EN47" i="10"/>
  <c r="EM27" i="4"/>
  <c r="EM26" i="4"/>
  <c r="EM46" i="4"/>
  <c r="EM10" i="4" s="1"/>
  <c r="EM25" i="4"/>
  <c r="EM45" i="4"/>
  <c r="EM9" i="4" s="1"/>
  <c r="EM47" i="4"/>
  <c r="EM11" i="4" s="1"/>
  <c r="EM8" i="19"/>
  <c r="EN9" i="6"/>
  <c r="EN8" i="2"/>
  <c r="EM8" i="5"/>
  <c r="EN8" i="10"/>
  <c r="EQ8" i="14"/>
  <c r="EL6" i="15"/>
  <c r="EM6" i="11"/>
  <c r="EL11" i="11"/>
  <c r="EK11" i="15"/>
  <c r="EA164" i="11"/>
  <c r="EA167" i="11" s="1"/>
  <c r="DY19" i="15"/>
  <c r="EN28" i="10"/>
  <c r="EM7" i="11"/>
  <c r="EL7" i="15"/>
  <c r="EN53" i="10"/>
  <c r="EN24" i="10"/>
  <c r="DX172" i="11"/>
  <c r="DX28" i="5"/>
  <c r="EN137" i="5" l="1"/>
  <c r="EN138" i="5"/>
  <c r="EN13" i="19"/>
  <c r="EL68" i="11"/>
  <c r="EL102" i="5" s="1"/>
  <c r="EL27" i="19" s="1"/>
  <c r="EM246" i="11"/>
  <c r="DZ31" i="15"/>
  <c r="EB18" i="11"/>
  <c r="EB70" i="5" s="1"/>
  <c r="EB68" i="5" s="1"/>
  <c r="EO16" i="6"/>
  <c r="EO60" i="6" s="1"/>
  <c r="EO65" i="6" s="1"/>
  <c r="EM23" i="5"/>
  <c r="EM106" i="11"/>
  <c r="EM107" i="11" s="1"/>
  <c r="EN104" i="11" s="1"/>
  <c r="W23" i="11"/>
  <c r="W73" i="5" s="1"/>
  <c r="EM33" i="11"/>
  <c r="EM78" i="5"/>
  <c r="EM28" i="11"/>
  <c r="EM75" i="5"/>
  <c r="EM111" i="11"/>
  <c r="EM26" i="5"/>
  <c r="EM38" i="11"/>
  <c r="EM82" i="5" s="1"/>
  <c r="EM80" i="5" s="1"/>
  <c r="EM170" i="11"/>
  <c r="EM166" i="11"/>
  <c r="EB165" i="11" s="1"/>
  <c r="EB27" i="5" s="1"/>
  <c r="EM185" i="11"/>
  <c r="EM186" i="11" s="1"/>
  <c r="EM31" i="5" s="1"/>
  <c r="EM190" i="11"/>
  <c r="EM191" i="11" s="1"/>
  <c r="EM192" i="11" s="1"/>
  <c r="EN189" i="11" s="1"/>
  <c r="EM24" i="5"/>
  <c r="EM196" i="11"/>
  <c r="EM39" i="5" s="1"/>
  <c r="EM10" i="19"/>
  <c r="EN11" i="6"/>
  <c r="EN10" i="10"/>
  <c r="EM10" i="5"/>
  <c r="EN10" i="2"/>
  <c r="EQ10" i="14"/>
  <c r="EN13" i="5"/>
  <c r="EN231" i="11" s="1"/>
  <c r="EM5" i="15"/>
  <c r="EM13" i="15" s="1"/>
  <c r="EN5" i="11"/>
  <c r="EN14" i="11" s="1"/>
  <c r="DZ19" i="15"/>
  <c r="EB164" i="11"/>
  <c r="ER99" i="14"/>
  <c r="ER104" i="14"/>
  <c r="EM145" i="11"/>
  <c r="EM157" i="11" s="1"/>
  <c r="EM214" i="11"/>
  <c r="EM140" i="11"/>
  <c r="EN29" i="6"/>
  <c r="EM25" i="5"/>
  <c r="EM11" i="5"/>
  <c r="EM11" i="19"/>
  <c r="EN12" i="6"/>
  <c r="EN11" i="2"/>
  <c r="EN11" i="10"/>
  <c r="EQ11" i="14"/>
  <c r="EO36" i="10"/>
  <c r="EM9" i="19"/>
  <c r="EM9" i="5"/>
  <c r="EN10" i="6"/>
  <c r="EN9" i="2"/>
  <c r="EQ9" i="14"/>
  <c r="EN9" i="10"/>
  <c r="EN6" i="19"/>
  <c r="EO6" i="2"/>
  <c r="EN6" i="5"/>
  <c r="ER6" i="14"/>
  <c r="EO7" i="6"/>
  <c r="EO6" i="10"/>
  <c r="EN7" i="19"/>
  <c r="EN7" i="5"/>
  <c r="ER7" i="14"/>
  <c r="EO8" i="6"/>
  <c r="EO7" i="2"/>
  <c r="EO7" i="10"/>
  <c r="EO5" i="4"/>
  <c r="EO4" i="19"/>
  <c r="EO4" i="5"/>
  <c r="EP4" i="10"/>
  <c r="EP4" i="2"/>
  <c r="ES4" i="14"/>
  <c r="EP5" i="6"/>
  <c r="EM175" i="11"/>
  <c r="EN33" i="6"/>
  <c r="EN18" i="4"/>
  <c r="EN17" i="4"/>
  <c r="EN29" i="4"/>
  <c r="EN20" i="4"/>
  <c r="EN36" i="4"/>
  <c r="EN16" i="4"/>
  <c r="EN41" i="4"/>
  <c r="EN44" i="4"/>
  <c r="EN8" i="4" s="1"/>
  <c r="EN21" i="4"/>
  <c r="EN24" i="4"/>
  <c r="EN48" i="4"/>
  <c r="EN50" i="4"/>
  <c r="EN30" i="4"/>
  <c r="EN35" i="4"/>
  <c r="EN53" i="4"/>
  <c r="EN22" i="4"/>
  <c r="EO21" i="6" s="1"/>
  <c r="EO19" i="10" s="1"/>
  <c r="EN51" i="4"/>
  <c r="EN42" i="4"/>
  <c r="EN54" i="4"/>
  <c r="EN55" i="4"/>
  <c r="EN52" i="4"/>
  <c r="EN37" i="4"/>
  <c r="EN38" i="4" s="1"/>
  <c r="EN39" i="4" s="1"/>
  <c r="EN31" i="4"/>
  <c r="EN32" i="4" s="1"/>
  <c r="EN33" i="4" s="1"/>
  <c r="EN43" i="4"/>
  <c r="EN23" i="4"/>
  <c r="EL8" i="15"/>
  <c r="EM8" i="11"/>
  <c r="DY169" i="11"/>
  <c r="DY171" i="11" s="1"/>
  <c r="EN245" i="11" l="1"/>
  <c r="EN235" i="11"/>
  <c r="W71" i="5"/>
  <c r="EM250" i="11"/>
  <c r="EM251" i="11" s="1"/>
  <c r="EM252" i="11" s="1"/>
  <c r="EN249" i="11" s="1"/>
  <c r="EM247" i="11"/>
  <c r="EN244" i="11" s="1"/>
  <c r="EN67" i="11"/>
  <c r="EN101" i="5" s="1"/>
  <c r="EN72" i="11"/>
  <c r="EN106" i="5" s="1"/>
  <c r="EB19" i="11"/>
  <c r="EA31" i="15" s="1"/>
  <c r="W24" i="11"/>
  <c r="X21" i="11" s="1"/>
  <c r="EM42" i="5"/>
  <c r="EM112" i="11"/>
  <c r="EN109" i="11" s="1"/>
  <c r="EM43" i="5"/>
  <c r="EM29" i="11"/>
  <c r="EN26" i="11" s="1"/>
  <c r="EN105" i="11" s="1"/>
  <c r="EO48" i="6" s="1"/>
  <c r="EM76" i="5"/>
  <c r="EM74" i="5" s="1"/>
  <c r="EM34" i="11"/>
  <c r="EN31" i="11" s="1"/>
  <c r="EN110" i="11" s="1"/>
  <c r="EO49" i="6" s="1"/>
  <c r="EM79" i="5"/>
  <c r="EM77" i="5" s="1"/>
  <c r="EN32" i="11"/>
  <c r="EO31" i="10"/>
  <c r="EN27" i="11"/>
  <c r="ER88" i="14"/>
  <c r="EM39" i="11"/>
  <c r="EN36" i="11" s="1"/>
  <c r="EO26" i="10"/>
  <c r="EN166" i="11" s="1"/>
  <c r="EM187" i="11"/>
  <c r="EN184" i="11" s="1"/>
  <c r="EO46" i="10"/>
  <c r="EM197" i="11"/>
  <c r="EN194" i="11" s="1"/>
  <c r="EO47" i="10"/>
  <c r="EO53" i="10"/>
  <c r="EO48" i="10"/>
  <c r="EO4" i="11"/>
  <c r="EN4" i="15"/>
  <c r="EO5" i="19"/>
  <c r="EO5" i="5"/>
  <c r="EP6" i="6"/>
  <c r="EP13" i="6" s="1"/>
  <c r="EP5" i="10"/>
  <c r="EP14" i="10" s="1"/>
  <c r="EP5" i="2"/>
  <c r="EP14" i="2" s="1"/>
  <c r="ES5" i="14"/>
  <c r="ES15" i="14" s="1"/>
  <c r="EO14" i="4"/>
  <c r="EP4" i="4"/>
  <c r="EO6" i="4"/>
  <c r="EO7" i="4"/>
  <c r="EN6" i="11"/>
  <c r="EM6" i="15"/>
  <c r="EO22" i="10"/>
  <c r="EM11" i="11"/>
  <c r="EL11" i="15"/>
  <c r="EO41" i="6"/>
  <c r="EN195" i="11" s="1"/>
  <c r="EO22" i="2"/>
  <c r="EO25" i="2"/>
  <c r="EO21" i="2"/>
  <c r="EO24" i="2"/>
  <c r="EO30" i="2"/>
  <c r="EO23" i="2"/>
  <c r="EO50" i="10"/>
  <c r="EO30" i="10"/>
  <c r="EM10" i="11"/>
  <c r="EL10" i="15"/>
  <c r="EO44" i="10"/>
  <c r="EO52" i="10"/>
  <c r="EO24" i="10"/>
  <c r="EO25" i="6"/>
  <c r="EN35" i="5" s="1"/>
  <c r="EM176" i="11"/>
  <c r="EM177" i="11" s="1"/>
  <c r="EN174" i="11" s="1"/>
  <c r="EO45" i="10"/>
  <c r="EO25" i="10"/>
  <c r="EO27" i="10"/>
  <c r="EO49" i="10"/>
  <c r="EB167" i="11"/>
  <c r="EM32" i="5"/>
  <c r="EN7" i="11"/>
  <c r="EM7" i="15"/>
  <c r="EL9" i="15"/>
  <c r="EM9" i="11"/>
  <c r="EO23" i="10"/>
  <c r="EN87" i="11"/>
  <c r="EN88" i="11" s="1"/>
  <c r="EN97" i="11"/>
  <c r="EN57" i="11"/>
  <c r="EN90" i="5" s="1"/>
  <c r="EN61" i="19" s="1"/>
  <c r="EN37" i="11"/>
  <c r="EN17" i="11"/>
  <c r="EN69" i="5" s="1"/>
  <c r="EN22" i="11"/>
  <c r="EN72" i="5" s="1"/>
  <c r="EN27" i="4"/>
  <c r="EN26" i="4"/>
  <c r="EN46" i="4"/>
  <c r="EN10" i="4" s="1"/>
  <c r="EN45" i="4"/>
  <c r="EN9" i="4" s="1"/>
  <c r="EN25" i="4"/>
  <c r="EN47" i="4"/>
  <c r="EN11" i="4" s="1"/>
  <c r="EN8" i="19"/>
  <c r="EO8" i="2"/>
  <c r="EN8" i="5"/>
  <c r="ER8" i="14"/>
  <c r="EO9" i="6"/>
  <c r="EO8" i="10"/>
  <c r="EO28" i="10"/>
  <c r="DY172" i="11"/>
  <c r="DY28" i="5"/>
  <c r="EO137" i="5" l="1"/>
  <c r="EO138" i="5"/>
  <c r="EM68" i="11"/>
  <c r="EM102" i="5" s="1"/>
  <c r="EM27" i="19" s="1"/>
  <c r="EO13" i="19"/>
  <c r="EN250" i="11"/>
  <c r="EN251" i="11" s="1"/>
  <c r="EN252" i="11" s="1"/>
  <c r="EO249" i="11" s="1"/>
  <c r="EC16" i="11"/>
  <c r="EC18" i="11" s="1"/>
  <c r="EC70" i="5" s="1"/>
  <c r="EC68" i="5" s="1"/>
  <c r="EP16" i="6"/>
  <c r="EP60" i="6" s="1"/>
  <c r="EP65" i="6" s="1"/>
  <c r="X23" i="11"/>
  <c r="X73" i="5" s="1"/>
  <c r="EN28" i="11"/>
  <c r="EN75" i="5"/>
  <c r="EN33" i="11"/>
  <c r="EN78" i="5"/>
  <c r="EN111" i="11"/>
  <c r="EN106" i="11"/>
  <c r="EO31" i="6"/>
  <c r="EN196" i="11"/>
  <c r="EN197" i="11" s="1"/>
  <c r="EO194" i="11" s="1"/>
  <c r="EM29" i="5"/>
  <c r="EO35" i="6"/>
  <c r="EN185" i="11"/>
  <c r="EP36" i="10"/>
  <c r="EO13" i="5"/>
  <c r="EO231" i="11" s="1"/>
  <c r="EN5" i="15"/>
  <c r="EN13" i="15" s="1"/>
  <c r="EO5" i="11"/>
  <c r="EO14" i="11" s="1"/>
  <c r="EN81" i="5"/>
  <c r="EN23" i="5"/>
  <c r="EO27" i="6"/>
  <c r="EN25" i="5"/>
  <c r="EO29" i="6"/>
  <c r="EO33" i="6"/>
  <c r="EN175" i="11"/>
  <c r="EN214" i="11"/>
  <c r="EN145" i="11"/>
  <c r="EN157" i="11" s="1"/>
  <c r="EN140" i="11"/>
  <c r="EC164" i="11"/>
  <c r="EA19" i="15"/>
  <c r="EO10" i="2"/>
  <c r="EN10" i="19"/>
  <c r="EN10" i="5"/>
  <c r="EO11" i="6"/>
  <c r="ER10" i="14"/>
  <c r="EO10" i="10"/>
  <c r="EO7" i="19"/>
  <c r="EO7" i="5"/>
  <c r="EP8" i="6"/>
  <c r="EP7" i="2"/>
  <c r="EP7" i="10"/>
  <c r="ES7" i="14"/>
  <c r="EN190" i="11"/>
  <c r="EN191" i="11" s="1"/>
  <c r="EO36" i="6"/>
  <c r="EO6" i="5"/>
  <c r="EO6" i="19"/>
  <c r="EP7" i="6"/>
  <c r="EP6" i="2"/>
  <c r="EP6" i="10"/>
  <c r="ES6" i="14"/>
  <c r="EN9" i="19"/>
  <c r="EO10" i="6"/>
  <c r="ER9" i="14"/>
  <c r="EN9" i="5"/>
  <c r="EO9" i="2"/>
  <c r="EO9" i="10"/>
  <c r="EC165" i="11"/>
  <c r="EC27" i="5" s="1"/>
  <c r="EP5" i="4"/>
  <c r="EP4" i="5"/>
  <c r="EP4" i="19"/>
  <c r="EQ5" i="6"/>
  <c r="EQ4" i="2"/>
  <c r="ET4" i="14"/>
  <c r="EQ4" i="10"/>
  <c r="EN11" i="19"/>
  <c r="ER11" i="14"/>
  <c r="EO12" i="6"/>
  <c r="EN11" i="5"/>
  <c r="EO11" i="2"/>
  <c r="EO11" i="10"/>
  <c r="EO20" i="4"/>
  <c r="EO18" i="4"/>
  <c r="EO36" i="4"/>
  <c r="EO41" i="4"/>
  <c r="EO17" i="4"/>
  <c r="EO16" i="4"/>
  <c r="EO29" i="4"/>
  <c r="EO44" i="4"/>
  <c r="EO8" i="4" s="1"/>
  <c r="EO24" i="4"/>
  <c r="EO21" i="4"/>
  <c r="EO54" i="4"/>
  <c r="EO42" i="4"/>
  <c r="EO52" i="4"/>
  <c r="EO30" i="4"/>
  <c r="EO35" i="4"/>
  <c r="EO48" i="4"/>
  <c r="EO22" i="4"/>
  <c r="EO53" i="4"/>
  <c r="EO50" i="4"/>
  <c r="EO51" i="4"/>
  <c r="EO55" i="4"/>
  <c r="EO43" i="4"/>
  <c r="EO31" i="4"/>
  <c r="EO32" i="4" s="1"/>
  <c r="EO33" i="4" s="1"/>
  <c r="EO37" i="4"/>
  <c r="EO38" i="4" s="1"/>
  <c r="EO39" i="4" s="1"/>
  <c r="EO23" i="4"/>
  <c r="EN38" i="11"/>
  <c r="EN82" i="5" s="1"/>
  <c r="EN170" i="11"/>
  <c r="EO32" i="6"/>
  <c r="EO30" i="6"/>
  <c r="EN26" i="5"/>
  <c r="ES99" i="14"/>
  <c r="ES104" i="14"/>
  <c r="EN24" i="5"/>
  <c r="EO28" i="6"/>
  <c r="EM8" i="15"/>
  <c r="EN8" i="11"/>
  <c r="DZ169" i="11"/>
  <c r="DZ171" i="11" s="1"/>
  <c r="EO245" i="11" l="1"/>
  <c r="EO235" i="11"/>
  <c r="X71" i="5"/>
  <c r="H619" i="32"/>
  <c r="EP26" i="10"/>
  <c r="EP21" i="6"/>
  <c r="EP19" i="10" s="1"/>
  <c r="EN246" i="11"/>
  <c r="EN68" i="11" s="1"/>
  <c r="EN102" i="5" s="1"/>
  <c r="EN27" i="19" s="1"/>
  <c r="EO72" i="11"/>
  <c r="EO106" i="5" s="1"/>
  <c r="EO67" i="11"/>
  <c r="EO101" i="5" s="1"/>
  <c r="EC19" i="11"/>
  <c r="EB31" i="15" s="1"/>
  <c r="X24" i="11"/>
  <c r="Y21" i="11" s="1"/>
  <c r="EN107" i="11"/>
  <c r="EO104" i="11" s="1"/>
  <c r="EN42" i="5"/>
  <c r="EN112" i="11"/>
  <c r="EO109" i="11" s="1"/>
  <c r="EN43" i="5"/>
  <c r="EN80" i="5"/>
  <c r="EN34" i="11"/>
  <c r="EO31" i="11" s="1"/>
  <c r="EO110" i="11" s="1"/>
  <c r="EP49" i="6" s="1"/>
  <c r="EN79" i="5"/>
  <c r="EN77" i="5" s="1"/>
  <c r="EN29" i="11"/>
  <c r="EO26" i="11" s="1"/>
  <c r="EO105" i="11" s="1"/>
  <c r="EP48" i="6" s="1"/>
  <c r="EN76" i="5"/>
  <c r="EN74" i="5" s="1"/>
  <c r="EO32" i="11"/>
  <c r="EP31" i="10"/>
  <c r="EP36" i="6" s="1"/>
  <c r="ES88" i="14"/>
  <c r="EO27" i="11"/>
  <c r="EN39" i="5"/>
  <c r="EP41" i="6"/>
  <c r="EO195" i="11" s="1"/>
  <c r="EO196" i="11" s="1"/>
  <c r="EO39" i="5" s="1"/>
  <c r="EP52" i="10"/>
  <c r="EO8" i="19"/>
  <c r="EO8" i="5"/>
  <c r="EP9" i="6"/>
  <c r="EP8" i="2"/>
  <c r="ES8" i="14"/>
  <c r="EP8" i="10"/>
  <c r="EP5" i="19"/>
  <c r="EQ6" i="6"/>
  <c r="EQ13" i="6" s="1"/>
  <c r="EQ5" i="2"/>
  <c r="EQ14" i="2" s="1"/>
  <c r="EQ5" i="10"/>
  <c r="EQ14" i="10" s="1"/>
  <c r="EP5" i="5"/>
  <c r="ET5" i="14"/>
  <c r="ET15" i="14" s="1"/>
  <c r="EQ4" i="4"/>
  <c r="EP14" i="4"/>
  <c r="EP7" i="4"/>
  <c r="EP6" i="4"/>
  <c r="EM10" i="15"/>
  <c r="EN10" i="11"/>
  <c r="EN176" i="11"/>
  <c r="EP45" i="10"/>
  <c r="EP24" i="10"/>
  <c r="EN39" i="11"/>
  <c r="EO36" i="11" s="1"/>
  <c r="EP53" i="10"/>
  <c r="EN11" i="11"/>
  <c r="EM11" i="15"/>
  <c r="EP49" i="10"/>
  <c r="EP24" i="2"/>
  <c r="EP23" i="2"/>
  <c r="EP21" i="2"/>
  <c r="EP22" i="2"/>
  <c r="EP25" i="2"/>
  <c r="EP30" i="2"/>
  <c r="EO87" i="11"/>
  <c r="EO88" i="11" s="1"/>
  <c r="EO97" i="11"/>
  <c r="EO37" i="11"/>
  <c r="EO81" i="5" s="1"/>
  <c r="EO17" i="11"/>
  <c r="EO69" i="5" s="1"/>
  <c r="EO57" i="11"/>
  <c r="EO90" i="5" s="1"/>
  <c r="EO61" i="19" s="1"/>
  <c r="EO22" i="11"/>
  <c r="EO72" i="5" s="1"/>
  <c r="EP46" i="10"/>
  <c r="EC167" i="11"/>
  <c r="EP25" i="10"/>
  <c r="EN186" i="11"/>
  <c r="EN31" i="5" s="1"/>
  <c r="EN6" i="15"/>
  <c r="EO6" i="11"/>
  <c r="EN7" i="15"/>
  <c r="EO7" i="11"/>
  <c r="EP22" i="10"/>
  <c r="EP50" i="10"/>
  <c r="EP23" i="10"/>
  <c r="EP47" i="10"/>
  <c r="EP28" i="10"/>
  <c r="EP48" i="10"/>
  <c r="EP30" i="10"/>
  <c r="EP27" i="10"/>
  <c r="EP25" i="6"/>
  <c r="EO35" i="5" s="1"/>
  <c r="EO27" i="4"/>
  <c r="EO47" i="4"/>
  <c r="EO11" i="4" s="1"/>
  <c r="EO46" i="4"/>
  <c r="EO10" i="4" s="1"/>
  <c r="EO25" i="4"/>
  <c r="EO45" i="4"/>
  <c r="EO9" i="4" s="1"/>
  <c r="EO26" i="4"/>
  <c r="EO4" i="15"/>
  <c r="EP4" i="11"/>
  <c r="EM9" i="15"/>
  <c r="EN9" i="11"/>
  <c r="EN192" i="11"/>
  <c r="EO189" i="11" s="1"/>
  <c r="EN32" i="5"/>
  <c r="EP44" i="10"/>
  <c r="DZ172" i="11"/>
  <c r="DZ28" i="5"/>
  <c r="EP137" i="5" l="1"/>
  <c r="EP138" i="5"/>
  <c r="EP31" i="6"/>
  <c r="EO166" i="11"/>
  <c r="ED165" i="11" s="1"/>
  <c r="ED27" i="5" s="1"/>
  <c r="EP13" i="19"/>
  <c r="EN247" i="11"/>
  <c r="EO244" i="11" s="1"/>
  <c r="EO250" i="11"/>
  <c r="EO251" i="11" s="1"/>
  <c r="EO252" i="11" s="1"/>
  <c r="EP249" i="11" s="1"/>
  <c r="ED16" i="11"/>
  <c r="ED18" i="11" s="1"/>
  <c r="ED70" i="5" s="1"/>
  <c r="ED68" i="5" s="1"/>
  <c r="EQ16" i="6"/>
  <c r="EQ60" i="6" s="1"/>
  <c r="EQ65" i="6" s="1"/>
  <c r="EO28" i="11"/>
  <c r="EO75" i="5"/>
  <c r="EO33" i="11"/>
  <c r="EO78" i="5"/>
  <c r="Y23" i="11"/>
  <c r="Y73" i="5" s="1"/>
  <c r="EO111" i="11"/>
  <c r="EO106" i="11"/>
  <c r="EO38" i="11"/>
  <c r="EO82" i="5" s="1"/>
  <c r="EO80" i="5" s="1"/>
  <c r="EO190" i="11"/>
  <c r="EO191" i="11" s="1"/>
  <c r="EO197" i="11"/>
  <c r="EP194" i="11" s="1"/>
  <c r="EN187" i="11"/>
  <c r="EO184" i="11" s="1"/>
  <c r="EP33" i="6"/>
  <c r="EO175" i="11"/>
  <c r="EP41" i="4"/>
  <c r="EP17" i="4"/>
  <c r="EP16" i="4"/>
  <c r="EP29" i="4"/>
  <c r="EP20" i="4"/>
  <c r="EP18" i="4"/>
  <c r="EP36" i="4"/>
  <c r="EP44" i="4"/>
  <c r="EP8" i="4" s="1"/>
  <c r="EP21" i="4"/>
  <c r="EP24" i="4"/>
  <c r="EP55" i="4"/>
  <c r="EP30" i="4"/>
  <c r="EP35" i="4"/>
  <c r="EP42" i="4"/>
  <c r="EP48" i="4"/>
  <c r="EP22" i="4"/>
  <c r="EQ21" i="6" s="1"/>
  <c r="EQ19" i="10" s="1"/>
  <c r="EP52" i="4"/>
  <c r="EP51" i="4"/>
  <c r="EP54" i="4"/>
  <c r="EP50" i="4"/>
  <c r="EP53" i="4"/>
  <c r="EP31" i="4"/>
  <c r="EP32" i="4" s="1"/>
  <c r="EP33" i="4" s="1"/>
  <c r="EP37" i="4"/>
  <c r="EP38" i="4" s="1"/>
  <c r="EP39" i="4" s="1"/>
  <c r="EP43" i="4"/>
  <c r="EP23" i="4"/>
  <c r="EQ52" i="10" s="1"/>
  <c r="EN8" i="15"/>
  <c r="EO8" i="11"/>
  <c r="EP30" i="6"/>
  <c r="EO26" i="5"/>
  <c r="ER4" i="2"/>
  <c r="EQ4" i="5"/>
  <c r="EQ4" i="19"/>
  <c r="ER5" i="6"/>
  <c r="EU4" i="14"/>
  <c r="ER4" i="10"/>
  <c r="EQ5" i="4"/>
  <c r="EP28" i="6"/>
  <c r="EO24" i="5"/>
  <c r="ET104" i="14"/>
  <c r="ET99" i="14"/>
  <c r="EP13" i="5"/>
  <c r="EP231" i="11" s="1"/>
  <c r="EO5" i="15"/>
  <c r="EO13" i="15" s="1"/>
  <c r="EP5" i="11"/>
  <c r="EP14" i="11" s="1"/>
  <c r="EQ36" i="10"/>
  <c r="EO9" i="19"/>
  <c r="EO9" i="5"/>
  <c r="EP9" i="2"/>
  <c r="EP10" i="6"/>
  <c r="EP9" i="10"/>
  <c r="ES9" i="14"/>
  <c r="EP35" i="6"/>
  <c r="EO185" i="11"/>
  <c r="ED164" i="11"/>
  <c r="EB19" i="15"/>
  <c r="EO145" i="11"/>
  <c r="EO157" i="11" s="1"/>
  <c r="EO214" i="11"/>
  <c r="EO140" i="11"/>
  <c r="EO25" i="5"/>
  <c r="EP29" i="6"/>
  <c r="EO10" i="19"/>
  <c r="EP11" i="6"/>
  <c r="EP10" i="10"/>
  <c r="ES10" i="14"/>
  <c r="EO10" i="5"/>
  <c r="EP10" i="2"/>
  <c r="EO11" i="19"/>
  <c r="EO11" i="5"/>
  <c r="EP12" i="6"/>
  <c r="EP11" i="10"/>
  <c r="ES11" i="14"/>
  <c r="EP11" i="2"/>
  <c r="EN29" i="5"/>
  <c r="EQ7" i="6"/>
  <c r="EP6" i="19"/>
  <c r="EQ6" i="10"/>
  <c r="EQ6" i="2"/>
  <c r="EP6" i="5"/>
  <c r="ET6" i="14"/>
  <c r="EP32" i="6"/>
  <c r="EO170" i="11"/>
  <c r="EO23" i="5"/>
  <c r="EP27" i="6"/>
  <c r="EP7" i="19"/>
  <c r="EP7" i="5"/>
  <c r="EQ7" i="2"/>
  <c r="EQ8" i="6"/>
  <c r="EQ7" i="10"/>
  <c r="ET7" i="14"/>
  <c r="EN177" i="11"/>
  <c r="EO174" i="11" s="1"/>
  <c r="EA169" i="11"/>
  <c r="EA171" i="11" s="1"/>
  <c r="EP245" i="11" l="1"/>
  <c r="EP235" i="11"/>
  <c r="Y71" i="5"/>
  <c r="EO246" i="11"/>
  <c r="EO247" i="11" s="1"/>
  <c r="EP244" i="11" s="1"/>
  <c r="EP72" i="11"/>
  <c r="EP106" i="5" s="1"/>
  <c r="EP67" i="11"/>
  <c r="EP101" i="5" s="1"/>
  <c r="ED19" i="11"/>
  <c r="EC31" i="15" s="1"/>
  <c r="EO112" i="11"/>
  <c r="EP109" i="11" s="1"/>
  <c r="EO43" i="5"/>
  <c r="EO107" i="11"/>
  <c r="EP104" i="11" s="1"/>
  <c r="EO42" i="5"/>
  <c r="EO34" i="11"/>
  <c r="EP31" i="11" s="1"/>
  <c r="EP110" i="11" s="1"/>
  <c r="EQ49" i="6" s="1"/>
  <c r="EO79" i="5"/>
  <c r="EO77" i="5" s="1"/>
  <c r="EO29" i="11"/>
  <c r="EP26" i="11" s="1"/>
  <c r="EP105" i="11" s="1"/>
  <c r="EQ48" i="6" s="1"/>
  <c r="EO76" i="5"/>
  <c r="EO74" i="5" s="1"/>
  <c r="Y24" i="11"/>
  <c r="EP32" i="11"/>
  <c r="ET88" i="14"/>
  <c r="EQ31" i="10"/>
  <c r="EQ36" i="6" s="1"/>
  <c r="EP27" i="11"/>
  <c r="EQ48" i="10"/>
  <c r="EO186" i="11"/>
  <c r="EO31" i="5" s="1"/>
  <c r="EO39" i="11"/>
  <c r="EP36" i="11" s="1"/>
  <c r="EO32" i="5"/>
  <c r="EO192" i="11"/>
  <c r="EP189" i="11" s="1"/>
  <c r="EQ49" i="10"/>
  <c r="EQ45" i="10"/>
  <c r="EQ44" i="10"/>
  <c r="EQ53" i="10"/>
  <c r="EQ47" i="10"/>
  <c r="EQ50" i="10"/>
  <c r="EQ27" i="10"/>
  <c r="EQ32" i="6" s="1"/>
  <c r="EQ25" i="10"/>
  <c r="EQ30" i="6" s="1"/>
  <c r="EQ22" i="10"/>
  <c r="EP23" i="5" s="1"/>
  <c r="EQ26" i="10"/>
  <c r="EQ31" i="6" s="1"/>
  <c r="EQ30" i="10"/>
  <c r="EQ35" i="6" s="1"/>
  <c r="EQ41" i="6"/>
  <c r="EP195" i="11" s="1"/>
  <c r="EP196" i="11" s="1"/>
  <c r="EQ25" i="6"/>
  <c r="EP35" i="5" s="1"/>
  <c r="EQ24" i="10"/>
  <c r="EP25" i="5" s="1"/>
  <c r="EQ23" i="10"/>
  <c r="EQ28" i="6" s="1"/>
  <c r="EQ28" i="10"/>
  <c r="EQ33" i="6" s="1"/>
  <c r="EQ46" i="10"/>
  <c r="EP6" i="11"/>
  <c r="EO6" i="15"/>
  <c r="ED167" i="11"/>
  <c r="EQ22" i="2"/>
  <c r="EQ24" i="2"/>
  <c r="EQ21" i="2"/>
  <c r="EQ23" i="2"/>
  <c r="EQ25" i="2"/>
  <c r="EQ30" i="2"/>
  <c r="EN10" i="15"/>
  <c r="EO10" i="11"/>
  <c r="EO176" i="11"/>
  <c r="EO177" i="11" s="1"/>
  <c r="EP174" i="11" s="1"/>
  <c r="ER6" i="6"/>
  <c r="ER13" i="6" s="1"/>
  <c r="EQ5" i="5"/>
  <c r="EQ5" i="19"/>
  <c r="ER5" i="2"/>
  <c r="ER14" i="2" s="1"/>
  <c r="EQ14" i="4"/>
  <c r="EQ7" i="4"/>
  <c r="ER5" i="10"/>
  <c r="ER14" i="10" s="1"/>
  <c r="EU5" i="14"/>
  <c r="EU15" i="14" s="1"/>
  <c r="EQ6" i="4"/>
  <c r="EP47" i="4"/>
  <c r="EP11" i="4" s="1"/>
  <c r="EP25" i="4"/>
  <c r="EP27" i="4"/>
  <c r="EP46" i="4"/>
  <c r="EP10" i="4" s="1"/>
  <c r="EP26" i="4"/>
  <c r="EP45" i="4"/>
  <c r="EP9" i="4" s="1"/>
  <c r="EN11" i="15"/>
  <c r="EO11" i="11"/>
  <c r="EP8" i="19"/>
  <c r="EP8" i="5"/>
  <c r="EQ9" i="6"/>
  <c r="EQ8" i="2"/>
  <c r="EQ8" i="10"/>
  <c r="ET8" i="14"/>
  <c r="EP4" i="15"/>
  <c r="EQ4" i="11"/>
  <c r="EO7" i="15"/>
  <c r="EP7" i="11"/>
  <c r="EN9" i="15"/>
  <c r="EO9" i="11"/>
  <c r="EP22" i="11"/>
  <c r="EP72" i="5" s="1"/>
  <c r="EP87" i="11"/>
  <c r="EP88" i="11" s="1"/>
  <c r="EP57" i="11"/>
  <c r="EP90" i="5" s="1"/>
  <c r="EP61" i="19" s="1"/>
  <c r="EP97" i="11"/>
  <c r="EP17" i="11"/>
  <c r="EP69" i="5" s="1"/>
  <c r="EP37" i="11"/>
  <c r="EP81" i="5" s="1"/>
  <c r="EA172" i="11"/>
  <c r="EA28" i="5"/>
  <c r="EQ137" i="5" l="1"/>
  <c r="EQ138" i="5"/>
  <c r="V31" i="35"/>
  <c r="R20" i="30"/>
  <c r="U33" i="35"/>
  <c r="S31" i="35"/>
  <c r="U31" i="35"/>
  <c r="U20" i="30"/>
  <c r="X33" i="35"/>
  <c r="V33" i="35"/>
  <c r="P20" i="30"/>
  <c r="S33" i="35"/>
  <c r="R33" i="35"/>
  <c r="R31" i="35"/>
  <c r="Q33" i="35"/>
  <c r="T31" i="35"/>
  <c r="T20" i="30"/>
  <c r="X31" i="35"/>
  <c r="S20" i="30"/>
  <c r="N20" i="30"/>
  <c r="W31" i="35"/>
  <c r="W33" i="35"/>
  <c r="O20" i="30"/>
  <c r="Q31" i="35"/>
  <c r="T33" i="35"/>
  <c r="Q20" i="30"/>
  <c r="U32" i="30"/>
  <c r="S32" i="30"/>
  <c r="P30" i="30"/>
  <c r="P32" i="30"/>
  <c r="R30" i="30"/>
  <c r="N30" i="30"/>
  <c r="R32" i="30"/>
  <c r="T32" i="30"/>
  <c r="O30" i="30"/>
  <c r="S30" i="30"/>
  <c r="Q30" i="30"/>
  <c r="U30" i="30"/>
  <c r="O32" i="30"/>
  <c r="T30" i="30"/>
  <c r="Q32" i="30"/>
  <c r="N32" i="30"/>
  <c r="L17" i="30"/>
  <c r="J17" i="30"/>
  <c r="H17" i="30"/>
  <c r="Q12" i="30"/>
  <c r="H14" i="30"/>
  <c r="T26" i="30"/>
  <c r="M16" i="30"/>
  <c r="O15" i="30"/>
  <c r="O27" i="30" s="1"/>
  <c r="Q11" i="30"/>
  <c r="O14" i="30"/>
  <c r="O7" i="30"/>
  <c r="P19" i="30"/>
  <c r="I11" i="30"/>
  <c r="S14" i="30"/>
  <c r="L18" i="30"/>
  <c r="P13" i="30"/>
  <c r="R22" i="30"/>
  <c r="T8" i="30"/>
  <c r="Q8" i="30"/>
  <c r="U7" i="30"/>
  <c r="T22" i="30"/>
  <c r="M9" i="30"/>
  <c r="S12" i="30"/>
  <c r="U26" i="30"/>
  <c r="J9" i="30"/>
  <c r="T16" i="30"/>
  <c r="S13" i="30"/>
  <c r="M22" i="30"/>
  <c r="N19" i="30"/>
  <c r="O12" i="30"/>
  <c r="H9" i="30"/>
  <c r="Q17" i="30"/>
  <c r="U13" i="30"/>
  <c r="K22" i="30"/>
  <c r="M17" i="30"/>
  <c r="K17" i="30"/>
  <c r="G22" i="30"/>
  <c r="N7" i="30"/>
  <c r="L22" i="30"/>
  <c r="K18" i="30"/>
  <c r="N18" i="30"/>
  <c r="N17" i="30"/>
  <c r="N13" i="30"/>
  <c r="S9" i="30"/>
  <c r="K12" i="30"/>
  <c r="S11" i="30"/>
  <c r="G12" i="30"/>
  <c r="T18" i="30"/>
  <c r="N26" i="30"/>
  <c r="H12" i="30"/>
  <c r="O11" i="30"/>
  <c r="S7" i="30"/>
  <c r="G11" i="30"/>
  <c r="U14" i="30"/>
  <c r="T13" i="30"/>
  <c r="L9" i="30"/>
  <c r="R12" i="30"/>
  <c r="H16" i="30"/>
  <c r="Q21" i="30"/>
  <c r="R19" i="30"/>
  <c r="T14" i="30"/>
  <c r="J18" i="30"/>
  <c r="U16" i="30"/>
  <c r="T21" i="30"/>
  <c r="O13" i="30"/>
  <c r="H11" i="30"/>
  <c r="P17" i="30"/>
  <c r="U21" i="30"/>
  <c r="U8" i="30"/>
  <c r="M18" i="30"/>
  <c r="J14" i="30"/>
  <c r="I9" i="30"/>
  <c r="R15" i="30"/>
  <c r="R27" i="30" s="1"/>
  <c r="N14" i="30"/>
  <c r="G9" i="30"/>
  <c r="U18" i="30"/>
  <c r="S16" i="30"/>
  <c r="N22" i="30"/>
  <c r="Q26" i="30"/>
  <c r="P8" i="30"/>
  <c r="T7" i="30"/>
  <c r="R13" i="30"/>
  <c r="L11" i="30"/>
  <c r="Q13" i="30"/>
  <c r="O9" i="30"/>
  <c r="Q22" i="30"/>
  <c r="Q7" i="30"/>
  <c r="Q15" i="30"/>
  <c r="Q27" i="30" s="1"/>
  <c r="I12" i="30"/>
  <c r="J22" i="30"/>
  <c r="L16" i="30"/>
  <c r="N11" i="30"/>
  <c r="N12" i="30"/>
  <c r="O8" i="30"/>
  <c r="T19" i="30"/>
  <c r="K9" i="30"/>
  <c r="O22" i="30"/>
  <c r="S22" i="30"/>
  <c r="U19" i="30"/>
  <c r="G17" i="30"/>
  <c r="N15" i="30"/>
  <c r="N27" i="30" s="1"/>
  <c r="L12" i="30"/>
  <c r="J16" i="30"/>
  <c r="G16" i="30"/>
  <c r="M14" i="30"/>
  <c r="N9" i="30"/>
  <c r="P18" i="30"/>
  <c r="I16" i="30"/>
  <c r="S17" i="30"/>
  <c r="T12" i="30"/>
  <c r="U17" i="30"/>
  <c r="S26" i="30"/>
  <c r="T11" i="30"/>
  <c r="T17" i="30"/>
  <c r="I17" i="30"/>
  <c r="O21" i="30"/>
  <c r="L14" i="30"/>
  <c r="S15" i="30"/>
  <c r="S27" i="30" s="1"/>
  <c r="Q9" i="30"/>
  <c r="G14" i="30"/>
  <c r="P7" i="30"/>
  <c r="P12" i="30"/>
  <c r="P15" i="30"/>
  <c r="P27" i="30" s="1"/>
  <c r="P22" i="30"/>
  <c r="G18" i="30"/>
  <c r="I14" i="30"/>
  <c r="P9" i="30"/>
  <c r="O16" i="30"/>
  <c r="I18" i="30"/>
  <c r="P21" i="30"/>
  <c r="R7" i="30"/>
  <c r="R26" i="30"/>
  <c r="R9" i="30"/>
  <c r="R11" i="30"/>
  <c r="N21" i="30"/>
  <c r="R16" i="30"/>
  <c r="Q19" i="30"/>
  <c r="K16" i="30"/>
  <c r="U12" i="30"/>
  <c r="T9" i="30"/>
  <c r="N8" i="30"/>
  <c r="I22" i="30"/>
  <c r="T15" i="30"/>
  <c r="T27" i="30" s="1"/>
  <c r="P16" i="30"/>
  <c r="H22" i="30"/>
  <c r="P14" i="30"/>
  <c r="U22" i="30"/>
  <c r="S8" i="30"/>
  <c r="U9" i="30"/>
  <c r="S21" i="30"/>
  <c r="J12" i="30"/>
  <c r="R17" i="30"/>
  <c r="K11" i="30"/>
  <c r="K14" i="30"/>
  <c r="R21" i="30"/>
  <c r="S19" i="30"/>
  <c r="J11" i="30"/>
  <c r="R8" i="30"/>
  <c r="S18" i="30"/>
  <c r="Q14" i="30"/>
  <c r="U11" i="30"/>
  <c r="U15" i="30"/>
  <c r="U27" i="30" s="1"/>
  <c r="O19" i="30"/>
  <c r="Q18" i="30"/>
  <c r="P11" i="30"/>
  <c r="N16" i="30"/>
  <c r="O18" i="30"/>
  <c r="O17" i="30"/>
  <c r="H18" i="30"/>
  <c r="R14" i="30"/>
  <c r="Q16" i="30"/>
  <c r="M12" i="30"/>
  <c r="P26" i="30"/>
  <c r="R18" i="30"/>
  <c r="O26" i="30"/>
  <c r="M11" i="30"/>
  <c r="F12" i="30"/>
  <c r="F14" i="30"/>
  <c r="F18" i="30"/>
  <c r="F22" i="30"/>
  <c r="F17" i="30"/>
  <c r="F16" i="30"/>
  <c r="F9" i="30"/>
  <c r="F11" i="30"/>
  <c r="W21" i="35"/>
  <c r="Q14" i="35"/>
  <c r="U15" i="35"/>
  <c r="U27" i="35" s="1"/>
  <c r="S26" i="35"/>
  <c r="S25" i="35" s="1"/>
  <c r="V8" i="35"/>
  <c r="M9" i="35"/>
  <c r="S32" i="35"/>
  <c r="S11" i="35"/>
  <c r="R8" i="35"/>
  <c r="S14" i="35"/>
  <c r="R7" i="35"/>
  <c r="S18" i="35"/>
  <c r="U17" i="35"/>
  <c r="T9" i="35"/>
  <c r="Q19" i="35"/>
  <c r="W11" i="35"/>
  <c r="V19" i="35"/>
  <c r="U7" i="35"/>
  <c r="I11" i="35"/>
  <c r="X9" i="35"/>
  <c r="S47" i="35"/>
  <c r="W20" i="35"/>
  <c r="L9" i="35"/>
  <c r="P9" i="35"/>
  <c r="U19" i="35"/>
  <c r="X8" i="35"/>
  <c r="U20" i="35"/>
  <c r="T46" i="35"/>
  <c r="Q32" i="35"/>
  <c r="Q21" i="35"/>
  <c r="V9" i="35"/>
  <c r="X19" i="35"/>
  <c r="R17" i="35"/>
  <c r="S19" i="35"/>
  <c r="V47" i="35"/>
  <c r="Q18" i="35"/>
  <c r="S12" i="35"/>
  <c r="Q17" i="35"/>
  <c r="J9" i="35"/>
  <c r="T11" i="35"/>
  <c r="W32" i="35"/>
  <c r="L14" i="35"/>
  <c r="W12" i="35"/>
  <c r="N18" i="35"/>
  <c r="N14" i="35"/>
  <c r="U22" i="35"/>
  <c r="X26" i="35"/>
  <c r="X25" i="35" s="1"/>
  <c r="X7" i="35"/>
  <c r="R11" i="35"/>
  <c r="Q11" i="35"/>
  <c r="W17" i="35"/>
  <c r="S22" i="35"/>
  <c r="T7" i="35"/>
  <c r="T8" i="35"/>
  <c r="K9" i="35"/>
  <c r="T47" i="35"/>
  <c r="U8" i="35"/>
  <c r="R32" i="35"/>
  <c r="R12" i="35"/>
  <c r="Q9" i="35"/>
  <c r="V13" i="35"/>
  <c r="S13" i="35"/>
  <c r="R47" i="35"/>
  <c r="T14" i="35"/>
  <c r="Q13" i="35"/>
  <c r="X32" i="35"/>
  <c r="V11" i="35"/>
  <c r="T20" i="35"/>
  <c r="U11" i="35"/>
  <c r="Q46" i="35"/>
  <c r="W18" i="35"/>
  <c r="T13" i="35"/>
  <c r="W7" i="35"/>
  <c r="X12" i="35"/>
  <c r="T17" i="35"/>
  <c r="S9" i="35"/>
  <c r="S8" i="35"/>
  <c r="V15" i="35"/>
  <c r="V27" i="35" s="1"/>
  <c r="V7" i="35"/>
  <c r="V26" i="35"/>
  <c r="V25" i="35" s="1"/>
  <c r="R13" i="35"/>
  <c r="V22" i="35"/>
  <c r="V18" i="35"/>
  <c r="Q8" i="35"/>
  <c r="X18" i="35"/>
  <c r="X20" i="35"/>
  <c r="L11" i="35"/>
  <c r="J14" i="35"/>
  <c r="O18" i="35"/>
  <c r="R15" i="35"/>
  <c r="R27" i="35" s="1"/>
  <c r="Q12" i="35"/>
  <c r="R21" i="35"/>
  <c r="K14" i="35"/>
  <c r="T16" i="35"/>
  <c r="P11" i="35"/>
  <c r="O9" i="35"/>
  <c r="I18" i="35"/>
  <c r="I14" i="35"/>
  <c r="W8" i="35"/>
  <c r="V32" i="35"/>
  <c r="W47" i="35"/>
  <c r="R19" i="35"/>
  <c r="X13" i="35"/>
  <c r="Q22" i="35"/>
  <c r="T12" i="35"/>
  <c r="M14" i="35"/>
  <c r="U16" i="35"/>
  <c r="Q47" i="35"/>
  <c r="X16" i="35"/>
  <c r="W16" i="35"/>
  <c r="T26" i="35"/>
  <c r="T25" i="35" s="1"/>
  <c r="U9" i="35"/>
  <c r="M18" i="35"/>
  <c r="W19" i="35"/>
  <c r="P18" i="35"/>
  <c r="R18" i="35"/>
  <c r="V20" i="35"/>
  <c r="S21" i="35"/>
  <c r="T21" i="35"/>
  <c r="S20" i="35"/>
  <c r="U46" i="35"/>
  <c r="V12" i="35"/>
  <c r="W13" i="35"/>
  <c r="J18" i="35"/>
  <c r="V16" i="35"/>
  <c r="T19" i="35"/>
  <c r="Q15" i="35"/>
  <c r="Q27" i="35" s="1"/>
  <c r="V14" i="35"/>
  <c r="U14" i="35"/>
  <c r="T18" i="35"/>
  <c r="X15" i="35"/>
  <c r="X27" i="35" s="1"/>
  <c r="J11" i="35"/>
  <c r="X47" i="35"/>
  <c r="W26" i="35"/>
  <c r="W25" i="35" s="1"/>
  <c r="V46" i="35"/>
  <c r="U32" i="35"/>
  <c r="P14" i="35"/>
  <c r="W14" i="35"/>
  <c r="X21" i="35"/>
  <c r="W9" i="35"/>
  <c r="S7" i="35"/>
  <c r="U13" i="35"/>
  <c r="Q26" i="35"/>
  <c r="Q25" i="35" s="1"/>
  <c r="Q16" i="35"/>
  <c r="T22" i="35"/>
  <c r="R46" i="35"/>
  <c r="L18" i="35"/>
  <c r="N11" i="35"/>
  <c r="R9" i="35"/>
  <c r="R14" i="35"/>
  <c r="R20" i="35"/>
  <c r="O14" i="35"/>
  <c r="N9" i="35"/>
  <c r="O11" i="35"/>
  <c r="W15" i="35"/>
  <c r="W27" i="35" s="1"/>
  <c r="R16" i="35"/>
  <c r="U12" i="35"/>
  <c r="M11" i="35"/>
  <c r="Q20" i="35"/>
  <c r="U47" i="35"/>
  <c r="R22" i="35"/>
  <c r="K11" i="35"/>
  <c r="W22" i="35"/>
  <c r="X22" i="35"/>
  <c r="X17" i="35"/>
  <c r="X14" i="35"/>
  <c r="T15" i="35"/>
  <c r="T27" i="35" s="1"/>
  <c r="Q7" i="35"/>
  <c r="U26" i="35"/>
  <c r="U25" i="35" s="1"/>
  <c r="S16" i="35"/>
  <c r="W46" i="35"/>
  <c r="X46" i="35"/>
  <c r="I9" i="35"/>
  <c r="V17" i="35"/>
  <c r="R26" i="35"/>
  <c r="R25" i="35" s="1"/>
  <c r="S17" i="35"/>
  <c r="U21" i="35"/>
  <c r="U18" i="35"/>
  <c r="X11" i="35"/>
  <c r="T32" i="35"/>
  <c r="K18" i="35"/>
  <c r="S46" i="35"/>
  <c r="V21" i="35"/>
  <c r="S15" i="35"/>
  <c r="S27" i="35" s="1"/>
  <c r="I17" i="35"/>
  <c r="I16" i="35"/>
  <c r="I12" i="35"/>
  <c r="I22" i="35"/>
  <c r="J16" i="35"/>
  <c r="J17" i="35"/>
  <c r="N46" i="30"/>
  <c r="U45" i="30"/>
  <c r="U46" i="30"/>
  <c r="Q46" i="30"/>
  <c r="P45" i="30"/>
  <c r="Q45" i="30"/>
  <c r="R46" i="30"/>
  <c r="O45" i="30"/>
  <c r="N45" i="30"/>
  <c r="P46" i="30"/>
  <c r="S46" i="30"/>
  <c r="T46" i="30"/>
  <c r="O46" i="30"/>
  <c r="R45" i="30"/>
  <c r="T45" i="30"/>
  <c r="S45" i="30"/>
  <c r="T31" i="30"/>
  <c r="S31" i="30"/>
  <c r="P31" i="30"/>
  <c r="O31" i="30"/>
  <c r="U31" i="30"/>
  <c r="N31" i="30"/>
  <c r="Q31" i="30"/>
  <c r="R31" i="30"/>
  <c r="EO68" i="11"/>
  <c r="EO102" i="5" s="1"/>
  <c r="EO27" i="19" s="1"/>
  <c r="EQ13" i="19"/>
  <c r="EE16" i="11"/>
  <c r="EE18" i="11" s="1"/>
  <c r="EE70" i="5" s="1"/>
  <c r="EE68" i="5" s="1"/>
  <c r="ER16" i="6"/>
  <c r="ER60" i="6" s="1"/>
  <c r="EP33" i="11"/>
  <c r="EP78" i="5"/>
  <c r="EP28" i="11"/>
  <c r="EP75" i="5"/>
  <c r="Z21" i="11"/>
  <c r="EP111" i="11"/>
  <c r="EP106" i="11"/>
  <c r="EP175" i="11"/>
  <c r="EP176" i="11" s="1"/>
  <c r="EP29" i="5" s="1"/>
  <c r="EQ27" i="6"/>
  <c r="EP24" i="5"/>
  <c r="EP185" i="11"/>
  <c r="EP166" i="11"/>
  <c r="EE165" i="11" s="1"/>
  <c r="EE27" i="5" s="1"/>
  <c r="EP190" i="11"/>
  <c r="EP191" i="11" s="1"/>
  <c r="EP32" i="5" s="1"/>
  <c r="EO187" i="11"/>
  <c r="EP184" i="11" s="1"/>
  <c r="EP26" i="5"/>
  <c r="EP170" i="11"/>
  <c r="EQ29" i="6"/>
  <c r="EP10" i="19"/>
  <c r="EQ11" i="6"/>
  <c r="EQ10" i="2"/>
  <c r="EP10" i="5"/>
  <c r="ET10" i="14"/>
  <c r="EQ10" i="10"/>
  <c r="EP38" i="11"/>
  <c r="EQ13" i="5"/>
  <c r="EQ231" i="11" s="1"/>
  <c r="EQ5" i="11"/>
  <c r="EQ14" i="11" s="1"/>
  <c r="EP5" i="15"/>
  <c r="EP13" i="15" s="1"/>
  <c r="EP11" i="19"/>
  <c r="EP11" i="5"/>
  <c r="EQ12" i="6"/>
  <c r="EQ11" i="2"/>
  <c r="ET11" i="14"/>
  <c r="EQ11" i="10"/>
  <c r="EP214" i="11"/>
  <c r="EP145" i="11"/>
  <c r="EP157" i="11" s="1"/>
  <c r="EP140" i="11"/>
  <c r="EO29" i="5"/>
  <c r="EQ6" i="19"/>
  <c r="EQ6" i="5"/>
  <c r="ER7" i="6"/>
  <c r="ER6" i="10"/>
  <c r="ER6" i="2"/>
  <c r="EU6" i="14"/>
  <c r="EE164" i="11"/>
  <c r="EC19" i="15"/>
  <c r="EU104" i="14"/>
  <c r="EU99" i="14"/>
  <c r="EP197" i="11"/>
  <c r="EQ194" i="11" s="1"/>
  <c r="EP39" i="5"/>
  <c r="ER36" i="10"/>
  <c r="EQ7" i="19"/>
  <c r="ER7" i="2"/>
  <c r="EQ7" i="5"/>
  <c r="EU7" i="14"/>
  <c r="ER7" i="10"/>
  <c r="ER8" i="6"/>
  <c r="EQ10" i="6"/>
  <c r="EP9" i="19"/>
  <c r="EP9" i="5"/>
  <c r="EQ9" i="10"/>
  <c r="EQ9" i="2"/>
  <c r="ET9" i="14"/>
  <c r="EQ20" i="4"/>
  <c r="EQ16" i="4"/>
  <c r="EQ17" i="4"/>
  <c r="EQ18" i="4"/>
  <c r="EQ29" i="4"/>
  <c r="J29" i="4" s="1"/>
  <c r="EQ41" i="4"/>
  <c r="EQ36" i="4"/>
  <c r="J36" i="4" s="1"/>
  <c r="EQ44" i="4"/>
  <c r="EQ8" i="4" s="1"/>
  <c r="EQ21" i="4"/>
  <c r="EQ24" i="4"/>
  <c r="EQ55" i="4"/>
  <c r="EQ54" i="4"/>
  <c r="EQ35" i="4"/>
  <c r="J35" i="4" s="1"/>
  <c r="EQ51" i="4"/>
  <c r="EQ30" i="4"/>
  <c r="J30" i="4" s="1"/>
  <c r="EQ50" i="4"/>
  <c r="EQ22" i="4"/>
  <c r="ER21" i="6" s="1"/>
  <c r="ER19" i="10" s="1"/>
  <c r="EQ48" i="4"/>
  <c r="EQ53" i="4"/>
  <c r="EQ42" i="4"/>
  <c r="EQ52" i="4"/>
  <c r="EQ43" i="4"/>
  <c r="EQ37" i="4"/>
  <c r="EQ31" i="4"/>
  <c r="EQ23" i="4"/>
  <c r="ER44" i="10" s="1"/>
  <c r="EO8" i="15"/>
  <c r="EP8" i="11"/>
  <c r="EB169" i="11"/>
  <c r="EB171" i="11" s="1"/>
  <c r="W29" i="35" l="1"/>
  <c r="Q29" i="35"/>
  <c r="U29" i="35"/>
  <c r="S29" i="35"/>
  <c r="X29" i="35"/>
  <c r="T29" i="35"/>
  <c r="R29" i="35"/>
  <c r="V29" i="35"/>
  <c r="EQ245" i="11"/>
  <c r="EQ235" i="11"/>
  <c r="D9" i="35"/>
  <c r="E9" i="35" s="1"/>
  <c r="D18" i="35"/>
  <c r="E18" i="35" s="1"/>
  <c r="H9" i="35"/>
  <c r="V6" i="35"/>
  <c r="T6" i="35"/>
  <c r="Q6" i="35"/>
  <c r="S6" i="35"/>
  <c r="D16" i="35"/>
  <c r="E16" i="35" s="1"/>
  <c r="D17" i="35"/>
  <c r="E17" i="35" s="1"/>
  <c r="D11" i="35"/>
  <c r="E11" i="35" s="1"/>
  <c r="H11" i="35"/>
  <c r="S10" i="35"/>
  <c r="U6" i="35"/>
  <c r="U10" i="35"/>
  <c r="Q10" i="35"/>
  <c r="D14" i="35"/>
  <c r="E14" i="35" s="1"/>
  <c r="R10" i="35"/>
  <c r="T10" i="35"/>
  <c r="W10" i="35"/>
  <c r="V10" i="35"/>
  <c r="X6" i="35"/>
  <c r="H18" i="35"/>
  <c r="X10" i="35"/>
  <c r="W6" i="35"/>
  <c r="R6" i="35"/>
  <c r="H14" i="35"/>
  <c r="U6" i="30"/>
  <c r="N10" i="30"/>
  <c r="R6" i="30"/>
  <c r="U10" i="30"/>
  <c r="P10" i="30"/>
  <c r="Q6" i="30"/>
  <c r="O6" i="30"/>
  <c r="S10" i="30"/>
  <c r="R10" i="30"/>
  <c r="N6" i="30"/>
  <c r="P6" i="30"/>
  <c r="T10" i="30"/>
  <c r="O10" i="30"/>
  <c r="Q10" i="30"/>
  <c r="T6" i="30"/>
  <c r="S6" i="30"/>
  <c r="E9" i="30"/>
  <c r="EP246" i="11"/>
  <c r="EP250" i="11"/>
  <c r="EP251" i="11" s="1"/>
  <c r="EP252" i="11" s="1"/>
  <c r="EQ249" i="11" s="1"/>
  <c r="EQ72" i="11"/>
  <c r="EQ106" i="5" s="1"/>
  <c r="J106" i="5" s="1"/>
  <c r="EQ67" i="11"/>
  <c r="EQ101" i="5" s="1"/>
  <c r="J101" i="5" s="1"/>
  <c r="EE19" i="11"/>
  <c r="EF16" i="11" s="1"/>
  <c r="ER65" i="6"/>
  <c r="AJ85" i="16"/>
  <c r="AK85" i="16"/>
  <c r="AM85" i="16"/>
  <c r="AL85" i="16"/>
  <c r="AN85" i="16"/>
  <c r="AP85" i="16"/>
  <c r="AO85" i="16"/>
  <c r="AQ85" i="16"/>
  <c r="AR85" i="16"/>
  <c r="AS85" i="16"/>
  <c r="AT85" i="16"/>
  <c r="AV85" i="16"/>
  <c r="AU85" i="16"/>
  <c r="AW85" i="16"/>
  <c r="AX85" i="16"/>
  <c r="AY85" i="16"/>
  <c r="AZ85" i="16"/>
  <c r="BA85" i="16"/>
  <c r="BB85" i="16"/>
  <c r="BC85" i="16"/>
  <c r="BD85" i="16"/>
  <c r="BE85" i="16"/>
  <c r="BF85" i="16"/>
  <c r="BG85" i="16"/>
  <c r="BH85" i="16"/>
  <c r="BI85" i="16"/>
  <c r="BJ85" i="16"/>
  <c r="BK85" i="16"/>
  <c r="BL85" i="16"/>
  <c r="BN85" i="16"/>
  <c r="BM85" i="16"/>
  <c r="BO85" i="16"/>
  <c r="BP85" i="16"/>
  <c r="BR85" i="16"/>
  <c r="BQ85" i="16"/>
  <c r="BS85" i="16"/>
  <c r="BT85" i="16"/>
  <c r="BU85" i="16"/>
  <c r="BV85" i="16"/>
  <c r="BW85" i="16"/>
  <c r="BX85" i="16"/>
  <c r="BY85" i="16"/>
  <c r="BZ85" i="16"/>
  <c r="CA85" i="16"/>
  <c r="CB85" i="16"/>
  <c r="CD85" i="16"/>
  <c r="CC85" i="16"/>
  <c r="CE85" i="16"/>
  <c r="CG85" i="16"/>
  <c r="CF85" i="16"/>
  <c r="CI85" i="16"/>
  <c r="CH85" i="16"/>
  <c r="CJ85" i="16"/>
  <c r="CK85" i="16"/>
  <c r="CL85" i="16"/>
  <c r="CM85" i="16"/>
  <c r="CN85" i="16"/>
  <c r="CO85" i="16"/>
  <c r="CP85" i="16"/>
  <c r="CQ85" i="16"/>
  <c r="CR85" i="16"/>
  <c r="CS85" i="16"/>
  <c r="CT85" i="16"/>
  <c r="CU85" i="16"/>
  <c r="CV85" i="16"/>
  <c r="CW85" i="16"/>
  <c r="CX85" i="16"/>
  <c r="CY85" i="16"/>
  <c r="CZ85" i="16"/>
  <c r="DA85" i="16"/>
  <c r="DB85" i="16"/>
  <c r="DC85" i="16"/>
  <c r="DD85" i="16"/>
  <c r="DF85" i="16"/>
  <c r="DE85" i="16"/>
  <c r="DG85" i="16"/>
  <c r="DI85" i="16"/>
  <c r="DH85" i="16"/>
  <c r="DJ85" i="16"/>
  <c r="DL85" i="16"/>
  <c r="DK85" i="16"/>
  <c r="DM85" i="16"/>
  <c r="DN85" i="16"/>
  <c r="DO85" i="16"/>
  <c r="DQ85" i="16"/>
  <c r="DP85" i="16"/>
  <c r="DR85" i="16"/>
  <c r="DS85" i="16"/>
  <c r="DT85" i="16"/>
  <c r="DU85" i="16"/>
  <c r="DV85" i="16"/>
  <c r="DW85" i="16"/>
  <c r="EP112" i="11"/>
  <c r="EQ109" i="11" s="1"/>
  <c r="EP43" i="5"/>
  <c r="EP107" i="11"/>
  <c r="EQ104" i="11" s="1"/>
  <c r="EP42" i="5"/>
  <c r="EP29" i="11"/>
  <c r="EQ26" i="11" s="1"/>
  <c r="EQ105" i="11" s="1"/>
  <c r="EP76" i="5"/>
  <c r="EP74" i="5" s="1"/>
  <c r="EP34" i="11"/>
  <c r="EQ31" i="11" s="1"/>
  <c r="EQ110" i="11" s="1"/>
  <c r="EP79" i="5"/>
  <c r="EP77" i="5" s="1"/>
  <c r="Z23" i="11"/>
  <c r="Z73" i="5" s="1"/>
  <c r="EQ32" i="11"/>
  <c r="EQ78" i="5" s="1"/>
  <c r="ER31" i="10"/>
  <c r="ER36" i="6" s="1"/>
  <c r="EQ27" i="11"/>
  <c r="EU88" i="14"/>
  <c r="K89" i="14"/>
  <c r="EP186" i="11"/>
  <c r="EP31" i="5" s="1"/>
  <c r="ER22" i="10"/>
  <c r="ER27" i="6" s="1"/>
  <c r="ER27" i="10"/>
  <c r="EQ170" i="11" s="1"/>
  <c r="J170" i="11" s="1"/>
  <c r="ER53" i="10"/>
  <c r="K53" i="10" s="1"/>
  <c r="AJ51" i="1" s="1"/>
  <c r="ER25" i="6"/>
  <c r="K101" i="14"/>
  <c r="AG18" i="1" s="1"/>
  <c r="K91" i="14"/>
  <c r="AG8" i="1" s="1"/>
  <c r="K94" i="14"/>
  <c r="AG11" i="1" s="1"/>
  <c r="K102" i="14"/>
  <c r="AG19" i="1" s="1"/>
  <c r="K90" i="14"/>
  <c r="AG7" i="1" s="1"/>
  <c r="K96" i="14"/>
  <c r="AG13" i="1" s="1"/>
  <c r="K93" i="14"/>
  <c r="AG10" i="1" s="1"/>
  <c r="K95" i="14"/>
  <c r="AG12" i="1" s="1"/>
  <c r="K104" i="14"/>
  <c r="AG21" i="1" s="1"/>
  <c r="K100" i="14"/>
  <c r="AG17" i="1" s="1"/>
  <c r="K99" i="14"/>
  <c r="AG16" i="1" s="1"/>
  <c r="K92" i="14"/>
  <c r="AG9" i="1" s="1"/>
  <c r="K103" i="14"/>
  <c r="AG20" i="1" s="1"/>
  <c r="K97" i="14"/>
  <c r="AG14" i="1" s="1"/>
  <c r="K105" i="14"/>
  <c r="AG22" i="1" s="1"/>
  <c r="K98" i="14"/>
  <c r="AG15" i="1" s="1"/>
  <c r="EE167" i="11"/>
  <c r="ED19" i="15" s="1"/>
  <c r="ER47" i="10"/>
  <c r="K47" i="10" s="1"/>
  <c r="AJ45" i="1" s="1"/>
  <c r="M12" i="21" s="1"/>
  <c r="ER25" i="10"/>
  <c r="EP6" i="15"/>
  <c r="EQ6" i="11"/>
  <c r="ER41" i="6"/>
  <c r="E18" i="30" s="1"/>
  <c r="EP82" i="5"/>
  <c r="EP80" i="5" s="1"/>
  <c r="EP39" i="11"/>
  <c r="EQ36" i="11" s="1"/>
  <c r="ER46" i="10"/>
  <c r="K46" i="10" s="1"/>
  <c r="AJ44" i="1" s="1"/>
  <c r="M11" i="21" s="1"/>
  <c r="ER48" i="10"/>
  <c r="K48" i="10" s="1"/>
  <c r="AJ46" i="1" s="1"/>
  <c r="M13" i="21" s="1"/>
  <c r="ER21" i="2"/>
  <c r="K21" i="2" s="1"/>
  <c r="ER22" i="2"/>
  <c r="K22" i="2" s="1"/>
  <c r="ER30" i="2"/>
  <c r="K30" i="2" s="1"/>
  <c r="ER23" i="2"/>
  <c r="K23" i="2" s="1"/>
  <c r="ER24" i="2"/>
  <c r="K24" i="2" s="1"/>
  <c r="ER25" i="2"/>
  <c r="K25" i="2" s="1"/>
  <c r="EP7" i="15"/>
  <c r="EQ7" i="11"/>
  <c r="N99" i="14"/>
  <c r="EP10" i="11"/>
  <c r="EO10" i="15"/>
  <c r="K44" i="10"/>
  <c r="ER30" i="10"/>
  <c r="ER49" i="10"/>
  <c r="K49" i="10" s="1"/>
  <c r="AJ47" i="1" s="1"/>
  <c r="ER23" i="10"/>
  <c r="EO11" i="15"/>
  <c r="EP11" i="11"/>
  <c r="EQ32" i="4"/>
  <c r="J31" i="4"/>
  <c r="J37" i="4"/>
  <c r="EQ38" i="4"/>
  <c r="ER50" i="10"/>
  <c r="K50" i="10" s="1"/>
  <c r="AJ48" i="1" s="1"/>
  <c r="ER24" i="10"/>
  <c r="EQ46" i="4"/>
  <c r="EQ10" i="4" s="1"/>
  <c r="EQ47" i="4"/>
  <c r="EQ11" i="4" s="1"/>
  <c r="EQ26" i="4"/>
  <c r="EQ27" i="4"/>
  <c r="EQ45" i="4"/>
  <c r="EQ9" i="4" s="1"/>
  <c r="EQ25" i="4"/>
  <c r="ER45" i="10"/>
  <c r="K45" i="10" s="1"/>
  <c r="AJ43" i="1" s="1"/>
  <c r="M10" i="21" s="1"/>
  <c r="K14" i="18"/>
  <c r="K26" i="18"/>
  <c r="L26" i="18"/>
  <c r="E783" i="32" s="1"/>
  <c r="M26" i="18"/>
  <c r="L14" i="18"/>
  <c r="E774" i="32" s="1"/>
  <c r="N26" i="18"/>
  <c r="G783" i="32" s="1"/>
  <c r="AH13" i="18"/>
  <c r="AH24" i="18"/>
  <c r="AI27" i="18"/>
  <c r="AH16" i="18"/>
  <c r="AH31" i="18"/>
  <c r="AH27" i="18"/>
  <c r="AH21" i="18"/>
  <c r="AH17" i="18"/>
  <c r="AI16" i="18"/>
  <c r="AJ27" i="18"/>
  <c r="AH28" i="18"/>
  <c r="AH32" i="18"/>
  <c r="AI22" i="18"/>
  <c r="AH18" i="18"/>
  <c r="AI13" i="18"/>
  <c r="AH22" i="18"/>
  <c r="AH26" i="18"/>
  <c r="AI28" i="18"/>
  <c r="AI24" i="18"/>
  <c r="AI32" i="18"/>
  <c r="AI17" i="18"/>
  <c r="AH12" i="18"/>
  <c r="AI14" i="18"/>
  <c r="AH34" i="18"/>
  <c r="AH33" i="18" s="1"/>
  <c r="AH14" i="18"/>
  <c r="AI21" i="18"/>
  <c r="AH23" i="18"/>
  <c r="AI26" i="18"/>
  <c r="AH11" i="18"/>
  <c r="AJ31" i="18"/>
  <c r="AJ11" i="18"/>
  <c r="AJ23" i="18"/>
  <c r="AI18" i="18"/>
  <c r="AJ22" i="18"/>
  <c r="AJ24" i="18"/>
  <c r="AI23" i="18"/>
  <c r="AJ18" i="18"/>
  <c r="AJ32" i="18"/>
  <c r="AJ12" i="18"/>
  <c r="AK24" i="18"/>
  <c r="AI12" i="18"/>
  <c r="AJ26" i="18"/>
  <c r="AI31" i="18"/>
  <c r="AJ17" i="18"/>
  <c r="AJ34" i="18"/>
  <c r="AJ33" i="18" s="1"/>
  <c r="AI34" i="18"/>
  <c r="AI33" i="18" s="1"/>
  <c r="AI11" i="18"/>
  <c r="AJ16" i="18"/>
  <c r="AJ21" i="18"/>
  <c r="AJ28" i="18"/>
  <c r="AK21" i="18"/>
  <c r="AK32" i="18"/>
  <c r="AK14" i="18"/>
  <c r="AK16" i="18"/>
  <c r="AK18" i="18"/>
  <c r="AJ14" i="18"/>
  <c r="AK28" i="18"/>
  <c r="AL18" i="18"/>
  <c r="AK11" i="18"/>
  <c r="AK26" i="18"/>
  <c r="AJ13" i="18"/>
  <c r="AK31" i="18"/>
  <c r="AK27" i="18"/>
  <c r="AK17" i="18"/>
  <c r="AM24" i="18"/>
  <c r="AK34" i="18"/>
  <c r="AK33" i="18" s="1"/>
  <c r="O26" i="18"/>
  <c r="AL26" i="18"/>
  <c r="AK12" i="18"/>
  <c r="AK22" i="18"/>
  <c r="AL17" i="18"/>
  <c r="AL22" i="18"/>
  <c r="AL16" i="18"/>
  <c r="AL31" i="18"/>
  <c r="AL23" i="18"/>
  <c r="AL24" i="18"/>
  <c r="AL34" i="18"/>
  <c r="AL33" i="18" s="1"/>
  <c r="AK23" i="18"/>
  <c r="AL27" i="18"/>
  <c r="M14" i="18"/>
  <c r="AK13" i="18"/>
  <c r="AL32" i="18"/>
  <c r="AL14" i="18"/>
  <c r="AM27" i="18"/>
  <c r="AM18" i="18"/>
  <c r="AN27" i="18"/>
  <c r="AM16" i="18"/>
  <c r="AL12" i="18"/>
  <c r="AM31" i="18"/>
  <c r="AM23" i="18"/>
  <c r="AL13" i="18"/>
  <c r="AM17" i="18"/>
  <c r="AL11" i="18"/>
  <c r="AM13" i="18"/>
  <c r="AM14" i="18"/>
  <c r="AM28" i="18"/>
  <c r="AL21" i="18"/>
  <c r="AL28" i="18"/>
  <c r="AN21" i="18"/>
  <c r="AM26" i="18"/>
  <c r="AM22" i="18"/>
  <c r="AN16" i="18"/>
  <c r="AM32" i="18"/>
  <c r="AN17" i="18"/>
  <c r="AN28" i="18"/>
  <c r="AN31" i="18"/>
  <c r="AO24" i="18"/>
  <c r="AM12" i="18"/>
  <c r="AN12" i="18"/>
  <c r="AN23" i="18"/>
  <c r="AN18" i="18"/>
  <c r="AN26" i="18"/>
  <c r="AM34" i="18"/>
  <c r="AM33" i="18" s="1"/>
  <c r="AN13" i="18"/>
  <c r="AN32" i="18"/>
  <c r="AM21" i="18"/>
  <c r="AN34" i="18"/>
  <c r="AN33" i="18" s="1"/>
  <c r="AM11" i="18"/>
  <c r="AO13" i="18"/>
  <c r="AO27" i="18"/>
  <c r="AN11" i="18"/>
  <c r="AN22" i="18"/>
  <c r="AO28" i="18"/>
  <c r="AO14" i="18"/>
  <c r="AO11" i="18"/>
  <c r="AP16" i="18"/>
  <c r="AO22" i="18"/>
  <c r="AO26" i="18"/>
  <c r="AN14" i="18"/>
  <c r="AO17" i="18"/>
  <c r="AN24" i="18"/>
  <c r="AO12" i="18"/>
  <c r="AQ27" i="18"/>
  <c r="AO32" i="18"/>
  <c r="AP34" i="18"/>
  <c r="AP33" i="18" s="1"/>
  <c r="AO34" i="18"/>
  <c r="AO33" i="18" s="1"/>
  <c r="AP28" i="18"/>
  <c r="AO23" i="18"/>
  <c r="AO18" i="18"/>
  <c r="AO21" i="18"/>
  <c r="AP17" i="18"/>
  <c r="AP27" i="18"/>
  <c r="AP14" i="18"/>
  <c r="AO31" i="18"/>
  <c r="AP18" i="18"/>
  <c r="AO16" i="18"/>
  <c r="AP32" i="18"/>
  <c r="AQ23" i="18"/>
  <c r="AP11" i="18"/>
  <c r="AQ11" i="18"/>
  <c r="AR13" i="18"/>
  <c r="AQ34" i="18"/>
  <c r="AQ33" i="18" s="1"/>
  <c r="AQ28" i="18"/>
  <c r="AQ17" i="18"/>
  <c r="AQ26" i="18"/>
  <c r="AP31" i="18"/>
  <c r="AQ12" i="18"/>
  <c r="AP13" i="18"/>
  <c r="AQ31" i="18"/>
  <c r="AP22" i="18"/>
  <c r="N14" i="18"/>
  <c r="G774" i="32" s="1"/>
  <c r="AP23" i="18"/>
  <c r="AP21" i="18"/>
  <c r="AP24" i="18"/>
  <c r="AP12" i="18"/>
  <c r="AP26" i="18"/>
  <c r="AQ32" i="18"/>
  <c r="AR26" i="18"/>
  <c r="AR21" i="18"/>
  <c r="AR14" i="18"/>
  <c r="AQ13" i="18"/>
  <c r="AQ22" i="18"/>
  <c r="AQ14" i="18"/>
  <c r="AS21" i="18"/>
  <c r="AR22" i="18"/>
  <c r="AQ21" i="18"/>
  <c r="AR17" i="18"/>
  <c r="AR18" i="18"/>
  <c r="AR32" i="18"/>
  <c r="AR23" i="18"/>
  <c r="AS27" i="18"/>
  <c r="AQ18" i="18"/>
  <c r="AR27" i="18"/>
  <c r="AR24" i="18"/>
  <c r="AR28" i="18"/>
  <c r="P26" i="18"/>
  <c r="AQ16" i="18"/>
  <c r="AQ24" i="18"/>
  <c r="AS24" i="18"/>
  <c r="AS23" i="18"/>
  <c r="AS28" i="18"/>
  <c r="AS14" i="18"/>
  <c r="AS26" i="18"/>
  <c r="AR12" i="18"/>
  <c r="AS13" i="18"/>
  <c r="AR11" i="18"/>
  <c r="AT31" i="18"/>
  <c r="AT27" i="18"/>
  <c r="AR16" i="18"/>
  <c r="AS31" i="18"/>
  <c r="AR34" i="18"/>
  <c r="AR33" i="18" s="1"/>
  <c r="AS32" i="18"/>
  <c r="AS22" i="18"/>
  <c r="AR31" i="18"/>
  <c r="AS34" i="18"/>
  <c r="AS33" i="18" s="1"/>
  <c r="AS16" i="18"/>
  <c r="AS17" i="18"/>
  <c r="AS12" i="18"/>
  <c r="AS11" i="18"/>
  <c r="AT26" i="18"/>
  <c r="AU11" i="18"/>
  <c r="AT24" i="18"/>
  <c r="AT21" i="18"/>
  <c r="AT34" i="18"/>
  <c r="AT33" i="18" s="1"/>
  <c r="AT32" i="18"/>
  <c r="AS18" i="18"/>
  <c r="AT12" i="18"/>
  <c r="AT17" i="18"/>
  <c r="AT13" i="18"/>
  <c r="AT14" i="18"/>
  <c r="AT18" i="18"/>
  <c r="AT28" i="18"/>
  <c r="AU21" i="18"/>
  <c r="AU34" i="18"/>
  <c r="AU33" i="18" s="1"/>
  <c r="AU28" i="18"/>
  <c r="AU18" i="18"/>
  <c r="AU13" i="18"/>
  <c r="AT11" i="18"/>
  <c r="AT16" i="18"/>
  <c r="AU12" i="18"/>
  <c r="AU31" i="18"/>
  <c r="AT23" i="18"/>
  <c r="AU26" i="18"/>
  <c r="AV18" i="18"/>
  <c r="AU32" i="18"/>
  <c r="AT22" i="18"/>
  <c r="AV27" i="18"/>
  <c r="AU27" i="18"/>
  <c r="AU14" i="18"/>
  <c r="AU22" i="18"/>
  <c r="AU17" i="18"/>
  <c r="AV23" i="18"/>
  <c r="AV21" i="18"/>
  <c r="AU16" i="18"/>
  <c r="AV14" i="18"/>
  <c r="AV16" i="18"/>
  <c r="AV31" i="18"/>
  <c r="AU23" i="18"/>
  <c r="AV13" i="18"/>
  <c r="AV32" i="18"/>
  <c r="AV28" i="18"/>
  <c r="AV12" i="18"/>
  <c r="AV17" i="18"/>
  <c r="AW27" i="18"/>
  <c r="AW13" i="18"/>
  <c r="AX27" i="18"/>
  <c r="AV22" i="18"/>
  <c r="AU24" i="18"/>
  <c r="AV11" i="18"/>
  <c r="AV34" i="18"/>
  <c r="AV33" i="18" s="1"/>
  <c r="AV24" i="18"/>
  <c r="AW16" i="18"/>
  <c r="O14" i="18"/>
  <c r="AW32" i="18"/>
  <c r="AW28" i="18"/>
  <c r="AW24" i="18"/>
  <c r="AW17" i="18"/>
  <c r="AW22" i="18"/>
  <c r="AW23" i="18"/>
  <c r="AW11" i="18"/>
  <c r="AV26" i="18"/>
  <c r="AW26" i="18"/>
  <c r="AW14" i="18"/>
  <c r="AW21" i="18"/>
  <c r="AX34" i="18"/>
  <c r="AX33" i="18" s="1"/>
  <c r="AX12" i="18"/>
  <c r="AX26" i="18"/>
  <c r="AW31" i="18"/>
  <c r="AX32" i="18"/>
  <c r="AY12" i="18"/>
  <c r="AX22" i="18"/>
  <c r="AW34" i="18"/>
  <c r="AW33" i="18" s="1"/>
  <c r="AX11" i="18"/>
  <c r="AX13" i="18"/>
  <c r="Q26" i="18"/>
  <c r="G221" i="32" s="1"/>
  <c r="AX18" i="18"/>
  <c r="AX21" i="18"/>
  <c r="AX28" i="18"/>
  <c r="AX16" i="18"/>
  <c r="AW18" i="18"/>
  <c r="AW12" i="18"/>
  <c r="AY24" i="18"/>
  <c r="AX23" i="18"/>
  <c r="AX17" i="18"/>
  <c r="AY13" i="18"/>
  <c r="AY32" i="18"/>
  <c r="AX14" i="18"/>
  <c r="AY26" i="18"/>
  <c r="AZ27" i="18"/>
  <c r="AY14" i="18"/>
  <c r="AZ13" i="18"/>
  <c r="AX31" i="18"/>
  <c r="AY22" i="18"/>
  <c r="AX24" i="18"/>
  <c r="AY27" i="18"/>
  <c r="AY21" i="18"/>
  <c r="AY23" i="18"/>
  <c r="AZ32" i="18"/>
  <c r="AZ12" i="18"/>
  <c r="BA16" i="18"/>
  <c r="AZ22" i="18"/>
  <c r="AY11" i="18"/>
  <c r="AY16" i="18"/>
  <c r="AY31" i="18"/>
  <c r="AZ28" i="18"/>
  <c r="AZ26" i="18"/>
  <c r="BA27" i="18"/>
  <c r="AY34" i="18"/>
  <c r="AY33" i="18" s="1"/>
  <c r="AY28" i="18"/>
  <c r="AY17" i="18"/>
  <c r="AZ17" i="18"/>
  <c r="AZ11" i="18"/>
  <c r="AY18" i="18"/>
  <c r="BA28" i="18"/>
  <c r="AZ34" i="18"/>
  <c r="AZ33" i="18" s="1"/>
  <c r="AZ14" i="18"/>
  <c r="AZ21" i="18"/>
  <c r="BB27" i="18"/>
  <c r="AZ16" i="18"/>
  <c r="AZ23" i="18"/>
  <c r="AZ31" i="18"/>
  <c r="AZ24" i="18"/>
  <c r="BB28" i="18"/>
  <c r="BA13" i="18"/>
  <c r="AZ18" i="18"/>
  <c r="BA26" i="18"/>
  <c r="BA17" i="18"/>
  <c r="BA18" i="18"/>
  <c r="BA31" i="18"/>
  <c r="BA14" i="18"/>
  <c r="BB32" i="18"/>
  <c r="BB17" i="18"/>
  <c r="BA22" i="18"/>
  <c r="BB23" i="18"/>
  <c r="BB18" i="18"/>
  <c r="BA11" i="18"/>
  <c r="BA23" i="18"/>
  <c r="BA24" i="18"/>
  <c r="BA12" i="18"/>
  <c r="BA34" i="18"/>
  <c r="BA33" i="18" s="1"/>
  <c r="BB14" i="18"/>
  <c r="BB26" i="18"/>
  <c r="BA32" i="18"/>
  <c r="BB34" i="18"/>
  <c r="BB33" i="18" s="1"/>
  <c r="BC16" i="18"/>
  <c r="BA21" i="18"/>
  <c r="BB11" i="18"/>
  <c r="BB31" i="18"/>
  <c r="BB22" i="18"/>
  <c r="BB16" i="18"/>
  <c r="BB12" i="18"/>
  <c r="BC18" i="18"/>
  <c r="BD31" i="18"/>
  <c r="BC32" i="18"/>
  <c r="BD27" i="18"/>
  <c r="BC27" i="18"/>
  <c r="BB24" i="18"/>
  <c r="BC13" i="18"/>
  <c r="BB21" i="18"/>
  <c r="BC21" i="18"/>
  <c r="BC17" i="18"/>
  <c r="BC12" i="18"/>
  <c r="BC26" i="18"/>
  <c r="BC28" i="18"/>
  <c r="P14" i="18"/>
  <c r="BC31" i="18"/>
  <c r="BC22" i="18"/>
  <c r="BC23" i="18"/>
  <c r="BC24" i="18"/>
  <c r="BB13" i="18"/>
  <c r="BC34" i="18"/>
  <c r="BC33" i="18" s="1"/>
  <c r="BD11" i="18"/>
  <c r="BD12" i="18"/>
  <c r="BC11" i="18"/>
  <c r="BE34" i="18"/>
  <c r="BE33" i="18" s="1"/>
  <c r="BC14" i="18"/>
  <c r="BD34" i="18"/>
  <c r="BD33" i="18" s="1"/>
  <c r="R26" i="18"/>
  <c r="BD21" i="18"/>
  <c r="BD24" i="18"/>
  <c r="BD22" i="18"/>
  <c r="BD23" i="18"/>
  <c r="BF27" i="18"/>
  <c r="BE22" i="18"/>
  <c r="BD28" i="18"/>
  <c r="BE21" i="18"/>
  <c r="BD13" i="18"/>
  <c r="BD16" i="18"/>
  <c r="BE17" i="18"/>
  <c r="BD14" i="18"/>
  <c r="BE16" i="18"/>
  <c r="BE27" i="18"/>
  <c r="BD17" i="18"/>
  <c r="BD32" i="18"/>
  <c r="BE31" i="18"/>
  <c r="BD18" i="18"/>
  <c r="BE24" i="18"/>
  <c r="BD26" i="18"/>
  <c r="BE11" i="18"/>
  <c r="BF21" i="18"/>
  <c r="BF24" i="18"/>
  <c r="BE23" i="18"/>
  <c r="BE14" i="18"/>
  <c r="BF28" i="18"/>
  <c r="BF22" i="18"/>
  <c r="BE28" i="18"/>
  <c r="BF34" i="18"/>
  <c r="BF33" i="18" s="1"/>
  <c r="BF12" i="18"/>
  <c r="BF14" i="18"/>
  <c r="BF26" i="18"/>
  <c r="BE12" i="18"/>
  <c r="BF11" i="18"/>
  <c r="BF13" i="18"/>
  <c r="BE13" i="18"/>
  <c r="BG27" i="18"/>
  <c r="BG13" i="18"/>
  <c r="BE26" i="18"/>
  <c r="BE18" i="18"/>
  <c r="BF32" i="18"/>
  <c r="BE32" i="18"/>
  <c r="BF16" i="18"/>
  <c r="BG23" i="18"/>
  <c r="BH12" i="18"/>
  <c r="BG34" i="18"/>
  <c r="BG33" i="18" s="1"/>
  <c r="BF31" i="18"/>
  <c r="BG31" i="18"/>
  <c r="BG26" i="18"/>
  <c r="BG14" i="18"/>
  <c r="BG18" i="18"/>
  <c r="BG11" i="18"/>
  <c r="BG12" i="18"/>
  <c r="BF23" i="18"/>
  <c r="BG17" i="18"/>
  <c r="BF17" i="18"/>
  <c r="BH27" i="18"/>
  <c r="BF18" i="18"/>
  <c r="BG32" i="18"/>
  <c r="BG28" i="18"/>
  <c r="BI21" i="18"/>
  <c r="BI27" i="18"/>
  <c r="BG22" i="18"/>
  <c r="BH31" i="18"/>
  <c r="BH16" i="18"/>
  <c r="BH24" i="18"/>
  <c r="BG21" i="18"/>
  <c r="BH28" i="18"/>
  <c r="BH11" i="18"/>
  <c r="BG24" i="18"/>
  <c r="BH18" i="18"/>
  <c r="BH32" i="18"/>
  <c r="BG16" i="18"/>
  <c r="BH14" i="18"/>
  <c r="BI12" i="18"/>
  <c r="BI24" i="18"/>
  <c r="BH23" i="18"/>
  <c r="BI17" i="18"/>
  <c r="BK27" i="18"/>
  <c r="BH17" i="18"/>
  <c r="BI32" i="18"/>
  <c r="BI16" i="18"/>
  <c r="BI31" i="18"/>
  <c r="BH26" i="18"/>
  <c r="BH21" i="18"/>
  <c r="BI28" i="18"/>
  <c r="BH22" i="18"/>
  <c r="BI26" i="18"/>
  <c r="BH13" i="18"/>
  <c r="BI18" i="18"/>
  <c r="BH34" i="18"/>
  <c r="BH33" i="18" s="1"/>
  <c r="Q14" i="18"/>
  <c r="G213" i="32" s="1"/>
  <c r="BI34" i="18"/>
  <c r="BI33" i="18" s="1"/>
  <c r="BI23" i="18"/>
  <c r="BI13" i="18"/>
  <c r="BI14" i="18"/>
  <c r="BI22" i="18"/>
  <c r="BJ17" i="18"/>
  <c r="BJ27" i="18"/>
  <c r="BI11" i="18"/>
  <c r="BJ32" i="18"/>
  <c r="BJ31" i="18"/>
  <c r="BJ26" i="18"/>
  <c r="BJ22" i="18"/>
  <c r="S26" i="18"/>
  <c r="H221" i="32" s="1"/>
  <c r="BJ12" i="18"/>
  <c r="BJ14" i="18"/>
  <c r="BJ24" i="18"/>
  <c r="BJ16" i="18"/>
  <c r="BJ28" i="18"/>
  <c r="BJ21" i="18"/>
  <c r="BJ13" i="18"/>
  <c r="BJ11" i="18"/>
  <c r="BJ34" i="18"/>
  <c r="BJ33" i="18" s="1"/>
  <c r="BK22" i="18"/>
  <c r="BK13" i="18"/>
  <c r="BJ23" i="18"/>
  <c r="BK12" i="18"/>
  <c r="BJ18" i="18"/>
  <c r="BK26" i="18"/>
  <c r="BK21" i="18"/>
  <c r="BK34" i="18"/>
  <c r="BK33" i="18" s="1"/>
  <c r="BK28" i="18"/>
  <c r="BK18" i="18"/>
  <c r="BK31" i="18"/>
  <c r="BK14" i="18"/>
  <c r="BK24" i="18"/>
  <c r="BK17" i="18"/>
  <c r="BL23" i="18"/>
  <c r="BK23" i="18"/>
  <c r="BK32" i="18"/>
  <c r="BM27" i="18"/>
  <c r="BK16" i="18"/>
  <c r="BL21" i="18"/>
  <c r="BL27" i="18"/>
  <c r="BL26" i="18"/>
  <c r="BL31" i="18"/>
  <c r="BM32" i="18"/>
  <c r="BK11" i="18"/>
  <c r="BL24" i="18"/>
  <c r="BL16" i="18"/>
  <c r="BL14" i="18"/>
  <c r="BL34" i="18"/>
  <c r="BL33" i="18" s="1"/>
  <c r="BM18" i="18"/>
  <c r="BM21" i="18"/>
  <c r="BM31" i="18"/>
  <c r="BL12" i="18"/>
  <c r="BM13" i="18"/>
  <c r="BL11" i="18"/>
  <c r="BL17" i="18"/>
  <c r="BN27" i="18"/>
  <c r="BM12" i="18"/>
  <c r="BM23" i="18"/>
  <c r="BL22" i="18"/>
  <c r="BM28" i="18"/>
  <c r="BM22" i="18"/>
  <c r="BM24" i="18"/>
  <c r="BM16" i="18"/>
  <c r="BM11" i="18"/>
  <c r="BM17" i="18"/>
  <c r="BL18" i="18"/>
  <c r="BN34" i="18"/>
  <c r="BN33" i="18" s="1"/>
  <c r="BM34" i="18"/>
  <c r="BM33" i="18" s="1"/>
  <c r="BM26" i="18"/>
  <c r="BL32" i="18"/>
  <c r="BL13" i="18"/>
  <c r="BM14" i="18"/>
  <c r="BL28" i="18"/>
  <c r="BN22" i="18"/>
  <c r="BN17" i="18"/>
  <c r="BN31" i="18"/>
  <c r="BN21" i="18"/>
  <c r="BN24" i="18"/>
  <c r="BN23" i="18"/>
  <c r="BN28" i="18"/>
  <c r="BN11" i="18"/>
  <c r="BN18" i="18"/>
  <c r="BN32" i="18"/>
  <c r="BO27" i="18"/>
  <c r="BN14" i="18"/>
  <c r="BN16" i="18"/>
  <c r="BN12" i="18"/>
  <c r="BO31" i="18"/>
  <c r="BO21" i="18"/>
  <c r="BN13" i="18"/>
  <c r="BO24" i="18"/>
  <c r="BO28" i="18"/>
  <c r="BN26" i="18"/>
  <c r="BO13" i="18"/>
  <c r="BO23" i="18"/>
  <c r="BO14" i="18"/>
  <c r="BP17" i="18"/>
  <c r="BO12" i="18"/>
  <c r="BO16" i="18"/>
  <c r="BO26" i="18"/>
  <c r="BO11" i="18"/>
  <c r="BO32" i="18"/>
  <c r="BO22" i="18"/>
  <c r="R14" i="18"/>
  <c r="BO17" i="18"/>
  <c r="BP13" i="18"/>
  <c r="T26" i="18"/>
  <c r="BO34" i="18"/>
  <c r="BO33" i="18" s="1"/>
  <c r="BO18" i="18"/>
  <c r="BP21" i="18"/>
  <c r="BP12" i="18"/>
  <c r="BP11" i="18"/>
  <c r="BP34" i="18"/>
  <c r="BP33" i="18" s="1"/>
  <c r="BP26" i="18"/>
  <c r="BP28" i="18"/>
  <c r="BP18" i="18"/>
  <c r="BQ23" i="18"/>
  <c r="BP16" i="18"/>
  <c r="BP22" i="18"/>
  <c r="BP32" i="18"/>
  <c r="BP14" i="18"/>
  <c r="BP31" i="18"/>
  <c r="BP27" i="18"/>
  <c r="BQ27" i="18"/>
  <c r="BQ13" i="18"/>
  <c r="BQ11" i="18"/>
  <c r="BQ26" i="18"/>
  <c r="BQ28" i="18"/>
  <c r="BP23" i="18"/>
  <c r="BQ22" i="18"/>
  <c r="BQ17" i="18"/>
  <c r="BP24" i="18"/>
  <c r="BQ31" i="18"/>
  <c r="BQ32" i="18"/>
  <c r="BQ12" i="18"/>
  <c r="BQ34" i="18"/>
  <c r="BQ33" i="18" s="1"/>
  <c r="BR31" i="18"/>
  <c r="BQ18" i="18"/>
  <c r="BR12" i="18"/>
  <c r="BR17" i="18"/>
  <c r="BR24" i="18"/>
  <c r="BR13" i="18"/>
  <c r="BR18" i="18"/>
  <c r="BQ24" i="18"/>
  <c r="BQ16" i="18"/>
  <c r="BR11" i="18"/>
  <c r="BR27" i="18"/>
  <c r="BR23" i="18"/>
  <c r="BR14" i="18"/>
  <c r="BS27" i="18"/>
  <c r="BR26" i="18"/>
  <c r="BQ21" i="18"/>
  <c r="BS23" i="18"/>
  <c r="BR34" i="18"/>
  <c r="BR33" i="18" s="1"/>
  <c r="BR22" i="18"/>
  <c r="BQ14" i="18"/>
  <c r="BR16" i="18"/>
  <c r="BS18" i="18"/>
  <c r="BS16" i="18"/>
  <c r="BS28" i="18"/>
  <c r="BS34" i="18"/>
  <c r="BS33" i="18" s="1"/>
  <c r="BS13" i="18"/>
  <c r="BS14" i="18"/>
  <c r="BT27" i="18"/>
  <c r="BS21" i="18"/>
  <c r="BS11" i="18"/>
  <c r="BS26" i="18"/>
  <c r="BS32" i="18"/>
  <c r="BR32" i="18"/>
  <c r="BR21" i="18"/>
  <c r="BR28" i="18"/>
  <c r="BS31" i="18"/>
  <c r="BT21" i="18"/>
  <c r="BS17" i="18"/>
  <c r="BU26" i="18"/>
  <c r="BS12" i="18"/>
  <c r="BT28" i="18"/>
  <c r="BT31" i="18"/>
  <c r="BT18" i="18"/>
  <c r="BS22" i="18"/>
  <c r="BT16" i="18"/>
  <c r="BT12" i="18"/>
  <c r="BT17" i="18"/>
  <c r="BS24" i="18"/>
  <c r="BT23" i="18"/>
  <c r="BT34" i="18"/>
  <c r="BT33" i="18" s="1"/>
  <c r="BT32" i="18"/>
  <c r="BT11" i="18"/>
  <c r="BT14" i="18"/>
  <c r="BT22" i="18"/>
  <c r="BT13" i="18"/>
  <c r="BU12" i="18"/>
  <c r="BU24" i="18"/>
  <c r="BU11" i="18"/>
  <c r="BV27" i="18"/>
  <c r="BU32" i="18"/>
  <c r="S14" i="18"/>
  <c r="H213" i="32" s="1"/>
  <c r="BV24" i="18"/>
  <c r="BU27" i="18"/>
  <c r="BT26" i="18"/>
  <c r="BU34" i="18"/>
  <c r="BU33" i="18" s="1"/>
  <c r="BU28" i="18"/>
  <c r="BU21" i="18"/>
  <c r="BT24" i="18"/>
  <c r="BU16" i="18"/>
  <c r="BU31" i="18"/>
  <c r="BU22" i="18"/>
  <c r="BV11" i="18"/>
  <c r="BV17" i="18"/>
  <c r="BV14" i="18"/>
  <c r="BW27" i="18"/>
  <c r="U26" i="18"/>
  <c r="I221" i="32" s="1"/>
  <c r="BV34" i="18"/>
  <c r="BV33" i="18" s="1"/>
  <c r="BW14" i="18"/>
  <c r="BV31" i="18"/>
  <c r="BV13" i="18"/>
  <c r="BU13" i="18"/>
  <c r="BV26" i="18"/>
  <c r="BU17" i="18"/>
  <c r="BV23" i="18"/>
  <c r="BU18" i="18"/>
  <c r="BU14" i="18"/>
  <c r="BU23" i="18"/>
  <c r="BW28" i="18"/>
  <c r="BW13" i="18"/>
  <c r="BV12" i="18"/>
  <c r="BW11" i="18"/>
  <c r="BV21" i="18"/>
  <c r="BW24" i="18"/>
  <c r="BV32" i="18"/>
  <c r="BW23" i="18"/>
  <c r="BW22" i="18"/>
  <c r="BV16" i="18"/>
  <c r="BV18" i="18"/>
  <c r="BV22" i="18"/>
  <c r="BV28" i="18"/>
  <c r="BW16" i="18"/>
  <c r="BX11" i="18"/>
  <c r="BW34" i="18"/>
  <c r="BW33" i="18" s="1"/>
  <c r="BW18" i="18"/>
  <c r="BW31" i="18"/>
  <c r="BX27" i="18"/>
  <c r="BW12" i="18"/>
  <c r="BW21" i="18"/>
  <c r="BX14" i="18"/>
  <c r="BX23" i="18"/>
  <c r="BX12" i="18"/>
  <c r="BY14" i="18"/>
  <c r="BX18" i="18"/>
  <c r="BW26" i="18"/>
  <c r="BX17" i="18"/>
  <c r="BX26" i="18"/>
  <c r="BX28" i="18"/>
  <c r="BW17" i="18"/>
  <c r="BW32" i="18"/>
  <c r="BY27" i="18"/>
  <c r="BX13" i="18"/>
  <c r="BX31" i="18"/>
  <c r="BX34" i="18"/>
  <c r="BX33" i="18" s="1"/>
  <c r="BX24" i="18"/>
  <c r="BX32" i="18"/>
  <c r="BX16" i="18"/>
  <c r="BY18" i="18"/>
  <c r="BZ22" i="18"/>
  <c r="BY24" i="18"/>
  <c r="BY26" i="18"/>
  <c r="BY16" i="18"/>
  <c r="BY22" i="18"/>
  <c r="BY21" i="18"/>
  <c r="BY32" i="18"/>
  <c r="BY23" i="18"/>
  <c r="BZ27" i="18"/>
  <c r="BY12" i="18"/>
  <c r="BY11" i="18"/>
  <c r="BY17" i="18"/>
  <c r="BY13" i="18"/>
  <c r="BX22" i="18"/>
  <c r="BY34" i="18"/>
  <c r="BY33" i="18" s="1"/>
  <c r="BY31" i="18"/>
  <c r="BX21" i="18"/>
  <c r="BZ23" i="18"/>
  <c r="BZ16" i="18"/>
  <c r="BZ11" i="18"/>
  <c r="BZ28" i="18"/>
  <c r="BZ34" i="18"/>
  <c r="BZ33" i="18" s="1"/>
  <c r="BZ14" i="18"/>
  <c r="BZ21" i="18"/>
  <c r="BZ31" i="18"/>
  <c r="BZ32" i="18"/>
  <c r="BY28" i="18"/>
  <c r="CA27" i="18"/>
  <c r="BZ24" i="18"/>
  <c r="BZ26" i="18"/>
  <c r="CA14" i="18"/>
  <c r="T14" i="18"/>
  <c r="CA23" i="18"/>
  <c r="CA24" i="18"/>
  <c r="CA18" i="18"/>
  <c r="CA21" i="18"/>
  <c r="BZ12" i="18"/>
  <c r="BZ18" i="18"/>
  <c r="CA17" i="18"/>
  <c r="BZ17" i="18"/>
  <c r="BZ13" i="18"/>
  <c r="CA31" i="18"/>
  <c r="CA26" i="18"/>
  <c r="CA34" i="18"/>
  <c r="CA33" i="18" s="1"/>
  <c r="CA28" i="18"/>
  <c r="CA12" i="18"/>
  <c r="CA11" i="18"/>
  <c r="CA32" i="18"/>
  <c r="CA22" i="18"/>
  <c r="CA16" i="18"/>
  <c r="CB13" i="18"/>
  <c r="CB28" i="18"/>
  <c r="CC27" i="18"/>
  <c r="CB17" i="18"/>
  <c r="CB18" i="18"/>
  <c r="CB23" i="18"/>
  <c r="CB14" i="18"/>
  <c r="CB24" i="18"/>
  <c r="CB11" i="18"/>
  <c r="CB21" i="18"/>
  <c r="CB32" i="18"/>
  <c r="CB16" i="18"/>
  <c r="CB34" i="18"/>
  <c r="CB33" i="18" s="1"/>
  <c r="CB12" i="18"/>
  <c r="CA13" i="18"/>
  <c r="CB26" i="18"/>
  <c r="V26" i="18"/>
  <c r="CC31" i="18"/>
  <c r="CB27" i="18"/>
  <c r="CB31" i="18"/>
  <c r="CC24" i="18"/>
  <c r="CD27" i="18"/>
  <c r="CC17" i="18"/>
  <c r="CB22" i="18"/>
  <c r="CC32" i="18"/>
  <c r="CC26" i="18"/>
  <c r="CC11" i="18"/>
  <c r="CD26" i="18"/>
  <c r="CC14" i="18"/>
  <c r="CC22" i="18"/>
  <c r="CC16" i="18"/>
  <c r="CC28" i="18"/>
  <c r="CC23" i="18"/>
  <c r="CC12" i="18"/>
  <c r="CD18" i="18"/>
  <c r="CD22" i="18"/>
  <c r="CC13" i="18"/>
  <c r="CD11" i="18"/>
  <c r="CC18" i="18"/>
  <c r="CD13" i="18"/>
  <c r="CD14" i="18"/>
  <c r="CD32" i="18"/>
  <c r="CC21" i="18"/>
  <c r="CE27" i="18"/>
  <c r="CD17" i="18"/>
  <c r="CD12" i="18"/>
  <c r="CD28" i="18"/>
  <c r="CD24" i="18"/>
  <c r="CD16" i="18"/>
  <c r="CD21" i="18"/>
  <c r="CC34" i="18"/>
  <c r="CC33" i="18" s="1"/>
  <c r="CE12" i="18"/>
  <c r="CD31" i="18"/>
  <c r="CE14" i="18"/>
  <c r="CE16" i="18"/>
  <c r="CE17" i="18"/>
  <c r="CE28" i="18"/>
  <c r="CF27" i="18"/>
  <c r="CF11" i="18"/>
  <c r="CD34" i="18"/>
  <c r="CD33" i="18" s="1"/>
  <c r="CE34" i="18"/>
  <c r="CE33" i="18" s="1"/>
  <c r="CE32" i="18"/>
  <c r="CE22" i="18"/>
  <c r="CE24" i="18"/>
  <c r="CE23" i="18"/>
  <c r="CE13" i="18"/>
  <c r="CD23" i="18"/>
  <c r="CF18" i="18"/>
  <c r="CF31" i="18"/>
  <c r="CE26" i="18"/>
  <c r="CE21" i="18"/>
  <c r="CF14" i="18"/>
  <c r="CE11" i="18"/>
  <c r="CE18" i="18"/>
  <c r="CF26" i="18"/>
  <c r="CF34" i="18"/>
  <c r="CF33" i="18" s="1"/>
  <c r="CF17" i="18"/>
  <c r="CE31" i="18"/>
  <c r="CF22" i="18"/>
  <c r="CF12" i="18"/>
  <c r="CF32" i="18"/>
  <c r="CF13" i="18"/>
  <c r="CF21" i="18"/>
  <c r="CH34" i="18"/>
  <c r="CH33" i="18" s="1"/>
  <c r="CG27" i="18"/>
  <c r="CG32" i="18"/>
  <c r="U14" i="18"/>
  <c r="I213" i="32" s="1"/>
  <c r="CG12" i="18"/>
  <c r="CH27" i="18"/>
  <c r="CG26" i="18"/>
  <c r="CG16" i="18"/>
  <c r="CF23" i="18"/>
  <c r="CG14" i="18"/>
  <c r="CF16" i="18"/>
  <c r="CF28" i="18"/>
  <c r="CG11" i="18"/>
  <c r="CF24" i="18"/>
  <c r="CG24" i="18"/>
  <c r="CH11" i="18"/>
  <c r="CG18" i="18"/>
  <c r="CH14" i="18"/>
  <c r="CH23" i="18"/>
  <c r="CG28" i="18"/>
  <c r="CH26" i="18"/>
  <c r="CG21" i="18"/>
  <c r="CI34" i="18"/>
  <c r="CI33" i="18" s="1"/>
  <c r="CH12" i="18"/>
  <c r="CH13" i="18"/>
  <c r="CG34" i="18"/>
  <c r="CG33" i="18" s="1"/>
  <c r="CH31" i="18"/>
  <c r="CH18" i="18"/>
  <c r="CH28" i="18"/>
  <c r="W26" i="18"/>
  <c r="J221" i="32" s="1"/>
  <c r="CI27" i="18"/>
  <c r="CG31" i="18"/>
  <c r="CH32" i="18"/>
  <c r="CG23" i="18"/>
  <c r="CG22" i="18"/>
  <c r="CG13" i="18"/>
  <c r="CG17" i="18"/>
  <c r="CI31" i="18"/>
  <c r="CI18" i="18"/>
  <c r="CH16" i="18"/>
  <c r="CI32" i="18"/>
  <c r="CH21" i="18"/>
  <c r="CJ14" i="18"/>
  <c r="CI22" i="18"/>
  <c r="CJ27" i="18"/>
  <c r="CI26" i="18"/>
  <c r="CI24" i="18"/>
  <c r="CI17" i="18"/>
  <c r="CH22" i="18"/>
  <c r="CI14" i="18"/>
  <c r="CI16" i="18"/>
  <c r="CI28" i="18"/>
  <c r="CI13" i="18"/>
  <c r="CI23" i="18"/>
  <c r="CH24" i="18"/>
  <c r="CH17" i="18"/>
  <c r="CI12" i="18"/>
  <c r="CJ12" i="18"/>
  <c r="CJ11" i="18"/>
  <c r="CK27" i="18"/>
  <c r="CJ16" i="18"/>
  <c r="CJ13" i="18"/>
  <c r="CJ34" i="18"/>
  <c r="CJ33" i="18" s="1"/>
  <c r="CK23" i="18"/>
  <c r="CJ23" i="18"/>
  <c r="CJ18" i="18"/>
  <c r="CJ26" i="18"/>
  <c r="CJ21" i="18"/>
  <c r="CJ28" i="18"/>
  <c r="CI11" i="18"/>
  <c r="CJ24" i="18"/>
  <c r="CI21" i="18"/>
  <c r="CJ22" i="18"/>
  <c r="CJ17" i="18"/>
  <c r="CJ32" i="18"/>
  <c r="CJ31" i="18"/>
  <c r="CK31" i="18"/>
  <c r="CK14" i="18"/>
  <c r="CK22" i="18"/>
  <c r="CK12" i="18"/>
  <c r="CK21" i="18"/>
  <c r="CK32" i="18"/>
  <c r="CK18" i="18"/>
  <c r="CK17" i="18"/>
  <c r="CK11" i="18"/>
  <c r="CK16" i="18"/>
  <c r="CK28" i="18"/>
  <c r="CK34" i="18"/>
  <c r="CK33" i="18" s="1"/>
  <c r="CK26" i="18"/>
  <c r="CL17" i="18"/>
  <c r="CL27" i="18"/>
  <c r="CL12" i="18"/>
  <c r="CL31" i="18"/>
  <c r="CL11" i="18"/>
  <c r="CK13" i="18"/>
  <c r="CL34" i="18"/>
  <c r="CL33" i="18" s="1"/>
  <c r="CL16" i="18"/>
  <c r="CL14" i="18"/>
  <c r="CL18" i="18"/>
  <c r="CL22" i="18"/>
  <c r="CL13" i="18"/>
  <c r="CL26" i="18"/>
  <c r="CL24" i="18"/>
  <c r="CK24" i="18"/>
  <c r="CL23" i="18"/>
  <c r="CM18" i="18"/>
  <c r="CL28" i="18"/>
  <c r="CM16" i="18"/>
  <c r="CM21" i="18"/>
  <c r="CL32" i="18"/>
  <c r="CM32" i="18"/>
  <c r="CM12" i="18"/>
  <c r="CN21" i="18"/>
  <c r="V14" i="18"/>
  <c r="CM28" i="18"/>
  <c r="CM23" i="18"/>
  <c r="CM11" i="18"/>
  <c r="CL21" i="18"/>
  <c r="CN27" i="18"/>
  <c r="CM34" i="18"/>
  <c r="CM33" i="18" s="1"/>
  <c r="CM31" i="18"/>
  <c r="CM17" i="18"/>
  <c r="CM27" i="18"/>
  <c r="CM24" i="18"/>
  <c r="CM14" i="18"/>
  <c r="CM13" i="18"/>
  <c r="CM22" i="18"/>
  <c r="X26" i="18"/>
  <c r="CN28" i="18"/>
  <c r="CN16" i="18"/>
  <c r="CN11" i="18"/>
  <c r="CO27" i="18"/>
  <c r="CN13" i="18"/>
  <c r="CN24" i="18"/>
  <c r="CO23" i="18"/>
  <c r="CN12" i="18"/>
  <c r="CM26" i="18"/>
  <c r="CN32" i="18"/>
  <c r="CN18" i="18"/>
  <c r="CN22" i="18"/>
  <c r="CN23" i="18"/>
  <c r="CN26" i="18"/>
  <c r="CN31" i="18"/>
  <c r="CN34" i="18"/>
  <c r="CN33" i="18" s="1"/>
  <c r="CO17" i="18"/>
  <c r="CP27" i="18"/>
  <c r="CN14" i="18"/>
  <c r="CO26" i="18"/>
  <c r="CO34" i="18"/>
  <c r="CO33" i="18" s="1"/>
  <c r="CO28" i="18"/>
  <c r="CO18" i="18"/>
  <c r="CN17" i="18"/>
  <c r="CO16" i="18"/>
  <c r="CO21" i="18"/>
  <c r="CP17" i="18"/>
  <c r="CO13" i="18"/>
  <c r="CO22" i="18"/>
  <c r="CO24" i="18"/>
  <c r="CO32" i="18"/>
  <c r="CO31" i="18"/>
  <c r="CP18" i="18"/>
  <c r="CP22" i="18"/>
  <c r="CO11" i="18"/>
  <c r="CP11" i="18"/>
  <c r="CP16" i="18"/>
  <c r="CP12" i="18"/>
  <c r="CP21" i="18"/>
  <c r="CP31" i="18"/>
  <c r="CP28" i="18"/>
  <c r="CO14" i="18"/>
  <c r="CP32" i="18"/>
  <c r="CP13" i="18"/>
  <c r="CQ27" i="18"/>
  <c r="CP23" i="18"/>
  <c r="CP34" i="18"/>
  <c r="CP33" i="18" s="1"/>
  <c r="CP24" i="18"/>
  <c r="CO12" i="18"/>
  <c r="CQ18" i="18"/>
  <c r="CQ31" i="18"/>
  <c r="CQ26" i="18"/>
  <c r="CQ13" i="18"/>
  <c r="CQ28" i="18"/>
  <c r="CQ24" i="18"/>
  <c r="CQ16" i="18"/>
  <c r="CP26" i="18"/>
  <c r="CR21" i="18"/>
  <c r="CQ11" i="18"/>
  <c r="CP14" i="18"/>
  <c r="CQ34" i="18"/>
  <c r="CQ33" i="18" s="1"/>
  <c r="CQ17" i="18"/>
  <c r="CQ14" i="18"/>
  <c r="CQ21" i="18"/>
  <c r="CQ32" i="18"/>
  <c r="CQ22" i="18"/>
  <c r="CR12" i="18"/>
  <c r="CS12" i="18"/>
  <c r="CS27" i="18"/>
  <c r="CR31" i="18"/>
  <c r="CR28" i="18"/>
  <c r="CR14" i="18"/>
  <c r="CR11" i="18"/>
  <c r="CQ12" i="18"/>
  <c r="CR27" i="18"/>
  <c r="CR24" i="18"/>
  <c r="CR13" i="18"/>
  <c r="CR16" i="18"/>
  <c r="CR22" i="18"/>
  <c r="CR23" i="18"/>
  <c r="CR32" i="18"/>
  <c r="CQ23" i="18"/>
  <c r="CS14" i="18"/>
  <c r="CS17" i="18"/>
  <c r="CR17" i="18"/>
  <c r="CS24" i="18"/>
  <c r="CS28" i="18"/>
  <c r="W14" i="18"/>
  <c r="J213" i="32" s="1"/>
  <c r="CR18" i="18"/>
  <c r="CS34" i="18"/>
  <c r="CS33" i="18" s="1"/>
  <c r="CR34" i="18"/>
  <c r="CR33" i="18" s="1"/>
  <c r="CR26" i="18"/>
  <c r="CS13" i="18"/>
  <c r="CS22" i="18"/>
  <c r="CS26" i="18"/>
  <c r="CS16" i="18"/>
  <c r="CS32" i="18"/>
  <c r="CT27" i="18"/>
  <c r="CS18" i="18"/>
  <c r="CS23" i="18"/>
  <c r="CS21" i="18"/>
  <c r="CT13" i="18"/>
  <c r="Y26" i="18"/>
  <c r="K221" i="32" s="1"/>
  <c r="CT34" i="18"/>
  <c r="CT33" i="18" s="1"/>
  <c r="CT26" i="18"/>
  <c r="CT22" i="18"/>
  <c r="CT21" i="18"/>
  <c r="CT28" i="18"/>
  <c r="CT32" i="18"/>
  <c r="CS11" i="18"/>
  <c r="CT16" i="18"/>
  <c r="CT17" i="18"/>
  <c r="CT23" i="18"/>
  <c r="CU23" i="18"/>
  <c r="CS31" i="18"/>
  <c r="CU27" i="18"/>
  <c r="CT14" i="18"/>
  <c r="CT31" i="18"/>
  <c r="CT18" i="18"/>
  <c r="CT24" i="18"/>
  <c r="CT12" i="18"/>
  <c r="CU11" i="18"/>
  <c r="CU13" i="18"/>
  <c r="CU12" i="18"/>
  <c r="CV27" i="18"/>
  <c r="CU18" i="18"/>
  <c r="CU14" i="18"/>
  <c r="CU24" i="18"/>
  <c r="CU34" i="18"/>
  <c r="CU33" i="18" s="1"/>
  <c r="CU17" i="18"/>
  <c r="CU22" i="18"/>
  <c r="CU21" i="18"/>
  <c r="CU16" i="18"/>
  <c r="CU26" i="18"/>
  <c r="CU28" i="18"/>
  <c r="CV26" i="18"/>
  <c r="CT11" i="18"/>
  <c r="CW12" i="18"/>
  <c r="CV18" i="18"/>
  <c r="CU32" i="18"/>
  <c r="CV21" i="18"/>
  <c r="CV16" i="18"/>
  <c r="CV24" i="18"/>
  <c r="CV14" i="18"/>
  <c r="CV22" i="18"/>
  <c r="CV13" i="18"/>
  <c r="CV34" i="18"/>
  <c r="CV33" i="18" s="1"/>
  <c r="CU31" i="18"/>
  <c r="CV31" i="18"/>
  <c r="CV23" i="18"/>
  <c r="CV28" i="18"/>
  <c r="CW27" i="18"/>
  <c r="CV17" i="18"/>
  <c r="CX27" i="18"/>
  <c r="CW11" i="18"/>
  <c r="CV32" i="18"/>
  <c r="CX34" i="18"/>
  <c r="CX33" i="18" s="1"/>
  <c r="CV12" i="18"/>
  <c r="CW14" i="18"/>
  <c r="CW31" i="18"/>
  <c r="CW32" i="18"/>
  <c r="CW21" i="18"/>
  <c r="CV11" i="18"/>
  <c r="CW18" i="18"/>
  <c r="CW17" i="18"/>
  <c r="CW22" i="18"/>
  <c r="CW24" i="18"/>
  <c r="CW34" i="18"/>
  <c r="CW33" i="18" s="1"/>
  <c r="CW28" i="18"/>
  <c r="CW23" i="18"/>
  <c r="CW13" i="18"/>
  <c r="CW26" i="18"/>
  <c r="CX21" i="18"/>
  <c r="CX23" i="18"/>
  <c r="CX31" i="18"/>
  <c r="CX16" i="18"/>
  <c r="CX11" i="18"/>
  <c r="CX26" i="18"/>
  <c r="CX24" i="18"/>
  <c r="CX17" i="18"/>
  <c r="CY27" i="18"/>
  <c r="CX13" i="18"/>
  <c r="CX18" i="18"/>
  <c r="CX14" i="18"/>
  <c r="CW16" i="18"/>
  <c r="CX32" i="18"/>
  <c r="CX22" i="18"/>
  <c r="CX12" i="18"/>
  <c r="CZ27" i="18"/>
  <c r="CY21" i="18"/>
  <c r="X14" i="18"/>
  <c r="CY31" i="18"/>
  <c r="CY22" i="18"/>
  <c r="CY11" i="18"/>
  <c r="CY14" i="18"/>
  <c r="CY24" i="18"/>
  <c r="CY18" i="18"/>
  <c r="CY17" i="18"/>
  <c r="CY32" i="18"/>
  <c r="CZ22" i="18"/>
  <c r="CY34" i="18"/>
  <c r="CY33" i="18" s="1"/>
  <c r="CY12" i="18"/>
  <c r="CY26" i="18"/>
  <c r="CX28" i="18"/>
  <c r="CY28" i="18"/>
  <c r="CY13" i="18"/>
  <c r="CZ26" i="18"/>
  <c r="CZ34" i="18"/>
  <c r="CZ33" i="18" s="1"/>
  <c r="CZ23" i="18"/>
  <c r="Z26" i="18"/>
  <c r="CZ18" i="18"/>
  <c r="CY16" i="18"/>
  <c r="DA27" i="18"/>
  <c r="CZ14" i="18"/>
  <c r="CZ21" i="18"/>
  <c r="DA11" i="18"/>
  <c r="CZ31" i="18"/>
  <c r="CZ28" i="18"/>
  <c r="CZ32" i="18"/>
  <c r="CY23" i="18"/>
  <c r="CZ13" i="18"/>
  <c r="CZ16" i="18"/>
  <c r="DA28" i="18"/>
  <c r="CZ11" i="18"/>
  <c r="CZ12" i="18"/>
  <c r="DA17" i="18"/>
  <c r="DA13" i="18"/>
  <c r="DA14" i="18"/>
  <c r="DA32" i="18"/>
  <c r="DB22" i="18"/>
  <c r="CZ24" i="18"/>
  <c r="DA31" i="18"/>
  <c r="DA22" i="18"/>
  <c r="DA12" i="18"/>
  <c r="DA16" i="18"/>
  <c r="CZ17" i="18"/>
  <c r="DB27" i="18"/>
  <c r="DA23" i="18"/>
  <c r="DA34" i="18"/>
  <c r="DA33" i="18" s="1"/>
  <c r="DA21" i="18"/>
  <c r="DC27" i="18"/>
  <c r="DA18" i="18"/>
  <c r="DC23" i="18"/>
  <c r="DB18" i="18"/>
  <c r="DB17" i="18"/>
  <c r="DB12" i="18"/>
  <c r="DA26" i="18"/>
  <c r="DA24" i="18"/>
  <c r="DB21" i="18"/>
  <c r="DB32" i="18"/>
  <c r="DB14" i="18"/>
  <c r="DB24" i="18"/>
  <c r="DB34" i="18"/>
  <c r="DB33" i="18" s="1"/>
  <c r="DB28" i="18"/>
  <c r="DD21" i="18"/>
  <c r="DC14" i="18"/>
  <c r="DC17" i="18"/>
  <c r="DC28" i="18"/>
  <c r="DC13" i="18"/>
  <c r="DB31" i="18"/>
  <c r="DB26" i="18"/>
  <c r="DD27" i="18"/>
  <c r="DC24" i="18"/>
  <c r="DB23" i="18"/>
  <c r="DC21" i="18"/>
  <c r="DC22" i="18"/>
  <c r="DB13" i="18"/>
  <c r="DC18" i="18"/>
  <c r="DB16" i="18"/>
  <c r="DC31" i="18"/>
  <c r="DB11" i="18"/>
  <c r="DD28" i="18"/>
  <c r="DD17" i="18"/>
  <c r="DD22" i="18"/>
  <c r="DD18" i="18"/>
  <c r="DD34" i="18"/>
  <c r="DD33" i="18" s="1"/>
  <c r="DC11" i="18"/>
  <c r="DD24" i="18"/>
  <c r="DD11" i="18"/>
  <c r="DC16" i="18"/>
  <c r="DD14" i="18"/>
  <c r="DD13" i="18"/>
  <c r="DD16" i="18"/>
  <c r="DD23" i="18"/>
  <c r="DD12" i="18"/>
  <c r="DD26" i="18"/>
  <c r="DC12" i="18"/>
  <c r="DC32" i="18"/>
  <c r="DE31" i="18"/>
  <c r="DD31" i="18"/>
  <c r="DC26" i="18"/>
  <c r="DC34" i="18"/>
  <c r="DC33" i="18" s="1"/>
  <c r="DD32" i="18"/>
  <c r="DE23" i="18"/>
  <c r="DF17" i="18"/>
  <c r="DE11" i="18"/>
  <c r="DE14" i="18"/>
  <c r="DE16" i="18"/>
  <c r="DE26" i="18"/>
  <c r="DE22" i="18"/>
  <c r="DE24" i="18"/>
  <c r="DE12" i="18"/>
  <c r="DE27" i="18"/>
  <c r="DE17" i="18"/>
  <c r="DF27" i="18"/>
  <c r="DE18" i="18"/>
  <c r="DF24" i="18"/>
  <c r="DF28" i="18"/>
  <c r="DG14" i="18"/>
  <c r="DE13" i="18"/>
  <c r="DE32" i="18"/>
  <c r="DF18" i="18"/>
  <c r="DF23" i="18"/>
  <c r="DF26" i="18"/>
  <c r="Y14" i="18"/>
  <c r="K213" i="32" s="1"/>
  <c r="DE28" i="18"/>
  <c r="AA26" i="18"/>
  <c r="L221" i="32" s="1"/>
  <c r="DF34" i="18"/>
  <c r="DF33" i="18" s="1"/>
  <c r="DE34" i="18"/>
  <c r="DE33" i="18" s="1"/>
  <c r="DE21" i="18"/>
  <c r="DF16" i="18"/>
  <c r="DF14" i="18"/>
  <c r="DF32" i="18"/>
  <c r="DG21" i="18"/>
  <c r="DG27" i="18"/>
  <c r="DG22" i="18"/>
  <c r="DF21" i="18"/>
  <c r="DG16" i="18"/>
  <c r="DG28" i="18"/>
  <c r="DG24" i="18"/>
  <c r="DG26" i="18"/>
  <c r="DG34" i="18"/>
  <c r="DG33" i="18" s="1"/>
  <c r="DF22" i="18"/>
  <c r="DH27" i="18"/>
  <c r="DG32" i="18"/>
  <c r="DF12" i="18"/>
  <c r="DG12" i="18"/>
  <c r="DG11" i="18"/>
  <c r="DF31" i="18"/>
  <c r="DF11" i="18"/>
  <c r="DG17" i="18"/>
  <c r="DF13" i="18"/>
  <c r="DI17" i="18"/>
  <c r="DH21" i="18"/>
  <c r="DH32" i="18"/>
  <c r="DH13" i="18"/>
  <c r="DH23" i="18"/>
  <c r="DG23" i="18"/>
  <c r="DH18" i="18"/>
  <c r="DH34" i="18"/>
  <c r="DH33" i="18" s="1"/>
  <c r="DG31" i="18"/>
  <c r="DH31" i="18"/>
  <c r="DH12" i="18"/>
  <c r="DH14" i="18"/>
  <c r="DH26" i="18"/>
  <c r="DH17" i="18"/>
  <c r="DG13" i="18"/>
  <c r="DG18" i="18"/>
  <c r="DH11" i="18"/>
  <c r="DI34" i="18"/>
  <c r="DI33" i="18" s="1"/>
  <c r="DI18" i="18"/>
  <c r="DH22" i="18"/>
  <c r="DI14" i="18"/>
  <c r="DI27" i="18"/>
  <c r="DH24" i="18"/>
  <c r="DJ14" i="18"/>
  <c r="DH28" i="18"/>
  <c r="DI32" i="18"/>
  <c r="DI31" i="18"/>
  <c r="DI28" i="18"/>
  <c r="DH16" i="18"/>
  <c r="DJ11" i="18"/>
  <c r="DK18" i="18"/>
  <c r="DJ26" i="18"/>
  <c r="DJ16" i="18"/>
  <c r="DJ12" i="18"/>
  <c r="DJ24" i="18"/>
  <c r="DI11" i="18"/>
  <c r="DI23" i="18"/>
  <c r="DJ21" i="18"/>
  <c r="DJ23" i="18"/>
  <c r="DJ31" i="18"/>
  <c r="DJ28" i="18"/>
  <c r="DK27" i="18"/>
  <c r="DI12" i="18"/>
  <c r="DI22" i="18"/>
  <c r="DJ27" i="18"/>
  <c r="DI26" i="18"/>
  <c r="DI16" i="18"/>
  <c r="DI24" i="18"/>
  <c r="DJ18" i="18"/>
  <c r="DI13" i="18"/>
  <c r="DJ32" i="18"/>
  <c r="DI21" i="18"/>
  <c r="DJ17" i="18"/>
  <c r="DK28" i="18"/>
  <c r="DK26" i="18"/>
  <c r="DJ34" i="18"/>
  <c r="DJ33" i="18" s="1"/>
  <c r="DK24" i="18"/>
  <c r="DK13" i="18"/>
  <c r="DK14" i="18"/>
  <c r="DK17" i="18"/>
  <c r="DK21" i="18"/>
  <c r="Z14" i="18"/>
  <c r="DK23" i="18"/>
  <c r="DK12" i="18"/>
  <c r="DK32" i="18"/>
  <c r="DK16" i="18"/>
  <c r="DJ22" i="18"/>
  <c r="DJ13" i="18"/>
  <c r="DK31" i="18"/>
  <c r="DK34" i="18"/>
  <c r="DK33" i="18" s="1"/>
  <c r="DL22" i="18"/>
  <c r="DL32" i="18"/>
  <c r="DL34" i="18"/>
  <c r="DL33" i="18" s="1"/>
  <c r="DL27" i="18"/>
  <c r="DL28" i="18"/>
  <c r="DL11" i="18"/>
  <c r="DL18" i="18"/>
  <c r="DK11" i="18"/>
  <c r="DK22" i="18"/>
  <c r="DL24" i="18"/>
  <c r="DL31" i="18"/>
  <c r="DL14" i="18"/>
  <c r="DL12" i="18"/>
  <c r="DL17" i="18"/>
  <c r="DL26" i="18"/>
  <c r="DL13" i="18"/>
  <c r="AB26" i="18"/>
  <c r="DM24" i="18"/>
  <c r="DM27" i="18"/>
  <c r="DM13" i="18"/>
  <c r="DL16" i="18"/>
  <c r="DN27" i="18"/>
  <c r="DM18" i="18"/>
  <c r="DL21" i="18"/>
  <c r="DM26" i="18"/>
  <c r="DM12" i="18"/>
  <c r="DM22" i="18"/>
  <c r="DL23" i="18"/>
  <c r="DM32" i="18"/>
  <c r="DM16" i="18"/>
  <c r="DM17" i="18"/>
  <c r="DM14" i="18"/>
  <c r="DM21" i="18"/>
  <c r="DN14" i="18"/>
  <c r="DM28" i="18"/>
  <c r="DN16" i="18"/>
  <c r="DM34" i="18"/>
  <c r="DM33" i="18" s="1"/>
  <c r="DN22" i="18"/>
  <c r="DN32" i="18"/>
  <c r="DN18" i="18"/>
  <c r="DN23" i="18"/>
  <c r="DN21" i="18"/>
  <c r="DM11" i="18"/>
  <c r="DN17" i="18"/>
  <c r="DN13" i="18"/>
  <c r="DN24" i="18"/>
  <c r="DN34" i="18"/>
  <c r="DN33" i="18" s="1"/>
  <c r="DM23" i="18"/>
  <c r="DN11" i="18"/>
  <c r="DN12" i="18"/>
  <c r="DN31" i="18"/>
  <c r="DM31" i="18"/>
  <c r="DN26" i="18"/>
  <c r="DN28" i="18"/>
  <c r="DO27" i="18"/>
  <c r="DO12" i="18"/>
  <c r="DP27" i="18"/>
  <c r="DO11" i="18"/>
  <c r="DO13" i="18"/>
  <c r="DO24" i="18"/>
  <c r="DO17" i="18"/>
  <c r="DO34" i="18"/>
  <c r="DO33" i="18" s="1"/>
  <c r="DO18" i="18"/>
  <c r="DO31" i="18"/>
  <c r="DO16" i="18"/>
  <c r="DO14" i="18"/>
  <c r="DO22" i="18"/>
  <c r="DO21" i="18"/>
  <c r="DO23" i="18"/>
  <c r="DO28" i="18"/>
  <c r="DO26" i="18"/>
  <c r="DO32" i="18"/>
  <c r="DP16" i="18"/>
  <c r="DP24" i="18"/>
  <c r="DQ27" i="18"/>
  <c r="DP31" i="18"/>
  <c r="DP23" i="18"/>
  <c r="DP14" i="18"/>
  <c r="DP12" i="18"/>
  <c r="DP34" i="18"/>
  <c r="DP33" i="18" s="1"/>
  <c r="DP26" i="18"/>
  <c r="DP17" i="18"/>
  <c r="DP21" i="18"/>
  <c r="DP32" i="18"/>
  <c r="DP28" i="18"/>
  <c r="DP11" i="18"/>
  <c r="DP22" i="18"/>
  <c r="DP18" i="18"/>
  <c r="DP13" i="18"/>
  <c r="DQ21" i="18"/>
  <c r="DQ12" i="18"/>
  <c r="DQ16" i="18"/>
  <c r="DQ22" i="18"/>
  <c r="DQ26" i="18"/>
  <c r="AA14" i="18"/>
  <c r="L213" i="32" s="1"/>
  <c r="DQ34" i="18"/>
  <c r="DQ33" i="18" s="1"/>
  <c r="DQ31" i="18"/>
  <c r="DQ11" i="18"/>
  <c r="DR27" i="18"/>
  <c r="DQ32" i="18"/>
  <c r="DQ28" i="18"/>
  <c r="DQ17" i="18"/>
  <c r="DQ18" i="18"/>
  <c r="DQ14" i="18"/>
  <c r="DQ13" i="18"/>
  <c r="DQ24" i="18"/>
  <c r="DQ23" i="18"/>
  <c r="DR17" i="18"/>
  <c r="DR31" i="18"/>
  <c r="DR13" i="18"/>
  <c r="DR23" i="18"/>
  <c r="DR24" i="18"/>
  <c r="DR14" i="18"/>
  <c r="DR16" i="18"/>
  <c r="DR34" i="18"/>
  <c r="DR33" i="18" s="1"/>
  <c r="DR32" i="18"/>
  <c r="DR22" i="18"/>
  <c r="DR21" i="18"/>
  <c r="DR28" i="18"/>
  <c r="DR12" i="18"/>
  <c r="DR26" i="18"/>
  <c r="DR11" i="18"/>
  <c r="AC26" i="18"/>
  <c r="M221" i="32" s="1"/>
  <c r="DR18" i="18"/>
  <c r="DS27" i="18"/>
  <c r="DS32" i="18"/>
  <c r="DS34" i="18"/>
  <c r="DS33" i="18" s="1"/>
  <c r="DT27" i="18"/>
  <c r="DS28" i="18"/>
  <c r="DS22" i="18"/>
  <c r="DS24" i="18"/>
  <c r="DS31" i="18"/>
  <c r="DS12" i="18"/>
  <c r="DS23" i="18"/>
  <c r="DS21" i="18"/>
  <c r="DS11" i="18"/>
  <c r="DS16" i="18"/>
  <c r="DS13" i="18"/>
  <c r="DS18" i="18"/>
  <c r="DS14" i="18"/>
  <c r="DS26" i="18"/>
  <c r="DS17" i="18"/>
  <c r="DT32" i="18"/>
  <c r="DU27" i="18"/>
  <c r="DT26" i="18"/>
  <c r="DT13" i="18"/>
  <c r="DT23" i="18"/>
  <c r="DT28" i="18"/>
  <c r="DT21" i="18"/>
  <c r="DT22" i="18"/>
  <c r="DT17" i="18"/>
  <c r="DT31" i="18"/>
  <c r="DT18" i="18"/>
  <c r="DT16" i="18"/>
  <c r="DT14" i="18"/>
  <c r="DT11" i="18"/>
  <c r="DT12" i="18"/>
  <c r="DT34" i="18"/>
  <c r="DT33" i="18" s="1"/>
  <c r="DT24" i="18"/>
  <c r="DU18" i="18"/>
  <c r="DU31" i="18"/>
  <c r="DU11" i="18"/>
  <c r="DU12" i="18"/>
  <c r="DU26" i="18"/>
  <c r="DU32" i="18"/>
  <c r="DU28" i="18"/>
  <c r="DU21" i="18"/>
  <c r="DU34" i="18"/>
  <c r="DU33" i="18" s="1"/>
  <c r="DU14" i="18"/>
  <c r="DU17" i="18"/>
  <c r="DU24" i="18"/>
  <c r="DU22" i="18"/>
  <c r="DU13" i="18"/>
  <c r="DU23" i="18"/>
  <c r="DU16" i="18"/>
  <c r="AD26" i="18"/>
  <c r="AB14" i="18"/>
  <c r="AC14" i="18"/>
  <c r="M213" i="32" s="1"/>
  <c r="AE26" i="18"/>
  <c r="N221" i="32" s="1"/>
  <c r="AD14" i="18"/>
  <c r="EQ87" i="11"/>
  <c r="EQ88" i="11" s="1"/>
  <c r="EQ37" i="11"/>
  <c r="EQ22" i="11"/>
  <c r="EQ72" i="5" s="1"/>
  <c r="EQ97" i="11"/>
  <c r="EQ57" i="11"/>
  <c r="EQ17" i="11"/>
  <c r="EP177" i="11"/>
  <c r="EQ174" i="11" s="1"/>
  <c r="N104" i="14"/>
  <c r="EP9" i="11"/>
  <c r="EO9" i="15"/>
  <c r="ER26" i="10"/>
  <c r="EQ8" i="19"/>
  <c r="EQ8" i="5"/>
  <c r="ER8" i="2"/>
  <c r="ER9" i="6"/>
  <c r="EU8" i="14"/>
  <c r="ER8" i="10"/>
  <c r="ER52" i="10"/>
  <c r="K52" i="10" s="1"/>
  <c r="AJ50" i="1" s="1"/>
  <c r="ER28" i="10"/>
  <c r="EP192" i="11"/>
  <c r="EQ189" i="11" s="1"/>
  <c r="EB172" i="11"/>
  <c r="EB28" i="5"/>
  <c r="V24" i="35" l="1"/>
  <c r="V30" i="35" s="1"/>
  <c r="T24" i="35"/>
  <c r="T30" i="35" s="1"/>
  <c r="S24" i="35"/>
  <c r="S30" i="35" s="1"/>
  <c r="Q24" i="35"/>
  <c r="Q30" i="35" s="1"/>
  <c r="W24" i="35"/>
  <c r="W30" i="35" s="1"/>
  <c r="X24" i="35"/>
  <c r="X30" i="35" s="1"/>
  <c r="R24" i="35"/>
  <c r="R30" i="35" s="1"/>
  <c r="U24" i="35"/>
  <c r="U30" i="35" s="1"/>
  <c r="J22" i="35"/>
  <c r="D22" i="35" s="1"/>
  <c r="E22" i="35" s="1"/>
  <c r="K22" i="35"/>
  <c r="L22" i="35"/>
  <c r="M22" i="35"/>
  <c r="N22" i="35"/>
  <c r="O22" i="35"/>
  <c r="P22" i="35"/>
  <c r="F783" i="32"/>
  <c r="E221" i="32"/>
  <c r="D783" i="32"/>
  <c r="D221" i="32"/>
  <c r="H783" i="32"/>
  <c r="F221" i="32"/>
  <c r="Z71" i="5"/>
  <c r="D213" i="32"/>
  <c r="D774" i="32"/>
  <c r="E213" i="32"/>
  <c r="F774" i="32"/>
  <c r="F213" i="32"/>
  <c r="H774" i="32"/>
  <c r="O24" i="30"/>
  <c r="O29" i="30" s="1"/>
  <c r="O33" i="30" s="1"/>
  <c r="AP137" i="5" s="1"/>
  <c r="N24" i="30"/>
  <c r="N29" i="30" s="1"/>
  <c r="R24" i="30"/>
  <c r="R29" i="30" s="1"/>
  <c r="U24" i="30"/>
  <c r="U29" i="30" s="1"/>
  <c r="T24" i="30"/>
  <c r="T29" i="30" s="1"/>
  <c r="K27" i="6"/>
  <c r="Q24" i="30"/>
  <c r="Q29" i="30" s="1"/>
  <c r="K36" i="6"/>
  <c r="EQ35" i="5"/>
  <c r="J35" i="5" s="1"/>
  <c r="P24" i="30"/>
  <c r="P29" i="30" s="1"/>
  <c r="S24" i="30"/>
  <c r="S29" i="30" s="1"/>
  <c r="AF26" i="1"/>
  <c r="AF29" i="1" a="1"/>
  <c r="AF28" i="1" a="1"/>
  <c r="AF31" i="1" a="1"/>
  <c r="AF30" i="1" a="1"/>
  <c r="AF32" i="1" a="1"/>
  <c r="AF27" i="1" a="1"/>
  <c r="EP68" i="11"/>
  <c r="EP102" i="5" s="1"/>
  <c r="EP27" i="19" s="1"/>
  <c r="EP247" i="11"/>
  <c r="EQ244" i="11" s="1"/>
  <c r="J67" i="11"/>
  <c r="J72" i="11"/>
  <c r="J245" i="11"/>
  <c r="ED31" i="15"/>
  <c r="EF18" i="11"/>
  <c r="EF70" i="5" s="1"/>
  <c r="EF68" i="5" s="1"/>
  <c r="J110" i="11"/>
  <c r="ER49" i="6"/>
  <c r="J105" i="11"/>
  <c r="ER48" i="6"/>
  <c r="K48" i="6" s="1"/>
  <c r="EQ28" i="11"/>
  <c r="EQ29" i="11" s="1"/>
  <c r="EQ75" i="5"/>
  <c r="J78" i="5"/>
  <c r="Z24" i="11"/>
  <c r="EQ111" i="11"/>
  <c r="EQ43" i="5" s="1"/>
  <c r="EQ106" i="11"/>
  <c r="EQ42" i="5" s="1"/>
  <c r="J32" i="11"/>
  <c r="EQ33" i="11"/>
  <c r="J72" i="5"/>
  <c r="J27" i="11"/>
  <c r="EP187" i="11"/>
  <c r="EQ184" i="11" s="1"/>
  <c r="N88" i="14"/>
  <c r="ER32" i="6"/>
  <c r="K22" i="10"/>
  <c r="EQ23" i="5"/>
  <c r="J23" i="5" s="1"/>
  <c r="EQ190" i="11"/>
  <c r="J190" i="11" s="1"/>
  <c r="K31" i="10"/>
  <c r="K27" i="10"/>
  <c r="K25" i="6"/>
  <c r="CE25" i="18"/>
  <c r="EQ38" i="11"/>
  <c r="EQ82" i="5" s="1"/>
  <c r="J82" i="5" s="1"/>
  <c r="DO15" i="18"/>
  <c r="CF15" i="18"/>
  <c r="BR15" i="18"/>
  <c r="AM20" i="18"/>
  <c r="DK25" i="18"/>
  <c r="BT15" i="18"/>
  <c r="BK15" i="18"/>
  <c r="AV25" i="18"/>
  <c r="CS25" i="18"/>
  <c r="CH25" i="18"/>
  <c r="BW25" i="18"/>
  <c r="BH25" i="18"/>
  <c r="BE15" i="18"/>
  <c r="CG15" i="18"/>
  <c r="BB25" i="18"/>
  <c r="AZ25" i="18"/>
  <c r="AU25" i="18"/>
  <c r="DS15" i="18"/>
  <c r="CX30" i="18"/>
  <c r="CX29" i="18" s="1"/>
  <c r="BR25" i="18"/>
  <c r="AM25" i="18"/>
  <c r="AS25" i="18"/>
  <c r="CS15" i="18"/>
  <c r="DQ25" i="18"/>
  <c r="DU25" i="18"/>
  <c r="DP25" i="18"/>
  <c r="DF20" i="18"/>
  <c r="DC25" i="18"/>
  <c r="CZ25" i="18"/>
  <c r="DR15" i="18"/>
  <c r="DH15" i="18"/>
  <c r="DG20" i="18"/>
  <c r="CU15" i="18"/>
  <c r="CA15" i="18"/>
  <c r="BV25" i="18"/>
  <c r="BO15" i="18"/>
  <c r="BM15" i="18"/>
  <c r="BE25" i="18"/>
  <c r="AP25" i="18"/>
  <c r="CJ25" i="18"/>
  <c r="BC30" i="18"/>
  <c r="BC29" i="18" s="1"/>
  <c r="AG23" i="1"/>
  <c r="Q16" i="21" s="1"/>
  <c r="BT25" i="18"/>
  <c r="BN25" i="18"/>
  <c r="BW15" i="18"/>
  <c r="CO25" i="18"/>
  <c r="DG15" i="18"/>
  <c r="DC15" i="18"/>
  <c r="CW15" i="18"/>
  <c r="CR15" i="18"/>
  <c r="CH15" i="18"/>
  <c r="CB25" i="18"/>
  <c r="BZ25" i="18"/>
  <c r="BQ25" i="18"/>
  <c r="BJ25" i="18"/>
  <c r="BF15" i="18"/>
  <c r="BB15" i="18"/>
  <c r="BA25" i="18"/>
  <c r="AX15" i="18"/>
  <c r="AT15" i="18"/>
  <c r="AO15" i="18"/>
  <c r="AM15" i="18"/>
  <c r="DS25" i="18"/>
  <c r="BW20" i="18"/>
  <c r="BV15" i="18"/>
  <c r="AR20" i="18"/>
  <c r="AI20" i="18"/>
  <c r="DL25" i="18"/>
  <c r="DF25" i="18"/>
  <c r="CD15" i="18"/>
  <c r="CC25" i="18"/>
  <c r="BY15" i="18"/>
  <c r="BA15" i="18"/>
  <c r="AR25" i="18"/>
  <c r="EF164" i="11"/>
  <c r="AX30" i="18"/>
  <c r="AX29" i="18" s="1"/>
  <c r="BT30" i="18"/>
  <c r="BT29" i="18" s="1"/>
  <c r="CD30" i="18"/>
  <c r="CD29" i="18" s="1"/>
  <c r="DD30" i="18"/>
  <c r="DD29" i="18" s="1"/>
  <c r="CP30" i="18"/>
  <c r="CP29" i="18" s="1"/>
  <c r="BY30" i="18"/>
  <c r="BY29" i="18" s="1"/>
  <c r="BS30" i="18"/>
  <c r="BS29" i="18" s="1"/>
  <c r="BK30" i="18"/>
  <c r="BK29" i="18" s="1"/>
  <c r="BB30" i="18"/>
  <c r="BB29" i="18" s="1"/>
  <c r="AL20" i="18"/>
  <c r="AJ20" i="18"/>
  <c r="DN30" i="18"/>
  <c r="DN29" i="18" s="1"/>
  <c r="AI30" i="18"/>
  <c r="AI29" i="18" s="1"/>
  <c r="CH20" i="18"/>
  <c r="DR20" i="18"/>
  <c r="CX20" i="18"/>
  <c r="BG20" i="18"/>
  <c r="AK20" i="18"/>
  <c r="CI30" i="18"/>
  <c r="CI29" i="18" s="1"/>
  <c r="CH30" i="18"/>
  <c r="CH29" i="18" s="1"/>
  <c r="CF20" i="18"/>
  <c r="BR20" i="18"/>
  <c r="BJ20" i="18"/>
  <c r="DB30" i="18"/>
  <c r="DB29" i="18" s="1"/>
  <c r="BY20" i="18"/>
  <c r="DM20" i="18"/>
  <c r="DT20" i="18"/>
  <c r="DJ30" i="18"/>
  <c r="DJ29" i="18" s="1"/>
  <c r="AZ30" i="18"/>
  <c r="AZ29" i="18" s="1"/>
  <c r="AN30" i="18"/>
  <c r="AN29" i="18" s="1"/>
  <c r="CB30" i="18"/>
  <c r="CB29" i="18" s="1"/>
  <c r="BR30" i="18"/>
  <c r="BR29" i="18" s="1"/>
  <c r="AL30" i="18"/>
  <c r="AL29" i="18" s="1"/>
  <c r="DM30" i="18"/>
  <c r="DM29" i="18" s="1"/>
  <c r="CC30" i="18"/>
  <c r="CC29" i="18" s="1"/>
  <c r="AH30" i="18"/>
  <c r="AH29" i="18" s="1"/>
  <c r="AQ30" i="18"/>
  <c r="AQ29" i="18" s="1"/>
  <c r="CA30" i="18"/>
  <c r="CA29" i="18" s="1"/>
  <c r="DT30" i="18"/>
  <c r="DT29" i="18" s="1"/>
  <c r="CU30" i="18"/>
  <c r="CU29" i="18" s="1"/>
  <c r="AR30" i="18"/>
  <c r="AR29" i="18" s="1"/>
  <c r="AK30" i="18"/>
  <c r="AK29" i="18" s="1"/>
  <c r="AS30" i="18"/>
  <c r="AS29" i="18" s="1"/>
  <c r="CT30" i="18"/>
  <c r="CT29" i="18" s="1"/>
  <c r="CR30" i="18"/>
  <c r="CR29" i="18" s="1"/>
  <c r="BI30" i="18"/>
  <c r="BI29" i="18" s="1"/>
  <c r="BF30" i="18"/>
  <c r="BF29" i="18" s="1"/>
  <c r="DL30" i="18"/>
  <c r="DL29" i="18" s="1"/>
  <c r="DK30" i="18"/>
  <c r="DK29" i="18" s="1"/>
  <c r="DG30" i="18"/>
  <c r="DG29" i="18" s="1"/>
  <c r="DF30" i="18"/>
  <c r="DF29" i="18" s="1"/>
  <c r="CV30" i="18"/>
  <c r="CV29" i="18" s="1"/>
  <c r="BL30" i="18"/>
  <c r="BL29" i="18" s="1"/>
  <c r="BJ30" i="18"/>
  <c r="BJ29" i="18" s="1"/>
  <c r="AP30" i="18"/>
  <c r="AP29" i="18" s="1"/>
  <c r="CZ30" i="18"/>
  <c r="CZ29" i="18" s="1"/>
  <c r="CN30" i="18"/>
  <c r="CN29" i="18" s="1"/>
  <c r="BW30" i="18"/>
  <c r="BW29" i="18" s="1"/>
  <c r="BU30" i="18"/>
  <c r="BU29" i="18" s="1"/>
  <c r="CY30" i="18"/>
  <c r="CY29" i="18" s="1"/>
  <c r="BP30" i="18"/>
  <c r="BP29" i="18" s="1"/>
  <c r="DP30" i="18"/>
  <c r="DP29" i="18" s="1"/>
  <c r="DO30" i="18"/>
  <c r="DO29" i="18" s="1"/>
  <c r="DI30" i="18"/>
  <c r="DI29" i="18" s="1"/>
  <c r="AV30" i="18"/>
  <c r="AV29" i="18" s="1"/>
  <c r="EQ69" i="5"/>
  <c r="J69" i="5" s="1"/>
  <c r="J17" i="11"/>
  <c r="EQ81" i="5"/>
  <c r="J37" i="11"/>
  <c r="DU20" i="18"/>
  <c r="DS30" i="18"/>
  <c r="DS29" i="18" s="1"/>
  <c r="DN15" i="18"/>
  <c r="DM25" i="18"/>
  <c r="DI15" i="18"/>
  <c r="DC30" i="18"/>
  <c r="DC29" i="18" s="1"/>
  <c r="DA15" i="18"/>
  <c r="CR25" i="18"/>
  <c r="CQ15" i="18"/>
  <c r="CO30" i="18"/>
  <c r="CO29" i="18" s="1"/>
  <c r="CM25" i="18"/>
  <c r="CN20" i="18"/>
  <c r="CK25" i="18"/>
  <c r="CK30" i="18"/>
  <c r="CK29" i="18" s="1"/>
  <c r="BQ20" i="18"/>
  <c r="BM25" i="18"/>
  <c r="BD15" i="18"/>
  <c r="AY30" i="18"/>
  <c r="AY29" i="18" s="1"/>
  <c r="AV20" i="18"/>
  <c r="AU30" i="18"/>
  <c r="AU29" i="18" s="1"/>
  <c r="AN25" i="18"/>
  <c r="AM30" i="18"/>
  <c r="AM29" i="18" s="1"/>
  <c r="AH25" i="18"/>
  <c r="EQ24" i="5"/>
  <c r="J24" i="5" s="1"/>
  <c r="ER28" i="6"/>
  <c r="K28" i="6" s="1"/>
  <c r="K23" i="10"/>
  <c r="EP8" i="15"/>
  <c r="EQ8" i="11"/>
  <c r="ER31" i="6"/>
  <c r="EQ166" i="11"/>
  <c r="K26" i="10"/>
  <c r="DT15" i="18"/>
  <c r="DP20" i="18"/>
  <c r="DO25" i="18"/>
  <c r="DL20" i="18"/>
  <c r="DI25" i="18"/>
  <c r="DH30" i="18"/>
  <c r="DH29" i="18" s="1"/>
  <c r="DB15" i="18"/>
  <c r="CZ15" i="18"/>
  <c r="CW20" i="18"/>
  <c r="CS30" i="18"/>
  <c r="CS29" i="18" s="1"/>
  <c r="CJ30" i="18"/>
  <c r="CJ29" i="18" s="1"/>
  <c r="CA25" i="18"/>
  <c r="BZ15" i="18"/>
  <c r="BX30" i="18"/>
  <c r="BX29" i="18" s="1"/>
  <c r="BU25" i="18"/>
  <c r="BF25" i="18"/>
  <c r="BD25" i="18"/>
  <c r="BC25" i="18"/>
  <c r="AY15" i="18"/>
  <c r="AW30" i="18"/>
  <c r="AW29" i="18" s="1"/>
  <c r="AS15" i="18"/>
  <c r="AI25" i="18"/>
  <c r="AH15" i="18"/>
  <c r="EQ185" i="11"/>
  <c r="ER35" i="6"/>
  <c r="K30" i="10"/>
  <c r="EQ195" i="11"/>
  <c r="K41" i="6"/>
  <c r="DJ15" i="18"/>
  <c r="CF25" i="18"/>
  <c r="CD25" i="18"/>
  <c r="BE20" i="18"/>
  <c r="AX25" i="18"/>
  <c r="AN20" i="18"/>
  <c r="EQ39" i="4"/>
  <c r="J39" i="4" s="1"/>
  <c r="J38" i="4"/>
  <c r="AJ42" i="1"/>
  <c r="M9" i="21" s="1"/>
  <c r="DJ25" i="18"/>
  <c r="DD20" i="18"/>
  <c r="DA30" i="18"/>
  <c r="DA29" i="18" s="1"/>
  <c r="CW25" i="18"/>
  <c r="CW30" i="18"/>
  <c r="CW29" i="18" s="1"/>
  <c r="CV25" i="18"/>
  <c r="CS20" i="18"/>
  <c r="CK15" i="18"/>
  <c r="CI15" i="18"/>
  <c r="CD20" i="18"/>
  <c r="BX20" i="18"/>
  <c r="BT20" i="18"/>
  <c r="BP25" i="18"/>
  <c r="ER30" i="6"/>
  <c r="EQ26" i="5"/>
  <c r="J26" i="5" s="1"/>
  <c r="K25" i="10"/>
  <c r="DQ15" i="18"/>
  <c r="DO20" i="18"/>
  <c r="DL15" i="18"/>
  <c r="CQ20" i="18"/>
  <c r="CQ25" i="18"/>
  <c r="CM30" i="18"/>
  <c r="CM29" i="18" s="1"/>
  <c r="CM20" i="18"/>
  <c r="CL15" i="18"/>
  <c r="BO20" i="18"/>
  <c r="BN20" i="18"/>
  <c r="BL25" i="18"/>
  <c r="BH15" i="18"/>
  <c r="BC20" i="18"/>
  <c r="AY25" i="18"/>
  <c r="AX20" i="18"/>
  <c r="AO30" i="18"/>
  <c r="AO29" i="18" s="1"/>
  <c r="AL15" i="18"/>
  <c r="DU15" i="18"/>
  <c r="DK15" i="18"/>
  <c r="DE30" i="18"/>
  <c r="DE29" i="18" s="1"/>
  <c r="DC20" i="18"/>
  <c r="CU25" i="18"/>
  <c r="CT15" i="18"/>
  <c r="CQ30" i="18"/>
  <c r="CQ29" i="18" s="1"/>
  <c r="CP20" i="18"/>
  <c r="CM15" i="18"/>
  <c r="CI20" i="18"/>
  <c r="CJ15" i="18"/>
  <c r="BY25" i="18"/>
  <c r="BS15" i="18"/>
  <c r="BO25" i="18"/>
  <c r="BO30" i="18"/>
  <c r="BO29" i="18" s="1"/>
  <c r="BN30" i="18"/>
  <c r="BN29" i="18" s="1"/>
  <c r="BI25" i="18"/>
  <c r="BH30" i="18"/>
  <c r="BH29" i="18" s="1"/>
  <c r="BE30" i="18"/>
  <c r="BE29" i="18" s="1"/>
  <c r="BB20" i="18"/>
  <c r="AW20" i="18"/>
  <c r="AW15" i="18"/>
  <c r="AQ25" i="18"/>
  <c r="AK25" i="18"/>
  <c r="AJ15" i="18"/>
  <c r="EQ9" i="5"/>
  <c r="ER10" i="6"/>
  <c r="ER9" i="2"/>
  <c r="EQ9" i="19"/>
  <c r="EU9" i="14"/>
  <c r="ER9" i="10"/>
  <c r="EQ33" i="4"/>
  <c r="J32" i="4"/>
  <c r="DQ20" i="18"/>
  <c r="DN20" i="18"/>
  <c r="DA20" i="18"/>
  <c r="CE20" i="18"/>
  <c r="CB15" i="18"/>
  <c r="BM30" i="18"/>
  <c r="BM29" i="18" s="1"/>
  <c r="BL20" i="18"/>
  <c r="BA20" i="18"/>
  <c r="AT20" i="18"/>
  <c r="ER33" i="6"/>
  <c r="K33" i="6" s="1"/>
  <c r="EQ175" i="11"/>
  <c r="J175" i="11" s="1"/>
  <c r="K28" i="10"/>
  <c r="DN25" i="18"/>
  <c r="DM15" i="18"/>
  <c r="DI20" i="18"/>
  <c r="DE25" i="18"/>
  <c r="CU20" i="18"/>
  <c r="CP15" i="18"/>
  <c r="CO20" i="18"/>
  <c r="CN25" i="18"/>
  <c r="CN15" i="18"/>
  <c r="CL20" i="18"/>
  <c r="BZ30" i="18"/>
  <c r="BZ29" i="18" s="1"/>
  <c r="BX25" i="18"/>
  <c r="BU15" i="18"/>
  <c r="BQ15" i="18"/>
  <c r="BQ30" i="18"/>
  <c r="BQ29" i="18" s="1"/>
  <c r="BP20" i="18"/>
  <c r="BN15" i="18"/>
  <c r="BM20" i="18"/>
  <c r="BC15" i="18"/>
  <c r="AW25" i="18"/>
  <c r="DU30" i="18"/>
  <c r="DU29" i="18" s="1"/>
  <c r="EQ90" i="5"/>
  <c r="J57" i="11"/>
  <c r="DE15" i="18"/>
  <c r="DD25" i="18"/>
  <c r="CZ20" i="18"/>
  <c r="CY25" i="18"/>
  <c r="CO15" i="18"/>
  <c r="CL30" i="18"/>
  <c r="CL29" i="18" s="1"/>
  <c r="CK20" i="18"/>
  <c r="CI25" i="18"/>
  <c r="CG20" i="18"/>
  <c r="CF30" i="18"/>
  <c r="CF29" i="18" s="1"/>
  <c r="CB20" i="18"/>
  <c r="CA20" i="18"/>
  <c r="BZ20" i="18"/>
  <c r="BV20" i="18"/>
  <c r="BK20" i="18"/>
  <c r="BJ15" i="18"/>
  <c r="BH20" i="18"/>
  <c r="BG15" i="18"/>
  <c r="BI20" i="18"/>
  <c r="BG25" i="18"/>
  <c r="AY20" i="18"/>
  <c r="AU20" i="18"/>
  <c r="AR15" i="18"/>
  <c r="AQ20" i="18"/>
  <c r="AO20" i="18"/>
  <c r="AO25" i="18"/>
  <c r="AI15" i="18"/>
  <c r="EQ11" i="19"/>
  <c r="ER11" i="2"/>
  <c r="ER12" i="6"/>
  <c r="EQ11" i="5"/>
  <c r="EU11" i="14"/>
  <c r="ER11" i="10"/>
  <c r="EQ145" i="11"/>
  <c r="EQ157" i="11" s="1"/>
  <c r="EQ214" i="11"/>
  <c r="EQ140" i="11"/>
  <c r="J140" i="11" s="1"/>
  <c r="J22" i="11"/>
  <c r="DS20" i="18"/>
  <c r="DJ20" i="18"/>
  <c r="DH20" i="18"/>
  <c r="DF15" i="18"/>
  <c r="DB25" i="18"/>
  <c r="DB20" i="18"/>
  <c r="CY20" i="18"/>
  <c r="CX25" i="18"/>
  <c r="CV15" i="18"/>
  <c r="CT20" i="18"/>
  <c r="CJ20" i="18"/>
  <c r="BX15" i="18"/>
  <c r="BV30" i="18"/>
  <c r="BV29" i="18" s="1"/>
  <c r="BU20" i="18"/>
  <c r="BS25" i="18"/>
  <c r="BK25" i="18"/>
  <c r="BG30" i="18"/>
  <c r="BG29" i="18" s="1"/>
  <c r="BD20" i="18"/>
  <c r="AZ15" i="18"/>
  <c r="AV15" i="18"/>
  <c r="AT25" i="18"/>
  <c r="AQ15" i="18"/>
  <c r="AP20" i="18"/>
  <c r="AL25" i="18"/>
  <c r="EQ10" i="19"/>
  <c r="ER10" i="2"/>
  <c r="EU10" i="14"/>
  <c r="ER11" i="6"/>
  <c r="EQ10" i="5"/>
  <c r="ER10" i="10"/>
  <c r="DT25" i="18"/>
  <c r="DH25" i="18"/>
  <c r="DE20" i="18"/>
  <c r="CV20" i="18"/>
  <c r="CR20" i="18"/>
  <c r="CG30" i="18"/>
  <c r="CG29" i="18" s="1"/>
  <c r="CE15" i="18"/>
  <c r="AT30" i="18"/>
  <c r="AT29" i="18" s="1"/>
  <c r="AS20" i="18"/>
  <c r="AP15" i="18"/>
  <c r="AH20" i="18"/>
  <c r="DK20" i="18"/>
  <c r="DR25" i="18"/>
  <c r="DR30" i="18"/>
  <c r="DR29" i="18" s="1"/>
  <c r="DQ30" i="18"/>
  <c r="DQ29" i="18" s="1"/>
  <c r="DP15" i="18"/>
  <c r="DG25" i="18"/>
  <c r="DD15" i="18"/>
  <c r="DA25" i="18"/>
  <c r="CY15" i="18"/>
  <c r="CX15" i="18"/>
  <c r="CT25" i="18"/>
  <c r="CP25" i="18"/>
  <c r="CL25" i="18"/>
  <c r="CG25" i="18"/>
  <c r="CE30" i="18"/>
  <c r="CE29" i="18" s="1"/>
  <c r="CC20" i="18"/>
  <c r="CC15" i="18"/>
  <c r="BS20" i="18"/>
  <c r="BP15" i="18"/>
  <c r="BL15" i="18"/>
  <c r="BI15" i="18"/>
  <c r="BF20" i="18"/>
  <c r="BD30" i="18"/>
  <c r="BD29" i="18" s="1"/>
  <c r="BA30" i="18"/>
  <c r="BA29" i="18" s="1"/>
  <c r="AZ20" i="18"/>
  <c r="AU15" i="18"/>
  <c r="AN15" i="18"/>
  <c r="AK15" i="18"/>
  <c r="AJ25" i="18"/>
  <c r="AJ30" i="18"/>
  <c r="AJ29" i="18" s="1"/>
  <c r="ER29" i="6"/>
  <c r="EQ25" i="5"/>
  <c r="J25" i="5" s="1"/>
  <c r="K24" i="10"/>
  <c r="EC169" i="11"/>
  <c r="EC171" i="11" s="1"/>
  <c r="M70" i="16" l="1"/>
  <c r="AK70" i="16"/>
  <c r="AK71" i="16"/>
  <c r="AN70" i="16"/>
  <c r="AL70" i="16"/>
  <c r="AM71" i="16"/>
  <c r="AM70" i="16"/>
  <c r="AL71" i="16"/>
  <c r="AO70" i="16"/>
  <c r="AO71" i="16"/>
  <c r="AN71" i="16"/>
  <c r="AP70" i="16"/>
  <c r="AP71" i="16"/>
  <c r="AU70" i="16"/>
  <c r="AS71" i="16"/>
  <c r="AQ71" i="16"/>
  <c r="AR71" i="16"/>
  <c r="AQ70" i="16"/>
  <c r="AR70" i="16"/>
  <c r="AS70" i="16"/>
  <c r="AT71" i="16"/>
  <c r="AU71" i="16"/>
  <c r="AT70" i="16"/>
  <c r="AW71" i="16"/>
  <c r="AW70" i="16"/>
  <c r="AV70" i="16"/>
  <c r="AV71" i="16"/>
  <c r="AZ71" i="16"/>
  <c r="AX70" i="16"/>
  <c r="AX71" i="16"/>
  <c r="AY71" i="16"/>
  <c r="AZ70" i="16"/>
  <c r="AY70" i="16"/>
  <c r="BD70" i="16"/>
  <c r="BB70" i="16"/>
  <c r="BA70" i="16"/>
  <c r="BB71" i="16"/>
  <c r="BA71" i="16"/>
  <c r="BC71" i="16"/>
  <c r="BE71" i="16"/>
  <c r="BD71" i="16"/>
  <c r="BC70" i="16"/>
  <c r="BG71" i="16"/>
  <c r="BG70" i="16"/>
  <c r="BF71" i="16"/>
  <c r="BF70" i="16"/>
  <c r="BE70" i="16"/>
  <c r="BH70" i="16"/>
  <c r="BH71" i="16"/>
  <c r="BI71" i="16"/>
  <c r="BI70" i="16"/>
  <c r="BJ71" i="16"/>
  <c r="BJ70" i="16"/>
  <c r="BK70" i="16"/>
  <c r="BK71" i="16"/>
  <c r="BM70" i="16"/>
  <c r="BL71" i="16"/>
  <c r="BL70" i="16"/>
  <c r="BM71" i="16"/>
  <c r="BO70" i="16"/>
  <c r="BN71" i="16"/>
  <c r="BO71" i="16"/>
  <c r="BN70" i="16"/>
  <c r="BS70" i="16"/>
  <c r="BP71" i="16"/>
  <c r="BP70" i="16"/>
  <c r="BQ70" i="16"/>
  <c r="BR70" i="16"/>
  <c r="BQ71" i="16"/>
  <c r="BR71" i="16"/>
  <c r="BS71" i="16"/>
  <c r="BW70" i="16"/>
  <c r="BU70" i="16"/>
  <c r="BT71" i="16"/>
  <c r="BU71" i="16"/>
  <c r="BT70" i="16"/>
  <c r="BV71" i="16"/>
  <c r="BW71" i="16"/>
  <c r="BV70" i="16"/>
  <c r="BX71" i="16"/>
  <c r="BY71" i="16"/>
  <c r="BX70" i="16"/>
  <c r="BY70" i="16"/>
  <c r="BZ71" i="16"/>
  <c r="CC70" i="16"/>
  <c r="CD70" i="16"/>
  <c r="BZ70" i="16"/>
  <c r="CA70" i="16"/>
  <c r="CB70" i="16"/>
  <c r="CC71" i="16"/>
  <c r="CB71" i="16"/>
  <c r="CF70" i="16"/>
  <c r="CA71" i="16"/>
  <c r="CD71" i="16"/>
  <c r="CE70" i="16"/>
  <c r="CE71" i="16"/>
  <c r="CF71" i="16"/>
  <c r="CG70" i="16"/>
  <c r="CG71" i="16"/>
  <c r="CH71" i="16"/>
  <c r="CJ71" i="16"/>
  <c r="CH70" i="16"/>
  <c r="CJ70" i="16"/>
  <c r="CI71" i="16"/>
  <c r="CI70" i="16"/>
  <c r="CL71" i="16"/>
  <c r="CK71" i="16"/>
  <c r="CK70" i="16"/>
  <c r="CL70" i="16"/>
  <c r="CN71" i="16"/>
  <c r="CN70" i="16"/>
  <c r="CM70" i="16"/>
  <c r="CM71" i="16"/>
  <c r="CP70" i="16"/>
  <c r="CO71" i="16"/>
  <c r="CP71" i="16"/>
  <c r="CO70" i="16"/>
  <c r="CQ71" i="16"/>
  <c r="CQ70" i="16"/>
  <c r="CS71" i="16"/>
  <c r="CR71" i="16"/>
  <c r="CV70" i="16"/>
  <c r="CS70" i="16"/>
  <c r="CR70" i="16"/>
  <c r="CT71" i="16"/>
  <c r="CT70" i="16"/>
  <c r="CV71" i="16"/>
  <c r="CU70" i="16"/>
  <c r="CU71" i="16"/>
  <c r="CW71" i="16"/>
  <c r="CZ71" i="16"/>
  <c r="CW70" i="16"/>
  <c r="CX71" i="16"/>
  <c r="CX70" i="16"/>
  <c r="DB71" i="16"/>
  <c r="CY71" i="16"/>
  <c r="CY70" i="16"/>
  <c r="DA70" i="16"/>
  <c r="DD70" i="16"/>
  <c r="CZ70" i="16"/>
  <c r="DA71" i="16"/>
  <c r="DB70" i="16"/>
  <c r="DF70" i="16"/>
  <c r="DC71" i="16"/>
  <c r="DD71" i="16"/>
  <c r="DC70" i="16"/>
  <c r="DE70" i="16"/>
  <c r="DH71" i="16"/>
  <c r="DE71" i="16"/>
  <c r="DF71" i="16"/>
  <c r="DG71" i="16"/>
  <c r="DH70" i="16"/>
  <c r="DG70" i="16"/>
  <c r="DJ70" i="16"/>
  <c r="DI70" i="16"/>
  <c r="DI71" i="16"/>
  <c r="DK70" i="16"/>
  <c r="DK71" i="16"/>
  <c r="DJ71" i="16"/>
  <c r="DL70" i="16"/>
  <c r="DN70" i="16"/>
  <c r="DM70" i="16"/>
  <c r="DL71" i="16"/>
  <c r="DP70" i="16"/>
  <c r="DN71" i="16"/>
  <c r="DM71" i="16"/>
  <c r="DO70" i="16"/>
  <c r="DO71" i="16"/>
  <c r="DR71" i="16"/>
  <c r="DR70" i="16"/>
  <c r="DQ70" i="16"/>
  <c r="DQ71" i="16"/>
  <c r="DP71" i="16"/>
  <c r="DT70" i="16"/>
  <c r="DS70" i="16"/>
  <c r="DS71" i="16"/>
  <c r="DT71" i="16"/>
  <c r="DU71" i="16"/>
  <c r="DU70" i="16"/>
  <c r="DV71" i="16"/>
  <c r="DV70" i="16"/>
  <c r="DW71" i="16"/>
  <c r="DW70" i="16"/>
  <c r="R113" i="19"/>
  <c r="V113" i="19"/>
  <c r="N113" i="19"/>
  <c r="X36" i="35"/>
  <c r="W34" i="35"/>
  <c r="Q36" i="35"/>
  <c r="S36" i="35"/>
  <c r="T34" i="35"/>
  <c r="V36" i="35"/>
  <c r="W36" i="35"/>
  <c r="X34" i="35"/>
  <c r="U34" i="35"/>
  <c r="U36" i="35"/>
  <c r="R36" i="35"/>
  <c r="R34" i="35"/>
  <c r="K16" i="35"/>
  <c r="L16" i="35"/>
  <c r="M16" i="35"/>
  <c r="N16" i="35"/>
  <c r="O16" i="35"/>
  <c r="P16" i="35"/>
  <c r="J12" i="35"/>
  <c r="D12" i="35" s="1"/>
  <c r="E12" i="35" s="1"/>
  <c r="K12" i="35"/>
  <c r="L12" i="35"/>
  <c r="M12" i="35"/>
  <c r="N12" i="35"/>
  <c r="O12" i="35"/>
  <c r="P12" i="35"/>
  <c r="K17" i="35"/>
  <c r="L17" i="35"/>
  <c r="M17" i="35"/>
  <c r="N17" i="35"/>
  <c r="O17" i="35"/>
  <c r="P17" i="35"/>
  <c r="K35" i="6"/>
  <c r="H22" i="35"/>
  <c r="O35" i="30"/>
  <c r="AP138" i="5" s="1"/>
  <c r="Q35" i="30"/>
  <c r="AV138" i="5" s="1"/>
  <c r="Q33" i="30"/>
  <c r="AV137" i="5" s="1"/>
  <c r="T35" i="30"/>
  <c r="BE138" i="5" s="1"/>
  <c r="T33" i="30"/>
  <c r="BE137" i="5" s="1"/>
  <c r="S33" i="30"/>
  <c r="BB137" i="5" s="1"/>
  <c r="S35" i="30"/>
  <c r="BB138" i="5" s="1"/>
  <c r="U35" i="30"/>
  <c r="BH138" i="5" s="1"/>
  <c r="U33" i="30"/>
  <c r="BH137" i="5" s="1"/>
  <c r="P33" i="30"/>
  <c r="AS137" i="5" s="1"/>
  <c r="P35" i="30"/>
  <c r="AS138" i="5" s="1"/>
  <c r="R33" i="30"/>
  <c r="AY137" i="5" s="1"/>
  <c r="R35" i="30"/>
  <c r="AY138" i="5" s="1"/>
  <c r="N33" i="30"/>
  <c r="AM137" i="5" s="1"/>
  <c r="N35" i="30"/>
  <c r="AM138" i="5" s="1"/>
  <c r="K32" i="6"/>
  <c r="K29" i="6"/>
  <c r="E11" i="30"/>
  <c r="K30" i="6"/>
  <c r="E14" i="30"/>
  <c r="E22" i="30"/>
  <c r="K31" i="6"/>
  <c r="R77" i="19"/>
  <c r="M96" i="17"/>
  <c r="E753" i="32" s="1"/>
  <c r="L103" i="17"/>
  <c r="M101" i="17"/>
  <c r="L97" i="17"/>
  <c r="L96" i="17"/>
  <c r="D753" i="32" s="1"/>
  <c r="L101" i="17"/>
  <c r="N96" i="17"/>
  <c r="F753" i="32" s="1"/>
  <c r="O96" i="17"/>
  <c r="G753" i="32" s="1"/>
  <c r="P97" i="17"/>
  <c r="N101" i="17"/>
  <c r="Q97" i="17"/>
  <c r="O101" i="17"/>
  <c r="O97" i="17"/>
  <c r="P101" i="17"/>
  <c r="Q101" i="17"/>
  <c r="P96" i="17"/>
  <c r="H753" i="32" s="1"/>
  <c r="R101" i="17"/>
  <c r="Q96" i="17"/>
  <c r="S97" i="17"/>
  <c r="S101" i="17"/>
  <c r="S96" i="17"/>
  <c r="R96" i="17"/>
  <c r="R97" i="17"/>
  <c r="T96" i="17"/>
  <c r="U97" i="17"/>
  <c r="T97" i="17"/>
  <c r="V97" i="17"/>
  <c r="W101" i="17"/>
  <c r="T101" i="17"/>
  <c r="U96" i="17"/>
  <c r="W96" i="17"/>
  <c r="W97" i="17"/>
  <c r="V101" i="17"/>
  <c r="V96" i="17"/>
  <c r="U101" i="17"/>
  <c r="Y97" i="17"/>
  <c r="X97" i="17"/>
  <c r="X101" i="17"/>
  <c r="AA96" i="17"/>
  <c r="X96" i="17"/>
  <c r="Y101" i="17"/>
  <c r="Y96" i="17"/>
  <c r="Z96" i="17"/>
  <c r="Z97" i="17"/>
  <c r="Z101" i="17"/>
  <c r="AB96" i="17"/>
  <c r="AA97" i="17"/>
  <c r="AB97" i="17"/>
  <c r="AC97" i="17"/>
  <c r="AC96" i="17"/>
  <c r="AA101" i="17"/>
  <c r="AB101" i="17"/>
  <c r="AC101" i="17"/>
  <c r="AD101" i="17"/>
  <c r="AD96" i="17"/>
  <c r="AG96" i="17"/>
  <c r="AD97" i="17"/>
  <c r="AE101" i="17"/>
  <c r="AG97" i="17"/>
  <c r="AG101" i="17"/>
  <c r="AF97" i="17"/>
  <c r="AE96" i="17"/>
  <c r="AF96" i="17"/>
  <c r="AH101" i="17"/>
  <c r="AH97" i="17"/>
  <c r="AE97" i="17"/>
  <c r="AF101" i="17"/>
  <c r="AK101" i="17"/>
  <c r="AK92" i="17"/>
  <c r="AK107" i="17"/>
  <c r="AH96" i="17"/>
  <c r="AK104" i="17"/>
  <c r="AK99" i="17"/>
  <c r="AI96" i="17"/>
  <c r="AK91" i="17"/>
  <c r="AJ107" i="17"/>
  <c r="AJ91" i="17"/>
  <c r="AJ108" i="17"/>
  <c r="AK102" i="17"/>
  <c r="AI101" i="17"/>
  <c r="AJ92" i="17"/>
  <c r="AJ96" i="17"/>
  <c r="AM93" i="17"/>
  <c r="AJ104" i="17"/>
  <c r="AJ98" i="17"/>
  <c r="AJ94" i="17"/>
  <c r="AK106" i="17"/>
  <c r="AK109" i="17"/>
  <c r="AJ103" i="17"/>
  <c r="AM106" i="17"/>
  <c r="AM104" i="17"/>
  <c r="AL94" i="17"/>
  <c r="AM102" i="17"/>
  <c r="AL96" i="17"/>
  <c r="AJ106" i="17"/>
  <c r="AK93" i="17"/>
  <c r="AM98" i="17"/>
  <c r="AK96" i="17"/>
  <c r="AK94" i="17"/>
  <c r="AL103" i="17"/>
  <c r="AL107" i="17"/>
  <c r="AK97" i="17"/>
  <c r="AJ99" i="17"/>
  <c r="AL108" i="17"/>
  <c r="AK98" i="17"/>
  <c r="AL101" i="17"/>
  <c r="AL91" i="17"/>
  <c r="AK103" i="17"/>
  <c r="AJ97" i="17"/>
  <c r="AM107" i="17"/>
  <c r="AJ109" i="17"/>
  <c r="AK108" i="17"/>
  <c r="AJ101" i="17"/>
  <c r="AL97" i="17"/>
  <c r="AM97" i="17"/>
  <c r="AJ93" i="17"/>
  <c r="AJ102" i="17"/>
  <c r="AM101" i="17"/>
  <c r="AL98" i="17"/>
  <c r="AL106" i="17"/>
  <c r="AL93" i="17"/>
  <c r="AN92" i="17"/>
  <c r="AN107" i="17"/>
  <c r="AL109" i="17"/>
  <c r="AN103" i="17"/>
  <c r="AL104" i="17"/>
  <c r="AM99" i="17"/>
  <c r="AM96" i="17"/>
  <c r="AL99" i="17"/>
  <c r="AQ107" i="17"/>
  <c r="AN102" i="17"/>
  <c r="AM108" i="17"/>
  <c r="AM91" i="17"/>
  <c r="AM94" i="17"/>
  <c r="AN108" i="17"/>
  <c r="AQ99" i="17"/>
  <c r="AP107" i="17"/>
  <c r="AP92" i="17"/>
  <c r="AO91" i="17"/>
  <c r="AO107" i="17"/>
  <c r="AP99" i="17"/>
  <c r="AO94" i="17"/>
  <c r="AO93" i="17"/>
  <c r="AL102" i="17"/>
  <c r="AP96" i="17"/>
  <c r="AN104" i="17"/>
  <c r="AN109" i="17"/>
  <c r="AP101" i="17"/>
  <c r="AP94" i="17"/>
  <c r="AO101" i="17"/>
  <c r="AP98" i="17"/>
  <c r="AQ104" i="17"/>
  <c r="AP106" i="17"/>
  <c r="AO99" i="17"/>
  <c r="AM109" i="17"/>
  <c r="AM103" i="17"/>
  <c r="AN99" i="17"/>
  <c r="AO104" i="17"/>
  <c r="AP109" i="17"/>
  <c r="AQ106" i="17"/>
  <c r="AO109" i="17"/>
  <c r="AQ101" i="17"/>
  <c r="AN94" i="17"/>
  <c r="AP103" i="17"/>
  <c r="AN97" i="17"/>
  <c r="AQ91" i="17"/>
  <c r="AL92" i="17"/>
  <c r="AN96" i="17"/>
  <c r="AP97" i="17"/>
  <c r="AM92" i="17"/>
  <c r="AU108" i="17"/>
  <c r="AS93" i="17"/>
  <c r="AP108" i="17"/>
  <c r="AR98" i="17"/>
  <c r="AO103" i="17"/>
  <c r="AQ97" i="17"/>
  <c r="AR102" i="17"/>
  <c r="AP91" i="17"/>
  <c r="AO102" i="17"/>
  <c r="AN98" i="17"/>
  <c r="AQ102" i="17"/>
  <c r="AR97" i="17"/>
  <c r="AO108" i="17"/>
  <c r="AO97" i="17"/>
  <c r="AN106" i="17"/>
  <c r="AR109" i="17"/>
  <c r="AN91" i="17"/>
  <c r="AN93" i="17"/>
  <c r="AR94" i="17"/>
  <c r="AQ94" i="17"/>
  <c r="AO106" i="17"/>
  <c r="AP104" i="17"/>
  <c r="AQ109" i="17"/>
  <c r="AO96" i="17"/>
  <c r="AQ103" i="17"/>
  <c r="AO98" i="17"/>
  <c r="AO92" i="17"/>
  <c r="AR107" i="17"/>
  <c r="AR93" i="17"/>
  <c r="AR106" i="17"/>
  <c r="AU98" i="17"/>
  <c r="AN101" i="17"/>
  <c r="AS106" i="17"/>
  <c r="AS109" i="17"/>
  <c r="AP102" i="17"/>
  <c r="AP93" i="17"/>
  <c r="AS98" i="17"/>
  <c r="AS108" i="17"/>
  <c r="AU96" i="17"/>
  <c r="AQ108" i="17"/>
  <c r="AT96" i="17"/>
  <c r="AS97" i="17"/>
  <c r="AS94" i="17"/>
  <c r="AS103" i="17"/>
  <c r="AS104" i="17"/>
  <c r="AS91" i="17"/>
  <c r="AQ96" i="17"/>
  <c r="AR101" i="17"/>
  <c r="AU91" i="17"/>
  <c r="AQ92" i="17"/>
  <c r="AU92" i="17"/>
  <c r="AT92" i="17"/>
  <c r="AS102" i="17"/>
  <c r="AR99" i="17"/>
  <c r="AR103" i="17"/>
  <c r="AR104" i="17"/>
  <c r="AT91" i="17"/>
  <c r="AU102" i="17"/>
  <c r="AT109" i="17"/>
  <c r="AQ98" i="17"/>
  <c r="AT93" i="17"/>
  <c r="AS96" i="17"/>
  <c r="AU94" i="17"/>
  <c r="AR96" i="17"/>
  <c r="AT102" i="17"/>
  <c r="AR91" i="17"/>
  <c r="AS107" i="17"/>
  <c r="AT94" i="17"/>
  <c r="AR108" i="17"/>
  <c r="AU104" i="17"/>
  <c r="AQ93" i="17"/>
  <c r="AS92" i="17"/>
  <c r="AT99" i="17"/>
  <c r="AT107" i="17"/>
  <c r="AR92" i="17"/>
  <c r="AS101" i="17"/>
  <c r="AV103" i="17"/>
  <c r="AV106" i="17"/>
  <c r="AU101" i="17"/>
  <c r="AV104" i="17"/>
  <c r="AT101" i="17"/>
  <c r="AV92" i="17"/>
  <c r="AU107" i="17"/>
  <c r="AU97" i="17"/>
  <c r="AT98" i="17"/>
  <c r="AT97" i="17"/>
  <c r="AX98" i="17"/>
  <c r="AU106" i="17"/>
  <c r="AT103" i="17"/>
  <c r="AV91" i="17"/>
  <c r="AU99" i="17"/>
  <c r="AT106" i="17"/>
  <c r="AV99" i="17"/>
  <c r="AV93" i="17"/>
  <c r="AU109" i="17"/>
  <c r="AU93" i="17"/>
  <c r="AV107" i="17"/>
  <c r="AS99" i="17"/>
  <c r="AU103" i="17"/>
  <c r="AT104" i="17"/>
  <c r="AV94" i="17"/>
  <c r="AT108" i="17"/>
  <c r="AV108" i="17"/>
  <c r="AW97" i="17"/>
  <c r="AW93" i="17"/>
  <c r="AW108" i="17"/>
  <c r="AW96" i="17"/>
  <c r="AW94" i="17"/>
  <c r="AX91" i="17"/>
  <c r="AW106" i="17"/>
  <c r="AW109" i="17"/>
  <c r="AV109" i="17"/>
  <c r="AX104" i="17"/>
  <c r="AZ96" i="17"/>
  <c r="AW103" i="17"/>
  <c r="AV101" i="17"/>
  <c r="AW99" i="17"/>
  <c r="AX102" i="17"/>
  <c r="AX108" i="17"/>
  <c r="AV98" i="17"/>
  <c r="AW92" i="17"/>
  <c r="AV97" i="17"/>
  <c r="AX96" i="17"/>
  <c r="AX92" i="17"/>
  <c r="AW101" i="17"/>
  <c r="AX107" i="17"/>
  <c r="AX99" i="17"/>
  <c r="AX109" i="17"/>
  <c r="AW104" i="17"/>
  <c r="AW102" i="17"/>
  <c r="AX103" i="17"/>
  <c r="AX97" i="17"/>
  <c r="AV96" i="17"/>
  <c r="AW91" i="17"/>
  <c r="AX94" i="17"/>
  <c r="AV102" i="17"/>
  <c r="AW98" i="17"/>
  <c r="AW107" i="17"/>
  <c r="AY93" i="17"/>
  <c r="AY104" i="17"/>
  <c r="AZ108" i="17"/>
  <c r="AZ91" i="17"/>
  <c r="AZ97" i="17"/>
  <c r="AY102" i="17"/>
  <c r="AY109" i="17"/>
  <c r="AY101" i="17"/>
  <c r="BB97" i="17"/>
  <c r="AZ93" i="17"/>
  <c r="AY91" i="17"/>
  <c r="AX93" i="17"/>
  <c r="AY94" i="17"/>
  <c r="AZ109" i="17"/>
  <c r="AZ92" i="17"/>
  <c r="AY108" i="17"/>
  <c r="AY107" i="17"/>
  <c r="AX101" i="17"/>
  <c r="AY97" i="17"/>
  <c r="AY106" i="17"/>
  <c r="AZ102" i="17"/>
  <c r="AY92" i="17"/>
  <c r="AY103" i="17"/>
  <c r="AY96" i="17"/>
  <c r="AX106" i="17"/>
  <c r="AY99" i="17"/>
  <c r="AY98" i="17"/>
  <c r="BB102" i="17"/>
  <c r="AZ98" i="17"/>
  <c r="BA108" i="17"/>
  <c r="BA92" i="17"/>
  <c r="AZ94" i="17"/>
  <c r="BA103" i="17"/>
  <c r="BA91" i="17"/>
  <c r="AZ101" i="17"/>
  <c r="AZ103" i="17"/>
  <c r="BA98" i="17"/>
  <c r="BA93" i="17"/>
  <c r="AZ99" i="17"/>
  <c r="BA97" i="17"/>
  <c r="BB93" i="17"/>
  <c r="BA104" i="17"/>
  <c r="BD104" i="17"/>
  <c r="BA99" i="17"/>
  <c r="AZ104" i="17"/>
  <c r="AZ107" i="17"/>
  <c r="BA101" i="17"/>
  <c r="BB104" i="17"/>
  <c r="BB109" i="17"/>
  <c r="BA96" i="17"/>
  <c r="BA94" i="17"/>
  <c r="BA109" i="17"/>
  <c r="AZ106" i="17"/>
  <c r="BB96" i="17"/>
  <c r="BA102" i="17"/>
  <c r="BB101" i="17"/>
  <c r="BA107" i="17"/>
  <c r="BA106" i="17"/>
  <c r="BD99" i="17"/>
  <c r="BC98" i="17"/>
  <c r="BB108" i="17"/>
  <c r="BB91" i="17"/>
  <c r="BC109" i="17"/>
  <c r="BC103" i="17"/>
  <c r="BB92" i="17"/>
  <c r="BC99" i="17"/>
  <c r="BC102" i="17"/>
  <c r="BC97" i="17"/>
  <c r="BC108" i="17"/>
  <c r="BC104" i="17"/>
  <c r="BC96" i="17"/>
  <c r="BB98" i="17"/>
  <c r="BD97" i="17"/>
  <c r="BB103" i="17"/>
  <c r="BD106" i="17"/>
  <c r="BC101" i="17"/>
  <c r="BC106" i="17"/>
  <c r="BD103" i="17"/>
  <c r="BC107" i="17"/>
  <c r="BC91" i="17"/>
  <c r="BB106" i="17"/>
  <c r="BD91" i="17"/>
  <c r="BD109" i="17"/>
  <c r="BF108" i="17"/>
  <c r="BB107" i="17"/>
  <c r="BD94" i="17"/>
  <c r="BB99" i="17"/>
  <c r="BC92" i="17"/>
  <c r="BC94" i="17"/>
  <c r="BC93" i="17"/>
  <c r="BD107" i="17"/>
  <c r="BD96" i="17"/>
  <c r="BD108" i="17"/>
  <c r="BB94" i="17"/>
  <c r="BD102" i="17"/>
  <c r="BF91" i="17"/>
  <c r="BE107" i="17"/>
  <c r="BE99" i="17"/>
  <c r="BE98" i="17"/>
  <c r="BE106" i="17"/>
  <c r="BF99" i="17"/>
  <c r="BD92" i="17"/>
  <c r="BF96" i="17"/>
  <c r="BE103" i="17"/>
  <c r="BE91" i="17"/>
  <c r="BE92" i="17"/>
  <c r="BF92" i="17"/>
  <c r="BE104" i="17"/>
  <c r="BE97" i="17"/>
  <c r="BF107" i="17"/>
  <c r="BE109" i="17"/>
  <c r="BF97" i="17"/>
  <c r="BF103" i="17"/>
  <c r="BF93" i="17"/>
  <c r="BH94" i="17"/>
  <c r="BF102" i="17"/>
  <c r="BF106" i="17"/>
  <c r="BE101" i="17"/>
  <c r="BF94" i="17"/>
  <c r="BE108" i="17"/>
  <c r="BE102" i="17"/>
  <c r="BF104" i="17"/>
  <c r="BF109" i="17"/>
  <c r="BD93" i="17"/>
  <c r="BD101" i="17"/>
  <c r="BF101" i="17"/>
  <c r="BF98" i="17"/>
  <c r="BE96" i="17"/>
  <c r="BE93" i="17"/>
  <c r="BD98" i="17"/>
  <c r="BE94" i="17"/>
  <c r="BG103" i="17"/>
  <c r="BG93" i="17"/>
  <c r="BH98" i="17"/>
  <c r="BH106" i="17"/>
  <c r="BG102" i="17"/>
  <c r="BH107" i="17"/>
  <c r="BG106" i="17"/>
  <c r="BG108" i="17"/>
  <c r="BH104" i="17"/>
  <c r="BH92" i="17"/>
  <c r="BG107" i="17"/>
  <c r="BG94" i="17"/>
  <c r="BH109" i="17"/>
  <c r="BH97" i="17"/>
  <c r="BH103" i="17"/>
  <c r="BH96" i="17"/>
  <c r="BG97" i="17"/>
  <c r="BG104" i="17"/>
  <c r="BG91" i="17"/>
  <c r="BG96" i="17"/>
  <c r="BG98" i="17"/>
  <c r="BG92" i="17"/>
  <c r="BH101" i="17"/>
  <c r="BG109" i="17"/>
  <c r="BG99" i="17"/>
  <c r="BH108" i="17"/>
  <c r="BH93" i="17"/>
  <c r="BG101" i="17"/>
  <c r="BH91" i="17"/>
  <c r="BJ107" i="17"/>
  <c r="BJ109" i="17"/>
  <c r="BI99" i="17"/>
  <c r="BJ102" i="17"/>
  <c r="BI109" i="17"/>
  <c r="BI101" i="17"/>
  <c r="BJ103" i="17"/>
  <c r="BI97" i="17"/>
  <c r="BI106" i="17"/>
  <c r="BI102" i="17"/>
  <c r="BJ96" i="17"/>
  <c r="BI94" i="17"/>
  <c r="BH99" i="17"/>
  <c r="BJ94" i="17"/>
  <c r="BJ91" i="17"/>
  <c r="BI104" i="17"/>
  <c r="BI93" i="17"/>
  <c r="BI108" i="17"/>
  <c r="BI107" i="17"/>
  <c r="BJ99" i="17"/>
  <c r="BJ101" i="17"/>
  <c r="BL98" i="17"/>
  <c r="BI92" i="17"/>
  <c r="BI91" i="17"/>
  <c r="BH102" i="17"/>
  <c r="BI98" i="17"/>
  <c r="BI103" i="17"/>
  <c r="BJ108" i="17"/>
  <c r="BJ106" i="17"/>
  <c r="BJ104" i="17"/>
  <c r="BJ98" i="17"/>
  <c r="BI96" i="17"/>
  <c r="BJ93" i="17"/>
  <c r="BJ92" i="17"/>
  <c r="BJ97" i="17"/>
  <c r="BK104" i="17"/>
  <c r="BK108" i="17"/>
  <c r="BL104" i="17"/>
  <c r="BL96" i="17"/>
  <c r="BK102" i="17"/>
  <c r="BL101" i="17"/>
  <c r="BK109" i="17"/>
  <c r="BK91" i="17"/>
  <c r="BL91" i="17"/>
  <c r="BN109" i="17"/>
  <c r="BL109" i="17"/>
  <c r="BK92" i="17"/>
  <c r="BL93" i="17"/>
  <c r="BK97" i="17"/>
  <c r="BK107" i="17"/>
  <c r="BK93" i="17"/>
  <c r="BL94" i="17"/>
  <c r="BK94" i="17"/>
  <c r="BK96" i="17"/>
  <c r="BK101" i="17"/>
  <c r="BK106" i="17"/>
  <c r="BK103" i="17"/>
  <c r="BK98" i="17"/>
  <c r="BK99" i="17"/>
  <c r="BN94" i="17"/>
  <c r="BL103" i="17"/>
  <c r="BN103" i="17"/>
  <c r="BM107" i="17"/>
  <c r="BM91" i="17"/>
  <c r="BN99" i="17"/>
  <c r="BM96" i="17"/>
  <c r="BL97" i="17"/>
  <c r="BM106" i="17"/>
  <c r="BP93" i="17"/>
  <c r="BM109" i="17"/>
  <c r="BN92" i="17"/>
  <c r="BN107" i="17"/>
  <c r="BM92" i="17"/>
  <c r="BM98" i="17"/>
  <c r="BL102" i="17"/>
  <c r="BN102" i="17"/>
  <c r="BM108" i="17"/>
  <c r="BM93" i="17"/>
  <c r="BN108" i="17"/>
  <c r="BM94" i="17"/>
  <c r="BN106" i="17"/>
  <c r="BL107" i="17"/>
  <c r="BN93" i="17"/>
  <c r="BL99" i="17"/>
  <c r="BN96" i="17"/>
  <c r="BM99" i="17"/>
  <c r="BN91" i="17"/>
  <c r="BL106" i="17"/>
  <c r="BN98" i="17"/>
  <c r="BL108" i="17"/>
  <c r="BN101" i="17"/>
  <c r="BN104" i="17"/>
  <c r="BM103" i="17"/>
  <c r="BM102" i="17"/>
  <c r="BM104" i="17"/>
  <c r="BM97" i="17"/>
  <c r="BM101" i="17"/>
  <c r="BL92" i="17"/>
  <c r="BO91" i="17"/>
  <c r="BO92" i="17"/>
  <c r="BO93" i="17"/>
  <c r="BP108" i="17"/>
  <c r="BO101" i="17"/>
  <c r="BO108" i="17"/>
  <c r="BO107" i="17"/>
  <c r="BP94" i="17"/>
  <c r="BP106" i="17"/>
  <c r="BO94" i="17"/>
  <c r="BP107" i="17"/>
  <c r="BP92" i="17"/>
  <c r="BO106" i="17"/>
  <c r="BP104" i="17"/>
  <c r="BP97" i="17"/>
  <c r="BO96" i="17"/>
  <c r="BP99" i="17"/>
  <c r="BP96" i="17"/>
  <c r="BO102" i="17"/>
  <c r="BP91" i="17"/>
  <c r="BO104" i="17"/>
  <c r="BO98" i="17"/>
  <c r="BP101" i="17"/>
  <c r="BO109" i="17"/>
  <c r="BO103" i="17"/>
  <c r="BR99" i="17"/>
  <c r="BN97" i="17"/>
  <c r="BP102" i="17"/>
  <c r="BP103" i="17"/>
  <c r="BP109" i="17"/>
  <c r="BO97" i="17"/>
  <c r="BO99" i="17"/>
  <c r="BP98" i="17"/>
  <c r="BQ108" i="17"/>
  <c r="BR103" i="17"/>
  <c r="BR98" i="17"/>
  <c r="BR97" i="17"/>
  <c r="BR94" i="17"/>
  <c r="BR108" i="17"/>
  <c r="BQ98" i="17"/>
  <c r="BT103" i="17"/>
  <c r="BR107" i="17"/>
  <c r="BQ99" i="17"/>
  <c r="BR96" i="17"/>
  <c r="BQ106" i="17"/>
  <c r="BR91" i="17"/>
  <c r="BQ92" i="17"/>
  <c r="BQ94" i="17"/>
  <c r="BQ96" i="17"/>
  <c r="BR104" i="17"/>
  <c r="BQ101" i="17"/>
  <c r="BR106" i="17"/>
  <c r="BQ97" i="17"/>
  <c r="BQ104" i="17"/>
  <c r="BR101" i="17"/>
  <c r="BR93" i="17"/>
  <c r="BQ91" i="17"/>
  <c r="BQ103" i="17"/>
  <c r="BQ93" i="17"/>
  <c r="BQ102" i="17"/>
  <c r="BQ109" i="17"/>
  <c r="BR92" i="17"/>
  <c r="BQ107" i="17"/>
  <c r="BT101" i="17"/>
  <c r="BS103" i="17"/>
  <c r="BT97" i="17"/>
  <c r="BS96" i="17"/>
  <c r="BS92" i="17"/>
  <c r="BS106" i="17"/>
  <c r="BS94" i="17"/>
  <c r="BS93" i="17"/>
  <c r="BT92" i="17"/>
  <c r="BT109" i="17"/>
  <c r="BR109" i="17"/>
  <c r="BS104" i="17"/>
  <c r="BR102" i="17"/>
  <c r="BS102" i="17"/>
  <c r="BS109" i="17"/>
  <c r="BV93" i="17"/>
  <c r="BS91" i="17"/>
  <c r="BT91" i="17"/>
  <c r="BT102" i="17"/>
  <c r="BT108" i="17"/>
  <c r="BS101" i="17"/>
  <c r="BS108" i="17"/>
  <c r="BS107" i="17"/>
  <c r="BS98" i="17"/>
  <c r="BS99" i="17"/>
  <c r="BS97" i="17"/>
  <c r="BT107" i="17"/>
  <c r="BV97" i="17"/>
  <c r="BV107" i="17"/>
  <c r="BT99" i="17"/>
  <c r="BV96" i="17"/>
  <c r="BT104" i="17"/>
  <c r="BU106" i="17"/>
  <c r="BV94" i="17"/>
  <c r="BV98" i="17"/>
  <c r="BU91" i="17"/>
  <c r="BV104" i="17"/>
  <c r="BT94" i="17"/>
  <c r="BU94" i="17"/>
  <c r="BU99" i="17"/>
  <c r="BU93" i="17"/>
  <c r="BU108" i="17"/>
  <c r="BU96" i="17"/>
  <c r="BV109" i="17"/>
  <c r="BT96" i="17"/>
  <c r="BU102" i="17"/>
  <c r="BV106" i="17"/>
  <c r="BV108" i="17"/>
  <c r="BU97" i="17"/>
  <c r="BU107" i="17"/>
  <c r="BU104" i="17"/>
  <c r="BV101" i="17"/>
  <c r="BU101" i="17"/>
  <c r="BU98" i="17"/>
  <c r="BV91" i="17"/>
  <c r="BU103" i="17"/>
  <c r="BT93" i="17"/>
  <c r="BV103" i="17"/>
  <c r="BT106" i="17"/>
  <c r="BV92" i="17"/>
  <c r="BU109" i="17"/>
  <c r="BT98" i="17"/>
  <c r="BU92" i="17"/>
  <c r="BV99" i="17"/>
  <c r="BX91" i="17"/>
  <c r="BV102" i="17"/>
  <c r="BW103" i="17"/>
  <c r="BW93" i="17"/>
  <c r="BX103" i="17"/>
  <c r="BX97" i="17"/>
  <c r="BW98" i="17"/>
  <c r="BW91" i="17"/>
  <c r="BW106" i="17"/>
  <c r="BW101" i="17"/>
  <c r="BW102" i="17"/>
  <c r="BX99" i="17"/>
  <c r="BW109" i="17"/>
  <c r="BX94" i="17"/>
  <c r="BZ106" i="17"/>
  <c r="BW108" i="17"/>
  <c r="BW96" i="17"/>
  <c r="BX104" i="17"/>
  <c r="BW104" i="17"/>
  <c r="BX93" i="17"/>
  <c r="BW99" i="17"/>
  <c r="BW92" i="17"/>
  <c r="BW94" i="17"/>
  <c r="BX108" i="17"/>
  <c r="BW107" i="17"/>
  <c r="BW97" i="17"/>
  <c r="BZ92" i="17"/>
  <c r="BY103" i="17"/>
  <c r="BX102" i="17"/>
  <c r="BY96" i="17"/>
  <c r="BY107" i="17"/>
  <c r="BZ98" i="17"/>
  <c r="BY94" i="17"/>
  <c r="BZ104" i="17"/>
  <c r="BZ102" i="17"/>
  <c r="BY101" i="17"/>
  <c r="BZ96" i="17"/>
  <c r="BZ108" i="17"/>
  <c r="BY93" i="17"/>
  <c r="BY91" i="17"/>
  <c r="BY106" i="17"/>
  <c r="BZ109" i="17"/>
  <c r="BY102" i="17"/>
  <c r="BY97" i="17"/>
  <c r="BY109" i="17"/>
  <c r="BX92" i="17"/>
  <c r="BX96" i="17"/>
  <c r="BY98" i="17"/>
  <c r="BX101" i="17"/>
  <c r="BZ93" i="17"/>
  <c r="BY108" i="17"/>
  <c r="CB91" i="17"/>
  <c r="BZ99" i="17"/>
  <c r="BX98" i="17"/>
  <c r="BZ91" i="17"/>
  <c r="BX106" i="17"/>
  <c r="BZ94" i="17"/>
  <c r="BZ97" i="17"/>
  <c r="BZ103" i="17"/>
  <c r="BZ101" i="17"/>
  <c r="BX107" i="17"/>
  <c r="BY104" i="17"/>
  <c r="BY99" i="17"/>
  <c r="BY92" i="17"/>
  <c r="BZ107" i="17"/>
  <c r="BX109" i="17"/>
  <c r="CB93" i="17"/>
  <c r="CA102" i="17"/>
  <c r="CB106" i="17"/>
  <c r="CA94" i="17"/>
  <c r="CB102" i="17"/>
  <c r="CA103" i="17"/>
  <c r="CA99" i="17"/>
  <c r="CA108" i="17"/>
  <c r="CB107" i="17"/>
  <c r="CB101" i="17"/>
  <c r="CB92" i="17"/>
  <c r="CA91" i="17"/>
  <c r="CB99" i="17"/>
  <c r="CB103" i="17"/>
  <c r="CA106" i="17"/>
  <c r="CA101" i="17"/>
  <c r="CB98" i="17"/>
  <c r="CB94" i="17"/>
  <c r="CB108" i="17"/>
  <c r="CD101" i="17"/>
  <c r="CA107" i="17"/>
  <c r="CA109" i="17"/>
  <c r="CA97" i="17"/>
  <c r="CA104" i="17"/>
  <c r="CA96" i="17"/>
  <c r="CA92" i="17"/>
  <c r="CA93" i="17"/>
  <c r="CA98" i="17"/>
  <c r="CB104" i="17"/>
  <c r="CB96" i="17"/>
  <c r="CC108" i="17"/>
  <c r="CC98" i="17"/>
  <c r="CD93" i="17"/>
  <c r="CC97" i="17"/>
  <c r="CD104" i="17"/>
  <c r="CC96" i="17"/>
  <c r="CC106" i="17"/>
  <c r="CD106" i="17"/>
  <c r="CC101" i="17"/>
  <c r="CC99" i="17"/>
  <c r="CC107" i="17"/>
  <c r="CC109" i="17"/>
  <c r="CD91" i="17"/>
  <c r="CC91" i="17"/>
  <c r="CB97" i="17"/>
  <c r="CD103" i="17"/>
  <c r="CB109" i="17"/>
  <c r="CC92" i="17"/>
  <c r="CD98" i="17"/>
  <c r="CF108" i="17"/>
  <c r="CC102" i="17"/>
  <c r="CC103" i="17"/>
  <c r="CD99" i="17"/>
  <c r="CC94" i="17"/>
  <c r="CC93" i="17"/>
  <c r="CC104" i="17"/>
  <c r="CE106" i="17"/>
  <c r="CE91" i="17"/>
  <c r="CD109" i="17"/>
  <c r="CF107" i="17"/>
  <c r="CE104" i="17"/>
  <c r="CD107" i="17"/>
  <c r="CD96" i="17"/>
  <c r="CE103" i="17"/>
  <c r="CF99" i="17"/>
  <c r="CF101" i="17"/>
  <c r="CE102" i="17"/>
  <c r="CH94" i="17"/>
  <c r="CE94" i="17"/>
  <c r="CF96" i="17"/>
  <c r="CF106" i="17"/>
  <c r="CD92" i="17"/>
  <c r="CF92" i="17"/>
  <c r="CE92" i="17"/>
  <c r="CF103" i="17"/>
  <c r="CF109" i="17"/>
  <c r="CE98" i="17"/>
  <c r="CE93" i="17"/>
  <c r="CD94" i="17"/>
  <c r="CF98" i="17"/>
  <c r="CE96" i="17"/>
  <c r="CE99" i="17"/>
  <c r="CF104" i="17"/>
  <c r="CF102" i="17"/>
  <c r="CD108" i="17"/>
  <c r="CD102" i="17"/>
  <c r="CE109" i="17"/>
  <c r="CE101" i="17"/>
  <c r="CE108" i="17"/>
  <c r="CF97" i="17"/>
  <c r="CE107" i="17"/>
  <c r="CD97" i="17"/>
  <c r="CE97" i="17"/>
  <c r="CF91" i="17"/>
  <c r="CF94" i="17"/>
  <c r="CG96" i="17"/>
  <c r="CG103" i="17"/>
  <c r="CG101" i="17"/>
  <c r="CH107" i="17"/>
  <c r="CG92" i="17"/>
  <c r="CF93" i="17"/>
  <c r="CG106" i="17"/>
  <c r="CG99" i="17"/>
  <c r="CG108" i="17"/>
  <c r="CG104" i="17"/>
  <c r="CH102" i="17"/>
  <c r="CG98" i="17"/>
  <c r="CG93" i="17"/>
  <c r="CG102" i="17"/>
  <c r="CH103" i="17"/>
  <c r="CJ108" i="17"/>
  <c r="CH101" i="17"/>
  <c r="CG109" i="17"/>
  <c r="CG107" i="17"/>
  <c r="CG94" i="17"/>
  <c r="CH96" i="17"/>
  <c r="CG91" i="17"/>
  <c r="CH98" i="17"/>
  <c r="CG97" i="17"/>
  <c r="CI91" i="17"/>
  <c r="CJ97" i="17"/>
  <c r="CH108" i="17"/>
  <c r="CI104" i="17"/>
  <c r="CI102" i="17"/>
  <c r="CI101" i="17"/>
  <c r="CI109" i="17"/>
  <c r="CH97" i="17"/>
  <c r="CH91" i="17"/>
  <c r="CI99" i="17"/>
  <c r="CH106" i="17"/>
  <c r="CI92" i="17"/>
  <c r="CI106" i="17"/>
  <c r="CH104" i="17"/>
  <c r="CH93" i="17"/>
  <c r="CI97" i="17"/>
  <c r="CJ101" i="17"/>
  <c r="CL99" i="17"/>
  <c r="CI96" i="17"/>
  <c r="CJ109" i="17"/>
  <c r="CI93" i="17"/>
  <c r="CJ92" i="17"/>
  <c r="CJ94" i="17"/>
  <c r="CI107" i="17"/>
  <c r="CH109" i="17"/>
  <c r="CI108" i="17"/>
  <c r="CI94" i="17"/>
  <c r="CI103" i="17"/>
  <c r="CH99" i="17"/>
  <c r="CH92" i="17"/>
  <c r="CI98" i="17"/>
  <c r="CK102" i="17"/>
  <c r="CL109" i="17"/>
  <c r="CK94" i="17"/>
  <c r="CL101" i="17"/>
  <c r="CK96" i="17"/>
  <c r="CK109" i="17"/>
  <c r="CN108" i="17"/>
  <c r="CK91" i="17"/>
  <c r="CJ102" i="17"/>
  <c r="CL97" i="17"/>
  <c r="CL92" i="17"/>
  <c r="CJ107" i="17"/>
  <c r="CL96" i="17"/>
  <c r="CJ96" i="17"/>
  <c r="CL108" i="17"/>
  <c r="CL103" i="17"/>
  <c r="CJ91" i="17"/>
  <c r="CK93" i="17"/>
  <c r="CK92" i="17"/>
  <c r="CL107" i="17"/>
  <c r="CJ106" i="17"/>
  <c r="CL102" i="17"/>
  <c r="CL93" i="17"/>
  <c r="CJ99" i="17"/>
  <c r="CJ98" i="17"/>
  <c r="CK108" i="17"/>
  <c r="CL91" i="17"/>
  <c r="CK101" i="17"/>
  <c r="CK97" i="17"/>
  <c r="CJ103" i="17"/>
  <c r="CK99" i="17"/>
  <c r="CJ93" i="17"/>
  <c r="CJ104" i="17"/>
  <c r="CL98" i="17"/>
  <c r="CK104" i="17"/>
  <c r="CK103" i="17"/>
  <c r="CK106" i="17"/>
  <c r="CL106" i="17"/>
  <c r="CL104" i="17"/>
  <c r="CK98" i="17"/>
  <c r="CL94" i="17"/>
  <c r="CK107" i="17"/>
  <c r="CM97" i="17"/>
  <c r="CM98" i="17"/>
  <c r="CM101" i="17"/>
  <c r="CM91" i="17"/>
  <c r="CM93" i="17"/>
  <c r="CP107" i="17"/>
  <c r="CM107" i="17"/>
  <c r="CN103" i="17"/>
  <c r="CN96" i="17"/>
  <c r="CM103" i="17"/>
  <c r="CM92" i="17"/>
  <c r="CN106" i="17"/>
  <c r="CM104" i="17"/>
  <c r="CN94" i="17"/>
  <c r="CM108" i="17"/>
  <c r="CN104" i="17"/>
  <c r="CM94" i="17"/>
  <c r="CM96" i="17"/>
  <c r="CM106" i="17"/>
  <c r="CN97" i="17"/>
  <c r="CM109" i="17"/>
  <c r="CM99" i="17"/>
  <c r="CN101" i="17"/>
  <c r="CM102" i="17"/>
  <c r="CN99" i="17"/>
  <c r="CN92" i="17"/>
  <c r="CO106" i="17"/>
  <c r="CP108" i="17"/>
  <c r="CO101" i="17"/>
  <c r="CP92" i="17"/>
  <c r="CN91" i="17"/>
  <c r="CO103" i="17"/>
  <c r="CO93" i="17"/>
  <c r="CO98" i="17"/>
  <c r="CN102" i="17"/>
  <c r="CP106" i="17"/>
  <c r="CO107" i="17"/>
  <c r="CN107" i="17"/>
  <c r="CN109" i="17"/>
  <c r="CN98" i="17"/>
  <c r="CP96" i="17"/>
  <c r="CO97" i="17"/>
  <c r="CN93" i="17"/>
  <c r="CP91" i="17"/>
  <c r="CP97" i="17"/>
  <c r="CP94" i="17"/>
  <c r="CO102" i="17"/>
  <c r="CP103" i="17"/>
  <c r="CP99" i="17"/>
  <c r="CO104" i="17"/>
  <c r="CP98" i="17"/>
  <c r="CO96" i="17"/>
  <c r="CO94" i="17"/>
  <c r="CO108" i="17"/>
  <c r="CP93" i="17"/>
  <c r="CR108" i="17"/>
  <c r="CO99" i="17"/>
  <c r="CO109" i="17"/>
  <c r="CO91" i="17"/>
  <c r="CP109" i="17"/>
  <c r="CO92" i="17"/>
  <c r="CP104" i="17"/>
  <c r="CQ106" i="17"/>
  <c r="CQ97" i="17"/>
  <c r="CQ96" i="17"/>
  <c r="CP102" i="17"/>
  <c r="CR101" i="17"/>
  <c r="CT106" i="17"/>
  <c r="CR104" i="17"/>
  <c r="CQ93" i="17"/>
  <c r="CR92" i="17"/>
  <c r="CR99" i="17"/>
  <c r="CQ91" i="17"/>
  <c r="CQ98" i="17"/>
  <c r="CR103" i="17"/>
  <c r="CQ103" i="17"/>
  <c r="CR107" i="17"/>
  <c r="CQ107" i="17"/>
  <c r="CR106" i="17"/>
  <c r="CQ99" i="17"/>
  <c r="CR102" i="17"/>
  <c r="CQ102" i="17"/>
  <c r="CQ108" i="17"/>
  <c r="CQ109" i="17"/>
  <c r="CQ101" i="17"/>
  <c r="CR96" i="17"/>
  <c r="CP101" i="17"/>
  <c r="CQ92" i="17"/>
  <c r="CQ94" i="17"/>
  <c r="CQ104" i="17"/>
  <c r="CR97" i="17"/>
  <c r="CS91" i="17"/>
  <c r="CT102" i="17"/>
  <c r="CS99" i="17"/>
  <c r="CS104" i="17"/>
  <c r="CS106" i="17"/>
  <c r="CS97" i="17"/>
  <c r="CR93" i="17"/>
  <c r="CT107" i="17"/>
  <c r="CS96" i="17"/>
  <c r="CV93" i="17"/>
  <c r="CS93" i="17"/>
  <c r="CT98" i="17"/>
  <c r="CS103" i="17"/>
  <c r="CT93" i="17"/>
  <c r="CR109" i="17"/>
  <c r="CT97" i="17"/>
  <c r="CS107" i="17"/>
  <c r="CS92" i="17"/>
  <c r="CR91" i="17"/>
  <c r="CT99" i="17"/>
  <c r="CR98" i="17"/>
  <c r="CS101" i="17"/>
  <c r="CT101" i="17"/>
  <c r="CS94" i="17"/>
  <c r="CT96" i="17"/>
  <c r="CS102" i="17"/>
  <c r="CT109" i="17"/>
  <c r="CS98" i="17"/>
  <c r="CT91" i="17"/>
  <c r="CR94" i="17"/>
  <c r="CS109" i="17"/>
  <c r="CT104" i="17"/>
  <c r="CS108" i="17"/>
  <c r="CV106" i="17"/>
  <c r="CV102" i="17"/>
  <c r="CT108" i="17"/>
  <c r="CX103" i="17"/>
  <c r="CU91" i="17"/>
  <c r="CT94" i="17"/>
  <c r="CU101" i="17"/>
  <c r="CT103" i="17"/>
  <c r="CU93" i="17"/>
  <c r="CU99" i="17"/>
  <c r="CV98" i="17"/>
  <c r="CV104" i="17"/>
  <c r="CU97" i="17"/>
  <c r="CU102" i="17"/>
  <c r="CV91" i="17"/>
  <c r="CU109" i="17"/>
  <c r="CV99" i="17"/>
  <c r="CU98" i="17"/>
  <c r="CV108" i="17"/>
  <c r="CV103" i="17"/>
  <c r="CV97" i="17"/>
  <c r="CU108" i="17"/>
  <c r="CU96" i="17"/>
  <c r="CT92" i="17"/>
  <c r="CU106" i="17"/>
  <c r="CU103" i="17"/>
  <c r="CU94" i="17"/>
  <c r="CU107" i="17"/>
  <c r="CV101" i="17"/>
  <c r="CV92" i="17"/>
  <c r="CU104" i="17"/>
  <c r="CV96" i="17"/>
  <c r="CU92" i="17"/>
  <c r="CV94" i="17"/>
  <c r="CW104" i="17"/>
  <c r="CX109" i="17"/>
  <c r="CX108" i="17"/>
  <c r="CZ96" i="17"/>
  <c r="CW94" i="17"/>
  <c r="CW101" i="17"/>
  <c r="CW93" i="17"/>
  <c r="CW107" i="17"/>
  <c r="CW91" i="17"/>
  <c r="CV109" i="17"/>
  <c r="CW108" i="17"/>
  <c r="CW103" i="17"/>
  <c r="CX92" i="17"/>
  <c r="CX107" i="17"/>
  <c r="CW102" i="17"/>
  <c r="CW109" i="17"/>
  <c r="CW106" i="17"/>
  <c r="CX102" i="17"/>
  <c r="CW92" i="17"/>
  <c r="CX101" i="17"/>
  <c r="CW99" i="17"/>
  <c r="CW96" i="17"/>
  <c r="CW97" i="17"/>
  <c r="CX91" i="17"/>
  <c r="CX93" i="17"/>
  <c r="CV107" i="17"/>
  <c r="CX99" i="17"/>
  <c r="CW98" i="17"/>
  <c r="CZ104" i="17"/>
  <c r="CY102" i="17"/>
  <c r="CY101" i="17"/>
  <c r="CX106" i="17"/>
  <c r="CY97" i="17"/>
  <c r="CY104" i="17"/>
  <c r="CY96" i="17"/>
  <c r="CZ107" i="17"/>
  <c r="CY106" i="17"/>
  <c r="CX96" i="17"/>
  <c r="CY103" i="17"/>
  <c r="CZ101" i="17"/>
  <c r="CZ103" i="17"/>
  <c r="CY94" i="17"/>
  <c r="CY93" i="17"/>
  <c r="CX104" i="17"/>
  <c r="CZ97" i="17"/>
  <c r="CY109" i="17"/>
  <c r="CZ102" i="17"/>
  <c r="CY98" i="17"/>
  <c r="CY107" i="17"/>
  <c r="CX98" i="17"/>
  <c r="CZ93" i="17"/>
  <c r="CY91" i="17"/>
  <c r="DB101" i="17"/>
  <c r="CX97" i="17"/>
  <c r="CY92" i="17"/>
  <c r="CZ99" i="17"/>
  <c r="CY99" i="17"/>
  <c r="CY108" i="17"/>
  <c r="CX94" i="17"/>
  <c r="CZ98" i="17"/>
  <c r="DB109" i="17"/>
  <c r="DB108" i="17"/>
  <c r="CZ109" i="17"/>
  <c r="DB106" i="17"/>
  <c r="DA94" i="17"/>
  <c r="DB104" i="17"/>
  <c r="DA106" i="17"/>
  <c r="DB91" i="17"/>
  <c r="DB102" i="17"/>
  <c r="CZ106" i="17"/>
  <c r="CZ91" i="17"/>
  <c r="DA93" i="17"/>
  <c r="DA99" i="17"/>
  <c r="DA92" i="17"/>
  <c r="DA98" i="17"/>
  <c r="DB93" i="17"/>
  <c r="DB92" i="17"/>
  <c r="DB94" i="17"/>
  <c r="DB98" i="17"/>
  <c r="DB103" i="17"/>
  <c r="CZ94" i="17"/>
  <c r="DB96" i="17"/>
  <c r="DA101" i="17"/>
  <c r="DA107" i="17"/>
  <c r="DA103" i="17"/>
  <c r="DA96" i="17"/>
  <c r="DA91" i="17"/>
  <c r="DA104" i="17"/>
  <c r="DA102" i="17"/>
  <c r="DA97" i="17"/>
  <c r="CZ108" i="17"/>
  <c r="DB107" i="17"/>
  <c r="DA108" i="17"/>
  <c r="DA109" i="17"/>
  <c r="DB99" i="17"/>
  <c r="CZ92" i="17"/>
  <c r="DD102" i="17"/>
  <c r="DD96" i="17"/>
  <c r="DC96" i="17"/>
  <c r="DC99" i="17"/>
  <c r="DC108" i="17"/>
  <c r="DC97" i="17"/>
  <c r="DD97" i="17"/>
  <c r="DC103" i="17"/>
  <c r="DD94" i="17"/>
  <c r="DD106" i="17"/>
  <c r="DD108" i="17"/>
  <c r="DC91" i="17"/>
  <c r="DC107" i="17"/>
  <c r="DC101" i="17"/>
  <c r="DC104" i="17"/>
  <c r="DD98" i="17"/>
  <c r="DD92" i="17"/>
  <c r="DC98" i="17"/>
  <c r="DB97" i="17"/>
  <c r="DC109" i="17"/>
  <c r="DC102" i="17"/>
  <c r="DC93" i="17"/>
  <c r="DD99" i="17"/>
  <c r="DD101" i="17"/>
  <c r="DC106" i="17"/>
  <c r="DD91" i="17"/>
  <c r="DC92" i="17"/>
  <c r="DC94" i="17"/>
  <c r="DD109" i="17"/>
  <c r="DD107" i="17"/>
  <c r="DE101" i="17"/>
  <c r="DF93" i="17"/>
  <c r="DE99" i="17"/>
  <c r="DD93" i="17"/>
  <c r="DF97" i="17"/>
  <c r="DH103" i="17"/>
  <c r="DE98" i="17"/>
  <c r="DF96" i="17"/>
  <c r="DF108" i="17"/>
  <c r="DE96" i="17"/>
  <c r="DF99" i="17"/>
  <c r="DF91" i="17"/>
  <c r="DF107" i="17"/>
  <c r="DF102" i="17"/>
  <c r="DE91" i="17"/>
  <c r="DD103" i="17"/>
  <c r="DE107" i="17"/>
  <c r="DE108" i="17"/>
  <c r="DE93" i="17"/>
  <c r="DF103" i="17"/>
  <c r="DE109" i="17"/>
  <c r="DE102" i="17"/>
  <c r="DF106" i="17"/>
  <c r="DF101" i="17"/>
  <c r="DF109" i="17"/>
  <c r="DE92" i="17"/>
  <c r="DF98" i="17"/>
  <c r="DF104" i="17"/>
  <c r="DE104" i="17"/>
  <c r="DE97" i="17"/>
  <c r="DE94" i="17"/>
  <c r="DD104" i="17"/>
  <c r="DF92" i="17"/>
  <c r="DF94" i="17"/>
  <c r="DE103" i="17"/>
  <c r="DE106" i="17"/>
  <c r="DG93" i="17"/>
  <c r="DG109" i="17"/>
  <c r="DG103" i="17"/>
  <c r="DH97" i="17"/>
  <c r="DG96" i="17"/>
  <c r="DH92" i="17"/>
  <c r="DG108" i="17"/>
  <c r="DG99" i="17"/>
  <c r="DG106" i="17"/>
  <c r="DH106" i="17"/>
  <c r="DH96" i="17"/>
  <c r="DH108" i="17"/>
  <c r="DJ99" i="17"/>
  <c r="DG102" i="17"/>
  <c r="DH91" i="17"/>
  <c r="DG92" i="17"/>
  <c r="DG91" i="17"/>
  <c r="DG101" i="17"/>
  <c r="DH98" i="17"/>
  <c r="DG107" i="17"/>
  <c r="DG94" i="17"/>
  <c r="DG98" i="17"/>
  <c r="DH109" i="17"/>
  <c r="DG97" i="17"/>
  <c r="DH99" i="17"/>
  <c r="DH94" i="17"/>
  <c r="DG104" i="17"/>
  <c r="DH93" i="17"/>
  <c r="DL93" i="17"/>
  <c r="DH101" i="17"/>
  <c r="DI98" i="17"/>
  <c r="DI97" i="17"/>
  <c r="DJ108" i="17"/>
  <c r="DJ91" i="17"/>
  <c r="DJ101" i="17"/>
  <c r="DJ96" i="17"/>
  <c r="DJ102" i="17"/>
  <c r="DI94" i="17"/>
  <c r="DJ92" i="17"/>
  <c r="DH107" i="17"/>
  <c r="DH104" i="17"/>
  <c r="DI101" i="17"/>
  <c r="DI108" i="17"/>
  <c r="DI103" i="17"/>
  <c r="DI106" i="17"/>
  <c r="DI102" i="17"/>
  <c r="DI99" i="17"/>
  <c r="DJ103" i="17"/>
  <c r="DI93" i="17"/>
  <c r="DJ97" i="17"/>
  <c r="DJ98" i="17"/>
  <c r="DI107" i="17"/>
  <c r="DJ93" i="17"/>
  <c r="DI96" i="17"/>
  <c r="DI104" i="17"/>
  <c r="DJ107" i="17"/>
  <c r="DJ109" i="17"/>
  <c r="DH102" i="17"/>
  <c r="DJ106" i="17"/>
  <c r="DI91" i="17"/>
  <c r="DJ94" i="17"/>
  <c r="DI92" i="17"/>
  <c r="DI109" i="17"/>
  <c r="DJ104" i="17"/>
  <c r="DL106" i="17"/>
  <c r="DK99" i="17"/>
  <c r="DL101" i="17"/>
  <c r="DL99" i="17"/>
  <c r="DK107" i="17"/>
  <c r="DN91" i="17"/>
  <c r="DK104" i="17"/>
  <c r="DK97" i="17"/>
  <c r="DK101" i="17"/>
  <c r="DL94" i="17"/>
  <c r="DK96" i="17"/>
  <c r="DK98" i="17"/>
  <c r="DK94" i="17"/>
  <c r="DK106" i="17"/>
  <c r="DK91" i="17"/>
  <c r="DK109" i="17"/>
  <c r="DL104" i="17"/>
  <c r="DL108" i="17"/>
  <c r="DK92" i="17"/>
  <c r="DK93" i="17"/>
  <c r="DK108" i="17"/>
  <c r="DK102" i="17"/>
  <c r="DK103" i="17"/>
  <c r="DN109" i="17"/>
  <c r="DM91" i="17"/>
  <c r="DN102" i="17"/>
  <c r="DN97" i="17"/>
  <c r="DL109" i="17"/>
  <c r="DL96" i="17"/>
  <c r="DM104" i="17"/>
  <c r="DN106" i="17"/>
  <c r="DM106" i="17"/>
  <c r="DN98" i="17"/>
  <c r="DL97" i="17"/>
  <c r="DL102" i="17"/>
  <c r="DM97" i="17"/>
  <c r="DM102" i="17"/>
  <c r="DN104" i="17"/>
  <c r="DL103" i="17"/>
  <c r="DL107" i="17"/>
  <c r="DN93" i="17"/>
  <c r="DN107" i="17"/>
  <c r="DN94" i="17"/>
  <c r="DM108" i="17"/>
  <c r="DM98" i="17"/>
  <c r="DN101" i="17"/>
  <c r="DM103" i="17"/>
  <c r="DL92" i="17"/>
  <c r="DM101" i="17"/>
  <c r="DM107" i="17"/>
  <c r="DM93" i="17"/>
  <c r="DN96" i="17"/>
  <c r="DN99" i="17"/>
  <c r="DM96" i="17"/>
  <c r="DN108" i="17"/>
  <c r="DM99" i="17"/>
  <c r="DM92" i="17"/>
  <c r="DN92" i="17"/>
  <c r="DL98" i="17"/>
  <c r="DL91" i="17"/>
  <c r="DM109" i="17"/>
  <c r="DP99" i="17"/>
  <c r="DN103" i="17"/>
  <c r="DM94" i="17"/>
  <c r="DO93" i="17"/>
  <c r="DP103" i="17"/>
  <c r="DR107" i="17"/>
  <c r="DO94" i="17"/>
  <c r="DO103" i="17"/>
  <c r="DP106" i="17"/>
  <c r="DP109" i="17"/>
  <c r="DO92" i="17"/>
  <c r="DO106" i="17"/>
  <c r="DO101" i="17"/>
  <c r="DP108" i="17"/>
  <c r="DO109" i="17"/>
  <c r="DP98" i="17"/>
  <c r="DO91" i="17"/>
  <c r="DP102" i="17"/>
  <c r="DP104" i="17"/>
  <c r="DP94" i="17"/>
  <c r="DO99" i="17"/>
  <c r="DP107" i="17"/>
  <c r="DP101" i="17"/>
  <c r="DO104" i="17"/>
  <c r="DO102" i="17"/>
  <c r="DO108" i="17"/>
  <c r="DO107" i="17"/>
  <c r="DO96" i="17"/>
  <c r="DP92" i="17"/>
  <c r="DP91" i="17"/>
  <c r="DP96" i="17"/>
  <c r="DP93" i="17"/>
  <c r="DO98" i="17"/>
  <c r="DO97" i="17"/>
  <c r="DP97" i="17"/>
  <c r="DR94" i="17"/>
  <c r="DR104" i="17"/>
  <c r="DR96" i="17"/>
  <c r="DQ97" i="17"/>
  <c r="DT91" i="17"/>
  <c r="DR106" i="17"/>
  <c r="DQ109" i="17"/>
  <c r="DR101" i="17"/>
  <c r="DR97" i="17"/>
  <c r="DQ103" i="17"/>
  <c r="DR109" i="17"/>
  <c r="DR92" i="17"/>
  <c r="DQ102" i="17"/>
  <c r="DQ104" i="17"/>
  <c r="DR102" i="17"/>
  <c r="DQ91" i="17"/>
  <c r="DQ96" i="17"/>
  <c r="DQ101" i="17"/>
  <c r="DQ98" i="17"/>
  <c r="DR91" i="17"/>
  <c r="DR93" i="17"/>
  <c r="DQ107" i="17"/>
  <c r="DQ99" i="17"/>
  <c r="DR103" i="17"/>
  <c r="DR108" i="17"/>
  <c r="DQ106" i="17"/>
  <c r="DQ92" i="17"/>
  <c r="DQ93" i="17"/>
  <c r="DR99" i="17"/>
  <c r="DQ108" i="17"/>
  <c r="DQ94" i="17"/>
  <c r="DV109" i="17"/>
  <c r="DS99" i="17"/>
  <c r="DS109" i="17"/>
  <c r="DT97" i="17"/>
  <c r="DS103" i="17"/>
  <c r="DT94" i="17"/>
  <c r="DT96" i="17"/>
  <c r="DT108" i="17"/>
  <c r="DS93" i="17"/>
  <c r="DR98" i="17"/>
  <c r="DS104" i="17"/>
  <c r="DS108" i="17"/>
  <c r="DS101" i="17"/>
  <c r="DS96" i="17"/>
  <c r="DS94" i="17"/>
  <c r="DS92" i="17"/>
  <c r="DT93" i="17"/>
  <c r="DT101" i="17"/>
  <c r="DT104" i="17"/>
  <c r="DT109" i="17"/>
  <c r="DS97" i="17"/>
  <c r="DS106" i="17"/>
  <c r="DS98" i="17"/>
  <c r="DT107" i="17"/>
  <c r="DT99" i="17"/>
  <c r="DT103" i="17"/>
  <c r="DS91" i="17"/>
  <c r="DS107" i="17"/>
  <c r="DS102" i="17"/>
  <c r="DT102" i="17"/>
  <c r="DU92" i="17"/>
  <c r="DV92" i="17"/>
  <c r="DV107" i="17"/>
  <c r="DU106" i="17"/>
  <c r="DT98" i="17"/>
  <c r="DV91" i="17"/>
  <c r="DV101" i="17"/>
  <c r="DU101" i="17"/>
  <c r="DU102" i="17"/>
  <c r="DU91" i="17"/>
  <c r="DU108" i="17"/>
  <c r="DV98" i="17"/>
  <c r="DT92" i="17"/>
  <c r="DU96" i="17"/>
  <c r="DV102" i="17"/>
  <c r="DV104" i="17"/>
  <c r="DV103" i="17"/>
  <c r="DU97" i="17"/>
  <c r="DV97" i="17"/>
  <c r="DU109" i="17"/>
  <c r="DV93" i="17"/>
  <c r="DV108" i="17"/>
  <c r="DU107" i="17"/>
  <c r="DT106" i="17"/>
  <c r="DU98" i="17"/>
  <c r="DV106" i="17"/>
  <c r="DU94" i="17"/>
  <c r="DV99" i="17"/>
  <c r="DU104" i="17"/>
  <c r="DU103" i="17"/>
  <c r="DV96" i="17"/>
  <c r="DV94" i="17"/>
  <c r="DU99" i="17"/>
  <c r="DU93" i="17"/>
  <c r="N77" i="19"/>
  <c r="C127" i="21" s="1"/>
  <c r="V77" i="19"/>
  <c r="J127" i="21" s="1"/>
  <c r="L101" i="26"/>
  <c r="BJ102" i="26"/>
  <c r="AD106" i="26"/>
  <c r="AP97" i="26"/>
  <c r="BD102" i="26"/>
  <c r="AT94" i="26"/>
  <c r="AE99" i="26"/>
  <c r="AY109" i="26"/>
  <c r="AW91" i="26"/>
  <c r="BA106" i="26"/>
  <c r="V96" i="26"/>
  <c r="N192" i="32" s="1"/>
  <c r="U96" i="26"/>
  <c r="M192" i="32" s="1"/>
  <c r="AC96" i="26"/>
  <c r="AK96" i="26"/>
  <c r="AY93" i="26"/>
  <c r="BF107" i="26"/>
  <c r="AB98" i="26"/>
  <c r="AU94" i="26"/>
  <c r="AM103" i="26"/>
  <c r="P97" i="26"/>
  <c r="N101" i="26"/>
  <c r="T96" i="26"/>
  <c r="L192" i="32" s="1"/>
  <c r="Z104" i="26"/>
  <c r="R96" i="26"/>
  <c r="J192" i="32" s="1"/>
  <c r="AH94" i="26"/>
  <c r="AX99" i="26"/>
  <c r="AA101" i="26"/>
  <c r="AU97" i="26"/>
  <c r="BE98" i="26"/>
  <c r="X96" i="26"/>
  <c r="P96" i="26"/>
  <c r="H192" i="32" s="1"/>
  <c r="BJ98" i="26"/>
  <c r="AA104" i="26"/>
  <c r="BE99" i="26"/>
  <c r="AK109" i="26"/>
  <c r="Z107" i="26"/>
  <c r="AO103" i="26"/>
  <c r="BH108" i="26"/>
  <c r="BD93" i="26"/>
  <c r="AR96" i="26"/>
  <c r="AX94" i="26"/>
  <c r="AA108" i="26"/>
  <c r="AV102" i="26"/>
  <c r="AE108" i="26"/>
  <c r="AB94" i="26"/>
  <c r="AQ93" i="26"/>
  <c r="AI104" i="26"/>
  <c r="AV106" i="26"/>
  <c r="AE91" i="26"/>
  <c r="AP107" i="26"/>
  <c r="AJ96" i="26"/>
  <c r="Y109" i="26"/>
  <c r="AC109" i="26"/>
  <c r="AN98" i="26"/>
  <c r="AS109" i="26"/>
  <c r="AM101" i="26"/>
  <c r="AI96" i="26"/>
  <c r="AO96" i="26"/>
  <c r="BC101" i="26"/>
  <c r="AI102" i="26"/>
  <c r="AY104" i="26"/>
  <c r="Y97" i="26"/>
  <c r="AA97" i="26"/>
  <c r="BH107" i="26"/>
  <c r="AA107" i="26"/>
  <c r="N96" i="26"/>
  <c r="F192" i="32" s="1"/>
  <c r="O101" i="26"/>
  <c r="AQ94" i="26"/>
  <c r="BB93" i="26"/>
  <c r="AR103" i="26"/>
  <c r="S97" i="26"/>
  <c r="AH92" i="26"/>
  <c r="AN104" i="26"/>
  <c r="AI92" i="26"/>
  <c r="AZ106" i="26"/>
  <c r="BB94" i="26"/>
  <c r="BI108" i="26"/>
  <c r="AP109" i="26"/>
  <c r="AE104" i="26"/>
  <c r="AU109" i="26"/>
  <c r="BA107" i="26"/>
  <c r="AH109" i="26"/>
  <c r="AL102" i="26"/>
  <c r="AP99" i="26"/>
  <c r="BJ91" i="26"/>
  <c r="BC94" i="26"/>
  <c r="AH99" i="26"/>
  <c r="AB91" i="26"/>
  <c r="BG94" i="26"/>
  <c r="AC93" i="26"/>
  <c r="AV94" i="26"/>
  <c r="AV104" i="26"/>
  <c r="BC91" i="26"/>
  <c r="BJ92" i="26"/>
  <c r="AG108" i="26"/>
  <c r="AO109" i="26"/>
  <c r="AT103" i="26"/>
  <c r="BB103" i="26"/>
  <c r="AK104" i="26"/>
  <c r="AS106" i="26"/>
  <c r="AG96" i="26"/>
  <c r="AN107" i="26"/>
  <c r="Y108" i="26"/>
  <c r="AM91" i="26"/>
  <c r="AY102" i="26"/>
  <c r="BC109" i="26"/>
  <c r="N97" i="26"/>
  <c r="M96" i="26"/>
  <c r="E192" i="32" s="1"/>
  <c r="AN108" i="26"/>
  <c r="AX102" i="26"/>
  <c r="AJ101" i="26"/>
  <c r="BH92" i="26"/>
  <c r="BH91" i="26"/>
  <c r="BD109" i="26"/>
  <c r="BB104" i="26"/>
  <c r="BF92" i="26"/>
  <c r="AR104" i="26"/>
  <c r="AM97" i="26"/>
  <c r="AK93" i="26"/>
  <c r="AO102" i="26"/>
  <c r="AR106" i="26"/>
  <c r="AJ107" i="26"/>
  <c r="AK99" i="26"/>
  <c r="BJ107" i="26"/>
  <c r="AV98" i="26"/>
  <c r="BJ108" i="26"/>
  <c r="AQ108" i="26"/>
  <c r="BI109" i="26"/>
  <c r="AB104" i="26"/>
  <c r="AE98" i="26"/>
  <c r="BD101" i="26"/>
  <c r="BJ99" i="26"/>
  <c r="AV91" i="26"/>
  <c r="AE103" i="26"/>
  <c r="AK106" i="26"/>
  <c r="AO101" i="26"/>
  <c r="AL98" i="26"/>
  <c r="AW98" i="26"/>
  <c r="AQ102" i="26"/>
  <c r="AF103" i="26"/>
  <c r="AQ97" i="26"/>
  <c r="BB99" i="26"/>
  <c r="BA94" i="26"/>
  <c r="AN99" i="26"/>
  <c r="AT92" i="26"/>
  <c r="Q101" i="26"/>
  <c r="AZ98" i="26"/>
  <c r="AP101" i="26"/>
  <c r="BF101" i="26"/>
  <c r="AQ101" i="26"/>
  <c r="AM108" i="26"/>
  <c r="Z96" i="26"/>
  <c r="AV101" i="26"/>
  <c r="AD109" i="26"/>
  <c r="AT91" i="26"/>
  <c r="AZ96" i="26"/>
  <c r="BC106" i="26"/>
  <c r="AW106" i="26"/>
  <c r="BC102" i="26"/>
  <c r="AY94" i="26"/>
  <c r="AL108" i="26"/>
  <c r="AV109" i="26"/>
  <c r="BI97" i="26"/>
  <c r="AS96" i="26"/>
  <c r="AI103" i="26"/>
  <c r="AI108" i="26"/>
  <c r="BI99" i="26"/>
  <c r="W101" i="26"/>
  <c r="AL107" i="26"/>
  <c r="BH104" i="26"/>
  <c r="BA92" i="26"/>
  <c r="AE106" i="26"/>
  <c r="AB106" i="26"/>
  <c r="AD103" i="26"/>
  <c r="AL94" i="26"/>
  <c r="AF106" i="26"/>
  <c r="AI109" i="26"/>
  <c r="AB108" i="26"/>
  <c r="AQ91" i="26"/>
  <c r="AL106" i="26"/>
  <c r="BH98" i="26"/>
  <c r="BG101" i="26"/>
  <c r="AF101" i="26"/>
  <c r="AM109" i="26"/>
  <c r="AZ92" i="26"/>
  <c r="AX107" i="26"/>
  <c r="AO97" i="26"/>
  <c r="Y106" i="26"/>
  <c r="AJ104" i="26"/>
  <c r="X101" i="26"/>
  <c r="AS97" i="26"/>
  <c r="AX92" i="26"/>
  <c r="AM92" i="26"/>
  <c r="BH102" i="26"/>
  <c r="AB92" i="26"/>
  <c r="AA92" i="26"/>
  <c r="AV97" i="26"/>
  <c r="AS103" i="26"/>
  <c r="BB106" i="26"/>
  <c r="AH101" i="26"/>
  <c r="BI107" i="26"/>
  <c r="AF104" i="26"/>
  <c r="AK98" i="26"/>
  <c r="Z99" i="26"/>
  <c r="AB102" i="26"/>
  <c r="AY107" i="26"/>
  <c r="BA91" i="26"/>
  <c r="P101" i="26"/>
  <c r="BC103" i="26"/>
  <c r="AL101" i="26"/>
  <c r="AZ103" i="26"/>
  <c r="BE104" i="26"/>
  <c r="AY98" i="26"/>
  <c r="AK91" i="26"/>
  <c r="AF108" i="26"/>
  <c r="AJ92" i="26"/>
  <c r="O97" i="26"/>
  <c r="Z92" i="26"/>
  <c r="AH96" i="26"/>
  <c r="BI101" i="26"/>
  <c r="AJ102" i="26"/>
  <c r="BF106" i="26"/>
  <c r="AJ93" i="26"/>
  <c r="AD108" i="26"/>
  <c r="AZ101" i="26"/>
  <c r="Z94" i="26"/>
  <c r="BG93" i="26"/>
  <c r="Y103" i="26"/>
  <c r="Q96" i="26"/>
  <c r="I192" i="32" s="1"/>
  <c r="AZ107" i="26"/>
  <c r="R97" i="26"/>
  <c r="AQ104" i="26"/>
  <c r="AA102" i="26"/>
  <c r="AZ108" i="26"/>
  <c r="BG103" i="26"/>
  <c r="BB97" i="26"/>
  <c r="AH98" i="26"/>
  <c r="BA104" i="26"/>
  <c r="BG97" i="26"/>
  <c r="AA99" i="26"/>
  <c r="AA109" i="26"/>
  <c r="AB109" i="26"/>
  <c r="AW93" i="26"/>
  <c r="AU98" i="26"/>
  <c r="AF98" i="26"/>
  <c r="AW97" i="26"/>
  <c r="BE97" i="26"/>
  <c r="AL109" i="26"/>
  <c r="AJ109" i="26"/>
  <c r="AF107" i="26"/>
  <c r="AP108" i="26"/>
  <c r="BE106" i="26"/>
  <c r="AN92" i="26"/>
  <c r="AM93" i="26"/>
  <c r="BB108" i="26"/>
  <c r="AL91" i="26"/>
  <c r="Y98" i="26"/>
  <c r="BH109" i="26"/>
  <c r="AR92" i="26"/>
  <c r="AO107" i="26"/>
  <c r="AT101" i="26"/>
  <c r="BF103" i="26"/>
  <c r="BG108" i="26"/>
  <c r="AB93" i="26"/>
  <c r="AZ93" i="26"/>
  <c r="AU96" i="26"/>
  <c r="Z103" i="26"/>
  <c r="AS102" i="26"/>
  <c r="AG91" i="26"/>
  <c r="AB97" i="26"/>
  <c r="AN96" i="26"/>
  <c r="AQ107" i="26"/>
  <c r="AU101" i="26"/>
  <c r="BB96" i="26"/>
  <c r="AK97" i="26"/>
  <c r="AI97" i="26"/>
  <c r="AD107" i="26"/>
  <c r="AG98" i="26"/>
  <c r="BF94" i="26"/>
  <c r="AE96" i="26"/>
  <c r="AP91" i="26"/>
  <c r="AP104" i="26"/>
  <c r="AI107" i="26"/>
  <c r="BG98" i="26"/>
  <c r="BI106" i="26"/>
  <c r="AG106" i="26"/>
  <c r="AR101" i="26"/>
  <c r="AR108" i="26"/>
  <c r="V101" i="26"/>
  <c r="AS98" i="26"/>
  <c r="BE101" i="26"/>
  <c r="Y107" i="26"/>
  <c r="AT104" i="26"/>
  <c r="Z98" i="26"/>
  <c r="AJ106" i="26"/>
  <c r="BE96" i="26"/>
  <c r="AM104" i="26"/>
  <c r="AE97" i="26"/>
  <c r="AS107" i="26"/>
  <c r="AW101" i="26"/>
  <c r="BC92" i="26"/>
  <c r="AW92" i="26"/>
  <c r="AG101" i="26"/>
  <c r="T97" i="26"/>
  <c r="AC103" i="26"/>
  <c r="BE93" i="26"/>
  <c r="BG92" i="26"/>
  <c r="AP93" i="26"/>
  <c r="AO91" i="26"/>
  <c r="AX91" i="26"/>
  <c r="AC101" i="26"/>
  <c r="BA101" i="26"/>
  <c r="AG94" i="26"/>
  <c r="AM99" i="26"/>
  <c r="AB96" i="26"/>
  <c r="AU99" i="26"/>
  <c r="AZ109" i="26"/>
  <c r="AC108" i="26"/>
  <c r="AG92" i="26"/>
  <c r="AW96" i="26"/>
  <c r="AQ96" i="26"/>
  <c r="AY96" i="26"/>
  <c r="AH102" i="26"/>
  <c r="AI101" i="26"/>
  <c r="BI104" i="26"/>
  <c r="BE107" i="26"/>
  <c r="AF94" i="26"/>
  <c r="AY99" i="26"/>
  <c r="Y93" i="26"/>
  <c r="W97" i="26"/>
  <c r="AH103" i="26"/>
  <c r="AR99" i="26"/>
  <c r="Y104" i="26"/>
  <c r="BI96" i="26"/>
  <c r="Z91" i="26"/>
  <c r="AO99" i="26"/>
  <c r="AY106" i="26"/>
  <c r="BH93" i="26"/>
  <c r="AT106" i="26"/>
  <c r="BF96" i="26"/>
  <c r="M101" i="26"/>
  <c r="BA96" i="26"/>
  <c r="AJ91" i="26"/>
  <c r="AD101" i="26"/>
  <c r="AW109" i="26"/>
  <c r="BF108" i="26"/>
  <c r="AN93" i="26"/>
  <c r="AU108" i="26"/>
  <c r="AP98" i="26"/>
  <c r="U97" i="26"/>
  <c r="AT108" i="26"/>
  <c r="BH94" i="26"/>
  <c r="AU93" i="26"/>
  <c r="BE103" i="26"/>
  <c r="BI93" i="26"/>
  <c r="AG102" i="26"/>
  <c r="BC96" i="26"/>
  <c r="AC99" i="26"/>
  <c r="Z106" i="26"/>
  <c r="AY92" i="26"/>
  <c r="AP96" i="26"/>
  <c r="AX97" i="26"/>
  <c r="BK94" i="26"/>
  <c r="BI102" i="26"/>
  <c r="BD98" i="26"/>
  <c r="BG99" i="26"/>
  <c r="AK94" i="26"/>
  <c r="AS93" i="26"/>
  <c r="AH104" i="26"/>
  <c r="AQ106" i="26"/>
  <c r="AG103" i="26"/>
  <c r="AQ99" i="26"/>
  <c r="AI99" i="26"/>
  <c r="AS94" i="26"/>
  <c r="AX104" i="26"/>
  <c r="AF102" i="26"/>
  <c r="U101" i="26"/>
  <c r="BI92" i="26"/>
  <c r="BA109" i="26"/>
  <c r="AT99" i="26"/>
  <c r="BJ109" i="26"/>
  <c r="AA94" i="26"/>
  <c r="AO98" i="26"/>
  <c r="AO93" i="26"/>
  <c r="AC102" i="26"/>
  <c r="BD91" i="26"/>
  <c r="BD106" i="26"/>
  <c r="AX96" i="26"/>
  <c r="BA99" i="26"/>
  <c r="BB102" i="26"/>
  <c r="BJ106" i="26"/>
  <c r="BH96" i="26"/>
  <c r="Z109" i="26"/>
  <c r="AE109" i="26"/>
  <c r="BC98" i="26"/>
  <c r="AU104" i="26"/>
  <c r="AH108" i="26"/>
  <c r="BE92" i="26"/>
  <c r="AD104" i="26"/>
  <c r="AO108" i="26"/>
  <c r="AJ103" i="26"/>
  <c r="AV93" i="26"/>
  <c r="BD94" i="26"/>
  <c r="AS108" i="26"/>
  <c r="BI94" i="26"/>
  <c r="AK103" i="26"/>
  <c r="BA97" i="26"/>
  <c r="AT98" i="26"/>
  <c r="BJ101" i="26"/>
  <c r="AV92" i="26"/>
  <c r="AZ104" i="26"/>
  <c r="AW102" i="26"/>
  <c r="BC108" i="26"/>
  <c r="AE94" i="26"/>
  <c r="AM106" i="26"/>
  <c r="AZ94" i="26"/>
  <c r="AN106" i="26"/>
  <c r="AS91" i="26"/>
  <c r="AY108" i="26"/>
  <c r="AE93" i="26"/>
  <c r="AK92" i="26"/>
  <c r="AU92" i="26"/>
  <c r="AX106" i="26"/>
  <c r="Z93" i="26"/>
  <c r="AT97" i="26"/>
  <c r="AH97" i="26"/>
  <c r="AJ94" i="26"/>
  <c r="AS92" i="26"/>
  <c r="BB92" i="26"/>
  <c r="AI91" i="26"/>
  <c r="BG106" i="26"/>
  <c r="BG107" i="26"/>
  <c r="BE91" i="26"/>
  <c r="AL92" i="26"/>
  <c r="BI91" i="26"/>
  <c r="AE107" i="26"/>
  <c r="AW108" i="26"/>
  <c r="BA93" i="26"/>
  <c r="AM94" i="26"/>
  <c r="BA108" i="26"/>
  <c r="AU103" i="26"/>
  <c r="BF97" i="26"/>
  <c r="AX103" i="26"/>
  <c r="AT102" i="26"/>
  <c r="Y94" i="26"/>
  <c r="AN109" i="26"/>
  <c r="AS99" i="26"/>
  <c r="AV103" i="26"/>
  <c r="AY97" i="26"/>
  <c r="BJ97" i="26"/>
  <c r="Y101" i="26"/>
  <c r="AM107" i="26"/>
  <c r="AA106" i="26"/>
  <c r="AN91" i="26"/>
  <c r="AZ91" i="26"/>
  <c r="BF109" i="26"/>
  <c r="AD94" i="26"/>
  <c r="BE108" i="26"/>
  <c r="AD96" i="26"/>
  <c r="BA98" i="26"/>
  <c r="AI106" i="26"/>
  <c r="AB99" i="26"/>
  <c r="BG96" i="26"/>
  <c r="AH106" i="26"/>
  <c r="BF91" i="26"/>
  <c r="AM96" i="26"/>
  <c r="AV99" i="26"/>
  <c r="Y92" i="26"/>
  <c r="AN102" i="26"/>
  <c r="AR97" i="26"/>
  <c r="BH103" i="26"/>
  <c r="AL99" i="26"/>
  <c r="AA96" i="26"/>
  <c r="AJ97" i="26"/>
  <c r="AD99" i="26"/>
  <c r="AO106" i="26"/>
  <c r="AW94" i="26"/>
  <c r="AK101" i="26"/>
  <c r="AL96" i="26"/>
  <c r="AB103" i="26"/>
  <c r="AR91" i="26"/>
  <c r="BG102" i="26"/>
  <c r="BH101" i="26"/>
  <c r="AI94" i="26"/>
  <c r="AQ109" i="26"/>
  <c r="Y96" i="26"/>
  <c r="W96" i="26"/>
  <c r="BE102" i="26"/>
  <c r="BK97" i="26"/>
  <c r="AH93" i="26"/>
  <c r="AP94" i="26"/>
  <c r="AY101" i="26"/>
  <c r="AU91" i="26"/>
  <c r="AA91" i="26"/>
  <c r="BF99" i="26"/>
  <c r="BD107" i="26"/>
  <c r="AT107" i="26"/>
  <c r="BA103" i="26"/>
  <c r="AB107" i="26"/>
  <c r="AS104" i="26"/>
  <c r="AG109" i="26"/>
  <c r="BK107" i="26"/>
  <c r="AA93" i="26"/>
  <c r="AR94" i="26"/>
  <c r="AF91" i="26"/>
  <c r="AJ98" i="26"/>
  <c r="V97" i="26"/>
  <c r="BH97" i="26"/>
  <c r="AD97" i="26"/>
  <c r="BH106" i="26"/>
  <c r="AX109" i="26"/>
  <c r="BD99" i="26"/>
  <c r="AU107" i="26"/>
  <c r="Z108" i="26"/>
  <c r="AS101" i="26"/>
  <c r="BF98" i="26"/>
  <c r="BC107" i="26"/>
  <c r="AE102" i="26"/>
  <c r="AY91" i="26"/>
  <c r="BB109" i="26"/>
  <c r="BH99" i="26"/>
  <c r="AC97" i="26"/>
  <c r="AZ102" i="26"/>
  <c r="AW107" i="26"/>
  <c r="BD104" i="26"/>
  <c r="BD92" i="26"/>
  <c r="AC107" i="26"/>
  <c r="BC104" i="26"/>
  <c r="AF99" i="26"/>
  <c r="Y102" i="26"/>
  <c r="AA103" i="26"/>
  <c r="BD96" i="26"/>
  <c r="Q97" i="26"/>
  <c r="AR93" i="26"/>
  <c r="AE92" i="26"/>
  <c r="AZ99" i="26"/>
  <c r="AD91" i="26"/>
  <c r="AP103" i="26"/>
  <c r="BB98" i="26"/>
  <c r="AL103" i="26"/>
  <c r="AC92" i="26"/>
  <c r="AT96" i="26"/>
  <c r="AP92" i="26"/>
  <c r="AV96" i="26"/>
  <c r="BB91" i="26"/>
  <c r="BI98" i="26"/>
  <c r="AW104" i="26"/>
  <c r="L97" i="26"/>
  <c r="AG99" i="26"/>
  <c r="AN94" i="26"/>
  <c r="AH107" i="26"/>
  <c r="AL93" i="26"/>
  <c r="S101" i="26"/>
  <c r="AQ92" i="26"/>
  <c r="AG93" i="26"/>
  <c r="Z97" i="26"/>
  <c r="BK103" i="26"/>
  <c r="AU102" i="26"/>
  <c r="AC91" i="26"/>
  <c r="AN97" i="26"/>
  <c r="AD93" i="26"/>
  <c r="BJ103" i="26"/>
  <c r="Z101" i="26"/>
  <c r="BG104" i="26"/>
  <c r="BB101" i="26"/>
  <c r="AU106" i="26"/>
  <c r="AF109" i="26"/>
  <c r="T101" i="26"/>
  <c r="AV108" i="26"/>
  <c r="AR98" i="26"/>
  <c r="AX98" i="26"/>
  <c r="AW103" i="26"/>
  <c r="AA98" i="26"/>
  <c r="AC104" i="26"/>
  <c r="BK106" i="26"/>
  <c r="AP102" i="26"/>
  <c r="AC98" i="26"/>
  <c r="AD92" i="26"/>
  <c r="AI93" i="26"/>
  <c r="AJ108" i="26"/>
  <c r="AL104" i="26"/>
  <c r="BI103" i="26"/>
  <c r="AN101" i="26"/>
  <c r="BC97" i="26"/>
  <c r="BM96" i="26"/>
  <c r="AX108" i="26"/>
  <c r="AR102" i="26"/>
  <c r="AO104" i="26"/>
  <c r="BK92" i="26"/>
  <c r="BK99" i="26"/>
  <c r="AN103" i="26"/>
  <c r="AF92" i="26"/>
  <c r="AR107" i="26"/>
  <c r="BD108" i="26"/>
  <c r="BG109" i="26"/>
  <c r="AH91" i="26"/>
  <c r="BE94" i="26"/>
  <c r="BF102" i="26"/>
  <c r="AO94" i="26"/>
  <c r="BK104" i="26"/>
  <c r="Z102" i="26"/>
  <c r="BG91" i="26"/>
  <c r="AF97" i="26"/>
  <c r="BD97" i="26"/>
  <c r="AC94" i="26"/>
  <c r="BE109" i="26"/>
  <c r="BJ93" i="26"/>
  <c r="AR109" i="26"/>
  <c r="AG104" i="26"/>
  <c r="Y99" i="26"/>
  <c r="AL97" i="26"/>
  <c r="AK102" i="26"/>
  <c r="AE101" i="26"/>
  <c r="AQ98" i="26"/>
  <c r="AZ97" i="26"/>
  <c r="AX93" i="26"/>
  <c r="AJ99" i="26"/>
  <c r="BB107" i="26"/>
  <c r="AX101" i="26"/>
  <c r="AM102" i="26"/>
  <c r="Y91" i="26"/>
  <c r="BK98" i="26"/>
  <c r="AF96" i="26"/>
  <c r="AG107" i="26"/>
  <c r="BA102" i="26"/>
  <c r="BC93" i="26"/>
  <c r="AG97" i="26"/>
  <c r="BJ94" i="26"/>
  <c r="BK91" i="26"/>
  <c r="AQ103" i="26"/>
  <c r="AY103" i="26"/>
  <c r="AC106" i="26"/>
  <c r="AW99" i="26"/>
  <c r="AK108" i="26"/>
  <c r="AO92" i="26"/>
  <c r="R101" i="26"/>
  <c r="BC99" i="26"/>
  <c r="O96" i="26"/>
  <c r="G192" i="32" s="1"/>
  <c r="AP106" i="26"/>
  <c r="L96" i="26"/>
  <c r="D192" i="32" s="1"/>
  <c r="BJ104" i="26"/>
  <c r="AT93" i="26"/>
  <c r="BF93" i="26"/>
  <c r="BD103" i="26"/>
  <c r="AD98" i="26"/>
  <c r="BK93" i="26"/>
  <c r="BL108" i="26"/>
  <c r="AV107" i="26"/>
  <c r="BK102" i="26"/>
  <c r="BL97" i="26"/>
  <c r="BF104" i="26"/>
  <c r="AI98" i="26"/>
  <c r="BL104" i="26"/>
  <c r="AD102" i="26"/>
  <c r="BK96" i="26"/>
  <c r="AB101" i="26"/>
  <c r="S96" i="26"/>
  <c r="K192" i="32" s="1"/>
  <c r="BJ96" i="26"/>
  <c r="AF93" i="26"/>
  <c r="AT109" i="26"/>
  <c r="AM98" i="26"/>
  <c r="BL96" i="26"/>
  <c r="BM102" i="26"/>
  <c r="BL93" i="26"/>
  <c r="BL99" i="26"/>
  <c r="AK107" i="26"/>
  <c r="BK101" i="26"/>
  <c r="BK108" i="26"/>
  <c r="BL106" i="26"/>
  <c r="BL103" i="26"/>
  <c r="BK109" i="26"/>
  <c r="BL107" i="26"/>
  <c r="L103" i="26"/>
  <c r="BM104" i="26"/>
  <c r="BN107" i="26"/>
  <c r="BM107" i="26"/>
  <c r="BM92" i="26"/>
  <c r="BM106" i="26"/>
  <c r="BL94" i="26"/>
  <c r="BL91" i="26"/>
  <c r="BL109" i="26"/>
  <c r="BN99" i="26"/>
  <c r="BP104" i="26"/>
  <c r="BL92" i="26"/>
  <c r="BN101" i="26"/>
  <c r="BM94" i="26"/>
  <c r="BN98" i="26"/>
  <c r="BM108" i="26"/>
  <c r="BN103" i="26"/>
  <c r="BM99" i="26"/>
  <c r="BM97" i="26"/>
  <c r="BN109" i="26"/>
  <c r="BM109" i="26"/>
  <c r="BL102" i="26"/>
  <c r="BN97" i="26"/>
  <c r="BM103" i="26"/>
  <c r="BL98" i="26"/>
  <c r="BN93" i="26"/>
  <c r="BM101" i="26"/>
  <c r="BM93" i="26"/>
  <c r="BN106" i="26"/>
  <c r="BM98" i="26"/>
  <c r="BM91" i="26"/>
  <c r="BL101" i="26"/>
  <c r="BO91" i="26"/>
  <c r="BN94" i="26"/>
  <c r="BO93" i="26"/>
  <c r="BN104" i="26"/>
  <c r="BP94" i="26"/>
  <c r="BP109" i="26"/>
  <c r="BN91" i="26"/>
  <c r="BO101" i="26"/>
  <c r="BP92" i="26"/>
  <c r="BP103" i="26"/>
  <c r="BO103" i="26"/>
  <c r="BO109" i="26"/>
  <c r="BP99" i="26"/>
  <c r="BO104" i="26"/>
  <c r="BN102" i="26"/>
  <c r="BO98" i="26"/>
  <c r="BO96" i="26"/>
  <c r="BN92" i="26"/>
  <c r="BO107" i="26"/>
  <c r="BO108" i="26"/>
  <c r="BN96" i="26"/>
  <c r="BO99" i="26"/>
  <c r="BO94" i="26"/>
  <c r="BN108" i="26"/>
  <c r="BO106" i="26"/>
  <c r="BP97" i="26"/>
  <c r="BO92" i="26"/>
  <c r="BO102" i="26"/>
  <c r="BO97" i="26"/>
  <c r="BS93" i="26"/>
  <c r="BR97" i="26"/>
  <c r="BP107" i="26"/>
  <c r="BQ101" i="26"/>
  <c r="BQ99" i="26"/>
  <c r="BQ94" i="26"/>
  <c r="BS103" i="26"/>
  <c r="BR101" i="26"/>
  <c r="BP101" i="26"/>
  <c r="BS107" i="26"/>
  <c r="BP108" i="26"/>
  <c r="BS102" i="26"/>
  <c r="BS99" i="26"/>
  <c r="BQ93" i="26"/>
  <c r="BR93" i="26"/>
  <c r="BS91" i="26"/>
  <c r="BP102" i="26"/>
  <c r="BP106" i="26"/>
  <c r="BQ96" i="26"/>
  <c r="BS98" i="26"/>
  <c r="BR98" i="26"/>
  <c r="BS108" i="26"/>
  <c r="BS97" i="26"/>
  <c r="BQ91" i="26"/>
  <c r="BQ107" i="26"/>
  <c r="BS101" i="26"/>
  <c r="BP96" i="26"/>
  <c r="BR106" i="26"/>
  <c r="BU99" i="26"/>
  <c r="BR104" i="26"/>
  <c r="BQ108" i="26"/>
  <c r="BQ102" i="26"/>
  <c r="BS104" i="26"/>
  <c r="BQ106" i="26"/>
  <c r="BR103" i="26"/>
  <c r="BQ92" i="26"/>
  <c r="BR108" i="26"/>
  <c r="BQ97" i="26"/>
  <c r="BR102" i="26"/>
  <c r="BS94" i="26"/>
  <c r="BQ109" i="26"/>
  <c r="BR96" i="26"/>
  <c r="BQ103" i="26"/>
  <c r="BS109" i="26"/>
  <c r="BS106" i="26"/>
  <c r="BR92" i="26"/>
  <c r="BS96" i="26"/>
  <c r="BR99" i="26"/>
  <c r="BR107" i="26"/>
  <c r="BP91" i="26"/>
  <c r="BR91" i="26"/>
  <c r="BR109" i="26"/>
  <c r="BQ98" i="26"/>
  <c r="BQ104" i="26"/>
  <c r="BP93" i="26"/>
  <c r="BS92" i="26"/>
  <c r="BR94" i="26"/>
  <c r="BP98" i="26"/>
  <c r="BW109" i="26"/>
  <c r="BT92" i="26"/>
  <c r="BT104" i="26"/>
  <c r="BT98" i="26"/>
  <c r="BT96" i="26"/>
  <c r="BU107" i="26"/>
  <c r="BT109" i="26"/>
  <c r="BT94" i="26"/>
  <c r="BU102" i="26"/>
  <c r="BT108" i="26"/>
  <c r="BT99" i="26"/>
  <c r="BU96" i="26"/>
  <c r="BU104" i="26"/>
  <c r="BU91" i="26"/>
  <c r="BU98" i="26"/>
  <c r="BU93" i="26"/>
  <c r="BT93" i="26"/>
  <c r="BU103" i="26"/>
  <c r="BT106" i="26"/>
  <c r="BT107" i="26"/>
  <c r="BT102" i="26"/>
  <c r="BU106" i="26"/>
  <c r="BT97" i="26"/>
  <c r="BU109" i="26"/>
  <c r="BT103" i="26"/>
  <c r="BU108" i="26"/>
  <c r="BT101" i="26"/>
  <c r="BT91" i="26"/>
  <c r="BU97" i="26"/>
  <c r="BU92" i="26"/>
  <c r="BV94" i="26"/>
  <c r="BV106" i="26"/>
  <c r="BV102" i="26"/>
  <c r="BW99" i="26"/>
  <c r="BV93" i="26"/>
  <c r="BW108" i="26"/>
  <c r="BV103" i="26"/>
  <c r="BW91" i="26"/>
  <c r="BV99" i="26"/>
  <c r="BV104" i="26"/>
  <c r="BV91" i="26"/>
  <c r="BV101" i="26"/>
  <c r="BW104" i="26"/>
  <c r="BV108" i="26"/>
  <c r="BW96" i="26"/>
  <c r="BV107" i="26"/>
  <c r="BV92" i="26"/>
  <c r="BW98" i="26"/>
  <c r="BU101" i="26"/>
  <c r="BW92" i="26"/>
  <c r="BV98" i="26"/>
  <c r="BY106" i="26"/>
  <c r="BU94" i="26"/>
  <c r="BV96" i="26"/>
  <c r="BV97" i="26"/>
  <c r="BV109" i="26"/>
  <c r="BX107" i="26"/>
  <c r="BY91" i="26"/>
  <c r="BX97" i="26"/>
  <c r="BW103" i="26"/>
  <c r="BW107" i="26"/>
  <c r="CA106" i="26"/>
  <c r="BX92" i="26"/>
  <c r="BX98" i="26"/>
  <c r="BX106" i="26"/>
  <c r="BY108" i="26"/>
  <c r="BY97" i="26"/>
  <c r="BW106" i="26"/>
  <c r="BX103" i="26"/>
  <c r="BW94" i="26"/>
  <c r="BX96" i="26"/>
  <c r="BY98" i="26"/>
  <c r="BW97" i="26"/>
  <c r="BY92" i="26"/>
  <c r="BX91" i="26"/>
  <c r="BX93" i="26"/>
  <c r="BW102" i="26"/>
  <c r="BX109" i="26"/>
  <c r="BX102" i="26"/>
  <c r="BW93" i="26"/>
  <c r="BW101" i="26"/>
  <c r="BX94" i="26"/>
  <c r="BX101" i="26"/>
  <c r="BX99" i="26"/>
  <c r="BX108" i="26"/>
  <c r="BX104" i="26"/>
  <c r="BY107" i="26"/>
  <c r="BZ97" i="26"/>
  <c r="BZ94" i="26"/>
  <c r="BZ101" i="26"/>
  <c r="CC92" i="26"/>
  <c r="BY99" i="26"/>
  <c r="CA103" i="26"/>
  <c r="BZ107" i="26"/>
  <c r="BY93" i="26"/>
  <c r="CA92" i="26"/>
  <c r="BZ102" i="26"/>
  <c r="BZ96" i="26"/>
  <c r="BZ109" i="26"/>
  <c r="BZ93" i="26"/>
  <c r="BY94" i="26"/>
  <c r="BY96" i="26"/>
  <c r="BZ98" i="26"/>
  <c r="CA104" i="26"/>
  <c r="BZ108" i="26"/>
  <c r="BZ106" i="26"/>
  <c r="BZ104" i="26"/>
  <c r="BY103" i="26"/>
  <c r="BZ91" i="26"/>
  <c r="BZ103" i="26"/>
  <c r="BY109" i="26"/>
  <c r="BZ92" i="26"/>
  <c r="BY101" i="26"/>
  <c r="BY102" i="26"/>
  <c r="BY104" i="26"/>
  <c r="BZ99" i="26"/>
  <c r="CC96" i="26"/>
  <c r="CB109" i="26"/>
  <c r="CB107" i="26"/>
  <c r="CA97" i="26"/>
  <c r="CB106" i="26"/>
  <c r="CE92" i="26"/>
  <c r="CB102" i="26"/>
  <c r="CB93" i="26"/>
  <c r="CB92" i="26"/>
  <c r="CA96" i="26"/>
  <c r="CA94" i="26"/>
  <c r="CC97" i="26"/>
  <c r="CC101" i="26"/>
  <c r="CB94" i="26"/>
  <c r="CA102" i="26"/>
  <c r="CB103" i="26"/>
  <c r="CC107" i="26"/>
  <c r="CC103" i="26"/>
  <c r="CB91" i="26"/>
  <c r="CB99" i="26"/>
  <c r="CC94" i="26"/>
  <c r="CB98" i="26"/>
  <c r="CC109" i="26"/>
  <c r="CC93" i="26"/>
  <c r="CC106" i="26"/>
  <c r="CC99" i="26"/>
  <c r="CA101" i="26"/>
  <c r="CB104" i="26"/>
  <c r="CC104" i="26"/>
  <c r="CA107" i="26"/>
  <c r="CA99" i="26"/>
  <c r="CC108" i="26"/>
  <c r="CA109" i="26"/>
  <c r="CC91" i="26"/>
  <c r="CA108" i="26"/>
  <c r="CA91" i="26"/>
  <c r="CB96" i="26"/>
  <c r="CA98" i="26"/>
  <c r="CB101" i="26"/>
  <c r="CA93" i="26"/>
  <c r="CB108" i="26"/>
  <c r="CC102" i="26"/>
  <c r="CC98" i="26"/>
  <c r="CB97" i="26"/>
  <c r="CD106" i="26"/>
  <c r="CE108" i="26"/>
  <c r="CD92" i="26"/>
  <c r="CE96" i="26"/>
  <c r="CD97" i="26"/>
  <c r="CE93" i="26"/>
  <c r="CD98" i="26"/>
  <c r="CD93" i="26"/>
  <c r="CE103" i="26"/>
  <c r="CD109" i="26"/>
  <c r="CD102" i="26"/>
  <c r="CD99" i="26"/>
  <c r="CE94" i="26"/>
  <c r="CD96" i="26"/>
  <c r="CD101" i="26"/>
  <c r="CE106" i="26"/>
  <c r="CD104" i="26"/>
  <c r="CD107" i="26"/>
  <c r="CE101" i="26"/>
  <c r="CG93" i="26"/>
  <c r="CE97" i="26"/>
  <c r="CE99" i="26"/>
  <c r="CE102" i="26"/>
  <c r="CD94" i="26"/>
  <c r="CD103" i="26"/>
  <c r="CD108" i="26"/>
  <c r="CD91" i="26"/>
  <c r="CG103" i="26"/>
  <c r="CF93" i="26"/>
  <c r="CE107" i="26"/>
  <c r="CE104" i="26"/>
  <c r="CE91" i="26"/>
  <c r="CF108" i="26"/>
  <c r="CF106" i="26"/>
  <c r="CF92" i="26"/>
  <c r="CF94" i="26"/>
  <c r="CG109" i="26"/>
  <c r="CF99" i="26"/>
  <c r="CG101" i="26"/>
  <c r="CI99" i="26"/>
  <c r="CF104" i="26"/>
  <c r="CF96" i="26"/>
  <c r="CF103" i="26"/>
  <c r="CF97" i="26"/>
  <c r="CG96" i="26"/>
  <c r="CF109" i="26"/>
  <c r="CG104" i="26"/>
  <c r="CF101" i="26"/>
  <c r="CF91" i="26"/>
  <c r="CE109" i="26"/>
  <c r="CF102" i="26"/>
  <c r="CG99" i="26"/>
  <c r="CF98" i="26"/>
  <c r="CE98" i="26"/>
  <c r="CG94" i="26"/>
  <c r="CG91" i="26"/>
  <c r="CF107" i="26"/>
  <c r="CH106" i="26"/>
  <c r="CI97" i="26"/>
  <c r="CH97" i="26"/>
  <c r="CI109" i="26"/>
  <c r="CI106" i="26"/>
  <c r="CI94" i="26"/>
  <c r="CH101" i="26"/>
  <c r="CG92" i="26"/>
  <c r="CI101" i="26"/>
  <c r="CI93" i="26"/>
  <c r="CI92" i="26"/>
  <c r="CI107" i="26"/>
  <c r="CH91" i="26"/>
  <c r="CI103" i="26"/>
  <c r="CI91" i="26"/>
  <c r="CH102" i="26"/>
  <c r="CI98" i="26"/>
  <c r="CH94" i="26"/>
  <c r="CH93" i="26"/>
  <c r="CI96" i="26"/>
  <c r="CI102" i="26"/>
  <c r="CH98" i="26"/>
  <c r="CH99" i="26"/>
  <c r="CH92" i="26"/>
  <c r="CH103" i="26"/>
  <c r="CH107" i="26"/>
  <c r="CG106" i="26"/>
  <c r="CG98" i="26"/>
  <c r="CH96" i="26"/>
  <c r="CH108" i="26"/>
  <c r="CH104" i="26"/>
  <c r="CG108" i="26"/>
  <c r="CG102" i="26"/>
  <c r="CI108" i="26"/>
  <c r="CI104" i="26"/>
  <c r="CH109" i="26"/>
  <c r="CG107" i="26"/>
  <c r="CG97" i="26"/>
  <c r="CK96" i="26"/>
  <c r="CK108" i="26"/>
  <c r="CJ97" i="26"/>
  <c r="CJ108" i="26"/>
  <c r="CJ96" i="26"/>
  <c r="CJ103" i="26"/>
  <c r="CJ102" i="26"/>
  <c r="CJ99" i="26"/>
  <c r="CJ109" i="26"/>
  <c r="CJ91" i="26"/>
  <c r="CJ94" i="26"/>
  <c r="CK101" i="26"/>
  <c r="CJ101" i="26"/>
  <c r="CK99" i="26"/>
  <c r="CK102" i="26"/>
  <c r="CJ92" i="26"/>
  <c r="CM108" i="26"/>
  <c r="CJ104" i="26"/>
  <c r="CJ106" i="26"/>
  <c r="CJ93" i="26"/>
  <c r="CJ98" i="26"/>
  <c r="CJ107" i="26"/>
  <c r="CM102" i="26"/>
  <c r="CL108" i="26"/>
  <c r="CL101" i="26"/>
  <c r="CM96" i="26"/>
  <c r="CK92" i="26"/>
  <c r="CL94" i="26"/>
  <c r="CL91" i="26"/>
  <c r="CO102" i="26"/>
  <c r="CM101" i="26"/>
  <c r="CK98" i="26"/>
  <c r="CM99" i="26"/>
  <c r="CL109" i="26"/>
  <c r="CL98" i="26"/>
  <c r="CL102" i="26"/>
  <c r="CL93" i="26"/>
  <c r="CL107" i="26"/>
  <c r="CK107" i="26"/>
  <c r="CL96" i="26"/>
  <c r="CM93" i="26"/>
  <c r="CK97" i="26"/>
  <c r="CM106" i="26"/>
  <c r="CL104" i="26"/>
  <c r="CL106" i="26"/>
  <c r="CL97" i="26"/>
  <c r="CK93" i="26"/>
  <c r="CM109" i="26"/>
  <c r="CK91" i="26"/>
  <c r="CL103" i="26"/>
  <c r="CK94" i="26"/>
  <c r="CM107" i="26"/>
  <c r="CL99" i="26"/>
  <c r="CK109" i="26"/>
  <c r="CK104" i="26"/>
  <c r="CK103" i="26"/>
  <c r="CK106" i="26"/>
  <c r="CM104" i="26"/>
  <c r="CL92" i="26"/>
  <c r="CO103" i="26"/>
  <c r="CN101" i="26"/>
  <c r="CN93" i="26"/>
  <c r="CQ98" i="26"/>
  <c r="CM91" i="26"/>
  <c r="CO93" i="26"/>
  <c r="CM94" i="26"/>
  <c r="CN99" i="26"/>
  <c r="CM92" i="26"/>
  <c r="CN107" i="26"/>
  <c r="CN104" i="26"/>
  <c r="CN102" i="26"/>
  <c r="CO107" i="26"/>
  <c r="CO91" i="26"/>
  <c r="CN103" i="26"/>
  <c r="CM97" i="26"/>
  <c r="CN109" i="26"/>
  <c r="CO101" i="26"/>
  <c r="CQ103" i="26"/>
  <c r="CN91" i="26"/>
  <c r="CN96" i="26"/>
  <c r="CN106" i="26"/>
  <c r="CO97" i="26"/>
  <c r="CP92" i="26"/>
  <c r="CM103" i="26"/>
  <c r="CO98" i="26"/>
  <c r="CP99" i="26"/>
  <c r="CO92" i="26"/>
  <c r="CP109" i="26"/>
  <c r="CP96" i="26"/>
  <c r="CN98" i="26"/>
  <c r="CQ101" i="26"/>
  <c r="CN108" i="26"/>
  <c r="CO108" i="26"/>
  <c r="CO96" i="26"/>
  <c r="CN94" i="26"/>
  <c r="CO99" i="26"/>
  <c r="CQ99" i="26"/>
  <c r="CM98" i="26"/>
  <c r="CN97" i="26"/>
  <c r="CP104" i="26"/>
  <c r="CN92" i="26"/>
  <c r="CO106" i="26"/>
  <c r="CQ102" i="26"/>
  <c r="CQ97" i="26"/>
  <c r="CQ107" i="26"/>
  <c r="CP106" i="26"/>
  <c r="CP94" i="26"/>
  <c r="CP91" i="26"/>
  <c r="CR108" i="26"/>
  <c r="CO104" i="26"/>
  <c r="CS101" i="26"/>
  <c r="CQ106" i="26"/>
  <c r="CS92" i="26"/>
  <c r="CR109" i="26"/>
  <c r="CS107" i="26"/>
  <c r="CP103" i="26"/>
  <c r="CS109" i="26"/>
  <c r="CQ109" i="26"/>
  <c r="CP107" i="26"/>
  <c r="CR97" i="26"/>
  <c r="CP97" i="26"/>
  <c r="CQ94" i="26"/>
  <c r="CP98" i="26"/>
  <c r="CR104" i="26"/>
  <c r="CQ91" i="26"/>
  <c r="CO94" i="26"/>
  <c r="CS108" i="26"/>
  <c r="CR92" i="26"/>
  <c r="CP93" i="26"/>
  <c r="CP101" i="26"/>
  <c r="CR106" i="26"/>
  <c r="CS106" i="26"/>
  <c r="CS102" i="26"/>
  <c r="CR98" i="26"/>
  <c r="CP102" i="26"/>
  <c r="CO109" i="26"/>
  <c r="CR94" i="26"/>
  <c r="CR91" i="26"/>
  <c r="CS99" i="26"/>
  <c r="CR103" i="26"/>
  <c r="CS104" i="26"/>
  <c r="CU94" i="26"/>
  <c r="CQ96" i="26"/>
  <c r="CP108" i="26"/>
  <c r="CV91" i="26"/>
  <c r="CT106" i="26"/>
  <c r="CS93" i="26"/>
  <c r="CT94" i="26"/>
  <c r="CS103" i="26"/>
  <c r="CS98" i="26"/>
  <c r="CQ104" i="26"/>
  <c r="CT103" i="26"/>
  <c r="CQ108" i="26"/>
  <c r="CR93" i="26"/>
  <c r="CT97" i="26"/>
  <c r="CS96" i="26"/>
  <c r="CT93" i="26"/>
  <c r="CR107" i="26"/>
  <c r="CQ93" i="26"/>
  <c r="CU106" i="26"/>
  <c r="CQ92" i="26"/>
  <c r="CU104" i="26"/>
  <c r="CR99" i="26"/>
  <c r="CU103" i="26"/>
  <c r="CR96" i="26"/>
  <c r="CT99" i="26"/>
  <c r="CU97" i="26"/>
  <c r="CS94" i="26"/>
  <c r="CU93" i="26"/>
  <c r="CU99" i="26"/>
  <c r="CV104" i="26"/>
  <c r="CT108" i="26"/>
  <c r="CT98" i="26"/>
  <c r="CU107" i="26"/>
  <c r="CT96" i="26"/>
  <c r="CT102" i="26"/>
  <c r="CV109" i="26"/>
  <c r="CU102" i="26"/>
  <c r="CR102" i="26"/>
  <c r="CT101" i="26"/>
  <c r="CV97" i="26"/>
  <c r="CU101" i="26"/>
  <c r="CS97" i="26"/>
  <c r="CV99" i="26"/>
  <c r="CS91" i="26"/>
  <c r="CT107" i="26"/>
  <c r="CX107" i="26"/>
  <c r="CT104" i="26"/>
  <c r="CU109" i="26"/>
  <c r="CR101" i="26"/>
  <c r="CV94" i="26"/>
  <c r="CU98" i="26"/>
  <c r="CV107" i="26"/>
  <c r="CT92" i="26"/>
  <c r="DA107" i="26"/>
  <c r="CX99" i="26"/>
  <c r="CU108" i="26"/>
  <c r="CX101" i="26"/>
  <c r="CX104" i="26"/>
  <c r="CW98" i="26"/>
  <c r="CW91" i="26"/>
  <c r="CV93" i="26"/>
  <c r="CX103" i="26"/>
  <c r="CX102" i="26"/>
  <c r="CW96" i="26"/>
  <c r="CU96" i="26"/>
  <c r="CV102" i="26"/>
  <c r="CW108" i="26"/>
  <c r="CW101" i="26"/>
  <c r="CX97" i="26"/>
  <c r="CT109" i="26"/>
  <c r="CU92" i="26"/>
  <c r="CX96" i="26"/>
  <c r="CW92" i="26"/>
  <c r="CW94" i="26"/>
  <c r="CW103" i="26"/>
  <c r="CX106" i="26"/>
  <c r="CW93" i="26"/>
  <c r="CX93" i="26"/>
  <c r="CV92" i="26"/>
  <c r="CW102" i="26"/>
  <c r="CX91" i="26"/>
  <c r="CV108" i="26"/>
  <c r="CV98" i="26"/>
  <c r="CX109" i="26"/>
  <c r="CV96" i="26"/>
  <c r="CX94" i="26"/>
  <c r="CW106" i="26"/>
  <c r="CT91" i="26"/>
  <c r="CW99" i="26"/>
  <c r="CV106" i="26"/>
  <c r="CU91" i="26"/>
  <c r="CV101" i="26"/>
  <c r="CZ102" i="26"/>
  <c r="CY102" i="26"/>
  <c r="CY97" i="26"/>
  <c r="CY109" i="26"/>
  <c r="CY94" i="26"/>
  <c r="DA104" i="26"/>
  <c r="CY98" i="26"/>
  <c r="CW104" i="26"/>
  <c r="CY106" i="26"/>
  <c r="CW107" i="26"/>
  <c r="CZ108" i="26"/>
  <c r="CZ94" i="26"/>
  <c r="CY93" i="26"/>
  <c r="CZ101" i="26"/>
  <c r="CZ106" i="26"/>
  <c r="CY103" i="26"/>
  <c r="CZ91" i="26"/>
  <c r="CX92" i="26"/>
  <c r="CX108" i="26"/>
  <c r="CW97" i="26"/>
  <c r="CY104" i="26"/>
  <c r="CZ99" i="26"/>
  <c r="CZ96" i="26"/>
  <c r="CY101" i="26"/>
  <c r="DA93" i="26"/>
  <c r="CZ109" i="26"/>
  <c r="CZ98" i="26"/>
  <c r="CY91" i="26"/>
  <c r="CZ107" i="26"/>
  <c r="CW109" i="26"/>
  <c r="DA98" i="26"/>
  <c r="CX98" i="26"/>
  <c r="CY107" i="26"/>
  <c r="CV103" i="26"/>
  <c r="CZ97" i="26"/>
  <c r="CY92" i="26"/>
  <c r="CY96" i="26"/>
  <c r="DD92" i="26"/>
  <c r="DB107" i="26"/>
  <c r="DB102" i="26"/>
  <c r="DA91" i="26"/>
  <c r="DA106" i="26"/>
  <c r="DA108" i="26"/>
  <c r="DB96" i="26"/>
  <c r="DB104" i="26"/>
  <c r="DA97" i="26"/>
  <c r="DA92" i="26"/>
  <c r="DB99" i="26"/>
  <c r="CZ92" i="26"/>
  <c r="DA103" i="26"/>
  <c r="DA101" i="26"/>
  <c r="DA102" i="26"/>
  <c r="DB94" i="26"/>
  <c r="DA96" i="26"/>
  <c r="CZ103" i="26"/>
  <c r="DB93" i="26"/>
  <c r="DA99" i="26"/>
  <c r="DB109" i="26"/>
  <c r="DB108" i="26"/>
  <c r="DB103" i="26"/>
  <c r="DB101" i="26"/>
  <c r="DA109" i="26"/>
  <c r="CY108" i="26"/>
  <c r="CZ93" i="26"/>
  <c r="DB106" i="26"/>
  <c r="DB92" i="26"/>
  <c r="CY99" i="26"/>
  <c r="DA94" i="26"/>
  <c r="CZ104" i="26"/>
  <c r="DC104" i="26"/>
  <c r="DC96" i="26"/>
  <c r="DC98" i="26"/>
  <c r="DC101" i="26"/>
  <c r="DC99" i="26"/>
  <c r="DD101" i="26"/>
  <c r="DC92" i="26"/>
  <c r="DD109" i="26"/>
  <c r="DD108" i="26"/>
  <c r="DB97" i="26"/>
  <c r="DC109" i="26"/>
  <c r="DB91" i="26"/>
  <c r="DC107" i="26"/>
  <c r="DD94" i="26"/>
  <c r="DD97" i="26"/>
  <c r="DC93" i="26"/>
  <c r="DD102" i="26"/>
  <c r="DC102" i="26"/>
  <c r="DC106" i="26"/>
  <c r="DC97" i="26"/>
  <c r="DB98" i="26"/>
  <c r="DD104" i="26"/>
  <c r="DD93" i="26"/>
  <c r="DF104" i="26"/>
  <c r="DC103" i="26"/>
  <c r="DC108" i="26"/>
  <c r="DC91" i="26"/>
  <c r="DC94" i="26"/>
  <c r="DF109" i="26"/>
  <c r="DE98" i="26"/>
  <c r="DD96" i="26"/>
  <c r="DE108" i="26"/>
  <c r="DH108" i="26"/>
  <c r="DE96" i="26"/>
  <c r="DE94" i="26"/>
  <c r="DD99" i="26"/>
  <c r="DF99" i="26"/>
  <c r="DF106" i="26"/>
  <c r="DF103" i="26"/>
  <c r="DF93" i="26"/>
  <c r="DF107" i="26"/>
  <c r="DD106" i="26"/>
  <c r="DE101" i="26"/>
  <c r="DD98" i="26"/>
  <c r="DD107" i="26"/>
  <c r="DE99" i="26"/>
  <c r="DE107" i="26"/>
  <c r="DE97" i="26"/>
  <c r="DF98" i="26"/>
  <c r="DF102" i="26"/>
  <c r="DF91" i="26"/>
  <c r="DE102" i="26"/>
  <c r="DE91" i="26"/>
  <c r="DE92" i="26"/>
  <c r="DE106" i="26"/>
  <c r="DD103" i="26"/>
  <c r="DE103" i="26"/>
  <c r="DF101" i="26"/>
  <c r="DF108" i="26"/>
  <c r="DE109" i="26"/>
  <c r="DE93" i="26"/>
  <c r="DE104" i="26"/>
  <c r="DD91" i="26"/>
  <c r="DG98" i="26"/>
  <c r="DH109" i="26"/>
  <c r="DH103" i="26"/>
  <c r="DJ103" i="26"/>
  <c r="DH99" i="26"/>
  <c r="DG107" i="26"/>
  <c r="DG97" i="26"/>
  <c r="DH96" i="26"/>
  <c r="DF94" i="26"/>
  <c r="DH92" i="26"/>
  <c r="DG106" i="26"/>
  <c r="DG91" i="26"/>
  <c r="DH102" i="26"/>
  <c r="DG102" i="26"/>
  <c r="DG99" i="26"/>
  <c r="DH106" i="26"/>
  <c r="DF97" i="26"/>
  <c r="DF92" i="26"/>
  <c r="DG104" i="26"/>
  <c r="DG103" i="26"/>
  <c r="DF96" i="26"/>
  <c r="DH101" i="26"/>
  <c r="DG96" i="26"/>
  <c r="DG92" i="26"/>
  <c r="DG108" i="26"/>
  <c r="DG93" i="26"/>
  <c r="DH93" i="26"/>
  <c r="DG101" i="26"/>
  <c r="DG109" i="26"/>
  <c r="DG94" i="26"/>
  <c r="DI103" i="26"/>
  <c r="DJ91" i="26"/>
  <c r="DJ106" i="26"/>
  <c r="DH97" i="26"/>
  <c r="DH98" i="26"/>
  <c r="DJ93" i="26"/>
  <c r="DJ99" i="26"/>
  <c r="DI101" i="26"/>
  <c r="DI107" i="26"/>
  <c r="DJ109" i="26"/>
  <c r="DI98" i="26"/>
  <c r="DI106" i="26"/>
  <c r="DI94" i="26"/>
  <c r="DL109" i="26"/>
  <c r="DJ98" i="26"/>
  <c r="DJ96" i="26"/>
  <c r="DI108" i="26"/>
  <c r="DI91" i="26"/>
  <c r="DI96" i="26"/>
  <c r="DI109" i="26"/>
  <c r="DJ101" i="26"/>
  <c r="DH91" i="26"/>
  <c r="DI104" i="26"/>
  <c r="DI99" i="26"/>
  <c r="DI93" i="26"/>
  <c r="DJ108" i="26"/>
  <c r="DI102" i="26"/>
  <c r="DH107" i="26"/>
  <c r="DH94" i="26"/>
  <c r="DJ107" i="26"/>
  <c r="DI92" i="26"/>
  <c r="DJ102" i="26"/>
  <c r="DH104" i="26"/>
  <c r="DJ94" i="26"/>
  <c r="DI97" i="26"/>
  <c r="DJ97" i="26"/>
  <c r="DJ104" i="26"/>
  <c r="DL108" i="26"/>
  <c r="DK101" i="26"/>
  <c r="DL94" i="26"/>
  <c r="DK92" i="26"/>
  <c r="DK108" i="26"/>
  <c r="DL104" i="26"/>
  <c r="DL99" i="26"/>
  <c r="DK91" i="26"/>
  <c r="DL96" i="26"/>
  <c r="DJ92" i="26"/>
  <c r="DK93" i="26"/>
  <c r="DK94" i="26"/>
  <c r="DK98" i="26"/>
  <c r="DL107" i="26"/>
  <c r="DK104" i="26"/>
  <c r="DL93" i="26"/>
  <c r="DK96" i="26"/>
  <c r="DL106" i="26"/>
  <c r="DK107" i="26"/>
  <c r="DK99" i="26"/>
  <c r="DK102" i="26"/>
  <c r="DK97" i="26"/>
  <c r="DN103" i="26"/>
  <c r="DL92" i="26"/>
  <c r="DK109" i="26"/>
  <c r="DK103" i="26"/>
  <c r="DK106" i="26"/>
  <c r="DL103" i="26"/>
  <c r="DN109" i="26"/>
  <c r="DM96" i="26"/>
  <c r="DL98" i="26"/>
  <c r="DM93" i="26"/>
  <c r="DM102" i="26"/>
  <c r="DM98" i="26"/>
  <c r="DM97" i="26"/>
  <c r="DM104" i="26"/>
  <c r="DP103" i="26"/>
  <c r="DN91" i="26"/>
  <c r="DM92" i="26"/>
  <c r="DM103" i="26"/>
  <c r="DM99" i="26"/>
  <c r="DM94" i="26"/>
  <c r="DN99" i="26"/>
  <c r="DM109" i="26"/>
  <c r="DM108" i="26"/>
  <c r="DN106" i="26"/>
  <c r="DN93" i="26"/>
  <c r="DL101" i="26"/>
  <c r="DN92" i="26"/>
  <c r="DM106" i="26"/>
  <c r="DM91" i="26"/>
  <c r="DN107" i="26"/>
  <c r="DL102" i="26"/>
  <c r="DM101" i="26"/>
  <c r="DN108" i="26"/>
  <c r="DL91" i="26"/>
  <c r="DL97" i="26"/>
  <c r="DM107" i="26"/>
  <c r="DN98" i="26"/>
  <c r="DN101" i="26"/>
  <c r="DO107" i="26"/>
  <c r="DO98" i="26"/>
  <c r="DP98" i="26"/>
  <c r="DR104" i="26"/>
  <c r="DP96" i="26"/>
  <c r="DO92" i="26"/>
  <c r="DN102" i="26"/>
  <c r="DO103" i="26"/>
  <c r="DO106" i="26"/>
  <c r="DP91" i="26"/>
  <c r="DP97" i="26"/>
  <c r="DP109" i="26"/>
  <c r="DP108" i="26"/>
  <c r="DN96" i="26"/>
  <c r="DP106" i="26"/>
  <c r="DO101" i="26"/>
  <c r="DO97" i="26"/>
  <c r="DN104" i="26"/>
  <c r="DN97" i="26"/>
  <c r="DO96" i="26"/>
  <c r="DO99" i="26"/>
  <c r="DP101" i="26"/>
  <c r="DP99" i="26"/>
  <c r="DO104" i="26"/>
  <c r="DP94" i="26"/>
  <c r="DO102" i="26"/>
  <c r="DO93" i="26"/>
  <c r="DN94" i="26"/>
  <c r="DO94" i="26"/>
  <c r="DO108" i="26"/>
  <c r="DO109" i="26"/>
  <c r="DP104" i="26"/>
  <c r="DO91" i="26"/>
  <c r="DR102" i="26"/>
  <c r="DQ107" i="26"/>
  <c r="DP102" i="26"/>
  <c r="DQ93" i="26"/>
  <c r="DQ104" i="26"/>
  <c r="DQ108" i="26"/>
  <c r="DR94" i="26"/>
  <c r="DQ91" i="26"/>
  <c r="DT94" i="26"/>
  <c r="DP93" i="26"/>
  <c r="DQ101" i="26"/>
  <c r="DR98" i="26"/>
  <c r="DR107" i="26"/>
  <c r="DQ109" i="26"/>
  <c r="DR99" i="26"/>
  <c r="DQ92" i="26"/>
  <c r="DQ96" i="26"/>
  <c r="DQ106" i="26"/>
  <c r="DQ99" i="26"/>
  <c r="DQ102" i="26"/>
  <c r="DP107" i="26"/>
  <c r="DR97" i="26"/>
  <c r="DR91" i="26"/>
  <c r="DQ94" i="26"/>
  <c r="DQ97" i="26"/>
  <c r="DR106" i="26"/>
  <c r="DQ98" i="26"/>
  <c r="DQ103" i="26"/>
  <c r="DR92" i="26"/>
  <c r="DP92" i="26"/>
  <c r="DS101" i="26"/>
  <c r="DS91" i="26"/>
  <c r="DT107" i="26"/>
  <c r="DS99" i="26"/>
  <c r="DS108" i="26"/>
  <c r="DS93" i="26"/>
  <c r="DR96" i="26"/>
  <c r="DT106" i="26"/>
  <c r="DS97" i="26"/>
  <c r="DS94" i="26"/>
  <c r="DR109" i="26"/>
  <c r="DR108" i="26"/>
  <c r="DS106" i="26"/>
  <c r="DT101" i="26"/>
  <c r="DT97" i="26"/>
  <c r="DT102" i="26"/>
  <c r="DR101" i="26"/>
  <c r="DS109" i="26"/>
  <c r="DT103" i="26"/>
  <c r="DS107" i="26"/>
  <c r="DS102" i="26"/>
  <c r="DT108" i="26"/>
  <c r="DT91" i="26"/>
  <c r="DR93" i="26"/>
  <c r="DT109" i="26"/>
  <c r="DR103" i="26"/>
  <c r="DS98" i="26"/>
  <c r="DS96" i="26"/>
  <c r="DS104" i="26"/>
  <c r="DT96" i="26"/>
  <c r="DS103" i="26"/>
  <c r="DV101" i="26"/>
  <c r="DS92" i="26"/>
  <c r="DU92" i="26"/>
  <c r="DT92" i="26"/>
  <c r="DU106" i="26"/>
  <c r="DV106" i="26"/>
  <c r="DV94" i="26"/>
  <c r="DV92" i="26"/>
  <c r="DU96" i="26"/>
  <c r="DU91" i="26"/>
  <c r="DU109" i="26"/>
  <c r="DU104" i="26"/>
  <c r="DT98" i="26"/>
  <c r="DU101" i="26"/>
  <c r="DT104" i="26"/>
  <c r="DV103" i="26"/>
  <c r="DU99" i="26"/>
  <c r="DU107" i="26"/>
  <c r="DU108" i="26"/>
  <c r="DU98" i="26"/>
  <c r="DT99" i="26"/>
  <c r="DU103" i="26"/>
  <c r="DU97" i="26"/>
  <c r="DU94" i="26"/>
  <c r="DU102" i="26"/>
  <c r="DV91" i="26"/>
  <c r="DT93" i="26"/>
  <c r="DU93" i="26"/>
  <c r="DV109" i="26"/>
  <c r="DV99" i="26"/>
  <c r="DV93" i="26"/>
  <c r="DV104" i="26"/>
  <c r="DV97" i="26"/>
  <c r="DV98" i="26"/>
  <c r="DV96" i="26"/>
  <c r="DV108" i="26"/>
  <c r="DV102" i="26"/>
  <c r="DV107" i="26"/>
  <c r="EQ246" i="11"/>
  <c r="EQ250" i="11"/>
  <c r="M26" i="26"/>
  <c r="M24" i="26"/>
  <c r="M70" i="26"/>
  <c r="CU58" i="26"/>
  <c r="BP79" i="26"/>
  <c r="CF80" i="26"/>
  <c r="DP74" i="26"/>
  <c r="BA15" i="26"/>
  <c r="AI111" i="26"/>
  <c r="DU37" i="26"/>
  <c r="CR53" i="26"/>
  <c r="AU23" i="26"/>
  <c r="BG25" i="26"/>
  <c r="AV111" i="26"/>
  <c r="BW77" i="26"/>
  <c r="BW114" i="26"/>
  <c r="Z12" i="26"/>
  <c r="BQ45" i="26"/>
  <c r="DK34" i="26"/>
  <c r="AW57" i="26"/>
  <c r="CU56" i="26"/>
  <c r="DR33" i="26"/>
  <c r="DR15" i="26"/>
  <c r="BL71" i="26"/>
  <c r="BS74" i="26"/>
  <c r="BR46" i="26"/>
  <c r="BL89" i="26"/>
  <c r="Y15" i="26"/>
  <c r="BQ30" i="26"/>
  <c r="AJ71" i="26"/>
  <c r="AM46" i="26"/>
  <c r="CD86" i="26"/>
  <c r="BD82" i="26"/>
  <c r="BB82" i="26"/>
  <c r="CW27" i="26"/>
  <c r="DJ27" i="26"/>
  <c r="BP34" i="26"/>
  <c r="AA71" i="26"/>
  <c r="BD73" i="26"/>
  <c r="CH39" i="26"/>
  <c r="AG83" i="26"/>
  <c r="BZ67" i="26"/>
  <c r="CI34" i="26"/>
  <c r="DJ80" i="26"/>
  <c r="AR12" i="26"/>
  <c r="BN20" i="26"/>
  <c r="BE114" i="26"/>
  <c r="CH56" i="26"/>
  <c r="BO64" i="26"/>
  <c r="AW60" i="26"/>
  <c r="AC65" i="26"/>
  <c r="CH82" i="26"/>
  <c r="DO77" i="26"/>
  <c r="BH24" i="26"/>
  <c r="CF85" i="26"/>
  <c r="CX34" i="26"/>
  <c r="CO59" i="26"/>
  <c r="CV80" i="26"/>
  <c r="AA65" i="26"/>
  <c r="AH39" i="26"/>
  <c r="BS86" i="26"/>
  <c r="Y82" i="26"/>
  <c r="AO47" i="26"/>
  <c r="CJ22" i="26"/>
  <c r="BD42" i="26"/>
  <c r="AJ41" i="26"/>
  <c r="AP71" i="26"/>
  <c r="DO46" i="26"/>
  <c r="DN27" i="26"/>
  <c r="AP88" i="26"/>
  <c r="BU89" i="26"/>
  <c r="BS114" i="26"/>
  <c r="AZ31" i="26"/>
  <c r="BT71" i="26"/>
  <c r="BY68" i="26"/>
  <c r="BW71" i="26"/>
  <c r="DB64" i="26"/>
  <c r="DM46" i="26"/>
  <c r="BG30" i="26"/>
  <c r="AD48" i="26"/>
  <c r="BO86" i="26"/>
  <c r="BU73" i="26"/>
  <c r="CV21" i="26"/>
  <c r="CX112" i="26"/>
  <c r="AB34" i="26"/>
  <c r="AQ85" i="26"/>
  <c r="CX37" i="26"/>
  <c r="CL53" i="26"/>
  <c r="AO26" i="26"/>
  <c r="CX43" i="26"/>
  <c r="L43" i="26"/>
  <c r="CD15" i="26"/>
  <c r="DO19" i="26"/>
  <c r="BV80" i="26"/>
  <c r="CD77" i="26"/>
  <c r="AU36" i="26"/>
  <c r="DE73" i="26"/>
  <c r="AF68" i="26"/>
  <c r="BH51" i="26"/>
  <c r="DP12" i="26"/>
  <c r="AV61" i="26"/>
  <c r="CQ37" i="26"/>
  <c r="R18" i="26"/>
  <c r="J161" i="32" s="1"/>
  <c r="AI24" i="26"/>
  <c r="AK79" i="26"/>
  <c r="T76" i="26"/>
  <c r="BX37" i="26"/>
  <c r="BR60" i="26"/>
  <c r="DI12" i="26"/>
  <c r="CR88" i="26"/>
  <c r="DA16" i="26"/>
  <c r="DI36" i="26"/>
  <c r="CN79" i="26"/>
  <c r="AM71" i="26"/>
  <c r="DV31" i="26"/>
  <c r="CL80" i="26"/>
  <c r="BM57" i="26"/>
  <c r="BZ77" i="26"/>
  <c r="DV65" i="26"/>
  <c r="DV60" i="26"/>
  <c r="AL22" i="26"/>
  <c r="CN46" i="26"/>
  <c r="DF76" i="26"/>
  <c r="AS12" i="26"/>
  <c r="AG27" i="26"/>
  <c r="CP58" i="26"/>
  <c r="CV112" i="26"/>
  <c r="CH60" i="26"/>
  <c r="AA74" i="26"/>
  <c r="CY38" i="26"/>
  <c r="BT34" i="26"/>
  <c r="BV48" i="26"/>
  <c r="BU59" i="26"/>
  <c r="CF65" i="26"/>
  <c r="CV42" i="26"/>
  <c r="AC20" i="26"/>
  <c r="AI57" i="26"/>
  <c r="AB51" i="26"/>
  <c r="BU48" i="26"/>
  <c r="Y86" i="26"/>
  <c r="DH73" i="26"/>
  <c r="BQ65" i="26"/>
  <c r="Z36" i="26"/>
  <c r="CC39" i="26"/>
  <c r="DL80" i="26"/>
  <c r="AS42" i="26"/>
  <c r="BB42" i="26"/>
  <c r="DE26" i="26"/>
  <c r="BX112" i="26"/>
  <c r="AH56" i="26"/>
  <c r="DC42" i="26"/>
  <c r="DA54" i="26"/>
  <c r="CW111" i="26"/>
  <c r="CW16" i="26"/>
  <c r="AZ34" i="26"/>
  <c r="CU12" i="26"/>
  <c r="AB32" i="26"/>
  <c r="CH53" i="26"/>
  <c r="BG32" i="26"/>
  <c r="P76" i="26"/>
  <c r="AC68" i="26"/>
  <c r="CB52" i="26"/>
  <c r="AP59" i="26"/>
  <c r="AD79" i="26"/>
  <c r="DC36" i="26"/>
  <c r="AM88" i="26"/>
  <c r="BT51" i="26"/>
  <c r="AB15" i="26"/>
  <c r="U67" i="26"/>
  <c r="AB58" i="26"/>
  <c r="CQ43" i="26"/>
  <c r="AR64" i="26"/>
  <c r="AL11" i="26"/>
  <c r="DS65" i="26"/>
  <c r="CA12" i="26"/>
  <c r="CX70" i="26"/>
  <c r="AC56" i="26"/>
  <c r="AW30" i="26"/>
  <c r="AP19" i="26"/>
  <c r="AC24" i="26"/>
  <c r="DK83" i="26"/>
  <c r="BH28" i="26"/>
  <c r="CG34" i="26"/>
  <c r="BQ12" i="26"/>
  <c r="CY34" i="26"/>
  <c r="DN36" i="26"/>
  <c r="BT46" i="26"/>
  <c r="AF86" i="26"/>
  <c r="CU76" i="26"/>
  <c r="DL59" i="26"/>
  <c r="BR37" i="26"/>
  <c r="BY60" i="26"/>
  <c r="DA74" i="26"/>
  <c r="CV31" i="26"/>
  <c r="BL43" i="26"/>
  <c r="DR65" i="26"/>
  <c r="DH67" i="26"/>
  <c r="DU32" i="26"/>
  <c r="AG79" i="26"/>
  <c r="AN58" i="26"/>
  <c r="BB61" i="26"/>
  <c r="BD48" i="26"/>
  <c r="AI53" i="26"/>
  <c r="AQ56" i="26"/>
  <c r="AK83" i="26"/>
  <c r="DD86" i="26"/>
  <c r="AS27" i="26"/>
  <c r="CD25" i="26"/>
  <c r="DJ52" i="26"/>
  <c r="DA73" i="26"/>
  <c r="AV54" i="26"/>
  <c r="CM20" i="26"/>
  <c r="CZ71" i="26"/>
  <c r="DM89" i="26"/>
  <c r="DD82" i="26"/>
  <c r="DD77" i="26"/>
  <c r="BY28" i="26"/>
  <c r="BY86" i="26"/>
  <c r="DT60" i="26"/>
  <c r="AB73" i="26"/>
  <c r="BF57" i="26"/>
  <c r="CR45" i="26"/>
  <c r="Y111" i="26"/>
  <c r="BU37" i="26"/>
  <c r="AO39" i="26"/>
  <c r="CZ65" i="26"/>
  <c r="CK27" i="26"/>
  <c r="BA73" i="26"/>
  <c r="CH40" i="26"/>
  <c r="BX51" i="26"/>
  <c r="BW40" i="26"/>
  <c r="S24" i="26"/>
  <c r="CC41" i="26"/>
  <c r="CS15" i="26"/>
  <c r="L64" i="26"/>
  <c r="DK18" i="26"/>
  <c r="AN48" i="26"/>
  <c r="CE58" i="26"/>
  <c r="BR14" i="26"/>
  <c r="AT39" i="26"/>
  <c r="CB40" i="26"/>
  <c r="CW26" i="26"/>
  <c r="CX51" i="26"/>
  <c r="AC45" i="26"/>
  <c r="DB32" i="26"/>
  <c r="DU19" i="26"/>
  <c r="CG37" i="26"/>
  <c r="CF57" i="26"/>
  <c r="CU19" i="26"/>
  <c r="BD20" i="26"/>
  <c r="DB80" i="26"/>
  <c r="CT48" i="26"/>
  <c r="DK36" i="26"/>
  <c r="AZ77" i="26"/>
  <c r="BW27" i="26"/>
  <c r="DP82" i="26"/>
  <c r="CA89" i="26"/>
  <c r="CC51" i="26"/>
  <c r="AR46" i="26"/>
  <c r="N77" i="26"/>
  <c r="CM112" i="26"/>
  <c r="CX30" i="26"/>
  <c r="AK56" i="26"/>
  <c r="AV51" i="26"/>
  <c r="DA14" i="26"/>
  <c r="AT45" i="26"/>
  <c r="AW39" i="26"/>
  <c r="AA89" i="26"/>
  <c r="AR58" i="26"/>
  <c r="BK80" i="26"/>
  <c r="CJ71" i="26"/>
  <c r="AY57" i="26"/>
  <c r="CZ79" i="26"/>
  <c r="BU76" i="26"/>
  <c r="AU42" i="26"/>
  <c r="AM70" i="26"/>
  <c r="BR53" i="26"/>
  <c r="AY24" i="26"/>
  <c r="BI111" i="26"/>
  <c r="AJ20" i="26"/>
  <c r="DO47" i="26"/>
  <c r="CX59" i="26"/>
  <c r="BJ28" i="26"/>
  <c r="AO112" i="26"/>
  <c r="BH26" i="26"/>
  <c r="BJ89" i="26"/>
  <c r="AA25" i="26"/>
  <c r="CZ51" i="26"/>
  <c r="DE89" i="26"/>
  <c r="BW43" i="26"/>
  <c r="AX59" i="26"/>
  <c r="CR79" i="26"/>
  <c r="DL45" i="26"/>
  <c r="AN74" i="26"/>
  <c r="AS25" i="26"/>
  <c r="DL51" i="26"/>
  <c r="BP111" i="26"/>
  <c r="AX18" i="26"/>
  <c r="DF68" i="26"/>
  <c r="CK43" i="26"/>
  <c r="BN37" i="26"/>
  <c r="AS37" i="26"/>
  <c r="DR56" i="26"/>
  <c r="DV74" i="26"/>
  <c r="BS39" i="26"/>
  <c r="AR39" i="26"/>
  <c r="CI71" i="26"/>
  <c r="AP33" i="26"/>
  <c r="CI64" i="26"/>
  <c r="DG73" i="26"/>
  <c r="DR113" i="26"/>
  <c r="AZ76" i="26"/>
  <c r="DJ64" i="26"/>
  <c r="AU86" i="26"/>
  <c r="AQ89" i="26"/>
  <c r="AL30" i="26"/>
  <c r="AB46" i="26"/>
  <c r="BQ38" i="26"/>
  <c r="CS74" i="26"/>
  <c r="DP13" i="26"/>
  <c r="BK65" i="26"/>
  <c r="AC40" i="26"/>
  <c r="AY54" i="26"/>
  <c r="AO53" i="26"/>
  <c r="AG73" i="26"/>
  <c r="AF25" i="26"/>
  <c r="Z80" i="26"/>
  <c r="AI16" i="26"/>
  <c r="CW70" i="26"/>
  <c r="BR54" i="26"/>
  <c r="AD38" i="26"/>
  <c r="CK39" i="26"/>
  <c r="CI113" i="26"/>
  <c r="AK22" i="26"/>
  <c r="AX40" i="26"/>
  <c r="DD42" i="26"/>
  <c r="CD33" i="26"/>
  <c r="BO52" i="26"/>
  <c r="CK61" i="26"/>
  <c r="Q18" i="26"/>
  <c r="I161" i="32" s="1"/>
  <c r="DQ59" i="26"/>
  <c r="CL70" i="26"/>
  <c r="BR39" i="26"/>
  <c r="BZ22" i="26"/>
  <c r="CU85" i="26"/>
  <c r="DD22" i="26"/>
  <c r="AN73" i="26"/>
  <c r="AR68" i="26"/>
  <c r="Y74" i="26"/>
  <c r="DB113" i="26"/>
  <c r="BN12" i="26"/>
  <c r="DB85" i="26"/>
  <c r="BQ23" i="26"/>
  <c r="DF48" i="26"/>
  <c r="AP43" i="26"/>
  <c r="CL82" i="26"/>
  <c r="AO28" i="26"/>
  <c r="V26" i="26"/>
  <c r="AK89" i="26"/>
  <c r="CY82" i="26"/>
  <c r="BY57" i="26"/>
  <c r="AF31" i="26"/>
  <c r="AF26" i="26"/>
  <c r="DJ22" i="26"/>
  <c r="DN64" i="26"/>
  <c r="CV83" i="26"/>
  <c r="BD37" i="26"/>
  <c r="CY46" i="26"/>
  <c r="CS71" i="26"/>
  <c r="AL85" i="26"/>
  <c r="DA12" i="26"/>
  <c r="CT52" i="26"/>
  <c r="AY86" i="26"/>
  <c r="R74" i="26"/>
  <c r="AP36" i="26"/>
  <c r="CJ56" i="26"/>
  <c r="BT58" i="26"/>
  <c r="CQ67" i="26"/>
  <c r="AT61" i="26"/>
  <c r="BM112" i="26"/>
  <c r="CB26" i="26"/>
  <c r="CO79" i="26"/>
  <c r="DD40" i="26"/>
  <c r="DD48" i="26"/>
  <c r="BA71" i="26"/>
  <c r="BO48" i="26"/>
  <c r="BJ45" i="26"/>
  <c r="AM16" i="26"/>
  <c r="AH20" i="26"/>
  <c r="DE71" i="26"/>
  <c r="CN37" i="26"/>
  <c r="T21" i="26"/>
  <c r="L163" i="32" s="1"/>
  <c r="N27" i="26"/>
  <c r="F166" i="32" s="1"/>
  <c r="CS73" i="26"/>
  <c r="CT73" i="26"/>
  <c r="L77" i="26"/>
  <c r="BK85" i="26"/>
  <c r="CX57" i="26"/>
  <c r="CK12" i="26"/>
  <c r="BT68" i="26"/>
  <c r="CH16" i="26"/>
  <c r="DL16" i="26"/>
  <c r="BW24" i="26"/>
  <c r="DO60" i="26"/>
  <c r="BS113" i="26"/>
  <c r="AG39" i="26"/>
  <c r="BG68" i="26"/>
  <c r="AN36" i="26"/>
  <c r="BX38" i="26"/>
  <c r="AA79" i="26"/>
  <c r="BF76" i="26"/>
  <c r="DJ26" i="26"/>
  <c r="DQ111" i="26"/>
  <c r="CK71" i="26"/>
  <c r="AI88" i="26"/>
  <c r="DC51" i="26"/>
  <c r="BV57" i="26"/>
  <c r="AQ80" i="26"/>
  <c r="AZ58" i="26"/>
  <c r="BM52" i="26"/>
  <c r="CI33" i="26"/>
  <c r="AH82" i="26"/>
  <c r="CE27" i="26"/>
  <c r="BY41" i="26"/>
  <c r="AM37" i="26"/>
  <c r="AI46" i="26"/>
  <c r="BK31" i="26"/>
  <c r="BY30" i="26"/>
  <c r="AR30" i="26"/>
  <c r="CG48" i="26"/>
  <c r="BP14" i="26"/>
  <c r="CA86" i="26"/>
  <c r="CE43" i="26"/>
  <c r="DO68" i="26"/>
  <c r="Y57" i="26"/>
  <c r="BI71" i="26"/>
  <c r="T38" i="26"/>
  <c r="AR114" i="26"/>
  <c r="DJ36" i="26"/>
  <c r="BL79" i="26"/>
  <c r="CO32" i="26"/>
  <c r="DF65" i="26"/>
  <c r="DC67" i="26"/>
  <c r="DV86" i="26"/>
  <c r="AT30" i="26"/>
  <c r="DR73" i="26"/>
  <c r="DU11" i="26"/>
  <c r="AM52" i="26"/>
  <c r="BH52" i="26"/>
  <c r="BZ31" i="26"/>
  <c r="BU23" i="26"/>
  <c r="BO77" i="26"/>
  <c r="CU48" i="26"/>
  <c r="AJ18" i="26"/>
  <c r="AZ85" i="26"/>
  <c r="CK30" i="26"/>
  <c r="DD15" i="26"/>
  <c r="AJ39" i="26"/>
  <c r="AU52" i="26"/>
  <c r="CP74" i="26"/>
  <c r="BG46" i="26"/>
  <c r="DN47" i="26"/>
  <c r="DF59" i="26"/>
  <c r="DG28" i="26"/>
  <c r="DO33" i="26"/>
  <c r="CB47" i="26"/>
  <c r="AO60" i="26"/>
  <c r="AT67" i="26"/>
  <c r="CE20" i="26"/>
  <c r="DB47" i="26"/>
  <c r="BO16" i="26"/>
  <c r="AS61" i="26"/>
  <c r="BL16" i="26"/>
  <c r="AK74" i="26"/>
  <c r="CX88" i="26"/>
  <c r="CP54" i="26"/>
  <c r="CA21" i="26"/>
  <c r="CS53" i="26"/>
  <c r="BE52" i="26"/>
  <c r="CD37" i="26"/>
  <c r="AS60" i="26"/>
  <c r="L113" i="26"/>
  <c r="Y16" i="26"/>
  <c r="CQ48" i="26"/>
  <c r="DA76" i="26"/>
  <c r="AL46" i="26"/>
  <c r="AZ48" i="26"/>
  <c r="DO39" i="26"/>
  <c r="AO85" i="26"/>
  <c r="BW45" i="26"/>
  <c r="CA22" i="26"/>
  <c r="AV46" i="26"/>
  <c r="DQ71" i="26"/>
  <c r="AB28" i="26"/>
  <c r="AP24" i="26"/>
  <c r="DL34" i="26"/>
  <c r="CV79" i="26"/>
  <c r="CO25" i="26"/>
  <c r="AP16" i="26"/>
  <c r="AM89" i="26"/>
  <c r="BH111" i="26"/>
  <c r="CT54" i="26"/>
  <c r="DK85" i="26"/>
  <c r="DA47" i="26"/>
  <c r="DG47" i="26"/>
  <c r="BT48" i="26"/>
  <c r="BA79" i="26"/>
  <c r="AW54" i="26"/>
  <c r="AO21" i="26"/>
  <c r="AG18" i="26"/>
  <c r="AB26" i="26"/>
  <c r="CZ59" i="26"/>
  <c r="AK82" i="26"/>
  <c r="CM18" i="26"/>
  <c r="CN61" i="26"/>
  <c r="DD76" i="26"/>
  <c r="DJ70" i="26"/>
  <c r="CF28" i="26"/>
  <c r="BM56" i="26"/>
  <c r="AP12" i="26"/>
  <c r="BF46" i="26"/>
  <c r="DJ39" i="26"/>
  <c r="DA37" i="26"/>
  <c r="CU65" i="26"/>
  <c r="CW89" i="26"/>
  <c r="BK70" i="26"/>
  <c r="CF61" i="26"/>
  <c r="Z71" i="26"/>
  <c r="AF37" i="26"/>
  <c r="AO88" i="26"/>
  <c r="CK22" i="26"/>
  <c r="AI58" i="26"/>
  <c r="CF51" i="26"/>
  <c r="BE24" i="26"/>
  <c r="DG80" i="26"/>
  <c r="AZ38" i="26"/>
  <c r="AA14" i="26"/>
  <c r="DB18" i="26"/>
  <c r="DC20" i="26"/>
  <c r="CW68" i="26"/>
  <c r="CJ57" i="26"/>
  <c r="AT40" i="26"/>
  <c r="CQ26" i="26"/>
  <c r="DN56" i="26"/>
  <c r="AN37" i="26"/>
  <c r="BD65" i="26"/>
  <c r="AV70" i="26"/>
  <c r="BJ85" i="26"/>
  <c r="AW77" i="26"/>
  <c r="DD51" i="26"/>
  <c r="CU51" i="26"/>
  <c r="BD64" i="26"/>
  <c r="BL13" i="26"/>
  <c r="Z57" i="26"/>
  <c r="AJ67" i="26"/>
  <c r="AC28" i="26"/>
  <c r="BH71" i="26"/>
  <c r="DA52" i="26"/>
  <c r="BM114" i="26"/>
  <c r="BK38" i="26"/>
  <c r="AY82" i="26"/>
  <c r="DU59" i="26"/>
  <c r="BT28" i="26"/>
  <c r="CI21" i="26"/>
  <c r="BG37" i="26"/>
  <c r="AP57" i="26"/>
  <c r="DC25" i="26"/>
  <c r="BX34" i="26"/>
  <c r="BO59" i="26"/>
  <c r="AR73" i="26"/>
  <c r="AU26" i="26"/>
  <c r="BY37" i="26"/>
  <c r="BA34" i="26"/>
  <c r="AY80" i="26"/>
  <c r="CP38" i="26"/>
  <c r="CM46" i="26"/>
  <c r="AW48" i="26"/>
  <c r="CH64" i="26"/>
  <c r="AI31" i="26"/>
  <c r="CF54" i="26"/>
  <c r="BA37" i="26"/>
  <c r="AQ38" i="26"/>
  <c r="AV16" i="26"/>
  <c r="CR28" i="26"/>
  <c r="AC37" i="26"/>
  <c r="CF37" i="26"/>
  <c r="DL61" i="26"/>
  <c r="CV65" i="26"/>
  <c r="CX40" i="26"/>
  <c r="DS67" i="26"/>
  <c r="CG68" i="26"/>
  <c r="AD15" i="26"/>
  <c r="AD14" i="26"/>
  <c r="CS19" i="26"/>
  <c r="AJ111" i="26"/>
  <c r="AD112" i="26"/>
  <c r="AE57" i="26"/>
  <c r="BJ57" i="26"/>
  <c r="DD111" i="26"/>
  <c r="CC82" i="26"/>
  <c r="CU112" i="26"/>
  <c r="DG20" i="26"/>
  <c r="AA57" i="26"/>
  <c r="DT42" i="26"/>
  <c r="DU114" i="26"/>
  <c r="AM59" i="26"/>
  <c r="DG18" i="26"/>
  <c r="BJ27" i="26"/>
  <c r="CV48" i="26"/>
  <c r="BW113" i="26"/>
  <c r="CQ56" i="26"/>
  <c r="CE36" i="26"/>
  <c r="CM39" i="26"/>
  <c r="BX64" i="26"/>
  <c r="AC86" i="26"/>
  <c r="BV74" i="26"/>
  <c r="CY25" i="26"/>
  <c r="BU20" i="26"/>
  <c r="O74" i="26"/>
  <c r="DC18" i="26"/>
  <c r="CN64" i="26"/>
  <c r="DE111" i="26"/>
  <c r="CD12" i="26"/>
  <c r="DO70" i="26"/>
  <c r="BE21" i="26"/>
  <c r="DH46" i="26"/>
  <c r="AF36" i="26"/>
  <c r="BS32" i="26"/>
  <c r="DH26" i="26"/>
  <c r="CA112" i="26"/>
  <c r="CW22" i="26"/>
  <c r="DA48" i="26"/>
  <c r="AC46" i="26"/>
  <c r="BG34" i="26"/>
  <c r="CC59" i="26"/>
  <c r="AU70" i="26"/>
  <c r="CV58" i="26"/>
  <c r="DH39" i="26"/>
  <c r="AR40" i="26"/>
  <c r="AD71" i="26"/>
  <c r="AJ68" i="26"/>
  <c r="DA80" i="26"/>
  <c r="AZ113" i="26"/>
  <c r="CK59" i="26"/>
  <c r="BT21" i="26"/>
  <c r="CR82" i="26"/>
  <c r="CO22" i="26"/>
  <c r="AZ73" i="26"/>
  <c r="Q19" i="26"/>
  <c r="I162" i="32" s="1"/>
  <c r="AE56" i="26"/>
  <c r="Q73" i="26"/>
  <c r="CY16" i="26"/>
  <c r="CW45" i="26"/>
  <c r="CH111" i="26"/>
  <c r="AE32" i="26"/>
  <c r="DP57" i="26"/>
  <c r="BV31" i="26"/>
  <c r="AH33" i="26"/>
  <c r="BY34" i="26"/>
  <c r="DE20" i="26"/>
  <c r="DN23" i="26"/>
  <c r="AV53" i="26"/>
  <c r="BK46" i="26"/>
  <c r="CP45" i="26"/>
  <c r="BX59" i="26"/>
  <c r="DT88" i="26"/>
  <c r="CS12" i="26"/>
  <c r="DV34" i="26"/>
  <c r="DS31" i="26"/>
  <c r="AZ67" i="26"/>
  <c r="AZ25" i="26"/>
  <c r="Z16" i="26"/>
  <c r="BC21" i="26"/>
  <c r="DP54" i="26"/>
  <c r="AC74" i="26"/>
  <c r="BT82" i="26"/>
  <c r="Z77" i="26"/>
  <c r="DL89" i="26"/>
  <c r="CA24" i="26"/>
  <c r="AR36" i="26"/>
  <c r="CM76" i="26"/>
  <c r="BY59" i="26"/>
  <c r="AP42" i="26"/>
  <c r="BE57" i="26"/>
  <c r="CR61" i="26"/>
  <c r="BN70" i="26"/>
  <c r="BJ34" i="26"/>
  <c r="BL56" i="26"/>
  <c r="BR52" i="26"/>
  <c r="AQ37" i="26"/>
  <c r="BL61" i="26"/>
  <c r="DI65" i="26"/>
  <c r="AS54" i="26"/>
  <c r="AA51" i="26"/>
  <c r="DG22" i="26"/>
  <c r="DR71" i="26"/>
  <c r="BZ88" i="26"/>
  <c r="BS88" i="26"/>
  <c r="DG114" i="26"/>
  <c r="CJ20" i="26"/>
  <c r="DF41" i="26"/>
  <c r="BC46" i="26"/>
  <c r="CK86" i="26"/>
  <c r="AF32" i="26"/>
  <c r="DD89" i="26"/>
  <c r="BJ20" i="26"/>
  <c r="CL56" i="26"/>
  <c r="CZ83" i="26"/>
  <c r="BU88" i="26"/>
  <c r="DP39" i="26"/>
  <c r="Z68" i="26"/>
  <c r="BG22" i="26"/>
  <c r="DD54" i="26"/>
  <c r="AI56" i="26"/>
  <c r="DB24" i="26"/>
  <c r="DE28" i="26"/>
  <c r="AG112" i="26"/>
  <c r="AK11" i="26"/>
  <c r="BC111" i="26"/>
  <c r="CG39" i="26"/>
  <c r="Z28" i="26"/>
  <c r="CU71" i="26"/>
  <c r="BK58" i="26"/>
  <c r="DR68" i="26"/>
  <c r="Y14" i="26"/>
  <c r="CR52" i="26"/>
  <c r="DU36" i="26"/>
  <c r="DP88" i="26"/>
  <c r="BX58" i="26"/>
  <c r="AQ32" i="26"/>
  <c r="BM51" i="26"/>
  <c r="DC41" i="26"/>
  <c r="CY47" i="26"/>
  <c r="BT40" i="26"/>
  <c r="DN37" i="26"/>
  <c r="BA89" i="26"/>
  <c r="DS73" i="26"/>
  <c r="AJ27" i="26"/>
  <c r="CD64" i="26"/>
  <c r="O30" i="26"/>
  <c r="G180" i="32" s="1"/>
  <c r="DC76" i="26"/>
  <c r="CH85" i="26"/>
  <c r="AR37" i="26"/>
  <c r="AE24" i="26"/>
  <c r="CI45" i="26"/>
  <c r="AL64" i="26"/>
  <c r="AN33" i="26"/>
  <c r="V113" i="26"/>
  <c r="CN47" i="26"/>
  <c r="O85" i="26"/>
  <c r="AK39" i="26"/>
  <c r="DE112" i="26"/>
  <c r="DD114" i="26"/>
  <c r="AN71" i="26"/>
  <c r="AU111" i="26"/>
  <c r="BB21" i="26"/>
  <c r="CG52" i="26"/>
  <c r="AG57" i="26"/>
  <c r="DV57" i="26"/>
  <c r="BF85" i="26"/>
  <c r="BL34" i="26"/>
  <c r="DU53" i="26"/>
  <c r="BE83" i="26"/>
  <c r="AM21" i="26"/>
  <c r="DF33" i="26"/>
  <c r="BF48" i="26"/>
  <c r="CZ77" i="26"/>
  <c r="AR54" i="26"/>
  <c r="BW26" i="26"/>
  <c r="N113" i="26"/>
  <c r="DU39" i="26"/>
  <c r="AQ42" i="26"/>
  <c r="CG43" i="26"/>
  <c r="DM54" i="26"/>
  <c r="CK58" i="26"/>
  <c r="CZ57" i="26"/>
  <c r="AL40" i="26"/>
  <c r="BA31" i="26"/>
  <c r="CY31" i="26"/>
  <c r="U34" i="26"/>
  <c r="M179" i="32" s="1"/>
  <c r="DN20" i="26"/>
  <c r="CU14" i="26"/>
  <c r="AK112" i="26"/>
  <c r="BU56" i="26"/>
  <c r="BL85" i="26"/>
  <c r="S76" i="26"/>
  <c r="CU30" i="26"/>
  <c r="CA34" i="26"/>
  <c r="DJ112" i="26"/>
  <c r="DO23" i="26"/>
  <c r="CW76" i="26"/>
  <c r="CT22" i="26"/>
  <c r="AR14" i="26"/>
  <c r="AS114" i="26"/>
  <c r="BA33" i="26"/>
  <c r="DT57" i="26"/>
  <c r="BJ56" i="26"/>
  <c r="BS59" i="26"/>
  <c r="AU76" i="26"/>
  <c r="CP24" i="26"/>
  <c r="AH11" i="26"/>
  <c r="AD22" i="26"/>
  <c r="BG59" i="26"/>
  <c r="AZ37" i="26"/>
  <c r="BI18" i="26"/>
  <c r="AH38" i="26"/>
  <c r="AY51" i="26"/>
  <c r="DB112" i="26"/>
  <c r="DD71" i="26"/>
  <c r="N65" i="26"/>
  <c r="DV70" i="26"/>
  <c r="DQ56" i="26"/>
  <c r="DU51" i="26"/>
  <c r="BQ27" i="26"/>
  <c r="BP65" i="26"/>
  <c r="AF80" i="26"/>
  <c r="AK46" i="26"/>
  <c r="CZ58" i="26"/>
  <c r="CW28" i="26"/>
  <c r="CV76" i="26"/>
  <c r="S85" i="26"/>
  <c r="CT82" i="26"/>
  <c r="AC111" i="26"/>
  <c r="T73" i="26"/>
  <c r="CD18" i="26"/>
  <c r="DJ67" i="26"/>
  <c r="CI82" i="26"/>
  <c r="AY19" i="26"/>
  <c r="Y56" i="26"/>
  <c r="BI28" i="26"/>
  <c r="DT22" i="26"/>
  <c r="CB42" i="26"/>
  <c r="BI45" i="26"/>
  <c r="AF58" i="26"/>
  <c r="DS41" i="26"/>
  <c r="CY60" i="26"/>
  <c r="BH42" i="26"/>
  <c r="CO73" i="26"/>
  <c r="CQ24" i="26"/>
  <c r="DV26" i="26"/>
  <c r="DU56" i="26"/>
  <c r="CD28" i="26"/>
  <c r="CS11" i="26"/>
  <c r="W24" i="26"/>
  <c r="AC43" i="26"/>
  <c r="CS46" i="26"/>
  <c r="BJ71" i="26"/>
  <c r="DI19" i="26"/>
  <c r="BF56" i="26"/>
  <c r="CZ46" i="26"/>
  <c r="AI39" i="26"/>
  <c r="BO33" i="26"/>
  <c r="CY48" i="26"/>
  <c r="BX56" i="26"/>
  <c r="BS42" i="26"/>
  <c r="DL57" i="26"/>
  <c r="CJ19" i="26"/>
  <c r="CH89" i="26"/>
  <c r="BT38" i="26"/>
  <c r="DI57" i="26"/>
  <c r="CQ27" i="26"/>
  <c r="BZ60" i="26"/>
  <c r="DJ40" i="26"/>
  <c r="CC112" i="26"/>
  <c r="AF83" i="26"/>
  <c r="AT42" i="26"/>
  <c r="BF42" i="26"/>
  <c r="BO111" i="26"/>
  <c r="CP40" i="26"/>
  <c r="DF20" i="26"/>
  <c r="BM82" i="26"/>
  <c r="AV13" i="26"/>
  <c r="DA31" i="26"/>
  <c r="CN38" i="26"/>
  <c r="CB58" i="26"/>
  <c r="CB114" i="26"/>
  <c r="BE15" i="26"/>
  <c r="BN73" i="26"/>
  <c r="DP113" i="26"/>
  <c r="BS11" i="26"/>
  <c r="DR38" i="26"/>
  <c r="BW13" i="26"/>
  <c r="BQ82" i="26"/>
  <c r="AV11" i="26"/>
  <c r="AN85" i="26"/>
  <c r="DH65" i="26"/>
  <c r="DJ111" i="26"/>
  <c r="BP12" i="26"/>
  <c r="DB65" i="26"/>
  <c r="BQ32" i="26"/>
  <c r="BP31" i="26"/>
  <c r="AI47" i="26"/>
  <c r="CS32" i="26"/>
  <c r="CN70" i="26"/>
  <c r="AL48" i="26"/>
  <c r="BO79" i="26"/>
  <c r="DU12" i="26"/>
  <c r="AD40" i="26"/>
  <c r="AO31" i="26"/>
  <c r="DT80" i="26"/>
  <c r="BR85" i="26"/>
  <c r="AG12" i="26"/>
  <c r="DJ73" i="26"/>
  <c r="BN19" i="26"/>
  <c r="AN16" i="26"/>
  <c r="CO85" i="26"/>
  <c r="BR70" i="26"/>
  <c r="DG82" i="26"/>
  <c r="DL60" i="26"/>
  <c r="Z111" i="26"/>
  <c r="CH45" i="26"/>
  <c r="BV18" i="26"/>
  <c r="CF19" i="26"/>
  <c r="CM40" i="26"/>
  <c r="AD74" i="26"/>
  <c r="CB79" i="26"/>
  <c r="BV58" i="26"/>
  <c r="P21" i="26"/>
  <c r="H163" i="32" s="1"/>
  <c r="DL76" i="26"/>
  <c r="DI111" i="26"/>
  <c r="DM61" i="26"/>
  <c r="BQ13" i="26"/>
  <c r="DD60" i="26"/>
  <c r="AG77" i="26"/>
  <c r="DP64" i="26"/>
  <c r="BK74" i="26"/>
  <c r="BC114" i="26"/>
  <c r="BI76" i="26"/>
  <c r="AS79" i="26"/>
  <c r="CQ74" i="26"/>
  <c r="DH22" i="26"/>
  <c r="DT33" i="26"/>
  <c r="CS51" i="26"/>
  <c r="AI43" i="26"/>
  <c r="CY76" i="26"/>
  <c r="Z56" i="26"/>
  <c r="CP22" i="26"/>
  <c r="BV30" i="26"/>
  <c r="DH40" i="26"/>
  <c r="CT57" i="26"/>
  <c r="DN88" i="26"/>
  <c r="BQ88" i="26"/>
  <c r="CB43" i="26"/>
  <c r="AT53" i="26"/>
  <c r="DR16" i="26"/>
  <c r="DN28" i="26"/>
  <c r="DV83" i="26"/>
  <c r="DI51" i="26"/>
  <c r="AH79" i="26"/>
  <c r="DS58" i="26"/>
  <c r="BQ21" i="26"/>
  <c r="BI40" i="26"/>
  <c r="DD34" i="26"/>
  <c r="AY11" i="26"/>
  <c r="CS54" i="26"/>
  <c r="BJ82" i="26"/>
  <c r="DG79" i="26"/>
  <c r="CB60" i="26"/>
  <c r="BM46" i="26"/>
  <c r="DS89" i="26"/>
  <c r="Z43" i="26"/>
  <c r="DP71" i="26"/>
  <c r="Q37" i="26"/>
  <c r="CS48" i="26"/>
  <c r="DV37" i="26"/>
  <c r="CD53" i="26"/>
  <c r="BV24" i="26"/>
  <c r="BH46" i="26"/>
  <c r="DP26" i="26"/>
  <c r="BZ38" i="26"/>
  <c r="CR39" i="26"/>
  <c r="DK45" i="26"/>
  <c r="BH112" i="26"/>
  <c r="V19" i="26"/>
  <c r="N162" i="32" s="1"/>
  <c r="DR89" i="26"/>
  <c r="AN40" i="26"/>
  <c r="AQ60" i="26"/>
  <c r="S71" i="26"/>
  <c r="Y37" i="26"/>
  <c r="CR86" i="26"/>
  <c r="AL37" i="26"/>
  <c r="CI80" i="26"/>
  <c r="DS43" i="26"/>
  <c r="BK51" i="26"/>
  <c r="CE22" i="26"/>
  <c r="DP16" i="26"/>
  <c r="BJ64" i="26"/>
  <c r="BR114" i="26"/>
  <c r="AR33" i="26"/>
  <c r="CG77" i="26"/>
  <c r="BD112" i="26"/>
  <c r="CT80" i="26"/>
  <c r="U30" i="26"/>
  <c r="M180" i="32" s="1"/>
  <c r="BU51" i="26"/>
  <c r="BA82" i="26"/>
  <c r="AE51" i="26"/>
  <c r="BK30" i="26"/>
  <c r="AM68" i="26"/>
  <c r="DN48" i="26"/>
  <c r="BF24" i="26"/>
  <c r="CB24" i="26"/>
  <c r="DU45" i="26"/>
  <c r="CA59" i="26"/>
  <c r="BE58" i="26"/>
  <c r="BI83" i="26"/>
  <c r="AP46" i="26"/>
  <c r="BN51" i="26"/>
  <c r="AG23" i="26"/>
  <c r="O26" i="26"/>
  <c r="W64" i="26"/>
  <c r="CS36" i="26"/>
  <c r="AM60" i="26"/>
  <c r="AY59" i="26"/>
  <c r="BH48" i="26"/>
  <c r="AB38" i="26"/>
  <c r="CC68" i="26"/>
  <c r="V77" i="26"/>
  <c r="CG113" i="26"/>
  <c r="CT47" i="26"/>
  <c r="CN82" i="26"/>
  <c r="CG20" i="26"/>
  <c r="AI68" i="26"/>
  <c r="DN19" i="26"/>
  <c r="DF79" i="26"/>
  <c r="AY112" i="26"/>
  <c r="CN71" i="26"/>
  <c r="DU13" i="26"/>
  <c r="DN112" i="26"/>
  <c r="BG88" i="26"/>
  <c r="AK88" i="26"/>
  <c r="BZ71" i="26"/>
  <c r="CF73" i="26"/>
  <c r="AG24" i="26"/>
  <c r="CE111" i="26"/>
  <c r="CN26" i="26"/>
  <c r="DQ61" i="26"/>
  <c r="Y45" i="26"/>
  <c r="AW67" i="26"/>
  <c r="CA64" i="26"/>
  <c r="AY31" i="26"/>
  <c r="CF47" i="26"/>
  <c r="DP25" i="26"/>
  <c r="AE14" i="26"/>
  <c r="AZ70" i="26"/>
  <c r="R85" i="26"/>
  <c r="BV64" i="26"/>
  <c r="CN65" i="26"/>
  <c r="BW37" i="26"/>
  <c r="DH86" i="26"/>
  <c r="DQ40" i="26"/>
  <c r="CQ88" i="26"/>
  <c r="CT113" i="26"/>
  <c r="CV45" i="26"/>
  <c r="DA83" i="26"/>
  <c r="X73" i="26"/>
  <c r="DA20" i="26"/>
  <c r="BC89" i="26"/>
  <c r="AG28" i="26"/>
  <c r="DF27" i="26"/>
  <c r="CX76" i="26"/>
  <c r="BQ31" i="26"/>
  <c r="BK112" i="26"/>
  <c r="CB27" i="26"/>
  <c r="CU53" i="26"/>
  <c r="CM65" i="26"/>
  <c r="DG12" i="26"/>
  <c r="AI30" i="26"/>
  <c r="CJ43" i="26"/>
  <c r="BK83" i="26"/>
  <c r="CO76" i="26"/>
  <c r="BN41" i="26"/>
  <c r="CF79" i="26"/>
  <c r="W73" i="26"/>
  <c r="DI40" i="26"/>
  <c r="CP36" i="26"/>
  <c r="BX52" i="26"/>
  <c r="BV39" i="26"/>
  <c r="BM76" i="26"/>
  <c r="DH20" i="26"/>
  <c r="DA24" i="26"/>
  <c r="DU76" i="26"/>
  <c r="BG26" i="26"/>
  <c r="BP19" i="26"/>
  <c r="CE42" i="26"/>
  <c r="CN89" i="26"/>
  <c r="AT59" i="26"/>
  <c r="AF18" i="26"/>
  <c r="DB26" i="26"/>
  <c r="DB67" i="26"/>
  <c r="AV33" i="26"/>
  <c r="AA64" i="26"/>
  <c r="M85" i="26"/>
  <c r="CL83" i="26"/>
  <c r="AH86" i="26"/>
  <c r="CR51" i="26"/>
  <c r="CP12" i="26"/>
  <c r="AH52" i="26"/>
  <c r="BI34" i="26"/>
  <c r="BF39" i="26"/>
  <c r="AN38" i="26"/>
  <c r="DG41" i="26"/>
  <c r="AS86" i="26"/>
  <c r="AR11" i="26"/>
  <c r="CD111" i="26"/>
  <c r="CC77" i="26"/>
  <c r="AX57" i="26"/>
  <c r="AR61" i="26"/>
  <c r="DS76" i="26"/>
  <c r="AY12" i="26"/>
  <c r="CG76" i="26"/>
  <c r="CQ82" i="26"/>
  <c r="AD19" i="26"/>
  <c r="AC39" i="26"/>
  <c r="BI85" i="26"/>
  <c r="AD82" i="26"/>
  <c r="BF83" i="26"/>
  <c r="AO42" i="26"/>
  <c r="CQ23" i="26"/>
  <c r="CD42" i="26"/>
  <c r="AU57" i="26"/>
  <c r="DL20" i="26"/>
  <c r="DM39" i="26"/>
  <c r="CB45" i="26"/>
  <c r="CE45" i="26"/>
  <c r="CB21" i="26"/>
  <c r="AA20" i="26"/>
  <c r="DF25" i="26"/>
  <c r="DV42" i="26"/>
  <c r="BD14" i="26"/>
  <c r="DO34" i="26"/>
  <c r="AD51" i="26"/>
  <c r="BJ61" i="26"/>
  <c r="DT73" i="26"/>
  <c r="AP40" i="26"/>
  <c r="DJ28" i="26"/>
  <c r="BI52" i="26"/>
  <c r="AQ18" i="26"/>
  <c r="CJ41" i="26"/>
  <c r="AE61" i="26"/>
  <c r="CX38" i="26"/>
  <c r="CP28" i="26"/>
  <c r="O18" i="26"/>
  <c r="G161" i="32" s="1"/>
  <c r="AF71" i="26"/>
  <c r="DJ86" i="26"/>
  <c r="V73" i="26"/>
  <c r="DU46" i="26"/>
  <c r="AV34" i="26"/>
  <c r="CX36" i="26"/>
  <c r="CC46" i="26"/>
  <c r="CN41" i="26"/>
  <c r="BR77" i="26"/>
  <c r="AK111" i="26"/>
  <c r="AD26" i="26"/>
  <c r="DC71" i="26"/>
  <c r="AQ46" i="26"/>
  <c r="CC85" i="26"/>
  <c r="R77" i="26"/>
  <c r="CM23" i="26"/>
  <c r="CA52" i="26"/>
  <c r="CN27" i="26"/>
  <c r="DO88" i="26"/>
  <c r="DI88" i="26"/>
  <c r="AC52" i="26"/>
  <c r="AZ111" i="26"/>
  <c r="BR28" i="26"/>
  <c r="BA27" i="26"/>
  <c r="CX48" i="26"/>
  <c r="AN65" i="26"/>
  <c r="CJ16" i="26"/>
  <c r="AK73" i="26"/>
  <c r="AF70" i="26"/>
  <c r="BX41" i="26"/>
  <c r="AO80" i="26"/>
  <c r="CR41" i="26"/>
  <c r="CL57" i="26"/>
  <c r="BX19" i="26"/>
  <c r="L70" i="26"/>
  <c r="BU60" i="26"/>
  <c r="BD41" i="26"/>
  <c r="DN18" i="26"/>
  <c r="DL41" i="26"/>
  <c r="AR85" i="26"/>
  <c r="CQ22" i="26"/>
  <c r="CY73" i="26"/>
  <c r="AV31" i="26"/>
  <c r="BY58" i="26"/>
  <c r="CD23" i="26"/>
  <c r="DC32" i="26"/>
  <c r="X37" i="26"/>
  <c r="DF80" i="26"/>
  <c r="DF13" i="26"/>
  <c r="DF57" i="26"/>
  <c r="DN39" i="26"/>
  <c r="BK47" i="26"/>
  <c r="DG25" i="26"/>
  <c r="CY67" i="26"/>
  <c r="DT54" i="26"/>
  <c r="DL64" i="26"/>
  <c r="AZ86" i="26"/>
  <c r="BU65" i="26"/>
  <c r="AF42" i="26"/>
  <c r="BQ77" i="26"/>
  <c r="DI20" i="26"/>
  <c r="CW23" i="26"/>
  <c r="CL41" i="26"/>
  <c r="BF60" i="26"/>
  <c r="AX71" i="26"/>
  <c r="CY12" i="26"/>
  <c r="DK54" i="26"/>
  <c r="DI79" i="26"/>
  <c r="BI67" i="26"/>
  <c r="CD76" i="26"/>
  <c r="BT80" i="26"/>
  <c r="BE59" i="26"/>
  <c r="BE19" i="26"/>
  <c r="BN15" i="26"/>
  <c r="S77" i="26"/>
  <c r="CD88" i="26"/>
  <c r="AB67" i="26"/>
  <c r="BC42" i="26"/>
  <c r="CH23" i="26"/>
  <c r="BK76" i="26"/>
  <c r="AM76" i="26"/>
  <c r="BF77" i="26"/>
  <c r="CT64" i="26"/>
  <c r="BC56" i="26"/>
  <c r="DE59" i="26"/>
  <c r="Z79" i="26"/>
  <c r="CF86" i="26"/>
  <c r="CV32" i="26"/>
  <c r="AD45" i="26"/>
  <c r="CW83" i="26"/>
  <c r="BW48" i="26"/>
  <c r="AT111" i="26"/>
  <c r="AH42" i="26"/>
  <c r="DR46" i="26"/>
  <c r="BY23" i="26"/>
  <c r="AX24" i="26"/>
  <c r="BU13" i="26"/>
  <c r="DQ38" i="26"/>
  <c r="CI47" i="26"/>
  <c r="DJ14" i="26"/>
  <c r="DM77" i="26"/>
  <c r="BT89" i="26"/>
  <c r="BZ47" i="26"/>
  <c r="DA25" i="26"/>
  <c r="AP77" i="26"/>
  <c r="CJ111" i="26"/>
  <c r="CS39" i="26"/>
  <c r="DC83" i="26"/>
  <c r="AF45" i="26"/>
  <c r="DK37" i="26"/>
  <c r="AO34" i="26"/>
  <c r="CL42" i="26"/>
  <c r="T26" i="26"/>
  <c r="BS70" i="26"/>
  <c r="CF34" i="26"/>
  <c r="DQ68" i="26"/>
  <c r="BY18" i="26"/>
  <c r="DR22" i="26"/>
  <c r="CR68" i="26"/>
  <c r="BB20" i="26"/>
  <c r="BF112" i="26"/>
  <c r="CT25" i="26"/>
  <c r="BV51" i="26"/>
  <c r="BF58" i="26"/>
  <c r="CL76" i="26"/>
  <c r="DB14" i="26"/>
  <c r="AA42" i="26"/>
  <c r="AM26" i="26"/>
  <c r="AA21" i="26"/>
  <c r="AT68" i="26"/>
  <c r="DU38" i="26"/>
  <c r="AU20" i="26"/>
  <c r="DK19" i="26"/>
  <c r="P67" i="26"/>
  <c r="DR53" i="26"/>
  <c r="CB13" i="26"/>
  <c r="CJ32" i="26"/>
  <c r="AN88" i="26"/>
  <c r="BC51" i="26"/>
  <c r="DK16" i="26"/>
  <c r="DF12" i="26"/>
  <c r="U21" i="26"/>
  <c r="M163" i="32" s="1"/>
  <c r="BL88" i="26"/>
  <c r="CA18" i="26"/>
  <c r="CJ45" i="26"/>
  <c r="CM64" i="26"/>
  <c r="AT54" i="26"/>
  <c r="BX57" i="26"/>
  <c r="BX67" i="26"/>
  <c r="AB61" i="26"/>
  <c r="DD58" i="26"/>
  <c r="DP65" i="26"/>
  <c r="DR37" i="26"/>
  <c r="AD52" i="26"/>
  <c r="DI73" i="26"/>
  <c r="AT31" i="26"/>
  <c r="CV38" i="26"/>
  <c r="AV114" i="26"/>
  <c r="BP13" i="26"/>
  <c r="Z52" i="26"/>
  <c r="AX19" i="26"/>
  <c r="BD59" i="26"/>
  <c r="CU41" i="26"/>
  <c r="CL33" i="26"/>
  <c r="CH61" i="26"/>
  <c r="CC80" i="26"/>
  <c r="DU47" i="26"/>
  <c r="CH42" i="26"/>
  <c r="AB79" i="26"/>
  <c r="AJ14" i="26"/>
  <c r="CK19" i="26"/>
  <c r="AP52" i="26"/>
  <c r="DI56" i="26"/>
  <c r="BU112" i="26"/>
  <c r="DL58" i="26"/>
  <c r="CO27" i="26"/>
  <c r="BN39" i="26"/>
  <c r="DC80" i="26"/>
  <c r="CI41" i="26"/>
  <c r="DM76" i="26"/>
  <c r="CF71" i="26"/>
  <c r="BC32" i="26"/>
  <c r="AZ14" i="26"/>
  <c r="DL65" i="26"/>
  <c r="AM39" i="26"/>
  <c r="AH111" i="26"/>
  <c r="BY76" i="26"/>
  <c r="AK40" i="26"/>
  <c r="BF86" i="26"/>
  <c r="AO61" i="26"/>
  <c r="DF82" i="26"/>
  <c r="X18" i="26"/>
  <c r="AD65" i="26"/>
  <c r="AK68" i="26"/>
  <c r="BC67" i="26"/>
  <c r="BY89" i="26"/>
  <c r="BT83" i="26"/>
  <c r="DT34" i="26"/>
  <c r="DL83" i="26"/>
  <c r="CH67" i="26"/>
  <c r="AV30" i="26"/>
  <c r="DD39" i="26"/>
  <c r="DF32" i="26"/>
  <c r="CM34" i="26"/>
  <c r="BT67" i="26"/>
  <c r="X76" i="26"/>
  <c r="BW68" i="26"/>
  <c r="CT26" i="26"/>
  <c r="DL37" i="26"/>
  <c r="BP73" i="26"/>
  <c r="AC89" i="26"/>
  <c r="BG70" i="26"/>
  <c r="CK88" i="26"/>
  <c r="CP82" i="26"/>
  <c r="AY46" i="26"/>
  <c r="DU57" i="26"/>
  <c r="CU46" i="26"/>
  <c r="CM15" i="26"/>
  <c r="DP68" i="26"/>
  <c r="CD48" i="26"/>
  <c r="BV46" i="26"/>
  <c r="AG88" i="26"/>
  <c r="CZ14" i="26"/>
  <c r="DG113" i="26"/>
  <c r="AU65" i="26"/>
  <c r="DF11" i="26"/>
  <c r="AC76" i="26"/>
  <c r="CL74" i="26"/>
  <c r="AN13" i="26"/>
  <c r="DE88" i="26"/>
  <c r="CQ40" i="26"/>
  <c r="AL77" i="26"/>
  <c r="BN77" i="26"/>
  <c r="BO73" i="26"/>
  <c r="DF45" i="26"/>
  <c r="DR36" i="26"/>
  <c r="AW83" i="26"/>
  <c r="AQ12" i="26"/>
  <c r="BB52" i="26"/>
  <c r="CM31" i="26"/>
  <c r="AG13" i="26"/>
  <c r="Z61" i="26"/>
  <c r="BB16" i="26"/>
  <c r="BG53" i="26"/>
  <c r="AY36" i="26"/>
  <c r="AJ58" i="26"/>
  <c r="CU15" i="26"/>
  <c r="BT13" i="26"/>
  <c r="BU45" i="26"/>
  <c r="DE31" i="26"/>
  <c r="CG58" i="26"/>
  <c r="CZ82" i="26"/>
  <c r="CI54" i="26"/>
  <c r="CS67" i="26"/>
  <c r="BN76" i="26"/>
  <c r="DN61" i="26"/>
  <c r="AX70" i="26"/>
  <c r="CP21" i="26"/>
  <c r="CV85" i="26"/>
  <c r="DA30" i="26"/>
  <c r="AG16" i="26"/>
  <c r="DT68" i="26"/>
  <c r="AI113" i="26"/>
  <c r="BL21" i="26"/>
  <c r="AX68" i="26"/>
  <c r="AM13" i="26"/>
  <c r="CB11" i="26"/>
  <c r="AT20" i="26"/>
  <c r="CQ13" i="26"/>
  <c r="DH83" i="26"/>
  <c r="BT56" i="26"/>
  <c r="AV112" i="26"/>
  <c r="CY57" i="26"/>
  <c r="BO28" i="26"/>
  <c r="CE52" i="26"/>
  <c r="CO12" i="26"/>
  <c r="AL31" i="26"/>
  <c r="AY111" i="26"/>
  <c r="BY43" i="26"/>
  <c r="AJ74" i="26"/>
  <c r="DV40" i="26"/>
  <c r="CV26" i="26"/>
  <c r="CU82" i="26"/>
  <c r="DS54" i="26"/>
  <c r="DE74" i="26"/>
  <c r="DT28" i="26"/>
  <c r="Q64" i="26"/>
  <c r="BV47" i="26"/>
  <c r="DF19" i="26"/>
  <c r="AT19" i="26"/>
  <c r="S65" i="26"/>
  <c r="CC48" i="26"/>
  <c r="DB83" i="26"/>
  <c r="BO20" i="26"/>
  <c r="CD85" i="26"/>
  <c r="DA82" i="26"/>
  <c r="CK48" i="26"/>
  <c r="CX73" i="26"/>
  <c r="DN51" i="26"/>
  <c r="DH58" i="26"/>
  <c r="DS16" i="26"/>
  <c r="AN113" i="26"/>
  <c r="CV73" i="26"/>
  <c r="BH89" i="26"/>
  <c r="AV27" i="26"/>
  <c r="X114" i="26"/>
  <c r="DR54" i="26"/>
  <c r="DC77" i="26"/>
  <c r="DR39" i="26"/>
  <c r="BC18" i="26"/>
  <c r="BI43" i="26"/>
  <c r="Y114" i="26"/>
  <c r="CA31" i="26"/>
  <c r="DR64" i="26"/>
  <c r="DN73" i="26"/>
  <c r="Z74" i="26"/>
  <c r="AN114" i="26"/>
  <c r="BZ39" i="26"/>
  <c r="CC57" i="26"/>
  <c r="AG33" i="26"/>
  <c r="AF51" i="26"/>
  <c r="BM45" i="26"/>
  <c r="CP34" i="26"/>
  <c r="AB83" i="26"/>
  <c r="CG112" i="26"/>
  <c r="DC79" i="26"/>
  <c r="CI59" i="26"/>
  <c r="BE26" i="26"/>
  <c r="DS47" i="26"/>
  <c r="BM83" i="26"/>
  <c r="CQ39" i="26"/>
  <c r="CS23" i="26"/>
  <c r="CA61" i="26"/>
  <c r="AG45" i="26"/>
  <c r="DB58" i="26"/>
  <c r="CY112" i="26"/>
  <c r="BC22" i="26"/>
  <c r="CG74" i="26"/>
  <c r="DS68" i="26"/>
  <c r="DL30" i="26"/>
  <c r="BU74" i="26"/>
  <c r="CK70" i="26"/>
  <c r="AA86" i="26"/>
  <c r="BW11" i="26"/>
  <c r="CR13" i="26"/>
  <c r="DG67" i="26"/>
  <c r="CB77" i="26"/>
  <c r="AH28" i="26"/>
  <c r="AB27" i="26"/>
  <c r="AV52" i="26"/>
  <c r="S20" i="26"/>
  <c r="K165" i="32" s="1"/>
  <c r="AG30" i="26"/>
  <c r="CU34" i="26"/>
  <c r="CS76" i="26"/>
  <c r="AF53" i="26"/>
  <c r="BJ67" i="26"/>
  <c r="BE61" i="26"/>
  <c r="BU33" i="26"/>
  <c r="AM42" i="26"/>
  <c r="CG65" i="26"/>
  <c r="BP41" i="26"/>
  <c r="BU68" i="26"/>
  <c r="BB54" i="26"/>
  <c r="BO25" i="26"/>
  <c r="AK37" i="26"/>
  <c r="DH27" i="26"/>
  <c r="CO31" i="26"/>
  <c r="CP60" i="26"/>
  <c r="DJ41" i="26"/>
  <c r="BY52" i="26"/>
  <c r="DI60" i="26"/>
  <c r="BY54" i="26"/>
  <c r="BN43" i="26"/>
  <c r="BQ71" i="26"/>
  <c r="CK79" i="26"/>
  <c r="AZ46" i="26"/>
  <c r="AZ40" i="26"/>
  <c r="AD60" i="26"/>
  <c r="AA26" i="26"/>
  <c r="DQ85" i="26"/>
  <c r="Z40" i="26"/>
  <c r="DU23" i="26"/>
  <c r="BS64" i="26"/>
  <c r="DD64" i="26"/>
  <c r="AC80" i="26"/>
  <c r="CW67" i="26"/>
  <c r="AL16" i="26"/>
  <c r="AE40" i="26"/>
  <c r="BJ13" i="26"/>
  <c r="BP53" i="26"/>
  <c r="CR22" i="26"/>
  <c r="BN59" i="26"/>
  <c r="BT54" i="26"/>
  <c r="BW51" i="26"/>
  <c r="CF12" i="26"/>
  <c r="BM77" i="26"/>
  <c r="CC45" i="26"/>
  <c r="CW77" i="26"/>
  <c r="BQ61" i="26"/>
  <c r="AH26" i="26"/>
  <c r="BW39" i="26"/>
  <c r="DL18" i="26"/>
  <c r="BF71" i="26"/>
  <c r="DI76" i="26"/>
  <c r="DD25" i="26"/>
  <c r="AZ82" i="26"/>
  <c r="DO111" i="26"/>
  <c r="DU83" i="26"/>
  <c r="DK30" i="26"/>
  <c r="DG61" i="26"/>
  <c r="AW36" i="26"/>
  <c r="CG56" i="26"/>
  <c r="CB85" i="26"/>
  <c r="AD68" i="26"/>
  <c r="DS70" i="26"/>
  <c r="CK111" i="26"/>
  <c r="AO37" i="26"/>
  <c r="DT11" i="26"/>
  <c r="W71" i="26"/>
  <c r="DP40" i="26"/>
  <c r="CL43" i="26"/>
  <c r="BL12" i="26"/>
  <c r="AR71" i="26"/>
  <c r="O77" i="26"/>
  <c r="CF38" i="26"/>
  <c r="AY39" i="26"/>
  <c r="AE31" i="26"/>
  <c r="DH12" i="26"/>
  <c r="BQ54" i="26"/>
  <c r="BN48" i="26"/>
  <c r="BW15" i="26"/>
  <c r="AK67" i="26"/>
  <c r="CV47" i="26"/>
  <c r="DA65" i="26"/>
  <c r="CY85" i="26"/>
  <c r="CL113" i="26"/>
  <c r="BU39" i="26"/>
  <c r="AP14" i="26"/>
  <c r="V24" i="26"/>
  <c r="BS23" i="26"/>
  <c r="AW76" i="26"/>
  <c r="CS88" i="26"/>
  <c r="BV27" i="26"/>
  <c r="AG38" i="26"/>
  <c r="BS68" i="26"/>
  <c r="BP85" i="26"/>
  <c r="DF67" i="26"/>
  <c r="AR26" i="26"/>
  <c r="DF40" i="26"/>
  <c r="CQ36" i="26"/>
  <c r="CY86" i="26"/>
  <c r="CX58" i="26"/>
  <c r="BZ112" i="26"/>
  <c r="DS33" i="26"/>
  <c r="BH80" i="26"/>
  <c r="CT89" i="26"/>
  <c r="CO46" i="26"/>
  <c r="BA86" i="26"/>
  <c r="AR111" i="26"/>
  <c r="DH111" i="26"/>
  <c r="BT23" i="26"/>
  <c r="BB53" i="26"/>
  <c r="AC114" i="26"/>
  <c r="BF23" i="26"/>
  <c r="DU24" i="26"/>
  <c r="CG85" i="26"/>
  <c r="CY13" i="26"/>
  <c r="BS33" i="26"/>
  <c r="AQ27" i="26"/>
  <c r="DO43" i="26"/>
  <c r="BW76" i="26"/>
  <c r="BX42" i="26"/>
  <c r="Z89" i="26"/>
  <c r="AS64" i="26"/>
  <c r="CT13" i="26"/>
  <c r="BB83" i="26"/>
  <c r="BR57" i="26"/>
  <c r="AJ77" i="26"/>
  <c r="DM51" i="26"/>
  <c r="AF52" i="26"/>
  <c r="DP58" i="26"/>
  <c r="DM32" i="26"/>
  <c r="DE34" i="26"/>
  <c r="CN32" i="26"/>
  <c r="BJ12" i="26"/>
  <c r="DM28" i="26"/>
  <c r="BO13" i="26"/>
  <c r="AZ60" i="26"/>
  <c r="AT26" i="26"/>
  <c r="BL42" i="26"/>
  <c r="BM33" i="26"/>
  <c r="DH34" i="26"/>
  <c r="DV52" i="26"/>
  <c r="DR82" i="26"/>
  <c r="AC61" i="26"/>
  <c r="CO36" i="26"/>
  <c r="AJ43" i="26"/>
  <c r="CH30" i="26"/>
  <c r="DV56" i="26"/>
  <c r="CL59" i="26"/>
  <c r="AO70" i="26"/>
  <c r="BV13" i="26"/>
  <c r="BA11" i="26"/>
  <c r="DO27" i="26"/>
  <c r="AZ43" i="26"/>
  <c r="AB68" i="26"/>
  <c r="DU86" i="26"/>
  <c r="CR60" i="26"/>
  <c r="AT32" i="26"/>
  <c r="BW59" i="26"/>
  <c r="BI70" i="26"/>
  <c r="BR25" i="26"/>
  <c r="CS27" i="26"/>
  <c r="AP37" i="26"/>
  <c r="BD60" i="26"/>
  <c r="AF13" i="26"/>
  <c r="AS34" i="26"/>
  <c r="DI48" i="26"/>
  <c r="Z32" i="26"/>
  <c r="CJ47" i="26"/>
  <c r="O76" i="26"/>
  <c r="BM16" i="26"/>
  <c r="AD42" i="26"/>
  <c r="BD38" i="26"/>
  <c r="AH73" i="26"/>
  <c r="CZ25" i="26"/>
  <c r="DA33" i="26"/>
  <c r="AH15" i="26"/>
  <c r="AT36" i="26"/>
  <c r="CR112" i="26"/>
  <c r="AL80" i="26"/>
  <c r="CC37" i="26"/>
  <c r="CI39" i="26"/>
  <c r="AF39" i="26"/>
  <c r="DO51" i="26"/>
  <c r="DQ77" i="26"/>
  <c r="AM33" i="26"/>
  <c r="CB30" i="26"/>
  <c r="AE54" i="26"/>
  <c r="AG14" i="26"/>
  <c r="DC38" i="26"/>
  <c r="DF16" i="26"/>
  <c r="DJ59" i="26"/>
  <c r="W38" i="26"/>
  <c r="DK38" i="26"/>
  <c r="DR61" i="26"/>
  <c r="AO79" i="26"/>
  <c r="CD27" i="26"/>
  <c r="CL25" i="26"/>
  <c r="BF19" i="26"/>
  <c r="CI32" i="26"/>
  <c r="CX21" i="26"/>
  <c r="BR23" i="26"/>
  <c r="BU15" i="26"/>
  <c r="AX56" i="26"/>
  <c r="DS39" i="26"/>
  <c r="CM25" i="26"/>
  <c r="BA52" i="26"/>
  <c r="AE86" i="26"/>
  <c r="DI53" i="26"/>
  <c r="DD52" i="26"/>
  <c r="CF68" i="26"/>
  <c r="DT39" i="26"/>
  <c r="BT45" i="26"/>
  <c r="CC52" i="26"/>
  <c r="DR57" i="26"/>
  <c r="AN79" i="26"/>
  <c r="CJ86" i="26"/>
  <c r="BX36" i="26"/>
  <c r="Y67" i="26"/>
  <c r="DB111" i="26"/>
  <c r="DN54" i="26"/>
  <c r="BE80" i="26"/>
  <c r="CM86" i="26"/>
  <c r="DR74" i="26"/>
  <c r="CD59" i="26"/>
  <c r="BP57" i="26"/>
  <c r="DM37" i="26"/>
  <c r="CB36" i="26"/>
  <c r="AH60" i="26"/>
  <c r="CA65" i="26"/>
  <c r="BY46" i="26"/>
  <c r="CP39" i="26"/>
  <c r="AN112" i="26"/>
  <c r="BI57" i="26"/>
  <c r="CX39" i="26"/>
  <c r="DN86" i="26"/>
  <c r="W26" i="26"/>
  <c r="BH88" i="26"/>
  <c r="DK71" i="26"/>
  <c r="DM24" i="26"/>
  <c r="AH12" i="26"/>
  <c r="CA111" i="26"/>
  <c r="AM14" i="26"/>
  <c r="BS28" i="26"/>
  <c r="BG89" i="26"/>
  <c r="DK57" i="26"/>
  <c r="BC54" i="26"/>
  <c r="AE70" i="26"/>
  <c r="S38" i="26"/>
  <c r="BS24" i="26"/>
  <c r="AX31" i="26"/>
  <c r="V70" i="26"/>
  <c r="AN83" i="26"/>
  <c r="BY20" i="26"/>
  <c r="AX89" i="26"/>
  <c r="DT71" i="26"/>
  <c r="DD113" i="26"/>
  <c r="AT85" i="26"/>
  <c r="DI43" i="26"/>
  <c r="BQ48" i="26"/>
  <c r="DP79" i="26"/>
  <c r="BF33" i="26"/>
  <c r="DQ12" i="26"/>
  <c r="CR15" i="26"/>
  <c r="AT58" i="26"/>
  <c r="CJ77" i="26"/>
  <c r="DP28" i="26"/>
  <c r="BE47" i="26"/>
  <c r="CZ36" i="26"/>
  <c r="BT22" i="26"/>
  <c r="AY37" i="26"/>
  <c r="AL33" i="26"/>
  <c r="CY20" i="26"/>
  <c r="CL39" i="26"/>
  <c r="AZ51" i="26"/>
  <c r="DP80" i="26"/>
  <c r="BK16" i="26"/>
  <c r="BQ40" i="26"/>
  <c r="CE26" i="26"/>
  <c r="CJ11" i="26"/>
  <c r="BP52" i="26"/>
  <c r="Y83" i="26"/>
  <c r="CZ80" i="26"/>
  <c r="DH30" i="26"/>
  <c r="AJ48" i="26"/>
  <c r="CU60" i="26"/>
  <c r="AJ40" i="26"/>
  <c r="AE16" i="26"/>
  <c r="CF53" i="26"/>
  <c r="BZ58" i="26"/>
  <c r="CE67" i="26"/>
  <c r="BK82" i="26"/>
  <c r="BQ89" i="26"/>
  <c r="N71" i="26"/>
  <c r="DS64" i="26"/>
  <c r="DJ34" i="26"/>
  <c r="AH112" i="26"/>
  <c r="BE111" i="26"/>
  <c r="BD43" i="26"/>
  <c r="DG31" i="26"/>
  <c r="DK74" i="26"/>
  <c r="DQ42" i="26"/>
  <c r="CT71" i="26"/>
  <c r="DE36" i="26"/>
  <c r="BV36" i="26"/>
  <c r="CK67" i="26"/>
  <c r="DO45" i="26"/>
  <c r="DQ88" i="26"/>
  <c r="AY71" i="26"/>
  <c r="CH41" i="26"/>
  <c r="DE57" i="26"/>
  <c r="AY34" i="26"/>
  <c r="Z113" i="26"/>
  <c r="BV41" i="26"/>
  <c r="AW18" i="26"/>
  <c r="CA46" i="26"/>
  <c r="AA82" i="26"/>
  <c r="CG73" i="26"/>
  <c r="DS13" i="26"/>
  <c r="BW54" i="26"/>
  <c r="AF76" i="26"/>
  <c r="DP89" i="26"/>
  <c r="V64" i="26"/>
  <c r="CP31" i="26"/>
  <c r="AC53" i="26"/>
  <c r="P65" i="26"/>
  <c r="AO56" i="26"/>
  <c r="CQ53" i="26"/>
  <c r="BA21" i="26"/>
  <c r="BY12" i="26"/>
  <c r="BU77" i="26"/>
  <c r="CX89" i="26"/>
  <c r="BY64" i="26"/>
  <c r="DR14" i="26"/>
  <c r="DV36" i="26"/>
  <c r="AP21" i="26"/>
  <c r="BE85" i="26"/>
  <c r="DQ112" i="26"/>
  <c r="L71" i="26"/>
  <c r="DP14" i="26"/>
  <c r="DA88" i="26"/>
  <c r="AD61" i="26"/>
  <c r="DH28" i="26"/>
  <c r="BK54" i="26"/>
  <c r="AR86" i="26"/>
  <c r="AV76" i="26"/>
  <c r="AZ30" i="26"/>
  <c r="CL68" i="26"/>
  <c r="BU57" i="26"/>
  <c r="BH30" i="26"/>
  <c r="BN71" i="26"/>
  <c r="AV41" i="26"/>
  <c r="CP52" i="26"/>
  <c r="CU77" i="26"/>
  <c r="BQ76" i="26"/>
  <c r="AU21" i="26"/>
  <c r="BP68" i="26"/>
  <c r="CB38" i="26"/>
  <c r="AG21" i="26"/>
  <c r="AU38" i="26"/>
  <c r="AQ25" i="26"/>
  <c r="BY40" i="26"/>
  <c r="BA74" i="26"/>
  <c r="BA12" i="26"/>
  <c r="CR73" i="26"/>
  <c r="AJ83" i="26"/>
  <c r="AQ67" i="26"/>
  <c r="AQ61" i="26"/>
  <c r="BD12" i="26"/>
  <c r="AR15" i="26"/>
  <c r="BE51" i="26"/>
  <c r="CE21" i="26"/>
  <c r="CN43" i="26"/>
  <c r="AQ26" i="26"/>
  <c r="BC34" i="26"/>
  <c r="AD59" i="26"/>
  <c r="AK32" i="26"/>
  <c r="Y59" i="26"/>
  <c r="R27" i="26"/>
  <c r="J166" i="32" s="1"/>
  <c r="CE41" i="26"/>
  <c r="CZ42" i="26"/>
  <c r="CD26" i="26"/>
  <c r="CO65" i="26"/>
  <c r="BW42" i="26"/>
  <c r="AG114" i="26"/>
  <c r="DM30" i="26"/>
  <c r="BX21" i="26"/>
  <c r="AS67" i="26"/>
  <c r="BY47" i="26"/>
  <c r="Q67" i="26"/>
  <c r="DS52" i="26"/>
  <c r="DL53" i="26"/>
  <c r="AV32" i="26"/>
  <c r="AY30" i="26"/>
  <c r="CJ34" i="26"/>
  <c r="BG47" i="26"/>
  <c r="BV42" i="26"/>
  <c r="BW88" i="26"/>
  <c r="BC47" i="26"/>
  <c r="CT37" i="26"/>
  <c r="BL36" i="26"/>
  <c r="CZ89" i="26"/>
  <c r="CJ23" i="26"/>
  <c r="DE45" i="26"/>
  <c r="BW74" i="26"/>
  <c r="DD30" i="26"/>
  <c r="AH34" i="26"/>
  <c r="AM32" i="26"/>
  <c r="CJ76" i="26"/>
  <c r="BT86" i="26"/>
  <c r="BJ53" i="26"/>
  <c r="AI74" i="26"/>
  <c r="BY83" i="26"/>
  <c r="AY48" i="26"/>
  <c r="CK47" i="26"/>
  <c r="CV43" i="26"/>
  <c r="CO58" i="26"/>
  <c r="CO41" i="26"/>
  <c r="DT51" i="26"/>
  <c r="BF22" i="26"/>
  <c r="DL21" i="26"/>
  <c r="CZ12" i="26"/>
  <c r="DQ25" i="26"/>
  <c r="BC45" i="26"/>
  <c r="CU43" i="26"/>
  <c r="DK26" i="26"/>
  <c r="CI73" i="26"/>
  <c r="DT40" i="26"/>
  <c r="CN88" i="26"/>
  <c r="CS20" i="26"/>
  <c r="DF60" i="26"/>
  <c r="DC58" i="26"/>
  <c r="DT56" i="26"/>
  <c r="BJ83" i="26"/>
  <c r="CZ38" i="26"/>
  <c r="DS25" i="26"/>
  <c r="BA38" i="26"/>
  <c r="DJ25" i="26"/>
  <c r="AX43" i="26"/>
  <c r="BN114" i="26"/>
  <c r="AS40" i="26"/>
  <c r="BH68" i="26"/>
  <c r="CA56" i="26"/>
  <c r="AD37" i="26"/>
  <c r="BR64" i="26"/>
  <c r="DB82" i="26"/>
  <c r="BQ39" i="26"/>
  <c r="BK61" i="26"/>
  <c r="CB23" i="26"/>
  <c r="S73" i="26"/>
  <c r="CZ48" i="26"/>
  <c r="AY85" i="26"/>
  <c r="CJ59" i="26"/>
  <c r="U38" i="26"/>
  <c r="AD47" i="26"/>
  <c r="DV53" i="26"/>
  <c r="P24" i="26"/>
  <c r="BY82" i="26"/>
  <c r="AE64" i="26"/>
  <c r="BT73" i="26"/>
  <c r="BN82" i="26"/>
  <c r="AD21" i="26"/>
  <c r="R24" i="26"/>
  <c r="AR25" i="26"/>
  <c r="AV83" i="26"/>
  <c r="DQ30" i="26"/>
  <c r="AW31" i="26"/>
  <c r="CL65" i="26"/>
  <c r="AJ16" i="26"/>
  <c r="AF73" i="26"/>
  <c r="CZ47" i="26"/>
  <c r="AV77" i="26"/>
  <c r="BE89" i="26"/>
  <c r="DR13" i="26"/>
  <c r="CE57" i="26"/>
  <c r="BZ114" i="26"/>
  <c r="DN67" i="26"/>
  <c r="AU79" i="26"/>
  <c r="AG71" i="26"/>
  <c r="AQ76" i="26"/>
  <c r="W70" i="26"/>
  <c r="CS57" i="26"/>
  <c r="DL28" i="26"/>
  <c r="AZ26" i="26"/>
  <c r="L85" i="26"/>
  <c r="CT42" i="26"/>
  <c r="AO86" i="26"/>
  <c r="AE88" i="26"/>
  <c r="DC22" i="26"/>
  <c r="CJ60" i="26"/>
  <c r="CC79" i="26"/>
  <c r="CX113" i="26"/>
  <c r="CP89" i="26"/>
  <c r="AQ47" i="26"/>
  <c r="CP46" i="26"/>
  <c r="BM68" i="26"/>
  <c r="AR21" i="26"/>
  <c r="Z26" i="26"/>
  <c r="S27" i="26"/>
  <c r="K166" i="32" s="1"/>
  <c r="BD52" i="26"/>
  <c r="DM83" i="26"/>
  <c r="DV68" i="26"/>
  <c r="BW79" i="26"/>
  <c r="CV28" i="26"/>
  <c r="BT70" i="26"/>
  <c r="DQ58" i="26"/>
  <c r="BM60" i="26"/>
  <c r="AG113" i="26"/>
  <c r="CE68" i="26"/>
  <c r="BV83" i="26"/>
  <c r="BS71" i="26"/>
  <c r="P85" i="26"/>
  <c r="CV70" i="26"/>
  <c r="AM73" i="26"/>
  <c r="AB16" i="26"/>
  <c r="BH37" i="26"/>
  <c r="BS30" i="26"/>
  <c r="CA88" i="26"/>
  <c r="CD67" i="26"/>
  <c r="CC113" i="26"/>
  <c r="DV25" i="26"/>
  <c r="AX77" i="26"/>
  <c r="BO45" i="26"/>
  <c r="CJ37" i="26"/>
  <c r="P77" i="26"/>
  <c r="BD58" i="26"/>
  <c r="AY53" i="26"/>
  <c r="DC31" i="26"/>
  <c r="DE67" i="26"/>
  <c r="CA58" i="26"/>
  <c r="Q38" i="26"/>
  <c r="DE25" i="26"/>
  <c r="CJ13" i="26"/>
  <c r="DS74" i="26"/>
  <c r="DN57" i="26"/>
  <c r="AO64" i="26"/>
  <c r="Y89" i="26"/>
  <c r="DE32" i="26"/>
  <c r="CW19" i="26"/>
  <c r="AW14" i="26"/>
  <c r="CJ26" i="26"/>
  <c r="DR26" i="26"/>
  <c r="O71" i="26"/>
  <c r="AO59" i="26"/>
  <c r="BU80" i="26"/>
  <c r="DP85" i="26"/>
  <c r="DP48" i="26"/>
  <c r="DL36" i="26"/>
  <c r="CR47" i="26"/>
  <c r="AY41" i="26"/>
  <c r="DI46" i="26"/>
  <c r="BB60" i="26"/>
  <c r="DK77" i="26"/>
  <c r="P74" i="26"/>
  <c r="BH85" i="26"/>
  <c r="AO48" i="26"/>
  <c r="W77" i="26"/>
  <c r="DN31" i="26"/>
  <c r="DK67" i="26"/>
  <c r="DS22" i="26"/>
  <c r="BQ53" i="26"/>
  <c r="BZ61" i="26"/>
  <c r="BI80" i="26"/>
  <c r="CB73" i="26"/>
  <c r="AO54" i="26"/>
  <c r="CX64" i="26"/>
  <c r="DV67" i="26"/>
  <c r="BN47" i="26"/>
  <c r="CR32" i="26"/>
  <c r="BD25" i="26"/>
  <c r="DL15" i="26"/>
  <c r="AS53" i="26"/>
  <c r="BW60" i="26"/>
  <c r="BE40" i="26"/>
  <c r="CY71" i="26"/>
  <c r="DG65" i="26"/>
  <c r="DD74" i="26"/>
  <c r="BX24" i="26"/>
  <c r="BC25" i="26"/>
  <c r="BX114" i="26"/>
  <c r="BK73" i="26"/>
  <c r="DB23" i="26"/>
  <c r="CN23" i="26"/>
  <c r="AP51" i="26"/>
  <c r="DU43" i="26"/>
  <c r="DK27" i="26"/>
  <c r="BL27" i="26"/>
  <c r="AJ53" i="26"/>
  <c r="X77" i="26"/>
  <c r="BF111" i="26"/>
  <c r="CP32" i="26"/>
  <c r="DM14" i="26"/>
  <c r="AL82" i="26"/>
  <c r="AE13" i="26"/>
  <c r="BT43" i="26"/>
  <c r="AC34" i="26"/>
  <c r="R114" i="26"/>
  <c r="BD61" i="26"/>
  <c r="AG64" i="26"/>
  <c r="DT65" i="26"/>
  <c r="AP34" i="26"/>
  <c r="AH32" i="26"/>
  <c r="BM25" i="26"/>
  <c r="AR28" i="26"/>
  <c r="AI59" i="26"/>
  <c r="AK20" i="26"/>
  <c r="BZ82" i="26"/>
  <c r="DJ79" i="26"/>
  <c r="DG39" i="26"/>
  <c r="AP39" i="26"/>
  <c r="AG42" i="26"/>
  <c r="CH65" i="26"/>
  <c r="CR83" i="26"/>
  <c r="DJ61" i="26"/>
  <c r="DP41" i="26"/>
  <c r="AC88" i="26"/>
  <c r="BI41" i="26"/>
  <c r="BC85" i="26"/>
  <c r="AB56" i="26"/>
  <c r="N24" i="26"/>
  <c r="DQ31" i="26"/>
  <c r="DL33" i="26"/>
  <c r="DU41" i="26"/>
  <c r="AG51" i="26"/>
  <c r="AP76" i="26"/>
  <c r="AN47" i="26"/>
  <c r="CW40" i="26"/>
  <c r="CS47" i="26"/>
  <c r="DI27" i="26"/>
  <c r="DH23" i="26"/>
  <c r="BC53" i="26"/>
  <c r="BZ30" i="26"/>
  <c r="V37" i="26"/>
  <c r="BZ76" i="26"/>
  <c r="BP74" i="26"/>
  <c r="DL88" i="26"/>
  <c r="DM58" i="26"/>
  <c r="AQ40" i="26"/>
  <c r="AS36" i="26"/>
  <c r="AB43" i="26"/>
  <c r="DI32" i="26"/>
  <c r="BL19" i="26"/>
  <c r="AW70" i="26"/>
  <c r="CE28" i="26"/>
  <c r="DM52" i="26"/>
  <c r="AS20" i="26"/>
  <c r="AI80" i="26"/>
  <c r="AC23" i="26"/>
  <c r="CI57" i="26"/>
  <c r="CU42" i="26"/>
  <c r="DS83" i="26"/>
  <c r="DP20" i="26"/>
  <c r="CM45" i="26"/>
  <c r="DE21" i="26"/>
  <c r="L86" i="26"/>
  <c r="CX54" i="26"/>
  <c r="DU74" i="26"/>
  <c r="DJ85" i="26"/>
  <c r="CQ32" i="26"/>
  <c r="X85" i="26"/>
  <c r="BC12" i="26"/>
  <c r="AM80" i="26"/>
  <c r="Q114" i="26"/>
  <c r="AH25" i="26"/>
  <c r="CX65" i="26"/>
  <c r="CM52" i="26"/>
  <c r="DL82" i="26"/>
  <c r="Z48" i="26"/>
  <c r="AF77" i="26"/>
  <c r="BH47" i="26"/>
  <c r="CZ39" i="26"/>
  <c r="DA43" i="26"/>
  <c r="CC22" i="26"/>
  <c r="CU36" i="26"/>
  <c r="CV111" i="26"/>
  <c r="AG111" i="26"/>
  <c r="DP47" i="26"/>
  <c r="DT36" i="26"/>
  <c r="AY33" i="26"/>
  <c r="DL74" i="26"/>
  <c r="BP20" i="26"/>
  <c r="CD30" i="26"/>
  <c r="CF16" i="26"/>
  <c r="BP47" i="26"/>
  <c r="CI53" i="26"/>
  <c r="BU53" i="26"/>
  <c r="CL28" i="26"/>
  <c r="BM42" i="26"/>
  <c r="DR48" i="26"/>
  <c r="DG77" i="26"/>
  <c r="DP46" i="26"/>
  <c r="AW42" i="26"/>
  <c r="BF53" i="26"/>
  <c r="CJ85" i="26"/>
  <c r="DN41" i="26"/>
  <c r="DO59" i="26"/>
  <c r="BJ30" i="26"/>
  <c r="BR71" i="26"/>
  <c r="BB46" i="26"/>
  <c r="AY56" i="26"/>
  <c r="BD16" i="26"/>
  <c r="AM54" i="26"/>
  <c r="AL45" i="26"/>
  <c r="DH64" i="26"/>
  <c r="AL88" i="26"/>
  <c r="BM48" i="26"/>
  <c r="AH48" i="26"/>
  <c r="CM70" i="26"/>
  <c r="N19" i="26"/>
  <c r="F162" i="32" s="1"/>
  <c r="CU22" i="26"/>
  <c r="BX11" i="26"/>
  <c r="BX79" i="26"/>
  <c r="CC23" i="26"/>
  <c r="CK26" i="26"/>
  <c r="AK70" i="26"/>
  <c r="CN60" i="26"/>
  <c r="AC13" i="26"/>
  <c r="CI12" i="26"/>
  <c r="DJ45" i="26"/>
  <c r="AM31" i="26"/>
  <c r="AF34" i="26"/>
  <c r="BJ38" i="26"/>
  <c r="CU20" i="26"/>
  <c r="CG51" i="26"/>
  <c r="DS36" i="26"/>
  <c r="AN27" i="26"/>
  <c r="CQ34" i="26"/>
  <c r="Q27" i="26"/>
  <c r="I166" i="32" s="1"/>
  <c r="BY16" i="26"/>
  <c r="AS76" i="26"/>
  <c r="CH28" i="26"/>
  <c r="AL32" i="26"/>
  <c r="AT47" i="26"/>
  <c r="DP70" i="26"/>
  <c r="BE31" i="26"/>
  <c r="BW33" i="26"/>
  <c r="AY58" i="26"/>
  <c r="DV73" i="26"/>
  <c r="AI33" i="26"/>
  <c r="CE64" i="26"/>
  <c r="DB68" i="26"/>
  <c r="BO38" i="26"/>
  <c r="AX52" i="26"/>
  <c r="CI22" i="26"/>
  <c r="CL21" i="26"/>
  <c r="AY40" i="26"/>
  <c r="AT74" i="26"/>
  <c r="CL52" i="26"/>
  <c r="BS111" i="26"/>
  <c r="CE59" i="26"/>
  <c r="CJ39" i="26"/>
  <c r="BB51" i="26"/>
  <c r="CT56" i="26"/>
  <c r="BU41" i="26"/>
  <c r="DU60" i="26"/>
  <c r="DE48" i="26"/>
  <c r="DS28" i="26"/>
  <c r="CO40" i="26"/>
  <c r="CY42" i="26"/>
  <c r="DE54" i="26"/>
  <c r="DC21" i="26"/>
  <c r="CO33" i="26"/>
  <c r="DK82" i="26"/>
  <c r="CL34" i="26"/>
  <c r="AX65" i="26"/>
  <c r="CA19" i="26"/>
  <c r="DE56" i="26"/>
  <c r="CL71" i="26"/>
  <c r="DO11" i="26"/>
  <c r="AS26" i="26"/>
  <c r="Q65" i="26"/>
  <c r="DG46" i="26"/>
  <c r="AW79" i="26"/>
  <c r="AY28" i="26"/>
  <c r="CO38" i="26"/>
  <c r="CQ89" i="26"/>
  <c r="CC20" i="26"/>
  <c r="DI86" i="26"/>
  <c r="DC74" i="26"/>
  <c r="AU25" i="26"/>
  <c r="DS79" i="26"/>
  <c r="AW32" i="26"/>
  <c r="CN36" i="26"/>
  <c r="BJ39" i="26"/>
  <c r="DB34" i="26"/>
  <c r="CU47" i="26"/>
  <c r="BG54" i="26"/>
  <c r="CF60" i="26"/>
  <c r="T71" i="26"/>
  <c r="DU58" i="26"/>
  <c r="CQ77" i="26"/>
  <c r="Q26" i="26"/>
  <c r="DH45" i="26"/>
  <c r="CH15" i="26"/>
  <c r="DG57" i="26"/>
  <c r="DA26" i="26"/>
  <c r="CF32" i="26"/>
  <c r="BY39" i="26"/>
  <c r="CS52" i="26"/>
  <c r="AK48" i="26"/>
  <c r="BX46" i="26"/>
  <c r="BN36" i="26"/>
  <c r="BO39" i="26"/>
  <c r="CQ51" i="26"/>
  <c r="DF47" i="26"/>
  <c r="BM34" i="26"/>
  <c r="DU71" i="26"/>
  <c r="DM60" i="26"/>
  <c r="CN56" i="26"/>
  <c r="DV76" i="26"/>
  <c r="BN83" i="26"/>
  <c r="CS26" i="26"/>
  <c r="T113" i="26"/>
  <c r="DL48" i="26"/>
  <c r="BZ43" i="26"/>
  <c r="AE114" i="26"/>
  <c r="BL54" i="26"/>
  <c r="CQ70" i="26"/>
  <c r="DM15" i="26"/>
  <c r="DM53" i="26"/>
  <c r="BD22" i="26"/>
  <c r="CL37" i="26"/>
  <c r="AY52" i="26"/>
  <c r="N76" i="26"/>
  <c r="CL112" i="26"/>
  <c r="BK42" i="26"/>
  <c r="CD16" i="26"/>
  <c r="AR65" i="26"/>
  <c r="CL36" i="26"/>
  <c r="BD21" i="26"/>
  <c r="BC82" i="26"/>
  <c r="AW111" i="26"/>
  <c r="BQ28" i="26"/>
  <c r="CU39" i="26"/>
  <c r="CA70" i="26"/>
  <c r="CU83" i="26"/>
  <c r="AO89" i="26"/>
  <c r="CE85" i="26"/>
  <c r="AI65" i="26"/>
  <c r="DJ74" i="26"/>
  <c r="CT86" i="26"/>
  <c r="CU37" i="26"/>
  <c r="AT114" i="26"/>
  <c r="BV40" i="26"/>
  <c r="Y24" i="26"/>
  <c r="DN16" i="26"/>
  <c r="CV74" i="26"/>
  <c r="DD20" i="26"/>
  <c r="DB70" i="26"/>
  <c r="DT52" i="26"/>
  <c r="DS45" i="26"/>
  <c r="CT65" i="26"/>
  <c r="CM38" i="26"/>
  <c r="DR83" i="26"/>
  <c r="Z59" i="26"/>
  <c r="DO71" i="26"/>
  <c r="L41" i="26"/>
  <c r="CM85" i="26"/>
  <c r="AH19" i="26"/>
  <c r="BR16" i="26"/>
  <c r="BX74" i="26"/>
  <c r="DE64" i="26"/>
  <c r="BX65" i="26"/>
  <c r="CE61" i="26"/>
  <c r="CJ64" i="26"/>
  <c r="Z27" i="26"/>
  <c r="CY39" i="26"/>
  <c r="CV13" i="26"/>
  <c r="BV33" i="26"/>
  <c r="DA46" i="26"/>
  <c r="AX39" i="26"/>
  <c r="AQ86" i="26"/>
  <c r="AK61" i="26"/>
  <c r="AW23" i="26"/>
  <c r="AV82" i="26"/>
  <c r="DD46" i="26"/>
  <c r="R20" i="26"/>
  <c r="J165" i="32" s="1"/>
  <c r="BS34" i="26"/>
  <c r="AE26" i="26"/>
  <c r="AL89" i="26"/>
  <c r="CQ86" i="26"/>
  <c r="BD19" i="26"/>
  <c r="BA80" i="26"/>
  <c r="AB80" i="26"/>
  <c r="Y47" i="26"/>
  <c r="DL86" i="26"/>
  <c r="DP56" i="26"/>
  <c r="DQ46" i="26"/>
  <c r="DA21" i="26"/>
  <c r="AM27" i="26"/>
  <c r="CP41" i="26"/>
  <c r="AU37" i="26"/>
  <c r="BJ68" i="26"/>
  <c r="DH59" i="26"/>
  <c r="BQ42" i="26"/>
  <c r="AQ15" i="26"/>
  <c r="AI79" i="26"/>
  <c r="CT40" i="26"/>
  <c r="BV32" i="26"/>
  <c r="AY14" i="26"/>
  <c r="DK41" i="26"/>
  <c r="DR51" i="26"/>
  <c r="CE37" i="26"/>
  <c r="AE36" i="26"/>
  <c r="U18" i="26"/>
  <c r="M161" i="32" s="1"/>
  <c r="DO74" i="26"/>
  <c r="DS51" i="26"/>
  <c r="AM15" i="26"/>
  <c r="AZ47" i="26"/>
  <c r="DO36" i="26"/>
  <c r="DK89" i="26"/>
  <c r="CY74" i="26"/>
  <c r="CT31" i="26"/>
  <c r="AT88" i="26"/>
  <c r="P18" i="26"/>
  <c r="H161" i="32" s="1"/>
  <c r="CS113" i="26"/>
  <c r="AE68" i="26"/>
  <c r="DI71" i="26"/>
  <c r="Z64" i="26"/>
  <c r="DP32" i="26"/>
  <c r="AX25" i="26"/>
  <c r="AK52" i="26"/>
  <c r="AU74" i="26"/>
  <c r="DR21" i="26"/>
  <c r="DJ77" i="26"/>
  <c r="DF24" i="26"/>
  <c r="AE34" i="26"/>
  <c r="AH61" i="26"/>
  <c r="CC71" i="26"/>
  <c r="AO71" i="26"/>
  <c r="CK28" i="26"/>
  <c r="BI24" i="26"/>
  <c r="BQ59" i="26"/>
  <c r="CA41" i="26"/>
  <c r="AT34" i="26"/>
  <c r="AR52" i="26"/>
  <c r="BS40" i="26"/>
  <c r="AV38" i="26"/>
  <c r="AG76" i="26"/>
  <c r="CR27" i="26"/>
  <c r="AU64" i="26"/>
  <c r="DD47" i="26"/>
  <c r="DS30" i="26"/>
  <c r="DO54" i="26"/>
  <c r="CA51" i="26"/>
  <c r="BF59" i="26"/>
  <c r="CG16" i="26"/>
  <c r="DA36" i="26"/>
  <c r="BG71" i="26"/>
  <c r="DR77" i="26"/>
  <c r="DE77" i="26"/>
  <c r="AL59" i="26"/>
  <c r="BT53" i="26"/>
  <c r="CQ60" i="26"/>
  <c r="CN51" i="26"/>
  <c r="CD41" i="26"/>
  <c r="DU80" i="26"/>
  <c r="DC73" i="26"/>
  <c r="CM60" i="26"/>
  <c r="BR30" i="26"/>
  <c r="CB61" i="26"/>
  <c r="CS79" i="26"/>
  <c r="CO113" i="26"/>
  <c r="BA51" i="26"/>
  <c r="AG11" i="26"/>
  <c r="CX86" i="26"/>
  <c r="BM61" i="26"/>
  <c r="AW25" i="26"/>
  <c r="CF33" i="26"/>
  <c r="BK67" i="26"/>
  <c r="BB73" i="26"/>
  <c r="BB67" i="26"/>
  <c r="CM14" i="26"/>
  <c r="DB25" i="26"/>
  <c r="BA47" i="26"/>
  <c r="DF53" i="26"/>
  <c r="AP73" i="26"/>
  <c r="CZ85" i="26"/>
  <c r="BI54" i="26"/>
  <c r="BY11" i="26"/>
  <c r="DQ16" i="26"/>
  <c r="CT12" i="26"/>
  <c r="CM59" i="26"/>
  <c r="AF74" i="26"/>
  <c r="AA77" i="26"/>
  <c r="CM77" i="26"/>
  <c r="DG27" i="26"/>
  <c r="BA111" i="26"/>
  <c r="BO89" i="26"/>
  <c r="DE24" i="26"/>
  <c r="AE27" i="26"/>
  <c r="DM70" i="26"/>
  <c r="CH46" i="26"/>
  <c r="CM68" i="26"/>
  <c r="AD43" i="26"/>
  <c r="U37" i="26"/>
  <c r="DH38" i="26"/>
  <c r="AF47" i="26"/>
  <c r="BV68" i="26"/>
  <c r="CL48" i="26"/>
  <c r="AF21" i="26"/>
  <c r="CU74" i="26"/>
  <c r="AX33" i="26"/>
  <c r="DT59" i="26"/>
  <c r="CC31" i="26"/>
  <c r="BE23" i="26"/>
  <c r="CP11" i="26"/>
  <c r="BX27" i="26"/>
  <c r="BF37" i="26"/>
  <c r="AR51" i="26"/>
  <c r="CD58" i="26"/>
  <c r="CU70" i="26"/>
  <c r="Y64" i="26"/>
  <c r="BV88" i="26"/>
  <c r="CS56" i="26"/>
  <c r="DH54" i="26"/>
  <c r="BQ83" i="26"/>
  <c r="AE37" i="26"/>
  <c r="BS77" i="26"/>
  <c r="DT58" i="26"/>
  <c r="CS61" i="26"/>
  <c r="BO36" i="26"/>
  <c r="BS16" i="26"/>
  <c r="DB31" i="26"/>
  <c r="BZ46" i="26"/>
  <c r="BE28" i="26"/>
  <c r="DB48" i="26"/>
  <c r="BC28" i="26"/>
  <c r="AP85" i="26"/>
  <c r="CW88" i="26"/>
  <c r="BS47" i="26"/>
  <c r="CE46" i="26"/>
  <c r="DI24" i="26"/>
  <c r="CK60" i="26"/>
  <c r="AG67" i="26"/>
  <c r="CG60" i="26"/>
  <c r="CH73" i="26"/>
  <c r="BS21" i="26"/>
  <c r="AF54" i="26"/>
  <c r="DU61" i="26"/>
  <c r="AQ53" i="26"/>
  <c r="BJ114" i="26"/>
  <c r="AU60" i="26"/>
  <c r="AA11" i="26"/>
  <c r="DG34" i="26"/>
  <c r="BK13" i="26"/>
  <c r="CI26" i="26"/>
  <c r="DE16" i="26"/>
  <c r="CL67" i="26"/>
  <c r="CP51" i="26"/>
  <c r="AV58" i="26"/>
  <c r="CY30" i="26"/>
  <c r="CA37" i="26"/>
  <c r="AK28" i="26"/>
  <c r="BC33" i="26"/>
  <c r="BL64" i="26"/>
  <c r="BH33" i="26"/>
  <c r="BH83" i="26"/>
  <c r="BE46" i="26"/>
  <c r="AT27" i="26"/>
  <c r="BD33" i="26"/>
  <c r="BP43" i="26"/>
  <c r="CL73" i="26"/>
  <c r="AS31" i="26"/>
  <c r="DK43" i="26"/>
  <c r="AE71" i="26"/>
  <c r="CM48" i="26"/>
  <c r="DI31" i="26"/>
  <c r="BZ40" i="26"/>
  <c r="AP27" i="26"/>
  <c r="AG70" i="26"/>
  <c r="Z51" i="26"/>
  <c r="DT27" i="26"/>
  <c r="AP45" i="26"/>
  <c r="CY37" i="26"/>
  <c r="CW11" i="26"/>
  <c r="BL53" i="26"/>
  <c r="AR74" i="26"/>
  <c r="CQ47" i="26"/>
  <c r="BD31" i="26"/>
  <c r="DV32" i="26"/>
  <c r="BS58" i="26"/>
  <c r="BU86" i="26"/>
  <c r="BH56" i="26"/>
  <c r="CV33" i="26"/>
  <c r="CN33" i="26"/>
  <c r="CW47" i="26"/>
  <c r="U70" i="26"/>
  <c r="DF56" i="26"/>
  <c r="BB26" i="26"/>
  <c r="DD33" i="26"/>
  <c r="DH61" i="26"/>
  <c r="CT34" i="26"/>
  <c r="AH30" i="26"/>
  <c r="AY68" i="26"/>
  <c r="DT53" i="26"/>
  <c r="DI64" i="26"/>
  <c r="AB19" i="26"/>
  <c r="AL67" i="26"/>
  <c r="CK51" i="26"/>
  <c r="CB22" i="26"/>
  <c r="AS14" i="26"/>
  <c r="BN26" i="26"/>
  <c r="CA85" i="26"/>
  <c r="AL52" i="26"/>
  <c r="DF36" i="26"/>
  <c r="DQ82" i="26"/>
  <c r="AI89" i="26"/>
  <c r="CT61" i="26"/>
  <c r="Y70" i="26"/>
  <c r="AC27" i="26"/>
  <c r="AI26" i="26"/>
  <c r="CW113" i="26"/>
  <c r="DV79" i="26"/>
  <c r="BG56" i="26"/>
  <c r="BW31" i="26"/>
  <c r="DV88" i="26"/>
  <c r="DT38" i="26"/>
  <c r="AN80" i="26"/>
  <c r="AI60" i="26"/>
  <c r="DS80" i="26"/>
  <c r="BT30" i="26"/>
  <c r="AF89" i="26"/>
  <c r="DK24" i="26"/>
  <c r="CU52" i="26"/>
  <c r="BN40" i="26"/>
  <c r="AW59" i="26"/>
  <c r="CT11" i="26"/>
  <c r="CA60" i="26"/>
  <c r="DT43" i="26"/>
  <c r="CS59" i="26"/>
  <c r="DO24" i="26"/>
  <c r="AQ39" i="26"/>
  <c r="AR20" i="26"/>
  <c r="BW86" i="26"/>
  <c r="DS18" i="26"/>
  <c r="BJ54" i="26"/>
  <c r="AU80" i="26"/>
  <c r="CK41" i="26"/>
  <c r="Z76" i="26"/>
  <c r="DF37" i="26"/>
  <c r="CI48" i="26"/>
  <c r="DU30" i="26"/>
  <c r="DM26" i="26"/>
  <c r="BG21" i="26"/>
  <c r="CZ19" i="26"/>
  <c r="AA28" i="26"/>
  <c r="DB38" i="26"/>
  <c r="DL13" i="26"/>
  <c r="BW16" i="26"/>
  <c r="DJ58" i="26"/>
  <c r="Y39" i="26"/>
  <c r="DA68" i="26"/>
  <c r="AP25" i="26"/>
  <c r="CM27" i="26"/>
  <c r="DH31" i="26"/>
  <c r="DQ89" i="26"/>
  <c r="AO27" i="26"/>
  <c r="AC60" i="26"/>
  <c r="AO51" i="26"/>
  <c r="AR76" i="26"/>
  <c r="CB37" i="26"/>
  <c r="DE41" i="26"/>
  <c r="AS13" i="26"/>
  <c r="DH74" i="26"/>
  <c r="AD31" i="26"/>
  <c r="CY59" i="26"/>
  <c r="AG61" i="26"/>
  <c r="AI54" i="26"/>
  <c r="AC31" i="26"/>
  <c r="DO58" i="26"/>
  <c r="BB13" i="26"/>
  <c r="BP51" i="26"/>
  <c r="DH76" i="26"/>
  <c r="AX48" i="26"/>
  <c r="BG65" i="26"/>
  <c r="Z38" i="26"/>
  <c r="Z21" i="26"/>
  <c r="BE12" i="26"/>
  <c r="AM23" i="26"/>
  <c r="DQ15" i="26"/>
  <c r="AJ73" i="26"/>
  <c r="BP112" i="26"/>
  <c r="BN61" i="26"/>
  <c r="AD34" i="26"/>
  <c r="CQ58" i="26"/>
  <c r="CK45" i="26"/>
  <c r="BF70" i="26"/>
  <c r="DU20" i="26"/>
  <c r="AG31" i="26"/>
  <c r="AG59" i="26"/>
  <c r="DM59" i="26"/>
  <c r="AN67" i="26"/>
  <c r="DQ57" i="26"/>
  <c r="BG58" i="26"/>
  <c r="BG18" i="26"/>
  <c r="CO70" i="26"/>
  <c r="BT85" i="26"/>
  <c r="Z70" i="26"/>
  <c r="CB25" i="26"/>
  <c r="Y18" i="26"/>
  <c r="CL86" i="26"/>
  <c r="BB70" i="26"/>
  <c r="BF45" i="26"/>
  <c r="CN54" i="26"/>
  <c r="AT11" i="26"/>
  <c r="V71" i="26"/>
  <c r="AO36" i="26"/>
  <c r="AM34" i="26"/>
  <c r="DV54" i="26"/>
  <c r="CX47" i="26"/>
  <c r="AX13" i="26"/>
  <c r="BZ57" i="26"/>
  <c r="O114" i="26"/>
  <c r="DG30" i="26"/>
  <c r="AQ34" i="26"/>
  <c r="BZ32" i="26"/>
  <c r="DR47" i="26"/>
  <c r="AC41" i="26"/>
  <c r="BJ59" i="26"/>
  <c r="BK59" i="26"/>
  <c r="CR77" i="26"/>
  <c r="DL85" i="26"/>
  <c r="BP61" i="26"/>
  <c r="BB41" i="26"/>
  <c r="CB74" i="26"/>
  <c r="CN74" i="26"/>
  <c r="AS18" i="26"/>
  <c r="DP22" i="26"/>
  <c r="CW54" i="26"/>
  <c r="CW42" i="26"/>
  <c r="AX42" i="26"/>
  <c r="AN70" i="26"/>
  <c r="AJ114" i="26"/>
  <c r="AX20" i="26"/>
  <c r="DT21" i="26"/>
  <c r="CH27" i="26"/>
  <c r="BW14" i="26"/>
  <c r="P64" i="26"/>
  <c r="BF82" i="26"/>
  <c r="AM36" i="26"/>
  <c r="CO42" i="26"/>
  <c r="DG71" i="26"/>
  <c r="CY68" i="26"/>
  <c r="BT60" i="26"/>
  <c r="BP27" i="26"/>
  <c r="DB11" i="26"/>
  <c r="CI67" i="26"/>
  <c r="BR18" i="26"/>
  <c r="BZ56" i="26"/>
  <c r="CR30" i="26"/>
  <c r="AS48" i="26"/>
  <c r="BZ45" i="26"/>
  <c r="BL30" i="26"/>
  <c r="DS112" i="26"/>
  <c r="U113" i="26"/>
  <c r="CG30" i="26"/>
  <c r="CX28" i="26"/>
  <c r="AC64" i="26"/>
  <c r="DC40" i="26"/>
  <c r="BQ60" i="26"/>
  <c r="BE68" i="26"/>
  <c r="BP40" i="26"/>
  <c r="BQ41" i="26"/>
  <c r="AT43" i="26"/>
  <c r="DK68" i="26"/>
  <c r="BF38" i="26"/>
  <c r="CB76" i="26"/>
  <c r="AD114" i="26"/>
  <c r="DT41" i="26"/>
  <c r="CU86" i="26"/>
  <c r="AM30" i="26"/>
  <c r="CB71" i="26"/>
  <c r="CX16" i="26"/>
  <c r="DF70" i="26"/>
  <c r="DC46" i="26"/>
  <c r="BG82" i="26"/>
  <c r="AK41" i="26"/>
  <c r="CO45" i="26"/>
  <c r="BF47" i="26"/>
  <c r="CE82" i="26"/>
  <c r="AJ28" i="26"/>
  <c r="DQ53" i="26"/>
  <c r="DI61" i="26"/>
  <c r="CP59" i="26"/>
  <c r="Q34" i="26"/>
  <c r="I179" i="32" s="1"/>
  <c r="DA86" i="26"/>
  <c r="BC43" i="26"/>
  <c r="BX12" i="26"/>
  <c r="CN42" i="26"/>
  <c r="BE73" i="26"/>
  <c r="CR37" i="26"/>
  <c r="CJ65" i="26"/>
  <c r="CF83" i="26"/>
  <c r="Y32" i="26"/>
  <c r="BO30" i="26"/>
  <c r="DR43" i="26"/>
  <c r="CF30" i="26"/>
  <c r="BI33" i="26"/>
  <c r="CW38" i="26"/>
  <c r="CC26" i="26"/>
  <c r="DA15" i="26"/>
  <c r="BR67" i="26"/>
  <c r="CJ53" i="26"/>
  <c r="BF32" i="26"/>
  <c r="CE51" i="26"/>
  <c r="AA16" i="26"/>
  <c r="AX47" i="26"/>
  <c r="DH32" i="26"/>
  <c r="BM21" i="26"/>
  <c r="DV20" i="26"/>
  <c r="DI70" i="26"/>
  <c r="BX85" i="26"/>
  <c r="BP16" i="26"/>
  <c r="BJ58" i="26"/>
  <c r="CP23" i="26"/>
  <c r="CS82" i="26"/>
  <c r="AH37" i="26"/>
  <c r="DV64" i="26"/>
  <c r="CJ54" i="26"/>
  <c r="T23" i="26"/>
  <c r="DF39" i="26"/>
  <c r="BH73" i="26"/>
  <c r="BW38" i="26"/>
  <c r="Z15" i="26"/>
  <c r="AZ41" i="26"/>
  <c r="BB18" i="26"/>
  <c r="BJ37" i="26"/>
  <c r="DU42" i="26"/>
  <c r="AM43" i="26"/>
  <c r="AX113" i="26"/>
  <c r="DH60" i="26"/>
  <c r="DV28" i="26"/>
  <c r="CY27" i="26"/>
  <c r="CT58" i="26"/>
  <c r="DD24" i="26"/>
  <c r="DO86" i="26"/>
  <c r="AM112" i="26"/>
  <c r="Z18" i="26"/>
  <c r="BG52" i="26"/>
  <c r="BT16" i="26"/>
  <c r="AU89" i="26"/>
  <c r="CP20" i="26"/>
  <c r="DH79" i="26"/>
  <c r="DU34" i="26"/>
  <c r="BD67" i="26"/>
  <c r="CQ15" i="26"/>
  <c r="CO39" i="26"/>
  <c r="AT48" i="26"/>
  <c r="CI77" i="26"/>
  <c r="Z65" i="26"/>
  <c r="DP38" i="26"/>
  <c r="DF26" i="26"/>
  <c r="AC71" i="26"/>
  <c r="BX77" i="26"/>
  <c r="L76" i="26"/>
  <c r="BT111" i="26"/>
  <c r="AI76" i="26"/>
  <c r="AD70" i="26"/>
  <c r="AK34" i="26"/>
  <c r="BU52" i="26"/>
  <c r="CJ30" i="26"/>
  <c r="BW67" i="26"/>
  <c r="CE79" i="26"/>
  <c r="AU46" i="26"/>
  <c r="AK38" i="26"/>
  <c r="DG70" i="26"/>
  <c r="DD41" i="26"/>
  <c r="DM40" i="26"/>
  <c r="DR52" i="26"/>
  <c r="DM113" i="26"/>
  <c r="CM82" i="26"/>
  <c r="M30" i="26"/>
  <c r="E180" i="32" s="1"/>
  <c r="CG31" i="26"/>
  <c r="AV48" i="26"/>
  <c r="AS51" i="26"/>
  <c r="CG23" i="26"/>
  <c r="DH24" i="26"/>
  <c r="AU73" i="26"/>
  <c r="AW27" i="26"/>
  <c r="BJ74" i="26"/>
  <c r="DD73" i="26"/>
  <c r="CY61" i="26"/>
  <c r="BT64" i="26"/>
  <c r="DT32" i="26"/>
  <c r="CM54" i="26"/>
  <c r="BL37" i="26"/>
  <c r="DE83" i="26"/>
  <c r="AS112" i="26"/>
  <c r="CK24" i="26"/>
  <c r="DQ80" i="26"/>
  <c r="S64" i="26"/>
  <c r="CB54" i="26"/>
  <c r="DM48" i="26"/>
  <c r="AK31" i="26"/>
  <c r="BI30" i="26"/>
  <c r="AM79" i="26"/>
  <c r="AL53" i="26"/>
  <c r="BY13" i="26"/>
  <c r="DL113" i="26"/>
  <c r="BM24" i="26"/>
  <c r="AL56" i="26"/>
  <c r="BL65" i="26"/>
  <c r="BP33" i="26"/>
  <c r="BH43" i="26"/>
  <c r="CP85" i="26"/>
  <c r="AE52" i="26"/>
  <c r="CK37" i="26"/>
  <c r="CO53" i="26"/>
  <c r="DH112" i="26"/>
  <c r="AA39" i="26"/>
  <c r="AH43" i="26"/>
  <c r="BR24" i="26"/>
  <c r="DK51" i="26"/>
  <c r="BN28" i="26"/>
  <c r="AY18" i="26"/>
  <c r="DC70" i="26"/>
  <c r="BB86" i="26"/>
  <c r="CB86" i="26"/>
  <c r="CC40" i="26"/>
  <c r="BH79" i="26"/>
  <c r="AZ53" i="26"/>
  <c r="AQ45" i="26"/>
  <c r="DN59" i="26"/>
  <c r="BE45" i="26"/>
  <c r="CK52" i="26"/>
  <c r="AX37" i="26"/>
  <c r="AL86" i="26"/>
  <c r="DG76" i="26"/>
  <c r="BM80" i="26"/>
  <c r="X38" i="26"/>
  <c r="DP34" i="26"/>
  <c r="BI37" i="26"/>
  <c r="BS65" i="26"/>
  <c r="DR85" i="26"/>
  <c r="BS79" i="26"/>
  <c r="CL46" i="26"/>
  <c r="AU19" i="26"/>
  <c r="BV73" i="26"/>
  <c r="BM53" i="26"/>
  <c r="DC37" i="26"/>
  <c r="AO38" i="26"/>
  <c r="AC54" i="26"/>
  <c r="BS22" i="26"/>
  <c r="DD14" i="26"/>
  <c r="BL40" i="26"/>
  <c r="BX86" i="26"/>
  <c r="CF56" i="26"/>
  <c r="CD46" i="26"/>
  <c r="BJ41" i="26"/>
  <c r="AA46" i="26"/>
  <c r="CZ64" i="26"/>
  <c r="CI88" i="26"/>
  <c r="BD28" i="26"/>
  <c r="AS82" i="26"/>
  <c r="DF23" i="26"/>
  <c r="AD16" i="26"/>
  <c r="DO112" i="26"/>
  <c r="CF58" i="26"/>
  <c r="DL73" i="26"/>
  <c r="AO77" i="26"/>
  <c r="DP53" i="26"/>
  <c r="CT41" i="26"/>
  <c r="DB36" i="26"/>
  <c r="DA77" i="26"/>
  <c r="DL27" i="26"/>
  <c r="AQ31" i="26"/>
  <c r="N21" i="26"/>
  <c r="F163" i="32" s="1"/>
  <c r="CF43" i="26"/>
  <c r="AB25" i="26"/>
  <c r="BH41" i="26"/>
  <c r="BM70" i="26"/>
  <c r="DF28" i="26"/>
  <c r="DI59" i="26"/>
  <c r="DB20" i="26"/>
  <c r="AW56" i="26"/>
  <c r="CV52" i="26"/>
  <c r="BQ22" i="26"/>
  <c r="AN61" i="26"/>
  <c r="DK53" i="26"/>
  <c r="AW61" i="26"/>
  <c r="AM86" i="26"/>
  <c r="BQ74" i="26"/>
  <c r="BS45" i="26"/>
  <c r="DQ113" i="26"/>
  <c r="AU68" i="26"/>
  <c r="AT33" i="26"/>
  <c r="BU43" i="26"/>
  <c r="AV68" i="26"/>
  <c r="BW85" i="26"/>
  <c r="AS45" i="26"/>
  <c r="CR48" i="26"/>
  <c r="BO43" i="26"/>
  <c r="BP60" i="26"/>
  <c r="CS80" i="26"/>
  <c r="DN52" i="26"/>
  <c r="CS31" i="26"/>
  <c r="CP79" i="26"/>
  <c r="BL11" i="26"/>
  <c r="CG47" i="26"/>
  <c r="CX74" i="26"/>
  <c r="BF51" i="26"/>
  <c r="CK25" i="26"/>
  <c r="BU26" i="26"/>
  <c r="CD65" i="26"/>
  <c r="CY21" i="26"/>
  <c r="BK56" i="26"/>
  <c r="AS80" i="26"/>
  <c r="BT88" i="26"/>
  <c r="AQ77" i="26"/>
  <c r="AY79" i="26"/>
  <c r="CK82" i="26"/>
  <c r="CW41" i="26"/>
  <c r="BA58" i="26"/>
  <c r="AI48" i="26"/>
  <c r="O27" i="26"/>
  <c r="G166" i="32" s="1"/>
  <c r="AT64" i="26"/>
  <c r="DP37" i="26"/>
  <c r="AI34" i="26"/>
  <c r="CI24" i="26"/>
  <c r="DF88" i="26"/>
  <c r="AI11" i="26"/>
  <c r="CC25" i="26"/>
  <c r="BX73" i="26"/>
  <c r="DP15" i="26"/>
  <c r="BY19" i="26"/>
  <c r="BH57" i="26"/>
  <c r="CP30" i="26"/>
  <c r="CH86" i="26"/>
  <c r="DH33" i="26"/>
  <c r="CO52" i="26"/>
  <c r="AP53" i="26"/>
  <c r="BT33" i="26"/>
  <c r="AV21" i="26"/>
  <c r="AZ83" i="26"/>
  <c r="CT18" i="26"/>
  <c r="DT77" i="26"/>
  <c r="DC85" i="26"/>
  <c r="AP111" i="26"/>
  <c r="DJ33" i="26"/>
  <c r="BW70" i="26"/>
  <c r="AE28" i="26"/>
  <c r="CK76" i="26"/>
  <c r="CP88" i="26"/>
  <c r="AZ52" i="26"/>
  <c r="DG68" i="26"/>
  <c r="Y73" i="26"/>
  <c r="BZ80" i="26"/>
  <c r="BU40" i="26"/>
  <c r="AY21" i="26"/>
  <c r="AY83" i="26"/>
  <c r="AL54" i="26"/>
  <c r="CI46" i="26"/>
  <c r="CJ51" i="26"/>
  <c r="AA43" i="26"/>
  <c r="BM31" i="26"/>
  <c r="AA22" i="26"/>
  <c r="AM22" i="26"/>
  <c r="CI18" i="26"/>
  <c r="BV52" i="26"/>
  <c r="AN77" i="26"/>
  <c r="AU43" i="26"/>
  <c r="BD23" i="26"/>
  <c r="AX76" i="26"/>
  <c r="CK83" i="26"/>
  <c r="BS80" i="26"/>
  <c r="DH37" i="26"/>
  <c r="DS26" i="26"/>
  <c r="DI68" i="26"/>
  <c r="BF114" i="26"/>
  <c r="DU54" i="26"/>
  <c r="AC83" i="26"/>
  <c r="Z34" i="26"/>
  <c r="DP23" i="26"/>
  <c r="BM36" i="26"/>
  <c r="AJ22" i="26"/>
  <c r="DK76" i="26"/>
  <c r="AO65" i="26"/>
  <c r="AI45" i="26"/>
  <c r="DU73" i="26"/>
  <c r="AX32" i="26"/>
  <c r="BG51" i="26"/>
  <c r="DQ34" i="26"/>
  <c r="BW34" i="26"/>
  <c r="CG38" i="26"/>
  <c r="L65" i="26"/>
  <c r="BS19" i="26"/>
  <c r="DB19" i="26"/>
  <c r="CF88" i="26"/>
  <c r="DH18" i="26"/>
  <c r="DO48" i="26"/>
  <c r="BO67" i="26"/>
  <c r="AJ34" i="26"/>
  <c r="AS57" i="26"/>
  <c r="AY15" i="26"/>
  <c r="AM114" i="26"/>
  <c r="AJ59" i="26"/>
  <c r="CH33" i="26"/>
  <c r="CM47" i="26"/>
  <c r="CS43" i="26"/>
  <c r="BO60" i="26"/>
  <c r="CB15" i="26"/>
  <c r="DQ83" i="26"/>
  <c r="CT23" i="26"/>
  <c r="Q74" i="26"/>
  <c r="CP19" i="26"/>
  <c r="V114" i="26"/>
  <c r="CS65" i="26"/>
  <c r="DF38" i="26"/>
  <c r="CG15" i="26"/>
  <c r="BK57" i="26"/>
  <c r="AA31" i="26"/>
  <c r="BC16" i="26"/>
  <c r="CE56" i="26"/>
  <c r="CA71" i="26"/>
  <c r="DR27" i="26"/>
  <c r="BP80" i="26"/>
  <c r="CK73" i="26"/>
  <c r="BF25" i="26"/>
  <c r="AG86" i="26"/>
  <c r="AL36" i="26"/>
  <c r="CA77" i="26"/>
  <c r="AT37" i="26"/>
  <c r="T64" i="26"/>
  <c r="DB45" i="26"/>
  <c r="DD57" i="26"/>
  <c r="AF88" i="26"/>
  <c r="BN30" i="26"/>
  <c r="DM27" i="26"/>
  <c r="CU23" i="26"/>
  <c r="AJ112" i="26"/>
  <c r="AA83" i="26"/>
  <c r="BP64" i="26"/>
  <c r="N34" i="26"/>
  <c r="F179" i="32" s="1"/>
  <c r="BH64" i="26"/>
  <c r="AB88" i="26"/>
  <c r="DD26" i="26"/>
  <c r="AQ43" i="26"/>
  <c r="DA57" i="26"/>
  <c r="CD51" i="26"/>
  <c r="DK58" i="26"/>
  <c r="DJ15" i="26"/>
  <c r="CA82" i="26"/>
  <c r="AT38" i="26"/>
  <c r="BB33" i="26"/>
  <c r="BT76" i="26"/>
  <c r="DD59" i="26"/>
  <c r="BS43" i="26"/>
  <c r="BB113" i="26"/>
  <c r="DF46" i="26"/>
  <c r="AC30" i="26"/>
  <c r="BE16" i="26"/>
  <c r="CT70" i="26"/>
  <c r="AJ54" i="26"/>
  <c r="DK113" i="26"/>
  <c r="BY36" i="26"/>
  <c r="DJ82" i="26"/>
  <c r="BI42" i="26"/>
  <c r="CO71" i="26"/>
  <c r="DS56" i="26"/>
  <c r="DF54" i="26"/>
  <c r="DT83" i="26"/>
  <c r="CD36" i="26"/>
  <c r="AS46" i="26"/>
  <c r="Z54" i="26"/>
  <c r="BN23" i="26"/>
  <c r="BY45" i="26"/>
  <c r="CI37" i="26"/>
  <c r="BR73" i="26"/>
  <c r="BO42" i="26"/>
  <c r="AB40" i="26"/>
  <c r="AW85" i="26"/>
  <c r="DI114" i="26"/>
  <c r="AU82" i="26"/>
  <c r="BP11" i="26"/>
  <c r="AY61" i="26"/>
  <c r="N37" i="26"/>
  <c r="BH39" i="26"/>
  <c r="CG82" i="26"/>
  <c r="BS60" i="26"/>
  <c r="DT82" i="26"/>
  <c r="BD68" i="26"/>
  <c r="BY74" i="26"/>
  <c r="DL31" i="26"/>
  <c r="BZ15" i="26"/>
  <c r="BX68" i="26"/>
  <c r="CS58" i="26"/>
  <c r="BX39" i="26"/>
  <c r="DG53" i="26"/>
  <c r="CD39" i="26"/>
  <c r="BA43" i="26"/>
  <c r="BO76" i="26"/>
  <c r="CX31" i="26"/>
  <c r="CI16" i="26"/>
  <c r="AX27" i="26"/>
  <c r="BE53" i="26"/>
  <c r="T85" i="26"/>
  <c r="BV26" i="26"/>
  <c r="O64" i="26"/>
  <c r="R37" i="26"/>
  <c r="AO23" i="26"/>
  <c r="BI74" i="26"/>
  <c r="AK65" i="26"/>
  <c r="DQ28" i="26"/>
  <c r="AO73" i="26"/>
  <c r="AS88" i="26"/>
  <c r="AV89" i="26"/>
  <c r="DQ47" i="26"/>
  <c r="AC32" i="26"/>
  <c r="AR70" i="26"/>
  <c r="DL47" i="26"/>
  <c r="AS43" i="26"/>
  <c r="DN70" i="26"/>
  <c r="U27" i="26"/>
  <c r="M166" i="32" s="1"/>
  <c r="BM43" i="26"/>
  <c r="AQ23" i="26"/>
  <c r="DU22" i="26"/>
  <c r="BN16" i="26"/>
  <c r="BA16" i="26"/>
  <c r="AU67" i="26"/>
  <c r="CO60" i="26"/>
  <c r="BK41" i="26"/>
  <c r="BR56" i="26"/>
  <c r="CK31" i="26"/>
  <c r="BL45" i="26"/>
  <c r="BB32" i="26"/>
  <c r="DO37" i="26"/>
  <c r="Q70" i="26"/>
  <c r="DV58" i="26"/>
  <c r="BY31" i="26"/>
  <c r="AE15" i="26"/>
  <c r="AT25" i="26"/>
  <c r="BC68" i="26"/>
  <c r="DE40" i="26"/>
  <c r="CS38" i="26"/>
  <c r="AG34" i="26"/>
  <c r="CX60" i="26"/>
  <c r="DJ42" i="26"/>
  <c r="CE71" i="26"/>
  <c r="DA113" i="26"/>
  <c r="BA39" i="26"/>
  <c r="BE30" i="26"/>
  <c r="CF59" i="26"/>
  <c r="DE52" i="26"/>
  <c r="DP67" i="26"/>
  <c r="AY27" i="26"/>
  <c r="DH56" i="26"/>
  <c r="BD51" i="26"/>
  <c r="CJ42" i="26"/>
  <c r="AC48" i="26"/>
  <c r="BM40" i="26"/>
  <c r="CO20" i="26"/>
  <c r="CR12" i="26"/>
  <c r="CC24" i="26"/>
  <c r="CN24" i="26"/>
  <c r="CI76" i="26"/>
  <c r="DN43" i="26"/>
  <c r="CW36" i="26"/>
  <c r="AC51" i="26"/>
  <c r="BE86" i="26"/>
  <c r="BL48" i="26"/>
  <c r="BR65" i="26"/>
  <c r="BC58" i="26"/>
  <c r="V34" i="26"/>
  <c r="N179" i="32" s="1"/>
  <c r="DT31" i="26"/>
  <c r="DS38" i="26"/>
  <c r="BU70" i="26"/>
  <c r="DR23" i="26"/>
  <c r="CW20" i="26"/>
  <c r="BH82" i="26"/>
  <c r="AO40" i="26"/>
  <c r="DJ37" i="26"/>
  <c r="AH27" i="26"/>
  <c r="BQ34" i="26"/>
  <c r="Y71" i="26"/>
  <c r="BF67" i="26"/>
  <c r="DQ23" i="26"/>
  <c r="AB57" i="26"/>
  <c r="BV82" i="26"/>
  <c r="BO51" i="26"/>
  <c r="CP61" i="26"/>
  <c r="CE31" i="26"/>
  <c r="BP48" i="26"/>
  <c r="Z24" i="26"/>
  <c r="DR42" i="26"/>
  <c r="BG77" i="26"/>
  <c r="BE60" i="26"/>
  <c r="AE74" i="26"/>
  <c r="CA20" i="26"/>
  <c r="DO40" i="26"/>
  <c r="W74" i="26"/>
  <c r="AO111" i="26"/>
  <c r="BO37" i="26"/>
  <c r="AU39" i="26"/>
  <c r="BZ53" i="26"/>
  <c r="DK39" i="26"/>
  <c r="AO18" i="26"/>
  <c r="BD79" i="26"/>
  <c r="BN22" i="26"/>
  <c r="DH89" i="26"/>
  <c r="BA41" i="26"/>
  <c r="CI23" i="26"/>
  <c r="BQ14" i="26"/>
  <c r="BB36" i="26"/>
  <c r="CI19" i="26"/>
  <c r="CP37" i="26"/>
  <c r="BN58" i="26"/>
  <c r="BM79" i="26"/>
  <c r="AE47" i="26"/>
  <c r="CD45" i="26"/>
  <c r="DT76" i="26"/>
  <c r="CQ20" i="26"/>
  <c r="DH13" i="26"/>
  <c r="CQ30" i="26"/>
  <c r="AR77" i="26"/>
  <c r="BK40" i="26"/>
  <c r="CS40" i="26"/>
  <c r="AN82" i="26"/>
  <c r="BI51" i="26"/>
  <c r="BR45" i="26"/>
  <c r="DE47" i="26"/>
  <c r="CP77" i="26"/>
  <c r="AU58" i="26"/>
  <c r="DV16" i="26"/>
  <c r="BO112" i="26"/>
  <c r="Z88" i="26"/>
  <c r="CM28" i="26"/>
  <c r="AF48" i="26"/>
  <c r="DD37" i="26"/>
  <c r="BQ51" i="26"/>
  <c r="AP65" i="26"/>
  <c r="DJ20" i="26"/>
  <c r="AI20" i="26"/>
  <c r="DK52" i="26"/>
  <c r="BS26" i="26"/>
  <c r="V85" i="26"/>
  <c r="BB80" i="26"/>
  <c r="DA28" i="26"/>
  <c r="BX60" i="26"/>
  <c r="BN65" i="26"/>
  <c r="O34" i="26"/>
  <c r="G179" i="32" s="1"/>
  <c r="BS46" i="26"/>
  <c r="BO31" i="26"/>
  <c r="BC64" i="26"/>
  <c r="CT33" i="26"/>
  <c r="CO21" i="26"/>
  <c r="DC15" i="26"/>
  <c r="CM113" i="26"/>
  <c r="BQ68" i="26"/>
  <c r="DG26" i="26"/>
  <c r="DS42" i="26"/>
  <c r="CY45" i="26"/>
  <c r="CK74" i="26"/>
  <c r="BR42" i="26"/>
  <c r="DR31" i="26"/>
  <c r="DG36" i="26"/>
  <c r="DC33" i="26"/>
  <c r="BV59" i="26"/>
  <c r="CR40" i="26"/>
  <c r="CM80" i="26"/>
  <c r="AN54" i="26"/>
  <c r="CD22" i="26"/>
  <c r="Q20" i="26"/>
  <c r="I165" i="32" s="1"/>
  <c r="CU89" i="26"/>
  <c r="DN79" i="26"/>
  <c r="DU52" i="26"/>
  <c r="CJ18" i="26"/>
  <c r="AW46" i="26"/>
  <c r="BU82" i="26"/>
  <c r="DT46" i="26"/>
  <c r="W30" i="26"/>
  <c r="DH15" i="26"/>
  <c r="AT46" i="26"/>
  <c r="BE36" i="26"/>
  <c r="CG18" i="26"/>
  <c r="AV18" i="26"/>
  <c r="AW53" i="26"/>
  <c r="W19" i="26"/>
  <c r="BJ80" i="26"/>
  <c r="CD54" i="26"/>
  <c r="CC47" i="26"/>
  <c r="AO41" i="26"/>
  <c r="DD31" i="26"/>
  <c r="AW88" i="26"/>
  <c r="BA60" i="26"/>
  <c r="BL67" i="26"/>
  <c r="CA11" i="26"/>
  <c r="BG31" i="26"/>
  <c r="BJ15" i="26"/>
  <c r="DN74" i="26"/>
  <c r="DN58" i="26"/>
  <c r="AV74" i="26"/>
  <c r="AN57" i="26"/>
  <c r="CC74" i="26"/>
  <c r="BE65" i="26"/>
  <c r="BW56" i="26"/>
  <c r="DN83" i="26"/>
  <c r="AV45" i="26"/>
  <c r="S21" i="26"/>
  <c r="K163" i="32" s="1"/>
  <c r="CY36" i="26"/>
  <c r="DM74" i="26"/>
  <c r="AP61" i="26"/>
  <c r="BL68" i="26"/>
  <c r="CQ112" i="26"/>
  <c r="AJ30" i="26"/>
  <c r="BZ20" i="26"/>
  <c r="CW58" i="26"/>
  <c r="AI37" i="26"/>
  <c r="AG65" i="26"/>
  <c r="CB28" i="26"/>
  <c r="CW60" i="26"/>
  <c r="BZ74" i="26"/>
  <c r="CF82" i="26"/>
  <c r="AA68" i="26"/>
  <c r="DO20" i="26"/>
  <c r="AB65" i="26"/>
  <c r="DI23" i="26"/>
  <c r="V27" i="26"/>
  <c r="N166" i="32" s="1"/>
  <c r="BX40" i="26"/>
  <c r="CC70" i="26"/>
  <c r="R73" i="26"/>
  <c r="AI64" i="26"/>
  <c r="CM36" i="26"/>
  <c r="BS51" i="26"/>
  <c r="BZ36" i="26"/>
  <c r="BP56" i="26"/>
  <c r="BI68" i="26"/>
  <c r="DV41" i="26"/>
  <c r="DH47" i="26"/>
  <c r="DC13" i="26"/>
  <c r="BQ70" i="26"/>
  <c r="Y61" i="26"/>
  <c r="AN26" i="26"/>
  <c r="AG48" i="26"/>
  <c r="CC21" i="26"/>
  <c r="DI47" i="26"/>
  <c r="CS60" i="26"/>
  <c r="BZ28" i="26"/>
  <c r="AB48" i="26"/>
  <c r="DC26" i="26"/>
  <c r="DK46" i="26"/>
  <c r="BN21" i="26"/>
  <c r="AA59" i="26"/>
  <c r="BX13" i="26"/>
  <c r="DA67" i="26"/>
  <c r="AF64" i="26"/>
  <c r="BB47" i="26"/>
  <c r="DQ21" i="26"/>
  <c r="BM58" i="26"/>
  <c r="DT114" i="26"/>
  <c r="AK26" i="26"/>
  <c r="DI37" i="26"/>
  <c r="BB68" i="26"/>
  <c r="DJ60" i="26"/>
  <c r="DG74" i="26"/>
  <c r="AB18" i="26"/>
  <c r="DD43" i="26"/>
  <c r="AQ114" i="26"/>
  <c r="DP86" i="26"/>
  <c r="DC39" i="26"/>
  <c r="BV45" i="26"/>
  <c r="AZ80" i="26"/>
  <c r="AX79" i="26"/>
  <c r="BZ37" i="26"/>
  <c r="P34" i="26"/>
  <c r="H179" i="32" s="1"/>
  <c r="AS28" i="26"/>
  <c r="CW51" i="26"/>
  <c r="CA54" i="26"/>
  <c r="BN32" i="26"/>
  <c r="CR25" i="26"/>
  <c r="CN21" i="26"/>
  <c r="BR58" i="26"/>
  <c r="DD68" i="26"/>
  <c r="BS76" i="26"/>
  <c r="AR67" i="26"/>
  <c r="AF43" i="26"/>
  <c r="AL12" i="26"/>
  <c r="BB59" i="26"/>
  <c r="DR114" i="26"/>
  <c r="DO73" i="26"/>
  <c r="AV80" i="26"/>
  <c r="CX22" i="26"/>
  <c r="CQ64" i="26"/>
  <c r="BA61" i="26"/>
  <c r="T18" i="26"/>
  <c r="L161" i="32" s="1"/>
  <c r="BW28" i="26"/>
  <c r="DB15" i="26"/>
  <c r="CU64" i="26"/>
  <c r="AS39" i="26"/>
  <c r="AV88" i="26"/>
  <c r="AI67" i="26"/>
  <c r="T77" i="26"/>
  <c r="AP31" i="26"/>
  <c r="Z45" i="26"/>
  <c r="P70" i="26"/>
  <c r="S30" i="26"/>
  <c r="K180" i="32" s="1"/>
  <c r="AO74" i="26"/>
  <c r="CQ21" i="26"/>
  <c r="AE23" i="26"/>
  <c r="CG80" i="26"/>
  <c r="CQ42" i="26"/>
  <c r="BU111" i="26"/>
  <c r="BX82" i="26"/>
  <c r="AB70" i="26"/>
  <c r="CJ38" i="26"/>
  <c r="DU67" i="26"/>
  <c r="BJ42" i="26"/>
  <c r="CO24" i="26"/>
  <c r="CK42" i="26"/>
  <c r="CJ14" i="26"/>
  <c r="AR34" i="26"/>
  <c r="DE113" i="26"/>
  <c r="AC82" i="26"/>
  <c r="DC57" i="26"/>
  <c r="BZ73" i="26"/>
  <c r="BL77" i="26"/>
  <c r="DS21" i="26"/>
  <c r="AH70" i="26"/>
  <c r="DC82" i="26"/>
  <c r="AA40" i="26"/>
  <c r="AE48" i="26"/>
  <c r="AZ33" i="26"/>
  <c r="CK32" i="26"/>
  <c r="BW80" i="26"/>
  <c r="BZ12" i="26"/>
  <c r="AH58" i="26"/>
  <c r="Y22" i="26"/>
  <c r="CV12" i="26"/>
  <c r="AS41" i="26"/>
  <c r="AU33" i="26"/>
  <c r="T65" i="26"/>
  <c r="DB54" i="26"/>
  <c r="CW32" i="26"/>
  <c r="CO28" i="26"/>
  <c r="CG24" i="26"/>
  <c r="DB42" i="26"/>
  <c r="CT46" i="26"/>
  <c r="CY43" i="26"/>
  <c r="AD67" i="26"/>
  <c r="DO53" i="26"/>
  <c r="CW57" i="26"/>
  <c r="AZ32" i="26"/>
  <c r="DF15" i="26"/>
  <c r="AO68" i="26"/>
  <c r="CU27" i="26"/>
  <c r="BG67" i="26"/>
  <c r="DU88" i="26"/>
  <c r="DG13" i="26"/>
  <c r="BW19" i="26"/>
  <c r="AI12" i="26"/>
  <c r="BY112" i="26"/>
  <c r="CJ27" i="26"/>
  <c r="BZ27" i="26"/>
  <c r="CD43" i="26"/>
  <c r="DK88" i="26"/>
  <c r="AN68" i="26"/>
  <c r="DA59" i="26"/>
  <c r="AH40" i="26"/>
  <c r="CW64" i="26"/>
  <c r="BL80" i="26"/>
  <c r="CY40" i="26"/>
  <c r="DJ54" i="26"/>
  <c r="Z39" i="26"/>
  <c r="BN38" i="26"/>
  <c r="DU82" i="26"/>
  <c r="DP30" i="26"/>
  <c r="N67" i="26"/>
  <c r="BR59" i="26"/>
  <c r="DQ22" i="26"/>
  <c r="AH24" i="26"/>
  <c r="Q30" i="26"/>
  <c r="I180" i="32" s="1"/>
  <c r="AA88" i="26"/>
  <c r="BJ77" i="26"/>
  <c r="BY80" i="26"/>
  <c r="AD85" i="26"/>
  <c r="CN45" i="26"/>
  <c r="CI74" i="26"/>
  <c r="DE42" i="26"/>
  <c r="BZ85" i="26"/>
  <c r="CA68" i="26"/>
  <c r="BG43" i="26"/>
  <c r="BX47" i="26"/>
  <c r="AD28" i="26"/>
  <c r="DL40" i="26"/>
  <c r="DI82" i="26"/>
  <c r="CI70" i="26"/>
  <c r="AB52" i="26"/>
  <c r="AB77" i="26"/>
  <c r="BV43" i="26"/>
  <c r="BH40" i="26"/>
  <c r="AI82" i="26"/>
  <c r="Y20" i="26"/>
  <c r="DQ36" i="26"/>
  <c r="BM71" i="26"/>
  <c r="BO26" i="26"/>
  <c r="CO37" i="26"/>
  <c r="AG80" i="26"/>
  <c r="AG46" i="26"/>
  <c r="BZ54" i="26"/>
  <c r="CC32" i="26"/>
  <c r="CD68" i="26"/>
  <c r="CC54" i="26"/>
  <c r="DI85" i="26"/>
  <c r="BA32" i="26"/>
  <c r="BF41" i="26"/>
  <c r="AF16" i="26"/>
  <c r="BX48" i="26"/>
  <c r="DH36" i="26"/>
  <c r="AR13" i="26"/>
  <c r="AS52" i="26"/>
  <c r="M64" i="26"/>
  <c r="DT23" i="26"/>
  <c r="CV60" i="26"/>
  <c r="DQ24" i="26"/>
  <c r="BS85" i="26"/>
  <c r="DG43" i="26"/>
  <c r="DL43" i="26"/>
  <c r="AW37" i="26"/>
  <c r="BK79" i="26"/>
  <c r="BZ52" i="26"/>
  <c r="DC47" i="26"/>
  <c r="BQ43" i="26"/>
  <c r="CA45" i="26"/>
  <c r="AC14" i="26"/>
  <c r="BN53" i="26"/>
  <c r="DC27" i="26"/>
  <c r="DA40" i="26"/>
  <c r="AC25" i="26"/>
  <c r="CG45" i="26"/>
  <c r="AC59" i="26"/>
  <c r="CP25" i="26"/>
  <c r="DB28" i="26"/>
  <c r="DK14" i="26"/>
  <c r="DE61" i="26"/>
  <c r="AN28" i="26"/>
  <c r="BF31" i="26"/>
  <c r="BA42" i="26"/>
  <c r="DN77" i="26"/>
  <c r="DD36" i="26"/>
  <c r="CO57" i="26"/>
  <c r="AH65" i="26"/>
  <c r="CW80" i="26"/>
  <c r="CE74" i="26"/>
  <c r="AX111" i="26"/>
  <c r="CD56" i="26"/>
  <c r="BI79" i="26"/>
  <c r="X19" i="26"/>
  <c r="BP113" i="26"/>
  <c r="DV77" i="26"/>
  <c r="AT77" i="26"/>
  <c r="CF67" i="26"/>
  <c r="AX73" i="26"/>
  <c r="CJ73" i="26"/>
  <c r="CH59" i="26"/>
  <c r="CT114" i="26"/>
  <c r="DN65" i="26"/>
  <c r="BU85" i="26"/>
  <c r="AO113" i="26"/>
  <c r="O73" i="26"/>
  <c r="DE11" i="26"/>
  <c r="CU61" i="26"/>
  <c r="CD71" i="26"/>
  <c r="BQ47" i="26"/>
  <c r="BT41" i="26"/>
  <c r="BR20" i="26"/>
  <c r="DR40" i="26"/>
  <c r="DN82" i="26"/>
  <c r="BL38" i="26"/>
  <c r="BD114" i="26"/>
  <c r="BG41" i="26"/>
  <c r="S37" i="26"/>
  <c r="CA39" i="26"/>
  <c r="BD56" i="26"/>
  <c r="DC28" i="26"/>
  <c r="AS71" i="26"/>
  <c r="CO111" i="26"/>
  <c r="CS112" i="26"/>
  <c r="AI41" i="26"/>
  <c r="DH88" i="26"/>
  <c r="AB47" i="26"/>
  <c r="AP41" i="26"/>
  <c r="DN111" i="26"/>
  <c r="DK80" i="26"/>
  <c r="CV23" i="26"/>
  <c r="AQ54" i="26"/>
  <c r="CQ52" i="26"/>
  <c r="AD111" i="26"/>
  <c r="DH80" i="26"/>
  <c r="CZ53" i="26"/>
  <c r="DS71" i="26"/>
  <c r="CN80" i="26"/>
  <c r="BE112" i="26"/>
  <c r="CK36" i="26"/>
  <c r="DT15" i="26"/>
  <c r="BW73" i="26"/>
  <c r="AM25" i="26"/>
  <c r="BY14" i="26"/>
  <c r="CI40" i="26"/>
  <c r="W37" i="26"/>
  <c r="Z67" i="26"/>
  <c r="CZ11" i="26"/>
  <c r="CV27" i="26"/>
  <c r="BD57" i="26"/>
  <c r="DJ46" i="26"/>
  <c r="AZ39" i="26"/>
  <c r="BH32" i="26"/>
  <c r="Y85" i="26"/>
  <c r="AY45" i="26"/>
  <c r="BH53" i="26"/>
  <c r="CF31" i="26"/>
  <c r="DV71" i="26"/>
  <c r="AD58" i="26"/>
  <c r="DE23" i="26"/>
  <c r="BK37" i="26"/>
  <c r="BK53" i="26"/>
  <c r="DE33" i="26"/>
  <c r="DG64" i="26"/>
  <c r="AY65" i="26"/>
  <c r="BG111" i="26"/>
  <c r="CF70" i="26"/>
  <c r="DG11" i="26"/>
  <c r="AN60" i="26"/>
  <c r="BL46" i="26"/>
  <c r="CK40" i="26"/>
  <c r="Y42" i="26"/>
  <c r="AX82" i="26"/>
  <c r="AB114" i="26"/>
  <c r="M114" i="26"/>
  <c r="CU114" i="26"/>
  <c r="DE53" i="26"/>
  <c r="CT16" i="26"/>
  <c r="BZ70" i="26"/>
  <c r="BH18" i="26"/>
  <c r="BX54" i="26"/>
  <c r="BP54" i="26"/>
  <c r="N74" i="26"/>
  <c r="BA83" i="26"/>
  <c r="BY42" i="26"/>
  <c r="BD77" i="26"/>
  <c r="CN52" i="26"/>
  <c r="BD47" i="26"/>
  <c r="CP33" i="26"/>
  <c r="AR82" i="26"/>
  <c r="DT111" i="26"/>
  <c r="Q23" i="26"/>
  <c r="CJ31" i="26"/>
  <c r="CV59" i="26"/>
  <c r="CS68" i="26"/>
  <c r="BE88" i="26"/>
  <c r="DD11" i="26"/>
  <c r="CW59" i="26"/>
  <c r="DO38" i="26"/>
  <c r="DV46" i="26"/>
  <c r="DK86" i="26"/>
  <c r="AD76" i="26"/>
  <c r="R65" i="26"/>
  <c r="CV11" i="26"/>
  <c r="CW48" i="26"/>
  <c r="BG76" i="26"/>
  <c r="AJ64" i="26"/>
  <c r="BP38" i="26"/>
  <c r="AL61" i="26"/>
  <c r="AJ61" i="26"/>
  <c r="CL13" i="26"/>
  <c r="DG48" i="26"/>
  <c r="AH76" i="26"/>
  <c r="AB53" i="26"/>
  <c r="BM26" i="26"/>
  <c r="AY22" i="26"/>
  <c r="BL52" i="26"/>
  <c r="AI77" i="26"/>
  <c r="DT61" i="26"/>
  <c r="CF40" i="26"/>
  <c r="BJ14" i="26"/>
  <c r="CF25" i="26"/>
  <c r="AP22" i="26"/>
  <c r="BR83" i="26"/>
  <c r="CJ82" i="26"/>
  <c r="AS85" i="26"/>
  <c r="BF52" i="26"/>
  <c r="AW12" i="26"/>
  <c r="CV16" i="26"/>
  <c r="AJ25" i="26"/>
  <c r="BW61" i="26"/>
  <c r="AK60" i="26"/>
  <c r="AV59" i="26"/>
  <c r="AO57" i="26"/>
  <c r="CQ54" i="26"/>
  <c r="BR32" i="26"/>
  <c r="AW82" i="26"/>
  <c r="DQ45" i="26"/>
  <c r="AN41" i="26"/>
  <c r="CV89" i="26"/>
  <c r="CR42" i="26"/>
  <c r="CR31" i="26"/>
  <c r="BJ60" i="26"/>
  <c r="BP23" i="26"/>
  <c r="CO67" i="26"/>
  <c r="CY24" i="26"/>
  <c r="DH52" i="26"/>
  <c r="DD38" i="26"/>
  <c r="DF58" i="26"/>
  <c r="CQ76" i="26"/>
  <c r="DU64" i="26"/>
  <c r="DF52" i="26"/>
  <c r="AZ64" i="26"/>
  <c r="AL39" i="26"/>
  <c r="CN28" i="26"/>
  <c r="AU32" i="26"/>
  <c r="AK24" i="26"/>
  <c r="AK59" i="26"/>
  <c r="BU54" i="26"/>
  <c r="DU25" i="26"/>
  <c r="CR64" i="26"/>
  <c r="CJ70" i="26"/>
  <c r="AZ28" i="26"/>
  <c r="CY33" i="26"/>
  <c r="AF113" i="26"/>
  <c r="DQ52" i="26"/>
  <c r="AV28" i="26"/>
  <c r="DA70" i="26"/>
  <c r="CN53" i="26"/>
  <c r="BG48" i="26"/>
  <c r="BP45" i="26"/>
  <c r="DM67" i="26"/>
  <c r="DH16" i="26"/>
  <c r="BH54" i="26"/>
  <c r="DL32" i="26"/>
  <c r="CO56" i="26"/>
  <c r="BM54" i="26"/>
  <c r="CQ59" i="26"/>
  <c r="BC38" i="26"/>
  <c r="CZ20" i="26"/>
  <c r="AJ86" i="26"/>
  <c r="P38" i="26"/>
  <c r="DT112" i="26"/>
  <c r="CI14" i="26"/>
  <c r="AI28" i="26"/>
  <c r="CD38" i="26"/>
  <c r="BV86" i="26"/>
  <c r="BE43" i="26"/>
  <c r="CF36" i="26"/>
  <c r="AE85" i="26"/>
  <c r="CE54" i="26"/>
  <c r="BK19" i="26"/>
  <c r="CO23" i="26"/>
  <c r="DJ30" i="26"/>
  <c r="AI51" i="26"/>
  <c r="T24" i="26"/>
  <c r="DC14" i="26"/>
  <c r="BJ46" i="26"/>
  <c r="CA76" i="26"/>
  <c r="CW79" i="26"/>
  <c r="AV36" i="26"/>
  <c r="BX80" i="26"/>
  <c r="AI83" i="26"/>
  <c r="BC19" i="26"/>
  <c r="DU31" i="26"/>
  <c r="DE65" i="26"/>
  <c r="AZ36" i="26"/>
  <c r="CN30" i="26"/>
  <c r="CX52" i="26"/>
  <c r="CQ38" i="26"/>
  <c r="BQ19" i="26"/>
  <c r="AN42" i="26"/>
  <c r="CC114" i="26"/>
  <c r="BR40" i="26"/>
  <c r="BM67" i="26"/>
  <c r="AM57" i="26"/>
  <c r="M19" i="26"/>
  <c r="E162" i="32" s="1"/>
  <c r="CK53" i="26"/>
  <c r="BN80" i="26"/>
  <c r="AA61" i="26"/>
  <c r="O65" i="26"/>
  <c r="DB57" i="26"/>
  <c r="CA36" i="26"/>
  <c r="DT48" i="26"/>
  <c r="CT14" i="26"/>
  <c r="BN56" i="26"/>
  <c r="AS59" i="26"/>
  <c r="BJ51" i="26"/>
  <c r="AC36" i="26"/>
  <c r="CB34" i="26"/>
  <c r="DF42" i="26"/>
  <c r="CW61" i="26"/>
  <c r="AL60" i="26"/>
  <c r="BO71" i="26"/>
  <c r="CF22" i="26"/>
  <c r="AJ21" i="26"/>
  <c r="DT89" i="26"/>
  <c r="DI45" i="26"/>
  <c r="BW58" i="26"/>
  <c r="AT65" i="26"/>
  <c r="CZ43" i="26"/>
  <c r="CH68" i="26"/>
  <c r="CT88" i="26"/>
  <c r="AB36" i="26"/>
  <c r="AE53" i="26"/>
  <c r="BP22" i="26"/>
  <c r="CY15" i="26"/>
  <c r="DQ51" i="26"/>
  <c r="AG41" i="26"/>
  <c r="CQ71" i="26"/>
  <c r="BK48" i="26"/>
  <c r="AK64" i="26"/>
  <c r="BV76" i="26"/>
  <c r="AG89" i="26"/>
  <c r="AR53" i="26"/>
  <c r="CL64" i="26"/>
  <c r="AY67" i="26"/>
  <c r="AF23" i="26"/>
  <c r="BS56" i="26"/>
  <c r="BC15" i="26"/>
  <c r="CA30" i="26"/>
  <c r="DO28" i="26"/>
  <c r="DD70" i="26"/>
  <c r="BZ59" i="26"/>
  <c r="CP83" i="26"/>
  <c r="AI73" i="26"/>
  <c r="DJ68" i="26"/>
  <c r="P71" i="26"/>
  <c r="BQ111" i="26"/>
  <c r="DH51" i="26"/>
  <c r="DD18" i="26"/>
  <c r="Y80" i="26"/>
  <c r="DN42" i="26"/>
  <c r="CZ37" i="26"/>
  <c r="BN79" i="26"/>
  <c r="CE47" i="26"/>
  <c r="BI58" i="26"/>
  <c r="CH71" i="26"/>
  <c r="BT47" i="26"/>
  <c r="CJ48" i="26"/>
  <c r="DT79" i="26"/>
  <c r="BR112" i="26"/>
  <c r="BC37" i="26"/>
  <c r="BR74" i="26"/>
  <c r="AJ37" i="26"/>
  <c r="DB37" i="26"/>
  <c r="AQ88" i="26"/>
  <c r="AO19" i="26"/>
  <c r="DD79" i="26"/>
  <c r="CG27" i="26"/>
  <c r="CZ114" i="26"/>
  <c r="AR56" i="26"/>
  <c r="DI80" i="26"/>
  <c r="DO42" i="26"/>
  <c r="BR61" i="26"/>
  <c r="DQ43" i="26"/>
  <c r="BK77" i="26"/>
  <c r="AD57" i="26"/>
  <c r="BA113" i="26"/>
  <c r="DN32" i="26"/>
  <c r="BT39" i="26"/>
  <c r="BZ64" i="26"/>
  <c r="DF77" i="26"/>
  <c r="AQ19" i="26"/>
  <c r="BZ25" i="26"/>
  <c r="W67" i="26"/>
  <c r="BL32" i="26"/>
  <c r="CU73" i="26"/>
  <c r="CB83" i="26"/>
  <c r="AG60" i="26"/>
  <c r="Z22" i="26"/>
  <c r="AA85" i="26"/>
  <c r="AT12" i="26"/>
  <c r="BF65" i="26"/>
  <c r="BR80" i="26"/>
  <c r="W27" i="26"/>
  <c r="BV70" i="26"/>
  <c r="AU53" i="26"/>
  <c r="DG58" i="26"/>
  <c r="CV64" i="26"/>
  <c r="BG64" i="26"/>
  <c r="BE64" i="26"/>
  <c r="DK32" i="26"/>
  <c r="CT74" i="26"/>
  <c r="DN24" i="26"/>
  <c r="DA19" i="26"/>
  <c r="BR113" i="26"/>
  <c r="CW30" i="26"/>
  <c r="DB76" i="26"/>
  <c r="CV82" i="26"/>
  <c r="AZ57" i="26"/>
  <c r="CC60" i="26"/>
  <c r="DP61" i="26"/>
  <c r="AU48" i="26"/>
  <c r="AS113" i="26"/>
  <c r="AX80" i="26"/>
  <c r="AC67" i="26"/>
  <c r="CL40" i="26"/>
  <c r="DR60" i="26"/>
  <c r="DR58" i="26"/>
  <c r="CN113" i="26"/>
  <c r="DB41" i="26"/>
  <c r="CK77" i="26"/>
  <c r="BH34" i="26"/>
  <c r="DR34" i="26"/>
  <c r="AA12" i="26"/>
  <c r="BW18" i="26"/>
  <c r="CZ18" i="26"/>
  <c r="DQ73" i="26"/>
  <c r="CR58" i="26"/>
  <c r="DJ43" i="26"/>
  <c r="CS85" i="26"/>
  <c r="Y36" i="26"/>
  <c r="AP38" i="26"/>
  <c r="BM27" i="26"/>
  <c r="BL41" i="26"/>
  <c r="CZ74" i="26"/>
  <c r="BD39" i="26"/>
  <c r="CK64" i="26"/>
  <c r="AQ41" i="26"/>
  <c r="AS38" i="26"/>
  <c r="BS52" i="26"/>
  <c r="DG42" i="26"/>
  <c r="AD46" i="26"/>
  <c r="BD71" i="26"/>
  <c r="CB67" i="26"/>
  <c r="BF73" i="26"/>
  <c r="DG85" i="26"/>
  <c r="DE76" i="26"/>
  <c r="DP42" i="26"/>
  <c r="CH31" i="26"/>
  <c r="BI46" i="26"/>
  <c r="CQ45" i="26"/>
  <c r="AA70" i="26"/>
  <c r="BT74" i="26"/>
  <c r="DV18" i="26"/>
  <c r="DM71" i="26"/>
  <c r="BD89" i="26"/>
  <c r="DL54" i="26"/>
  <c r="DO57" i="26"/>
  <c r="AN52" i="26"/>
  <c r="CE32" i="26"/>
  <c r="CX53" i="26"/>
  <c r="AW80" i="26"/>
  <c r="BR79" i="26"/>
  <c r="AA15" i="26"/>
  <c r="BE54" i="26"/>
  <c r="BF28" i="26"/>
  <c r="DF34" i="26"/>
  <c r="BA24" i="26"/>
  <c r="DE79" i="26"/>
  <c r="DL23" i="26"/>
  <c r="AF67" i="26"/>
  <c r="DH43" i="26"/>
  <c r="DN26" i="26"/>
  <c r="DP27" i="26"/>
  <c r="BQ86" i="26"/>
  <c r="BF36" i="26"/>
  <c r="BO58" i="26"/>
  <c r="BB12" i="26"/>
  <c r="DM88" i="26"/>
  <c r="AV64" i="26"/>
  <c r="AP67" i="26"/>
  <c r="DH71" i="26"/>
  <c r="CE76" i="26"/>
  <c r="BV14" i="26"/>
  <c r="BI36" i="26"/>
  <c r="BB48" i="26"/>
  <c r="BI61" i="26"/>
  <c r="AA58" i="26"/>
  <c r="CA43" i="26"/>
  <c r="DC45" i="26"/>
  <c r="DH85" i="26"/>
  <c r="BK39" i="26"/>
  <c r="AE43" i="26"/>
  <c r="BD113" i="26"/>
  <c r="BI31" i="26"/>
  <c r="CH113" i="26"/>
  <c r="AM11" i="26"/>
  <c r="CQ57" i="26"/>
  <c r="CM89" i="26"/>
  <c r="AZ21" i="26"/>
  <c r="Y79" i="26"/>
  <c r="BT57" i="26"/>
  <c r="BT77" i="26"/>
  <c r="DV43" i="26"/>
  <c r="AL51" i="26"/>
  <c r="AG85" i="26"/>
  <c r="DB30" i="26"/>
  <c r="DC52" i="26"/>
  <c r="CI89" i="26"/>
  <c r="DJ53" i="26"/>
  <c r="AU14" i="26"/>
  <c r="CF113" i="26"/>
  <c r="AO43" i="26"/>
  <c r="CY41" i="26"/>
  <c r="CF114" i="26"/>
  <c r="AR57" i="26"/>
  <c r="CN59" i="26"/>
  <c r="Y43" i="26"/>
  <c r="N38" i="26"/>
  <c r="CD61" i="26"/>
  <c r="AL74" i="26"/>
  <c r="BB25" i="26"/>
  <c r="DQ41" i="26"/>
  <c r="AO16" i="26"/>
  <c r="BO80" i="26"/>
  <c r="BT42" i="26"/>
  <c r="CY89" i="26"/>
  <c r="BB56" i="26"/>
  <c r="BA57" i="26"/>
  <c r="CD80" i="26"/>
  <c r="BN34" i="26"/>
  <c r="AJ38" i="26"/>
  <c r="BY24" i="26"/>
  <c r="AX46" i="26"/>
  <c r="BC24" i="26"/>
  <c r="DM79" i="26"/>
  <c r="DR32" i="26"/>
  <c r="BS41" i="26"/>
  <c r="CA38" i="26"/>
  <c r="AM48" i="26"/>
  <c r="AH31" i="26"/>
  <c r="BU27" i="26"/>
  <c r="CC65" i="26"/>
  <c r="AK54" i="26"/>
  <c r="BT32" i="26"/>
  <c r="BA23" i="26"/>
  <c r="AP54" i="26"/>
  <c r="BZ42" i="26"/>
  <c r="O21" i="26"/>
  <c r="G163" i="32" s="1"/>
  <c r="AE82" i="26"/>
  <c r="DA112" i="26"/>
  <c r="BP67" i="26"/>
  <c r="AV42" i="26"/>
  <c r="DM41" i="26"/>
  <c r="AS32" i="26"/>
  <c r="AW73" i="26"/>
  <c r="CG67" i="26"/>
  <c r="BG61" i="26"/>
  <c r="AG43" i="26"/>
  <c r="DD13" i="26"/>
  <c r="CG46" i="26"/>
  <c r="DP59" i="26"/>
  <c r="BC71" i="26"/>
  <c r="BV34" i="26"/>
  <c r="BL25" i="26"/>
  <c r="BV71" i="26"/>
  <c r="Y68" i="26"/>
  <c r="BM28" i="26"/>
  <c r="CU33" i="26"/>
  <c r="DO83" i="26"/>
  <c r="BN45" i="26"/>
  <c r="AT73" i="26"/>
  <c r="CM53" i="26"/>
  <c r="AK36" i="26"/>
  <c r="DA53" i="26"/>
  <c r="BM37" i="26"/>
  <c r="DS61" i="26"/>
  <c r="CH38" i="26"/>
  <c r="T30" i="26"/>
  <c r="L180" i="32" s="1"/>
  <c r="AY88" i="26"/>
  <c r="BS61" i="26"/>
  <c r="X70" i="26"/>
  <c r="CS111" i="26"/>
  <c r="BJ65" i="26"/>
  <c r="BK34" i="26"/>
  <c r="CC18" i="26"/>
  <c r="DP51" i="26"/>
  <c r="CC53" i="26"/>
  <c r="BV38" i="26"/>
  <c r="AW15" i="26"/>
  <c r="BI47" i="26"/>
  <c r="AN45" i="26"/>
  <c r="AQ73" i="26"/>
  <c r="AA67" i="26"/>
  <c r="AQ74" i="26"/>
  <c r="CT83" i="26"/>
  <c r="DR88" i="26"/>
  <c r="BD40" i="26"/>
  <c r="CW86" i="26"/>
  <c r="DT25" i="26"/>
  <c r="BI59" i="26"/>
  <c r="AJ45" i="26"/>
  <c r="BR82" i="26"/>
  <c r="CC83" i="26"/>
  <c r="DH77" i="26"/>
  <c r="BK52" i="26"/>
  <c r="AV26" i="26"/>
  <c r="U74" i="26"/>
  <c r="BZ65" i="26"/>
  <c r="CT19" i="26"/>
  <c r="CU111" i="26"/>
  <c r="DF31" i="26"/>
  <c r="AX21" i="26"/>
  <c r="AC73" i="26"/>
  <c r="DG45" i="26"/>
  <c r="DE37" i="26"/>
  <c r="BV54" i="26"/>
  <c r="BK60" i="26"/>
  <c r="CK18" i="26"/>
  <c r="CP42" i="26"/>
  <c r="CP70" i="26"/>
  <c r="AJ52" i="26"/>
  <c r="Y65" i="26"/>
  <c r="AF27" i="26"/>
  <c r="BS53" i="26"/>
  <c r="CL79" i="26"/>
  <c r="DK48" i="26"/>
  <c r="BE20" i="26"/>
  <c r="AO58" i="26"/>
  <c r="CM12" i="26"/>
  <c r="AH46" i="26"/>
  <c r="CB14" i="26"/>
  <c r="Z83" i="26"/>
  <c r="BA64" i="26"/>
  <c r="CZ33" i="26"/>
  <c r="AX28" i="26"/>
  <c r="BH60" i="26"/>
  <c r="CN67" i="26"/>
  <c r="DG38" i="26"/>
  <c r="BQ52" i="26"/>
  <c r="AQ21" i="26"/>
  <c r="BD111" i="26"/>
  <c r="CC67" i="26"/>
  <c r="AY70" i="26"/>
  <c r="CY54" i="26"/>
  <c r="CU40" i="26"/>
  <c r="CV53" i="26"/>
  <c r="DO67" i="26"/>
  <c r="AD77" i="26"/>
  <c r="BD80" i="26"/>
  <c r="AJ47" i="26"/>
  <c r="AE46" i="26"/>
  <c r="DD21" i="26"/>
  <c r="DF74" i="26"/>
  <c r="DA79" i="26"/>
  <c r="BL113" i="26"/>
  <c r="BE13" i="26"/>
  <c r="DN25" i="26"/>
  <c r="AD41" i="26"/>
  <c r="Y48" i="26"/>
  <c r="AE39" i="26"/>
  <c r="DD56" i="26"/>
  <c r="AS47" i="26"/>
  <c r="AY89" i="26"/>
  <c r="BW65" i="26"/>
  <c r="BB23" i="26"/>
  <c r="AZ23" i="26"/>
  <c r="BH70" i="26"/>
  <c r="BF61" i="26"/>
  <c r="AX51" i="26"/>
  <c r="CK112" i="26"/>
  <c r="CR56" i="26"/>
  <c r="CL58" i="26"/>
  <c r="CJ67" i="26"/>
  <c r="CV77" i="26"/>
  <c r="DA18" i="26"/>
  <c r="AF33" i="26"/>
  <c r="AJ60" i="26"/>
  <c r="CC36" i="26"/>
  <c r="CV71" i="26"/>
  <c r="DA39" i="26"/>
  <c r="AZ68" i="26"/>
  <c r="BT59" i="26"/>
  <c r="BX18" i="26"/>
  <c r="CU54" i="26"/>
  <c r="AF82" i="26"/>
  <c r="BI14" i="26"/>
  <c r="CH76" i="26"/>
  <c r="O70" i="26"/>
  <c r="DE46" i="26"/>
  <c r="BG39" i="26"/>
  <c r="DT24" i="26"/>
  <c r="AZ27" i="26"/>
  <c r="DD67" i="26"/>
  <c r="BZ51" i="26"/>
  <c r="CV86" i="26"/>
  <c r="CZ34" i="26"/>
  <c r="AO52" i="26"/>
  <c r="CV41" i="26"/>
  <c r="AV60" i="26"/>
  <c r="DB51" i="26"/>
  <c r="CB64" i="26"/>
  <c r="CI42" i="26"/>
  <c r="W18" i="26"/>
  <c r="BX89" i="26"/>
  <c r="BO70" i="26"/>
  <c r="AJ85" i="26"/>
  <c r="DB33" i="26"/>
  <c r="CY58" i="26"/>
  <c r="AA41" i="26"/>
  <c r="BC41" i="26"/>
  <c r="BG42" i="26"/>
  <c r="DL25" i="26"/>
  <c r="BD13" i="26"/>
  <c r="CD32" i="26"/>
  <c r="CT76" i="26"/>
  <c r="CM37" i="26"/>
  <c r="CX56" i="26"/>
  <c r="AW68" i="26"/>
  <c r="BE42" i="26"/>
  <c r="BF68" i="26"/>
  <c r="CN76" i="26"/>
  <c r="CW43" i="26"/>
  <c r="CI52" i="26"/>
  <c r="DQ37" i="26"/>
  <c r="CV51" i="26"/>
  <c r="AV67" i="26"/>
  <c r="BO22" i="26"/>
  <c r="CV39" i="26"/>
  <c r="AX85" i="26"/>
  <c r="BV89" i="26"/>
  <c r="DC34" i="26"/>
  <c r="BB45" i="26"/>
  <c r="BA48" i="26"/>
  <c r="CK54" i="26"/>
  <c r="BA13" i="26"/>
  <c r="BI65" i="26"/>
  <c r="BU71" i="26"/>
  <c r="BV77" i="26"/>
  <c r="AX36" i="26"/>
  <c r="CT68" i="26"/>
  <c r="CB57" i="26"/>
  <c r="CW31" i="26"/>
  <c r="Z47" i="26"/>
  <c r="BY33" i="26"/>
  <c r="BH59" i="26"/>
  <c r="BA36" i="26"/>
  <c r="BA53" i="26"/>
  <c r="DH70" i="26"/>
  <c r="DP73" i="26"/>
  <c r="CM71" i="26"/>
  <c r="CW25" i="26"/>
  <c r="BY85" i="26"/>
  <c r="BJ36" i="26"/>
  <c r="AT57" i="26"/>
  <c r="BO65" i="26"/>
  <c r="CL60" i="26"/>
  <c r="AP58" i="26"/>
  <c r="CX79" i="26"/>
  <c r="BE67" i="26"/>
  <c r="CP27" i="26"/>
  <c r="BS48" i="26"/>
  <c r="BX32" i="26"/>
  <c r="CR34" i="26"/>
  <c r="CG54" i="26"/>
  <c r="AH41" i="26"/>
  <c r="AF79" i="26"/>
  <c r="W76" i="26"/>
  <c r="AL23" i="26"/>
  <c r="CB80" i="26"/>
  <c r="Q76" i="26"/>
  <c r="AL70" i="26"/>
  <c r="DR41" i="26"/>
  <c r="CX46" i="26"/>
  <c r="DG33" i="26"/>
  <c r="T27" i="26"/>
  <c r="L166" i="32" s="1"/>
  <c r="AP74" i="26"/>
  <c r="CD52" i="26"/>
  <c r="AR31" i="26"/>
  <c r="AH68" i="26"/>
  <c r="AO67" i="26"/>
  <c r="BR22" i="26"/>
  <c r="BL83" i="26"/>
  <c r="AX38" i="26"/>
  <c r="AC57" i="26"/>
  <c r="CF76" i="26"/>
  <c r="AN19" i="26"/>
  <c r="CC43" i="26"/>
  <c r="CU26" i="26"/>
  <c r="DG112" i="26"/>
  <c r="DB86" i="26"/>
  <c r="CW18" i="26"/>
  <c r="DG60" i="26"/>
  <c r="CN19" i="26"/>
  <c r="AP70" i="26"/>
  <c r="AV40" i="26"/>
  <c r="CX32" i="26"/>
  <c r="AP28" i="26"/>
  <c r="AA48" i="26"/>
  <c r="DE39" i="26"/>
  <c r="AK45" i="26"/>
  <c r="BX15" i="26"/>
  <c r="CV37" i="26"/>
  <c r="BO15" i="26"/>
  <c r="AT21" i="26"/>
  <c r="DG24" i="26"/>
  <c r="Q77" i="26"/>
  <c r="CE39" i="26"/>
  <c r="DH19" i="26"/>
  <c r="CP53" i="26"/>
  <c r="AN24" i="26"/>
  <c r="BW57" i="26"/>
  <c r="CQ65" i="26"/>
  <c r="CR85" i="26"/>
  <c r="AK58" i="26"/>
  <c r="DS86" i="26"/>
  <c r="CA33" i="26"/>
  <c r="AM40" i="26"/>
  <c r="Y51" i="26"/>
  <c r="BJ76" i="26"/>
  <c r="AQ36" i="26"/>
  <c r="CP113" i="26"/>
  <c r="AW38" i="26"/>
  <c r="CR11" i="26"/>
  <c r="DP76" i="26"/>
  <c r="AP56" i="26"/>
  <c r="U65" i="26"/>
  <c r="AM85" i="26"/>
  <c r="CA73" i="26"/>
  <c r="CV56" i="26"/>
  <c r="BA28" i="26"/>
  <c r="BX43" i="26"/>
  <c r="BY88" i="26"/>
  <c r="DK65" i="26"/>
  <c r="AP64" i="26"/>
  <c r="DB74" i="26"/>
  <c r="Z46" i="26"/>
  <c r="AR45" i="26"/>
  <c r="BG45" i="26"/>
  <c r="DN34" i="26"/>
  <c r="CM58" i="26"/>
  <c r="CL30" i="26"/>
  <c r="CU57" i="26"/>
  <c r="BC70" i="26"/>
  <c r="CY23" i="26"/>
  <c r="AP79" i="26"/>
  <c r="CD13" i="26"/>
  <c r="DH68" i="26"/>
  <c r="CJ89" i="26"/>
  <c r="CZ16" i="26"/>
  <c r="DV30" i="26"/>
  <c r="AY113" i="26"/>
  <c r="CX68" i="26"/>
  <c r="CR33" i="26"/>
  <c r="CG36" i="26"/>
  <c r="DN53" i="26"/>
  <c r="CU80" i="26"/>
  <c r="AF41" i="26"/>
  <c r="CN11" i="26"/>
  <c r="AO46" i="26"/>
  <c r="CR46" i="26"/>
  <c r="DB79" i="26"/>
  <c r="AN53" i="26"/>
  <c r="BN24" i="26"/>
  <c r="AH85" i="26"/>
  <c r="CQ41" i="26"/>
  <c r="DJ56" i="26"/>
  <c r="AS65" i="26"/>
  <c r="CI43" i="26"/>
  <c r="AN34" i="26"/>
  <c r="Z33" i="26"/>
  <c r="Y60" i="26"/>
  <c r="BB43" i="26"/>
  <c r="DN68" i="26"/>
  <c r="DK70" i="26"/>
  <c r="AU30" i="26"/>
  <c r="AJ26" i="26"/>
  <c r="CB48" i="26"/>
  <c r="AQ64" i="26"/>
  <c r="CI61" i="26"/>
  <c r="DR20" i="26"/>
  <c r="AX60" i="26"/>
  <c r="DE70" i="26"/>
  <c r="DB53" i="26"/>
  <c r="AU47" i="26"/>
  <c r="BC57" i="26"/>
  <c r="DP43" i="26"/>
  <c r="AJ46" i="26"/>
  <c r="AE19" i="26"/>
  <c r="CI31" i="26"/>
  <c r="DK56" i="26"/>
  <c r="DG15" i="26"/>
  <c r="DM68" i="26"/>
  <c r="CU21" i="26"/>
  <c r="AR32" i="26"/>
  <c r="BB64" i="26"/>
  <c r="BH19" i="26"/>
  <c r="DE30" i="26"/>
  <c r="BQ57" i="26"/>
  <c r="CM43" i="26"/>
  <c r="CH83" i="26"/>
  <c r="AO114" i="26"/>
  <c r="T37" i="26"/>
  <c r="CG71" i="26"/>
  <c r="AI32" i="26"/>
  <c r="BS38" i="26"/>
  <c r="DS24" i="26"/>
  <c r="CW65" i="26"/>
  <c r="BD27" i="26"/>
  <c r="CE86" i="26"/>
  <c r="AN32" i="26"/>
  <c r="CC27" i="26"/>
  <c r="AL42" i="26"/>
  <c r="DV39" i="26"/>
  <c r="BN112" i="26"/>
  <c r="DM56" i="26"/>
  <c r="BK23" i="26"/>
  <c r="AJ88" i="26"/>
  <c r="DM57" i="26"/>
  <c r="BJ88" i="26"/>
  <c r="V30" i="26"/>
  <c r="N180" i="32" s="1"/>
  <c r="DG51" i="26"/>
  <c r="V74" i="26"/>
  <c r="DO41" i="26"/>
  <c r="P23" i="26"/>
  <c r="DI28" i="26"/>
  <c r="BI32" i="26"/>
  <c r="BR38" i="26"/>
  <c r="DJ21" i="26"/>
  <c r="BR41" i="26"/>
  <c r="AV73" i="26"/>
  <c r="AQ20" i="26"/>
  <c r="AZ24" i="26"/>
  <c r="DE51" i="26"/>
  <c r="CH18" i="26"/>
  <c r="DK61" i="26"/>
  <c r="AO76" i="26"/>
  <c r="AG32" i="26"/>
  <c r="CW53" i="26"/>
  <c r="BY38" i="26"/>
  <c r="DJ38" i="26"/>
  <c r="BU47" i="26"/>
  <c r="AN86" i="26"/>
  <c r="CA48" i="26"/>
  <c r="CM114" i="26"/>
  <c r="CM67" i="26"/>
  <c r="DN40" i="26"/>
  <c r="DG37" i="26"/>
  <c r="AA30" i="26"/>
  <c r="AP30" i="26"/>
  <c r="DA34" i="26"/>
  <c r="BI56" i="26"/>
  <c r="AW33" i="26"/>
  <c r="BA19" i="26"/>
  <c r="AH57" i="26"/>
  <c r="CZ32" i="26"/>
  <c r="CV30" i="26"/>
  <c r="Z19" i="26"/>
  <c r="DC59" i="26"/>
  <c r="AB37" i="26"/>
  <c r="DO65" i="26"/>
  <c r="BM111" i="26"/>
  <c r="BG60" i="26"/>
  <c r="CG83" i="26"/>
  <c r="Z60" i="26"/>
  <c r="AJ76" i="26"/>
  <c r="AW22" i="26"/>
  <c r="AS70" i="26"/>
  <c r="CP43" i="26"/>
  <c r="CM83" i="26"/>
  <c r="DS85" i="26"/>
  <c r="AT41" i="26"/>
  <c r="CU45" i="26"/>
  <c r="AV39" i="26"/>
  <c r="BU16" i="26"/>
  <c r="DB73" i="26"/>
  <c r="CD89" i="26"/>
  <c r="AF61" i="26"/>
  <c r="BL47" i="26"/>
  <c r="AT80" i="26"/>
  <c r="AL113" i="26"/>
  <c r="AE42" i="26"/>
  <c r="AX67" i="26"/>
  <c r="CW73" i="26"/>
  <c r="DS37" i="26"/>
  <c r="DJ48" i="26"/>
  <c r="AL57" i="26"/>
  <c r="BM47" i="26"/>
  <c r="BR12" i="26"/>
  <c r="CT60" i="26"/>
  <c r="BF43" i="26"/>
  <c r="AQ58" i="26"/>
  <c r="CM79" i="26"/>
  <c r="DD27" i="26"/>
  <c r="AX41" i="26"/>
  <c r="CP48" i="26"/>
  <c r="AV57" i="26"/>
  <c r="AV24" i="26"/>
  <c r="DL26" i="26"/>
  <c r="CJ52" i="26"/>
  <c r="CB56" i="26"/>
  <c r="CP47" i="26"/>
  <c r="BJ40" i="26"/>
  <c r="R70" i="26"/>
  <c r="DU70" i="26"/>
  <c r="BY71" i="26"/>
  <c r="DE58" i="26"/>
  <c r="BM41" i="26"/>
  <c r="DO82" i="26"/>
  <c r="AV79" i="26"/>
  <c r="BN85" i="26"/>
  <c r="BO74" i="26"/>
  <c r="AU18" i="26"/>
  <c r="AH53" i="26"/>
  <c r="BQ33" i="26"/>
  <c r="CW37" i="26"/>
  <c r="CB51" i="26"/>
  <c r="DA38" i="26"/>
  <c r="U64" i="26"/>
  <c r="M188" i="32" s="1"/>
  <c r="DA56" i="26"/>
  <c r="AB113" i="26"/>
  <c r="AH47" i="26"/>
  <c r="BN86" i="26"/>
  <c r="DS77" i="26"/>
  <c r="AQ57" i="26"/>
  <c r="DF112" i="26"/>
  <c r="BJ33" i="26"/>
  <c r="DQ114" i="26"/>
  <c r="DB59" i="26"/>
  <c r="CY80" i="26"/>
  <c r="AA32" i="26"/>
  <c r="CE48" i="26"/>
  <c r="BU79" i="26"/>
  <c r="AA52" i="26"/>
  <c r="BC52" i="26"/>
  <c r="AV15" i="26"/>
  <c r="BN60" i="26"/>
  <c r="AB45" i="26"/>
  <c r="CX41" i="26"/>
  <c r="AL73" i="26"/>
  <c r="DT85" i="26"/>
  <c r="CV18" i="26"/>
  <c r="AM51" i="26"/>
  <c r="CH77" i="26"/>
  <c r="BT61" i="26"/>
  <c r="Z11" i="26"/>
  <c r="CC30" i="26"/>
  <c r="DP21" i="26"/>
  <c r="AB24" i="26"/>
  <c r="BO53" i="26"/>
  <c r="BX22" i="26"/>
  <c r="CG61" i="26"/>
  <c r="AW20" i="26"/>
  <c r="AU45" i="26"/>
  <c r="CS34" i="26"/>
  <c r="BL15" i="26"/>
  <c r="BB28" i="26"/>
  <c r="DE85" i="26"/>
  <c r="AY32" i="26"/>
  <c r="DI14" i="26"/>
  <c r="AD86" i="26"/>
  <c r="R23" i="26"/>
  <c r="CF48" i="26"/>
  <c r="CG111" i="26"/>
  <c r="BX25" i="26"/>
  <c r="DO80" i="26"/>
  <c r="AF56" i="26"/>
  <c r="DP45" i="26"/>
  <c r="S70" i="26"/>
  <c r="BG24" i="26"/>
  <c r="BX61" i="26"/>
  <c r="Z58" i="26"/>
  <c r="BQ67" i="26"/>
  <c r="DF64" i="26"/>
  <c r="BO82" i="26"/>
  <c r="CK34" i="26"/>
  <c r="CV54" i="26"/>
  <c r="AM61" i="26"/>
  <c r="CB88" i="26"/>
  <c r="AC42" i="26"/>
  <c r="BB65" i="26"/>
  <c r="CB31" i="26"/>
  <c r="BO27" i="26"/>
  <c r="CF39" i="26"/>
  <c r="CG19" i="26"/>
  <c r="DV89" i="26"/>
  <c r="BA54" i="26"/>
  <c r="BO114" i="26"/>
  <c r="DT86" i="26"/>
  <c r="CW46" i="26"/>
  <c r="DL56" i="26"/>
  <c r="CJ58" i="26"/>
  <c r="AA36" i="26"/>
  <c r="DV48" i="26"/>
  <c r="BN52" i="26"/>
  <c r="AF59" i="26"/>
  <c r="CU24" i="26"/>
  <c r="AQ59" i="26"/>
  <c r="CC64" i="26"/>
  <c r="AK71" i="26"/>
  <c r="AG37" i="26"/>
  <c r="BN57" i="26"/>
  <c r="DP77" i="26"/>
  <c r="AT56" i="26"/>
  <c r="CT32" i="26"/>
  <c r="AF28" i="26"/>
  <c r="AF46" i="26"/>
  <c r="CQ73" i="26"/>
  <c r="AU54" i="26"/>
  <c r="CA83" i="26"/>
  <c r="CM22" i="26"/>
  <c r="BX45" i="26"/>
  <c r="BF79" i="26"/>
  <c r="Y28" i="26"/>
  <c r="BL33" i="26"/>
  <c r="CH54" i="26"/>
  <c r="BX70" i="26"/>
  <c r="AS74" i="26"/>
  <c r="BU42" i="26"/>
  <c r="BN54" i="26"/>
  <c r="AX61" i="26"/>
  <c r="CH80" i="26"/>
  <c r="DV113" i="26"/>
  <c r="AI42" i="26"/>
  <c r="DM65" i="26"/>
  <c r="BQ114" i="26"/>
  <c r="S26" i="26"/>
  <c r="CL61" i="26"/>
  <c r="AL38" i="26"/>
  <c r="AV14" i="26"/>
  <c r="BT112" i="26"/>
  <c r="BB88" i="26"/>
  <c r="BJ48" i="26"/>
  <c r="BI13" i="26"/>
  <c r="DT70" i="26"/>
  <c r="BQ58" i="26"/>
  <c r="AQ52" i="26"/>
  <c r="CO64" i="26"/>
  <c r="BU31" i="26"/>
  <c r="CZ113" i="26"/>
  <c r="AC85" i="26"/>
  <c r="DK79" i="26"/>
  <c r="AL65" i="26"/>
  <c r="BU58" i="26"/>
  <c r="DA51" i="26"/>
  <c r="BB76" i="26"/>
  <c r="BK64" i="26"/>
  <c r="AI25" i="26"/>
  <c r="AH51" i="26"/>
  <c r="CZ28" i="26"/>
  <c r="BV111" i="26"/>
  <c r="DL38" i="26"/>
  <c r="AC77" i="26"/>
  <c r="BI88" i="26"/>
  <c r="AZ59" i="26"/>
  <c r="DI42" i="26"/>
  <c r="CM41" i="26"/>
  <c r="AR89" i="26"/>
  <c r="DG40" i="26"/>
  <c r="CF46" i="26"/>
  <c r="BR11" i="26"/>
  <c r="BF64" i="26"/>
  <c r="N85" i="26"/>
  <c r="AZ15" i="26"/>
  <c r="BW36" i="26"/>
  <c r="AC79" i="26"/>
  <c r="CT79" i="26"/>
  <c r="BJ25" i="26"/>
  <c r="DL67" i="26"/>
  <c r="CH51" i="26"/>
  <c r="BV53" i="26"/>
  <c r="DC43" i="26"/>
  <c r="CU32" i="26"/>
  <c r="BW64" i="26"/>
  <c r="AD64" i="26"/>
  <c r="DT45" i="26"/>
  <c r="Y25" i="26"/>
  <c r="CB39" i="26"/>
  <c r="AN89" i="26"/>
  <c r="AV65" i="26"/>
  <c r="DK73" i="26"/>
  <c r="BL28" i="26"/>
  <c r="AH54" i="26"/>
  <c r="DR45" i="26"/>
  <c r="DA64" i="26"/>
  <c r="N70" i="26"/>
  <c r="DM34" i="26"/>
  <c r="BX31" i="26"/>
  <c r="AT22" i="26"/>
  <c r="AQ16" i="26"/>
  <c r="BZ14" i="26"/>
  <c r="CX85" i="26"/>
  <c r="BP76" i="26"/>
  <c r="AT51" i="26"/>
  <c r="BH74" i="26"/>
  <c r="AK76" i="26"/>
  <c r="DK47" i="26"/>
  <c r="BT18" i="26"/>
  <c r="CH48" i="26"/>
  <c r="DV14" i="26"/>
  <c r="AW41" i="26"/>
  <c r="DS34" i="26"/>
  <c r="BJ70" i="26"/>
  <c r="BY67" i="26"/>
  <c r="CY11" i="26"/>
  <c r="DR28" i="26"/>
  <c r="AW45" i="26"/>
  <c r="CH32" i="26"/>
  <c r="CI58" i="26"/>
  <c r="AN46" i="26"/>
  <c r="BX53" i="26"/>
  <c r="AI21" i="26"/>
  <c r="BT65" i="26"/>
  <c r="BF34" i="26"/>
  <c r="DS114" i="26"/>
  <c r="CC73" i="26"/>
  <c r="BI15" i="26"/>
  <c r="AS58" i="26"/>
  <c r="AK14" i="26"/>
  <c r="DN60" i="26"/>
  <c r="AG54" i="26"/>
  <c r="AJ32" i="26"/>
  <c r="BD74" i="26"/>
  <c r="DE80" i="26"/>
  <c r="AP114" i="26"/>
  <c r="AV113" i="26"/>
  <c r="BB34" i="26"/>
  <c r="BP39" i="26"/>
  <c r="CQ25" i="26"/>
  <c r="DI52" i="26"/>
  <c r="AF85" i="26"/>
  <c r="BW52" i="26"/>
  <c r="AX53" i="26"/>
  <c r="DL71" i="26"/>
  <c r="CL16" i="26"/>
  <c r="AF19" i="26"/>
  <c r="DE68" i="26"/>
  <c r="BX33" i="26"/>
  <c r="DO26" i="26"/>
  <c r="AA80" i="26"/>
  <c r="CV36" i="26"/>
  <c r="AM41" i="26"/>
  <c r="CY26" i="26"/>
  <c r="CS25" i="26"/>
  <c r="BC74" i="26"/>
  <c r="CH70" i="26"/>
  <c r="CT53" i="26"/>
  <c r="Z112" i="26"/>
  <c r="AW64" i="26"/>
  <c r="CX80" i="26"/>
  <c r="CA57" i="26"/>
  <c r="CZ23" i="26"/>
  <c r="CH43" i="26"/>
  <c r="BF40" i="26"/>
  <c r="BL58" i="26"/>
  <c r="BI38" i="26"/>
  <c r="CO54" i="26"/>
  <c r="BH76" i="26"/>
  <c r="AX26" i="26"/>
  <c r="AK77" i="26"/>
  <c r="AT79" i="26"/>
  <c r="CX27" i="26"/>
  <c r="AQ65" i="26"/>
  <c r="CR54" i="26"/>
  <c r="CH37" i="26"/>
  <c r="CK46" i="26"/>
  <c r="BO24" i="26"/>
  <c r="AU61" i="26"/>
  <c r="CN57" i="26"/>
  <c r="BI48" i="26"/>
  <c r="BW21" i="26"/>
  <c r="AJ113" i="26"/>
  <c r="CI30" i="26"/>
  <c r="AW40" i="26"/>
  <c r="Y46" i="26"/>
  <c r="N26" i="26"/>
  <c r="BS54" i="26"/>
  <c r="BR43" i="26"/>
  <c r="V76" i="26"/>
  <c r="AB23" i="26"/>
  <c r="BM30" i="26"/>
  <c r="CZ15" i="26"/>
  <c r="DB46" i="26"/>
  <c r="DH57" i="26"/>
  <c r="DC54" i="26"/>
  <c r="BQ36" i="26"/>
  <c r="AP47" i="26"/>
  <c r="AU34" i="26"/>
  <c r="BO32" i="26"/>
  <c r="CW74" i="26"/>
  <c r="DH53" i="26"/>
  <c r="AL28" i="26"/>
  <c r="CD79" i="26"/>
  <c r="R38" i="26"/>
  <c r="CQ79" i="26"/>
  <c r="BU28" i="26"/>
  <c r="AD36" i="26"/>
  <c r="DE38" i="26"/>
  <c r="BM38" i="26"/>
  <c r="CQ68" i="26"/>
  <c r="CU88" i="26"/>
  <c r="AE38" i="26"/>
  <c r="CB89" i="26"/>
  <c r="AB76" i="26"/>
  <c r="BU36" i="26"/>
  <c r="BB38" i="26"/>
  <c r="AH64" i="26"/>
  <c r="BK111" i="26"/>
  <c r="BV61" i="26"/>
  <c r="DR30" i="26"/>
  <c r="CZ61" i="26"/>
  <c r="BT27" i="26"/>
  <c r="BW41" i="26"/>
  <c r="CR26" i="26"/>
  <c r="CE40" i="26"/>
  <c r="DC65" i="26"/>
  <c r="V38" i="26"/>
  <c r="S19" i="26"/>
  <c r="K162" i="32" s="1"/>
  <c r="CL32" i="26"/>
  <c r="CG33" i="26"/>
  <c r="DA61" i="26"/>
  <c r="AJ89" i="26"/>
  <c r="BW30" i="26"/>
  <c r="AU77" i="26"/>
  <c r="AK47" i="26"/>
  <c r="AX54" i="26"/>
  <c r="AP60" i="26"/>
  <c r="BK11" i="26"/>
  <c r="DF43" i="26"/>
  <c r="AR60" i="26"/>
  <c r="CZ45" i="26"/>
  <c r="CD34" i="26"/>
  <c r="AS56" i="26"/>
  <c r="CJ79" i="26"/>
  <c r="DV82" i="26"/>
  <c r="BB71" i="26"/>
  <c r="BO11" i="26"/>
  <c r="BG74" i="26"/>
  <c r="CQ80" i="26"/>
  <c r="BA67" i="26"/>
  <c r="BO83" i="26"/>
  <c r="AJ24" i="26"/>
  <c r="BH61" i="26"/>
  <c r="BR33" i="26"/>
  <c r="BH36" i="26"/>
  <c r="AJ57" i="26"/>
  <c r="DF85" i="26"/>
  <c r="BB40" i="26"/>
  <c r="CA47" i="26"/>
  <c r="BH23" i="26"/>
  <c r="CT24" i="26"/>
  <c r="BJ26" i="26"/>
  <c r="BD34" i="26"/>
  <c r="BT37" i="26"/>
  <c r="AB86" i="26"/>
  <c r="AU51" i="26"/>
  <c r="AP86" i="26"/>
  <c r="DR67" i="26"/>
  <c r="AC47" i="26"/>
  <c r="Y54" i="26"/>
  <c r="BR76" i="26"/>
  <c r="AJ36" i="26"/>
  <c r="BR34" i="26"/>
  <c r="BC30" i="26"/>
  <c r="BM73" i="26"/>
  <c r="BS67" i="26"/>
  <c r="CA53" i="26"/>
  <c r="BJ31" i="26"/>
  <c r="AZ65" i="26"/>
  <c r="DU16" i="26"/>
  <c r="DU26" i="26"/>
  <c r="BT12" i="26"/>
  <c r="BK26" i="26"/>
  <c r="AB12" i="26"/>
  <c r="AK13" i="26"/>
  <c r="AL43" i="26"/>
  <c r="DJ16" i="26"/>
  <c r="BF26" i="26"/>
  <c r="BL20" i="26"/>
  <c r="AH36" i="26"/>
  <c r="BU25" i="26"/>
  <c r="BF21" i="26"/>
  <c r="CY65" i="26"/>
  <c r="AQ24" i="26"/>
  <c r="BN25" i="26"/>
  <c r="BQ16" i="26"/>
  <c r="CQ16" i="26"/>
  <c r="DR18" i="26"/>
  <c r="DO25" i="26"/>
  <c r="AV22" i="26"/>
  <c r="BK33" i="26"/>
  <c r="AJ33" i="26"/>
  <c r="CA27" i="26"/>
  <c r="BK25" i="26"/>
  <c r="BM14" i="26"/>
  <c r="CR74" i="26"/>
  <c r="CX14" i="26"/>
  <c r="AO14" i="26"/>
  <c r="BU14" i="26"/>
  <c r="CC56" i="26"/>
  <c r="CS28" i="26"/>
  <c r="BK14" i="26"/>
  <c r="DC24" i="26"/>
  <c r="CW39" i="26"/>
  <c r="R30" i="26"/>
  <c r="J180" i="32" s="1"/>
  <c r="DT19" i="26"/>
  <c r="BG79" i="26"/>
  <c r="DD28" i="26"/>
  <c r="CJ28" i="26"/>
  <c r="DN15" i="26"/>
  <c r="BB57" i="26"/>
  <c r="BI64" i="26"/>
  <c r="DS23" i="26"/>
  <c r="BZ13" i="26"/>
  <c r="CO30" i="26"/>
  <c r="BK24" i="26"/>
  <c r="AO33" i="26"/>
  <c r="BM39" i="26"/>
  <c r="BM12" i="26"/>
  <c r="DJ51" i="26"/>
  <c r="DH41" i="26"/>
  <c r="AZ56" i="26"/>
  <c r="BW20" i="26"/>
  <c r="CL31" i="26"/>
  <c r="Y26" i="26"/>
  <c r="Z31" i="26"/>
  <c r="AJ56" i="26"/>
  <c r="AI40" i="26"/>
  <c r="DQ27" i="26"/>
  <c r="DF14" i="26"/>
  <c r="BY26" i="26"/>
  <c r="AS23" i="26"/>
  <c r="CZ21" i="26"/>
  <c r="BL60" i="26"/>
  <c r="AQ28" i="26"/>
  <c r="CO14" i="26"/>
  <c r="AW47" i="26"/>
  <c r="BG16" i="26"/>
  <c r="CH34" i="26"/>
  <c r="BT25" i="26"/>
  <c r="AG19" i="26"/>
  <c r="CE23" i="26"/>
  <c r="CK33" i="26"/>
  <c r="BB24" i="26"/>
  <c r="DL46" i="26"/>
  <c r="DK25" i="26"/>
  <c r="BL26" i="26"/>
  <c r="AF30" i="26"/>
  <c r="AE33" i="26"/>
  <c r="AT52" i="26"/>
  <c r="AQ11" i="26"/>
  <c r="DA32" i="26"/>
  <c r="DN22" i="26"/>
  <c r="AK25" i="26"/>
  <c r="BO19" i="26"/>
  <c r="BI25" i="26"/>
  <c r="BW32" i="26"/>
  <c r="CJ33" i="26"/>
  <c r="BE38" i="26"/>
  <c r="BB27" i="26"/>
  <c r="BO47" i="26"/>
  <c r="BN14" i="26"/>
  <c r="BU38" i="26"/>
  <c r="BG14" i="26"/>
  <c r="BO40" i="26"/>
  <c r="BD26" i="26"/>
  <c r="CF52" i="26"/>
  <c r="BA25" i="26"/>
  <c r="BW82" i="26"/>
  <c r="CR43" i="26"/>
  <c r="AZ22" i="26"/>
  <c r="CU16" i="26"/>
  <c r="BC31" i="26"/>
  <c r="DL77" i="26"/>
  <c r="BR47" i="26"/>
  <c r="AM18" i="26"/>
  <c r="DN76" i="26"/>
  <c r="AF65" i="26"/>
  <c r="AX45" i="26"/>
  <c r="AO22" i="26"/>
  <c r="BT36" i="26"/>
  <c r="CW24" i="26"/>
  <c r="DK42" i="26"/>
  <c r="DM25" i="26"/>
  <c r="CF27" i="26"/>
  <c r="AS30" i="26"/>
  <c r="BK27" i="26"/>
  <c r="DB77" i="26"/>
  <c r="DD16" i="26"/>
  <c r="DK64" i="26"/>
  <c r="BE37" i="26"/>
  <c r="AF14" i="26"/>
  <c r="BA14" i="26"/>
  <c r="CB46" i="26"/>
  <c r="AA38" i="26"/>
  <c r="AU28" i="26"/>
  <c r="Y23" i="26"/>
  <c r="CI28" i="26"/>
  <c r="BJ24" i="26"/>
  <c r="CB33" i="26"/>
  <c r="BH22" i="26"/>
  <c r="DN11" i="26"/>
  <c r="AN23" i="26"/>
  <c r="CM32" i="26"/>
  <c r="BH45" i="26"/>
  <c r="AH21" i="26"/>
  <c r="AG36" i="26"/>
  <c r="BL22" i="26"/>
  <c r="DK23" i="26"/>
  <c r="BP37" i="26"/>
  <c r="AA54" i="26"/>
  <c r="BT20" i="26"/>
  <c r="CW56" i="26"/>
  <c r="AB31" i="26"/>
  <c r="AC11" i="26"/>
  <c r="CW33" i="26"/>
  <c r="AB14" i="26"/>
  <c r="BK18" i="26"/>
  <c r="AL19" i="26"/>
  <c r="AE45" i="26"/>
  <c r="BU67" i="26"/>
  <c r="AJ31" i="26"/>
  <c r="CM26" i="26"/>
  <c r="CZ52" i="26"/>
  <c r="AN76" i="26"/>
  <c r="CZ27" i="26"/>
  <c r="BX28" i="26"/>
  <c r="CM42" i="26"/>
  <c r="AX34" i="26"/>
  <c r="DV21" i="26"/>
  <c r="AI22" i="26"/>
  <c r="AI13" i="26"/>
  <c r="AW58" i="26"/>
  <c r="BY27" i="26"/>
  <c r="O20" i="26"/>
  <c r="G165" i="32" s="1"/>
  <c r="DK21" i="26"/>
  <c r="DA41" i="26"/>
  <c r="BT14" i="26"/>
  <c r="DC30" i="26"/>
  <c r="AH59" i="26"/>
  <c r="CI11" i="26"/>
  <c r="DU14" i="26"/>
  <c r="DM47" i="26"/>
  <c r="AE30" i="26"/>
  <c r="AK15" i="26"/>
  <c r="CW52" i="26"/>
  <c r="Y13" i="26"/>
  <c r="BA20" i="26"/>
  <c r="CH52" i="26"/>
  <c r="AN59" i="26"/>
  <c r="DG56" i="26"/>
  <c r="BH14" i="26"/>
  <c r="CM24" i="26"/>
  <c r="AZ18" i="26"/>
  <c r="CH19" i="26"/>
  <c r="AY26" i="26"/>
  <c r="AG26" i="26"/>
  <c r="CE33" i="26"/>
  <c r="CE38" i="26"/>
  <c r="CL24" i="26"/>
  <c r="CS37" i="26"/>
  <c r="DI16" i="26"/>
  <c r="BZ48" i="26"/>
  <c r="CC16" i="26"/>
  <c r="DO56" i="26"/>
  <c r="CQ12" i="26"/>
  <c r="AU15" i="26"/>
  <c r="BJ23" i="26"/>
  <c r="BH20" i="26"/>
  <c r="AO32" i="26"/>
  <c r="AW21" i="26"/>
  <c r="AU41" i="26"/>
  <c r="AR42" i="26"/>
  <c r="BL59" i="26"/>
  <c r="CN18" i="26"/>
  <c r="AY73" i="26"/>
  <c r="X64" i="26"/>
  <c r="DI33" i="26"/>
  <c r="AO25" i="26"/>
  <c r="CX77" i="26"/>
  <c r="BI22" i="26"/>
  <c r="AA18" i="26"/>
  <c r="BZ21" i="26"/>
  <c r="AJ80" i="26"/>
  <c r="BQ20" i="26"/>
  <c r="CY28" i="26"/>
  <c r="DB39" i="26"/>
  <c r="BX30" i="26"/>
  <c r="BJ47" i="26"/>
  <c r="CN20" i="26"/>
  <c r="DN14" i="26"/>
  <c r="BS12" i="26"/>
  <c r="AE18" i="26"/>
  <c r="AV25" i="26"/>
  <c r="DU27" i="26"/>
  <c r="CI36" i="26"/>
  <c r="AD53" i="26"/>
  <c r="DA23" i="26"/>
  <c r="DH21" i="26"/>
  <c r="BU46" i="26"/>
  <c r="CY19" i="26"/>
  <c r="DS48" i="26"/>
  <c r="AF15" i="26"/>
  <c r="BV67" i="26"/>
  <c r="BB30" i="26"/>
  <c r="DO18" i="26"/>
  <c r="AI27" i="26"/>
  <c r="BY25" i="26"/>
  <c r="DT20" i="26"/>
  <c r="N20" i="26"/>
  <c r="F165" i="32" s="1"/>
  <c r="DL39" i="26"/>
  <c r="DG19" i="26"/>
  <c r="BD36" i="26"/>
  <c r="DF51" i="26"/>
  <c r="DE27" i="26"/>
  <c r="DA22" i="26"/>
  <c r="DL52" i="26"/>
  <c r="DM12" i="26"/>
  <c r="BS36" i="26"/>
  <c r="BR27" i="26"/>
  <c r="BS31" i="26"/>
  <c r="CY22" i="26"/>
  <c r="AI18" i="26"/>
  <c r="DB43" i="26"/>
  <c r="CA16" i="26"/>
  <c r="DH42" i="26"/>
  <c r="AY13" i="26"/>
  <c r="DN12" i="26"/>
  <c r="CZ41" i="26"/>
  <c r="CK20" i="26"/>
  <c r="CF45" i="26"/>
  <c r="P26" i="26"/>
  <c r="BT24" i="26"/>
  <c r="DS27" i="26"/>
  <c r="DQ39" i="26"/>
  <c r="BH15" i="26"/>
  <c r="CX25" i="26"/>
  <c r="BO54" i="26"/>
  <c r="CW21" i="26"/>
  <c r="AI14" i="26"/>
  <c r="BH27" i="26"/>
  <c r="CL26" i="26"/>
  <c r="AS15" i="26"/>
  <c r="AC38" i="26"/>
  <c r="CU31" i="26"/>
  <c r="CQ28" i="26"/>
  <c r="CY14" i="26"/>
  <c r="CV46" i="26"/>
  <c r="BP42" i="26"/>
  <c r="CJ40" i="26"/>
  <c r="BO57" i="26"/>
  <c r="DL19" i="26"/>
  <c r="BV22" i="26"/>
  <c r="BV25" i="26"/>
  <c r="CK68" i="26"/>
  <c r="BF12" i="26"/>
  <c r="BX23" i="26"/>
  <c r="CJ24" i="26"/>
  <c r="CR23" i="26"/>
  <c r="AJ51" i="26"/>
  <c r="AW16" i="26"/>
  <c r="BT52" i="26"/>
  <c r="CJ46" i="26"/>
  <c r="DG16" i="26"/>
  <c r="BH58" i="26"/>
  <c r="BQ37" i="26"/>
  <c r="BK20" i="26"/>
  <c r="BD30" i="26"/>
  <c r="BO113" i="26"/>
  <c r="AU31" i="26"/>
  <c r="DG52" i="26"/>
  <c r="CO18" i="26"/>
  <c r="DF22" i="26"/>
  <c r="AT24" i="26"/>
  <c r="AG15" i="26"/>
  <c r="DI22" i="26"/>
  <c r="DL11" i="26"/>
  <c r="BT26" i="26"/>
  <c r="AF57" i="26"/>
  <c r="CC28" i="26"/>
  <c r="BE33" i="26"/>
  <c r="BJ32" i="26"/>
  <c r="DR12" i="26"/>
  <c r="CN13" i="26"/>
  <c r="BA18" i="26"/>
  <c r="BJ21" i="26"/>
  <c r="AN30" i="26"/>
  <c r="AL26" i="26"/>
  <c r="DA60" i="26"/>
  <c r="V18" i="26"/>
  <c r="N161" i="32" s="1"/>
  <c r="AN39" i="26"/>
  <c r="BN33" i="26"/>
  <c r="AI52" i="26"/>
  <c r="DC60" i="26"/>
  <c r="DS46" i="26"/>
  <c r="CH57" i="26"/>
  <c r="CS45" i="26"/>
  <c r="CG59" i="26"/>
  <c r="CP26" i="26"/>
  <c r="BO41" i="26"/>
  <c r="BM65" i="26"/>
  <c r="BD53" i="26"/>
  <c r="DQ32" i="26"/>
  <c r="U26" i="26"/>
  <c r="P37" i="26"/>
  <c r="BE41" i="26"/>
  <c r="CL14" i="26"/>
  <c r="DD23" i="26"/>
  <c r="CN48" i="26"/>
  <c r="CA28" i="26"/>
  <c r="AP23" i="26"/>
  <c r="CC12" i="26"/>
  <c r="AF40" i="26"/>
  <c r="BI27" i="26"/>
  <c r="DO14" i="26"/>
  <c r="CM16" i="26"/>
  <c r="BP26" i="26"/>
  <c r="DI18" i="26"/>
  <c r="DK12" i="26"/>
  <c r="CG12" i="26"/>
  <c r="AG25" i="26"/>
  <c r="DK59" i="26"/>
  <c r="DK11" i="26"/>
  <c r="AD24" i="26"/>
  <c r="CE34" i="26"/>
  <c r="BI16" i="26"/>
  <c r="DB27" i="26"/>
  <c r="CN34" i="26"/>
  <c r="CH22" i="26"/>
  <c r="BG33" i="26"/>
  <c r="CD24" i="26"/>
  <c r="CT51" i="26"/>
  <c r="BX16" i="26"/>
  <c r="CC14" i="26"/>
  <c r="AX12" i="26"/>
  <c r="CO43" i="26"/>
  <c r="AN43" i="26"/>
  <c r="CJ25" i="26"/>
  <c r="CP71" i="26"/>
  <c r="CZ26" i="26"/>
  <c r="AX22" i="26"/>
  <c r="CI13" i="26"/>
  <c r="BH31" i="26"/>
  <c r="BN31" i="26"/>
  <c r="AW43" i="26"/>
  <c r="BH12" i="26"/>
  <c r="AD39" i="26"/>
  <c r="CB19" i="26"/>
  <c r="P19" i="26"/>
  <c r="H162" i="32" s="1"/>
  <c r="L24" i="26"/>
  <c r="AC26" i="26"/>
  <c r="BN46" i="26"/>
  <c r="BV28" i="26"/>
  <c r="CC33" i="26"/>
  <c r="AS24" i="26"/>
  <c r="BO14" i="26"/>
  <c r="BK32" i="26"/>
  <c r="AI38" i="26"/>
  <c r="DL42" i="26"/>
  <c r="AC33" i="26"/>
  <c r="BI26" i="26"/>
  <c r="CJ12" i="26"/>
  <c r="CO86" i="26"/>
  <c r="CQ19" i="26"/>
  <c r="AD18" i="26"/>
  <c r="L26" i="26"/>
  <c r="CW14" i="26"/>
  <c r="CP67" i="26"/>
  <c r="AE65" i="26"/>
  <c r="AE80" i="26"/>
  <c r="DP83" i="26"/>
  <c r="N18" i="26"/>
  <c r="F161" i="32" s="1"/>
  <c r="BU34" i="26"/>
  <c r="CR57" i="26"/>
  <c r="AT28" i="26"/>
  <c r="CH24" i="26"/>
  <c r="CH14" i="26"/>
  <c r="AG52" i="26"/>
  <c r="CP57" i="26"/>
  <c r="DJ24" i="26"/>
  <c r="CK38" i="26"/>
  <c r="R67" i="26"/>
  <c r="AN21" i="26"/>
  <c r="CA26" i="26"/>
  <c r="CS16" i="26"/>
  <c r="AS33" i="26"/>
  <c r="BM19" i="26"/>
  <c r="AO30" i="26"/>
  <c r="AU24" i="26"/>
  <c r="AR38" i="26"/>
  <c r="CG14" i="26"/>
  <c r="AU27" i="26"/>
  <c r="AD20" i="26"/>
  <c r="BK22" i="26"/>
  <c r="DK28" i="26"/>
  <c r="DO64" i="26"/>
  <c r="BU32" i="26"/>
  <c r="DH11" i="26"/>
  <c r="BG15" i="26"/>
  <c r="BW25" i="26"/>
  <c r="DH14" i="26"/>
  <c r="Y33" i="26"/>
  <c r="BA22" i="26"/>
  <c r="R34" i="26"/>
  <c r="J179" i="32" s="1"/>
  <c r="Y30" i="26"/>
  <c r="DS57" i="26"/>
  <c r="DJ31" i="26"/>
  <c r="DQ48" i="26"/>
  <c r="CV25" i="26"/>
  <c r="AI36" i="26"/>
  <c r="P30" i="26"/>
  <c r="H180" i="32" s="1"/>
  <c r="CX24" i="26"/>
  <c r="AZ20" i="26"/>
  <c r="DB40" i="26"/>
  <c r="CM33" i="26"/>
  <c r="BZ24" i="26"/>
  <c r="Z53" i="26"/>
  <c r="CT38" i="26"/>
  <c r="AN11" i="26"/>
  <c r="AL24" i="26"/>
  <c r="CC42" i="26"/>
  <c r="BZ23" i="26"/>
  <c r="CC34" i="26"/>
  <c r="BF30" i="26"/>
  <c r="BE82" i="26"/>
  <c r="BB39" i="26"/>
  <c r="DG23" i="26"/>
  <c r="AR24" i="26"/>
  <c r="DD32" i="26"/>
  <c r="AT18" i="26"/>
  <c r="CJ21" i="26"/>
  <c r="DI26" i="26"/>
  <c r="DL14" i="26"/>
  <c r="CM51" i="26"/>
  <c r="AO11" i="26"/>
  <c r="BD32" i="26"/>
  <c r="DL24" i="26"/>
  <c r="AM24" i="26"/>
  <c r="DT18" i="26"/>
  <c r="DM22" i="26"/>
  <c r="CK23" i="26"/>
  <c r="DB22" i="26"/>
  <c r="BP30" i="26"/>
  <c r="AM20" i="26"/>
  <c r="CP14" i="26"/>
  <c r="AG53" i="26"/>
  <c r="CN39" i="26"/>
  <c r="U19" i="26"/>
  <c r="M162" i="32" s="1"/>
  <c r="DB61" i="26"/>
  <c r="CK80" i="26"/>
  <c r="DM23" i="26"/>
  <c r="L22" i="26"/>
  <c r="D164" i="32" s="1"/>
  <c r="L67" i="26"/>
  <c r="M67" i="26"/>
  <c r="L68" i="26"/>
  <c r="M37" i="26"/>
  <c r="M38" i="26"/>
  <c r="EF19" i="11"/>
  <c r="EE31" i="15" s="1"/>
  <c r="L34" i="26"/>
  <c r="D179" i="32" s="1"/>
  <c r="M73" i="26"/>
  <c r="L19" i="26"/>
  <c r="D162" i="32" s="1"/>
  <c r="L21" i="26"/>
  <c r="D163" i="32" s="1"/>
  <c r="L15" i="26"/>
  <c r="L18" i="26"/>
  <c r="D161" i="32" s="1"/>
  <c r="L42" i="26"/>
  <c r="D174" i="32" s="1"/>
  <c r="L37" i="26"/>
  <c r="L38" i="26"/>
  <c r="AI86" i="26"/>
  <c r="L20" i="26"/>
  <c r="D165" i="32" s="1"/>
  <c r="M34" i="26"/>
  <c r="E179" i="32" s="1"/>
  <c r="M18" i="26"/>
  <c r="E161" i="32" s="1"/>
  <c r="M21" i="26"/>
  <c r="E163" i="32" s="1"/>
  <c r="M20" i="26"/>
  <c r="E165" i="32" s="1"/>
  <c r="M77" i="26"/>
  <c r="T67" i="26"/>
  <c r="DN21" i="26"/>
  <c r="DO15" i="26"/>
  <c r="CR89" i="26"/>
  <c r="CG53" i="26"/>
  <c r="BL114" i="26"/>
  <c r="DB89" i="26"/>
  <c r="AW11" i="26"/>
  <c r="AB33" i="26"/>
  <c r="BY15" i="26"/>
  <c r="BO21" i="26"/>
  <c r="CX71" i="26"/>
  <c r="DI89" i="26"/>
  <c r="BV16" i="26"/>
  <c r="BZ68" i="26"/>
  <c r="CD21" i="26"/>
  <c r="CL54" i="26"/>
  <c r="AF12" i="26"/>
  <c r="CD70" i="26"/>
  <c r="CZ24" i="26"/>
  <c r="DT12" i="26"/>
  <c r="CR38" i="26"/>
  <c r="CZ111" i="26"/>
  <c r="AU114" i="26"/>
  <c r="DT74" i="26"/>
  <c r="DQ20" i="26"/>
  <c r="DT14" i="26"/>
  <c r="AV12" i="26"/>
  <c r="CM30" i="26"/>
  <c r="AD12" i="26"/>
  <c r="DM43" i="26"/>
  <c r="CZ54" i="26"/>
  <c r="BP21" i="26"/>
  <c r="BQ11" i="26"/>
  <c r="AA27" i="26"/>
  <c r="DQ33" i="26"/>
  <c r="CX33" i="26"/>
  <c r="CL20" i="26"/>
  <c r="CS14" i="26"/>
  <c r="BF16" i="26"/>
  <c r="BC73" i="26"/>
  <c r="BP58" i="26"/>
  <c r="R71" i="26"/>
  <c r="DH48" i="26"/>
  <c r="CQ33" i="26"/>
  <c r="X30" i="26"/>
  <c r="DT64" i="26"/>
  <c r="DI13" i="26"/>
  <c r="DV12" i="26"/>
  <c r="AD32" i="26"/>
  <c r="CL22" i="26"/>
  <c r="CP65" i="26"/>
  <c r="DS14" i="26"/>
  <c r="W21" i="26"/>
  <c r="DM31" i="26"/>
  <c r="DJ13" i="26"/>
  <c r="Y40" i="26"/>
  <c r="CO83" i="26"/>
  <c r="CF26" i="26"/>
  <c r="AO45" i="26"/>
  <c r="AK85" i="26"/>
  <c r="Q71" i="26"/>
  <c r="BT11" i="26"/>
  <c r="CL23" i="26"/>
  <c r="CU18" i="26"/>
  <c r="DC113" i="26"/>
  <c r="CM88" i="26"/>
  <c r="DE86" i="26"/>
  <c r="AE111" i="26"/>
  <c r="CI114" i="26"/>
  <c r="BE56" i="26"/>
  <c r="DR112" i="26"/>
  <c r="BY77" i="26"/>
  <c r="BC77" i="26"/>
  <c r="AB71" i="26"/>
  <c r="CL19" i="26"/>
  <c r="DB52" i="26"/>
  <c r="BX113" i="26"/>
  <c r="AH74" i="26"/>
  <c r="CI60" i="26"/>
  <c r="BN113" i="26"/>
  <c r="BA65" i="26"/>
  <c r="DA45" i="26"/>
  <c r="DP52" i="26"/>
  <c r="CZ56" i="26"/>
  <c r="AU40" i="26"/>
  <c r="Y58" i="26"/>
  <c r="CB111" i="26"/>
  <c r="BV113" i="26"/>
  <c r="DG88" i="26"/>
  <c r="CT15" i="26"/>
  <c r="DC111" i="26"/>
  <c r="DP24" i="26"/>
  <c r="AT60" i="26"/>
  <c r="BI12" i="26"/>
  <c r="CQ61" i="26"/>
  <c r="DV47" i="26"/>
  <c r="BH13" i="26"/>
  <c r="CQ14" i="26"/>
  <c r="CG25" i="26"/>
  <c r="BI19" i="26"/>
  <c r="BU113" i="26"/>
  <c r="Y38" i="26"/>
  <c r="AK23" i="26"/>
  <c r="DQ65" i="26"/>
  <c r="CA23" i="26"/>
  <c r="AI112" i="26"/>
  <c r="CO114" i="26"/>
  <c r="DK112" i="26"/>
  <c r="AM64" i="26"/>
  <c r="CR67" i="26"/>
  <c r="CT36" i="26"/>
  <c r="AD33" i="26"/>
  <c r="AA111" i="26"/>
  <c r="CG64" i="26"/>
  <c r="CN85" i="26"/>
  <c r="DK33" i="26"/>
  <c r="AS22" i="26"/>
  <c r="AP80" i="26"/>
  <c r="AW86" i="26"/>
  <c r="DL111" i="26"/>
  <c r="BA114" i="26"/>
  <c r="CX26" i="26"/>
  <c r="AI61" i="26"/>
  <c r="CT39" i="26"/>
  <c r="BL112" i="26"/>
  <c r="AL68" i="26"/>
  <c r="DN113" i="26"/>
  <c r="BA85" i="26"/>
  <c r="CD14" i="26"/>
  <c r="AZ11" i="26"/>
  <c r="AZ13" i="26"/>
  <c r="AJ23" i="26"/>
  <c r="BU18" i="26"/>
  <c r="BF15" i="26"/>
  <c r="BG19" i="26"/>
  <c r="DU85" i="26"/>
  <c r="CJ80" i="26"/>
  <c r="DU68" i="26"/>
  <c r="AQ30" i="26"/>
  <c r="CZ60" i="26"/>
  <c r="AH83" i="26"/>
  <c r="CU59" i="26"/>
  <c r="CU68" i="26"/>
  <c r="AY38" i="26"/>
  <c r="BJ111" i="26"/>
  <c r="CV68" i="26"/>
  <c r="DT113" i="26"/>
  <c r="BI39" i="26"/>
  <c r="AA47" i="26"/>
  <c r="DE60" i="26"/>
  <c r="CW85" i="26"/>
  <c r="AK18" i="26"/>
  <c r="DC16" i="26"/>
  <c r="DJ57" i="26"/>
  <c r="AF111" i="26"/>
  <c r="BF88" i="26"/>
  <c r="BB85" i="26"/>
  <c r="BA56" i="26"/>
  <c r="AA56" i="26"/>
  <c r="V20" i="26"/>
  <c r="N165" i="32" s="1"/>
  <c r="CR36" i="26"/>
  <c r="AB60" i="26"/>
  <c r="BA70" i="26"/>
  <c r="CI79" i="26"/>
  <c r="CQ83" i="26"/>
  <c r="DL79" i="26"/>
  <c r="BR48" i="26"/>
  <c r="CH36" i="26"/>
  <c r="BB114" i="26"/>
  <c r="CK15" i="26"/>
  <c r="AC15" i="26"/>
  <c r="CG13" i="26"/>
  <c r="Z82" i="26"/>
  <c r="CA14" i="26"/>
  <c r="BI73" i="26"/>
  <c r="CR65" i="26"/>
  <c r="BV85" i="26"/>
  <c r="CS41" i="26"/>
  <c r="BP59" i="26"/>
  <c r="DI67" i="26"/>
  <c r="BH77" i="26"/>
  <c r="BA77" i="26"/>
  <c r="CE73" i="26"/>
  <c r="CQ31" i="26"/>
  <c r="CF11" i="26"/>
  <c r="CS21" i="26"/>
  <c r="CI83" i="26"/>
  <c r="CP73" i="26"/>
  <c r="T70" i="26"/>
  <c r="AQ33" i="26"/>
  <c r="BT15" i="26"/>
  <c r="CP68" i="26"/>
  <c r="CS114" i="26"/>
  <c r="Y76" i="26"/>
  <c r="CK57" i="26"/>
  <c r="BA59" i="26"/>
  <c r="CE60" i="26"/>
  <c r="BE39" i="26"/>
  <c r="W34" i="26"/>
  <c r="DD45" i="26"/>
  <c r="BO12" i="26"/>
  <c r="CV15" i="26"/>
  <c r="AW71" i="26"/>
  <c r="DI74" i="26"/>
  <c r="DU77" i="26"/>
  <c r="AT71" i="26"/>
  <c r="AS111" i="26"/>
  <c r="AU83" i="26"/>
  <c r="BW46" i="26"/>
  <c r="AE76" i="26"/>
  <c r="BF13" i="26"/>
  <c r="AN51" i="26"/>
  <c r="AA76" i="26"/>
  <c r="M76" i="26"/>
  <c r="DS59" i="26"/>
  <c r="BV65" i="26"/>
  <c r="CF64" i="26"/>
  <c r="DG32" i="26"/>
  <c r="BA68" i="26"/>
  <c r="AB30" i="26"/>
  <c r="BF74" i="26"/>
  <c r="BT79" i="26"/>
  <c r="AK42" i="26"/>
  <c r="CY51" i="26"/>
  <c r="DU48" i="26"/>
  <c r="DI58" i="26"/>
  <c r="CO34" i="26"/>
  <c r="CN14" i="26"/>
  <c r="AB54" i="26"/>
  <c r="DC48" i="26"/>
  <c r="DI38" i="26"/>
  <c r="CR19" i="26"/>
  <c r="BD88" i="26"/>
  <c r="BL51" i="26"/>
  <c r="DO13" i="26"/>
  <c r="CQ11" i="26"/>
  <c r="CV61" i="26"/>
  <c r="Z114" i="26"/>
  <c r="AY47" i="26"/>
  <c r="AL71" i="26"/>
  <c r="AQ14" i="26"/>
  <c r="AL47" i="26"/>
  <c r="BQ56" i="26"/>
  <c r="AF11" i="26"/>
  <c r="DJ47" i="26"/>
  <c r="BM59" i="26"/>
  <c r="BA76" i="26"/>
  <c r="BQ113" i="26"/>
  <c r="Z86" i="26"/>
  <c r="CI51" i="26"/>
  <c r="BW23" i="26"/>
  <c r="AD23" i="26"/>
  <c r="AZ19" i="26"/>
  <c r="BG57" i="26"/>
  <c r="CG40" i="26"/>
  <c r="CX61" i="26"/>
  <c r="DF61" i="26"/>
  <c r="DO113" i="26"/>
  <c r="DF89" i="26"/>
  <c r="AR23" i="26"/>
  <c r="DR80" i="26"/>
  <c r="AT83" i="26"/>
  <c r="S34" i="26"/>
  <c r="K179" i="32" s="1"/>
  <c r="AM53" i="26"/>
  <c r="P20" i="26"/>
  <c r="H165" i="32" s="1"/>
  <c r="CB59" i="26"/>
  <c r="BJ79" i="26"/>
  <c r="DQ54" i="26"/>
  <c r="CP56" i="26"/>
  <c r="AD13" i="26"/>
  <c r="DP114" i="26"/>
  <c r="CU67" i="26"/>
  <c r="CY113" i="26"/>
  <c r="Y113" i="26"/>
  <c r="BD15" i="26"/>
  <c r="AL21" i="26"/>
  <c r="AK19" i="26"/>
  <c r="O37" i="26"/>
  <c r="BK86" i="26"/>
  <c r="DP60" i="26"/>
  <c r="CJ113" i="26"/>
  <c r="DN13" i="26"/>
  <c r="BJ19" i="26"/>
  <c r="BR89" i="26"/>
  <c r="V21" i="26"/>
  <c r="N163" i="32" s="1"/>
  <c r="AQ51" i="26"/>
  <c r="DP36" i="26"/>
  <c r="Y27" i="26"/>
  <c r="M113" i="26"/>
  <c r="CB113" i="26"/>
  <c r="BU61" i="26"/>
  <c r="AH114" i="26"/>
  <c r="Y11" i="26"/>
  <c r="Z20" i="26"/>
  <c r="CQ113" i="26"/>
  <c r="DS40" i="26"/>
  <c r="DK60" i="26"/>
  <c r="CH13" i="26"/>
  <c r="CS30" i="26"/>
  <c r="DM18" i="26"/>
  <c r="CS13" i="26"/>
  <c r="Y12" i="26"/>
  <c r="S18" i="26"/>
  <c r="K161" i="32" s="1"/>
  <c r="DJ12" i="26"/>
  <c r="CC19" i="26"/>
  <c r="CL12" i="26"/>
  <c r="BE25" i="26"/>
  <c r="AE12" i="26"/>
  <c r="CG21" i="26"/>
  <c r="DO76" i="26"/>
  <c r="DI39" i="26"/>
  <c r="AV23" i="26"/>
  <c r="BY73" i="26"/>
  <c r="AL15" i="26"/>
  <c r="DI30" i="26"/>
  <c r="DS20" i="26"/>
  <c r="CG11" i="26"/>
  <c r="BW111" i="26"/>
  <c r="AN64" i="26"/>
  <c r="DO22" i="26"/>
  <c r="AO13" i="26"/>
  <c r="DV24" i="26"/>
  <c r="CG114" i="26"/>
  <c r="DP112" i="26"/>
  <c r="DG59" i="26"/>
  <c r="CZ67" i="26"/>
  <c r="DM112" i="26"/>
  <c r="CQ111" i="26"/>
  <c r="BC80" i="26"/>
  <c r="DV51" i="26"/>
  <c r="DA27" i="26"/>
  <c r="BV15" i="26"/>
  <c r="CH20" i="26"/>
  <c r="AP32" i="26"/>
  <c r="DG83" i="26"/>
  <c r="BZ113" i="26"/>
  <c r="BX83" i="26"/>
  <c r="AE79" i="26"/>
  <c r="BZ86" i="26"/>
  <c r="AP89" i="26"/>
  <c r="BV56" i="26"/>
  <c r="DG86" i="26"/>
  <c r="CI85" i="26"/>
  <c r="AY42" i="26"/>
  <c r="DF30" i="26"/>
  <c r="CB82" i="26"/>
  <c r="CB53" i="26"/>
  <c r="CF24" i="26"/>
  <c r="CI15" i="26"/>
  <c r="AW51" i="26"/>
  <c r="AH80" i="26"/>
  <c r="BB37" i="26"/>
  <c r="DH113" i="26"/>
  <c r="DI112" i="26"/>
  <c r="CM57" i="26"/>
  <c r="DE19" i="26"/>
  <c r="CP76" i="26"/>
  <c r="CN31" i="26"/>
  <c r="BC14" i="26"/>
  <c r="CZ70" i="26"/>
  <c r="BR26" i="26"/>
  <c r="AJ82" i="26"/>
  <c r="AK113" i="26"/>
  <c r="CZ112" i="26"/>
  <c r="BE27" i="26"/>
  <c r="AA37" i="26"/>
  <c r="DI11" i="26"/>
  <c r="AB11" i="26"/>
  <c r="Z25" i="26"/>
  <c r="BG13" i="26"/>
  <c r="DU21" i="26"/>
  <c r="Y31" i="26"/>
  <c r="CT45" i="26"/>
  <c r="CA80" i="26"/>
  <c r="CQ85" i="26"/>
  <c r="DL68" i="26"/>
  <c r="CE77" i="26"/>
  <c r="CT111" i="26"/>
  <c r="CH114" i="26"/>
  <c r="AA114" i="26"/>
  <c r="DJ114" i="26"/>
  <c r="DP31" i="26"/>
  <c r="CI38" i="26"/>
  <c r="CC88" i="26"/>
  <c r="DE114" i="26"/>
  <c r="BC11" i="26"/>
  <c r="CE11" i="26"/>
  <c r="DJ23" i="26"/>
  <c r="AF112" i="26"/>
  <c r="DG111" i="26"/>
  <c r="CT112" i="26"/>
  <c r="S67" i="26"/>
  <c r="CX82" i="26"/>
  <c r="CN114" i="26"/>
  <c r="AU59" i="26"/>
  <c r="CK65" i="26"/>
  <c r="Z37" i="26"/>
  <c r="AH88" i="26"/>
  <c r="AI23" i="26"/>
  <c r="AZ45" i="26"/>
  <c r="DU33" i="26"/>
  <c r="BG27" i="26"/>
  <c r="DR25" i="26"/>
  <c r="DG89" i="26"/>
  <c r="BL14" i="26"/>
  <c r="DI77" i="26"/>
  <c r="DJ113" i="26"/>
  <c r="BV12" i="26"/>
  <c r="CL15" i="26"/>
  <c r="DC88" i="26"/>
  <c r="CD82" i="26"/>
  <c r="BY65" i="26"/>
  <c r="BL39" i="26"/>
  <c r="CC38" i="26"/>
  <c r="BY61" i="26"/>
  <c r="DJ65" i="26"/>
  <c r="BP77" i="26"/>
  <c r="AT82" i="26"/>
  <c r="AP18" i="26"/>
  <c r="BC61" i="26"/>
  <c r="BY70" i="26"/>
  <c r="AN15" i="26"/>
  <c r="BE11" i="26"/>
  <c r="DV112" i="26"/>
  <c r="DB56" i="26"/>
  <c r="CO89" i="26"/>
  <c r="AC70" i="26"/>
  <c r="DR86" i="26"/>
  <c r="BC79" i="26"/>
  <c r="CO77" i="26"/>
  <c r="CD83" i="26"/>
  <c r="BQ26" i="26"/>
  <c r="AB39" i="26"/>
  <c r="BY21" i="26"/>
  <c r="AZ12" i="26"/>
  <c r="AM74" i="26"/>
  <c r="AW74" i="26"/>
  <c r="BW112" i="26"/>
  <c r="AY114" i="26"/>
  <c r="AM65" i="26"/>
  <c r="DV85" i="26"/>
  <c r="BK15" i="26"/>
  <c r="T74" i="26"/>
  <c r="AZ54" i="26"/>
  <c r="AP48" i="26"/>
  <c r="CF18" i="26"/>
  <c r="AB64" i="26"/>
  <c r="CL18" i="26"/>
  <c r="CA32" i="26"/>
  <c r="AL18" i="26"/>
  <c r="AA45" i="26"/>
  <c r="AS16" i="26"/>
  <c r="Y52" i="26"/>
  <c r="BM20" i="26"/>
  <c r="CK11" i="26"/>
  <c r="BP83" i="26"/>
  <c r="BV79" i="26"/>
  <c r="CO51" i="26"/>
  <c r="BA30" i="26"/>
  <c r="BS25" i="26"/>
  <c r="AD83" i="26"/>
  <c r="BI23" i="26"/>
  <c r="AC19" i="26"/>
  <c r="CY70" i="26"/>
  <c r="AU12" i="26"/>
  <c r="CN73" i="26"/>
  <c r="AV47" i="26"/>
  <c r="BZ111" i="26"/>
  <c r="BO56" i="26"/>
  <c r="BX20" i="26"/>
  <c r="AT15" i="26"/>
  <c r="BE74" i="26"/>
  <c r="BD11" i="26"/>
  <c r="BQ15" i="26"/>
  <c r="BK12" i="26"/>
  <c r="BL76" i="26"/>
  <c r="AB89" i="26"/>
  <c r="DP18" i="26"/>
  <c r="BB79" i="26"/>
  <c r="BF80" i="26"/>
  <c r="BR88" i="26"/>
  <c r="CU38" i="26"/>
  <c r="CH79" i="26"/>
  <c r="AE77" i="26"/>
  <c r="CO48" i="26"/>
  <c r="BL82" i="26"/>
  <c r="BE76" i="26"/>
  <c r="AE41" i="26"/>
  <c r="AR43" i="26"/>
  <c r="CF41" i="26"/>
  <c r="CX23" i="26"/>
  <c r="CO80" i="26"/>
  <c r="CW71" i="26"/>
  <c r="W85" i="26"/>
  <c r="DD19" i="26"/>
  <c r="AK57" i="26"/>
  <c r="AR113" i="26"/>
  <c r="DM80" i="26"/>
  <c r="BD85" i="26"/>
  <c r="AP68" i="26"/>
  <c r="CT43" i="26"/>
  <c r="AG47" i="26"/>
  <c r="DO32" i="26"/>
  <c r="CW114" i="26"/>
  <c r="AH89" i="26"/>
  <c r="BL86" i="26"/>
  <c r="CM21" i="26"/>
  <c r="W114" i="26"/>
  <c r="BF14" i="26"/>
  <c r="BU21" i="26"/>
  <c r="AT89" i="26"/>
  <c r="CW13" i="26"/>
  <c r="T34" i="26"/>
  <c r="L179" i="32" s="1"/>
  <c r="BQ80" i="26"/>
  <c r="CA67" i="26"/>
  <c r="AK53" i="26"/>
  <c r="BX88" i="26"/>
  <c r="CM73" i="26"/>
  <c r="DA85" i="26"/>
  <c r="CZ86" i="26"/>
  <c r="BQ112" i="26"/>
  <c r="CH112" i="26"/>
  <c r="BS112" i="26"/>
  <c r="DR111" i="26"/>
  <c r="DM82" i="26"/>
  <c r="DI113" i="26"/>
  <c r="CN25" i="26"/>
  <c r="CO112" i="26"/>
  <c r="BP88" i="26"/>
  <c r="CB16" i="26"/>
  <c r="BI21" i="26"/>
  <c r="AN22" i="26"/>
  <c r="DG14" i="26"/>
  <c r="DO16" i="26"/>
  <c r="DU112" i="26"/>
  <c r="DT37" i="26"/>
  <c r="AN14" i="26"/>
  <c r="CO74" i="26"/>
  <c r="AE73" i="26"/>
  <c r="DK114" i="26"/>
  <c r="BG73" i="26"/>
  <c r="BM22" i="26"/>
  <c r="DK22" i="26"/>
  <c r="CO16" i="26"/>
  <c r="BR13" i="26"/>
  <c r="CG22" i="26"/>
  <c r="CE83" i="26"/>
  <c r="AQ48" i="26"/>
  <c r="CN22" i="26"/>
  <c r="CZ88" i="26"/>
  <c r="BR36" i="26"/>
  <c r="DV59" i="26"/>
  <c r="U24" i="26"/>
  <c r="CF42" i="26"/>
  <c r="DL112" i="26"/>
  <c r="DJ88" i="26"/>
  <c r="S114" i="26"/>
  <c r="BL73" i="26"/>
  <c r="CK85" i="26"/>
  <c r="CI111" i="26"/>
  <c r="O24" i="26"/>
  <c r="CO15" i="26"/>
  <c r="AX114" i="26"/>
  <c r="DU15" i="26"/>
  <c r="AM56" i="26"/>
  <c r="AY20" i="26"/>
  <c r="CD31" i="26"/>
  <c r="DU89" i="26"/>
  <c r="AM77" i="26"/>
  <c r="CI68" i="26"/>
  <c r="N30" i="26"/>
  <c r="F180" i="32" s="1"/>
  <c r="CL47" i="26"/>
  <c r="BP28" i="26"/>
  <c r="DS11" i="26"/>
  <c r="CR113" i="26"/>
  <c r="L74" i="26"/>
  <c r="DC112" i="26"/>
  <c r="BF113" i="26"/>
  <c r="AU71" i="26"/>
  <c r="BN11" i="26"/>
  <c r="AX11" i="26"/>
  <c r="DC68" i="26"/>
  <c r="BY32" i="26"/>
  <c r="Z30" i="26"/>
  <c r="BS13" i="26"/>
  <c r="CY18" i="26"/>
  <c r="BS27" i="26"/>
  <c r="BH11" i="26"/>
  <c r="BC113" i="26"/>
  <c r="AG74" i="26"/>
  <c r="DT26" i="26"/>
  <c r="DB88" i="26"/>
  <c r="DI21" i="26"/>
  <c r="CF15" i="26"/>
  <c r="AA19" i="26"/>
  <c r="AT112" i="26"/>
  <c r="AT70" i="26"/>
  <c r="AL13" i="26"/>
  <c r="CV19" i="26"/>
  <c r="AM28" i="26"/>
  <c r="CP16" i="26"/>
  <c r="BU64" i="26"/>
  <c r="CR111" i="26"/>
  <c r="AJ15" i="26"/>
  <c r="AT13" i="26"/>
  <c r="DM114" i="26"/>
  <c r="L114" i="26"/>
  <c r="BC60" i="26"/>
  <c r="BR15" i="26"/>
  <c r="CX83" i="26"/>
  <c r="DQ11" i="26"/>
  <c r="Z41" i="26"/>
  <c r="BY51" i="26"/>
  <c r="CR20" i="26"/>
  <c r="DQ18" i="26"/>
  <c r="CG41" i="26"/>
  <c r="BR31" i="26"/>
  <c r="Q24" i="26"/>
  <c r="BC26" i="26"/>
  <c r="BM15" i="26"/>
  <c r="BA88" i="26"/>
  <c r="AG58" i="26"/>
  <c r="AE21" i="26"/>
  <c r="AX86" i="26"/>
  <c r="CC15" i="26"/>
  <c r="DC53" i="26"/>
  <c r="AI71" i="26"/>
  <c r="DB13" i="26"/>
  <c r="DR59" i="26"/>
  <c r="CY77" i="26"/>
  <c r="AB21" i="26"/>
  <c r="AL34" i="26"/>
  <c r="CH47" i="26"/>
  <c r="CX42" i="26"/>
  <c r="AG40" i="26"/>
  <c r="DV15" i="26"/>
  <c r="DF21" i="26"/>
  <c r="DN114" i="26"/>
  <c r="L73" i="26"/>
  <c r="CD114" i="26"/>
  <c r="AD113" i="26"/>
  <c r="DS111" i="26"/>
  <c r="DF73" i="26"/>
  <c r="BR68" i="26"/>
  <c r="BN89" i="26"/>
  <c r="BL31" i="26"/>
  <c r="DE13" i="26"/>
  <c r="DD112" i="26"/>
  <c r="BS82" i="26"/>
  <c r="CG89" i="26"/>
  <c r="BS14" i="26"/>
  <c r="BJ113" i="26"/>
  <c r="CA114" i="26"/>
  <c r="AX74" i="26"/>
  <c r="BD18" i="26"/>
  <c r="DJ83" i="26"/>
  <c r="DM42" i="26"/>
  <c r="AW26" i="26"/>
  <c r="DS32" i="26"/>
  <c r="DQ86" i="26"/>
  <c r="CR59" i="26"/>
  <c r="CK114" i="26"/>
  <c r="CY56" i="26"/>
  <c r="AW34" i="26"/>
  <c r="AW113" i="26"/>
  <c r="BS73" i="26"/>
  <c r="BU12" i="26"/>
  <c r="CO47" i="26"/>
  <c r="O19" i="26"/>
  <c r="G162" i="32" s="1"/>
  <c r="CX11" i="26"/>
  <c r="DF18" i="26"/>
  <c r="Z85" i="26"/>
  <c r="L27" i="26"/>
  <c r="D166" i="32" s="1"/>
  <c r="AR41" i="26"/>
  <c r="AR16" i="26"/>
  <c r="BZ79" i="26"/>
  <c r="BJ43" i="26"/>
  <c r="BB111" i="26"/>
  <c r="O67" i="26"/>
  <c r="R26" i="26"/>
  <c r="DD12" i="26"/>
  <c r="AN31" i="26"/>
  <c r="AF24" i="26"/>
  <c r="CR70" i="26"/>
  <c r="U71" i="26"/>
  <c r="Z42" i="26"/>
  <c r="AP83" i="26"/>
  <c r="BP24" i="26"/>
  <c r="AZ74" i="26"/>
  <c r="BZ83" i="26"/>
  <c r="AQ70" i="26"/>
  <c r="AX58" i="26"/>
  <c r="AX64" i="26"/>
  <c r="DD65" i="26"/>
  <c r="BM74" i="26"/>
  <c r="BE14" i="26"/>
  <c r="DI54" i="26"/>
  <c r="DJ19" i="26"/>
  <c r="BZ11" i="26"/>
  <c r="DR79" i="26"/>
  <c r="BN111" i="26"/>
  <c r="Y77" i="26"/>
  <c r="CE80" i="26"/>
  <c r="BK43" i="26"/>
  <c r="CF112" i="26"/>
  <c r="DV19" i="26"/>
  <c r="CT77" i="26"/>
  <c r="U76" i="26"/>
  <c r="DM85" i="26"/>
  <c r="AX83" i="26"/>
  <c r="BV114" i="26"/>
  <c r="AB112" i="26"/>
  <c r="DC61" i="26"/>
  <c r="AD25" i="26"/>
  <c r="P114" i="26"/>
  <c r="BP70" i="26"/>
  <c r="AP11" i="26"/>
  <c r="CN77" i="26"/>
  <c r="DS82" i="26"/>
  <c r="AU56" i="26"/>
  <c r="CD113" i="26"/>
  <c r="AB111" i="26"/>
  <c r="AJ70" i="26"/>
  <c r="BO34" i="26"/>
  <c r="DQ13" i="26"/>
  <c r="AA24" i="26"/>
  <c r="AG56" i="26"/>
  <c r="BN88" i="26"/>
  <c r="CY111" i="26"/>
  <c r="AM82" i="26"/>
  <c r="CU25" i="26"/>
  <c r="CR24" i="26"/>
  <c r="BM11" i="26"/>
  <c r="AJ65" i="26"/>
  <c r="BG36" i="26"/>
  <c r="DM33" i="26"/>
  <c r="CJ15" i="26"/>
  <c r="CF77" i="26"/>
  <c r="CE53" i="26"/>
  <c r="DS113" i="26"/>
  <c r="W113" i="26"/>
  <c r="BN74" i="26"/>
  <c r="CE16" i="26"/>
  <c r="BP25" i="26"/>
  <c r="CY79" i="26"/>
  <c r="DM21" i="26"/>
  <c r="BX14" i="26"/>
  <c r="AC21" i="26"/>
  <c r="BD24" i="26"/>
  <c r="BU11" i="26"/>
  <c r="BW12" i="26"/>
  <c r="AR18" i="26"/>
  <c r="CW12" i="26"/>
  <c r="AQ111" i="26"/>
  <c r="AR19" i="26"/>
  <c r="DP19" i="26"/>
  <c r="Y112" i="26"/>
  <c r="DN80" i="26"/>
  <c r="CV57" i="26"/>
  <c r="BB74" i="26"/>
  <c r="CN68" i="26"/>
  <c r="AM111" i="26"/>
  <c r="BX71" i="26"/>
  <c r="BC48" i="26"/>
  <c r="DN71" i="26"/>
  <c r="DM45" i="26"/>
  <c r="BR51" i="26"/>
  <c r="BT31" i="26"/>
  <c r="CY52" i="26"/>
  <c r="BY56" i="26"/>
  <c r="AD73" i="26"/>
  <c r="DV80" i="26"/>
  <c r="AG68" i="26"/>
  <c r="DU28" i="26"/>
  <c r="AQ22" i="26"/>
  <c r="DF113" i="26"/>
  <c r="AH23" i="26"/>
  <c r="AT16" i="26"/>
  <c r="Q85" i="26"/>
  <c r="AO83" i="26"/>
  <c r="AX88" i="26"/>
  <c r="AQ83" i="26"/>
  <c r="DO79" i="26"/>
  <c r="AQ113" i="26"/>
  <c r="BC36" i="26"/>
  <c r="DF111" i="26"/>
  <c r="CW112" i="26"/>
  <c r="AC113" i="26"/>
  <c r="AP82" i="26"/>
  <c r="BB89" i="26"/>
  <c r="BH25" i="26"/>
  <c r="DS12" i="26"/>
  <c r="DU113" i="26"/>
  <c r="BH65" i="26"/>
  <c r="CT30" i="26"/>
  <c r="BI112" i="26"/>
  <c r="DE12" i="26"/>
  <c r="BK113" i="26"/>
  <c r="CS86" i="26"/>
  <c r="DD53" i="26"/>
  <c r="DB60" i="26"/>
  <c r="R64" i="26"/>
  <c r="CZ68" i="26"/>
  <c r="BF54" i="26"/>
  <c r="DQ64" i="26"/>
  <c r="BC20" i="26"/>
  <c r="CZ76" i="26"/>
  <c r="AH18" i="26"/>
  <c r="CH12" i="26"/>
  <c r="CE15" i="26"/>
  <c r="CS22" i="26"/>
  <c r="AX30" i="26"/>
  <c r="BA46" i="26"/>
  <c r="CC61" i="26"/>
  <c r="BK114" i="26"/>
  <c r="AF60" i="26"/>
  <c r="AE83" i="26"/>
  <c r="BN18" i="26"/>
  <c r="AU13" i="26"/>
  <c r="AP13" i="26"/>
  <c r="BR21" i="26"/>
  <c r="AO12" i="26"/>
  <c r="CV114" i="26"/>
  <c r="AY60" i="26"/>
  <c r="AW24" i="26"/>
  <c r="AU88" i="26"/>
  <c r="BD76" i="26"/>
  <c r="CS77" i="26"/>
  <c r="CY88" i="26"/>
  <c r="CK21" i="26"/>
  <c r="BT114" i="26"/>
  <c r="CO13" i="26"/>
  <c r="BL57" i="26"/>
  <c r="DU40" i="26"/>
  <c r="AJ42" i="26"/>
  <c r="BD45" i="26"/>
  <c r="AW114" i="26"/>
  <c r="CL51" i="26"/>
  <c r="DK20" i="26"/>
  <c r="BF11" i="26"/>
  <c r="CP15" i="26"/>
  <c r="BM64" i="26"/>
  <c r="DD61" i="26"/>
  <c r="CX114" i="26"/>
  <c r="AK12" i="26"/>
  <c r="CB112" i="26"/>
  <c r="BC86" i="26"/>
  <c r="T20" i="26"/>
  <c r="L165" i="32" s="1"/>
  <c r="BD46" i="26"/>
  <c r="CZ40" i="26"/>
  <c r="X20" i="26"/>
  <c r="CN111" i="26"/>
  <c r="AI114" i="26"/>
  <c r="CY114" i="26"/>
  <c r="CC111" i="26"/>
  <c r="CU79" i="26"/>
  <c r="DA11" i="26"/>
  <c r="DS15" i="26"/>
  <c r="AY23" i="26"/>
  <c r="P73" i="26"/>
  <c r="BO23" i="26"/>
  <c r="CG57" i="26"/>
  <c r="AZ42" i="26"/>
  <c r="DN38" i="26"/>
  <c r="BK28" i="26"/>
  <c r="CH88" i="26"/>
  <c r="AR22" i="26"/>
  <c r="AU112" i="26"/>
  <c r="AN111" i="26"/>
  <c r="CP112" i="26"/>
  <c r="BQ46" i="26"/>
  <c r="DP111" i="26"/>
  <c r="DM38" i="26"/>
  <c r="CZ22" i="26"/>
  <c r="AL27" i="26"/>
  <c r="AB82" i="26"/>
  <c r="T114" i="26"/>
  <c r="AC18" i="26"/>
  <c r="AB20" i="26"/>
  <c r="AZ112" i="26"/>
  <c r="S74" i="26"/>
  <c r="BP18" i="26"/>
  <c r="BQ85" i="26"/>
  <c r="BP32" i="26"/>
  <c r="CU11" i="26"/>
  <c r="DA58" i="26"/>
  <c r="AP26" i="26"/>
  <c r="CW82" i="26"/>
  <c r="CX13" i="26"/>
  <c r="CT20" i="26"/>
  <c r="CU113" i="26"/>
  <c r="DL114" i="26"/>
  <c r="CD57" i="26"/>
  <c r="CA74" i="26"/>
  <c r="Z73" i="26"/>
  <c r="AD89" i="26"/>
  <c r="CZ31" i="26"/>
  <c r="CO26" i="26"/>
  <c r="AA112" i="26"/>
  <c r="CS70" i="26"/>
  <c r="DV114" i="26"/>
  <c r="AX23" i="26"/>
  <c r="X21" i="26"/>
  <c r="BM18" i="26"/>
  <c r="CZ30" i="26"/>
  <c r="BZ18" i="26"/>
  <c r="BM88" i="26"/>
  <c r="S113" i="26"/>
  <c r="AK114" i="26"/>
  <c r="BG80" i="26"/>
  <c r="AV37" i="26"/>
  <c r="BO46" i="26"/>
  <c r="AC58" i="26"/>
  <c r="DQ67" i="26"/>
  <c r="AL76" i="26"/>
  <c r="CE113" i="26"/>
  <c r="AM38" i="26"/>
  <c r="DO114" i="26"/>
  <c r="BR111" i="26"/>
  <c r="CI112" i="26"/>
  <c r="CB65" i="26"/>
  <c r="AV43" i="26"/>
  <c r="AC12" i="26"/>
  <c r="BA40" i="26"/>
  <c r="AM113" i="26"/>
  <c r="AM45" i="26"/>
  <c r="CE25" i="26"/>
  <c r="DK15" i="26"/>
  <c r="CF14" i="26"/>
  <c r="CQ18" i="26"/>
  <c r="U114" i="26"/>
  <c r="DM20" i="26"/>
  <c r="DM36" i="26"/>
  <c r="BP36" i="26"/>
  <c r="CP86" i="26"/>
  <c r="CE70" i="26"/>
  <c r="CS83" i="26"/>
  <c r="BU30" i="26"/>
  <c r="DU18" i="26"/>
  <c r="AR27" i="26"/>
  <c r="T19" i="26"/>
  <c r="L162" i="32" s="1"/>
  <c r="BZ33" i="26"/>
  <c r="AE11" i="26"/>
  <c r="BY79" i="26"/>
  <c r="CJ112" i="26"/>
  <c r="CU13" i="26"/>
  <c r="CO88" i="26"/>
  <c r="BH113" i="26"/>
  <c r="BK88" i="26"/>
  <c r="CG28" i="26"/>
  <c r="CK14" i="26"/>
  <c r="DC89" i="26"/>
  <c r="AT76" i="26"/>
  <c r="BV23" i="26"/>
  <c r="BO85" i="26"/>
  <c r="CD112" i="26"/>
  <c r="AV20" i="26"/>
  <c r="CR76" i="26"/>
  <c r="AJ79" i="26"/>
  <c r="BU83" i="26"/>
  <c r="N114" i="26"/>
  <c r="AF38" i="26"/>
  <c r="BN68" i="26"/>
  <c r="AL41" i="26"/>
  <c r="BE32" i="26"/>
  <c r="DB71" i="26"/>
  <c r="BS15" i="26"/>
  <c r="AK30" i="26"/>
  <c r="AR112" i="26"/>
  <c r="CG32" i="26"/>
  <c r="BJ18" i="26"/>
  <c r="CT28" i="26"/>
  <c r="BI89" i="26"/>
  <c r="CO11" i="26"/>
  <c r="BY114" i="26"/>
  <c r="AK80" i="26"/>
  <c r="BW53" i="26"/>
  <c r="Y88" i="26"/>
  <c r="DV22" i="26"/>
  <c r="CM61" i="26"/>
  <c r="AN25" i="26"/>
  <c r="CS42" i="26"/>
  <c r="CX45" i="26"/>
  <c r="BY113" i="26"/>
  <c r="AL79" i="26"/>
  <c r="CJ61" i="26"/>
  <c r="BF18" i="26"/>
  <c r="CT85" i="26"/>
  <c r="BU19" i="26"/>
  <c r="AR80" i="26"/>
  <c r="CE88" i="26"/>
  <c r="DF86" i="26"/>
  <c r="AE20" i="26"/>
  <c r="CA42" i="26"/>
  <c r="CB32" i="26"/>
  <c r="DC86" i="26"/>
  <c r="BD70" i="26"/>
  <c r="BG112" i="26"/>
  <c r="DF114" i="26"/>
  <c r="CE112" i="26"/>
  <c r="CX20" i="26"/>
  <c r="AX15" i="26"/>
  <c r="BE113" i="26"/>
  <c r="CK16" i="26"/>
  <c r="BW22" i="26"/>
  <c r="CP18" i="26"/>
  <c r="DR24" i="26"/>
  <c r="BI11" i="26"/>
  <c r="AD56" i="26"/>
  <c r="CN40" i="26"/>
  <c r="DQ76" i="26"/>
  <c r="BL111" i="26"/>
  <c r="DU111" i="26"/>
  <c r="BP114" i="26"/>
  <c r="BN67" i="26"/>
  <c r="U20" i="26"/>
  <c r="M165" i="32" s="1"/>
  <c r="BA45" i="26"/>
  <c r="BZ34" i="26"/>
  <c r="CD11" i="26"/>
  <c r="CM74" i="26"/>
  <c r="AS73" i="26"/>
  <c r="BG23" i="26"/>
  <c r="CR114" i="26"/>
  <c r="DI15" i="26"/>
  <c r="CK13" i="26"/>
  <c r="AR48" i="26"/>
  <c r="CA15" i="26"/>
  <c r="O113" i="26"/>
  <c r="V67" i="26"/>
  <c r="BK68" i="26"/>
  <c r="CO61" i="26"/>
  <c r="BP82" i="26"/>
  <c r="CG42" i="26"/>
  <c r="BO61" i="26"/>
  <c r="AM58" i="26"/>
  <c r="DO61" i="26"/>
  <c r="BY53" i="26"/>
  <c r="Y53" i="26"/>
  <c r="CB41" i="26"/>
  <c r="DQ74" i="26"/>
  <c r="BS89" i="26"/>
  <c r="AW65" i="26"/>
  <c r="BZ19" i="26"/>
  <c r="DO21" i="26"/>
  <c r="CX15" i="26"/>
  <c r="BG11" i="26"/>
  <c r="BI82" i="26"/>
  <c r="DB114" i="26"/>
  <c r="AC112" i="26"/>
  <c r="AW28" i="26"/>
  <c r="AH13" i="26"/>
  <c r="CE18" i="26"/>
  <c r="AB42" i="26"/>
  <c r="AX16" i="26"/>
  <c r="CD20" i="26"/>
  <c r="DM11" i="26"/>
  <c r="CH26" i="26"/>
  <c r="AD80" i="26"/>
  <c r="AL114" i="26"/>
  <c r="BG40" i="26"/>
  <c r="DE43" i="26"/>
  <c r="AQ112" i="26"/>
  <c r="BC88" i="26"/>
  <c r="AM19" i="26"/>
  <c r="DO31" i="26"/>
  <c r="AA34" i="26"/>
  <c r="AA33" i="26"/>
  <c r="CO19" i="26"/>
  <c r="CK89" i="26"/>
  <c r="DM13" i="26"/>
  <c r="U73" i="26"/>
  <c r="BH114" i="26"/>
  <c r="CC58" i="26"/>
  <c r="BC40" i="26"/>
  <c r="O38" i="26"/>
  <c r="DO89" i="26"/>
  <c r="CL89" i="26"/>
  <c r="CB18" i="26"/>
  <c r="AO82" i="26"/>
  <c r="CM19" i="26"/>
  <c r="AN18" i="26"/>
  <c r="W20" i="26"/>
  <c r="DS19" i="26"/>
  <c r="AY74" i="26"/>
  <c r="DD88" i="26"/>
  <c r="AR79" i="26"/>
  <c r="AR78" i="26" s="1"/>
  <c r="BY111" i="26"/>
  <c r="DD80" i="26"/>
  <c r="DM64" i="26"/>
  <c r="DA111" i="26"/>
  <c r="DC114" i="26"/>
  <c r="AT86" i="26"/>
  <c r="DS60" i="26"/>
  <c r="R113" i="26"/>
  <c r="CV113" i="26"/>
  <c r="CL11" i="26"/>
  <c r="AU85" i="26"/>
  <c r="L40" i="26"/>
  <c r="BN42" i="26"/>
  <c r="BT19" i="26"/>
  <c r="CD47" i="26"/>
  <c r="BF27" i="26"/>
  <c r="AF20" i="26"/>
  <c r="DB16" i="26"/>
  <c r="BM23" i="26"/>
  <c r="BL23" i="26"/>
  <c r="BV11" i="26"/>
  <c r="BF20" i="26"/>
  <c r="CJ74" i="26"/>
  <c r="AB74" i="26"/>
  <c r="CR80" i="26"/>
  <c r="DK13" i="26"/>
  <c r="BE71" i="26"/>
  <c r="CJ36" i="26"/>
  <c r="AS11" i="26"/>
  <c r="BK89" i="26"/>
  <c r="BG85" i="26"/>
  <c r="DJ76" i="26"/>
  <c r="BB15" i="26"/>
  <c r="AY25" i="26"/>
  <c r="CC13" i="26"/>
  <c r="BM32" i="26"/>
  <c r="AQ79" i="26"/>
  <c r="CY32" i="26"/>
  <c r="AB22" i="26"/>
  <c r="BL18" i="26"/>
  <c r="CE12" i="26"/>
  <c r="CB12" i="26"/>
  <c r="DQ60" i="26"/>
  <c r="BA26" i="26"/>
  <c r="AC16" i="26"/>
  <c r="AH45" i="26"/>
  <c r="CH25" i="26"/>
  <c r="BY48" i="26"/>
  <c r="BQ24" i="26"/>
  <c r="DC56" i="26"/>
  <c r="BM113" i="26"/>
  <c r="AM47" i="26"/>
  <c r="AQ71" i="26"/>
  <c r="DC12" i="26"/>
  <c r="BI53" i="26"/>
  <c r="BN27" i="26"/>
  <c r="CV22" i="26"/>
  <c r="AU16" i="26"/>
  <c r="U77" i="26"/>
  <c r="CP13" i="26"/>
  <c r="Z23" i="26"/>
  <c r="CZ73" i="26"/>
  <c r="AU113" i="26"/>
  <c r="AE113" i="26"/>
  <c r="CK113" i="26"/>
  <c r="U85" i="26"/>
  <c r="CV67" i="26"/>
  <c r="AK27" i="26"/>
  <c r="CS24" i="26"/>
  <c r="Q21" i="26"/>
  <c r="I163" i="32" s="1"/>
  <c r="DN85" i="26"/>
  <c r="CV88" i="26"/>
  <c r="AP113" i="26"/>
  <c r="BG12" i="26"/>
  <c r="DA114" i="26"/>
  <c r="X113" i="26"/>
  <c r="CG79" i="26"/>
  <c r="AB13" i="26"/>
  <c r="DJ89" i="26"/>
  <c r="DN33" i="26"/>
  <c r="DN89" i="26"/>
  <c r="AE89" i="26"/>
  <c r="BM85" i="26"/>
  <c r="CI86" i="26"/>
  <c r="BW47" i="26"/>
  <c r="AH14" i="26"/>
  <c r="DQ70" i="26"/>
  <c r="DQ79" i="26"/>
  <c r="BB77" i="26"/>
  <c r="CL38" i="26"/>
  <c r="BB58" i="26"/>
  <c r="BN64" i="26"/>
  <c r="AD27" i="26"/>
  <c r="CP80" i="26"/>
  <c r="CC86" i="26"/>
  <c r="CO68" i="26"/>
  <c r="L30" i="26"/>
  <c r="D180" i="32" s="1"/>
  <c r="DJ11" i="26"/>
  <c r="DE18" i="26"/>
  <c r="AE58" i="26"/>
  <c r="DL12" i="26"/>
  <c r="DE22" i="26"/>
  <c r="CL111" i="26"/>
  <c r="DR70" i="26"/>
  <c r="AE59" i="26"/>
  <c r="AD54" i="26"/>
  <c r="DF71" i="26"/>
  <c r="DR19" i="26"/>
  <c r="AX14" i="26"/>
  <c r="BH21" i="26"/>
  <c r="AZ16" i="26"/>
  <c r="AA113" i="26"/>
  <c r="AH113" i="26"/>
  <c r="BH86" i="26"/>
  <c r="DQ26" i="26"/>
  <c r="CA25" i="26"/>
  <c r="CB68" i="26"/>
  <c r="AW89" i="26"/>
  <c r="CC11" i="26"/>
  <c r="BO88" i="26"/>
  <c r="BY22" i="26"/>
  <c r="BN13" i="26"/>
  <c r="BU22" i="26"/>
  <c r="R19" i="26"/>
  <c r="J162" i="32" s="1"/>
  <c r="CA13" i="26"/>
  <c r="CL85" i="26"/>
  <c r="BS83" i="26"/>
  <c r="V65" i="26"/>
  <c r="AZ71" i="26"/>
  <c r="DM16" i="26"/>
  <c r="CD60" i="26"/>
  <c r="BG28" i="26"/>
  <c r="BG114" i="26"/>
  <c r="AI15" i="26"/>
  <c r="AW13" i="26"/>
  <c r="BV20" i="26"/>
  <c r="AP15" i="26"/>
  <c r="CH11" i="26"/>
  <c r="BJ11" i="26"/>
  <c r="DA89" i="26"/>
  <c r="AA60" i="26"/>
  <c r="CI27" i="26"/>
  <c r="CF111" i="26"/>
  <c r="DU79" i="26"/>
  <c r="BP89" i="26"/>
  <c r="P113" i="26"/>
  <c r="BQ25" i="26"/>
  <c r="AK86" i="26"/>
  <c r="AZ114" i="26"/>
  <c r="BD54" i="26"/>
  <c r="BG86" i="26"/>
  <c r="CA113" i="26"/>
  <c r="AP112" i="26"/>
  <c r="BU24" i="26"/>
  <c r="AF114" i="26"/>
  <c r="DG54" i="26"/>
  <c r="CN12" i="26"/>
  <c r="BZ26" i="26"/>
  <c r="AM83" i="26"/>
  <c r="BC13" i="26"/>
  <c r="CF89" i="26"/>
  <c r="CW15" i="26"/>
  <c r="BH16" i="26"/>
  <c r="Y19" i="26"/>
  <c r="AK16" i="26"/>
  <c r="DM73" i="26"/>
  <c r="AM67" i="26"/>
  <c r="AD88" i="26"/>
  <c r="CC76" i="26"/>
  <c r="CK56" i="26"/>
  <c r="AK43" i="26"/>
  <c r="DJ18" i="26"/>
  <c r="DO30" i="26"/>
  <c r="CJ68" i="26"/>
  <c r="CP64" i="26"/>
  <c r="AE25" i="26"/>
  <c r="BO18" i="26"/>
  <c r="DP33" i="26"/>
  <c r="CE24" i="26"/>
  <c r="DG21" i="26"/>
  <c r="BJ16" i="26"/>
  <c r="AD11" i="26"/>
  <c r="BB19" i="26"/>
  <c r="AH22" i="26"/>
  <c r="CI65" i="26"/>
  <c r="CV40" i="26"/>
  <c r="DJ32" i="26"/>
  <c r="AI19" i="26"/>
  <c r="DF83" i="26"/>
  <c r="AS19" i="26"/>
  <c r="BR86" i="26"/>
  <c r="BC112" i="26"/>
  <c r="BT113" i="26"/>
  <c r="AT113" i="26"/>
  <c r="DL22" i="26"/>
  <c r="CV34" i="26"/>
  <c r="BM86" i="26"/>
  <c r="CI56" i="26"/>
  <c r="CN83" i="26"/>
  <c r="AZ61" i="26"/>
  <c r="DP11" i="26"/>
  <c r="Z14" i="26"/>
  <c r="DI83" i="26"/>
  <c r="CG26" i="26"/>
  <c r="DA71" i="26"/>
  <c r="AV86" i="26"/>
  <c r="AH71" i="26"/>
  <c r="BD86" i="26"/>
  <c r="DH82" i="26"/>
  <c r="CH74" i="26"/>
  <c r="AL14" i="26"/>
  <c r="AL25" i="26"/>
  <c r="BS57" i="26"/>
  <c r="AJ11" i="26"/>
  <c r="BV60" i="26"/>
  <c r="AL111" i="26"/>
  <c r="DS53" i="26"/>
  <c r="CN112" i="26"/>
  <c r="CL88" i="26"/>
  <c r="CP111" i="26"/>
  <c r="DQ19" i="26"/>
  <c r="Y34" i="26"/>
  <c r="CB70" i="26"/>
  <c r="AS83" i="26"/>
  <c r="AX112" i="26"/>
  <c r="CQ114" i="26"/>
  <c r="CG86" i="26"/>
  <c r="BQ79" i="26"/>
  <c r="AZ88" i="26"/>
  <c r="CL45" i="26"/>
  <c r="CW34" i="26"/>
  <c r="CV20" i="26"/>
  <c r="DH114" i="26"/>
  <c r="AB85" i="26"/>
  <c r="BK21" i="26"/>
  <c r="BS20" i="26"/>
  <c r="CI20" i="26"/>
  <c r="BH38" i="26"/>
  <c r="DK31" i="26"/>
  <c r="AG20" i="26"/>
  <c r="DM111" i="26"/>
  <c r="DD85" i="26"/>
  <c r="AC22" i="26"/>
  <c r="CX18" i="26"/>
  <c r="BE48" i="26"/>
  <c r="L16" i="26"/>
  <c r="BJ22" i="26"/>
  <c r="CD40" i="26"/>
  <c r="DV23" i="26"/>
  <c r="AE112" i="26"/>
  <c r="BI114" i="26"/>
  <c r="CP114" i="26"/>
  <c r="CL114" i="26"/>
  <c r="DV61" i="26"/>
  <c r="AK33" i="26"/>
  <c r="DB21" i="26"/>
  <c r="DD83" i="26"/>
  <c r="CT21" i="26"/>
  <c r="CV24" i="26"/>
  <c r="AJ12" i="26"/>
  <c r="AF22" i="26"/>
  <c r="DV13" i="26"/>
  <c r="N23" i="26"/>
  <c r="DN30" i="26"/>
  <c r="BF89" i="26"/>
  <c r="AV85" i="26"/>
  <c r="CX12" i="26"/>
  <c r="BX26" i="26"/>
  <c r="DS88" i="26"/>
  <c r="BB22" i="26"/>
  <c r="CS64" i="26"/>
  <c r="CL77" i="26"/>
  <c r="AQ82" i="26"/>
  <c r="DO12" i="26"/>
  <c r="DH25" i="26"/>
  <c r="AA13" i="26"/>
  <c r="AT14" i="26"/>
  <c r="DI25" i="26"/>
  <c r="DB12" i="26"/>
  <c r="DI34" i="26"/>
  <c r="BI86" i="26"/>
  <c r="CO82" i="26"/>
  <c r="BI113" i="26"/>
  <c r="BR19" i="26"/>
  <c r="AK21" i="26"/>
  <c r="BC23" i="26"/>
  <c r="CS33" i="26"/>
  <c r="CF20" i="26"/>
  <c r="AB59" i="26"/>
  <c r="BQ64" i="26"/>
  <c r="CT27" i="26"/>
  <c r="BA112" i="26"/>
  <c r="AH16" i="26"/>
  <c r="CU28" i="26"/>
  <c r="DC23" i="26"/>
  <c r="CF21" i="26"/>
  <c r="CJ83" i="26"/>
  <c r="AN56" i="26"/>
  <c r="CN86" i="26"/>
  <c r="CV14" i="26"/>
  <c r="BE34" i="26"/>
  <c r="CL27" i="26"/>
  <c r="CF13" i="26"/>
  <c r="DK111" i="26"/>
  <c r="DL70" i="26"/>
  <c r="BG20" i="26"/>
  <c r="AD30" i="26"/>
  <c r="BQ18" i="26"/>
  <c r="BE18" i="26"/>
  <c r="AE67" i="26"/>
  <c r="BO68" i="26"/>
  <c r="AY43" i="26"/>
  <c r="CF74" i="26"/>
  <c r="AR83" i="26"/>
  <c r="BE79" i="26"/>
  <c r="AO24" i="26"/>
  <c r="DE14" i="26"/>
  <c r="BP15" i="26"/>
  <c r="CR18" i="26"/>
  <c r="CG88" i="26"/>
  <c r="BB112" i="26"/>
  <c r="DE82" i="26"/>
  <c r="BB31" i="26"/>
  <c r="CQ46" i="26"/>
  <c r="CA79" i="26"/>
  <c r="AA23" i="26"/>
  <c r="BC65" i="26"/>
  <c r="BZ16" i="26"/>
  <c r="BE22" i="26"/>
  <c r="AS68" i="26"/>
  <c r="CE14" i="26"/>
  <c r="AP20" i="26"/>
  <c r="AN20" i="26"/>
  <c r="AO20" i="26"/>
  <c r="DN45" i="26"/>
  <c r="S23" i="26"/>
  <c r="Y21" i="26"/>
  <c r="BJ112" i="26"/>
  <c r="AS89" i="26"/>
  <c r="BG38" i="26"/>
  <c r="DV38" i="26"/>
  <c r="AH77" i="26"/>
  <c r="BW89" i="26"/>
  <c r="BC76" i="26"/>
  <c r="DA13" i="26"/>
  <c r="CR14" i="26"/>
  <c r="AU11" i="26"/>
  <c r="L23" i="26"/>
  <c r="BG113" i="26"/>
  <c r="BP46" i="26"/>
  <c r="R76" i="26"/>
  <c r="AZ89" i="26"/>
  <c r="AI85" i="26"/>
  <c r="DT13" i="26"/>
  <c r="O23" i="26"/>
  <c r="AA53" i="26"/>
  <c r="AR47" i="26"/>
  <c r="AY77" i="26"/>
  <c r="CY53" i="26"/>
  <c r="CM11" i="26"/>
  <c r="BS18" i="26"/>
  <c r="BJ86" i="26"/>
  <c r="BV19" i="26"/>
  <c r="AV56" i="26"/>
  <c r="DO85" i="26"/>
  <c r="U23" i="26"/>
  <c r="DR11" i="26"/>
  <c r="CM111" i="26"/>
  <c r="BL70" i="26"/>
  <c r="AN12" i="26"/>
  <c r="AL112" i="26"/>
  <c r="CE13" i="26"/>
  <c r="BP86" i="26"/>
  <c r="Y41" i="26"/>
  <c r="AV71" i="26"/>
  <c r="V23" i="26"/>
  <c r="BW83" i="26"/>
  <c r="AJ13" i="26"/>
  <c r="AQ13" i="26"/>
  <c r="BM13" i="26"/>
  <c r="CM13" i="26"/>
  <c r="CS18" i="26"/>
  <c r="AJ19" i="26"/>
  <c r="DR76" i="26"/>
  <c r="CD73" i="26"/>
  <c r="DV33" i="26"/>
  <c r="CE65" i="26"/>
  <c r="CN15" i="26"/>
  <c r="DC19" i="26"/>
  <c r="BM89" i="26"/>
  <c r="CJ88" i="26"/>
  <c r="AW19" i="26"/>
  <c r="DT16" i="26"/>
  <c r="AY16" i="26"/>
  <c r="CX19" i="26"/>
  <c r="AR59" i="26"/>
  <c r="AI70" i="26"/>
  <c r="AV19" i="26"/>
  <c r="BL74" i="26"/>
  <c r="AW112" i="26"/>
  <c r="AL83" i="26"/>
  <c r="BV112" i="26"/>
  <c r="Q113" i="26"/>
  <c r="CC89" i="26"/>
  <c r="BB14" i="26"/>
  <c r="DI41" i="26"/>
  <c r="CJ114" i="26"/>
  <c r="CE19" i="26"/>
  <c r="BC27" i="26"/>
  <c r="DJ71" i="26"/>
  <c r="DQ14" i="26"/>
  <c r="DC11" i="26"/>
  <c r="L14" i="26"/>
  <c r="D159" i="32" s="1"/>
  <c r="AU22" i="26"/>
  <c r="Z13" i="26"/>
  <c r="BZ89" i="26"/>
  <c r="CR16" i="26"/>
  <c r="AY76" i="26"/>
  <c r="CT59" i="26"/>
  <c r="DM19" i="26"/>
  <c r="AG22" i="26"/>
  <c r="N73" i="26"/>
  <c r="BK71" i="26"/>
  <c r="AK51" i="26"/>
  <c r="DU65" i="26"/>
  <c r="DA42" i="26"/>
  <c r="DV45" i="26"/>
  <c r="BC59" i="26"/>
  <c r="BS37" i="26"/>
  <c r="BE77" i="26"/>
  <c r="DO52" i="26"/>
  <c r="BX111" i="26"/>
  <c r="DV111" i="26"/>
  <c r="AE22" i="26"/>
  <c r="BQ73" i="26"/>
  <c r="DM86" i="26"/>
  <c r="CB20" i="26"/>
  <c r="CE89" i="26"/>
  <c r="AS21" i="26"/>
  <c r="AW52" i="26"/>
  <c r="P27" i="26"/>
  <c r="H166" i="32" s="1"/>
  <c r="BK45" i="26"/>
  <c r="DT67" i="26"/>
  <c r="DE15" i="26"/>
  <c r="CH21" i="26"/>
  <c r="AQ68" i="26"/>
  <c r="X67" i="26"/>
  <c r="CS89" i="26"/>
  <c r="AR88" i="26"/>
  <c r="BL24" i="26"/>
  <c r="AM12" i="26"/>
  <c r="AL20" i="26"/>
  <c r="CT67" i="26"/>
  <c r="CN58" i="26"/>
  <c r="AY64" i="26"/>
  <c r="BE70" i="26"/>
  <c r="BX76" i="26"/>
  <c r="AS77" i="26"/>
  <c r="AE60" i="26"/>
  <c r="DK40" i="26"/>
  <c r="BJ52" i="26"/>
  <c r="CZ13" i="26"/>
  <c r="CY64" i="26"/>
  <c r="DV11" i="26"/>
  <c r="CG70" i="26"/>
  <c r="CX111" i="26"/>
  <c r="DN46" i="26"/>
  <c r="BH67" i="26"/>
  <c r="N64" i="26"/>
  <c r="AZ79" i="26"/>
  <c r="CD74" i="26"/>
  <c r="DT30" i="26"/>
  <c r="CR71" i="26"/>
  <c r="CI25" i="26"/>
  <c r="CH58" i="26"/>
  <c r="CE114" i="26"/>
  <c r="CN16" i="26"/>
  <c r="BV21" i="26"/>
  <c r="R21" i="26"/>
  <c r="J163" i="32" s="1"/>
  <c r="AL58" i="26"/>
  <c r="BJ73" i="26"/>
  <c r="CA40" i="26"/>
  <c r="CM56" i="26"/>
  <c r="BU114" i="26"/>
  <c r="BV37" i="26"/>
  <c r="BP71" i="26"/>
  <c r="CY83" i="26"/>
  <c r="DC64" i="26"/>
  <c r="BZ41" i="26"/>
  <c r="AA73" i="26"/>
  <c r="DV27" i="26"/>
  <c r="AH67" i="26"/>
  <c r="AO15" i="26"/>
  <c r="AG82" i="26"/>
  <c r="AB41" i="26"/>
  <c r="CF23" i="26"/>
  <c r="AT23" i="26"/>
  <c r="BG83" i="26"/>
  <c r="BI60" i="26"/>
  <c r="CR21" i="26"/>
  <c r="BC83" i="26"/>
  <c r="CE30" i="26"/>
  <c r="DT47" i="26"/>
  <c r="BC39" i="26"/>
  <c r="BD83" i="26"/>
  <c r="BI20" i="26"/>
  <c r="BI77" i="26"/>
  <c r="CD19" i="26"/>
  <c r="BB11" i="26"/>
  <c r="BK36" i="26"/>
  <c r="CX67" i="26"/>
  <c r="M73" i="17"/>
  <c r="M114" i="17"/>
  <c r="L113" i="17"/>
  <c r="M113" i="17"/>
  <c r="L114" i="17"/>
  <c r="O113" i="17"/>
  <c r="O114" i="17"/>
  <c r="N113" i="17"/>
  <c r="N114" i="17"/>
  <c r="Q113" i="17"/>
  <c r="P113" i="17"/>
  <c r="P114" i="17"/>
  <c r="R113" i="17"/>
  <c r="S113" i="17"/>
  <c r="R114" i="17"/>
  <c r="Q114" i="17"/>
  <c r="S114" i="17"/>
  <c r="T114" i="17"/>
  <c r="T113" i="17"/>
  <c r="W114" i="17"/>
  <c r="V114" i="17"/>
  <c r="U113" i="17"/>
  <c r="U114" i="17"/>
  <c r="W113" i="17"/>
  <c r="V113" i="17"/>
  <c r="Y113" i="17"/>
  <c r="Y114" i="17"/>
  <c r="X113" i="17"/>
  <c r="X114" i="17"/>
  <c r="Z114" i="17"/>
  <c r="AA114" i="17"/>
  <c r="Z113" i="17"/>
  <c r="AA113" i="17"/>
  <c r="AC113" i="17"/>
  <c r="AB114" i="17"/>
  <c r="AB113" i="17"/>
  <c r="AC114" i="17"/>
  <c r="AD113" i="17"/>
  <c r="AG113" i="17"/>
  <c r="AD114" i="17"/>
  <c r="AE113" i="17"/>
  <c r="AG114" i="17"/>
  <c r="AE114" i="17"/>
  <c r="AF114" i="17"/>
  <c r="AM114" i="17"/>
  <c r="AH113" i="17"/>
  <c r="AF113" i="17"/>
  <c r="AH114" i="17"/>
  <c r="AI114" i="17"/>
  <c r="AJ114" i="17"/>
  <c r="AI113" i="17"/>
  <c r="AK111" i="17"/>
  <c r="AJ111" i="17"/>
  <c r="AL112" i="17"/>
  <c r="AJ112" i="17"/>
  <c r="AM113" i="17"/>
  <c r="AK112" i="17"/>
  <c r="AK114" i="17"/>
  <c r="AJ113" i="17"/>
  <c r="AL111" i="17"/>
  <c r="AM112" i="17"/>
  <c r="AM111" i="17"/>
  <c r="AL114" i="17"/>
  <c r="AL113" i="17"/>
  <c r="AN114" i="17"/>
  <c r="AK113" i="17"/>
  <c r="AN111" i="17"/>
  <c r="AP112" i="17"/>
  <c r="AN112" i="17"/>
  <c r="AN113" i="17"/>
  <c r="AO112" i="17"/>
  <c r="AO114" i="17"/>
  <c r="AP113" i="17"/>
  <c r="AO111" i="17"/>
  <c r="AP114" i="17"/>
  <c r="AP111" i="17"/>
  <c r="AO113" i="17"/>
  <c r="AQ114" i="17"/>
  <c r="AQ113" i="17"/>
  <c r="AR114" i="17"/>
  <c r="AR111" i="17"/>
  <c r="AR112" i="17"/>
  <c r="AR113" i="17"/>
  <c r="AQ111" i="17"/>
  <c r="AQ112" i="17"/>
  <c r="AS112" i="17"/>
  <c r="AS113" i="17"/>
  <c r="AV111" i="17"/>
  <c r="AT114" i="17"/>
  <c r="AS114" i="17"/>
  <c r="AS111" i="17"/>
  <c r="AT112" i="17"/>
  <c r="AT113" i="17"/>
  <c r="AT111" i="17"/>
  <c r="AU112" i="17"/>
  <c r="AU113" i="17"/>
  <c r="AV113" i="17"/>
  <c r="AV114" i="17"/>
  <c r="AV112" i="17"/>
  <c r="AU114" i="17"/>
  <c r="AU111" i="17"/>
  <c r="AX114" i="17"/>
  <c r="AW111" i="17"/>
  <c r="AX112" i="17"/>
  <c r="AW112" i="17"/>
  <c r="AZ113" i="17"/>
  <c r="AX111" i="17"/>
  <c r="AX113" i="17"/>
  <c r="AW114" i="17"/>
  <c r="AW113" i="17"/>
  <c r="BB113" i="17"/>
  <c r="AZ112" i="17"/>
  <c r="AZ114" i="17"/>
  <c r="AY111" i="17"/>
  <c r="AY113" i="17"/>
  <c r="AY112" i="17"/>
  <c r="AZ111" i="17"/>
  <c r="AY114" i="17"/>
  <c r="BB114" i="17"/>
  <c r="BA111" i="17"/>
  <c r="BA113" i="17"/>
  <c r="BA112" i="17"/>
  <c r="BD113" i="17"/>
  <c r="BB111" i="17"/>
  <c r="BA114" i="17"/>
  <c r="BB112" i="17"/>
  <c r="BC112" i="17"/>
  <c r="BD111" i="17"/>
  <c r="BC111" i="17"/>
  <c r="BC113" i="17"/>
  <c r="BC114" i="17"/>
  <c r="BD112" i="17"/>
  <c r="BF111" i="17"/>
  <c r="BE114" i="17"/>
  <c r="BF114" i="17"/>
  <c r="BE111" i="17"/>
  <c r="BD114" i="17"/>
  <c r="BE113" i="17"/>
  <c r="BF113" i="17"/>
  <c r="BE112" i="17"/>
  <c r="BJ112" i="17"/>
  <c r="BG114" i="17"/>
  <c r="BG111" i="17"/>
  <c r="BG113" i="17"/>
  <c r="BH113" i="17"/>
  <c r="BG112" i="17"/>
  <c r="BF112" i="17"/>
  <c r="BJ111" i="17"/>
  <c r="BH114" i="17"/>
  <c r="BH112" i="17"/>
  <c r="BJ114" i="17"/>
  <c r="BI112" i="17"/>
  <c r="BI113" i="17"/>
  <c r="BH111" i="17"/>
  <c r="BI114" i="17"/>
  <c r="BI111" i="17"/>
  <c r="BL114" i="17"/>
  <c r="BL113" i="17"/>
  <c r="BK112" i="17"/>
  <c r="BL112" i="17"/>
  <c r="BK113" i="17"/>
  <c r="BJ113" i="17"/>
  <c r="BK111" i="17"/>
  <c r="BL111" i="17"/>
  <c r="BK114" i="17"/>
  <c r="BN113" i="17"/>
  <c r="BM112" i="17"/>
  <c r="BM113" i="17"/>
  <c r="BM114" i="17"/>
  <c r="BM111" i="17"/>
  <c r="BN114" i="17"/>
  <c r="BN112" i="17"/>
  <c r="BN111" i="17"/>
  <c r="BO113" i="17"/>
  <c r="BP112" i="17"/>
  <c r="BP111" i="17"/>
  <c r="BO114" i="17"/>
  <c r="BR112" i="17"/>
  <c r="BP114" i="17"/>
  <c r="BP113" i="17"/>
  <c r="BO111" i="17"/>
  <c r="BO112" i="17"/>
  <c r="BQ111" i="17"/>
  <c r="BQ113" i="17"/>
  <c r="BQ112" i="17"/>
  <c r="BR113" i="17"/>
  <c r="BQ114" i="17"/>
  <c r="BR114" i="17"/>
  <c r="BT112" i="17"/>
  <c r="BS111" i="17"/>
  <c r="BS113" i="17"/>
  <c r="BS114" i="17"/>
  <c r="BR111" i="17"/>
  <c r="BT113" i="17"/>
  <c r="BT114" i="17"/>
  <c r="BT111" i="17"/>
  <c r="BV112" i="17"/>
  <c r="BS112" i="17"/>
  <c r="BV113" i="17"/>
  <c r="BV111" i="17"/>
  <c r="BU114" i="17"/>
  <c r="BU112" i="17"/>
  <c r="BU113" i="17"/>
  <c r="BV114" i="17"/>
  <c r="BU111" i="17"/>
  <c r="BX112" i="17"/>
  <c r="BW112" i="17"/>
  <c r="BX111" i="17"/>
  <c r="BX113" i="17"/>
  <c r="BX114" i="17"/>
  <c r="BW111" i="17"/>
  <c r="BW114" i="17"/>
  <c r="BW113" i="17"/>
  <c r="BY111" i="17"/>
  <c r="BY112" i="17"/>
  <c r="BY113" i="17"/>
  <c r="BZ113" i="17"/>
  <c r="CB113" i="17"/>
  <c r="BZ112" i="17"/>
  <c r="BY114" i="17"/>
  <c r="BZ111" i="17"/>
  <c r="CA114" i="17"/>
  <c r="CB112" i="17"/>
  <c r="CB111" i="17"/>
  <c r="CB114" i="17"/>
  <c r="CA111" i="17"/>
  <c r="CA113" i="17"/>
  <c r="CA112" i="17"/>
  <c r="BZ114" i="17"/>
  <c r="CC113" i="17"/>
  <c r="CD112" i="17"/>
  <c r="CD113" i="17"/>
  <c r="CC111" i="17"/>
  <c r="CC112" i="17"/>
  <c r="CD114" i="17"/>
  <c r="CD111" i="17"/>
  <c r="CC114" i="17"/>
  <c r="CE111" i="17"/>
  <c r="CF112" i="17"/>
  <c r="CE113" i="17"/>
  <c r="CF111" i="17"/>
  <c r="CE112" i="17"/>
  <c r="CE114" i="17"/>
  <c r="CF114" i="17"/>
  <c r="CF113" i="17"/>
  <c r="CG114" i="17"/>
  <c r="CG111" i="17"/>
  <c r="CG112" i="17"/>
  <c r="CH114" i="17"/>
  <c r="CG113" i="17"/>
  <c r="CH112" i="17"/>
  <c r="CJ112" i="17"/>
  <c r="CJ111" i="17"/>
  <c r="CI112" i="17"/>
  <c r="CJ114" i="17"/>
  <c r="CI114" i="17"/>
  <c r="CL111" i="17"/>
  <c r="CI111" i="17"/>
  <c r="CH113" i="17"/>
  <c r="CI113" i="17"/>
  <c r="CH111" i="17"/>
  <c r="CJ113" i="17"/>
  <c r="CK111" i="17"/>
  <c r="CK114" i="17"/>
  <c r="CK112" i="17"/>
  <c r="CK113" i="17"/>
  <c r="CL112" i="17"/>
  <c r="CL114" i="17"/>
  <c r="CL113" i="17"/>
  <c r="CN112" i="17"/>
  <c r="CM111" i="17"/>
  <c r="CM114" i="17"/>
  <c r="CM113" i="17"/>
  <c r="CM112" i="17"/>
  <c r="CP112" i="17"/>
  <c r="CN111" i="17"/>
  <c r="CO113" i="17"/>
  <c r="CP113" i="17"/>
  <c r="CN113" i="17"/>
  <c r="CO111" i="17"/>
  <c r="CP111" i="17"/>
  <c r="CO112" i="17"/>
  <c r="CN114" i="17"/>
  <c r="CP114" i="17"/>
  <c r="CO114" i="17"/>
  <c r="CQ111" i="17"/>
  <c r="CQ113" i="17"/>
  <c r="CR112" i="17"/>
  <c r="CR114" i="17"/>
  <c r="CR113" i="17"/>
  <c r="CQ114" i="17"/>
  <c r="CQ112" i="17"/>
  <c r="CR111" i="17"/>
  <c r="CS114" i="17"/>
  <c r="CS111" i="17"/>
  <c r="CS113" i="17"/>
  <c r="CT113" i="17"/>
  <c r="CT111" i="17"/>
  <c r="CS112" i="17"/>
  <c r="CT112" i="17"/>
  <c r="CT114" i="17"/>
  <c r="CV112" i="17"/>
  <c r="CU113" i="17"/>
  <c r="CV113" i="17"/>
  <c r="CV111" i="17"/>
  <c r="CU112" i="17"/>
  <c r="CV114" i="17"/>
  <c r="CU114" i="17"/>
  <c r="CU111" i="17"/>
  <c r="CW114" i="17"/>
  <c r="CW112" i="17"/>
  <c r="CX111" i="17"/>
  <c r="CW111" i="17"/>
  <c r="CX114" i="17"/>
  <c r="CX113" i="17"/>
  <c r="CX112" i="17"/>
  <c r="CZ111" i="17"/>
  <c r="CW113" i="17"/>
  <c r="DB114" i="17"/>
  <c r="CZ114" i="17"/>
  <c r="CY114" i="17"/>
  <c r="CY111" i="17"/>
  <c r="CY112" i="17"/>
  <c r="CY113" i="17"/>
  <c r="CZ113" i="17"/>
  <c r="CZ112" i="17"/>
  <c r="DB111" i="17"/>
  <c r="DB112" i="17"/>
  <c r="DA111" i="17"/>
  <c r="DB113" i="17"/>
  <c r="DA114" i="17"/>
  <c r="DA112" i="17"/>
  <c r="DA113" i="17"/>
  <c r="DD112" i="17"/>
  <c r="DC111" i="17"/>
  <c r="DD111" i="17"/>
  <c r="DC114" i="17"/>
  <c r="DD114" i="17"/>
  <c r="DC112" i="17"/>
  <c r="DD113" i="17"/>
  <c r="DC113" i="17"/>
  <c r="DF114" i="17"/>
  <c r="DE113" i="17"/>
  <c r="DF111" i="17"/>
  <c r="DE112" i="17"/>
  <c r="DF112" i="17"/>
  <c r="DF113" i="17"/>
  <c r="DE111" i="17"/>
  <c r="DH111" i="17"/>
  <c r="DE114" i="17"/>
  <c r="DJ112" i="17"/>
  <c r="DH113" i="17"/>
  <c r="DG111" i="17"/>
  <c r="DH112" i="17"/>
  <c r="DG114" i="17"/>
  <c r="DH114" i="17"/>
  <c r="DG113" i="17"/>
  <c r="DG112" i="17"/>
  <c r="DI114" i="17"/>
  <c r="DI111" i="17"/>
  <c r="DJ111" i="17"/>
  <c r="DJ114" i="17"/>
  <c r="DL113" i="17"/>
  <c r="DJ113" i="17"/>
  <c r="DI113" i="17"/>
  <c r="DI112" i="17"/>
  <c r="DK114" i="17"/>
  <c r="DL111" i="17"/>
  <c r="DL114" i="17"/>
  <c r="DN114" i="17"/>
  <c r="DK112" i="17"/>
  <c r="DL112" i="17"/>
  <c r="DK111" i="17"/>
  <c r="DK113" i="17"/>
  <c r="DM113" i="17"/>
  <c r="DM111" i="17"/>
  <c r="DN112" i="17"/>
  <c r="DN111" i="17"/>
  <c r="DM114" i="17"/>
  <c r="DN113" i="17"/>
  <c r="DM112" i="17"/>
  <c r="DR113" i="17"/>
  <c r="DP111" i="17"/>
  <c r="DO114" i="17"/>
  <c r="DO113" i="17"/>
  <c r="DP112" i="17"/>
  <c r="DO111" i="17"/>
  <c r="DP113" i="17"/>
  <c r="DP114" i="17"/>
  <c r="DO112" i="17"/>
  <c r="DQ111" i="17"/>
  <c r="DQ114" i="17"/>
  <c r="DR112" i="17"/>
  <c r="DR114" i="17"/>
  <c r="DQ113" i="17"/>
  <c r="DR111" i="17"/>
  <c r="DQ112" i="17"/>
  <c r="DS112" i="17"/>
  <c r="DS113" i="17"/>
  <c r="DT114" i="17"/>
  <c r="DT111" i="17"/>
  <c r="DS114" i="17"/>
  <c r="DT112" i="17"/>
  <c r="DS111" i="17"/>
  <c r="DT113" i="17"/>
  <c r="DU114" i="17"/>
  <c r="DV112" i="17"/>
  <c r="DV111" i="17"/>
  <c r="DU112" i="17"/>
  <c r="DU111" i="17"/>
  <c r="DV113" i="17"/>
  <c r="DV114" i="17"/>
  <c r="DU113" i="17"/>
  <c r="L15" i="17"/>
  <c r="D732" i="32" s="1"/>
  <c r="L74" i="17"/>
  <c r="L41" i="17"/>
  <c r="O74" i="17"/>
  <c r="L38" i="17"/>
  <c r="L73" i="17"/>
  <c r="L37" i="17"/>
  <c r="L40" i="17"/>
  <c r="L71" i="17"/>
  <c r="M70" i="17"/>
  <c r="O71" i="17"/>
  <c r="O37" i="17"/>
  <c r="L70" i="17"/>
  <c r="N70" i="17"/>
  <c r="Q74" i="17"/>
  <c r="O70" i="17"/>
  <c r="N37" i="17"/>
  <c r="O38" i="17"/>
  <c r="N73" i="17"/>
  <c r="N71" i="17"/>
  <c r="Q73" i="17"/>
  <c r="Q38" i="17"/>
  <c r="P74" i="17"/>
  <c r="P38" i="17"/>
  <c r="Q37" i="17"/>
  <c r="O73" i="17"/>
  <c r="S38" i="17"/>
  <c r="P73" i="17"/>
  <c r="Q71" i="17"/>
  <c r="P37" i="17"/>
  <c r="Q70" i="17"/>
  <c r="P70" i="17"/>
  <c r="P71" i="17"/>
  <c r="R70" i="17"/>
  <c r="R73" i="17"/>
  <c r="R38" i="17"/>
  <c r="R37" i="17"/>
  <c r="S73" i="17"/>
  <c r="R74" i="17"/>
  <c r="T37" i="17"/>
  <c r="S71" i="17"/>
  <c r="T70" i="17"/>
  <c r="T73" i="17"/>
  <c r="S37" i="17"/>
  <c r="R71" i="17"/>
  <c r="T71" i="17"/>
  <c r="S70" i="17"/>
  <c r="T74" i="17"/>
  <c r="S74" i="17"/>
  <c r="U71" i="17"/>
  <c r="W70" i="17"/>
  <c r="Y74" i="17"/>
  <c r="U74" i="17"/>
  <c r="U38" i="17"/>
  <c r="V74" i="17"/>
  <c r="V73" i="17"/>
  <c r="U37" i="17"/>
  <c r="V37" i="17"/>
  <c r="T38" i="17"/>
  <c r="V38" i="17"/>
  <c r="U73" i="17"/>
  <c r="V70" i="17"/>
  <c r="U70" i="17"/>
  <c r="V71" i="17"/>
  <c r="X74" i="17"/>
  <c r="W73" i="17"/>
  <c r="W38" i="17"/>
  <c r="X37" i="17"/>
  <c r="W37" i="17"/>
  <c r="W71" i="17"/>
  <c r="X38" i="17"/>
  <c r="Z74" i="17"/>
  <c r="X71" i="17"/>
  <c r="X70" i="17"/>
  <c r="AA37" i="17"/>
  <c r="Z71" i="17"/>
  <c r="Z73" i="17"/>
  <c r="AA71" i="17"/>
  <c r="Y70" i="17"/>
  <c r="AA70" i="17"/>
  <c r="X73" i="17"/>
  <c r="W74" i="17"/>
  <c r="Y71" i="17"/>
  <c r="Z70" i="17"/>
  <c r="Y38" i="17"/>
  <c r="Y37" i="17"/>
  <c r="Y73" i="17"/>
  <c r="AA74" i="17"/>
  <c r="AA38" i="17"/>
  <c r="AB73" i="17"/>
  <c r="AE71" i="17"/>
  <c r="AA73" i="17"/>
  <c r="AC74" i="17"/>
  <c r="Z38" i="17"/>
  <c r="Z37" i="17"/>
  <c r="AC70" i="17"/>
  <c r="AE70" i="17"/>
  <c r="AB71" i="17"/>
  <c r="AB38" i="17"/>
  <c r="AD70" i="17"/>
  <c r="AD37" i="17"/>
  <c r="AC73" i="17"/>
  <c r="AC37" i="17"/>
  <c r="AB37" i="17"/>
  <c r="AE37" i="17"/>
  <c r="AB74" i="17"/>
  <c r="AD38" i="17"/>
  <c r="AD74" i="17"/>
  <c r="AB70" i="17"/>
  <c r="AC38" i="17"/>
  <c r="AD71" i="17"/>
  <c r="AE38" i="17"/>
  <c r="AF74" i="17"/>
  <c r="AD73" i="17"/>
  <c r="AE74" i="17"/>
  <c r="AF37" i="17"/>
  <c r="AC71" i="17"/>
  <c r="AE73" i="17"/>
  <c r="AF71" i="17"/>
  <c r="AF70" i="17"/>
  <c r="AG71" i="17"/>
  <c r="AL15" i="17"/>
  <c r="AH37" i="17"/>
  <c r="AG73" i="17"/>
  <c r="AF73" i="17"/>
  <c r="AJ79" i="17"/>
  <c r="AJ15" i="17"/>
  <c r="AH73" i="17"/>
  <c r="AG38" i="17"/>
  <c r="AG70" i="17"/>
  <c r="AG37" i="17"/>
  <c r="AK15" i="17"/>
  <c r="AF38" i="17"/>
  <c r="AH71" i="17"/>
  <c r="AG74" i="17"/>
  <c r="AH74" i="17"/>
  <c r="AI38" i="17"/>
  <c r="AH38" i="17"/>
  <c r="AH70" i="17"/>
  <c r="AI73" i="17"/>
  <c r="AJ70" i="17"/>
  <c r="AL82" i="17"/>
  <c r="AI37" i="17"/>
  <c r="AJ71" i="17"/>
  <c r="AI70" i="17"/>
  <c r="AM15" i="17"/>
  <c r="AJ36" i="17"/>
  <c r="AK82" i="17"/>
  <c r="AL79" i="17"/>
  <c r="AK39" i="17"/>
  <c r="AK40" i="17"/>
  <c r="AL37" i="17"/>
  <c r="AJ37" i="17"/>
  <c r="AN80" i="17"/>
  <c r="AK71" i="17"/>
  <c r="AK36" i="17"/>
  <c r="AJ80" i="17"/>
  <c r="AJ41" i="17"/>
  <c r="AJ83" i="17"/>
  <c r="AJ39" i="17"/>
  <c r="AK73" i="17"/>
  <c r="AJ82" i="17"/>
  <c r="AJ38" i="17"/>
  <c r="AL73" i="17"/>
  <c r="AJ74" i="17"/>
  <c r="AK38" i="17"/>
  <c r="AK74" i="17"/>
  <c r="AJ73" i="17"/>
  <c r="AK83" i="17"/>
  <c r="AK79" i="17"/>
  <c r="AL36" i="17"/>
  <c r="AK70" i="17"/>
  <c r="AL40" i="17"/>
  <c r="AP15" i="17"/>
  <c r="AK80" i="17"/>
  <c r="AO15" i="17"/>
  <c r="AK41" i="17"/>
  <c r="AL39" i="17"/>
  <c r="AK37" i="17"/>
  <c r="AN15" i="17"/>
  <c r="AJ40" i="17"/>
  <c r="AL71" i="17"/>
  <c r="AN39" i="17"/>
  <c r="AM83" i="17"/>
  <c r="AM40" i="17"/>
  <c r="AN41" i="17"/>
  <c r="AL70" i="17"/>
  <c r="AN36" i="17"/>
  <c r="AM82" i="17"/>
  <c r="AM36" i="17"/>
  <c r="AM70" i="17"/>
  <c r="AM71" i="17"/>
  <c r="AN73" i="17"/>
  <c r="AM79" i="17"/>
  <c r="AL83" i="17"/>
  <c r="AP39" i="17"/>
  <c r="AN38" i="17"/>
  <c r="AN37" i="17"/>
  <c r="AM73" i="17"/>
  <c r="AM37" i="17"/>
  <c r="AL38" i="17"/>
  <c r="AL74" i="17"/>
  <c r="AM41" i="17"/>
  <c r="AN74" i="17"/>
  <c r="AL41" i="17"/>
  <c r="AN70" i="17"/>
  <c r="AN71" i="17"/>
  <c r="AM39" i="17"/>
  <c r="AM74" i="17"/>
  <c r="AN82" i="17"/>
  <c r="AM80" i="17"/>
  <c r="AR15" i="17"/>
  <c r="AN40" i="17"/>
  <c r="AN83" i="17"/>
  <c r="AL80" i="17"/>
  <c r="AM38" i="17"/>
  <c r="AQ15" i="17"/>
  <c r="AO38" i="17"/>
  <c r="AN79" i="17"/>
  <c r="AO70" i="17"/>
  <c r="AR79" i="17"/>
  <c r="AO37" i="17"/>
  <c r="AO80" i="17"/>
  <c r="AO79" i="17"/>
  <c r="AO83" i="17"/>
  <c r="AT15" i="17"/>
  <c r="AO40" i="17"/>
  <c r="AP82" i="17"/>
  <c r="AO39" i="17"/>
  <c r="AO41" i="17"/>
  <c r="AO74" i="17"/>
  <c r="AO36" i="17"/>
  <c r="AO71" i="17"/>
  <c r="AO82" i="17"/>
  <c r="AP41" i="17"/>
  <c r="AP80" i="17"/>
  <c r="AO73" i="17"/>
  <c r="AS15" i="17"/>
  <c r="AP71" i="17"/>
  <c r="AR36" i="17"/>
  <c r="AP38" i="17"/>
  <c r="AQ71" i="17"/>
  <c r="AQ38" i="17"/>
  <c r="AP73" i="17"/>
  <c r="AP40" i="17"/>
  <c r="AR71" i="17"/>
  <c r="AQ36" i="17"/>
  <c r="AQ74" i="17"/>
  <c r="AP79" i="17"/>
  <c r="AQ80" i="17"/>
  <c r="AP83" i="17"/>
  <c r="AQ70" i="17"/>
  <c r="AR41" i="17"/>
  <c r="AQ40" i="17"/>
  <c r="AQ79" i="17"/>
  <c r="AQ73" i="17"/>
  <c r="AV15" i="17"/>
  <c r="AR40" i="17"/>
  <c r="AU15" i="17"/>
  <c r="AP74" i="17"/>
  <c r="AT38" i="17"/>
  <c r="AQ82" i="17"/>
  <c r="AP37" i="17"/>
  <c r="AQ41" i="17"/>
  <c r="AR73" i="17"/>
  <c r="AP36" i="17"/>
  <c r="AR83" i="17"/>
  <c r="AQ37" i="17"/>
  <c r="AR80" i="17"/>
  <c r="AP70" i="17"/>
  <c r="AQ39" i="17"/>
  <c r="AR82" i="17"/>
  <c r="AQ83" i="17"/>
  <c r="AT74" i="17"/>
  <c r="AS39" i="17"/>
  <c r="AS41" i="17"/>
  <c r="AR37" i="17"/>
  <c r="AS73" i="17"/>
  <c r="AT73" i="17"/>
  <c r="AS37" i="17"/>
  <c r="AS36" i="17"/>
  <c r="AT79" i="17"/>
  <c r="AT36" i="17"/>
  <c r="AT41" i="17"/>
  <c r="AS40" i="17"/>
  <c r="AR74" i="17"/>
  <c r="AW15" i="17"/>
  <c r="AS80" i="17"/>
  <c r="AS83" i="17"/>
  <c r="AR38" i="17"/>
  <c r="AR70" i="17"/>
  <c r="AR39" i="17"/>
  <c r="AS82" i="17"/>
  <c r="AS70" i="17"/>
  <c r="AT71" i="17"/>
  <c r="AT40" i="17"/>
  <c r="AT39" i="17"/>
  <c r="AS38" i="17"/>
  <c r="AV40" i="17"/>
  <c r="AT70" i="17"/>
  <c r="AS79" i="17"/>
  <c r="AS71" i="17"/>
  <c r="AS74" i="17"/>
  <c r="AV71" i="17"/>
  <c r="AY15" i="17"/>
  <c r="AU36" i="17"/>
  <c r="AU73" i="17"/>
  <c r="AZ15" i="17"/>
  <c r="AX38" i="17"/>
  <c r="AU82" i="17"/>
  <c r="AX15" i="17"/>
  <c r="AV74" i="17"/>
  <c r="AT80" i="17"/>
  <c r="AU80" i="17"/>
  <c r="AU41" i="17"/>
  <c r="AU79" i="17"/>
  <c r="AV36" i="17"/>
  <c r="AV41" i="17"/>
  <c r="AU37" i="17"/>
  <c r="AU83" i="17"/>
  <c r="AU71" i="17"/>
  <c r="AU39" i="17"/>
  <c r="AU74" i="17"/>
  <c r="AU70" i="17"/>
  <c r="AU40" i="17"/>
  <c r="AT82" i="17"/>
  <c r="AV70" i="17"/>
  <c r="AT37" i="17"/>
  <c r="AU38" i="17"/>
  <c r="AT83" i="17"/>
  <c r="AW79" i="17"/>
  <c r="AV80" i="17"/>
  <c r="AW70" i="17"/>
  <c r="AW82" i="17"/>
  <c r="AV83" i="17"/>
  <c r="AV79" i="17"/>
  <c r="AZ36" i="17"/>
  <c r="AX73" i="17"/>
  <c r="AW40" i="17"/>
  <c r="AW80" i="17"/>
  <c r="AW39" i="17"/>
  <c r="AW71" i="17"/>
  <c r="AX37" i="17"/>
  <c r="BA15" i="17"/>
  <c r="AW74" i="17"/>
  <c r="BB15" i="17"/>
  <c r="AV73" i="17"/>
  <c r="AX70" i="17"/>
  <c r="AX82" i="17"/>
  <c r="AW83" i="17"/>
  <c r="AW37" i="17"/>
  <c r="AX41" i="17"/>
  <c r="AV39" i="17"/>
  <c r="AW41" i="17"/>
  <c r="AV38" i="17"/>
  <c r="AW73" i="17"/>
  <c r="AV82" i="17"/>
  <c r="AV37" i="17"/>
  <c r="AW36" i="17"/>
  <c r="AW38" i="17"/>
  <c r="AX80" i="17"/>
  <c r="AZ83" i="17"/>
  <c r="AZ79" i="17"/>
  <c r="AY73" i="17"/>
  <c r="BC15" i="17"/>
  <c r="AX40" i="17"/>
  <c r="AY71" i="17"/>
  <c r="AX79" i="17"/>
  <c r="AY83" i="17"/>
  <c r="AZ73" i="17"/>
  <c r="AY70" i="17"/>
  <c r="AZ80" i="17"/>
  <c r="AX83" i="17"/>
  <c r="AY82" i="17"/>
  <c r="AX39" i="17"/>
  <c r="AY37" i="17"/>
  <c r="AY36" i="17"/>
  <c r="AY79" i="17"/>
  <c r="AY40" i="17"/>
  <c r="AZ71" i="17"/>
  <c r="AX74" i="17"/>
  <c r="AX36" i="17"/>
  <c r="AY38" i="17"/>
  <c r="AY74" i="17"/>
  <c r="AX71" i="17"/>
  <c r="AY80" i="17"/>
  <c r="AY39" i="17"/>
  <c r="BB74" i="17"/>
  <c r="AY41" i="17"/>
  <c r="BA41" i="17"/>
  <c r="BA80" i="17"/>
  <c r="BB39" i="17"/>
  <c r="BA36" i="17"/>
  <c r="BA40" i="17"/>
  <c r="BA73" i="17"/>
  <c r="AZ38" i="17"/>
  <c r="BA74" i="17"/>
  <c r="BA71" i="17"/>
  <c r="BA38" i="17"/>
  <c r="BB80" i="17"/>
  <c r="BB70" i="17"/>
  <c r="AZ74" i="17"/>
  <c r="BA83" i="17"/>
  <c r="BA79" i="17"/>
  <c r="BB73" i="17"/>
  <c r="AZ82" i="17"/>
  <c r="BA37" i="17"/>
  <c r="BA70" i="17"/>
  <c r="BE15" i="17"/>
  <c r="BB71" i="17"/>
  <c r="BF15" i="17"/>
  <c r="BD83" i="17"/>
  <c r="AZ41" i="17"/>
  <c r="BA82" i="17"/>
  <c r="AZ70" i="17"/>
  <c r="BA39" i="17"/>
  <c r="AZ40" i="17"/>
  <c r="BD15" i="17"/>
  <c r="AZ39" i="17"/>
  <c r="AZ37" i="17"/>
  <c r="BC74" i="17"/>
  <c r="BJ15" i="17"/>
  <c r="BD71" i="17"/>
  <c r="BD70" i="17"/>
  <c r="BD82" i="17"/>
  <c r="BB38" i="17"/>
  <c r="BB79" i="17"/>
  <c r="BB40" i="17"/>
  <c r="BB82" i="17"/>
  <c r="BC36" i="17"/>
  <c r="BB36" i="17"/>
  <c r="BC79" i="17"/>
  <c r="BC83" i="17"/>
  <c r="BB37" i="17"/>
  <c r="BB83" i="17"/>
  <c r="BC39" i="17"/>
  <c r="BB41" i="17"/>
  <c r="BC70" i="17"/>
  <c r="BD80" i="17"/>
  <c r="BC80" i="17"/>
  <c r="BC71" i="17"/>
  <c r="BC82" i="17"/>
  <c r="BH15" i="17"/>
  <c r="BF73" i="17"/>
  <c r="BC38" i="17"/>
  <c r="BC40" i="17"/>
  <c r="BC37" i="17"/>
  <c r="BC41" i="17"/>
  <c r="BG15" i="17"/>
  <c r="BC73" i="17"/>
  <c r="BE74" i="17"/>
  <c r="BE38" i="17"/>
  <c r="BD73" i="17"/>
  <c r="BD40" i="17"/>
  <c r="BF70" i="17"/>
  <c r="BE82" i="17"/>
  <c r="BF39" i="17"/>
  <c r="BD39" i="17"/>
  <c r="BD74" i="17"/>
  <c r="BE39" i="17"/>
  <c r="BF37" i="17"/>
  <c r="BE79" i="17"/>
  <c r="BD36" i="17"/>
  <c r="BI15" i="17"/>
  <c r="BF36" i="17"/>
  <c r="BF71" i="17"/>
  <c r="BE73" i="17"/>
  <c r="BE36" i="17"/>
  <c r="BE71" i="17"/>
  <c r="BE41" i="17"/>
  <c r="BD79" i="17"/>
  <c r="BF83" i="17"/>
  <c r="BE70" i="17"/>
  <c r="BH74" i="17"/>
  <c r="BE83" i="17"/>
  <c r="BF41" i="17"/>
  <c r="BF74" i="17"/>
  <c r="BE40" i="17"/>
  <c r="BD41" i="17"/>
  <c r="BE37" i="17"/>
  <c r="BD38" i="17"/>
  <c r="BD37" i="17"/>
  <c r="BF82" i="17"/>
  <c r="BE80" i="17"/>
  <c r="BF38" i="17"/>
  <c r="BF40" i="17"/>
  <c r="BK15" i="17"/>
  <c r="BG38" i="17"/>
  <c r="BG41" i="17"/>
  <c r="BG37" i="17"/>
  <c r="BG82" i="17"/>
  <c r="BH38" i="17"/>
  <c r="BG80" i="17"/>
  <c r="BG71" i="17"/>
  <c r="BH70" i="17"/>
  <c r="BG74" i="17"/>
  <c r="BG83" i="17"/>
  <c r="BG40" i="17"/>
  <c r="BH39" i="17"/>
  <c r="BH82" i="17"/>
  <c r="BF80" i="17"/>
  <c r="BG73" i="17"/>
  <c r="BH40" i="17"/>
  <c r="BH83" i="17"/>
  <c r="BH36" i="17"/>
  <c r="BG79" i="17"/>
  <c r="BL15" i="17"/>
  <c r="BG36" i="17"/>
  <c r="BH73" i="17"/>
  <c r="BG39" i="17"/>
  <c r="BH41" i="17"/>
  <c r="BH80" i="17"/>
  <c r="BF79" i="17"/>
  <c r="BH71" i="17"/>
  <c r="BG70" i="17"/>
  <c r="BH79" i="17"/>
  <c r="BH37" i="17"/>
  <c r="BI38" i="17"/>
  <c r="BI37" i="17"/>
  <c r="BJ39" i="17"/>
  <c r="BI73" i="17"/>
  <c r="BI41" i="17"/>
  <c r="BI83" i="17"/>
  <c r="BJ36" i="17"/>
  <c r="BJ41" i="17"/>
  <c r="BJ70" i="17"/>
  <c r="BI79" i="17"/>
  <c r="BI40" i="17"/>
  <c r="BJ40" i="17"/>
  <c r="BJ79" i="17"/>
  <c r="BI80" i="17"/>
  <c r="BJ80" i="17"/>
  <c r="BJ83" i="17"/>
  <c r="BN15" i="17"/>
  <c r="BM15" i="17"/>
  <c r="BL74" i="17"/>
  <c r="BI39" i="17"/>
  <c r="BJ73" i="17"/>
  <c r="BJ37" i="17"/>
  <c r="BI36" i="17"/>
  <c r="BJ82" i="17"/>
  <c r="BI70" i="17"/>
  <c r="BI71" i="17"/>
  <c r="BI74" i="17"/>
  <c r="BI82" i="17"/>
  <c r="BJ71" i="17"/>
  <c r="BJ38" i="17"/>
  <c r="BK39" i="17"/>
  <c r="BK82" i="17"/>
  <c r="BK40" i="17"/>
  <c r="BK74" i="17"/>
  <c r="BL71" i="17"/>
  <c r="BK36" i="17"/>
  <c r="BL38" i="17"/>
  <c r="BL70" i="17"/>
  <c r="BK80" i="17"/>
  <c r="BP15" i="17"/>
  <c r="BL79" i="17"/>
  <c r="BK37" i="17"/>
  <c r="BN37" i="17"/>
  <c r="BL39" i="17"/>
  <c r="BJ74" i="17"/>
  <c r="BK71" i="17"/>
  <c r="BK73" i="17"/>
  <c r="BK83" i="17"/>
  <c r="BK41" i="17"/>
  <c r="BK70" i="17"/>
  <c r="BL73" i="17"/>
  <c r="BL36" i="17"/>
  <c r="BL37" i="17"/>
  <c r="BK79" i="17"/>
  <c r="BK38" i="17"/>
  <c r="BL40" i="17"/>
  <c r="BL83" i="17"/>
  <c r="BO15" i="17"/>
  <c r="BL41" i="17"/>
  <c r="BM82" i="17"/>
  <c r="BQ15" i="17"/>
  <c r="BL80" i="17"/>
  <c r="BM79" i="17"/>
  <c r="BN71" i="17"/>
  <c r="BM39" i="17"/>
  <c r="BN82" i="17"/>
  <c r="BM73" i="17"/>
  <c r="BM38" i="17"/>
  <c r="BR15" i="17"/>
  <c r="BM71" i="17"/>
  <c r="BM70" i="17"/>
  <c r="BM74" i="17"/>
  <c r="BN73" i="17"/>
  <c r="BN70" i="17"/>
  <c r="BN41" i="17"/>
  <c r="BL82" i="17"/>
  <c r="BN40" i="17"/>
  <c r="BM36" i="17"/>
  <c r="BN83" i="17"/>
  <c r="BP80" i="17"/>
  <c r="BN39" i="17"/>
  <c r="BM37" i="17"/>
  <c r="BM83" i="17"/>
  <c r="BM80" i="17"/>
  <c r="BM41" i="17"/>
  <c r="BM40" i="17"/>
  <c r="BN79" i="17"/>
  <c r="BS15" i="17"/>
  <c r="BN36" i="17"/>
  <c r="BO38" i="17"/>
  <c r="BO82" i="17"/>
  <c r="BP40" i="17"/>
  <c r="BO36" i="17"/>
  <c r="BO80" i="17"/>
  <c r="BO39" i="17"/>
  <c r="BO70" i="17"/>
  <c r="BO79" i="17"/>
  <c r="BN74" i="17"/>
  <c r="BO83" i="17"/>
  <c r="BO74" i="17"/>
  <c r="BP39" i="17"/>
  <c r="BO37" i="17"/>
  <c r="BP70" i="17"/>
  <c r="BP83" i="17"/>
  <c r="BO41" i="17"/>
  <c r="BT15" i="17"/>
  <c r="BO40" i="17"/>
  <c r="BP74" i="17"/>
  <c r="BP73" i="17"/>
  <c r="BP41" i="17"/>
  <c r="BP38" i="17"/>
  <c r="BN80" i="17"/>
  <c r="BO73" i="17"/>
  <c r="BN38" i="17"/>
  <c r="BO71" i="17"/>
  <c r="BQ83" i="17"/>
  <c r="BQ41" i="17"/>
  <c r="BP82" i="17"/>
  <c r="BQ80" i="17"/>
  <c r="BQ74" i="17"/>
  <c r="BQ79" i="17"/>
  <c r="BQ73" i="17"/>
  <c r="BR82" i="17"/>
  <c r="BQ71" i="17"/>
  <c r="BQ82" i="17"/>
  <c r="BR83" i="17"/>
  <c r="BR73" i="17"/>
  <c r="BR38" i="17"/>
  <c r="BR80" i="17"/>
  <c r="BQ70" i="17"/>
  <c r="BV15" i="17"/>
  <c r="BQ37" i="17"/>
  <c r="BP79" i="17"/>
  <c r="BQ40" i="17"/>
  <c r="BQ36" i="17"/>
  <c r="BQ39" i="17"/>
  <c r="BU15" i="17"/>
  <c r="BP36" i="17"/>
  <c r="BP37" i="17"/>
  <c r="BP71" i="17"/>
  <c r="BR37" i="17"/>
  <c r="BQ38" i="17"/>
  <c r="BT38" i="17"/>
  <c r="BT80" i="17"/>
  <c r="BT41" i="17"/>
  <c r="BT74" i="17"/>
  <c r="BS38" i="17"/>
  <c r="BS80" i="17"/>
  <c r="BT83" i="17"/>
  <c r="BR71" i="17"/>
  <c r="BS73" i="17"/>
  <c r="BS39" i="17"/>
  <c r="BX15" i="17"/>
  <c r="BR41" i="17"/>
  <c r="BT71" i="17"/>
  <c r="BS71" i="17"/>
  <c r="BS82" i="17"/>
  <c r="BS40" i="17"/>
  <c r="BR40" i="17"/>
  <c r="BT70" i="17"/>
  <c r="BT79" i="17"/>
  <c r="BS74" i="17"/>
  <c r="BT36" i="17"/>
  <c r="BR39" i="17"/>
  <c r="BS36" i="17"/>
  <c r="BR74" i="17"/>
  <c r="BR36" i="17"/>
  <c r="BS83" i="17"/>
  <c r="BS79" i="17"/>
  <c r="BS41" i="17"/>
  <c r="BR79" i="17"/>
  <c r="BV74" i="17"/>
  <c r="BS37" i="17"/>
  <c r="BR70" i="17"/>
  <c r="BW15" i="17"/>
  <c r="BS70" i="17"/>
  <c r="BZ15" i="17"/>
  <c r="BU79" i="17"/>
  <c r="BU80" i="17"/>
  <c r="BV83" i="17"/>
  <c r="BU39" i="17"/>
  <c r="BU36" i="17"/>
  <c r="BU71" i="17"/>
  <c r="BV71" i="17"/>
  <c r="BU38" i="17"/>
  <c r="BT39" i="17"/>
  <c r="BU40" i="17"/>
  <c r="BT40" i="17"/>
  <c r="BT82" i="17"/>
  <c r="BV79" i="17"/>
  <c r="BU73" i="17"/>
  <c r="BU74" i="17"/>
  <c r="BT73" i="17"/>
  <c r="BU70" i="17"/>
  <c r="BV36" i="17"/>
  <c r="BU83" i="17"/>
  <c r="BV73" i="17"/>
  <c r="BY15" i="17"/>
  <c r="BT37" i="17"/>
  <c r="BV80" i="17"/>
  <c r="BU82" i="17"/>
  <c r="BU37" i="17"/>
  <c r="BV37" i="17"/>
  <c r="BX36" i="17"/>
  <c r="BU41" i="17"/>
  <c r="BV70" i="17"/>
  <c r="CA15" i="17"/>
  <c r="BW41" i="17"/>
  <c r="BX73" i="17"/>
  <c r="BX74" i="17"/>
  <c r="BW70" i="17"/>
  <c r="BV38" i="17"/>
  <c r="BX82" i="17"/>
  <c r="BW36" i="17"/>
  <c r="BV82" i="17"/>
  <c r="BW74" i="17"/>
  <c r="BV41" i="17"/>
  <c r="BV40" i="17"/>
  <c r="BW71" i="17"/>
  <c r="BW73" i="17"/>
  <c r="BW82" i="17"/>
  <c r="BW40" i="17"/>
  <c r="BX38" i="17"/>
  <c r="BW79" i="17"/>
  <c r="BX79" i="17"/>
  <c r="BX41" i="17"/>
  <c r="BX37" i="17"/>
  <c r="BW38" i="17"/>
  <c r="BX70" i="17"/>
  <c r="BW80" i="17"/>
  <c r="BW39" i="17"/>
  <c r="BX71" i="17"/>
  <c r="BW37" i="17"/>
  <c r="BX83" i="17"/>
  <c r="BZ37" i="17"/>
  <c r="BV39" i="17"/>
  <c r="BX40" i="17"/>
  <c r="CB15" i="17"/>
  <c r="BX80" i="17"/>
  <c r="BW83" i="17"/>
  <c r="BX39" i="17"/>
  <c r="BZ36" i="17"/>
  <c r="CD15" i="17"/>
  <c r="CB39" i="17"/>
  <c r="BZ79" i="17"/>
  <c r="BY74" i="17"/>
  <c r="BY37" i="17"/>
  <c r="BY70" i="17"/>
  <c r="BZ38" i="17"/>
  <c r="BZ74" i="17"/>
  <c r="BY82" i="17"/>
  <c r="CF15" i="17"/>
  <c r="BZ40" i="17"/>
  <c r="BY80" i="17"/>
  <c r="BY38" i="17"/>
  <c r="BY73" i="17"/>
  <c r="BZ41" i="17"/>
  <c r="BY39" i="17"/>
  <c r="BY36" i="17"/>
  <c r="BY71" i="17"/>
  <c r="BY79" i="17"/>
  <c r="BZ39" i="17"/>
  <c r="BZ73" i="17"/>
  <c r="BZ83" i="17"/>
  <c r="BZ70" i="17"/>
  <c r="CC15" i="17"/>
  <c r="BY40" i="17"/>
  <c r="BY41" i="17"/>
  <c r="BZ82" i="17"/>
  <c r="BY83" i="17"/>
  <c r="CB40" i="17"/>
  <c r="CE15" i="17"/>
  <c r="CA70" i="17"/>
  <c r="CA41" i="17"/>
  <c r="CB83" i="17"/>
  <c r="CB38" i="17"/>
  <c r="CA38" i="17"/>
  <c r="CA80" i="17"/>
  <c r="CB70" i="17"/>
  <c r="CA71" i="17"/>
  <c r="CA36" i="17"/>
  <c r="CA40" i="17"/>
  <c r="CD80" i="17"/>
  <c r="BZ80" i="17"/>
  <c r="CA39" i="17"/>
  <c r="CB80" i="17"/>
  <c r="CA82" i="17"/>
  <c r="CA83" i="17"/>
  <c r="CB71" i="17"/>
  <c r="CB79" i="17"/>
  <c r="CA73" i="17"/>
  <c r="CB36" i="17"/>
  <c r="CB37" i="17"/>
  <c r="CB74" i="17"/>
  <c r="CA37" i="17"/>
  <c r="CB82" i="17"/>
  <c r="CA74" i="17"/>
  <c r="CB73" i="17"/>
  <c r="BZ71" i="17"/>
  <c r="CA79" i="17"/>
  <c r="CD41" i="17"/>
  <c r="CC71" i="17"/>
  <c r="CD73" i="17"/>
  <c r="CD83" i="17"/>
  <c r="CC80" i="17"/>
  <c r="CC82" i="17"/>
  <c r="CC38" i="17"/>
  <c r="CC70" i="17"/>
  <c r="CC39" i="17"/>
  <c r="CB41" i="17"/>
  <c r="CC73" i="17"/>
  <c r="CC74" i="17"/>
  <c r="CG15" i="17"/>
  <c r="CC36" i="17"/>
  <c r="CC79" i="17"/>
  <c r="CH15" i="17"/>
  <c r="CD74" i="17"/>
  <c r="CC41" i="17"/>
  <c r="CC83" i="17"/>
  <c r="CC37" i="17"/>
  <c r="CC40" i="17"/>
  <c r="CD36" i="17"/>
  <c r="CD39" i="17"/>
  <c r="CD38" i="17"/>
  <c r="CD37" i="17"/>
  <c r="CE38" i="17"/>
  <c r="CE73" i="17"/>
  <c r="CD82" i="17"/>
  <c r="CF70" i="17"/>
  <c r="CE80" i="17"/>
  <c r="CE83" i="17"/>
  <c r="CF80" i="17"/>
  <c r="CF71" i="17"/>
  <c r="CH38" i="17"/>
  <c r="CD79" i="17"/>
  <c r="CE41" i="17"/>
  <c r="CF38" i="17"/>
  <c r="CF83" i="17"/>
  <c r="CJ15" i="17"/>
  <c r="CE40" i="17"/>
  <c r="CE71" i="17"/>
  <c r="CE82" i="17"/>
  <c r="CI15" i="17"/>
  <c r="CE37" i="17"/>
  <c r="CE70" i="17"/>
  <c r="CD70" i="17"/>
  <c r="CD71" i="17"/>
  <c r="CF82" i="17"/>
  <c r="CF41" i="17"/>
  <c r="CF74" i="17"/>
  <c r="CF79" i="17"/>
  <c r="CD40" i="17"/>
  <c r="CF39" i="17"/>
  <c r="CF73" i="17"/>
  <c r="CE74" i="17"/>
  <c r="CE79" i="17"/>
  <c r="CF40" i="17"/>
  <c r="CF37" i="17"/>
  <c r="CE39" i="17"/>
  <c r="CE36" i="17"/>
  <c r="CF36" i="17"/>
  <c r="CG80" i="17"/>
  <c r="CG71" i="17"/>
  <c r="CH74" i="17"/>
  <c r="CG37" i="17"/>
  <c r="CH82" i="17"/>
  <c r="CG73" i="17"/>
  <c r="CG70" i="17"/>
  <c r="CG83" i="17"/>
  <c r="CH79" i="17"/>
  <c r="CG82" i="17"/>
  <c r="CK15" i="17"/>
  <c r="CJ82" i="17"/>
  <c r="CG79" i="17"/>
  <c r="CG39" i="17"/>
  <c r="CG36" i="17"/>
  <c r="CG41" i="17"/>
  <c r="CH83" i="17"/>
  <c r="CG40" i="17"/>
  <c r="CH36" i="17"/>
  <c r="CG74" i="17"/>
  <c r="CH71" i="17"/>
  <c r="CH37" i="17"/>
  <c r="CH80" i="17"/>
  <c r="CH73" i="17"/>
  <c r="CG38" i="17"/>
  <c r="CH41" i="17"/>
  <c r="CH40" i="17"/>
  <c r="CH70" i="17"/>
  <c r="CH39" i="17"/>
  <c r="CL15" i="17"/>
  <c r="CI40" i="17"/>
  <c r="CI41" i="17"/>
  <c r="CI73" i="17"/>
  <c r="CI37" i="17"/>
  <c r="CI79" i="17"/>
  <c r="CJ83" i="17"/>
  <c r="CI74" i="17"/>
  <c r="CJ36" i="17"/>
  <c r="CI38" i="17"/>
  <c r="CJ71" i="17"/>
  <c r="CJ80" i="17"/>
  <c r="CI83" i="17"/>
  <c r="CJ70" i="17"/>
  <c r="CI80" i="17"/>
  <c r="CN15" i="17"/>
  <c r="CJ37" i="17"/>
  <c r="CI82" i="17"/>
  <c r="CJ74" i="17"/>
  <c r="CJ41" i="17"/>
  <c r="CI39" i="17"/>
  <c r="CI71" i="17"/>
  <c r="CI70" i="17"/>
  <c r="CJ38" i="17"/>
  <c r="CJ73" i="17"/>
  <c r="CM15" i="17"/>
  <c r="CJ79" i="17"/>
  <c r="CI36" i="17"/>
  <c r="CK70" i="17"/>
  <c r="CO15" i="17"/>
  <c r="CL83" i="17"/>
  <c r="CL82" i="17"/>
  <c r="CK38" i="17"/>
  <c r="CK41" i="17"/>
  <c r="CK39" i="17"/>
  <c r="CL36" i="17"/>
  <c r="CK40" i="17"/>
  <c r="CL39" i="17"/>
  <c r="CK73" i="17"/>
  <c r="CL73" i="17"/>
  <c r="CL79" i="17"/>
  <c r="CL71" i="17"/>
  <c r="CL70" i="17"/>
  <c r="CK83" i="17"/>
  <c r="CL40" i="17"/>
  <c r="CL74" i="17"/>
  <c r="CK37" i="17"/>
  <c r="CK80" i="17"/>
  <c r="CK36" i="17"/>
  <c r="CL80" i="17"/>
  <c r="CK82" i="17"/>
  <c r="CL37" i="17"/>
  <c r="CK71" i="17"/>
  <c r="CN40" i="17"/>
  <c r="CK74" i="17"/>
  <c r="CJ40" i="17"/>
  <c r="CL38" i="17"/>
  <c r="CL41" i="17"/>
  <c r="CJ39" i="17"/>
  <c r="CP15" i="17"/>
  <c r="CK79" i="17"/>
  <c r="CN83" i="17"/>
  <c r="CM37" i="17"/>
  <c r="CM39" i="17"/>
  <c r="CN73" i="17"/>
  <c r="CQ15" i="17"/>
  <c r="CN38" i="17"/>
  <c r="CM40" i="17"/>
  <c r="CM80" i="17"/>
  <c r="CN82" i="17"/>
  <c r="CN74" i="17"/>
  <c r="CM83" i="17"/>
  <c r="CM70" i="17"/>
  <c r="CP38" i="17"/>
  <c r="CM36" i="17"/>
  <c r="CM38" i="17"/>
  <c r="CN41" i="17"/>
  <c r="CM74" i="17"/>
  <c r="CN71" i="17"/>
  <c r="CN37" i="17"/>
  <c r="CR15" i="17"/>
  <c r="CN36" i="17"/>
  <c r="CN79" i="17"/>
  <c r="CN39" i="17"/>
  <c r="CM73" i="17"/>
  <c r="CM82" i="17"/>
  <c r="CM79" i="17"/>
  <c r="CM41" i="17"/>
  <c r="CN80" i="17"/>
  <c r="CM71" i="17"/>
  <c r="CN70" i="17"/>
  <c r="CP36" i="17"/>
  <c r="CO36" i="17"/>
  <c r="CP79" i="17"/>
  <c r="CP39" i="17"/>
  <c r="CO74" i="17"/>
  <c r="CO37" i="17"/>
  <c r="CO39" i="17"/>
  <c r="CO83" i="17"/>
  <c r="CP71" i="17"/>
  <c r="CP41" i="17"/>
  <c r="CO73" i="17"/>
  <c r="CT15" i="17"/>
  <c r="CP74" i="17"/>
  <c r="CO41" i="17"/>
  <c r="CO38" i="17"/>
  <c r="CO82" i="17"/>
  <c r="CO70" i="17"/>
  <c r="CO40" i="17"/>
  <c r="CO71" i="17"/>
  <c r="CP82" i="17"/>
  <c r="CO79" i="17"/>
  <c r="CS15" i="17"/>
  <c r="CR40" i="17"/>
  <c r="CP83" i="17"/>
  <c r="CP73" i="17"/>
  <c r="CO80" i="17"/>
  <c r="CR73" i="17"/>
  <c r="CQ41" i="17"/>
  <c r="CQ82" i="17"/>
  <c r="CQ37" i="17"/>
  <c r="CQ39" i="17"/>
  <c r="CQ79" i="17"/>
  <c r="CR39" i="17"/>
  <c r="CR83" i="17"/>
  <c r="CP70" i="17"/>
  <c r="CQ74" i="17"/>
  <c r="CP80" i="17"/>
  <c r="CQ80" i="17"/>
  <c r="CQ73" i="17"/>
  <c r="CV15" i="17"/>
  <c r="CU15" i="17"/>
  <c r="CT71" i="17"/>
  <c r="CP40" i="17"/>
  <c r="CR38" i="17"/>
  <c r="CQ36" i="17"/>
  <c r="CQ40" i="17"/>
  <c r="CR74" i="17"/>
  <c r="CR82" i="17"/>
  <c r="CQ83" i="17"/>
  <c r="CR36" i="17"/>
  <c r="CR71" i="17"/>
  <c r="CR41" i="17"/>
  <c r="CR80" i="17"/>
  <c r="CP37" i="17"/>
  <c r="CQ70" i="17"/>
  <c r="CQ71" i="17"/>
  <c r="CR79" i="17"/>
  <c r="CQ38" i="17"/>
  <c r="CS73" i="17"/>
  <c r="CT38" i="17"/>
  <c r="CS38" i="17"/>
  <c r="CT74" i="17"/>
  <c r="CT41" i="17"/>
  <c r="CS80" i="17"/>
  <c r="CS82" i="17"/>
  <c r="CS39" i="17"/>
  <c r="CT39" i="17"/>
  <c r="CS83" i="17"/>
  <c r="CT73" i="17"/>
  <c r="CT36" i="17"/>
  <c r="CS40" i="17"/>
  <c r="CR37" i="17"/>
  <c r="CS70" i="17"/>
  <c r="CT82" i="17"/>
  <c r="CT70" i="17"/>
  <c r="CS79" i="17"/>
  <c r="CS36" i="17"/>
  <c r="CR70" i="17"/>
  <c r="CT40" i="17"/>
  <c r="CS41" i="17"/>
  <c r="CT83" i="17"/>
  <c r="CW15" i="17"/>
  <c r="CS37" i="17"/>
  <c r="CV83" i="17"/>
  <c r="CX15" i="17"/>
  <c r="CS74" i="17"/>
  <c r="CS71" i="17"/>
  <c r="CV36" i="17"/>
  <c r="CU37" i="17"/>
  <c r="CT37" i="17"/>
  <c r="CU83" i="17"/>
  <c r="CU82" i="17"/>
  <c r="CT79" i="17"/>
  <c r="CV82" i="17"/>
  <c r="CU80" i="17"/>
  <c r="CU38" i="17"/>
  <c r="CV37" i="17"/>
  <c r="CU39" i="17"/>
  <c r="CU70" i="17"/>
  <c r="CU79" i="17"/>
  <c r="CU41" i="17"/>
  <c r="CY15" i="17"/>
  <c r="CV80" i="17"/>
  <c r="CV40" i="17"/>
  <c r="CT80" i="17"/>
  <c r="CU71" i="17"/>
  <c r="CX83" i="17"/>
  <c r="CV38" i="17"/>
  <c r="CV74" i="17"/>
  <c r="CU73" i="17"/>
  <c r="CU36" i="17"/>
  <c r="CV41" i="17"/>
  <c r="CV39" i="17"/>
  <c r="CU74" i="17"/>
  <c r="CV70" i="17"/>
  <c r="CV71" i="17"/>
  <c r="CV79" i="17"/>
  <c r="CU40" i="17"/>
  <c r="CV73" i="17"/>
  <c r="CX37" i="17"/>
  <c r="CW39" i="17"/>
  <c r="CZ80" i="17"/>
  <c r="CW79" i="17"/>
  <c r="CZ15" i="17"/>
  <c r="CX39" i="17"/>
  <c r="CX74" i="17"/>
  <c r="DB15" i="17"/>
  <c r="CX80" i="17"/>
  <c r="CX40" i="17"/>
  <c r="CW71" i="17"/>
  <c r="DA15" i="17"/>
  <c r="CX70" i="17"/>
  <c r="CX41" i="17"/>
  <c r="CW36" i="17"/>
  <c r="CW38" i="17"/>
  <c r="CX71" i="17"/>
  <c r="CW37" i="17"/>
  <c r="CW82" i="17"/>
  <c r="CW80" i="17"/>
  <c r="CW83" i="17"/>
  <c r="CW40" i="17"/>
  <c r="CW74" i="17"/>
  <c r="CW73" i="17"/>
  <c r="CX82" i="17"/>
  <c r="CW41" i="17"/>
  <c r="CW70" i="17"/>
  <c r="DD15" i="17"/>
  <c r="CY36" i="17"/>
  <c r="CZ70" i="17"/>
  <c r="CY80" i="17"/>
  <c r="CY73" i="17"/>
  <c r="DB38" i="17"/>
  <c r="CZ74" i="17"/>
  <c r="CX38" i="17"/>
  <c r="CY79" i="17"/>
  <c r="CY39" i="17"/>
  <c r="CZ73" i="17"/>
  <c r="CY40" i="17"/>
  <c r="CY70" i="17"/>
  <c r="CX79" i="17"/>
  <c r="CY71" i="17"/>
  <c r="CY82" i="17"/>
  <c r="CZ36" i="17"/>
  <c r="CY41" i="17"/>
  <c r="CZ83" i="17"/>
  <c r="CZ40" i="17"/>
  <c r="CZ82" i="17"/>
  <c r="DC15" i="17"/>
  <c r="CX36" i="17"/>
  <c r="CZ37" i="17"/>
  <c r="CZ41" i="17"/>
  <c r="CZ79" i="17"/>
  <c r="CY38" i="17"/>
  <c r="CY74" i="17"/>
  <c r="CY37" i="17"/>
  <c r="CY83" i="17"/>
  <c r="CX73" i="17"/>
  <c r="DB39" i="17"/>
  <c r="DA36" i="17"/>
  <c r="DA37" i="17"/>
  <c r="DB73" i="17"/>
  <c r="CZ38" i="17"/>
  <c r="DD71" i="17"/>
  <c r="DB40" i="17"/>
  <c r="DB74" i="17"/>
  <c r="DA70" i="17"/>
  <c r="DF15" i="17"/>
  <c r="DA80" i="17"/>
  <c r="DA79" i="17"/>
  <c r="DB36" i="17"/>
  <c r="DB80" i="17"/>
  <c r="DB70" i="17"/>
  <c r="DB71" i="17"/>
  <c r="DA41" i="17"/>
  <c r="DA83" i="17"/>
  <c r="DB37" i="17"/>
  <c r="DA82" i="17"/>
  <c r="DB79" i="17"/>
  <c r="DE15" i="17"/>
  <c r="DB83" i="17"/>
  <c r="DA40" i="17"/>
  <c r="DB82" i="17"/>
  <c r="DB41" i="17"/>
  <c r="DA73" i="17"/>
  <c r="CZ71" i="17"/>
  <c r="DA74" i="17"/>
  <c r="DA38" i="17"/>
  <c r="CZ39" i="17"/>
  <c r="DA71" i="17"/>
  <c r="DA39" i="17"/>
  <c r="DD37" i="17"/>
  <c r="DD79" i="17"/>
  <c r="DD40" i="17"/>
  <c r="DC70" i="17"/>
  <c r="DC39" i="17"/>
  <c r="DC36" i="17"/>
  <c r="DD80" i="17"/>
  <c r="DC37" i="17"/>
  <c r="DD70" i="17"/>
  <c r="DC41" i="17"/>
  <c r="DC73" i="17"/>
  <c r="DD82" i="17"/>
  <c r="DC82" i="17"/>
  <c r="DC83" i="17"/>
  <c r="DD36" i="17"/>
  <c r="DD73" i="17"/>
  <c r="DD83" i="17"/>
  <c r="DD74" i="17"/>
  <c r="DC38" i="17"/>
  <c r="DH15" i="17"/>
  <c r="DF82" i="17"/>
  <c r="DC74" i="17"/>
  <c r="DG15" i="17"/>
  <c r="DD38" i="17"/>
  <c r="DD41" i="17"/>
  <c r="DC79" i="17"/>
  <c r="DC40" i="17"/>
  <c r="DD39" i="17"/>
  <c r="DC80" i="17"/>
  <c r="DC71" i="17"/>
  <c r="DF39" i="17"/>
  <c r="DE38" i="17"/>
  <c r="DE71" i="17"/>
  <c r="DE73" i="17"/>
  <c r="DF74" i="17"/>
  <c r="DH82" i="17"/>
  <c r="DE39" i="17"/>
  <c r="DF41" i="17"/>
  <c r="DE74" i="17"/>
  <c r="DF71" i="17"/>
  <c r="DF79" i="17"/>
  <c r="DI15" i="17"/>
  <c r="DE37" i="17"/>
  <c r="DJ15" i="17"/>
  <c r="DE41" i="17"/>
  <c r="DF83" i="17"/>
  <c r="DF38" i="17"/>
  <c r="DF36" i="17"/>
  <c r="DF73" i="17"/>
  <c r="DE36" i="17"/>
  <c r="DE82" i="17"/>
  <c r="DE83" i="17"/>
  <c r="DE70" i="17"/>
  <c r="DE79" i="17"/>
  <c r="DE40" i="17"/>
  <c r="DF37" i="17"/>
  <c r="DF40" i="17"/>
  <c r="DE80" i="17"/>
  <c r="DF70" i="17"/>
  <c r="DH83" i="17"/>
  <c r="DH36" i="17"/>
  <c r="DG40" i="17"/>
  <c r="DF80" i="17"/>
  <c r="DG38" i="17"/>
  <c r="DG71" i="17"/>
  <c r="DH40" i="17"/>
  <c r="DH73" i="17"/>
  <c r="DH37" i="17"/>
  <c r="DH71" i="17"/>
  <c r="DH79" i="17"/>
  <c r="DH38" i="17"/>
  <c r="DG37" i="17"/>
  <c r="DH70" i="17"/>
  <c r="DG83" i="17"/>
  <c r="DH74" i="17"/>
  <c r="DG41" i="17"/>
  <c r="DG39" i="17"/>
  <c r="DH39" i="17"/>
  <c r="DG74" i="17"/>
  <c r="DG73" i="17"/>
  <c r="DG79" i="17"/>
  <c r="DH41" i="17"/>
  <c r="DK15" i="17"/>
  <c r="DG70" i="17"/>
  <c r="DG82" i="17"/>
  <c r="DG80" i="17"/>
  <c r="DJ73" i="17"/>
  <c r="DG36" i="17"/>
  <c r="DL15" i="17"/>
  <c r="DJ37" i="17"/>
  <c r="DI71" i="17"/>
  <c r="DI40" i="17"/>
  <c r="DN15" i="17"/>
  <c r="DI74" i="17"/>
  <c r="DJ71" i="17"/>
  <c r="DJ70" i="17"/>
  <c r="DI73" i="17"/>
  <c r="DI37" i="17"/>
  <c r="DI82" i="17"/>
  <c r="DJ36" i="17"/>
  <c r="DI41" i="17"/>
  <c r="DH80" i="17"/>
  <c r="DJ40" i="17"/>
  <c r="DI79" i="17"/>
  <c r="DI38" i="17"/>
  <c r="DJ41" i="17"/>
  <c r="DI83" i="17"/>
  <c r="DM15" i="17"/>
  <c r="DI70" i="17"/>
  <c r="DI39" i="17"/>
  <c r="DJ82" i="17"/>
  <c r="DJ39" i="17"/>
  <c r="DI80" i="17"/>
  <c r="DI36" i="17"/>
  <c r="DJ80" i="17"/>
  <c r="DJ83" i="17"/>
  <c r="DL74" i="17"/>
  <c r="DK39" i="17"/>
  <c r="DK83" i="17"/>
  <c r="DK73" i="17"/>
  <c r="DK40" i="17"/>
  <c r="DL80" i="17"/>
  <c r="DL37" i="17"/>
  <c r="DK71" i="17"/>
  <c r="DK70" i="17"/>
  <c r="DL70" i="17"/>
  <c r="DK41" i="17"/>
  <c r="DK82" i="17"/>
  <c r="DL71" i="17"/>
  <c r="DJ79" i="17"/>
  <c r="DK38" i="17"/>
  <c r="DL39" i="17"/>
  <c r="DJ74" i="17"/>
  <c r="DL41" i="17"/>
  <c r="DL40" i="17"/>
  <c r="DK37" i="17"/>
  <c r="DL83" i="17"/>
  <c r="DK80" i="17"/>
  <c r="DL73" i="17"/>
  <c r="DK36" i="17"/>
  <c r="DL82" i="17"/>
  <c r="DP15" i="17"/>
  <c r="DJ38" i="17"/>
  <c r="DL38" i="17"/>
  <c r="DO15" i="17"/>
  <c r="DN71" i="17"/>
  <c r="DK74" i="17"/>
  <c r="DK79" i="17"/>
  <c r="DL36" i="17"/>
  <c r="DM71" i="17"/>
  <c r="DM41" i="17"/>
  <c r="DN39" i="17"/>
  <c r="DR15" i="17"/>
  <c r="DM36" i="17"/>
  <c r="DM70" i="17"/>
  <c r="DM83" i="17"/>
  <c r="DN73" i="17"/>
  <c r="DM74" i="17"/>
  <c r="DM40" i="17"/>
  <c r="DN40" i="17"/>
  <c r="DL79" i="17"/>
  <c r="DN79" i="17"/>
  <c r="DP74" i="17"/>
  <c r="DM37" i="17"/>
  <c r="DN80" i="17"/>
  <c r="DN37" i="17"/>
  <c r="DM73" i="17"/>
  <c r="DM39" i="17"/>
  <c r="DN74" i="17"/>
  <c r="DN38" i="17"/>
  <c r="DN36" i="17"/>
  <c r="DN41" i="17"/>
  <c r="DM82" i="17"/>
  <c r="DM79" i="17"/>
  <c r="DN70" i="17"/>
  <c r="DN83" i="17"/>
  <c r="DQ15" i="17"/>
  <c r="DM38" i="17"/>
  <c r="DM80" i="17"/>
  <c r="DN82" i="17"/>
  <c r="DS15" i="17"/>
  <c r="DO71" i="17"/>
  <c r="DP36" i="17"/>
  <c r="DP82" i="17"/>
  <c r="DO39" i="17"/>
  <c r="DR74" i="17"/>
  <c r="DO36" i="17"/>
  <c r="DP71" i="17"/>
  <c r="DO37" i="17"/>
  <c r="DO73" i="17"/>
  <c r="DO74" i="17"/>
  <c r="DO41" i="17"/>
  <c r="DO83" i="17"/>
  <c r="DO80" i="17"/>
  <c r="DO70" i="17"/>
  <c r="DO38" i="17"/>
  <c r="DP41" i="17"/>
  <c r="DP70" i="17"/>
  <c r="DT15" i="17"/>
  <c r="DP39" i="17"/>
  <c r="DO82" i="17"/>
  <c r="DP79" i="17"/>
  <c r="DO40" i="17"/>
  <c r="DP83" i="17"/>
  <c r="DP40" i="17"/>
  <c r="DO79" i="17"/>
  <c r="DR82" i="17"/>
  <c r="DR71" i="17"/>
  <c r="DU15" i="17"/>
  <c r="DQ39" i="17"/>
  <c r="DR38" i="17"/>
  <c r="DQ36" i="17"/>
  <c r="DQ83" i="17"/>
  <c r="DR83" i="17"/>
  <c r="DQ74" i="17"/>
  <c r="DR79" i="17"/>
  <c r="DR37" i="17"/>
  <c r="DQ38" i="17"/>
  <c r="DQ71" i="17"/>
  <c r="DQ41" i="17"/>
  <c r="DR73" i="17"/>
  <c r="DR41" i="17"/>
  <c r="DR39" i="17"/>
  <c r="DR40" i="17"/>
  <c r="DP73" i="17"/>
  <c r="DR70" i="17"/>
  <c r="DV15" i="17"/>
  <c r="DT82" i="17"/>
  <c r="DR80" i="17"/>
  <c r="DQ79" i="17"/>
  <c r="DQ73" i="17"/>
  <c r="DQ70" i="17"/>
  <c r="DQ80" i="17"/>
  <c r="DQ82" i="17"/>
  <c r="DP37" i="17"/>
  <c r="DR36" i="17"/>
  <c r="DQ40" i="17"/>
  <c r="DQ37" i="17"/>
  <c r="DP38" i="17"/>
  <c r="DP80" i="17"/>
  <c r="DS74" i="17"/>
  <c r="DS82" i="17"/>
  <c r="DS70" i="17"/>
  <c r="DS79" i="17"/>
  <c r="DT70" i="17"/>
  <c r="DT37" i="17"/>
  <c r="DT73" i="17"/>
  <c r="DS80" i="17"/>
  <c r="DT36" i="17"/>
  <c r="DT71" i="17"/>
  <c r="DT79" i="17"/>
  <c r="DS71" i="17"/>
  <c r="DS37" i="17"/>
  <c r="DS39" i="17"/>
  <c r="DS41" i="17"/>
  <c r="DT38" i="17"/>
  <c r="DS38" i="17"/>
  <c r="DS40" i="17"/>
  <c r="DS36" i="17"/>
  <c r="DT80" i="17"/>
  <c r="DS83" i="17"/>
  <c r="DV83" i="17"/>
  <c r="DS73" i="17"/>
  <c r="DT83" i="17"/>
  <c r="DU36" i="17"/>
  <c r="DV40" i="17"/>
  <c r="DT41" i="17"/>
  <c r="DU79" i="17"/>
  <c r="DT40" i="17"/>
  <c r="DU40" i="17"/>
  <c r="DU38" i="17"/>
  <c r="DU82" i="17"/>
  <c r="DU41" i="17"/>
  <c r="DV74" i="17"/>
  <c r="DV79" i="17"/>
  <c r="DV38" i="17"/>
  <c r="DU71" i="17"/>
  <c r="DU80" i="17"/>
  <c r="DT74" i="17"/>
  <c r="DV36" i="17"/>
  <c r="DU70" i="17"/>
  <c r="DT39" i="17"/>
  <c r="DU83" i="17"/>
  <c r="DU73" i="17"/>
  <c r="DV37" i="17"/>
  <c r="DU39" i="17"/>
  <c r="DU37" i="17"/>
  <c r="DU74" i="17"/>
  <c r="DV71" i="17"/>
  <c r="DV70" i="17"/>
  <c r="DV80" i="17"/>
  <c r="DV41" i="17"/>
  <c r="DV73" i="17"/>
  <c r="DV39" i="17"/>
  <c r="DV82" i="17"/>
  <c r="J42" i="5"/>
  <c r="M37" i="17"/>
  <c r="M45" i="16"/>
  <c r="M43" i="16"/>
  <c r="M42" i="16"/>
  <c r="M46" i="16"/>
  <c r="O43" i="16"/>
  <c r="Q43" i="16"/>
  <c r="N42" i="16"/>
  <c r="O42" i="16"/>
  <c r="P42" i="16"/>
  <c r="P43" i="16"/>
  <c r="R42" i="16"/>
  <c r="Q42" i="16"/>
  <c r="T42" i="16"/>
  <c r="T43" i="16"/>
  <c r="R43" i="16"/>
  <c r="S42" i="16"/>
  <c r="U42" i="16"/>
  <c r="V43" i="16"/>
  <c r="V42" i="16"/>
  <c r="S43" i="16"/>
  <c r="U43" i="16"/>
  <c r="AC42" i="16"/>
  <c r="W43" i="16"/>
  <c r="X42" i="16"/>
  <c r="W42" i="16"/>
  <c r="AA42" i="16"/>
  <c r="Y43" i="16"/>
  <c r="X43" i="16"/>
  <c r="AA43" i="16"/>
  <c r="Z42" i="16"/>
  <c r="Z43" i="16"/>
  <c r="Y42" i="16"/>
  <c r="AB43" i="16"/>
  <c r="AC43" i="16"/>
  <c r="AB42" i="16"/>
  <c r="AF42" i="16"/>
  <c r="AF43" i="16"/>
  <c r="AD42" i="16"/>
  <c r="AE42" i="16"/>
  <c r="AE43" i="16"/>
  <c r="AD43" i="16"/>
  <c r="AH43" i="16"/>
  <c r="AH42" i="16"/>
  <c r="AG43" i="16"/>
  <c r="AJ42" i="16"/>
  <c r="AG42" i="16"/>
  <c r="AI42" i="16"/>
  <c r="AI43" i="16"/>
  <c r="AJ43" i="16"/>
  <c r="AK41" i="16"/>
  <c r="AK43" i="16"/>
  <c r="AK45" i="16"/>
  <c r="AK44" i="16"/>
  <c r="AK42" i="16"/>
  <c r="AN41" i="16"/>
  <c r="AK46" i="16"/>
  <c r="AL45" i="16"/>
  <c r="AN42" i="16"/>
  <c r="AM45" i="16"/>
  <c r="AM44" i="16"/>
  <c r="AP42" i="16"/>
  <c r="AL44" i="16"/>
  <c r="AL43" i="16"/>
  <c r="AL42" i="16"/>
  <c r="AL41" i="16"/>
  <c r="AL46" i="16"/>
  <c r="AN43" i="16"/>
  <c r="AM43" i="16"/>
  <c r="AM42" i="16"/>
  <c r="AM41" i="16"/>
  <c r="AN46" i="16"/>
  <c r="AM46" i="16"/>
  <c r="AN44" i="16"/>
  <c r="AR41" i="16"/>
  <c r="AP46" i="16"/>
  <c r="AO41" i="16"/>
  <c r="AO43" i="16"/>
  <c r="AN45" i="16"/>
  <c r="AP44" i="16"/>
  <c r="AP45" i="16"/>
  <c r="AO45" i="16"/>
  <c r="AO44" i="16"/>
  <c r="AO42" i="16"/>
  <c r="AP43" i="16"/>
  <c r="AO46" i="16"/>
  <c r="AP41" i="16"/>
  <c r="AR42" i="16"/>
  <c r="AQ44" i="16"/>
  <c r="AR44" i="16"/>
  <c r="AR43" i="16"/>
  <c r="AR46" i="16"/>
  <c r="AQ41" i="16"/>
  <c r="AQ46" i="16"/>
  <c r="AR45" i="16"/>
  <c r="AQ45" i="16"/>
  <c r="AQ43" i="16"/>
  <c r="AT43" i="16"/>
  <c r="AQ42" i="16"/>
  <c r="AT44" i="16"/>
  <c r="AS42" i="16"/>
  <c r="AS45" i="16"/>
  <c r="AT45" i="16"/>
  <c r="AT41" i="16"/>
  <c r="AS41" i="16"/>
  <c r="AS46" i="16"/>
  <c r="AT42" i="16"/>
  <c r="AS43" i="16"/>
  <c r="AV41" i="16"/>
  <c r="AT46" i="16"/>
  <c r="AS44" i="16"/>
  <c r="AV46" i="16"/>
  <c r="AU43" i="16"/>
  <c r="AX41" i="16"/>
  <c r="AU42" i="16"/>
  <c r="AV45" i="16"/>
  <c r="AU44" i="16"/>
  <c r="AV44" i="16"/>
  <c r="AV43" i="16"/>
  <c r="AU46" i="16"/>
  <c r="AU41" i="16"/>
  <c r="AU45" i="16"/>
  <c r="AW43" i="16"/>
  <c r="AW44" i="16"/>
  <c r="AX43" i="16"/>
  <c r="AV42" i="16"/>
  <c r="AX46" i="16"/>
  <c r="AW46" i="16"/>
  <c r="AW45" i="16"/>
  <c r="AW41" i="16"/>
  <c r="AZ45" i="16"/>
  <c r="AX45" i="16"/>
  <c r="AW42" i="16"/>
  <c r="AX44" i="16"/>
  <c r="AY45" i="16"/>
  <c r="AX42" i="16"/>
  <c r="AY43" i="16"/>
  <c r="BB45" i="16"/>
  <c r="AY42" i="16"/>
  <c r="AY41" i="16"/>
  <c r="AY46" i="16"/>
  <c r="AZ41" i="16"/>
  <c r="AY44" i="16"/>
  <c r="AZ44" i="16"/>
  <c r="AZ43" i="16"/>
  <c r="AZ42" i="16"/>
  <c r="BB42" i="16"/>
  <c r="BA44" i="16"/>
  <c r="BB46" i="16"/>
  <c r="AZ46" i="16"/>
  <c r="BA42" i="16"/>
  <c r="BA45" i="16"/>
  <c r="BB44" i="16"/>
  <c r="BA46" i="16"/>
  <c r="BA41" i="16"/>
  <c r="BD43" i="16"/>
  <c r="BA43" i="16"/>
  <c r="BC41" i="16"/>
  <c r="BD41" i="16"/>
  <c r="BC46" i="16"/>
  <c r="BD46" i="16"/>
  <c r="BC45" i="16"/>
  <c r="BC44" i="16"/>
  <c r="BB41" i="16"/>
  <c r="BB43" i="16"/>
  <c r="BD44" i="16"/>
  <c r="BC43" i="16"/>
  <c r="BC42" i="16"/>
  <c r="BD45" i="16"/>
  <c r="BD42" i="16"/>
  <c r="BE43" i="16"/>
  <c r="BE42" i="16"/>
  <c r="BE46" i="16"/>
  <c r="BH46" i="16"/>
  <c r="BE41" i="16"/>
  <c r="BE45" i="16"/>
  <c r="BF41" i="16"/>
  <c r="BF44" i="16"/>
  <c r="BE44" i="16"/>
  <c r="BF46" i="16"/>
  <c r="BG41" i="16"/>
  <c r="BG45" i="16"/>
  <c r="BF43" i="16"/>
  <c r="BF42" i="16"/>
  <c r="BG44" i="16"/>
  <c r="BH43" i="16"/>
  <c r="BH45" i="16"/>
  <c r="BH44" i="16"/>
  <c r="BH42" i="16"/>
  <c r="BH41" i="16"/>
  <c r="BG42" i="16"/>
  <c r="BG43" i="16"/>
  <c r="BF45" i="16"/>
  <c r="BG46" i="16"/>
  <c r="BJ46" i="16"/>
  <c r="BI46" i="16"/>
  <c r="BI43" i="16"/>
  <c r="BI45" i="16"/>
  <c r="BI44" i="16"/>
  <c r="BJ44" i="16"/>
  <c r="BL42" i="16"/>
  <c r="BI42" i="16"/>
  <c r="BJ42" i="16"/>
  <c r="BJ41" i="16"/>
  <c r="BI41" i="16"/>
  <c r="BJ43" i="16"/>
  <c r="BL43" i="16"/>
  <c r="BK46" i="16"/>
  <c r="BL45" i="16"/>
  <c r="BK45" i="16"/>
  <c r="BK43" i="16"/>
  <c r="BL46" i="16"/>
  <c r="BJ45" i="16"/>
  <c r="BL41" i="16"/>
  <c r="BK44" i="16"/>
  <c r="BK42" i="16"/>
  <c r="BK41" i="16"/>
  <c r="BL44" i="16"/>
  <c r="BM41" i="16"/>
  <c r="BN41" i="16"/>
  <c r="BP46" i="16"/>
  <c r="BN43" i="16"/>
  <c r="BN46" i="16"/>
  <c r="BN44" i="16"/>
  <c r="BM45" i="16"/>
  <c r="BN42" i="16"/>
  <c r="BM44" i="16"/>
  <c r="BM43" i="16"/>
  <c r="BM46" i="16"/>
  <c r="BM42" i="16"/>
  <c r="BP44" i="16"/>
  <c r="BR45" i="16"/>
  <c r="BP41" i="16"/>
  <c r="BO44" i="16"/>
  <c r="BP42" i="16"/>
  <c r="BO46" i="16"/>
  <c r="BO45" i="16"/>
  <c r="BP45" i="16"/>
  <c r="BO43" i="16"/>
  <c r="BO41" i="16"/>
  <c r="BO42" i="16"/>
  <c r="BN45" i="16"/>
  <c r="BP43" i="16"/>
  <c r="BQ41" i="16"/>
  <c r="BR41" i="16"/>
  <c r="BT43" i="16"/>
  <c r="BR42" i="16"/>
  <c r="BR43" i="16"/>
  <c r="BQ45" i="16"/>
  <c r="BR46" i="16"/>
  <c r="BQ44" i="16"/>
  <c r="BQ43" i="16"/>
  <c r="BQ42" i="16"/>
  <c r="BQ46" i="16"/>
  <c r="BR44" i="16"/>
  <c r="BT42" i="16"/>
  <c r="BV44" i="16"/>
  <c r="BS43" i="16"/>
  <c r="BT41" i="16"/>
  <c r="BT46" i="16"/>
  <c r="BT45" i="16"/>
  <c r="BS42" i="16"/>
  <c r="BS41" i="16"/>
  <c r="BT44" i="16"/>
  <c r="BS44" i="16"/>
  <c r="BS46" i="16"/>
  <c r="BS45" i="16"/>
  <c r="BV43" i="16"/>
  <c r="BU42" i="16"/>
  <c r="BU45" i="16"/>
  <c r="BV41" i="16"/>
  <c r="BU41" i="16"/>
  <c r="BU43" i="16"/>
  <c r="BU46" i="16"/>
  <c r="BU44" i="16"/>
  <c r="BV46" i="16"/>
  <c r="BX41" i="16"/>
  <c r="BX46" i="16"/>
  <c r="BV45" i="16"/>
  <c r="BW45" i="16"/>
  <c r="BW42" i="16"/>
  <c r="BX45" i="16"/>
  <c r="BX44" i="16"/>
  <c r="BW43" i="16"/>
  <c r="BW41" i="16"/>
  <c r="BV42" i="16"/>
  <c r="BW44" i="16"/>
  <c r="BX42" i="16"/>
  <c r="BW46" i="16"/>
  <c r="BY44" i="16"/>
  <c r="BY42" i="16"/>
  <c r="BZ46" i="16"/>
  <c r="BZ44" i="16"/>
  <c r="BY46" i="16"/>
  <c r="BY41" i="16"/>
  <c r="BZ43" i="16"/>
  <c r="BY43" i="16"/>
  <c r="BY45" i="16"/>
  <c r="BZ45" i="16"/>
  <c r="BZ42" i="16"/>
  <c r="BZ41" i="16"/>
  <c r="BX43" i="16"/>
  <c r="CA45" i="16"/>
  <c r="CA44" i="16"/>
  <c r="CB46" i="16"/>
  <c r="CD46" i="16"/>
  <c r="CB45" i="16"/>
  <c r="CB44" i="16"/>
  <c r="CA41" i="16"/>
  <c r="CA42" i="16"/>
  <c r="CB43" i="16"/>
  <c r="CB41" i="16"/>
  <c r="CB42" i="16"/>
  <c r="CA46" i="16"/>
  <c r="CA43" i="16"/>
  <c r="CC43" i="16"/>
  <c r="CD43" i="16"/>
  <c r="CC45" i="16"/>
  <c r="CC42" i="16"/>
  <c r="CD45" i="16"/>
  <c r="CC44" i="16"/>
  <c r="CF46" i="16"/>
  <c r="CD44" i="16"/>
  <c r="CC41" i="16"/>
  <c r="CD41" i="16"/>
  <c r="CC46" i="16"/>
  <c r="CD42" i="16"/>
  <c r="CE44" i="16"/>
  <c r="CF43" i="16"/>
  <c r="CF44" i="16"/>
  <c r="CH44" i="16"/>
  <c r="CE45" i="16"/>
  <c r="CF41" i="16"/>
  <c r="CE46" i="16"/>
  <c r="CE42" i="16"/>
  <c r="CE41" i="16"/>
  <c r="CE43" i="16"/>
  <c r="CF45" i="16"/>
  <c r="CG43" i="16"/>
  <c r="CG41" i="16"/>
  <c r="CH46" i="16"/>
  <c r="CG46" i="16"/>
  <c r="CG42" i="16"/>
  <c r="CH42" i="16"/>
  <c r="CG45" i="16"/>
  <c r="CH45" i="16"/>
  <c r="CH41" i="16"/>
  <c r="CG44" i="16"/>
  <c r="CH43" i="16"/>
  <c r="CF42" i="16"/>
  <c r="CI44" i="16"/>
  <c r="CJ41" i="16"/>
  <c r="CJ42" i="16"/>
  <c r="CI46" i="16"/>
  <c r="CI45" i="16"/>
  <c r="CI42" i="16"/>
  <c r="CJ45" i="16"/>
  <c r="CJ44" i="16"/>
  <c r="CJ43" i="16"/>
  <c r="CL44" i="16"/>
  <c r="CI41" i="16"/>
  <c r="CI43" i="16"/>
  <c r="CJ46" i="16"/>
  <c r="CL43" i="16"/>
  <c r="CL45" i="16"/>
  <c r="CK43" i="16"/>
  <c r="CK41" i="16"/>
  <c r="CK46" i="16"/>
  <c r="CK45" i="16"/>
  <c r="CK44" i="16"/>
  <c r="CL42" i="16"/>
  <c r="CL46" i="16"/>
  <c r="CK42" i="16"/>
  <c r="CL41" i="16"/>
  <c r="CM42" i="16"/>
  <c r="CN46" i="16"/>
  <c r="CM41" i="16"/>
  <c r="CN44" i="16"/>
  <c r="CM43" i="16"/>
  <c r="CM45" i="16"/>
  <c r="CN45" i="16"/>
  <c r="CM44" i="16"/>
  <c r="CN41" i="16"/>
  <c r="CN43" i="16"/>
  <c r="CP45" i="16"/>
  <c r="CN42" i="16"/>
  <c r="CM46" i="16"/>
  <c r="CP44" i="16"/>
  <c r="CP43" i="16"/>
  <c r="CP42" i="16"/>
  <c r="CO45" i="16"/>
  <c r="CP41" i="16"/>
  <c r="CR41" i="16"/>
  <c r="CO42" i="16"/>
  <c r="CO41" i="16"/>
  <c r="CO46" i="16"/>
  <c r="CO43" i="16"/>
  <c r="CP46" i="16"/>
  <c r="CO44" i="16"/>
  <c r="CR46" i="16"/>
  <c r="CR45" i="16"/>
  <c r="CR44" i="16"/>
  <c r="CQ44" i="16"/>
  <c r="CQ46" i="16"/>
  <c r="CR42" i="16"/>
  <c r="CQ43" i="16"/>
  <c r="CQ45" i="16"/>
  <c r="CQ42" i="16"/>
  <c r="CT46" i="16"/>
  <c r="CQ41" i="16"/>
  <c r="CR43" i="16"/>
  <c r="CS45" i="16"/>
  <c r="CT44" i="16"/>
  <c r="CS41" i="16"/>
  <c r="CV42" i="16"/>
  <c r="CS42" i="16"/>
  <c r="CS43" i="16"/>
  <c r="CS44" i="16"/>
  <c r="CT41" i="16"/>
  <c r="CS46" i="16"/>
  <c r="CT42" i="16"/>
  <c r="CT45" i="16"/>
  <c r="CT43" i="16"/>
  <c r="CU42" i="16"/>
  <c r="CV45" i="16"/>
  <c r="CU45" i="16"/>
  <c r="CV44" i="16"/>
  <c r="CV46" i="16"/>
  <c r="CV43" i="16"/>
  <c r="CX44" i="16"/>
  <c r="CU43" i="16"/>
  <c r="CU41" i="16"/>
  <c r="CU44" i="16"/>
  <c r="CU46" i="16"/>
  <c r="CV41" i="16"/>
  <c r="CW45" i="16"/>
  <c r="CX46" i="16"/>
  <c r="CW44" i="16"/>
  <c r="CX45" i="16"/>
  <c r="CX42" i="16"/>
  <c r="CW41" i="16"/>
  <c r="CX43" i="16"/>
  <c r="CW46" i="16"/>
  <c r="CX41" i="16"/>
  <c r="CW42" i="16"/>
  <c r="CW43" i="16"/>
  <c r="CY43" i="16"/>
  <c r="CZ45" i="16"/>
  <c r="CY44" i="16"/>
  <c r="CZ42" i="16"/>
  <c r="CZ44" i="16"/>
  <c r="CZ43" i="16"/>
  <c r="CY46" i="16"/>
  <c r="CZ41" i="16"/>
  <c r="CY41" i="16"/>
  <c r="CY42" i="16"/>
  <c r="CZ46" i="16"/>
  <c r="CY45" i="16"/>
  <c r="DA43" i="16"/>
  <c r="DA44" i="16"/>
  <c r="DB41" i="16"/>
  <c r="DA41" i="16"/>
  <c r="DB43" i="16"/>
  <c r="DB45" i="16"/>
  <c r="DA42" i="16"/>
  <c r="DA46" i="16"/>
  <c r="DB42" i="16"/>
  <c r="DA45" i="16"/>
  <c r="DB46" i="16"/>
  <c r="DB44" i="16"/>
  <c r="DD45" i="16"/>
  <c r="DC46" i="16"/>
  <c r="DD41" i="16"/>
  <c r="DC41" i="16"/>
  <c r="DD42" i="16"/>
  <c r="DD46" i="16"/>
  <c r="DC43" i="16"/>
  <c r="DD44" i="16"/>
  <c r="DC44" i="16"/>
  <c r="DC42" i="16"/>
  <c r="DD43" i="16"/>
  <c r="DC45" i="16"/>
  <c r="DE42" i="16"/>
  <c r="DE45" i="16"/>
  <c r="DE44" i="16"/>
  <c r="DF45" i="16"/>
  <c r="DF44" i="16"/>
  <c r="DF42" i="16"/>
  <c r="DH43" i="16"/>
  <c r="DE43" i="16"/>
  <c r="DF41" i="16"/>
  <c r="DF46" i="16"/>
  <c r="DE41" i="16"/>
  <c r="DF43" i="16"/>
  <c r="DE46" i="16"/>
  <c r="DH44" i="16"/>
  <c r="DH46" i="16"/>
  <c r="DG46" i="16"/>
  <c r="DH45" i="16"/>
  <c r="DH41" i="16"/>
  <c r="DG44" i="16"/>
  <c r="DG43" i="16"/>
  <c r="DG45" i="16"/>
  <c r="DH42" i="16"/>
  <c r="DJ46" i="16"/>
  <c r="DG41" i="16"/>
  <c r="DG42" i="16"/>
  <c r="DI44" i="16"/>
  <c r="DI43" i="16"/>
  <c r="DJ45" i="16"/>
  <c r="DJ42" i="16"/>
  <c r="DJ44" i="16"/>
  <c r="DI45" i="16"/>
  <c r="DI46" i="16"/>
  <c r="DL46" i="16"/>
  <c r="DI41" i="16"/>
  <c r="DI42" i="16"/>
  <c r="DJ41" i="16"/>
  <c r="DJ43" i="16"/>
  <c r="DL42" i="16"/>
  <c r="DL43" i="16"/>
  <c r="DL41" i="16"/>
  <c r="DK42" i="16"/>
  <c r="DK46" i="16"/>
  <c r="DL45" i="16"/>
  <c r="DL44" i="16"/>
  <c r="DK41" i="16"/>
  <c r="DK45" i="16"/>
  <c r="DK43" i="16"/>
  <c r="DK44" i="16"/>
  <c r="DM43" i="16"/>
  <c r="DN43" i="16"/>
  <c r="DP46" i="16"/>
  <c r="DM42" i="16"/>
  <c r="DN46" i="16"/>
  <c r="DN41" i="16"/>
  <c r="DM45" i="16"/>
  <c r="DM41" i="16"/>
  <c r="DN44" i="16"/>
  <c r="DM46" i="16"/>
  <c r="DN45" i="16"/>
  <c r="DM44" i="16"/>
  <c r="DN42" i="16"/>
  <c r="DP44" i="16"/>
  <c r="DO45" i="16"/>
  <c r="DP42" i="16"/>
  <c r="DO46" i="16"/>
  <c r="DO41" i="16"/>
  <c r="DR43" i="16"/>
  <c r="DO44" i="16"/>
  <c r="DP43" i="16"/>
  <c r="DP45" i="16"/>
  <c r="DO42" i="16"/>
  <c r="DO43" i="16"/>
  <c r="DP41" i="16"/>
  <c r="DR45" i="16"/>
  <c r="DQ45" i="16"/>
  <c r="DR44" i="16"/>
  <c r="DR41" i="16"/>
  <c r="DT45" i="16"/>
  <c r="DQ46" i="16"/>
  <c r="DR42" i="16"/>
  <c r="DR46" i="16"/>
  <c r="DQ41" i="16"/>
  <c r="DQ44" i="16"/>
  <c r="DQ43" i="16"/>
  <c r="DQ42" i="16"/>
  <c r="DS45" i="16"/>
  <c r="DS43" i="16"/>
  <c r="DS42" i="16"/>
  <c r="DT41" i="16"/>
  <c r="DT46" i="16"/>
  <c r="DS44" i="16"/>
  <c r="DT42" i="16"/>
  <c r="DT43" i="16"/>
  <c r="DS46" i="16"/>
  <c r="DS41" i="16"/>
  <c r="DV42" i="16"/>
  <c r="DT44" i="16"/>
  <c r="DV45" i="16"/>
  <c r="DU43" i="16"/>
  <c r="DU46" i="16"/>
  <c r="DV41" i="16"/>
  <c r="DU45" i="16"/>
  <c r="DU44" i="16"/>
  <c r="DV46" i="16"/>
  <c r="DU41" i="16"/>
  <c r="DV44" i="16"/>
  <c r="DV43" i="16"/>
  <c r="DU42" i="16"/>
  <c r="DW46" i="16"/>
  <c r="DW43" i="16"/>
  <c r="DW42" i="16"/>
  <c r="DW44" i="16"/>
  <c r="DW41" i="16"/>
  <c r="DW45" i="16"/>
  <c r="J43" i="5"/>
  <c r="M38" i="17"/>
  <c r="N38" i="17"/>
  <c r="N43" i="16"/>
  <c r="K49" i="6"/>
  <c r="AA21" i="11"/>
  <c r="AA23" i="11" s="1"/>
  <c r="AA73" i="5" s="1"/>
  <c r="I619" i="32" s="1"/>
  <c r="EQ80" i="5"/>
  <c r="J33" i="11"/>
  <c r="EQ79" i="5"/>
  <c r="J75" i="5"/>
  <c r="J28" i="11"/>
  <c r="EQ76" i="5"/>
  <c r="J106" i="11"/>
  <c r="EQ107" i="11"/>
  <c r="J111" i="11"/>
  <c r="EQ112" i="11"/>
  <c r="EQ34" i="11"/>
  <c r="EQ191" i="11"/>
  <c r="EQ32" i="5" s="1"/>
  <c r="CZ19" i="18"/>
  <c r="CZ35" i="18" s="1"/>
  <c r="AU19" i="18"/>
  <c r="AU35" i="18" s="1"/>
  <c r="AH19" i="18"/>
  <c r="AH35" i="18" s="1"/>
  <c r="BL19" i="18"/>
  <c r="BL35" i="18" s="1"/>
  <c r="AY19" i="18"/>
  <c r="AY35" i="18" s="1"/>
  <c r="DK19" i="18"/>
  <c r="DK35" i="18" s="1"/>
  <c r="AP19" i="18"/>
  <c r="AP35" i="18" s="1"/>
  <c r="AR19" i="18"/>
  <c r="AR35" i="18" s="1"/>
  <c r="CE19" i="18"/>
  <c r="CE35" i="18" s="1"/>
  <c r="BH19" i="18"/>
  <c r="BH35" i="18" s="1"/>
  <c r="BQ19" i="18"/>
  <c r="BQ35" i="18" s="1"/>
  <c r="BA19" i="18"/>
  <c r="BA35" i="18" s="1"/>
  <c r="CR19" i="18"/>
  <c r="CR35" i="18" s="1"/>
  <c r="CO19" i="18"/>
  <c r="CO35" i="18" s="1"/>
  <c r="BF19" i="18"/>
  <c r="BF35" i="18" s="1"/>
  <c r="BE19" i="18"/>
  <c r="BE35" i="18" s="1"/>
  <c r="DP19" i="18"/>
  <c r="DP35" i="18" s="1"/>
  <c r="AZ19" i="18"/>
  <c r="AZ35" i="18" s="1"/>
  <c r="DC19" i="18"/>
  <c r="DC35" i="18" s="1"/>
  <c r="CB19" i="18"/>
  <c r="CB35" i="18" s="1"/>
  <c r="DS19" i="18"/>
  <c r="DS35" i="18" s="1"/>
  <c r="CK19" i="18"/>
  <c r="CK35" i="18" s="1"/>
  <c r="CJ19" i="18"/>
  <c r="CJ35" i="18" s="1"/>
  <c r="DE19" i="18"/>
  <c r="DE35" i="18" s="1"/>
  <c r="EQ39" i="11"/>
  <c r="BV19" i="18"/>
  <c r="BV35" i="18" s="1"/>
  <c r="DB19" i="18"/>
  <c r="DB35" i="18" s="1"/>
  <c r="CV19" i="18"/>
  <c r="CV35" i="18" s="1"/>
  <c r="CA19" i="18"/>
  <c r="CA35" i="18" s="1"/>
  <c r="DI19" i="18"/>
  <c r="DI35" i="18" s="1"/>
  <c r="AS19" i="18"/>
  <c r="AS35" i="18" s="1"/>
  <c r="J38" i="11"/>
  <c r="CH19" i="18"/>
  <c r="CH35" i="18" s="1"/>
  <c r="DJ19" i="18"/>
  <c r="DJ35" i="18" s="1"/>
  <c r="CF19" i="18"/>
  <c r="CF35" i="18" s="1"/>
  <c r="CS19" i="18"/>
  <c r="CS35" i="18" s="1"/>
  <c r="AV19" i="18"/>
  <c r="AV35" i="18" s="1"/>
  <c r="AM19" i="18"/>
  <c r="AM35" i="18" s="1"/>
  <c r="AJ19" i="18"/>
  <c r="AJ35" i="18" s="1"/>
  <c r="AI19" i="18"/>
  <c r="AI35" i="18" s="1"/>
  <c r="AK19" i="18"/>
  <c r="AK35" i="18" s="1"/>
  <c r="BB19" i="18"/>
  <c r="BB35" i="18" s="1"/>
  <c r="AO19" i="18"/>
  <c r="AO35" i="18" s="1"/>
  <c r="CW19" i="18"/>
  <c r="CW35" i="18" s="1"/>
  <c r="DQ19" i="18"/>
  <c r="DQ35" i="18" s="1"/>
  <c r="CC19" i="18"/>
  <c r="CC35" i="18" s="1"/>
  <c r="BU19" i="18"/>
  <c r="BU35" i="18" s="1"/>
  <c r="CG19" i="18"/>
  <c r="CG35" i="18" s="1"/>
  <c r="BW19" i="18"/>
  <c r="BW35" i="18" s="1"/>
  <c r="AX19" i="18"/>
  <c r="AX35" i="18" s="1"/>
  <c r="DU19" i="18"/>
  <c r="DU35" i="18" s="1"/>
  <c r="DO19" i="18"/>
  <c r="DO35" i="18" s="1"/>
  <c r="DF19" i="18"/>
  <c r="DF35" i="18" s="1"/>
  <c r="CD19" i="18"/>
  <c r="CD35" i="18" s="1"/>
  <c r="AN19" i="18"/>
  <c r="AN35" i="18" s="1"/>
  <c r="BR19" i="18"/>
  <c r="BR35" i="18" s="1"/>
  <c r="BT19" i="18"/>
  <c r="BT35" i="18" s="1"/>
  <c r="DM19" i="18"/>
  <c r="DM35" i="18" s="1"/>
  <c r="DL19" i="18"/>
  <c r="DL35" i="18" s="1"/>
  <c r="BI19" i="18"/>
  <c r="BI35" i="18" s="1"/>
  <c r="BJ19" i="18"/>
  <c r="BJ35" i="18" s="1"/>
  <c r="BG19" i="18"/>
  <c r="BG35" i="18" s="1"/>
  <c r="CY19" i="18"/>
  <c r="CY35" i="18" s="1"/>
  <c r="BN19" i="18"/>
  <c r="BN35" i="18" s="1"/>
  <c r="BD19" i="18"/>
  <c r="BD35" i="18" s="1"/>
  <c r="BZ19" i="18"/>
  <c r="BZ35" i="18" s="1"/>
  <c r="BM19" i="18"/>
  <c r="BM35" i="18" s="1"/>
  <c r="CQ19" i="18"/>
  <c r="CQ35" i="18" s="1"/>
  <c r="CX19" i="18"/>
  <c r="CX35" i="18" s="1"/>
  <c r="BS19" i="18"/>
  <c r="BS35" i="18" s="1"/>
  <c r="DG19" i="18"/>
  <c r="DG35" i="18" s="1"/>
  <c r="CU19" i="18"/>
  <c r="CU35" i="18" s="1"/>
  <c r="CI19" i="18"/>
  <c r="CI35" i="18" s="1"/>
  <c r="BP19" i="18"/>
  <c r="BP35" i="18" s="1"/>
  <c r="CM19" i="18"/>
  <c r="CM35" i="18" s="1"/>
  <c r="AL19" i="18"/>
  <c r="AL35" i="18" s="1"/>
  <c r="DT19" i="18"/>
  <c r="DT35" i="18" s="1"/>
  <c r="DR19" i="18"/>
  <c r="DR35" i="18" s="1"/>
  <c r="BY19" i="18"/>
  <c r="BY35" i="18" s="1"/>
  <c r="J33" i="4"/>
  <c r="CP19" i="18"/>
  <c r="CP35" i="18" s="1"/>
  <c r="BC19" i="18"/>
  <c r="BC35" i="18" s="1"/>
  <c r="EQ10" i="11"/>
  <c r="EP10" i="15"/>
  <c r="L76" i="17"/>
  <c r="L77" i="17"/>
  <c r="AG76" i="17"/>
  <c r="AH76" i="17"/>
  <c r="AJ77" i="17"/>
  <c r="AJ76" i="17"/>
  <c r="AL77" i="17"/>
  <c r="AL76" i="17"/>
  <c r="AK77" i="17"/>
  <c r="AK76" i="17"/>
  <c r="AM76" i="17"/>
  <c r="AN76" i="17"/>
  <c r="AM77" i="17"/>
  <c r="AN77" i="17"/>
  <c r="AP76" i="17"/>
  <c r="AO76" i="17"/>
  <c r="AO77" i="17"/>
  <c r="AP77" i="17"/>
  <c r="AQ77" i="17"/>
  <c r="AR76" i="17"/>
  <c r="AQ76" i="17"/>
  <c r="AR77" i="17"/>
  <c r="AS76" i="17"/>
  <c r="AS77" i="17"/>
  <c r="AT77" i="17"/>
  <c r="AT76" i="17"/>
  <c r="AV77" i="17"/>
  <c r="AU76" i="17"/>
  <c r="AU77" i="17"/>
  <c r="AV76" i="17"/>
  <c r="AX76" i="17"/>
  <c r="AW77" i="17"/>
  <c r="AW76" i="17"/>
  <c r="AX77" i="17"/>
  <c r="AY77" i="17"/>
  <c r="AZ76" i="17"/>
  <c r="AZ77" i="17"/>
  <c r="AY76" i="17"/>
  <c r="BB77" i="17"/>
  <c r="BA77" i="17"/>
  <c r="BA76" i="17"/>
  <c r="BB76" i="17"/>
  <c r="BD77" i="17"/>
  <c r="BC76" i="17"/>
  <c r="BD76" i="17"/>
  <c r="BC77" i="17"/>
  <c r="BE76" i="17"/>
  <c r="BE77" i="17"/>
  <c r="BH77" i="17"/>
  <c r="BF76" i="17"/>
  <c r="BG77" i="17"/>
  <c r="BF77" i="17"/>
  <c r="BH76" i="17"/>
  <c r="BG76" i="17"/>
  <c r="BJ76" i="17"/>
  <c r="BI77" i="17"/>
  <c r="BI76" i="17"/>
  <c r="BJ77" i="17"/>
  <c r="BK77" i="17"/>
  <c r="BK76" i="17"/>
  <c r="BL77" i="17"/>
  <c r="BL76" i="17"/>
  <c r="BM76" i="17"/>
  <c r="BM77" i="17"/>
  <c r="BN76" i="17"/>
  <c r="BO77" i="17"/>
  <c r="BN77" i="17"/>
  <c r="BO76" i="17"/>
  <c r="BQ76" i="17"/>
  <c r="BP77" i="17"/>
  <c r="BR77" i="17"/>
  <c r="BP76" i="17"/>
  <c r="BR76" i="17"/>
  <c r="BQ77" i="17"/>
  <c r="BT77" i="17"/>
  <c r="BT76" i="17"/>
  <c r="BS76" i="17"/>
  <c r="BS77" i="17"/>
  <c r="BV77" i="17"/>
  <c r="BU76" i="17"/>
  <c r="BU77" i="17"/>
  <c r="BV76" i="17"/>
  <c r="BW76" i="17"/>
  <c r="BW77" i="17"/>
  <c r="BY77" i="17"/>
  <c r="BX76" i="17"/>
  <c r="CB77" i="17"/>
  <c r="BX77" i="17"/>
  <c r="BY76" i="17"/>
  <c r="CA77" i="17"/>
  <c r="CA76" i="17"/>
  <c r="BZ76" i="17"/>
  <c r="CB76" i="17"/>
  <c r="BZ77" i="17"/>
  <c r="CC76" i="17"/>
  <c r="CC77" i="17"/>
  <c r="CF77" i="17"/>
  <c r="CD77" i="17"/>
  <c r="CF76" i="17"/>
  <c r="CE76" i="17"/>
  <c r="CD76" i="17"/>
  <c r="CE77" i="17"/>
  <c r="CH76" i="17"/>
  <c r="CG76" i="17"/>
  <c r="CH77" i="17"/>
  <c r="CG77" i="17"/>
  <c r="CI76" i="17"/>
  <c r="CJ77" i="17"/>
  <c r="CI77" i="17"/>
  <c r="CJ76" i="17"/>
  <c r="R77" i="17"/>
  <c r="CK76" i="17"/>
  <c r="CK77" i="17"/>
  <c r="CL76" i="17"/>
  <c r="CM76" i="17"/>
  <c r="CM77" i="17"/>
  <c r="CL77" i="17"/>
  <c r="CO77" i="17"/>
  <c r="CN76" i="17"/>
  <c r="CO76" i="17"/>
  <c r="CN77" i="17"/>
  <c r="CQ77" i="17"/>
  <c r="CP76" i="17"/>
  <c r="CQ76" i="17"/>
  <c r="CR76" i="17"/>
  <c r="CP77" i="17"/>
  <c r="CT76" i="17"/>
  <c r="CR77" i="17"/>
  <c r="CS76" i="17"/>
  <c r="CT77" i="17"/>
  <c r="CS77" i="17"/>
  <c r="CX77" i="17"/>
  <c r="CU76" i="17"/>
  <c r="CU77" i="17"/>
  <c r="CV76" i="17"/>
  <c r="CV77" i="17"/>
  <c r="CW77" i="17"/>
  <c r="CX76" i="17"/>
  <c r="CW76" i="17"/>
  <c r="CZ77" i="17"/>
  <c r="CY77" i="17"/>
  <c r="CY76" i="17"/>
  <c r="DB77" i="17"/>
  <c r="DA77" i="17"/>
  <c r="CZ76" i="17"/>
  <c r="DA76" i="17"/>
  <c r="DB76" i="17"/>
  <c r="DD77" i="17"/>
  <c r="DC76" i="17"/>
  <c r="DC77" i="17"/>
  <c r="DD76" i="17"/>
  <c r="DE76" i="17"/>
  <c r="DF76" i="17"/>
  <c r="DE77" i="17"/>
  <c r="DH76" i="17"/>
  <c r="DF77" i="17"/>
  <c r="DG77" i="17"/>
  <c r="DH77" i="17"/>
  <c r="DG76" i="17"/>
  <c r="DI76" i="17"/>
  <c r="DJ77" i="17"/>
  <c r="DI77" i="17"/>
  <c r="DJ76" i="17"/>
  <c r="DL76" i="17"/>
  <c r="DK77" i="17"/>
  <c r="DK76" i="17"/>
  <c r="DM77" i="17"/>
  <c r="DL77" i="17"/>
  <c r="DM76" i="17"/>
  <c r="DN76" i="17"/>
  <c r="DR77" i="17"/>
  <c r="DO77" i="17"/>
  <c r="DO76" i="17"/>
  <c r="DP76" i="17"/>
  <c r="DN77" i="17"/>
  <c r="DQ77" i="17"/>
  <c r="DP77" i="17"/>
  <c r="DQ76" i="17"/>
  <c r="DT77" i="17"/>
  <c r="DR76" i="17"/>
  <c r="DS76" i="17"/>
  <c r="DS77" i="17"/>
  <c r="DT76" i="17"/>
  <c r="DU76" i="17"/>
  <c r="DU77" i="17"/>
  <c r="DV77" i="17"/>
  <c r="DV76" i="17"/>
  <c r="AE76" i="17"/>
  <c r="Y76" i="17"/>
  <c r="T76" i="17"/>
  <c r="Z76" i="17"/>
  <c r="X76" i="17"/>
  <c r="V76" i="17"/>
  <c r="AC76" i="17"/>
  <c r="R76" i="17"/>
  <c r="AA76" i="17"/>
  <c r="N76" i="17"/>
  <c r="U76" i="17"/>
  <c r="AB76" i="17"/>
  <c r="Q76" i="17"/>
  <c r="AD76" i="17"/>
  <c r="M76" i="17"/>
  <c r="S76" i="17"/>
  <c r="O76" i="17"/>
  <c r="W76" i="17"/>
  <c r="P76" i="17"/>
  <c r="AF76" i="17"/>
  <c r="AZ51" i="17"/>
  <c r="DV27" i="17"/>
  <c r="BQ24" i="17"/>
  <c r="AQ86" i="17"/>
  <c r="AO45" i="17"/>
  <c r="S67" i="17"/>
  <c r="CR85" i="17"/>
  <c r="CF21" i="17"/>
  <c r="CJ47" i="17"/>
  <c r="CJ16" i="17"/>
  <c r="BJ42" i="17"/>
  <c r="BC11" i="17"/>
  <c r="Y21" i="17"/>
  <c r="CH85" i="17"/>
  <c r="DO42" i="17"/>
  <c r="W20" i="17"/>
  <c r="DB43" i="17"/>
  <c r="AQ31" i="17"/>
  <c r="CY22" i="17"/>
  <c r="DK89" i="17"/>
  <c r="BE25" i="17"/>
  <c r="DB65" i="17"/>
  <c r="DS89" i="17"/>
  <c r="AK19" i="17"/>
  <c r="BP60" i="17"/>
  <c r="AN22" i="17"/>
  <c r="CQ67" i="17"/>
  <c r="U65" i="17"/>
  <c r="L27" i="17"/>
  <c r="D727" i="32" s="1"/>
  <c r="DE85" i="17"/>
  <c r="DJ58" i="17"/>
  <c r="DN26" i="17"/>
  <c r="AH30" i="17"/>
  <c r="BA43" i="17"/>
  <c r="BM32" i="17"/>
  <c r="AS11" i="17"/>
  <c r="BF64" i="17"/>
  <c r="DG53" i="17"/>
  <c r="CD86" i="17"/>
  <c r="CD45" i="17"/>
  <c r="BP19" i="17"/>
  <c r="CV56" i="17"/>
  <c r="AX86" i="17"/>
  <c r="BM60" i="17"/>
  <c r="BI16" i="17"/>
  <c r="CN58" i="17"/>
  <c r="DM25" i="17"/>
  <c r="AW25" i="17"/>
  <c r="DV31" i="17"/>
  <c r="CO58" i="17"/>
  <c r="BD31" i="17"/>
  <c r="CC52" i="17"/>
  <c r="W85" i="17"/>
  <c r="BK56" i="17"/>
  <c r="AM18" i="17"/>
  <c r="AN52" i="17"/>
  <c r="CK67" i="17"/>
  <c r="BJ13" i="17"/>
  <c r="BE11" i="17"/>
  <c r="N23" i="17"/>
  <c r="BD18" i="17"/>
  <c r="CP30" i="17"/>
  <c r="BC13" i="17"/>
  <c r="AP67" i="17"/>
  <c r="Q65" i="17"/>
  <c r="AK89" i="17"/>
  <c r="AB27" i="17"/>
  <c r="AK26" i="17"/>
  <c r="AU16" i="17"/>
  <c r="BI59" i="17"/>
  <c r="AU68" i="17"/>
  <c r="BT12" i="17"/>
  <c r="CY42" i="17"/>
  <c r="CZ18" i="17"/>
  <c r="CT21" i="17"/>
  <c r="AL32" i="17"/>
  <c r="BC67" i="17"/>
  <c r="DM30" i="17"/>
  <c r="BD54" i="17"/>
  <c r="AO24" i="17"/>
  <c r="BP18" i="17"/>
  <c r="CP23" i="17"/>
  <c r="AR57" i="17"/>
  <c r="CV58" i="17"/>
  <c r="DQ68" i="17"/>
  <c r="CM28" i="17"/>
  <c r="AL31" i="17"/>
  <c r="CD34" i="17"/>
  <c r="BW46" i="17"/>
  <c r="AV54" i="17"/>
  <c r="BO25" i="17"/>
  <c r="CV21" i="17"/>
  <c r="AT86" i="17"/>
  <c r="CM42" i="17"/>
  <c r="AJ48" i="17"/>
  <c r="BT89" i="17"/>
  <c r="AX31" i="17"/>
  <c r="DO86" i="17"/>
  <c r="CI86" i="17"/>
  <c r="BR22" i="17"/>
  <c r="BL32" i="17"/>
  <c r="AU30" i="17"/>
  <c r="BE32" i="17"/>
  <c r="DB12" i="17"/>
  <c r="AD18" i="17"/>
  <c r="AX67" i="17"/>
  <c r="CB12" i="17"/>
  <c r="AU33" i="17"/>
  <c r="AX20" i="17"/>
  <c r="BQ48" i="17"/>
  <c r="AS58" i="17"/>
  <c r="AT32" i="17"/>
  <c r="BN13" i="17"/>
  <c r="BO30" i="17"/>
  <c r="BP86" i="17"/>
  <c r="BU27" i="17"/>
  <c r="DE20" i="17"/>
  <c r="DR32" i="17"/>
  <c r="BN53" i="17"/>
  <c r="AA64" i="17"/>
  <c r="DF34" i="17"/>
  <c r="BT61" i="17"/>
  <c r="BC30" i="17"/>
  <c r="CU57" i="17"/>
  <c r="CB43" i="17"/>
  <c r="AV61" i="17"/>
  <c r="AQ19" i="17"/>
  <c r="AO16" i="17"/>
  <c r="BB57" i="17"/>
  <c r="L65" i="17"/>
  <c r="BF59" i="17"/>
  <c r="AK56" i="17"/>
  <c r="AZ47" i="17"/>
  <c r="AR33" i="17"/>
  <c r="BJ47" i="17"/>
  <c r="BF43" i="17"/>
  <c r="BD19" i="17"/>
  <c r="DB23" i="17"/>
  <c r="BS18" i="17"/>
  <c r="Z85" i="17"/>
  <c r="AN48" i="17"/>
  <c r="CB34" i="17"/>
  <c r="DA28" i="17"/>
  <c r="BP68" i="17"/>
  <c r="DJ88" i="17"/>
  <c r="AF67" i="17"/>
  <c r="CO18" i="17"/>
  <c r="AR43" i="17"/>
  <c r="T24" i="17"/>
  <c r="AY21" i="17"/>
  <c r="AQ60" i="17"/>
  <c r="AM34" i="17"/>
  <c r="AP46" i="17"/>
  <c r="CG19" i="17"/>
  <c r="AP33" i="17"/>
  <c r="Y24" i="17"/>
  <c r="AZ43" i="17"/>
  <c r="CB14" i="17"/>
  <c r="CH67" i="17"/>
  <c r="DM51" i="17"/>
  <c r="DF32" i="17"/>
  <c r="AR30" i="17"/>
  <c r="BO65" i="17"/>
  <c r="CK12" i="17"/>
  <c r="CC56" i="17"/>
  <c r="DB18" i="17"/>
  <c r="AJ25" i="17"/>
  <c r="DU48" i="17"/>
  <c r="DF28" i="17"/>
  <c r="DC88" i="17"/>
  <c r="BJ22" i="17"/>
  <c r="CV13" i="17"/>
  <c r="AM48" i="17"/>
  <c r="DS58" i="17"/>
  <c r="CE57" i="17"/>
  <c r="S24" i="17"/>
  <c r="CS20" i="17"/>
  <c r="CA13" i="17"/>
  <c r="CI67" i="17"/>
  <c r="BY27" i="17"/>
  <c r="BG22" i="17"/>
  <c r="AX52" i="17"/>
  <c r="BQ89" i="17"/>
  <c r="DJ34" i="17"/>
  <c r="BY59" i="17"/>
  <c r="BC21" i="17"/>
  <c r="AN86" i="17"/>
  <c r="AR21" i="17"/>
  <c r="DR27" i="17"/>
  <c r="DA13" i="17"/>
  <c r="BM21" i="17"/>
  <c r="AQ14" i="17"/>
  <c r="CU85" i="17"/>
  <c r="DU20" i="17"/>
  <c r="DU67" i="17"/>
  <c r="BN22" i="17"/>
  <c r="BZ56" i="17"/>
  <c r="DE89" i="17"/>
  <c r="BL68" i="17"/>
  <c r="CY48" i="17"/>
  <c r="CV25" i="17"/>
  <c r="BG13" i="17"/>
  <c r="DF52" i="17"/>
  <c r="CT61" i="17"/>
  <c r="BY24" i="17"/>
  <c r="DP59" i="17"/>
  <c r="DU52" i="17"/>
  <c r="DD89" i="17"/>
  <c r="CU65" i="17"/>
  <c r="BT52" i="17"/>
  <c r="DO26" i="17"/>
  <c r="CW22" i="17"/>
  <c r="BB85" i="17"/>
  <c r="BC22" i="17"/>
  <c r="DA65" i="17"/>
  <c r="BG23" i="17"/>
  <c r="CC45" i="17"/>
  <c r="BE53" i="17"/>
  <c r="BX67" i="17"/>
  <c r="CM14" i="17"/>
  <c r="CF24" i="17"/>
  <c r="DE12" i="17"/>
  <c r="DH65" i="17"/>
  <c r="CH89" i="17"/>
  <c r="BT88" i="17"/>
  <c r="BZ57" i="17"/>
  <c r="BU59" i="17"/>
  <c r="CR48" i="17"/>
  <c r="DJ11" i="17"/>
  <c r="AX32" i="17"/>
  <c r="BJ58" i="17"/>
  <c r="BS54" i="17"/>
  <c r="DL19" i="17"/>
  <c r="CL88" i="17"/>
  <c r="AX21" i="17"/>
  <c r="BV48" i="17"/>
  <c r="CA59" i="17"/>
  <c r="DR64" i="17"/>
  <c r="DN21" i="17"/>
  <c r="BZ42" i="17"/>
  <c r="DE67" i="17"/>
  <c r="AV16" i="17"/>
  <c r="AA34" i="17"/>
  <c r="AK45" i="17"/>
  <c r="CG65" i="17"/>
  <c r="BQ11" i="17"/>
  <c r="DQ89" i="17"/>
  <c r="CS52" i="17"/>
  <c r="BO51" i="17"/>
  <c r="DL28" i="17"/>
  <c r="CP27" i="17"/>
  <c r="BS47" i="17"/>
  <c r="CO25" i="17"/>
  <c r="BG34" i="17"/>
  <c r="DG68" i="17"/>
  <c r="DQ12" i="17"/>
  <c r="CF42" i="17"/>
  <c r="BW61" i="17"/>
  <c r="CY24" i="17"/>
  <c r="CC65" i="17"/>
  <c r="BX48" i="17"/>
  <c r="CS21" i="17"/>
  <c r="DI67" i="17"/>
  <c r="CC61" i="17"/>
  <c r="AV18" i="17"/>
  <c r="DG58" i="17"/>
  <c r="DS31" i="17"/>
  <c r="M20" i="17"/>
  <c r="E726" i="32" s="1"/>
  <c r="AS61" i="17"/>
  <c r="CW89" i="17"/>
  <c r="CR46" i="17"/>
  <c r="BW22" i="17"/>
  <c r="CA28" i="17"/>
  <c r="CX24" i="17"/>
  <c r="CR64" i="17"/>
  <c r="DP51" i="17"/>
  <c r="CH47" i="17"/>
  <c r="CR25" i="17"/>
  <c r="DI60" i="17"/>
  <c r="CA58" i="17"/>
  <c r="DA59" i="17"/>
  <c r="DE26" i="17"/>
  <c r="AV46" i="17"/>
  <c r="AK88" i="17"/>
  <c r="CP67" i="17"/>
  <c r="CA20" i="17"/>
  <c r="S18" i="17"/>
  <c r="DB11" i="17"/>
  <c r="AO26" i="17"/>
  <c r="CQ34" i="17"/>
  <c r="CQ20" i="17"/>
  <c r="CC20" i="17"/>
  <c r="M64" i="17"/>
  <c r="AW28" i="17"/>
  <c r="DQ16" i="17"/>
  <c r="BV89" i="17"/>
  <c r="CJ88" i="17"/>
  <c r="BQ53" i="17"/>
  <c r="AT89" i="17"/>
  <c r="CA53" i="17"/>
  <c r="CD46" i="17"/>
  <c r="BF42" i="17"/>
  <c r="BD61" i="17"/>
  <c r="V64" i="17"/>
  <c r="BL59" i="17"/>
  <c r="BU12" i="17"/>
  <c r="DL86" i="17"/>
  <c r="CA60" i="17"/>
  <c r="CR43" i="17"/>
  <c r="AI21" i="17"/>
  <c r="CF85" i="17"/>
  <c r="CD27" i="17"/>
  <c r="BZ33" i="17"/>
  <c r="BV53" i="17"/>
  <c r="BA57" i="17"/>
  <c r="BC20" i="17"/>
  <c r="DG28" i="17"/>
  <c r="DT34" i="17"/>
  <c r="BG19" i="17"/>
  <c r="BW34" i="17"/>
  <c r="BC28" i="17"/>
  <c r="AV25" i="17"/>
  <c r="CG53" i="17"/>
  <c r="S27" i="17"/>
  <c r="AY13" i="17"/>
  <c r="DI43" i="17"/>
  <c r="BZ59" i="17"/>
  <c r="CA88" i="17"/>
  <c r="BZ18" i="17"/>
  <c r="CS85" i="17"/>
  <c r="T19" i="17"/>
  <c r="AL52" i="17"/>
  <c r="CW64" i="17"/>
  <c r="CO68" i="17"/>
  <c r="BW21" i="17"/>
  <c r="AK28" i="17"/>
  <c r="AU20" i="17"/>
  <c r="BC54" i="17"/>
  <c r="AN51" i="17"/>
  <c r="CC21" i="17"/>
  <c r="AV19" i="17"/>
  <c r="BU42" i="17"/>
  <c r="BX45" i="17"/>
  <c r="BT48" i="17"/>
  <c r="AZ64" i="17"/>
  <c r="BR85" i="17"/>
  <c r="BF61" i="17"/>
  <c r="BR45" i="17"/>
  <c r="BL28" i="17"/>
  <c r="BW33" i="17"/>
  <c r="Y85" i="17"/>
  <c r="BU86" i="17"/>
  <c r="CO65" i="17"/>
  <c r="AU52" i="17"/>
  <c r="P26" i="17"/>
  <c r="CL34" i="17"/>
  <c r="AS27" i="17"/>
  <c r="DT25" i="17"/>
  <c r="BU21" i="17"/>
  <c r="CM18" i="17"/>
  <c r="BO68" i="17"/>
  <c r="CM57" i="17"/>
  <c r="AT20" i="17"/>
  <c r="CA43" i="17"/>
  <c r="BX88" i="17"/>
  <c r="BS46" i="17"/>
  <c r="S21" i="17"/>
  <c r="DF47" i="17"/>
  <c r="BS60" i="17"/>
  <c r="CE68" i="17"/>
  <c r="BB86" i="17"/>
  <c r="AW57" i="17"/>
  <c r="BI60" i="17"/>
  <c r="CJ13" i="17"/>
  <c r="BR19" i="17"/>
  <c r="BI58" i="17"/>
  <c r="BR64" i="17"/>
  <c r="BA24" i="17"/>
  <c r="BO58" i="17"/>
  <c r="AK61" i="17"/>
  <c r="CC48" i="17"/>
  <c r="AY51" i="17"/>
  <c r="Z21" i="17"/>
  <c r="DF67" i="17"/>
  <c r="AK52" i="17"/>
  <c r="CK26" i="17"/>
  <c r="CB52" i="17"/>
  <c r="CT13" i="17"/>
  <c r="BA12" i="17"/>
  <c r="BG33" i="17"/>
  <c r="CD54" i="17"/>
  <c r="AT47" i="17"/>
  <c r="AS25" i="17"/>
  <c r="BO11" i="17"/>
  <c r="AM19" i="17"/>
  <c r="AP26" i="17"/>
  <c r="DJ60" i="17"/>
  <c r="BN19" i="17"/>
  <c r="CX18" i="17"/>
  <c r="BJ23" i="17"/>
  <c r="AV24" i="17"/>
  <c r="BA89" i="17"/>
  <c r="BA16" i="17"/>
  <c r="AM27" i="17"/>
  <c r="BD57" i="17"/>
  <c r="CP31" i="17"/>
  <c r="CO45" i="17"/>
  <c r="CE31" i="17"/>
  <c r="AA67" i="17"/>
  <c r="BA28" i="17"/>
  <c r="CR11" i="17"/>
  <c r="DU42" i="17"/>
  <c r="CB88" i="17"/>
  <c r="BO19" i="17"/>
  <c r="AT30" i="17"/>
  <c r="AK67" i="17"/>
  <c r="DD43" i="17"/>
  <c r="DM13" i="17"/>
  <c r="AP24" i="17"/>
  <c r="AV28" i="17"/>
  <c r="AX30" i="17"/>
  <c r="AA65" i="17"/>
  <c r="CQ52" i="17"/>
  <c r="R30" i="17"/>
  <c r="BG57" i="17"/>
  <c r="CG30" i="17"/>
  <c r="AR23" i="17"/>
  <c r="BF22" i="17"/>
  <c r="O19" i="17"/>
  <c r="G723" i="32" s="1"/>
  <c r="P19" i="17"/>
  <c r="H723" i="32" s="1"/>
  <c r="AK48" i="17"/>
  <c r="BK18" i="17"/>
  <c r="DQ27" i="17"/>
  <c r="CS22" i="17"/>
  <c r="AO43" i="17"/>
  <c r="AZ57" i="17"/>
  <c r="AH85" i="17"/>
  <c r="BN46" i="17"/>
  <c r="AW24" i="17"/>
  <c r="CQ64" i="17"/>
  <c r="T26" i="17"/>
  <c r="CJ48" i="17"/>
  <c r="BD12" i="17"/>
  <c r="DO12" i="17"/>
  <c r="CY32" i="17"/>
  <c r="CH64" i="17"/>
  <c r="DS56" i="17"/>
  <c r="BU47" i="17"/>
  <c r="CJ34" i="17"/>
  <c r="DB46" i="17"/>
  <c r="CI27" i="17"/>
  <c r="O20" i="17"/>
  <c r="G726" i="32" s="1"/>
  <c r="BY19" i="17"/>
  <c r="BE20" i="17"/>
  <c r="BH59" i="17"/>
  <c r="AY43" i="17"/>
  <c r="CX27" i="17"/>
  <c r="AX42" i="17"/>
  <c r="AY19" i="17"/>
  <c r="DA57" i="17"/>
  <c r="CG34" i="17"/>
  <c r="AQ46" i="17"/>
  <c r="DB68" i="17"/>
  <c r="DF25" i="17"/>
  <c r="AM47" i="17"/>
  <c r="AK51" i="17"/>
  <c r="BL51" i="17"/>
  <c r="CG26" i="17"/>
  <c r="BQ86" i="17"/>
  <c r="AR85" i="17"/>
  <c r="DA22" i="17"/>
  <c r="DD52" i="17"/>
  <c r="DS52" i="17"/>
  <c r="CM67" i="17"/>
  <c r="CK21" i="17"/>
  <c r="CS48" i="17"/>
  <c r="BP24" i="17"/>
  <c r="CG52" i="17"/>
  <c r="BQ85" i="17"/>
  <c r="DM68" i="17"/>
  <c r="DH47" i="17"/>
  <c r="BY12" i="17"/>
  <c r="DS32" i="17"/>
  <c r="X26" i="17"/>
  <c r="BF34" i="17"/>
  <c r="BU26" i="17"/>
  <c r="DV88" i="17"/>
  <c r="CT47" i="17"/>
  <c r="BP54" i="17"/>
  <c r="BO48" i="17"/>
  <c r="DN16" i="17"/>
  <c r="CL56" i="17"/>
  <c r="AV20" i="17"/>
  <c r="DV20" i="17"/>
  <c r="DO28" i="17"/>
  <c r="CR58" i="17"/>
  <c r="CI47" i="17"/>
  <c r="AZ33" i="17"/>
  <c r="CE25" i="17"/>
  <c r="AS54" i="17"/>
  <c r="BI27" i="17"/>
  <c r="CZ42" i="17"/>
  <c r="DT28" i="17"/>
  <c r="BT42" i="17"/>
  <c r="CZ48" i="17"/>
  <c r="DH43" i="17"/>
  <c r="DN27" i="17"/>
  <c r="CK27" i="17"/>
  <c r="DB33" i="17"/>
  <c r="DC27" i="17"/>
  <c r="BP31" i="17"/>
  <c r="DL88" i="17"/>
  <c r="DI26" i="17"/>
  <c r="DV13" i="17"/>
  <c r="BL22" i="17"/>
  <c r="AT54" i="17"/>
  <c r="DM86" i="17"/>
  <c r="BR27" i="17"/>
  <c r="CE16" i="17"/>
  <c r="AN42" i="17"/>
  <c r="DH88" i="17"/>
  <c r="AW14" i="17"/>
  <c r="BQ16" i="17"/>
  <c r="DF46" i="17"/>
  <c r="AL26" i="17"/>
  <c r="DE61" i="17"/>
  <c r="BP16" i="17"/>
  <c r="AQ26" i="17"/>
  <c r="BU58" i="17"/>
  <c r="DO11" i="17"/>
  <c r="DH56" i="17"/>
  <c r="DH13" i="17"/>
  <c r="DM26" i="17"/>
  <c r="N34" i="17"/>
  <c r="F740" i="32" s="1"/>
  <c r="BZ47" i="17"/>
  <c r="CL64" i="17"/>
  <c r="CQ30" i="17"/>
  <c r="AN18" i="17"/>
  <c r="AV26" i="17"/>
  <c r="BG25" i="17"/>
  <c r="DP24" i="17"/>
  <c r="BI13" i="17"/>
  <c r="DF24" i="17"/>
  <c r="CR19" i="17"/>
  <c r="DC12" i="17"/>
  <c r="BL33" i="17"/>
  <c r="DU27" i="17"/>
  <c r="DV52" i="17"/>
  <c r="BX19" i="17"/>
  <c r="AQ65" i="17"/>
  <c r="DE32" i="17"/>
  <c r="CA52" i="17"/>
  <c r="BY25" i="17"/>
  <c r="BK23" i="17"/>
  <c r="BB61" i="17"/>
  <c r="DS19" i="17"/>
  <c r="CI60" i="17"/>
  <c r="AW11" i="17"/>
  <c r="BL14" i="17"/>
  <c r="BL48" i="17"/>
  <c r="BO47" i="17"/>
  <c r="CH32" i="17"/>
  <c r="CJ58" i="17"/>
  <c r="DP19" i="17"/>
  <c r="AU34" i="17"/>
  <c r="CC46" i="17"/>
  <c r="AU13" i="17"/>
  <c r="N22" i="17"/>
  <c r="F725" i="32" s="1"/>
  <c r="CO64" i="17"/>
  <c r="DC14" i="17"/>
  <c r="DG13" i="17"/>
  <c r="CH11" i="17"/>
  <c r="DE16" i="17"/>
  <c r="AQ53" i="17"/>
  <c r="DP21" i="17"/>
  <c r="BV27" i="17"/>
  <c r="DH33" i="17"/>
  <c r="BV13" i="17"/>
  <c r="BQ22" i="17"/>
  <c r="DN42" i="17"/>
  <c r="CN42" i="17"/>
  <c r="CI34" i="17"/>
  <c r="DC65" i="17"/>
  <c r="DC58" i="17"/>
  <c r="BM64" i="17"/>
  <c r="CP11" i="17"/>
  <c r="CV59" i="17"/>
  <c r="AY30" i="17"/>
  <c r="AM20" i="17"/>
  <c r="CB11" i="17"/>
  <c r="CA86" i="17"/>
  <c r="DN47" i="17"/>
  <c r="BW88" i="17"/>
  <c r="AP30" i="17"/>
  <c r="DK12" i="17"/>
  <c r="DU51" i="17"/>
  <c r="AL54" i="17"/>
  <c r="DT32" i="17"/>
  <c r="BM34" i="17"/>
  <c r="CE30" i="17"/>
  <c r="AU18" i="17"/>
  <c r="CJ86" i="17"/>
  <c r="BQ26" i="17"/>
  <c r="AT16" i="17"/>
  <c r="AI30" i="17"/>
  <c r="AT60" i="17"/>
  <c r="CZ43" i="17"/>
  <c r="BC56" i="17"/>
  <c r="AS42" i="17"/>
  <c r="DD24" i="17"/>
  <c r="CT20" i="17"/>
  <c r="BO60" i="17"/>
  <c r="AE20" i="17"/>
  <c r="BX11" i="17"/>
  <c r="W18" i="17"/>
  <c r="AU67" i="17"/>
  <c r="CS53" i="17"/>
  <c r="BL30" i="17"/>
  <c r="BU68" i="17"/>
  <c r="DP22" i="17"/>
  <c r="BB88" i="17"/>
  <c r="AW33" i="17"/>
  <c r="W23" i="17"/>
  <c r="AP32" i="17"/>
  <c r="BQ34" i="17"/>
  <c r="BH54" i="17"/>
  <c r="DH12" i="17"/>
  <c r="AO85" i="17"/>
  <c r="AM16" i="17"/>
  <c r="BP59" i="17"/>
  <c r="AM58" i="17"/>
  <c r="DC52" i="17"/>
  <c r="AP31" i="17"/>
  <c r="DE42" i="17"/>
  <c r="AN24" i="17"/>
  <c r="BY33" i="17"/>
  <c r="BX31" i="17"/>
  <c r="R23" i="17"/>
  <c r="AP47" i="17"/>
  <c r="AH19" i="17"/>
  <c r="BS86" i="17"/>
  <c r="DJ52" i="17"/>
  <c r="W64" i="17"/>
  <c r="DD86" i="17"/>
  <c r="CX20" i="17"/>
  <c r="BR54" i="17"/>
  <c r="AP64" i="17"/>
  <c r="DT86" i="17"/>
  <c r="AZ56" i="17"/>
  <c r="DU86" i="17"/>
  <c r="AL45" i="17"/>
  <c r="CR54" i="17"/>
  <c r="AB20" i="17"/>
  <c r="CT25" i="17"/>
  <c r="BR51" i="17"/>
  <c r="BN85" i="17"/>
  <c r="DK20" i="17"/>
  <c r="CL85" i="17"/>
  <c r="DS65" i="17"/>
  <c r="BL43" i="17"/>
  <c r="AN34" i="17"/>
  <c r="AJ56" i="17"/>
  <c r="AJ22" i="17"/>
  <c r="BS31" i="17"/>
  <c r="CC88" i="17"/>
  <c r="BX89" i="17"/>
  <c r="BH27" i="17"/>
  <c r="AT56" i="17"/>
  <c r="DK27" i="17"/>
  <c r="AQ21" i="17"/>
  <c r="BD53" i="17"/>
  <c r="CT32" i="17"/>
  <c r="DB22" i="17"/>
  <c r="AQ32" i="17"/>
  <c r="BE47" i="17"/>
  <c r="BQ23" i="17"/>
  <c r="AO28" i="17"/>
  <c r="BG86" i="17"/>
  <c r="CD61" i="17"/>
  <c r="CX45" i="17"/>
  <c r="DL85" i="17"/>
  <c r="AR61" i="17"/>
  <c r="DS33" i="17"/>
  <c r="AU60" i="17"/>
  <c r="P18" i="17"/>
  <c r="H722" i="32" s="1"/>
  <c r="AP12" i="17"/>
  <c r="AP22" i="17"/>
  <c r="BO12" i="17"/>
  <c r="BV88" i="17"/>
  <c r="DC51" i="17"/>
  <c r="CE11" i="17"/>
  <c r="BD88" i="17"/>
  <c r="AZ12" i="17"/>
  <c r="DT46" i="17"/>
  <c r="BN43" i="17"/>
  <c r="DK86" i="17"/>
  <c r="AQ34" i="17"/>
  <c r="BV14" i="17"/>
  <c r="BU53" i="17"/>
  <c r="BO43" i="17"/>
  <c r="BR46" i="17"/>
  <c r="DV89" i="17"/>
  <c r="CA33" i="17"/>
  <c r="BV28" i="17"/>
  <c r="CE60" i="17"/>
  <c r="CV28" i="17"/>
  <c r="DI54" i="17"/>
  <c r="CM47" i="17"/>
  <c r="AQ47" i="17"/>
  <c r="S23" i="17"/>
  <c r="AS34" i="17"/>
  <c r="N26" i="17"/>
  <c r="BJ24" i="17"/>
  <c r="BM54" i="17"/>
  <c r="AL43" i="17"/>
  <c r="BL52" i="17"/>
  <c r="AU61" i="17"/>
  <c r="AY34" i="17"/>
  <c r="AI67" i="17"/>
  <c r="BQ18" i="17"/>
  <c r="BX32" i="17"/>
  <c r="BH88" i="17"/>
  <c r="AW19" i="17"/>
  <c r="AM46" i="17"/>
  <c r="AJ52" i="17"/>
  <c r="AS45" i="17"/>
  <c r="CT28" i="17"/>
  <c r="AX57" i="17"/>
  <c r="BT86" i="17"/>
  <c r="CF12" i="17"/>
  <c r="BS52" i="17"/>
  <c r="CJ31" i="17"/>
  <c r="CG46" i="17"/>
  <c r="BL46" i="17"/>
  <c r="BY86" i="17"/>
  <c r="BI11" i="17"/>
  <c r="BN52" i="17"/>
  <c r="AU56" i="17"/>
  <c r="DK19" i="17"/>
  <c r="AI18" i="17"/>
  <c r="AR86" i="17"/>
  <c r="BG32" i="17"/>
  <c r="AY16" i="17"/>
  <c r="DF19" i="17"/>
  <c r="CH43" i="17"/>
  <c r="CC19" i="17"/>
  <c r="CM59" i="17"/>
  <c r="CK54" i="17"/>
  <c r="BE56" i="17"/>
  <c r="DK16" i="17"/>
  <c r="BP30" i="17"/>
  <c r="CV52" i="17"/>
  <c r="CU12" i="17"/>
  <c r="CO21" i="17"/>
  <c r="CD31" i="17"/>
  <c r="DO89" i="17"/>
  <c r="DA12" i="17"/>
  <c r="BB22" i="17"/>
  <c r="DD27" i="17"/>
  <c r="BO88" i="17"/>
  <c r="CS51" i="17"/>
  <c r="DK57" i="17"/>
  <c r="DN18" i="17"/>
  <c r="CV24" i="17"/>
  <c r="CL52" i="17"/>
  <c r="CG54" i="17"/>
  <c r="AN67" i="17"/>
  <c r="CZ88" i="17"/>
  <c r="BT57" i="17"/>
  <c r="CO42" i="17"/>
  <c r="DE22" i="17"/>
  <c r="BP13" i="17"/>
  <c r="CG21" i="17"/>
  <c r="BS25" i="17"/>
  <c r="CN12" i="17"/>
  <c r="CW43" i="17"/>
  <c r="DR89" i="17"/>
  <c r="CC18" i="17"/>
  <c r="DE48" i="17"/>
  <c r="DD88" i="17"/>
  <c r="BM12" i="17"/>
  <c r="CN47" i="17"/>
  <c r="DC67" i="17"/>
  <c r="CA21" i="17"/>
  <c r="DE28" i="17"/>
  <c r="DO54" i="17"/>
  <c r="CO48" i="17"/>
  <c r="CT18" i="17"/>
  <c r="DN64" i="17"/>
  <c r="DR34" i="17"/>
  <c r="CF51" i="17"/>
  <c r="BR56" i="17"/>
  <c r="AN11" i="17"/>
  <c r="CJ60" i="17"/>
  <c r="BD67" i="17"/>
  <c r="CU59" i="17"/>
  <c r="BL88" i="17"/>
  <c r="CY57" i="17"/>
  <c r="DO30" i="17"/>
  <c r="DP27" i="17"/>
  <c r="BN27" i="17"/>
  <c r="AW61" i="17"/>
  <c r="DD64" i="17"/>
  <c r="BB11" i="17"/>
  <c r="BX25" i="17"/>
  <c r="CX25" i="17"/>
  <c r="DJ25" i="17"/>
  <c r="DK14" i="17"/>
  <c r="DH11" i="17"/>
  <c r="BP65" i="17"/>
  <c r="BN33" i="17"/>
  <c r="BF12" i="17"/>
  <c r="CE51" i="17"/>
  <c r="CB53" i="17"/>
  <c r="AZ42" i="17"/>
  <c r="AO60" i="17"/>
  <c r="AR16" i="17"/>
  <c r="AS14" i="17"/>
  <c r="AZ60" i="17"/>
  <c r="DM67" i="17"/>
  <c r="DN53" i="17"/>
  <c r="CG24" i="17"/>
  <c r="CY11" i="17"/>
  <c r="CT53" i="17"/>
  <c r="CP86" i="17"/>
  <c r="DQ22" i="17"/>
  <c r="DT30" i="17"/>
  <c r="BA53" i="17"/>
  <c r="CA11" i="17"/>
  <c r="BT64" i="17"/>
  <c r="AR19" i="17"/>
  <c r="BX58" i="17"/>
  <c r="BD11" i="17"/>
  <c r="BU88" i="17"/>
  <c r="DB52" i="17"/>
  <c r="CD56" i="17"/>
  <c r="CQ57" i="17"/>
  <c r="DL68" i="17"/>
  <c r="CP20" i="17"/>
  <c r="AP21" i="17"/>
  <c r="CZ27" i="17"/>
  <c r="CG31" i="17"/>
  <c r="CD64" i="17"/>
  <c r="DP47" i="17"/>
  <c r="CT12" i="17"/>
  <c r="AR89" i="17"/>
  <c r="CO47" i="17"/>
  <c r="DB27" i="17"/>
  <c r="DK13" i="17"/>
  <c r="BZ23" i="17"/>
  <c r="CD28" i="17"/>
  <c r="BK28" i="17"/>
  <c r="BI20" i="17"/>
  <c r="DA68" i="17"/>
  <c r="DL57" i="17"/>
  <c r="DH24" i="17"/>
  <c r="DK34" i="17"/>
  <c r="CO51" i="17"/>
  <c r="CL59" i="17"/>
  <c r="CQ22" i="17"/>
  <c r="AJ86" i="17"/>
  <c r="CS28" i="17"/>
  <c r="DG61" i="17"/>
  <c r="CU13" i="17"/>
  <c r="CQ85" i="17"/>
  <c r="AO18" i="17"/>
  <c r="CA85" i="17"/>
  <c r="BX54" i="17"/>
  <c r="BS33" i="17"/>
  <c r="BE58" i="17"/>
  <c r="AT52" i="17"/>
  <c r="CL21" i="17"/>
  <c r="DA18" i="17"/>
  <c r="AQ45" i="17"/>
  <c r="AZ14" i="17"/>
  <c r="M27" i="17"/>
  <c r="E727" i="32" s="1"/>
  <c r="BM19" i="17"/>
  <c r="BZ13" i="17"/>
  <c r="AJ30" i="17"/>
  <c r="AU47" i="17"/>
  <c r="AT27" i="17"/>
  <c r="AM67" i="17"/>
  <c r="BP64" i="17"/>
  <c r="BI22" i="17"/>
  <c r="AZ18" i="17"/>
  <c r="DM65" i="17"/>
  <c r="BX16" i="17"/>
  <c r="CQ60" i="17"/>
  <c r="BH32" i="17"/>
  <c r="L24" i="17"/>
  <c r="AN47" i="17"/>
  <c r="DJ86" i="17"/>
  <c r="BS32" i="17"/>
  <c r="BX53" i="17"/>
  <c r="BF58" i="17"/>
  <c r="BH53" i="17"/>
  <c r="BY31" i="17"/>
  <c r="AK65" i="17"/>
  <c r="AV30" i="17"/>
  <c r="N27" i="17"/>
  <c r="F727" i="32" s="1"/>
  <c r="AT33" i="17"/>
  <c r="BA34" i="17"/>
  <c r="CD43" i="17"/>
  <c r="BG18" i="17"/>
  <c r="BH43" i="17"/>
  <c r="DD22" i="17"/>
  <c r="BZ11" i="17"/>
  <c r="BE27" i="17"/>
  <c r="AN53" i="17"/>
  <c r="BD58" i="17"/>
  <c r="BR65" i="17"/>
  <c r="CR13" i="17"/>
  <c r="BP88" i="17"/>
  <c r="AR51" i="17"/>
  <c r="BF31" i="17"/>
  <c r="CU53" i="17"/>
  <c r="AW32" i="17"/>
  <c r="BV56" i="17"/>
  <c r="BA51" i="17"/>
  <c r="DU57" i="17"/>
  <c r="CR21" i="17"/>
  <c r="CU19" i="17"/>
  <c r="DD23" i="17"/>
  <c r="CR18" i="17"/>
  <c r="CZ24" i="17"/>
  <c r="AJ68" i="17"/>
  <c r="AT22" i="17"/>
  <c r="AL56" i="17"/>
  <c r="AO51" i="17"/>
  <c r="BW31" i="17"/>
  <c r="AJ60" i="17"/>
  <c r="AS28" i="17"/>
  <c r="BC32" i="17"/>
  <c r="DF16" i="17"/>
  <c r="T67" i="17"/>
  <c r="CJ19" i="17"/>
  <c r="CT46" i="17"/>
  <c r="DA24" i="17"/>
  <c r="DH48" i="17"/>
  <c r="AU89" i="17"/>
  <c r="CF22" i="17"/>
  <c r="DV43" i="17"/>
  <c r="AK30" i="17"/>
  <c r="AQ12" i="17"/>
  <c r="AV42" i="17"/>
  <c r="CJ56" i="17"/>
  <c r="CW33" i="17"/>
  <c r="DL61" i="17"/>
  <c r="AZ61" i="17"/>
  <c r="DR85" i="17"/>
  <c r="BT25" i="17"/>
  <c r="BS21" i="17"/>
  <c r="AN65" i="17"/>
  <c r="CQ86" i="17"/>
  <c r="BF27" i="17"/>
  <c r="AU27" i="17"/>
  <c r="AH67" i="17"/>
  <c r="AP88" i="17"/>
  <c r="CX46" i="17"/>
  <c r="DE21" i="17"/>
  <c r="Y23" i="17"/>
  <c r="AQ33" i="17"/>
  <c r="CF30" i="17"/>
  <c r="DN58" i="17"/>
  <c r="AL18" i="17"/>
  <c r="DA43" i="17"/>
  <c r="BC46" i="17"/>
  <c r="CX61" i="17"/>
  <c r="U19" i="17"/>
  <c r="CD52" i="17"/>
  <c r="V27" i="17"/>
  <c r="BE26" i="17"/>
  <c r="AN58" i="17"/>
  <c r="DB47" i="17"/>
  <c r="CB61" i="17"/>
  <c r="AO58" i="17"/>
  <c r="BB68" i="17"/>
  <c r="U24" i="17"/>
  <c r="AW12" i="17"/>
  <c r="BB19" i="17"/>
  <c r="DK43" i="17"/>
  <c r="X65" i="17"/>
  <c r="CE24" i="17"/>
  <c r="BH60" i="17"/>
  <c r="CN88" i="17"/>
  <c r="AQ89" i="17"/>
  <c r="AN59" i="17"/>
  <c r="DR12" i="17"/>
  <c r="BV43" i="17"/>
  <c r="AJ21" i="17"/>
  <c r="CN64" i="17"/>
  <c r="U23" i="17"/>
  <c r="AS85" i="17"/>
  <c r="BF11" i="17"/>
  <c r="CP65" i="17"/>
  <c r="CF60" i="17"/>
  <c r="CW54" i="17"/>
  <c r="DM16" i="17"/>
  <c r="BV47" i="17"/>
  <c r="BT18" i="17"/>
  <c r="DO45" i="17"/>
  <c r="DK18" i="17"/>
  <c r="BD60" i="17"/>
  <c r="DM21" i="17"/>
  <c r="AV65" i="17"/>
  <c r="Y26" i="17"/>
  <c r="BT58" i="17"/>
  <c r="CM51" i="17"/>
  <c r="AP51" i="17"/>
  <c r="AN57" i="17"/>
  <c r="CU52" i="17"/>
  <c r="DL30" i="17"/>
  <c r="CY31" i="17"/>
  <c r="AA23" i="17"/>
  <c r="BM22" i="17"/>
  <c r="BF32" i="17"/>
  <c r="CG58" i="17"/>
  <c r="BQ59" i="17"/>
  <c r="BB30" i="17"/>
  <c r="CY58" i="17"/>
  <c r="CW86" i="17"/>
  <c r="AU57" i="17"/>
  <c r="AC30" i="17"/>
  <c r="DJ42" i="17"/>
  <c r="AW60" i="17"/>
  <c r="AK59" i="17"/>
  <c r="DG26" i="17"/>
  <c r="CW57" i="17"/>
  <c r="BS65" i="17"/>
  <c r="S34" i="17"/>
  <c r="DD53" i="17"/>
  <c r="CC67" i="17"/>
  <c r="DI56" i="17"/>
  <c r="CJ52" i="17"/>
  <c r="AV89" i="17"/>
  <c r="CG48" i="17"/>
  <c r="DL34" i="17"/>
  <c r="DV19" i="17"/>
  <c r="DP65" i="17"/>
  <c r="BJ48" i="17"/>
  <c r="CX53" i="17"/>
  <c r="AL33" i="17"/>
  <c r="DQ31" i="17"/>
  <c r="DQ25" i="17"/>
  <c r="CF88" i="17"/>
  <c r="BC34" i="17"/>
  <c r="BM65" i="17"/>
  <c r="DV67" i="17"/>
  <c r="CU28" i="17"/>
  <c r="CG56" i="17"/>
  <c r="CN30" i="17"/>
  <c r="CE12" i="17"/>
  <c r="DM45" i="17"/>
  <c r="BU65" i="17"/>
  <c r="CH31" i="17"/>
  <c r="CJ64" i="17"/>
  <c r="O22" i="17"/>
  <c r="G725" i="32" s="1"/>
  <c r="DL21" i="17"/>
  <c r="AP65" i="17"/>
  <c r="CZ31" i="17"/>
  <c r="CT42" i="17"/>
  <c r="CU61" i="17"/>
  <c r="CJ25" i="17"/>
  <c r="AB26" i="17"/>
  <c r="CG45" i="17"/>
  <c r="CX28" i="17"/>
  <c r="DC89" i="17"/>
  <c r="BV12" i="17"/>
  <c r="DB48" i="17"/>
  <c r="CY54" i="17"/>
  <c r="DQ30" i="17"/>
  <c r="DV56" i="17"/>
  <c r="CQ11" i="17"/>
  <c r="CB42" i="17"/>
  <c r="DS43" i="17"/>
  <c r="U64" i="17"/>
  <c r="CA12" i="17"/>
  <c r="DF12" i="17"/>
  <c r="AY61" i="17"/>
  <c r="DU28" i="17"/>
  <c r="DM28" i="17"/>
  <c r="CD88" i="17"/>
  <c r="DL14" i="17"/>
  <c r="DG33" i="17"/>
  <c r="DR67" i="17"/>
  <c r="CH56" i="17"/>
  <c r="AX28" i="17"/>
  <c r="DQ21" i="17"/>
  <c r="BL19" i="17"/>
  <c r="CL19" i="17"/>
  <c r="BS43" i="17"/>
  <c r="CB30" i="17"/>
  <c r="AO32" i="17"/>
  <c r="CL16" i="17"/>
  <c r="BK16" i="17"/>
  <c r="BI88" i="17"/>
  <c r="CH26" i="17"/>
  <c r="CJ33" i="17"/>
  <c r="CJ32" i="17"/>
  <c r="CD11" i="17"/>
  <c r="BO52" i="17"/>
  <c r="AQ52" i="17"/>
  <c r="BK65" i="17"/>
  <c r="CY20" i="17"/>
  <c r="DA51" i="17"/>
  <c r="CO56" i="17"/>
  <c r="CU22" i="17"/>
  <c r="CT34" i="17"/>
  <c r="CA54" i="17"/>
  <c r="P34" i="17"/>
  <c r="H740" i="32" s="1"/>
  <c r="CL18" i="17"/>
  <c r="AW86" i="17"/>
  <c r="AL14" i="17"/>
  <c r="BL58" i="17"/>
  <c r="BM51" i="17"/>
  <c r="CJ42" i="17"/>
  <c r="DH57" i="17"/>
  <c r="AX85" i="17"/>
  <c r="DH26" i="17"/>
  <c r="BR47" i="17"/>
  <c r="T27" i="17"/>
  <c r="DA52" i="17"/>
  <c r="BH24" i="17"/>
  <c r="DL27" i="17"/>
  <c r="DH58" i="17"/>
  <c r="DS60" i="17"/>
  <c r="DD56" i="17"/>
  <c r="BT46" i="17"/>
  <c r="CW58" i="17"/>
  <c r="CU58" i="17"/>
  <c r="CT22" i="17"/>
  <c r="DF42" i="17"/>
  <c r="BS13" i="17"/>
  <c r="DS88" i="17"/>
  <c r="CZ45" i="17"/>
  <c r="BQ60" i="17"/>
  <c r="V21" i="17"/>
  <c r="CJ20" i="17"/>
  <c r="DF85" i="17"/>
  <c r="AK64" i="17"/>
  <c r="AV59" i="17"/>
  <c r="DJ85" i="17"/>
  <c r="AY42" i="17"/>
  <c r="CM24" i="17"/>
  <c r="BG43" i="17"/>
  <c r="AJ88" i="17"/>
  <c r="CM48" i="17"/>
  <c r="DV25" i="17"/>
  <c r="CB26" i="17"/>
  <c r="BK68" i="17"/>
  <c r="AG30" i="17"/>
  <c r="AC22" i="17"/>
  <c r="BA27" i="17"/>
  <c r="AS26" i="17"/>
  <c r="BI57" i="17"/>
  <c r="AP85" i="17"/>
  <c r="CY30" i="17"/>
  <c r="DU23" i="17"/>
  <c r="AV57" i="17"/>
  <c r="AW30" i="17"/>
  <c r="BH89" i="17"/>
  <c r="CQ13" i="17"/>
  <c r="CA56" i="17"/>
  <c r="CR14" i="17"/>
  <c r="AZ24" i="17"/>
  <c r="BA59" i="17"/>
  <c r="V65" i="17"/>
  <c r="P67" i="17"/>
  <c r="BG26" i="17"/>
  <c r="AC24" i="17"/>
  <c r="DM43" i="17"/>
  <c r="AV64" i="17"/>
  <c r="BV26" i="17"/>
  <c r="AZ45" i="17"/>
  <c r="BG42" i="17"/>
  <c r="BS53" i="17"/>
  <c r="CY14" i="17"/>
  <c r="BI43" i="17"/>
  <c r="AK20" i="17"/>
  <c r="AP57" i="17"/>
  <c r="AK58" i="17"/>
  <c r="DN86" i="17"/>
  <c r="AG19" i="17"/>
  <c r="BE88" i="17"/>
  <c r="CP22" i="17"/>
  <c r="DU25" i="17"/>
  <c r="DI21" i="17"/>
  <c r="CG89" i="17"/>
  <c r="BA42" i="17"/>
  <c r="CL12" i="17"/>
  <c r="AL47" i="17"/>
  <c r="AV43" i="17"/>
  <c r="AN16" i="17"/>
  <c r="BF65" i="17"/>
  <c r="W24" i="17"/>
  <c r="CU89" i="17"/>
  <c r="BJ28" i="17"/>
  <c r="M67" i="17"/>
  <c r="CR61" i="17"/>
  <c r="BG45" i="17"/>
  <c r="BH61" i="17"/>
  <c r="T23" i="17"/>
  <c r="DO19" i="17"/>
  <c r="CX22" i="17"/>
  <c r="AO27" i="17"/>
  <c r="CZ65" i="17"/>
  <c r="AZ19" i="17"/>
  <c r="AZ58" i="17"/>
  <c r="BF18" i="17"/>
  <c r="AV67" i="17"/>
  <c r="BU23" i="17"/>
  <c r="BE33" i="17"/>
  <c r="AO12" i="17"/>
  <c r="BI42" i="17"/>
  <c r="DT13" i="17"/>
  <c r="AX27" i="17"/>
  <c r="DF21" i="17"/>
  <c r="CD89" i="17"/>
  <c r="Z27" i="17"/>
  <c r="BT26" i="17"/>
  <c r="AW47" i="17"/>
  <c r="BD56" i="17"/>
  <c r="CS47" i="17"/>
  <c r="BS89" i="17"/>
  <c r="Z64" i="17"/>
  <c r="BR43" i="17"/>
  <c r="BL47" i="17"/>
  <c r="DB42" i="17"/>
  <c r="BU19" i="17"/>
  <c r="CE43" i="17"/>
  <c r="AJ11" i="17"/>
  <c r="BG27" i="17"/>
  <c r="AV85" i="17"/>
  <c r="CN14" i="17"/>
  <c r="AW65" i="17"/>
  <c r="AN68" i="17"/>
  <c r="AG67" i="17"/>
  <c r="AZ67" i="17"/>
  <c r="BS51" i="17"/>
  <c r="DD60" i="17"/>
  <c r="AK60" i="17"/>
  <c r="U21" i="17"/>
  <c r="BN86" i="17"/>
  <c r="BY48" i="17"/>
  <c r="BT13" i="17"/>
  <c r="AQ51" i="17"/>
  <c r="AV68" i="17"/>
  <c r="BQ32" i="17"/>
  <c r="N19" i="17"/>
  <c r="F723" i="32" s="1"/>
  <c r="BJ31" i="17"/>
  <c r="CZ23" i="17"/>
  <c r="DJ21" i="17"/>
  <c r="AH21" i="17"/>
  <c r="BU28" i="17"/>
  <c r="DT57" i="17"/>
  <c r="BK59" i="17"/>
  <c r="CC32" i="17"/>
  <c r="X24" i="17"/>
  <c r="BN57" i="17"/>
  <c r="BC16" i="17"/>
  <c r="AK18" i="17"/>
  <c r="AJ12" i="17"/>
  <c r="CT56" i="17"/>
  <c r="DQ57" i="17"/>
  <c r="W67" i="17"/>
  <c r="DP13" i="17"/>
  <c r="BP14" i="17"/>
  <c r="P65" i="17"/>
  <c r="AX24" i="17"/>
  <c r="BA19" i="17"/>
  <c r="BO85" i="17"/>
  <c r="AU65" i="17"/>
  <c r="CF11" i="17"/>
  <c r="BF57" i="17"/>
  <c r="BQ42" i="17"/>
  <c r="AW31" i="17"/>
  <c r="CL20" i="17"/>
  <c r="AM43" i="17"/>
  <c r="BX14" i="17"/>
  <c r="DJ30" i="17"/>
  <c r="AL34" i="17"/>
  <c r="CI14" i="17"/>
  <c r="AB85" i="17"/>
  <c r="AN19" i="17"/>
  <c r="BB31" i="17"/>
  <c r="CR45" i="17"/>
  <c r="BF86" i="17"/>
  <c r="DE43" i="17"/>
  <c r="BG88" i="17"/>
  <c r="BU61" i="17"/>
  <c r="DS61" i="17"/>
  <c r="DS54" i="17"/>
  <c r="DF33" i="17"/>
  <c r="DT18" i="17"/>
  <c r="BN14" i="17"/>
  <c r="AJ51" i="17"/>
  <c r="BW65" i="17"/>
  <c r="CU56" i="17"/>
  <c r="BI56" i="17"/>
  <c r="CF67" i="17"/>
  <c r="CY18" i="17"/>
  <c r="DJ68" i="17"/>
  <c r="DT54" i="17"/>
  <c r="CG22" i="17"/>
  <c r="AZ34" i="17"/>
  <c r="CJ61" i="17"/>
  <c r="CT52" i="17"/>
  <c r="AW64" i="17"/>
  <c r="BO20" i="17"/>
  <c r="DL59" i="17"/>
  <c r="BA18" i="17"/>
  <c r="CM58" i="17"/>
  <c r="AR25" i="17"/>
  <c r="BX43" i="17"/>
  <c r="AO52" i="17"/>
  <c r="DV28" i="17"/>
  <c r="CX11" i="17"/>
  <c r="CG60" i="17"/>
  <c r="DT59" i="17"/>
  <c r="DU46" i="17"/>
  <c r="CK34" i="17"/>
  <c r="CW11" i="17"/>
  <c r="BS23" i="17"/>
  <c r="AT19" i="17"/>
  <c r="CX89" i="17"/>
  <c r="AV21" i="17"/>
  <c r="AN46" i="17"/>
  <c r="CE45" i="17"/>
  <c r="AS89" i="17"/>
  <c r="AQ30" i="17"/>
  <c r="DA23" i="17"/>
  <c r="CF64" i="17"/>
  <c r="CI32" i="17"/>
  <c r="DM11" i="17"/>
  <c r="DG48" i="17"/>
  <c r="BC18" i="17"/>
  <c r="CG47" i="17"/>
  <c r="DR14" i="17"/>
  <c r="DD14" i="17"/>
  <c r="DE51" i="17"/>
  <c r="BP47" i="17"/>
  <c r="Y65" i="17"/>
  <c r="DO46" i="17"/>
  <c r="CK25" i="17"/>
  <c r="BF28" i="17"/>
  <c r="BP33" i="17"/>
  <c r="CS61" i="17"/>
  <c r="DV85" i="17"/>
  <c r="DJ89" i="17"/>
  <c r="CQ53" i="17"/>
  <c r="AR67" i="17"/>
  <c r="CG23" i="17"/>
  <c r="DL18" i="17"/>
  <c r="DV18" i="17"/>
  <c r="CW23" i="17"/>
  <c r="DF20" i="17"/>
  <c r="DL52" i="17"/>
  <c r="AV60" i="17"/>
  <c r="AL67" i="17"/>
  <c r="BZ25" i="17"/>
  <c r="AV32" i="17"/>
  <c r="BX52" i="17"/>
  <c r="BF20" i="17"/>
  <c r="CI59" i="17"/>
  <c r="BE16" i="17"/>
  <c r="CQ65" i="17"/>
  <c r="AE24" i="17"/>
  <c r="CA65" i="17"/>
  <c r="AM52" i="17"/>
  <c r="DE30" i="17"/>
  <c r="CI11" i="17"/>
  <c r="BZ28" i="17"/>
  <c r="CD25" i="17"/>
  <c r="CR52" i="17"/>
  <c r="CW56" i="17"/>
  <c r="CJ22" i="17"/>
  <c r="BF16" i="17"/>
  <c r="BT65" i="17"/>
  <c r="BS26" i="17"/>
  <c r="DI32" i="17"/>
  <c r="AS52" i="17"/>
  <c r="AR60" i="17"/>
  <c r="CA68" i="17"/>
  <c r="DS18" i="17"/>
  <c r="Z34" i="17"/>
  <c r="CV42" i="17"/>
  <c r="AB23" i="17"/>
  <c r="BB34" i="17"/>
  <c r="BX13" i="17"/>
  <c r="BM14" i="17"/>
  <c r="AY14" i="17"/>
  <c r="BM45" i="17"/>
  <c r="DL23" i="17"/>
  <c r="BT68" i="17"/>
  <c r="BW47" i="17"/>
  <c r="BY53" i="17"/>
  <c r="BO23" i="17"/>
  <c r="CH19" i="17"/>
  <c r="CX64" i="17"/>
  <c r="CH57" i="17"/>
  <c r="CY27" i="17"/>
  <c r="CV46" i="17"/>
  <c r="CF46" i="17"/>
  <c r="CJ26" i="17"/>
  <c r="Q85" i="17"/>
  <c r="DV42" i="17"/>
  <c r="CP26" i="17"/>
  <c r="AP34" i="17"/>
  <c r="CO26" i="17"/>
  <c r="CN61" i="17"/>
  <c r="AH64" i="17"/>
  <c r="BH23" i="17"/>
  <c r="T65" i="17"/>
  <c r="CU60" i="17"/>
  <c r="AV86" i="17"/>
  <c r="AK86" i="17"/>
  <c r="CK16" i="17"/>
  <c r="CN19" i="17"/>
  <c r="BE42" i="17"/>
  <c r="DN89" i="17"/>
  <c r="BR61" i="17"/>
  <c r="DL12" i="17"/>
  <c r="BS61" i="17"/>
  <c r="AV34" i="17"/>
  <c r="AX60" i="17"/>
  <c r="AT88" i="17"/>
  <c r="AM60" i="17"/>
  <c r="CS25" i="17"/>
  <c r="BP23" i="17"/>
  <c r="AT67" i="17"/>
  <c r="CL60" i="17"/>
  <c r="BG54" i="17"/>
  <c r="CN43" i="17"/>
  <c r="BK54" i="17"/>
  <c r="CG20" i="17"/>
  <c r="AO31" i="17"/>
  <c r="CB16" i="17"/>
  <c r="BY13" i="17"/>
  <c r="DU34" i="17"/>
  <c r="CO52" i="17"/>
  <c r="BE13" i="17"/>
  <c r="BO18" i="17"/>
  <c r="DR86" i="17"/>
  <c r="CG86" i="17"/>
  <c r="BF88" i="17"/>
  <c r="AR88" i="17"/>
  <c r="CL43" i="17"/>
  <c r="CY60" i="17"/>
  <c r="AQ85" i="17"/>
  <c r="DI20" i="17"/>
  <c r="BY68" i="17"/>
  <c r="AY68" i="17"/>
  <c r="AO30" i="17"/>
  <c r="AJ28" i="17"/>
  <c r="AL64" i="17"/>
  <c r="AO61" i="17"/>
  <c r="AK68" i="17"/>
  <c r="AJ53" i="17"/>
  <c r="R67" i="17"/>
  <c r="BQ20" i="17"/>
  <c r="CV27" i="17"/>
  <c r="CW42" i="17"/>
  <c r="CC86" i="17"/>
  <c r="AM64" i="17"/>
  <c r="CM43" i="17"/>
  <c r="CS18" i="17"/>
  <c r="BC57" i="17"/>
  <c r="CR16" i="17"/>
  <c r="AR45" i="17"/>
  <c r="AU43" i="17"/>
  <c r="AL68" i="17"/>
  <c r="AY65" i="17"/>
  <c r="AV88" i="17"/>
  <c r="CH22" i="17"/>
  <c r="BI85" i="17"/>
  <c r="R85" i="17"/>
  <c r="AM59" i="17"/>
  <c r="BU60" i="17"/>
  <c r="AT53" i="17"/>
  <c r="AP11" i="17"/>
  <c r="AL58" i="17"/>
  <c r="AD26" i="17"/>
  <c r="AR54" i="17"/>
  <c r="AO48" i="17"/>
  <c r="DT19" i="17"/>
  <c r="CO43" i="17"/>
  <c r="AW13" i="17"/>
  <c r="BV54" i="17"/>
  <c r="BQ19" i="17"/>
  <c r="CE23" i="17"/>
  <c r="CQ43" i="17"/>
  <c r="BD22" i="17"/>
  <c r="BB20" i="17"/>
  <c r="AJ43" i="17"/>
  <c r="CK23" i="17"/>
  <c r="Q23" i="17"/>
  <c r="CX30" i="17"/>
  <c r="AZ30" i="17"/>
  <c r="CT86" i="17"/>
  <c r="BJ67" i="17"/>
  <c r="BF19" i="17"/>
  <c r="CT45" i="17"/>
  <c r="AQ67" i="17"/>
  <c r="CH51" i="17"/>
  <c r="CA51" i="17"/>
  <c r="AV56" i="17"/>
  <c r="L67" i="17"/>
  <c r="AM25" i="17"/>
  <c r="V23" i="17"/>
  <c r="CD42" i="17"/>
  <c r="BP34" i="17"/>
  <c r="DH32" i="17"/>
  <c r="AT42" i="17"/>
  <c r="O64" i="17"/>
  <c r="BT54" i="17"/>
  <c r="DJ59" i="17"/>
  <c r="CK86" i="17"/>
  <c r="BP27" i="17"/>
  <c r="AK23" i="17"/>
  <c r="CC27" i="17"/>
  <c r="AQ61" i="17"/>
  <c r="CV43" i="17"/>
  <c r="Z23" i="17"/>
  <c r="AT46" i="17"/>
  <c r="BZ20" i="17"/>
  <c r="DS67" i="17"/>
  <c r="R20" i="17"/>
  <c r="CM13" i="17"/>
  <c r="BD68" i="17"/>
  <c r="BX86" i="17"/>
  <c r="DV86" i="17"/>
  <c r="BR68" i="17"/>
  <c r="BC85" i="17"/>
  <c r="CJ24" i="17"/>
  <c r="CJ43" i="17"/>
  <c r="M24" i="17"/>
  <c r="CM45" i="17"/>
  <c r="DA53" i="17"/>
  <c r="BA11" i="17"/>
  <c r="BL27" i="17"/>
  <c r="DA89" i="17"/>
  <c r="DM42" i="17"/>
  <c r="CV85" i="17"/>
  <c r="BX33" i="17"/>
  <c r="DQ19" i="17"/>
  <c r="CX85" i="17"/>
  <c r="CF43" i="17"/>
  <c r="AU46" i="17"/>
  <c r="AS23" i="17"/>
  <c r="AP13" i="17"/>
  <c r="AU42" i="17"/>
  <c r="AR22" i="17"/>
  <c r="CD20" i="17"/>
  <c r="L16" i="17"/>
  <c r="DD48" i="17"/>
  <c r="DP67" i="17"/>
  <c r="AO42" i="17"/>
  <c r="DO16" i="17"/>
  <c r="AM42" i="17"/>
  <c r="CY47" i="17"/>
  <c r="BW59" i="17"/>
  <c r="DE31" i="17"/>
  <c r="BI47" i="17"/>
  <c r="V30" i="17"/>
  <c r="DF88" i="17"/>
  <c r="DL25" i="17"/>
  <c r="DM23" i="17"/>
  <c r="CY61" i="17"/>
  <c r="DC57" i="17"/>
  <c r="CX33" i="17"/>
  <c r="DN60" i="17"/>
  <c r="BY22" i="17"/>
  <c r="AL88" i="17"/>
  <c r="DP26" i="17"/>
  <c r="DI24" i="17"/>
  <c r="CK43" i="17"/>
  <c r="BL57" i="17"/>
  <c r="AD21" i="17"/>
  <c r="DQ24" i="17"/>
  <c r="BX20" i="17"/>
  <c r="AQ42" i="17"/>
  <c r="CN86" i="17"/>
  <c r="CB13" i="17"/>
  <c r="DN65" i="17"/>
  <c r="CK46" i="17"/>
  <c r="DK64" i="17"/>
  <c r="CC28" i="17"/>
  <c r="BQ68" i="17"/>
  <c r="DG42" i="17"/>
  <c r="BZ31" i="17"/>
  <c r="DM14" i="17"/>
  <c r="CV60" i="17"/>
  <c r="BH57" i="17"/>
  <c r="CU86" i="17"/>
  <c r="AX53" i="17"/>
  <c r="DJ53" i="17"/>
  <c r="DF61" i="17"/>
  <c r="DL51" i="17"/>
  <c r="CW31" i="17"/>
  <c r="DT48" i="17"/>
  <c r="DV45" i="17"/>
  <c r="CU11" i="17"/>
  <c r="CW12" i="17"/>
  <c r="BZ12" i="17"/>
  <c r="DA42" i="17"/>
  <c r="DO18" i="17"/>
  <c r="DS28" i="17"/>
  <c r="BM89" i="17"/>
  <c r="T64" i="17"/>
  <c r="CW68" i="17"/>
  <c r="CA22" i="17"/>
  <c r="DB32" i="17"/>
  <c r="DH42" i="17"/>
  <c r="CH53" i="17"/>
  <c r="CE64" i="17"/>
  <c r="DD25" i="17"/>
  <c r="DC31" i="17"/>
  <c r="DU26" i="17"/>
  <c r="CL54" i="17"/>
  <c r="DI89" i="17"/>
  <c r="AS47" i="17"/>
  <c r="DH51" i="17"/>
  <c r="CH45" i="17"/>
  <c r="CU18" i="17"/>
  <c r="BY61" i="17"/>
  <c r="BY43" i="17"/>
  <c r="DC54" i="17"/>
  <c r="BT32" i="17"/>
  <c r="CY65" i="17"/>
  <c r="CK14" i="17"/>
  <c r="DB24" i="17"/>
  <c r="CW26" i="17"/>
  <c r="CM32" i="17"/>
  <c r="CS60" i="17"/>
  <c r="BR42" i="17"/>
  <c r="CT11" i="17"/>
  <c r="DT67" i="17"/>
  <c r="DA30" i="17"/>
  <c r="CT59" i="17"/>
  <c r="CF18" i="17"/>
  <c r="DH27" i="17"/>
  <c r="L18" i="17"/>
  <c r="D722" i="32" s="1"/>
  <c r="AX43" i="17"/>
  <c r="BU14" i="17"/>
  <c r="BY89" i="17"/>
  <c r="BW45" i="17"/>
  <c r="CM23" i="17"/>
  <c r="CE13" i="17"/>
  <c r="BZ22" i="17"/>
  <c r="BE45" i="17"/>
  <c r="BE21" i="17"/>
  <c r="DQ28" i="17"/>
  <c r="CD19" i="17"/>
  <c r="CD67" i="17"/>
  <c r="CU20" i="17"/>
  <c r="DL20" i="17"/>
  <c r="CD48" i="17"/>
  <c r="DS14" i="17"/>
  <c r="DL45" i="17"/>
  <c r="BZ53" i="17"/>
  <c r="CV61" i="17"/>
  <c r="BQ28" i="17"/>
  <c r="BE14" i="17"/>
  <c r="CH54" i="17"/>
  <c r="DO22" i="17"/>
  <c r="DK45" i="17"/>
  <c r="CX12" i="17"/>
  <c r="DC22" i="17"/>
  <c r="BL25" i="17"/>
  <c r="BN26" i="17"/>
  <c r="AA26" i="17"/>
  <c r="CV16" i="17"/>
  <c r="DC32" i="17"/>
  <c r="AR31" i="17"/>
  <c r="BN30" i="17"/>
  <c r="AE18" i="17"/>
  <c r="AJ24" i="17"/>
  <c r="BW86" i="17"/>
  <c r="Q34" i="17"/>
  <c r="CR51" i="17"/>
  <c r="DG89" i="17"/>
  <c r="CO85" i="17"/>
  <c r="CW52" i="17"/>
  <c r="DO33" i="17"/>
  <c r="DA16" i="17"/>
  <c r="AA20" i="17"/>
  <c r="AW42" i="17"/>
  <c r="AA24" i="17"/>
  <c r="BQ45" i="17"/>
  <c r="AK25" i="17"/>
  <c r="W19" i="17"/>
  <c r="DT85" i="17"/>
  <c r="AU86" i="17"/>
  <c r="CD16" i="17"/>
  <c r="O18" i="17"/>
  <c r="G722" i="32" s="1"/>
  <c r="AC65" i="17"/>
  <c r="AD65" i="17"/>
  <c r="CK60" i="17"/>
  <c r="CP47" i="17"/>
  <c r="DC21" i="17"/>
  <c r="CP19" i="17"/>
  <c r="AJ27" i="17"/>
  <c r="BM57" i="17"/>
  <c r="BL89" i="17"/>
  <c r="BE12" i="17"/>
  <c r="BJ61" i="17"/>
  <c r="AS56" i="17"/>
  <c r="AP25" i="17"/>
  <c r="AF18" i="17"/>
  <c r="CW48" i="17"/>
  <c r="CW45" i="17"/>
  <c r="CS27" i="17"/>
  <c r="BB24" i="17"/>
  <c r="CC53" i="17"/>
  <c r="BY58" i="17"/>
  <c r="CO12" i="17"/>
  <c r="V67" i="17"/>
  <c r="Z19" i="17"/>
  <c r="AE64" i="17"/>
  <c r="AX13" i="17"/>
  <c r="CO31" i="17"/>
  <c r="AK22" i="17"/>
  <c r="DP85" i="17"/>
  <c r="DL43" i="17"/>
  <c r="DR11" i="17"/>
  <c r="AJ64" i="17"/>
  <c r="AL86" i="17"/>
  <c r="DT65" i="17"/>
  <c r="BV67" i="17"/>
  <c r="AQ16" i="17"/>
  <c r="N65" i="17"/>
  <c r="BC23" i="17"/>
  <c r="AS68" i="17"/>
  <c r="AR12" i="17"/>
  <c r="BG46" i="17"/>
  <c r="AZ46" i="17"/>
  <c r="BD14" i="17"/>
  <c r="DK33" i="17"/>
  <c r="BC52" i="17"/>
  <c r="BM43" i="17"/>
  <c r="AN28" i="17"/>
  <c r="DC47" i="17"/>
  <c r="DU13" i="17"/>
  <c r="DA56" i="17"/>
  <c r="N18" i="17"/>
  <c r="F722" i="32" s="1"/>
  <c r="BO86" i="17"/>
  <c r="DK85" i="17"/>
  <c r="BH86" i="17"/>
  <c r="W65" i="17"/>
  <c r="BD13" i="17"/>
  <c r="AR27" i="17"/>
  <c r="CN52" i="17"/>
  <c r="DK42" i="17"/>
  <c r="P23" i="17"/>
  <c r="BW89" i="17"/>
  <c r="CL68" i="17"/>
  <c r="BB42" i="17"/>
  <c r="AZ26" i="17"/>
  <c r="CH42" i="17"/>
  <c r="BD45" i="17"/>
  <c r="AO46" i="17"/>
  <c r="AY59" i="17"/>
  <c r="BR86" i="17"/>
  <c r="AM33" i="17"/>
  <c r="CI61" i="17"/>
  <c r="BT19" i="17"/>
  <c r="BB53" i="17"/>
  <c r="AC85" i="17"/>
  <c r="BB64" i="17"/>
  <c r="BZ43" i="17"/>
  <c r="CC64" i="17"/>
  <c r="AY64" i="17"/>
  <c r="BC42" i="17"/>
  <c r="AQ57" i="17"/>
  <c r="BV58" i="17"/>
  <c r="DK65" i="17"/>
  <c r="AN31" i="17"/>
  <c r="AN25" i="17"/>
  <c r="BY42" i="17"/>
  <c r="Y27" i="17"/>
  <c r="BB14" i="17"/>
  <c r="BE30" i="17"/>
  <c r="BE64" i="17"/>
  <c r="BM88" i="17"/>
  <c r="R21" i="17"/>
  <c r="AJ18" i="17"/>
  <c r="BZ85" i="17"/>
  <c r="AO64" i="17"/>
  <c r="DP16" i="17"/>
  <c r="CE26" i="17"/>
  <c r="AW56" i="17"/>
  <c r="CB32" i="17"/>
  <c r="BU33" i="17"/>
  <c r="CP28" i="17"/>
  <c r="DR30" i="17"/>
  <c r="AG64" i="17"/>
  <c r="O23" i="17"/>
  <c r="AJ32" i="17"/>
  <c r="CK85" i="17"/>
  <c r="AK46" i="17"/>
  <c r="CR56" i="17"/>
  <c r="R64" i="17"/>
  <c r="BA54" i="17"/>
  <c r="CK32" i="17"/>
  <c r="AL23" i="17"/>
  <c r="AK42" i="17"/>
  <c r="AX58" i="17"/>
  <c r="BQ13" i="17"/>
  <c r="V24" i="17"/>
  <c r="AQ48" i="17"/>
  <c r="AL85" i="17"/>
  <c r="AZ88" i="17"/>
  <c r="CA48" i="17"/>
  <c r="AO22" i="17"/>
  <c r="CN53" i="17"/>
  <c r="DG86" i="17"/>
  <c r="DN52" i="17"/>
  <c r="AS21" i="17"/>
  <c r="X20" i="17"/>
  <c r="BE86" i="17"/>
  <c r="BW53" i="17"/>
  <c r="AJ58" i="17"/>
  <c r="BJ86" i="17"/>
  <c r="DN85" i="17"/>
  <c r="BW14" i="17"/>
  <c r="BL85" i="17"/>
  <c r="AT43" i="17"/>
  <c r="CX88" i="17"/>
  <c r="BE28" i="17"/>
  <c r="BV61" i="17"/>
  <c r="DN57" i="17"/>
  <c r="CI45" i="17"/>
  <c r="DH53" i="17"/>
  <c r="DV48" i="17"/>
  <c r="CW46" i="17"/>
  <c r="CH27" i="17"/>
  <c r="CM60" i="17"/>
  <c r="BR12" i="17"/>
  <c r="CX48" i="17"/>
  <c r="CH68" i="17"/>
  <c r="CA89" i="17"/>
  <c r="BJ34" i="17"/>
  <c r="BY88" i="17"/>
  <c r="Q27" i="17"/>
  <c r="AS16" i="17"/>
  <c r="DG88" i="17"/>
  <c r="BL11" i="17"/>
  <c r="AY67" i="17"/>
  <c r="CL27" i="17"/>
  <c r="AP54" i="17"/>
  <c r="CN68" i="17"/>
  <c r="DE46" i="17"/>
  <c r="BT85" i="17"/>
  <c r="BY60" i="17"/>
  <c r="BT28" i="17"/>
  <c r="CB23" i="17"/>
  <c r="DK53" i="17"/>
  <c r="AN43" i="17"/>
  <c r="DM88" i="17"/>
  <c r="BE59" i="17"/>
  <c r="BQ52" i="17"/>
  <c r="CC14" i="17"/>
  <c r="DG27" i="17"/>
  <c r="DH31" i="17"/>
  <c r="AV27" i="17"/>
  <c r="DR45" i="17"/>
  <c r="CI89" i="17"/>
  <c r="BY11" i="17"/>
  <c r="DU45" i="17"/>
  <c r="BI23" i="17"/>
  <c r="BS19" i="17"/>
  <c r="BZ48" i="17"/>
  <c r="CJ65" i="17"/>
  <c r="DH25" i="17"/>
  <c r="DL16" i="17"/>
  <c r="CL14" i="17"/>
  <c r="CQ46" i="17"/>
  <c r="DD45" i="17"/>
  <c r="DH28" i="17"/>
  <c r="DS21" i="17"/>
  <c r="V22" i="17"/>
  <c r="DB58" i="17"/>
  <c r="BJ14" i="17"/>
  <c r="DO27" i="17"/>
  <c r="AE26" i="17"/>
  <c r="BT27" i="17"/>
  <c r="DQ67" i="17"/>
  <c r="DC16" i="17"/>
  <c r="BH19" i="17"/>
  <c r="BA33" i="17"/>
  <c r="AT58" i="17"/>
  <c r="BM16" i="17"/>
  <c r="BR23" i="17"/>
  <c r="BI51" i="17"/>
  <c r="DT68" i="17"/>
  <c r="CS57" i="17"/>
  <c r="BM20" i="17"/>
  <c r="DL89" i="17"/>
  <c r="AQ88" i="17"/>
  <c r="BI68" i="17"/>
  <c r="CC85" i="17"/>
  <c r="AU11" i="17"/>
  <c r="BK12" i="17"/>
  <c r="CR65" i="17"/>
  <c r="BM86" i="17"/>
  <c r="BX23" i="17"/>
  <c r="DR48" i="17"/>
  <c r="CQ88" i="17"/>
  <c r="BB12" i="17"/>
  <c r="DB60" i="17"/>
  <c r="CV18" i="17"/>
  <c r="BI65" i="17"/>
  <c r="BH25" i="17"/>
  <c r="DR25" i="17"/>
  <c r="DE59" i="17"/>
  <c r="BK21" i="17"/>
  <c r="AL21" i="17"/>
  <c r="BF53" i="17"/>
  <c r="BI53" i="17"/>
  <c r="CA19" i="17"/>
  <c r="BR48" i="17"/>
  <c r="CG59" i="17"/>
  <c r="M22" i="17"/>
  <c r="E725" i="32" s="1"/>
  <c r="DK22" i="17"/>
  <c r="CZ19" i="17"/>
  <c r="CB56" i="17"/>
  <c r="CV86" i="17"/>
  <c r="CO23" i="17"/>
  <c r="BM53" i="17"/>
  <c r="DK68" i="17"/>
  <c r="CJ51" i="17"/>
  <c r="BB25" i="17"/>
  <c r="DE58" i="17"/>
  <c r="BC43" i="17"/>
  <c r="AV11" i="17"/>
  <c r="DM60" i="17"/>
  <c r="DI19" i="17"/>
  <c r="BB18" i="17"/>
  <c r="BZ61" i="17"/>
  <c r="DB54" i="17"/>
  <c r="CQ56" i="17"/>
  <c r="R18" i="17"/>
  <c r="CW85" i="17"/>
  <c r="Q67" i="17"/>
  <c r="CB57" i="17"/>
  <c r="BN21" i="17"/>
  <c r="CK11" i="17"/>
  <c r="AF19" i="17"/>
  <c r="AS65" i="17"/>
  <c r="CB60" i="17"/>
  <c r="CQ14" i="17"/>
  <c r="DR57" i="17"/>
  <c r="BP43" i="17"/>
  <c r="CB25" i="17"/>
  <c r="DS22" i="17"/>
  <c r="BF24" i="17"/>
  <c r="BD21" i="17"/>
  <c r="CJ14" i="17"/>
  <c r="AT65" i="17"/>
  <c r="CL23" i="17"/>
  <c r="BU57" i="17"/>
  <c r="AY57" i="17"/>
  <c r="AX45" i="17"/>
  <c r="CD57" i="17"/>
  <c r="AR52" i="17"/>
  <c r="BE57" i="17"/>
  <c r="CD24" i="17"/>
  <c r="DF13" i="17"/>
  <c r="AS64" i="17"/>
  <c r="X23" i="17"/>
  <c r="AL59" i="17"/>
  <c r="BC26" i="17"/>
  <c r="AO47" i="17"/>
  <c r="CT48" i="17"/>
  <c r="BZ65" i="17"/>
  <c r="CH86" i="17"/>
  <c r="AB67" i="17"/>
  <c r="BI67" i="17"/>
  <c r="CB45" i="17"/>
  <c r="BF21" i="17"/>
  <c r="AO11" i="17"/>
  <c r="T21" i="17"/>
  <c r="L22" i="17"/>
  <c r="D725" i="32" s="1"/>
  <c r="AF85" i="17"/>
  <c r="AP48" i="17"/>
  <c r="BR24" i="17"/>
  <c r="DA14" i="17"/>
  <c r="AJ67" i="17"/>
  <c r="DK51" i="17"/>
  <c r="BW27" i="17"/>
  <c r="DP43" i="17"/>
  <c r="AJ59" i="17"/>
  <c r="AK16" i="17"/>
  <c r="Q20" i="17"/>
  <c r="CR26" i="17"/>
  <c r="AQ54" i="17"/>
  <c r="BK33" i="17"/>
  <c r="CN18" i="17"/>
  <c r="CC47" i="17"/>
  <c r="DI25" i="17"/>
  <c r="AW34" i="17"/>
  <c r="DE53" i="17"/>
  <c r="L21" i="17"/>
  <c r="D724" i="32" s="1"/>
  <c r="AL11" i="17"/>
  <c r="DO85" i="17"/>
  <c r="AQ59" i="17"/>
  <c r="BE61" i="17"/>
  <c r="S20" i="17"/>
  <c r="BR18" i="17"/>
  <c r="AP61" i="17"/>
  <c r="DG22" i="17"/>
  <c r="Y18" i="17"/>
  <c r="BO28" i="17"/>
  <c r="BU43" i="17"/>
  <c r="BU56" i="17"/>
  <c r="CN24" i="17"/>
  <c r="BB89" i="17"/>
  <c r="AP43" i="17"/>
  <c r="CE61" i="17"/>
  <c r="AU23" i="17"/>
  <c r="CD33" i="17"/>
  <c r="BH28" i="17"/>
  <c r="AJ20" i="17"/>
  <c r="CM54" i="17"/>
  <c r="AX54" i="17"/>
  <c r="BC53" i="17"/>
  <c r="AX51" i="17"/>
  <c r="AJ34" i="17"/>
  <c r="O85" i="17"/>
  <c r="U26" i="17"/>
  <c r="CT88" i="17"/>
  <c r="DG43" i="17"/>
  <c r="CP51" i="17"/>
  <c r="AL42" i="17"/>
  <c r="AY47" i="17"/>
  <c r="DN68" i="17"/>
  <c r="CH18" i="17"/>
  <c r="AZ13" i="17"/>
  <c r="AY22" i="17"/>
  <c r="CS56" i="17"/>
  <c r="DD28" i="17"/>
  <c r="BZ14" i="17"/>
  <c r="BE18" i="17"/>
  <c r="DA85" i="17"/>
  <c r="V26" i="17"/>
  <c r="CN54" i="17"/>
  <c r="AT24" i="17"/>
  <c r="CT54" i="17"/>
  <c r="BF54" i="17"/>
  <c r="CB54" i="17"/>
  <c r="CZ51" i="17"/>
  <c r="BL16" i="17"/>
  <c r="DB21" i="17"/>
  <c r="BM31" i="17"/>
  <c r="BP52" i="17"/>
  <c r="BL31" i="17"/>
  <c r="BB59" i="17"/>
  <c r="BZ26" i="17"/>
  <c r="CL33" i="17"/>
  <c r="BJ52" i="17"/>
  <c r="CL28" i="17"/>
  <c r="DQ43" i="17"/>
  <c r="AJ61" i="17"/>
  <c r="BH16" i="17"/>
  <c r="BR53" i="17"/>
  <c r="BI12" i="17"/>
  <c r="CK51" i="17"/>
  <c r="BP67" i="17"/>
  <c r="BY14" i="17"/>
  <c r="L85" i="17"/>
  <c r="BZ24" i="17"/>
  <c r="DD57" i="17"/>
  <c r="CB18" i="17"/>
  <c r="CT27" i="17"/>
  <c r="BD25" i="17"/>
  <c r="AP52" i="17"/>
  <c r="BF60" i="17"/>
  <c r="AU32" i="17"/>
  <c r="AM65" i="17"/>
  <c r="AI19" i="17"/>
  <c r="Y20" i="17"/>
  <c r="BV24" i="17"/>
  <c r="N67" i="17"/>
  <c r="AJ57" i="17"/>
  <c r="DJ45" i="17"/>
  <c r="CR57" i="17"/>
  <c r="BM85" i="17"/>
  <c r="DT60" i="17"/>
  <c r="AB65" i="17"/>
  <c r="BM25" i="17"/>
  <c r="DU33" i="17"/>
  <c r="BM46" i="17"/>
  <c r="DG11" i="17"/>
  <c r="CM11" i="17"/>
  <c r="DI57" i="17"/>
  <c r="BN20" i="17"/>
  <c r="BK58" i="17"/>
  <c r="CW61" i="17"/>
  <c r="DL56" i="17"/>
  <c r="BD65" i="17"/>
  <c r="BV52" i="17"/>
  <c r="DH30" i="17"/>
  <c r="DE11" i="17"/>
  <c r="CR47" i="17"/>
  <c r="CB22" i="17"/>
  <c r="CS45" i="17"/>
  <c r="DI51" i="17"/>
  <c r="CD65" i="17"/>
  <c r="BE46" i="17"/>
  <c r="DI61" i="17"/>
  <c r="CI88" i="17"/>
  <c r="Y67" i="17"/>
  <c r="CQ12" i="17"/>
  <c r="DQ58" i="17"/>
  <c r="DD42" i="17"/>
  <c r="AT48" i="17"/>
  <c r="AO19" i="17"/>
  <c r="N20" i="17"/>
  <c r="F726" i="32" s="1"/>
  <c r="CC23" i="17"/>
  <c r="DC60" i="17"/>
  <c r="DC13" i="17"/>
  <c r="DI58" i="17"/>
  <c r="CZ58" i="17"/>
  <c r="BY28" i="17"/>
  <c r="AK47" i="17"/>
  <c r="CR31" i="17"/>
  <c r="CP88" i="17"/>
  <c r="BQ21" i="17"/>
  <c r="DG25" i="17"/>
  <c r="DS85" i="17"/>
  <c r="BR34" i="17"/>
  <c r="CN22" i="17"/>
  <c r="CM85" i="17"/>
  <c r="AK34" i="17"/>
  <c r="CQ28" i="17"/>
  <c r="DF14" i="17"/>
  <c r="BP32" i="17"/>
  <c r="BA32" i="17"/>
  <c r="CZ11" i="17"/>
  <c r="DO43" i="17"/>
  <c r="CQ16" i="17"/>
  <c r="CC30" i="17"/>
  <c r="CR53" i="17"/>
  <c r="CK52" i="17"/>
  <c r="DH20" i="17"/>
  <c r="BU22" i="17"/>
  <c r="BW43" i="17"/>
  <c r="BO13" i="17"/>
  <c r="CT16" i="17"/>
  <c r="CR67" i="17"/>
  <c r="BM26" i="17"/>
  <c r="DM27" i="17"/>
  <c r="AO21" i="17"/>
  <c r="BQ30" i="17"/>
  <c r="BP20" i="17"/>
  <c r="DF89" i="17"/>
  <c r="CK30" i="17"/>
  <c r="CB48" i="17"/>
  <c r="CR68" i="17"/>
  <c r="CP53" i="17"/>
  <c r="CM89" i="17"/>
  <c r="AY58" i="17"/>
  <c r="AY31" i="17"/>
  <c r="CS30" i="17"/>
  <c r="DH86" i="17"/>
  <c r="BL86" i="17"/>
  <c r="BA65" i="17"/>
  <c r="CO30" i="17"/>
  <c r="CK68" i="17"/>
  <c r="BM61" i="17"/>
  <c r="AK27" i="17"/>
  <c r="CS88" i="17"/>
  <c r="DJ27" i="17"/>
  <c r="DB59" i="17"/>
  <c r="AU22" i="17"/>
  <c r="DF23" i="17"/>
  <c r="CF25" i="17"/>
  <c r="BD59" i="17"/>
  <c r="CY45" i="17"/>
  <c r="DH23" i="17"/>
  <c r="P85" i="17"/>
  <c r="CM19" i="17"/>
  <c r="DG64" i="17"/>
  <c r="BH67" i="17"/>
  <c r="CC25" i="17"/>
  <c r="CY43" i="17"/>
  <c r="CH21" i="17"/>
  <c r="P30" i="17"/>
  <c r="H741" i="32" s="1"/>
  <c r="CI46" i="17"/>
  <c r="BX85" i="17"/>
  <c r="AY26" i="17"/>
  <c r="AO59" i="17"/>
  <c r="DU18" i="17"/>
  <c r="DT21" i="17"/>
  <c r="CI52" i="17"/>
  <c r="AY11" i="17"/>
  <c r="CQ25" i="17"/>
  <c r="BI48" i="17"/>
  <c r="CA34" i="17"/>
  <c r="BN59" i="17"/>
  <c r="CY33" i="17"/>
  <c r="CT57" i="17"/>
  <c r="BX65" i="17"/>
  <c r="DI46" i="17"/>
  <c r="BJ64" i="17"/>
  <c r="BE54" i="17"/>
  <c r="CF58" i="17"/>
  <c r="DL24" i="17"/>
  <c r="CM46" i="17"/>
  <c r="BH33" i="17"/>
  <c r="DF68" i="17"/>
  <c r="DL60" i="17"/>
  <c r="CW14" i="17"/>
  <c r="DN43" i="17"/>
  <c r="AL65" i="17"/>
  <c r="AY86" i="17"/>
  <c r="AI85" i="17"/>
  <c r="AX68" i="17"/>
  <c r="AJ26" i="17"/>
  <c r="CT65" i="17"/>
  <c r="CI33" i="17"/>
  <c r="X67" i="17"/>
  <c r="CM25" i="17"/>
  <c r="BS57" i="17"/>
  <c r="DJ20" i="17"/>
  <c r="CM16" i="17"/>
  <c r="CO27" i="17"/>
  <c r="CY53" i="17"/>
  <c r="DF54" i="17"/>
  <c r="AZ31" i="17"/>
  <c r="CF52" i="17"/>
  <c r="AT61" i="17"/>
  <c r="BE48" i="17"/>
  <c r="X27" i="17"/>
  <c r="BD28" i="17"/>
  <c r="AD27" i="17"/>
  <c r="BA20" i="17"/>
  <c r="CP58" i="17"/>
  <c r="CL65" i="17"/>
  <c r="CO57" i="17"/>
  <c r="DJ57" i="17"/>
  <c r="BT59" i="17"/>
  <c r="DP48" i="17"/>
  <c r="CN20" i="17"/>
  <c r="AM68" i="17"/>
  <c r="AI64" i="17"/>
  <c r="AV13" i="17"/>
  <c r="BN16" i="17"/>
  <c r="CE86" i="17"/>
  <c r="BH42" i="17"/>
  <c r="AJ14" i="17"/>
  <c r="DT43" i="17"/>
  <c r="DK61" i="17"/>
  <c r="S30" i="17"/>
  <c r="P21" i="17"/>
  <c r="H724" i="32" s="1"/>
  <c r="AJ89" i="17"/>
  <c r="BY45" i="17"/>
  <c r="BA45" i="17"/>
  <c r="R22" i="17"/>
  <c r="CJ12" i="17"/>
  <c r="W27" i="17"/>
  <c r="DC25" i="17"/>
  <c r="BL23" i="17"/>
  <c r="BC60" i="17"/>
  <c r="BW58" i="17"/>
  <c r="AM22" i="17"/>
  <c r="DI86" i="17"/>
  <c r="DQ42" i="17"/>
  <c r="CW18" i="17"/>
  <c r="BJ54" i="17"/>
  <c r="BG20" i="17"/>
  <c r="BW16" i="17"/>
  <c r="DJ32" i="17"/>
  <c r="AQ56" i="17"/>
  <c r="M19" i="17"/>
  <c r="E723" i="32" s="1"/>
  <c r="AB19" i="17"/>
  <c r="AN56" i="17"/>
  <c r="BL61" i="17"/>
  <c r="U20" i="17"/>
  <c r="BG64" i="17"/>
  <c r="CU45" i="17"/>
  <c r="AV22" i="17"/>
  <c r="DN33" i="17"/>
  <c r="DG23" i="17"/>
  <c r="DH64" i="17"/>
  <c r="AP86" i="17"/>
  <c r="CW59" i="17"/>
  <c r="BJ89" i="17"/>
  <c r="BI54" i="17"/>
  <c r="DI85" i="17"/>
  <c r="AL30" i="17"/>
  <c r="BL18" i="17"/>
  <c r="AE85" i="17"/>
  <c r="BK48" i="17"/>
  <c r="BO32" i="17"/>
  <c r="BD89" i="17"/>
  <c r="AS67" i="17"/>
  <c r="CX32" i="17"/>
  <c r="AT34" i="17"/>
  <c r="CO59" i="17"/>
  <c r="AE34" i="17"/>
  <c r="BF25" i="17"/>
  <c r="AK24" i="17"/>
  <c r="BB16" i="17"/>
  <c r="AV31" i="17"/>
  <c r="CO34" i="17"/>
  <c r="BZ86" i="17"/>
  <c r="AX61" i="17"/>
  <c r="AL20" i="17"/>
  <c r="BA64" i="17"/>
  <c r="DB67" i="17"/>
  <c r="BC45" i="17"/>
  <c r="AE67" i="17"/>
  <c r="AW54" i="17"/>
  <c r="CJ85" i="17"/>
  <c r="AM13" i="17"/>
  <c r="BX64" i="17"/>
  <c r="AU53" i="17"/>
  <c r="AJ19" i="17"/>
  <c r="CV11" i="17"/>
  <c r="BO56" i="17"/>
  <c r="CA32" i="17"/>
  <c r="DB61" i="17"/>
  <c r="AY25" i="17"/>
  <c r="R65" i="17"/>
  <c r="CN33" i="17"/>
  <c r="AM51" i="17"/>
  <c r="BE85" i="17"/>
  <c r="CB85" i="17"/>
  <c r="BJ32" i="17"/>
  <c r="AR59" i="17"/>
  <c r="BQ56" i="17"/>
  <c r="DA21" i="17"/>
  <c r="CB58" i="17"/>
  <c r="W21" i="17"/>
  <c r="BK25" i="17"/>
  <c r="BL20" i="17"/>
  <c r="BY18" i="17"/>
  <c r="DO25" i="17"/>
  <c r="AL16" i="17"/>
  <c r="CD30" i="17"/>
  <c r="BW56" i="17"/>
  <c r="BV68" i="17"/>
  <c r="DB86" i="17"/>
  <c r="BT16" i="17"/>
  <c r="DI33" i="17"/>
  <c r="V19" i="17"/>
  <c r="BB28" i="17"/>
  <c r="DG85" i="17"/>
  <c r="CA67" i="17"/>
  <c r="AM12" i="17"/>
  <c r="BA30" i="17"/>
  <c r="CQ33" i="17"/>
  <c r="AQ27" i="17"/>
  <c r="BR60" i="17"/>
  <c r="BD24" i="17"/>
  <c r="BK14" i="17"/>
  <c r="BC47" i="17"/>
  <c r="DG30" i="17"/>
  <c r="DN20" i="17"/>
  <c r="BF46" i="17"/>
  <c r="CT24" i="17"/>
  <c r="AS18" i="17"/>
  <c r="BI64" i="17"/>
  <c r="BQ43" i="17"/>
  <c r="DC85" i="17"/>
  <c r="CE33" i="17"/>
  <c r="BW18" i="17"/>
  <c r="AJ45" i="17"/>
  <c r="BJ33" i="17"/>
  <c r="BA48" i="17"/>
  <c r="CX58" i="17"/>
  <c r="BU89" i="17"/>
  <c r="CE65" i="17"/>
  <c r="BK61" i="17"/>
  <c r="CP45" i="17"/>
  <c r="BT22" i="17"/>
  <c r="CA61" i="17"/>
  <c r="CK64" i="17"/>
  <c r="CS33" i="17"/>
  <c r="DJ12" i="17"/>
  <c r="CX31" i="17"/>
  <c r="BP45" i="17"/>
  <c r="BL13" i="17"/>
  <c r="DP45" i="17"/>
  <c r="DU30" i="17"/>
  <c r="DR43" i="17"/>
  <c r="BJ65" i="17"/>
  <c r="CZ61" i="17"/>
  <c r="CE14" i="17"/>
  <c r="BR20" i="17"/>
  <c r="CE28" i="17"/>
  <c r="AU59" i="17"/>
  <c r="AY46" i="17"/>
  <c r="BS48" i="17"/>
  <c r="CR59" i="17"/>
  <c r="DK47" i="17"/>
  <c r="CL24" i="17"/>
  <c r="CU54" i="17"/>
  <c r="AN30" i="17"/>
  <c r="CC22" i="17"/>
  <c r="BM56" i="17"/>
  <c r="BB48" i="17"/>
  <c r="DT11" i="17"/>
  <c r="DR28" i="17"/>
  <c r="BH31" i="17"/>
  <c r="DF86" i="17"/>
  <c r="AD67" i="17"/>
  <c r="BT45" i="17"/>
  <c r="DM59" i="17"/>
  <c r="CX43" i="17"/>
  <c r="BT20" i="17"/>
  <c r="CP14" i="17"/>
  <c r="CT19" i="17"/>
  <c r="CK42" i="17"/>
  <c r="DO34" i="17"/>
  <c r="CK19" i="17"/>
  <c r="AN21" i="17"/>
  <c r="DK11" i="17"/>
  <c r="CZ25" i="17"/>
  <c r="AZ53" i="17"/>
  <c r="BL60" i="17"/>
  <c r="DH16" i="17"/>
  <c r="BS42" i="17"/>
  <c r="BH68" i="17"/>
  <c r="CA45" i="17"/>
  <c r="DD59" i="17"/>
  <c r="CX47" i="17"/>
  <c r="CN13" i="17"/>
  <c r="CD59" i="17"/>
  <c r="DU68" i="17"/>
  <c r="DE23" i="17"/>
  <c r="AU12" i="17"/>
  <c r="CQ48" i="17"/>
  <c r="DB34" i="17"/>
  <c r="DA32" i="17"/>
  <c r="CG85" i="17"/>
  <c r="AM56" i="17"/>
  <c r="DF26" i="17"/>
  <c r="AN54" i="17"/>
  <c r="BD52" i="17"/>
  <c r="CO16" i="17"/>
  <c r="CI42" i="17"/>
  <c r="DG24" i="17"/>
  <c r="BF30" i="17"/>
  <c r="BO57" i="17"/>
  <c r="DI28" i="17"/>
  <c r="BM27" i="17"/>
  <c r="CZ26" i="17"/>
  <c r="DL53" i="17"/>
  <c r="AK85" i="17"/>
  <c r="CS16" i="17"/>
  <c r="BW48" i="17"/>
  <c r="DN11" i="17"/>
  <c r="DS57" i="17"/>
  <c r="AR14" i="17"/>
  <c r="CW13" i="17"/>
  <c r="BR14" i="17"/>
  <c r="AI20" i="17"/>
  <c r="AT21" i="17"/>
  <c r="BD51" i="17"/>
  <c r="BG30" i="17"/>
  <c r="CS13" i="17"/>
  <c r="CA14" i="17"/>
  <c r="DT56" i="17"/>
  <c r="CI64" i="17"/>
  <c r="L64" i="17"/>
  <c r="CZ28" i="17"/>
  <c r="DU60" i="17"/>
  <c r="AU58" i="17"/>
  <c r="AJ33" i="17"/>
  <c r="DC68" i="17"/>
  <c r="BG89" i="17"/>
  <c r="DL26" i="17"/>
  <c r="BT11" i="17"/>
  <c r="BP57" i="17"/>
  <c r="CE58" i="17"/>
  <c r="CS19" i="17"/>
  <c r="CR28" i="17"/>
  <c r="BI19" i="17"/>
  <c r="CK20" i="17"/>
  <c r="BO27" i="17"/>
  <c r="CU23" i="17"/>
  <c r="DM48" i="17"/>
  <c r="CO13" i="17"/>
  <c r="DA20" i="17"/>
  <c r="Y22" i="17"/>
  <c r="CK22" i="17"/>
  <c r="AL48" i="17"/>
  <c r="CH58" i="17"/>
  <c r="DS86" i="17"/>
  <c r="BF14" i="17"/>
  <c r="AZ27" i="17"/>
  <c r="AO34" i="17"/>
  <c r="CV51" i="17"/>
  <c r="AW51" i="17"/>
  <c r="BI33" i="17"/>
  <c r="CS43" i="17"/>
  <c r="R34" i="17"/>
  <c r="CS42" i="17"/>
  <c r="AW67" i="17"/>
  <c r="BV86" i="17"/>
  <c r="CD14" i="17"/>
  <c r="O65" i="17"/>
  <c r="CX23" i="17"/>
  <c r="DQ86" i="17"/>
  <c r="BD85" i="17"/>
  <c r="R27" i="17"/>
  <c r="AY23" i="17"/>
  <c r="AO88" i="17"/>
  <c r="AV48" i="17"/>
  <c r="CS12" i="17"/>
  <c r="AY52" i="17"/>
  <c r="Q18" i="17"/>
  <c r="BQ27" i="17"/>
  <c r="BH30" i="17"/>
  <c r="CR33" i="17"/>
  <c r="AQ64" i="17"/>
  <c r="BU85" i="17"/>
  <c r="CC34" i="17"/>
  <c r="BC14" i="17"/>
  <c r="BZ27" i="17"/>
  <c r="AT45" i="17"/>
  <c r="BU64" i="17"/>
  <c r="CT43" i="17"/>
  <c r="BA22" i="17"/>
  <c r="AP60" i="17"/>
  <c r="CA30" i="17"/>
  <c r="DN22" i="17"/>
  <c r="BH13" i="17"/>
  <c r="AC67" i="17"/>
  <c r="AL89" i="17"/>
  <c r="CC11" i="17"/>
  <c r="CF48" i="17"/>
  <c r="AN13" i="17"/>
  <c r="AW85" i="17"/>
  <c r="AO13" i="17"/>
  <c r="BA23" i="17"/>
  <c r="AQ24" i="17"/>
  <c r="BA58" i="17"/>
  <c r="BA52" i="17"/>
  <c r="BK86" i="17"/>
  <c r="CG28" i="17"/>
  <c r="CD13" i="17"/>
  <c r="BB47" i="17"/>
  <c r="AG20" i="17"/>
  <c r="DR24" i="17"/>
  <c r="CF31" i="17"/>
  <c r="DI53" i="17"/>
  <c r="BK27" i="17"/>
  <c r="BR25" i="17"/>
  <c r="AZ32" i="17"/>
  <c r="BY57" i="17"/>
  <c r="AR13" i="17"/>
  <c r="CR88" i="17"/>
  <c r="AP68" i="17"/>
  <c r="CU43" i="17"/>
  <c r="Q19" i="17"/>
  <c r="CW20" i="17"/>
  <c r="DQ26" i="17"/>
  <c r="AK43" i="17"/>
  <c r="DL31" i="17"/>
  <c r="DN19" i="17"/>
  <c r="DH59" i="17"/>
  <c r="BA68" i="17"/>
  <c r="BF26" i="17"/>
  <c r="AZ25" i="17"/>
  <c r="AB24" i="17"/>
  <c r="BT30" i="17"/>
  <c r="CX34" i="17"/>
  <c r="AZ48" i="17"/>
  <c r="BI24" i="17"/>
  <c r="AC21" i="17"/>
  <c r="BG12" i="17"/>
  <c r="V18" i="17"/>
  <c r="DQ52" i="17"/>
  <c r="BH51" i="17"/>
  <c r="AN23" i="17"/>
  <c r="AU28" i="17"/>
  <c r="BB32" i="17"/>
  <c r="AC26" i="17"/>
  <c r="CE67" i="17"/>
  <c r="BK43" i="17"/>
  <c r="CA26" i="17"/>
  <c r="X85" i="17"/>
  <c r="BW23" i="17"/>
  <c r="CN59" i="17"/>
  <c r="BO42" i="17"/>
  <c r="CE42" i="17"/>
  <c r="BE67" i="17"/>
  <c r="AF20" i="17"/>
  <c r="BC19" i="17"/>
  <c r="BO64" i="17"/>
  <c r="BD42" i="17"/>
  <c r="AT31" i="17"/>
  <c r="BW52" i="17"/>
  <c r="AN20" i="17"/>
  <c r="DI14" i="17"/>
  <c r="DO60" i="17"/>
  <c r="AJ47" i="17"/>
  <c r="BU30" i="17"/>
  <c r="BJ85" i="17"/>
  <c r="AX12" i="17"/>
  <c r="AR65" i="17"/>
  <c r="BG85" i="17"/>
  <c r="BB65" i="17"/>
  <c r="AB21" i="17"/>
  <c r="S19" i="17"/>
  <c r="AS22" i="17"/>
  <c r="CI65" i="17"/>
  <c r="AY89" i="17"/>
  <c r="BJ30" i="17"/>
  <c r="DB45" i="17"/>
  <c r="CS67" i="17"/>
  <c r="BY23" i="17"/>
  <c r="BA56" i="17"/>
  <c r="CY86" i="17"/>
  <c r="BO21" i="17"/>
  <c r="BK64" i="17"/>
  <c r="CZ64" i="17"/>
  <c r="BH14" i="17"/>
  <c r="BV33" i="17"/>
  <c r="BG58" i="17"/>
  <c r="CC26" i="17"/>
  <c r="CK48" i="17"/>
  <c r="BI86" i="17"/>
  <c r="AM31" i="17"/>
  <c r="BE23" i="17"/>
  <c r="AQ43" i="17"/>
  <c r="BX21" i="17"/>
  <c r="BE43" i="17"/>
  <c r="AZ22" i="17"/>
  <c r="DF59" i="17"/>
  <c r="W26" i="17"/>
  <c r="CS11" i="17"/>
  <c r="DN88" i="17"/>
  <c r="DJ26" i="17"/>
  <c r="DF60" i="17"/>
  <c r="AZ65" i="17"/>
  <c r="DC43" i="17"/>
  <c r="AS86" i="17"/>
  <c r="AZ16" i="17"/>
  <c r="AR47" i="17"/>
  <c r="BR52" i="17"/>
  <c r="BA47" i="17"/>
  <c r="BJ88" i="17"/>
  <c r="AM86" i="17"/>
  <c r="BA25" i="17"/>
  <c r="CU32" i="17"/>
  <c r="U18" i="17"/>
  <c r="DI68" i="17"/>
  <c r="CX68" i="17"/>
  <c r="DR21" i="17"/>
  <c r="BO59" i="17"/>
  <c r="Z26" i="17"/>
  <c r="CI58" i="17"/>
  <c r="AX56" i="17"/>
  <c r="DE24" i="17"/>
  <c r="BP12" i="17"/>
  <c r="DD19" i="17"/>
  <c r="DM22" i="17"/>
  <c r="BU20" i="17"/>
  <c r="DK21" i="17"/>
  <c r="CL46" i="17"/>
  <c r="CV67" i="17"/>
  <c r="DJ56" i="17"/>
  <c r="DQ61" i="17"/>
  <c r="DT52" i="17"/>
  <c r="BX46" i="17"/>
  <c r="AU64" i="17"/>
  <c r="CP56" i="17"/>
  <c r="BX27" i="17"/>
  <c r="CS23" i="17"/>
  <c r="CY67" i="17"/>
  <c r="DQ47" i="17"/>
  <c r="BB13" i="17"/>
  <c r="CQ45" i="17"/>
  <c r="DV32" i="17"/>
  <c r="AU19" i="17"/>
  <c r="DP53" i="17"/>
  <c r="CE54" i="17"/>
  <c r="CG12" i="17"/>
  <c r="BX57" i="17"/>
  <c r="DL58" i="17"/>
  <c r="DH19" i="17"/>
  <c r="CR23" i="17"/>
  <c r="BO16" i="17"/>
  <c r="BR13" i="17"/>
  <c r="DB20" i="17"/>
  <c r="DU16" i="17"/>
  <c r="BU31" i="17"/>
  <c r="DQ85" i="17"/>
  <c r="BN47" i="17"/>
  <c r="CO86" i="17"/>
  <c r="BN56" i="17"/>
  <c r="AH18" i="17"/>
  <c r="CI31" i="17"/>
  <c r="AY85" i="17"/>
  <c r="CU88" i="17"/>
  <c r="AD30" i="17"/>
  <c r="AW48" i="17"/>
  <c r="CZ22" i="17"/>
  <c r="DM34" i="17"/>
  <c r="DJ67" i="17"/>
  <c r="CQ47" i="17"/>
  <c r="BQ58" i="17"/>
  <c r="DO20" i="17"/>
  <c r="BD30" i="17"/>
  <c r="BV23" i="17"/>
  <c r="DG57" i="17"/>
  <c r="CF56" i="17"/>
  <c r="BC48" i="17"/>
  <c r="CX65" i="17"/>
  <c r="DQ33" i="17"/>
  <c r="DF65" i="17"/>
  <c r="BK88" i="17"/>
  <c r="DR31" i="17"/>
  <c r="DB57" i="17"/>
  <c r="DP58" i="17"/>
  <c r="CW65" i="17"/>
  <c r="DS46" i="17"/>
  <c r="BM28" i="17"/>
  <c r="BV51" i="17"/>
  <c r="BK31" i="17"/>
  <c r="DA33" i="17"/>
  <c r="BT34" i="17"/>
  <c r="DV24" i="17"/>
  <c r="AW16" i="17"/>
  <c r="BZ30" i="17"/>
  <c r="CV68" i="17"/>
  <c r="CX56" i="17"/>
  <c r="BE22" i="17"/>
  <c r="DB19" i="17"/>
  <c r="CD85" i="17"/>
  <c r="BF56" i="17"/>
  <c r="DI34" i="17"/>
  <c r="BZ58" i="17"/>
  <c r="BQ64" i="17"/>
  <c r="CX57" i="17"/>
  <c r="AS20" i="17"/>
  <c r="CW24" i="17"/>
  <c r="BI30" i="17"/>
  <c r="BE89" i="17"/>
  <c r="BK60" i="17"/>
  <c r="DC46" i="17"/>
  <c r="CM30" i="17"/>
  <c r="BL34" i="17"/>
  <c r="AW88" i="17"/>
  <c r="X18" i="17"/>
  <c r="AC18" i="17"/>
  <c r="BN23" i="17"/>
  <c r="BM67" i="17"/>
  <c r="DB31" i="17"/>
  <c r="DS11" i="17"/>
  <c r="CB21" i="17"/>
  <c r="Q24" i="17"/>
  <c r="CC24" i="17"/>
  <c r="DO13" i="17"/>
  <c r="DS48" i="17"/>
  <c r="CZ13" i="17"/>
  <c r="BM13" i="17"/>
  <c r="BH64" i="17"/>
  <c r="CQ31" i="17"/>
  <c r="CW67" i="17"/>
  <c r="AP19" i="17"/>
  <c r="BJ20" i="17"/>
  <c r="BK42" i="17"/>
  <c r="AW68" i="17"/>
  <c r="DD61" i="17"/>
  <c r="CW16" i="17"/>
  <c r="CF65" i="17"/>
  <c r="CJ59" i="17"/>
  <c r="CP25" i="17"/>
  <c r="DV64" i="17"/>
  <c r="CF34" i="17"/>
  <c r="BF48" i="17"/>
  <c r="DJ18" i="17"/>
  <c r="BL26" i="17"/>
  <c r="DN32" i="17"/>
  <c r="DQ64" i="17"/>
  <c r="DI18" i="17"/>
  <c r="BG65" i="17"/>
  <c r="BY51" i="17"/>
  <c r="CE48" i="17"/>
  <c r="AR68" i="17"/>
  <c r="DT22" i="17"/>
  <c r="DT24" i="17"/>
  <c r="CH88" i="17"/>
  <c r="BJ12" i="17"/>
  <c r="DU56" i="17"/>
  <c r="BB46" i="17"/>
  <c r="CZ20" i="17"/>
  <c r="AD34" i="17"/>
  <c r="BQ54" i="17"/>
  <c r="CG16" i="17"/>
  <c r="AR46" i="17"/>
  <c r="BS67" i="17"/>
  <c r="AX46" i="17"/>
  <c r="CL11" i="17"/>
  <c r="DF43" i="17"/>
  <c r="AV23" i="17"/>
  <c r="Z24" i="17"/>
  <c r="DK28" i="17"/>
  <c r="DV22" i="17"/>
  <c r="BH58" i="17"/>
  <c r="DF45" i="17"/>
  <c r="BH48" i="17"/>
  <c r="CP43" i="17"/>
  <c r="AW26" i="17"/>
  <c r="DF53" i="17"/>
  <c r="BU25" i="17"/>
  <c r="AS32" i="17"/>
  <c r="DU85" i="17"/>
  <c r="AK54" i="17"/>
  <c r="BB21" i="17"/>
  <c r="AR11" i="17"/>
  <c r="AU25" i="17"/>
  <c r="P64" i="17"/>
  <c r="AP56" i="17"/>
  <c r="DP32" i="17"/>
  <c r="AP59" i="17"/>
  <c r="BU45" i="17"/>
  <c r="AY88" i="17"/>
  <c r="AM21" i="17"/>
  <c r="BJ11" i="17"/>
  <c r="AD24" i="17"/>
  <c r="AO56" i="17"/>
  <c r="AN26" i="17"/>
  <c r="AR28" i="17"/>
  <c r="BU51" i="17"/>
  <c r="BC61" i="17"/>
  <c r="BR58" i="17"/>
  <c r="BK45" i="17"/>
  <c r="DA67" i="17"/>
  <c r="CG43" i="17"/>
  <c r="BG60" i="17"/>
  <c r="AW59" i="17"/>
  <c r="AW18" i="17"/>
  <c r="AZ85" i="17"/>
  <c r="DA86" i="17"/>
  <c r="AX34" i="17"/>
  <c r="AM54" i="17"/>
  <c r="AV53" i="17"/>
  <c r="BS56" i="17"/>
  <c r="DA34" i="17"/>
  <c r="AQ20" i="17"/>
  <c r="P20" i="17"/>
  <c r="H726" i="32" s="1"/>
  <c r="BK32" i="17"/>
  <c r="CM65" i="17"/>
  <c r="BR33" i="17"/>
  <c r="BT31" i="17"/>
  <c r="AL19" i="17"/>
  <c r="AM24" i="17"/>
  <c r="AT51" i="17"/>
  <c r="AW21" i="17"/>
  <c r="CN85" i="17"/>
  <c r="AM89" i="17"/>
  <c r="BS30" i="17"/>
  <c r="DP28" i="17"/>
  <c r="BS59" i="17"/>
  <c r="AG85" i="17"/>
  <c r="T22" i="17"/>
  <c r="CR89" i="17"/>
  <c r="CU68" i="17"/>
  <c r="CF14" i="17"/>
  <c r="AS43" i="17"/>
  <c r="BW54" i="17"/>
  <c r="BU52" i="17"/>
  <c r="BX28" i="17"/>
  <c r="AU24" i="17"/>
  <c r="Z65" i="17"/>
  <c r="CW30" i="17"/>
  <c r="BB33" i="17"/>
  <c r="V85" i="17"/>
  <c r="AF30" i="17"/>
  <c r="CR12" i="17"/>
  <c r="AY53" i="17"/>
  <c r="DC34" i="17"/>
  <c r="BN32" i="17"/>
  <c r="AN33" i="17"/>
  <c r="BO53" i="17"/>
  <c r="AN45" i="17"/>
  <c r="AA19" i="17"/>
  <c r="CH28" i="17"/>
  <c r="AY45" i="17"/>
  <c r="BZ68" i="17"/>
  <c r="BY85" i="17"/>
  <c r="O24" i="17"/>
  <c r="BP85" i="17"/>
  <c r="AT26" i="17"/>
  <c r="AS24" i="17"/>
  <c r="AZ52" i="17"/>
  <c r="AO53" i="17"/>
  <c r="AE21" i="17"/>
  <c r="BU18" i="17"/>
  <c r="AP53" i="17"/>
  <c r="CH20" i="17"/>
  <c r="Q64" i="17"/>
  <c r="AA85" i="17"/>
  <c r="BT33" i="17"/>
  <c r="AS48" i="17"/>
  <c r="AP23" i="17"/>
  <c r="BK85" i="17"/>
  <c r="T85" i="17"/>
  <c r="BR89" i="17"/>
  <c r="BZ34" i="17"/>
  <c r="O26" i="17"/>
  <c r="CU27" i="17"/>
  <c r="CU48" i="17"/>
  <c r="BP21" i="17"/>
  <c r="AD19" i="17"/>
  <c r="BU48" i="17"/>
  <c r="BC33" i="17"/>
  <c r="AZ23" i="17"/>
  <c r="AM11" i="17"/>
  <c r="CV19" i="17"/>
  <c r="L30" i="17"/>
  <c r="D741" i="32" s="1"/>
  <c r="AN88" i="17"/>
  <c r="AL46" i="17"/>
  <c r="CG51" i="17"/>
  <c r="CB68" i="17"/>
  <c r="AS57" i="17"/>
  <c r="CR24" i="17"/>
  <c r="CK57" i="17"/>
  <c r="BQ57" i="17"/>
  <c r="CB65" i="17"/>
  <c r="AK31" i="17"/>
  <c r="CF26" i="17"/>
  <c r="AS46" i="17"/>
  <c r="L14" i="17"/>
  <c r="BI45" i="17"/>
  <c r="CH34" i="17"/>
  <c r="N85" i="17"/>
  <c r="BN31" i="17"/>
  <c r="CZ21" i="17"/>
  <c r="N21" i="17"/>
  <c r="F724" i="32" s="1"/>
  <c r="BX68" i="17"/>
  <c r="BN45" i="17"/>
  <c r="CF68" i="17"/>
  <c r="CN51" i="17"/>
  <c r="CZ85" i="17"/>
  <c r="BV59" i="17"/>
  <c r="AQ13" i="17"/>
  <c r="DE88" i="17"/>
  <c r="S65" i="17"/>
  <c r="AB22" i="17"/>
  <c r="AU54" i="17"/>
  <c r="BR16" i="17"/>
  <c r="CL67" i="17"/>
  <c r="CJ23" i="17"/>
  <c r="CP21" i="17"/>
  <c r="CK88" i="17"/>
  <c r="DV14" i="17"/>
  <c r="DR52" i="17"/>
  <c r="BQ25" i="17"/>
  <c r="O34" i="17"/>
  <c r="G740" i="32" s="1"/>
  <c r="BO67" i="17"/>
  <c r="BN68" i="17"/>
  <c r="DN25" i="17"/>
  <c r="CU33" i="17"/>
  <c r="DN31" i="17"/>
  <c r="BB56" i="17"/>
  <c r="BY54" i="17"/>
  <c r="O30" i="17"/>
  <c r="G741" i="32" s="1"/>
  <c r="DP52" i="17"/>
  <c r="AX23" i="17"/>
  <c r="CP13" i="17"/>
  <c r="CL32" i="17"/>
  <c r="CI57" i="17"/>
  <c r="DG67" i="17"/>
  <c r="BI25" i="17"/>
  <c r="BT14" i="17"/>
  <c r="DA58" i="17"/>
  <c r="DT16" i="17"/>
  <c r="AX22" i="17"/>
  <c r="CN27" i="17"/>
  <c r="DE45" i="17"/>
  <c r="T34" i="17"/>
  <c r="DV57" i="17"/>
  <c r="CB89" i="17"/>
  <c r="CQ19" i="17"/>
  <c r="DE52" i="17"/>
  <c r="DG59" i="17"/>
  <c r="BY65" i="17"/>
  <c r="CO28" i="17"/>
  <c r="DE14" i="17"/>
  <c r="AS53" i="17"/>
  <c r="BX47" i="17"/>
  <c r="BO54" i="17"/>
  <c r="CK47" i="17"/>
  <c r="DP14" i="17"/>
  <c r="BH22" i="17"/>
  <c r="CX59" i="17"/>
  <c r="DL13" i="17"/>
  <c r="AT11" i="17"/>
  <c r="DR20" i="17"/>
  <c r="CM64" i="17"/>
  <c r="DI42" i="17"/>
  <c r="CK31" i="17"/>
  <c r="M85" i="17"/>
  <c r="DM19" i="17"/>
  <c r="DA25" i="17"/>
  <c r="CF33" i="17"/>
  <c r="CD22" i="17"/>
  <c r="CF89" i="17"/>
  <c r="CO11" i="17"/>
  <c r="DB53" i="17"/>
  <c r="AL27" i="17"/>
  <c r="O67" i="17"/>
  <c r="DE33" i="17"/>
  <c r="BX61" i="17"/>
  <c r="CD53" i="17"/>
  <c r="CB20" i="17"/>
  <c r="AR64" i="17"/>
  <c r="DR56" i="17"/>
  <c r="CF61" i="17"/>
  <c r="CF59" i="17"/>
  <c r="BA61" i="17"/>
  <c r="CQ26" i="17"/>
  <c r="DD47" i="17"/>
  <c r="BG68" i="17"/>
  <c r="DC61" i="17"/>
  <c r="DB26" i="17"/>
  <c r="BE60" i="17"/>
  <c r="CR60" i="17"/>
  <c r="DK54" i="17"/>
  <c r="DM58" i="17"/>
  <c r="CY68" i="17"/>
  <c r="CL47" i="17"/>
  <c r="BV22" i="17"/>
  <c r="BQ65" i="17"/>
  <c r="BK57" i="17"/>
  <c r="DN28" i="17"/>
  <c r="DC64" i="17"/>
  <c r="BD23" i="17"/>
  <c r="CW47" i="17"/>
  <c r="BZ54" i="17"/>
  <c r="AB30" i="17"/>
  <c r="BJ57" i="17"/>
  <c r="P24" i="17"/>
  <c r="DT33" i="17"/>
  <c r="AQ23" i="17"/>
  <c r="BY67" i="17"/>
  <c r="CQ32" i="17"/>
  <c r="DV33" i="17"/>
  <c r="CV88" i="17"/>
  <c r="DT58" i="17"/>
  <c r="AP58" i="17"/>
  <c r="CV53" i="17"/>
  <c r="CX21" i="17"/>
  <c r="CT60" i="17"/>
  <c r="BN24" i="17"/>
  <c r="CD68" i="17"/>
  <c r="CB31" i="17"/>
  <c r="CN89" i="17"/>
  <c r="DE27" i="17"/>
  <c r="BD43" i="17"/>
  <c r="AO14" i="17"/>
  <c r="AV47" i="17"/>
  <c r="CS58" i="17"/>
  <c r="BG56" i="17"/>
  <c r="CP61" i="17"/>
  <c r="CI30" i="17"/>
  <c r="CF53" i="17"/>
  <c r="R24" i="17"/>
  <c r="BY46" i="17"/>
  <c r="CA25" i="17"/>
  <c r="BC31" i="17"/>
  <c r="BJ16" i="17"/>
  <c r="CA18" i="17"/>
  <c r="AC19" i="17"/>
  <c r="CX86" i="17"/>
  <c r="BG11" i="17"/>
  <c r="DI47" i="17"/>
  <c r="DQ51" i="17"/>
  <c r="AU85" i="17"/>
  <c r="CA27" i="17"/>
  <c r="CZ59" i="17"/>
  <c r="BJ18" i="17"/>
  <c r="CM86" i="17"/>
  <c r="CL86" i="17"/>
  <c r="AV14" i="17"/>
  <c r="BC58" i="17"/>
  <c r="S26" i="17"/>
  <c r="CX67" i="17"/>
  <c r="AA18" i="17"/>
  <c r="M26" i="17"/>
  <c r="BV11" i="17"/>
  <c r="CH61" i="17"/>
  <c r="CE85" i="17"/>
  <c r="AX65" i="17"/>
  <c r="CI68" i="17"/>
  <c r="DL46" i="17"/>
  <c r="DU89" i="17"/>
  <c r="BD32" i="17"/>
  <c r="BH52" i="17"/>
  <c r="CJ28" i="17"/>
  <c r="AD85" i="17"/>
  <c r="AW27" i="17"/>
  <c r="CA23" i="17"/>
  <c r="AL24" i="17"/>
  <c r="CC43" i="17"/>
  <c r="AK33" i="17"/>
  <c r="AX14" i="17"/>
  <c r="BW85" i="17"/>
  <c r="AR26" i="17"/>
  <c r="AN27" i="17"/>
  <c r="U27" i="17"/>
  <c r="AW53" i="17"/>
  <c r="BA86" i="17"/>
  <c r="BJ26" i="17"/>
  <c r="CH13" i="17"/>
  <c r="CS14" i="17"/>
  <c r="BS20" i="17"/>
  <c r="BR21" i="17"/>
  <c r="DJ28" i="17"/>
  <c r="BX59" i="17"/>
  <c r="CO33" i="17"/>
  <c r="AS13" i="17"/>
  <c r="BI14" i="17"/>
  <c r="CN31" i="17"/>
  <c r="AV52" i="17"/>
  <c r="BN48" i="17"/>
  <c r="AL57" i="17"/>
  <c r="BC27" i="17"/>
  <c r="AU45" i="17"/>
  <c r="AG18" i="17"/>
  <c r="DE68" i="17"/>
  <c r="BB26" i="17"/>
  <c r="BV30" i="17"/>
  <c r="BC64" i="17"/>
  <c r="CB86" i="17"/>
  <c r="DM46" i="17"/>
  <c r="AW52" i="17"/>
  <c r="BY34" i="17"/>
  <c r="CH23" i="17"/>
  <c r="BT60" i="17"/>
  <c r="O27" i="17"/>
  <c r="G727" i="32" s="1"/>
  <c r="DP30" i="17"/>
  <c r="DN45" i="17"/>
  <c r="CB51" i="17"/>
  <c r="DN34" i="17"/>
  <c r="DA19" i="17"/>
  <c r="M18" i="17"/>
  <c r="E722" i="32" s="1"/>
  <c r="AT25" i="17"/>
  <c r="BB51" i="17"/>
  <c r="BJ19" i="17"/>
  <c r="DB85" i="17"/>
  <c r="AD20" i="17"/>
  <c r="BS85" i="17"/>
  <c r="CU24" i="17"/>
  <c r="AB34" i="17"/>
  <c r="AY56" i="17"/>
  <c r="AM57" i="17"/>
  <c r="AN64" i="17"/>
  <c r="BV57" i="17"/>
  <c r="BZ67" i="17"/>
  <c r="DP86" i="17"/>
  <c r="BF89" i="17"/>
  <c r="CU67" i="17"/>
  <c r="AA21" i="17"/>
  <c r="BI89" i="17"/>
  <c r="BZ60" i="17"/>
  <c r="DS26" i="17"/>
  <c r="CU25" i="17"/>
  <c r="AT23" i="17"/>
  <c r="BO45" i="17"/>
  <c r="CK61" i="17"/>
  <c r="CT51" i="17"/>
  <c r="AL25" i="17"/>
  <c r="AJ13" i="17"/>
  <c r="AX89" i="17"/>
  <c r="BV18" i="17"/>
  <c r="Q26" i="17"/>
  <c r="L19" i="17"/>
  <c r="D723" i="32" s="1"/>
  <c r="CD51" i="17"/>
  <c r="CU30" i="17"/>
  <c r="DI22" i="17"/>
  <c r="CM26" i="17"/>
  <c r="AT12" i="17"/>
  <c r="BY47" i="17"/>
  <c r="DD31" i="17"/>
  <c r="AJ46" i="17"/>
  <c r="AA27" i="17"/>
  <c r="BA14" i="17"/>
  <c r="T18" i="17"/>
  <c r="AS31" i="17"/>
  <c r="AM32" i="17"/>
  <c r="AO20" i="17"/>
  <c r="AV58" i="17"/>
  <c r="DV60" i="17"/>
  <c r="CI26" i="17"/>
  <c r="AP42" i="17"/>
  <c r="AX11" i="17"/>
  <c r="AP45" i="17"/>
  <c r="DH85" i="17"/>
  <c r="AD64" i="17"/>
  <c r="AO65" i="17"/>
  <c r="L34" i="17"/>
  <c r="D740" i="32" s="1"/>
  <c r="AV51" i="17"/>
  <c r="DA46" i="17"/>
  <c r="AU48" i="17"/>
  <c r="DP54" i="17"/>
  <c r="CE19" i="17"/>
  <c r="CA24" i="17"/>
  <c r="BF47" i="17"/>
  <c r="CR20" i="17"/>
  <c r="AH20" i="17"/>
  <c r="AK53" i="17"/>
  <c r="AL60" i="17"/>
  <c r="AJ16" i="17"/>
  <c r="AB18" i="17"/>
  <c r="AJ85" i="17"/>
  <c r="AG21" i="17"/>
  <c r="CO89" i="17"/>
  <c r="BN67" i="17"/>
  <c r="DV59" i="17"/>
  <c r="BD47" i="17"/>
  <c r="CB33" i="17"/>
  <c r="BN60" i="17"/>
  <c r="CR42" i="17"/>
  <c r="BD46" i="17"/>
  <c r="DD20" i="17"/>
  <c r="CO54" i="17"/>
  <c r="BX42" i="17"/>
  <c r="DS12" i="17"/>
  <c r="CJ27" i="17"/>
  <c r="CU51" i="17"/>
  <c r="O21" i="17"/>
  <c r="G724" i="32" s="1"/>
  <c r="W22" i="17"/>
  <c r="DL65" i="17"/>
  <c r="DO48" i="17"/>
  <c r="AO25" i="17"/>
  <c r="CZ57" i="17"/>
  <c r="CN45" i="17"/>
  <c r="BO26" i="17"/>
  <c r="BP22" i="17"/>
  <c r="CC60" i="17"/>
  <c r="CG64" i="17"/>
  <c r="DQ34" i="17"/>
  <c r="X34" i="17"/>
  <c r="DM57" i="17"/>
  <c r="BL64" i="17"/>
  <c r="DA54" i="17"/>
  <c r="CI21" i="17"/>
  <c r="BW67" i="17"/>
  <c r="CB64" i="17"/>
  <c r="BX30" i="17"/>
  <c r="CB47" i="17"/>
  <c r="CP42" i="17"/>
  <c r="DH18" i="17"/>
  <c r="CF28" i="17"/>
  <c r="CD26" i="17"/>
  <c r="Q30" i="17"/>
  <c r="DL48" i="17"/>
  <c r="CH12" i="17"/>
  <c r="DR58" i="17"/>
  <c r="CG57" i="17"/>
  <c r="CA46" i="17"/>
  <c r="BT47" i="17"/>
  <c r="R19" i="17"/>
  <c r="AS12" i="17"/>
  <c r="BS34" i="17"/>
  <c r="CJ89" i="17"/>
  <c r="BC24" i="17"/>
  <c r="BN54" i="17"/>
  <c r="DC26" i="17"/>
  <c r="CP89" i="17"/>
  <c r="DS20" i="17"/>
  <c r="CY26" i="17"/>
  <c r="CS34" i="17"/>
  <c r="CA16" i="17"/>
  <c r="BV65" i="17"/>
  <c r="BU13" i="17"/>
  <c r="CE89" i="17"/>
  <c r="BB43" i="17"/>
  <c r="AO33" i="17"/>
  <c r="BN25" i="17"/>
  <c r="AX59" i="17"/>
  <c r="BI61" i="17"/>
  <c r="CD47" i="17"/>
  <c r="CJ57" i="17"/>
  <c r="CK24" i="17"/>
  <c r="CN46" i="17"/>
  <c r="Q22" i="17"/>
  <c r="CW51" i="17"/>
  <c r="CH16" i="17"/>
  <c r="CC58" i="17"/>
  <c r="DI65" i="17"/>
  <c r="CC13" i="17"/>
  <c r="BR11" i="17"/>
  <c r="CM56" i="17"/>
  <c r="AR53" i="17"/>
  <c r="CU26" i="17"/>
  <c r="CP34" i="17"/>
  <c r="CM33" i="17"/>
  <c r="CO19" i="17"/>
  <c r="DH34" i="17"/>
  <c r="BL12" i="17"/>
  <c r="BL45" i="17"/>
  <c r="CW21" i="17"/>
  <c r="CF45" i="17"/>
  <c r="CY23" i="17"/>
  <c r="DO59" i="17"/>
  <c r="BV31" i="17"/>
  <c r="BG21" i="17"/>
  <c r="DR88" i="17"/>
  <c r="AC27" i="17"/>
  <c r="CY85" i="17"/>
  <c r="DP57" i="17"/>
  <c r="BO46" i="17"/>
  <c r="CC57" i="17"/>
  <c r="DN59" i="17"/>
  <c r="DD26" i="17"/>
  <c r="BZ64" i="17"/>
  <c r="DM61" i="17"/>
  <c r="CB67" i="17"/>
  <c r="BP46" i="17"/>
  <c r="DK88" i="17"/>
  <c r="CY34" i="17"/>
  <c r="DC23" i="17"/>
  <c r="CL22" i="17"/>
  <c r="BP25" i="17"/>
  <c r="BJ43" i="17"/>
  <c r="BC68" i="17"/>
  <c r="BP28" i="17"/>
  <c r="BE24" i="17"/>
  <c r="Y30" i="17"/>
  <c r="DO61" i="17"/>
  <c r="BU11" i="17"/>
  <c r="AL28" i="17"/>
  <c r="BY30" i="17"/>
  <c r="AS30" i="17"/>
  <c r="AR20" i="17"/>
  <c r="DK67" i="17"/>
  <c r="DS16" i="17"/>
  <c r="DQ32" i="17"/>
  <c r="DI59" i="17"/>
  <c r="BS14" i="17"/>
  <c r="BC51" i="17"/>
  <c r="DM89" i="17"/>
  <c r="CE21" i="17"/>
  <c r="AT14" i="17"/>
  <c r="AX18" i="17"/>
  <c r="CZ68" i="17"/>
  <c r="BI21" i="17"/>
  <c r="X64" i="17"/>
  <c r="CS86" i="17"/>
  <c r="DA64" i="17"/>
  <c r="BS27" i="17"/>
  <c r="BH12" i="17"/>
  <c r="BY52" i="17"/>
  <c r="CM61" i="17"/>
  <c r="DV46" i="17"/>
  <c r="DO47" i="17"/>
  <c r="AK57" i="17"/>
  <c r="DO52" i="17"/>
  <c r="CS64" i="17"/>
  <c r="DB88" i="17"/>
  <c r="BV25" i="17"/>
  <c r="DS47" i="17"/>
  <c r="DD51" i="17"/>
  <c r="DE64" i="17"/>
  <c r="BT53" i="17"/>
  <c r="BK20" i="17"/>
  <c r="DN23" i="17"/>
  <c r="BK53" i="17"/>
  <c r="DS30" i="17"/>
  <c r="BC25" i="17"/>
  <c r="DK31" i="17"/>
  <c r="CP33" i="17"/>
  <c r="BD33" i="17"/>
  <c r="CS59" i="17"/>
  <c r="DU12" i="17"/>
  <c r="AC64" i="17"/>
  <c r="DO64" i="17"/>
  <c r="BJ45" i="17"/>
  <c r="DG34" i="17"/>
  <c r="AL12" i="17"/>
  <c r="DN67" i="17"/>
  <c r="CP48" i="17"/>
  <c r="DO24" i="17"/>
  <c r="BC89" i="17"/>
  <c r="CL31" i="17"/>
  <c r="DC53" i="17"/>
  <c r="CI12" i="17"/>
  <c r="DV47" i="17"/>
  <c r="U34" i="17"/>
  <c r="DF51" i="17"/>
  <c r="DA61" i="17"/>
  <c r="CL13" i="17"/>
  <c r="BL53" i="17"/>
  <c r="DB30" i="17"/>
  <c r="DV21" i="17"/>
  <c r="DR33" i="17"/>
  <c r="BO34" i="17"/>
  <c r="BM52" i="17"/>
  <c r="DV26" i="17"/>
  <c r="DJ54" i="17"/>
  <c r="DE25" i="17"/>
  <c r="DJ16" i="17"/>
  <c r="DS34" i="17"/>
  <c r="AS19" i="17"/>
  <c r="AY54" i="17"/>
  <c r="BV20" i="17"/>
  <c r="BK67" i="17"/>
  <c r="BM23" i="17"/>
  <c r="CR32" i="17"/>
  <c r="BA26" i="17"/>
  <c r="AZ54" i="17"/>
  <c r="CH48" i="17"/>
  <c r="DU14" i="17"/>
  <c r="DQ14" i="17"/>
  <c r="DJ65" i="17"/>
  <c r="AP89" i="17"/>
  <c r="CN56" i="17"/>
  <c r="BT43" i="17"/>
  <c r="CK58" i="17"/>
  <c r="DP33" i="17"/>
  <c r="CE53" i="17"/>
  <c r="CV32" i="17"/>
  <c r="DT61" i="17"/>
  <c r="CV89" i="17"/>
  <c r="DD46" i="17"/>
  <c r="CE27" i="17"/>
  <c r="CI19" i="17"/>
  <c r="AQ28" i="17"/>
  <c r="BA60" i="17"/>
  <c r="DT31" i="17"/>
  <c r="DG18" i="17"/>
  <c r="BG48" i="17"/>
  <c r="DS25" i="17"/>
  <c r="CV64" i="17"/>
  <c r="DI31" i="17"/>
  <c r="BR88" i="17"/>
  <c r="CS46" i="17"/>
  <c r="BH21" i="17"/>
  <c r="CO53" i="17"/>
  <c r="DF30" i="17"/>
  <c r="BS22" i="17"/>
  <c r="CW25" i="17"/>
  <c r="BZ19" i="17"/>
  <c r="CQ27" i="17"/>
  <c r="DS13" i="17"/>
  <c r="BM11" i="17"/>
  <c r="BI52" i="17"/>
  <c r="CE56" i="17"/>
  <c r="CN32" i="17"/>
  <c r="DK24" i="17"/>
  <c r="BN12" i="17"/>
  <c r="BX26" i="17"/>
  <c r="DF57" i="17"/>
  <c r="CC68" i="17"/>
  <c r="BA85" i="17"/>
  <c r="DI11" i="17"/>
  <c r="DI27" i="17"/>
  <c r="BH46" i="17"/>
  <c r="CF23" i="17"/>
  <c r="DQ45" i="17"/>
  <c r="CI54" i="17"/>
  <c r="CL48" i="17"/>
  <c r="DC45" i="17"/>
  <c r="BG52" i="17"/>
  <c r="CX26" i="17"/>
  <c r="CG11" i="17"/>
  <c r="DQ65" i="17"/>
  <c r="CQ24" i="17"/>
  <c r="AU51" i="17"/>
  <c r="BX22" i="17"/>
  <c r="AL51" i="17"/>
  <c r="CB27" i="17"/>
  <c r="DM53" i="17"/>
  <c r="S85" i="17"/>
  <c r="DG46" i="17"/>
  <c r="AM53" i="17"/>
  <c r="CI22" i="17"/>
  <c r="DQ48" i="17"/>
  <c r="BC59" i="17"/>
  <c r="DU22" i="17"/>
  <c r="DN51" i="17"/>
  <c r="CM68" i="17"/>
  <c r="CU14" i="17"/>
  <c r="CZ60" i="17"/>
  <c r="DD34" i="17"/>
  <c r="CF54" i="17"/>
  <c r="P27" i="17"/>
  <c r="H727" i="32" s="1"/>
  <c r="BL24" i="17"/>
  <c r="AT59" i="17"/>
  <c r="DV12" i="17"/>
  <c r="DP56" i="17"/>
  <c r="BD27" i="17"/>
  <c r="CK53" i="17"/>
  <c r="DO88" i="17"/>
  <c r="L26" i="17"/>
  <c r="DU58" i="17"/>
  <c r="BL67" i="17"/>
  <c r="CG25" i="17"/>
  <c r="CL58" i="17"/>
  <c r="BM59" i="17"/>
  <c r="DU24" i="17"/>
  <c r="AT57" i="17"/>
  <c r="AQ11" i="17"/>
  <c r="CN25" i="17"/>
  <c r="DJ48" i="17"/>
  <c r="DD16" i="17"/>
  <c r="BG59" i="17"/>
  <c r="DR26" i="17"/>
  <c r="DA27" i="17"/>
  <c r="DV58" i="17"/>
  <c r="CH59" i="17"/>
  <c r="BJ53" i="17"/>
  <c r="AQ22" i="17"/>
  <c r="BB54" i="17"/>
  <c r="CM31" i="17"/>
  <c r="DB25" i="17"/>
  <c r="CV34" i="17"/>
  <c r="DT42" i="17"/>
  <c r="DI48" i="17"/>
  <c r="AR56" i="17"/>
  <c r="BV64" i="17"/>
  <c r="CE52" i="17"/>
  <c r="BK19" i="17"/>
  <c r="BV16" i="17"/>
  <c r="DS45" i="17"/>
  <c r="CZ89" i="17"/>
  <c r="DI12" i="17"/>
  <c r="BK47" i="17"/>
  <c r="DK59" i="17"/>
  <c r="CG27" i="17"/>
  <c r="CO46" i="17"/>
  <c r="BY21" i="17"/>
  <c r="CQ89" i="17"/>
  <c r="BC65" i="17"/>
  <c r="BZ89" i="17"/>
  <c r="DT89" i="17"/>
  <c r="CZ12" i="17"/>
  <c r="AZ20" i="17"/>
  <c r="CP57" i="17"/>
  <c r="AC23" i="17"/>
  <c r="BN34" i="17"/>
  <c r="DR53" i="17"/>
  <c r="DR19" i="17"/>
  <c r="M21" i="17"/>
  <c r="E724" i="32" s="1"/>
  <c r="CZ33" i="17"/>
  <c r="BZ32" i="17"/>
  <c r="BE34" i="17"/>
  <c r="CN34" i="17"/>
  <c r="DH68" i="17"/>
  <c r="BX51" i="17"/>
  <c r="BF85" i="17"/>
  <c r="CJ67" i="17"/>
  <c r="DT51" i="17"/>
  <c r="DA48" i="17"/>
  <c r="AK13" i="17"/>
  <c r="DE13" i="17"/>
  <c r="CQ59" i="17"/>
  <c r="DT26" i="17"/>
  <c r="DA47" i="17"/>
  <c r="AQ68" i="17"/>
  <c r="BR57" i="17"/>
  <c r="CH25" i="17"/>
  <c r="BJ56" i="17"/>
  <c r="CD23" i="17"/>
  <c r="BV46" i="17"/>
  <c r="CM88" i="17"/>
  <c r="DJ33" i="17"/>
  <c r="DC24" i="17"/>
  <c r="U85" i="17"/>
  <c r="DP25" i="17"/>
  <c r="BQ67" i="17"/>
  <c r="DO53" i="17"/>
  <c r="BS64" i="17"/>
  <c r="CX54" i="17"/>
  <c r="AX64" i="17"/>
  <c r="CO20" i="17"/>
  <c r="DK30" i="17"/>
  <c r="DD32" i="17"/>
  <c r="CG88" i="17"/>
  <c r="BW30" i="17"/>
  <c r="CO88" i="17"/>
  <c r="DT23" i="17"/>
  <c r="CV45" i="17"/>
  <c r="DG51" i="17"/>
  <c r="AJ31" i="17"/>
  <c r="DB28" i="17"/>
  <c r="BR26" i="17"/>
  <c r="AE19" i="17"/>
  <c r="BN61" i="17"/>
  <c r="CN23" i="17"/>
  <c r="CO60" i="17"/>
  <c r="AY24" i="17"/>
  <c r="BA88" i="17"/>
  <c r="CG13" i="17"/>
  <c r="U22" i="17"/>
  <c r="CK65" i="17"/>
  <c r="CX52" i="17"/>
  <c r="CA47" i="17"/>
  <c r="DP88" i="17"/>
  <c r="DO57" i="17"/>
  <c r="BW11" i="17"/>
  <c r="DQ18" i="17"/>
  <c r="CX16" i="17"/>
  <c r="DS27" i="17"/>
  <c r="CG67" i="17"/>
  <c r="CC51" i="17"/>
  <c r="CY13" i="17"/>
  <c r="BF33" i="17"/>
  <c r="CD32" i="17"/>
  <c r="DR54" i="17"/>
  <c r="DM85" i="17"/>
  <c r="CO67" i="17"/>
  <c r="BS11" i="17"/>
  <c r="CF57" i="17"/>
  <c r="BQ46" i="17"/>
  <c r="CF32" i="17"/>
  <c r="CF20" i="17"/>
  <c r="DA11" i="17"/>
  <c r="CW53" i="17"/>
  <c r="BV32" i="17"/>
  <c r="DG21" i="17"/>
  <c r="BP51" i="17"/>
  <c r="DG45" i="17"/>
  <c r="BU16" i="17"/>
  <c r="CY16" i="17"/>
  <c r="AR18" i="17"/>
  <c r="DS53" i="17"/>
  <c r="AY48" i="17"/>
  <c r="CS68" i="17"/>
  <c r="BL21" i="17"/>
  <c r="CD18" i="17"/>
  <c r="AZ28" i="17"/>
  <c r="Z67" i="17"/>
  <c r="AV33" i="17"/>
  <c r="CU47" i="17"/>
  <c r="CY28" i="17"/>
  <c r="DF48" i="17"/>
  <c r="AL22" i="17"/>
  <c r="DP12" i="17"/>
  <c r="CH65" i="17"/>
  <c r="DH21" i="17"/>
  <c r="CI13" i="17"/>
  <c r="AM45" i="17"/>
  <c r="DN24" i="17"/>
  <c r="AO68" i="17"/>
  <c r="CR30" i="17"/>
  <c r="AR48" i="17"/>
  <c r="DK46" i="17"/>
  <c r="DQ59" i="17"/>
  <c r="AZ89" i="17"/>
  <c r="AY32" i="17"/>
  <c r="T30" i="17"/>
  <c r="CC89" i="17"/>
  <c r="BP11" i="17"/>
  <c r="CU34" i="17"/>
  <c r="DK25" i="17"/>
  <c r="CH14" i="17"/>
  <c r="DC28" i="17"/>
  <c r="CT33" i="17"/>
  <c r="CV12" i="17"/>
  <c r="CP32" i="17"/>
  <c r="BP61" i="17"/>
  <c r="CE22" i="17"/>
  <c r="DU11" i="17"/>
  <c r="BW28" i="17"/>
  <c r="AO23" i="17"/>
  <c r="AT68" i="17"/>
  <c r="CV26" i="17"/>
  <c r="BG47" i="17"/>
  <c r="BR32" i="17"/>
  <c r="BR67" i="17"/>
  <c r="BR31" i="17"/>
  <c r="DR47" i="17"/>
  <c r="BW57" i="17"/>
  <c r="AK12" i="17"/>
  <c r="DF27" i="17"/>
  <c r="AR42" i="17"/>
  <c r="DC42" i="17"/>
  <c r="CL89" i="17"/>
  <c r="BK52" i="17"/>
  <c r="AN60" i="17"/>
  <c r="CB19" i="17"/>
  <c r="DV11" i="17"/>
  <c r="BK89" i="17"/>
  <c r="CT89" i="17"/>
  <c r="Z20" i="17"/>
  <c r="DQ13" i="17"/>
  <c r="AM30" i="17"/>
  <c r="CP64" i="17"/>
  <c r="DH67" i="17"/>
  <c r="CK45" i="17"/>
  <c r="AZ11" i="17"/>
  <c r="CE20" i="17"/>
  <c r="AO89" i="17"/>
  <c r="DO68" i="17"/>
  <c r="DH52" i="17"/>
  <c r="CN67" i="17"/>
  <c r="CL57" i="17"/>
  <c r="AW46" i="17"/>
  <c r="BX12" i="17"/>
  <c r="DN48" i="17"/>
  <c r="DE86" i="17"/>
  <c r="AK32" i="17"/>
  <c r="CN60" i="17"/>
  <c r="DL22" i="17"/>
  <c r="CF47" i="17"/>
  <c r="DR18" i="17"/>
  <c r="CS26" i="17"/>
  <c r="CN65" i="17"/>
  <c r="CO24" i="17"/>
  <c r="CG42" i="17"/>
  <c r="BD34" i="17"/>
  <c r="BA46" i="17"/>
  <c r="DM32" i="17"/>
  <c r="DL67" i="17"/>
  <c r="AO54" i="17"/>
  <c r="DM20" i="17"/>
  <c r="DL11" i="17"/>
  <c r="AQ58" i="17"/>
  <c r="CT64" i="17"/>
  <c r="DR22" i="17"/>
  <c r="DL54" i="17"/>
  <c r="DE34" i="17"/>
  <c r="AM26" i="17"/>
  <c r="DM56" i="17"/>
  <c r="DM18" i="17"/>
  <c r="DC11" i="17"/>
  <c r="BP58" i="17"/>
  <c r="DB56" i="17"/>
  <c r="CO22" i="17"/>
  <c r="BI18" i="17"/>
  <c r="CQ18" i="17"/>
  <c r="CS65" i="17"/>
  <c r="CA57" i="17"/>
  <c r="AU88" i="17"/>
  <c r="CK59" i="17"/>
  <c r="AM85" i="17"/>
  <c r="DE54" i="17"/>
  <c r="CI25" i="17"/>
  <c r="DQ23" i="17"/>
  <c r="DA31" i="17"/>
  <c r="CV23" i="17"/>
  <c r="CT14" i="17"/>
  <c r="DM54" i="17"/>
  <c r="AR24" i="17"/>
  <c r="DO65" i="17"/>
  <c r="BJ25" i="17"/>
  <c r="DC19" i="17"/>
  <c r="DM64" i="17"/>
  <c r="AS33" i="17"/>
  <c r="CS54" i="17"/>
  <c r="DO31" i="17"/>
  <c r="CU16" i="17"/>
  <c r="BG31" i="17"/>
  <c r="DU59" i="17"/>
  <c r="CV20" i="17"/>
  <c r="DK48" i="17"/>
  <c r="BN51" i="17"/>
  <c r="DN30" i="17"/>
  <c r="BO14" i="17"/>
  <c r="CI85" i="17"/>
  <c r="DU47" i="17"/>
  <c r="CQ21" i="17"/>
  <c r="DB13" i="17"/>
  <c r="DM31" i="17"/>
  <c r="AS60" i="17"/>
  <c r="DF11" i="17"/>
  <c r="CT30" i="17"/>
  <c r="CY64" i="17"/>
  <c r="DR61" i="17"/>
  <c r="DD18" i="17"/>
  <c r="DI16" i="17"/>
  <c r="AP18" i="17"/>
  <c r="CV33" i="17"/>
  <c r="CN48" i="17"/>
  <c r="P22" i="17"/>
  <c r="H725" i="32" s="1"/>
  <c r="DK60" i="17"/>
  <c r="BJ60" i="17"/>
  <c r="BB27" i="17"/>
  <c r="DM24" i="17"/>
  <c r="DJ13" i="17"/>
  <c r="CV48" i="17"/>
  <c r="AZ86" i="17"/>
  <c r="BY32" i="17"/>
  <c r="CV65" i="17"/>
  <c r="BV42" i="17"/>
  <c r="CC42" i="17"/>
  <c r="DT53" i="17"/>
  <c r="CG14" i="17"/>
  <c r="DJ19" i="17"/>
  <c r="AW23" i="17"/>
  <c r="BP56" i="17"/>
  <c r="DT12" i="17"/>
  <c r="BH56" i="17"/>
  <c r="AW43" i="17"/>
  <c r="AL61" i="17"/>
  <c r="CA31" i="17"/>
  <c r="CP16" i="17"/>
  <c r="DM52" i="17"/>
  <c r="CW88" i="17"/>
  <c r="DU88" i="17"/>
  <c r="BK30" i="17"/>
  <c r="DQ46" i="17"/>
  <c r="BM68" i="17"/>
  <c r="BP26" i="17"/>
  <c r="AZ59" i="17"/>
  <c r="CJ11" i="17"/>
  <c r="V20" i="17"/>
  <c r="DK26" i="17"/>
  <c r="BP53" i="17"/>
  <c r="AT18" i="17"/>
  <c r="CI51" i="17"/>
  <c r="CP54" i="17"/>
  <c r="DL42" i="17"/>
  <c r="DD68" i="17"/>
  <c r="CL42" i="17"/>
  <c r="DO67" i="17"/>
  <c r="DD85" i="17"/>
  <c r="CJ46" i="17"/>
  <c r="DK23" i="17"/>
  <c r="CZ46" i="17"/>
  <c r="CU42" i="17"/>
  <c r="M34" i="17"/>
  <c r="E740" i="32" s="1"/>
  <c r="AD22" i="17"/>
  <c r="BW64" i="17"/>
  <c r="CR22" i="17"/>
  <c r="CL45" i="17"/>
  <c r="CZ56" i="17"/>
  <c r="AW22" i="17"/>
  <c r="BK26" i="17"/>
  <c r="DS64" i="17"/>
  <c r="BD48" i="17"/>
  <c r="Y19" i="17"/>
  <c r="BS28" i="17"/>
  <c r="X30" i="17"/>
  <c r="DG20" i="17"/>
  <c r="DB14" i="17"/>
  <c r="DO21" i="17"/>
  <c r="CI43" i="17"/>
  <c r="BZ46" i="17"/>
  <c r="BH47" i="17"/>
  <c r="DL64" i="17"/>
  <c r="BB60" i="17"/>
  <c r="DT47" i="17"/>
  <c r="M30" i="17"/>
  <c r="E741" i="32" s="1"/>
  <c r="AN12" i="17"/>
  <c r="CE88" i="17"/>
  <c r="BQ51" i="17"/>
  <c r="BU24" i="17"/>
  <c r="AP14" i="17"/>
  <c r="M65" i="17"/>
  <c r="DQ53" i="17"/>
  <c r="DC56" i="17"/>
  <c r="DH89" i="17"/>
  <c r="BW26" i="17"/>
  <c r="DJ23" i="17"/>
  <c r="AW20" i="17"/>
  <c r="CL30" i="17"/>
  <c r="CY89" i="17"/>
  <c r="DL33" i="17"/>
  <c r="BC86" i="17"/>
  <c r="CZ47" i="17"/>
  <c r="BO61" i="17"/>
  <c r="CY56" i="17"/>
  <c r="DP42" i="17"/>
  <c r="DH45" i="17"/>
  <c r="BA67" i="17"/>
  <c r="BI32" i="17"/>
  <c r="CJ21" i="17"/>
  <c r="CG61" i="17"/>
  <c r="DQ60" i="17"/>
  <c r="BA21" i="17"/>
  <c r="DP61" i="17"/>
  <c r="CY25" i="17"/>
  <c r="CM52" i="17"/>
  <c r="BH85" i="17"/>
  <c r="CY12" i="17"/>
  <c r="BJ51" i="17"/>
  <c r="DN54" i="17"/>
  <c r="DH46" i="17"/>
  <c r="CI20" i="17"/>
  <c r="AO86" i="17"/>
  <c r="DP68" i="17"/>
  <c r="CZ34" i="17"/>
  <c r="BY16" i="17"/>
  <c r="DF18" i="17"/>
  <c r="CM12" i="17"/>
  <c r="BS24" i="17"/>
  <c r="DG12" i="17"/>
  <c r="CX42" i="17"/>
  <c r="BD20" i="17"/>
  <c r="DR23" i="17"/>
  <c r="DV34" i="17"/>
  <c r="Z22" i="17"/>
  <c r="DU31" i="17"/>
  <c r="DV16" i="17"/>
  <c r="DI64" i="17"/>
  <c r="BS58" i="17"/>
  <c r="CS89" i="17"/>
  <c r="CH60" i="17"/>
  <c r="DC59" i="17"/>
  <c r="CF19" i="17"/>
  <c r="BM58" i="17"/>
  <c r="AT85" i="17"/>
  <c r="BD16" i="17"/>
  <c r="AJ54" i="17"/>
  <c r="BN42" i="17"/>
  <c r="DT64" i="17"/>
  <c r="DV54" i="17"/>
  <c r="BF13" i="17"/>
  <c r="DJ46" i="17"/>
  <c r="Y64" i="17"/>
  <c r="AX88" i="17"/>
  <c r="CH46" i="17"/>
  <c r="AK21" i="17"/>
  <c r="CK56" i="17"/>
  <c r="CM53" i="17"/>
  <c r="BB23" i="17"/>
  <c r="CJ18" i="17"/>
  <c r="AC20" i="17"/>
  <c r="DU64" i="17"/>
  <c r="CG68" i="17"/>
  <c r="CR34" i="17"/>
  <c r="BG14" i="17"/>
  <c r="DR13" i="17"/>
  <c r="AS51" i="17"/>
  <c r="DR46" i="17"/>
  <c r="DD30" i="17"/>
  <c r="DH54" i="17"/>
  <c r="BR59" i="17"/>
  <c r="BV85" i="17"/>
  <c r="BK34" i="17"/>
  <c r="DD21" i="17"/>
  <c r="DV61" i="17"/>
  <c r="CX19" i="17"/>
  <c r="CV22" i="17"/>
  <c r="BN28" i="17"/>
  <c r="BU54" i="17"/>
  <c r="BQ47" i="17"/>
  <c r="CI16" i="17"/>
  <c r="CW27" i="17"/>
  <c r="CN16" i="17"/>
  <c r="AM28" i="17"/>
  <c r="BZ21" i="17"/>
  <c r="CI48" i="17"/>
  <c r="CP59" i="17"/>
  <c r="CY19" i="17"/>
  <c r="AR34" i="17"/>
  <c r="DQ20" i="17"/>
  <c r="AT64" i="17"/>
  <c r="DP64" i="17"/>
  <c r="DA60" i="17"/>
  <c r="DA45" i="17"/>
  <c r="DU54" i="17"/>
  <c r="DK56" i="17"/>
  <c r="X19" i="17"/>
  <c r="DC33" i="17"/>
  <c r="DU21" i="17"/>
  <c r="CN57" i="17"/>
  <c r="DP11" i="17"/>
  <c r="V34" i="17"/>
  <c r="CV47" i="17"/>
  <c r="CL25" i="17"/>
  <c r="AT28" i="17"/>
  <c r="DU61" i="17"/>
  <c r="AL13" i="17"/>
  <c r="BG53" i="17"/>
  <c r="CZ53" i="17"/>
  <c r="BO22" i="17"/>
  <c r="AU21" i="17"/>
  <c r="BH34" i="17"/>
  <c r="CI28" i="17"/>
  <c r="BT67" i="17"/>
  <c r="R26" i="17"/>
  <c r="DG31" i="17"/>
  <c r="CE34" i="17"/>
  <c r="BF45" i="17"/>
  <c r="DR59" i="17"/>
  <c r="DR68" i="17"/>
  <c r="BO24" i="17"/>
  <c r="BW68" i="17"/>
  <c r="AP20" i="17"/>
  <c r="DH14" i="17"/>
  <c r="DF58" i="17"/>
  <c r="DM12" i="17"/>
  <c r="N30" i="17"/>
  <c r="F741" i="32" s="1"/>
  <c r="AM88" i="17"/>
  <c r="AX16" i="17"/>
  <c r="BS16" i="17"/>
  <c r="DV51" i="17"/>
  <c r="DP34" i="17"/>
  <c r="DF22" i="17"/>
  <c r="AX19" i="17"/>
  <c r="BD86" i="17"/>
  <c r="BZ16" i="17"/>
  <c r="CH30" i="17"/>
  <c r="DK32" i="17"/>
  <c r="CZ67" i="17"/>
  <c r="CP68" i="17"/>
  <c r="S64" i="17"/>
  <c r="CO32" i="17"/>
  <c r="BH26" i="17"/>
  <c r="CP85" i="17"/>
  <c r="CZ14" i="17"/>
  <c r="BU34" i="17"/>
  <c r="BO89" i="17"/>
  <c r="BE65" i="17"/>
  <c r="CM34" i="17"/>
  <c r="T20" i="17"/>
  <c r="CW60" i="17"/>
  <c r="BM24" i="17"/>
  <c r="AU26" i="17"/>
  <c r="BT56" i="17"/>
  <c r="CT26" i="17"/>
  <c r="DV65" i="17"/>
  <c r="CC54" i="17"/>
  <c r="CY51" i="17"/>
  <c r="DA88" i="17"/>
  <c r="DR42" i="17"/>
  <c r="BX60" i="17"/>
  <c r="AJ65" i="17"/>
  <c r="BK51" i="17"/>
  <c r="CP24" i="17"/>
  <c r="U30" i="17"/>
  <c r="CZ16" i="17"/>
  <c r="CH24" i="17"/>
  <c r="AW89" i="17"/>
  <c r="CV14" i="17"/>
  <c r="CC12" i="17"/>
  <c r="BW51" i="17"/>
  <c r="CJ30" i="17"/>
  <c r="DE65" i="17"/>
  <c r="BN65" i="17"/>
  <c r="BQ14" i="17"/>
  <c r="CJ54" i="17"/>
  <c r="BY26" i="17"/>
  <c r="CX13" i="17"/>
  <c r="DS59" i="17"/>
  <c r="DN14" i="17"/>
  <c r="CY88" i="17"/>
  <c r="BI46" i="17"/>
  <c r="AX25" i="17"/>
  <c r="DG60" i="17"/>
  <c r="DD58" i="17"/>
  <c r="BG61" i="17"/>
  <c r="BM42" i="17"/>
  <c r="BD64" i="17"/>
  <c r="BK11" i="17"/>
  <c r="BH18" i="17"/>
  <c r="AS59" i="17"/>
  <c r="DH22" i="17"/>
  <c r="CD12" i="17"/>
  <c r="AU14" i="17"/>
  <c r="BN88" i="17"/>
  <c r="DH61" i="17"/>
  <c r="CE46" i="17"/>
  <c r="AY60" i="17"/>
  <c r="BW25" i="17"/>
  <c r="BP42" i="17"/>
  <c r="DD12" i="17"/>
  <c r="BQ12" i="17"/>
  <c r="DD67" i="17"/>
  <c r="BF68" i="17"/>
  <c r="CI24" i="17"/>
  <c r="BG51" i="17"/>
  <c r="BV19" i="17"/>
  <c r="Y34" i="17"/>
  <c r="BK13" i="17"/>
  <c r="AM14" i="17"/>
  <c r="DD65" i="17"/>
  <c r="BW24" i="17"/>
  <c r="N24" i="17"/>
  <c r="BS68" i="17"/>
  <c r="DC30" i="17"/>
  <c r="CN26" i="17"/>
  <c r="CC59" i="17"/>
  <c r="BP48" i="17"/>
  <c r="BN89" i="17"/>
  <c r="BU67" i="17"/>
  <c r="CB28" i="17"/>
  <c r="DG19" i="17"/>
  <c r="BF67" i="17"/>
  <c r="CB46" i="17"/>
  <c r="DD33" i="17"/>
  <c r="CB24" i="17"/>
  <c r="BZ88" i="17"/>
  <c r="AN89" i="17"/>
  <c r="DJ14" i="17"/>
  <c r="CI53" i="17"/>
  <c r="DM47" i="17"/>
  <c r="CS32" i="17"/>
  <c r="DE56" i="17"/>
  <c r="BG16" i="17"/>
  <c r="AZ21" i="17"/>
  <c r="AQ18" i="17"/>
  <c r="DJ43" i="17"/>
  <c r="AM61" i="17"/>
  <c r="BE31" i="17"/>
  <c r="DS24" i="17"/>
  <c r="BI34" i="17"/>
  <c r="CV57" i="17"/>
  <c r="BR30" i="17"/>
  <c r="CK13" i="17"/>
  <c r="BY56" i="17"/>
  <c r="BB58" i="17"/>
  <c r="CP46" i="17"/>
  <c r="BQ33" i="17"/>
  <c r="DS42" i="17"/>
  <c r="CP12" i="17"/>
  <c r="AX26" i="17"/>
  <c r="AY28" i="17"/>
  <c r="AF64" i="17"/>
  <c r="BI26" i="17"/>
  <c r="CM20" i="17"/>
  <c r="BW60" i="17"/>
  <c r="CU64" i="17"/>
  <c r="DO58" i="17"/>
  <c r="AZ68" i="17"/>
  <c r="CF27" i="17"/>
  <c r="AY18" i="17"/>
  <c r="DP89" i="17"/>
  <c r="DJ51" i="17"/>
  <c r="CA64" i="17"/>
  <c r="AV12" i="17"/>
  <c r="CT85" i="17"/>
  <c r="DC18" i="17"/>
  <c r="CE18" i="17"/>
  <c r="DJ47" i="17"/>
  <c r="CO14" i="17"/>
  <c r="BJ46" i="17"/>
  <c r="CM21" i="17"/>
  <c r="CK89" i="17"/>
  <c r="DB64" i="17"/>
  <c r="BC12" i="17"/>
  <c r="CO61" i="17"/>
  <c r="CY21" i="17"/>
  <c r="U67" i="17"/>
  <c r="AA30" i="17"/>
  <c r="DN61" i="17"/>
  <c r="DU53" i="17"/>
  <c r="BM47" i="17"/>
  <c r="DQ88" i="17"/>
  <c r="CF13" i="17"/>
  <c r="CK33" i="17"/>
  <c r="AO57" i="17"/>
  <c r="DO51" i="17"/>
  <c r="DE60" i="17"/>
  <c r="Q21" i="17"/>
  <c r="CM27" i="17"/>
  <c r="CW28" i="17"/>
  <c r="CQ54" i="17"/>
  <c r="CT31" i="17"/>
  <c r="DI45" i="17"/>
  <c r="DR16" i="17"/>
  <c r="BE19" i="17"/>
  <c r="BN64" i="17"/>
  <c r="AB64" i="17"/>
  <c r="CS24" i="17"/>
  <c r="BJ68" i="17"/>
  <c r="BM18" i="17"/>
  <c r="BL65" i="17"/>
  <c r="DR51" i="17"/>
  <c r="BW20" i="17"/>
  <c r="BO33" i="17"/>
  <c r="CQ58" i="17"/>
  <c r="DG65" i="17"/>
  <c r="CD60" i="17"/>
  <c r="BI31" i="17"/>
  <c r="DP20" i="17"/>
  <c r="AQ25" i="17"/>
  <c r="DR65" i="17"/>
  <c r="DF56" i="17"/>
  <c r="DB89" i="17"/>
  <c r="BK46" i="17"/>
  <c r="DO14" i="17"/>
  <c r="DT20" i="17"/>
  <c r="DG16" i="17"/>
  <c r="DH60" i="17"/>
  <c r="DU19" i="17"/>
  <c r="AU31" i="17"/>
  <c r="W30" i="17"/>
  <c r="CX60" i="17"/>
  <c r="BM48" i="17"/>
  <c r="BS45" i="17"/>
  <c r="AR32" i="17"/>
  <c r="AX47" i="17"/>
  <c r="DK58" i="17"/>
  <c r="AP28" i="17"/>
  <c r="AN85" i="17"/>
  <c r="Z30" i="17"/>
  <c r="CA42" i="17"/>
  <c r="DG14" i="17"/>
  <c r="BE51" i="17"/>
  <c r="AO67" i="17"/>
  <c r="DG56" i="17"/>
  <c r="CQ42" i="17"/>
  <c r="DE19" i="17"/>
  <c r="CQ51" i="17"/>
  <c r="AK14" i="17"/>
  <c r="BI28" i="17"/>
  <c r="CH52" i="17"/>
  <c r="BF23" i="17"/>
  <c r="AW45" i="17"/>
  <c r="AW58" i="17"/>
  <c r="BY20" i="17"/>
  <c r="DS51" i="17"/>
  <c r="BB67" i="17"/>
  <c r="CC33" i="17"/>
  <c r="DD13" i="17"/>
  <c r="CL51" i="17"/>
  <c r="X22" i="17"/>
  <c r="BL54" i="17"/>
  <c r="BC88" i="17"/>
  <c r="X21" i="17"/>
  <c r="CT23" i="17"/>
  <c r="CP60" i="17"/>
  <c r="DA26" i="17"/>
  <c r="CM22" i="17"/>
  <c r="CI18" i="17"/>
  <c r="AX48" i="17"/>
  <c r="AR58" i="17"/>
  <c r="AJ42" i="17"/>
  <c r="BM30" i="17"/>
  <c r="CZ52" i="17"/>
  <c r="DP60" i="17"/>
  <c r="DF64" i="17"/>
  <c r="DT14" i="17"/>
  <c r="BT24" i="17"/>
  <c r="BE68" i="17"/>
  <c r="BY64" i="17"/>
  <c r="CK18" i="17"/>
  <c r="CJ53" i="17"/>
  <c r="DI23" i="17"/>
  <c r="DF31" i="17"/>
  <c r="BX34" i="17"/>
  <c r="CQ61" i="17"/>
  <c r="BV34" i="17"/>
  <c r="CD58" i="17"/>
  <c r="CZ32" i="17"/>
  <c r="BJ59" i="17"/>
  <c r="CY59" i="17"/>
  <c r="DV53" i="17"/>
  <c r="CV31" i="17"/>
  <c r="BT51" i="17"/>
  <c r="AY33" i="17"/>
  <c r="AP27" i="17"/>
  <c r="BQ88" i="17"/>
  <c r="DG54" i="17"/>
  <c r="CZ30" i="17"/>
  <c r="CQ68" i="17"/>
  <c r="DC86" i="17"/>
  <c r="BF51" i="17"/>
  <c r="BQ31" i="17"/>
  <c r="CE59" i="17"/>
  <c r="BD26" i="17"/>
  <c r="AJ23" i="17"/>
  <c r="AN61" i="17"/>
  <c r="DE18" i="17"/>
  <c r="BV21" i="17"/>
  <c r="DJ31" i="17"/>
  <c r="BR28" i="17"/>
  <c r="CU46" i="17"/>
  <c r="CG18" i="17"/>
  <c r="DI52" i="17"/>
  <c r="BB45" i="17"/>
  <c r="CR27" i="17"/>
  <c r="BP89" i="17"/>
  <c r="BH65" i="17"/>
  <c r="DD11" i="17"/>
  <c r="CE32" i="17"/>
  <c r="DO23" i="17"/>
  <c r="CR86" i="17"/>
  <c r="BN58" i="17"/>
  <c r="DV68" i="17"/>
  <c r="DP46" i="17"/>
  <c r="DT27" i="17"/>
  <c r="AL53" i="17"/>
  <c r="AN14" i="17"/>
  <c r="BN11" i="17"/>
  <c r="DU32" i="17"/>
  <c r="CF86" i="17"/>
  <c r="CN21" i="17"/>
  <c r="BT23" i="17"/>
  <c r="DJ61" i="17"/>
  <c r="BM33" i="17"/>
  <c r="DP31" i="17"/>
  <c r="BA13" i="17"/>
  <c r="DL32" i="17"/>
  <c r="DG32" i="17"/>
  <c r="S22" i="17"/>
  <c r="AV45" i="17"/>
  <c r="DD54" i="17"/>
  <c r="CL53" i="17"/>
  <c r="AY27" i="17"/>
  <c r="AM23" i="17"/>
  <c r="AT13" i="17"/>
  <c r="DC48" i="17"/>
  <c r="CS31" i="17"/>
  <c r="BW32" i="17"/>
  <c r="DU65" i="17"/>
  <c r="CK28" i="17"/>
  <c r="BL56" i="17"/>
  <c r="DQ54" i="17"/>
  <c r="CF16" i="17"/>
  <c r="BK22" i="17"/>
  <c r="DI13" i="17"/>
  <c r="CI56" i="17"/>
  <c r="AP16" i="17"/>
  <c r="BQ61" i="17"/>
  <c r="CJ45" i="17"/>
  <c r="DB16" i="17"/>
  <c r="BH11" i="17"/>
  <c r="DI88" i="17"/>
  <c r="CU31" i="17"/>
  <c r="AY20" i="17"/>
  <c r="BH20" i="17"/>
  <c r="CT68" i="17"/>
  <c r="DB51" i="17"/>
  <c r="BU46" i="17"/>
  <c r="BG24" i="17"/>
  <c r="DO56" i="17"/>
  <c r="AN32" i="17"/>
  <c r="DJ24" i="17"/>
  <c r="DK52" i="17"/>
  <c r="DL47" i="17"/>
  <c r="CZ86" i="17"/>
  <c r="CW32" i="17"/>
  <c r="CV54" i="17"/>
  <c r="BZ52" i="17"/>
  <c r="DT45" i="17"/>
  <c r="CJ68" i="17"/>
  <c r="CW34" i="17"/>
  <c r="DR60" i="17"/>
  <c r="CX51" i="17"/>
  <c r="BL42" i="17"/>
  <c r="DV23" i="17"/>
  <c r="CY52" i="17"/>
  <c r="DN46" i="17"/>
  <c r="CG32" i="17"/>
  <c r="BG28" i="17"/>
  <c r="CC31" i="17"/>
  <c r="BS12" i="17"/>
  <c r="BS88" i="17"/>
  <c r="CP18" i="17"/>
  <c r="DC20" i="17"/>
  <c r="BO31" i="17"/>
  <c r="AA22" i="17"/>
  <c r="BJ27" i="17"/>
  <c r="BW42" i="17"/>
  <c r="DE47" i="17"/>
  <c r="BF52" i="17"/>
  <c r="AK11" i="17"/>
  <c r="CH33" i="17"/>
  <c r="DM33" i="17"/>
  <c r="AE65" i="17"/>
  <c r="CX14" i="17"/>
  <c r="BX18" i="17"/>
  <c r="CW19" i="17"/>
  <c r="DE57" i="17"/>
  <c r="CL26" i="17"/>
  <c r="CV30" i="17"/>
  <c r="CC16" i="17"/>
  <c r="DV30" i="17"/>
  <c r="CB59" i="17"/>
  <c r="CN11" i="17"/>
  <c r="DQ11" i="17"/>
  <c r="CN28" i="17"/>
  <c r="BV45" i="17"/>
  <c r="BK24" i="17"/>
  <c r="AX33" i="17"/>
  <c r="DS68" i="17"/>
  <c r="CY46" i="17"/>
  <c r="CZ54" i="17"/>
  <c r="DN56" i="17"/>
  <c r="CP52" i="17"/>
  <c r="DI30" i="17"/>
  <c r="L20" i="17"/>
  <c r="D726" i="32" s="1"/>
  <c r="CE47" i="17"/>
  <c r="BZ45" i="17"/>
  <c r="AF21" i="17"/>
  <c r="BW19" i="17"/>
  <c r="BE52" i="17"/>
  <c r="AC34" i="17"/>
  <c r="BT21" i="17"/>
  <c r="DS23" i="17"/>
  <c r="CG33" i="17"/>
  <c r="DN13" i="17"/>
  <c r="BV60" i="17"/>
  <c r="CD21" i="17"/>
  <c r="DU43" i="17"/>
  <c r="BJ21" i="17"/>
  <c r="BB52" i="17"/>
  <c r="DQ56" i="17"/>
  <c r="AS88" i="17"/>
  <c r="CQ23" i="17"/>
  <c r="Z18" i="17"/>
  <c r="CL61" i="17"/>
  <c r="N64" i="17"/>
  <c r="DG52" i="17"/>
  <c r="BZ51" i="17"/>
  <c r="CI23" i="17"/>
  <c r="DJ64" i="17"/>
  <c r="CT58" i="17"/>
  <c r="CT67" i="17"/>
  <c r="DP18" i="17"/>
  <c r="DN12" i="17"/>
  <c r="DO32" i="17"/>
  <c r="BU32" i="17"/>
  <c r="DT88" i="17"/>
  <c r="BG67" i="17"/>
  <c r="AY12" i="17"/>
  <c r="DJ22" i="17"/>
  <c r="BX24" i="17"/>
  <c r="BW12" i="17"/>
  <c r="DG47" i="17"/>
  <c r="AE30" i="17"/>
  <c r="CU21" i="17"/>
  <c r="BN18" i="17"/>
  <c r="BA31" i="17"/>
  <c r="BX56" i="17"/>
  <c r="DP23" i="17"/>
  <c r="W34" i="17"/>
  <c r="BW13" i="17"/>
  <c r="BH45" i="17"/>
  <c r="AF26" i="17"/>
  <c r="AE27" i="17"/>
  <c r="L68" i="17"/>
  <c r="AF27" i="17"/>
  <c r="AF24" i="17"/>
  <c r="AF34" i="17"/>
  <c r="AG24" i="17"/>
  <c r="AG27" i="17"/>
  <c r="AE22" i="17"/>
  <c r="AF65" i="17"/>
  <c r="AG26" i="17"/>
  <c r="AG34" i="17"/>
  <c r="Y77" i="17"/>
  <c r="Q77" i="17"/>
  <c r="W77" i="17"/>
  <c r="N77" i="17"/>
  <c r="AE77" i="17"/>
  <c r="M77" i="17"/>
  <c r="AB77" i="17"/>
  <c r="AA77" i="17"/>
  <c r="AD77" i="17"/>
  <c r="AH77" i="17"/>
  <c r="X77" i="17"/>
  <c r="L23" i="17"/>
  <c r="U77" i="17"/>
  <c r="O77" i="17"/>
  <c r="AG77" i="17"/>
  <c r="AC77" i="17"/>
  <c r="Z77" i="17"/>
  <c r="P77" i="17"/>
  <c r="T77" i="17"/>
  <c r="AE23" i="17"/>
  <c r="S77" i="17"/>
  <c r="AF77" i="17"/>
  <c r="AD23" i="17"/>
  <c r="V77" i="17"/>
  <c r="M23" i="17"/>
  <c r="AI77" i="17"/>
  <c r="DA19" i="18"/>
  <c r="DA35" i="18" s="1"/>
  <c r="DD19" i="18"/>
  <c r="DD35" i="18" s="1"/>
  <c r="J185" i="11"/>
  <c r="EQ186" i="11"/>
  <c r="CN19" i="18"/>
  <c r="CN35" i="18" s="1"/>
  <c r="DN19" i="18"/>
  <c r="DN35" i="18" s="1"/>
  <c r="BY66" i="16"/>
  <c r="CD26" i="16"/>
  <c r="BX13" i="16"/>
  <c r="CJ34" i="16"/>
  <c r="BH31" i="16"/>
  <c r="BN39" i="16"/>
  <c r="AU24" i="16"/>
  <c r="AC35" i="16"/>
  <c r="T703" i="32" s="1"/>
  <c r="CK57" i="16"/>
  <c r="X30" i="16"/>
  <c r="O687" i="32" s="1"/>
  <c r="DJ23" i="16"/>
  <c r="W30" i="16"/>
  <c r="N687" i="32" s="1"/>
  <c r="DE26" i="16"/>
  <c r="AZ17" i="16"/>
  <c r="AZ16" i="16" s="1"/>
  <c r="AK60" i="16"/>
  <c r="CC32" i="16"/>
  <c r="BX56" i="16"/>
  <c r="BM48" i="16"/>
  <c r="DT33" i="16"/>
  <c r="CN32" i="16"/>
  <c r="DM61" i="16"/>
  <c r="S21" i="16"/>
  <c r="J682" i="32" s="1"/>
  <c r="DJ31" i="16"/>
  <c r="BW17" i="16"/>
  <c r="BW16" i="16" s="1"/>
  <c r="DJ75" i="16"/>
  <c r="BA27" i="16"/>
  <c r="CT19" i="16"/>
  <c r="BW21" i="16"/>
  <c r="R25" i="16"/>
  <c r="I685" i="32" s="1"/>
  <c r="CX60" i="16"/>
  <c r="AM50" i="16"/>
  <c r="DQ66" i="16"/>
  <c r="AR75" i="16"/>
  <c r="AE35" i="16"/>
  <c r="V703" i="32" s="1"/>
  <c r="CY60" i="16"/>
  <c r="CL50" i="16"/>
  <c r="BS34" i="16"/>
  <c r="DB61" i="16"/>
  <c r="BG31" i="16"/>
  <c r="CY15" i="16"/>
  <c r="BR29" i="16"/>
  <c r="DU66" i="16"/>
  <c r="DV24" i="16"/>
  <c r="CI39" i="16"/>
  <c r="DV38" i="16"/>
  <c r="V25" i="16"/>
  <c r="M685" i="32" s="1"/>
  <c r="BW23" i="16"/>
  <c r="DW48" i="16"/>
  <c r="BZ75" i="16"/>
  <c r="CY24" i="16"/>
  <c r="CC61" i="16"/>
  <c r="AG19" i="16"/>
  <c r="X704" i="32" s="1"/>
  <c r="CQ61" i="16"/>
  <c r="Q24" i="16"/>
  <c r="H684" i="32" s="1"/>
  <c r="DC14" i="16"/>
  <c r="AT23" i="16"/>
  <c r="AQ21" i="16"/>
  <c r="O35" i="16"/>
  <c r="F703" i="32" s="1"/>
  <c r="BP27" i="16"/>
  <c r="CA48" i="16"/>
  <c r="BT28" i="16"/>
  <c r="CJ14" i="16"/>
  <c r="DK48" i="16"/>
  <c r="AZ33" i="16"/>
  <c r="BY56" i="16"/>
  <c r="DQ31" i="16"/>
  <c r="AU39" i="16"/>
  <c r="AM28" i="16"/>
  <c r="CK22" i="16"/>
  <c r="BM75" i="16"/>
  <c r="CG76" i="16"/>
  <c r="CY22" i="16"/>
  <c r="AQ39" i="16"/>
  <c r="DC27" i="16"/>
  <c r="AZ19" i="16"/>
  <c r="DO48" i="16"/>
  <c r="AP31" i="16"/>
  <c r="X25" i="16"/>
  <c r="O685" i="32" s="1"/>
  <c r="CH20" i="16"/>
  <c r="R30" i="16"/>
  <c r="I687" i="32" s="1"/>
  <c r="BK47" i="16"/>
  <c r="CY57" i="16"/>
  <c r="DG61" i="16"/>
  <c r="BJ56" i="16"/>
  <c r="BY24" i="16"/>
  <c r="BN24" i="16"/>
  <c r="Y21" i="16"/>
  <c r="P682" i="32" s="1"/>
  <c r="DB20" i="16"/>
  <c r="BL66" i="16"/>
  <c r="DT75" i="16"/>
  <c r="DQ56" i="16"/>
  <c r="AV14" i="16"/>
  <c r="AU31" i="16"/>
  <c r="BL50" i="16"/>
  <c r="M24" i="16"/>
  <c r="AN17" i="16"/>
  <c r="AN16" i="16" s="1"/>
  <c r="BL25" i="16"/>
  <c r="CH19" i="16"/>
  <c r="AT27" i="16"/>
  <c r="BF24" i="16"/>
  <c r="BF28" i="16"/>
  <c r="DK76" i="16"/>
  <c r="DK38" i="16"/>
  <c r="AP56" i="16"/>
  <c r="DE21" i="16"/>
  <c r="CH30" i="16"/>
  <c r="DU56" i="16"/>
  <c r="BO17" i="16"/>
  <c r="BO16" i="16" s="1"/>
  <c r="BI26" i="16"/>
  <c r="CV14" i="16"/>
  <c r="BX22" i="16"/>
  <c r="CQ14" i="16"/>
  <c r="CT57" i="16"/>
  <c r="R17" i="16"/>
  <c r="R16" i="16" s="1"/>
  <c r="CG20" i="16"/>
  <c r="AT35" i="16"/>
  <c r="BS47" i="16"/>
  <c r="CJ29" i="16"/>
  <c r="DA50" i="16"/>
  <c r="BZ48" i="16"/>
  <c r="BD76" i="16"/>
  <c r="AT39" i="16"/>
  <c r="BS57" i="16"/>
  <c r="DS56" i="16"/>
  <c r="AP26" i="16"/>
  <c r="BL30" i="16"/>
  <c r="BC47" i="16"/>
  <c r="BH39" i="16"/>
  <c r="AY24" i="16"/>
  <c r="CK56" i="16"/>
  <c r="CK27" i="16"/>
  <c r="DB66" i="16"/>
  <c r="BX15" i="16"/>
  <c r="AB24" i="16"/>
  <c r="S684" i="32" s="1"/>
  <c r="DM56" i="16"/>
  <c r="BE38" i="16"/>
  <c r="BK21" i="16"/>
  <c r="CF65" i="16"/>
  <c r="BQ22" i="16"/>
  <c r="CI24" i="16"/>
  <c r="BO30" i="16"/>
  <c r="BM14" i="16"/>
  <c r="AY33" i="16"/>
  <c r="BO24" i="16"/>
  <c r="BX50" i="16"/>
  <c r="DE19" i="16"/>
  <c r="DH35" i="16"/>
  <c r="CO22" i="16"/>
  <c r="BE56" i="16"/>
  <c r="BN31" i="16"/>
  <c r="DS26" i="16"/>
  <c r="DN21" i="16"/>
  <c r="BY25" i="16"/>
  <c r="P24" i="16"/>
  <c r="AF25" i="16"/>
  <c r="W685" i="32" s="1"/>
  <c r="DV19" i="16"/>
  <c r="BG26" i="16"/>
  <c r="BS33" i="16"/>
  <c r="DM66" i="16"/>
  <c r="CB76" i="16"/>
  <c r="BG56" i="16"/>
  <c r="AI23" i="16"/>
  <c r="BH15" i="16"/>
  <c r="DH61" i="16"/>
  <c r="CA24" i="16"/>
  <c r="BZ50" i="16"/>
  <c r="AQ48" i="16"/>
  <c r="DP30" i="16"/>
  <c r="CE60" i="16"/>
  <c r="BP14" i="16"/>
  <c r="AF24" i="16"/>
  <c r="W684" i="32" s="1"/>
  <c r="BU47" i="16"/>
  <c r="DG60" i="16"/>
  <c r="AI35" i="16"/>
  <c r="DU47" i="16"/>
  <c r="BL17" i="16"/>
  <c r="BL16" i="16" s="1"/>
  <c r="AM23" i="16"/>
  <c r="AU50" i="16"/>
  <c r="DM50" i="16"/>
  <c r="DM75" i="16"/>
  <c r="DE61" i="16"/>
  <c r="DD28" i="16"/>
  <c r="DB29" i="16"/>
  <c r="DT31" i="16"/>
  <c r="AV13" i="16"/>
  <c r="AK31" i="16"/>
  <c r="AR14" i="16"/>
  <c r="DB26" i="16"/>
  <c r="DI17" i="16"/>
  <c r="DI16" i="16" s="1"/>
  <c r="BZ24" i="16"/>
  <c r="BP23" i="16"/>
  <c r="CE48" i="16"/>
  <c r="AK75" i="16"/>
  <c r="DC61" i="16"/>
  <c r="CS25" i="16"/>
  <c r="BH66" i="16"/>
  <c r="CD75" i="16"/>
  <c r="AS25" i="16"/>
  <c r="AU26" i="16"/>
  <c r="DC21" i="16"/>
  <c r="S26" i="16"/>
  <c r="AU15" i="16"/>
  <c r="DM19" i="16"/>
  <c r="BP34" i="16"/>
  <c r="CK31" i="16"/>
  <c r="BV23" i="16"/>
  <c r="AU13" i="16"/>
  <c r="BX48" i="16"/>
  <c r="DG76" i="16"/>
  <c r="BL57" i="16"/>
  <c r="BY48" i="16"/>
  <c r="DR15" i="16"/>
  <c r="CT38" i="16"/>
  <c r="CG25" i="16"/>
  <c r="CR14" i="16"/>
  <c r="O22" i="16"/>
  <c r="F683" i="32" s="1"/>
  <c r="CP50" i="16"/>
  <c r="AV29" i="16"/>
  <c r="O29" i="16"/>
  <c r="AW13" i="16"/>
  <c r="AL57" i="16"/>
  <c r="DC25" i="16"/>
  <c r="CN20" i="16"/>
  <c r="DK24" i="16"/>
  <c r="BD13" i="16"/>
  <c r="BO14" i="16"/>
  <c r="DG29" i="16"/>
  <c r="BB66" i="16"/>
  <c r="BA61" i="16"/>
  <c r="AH23" i="16"/>
  <c r="CC66" i="16"/>
  <c r="AG23" i="16"/>
  <c r="X686" i="32" s="1"/>
  <c r="AA23" i="16"/>
  <c r="R686" i="32" s="1"/>
  <c r="CI75" i="16"/>
  <c r="DD30" i="16"/>
  <c r="CK48" i="16"/>
  <c r="AS60" i="16"/>
  <c r="CJ75" i="16"/>
  <c r="CI30" i="16"/>
  <c r="CC34" i="16"/>
  <c r="BB60" i="16"/>
  <c r="BO34" i="16"/>
  <c r="DO13" i="16"/>
  <c r="Q19" i="16"/>
  <c r="H704" i="32" s="1"/>
  <c r="DF38" i="16"/>
  <c r="BC31" i="16"/>
  <c r="AN38" i="16"/>
  <c r="CT32" i="16"/>
  <c r="BG13" i="16"/>
  <c r="DD60" i="16"/>
  <c r="BK22" i="16"/>
  <c r="DS35" i="16"/>
  <c r="BA50" i="16"/>
  <c r="AU22" i="16"/>
  <c r="CL66" i="16"/>
  <c r="CF66" i="16"/>
  <c r="DV25" i="16"/>
  <c r="BQ32" i="16"/>
  <c r="CL29" i="16"/>
  <c r="DC50" i="16"/>
  <c r="CH34" i="16"/>
  <c r="AY28" i="16"/>
  <c r="DW31" i="16"/>
  <c r="BN22" i="16"/>
  <c r="DU27" i="16"/>
  <c r="DS61" i="16"/>
  <c r="CG19" i="16"/>
  <c r="CO13" i="16"/>
  <c r="CQ17" i="16"/>
  <c r="CQ16" i="16" s="1"/>
  <c r="AO31" i="16"/>
  <c r="DO34" i="16"/>
  <c r="BT48" i="16"/>
  <c r="BA65" i="16"/>
  <c r="CN29" i="16"/>
  <c r="CD60" i="16"/>
  <c r="AM24" i="16"/>
  <c r="CL75" i="16"/>
  <c r="BF33" i="16"/>
  <c r="DW15" i="16"/>
  <c r="DW76" i="16"/>
  <c r="BE48" i="16"/>
  <c r="BA31" i="16"/>
  <c r="X35" i="16"/>
  <c r="O703" i="32" s="1"/>
  <c r="AM25" i="16"/>
  <c r="CP29" i="16"/>
  <c r="BW56" i="16"/>
  <c r="BR31" i="16"/>
  <c r="CM32" i="16"/>
  <c r="BM20" i="16"/>
  <c r="AM26" i="16"/>
  <c r="CO38" i="16"/>
  <c r="BD24" i="16"/>
  <c r="AW26" i="16"/>
  <c r="BK75" i="16"/>
  <c r="CM21" i="16"/>
  <c r="BC50" i="16"/>
  <c r="CY28" i="16"/>
  <c r="CS56" i="16"/>
  <c r="CO24" i="16"/>
  <c r="BU28" i="16"/>
  <c r="AU47" i="16"/>
  <c r="BB61" i="16"/>
  <c r="AX61" i="16"/>
  <c r="CH61" i="16"/>
  <c r="CT26" i="16"/>
  <c r="BK76" i="16"/>
  <c r="BU31" i="16"/>
  <c r="CK19" i="16"/>
  <c r="AL25" i="16"/>
  <c r="DQ24" i="16"/>
  <c r="CV22" i="16"/>
  <c r="DB56" i="16"/>
  <c r="DJ27" i="16"/>
  <c r="AL48" i="16"/>
  <c r="V19" i="16"/>
  <c r="M704" i="32" s="1"/>
  <c r="CF20" i="16"/>
  <c r="BC17" i="16"/>
  <c r="BC16" i="16" s="1"/>
  <c r="BV15" i="16"/>
  <c r="CF29" i="16"/>
  <c r="AJ22" i="16"/>
  <c r="BY19" i="16"/>
  <c r="CT27" i="16"/>
  <c r="AX19" i="16"/>
  <c r="CP26" i="16"/>
  <c r="CX48" i="16"/>
  <c r="W29" i="16"/>
  <c r="DB19" i="16"/>
  <c r="DK39" i="16"/>
  <c r="CH31" i="16"/>
  <c r="AA22" i="16"/>
  <c r="R683" i="32" s="1"/>
  <c r="DP57" i="16"/>
  <c r="AV66" i="16"/>
  <c r="BJ66" i="16"/>
  <c r="AZ14" i="16"/>
  <c r="DN22" i="16"/>
  <c r="DV60" i="16"/>
  <c r="CH66" i="16"/>
  <c r="BU25" i="16"/>
  <c r="BR32" i="16"/>
  <c r="CO17" i="16"/>
  <c r="CO16" i="16" s="1"/>
  <c r="DI25" i="16"/>
  <c r="BZ30" i="16"/>
  <c r="CP17" i="16"/>
  <c r="CP16" i="16" s="1"/>
  <c r="AX29" i="16"/>
  <c r="DB48" i="16"/>
  <c r="CM19" i="16"/>
  <c r="M15" i="16"/>
  <c r="W23" i="16"/>
  <c r="N686" i="32" s="1"/>
  <c r="CM22" i="16"/>
  <c r="BR61" i="16"/>
  <c r="DS33" i="16"/>
  <c r="BC38" i="16"/>
  <c r="CN31" i="16"/>
  <c r="DG19" i="16"/>
  <c r="U30" i="16"/>
  <c r="L687" i="32" s="1"/>
  <c r="CH39" i="16"/>
  <c r="DG15" i="16"/>
  <c r="DO39" i="16"/>
  <c r="CS32" i="16"/>
  <c r="BW34" i="16"/>
  <c r="Q23" i="16"/>
  <c r="H686" i="32" s="1"/>
  <c r="BK31" i="16"/>
  <c r="BX47" i="16"/>
  <c r="BV65" i="16"/>
  <c r="X23" i="16"/>
  <c r="O686" i="32" s="1"/>
  <c r="DS76" i="16"/>
  <c r="AM30" i="16"/>
  <c r="BJ23" i="16"/>
  <c r="CE61" i="16"/>
  <c r="AQ47" i="16"/>
  <c r="DO15" i="16"/>
  <c r="M22" i="16"/>
  <c r="CR13" i="16"/>
  <c r="BW57" i="16"/>
  <c r="DR19" i="16"/>
  <c r="DK22" i="16"/>
  <c r="DD34" i="16"/>
  <c r="BY27" i="16"/>
  <c r="CB17" i="16"/>
  <c r="CB16" i="16" s="1"/>
  <c r="AU60" i="16"/>
  <c r="DQ23" i="16"/>
  <c r="Q22" i="16"/>
  <c r="H683" i="32" s="1"/>
  <c r="CO25" i="16"/>
  <c r="CX21" i="16"/>
  <c r="DR75" i="16"/>
  <c r="M25" i="16"/>
  <c r="BM25" i="16"/>
  <c r="AQ56" i="16"/>
  <c r="CE65" i="16"/>
  <c r="CO21" i="16"/>
  <c r="BX65" i="16"/>
  <c r="DA57" i="16"/>
  <c r="AT19" i="16"/>
  <c r="T24" i="16"/>
  <c r="K684" i="32" s="1"/>
  <c r="CT60" i="16"/>
  <c r="W17" i="16"/>
  <c r="W16" i="16" s="1"/>
  <c r="DS60" i="16"/>
  <c r="BA75" i="16"/>
  <c r="DT15" i="16"/>
  <c r="CG29" i="16"/>
  <c r="AT30" i="16"/>
  <c r="CR56" i="16"/>
  <c r="DU28" i="16"/>
  <c r="R24" i="16"/>
  <c r="I684" i="32" s="1"/>
  <c r="CY25" i="16"/>
  <c r="Q30" i="16"/>
  <c r="H687" i="32" s="1"/>
  <c r="CB47" i="16"/>
  <c r="BW35" i="16"/>
  <c r="CG61" i="16"/>
  <c r="AY65" i="16"/>
  <c r="AF23" i="16"/>
  <c r="W686" i="32" s="1"/>
  <c r="BJ21" i="16"/>
  <c r="BI14" i="16"/>
  <c r="DR17" i="16"/>
  <c r="DR16" i="16" s="1"/>
  <c r="AX17" i="16"/>
  <c r="AX16" i="16" s="1"/>
  <c r="CP56" i="16"/>
  <c r="AI29" i="16"/>
  <c r="AO61" i="16"/>
  <c r="CV13" i="16"/>
  <c r="CM34" i="16"/>
  <c r="BF65" i="16"/>
  <c r="DK50" i="16"/>
  <c r="CS47" i="16"/>
  <c r="CC39" i="16"/>
  <c r="CB38" i="16"/>
  <c r="BJ19" i="16"/>
  <c r="AU23" i="16"/>
  <c r="CV27" i="16"/>
  <c r="DO38" i="16"/>
  <c r="DS32" i="16"/>
  <c r="BL14" i="16"/>
  <c r="BM22" i="16"/>
  <c r="CD15" i="16"/>
  <c r="CO19" i="16"/>
  <c r="CW32" i="16"/>
  <c r="CB22" i="16"/>
  <c r="CO75" i="16"/>
  <c r="CZ14" i="16"/>
  <c r="DE14" i="16"/>
  <c r="BD47" i="16"/>
  <c r="CK21" i="16"/>
  <c r="X19" i="16"/>
  <c r="O704" i="32" s="1"/>
  <c r="BY65" i="16"/>
  <c r="AW48" i="16"/>
  <c r="CD22" i="16"/>
  <c r="DI26" i="16"/>
  <c r="CN65" i="16"/>
  <c r="DF14" i="16"/>
  <c r="AY47" i="16"/>
  <c r="BU61" i="16"/>
  <c r="CW61" i="16"/>
  <c r="AS57" i="16"/>
  <c r="CZ29" i="16"/>
  <c r="DA21" i="16"/>
  <c r="BB22" i="16"/>
  <c r="DF33" i="16"/>
  <c r="CN66" i="16"/>
  <c r="AZ75" i="16"/>
  <c r="AA30" i="16"/>
  <c r="R687" i="32" s="1"/>
  <c r="CU48" i="16"/>
  <c r="DB23" i="16"/>
  <c r="AT57" i="16"/>
  <c r="BA48" i="16"/>
  <c r="DI28" i="16"/>
  <c r="CJ13" i="16"/>
  <c r="CR33" i="16"/>
  <c r="W21" i="16"/>
  <c r="N682" i="32" s="1"/>
  <c r="CW35" i="16"/>
  <c r="AI22" i="16"/>
  <c r="N23" i="16"/>
  <c r="BN19" i="16"/>
  <c r="BE57" i="16"/>
  <c r="AM32" i="16"/>
  <c r="CW13" i="16"/>
  <c r="CC27" i="16"/>
  <c r="BQ19" i="16"/>
  <c r="BE32" i="16"/>
  <c r="BO50" i="16"/>
  <c r="AG50" i="16"/>
  <c r="CS57" i="16"/>
  <c r="CC65" i="16"/>
  <c r="DG20" i="16"/>
  <c r="DM21" i="16"/>
  <c r="BG32" i="16"/>
  <c r="CP13" i="16"/>
  <c r="CA50" i="16"/>
  <c r="BR33" i="16"/>
  <c r="AW57" i="16"/>
  <c r="DS50" i="16"/>
  <c r="AO19" i="16"/>
  <c r="AX33" i="16"/>
  <c r="DS19" i="16"/>
  <c r="AD24" i="16"/>
  <c r="U684" i="32" s="1"/>
  <c r="CR17" i="16"/>
  <c r="CR16" i="16" s="1"/>
  <c r="DA34" i="16"/>
  <c r="BJ57" i="16"/>
  <c r="U24" i="16"/>
  <c r="L684" i="32" s="1"/>
  <c r="BP48" i="16"/>
  <c r="AV20" i="16"/>
  <c r="AX57" i="16"/>
  <c r="AR30" i="16"/>
  <c r="W27" i="16"/>
  <c r="DT39" i="16"/>
  <c r="DF34" i="16"/>
  <c r="DH29" i="16"/>
  <c r="BV29" i="16"/>
  <c r="DH60" i="16"/>
  <c r="CJ57" i="16"/>
  <c r="CB15" i="16"/>
  <c r="BG23" i="16"/>
  <c r="BB27" i="16"/>
  <c r="DO31" i="16"/>
  <c r="DW25" i="16"/>
  <c r="AW24" i="16"/>
  <c r="AP21" i="16"/>
  <c r="DP21" i="16"/>
  <c r="AZ27" i="16"/>
  <c r="BU39" i="16"/>
  <c r="AJ21" i="16"/>
  <c r="AT48" i="16"/>
  <c r="BA39" i="16"/>
  <c r="BQ61" i="16"/>
  <c r="BP28" i="16"/>
  <c r="CF76" i="16"/>
  <c r="CX31" i="16"/>
  <c r="AW34" i="16"/>
  <c r="BV56" i="16"/>
  <c r="CC48" i="16"/>
  <c r="CA19" i="16"/>
  <c r="BM30" i="16"/>
  <c r="DQ22" i="16"/>
  <c r="CQ29" i="16"/>
  <c r="DT47" i="16"/>
  <c r="M50" i="16"/>
  <c r="CP27" i="16"/>
  <c r="BK39" i="16"/>
  <c r="AL56" i="16"/>
  <c r="CT39" i="16"/>
  <c r="AT75" i="16"/>
  <c r="DD24" i="16"/>
  <c r="DT60" i="16"/>
  <c r="DG27" i="16"/>
  <c r="BB20" i="16"/>
  <c r="CY32" i="16"/>
  <c r="BZ13" i="16"/>
  <c r="BA57" i="16"/>
  <c r="AP39" i="16"/>
  <c r="CZ24" i="16"/>
  <c r="AE21" i="16"/>
  <c r="V682" i="32" s="1"/>
  <c r="AT66" i="16"/>
  <c r="AY22" i="16"/>
  <c r="BB35" i="16"/>
  <c r="BI75" i="16"/>
  <c r="AK61" i="16"/>
  <c r="DS14" i="16"/>
  <c r="DR25" i="16"/>
  <c r="W24" i="16"/>
  <c r="N684" i="32" s="1"/>
  <c r="DM76" i="16"/>
  <c r="AZ22" i="16"/>
  <c r="AX60" i="16"/>
  <c r="DD56" i="16"/>
  <c r="DM24" i="16"/>
  <c r="CA25" i="16"/>
  <c r="CK13" i="16"/>
  <c r="DJ25" i="16"/>
  <c r="DS65" i="16"/>
  <c r="CT29" i="16"/>
  <c r="DI20" i="16"/>
  <c r="AH17" i="16"/>
  <c r="AH16" i="16" s="1"/>
  <c r="AP17" i="16"/>
  <c r="AP16" i="16" s="1"/>
  <c r="BV75" i="16"/>
  <c r="AC26" i="16"/>
  <c r="DW22" i="16"/>
  <c r="CH57" i="16"/>
  <c r="BG25" i="16"/>
  <c r="BX34" i="16"/>
  <c r="CJ35" i="16"/>
  <c r="DA56" i="16"/>
  <c r="AK56" i="16"/>
  <c r="CI50" i="16"/>
  <c r="CR28" i="16"/>
  <c r="AO23" i="16"/>
  <c r="BC24" i="16"/>
  <c r="BD22" i="16"/>
  <c r="BF13" i="16"/>
  <c r="BU33" i="16"/>
  <c r="DI23" i="16"/>
  <c r="DF17" i="16"/>
  <c r="DF16" i="16" s="1"/>
  <c r="CF17" i="16"/>
  <c r="CF16" i="16" s="1"/>
  <c r="BY15" i="16"/>
  <c r="AL66" i="16"/>
  <c r="Q26" i="16"/>
  <c r="AZ48" i="16"/>
  <c r="P35" i="16"/>
  <c r="CB48" i="16"/>
  <c r="AL61" i="16"/>
  <c r="CI61" i="16"/>
  <c r="DJ34" i="16"/>
  <c r="AS34" i="16"/>
  <c r="BM35" i="16"/>
  <c r="DM29" i="16"/>
  <c r="AY27" i="16"/>
  <c r="DK20" i="16"/>
  <c r="DQ33" i="16"/>
  <c r="O26" i="16"/>
  <c r="AL47" i="16"/>
  <c r="CF31" i="16"/>
  <c r="DS38" i="16"/>
  <c r="DO20" i="16"/>
  <c r="AR61" i="16"/>
  <c r="DF27" i="16"/>
  <c r="DT35" i="16"/>
  <c r="CU65" i="16"/>
  <c r="CW60" i="16"/>
  <c r="BB57" i="16"/>
  <c r="CO57" i="16"/>
  <c r="DV32" i="16"/>
  <c r="BS14" i="16"/>
  <c r="DM25" i="16"/>
  <c r="DL39" i="16"/>
  <c r="DO50" i="16"/>
  <c r="DV31" i="16"/>
  <c r="CH22" i="16"/>
  <c r="DG39" i="16"/>
  <c r="AP57" i="16"/>
  <c r="BU32" i="16"/>
  <c r="CI47" i="16"/>
  <c r="BT20" i="16"/>
  <c r="BG33" i="16"/>
  <c r="DL17" i="16"/>
  <c r="DL16" i="16" s="1"/>
  <c r="AT13" i="16"/>
  <c r="CX38" i="16"/>
  <c r="BD31" i="16"/>
  <c r="BT27" i="16"/>
  <c r="AD19" i="16"/>
  <c r="U704" i="32" s="1"/>
  <c r="DC65" i="16"/>
  <c r="BU19" i="16"/>
  <c r="DG21" i="16"/>
  <c r="BS17" i="16"/>
  <c r="BS16" i="16" s="1"/>
  <c r="CM50" i="16"/>
  <c r="AH27" i="16"/>
  <c r="AT60" i="16"/>
  <c r="AL14" i="16"/>
  <c r="CY17" i="16"/>
  <c r="CY16" i="16" s="1"/>
  <c r="BD15" i="16"/>
  <c r="BP57" i="16"/>
  <c r="BI19" i="16"/>
  <c r="DE13" i="16"/>
  <c r="DW28" i="16"/>
  <c r="Z27" i="16"/>
  <c r="CD61" i="16"/>
  <c r="BT23" i="16"/>
  <c r="AO57" i="16"/>
  <c r="AZ34" i="16"/>
  <c r="DE15" i="16"/>
  <c r="BU13" i="16"/>
  <c r="BI13" i="16"/>
  <c r="AV31" i="16"/>
  <c r="DA23" i="16"/>
  <c r="BO35" i="16"/>
  <c r="CM27" i="16"/>
  <c r="AY19" i="16"/>
  <c r="Y35" i="16"/>
  <c r="P703" i="32" s="1"/>
  <c r="BR34" i="16"/>
  <c r="AZ66" i="16"/>
  <c r="P29" i="16"/>
  <c r="DG75" i="16"/>
  <c r="DE50" i="16"/>
  <c r="BX38" i="16"/>
  <c r="DV76" i="16"/>
  <c r="DU22" i="16"/>
  <c r="BK35" i="16"/>
  <c r="CE29" i="16"/>
  <c r="CR50" i="16"/>
  <c r="BR30" i="16"/>
  <c r="BZ26" i="16"/>
  <c r="DF50" i="16"/>
  <c r="CV35" i="16"/>
  <c r="CY35" i="16"/>
  <c r="CX56" i="16"/>
  <c r="DR22" i="16"/>
  <c r="CF34" i="16"/>
  <c r="BI20" i="16"/>
  <c r="BO32" i="16"/>
  <c r="CN56" i="16"/>
  <c r="AL26" i="16"/>
  <c r="CA29" i="16"/>
  <c r="AY34" i="16"/>
  <c r="BI65" i="16"/>
  <c r="BU24" i="16"/>
  <c r="CI32" i="16"/>
  <c r="CD13" i="16"/>
  <c r="CB30" i="16"/>
  <c r="CI23" i="16"/>
  <c r="DM32" i="16"/>
  <c r="BV35" i="16"/>
  <c r="DR23" i="16"/>
  <c r="O25" i="16"/>
  <c r="F685" i="32" s="1"/>
  <c r="BX60" i="16"/>
  <c r="AK19" i="16"/>
  <c r="CR30" i="16"/>
  <c r="BH21" i="16"/>
  <c r="AP32" i="16"/>
  <c r="CN61" i="16"/>
  <c r="DM15" i="16"/>
  <c r="CZ60" i="16"/>
  <c r="U26" i="16"/>
  <c r="BZ56" i="16"/>
  <c r="DM34" i="16"/>
  <c r="DR24" i="16"/>
  <c r="AK30" i="16"/>
  <c r="AT33" i="16"/>
  <c r="BB28" i="16"/>
  <c r="CN50" i="16"/>
  <c r="AO76" i="16"/>
  <c r="AN20" i="16"/>
  <c r="AP35" i="16"/>
  <c r="CI28" i="16"/>
  <c r="AP14" i="16"/>
  <c r="AY26" i="16"/>
  <c r="AQ17" i="16"/>
  <c r="AQ16" i="16" s="1"/>
  <c r="DC30" i="16"/>
  <c r="CN28" i="16"/>
  <c r="DB76" i="16"/>
  <c r="DE39" i="16"/>
  <c r="V22" i="16"/>
  <c r="M683" i="32" s="1"/>
  <c r="DJ57" i="16"/>
  <c r="DU48" i="16"/>
  <c r="AW61" i="16"/>
  <c r="CM30" i="16"/>
  <c r="DD38" i="16"/>
  <c r="BF34" i="16"/>
  <c r="BN35" i="16"/>
  <c r="CW30" i="16"/>
  <c r="DC57" i="16"/>
  <c r="CZ38" i="16"/>
  <c r="AQ14" i="16"/>
  <c r="Q35" i="16"/>
  <c r="H703" i="32" s="1"/>
  <c r="BL24" i="16"/>
  <c r="AS33" i="16"/>
  <c r="X27" i="16"/>
  <c r="BH19" i="16"/>
  <c r="BW47" i="16"/>
  <c r="CW34" i="16"/>
  <c r="CO29" i="16"/>
  <c r="AR25" i="16"/>
  <c r="CH65" i="16"/>
  <c r="BB25" i="16"/>
  <c r="O30" i="16"/>
  <c r="F687" i="32" s="1"/>
  <c r="DC22" i="16"/>
  <c r="CS29" i="16"/>
  <c r="AL22" i="16"/>
  <c r="DW34" i="16"/>
  <c r="DI48" i="16"/>
  <c r="DI61" i="16"/>
  <c r="CI17" i="16"/>
  <c r="CI16" i="16" s="1"/>
  <c r="DW35" i="16"/>
  <c r="DS27" i="16"/>
  <c r="CJ21" i="16"/>
  <c r="AB19" i="16"/>
  <c r="S704" i="32" s="1"/>
  <c r="AU35" i="16"/>
  <c r="CN19" i="16"/>
  <c r="CI60" i="16"/>
  <c r="DI66" i="16"/>
  <c r="DS34" i="16"/>
  <c r="DJ29" i="16"/>
  <c r="AH25" i="16"/>
  <c r="BX32" i="16"/>
  <c r="DV50" i="16"/>
  <c r="DJ39" i="16"/>
  <c r="CL61" i="16"/>
  <c r="Y29" i="16"/>
  <c r="BK66" i="16"/>
  <c r="DM38" i="16"/>
  <c r="BO61" i="16"/>
  <c r="DT21" i="16"/>
  <c r="BX19" i="16"/>
  <c r="CK35" i="16"/>
  <c r="BL27" i="16"/>
  <c r="BA60" i="16"/>
  <c r="BZ31" i="16"/>
  <c r="AW66" i="16"/>
  <c r="CA39" i="16"/>
  <c r="M26" i="16"/>
  <c r="CA26" i="16"/>
  <c r="AK38" i="16"/>
  <c r="BP30" i="16"/>
  <c r="DO21" i="16"/>
  <c r="BS15" i="16"/>
  <c r="BG29" i="16"/>
  <c r="BR39" i="16"/>
  <c r="BR23" i="16"/>
  <c r="CW47" i="16"/>
  <c r="BI48" i="16"/>
  <c r="BO22" i="16"/>
  <c r="BG38" i="16"/>
  <c r="AH29" i="16"/>
  <c r="CB24" i="16"/>
  <c r="DS57" i="16"/>
  <c r="CB65" i="16"/>
  <c r="BT57" i="16"/>
  <c r="BD38" i="16"/>
  <c r="DE33" i="16"/>
  <c r="CA31" i="16"/>
  <c r="AT65" i="16"/>
  <c r="AD29" i="16"/>
  <c r="CX65" i="16"/>
  <c r="BE15" i="16"/>
  <c r="DQ57" i="16"/>
  <c r="CU57" i="16"/>
  <c r="AZ47" i="16"/>
  <c r="CF35" i="16"/>
  <c r="CR76" i="16"/>
  <c r="BT47" i="16"/>
  <c r="CN39" i="16"/>
  <c r="BT56" i="16"/>
  <c r="DM57" i="16"/>
  <c r="AA50" i="16"/>
  <c r="CG23" i="16"/>
  <c r="BL60" i="16"/>
  <c r="BK61" i="16"/>
  <c r="BB33" i="16"/>
  <c r="DC48" i="16"/>
  <c r="AJ30" i="16"/>
  <c r="CN23" i="16"/>
  <c r="BY13" i="16"/>
  <c r="CT15" i="16"/>
  <c r="DO47" i="16"/>
  <c r="CA76" i="16"/>
  <c r="DU32" i="16"/>
  <c r="BS25" i="16"/>
  <c r="CR22" i="16"/>
  <c r="CL22" i="16"/>
  <c r="CG38" i="16"/>
  <c r="AS50" i="16"/>
  <c r="CD56" i="16"/>
  <c r="BP19" i="16"/>
  <c r="DE25" i="16"/>
  <c r="BF75" i="16"/>
  <c r="BF20" i="16"/>
  <c r="P26" i="16"/>
  <c r="CZ15" i="16"/>
  <c r="DQ75" i="16"/>
  <c r="CC50" i="16"/>
  <c r="BM31" i="16"/>
  <c r="CU14" i="16"/>
  <c r="CJ38" i="16"/>
  <c r="AO26" i="16"/>
  <c r="DC32" i="16"/>
  <c r="CX66" i="16"/>
  <c r="AD30" i="16"/>
  <c r="U687" i="32" s="1"/>
  <c r="BF60" i="16"/>
  <c r="Z50" i="16"/>
  <c r="Q27" i="16"/>
  <c r="M30" i="16"/>
  <c r="DP27" i="16"/>
  <c r="X26" i="16"/>
  <c r="CL17" i="16"/>
  <c r="CL16" i="16" s="1"/>
  <c r="CL57" i="16"/>
  <c r="CV21" i="16"/>
  <c r="CX13" i="16"/>
  <c r="DG23" i="16"/>
  <c r="DO76" i="16"/>
  <c r="O24" i="16"/>
  <c r="F684" i="32" s="1"/>
  <c r="AG26" i="16"/>
  <c r="DI56" i="16"/>
  <c r="DU39" i="16"/>
  <c r="BT31" i="16"/>
  <c r="DL31" i="16"/>
  <c r="DN19" i="16"/>
  <c r="DS21" i="16"/>
  <c r="AN35" i="16"/>
  <c r="CR34" i="16"/>
  <c r="AN26" i="16"/>
  <c r="S23" i="16"/>
  <c r="J686" i="32" s="1"/>
  <c r="AT31" i="16"/>
  <c r="CA57" i="16"/>
  <c r="AI21" i="16"/>
  <c r="BC29" i="16"/>
  <c r="CX35" i="16"/>
  <c r="BW25" i="16"/>
  <c r="DR29" i="16"/>
  <c r="AK65" i="16"/>
  <c r="BV47" i="16"/>
  <c r="CQ28" i="16"/>
  <c r="BU60" i="16"/>
  <c r="CH17" i="16"/>
  <c r="CH16" i="16" s="1"/>
  <c r="CC25" i="16"/>
  <c r="DW30" i="16"/>
  <c r="AQ13" i="16"/>
  <c r="CW17" i="16"/>
  <c r="CW16" i="16" s="1"/>
  <c r="CM48" i="16"/>
  <c r="CY31" i="16"/>
  <c r="BR66" i="16"/>
  <c r="BW32" i="16"/>
  <c r="AA29" i="16"/>
  <c r="CL25" i="16"/>
  <c r="CK61" i="16"/>
  <c r="DR13" i="16"/>
  <c r="AT38" i="16"/>
  <c r="BN66" i="16"/>
  <c r="DK65" i="16"/>
  <c r="DN48" i="16"/>
  <c r="AK39" i="16"/>
  <c r="AN15" i="16"/>
  <c r="BV28" i="16"/>
  <c r="AX32" i="16"/>
  <c r="CP61" i="16"/>
  <c r="CB20" i="16"/>
  <c r="CY19" i="16"/>
  <c r="P23" i="16"/>
  <c r="DL50" i="16"/>
  <c r="BJ35" i="16"/>
  <c r="CW28" i="16"/>
  <c r="CD31" i="16"/>
  <c r="CH75" i="16"/>
  <c r="CJ26" i="16"/>
  <c r="N25" i="16"/>
  <c r="AC27" i="16"/>
  <c r="BA76" i="16"/>
  <c r="DN29" i="16"/>
  <c r="CX17" i="16"/>
  <c r="CX16" i="16" s="1"/>
  <c r="AU66" i="16"/>
  <c r="BJ31" i="16"/>
  <c r="BM17" i="16"/>
  <c r="BM16" i="16" s="1"/>
  <c r="AI25" i="16"/>
  <c r="CX47" i="16"/>
  <c r="BO13" i="16"/>
  <c r="AO29" i="16"/>
  <c r="CQ22" i="16"/>
  <c r="BE31" i="16"/>
  <c r="DD76" i="16"/>
  <c r="CE19" i="16"/>
  <c r="AT20" i="16"/>
  <c r="BC21" i="16"/>
  <c r="AX38" i="16"/>
  <c r="AI19" i="16"/>
  <c r="CV33" i="16"/>
  <c r="DL60" i="16"/>
  <c r="M19" i="16"/>
  <c r="CY48" i="16"/>
  <c r="DF26" i="16"/>
  <c r="CF23" i="16"/>
  <c r="BY57" i="16"/>
  <c r="DA22" i="16"/>
  <c r="BJ22" i="16"/>
  <c r="Z25" i="16"/>
  <c r="Q685" i="32" s="1"/>
  <c r="CU29" i="16"/>
  <c r="DL19" i="16"/>
  <c r="BU21" i="16"/>
  <c r="CD27" i="16"/>
  <c r="CI26" i="16"/>
  <c r="CK39" i="16"/>
  <c r="AS76" i="16"/>
  <c r="DN47" i="16"/>
  <c r="AM21" i="16"/>
  <c r="CH60" i="16"/>
  <c r="CS39" i="16"/>
  <c r="AS66" i="16"/>
  <c r="BN48" i="16"/>
  <c r="AN31" i="16"/>
  <c r="BS31" i="16"/>
  <c r="CZ66" i="16"/>
  <c r="DG24" i="16"/>
  <c r="DT30" i="16"/>
  <c r="DN75" i="16"/>
  <c r="AF19" i="16"/>
  <c r="W704" i="32" s="1"/>
  <c r="DA29" i="16"/>
  <c r="AO33" i="16"/>
  <c r="AP33" i="16"/>
  <c r="DF60" i="16"/>
  <c r="CV26" i="16"/>
  <c r="AV15" i="16"/>
  <c r="BO65" i="16"/>
  <c r="AW17" i="16"/>
  <c r="AW16" i="16" s="1"/>
  <c r="CO30" i="16"/>
  <c r="CA32" i="16"/>
  <c r="BV31" i="16"/>
  <c r="CC14" i="16"/>
  <c r="CF26" i="16"/>
  <c r="R35" i="16"/>
  <c r="I703" i="32" s="1"/>
  <c r="AM60" i="16"/>
  <c r="AY31" i="16"/>
  <c r="DP24" i="16"/>
  <c r="CM60" i="16"/>
  <c r="DT56" i="16"/>
  <c r="CP24" i="16"/>
  <c r="BB24" i="16"/>
  <c r="BN38" i="16"/>
  <c r="CF32" i="16"/>
  <c r="DL57" i="16"/>
  <c r="CP39" i="16"/>
  <c r="DA19" i="16"/>
  <c r="CX22" i="16"/>
  <c r="AT14" i="16"/>
  <c r="BH33" i="16"/>
  <c r="AO56" i="16"/>
  <c r="CI27" i="16"/>
  <c r="AY57" i="16"/>
  <c r="AR32" i="16"/>
  <c r="DN60" i="16"/>
  <c r="CG60" i="16"/>
  <c r="CS33" i="16"/>
  <c r="DE75" i="16"/>
  <c r="BF57" i="16"/>
  <c r="BQ48" i="16"/>
  <c r="AP50" i="16"/>
  <c r="CY66" i="16"/>
  <c r="P21" i="16"/>
  <c r="DD48" i="16"/>
  <c r="CS76" i="16"/>
  <c r="BJ50" i="16"/>
  <c r="DR28" i="16"/>
  <c r="DD13" i="16"/>
  <c r="DQ20" i="16"/>
  <c r="CJ31" i="16"/>
  <c r="DN35" i="16"/>
  <c r="DH38" i="16"/>
  <c r="BZ22" i="16"/>
  <c r="BM26" i="16"/>
  <c r="AL20" i="16"/>
  <c r="CF57" i="16"/>
  <c r="DF76" i="16"/>
  <c r="AX24" i="16"/>
  <c r="Z29" i="16"/>
  <c r="DI38" i="16"/>
  <c r="AC50" i="16"/>
  <c r="BM56" i="16"/>
  <c r="CT23" i="16"/>
  <c r="DQ50" i="16"/>
  <c r="BS24" i="16"/>
  <c r="CR19" i="16"/>
  <c r="CZ34" i="16"/>
  <c r="R21" i="16"/>
  <c r="I682" i="32" s="1"/>
  <c r="CB14" i="16"/>
  <c r="BK27" i="16"/>
  <c r="CP65" i="16"/>
  <c r="BL28" i="16"/>
  <c r="DD31" i="16"/>
  <c r="CJ22" i="16"/>
  <c r="CM25" i="16"/>
  <c r="AL34" i="16"/>
  <c r="AM75" i="16"/>
  <c r="CT25" i="16"/>
  <c r="BT13" i="16"/>
  <c r="DM17" i="16"/>
  <c r="DM16" i="16" s="1"/>
  <c r="AT50" i="16"/>
  <c r="CC33" i="16"/>
  <c r="CH29" i="16"/>
  <c r="BJ30" i="16"/>
  <c r="CP14" i="16"/>
  <c r="CG26" i="16"/>
  <c r="CM23" i="16"/>
  <c r="AO13" i="16"/>
  <c r="BG19" i="16"/>
  <c r="CX15" i="16"/>
  <c r="BA38" i="16"/>
  <c r="BP50" i="16"/>
  <c r="CW31" i="16"/>
  <c r="CV56" i="16"/>
  <c r="CF60" i="16"/>
  <c r="AQ27" i="16"/>
  <c r="BP26" i="16"/>
  <c r="AM47" i="16"/>
  <c r="BY75" i="16"/>
  <c r="BQ65" i="16"/>
  <c r="AN22" i="16"/>
  <c r="BC39" i="16"/>
  <c r="AA17" i="16"/>
  <c r="AA16" i="16" s="1"/>
  <c r="CR32" i="16"/>
  <c r="AY76" i="16"/>
  <c r="DQ17" i="16"/>
  <c r="DQ16" i="16" s="1"/>
  <c r="DJ35" i="16"/>
  <c r="CN25" i="16"/>
  <c r="BC33" i="16"/>
  <c r="DH14" i="16"/>
  <c r="CV24" i="16"/>
  <c r="BR13" i="16"/>
  <c r="DE38" i="16"/>
  <c r="CD38" i="16"/>
  <c r="CB27" i="16"/>
  <c r="CE31" i="16"/>
  <c r="T29" i="16"/>
  <c r="BP17" i="16"/>
  <c r="BP16" i="16" s="1"/>
  <c r="S22" i="16"/>
  <c r="J683" i="32" s="1"/>
  <c r="DB24" i="16"/>
  <c r="AY17" i="16"/>
  <c r="AY16" i="16" s="1"/>
  <c r="AN28" i="16"/>
  <c r="U17" i="16"/>
  <c r="U16" i="16" s="1"/>
  <c r="AV60" i="16"/>
  <c r="CK30" i="16"/>
  <c r="BT76" i="16"/>
  <c r="AX35" i="16"/>
  <c r="CQ35" i="16"/>
  <c r="CM39" i="16"/>
  <c r="CY47" i="16"/>
  <c r="DK26" i="16"/>
  <c r="BB50" i="16"/>
  <c r="BC75" i="16"/>
  <c r="DV28" i="16"/>
  <c r="BL35" i="16"/>
  <c r="Z22" i="16"/>
  <c r="Q683" i="32" s="1"/>
  <c r="DT76" i="16"/>
  <c r="BL47" i="16"/>
  <c r="DN32" i="16"/>
  <c r="CM13" i="16"/>
  <c r="CU13" i="16"/>
  <c r="AY25" i="16"/>
  <c r="AT34" i="16"/>
  <c r="CF14" i="16"/>
  <c r="AZ57" i="16"/>
  <c r="AL21" i="16"/>
  <c r="CQ20" i="16"/>
  <c r="BZ61" i="16"/>
  <c r="AO39" i="16"/>
  <c r="CU66" i="16"/>
  <c r="AN23" i="16"/>
  <c r="BD56" i="16"/>
  <c r="BI61" i="16"/>
  <c r="BJ24" i="16"/>
  <c r="BN50" i="16"/>
  <c r="AL35" i="16"/>
  <c r="BK19" i="16"/>
  <c r="BV76" i="16"/>
  <c r="BS65" i="16"/>
  <c r="BR21" i="16"/>
  <c r="CY30" i="16"/>
  <c r="CP60" i="16"/>
  <c r="BN14" i="16"/>
  <c r="CL48" i="16"/>
  <c r="BV27" i="16"/>
  <c r="DK35" i="16"/>
  <c r="N26" i="16"/>
  <c r="BI47" i="16"/>
  <c r="DG14" i="16"/>
  <c r="CO61" i="16"/>
  <c r="AN13" i="16"/>
  <c r="DG38" i="16"/>
  <c r="CW48" i="16"/>
  <c r="CV28" i="16"/>
  <c r="U25" i="16"/>
  <c r="L685" i="32" s="1"/>
  <c r="DT61" i="16"/>
  <c r="BL39" i="16"/>
  <c r="AZ23" i="16"/>
  <c r="CX14" i="16"/>
  <c r="AX66" i="16"/>
  <c r="AH21" i="16"/>
  <c r="DS24" i="16"/>
  <c r="AQ29" i="16"/>
  <c r="DE20" i="16"/>
  <c r="AW23" i="16"/>
  <c r="DN23" i="16"/>
  <c r="DT17" i="16"/>
  <c r="DT16" i="16" s="1"/>
  <c r="DW66" i="16"/>
  <c r="DC29" i="16"/>
  <c r="CQ31" i="16"/>
  <c r="BM76" i="16"/>
  <c r="CW26" i="16"/>
  <c r="S50" i="16"/>
  <c r="BE35" i="16"/>
  <c r="BF25" i="16"/>
  <c r="AW65" i="16"/>
  <c r="DW14" i="16"/>
  <c r="DF75" i="16"/>
  <c r="BE13" i="16"/>
  <c r="AG24" i="16"/>
  <c r="X684" i="32" s="1"/>
  <c r="CR47" i="16"/>
  <c r="BA47" i="16"/>
  <c r="BH35" i="16"/>
  <c r="DG48" i="16"/>
  <c r="CM35" i="16"/>
  <c r="BP65" i="16"/>
  <c r="AW56" i="16"/>
  <c r="CB19" i="16"/>
  <c r="AW20" i="16"/>
  <c r="R19" i="16"/>
  <c r="I704" i="32" s="1"/>
  <c r="DA65" i="16"/>
  <c r="BC26" i="16"/>
  <c r="BY50" i="16"/>
  <c r="BN29" i="16"/>
  <c r="AL27" i="16"/>
  <c r="BD28" i="16"/>
  <c r="BJ61" i="16"/>
  <c r="BI23" i="16"/>
  <c r="BD26" i="16"/>
  <c r="DE47" i="16"/>
  <c r="BN61" i="16"/>
  <c r="BZ35" i="16"/>
  <c r="AB29" i="16"/>
  <c r="DN25" i="16"/>
  <c r="AM17" i="16"/>
  <c r="AM16" i="16" s="1"/>
  <c r="BW19" i="16"/>
  <c r="DF61" i="16"/>
  <c r="BP24" i="16"/>
  <c r="CR60" i="16"/>
  <c r="BD35" i="16"/>
  <c r="BA34" i="16"/>
  <c r="DN13" i="16"/>
  <c r="DM47" i="16"/>
  <c r="BU26" i="16"/>
  <c r="DK28" i="16"/>
  <c r="AI26" i="16"/>
  <c r="CZ22" i="16"/>
  <c r="BO27" i="16"/>
  <c r="BQ21" i="16"/>
  <c r="DH26" i="16"/>
  <c r="BO31" i="16"/>
  <c r="CF27" i="16"/>
  <c r="DL24" i="16"/>
  <c r="CV50" i="16"/>
  <c r="BS61" i="16"/>
  <c r="R26" i="16"/>
  <c r="AS27" i="16"/>
  <c r="CN17" i="16"/>
  <c r="CN16" i="16" s="1"/>
  <c r="CG22" i="16"/>
  <c r="AD25" i="16"/>
  <c r="U685" i="32" s="1"/>
  <c r="BF39" i="16"/>
  <c r="CF75" i="16"/>
  <c r="CQ19" i="16"/>
  <c r="AS14" i="16"/>
  <c r="AM61" i="16"/>
  <c r="DU38" i="16"/>
  <c r="BB30" i="16"/>
  <c r="CN13" i="16"/>
  <c r="BZ39" i="16"/>
  <c r="BP32" i="16"/>
  <c r="CQ48" i="16"/>
  <c r="BR28" i="16"/>
  <c r="CJ24" i="16"/>
  <c r="BU29" i="16"/>
  <c r="CZ26" i="16"/>
  <c r="BK33" i="16"/>
  <c r="AU19" i="16"/>
  <c r="BP56" i="16"/>
  <c r="N17" i="16"/>
  <c r="N16" i="16" s="1"/>
  <c r="BJ17" i="16"/>
  <c r="BJ16" i="16" s="1"/>
  <c r="DN14" i="16"/>
  <c r="T25" i="16"/>
  <c r="K685" i="32" s="1"/>
  <c r="DH17" i="16"/>
  <c r="DH16" i="16" s="1"/>
  <c r="DF22" i="16"/>
  <c r="Y27" i="16"/>
  <c r="AT25" i="16"/>
  <c r="DC66" i="16"/>
  <c r="BS30" i="16"/>
  <c r="CU26" i="16"/>
  <c r="CL32" i="16"/>
  <c r="AS26" i="16"/>
  <c r="CQ50" i="16"/>
  <c r="CG28" i="16"/>
  <c r="DE35" i="16"/>
  <c r="AS19" i="16"/>
  <c r="CB13" i="16"/>
  <c r="CC22" i="16"/>
  <c r="DA14" i="16"/>
  <c r="BX39" i="16"/>
  <c r="CB25" i="16"/>
  <c r="CA28" i="16"/>
  <c r="DU25" i="16"/>
  <c r="CN47" i="16"/>
  <c r="CW22" i="16"/>
  <c r="AW25" i="16"/>
  <c r="BM23" i="16"/>
  <c r="BN33" i="16"/>
  <c r="CK34" i="16"/>
  <c r="DU57" i="16"/>
  <c r="DQ39" i="16"/>
  <c r="CX75" i="16"/>
  <c r="BO56" i="16"/>
  <c r="CD20" i="16"/>
  <c r="CM15" i="16"/>
  <c r="DV30" i="16"/>
  <c r="AQ31" i="16"/>
  <c r="CB60" i="16"/>
  <c r="BA29" i="16"/>
  <c r="CJ61" i="16"/>
  <c r="DA33" i="16"/>
  <c r="DE28" i="16"/>
  <c r="CI34" i="16"/>
  <c r="DA75" i="16"/>
  <c r="AV22" i="16"/>
  <c r="CB32" i="16"/>
  <c r="BE75" i="16"/>
  <c r="BD34" i="16"/>
  <c r="BN34" i="16"/>
  <c r="BM47" i="16"/>
  <c r="N19" i="16"/>
  <c r="DL61" i="16"/>
  <c r="CP15" i="16"/>
  <c r="BX17" i="16"/>
  <c r="BX16" i="16" s="1"/>
  <c r="CX57" i="16"/>
  <c r="BF29" i="16"/>
  <c r="BG30" i="16"/>
  <c r="BU34" i="16"/>
  <c r="CW76" i="16"/>
  <c r="AQ23" i="16"/>
  <c r="BG76" i="16"/>
  <c r="CS75" i="16"/>
  <c r="BV34" i="16"/>
  <c r="AQ33" i="16"/>
  <c r="CZ30" i="16"/>
  <c r="BF14" i="16"/>
  <c r="AS21" i="16"/>
  <c r="CR57" i="16"/>
  <c r="AJ19" i="16"/>
  <c r="CD32" i="16"/>
  <c r="AR31" i="16"/>
  <c r="CP23" i="16"/>
  <c r="AN61" i="16"/>
  <c r="CV75" i="16"/>
  <c r="BE66" i="16"/>
  <c r="AN21" i="16"/>
  <c r="DE76" i="16"/>
  <c r="BH24" i="16"/>
  <c r="CO48" i="16"/>
  <c r="AD27" i="16"/>
  <c r="BV32" i="16"/>
  <c r="AW14" i="16"/>
  <c r="AX50" i="16"/>
  <c r="BY20" i="16"/>
  <c r="CI13" i="16"/>
  <c r="AY20" i="16"/>
  <c r="BE65" i="16"/>
  <c r="AZ76" i="16"/>
  <c r="AN14" i="16"/>
  <c r="CL76" i="16"/>
  <c r="CA66" i="16"/>
  <c r="BL48" i="16"/>
  <c r="DC35" i="16"/>
  <c r="AM65" i="16"/>
  <c r="DU50" i="16"/>
  <c r="DD32" i="16"/>
  <c r="V29" i="16"/>
  <c r="CP28" i="16"/>
  <c r="Z26" i="16"/>
  <c r="AQ22" i="16"/>
  <c r="AZ24" i="16"/>
  <c r="DP56" i="16"/>
  <c r="AV33" i="16"/>
  <c r="CC29" i="16"/>
  <c r="CF38" i="16"/>
  <c r="Q25" i="16"/>
  <c r="H685" i="32" s="1"/>
  <c r="BG66" i="16"/>
  <c r="CY20" i="16"/>
  <c r="BA13" i="16"/>
  <c r="AZ32" i="16"/>
  <c r="AN29" i="16"/>
  <c r="DQ35" i="16"/>
  <c r="CO14" i="16"/>
  <c r="DR38" i="16"/>
  <c r="BN25" i="16"/>
  <c r="AX31" i="16"/>
  <c r="BB15" i="16"/>
  <c r="AK50" i="16"/>
  <c r="DI27" i="16"/>
  <c r="DM60" i="16"/>
  <c r="BA17" i="16"/>
  <c r="BA16" i="16" s="1"/>
  <c r="CQ30" i="16"/>
  <c r="DA17" i="16"/>
  <c r="DA16" i="16" s="1"/>
  <c r="BG22" i="16"/>
  <c r="CU24" i="16"/>
  <c r="DO29" i="16"/>
  <c r="AP65" i="16"/>
  <c r="CG24" i="16"/>
  <c r="DD20" i="16"/>
  <c r="CA22" i="16"/>
  <c r="AS56" i="16"/>
  <c r="P27" i="16"/>
  <c r="AN24" i="16"/>
  <c r="CK47" i="16"/>
  <c r="DC26" i="16"/>
  <c r="DQ26" i="16"/>
  <c r="CX28" i="16"/>
  <c r="CY21" i="16"/>
  <c r="AO50" i="16"/>
  <c r="CL65" i="16"/>
  <c r="BF21" i="16"/>
  <c r="CM28" i="16"/>
  <c r="BP35" i="16"/>
  <c r="BD29" i="16"/>
  <c r="CH28" i="16"/>
  <c r="DJ21" i="16"/>
  <c r="CE34" i="16"/>
  <c r="BG24" i="16"/>
  <c r="O23" i="16"/>
  <c r="F686" i="32" s="1"/>
  <c r="DQ28" i="16"/>
  <c r="CA61" i="16"/>
  <c r="DU14" i="16"/>
  <c r="CV20" i="16"/>
  <c r="BL31" i="16"/>
  <c r="CD23" i="16"/>
  <c r="DF32" i="16"/>
  <c r="CQ24" i="16"/>
  <c r="DG34" i="16"/>
  <c r="DS28" i="16"/>
  <c r="CM65" i="16"/>
  <c r="BF32" i="16"/>
  <c r="AB17" i="16"/>
  <c r="AB16" i="16" s="1"/>
  <c r="AR26" i="16"/>
  <c r="CY76" i="16"/>
  <c r="AZ15" i="16"/>
  <c r="AS38" i="16"/>
  <c r="CO35" i="16"/>
  <c r="CJ23" i="16"/>
  <c r="Y24" i="16"/>
  <c r="P684" i="32" s="1"/>
  <c r="BV57" i="16"/>
  <c r="DP61" i="16"/>
  <c r="BN32" i="16"/>
  <c r="DG32" i="16"/>
  <c r="BC60" i="16"/>
  <c r="BR19" i="16"/>
  <c r="BA15" i="16"/>
  <c r="Q21" i="16"/>
  <c r="H682" i="32" s="1"/>
  <c r="BJ15" i="16"/>
  <c r="CU21" i="16"/>
  <c r="CT75" i="16"/>
  <c r="BQ57" i="16"/>
  <c r="DV65" i="16"/>
  <c r="DS47" i="16"/>
  <c r="CU15" i="16"/>
  <c r="M17" i="16"/>
  <c r="AQ61" i="16"/>
  <c r="DP14" i="16"/>
  <c r="CC17" i="16"/>
  <c r="CC16" i="16" s="1"/>
  <c r="AP22" i="16"/>
  <c r="BU17" i="16"/>
  <c r="BU16" i="16" s="1"/>
  <c r="M23" i="16"/>
  <c r="CC56" i="16"/>
  <c r="CZ57" i="16"/>
  <c r="BF38" i="16"/>
  <c r="AS17" i="16"/>
  <c r="AS16" i="16" s="1"/>
  <c r="AX30" i="16"/>
  <c r="M35" i="16"/>
  <c r="BI24" i="16"/>
  <c r="CZ28" i="16"/>
  <c r="CF22" i="16"/>
  <c r="AT32" i="16"/>
  <c r="CR48" i="16"/>
  <c r="BL29" i="16"/>
  <c r="AM34" i="16"/>
  <c r="AP15" i="16"/>
  <c r="CI57" i="16"/>
  <c r="DC13" i="16"/>
  <c r="DJ48" i="16"/>
  <c r="P22" i="16"/>
  <c r="BD61" i="16"/>
  <c r="CV76" i="16"/>
  <c r="CI29" i="16"/>
  <c r="CC20" i="16"/>
  <c r="BS76" i="16"/>
  <c r="CR24" i="16"/>
  <c r="BG75" i="16"/>
  <c r="BQ39" i="16"/>
  <c r="CL34" i="16"/>
  <c r="CK50" i="16"/>
  <c r="CH27" i="16"/>
  <c r="DP17" i="16"/>
  <c r="DP16" i="16" s="1"/>
  <c r="CJ56" i="16"/>
  <c r="AQ35" i="16"/>
  <c r="AB23" i="16"/>
  <c r="S686" i="32" s="1"/>
  <c r="BO23" i="16"/>
  <c r="AV57" i="16"/>
  <c r="CH35" i="16"/>
  <c r="DV26" i="16"/>
  <c r="DT24" i="16"/>
  <c r="W35" i="16"/>
  <c r="N703" i="32" s="1"/>
  <c r="AI24" i="16"/>
  <c r="CQ76" i="16"/>
  <c r="N22" i="16"/>
  <c r="CC23" i="16"/>
  <c r="CL38" i="16"/>
  <c r="T35" i="16"/>
  <c r="K703" i="32" s="1"/>
  <c r="AO60" i="16"/>
  <c r="AZ13" i="16"/>
  <c r="T22" i="16"/>
  <c r="K683" i="32" s="1"/>
  <c r="DJ13" i="16"/>
  <c r="CG30" i="16"/>
  <c r="DV39" i="16"/>
  <c r="CD76" i="16"/>
  <c r="AP30" i="16"/>
  <c r="DP50" i="16"/>
  <c r="BH32" i="16"/>
  <c r="CP19" i="16"/>
  <c r="AV24" i="16"/>
  <c r="CV66" i="16"/>
  <c r="CJ25" i="16"/>
  <c r="DP34" i="16"/>
  <c r="CE57" i="16"/>
  <c r="DM30" i="16"/>
  <c r="AD35" i="16"/>
  <c r="U703" i="32" s="1"/>
  <c r="BM33" i="16"/>
  <c r="DM20" i="16"/>
  <c r="BD75" i="16"/>
  <c r="CD33" i="16"/>
  <c r="AO24" i="16"/>
  <c r="DW26" i="16"/>
  <c r="AK21" i="16"/>
  <c r="DD22" i="16"/>
  <c r="DD39" i="16"/>
  <c r="CX34" i="16"/>
  <c r="BH14" i="16"/>
  <c r="BY21" i="16"/>
  <c r="CH48" i="16"/>
  <c r="AX14" i="16"/>
  <c r="DP33" i="16"/>
  <c r="BK23" i="16"/>
  <c r="AB22" i="16"/>
  <c r="S683" i="32" s="1"/>
  <c r="AU48" i="16"/>
  <c r="DK47" i="16"/>
  <c r="CU25" i="16"/>
  <c r="DP32" i="16"/>
  <c r="CB23" i="16"/>
  <c r="DH75" i="16"/>
  <c r="DC28" i="16"/>
  <c r="CH50" i="16"/>
  <c r="AJ50" i="16"/>
  <c r="CL21" i="16"/>
  <c r="CG47" i="16"/>
  <c r="CB61" i="16"/>
  <c r="CB31" i="16"/>
  <c r="CC26" i="16"/>
  <c r="DR14" i="16"/>
  <c r="CI65" i="16"/>
  <c r="BD57" i="16"/>
  <c r="AJ24" i="16"/>
  <c r="BO47" i="16"/>
  <c r="CQ65" i="16"/>
  <c r="CW14" i="16"/>
  <c r="AC25" i="16"/>
  <c r="T685" i="32" s="1"/>
  <c r="AW38" i="16"/>
  <c r="AX25" i="16"/>
  <c r="AR33" i="16"/>
  <c r="BV61" i="16"/>
  <c r="BV26" i="16"/>
  <c r="AU21" i="16"/>
  <c r="CE33" i="16"/>
  <c r="AD26" i="16"/>
  <c r="CU39" i="16"/>
  <c r="CE25" i="16"/>
  <c r="DV34" i="16"/>
  <c r="CD29" i="16"/>
  <c r="DA26" i="16"/>
  <c r="BK60" i="16"/>
  <c r="DH19" i="16"/>
  <c r="BG39" i="16"/>
  <c r="BB32" i="16"/>
  <c r="CZ61" i="16"/>
  <c r="DU65" i="16"/>
  <c r="BN27" i="16"/>
  <c r="DM33" i="16"/>
  <c r="BK57" i="16"/>
  <c r="CI76" i="16"/>
  <c r="BN26" i="16"/>
  <c r="DV35" i="16"/>
  <c r="BM57" i="16"/>
  <c r="CS23" i="16"/>
  <c r="BY29" i="16"/>
  <c r="DR39" i="16"/>
  <c r="AS22" i="16"/>
  <c r="DG66" i="16"/>
  <c r="DG25" i="16"/>
  <c r="AL17" i="16"/>
  <c r="AL16" i="16" s="1"/>
  <c r="BE39" i="16"/>
  <c r="CU19" i="16"/>
  <c r="CE28" i="16"/>
  <c r="AX26" i="16"/>
  <c r="BK15" i="16"/>
  <c r="BF30" i="16"/>
  <c r="BI21" i="16"/>
  <c r="BE22" i="16"/>
  <c r="BC48" i="16"/>
  <c r="BK20" i="16"/>
  <c r="CS66" i="16"/>
  <c r="BX26" i="16"/>
  <c r="AP27" i="16"/>
  <c r="CH56" i="16"/>
  <c r="AS20" i="16"/>
  <c r="T26" i="16"/>
  <c r="AU56" i="16"/>
  <c r="DK19" i="16"/>
  <c r="BR48" i="16"/>
  <c r="CL26" i="16"/>
  <c r="AT29" i="16"/>
  <c r="AB30" i="16"/>
  <c r="S687" i="32" s="1"/>
  <c r="BT19" i="16"/>
  <c r="CD66" i="16"/>
  <c r="DV14" i="16"/>
  <c r="DT14" i="16"/>
  <c r="BH13" i="16"/>
  <c r="AR38" i="16"/>
  <c r="BP33" i="16"/>
  <c r="AR35" i="16"/>
  <c r="AK17" i="16"/>
  <c r="AK16" i="16" s="1"/>
  <c r="BR14" i="16"/>
  <c r="BG34" i="16"/>
  <c r="CM20" i="16"/>
  <c r="DI76" i="16"/>
  <c r="BZ21" i="16"/>
  <c r="DK29" i="16"/>
  <c r="DE60" i="16"/>
  <c r="S29" i="16"/>
  <c r="BW75" i="16"/>
  <c r="AR56" i="16"/>
  <c r="AP24" i="16"/>
  <c r="BH29" i="16"/>
  <c r="AY21" i="16"/>
  <c r="BQ17" i="16"/>
  <c r="BQ16" i="16" s="1"/>
  <c r="X21" i="16"/>
  <c r="O682" i="32" s="1"/>
  <c r="AY32" i="16"/>
  <c r="CS17" i="16"/>
  <c r="CS16" i="16" s="1"/>
  <c r="Z17" i="16"/>
  <c r="Z16" i="16" s="1"/>
  <c r="CD48" i="16"/>
  <c r="BZ19" i="16"/>
  <c r="AE25" i="16"/>
  <c r="V685" i="32" s="1"/>
  <c r="CJ48" i="16"/>
  <c r="AW39" i="16"/>
  <c r="DJ60" i="16"/>
  <c r="CY33" i="16"/>
  <c r="AO14" i="16"/>
  <c r="BT75" i="16"/>
  <c r="DN56" i="16"/>
  <c r="CS35" i="16"/>
  <c r="DP28" i="16"/>
  <c r="DS39" i="16"/>
  <c r="DN31" i="16"/>
  <c r="BV66" i="16"/>
  <c r="U23" i="16"/>
  <c r="L686" i="32" s="1"/>
  <c r="DU23" i="16"/>
  <c r="AS13" i="16"/>
  <c r="DP38" i="16"/>
  <c r="AY13" i="16"/>
  <c r="BR65" i="16"/>
  <c r="BP22" i="16"/>
  <c r="BW28" i="16"/>
  <c r="CX24" i="16"/>
  <c r="DL35" i="16"/>
  <c r="CU28" i="16"/>
  <c r="N24" i="16"/>
  <c r="CV39" i="16"/>
  <c r="AU57" i="16"/>
  <c r="BT66" i="16"/>
  <c r="AH35" i="16"/>
  <c r="T17" i="16"/>
  <c r="T16" i="16" s="1"/>
  <c r="CW25" i="16"/>
  <c r="BY23" i="16"/>
  <c r="CK17" i="16"/>
  <c r="CK16" i="16" s="1"/>
  <c r="X17" i="16"/>
  <c r="X16" i="16" s="1"/>
  <c r="BA33" i="16"/>
  <c r="DP48" i="16"/>
  <c r="AK76" i="16"/>
  <c r="AY50" i="16"/>
  <c r="BS19" i="16"/>
  <c r="AK13" i="16"/>
  <c r="BZ38" i="16"/>
  <c r="CG50" i="16"/>
  <c r="AL15" i="16"/>
  <c r="DV20" i="16"/>
  <c r="CS65" i="16"/>
  <c r="DG17" i="16"/>
  <c r="DG16" i="16" s="1"/>
  <c r="DT65" i="16"/>
  <c r="DF65" i="16"/>
  <c r="AY38" i="16"/>
  <c r="BV14" i="16"/>
  <c r="CC47" i="16"/>
  <c r="CJ15" i="16"/>
  <c r="BZ14" i="16"/>
  <c r="CC21" i="16"/>
  <c r="BJ76" i="16"/>
  <c r="CJ19" i="16"/>
  <c r="AZ26" i="16"/>
  <c r="BL33" i="16"/>
  <c r="CN21" i="16"/>
  <c r="DO65" i="16"/>
  <c r="BU14" i="16"/>
  <c r="AX27" i="16"/>
  <c r="BN15" i="16"/>
  <c r="DJ38" i="16"/>
  <c r="AV39" i="16"/>
  <c r="CB39" i="16"/>
  <c r="DI22" i="16"/>
  <c r="BA19" i="16"/>
  <c r="BJ32" i="16"/>
  <c r="DO14" i="16"/>
  <c r="CY23" i="16"/>
  <c r="AU76" i="16"/>
  <c r="CF48" i="16"/>
  <c r="AS47" i="16"/>
  <c r="CJ28" i="16"/>
  <c r="DI34" i="16"/>
  <c r="CL14" i="16"/>
  <c r="CV23" i="16"/>
  <c r="BR17" i="16"/>
  <c r="BR16" i="16" s="1"/>
  <c r="DG22" i="16"/>
  <c r="DT26" i="16"/>
  <c r="CB21" i="16"/>
  <c r="DQ60" i="16"/>
  <c r="BN20" i="16"/>
  <c r="AM33" i="16"/>
  <c r="BX14" i="16"/>
  <c r="CF21" i="16"/>
  <c r="BQ15" i="16"/>
  <c r="CZ23" i="16"/>
  <c r="BB48" i="16"/>
  <c r="AP48" i="16"/>
  <c r="CV25" i="16"/>
  <c r="CR66" i="16"/>
  <c r="DN20" i="16"/>
  <c r="CY29" i="16"/>
  <c r="BC65" i="16"/>
  <c r="AP61" i="16"/>
  <c r="CC13" i="16"/>
  <c r="CI38" i="16"/>
  <c r="DW29" i="16"/>
  <c r="AU17" i="16"/>
  <c r="AU16" i="16" s="1"/>
  <c r="CG13" i="16"/>
  <c r="AQ26" i="16"/>
  <c r="BW50" i="16"/>
  <c r="CE17" i="16"/>
  <c r="CE16" i="16" s="1"/>
  <c r="BX23" i="16"/>
  <c r="S24" i="16"/>
  <c r="J684" i="32" s="1"/>
  <c r="DE29" i="16"/>
  <c r="DK13" i="16"/>
  <c r="AW76" i="16"/>
  <c r="CN24" i="16"/>
  <c r="T30" i="16"/>
  <c r="K687" i="32" s="1"/>
  <c r="BY14" i="16"/>
  <c r="DO56" i="16"/>
  <c r="AJ29" i="16"/>
  <c r="BS21" i="16"/>
  <c r="BF17" i="16"/>
  <c r="BF16" i="16" s="1"/>
  <c r="DQ48" i="16"/>
  <c r="DK33" i="16"/>
  <c r="CH47" i="16"/>
  <c r="DS29" i="16"/>
  <c r="DD65" i="16"/>
  <c r="BG20" i="16"/>
  <c r="CK65" i="16"/>
  <c r="AT61" i="16"/>
  <c r="CB57" i="16"/>
  <c r="CD50" i="16"/>
  <c r="BO38" i="16"/>
  <c r="BG21" i="16"/>
  <c r="DL21" i="16"/>
  <c r="DP75" i="16"/>
  <c r="DA15" i="16"/>
  <c r="AM19" i="16"/>
  <c r="BE23" i="16"/>
  <c r="DW61" i="16"/>
  <c r="BP15" i="16"/>
  <c r="DR66" i="16"/>
  <c r="AS32" i="16"/>
  <c r="T23" i="16"/>
  <c r="K686" i="32" s="1"/>
  <c r="DO32" i="16"/>
  <c r="DW60" i="16"/>
  <c r="N50" i="16"/>
  <c r="DK25" i="16"/>
  <c r="DF66" i="16"/>
  <c r="CO66" i="16"/>
  <c r="CO56" i="16"/>
  <c r="CC19" i="16"/>
  <c r="DR65" i="16"/>
  <c r="BU76" i="16"/>
  <c r="CF19" i="16"/>
  <c r="CV15" i="16"/>
  <c r="DM35" i="16"/>
  <c r="DE31" i="16"/>
  <c r="DA13" i="16"/>
  <c r="BS20" i="16"/>
  <c r="BH17" i="16"/>
  <c r="BH16" i="16" s="1"/>
  <c r="BH56" i="16"/>
  <c r="BQ75" i="16"/>
  <c r="BJ65" i="16"/>
  <c r="BX75" i="16"/>
  <c r="CJ27" i="16"/>
  <c r="CV19" i="16"/>
  <c r="AP76" i="16"/>
  <c r="AW15" i="16"/>
  <c r="AD50" i="16"/>
  <c r="AL33" i="16"/>
  <c r="CC75" i="16"/>
  <c r="BS38" i="16"/>
  <c r="X24" i="16"/>
  <c r="O684" i="32" s="1"/>
  <c r="AV32" i="16"/>
  <c r="CI21" i="16"/>
  <c r="CX61" i="16"/>
  <c r="DN39" i="16"/>
  <c r="DK34" i="16"/>
  <c r="DB60" i="16"/>
  <c r="CF13" i="16"/>
  <c r="AS15" i="16"/>
  <c r="AV28" i="16"/>
  <c r="CI22" i="16"/>
  <c r="BB65" i="16"/>
  <c r="DW56" i="16"/>
  <c r="AR17" i="16"/>
  <c r="AR16" i="16" s="1"/>
  <c r="CO65" i="16"/>
  <c r="DR26" i="16"/>
  <c r="S17" i="16"/>
  <c r="S16" i="16" s="1"/>
  <c r="BY35" i="16"/>
  <c r="DP23" i="16"/>
  <c r="AO21" i="16"/>
  <c r="BT35" i="16"/>
  <c r="V27" i="16"/>
  <c r="BC76" i="16"/>
  <c r="CC31" i="16"/>
  <c r="CS31" i="16"/>
  <c r="CI20" i="16"/>
  <c r="BH65" i="16"/>
  <c r="DJ33" i="16"/>
  <c r="CU17" i="16"/>
  <c r="CU16" i="16" s="1"/>
  <c r="AN75" i="16"/>
  <c r="DU33" i="16"/>
  <c r="DP15" i="16"/>
  <c r="BI25" i="16"/>
  <c r="AJ35" i="16"/>
  <c r="DH20" i="16"/>
  <c r="CU50" i="16"/>
  <c r="BD23" i="16"/>
  <c r="AU30" i="16"/>
  <c r="BY60" i="16"/>
  <c r="CT50" i="16"/>
  <c r="CW65" i="16"/>
  <c r="BU35" i="16"/>
  <c r="AE24" i="16"/>
  <c r="V684" i="32" s="1"/>
  <c r="DN27" i="16"/>
  <c r="U19" i="16"/>
  <c r="L704" i="32" s="1"/>
  <c r="CR21" i="16"/>
  <c r="AL65" i="16"/>
  <c r="DI75" i="16"/>
  <c r="CF24" i="16"/>
  <c r="AM56" i="16"/>
  <c r="CC24" i="16"/>
  <c r="DQ32" i="16"/>
  <c r="DK32" i="16"/>
  <c r="CO34" i="16"/>
  <c r="BF23" i="16"/>
  <c r="BX30" i="16"/>
  <c r="CW27" i="16"/>
  <c r="CP35" i="16"/>
  <c r="CP31" i="16"/>
  <c r="CU23" i="16"/>
  <c r="BS66" i="16"/>
  <c r="AP66" i="16"/>
  <c r="BR56" i="16"/>
  <c r="AQ57" i="16"/>
  <c r="CQ38" i="16"/>
  <c r="AJ17" i="16"/>
  <c r="AJ16" i="16" s="1"/>
  <c r="DI50" i="16"/>
  <c r="BJ14" i="16"/>
  <c r="BN76" i="16"/>
  <c r="AF35" i="16"/>
  <c r="W703" i="32" s="1"/>
  <c r="BF26" i="16"/>
  <c r="CS30" i="16"/>
  <c r="DT57" i="16"/>
  <c r="CV65" i="16"/>
  <c r="DA47" i="16"/>
  <c r="N30" i="16"/>
  <c r="DI21" i="16"/>
  <c r="CF30" i="16"/>
  <c r="BH47" i="16"/>
  <c r="AR28" i="16"/>
  <c r="DV33" i="16"/>
  <c r="DO66" i="16"/>
  <c r="DQ65" i="16"/>
  <c r="DI60" i="16"/>
  <c r="AW19" i="16"/>
  <c r="BZ28" i="16"/>
  <c r="CX25" i="16"/>
  <c r="CY75" i="16"/>
  <c r="AS31" i="16"/>
  <c r="AJ25" i="16"/>
  <c r="AW30" i="16"/>
  <c r="CC15" i="16"/>
  <c r="AB25" i="16"/>
  <c r="S685" i="32" s="1"/>
  <c r="DS17" i="16"/>
  <c r="DS16" i="16" s="1"/>
  <c r="AG17" i="16"/>
  <c r="AG16" i="16" s="1"/>
  <c r="CT76" i="16"/>
  <c r="DW17" i="16"/>
  <c r="DW16" i="16" s="1"/>
  <c r="CT65" i="16"/>
  <c r="BE33" i="16"/>
  <c r="CO39" i="16"/>
  <c r="CB35" i="16"/>
  <c r="BM39" i="16"/>
  <c r="BG48" i="16"/>
  <c r="CA56" i="16"/>
  <c r="DR61" i="16"/>
  <c r="DN33" i="16"/>
  <c r="AL60" i="16"/>
  <c r="AT17" i="16"/>
  <c r="AT16" i="16" s="1"/>
  <c r="BJ26" i="16"/>
  <c r="CN30" i="16"/>
  <c r="BC32" i="16"/>
  <c r="DD75" i="16"/>
  <c r="DK15" i="16"/>
  <c r="AE23" i="16"/>
  <c r="V686" i="32" s="1"/>
  <c r="Y25" i="16"/>
  <c r="P685" i="32" s="1"/>
  <c r="DE22" i="16"/>
  <c r="BV50" i="16"/>
  <c r="CQ25" i="16"/>
  <c r="DN76" i="16"/>
  <c r="AN60" i="16"/>
  <c r="AH19" i="16"/>
  <c r="AV25" i="16"/>
  <c r="AZ20" i="16"/>
  <c r="AL13" i="16"/>
  <c r="BQ38" i="16"/>
  <c r="CK76" i="16"/>
  <c r="BS26" i="16"/>
  <c r="CN76" i="16"/>
  <c r="CZ75" i="16"/>
  <c r="CL31" i="16"/>
  <c r="AZ21" i="16"/>
  <c r="AJ26" i="16"/>
  <c r="DO23" i="16"/>
  <c r="DU34" i="16"/>
  <c r="BH38" i="16"/>
  <c r="DH30" i="16"/>
  <c r="BY28" i="16"/>
  <c r="R29" i="16"/>
  <c r="AR39" i="16"/>
  <c r="BU75" i="16"/>
  <c r="CY14" i="16"/>
  <c r="CW66" i="16"/>
  <c r="BE21" i="16"/>
  <c r="CY56" i="16"/>
  <c r="DS23" i="16"/>
  <c r="DA38" i="16"/>
  <c r="BZ66" i="16"/>
  <c r="BS22" i="16"/>
  <c r="DR27" i="16"/>
  <c r="AO20" i="16"/>
  <c r="CQ34" i="16"/>
  <c r="AL76" i="16"/>
  <c r="DN57" i="16"/>
  <c r="DJ56" i="16"/>
  <c r="BD66" i="16"/>
  <c r="BV48" i="16"/>
  <c r="CO47" i="16"/>
  <c r="BD32" i="16"/>
  <c r="AX47" i="16"/>
  <c r="BE76" i="16"/>
  <c r="BL34" i="16"/>
  <c r="CE35" i="16"/>
  <c r="AZ60" i="16"/>
  <c r="CH25" i="16"/>
  <c r="AW35" i="16"/>
  <c r="AM29" i="16"/>
  <c r="AJ23" i="16"/>
  <c r="AG21" i="16"/>
  <c r="X682" i="32" s="1"/>
  <c r="BV30" i="16"/>
  <c r="DC17" i="16"/>
  <c r="DC16" i="16" s="1"/>
  <c r="BT21" i="16"/>
  <c r="AN57" i="16"/>
  <c r="BQ50" i="16"/>
  <c r="BR24" i="16"/>
  <c r="DH27" i="16"/>
  <c r="AG35" i="16"/>
  <c r="X703" i="32" s="1"/>
  <c r="AN39" i="16"/>
  <c r="DD19" i="16"/>
  <c r="DA39" i="16"/>
  <c r="CR38" i="16"/>
  <c r="CE30" i="16"/>
  <c r="DQ30" i="16"/>
  <c r="CR20" i="16"/>
  <c r="CR27" i="16"/>
  <c r="BG65" i="16"/>
  <c r="DP60" i="16"/>
  <c r="DD27" i="16"/>
  <c r="X22" i="16"/>
  <c r="O683" i="32" s="1"/>
  <c r="CX30" i="16"/>
  <c r="W50" i="16"/>
  <c r="AN25" i="16"/>
  <c r="DU19" i="16"/>
  <c r="AR65" i="16"/>
  <c r="CE14" i="16"/>
  <c r="CE75" i="16"/>
  <c r="DV29" i="16"/>
  <c r="AL29" i="16"/>
  <c r="AL75" i="16"/>
  <c r="BT32" i="16"/>
  <c r="BT34" i="16"/>
  <c r="DN24" i="16"/>
  <c r="AR22" i="16"/>
  <c r="BD60" i="16"/>
  <c r="BK50" i="16"/>
  <c r="BB29" i="16"/>
  <c r="Z30" i="16"/>
  <c r="Q687" i="32" s="1"/>
  <c r="AN30" i="16"/>
  <c r="BX29" i="16"/>
  <c r="BN13" i="16"/>
  <c r="S30" i="16"/>
  <c r="J687" i="32" s="1"/>
  <c r="DL66" i="16"/>
  <c r="AL38" i="16"/>
  <c r="CP22" i="16"/>
  <c r="BP61" i="16"/>
  <c r="AK26" i="16"/>
  <c r="DN38" i="16"/>
  <c r="CS14" i="16"/>
  <c r="BT65" i="16"/>
  <c r="DE32" i="16"/>
  <c r="BK30" i="16"/>
  <c r="CO76" i="16"/>
  <c r="BM61" i="16"/>
  <c r="CB66" i="16"/>
  <c r="DI65" i="16"/>
  <c r="CY65" i="16"/>
  <c r="CC76" i="16"/>
  <c r="BT26" i="16"/>
  <c r="DW50" i="16"/>
  <c r="O27" i="16"/>
  <c r="DP26" i="16"/>
  <c r="BR47" i="16"/>
  <c r="CF61" i="16"/>
  <c r="CE20" i="16"/>
  <c r="AW31" i="16"/>
  <c r="DD17" i="16"/>
  <c r="DD16" i="16" s="1"/>
  <c r="CW56" i="16"/>
  <c r="DL15" i="16"/>
  <c r="W22" i="16"/>
  <c r="N683" i="32" s="1"/>
  <c r="DJ32" i="16"/>
  <c r="BV13" i="16"/>
  <c r="DM27" i="16"/>
  <c r="BY61" i="16"/>
  <c r="DU15" i="16"/>
  <c r="DQ15" i="16"/>
  <c r="DM26" i="16"/>
  <c r="BU30" i="16"/>
  <c r="DD15" i="16"/>
  <c r="DC38" i="16"/>
  <c r="AP19" i="16"/>
  <c r="BH26" i="16"/>
  <c r="CF15" i="16"/>
  <c r="BZ76" i="16"/>
  <c r="DF28" i="16"/>
  <c r="AR57" i="16"/>
  <c r="CI66" i="16"/>
  <c r="DL47" i="16"/>
  <c r="P17" i="16"/>
  <c r="P16" i="16" s="1"/>
  <c r="CZ21" i="16"/>
  <c r="BT25" i="16"/>
  <c r="DL38" i="16"/>
  <c r="CM56" i="16"/>
  <c r="AO75" i="16"/>
  <c r="CM24" i="16"/>
  <c r="AR15" i="16"/>
  <c r="DJ15" i="16"/>
  <c r="CS34" i="16"/>
  <c r="BM27" i="16"/>
  <c r="BL23" i="16"/>
  <c r="DQ34" i="16"/>
  <c r="U21" i="16"/>
  <c r="L682" i="32" s="1"/>
  <c r="U35" i="16"/>
  <c r="L703" i="32" s="1"/>
  <c r="DT29" i="16"/>
  <c r="AJ27" i="16"/>
  <c r="DA66" i="16"/>
  <c r="BQ66" i="16"/>
  <c r="CA60" i="16"/>
  <c r="V21" i="16"/>
  <c r="M682" i="32" s="1"/>
  <c r="BC35" i="16"/>
  <c r="DB30" i="16"/>
  <c r="BN21" i="16"/>
  <c r="DH57" i="16"/>
  <c r="S25" i="16"/>
  <c r="J685" i="32" s="1"/>
  <c r="AV61" i="16"/>
  <c r="CH24" i="16"/>
  <c r="DN17" i="16"/>
  <c r="DN16" i="16" s="1"/>
  <c r="CW75" i="16"/>
  <c r="BL32" i="16"/>
  <c r="BX76" i="16"/>
  <c r="AO47" i="16"/>
  <c r="AY75" i="16"/>
  <c r="CP30" i="16"/>
  <c r="AE26" i="16"/>
  <c r="CS26" i="16"/>
  <c r="AR60" i="16"/>
  <c r="BB76" i="16"/>
  <c r="BU27" i="16"/>
  <c r="BE61" i="16"/>
  <c r="CY50" i="16"/>
  <c r="CL60" i="16"/>
  <c r="DP35" i="16"/>
  <c r="DB14" i="16"/>
  <c r="DJ20" i="16"/>
  <c r="BF47" i="16"/>
  <c r="BC56" i="16"/>
  <c r="BL20" i="16"/>
  <c r="AQ24" i="16"/>
  <c r="BF27" i="16"/>
  <c r="AL23" i="16"/>
  <c r="CF33" i="16"/>
  <c r="DV21" i="16"/>
  <c r="BQ60" i="16"/>
  <c r="AK66" i="16"/>
  <c r="BX35" i="16"/>
  <c r="DH65" i="16"/>
  <c r="DH76" i="16"/>
  <c r="AK32" i="16"/>
  <c r="BU15" i="16"/>
  <c r="CT13" i="16"/>
  <c r="CV61" i="16"/>
  <c r="DV61" i="16"/>
  <c r="DF39" i="16"/>
  <c r="BH34" i="16"/>
  <c r="BZ17" i="16"/>
  <c r="BZ16" i="16" s="1"/>
  <c r="CU30" i="16"/>
  <c r="DS75" i="16"/>
  <c r="CS24" i="16"/>
  <c r="BT22" i="16"/>
  <c r="DW39" i="16"/>
  <c r="CK32" i="16"/>
  <c r="BZ20" i="16"/>
  <c r="DM39" i="16"/>
  <c r="DJ24" i="16"/>
  <c r="DM28" i="16"/>
  <c r="AT76" i="16"/>
  <c r="BL76" i="16"/>
  <c r="BL38" i="16"/>
  <c r="CG56" i="16"/>
  <c r="BY31" i="16"/>
  <c r="AV30" i="16"/>
  <c r="AE17" i="16"/>
  <c r="AE16" i="16" s="1"/>
  <c r="CL28" i="16"/>
  <c r="CS20" i="16"/>
  <c r="BC13" i="16"/>
  <c r="DB34" i="16"/>
  <c r="DQ61" i="16"/>
  <c r="BW60" i="16"/>
  <c r="BM21" i="16"/>
  <c r="DS31" i="16"/>
  <c r="P30" i="16"/>
  <c r="BJ13" i="16"/>
  <c r="DR32" i="16"/>
  <c r="CA13" i="16"/>
  <c r="CA33" i="16"/>
  <c r="DG26" i="16"/>
  <c r="AU14" i="16"/>
  <c r="BW22" i="16"/>
  <c r="BD33" i="16"/>
  <c r="AC17" i="16"/>
  <c r="AC16" i="16" s="1"/>
  <c r="DK17" i="16"/>
  <c r="DK16" i="16" s="1"/>
  <c r="BX20" i="16"/>
  <c r="DI15" i="16"/>
  <c r="DK66" i="16"/>
  <c r="BL22" i="16"/>
  <c r="BW31" i="16"/>
  <c r="DL76" i="16"/>
  <c r="DL26" i="16"/>
  <c r="BB75" i="16"/>
  <c r="AY39" i="16"/>
  <c r="DQ14" i="16"/>
  <c r="CZ27" i="16"/>
  <c r="AV75" i="16"/>
  <c r="AL50" i="16"/>
  <c r="CD39" i="16"/>
  <c r="O21" i="16"/>
  <c r="F682" i="32" s="1"/>
  <c r="BI28" i="16"/>
  <c r="CC35" i="16"/>
  <c r="BT61" i="16"/>
  <c r="DE57" i="16"/>
  <c r="AB35" i="16"/>
  <c r="S703" i="32" s="1"/>
  <c r="Y26" i="16"/>
  <c r="CA21" i="16"/>
  <c r="BA23" i="16"/>
  <c r="DL32" i="16"/>
  <c r="DV17" i="16"/>
  <c r="DV16" i="16" s="1"/>
  <c r="BS75" i="16"/>
  <c r="AD23" i="16"/>
  <c r="U686" i="32" s="1"/>
  <c r="BT33" i="16"/>
  <c r="CJ30" i="16"/>
  <c r="BP31" i="16"/>
  <c r="DA25" i="16"/>
  <c r="DV75" i="16"/>
  <c r="CE13" i="16"/>
  <c r="CK66" i="16"/>
  <c r="CS61" i="16"/>
  <c r="BS50" i="16"/>
  <c r="BN23" i="16"/>
  <c r="CF56" i="16"/>
  <c r="P50" i="16"/>
  <c r="CT20" i="16"/>
  <c r="AK22" i="16"/>
  <c r="BL65" i="16"/>
  <c r="BE25" i="16"/>
  <c r="CO33" i="16"/>
  <c r="DU60" i="16"/>
  <c r="BT17" i="16"/>
  <c r="BT16" i="16" s="1"/>
  <c r="N29" i="16"/>
  <c r="CA47" i="16"/>
  <c r="BV33" i="16"/>
  <c r="CO20" i="16"/>
  <c r="DL56" i="16"/>
  <c r="CW21" i="16"/>
  <c r="DO35" i="16"/>
  <c r="BH27" i="16"/>
  <c r="DE23" i="16"/>
  <c r="CD65" i="16"/>
  <c r="BS32" i="16"/>
  <c r="BE47" i="16"/>
  <c r="BT50" i="16"/>
  <c r="BR75" i="16"/>
  <c r="BX33" i="16"/>
  <c r="CH21" i="16"/>
  <c r="CA38" i="16"/>
  <c r="DT25" i="16"/>
  <c r="CO26" i="16"/>
  <c r="AY23" i="16"/>
  <c r="CJ33" i="16"/>
  <c r="BG14" i="16"/>
  <c r="CE66" i="16"/>
  <c r="CK33" i="16"/>
  <c r="DO75" i="16"/>
  <c r="CT66" i="16"/>
  <c r="DT48" i="16"/>
  <c r="AZ30" i="16"/>
  <c r="BP76" i="16"/>
  <c r="Y23" i="16"/>
  <c r="P686" i="32" s="1"/>
  <c r="DI57" i="16"/>
  <c r="BE29" i="16"/>
  <c r="AQ32" i="16"/>
  <c r="BZ25" i="16"/>
  <c r="CZ17" i="16"/>
  <c r="CZ16" i="16" s="1"/>
  <c r="CX39" i="16"/>
  <c r="BI29" i="16"/>
  <c r="AG29" i="16"/>
  <c r="P19" i="16"/>
  <c r="BH22" i="16"/>
  <c r="BJ48" i="16"/>
  <c r="DU26" i="16"/>
  <c r="DR33" i="16"/>
  <c r="CL56" i="16"/>
  <c r="CR31" i="16"/>
  <c r="CS38" i="16"/>
  <c r="DW19" i="16"/>
  <c r="DC33" i="16"/>
  <c r="BT24" i="16"/>
  <c r="CE39" i="16"/>
  <c r="BB39" i="16"/>
  <c r="CI14" i="16"/>
  <c r="V23" i="16"/>
  <c r="M686" i="32" s="1"/>
  <c r="DQ76" i="16"/>
  <c r="BI34" i="16"/>
  <c r="BC25" i="16"/>
  <c r="AU34" i="16"/>
  <c r="CH26" i="16"/>
  <c r="BK34" i="16"/>
  <c r="CW15" i="16"/>
  <c r="V26" i="16"/>
  <c r="CN57" i="16"/>
  <c r="BV21" i="16"/>
  <c r="CT28" i="16"/>
  <c r="Y17" i="16"/>
  <c r="Y16" i="16" s="1"/>
  <c r="CA17" i="16"/>
  <c r="CA16" i="16" s="1"/>
  <c r="BR27" i="16"/>
  <c r="DH28" i="16"/>
  <c r="CZ19" i="16"/>
  <c r="DP76" i="16"/>
  <c r="BB23" i="16"/>
  <c r="DK31" i="16"/>
  <c r="O19" i="16"/>
  <c r="F704" i="32" s="1"/>
  <c r="V24" i="16"/>
  <c r="M684" i="32" s="1"/>
  <c r="BM34" i="16"/>
  <c r="AO66" i="16"/>
  <c r="BD65" i="16"/>
  <c r="DH32" i="16"/>
  <c r="CL13" i="16"/>
  <c r="AF17" i="16"/>
  <c r="AF16" i="16" s="1"/>
  <c r="CM33" i="16"/>
  <c r="CD30" i="16"/>
  <c r="DO25" i="16"/>
  <c r="CX50" i="16"/>
  <c r="DG35" i="16"/>
  <c r="W25" i="16"/>
  <c r="N685" i="32" s="1"/>
  <c r="BB26" i="16"/>
  <c r="BA32" i="16"/>
  <c r="AO38" i="16"/>
  <c r="BP60" i="16"/>
  <c r="AA26" i="16"/>
  <c r="BQ30" i="16"/>
  <c r="CD35" i="16"/>
  <c r="DD50" i="16"/>
  <c r="DD47" i="16"/>
  <c r="W19" i="16"/>
  <c r="N704" i="32" s="1"/>
  <c r="Q50" i="16"/>
  <c r="DB13" i="16"/>
  <c r="AO28" i="16"/>
  <c r="CR65" i="16"/>
  <c r="BE60" i="16"/>
  <c r="BU56" i="16"/>
  <c r="AS35" i="16"/>
  <c r="BP20" i="16"/>
  <c r="DI19" i="16"/>
  <c r="AM76" i="16"/>
  <c r="DA48" i="16"/>
  <c r="DC23" i="16"/>
  <c r="CG17" i="16"/>
  <c r="CG16" i="16" s="1"/>
  <c r="BI60" i="16"/>
  <c r="Q17" i="16"/>
  <c r="Q16" i="16" s="1"/>
  <c r="DC39" i="16"/>
  <c r="BE28" i="16"/>
  <c r="CH33" i="16"/>
  <c r="M29" i="16"/>
  <c r="AV21" i="16"/>
  <c r="BW30" i="16"/>
  <c r="DJ22" i="16"/>
  <c r="CK23" i="16"/>
  <c r="CH15" i="16"/>
  <c r="AR20" i="16"/>
  <c r="AL28" i="16"/>
  <c r="AC24" i="16"/>
  <c r="T684" i="32" s="1"/>
  <c r="DK27" i="16"/>
  <c r="BA30" i="16"/>
  <c r="BX25" i="16"/>
  <c r="DQ13" i="16"/>
  <c r="AT26" i="16"/>
  <c r="AT15" i="16"/>
  <c r="DF20" i="16"/>
  <c r="DS22" i="16"/>
  <c r="Z35" i="16"/>
  <c r="Q703" i="32" s="1"/>
  <c r="AR48" i="16"/>
  <c r="BR76" i="16"/>
  <c r="BL26" i="16"/>
  <c r="BD25" i="16"/>
  <c r="AK29" i="16"/>
  <c r="BL15" i="16"/>
  <c r="CM17" i="16"/>
  <c r="CM16" i="16" s="1"/>
  <c r="BB34" i="16"/>
  <c r="BI15" i="16"/>
  <c r="AM27" i="16"/>
  <c r="CY27" i="16"/>
  <c r="BC15" i="16"/>
  <c r="BH76" i="16"/>
  <c r="CQ56" i="16"/>
  <c r="BX66" i="16"/>
  <c r="BL19" i="16"/>
  <c r="CE50" i="16"/>
  <c r="BX57" i="16"/>
  <c r="BT39" i="16"/>
  <c r="DA61" i="16"/>
  <c r="DU24" i="16"/>
  <c r="AX56" i="16"/>
  <c r="CE76" i="16"/>
  <c r="AQ66" i="16"/>
  <c r="BO33" i="16"/>
  <c r="DF35" i="16"/>
  <c r="BQ13" i="16"/>
  <c r="DR47" i="16"/>
  <c r="CN35" i="16"/>
  <c r="AF22" i="16"/>
  <c r="W683" i="32" s="1"/>
  <c r="AC29" i="16"/>
  <c r="BW65" i="16"/>
  <c r="AS30" i="16"/>
  <c r="AP29" i="16"/>
  <c r="DA76" i="16"/>
  <c r="AT47" i="16"/>
  <c r="CX33" i="16"/>
  <c r="DF21" i="16"/>
  <c r="AX22" i="16"/>
  <c r="DO57" i="16"/>
  <c r="BV24" i="16"/>
  <c r="DB35" i="16"/>
  <c r="AO65" i="16"/>
  <c r="BA25" i="16"/>
  <c r="AU28" i="16"/>
  <c r="BY30" i="16"/>
  <c r="AM20" i="16"/>
  <c r="BO20" i="16"/>
  <c r="CR15" i="16"/>
  <c r="DG47" i="16"/>
  <c r="CD21" i="16"/>
  <c r="DG30" i="16"/>
  <c r="DJ61" i="16"/>
  <c r="CC38" i="16"/>
  <c r="BP39" i="16"/>
  <c r="CS48" i="16"/>
  <c r="CG39" i="16"/>
  <c r="AL24" i="16"/>
  <c r="DS48" i="16"/>
  <c r="AF29" i="16"/>
  <c r="DJ76" i="16"/>
  <c r="CQ32" i="16"/>
  <c r="BU65" i="16"/>
  <c r="BO76" i="16"/>
  <c r="BA35" i="16"/>
  <c r="CZ33" i="16"/>
  <c r="CS15" i="16"/>
  <c r="CB33" i="16"/>
  <c r="BK25" i="16"/>
  <c r="DL48" i="16"/>
  <c r="U22" i="16"/>
  <c r="L683" i="32" s="1"/>
  <c r="DH47" i="16"/>
  <c r="BX21" i="16"/>
  <c r="DQ27" i="16"/>
  <c r="CE21" i="16"/>
  <c r="CB56" i="16"/>
  <c r="R50" i="16"/>
  <c r="BB47" i="16"/>
  <c r="AK23" i="16"/>
  <c r="AR13" i="16"/>
  <c r="DJ26" i="16"/>
  <c r="CL47" i="16"/>
  <c r="AX13" i="16"/>
  <c r="CS13" i="16"/>
  <c r="CQ23" i="16"/>
  <c r="DC56" i="16"/>
  <c r="AN76" i="16"/>
  <c r="BW33" i="16"/>
  <c r="CI56" i="16"/>
  <c r="CV60" i="16"/>
  <c r="AP60" i="16"/>
  <c r="O50" i="16"/>
  <c r="BR26" i="16"/>
  <c r="CI48" i="16"/>
  <c r="BP13" i="16"/>
  <c r="AR34" i="16"/>
  <c r="BQ35" i="16"/>
  <c r="AW50" i="16"/>
  <c r="DV57" i="16"/>
  <c r="CG32" i="16"/>
  <c r="CN14" i="16"/>
  <c r="DB65" i="16"/>
  <c r="AC19" i="16"/>
  <c r="T704" i="32" s="1"/>
  <c r="AQ15" i="16"/>
  <c r="CT22" i="16"/>
  <c r="CP48" i="16"/>
  <c r="AC21" i="16"/>
  <c r="T682" i="32" s="1"/>
  <c r="BF48" i="16"/>
  <c r="CP25" i="16"/>
  <c r="AU32" i="16"/>
  <c r="BP29" i="16"/>
  <c r="DA20" i="16"/>
  <c r="DW32" i="16"/>
  <c r="DK30" i="16"/>
  <c r="CJ32" i="16"/>
  <c r="CY34" i="16"/>
  <c r="CZ32" i="16"/>
  <c r="AS65" i="16"/>
  <c r="BQ25" i="16"/>
  <c r="BD14" i="16"/>
  <c r="CN22" i="16"/>
  <c r="Q29" i="16"/>
  <c r="BI17" i="16"/>
  <c r="BI16" i="16" s="1"/>
  <c r="CK60" i="16"/>
  <c r="BD48" i="16"/>
  <c r="CL24" i="16"/>
  <c r="BQ23" i="16"/>
  <c r="V17" i="16"/>
  <c r="V16" i="16" s="1"/>
  <c r="AZ31" i="16"/>
  <c r="DM22" i="16"/>
  <c r="DC76" i="16"/>
  <c r="AL39" i="16"/>
  <c r="AZ28" i="16"/>
  <c r="DT13" i="16"/>
  <c r="CE32" i="16"/>
  <c r="CW38" i="16"/>
  <c r="U27" i="16"/>
  <c r="AT56" i="16"/>
  <c r="DO19" i="16"/>
  <c r="CW33" i="16"/>
  <c r="BX27" i="16"/>
  <c r="BO39" i="16"/>
  <c r="DF23" i="16"/>
  <c r="AY15" i="16"/>
  <c r="DE56" i="16"/>
  <c r="DK75" i="16"/>
  <c r="R23" i="16"/>
  <c r="I686" i="32" s="1"/>
  <c r="BP38" i="16"/>
  <c r="CX32" i="16"/>
  <c r="BA21" i="16"/>
  <c r="DC47" i="16"/>
  <c r="DL13" i="16"/>
  <c r="DT28" i="16"/>
  <c r="AK27" i="16"/>
  <c r="DT50" i="16"/>
  <c r="CU75" i="16"/>
  <c r="AA25" i="16"/>
  <c r="R685" i="32" s="1"/>
  <c r="DH24" i="16"/>
  <c r="AY61" i="16"/>
  <c r="CG27" i="16"/>
  <c r="DS13" i="16"/>
  <c r="CF28" i="16"/>
  <c r="CZ56" i="16"/>
  <c r="AU20" i="16"/>
  <c r="DS15" i="16"/>
  <c r="AY48" i="16"/>
  <c r="AK15" i="16"/>
  <c r="BK28" i="16"/>
  <c r="AU65" i="16"/>
  <c r="CO23" i="16"/>
  <c r="BX31" i="16"/>
  <c r="BE27" i="16"/>
  <c r="AX34" i="16"/>
  <c r="CK25" i="16"/>
  <c r="BY26" i="16"/>
  <c r="BE17" i="16"/>
  <c r="BE16" i="16" s="1"/>
  <c r="BJ25" i="16"/>
  <c r="AH30" i="16"/>
  <c r="CX23" i="16"/>
  <c r="BH25" i="16"/>
  <c r="DL29" i="16"/>
  <c r="BQ24" i="16"/>
  <c r="AA19" i="16"/>
  <c r="R704" i="32" s="1"/>
  <c r="DE34" i="16"/>
  <c r="Y50" i="16"/>
  <c r="T27" i="16"/>
  <c r="BD17" i="16"/>
  <c r="BD16" i="16" s="1"/>
  <c r="AT21" i="16"/>
  <c r="AU27" i="16"/>
  <c r="BK14" i="16"/>
  <c r="CE22" i="16"/>
  <c r="CK14" i="16"/>
  <c r="DA60" i="16"/>
  <c r="CP76" i="16"/>
  <c r="BY39" i="16"/>
  <c r="BW20" i="16"/>
  <c r="AV38" i="16"/>
  <c r="CX27" i="16"/>
  <c r="CH23" i="16"/>
  <c r="CE47" i="16"/>
  <c r="AD22" i="16"/>
  <c r="U683" i="32" s="1"/>
  <c r="DB50" i="16"/>
  <c r="DV27" i="16"/>
  <c r="BA14" i="16"/>
  <c r="DE17" i="16"/>
  <c r="DE16" i="16" s="1"/>
  <c r="CW20" i="16"/>
  <c r="BM28" i="16"/>
  <c r="CY38" i="16"/>
  <c r="AQ50" i="16"/>
  <c r="CJ47" i="16"/>
  <c r="CE56" i="16"/>
  <c r="AY60" i="16"/>
  <c r="CF47" i="16"/>
  <c r="DC75" i="16"/>
  <c r="DI24" i="16"/>
  <c r="CM57" i="16"/>
  <c r="BC66" i="16"/>
  <c r="CU56" i="16"/>
  <c r="CM38" i="16"/>
  <c r="CI15" i="16"/>
  <c r="BL75" i="16"/>
  <c r="AX48" i="16"/>
  <c r="DG13" i="16"/>
  <c r="DR60" i="16"/>
  <c r="AL30" i="16"/>
  <c r="CE27" i="16"/>
  <c r="AW28" i="16"/>
  <c r="BQ34" i="16"/>
  <c r="BE30" i="16"/>
  <c r="DP13" i="16"/>
  <c r="AG30" i="16"/>
  <c r="X687" i="32" s="1"/>
  <c r="BG28" i="16"/>
  <c r="CG21" i="16"/>
  <c r="AK14" i="16"/>
  <c r="DN34" i="16"/>
  <c r="BB31" i="16"/>
  <c r="BW27" i="16"/>
  <c r="CQ66" i="16"/>
  <c r="BI50" i="16"/>
  <c r="BM38" i="16"/>
  <c r="DO26" i="16"/>
  <c r="BY33" i="16"/>
  <c r="AM22" i="16"/>
  <c r="DN15" i="16"/>
  <c r="DQ38" i="16"/>
  <c r="DW27" i="16"/>
  <c r="AS29" i="16"/>
  <c r="AF26" i="16"/>
  <c r="AG22" i="16"/>
  <c r="X683" i="32" s="1"/>
  <c r="AM15" i="16"/>
  <c r="DV66" i="16"/>
  <c r="AX15" i="16"/>
  <c r="DR76" i="16"/>
  <c r="CV17" i="16"/>
  <c r="CV16" i="16" s="1"/>
  <c r="CP20" i="16"/>
  <c r="BB19" i="16"/>
  <c r="AS75" i="16"/>
  <c r="BO29" i="16"/>
  <c r="BS13" i="16"/>
  <c r="DT22" i="16"/>
  <c r="CA65" i="16"/>
  <c r="AW60" i="16"/>
  <c r="BS48" i="16"/>
  <c r="CG15" i="16"/>
  <c r="BS29" i="16"/>
  <c r="BF15" i="16"/>
  <c r="BG27" i="16"/>
  <c r="CJ76" i="16"/>
  <c r="CP47" i="16"/>
  <c r="AM57" i="16"/>
  <c r="DJ65" i="16"/>
  <c r="DL30" i="16"/>
  <c r="AI30" i="16"/>
  <c r="BW39" i="16"/>
  <c r="BI33" i="16"/>
  <c r="BC22" i="16"/>
  <c r="DI39" i="16"/>
  <c r="BH28" i="16"/>
  <c r="CZ39" i="16"/>
  <c r="CR39" i="16"/>
  <c r="BM50" i="16"/>
  <c r="CD25" i="16"/>
  <c r="DK60" i="16"/>
  <c r="AO35" i="16"/>
  <c r="AQ28" i="16"/>
  <c r="AQ38" i="16"/>
  <c r="CU60" i="16"/>
  <c r="DK14" i="16"/>
  <c r="AU38" i="16"/>
  <c r="CA27" i="16"/>
  <c r="AP23" i="16"/>
  <c r="DB75" i="16"/>
  <c r="BN30" i="16"/>
  <c r="DH21" i="16"/>
  <c r="DO27" i="16"/>
  <c r="CO32" i="16"/>
  <c r="BZ57" i="16"/>
  <c r="DN26" i="16"/>
  <c r="CC30" i="16"/>
  <c r="AK25" i="16"/>
  <c r="BO60" i="16"/>
  <c r="BU48" i="16"/>
  <c r="BT14" i="16"/>
  <c r="CB28" i="16"/>
  <c r="BP75" i="16"/>
  <c r="CP66" i="16"/>
  <c r="DI31" i="16"/>
  <c r="AV19" i="16"/>
  <c r="BK38" i="16"/>
  <c r="CZ50" i="16"/>
  <c r="BB21" i="16"/>
  <c r="AX21" i="16"/>
  <c r="AH22" i="16"/>
  <c r="BI56" i="16"/>
  <c r="BI32" i="16"/>
  <c r="DB27" i="16"/>
  <c r="AO32" i="16"/>
  <c r="U29" i="16"/>
  <c r="BJ33" i="16"/>
  <c r="CT30" i="16"/>
  <c r="DF24" i="16"/>
  <c r="AR19" i="16"/>
  <c r="DC20" i="16"/>
  <c r="AQ60" i="16"/>
  <c r="CN26" i="16"/>
  <c r="CQ60" i="16"/>
  <c r="P25" i="16"/>
  <c r="BB17" i="16"/>
  <c r="BB16" i="16" s="1"/>
  <c r="CQ75" i="16"/>
  <c r="CQ33" i="16"/>
  <c r="AN50" i="16"/>
  <c r="CY26" i="16"/>
  <c r="AE27" i="16"/>
  <c r="BO48" i="16"/>
  <c r="CH32" i="16"/>
  <c r="X29" i="16"/>
  <c r="BQ56" i="16"/>
  <c r="AZ29" i="16"/>
  <c r="AZ61" i="16"/>
  <c r="DW57" i="16"/>
  <c r="W26" i="16"/>
  <c r="CL39" i="16"/>
  <c r="CM14" i="16"/>
  <c r="AC23" i="16"/>
  <c r="T686" i="32" s="1"/>
  <c r="DB38" i="16"/>
  <c r="DH22" i="16"/>
  <c r="CS28" i="16"/>
  <c r="BW38" i="16"/>
  <c r="BI22" i="16"/>
  <c r="CU38" i="16"/>
  <c r="CG33" i="16"/>
  <c r="BR38" i="16"/>
  <c r="CT31" i="16"/>
  <c r="CP38" i="16"/>
  <c r="CR35" i="16"/>
  <c r="BE14" i="16"/>
  <c r="BY47" i="16"/>
  <c r="DA32" i="16"/>
  <c r="AM48" i="16"/>
  <c r="AV50" i="16"/>
  <c r="AW27" i="16"/>
  <c r="AS28" i="16"/>
  <c r="CA34" i="16"/>
  <c r="DD23" i="16"/>
  <c r="DA35" i="16"/>
  <c r="BM60" i="16"/>
  <c r="CW50" i="16"/>
  <c r="BG47" i="16"/>
  <c r="BP25" i="16"/>
  <c r="DD66" i="16"/>
  <c r="CQ15" i="16"/>
  <c r="CH13" i="16"/>
  <c r="BJ47" i="16"/>
  <c r="CM31" i="16"/>
  <c r="AM31" i="16"/>
  <c r="BH60" i="16"/>
  <c r="BO19" i="16"/>
  <c r="CP57" i="16"/>
  <c r="DW65" i="16"/>
  <c r="DL20" i="16"/>
  <c r="BJ27" i="16"/>
  <c r="BN47" i="16"/>
  <c r="CP33" i="16"/>
  <c r="CO60" i="16"/>
  <c r="AA27" i="16"/>
  <c r="CA30" i="16"/>
  <c r="BK32" i="16"/>
  <c r="BV22" i="16"/>
  <c r="DB32" i="16"/>
  <c r="CR23" i="16"/>
  <c r="BB56" i="16"/>
  <c r="AX28" i="16"/>
  <c r="BQ20" i="16"/>
  <c r="DJ28" i="16"/>
  <c r="DV23" i="16"/>
  <c r="AV17" i="16"/>
  <c r="AV16" i="16" s="1"/>
  <c r="DR48" i="16"/>
  <c r="DI35" i="16"/>
  <c r="CJ60" i="16"/>
  <c r="DL28" i="16"/>
  <c r="CO15" i="16"/>
  <c r="CV32" i="16"/>
  <c r="BK48" i="16"/>
  <c r="AR76" i="16"/>
  <c r="DP20" i="16"/>
  <c r="BY22" i="16"/>
  <c r="AQ20" i="16"/>
  <c r="BN65" i="16"/>
  <c r="BJ60" i="16"/>
  <c r="AY14" i="16"/>
  <c r="CZ13" i="16"/>
  <c r="BE50" i="16"/>
  <c r="AT22" i="16"/>
  <c r="DN50" i="16"/>
  <c r="DM31" i="16"/>
  <c r="BO75" i="16"/>
  <c r="CX76" i="16"/>
  <c r="DH13" i="16"/>
  <c r="DV13" i="16"/>
  <c r="AE19" i="16"/>
  <c r="V704" i="32" s="1"/>
  <c r="CW29" i="16"/>
  <c r="BT29" i="16"/>
  <c r="AN32" i="16"/>
  <c r="AC22" i="16"/>
  <c r="T683" i="32" s="1"/>
  <c r="DT32" i="16"/>
  <c r="CL33" i="16"/>
  <c r="BN17" i="16"/>
  <c r="BN16" i="16" s="1"/>
  <c r="AA21" i="16"/>
  <c r="R682" i="32" s="1"/>
  <c r="AO22" i="16"/>
  <c r="M27" i="16"/>
  <c r="AC30" i="16"/>
  <c r="T687" i="32" s="1"/>
  <c r="BQ14" i="16"/>
  <c r="DH50" i="16"/>
  <c r="BW61" i="16"/>
  <c r="AM13" i="16"/>
  <c r="CT35" i="16"/>
  <c r="BG60" i="16"/>
  <c r="BG61" i="16"/>
  <c r="AW47" i="16"/>
  <c r="AM14" i="16"/>
  <c r="CF25" i="16"/>
  <c r="DG56" i="16"/>
  <c r="CQ57" i="16"/>
  <c r="AP20" i="16"/>
  <c r="S27" i="16"/>
  <c r="BM15" i="16"/>
  <c r="CV29" i="16"/>
  <c r="R27" i="16"/>
  <c r="CE24" i="16"/>
  <c r="CG75" i="16"/>
  <c r="CU33" i="16"/>
  <c r="DL14" i="16"/>
  <c r="X50" i="16"/>
  <c r="CM66" i="16"/>
  <c r="DO33" i="16"/>
  <c r="BI76" i="16"/>
  <c r="CN27" i="16"/>
  <c r="CX20" i="16"/>
  <c r="BO57" i="16"/>
  <c r="AO48" i="16"/>
  <c r="CW39" i="16"/>
  <c r="AZ50" i="16"/>
  <c r="DK23" i="16"/>
  <c r="CA15" i="16"/>
  <c r="BK56" i="16"/>
  <c r="CT14" i="16"/>
  <c r="AK35" i="16"/>
  <c r="CA23" i="16"/>
  <c r="AY29" i="16"/>
  <c r="CO27" i="16"/>
  <c r="BJ38" i="16"/>
  <c r="AN27" i="16"/>
  <c r="DF29" i="16"/>
  <c r="DF56" i="16"/>
  <c r="CX26" i="16"/>
  <c r="AB27" i="16"/>
  <c r="BJ75" i="16"/>
  <c r="BG50" i="16"/>
  <c r="AK57" i="16"/>
  <c r="BH50" i="16"/>
  <c r="DG57" i="16"/>
  <c r="R22" i="16"/>
  <c r="I683" i="32" s="1"/>
  <c r="BT38" i="16"/>
  <c r="DV56" i="16"/>
  <c r="BK24" i="16"/>
  <c r="DH25" i="16"/>
  <c r="BE19" i="16"/>
  <c r="DP29" i="16"/>
  <c r="DP25" i="16"/>
  <c r="BM29" i="16"/>
  <c r="CN34" i="16"/>
  <c r="CT33" i="16"/>
  <c r="DD26" i="16"/>
  <c r="AV35" i="16"/>
  <c r="U50" i="16"/>
  <c r="BV60" i="16"/>
  <c r="CV34" i="16"/>
  <c r="DF47" i="16"/>
  <c r="DQ47" i="16"/>
  <c r="BQ28" i="16"/>
  <c r="DH66" i="16"/>
  <c r="DI47" i="16"/>
  <c r="DJ14" i="16"/>
  <c r="AQ30" i="16"/>
  <c r="DH15" i="16"/>
  <c r="CM26" i="16"/>
  <c r="AE22" i="16"/>
  <c r="V683" i="32" s="1"/>
  <c r="CU31" i="16"/>
  <c r="DV47" i="16"/>
  <c r="AN48" i="16"/>
  <c r="CS19" i="16"/>
  <c r="Y22" i="16"/>
  <c r="P683" i="32" s="1"/>
  <c r="BW29" i="16"/>
  <c r="AZ39" i="16"/>
  <c r="DD14" i="16"/>
  <c r="DL33" i="16"/>
  <c r="DF25" i="16"/>
  <c r="AV47" i="16"/>
  <c r="AP34" i="16"/>
  <c r="BB13" i="16"/>
  <c r="CN75" i="16"/>
  <c r="DU76" i="16"/>
  <c r="BJ39" i="16"/>
  <c r="AK48" i="16"/>
  <c r="AF50" i="16"/>
  <c r="AF30" i="16"/>
  <c r="W687" i="32" s="1"/>
  <c r="DR31" i="16"/>
  <c r="CD14" i="16"/>
  <c r="DN66" i="16"/>
  <c r="BA56" i="16"/>
  <c r="AN33" i="16"/>
  <c r="AS39" i="16"/>
  <c r="CD24" i="16"/>
  <c r="BK13" i="16"/>
  <c r="AR29" i="16"/>
  <c r="CU34" i="16"/>
  <c r="BW26" i="16"/>
  <c r="AU33" i="16"/>
  <c r="CW24" i="16"/>
  <c r="DU31" i="16"/>
  <c r="Z23" i="16"/>
  <c r="Q686" i="32" s="1"/>
  <c r="Y19" i="16"/>
  <c r="P704" i="32" s="1"/>
  <c r="CT47" i="16"/>
  <c r="AT28" i="16"/>
  <c r="BU57" i="16"/>
  <c r="BA24" i="16"/>
  <c r="DA24" i="16"/>
  <c r="DO60" i="16"/>
  <c r="CD57" i="16"/>
  <c r="DN30" i="16"/>
  <c r="DW75" i="16"/>
  <c r="AV34" i="16"/>
  <c r="DS25" i="16"/>
  <c r="AS48" i="16"/>
  <c r="DR20" i="16"/>
  <c r="AS23" i="16"/>
  <c r="AQ34" i="16"/>
  <c r="AP25" i="16"/>
  <c r="CJ39" i="16"/>
  <c r="DS66" i="16"/>
  <c r="DW33" i="16"/>
  <c r="CS60" i="16"/>
  <c r="BH23" i="16"/>
  <c r="CB50" i="16"/>
  <c r="BD50" i="16"/>
  <c r="CP21" i="16"/>
  <c r="AB21" i="16"/>
  <c r="S682" i="32" s="1"/>
  <c r="BH61" i="16"/>
  <c r="CS21" i="16"/>
  <c r="BS60" i="16"/>
  <c r="CE23" i="16"/>
  <c r="BZ29" i="16"/>
  <c r="DO61" i="16"/>
  <c r="CA20" i="16"/>
  <c r="BK17" i="16"/>
  <c r="BK16" i="16" s="1"/>
  <c r="DL25" i="16"/>
  <c r="DD21" i="16"/>
  <c r="CC28" i="16"/>
  <c r="DF13" i="16"/>
  <c r="BJ34" i="16"/>
  <c r="DE24" i="16"/>
  <c r="AX65" i="16"/>
  <c r="BG17" i="16"/>
  <c r="BG16" i="16" s="1"/>
  <c r="DT66" i="16"/>
  <c r="DG65" i="16"/>
  <c r="CI31" i="16"/>
  <c r="CV30" i="16"/>
  <c r="AM35" i="16"/>
  <c r="DQ21" i="16"/>
  <c r="BK26" i="16"/>
  <c r="DD35" i="16"/>
  <c r="DK57" i="16"/>
  <c r="CL20" i="16"/>
  <c r="BO66" i="16"/>
  <c r="AM38" i="16"/>
  <c r="AV48" i="16"/>
  <c r="CK24" i="16"/>
  <c r="AP13" i="16"/>
  <c r="M21" i="16"/>
  <c r="BG15" i="16"/>
  <c r="CN60" i="16"/>
  <c r="DT23" i="16"/>
  <c r="AV27" i="16"/>
  <c r="BB14" i="16"/>
  <c r="DC60" i="16"/>
  <c r="AV76" i="16"/>
  <c r="BU23" i="16"/>
  <c r="BQ26" i="16"/>
  <c r="BJ29" i="16"/>
  <c r="DM23" i="16"/>
  <c r="BV39" i="16"/>
  <c r="AU25" i="16"/>
  <c r="AO25" i="16"/>
  <c r="BG35" i="16"/>
  <c r="DB22" i="16"/>
  <c r="DD33" i="16"/>
  <c r="DU35" i="16"/>
  <c r="CI33" i="16"/>
  <c r="CW57" i="16"/>
  <c r="Y30" i="16"/>
  <c r="P687" i="32" s="1"/>
  <c r="CY61" i="16"/>
  <c r="BT30" i="16"/>
  <c r="AX76" i="16"/>
  <c r="CE38" i="16"/>
  <c r="CD34" i="16"/>
  <c r="CG31" i="16"/>
  <c r="S19" i="16"/>
  <c r="J704" i="32" s="1"/>
  <c r="BM24" i="16"/>
  <c r="AS61" i="16"/>
  <c r="DJ17" i="16"/>
  <c r="DJ16" i="16" s="1"/>
  <c r="BO15" i="16"/>
  <c r="BU20" i="16"/>
  <c r="CP34" i="16"/>
  <c r="BH57" i="16"/>
  <c r="BX24" i="16"/>
  <c r="BF76" i="16"/>
  <c r="DO30" i="16"/>
  <c r="BL13" i="16"/>
  <c r="CO31" i="16"/>
  <c r="CI19" i="16"/>
  <c r="AH24" i="16"/>
  <c r="CD17" i="16"/>
  <c r="CD16" i="16" s="1"/>
  <c r="AP75" i="16"/>
  <c r="AN66" i="16"/>
  <c r="CK28" i="16"/>
  <c r="DW47" i="16"/>
  <c r="CS27" i="16"/>
  <c r="BR50" i="16"/>
  <c r="BI38" i="16"/>
  <c r="CH76" i="16"/>
  <c r="AX39" i="16"/>
  <c r="BS27" i="16"/>
  <c r="BD30" i="16"/>
  <c r="BI31" i="16"/>
  <c r="AO17" i="16"/>
  <c r="AO16" i="16" s="1"/>
  <c r="AK47" i="16"/>
  <c r="BF66" i="16"/>
  <c r="DJ66" i="16"/>
  <c r="BR20" i="16"/>
  <c r="BU38" i="16"/>
  <c r="CU35" i="16"/>
  <c r="CN33" i="16"/>
  <c r="BO28" i="16"/>
  <c r="DM65" i="16"/>
  <c r="DP39" i="16"/>
  <c r="DT34" i="16"/>
  <c r="AN56" i="16"/>
  <c r="DW13" i="16"/>
  <c r="CF39" i="16"/>
  <c r="BI30" i="16"/>
  <c r="BQ31" i="16"/>
  <c r="CD47" i="16"/>
  <c r="BM66" i="16"/>
  <c r="BL61" i="16"/>
  <c r="CA75" i="16"/>
  <c r="AO30" i="16"/>
  <c r="DW24" i="16"/>
  <c r="BW14" i="16"/>
  <c r="DL34" i="16"/>
  <c r="AG27" i="16"/>
  <c r="DB57" i="16"/>
  <c r="BP66" i="16"/>
  <c r="BC30" i="16"/>
  <c r="AN34" i="16"/>
  <c r="DJ50" i="16"/>
  <c r="AW32" i="16"/>
  <c r="AS24" i="16"/>
  <c r="DI14" i="16"/>
  <c r="BW66" i="16"/>
  <c r="CJ66" i="16"/>
  <c r="AV56" i="16"/>
  <c r="BS35" i="16"/>
  <c r="BZ33" i="16"/>
  <c r="DH23" i="16"/>
  <c r="BZ15" i="16"/>
  <c r="AX75" i="16"/>
  <c r="DM48" i="16"/>
  <c r="DB39" i="16"/>
  <c r="CT34" i="16"/>
  <c r="BM13" i="16"/>
  <c r="CQ39" i="16"/>
  <c r="BW15" i="16"/>
  <c r="DV22" i="16"/>
  <c r="BC61" i="16"/>
  <c r="CT48" i="16"/>
  <c r="AY66" i="16"/>
  <c r="CG65" i="16"/>
  <c r="DH34" i="16"/>
  <c r="BN56" i="16"/>
  <c r="DP19" i="16"/>
  <c r="BS23" i="16"/>
  <c r="BW48" i="16"/>
  <c r="DJ19" i="16"/>
  <c r="CJ50" i="16"/>
  <c r="BC34" i="16"/>
  <c r="BC23" i="16"/>
  <c r="BZ23" i="16"/>
  <c r="CU76" i="16"/>
  <c r="AH26" i="16"/>
  <c r="AN47" i="16"/>
  <c r="DI30" i="16"/>
  <c r="CV31" i="16"/>
  <c r="CZ31" i="16"/>
  <c r="AU61" i="16"/>
  <c r="BA22" i="16"/>
  <c r="BP47" i="16"/>
  <c r="CU27" i="16"/>
  <c r="DC24" i="16"/>
  <c r="CQ27" i="16"/>
  <c r="DR21" i="16"/>
  <c r="DO17" i="16"/>
  <c r="DO16" i="16" s="1"/>
  <c r="S35" i="16"/>
  <c r="J703" i="32" s="1"/>
  <c r="BA26" i="16"/>
  <c r="DQ25" i="16"/>
  <c r="BH30" i="16"/>
  <c r="AB50" i="16"/>
  <c r="CR26" i="16"/>
  <c r="BH75" i="16"/>
  <c r="BU50" i="16"/>
  <c r="CV47" i="16"/>
  <c r="CG66" i="16"/>
  <c r="Z19" i="16"/>
  <c r="Q704" i="32" s="1"/>
  <c r="BV38" i="16"/>
  <c r="AW75" i="16"/>
  <c r="BI35" i="16"/>
  <c r="CS22" i="16"/>
  <c r="CN38" i="16"/>
  <c r="BU66" i="16"/>
  <c r="DC15" i="16"/>
  <c r="DU61" i="16"/>
  <c r="CN48" i="16"/>
  <c r="AW29" i="16"/>
  <c r="CM29" i="16"/>
  <c r="AR23" i="16"/>
  <c r="BQ29" i="16"/>
  <c r="AK34" i="16"/>
  <c r="BM19" i="16"/>
  <c r="DK61" i="16"/>
  <c r="N21" i="16"/>
  <c r="BT60" i="16"/>
  <c r="AR66" i="16"/>
  <c r="CU61" i="16"/>
  <c r="CW23" i="16"/>
  <c r="DC31" i="16"/>
  <c r="CK38" i="16"/>
  <c r="CY39" i="16"/>
  <c r="DE27" i="16"/>
  <c r="BR57" i="16"/>
  <c r="AL31" i="16"/>
  <c r="CK75" i="16"/>
  <c r="CU47" i="16"/>
  <c r="BM65" i="16"/>
  <c r="CG35" i="16"/>
  <c r="AH50" i="16"/>
  <c r="CT17" i="16"/>
  <c r="CT16" i="16" s="1"/>
  <c r="BY17" i="16"/>
  <c r="BY16" i="16" s="1"/>
  <c r="DG31" i="16"/>
  <c r="AR27" i="16"/>
  <c r="BD39" i="16"/>
  <c r="BI66" i="16"/>
  <c r="CT61" i="16"/>
  <c r="AZ65" i="16"/>
  <c r="CP75" i="16"/>
  <c r="CT24" i="16"/>
  <c r="AR47" i="16"/>
  <c r="V30" i="16"/>
  <c r="M687" i="32" s="1"/>
  <c r="DO22" i="16"/>
  <c r="DW21" i="16"/>
  <c r="DQ19" i="16"/>
  <c r="CJ65" i="16"/>
  <c r="DL27" i="16"/>
  <c r="BF19" i="16"/>
  <c r="BR60" i="16"/>
  <c r="DN65" i="16"/>
  <c r="BZ47" i="16"/>
  <c r="BF35" i="16"/>
  <c r="CU20" i="16"/>
  <c r="CB34" i="16"/>
  <c r="CG57" i="16"/>
  <c r="BN57" i="16"/>
  <c r="AY30" i="16"/>
  <c r="BY34" i="16"/>
  <c r="CF50" i="16"/>
  <c r="CQ26" i="16"/>
  <c r="N35" i="16"/>
  <c r="AR21" i="16"/>
  <c r="BF31" i="16"/>
  <c r="BW24" i="16"/>
  <c r="DL65" i="16"/>
  <c r="BJ28" i="16"/>
  <c r="DF19" i="16"/>
  <c r="DR56" i="16"/>
  <c r="CE15" i="16"/>
  <c r="BI57" i="16"/>
  <c r="DW38" i="16"/>
  <c r="BD21" i="16"/>
  <c r="DM13" i="16"/>
  <c r="BW13" i="16"/>
  <c r="AI50" i="16"/>
  <c r="DM14" i="16"/>
  <c r="DL23" i="16"/>
  <c r="DI29" i="16"/>
  <c r="AO34" i="16"/>
  <c r="DF57" i="16"/>
  <c r="BD27" i="16"/>
  <c r="CQ21" i="16"/>
  <c r="AV26" i="16"/>
  <c r="AN19" i="16"/>
  <c r="CO28" i="16"/>
  <c r="CZ25" i="16"/>
  <c r="DT19" i="16"/>
  <c r="BF56" i="16"/>
  <c r="DD25" i="16"/>
  <c r="BV20" i="16"/>
  <c r="CR75" i="16"/>
  <c r="AW22" i="16"/>
  <c r="AO27" i="16"/>
  <c r="CZ20" i="16"/>
  <c r="BO25" i="16"/>
  <c r="DL75" i="16"/>
  <c r="DC19" i="16"/>
  <c r="BE26" i="16"/>
  <c r="DI32" i="16"/>
  <c r="BV19" i="16"/>
  <c r="BF22" i="16"/>
  <c r="CE26" i="16"/>
  <c r="DB17" i="16"/>
  <c r="DB16" i="16" s="1"/>
  <c r="AI27" i="16"/>
  <c r="BS39" i="16"/>
  <c r="DU30" i="16"/>
  <c r="DB15" i="16"/>
  <c r="BM32" i="16"/>
  <c r="DU21" i="16"/>
  <c r="AR24" i="16"/>
  <c r="Z21" i="16"/>
  <c r="Q682" i="32" s="1"/>
  <c r="BR22" i="16"/>
  <c r="CU32" i="16"/>
  <c r="DA27" i="16"/>
  <c r="AM66" i="16"/>
  <c r="AE29" i="16"/>
  <c r="DL22" i="16"/>
  <c r="T19" i="16"/>
  <c r="K704" i="32" s="1"/>
  <c r="DO24" i="16"/>
  <c r="CT56" i="16"/>
  <c r="BA66" i="16"/>
  <c r="CG34" i="16"/>
  <c r="AD21" i="16"/>
  <c r="U682" i="32" s="1"/>
  <c r="V50" i="16"/>
  <c r="DP22" i="16"/>
  <c r="CC57" i="16"/>
  <c r="DB21" i="16"/>
  <c r="BV25" i="16"/>
  <c r="AZ35" i="16"/>
  <c r="BZ32" i="16"/>
  <c r="BQ47" i="16"/>
  <c r="DV48" i="16"/>
  <c r="DB47" i="16"/>
  <c r="CK20" i="16"/>
  <c r="AZ38" i="16"/>
  <c r="BN28" i="16"/>
  <c r="CM61" i="16"/>
  <c r="CS50" i="16"/>
  <c r="DI33" i="16"/>
  <c r="DF31" i="16"/>
  <c r="AZ56" i="16"/>
  <c r="BK65" i="16"/>
  <c r="BS56" i="16"/>
  <c r="BZ60" i="16"/>
  <c r="CN15" i="16"/>
  <c r="BZ27" i="16"/>
  <c r="AP47" i="16"/>
  <c r="AV23" i="16"/>
  <c r="CA14" i="16"/>
  <c r="DV15" i="16"/>
  <c r="DA31" i="16"/>
  <c r="O17" i="16"/>
  <c r="O16" i="16" s="1"/>
  <c r="CL15" i="16"/>
  <c r="BY38" i="16"/>
  <c r="CG48" i="16"/>
  <c r="DW23" i="16"/>
  <c r="BC27" i="16"/>
  <c r="BO26" i="16"/>
  <c r="AN65" i="16"/>
  <c r="AW33" i="16"/>
  <c r="DR34" i="16"/>
  <c r="AQ76" i="16"/>
  <c r="AM39" i="16"/>
  <c r="AK28" i="16"/>
  <c r="DB25" i="16"/>
  <c r="DN28" i="16"/>
  <c r="AY56" i="16"/>
  <c r="BJ20" i="16"/>
  <c r="AX20" i="16"/>
  <c r="BT15" i="16"/>
  <c r="AZ25" i="16"/>
  <c r="BL56" i="16"/>
  <c r="CL30" i="16"/>
  <c r="DJ47" i="16"/>
  <c r="N27" i="16"/>
  <c r="AU75" i="16"/>
  <c r="V35" i="16"/>
  <c r="M703" i="32" s="1"/>
  <c r="CX19" i="16"/>
  <c r="CB75" i="16"/>
  <c r="BZ34" i="16"/>
  <c r="DI13" i="16"/>
  <c r="CJ20" i="16"/>
  <c r="DC34" i="16"/>
  <c r="DG28" i="16"/>
  <c r="BC19" i="16"/>
  <c r="BC20" i="16"/>
  <c r="AQ25" i="16"/>
  <c r="CM76" i="16"/>
  <c r="DB28" i="16"/>
  <c r="DK21" i="16"/>
  <c r="AD17" i="16"/>
  <c r="AD16" i="16" s="1"/>
  <c r="CI35" i="16"/>
  <c r="BQ76" i="16"/>
  <c r="DK56" i="16"/>
  <c r="DP65" i="16"/>
  <c r="BB38" i="16"/>
  <c r="CO50" i="16"/>
  <c r="CH38" i="16"/>
  <c r="DA30" i="16"/>
  <c r="CZ76" i="16"/>
  <c r="CV38" i="16"/>
  <c r="BC28" i="16"/>
  <c r="BN60" i="16"/>
  <c r="AE50" i="16"/>
  <c r="DA28" i="16"/>
  <c r="CL35" i="16"/>
  <c r="DU13" i="16"/>
  <c r="CR25" i="16"/>
  <c r="DF15" i="16"/>
  <c r="CD28" i="16"/>
  <c r="DE65" i="16"/>
  <c r="AG25" i="16"/>
  <c r="X685" i="32" s="1"/>
  <c r="CZ47" i="16"/>
  <c r="T50" i="16"/>
  <c r="CA35" i="16"/>
  <c r="BD20" i="16"/>
  <c r="CU22" i="16"/>
  <c r="DH39" i="16"/>
  <c r="CB29" i="16"/>
  <c r="DJ30" i="16"/>
  <c r="CK26" i="16"/>
  <c r="CZ48" i="16"/>
  <c r="BR35" i="16"/>
  <c r="AI17" i="16"/>
  <c r="AI16" i="16" s="1"/>
  <c r="DO28" i="16"/>
  <c r="CH14" i="16"/>
  <c r="DE48" i="16"/>
  <c r="AK24" i="16"/>
  <c r="DB31" i="16"/>
  <c r="CI25" i="16"/>
  <c r="DD57" i="16"/>
  <c r="BE20" i="16"/>
  <c r="BY76" i="16"/>
  <c r="CZ65" i="16"/>
  <c r="DH31" i="16"/>
  <c r="BF50" i="16"/>
  <c r="BO21" i="16"/>
  <c r="BH48" i="16"/>
  <c r="AV65" i="16"/>
  <c r="AB26" i="16"/>
  <c r="BA20" i="16"/>
  <c r="DU17" i="16"/>
  <c r="DU16" i="16" s="1"/>
  <c r="AT24" i="16"/>
  <c r="CB26" i="16"/>
  <c r="CG14" i="16"/>
  <c r="BL21" i="16"/>
  <c r="BX61" i="16"/>
  <c r="DP47" i="16"/>
  <c r="BZ65" i="16"/>
  <c r="BQ33" i="16"/>
  <c r="DD61" i="16"/>
  <c r="CR61" i="16"/>
  <c r="DU20" i="16"/>
  <c r="CJ17" i="16"/>
  <c r="CJ16" i="16" s="1"/>
  <c r="AR50" i="16"/>
  <c r="BI27" i="16"/>
  <c r="CV48" i="16"/>
  <c r="AP28" i="16"/>
  <c r="DR30" i="16"/>
  <c r="AK33" i="16"/>
  <c r="DF30" i="16"/>
  <c r="CL27" i="16"/>
  <c r="AW21" i="16"/>
  <c r="AF21" i="16"/>
  <c r="W682" i="32" s="1"/>
  <c r="DU75" i="16"/>
  <c r="AP38" i="16"/>
  <c r="AO15" i="16"/>
  <c r="AA35" i="16"/>
  <c r="R703" i="32" s="1"/>
  <c r="BE34" i="16"/>
  <c r="BI39" i="16"/>
  <c r="DT27" i="16"/>
  <c r="CX29" i="16"/>
  <c r="BC57" i="16"/>
  <c r="CM75" i="16"/>
  <c r="DN61" i="16"/>
  <c r="DR50" i="16"/>
  <c r="BN75" i="16"/>
  <c r="DD29" i="16"/>
  <c r="CC60" i="16"/>
  <c r="BV17" i="16"/>
  <c r="BV16" i="16" s="1"/>
  <c r="DS20" i="16"/>
  <c r="DB33" i="16"/>
  <c r="AL19" i="16"/>
  <c r="DH33" i="16"/>
  <c r="DS30" i="16"/>
  <c r="DG50" i="16"/>
  <c r="BC14" i="16"/>
  <c r="CK15" i="16"/>
  <c r="BE24" i="16"/>
  <c r="DP66" i="16"/>
  <c r="BP21" i="16"/>
  <c r="DP31" i="16"/>
  <c r="AL32" i="16"/>
  <c r="BR15" i="16"/>
  <c r="DH48" i="16"/>
  <c r="DE66" i="16"/>
  <c r="BY32" i="16"/>
  <c r="AX23" i="16"/>
  <c r="CM47" i="16"/>
  <c r="BG57" i="16"/>
  <c r="BR25" i="16"/>
  <c r="BA28" i="16"/>
  <c r="BF61" i="16"/>
  <c r="DW20" i="16"/>
  <c r="BW76" i="16"/>
  <c r="AE30" i="16"/>
  <c r="V687" i="32" s="1"/>
  <c r="DR57" i="16"/>
  <c r="AQ19" i="16"/>
  <c r="AF27" i="16"/>
  <c r="T21" i="16"/>
  <c r="K682" i="32" s="1"/>
  <c r="DE30" i="16"/>
  <c r="CD19" i="16"/>
  <c r="BQ27" i="16"/>
  <c r="BS28" i="16"/>
  <c r="CQ13" i="16"/>
  <c r="AU29" i="16"/>
  <c r="CK29" i="16"/>
  <c r="CT21" i="16"/>
  <c r="Z24" i="16"/>
  <c r="Q684" i="32" s="1"/>
  <c r="CQ47" i="16"/>
  <c r="DF48" i="16"/>
  <c r="CZ35" i="16"/>
  <c r="CL23" i="16"/>
  <c r="CY13" i="16"/>
  <c r="DT38" i="16"/>
  <c r="DH56" i="16"/>
  <c r="AA24" i="16"/>
  <c r="R684" i="32" s="1"/>
  <c r="BK29" i="16"/>
  <c r="BH20" i="16"/>
  <c r="BU22" i="16"/>
  <c r="CL19" i="16"/>
  <c r="BX28" i="16"/>
  <c r="BD19" i="16"/>
  <c r="AQ75" i="16"/>
  <c r="CV57" i="16"/>
  <c r="CR29" i="16"/>
  <c r="AY35" i="16"/>
  <c r="DG33" i="16"/>
  <c r="CW19" i="16"/>
  <c r="DQ29" i="16"/>
  <c r="DT20" i="16"/>
  <c r="AK20" i="16"/>
  <c r="DU29" i="16"/>
  <c r="CP32" i="16"/>
  <c r="DR35" i="16"/>
  <c r="AQ65" i="16"/>
  <c r="BK19" i="18"/>
  <c r="BK35" i="18" s="1"/>
  <c r="CL19" i="18"/>
  <c r="CL35" i="18" s="1"/>
  <c r="BO19" i="18"/>
  <c r="BO35" i="18" s="1"/>
  <c r="BX19" i="18"/>
  <c r="BX35" i="18" s="1"/>
  <c r="AI76" i="17"/>
  <c r="J81" i="5"/>
  <c r="J80" i="5" s="1"/>
  <c r="AT19" i="18"/>
  <c r="AT35" i="18" s="1"/>
  <c r="EQ61" i="19"/>
  <c r="J61" i="19" s="1"/>
  <c r="J90" i="5"/>
  <c r="DH19" i="18"/>
  <c r="DH35" i="18" s="1"/>
  <c r="AB44" i="1"/>
  <c r="F11" i="21" s="1"/>
  <c r="AH51" i="1"/>
  <c r="AH47" i="1"/>
  <c r="AF50" i="1"/>
  <c r="AF43" i="1"/>
  <c r="J10" i="21" s="1"/>
  <c r="AE48" i="1"/>
  <c r="Z47" i="1"/>
  <c r="AE43" i="1"/>
  <c r="I10" i="21" s="1"/>
  <c r="AF46" i="1"/>
  <c r="J13" i="21" s="1"/>
  <c r="AG45" i="1"/>
  <c r="K12" i="21" s="1"/>
  <c r="AC42" i="1"/>
  <c r="G9" i="21" s="1"/>
  <c r="AC46" i="1"/>
  <c r="G13" i="21" s="1"/>
  <c r="AB43" i="1"/>
  <c r="F10" i="21" s="1"/>
  <c r="Y48" i="1"/>
  <c r="AD45" i="1"/>
  <c r="H12" i="21" s="1"/>
  <c r="AB42" i="1"/>
  <c r="F9" i="21" s="1"/>
  <c r="AH45" i="1"/>
  <c r="L12" i="21" s="1"/>
  <c r="AF44" i="1"/>
  <c r="J11" i="21" s="1"/>
  <c r="AB50" i="1"/>
  <c r="AF48" i="1"/>
  <c r="AB48" i="1"/>
  <c r="AD50" i="1"/>
  <c r="AD46" i="1"/>
  <c r="H13" i="21" s="1"/>
  <c r="AH44" i="1"/>
  <c r="L11" i="21" s="1"/>
  <c r="AC45" i="1"/>
  <c r="G12" i="21" s="1"/>
  <c r="AH43" i="1"/>
  <c r="L10" i="21" s="1"/>
  <c r="Y42" i="1"/>
  <c r="C9" i="21" s="1"/>
  <c r="AD47" i="1"/>
  <c r="Y45" i="1"/>
  <c r="C12" i="21" s="1"/>
  <c r="AG51" i="1"/>
  <c r="Y46" i="1"/>
  <c r="C13" i="21" s="1"/>
  <c r="AC50" i="1"/>
  <c r="AG46" i="1"/>
  <c r="K13" i="21" s="1"/>
  <c r="AF51" i="1"/>
  <c r="AC44" i="1"/>
  <c r="G11" i="21" s="1"/>
  <c r="AB45" i="1"/>
  <c r="F12" i="21" s="1"/>
  <c r="AE47" i="1"/>
  <c r="AD42" i="1"/>
  <c r="H9" i="21" s="1"/>
  <c r="AE44" i="1"/>
  <c r="I11" i="21" s="1"/>
  <c r="Z48" i="1"/>
  <c r="AG44" i="1"/>
  <c r="K11" i="21" s="1"/>
  <c r="AB46" i="1"/>
  <c r="F13" i="21" s="1"/>
  <c r="AE45" i="1"/>
  <c r="I12" i="21" s="1"/>
  <c r="AF47" i="1"/>
  <c r="Y43" i="1"/>
  <c r="C10" i="21" s="1"/>
  <c r="AA51" i="1"/>
  <c r="Z51" i="1"/>
  <c r="Z43" i="1"/>
  <c r="D10" i="21" s="1"/>
  <c r="AA44" i="1"/>
  <c r="E11" i="21" s="1"/>
  <c r="AG43" i="1"/>
  <c r="K10" i="21" s="1"/>
  <c r="AE42" i="1"/>
  <c r="I9" i="21" s="1"/>
  <c r="AH42" i="1"/>
  <c r="L9" i="21" s="1"/>
  <c r="AH48" i="1"/>
  <c r="AC48" i="1"/>
  <c r="AA43" i="1"/>
  <c r="E10" i="21" s="1"/>
  <c r="AD44" i="1"/>
  <c r="H11" i="21" s="1"/>
  <c r="AB47" i="1"/>
  <c r="AA46" i="1"/>
  <c r="E13" i="21" s="1"/>
  <c r="Y47" i="1"/>
  <c r="Z50" i="1"/>
  <c r="AA45" i="1"/>
  <c r="E12" i="21" s="1"/>
  <c r="AG50" i="1"/>
  <c r="AE46" i="1"/>
  <c r="I13" i="21" s="1"/>
  <c r="Y50" i="1"/>
  <c r="AG48" i="1"/>
  <c r="Z46" i="1"/>
  <c r="D13" i="21" s="1"/>
  <c r="AG47" i="1"/>
  <c r="Y51" i="1"/>
  <c r="AA42" i="1"/>
  <c r="E9" i="21" s="1"/>
  <c r="AF42" i="1"/>
  <c r="J9" i="21" s="1"/>
  <c r="AE50" i="1"/>
  <c r="Z44" i="1"/>
  <c r="D11" i="21" s="1"/>
  <c r="AB51" i="1"/>
  <c r="AF45" i="1"/>
  <c r="J12" i="21" s="1"/>
  <c r="AH46" i="1"/>
  <c r="L13" i="21" s="1"/>
  <c r="AC47" i="1"/>
  <c r="AD43" i="1"/>
  <c r="H10" i="21" s="1"/>
  <c r="AE51" i="1"/>
  <c r="Z45" i="1"/>
  <c r="D12" i="21" s="1"/>
  <c r="AC43" i="1"/>
  <c r="G10" i="21" s="1"/>
  <c r="AA48" i="1"/>
  <c r="AD51" i="1"/>
  <c r="AD48" i="1"/>
  <c r="AA47" i="1"/>
  <c r="AC51" i="1"/>
  <c r="AA50" i="1"/>
  <c r="Y44" i="1"/>
  <c r="C11" i="21" s="1"/>
  <c r="AH50" i="1"/>
  <c r="Z42" i="1"/>
  <c r="D9" i="21" s="1"/>
  <c r="AG42" i="1"/>
  <c r="K9" i="21" s="1"/>
  <c r="AQ19" i="18"/>
  <c r="AQ35" i="18" s="1"/>
  <c r="EP9" i="15"/>
  <c r="EQ9" i="11"/>
  <c r="EQ165" i="11"/>
  <c r="J166" i="11"/>
  <c r="EF165" i="11"/>
  <c r="EG165" i="11"/>
  <c r="EG27" i="5" s="1"/>
  <c r="EH165" i="11"/>
  <c r="EH27" i="5" s="1"/>
  <c r="EI165" i="11"/>
  <c r="EI27" i="5" s="1"/>
  <c r="EK165" i="11"/>
  <c r="EK27" i="5" s="1"/>
  <c r="EJ165" i="11"/>
  <c r="EJ27" i="5" s="1"/>
  <c r="EP165" i="11"/>
  <c r="EP27" i="5" s="1"/>
  <c r="EO165" i="11"/>
  <c r="EO27" i="5" s="1"/>
  <c r="EN165" i="11"/>
  <c r="EN27" i="5" s="1"/>
  <c r="EM165" i="11"/>
  <c r="EM27" i="5" s="1"/>
  <c r="EL165" i="11"/>
  <c r="EL27" i="5" s="1"/>
  <c r="EP11" i="15"/>
  <c r="EQ11" i="11"/>
  <c r="J195" i="11"/>
  <c r="EQ196" i="11"/>
  <c r="EQ197" i="11" s="1"/>
  <c r="EQ176" i="11"/>
  <c r="EQ177" i="11" s="1"/>
  <c r="CT19" i="18"/>
  <c r="CT35" i="18" s="1"/>
  <c r="AW19" i="18"/>
  <c r="AW35" i="18" s="1"/>
  <c r="EC172" i="11"/>
  <c r="EC28" i="5"/>
  <c r="Z113" i="19" l="1"/>
  <c r="T36" i="35"/>
  <c r="V34" i="35"/>
  <c r="S34" i="35"/>
  <c r="Q34" i="35"/>
  <c r="AA72" i="26"/>
  <c r="M142" i="32"/>
  <c r="M121" i="32"/>
  <c r="H126" i="32"/>
  <c r="I142" i="32"/>
  <c r="L121" i="32"/>
  <c r="I125" i="32"/>
  <c r="K126" i="32"/>
  <c r="K122" i="32"/>
  <c r="I126" i="32"/>
  <c r="C726" i="32"/>
  <c r="G121" i="32"/>
  <c r="H12" i="35"/>
  <c r="H17" i="35"/>
  <c r="H16" i="35"/>
  <c r="I121" i="32"/>
  <c r="N143" i="32"/>
  <c r="D749" i="32"/>
  <c r="L142" i="32"/>
  <c r="N121" i="32"/>
  <c r="M125" i="32"/>
  <c r="F188" i="32"/>
  <c r="K188" i="32"/>
  <c r="H125" i="32"/>
  <c r="H188" i="32"/>
  <c r="H123" i="32"/>
  <c r="N123" i="32"/>
  <c r="F749" i="32"/>
  <c r="K125" i="32"/>
  <c r="D750" i="32"/>
  <c r="K142" i="32"/>
  <c r="J121" i="32"/>
  <c r="L126" i="32"/>
  <c r="H121" i="32"/>
  <c r="J123" i="32"/>
  <c r="H143" i="32"/>
  <c r="N126" i="32"/>
  <c r="D686" i="32"/>
  <c r="D125" i="32"/>
  <c r="G142" i="32"/>
  <c r="C179" i="32"/>
  <c r="N609" i="32"/>
  <c r="O609" i="32" s="1"/>
  <c r="C192" i="32"/>
  <c r="N622" i="32"/>
  <c r="O622" i="32" s="1"/>
  <c r="E687" i="32"/>
  <c r="E126" i="32"/>
  <c r="D704" i="32"/>
  <c r="D143" i="32"/>
  <c r="J126" i="32"/>
  <c r="D72" i="1"/>
  <c r="C78" i="21" s="1"/>
  <c r="D42" i="1"/>
  <c r="D703" i="32"/>
  <c r="D142" i="32"/>
  <c r="E686" i="32"/>
  <c r="E125" i="32"/>
  <c r="C741" i="32"/>
  <c r="G749" i="32"/>
  <c r="E749" i="32"/>
  <c r="C727" i="32"/>
  <c r="L188" i="32"/>
  <c r="N188" i="32"/>
  <c r="H142" i="32"/>
  <c r="M126" i="32"/>
  <c r="M123" i="32"/>
  <c r="J125" i="32"/>
  <c r="G126" i="32"/>
  <c r="J188" i="32"/>
  <c r="D188" i="32"/>
  <c r="C753" i="32"/>
  <c r="K121" i="32"/>
  <c r="G122" i="32"/>
  <c r="N122" i="32"/>
  <c r="I123" i="32"/>
  <c r="E704" i="32"/>
  <c r="E143" i="32"/>
  <c r="M124" i="32"/>
  <c r="M143" i="32"/>
  <c r="G123" i="32"/>
  <c r="L123" i="32"/>
  <c r="D684" i="32"/>
  <c r="D123" i="32"/>
  <c r="D720" i="32"/>
  <c r="D171" i="32"/>
  <c r="E684" i="32"/>
  <c r="E123" i="32"/>
  <c r="G143" i="32"/>
  <c r="N125" i="32"/>
  <c r="N595" i="32"/>
  <c r="O595" i="32" s="1"/>
  <c r="C165" i="32"/>
  <c r="N593" i="32"/>
  <c r="O593" i="32" s="1"/>
  <c r="C163" i="32"/>
  <c r="I188" i="32"/>
  <c r="K123" i="32"/>
  <c r="K143" i="32"/>
  <c r="H124" i="32"/>
  <c r="J143" i="32"/>
  <c r="I143" i="32"/>
  <c r="J142" i="32"/>
  <c r="C740" i="32"/>
  <c r="H749" i="32"/>
  <c r="N610" i="32"/>
  <c r="O610" i="32" s="1"/>
  <c r="C180" i="32"/>
  <c r="G703" i="32"/>
  <c r="F142" i="32"/>
  <c r="E703" i="32"/>
  <c r="E142" i="32"/>
  <c r="G125" i="32"/>
  <c r="G704" i="32"/>
  <c r="F143" i="32"/>
  <c r="G687" i="32"/>
  <c r="F126" i="32"/>
  <c r="N142" i="32"/>
  <c r="L125" i="32"/>
  <c r="G686" i="32"/>
  <c r="F125" i="32"/>
  <c r="D687" i="32"/>
  <c r="D126" i="32"/>
  <c r="L143" i="32"/>
  <c r="G684" i="32"/>
  <c r="F123" i="32"/>
  <c r="C724" i="32"/>
  <c r="G188" i="32"/>
  <c r="D685" i="32"/>
  <c r="D124" i="32"/>
  <c r="G685" i="32"/>
  <c r="F124" i="32"/>
  <c r="J124" i="32"/>
  <c r="I124" i="32"/>
  <c r="N124" i="32"/>
  <c r="G124" i="32"/>
  <c r="L124" i="32"/>
  <c r="E685" i="32"/>
  <c r="E124" i="32"/>
  <c r="K124" i="32"/>
  <c r="E683" i="32"/>
  <c r="E122" i="32"/>
  <c r="M122" i="32"/>
  <c r="N591" i="32"/>
  <c r="O591" i="32" s="1"/>
  <c r="C161" i="32"/>
  <c r="G683" i="32"/>
  <c r="F122" i="32"/>
  <c r="C723" i="32"/>
  <c r="N592" i="32"/>
  <c r="O592" i="32" s="1"/>
  <c r="C162" i="32"/>
  <c r="L122" i="32"/>
  <c r="H122" i="32"/>
  <c r="J122" i="32"/>
  <c r="I122" i="32"/>
  <c r="C722" i="32"/>
  <c r="D682" i="32"/>
  <c r="D121" i="32"/>
  <c r="G682" i="32"/>
  <c r="F121" i="32"/>
  <c r="D683" i="32"/>
  <c r="D122" i="32"/>
  <c r="E682" i="32"/>
  <c r="E121" i="32"/>
  <c r="D680" i="32"/>
  <c r="D119" i="32"/>
  <c r="C725" i="32"/>
  <c r="D189" i="32"/>
  <c r="E12" i="30"/>
  <c r="E17" i="30"/>
  <c r="E16" i="30"/>
  <c r="AW75" i="26"/>
  <c r="Z77" i="19"/>
  <c r="X114" i="21" s="1"/>
  <c r="CA84" i="26"/>
  <c r="BL69" i="26"/>
  <c r="BY66" i="26"/>
  <c r="BC87" i="26"/>
  <c r="DF66" i="26"/>
  <c r="DQ69" i="26"/>
  <c r="CT78" i="26"/>
  <c r="BQ63" i="26"/>
  <c r="AL75" i="26"/>
  <c r="Y87" i="26"/>
  <c r="BH69" i="26"/>
  <c r="AS72" i="26"/>
  <c r="BQ72" i="26"/>
  <c r="BI81" i="26"/>
  <c r="CZ75" i="26"/>
  <c r="DD69" i="26"/>
  <c r="BE95" i="26"/>
  <c r="BE121" i="26" s="1"/>
  <c r="CI100" i="17"/>
  <c r="CI122" i="17" s="1"/>
  <c r="BR75" i="26"/>
  <c r="DS63" i="26"/>
  <c r="AM78" i="26"/>
  <c r="BP66" i="26"/>
  <c r="BO95" i="26"/>
  <c r="BO120" i="26" s="1"/>
  <c r="DR100" i="17"/>
  <c r="DR123" i="17" s="1"/>
  <c r="DP95" i="17"/>
  <c r="DP120" i="17" s="1"/>
  <c r="DF100" i="17"/>
  <c r="DF123" i="17" s="1"/>
  <c r="AT100" i="17"/>
  <c r="AT122" i="17" s="1"/>
  <c r="CQ100" i="26"/>
  <c r="CQ123" i="26" s="1"/>
  <c r="AY95" i="26"/>
  <c r="AY121" i="26" s="1"/>
  <c r="CT95" i="17"/>
  <c r="CT120" i="17" s="1"/>
  <c r="CD100" i="17"/>
  <c r="CD123" i="17" s="1"/>
  <c r="AD100" i="26"/>
  <c r="AD123" i="26" s="1"/>
  <c r="AN100" i="17"/>
  <c r="AN122" i="17" s="1"/>
  <c r="CN100" i="26"/>
  <c r="CN122" i="26" s="1"/>
  <c r="DQ100" i="17"/>
  <c r="DQ123" i="17" s="1"/>
  <c r="AV95" i="26"/>
  <c r="AV120" i="26" s="1"/>
  <c r="CO100" i="17"/>
  <c r="CO122" i="17" s="1"/>
  <c r="BN78" i="26"/>
  <c r="CL95" i="26"/>
  <c r="CL121" i="26" s="1"/>
  <c r="DH95" i="26"/>
  <c r="DH120" i="26" s="1"/>
  <c r="CL100" i="26"/>
  <c r="CL123" i="26" s="1"/>
  <c r="DL95" i="17"/>
  <c r="DL121" i="17" s="1"/>
  <c r="DG95" i="26"/>
  <c r="DG120" i="26" s="1"/>
  <c r="CD100" i="26"/>
  <c r="CD122" i="26" s="1"/>
  <c r="CV100" i="17"/>
  <c r="CV123" i="17" s="1"/>
  <c r="CJ100" i="26"/>
  <c r="CJ122" i="26" s="1"/>
  <c r="CF100" i="26"/>
  <c r="CF122" i="26" s="1"/>
  <c r="DE95" i="17"/>
  <c r="DE120" i="17" s="1"/>
  <c r="BH95" i="17"/>
  <c r="BH120" i="17" s="1"/>
  <c r="DB95" i="26"/>
  <c r="DB121" i="26" s="1"/>
  <c r="BM100" i="26"/>
  <c r="BM123" i="26" s="1"/>
  <c r="BG95" i="26"/>
  <c r="BG120" i="26" s="1"/>
  <c r="CZ95" i="17"/>
  <c r="CZ120" i="17" s="1"/>
  <c r="CM95" i="17"/>
  <c r="CM120" i="17" s="1"/>
  <c r="DO95" i="17"/>
  <c r="DO120" i="17" s="1"/>
  <c r="DM95" i="26"/>
  <c r="DM121" i="26" s="1"/>
  <c r="AN100" i="26"/>
  <c r="AN123" i="26" s="1"/>
  <c r="DV95" i="17"/>
  <c r="DV121" i="17" s="1"/>
  <c r="DO100" i="26"/>
  <c r="DO122" i="26" s="1"/>
  <c r="DC95" i="26"/>
  <c r="DC121" i="26" s="1"/>
  <c r="CG100" i="26"/>
  <c r="CG122" i="26" s="1"/>
  <c r="AC100" i="26"/>
  <c r="AC123" i="26" s="1"/>
  <c r="DU100" i="17"/>
  <c r="DU123" i="17" s="1"/>
  <c r="DK100" i="17"/>
  <c r="DK122" i="17" s="1"/>
  <c r="DE100" i="17"/>
  <c r="DE123" i="17" s="1"/>
  <c r="CY100" i="17"/>
  <c r="CY123" i="17" s="1"/>
  <c r="CN95" i="17"/>
  <c r="CN120" i="17" s="1"/>
  <c r="BU95" i="17"/>
  <c r="BU120" i="17" s="1"/>
  <c r="BV95" i="17"/>
  <c r="BV121" i="17" s="1"/>
  <c r="BC100" i="17"/>
  <c r="BC122" i="17" s="1"/>
  <c r="CL95" i="17"/>
  <c r="CL120" i="17" s="1"/>
  <c r="BX100" i="17"/>
  <c r="BX122" i="17" s="1"/>
  <c r="AJ95" i="17"/>
  <c r="AJ120" i="17" s="1"/>
  <c r="BI95" i="17"/>
  <c r="BI120" i="17" s="1"/>
  <c r="AM95" i="17"/>
  <c r="AM121" i="17" s="1"/>
  <c r="CA100" i="17"/>
  <c r="CA122" i="17" s="1"/>
  <c r="BH100" i="26"/>
  <c r="BH122" i="26" s="1"/>
  <c r="DT95" i="26"/>
  <c r="DT120" i="26" s="1"/>
  <c r="CR95" i="26"/>
  <c r="CR121" i="26" s="1"/>
  <c r="AE100" i="26"/>
  <c r="AE122" i="26" s="1"/>
  <c r="BB100" i="26"/>
  <c r="BB122" i="26" s="1"/>
  <c r="CN95" i="26"/>
  <c r="CN121" i="26" s="1"/>
  <c r="CA100" i="26"/>
  <c r="CA122" i="26" s="1"/>
  <c r="CY95" i="17"/>
  <c r="CY120" i="17" s="1"/>
  <c r="DS95" i="17"/>
  <c r="DS121" i="17" s="1"/>
  <c r="BU100" i="26"/>
  <c r="BU122" i="26" s="1"/>
  <c r="AF84" i="26"/>
  <c r="BS95" i="26"/>
  <c r="BS121" i="26" s="1"/>
  <c r="CK84" i="26"/>
  <c r="DV95" i="26"/>
  <c r="DV120" i="26" s="1"/>
  <c r="DE100" i="26"/>
  <c r="DE122" i="26" s="1"/>
  <c r="DD95" i="26"/>
  <c r="DD121" i="26" s="1"/>
  <c r="BU95" i="26"/>
  <c r="BU121" i="26" s="1"/>
  <c r="AT95" i="26"/>
  <c r="AT121" i="26" s="1"/>
  <c r="DG100" i="17"/>
  <c r="DG122" i="17" s="1"/>
  <c r="DF95" i="26"/>
  <c r="DF120" i="26" s="1"/>
  <c r="DR100" i="26"/>
  <c r="DR123" i="26" s="1"/>
  <c r="BJ95" i="26"/>
  <c r="BJ121" i="26" s="1"/>
  <c r="CA95" i="17"/>
  <c r="CA121" i="17" s="1"/>
  <c r="BE95" i="17"/>
  <c r="BE120" i="17" s="1"/>
  <c r="BD95" i="17"/>
  <c r="BD121" i="17" s="1"/>
  <c r="AY100" i="17"/>
  <c r="AY122" i="17" s="1"/>
  <c r="CK95" i="26"/>
  <c r="CK121" i="26" s="1"/>
  <c r="AJ95" i="26"/>
  <c r="AJ121" i="26" s="1"/>
  <c r="AY95" i="17"/>
  <c r="AY120" i="17" s="1"/>
  <c r="AP95" i="26"/>
  <c r="AP120" i="26" s="1"/>
  <c r="AZ95" i="26"/>
  <c r="AZ121" i="26" s="1"/>
  <c r="AB100" i="26"/>
  <c r="AB123" i="26" s="1"/>
  <c r="CU95" i="26"/>
  <c r="CU121" i="26" s="1"/>
  <c r="BX95" i="17"/>
  <c r="BX121" i="17" s="1"/>
  <c r="DA95" i="26"/>
  <c r="DA121" i="26" s="1"/>
  <c r="BK95" i="26"/>
  <c r="BK120" i="26" s="1"/>
  <c r="AI100" i="26"/>
  <c r="AI122" i="26" s="1"/>
  <c r="DQ95" i="26"/>
  <c r="DN95" i="26"/>
  <c r="DK100" i="26"/>
  <c r="CU100" i="26"/>
  <c r="CM95" i="26"/>
  <c r="BY100" i="26"/>
  <c r="BT95" i="26"/>
  <c r="BP95" i="26"/>
  <c r="BO100" i="26"/>
  <c r="AX100" i="26"/>
  <c r="BD95" i="26"/>
  <c r="BI95" i="26"/>
  <c r="BA100" i="26"/>
  <c r="AW100" i="26"/>
  <c r="AO100" i="26"/>
  <c r="DN100" i="17"/>
  <c r="CX100" i="17"/>
  <c r="CK100" i="17"/>
  <c r="CL100" i="17"/>
  <c r="CF95" i="17"/>
  <c r="CB100" i="17"/>
  <c r="BP100" i="17"/>
  <c r="BM100" i="17"/>
  <c r="BN95" i="17"/>
  <c r="AW95" i="17"/>
  <c r="AQ95" i="17"/>
  <c r="AP95" i="17"/>
  <c r="CW95" i="26"/>
  <c r="CE95" i="17"/>
  <c r="AN95" i="17"/>
  <c r="AK100" i="17"/>
  <c r="CT87" i="26"/>
  <c r="DU100" i="26"/>
  <c r="DP100" i="26"/>
  <c r="DN100" i="26"/>
  <c r="DL100" i="26"/>
  <c r="DF100" i="26"/>
  <c r="DE95" i="26"/>
  <c r="CT100" i="26"/>
  <c r="CS95" i="26"/>
  <c r="CK100" i="26"/>
  <c r="BT100" i="26"/>
  <c r="BL95" i="26"/>
  <c r="J96" i="26"/>
  <c r="BM95" i="26"/>
  <c r="Z100" i="26"/>
  <c r="Y95" i="26"/>
  <c r="AM95" i="26"/>
  <c r="AX95" i="26"/>
  <c r="AQ95" i="26"/>
  <c r="AE95" i="26"/>
  <c r="AZ100" i="26"/>
  <c r="AR95" i="26"/>
  <c r="DV100" i="17"/>
  <c r="DS100" i="17"/>
  <c r="DJ95" i="17"/>
  <c r="CW100" i="17"/>
  <c r="CJ95" i="17"/>
  <c r="CH95" i="17"/>
  <c r="BJ95" i="17"/>
  <c r="BG100" i="17"/>
  <c r="N63" i="26"/>
  <c r="J101" i="26"/>
  <c r="DV100" i="26"/>
  <c r="CQ95" i="26"/>
  <c r="BZ95" i="26"/>
  <c r="BN100" i="26"/>
  <c r="BJ100" i="26"/>
  <c r="BA95" i="26"/>
  <c r="AR100" i="26"/>
  <c r="AH100" i="26"/>
  <c r="BC100" i="26"/>
  <c r="DJ100" i="17"/>
  <c r="DH95" i="17"/>
  <c r="DB100" i="17"/>
  <c r="CR100" i="17"/>
  <c r="BZ95" i="17"/>
  <c r="BU100" i="17"/>
  <c r="BR95" i="17"/>
  <c r="BA95" i="17"/>
  <c r="AV100" i="17"/>
  <c r="AM100" i="17"/>
  <c r="AL100" i="17"/>
  <c r="AL95" i="17"/>
  <c r="J101" i="17"/>
  <c r="DR95" i="26"/>
  <c r="CV95" i="26"/>
  <c r="CR100" i="26"/>
  <c r="CP100" i="26"/>
  <c r="CO95" i="26"/>
  <c r="CG95" i="26"/>
  <c r="AW95" i="26"/>
  <c r="AU95" i="26"/>
  <c r="AV100" i="26"/>
  <c r="AJ100" i="26"/>
  <c r="AG95" i="26"/>
  <c r="DM95" i="17"/>
  <c r="CZ100" i="17"/>
  <c r="CU100" i="17"/>
  <c r="CT100" i="17"/>
  <c r="CI95" i="17"/>
  <c r="CF100" i="17"/>
  <c r="CB95" i="17"/>
  <c r="BZ100" i="17"/>
  <c r="BY100" i="17"/>
  <c r="BV100" i="17"/>
  <c r="BS95" i="17"/>
  <c r="BR100" i="17"/>
  <c r="BJ100" i="17"/>
  <c r="AU100" i="17"/>
  <c r="J96" i="17"/>
  <c r="DL95" i="26"/>
  <c r="DG100" i="26"/>
  <c r="CX95" i="26"/>
  <c r="AA95" i="26"/>
  <c r="Y100" i="26"/>
  <c r="BF95" i="26"/>
  <c r="AL100" i="26"/>
  <c r="AS95" i="26"/>
  <c r="Z95" i="26"/>
  <c r="BD100" i="26"/>
  <c r="AO95" i="26"/>
  <c r="DQ95" i="17"/>
  <c r="DC95" i="17"/>
  <c r="CS100" i="17"/>
  <c r="CQ95" i="17"/>
  <c r="CP95" i="17"/>
  <c r="BP95" i="17"/>
  <c r="AZ95" i="17"/>
  <c r="DQ100" i="26"/>
  <c r="DO95" i="26"/>
  <c r="DJ100" i="26"/>
  <c r="DD100" i="26"/>
  <c r="DA100" i="26"/>
  <c r="CE100" i="26"/>
  <c r="CB100" i="26"/>
  <c r="BX100" i="26"/>
  <c r="BX95" i="26"/>
  <c r="BS100" i="26"/>
  <c r="BP100" i="26"/>
  <c r="AI95" i="26"/>
  <c r="AA100" i="26"/>
  <c r="DN95" i="17"/>
  <c r="DF95" i="17"/>
  <c r="DC100" i="17"/>
  <c r="DD95" i="17"/>
  <c r="DA95" i="17"/>
  <c r="CX95" i="17"/>
  <c r="CS95" i="17"/>
  <c r="CO95" i="17"/>
  <c r="CJ100" i="17"/>
  <c r="CH100" i="17"/>
  <c r="CE100" i="17"/>
  <c r="BW100" i="17"/>
  <c r="BO100" i="17"/>
  <c r="BN100" i="17"/>
  <c r="BK100" i="17"/>
  <c r="BC95" i="17"/>
  <c r="BA100" i="17"/>
  <c r="AZ100" i="17"/>
  <c r="AW100" i="17"/>
  <c r="AT95" i="17"/>
  <c r="DU95" i="26"/>
  <c r="DS95" i="26"/>
  <c r="DI100" i="26"/>
  <c r="CZ100" i="26"/>
  <c r="CT95" i="26"/>
  <c r="CM100" i="26"/>
  <c r="CI100" i="26"/>
  <c r="CF95" i="26"/>
  <c r="BR100" i="26"/>
  <c r="AS100" i="26"/>
  <c r="BI100" i="26"/>
  <c r="AQ100" i="26"/>
  <c r="AM100" i="26"/>
  <c r="DU95" i="17"/>
  <c r="DR95" i="17"/>
  <c r="DL100" i="17"/>
  <c r="CU95" i="17"/>
  <c r="CP100" i="17"/>
  <c r="CM100" i="17"/>
  <c r="CD95" i="17"/>
  <c r="CC100" i="17"/>
  <c r="BT100" i="17"/>
  <c r="BO95" i="17"/>
  <c r="BM95" i="17"/>
  <c r="BK95" i="17"/>
  <c r="BI100" i="17"/>
  <c r="BH100" i="17"/>
  <c r="BE100" i="17"/>
  <c r="AS100" i="17"/>
  <c r="AR95" i="17"/>
  <c r="AQ100" i="17"/>
  <c r="AO100" i="17"/>
  <c r="DM100" i="26"/>
  <c r="DI95" i="26"/>
  <c r="DC100" i="26"/>
  <c r="DB100" i="26"/>
  <c r="CY95" i="26"/>
  <c r="CX100" i="26"/>
  <c r="CI95" i="26"/>
  <c r="CB95" i="26"/>
  <c r="CC100" i="26"/>
  <c r="CC95" i="26"/>
  <c r="BW100" i="26"/>
  <c r="BW95" i="26"/>
  <c r="BQ95" i="26"/>
  <c r="BL100" i="26"/>
  <c r="AF95" i="26"/>
  <c r="AY100" i="26"/>
  <c r="BB95" i="26"/>
  <c r="AH95" i="26"/>
  <c r="DT95" i="17"/>
  <c r="DO100" i="17"/>
  <c r="DI95" i="17"/>
  <c r="DI100" i="17"/>
  <c r="DH100" i="17"/>
  <c r="DD100" i="17"/>
  <c r="CR95" i="17"/>
  <c r="CG100" i="17"/>
  <c r="BQ100" i="17"/>
  <c r="BL100" i="17"/>
  <c r="AX95" i="17"/>
  <c r="AU95" i="17"/>
  <c r="AJ100" i="17"/>
  <c r="DT100" i="26"/>
  <c r="DP95" i="26"/>
  <c r="DK95" i="26"/>
  <c r="CY100" i="26"/>
  <c r="CV100" i="26"/>
  <c r="CW100" i="26"/>
  <c r="CP95" i="26"/>
  <c r="CO100" i="26"/>
  <c r="CJ95" i="26"/>
  <c r="CH100" i="26"/>
  <c r="CE95" i="26"/>
  <c r="BR95" i="26"/>
  <c r="BK100" i="26"/>
  <c r="AD95" i="26"/>
  <c r="AB95" i="26"/>
  <c r="AG100" i="26"/>
  <c r="BE100" i="26"/>
  <c r="AU100" i="26"/>
  <c r="BF100" i="26"/>
  <c r="DT100" i="17"/>
  <c r="DM100" i="17"/>
  <c r="DG95" i="17"/>
  <c r="DA100" i="17"/>
  <c r="CQ100" i="17"/>
  <c r="BB100" i="17"/>
  <c r="AS95" i="17"/>
  <c r="AP100" i="17"/>
  <c r="CL84" i="26"/>
  <c r="DS100" i="26"/>
  <c r="CZ95" i="26"/>
  <c r="AL95" i="26"/>
  <c r="BH95" i="26"/>
  <c r="AT100" i="26"/>
  <c r="AF100" i="26"/>
  <c r="AP100" i="26"/>
  <c r="AK95" i="26"/>
  <c r="DP100" i="17"/>
  <c r="DB95" i="17"/>
  <c r="CW95" i="17"/>
  <c r="CV95" i="17"/>
  <c r="CG95" i="17"/>
  <c r="CC95" i="17"/>
  <c r="BY95" i="17"/>
  <c r="BQ95" i="17"/>
  <c r="BL95" i="17"/>
  <c r="BG95" i="17"/>
  <c r="BF95" i="17"/>
  <c r="BD100" i="17"/>
  <c r="AV95" i="17"/>
  <c r="CQ84" i="26"/>
  <c r="DJ95" i="26"/>
  <c r="DH100" i="26"/>
  <c r="CS100" i="26"/>
  <c r="CH95" i="26"/>
  <c r="CD95" i="26"/>
  <c r="CA95" i="26"/>
  <c r="BY95" i="26"/>
  <c r="BZ100" i="26"/>
  <c r="BV95" i="26"/>
  <c r="BV100" i="26"/>
  <c r="BQ100" i="26"/>
  <c r="BN95" i="26"/>
  <c r="AK100" i="26"/>
  <c r="BC95" i="26"/>
  <c r="AN95" i="26"/>
  <c r="BG100" i="26"/>
  <c r="AC95" i="26"/>
  <c r="DK95" i="17"/>
  <c r="CN100" i="17"/>
  <c r="CK95" i="17"/>
  <c r="BW95" i="17"/>
  <c r="BT95" i="17"/>
  <c r="BS100" i="17"/>
  <c r="BF100" i="17"/>
  <c r="BB95" i="17"/>
  <c r="AX100" i="17"/>
  <c r="AR100" i="17"/>
  <c r="AO95" i="17"/>
  <c r="AK95" i="17"/>
  <c r="BZ72" i="26"/>
  <c r="CP75" i="26"/>
  <c r="AT78" i="26"/>
  <c r="CF66" i="26"/>
  <c r="BR87" i="26"/>
  <c r="DN84" i="26"/>
  <c r="AU84" i="26"/>
  <c r="BR110" i="26"/>
  <c r="BW63" i="26"/>
  <c r="BU78" i="26"/>
  <c r="AV66" i="26"/>
  <c r="CV63" i="26"/>
  <c r="AC72" i="26"/>
  <c r="AY84" i="26"/>
  <c r="AX66" i="26"/>
  <c r="CP72" i="26"/>
  <c r="AC66" i="26"/>
  <c r="Y84" i="26"/>
  <c r="DD87" i="26"/>
  <c r="CT84" i="26"/>
  <c r="DM87" i="26"/>
  <c r="BE78" i="26"/>
  <c r="DS81" i="26"/>
  <c r="BT78" i="26"/>
  <c r="AF81" i="26"/>
  <c r="DT66" i="26"/>
  <c r="BX110" i="26"/>
  <c r="CC75" i="26"/>
  <c r="BO84" i="26"/>
  <c r="CS69" i="26"/>
  <c r="CW81" i="26"/>
  <c r="AO78" i="26"/>
  <c r="CD84" i="26"/>
  <c r="BO87" i="26"/>
  <c r="DR66" i="26"/>
  <c r="CC66" i="26"/>
  <c r="DH84" i="26"/>
  <c r="AA87" i="26"/>
  <c r="AD66" i="26"/>
  <c r="BI69" i="26"/>
  <c r="AX87" i="26"/>
  <c r="BS72" i="26"/>
  <c r="BA87" i="26"/>
  <c r="BU63" i="26"/>
  <c r="CI78" i="26"/>
  <c r="BF69" i="26"/>
  <c r="CY63" i="26"/>
  <c r="BS66" i="26"/>
  <c r="DA63" i="26"/>
  <c r="BG66" i="26"/>
  <c r="BM78" i="26"/>
  <c r="CW87" i="26"/>
  <c r="BJ72" i="26"/>
  <c r="DO84" i="26"/>
  <c r="CZ69" i="26"/>
  <c r="V75" i="26"/>
  <c r="DR87" i="26"/>
  <c r="O72" i="26"/>
  <c r="CN72" i="26"/>
  <c r="AV72" i="26"/>
  <c r="AH84" i="26"/>
  <c r="CU72" i="26"/>
  <c r="CA75" i="26"/>
  <c r="DK87" i="26"/>
  <c r="CM63" i="26"/>
  <c r="CK69" i="26"/>
  <c r="BH66" i="26"/>
  <c r="DQ66" i="26"/>
  <c r="CG63" i="26"/>
  <c r="CD69" i="26"/>
  <c r="BK63" i="26"/>
  <c r="DU69" i="26"/>
  <c r="DA78" i="26"/>
  <c r="CL78" i="26"/>
  <c r="DU78" i="26"/>
  <c r="BB84" i="26"/>
  <c r="AQ87" i="26"/>
  <c r="CY69" i="26"/>
  <c r="BO75" i="26"/>
  <c r="AQ78" i="26"/>
  <c r="AY63" i="26"/>
  <c r="CY78" i="26"/>
  <c r="AL78" i="26"/>
  <c r="BS84" i="26"/>
  <c r="BA69" i="26"/>
  <c r="H72" i="1"/>
  <c r="J78" i="21" s="1"/>
  <c r="H42" i="1"/>
  <c r="J26" i="21" s="1"/>
  <c r="Z87" i="26"/>
  <c r="T69" i="26"/>
  <c r="R63" i="26"/>
  <c r="AW81" i="26"/>
  <c r="CO87" i="26"/>
  <c r="BV78" i="26"/>
  <c r="AA69" i="26"/>
  <c r="BQ75" i="26"/>
  <c r="CG87" i="26"/>
  <c r="CX110" i="26"/>
  <c r="BZ75" i="26"/>
  <c r="BQ69" i="26"/>
  <c r="BA84" i="26"/>
  <c r="AO66" i="26"/>
  <c r="BX72" i="26"/>
  <c r="BN75" i="26"/>
  <c r="DK72" i="26"/>
  <c r="AC78" i="26"/>
  <c r="BB78" i="26"/>
  <c r="BU66" i="26"/>
  <c r="BE87" i="26"/>
  <c r="DQ63" i="26"/>
  <c r="CH78" i="26"/>
  <c r="CG69" i="26"/>
  <c r="CT66" i="26"/>
  <c r="AD87" i="26"/>
  <c r="CV87" i="26"/>
  <c r="DF72" i="26"/>
  <c r="BE66" i="26"/>
  <c r="AU72" i="26"/>
  <c r="DL81" i="26"/>
  <c r="DB72" i="26"/>
  <c r="J246" i="11"/>
  <c r="EQ247" i="11"/>
  <c r="AO81" i="26"/>
  <c r="AI66" i="26"/>
  <c r="DB81" i="26"/>
  <c r="BT66" i="26"/>
  <c r="CA78" i="26"/>
  <c r="BJ69" i="26"/>
  <c r="DM72" i="26"/>
  <c r="DK69" i="26"/>
  <c r="AI84" i="26"/>
  <c r="DQ78" i="26"/>
  <c r="CX84" i="26"/>
  <c r="AA75" i="26"/>
  <c r="BY78" i="26"/>
  <c r="BY69" i="26"/>
  <c r="CB81" i="26"/>
  <c r="BY72" i="26"/>
  <c r="BE69" i="26"/>
  <c r="DD84" i="26"/>
  <c r="CM87" i="26"/>
  <c r="BV66" i="26"/>
  <c r="DO78" i="26"/>
  <c r="AE72" i="26"/>
  <c r="AM66" i="26"/>
  <c r="AI72" i="26"/>
  <c r="BK78" i="26"/>
  <c r="BM66" i="26"/>
  <c r="BL87" i="26"/>
  <c r="DV110" i="26"/>
  <c r="AA84" i="26"/>
  <c r="DT78" i="26"/>
  <c r="Z69" i="26"/>
  <c r="J250" i="11"/>
  <c r="EQ251" i="11"/>
  <c r="J251" i="11" s="1"/>
  <c r="CM110" i="26"/>
  <c r="CB69" i="26"/>
  <c r="DI66" i="26"/>
  <c r="DU84" i="26"/>
  <c r="R72" i="26"/>
  <c r="CF78" i="26"/>
  <c r="DR69" i="26"/>
  <c r="DF63" i="26"/>
  <c r="AC81" i="26"/>
  <c r="N75" i="26"/>
  <c r="Z78" i="26"/>
  <c r="DJ75" i="26"/>
  <c r="BQ66" i="26"/>
  <c r="DV63" i="26"/>
  <c r="AG75" i="26"/>
  <c r="DG44" i="26"/>
  <c r="CH87" i="26"/>
  <c r="AH66" i="26"/>
  <c r="BV84" i="26"/>
  <c r="CR66" i="26"/>
  <c r="O69" i="26"/>
  <c r="DU81" i="26"/>
  <c r="BH81" i="26"/>
  <c r="AJ72" i="26"/>
  <c r="DD75" i="26"/>
  <c r="BZ69" i="26"/>
  <c r="BK81" i="26"/>
  <c r="DR75" i="26"/>
  <c r="DG110" i="26"/>
  <c r="AJ81" i="26"/>
  <c r="S69" i="26"/>
  <c r="BR81" i="26"/>
  <c r="AK63" i="26"/>
  <c r="CZ63" i="26"/>
  <c r="DV72" i="26"/>
  <c r="CW66" i="26"/>
  <c r="DM63" i="26"/>
  <c r="AF78" i="26"/>
  <c r="AR87" i="26"/>
  <c r="BQ84" i="26"/>
  <c r="AN63" i="26"/>
  <c r="BI72" i="26"/>
  <c r="BC72" i="26"/>
  <c r="CG66" i="26"/>
  <c r="CJ69" i="26"/>
  <c r="BP63" i="26"/>
  <c r="DJ84" i="26"/>
  <c r="BT69" i="26"/>
  <c r="AK81" i="26"/>
  <c r="CM66" i="26"/>
  <c r="DP72" i="26"/>
  <c r="AR66" i="26"/>
  <c r="S63" i="26"/>
  <c r="P72" i="26"/>
  <c r="AC63" i="26"/>
  <c r="AU63" i="26"/>
  <c r="DK63" i="26"/>
  <c r="BI78" i="26"/>
  <c r="AG81" i="26"/>
  <c r="DH81" i="26"/>
  <c r="BN63" i="26"/>
  <c r="CZ87" i="26"/>
  <c r="DV84" i="26"/>
  <c r="CV81" i="26"/>
  <c r="CY87" i="26"/>
  <c r="BE81" i="26"/>
  <c r="CJ84" i="26"/>
  <c r="BZ78" i="26"/>
  <c r="DA84" i="26"/>
  <c r="DO75" i="26"/>
  <c r="Z75" i="26"/>
  <c r="DB78" i="26"/>
  <c r="BY84" i="26"/>
  <c r="DC81" i="26"/>
  <c r="BV81" i="26"/>
  <c r="P63" i="26"/>
  <c r="CG78" i="26"/>
  <c r="BL75" i="26"/>
  <c r="CF63" i="26"/>
  <c r="CW84" i="26"/>
  <c r="CZ81" i="26"/>
  <c r="BR69" i="17"/>
  <c r="EG16" i="11"/>
  <c r="EG18" i="11" s="1"/>
  <c r="EG70" i="5" s="1"/>
  <c r="DC63" i="26"/>
  <c r="AX63" i="26"/>
  <c r="CT110" i="26"/>
  <c r="DO63" i="26"/>
  <c r="AM84" i="26"/>
  <c r="AJ84" i="26"/>
  <c r="R75" i="26"/>
  <c r="AD63" i="26"/>
  <c r="DG63" i="26"/>
  <c r="AE66" i="26"/>
  <c r="M75" i="26"/>
  <c r="AV78" i="26"/>
  <c r="CR84" i="26"/>
  <c r="DI84" i="26"/>
  <c r="DL84" i="26"/>
  <c r="DC78" i="26"/>
  <c r="AB81" i="26"/>
  <c r="CH35" i="26"/>
  <c r="CW78" i="26"/>
  <c r="BU87" i="26"/>
  <c r="DK81" i="26"/>
  <c r="AA63" i="26"/>
  <c r="DH63" i="26"/>
  <c r="CP87" i="26"/>
  <c r="BT87" i="26"/>
  <c r="DI63" i="26"/>
  <c r="AC87" i="26"/>
  <c r="CA87" i="26"/>
  <c r="BW75" i="26"/>
  <c r="O72" i="17"/>
  <c r="DE75" i="26"/>
  <c r="DA66" i="26"/>
  <c r="DK75" i="26"/>
  <c r="CM84" i="26"/>
  <c r="CQ72" i="26"/>
  <c r="AP69" i="26"/>
  <c r="Y72" i="26"/>
  <c r="CF69" i="26"/>
  <c r="BW69" i="26"/>
  <c r="BK72" i="26"/>
  <c r="N69" i="26"/>
  <c r="BT84" i="26"/>
  <c r="DT63" i="26"/>
  <c r="DV66" i="26"/>
  <c r="AE78" i="26"/>
  <c r="N72" i="26"/>
  <c r="BR35" i="26"/>
  <c r="AE84" i="26"/>
  <c r="AN69" i="26"/>
  <c r="DM110" i="26"/>
  <c r="DU110" i="26"/>
  <c r="DV81" i="26"/>
  <c r="BJ87" i="26"/>
  <c r="AP63" i="26"/>
  <c r="CL63" i="26"/>
  <c r="DO72" i="26"/>
  <c r="DJ78" i="26"/>
  <c r="CS63" i="26"/>
  <c r="CZ72" i="26"/>
  <c r="BL110" i="26"/>
  <c r="CU78" i="26"/>
  <c r="Z66" i="26"/>
  <c r="BH87" i="26"/>
  <c r="CC110" i="26"/>
  <c r="BD87" i="26"/>
  <c r="DL78" i="26"/>
  <c r="AN75" i="26"/>
  <c r="BY87" i="26"/>
  <c r="AY78" i="26"/>
  <c r="BH78" i="26"/>
  <c r="DS87" i="26"/>
  <c r="AK87" i="26"/>
  <c r="CJ35" i="26"/>
  <c r="DQ75" i="26"/>
  <c r="CI69" i="26"/>
  <c r="AN72" i="26"/>
  <c r="AJ75" i="26"/>
  <c r="CV66" i="26"/>
  <c r="Z72" i="26"/>
  <c r="BX87" i="26"/>
  <c r="AC69" i="26"/>
  <c r="AF66" i="26"/>
  <c r="BV72" i="26"/>
  <c r="CJ75" i="26"/>
  <c r="DP10" i="26"/>
  <c r="BN110" i="26"/>
  <c r="BI63" i="26"/>
  <c r="BC75" i="26"/>
  <c r="CE69" i="26"/>
  <c r="AU87" i="26"/>
  <c r="AD72" i="26"/>
  <c r="AJ69" i="26"/>
  <c r="BL81" i="26"/>
  <c r="DT75" i="26"/>
  <c r="CI75" i="26"/>
  <c r="DL87" i="26"/>
  <c r="AZ75" i="26"/>
  <c r="CQ75" i="26"/>
  <c r="BW72" i="26"/>
  <c r="CJ87" i="26"/>
  <c r="AN110" i="26"/>
  <c r="DK78" i="26"/>
  <c r="CX66" i="26"/>
  <c r="BX75" i="26"/>
  <c r="AB84" i="26"/>
  <c r="AT69" i="26"/>
  <c r="AB75" i="26"/>
  <c r="AS69" i="26"/>
  <c r="BS75" i="26"/>
  <c r="CF81" i="26"/>
  <c r="CT69" i="26"/>
  <c r="AX75" i="26"/>
  <c r="CL72" i="26"/>
  <c r="W69" i="26"/>
  <c r="CR75" i="26"/>
  <c r="CB75" i="26"/>
  <c r="CK55" i="26"/>
  <c r="CF110" i="26"/>
  <c r="AS84" i="26"/>
  <c r="CC69" i="26"/>
  <c r="AN81" i="26"/>
  <c r="CO81" i="26"/>
  <c r="AF87" i="26"/>
  <c r="DO66" i="26"/>
  <c r="DT81" i="26"/>
  <c r="DR63" i="26"/>
  <c r="BW66" i="26"/>
  <c r="CG75" i="26"/>
  <c r="DK110" i="26"/>
  <c r="AT75" i="26"/>
  <c r="DN75" i="26"/>
  <c r="DE69" i="26"/>
  <c r="AS110" i="26"/>
  <c r="DC72" i="26"/>
  <c r="AZ78" i="26"/>
  <c r="CU66" i="26"/>
  <c r="DP66" i="26"/>
  <c r="AH35" i="26"/>
  <c r="AR69" i="26"/>
  <c r="DI69" i="26"/>
  <c r="DM81" i="26"/>
  <c r="AC84" i="26"/>
  <c r="AM69" i="26"/>
  <c r="BT90" i="26"/>
  <c r="BT118" i="26" s="1"/>
  <c r="CS90" i="26"/>
  <c r="CS118" i="26" s="1"/>
  <c r="AU90" i="26"/>
  <c r="AU118" i="26" s="1"/>
  <c r="AV55" i="26"/>
  <c r="CE105" i="26"/>
  <c r="CE125" i="26" s="1"/>
  <c r="CY55" i="26"/>
  <c r="DC29" i="26"/>
  <c r="BQ55" i="26"/>
  <c r="Z84" i="26"/>
  <c r="BA75" i="26"/>
  <c r="AI69" i="26"/>
  <c r="AQ90" i="26"/>
  <c r="AQ119" i="26" s="1"/>
  <c r="CM55" i="26"/>
  <c r="CP110" i="26"/>
  <c r="BQ78" i="26"/>
  <c r="AV84" i="26"/>
  <c r="CS72" i="26"/>
  <c r="BA55" i="26"/>
  <c r="BK87" i="26"/>
  <c r="AB110" i="26"/>
  <c r="AQ63" i="26"/>
  <c r="CF75" i="26"/>
  <c r="CX55" i="26"/>
  <c r="DU66" i="26"/>
  <c r="AI75" i="26"/>
  <c r="BD66" i="26"/>
  <c r="DF35" i="26"/>
  <c r="BM63" i="26"/>
  <c r="DJ87" i="26"/>
  <c r="BW110" i="26"/>
  <c r="BD35" i="26"/>
  <c r="BW35" i="26"/>
  <c r="CB87" i="26"/>
  <c r="AO75" i="26"/>
  <c r="CA72" i="26"/>
  <c r="AY69" i="26"/>
  <c r="AP66" i="26"/>
  <c r="AD69" i="26"/>
  <c r="BX84" i="26"/>
  <c r="AX84" i="26"/>
  <c r="AU75" i="26"/>
  <c r="DG87" i="26"/>
  <c r="BN84" i="26"/>
  <c r="BF66" i="26"/>
  <c r="DL72" i="26"/>
  <c r="DP69" i="26"/>
  <c r="AT66" i="26"/>
  <c r="DA72" i="26"/>
  <c r="DP35" i="26"/>
  <c r="CN84" i="26"/>
  <c r="BF63" i="26"/>
  <c r="BX69" i="26"/>
  <c r="CW63" i="26"/>
  <c r="AB69" i="26"/>
  <c r="CQ63" i="26"/>
  <c r="BD78" i="26"/>
  <c r="CK72" i="26"/>
  <c r="BM35" i="26"/>
  <c r="DH78" i="26"/>
  <c r="DV78" i="26"/>
  <c r="Z63" i="26"/>
  <c r="CB84" i="26"/>
  <c r="DE87" i="26"/>
  <c r="BN66" i="26"/>
  <c r="BG72" i="26"/>
  <c r="S75" i="26"/>
  <c r="CI35" i="26"/>
  <c r="CO63" i="26"/>
  <c r="AY66" i="26"/>
  <c r="CO69" i="26"/>
  <c r="X75" i="26"/>
  <c r="AY81" i="26"/>
  <c r="BJ110" i="26"/>
  <c r="BA72" i="26"/>
  <c r="DB87" i="26"/>
  <c r="AE75" i="26"/>
  <c r="AF110" i="26"/>
  <c r="BQ10" i="26"/>
  <c r="DH87" i="26"/>
  <c r="DN81" i="26"/>
  <c r="BU84" i="26"/>
  <c r="AV75" i="26"/>
  <c r="AN78" i="26"/>
  <c r="DM75" i="26"/>
  <c r="DG78" i="26"/>
  <c r="AR72" i="26"/>
  <c r="AQ84" i="26"/>
  <c r="CD72" i="26"/>
  <c r="DU17" i="26"/>
  <c r="CQ17" i="26"/>
  <c r="BO55" i="26"/>
  <c r="DT69" i="26"/>
  <c r="DL55" i="26"/>
  <c r="AT72" i="26"/>
  <c r="BR78" i="26"/>
  <c r="CS84" i="26"/>
  <c r="DB75" i="26"/>
  <c r="CU63" i="26"/>
  <c r="AW55" i="26"/>
  <c r="BV87" i="26"/>
  <c r="CT63" i="26"/>
  <c r="BO17" i="26"/>
  <c r="CE87" i="26"/>
  <c r="BC78" i="26"/>
  <c r="CD81" i="26"/>
  <c r="AD35" i="26"/>
  <c r="BQ35" i="26"/>
  <c r="BB75" i="26"/>
  <c r="R69" i="26"/>
  <c r="CW72" i="26"/>
  <c r="BJ75" i="26"/>
  <c r="AA66" i="26"/>
  <c r="AG84" i="26"/>
  <c r="BV69" i="26"/>
  <c r="CG81" i="26"/>
  <c r="CI87" i="26"/>
  <c r="BL63" i="26"/>
  <c r="DM69" i="26"/>
  <c r="DE63" i="26"/>
  <c r="CV78" i="26"/>
  <c r="DP110" i="26"/>
  <c r="BP69" i="26"/>
  <c r="BP87" i="26"/>
  <c r="BA66" i="26"/>
  <c r="DU72" i="26"/>
  <c r="BF81" i="26"/>
  <c r="BQ87" i="26"/>
  <c r="CE29" i="26"/>
  <c r="CN110" i="26"/>
  <c r="AI35" i="26"/>
  <c r="AH63" i="26"/>
  <c r="CQ78" i="26"/>
  <c r="CV35" i="26"/>
  <c r="DE84" i="26"/>
  <c r="DM66" i="26"/>
  <c r="AD110" i="26"/>
  <c r="CK75" i="26"/>
  <c r="DQ81" i="26"/>
  <c r="CU69" i="26"/>
  <c r="AF75" i="26"/>
  <c r="Q63" i="26"/>
  <c r="DT29" i="26"/>
  <c r="CZ55" i="26"/>
  <c r="AX29" i="26"/>
  <c r="AN55" i="26"/>
  <c r="CO29" i="26"/>
  <c r="CT29" i="26"/>
  <c r="DG55" i="26"/>
  <c r="AG55" i="26"/>
  <c r="CW55" i="26"/>
  <c r="DR29" i="26"/>
  <c r="AO29" i="26"/>
  <c r="AM29" i="26"/>
  <c r="BA29" i="26"/>
  <c r="BR55" i="26"/>
  <c r="CP55" i="26"/>
  <c r="AZ105" i="26"/>
  <c r="AZ124" i="26" s="1"/>
  <c r="BN29" i="26"/>
  <c r="DF29" i="26"/>
  <c r="AT55" i="26"/>
  <c r="BU29" i="26"/>
  <c r="AB29" i="26"/>
  <c r="CS29" i="26"/>
  <c r="CM29" i="26"/>
  <c r="BK55" i="26"/>
  <c r="CZ29" i="26"/>
  <c r="BE55" i="26"/>
  <c r="DN29" i="26"/>
  <c r="CJ105" i="26"/>
  <c r="CJ124" i="26" s="1"/>
  <c r="BE10" i="26"/>
  <c r="BA105" i="26"/>
  <c r="BA125" i="26" s="1"/>
  <c r="BA90" i="26"/>
  <c r="BA119" i="26" s="1"/>
  <c r="BG50" i="26"/>
  <c r="BK105" i="26"/>
  <c r="BK125" i="26" s="1"/>
  <c r="CL105" i="26"/>
  <c r="CL124" i="26" s="1"/>
  <c r="AN90" i="26"/>
  <c r="AN118" i="26" s="1"/>
  <c r="AU10" i="26"/>
  <c r="DP17" i="26"/>
  <c r="DV10" i="26"/>
  <c r="BR105" i="26"/>
  <c r="BR124" i="26" s="1"/>
  <c r="CI10" i="26"/>
  <c r="BE17" i="26"/>
  <c r="CL50" i="26"/>
  <c r="BH44" i="26"/>
  <c r="DT90" i="26"/>
  <c r="DT119" i="26" s="1"/>
  <c r="AN50" i="26"/>
  <c r="CS44" i="26"/>
  <c r="BV44" i="26"/>
  <c r="DR10" i="26"/>
  <c r="BB90" i="26"/>
  <c r="BB119" i="26" s="1"/>
  <c r="DE105" i="26"/>
  <c r="DE125" i="26" s="1"/>
  <c r="BZ105" i="26"/>
  <c r="BZ124" i="26" s="1"/>
  <c r="DH10" i="26"/>
  <c r="CQ105" i="26"/>
  <c r="CQ125" i="26" s="1"/>
  <c r="DA44" i="26"/>
  <c r="BG44" i="26"/>
  <c r="AK50" i="26"/>
  <c r="DE50" i="26"/>
  <c r="CY90" i="26"/>
  <c r="CY118" i="26" s="1"/>
  <c r="BD10" i="26"/>
  <c r="DU105" i="26"/>
  <c r="DU124" i="26" s="1"/>
  <c r="CD10" i="26"/>
  <c r="CU44" i="26"/>
  <c r="DJ105" i="26"/>
  <c r="DJ125" i="26" s="1"/>
  <c r="AL50" i="26"/>
  <c r="CT105" i="26"/>
  <c r="CT124" i="26" s="1"/>
  <c r="AZ44" i="26"/>
  <c r="BM10" i="26"/>
  <c r="CL44" i="26"/>
  <c r="AL90" i="26"/>
  <c r="AL118" i="26" s="1"/>
  <c r="BK17" i="26"/>
  <c r="AT50" i="26"/>
  <c r="AU44" i="26"/>
  <c r="DK50" i="26"/>
  <c r="BQ50" i="26"/>
  <c r="CD50" i="26"/>
  <c r="BJ105" i="26"/>
  <c r="BJ125" i="26" s="1"/>
  <c r="DU90" i="26"/>
  <c r="DU119" i="26" s="1"/>
  <c r="BK44" i="26"/>
  <c r="DC10" i="26"/>
  <c r="DV105" i="26"/>
  <c r="DV125" i="26" s="1"/>
  <c r="BD44" i="26"/>
  <c r="BZ10" i="26"/>
  <c r="CT50" i="26"/>
  <c r="BL50" i="26"/>
  <c r="DD44" i="26"/>
  <c r="AX44" i="26"/>
  <c r="DJ50" i="26"/>
  <c r="CV90" i="26"/>
  <c r="CV119" i="26" s="1"/>
  <c r="BB50" i="26"/>
  <c r="AJ50" i="26"/>
  <c r="DO105" i="26"/>
  <c r="DO124" i="26" s="1"/>
  <c r="CL10" i="26"/>
  <c r="DV44" i="26"/>
  <c r="BQ105" i="26"/>
  <c r="BQ124" i="26" s="1"/>
  <c r="CZ44" i="26"/>
  <c r="BX44" i="26"/>
  <c r="AW105" i="26"/>
  <c r="AW125" i="26" s="1"/>
  <c r="BU10" i="26"/>
  <c r="DF50" i="26"/>
  <c r="DP44" i="26"/>
  <c r="BR50" i="26"/>
  <c r="BA50" i="26"/>
  <c r="AP90" i="26"/>
  <c r="AP118" i="26" s="1"/>
  <c r="CS17" i="26"/>
  <c r="BP17" i="26"/>
  <c r="CO50" i="26"/>
  <c r="DV50" i="26"/>
  <c r="BM105" i="26"/>
  <c r="BM125" i="26" s="1"/>
  <c r="BC105" i="26"/>
  <c r="BC124" i="26" s="1"/>
  <c r="DM44" i="26"/>
  <c r="CY44" i="26"/>
  <c r="DT105" i="26"/>
  <c r="DT124" i="26" s="1"/>
  <c r="BN90" i="26"/>
  <c r="BN118" i="26" s="1"/>
  <c r="DJ10" i="26"/>
  <c r="DG105" i="26"/>
  <c r="DG125" i="26" s="1"/>
  <c r="BI10" i="26"/>
  <c r="CI50" i="26"/>
  <c r="DN90" i="26"/>
  <c r="DN118" i="26" s="1"/>
  <c r="DD10" i="26"/>
  <c r="DD90" i="26"/>
  <c r="DD119" i="26" s="1"/>
  <c r="BB10" i="26"/>
  <c r="CF90" i="26"/>
  <c r="CF119" i="26" s="1"/>
  <c r="AO105" i="26"/>
  <c r="AO125" i="26" s="1"/>
  <c r="DJ17" i="26"/>
  <c r="CY17" i="26"/>
  <c r="CM105" i="26"/>
  <c r="CM125" i="26" s="1"/>
  <c r="AO44" i="26"/>
  <c r="BE50" i="26"/>
  <c r="AY105" i="26"/>
  <c r="AY125" i="26" s="1"/>
  <c r="BU105" i="26"/>
  <c r="BS35" i="26"/>
  <c r="CN10" i="26"/>
  <c r="AA71" i="5"/>
  <c r="BL90" i="26"/>
  <c r="BL119" i="26" s="1"/>
  <c r="DM17" i="26"/>
  <c r="DH75" i="26"/>
  <c r="DN44" i="26"/>
  <c r="DO17" i="26"/>
  <c r="AI27" i="17"/>
  <c r="M27" i="26"/>
  <c r="E166" i="32" s="1"/>
  <c r="C166" i="32" s="1"/>
  <c r="X27" i="26"/>
  <c r="J20" i="26"/>
  <c r="AO10" i="26"/>
  <c r="DI17" i="26"/>
  <c r="CB17" i="26"/>
  <c r="AW50" i="26"/>
  <c r="CZ110" i="26"/>
  <c r="BO29" i="26"/>
  <c r="BS17" i="26"/>
  <c r="CE10" i="26"/>
  <c r="J38" i="26"/>
  <c r="CC105" i="26"/>
  <c r="DB35" i="26"/>
  <c r="CM10" i="26"/>
  <c r="CX17" i="26"/>
  <c r="BG105" i="26"/>
  <c r="BG125" i="26" s="1"/>
  <c r="AV35" i="26"/>
  <c r="M71" i="26"/>
  <c r="M69" i="26" s="1"/>
  <c r="X71" i="26"/>
  <c r="X69" i="26" s="1"/>
  <c r="BY110" i="26"/>
  <c r="CK105" i="26"/>
  <c r="CW10" i="26"/>
  <c r="CC29" i="26"/>
  <c r="AB35" i="26"/>
  <c r="AJ10" i="26"/>
  <c r="BJ90" i="26"/>
  <c r="BJ119" i="26" s="1"/>
  <c r="J30" i="26"/>
  <c r="CG105" i="26"/>
  <c r="CW29" i="26"/>
  <c r="AI74" i="17"/>
  <c r="AI72" i="17" s="1"/>
  <c r="M74" i="26"/>
  <c r="M72" i="26" s="1"/>
  <c r="X74" i="26"/>
  <c r="X72" i="26" s="1"/>
  <c r="L75" i="26"/>
  <c r="J76" i="26"/>
  <c r="DS105" i="26"/>
  <c r="CD55" i="26"/>
  <c r="BF17" i="26"/>
  <c r="BZ17" i="26"/>
  <c r="AP10" i="26"/>
  <c r="BB110" i="26"/>
  <c r="CX10" i="26"/>
  <c r="BD17" i="26"/>
  <c r="BH10" i="26"/>
  <c r="AT81" i="26"/>
  <c r="BF29" i="26"/>
  <c r="BA17" i="26"/>
  <c r="CF44" i="26"/>
  <c r="AG35" i="26"/>
  <c r="AJ55" i="26"/>
  <c r="AJ35" i="26"/>
  <c r="DQ90" i="26"/>
  <c r="CC63" i="26"/>
  <c r="CB50" i="26"/>
  <c r="CP90" i="26"/>
  <c r="AS90" i="26"/>
  <c r="CV55" i="26"/>
  <c r="CH75" i="26"/>
  <c r="DP50" i="26"/>
  <c r="CZ90" i="26"/>
  <c r="BI35" i="26"/>
  <c r="Y35" i="26"/>
  <c r="DD78" i="26"/>
  <c r="DJ29" i="26"/>
  <c r="DF105" i="26"/>
  <c r="DQ35" i="26"/>
  <c r="AH69" i="26"/>
  <c r="P69" i="26"/>
  <c r="CW50" i="26"/>
  <c r="BP55" i="26"/>
  <c r="BE35" i="26"/>
  <c r="BI50" i="26"/>
  <c r="BL44" i="26"/>
  <c r="DH17" i="26"/>
  <c r="DF87" i="26"/>
  <c r="BL10" i="26"/>
  <c r="AS81" i="26"/>
  <c r="CF29" i="26"/>
  <c r="DF69" i="26"/>
  <c r="BW90" i="26"/>
  <c r="DV87" i="26"/>
  <c r="DF55" i="26"/>
  <c r="CS55" i="26"/>
  <c r="CN50" i="26"/>
  <c r="DS29" i="26"/>
  <c r="DB69" i="26"/>
  <c r="BC81" i="26"/>
  <c r="DV75" i="26"/>
  <c r="DK66" i="26"/>
  <c r="DL35" i="26"/>
  <c r="BS29" i="26"/>
  <c r="DT55" i="26"/>
  <c r="DE44" i="26"/>
  <c r="AY29" i="26"/>
  <c r="BY63" i="26"/>
  <c r="CJ10" i="26"/>
  <c r="AE69" i="26"/>
  <c r="DO50" i="26"/>
  <c r="CG84" i="26"/>
  <c r="DL29" i="26"/>
  <c r="BC17" i="26"/>
  <c r="DN50" i="26"/>
  <c r="AY110" i="26"/>
  <c r="CB10" i="26"/>
  <c r="BU44" i="26"/>
  <c r="AC75" i="26"/>
  <c r="BC66" i="26"/>
  <c r="DI72" i="26"/>
  <c r="CJ110" i="26"/>
  <c r="AR10" i="26"/>
  <c r="AQ105" i="26"/>
  <c r="CP35" i="26"/>
  <c r="AW66" i="26"/>
  <c r="BG87" i="26"/>
  <c r="BJ81" i="26"/>
  <c r="CS50" i="26"/>
  <c r="BS10" i="26"/>
  <c r="BM81" i="26"/>
  <c r="DU55" i="26"/>
  <c r="CV75" i="26"/>
  <c r="DV69" i="26"/>
  <c r="DS72" i="26"/>
  <c r="CP44" i="26"/>
  <c r="CH110" i="26"/>
  <c r="CN63" i="26"/>
  <c r="CE35" i="26"/>
  <c r="DS66" i="26"/>
  <c r="DN55" i="26"/>
  <c r="AR29" i="26"/>
  <c r="AA78" i="26"/>
  <c r="BJ44" i="26"/>
  <c r="DB84" i="26"/>
  <c r="DJ63" i="26"/>
  <c r="CX29" i="26"/>
  <c r="AB72" i="26"/>
  <c r="DI35" i="26"/>
  <c r="T75" i="26"/>
  <c r="AU35" i="26"/>
  <c r="BZ66" i="26"/>
  <c r="CV29" i="26"/>
  <c r="DV29" i="26"/>
  <c r="CN66" i="26"/>
  <c r="CC17" i="26"/>
  <c r="CQ44" i="26"/>
  <c r="CA35" i="26"/>
  <c r="CY105" i="26"/>
  <c r="BP44" i="26"/>
  <c r="DU63" i="26"/>
  <c r="BW105" i="26"/>
  <c r="CA44" i="26"/>
  <c r="DU87" i="26"/>
  <c r="DN69" i="26"/>
  <c r="CF87" i="26"/>
  <c r="CP78" i="26"/>
  <c r="AQ44" i="26"/>
  <c r="BB17" i="26"/>
  <c r="CS81" i="26"/>
  <c r="BL29" i="26"/>
  <c r="CK44" i="26"/>
  <c r="U69" i="26"/>
  <c r="CH72" i="26"/>
  <c r="CN55" i="26"/>
  <c r="CT55" i="26"/>
  <c r="BZ81" i="26"/>
  <c r="L84" i="26"/>
  <c r="J85" i="26"/>
  <c r="CA55" i="26"/>
  <c r="BH29" i="26"/>
  <c r="DA87" i="26"/>
  <c r="DV90" i="26"/>
  <c r="DV55" i="26"/>
  <c r="DL17" i="26"/>
  <c r="DK90" i="26"/>
  <c r="DR35" i="26"/>
  <c r="BS105" i="26"/>
  <c r="BY17" i="26"/>
  <c r="CB44" i="26"/>
  <c r="AK90" i="26"/>
  <c r="BA81" i="26"/>
  <c r="BV17" i="26"/>
  <c r="BR84" i="26"/>
  <c r="AL63" i="26"/>
  <c r="AI55" i="26"/>
  <c r="CS105" i="26"/>
  <c r="CW44" i="26"/>
  <c r="CQ55" i="26"/>
  <c r="CC81" i="26"/>
  <c r="CF50" i="26"/>
  <c r="DJ35" i="26"/>
  <c r="BY29" i="26"/>
  <c r="BI110" i="26"/>
  <c r="DH66" i="26"/>
  <c r="CX105" i="26"/>
  <c r="DL105" i="26"/>
  <c r="AK78" i="26"/>
  <c r="CU55" i="26"/>
  <c r="CO10" i="26"/>
  <c r="AV105" i="26"/>
  <c r="AV124" i="26" s="1"/>
  <c r="BM17" i="26"/>
  <c r="DF110" i="26"/>
  <c r="BY55" i="26"/>
  <c r="CM72" i="26"/>
  <c r="BC10" i="26"/>
  <c r="BV55" i="26"/>
  <c r="BP105" i="26"/>
  <c r="BP124" i="26" s="1"/>
  <c r="BF87" i="26"/>
  <c r="AA110" i="26"/>
  <c r="AK84" i="26"/>
  <c r="CM50" i="26"/>
  <c r="CO17" i="26"/>
  <c r="AF29" i="26"/>
  <c r="BK110" i="26"/>
  <c r="DB90" i="26"/>
  <c r="BD90" i="26"/>
  <c r="BP75" i="26"/>
  <c r="DR44" i="26"/>
  <c r="BR10" i="26"/>
  <c r="BV110" i="26"/>
  <c r="CH17" i="26"/>
  <c r="DC105" i="26"/>
  <c r="DK55" i="26"/>
  <c r="AX35" i="26"/>
  <c r="DA17" i="26"/>
  <c r="AK35" i="26"/>
  <c r="CE75" i="26"/>
  <c r="CR63" i="26"/>
  <c r="BG110" i="26"/>
  <c r="AY44" i="26"/>
  <c r="AI81" i="26"/>
  <c r="BZ84" i="26"/>
  <c r="AF63" i="26"/>
  <c r="BZ35" i="26"/>
  <c r="AJ29" i="26"/>
  <c r="AW87" i="26"/>
  <c r="AO17" i="26"/>
  <c r="BR72" i="26"/>
  <c r="DJ81" i="26"/>
  <c r="CJ50" i="26"/>
  <c r="BT110" i="26"/>
  <c r="CE50" i="26"/>
  <c r="BZ44" i="26"/>
  <c r="AO35" i="26"/>
  <c r="BG17" i="26"/>
  <c r="DS17" i="26"/>
  <c r="BG55" i="26"/>
  <c r="CA90" i="26"/>
  <c r="CE84" i="26"/>
  <c r="CL35" i="26"/>
  <c r="DA105" i="26"/>
  <c r="DJ44" i="26"/>
  <c r="CM69" i="26"/>
  <c r="BJ29" i="26"/>
  <c r="DT35" i="26"/>
  <c r="AP75" i="26"/>
  <c r="AT84" i="26"/>
  <c r="AX55" i="26"/>
  <c r="O75" i="26"/>
  <c r="CH29" i="26"/>
  <c r="AK66" i="26"/>
  <c r="CG55" i="26"/>
  <c r="DQ84" i="26"/>
  <c r="CX72" i="26"/>
  <c r="CS66" i="26"/>
  <c r="DF44" i="26"/>
  <c r="DF10" i="26"/>
  <c r="DI55" i="26"/>
  <c r="CJ44" i="26"/>
  <c r="AM75" i="26"/>
  <c r="CD75" i="26"/>
  <c r="L69" i="26"/>
  <c r="J70" i="26"/>
  <c r="DT72" i="26"/>
  <c r="CI105" i="26"/>
  <c r="W72" i="26"/>
  <c r="BV63" i="26"/>
  <c r="BU50" i="26"/>
  <c r="BK50" i="26"/>
  <c r="AY10" i="26"/>
  <c r="CH44" i="26"/>
  <c r="AM90" i="26"/>
  <c r="CI44" i="26"/>
  <c r="DC17" i="26"/>
  <c r="DD110" i="26"/>
  <c r="AR105" i="26"/>
  <c r="BW44" i="26"/>
  <c r="BK84" i="26"/>
  <c r="CJ55" i="26"/>
  <c r="CY81" i="26"/>
  <c r="CL69" i="26"/>
  <c r="AW29" i="26"/>
  <c r="AH55" i="26"/>
  <c r="DH72" i="26"/>
  <c r="CH81" i="26"/>
  <c r="BQ29" i="26"/>
  <c r="Y63" i="26"/>
  <c r="CS78" i="26"/>
  <c r="DS50" i="26"/>
  <c r="DP55" i="26"/>
  <c r="BX90" i="26"/>
  <c r="DP90" i="26"/>
  <c r="CE63" i="26"/>
  <c r="AS75" i="26"/>
  <c r="BZ29" i="26"/>
  <c r="CX63" i="26"/>
  <c r="DP84" i="26"/>
  <c r="AM72" i="26"/>
  <c r="CG72" i="26"/>
  <c r="CZ35" i="26"/>
  <c r="CS87" i="26"/>
  <c r="AW35" i="26"/>
  <c r="BO72" i="26"/>
  <c r="CA17" i="26"/>
  <c r="AT110" i="26"/>
  <c r="BK75" i="26"/>
  <c r="BI66" i="26"/>
  <c r="AZ110" i="26"/>
  <c r="CQ81" i="26"/>
  <c r="CV105" i="26"/>
  <c r="CV44" i="26"/>
  <c r="DN87" i="26"/>
  <c r="Z110" i="26"/>
  <c r="BN72" i="26"/>
  <c r="BF55" i="26"/>
  <c r="Y55" i="26"/>
  <c r="BJ55" i="26"/>
  <c r="CM75" i="26"/>
  <c r="Q72" i="26"/>
  <c r="BD63" i="26"/>
  <c r="AO84" i="26"/>
  <c r="AN35" i="26"/>
  <c r="J77" i="26"/>
  <c r="AP35" i="26"/>
  <c r="BB105" i="26"/>
  <c r="DG72" i="26"/>
  <c r="AX17" i="26"/>
  <c r="CZ50" i="26"/>
  <c r="DK17" i="26"/>
  <c r="AC55" i="26"/>
  <c r="P75" i="26"/>
  <c r="BD72" i="26"/>
  <c r="AI110" i="26"/>
  <c r="DE81" i="26"/>
  <c r="AZ87" i="26"/>
  <c r="BM84" i="26"/>
  <c r="DA90" i="26"/>
  <c r="AM81" i="26"/>
  <c r="CR69" i="26"/>
  <c r="CR105" i="26"/>
  <c r="AK105" i="26"/>
  <c r="AK124" i="26" s="1"/>
  <c r="DQ17" i="26"/>
  <c r="J114" i="26"/>
  <c r="Z29" i="26"/>
  <c r="AM55" i="26"/>
  <c r="BE75" i="26"/>
  <c r="BZ110" i="26"/>
  <c r="AL17" i="26"/>
  <c r="CC87" i="26"/>
  <c r="DI10" i="26"/>
  <c r="CG10" i="26"/>
  <c r="AX90" i="26"/>
  <c r="AX119" i="26" s="1"/>
  <c r="BU17" i="26"/>
  <c r="AE110" i="26"/>
  <c r="J37" i="26"/>
  <c r="BB29" i="26"/>
  <c r="BT35" i="26"/>
  <c r="BW81" i="26"/>
  <c r="CI29" i="26"/>
  <c r="AF55" i="26"/>
  <c r="CM78" i="26"/>
  <c r="DG50" i="26"/>
  <c r="AR44" i="26"/>
  <c r="AP55" i="26"/>
  <c r="DH69" i="26"/>
  <c r="BO69" i="26"/>
  <c r="BZ50" i="26"/>
  <c r="BX17" i="26"/>
  <c r="CJ66" i="26"/>
  <c r="CS110" i="26"/>
  <c r="DQ72" i="26"/>
  <c r="CH105" i="26"/>
  <c r="DA69" i="26"/>
  <c r="DQ44" i="26"/>
  <c r="AJ63" i="26"/>
  <c r="CO110" i="26"/>
  <c r="CW105" i="26"/>
  <c r="AX110" i="26"/>
  <c r="CF105" i="26"/>
  <c r="BX81" i="26"/>
  <c r="AX78" i="26"/>
  <c r="BS50" i="26"/>
  <c r="BV90" i="26"/>
  <c r="BE29" i="26"/>
  <c r="CZ105" i="26"/>
  <c r="BY44" i="26"/>
  <c r="BY35" i="26"/>
  <c r="DB105" i="26"/>
  <c r="CP29" i="26"/>
  <c r="BS44" i="26"/>
  <c r="DG69" i="26"/>
  <c r="CR29" i="26"/>
  <c r="AM35" i="26"/>
  <c r="AT10" i="26"/>
  <c r="BP50" i="26"/>
  <c r="DJ90" i="26"/>
  <c r="CB105" i="26"/>
  <c r="AG66" i="26"/>
  <c r="AI78" i="26"/>
  <c r="CE90" i="26"/>
  <c r="CQ69" i="26"/>
  <c r="AG110" i="26"/>
  <c r="CM44" i="26"/>
  <c r="AW69" i="26"/>
  <c r="AP50" i="26"/>
  <c r="BN105" i="26"/>
  <c r="BH84" i="26"/>
  <c r="AO63" i="26"/>
  <c r="CV69" i="26"/>
  <c r="BN81" i="26"/>
  <c r="BL35" i="26"/>
  <c r="AA81" i="26"/>
  <c r="DQ87" i="26"/>
  <c r="BE110" i="26"/>
  <c r="BT44" i="26"/>
  <c r="CO35" i="26"/>
  <c r="AS63" i="26"/>
  <c r="BJ66" i="26"/>
  <c r="DG66" i="26"/>
  <c r="DA81" i="26"/>
  <c r="AY35" i="26"/>
  <c r="CL75" i="26"/>
  <c r="BS69" i="26"/>
  <c r="DI78" i="26"/>
  <c r="DL63" i="26"/>
  <c r="AK110" i="26"/>
  <c r="AJ105" i="26"/>
  <c r="AZ69" i="26"/>
  <c r="DU44" i="26"/>
  <c r="DI110" i="26"/>
  <c r="BO110" i="26"/>
  <c r="CO72" i="26"/>
  <c r="AY50" i="26"/>
  <c r="CU29" i="26"/>
  <c r="AU110" i="26"/>
  <c r="AR35" i="26"/>
  <c r="AE55" i="26"/>
  <c r="DI105" i="26"/>
  <c r="CU50" i="26"/>
  <c r="AO87" i="26"/>
  <c r="BM55" i="26"/>
  <c r="BA78" i="26"/>
  <c r="CK29" i="26"/>
  <c r="DU10" i="26"/>
  <c r="DC50" i="26"/>
  <c r="CT72" i="26"/>
  <c r="CW69" i="26"/>
  <c r="CI63" i="26"/>
  <c r="BP110" i="26"/>
  <c r="CC50" i="26"/>
  <c r="L63" i="26"/>
  <c r="J64" i="26"/>
  <c r="DN35" i="26"/>
  <c r="CX69" i="26"/>
  <c r="Y81" i="26"/>
  <c r="DG90" i="26"/>
  <c r="BQ44" i="26"/>
  <c r="CL87" i="26"/>
  <c r="CI55" i="26"/>
  <c r="DM10" i="26"/>
  <c r="BA44" i="26"/>
  <c r="CX44" i="26"/>
  <c r="CT90" i="26"/>
  <c r="CU90" i="26"/>
  <c r="BD75" i="26"/>
  <c r="BC35" i="26"/>
  <c r="AU55" i="26"/>
  <c r="CG90" i="26"/>
  <c r="DS110" i="26"/>
  <c r="DS10" i="26"/>
  <c r="CA66" i="26"/>
  <c r="CR90" i="26"/>
  <c r="CX81" i="26"/>
  <c r="CQ110" i="26"/>
  <c r="DL110" i="26"/>
  <c r="CT35" i="26"/>
  <c r="CB110" i="26"/>
  <c r="AZ90" i="26"/>
  <c r="AZ118" i="26" s="1"/>
  <c r="BP29" i="26"/>
  <c r="DN10" i="26"/>
  <c r="AZ55" i="26"/>
  <c r="DF84" i="26"/>
  <c r="BK10" i="26"/>
  <c r="BU35" i="26"/>
  <c r="CH50" i="26"/>
  <c r="AU17" i="26"/>
  <c r="AU29" i="26"/>
  <c r="DJ55" i="26"/>
  <c r="DP75" i="26"/>
  <c r="AL69" i="26"/>
  <c r="CT75" i="26"/>
  <c r="DD66" i="26"/>
  <c r="DD55" i="26"/>
  <c r="DO90" i="26"/>
  <c r="BA63" i="26"/>
  <c r="AQ72" i="26"/>
  <c r="BB55" i="26"/>
  <c r="AV63" i="26"/>
  <c r="DE78" i="26"/>
  <c r="CZ17" i="26"/>
  <c r="BV75" i="26"/>
  <c r="BG75" i="26"/>
  <c r="AX81" i="26"/>
  <c r="BU110" i="26"/>
  <c r="CM35" i="26"/>
  <c r="BU81" i="26"/>
  <c r="O63" i="26"/>
  <c r="AB87" i="26"/>
  <c r="BH105" i="26"/>
  <c r="AP110" i="26"/>
  <c r="AT63" i="26"/>
  <c r="BR66" i="26"/>
  <c r="BZ55" i="26"/>
  <c r="AS17" i="26"/>
  <c r="AN66" i="26"/>
  <c r="BT29" i="26"/>
  <c r="BH55" i="26"/>
  <c r="BO35" i="26"/>
  <c r="BY10" i="26"/>
  <c r="BB66" i="26"/>
  <c r="BR29" i="26"/>
  <c r="AW78" i="26"/>
  <c r="AL87" i="26"/>
  <c r="CV110" i="26"/>
  <c r="AL81" i="26"/>
  <c r="BW78" i="26"/>
  <c r="AN105" i="26"/>
  <c r="BT72" i="26"/>
  <c r="CN87" i="26"/>
  <c r="AQ66" i="26"/>
  <c r="AZ29" i="26"/>
  <c r="DO44" i="26"/>
  <c r="DK29" i="26"/>
  <c r="CP81" i="26"/>
  <c r="DF81" i="26"/>
  <c r="DI87" i="26"/>
  <c r="CJ90" i="26"/>
  <c r="CO75" i="26"/>
  <c r="CX75" i="26"/>
  <c r="CE110" i="26"/>
  <c r="DF78" i="26"/>
  <c r="DK44" i="26"/>
  <c r="DL75" i="26"/>
  <c r="DG81" i="26"/>
  <c r="DJ110" i="26"/>
  <c r="CI81" i="26"/>
  <c r="CH84" i="26"/>
  <c r="DG17" i="26"/>
  <c r="CH63" i="26"/>
  <c r="AZ84" i="26"/>
  <c r="DR72" i="26"/>
  <c r="AI87" i="26"/>
  <c r="CO78" i="26"/>
  <c r="DD81" i="26"/>
  <c r="AQ55" i="26"/>
  <c r="BU72" i="26"/>
  <c r="BE105" i="26"/>
  <c r="BO63" i="26"/>
  <c r="BK35" i="26"/>
  <c r="CC10" i="26"/>
  <c r="CL110" i="26"/>
  <c r="AD55" i="26"/>
  <c r="BJ17" i="26"/>
  <c r="BM90" i="26"/>
  <c r="BM118" i="26" s="1"/>
  <c r="BN17" i="26"/>
  <c r="CY110" i="26"/>
  <c r="DD105" i="26"/>
  <c r="BF105" i="26"/>
  <c r="BF124" i="26" s="1"/>
  <c r="DR110" i="26"/>
  <c r="CL17" i="26"/>
  <c r="DI29" i="26"/>
  <c r="CF10" i="26"/>
  <c r="BI90" i="26"/>
  <c r="BI118" i="26" s="1"/>
  <c r="CN90" i="26"/>
  <c r="J18" i="26"/>
  <c r="AT17" i="26"/>
  <c r="AN10" i="26"/>
  <c r="CC55" i="26"/>
  <c r="BO10" i="26"/>
  <c r="CD78" i="26"/>
  <c r="BM29" i="26"/>
  <c r="BT17" i="26"/>
  <c r="DL66" i="26"/>
  <c r="AA35" i="26"/>
  <c r="CB55" i="26"/>
  <c r="DE29" i="26"/>
  <c r="CR10" i="26"/>
  <c r="AW90" i="26"/>
  <c r="Q75" i="26"/>
  <c r="CX78" i="26"/>
  <c r="CR55" i="26"/>
  <c r="AJ44" i="26"/>
  <c r="AN44" i="26"/>
  <c r="BN44" i="26"/>
  <c r="AE81" i="26"/>
  <c r="Y78" i="26"/>
  <c r="CK63" i="26"/>
  <c r="BW17" i="26"/>
  <c r="CN29" i="26"/>
  <c r="CF35" i="26"/>
  <c r="DS90" i="26"/>
  <c r="DH35" i="26"/>
  <c r="DP29" i="26"/>
  <c r="AV87" i="26"/>
  <c r="AI63" i="26"/>
  <c r="AU66" i="26"/>
  <c r="BP10" i="26"/>
  <c r="BH63" i="26"/>
  <c r="DB44" i="26"/>
  <c r="CA105" i="26"/>
  <c r="DC84" i="26"/>
  <c r="BM69" i="26"/>
  <c r="DG75" i="26"/>
  <c r="BI29" i="26"/>
  <c r="AS50" i="26"/>
  <c r="CE81" i="26"/>
  <c r="BR17" i="26"/>
  <c r="DG29" i="26"/>
  <c r="BF44" i="26"/>
  <c r="DU29" i="26"/>
  <c r="AP44" i="26"/>
  <c r="CY29" i="26"/>
  <c r="BH90" i="26"/>
  <c r="AR50" i="26"/>
  <c r="BB72" i="26"/>
  <c r="AE35" i="26"/>
  <c r="AV81" i="26"/>
  <c r="CA69" i="26"/>
  <c r="BS110" i="26"/>
  <c r="AK69" i="26"/>
  <c r="CU35" i="26"/>
  <c r="CB72" i="26"/>
  <c r="BO44" i="26"/>
  <c r="CC78" i="26"/>
  <c r="AQ75" i="26"/>
  <c r="AF72" i="26"/>
  <c r="AE63" i="26"/>
  <c r="S72" i="26"/>
  <c r="DT50" i="26"/>
  <c r="AS66" i="26"/>
  <c r="BE84" i="26"/>
  <c r="AO55" i="26"/>
  <c r="AW17" i="26"/>
  <c r="DH29" i="26"/>
  <c r="AT35" i="26"/>
  <c r="DR81" i="26"/>
  <c r="DH110" i="26"/>
  <c r="CC44" i="26"/>
  <c r="CS75" i="26"/>
  <c r="BI105" i="26"/>
  <c r="DN72" i="26"/>
  <c r="CU81" i="26"/>
  <c r="CK87" i="26"/>
  <c r="AV29" i="26"/>
  <c r="AB66" i="26"/>
  <c r="CY66" i="26"/>
  <c r="DO87" i="26"/>
  <c r="DU75" i="26"/>
  <c r="CQ87" i="26"/>
  <c r="BV29" i="26"/>
  <c r="AS78" i="26"/>
  <c r="BR69" i="26"/>
  <c r="BO78" i="26"/>
  <c r="DJ66" i="26"/>
  <c r="BI17" i="26"/>
  <c r="BL84" i="26"/>
  <c r="DC75" i="26"/>
  <c r="BM50" i="26"/>
  <c r="BL55" i="26"/>
  <c r="DE90" i="26"/>
  <c r="AZ66" i="26"/>
  <c r="AZ72" i="26"/>
  <c r="AF35" i="26"/>
  <c r="DD50" i="26"/>
  <c r="DJ69" i="26"/>
  <c r="CX87" i="26"/>
  <c r="AT29" i="26"/>
  <c r="DN63" i="26"/>
  <c r="CL81" i="26"/>
  <c r="CW90" i="26"/>
  <c r="AT44" i="26"/>
  <c r="DP81" i="26"/>
  <c r="BT50" i="26"/>
  <c r="CR87" i="26"/>
  <c r="CH55" i="26"/>
  <c r="AY90" i="26"/>
  <c r="AY119" i="26" s="1"/>
  <c r="BJ10" i="26"/>
  <c r="BK90" i="26"/>
  <c r="BK119" i="26" s="1"/>
  <c r="BG84" i="26"/>
  <c r="BG10" i="26"/>
  <c r="BY50" i="26"/>
  <c r="AX10" i="26"/>
  <c r="CZ66" i="26"/>
  <c r="AZ10" i="26"/>
  <c r="CP105" i="26"/>
  <c r="AM63" i="26"/>
  <c r="CQ90" i="26"/>
  <c r="L66" i="26"/>
  <c r="J67" i="26"/>
  <c r="BD29" i="26"/>
  <c r="DR17" i="26"/>
  <c r="BM72" i="26"/>
  <c r="AW44" i="26"/>
  <c r="CN105" i="26"/>
  <c r="DS84" i="26"/>
  <c r="BI55" i="26"/>
  <c r="AP78" i="26"/>
  <c r="CW17" i="26"/>
  <c r="BA35" i="26"/>
  <c r="CC90" i="26"/>
  <c r="CV50" i="26"/>
  <c r="CU110" i="26"/>
  <c r="AY87" i="26"/>
  <c r="DC44" i="26"/>
  <c r="DG84" i="26"/>
  <c r="AC35" i="26"/>
  <c r="AZ35" i="26"/>
  <c r="CO66" i="26"/>
  <c r="CV10" i="26"/>
  <c r="BD55" i="26"/>
  <c r="AP105" i="26"/>
  <c r="CJ72" i="26"/>
  <c r="CG44" i="26"/>
  <c r="CN44" i="26"/>
  <c r="CY35" i="26"/>
  <c r="CJ17" i="26"/>
  <c r="DG35" i="26"/>
  <c r="CQ29" i="26"/>
  <c r="BB35" i="26"/>
  <c r="AO110" i="26"/>
  <c r="BT75" i="26"/>
  <c r="T63" i="26"/>
  <c r="CE55" i="26"/>
  <c r="DC69" i="26"/>
  <c r="CP84" i="26"/>
  <c r="CE78" i="26"/>
  <c r="BH72" i="26"/>
  <c r="CI66" i="26"/>
  <c r="BB69" i="26"/>
  <c r="AH29" i="26"/>
  <c r="BA110" i="26"/>
  <c r="CZ84" i="26"/>
  <c r="BK66" i="26"/>
  <c r="DA35" i="26"/>
  <c r="AT87" i="26"/>
  <c r="CO105" i="26"/>
  <c r="CJ63" i="26"/>
  <c r="CQ50" i="26"/>
  <c r="DH44" i="26"/>
  <c r="CN35" i="26"/>
  <c r="AS105" i="26"/>
  <c r="DK105" i="26"/>
  <c r="CI72" i="26"/>
  <c r="BW87" i="26"/>
  <c r="CU105" i="26"/>
  <c r="CK66" i="26"/>
  <c r="CA110" i="26"/>
  <c r="AR110" i="26"/>
  <c r="CQ35" i="26"/>
  <c r="DO110" i="26"/>
  <c r="BW10" i="26"/>
  <c r="CV72" i="26"/>
  <c r="AG87" i="26"/>
  <c r="BG69" i="26"/>
  <c r="CH66" i="26"/>
  <c r="BV50" i="26"/>
  <c r="CD87" i="26"/>
  <c r="CY72" i="26"/>
  <c r="DS75" i="26"/>
  <c r="CF72" i="26"/>
  <c r="CS35" i="26"/>
  <c r="AH78" i="26"/>
  <c r="BI75" i="26"/>
  <c r="CO84" i="26"/>
  <c r="AN84" i="26"/>
  <c r="DC90" i="26"/>
  <c r="CD17" i="26"/>
  <c r="BU55" i="26"/>
  <c r="AJ110" i="26"/>
  <c r="AJ17" i="26"/>
  <c r="BR90" i="26"/>
  <c r="DL50" i="26"/>
  <c r="AM87" i="26"/>
  <c r="BH50" i="26"/>
  <c r="DH90" i="26"/>
  <c r="BP78" i="26"/>
  <c r="CR17" i="26"/>
  <c r="BQ17" i="26"/>
  <c r="CH10" i="26"/>
  <c r="BF10" i="26"/>
  <c r="BP90" i="26"/>
  <c r="BP119" i="26" s="1"/>
  <c r="AQ110" i="26"/>
  <c r="BN87" i="26"/>
  <c r="CR110" i="26"/>
  <c r="BN10" i="26"/>
  <c r="DC87" i="26"/>
  <c r="Y75" i="26"/>
  <c r="AK17" i="26"/>
  <c r="CB90" i="26"/>
  <c r="AW10" i="26"/>
  <c r="Y29" i="26"/>
  <c r="DL10" i="26"/>
  <c r="BC29" i="26"/>
  <c r="AU50" i="26"/>
  <c r="BH35" i="26"/>
  <c r="AW63" i="26"/>
  <c r="DQ105" i="26"/>
  <c r="DA50" i="26"/>
  <c r="BF78" i="26"/>
  <c r="BO81" i="26"/>
  <c r="AM50" i="26"/>
  <c r="BM110" i="26"/>
  <c r="AJ87" i="26"/>
  <c r="BB63" i="26"/>
  <c r="CG35" i="26"/>
  <c r="AX50" i="26"/>
  <c r="BD110" i="26"/>
  <c r="CP69" i="26"/>
  <c r="BF72" i="26"/>
  <c r="AR55" i="26"/>
  <c r="DM105" i="26"/>
  <c r="BJ50" i="26"/>
  <c r="CO55" i="26"/>
  <c r="CJ81" i="26"/>
  <c r="CK35" i="26"/>
  <c r="AX72" i="26"/>
  <c r="DI81" i="26"/>
  <c r="BT105" i="26"/>
  <c r="BC63" i="26"/>
  <c r="Q69" i="26"/>
  <c r="AS87" i="26"/>
  <c r="AU81" i="26"/>
  <c r="CD35" i="26"/>
  <c r="CT17" i="26"/>
  <c r="AS44" i="26"/>
  <c r="CF55" i="26"/>
  <c r="BS78" i="26"/>
  <c r="AY17" i="26"/>
  <c r="BT63" i="26"/>
  <c r="BE72" i="26"/>
  <c r="CO44" i="26"/>
  <c r="AR75" i="26"/>
  <c r="Y69" i="26"/>
  <c r="CP50" i="26"/>
  <c r="DS35" i="26"/>
  <c r="AL44" i="26"/>
  <c r="AS35" i="26"/>
  <c r="BF110" i="26"/>
  <c r="AU78" i="26"/>
  <c r="BY81" i="26"/>
  <c r="DM29" i="26"/>
  <c r="CR72" i="26"/>
  <c r="BO90" i="26"/>
  <c r="BV35" i="26"/>
  <c r="AZ50" i="26"/>
  <c r="V69" i="26"/>
  <c r="DB110" i="26"/>
  <c r="CB29" i="26"/>
  <c r="DT10" i="26"/>
  <c r="AZ81" i="26"/>
  <c r="CK78" i="26"/>
  <c r="BL105" i="26"/>
  <c r="BM44" i="26"/>
  <c r="BT55" i="26"/>
  <c r="DA29" i="26"/>
  <c r="AB78" i="26"/>
  <c r="BX66" i="26"/>
  <c r="BC50" i="26"/>
  <c r="AF69" i="26"/>
  <c r="CX35" i="26"/>
  <c r="AQ17" i="26"/>
  <c r="DB66" i="26"/>
  <c r="AI29" i="26"/>
  <c r="DI50" i="26"/>
  <c r="Z55" i="26"/>
  <c r="CB78" i="26"/>
  <c r="AV10" i="26"/>
  <c r="T72" i="26"/>
  <c r="BC110" i="26"/>
  <c r="BS87" i="26"/>
  <c r="AJ90" i="26"/>
  <c r="CR81" i="26"/>
  <c r="BJ84" i="26"/>
  <c r="DB17" i="26"/>
  <c r="DA75" i="26"/>
  <c r="DC66" i="26"/>
  <c r="DQ110" i="26"/>
  <c r="AL84" i="26"/>
  <c r="BU75" i="26"/>
  <c r="CX50" i="26"/>
  <c r="AL10" i="26"/>
  <c r="DC35" i="26"/>
  <c r="BG29" i="26"/>
  <c r="AP87" i="26"/>
  <c r="AY75" i="26"/>
  <c r="AD29" i="26"/>
  <c r="AQ81" i="26"/>
  <c r="CP63" i="26"/>
  <c r="AT90" i="26"/>
  <c r="AT118" i="26" s="1"/>
  <c r="AS10" i="26"/>
  <c r="AN17" i="26"/>
  <c r="U72" i="26"/>
  <c r="BP81" i="26"/>
  <c r="CP17" i="26"/>
  <c r="BD69" i="26"/>
  <c r="AJ78" i="26"/>
  <c r="BP35" i="26"/>
  <c r="AM44" i="26"/>
  <c r="BG35" i="26"/>
  <c r="DR78" i="26"/>
  <c r="AQ69" i="26"/>
  <c r="BS81" i="26"/>
  <c r="L72" i="26"/>
  <c r="J73" i="26"/>
  <c r="DQ10" i="26"/>
  <c r="BY105" i="26"/>
  <c r="CI110" i="26"/>
  <c r="AB63" i="26"/>
  <c r="CT44" i="26"/>
  <c r="AQ50" i="26"/>
  <c r="BJ78" i="26"/>
  <c r="CE72" i="26"/>
  <c r="Z81" i="26"/>
  <c r="CR35" i="26"/>
  <c r="CU17" i="26"/>
  <c r="J21" i="26"/>
  <c r="DT17" i="26"/>
  <c r="BX29" i="26"/>
  <c r="AE29" i="26"/>
  <c r="AM17" i="26"/>
  <c r="CU87" i="26"/>
  <c r="BH75" i="26"/>
  <c r="CC72" i="26"/>
  <c r="BB87" i="26"/>
  <c r="AR90" i="26"/>
  <c r="CG110" i="26"/>
  <c r="CV17" i="26"/>
  <c r="DA55" i="26"/>
  <c r="DO81" i="26"/>
  <c r="AP29" i="26"/>
  <c r="AO90" i="26"/>
  <c r="CH90" i="26"/>
  <c r="BC69" i="26"/>
  <c r="AQ35" i="26"/>
  <c r="AK44" i="26"/>
  <c r="W75" i="26"/>
  <c r="CB63" i="26"/>
  <c r="DM90" i="26"/>
  <c r="BG90" i="26"/>
  <c r="DM78" i="26"/>
  <c r="CB66" i="26"/>
  <c r="BE63" i="26"/>
  <c r="BZ63" i="26"/>
  <c r="DD17" i="26"/>
  <c r="CA29" i="26"/>
  <c r="DI44" i="26"/>
  <c r="AD75" i="26"/>
  <c r="DT110" i="26"/>
  <c r="AV90" i="26"/>
  <c r="CZ10" i="26"/>
  <c r="DN110" i="26"/>
  <c r="DD35" i="26"/>
  <c r="AD84" i="26"/>
  <c r="CL90" i="26"/>
  <c r="AV44" i="26"/>
  <c r="DN78" i="26"/>
  <c r="BO50" i="26"/>
  <c r="BD50" i="26"/>
  <c r="AO72" i="26"/>
  <c r="CI17" i="26"/>
  <c r="BF50" i="26"/>
  <c r="BW84" i="26"/>
  <c r="DR84" i="26"/>
  <c r="CJ29" i="26"/>
  <c r="AM105" i="26"/>
  <c r="AO50" i="26"/>
  <c r="CD90" i="26"/>
  <c r="AG69" i="26"/>
  <c r="CL66" i="26"/>
  <c r="DR50" i="26"/>
  <c r="BN35" i="26"/>
  <c r="DS78" i="26"/>
  <c r="DO10" i="26"/>
  <c r="CG50" i="26"/>
  <c r="BX78" i="26"/>
  <c r="AB55" i="26"/>
  <c r="DN66" i="26"/>
  <c r="DV35" i="26"/>
  <c r="DE35" i="26"/>
  <c r="Y66" i="26"/>
  <c r="BA10" i="26"/>
  <c r="BQ90" i="26"/>
  <c r="BW50" i="26"/>
  <c r="AG29" i="26"/>
  <c r="CV84" i="26"/>
  <c r="BP72" i="26"/>
  <c r="BY75" i="26"/>
  <c r="AR84" i="26"/>
  <c r="AK72" i="26"/>
  <c r="AD81" i="26"/>
  <c r="BM75" i="26"/>
  <c r="DI90" i="26"/>
  <c r="CN81" i="26"/>
  <c r="CY75" i="26"/>
  <c r="CN69" i="26"/>
  <c r="BQ81" i="26"/>
  <c r="BU90" i="26"/>
  <c r="BX55" i="26"/>
  <c r="AC110" i="26"/>
  <c r="AT105" i="26"/>
  <c r="DP87" i="26"/>
  <c r="AK10" i="26"/>
  <c r="CL55" i="26"/>
  <c r="BZ87" i="26"/>
  <c r="BN69" i="26"/>
  <c r="CD105" i="26"/>
  <c r="AU69" i="26"/>
  <c r="DO69" i="26"/>
  <c r="DH105" i="26"/>
  <c r="AV69" i="26"/>
  <c r="BK69" i="26"/>
  <c r="CM17" i="26"/>
  <c r="DK84" i="26"/>
  <c r="AH81" i="26"/>
  <c r="CQ66" i="26"/>
  <c r="AL29" i="26"/>
  <c r="CZ78" i="26"/>
  <c r="DK35" i="26"/>
  <c r="Y110" i="26"/>
  <c r="AD78" i="26"/>
  <c r="DF75" i="26"/>
  <c r="AX105" i="26"/>
  <c r="BB81" i="26"/>
  <c r="AV110" i="26"/>
  <c r="AL110" i="26"/>
  <c r="BL17" i="26"/>
  <c r="BV10" i="26"/>
  <c r="AK29" i="26"/>
  <c r="DM35" i="26"/>
  <c r="DA10" i="26"/>
  <c r="BX105" i="26"/>
  <c r="DM84" i="26"/>
  <c r="AU105" i="26"/>
  <c r="AU125" i="26" s="1"/>
  <c r="AL105" i="26"/>
  <c r="AL125" i="26" s="1"/>
  <c r="BD84" i="26"/>
  <c r="CF17" i="26"/>
  <c r="CI84" i="26"/>
  <c r="DP105" i="26"/>
  <c r="AQ29" i="26"/>
  <c r="DL90" i="26"/>
  <c r="J19" i="26"/>
  <c r="CP66" i="26"/>
  <c r="DK10" i="26"/>
  <c r="AN29" i="26"/>
  <c r="AY72" i="26"/>
  <c r="AZ17" i="26"/>
  <c r="CJ78" i="26"/>
  <c r="BW29" i="26"/>
  <c r="CY10" i="26"/>
  <c r="AK75" i="26"/>
  <c r="BI87" i="26"/>
  <c r="DT84" i="26"/>
  <c r="U63" i="26"/>
  <c r="AA29" i="26"/>
  <c r="DM55" i="26"/>
  <c r="BB44" i="26"/>
  <c r="DB50" i="26"/>
  <c r="BV105" i="26"/>
  <c r="CK17" i="26"/>
  <c r="BF35" i="26"/>
  <c r="DV17" i="26"/>
  <c r="BG63" i="26"/>
  <c r="DH50" i="26"/>
  <c r="DQ50" i="26"/>
  <c r="BN55" i="26"/>
  <c r="AZ63" i="26"/>
  <c r="AH75" i="26"/>
  <c r="BH17" i="26"/>
  <c r="DG10" i="26"/>
  <c r="DE10" i="26"/>
  <c r="CA10" i="26"/>
  <c r="AV17" i="26"/>
  <c r="CW35" i="26"/>
  <c r="DH55" i="26"/>
  <c r="AC29" i="26"/>
  <c r="CA81" i="26"/>
  <c r="AL35" i="26"/>
  <c r="DF90" i="26"/>
  <c r="BO66" i="26"/>
  <c r="CK81" i="26"/>
  <c r="DD72" i="26"/>
  <c r="BG81" i="26"/>
  <c r="CG29" i="26"/>
  <c r="DB10" i="26"/>
  <c r="CK50" i="26"/>
  <c r="AP84" i="26"/>
  <c r="CP10" i="26"/>
  <c r="AP72" i="26"/>
  <c r="CA50" i="26"/>
  <c r="DS44" i="26"/>
  <c r="AW110" i="26"/>
  <c r="BZ90" i="26"/>
  <c r="CD29" i="26"/>
  <c r="BC84" i="26"/>
  <c r="AG63" i="26"/>
  <c r="CD66" i="26"/>
  <c r="AE87" i="26"/>
  <c r="DD29" i="26"/>
  <c r="V63" i="26"/>
  <c r="BX35" i="26"/>
  <c r="AH72" i="26"/>
  <c r="CK110" i="26"/>
  <c r="DD63" i="26"/>
  <c r="AH110" i="26"/>
  <c r="AN87" i="26"/>
  <c r="BI84" i="26"/>
  <c r="CR50" i="26"/>
  <c r="BJ63" i="26"/>
  <c r="CI90" i="26"/>
  <c r="CS10" i="26"/>
  <c r="CT81" i="26"/>
  <c r="DU50" i="26"/>
  <c r="CW75" i="26"/>
  <c r="BF84" i="26"/>
  <c r="CD63" i="26"/>
  <c r="DU35" i="26"/>
  <c r="DT87" i="26"/>
  <c r="BX63" i="26"/>
  <c r="DR105" i="26"/>
  <c r="AG72" i="26"/>
  <c r="DR55" i="26"/>
  <c r="DL44" i="26"/>
  <c r="AV50" i="26"/>
  <c r="CR44" i="26"/>
  <c r="AR63" i="26"/>
  <c r="CW110" i="26"/>
  <c r="CK90" i="26"/>
  <c r="DE72" i="26"/>
  <c r="BD81" i="26"/>
  <c r="DL69" i="26"/>
  <c r="DO29" i="26"/>
  <c r="DE17" i="26"/>
  <c r="DC55" i="26"/>
  <c r="DA110" i="26"/>
  <c r="CE17" i="26"/>
  <c r="BM87" i="26"/>
  <c r="CU10" i="26"/>
  <c r="AP81" i="26"/>
  <c r="AM110" i="26"/>
  <c r="AR17" i="26"/>
  <c r="U75" i="26"/>
  <c r="DF17" i="26"/>
  <c r="BL72" i="26"/>
  <c r="CX90" i="26"/>
  <c r="CK10" i="26"/>
  <c r="DB55" i="26"/>
  <c r="AP17" i="26"/>
  <c r="AH87" i="26"/>
  <c r="CQ10" i="26"/>
  <c r="CY50" i="26"/>
  <c r="AA55" i="26"/>
  <c r="DC110" i="26"/>
  <c r="BT10" i="26"/>
  <c r="CN17" i="26"/>
  <c r="DO55" i="26"/>
  <c r="AS29" i="26"/>
  <c r="AQ10" i="26"/>
  <c r="BG78" i="26"/>
  <c r="AS55" i="26"/>
  <c r="CH69" i="26"/>
  <c r="DT44" i="26"/>
  <c r="BO105" i="26"/>
  <c r="AL72" i="26"/>
  <c r="CL29" i="26"/>
  <c r="BJ35" i="26"/>
  <c r="CN75" i="26"/>
  <c r="CC35" i="26"/>
  <c r="AW72" i="26"/>
  <c r="DB29" i="26"/>
  <c r="AM10" i="26"/>
  <c r="BQ110" i="26"/>
  <c r="BS55" i="26"/>
  <c r="BY90" i="26"/>
  <c r="AR81" i="26"/>
  <c r="BS90" i="26"/>
  <c r="BW55" i="26"/>
  <c r="BL66" i="26"/>
  <c r="CG17" i="26"/>
  <c r="BR44" i="26"/>
  <c r="CD44" i="26"/>
  <c r="BU69" i="26"/>
  <c r="AW84" i="26"/>
  <c r="DS55" i="26"/>
  <c r="BE44" i="26"/>
  <c r="AL55" i="26"/>
  <c r="CM81" i="26"/>
  <c r="CT10" i="26"/>
  <c r="AL66" i="26"/>
  <c r="DO35" i="26"/>
  <c r="BC90" i="26"/>
  <c r="DE55" i="26"/>
  <c r="BX10" i="26"/>
  <c r="AY55" i="26"/>
  <c r="DE66" i="26"/>
  <c r="DQ29" i="26"/>
  <c r="BR63" i="26"/>
  <c r="BC44" i="26"/>
  <c r="CE66" i="26"/>
  <c r="DP78" i="26"/>
  <c r="CB35" i="26"/>
  <c r="AO69" i="26"/>
  <c r="DM50" i="26"/>
  <c r="BP84" i="26"/>
  <c r="CY84" i="26"/>
  <c r="DS69" i="26"/>
  <c r="DI75" i="26"/>
  <c r="BS63" i="26"/>
  <c r="DR90" i="26"/>
  <c r="BF90" i="26"/>
  <c r="AX69" i="26"/>
  <c r="CM90" i="26"/>
  <c r="BC55" i="26"/>
  <c r="DN17" i="26"/>
  <c r="CC84" i="26"/>
  <c r="V72" i="26"/>
  <c r="CE44" i="26"/>
  <c r="CD110" i="26"/>
  <c r="CA63" i="26"/>
  <c r="BN50" i="26"/>
  <c r="BK29" i="26"/>
  <c r="DP63" i="26"/>
  <c r="DJ72" i="26"/>
  <c r="BI44" i="26"/>
  <c r="DQ55" i="26"/>
  <c r="DN105" i="26"/>
  <c r="CO90" i="26"/>
  <c r="BT81" i="26"/>
  <c r="DE110" i="26"/>
  <c r="AJ66" i="26"/>
  <c r="BH110" i="26"/>
  <c r="J113" i="26"/>
  <c r="BD105" i="26"/>
  <c r="BL78" i="26"/>
  <c r="BF75" i="26"/>
  <c r="CU84" i="26"/>
  <c r="CR78" i="26"/>
  <c r="AK55" i="26"/>
  <c r="BX50" i="26"/>
  <c r="AG78" i="26"/>
  <c r="CU75" i="26"/>
  <c r="Z35" i="26"/>
  <c r="CN78" i="26"/>
  <c r="BE90" i="26"/>
  <c r="DB63" i="26"/>
  <c r="CF84" i="26"/>
  <c r="DS82" i="16"/>
  <c r="AV82" i="16"/>
  <c r="CX82" i="16"/>
  <c r="DR82" i="16"/>
  <c r="BR82" i="16"/>
  <c r="CO82" i="16"/>
  <c r="AP82" i="16"/>
  <c r="CI82" i="16"/>
  <c r="CG82" i="16"/>
  <c r="DD82" i="16"/>
  <c r="DU82" i="16"/>
  <c r="AR82" i="16"/>
  <c r="DJ82" i="16"/>
  <c r="BH82" i="16"/>
  <c r="BE82" i="16"/>
  <c r="BJ82" i="16"/>
  <c r="AY82" i="16"/>
  <c r="BX82" i="16"/>
  <c r="BZ82" i="16"/>
  <c r="BU82" i="16"/>
  <c r="CQ82" i="16"/>
  <c r="DF82" i="16"/>
  <c r="CS82" i="16"/>
  <c r="DG82" i="16"/>
  <c r="AN82" i="16"/>
  <c r="AS82" i="16"/>
  <c r="CZ82" i="16"/>
  <c r="DC82" i="16"/>
  <c r="DA82" i="16"/>
  <c r="CE82" i="16"/>
  <c r="BL82" i="16"/>
  <c r="DI82" i="16"/>
  <c r="CD82" i="16"/>
  <c r="CL82" i="16"/>
  <c r="BO82" i="16"/>
  <c r="CM82" i="16"/>
  <c r="CU82" i="16"/>
  <c r="CH82" i="16"/>
  <c r="AM82" i="16"/>
  <c r="DP82" i="16"/>
  <c r="AT82" i="16"/>
  <c r="DE82" i="16"/>
  <c r="BT82" i="16"/>
  <c r="AO82" i="16"/>
  <c r="CB82" i="16"/>
  <c r="DK82" i="16"/>
  <c r="BP82" i="16"/>
  <c r="CV82" i="16"/>
  <c r="CW82" i="16"/>
  <c r="BK82" i="16"/>
  <c r="BW82" i="16"/>
  <c r="BY82" i="16"/>
  <c r="CT82" i="16"/>
  <c r="AW82" i="16"/>
  <c r="AZ82" i="16"/>
  <c r="DT82" i="16"/>
  <c r="CA82" i="16"/>
  <c r="BQ82" i="16"/>
  <c r="CY82" i="16"/>
  <c r="BF82" i="16"/>
  <c r="DN82" i="16"/>
  <c r="BC82" i="16"/>
  <c r="DM82" i="16"/>
  <c r="CF82" i="16"/>
  <c r="BA82" i="16"/>
  <c r="CP82" i="16"/>
  <c r="AQ82" i="16"/>
  <c r="BB82" i="16"/>
  <c r="CC82" i="16"/>
  <c r="BV82" i="16"/>
  <c r="DO82" i="16"/>
  <c r="DB82" i="16"/>
  <c r="BM82" i="16"/>
  <c r="CR82" i="16"/>
  <c r="DH82" i="16"/>
  <c r="CK82" i="16"/>
  <c r="AX82" i="16"/>
  <c r="BI82" i="16"/>
  <c r="DL82" i="16"/>
  <c r="BN82" i="16"/>
  <c r="AU82" i="16"/>
  <c r="BS82" i="16"/>
  <c r="CJ82" i="16"/>
  <c r="DQ82" i="16"/>
  <c r="AL82" i="16"/>
  <c r="CN82" i="16"/>
  <c r="AK82" i="16"/>
  <c r="BG82" i="16"/>
  <c r="BD82" i="16"/>
  <c r="CD81" i="17"/>
  <c r="BH110" i="17"/>
  <c r="AT110" i="17"/>
  <c r="DC110" i="17"/>
  <c r="DS110" i="17"/>
  <c r="P69" i="17"/>
  <c r="DV110" i="17"/>
  <c r="DR110" i="17"/>
  <c r="DI110" i="17"/>
  <c r="DE110" i="17"/>
  <c r="DD110" i="17"/>
  <c r="CX110" i="17"/>
  <c r="CN110" i="17"/>
  <c r="BI110" i="17"/>
  <c r="BA110" i="17"/>
  <c r="AQ110" i="17"/>
  <c r="AL110" i="17"/>
  <c r="DP110" i="17"/>
  <c r="CQ110" i="17"/>
  <c r="CU110" i="17"/>
  <c r="CH110" i="17"/>
  <c r="AZ110" i="17"/>
  <c r="AR110" i="17"/>
  <c r="CD110" i="17"/>
  <c r="BL110" i="17"/>
  <c r="CV110" i="17"/>
  <c r="BZ110" i="17"/>
  <c r="CK110" i="17"/>
  <c r="BG110" i="17"/>
  <c r="AX110" i="17"/>
  <c r="CY110" i="17"/>
  <c r="CT110" i="17"/>
  <c r="CE110" i="17"/>
  <c r="CA110" i="17"/>
  <c r="BY110" i="17"/>
  <c r="BS110" i="17"/>
  <c r="BC110" i="17"/>
  <c r="DL110" i="17"/>
  <c r="DF110" i="17"/>
  <c r="CB110" i="17"/>
  <c r="BV110" i="17"/>
  <c r="BP110" i="17"/>
  <c r="BD110" i="17"/>
  <c r="DQ110" i="17"/>
  <c r="CS110" i="17"/>
  <c r="CM110" i="17"/>
  <c r="CG110" i="17"/>
  <c r="BW110" i="17"/>
  <c r="BK110" i="17"/>
  <c r="AW110" i="17"/>
  <c r="AS110" i="17"/>
  <c r="AN110" i="17"/>
  <c r="DN110" i="17"/>
  <c r="CI110" i="17"/>
  <c r="AY110" i="17"/>
  <c r="DT110" i="17"/>
  <c r="DG110" i="17"/>
  <c r="DA110" i="17"/>
  <c r="CZ110" i="17"/>
  <c r="CR110" i="17"/>
  <c r="CP110" i="17"/>
  <c r="CL110" i="17"/>
  <c r="CC110" i="17"/>
  <c r="BN110" i="17"/>
  <c r="AU110" i="17"/>
  <c r="AJ110" i="17"/>
  <c r="J114" i="17"/>
  <c r="DM110" i="17"/>
  <c r="CO110" i="17"/>
  <c r="BX110" i="17"/>
  <c r="BT110" i="17"/>
  <c r="BJ110" i="17"/>
  <c r="BE110" i="17"/>
  <c r="BB110" i="17"/>
  <c r="AV110" i="17"/>
  <c r="AP110" i="17"/>
  <c r="AK110" i="17"/>
  <c r="DO110" i="17"/>
  <c r="DB110" i="17"/>
  <c r="BQ110" i="17"/>
  <c r="DU110" i="17"/>
  <c r="BM110" i="17"/>
  <c r="AO110" i="17"/>
  <c r="AM110" i="17"/>
  <c r="DK110" i="17"/>
  <c r="DJ110" i="17"/>
  <c r="DH110" i="17"/>
  <c r="CW110" i="17"/>
  <c r="CJ110" i="17"/>
  <c r="CF110" i="17"/>
  <c r="BU110" i="17"/>
  <c r="BR110" i="17"/>
  <c r="BO110" i="17"/>
  <c r="BF110" i="17"/>
  <c r="J113" i="17"/>
  <c r="CN69" i="17"/>
  <c r="CP72" i="17"/>
  <c r="CG78" i="17"/>
  <c r="DO78" i="17"/>
  <c r="DG69" i="17"/>
  <c r="DD81" i="17"/>
  <c r="DB78" i="17"/>
  <c r="CW81" i="17"/>
  <c r="CM72" i="17"/>
  <c r="CM69" i="17"/>
  <c r="AX78" i="17"/>
  <c r="CZ78" i="17"/>
  <c r="Q69" i="17"/>
  <c r="CY81" i="17"/>
  <c r="CG72" i="17"/>
  <c r="BM72" i="17"/>
  <c r="DK72" i="17"/>
  <c r="CJ72" i="17"/>
  <c r="BR72" i="17"/>
  <c r="BH81" i="17"/>
  <c r="AR81" i="17"/>
  <c r="AL72" i="17"/>
  <c r="DJ78" i="17"/>
  <c r="AW69" i="17"/>
  <c r="AP69" i="17"/>
  <c r="AJ81" i="17"/>
  <c r="AF72" i="17"/>
  <c r="DR78" i="17"/>
  <c r="AW72" i="17"/>
  <c r="BK78" i="17"/>
  <c r="BB78" i="17"/>
  <c r="AC72" i="17"/>
  <c r="Y72" i="17"/>
  <c r="BF78" i="17"/>
  <c r="BQ81" i="17"/>
  <c r="CF72" i="17"/>
  <c r="BL78" i="17"/>
  <c r="BC69" i="17"/>
  <c r="AO81" i="17"/>
  <c r="BP69" i="17"/>
  <c r="BZ78" i="17"/>
  <c r="DC69" i="17"/>
  <c r="CX81" i="17"/>
  <c r="CR81" i="17"/>
  <c r="CL69" i="17"/>
  <c r="CA84" i="17"/>
  <c r="DN81" i="17"/>
  <c r="DJ69" i="17"/>
  <c r="DA69" i="17"/>
  <c r="CK78" i="17"/>
  <c r="BW69" i="17"/>
  <c r="BS72" i="17"/>
  <c r="BO81" i="17"/>
  <c r="BA78" i="17"/>
  <c r="AO78" i="17"/>
  <c r="AA69" i="17"/>
  <c r="DB69" i="17"/>
  <c r="BT72" i="17"/>
  <c r="BN72" i="17"/>
  <c r="AS72" i="17"/>
  <c r="AN69" i="17"/>
  <c r="CV72" i="17"/>
  <c r="CF81" i="17"/>
  <c r="CA78" i="17"/>
  <c r="U69" i="17"/>
  <c r="P72" i="17"/>
  <c r="BP78" i="17"/>
  <c r="DU69" i="17"/>
  <c r="CV78" i="17"/>
  <c r="BV78" i="17"/>
  <c r="BP81" i="17"/>
  <c r="CS78" i="17"/>
  <c r="CB81" i="17"/>
  <c r="DF69" i="17"/>
  <c r="DR69" i="17"/>
  <c r="DE72" i="17"/>
  <c r="CN78" i="17"/>
  <c r="CH69" i="17"/>
  <c r="O69" i="17"/>
  <c r="AH69" i="17"/>
  <c r="CW69" i="17"/>
  <c r="AD69" i="17"/>
  <c r="T69" i="17"/>
  <c r="N69" i="17"/>
  <c r="DK69" i="17"/>
  <c r="CZ81" i="17"/>
  <c r="CW72" i="17"/>
  <c r="CP69" i="17"/>
  <c r="AS78" i="17"/>
  <c r="DE81" i="17"/>
  <c r="CD69" i="17"/>
  <c r="BU78" i="17"/>
  <c r="AV72" i="17"/>
  <c r="DT78" i="17"/>
  <c r="AW78" i="17"/>
  <c r="Z69" i="17"/>
  <c r="R72" i="17"/>
  <c r="BZ69" i="17"/>
  <c r="BS81" i="17"/>
  <c r="BQ78" i="17"/>
  <c r="BP72" i="17"/>
  <c r="BO78" i="17"/>
  <c r="BJ78" i="17"/>
  <c r="BG78" i="17"/>
  <c r="AY81" i="17"/>
  <c r="AF69" i="17"/>
  <c r="S69" i="17"/>
  <c r="DQ69" i="17"/>
  <c r="AB69" i="17"/>
  <c r="J38" i="17"/>
  <c r="DA81" i="17"/>
  <c r="AM72" i="17"/>
  <c r="CI69" i="17"/>
  <c r="BV72" i="17"/>
  <c r="BO72" i="17"/>
  <c r="BE78" i="17"/>
  <c r="BN78" i="17"/>
  <c r="AO69" i="17"/>
  <c r="DL72" i="17"/>
  <c r="BV69" i="17"/>
  <c r="BN69" i="17"/>
  <c r="BL69" i="17"/>
  <c r="AZ78" i="17"/>
  <c r="DQ81" i="17"/>
  <c r="DN78" i="17"/>
  <c r="DL69" i="17"/>
  <c r="CH72" i="17"/>
  <c r="BX69" i="17"/>
  <c r="BS78" i="17"/>
  <c r="AX72" i="17"/>
  <c r="BJ81" i="17"/>
  <c r="AA72" i="17"/>
  <c r="BQ69" i="17"/>
  <c r="AM69" i="17"/>
  <c r="DV69" i="17"/>
  <c r="CU81" i="17"/>
  <c r="AQ81" i="17"/>
  <c r="DI69" i="17"/>
  <c r="DH69" i="17"/>
  <c r="DF72" i="17"/>
  <c r="CM81" i="17"/>
  <c r="CG69" i="17"/>
  <c r="CE78" i="17"/>
  <c r="CC69" i="17"/>
  <c r="BW78" i="17"/>
  <c r="BD72" i="17"/>
  <c r="BB81" i="17"/>
  <c r="BB72" i="17"/>
  <c r="AV81" i="17"/>
  <c r="AU69" i="17"/>
  <c r="AO72" i="17"/>
  <c r="AM81" i="17"/>
  <c r="AJ78" i="17"/>
  <c r="X72" i="17"/>
  <c r="DO72" i="17"/>
  <c r="BX72" i="17"/>
  <c r="BA81" i="17"/>
  <c r="BU69" i="17"/>
  <c r="BF81" i="17"/>
  <c r="BD78" i="17"/>
  <c r="Z72" i="17"/>
  <c r="DM78" i="17"/>
  <c r="DE78" i="17"/>
  <c r="DA72" i="17"/>
  <c r="CX69" i="17"/>
  <c r="AT81" i="17"/>
  <c r="AM78" i="17"/>
  <c r="AK78" i="17"/>
  <c r="Y69" i="17"/>
  <c r="R69" i="17"/>
  <c r="DF78" i="17"/>
  <c r="CS72" i="17"/>
  <c r="CO72" i="17"/>
  <c r="BM81" i="17"/>
  <c r="AN72" i="17"/>
  <c r="BT69" i="17"/>
  <c r="DQ72" i="17"/>
  <c r="DJ81" i="17"/>
  <c r="DI81" i="17"/>
  <c r="CT72" i="17"/>
  <c r="CR78" i="17"/>
  <c r="CO78" i="17"/>
  <c r="CL72" i="17"/>
  <c r="CI72" i="17"/>
  <c r="CB72" i="17"/>
  <c r="BI78" i="17"/>
  <c r="BG81" i="17"/>
  <c r="BE72" i="17"/>
  <c r="AY69" i="17"/>
  <c r="AJ69" i="17"/>
  <c r="DS81" i="17"/>
  <c r="DQ78" i="17"/>
  <c r="DO69" i="17"/>
  <c r="DC78" i="17"/>
  <c r="DD78" i="17"/>
  <c r="CQ78" i="17"/>
  <c r="CP81" i="17"/>
  <c r="CM78" i="17"/>
  <c r="CK81" i="17"/>
  <c r="CK72" i="17"/>
  <c r="CJ78" i="17"/>
  <c r="CF69" i="17"/>
  <c r="CA69" i="17"/>
  <c r="BY78" i="17"/>
  <c r="BX78" i="17"/>
  <c r="BX81" i="17"/>
  <c r="BU81" i="17"/>
  <c r="BT81" i="17"/>
  <c r="BJ69" i="17"/>
  <c r="BG72" i="17"/>
  <c r="BC81" i="17"/>
  <c r="AZ81" i="17"/>
  <c r="AZ72" i="17"/>
  <c r="AW81" i="17"/>
  <c r="U72" i="17"/>
  <c r="DU72" i="17"/>
  <c r="DU81" i="17"/>
  <c r="DP69" i="17"/>
  <c r="DK81" i="17"/>
  <c r="DI78" i="17"/>
  <c r="DG72" i="17"/>
  <c r="CU72" i="17"/>
  <c r="CT81" i="17"/>
  <c r="CF78" i="17"/>
  <c r="CE72" i="17"/>
  <c r="CC78" i="17"/>
  <c r="CD72" i="17"/>
  <c r="CA72" i="17"/>
  <c r="CB69" i="17"/>
  <c r="BR78" i="17"/>
  <c r="BR81" i="17"/>
  <c r="BM78" i="17"/>
  <c r="BL72" i="17"/>
  <c r="BD69" i="17"/>
  <c r="AY72" i="17"/>
  <c r="AU78" i="17"/>
  <c r="AV69" i="17"/>
  <c r="AQ72" i="17"/>
  <c r="AP72" i="17"/>
  <c r="AK69" i="17"/>
  <c r="AK81" i="17"/>
  <c r="AL81" i="17"/>
  <c r="AH72" i="17"/>
  <c r="AG72" i="17"/>
  <c r="AE72" i="17"/>
  <c r="DV81" i="17"/>
  <c r="DT72" i="17"/>
  <c r="DN69" i="17"/>
  <c r="DH72" i="17"/>
  <c r="DB72" i="17"/>
  <c r="CZ72" i="17"/>
  <c r="CL81" i="17"/>
  <c r="CB78" i="17"/>
  <c r="BQ72" i="17"/>
  <c r="BK69" i="17"/>
  <c r="BI69" i="17"/>
  <c r="BH69" i="17"/>
  <c r="AR69" i="17"/>
  <c r="AT72" i="17"/>
  <c r="AQ78" i="17"/>
  <c r="AN78" i="17"/>
  <c r="J76" i="5"/>
  <c r="J74" i="5" s="1"/>
  <c r="M71" i="17"/>
  <c r="M69" i="17" s="1"/>
  <c r="K42" i="16"/>
  <c r="CJ81" i="17"/>
  <c r="DV72" i="17"/>
  <c r="DT69" i="17"/>
  <c r="DR72" i="17"/>
  <c r="DM81" i="17"/>
  <c r="DL78" i="17"/>
  <c r="CY78" i="17"/>
  <c r="CI81" i="17"/>
  <c r="CI78" i="17"/>
  <c r="BO69" i="17"/>
  <c r="AX81" i="17"/>
  <c r="AR72" i="17"/>
  <c r="L69" i="17"/>
  <c r="J70" i="17"/>
  <c r="L72" i="17"/>
  <c r="J73" i="17"/>
  <c r="DU78" i="17"/>
  <c r="DS78" i="17"/>
  <c r="DP81" i="17"/>
  <c r="DK78" i="17"/>
  <c r="DD72" i="17"/>
  <c r="DB81" i="17"/>
  <c r="CV81" i="17"/>
  <c r="CN72" i="17"/>
  <c r="CL78" i="17"/>
  <c r="CK69" i="17"/>
  <c r="CG81" i="17"/>
  <c r="CD78" i="17"/>
  <c r="CC72" i="17"/>
  <c r="CA81" i="17"/>
  <c r="BZ72" i="17"/>
  <c r="BY81" i="17"/>
  <c r="BV81" i="17"/>
  <c r="BU72" i="17"/>
  <c r="BM69" i="17"/>
  <c r="BK72" i="17"/>
  <c r="BH78" i="17"/>
  <c r="BE81" i="17"/>
  <c r="BF72" i="17"/>
  <c r="BC78" i="17"/>
  <c r="BA69" i="17"/>
  <c r="AX69" i="17"/>
  <c r="AV78" i="17"/>
  <c r="AT69" i="17"/>
  <c r="AQ69" i="17"/>
  <c r="AP81" i="17"/>
  <c r="AJ72" i="17"/>
  <c r="AI71" i="17"/>
  <c r="AI69" i="17" s="1"/>
  <c r="AB72" i="17"/>
  <c r="V72" i="17"/>
  <c r="T72" i="17"/>
  <c r="Q72" i="17"/>
  <c r="M74" i="17"/>
  <c r="M72" i="17" s="1"/>
  <c r="N74" i="17"/>
  <c r="N72" i="17" s="1"/>
  <c r="K43" i="16"/>
  <c r="DS69" i="17"/>
  <c r="DR81" i="17"/>
  <c r="DJ72" i="17"/>
  <c r="DA78" i="17"/>
  <c r="CX72" i="17"/>
  <c r="CT78" i="17"/>
  <c r="CH78" i="17"/>
  <c r="BG69" i="17"/>
  <c r="BF69" i="17"/>
  <c r="BA72" i="17"/>
  <c r="AC69" i="17"/>
  <c r="BJ72" i="17"/>
  <c r="AU81" i="17"/>
  <c r="DN72" i="17"/>
  <c r="DI72" i="17"/>
  <c r="DG81" i="17"/>
  <c r="DC81" i="17"/>
  <c r="CY72" i="17"/>
  <c r="CV69" i="17"/>
  <c r="CQ69" i="17"/>
  <c r="CJ69" i="17"/>
  <c r="BY69" i="17"/>
  <c r="BS69" i="17"/>
  <c r="BK81" i="17"/>
  <c r="AP78" i="17"/>
  <c r="DT81" i="17"/>
  <c r="DH81" i="17"/>
  <c r="DV78" i="17"/>
  <c r="DS72" i="17"/>
  <c r="DM72" i="17"/>
  <c r="DM69" i="17"/>
  <c r="DC72" i="17"/>
  <c r="CZ69" i="17"/>
  <c r="CS81" i="17"/>
  <c r="CQ81" i="17"/>
  <c r="CO69" i="17"/>
  <c r="CH81" i="17"/>
  <c r="CE81" i="17"/>
  <c r="CC81" i="17"/>
  <c r="BN81" i="17"/>
  <c r="AZ69" i="17"/>
  <c r="AU72" i="17"/>
  <c r="AL69" i="17"/>
  <c r="X69" i="17"/>
  <c r="DP78" i="17"/>
  <c r="DH78" i="17"/>
  <c r="CX78" i="17"/>
  <c r="CU78" i="17"/>
  <c r="CO81" i="17"/>
  <c r="CE69" i="17"/>
  <c r="BZ81" i="17"/>
  <c r="BW81" i="17"/>
  <c r="BT78" i="17"/>
  <c r="BC72" i="17"/>
  <c r="AY78" i="17"/>
  <c r="AS69" i="17"/>
  <c r="AT78" i="17"/>
  <c r="AN81" i="17"/>
  <c r="AG69" i="17"/>
  <c r="S72" i="17"/>
  <c r="J37" i="17"/>
  <c r="DP72" i="17"/>
  <c r="DO81" i="17"/>
  <c r="DL81" i="17"/>
  <c r="DG78" i="17"/>
  <c r="DE69" i="17"/>
  <c r="DF81" i="17"/>
  <c r="DD69" i="17"/>
  <c r="CY69" i="17"/>
  <c r="CW78" i="17"/>
  <c r="CU69" i="17"/>
  <c r="CS69" i="17"/>
  <c r="CT69" i="17"/>
  <c r="CR69" i="17"/>
  <c r="CQ72" i="17"/>
  <c r="CR72" i="17"/>
  <c r="CP78" i="17"/>
  <c r="CN81" i="17"/>
  <c r="BY72" i="17"/>
  <c r="BW72" i="17"/>
  <c r="BL81" i="17"/>
  <c r="BI81" i="17"/>
  <c r="BI72" i="17"/>
  <c r="BH72" i="17"/>
  <c r="BE69" i="17"/>
  <c r="BD81" i="17"/>
  <c r="BB69" i="17"/>
  <c r="AS81" i="17"/>
  <c r="AR78" i="17"/>
  <c r="AK72" i="17"/>
  <c r="AL78" i="17"/>
  <c r="AD72" i="17"/>
  <c r="AE69" i="17"/>
  <c r="W72" i="17"/>
  <c r="V69" i="17"/>
  <c r="W69" i="17"/>
  <c r="DA63" i="17"/>
  <c r="EQ74" i="5"/>
  <c r="J79" i="5"/>
  <c r="EQ77" i="5"/>
  <c r="AA24" i="11"/>
  <c r="AB21" i="11" s="1"/>
  <c r="BY63" i="17"/>
  <c r="U75" i="17"/>
  <c r="EQ192" i="11"/>
  <c r="J191" i="11"/>
  <c r="AO66" i="17"/>
  <c r="AQ84" i="17"/>
  <c r="D67" i="1"/>
  <c r="BE84" i="17"/>
  <c r="BL12" i="16"/>
  <c r="DJ63" i="17"/>
  <c r="AC75" i="17"/>
  <c r="DS63" i="17"/>
  <c r="CT84" i="17"/>
  <c r="BY84" i="17"/>
  <c r="Q63" i="17"/>
  <c r="CY84" i="17"/>
  <c r="BA84" i="17"/>
  <c r="BK63" i="17"/>
  <c r="CZ66" i="17"/>
  <c r="AD75" i="17"/>
  <c r="CP84" i="17"/>
  <c r="BO63" i="17"/>
  <c r="BX84" i="17"/>
  <c r="Q75" i="17"/>
  <c r="U63" i="17"/>
  <c r="AG75" i="17"/>
  <c r="AB75" i="17"/>
  <c r="AX84" i="17"/>
  <c r="AM87" i="17"/>
  <c r="CL66" i="17"/>
  <c r="CW84" i="17"/>
  <c r="DM84" i="17"/>
  <c r="CW87" i="17"/>
  <c r="AT84" i="17"/>
  <c r="CO75" i="17"/>
  <c r="AU63" i="17"/>
  <c r="CK84" i="17"/>
  <c r="BS84" i="17"/>
  <c r="AE75" i="17"/>
  <c r="W75" i="17"/>
  <c r="Y75" i="17"/>
  <c r="BQ87" i="17"/>
  <c r="AQ10" i="17"/>
  <c r="AP12" i="16"/>
  <c r="T63" i="17"/>
  <c r="CE84" i="17"/>
  <c r="DG12" i="16"/>
  <c r="DG87" i="17"/>
  <c r="AU66" i="17"/>
  <c r="CC63" i="17"/>
  <c r="CO63" i="17"/>
  <c r="DM63" i="17"/>
  <c r="BJ84" i="17"/>
  <c r="AQ63" i="17"/>
  <c r="BQ66" i="17"/>
  <c r="BM12" i="16"/>
  <c r="BK66" i="17"/>
  <c r="BI75" i="17"/>
  <c r="R75" i="17"/>
  <c r="BP75" i="17"/>
  <c r="BI66" i="17"/>
  <c r="AO90" i="17"/>
  <c r="AO118" i="17" s="1"/>
  <c r="BF66" i="17"/>
  <c r="DB66" i="17"/>
  <c r="AH75" i="17"/>
  <c r="V75" i="17"/>
  <c r="BV75" i="17"/>
  <c r="L66" i="17"/>
  <c r="T75" i="17"/>
  <c r="M75" i="17"/>
  <c r="AF75" i="17"/>
  <c r="BO66" i="17"/>
  <c r="O75" i="17"/>
  <c r="Z75" i="17"/>
  <c r="DL66" i="17"/>
  <c r="DJ66" i="17"/>
  <c r="CE66" i="17"/>
  <c r="DQ37" i="16"/>
  <c r="BR37" i="16"/>
  <c r="BH37" i="16"/>
  <c r="DD35" i="17"/>
  <c r="AU35" i="17"/>
  <c r="DK87" i="17"/>
  <c r="CH87" i="17"/>
  <c r="BT87" i="17"/>
  <c r="BS12" i="16"/>
  <c r="AJ90" i="17"/>
  <c r="AJ119" i="17" s="1"/>
  <c r="DM66" i="17"/>
  <c r="DT63" i="17"/>
  <c r="BZ63" i="17"/>
  <c r="BB55" i="16"/>
  <c r="DB63" i="17"/>
  <c r="DI63" i="17"/>
  <c r="BR66" i="17"/>
  <c r="BU63" i="17"/>
  <c r="AC63" i="17"/>
  <c r="DK84" i="17"/>
  <c r="BH84" i="17"/>
  <c r="AT50" i="17"/>
  <c r="BB66" i="17"/>
  <c r="BT66" i="17"/>
  <c r="CP63" i="17"/>
  <c r="BL66" i="17"/>
  <c r="AN63" i="17"/>
  <c r="BY66" i="17"/>
  <c r="AR63" i="17"/>
  <c r="DU84" i="17"/>
  <c r="BG84" i="17"/>
  <c r="BP66" i="17"/>
  <c r="DC75" i="17"/>
  <c r="CB75" i="17"/>
  <c r="CA63" i="17"/>
  <c r="DQ66" i="17"/>
  <c r="CG63" i="17"/>
  <c r="AA75" i="17"/>
  <c r="DK10" i="17"/>
  <c r="X75" i="17"/>
  <c r="AV44" i="17"/>
  <c r="AW90" i="17"/>
  <c r="AW119" i="17" s="1"/>
  <c r="DL10" i="17"/>
  <c r="DN66" i="17"/>
  <c r="AD63" i="17"/>
  <c r="DT84" i="17"/>
  <c r="P75" i="17"/>
  <c r="AX87" i="17"/>
  <c r="CJ10" i="17"/>
  <c r="AM84" i="17"/>
  <c r="CN66" i="17"/>
  <c r="AJ84" i="17"/>
  <c r="DH63" i="17"/>
  <c r="CO66" i="17"/>
  <c r="AN84" i="17"/>
  <c r="BB37" i="16"/>
  <c r="CN37" i="16"/>
  <c r="N75" i="17"/>
  <c r="BS87" i="17"/>
  <c r="CI55" i="17"/>
  <c r="DA87" i="17"/>
  <c r="DH84" i="17"/>
  <c r="DB44" i="17"/>
  <c r="BU84" i="17"/>
  <c r="AM75" i="17"/>
  <c r="DB75" i="17"/>
  <c r="CL75" i="17"/>
  <c r="BB75" i="17"/>
  <c r="BK37" i="16"/>
  <c r="Y63" i="17"/>
  <c r="CW66" i="17"/>
  <c r="DG84" i="17"/>
  <c r="CC84" i="17"/>
  <c r="DQ90" i="17"/>
  <c r="DQ118" i="17" s="1"/>
  <c r="DG66" i="17"/>
  <c r="CZ63" i="17"/>
  <c r="CG84" i="17"/>
  <c r="CN84" i="17"/>
  <c r="DO84" i="17"/>
  <c r="DH66" i="17"/>
  <c r="CE75" i="17"/>
  <c r="AF63" i="17"/>
  <c r="AR12" i="16"/>
  <c r="DU12" i="16"/>
  <c r="CT12" i="16"/>
  <c r="AL66" i="17"/>
  <c r="DO75" i="17"/>
  <c r="CQ75" i="17"/>
  <c r="DJ75" i="17"/>
  <c r="AZ10" i="17"/>
  <c r="BS75" i="17"/>
  <c r="AU75" i="17"/>
  <c r="CU55" i="16"/>
  <c r="BK12" i="16"/>
  <c r="DS12" i="16"/>
  <c r="CU12" i="16"/>
  <c r="BM10" i="17"/>
  <c r="AL84" i="17"/>
  <c r="BP63" i="17"/>
  <c r="DR75" i="17"/>
  <c r="CA75" i="17"/>
  <c r="BN63" i="17"/>
  <c r="AZ84" i="17"/>
  <c r="CI55" i="16"/>
  <c r="CI84" i="17"/>
  <c r="BU66" i="17"/>
  <c r="BZ66" i="17"/>
  <c r="AV63" i="17"/>
  <c r="CN10" i="17"/>
  <c r="BX17" i="17"/>
  <c r="CB12" i="16"/>
  <c r="AU50" i="17"/>
  <c r="CD50" i="17"/>
  <c r="BY87" i="17"/>
  <c r="DN55" i="17"/>
  <c r="CK37" i="16"/>
  <c r="DW37" i="16"/>
  <c r="DL55" i="16"/>
  <c r="BZ37" i="16"/>
  <c r="BA87" i="17"/>
  <c r="BF44" i="17"/>
  <c r="DN87" i="17"/>
  <c r="AS87" i="17"/>
  <c r="AM90" i="17"/>
  <c r="AM119" i="17" s="1"/>
  <c r="CP37" i="16"/>
  <c r="BZ50" i="17"/>
  <c r="DG55" i="17"/>
  <c r="BR87" i="17"/>
  <c r="CG50" i="17"/>
  <c r="CH40" i="16"/>
  <c r="BB40" i="16"/>
  <c r="AQ40" i="16"/>
  <c r="AQ37" i="16"/>
  <c r="DK40" i="16"/>
  <c r="DO87" i="17"/>
  <c r="DR87" i="17"/>
  <c r="AT87" i="17"/>
  <c r="CN50" i="17"/>
  <c r="DS87" i="17"/>
  <c r="CU87" i="17"/>
  <c r="AY87" i="17"/>
  <c r="CX87" i="17"/>
  <c r="DS50" i="17"/>
  <c r="AR87" i="17"/>
  <c r="DG55" i="16"/>
  <c r="DN55" i="16"/>
  <c r="CY55" i="16"/>
  <c r="DT37" i="16"/>
  <c r="AP37" i="16"/>
  <c r="AY55" i="16"/>
  <c r="CF55" i="16"/>
  <c r="BK55" i="16"/>
  <c r="BH35" i="17"/>
  <c r="CZ35" i="17"/>
  <c r="BG35" i="17"/>
  <c r="CY35" i="17"/>
  <c r="BF35" i="17"/>
  <c r="DN35" i="17"/>
  <c r="AV35" i="17"/>
  <c r="BT37" i="16"/>
  <c r="BL44" i="17"/>
  <c r="DV55" i="16"/>
  <c r="DC55" i="16"/>
  <c r="BS55" i="16"/>
  <c r="BM90" i="17"/>
  <c r="BM118" i="17" s="1"/>
  <c r="BF55" i="16"/>
  <c r="CH37" i="16"/>
  <c r="DG90" i="17"/>
  <c r="DG118" i="17" s="1"/>
  <c r="DT90" i="17"/>
  <c r="DT118" i="17" s="1"/>
  <c r="DB55" i="17"/>
  <c r="AN44" i="17"/>
  <c r="BW90" i="17"/>
  <c r="BW119" i="17" s="1"/>
  <c r="DB37" i="16"/>
  <c r="CZ55" i="16"/>
  <c r="DS44" i="17"/>
  <c r="AT55" i="16"/>
  <c r="BQ37" i="16"/>
  <c r="AS55" i="16"/>
  <c r="BY55" i="16"/>
  <c r="CM90" i="17"/>
  <c r="CM118" i="17" s="1"/>
  <c r="BN44" i="17"/>
  <c r="CT44" i="17"/>
  <c r="CU50" i="17"/>
  <c r="AN55" i="16"/>
  <c r="AZ55" i="16"/>
  <c r="CN40" i="16"/>
  <c r="DA37" i="16"/>
  <c r="CO55" i="16"/>
  <c r="BM55" i="16"/>
  <c r="DF63" i="17"/>
  <c r="BW84" i="17"/>
  <c r="AQ87" i="17"/>
  <c r="DD87" i="17"/>
  <c r="BR75" i="17"/>
  <c r="DC37" i="16"/>
  <c r="BA55" i="16"/>
  <c r="BC87" i="17"/>
  <c r="DO50" i="17"/>
  <c r="AL29" i="17"/>
  <c r="DN84" i="17"/>
  <c r="DI44" i="17"/>
  <c r="CU66" i="17"/>
  <c r="AV87" i="17"/>
  <c r="BI35" i="17"/>
  <c r="DA66" i="17"/>
  <c r="BJ87" i="17"/>
  <c r="CY12" i="16"/>
  <c r="AZ37" i="16"/>
  <c r="AV37" i="16"/>
  <c r="BU55" i="17"/>
  <c r="DP12" i="16"/>
  <c r="DB12" i="16"/>
  <c r="BG40" i="16"/>
  <c r="DN12" i="16"/>
  <c r="BG18" i="16"/>
  <c r="DT55" i="16"/>
  <c r="BY12" i="16"/>
  <c r="AS40" i="16"/>
  <c r="CD12" i="16"/>
  <c r="CX55" i="16"/>
  <c r="CF40" i="16"/>
  <c r="BZ12" i="16"/>
  <c r="CP55" i="16"/>
  <c r="BD12" i="16"/>
  <c r="CT37" i="16"/>
  <c r="DQ55" i="16"/>
  <c r="BN17" i="17"/>
  <c r="DB50" i="17"/>
  <c r="CJ44" i="17"/>
  <c r="BF50" i="17"/>
  <c r="CY63" i="17"/>
  <c r="BN50" i="17"/>
  <c r="CG87" i="17"/>
  <c r="AZ35" i="17"/>
  <c r="AY84" i="17"/>
  <c r="CA50" i="17"/>
  <c r="AY63" i="17"/>
  <c r="AV66" i="17"/>
  <c r="AR40" i="16"/>
  <c r="BY37" i="16"/>
  <c r="CT55" i="16"/>
  <c r="DM12" i="16"/>
  <c r="DM40" i="16"/>
  <c r="AV55" i="16"/>
  <c r="BI37" i="16"/>
  <c r="BK40" i="16"/>
  <c r="BM37" i="16"/>
  <c r="DL37" i="16"/>
  <c r="CU40" i="16"/>
  <c r="DO55" i="16"/>
  <c r="AK12" i="16"/>
  <c r="CM40" i="16"/>
  <c r="CJ55" i="16"/>
  <c r="CY40" i="16"/>
  <c r="DP55" i="16"/>
  <c r="BV40" i="16"/>
  <c r="CR55" i="16"/>
  <c r="DF10" i="17"/>
  <c r="CC90" i="17"/>
  <c r="CC119" i="17" s="1"/>
  <c r="DC10" i="17"/>
  <c r="BV90" i="17"/>
  <c r="BV118" i="17" s="1"/>
  <c r="AR90" i="17"/>
  <c r="AR119" i="17" s="1"/>
  <c r="AK84" i="17"/>
  <c r="BL84" i="17"/>
  <c r="AL40" i="16"/>
  <c r="DR90" i="17"/>
  <c r="DR118" i="17" s="1"/>
  <c r="AY37" i="16"/>
  <c r="AQ90" i="17"/>
  <c r="AQ119" i="17" s="1"/>
  <c r="CX50" i="17"/>
  <c r="CZ29" i="17"/>
  <c r="AW44" i="17"/>
  <c r="CE17" i="17"/>
  <c r="BD63" i="17"/>
  <c r="CY50" i="17"/>
  <c r="DP10" i="17"/>
  <c r="AT63" i="17"/>
  <c r="BV84" i="17"/>
  <c r="CN35" i="17"/>
  <c r="DM90" i="17"/>
  <c r="DM119" i="17" s="1"/>
  <c r="CC50" i="17"/>
  <c r="AX63" i="17"/>
  <c r="DT50" i="17"/>
  <c r="DB29" i="17"/>
  <c r="BJ44" i="17"/>
  <c r="CH90" i="17"/>
  <c r="CH119" i="17" s="1"/>
  <c r="AP44" i="17"/>
  <c r="BF90" i="17"/>
  <c r="BF118" i="17" s="1"/>
  <c r="CB50" i="17"/>
  <c r="AU44" i="17"/>
  <c r="BJ17" i="17"/>
  <c r="AP55" i="17"/>
  <c r="DU55" i="17"/>
  <c r="CM29" i="17"/>
  <c r="BJ29" i="17"/>
  <c r="BT84" i="17"/>
  <c r="CJ35" i="17"/>
  <c r="DH75" i="17"/>
  <c r="CI75" i="17"/>
  <c r="CG40" i="16"/>
  <c r="BC18" i="16"/>
  <c r="CT29" i="17"/>
  <c r="BC55" i="16"/>
  <c r="CC40" i="16"/>
  <c r="DI55" i="16"/>
  <c r="AX40" i="16"/>
  <c r="AU40" i="16"/>
  <c r="DO12" i="16"/>
  <c r="N63" i="17"/>
  <c r="BN10" i="17"/>
  <c r="DE17" i="17"/>
  <c r="CR90" i="17"/>
  <c r="CR119" i="17" s="1"/>
  <c r="AQ17" i="17"/>
  <c r="BO90" i="17"/>
  <c r="BO118" i="17" s="1"/>
  <c r="BG50" i="17"/>
  <c r="DU63" i="17"/>
  <c r="CL29" i="17"/>
  <c r="BH55" i="17"/>
  <c r="BZ35" i="17"/>
  <c r="AU87" i="17"/>
  <c r="CO90" i="17"/>
  <c r="CO119" i="17" s="1"/>
  <c r="CV63" i="17"/>
  <c r="DO90" i="17"/>
  <c r="DO119" i="17" s="1"/>
  <c r="CM55" i="17"/>
  <c r="CA17" i="17"/>
  <c r="CV90" i="17"/>
  <c r="CV118" i="17" s="1"/>
  <c r="P63" i="17"/>
  <c r="AY35" i="17"/>
  <c r="BA35" i="17"/>
  <c r="DK35" i="17"/>
  <c r="BV87" i="17"/>
  <c r="DL84" i="17"/>
  <c r="CS75" i="17"/>
  <c r="AT75" i="17"/>
  <c r="AK75" i="17"/>
  <c r="DD10" i="17"/>
  <c r="S63" i="17"/>
  <c r="CM87" i="17"/>
  <c r="DC12" i="16"/>
  <c r="CU63" i="17"/>
  <c r="BQ50" i="17"/>
  <c r="AM44" i="17"/>
  <c r="BS63" i="17"/>
  <c r="CB66" i="17"/>
  <c r="BR10" i="17"/>
  <c r="BI63" i="17"/>
  <c r="AX50" i="17"/>
  <c r="CW35" i="17"/>
  <c r="AN66" i="17"/>
  <c r="AK87" i="17"/>
  <c r="DQ40" i="16"/>
  <c r="BW35" i="17"/>
  <c r="BZ87" i="17"/>
  <c r="BW63" i="17"/>
  <c r="BJ35" i="17"/>
  <c r="CI29" i="17"/>
  <c r="AM29" i="17"/>
  <c r="DT12" i="16"/>
  <c r="CS55" i="16"/>
  <c r="CK55" i="16"/>
  <c r="CE35" i="17"/>
  <c r="BS44" i="17"/>
  <c r="BY55" i="17"/>
  <c r="CJ17" i="17"/>
  <c r="CE87" i="17"/>
  <c r="BP10" i="17"/>
  <c r="CR35" i="17"/>
  <c r="BF84" i="17"/>
  <c r="X63" i="17"/>
  <c r="BF55" i="17"/>
  <c r="AK35" i="17"/>
  <c r="DU75" i="17"/>
  <c r="DQ75" i="17"/>
  <c r="AL75" i="17"/>
  <c r="DJ18" i="16"/>
  <c r="BC12" i="16"/>
  <c r="DA10" i="17"/>
  <c r="DS75" i="17"/>
  <c r="AZ75" i="17"/>
  <c r="CI40" i="16"/>
  <c r="AB63" i="17"/>
  <c r="DP63" i="17"/>
  <c r="AT90" i="17"/>
  <c r="AT118" i="17" s="1"/>
  <c r="BG90" i="17"/>
  <c r="BG118" i="17" s="1"/>
  <c r="BP84" i="17"/>
  <c r="BF75" i="17"/>
  <c r="AR75" i="17"/>
  <c r="CB55" i="16"/>
  <c r="BJ12" i="16"/>
  <c r="DH55" i="16"/>
  <c r="BI40" i="16"/>
  <c r="CV37" i="16"/>
  <c r="BC40" i="16"/>
  <c r="BQ55" i="16"/>
  <c r="DJ37" i="16"/>
  <c r="BG66" i="17"/>
  <c r="BZ44" i="17"/>
  <c r="DT44" i="17"/>
  <c r="DI87" i="17"/>
  <c r="BB44" i="17"/>
  <c r="BM29" i="17"/>
  <c r="BK50" i="17"/>
  <c r="BA66" i="17"/>
  <c r="CZ55" i="17"/>
  <c r="BK29" i="17"/>
  <c r="CV44" i="17"/>
  <c r="BX50" i="17"/>
  <c r="BN66" i="17"/>
  <c r="CP35" i="17"/>
  <c r="AU84" i="17"/>
  <c r="BU35" i="17"/>
  <c r="CD84" i="17"/>
  <c r="BV50" i="17"/>
  <c r="CF35" i="17"/>
  <c r="CC75" i="17"/>
  <c r="BU75" i="17"/>
  <c r="BW75" i="17"/>
  <c r="BA40" i="16"/>
  <c r="BC50" i="17"/>
  <c r="DE87" i="17"/>
  <c r="BD50" i="17"/>
  <c r="AO35" i="17"/>
  <c r="CM75" i="17"/>
  <c r="CQ40" i="16"/>
  <c r="DI40" i="16"/>
  <c r="CE37" i="16"/>
  <c r="BL55" i="16"/>
  <c r="CW55" i="16"/>
  <c r="DR55" i="16"/>
  <c r="BJ37" i="16"/>
  <c r="CU37" i="16"/>
  <c r="CC37" i="16"/>
  <c r="BW37" i="16"/>
  <c r="CS12" i="16"/>
  <c r="AO37" i="16"/>
  <c r="CL55" i="16"/>
  <c r="CE12" i="16"/>
  <c r="BL37" i="16"/>
  <c r="BX40" i="16"/>
  <c r="DA12" i="16"/>
  <c r="BN37" i="16"/>
  <c r="DO37" i="16"/>
  <c r="BH10" i="17"/>
  <c r="BL55" i="17"/>
  <c r="BC35" i="17"/>
  <c r="DD84" i="17"/>
  <c r="CV35" i="17"/>
  <c r="DU87" i="17"/>
  <c r="DK66" i="17"/>
  <c r="DB84" i="17"/>
  <c r="AW84" i="17"/>
  <c r="AY66" i="17"/>
  <c r="DI75" i="17"/>
  <c r="AL35" i="17"/>
  <c r="CE40" i="16"/>
  <c r="BT40" i="16"/>
  <c r="BY40" i="16"/>
  <c r="BX55" i="17"/>
  <c r="DT87" i="17"/>
  <c r="CG17" i="17"/>
  <c r="BT50" i="17"/>
  <c r="DQ87" i="17"/>
  <c r="DJ50" i="17"/>
  <c r="CJ29" i="17"/>
  <c r="BT55" i="17"/>
  <c r="CI90" i="17"/>
  <c r="CI119" i="17" s="1"/>
  <c r="CT50" i="17"/>
  <c r="DC63" i="17"/>
  <c r="CI63" i="17"/>
  <c r="DA35" i="17"/>
  <c r="CJ84" i="17"/>
  <c r="AJ66" i="17"/>
  <c r="DG75" i="17"/>
  <c r="CV75" i="17"/>
  <c r="BM75" i="17"/>
  <c r="BJ75" i="17"/>
  <c r="AV75" i="17"/>
  <c r="AS75" i="17"/>
  <c r="AJ75" i="17"/>
  <c r="AI44" i="1"/>
  <c r="X44" i="1" s="1"/>
  <c r="DW12" i="16"/>
  <c r="CP17" i="17"/>
  <c r="CA66" i="17"/>
  <c r="AU37" i="16"/>
  <c r="CM37" i="16"/>
  <c r="BE55" i="16"/>
  <c r="CT66" i="17"/>
  <c r="BW50" i="17"/>
  <c r="DA44" i="17"/>
  <c r="CX90" i="17"/>
  <c r="CX118" i="17" s="1"/>
  <c r="DF17" i="17"/>
  <c r="CT63" i="17"/>
  <c r="DI35" i="17"/>
  <c r="DF29" i="17"/>
  <c r="AS29" i="17"/>
  <c r="CQ44" i="17"/>
  <c r="CV66" i="17"/>
  <c r="CS10" i="17"/>
  <c r="AS66" i="17"/>
  <c r="CU55" i="17"/>
  <c r="DJ84" i="17"/>
  <c r="DK75" i="17"/>
  <c r="CR75" i="17"/>
  <c r="CJ75" i="17"/>
  <c r="BL75" i="17"/>
  <c r="DO105" i="17"/>
  <c r="BX105" i="17"/>
  <c r="BL105" i="17"/>
  <c r="CO105" i="17"/>
  <c r="CJ105" i="17"/>
  <c r="BS105" i="17"/>
  <c r="BA105" i="17"/>
  <c r="AM105" i="17"/>
  <c r="AU105" i="17"/>
  <c r="AN105" i="17"/>
  <c r="DS105" i="17"/>
  <c r="DG105" i="17"/>
  <c r="CE105" i="17"/>
  <c r="DM105" i="17"/>
  <c r="AT105" i="17"/>
  <c r="DF105" i="17"/>
  <c r="DA105" i="17"/>
  <c r="DT105" i="17"/>
  <c r="BW105" i="17"/>
  <c r="BJ105" i="17"/>
  <c r="AV105" i="17"/>
  <c r="BC105" i="17"/>
  <c r="BP105" i="17"/>
  <c r="AO105" i="17"/>
  <c r="DU105" i="17"/>
  <c r="CW105" i="17"/>
  <c r="CT105" i="17"/>
  <c r="AW105" i="17"/>
  <c r="BT105" i="17"/>
  <c r="BY105" i="17"/>
  <c r="AI46" i="1"/>
  <c r="X46" i="1" s="1"/>
  <c r="CK40" i="16"/>
  <c r="AS12" i="16"/>
  <c r="DG37" i="16"/>
  <c r="DA18" i="16"/>
  <c r="AQ12" i="16"/>
  <c r="K30" i="16"/>
  <c r="BD37" i="16"/>
  <c r="AT12" i="16"/>
  <c r="CW12" i="16"/>
  <c r="CJ12" i="16"/>
  <c r="DE40" i="16"/>
  <c r="AW12" i="16"/>
  <c r="DU40" i="16"/>
  <c r="CH18" i="16"/>
  <c r="CG10" i="17"/>
  <c r="DI10" i="17"/>
  <c r="CT90" i="17"/>
  <c r="DS10" i="17"/>
  <c r="DT10" i="17"/>
  <c r="DR35" i="17"/>
  <c r="DC84" i="17"/>
  <c r="BQ55" i="17"/>
  <c r="BO55" i="17"/>
  <c r="CW90" i="17"/>
  <c r="CC29" i="17"/>
  <c r="CI87" i="17"/>
  <c r="DL55" i="17"/>
  <c r="BM84" i="17"/>
  <c r="BT90" i="17"/>
  <c r="DQ35" i="17"/>
  <c r="R63" i="17"/>
  <c r="AW55" i="17"/>
  <c r="DT66" i="17"/>
  <c r="CX84" i="17"/>
  <c r="BF87" i="17"/>
  <c r="CA35" i="17"/>
  <c r="CI10" i="17"/>
  <c r="DM10" i="17"/>
  <c r="CR44" i="17"/>
  <c r="AJ10" i="17"/>
  <c r="BF17" i="17"/>
  <c r="AN90" i="17"/>
  <c r="AW29" i="17"/>
  <c r="CL17" i="17"/>
  <c r="CD10" i="17"/>
  <c r="CM50" i="17"/>
  <c r="BV55" i="17"/>
  <c r="AO17" i="17"/>
  <c r="BU87" i="17"/>
  <c r="DO29" i="17"/>
  <c r="CN105" i="17"/>
  <c r="DC66" i="17"/>
  <c r="BO87" i="17"/>
  <c r="DC50" i="17"/>
  <c r="BB87" i="17"/>
  <c r="CE29" i="17"/>
  <c r="DV35" i="17"/>
  <c r="BA90" i="17"/>
  <c r="AK50" i="17"/>
  <c r="BR63" i="17"/>
  <c r="BR44" i="17"/>
  <c r="BX35" i="17"/>
  <c r="DQ105" i="17"/>
  <c r="CT35" i="17"/>
  <c r="DJ10" i="17"/>
  <c r="DC87" i="17"/>
  <c r="DM50" i="17"/>
  <c r="BS17" i="17"/>
  <c r="DM29" i="17"/>
  <c r="BF63" i="17"/>
  <c r="DF35" i="17"/>
  <c r="DV75" i="17"/>
  <c r="CP75" i="17"/>
  <c r="BO75" i="17"/>
  <c r="BK75" i="17"/>
  <c r="BG75" i="17"/>
  <c r="AN75" i="17"/>
  <c r="CP18" i="16"/>
  <c r="AI48" i="1"/>
  <c r="X48" i="1" s="1"/>
  <c r="DI12" i="16"/>
  <c r="DW18" i="16"/>
  <c r="DU18" i="16"/>
  <c r="CQ37" i="16"/>
  <c r="BS37" i="16"/>
  <c r="BH55" i="16"/>
  <c r="AM18" i="16"/>
  <c r="M16" i="16"/>
  <c r="K17" i="16"/>
  <c r="K16" i="16" s="1"/>
  <c r="BR18" i="16"/>
  <c r="AN12" i="16"/>
  <c r="DV40" i="16"/>
  <c r="CD40" i="16"/>
  <c r="BX18" i="16"/>
  <c r="AK40" i="16"/>
  <c r="AQ55" i="16"/>
  <c r="BY18" i="16"/>
  <c r="CT18" i="16"/>
  <c r="EQ187" i="11"/>
  <c r="EQ31" i="5"/>
  <c r="J186" i="11"/>
  <c r="DC17" i="17"/>
  <c r="DM55" i="17"/>
  <c r="CG66" i="17"/>
  <c r="CQ105" i="17"/>
  <c r="DB87" i="17"/>
  <c r="DH17" i="17"/>
  <c r="AX10" i="17"/>
  <c r="BV17" i="17"/>
  <c r="DN44" i="17"/>
  <c r="BG55" i="17"/>
  <c r="CL105" i="17"/>
  <c r="BB55" i="17"/>
  <c r="CK87" i="17"/>
  <c r="AN87" i="17"/>
  <c r="AW17" i="17"/>
  <c r="BH63" i="17"/>
  <c r="CP55" i="17"/>
  <c r="BP44" i="17"/>
  <c r="AV90" i="17"/>
  <c r="CD29" i="17"/>
  <c r="CV10" i="17"/>
  <c r="BQ90" i="17"/>
  <c r="BL17" i="17"/>
  <c r="CE90" i="17"/>
  <c r="CR55" i="17"/>
  <c r="BQ44" i="17"/>
  <c r="DL44" i="17"/>
  <c r="CU10" i="17"/>
  <c r="BF105" i="17"/>
  <c r="AL87" i="17"/>
  <c r="DP66" i="17"/>
  <c r="BC84" i="17"/>
  <c r="AX105" i="17"/>
  <c r="AM63" i="17"/>
  <c r="AO29" i="17"/>
  <c r="DE29" i="17"/>
  <c r="DT17" i="17"/>
  <c r="DF84" i="17"/>
  <c r="BC90" i="17"/>
  <c r="AP87" i="17"/>
  <c r="AV29" i="17"/>
  <c r="BD10" i="17"/>
  <c r="CY10" i="17"/>
  <c r="DE90" i="17"/>
  <c r="DN63" i="17"/>
  <c r="BR35" i="17"/>
  <c r="BE55" i="17"/>
  <c r="AJ55" i="17"/>
  <c r="W63" i="17"/>
  <c r="DL87" i="17"/>
  <c r="CH35" i="17"/>
  <c r="CR105" i="17"/>
  <c r="CY105" i="17"/>
  <c r="CI35" i="17"/>
  <c r="DR63" i="17"/>
  <c r="CC44" i="17"/>
  <c r="BZ55" i="17"/>
  <c r="CH66" i="17"/>
  <c r="BC66" i="17"/>
  <c r="CK66" i="17"/>
  <c r="AS10" i="17"/>
  <c r="DH35" i="17"/>
  <c r="AZ50" i="17"/>
  <c r="CF75" i="17"/>
  <c r="L75" i="17"/>
  <c r="J77" i="17"/>
  <c r="K19" i="16"/>
  <c r="CQ12" i="16"/>
  <c r="DF18" i="16"/>
  <c r="EQ39" i="5"/>
  <c r="J196" i="11"/>
  <c r="AI51" i="1"/>
  <c r="X51" i="1" s="1"/>
  <c r="AM12" i="16"/>
  <c r="BI55" i="16"/>
  <c r="DE55" i="16"/>
  <c r="DQ12" i="16"/>
  <c r="K29" i="16"/>
  <c r="CL12" i="16"/>
  <c r="CZ18" i="16"/>
  <c r="CS37" i="16"/>
  <c r="BJ40" i="16"/>
  <c r="CR37" i="16"/>
  <c r="CI37" i="16"/>
  <c r="AR55" i="16"/>
  <c r="DK18" i="16"/>
  <c r="BF37" i="16"/>
  <c r="BA12" i="16"/>
  <c r="BO55" i="16"/>
  <c r="BW18" i="16"/>
  <c r="CV55" i="16"/>
  <c r="DI37" i="16"/>
  <c r="DD12" i="16"/>
  <c r="DO40" i="16"/>
  <c r="AT37" i="16"/>
  <c r="BZ55" i="16"/>
  <c r="CN55" i="16"/>
  <c r="DC40" i="16"/>
  <c r="BV55" i="16"/>
  <c r="CW40" i="16"/>
  <c r="BM40" i="16"/>
  <c r="BW55" i="16"/>
  <c r="AU12" i="16"/>
  <c r="AV12" i="16"/>
  <c r="DU55" i="16"/>
  <c r="BJ55" i="16"/>
  <c r="BX12" i="16"/>
  <c r="BH44" i="17"/>
  <c r="DN90" i="17"/>
  <c r="AK10" i="17"/>
  <c r="BV35" i="17"/>
  <c r="AX90" i="17"/>
  <c r="CU35" i="17"/>
  <c r="DU10" i="17"/>
  <c r="BH105" i="17"/>
  <c r="BJ55" i="17"/>
  <c r="CJ66" i="17"/>
  <c r="BV63" i="17"/>
  <c r="DO63" i="17"/>
  <c r="DS29" i="17"/>
  <c r="CS63" i="17"/>
  <c r="CF44" i="17"/>
  <c r="AJ35" i="17"/>
  <c r="DP29" i="17"/>
  <c r="BC63" i="17"/>
  <c r="DD90" i="17"/>
  <c r="BV10" i="17"/>
  <c r="CG90" i="17"/>
  <c r="CP105" i="17"/>
  <c r="BS29" i="17"/>
  <c r="AO55" i="17"/>
  <c r="BM66" i="17"/>
  <c r="BU29" i="17"/>
  <c r="AZ105" i="17"/>
  <c r="AY105" i="17"/>
  <c r="BM55" i="17"/>
  <c r="BA63" i="17"/>
  <c r="CO29" i="17"/>
  <c r="CR66" i="17"/>
  <c r="DS84" i="17"/>
  <c r="DJ44" i="17"/>
  <c r="CL90" i="17"/>
  <c r="CS55" i="17"/>
  <c r="BR17" i="17"/>
  <c r="CN17" i="17"/>
  <c r="BD44" i="17"/>
  <c r="BW44" i="17"/>
  <c r="CT10" i="17"/>
  <c r="BI84" i="17"/>
  <c r="AR66" i="17"/>
  <c r="CW10" i="17"/>
  <c r="AS90" i="17"/>
  <c r="BS50" i="17"/>
  <c r="CJ63" i="17"/>
  <c r="CF87" i="17"/>
  <c r="AN35" i="17"/>
  <c r="BZ10" i="17"/>
  <c r="DT35" i="17"/>
  <c r="CQ84" i="17"/>
  <c r="CO35" i="17"/>
  <c r="AU55" i="17"/>
  <c r="BB105" i="17"/>
  <c r="AL44" i="17"/>
  <c r="DO35" i="17"/>
  <c r="CH10" i="17"/>
  <c r="DB90" i="17"/>
  <c r="CG29" i="17"/>
  <c r="CO44" i="17"/>
  <c r="DU35" i="17"/>
  <c r="V63" i="17"/>
  <c r="CF90" i="17"/>
  <c r="DP50" i="17"/>
  <c r="BQ10" i="17"/>
  <c r="CI66" i="17"/>
  <c r="CO17" i="17"/>
  <c r="AA63" i="17"/>
  <c r="CR84" i="17"/>
  <c r="J76" i="17"/>
  <c r="K21" i="16"/>
  <c r="AI47" i="1"/>
  <c r="X47" i="1" s="1"/>
  <c r="AI43" i="1"/>
  <c r="X43" i="1" s="1"/>
  <c r="BV18" i="16"/>
  <c r="DH40" i="16"/>
  <c r="AM40" i="16"/>
  <c r="CE55" i="16"/>
  <c r="AV40" i="16"/>
  <c r="DG40" i="16"/>
  <c r="BU55" i="16"/>
  <c r="BL40" i="16"/>
  <c r="CG55" i="16"/>
  <c r="AL37" i="16"/>
  <c r="BR55" i="16"/>
  <c r="CF12" i="16"/>
  <c r="CC12" i="16"/>
  <c r="AU55" i="16"/>
  <c r="DH18" i="16"/>
  <c r="DJ12" i="16"/>
  <c r="CB40" i="16"/>
  <c r="AZ40" i="16"/>
  <c r="CJ40" i="16"/>
  <c r="CN12" i="16"/>
  <c r="CE18" i="16"/>
  <c r="CY18" i="16"/>
  <c r="DR12" i="16"/>
  <c r="DN40" i="16"/>
  <c r="DD37" i="16"/>
  <c r="AY18" i="16"/>
  <c r="DP40" i="16"/>
  <c r="AL55" i="16"/>
  <c r="DS18" i="16"/>
  <c r="DG18" i="16"/>
  <c r="CK18" i="16"/>
  <c r="BG55" i="16"/>
  <c r="K24" i="16"/>
  <c r="CC35" i="17"/>
  <c r="DD29" i="17"/>
  <c r="BJ50" i="17"/>
  <c r="BX90" i="17"/>
  <c r="DS35" i="17"/>
  <c r="BS10" i="17"/>
  <c r="DG50" i="17"/>
  <c r="AR55" i="17"/>
  <c r="DC44" i="17"/>
  <c r="BV29" i="17"/>
  <c r="J30" i="17"/>
  <c r="BU17" i="17"/>
  <c r="DF44" i="17"/>
  <c r="CL10" i="17"/>
  <c r="DQ84" i="17"/>
  <c r="CA29" i="17"/>
  <c r="BD84" i="17"/>
  <c r="AM55" i="17"/>
  <c r="DV105" i="17"/>
  <c r="CB84" i="17"/>
  <c r="CU44" i="17"/>
  <c r="CY44" i="17"/>
  <c r="DV90" i="17"/>
  <c r="CZ10" i="17"/>
  <c r="CB17" i="17"/>
  <c r="AO10" i="17"/>
  <c r="CK10" i="17"/>
  <c r="CQ87" i="17"/>
  <c r="DL35" i="17"/>
  <c r="BV66" i="17"/>
  <c r="AE63" i="17"/>
  <c r="AS55" i="17"/>
  <c r="DV44" i="17"/>
  <c r="CV84" i="17"/>
  <c r="BJ66" i="17"/>
  <c r="CF63" i="17"/>
  <c r="AQ50" i="17"/>
  <c r="CY29" i="17"/>
  <c r="CH55" i="17"/>
  <c r="DP105" i="17"/>
  <c r="CJ55" i="17"/>
  <c r="AM66" i="17"/>
  <c r="AQ44" i="17"/>
  <c r="CD63" i="17"/>
  <c r="DR105" i="17"/>
  <c r="CT17" i="17"/>
  <c r="CZ87" i="17"/>
  <c r="AS44" i="17"/>
  <c r="CA105" i="17"/>
  <c r="CB90" i="17"/>
  <c r="CB10" i="17"/>
  <c r="CL55" i="17"/>
  <c r="CM66" i="17"/>
  <c r="AZ90" i="17"/>
  <c r="BX87" i="17"/>
  <c r="BR84" i="17"/>
  <c r="CP66" i="17"/>
  <c r="CR63" i="17"/>
  <c r="AV17" i="17"/>
  <c r="DU66" i="17"/>
  <c r="AM17" i="17"/>
  <c r="DK12" i="16"/>
  <c r="BZ18" i="16"/>
  <c r="AR37" i="16"/>
  <c r="CI12" i="16"/>
  <c r="BK18" i="16"/>
  <c r="CD37" i="16"/>
  <c r="AY40" i="16"/>
  <c r="AK37" i="16"/>
  <c r="DM37" i="16"/>
  <c r="BH18" i="16"/>
  <c r="CV12" i="16"/>
  <c r="AT40" i="16"/>
  <c r="K25" i="16"/>
  <c r="CV29" i="17"/>
  <c r="BE50" i="17"/>
  <c r="DE55" i="17"/>
  <c r="BN87" i="17"/>
  <c r="CI50" i="17"/>
  <c r="AP17" i="17"/>
  <c r="CQ17" i="17"/>
  <c r="DV10" i="17"/>
  <c r="DG44" i="17"/>
  <c r="DQ17" i="17"/>
  <c r="DG17" i="17"/>
  <c r="BX29" i="17"/>
  <c r="AR35" i="17"/>
  <c r="AY44" i="17"/>
  <c r="DJ17" i="17"/>
  <c r="CF55" i="17"/>
  <c r="BE66" i="17"/>
  <c r="AW50" i="17"/>
  <c r="DK105" i="17"/>
  <c r="AN29" i="17"/>
  <c r="BG63" i="17"/>
  <c r="CW17" i="17"/>
  <c r="CK29" i="17"/>
  <c r="DI50" i="17"/>
  <c r="BK105" i="17"/>
  <c r="BB17" i="17"/>
  <c r="CK90" i="17"/>
  <c r="CP90" i="17"/>
  <c r="CI44" i="17"/>
  <c r="AO63" i="17"/>
  <c r="BB63" i="17"/>
  <c r="BB90" i="17"/>
  <c r="CC105" i="17"/>
  <c r="BN90" i="17"/>
  <c r="AP10" i="17"/>
  <c r="BO17" i="17"/>
  <c r="AT66" i="17"/>
  <c r="AZ66" i="17"/>
  <c r="DD55" i="17"/>
  <c r="BI87" i="17"/>
  <c r="DR66" i="17"/>
  <c r="DI55" i="17"/>
  <c r="CR17" i="17"/>
  <c r="AR50" i="17"/>
  <c r="DA17" i="17"/>
  <c r="DH105" i="17"/>
  <c r="BL87" i="17"/>
  <c r="BI10" i="17"/>
  <c r="CX44" i="17"/>
  <c r="BE90" i="17"/>
  <c r="BL29" i="17"/>
  <c r="BC55" i="17"/>
  <c r="BY35" i="17"/>
  <c r="AX35" i="17"/>
  <c r="DH87" i="17"/>
  <c r="DF90" i="17"/>
  <c r="BK17" i="17"/>
  <c r="AK66" i="17"/>
  <c r="BO10" i="17"/>
  <c r="DF66" i="17"/>
  <c r="AZ63" i="17"/>
  <c r="M63" i="17"/>
  <c r="AK44" i="17"/>
  <c r="AU90" i="17"/>
  <c r="DJ87" i="17"/>
  <c r="CZ17" i="17"/>
  <c r="CD35" i="17"/>
  <c r="BK55" i="17"/>
  <c r="CH84" i="17"/>
  <c r="DN75" i="17"/>
  <c r="DA75" i="17"/>
  <c r="CW75" i="17"/>
  <c r="BN75" i="17"/>
  <c r="BA75" i="17"/>
  <c r="DI18" i="16"/>
  <c r="AI45" i="1"/>
  <c r="X45" i="1" s="1"/>
  <c r="CX18" i="16"/>
  <c r="AM37" i="16"/>
  <c r="BL18" i="16"/>
  <c r="DD18" i="16"/>
  <c r="DJ55" i="16"/>
  <c r="AW18" i="16"/>
  <c r="AO40" i="16"/>
  <c r="BP40" i="16"/>
  <c r="CP40" i="16"/>
  <c r="DT18" i="16"/>
  <c r="BU37" i="16"/>
  <c r="BB18" i="16"/>
  <c r="BP12" i="16"/>
  <c r="AX12" i="16"/>
  <c r="BQ12" i="16"/>
  <c r="CS40" i="16"/>
  <c r="AM55" i="16"/>
  <c r="BZ40" i="16"/>
  <c r="BH12" i="16"/>
  <c r="AZ12" i="16"/>
  <c r="CC55" i="16"/>
  <c r="BP55" i="16"/>
  <c r="DU37" i="16"/>
  <c r="BD40" i="16"/>
  <c r="DE37" i="16"/>
  <c r="BA37" i="16"/>
  <c r="BT12" i="16"/>
  <c r="DJ40" i="16"/>
  <c r="CN18" i="16"/>
  <c r="AK55" i="16"/>
  <c r="AO18" i="16"/>
  <c r="BW40" i="16"/>
  <c r="BC37" i="16"/>
  <c r="AP55" i="16"/>
  <c r="DP17" i="17"/>
  <c r="BV44" i="17"/>
  <c r="DO55" i="17"/>
  <c r="CL50" i="17"/>
  <c r="DF55" i="17"/>
  <c r="BO105" i="17"/>
  <c r="BR29" i="17"/>
  <c r="DD66" i="17"/>
  <c r="CH29" i="17"/>
  <c r="DK55" i="17"/>
  <c r="AS50" i="17"/>
  <c r="DH44" i="17"/>
  <c r="BP55" i="17"/>
  <c r="BI17" i="17"/>
  <c r="BP35" i="17"/>
  <c r="CD17" i="17"/>
  <c r="BW10" i="17"/>
  <c r="DP55" i="17"/>
  <c r="DN50" i="17"/>
  <c r="DF50" i="17"/>
  <c r="CX66" i="17"/>
  <c r="DQ50" i="17"/>
  <c r="CV87" i="17"/>
  <c r="DE44" i="17"/>
  <c r="CZ84" i="17"/>
  <c r="AM10" i="17"/>
  <c r="BK84" i="17"/>
  <c r="AR10" i="17"/>
  <c r="BS66" i="17"/>
  <c r="BI29" i="17"/>
  <c r="BQ35" i="17"/>
  <c r="BH29" i="17"/>
  <c r="CV50" i="17"/>
  <c r="AS17" i="17"/>
  <c r="BY17" i="17"/>
  <c r="AM50" i="17"/>
  <c r="BX63" i="17"/>
  <c r="DI84" i="17"/>
  <c r="BA44" i="17"/>
  <c r="AY10" i="17"/>
  <c r="CS44" i="17"/>
  <c r="CM10" i="17"/>
  <c r="AP90" i="17"/>
  <c r="CH17" i="17"/>
  <c r="DK50" i="17"/>
  <c r="AX44" i="17"/>
  <c r="BL35" i="17"/>
  <c r="DU44" i="17"/>
  <c r="CB105" i="17"/>
  <c r="BZ84" i="17"/>
  <c r="BN29" i="17"/>
  <c r="AK90" i="17"/>
  <c r="AZ29" i="17"/>
  <c r="AL105" i="17"/>
  <c r="DV84" i="17"/>
  <c r="DE50" i="17"/>
  <c r="AQ29" i="17"/>
  <c r="CT55" i="17"/>
  <c r="AS105" i="17"/>
  <c r="AP84" i="17"/>
  <c r="AJ87" i="17"/>
  <c r="CO55" i="17"/>
  <c r="AP35" i="17"/>
  <c r="CG44" i="17"/>
  <c r="CX105" i="17"/>
  <c r="CC66" i="17"/>
  <c r="BP87" i="17"/>
  <c r="BG17" i="17"/>
  <c r="BH90" i="17"/>
  <c r="BT63" i="17"/>
  <c r="BB10" i="17"/>
  <c r="CC17" i="17"/>
  <c r="CL84" i="17"/>
  <c r="AO84" i="17"/>
  <c r="DU50" i="17"/>
  <c r="DH55" i="17"/>
  <c r="CW63" i="17"/>
  <c r="CF84" i="17"/>
  <c r="DI66" i="17"/>
  <c r="BV105" i="17"/>
  <c r="BR105" i="17"/>
  <c r="DB17" i="17"/>
  <c r="BS35" i="17"/>
  <c r="DM75" i="17"/>
  <c r="DF75" i="17"/>
  <c r="CZ75" i="17"/>
  <c r="CX75" i="17"/>
  <c r="CT75" i="17"/>
  <c r="BY75" i="17"/>
  <c r="AW75" i="17"/>
  <c r="AO75" i="17"/>
  <c r="CD18" i="16"/>
  <c r="AI42" i="1"/>
  <c r="X42" i="1" s="1"/>
  <c r="BD18" i="16"/>
  <c r="DC18" i="16"/>
  <c r="BW12" i="16"/>
  <c r="CI18" i="16"/>
  <c r="CS18" i="16"/>
  <c r="CZ12" i="16"/>
  <c r="BO18" i="16"/>
  <c r="AR18" i="16"/>
  <c r="CY37" i="16"/>
  <c r="DL12" i="16"/>
  <c r="CL40" i="16"/>
  <c r="CQ55" i="16"/>
  <c r="BN12" i="16"/>
  <c r="AW40" i="16"/>
  <c r="BO37" i="16"/>
  <c r="CH55" i="16"/>
  <c r="CU18" i="16"/>
  <c r="AW37" i="16"/>
  <c r="K23" i="16"/>
  <c r="CF37" i="16"/>
  <c r="AU18" i="16"/>
  <c r="BE12" i="16"/>
  <c r="BR12" i="16"/>
  <c r="CX12" i="16"/>
  <c r="BG37" i="16"/>
  <c r="K26" i="16"/>
  <c r="DE12" i="16"/>
  <c r="BU18" i="16"/>
  <c r="DA55" i="16"/>
  <c r="K50" i="16"/>
  <c r="BN18" i="16"/>
  <c r="DR18" i="16"/>
  <c r="CR40" i="16"/>
  <c r="BG12" i="16"/>
  <c r="DM18" i="16"/>
  <c r="DK37" i="16"/>
  <c r="DV37" i="16"/>
  <c r="BM35" i="17"/>
  <c r="J20" i="17"/>
  <c r="CQ50" i="17"/>
  <c r="DR50" i="17"/>
  <c r="AW35" i="17"/>
  <c r="CK55" i="17"/>
  <c r="CL44" i="17"/>
  <c r="DO66" i="17"/>
  <c r="AT17" i="17"/>
  <c r="DD17" i="17"/>
  <c r="CK44" i="17"/>
  <c r="BP50" i="17"/>
  <c r="CO87" i="17"/>
  <c r="CX35" i="17"/>
  <c r="CJ90" i="17"/>
  <c r="DL105" i="17"/>
  <c r="AX17" i="17"/>
  <c r="BG105" i="17"/>
  <c r="CB63" i="17"/>
  <c r="AV50" i="17"/>
  <c r="CM63" i="17"/>
  <c r="DD105" i="17"/>
  <c r="BS55" i="17"/>
  <c r="BK44" i="17"/>
  <c r="BJ10" i="17"/>
  <c r="DJ55" i="17"/>
  <c r="AX55" i="17"/>
  <c r="BT29" i="17"/>
  <c r="J64" i="17"/>
  <c r="L63" i="17"/>
  <c r="BF29" i="17"/>
  <c r="BO35" i="17"/>
  <c r="CK63" i="17"/>
  <c r="BY44" i="17"/>
  <c r="BJ63" i="17"/>
  <c r="CP87" i="17"/>
  <c r="DG10" i="17"/>
  <c r="BY10" i="17"/>
  <c r="DM87" i="17"/>
  <c r="AQ35" i="17"/>
  <c r="AJ17" i="17"/>
  <c r="AJ63" i="17"/>
  <c r="DK44" i="17"/>
  <c r="CD66" i="17"/>
  <c r="J18" i="17"/>
  <c r="DA90" i="17"/>
  <c r="DL50" i="17"/>
  <c r="CX29" i="17"/>
  <c r="DJ105" i="17"/>
  <c r="CY90" i="17"/>
  <c r="CY17" i="17"/>
  <c r="BI90" i="17"/>
  <c r="BZ90" i="17"/>
  <c r="Z63" i="17"/>
  <c r="AR105" i="17"/>
  <c r="CZ44" i="17"/>
  <c r="DA50" i="17"/>
  <c r="AJ105" i="17"/>
  <c r="DM44" i="17"/>
  <c r="DL29" i="17"/>
  <c r="AL17" i="17"/>
  <c r="AK29" i="17"/>
  <c r="BU105" i="17"/>
  <c r="CA10" i="17"/>
  <c r="CE50" i="17"/>
  <c r="BD66" i="17"/>
  <c r="AZ55" i="17"/>
  <c r="AT35" i="17"/>
  <c r="DO10" i="17"/>
  <c r="BK90" i="17"/>
  <c r="CS35" i="17"/>
  <c r="CQ63" i="17"/>
  <c r="AT29" i="17"/>
  <c r="AY50" i="17"/>
  <c r="BE35" i="17"/>
  <c r="BX44" i="17"/>
  <c r="CL87" i="17"/>
  <c r="BB84" i="17"/>
  <c r="BE105" i="17"/>
  <c r="CL35" i="17"/>
  <c r="DU90" i="17"/>
  <c r="AP66" i="17"/>
  <c r="DE75" i="17"/>
  <c r="CN75" i="17"/>
  <c r="CK75" i="17"/>
  <c r="DI29" i="17"/>
  <c r="DN105" i="17"/>
  <c r="CY55" i="17"/>
  <c r="DC55" i="17"/>
  <c r="DN29" i="17"/>
  <c r="DP87" i="17"/>
  <c r="BW29" i="17"/>
  <c r="AL50" i="17"/>
  <c r="CQ35" i="17"/>
  <c r="BW66" i="17"/>
  <c r="BB50" i="17"/>
  <c r="BR90" i="17"/>
  <c r="BG10" i="17"/>
  <c r="DR55" i="17"/>
  <c r="CO10" i="17"/>
  <c r="CX55" i="17"/>
  <c r="BH50" i="17"/>
  <c r="BZ105" i="17"/>
  <c r="CG105" i="17"/>
  <c r="BT44" i="17"/>
  <c r="AN55" i="17"/>
  <c r="J85" i="17"/>
  <c r="AK105" i="17"/>
  <c r="AL10" i="17"/>
  <c r="AV10" i="17"/>
  <c r="CB55" i="17"/>
  <c r="CM105" i="17"/>
  <c r="DD44" i="17"/>
  <c r="BL10" i="17"/>
  <c r="CD90" i="17"/>
  <c r="DR10" i="17"/>
  <c r="CK35" i="17"/>
  <c r="BM105" i="17"/>
  <c r="CU17" i="17"/>
  <c r="CE63" i="17"/>
  <c r="DO17" i="17"/>
  <c r="BA10" i="17"/>
  <c r="J67" i="17"/>
  <c r="BY90" i="17"/>
  <c r="CW55" i="17"/>
  <c r="DV17" i="17"/>
  <c r="CE44" i="17"/>
  <c r="BA17" i="17"/>
  <c r="CF66" i="17"/>
  <c r="DJ29" i="17"/>
  <c r="CF10" i="17"/>
  <c r="AK17" i="17"/>
  <c r="BE87" i="17"/>
  <c r="AZ44" i="17"/>
  <c r="CI105" i="17"/>
  <c r="CN87" i="17"/>
  <c r="AJ29" i="17"/>
  <c r="CQ90" i="17"/>
  <c r="BH87" i="17"/>
  <c r="AT55" i="17"/>
  <c r="AP29" i="17"/>
  <c r="AY29" i="17"/>
  <c r="AR84" i="17"/>
  <c r="AS35" i="17"/>
  <c r="CU84" i="17"/>
  <c r="CC55" i="17"/>
  <c r="DC105" i="17"/>
  <c r="CU90" i="17"/>
  <c r="AX66" i="17"/>
  <c r="CV55" i="17"/>
  <c r="DE84" i="17"/>
  <c r="AO44" i="17"/>
  <c r="DD75" i="17"/>
  <c r="BE75" i="17"/>
  <c r="AX75" i="17"/>
  <c r="AP75" i="17"/>
  <c r="J32" i="5"/>
  <c r="AH27" i="17"/>
  <c r="AT18" i="16"/>
  <c r="DB18" i="16"/>
  <c r="EF27" i="5"/>
  <c r="EF167" i="11"/>
  <c r="CL18" i="16"/>
  <c r="AQ18" i="16"/>
  <c r="AN18" i="16"/>
  <c r="BF18" i="16"/>
  <c r="CT40" i="16"/>
  <c r="DF12" i="16"/>
  <c r="BE18" i="16"/>
  <c r="K27" i="16"/>
  <c r="CO40" i="16"/>
  <c r="DO18" i="16"/>
  <c r="CA37" i="16"/>
  <c r="DT40" i="16"/>
  <c r="CM55" i="16"/>
  <c r="BV12" i="16"/>
  <c r="CA55" i="16"/>
  <c r="CV18" i="16"/>
  <c r="CF18" i="16"/>
  <c r="BH40" i="16"/>
  <c r="CL37" i="16"/>
  <c r="DR37" i="16"/>
  <c r="CQ18" i="16"/>
  <c r="AO12" i="16"/>
  <c r="CR18" i="16"/>
  <c r="AO55" i="16"/>
  <c r="BO12" i="16"/>
  <c r="DN18" i="16"/>
  <c r="CJ37" i="16"/>
  <c r="CD55" i="16"/>
  <c r="BT55" i="16"/>
  <c r="DR40" i="16"/>
  <c r="BX37" i="16"/>
  <c r="BI18" i="16"/>
  <c r="CK12" i="16"/>
  <c r="AN40" i="16"/>
  <c r="CA40" i="16"/>
  <c r="BJ18" i="16"/>
  <c r="CR12" i="16"/>
  <c r="AN37" i="16"/>
  <c r="BE37" i="16"/>
  <c r="DS55" i="16"/>
  <c r="BF40" i="16"/>
  <c r="AI75" i="17"/>
  <c r="DQ10" i="17"/>
  <c r="CK17" i="17"/>
  <c r="CI17" i="17"/>
  <c r="BM17" i="17"/>
  <c r="AY17" i="17"/>
  <c r="CY87" i="17"/>
  <c r="DQ44" i="17"/>
  <c r="CN55" i="17"/>
  <c r="DE63" i="17"/>
  <c r="BY29" i="17"/>
  <c r="CW50" i="17"/>
  <c r="CN44" i="17"/>
  <c r="CU29" i="17"/>
  <c r="BO44" i="17"/>
  <c r="AT10" i="17"/>
  <c r="BY50" i="17"/>
  <c r="DV63" i="17"/>
  <c r="DC35" i="17"/>
  <c r="BD29" i="17"/>
  <c r="BA55" i="17"/>
  <c r="DB105" i="17"/>
  <c r="AT44" i="17"/>
  <c r="DT55" i="17"/>
  <c r="DN10" i="17"/>
  <c r="CK105" i="17"/>
  <c r="BA29" i="17"/>
  <c r="BN35" i="17"/>
  <c r="DU17" i="17"/>
  <c r="CS29" i="17"/>
  <c r="DE10" i="17"/>
  <c r="DA84" i="17"/>
  <c r="BI50" i="17"/>
  <c r="DR44" i="17"/>
  <c r="AZ87" i="17"/>
  <c r="DR29" i="17"/>
  <c r="BM87" i="17"/>
  <c r="BN105" i="17"/>
  <c r="CF17" i="17"/>
  <c r="CH44" i="17"/>
  <c r="DJ35" i="17"/>
  <c r="DK63" i="17"/>
  <c r="AV55" i="17"/>
  <c r="AR44" i="17"/>
  <c r="BM44" i="17"/>
  <c r="DL17" i="17"/>
  <c r="CX10" i="17"/>
  <c r="DP35" i="17"/>
  <c r="BI55" i="17"/>
  <c r="CA90" i="17"/>
  <c r="BU90" i="17"/>
  <c r="BM50" i="17"/>
  <c r="CD87" i="17"/>
  <c r="CQ10" i="17"/>
  <c r="CN29" i="17"/>
  <c r="DE105" i="17"/>
  <c r="BF10" i="17"/>
  <c r="CF29" i="17"/>
  <c r="DT29" i="17"/>
  <c r="DD63" i="17"/>
  <c r="AN10" i="17"/>
  <c r="DB35" i="17"/>
  <c r="BN84" i="17"/>
  <c r="AP63" i="17"/>
  <c r="BW87" i="17"/>
  <c r="AW10" i="17"/>
  <c r="BT35" i="17"/>
  <c r="BQ84" i="17"/>
  <c r="CB87" i="17"/>
  <c r="CS84" i="17"/>
  <c r="CZ105" i="17"/>
  <c r="AY90" i="17"/>
  <c r="DG35" i="17"/>
  <c r="BS90" i="17"/>
  <c r="CG35" i="17"/>
  <c r="BP17" i="17"/>
  <c r="CP29" i="17"/>
  <c r="BC10" i="17"/>
  <c r="S75" i="17"/>
  <c r="CG75" i="17"/>
  <c r="BX75" i="17"/>
  <c r="AI50" i="1"/>
  <c r="X50" i="1" s="1"/>
  <c r="BM18" i="16"/>
  <c r="BB12" i="16"/>
  <c r="AP18" i="16"/>
  <c r="DW55" i="16"/>
  <c r="BT18" i="16"/>
  <c r="BE40" i="16"/>
  <c r="DA40" i="16"/>
  <c r="AS18" i="16"/>
  <c r="CB18" i="16"/>
  <c r="DS40" i="16"/>
  <c r="BI12" i="16"/>
  <c r="DD40" i="16"/>
  <c r="CB37" i="16"/>
  <c r="K22" i="16"/>
  <c r="CO37" i="16"/>
  <c r="DW82" i="16"/>
  <c r="DM55" i="16"/>
  <c r="DQ55" i="17"/>
  <c r="DR17" i="17"/>
  <c r="CE55" i="17"/>
  <c r="DD50" i="17"/>
  <c r="CW29" i="17"/>
  <c r="CD105" i="17"/>
  <c r="BU44" i="17"/>
  <c r="AW87" i="17"/>
  <c r="CA44" i="17"/>
  <c r="CP44" i="17"/>
  <c r="AJ44" i="17"/>
  <c r="DG29" i="17"/>
  <c r="BH66" i="17"/>
  <c r="BQ29" i="17"/>
  <c r="DH29" i="17"/>
  <c r="CP50" i="17"/>
  <c r="J21" i="17"/>
  <c r="CB44" i="17"/>
  <c r="BB35" i="17"/>
  <c r="CS105" i="17"/>
  <c r="BE63" i="17"/>
  <c r="DA55" i="17"/>
  <c r="CO84" i="17"/>
  <c r="DH50" i="17"/>
  <c r="DL90" i="17"/>
  <c r="CM44" i="17"/>
  <c r="DS66" i="17"/>
  <c r="DS17" i="17"/>
  <c r="BG87" i="17"/>
  <c r="BO84" i="17"/>
  <c r="BD55" i="17"/>
  <c r="CA55" i="17"/>
  <c r="CB29" i="17"/>
  <c r="DV55" i="17"/>
  <c r="CG55" i="17"/>
  <c r="DK17" i="17"/>
  <c r="AS84" i="17"/>
  <c r="DR84" i="17"/>
  <c r="CO50" i="17"/>
  <c r="BR55" i="17"/>
  <c r="DN17" i="17"/>
  <c r="BQ17" i="17"/>
  <c r="BR50" i="17"/>
  <c r="CB35" i="17"/>
  <c r="CP10" i="17"/>
  <c r="AN17" i="17"/>
  <c r="DV87" i="17"/>
  <c r="CM17" i="17"/>
  <c r="DE66" i="17"/>
  <c r="BD17" i="17"/>
  <c r="CD44" i="17"/>
  <c r="AM35" i="17"/>
  <c r="DT75" i="17"/>
  <c r="DP75" i="17"/>
  <c r="CH75" i="17"/>
  <c r="BQ75" i="17"/>
  <c r="AY75" i="17"/>
  <c r="BP18" i="16"/>
  <c r="DK55" i="16"/>
  <c r="EQ27" i="5"/>
  <c r="J165" i="11"/>
  <c r="AL18" i="16"/>
  <c r="DF55" i="16"/>
  <c r="DV12" i="16"/>
  <c r="AV18" i="16"/>
  <c r="BP37" i="16"/>
  <c r="AX55" i="16"/>
  <c r="BS40" i="16"/>
  <c r="BA18" i="16"/>
  <c r="BS18" i="16"/>
  <c r="AY12" i="16"/>
  <c r="BU40" i="16"/>
  <c r="DW40" i="16"/>
  <c r="AW55" i="16"/>
  <c r="CX40" i="16"/>
  <c r="BD55" i="16"/>
  <c r="CM12" i="16"/>
  <c r="DH37" i="16"/>
  <c r="DL18" i="16"/>
  <c r="CG37" i="16"/>
  <c r="CZ37" i="16"/>
  <c r="AK18" i="16"/>
  <c r="BU12" i="16"/>
  <c r="BQ18" i="16"/>
  <c r="DB55" i="16"/>
  <c r="CO12" i="16"/>
  <c r="DF37" i="16"/>
  <c r="CZ40" i="16"/>
  <c r="DV18" i="16"/>
  <c r="DE18" i="16"/>
  <c r="CV105" i="17"/>
  <c r="BH17" i="17"/>
  <c r="DK29" i="17"/>
  <c r="DK90" i="17"/>
  <c r="CU105" i="17"/>
  <c r="BU10" i="17"/>
  <c r="J19" i="17"/>
  <c r="BI44" i="17"/>
  <c r="BU50" i="17"/>
  <c r="DI17" i="17"/>
  <c r="CF105" i="17"/>
  <c r="BZ29" i="17"/>
  <c r="CY66" i="17"/>
  <c r="CS66" i="17"/>
  <c r="CR87" i="17"/>
  <c r="CC10" i="17"/>
  <c r="BT10" i="17"/>
  <c r="DJ90" i="17"/>
  <c r="DU29" i="17"/>
  <c r="BW17" i="17"/>
  <c r="AQ55" i="17"/>
  <c r="DH90" i="17"/>
  <c r="DG63" i="17"/>
  <c r="CS87" i="17"/>
  <c r="CM84" i="17"/>
  <c r="CK50" i="17"/>
  <c r="CZ50" i="17"/>
  <c r="BE17" i="17"/>
  <c r="AQ105" i="17"/>
  <c r="AS63" i="17"/>
  <c r="CQ55" i="17"/>
  <c r="CN90" i="17"/>
  <c r="BI105" i="17"/>
  <c r="BE29" i="17"/>
  <c r="DP84" i="17"/>
  <c r="BE44" i="17"/>
  <c r="CH50" i="17"/>
  <c r="CX63" i="17"/>
  <c r="CS90" i="17"/>
  <c r="BC17" i="17"/>
  <c r="AV84" i="17"/>
  <c r="BD35" i="17"/>
  <c r="DE35" i="17"/>
  <c r="DQ29" i="17"/>
  <c r="BB29" i="17"/>
  <c r="DO44" i="17"/>
  <c r="AO50" i="17"/>
  <c r="CD55" i="17"/>
  <c r="DH10" i="17"/>
  <c r="CF50" i="17"/>
  <c r="BP29" i="17"/>
  <c r="BL90" i="17"/>
  <c r="BD87" i="17"/>
  <c r="CC87" i="17"/>
  <c r="BX10" i="17"/>
  <c r="BM63" i="17"/>
  <c r="CQ29" i="17"/>
  <c r="DS90" i="17"/>
  <c r="DS55" i="17"/>
  <c r="AX29" i="17"/>
  <c r="CR10" i="17"/>
  <c r="AL90" i="17"/>
  <c r="AN50" i="17"/>
  <c r="BZ17" i="17"/>
  <c r="BO50" i="17"/>
  <c r="CM35" i="17"/>
  <c r="AR29" i="17"/>
  <c r="AK55" i="17"/>
  <c r="CQ66" i="17"/>
  <c r="BH75" i="17"/>
  <c r="BD75" i="17"/>
  <c r="DV82" i="16"/>
  <c r="DP18" i="16"/>
  <c r="EQ29" i="5"/>
  <c r="J176" i="11"/>
  <c r="CW18" i="16"/>
  <c r="DQ18" i="16"/>
  <c r="BV37" i="16"/>
  <c r="BN55" i="16"/>
  <c r="DH12" i="16"/>
  <c r="CH12" i="16"/>
  <c r="CW37" i="16"/>
  <c r="CA12" i="16"/>
  <c r="DN37" i="16"/>
  <c r="AL12" i="16"/>
  <c r="CV40" i="16"/>
  <c r="CC18" i="16"/>
  <c r="CG12" i="16"/>
  <c r="AP40" i="16"/>
  <c r="CJ18" i="16"/>
  <c r="DP37" i="16"/>
  <c r="BQ40" i="16"/>
  <c r="K35" i="16"/>
  <c r="AS37" i="16"/>
  <c r="DF40" i="16"/>
  <c r="BN40" i="16"/>
  <c r="BO40" i="16"/>
  <c r="DB40" i="16"/>
  <c r="AX37" i="16"/>
  <c r="CX37" i="16"/>
  <c r="DS37" i="16"/>
  <c r="BF12" i="16"/>
  <c r="DD55" i="16"/>
  <c r="CA18" i="16"/>
  <c r="CP12" i="16"/>
  <c r="CO18" i="16"/>
  <c r="BR40" i="16"/>
  <c r="CM18" i="16"/>
  <c r="AX18" i="16"/>
  <c r="CG18" i="16"/>
  <c r="DL40" i="16"/>
  <c r="AZ18" i="16"/>
  <c r="BX55" i="16"/>
  <c r="DV29" i="17"/>
  <c r="DC29" i="17"/>
  <c r="BK10" i="17"/>
  <c r="DV50" i="17"/>
  <c r="CZ90" i="17"/>
  <c r="DL63" i="17"/>
  <c r="DM17" i="17"/>
  <c r="CR29" i="17"/>
  <c r="AR17" i="17"/>
  <c r="BL63" i="17"/>
  <c r="AY55" i="17"/>
  <c r="DQ63" i="17"/>
  <c r="BQ63" i="17"/>
  <c r="BK87" i="17"/>
  <c r="BN55" i="17"/>
  <c r="AO87" i="17"/>
  <c r="AW66" i="17"/>
  <c r="BG29" i="17"/>
  <c r="DP44" i="17"/>
  <c r="BW55" i="17"/>
  <c r="BC44" i="17"/>
  <c r="BQ105" i="17"/>
  <c r="CT87" i="17"/>
  <c r="CJ50" i="17"/>
  <c r="CV17" i="17"/>
  <c r="AU10" i="17"/>
  <c r="DI90" i="17"/>
  <c r="BK35" i="17"/>
  <c r="CW44" i="17"/>
  <c r="CR50" i="17"/>
  <c r="DA29" i="17"/>
  <c r="DF87" i="17"/>
  <c r="O63" i="17"/>
  <c r="AQ66" i="17"/>
  <c r="CS17" i="17"/>
  <c r="AL63" i="17"/>
  <c r="BJ90" i="17"/>
  <c r="CH105" i="17"/>
  <c r="DC90" i="17"/>
  <c r="AW63" i="17"/>
  <c r="AJ50" i="17"/>
  <c r="BG44" i="17"/>
  <c r="AK63" i="17"/>
  <c r="DV66" i="17"/>
  <c r="AP50" i="17"/>
  <c r="BT17" i="17"/>
  <c r="CN63" i="17"/>
  <c r="AL55" i="17"/>
  <c r="BA50" i="17"/>
  <c r="AZ17" i="17"/>
  <c r="AP105" i="17"/>
  <c r="BD90" i="17"/>
  <c r="CS50" i="17"/>
  <c r="BD105" i="17"/>
  <c r="CE10" i="17"/>
  <c r="DI105" i="17"/>
  <c r="AU17" i="17"/>
  <c r="CL63" i="17"/>
  <c r="DM35" i="17"/>
  <c r="BL50" i="17"/>
  <c r="CH63" i="17"/>
  <c r="BP90" i="17"/>
  <c r="CX17" i="17"/>
  <c r="CA87" i="17"/>
  <c r="CJ87" i="17"/>
  <c r="DB10" i="17"/>
  <c r="BX66" i="17"/>
  <c r="BC29" i="17"/>
  <c r="BO29" i="17"/>
  <c r="AU29" i="17"/>
  <c r="BE10" i="17"/>
  <c r="DL75" i="17"/>
  <c r="CY75" i="17"/>
  <c r="CU75" i="17"/>
  <c r="CD75" i="17"/>
  <c r="BZ75" i="17"/>
  <c r="BT75" i="17"/>
  <c r="BC75" i="17"/>
  <c r="AQ75" i="17"/>
  <c r="ED169" i="11"/>
  <c r="C687" i="32" l="1"/>
  <c r="C683" i="32"/>
  <c r="C682" i="32"/>
  <c r="C684" i="32"/>
  <c r="C704" i="32"/>
  <c r="C686" i="32"/>
  <c r="C685" i="32"/>
  <c r="C703" i="32"/>
  <c r="C749" i="32"/>
  <c r="C26" i="21"/>
  <c r="C123" i="32"/>
  <c r="N596" i="32"/>
  <c r="O596" i="32" s="1"/>
  <c r="C125" i="32"/>
  <c r="C126" i="32"/>
  <c r="C142" i="32"/>
  <c r="C143" i="32"/>
  <c r="C124" i="32"/>
  <c r="C121" i="32"/>
  <c r="C122" i="32"/>
  <c r="J77" i="5"/>
  <c r="CN123" i="26"/>
  <c r="AY120" i="26"/>
  <c r="EG19" i="11"/>
  <c r="EH16" i="11" s="1"/>
  <c r="BE120" i="26"/>
  <c r="AN123" i="17"/>
  <c r="BO121" i="26"/>
  <c r="AD122" i="26"/>
  <c r="CD122" i="17"/>
  <c r="CD123" i="26"/>
  <c r="AV121" i="26"/>
  <c r="DQ122" i="17"/>
  <c r="CI123" i="17"/>
  <c r="CO123" i="17"/>
  <c r="CQ122" i="26"/>
  <c r="DF122" i="17"/>
  <c r="CL120" i="26"/>
  <c r="DP121" i="17"/>
  <c r="AT123" i="17"/>
  <c r="DR122" i="17"/>
  <c r="CT121" i="17"/>
  <c r="DL120" i="17"/>
  <c r="DG121" i="26"/>
  <c r="CL122" i="26"/>
  <c r="CJ123" i="26"/>
  <c r="DM120" i="26"/>
  <c r="CV122" i="17"/>
  <c r="DH121" i="26"/>
  <c r="CG123" i="26"/>
  <c r="CL121" i="17"/>
  <c r="CF123" i="26"/>
  <c r="CZ121" i="17"/>
  <c r="DU122" i="17"/>
  <c r="DE121" i="17"/>
  <c r="BG121" i="26"/>
  <c r="BM122" i="26"/>
  <c r="DB120" i="26"/>
  <c r="DO121" i="17"/>
  <c r="DC120" i="26"/>
  <c r="CY121" i="17"/>
  <c r="BH121" i="17"/>
  <c r="DV120" i="17"/>
  <c r="AN122" i="26"/>
  <c r="DO123" i="26"/>
  <c r="CY122" i="17"/>
  <c r="CM121" i="17"/>
  <c r="BX123" i="17"/>
  <c r="AC122" i="26"/>
  <c r="AM120" i="17"/>
  <c r="AJ121" i="17"/>
  <c r="CA123" i="17"/>
  <c r="DK123" i="17"/>
  <c r="BD120" i="17"/>
  <c r="BK121" i="26"/>
  <c r="AI123" i="26"/>
  <c r="BI121" i="17"/>
  <c r="CR120" i="26"/>
  <c r="BU121" i="17"/>
  <c r="DT121" i="26"/>
  <c r="CN121" i="17"/>
  <c r="BC123" i="17"/>
  <c r="CN120" i="26"/>
  <c r="AY121" i="17"/>
  <c r="AE123" i="26"/>
  <c r="BH123" i="26"/>
  <c r="BV120" i="17"/>
  <c r="BB123" i="26"/>
  <c r="DE122" i="17"/>
  <c r="CA123" i="26"/>
  <c r="DS120" i="17"/>
  <c r="DR122" i="26"/>
  <c r="BS120" i="26"/>
  <c r="DA120" i="26"/>
  <c r="BU123" i="26"/>
  <c r="BE121" i="17"/>
  <c r="CA120" i="17"/>
  <c r="CK120" i="26"/>
  <c r="AY123" i="17"/>
  <c r="AB122" i="26"/>
  <c r="DG123" i="17"/>
  <c r="AZ120" i="26"/>
  <c r="BU120" i="26"/>
  <c r="DE123" i="26"/>
  <c r="AP121" i="26"/>
  <c r="DF121" i="26"/>
  <c r="DV121" i="26"/>
  <c r="AT120" i="26"/>
  <c r="CU120" i="26"/>
  <c r="BX120" i="17"/>
  <c r="BJ120" i="26"/>
  <c r="DD120" i="26"/>
  <c r="AJ120" i="26"/>
  <c r="AX123" i="17"/>
  <c r="AX122" i="17"/>
  <c r="CA121" i="26"/>
  <c r="CA120" i="26"/>
  <c r="BQ121" i="17"/>
  <c r="BQ120" i="17"/>
  <c r="BH121" i="26"/>
  <c r="BH120" i="26"/>
  <c r="DT123" i="17"/>
  <c r="DT122" i="17"/>
  <c r="CE121" i="26"/>
  <c r="CE120" i="26"/>
  <c r="AU121" i="17"/>
  <c r="AU120" i="17"/>
  <c r="DO123" i="17"/>
  <c r="DO122" i="17"/>
  <c r="CC121" i="26"/>
  <c r="CC120" i="26"/>
  <c r="AR120" i="17"/>
  <c r="AR121" i="17"/>
  <c r="CP122" i="17"/>
  <c r="CP123" i="17"/>
  <c r="CF121" i="26"/>
  <c r="CF120" i="26"/>
  <c r="AW122" i="17"/>
  <c r="AW123" i="17"/>
  <c r="CJ122" i="17"/>
  <c r="CJ123" i="17"/>
  <c r="CB122" i="26"/>
  <c r="CB123" i="26"/>
  <c r="DQ120" i="17"/>
  <c r="DQ121" i="17"/>
  <c r="CB120" i="17"/>
  <c r="CB121" i="17"/>
  <c r="DM120" i="17"/>
  <c r="DM121" i="17"/>
  <c r="AL123" i="17"/>
  <c r="AL122" i="17"/>
  <c r="CW123" i="17"/>
  <c r="CW122" i="17"/>
  <c r="CK122" i="17"/>
  <c r="CK123" i="17"/>
  <c r="BP121" i="26"/>
  <c r="BP120" i="26"/>
  <c r="BB121" i="17"/>
  <c r="BB120" i="17"/>
  <c r="CD121" i="26"/>
  <c r="CD120" i="26"/>
  <c r="BY120" i="17"/>
  <c r="BY121" i="17"/>
  <c r="AL121" i="26"/>
  <c r="AL120" i="26"/>
  <c r="CH122" i="26"/>
  <c r="CH123" i="26"/>
  <c r="AX121" i="17"/>
  <c r="AX120" i="17"/>
  <c r="DT120" i="17"/>
  <c r="DT121" i="17"/>
  <c r="CC122" i="26"/>
  <c r="CC123" i="26"/>
  <c r="AS122" i="17"/>
  <c r="AS123" i="17"/>
  <c r="CU121" i="17"/>
  <c r="CU120" i="17"/>
  <c r="CI123" i="26"/>
  <c r="CI122" i="26"/>
  <c r="AZ123" i="17"/>
  <c r="AZ122" i="17"/>
  <c r="CO121" i="17"/>
  <c r="CO120" i="17"/>
  <c r="CE122" i="26"/>
  <c r="CE123" i="26"/>
  <c r="AO120" i="26"/>
  <c r="AO121" i="26"/>
  <c r="CF122" i="17"/>
  <c r="CF123" i="17"/>
  <c r="AM122" i="17"/>
  <c r="AM123" i="17"/>
  <c r="CR122" i="17"/>
  <c r="CR123" i="17"/>
  <c r="BN123" i="26"/>
  <c r="BN122" i="26"/>
  <c r="AR121" i="26"/>
  <c r="AR120" i="26"/>
  <c r="BL120" i="26"/>
  <c r="BL121" i="26"/>
  <c r="AK122" i="17"/>
  <c r="AK123" i="17"/>
  <c r="CX122" i="17"/>
  <c r="CX123" i="17"/>
  <c r="BT121" i="26"/>
  <c r="BT120" i="26"/>
  <c r="BF122" i="17"/>
  <c r="BF123" i="17"/>
  <c r="BC121" i="26"/>
  <c r="BC120" i="26"/>
  <c r="CH121" i="26"/>
  <c r="CH120" i="26"/>
  <c r="CC121" i="17"/>
  <c r="CC120" i="17"/>
  <c r="BF122" i="26"/>
  <c r="BF123" i="26"/>
  <c r="CJ121" i="26"/>
  <c r="CJ120" i="26"/>
  <c r="BL123" i="17"/>
  <c r="BL122" i="17"/>
  <c r="AH120" i="26"/>
  <c r="AH121" i="26"/>
  <c r="CB121" i="26"/>
  <c r="CB120" i="26"/>
  <c r="BE122" i="17"/>
  <c r="BE123" i="17"/>
  <c r="DL123" i="17"/>
  <c r="DL122" i="17"/>
  <c r="CM123" i="26"/>
  <c r="CM122" i="26"/>
  <c r="BA122" i="17"/>
  <c r="BA123" i="17"/>
  <c r="CS121" i="17"/>
  <c r="CS120" i="17"/>
  <c r="BD123" i="26"/>
  <c r="BD122" i="26"/>
  <c r="CI120" i="17"/>
  <c r="CI121" i="17"/>
  <c r="DB122" i="17"/>
  <c r="DB123" i="17"/>
  <c r="BZ120" i="26"/>
  <c r="BZ121" i="26"/>
  <c r="AZ123" i="26"/>
  <c r="AZ122" i="26"/>
  <c r="BT123" i="26"/>
  <c r="BT122" i="26"/>
  <c r="AN120" i="17"/>
  <c r="AN121" i="17"/>
  <c r="DN122" i="17"/>
  <c r="DN123" i="17"/>
  <c r="BY123" i="26"/>
  <c r="BY122" i="26"/>
  <c r="BS122" i="17"/>
  <c r="BS123" i="17"/>
  <c r="AK122" i="26"/>
  <c r="AK123" i="26"/>
  <c r="CS122" i="26"/>
  <c r="CS123" i="26"/>
  <c r="CG120" i="17"/>
  <c r="CG121" i="17"/>
  <c r="AU122" i="26"/>
  <c r="AU123" i="26"/>
  <c r="CO123" i="26"/>
  <c r="CO122" i="26"/>
  <c r="BQ122" i="17"/>
  <c r="BQ123" i="17"/>
  <c r="BB120" i="26"/>
  <c r="BB121" i="26"/>
  <c r="CI120" i="26"/>
  <c r="CI121" i="26"/>
  <c r="BH123" i="17"/>
  <c r="BH122" i="17"/>
  <c r="DR121" i="17"/>
  <c r="DR120" i="17"/>
  <c r="BC121" i="17"/>
  <c r="BC120" i="17"/>
  <c r="CX121" i="17"/>
  <c r="CX120" i="17"/>
  <c r="Z121" i="26"/>
  <c r="Z120" i="26"/>
  <c r="DH120" i="17"/>
  <c r="DH121" i="17"/>
  <c r="CQ120" i="26"/>
  <c r="CQ121" i="26"/>
  <c r="DJ121" i="17"/>
  <c r="DJ120" i="17"/>
  <c r="AE121" i="26"/>
  <c r="AE120" i="26"/>
  <c r="CK123" i="26"/>
  <c r="CK122" i="26"/>
  <c r="AP121" i="17"/>
  <c r="AP120" i="17"/>
  <c r="AO123" i="26"/>
  <c r="AO122" i="26"/>
  <c r="CM121" i="26"/>
  <c r="CM120" i="26"/>
  <c r="BT120" i="17"/>
  <c r="BT121" i="17"/>
  <c r="DH123" i="26"/>
  <c r="DH122" i="26"/>
  <c r="CV120" i="17"/>
  <c r="CV121" i="17"/>
  <c r="BE123" i="26"/>
  <c r="BE122" i="26"/>
  <c r="CP121" i="26"/>
  <c r="CP120" i="26"/>
  <c r="CG122" i="17"/>
  <c r="CG123" i="17"/>
  <c r="AY123" i="26"/>
  <c r="AY122" i="26"/>
  <c r="CX122" i="26"/>
  <c r="CX123" i="26"/>
  <c r="BI122" i="17"/>
  <c r="BI123" i="17"/>
  <c r="DU120" i="17"/>
  <c r="DU121" i="17"/>
  <c r="BK122" i="17"/>
  <c r="BK123" i="17"/>
  <c r="DA121" i="17"/>
  <c r="DA120" i="17"/>
  <c r="DA122" i="26"/>
  <c r="DA123" i="26"/>
  <c r="AZ120" i="17"/>
  <c r="AZ121" i="17"/>
  <c r="CP121" i="17"/>
  <c r="CP120" i="17"/>
  <c r="AS120" i="26"/>
  <c r="AS121" i="26"/>
  <c r="CG120" i="26"/>
  <c r="CG121" i="26"/>
  <c r="AV122" i="17"/>
  <c r="AV123" i="17"/>
  <c r="DJ122" i="17"/>
  <c r="DJ123" i="17"/>
  <c r="BG122" i="17"/>
  <c r="BG123" i="17"/>
  <c r="AQ121" i="26"/>
  <c r="AQ120" i="26"/>
  <c r="CS120" i="26"/>
  <c r="CS121" i="26"/>
  <c r="AQ120" i="17"/>
  <c r="AQ121" i="17"/>
  <c r="AW122" i="26"/>
  <c r="AW123" i="26"/>
  <c r="CU123" i="26"/>
  <c r="CU122" i="26"/>
  <c r="BW120" i="17"/>
  <c r="BW121" i="17"/>
  <c r="DJ120" i="26"/>
  <c r="DJ121" i="26"/>
  <c r="CW121" i="17"/>
  <c r="CW120" i="17"/>
  <c r="DS123" i="26"/>
  <c r="DS122" i="26"/>
  <c r="AG123" i="26"/>
  <c r="AG122" i="26"/>
  <c r="CW123" i="26"/>
  <c r="CW122" i="26"/>
  <c r="CR120" i="17"/>
  <c r="CR121" i="17"/>
  <c r="AF121" i="26"/>
  <c r="AF120" i="26"/>
  <c r="CY121" i="26"/>
  <c r="CY120" i="26"/>
  <c r="BK121" i="17"/>
  <c r="BK120" i="17"/>
  <c r="AM123" i="26"/>
  <c r="AM122" i="26"/>
  <c r="CT121" i="26"/>
  <c r="CT120" i="26"/>
  <c r="BN122" i="17"/>
  <c r="BN123" i="17"/>
  <c r="DD120" i="17"/>
  <c r="DD121" i="17"/>
  <c r="DD122" i="26"/>
  <c r="DD123" i="26"/>
  <c r="CQ121" i="17"/>
  <c r="CQ120" i="17"/>
  <c r="AL122" i="26"/>
  <c r="AL123" i="26"/>
  <c r="CX120" i="26"/>
  <c r="CX121" i="26"/>
  <c r="AU123" i="17"/>
  <c r="AU122" i="17"/>
  <c r="CT123" i="17"/>
  <c r="CT122" i="17"/>
  <c r="AG121" i="26"/>
  <c r="AG120" i="26"/>
  <c r="CO120" i="26"/>
  <c r="CO121" i="26"/>
  <c r="BA121" i="17"/>
  <c r="BA120" i="17"/>
  <c r="BJ120" i="17"/>
  <c r="BJ121" i="17"/>
  <c r="AX121" i="26"/>
  <c r="AX120" i="26"/>
  <c r="CT122" i="26"/>
  <c r="CT123" i="26"/>
  <c r="AW120" i="17"/>
  <c r="AW121" i="17"/>
  <c r="BA123" i="26"/>
  <c r="BA122" i="26"/>
  <c r="CK121" i="17"/>
  <c r="CK120" i="17"/>
  <c r="BN120" i="26"/>
  <c r="BN121" i="26"/>
  <c r="DB121" i="17"/>
  <c r="DB120" i="17"/>
  <c r="CQ123" i="17"/>
  <c r="CQ122" i="17"/>
  <c r="AB121" i="26"/>
  <c r="AB120" i="26"/>
  <c r="CV123" i="26"/>
  <c r="CV122" i="26"/>
  <c r="DD123" i="17"/>
  <c r="DD122" i="17"/>
  <c r="DB122" i="26"/>
  <c r="DB123" i="26"/>
  <c r="BM120" i="17"/>
  <c r="BM121" i="17"/>
  <c r="AQ123" i="26"/>
  <c r="AQ122" i="26"/>
  <c r="CZ123" i="26"/>
  <c r="CZ122" i="26"/>
  <c r="BO123" i="17"/>
  <c r="BO122" i="17"/>
  <c r="DC122" i="17"/>
  <c r="DC123" i="17"/>
  <c r="BP123" i="26"/>
  <c r="BP122" i="26"/>
  <c r="DJ123" i="26"/>
  <c r="DJ122" i="26"/>
  <c r="CS122" i="17"/>
  <c r="CS123" i="17"/>
  <c r="BF121" i="26"/>
  <c r="BF120" i="26"/>
  <c r="BJ122" i="17"/>
  <c r="BJ123" i="17"/>
  <c r="CU122" i="17"/>
  <c r="CU123" i="17"/>
  <c r="AJ122" i="26"/>
  <c r="AJ123" i="26"/>
  <c r="CP122" i="26"/>
  <c r="CP123" i="26"/>
  <c r="BR121" i="17"/>
  <c r="BR120" i="17"/>
  <c r="AM120" i="26"/>
  <c r="AM121" i="26"/>
  <c r="DE121" i="26"/>
  <c r="DE120" i="26"/>
  <c r="BN121" i="17"/>
  <c r="BN120" i="17"/>
  <c r="BI120" i="26"/>
  <c r="BI121" i="26"/>
  <c r="CN122" i="17"/>
  <c r="CN123" i="17"/>
  <c r="BQ123" i="26"/>
  <c r="BQ122" i="26"/>
  <c r="AV121" i="17"/>
  <c r="AV120" i="17"/>
  <c r="DP123" i="17"/>
  <c r="DP122" i="17"/>
  <c r="AP123" i="17"/>
  <c r="AP122" i="17"/>
  <c r="AD120" i="26"/>
  <c r="AD121" i="26"/>
  <c r="CY123" i="26"/>
  <c r="CY122" i="26"/>
  <c r="DC122" i="26"/>
  <c r="DC123" i="26"/>
  <c r="BO120" i="17"/>
  <c r="BO121" i="17"/>
  <c r="BI122" i="26"/>
  <c r="BI123" i="26"/>
  <c r="DI123" i="26"/>
  <c r="DI122" i="26"/>
  <c r="BW122" i="17"/>
  <c r="BW123" i="17"/>
  <c r="DF121" i="17"/>
  <c r="DF120" i="17"/>
  <c r="BS122" i="26"/>
  <c r="BS123" i="26"/>
  <c r="DO120" i="26"/>
  <c r="DO121" i="26"/>
  <c r="DC121" i="17"/>
  <c r="DC120" i="17"/>
  <c r="Y122" i="26"/>
  <c r="Y123" i="26"/>
  <c r="BR123" i="17"/>
  <c r="BR122" i="17"/>
  <c r="AV122" i="26"/>
  <c r="AV123" i="26"/>
  <c r="CR122" i="26"/>
  <c r="CR123" i="26"/>
  <c r="BU123" i="17"/>
  <c r="BU122" i="17"/>
  <c r="BC123" i="26"/>
  <c r="BC122" i="26"/>
  <c r="Y120" i="26"/>
  <c r="Y121" i="26"/>
  <c r="DF122" i="26"/>
  <c r="DF123" i="26"/>
  <c r="BM122" i="17"/>
  <c r="BM123" i="17"/>
  <c r="BD121" i="26"/>
  <c r="BD120" i="26"/>
  <c r="DK121" i="17"/>
  <c r="DK120" i="17"/>
  <c r="BV122" i="26"/>
  <c r="BV123" i="26"/>
  <c r="BD122" i="17"/>
  <c r="BD123" i="17"/>
  <c r="AK121" i="26"/>
  <c r="AK120" i="26"/>
  <c r="AS121" i="17"/>
  <c r="AS120" i="17"/>
  <c r="DK120" i="26"/>
  <c r="DK121" i="26"/>
  <c r="BL123" i="26"/>
  <c r="BL122" i="26"/>
  <c r="DI121" i="26"/>
  <c r="DI120" i="26"/>
  <c r="BT123" i="17"/>
  <c r="BT122" i="17"/>
  <c r="AS122" i="26"/>
  <c r="AS123" i="26"/>
  <c r="DS120" i="26"/>
  <c r="DS121" i="26"/>
  <c r="DN121" i="17"/>
  <c r="DN120" i="17"/>
  <c r="BX121" i="26"/>
  <c r="BX120" i="26"/>
  <c r="DQ122" i="26"/>
  <c r="DQ123" i="26"/>
  <c r="BS121" i="17"/>
  <c r="BS120" i="17"/>
  <c r="AU121" i="26"/>
  <c r="AU120" i="26"/>
  <c r="CV120" i="26"/>
  <c r="CV121" i="26"/>
  <c r="BZ121" i="17"/>
  <c r="BZ120" i="17"/>
  <c r="AH122" i="26"/>
  <c r="AH123" i="26"/>
  <c r="DV122" i="26"/>
  <c r="DV123" i="26"/>
  <c r="CH121" i="17"/>
  <c r="CH120" i="17"/>
  <c r="DS122" i="17"/>
  <c r="DS123" i="17"/>
  <c r="DL123" i="26"/>
  <c r="DL122" i="26"/>
  <c r="BP123" i="17"/>
  <c r="BP122" i="17"/>
  <c r="AK120" i="17"/>
  <c r="AK121" i="17"/>
  <c r="AC121" i="26"/>
  <c r="AC120" i="26"/>
  <c r="BV121" i="26"/>
  <c r="BV120" i="26"/>
  <c r="BF121" i="17"/>
  <c r="BF120" i="17"/>
  <c r="AP123" i="26"/>
  <c r="AP122" i="26"/>
  <c r="DA123" i="17"/>
  <c r="DA122" i="17"/>
  <c r="DP120" i="26"/>
  <c r="DP121" i="26"/>
  <c r="DH123" i="17"/>
  <c r="DH122" i="17"/>
  <c r="BQ121" i="26"/>
  <c r="BQ120" i="26"/>
  <c r="DM122" i="26"/>
  <c r="DM123" i="26"/>
  <c r="CC122" i="17"/>
  <c r="CC123" i="17"/>
  <c r="DU120" i="26"/>
  <c r="DU121" i="26"/>
  <c r="BX123" i="26"/>
  <c r="BX122" i="26"/>
  <c r="BP120" i="17"/>
  <c r="BP121" i="17"/>
  <c r="BV123" i="17"/>
  <c r="BV122" i="17"/>
  <c r="CZ122" i="17"/>
  <c r="CZ123" i="17"/>
  <c r="DR121" i="26"/>
  <c r="DR120" i="26"/>
  <c r="AR123" i="26"/>
  <c r="AR122" i="26"/>
  <c r="CJ120" i="17"/>
  <c r="CJ121" i="17"/>
  <c r="DV123" i="17"/>
  <c r="DV122" i="17"/>
  <c r="DN123" i="26"/>
  <c r="DN122" i="26"/>
  <c r="CE120" i="17"/>
  <c r="CE121" i="17"/>
  <c r="CB122" i="17"/>
  <c r="CB123" i="17"/>
  <c r="DK123" i="26"/>
  <c r="DK122" i="26"/>
  <c r="AO121" i="17"/>
  <c r="AO120" i="17"/>
  <c r="BG122" i="26"/>
  <c r="BG123" i="26"/>
  <c r="BZ122" i="26"/>
  <c r="BZ123" i="26"/>
  <c r="BG121" i="17"/>
  <c r="BG120" i="17"/>
  <c r="AF122" i="26"/>
  <c r="AF123" i="26"/>
  <c r="CZ121" i="26"/>
  <c r="CZ120" i="26"/>
  <c r="DG121" i="17"/>
  <c r="DG120" i="17"/>
  <c r="BK123" i="26"/>
  <c r="BK122" i="26"/>
  <c r="DT123" i="26"/>
  <c r="DT122" i="26"/>
  <c r="DI123" i="17"/>
  <c r="DI122" i="17"/>
  <c r="BW120" i="26"/>
  <c r="BW121" i="26"/>
  <c r="AO122" i="17"/>
  <c r="AO123" i="17"/>
  <c r="CD121" i="17"/>
  <c r="CD120" i="17"/>
  <c r="CE122" i="17"/>
  <c r="CE123" i="17"/>
  <c r="AA123" i="26"/>
  <c r="AA122" i="26"/>
  <c r="AA120" i="26"/>
  <c r="AA121" i="26"/>
  <c r="DG123" i="26"/>
  <c r="DG122" i="26"/>
  <c r="BY123" i="17"/>
  <c r="BY122" i="17"/>
  <c r="BA120" i="26"/>
  <c r="BA121" i="26"/>
  <c r="Z122" i="26"/>
  <c r="Z123" i="26"/>
  <c r="DP122" i="26"/>
  <c r="DP123" i="26"/>
  <c r="CW120" i="26"/>
  <c r="CW121" i="26"/>
  <c r="CF120" i="17"/>
  <c r="CF121" i="17"/>
  <c r="AX122" i="26"/>
  <c r="AX123" i="26"/>
  <c r="DN121" i="26"/>
  <c r="DN120" i="26"/>
  <c r="AR122" i="17"/>
  <c r="AR123" i="17"/>
  <c r="AN120" i="26"/>
  <c r="AN121" i="26"/>
  <c r="BY120" i="26"/>
  <c r="BY121" i="26"/>
  <c r="BL120" i="17"/>
  <c r="BL121" i="17"/>
  <c r="AT123" i="26"/>
  <c r="AT122" i="26"/>
  <c r="BB122" i="17"/>
  <c r="BB123" i="17"/>
  <c r="DM122" i="17"/>
  <c r="DM123" i="17"/>
  <c r="BR121" i="26"/>
  <c r="BR120" i="26"/>
  <c r="AJ122" i="17"/>
  <c r="AJ123" i="17"/>
  <c r="DI120" i="17"/>
  <c r="DI121" i="17"/>
  <c r="BW123" i="26"/>
  <c r="BW122" i="26"/>
  <c r="AQ123" i="17"/>
  <c r="AQ122" i="17"/>
  <c r="CM122" i="17"/>
  <c r="CM123" i="17"/>
  <c r="BR123" i="26"/>
  <c r="BR122" i="26"/>
  <c r="AT121" i="17"/>
  <c r="AT120" i="17"/>
  <c r="CH123" i="17"/>
  <c r="CH122" i="17"/>
  <c r="AI121" i="26"/>
  <c r="AI120" i="26"/>
  <c r="DL121" i="26"/>
  <c r="DL120" i="26"/>
  <c r="BZ122" i="17"/>
  <c r="BZ123" i="17"/>
  <c r="AW120" i="26"/>
  <c r="AW121" i="26"/>
  <c r="AL121" i="17"/>
  <c r="AL120" i="17"/>
  <c r="BJ122" i="26"/>
  <c r="BJ123" i="26"/>
  <c r="BM121" i="26"/>
  <c r="BM120" i="26"/>
  <c r="DU123" i="26"/>
  <c r="DU122" i="26"/>
  <c r="CL123" i="17"/>
  <c r="CL122" i="17"/>
  <c r="BO123" i="26"/>
  <c r="BO122" i="26"/>
  <c r="DQ121" i="26"/>
  <c r="DQ120" i="26"/>
  <c r="CX62" i="17"/>
  <c r="BE62" i="17"/>
  <c r="AK62" i="17"/>
  <c r="CW62" i="17"/>
  <c r="CE62" i="17"/>
  <c r="CL62" i="17"/>
  <c r="AS62" i="17"/>
  <c r="BL62" i="17"/>
  <c r="BC124" i="17"/>
  <c r="BC125" i="17"/>
  <c r="AN124" i="17"/>
  <c r="AN125" i="17"/>
  <c r="DD62" i="17"/>
  <c r="DJ124" i="17"/>
  <c r="DJ125" i="17"/>
  <c r="CB125" i="17"/>
  <c r="CB124" i="17"/>
  <c r="DV124" i="17"/>
  <c r="DV125" i="17"/>
  <c r="BB124" i="17"/>
  <c r="BB125" i="17"/>
  <c r="AV125" i="17"/>
  <c r="AV124" i="17"/>
  <c r="AU125" i="17"/>
  <c r="AU124" i="17"/>
  <c r="CZ125" i="17"/>
  <c r="CZ124" i="17"/>
  <c r="AK125" i="17"/>
  <c r="AK124" i="17"/>
  <c r="BJ124" i="17"/>
  <c r="BJ125" i="17"/>
  <c r="AM125" i="17"/>
  <c r="AM124" i="17"/>
  <c r="CY124" i="17"/>
  <c r="CY125" i="17"/>
  <c r="BF124" i="17"/>
  <c r="BF125" i="17"/>
  <c r="BW125" i="17"/>
  <c r="BW124" i="17"/>
  <c r="BA124" i="17"/>
  <c r="BA125" i="17"/>
  <c r="CS125" i="17"/>
  <c r="CS124" i="17"/>
  <c r="CH124" i="17"/>
  <c r="CH125" i="17"/>
  <c r="CD124" i="17"/>
  <c r="CD125" i="17"/>
  <c r="BM124" i="17"/>
  <c r="BM125" i="17"/>
  <c r="AJ125" i="17"/>
  <c r="AJ124" i="17"/>
  <c r="DD125" i="17"/>
  <c r="DD124" i="17"/>
  <c r="DP125" i="17"/>
  <c r="DP124" i="17"/>
  <c r="AY125" i="17"/>
  <c r="AY124" i="17"/>
  <c r="CR125" i="17"/>
  <c r="CR124" i="17"/>
  <c r="CQ125" i="17"/>
  <c r="CQ124" i="17"/>
  <c r="BY124" i="17"/>
  <c r="BY125" i="17"/>
  <c r="DT124" i="17"/>
  <c r="DT125" i="17"/>
  <c r="BS125" i="17"/>
  <c r="BS124" i="17"/>
  <c r="DL125" i="17"/>
  <c r="DL124" i="17"/>
  <c r="DQ125" i="17"/>
  <c r="DQ124" i="17"/>
  <c r="BD125" i="17"/>
  <c r="BD124" i="17"/>
  <c r="CK124" i="17"/>
  <c r="CK125" i="17"/>
  <c r="DC125" i="17"/>
  <c r="DC124" i="17"/>
  <c r="CI124" i="17"/>
  <c r="CI125" i="17"/>
  <c r="BU125" i="17"/>
  <c r="BU124" i="17"/>
  <c r="DK124" i="17"/>
  <c r="DK125" i="17"/>
  <c r="DS124" i="17"/>
  <c r="DS125" i="17"/>
  <c r="CV124" i="17"/>
  <c r="CV125" i="17"/>
  <c r="DG62" i="17"/>
  <c r="CF125" i="17"/>
  <c r="CF124" i="17"/>
  <c r="DB124" i="17"/>
  <c r="DB125" i="17"/>
  <c r="AS124" i="17"/>
  <c r="AS125" i="17"/>
  <c r="DQ62" i="17"/>
  <c r="BI125" i="17"/>
  <c r="BI124" i="17"/>
  <c r="DE125" i="17"/>
  <c r="DE124" i="17"/>
  <c r="BR124" i="17"/>
  <c r="BR125" i="17"/>
  <c r="BK125" i="17"/>
  <c r="BK124" i="17"/>
  <c r="AZ125" i="17"/>
  <c r="AZ124" i="17"/>
  <c r="BT125" i="17"/>
  <c r="BT124" i="17"/>
  <c r="DA124" i="17"/>
  <c r="DA125" i="17"/>
  <c r="CJ124" i="17"/>
  <c r="CJ125" i="17"/>
  <c r="CG125" i="17"/>
  <c r="CG124" i="17"/>
  <c r="BV124" i="17"/>
  <c r="BV125" i="17"/>
  <c r="AW125" i="17"/>
  <c r="AW124" i="17"/>
  <c r="DF124" i="17"/>
  <c r="DF125" i="17"/>
  <c r="CO124" i="17"/>
  <c r="CO125" i="17"/>
  <c r="BQ124" i="17"/>
  <c r="BQ125" i="17"/>
  <c r="BZ124" i="17"/>
  <c r="BZ125" i="17"/>
  <c r="BE124" i="17"/>
  <c r="BE125" i="17"/>
  <c r="AR124" i="17"/>
  <c r="AR125" i="17"/>
  <c r="CA124" i="17"/>
  <c r="CA125" i="17"/>
  <c r="CT124" i="17"/>
  <c r="CT125" i="17"/>
  <c r="AT124" i="17"/>
  <c r="AT125" i="17"/>
  <c r="BL125" i="17"/>
  <c r="BL124" i="17"/>
  <c r="AJ62" i="17"/>
  <c r="BG125" i="17"/>
  <c r="BG124" i="17"/>
  <c r="AL124" i="17"/>
  <c r="AL125" i="17"/>
  <c r="BO124" i="17"/>
  <c r="BO125" i="17"/>
  <c r="DH124" i="17"/>
  <c r="DH125" i="17"/>
  <c r="CW124" i="17"/>
  <c r="CW125" i="17"/>
  <c r="DM124" i="17"/>
  <c r="DM125" i="17"/>
  <c r="BX124" i="17"/>
  <c r="BX125" i="17"/>
  <c r="CM124" i="17"/>
  <c r="CM125" i="17"/>
  <c r="CP124" i="17"/>
  <c r="CP125" i="17"/>
  <c r="CN124" i="17"/>
  <c r="CN125" i="17"/>
  <c r="AO124" i="17"/>
  <c r="AO125" i="17"/>
  <c r="DG125" i="17"/>
  <c r="DG124" i="17"/>
  <c r="BN124" i="17"/>
  <c r="BN125" i="17"/>
  <c r="DN124" i="17"/>
  <c r="DN125" i="17"/>
  <c r="DR124" i="17"/>
  <c r="DR125" i="17"/>
  <c r="AX124" i="17"/>
  <c r="AX125" i="17"/>
  <c r="BP125" i="17"/>
  <c r="BP124" i="17"/>
  <c r="BH125" i="17"/>
  <c r="BH124" i="17"/>
  <c r="AP124" i="17"/>
  <c r="AP125" i="17"/>
  <c r="CN62" i="17"/>
  <c r="DI124" i="17"/>
  <c r="DI125" i="17"/>
  <c r="AQ125" i="17"/>
  <c r="AQ124" i="17"/>
  <c r="CU124" i="17"/>
  <c r="CU125" i="17"/>
  <c r="AP62" i="17"/>
  <c r="CX124" i="17"/>
  <c r="CX125" i="17"/>
  <c r="CC124" i="17"/>
  <c r="CC125" i="17"/>
  <c r="CL124" i="17"/>
  <c r="CL125" i="17"/>
  <c r="DU124" i="17"/>
  <c r="DU125" i="17"/>
  <c r="CE125" i="17"/>
  <c r="CE124" i="17"/>
  <c r="DO125" i="17"/>
  <c r="DO124" i="17"/>
  <c r="AZ62" i="26"/>
  <c r="DS62" i="26"/>
  <c r="DP62" i="26"/>
  <c r="BR62" i="26"/>
  <c r="BS62" i="26"/>
  <c r="BZ62" i="26"/>
  <c r="DL62" i="26"/>
  <c r="BQ62" i="26"/>
  <c r="CK62" i="26"/>
  <c r="CH62" i="26"/>
  <c r="DE62" i="26"/>
  <c r="CS62" i="26"/>
  <c r="DK62" i="26"/>
  <c r="AK62" i="26"/>
  <c r="AR62" i="26"/>
  <c r="BH62" i="26"/>
  <c r="AS62" i="26"/>
  <c r="DG62" i="26"/>
  <c r="AU62" i="26"/>
  <c r="DF62" i="26"/>
  <c r="AY62" i="26"/>
  <c r="CG62" i="26"/>
  <c r="BW62" i="26"/>
  <c r="DB62" i="26"/>
  <c r="AT62" i="26"/>
  <c r="BD62" i="26"/>
  <c r="CN62" i="26"/>
  <c r="CC62" i="26"/>
  <c r="BL62" i="26"/>
  <c r="AQ62" i="26"/>
  <c r="CF62" i="26"/>
  <c r="BU62" i="26"/>
  <c r="DN62" i="26"/>
  <c r="BO62" i="26"/>
  <c r="AV62" i="26"/>
  <c r="CX62" i="26"/>
  <c r="DU62" i="26"/>
  <c r="CO62" i="26"/>
  <c r="CL62" i="26"/>
  <c r="DT62" i="26"/>
  <c r="CA62" i="26"/>
  <c r="BG62" i="26"/>
  <c r="BE62" i="26"/>
  <c r="CQ62" i="26"/>
  <c r="DR62" i="26"/>
  <c r="AP62" i="26"/>
  <c r="AN62" i="26"/>
  <c r="AL62" i="26"/>
  <c r="CM62" i="26"/>
  <c r="BJ62" i="26"/>
  <c r="AW62" i="26"/>
  <c r="CJ62" i="26"/>
  <c r="BA62" i="26"/>
  <c r="CI62" i="26"/>
  <c r="CE62" i="26"/>
  <c r="DJ62" i="26"/>
  <c r="CT62" i="26"/>
  <c r="CW62" i="26"/>
  <c r="DO62" i="26"/>
  <c r="BC62" i="26"/>
  <c r="AJ62" i="26"/>
  <c r="BM62" i="26"/>
  <c r="BI62" i="26"/>
  <c r="DV62" i="26"/>
  <c r="BX62" i="26"/>
  <c r="BV62" i="26"/>
  <c r="BY62" i="26"/>
  <c r="BF62" i="26"/>
  <c r="DI62" i="26"/>
  <c r="AX62" i="26"/>
  <c r="BN62" i="26"/>
  <c r="DM62" i="26"/>
  <c r="CB62" i="26"/>
  <c r="BT62" i="26"/>
  <c r="AM62" i="26"/>
  <c r="CR62" i="26"/>
  <c r="CU62" i="26"/>
  <c r="DC62" i="26"/>
  <c r="DQ62" i="26"/>
  <c r="DA62" i="26"/>
  <c r="CP62" i="26"/>
  <c r="BB62" i="26"/>
  <c r="AO62" i="26"/>
  <c r="CV62" i="26"/>
  <c r="CD62" i="26"/>
  <c r="DD62" i="26"/>
  <c r="DH62" i="26"/>
  <c r="BP62" i="26"/>
  <c r="CZ62" i="26"/>
  <c r="BK62" i="26"/>
  <c r="CY62" i="26"/>
  <c r="DL62" i="17"/>
  <c r="BQ62" i="17"/>
  <c r="AL62" i="17"/>
  <c r="CK62" i="17"/>
  <c r="CM62" i="17"/>
  <c r="AZ62" i="17"/>
  <c r="CY62" i="17"/>
  <c r="AQ62" i="17"/>
  <c r="BK62" i="17"/>
  <c r="BM62" i="17"/>
  <c r="CS62" i="17"/>
  <c r="BI62" i="17"/>
  <c r="DK62" i="17"/>
  <c r="DV62" i="17"/>
  <c r="CB62" i="17"/>
  <c r="CV62" i="17"/>
  <c r="BN62" i="17"/>
  <c r="BU62" i="17"/>
  <c r="DM62" i="17"/>
  <c r="CF62" i="17"/>
  <c r="DO62" i="17"/>
  <c r="AT62" i="17"/>
  <c r="DH62" i="17"/>
  <c r="AR62" i="17"/>
  <c r="CO62" i="17"/>
  <c r="BG62" i="17"/>
  <c r="CJ62" i="17"/>
  <c r="BV62" i="17"/>
  <c r="BS62" i="17"/>
  <c r="CZ62" i="17"/>
  <c r="DI62" i="17"/>
  <c r="CC62" i="17"/>
  <c r="CR62" i="17"/>
  <c r="AM62" i="17"/>
  <c r="BW62" i="17"/>
  <c r="BP62" i="17"/>
  <c r="AN62" i="17"/>
  <c r="DB62" i="17"/>
  <c r="BB62" i="17"/>
  <c r="DN62" i="17"/>
  <c r="CT62" i="17"/>
  <c r="CI62" i="17"/>
  <c r="BD62" i="17"/>
  <c r="AY62" i="17"/>
  <c r="AV62" i="17"/>
  <c r="AU62" i="17"/>
  <c r="DS62" i="17"/>
  <c r="BY62" i="17"/>
  <c r="AO62" i="17"/>
  <c r="CD62" i="17"/>
  <c r="DC62" i="17"/>
  <c r="CU62" i="17"/>
  <c r="CG62" i="17"/>
  <c r="CP62" i="17"/>
  <c r="BZ62" i="17"/>
  <c r="BX62" i="17"/>
  <c r="DR62" i="17"/>
  <c r="BR62" i="17"/>
  <c r="DU62" i="17"/>
  <c r="DF62" i="17"/>
  <c r="DT62" i="17"/>
  <c r="BO62" i="17"/>
  <c r="DJ62" i="17"/>
  <c r="AW62" i="17"/>
  <c r="CQ62" i="17"/>
  <c r="BA62" i="17"/>
  <c r="BC62" i="17"/>
  <c r="CA62" i="17"/>
  <c r="DE62" i="17"/>
  <c r="BJ62" i="17"/>
  <c r="BF62" i="17"/>
  <c r="AX62" i="17"/>
  <c r="CH62" i="17"/>
  <c r="BT62" i="17"/>
  <c r="BH62" i="17"/>
  <c r="DA62" i="17"/>
  <c r="AV49" i="26"/>
  <c r="CK49" i="26"/>
  <c r="EQ68" i="11"/>
  <c r="EQ102" i="5" s="1"/>
  <c r="EQ252" i="11"/>
  <c r="BN49" i="26"/>
  <c r="CS119" i="26"/>
  <c r="J27" i="26"/>
  <c r="J27" i="17"/>
  <c r="BT119" i="26"/>
  <c r="J71" i="26"/>
  <c r="J69" i="26" s="1"/>
  <c r="AU119" i="26"/>
  <c r="CE124" i="26"/>
  <c r="CX49" i="26"/>
  <c r="DL49" i="26"/>
  <c r="CY49" i="26"/>
  <c r="CZ49" i="26"/>
  <c r="CA49" i="26"/>
  <c r="AQ118" i="26"/>
  <c r="BQ49" i="26"/>
  <c r="BO49" i="26"/>
  <c r="CM49" i="26"/>
  <c r="AW49" i="26"/>
  <c r="AX49" i="26"/>
  <c r="BA118" i="26"/>
  <c r="BA49" i="26"/>
  <c r="J74" i="26"/>
  <c r="J72" i="26" s="1"/>
  <c r="AN49" i="26"/>
  <c r="DU49" i="26"/>
  <c r="CW49" i="26"/>
  <c r="DT49" i="26"/>
  <c r="AU49" i="26"/>
  <c r="AR49" i="26"/>
  <c r="DI49" i="26"/>
  <c r="CL125" i="26"/>
  <c r="BK49" i="26"/>
  <c r="DG49" i="26"/>
  <c r="AO49" i="26"/>
  <c r="BY49" i="26"/>
  <c r="BP49" i="26"/>
  <c r="CV49" i="26"/>
  <c r="BR49" i="26"/>
  <c r="BF49" i="26"/>
  <c r="DD49" i="26"/>
  <c r="DJ49" i="26"/>
  <c r="CD49" i="26"/>
  <c r="CQ49" i="26"/>
  <c r="BW49" i="26"/>
  <c r="DQ49" i="26"/>
  <c r="BD49" i="26"/>
  <c r="CT49" i="26"/>
  <c r="AT49" i="26"/>
  <c r="AM49" i="26"/>
  <c r="BM49" i="26"/>
  <c r="AZ125" i="26"/>
  <c r="CR49" i="26"/>
  <c r="CP49" i="26"/>
  <c r="AN119" i="26"/>
  <c r="DK49" i="26"/>
  <c r="AQ49" i="26"/>
  <c r="BV49" i="26"/>
  <c r="DV49" i="26"/>
  <c r="CE49" i="26"/>
  <c r="CO49" i="26"/>
  <c r="DC49" i="26"/>
  <c r="CI49" i="26"/>
  <c r="DM49" i="26"/>
  <c r="BJ49" i="26"/>
  <c r="BE49" i="26"/>
  <c r="AK49" i="26"/>
  <c r="CS49" i="26"/>
  <c r="CL49" i="26"/>
  <c r="DB49" i="26"/>
  <c r="AZ49" i="26"/>
  <c r="BH49" i="26"/>
  <c r="BB49" i="26"/>
  <c r="BA124" i="26"/>
  <c r="CJ125" i="26"/>
  <c r="BB118" i="26"/>
  <c r="BK124" i="26"/>
  <c r="BG49" i="26"/>
  <c r="BR125" i="26"/>
  <c r="CQ124" i="26"/>
  <c r="AL49" i="26"/>
  <c r="DT118" i="26"/>
  <c r="DE49" i="26"/>
  <c r="DJ124" i="26"/>
  <c r="BZ125" i="26"/>
  <c r="DE124" i="26"/>
  <c r="AW124" i="26"/>
  <c r="AU9" i="26"/>
  <c r="BQ125" i="26"/>
  <c r="CY119" i="26"/>
  <c r="DU125" i="26"/>
  <c r="BD9" i="26"/>
  <c r="BJ124" i="26"/>
  <c r="AL119" i="26"/>
  <c r="BP125" i="26"/>
  <c r="AY124" i="26"/>
  <c r="BL49" i="26"/>
  <c r="DD118" i="26"/>
  <c r="AY118" i="26"/>
  <c r="CT125" i="26"/>
  <c r="DD9" i="26"/>
  <c r="DN119" i="26"/>
  <c r="BK118" i="26"/>
  <c r="BJ118" i="26"/>
  <c r="DV9" i="26"/>
  <c r="BG124" i="26"/>
  <c r="AO124" i="26"/>
  <c r="CH9" i="26"/>
  <c r="AZ119" i="26"/>
  <c r="DH9" i="26"/>
  <c r="AV125" i="26"/>
  <c r="DO125" i="26"/>
  <c r="CM124" i="26"/>
  <c r="AJ49" i="26"/>
  <c r="CV118" i="26"/>
  <c r="DG9" i="26"/>
  <c r="DU118" i="26"/>
  <c r="BE9" i="26"/>
  <c r="BM119" i="26"/>
  <c r="DV124" i="26"/>
  <c r="AK9" i="26"/>
  <c r="BI9" i="26"/>
  <c r="CL9" i="26"/>
  <c r="BS9" i="26"/>
  <c r="AK125" i="26"/>
  <c r="AP119" i="26"/>
  <c r="DA9" i="26"/>
  <c r="BZ9" i="26"/>
  <c r="DG124" i="26"/>
  <c r="BT9" i="26"/>
  <c r="DU9" i="26"/>
  <c r="BN119" i="26"/>
  <c r="CD9" i="26"/>
  <c r="BQ9" i="26"/>
  <c r="DC9" i="26"/>
  <c r="DT9" i="26"/>
  <c r="AW9" i="26"/>
  <c r="DP9" i="26"/>
  <c r="CF118" i="26"/>
  <c r="BB9" i="26"/>
  <c r="DJ9" i="26"/>
  <c r="DT125" i="26"/>
  <c r="AL124" i="26"/>
  <c r="CA9" i="26"/>
  <c r="CY9" i="26"/>
  <c r="CI9" i="26"/>
  <c r="AL9" i="26"/>
  <c r="BU9" i="26"/>
  <c r="BM9" i="26"/>
  <c r="AU124" i="26"/>
  <c r="AT119" i="26"/>
  <c r="BL118" i="26"/>
  <c r="BC125" i="26"/>
  <c r="BI119" i="26"/>
  <c r="BF125" i="26"/>
  <c r="BP118" i="26"/>
  <c r="BV9" i="26"/>
  <c r="BN9" i="26"/>
  <c r="DR9" i="26"/>
  <c r="AX9" i="26"/>
  <c r="BM124" i="26"/>
  <c r="CU9" i="26"/>
  <c r="BA9" i="26"/>
  <c r="DF49" i="26"/>
  <c r="AO118" i="26"/>
  <c r="AO119" i="26"/>
  <c r="BX9" i="26"/>
  <c r="DH49" i="26"/>
  <c r="AT124" i="26"/>
  <c r="AT125" i="26"/>
  <c r="CL118" i="26"/>
  <c r="CL119" i="26"/>
  <c r="DL9" i="26"/>
  <c r="BY9" i="26"/>
  <c r="CB124" i="26"/>
  <c r="CB125" i="26"/>
  <c r="CG9" i="26"/>
  <c r="BR9" i="26"/>
  <c r="BS125" i="26"/>
  <c r="BS124" i="26"/>
  <c r="CY125" i="26"/>
  <c r="CY124" i="26"/>
  <c r="CB9" i="26"/>
  <c r="BW119" i="26"/>
  <c r="BW118" i="26"/>
  <c r="CE9" i="26"/>
  <c r="BX49" i="26"/>
  <c r="CO119" i="26"/>
  <c r="CO118" i="26"/>
  <c r="CQ9" i="26"/>
  <c r="BZ119" i="26"/>
  <c r="BZ118" i="26"/>
  <c r="BX124" i="26"/>
  <c r="BX125" i="26"/>
  <c r="AM125" i="26"/>
  <c r="AM124" i="26"/>
  <c r="AS9" i="26"/>
  <c r="BC49" i="26"/>
  <c r="CC118" i="26"/>
  <c r="CC119" i="26"/>
  <c r="CP124" i="26"/>
  <c r="CP125" i="26"/>
  <c r="BG9" i="26"/>
  <c r="BP9" i="26"/>
  <c r="DD124" i="26"/>
  <c r="DD125" i="26"/>
  <c r="DS9" i="26"/>
  <c r="DM9" i="26"/>
  <c r="DJ118" i="26"/>
  <c r="DJ119" i="26"/>
  <c r="CZ124" i="26"/>
  <c r="CZ125" i="26"/>
  <c r="DI9" i="26"/>
  <c r="AM118" i="26"/>
  <c r="AM119" i="26"/>
  <c r="CJ49" i="26"/>
  <c r="CO9" i="26"/>
  <c r="BY119" i="26"/>
  <c r="BY118" i="26"/>
  <c r="DL118" i="26"/>
  <c r="DL119" i="26"/>
  <c r="BR119" i="26"/>
  <c r="BR118" i="26"/>
  <c r="CO124" i="26"/>
  <c r="CO125" i="26"/>
  <c r="CR119" i="26"/>
  <c r="CR118" i="26"/>
  <c r="CR125" i="26"/>
  <c r="CR124" i="26"/>
  <c r="DN124" i="26"/>
  <c r="DN125" i="26"/>
  <c r="BC118" i="26"/>
  <c r="BC119" i="26"/>
  <c r="CK119" i="26"/>
  <c r="CK118" i="26"/>
  <c r="AX124" i="26"/>
  <c r="AX125" i="26"/>
  <c r="BY124" i="26"/>
  <c r="BY125" i="26"/>
  <c r="AV9" i="26"/>
  <c r="BF9" i="26"/>
  <c r="CU124" i="26"/>
  <c r="CU125" i="26"/>
  <c r="AP124" i="26"/>
  <c r="AP125" i="26"/>
  <c r="AZ9" i="26"/>
  <c r="CH49" i="26"/>
  <c r="CH125" i="26"/>
  <c r="CH124" i="26"/>
  <c r="DA119" i="26"/>
  <c r="DA118" i="26"/>
  <c r="BB124" i="26"/>
  <c r="BB125" i="26"/>
  <c r="CS125" i="26"/>
  <c r="CS124" i="26"/>
  <c r="DK119" i="26"/>
  <c r="DK118" i="26"/>
  <c r="DN49" i="26"/>
  <c r="AS118" i="26"/>
  <c r="AS119" i="26"/>
  <c r="AM9" i="26"/>
  <c r="DP125" i="26"/>
  <c r="DP124" i="26"/>
  <c r="DH124" i="26"/>
  <c r="DH125" i="26"/>
  <c r="BG119" i="26"/>
  <c r="BG118" i="26"/>
  <c r="DM124" i="26"/>
  <c r="DM125" i="26"/>
  <c r="CG119" i="26"/>
  <c r="CG118" i="26"/>
  <c r="BN124" i="26"/>
  <c r="BN125" i="26"/>
  <c r="AT9" i="26"/>
  <c r="BV119" i="26"/>
  <c r="BV118" i="26"/>
  <c r="DP118" i="26"/>
  <c r="DP119" i="26"/>
  <c r="AY9" i="26"/>
  <c r="BD118" i="26"/>
  <c r="BD119" i="26"/>
  <c r="AQ125" i="26"/>
  <c r="AQ124" i="26"/>
  <c r="DF124" i="26"/>
  <c r="DF125" i="26"/>
  <c r="CP118" i="26"/>
  <c r="CP119" i="26"/>
  <c r="CG124" i="26"/>
  <c r="CG125" i="26"/>
  <c r="AH24" i="17"/>
  <c r="X24" i="26"/>
  <c r="J24" i="26" s="1"/>
  <c r="BO125" i="26"/>
  <c r="BO124" i="26"/>
  <c r="CD118" i="26"/>
  <c r="CD119" i="26"/>
  <c r="AN9" i="26"/>
  <c r="AX118" i="26"/>
  <c r="AQ9" i="26"/>
  <c r="BU119" i="26"/>
  <c r="BU118" i="26"/>
  <c r="CG49" i="26"/>
  <c r="CZ9" i="26"/>
  <c r="DM119" i="26"/>
  <c r="DM118" i="26"/>
  <c r="DQ9" i="26"/>
  <c r="DC118" i="26"/>
  <c r="DC119" i="26"/>
  <c r="CV9" i="26"/>
  <c r="BJ9" i="26"/>
  <c r="CJ118" i="26"/>
  <c r="CJ119" i="26"/>
  <c r="AN125" i="26"/>
  <c r="AN124" i="26"/>
  <c r="DO118" i="26"/>
  <c r="DO119" i="26"/>
  <c r="BK9" i="26"/>
  <c r="CU49" i="26"/>
  <c r="AJ125" i="26"/>
  <c r="AJ124" i="26"/>
  <c r="AP49" i="26"/>
  <c r="BS49" i="26"/>
  <c r="J75" i="26"/>
  <c r="BX118" i="26"/>
  <c r="BX119" i="26"/>
  <c r="CA118" i="26"/>
  <c r="CA119" i="26"/>
  <c r="DB118" i="26"/>
  <c r="DB119" i="26"/>
  <c r="BC9" i="26"/>
  <c r="DL124" i="26"/>
  <c r="DL125" i="26"/>
  <c r="AR9" i="26"/>
  <c r="BL9" i="26"/>
  <c r="CB49" i="26"/>
  <c r="CW9" i="26"/>
  <c r="CM119" i="26"/>
  <c r="CM118" i="26"/>
  <c r="CT9" i="26"/>
  <c r="CK9" i="26"/>
  <c r="DE9" i="26"/>
  <c r="BV124" i="26"/>
  <c r="BV125" i="26"/>
  <c r="DO9" i="26"/>
  <c r="AV118" i="26"/>
  <c r="AV119" i="26"/>
  <c r="BO118" i="26"/>
  <c r="BO119" i="26"/>
  <c r="DA49" i="26"/>
  <c r="CB118" i="26"/>
  <c r="CB119" i="26"/>
  <c r="DK124" i="26"/>
  <c r="DK125" i="26"/>
  <c r="BI125" i="26"/>
  <c r="BI124" i="26"/>
  <c r="AS49" i="26"/>
  <c r="CN119" i="26"/>
  <c r="CN118" i="26"/>
  <c r="CC49" i="26"/>
  <c r="DI124" i="26"/>
  <c r="DI125" i="26"/>
  <c r="BU49" i="26"/>
  <c r="DF9" i="26"/>
  <c r="CX124" i="26"/>
  <c r="CX125" i="26"/>
  <c r="DV119" i="26"/>
  <c r="DV118" i="26"/>
  <c r="CN9" i="26"/>
  <c r="CX119" i="26"/>
  <c r="CX118" i="26"/>
  <c r="DF119" i="26"/>
  <c r="DF118" i="26"/>
  <c r="CD124" i="26"/>
  <c r="CD125" i="26"/>
  <c r="AR119" i="26"/>
  <c r="AR118" i="26"/>
  <c r="DQ125" i="26"/>
  <c r="DQ124" i="26"/>
  <c r="AS124" i="26"/>
  <c r="AS125" i="26"/>
  <c r="DO49" i="26"/>
  <c r="BH9" i="26"/>
  <c r="CK125" i="26"/>
  <c r="CK124" i="26"/>
  <c r="CM9" i="26"/>
  <c r="AO9" i="26"/>
  <c r="BD124" i="26"/>
  <c r="BD125" i="26"/>
  <c r="BF118" i="26"/>
  <c r="BF119" i="26"/>
  <c r="CS9" i="26"/>
  <c r="CP9" i="26"/>
  <c r="BQ119" i="26"/>
  <c r="BQ118" i="26"/>
  <c r="BT125" i="26"/>
  <c r="BT124" i="26"/>
  <c r="DH119" i="26"/>
  <c r="DH118" i="26"/>
  <c r="BW9" i="26"/>
  <c r="DS118" i="26"/>
  <c r="DS119" i="26"/>
  <c r="CF9" i="26"/>
  <c r="BE125" i="26"/>
  <c r="BE124" i="26"/>
  <c r="CF124" i="26"/>
  <c r="CF125" i="26"/>
  <c r="DS49" i="26"/>
  <c r="DQ119" i="26"/>
  <c r="DQ118" i="26"/>
  <c r="AJ9" i="26"/>
  <c r="AH26" i="17"/>
  <c r="X26" i="26"/>
  <c r="J26" i="26" s="1"/>
  <c r="BE119" i="26"/>
  <c r="BE118" i="26"/>
  <c r="DR118" i="26"/>
  <c r="DR119" i="26"/>
  <c r="BS119" i="26"/>
  <c r="BS118" i="26"/>
  <c r="CI119" i="26"/>
  <c r="CI118" i="26"/>
  <c r="DK9" i="26"/>
  <c r="DR49" i="26"/>
  <c r="BL124" i="26"/>
  <c r="BL125" i="26"/>
  <c r="CN125" i="26"/>
  <c r="CN124" i="26"/>
  <c r="BT49" i="26"/>
  <c r="DN9" i="26"/>
  <c r="BZ49" i="26"/>
  <c r="CI125" i="26"/>
  <c r="CI124" i="26"/>
  <c r="AK119" i="26"/>
  <c r="AK118" i="26"/>
  <c r="CJ9" i="26"/>
  <c r="CN49" i="26"/>
  <c r="BI49" i="26"/>
  <c r="CZ118" i="26"/>
  <c r="CZ119" i="26"/>
  <c r="CX9" i="26"/>
  <c r="DS124" i="26"/>
  <c r="DS125" i="26"/>
  <c r="BU125" i="26"/>
  <c r="BU124" i="26"/>
  <c r="CW118" i="26"/>
  <c r="CW119" i="26"/>
  <c r="AH34" i="17"/>
  <c r="X34" i="26"/>
  <c r="J34" i="26" s="1"/>
  <c r="DI118" i="26"/>
  <c r="DI119" i="26"/>
  <c r="AJ119" i="26"/>
  <c r="AJ118" i="26"/>
  <c r="DE118" i="26"/>
  <c r="DE119" i="26"/>
  <c r="BH119" i="26"/>
  <c r="BH118" i="26"/>
  <c r="AW119" i="26"/>
  <c r="AW118" i="26"/>
  <c r="BO9" i="26"/>
  <c r="CU119" i="26"/>
  <c r="CU118" i="26"/>
  <c r="CE119" i="26"/>
  <c r="CE118" i="26"/>
  <c r="CW124" i="26"/>
  <c r="CW125" i="26"/>
  <c r="CV124" i="26"/>
  <c r="CV125" i="26"/>
  <c r="AR125" i="26"/>
  <c r="AR124" i="26"/>
  <c r="DC124" i="26"/>
  <c r="DC125" i="26"/>
  <c r="BW124" i="26"/>
  <c r="BW125" i="26"/>
  <c r="DP49" i="26"/>
  <c r="EG68" i="5"/>
  <c r="DR125" i="26"/>
  <c r="DR124" i="26"/>
  <c r="DB9" i="26"/>
  <c r="CH119" i="26"/>
  <c r="CH118" i="26"/>
  <c r="CQ119" i="26"/>
  <c r="CQ118" i="26"/>
  <c r="CA124" i="26"/>
  <c r="CA125" i="26"/>
  <c r="CR9" i="26"/>
  <c r="CC9" i="26"/>
  <c r="BH125" i="26"/>
  <c r="BH124" i="26"/>
  <c r="CT118" i="26"/>
  <c r="CT119" i="26"/>
  <c r="DG118" i="26"/>
  <c r="DG119" i="26"/>
  <c r="AY49" i="26"/>
  <c r="DB125" i="26"/>
  <c r="DB124" i="26"/>
  <c r="DA124" i="26"/>
  <c r="DA125" i="26"/>
  <c r="CF49" i="26"/>
  <c r="AP9" i="26"/>
  <c r="CC124" i="26"/>
  <c r="CC125" i="26"/>
  <c r="M22" i="26"/>
  <c r="E164" i="32" s="1"/>
  <c r="N22" i="26"/>
  <c r="F164" i="32" s="1"/>
  <c r="O22" i="26"/>
  <c r="G164" i="32" s="1"/>
  <c r="P22" i="26"/>
  <c r="H164" i="32" s="1"/>
  <c r="Q22" i="26"/>
  <c r="I164" i="32" s="1"/>
  <c r="R22" i="26"/>
  <c r="J164" i="32" s="1"/>
  <c r="S22" i="26"/>
  <c r="K164" i="32" s="1"/>
  <c r="T22" i="26"/>
  <c r="L164" i="32" s="1"/>
  <c r="U22" i="26"/>
  <c r="M164" i="32" s="1"/>
  <c r="V22" i="26"/>
  <c r="N164" i="32" s="1"/>
  <c r="W22" i="26"/>
  <c r="X22" i="26"/>
  <c r="AD17" i="26"/>
  <c r="AH17" i="26"/>
  <c r="AH22" i="17"/>
  <c r="Z17" i="26"/>
  <c r="AB17" i="26"/>
  <c r="AC17" i="26"/>
  <c r="J74" i="17"/>
  <c r="J72" i="17" s="1"/>
  <c r="J71" i="17"/>
  <c r="J69" i="17" s="1"/>
  <c r="AB23" i="11"/>
  <c r="AP11" i="16"/>
  <c r="BL11" i="16"/>
  <c r="BM11" i="16"/>
  <c r="DG11" i="16"/>
  <c r="BS11" i="16"/>
  <c r="CD11" i="16"/>
  <c r="CT11" i="16"/>
  <c r="AR11" i="16"/>
  <c r="DO11" i="16"/>
  <c r="DB11" i="16"/>
  <c r="CB11" i="16"/>
  <c r="BD11" i="16"/>
  <c r="BK11" i="16"/>
  <c r="DM11" i="16"/>
  <c r="AO119" i="17"/>
  <c r="CU11" i="16"/>
  <c r="CE11" i="16"/>
  <c r="DQ36" i="16"/>
  <c r="BR36" i="16"/>
  <c r="DN49" i="17"/>
  <c r="BH36" i="16"/>
  <c r="AW118" i="17"/>
  <c r="DK49" i="17"/>
  <c r="CI49" i="17"/>
  <c r="BZ49" i="17"/>
  <c r="AM118" i="17"/>
  <c r="AU49" i="17"/>
  <c r="CD49" i="17"/>
  <c r="AT49" i="17"/>
  <c r="AJ118" i="17"/>
  <c r="DP11" i="16"/>
  <c r="BZ11" i="16"/>
  <c r="BZ36" i="16"/>
  <c r="BB36" i="16"/>
  <c r="CN36" i="16"/>
  <c r="DQ119" i="17"/>
  <c r="BK36" i="16"/>
  <c r="BC11" i="16"/>
  <c r="DM36" i="16"/>
  <c r="DA11" i="16"/>
  <c r="DU11" i="16"/>
  <c r="DS11" i="16"/>
  <c r="BJ11" i="16"/>
  <c r="DG49" i="17"/>
  <c r="CP36" i="16"/>
  <c r="BD36" i="16"/>
  <c r="CG49" i="17"/>
  <c r="DW36" i="16"/>
  <c r="CK36" i="16"/>
  <c r="CH36" i="16"/>
  <c r="AP36" i="16"/>
  <c r="DO36" i="16"/>
  <c r="DA36" i="16"/>
  <c r="DR119" i="17"/>
  <c r="BQ36" i="16"/>
  <c r="DK36" i="16"/>
  <c r="BD49" i="17"/>
  <c r="DS49" i="17"/>
  <c r="CB49" i="17"/>
  <c r="AQ36" i="16"/>
  <c r="AJ49" i="17"/>
  <c r="CN49" i="17"/>
  <c r="CG11" i="16"/>
  <c r="BC49" i="17"/>
  <c r="BH49" i="17"/>
  <c r="DO49" i="17"/>
  <c r="AX36" i="16"/>
  <c r="DD36" i="16"/>
  <c r="CY49" i="17"/>
  <c r="BU49" i="17"/>
  <c r="BY49" i="17"/>
  <c r="DT36" i="16"/>
  <c r="BL36" i="16"/>
  <c r="BG49" i="17"/>
  <c r="AS36" i="16"/>
  <c r="DH11" i="16"/>
  <c r="DB36" i="16"/>
  <c r="CH11" i="16"/>
  <c r="BJ36" i="16"/>
  <c r="CU36" i="16"/>
  <c r="BI36" i="16"/>
  <c r="AX49" i="17"/>
  <c r="DG36" i="16"/>
  <c r="DG119" i="17"/>
  <c r="DJ11" i="16"/>
  <c r="AV36" i="16"/>
  <c r="BF36" i="16"/>
  <c r="DD9" i="17"/>
  <c r="BQ49" i="17"/>
  <c r="BX49" i="17"/>
  <c r="BT36" i="16"/>
  <c r="AR118" i="17"/>
  <c r="BO49" i="17"/>
  <c r="BY36" i="16"/>
  <c r="BC36" i="16"/>
  <c r="AL36" i="16"/>
  <c r="BX36" i="16"/>
  <c r="BA36" i="16"/>
  <c r="CY36" i="16"/>
  <c r="BV36" i="16"/>
  <c r="CF36" i="16"/>
  <c r="CG36" i="16"/>
  <c r="DI36" i="16"/>
  <c r="BG36" i="16"/>
  <c r="CQ36" i="16"/>
  <c r="CR118" i="17"/>
  <c r="CU49" i="17"/>
  <c r="CA49" i="17"/>
  <c r="CC118" i="17"/>
  <c r="BU11" i="16"/>
  <c r="BW118" i="17"/>
  <c r="CZ49" i="17"/>
  <c r="CV36" i="16"/>
  <c r="CP11" i="16"/>
  <c r="CX119" i="17"/>
  <c r="CR49" i="17"/>
  <c r="DT119" i="17"/>
  <c r="CI118" i="17"/>
  <c r="BO119" i="17"/>
  <c r="DO118" i="17"/>
  <c r="DM118" i="17"/>
  <c r="BN49" i="17"/>
  <c r="DL36" i="16"/>
  <c r="CC49" i="17"/>
  <c r="CM119" i="17"/>
  <c r="DL49" i="17"/>
  <c r="CO118" i="17"/>
  <c r="BM36" i="16"/>
  <c r="AR49" i="17"/>
  <c r="BM119" i="17"/>
  <c r="DU49" i="17"/>
  <c r="DJ36" i="16"/>
  <c r="AY36" i="16"/>
  <c r="DB49" i="17"/>
  <c r="BW49" i="17"/>
  <c r="BW36" i="16"/>
  <c r="CX49" i="17"/>
  <c r="AP49" i="17"/>
  <c r="BN36" i="16"/>
  <c r="AO36" i="16"/>
  <c r="CF49" i="17"/>
  <c r="AT119" i="17"/>
  <c r="CE36" i="16"/>
  <c r="DV49" i="17"/>
  <c r="BO11" i="16"/>
  <c r="AO49" i="17"/>
  <c r="BV119" i="17"/>
  <c r="CN9" i="17"/>
  <c r="BP49" i="17"/>
  <c r="CS49" i="17"/>
  <c r="AV9" i="17"/>
  <c r="BF49" i="17"/>
  <c r="BG11" i="16"/>
  <c r="AY11" i="16"/>
  <c r="BW11" i="16"/>
  <c r="CC36" i="16"/>
  <c r="AR36" i="16"/>
  <c r="BV49" i="17"/>
  <c r="BA49" i="17"/>
  <c r="CR36" i="16"/>
  <c r="AM11" i="16"/>
  <c r="AQ118" i="17"/>
  <c r="DF11" i="16"/>
  <c r="BE49" i="17"/>
  <c r="BF119" i="17"/>
  <c r="CM36" i="16"/>
  <c r="BS36" i="16"/>
  <c r="AO11" i="16"/>
  <c r="CO9" i="17"/>
  <c r="DC11" i="16"/>
  <c r="AZ36" i="16"/>
  <c r="AZ9" i="17"/>
  <c r="CK49" i="17"/>
  <c r="AV49" i="17"/>
  <c r="CS36" i="16"/>
  <c r="CI36" i="16"/>
  <c r="BL49" i="17"/>
  <c r="BB49" i="17"/>
  <c r="CH49" i="17"/>
  <c r="CX36" i="16"/>
  <c r="AN9" i="17"/>
  <c r="CV119" i="17"/>
  <c r="DW11" i="16"/>
  <c r="BI9" i="17"/>
  <c r="DI49" i="17"/>
  <c r="DF9" i="17"/>
  <c r="BR9" i="17"/>
  <c r="DC36" i="16"/>
  <c r="CK11" i="16"/>
  <c r="BG119" i="17"/>
  <c r="DJ49" i="17"/>
  <c r="CT49" i="17"/>
  <c r="CI11" i="16"/>
  <c r="CJ9" i="17"/>
  <c r="AL11" i="16"/>
  <c r="CT36" i="16"/>
  <c r="CY11" i="16"/>
  <c r="DD49" i="17"/>
  <c r="DN11" i="16"/>
  <c r="BH9" i="17"/>
  <c r="AK11" i="16"/>
  <c r="DT49" i="17"/>
  <c r="BM9" i="17"/>
  <c r="BJ9" i="17"/>
  <c r="BK49" i="17"/>
  <c r="BY11" i="16"/>
  <c r="CJ49" i="17"/>
  <c r="DC9" i="17"/>
  <c r="CA11" i="16"/>
  <c r="BR49" i="17"/>
  <c r="DA49" i="17"/>
  <c r="BX11" i="16"/>
  <c r="CZ36" i="16"/>
  <c r="AW36" i="16"/>
  <c r="DK11" i="16"/>
  <c r="AL9" i="17"/>
  <c r="AW49" i="17"/>
  <c r="CE9" i="17"/>
  <c r="DA9" i="17"/>
  <c r="BF11" i="16"/>
  <c r="BI11" i="16"/>
  <c r="CE49" i="17"/>
  <c r="BN9" i="17"/>
  <c r="BW9" i="17"/>
  <c r="CL49" i="17"/>
  <c r="BE11" i="16"/>
  <c r="DL11" i="16"/>
  <c r="DL9" i="17"/>
  <c r="AK9" i="17"/>
  <c r="CW36" i="16"/>
  <c r="BA11" i="16"/>
  <c r="BX9" i="17"/>
  <c r="DV11" i="16"/>
  <c r="CP49" i="17"/>
  <c r="AU9" i="17"/>
  <c r="BU36" i="16"/>
  <c r="DK9" i="17"/>
  <c r="AM49" i="17"/>
  <c r="DP9" i="17"/>
  <c r="CH118" i="17"/>
  <c r="BO36" i="16"/>
  <c r="DH49" i="17"/>
  <c r="BB11" i="16"/>
  <c r="AQ9" i="17"/>
  <c r="BT49" i="17"/>
  <c r="CZ11" i="16"/>
  <c r="AN49" i="17"/>
  <c r="CC9" i="17"/>
  <c r="BM49" i="17"/>
  <c r="CS11" i="16"/>
  <c r="DE49" i="17"/>
  <c r="DT11" i="16"/>
  <c r="CM49" i="17"/>
  <c r="AU36" i="16"/>
  <c r="DB9" i="17"/>
  <c r="BP9" i="17"/>
  <c r="CQ9" i="17"/>
  <c r="CA9" i="17"/>
  <c r="DE9" i="17"/>
  <c r="DV9" i="17"/>
  <c r="BT9" i="17"/>
  <c r="CS9" i="17"/>
  <c r="BK9" i="17"/>
  <c r="AT9" i="17"/>
  <c r="BS9" i="17"/>
  <c r="DK119" i="17"/>
  <c r="DK118" i="17"/>
  <c r="J39" i="5"/>
  <c r="AI34" i="17"/>
  <c r="CO49" i="17"/>
  <c r="DC118" i="17"/>
  <c r="DC119" i="17"/>
  <c r="DI118" i="17"/>
  <c r="DI119" i="17"/>
  <c r="BA9" i="17"/>
  <c r="CL36" i="16"/>
  <c r="AY9" i="17"/>
  <c r="BE119" i="17"/>
  <c r="BE118" i="17"/>
  <c r="DR11" i="16"/>
  <c r="CF11" i="16"/>
  <c r="DH36" i="16"/>
  <c r="DU9" i="17"/>
  <c r="DQ11" i="16"/>
  <c r="AZ49" i="17"/>
  <c r="CU9" i="17"/>
  <c r="J31" i="5"/>
  <c r="AI26" i="17"/>
  <c r="AN11" i="16"/>
  <c r="DI11" i="16"/>
  <c r="DC49" i="17"/>
  <c r="AN119" i="17"/>
  <c r="AN118" i="17"/>
  <c r="CJ11" i="16"/>
  <c r="BJ118" i="17"/>
  <c r="BJ119" i="17"/>
  <c r="AR9" i="17"/>
  <c r="CZ9" i="17"/>
  <c r="CL9" i="17"/>
  <c r="DB118" i="17"/>
  <c r="DB119" i="17"/>
  <c r="DN118" i="17"/>
  <c r="DN119" i="17"/>
  <c r="AS9" i="17"/>
  <c r="AV118" i="17"/>
  <c r="AV119" i="17"/>
  <c r="AJ9" i="17"/>
  <c r="AT11" i="16"/>
  <c r="DH118" i="17"/>
  <c r="DH119" i="17"/>
  <c r="BI119" i="17"/>
  <c r="BI118" i="17"/>
  <c r="CZ118" i="17"/>
  <c r="CZ119" i="17"/>
  <c r="CN118" i="17"/>
  <c r="CN119" i="17"/>
  <c r="BE36" i="16"/>
  <c r="BS119" i="17"/>
  <c r="BS118" i="17"/>
  <c r="CW49" i="17"/>
  <c r="CR11" i="16"/>
  <c r="BV11" i="16"/>
  <c r="EE19" i="15"/>
  <c r="EG164" i="11"/>
  <c r="EG167" i="11" s="1"/>
  <c r="CF9" i="17"/>
  <c r="DR49" i="17"/>
  <c r="AZ11" i="16"/>
  <c r="BP36" i="16"/>
  <c r="BO9" i="17"/>
  <c r="AP9" i="17"/>
  <c r="AZ119" i="17"/>
  <c r="AZ118" i="17"/>
  <c r="DV119" i="17"/>
  <c r="DV118" i="17"/>
  <c r="CN11" i="16"/>
  <c r="CH9" i="17"/>
  <c r="BS49" i="17"/>
  <c r="CL119" i="17"/>
  <c r="CL118" i="17"/>
  <c r="BT119" i="17"/>
  <c r="BT118" i="17"/>
  <c r="CP9" i="17"/>
  <c r="DL119" i="17"/>
  <c r="DL118" i="17"/>
  <c r="BU119" i="17"/>
  <c r="BU118" i="17"/>
  <c r="AL49" i="17"/>
  <c r="AY49" i="17"/>
  <c r="CY119" i="17"/>
  <c r="CY118" i="17"/>
  <c r="CQ49" i="17"/>
  <c r="BB9" i="17"/>
  <c r="AM9" i="17"/>
  <c r="BH11" i="16"/>
  <c r="BN118" i="17"/>
  <c r="BN119" i="17"/>
  <c r="AT36" i="16"/>
  <c r="BX118" i="17"/>
  <c r="BX119" i="17"/>
  <c r="CJ36" i="16"/>
  <c r="AS118" i="17"/>
  <c r="AS119" i="17"/>
  <c r="DM9" i="17"/>
  <c r="DT9" i="17"/>
  <c r="BE9" i="17"/>
  <c r="DF36" i="16"/>
  <c r="BL119" i="17"/>
  <c r="BL118" i="17"/>
  <c r="DJ119" i="17"/>
  <c r="DJ118" i="17"/>
  <c r="AY118" i="17"/>
  <c r="AY119" i="17"/>
  <c r="CA119" i="17"/>
  <c r="CA118" i="17"/>
  <c r="CA36" i="16"/>
  <c r="BY9" i="17"/>
  <c r="CV11" i="16"/>
  <c r="BJ49" i="17"/>
  <c r="CW9" i="17"/>
  <c r="AX119" i="17"/>
  <c r="AX118" i="17"/>
  <c r="CQ11" i="16"/>
  <c r="CE119" i="17"/>
  <c r="CE118" i="17"/>
  <c r="CI9" i="17"/>
  <c r="DI9" i="17"/>
  <c r="CW11" i="16"/>
  <c r="DQ9" i="17"/>
  <c r="AN36" i="16"/>
  <c r="DG9" i="17"/>
  <c r="BH118" i="17"/>
  <c r="BH119" i="17"/>
  <c r="DF119" i="17"/>
  <c r="DF118" i="17"/>
  <c r="BB118" i="17"/>
  <c r="BB119" i="17"/>
  <c r="CB9" i="17"/>
  <c r="CG118" i="17"/>
  <c r="CG119" i="17"/>
  <c r="CG9" i="17"/>
  <c r="AQ11" i="16"/>
  <c r="AL118" i="17"/>
  <c r="AL119" i="17"/>
  <c r="CS118" i="17"/>
  <c r="CS119" i="17"/>
  <c r="AG22" i="17"/>
  <c r="J27" i="5"/>
  <c r="AF22" i="17"/>
  <c r="AI22" i="17"/>
  <c r="DS36" i="16"/>
  <c r="DR9" i="17"/>
  <c r="DE11" i="16"/>
  <c r="CV49" i="17"/>
  <c r="CB119" i="17"/>
  <c r="CB118" i="17"/>
  <c r="CB36" i="16"/>
  <c r="BQ9" i="17"/>
  <c r="BV9" i="17"/>
  <c r="DE118" i="17"/>
  <c r="DE119" i="17"/>
  <c r="AX9" i="17"/>
  <c r="AK36" i="16"/>
  <c r="AK49" i="17"/>
  <c r="DS9" i="17"/>
  <c r="DU36" i="16"/>
  <c r="BC118" i="17"/>
  <c r="BC119" i="17"/>
  <c r="CX9" i="17"/>
  <c r="DN9" i="17"/>
  <c r="CQ119" i="17"/>
  <c r="CQ118" i="17"/>
  <c r="BK119" i="17"/>
  <c r="BK118" i="17"/>
  <c r="DA118" i="17"/>
  <c r="DA119" i="17"/>
  <c r="DQ49" i="17"/>
  <c r="BT11" i="16"/>
  <c r="BQ11" i="16"/>
  <c r="DP36" i="16"/>
  <c r="DP49" i="17"/>
  <c r="CT9" i="17"/>
  <c r="DD118" i="17"/>
  <c r="DD119" i="17"/>
  <c r="DD11" i="16"/>
  <c r="CY9" i="17"/>
  <c r="BA118" i="17"/>
  <c r="BA119" i="17"/>
  <c r="BP118" i="17"/>
  <c r="BP119" i="17"/>
  <c r="BZ119" i="17"/>
  <c r="BZ118" i="17"/>
  <c r="DH9" i="17"/>
  <c r="CO36" i="16"/>
  <c r="CD118" i="17"/>
  <c r="CD119" i="17"/>
  <c r="DU118" i="17"/>
  <c r="DU119" i="17"/>
  <c r="DO9" i="17"/>
  <c r="AP119" i="17"/>
  <c r="AP118" i="17"/>
  <c r="AX11" i="16"/>
  <c r="AU118" i="17"/>
  <c r="AU119" i="17"/>
  <c r="CF119" i="17"/>
  <c r="CF118" i="17"/>
  <c r="AV11" i="16"/>
  <c r="J75" i="17"/>
  <c r="BD9" i="17"/>
  <c r="DM49" i="17"/>
  <c r="CD9" i="17"/>
  <c r="AW11" i="16"/>
  <c r="CR9" i="17"/>
  <c r="CM11" i="16"/>
  <c r="BU9" i="17"/>
  <c r="CO11" i="16"/>
  <c r="BF9" i="17"/>
  <c r="BI49" i="17"/>
  <c r="DR36" i="16"/>
  <c r="CU119" i="17"/>
  <c r="CU118" i="17"/>
  <c r="BY118" i="17"/>
  <c r="BY119" i="17"/>
  <c r="BL9" i="17"/>
  <c r="BG9" i="17"/>
  <c r="CJ119" i="17"/>
  <c r="CJ118" i="17"/>
  <c r="CX11" i="16"/>
  <c r="BN11" i="16"/>
  <c r="CM9" i="17"/>
  <c r="AS49" i="17"/>
  <c r="BP11" i="16"/>
  <c r="CP118" i="17"/>
  <c r="CP119" i="17"/>
  <c r="AQ49" i="17"/>
  <c r="CK9" i="17"/>
  <c r="AU11" i="16"/>
  <c r="CL11" i="16"/>
  <c r="BQ119" i="17"/>
  <c r="BQ118" i="17"/>
  <c r="CD36" i="16"/>
  <c r="CT119" i="17"/>
  <c r="CT118" i="17"/>
  <c r="BD119" i="17"/>
  <c r="BD118" i="17"/>
  <c r="J29" i="5"/>
  <c r="AI24" i="17"/>
  <c r="DS119" i="17"/>
  <c r="DS118" i="17"/>
  <c r="BC9" i="17"/>
  <c r="AW9" i="17"/>
  <c r="BR118" i="17"/>
  <c r="BR119" i="17"/>
  <c r="BR11" i="16"/>
  <c r="AK118" i="17"/>
  <c r="AK119" i="17"/>
  <c r="DF49" i="17"/>
  <c r="CK118" i="17"/>
  <c r="CK119" i="17"/>
  <c r="AO9" i="17"/>
  <c r="DN36" i="16"/>
  <c r="CC11" i="16"/>
  <c r="AM36" i="16"/>
  <c r="BZ9" i="17"/>
  <c r="CV9" i="17"/>
  <c r="DV36" i="16"/>
  <c r="DJ9" i="17"/>
  <c r="CW118" i="17"/>
  <c r="CW119" i="17"/>
  <c r="DE36" i="16"/>
  <c r="AS11" i="16"/>
  <c r="ED171" i="11"/>
  <c r="ED28" i="5" s="1"/>
  <c r="N594" i="32" l="1"/>
  <c r="O594" i="32" s="1"/>
  <c r="C164" i="32"/>
  <c r="EF31" i="15"/>
  <c r="J102" i="5"/>
  <c r="EQ27" i="19"/>
  <c r="J27" i="19" s="1"/>
  <c r="M97" i="26"/>
  <c r="M97" i="17"/>
  <c r="N97" i="17"/>
  <c r="AI97" i="17"/>
  <c r="X97" i="26"/>
  <c r="J24" i="17"/>
  <c r="CA115" i="26"/>
  <c r="J34" i="17"/>
  <c r="J26" i="17"/>
  <c r="BA115" i="26"/>
  <c r="CV115" i="26"/>
  <c r="BJ115" i="26"/>
  <c r="BD115" i="26"/>
  <c r="DK115" i="26"/>
  <c r="AU115" i="26"/>
  <c r="BK115" i="26"/>
  <c r="CT115" i="26"/>
  <c r="BQ115" i="26"/>
  <c r="CP115" i="26"/>
  <c r="DE115" i="26"/>
  <c r="DD115" i="26"/>
  <c r="AL115" i="26"/>
  <c r="BT115" i="26"/>
  <c r="DG115" i="26"/>
  <c r="CR115" i="26"/>
  <c r="DJ115" i="26"/>
  <c r="CH115" i="26"/>
  <c r="BH115" i="26"/>
  <c r="AQ115" i="26"/>
  <c r="DU115" i="26"/>
  <c r="CS115" i="26"/>
  <c r="CY115" i="26"/>
  <c r="DV115" i="26"/>
  <c r="AJ115" i="26"/>
  <c r="AV115" i="26"/>
  <c r="BI115" i="26"/>
  <c r="CQ115" i="26"/>
  <c r="BR115" i="26"/>
  <c r="BZ115" i="26"/>
  <c r="BW115" i="26"/>
  <c r="DA115" i="26"/>
  <c r="AX115" i="26"/>
  <c r="DQ115" i="26"/>
  <c r="BF115" i="26"/>
  <c r="AK115" i="26"/>
  <c r="CL115" i="26"/>
  <c r="DC115" i="26"/>
  <c r="CG115" i="26"/>
  <c r="CU115" i="26"/>
  <c r="DP115" i="26"/>
  <c r="BM115" i="26"/>
  <c r="BS115" i="26"/>
  <c r="BP115" i="26"/>
  <c r="DT115" i="26"/>
  <c r="BN115" i="26"/>
  <c r="CI115" i="26"/>
  <c r="BE115" i="26"/>
  <c r="DR115" i="26"/>
  <c r="BX115" i="26"/>
  <c r="DH115" i="26"/>
  <c r="CE115" i="26"/>
  <c r="AW115" i="26"/>
  <c r="CW115" i="26"/>
  <c r="CO115" i="26"/>
  <c r="CZ115" i="26"/>
  <c r="BO115" i="26"/>
  <c r="AO115" i="26"/>
  <c r="BL115" i="26"/>
  <c r="CM115" i="26"/>
  <c r="CJ115" i="26"/>
  <c r="CC115" i="26"/>
  <c r="BV115" i="26"/>
  <c r="DF115" i="26"/>
  <c r="CD115" i="26"/>
  <c r="DL115" i="26"/>
  <c r="BB115" i="26"/>
  <c r="BU115" i="26"/>
  <c r="CK115" i="26"/>
  <c r="AN115" i="26"/>
  <c r="DI115" i="26"/>
  <c r="CX115" i="26"/>
  <c r="CF115" i="26"/>
  <c r="DO115" i="26"/>
  <c r="AY115" i="26"/>
  <c r="AM115" i="26"/>
  <c r="DN115" i="26"/>
  <c r="AR115" i="26"/>
  <c r="DM115" i="26"/>
  <c r="AS115" i="26"/>
  <c r="AP115" i="26"/>
  <c r="DB115" i="26"/>
  <c r="DS115" i="26"/>
  <c r="BY115" i="26"/>
  <c r="BC115" i="26"/>
  <c r="AT115" i="26"/>
  <c r="AZ115" i="26"/>
  <c r="CB115" i="26"/>
  <c r="CN115" i="26"/>
  <c r="BG115" i="26"/>
  <c r="AI17" i="26"/>
  <c r="AG17" i="26"/>
  <c r="AE17" i="26"/>
  <c r="AF17" i="26"/>
  <c r="AA17" i="26"/>
  <c r="Y17" i="26"/>
  <c r="J22" i="26"/>
  <c r="EH18" i="11"/>
  <c r="EH70" i="5" s="1"/>
  <c r="AB73" i="5"/>
  <c r="AB24" i="11"/>
  <c r="AP49" i="16"/>
  <c r="AP51" i="16" s="1"/>
  <c r="BL49" i="16"/>
  <c r="BL51" i="16" s="1"/>
  <c r="BM49" i="16"/>
  <c r="BM51" i="16" s="1"/>
  <c r="DG49" i="16"/>
  <c r="DG51" i="16" s="1"/>
  <c r="CD49" i="16"/>
  <c r="CD51" i="16" s="1"/>
  <c r="CT49" i="16"/>
  <c r="CT51" i="16" s="1"/>
  <c r="BK49" i="16"/>
  <c r="BK51" i="16" s="1"/>
  <c r="BS49" i="16"/>
  <c r="BS51" i="16" s="1"/>
  <c r="CB49" i="16"/>
  <c r="CB51" i="16" s="1"/>
  <c r="BD49" i="16"/>
  <c r="BD51" i="16" s="1"/>
  <c r="DB49" i="16"/>
  <c r="DB51" i="16" s="1"/>
  <c r="DO49" i="16"/>
  <c r="DO51" i="16" s="1"/>
  <c r="AR49" i="16"/>
  <c r="AR51" i="16" s="1"/>
  <c r="CU49" i="16"/>
  <c r="CU51" i="16" s="1"/>
  <c r="CE49" i="16"/>
  <c r="CE51" i="16" s="1"/>
  <c r="DM49" i="16"/>
  <c r="DM51" i="16" s="1"/>
  <c r="DQ49" i="16"/>
  <c r="DQ51" i="16" s="1"/>
  <c r="BR49" i="16"/>
  <c r="BR51" i="16" s="1"/>
  <c r="BH49" i="16"/>
  <c r="BH51" i="16" s="1"/>
  <c r="DP49" i="16"/>
  <c r="DP51" i="16" s="1"/>
  <c r="BZ49" i="16"/>
  <c r="BZ51" i="16" s="1"/>
  <c r="DS49" i="16"/>
  <c r="DS51" i="16" s="1"/>
  <c r="BB49" i="16"/>
  <c r="BB51" i="16" s="1"/>
  <c r="CN49" i="16"/>
  <c r="CN51" i="16" s="1"/>
  <c r="DU49" i="16"/>
  <c r="DU51" i="16" s="1"/>
  <c r="BC49" i="16"/>
  <c r="BC51" i="16" s="1"/>
  <c r="CK49" i="16"/>
  <c r="CK51" i="16" s="1"/>
  <c r="CP49" i="16"/>
  <c r="CP51" i="16" s="1"/>
  <c r="DA49" i="16"/>
  <c r="DA51" i="16" s="1"/>
  <c r="BJ49" i="16"/>
  <c r="BJ51" i="16" s="1"/>
  <c r="DW49" i="16"/>
  <c r="DW51" i="16" s="1"/>
  <c r="BQ49" i="16"/>
  <c r="BQ51" i="16" s="1"/>
  <c r="AX49" i="16"/>
  <c r="AX51" i="16" s="1"/>
  <c r="CH49" i="16"/>
  <c r="CH51" i="16" s="1"/>
  <c r="AQ49" i="16"/>
  <c r="AQ51" i="16" s="1"/>
  <c r="DK49" i="16"/>
  <c r="DK51" i="16" s="1"/>
  <c r="CG49" i="16"/>
  <c r="CG51" i="16" s="1"/>
  <c r="DD49" i="16"/>
  <c r="DD51" i="16" s="1"/>
  <c r="BE49" i="16"/>
  <c r="BE51" i="16" s="1"/>
  <c r="BY49" i="16"/>
  <c r="BY51" i="16" s="1"/>
  <c r="AS49" i="16"/>
  <c r="AS51" i="16" s="1"/>
  <c r="AL49" i="16"/>
  <c r="AL51" i="16" s="1"/>
  <c r="DT49" i="16"/>
  <c r="DT51" i="16" s="1"/>
  <c r="DJ49" i="16"/>
  <c r="DJ51" i="16" s="1"/>
  <c r="DH49" i="16"/>
  <c r="DH51" i="16" s="1"/>
  <c r="BA49" i="16"/>
  <c r="BA51" i="16" s="1"/>
  <c r="BI49" i="16"/>
  <c r="BI51" i="16" s="1"/>
  <c r="CY49" i="16"/>
  <c r="CY51" i="16" s="1"/>
  <c r="BT49" i="16"/>
  <c r="BT51" i="16" s="1"/>
  <c r="AV49" i="16"/>
  <c r="AV51" i="16" s="1"/>
  <c r="BF49" i="16"/>
  <c r="BF51" i="16" s="1"/>
  <c r="DN49" i="16"/>
  <c r="DN51" i="16" s="1"/>
  <c r="BX49" i="16"/>
  <c r="BX51" i="16" s="1"/>
  <c r="DV115" i="17"/>
  <c r="BG49" i="16"/>
  <c r="BG51" i="16" s="1"/>
  <c r="BU49" i="16"/>
  <c r="BU51" i="16" s="1"/>
  <c r="CF49" i="16"/>
  <c r="CF51" i="16" s="1"/>
  <c r="CQ49" i="16"/>
  <c r="CQ51" i="16" s="1"/>
  <c r="DI49" i="16"/>
  <c r="DI51" i="16" s="1"/>
  <c r="AO49" i="16"/>
  <c r="AO51" i="16" s="1"/>
  <c r="BV49" i="16"/>
  <c r="BV51" i="16" s="1"/>
  <c r="CX49" i="16"/>
  <c r="CX51" i="16" s="1"/>
  <c r="CN115" i="17"/>
  <c r="AY49" i="16"/>
  <c r="AY51" i="16" s="1"/>
  <c r="DC115" i="17"/>
  <c r="CC49" i="16"/>
  <c r="CC51" i="16" s="1"/>
  <c r="CM49" i="16"/>
  <c r="CM51" i="16" s="1"/>
  <c r="BX115" i="17"/>
  <c r="CS49" i="16"/>
  <c r="CS51" i="16" s="1"/>
  <c r="DL49" i="16"/>
  <c r="DL51" i="16" s="1"/>
  <c r="DB115" i="17"/>
  <c r="BO49" i="16"/>
  <c r="BO51" i="16" s="1"/>
  <c r="CC115" i="17"/>
  <c r="CV49" i="16"/>
  <c r="CV51" i="16" s="1"/>
  <c r="CS115" i="17"/>
  <c r="CI49" i="16"/>
  <c r="CI51" i="16" s="1"/>
  <c r="DF49" i="16"/>
  <c r="DF51" i="16" s="1"/>
  <c r="BW49" i="16"/>
  <c r="BW51" i="16" s="1"/>
  <c r="DC49" i="16"/>
  <c r="DC51" i="16" s="1"/>
  <c r="DK115" i="17"/>
  <c r="AL115" i="17"/>
  <c r="CJ115" i="17"/>
  <c r="CR49" i="16"/>
  <c r="CR51" i="16" s="1"/>
  <c r="BN49" i="16"/>
  <c r="BN51" i="16" s="1"/>
  <c r="AT49" i="16"/>
  <c r="AT51" i="16" s="1"/>
  <c r="DE115" i="17"/>
  <c r="AM49" i="16"/>
  <c r="AM51" i="16" s="1"/>
  <c r="AU49" i="16"/>
  <c r="AU51" i="16" s="1"/>
  <c r="AZ49" i="16"/>
  <c r="AZ51" i="16" s="1"/>
  <c r="DD115" i="17"/>
  <c r="BK115" i="17"/>
  <c r="CT115" i="17"/>
  <c r="BP115" i="17"/>
  <c r="BI115" i="17"/>
  <c r="BH115" i="17"/>
  <c r="BR115" i="17"/>
  <c r="AV115" i="17"/>
  <c r="AN115" i="17"/>
  <c r="DJ115" i="17"/>
  <c r="BU115" i="17"/>
  <c r="DV49" i="16"/>
  <c r="DV51" i="16" s="1"/>
  <c r="AK49" i="16"/>
  <c r="AK51" i="16" s="1"/>
  <c r="CU115" i="17"/>
  <c r="CZ49" i="16"/>
  <c r="CZ51" i="16" s="1"/>
  <c r="CA49" i="16"/>
  <c r="CA51" i="16" s="1"/>
  <c r="DA115" i="17"/>
  <c r="CO115" i="17"/>
  <c r="DS115" i="17"/>
  <c r="DF115" i="17"/>
  <c r="CA115" i="17"/>
  <c r="CP115" i="17"/>
  <c r="CL49" i="16"/>
  <c r="CL51" i="16" s="1"/>
  <c r="BD115" i="17"/>
  <c r="BS115" i="17"/>
  <c r="BN115" i="17"/>
  <c r="AT115" i="17"/>
  <c r="BW115" i="17"/>
  <c r="DL115" i="17"/>
  <c r="CQ115" i="17"/>
  <c r="CE115" i="17"/>
  <c r="BM115" i="17"/>
  <c r="AU115" i="17"/>
  <c r="AW49" i="16"/>
  <c r="AW51" i="16" s="1"/>
  <c r="CW49" i="16"/>
  <c r="CW51" i="16" s="1"/>
  <c r="DG115" i="17"/>
  <c r="CV115" i="17"/>
  <c r="DI115" i="17"/>
  <c r="CY115" i="17"/>
  <c r="BT115" i="17"/>
  <c r="DT115" i="17"/>
  <c r="DE49" i="16"/>
  <c r="DE51" i="16" s="1"/>
  <c r="AK115" i="17"/>
  <c r="DU115" i="17"/>
  <c r="CO49" i="16"/>
  <c r="CO51" i="16" s="1"/>
  <c r="BP49" i="16"/>
  <c r="BP51" i="16" s="1"/>
  <c r="AZ115" i="17"/>
  <c r="AP115" i="17"/>
  <c r="CI115" i="17"/>
  <c r="BF115" i="17"/>
  <c r="AQ115" i="17"/>
  <c r="BY115" i="17"/>
  <c r="CB115" i="17"/>
  <c r="CX115" i="17"/>
  <c r="CD115" i="17"/>
  <c r="AX115" i="17"/>
  <c r="BO115" i="17"/>
  <c r="AR115" i="17"/>
  <c r="AO115" i="17"/>
  <c r="BL115" i="17"/>
  <c r="CM115" i="17"/>
  <c r="CK115" i="17"/>
  <c r="CR115" i="17"/>
  <c r="BJ115" i="17"/>
  <c r="BG115" i="17"/>
  <c r="AJ115" i="17"/>
  <c r="BB115" i="17"/>
  <c r="BZ115" i="17"/>
  <c r="DH115" i="17"/>
  <c r="J22" i="17"/>
  <c r="CZ115" i="17"/>
  <c r="AN49" i="16"/>
  <c r="AN51" i="16" s="1"/>
  <c r="BV115" i="17"/>
  <c r="CH115" i="17"/>
  <c r="DO115" i="17"/>
  <c r="BQ115" i="17"/>
  <c r="BE115" i="17"/>
  <c r="AY115" i="17"/>
  <c r="DR115" i="17"/>
  <c r="CW115" i="17"/>
  <c r="AS115" i="17"/>
  <c r="ED172" i="11"/>
  <c r="EE169" i="11" s="1"/>
  <c r="AW115" i="17"/>
  <c r="DN115" i="17"/>
  <c r="CG115" i="17"/>
  <c r="BC115" i="17"/>
  <c r="C29" i="22"/>
  <c r="C30" i="22" s="1"/>
  <c r="CF115" i="17"/>
  <c r="CJ49" i="16"/>
  <c r="CJ51" i="16" s="1"/>
  <c r="DQ115" i="17"/>
  <c r="DM115" i="17"/>
  <c r="EH164" i="11"/>
  <c r="EH167" i="11" s="1"/>
  <c r="EF19" i="15"/>
  <c r="BA115" i="17"/>
  <c r="AM115" i="17"/>
  <c r="CL115" i="17"/>
  <c r="DR49" i="16"/>
  <c r="DR51" i="16" s="1"/>
  <c r="J97" i="17" l="1"/>
  <c r="J97" i="26"/>
  <c r="EH19" i="11"/>
  <c r="EI16" i="11" s="1"/>
  <c r="EI18" i="11" s="1"/>
  <c r="EH68" i="5"/>
  <c r="AB71" i="5"/>
  <c r="AC21" i="11"/>
  <c r="EG19" i="15"/>
  <c r="AE14" i="18" s="1"/>
  <c r="N213" i="32" s="1"/>
  <c r="EI164" i="11"/>
  <c r="EI167" i="11" s="1"/>
  <c r="F16" i="2"/>
  <c r="F17" i="2"/>
  <c r="EE171" i="11"/>
  <c r="EE28" i="5" s="1"/>
  <c r="EG31" i="15" l="1"/>
  <c r="EI19" i="11"/>
  <c r="EI70" i="5"/>
  <c r="AC23" i="11"/>
  <c r="AC73" i="5" s="1"/>
  <c r="J16" i="2"/>
  <c r="EA16" i="2" s="1"/>
  <c r="F19" i="2"/>
  <c r="F26" i="2" s="1"/>
  <c r="J17" i="2"/>
  <c r="EJ164" i="11"/>
  <c r="EJ167" i="11" s="1"/>
  <c r="EH19" i="15"/>
  <c r="EE172" i="11"/>
  <c r="AC71" i="5" l="1"/>
  <c r="EI68" i="5"/>
  <c r="EJ16" i="11"/>
  <c r="EJ18" i="11" s="1"/>
  <c r="EH31" i="15"/>
  <c r="EE16" i="2"/>
  <c r="CP16" i="2"/>
  <c r="BD16" i="2"/>
  <c r="DW16" i="2"/>
  <c r="BC16" i="2"/>
  <c r="T16" i="2"/>
  <c r="DU16" i="2"/>
  <c r="BB16" i="2"/>
  <c r="BA16" i="2"/>
  <c r="AJ16" i="2"/>
  <c r="BO16" i="2"/>
  <c r="AC24" i="11"/>
  <c r="DH16" i="2"/>
  <c r="J15" i="2"/>
  <c r="BE16" i="2"/>
  <c r="CS16" i="2"/>
  <c r="AN16" i="2"/>
  <c r="AF16" i="2"/>
  <c r="EF16" i="2"/>
  <c r="AS16" i="2"/>
  <c r="P6" i="1"/>
  <c r="P16" i="2"/>
  <c r="CQ16" i="2"/>
  <c r="CB16" i="2"/>
  <c r="BM16" i="2"/>
  <c r="CR16" i="2"/>
  <c r="U16" i="2"/>
  <c r="BU16" i="2"/>
  <c r="CC16" i="2"/>
  <c r="BI16" i="2"/>
  <c r="DX16" i="2"/>
  <c r="BL16" i="2"/>
  <c r="AU16" i="2"/>
  <c r="DV16" i="2"/>
  <c r="EH16" i="2"/>
  <c r="DC16" i="2"/>
  <c r="DQ16" i="2"/>
  <c r="AE16" i="2"/>
  <c r="AW16" i="2"/>
  <c r="AO16" i="2"/>
  <c r="V16" i="2"/>
  <c r="N16" i="2"/>
  <c r="AV16" i="2"/>
  <c r="BN16" i="2"/>
  <c r="DG16" i="2"/>
  <c r="AG16" i="2"/>
  <c r="CE16" i="2"/>
  <c r="M16" i="2"/>
  <c r="CL16" i="2"/>
  <c r="AQ16" i="2"/>
  <c r="BV16" i="2"/>
  <c r="BF16" i="2"/>
  <c r="AM16" i="2"/>
  <c r="DD16" i="2"/>
  <c r="DS16" i="2"/>
  <c r="DA16" i="2"/>
  <c r="DR16" i="2"/>
  <c r="CD16" i="2"/>
  <c r="DZ16" i="2"/>
  <c r="DY16" i="2"/>
  <c r="BZ16" i="2"/>
  <c r="CU16" i="2"/>
  <c r="BP16" i="2"/>
  <c r="CF16" i="2"/>
  <c r="W16" i="2"/>
  <c r="EC16" i="2"/>
  <c r="BW16" i="2"/>
  <c r="DN16" i="2"/>
  <c r="EQ16" i="2"/>
  <c r="AD16" i="2"/>
  <c r="AI16" i="2"/>
  <c r="EP16" i="2"/>
  <c r="CH16" i="2"/>
  <c r="BY16" i="2"/>
  <c r="CM16" i="2"/>
  <c r="AT16" i="2"/>
  <c r="EB16" i="2"/>
  <c r="ER16" i="2"/>
  <c r="BX16" i="2"/>
  <c r="AL16" i="2"/>
  <c r="R16" i="2"/>
  <c r="AY16" i="2"/>
  <c r="EO16" i="2"/>
  <c r="BT16" i="2"/>
  <c r="DM16" i="2"/>
  <c r="CY16" i="2"/>
  <c r="AK16" i="2"/>
  <c r="ED16" i="2"/>
  <c r="O16" i="2"/>
  <c r="DB16" i="2"/>
  <c r="AC16" i="2"/>
  <c r="DF16" i="2"/>
  <c r="AX16" i="2"/>
  <c r="DI16" i="2"/>
  <c r="CJ16" i="2"/>
  <c r="AH16" i="2"/>
  <c r="Z16" i="2"/>
  <c r="DO16" i="2"/>
  <c r="BK16" i="2"/>
  <c r="BH16" i="2"/>
  <c r="AR16" i="2"/>
  <c r="EI16" i="2"/>
  <c r="AB16" i="2"/>
  <c r="DP16" i="2"/>
  <c r="CT16" i="2"/>
  <c r="Y16" i="2"/>
  <c r="DE16" i="2"/>
  <c r="AZ16" i="2"/>
  <c r="CW16" i="2"/>
  <c r="BS16" i="2"/>
  <c r="EK16" i="2"/>
  <c r="CI16" i="2"/>
  <c r="BJ16" i="2"/>
  <c r="CA16" i="2"/>
  <c r="DK16" i="2"/>
  <c r="BG16" i="2"/>
  <c r="X16" i="2"/>
  <c r="CN16" i="2"/>
  <c r="CK16" i="2"/>
  <c r="CZ16" i="2"/>
  <c r="BR16" i="2"/>
  <c r="EN16" i="2"/>
  <c r="CV16" i="2"/>
  <c r="AA16" i="2"/>
  <c r="CG16" i="2"/>
  <c r="DT16" i="2"/>
  <c r="BQ16" i="2"/>
  <c r="EG16" i="2"/>
  <c r="CO16" i="2"/>
  <c r="EM16" i="2"/>
  <c r="DL16" i="2"/>
  <c r="AP16" i="2"/>
  <c r="EJ16" i="2"/>
  <c r="DJ16" i="2"/>
  <c r="EL16" i="2"/>
  <c r="S16" i="2"/>
  <c r="Q16" i="2"/>
  <c r="CX16" i="2"/>
  <c r="EI19" i="15"/>
  <c r="EK164" i="11"/>
  <c r="EK167" i="11" s="1"/>
  <c r="W17" i="2"/>
  <c r="AL17" i="2"/>
  <c r="BA17" i="2"/>
  <c r="CR17" i="2"/>
  <c r="BR17" i="2"/>
  <c r="BC17" i="2"/>
  <c r="DS17" i="2"/>
  <c r="EE17" i="2"/>
  <c r="EN17" i="2"/>
  <c r="DE17" i="2"/>
  <c r="P7" i="1"/>
  <c r="U17" i="2"/>
  <c r="AX17" i="2"/>
  <c r="BM17" i="2"/>
  <c r="DJ17" i="2"/>
  <c r="CJ17" i="2"/>
  <c r="CB17" i="2"/>
  <c r="AN17" i="2"/>
  <c r="CF17" i="2"/>
  <c r="DH17" i="2"/>
  <c r="AB17" i="2"/>
  <c r="AH17" i="2"/>
  <c r="ER17" i="2"/>
  <c r="BK17" i="2"/>
  <c r="BP17" i="2"/>
  <c r="AY17" i="2"/>
  <c r="AG17" i="2"/>
  <c r="AU17" i="2"/>
  <c r="BJ17" i="2"/>
  <c r="BY17" i="2"/>
  <c r="EB17" i="2"/>
  <c r="DB17" i="2"/>
  <c r="CY17" i="2"/>
  <c r="BN17" i="2"/>
  <c r="BT17" i="2"/>
  <c r="EO17" i="2"/>
  <c r="DL17" i="2"/>
  <c r="EP17" i="2"/>
  <c r="R17" i="2"/>
  <c r="AC17" i="2"/>
  <c r="AS17" i="2"/>
  <c r="BG17" i="2"/>
  <c r="BV17" i="2"/>
  <c r="CK17" i="2"/>
  <c r="Y17" i="2"/>
  <c r="DT17" i="2"/>
  <c r="DW17" i="2"/>
  <c r="CP17" i="2"/>
  <c r="CZ17" i="2"/>
  <c r="T17" i="2"/>
  <c r="DP17" i="2"/>
  <c r="BE17" i="2"/>
  <c r="CH17" i="2"/>
  <c r="CW17" i="2"/>
  <c r="AQ17" i="2"/>
  <c r="EL17" i="2"/>
  <c r="AM17" i="2"/>
  <c r="DX17" i="2"/>
  <c r="CG17" i="2"/>
  <c r="DM17" i="2"/>
  <c r="DV17" i="2"/>
  <c r="BW17" i="2"/>
  <c r="DY17" i="2"/>
  <c r="BS17" i="2"/>
  <c r="EH17" i="2"/>
  <c r="DQ17" i="2"/>
  <c r="EA17" i="2"/>
  <c r="EA15" i="2" s="1"/>
  <c r="DZ61" i="5" s="1"/>
  <c r="EC17" i="2"/>
  <c r="AK17" i="2"/>
  <c r="BF17" i="2"/>
  <c r="BQ17" i="2"/>
  <c r="CE17" i="2"/>
  <c r="CT17" i="2"/>
  <c r="DI17" i="2"/>
  <c r="BI17" i="2"/>
  <c r="AD17" i="2"/>
  <c r="BL17" i="2"/>
  <c r="AJ17" i="2"/>
  <c r="AR17" i="2"/>
  <c r="EQ17" i="2"/>
  <c r="AV17" i="2"/>
  <c r="S17" i="2"/>
  <c r="M17" i="2"/>
  <c r="N17" i="2"/>
  <c r="BH17" i="2"/>
  <c r="CC17" i="2"/>
  <c r="CQ17" i="2"/>
  <c r="DF17" i="2"/>
  <c r="DU17" i="2"/>
  <c r="CA17" i="2"/>
  <c r="BB17" i="2"/>
  <c r="CI17" i="2"/>
  <c r="BO17" i="2"/>
  <c r="BU17" i="2"/>
  <c r="V17" i="2"/>
  <c r="AW17" i="2"/>
  <c r="CO17" i="2"/>
  <c r="DC17" i="2"/>
  <c r="DR17" i="2"/>
  <c r="EG17" i="2"/>
  <c r="CS17" i="2"/>
  <c r="BX17" i="2"/>
  <c r="DG17" i="2"/>
  <c r="CU17" i="2"/>
  <c r="DD17" i="2"/>
  <c r="CL17" i="2"/>
  <c r="BD17" i="2"/>
  <c r="AP17" i="2"/>
  <c r="CM17" i="2"/>
  <c r="DA17" i="2"/>
  <c r="DO17" i="2"/>
  <c r="ED17" i="2"/>
  <c r="X17" i="2"/>
  <c r="DK17" i="2"/>
  <c r="CX17" i="2"/>
  <c r="EF17" i="2"/>
  <c r="DZ17" i="2"/>
  <c r="EI17" i="2"/>
  <c r="AA17" i="2"/>
  <c r="AT17" i="2"/>
  <c r="Q17" i="2"/>
  <c r="EK17" i="2"/>
  <c r="Z17" i="2"/>
  <c r="AO17" i="2"/>
  <c r="BZ17" i="2"/>
  <c r="AZ17" i="2"/>
  <c r="AE17" i="2"/>
  <c r="CN17" i="2"/>
  <c r="CV17" i="2"/>
  <c r="CD17" i="2"/>
  <c r="DN17" i="2"/>
  <c r="O17" i="2"/>
  <c r="AI17" i="2"/>
  <c r="AF17" i="2"/>
  <c r="EM17" i="2"/>
  <c r="EJ17" i="2"/>
  <c r="P17" i="2"/>
  <c r="J19" i="2"/>
  <c r="F28" i="2" s="1"/>
  <c r="EF169" i="11"/>
  <c r="EF171" i="11" s="1"/>
  <c r="G77" i="11" l="1"/>
  <c r="C4" i="32"/>
  <c r="EJ19" i="11"/>
  <c r="EJ70" i="5"/>
  <c r="DR15" i="2"/>
  <c r="DQ61" i="5" s="1"/>
  <c r="AG15" i="2"/>
  <c r="AF61" i="5" s="1"/>
  <c r="CC15" i="2"/>
  <c r="CB61" i="5" s="1"/>
  <c r="BA15" i="2"/>
  <c r="AZ61" i="5" s="1"/>
  <c r="EE15" i="2"/>
  <c r="ED61" i="5" s="1"/>
  <c r="BB15" i="2"/>
  <c r="BA61" i="5" s="1"/>
  <c r="DW15" i="2"/>
  <c r="DV61" i="5" s="1"/>
  <c r="AN15" i="2"/>
  <c r="AM61" i="5" s="1"/>
  <c r="BC15" i="2"/>
  <c r="BB61" i="5" s="1"/>
  <c r="DV15" i="2"/>
  <c r="DU61" i="5" s="1"/>
  <c r="BD15" i="2"/>
  <c r="BC61" i="5" s="1"/>
  <c r="CP15" i="2"/>
  <c r="CO61" i="5" s="1"/>
  <c r="V15" i="2"/>
  <c r="U61" i="5" s="1"/>
  <c r="DH15" i="2"/>
  <c r="DG61" i="5" s="1"/>
  <c r="AJ15" i="2"/>
  <c r="AI61" i="5" s="1"/>
  <c r="CS15" i="2"/>
  <c r="CR61" i="5" s="1"/>
  <c r="AO15" i="2"/>
  <c r="AN61" i="5" s="1"/>
  <c r="T15" i="2"/>
  <c r="S61" i="5" s="1"/>
  <c r="DU15" i="2"/>
  <c r="DT61" i="5" s="1"/>
  <c r="AW15" i="2"/>
  <c r="AV61" i="5" s="1"/>
  <c r="N15" i="2"/>
  <c r="M61" i="5" s="1"/>
  <c r="U15" i="2"/>
  <c r="T61" i="5" s="1"/>
  <c r="BU15" i="2"/>
  <c r="BT61" i="5" s="1"/>
  <c r="BF15" i="2"/>
  <c r="BE61" i="5" s="1"/>
  <c r="DX15" i="2"/>
  <c r="DW61" i="5" s="1"/>
  <c r="DD15" i="2"/>
  <c r="DC61" i="5" s="1"/>
  <c r="BO15" i="2"/>
  <c r="BN61" i="5" s="1"/>
  <c r="AD21" i="11"/>
  <c r="AI15" i="2"/>
  <c r="AH61" i="5" s="1"/>
  <c r="DC15" i="2"/>
  <c r="DB61" i="5" s="1"/>
  <c r="P15" i="2"/>
  <c r="O61" i="5" s="1"/>
  <c r="BE15" i="2"/>
  <c r="BD61" i="5" s="1"/>
  <c r="BM15" i="2"/>
  <c r="BL61" i="5" s="1"/>
  <c r="DQ15" i="2"/>
  <c r="DP61" i="5" s="1"/>
  <c r="EH15" i="2"/>
  <c r="EG61" i="5" s="1"/>
  <c r="CB15" i="2"/>
  <c r="CA61" i="5" s="1"/>
  <c r="CE15" i="2"/>
  <c r="CD61" i="5" s="1"/>
  <c r="CQ15" i="2"/>
  <c r="CP61" i="5" s="1"/>
  <c r="M15" i="2"/>
  <c r="L61" i="5" s="1"/>
  <c r="D612" i="32" s="1"/>
  <c r="CL15" i="2"/>
  <c r="CK61" i="5" s="1"/>
  <c r="DZ15" i="2"/>
  <c r="DY61" i="5" s="1"/>
  <c r="AM15" i="2"/>
  <c r="AL61" i="5" s="1"/>
  <c r="CN15" i="2"/>
  <c r="CM61" i="5" s="1"/>
  <c r="EF15" i="2"/>
  <c r="EE61" i="5" s="1"/>
  <c r="AE15" i="2"/>
  <c r="AD61" i="5" s="1"/>
  <c r="DG15" i="2"/>
  <c r="DF61" i="5" s="1"/>
  <c r="AQ15" i="2"/>
  <c r="AP61" i="5" s="1"/>
  <c r="BV15" i="2"/>
  <c r="BU61" i="5" s="1"/>
  <c r="DS15" i="2"/>
  <c r="DR61" i="5" s="1"/>
  <c r="BL15" i="2"/>
  <c r="BK61" i="5" s="1"/>
  <c r="AS15" i="2"/>
  <c r="AR61" i="5" s="1"/>
  <c r="AU15" i="2"/>
  <c r="AT61" i="5" s="1"/>
  <c r="CR15" i="2"/>
  <c r="CQ61" i="5" s="1"/>
  <c r="BI15" i="2"/>
  <c r="BH61" i="5" s="1"/>
  <c r="BN15" i="2"/>
  <c r="BM61" i="5" s="1"/>
  <c r="AV15" i="2"/>
  <c r="AU61" i="5" s="1"/>
  <c r="BW15" i="2"/>
  <c r="BV61" i="5" s="1"/>
  <c r="AF15" i="2"/>
  <c r="AE61" i="5" s="1"/>
  <c r="DA15" i="2"/>
  <c r="CZ61" i="5" s="1"/>
  <c r="DN15" i="2"/>
  <c r="DM61" i="5" s="1"/>
  <c r="CD15" i="2"/>
  <c r="CC61" i="5" s="1"/>
  <c r="CM15" i="2"/>
  <c r="CL61" i="5" s="1"/>
  <c r="AH15" i="2"/>
  <c r="AG61" i="5" s="1"/>
  <c r="BH15" i="2"/>
  <c r="BG61" i="5" s="1"/>
  <c r="BP15" i="2"/>
  <c r="BO61" i="5" s="1"/>
  <c r="DY15" i="2"/>
  <c r="DX61" i="5" s="1"/>
  <c r="ER15" i="2"/>
  <c r="EQ61" i="5" s="1"/>
  <c r="CU15" i="2"/>
  <c r="CT61" i="5" s="1"/>
  <c r="EC15" i="2"/>
  <c r="EB61" i="5" s="1"/>
  <c r="W15" i="2"/>
  <c r="V61" i="5" s="1"/>
  <c r="CF15" i="2"/>
  <c r="CE61" i="5" s="1"/>
  <c r="CA15" i="2"/>
  <c r="BZ61" i="5" s="1"/>
  <c r="BZ15" i="2"/>
  <c r="BY61" i="5" s="1"/>
  <c r="EP15" i="2"/>
  <c r="EO61" i="5" s="1"/>
  <c r="BX15" i="2"/>
  <c r="BW61" i="5" s="1"/>
  <c r="BK15" i="2"/>
  <c r="BJ61" i="5" s="1"/>
  <c r="AD15" i="2"/>
  <c r="AC61" i="5" s="1"/>
  <c r="EK15" i="2"/>
  <c r="EJ61" i="5" s="1"/>
  <c r="Y15" i="2"/>
  <c r="X61" i="5" s="1"/>
  <c r="BY15" i="2"/>
  <c r="BX61" i="5" s="1"/>
  <c r="CH15" i="2"/>
  <c r="CG61" i="5" s="1"/>
  <c r="AT15" i="2"/>
  <c r="AS61" i="5" s="1"/>
  <c r="EQ15" i="2"/>
  <c r="EP61" i="5" s="1"/>
  <c r="EB15" i="2"/>
  <c r="EA61" i="5" s="1"/>
  <c r="ED15" i="2"/>
  <c r="EC61" i="5" s="1"/>
  <c r="BT15" i="2"/>
  <c r="BS61" i="5" s="1"/>
  <c r="AY15" i="2"/>
  <c r="AX61" i="5" s="1"/>
  <c r="AL15" i="2"/>
  <c r="AK61" i="5" s="1"/>
  <c r="DI15" i="2"/>
  <c r="DH61" i="5" s="1"/>
  <c r="AZ15" i="2"/>
  <c r="AY61" i="5" s="1"/>
  <c r="BS15" i="2"/>
  <c r="BR61" i="5" s="1"/>
  <c r="CJ15" i="2"/>
  <c r="CI61" i="5" s="1"/>
  <c r="CK15" i="2"/>
  <c r="CJ61" i="5" s="1"/>
  <c r="Z15" i="2"/>
  <c r="Y61" i="5" s="1"/>
  <c r="R15" i="2"/>
  <c r="Q61" i="5" s="1"/>
  <c r="CW15" i="2"/>
  <c r="CV61" i="5" s="1"/>
  <c r="DM15" i="2"/>
  <c r="DL61" i="5" s="1"/>
  <c r="EO15" i="2"/>
  <c r="EN61" i="5" s="1"/>
  <c r="AK15" i="2"/>
  <c r="AJ61" i="5" s="1"/>
  <c r="O15" i="2"/>
  <c r="N61" i="5" s="1"/>
  <c r="CX15" i="2"/>
  <c r="CW61" i="5" s="1"/>
  <c r="DE15" i="2"/>
  <c r="DD61" i="5" s="1"/>
  <c r="DF15" i="2"/>
  <c r="DE61" i="5" s="1"/>
  <c r="AC15" i="2"/>
  <c r="AB61" i="5" s="1"/>
  <c r="DP15" i="2"/>
  <c r="DO61" i="5" s="1"/>
  <c r="CT15" i="2"/>
  <c r="CS61" i="5" s="1"/>
  <c r="AX15" i="2"/>
  <c r="AW61" i="5" s="1"/>
  <c r="BQ15" i="2"/>
  <c r="BP61" i="5" s="1"/>
  <c r="EI15" i="2"/>
  <c r="EH61" i="5" s="1"/>
  <c r="DT15" i="2"/>
  <c r="DS61" i="5" s="1"/>
  <c r="CY15" i="2"/>
  <c r="CX61" i="5" s="1"/>
  <c r="AB15" i="2"/>
  <c r="AA61" i="5" s="1"/>
  <c r="DB15" i="2"/>
  <c r="DA61" i="5" s="1"/>
  <c r="DO15" i="2"/>
  <c r="DN61" i="5" s="1"/>
  <c r="S15" i="2"/>
  <c r="R61" i="5" s="1"/>
  <c r="CI15" i="2"/>
  <c r="CH61" i="5" s="1"/>
  <c r="AR15" i="2"/>
  <c r="AQ61" i="5" s="1"/>
  <c r="BJ15" i="2"/>
  <c r="BI61" i="5" s="1"/>
  <c r="X15" i="2"/>
  <c r="W61" i="5" s="1"/>
  <c r="AA15" i="2"/>
  <c r="Z61" i="5" s="1"/>
  <c r="CG15" i="2"/>
  <c r="CF61" i="5" s="1"/>
  <c r="CZ15" i="2"/>
  <c r="CY61" i="5" s="1"/>
  <c r="BR15" i="2"/>
  <c r="BQ61" i="5" s="1"/>
  <c r="CV15" i="2"/>
  <c r="CU61" i="5" s="1"/>
  <c r="EN15" i="2"/>
  <c r="EM61" i="5" s="1"/>
  <c r="EL15" i="2"/>
  <c r="EK61" i="5" s="1"/>
  <c r="DK15" i="2"/>
  <c r="DJ61" i="5" s="1"/>
  <c r="BG15" i="2"/>
  <c r="BF61" i="5" s="1"/>
  <c r="AP15" i="2"/>
  <c r="AO61" i="5" s="1"/>
  <c r="K16" i="2"/>
  <c r="EJ15" i="2"/>
  <c r="EI61" i="5" s="1"/>
  <c r="EG15" i="2"/>
  <c r="EF61" i="5" s="1"/>
  <c r="EM15" i="2"/>
  <c r="EL61" i="5" s="1"/>
  <c r="Q15" i="2"/>
  <c r="P61" i="5" s="1"/>
  <c r="CO15" i="2"/>
  <c r="CN61" i="5" s="1"/>
  <c r="DL15" i="2"/>
  <c r="DK61" i="5" s="1"/>
  <c r="DJ15" i="2"/>
  <c r="DI61" i="5" s="1"/>
  <c r="J26" i="2"/>
  <c r="K17" i="2"/>
  <c r="P8" i="1"/>
  <c r="P2" i="1" s="1"/>
  <c r="EL164" i="11"/>
  <c r="EL167" i="11" s="1"/>
  <c r="EJ19" i="15"/>
  <c r="CZ19" i="2"/>
  <c r="CZ18" i="2" s="1"/>
  <c r="CY62" i="5" s="1"/>
  <c r="DN19" i="2"/>
  <c r="DN18" i="2" s="1"/>
  <c r="DM62" i="5" s="1"/>
  <c r="EC19" i="2"/>
  <c r="EC18" i="2" s="1"/>
  <c r="EB62" i="5" s="1"/>
  <c r="ER19" i="2"/>
  <c r="ER18" i="2" s="1"/>
  <c r="EQ62" i="5" s="1"/>
  <c r="CX19" i="2"/>
  <c r="CX18" i="2" s="1"/>
  <c r="CW62" i="5" s="1"/>
  <c r="BA19" i="2"/>
  <c r="BA18" i="2" s="1"/>
  <c r="AZ62" i="5" s="1"/>
  <c r="DF19" i="2"/>
  <c r="DF18" i="2" s="1"/>
  <c r="DE62" i="5" s="1"/>
  <c r="CR19" i="2"/>
  <c r="CR18" i="2" s="1"/>
  <c r="CQ62" i="5" s="1"/>
  <c r="DC19" i="2"/>
  <c r="DC18" i="2" s="1"/>
  <c r="DB62" i="5" s="1"/>
  <c r="X19" i="2"/>
  <c r="X18" i="2" s="1"/>
  <c r="W62" i="5" s="1"/>
  <c r="DR19" i="2"/>
  <c r="DR18" i="2" s="1"/>
  <c r="DQ62" i="5" s="1"/>
  <c r="R19" i="2"/>
  <c r="R18" i="2" s="1"/>
  <c r="Q62" i="5" s="1"/>
  <c r="DL19" i="2"/>
  <c r="DL18" i="2" s="1"/>
  <c r="DK62" i="5" s="1"/>
  <c r="DZ19" i="2"/>
  <c r="DZ18" i="2" s="1"/>
  <c r="DY62" i="5" s="1"/>
  <c r="EO19" i="2"/>
  <c r="EO18" i="2" s="1"/>
  <c r="EN62" i="5" s="1"/>
  <c r="AC19" i="2"/>
  <c r="AC18" i="2" s="1"/>
  <c r="AB62" i="5" s="1"/>
  <c r="DP19" i="2"/>
  <c r="DP18" i="2" s="1"/>
  <c r="DO62" i="5" s="1"/>
  <c r="BY19" i="2"/>
  <c r="BY18" i="2" s="1"/>
  <c r="BX62" i="5" s="1"/>
  <c r="ED19" i="2"/>
  <c r="ED18" i="2" s="1"/>
  <c r="EC62" i="5" s="1"/>
  <c r="EI19" i="2"/>
  <c r="EI18" i="2" s="1"/>
  <c r="EH62" i="5" s="1"/>
  <c r="CL19" i="2"/>
  <c r="CL18" i="2" s="1"/>
  <c r="CK62" i="5" s="1"/>
  <c r="AS19" i="2"/>
  <c r="AS18" i="2" s="1"/>
  <c r="AR62" i="5" s="1"/>
  <c r="DX19" i="2"/>
  <c r="DX18" i="2" s="1"/>
  <c r="DW62" i="5" s="1"/>
  <c r="AN19" i="2"/>
  <c r="AN18" i="2" s="1"/>
  <c r="AM62" i="5" s="1"/>
  <c r="S19" i="2"/>
  <c r="S18" i="2" s="1"/>
  <c r="R62" i="5" s="1"/>
  <c r="AH19" i="2"/>
  <c r="AH18" i="2" s="1"/>
  <c r="AG62" i="5" s="1"/>
  <c r="BE19" i="2"/>
  <c r="BE18" i="2" s="1"/>
  <c r="BD62" i="5" s="1"/>
  <c r="EB19" i="2"/>
  <c r="EB18" i="2" s="1"/>
  <c r="EA62" i="5" s="1"/>
  <c r="EA19" i="2"/>
  <c r="EA18" i="2" s="1"/>
  <c r="DZ62" i="5" s="1"/>
  <c r="P9" i="1"/>
  <c r="R45" i="21" s="1"/>
  <c r="U45" i="21" s="1"/>
  <c r="T19" i="2"/>
  <c r="T18" i="2" s="1"/>
  <c r="S62" i="5" s="1"/>
  <c r="BB19" i="2"/>
  <c r="BB18" i="2" s="1"/>
  <c r="BA62" i="5" s="1"/>
  <c r="EL19" i="2"/>
  <c r="EL18" i="2" s="1"/>
  <c r="EK62" i="5" s="1"/>
  <c r="AB19" i="2"/>
  <c r="AB18" i="2" s="1"/>
  <c r="AA62" i="5" s="1"/>
  <c r="AU19" i="2"/>
  <c r="AU18" i="2" s="1"/>
  <c r="AT62" i="5" s="1"/>
  <c r="EH19" i="2"/>
  <c r="EH18" i="2" s="1"/>
  <c r="EG62" i="5" s="1"/>
  <c r="CU19" i="2"/>
  <c r="CU18" i="2" s="1"/>
  <c r="CT62" i="5" s="1"/>
  <c r="Z19" i="2"/>
  <c r="Z18" i="2" s="1"/>
  <c r="Y62" i="5" s="1"/>
  <c r="AJ19" i="2"/>
  <c r="AJ18" i="2" s="1"/>
  <c r="AI62" i="5" s="1"/>
  <c r="BV19" i="2"/>
  <c r="BV18" i="2" s="1"/>
  <c r="BU62" i="5" s="1"/>
  <c r="AY19" i="2"/>
  <c r="AY18" i="2" s="1"/>
  <c r="AX62" i="5" s="1"/>
  <c r="N19" i="2"/>
  <c r="N18" i="2" s="1"/>
  <c r="M62" i="5" s="1"/>
  <c r="Y19" i="2"/>
  <c r="Y18" i="2" s="1"/>
  <c r="X62" i="5" s="1"/>
  <c r="BM19" i="2"/>
  <c r="BM18" i="2" s="1"/>
  <c r="BL62" i="5" s="1"/>
  <c r="U19" i="2"/>
  <c r="U18" i="2" s="1"/>
  <c r="T62" i="5" s="1"/>
  <c r="DU19" i="2"/>
  <c r="DU18" i="2" s="1"/>
  <c r="DT62" i="5" s="1"/>
  <c r="BH19" i="2"/>
  <c r="BH18" i="2" s="1"/>
  <c r="BG62" i="5" s="1"/>
  <c r="BQ19" i="2"/>
  <c r="BQ18" i="2" s="1"/>
  <c r="BP62" i="5" s="1"/>
  <c r="EK19" i="2"/>
  <c r="EK18" i="2" s="1"/>
  <c r="EJ62" i="5" s="1"/>
  <c r="DK19" i="2"/>
  <c r="DK18" i="2" s="1"/>
  <c r="DJ62" i="5" s="1"/>
  <c r="AW19" i="2"/>
  <c r="AW18" i="2" s="1"/>
  <c r="AV62" i="5" s="1"/>
  <c r="BC19" i="2"/>
  <c r="BC18" i="2" s="1"/>
  <c r="BB62" i="5" s="1"/>
  <c r="EJ19" i="2"/>
  <c r="EJ18" i="2" s="1"/>
  <c r="EI62" i="5" s="1"/>
  <c r="O19" i="2"/>
  <c r="O18" i="2" s="1"/>
  <c r="N62" i="5" s="1"/>
  <c r="BL19" i="2"/>
  <c r="BL18" i="2" s="1"/>
  <c r="BK62" i="5" s="1"/>
  <c r="EM19" i="2"/>
  <c r="EM18" i="2" s="1"/>
  <c r="EL62" i="5" s="1"/>
  <c r="V19" i="2"/>
  <c r="V18" i="2" s="1"/>
  <c r="U62" i="5" s="1"/>
  <c r="AK19" i="2"/>
  <c r="AK18" i="2" s="1"/>
  <c r="AJ62" i="5" s="1"/>
  <c r="AZ19" i="2"/>
  <c r="AZ18" i="2" s="1"/>
  <c r="AY62" i="5" s="1"/>
  <c r="CE19" i="2"/>
  <c r="CE18" i="2" s="1"/>
  <c r="CD62" i="5" s="1"/>
  <c r="AM19" i="2"/>
  <c r="AM18" i="2" s="1"/>
  <c r="AL62" i="5" s="1"/>
  <c r="AE19" i="2"/>
  <c r="AE18" i="2" s="1"/>
  <c r="AD62" i="5" s="1"/>
  <c r="CM19" i="2"/>
  <c r="CM18" i="2" s="1"/>
  <c r="CL62" i="5" s="1"/>
  <c r="CT19" i="2"/>
  <c r="CT18" i="2" s="1"/>
  <c r="CS62" i="5" s="1"/>
  <c r="CA19" i="2"/>
  <c r="CA18" i="2" s="1"/>
  <c r="BZ62" i="5" s="1"/>
  <c r="AX19" i="2"/>
  <c r="AX18" i="2" s="1"/>
  <c r="AW62" i="5" s="1"/>
  <c r="DS19" i="2"/>
  <c r="DS18" i="2" s="1"/>
  <c r="DR62" i="5" s="1"/>
  <c r="CW19" i="2"/>
  <c r="CW18" i="2" s="1"/>
  <c r="CV62" i="5" s="1"/>
  <c r="AF19" i="2"/>
  <c r="AF18" i="2" s="1"/>
  <c r="AE62" i="5" s="1"/>
  <c r="AT19" i="2"/>
  <c r="AT18" i="2" s="1"/>
  <c r="AS62" i="5" s="1"/>
  <c r="BI19" i="2"/>
  <c r="BI18" i="2" s="1"/>
  <c r="BH62" i="5" s="1"/>
  <c r="BX19" i="2"/>
  <c r="BX18" i="2" s="1"/>
  <c r="BW62" i="5" s="1"/>
  <c r="DO19" i="2"/>
  <c r="DO18" i="2" s="1"/>
  <c r="DN62" i="5" s="1"/>
  <c r="BW19" i="2"/>
  <c r="BW18" i="2" s="1"/>
  <c r="BV62" i="5" s="1"/>
  <c r="BZ19" i="2"/>
  <c r="BZ18" i="2" s="1"/>
  <c r="BY62" i="5" s="1"/>
  <c r="AG19" i="2"/>
  <c r="AG18" i="2" s="1"/>
  <c r="AF62" i="5" s="1"/>
  <c r="AO19" i="2"/>
  <c r="AO18" i="2" s="1"/>
  <c r="AN62" i="5" s="1"/>
  <c r="CC19" i="2"/>
  <c r="CC18" i="2" s="1"/>
  <c r="CB62" i="5" s="1"/>
  <c r="BG19" i="2"/>
  <c r="BG18" i="2" s="1"/>
  <c r="BF62" i="5" s="1"/>
  <c r="AR19" i="2"/>
  <c r="AR18" i="2" s="1"/>
  <c r="AQ62" i="5" s="1"/>
  <c r="BF19" i="2"/>
  <c r="BF18" i="2" s="1"/>
  <c r="BE62" i="5" s="1"/>
  <c r="BU19" i="2"/>
  <c r="BU18" i="2" s="1"/>
  <c r="BT62" i="5" s="1"/>
  <c r="CJ19" i="2"/>
  <c r="CJ18" i="2" s="1"/>
  <c r="CI62" i="5" s="1"/>
  <c r="EG19" i="2"/>
  <c r="EG18" i="2" s="1"/>
  <c r="EF62" i="5" s="1"/>
  <c r="CO19" i="2"/>
  <c r="CO18" i="2" s="1"/>
  <c r="CN62" i="5" s="1"/>
  <c r="CY19" i="2"/>
  <c r="CY18" i="2" s="1"/>
  <c r="CX62" i="5" s="1"/>
  <c r="BK19" i="2"/>
  <c r="BK18" i="2" s="1"/>
  <c r="BJ62" i="5" s="1"/>
  <c r="BS19" i="2"/>
  <c r="BS18" i="2" s="1"/>
  <c r="BR62" i="5" s="1"/>
  <c r="EN19" i="2"/>
  <c r="EN18" i="2" s="1"/>
  <c r="EM62" i="5" s="1"/>
  <c r="DD19" i="2"/>
  <c r="DD18" i="2" s="1"/>
  <c r="DC62" i="5" s="1"/>
  <c r="BD19" i="2"/>
  <c r="BD18" i="2" s="1"/>
  <c r="BC62" i="5" s="1"/>
  <c r="BR19" i="2"/>
  <c r="BR18" i="2" s="1"/>
  <c r="BQ62" i="5" s="1"/>
  <c r="CG19" i="2"/>
  <c r="CG18" i="2" s="1"/>
  <c r="CF62" i="5" s="1"/>
  <c r="CV19" i="2"/>
  <c r="CV18" i="2" s="1"/>
  <c r="CU62" i="5" s="1"/>
  <c r="AD19" i="2"/>
  <c r="AD18" i="2" s="1"/>
  <c r="AC62" i="5" s="1"/>
  <c r="DG19" i="2"/>
  <c r="DG18" i="2" s="1"/>
  <c r="DF62" i="5" s="1"/>
  <c r="DV19" i="2"/>
  <c r="DV18" i="2" s="1"/>
  <c r="DU62" i="5" s="1"/>
  <c r="CQ19" i="2"/>
  <c r="CQ18" i="2" s="1"/>
  <c r="CP62" i="5" s="1"/>
  <c r="DA19" i="2"/>
  <c r="DA18" i="2" s="1"/>
  <c r="CZ62" i="5" s="1"/>
  <c r="CH19" i="2"/>
  <c r="CH18" i="2" s="1"/>
  <c r="CG62" i="5" s="1"/>
  <c r="DI19" i="2"/>
  <c r="DI18" i="2" s="1"/>
  <c r="DH62" i="5" s="1"/>
  <c r="P19" i="2"/>
  <c r="P18" i="2" s="1"/>
  <c r="O62" i="5" s="1"/>
  <c r="M19" i="2"/>
  <c r="CB19" i="2"/>
  <c r="CB18" i="2" s="1"/>
  <c r="CA62" i="5" s="1"/>
  <c r="CP19" i="2"/>
  <c r="CP18" i="2" s="1"/>
  <c r="CO62" i="5" s="1"/>
  <c r="DE19" i="2"/>
  <c r="DE18" i="2" s="1"/>
  <c r="DD62" i="5" s="1"/>
  <c r="DT19" i="2"/>
  <c r="DT18" i="2" s="1"/>
  <c r="DS62" i="5" s="1"/>
  <c r="BN19" i="2"/>
  <c r="BN18" i="2" s="1"/>
  <c r="BM62" i="5" s="1"/>
  <c r="EQ19" i="2"/>
  <c r="EQ18" i="2" s="1"/>
  <c r="EP62" i="5" s="1"/>
  <c r="BJ19" i="2"/>
  <c r="BJ18" i="2" s="1"/>
  <c r="BI62" i="5" s="1"/>
  <c r="AI19" i="2"/>
  <c r="AI18" i="2" s="1"/>
  <c r="AH62" i="5" s="1"/>
  <c r="AP19" i="2"/>
  <c r="AP18" i="2" s="1"/>
  <c r="AO62" i="5" s="1"/>
  <c r="W19" i="2"/>
  <c r="W18" i="2" s="1"/>
  <c r="V62" i="5" s="1"/>
  <c r="AQ19" i="2"/>
  <c r="AQ18" i="2" s="1"/>
  <c r="AP62" i="5" s="1"/>
  <c r="Q19" i="2"/>
  <c r="Q18" i="2" s="1"/>
  <c r="P62" i="5" s="1"/>
  <c r="BP19" i="2"/>
  <c r="BP18" i="2" s="1"/>
  <c r="BO62" i="5" s="1"/>
  <c r="CD19" i="2"/>
  <c r="CD18" i="2" s="1"/>
  <c r="CC62" i="5" s="1"/>
  <c r="CS19" i="2"/>
  <c r="CS18" i="2" s="1"/>
  <c r="CR62" i="5" s="1"/>
  <c r="DH19" i="2"/>
  <c r="DH18" i="2" s="1"/>
  <c r="DG62" i="5" s="1"/>
  <c r="AV19" i="2"/>
  <c r="AV18" i="2" s="1"/>
  <c r="AU62" i="5" s="1"/>
  <c r="DY19" i="2"/>
  <c r="DY18" i="2" s="1"/>
  <c r="DX62" i="5" s="1"/>
  <c r="AL19" i="2"/>
  <c r="AL18" i="2" s="1"/>
  <c r="AK62" i="5" s="1"/>
  <c r="DW19" i="2"/>
  <c r="DW18" i="2" s="1"/>
  <c r="DV62" i="5" s="1"/>
  <c r="EE19" i="2"/>
  <c r="EE18" i="2" s="1"/>
  <c r="ED62" i="5" s="1"/>
  <c r="EP19" i="2"/>
  <c r="EP18" i="2" s="1"/>
  <c r="EO62" i="5" s="1"/>
  <c r="DJ19" i="2"/>
  <c r="DJ18" i="2" s="1"/>
  <c r="DI62" i="5" s="1"/>
  <c r="CN19" i="2"/>
  <c r="CN18" i="2" s="1"/>
  <c r="CM62" i="5" s="1"/>
  <c r="DB19" i="2"/>
  <c r="DB18" i="2" s="1"/>
  <c r="DA62" i="5" s="1"/>
  <c r="DQ19" i="2"/>
  <c r="DQ18" i="2" s="1"/>
  <c r="DP62" i="5" s="1"/>
  <c r="EF19" i="2"/>
  <c r="EF18" i="2" s="1"/>
  <c r="EE62" i="5" s="1"/>
  <c r="CF19" i="2"/>
  <c r="CF18" i="2" s="1"/>
  <c r="CE62" i="5" s="1"/>
  <c r="AA19" i="2"/>
  <c r="AA18" i="2" s="1"/>
  <c r="Z62" i="5" s="1"/>
  <c r="CI19" i="2"/>
  <c r="CI18" i="2" s="1"/>
  <c r="CH62" i="5" s="1"/>
  <c r="BO19" i="2"/>
  <c r="BO18" i="2" s="1"/>
  <c r="BN62" i="5" s="1"/>
  <c r="BT19" i="2"/>
  <c r="BT18" i="2" s="1"/>
  <c r="BS62" i="5" s="1"/>
  <c r="CK19" i="2"/>
  <c r="CK18" i="2" s="1"/>
  <c r="CJ62" i="5" s="1"/>
  <c r="DM19" i="2"/>
  <c r="DM18" i="2" s="1"/>
  <c r="DL62" i="5" s="1"/>
  <c r="J18" i="2"/>
  <c r="EF172" i="11"/>
  <c r="EF28" i="5"/>
  <c r="J612" i="32" l="1"/>
  <c r="K612" i="32"/>
  <c r="G612" i="32"/>
  <c r="F612" i="32"/>
  <c r="I612" i="32"/>
  <c r="H612" i="32"/>
  <c r="L612" i="32"/>
  <c r="E612" i="32"/>
  <c r="CZ26" i="2"/>
  <c r="CZ20" i="2" s="1"/>
  <c r="CY63" i="5" s="1"/>
  <c r="D26" i="32"/>
  <c r="D15" i="32"/>
  <c r="O8" i="1"/>
  <c r="R44" i="21"/>
  <c r="U32" i="1"/>
  <c r="U33" i="1"/>
  <c r="U34" i="1"/>
  <c r="P56" i="26"/>
  <c r="H182" i="32" s="1"/>
  <c r="Q56" i="26"/>
  <c r="I182" i="32" s="1"/>
  <c r="N56" i="26"/>
  <c r="F182" i="32" s="1"/>
  <c r="U56" i="26"/>
  <c r="M182" i="32" s="1"/>
  <c r="U57" i="26"/>
  <c r="P57" i="26"/>
  <c r="M57" i="26"/>
  <c r="W57" i="26"/>
  <c r="X57" i="26"/>
  <c r="O56" i="26"/>
  <c r="G182" i="32" s="1"/>
  <c r="S57" i="26"/>
  <c r="T57" i="26"/>
  <c r="R57" i="26"/>
  <c r="X56" i="26"/>
  <c r="W56" i="26"/>
  <c r="O57" i="26"/>
  <c r="Q57" i="26"/>
  <c r="N57" i="26"/>
  <c r="R56" i="26"/>
  <c r="J182" i="32" s="1"/>
  <c r="V57" i="26"/>
  <c r="T56" i="26"/>
  <c r="L182" i="32" s="1"/>
  <c r="V56" i="26"/>
  <c r="N182" i="32" s="1"/>
  <c r="S56" i="26"/>
  <c r="K182" i="32" s="1"/>
  <c r="M56" i="26"/>
  <c r="E182" i="32" s="1"/>
  <c r="EJ68" i="5"/>
  <c r="L56" i="17"/>
  <c r="D743" i="32" s="1"/>
  <c r="L56" i="26"/>
  <c r="D182" i="32" s="1"/>
  <c r="EI31" i="15"/>
  <c r="EK16" i="11"/>
  <c r="EK18" i="11" s="1"/>
  <c r="U35" i="1"/>
  <c r="AE56" i="17"/>
  <c r="AD23" i="11"/>
  <c r="AD73" i="5" s="1"/>
  <c r="J619" i="32" s="1"/>
  <c r="Z56" i="17"/>
  <c r="P56" i="17"/>
  <c r="H743" i="32" s="1"/>
  <c r="AF56" i="17"/>
  <c r="T56" i="17"/>
  <c r="X56" i="17"/>
  <c r="N56" i="17"/>
  <c r="F743" i="32" s="1"/>
  <c r="W56" i="17"/>
  <c r="AI56" i="17"/>
  <c r="U56" i="17"/>
  <c r="R56" i="17"/>
  <c r="S56" i="17"/>
  <c r="Q56" i="17"/>
  <c r="Y56" i="17"/>
  <c r="O56" i="17"/>
  <c r="G743" i="32" s="1"/>
  <c r="AG56" i="17"/>
  <c r="AD56" i="17"/>
  <c r="AA56" i="17"/>
  <c r="V56" i="17"/>
  <c r="AB56" i="17"/>
  <c r="AH56" i="17"/>
  <c r="AC56" i="17"/>
  <c r="CU26" i="2"/>
  <c r="CU20" i="2" s="1"/>
  <c r="CT63" i="5" s="1"/>
  <c r="BH26" i="2"/>
  <c r="BH20" i="2" s="1"/>
  <c r="BG63" i="5" s="1"/>
  <c r="K15" i="2"/>
  <c r="DO26" i="2"/>
  <c r="DO20" i="2" s="1"/>
  <c r="DN63" i="5" s="1"/>
  <c r="F29" i="2"/>
  <c r="J29" i="2" s="1"/>
  <c r="CB26" i="2"/>
  <c r="CB20" i="2" s="1"/>
  <c r="CA63" i="5" s="1"/>
  <c r="J61" i="5"/>
  <c r="AR26" i="2"/>
  <c r="AR20" i="2" s="1"/>
  <c r="AQ63" i="5" s="1"/>
  <c r="M56" i="17"/>
  <c r="E743" i="32" s="1"/>
  <c r="BE26" i="2"/>
  <c r="BE20" i="2" s="1"/>
  <c r="BD63" i="5" s="1"/>
  <c r="BC26" i="2"/>
  <c r="BC20" i="2" s="1"/>
  <c r="BB63" i="5" s="1"/>
  <c r="CS26" i="2"/>
  <c r="CS20" i="2" s="1"/>
  <c r="CR63" i="5" s="1"/>
  <c r="DU26" i="2"/>
  <c r="DU20" i="2" s="1"/>
  <c r="DT63" i="5" s="1"/>
  <c r="EO26" i="2"/>
  <c r="EO20" i="2" s="1"/>
  <c r="EN63" i="5" s="1"/>
  <c r="AU26" i="2"/>
  <c r="AU20" i="2" s="1"/>
  <c r="AT63" i="5" s="1"/>
  <c r="DX26" i="2"/>
  <c r="DX20" i="2" s="1"/>
  <c r="DW63" i="5" s="1"/>
  <c r="EF26" i="2"/>
  <c r="EF20" i="2" s="1"/>
  <c r="EE63" i="5" s="1"/>
  <c r="DB26" i="2"/>
  <c r="DB20" i="2" s="1"/>
  <c r="DA63" i="5" s="1"/>
  <c r="CK26" i="2"/>
  <c r="CK20" i="2" s="1"/>
  <c r="CJ63" i="5" s="1"/>
  <c r="BV26" i="2"/>
  <c r="BV20" i="2" s="1"/>
  <c r="BU63" i="5" s="1"/>
  <c r="ER26" i="2"/>
  <c r="ER20" i="2" s="1"/>
  <c r="EQ63" i="5" s="1"/>
  <c r="BI26" i="2"/>
  <c r="BI20" i="2" s="1"/>
  <c r="BH63" i="5" s="1"/>
  <c r="BN26" i="2"/>
  <c r="BN20" i="2" s="1"/>
  <c r="BM63" i="5" s="1"/>
  <c r="N26" i="2"/>
  <c r="N20" i="2" s="1"/>
  <c r="M63" i="5" s="1"/>
  <c r="CF26" i="2"/>
  <c r="CF20" i="2" s="1"/>
  <c r="CE63" i="5" s="1"/>
  <c r="AB26" i="2"/>
  <c r="AB20" i="2" s="1"/>
  <c r="AA63" i="5" s="1"/>
  <c r="S26" i="2"/>
  <c r="S20" i="2" s="1"/>
  <c r="R63" i="5" s="1"/>
  <c r="DA26" i="2"/>
  <c r="DA20" i="2" s="1"/>
  <c r="CZ63" i="5" s="1"/>
  <c r="DC26" i="2"/>
  <c r="DC20" i="2" s="1"/>
  <c r="DB63" i="5" s="1"/>
  <c r="CL26" i="2"/>
  <c r="CL20" i="2" s="1"/>
  <c r="CK63" i="5" s="1"/>
  <c r="DV26" i="2"/>
  <c r="DV20" i="2" s="1"/>
  <c r="DU63" i="5" s="1"/>
  <c r="EA26" i="2"/>
  <c r="EA20" i="2" s="1"/>
  <c r="DZ63" i="5" s="1"/>
  <c r="T26" i="2"/>
  <c r="T20" i="2" s="1"/>
  <c r="S63" i="5" s="1"/>
  <c r="DE26" i="2"/>
  <c r="DE20" i="2" s="1"/>
  <c r="DD63" i="5" s="1"/>
  <c r="CV26" i="2"/>
  <c r="CV20" i="2" s="1"/>
  <c r="CU63" i="5" s="1"/>
  <c r="AI26" i="2"/>
  <c r="AI20" i="2" s="1"/>
  <c r="AH63" i="5" s="1"/>
  <c r="EQ26" i="2"/>
  <c r="EQ20" i="2" s="1"/>
  <c r="EP63" i="5" s="1"/>
  <c r="DP26" i="2"/>
  <c r="DP20" i="2" s="1"/>
  <c r="DO63" i="5" s="1"/>
  <c r="Z26" i="2"/>
  <c r="Z20" i="2" s="1"/>
  <c r="Y63" i="5" s="1"/>
  <c r="AN26" i="2"/>
  <c r="AN20" i="2" s="1"/>
  <c r="AM63" i="5" s="1"/>
  <c r="DN26" i="2"/>
  <c r="DN20" i="2" s="1"/>
  <c r="DM63" i="5" s="1"/>
  <c r="V26" i="2"/>
  <c r="V20" i="2" s="1"/>
  <c r="U63" i="5" s="1"/>
  <c r="AC26" i="2"/>
  <c r="AC20" i="2" s="1"/>
  <c r="AB63" i="5" s="1"/>
  <c r="W26" i="2"/>
  <c r="W20" i="2" s="1"/>
  <c r="V63" i="5" s="1"/>
  <c r="AW26" i="2"/>
  <c r="AW20" i="2" s="1"/>
  <c r="AV63" i="5" s="1"/>
  <c r="AE26" i="2"/>
  <c r="AE20" i="2" s="1"/>
  <c r="AD63" i="5" s="1"/>
  <c r="BP26" i="2"/>
  <c r="BP20" i="2" s="1"/>
  <c r="BO63" i="5" s="1"/>
  <c r="CP26" i="2"/>
  <c r="CP20" i="2" s="1"/>
  <c r="CO63" i="5" s="1"/>
  <c r="CD26" i="2"/>
  <c r="CD20" i="2" s="1"/>
  <c r="CC63" i="5" s="1"/>
  <c r="BD26" i="2"/>
  <c r="BD20" i="2" s="1"/>
  <c r="BC63" i="5" s="1"/>
  <c r="EB26" i="2"/>
  <c r="EB20" i="2" s="1"/>
  <c r="EA63" i="5" s="1"/>
  <c r="CO26" i="2"/>
  <c r="CO20" i="2" s="1"/>
  <c r="CN63" i="5" s="1"/>
  <c r="EH26" i="2"/>
  <c r="EH20" i="2" s="1"/>
  <c r="EG63" i="5" s="1"/>
  <c r="BB26" i="2"/>
  <c r="BB20" i="2" s="1"/>
  <c r="BA63" i="5" s="1"/>
  <c r="BT26" i="2"/>
  <c r="BT20" i="2" s="1"/>
  <c r="BS63" i="5" s="1"/>
  <c r="EJ26" i="2"/>
  <c r="EJ20" i="2" s="1"/>
  <c r="EI63" i="5" s="1"/>
  <c r="AO26" i="2"/>
  <c r="AO20" i="2" s="1"/>
  <c r="AN63" i="5" s="1"/>
  <c r="BK26" i="2"/>
  <c r="BK20" i="2" s="1"/>
  <c r="BJ63" i="5" s="1"/>
  <c r="BF26" i="2"/>
  <c r="BF20" i="2" s="1"/>
  <c r="BE63" i="5" s="1"/>
  <c r="BM26" i="2"/>
  <c r="BM20" i="2" s="1"/>
  <c r="BL63" i="5" s="1"/>
  <c r="R26" i="2"/>
  <c r="R20" i="2" s="1"/>
  <c r="Q63" i="5" s="1"/>
  <c r="BA26" i="2"/>
  <c r="BA20" i="2" s="1"/>
  <c r="AZ63" i="5" s="1"/>
  <c r="AA26" i="2"/>
  <c r="AA20" i="2" s="1"/>
  <c r="Z63" i="5" s="1"/>
  <c r="CG26" i="2"/>
  <c r="CG20" i="2" s="1"/>
  <c r="CF63" i="5" s="1"/>
  <c r="AS26" i="2"/>
  <c r="AS20" i="2" s="1"/>
  <c r="AR63" i="5" s="1"/>
  <c r="DR26" i="2"/>
  <c r="DR20" i="2" s="1"/>
  <c r="DQ63" i="5" s="1"/>
  <c r="DH26" i="2"/>
  <c r="DH20" i="2" s="1"/>
  <c r="DG63" i="5" s="1"/>
  <c r="AJ26" i="2"/>
  <c r="AJ20" i="2" s="1"/>
  <c r="AI63" i="5" s="1"/>
  <c r="AM26" i="2"/>
  <c r="AM20" i="2" s="1"/>
  <c r="AL63" i="5" s="1"/>
  <c r="DM26" i="2"/>
  <c r="DM20" i="2" s="1"/>
  <c r="DL63" i="5" s="1"/>
  <c r="AY26" i="2"/>
  <c r="AY20" i="2" s="1"/>
  <c r="AX63" i="5" s="1"/>
  <c r="BZ26" i="2"/>
  <c r="BZ20" i="2" s="1"/>
  <c r="BY63" i="5" s="1"/>
  <c r="EK26" i="2"/>
  <c r="EK20" i="2" s="1"/>
  <c r="EJ63" i="5" s="1"/>
  <c r="DS26" i="2"/>
  <c r="DS20" i="2" s="1"/>
  <c r="DR63" i="5" s="1"/>
  <c r="CT26" i="2"/>
  <c r="CT20" i="2" s="1"/>
  <c r="CS63" i="5" s="1"/>
  <c r="AZ26" i="2"/>
  <c r="AZ20" i="2" s="1"/>
  <c r="AY63" i="5" s="1"/>
  <c r="EG26" i="2"/>
  <c r="EG20" i="2" s="1"/>
  <c r="EF63" i="5" s="1"/>
  <c r="EI26" i="2"/>
  <c r="EI20" i="2" s="1"/>
  <c r="EH63" i="5" s="1"/>
  <c r="CY26" i="2"/>
  <c r="CY20" i="2" s="1"/>
  <c r="CX63" i="5" s="1"/>
  <c r="CM26" i="2"/>
  <c r="CM20" i="2" s="1"/>
  <c r="CL63" i="5" s="1"/>
  <c r="DK26" i="2"/>
  <c r="DK20" i="2" s="1"/>
  <c r="DJ63" i="5" s="1"/>
  <c r="CX26" i="2"/>
  <c r="CX20" i="2" s="1"/>
  <c r="CW63" i="5" s="1"/>
  <c r="DW26" i="2"/>
  <c r="DW20" i="2" s="1"/>
  <c r="DV63" i="5" s="1"/>
  <c r="CR26" i="2"/>
  <c r="CR20" i="2" s="1"/>
  <c r="CQ63" i="5" s="1"/>
  <c r="BS26" i="2"/>
  <c r="BS20" i="2" s="1"/>
  <c r="BR63" i="5" s="1"/>
  <c r="BL26" i="2"/>
  <c r="BL20" i="2" s="1"/>
  <c r="BK63" i="5" s="1"/>
  <c r="BW26" i="2"/>
  <c r="BW20" i="2" s="1"/>
  <c r="BV63" i="5" s="1"/>
  <c r="ED26" i="2"/>
  <c r="ED20" i="2" s="1"/>
  <c r="EC63" i="5" s="1"/>
  <c r="J20" i="2"/>
  <c r="BX26" i="2"/>
  <c r="BX20" i="2" s="1"/>
  <c r="BW63" i="5" s="1"/>
  <c r="EL26" i="2"/>
  <c r="EL20" i="2" s="1"/>
  <c r="EK63" i="5" s="1"/>
  <c r="EE26" i="2"/>
  <c r="EE20" i="2" s="1"/>
  <c r="ED63" i="5" s="1"/>
  <c r="BQ26" i="2"/>
  <c r="BQ20" i="2" s="1"/>
  <c r="BP63" i="5" s="1"/>
  <c r="DL26" i="2"/>
  <c r="DL20" i="2" s="1"/>
  <c r="DK63" i="5" s="1"/>
  <c r="DZ26" i="2"/>
  <c r="DZ20" i="2" s="1"/>
  <c r="DY63" i="5" s="1"/>
  <c r="U26" i="2"/>
  <c r="U20" i="2" s="1"/>
  <c r="T63" i="5" s="1"/>
  <c r="CN26" i="2"/>
  <c r="CN20" i="2" s="1"/>
  <c r="CM63" i="5" s="1"/>
  <c r="Q26" i="2"/>
  <c r="Q20" i="2" s="1"/>
  <c r="P63" i="5" s="1"/>
  <c r="AK26" i="2"/>
  <c r="AK20" i="2" s="1"/>
  <c r="AJ63" i="5" s="1"/>
  <c r="CJ26" i="2"/>
  <c r="CJ20" i="2" s="1"/>
  <c r="CI63" i="5" s="1"/>
  <c r="DD26" i="2"/>
  <c r="DD20" i="2" s="1"/>
  <c r="DC63" i="5" s="1"/>
  <c r="AQ26" i="2"/>
  <c r="AQ20" i="2" s="1"/>
  <c r="AP63" i="5" s="1"/>
  <c r="DI26" i="2"/>
  <c r="DI20" i="2" s="1"/>
  <c r="DH63" i="5" s="1"/>
  <c r="CI26" i="2"/>
  <c r="CI20" i="2" s="1"/>
  <c r="CH63" i="5" s="1"/>
  <c r="AP26" i="2"/>
  <c r="AP20" i="2" s="1"/>
  <c r="AO63" i="5" s="1"/>
  <c r="DJ26" i="2"/>
  <c r="DJ20" i="2" s="1"/>
  <c r="DI63" i="5" s="1"/>
  <c r="CQ26" i="2"/>
  <c r="CQ20" i="2" s="1"/>
  <c r="CP63" i="5" s="1"/>
  <c r="EC26" i="2"/>
  <c r="EC20" i="2" s="1"/>
  <c r="EB63" i="5" s="1"/>
  <c r="DF26" i="2"/>
  <c r="DF20" i="2" s="1"/>
  <c r="DE63" i="5" s="1"/>
  <c r="CC26" i="2"/>
  <c r="CC20" i="2" s="1"/>
  <c r="CB63" i="5" s="1"/>
  <c r="CH26" i="2"/>
  <c r="CH20" i="2" s="1"/>
  <c r="CG63" i="5" s="1"/>
  <c r="DG26" i="2"/>
  <c r="DG20" i="2" s="1"/>
  <c r="DF63" i="5" s="1"/>
  <c r="AG26" i="2"/>
  <c r="AG20" i="2" s="1"/>
  <c r="AF63" i="5" s="1"/>
  <c r="DT26" i="2"/>
  <c r="DT20" i="2" s="1"/>
  <c r="DS63" i="5" s="1"/>
  <c r="CW26" i="2"/>
  <c r="CW20" i="2" s="1"/>
  <c r="CV63" i="5" s="1"/>
  <c r="BG26" i="2"/>
  <c r="BG20" i="2" s="1"/>
  <c r="BF63" i="5" s="1"/>
  <c r="AH26" i="2"/>
  <c r="AH20" i="2" s="1"/>
  <c r="AG63" i="5" s="1"/>
  <c r="DQ26" i="2"/>
  <c r="DQ20" i="2" s="1"/>
  <c r="DP63" i="5" s="1"/>
  <c r="AL26" i="2"/>
  <c r="AL20" i="2" s="1"/>
  <c r="AK63" i="5" s="1"/>
  <c r="P26" i="2"/>
  <c r="P20" i="2" s="1"/>
  <c r="O63" i="5" s="1"/>
  <c r="BR26" i="2"/>
  <c r="BR20" i="2" s="1"/>
  <c r="BQ63" i="5" s="1"/>
  <c r="AF26" i="2"/>
  <c r="AF20" i="2" s="1"/>
  <c r="AE63" i="5" s="1"/>
  <c r="AD26" i="2"/>
  <c r="AD20" i="2" s="1"/>
  <c r="AC63" i="5" s="1"/>
  <c r="AV26" i="2"/>
  <c r="AV20" i="2" s="1"/>
  <c r="AU63" i="5" s="1"/>
  <c r="M26" i="2"/>
  <c r="M20" i="2" s="1"/>
  <c r="L63" i="5" s="1"/>
  <c r="L58" i="26" s="1"/>
  <c r="DY26" i="2"/>
  <c r="DY20" i="2" s="1"/>
  <c r="DX63" i="5" s="1"/>
  <c r="EN26" i="2"/>
  <c r="EN20" i="2" s="1"/>
  <c r="EM63" i="5" s="1"/>
  <c r="CA26" i="2"/>
  <c r="CA20" i="2" s="1"/>
  <c r="BZ63" i="5" s="1"/>
  <c r="BO26" i="2"/>
  <c r="BO20" i="2" s="1"/>
  <c r="BN63" i="5" s="1"/>
  <c r="EP26" i="2"/>
  <c r="EP20" i="2" s="1"/>
  <c r="EO63" i="5" s="1"/>
  <c r="BJ26" i="2"/>
  <c r="BJ20" i="2" s="1"/>
  <c r="BI63" i="5" s="1"/>
  <c r="X26" i="2"/>
  <c r="X20" i="2" s="1"/>
  <c r="W63" i="5" s="1"/>
  <c r="O26" i="2"/>
  <c r="O20" i="2" s="1"/>
  <c r="N63" i="5" s="1"/>
  <c r="P16" i="1"/>
  <c r="Y26" i="2"/>
  <c r="Y20" i="2" s="1"/>
  <c r="X63" i="5" s="1"/>
  <c r="AT26" i="2"/>
  <c r="AT20" i="2" s="1"/>
  <c r="AS63" i="5" s="1"/>
  <c r="CE26" i="2"/>
  <c r="CE20" i="2" s="1"/>
  <c r="CD63" i="5" s="1"/>
  <c r="AX26" i="2"/>
  <c r="AX20" i="2" s="1"/>
  <c r="AW63" i="5" s="1"/>
  <c r="EM26" i="2"/>
  <c r="EM20" i="2" s="1"/>
  <c r="EL63" i="5" s="1"/>
  <c r="BU26" i="2"/>
  <c r="BU20" i="2" s="1"/>
  <c r="BT63" i="5" s="1"/>
  <c r="BY26" i="2"/>
  <c r="BY20" i="2" s="1"/>
  <c r="BX63" i="5" s="1"/>
  <c r="AI57" i="17"/>
  <c r="O7" i="1"/>
  <c r="W57" i="17"/>
  <c r="P10" i="1"/>
  <c r="AC57" i="17"/>
  <c r="Y57" i="17"/>
  <c r="S57" i="17"/>
  <c r="AA57" i="17"/>
  <c r="O57" i="17"/>
  <c r="AD57" i="17"/>
  <c r="Z57" i="17"/>
  <c r="T57" i="17"/>
  <c r="N57" i="17"/>
  <c r="AH57" i="17"/>
  <c r="AG57" i="17"/>
  <c r="T6" i="1"/>
  <c r="T24" i="1"/>
  <c r="M18" i="2"/>
  <c r="L62" i="5" s="1"/>
  <c r="L57" i="26" s="1"/>
  <c r="K19" i="2"/>
  <c r="K18" i="2" s="1"/>
  <c r="U57" i="17"/>
  <c r="V57" i="17"/>
  <c r="M57" i="17"/>
  <c r="X57" i="17"/>
  <c r="R57" i="17"/>
  <c r="P57" i="17"/>
  <c r="AF57" i="17"/>
  <c r="EM164" i="11"/>
  <c r="EM167" i="11" s="1"/>
  <c r="EK19" i="15"/>
  <c r="AB57" i="17"/>
  <c r="Q57" i="17"/>
  <c r="AE57" i="17"/>
  <c r="EG169" i="11"/>
  <c r="EG171" i="11" s="1"/>
  <c r="U44" i="21" l="1"/>
  <c r="AA44" i="21"/>
  <c r="P17" i="1"/>
  <c r="T8" i="1" s="1"/>
  <c r="T7" i="1"/>
  <c r="C612" i="32"/>
  <c r="C743" i="32"/>
  <c r="AB29" i="2"/>
  <c r="D27" i="32"/>
  <c r="D29" i="32" s="1"/>
  <c r="N612" i="32"/>
  <c r="C182" i="32"/>
  <c r="P58" i="26"/>
  <c r="V58" i="26"/>
  <c r="O58" i="26"/>
  <c r="M58" i="26"/>
  <c r="Q58" i="26"/>
  <c r="X58" i="26"/>
  <c r="AD71" i="5"/>
  <c r="R58" i="26"/>
  <c r="W58" i="26"/>
  <c r="J56" i="26"/>
  <c r="S58" i="26"/>
  <c r="T58" i="26"/>
  <c r="J57" i="26"/>
  <c r="N58" i="26"/>
  <c r="U58" i="26"/>
  <c r="EK19" i="11"/>
  <c r="EK70" i="5"/>
  <c r="EK68" i="5" s="1"/>
  <c r="AD24" i="11"/>
  <c r="U29" i="2"/>
  <c r="BW29" i="2"/>
  <c r="AF29" i="2"/>
  <c r="EN29" i="2"/>
  <c r="W29" i="2"/>
  <c r="DK29" i="2"/>
  <c r="BJ29" i="2"/>
  <c r="BZ29" i="2"/>
  <c r="EQ29" i="2"/>
  <c r="S29" i="2"/>
  <c r="EA29" i="2"/>
  <c r="EI29" i="2"/>
  <c r="CI29" i="2"/>
  <c r="DG29" i="2"/>
  <c r="BN29" i="2"/>
  <c r="M29" i="2"/>
  <c r="BA29" i="2"/>
  <c r="AU29" i="2"/>
  <c r="AE29" i="2"/>
  <c r="DN29" i="2"/>
  <c r="Z29" i="2"/>
  <c r="EH29" i="2"/>
  <c r="DW29" i="2"/>
  <c r="AT29" i="2"/>
  <c r="DH29" i="2"/>
  <c r="AS29" i="2"/>
  <c r="AG29" i="2"/>
  <c r="DE29" i="2"/>
  <c r="BT29" i="2"/>
  <c r="DM29" i="2"/>
  <c r="BG29" i="2"/>
  <c r="CA29" i="2"/>
  <c r="DO29" i="2"/>
  <c r="CQ29" i="2"/>
  <c r="O29" i="2"/>
  <c r="DA29" i="2"/>
  <c r="X29" i="2"/>
  <c r="DI29" i="2"/>
  <c r="CG29" i="2"/>
  <c r="BF29" i="2"/>
  <c r="CJ29" i="2"/>
  <c r="P19" i="1"/>
  <c r="AO29" i="2"/>
  <c r="DJ29" i="2"/>
  <c r="DU29" i="2"/>
  <c r="AZ29" i="2"/>
  <c r="DL29" i="2"/>
  <c r="EB29" i="2"/>
  <c r="EK29" i="2"/>
  <c r="AR29" i="2"/>
  <c r="BU29" i="2"/>
  <c r="BK29" i="2"/>
  <c r="CX29" i="2"/>
  <c r="CW29" i="2"/>
  <c r="CZ29" i="2"/>
  <c r="CB29" i="2"/>
  <c r="CF29" i="2"/>
  <c r="P29" i="2"/>
  <c r="AP29" i="2"/>
  <c r="AD29" i="2"/>
  <c r="AK29" i="2"/>
  <c r="EF29" i="2"/>
  <c r="CP29" i="2"/>
  <c r="T29" i="2"/>
  <c r="AA29" i="2"/>
  <c r="DV29" i="2"/>
  <c r="CV29" i="2"/>
  <c r="CN29" i="2"/>
  <c r="AH29" i="2"/>
  <c r="DY29" i="2"/>
  <c r="DT29" i="2"/>
  <c r="BY29" i="2"/>
  <c r="BV29" i="2"/>
  <c r="CM29" i="2"/>
  <c r="R29" i="2"/>
  <c r="BQ29" i="2"/>
  <c r="CR29" i="2"/>
  <c r="EJ29" i="2"/>
  <c r="BM29" i="2"/>
  <c r="Y29" i="2"/>
  <c r="BH29" i="2"/>
  <c r="CD29" i="2"/>
  <c r="CC29" i="2"/>
  <c r="AY29" i="2"/>
  <c r="AM29" i="2"/>
  <c r="CY29" i="2"/>
  <c r="ER29" i="2"/>
  <c r="AC29" i="2"/>
  <c r="BB29" i="2"/>
  <c r="BC29" i="2"/>
  <c r="EO29" i="2"/>
  <c r="ED29" i="2"/>
  <c r="DQ29" i="2"/>
  <c r="CS29" i="2"/>
  <c r="BL29" i="2"/>
  <c r="AW29" i="2"/>
  <c r="Q29" i="2"/>
  <c r="AL29" i="2"/>
  <c r="CT29" i="2"/>
  <c r="J56" i="17"/>
  <c r="DS29" i="2"/>
  <c r="AI29" i="2"/>
  <c r="BE29" i="2"/>
  <c r="BO29" i="2"/>
  <c r="AQ29" i="2"/>
  <c r="EC29" i="2"/>
  <c r="DD29" i="2"/>
  <c r="BX29" i="2"/>
  <c r="EE29" i="2"/>
  <c r="BI29" i="2"/>
  <c r="AV29" i="2"/>
  <c r="AJ29" i="2"/>
  <c r="BS29" i="2"/>
  <c r="BR29" i="2"/>
  <c r="EP29" i="2"/>
  <c r="V29" i="2"/>
  <c r="DP29" i="2"/>
  <c r="CE29" i="2"/>
  <c r="DF29" i="2"/>
  <c r="BD29" i="2"/>
  <c r="DR29" i="2"/>
  <c r="N29" i="2"/>
  <c r="CH29" i="2"/>
  <c r="DC29" i="2"/>
  <c r="DB29" i="2"/>
  <c r="AX29" i="2"/>
  <c r="AN29" i="2"/>
  <c r="CO29" i="2"/>
  <c r="EL29" i="2"/>
  <c r="EM29" i="2"/>
  <c r="CL29" i="2"/>
  <c r="BP29" i="2"/>
  <c r="DZ29" i="2"/>
  <c r="CU29" i="2"/>
  <c r="DX29" i="2"/>
  <c r="EG29" i="2"/>
  <c r="CK29" i="2"/>
  <c r="AI58" i="17"/>
  <c r="AB58" i="17"/>
  <c r="Y58" i="17"/>
  <c r="R58" i="17"/>
  <c r="AF58" i="17"/>
  <c r="AH58" i="17"/>
  <c r="O58" i="17"/>
  <c r="Z58" i="17"/>
  <c r="T58" i="17"/>
  <c r="AC58" i="17"/>
  <c r="N58" i="17"/>
  <c r="V58" i="17"/>
  <c r="M58" i="17"/>
  <c r="AA58" i="17"/>
  <c r="AE58" i="17"/>
  <c r="U58" i="17"/>
  <c r="P58" i="17"/>
  <c r="X58" i="17"/>
  <c r="AD58" i="17"/>
  <c r="P38" i="1"/>
  <c r="W58" i="17"/>
  <c r="Q58" i="17"/>
  <c r="AG58" i="17"/>
  <c r="S58" i="17"/>
  <c r="K26" i="2"/>
  <c r="K20" i="2" s="1"/>
  <c r="EN164" i="11"/>
  <c r="EN167" i="11" s="1"/>
  <c r="EL19" i="15"/>
  <c r="L58" i="17"/>
  <c r="J63" i="5"/>
  <c r="L57" i="17"/>
  <c r="J57" i="17" s="1"/>
  <c r="J62" i="5"/>
  <c r="EG172" i="11"/>
  <c r="EG28" i="5"/>
  <c r="O612" i="32" l="1"/>
  <c r="I52" i="11"/>
  <c r="CO52" i="11" s="1"/>
  <c r="CO93" i="5" s="1"/>
  <c r="D88" i="32"/>
  <c r="J58" i="26"/>
  <c r="EL16" i="11"/>
  <c r="EL18" i="11" s="1"/>
  <c r="EJ31" i="15"/>
  <c r="AE21" i="11"/>
  <c r="K29" i="2"/>
  <c r="I153" i="11"/>
  <c r="J58" i="17"/>
  <c r="EM19" i="15"/>
  <c r="AF14" i="18" s="1"/>
  <c r="EO164" i="11"/>
  <c r="EO167" i="11" s="1"/>
  <c r="AG65" i="17"/>
  <c r="EH169" i="11"/>
  <c r="DB52" i="11" l="1"/>
  <c r="DB93" i="5" s="1"/>
  <c r="BY52" i="11"/>
  <c r="BY93" i="5" s="1"/>
  <c r="EP52" i="11"/>
  <c r="EP93" i="5" s="1"/>
  <c r="CE52" i="11"/>
  <c r="CE93" i="5" s="1"/>
  <c r="EG52" i="11"/>
  <c r="EG93" i="5" s="1"/>
  <c r="ED52" i="11"/>
  <c r="ED93" i="5" s="1"/>
  <c r="EH52" i="11"/>
  <c r="EH93" i="5" s="1"/>
  <c r="DI52" i="11"/>
  <c r="DI93" i="5" s="1"/>
  <c r="AG52" i="11"/>
  <c r="AG93" i="5" s="1"/>
  <c r="BV52" i="11"/>
  <c r="BV93" i="5" s="1"/>
  <c r="CR52" i="11"/>
  <c r="CR93" i="5" s="1"/>
  <c r="BT52" i="11"/>
  <c r="BT93" i="5" s="1"/>
  <c r="CF52" i="11"/>
  <c r="CF93" i="5" s="1"/>
  <c r="AE52" i="11"/>
  <c r="AE93" i="5" s="1"/>
  <c r="AK52" i="11"/>
  <c r="AK93" i="5" s="1"/>
  <c r="AR52" i="11"/>
  <c r="AR93" i="5" s="1"/>
  <c r="DN52" i="11"/>
  <c r="DN93" i="5" s="1"/>
  <c r="CY52" i="11"/>
  <c r="CY93" i="5" s="1"/>
  <c r="AX52" i="11"/>
  <c r="AX93" i="5" s="1"/>
  <c r="BU52" i="11"/>
  <c r="BU93" i="5" s="1"/>
  <c r="AQ52" i="11"/>
  <c r="AQ93" i="5" s="1"/>
  <c r="Z52" i="11"/>
  <c r="Z93" i="5" s="1"/>
  <c r="EO52" i="11"/>
  <c r="EO93" i="5" s="1"/>
  <c r="DH52" i="11"/>
  <c r="DH93" i="5" s="1"/>
  <c r="T52" i="11"/>
  <c r="T93" i="5" s="1"/>
  <c r="Y52" i="11"/>
  <c r="Y93" i="5" s="1"/>
  <c r="BO52" i="11"/>
  <c r="BO93" i="5" s="1"/>
  <c r="BW52" i="11"/>
  <c r="BW93" i="5" s="1"/>
  <c r="AZ52" i="11"/>
  <c r="AZ93" i="5" s="1"/>
  <c r="BI52" i="11"/>
  <c r="BI93" i="5" s="1"/>
  <c r="AF52" i="11"/>
  <c r="AF93" i="5" s="1"/>
  <c r="CA52" i="11"/>
  <c r="CA93" i="5" s="1"/>
  <c r="AC52" i="11"/>
  <c r="AC93" i="5" s="1"/>
  <c r="AL52" i="11"/>
  <c r="AL93" i="5" s="1"/>
  <c r="AD52" i="11"/>
  <c r="AD93" i="5" s="1"/>
  <c r="AO52" i="11"/>
  <c r="AO93" i="5" s="1"/>
  <c r="AP52" i="11"/>
  <c r="AP93" i="5" s="1"/>
  <c r="AJ52" i="11"/>
  <c r="AJ93" i="5" s="1"/>
  <c r="BR52" i="11"/>
  <c r="BR93" i="5" s="1"/>
  <c r="CQ52" i="11"/>
  <c r="CQ93" i="5" s="1"/>
  <c r="EL52" i="11"/>
  <c r="EL93" i="5" s="1"/>
  <c r="EE52" i="11"/>
  <c r="EE93" i="5" s="1"/>
  <c r="BB52" i="11"/>
  <c r="BB93" i="5" s="1"/>
  <c r="DY52" i="11"/>
  <c r="DY93" i="5" s="1"/>
  <c r="Q52" i="11"/>
  <c r="Q93" i="5" s="1"/>
  <c r="AH52" i="11"/>
  <c r="AH93" i="5" s="1"/>
  <c r="DW52" i="11"/>
  <c r="DW93" i="5" s="1"/>
  <c r="BA52" i="11"/>
  <c r="BA93" i="5" s="1"/>
  <c r="CZ52" i="11"/>
  <c r="CZ93" i="5" s="1"/>
  <c r="P52" i="11"/>
  <c r="P93" i="5" s="1"/>
  <c r="DD52" i="11"/>
  <c r="DD93" i="5" s="1"/>
  <c r="BP52" i="11"/>
  <c r="BP93" i="5" s="1"/>
  <c r="AI52" i="11"/>
  <c r="AI93" i="5" s="1"/>
  <c r="CB52" i="11"/>
  <c r="CB93" i="5" s="1"/>
  <c r="CP52" i="11"/>
  <c r="CP93" i="5" s="1"/>
  <c r="BK52" i="11"/>
  <c r="BK93" i="5" s="1"/>
  <c r="BJ52" i="11"/>
  <c r="BJ93" i="5" s="1"/>
  <c r="CG52" i="11"/>
  <c r="CG93" i="5" s="1"/>
  <c r="L52" i="11"/>
  <c r="L93" i="5" s="1"/>
  <c r="DJ52" i="11"/>
  <c r="DJ93" i="5" s="1"/>
  <c r="DO52" i="11"/>
  <c r="DO93" i="5" s="1"/>
  <c r="BE52" i="11"/>
  <c r="BE93" i="5" s="1"/>
  <c r="BQ52" i="11"/>
  <c r="BQ93" i="5" s="1"/>
  <c r="X52" i="11"/>
  <c r="X93" i="5" s="1"/>
  <c r="DK52" i="11"/>
  <c r="DK93" i="5" s="1"/>
  <c r="AT52" i="11"/>
  <c r="AT93" i="5" s="1"/>
  <c r="AV52" i="11"/>
  <c r="AV93" i="5" s="1"/>
  <c r="CU52" i="11"/>
  <c r="CU93" i="5" s="1"/>
  <c r="DM52" i="11"/>
  <c r="DM93" i="5" s="1"/>
  <c r="DF52" i="11"/>
  <c r="DF93" i="5" s="1"/>
  <c r="DC52" i="11"/>
  <c r="DC93" i="5" s="1"/>
  <c r="CI52" i="11"/>
  <c r="CI93" i="5" s="1"/>
  <c r="EM52" i="11"/>
  <c r="EM93" i="5" s="1"/>
  <c r="EK52" i="11"/>
  <c r="EK93" i="5" s="1"/>
  <c r="BX52" i="11"/>
  <c r="BX93" i="5" s="1"/>
  <c r="AB52" i="11"/>
  <c r="AB93" i="5" s="1"/>
  <c r="EJ52" i="11"/>
  <c r="EJ93" i="5" s="1"/>
  <c r="EC52" i="11"/>
  <c r="EC93" i="5" s="1"/>
  <c r="DT52" i="11"/>
  <c r="DT93" i="5" s="1"/>
  <c r="BH52" i="11"/>
  <c r="BH93" i="5" s="1"/>
  <c r="EA52" i="11"/>
  <c r="EA93" i="5" s="1"/>
  <c r="CX52" i="11"/>
  <c r="CX93" i="5" s="1"/>
  <c r="DG52" i="11"/>
  <c r="DG93" i="5" s="1"/>
  <c r="DL52" i="11"/>
  <c r="DL93" i="5" s="1"/>
  <c r="S52" i="11"/>
  <c r="S93" i="5" s="1"/>
  <c r="DP52" i="11"/>
  <c r="DP93" i="5" s="1"/>
  <c r="BS52" i="11"/>
  <c r="BS93" i="5" s="1"/>
  <c r="CD52" i="11"/>
  <c r="CD93" i="5" s="1"/>
  <c r="DU52" i="11"/>
  <c r="DU93" i="5" s="1"/>
  <c r="AY52" i="11"/>
  <c r="AY93" i="5" s="1"/>
  <c r="BC52" i="11"/>
  <c r="BC93" i="5" s="1"/>
  <c r="CC52" i="11"/>
  <c r="CC93" i="5" s="1"/>
  <c r="DS52" i="11"/>
  <c r="DS93" i="5" s="1"/>
  <c r="AW52" i="11"/>
  <c r="AW93" i="5" s="1"/>
  <c r="EN52" i="11"/>
  <c r="EN93" i="5" s="1"/>
  <c r="DZ52" i="11"/>
  <c r="DZ93" i="5" s="1"/>
  <c r="CW52" i="11"/>
  <c r="CW93" i="5" s="1"/>
  <c r="CM52" i="11"/>
  <c r="CM93" i="5" s="1"/>
  <c r="DX52" i="11"/>
  <c r="DX93" i="5" s="1"/>
  <c r="EI52" i="11"/>
  <c r="EI93" i="5" s="1"/>
  <c r="BM52" i="11"/>
  <c r="BM93" i="5" s="1"/>
  <c r="CK52" i="11"/>
  <c r="CK93" i="5" s="1"/>
  <c r="BF52" i="11"/>
  <c r="BF93" i="5" s="1"/>
  <c r="CS52" i="11"/>
  <c r="CS93" i="5" s="1"/>
  <c r="M52" i="11"/>
  <c r="M93" i="5" s="1"/>
  <c r="V52" i="11"/>
  <c r="V93" i="5" s="1"/>
  <c r="AN52" i="11"/>
  <c r="AN93" i="5" s="1"/>
  <c r="DV52" i="11"/>
  <c r="DV93" i="5" s="1"/>
  <c r="AA52" i="11"/>
  <c r="AA93" i="5" s="1"/>
  <c r="CT52" i="11"/>
  <c r="CT93" i="5" s="1"/>
  <c r="EF52" i="11"/>
  <c r="EF93" i="5" s="1"/>
  <c r="AU52" i="11"/>
  <c r="AU93" i="5" s="1"/>
  <c r="AS52" i="11"/>
  <c r="AS93" i="5" s="1"/>
  <c r="CJ52" i="11"/>
  <c r="CJ93" i="5" s="1"/>
  <c r="CV52" i="11"/>
  <c r="CV93" i="5" s="1"/>
  <c r="W52" i="11"/>
  <c r="W93" i="5" s="1"/>
  <c r="U52" i="11"/>
  <c r="U93" i="5" s="1"/>
  <c r="DR52" i="11"/>
  <c r="DR93" i="5" s="1"/>
  <c r="EB52" i="11"/>
  <c r="EB93" i="5" s="1"/>
  <c r="DA52" i="11"/>
  <c r="DA93" i="5" s="1"/>
  <c r="BN52" i="11"/>
  <c r="BN93" i="5" s="1"/>
  <c r="EQ52" i="11"/>
  <c r="EQ93" i="5" s="1"/>
  <c r="O52" i="11"/>
  <c r="O93" i="5" s="1"/>
  <c r="BG52" i="11"/>
  <c r="BG93" i="5" s="1"/>
  <c r="DQ52" i="11"/>
  <c r="DQ93" i="5" s="1"/>
  <c r="R52" i="11"/>
  <c r="R93" i="5" s="1"/>
  <c r="CN52" i="11"/>
  <c r="CN93" i="5" s="1"/>
  <c r="N52" i="11"/>
  <c r="N93" i="5" s="1"/>
  <c r="BL52" i="11"/>
  <c r="BL93" i="5" s="1"/>
  <c r="AM52" i="11"/>
  <c r="AM93" i="5" s="1"/>
  <c r="CL52" i="11"/>
  <c r="CL93" i="5" s="1"/>
  <c r="BD52" i="11"/>
  <c r="BD93" i="5" s="1"/>
  <c r="CH52" i="11"/>
  <c r="CH93" i="5" s="1"/>
  <c r="DE52" i="11"/>
  <c r="DE93" i="5" s="1"/>
  <c r="BZ52" i="11"/>
  <c r="BZ93" i="5" s="1"/>
  <c r="EL19" i="11"/>
  <c r="EL70" i="5"/>
  <c r="AE23" i="11"/>
  <c r="AE73" i="5" s="1"/>
  <c r="EP164" i="11"/>
  <c r="EP167" i="11" s="1"/>
  <c r="EN19" i="15"/>
  <c r="EH171" i="11"/>
  <c r="EH28" i="5" s="1"/>
  <c r="AG63" i="17"/>
  <c r="X88" i="26" l="1"/>
  <c r="P88" i="17"/>
  <c r="AF88" i="17"/>
  <c r="L53" i="11"/>
  <c r="AI88" i="17"/>
  <c r="S88" i="26"/>
  <c r="N88" i="26"/>
  <c r="AC88" i="17"/>
  <c r="V88" i="17"/>
  <c r="T88" i="26"/>
  <c r="AB88" i="17"/>
  <c r="Q88" i="17"/>
  <c r="W88" i="17"/>
  <c r="V88" i="26"/>
  <c r="M88" i="17"/>
  <c r="AG88" i="17"/>
  <c r="Y88" i="17"/>
  <c r="AE88" i="17"/>
  <c r="AH88" i="17"/>
  <c r="P88" i="26"/>
  <c r="O88" i="17"/>
  <c r="N88" i="17"/>
  <c r="AA88" i="17"/>
  <c r="U88" i="17"/>
  <c r="X88" i="17"/>
  <c r="Z88" i="17"/>
  <c r="T88" i="17"/>
  <c r="O88" i="26"/>
  <c r="U88" i="26"/>
  <c r="W88" i="26"/>
  <c r="S88" i="17"/>
  <c r="AD88" i="17"/>
  <c r="R88" i="26"/>
  <c r="M88" i="26"/>
  <c r="R88" i="17"/>
  <c r="Q88" i="26"/>
  <c r="J52" i="11"/>
  <c r="L88" i="26"/>
  <c r="AE71" i="5"/>
  <c r="EL68" i="5"/>
  <c r="EM16" i="11"/>
  <c r="EK31" i="15"/>
  <c r="AE24" i="11"/>
  <c r="EO19" i="15"/>
  <c r="AG14" i="18" s="1"/>
  <c r="EQ164" i="11"/>
  <c r="EQ167" i="11" s="1"/>
  <c r="EP19" i="15" s="1"/>
  <c r="J93" i="5"/>
  <c r="L88" i="17"/>
  <c r="EH172" i="11"/>
  <c r="EI169" i="11" s="1"/>
  <c r="L94" i="5" l="1"/>
  <c r="D617" i="32" s="1"/>
  <c r="L54" i="11"/>
  <c r="J88" i="26"/>
  <c r="J88" i="17"/>
  <c r="EM18" i="11"/>
  <c r="EM19" i="11" s="1"/>
  <c r="AF21" i="11"/>
  <c r="EI171" i="11"/>
  <c r="EI28" i="5" s="1"/>
  <c r="M51" i="11" l="1"/>
  <c r="K27" i="15"/>
  <c r="D649" i="32" s="1"/>
  <c r="L92" i="5"/>
  <c r="L89" i="26"/>
  <c r="EN16" i="11"/>
  <c r="EL31" i="15"/>
  <c r="EM70" i="5"/>
  <c r="AF23" i="11"/>
  <c r="AF73" i="5" s="1"/>
  <c r="EI172" i="11"/>
  <c r="EJ169" i="11" s="1"/>
  <c r="EJ171" i="11" s="1"/>
  <c r="M53" i="11" l="1"/>
  <c r="M130" i="11"/>
  <c r="D187" i="32"/>
  <c r="L87" i="26"/>
  <c r="AF71" i="5"/>
  <c r="EM68" i="5"/>
  <c r="EN18" i="11"/>
  <c r="EN19" i="11" s="1"/>
  <c r="AF24" i="11"/>
  <c r="EJ172" i="11"/>
  <c r="EJ28" i="5"/>
  <c r="M54" i="11" l="1"/>
  <c r="M94" i="5"/>
  <c r="M92" i="5" s="1"/>
  <c r="M131" i="11"/>
  <c r="N53" i="6"/>
  <c r="EO16" i="11"/>
  <c r="EM31" i="15"/>
  <c r="AF26" i="18" s="1"/>
  <c r="EN70" i="5"/>
  <c r="AG21" i="11"/>
  <c r="EK169" i="11"/>
  <c r="EK171" i="11" s="1"/>
  <c r="N51" i="11" l="1"/>
  <c r="L27" i="15"/>
  <c r="M132" i="11"/>
  <c r="N129" i="11" s="1"/>
  <c r="M47" i="5"/>
  <c r="EN68" i="5"/>
  <c r="AH65" i="17"/>
  <c r="EO18" i="11"/>
  <c r="EO19" i="11" s="1"/>
  <c r="AG23" i="11"/>
  <c r="AG73" i="5" s="1"/>
  <c r="EK172" i="11"/>
  <c r="EK28" i="5"/>
  <c r="N53" i="11" l="1"/>
  <c r="N130" i="11"/>
  <c r="AG71" i="5"/>
  <c r="K619" i="32"/>
  <c r="EP16" i="11"/>
  <c r="EN31" i="15"/>
  <c r="EO70" i="5"/>
  <c r="AH63" i="17"/>
  <c r="AG24" i="11"/>
  <c r="AH21" i="11" s="1"/>
  <c r="EL169" i="11"/>
  <c r="EL171" i="11" s="1"/>
  <c r="N54" i="11" l="1"/>
  <c r="N94" i="5"/>
  <c r="N92" i="5" s="1"/>
  <c r="N131" i="11"/>
  <c r="O53" i="6"/>
  <c r="EO68" i="5"/>
  <c r="EP18" i="11"/>
  <c r="EP19" i="11" s="1"/>
  <c r="AH23" i="11"/>
  <c r="AH73" i="5" s="1"/>
  <c r="EL172" i="11"/>
  <c r="EL28" i="5"/>
  <c r="O51" i="11" l="1"/>
  <c r="M27" i="15"/>
  <c r="N132" i="11"/>
  <c r="O129" i="11" s="1"/>
  <c r="N47" i="5"/>
  <c r="AH71" i="5"/>
  <c r="EO31" i="15"/>
  <c r="EQ16" i="11"/>
  <c r="EQ18" i="11" s="1"/>
  <c r="J18" i="11" s="1"/>
  <c r="EP70" i="5"/>
  <c r="AH24" i="11"/>
  <c r="EM169" i="11"/>
  <c r="O53" i="11" l="1"/>
  <c r="O130" i="11"/>
  <c r="EP68" i="5"/>
  <c r="EQ19" i="11"/>
  <c r="EP31" i="15" s="1"/>
  <c r="AG26" i="18" s="1"/>
  <c r="EQ70" i="5"/>
  <c r="W65" i="26" s="1"/>
  <c r="W63" i="26" s="1"/>
  <c r="AI21" i="11"/>
  <c r="EM171" i="11"/>
  <c r="EM28" i="5" s="1"/>
  <c r="O54" i="11" l="1"/>
  <c r="O94" i="5"/>
  <c r="O131" i="11"/>
  <c r="P53" i="6"/>
  <c r="X65" i="26"/>
  <c r="X63" i="26" s="1"/>
  <c r="EQ68" i="5"/>
  <c r="M65" i="26"/>
  <c r="E188" i="32" s="1"/>
  <c r="AI65" i="17"/>
  <c r="AI63" i="17" s="1"/>
  <c r="J70" i="5"/>
  <c r="AI23" i="11"/>
  <c r="AI73" i="5" s="1"/>
  <c r="EM172" i="11"/>
  <c r="EN169" i="11" s="1"/>
  <c r="P51" i="11" l="1"/>
  <c r="N27" i="15"/>
  <c r="E649" i="32" s="1"/>
  <c r="O92" i="5"/>
  <c r="E617" i="32"/>
  <c r="O132" i="11"/>
  <c r="P129" i="11" s="1"/>
  <c r="O47" i="5"/>
  <c r="E604" i="32" s="1"/>
  <c r="E565" i="32"/>
  <c r="C188" i="32"/>
  <c r="N618" i="32"/>
  <c r="O618" i="32" s="1"/>
  <c r="AI71" i="5"/>
  <c r="J68" i="5"/>
  <c r="J65" i="17"/>
  <c r="J63" i="17" s="1"/>
  <c r="J65" i="26"/>
  <c r="J63" i="26" s="1"/>
  <c r="M63" i="26"/>
  <c r="AI24" i="11"/>
  <c r="EN171" i="11"/>
  <c r="EN28" i="5" s="1"/>
  <c r="P53" i="11" l="1"/>
  <c r="P130" i="11"/>
  <c r="AJ21" i="11"/>
  <c r="EN172" i="11"/>
  <c r="P54" i="11" l="1"/>
  <c r="P94" i="5"/>
  <c r="P92" i="5" s="1"/>
  <c r="P131" i="11"/>
  <c r="Q53" i="6"/>
  <c r="AJ23" i="11"/>
  <c r="AJ73" i="5" s="1"/>
  <c r="EO169" i="11"/>
  <c r="P47" i="5" l="1"/>
  <c r="P132" i="11"/>
  <c r="Q129" i="11" s="1"/>
  <c r="O27" i="15"/>
  <c r="Q51" i="11"/>
  <c r="AJ71" i="5"/>
  <c r="L619" i="32"/>
  <c r="C619" i="32" s="1"/>
  <c r="AJ24" i="11"/>
  <c r="EO171" i="11"/>
  <c r="EO28" i="5" s="1"/>
  <c r="Q53" i="11" l="1"/>
  <c r="Q130" i="11"/>
  <c r="AK21" i="11"/>
  <c r="L89" i="17"/>
  <c r="EO172" i="11"/>
  <c r="Q131" i="11" l="1"/>
  <c r="R53" i="6"/>
  <c r="Q94" i="5"/>
  <c r="Q92" i="5" s="1"/>
  <c r="Q54" i="11"/>
  <c r="L87" i="17"/>
  <c r="D748" i="32"/>
  <c r="AK23" i="11"/>
  <c r="EP169" i="11"/>
  <c r="EP171" i="11" s="1"/>
  <c r="R51" i="11" l="1"/>
  <c r="P27" i="15"/>
  <c r="Q47" i="5"/>
  <c r="Q132" i="11"/>
  <c r="R129" i="11" s="1"/>
  <c r="K22" i="18"/>
  <c r="AK24" i="11"/>
  <c r="AK73" i="5"/>
  <c r="EP172" i="11"/>
  <c r="EP28" i="5"/>
  <c r="R53" i="11" l="1"/>
  <c r="R130" i="11"/>
  <c r="D780" i="32"/>
  <c r="D218" i="32"/>
  <c r="AK71" i="5"/>
  <c r="AL21" i="11"/>
  <c r="EQ169" i="11"/>
  <c r="EQ171" i="11" s="1"/>
  <c r="R94" i="5" l="1"/>
  <c r="R54" i="11"/>
  <c r="S53" i="6"/>
  <c r="R131" i="11"/>
  <c r="AL23" i="11"/>
  <c r="AL73" i="5" s="1"/>
  <c r="EQ172" i="11"/>
  <c r="EQ28" i="5"/>
  <c r="J171" i="11"/>
  <c r="R47" i="5" l="1"/>
  <c r="F604" i="32" s="1"/>
  <c r="R132" i="11"/>
  <c r="S129" i="11" s="1"/>
  <c r="F617" i="32"/>
  <c r="R92" i="5"/>
  <c r="Q27" i="15"/>
  <c r="F649" i="32" s="1"/>
  <c r="S51" i="11"/>
  <c r="F565" i="32"/>
  <c r="M23" i="26"/>
  <c r="W23" i="26"/>
  <c r="X23" i="26"/>
  <c r="AL71" i="5"/>
  <c r="AL24" i="11"/>
  <c r="AI23" i="17"/>
  <c r="J28" i="5"/>
  <c r="AF23" i="17"/>
  <c r="AG23" i="17"/>
  <c r="AH23" i="17"/>
  <c r="S53" i="11" l="1"/>
  <c r="S130" i="11"/>
  <c r="J23" i="26"/>
  <c r="AM21" i="11"/>
  <c r="J23" i="17"/>
  <c r="S131" i="11" l="1"/>
  <c r="T53" i="6"/>
  <c r="S94" i="5"/>
  <c r="S92" i="5" s="1"/>
  <c r="S54" i="11"/>
  <c r="AM23" i="11"/>
  <c r="AM73" i="5" s="1"/>
  <c r="R27" i="15" l="1"/>
  <c r="T51" i="11"/>
  <c r="S47" i="5"/>
  <c r="S132" i="11"/>
  <c r="T129" i="11" s="1"/>
  <c r="AM71" i="5"/>
  <c r="AM24" i="11"/>
  <c r="AN21" i="11" s="1"/>
  <c r="T130" i="11" l="1"/>
  <c r="T53" i="11"/>
  <c r="AN23" i="11"/>
  <c r="AN73" i="5" s="1"/>
  <c r="U53" i="6" l="1"/>
  <c r="T131" i="11"/>
  <c r="T94" i="5"/>
  <c r="T54" i="11"/>
  <c r="AN71" i="5"/>
  <c r="AN24" i="11"/>
  <c r="AO21" i="11" s="1"/>
  <c r="T92" i="5" l="1"/>
  <c r="U51" i="11"/>
  <c r="S27" i="15"/>
  <c r="T47" i="5"/>
  <c r="T132" i="11"/>
  <c r="U129" i="11" s="1"/>
  <c r="AO23" i="11"/>
  <c r="AO73" i="5" s="1"/>
  <c r="AO71" i="5" s="1"/>
  <c r="U53" i="11" l="1"/>
  <c r="U130" i="11"/>
  <c r="AO24" i="11"/>
  <c r="AP21" i="11" s="1"/>
  <c r="V53" i="6" l="1"/>
  <c r="G565" i="32" s="1"/>
  <c r="U131" i="11"/>
  <c r="U94" i="5"/>
  <c r="U54" i="11"/>
  <c r="AP23" i="11"/>
  <c r="U132" i="11" l="1"/>
  <c r="V129" i="11" s="1"/>
  <c r="U47" i="5"/>
  <c r="G604" i="32" s="1"/>
  <c r="U92" i="5"/>
  <c r="G617" i="32"/>
  <c r="T27" i="15"/>
  <c r="G649" i="32" s="1"/>
  <c r="V51" i="11"/>
  <c r="AP73" i="5"/>
  <c r="AP71" i="5" s="1"/>
  <c r="AP24" i="11"/>
  <c r="V130" i="11" l="1"/>
  <c r="V53" i="11"/>
  <c r="AQ21" i="11"/>
  <c r="V131" i="11" l="1"/>
  <c r="W53" i="6"/>
  <c r="V94" i="5"/>
  <c r="V92" i="5" s="1"/>
  <c r="V54" i="11"/>
  <c r="L22" i="18"/>
  <c r="E780" i="32" s="1"/>
  <c r="AQ23" i="11"/>
  <c r="U27" i="15" l="1"/>
  <c r="W51" i="11"/>
  <c r="V47" i="5"/>
  <c r="V132" i="11"/>
  <c r="W129" i="11" s="1"/>
  <c r="AQ24" i="11"/>
  <c r="AQ73" i="5"/>
  <c r="AQ71" i="5" s="1"/>
  <c r="W53" i="11" l="1"/>
  <c r="W130" i="11"/>
  <c r="AR21" i="11"/>
  <c r="X53" i="6" l="1"/>
  <c r="W131" i="11"/>
  <c r="W94" i="5"/>
  <c r="W54" i="11"/>
  <c r="AR23" i="11"/>
  <c r="W47" i="5" l="1"/>
  <c r="W132" i="11"/>
  <c r="X129" i="11" s="1"/>
  <c r="W92" i="5"/>
  <c r="X51" i="11"/>
  <c r="V27" i="15"/>
  <c r="AR24" i="11"/>
  <c r="AR73" i="5"/>
  <c r="AR71" i="5" s="1"/>
  <c r="X130" i="11" l="1"/>
  <c r="X53" i="11"/>
  <c r="AS21" i="11"/>
  <c r="X94" i="5" l="1"/>
  <c r="X54" i="11"/>
  <c r="X131" i="11"/>
  <c r="Y53" i="6"/>
  <c r="AS23" i="11"/>
  <c r="H617" i="32" l="1"/>
  <c r="X92" i="5"/>
  <c r="W27" i="15"/>
  <c r="H649" i="32" s="1"/>
  <c r="Y51" i="11"/>
  <c r="H565" i="32"/>
  <c r="X47" i="5"/>
  <c r="H604" i="32" s="1"/>
  <c r="X132" i="11"/>
  <c r="Y129" i="11" s="1"/>
  <c r="AS73" i="5"/>
  <c r="AS71" i="5" s="1"/>
  <c r="AS24" i="11"/>
  <c r="Y130" i="11" l="1"/>
  <c r="Y53" i="11"/>
  <c r="AT21" i="11"/>
  <c r="Z53" i="6" l="1"/>
  <c r="Y131" i="11"/>
  <c r="Y54" i="11"/>
  <c r="Y94" i="5"/>
  <c r="Y92" i="5" s="1"/>
  <c r="AT23" i="11"/>
  <c r="Z51" i="11" l="1"/>
  <c r="X27" i="15"/>
  <c r="Y47" i="5"/>
  <c r="Y132" i="11"/>
  <c r="Z129" i="11" s="1"/>
  <c r="AT24" i="11"/>
  <c r="AT73" i="5"/>
  <c r="AT71" i="5" s="1"/>
  <c r="Z53" i="11" l="1"/>
  <c r="Z130" i="11"/>
  <c r="AU21" i="11"/>
  <c r="Z94" i="5" l="1"/>
  <c r="Z92" i="5" s="1"/>
  <c r="Z54" i="11"/>
  <c r="Z131" i="11"/>
  <c r="AA53" i="6"/>
  <c r="AU23" i="11"/>
  <c r="AU73" i="5" s="1"/>
  <c r="AU71" i="5" s="1"/>
  <c r="Y27" i="15" l="1"/>
  <c r="AA51" i="11"/>
  <c r="Z47" i="5"/>
  <c r="Z132" i="11"/>
  <c r="AA129" i="11" s="1"/>
  <c r="AU24" i="11"/>
  <c r="AA53" i="11" l="1"/>
  <c r="AA130" i="11"/>
  <c r="AV21" i="11"/>
  <c r="AA54" i="11" l="1"/>
  <c r="AA94" i="5"/>
  <c r="AB53" i="6"/>
  <c r="AA131" i="11"/>
  <c r="AA47" i="5" s="1"/>
  <c r="I604" i="32" s="1"/>
  <c r="AV23" i="11"/>
  <c r="AV73" i="5" s="1"/>
  <c r="AV71" i="5" s="1"/>
  <c r="AA132" i="11" l="1"/>
  <c r="AB129" i="11" s="1"/>
  <c r="I565" i="32"/>
  <c r="AB51" i="11"/>
  <c r="Z27" i="15"/>
  <c r="I649" i="32" s="1"/>
  <c r="AA92" i="5"/>
  <c r="I617" i="32"/>
  <c r="M22" i="18"/>
  <c r="AV24" i="11"/>
  <c r="AW21" i="11" s="1"/>
  <c r="AB53" i="11" l="1"/>
  <c r="AB54" i="11" s="1"/>
  <c r="AB130" i="11"/>
  <c r="AB131" i="11" s="1"/>
  <c r="AB47" i="5" s="1"/>
  <c r="F780" i="32"/>
  <c r="E218" i="32"/>
  <c r="AW23" i="11"/>
  <c r="AW73" i="5" s="1"/>
  <c r="AC53" i="6" l="1"/>
  <c r="AB94" i="5"/>
  <c r="AB92" i="5" s="1"/>
  <c r="AB132" i="11"/>
  <c r="AC129" i="11" s="1"/>
  <c r="AC51" i="11"/>
  <c r="AA27" i="15"/>
  <c r="AW71" i="5"/>
  <c r="AW24" i="11"/>
  <c r="AC130" i="11" l="1"/>
  <c r="AC131" i="11" s="1"/>
  <c r="AC53" i="11"/>
  <c r="AC94" i="5" s="1"/>
  <c r="AX21" i="11"/>
  <c r="AC54" i="11" l="1"/>
  <c r="AB27" i="15" s="1"/>
  <c r="AD53" i="6"/>
  <c r="AC92" i="5"/>
  <c r="AC47" i="5"/>
  <c r="AC132" i="11"/>
  <c r="AD129" i="11" s="1"/>
  <c r="AX23" i="11"/>
  <c r="AX73" i="5" s="1"/>
  <c r="AD51" i="11" l="1"/>
  <c r="AD130" i="11" s="1"/>
  <c r="AX71" i="5"/>
  <c r="AX24" i="11"/>
  <c r="AY21" i="11" s="1"/>
  <c r="AD53" i="11" l="1"/>
  <c r="AD54" i="11" s="1"/>
  <c r="AE53" i="6"/>
  <c r="J565" i="32" s="1"/>
  <c r="AD131" i="11"/>
  <c r="AY23" i="11"/>
  <c r="AD94" i="5" l="1"/>
  <c r="AD92" i="5" s="1"/>
  <c r="AE51" i="11"/>
  <c r="AC27" i="15"/>
  <c r="J649" i="32" s="1"/>
  <c r="AD47" i="5"/>
  <c r="J604" i="32" s="1"/>
  <c r="AD132" i="11"/>
  <c r="AE129" i="11" s="1"/>
  <c r="AY73" i="5"/>
  <c r="AY24" i="11"/>
  <c r="J617" i="32" l="1"/>
  <c r="AE53" i="11"/>
  <c r="AE130" i="11"/>
  <c r="AY71" i="5"/>
  <c r="AZ21" i="11"/>
  <c r="AE94" i="5" l="1"/>
  <c r="AE92" i="5" s="1"/>
  <c r="AE54" i="11"/>
  <c r="AF53" i="6"/>
  <c r="AE131" i="11"/>
  <c r="AZ23" i="11"/>
  <c r="AZ73" i="5" s="1"/>
  <c r="AF51" i="11" l="1"/>
  <c r="AF53" i="11" s="1"/>
  <c r="AD27" i="15"/>
  <c r="AE47" i="5"/>
  <c r="AE132" i="11"/>
  <c r="AF129" i="11" s="1"/>
  <c r="AZ71" i="5"/>
  <c r="AZ24" i="11"/>
  <c r="BA21" i="11" s="1"/>
  <c r="AF130" i="11" l="1"/>
  <c r="AG53" i="6" s="1"/>
  <c r="AF94" i="5"/>
  <c r="AF54" i="11"/>
  <c r="BA23" i="11"/>
  <c r="AF131" i="11" l="1"/>
  <c r="AF47" i="5" s="1"/>
  <c r="AF92" i="5"/>
  <c r="AE27" i="15"/>
  <c r="AG51" i="11"/>
  <c r="BA24" i="11"/>
  <c r="BA73" i="5"/>
  <c r="BA71" i="5" s="1"/>
  <c r="AF132" i="11" l="1"/>
  <c r="AG129" i="11" s="1"/>
  <c r="AG130" i="11"/>
  <c r="AG53" i="11"/>
  <c r="BB21" i="11"/>
  <c r="AH53" i="6" l="1"/>
  <c r="AG131" i="11"/>
  <c r="AG94" i="5"/>
  <c r="AG54" i="11"/>
  <c r="BB23" i="11"/>
  <c r="K565" i="32" l="1"/>
  <c r="AG92" i="5"/>
  <c r="K617" i="32"/>
  <c r="AH51" i="11"/>
  <c r="AF27" i="15"/>
  <c r="K649" i="32" s="1"/>
  <c r="AG47" i="5"/>
  <c r="K604" i="32" s="1"/>
  <c r="AG132" i="11"/>
  <c r="AH129" i="11" s="1"/>
  <c r="BB24" i="11"/>
  <c r="BB73" i="5"/>
  <c r="BB71" i="5" s="1"/>
  <c r="AH53" i="11" l="1"/>
  <c r="AH130" i="11"/>
  <c r="BC21" i="11"/>
  <c r="AH94" i="5" l="1"/>
  <c r="AH92" i="5" s="1"/>
  <c r="AH54" i="11"/>
  <c r="AH131" i="11"/>
  <c r="AI53" i="6"/>
  <c r="N22" i="18"/>
  <c r="G780" i="32" s="1"/>
  <c r="BC23" i="11"/>
  <c r="AG27" i="15" l="1"/>
  <c r="AI51" i="11"/>
  <c r="AH47" i="5"/>
  <c r="AH132" i="11"/>
  <c r="AI129" i="11" s="1"/>
  <c r="BC73" i="5"/>
  <c r="BC71" i="5" s="1"/>
  <c r="BC24" i="11"/>
  <c r="AI130" i="11" l="1"/>
  <c r="AJ53" i="6" s="1"/>
  <c r="AI53" i="11"/>
  <c r="BD21" i="11"/>
  <c r="AI131" i="11" l="1"/>
  <c r="AI47" i="5" s="1"/>
  <c r="AI94" i="5"/>
  <c r="AI92" i="5" s="1"/>
  <c r="AI54" i="11"/>
  <c r="AH27" i="15" s="1"/>
  <c r="BD23" i="11"/>
  <c r="AI132" i="11" l="1"/>
  <c r="AJ129" i="11" s="1"/>
  <c r="AJ51" i="11"/>
  <c r="AJ130" i="11" s="1"/>
  <c r="BD24" i="11"/>
  <c r="BD73" i="5"/>
  <c r="BD71" i="5" s="1"/>
  <c r="AJ53" i="11" l="1"/>
  <c r="AJ54" i="11" s="1"/>
  <c r="AJ131" i="11"/>
  <c r="AK53" i="6"/>
  <c r="BE21" i="11"/>
  <c r="AJ94" i="5" l="1"/>
  <c r="AJ92" i="5" s="1"/>
  <c r="AJ47" i="5"/>
  <c r="L604" i="32" s="1"/>
  <c r="C604" i="32" s="1"/>
  <c r="AJ132" i="11"/>
  <c r="AK129" i="11" s="1"/>
  <c r="L565" i="32"/>
  <c r="C565" i="32" s="1"/>
  <c r="AK51" i="11"/>
  <c r="AI27" i="15"/>
  <c r="L649" i="32" s="1"/>
  <c r="BE23" i="11"/>
  <c r="L617" i="32" l="1"/>
  <c r="C617" i="32" s="1"/>
  <c r="AK130" i="11"/>
  <c r="AK53" i="11"/>
  <c r="BE73" i="5"/>
  <c r="BE71" i="5" s="1"/>
  <c r="BE24" i="11"/>
  <c r="AK131" i="11" l="1"/>
  <c r="AL53" i="6"/>
  <c r="AK94" i="5"/>
  <c r="AK92" i="5" s="1"/>
  <c r="AK54" i="11"/>
  <c r="BF21" i="11"/>
  <c r="AJ27" i="15" l="1"/>
  <c r="AL51" i="11"/>
  <c r="AK47" i="5"/>
  <c r="AK132" i="11"/>
  <c r="AL129" i="11" s="1"/>
  <c r="BF23" i="11"/>
  <c r="BF73" i="5" s="1"/>
  <c r="BF71" i="5" s="1"/>
  <c r="AL53" i="11" l="1"/>
  <c r="AL130" i="11"/>
  <c r="BF24" i="11"/>
  <c r="AM53" i="6" l="1"/>
  <c r="AL131" i="11"/>
  <c r="AL94" i="5"/>
  <c r="AL92" i="5" s="1"/>
  <c r="AL54" i="11"/>
  <c r="BG21" i="11"/>
  <c r="BG23" i="11" s="1"/>
  <c r="BG73" i="5" s="1"/>
  <c r="BG71" i="5" s="1"/>
  <c r="AL47" i="5" l="1"/>
  <c r="AL132" i="11"/>
  <c r="AM129" i="11" s="1"/>
  <c r="AK27" i="15"/>
  <c r="AM51" i="11"/>
  <c r="BG24" i="11"/>
  <c r="AM53" i="11" l="1"/>
  <c r="AM130" i="11"/>
  <c r="BH21" i="11"/>
  <c r="AM131" i="11" l="1"/>
  <c r="AN53" i="6"/>
  <c r="AM94" i="5"/>
  <c r="AM92" i="5" s="1"/>
  <c r="AM54" i="11"/>
  <c r="BH23" i="11"/>
  <c r="BH73" i="5" s="1"/>
  <c r="BH71" i="5" s="1"/>
  <c r="AL27" i="15" l="1"/>
  <c r="AN51" i="11"/>
  <c r="AM47" i="5"/>
  <c r="AM132" i="11"/>
  <c r="AN129" i="11" s="1"/>
  <c r="BH24" i="11"/>
  <c r="BI21" i="11" s="1"/>
  <c r="AN53" i="11" l="1"/>
  <c r="AN130" i="11"/>
  <c r="BI23" i="11"/>
  <c r="BI73" i="5" s="1"/>
  <c r="AN94" i="5" l="1"/>
  <c r="AN92" i="5" s="1"/>
  <c r="AN54" i="11"/>
  <c r="AO53" i="6"/>
  <c r="AN131" i="11"/>
  <c r="BI71" i="5"/>
  <c r="BI24" i="11"/>
  <c r="AO51" i="11" l="1"/>
  <c r="AM27" i="15"/>
  <c r="AN132" i="11"/>
  <c r="AO129" i="11" s="1"/>
  <c r="AN47" i="5"/>
  <c r="BJ21" i="11"/>
  <c r="AO130" i="11" l="1"/>
  <c r="AO53" i="11"/>
  <c r="BJ23" i="11"/>
  <c r="BJ73" i="5" s="1"/>
  <c r="AP53" i="6" l="1"/>
  <c r="AO131" i="11"/>
  <c r="AO94" i="5"/>
  <c r="AO92" i="5" s="1"/>
  <c r="AO54" i="11"/>
  <c r="BJ71" i="5"/>
  <c r="BJ24" i="11"/>
  <c r="AO132" i="11" l="1"/>
  <c r="AP129" i="11" s="1"/>
  <c r="AO47" i="5"/>
  <c r="AN27" i="15"/>
  <c r="AP51" i="11"/>
  <c r="BK21" i="11"/>
  <c r="AP53" i="11" l="1"/>
  <c r="AP130" i="11"/>
  <c r="BK23" i="11"/>
  <c r="BK73" i="5" s="1"/>
  <c r="AP94" i="5" l="1"/>
  <c r="AP92" i="5" s="1"/>
  <c r="AP54" i="11"/>
  <c r="AQ53" i="6"/>
  <c r="AP131" i="11"/>
  <c r="BK71" i="5"/>
  <c r="BK24" i="11"/>
  <c r="AP47" i="5" l="1"/>
  <c r="AP132" i="11"/>
  <c r="AQ129" i="11" s="1"/>
  <c r="AO27" i="15"/>
  <c r="O22" i="18" s="1"/>
  <c r="AQ51" i="11"/>
  <c r="BL21" i="11"/>
  <c r="F218" i="32" l="1"/>
  <c r="H780" i="32"/>
  <c r="AQ53" i="11"/>
  <c r="AQ130" i="11"/>
  <c r="BL23" i="11"/>
  <c r="BL73" i="5" s="1"/>
  <c r="AQ131" i="11" l="1"/>
  <c r="AR53" i="6"/>
  <c r="AQ94" i="5"/>
  <c r="AQ92" i="5" s="1"/>
  <c r="AQ54" i="11"/>
  <c r="BL71" i="5"/>
  <c r="BL24" i="11"/>
  <c r="AR51" i="11" l="1"/>
  <c r="AP27" i="15"/>
  <c r="AQ47" i="5"/>
  <c r="AQ132" i="11"/>
  <c r="AR129" i="11" s="1"/>
  <c r="BM21" i="11"/>
  <c r="AR53" i="11" l="1"/>
  <c r="AR130" i="11"/>
  <c r="BM23" i="11"/>
  <c r="BM73" i="5" s="1"/>
  <c r="BM71" i="5" s="1"/>
  <c r="AR94" i="5" l="1"/>
  <c r="AR92" i="5" s="1"/>
  <c r="AR54" i="11"/>
  <c r="AS53" i="6"/>
  <c r="AR131" i="11"/>
  <c r="BM24" i="11"/>
  <c r="AQ27" i="15" l="1"/>
  <c r="AS51" i="11"/>
  <c r="AR47" i="5"/>
  <c r="AR132" i="11"/>
  <c r="AS129" i="11" s="1"/>
  <c r="BN21" i="11"/>
  <c r="AS53" i="11" l="1"/>
  <c r="AS130" i="11"/>
  <c r="BN23" i="11"/>
  <c r="BN73" i="5" s="1"/>
  <c r="BN71" i="5" s="1"/>
  <c r="AT53" i="6" l="1"/>
  <c r="AS131" i="11"/>
  <c r="AS94" i="5"/>
  <c r="AS92" i="5" s="1"/>
  <c r="AS54" i="11"/>
  <c r="BN24" i="11"/>
  <c r="BO21" i="11" s="1"/>
  <c r="AS47" i="5" l="1"/>
  <c r="AS132" i="11"/>
  <c r="AT129" i="11" s="1"/>
  <c r="AT51" i="11"/>
  <c r="AR27" i="15"/>
  <c r="BO23" i="11"/>
  <c r="BO73" i="5" s="1"/>
  <c r="BO71" i="5" s="1"/>
  <c r="AT53" i="11" l="1"/>
  <c r="AT130" i="11"/>
  <c r="BO24" i="11"/>
  <c r="BP21" i="11" s="1"/>
  <c r="AT131" i="11" l="1"/>
  <c r="AU53" i="6"/>
  <c r="AT94" i="5"/>
  <c r="AT92" i="5" s="1"/>
  <c r="AT54" i="11"/>
  <c r="BP23" i="11"/>
  <c r="BP73" i="5" s="1"/>
  <c r="BP71" i="5" s="1"/>
  <c r="AT47" i="5" l="1"/>
  <c r="AT132" i="11"/>
  <c r="AU129" i="11" s="1"/>
  <c r="AU51" i="11"/>
  <c r="AS27" i="15"/>
  <c r="BP24" i="11"/>
  <c r="BQ21" i="11" s="1"/>
  <c r="AU53" i="11" l="1"/>
  <c r="AU130" i="11"/>
  <c r="BQ23" i="11"/>
  <c r="BQ73" i="5" s="1"/>
  <c r="BQ71" i="5" s="1"/>
  <c r="AU131" i="11" l="1"/>
  <c r="AV53" i="6"/>
  <c r="AU94" i="5"/>
  <c r="AU92" i="5" s="1"/>
  <c r="AU54" i="11"/>
  <c r="BQ24" i="11"/>
  <c r="BR21" i="11" s="1"/>
  <c r="AU47" i="5" l="1"/>
  <c r="AU132" i="11"/>
  <c r="AV129" i="11" s="1"/>
  <c r="AT27" i="15"/>
  <c r="AV51" i="11"/>
  <c r="BR23" i="11"/>
  <c r="BR73" i="5" s="1"/>
  <c r="BR71" i="5" s="1"/>
  <c r="AV130" i="11" l="1"/>
  <c r="AV53" i="11"/>
  <c r="BR24" i="11"/>
  <c r="BS21" i="11" s="1"/>
  <c r="AV94" i="5" l="1"/>
  <c r="AV92" i="5" s="1"/>
  <c r="AV54" i="11"/>
  <c r="AV131" i="11"/>
  <c r="AW53" i="6"/>
  <c r="BS23" i="11"/>
  <c r="BS73" i="5" s="1"/>
  <c r="BS71" i="5" s="1"/>
  <c r="AW51" i="11" l="1"/>
  <c r="AU27" i="15"/>
  <c r="P22" i="18" s="1"/>
  <c r="AV47" i="5"/>
  <c r="AV132" i="11"/>
  <c r="AW129" i="11" s="1"/>
  <c r="BS24" i="11"/>
  <c r="BT21" i="11" s="1"/>
  <c r="AW53" i="11" l="1"/>
  <c r="AW130" i="11"/>
  <c r="BT23" i="11"/>
  <c r="BT73" i="5" s="1"/>
  <c r="BT71" i="5" s="1"/>
  <c r="AW54" i="11" l="1"/>
  <c r="AW94" i="5"/>
  <c r="AW92" i="5" s="1"/>
  <c r="AX53" i="6"/>
  <c r="AW131" i="11"/>
  <c r="BT24" i="11"/>
  <c r="BU21" i="11" s="1"/>
  <c r="AV27" i="15" l="1"/>
  <c r="AX51" i="11"/>
  <c r="AW47" i="5"/>
  <c r="AW132" i="11"/>
  <c r="AX129" i="11" s="1"/>
  <c r="BU23" i="11"/>
  <c r="AX130" i="11" l="1"/>
  <c r="AY53" i="6" s="1"/>
  <c r="AX53" i="11"/>
  <c r="AX54" i="11" s="1"/>
  <c r="BU73" i="5"/>
  <c r="BU24" i="11"/>
  <c r="AX131" i="11" l="1"/>
  <c r="AX132" i="11" s="1"/>
  <c r="AY129" i="11" s="1"/>
  <c r="AX94" i="5"/>
  <c r="AX92" i="5" s="1"/>
  <c r="AX47" i="5"/>
  <c r="AY51" i="11"/>
  <c r="AW27" i="15"/>
  <c r="BU71" i="5"/>
  <c r="BV21" i="11"/>
  <c r="AY130" i="11" l="1"/>
  <c r="AY53" i="11"/>
  <c r="BV23" i="11"/>
  <c r="BV73" i="5" s="1"/>
  <c r="AY131" i="11" l="1"/>
  <c r="AZ53" i="6"/>
  <c r="AY94" i="5"/>
  <c r="AY92" i="5" s="1"/>
  <c r="AY54" i="11"/>
  <c r="BV71" i="5"/>
  <c r="BV24" i="11"/>
  <c r="AZ51" i="11" l="1"/>
  <c r="AX27" i="15"/>
  <c r="AY47" i="5"/>
  <c r="AY132" i="11"/>
  <c r="AZ129" i="11" s="1"/>
  <c r="BW21" i="11"/>
  <c r="AZ53" i="11" l="1"/>
  <c r="AZ130" i="11"/>
  <c r="BW23" i="11"/>
  <c r="BW73" i="5" s="1"/>
  <c r="BA53" i="6" l="1"/>
  <c r="AZ131" i="11"/>
  <c r="AZ94" i="5"/>
  <c r="AZ92" i="5" s="1"/>
  <c r="AZ54" i="11"/>
  <c r="BW71" i="5"/>
  <c r="BW24" i="11"/>
  <c r="BX21" i="11" s="1"/>
  <c r="AZ132" i="11" l="1"/>
  <c r="BA129" i="11" s="1"/>
  <c r="AZ47" i="5"/>
  <c r="AY27" i="15"/>
  <c r="BA51" i="11"/>
  <c r="BX23" i="11"/>
  <c r="BX73" i="5" s="1"/>
  <c r="BA130" i="11" l="1"/>
  <c r="BA53" i="11"/>
  <c r="BX71" i="5"/>
  <c r="BX24" i="11"/>
  <c r="BY21" i="11" s="1"/>
  <c r="BA94" i="5" l="1"/>
  <c r="BA92" i="5" s="1"/>
  <c r="BA54" i="11"/>
  <c r="BA131" i="11"/>
  <c r="BB53" i="6"/>
  <c r="BY23" i="11"/>
  <c r="BY73" i="5" s="1"/>
  <c r="BY71" i="5" s="1"/>
  <c r="AZ27" i="15" l="1"/>
  <c r="BB51" i="11"/>
  <c r="BA47" i="5"/>
  <c r="BA132" i="11"/>
  <c r="BB129" i="11" s="1"/>
  <c r="BY24" i="11"/>
  <c r="BB130" i="11" l="1"/>
  <c r="BC53" i="6" s="1"/>
  <c r="BB53" i="11"/>
  <c r="BZ21" i="11"/>
  <c r="BB131" i="11" l="1"/>
  <c r="BB94" i="5"/>
  <c r="BB92" i="5" s="1"/>
  <c r="BB54" i="11"/>
  <c r="BZ23" i="11"/>
  <c r="BZ73" i="5" s="1"/>
  <c r="BZ71" i="5" s="1"/>
  <c r="BB47" i="5" l="1"/>
  <c r="BB132" i="11"/>
  <c r="BC129" i="11" s="1"/>
  <c r="BA27" i="15"/>
  <c r="Q22" i="18" s="1"/>
  <c r="G218" i="32" s="1"/>
  <c r="BC51" i="11"/>
  <c r="BC53" i="11" s="1"/>
  <c r="BZ24" i="11"/>
  <c r="BC130" i="11" l="1"/>
  <c r="BD53" i="6" s="1"/>
  <c r="BC94" i="5"/>
  <c r="BC92" i="5" s="1"/>
  <c r="BC54" i="11"/>
  <c r="CA21" i="11"/>
  <c r="BC131" i="11" l="1"/>
  <c r="BC47" i="5" s="1"/>
  <c r="BD51" i="11"/>
  <c r="BB27" i="15"/>
  <c r="CA23" i="11"/>
  <c r="CA73" i="5" s="1"/>
  <c r="CA71" i="5" s="1"/>
  <c r="BC132" i="11" l="1"/>
  <c r="BD129" i="11" s="1"/>
  <c r="BD130" i="11"/>
  <c r="BD53" i="11"/>
  <c r="CA24" i="11"/>
  <c r="CB21" i="11" s="1"/>
  <c r="BE53" i="6" l="1"/>
  <c r="BD131" i="11"/>
  <c r="BD94" i="5"/>
  <c r="BD92" i="5" s="1"/>
  <c r="BD54" i="11"/>
  <c r="CB23" i="11"/>
  <c r="CB73" i="5" s="1"/>
  <c r="CB71" i="5" s="1"/>
  <c r="BD47" i="5" l="1"/>
  <c r="BD132" i="11"/>
  <c r="BE129" i="11" s="1"/>
  <c r="BE51" i="11"/>
  <c r="BC27" i="15"/>
  <c r="CB24" i="11"/>
  <c r="BE53" i="11" l="1"/>
  <c r="BE130" i="11"/>
  <c r="CC21" i="11"/>
  <c r="BE131" i="11" l="1"/>
  <c r="BF53" i="6"/>
  <c r="BE94" i="5"/>
  <c r="BE92" i="5" s="1"/>
  <c r="BE54" i="11"/>
  <c r="CC23" i="11"/>
  <c r="CC73" i="5" s="1"/>
  <c r="CC71" i="5" s="1"/>
  <c r="BF51" i="11" l="1"/>
  <c r="BD27" i="15"/>
  <c r="BE47" i="5"/>
  <c r="BE132" i="11"/>
  <c r="BF129" i="11" s="1"/>
  <c r="CC24" i="11"/>
  <c r="CD21" i="11" s="1"/>
  <c r="CD23" i="11" s="1"/>
  <c r="BF130" i="11" l="1"/>
  <c r="BF53" i="11"/>
  <c r="CD24" i="11"/>
  <c r="CD73" i="5"/>
  <c r="CD71" i="5" s="1"/>
  <c r="BG53" i="6" l="1"/>
  <c r="BF131" i="11"/>
  <c r="BF94" i="5"/>
  <c r="BF92" i="5" s="1"/>
  <c r="BF54" i="11"/>
  <c r="CE21" i="11"/>
  <c r="BF132" i="11" l="1"/>
  <c r="BG129" i="11" s="1"/>
  <c r="BF47" i="5"/>
  <c r="BG51" i="11"/>
  <c r="BE27" i="15"/>
  <c r="CE23" i="11"/>
  <c r="BG53" i="11" l="1"/>
  <c r="BG130" i="11"/>
  <c r="CE73" i="5"/>
  <c r="CE71" i="5" s="1"/>
  <c r="CE24" i="11"/>
  <c r="BH53" i="6" l="1"/>
  <c r="BG131" i="11"/>
  <c r="BG94" i="5"/>
  <c r="BG92" i="5" s="1"/>
  <c r="BG54" i="11"/>
  <c r="CF21" i="11"/>
  <c r="BF27" i="15" l="1"/>
  <c r="BH51" i="11"/>
  <c r="BG132" i="11"/>
  <c r="BH129" i="11" s="1"/>
  <c r="BG47" i="5"/>
  <c r="CF23" i="11"/>
  <c r="CF73" i="5" s="1"/>
  <c r="CF71" i="5" s="1"/>
  <c r="BH53" i="11" l="1"/>
  <c r="BH54" i="11" s="1"/>
  <c r="BH130" i="11"/>
  <c r="BH131" i="11" s="1"/>
  <c r="CF24" i="11"/>
  <c r="BH94" i="5" l="1"/>
  <c r="BH92" i="5" s="1"/>
  <c r="BI53" i="6"/>
  <c r="BH47" i="5"/>
  <c r="BH132" i="11"/>
  <c r="BI129" i="11" s="1"/>
  <c r="BG27" i="15"/>
  <c r="R22" i="18" s="1"/>
  <c r="BI51" i="11"/>
  <c r="CG21" i="11"/>
  <c r="BI53" i="11" l="1"/>
  <c r="BI130" i="11"/>
  <c r="CG23" i="11"/>
  <c r="BI131" i="11" l="1"/>
  <c r="BJ53" i="6"/>
  <c r="BI94" i="5"/>
  <c r="BI92" i="5" s="1"/>
  <c r="BI54" i="11"/>
  <c r="CG73" i="5"/>
  <c r="CG24" i="11"/>
  <c r="BJ51" i="11" l="1"/>
  <c r="BH27" i="15"/>
  <c r="BI47" i="5"/>
  <c r="BI132" i="11"/>
  <c r="BJ129" i="11" s="1"/>
  <c r="CG71" i="5"/>
  <c r="CH21" i="11"/>
  <c r="BJ53" i="11" l="1"/>
  <c r="BJ130" i="11"/>
  <c r="CH23" i="11"/>
  <c r="BJ94" i="5" l="1"/>
  <c r="BJ92" i="5" s="1"/>
  <c r="BJ54" i="11"/>
  <c r="BK53" i="6"/>
  <c r="BJ131" i="11"/>
  <c r="CH73" i="5"/>
  <c r="CH24" i="11"/>
  <c r="BI27" i="15" l="1"/>
  <c r="BK51" i="11"/>
  <c r="BJ47" i="5"/>
  <c r="BJ132" i="11"/>
  <c r="BK129" i="11" s="1"/>
  <c r="CH71" i="5"/>
  <c r="CI21" i="11"/>
  <c r="BK53" i="11" l="1"/>
  <c r="BK130" i="11"/>
  <c r="CI23" i="11"/>
  <c r="CI73" i="5" s="1"/>
  <c r="BL53" i="6" l="1"/>
  <c r="BK131" i="11"/>
  <c r="BK94" i="5"/>
  <c r="BK92" i="5" s="1"/>
  <c r="BK54" i="11"/>
  <c r="CI71" i="5"/>
  <c r="CI24" i="11"/>
  <c r="BK132" i="11" l="1"/>
  <c r="BL129" i="11" s="1"/>
  <c r="BK47" i="5"/>
  <c r="BJ27" i="15"/>
  <c r="BL51" i="11"/>
  <c r="CJ21" i="11"/>
  <c r="BL53" i="11" l="1"/>
  <c r="BL130" i="11"/>
  <c r="CJ23" i="11"/>
  <c r="CJ73" i="5" s="1"/>
  <c r="BL131" i="11" l="1"/>
  <c r="BM53" i="6"/>
  <c r="BL94" i="5"/>
  <c r="BL92" i="5" s="1"/>
  <c r="BL54" i="11"/>
  <c r="CJ71" i="5"/>
  <c r="CJ24" i="11"/>
  <c r="CK21" i="11" s="1"/>
  <c r="BM51" i="11" l="1"/>
  <c r="BK27" i="15"/>
  <c r="BL47" i="5"/>
  <c r="BL132" i="11"/>
  <c r="BM129" i="11" s="1"/>
  <c r="CK23" i="11"/>
  <c r="CK73" i="5" s="1"/>
  <c r="CK71" i="5" s="1"/>
  <c r="BM130" i="11" l="1"/>
  <c r="BM53" i="11"/>
  <c r="CK24" i="11"/>
  <c r="CL21" i="11" s="1"/>
  <c r="BN53" i="6" l="1"/>
  <c r="BM131" i="11"/>
  <c r="BM94" i="5"/>
  <c r="BM92" i="5" s="1"/>
  <c r="BM54" i="11"/>
  <c r="CL23" i="11"/>
  <c r="CL73" i="5" s="1"/>
  <c r="CL71" i="5" s="1"/>
  <c r="BN51" i="11" l="1"/>
  <c r="BL27" i="15"/>
  <c r="BM47" i="5"/>
  <c r="BM132" i="11"/>
  <c r="BN129" i="11" s="1"/>
  <c r="CL24" i="11"/>
  <c r="CM21" i="11" s="1"/>
  <c r="BN130" i="11" l="1"/>
  <c r="BN53" i="11"/>
  <c r="CM23" i="11"/>
  <c r="CM73" i="5" s="1"/>
  <c r="CM71" i="5" s="1"/>
  <c r="BO53" i="6" l="1"/>
  <c r="BN131" i="11"/>
  <c r="BN94" i="5"/>
  <c r="BN92" i="5" s="1"/>
  <c r="BN54" i="11"/>
  <c r="CM24" i="11"/>
  <c r="CN21" i="11" s="1"/>
  <c r="BM27" i="15" l="1"/>
  <c r="S22" i="18" s="1"/>
  <c r="H218" i="32" s="1"/>
  <c r="BO51" i="11"/>
  <c r="BN47" i="5"/>
  <c r="BN132" i="11"/>
  <c r="BO129" i="11" s="1"/>
  <c r="CN23" i="11"/>
  <c r="BO53" i="11" l="1"/>
  <c r="BO130" i="11"/>
  <c r="CN73" i="5"/>
  <c r="CN71" i="5" s="1"/>
  <c r="CN24" i="11"/>
  <c r="BP53" i="6" l="1"/>
  <c r="BO131" i="11"/>
  <c r="BO94" i="5"/>
  <c r="BO92" i="5" s="1"/>
  <c r="BO54" i="11"/>
  <c r="CO21" i="11"/>
  <c r="BO47" i="5" l="1"/>
  <c r="BO132" i="11"/>
  <c r="BP129" i="11" s="1"/>
  <c r="BN27" i="15"/>
  <c r="BP51" i="11"/>
  <c r="CO23" i="11"/>
  <c r="BP130" i="11" l="1"/>
  <c r="BP53" i="11"/>
  <c r="CO24" i="11"/>
  <c r="CO73" i="5"/>
  <c r="CO71" i="5" s="1"/>
  <c r="BP131" i="11" l="1"/>
  <c r="BQ53" i="6"/>
  <c r="BP94" i="5"/>
  <c r="BP92" i="5" s="1"/>
  <c r="BP54" i="11"/>
  <c r="CP21" i="11"/>
  <c r="BO27" i="15" l="1"/>
  <c r="BQ51" i="11"/>
  <c r="BP47" i="5"/>
  <c r="BP132" i="11"/>
  <c r="BQ129" i="11" s="1"/>
  <c r="CP23" i="11"/>
  <c r="BQ53" i="11" l="1"/>
  <c r="BQ130" i="11"/>
  <c r="CP24" i="11"/>
  <c r="CP73" i="5"/>
  <c r="CP71" i="5" s="1"/>
  <c r="BR53" i="6" l="1"/>
  <c r="BQ131" i="11"/>
  <c r="BQ94" i="5"/>
  <c r="BQ92" i="5" s="1"/>
  <c r="BQ54" i="11"/>
  <c r="CQ21" i="11"/>
  <c r="BP27" i="15" l="1"/>
  <c r="BR51" i="11"/>
  <c r="BQ132" i="11"/>
  <c r="BR129" i="11" s="1"/>
  <c r="BQ47" i="5"/>
  <c r="CQ23" i="11"/>
  <c r="BR53" i="11" l="1"/>
  <c r="BR94" i="5" s="1"/>
  <c r="BR92" i="5" s="1"/>
  <c r="BR130" i="11"/>
  <c r="BS53" i="6" s="1"/>
  <c r="CQ73" i="5"/>
  <c r="CQ71" i="5" s="1"/>
  <c r="CQ24" i="11"/>
  <c r="BR54" i="11" l="1"/>
  <c r="BQ27" i="15" s="1"/>
  <c r="BR131" i="11"/>
  <c r="CR21" i="11"/>
  <c r="BS51" i="11" l="1"/>
  <c r="BR47" i="5"/>
  <c r="BR132" i="11"/>
  <c r="BS129" i="11" s="1"/>
  <c r="BS53" i="11"/>
  <c r="BS130" i="11"/>
  <c r="CR23" i="11"/>
  <c r="BS131" i="11" l="1"/>
  <c r="BT53" i="6"/>
  <c r="BS94" i="5"/>
  <c r="BS92" i="5" s="1"/>
  <c r="BS54" i="11"/>
  <c r="CR73" i="5"/>
  <c r="CR71" i="5" s="1"/>
  <c r="CR24" i="11"/>
  <c r="BS47" i="5" l="1"/>
  <c r="BS132" i="11"/>
  <c r="BT129" i="11" s="1"/>
  <c r="BT51" i="11"/>
  <c r="BR27" i="15"/>
  <c r="CS21" i="11"/>
  <c r="BT130" i="11" l="1"/>
  <c r="BT53" i="11"/>
  <c r="CS23" i="11"/>
  <c r="CS73" i="5" s="1"/>
  <c r="BT131" i="11" l="1"/>
  <c r="BU53" i="6"/>
  <c r="BT94" i="5"/>
  <c r="BT92" i="5" s="1"/>
  <c r="BT54" i="11"/>
  <c r="CS71" i="5"/>
  <c r="CS24" i="11"/>
  <c r="BU51" i="11" l="1"/>
  <c r="BS27" i="15"/>
  <c r="T22" i="18" s="1"/>
  <c r="BT47" i="5"/>
  <c r="BT132" i="11"/>
  <c r="BU129" i="11" s="1"/>
  <c r="CT21" i="11"/>
  <c r="BU130" i="11" l="1"/>
  <c r="BU53" i="11"/>
  <c r="CT23" i="11"/>
  <c r="CT73" i="5" s="1"/>
  <c r="BV53" i="6" l="1"/>
  <c r="BU131" i="11"/>
  <c r="BU94" i="5"/>
  <c r="BU92" i="5" s="1"/>
  <c r="BU54" i="11"/>
  <c r="CT71" i="5"/>
  <c r="CT24" i="11"/>
  <c r="BT27" i="15" l="1"/>
  <c r="BV51" i="11"/>
  <c r="BU47" i="5"/>
  <c r="BU132" i="11"/>
  <c r="BV129" i="11" s="1"/>
  <c r="CU21" i="11"/>
  <c r="BV130" i="11" l="1"/>
  <c r="BV53" i="11"/>
  <c r="CU23" i="11"/>
  <c r="CU73" i="5" s="1"/>
  <c r="BW53" i="6" l="1"/>
  <c r="BV131" i="11"/>
  <c r="BV94" i="5"/>
  <c r="BV92" i="5" s="1"/>
  <c r="BV54" i="11"/>
  <c r="CU71" i="5"/>
  <c r="CU24" i="11"/>
  <c r="CV21" i="11" s="1"/>
  <c r="BV47" i="5" l="1"/>
  <c r="BV132" i="11"/>
  <c r="BW129" i="11" s="1"/>
  <c r="BW51" i="11"/>
  <c r="BU27" i="15"/>
  <c r="CV23" i="11"/>
  <c r="CV73" i="5" s="1"/>
  <c r="BW53" i="11" l="1"/>
  <c r="BW130" i="11"/>
  <c r="CV71" i="5"/>
  <c r="CV24" i="11"/>
  <c r="CW21" i="11" s="1"/>
  <c r="BW131" i="11" l="1"/>
  <c r="BX53" i="6"/>
  <c r="BW94" i="5"/>
  <c r="BW92" i="5" s="1"/>
  <c r="BW54" i="11"/>
  <c r="CW23" i="11"/>
  <c r="BW47" i="5" l="1"/>
  <c r="BW132" i="11"/>
  <c r="BX129" i="11" s="1"/>
  <c r="BV27" i="15"/>
  <c r="BX51" i="11"/>
  <c r="CW73" i="5"/>
  <c r="CW24" i="11"/>
  <c r="BX130" i="11" l="1"/>
  <c r="BX53" i="11"/>
  <c r="CW71" i="5"/>
  <c r="CX21" i="11"/>
  <c r="BY53" i="6" l="1"/>
  <c r="BX131" i="11"/>
  <c r="BX94" i="5"/>
  <c r="BX92" i="5" s="1"/>
  <c r="BX54" i="11"/>
  <c r="CX23" i="11"/>
  <c r="CX73" i="5" s="1"/>
  <c r="CX71" i="5" s="1"/>
  <c r="BY51" i="11" l="1"/>
  <c r="BW27" i="15"/>
  <c r="BX47" i="5"/>
  <c r="BX132" i="11"/>
  <c r="BY129" i="11" s="1"/>
  <c r="CX24" i="11"/>
  <c r="CY21" i="11" s="1"/>
  <c r="BY53" i="11" l="1"/>
  <c r="BY130" i="11"/>
  <c r="BY131" i="11" s="1"/>
  <c r="BY47" i="5" s="1"/>
  <c r="CY23" i="11"/>
  <c r="BZ53" i="6" l="1"/>
  <c r="BY132" i="11"/>
  <c r="BZ129" i="11" s="1"/>
  <c r="BY94" i="5"/>
  <c r="BY92" i="5" s="1"/>
  <c r="BY54" i="11"/>
  <c r="CY24" i="11"/>
  <c r="CY73" i="5"/>
  <c r="CY71" i="5" s="1"/>
  <c r="BZ51" i="11" l="1"/>
  <c r="BX27" i="15"/>
  <c r="CZ21" i="11"/>
  <c r="BZ53" i="11" l="1"/>
  <c r="BZ130" i="11"/>
  <c r="CZ23" i="11"/>
  <c r="CZ73" i="5" s="1"/>
  <c r="CZ71" i="5" s="1"/>
  <c r="BZ54" i="11" l="1"/>
  <c r="BZ94" i="5"/>
  <c r="BZ92" i="5" s="1"/>
  <c r="BZ131" i="11"/>
  <c r="CA53" i="6"/>
  <c r="CZ24" i="11"/>
  <c r="DA21" i="11" s="1"/>
  <c r="BY27" i="15" l="1"/>
  <c r="U22" i="18" s="1"/>
  <c r="I218" i="32" s="1"/>
  <c r="CA51" i="11"/>
  <c r="BZ47" i="5"/>
  <c r="BZ132" i="11"/>
  <c r="CA129" i="11" s="1"/>
  <c r="DA23" i="11"/>
  <c r="DA73" i="5" s="1"/>
  <c r="DA71" i="5" s="1"/>
  <c r="CA53" i="11" l="1"/>
  <c r="CA94" i="5" s="1"/>
  <c r="CA92" i="5" s="1"/>
  <c r="CA130" i="11"/>
  <c r="CB53" i="6" s="1"/>
  <c r="DA24" i="11"/>
  <c r="DB21" i="11" s="1"/>
  <c r="CA131" i="11" l="1"/>
  <c r="CA47" i="5" s="1"/>
  <c r="CA54" i="11"/>
  <c r="CB51" i="11" s="1"/>
  <c r="BZ27" i="15"/>
  <c r="DB23" i="11"/>
  <c r="CA132" i="11" l="1"/>
  <c r="CB129" i="11" s="1"/>
  <c r="CB53" i="11"/>
  <c r="CB130" i="11"/>
  <c r="DB73" i="5"/>
  <c r="DB71" i="5" s="1"/>
  <c r="DB24" i="11"/>
  <c r="CB131" i="11" l="1"/>
  <c r="CC53" i="6"/>
  <c r="CB94" i="5"/>
  <c r="CB92" i="5" s="1"/>
  <c r="CB54" i="11"/>
  <c r="DC21" i="11"/>
  <c r="CA27" i="15" l="1"/>
  <c r="CC51" i="11"/>
  <c r="CB47" i="5"/>
  <c r="CB132" i="11"/>
  <c r="CC129" i="11" s="1"/>
  <c r="DC23" i="11"/>
  <c r="CC130" i="11" l="1"/>
  <c r="CC53" i="11"/>
  <c r="DC24" i="11"/>
  <c r="DC73" i="5"/>
  <c r="DC71" i="5" s="1"/>
  <c r="CD53" i="6" l="1"/>
  <c r="CC131" i="11"/>
  <c r="CC94" i="5"/>
  <c r="CC92" i="5" s="1"/>
  <c r="CC54" i="11"/>
  <c r="DD21" i="11"/>
  <c r="CC47" i="5" l="1"/>
  <c r="CC132" i="11"/>
  <c r="CD129" i="11" s="1"/>
  <c r="CB27" i="15"/>
  <c r="CD51" i="11"/>
  <c r="DD23" i="11"/>
  <c r="CD130" i="11" l="1"/>
  <c r="CD53" i="11"/>
  <c r="DD73" i="5"/>
  <c r="DD71" i="5" s="1"/>
  <c r="DD24" i="11"/>
  <c r="CD131" i="11" l="1"/>
  <c r="CE53" i="6"/>
  <c r="CD94" i="5"/>
  <c r="CD92" i="5" s="1"/>
  <c r="CD54" i="11"/>
  <c r="DE21" i="11"/>
  <c r="CD47" i="5" l="1"/>
  <c r="CD132" i="11"/>
  <c r="CE129" i="11" s="1"/>
  <c r="CE51" i="11"/>
  <c r="CC27" i="15"/>
  <c r="DE23" i="11"/>
  <c r="CE130" i="11" l="1"/>
  <c r="CE53" i="11"/>
  <c r="DE73" i="5"/>
  <c r="DE24" i="11"/>
  <c r="CE131" i="11" l="1"/>
  <c r="CF53" i="6"/>
  <c r="CE94" i="5"/>
  <c r="CE92" i="5" s="1"/>
  <c r="CE54" i="11"/>
  <c r="DE71" i="5"/>
  <c r="DF21" i="11"/>
  <c r="CD27" i="15" l="1"/>
  <c r="CF51" i="11"/>
  <c r="CE47" i="5"/>
  <c r="CE132" i="11"/>
  <c r="CF129" i="11" s="1"/>
  <c r="DF23" i="11"/>
  <c r="DF73" i="5" s="1"/>
  <c r="CF130" i="11" l="1"/>
  <c r="CF53" i="11"/>
  <c r="DF71" i="5"/>
  <c r="DF24" i="11"/>
  <c r="DG21" i="11" s="1"/>
  <c r="CG53" i="6" l="1"/>
  <c r="CF131" i="11"/>
  <c r="CF94" i="5"/>
  <c r="CF92" i="5" s="1"/>
  <c r="CF54" i="11"/>
  <c r="DG23" i="11"/>
  <c r="DG73" i="5" s="1"/>
  <c r="CF132" i="11" l="1"/>
  <c r="CG129" i="11" s="1"/>
  <c r="CF47" i="5"/>
  <c r="CG51" i="11"/>
  <c r="CE27" i="15"/>
  <c r="V22" i="18" s="1"/>
  <c r="DG71" i="5"/>
  <c r="DG24" i="11"/>
  <c r="CG53" i="11" l="1"/>
  <c r="CG130" i="11"/>
  <c r="DH21" i="11"/>
  <c r="CG131" i="11" l="1"/>
  <c r="CH53" i="6"/>
  <c r="CG94" i="5"/>
  <c r="CG92" i="5" s="1"/>
  <c r="CG54" i="11"/>
  <c r="DH23" i="11"/>
  <c r="DH73" i="5" s="1"/>
  <c r="CF27" i="15" l="1"/>
  <c r="CH51" i="11"/>
  <c r="CG47" i="5"/>
  <c r="CG132" i="11"/>
  <c r="CH129" i="11" s="1"/>
  <c r="DH71" i="5"/>
  <c r="DH24" i="11"/>
  <c r="DI21" i="11" s="1"/>
  <c r="CH130" i="11" l="1"/>
  <c r="CH53" i="11"/>
  <c r="DI23" i="11"/>
  <c r="DI73" i="5" s="1"/>
  <c r="DI71" i="5" s="1"/>
  <c r="CI53" i="6" l="1"/>
  <c r="CH131" i="11"/>
  <c r="CH94" i="5"/>
  <c r="CH92" i="5" s="1"/>
  <c r="CH54" i="11"/>
  <c r="DI24" i="11"/>
  <c r="DJ21" i="11" s="1"/>
  <c r="M68" i="17"/>
  <c r="E750" i="32" s="1"/>
  <c r="N68" i="17"/>
  <c r="O68" i="17"/>
  <c r="P68" i="17"/>
  <c r="Q68" i="17"/>
  <c r="Q66" i="17" s="1"/>
  <c r="R68" i="17"/>
  <c r="R66" i="17" s="1"/>
  <c r="S68" i="17"/>
  <c r="S66" i="17" s="1"/>
  <c r="T68" i="17"/>
  <c r="T66" i="17" s="1"/>
  <c r="U68" i="17"/>
  <c r="U66" i="17" s="1"/>
  <c r="V68" i="17"/>
  <c r="V66" i="17" s="1"/>
  <c r="W68" i="17"/>
  <c r="W66" i="17" s="1"/>
  <c r="X68" i="17"/>
  <c r="X66" i="17" s="1"/>
  <c r="Y68" i="17"/>
  <c r="Y66" i="17" s="1"/>
  <c r="Z68" i="17"/>
  <c r="Z66" i="17" s="1"/>
  <c r="AA68" i="17"/>
  <c r="AA66" i="17" s="1"/>
  <c r="AB68" i="17"/>
  <c r="AB66" i="17" s="1"/>
  <c r="CI51" i="11" l="1"/>
  <c r="CG27" i="15"/>
  <c r="CH47" i="5"/>
  <c r="CH132" i="11"/>
  <c r="CI129" i="11" s="1"/>
  <c r="P66" i="17"/>
  <c r="H750" i="32"/>
  <c r="O66" i="17"/>
  <c r="G750" i="32"/>
  <c r="N66" i="17"/>
  <c r="F750" i="32"/>
  <c r="DJ23" i="11"/>
  <c r="M66" i="17"/>
  <c r="CI53" i="11" l="1"/>
  <c r="CI130" i="11"/>
  <c r="C750" i="32"/>
  <c r="DJ73" i="5"/>
  <c r="DJ71" i="5" s="1"/>
  <c r="DJ24" i="11"/>
  <c r="CJ53" i="6" l="1"/>
  <c r="CI131" i="11"/>
  <c r="CI94" i="5"/>
  <c r="CI92" i="5" s="1"/>
  <c r="CI54" i="11"/>
  <c r="DK21" i="11"/>
  <c r="CI47" i="5" l="1"/>
  <c r="CI132" i="11"/>
  <c r="CJ129" i="11" s="1"/>
  <c r="CH27" i="15"/>
  <c r="CJ51" i="11"/>
  <c r="DK23" i="11"/>
  <c r="CJ130" i="11" l="1"/>
  <c r="CJ53" i="11"/>
  <c r="DK73" i="5"/>
  <c r="DK71" i="5" s="1"/>
  <c r="DK24" i="11"/>
  <c r="CJ94" i="5" l="1"/>
  <c r="CJ92" i="5" s="1"/>
  <c r="CJ54" i="11"/>
  <c r="CJ131" i="11"/>
  <c r="CK53" i="6"/>
  <c r="DL21" i="11"/>
  <c r="CI27" i="15" l="1"/>
  <c r="CK51" i="11"/>
  <c r="CJ47" i="5"/>
  <c r="CJ132" i="11"/>
  <c r="CK129" i="11" s="1"/>
  <c r="DL23" i="11"/>
  <c r="DL73" i="5" s="1"/>
  <c r="DL71" i="5" s="1"/>
  <c r="CK130" i="11" l="1"/>
  <c r="CK53" i="11"/>
  <c r="DL24" i="11"/>
  <c r="CL53" i="6" l="1"/>
  <c r="CK131" i="11"/>
  <c r="CK47" i="5" s="1"/>
  <c r="CK94" i="5"/>
  <c r="CK92" i="5" s="1"/>
  <c r="CK54" i="11"/>
  <c r="DM21" i="11"/>
  <c r="CK132" i="11" l="1"/>
  <c r="CL129" i="11" s="1"/>
  <c r="CL51" i="11"/>
  <c r="CJ27" i="15"/>
  <c r="DM23" i="11"/>
  <c r="DM73" i="5" s="1"/>
  <c r="DM71" i="5" s="1"/>
  <c r="CL130" i="11" l="1"/>
  <c r="CM53" i="6" s="1"/>
  <c r="CL53" i="11"/>
  <c r="CL54" i="11" s="1"/>
  <c r="DM24" i="11"/>
  <c r="DN21" i="11" s="1"/>
  <c r="CL131" i="11" l="1"/>
  <c r="CL47" i="5" s="1"/>
  <c r="CL94" i="5"/>
  <c r="CL92" i="5" s="1"/>
  <c r="CM51" i="11"/>
  <c r="CK27" i="15"/>
  <c r="W22" i="18" s="1"/>
  <c r="J218" i="32" s="1"/>
  <c r="DN23" i="11"/>
  <c r="DN73" i="5" s="1"/>
  <c r="DN71" i="5" s="1"/>
  <c r="CL132" i="11" l="1"/>
  <c r="CM129" i="11" s="1"/>
  <c r="CM130" i="11"/>
  <c r="CM53" i="11"/>
  <c r="DN24" i="11"/>
  <c r="DO21" i="11" s="1"/>
  <c r="CM94" i="5" l="1"/>
  <c r="CM92" i="5" s="1"/>
  <c r="CM54" i="11"/>
  <c r="CN53" i="6"/>
  <c r="CM131" i="11"/>
  <c r="DO23" i="11"/>
  <c r="CN51" i="11" l="1"/>
  <c r="CL27" i="15"/>
  <c r="CM47" i="5"/>
  <c r="CM132" i="11"/>
  <c r="CN129" i="11" s="1"/>
  <c r="DO73" i="5"/>
  <c r="DO71" i="5" s="1"/>
  <c r="DO24" i="11"/>
  <c r="CN130" i="11" l="1"/>
  <c r="CN53" i="11"/>
  <c r="DP21" i="11"/>
  <c r="AC68" i="17"/>
  <c r="AC66" i="17" s="1"/>
  <c r="CN54" i="11" l="1"/>
  <c r="CN94" i="5"/>
  <c r="CN92" i="5" s="1"/>
  <c r="CO53" i="6"/>
  <c r="CN131" i="11"/>
  <c r="DP23" i="11"/>
  <c r="CM27" i="15" l="1"/>
  <c r="CO51" i="11"/>
  <c r="CN47" i="5"/>
  <c r="CN132" i="11"/>
  <c r="CO129" i="11" s="1"/>
  <c r="DP73" i="5"/>
  <c r="DP71" i="5" s="1"/>
  <c r="DP24" i="11"/>
  <c r="CO53" i="11" l="1"/>
  <c r="CO130" i="11"/>
  <c r="CO131" i="11" s="1"/>
  <c r="DQ21" i="11"/>
  <c r="CP53" i="6" l="1"/>
  <c r="CO94" i="5"/>
  <c r="CO92" i="5" s="1"/>
  <c r="CO54" i="11"/>
  <c r="CO132" i="11"/>
  <c r="CP129" i="11" s="1"/>
  <c r="CO47" i="5"/>
  <c r="DQ23" i="11"/>
  <c r="AI10" i="18"/>
  <c r="AI9" i="18" s="1"/>
  <c r="AI36" i="18" s="1"/>
  <c r="CP51" i="11" l="1"/>
  <c r="CN27" i="15"/>
  <c r="DQ24" i="11"/>
  <c r="DQ73" i="5"/>
  <c r="CP53" i="11" l="1"/>
  <c r="CP54" i="11" s="1"/>
  <c r="CP130" i="11"/>
  <c r="CP131" i="11" s="1"/>
  <c r="DQ71" i="5"/>
  <c r="DR21" i="11"/>
  <c r="CP94" i="5" l="1"/>
  <c r="CP92" i="5" s="1"/>
  <c r="CQ53" i="6"/>
  <c r="CP47" i="5"/>
  <c r="CP132" i="11"/>
  <c r="CQ129" i="11" s="1"/>
  <c r="CQ51" i="11"/>
  <c r="CO27" i="15"/>
  <c r="DR23" i="11"/>
  <c r="DR73" i="5" s="1"/>
  <c r="CQ53" i="11" l="1"/>
  <c r="CQ130" i="11"/>
  <c r="DR71" i="5"/>
  <c r="DR24" i="11"/>
  <c r="M89" i="17"/>
  <c r="E748" i="32" s="1"/>
  <c r="N89" i="17"/>
  <c r="O89" i="17"/>
  <c r="P89" i="17"/>
  <c r="Q89" i="17"/>
  <c r="Q87" i="17" s="1"/>
  <c r="R89" i="17"/>
  <c r="R87" i="17" s="1"/>
  <c r="S89" i="17"/>
  <c r="S87" i="17" s="1"/>
  <c r="T89" i="17"/>
  <c r="T87" i="17" s="1"/>
  <c r="U89" i="17"/>
  <c r="U87" i="17" s="1"/>
  <c r="V89" i="17"/>
  <c r="V87" i="17" s="1"/>
  <c r="W89" i="17"/>
  <c r="W87" i="17" s="1"/>
  <c r="X89" i="17"/>
  <c r="X87" i="17" s="1"/>
  <c r="Y89" i="17"/>
  <c r="Y87" i="17" s="1"/>
  <c r="N47" i="16"/>
  <c r="O47" i="16"/>
  <c r="F696" i="32" s="1"/>
  <c r="P47" i="16"/>
  <c r="Q47" i="16"/>
  <c r="H696" i="32" s="1"/>
  <c r="R47" i="16"/>
  <c r="I696" i="32" s="1"/>
  <c r="S47" i="16"/>
  <c r="J696" i="32" s="1"/>
  <c r="T47" i="16"/>
  <c r="K696" i="32" s="1"/>
  <c r="U47" i="16"/>
  <c r="L696" i="32" s="1"/>
  <c r="V47" i="16"/>
  <c r="M696" i="32" s="1"/>
  <c r="W47" i="16"/>
  <c r="N696" i="32" s="1"/>
  <c r="X47" i="16"/>
  <c r="O696" i="32" s="1"/>
  <c r="Y47" i="16"/>
  <c r="P696" i="32" s="1"/>
  <c r="Z47" i="16"/>
  <c r="Q696" i="32" s="1"/>
  <c r="CQ131" i="11" l="1"/>
  <c r="CR53" i="6"/>
  <c r="CQ94" i="5"/>
  <c r="CQ92" i="5" s="1"/>
  <c r="CQ54" i="11"/>
  <c r="H135" i="32"/>
  <c r="O87" i="17"/>
  <c r="G748" i="32"/>
  <c r="J135" i="32"/>
  <c r="G696" i="32"/>
  <c r="F135" i="32"/>
  <c r="N87" i="17"/>
  <c r="F748" i="32"/>
  <c r="G135" i="32"/>
  <c r="P87" i="17"/>
  <c r="H748" i="32"/>
  <c r="I135" i="32"/>
  <c r="E696" i="32"/>
  <c r="E135" i="32"/>
  <c r="DS21" i="11"/>
  <c r="M42" i="17"/>
  <c r="E735" i="32" s="1"/>
  <c r="N42" i="17"/>
  <c r="F735" i="32" s="1"/>
  <c r="O42" i="17"/>
  <c r="G735" i="32" s="1"/>
  <c r="P42" i="17"/>
  <c r="H735" i="32" s="1"/>
  <c r="Q42" i="17"/>
  <c r="R42" i="17"/>
  <c r="S42" i="17"/>
  <c r="T42" i="17"/>
  <c r="U42" i="17"/>
  <c r="V42" i="17"/>
  <c r="W42" i="17"/>
  <c r="X42" i="17"/>
  <c r="Y42" i="17"/>
  <c r="M87" i="17"/>
  <c r="CR51" i="11" l="1"/>
  <c r="CP27" i="15"/>
  <c r="CQ47" i="5"/>
  <c r="CQ132" i="11"/>
  <c r="CR129" i="11" s="1"/>
  <c r="C748" i="32"/>
  <c r="DS23" i="11"/>
  <c r="DS73" i="5" s="1"/>
  <c r="CR53" i="11" l="1"/>
  <c r="CR130" i="11"/>
  <c r="DS71" i="5"/>
  <c r="DS24" i="11"/>
  <c r="AZ10" i="18"/>
  <c r="AZ9" i="18" s="1"/>
  <c r="AZ36" i="18" s="1"/>
  <c r="CS53" i="6" l="1"/>
  <c r="CR131" i="11"/>
  <c r="CR94" i="5"/>
  <c r="CR54" i="11"/>
  <c r="DT21" i="11"/>
  <c r="BA10" i="18"/>
  <c r="BA9" i="18" s="1"/>
  <c r="BA36" i="18" s="1"/>
  <c r="CR47" i="5" l="1"/>
  <c r="Z42" i="17" s="1"/>
  <c r="CR132" i="11"/>
  <c r="CS129" i="11" s="1"/>
  <c r="CR92" i="5"/>
  <c r="Z89" i="17"/>
  <c r="Z87" i="17" s="1"/>
  <c r="CS51" i="11"/>
  <c r="CQ27" i="15"/>
  <c r="X22" i="18" s="1"/>
  <c r="DT23" i="11"/>
  <c r="DT73" i="5" s="1"/>
  <c r="BB10" i="18"/>
  <c r="BB9" i="18" s="1"/>
  <c r="BB36" i="18" s="1"/>
  <c r="CS53" i="11" l="1"/>
  <c r="CS130" i="11"/>
  <c r="DT71" i="5"/>
  <c r="DT24" i="11"/>
  <c r="DU21" i="11" s="1"/>
  <c r="BF10" i="18"/>
  <c r="BF9" i="18" s="1"/>
  <c r="BF36" i="18" s="1"/>
  <c r="CS131" i="11" l="1"/>
  <c r="CT53" i="6"/>
  <c r="CS94" i="5"/>
  <c r="CS54" i="11"/>
  <c r="DU23" i="11"/>
  <c r="BJ10" i="18"/>
  <c r="BJ9" i="18" s="1"/>
  <c r="BJ36" i="18" s="1"/>
  <c r="CS47" i="5" l="1"/>
  <c r="CS132" i="11"/>
  <c r="CT129" i="11" s="1"/>
  <c r="CS92" i="5"/>
  <c r="CT51" i="11"/>
  <c r="CR27" i="15"/>
  <c r="DU73" i="5"/>
  <c r="DU71" i="5" s="1"/>
  <c r="DU24" i="11"/>
  <c r="BK10" i="18"/>
  <c r="BK9" i="18" s="1"/>
  <c r="BK36" i="18" s="1"/>
  <c r="CT53" i="11" l="1"/>
  <c r="CT130" i="11"/>
  <c r="DV21" i="11"/>
  <c r="AD68" i="17"/>
  <c r="AD66" i="17" s="1"/>
  <c r="BL10" i="18"/>
  <c r="BL9" i="18" s="1"/>
  <c r="BL36" i="18" s="1"/>
  <c r="CU53" i="6" l="1"/>
  <c r="CT131" i="11"/>
  <c r="CT94" i="5"/>
  <c r="CT54" i="11"/>
  <c r="DV23" i="11"/>
  <c r="BM10" i="18"/>
  <c r="BM9" i="18" s="1"/>
  <c r="BM36" i="18" s="1"/>
  <c r="CT92" i="5" l="1"/>
  <c r="CU51" i="11"/>
  <c r="CS27" i="15"/>
  <c r="CT47" i="5"/>
  <c r="CT132" i="11"/>
  <c r="CU129" i="11" s="1"/>
  <c r="DV73" i="5"/>
  <c r="DV71" i="5" s="1"/>
  <c r="DV24" i="11"/>
  <c r="BT10" i="18"/>
  <c r="BT9" i="18" s="1"/>
  <c r="BT36" i="18" s="1"/>
  <c r="CU53" i="11" l="1"/>
  <c r="CU130" i="11"/>
  <c r="CU131" i="11" s="1"/>
  <c r="CU47" i="5" s="1"/>
  <c r="DW21" i="11"/>
  <c r="BW10" i="18"/>
  <c r="BW9" i="18" s="1"/>
  <c r="BW36" i="18" s="1"/>
  <c r="CV53" i="6" l="1"/>
  <c r="CU132" i="11"/>
  <c r="CV129" i="11" s="1"/>
  <c r="CU94" i="5"/>
  <c r="CU54" i="11"/>
  <c r="DW23" i="11"/>
  <c r="DW73" i="5" s="1"/>
  <c r="DW71" i="5" s="1"/>
  <c r="BX10" i="18"/>
  <c r="BX9" i="18" s="1"/>
  <c r="BX36" i="18" s="1"/>
  <c r="CU92" i="5" l="1"/>
  <c r="CV51" i="11"/>
  <c r="CT27" i="15"/>
  <c r="DW24" i="11"/>
  <c r="CC10" i="18"/>
  <c r="CC9" i="18" s="1"/>
  <c r="CC36" i="18" s="1"/>
  <c r="CV130" i="11" l="1"/>
  <c r="CV53" i="11"/>
  <c r="DX21" i="11"/>
  <c r="CV10" i="18"/>
  <c r="CV9" i="18" s="1"/>
  <c r="CV36" i="18" s="1"/>
  <c r="CV131" i="11" l="1"/>
  <c r="CW53" i="6"/>
  <c r="CV94" i="5"/>
  <c r="CV54" i="11"/>
  <c r="DX23" i="11"/>
  <c r="DX73" i="5" s="1"/>
  <c r="DX71" i="5" s="1"/>
  <c r="CW10" i="18"/>
  <c r="CW9" i="18" s="1"/>
  <c r="CW36" i="18" s="1"/>
  <c r="CV92" i="5" l="1"/>
  <c r="CU27" i="15"/>
  <c r="CW51" i="11"/>
  <c r="CV47" i="5"/>
  <c r="CV132" i="11"/>
  <c r="CW129" i="11" s="1"/>
  <c r="DX24" i="11"/>
  <c r="CX10" i="18"/>
  <c r="CX9" i="18" s="1"/>
  <c r="CX36" i="18" s="1"/>
  <c r="CW53" i="11" l="1"/>
  <c r="CW130" i="11"/>
  <c r="DY21" i="11"/>
  <c r="CY10" i="18"/>
  <c r="CY9" i="18" s="1"/>
  <c r="CY36" i="18" s="1"/>
  <c r="DA10" i="18"/>
  <c r="DA9" i="18" s="1"/>
  <c r="DA36" i="18" s="1"/>
  <c r="CW94" i="5" l="1"/>
  <c r="CW92" i="5" s="1"/>
  <c r="CW54" i="11"/>
  <c r="CX53" i="6"/>
  <c r="CW131" i="11"/>
  <c r="DY23" i="11"/>
  <c r="DY73" i="5" s="1"/>
  <c r="DY71" i="5" s="1"/>
  <c r="CZ10" i="18"/>
  <c r="CZ9" i="18" s="1"/>
  <c r="CZ36" i="18" s="1"/>
  <c r="CX51" i="11" l="1"/>
  <c r="CV27" i="15"/>
  <c r="CW47" i="5"/>
  <c r="CW132" i="11"/>
  <c r="CX129" i="11" s="1"/>
  <c r="DY24" i="11"/>
  <c r="DZ21" i="11" s="1"/>
  <c r="DB10" i="18"/>
  <c r="DB9" i="18" s="1"/>
  <c r="DB36" i="18" s="1"/>
  <c r="CX53" i="11" l="1"/>
  <c r="CX130" i="11"/>
  <c r="DZ23" i="11"/>
  <c r="DZ73" i="5" s="1"/>
  <c r="DZ71" i="5" s="1"/>
  <c r="AE68" i="17"/>
  <c r="AE66" i="17" s="1"/>
  <c r="DC10" i="18"/>
  <c r="DC9" i="18" s="1"/>
  <c r="DC36" i="18" s="1"/>
  <c r="CX94" i="5" l="1"/>
  <c r="CX92" i="5" s="1"/>
  <c r="CX54" i="11"/>
  <c r="CY53" i="6"/>
  <c r="CX131" i="11"/>
  <c r="DZ24" i="11"/>
  <c r="DD10" i="18"/>
  <c r="DD9" i="18" s="1"/>
  <c r="DD36" i="18" s="1"/>
  <c r="CW27" i="15" l="1"/>
  <c r="Y22" i="18" s="1"/>
  <c r="K218" i="32" s="1"/>
  <c r="CY51" i="11"/>
  <c r="CX132" i="11"/>
  <c r="CY129" i="11" s="1"/>
  <c r="CX47" i="5"/>
  <c r="EA21" i="11"/>
  <c r="DE10" i="18"/>
  <c r="DE9" i="18" s="1"/>
  <c r="DE36" i="18" s="1"/>
  <c r="DF10" i="18"/>
  <c r="DF9" i="18" s="1"/>
  <c r="DF36" i="18" s="1"/>
  <c r="CY130" i="11" l="1"/>
  <c r="CY53" i="11"/>
  <c r="EA23" i="11"/>
  <c r="EA73" i="5" s="1"/>
  <c r="EA71" i="5" s="1"/>
  <c r="DG10" i="18"/>
  <c r="DG9" i="18" s="1"/>
  <c r="DG36" i="18" s="1"/>
  <c r="CZ53" i="6" l="1"/>
  <c r="CY131" i="11"/>
  <c r="CY94" i="5"/>
  <c r="CY54" i="11"/>
  <c r="EA24" i="11"/>
  <c r="DL10" i="18"/>
  <c r="DL9" i="18" s="1"/>
  <c r="DL36" i="18" s="1"/>
  <c r="CY47" i="5" l="1"/>
  <c r="CY132" i="11"/>
  <c r="CZ129" i="11" s="1"/>
  <c r="CY92" i="5"/>
  <c r="CZ51" i="11"/>
  <c r="CX27" i="15"/>
  <c r="EB21" i="11"/>
  <c r="DR10" i="18"/>
  <c r="DR9" i="18" s="1"/>
  <c r="DR36" i="18" s="1"/>
  <c r="CZ130" i="11" l="1"/>
  <c r="CZ53" i="11"/>
  <c r="EB23" i="11"/>
  <c r="EB73" i="5" s="1"/>
  <c r="EB71" i="5" s="1"/>
  <c r="DU10" i="18"/>
  <c r="DU9" i="18" s="1"/>
  <c r="DU36" i="18" s="1"/>
  <c r="DT10" i="18"/>
  <c r="DT9" i="18" s="1"/>
  <c r="DT36" i="18" s="1"/>
  <c r="DS10" i="18"/>
  <c r="DS9" i="18" s="1"/>
  <c r="DS36" i="18" s="1"/>
  <c r="DQ10" i="18"/>
  <c r="DQ9" i="18" s="1"/>
  <c r="DQ36" i="18" s="1"/>
  <c r="DP10" i="18"/>
  <c r="DP9" i="18" s="1"/>
  <c r="DP36" i="18" s="1"/>
  <c r="DO10" i="18"/>
  <c r="DO9" i="18" s="1"/>
  <c r="DO36" i="18" s="1"/>
  <c r="DN10" i="18"/>
  <c r="DN9" i="18" s="1"/>
  <c r="DN36" i="18" s="1"/>
  <c r="DM10" i="18"/>
  <c r="DM9" i="18" s="1"/>
  <c r="DM36" i="18" s="1"/>
  <c r="DK10" i="18"/>
  <c r="DK9" i="18" s="1"/>
  <c r="DK36" i="18" s="1"/>
  <c r="DJ10" i="18"/>
  <c r="DJ9" i="18" s="1"/>
  <c r="DJ36" i="18" s="1"/>
  <c r="DI10" i="18"/>
  <c r="DI9" i="18" s="1"/>
  <c r="DI36" i="18" s="1"/>
  <c r="DH10" i="18"/>
  <c r="DH9" i="18" s="1"/>
  <c r="DH36" i="18" s="1"/>
  <c r="CU10" i="18"/>
  <c r="CU9" i="18" s="1"/>
  <c r="CU36" i="18" s="1"/>
  <c r="CT10" i="18"/>
  <c r="CT9" i="18" s="1"/>
  <c r="CT36" i="18" s="1"/>
  <c r="CS10" i="18"/>
  <c r="CS9" i="18" s="1"/>
  <c r="CS36" i="18" s="1"/>
  <c r="CR10" i="18"/>
  <c r="CR9" i="18" s="1"/>
  <c r="CR36" i="18" s="1"/>
  <c r="CQ10" i="18"/>
  <c r="CQ9" i="18" s="1"/>
  <c r="CQ36" i="18" s="1"/>
  <c r="CP10" i="18"/>
  <c r="CP9" i="18" s="1"/>
  <c r="CP36" i="18" s="1"/>
  <c r="CO10" i="18"/>
  <c r="CO9" i="18" s="1"/>
  <c r="CO36" i="18" s="1"/>
  <c r="CN10" i="18"/>
  <c r="CN9" i="18" s="1"/>
  <c r="CN36" i="18" s="1"/>
  <c r="CM10" i="18"/>
  <c r="CM9" i="18" s="1"/>
  <c r="CM36" i="18" s="1"/>
  <c r="CL10" i="18"/>
  <c r="CL9" i="18" s="1"/>
  <c r="CL36" i="18" s="1"/>
  <c r="CK10" i="18"/>
  <c r="CK9" i="18" s="1"/>
  <c r="CK36" i="18" s="1"/>
  <c r="CJ10" i="18"/>
  <c r="CJ9" i="18" s="1"/>
  <c r="CJ36" i="18" s="1"/>
  <c r="CI10" i="18"/>
  <c r="CI9" i="18" s="1"/>
  <c r="CI36" i="18" s="1"/>
  <c r="CH10" i="18"/>
  <c r="CH9" i="18" s="1"/>
  <c r="CH36" i="18" s="1"/>
  <c r="CG10" i="18"/>
  <c r="CG9" i="18" s="1"/>
  <c r="CG36" i="18" s="1"/>
  <c r="CF10" i="18"/>
  <c r="CF9" i="18" s="1"/>
  <c r="CF36" i="18" s="1"/>
  <c r="CE10" i="18"/>
  <c r="CE9" i="18" s="1"/>
  <c r="CE36" i="18" s="1"/>
  <c r="CD10" i="18"/>
  <c r="CD9" i="18" s="1"/>
  <c r="CD36" i="18" s="1"/>
  <c r="CB10" i="18"/>
  <c r="CB9" i="18" s="1"/>
  <c r="CB36" i="18" s="1"/>
  <c r="CA10" i="18"/>
  <c r="CA9" i="18" s="1"/>
  <c r="CA36" i="18" s="1"/>
  <c r="BZ10" i="18"/>
  <c r="BZ9" i="18" s="1"/>
  <c r="BZ36" i="18" s="1"/>
  <c r="BY10" i="18"/>
  <c r="BY9" i="18" s="1"/>
  <c r="BY36" i="18" s="1"/>
  <c r="BV10" i="18"/>
  <c r="BV9" i="18" s="1"/>
  <c r="BV36" i="18" s="1"/>
  <c r="BU10" i="18"/>
  <c r="BU9" i="18" s="1"/>
  <c r="BU36" i="18" s="1"/>
  <c r="BS10" i="18"/>
  <c r="BS9" i="18" s="1"/>
  <c r="BS36" i="18" s="1"/>
  <c r="BR10" i="18"/>
  <c r="BR9" i="18" s="1"/>
  <c r="BR36" i="18" s="1"/>
  <c r="BQ10" i="18"/>
  <c r="BQ9" i="18" s="1"/>
  <c r="BQ36" i="18" s="1"/>
  <c r="BP10" i="18"/>
  <c r="BP9" i="18" s="1"/>
  <c r="BP36" i="18" s="1"/>
  <c r="BO10" i="18"/>
  <c r="BO9" i="18" s="1"/>
  <c r="BO36" i="18" s="1"/>
  <c r="BN10" i="18"/>
  <c r="BN9" i="18" s="1"/>
  <c r="BN36" i="18" s="1"/>
  <c r="BI10" i="18"/>
  <c r="BI9" i="18" s="1"/>
  <c r="BI36" i="18" s="1"/>
  <c r="BH10" i="18"/>
  <c r="BH9" i="18" s="1"/>
  <c r="BH36" i="18" s="1"/>
  <c r="BG10" i="18"/>
  <c r="BG9" i="18" s="1"/>
  <c r="BG36" i="18" s="1"/>
  <c r="BE10" i="18"/>
  <c r="BE9" i="18" s="1"/>
  <c r="BE36" i="18" s="1"/>
  <c r="BD10" i="18"/>
  <c r="BD9" i="18" s="1"/>
  <c r="BD36" i="18" s="1"/>
  <c r="BC10" i="18"/>
  <c r="BC9" i="18" s="1"/>
  <c r="BC36" i="18" s="1"/>
  <c r="AY10" i="18"/>
  <c r="AY9" i="18" s="1"/>
  <c r="AY36" i="18" s="1"/>
  <c r="AX10" i="18"/>
  <c r="AX9" i="18" s="1"/>
  <c r="AX36" i="18" s="1"/>
  <c r="AW10" i="18"/>
  <c r="AW9" i="18" s="1"/>
  <c r="AW36" i="18" s="1"/>
  <c r="AV10" i="18"/>
  <c r="AV9" i="18" s="1"/>
  <c r="AV36" i="18" s="1"/>
  <c r="AU10" i="18"/>
  <c r="AU9" i="18" s="1"/>
  <c r="AU36" i="18" s="1"/>
  <c r="AT10" i="18"/>
  <c r="AT9" i="18" s="1"/>
  <c r="AT36" i="18" s="1"/>
  <c r="AS10" i="18"/>
  <c r="AS9" i="18" s="1"/>
  <c r="AS36" i="18" s="1"/>
  <c r="AR10" i="18"/>
  <c r="AR9" i="18" s="1"/>
  <c r="AR36" i="18" s="1"/>
  <c r="AQ10" i="18"/>
  <c r="AQ9" i="18" s="1"/>
  <c r="AQ36" i="18" s="1"/>
  <c r="AP10" i="18"/>
  <c r="AP9" i="18" s="1"/>
  <c r="AP36" i="18" s="1"/>
  <c r="AO10" i="18"/>
  <c r="AO9" i="18" s="1"/>
  <c r="AO36" i="18" s="1"/>
  <c r="AN10" i="18"/>
  <c r="AN9" i="18" s="1"/>
  <c r="AN36" i="18" s="1"/>
  <c r="AM10" i="18"/>
  <c r="AM9" i="18" s="1"/>
  <c r="AM36" i="18" s="1"/>
  <c r="AL10" i="18"/>
  <c r="AL9" i="18" s="1"/>
  <c r="AL36" i="18" s="1"/>
  <c r="AK10" i="18"/>
  <c r="AK9" i="18" s="1"/>
  <c r="AK36" i="18" s="1"/>
  <c r="AJ10" i="18"/>
  <c r="AJ9" i="18" s="1"/>
  <c r="AJ36" i="18" s="1"/>
  <c r="AH10" i="18"/>
  <c r="AH9" i="18" s="1"/>
  <c r="AH36" i="18" s="1"/>
  <c r="CZ131" i="11" l="1"/>
  <c r="DA53" i="6"/>
  <c r="CZ94" i="5"/>
  <c r="CZ54" i="11"/>
  <c r="EB24" i="11"/>
  <c r="EC21" i="11" s="1"/>
  <c r="K65" i="6"/>
  <c r="CZ92" i="5" l="1"/>
  <c r="DA51" i="11"/>
  <c r="CY27" i="15"/>
  <c r="CZ47" i="5"/>
  <c r="CZ132" i="11"/>
  <c r="DA129" i="11" s="1"/>
  <c r="EC23" i="11"/>
  <c r="EC73" i="5" s="1"/>
  <c r="K83" i="16"/>
  <c r="DP90" i="17"/>
  <c r="DP62" i="17" s="1"/>
  <c r="DA130" i="11" l="1"/>
  <c r="DA53" i="11"/>
  <c r="I112" i="5"/>
  <c r="EC71" i="5"/>
  <c r="EC24" i="11"/>
  <c r="DP115" i="17"/>
  <c r="K108" i="1"/>
  <c r="I286" i="11"/>
  <c r="DP118" i="17"/>
  <c r="DP119" i="17"/>
  <c r="J35" i="2"/>
  <c r="DB53" i="6" l="1"/>
  <c r="DA131" i="11"/>
  <c r="DA94" i="5"/>
  <c r="DA54" i="11"/>
  <c r="ED21" i="11"/>
  <c r="T35" i="2"/>
  <c r="U35" i="2"/>
  <c r="V35" i="2"/>
  <c r="W35" i="2"/>
  <c r="X35" i="2"/>
  <c r="Y35" i="2"/>
  <c r="Z35" i="2"/>
  <c r="AA35" i="2"/>
  <c r="AB35" i="2"/>
  <c r="AC35" i="2"/>
  <c r="AD35" i="2"/>
  <c r="AE35" i="2"/>
  <c r="AF35" i="2"/>
  <c r="AG35" i="2"/>
  <c r="AH35" i="2"/>
  <c r="AI35" i="2"/>
  <c r="AJ35" i="2"/>
  <c r="AK35" i="2"/>
  <c r="AL35" i="2"/>
  <c r="AM35" i="2"/>
  <c r="AN35" i="2"/>
  <c r="AO35" i="2"/>
  <c r="AP35" i="2"/>
  <c r="AQ35" i="2"/>
  <c r="AR35" i="2"/>
  <c r="AS35" i="2"/>
  <c r="AT35" i="2"/>
  <c r="AU35" i="2"/>
  <c r="AV35" i="2"/>
  <c r="AW35" i="2"/>
  <c r="AX35" i="2"/>
  <c r="AY35" i="2"/>
  <c r="AZ35" i="2"/>
  <c r="BA35" i="2"/>
  <c r="BB35" i="2"/>
  <c r="BC35" i="2"/>
  <c r="BD35" i="2"/>
  <c r="BE35" i="2"/>
  <c r="BF35" i="2"/>
  <c r="BG35" i="2"/>
  <c r="BH35" i="2"/>
  <c r="BI35" i="2"/>
  <c r="BJ35" i="2"/>
  <c r="BK35" i="2"/>
  <c r="BL35" i="2"/>
  <c r="BM35" i="2"/>
  <c r="BN35" i="2"/>
  <c r="BO35" i="2"/>
  <c r="BP35" i="2"/>
  <c r="BQ35" i="2"/>
  <c r="BR35" i="2"/>
  <c r="BS35" i="2"/>
  <c r="BT35" i="2"/>
  <c r="BU35" i="2"/>
  <c r="BV35" i="2"/>
  <c r="BW35" i="2"/>
  <c r="BX35" i="2"/>
  <c r="BY35" i="2"/>
  <c r="BZ35" i="2"/>
  <c r="CA35" i="2"/>
  <c r="CB35" i="2"/>
  <c r="CC35" i="2"/>
  <c r="CD35" i="2"/>
  <c r="CE35" i="2"/>
  <c r="CF35" i="2"/>
  <c r="CG35" i="2"/>
  <c r="CH35" i="2"/>
  <c r="CI35" i="2"/>
  <c r="CJ35" i="2"/>
  <c r="CK35" i="2"/>
  <c r="CL35" i="2"/>
  <c r="CM35" i="2"/>
  <c r="CN35" i="2"/>
  <c r="CO35" i="2"/>
  <c r="CP35" i="2"/>
  <c r="CQ35" i="2"/>
  <c r="CR35" i="2"/>
  <c r="CS35" i="2"/>
  <c r="CT35" i="2"/>
  <c r="CU35" i="2"/>
  <c r="CV35" i="2"/>
  <c r="CW35" i="2"/>
  <c r="CX35" i="2"/>
  <c r="CY35" i="2"/>
  <c r="CZ35" i="2"/>
  <c r="DA35" i="2"/>
  <c r="DB35" i="2"/>
  <c r="DC35" i="2"/>
  <c r="DD35" i="2"/>
  <c r="DE35" i="2"/>
  <c r="DF35" i="2"/>
  <c r="DG35" i="2"/>
  <c r="DH35" i="2"/>
  <c r="DI35" i="2"/>
  <c r="DJ35" i="2"/>
  <c r="DK35" i="2"/>
  <c r="DL35" i="2"/>
  <c r="DM35" i="2"/>
  <c r="DN35" i="2"/>
  <c r="DO35" i="2"/>
  <c r="DP35" i="2"/>
  <c r="DQ35" i="2"/>
  <c r="DR35" i="2"/>
  <c r="DS35" i="2"/>
  <c r="DT35" i="2"/>
  <c r="DU35" i="2"/>
  <c r="DV35" i="2"/>
  <c r="DW35" i="2"/>
  <c r="DX35" i="2"/>
  <c r="DY35" i="2"/>
  <c r="DZ35" i="2"/>
  <c r="EA35" i="2"/>
  <c r="EB35" i="2"/>
  <c r="EC35" i="2"/>
  <c r="ED35" i="2"/>
  <c r="EE35" i="2"/>
  <c r="EF35" i="2"/>
  <c r="EG35" i="2"/>
  <c r="EH35" i="2"/>
  <c r="EI35" i="2"/>
  <c r="EJ35" i="2"/>
  <c r="EK35" i="2"/>
  <c r="EL35" i="2"/>
  <c r="EM35" i="2"/>
  <c r="EN35" i="2"/>
  <c r="EO35" i="2"/>
  <c r="EP35" i="2"/>
  <c r="EQ35" i="2"/>
  <c r="ER35" i="2"/>
  <c r="Q35" i="2"/>
  <c r="R35" i="2"/>
  <c r="N35" i="2"/>
  <c r="O35" i="2"/>
  <c r="M35" i="2"/>
  <c r="S35" i="2"/>
  <c r="P35" i="2"/>
  <c r="P25" i="1"/>
  <c r="DA47" i="5" l="1"/>
  <c r="DA132" i="11"/>
  <c r="DB129" i="11" s="1"/>
  <c r="DA92" i="5"/>
  <c r="CZ27" i="15"/>
  <c r="DB51" i="11"/>
  <c r="I93" i="11"/>
  <c r="T22" i="1"/>
  <c r="N156" i="5" s="1"/>
  <c r="Q45" i="1"/>
  <c r="ED23" i="11"/>
  <c r="ED73" i="5" s="1"/>
  <c r="K35" i="2"/>
  <c r="DB130" i="11" l="1"/>
  <c r="DB53" i="11"/>
  <c r="ED71" i="5"/>
  <c r="I42" i="11"/>
  <c r="U36" i="1"/>
  <c r="S93" i="11"/>
  <c r="AE93" i="11"/>
  <c r="AQ93" i="11"/>
  <c r="BC93" i="11"/>
  <c r="BO93" i="11"/>
  <c r="CA93" i="11"/>
  <c r="CM93" i="11"/>
  <c r="CY93" i="11"/>
  <c r="DL93" i="11"/>
  <c r="DX93" i="11"/>
  <c r="EJ93" i="11"/>
  <c r="DQ93" i="11"/>
  <c r="BX93" i="11"/>
  <c r="DV93" i="11"/>
  <c r="T93" i="11"/>
  <c r="AF93" i="11"/>
  <c r="AR93" i="11"/>
  <c r="BD93" i="11"/>
  <c r="BP93" i="11"/>
  <c r="CB93" i="11"/>
  <c r="CN93" i="11"/>
  <c r="CZ93" i="11"/>
  <c r="DM93" i="11"/>
  <c r="DY93" i="11"/>
  <c r="EK93" i="11"/>
  <c r="EO93" i="11"/>
  <c r="EP93" i="11"/>
  <c r="AB93" i="11"/>
  <c r="CK93" i="11"/>
  <c r="U93" i="11"/>
  <c r="AG93" i="11"/>
  <c r="AS93" i="11"/>
  <c r="BE93" i="11"/>
  <c r="BQ93" i="11"/>
  <c r="CC93" i="11"/>
  <c r="CO93" i="11"/>
  <c r="DB93" i="11"/>
  <c r="DN93" i="11"/>
  <c r="DZ93" i="11"/>
  <c r="EL93" i="11"/>
  <c r="EM93" i="11"/>
  <c r="ED93" i="11"/>
  <c r="BL93" i="11"/>
  <c r="EG93" i="11"/>
  <c r="AO93" i="11"/>
  <c r="V93" i="11"/>
  <c r="AH93" i="11"/>
  <c r="AT93" i="11"/>
  <c r="BF93" i="11"/>
  <c r="BR93" i="11"/>
  <c r="CD93" i="11"/>
  <c r="CP93" i="11"/>
  <c r="DC93" i="11"/>
  <c r="DO93" i="11"/>
  <c r="EA93" i="11"/>
  <c r="EC93" i="11"/>
  <c r="BA93" i="11"/>
  <c r="DA93" i="11"/>
  <c r="W93" i="11"/>
  <c r="AI93" i="11"/>
  <c r="AU93" i="11"/>
  <c r="BG93" i="11"/>
  <c r="BS93" i="11"/>
  <c r="CE93" i="11"/>
  <c r="CQ93" i="11"/>
  <c r="DD93" i="11"/>
  <c r="DP93" i="11"/>
  <c r="EB93" i="11"/>
  <c r="EN93" i="11"/>
  <c r="DR93" i="11"/>
  <c r="P93" i="11"/>
  <c r="DJ93" i="11"/>
  <c r="L93" i="11"/>
  <c r="X93" i="11"/>
  <c r="AJ93" i="11"/>
  <c r="AV93" i="11"/>
  <c r="BH93" i="11"/>
  <c r="BT93" i="11"/>
  <c r="CF93" i="11"/>
  <c r="CR93" i="11"/>
  <c r="DE93" i="11"/>
  <c r="EQ93" i="11"/>
  <c r="EF93" i="11"/>
  <c r="CV93" i="11"/>
  <c r="BM93" i="11"/>
  <c r="M93" i="11"/>
  <c r="Y93" i="11"/>
  <c r="AK93" i="11"/>
  <c r="AW93" i="11"/>
  <c r="BI93" i="11"/>
  <c r="BU93" i="11"/>
  <c r="CG93" i="11"/>
  <c r="CS93" i="11"/>
  <c r="DF93" i="11"/>
  <c r="DH93" i="11"/>
  <c r="CJ93" i="11"/>
  <c r="AC93" i="11"/>
  <c r="N93" i="11"/>
  <c r="Z93" i="11"/>
  <c r="AL93" i="11"/>
  <c r="AX93" i="11"/>
  <c r="BJ93" i="11"/>
  <c r="BV93" i="11"/>
  <c r="CH93" i="11"/>
  <c r="CT93" i="11"/>
  <c r="DG93" i="11"/>
  <c r="DS93" i="11"/>
  <c r="AZ93" i="11"/>
  <c r="CW93" i="11"/>
  <c r="O93" i="11"/>
  <c r="AA93" i="11"/>
  <c r="AM93" i="11"/>
  <c r="AY93" i="11"/>
  <c r="BK93" i="11"/>
  <c r="BW93" i="11"/>
  <c r="CI93" i="11"/>
  <c r="CU93" i="11"/>
  <c r="DI93" i="11"/>
  <c r="BY93" i="11"/>
  <c r="R93" i="11"/>
  <c r="AD93" i="11"/>
  <c r="AP93" i="11"/>
  <c r="BB93" i="11"/>
  <c r="BN93" i="11"/>
  <c r="BZ93" i="11"/>
  <c r="CL93" i="11"/>
  <c r="CX93" i="11"/>
  <c r="DK93" i="11"/>
  <c r="DW93" i="11"/>
  <c r="EI93" i="11"/>
  <c r="EE93" i="11"/>
  <c r="DT93" i="11"/>
  <c r="AN93" i="11"/>
  <c r="DU93" i="11"/>
  <c r="Q93" i="11"/>
  <c r="EH93" i="11"/>
  <c r="I47" i="11"/>
  <c r="U37" i="1"/>
  <c r="ED24" i="11"/>
  <c r="EE21" i="11" s="1"/>
  <c r="G35" i="2"/>
  <c r="J31" i="2"/>
  <c r="DB131" i="11" l="1"/>
  <c r="DC53" i="6"/>
  <c r="DB94" i="5"/>
  <c r="DB54" i="11"/>
  <c r="DS116" i="5"/>
  <c r="DS275" i="11"/>
  <c r="DS280" i="11" s="1"/>
  <c r="AH116" i="5"/>
  <c r="AH275" i="11"/>
  <c r="AH280" i="11" s="1"/>
  <c r="BQ116" i="5"/>
  <c r="BQ275" i="11"/>
  <c r="BQ280" i="11" s="1"/>
  <c r="DT116" i="5"/>
  <c r="DT275" i="11"/>
  <c r="DT280" i="11" s="1"/>
  <c r="R116" i="5"/>
  <c r="R275" i="11"/>
  <c r="R280" i="11" s="1"/>
  <c r="AZ275" i="11"/>
  <c r="AZ280" i="11" s="1"/>
  <c r="AZ116" i="5"/>
  <c r="CJ116" i="5"/>
  <c r="CJ275" i="11"/>
  <c r="CJ280" i="11" s="1"/>
  <c r="CV116" i="5"/>
  <c r="CV275" i="11"/>
  <c r="CV280" i="11" s="1"/>
  <c r="DJ116" i="5"/>
  <c r="DJ275" i="11"/>
  <c r="DJ280" i="11" s="1"/>
  <c r="AI275" i="11"/>
  <c r="AI280" i="11" s="1"/>
  <c r="AI116" i="5"/>
  <c r="AT116" i="5"/>
  <c r="AT275" i="11"/>
  <c r="AT280" i="11" s="1"/>
  <c r="CO116" i="5"/>
  <c r="CO275" i="11"/>
  <c r="CO280" i="11" s="1"/>
  <c r="DY116" i="5"/>
  <c r="DY275" i="11"/>
  <c r="DY280" i="11" s="1"/>
  <c r="DQ116" i="5"/>
  <c r="DQ275" i="11"/>
  <c r="DQ280" i="11" s="1"/>
  <c r="BY275" i="11"/>
  <c r="BY280" i="11" s="1"/>
  <c r="BY116" i="5"/>
  <c r="EQ275" i="11"/>
  <c r="EQ280" i="11" s="1"/>
  <c r="EQ116" i="5"/>
  <c r="CZ116" i="5"/>
  <c r="CZ275" i="11"/>
  <c r="CZ280" i="11" s="1"/>
  <c r="DX275" i="11"/>
  <c r="DX280" i="11" s="1"/>
  <c r="DX116" i="5"/>
  <c r="W275" i="11"/>
  <c r="W280" i="11" s="1"/>
  <c r="W116" i="5"/>
  <c r="CU116" i="5"/>
  <c r="CU275" i="11"/>
  <c r="CU280" i="11" s="1"/>
  <c r="AO116" i="5"/>
  <c r="AO275" i="11"/>
  <c r="AO280" i="11" s="1"/>
  <c r="BE275" i="11"/>
  <c r="BE280" i="11" s="1"/>
  <c r="BE116" i="5"/>
  <c r="CN275" i="11"/>
  <c r="CN280" i="11" s="1"/>
  <c r="CN116" i="5"/>
  <c r="DL275" i="11"/>
  <c r="DL280" i="11" s="1"/>
  <c r="DL116" i="5"/>
  <c r="DH275" i="11"/>
  <c r="DH280" i="11" s="1"/>
  <c r="DH116" i="5"/>
  <c r="CY116" i="5"/>
  <c r="CY275" i="11"/>
  <c r="CY280" i="11" s="1"/>
  <c r="CC275" i="11"/>
  <c r="CC280" i="11" s="1"/>
  <c r="CC116" i="5"/>
  <c r="DG116" i="5"/>
  <c r="DG275" i="11"/>
  <c r="DG280" i="11" s="1"/>
  <c r="BA116" i="5"/>
  <c r="BA275" i="11"/>
  <c r="BA280" i="11" s="1"/>
  <c r="BU116" i="5"/>
  <c r="BU275" i="11"/>
  <c r="BU280" i="11" s="1"/>
  <c r="CF116" i="5"/>
  <c r="CF275" i="11"/>
  <c r="CF280" i="11" s="1"/>
  <c r="DP116" i="5"/>
  <c r="DP275" i="11"/>
  <c r="DP280" i="11" s="1"/>
  <c r="EA116" i="5"/>
  <c r="EA275" i="11"/>
  <c r="EA280" i="11" s="1"/>
  <c r="BL275" i="11"/>
  <c r="BL280" i="11" s="1"/>
  <c r="BL116" i="5"/>
  <c r="AG275" i="11"/>
  <c r="AG280" i="11" s="1"/>
  <c r="AG116" i="5"/>
  <c r="BP275" i="11"/>
  <c r="BP280" i="11" s="1"/>
  <c r="BP116" i="5"/>
  <c r="CM275" i="11"/>
  <c r="CM280" i="11" s="1"/>
  <c r="CM116" i="5"/>
  <c r="V275" i="11"/>
  <c r="V280" i="11" s="1"/>
  <c r="V116" i="5"/>
  <c r="CS116" i="5"/>
  <c r="CS275" i="11"/>
  <c r="CS280" i="11" s="1"/>
  <c r="CH116" i="5"/>
  <c r="CH275" i="11"/>
  <c r="CH280" i="11" s="1"/>
  <c r="EC116" i="5"/>
  <c r="EC275" i="11"/>
  <c r="EC280" i="11" s="1"/>
  <c r="CL116" i="5"/>
  <c r="CL275" i="11"/>
  <c r="CL280" i="11" s="1"/>
  <c r="DO275" i="11"/>
  <c r="DO280" i="11" s="1"/>
  <c r="DO116" i="5"/>
  <c r="U116" i="5"/>
  <c r="U275" i="11"/>
  <c r="U280" i="11" s="1"/>
  <c r="BD116" i="5"/>
  <c r="BD275" i="11"/>
  <c r="BD280" i="11" s="1"/>
  <c r="CA116" i="5"/>
  <c r="CA275" i="11"/>
  <c r="CA280" i="11" s="1"/>
  <c r="EE275" i="11"/>
  <c r="EE280" i="11" s="1"/>
  <c r="EE116" i="5"/>
  <c r="EJ275" i="11"/>
  <c r="EJ280" i="11" s="1"/>
  <c r="EJ116" i="5"/>
  <c r="CT116" i="5"/>
  <c r="CT275" i="11"/>
  <c r="CT280" i="11" s="1"/>
  <c r="CG275" i="11"/>
  <c r="CG280" i="11" s="1"/>
  <c r="CG116" i="5"/>
  <c r="CB275" i="11"/>
  <c r="CB280" i="11" s="1"/>
  <c r="CB116" i="5"/>
  <c r="BW116" i="5"/>
  <c r="BW275" i="11"/>
  <c r="BW280" i="11" s="1"/>
  <c r="BJ116" i="5"/>
  <c r="BJ275" i="11"/>
  <c r="BJ280" i="11" s="1"/>
  <c r="BT275" i="11"/>
  <c r="BT280" i="11" s="1"/>
  <c r="BT116" i="5"/>
  <c r="AX116" i="5"/>
  <c r="AX275" i="11"/>
  <c r="AX280" i="11" s="1"/>
  <c r="BH275" i="11"/>
  <c r="BH280" i="11" s="1"/>
  <c r="BH116" i="5"/>
  <c r="CQ116" i="5"/>
  <c r="CQ275" i="11"/>
  <c r="CQ280" i="11" s="1"/>
  <c r="DC116" i="5"/>
  <c r="DC275" i="11"/>
  <c r="DC280" i="11" s="1"/>
  <c r="EM275" i="11"/>
  <c r="EM280" i="11" s="1"/>
  <c r="EM116" i="5"/>
  <c r="CK275" i="11"/>
  <c r="CK280" i="11" s="1"/>
  <c r="CK116" i="5"/>
  <c r="AR275" i="11"/>
  <c r="AR280" i="11" s="1"/>
  <c r="AR116" i="5"/>
  <c r="BO116" i="5"/>
  <c r="BO275" i="11"/>
  <c r="BO280" i="11" s="1"/>
  <c r="EF116" i="5"/>
  <c r="EF275" i="11"/>
  <c r="EF280" i="11" s="1"/>
  <c r="DI116" i="5"/>
  <c r="DI275" i="11"/>
  <c r="DI280" i="11" s="1"/>
  <c r="DA116" i="5"/>
  <c r="DA275" i="11"/>
  <c r="DA280" i="11" s="1"/>
  <c r="EN116" i="5"/>
  <c r="EN275" i="11"/>
  <c r="EN280" i="11" s="1"/>
  <c r="DK116" i="5"/>
  <c r="DK275" i="11"/>
  <c r="DK280" i="11" s="1"/>
  <c r="CR275" i="11"/>
  <c r="CR280" i="11" s="1"/>
  <c r="CR116" i="5"/>
  <c r="AS116" i="5"/>
  <c r="AS275" i="11"/>
  <c r="AS280" i="11" s="1"/>
  <c r="CX116" i="5"/>
  <c r="CX275" i="11"/>
  <c r="CX280" i="11" s="1"/>
  <c r="BI116" i="5"/>
  <c r="BI275" i="11"/>
  <c r="BI280" i="11" s="1"/>
  <c r="ED116" i="5"/>
  <c r="ED275" i="11"/>
  <c r="ED280" i="11" s="1"/>
  <c r="BZ116" i="5"/>
  <c r="BZ275" i="11"/>
  <c r="BZ280" i="11" s="1"/>
  <c r="AM116" i="5"/>
  <c r="AM275" i="11"/>
  <c r="AM280" i="11" s="1"/>
  <c r="AK116" i="5"/>
  <c r="AK275" i="11"/>
  <c r="AK280" i="11" s="1"/>
  <c r="AV116" i="5"/>
  <c r="AV275" i="11"/>
  <c r="AV280" i="11" s="1"/>
  <c r="CE116" i="5"/>
  <c r="CE275" i="11"/>
  <c r="CE280" i="11" s="1"/>
  <c r="CP116" i="5"/>
  <c r="CP275" i="11"/>
  <c r="CP280" i="11" s="1"/>
  <c r="EL275" i="11"/>
  <c r="EL280" i="11" s="1"/>
  <c r="EL116" i="5"/>
  <c r="AB116" i="5"/>
  <c r="AB275" i="11"/>
  <c r="AB280" i="11" s="1"/>
  <c r="AF116" i="5"/>
  <c r="AF275" i="11"/>
  <c r="AF280" i="11" s="1"/>
  <c r="BC116" i="5"/>
  <c r="BC275" i="11"/>
  <c r="BC280" i="11" s="1"/>
  <c r="AA275" i="11"/>
  <c r="AA280" i="11" s="1"/>
  <c r="AA116" i="5"/>
  <c r="Z275" i="11"/>
  <c r="Z280" i="11" s="1"/>
  <c r="Z116" i="5"/>
  <c r="Y275" i="11"/>
  <c r="Y280" i="11" s="1"/>
  <c r="Y116" i="5"/>
  <c r="AJ116" i="5"/>
  <c r="AJ275" i="11"/>
  <c r="AJ280" i="11" s="1"/>
  <c r="BS116" i="5"/>
  <c r="BS275" i="11"/>
  <c r="BS280" i="11" s="1"/>
  <c r="CD116" i="5"/>
  <c r="CD275" i="11"/>
  <c r="CD280" i="11" s="1"/>
  <c r="DZ275" i="11"/>
  <c r="DZ280" i="11" s="1"/>
  <c r="DZ116" i="5"/>
  <c r="EP116" i="5"/>
  <c r="EP275" i="11"/>
  <c r="EP280" i="11" s="1"/>
  <c r="T116" i="5"/>
  <c r="T275" i="11"/>
  <c r="T280" i="11" s="1"/>
  <c r="AQ116" i="5"/>
  <c r="AQ275" i="11"/>
  <c r="AQ280" i="11" s="1"/>
  <c r="P116" i="5"/>
  <c r="P275" i="11"/>
  <c r="P280" i="11" s="1"/>
  <c r="EI116" i="5"/>
  <c r="EI275" i="11"/>
  <c r="EI280" i="11" s="1"/>
  <c r="DR116" i="5"/>
  <c r="DR275" i="11"/>
  <c r="DR280" i="11" s="1"/>
  <c r="DE116" i="5"/>
  <c r="DE275" i="11"/>
  <c r="DE280" i="11" s="1"/>
  <c r="CI275" i="11"/>
  <c r="CI280" i="11" s="1"/>
  <c r="CI116" i="5"/>
  <c r="EB275" i="11"/>
  <c r="EB280" i="11" s="1"/>
  <c r="EB116" i="5"/>
  <c r="EG275" i="11"/>
  <c r="EG280" i="11" s="1"/>
  <c r="EG116" i="5"/>
  <c r="BV275" i="11"/>
  <c r="BV280" i="11" s="1"/>
  <c r="BV116" i="5"/>
  <c r="BK116" i="5"/>
  <c r="BK275" i="11"/>
  <c r="BK280" i="11" s="1"/>
  <c r="DD275" i="11"/>
  <c r="DD280" i="11" s="1"/>
  <c r="DD116" i="5"/>
  <c r="AW275" i="11"/>
  <c r="AW280" i="11" s="1"/>
  <c r="AW116" i="5"/>
  <c r="AL116" i="5"/>
  <c r="AL275" i="11"/>
  <c r="AL280" i="11" s="1"/>
  <c r="Q275" i="11"/>
  <c r="Q280" i="11" s="1"/>
  <c r="Q116" i="5"/>
  <c r="DU116" i="5"/>
  <c r="DU275" i="11"/>
  <c r="DU280" i="11" s="1"/>
  <c r="AP275" i="11"/>
  <c r="AP280" i="11" s="1"/>
  <c r="AP116" i="5"/>
  <c r="O116" i="5"/>
  <c r="O275" i="11"/>
  <c r="O280" i="11" s="1"/>
  <c r="N116" i="5"/>
  <c r="N275" i="11"/>
  <c r="N280" i="11" s="1"/>
  <c r="M116" i="5"/>
  <c r="M275" i="11"/>
  <c r="M280" i="11" s="1"/>
  <c r="X116" i="5"/>
  <c r="X275" i="11"/>
  <c r="X280" i="11" s="1"/>
  <c r="BG116" i="5"/>
  <c r="BG275" i="11"/>
  <c r="BG280" i="11" s="1"/>
  <c r="BR116" i="5"/>
  <c r="BR275" i="11"/>
  <c r="BR280" i="11" s="1"/>
  <c r="DN275" i="11"/>
  <c r="DN280" i="11" s="1"/>
  <c r="DN116" i="5"/>
  <c r="EO275" i="11"/>
  <c r="EO280" i="11" s="1"/>
  <c r="EO116" i="5"/>
  <c r="DV275" i="11"/>
  <c r="DV280" i="11" s="1"/>
  <c r="DV116" i="5"/>
  <c r="AE275" i="11"/>
  <c r="AE280" i="11" s="1"/>
  <c r="AE116" i="5"/>
  <c r="DM116" i="5"/>
  <c r="DM275" i="11"/>
  <c r="DM280" i="11" s="1"/>
  <c r="DF275" i="11"/>
  <c r="DF280" i="11" s="1"/>
  <c r="DF116" i="5"/>
  <c r="DW116" i="5"/>
  <c r="DW275" i="11"/>
  <c r="DW280" i="11" s="1"/>
  <c r="AY116" i="5"/>
  <c r="AY275" i="11"/>
  <c r="AY280" i="11" s="1"/>
  <c r="EH116" i="5"/>
  <c r="EH275" i="11"/>
  <c r="EH280" i="11" s="1"/>
  <c r="BN275" i="11"/>
  <c r="BN280" i="11" s="1"/>
  <c r="BN116" i="5"/>
  <c r="BB116" i="5"/>
  <c r="BB275" i="11"/>
  <c r="BB280" i="11" s="1"/>
  <c r="AN275" i="11"/>
  <c r="AN280" i="11" s="1"/>
  <c r="AN116" i="5"/>
  <c r="AD116" i="5"/>
  <c r="AD275" i="11"/>
  <c r="AD280" i="11" s="1"/>
  <c r="CW116" i="5"/>
  <c r="CW275" i="11"/>
  <c r="CW280" i="11" s="1"/>
  <c r="AC116" i="5"/>
  <c r="AC275" i="11"/>
  <c r="AC280" i="11" s="1"/>
  <c r="BM275" i="11"/>
  <c r="BM280" i="11" s="1"/>
  <c r="BM116" i="5"/>
  <c r="L116" i="5"/>
  <c r="J93" i="11"/>
  <c r="L94" i="11"/>
  <c r="L275" i="11"/>
  <c r="AU116" i="5"/>
  <c r="AU275" i="11"/>
  <c r="AU280" i="11" s="1"/>
  <c r="BF116" i="5"/>
  <c r="BF275" i="11"/>
  <c r="BF280" i="11" s="1"/>
  <c r="DB275" i="11"/>
  <c r="DB280" i="11" s="1"/>
  <c r="DB116" i="5"/>
  <c r="EK116" i="5"/>
  <c r="EK275" i="11"/>
  <c r="EK280" i="11" s="1"/>
  <c r="BX116" i="5"/>
  <c r="BX275" i="11"/>
  <c r="BX280" i="11" s="1"/>
  <c r="S116" i="5"/>
  <c r="S275" i="11"/>
  <c r="S280" i="11" s="1"/>
  <c r="N47" i="11"/>
  <c r="N87" i="5" s="1"/>
  <c r="L47" i="11"/>
  <c r="M47" i="11"/>
  <c r="M87" i="5" s="1"/>
  <c r="O47" i="11"/>
  <c r="O87" i="5" s="1"/>
  <c r="P47" i="11"/>
  <c r="P87" i="5" s="1"/>
  <c r="Q47" i="11"/>
  <c r="Q87" i="5" s="1"/>
  <c r="R47" i="11"/>
  <c r="R87" i="5" s="1"/>
  <c r="S47" i="11"/>
  <c r="S87" i="5" s="1"/>
  <c r="T47" i="11"/>
  <c r="T87" i="5" s="1"/>
  <c r="U47" i="11"/>
  <c r="U87" i="5" s="1"/>
  <c r="V47" i="11"/>
  <c r="V87" i="5" s="1"/>
  <c r="W47" i="11"/>
  <c r="W87" i="5" s="1"/>
  <c r="X47" i="11"/>
  <c r="X87" i="5" s="1"/>
  <c r="Y47" i="11"/>
  <c r="Y87" i="5" s="1"/>
  <c r="Z47" i="11"/>
  <c r="Z87" i="5" s="1"/>
  <c r="AA47" i="11"/>
  <c r="AA87" i="5" s="1"/>
  <c r="AB47" i="11"/>
  <c r="AB87" i="5" s="1"/>
  <c r="AC47" i="11"/>
  <c r="AC87" i="5" s="1"/>
  <c r="AD47" i="11"/>
  <c r="AD87" i="5" s="1"/>
  <c r="AE47" i="11"/>
  <c r="AE87" i="5" s="1"/>
  <c r="AF47" i="11"/>
  <c r="AF87" i="5" s="1"/>
  <c r="AG47" i="11"/>
  <c r="AG87" i="5" s="1"/>
  <c r="AH47" i="11"/>
  <c r="AH87" i="5" s="1"/>
  <c r="AI47" i="11"/>
  <c r="AI87" i="5" s="1"/>
  <c r="AJ47" i="11"/>
  <c r="AJ87" i="5" s="1"/>
  <c r="AK47" i="11"/>
  <c r="AK87" i="5" s="1"/>
  <c r="AL47" i="11"/>
  <c r="AL87" i="5" s="1"/>
  <c r="AM47" i="11"/>
  <c r="AM87" i="5" s="1"/>
  <c r="AN47" i="11"/>
  <c r="AN87" i="5" s="1"/>
  <c r="AO47" i="11"/>
  <c r="AO87" i="5" s="1"/>
  <c r="AP47" i="11"/>
  <c r="AP87" i="5" s="1"/>
  <c r="AQ47" i="11"/>
  <c r="AQ87" i="5" s="1"/>
  <c r="AR47" i="11"/>
  <c r="AR87" i="5" s="1"/>
  <c r="AS47" i="11"/>
  <c r="AS87" i="5" s="1"/>
  <c r="AT47" i="11"/>
  <c r="AT87" i="5" s="1"/>
  <c r="AU47" i="11"/>
  <c r="AU87" i="5" s="1"/>
  <c r="AV47" i="11"/>
  <c r="AV87" i="5" s="1"/>
  <c r="AW47" i="11"/>
  <c r="AW87" i="5" s="1"/>
  <c r="AX47" i="11"/>
  <c r="AX87" i="5" s="1"/>
  <c r="AY47" i="11"/>
  <c r="AY87" i="5" s="1"/>
  <c r="AZ47" i="11"/>
  <c r="AZ87" i="5" s="1"/>
  <c r="BA47" i="11"/>
  <c r="BA87" i="5" s="1"/>
  <c r="BB47" i="11"/>
  <c r="BB87" i="5" s="1"/>
  <c r="BC47" i="11"/>
  <c r="BC87" i="5" s="1"/>
  <c r="BD47" i="11"/>
  <c r="BD87" i="5" s="1"/>
  <c r="BE47" i="11"/>
  <c r="BE87" i="5" s="1"/>
  <c r="BF47" i="11"/>
  <c r="BF87" i="5" s="1"/>
  <c r="BG47" i="11"/>
  <c r="BG87" i="5" s="1"/>
  <c r="BH47" i="11"/>
  <c r="BH87" i="5" s="1"/>
  <c r="BI47" i="11"/>
  <c r="BI87" i="5" s="1"/>
  <c r="BJ47" i="11"/>
  <c r="BJ87" i="5" s="1"/>
  <c r="BK47" i="11"/>
  <c r="BK87" i="5" s="1"/>
  <c r="BL47" i="11"/>
  <c r="BL87" i="5" s="1"/>
  <c r="BM47" i="11"/>
  <c r="BM87" i="5" s="1"/>
  <c r="BN47" i="11"/>
  <c r="BN87" i="5" s="1"/>
  <c r="BO47" i="11"/>
  <c r="BO87" i="5" s="1"/>
  <c r="BP47" i="11"/>
  <c r="BP87" i="5" s="1"/>
  <c r="BQ47" i="11"/>
  <c r="BQ87" i="5" s="1"/>
  <c r="BR47" i="11"/>
  <c r="BR87" i="5" s="1"/>
  <c r="BS47" i="11"/>
  <c r="BS87" i="5" s="1"/>
  <c r="BT47" i="11"/>
  <c r="BT87" i="5" s="1"/>
  <c r="BU47" i="11"/>
  <c r="BU87" i="5" s="1"/>
  <c r="BV47" i="11"/>
  <c r="BV87" i="5" s="1"/>
  <c r="BW47" i="11"/>
  <c r="BW87" i="5" s="1"/>
  <c r="BX47" i="11"/>
  <c r="BX87" i="5" s="1"/>
  <c r="BY47" i="11"/>
  <c r="BY87" i="5" s="1"/>
  <c r="BZ47" i="11"/>
  <c r="BZ87" i="5" s="1"/>
  <c r="CA47" i="11"/>
  <c r="CA87" i="5" s="1"/>
  <c r="CB47" i="11"/>
  <c r="CB87" i="5" s="1"/>
  <c r="CC47" i="11"/>
  <c r="CC87" i="5" s="1"/>
  <c r="CD47" i="11"/>
  <c r="CD87" i="5" s="1"/>
  <c r="CE47" i="11"/>
  <c r="CE87" i="5" s="1"/>
  <c r="CF47" i="11"/>
  <c r="CF87" i="5" s="1"/>
  <c r="CG47" i="11"/>
  <c r="CG87" i="5" s="1"/>
  <c r="CH47" i="11"/>
  <c r="CH87" i="5" s="1"/>
  <c r="CI47" i="11"/>
  <c r="CI87" i="5" s="1"/>
  <c r="CJ47" i="11"/>
  <c r="CJ87" i="5" s="1"/>
  <c r="CK47" i="11"/>
  <c r="CK87" i="5" s="1"/>
  <c r="CL47" i="11"/>
  <c r="CL87" i="5" s="1"/>
  <c r="CM47" i="11"/>
  <c r="CM87" i="5" s="1"/>
  <c r="CN47" i="11"/>
  <c r="CN87" i="5" s="1"/>
  <c r="CO47" i="11"/>
  <c r="CO87" i="5" s="1"/>
  <c r="CP47" i="11"/>
  <c r="CP87" i="5" s="1"/>
  <c r="CQ47" i="11"/>
  <c r="CQ87" i="5" s="1"/>
  <c r="CR47" i="11"/>
  <c r="CR87" i="5" s="1"/>
  <c r="CS47" i="11"/>
  <c r="CS87" i="5" s="1"/>
  <c r="CT47" i="11"/>
  <c r="CT87" i="5" s="1"/>
  <c r="CU47" i="11"/>
  <c r="CU87" i="5" s="1"/>
  <c r="CV47" i="11"/>
  <c r="CV87" i="5" s="1"/>
  <c r="CW47" i="11"/>
  <c r="CW87" i="5" s="1"/>
  <c r="CX47" i="11"/>
  <c r="CX87" i="5" s="1"/>
  <c r="CY47" i="11"/>
  <c r="CY87" i="5" s="1"/>
  <c r="CZ47" i="11"/>
  <c r="CZ87" i="5" s="1"/>
  <c r="DA47" i="11"/>
  <c r="DA87" i="5" s="1"/>
  <c r="DB47" i="11"/>
  <c r="DB87" i="5" s="1"/>
  <c r="DC47" i="11"/>
  <c r="DC87" i="5" s="1"/>
  <c r="DD47" i="11"/>
  <c r="DD87" i="5" s="1"/>
  <c r="DE47" i="11"/>
  <c r="DE87" i="5" s="1"/>
  <c r="DF47" i="11"/>
  <c r="DF87" i="5" s="1"/>
  <c r="DG47" i="11"/>
  <c r="DG87" i="5" s="1"/>
  <c r="DH47" i="11"/>
  <c r="DH87" i="5" s="1"/>
  <c r="DI47" i="11"/>
  <c r="DI87" i="5" s="1"/>
  <c r="DJ47" i="11"/>
  <c r="DJ87" i="5" s="1"/>
  <c r="DK47" i="11"/>
  <c r="DK87" i="5" s="1"/>
  <c r="DL47" i="11"/>
  <c r="DL87" i="5" s="1"/>
  <c r="DM47" i="11"/>
  <c r="DM87" i="5" s="1"/>
  <c r="DN47" i="11"/>
  <c r="DN87" i="5" s="1"/>
  <c r="DO47" i="11"/>
  <c r="DO87" i="5" s="1"/>
  <c r="DP47" i="11"/>
  <c r="DP87" i="5" s="1"/>
  <c r="DQ47" i="11"/>
  <c r="DQ87" i="5" s="1"/>
  <c r="DR47" i="11"/>
  <c r="DR87" i="5" s="1"/>
  <c r="DS47" i="11"/>
  <c r="DS87" i="5" s="1"/>
  <c r="DT47" i="11"/>
  <c r="DT87" i="5" s="1"/>
  <c r="DU47" i="11"/>
  <c r="DU87" i="5" s="1"/>
  <c r="DV47" i="11"/>
  <c r="DV87" i="5" s="1"/>
  <c r="DW47" i="11"/>
  <c r="DW87" i="5" s="1"/>
  <c r="DX47" i="11"/>
  <c r="DX87" i="5" s="1"/>
  <c r="DY47" i="11"/>
  <c r="DY87" i="5" s="1"/>
  <c r="DZ47" i="11"/>
  <c r="DZ87" i="5" s="1"/>
  <c r="EA47" i="11"/>
  <c r="EA87" i="5" s="1"/>
  <c r="EB47" i="11"/>
  <c r="EB87" i="5" s="1"/>
  <c r="EC47" i="11"/>
  <c r="EC87" i="5" s="1"/>
  <c r="ED47" i="11"/>
  <c r="ED87" i="5" s="1"/>
  <c r="EE47" i="11"/>
  <c r="EE87" i="5" s="1"/>
  <c r="EF47" i="11"/>
  <c r="EF87" i="5" s="1"/>
  <c r="EG47" i="11"/>
  <c r="EG87" i="5" s="1"/>
  <c r="EH47" i="11"/>
  <c r="EH87" i="5" s="1"/>
  <c r="EI47" i="11"/>
  <c r="EI87" i="5" s="1"/>
  <c r="EJ47" i="11"/>
  <c r="EJ87" i="5" s="1"/>
  <c r="EK47" i="11"/>
  <c r="EK87" i="5" s="1"/>
  <c r="EL47" i="11"/>
  <c r="EL87" i="5" s="1"/>
  <c r="EM47" i="11"/>
  <c r="EM87" i="5" s="1"/>
  <c r="EN47" i="11"/>
  <c r="EN87" i="5" s="1"/>
  <c r="EO47" i="11"/>
  <c r="EO87" i="5" s="1"/>
  <c r="EP47" i="11"/>
  <c r="EP87" i="5" s="1"/>
  <c r="EQ47" i="11"/>
  <c r="EQ87" i="5" s="1"/>
  <c r="EE23" i="11"/>
  <c r="EE73" i="5" s="1"/>
  <c r="T31" i="2"/>
  <c r="U31" i="2"/>
  <c r="V31" i="2"/>
  <c r="W31" i="2"/>
  <c r="X31" i="2"/>
  <c r="Y31" i="2"/>
  <c r="Z31" i="2"/>
  <c r="AA31" i="2"/>
  <c r="AB31" i="2"/>
  <c r="AC31" i="2"/>
  <c r="AD31" i="2"/>
  <c r="AE31" i="2"/>
  <c r="AF31" i="2"/>
  <c r="AG31" i="2"/>
  <c r="AH31" i="2"/>
  <c r="AI31" i="2"/>
  <c r="AJ31" i="2"/>
  <c r="AK31" i="2"/>
  <c r="AL31" i="2"/>
  <c r="AM31" i="2"/>
  <c r="AN31" i="2"/>
  <c r="AO31" i="2"/>
  <c r="AP31" i="2"/>
  <c r="AQ31" i="2"/>
  <c r="AR31" i="2"/>
  <c r="AS31" i="2"/>
  <c r="AT31" i="2"/>
  <c r="AU31" i="2"/>
  <c r="AV31" i="2"/>
  <c r="AW31" i="2"/>
  <c r="AX31" i="2"/>
  <c r="AY31" i="2"/>
  <c r="AZ31" i="2"/>
  <c r="BA31" i="2"/>
  <c r="BB31" i="2"/>
  <c r="BC31" i="2"/>
  <c r="BD31" i="2"/>
  <c r="BE31" i="2"/>
  <c r="BF31" i="2"/>
  <c r="BG31" i="2"/>
  <c r="BH31" i="2"/>
  <c r="BI31" i="2"/>
  <c r="BJ31" i="2"/>
  <c r="BK31" i="2"/>
  <c r="BL31" i="2"/>
  <c r="BM31" i="2"/>
  <c r="BN31" i="2"/>
  <c r="BO31" i="2"/>
  <c r="BP31" i="2"/>
  <c r="BQ31" i="2"/>
  <c r="BR31" i="2"/>
  <c r="BS31" i="2"/>
  <c r="BT31" i="2"/>
  <c r="BU31" i="2"/>
  <c r="BV31" i="2"/>
  <c r="BW31" i="2"/>
  <c r="BX31" i="2"/>
  <c r="BY31" i="2"/>
  <c r="BZ31" i="2"/>
  <c r="CA31" i="2"/>
  <c r="CB31" i="2"/>
  <c r="CC31" i="2"/>
  <c r="CD31" i="2"/>
  <c r="CE31" i="2"/>
  <c r="CF31" i="2"/>
  <c r="CG31" i="2"/>
  <c r="CH31" i="2"/>
  <c r="CI31" i="2"/>
  <c r="CJ31" i="2"/>
  <c r="CK31" i="2"/>
  <c r="CL31" i="2"/>
  <c r="CM31" i="2"/>
  <c r="CN31" i="2"/>
  <c r="CO31" i="2"/>
  <c r="CP31" i="2"/>
  <c r="CQ31" i="2"/>
  <c r="CR31" i="2"/>
  <c r="CS31" i="2"/>
  <c r="CT31" i="2"/>
  <c r="CU31" i="2"/>
  <c r="CV31" i="2"/>
  <c r="CW31" i="2"/>
  <c r="CX31" i="2"/>
  <c r="CY31" i="2"/>
  <c r="CZ31" i="2"/>
  <c r="DA31" i="2"/>
  <c r="DB31" i="2"/>
  <c r="DC31" i="2"/>
  <c r="DD31" i="2"/>
  <c r="DE31" i="2"/>
  <c r="DF31" i="2"/>
  <c r="DG31" i="2"/>
  <c r="DH31" i="2"/>
  <c r="DI31" i="2"/>
  <c r="DJ31" i="2"/>
  <c r="DK31" i="2"/>
  <c r="DL31" i="2"/>
  <c r="DM31" i="2"/>
  <c r="DN31" i="2"/>
  <c r="DO31" i="2"/>
  <c r="DP31" i="2"/>
  <c r="DQ31" i="2"/>
  <c r="DR31" i="2"/>
  <c r="DS31" i="2"/>
  <c r="DT31" i="2"/>
  <c r="DU31" i="2"/>
  <c r="DV31" i="2"/>
  <c r="DW31" i="2"/>
  <c r="DX31" i="2"/>
  <c r="DY31" i="2"/>
  <c r="DZ31" i="2"/>
  <c r="EA31" i="2"/>
  <c r="EB31" i="2"/>
  <c r="EC31" i="2"/>
  <c r="ED31" i="2"/>
  <c r="EE31" i="2"/>
  <c r="EF31" i="2"/>
  <c r="EG31" i="2"/>
  <c r="EH31" i="2"/>
  <c r="EI31" i="2"/>
  <c r="EJ31" i="2"/>
  <c r="EK31" i="2"/>
  <c r="EL31" i="2"/>
  <c r="EM31" i="2"/>
  <c r="EN31" i="2"/>
  <c r="EO31" i="2"/>
  <c r="EP31" i="2"/>
  <c r="EQ31" i="2"/>
  <c r="ER31" i="2"/>
  <c r="O31" i="2"/>
  <c r="S31" i="2"/>
  <c r="P21" i="1"/>
  <c r="Q31" i="2"/>
  <c r="N31" i="2"/>
  <c r="R31" i="2"/>
  <c r="M31" i="2"/>
  <c r="P31" i="2"/>
  <c r="DB92" i="5" l="1"/>
  <c r="DA27" i="15"/>
  <c r="DC51" i="11"/>
  <c r="DB47" i="5"/>
  <c r="DB132" i="11"/>
  <c r="DC129" i="11" s="1"/>
  <c r="X111" i="26"/>
  <c r="P111" i="26"/>
  <c r="N111" i="26"/>
  <c r="Q111" i="26"/>
  <c r="W111" i="26"/>
  <c r="EE71" i="5"/>
  <c r="O111" i="26"/>
  <c r="T111" i="26"/>
  <c r="S111" i="26"/>
  <c r="M111" i="26"/>
  <c r="V111" i="26"/>
  <c r="M82" i="26"/>
  <c r="X82" i="26"/>
  <c r="W82" i="26"/>
  <c r="U82" i="26"/>
  <c r="S82" i="26"/>
  <c r="R82" i="26"/>
  <c r="Q82" i="26"/>
  <c r="P82" i="26"/>
  <c r="O82" i="26"/>
  <c r="N82" i="26"/>
  <c r="V82" i="26"/>
  <c r="T82" i="26"/>
  <c r="U111" i="26"/>
  <c r="R111" i="26"/>
  <c r="L111" i="17"/>
  <c r="L111" i="26"/>
  <c r="N111" i="17"/>
  <c r="U111" i="17"/>
  <c r="AG111" i="17"/>
  <c r="AF111" i="17"/>
  <c r="AC111" i="17"/>
  <c r="W111" i="17"/>
  <c r="AH111" i="17"/>
  <c r="T111" i="17"/>
  <c r="X111" i="17"/>
  <c r="P111" i="17"/>
  <c r="Q111" i="17"/>
  <c r="AA111" i="17"/>
  <c r="Y111" i="17"/>
  <c r="M111" i="17"/>
  <c r="R111" i="17"/>
  <c r="V111" i="17"/>
  <c r="AB111" i="17"/>
  <c r="AE111" i="17"/>
  <c r="AI111" i="17"/>
  <c r="S111" i="17"/>
  <c r="O111" i="17"/>
  <c r="Z111" i="17"/>
  <c r="AD111" i="17"/>
  <c r="L280" i="11"/>
  <c r="L276" i="11"/>
  <c r="L277" i="11" s="1"/>
  <c r="M274" i="11" s="1"/>
  <c r="M276" i="11" s="1"/>
  <c r="M277" i="11" s="1"/>
  <c r="N274" i="11" s="1"/>
  <c r="N276" i="11" s="1"/>
  <c r="N277" i="11" s="1"/>
  <c r="O274" i="11" s="1"/>
  <c r="J275" i="11"/>
  <c r="L117" i="5"/>
  <c r="L112" i="26" s="1"/>
  <c r="L95" i="11"/>
  <c r="M92" i="11" s="1"/>
  <c r="J116" i="5"/>
  <c r="Y82" i="17"/>
  <c r="AI82" i="17"/>
  <c r="AG82" i="17"/>
  <c r="AE82" i="17"/>
  <c r="AC82" i="17"/>
  <c r="AD82" i="17"/>
  <c r="V82" i="17"/>
  <c r="T82" i="17"/>
  <c r="R82" i="17"/>
  <c r="P82" i="17"/>
  <c r="N82" i="17"/>
  <c r="AF82" i="17"/>
  <c r="Z82" i="17"/>
  <c r="AH82" i="17"/>
  <c r="AB82" i="17"/>
  <c r="X82" i="17"/>
  <c r="M82" i="17"/>
  <c r="W82" i="17"/>
  <c r="U82" i="17"/>
  <c r="S82" i="17"/>
  <c r="Q82" i="17"/>
  <c r="O82" i="17"/>
  <c r="L87" i="5"/>
  <c r="L82" i="26" s="1"/>
  <c r="L48" i="11"/>
  <c r="L49" i="11" s="1"/>
  <c r="M46" i="11" s="1"/>
  <c r="J47" i="11"/>
  <c r="AA82" i="17"/>
  <c r="EE24" i="11"/>
  <c r="K31" i="2"/>
  <c r="DC130" i="11" l="1"/>
  <c r="DD53" i="6" s="1"/>
  <c r="DC53" i="11"/>
  <c r="L110" i="26"/>
  <c r="J111" i="26"/>
  <c r="J82" i="26"/>
  <c r="J111" i="17"/>
  <c r="L115" i="5"/>
  <c r="L112" i="17"/>
  <c r="M94" i="11"/>
  <c r="M117" i="5" s="1"/>
  <c r="J280" i="11"/>
  <c r="L281" i="11"/>
  <c r="L282" i="11" s="1"/>
  <c r="M279" i="11" s="1"/>
  <c r="M281" i="11" s="1"/>
  <c r="M282" i="11" s="1"/>
  <c r="N279" i="11" s="1"/>
  <c r="O276" i="11"/>
  <c r="O277" i="11" s="1"/>
  <c r="P274" i="11" s="1"/>
  <c r="J87" i="5"/>
  <c r="L82" i="17"/>
  <c r="M125" i="11"/>
  <c r="M48" i="11"/>
  <c r="M88" i="5" s="1"/>
  <c r="L88" i="5"/>
  <c r="L83" i="26" s="1"/>
  <c r="L81" i="26" s="1"/>
  <c r="EF21" i="11"/>
  <c r="DC131" i="11" l="1"/>
  <c r="DC47" i="5" s="1"/>
  <c r="DC94" i="5"/>
  <c r="DC92" i="5" s="1"/>
  <c r="DC54" i="11"/>
  <c r="M115" i="5"/>
  <c r="L110" i="17"/>
  <c r="M95" i="11"/>
  <c r="N92" i="11" s="1"/>
  <c r="N94" i="11" s="1"/>
  <c r="N117" i="5" s="1"/>
  <c r="N115" i="5" s="1"/>
  <c r="N281" i="11"/>
  <c r="N282" i="11" s="1"/>
  <c r="O279" i="11" s="1"/>
  <c r="P276" i="11"/>
  <c r="P277" i="11" s="1"/>
  <c r="Q274" i="11" s="1"/>
  <c r="L83" i="17"/>
  <c r="L81" i="17" s="1"/>
  <c r="M49" i="11"/>
  <c r="N46" i="11" s="1"/>
  <c r="N52" i="6"/>
  <c r="M126" i="11"/>
  <c r="J82" i="17"/>
  <c r="M86" i="5"/>
  <c r="L86" i="5"/>
  <c r="EF23" i="11"/>
  <c r="EF73" i="5" s="1"/>
  <c r="DC132" i="11" l="1"/>
  <c r="DD129" i="11" s="1"/>
  <c r="DB27" i="15"/>
  <c r="DD51" i="11"/>
  <c r="EF71" i="5"/>
  <c r="N95" i="11"/>
  <c r="O92" i="11" s="1"/>
  <c r="O281" i="11"/>
  <c r="O282" i="11" s="1"/>
  <c r="P279" i="11" s="1"/>
  <c r="Q276" i="11"/>
  <c r="Q277" i="11" s="1"/>
  <c r="R274" i="11" s="1"/>
  <c r="M46" i="5"/>
  <c r="N48" i="11"/>
  <c r="N49" i="11" s="1"/>
  <c r="O46" i="11" s="1"/>
  <c r="N125" i="11"/>
  <c r="M127" i="11"/>
  <c r="N124" i="11" s="1"/>
  <c r="EF24" i="11"/>
  <c r="EG21" i="11" s="1"/>
  <c r="DD53" i="11" l="1"/>
  <c r="DD130" i="11"/>
  <c r="P281" i="11"/>
  <c r="P282" i="11" s="1"/>
  <c r="Q279" i="11" s="1"/>
  <c r="O94" i="11"/>
  <c r="O117" i="5" s="1"/>
  <c r="R276" i="11"/>
  <c r="R277" i="11" s="1"/>
  <c r="S274" i="11" s="1"/>
  <c r="N126" i="11"/>
  <c r="N127" i="11" s="1"/>
  <c r="O124" i="11" s="1"/>
  <c r="O125" i="11"/>
  <c r="P52" i="6" s="1"/>
  <c r="O48" i="11"/>
  <c r="O88" i="5" s="1"/>
  <c r="O86" i="5" s="1"/>
  <c r="O52" i="6"/>
  <c r="N88" i="5"/>
  <c r="EG23" i="11"/>
  <c r="EG73" i="5" s="1"/>
  <c r="DD131" i="11" l="1"/>
  <c r="DE53" i="6"/>
  <c r="DD94" i="5"/>
  <c r="DD92" i="5" s="1"/>
  <c r="DD54" i="11"/>
  <c r="EG71" i="5"/>
  <c r="O115" i="5"/>
  <c r="Q281" i="11"/>
  <c r="Q282" i="11" s="1"/>
  <c r="R279" i="11" s="1"/>
  <c r="O95" i="11"/>
  <c r="P92" i="11" s="1"/>
  <c r="S276" i="11"/>
  <c r="S277" i="11" s="1"/>
  <c r="T274" i="11" s="1"/>
  <c r="O49" i="11"/>
  <c r="P46" i="11" s="1"/>
  <c r="P125" i="11" s="1"/>
  <c r="O126" i="11"/>
  <c r="O46" i="5" s="1"/>
  <c r="N86" i="5"/>
  <c r="N46" i="5"/>
  <c r="EG24" i="11"/>
  <c r="EH21" i="11" s="1"/>
  <c r="DD47" i="5" l="1"/>
  <c r="DD132" i="11"/>
  <c r="DE129" i="11" s="1"/>
  <c r="DC27" i="15"/>
  <c r="Z22" i="18" s="1"/>
  <c r="DE51" i="11"/>
  <c r="R281" i="11"/>
  <c r="R282" i="11" s="1"/>
  <c r="S279" i="11" s="1"/>
  <c r="S281" i="11" s="1"/>
  <c r="S282" i="11" s="1"/>
  <c r="T279" i="11" s="1"/>
  <c r="P94" i="11"/>
  <c r="P117" i="5" s="1"/>
  <c r="T276" i="11"/>
  <c r="T277" i="11" s="1"/>
  <c r="U274" i="11" s="1"/>
  <c r="P48" i="11"/>
  <c r="P49" i="11" s="1"/>
  <c r="Q46" i="11" s="1"/>
  <c r="Q48" i="11" s="1"/>
  <c r="Q88" i="5" s="1"/>
  <c r="Q86" i="5" s="1"/>
  <c r="Q52" i="6"/>
  <c r="O127" i="11"/>
  <c r="P124" i="11" s="1"/>
  <c r="P126" i="11" s="1"/>
  <c r="EH23" i="11"/>
  <c r="EH73" i="5" s="1"/>
  <c r="EH71" i="5" s="1"/>
  <c r="DE130" i="11" l="1"/>
  <c r="DE53" i="11"/>
  <c r="P95" i="11"/>
  <c r="Q92" i="11" s="1"/>
  <c r="Q94" i="11" s="1"/>
  <c r="Q117" i="5" s="1"/>
  <c r="Q115" i="5" s="1"/>
  <c r="P115" i="5"/>
  <c r="T281" i="11"/>
  <c r="T282" i="11" s="1"/>
  <c r="U279" i="11" s="1"/>
  <c r="P88" i="5"/>
  <c r="U276" i="11"/>
  <c r="U277" i="11" s="1"/>
  <c r="V274" i="11" s="1"/>
  <c r="Q125" i="11"/>
  <c r="R52" i="6" s="1"/>
  <c r="Q49" i="11"/>
  <c r="R46" i="11" s="1"/>
  <c r="R125" i="11" s="1"/>
  <c r="P127" i="11"/>
  <c r="Q124" i="11" s="1"/>
  <c r="P46" i="5"/>
  <c r="EH24" i="11"/>
  <c r="DE94" i="5" l="1"/>
  <c r="DE92" i="5" s="1"/>
  <c r="DE54" i="11"/>
  <c r="DE131" i="11"/>
  <c r="DF53" i="6"/>
  <c r="P86" i="5"/>
  <c r="U281" i="11"/>
  <c r="U282" i="11" s="1"/>
  <c r="V279" i="11" s="1"/>
  <c r="V281" i="11" s="1"/>
  <c r="V282" i="11" s="1"/>
  <c r="W279" i="11" s="1"/>
  <c r="Q95" i="11"/>
  <c r="R92" i="11" s="1"/>
  <c r="V276" i="11"/>
  <c r="V277" i="11" s="1"/>
  <c r="W274" i="11" s="1"/>
  <c r="R48" i="11"/>
  <c r="R88" i="5" s="1"/>
  <c r="Q126" i="11"/>
  <c r="Q127" i="11" s="1"/>
  <c r="R124" i="11" s="1"/>
  <c r="S52" i="6"/>
  <c r="EI21" i="11"/>
  <c r="DD27" i="15" l="1"/>
  <c r="DF51" i="11"/>
  <c r="DE47" i="5"/>
  <c r="DE132" i="11"/>
  <c r="DF129" i="11" s="1"/>
  <c r="R94" i="11"/>
  <c r="R117" i="5" s="1"/>
  <c r="R115" i="5" s="1"/>
  <c r="W276" i="11"/>
  <c r="W277" i="11" s="1"/>
  <c r="X274" i="11" s="1"/>
  <c r="W281" i="11"/>
  <c r="W282" i="11" s="1"/>
  <c r="X279" i="11" s="1"/>
  <c r="R49" i="11"/>
  <c r="S46" i="11" s="1"/>
  <c r="S125" i="11" s="1"/>
  <c r="R126" i="11"/>
  <c r="R46" i="5" s="1"/>
  <c r="N46" i="16"/>
  <c r="Q46" i="5"/>
  <c r="R86" i="5"/>
  <c r="M83" i="17"/>
  <c r="EI23" i="11"/>
  <c r="EI73" i="5" s="1"/>
  <c r="EI71" i="5" s="1"/>
  <c r="DF53" i="11" l="1"/>
  <c r="DF130" i="11"/>
  <c r="R95" i="11"/>
  <c r="S92" i="11" s="1"/>
  <c r="S94" i="11" s="1"/>
  <c r="S117" i="5" s="1"/>
  <c r="S48" i="11"/>
  <c r="S88" i="5" s="1"/>
  <c r="S86" i="5" s="1"/>
  <c r="X281" i="11"/>
  <c r="X282" i="11" s="1"/>
  <c r="Y279" i="11" s="1"/>
  <c r="X276" i="11"/>
  <c r="X277" i="11" s="1"/>
  <c r="Y274" i="11" s="1"/>
  <c r="M81" i="17"/>
  <c r="M41" i="17"/>
  <c r="T52" i="6"/>
  <c r="R127" i="11"/>
  <c r="S124" i="11" s="1"/>
  <c r="S126" i="11" s="1"/>
  <c r="EI24" i="11"/>
  <c r="DF54" i="11" l="1"/>
  <c r="DG51" i="11" s="1"/>
  <c r="DF94" i="5"/>
  <c r="DF92" i="5" s="1"/>
  <c r="DG53" i="6"/>
  <c r="DF131" i="11"/>
  <c r="S49" i="11"/>
  <c r="T46" i="11" s="1"/>
  <c r="T48" i="11" s="1"/>
  <c r="T88" i="5" s="1"/>
  <c r="T86" i="5" s="1"/>
  <c r="S115" i="5"/>
  <c r="S95" i="11"/>
  <c r="T92" i="11" s="1"/>
  <c r="T94" i="11" s="1"/>
  <c r="T117" i="5" s="1"/>
  <c r="T115" i="5" s="1"/>
  <c r="Y276" i="11"/>
  <c r="Y277" i="11" s="1"/>
  <c r="Z274" i="11" s="1"/>
  <c r="Y281" i="11"/>
  <c r="Y282" i="11" s="1"/>
  <c r="Z279" i="11" s="1"/>
  <c r="S127" i="11"/>
  <c r="T124" i="11" s="1"/>
  <c r="S46" i="5"/>
  <c r="EJ21" i="11"/>
  <c r="AF68" i="17"/>
  <c r="DE27" i="15" l="1"/>
  <c r="DF132" i="11"/>
  <c r="DG129" i="11" s="1"/>
  <c r="DF47" i="5"/>
  <c r="DG130" i="11"/>
  <c r="DG53" i="11"/>
  <c r="T125" i="11"/>
  <c r="U52" i="6" s="1"/>
  <c r="T49" i="11"/>
  <c r="U46" i="11" s="1"/>
  <c r="U125" i="11" s="1"/>
  <c r="V52" i="6" s="1"/>
  <c r="T95" i="11"/>
  <c r="U92" i="11" s="1"/>
  <c r="U94" i="11" s="1"/>
  <c r="U117" i="5" s="1"/>
  <c r="U115" i="5" s="1"/>
  <c r="Z276" i="11"/>
  <c r="Z277" i="11" s="1"/>
  <c r="AA274" i="11" s="1"/>
  <c r="Z281" i="11"/>
  <c r="Z282" i="11" s="1"/>
  <c r="AA279" i="11" s="1"/>
  <c r="EJ23" i="11"/>
  <c r="EJ73" i="5" s="1"/>
  <c r="EJ71" i="5" s="1"/>
  <c r="AF66" i="17"/>
  <c r="DH53" i="6" l="1"/>
  <c r="DG131" i="11"/>
  <c r="DG94" i="5"/>
  <c r="DG92" i="5" s="1"/>
  <c r="DG54" i="11"/>
  <c r="EJ24" i="11"/>
  <c r="EK21" i="11" s="1"/>
  <c r="T126" i="11"/>
  <c r="T46" i="5" s="1"/>
  <c r="U48" i="11"/>
  <c r="U88" i="5" s="1"/>
  <c r="U86" i="5" s="1"/>
  <c r="U95" i="11"/>
  <c r="V92" i="11" s="1"/>
  <c r="V94" i="11" s="1"/>
  <c r="V117" i="5" s="1"/>
  <c r="V115" i="5" s="1"/>
  <c r="AA281" i="11"/>
  <c r="AA282" i="11" s="1"/>
  <c r="AB279" i="11" s="1"/>
  <c r="AA276" i="11"/>
  <c r="AA277" i="11" s="1"/>
  <c r="AB274" i="11" s="1"/>
  <c r="DG47" i="5" l="1"/>
  <c r="DG132" i="11"/>
  <c r="DH129" i="11" s="1"/>
  <c r="DH51" i="11"/>
  <c r="DF27" i="15"/>
  <c r="EK23" i="11"/>
  <c r="EK73" i="5" s="1"/>
  <c r="EK71" i="5" s="1"/>
  <c r="T127" i="11"/>
  <c r="U124" i="11" s="1"/>
  <c r="U126" i="11" s="1"/>
  <c r="U46" i="5" s="1"/>
  <c r="U49" i="11"/>
  <c r="V46" i="11" s="1"/>
  <c r="V125" i="11" s="1"/>
  <c r="W52" i="6" s="1"/>
  <c r="V95" i="11"/>
  <c r="W92" i="11" s="1"/>
  <c r="W94" i="11" s="1"/>
  <c r="W117" i="5" s="1"/>
  <c r="W115" i="5" s="1"/>
  <c r="AB281" i="11"/>
  <c r="AB282" i="11" s="1"/>
  <c r="AC279" i="11" s="1"/>
  <c r="AB276" i="11"/>
  <c r="AB277" i="11" s="1"/>
  <c r="AC274" i="11" s="1"/>
  <c r="AG68" i="17"/>
  <c r="AG66" i="17" s="1"/>
  <c r="DH130" i="11" l="1"/>
  <c r="DH53" i="11"/>
  <c r="EK24" i="11"/>
  <c r="EL21" i="11" s="1"/>
  <c r="V48" i="11"/>
  <c r="V49" i="11" s="1"/>
  <c r="W46" i="11" s="1"/>
  <c r="W95" i="11"/>
  <c r="X92" i="11" s="1"/>
  <c r="X94" i="11" s="1"/>
  <c r="X117" i="5" s="1"/>
  <c r="X115" i="5" s="1"/>
  <c r="AC276" i="11"/>
  <c r="AC277" i="11" s="1"/>
  <c r="AD274" i="11" s="1"/>
  <c r="AC281" i="11"/>
  <c r="AC282" i="11" s="1"/>
  <c r="AD279" i="11" s="1"/>
  <c r="U127" i="11"/>
  <c r="V124" i="11" s="1"/>
  <c r="DH131" i="11" l="1"/>
  <c r="DI53" i="6"/>
  <c r="DH94" i="5"/>
  <c r="DH92" i="5" s="1"/>
  <c r="DH54" i="11"/>
  <c r="V88" i="5"/>
  <c r="V86" i="5" s="1"/>
  <c r="X95" i="11"/>
  <c r="Y92" i="11" s="1"/>
  <c r="Y94" i="11" s="1"/>
  <c r="Y117" i="5" s="1"/>
  <c r="AD276" i="11"/>
  <c r="AD277" i="11" s="1"/>
  <c r="AE274" i="11" s="1"/>
  <c r="AD281" i="11"/>
  <c r="AD282" i="11" s="1"/>
  <c r="AE279" i="11" s="1"/>
  <c r="W125" i="11"/>
  <c r="X52" i="6" s="1"/>
  <c r="W48" i="11"/>
  <c r="W88" i="5" s="1"/>
  <c r="W86" i="5" s="1"/>
  <c r="V126" i="11"/>
  <c r="V46" i="5" s="1"/>
  <c r="EL23" i="11"/>
  <c r="EL73" i="5" s="1"/>
  <c r="EL71" i="5" s="1"/>
  <c r="DH47" i="5" l="1"/>
  <c r="DH132" i="11"/>
  <c r="DI129" i="11" s="1"/>
  <c r="DG27" i="15"/>
  <c r="DI51" i="11"/>
  <c r="Y115" i="5"/>
  <c r="Y95" i="11"/>
  <c r="Z92" i="11" s="1"/>
  <c r="Z94" i="11" s="1"/>
  <c r="Z117" i="5" s="1"/>
  <c r="Z115" i="5" s="1"/>
  <c r="AE281" i="11"/>
  <c r="AE282" i="11" s="1"/>
  <c r="AF279" i="11" s="1"/>
  <c r="AE276" i="11"/>
  <c r="AE277" i="11" s="1"/>
  <c r="AF274" i="11" s="1"/>
  <c r="W49" i="11"/>
  <c r="X46" i="11" s="1"/>
  <c r="X125" i="11" s="1"/>
  <c r="Y52" i="6" s="1"/>
  <c r="V127" i="11"/>
  <c r="W124" i="11" s="1"/>
  <c r="EL24" i="11"/>
  <c r="DI53" i="11" l="1"/>
  <c r="DI130" i="11"/>
  <c r="Z95" i="11"/>
  <c r="AA92" i="11" s="1"/>
  <c r="AA94" i="11" s="1"/>
  <c r="AA117" i="5" s="1"/>
  <c r="AA115" i="5" s="1"/>
  <c r="X48" i="11"/>
  <c r="X88" i="5" s="1"/>
  <c r="X86" i="5" s="1"/>
  <c r="AF276" i="11"/>
  <c r="AF277" i="11" s="1"/>
  <c r="AG274" i="11" s="1"/>
  <c r="AF281" i="11"/>
  <c r="AF282" i="11" s="1"/>
  <c r="AG279" i="11" s="1"/>
  <c r="W126" i="11"/>
  <c r="W46" i="5" s="1"/>
  <c r="EM21" i="11"/>
  <c r="DI131" i="11" l="1"/>
  <c r="DJ53" i="6"/>
  <c r="DI94" i="5"/>
  <c r="DI92" i="5" s="1"/>
  <c r="DI54" i="11"/>
  <c r="N83" i="17"/>
  <c r="N81" i="17" s="1"/>
  <c r="X49" i="11"/>
  <c r="Y46" i="11" s="1"/>
  <c r="Y125" i="11" s="1"/>
  <c r="Z52" i="6" s="1"/>
  <c r="AA95" i="11"/>
  <c r="AB92" i="11" s="1"/>
  <c r="AB94" i="11" s="1"/>
  <c r="AB117" i="5" s="1"/>
  <c r="AB115" i="5" s="1"/>
  <c r="AG281" i="11"/>
  <c r="AG282" i="11" s="1"/>
  <c r="AH279" i="11" s="1"/>
  <c r="AG276" i="11"/>
  <c r="AG277" i="11" s="1"/>
  <c r="AH274" i="11" s="1"/>
  <c r="W127" i="11"/>
  <c r="X124" i="11" s="1"/>
  <c r="EM23" i="11"/>
  <c r="DJ51" i="11" l="1"/>
  <c r="DH27" i="15"/>
  <c r="DI47" i="5"/>
  <c r="DI132" i="11"/>
  <c r="DJ129" i="11" s="1"/>
  <c r="Y48" i="11"/>
  <c r="Y88" i="5" s="1"/>
  <c r="AB95" i="11"/>
  <c r="AC92" i="11" s="1"/>
  <c r="AC94" i="11" s="1"/>
  <c r="AH276" i="11"/>
  <c r="AH277" i="11" s="1"/>
  <c r="AI274" i="11" s="1"/>
  <c r="AH281" i="11"/>
  <c r="AH282" i="11" s="1"/>
  <c r="AI279" i="11" s="1"/>
  <c r="X126" i="11"/>
  <c r="X46" i="5" s="1"/>
  <c r="EM73" i="5"/>
  <c r="EM71" i="5" s="1"/>
  <c r="EM24" i="11"/>
  <c r="DJ53" i="11" l="1"/>
  <c r="DJ130" i="11"/>
  <c r="Y86" i="5"/>
  <c r="Y49" i="11"/>
  <c r="Z46" i="11" s="1"/>
  <c r="Z48" i="11" s="1"/>
  <c r="Z88" i="5" s="1"/>
  <c r="Z86" i="5" s="1"/>
  <c r="AC117" i="5"/>
  <c r="AC95" i="11"/>
  <c r="AD92" i="11" s="1"/>
  <c r="AI276" i="11"/>
  <c r="AI277" i="11" s="1"/>
  <c r="AJ274" i="11" s="1"/>
  <c r="AI281" i="11"/>
  <c r="AI282" i="11" s="1"/>
  <c r="AJ279" i="11" s="1"/>
  <c r="X127" i="11"/>
  <c r="Y124" i="11" s="1"/>
  <c r="EN21" i="11"/>
  <c r="DK53" i="6" l="1"/>
  <c r="DJ131" i="11"/>
  <c r="DJ94" i="5"/>
  <c r="DJ92" i="5" s="1"/>
  <c r="DJ54" i="11"/>
  <c r="Z49" i="11"/>
  <c r="AA46" i="11" s="1"/>
  <c r="AA48" i="11" s="1"/>
  <c r="AA88" i="5" s="1"/>
  <c r="AA86" i="5" s="1"/>
  <c r="Z125" i="11"/>
  <c r="AA52" i="6" s="1"/>
  <c r="AD94" i="11"/>
  <c r="AD117" i="5" s="1"/>
  <c r="AD115" i="5" s="1"/>
  <c r="AC115" i="5"/>
  <c r="AJ276" i="11"/>
  <c r="AJ277" i="11" s="1"/>
  <c r="AK274" i="11" s="1"/>
  <c r="AJ281" i="11"/>
  <c r="AJ282" i="11" s="1"/>
  <c r="AK279" i="11" s="1"/>
  <c r="Y126" i="11"/>
  <c r="Y46" i="5" s="1"/>
  <c r="EN23" i="11"/>
  <c r="DK51" i="11" l="1"/>
  <c r="DI27" i="15"/>
  <c r="AA22" i="18" s="1"/>
  <c r="L218" i="32" s="1"/>
  <c r="DJ47" i="5"/>
  <c r="DJ132" i="11"/>
  <c r="DK129" i="11" s="1"/>
  <c r="AA49" i="11"/>
  <c r="AB46" i="11" s="1"/>
  <c r="AB125" i="11" s="1"/>
  <c r="AC52" i="6" s="1"/>
  <c r="O112" i="17"/>
  <c r="O110" i="17" s="1"/>
  <c r="AA125" i="11"/>
  <c r="AB52" i="6" s="1"/>
  <c r="AD95" i="11"/>
  <c r="AE92" i="11" s="1"/>
  <c r="AK281" i="11"/>
  <c r="AK282" i="11" s="1"/>
  <c r="AL279" i="11" s="1"/>
  <c r="AK276" i="11"/>
  <c r="AK277" i="11" s="1"/>
  <c r="AL274" i="11" s="1"/>
  <c r="Y127" i="11"/>
  <c r="Z124" i="11" s="1"/>
  <c r="EN73" i="5"/>
  <c r="EN24" i="11"/>
  <c r="DK53" i="11" l="1"/>
  <c r="DK130" i="11"/>
  <c r="AB48" i="11"/>
  <c r="AB49" i="11" s="1"/>
  <c r="AC46" i="11" s="1"/>
  <c r="AE94" i="11"/>
  <c r="AE117" i="5" s="1"/>
  <c r="AE115" i="5" s="1"/>
  <c r="AL276" i="11"/>
  <c r="AL277" i="11" s="1"/>
  <c r="AM274" i="11" s="1"/>
  <c r="AL281" i="11"/>
  <c r="AL282" i="11" s="1"/>
  <c r="AM279" i="11" s="1"/>
  <c r="Z126" i="11"/>
  <c r="Z46" i="5" s="1"/>
  <c r="EO21" i="11"/>
  <c r="EN71" i="5"/>
  <c r="AH68" i="17"/>
  <c r="AH66" i="17" s="1"/>
  <c r="DK94" i="5" l="1"/>
  <c r="DK92" i="5" s="1"/>
  <c r="DK54" i="11"/>
  <c r="DL53" i="6"/>
  <c r="DK131" i="11"/>
  <c r="AB88" i="5"/>
  <c r="AE95" i="11"/>
  <c r="AF92" i="11" s="1"/>
  <c r="AM281" i="11"/>
  <c r="AM282" i="11" s="1"/>
  <c r="AN279" i="11" s="1"/>
  <c r="AM276" i="11"/>
  <c r="AM277" i="11" s="1"/>
  <c r="AN274" i="11" s="1"/>
  <c r="Z127" i="11"/>
  <c r="AA124" i="11" s="1"/>
  <c r="AC125" i="11"/>
  <c r="AD52" i="6" s="1"/>
  <c r="AC48" i="11"/>
  <c r="AC88" i="5" s="1"/>
  <c r="AC86" i="5" s="1"/>
  <c r="EO23" i="11"/>
  <c r="DJ27" i="15" l="1"/>
  <c r="DL51" i="11"/>
  <c r="DK132" i="11"/>
  <c r="DL129" i="11" s="1"/>
  <c r="DK47" i="5"/>
  <c r="AB86" i="5"/>
  <c r="AF94" i="11"/>
  <c r="AF117" i="5" s="1"/>
  <c r="AF115" i="5" s="1"/>
  <c r="AN276" i="11"/>
  <c r="AN277" i="11" s="1"/>
  <c r="AO274" i="11" s="1"/>
  <c r="AN281" i="11"/>
  <c r="AN282" i="11" s="1"/>
  <c r="AO279" i="11" s="1"/>
  <c r="AC49" i="11"/>
  <c r="AD46" i="11" s="1"/>
  <c r="AA126" i="11"/>
  <c r="AA46" i="5" s="1"/>
  <c r="EO24" i="11"/>
  <c r="EO73" i="5"/>
  <c r="DL130" i="11" l="1"/>
  <c r="DL53" i="11"/>
  <c r="EO71" i="5"/>
  <c r="AF95" i="11"/>
  <c r="AG92" i="11" s="1"/>
  <c r="AO281" i="11"/>
  <c r="AO282" i="11" s="1"/>
  <c r="AP279" i="11" s="1"/>
  <c r="AO276" i="11"/>
  <c r="AO277" i="11" s="1"/>
  <c r="AP274" i="11" s="1"/>
  <c r="AA127" i="11"/>
  <c r="AB124" i="11" s="1"/>
  <c r="AB126" i="11" s="1"/>
  <c r="AD125" i="11"/>
  <c r="AE52" i="6" s="1"/>
  <c r="AD48" i="11"/>
  <c r="AD88" i="5" s="1"/>
  <c r="AD86" i="5" s="1"/>
  <c r="EP21" i="11"/>
  <c r="DM53" i="6" l="1"/>
  <c r="DL131" i="11"/>
  <c r="DL94" i="5"/>
  <c r="DL92" i="5" s="1"/>
  <c r="DL54" i="11"/>
  <c r="AG94" i="11"/>
  <c r="AG117" i="5" s="1"/>
  <c r="AG115" i="5" s="1"/>
  <c r="AP276" i="11"/>
  <c r="AP277" i="11" s="1"/>
  <c r="AQ274" i="11" s="1"/>
  <c r="AP281" i="11"/>
  <c r="AP282" i="11" s="1"/>
  <c r="AQ279" i="11" s="1"/>
  <c r="AD49" i="11"/>
  <c r="AE46" i="11" s="1"/>
  <c r="AE48" i="11" s="1"/>
  <c r="AE88" i="5" s="1"/>
  <c r="AB127" i="11"/>
  <c r="AC124" i="11" s="1"/>
  <c r="AB46" i="5"/>
  <c r="EP23" i="11"/>
  <c r="EP73" i="5" s="1"/>
  <c r="DL132" i="11" l="1"/>
  <c r="DM129" i="11" s="1"/>
  <c r="DL47" i="5"/>
  <c r="DK27" i="15"/>
  <c r="DM51" i="11"/>
  <c r="EP71" i="5"/>
  <c r="AG95" i="11"/>
  <c r="AH92" i="11" s="1"/>
  <c r="AH94" i="11" s="1"/>
  <c r="AH117" i="5" s="1"/>
  <c r="AH115" i="5" s="1"/>
  <c r="AQ281" i="11"/>
  <c r="AQ282" i="11" s="1"/>
  <c r="AR279" i="11" s="1"/>
  <c r="AQ276" i="11"/>
  <c r="AQ277" i="11" s="1"/>
  <c r="AR274" i="11" s="1"/>
  <c r="AE125" i="11"/>
  <c r="AF52" i="6" s="1"/>
  <c r="AE49" i="11"/>
  <c r="AF46" i="11" s="1"/>
  <c r="AF125" i="11" s="1"/>
  <c r="AG52" i="6" s="1"/>
  <c r="AC126" i="11"/>
  <c r="AC46" i="5" s="1"/>
  <c r="AE86" i="5"/>
  <c r="EP24" i="11"/>
  <c r="EQ21" i="11" s="1"/>
  <c r="DM53" i="11" l="1"/>
  <c r="DM130" i="11"/>
  <c r="AH95" i="11"/>
  <c r="AI92" i="11" s="1"/>
  <c r="AI94" i="11" s="1"/>
  <c r="AR281" i="11"/>
  <c r="AR282" i="11" s="1"/>
  <c r="AS279" i="11" s="1"/>
  <c r="AR276" i="11"/>
  <c r="AR277" i="11" s="1"/>
  <c r="AS274" i="11" s="1"/>
  <c r="AF48" i="11"/>
  <c r="AF88" i="5" s="1"/>
  <c r="AF86" i="5" s="1"/>
  <c r="AC127" i="11"/>
  <c r="AD124" i="11" s="1"/>
  <c r="EQ23" i="11"/>
  <c r="EQ24" i="11" s="1"/>
  <c r="DM131" i="11" l="1"/>
  <c r="DN53" i="6"/>
  <c r="DM94" i="5"/>
  <c r="DM92" i="5" s="1"/>
  <c r="DM54" i="11"/>
  <c r="AI117" i="5"/>
  <c r="AI115" i="5" s="1"/>
  <c r="AI95" i="11"/>
  <c r="AJ92" i="11" s="1"/>
  <c r="AJ94" i="11" s="1"/>
  <c r="AJ117" i="5" s="1"/>
  <c r="AJ115" i="5" s="1"/>
  <c r="AS276" i="11"/>
  <c r="AS277" i="11" s="1"/>
  <c r="AT274" i="11" s="1"/>
  <c r="AS281" i="11"/>
  <c r="AS282" i="11" s="1"/>
  <c r="AT279" i="11" s="1"/>
  <c r="AF49" i="11"/>
  <c r="AG46" i="11" s="1"/>
  <c r="AG125" i="11" s="1"/>
  <c r="AH52" i="6" s="1"/>
  <c r="AD126" i="11"/>
  <c r="AD46" i="5" s="1"/>
  <c r="EQ73" i="5"/>
  <c r="J23" i="11"/>
  <c r="DM47" i="5" l="1"/>
  <c r="DM132" i="11"/>
  <c r="DN129" i="11" s="1"/>
  <c r="DL27" i="15"/>
  <c r="DN51" i="11"/>
  <c r="M68" i="26"/>
  <c r="E189" i="32" s="1"/>
  <c r="N68" i="26"/>
  <c r="O68" i="26"/>
  <c r="P68" i="26"/>
  <c r="Q68" i="26"/>
  <c r="R68" i="26"/>
  <c r="S68" i="26"/>
  <c r="T68" i="26"/>
  <c r="U68" i="26"/>
  <c r="V68" i="26"/>
  <c r="W68" i="26"/>
  <c r="W66" i="26" s="1"/>
  <c r="X68" i="26"/>
  <c r="X66" i="26" s="1"/>
  <c r="AJ95" i="11"/>
  <c r="AK92" i="11" s="1"/>
  <c r="AT281" i="11"/>
  <c r="AT282" i="11" s="1"/>
  <c r="AU279" i="11" s="1"/>
  <c r="AT276" i="11"/>
  <c r="AT277" i="11" s="1"/>
  <c r="AU274" i="11" s="1"/>
  <c r="AG48" i="11"/>
  <c r="AG88" i="5" s="1"/>
  <c r="AG86" i="5" s="1"/>
  <c r="AD127" i="11"/>
  <c r="AE124" i="11" s="1"/>
  <c r="J73" i="5"/>
  <c r="J71" i="5" s="1"/>
  <c r="EQ71" i="5"/>
  <c r="AI68" i="17"/>
  <c r="DN53" i="11" l="1"/>
  <c r="DN130" i="11"/>
  <c r="O66" i="26"/>
  <c r="G189" i="32"/>
  <c r="V66" i="26"/>
  <c r="N189" i="32"/>
  <c r="N66" i="26"/>
  <c r="F189" i="32"/>
  <c r="N619" i="32" s="1"/>
  <c r="O619" i="32" s="1"/>
  <c r="S66" i="26"/>
  <c r="K189" i="32"/>
  <c r="Q66" i="26"/>
  <c r="I189" i="32"/>
  <c r="U66" i="26"/>
  <c r="M189" i="32"/>
  <c r="R66" i="26"/>
  <c r="J189" i="32"/>
  <c r="P66" i="26"/>
  <c r="H189" i="32"/>
  <c r="T66" i="26"/>
  <c r="L189" i="32"/>
  <c r="M66" i="26"/>
  <c r="J68" i="26"/>
  <c r="J66" i="26" s="1"/>
  <c r="AK94" i="11"/>
  <c r="AK117" i="5" s="1"/>
  <c r="AU276" i="11"/>
  <c r="AU277" i="11" s="1"/>
  <c r="AV274" i="11" s="1"/>
  <c r="AU281" i="11"/>
  <c r="AU282" i="11" s="1"/>
  <c r="AV279" i="11" s="1"/>
  <c r="AG49" i="11"/>
  <c r="AH46" i="11" s="1"/>
  <c r="AH125" i="11" s="1"/>
  <c r="AI52" i="6" s="1"/>
  <c r="AE126" i="11"/>
  <c r="AE46" i="5" s="1"/>
  <c r="J68" i="17"/>
  <c r="J66" i="17" s="1"/>
  <c r="AI66" i="17"/>
  <c r="DN131" i="11" l="1"/>
  <c r="DO53" i="6"/>
  <c r="DN94" i="5"/>
  <c r="DN92" i="5" s="1"/>
  <c r="DN54" i="11"/>
  <c r="C189" i="32"/>
  <c r="AK115" i="5"/>
  <c r="AK95" i="11"/>
  <c r="AL92" i="11" s="1"/>
  <c r="AH48" i="11"/>
  <c r="AH88" i="5" s="1"/>
  <c r="AH86" i="5" s="1"/>
  <c r="AV281" i="11"/>
  <c r="AV282" i="11" s="1"/>
  <c r="AW279" i="11" s="1"/>
  <c r="AV276" i="11"/>
  <c r="AV277" i="11" s="1"/>
  <c r="AW274" i="11" s="1"/>
  <c r="AE127" i="11"/>
  <c r="AF124" i="11" s="1"/>
  <c r="AF126" i="11" s="1"/>
  <c r="AF46" i="5" s="1"/>
  <c r="DM27" i="15" l="1"/>
  <c r="DO51" i="11"/>
  <c r="DN47" i="5"/>
  <c r="DN132" i="11"/>
  <c r="DO129" i="11" s="1"/>
  <c r="AL94" i="11"/>
  <c r="AL117" i="5" s="1"/>
  <c r="AH49" i="11"/>
  <c r="AI46" i="11" s="1"/>
  <c r="AI125" i="11" s="1"/>
  <c r="AJ52" i="6" s="1"/>
  <c r="AW276" i="11"/>
  <c r="AW277" i="11" s="1"/>
  <c r="AX274" i="11" s="1"/>
  <c r="AW281" i="11"/>
  <c r="AW282" i="11" s="1"/>
  <c r="AX279" i="11" s="1"/>
  <c r="AF127" i="11"/>
  <c r="AG124" i="11" s="1"/>
  <c r="DO53" i="11" l="1"/>
  <c r="DO130" i="11"/>
  <c r="AL115" i="5"/>
  <c r="AL95" i="11"/>
  <c r="AM92" i="11" s="1"/>
  <c r="AM94" i="11" s="1"/>
  <c r="AM117" i="5" s="1"/>
  <c r="AM115" i="5" s="1"/>
  <c r="AI48" i="11"/>
  <c r="AI88" i="5" s="1"/>
  <c r="AI86" i="5" s="1"/>
  <c r="AX281" i="11"/>
  <c r="AX282" i="11" s="1"/>
  <c r="AY279" i="11" s="1"/>
  <c r="AX276" i="11"/>
  <c r="AX277" i="11" s="1"/>
  <c r="AY274" i="11" s="1"/>
  <c r="AG126" i="11"/>
  <c r="AG46" i="5" s="1"/>
  <c r="DP53" i="6" l="1"/>
  <c r="DO131" i="11"/>
  <c r="DO94" i="5"/>
  <c r="DO92" i="5" s="1"/>
  <c r="DO54" i="11"/>
  <c r="AM95" i="11"/>
  <c r="AN92" i="11" s="1"/>
  <c r="AI49" i="11"/>
  <c r="AJ46" i="11" s="1"/>
  <c r="AY276" i="11"/>
  <c r="AY277" i="11" s="1"/>
  <c r="AZ274" i="11" s="1"/>
  <c r="AY281" i="11"/>
  <c r="AY282" i="11" s="1"/>
  <c r="AZ279" i="11" s="1"/>
  <c r="AG127" i="11"/>
  <c r="AH124" i="11" s="1"/>
  <c r="DP51" i="11" l="1"/>
  <c r="DN27" i="15"/>
  <c r="DO47" i="5"/>
  <c r="DO132" i="11"/>
  <c r="DP129" i="11" s="1"/>
  <c r="AJ48" i="11"/>
  <c r="AJ88" i="5" s="1"/>
  <c r="AJ125" i="11"/>
  <c r="AK52" i="6" s="1"/>
  <c r="AN94" i="11"/>
  <c r="AN117" i="5" s="1"/>
  <c r="AZ281" i="11"/>
  <c r="AZ282" i="11" s="1"/>
  <c r="BA279" i="11" s="1"/>
  <c r="AZ276" i="11"/>
  <c r="AZ277" i="11" s="1"/>
  <c r="BA274" i="11" s="1"/>
  <c r="AH126" i="11"/>
  <c r="AH46" i="5" s="1"/>
  <c r="DP130" i="11" l="1"/>
  <c r="DP53" i="11"/>
  <c r="AN115" i="5"/>
  <c r="AJ49" i="11"/>
  <c r="AK46" i="11" s="1"/>
  <c r="AK125" i="11" s="1"/>
  <c r="AL52" i="6" s="1"/>
  <c r="AN95" i="11"/>
  <c r="AO92" i="11" s="1"/>
  <c r="AO94" i="11" s="1"/>
  <c r="AO117" i="5" s="1"/>
  <c r="AO115" i="5" s="1"/>
  <c r="AJ86" i="5"/>
  <c r="P83" i="17"/>
  <c r="P81" i="17" s="1"/>
  <c r="BA276" i="11"/>
  <c r="BA277" i="11" s="1"/>
  <c r="BB274" i="11" s="1"/>
  <c r="BA281" i="11"/>
  <c r="BA282" i="11" s="1"/>
  <c r="BB279" i="11" s="1"/>
  <c r="AH127" i="11"/>
  <c r="AI124" i="11" s="1"/>
  <c r="DQ53" i="6" l="1"/>
  <c r="AD47" i="16" s="1"/>
  <c r="U696" i="32" s="1"/>
  <c r="DP131" i="11"/>
  <c r="DP94" i="5"/>
  <c r="DP92" i="5" s="1"/>
  <c r="DP54" i="11"/>
  <c r="AK48" i="11"/>
  <c r="AK88" i="5" s="1"/>
  <c r="AO95" i="11"/>
  <c r="AP92" i="11" s="1"/>
  <c r="AP94" i="11" s="1"/>
  <c r="BB281" i="11"/>
  <c r="BB282" i="11" s="1"/>
  <c r="BC279" i="11" s="1"/>
  <c r="BB276" i="11"/>
  <c r="BB277" i="11" s="1"/>
  <c r="BC274" i="11" s="1"/>
  <c r="AI126" i="11"/>
  <c r="AI46" i="5" s="1"/>
  <c r="L59" i="11"/>
  <c r="DP132" i="11" l="1"/>
  <c r="DQ129" i="11" s="1"/>
  <c r="DP47" i="5"/>
  <c r="DO27" i="15"/>
  <c r="AB22" i="18" s="1"/>
  <c r="DQ51" i="11"/>
  <c r="AK86" i="5"/>
  <c r="AK49" i="11"/>
  <c r="AL46" i="11" s="1"/>
  <c r="AL48" i="11" s="1"/>
  <c r="AL88" i="5" s="1"/>
  <c r="AL86" i="5" s="1"/>
  <c r="AP117" i="5"/>
  <c r="AP95" i="11"/>
  <c r="AQ92" i="11" s="1"/>
  <c r="AQ94" i="11" s="1"/>
  <c r="AQ117" i="5" s="1"/>
  <c r="AQ115" i="5" s="1"/>
  <c r="BC276" i="11"/>
  <c r="BC277" i="11" s="1"/>
  <c r="BD274" i="11" s="1"/>
  <c r="BC281" i="11"/>
  <c r="BC282" i="11" s="1"/>
  <c r="BD279" i="11" s="1"/>
  <c r="AI127" i="11"/>
  <c r="AJ124" i="11" s="1"/>
  <c r="K32" i="15"/>
  <c r="D654" i="32" s="1"/>
  <c r="M56" i="11"/>
  <c r="M58" i="11" s="1"/>
  <c r="M91" i="5" s="1"/>
  <c r="L81" i="11"/>
  <c r="L90" i="11"/>
  <c r="M83" i="11"/>
  <c r="M89" i="11" s="1"/>
  <c r="DQ130" i="11" l="1"/>
  <c r="DQ53" i="11"/>
  <c r="AP115" i="5"/>
  <c r="AL49" i="11"/>
  <c r="AM46" i="11" s="1"/>
  <c r="AM125" i="11" s="1"/>
  <c r="AN52" i="6" s="1"/>
  <c r="AL125" i="11"/>
  <c r="AM52" i="6" s="1"/>
  <c r="AQ95" i="11"/>
  <c r="AR92" i="11" s="1"/>
  <c r="AR94" i="11" s="1"/>
  <c r="AR117" i="5" s="1"/>
  <c r="AR115" i="5" s="1"/>
  <c r="BD281" i="11"/>
  <c r="BD282" i="11" s="1"/>
  <c r="BE279" i="11" s="1"/>
  <c r="BD276" i="11"/>
  <c r="BD277" i="11" s="1"/>
  <c r="BE274" i="11" s="1"/>
  <c r="AJ126" i="11"/>
  <c r="AJ46" i="5" s="1"/>
  <c r="M89" i="5"/>
  <c r="M84" i="11"/>
  <c r="M141" i="11"/>
  <c r="M135" i="11"/>
  <c r="N54" i="6" s="1"/>
  <c r="M59" i="11"/>
  <c r="L32" i="15" s="1"/>
  <c r="DR53" i="6" l="1"/>
  <c r="DQ131" i="11"/>
  <c r="DQ94" i="5"/>
  <c r="DQ92" i="5" s="1"/>
  <c r="DQ54" i="11"/>
  <c r="AM48" i="11"/>
  <c r="AM88" i="5" s="1"/>
  <c r="AR95" i="11"/>
  <c r="AS92" i="11" s="1"/>
  <c r="AS94" i="11" s="1"/>
  <c r="AS117" i="5" s="1"/>
  <c r="AS115" i="5" s="1"/>
  <c r="BE276" i="11"/>
  <c r="BE277" i="11" s="1"/>
  <c r="BF274" i="11" s="1"/>
  <c r="BE281" i="11"/>
  <c r="BE282" i="11" s="1"/>
  <c r="BF279" i="11" s="1"/>
  <c r="AJ127" i="11"/>
  <c r="AK124" i="11" s="1"/>
  <c r="M142" i="11"/>
  <c r="N139" i="11" s="1"/>
  <c r="M136" i="11"/>
  <c r="M63" i="19" s="1"/>
  <c r="N56" i="11"/>
  <c r="N58" i="11" s="1"/>
  <c r="N91" i="5" s="1"/>
  <c r="DQ47" i="5" l="1"/>
  <c r="DQ132" i="11"/>
  <c r="DR129" i="11" s="1"/>
  <c r="DR51" i="11"/>
  <c r="DP27" i="15"/>
  <c r="AM86" i="5"/>
  <c r="AM49" i="11"/>
  <c r="AN46" i="11" s="1"/>
  <c r="AN125" i="11" s="1"/>
  <c r="AO52" i="6" s="1"/>
  <c r="AS95" i="11"/>
  <c r="AT92" i="11" s="1"/>
  <c r="AT94" i="11" s="1"/>
  <c r="AT117" i="5" s="1"/>
  <c r="AT115" i="5" s="1"/>
  <c r="BF281" i="11"/>
  <c r="BF282" i="11" s="1"/>
  <c r="BG279" i="11" s="1"/>
  <c r="BF276" i="11"/>
  <c r="BF277" i="11" s="1"/>
  <c r="BG274" i="11" s="1"/>
  <c r="AK126" i="11"/>
  <c r="AK46" i="5" s="1"/>
  <c r="N89" i="5"/>
  <c r="M137" i="11"/>
  <c r="M48" i="5"/>
  <c r="N84" i="11"/>
  <c r="N141" i="11"/>
  <c r="N142" i="11" s="1"/>
  <c r="O139" i="11" s="1"/>
  <c r="N135" i="11"/>
  <c r="M85" i="11"/>
  <c r="M62" i="19" s="1"/>
  <c r="N59" i="11"/>
  <c r="M32" i="15" s="1"/>
  <c r="DR53" i="11" l="1"/>
  <c r="DR130" i="11"/>
  <c r="AN48" i="11"/>
  <c r="AN88" i="5" s="1"/>
  <c r="AT95" i="11"/>
  <c r="AU92" i="11" s="1"/>
  <c r="AU94" i="11" s="1"/>
  <c r="BG276" i="11"/>
  <c r="BG277" i="11" s="1"/>
  <c r="BH274" i="11" s="1"/>
  <c r="BG281" i="11"/>
  <c r="BG282" i="11" s="1"/>
  <c r="BH279" i="11" s="1"/>
  <c r="AK127" i="11"/>
  <c r="AL124" i="11" s="1"/>
  <c r="M86" i="11"/>
  <c r="N136" i="11"/>
  <c r="N63" i="19" s="1"/>
  <c r="O54" i="6"/>
  <c r="N134" i="11"/>
  <c r="O56" i="11"/>
  <c r="DR131" i="11" l="1"/>
  <c r="DS53" i="6"/>
  <c r="DR94" i="5"/>
  <c r="DR92" i="5" s="1"/>
  <c r="DR54" i="11"/>
  <c r="AN86" i="5"/>
  <c r="AN49" i="11"/>
  <c r="AO46" i="11" s="1"/>
  <c r="AO125" i="11" s="1"/>
  <c r="AP52" i="6" s="1"/>
  <c r="AU117" i="5"/>
  <c r="AU115" i="5" s="1"/>
  <c r="AU95" i="11"/>
  <c r="AV92" i="11" s="1"/>
  <c r="AV94" i="11" s="1"/>
  <c r="AV117" i="5" s="1"/>
  <c r="AV115" i="5" s="1"/>
  <c r="BH281" i="11"/>
  <c r="BH282" i="11" s="1"/>
  <c r="BI279" i="11" s="1"/>
  <c r="BH276" i="11"/>
  <c r="BH277" i="11" s="1"/>
  <c r="BI274" i="11" s="1"/>
  <c r="AL126" i="11"/>
  <c r="AL46" i="5" s="1"/>
  <c r="O58" i="11"/>
  <c r="O91" i="5" s="1"/>
  <c r="N48" i="5"/>
  <c r="N137" i="11"/>
  <c r="N83" i="11"/>
  <c r="N89" i="11" s="1"/>
  <c r="O135" i="11"/>
  <c r="DS51" i="11" l="1"/>
  <c r="DQ27" i="15"/>
  <c r="DR47" i="5"/>
  <c r="DR132" i="11"/>
  <c r="DS129" i="11" s="1"/>
  <c r="AO48" i="11"/>
  <c r="AO88" i="5" s="1"/>
  <c r="AV95" i="11"/>
  <c r="AW92" i="11" s="1"/>
  <c r="AW94" i="11" s="1"/>
  <c r="AW117" i="5" s="1"/>
  <c r="BI276" i="11"/>
  <c r="BI277" i="11" s="1"/>
  <c r="BJ274" i="11" s="1"/>
  <c r="BI281" i="11"/>
  <c r="BI282" i="11" s="1"/>
  <c r="BJ279" i="11" s="1"/>
  <c r="AL127" i="11"/>
  <c r="AM124" i="11" s="1"/>
  <c r="O134" i="11"/>
  <c r="O141" i="11"/>
  <c r="O142" i="11" s="1"/>
  <c r="P139" i="11" s="1"/>
  <c r="O89" i="5"/>
  <c r="O84" i="11"/>
  <c r="O59" i="11"/>
  <c r="O136" i="11"/>
  <c r="P54" i="6"/>
  <c r="N85" i="11"/>
  <c r="N62" i="19" s="1"/>
  <c r="DS53" i="11" l="1"/>
  <c r="DS130" i="11"/>
  <c r="AW115" i="5"/>
  <c r="AO86" i="5"/>
  <c r="AO49" i="11"/>
  <c r="AP46" i="11" s="1"/>
  <c r="AP125" i="11" s="1"/>
  <c r="AQ52" i="6" s="1"/>
  <c r="AW95" i="11"/>
  <c r="AX92" i="11" s="1"/>
  <c r="AX94" i="11" s="1"/>
  <c r="AX117" i="5" s="1"/>
  <c r="AX115" i="5" s="1"/>
  <c r="BJ281" i="11"/>
  <c r="BJ282" i="11" s="1"/>
  <c r="BK279" i="11" s="1"/>
  <c r="BJ276" i="11"/>
  <c r="BJ277" i="11" s="1"/>
  <c r="BK274" i="11" s="1"/>
  <c r="AM126" i="11"/>
  <c r="AM46" i="5" s="1"/>
  <c r="P56" i="11"/>
  <c r="P58" i="11" s="1"/>
  <c r="P91" i="5" s="1"/>
  <c r="N32" i="15"/>
  <c r="E654" i="32" s="1"/>
  <c r="O63" i="19"/>
  <c r="O48" i="5"/>
  <c r="O137" i="11"/>
  <c r="N86" i="11"/>
  <c r="O83" i="11" s="1"/>
  <c r="DT53" i="6" l="1"/>
  <c r="DS131" i="11"/>
  <c r="DS94" i="5"/>
  <c r="DS92" i="5" s="1"/>
  <c r="DS54" i="11"/>
  <c r="AP48" i="11"/>
  <c r="AP88" i="5" s="1"/>
  <c r="AP86" i="5" s="1"/>
  <c r="AX95" i="11"/>
  <c r="AY92" i="11" s="1"/>
  <c r="AY94" i="11" s="1"/>
  <c r="AY117" i="5" s="1"/>
  <c r="AY115" i="5" s="1"/>
  <c r="BK276" i="11"/>
  <c r="BK277" i="11" s="1"/>
  <c r="BL274" i="11" s="1"/>
  <c r="BK281" i="11"/>
  <c r="BK282" i="11" s="1"/>
  <c r="BL279" i="11" s="1"/>
  <c r="AM127" i="11"/>
  <c r="AN124" i="11" s="1"/>
  <c r="P135" i="11"/>
  <c r="P136" i="11" s="1"/>
  <c r="P134" i="11"/>
  <c r="P141" i="11"/>
  <c r="P142" i="11" s="1"/>
  <c r="Q139" i="11" s="1"/>
  <c r="P84" i="11"/>
  <c r="P89" i="5"/>
  <c r="P59" i="11"/>
  <c r="O89" i="11"/>
  <c r="O85" i="11"/>
  <c r="O62" i="19" s="1"/>
  <c r="DT51" i="11" l="1"/>
  <c r="DR27" i="15"/>
  <c r="DS47" i="5"/>
  <c r="DS132" i="11"/>
  <c r="DT129" i="11" s="1"/>
  <c r="AP49" i="11"/>
  <c r="AQ46" i="11" s="1"/>
  <c r="AQ125" i="11" s="1"/>
  <c r="AR52" i="6" s="1"/>
  <c r="AY95" i="11"/>
  <c r="AZ92" i="11" s="1"/>
  <c r="AZ94" i="11" s="1"/>
  <c r="AZ117" i="5" s="1"/>
  <c r="AZ115" i="5" s="1"/>
  <c r="BL281" i="11"/>
  <c r="BL282" i="11" s="1"/>
  <c r="BM279" i="11" s="1"/>
  <c r="BL276" i="11"/>
  <c r="BL277" i="11" s="1"/>
  <c r="BM274" i="11" s="1"/>
  <c r="AN126" i="11"/>
  <c r="AN46" i="5" s="1"/>
  <c r="Q54" i="6"/>
  <c r="Q56" i="11"/>
  <c r="Q58" i="11" s="1"/>
  <c r="Q91" i="5" s="1"/>
  <c r="O32" i="15"/>
  <c r="P63" i="19"/>
  <c r="P48" i="5"/>
  <c r="P137" i="11"/>
  <c r="O86" i="11"/>
  <c r="DT53" i="11" l="1"/>
  <c r="DT130" i="11"/>
  <c r="AQ48" i="11"/>
  <c r="AZ95" i="11"/>
  <c r="BA92" i="11" s="1"/>
  <c r="BA94" i="11" s="1"/>
  <c r="BA117" i="5" s="1"/>
  <c r="BA115" i="5" s="1"/>
  <c r="BM276" i="11"/>
  <c r="BM277" i="11" s="1"/>
  <c r="BN274" i="11" s="1"/>
  <c r="BM281" i="11"/>
  <c r="BM282" i="11" s="1"/>
  <c r="BN279" i="11" s="1"/>
  <c r="AN127" i="11"/>
  <c r="AO124" i="11" s="1"/>
  <c r="AO126" i="11" s="1"/>
  <c r="AO46" i="5" s="1"/>
  <c r="Q135" i="11"/>
  <c r="Q136" i="11" s="1"/>
  <c r="Q59" i="11"/>
  <c r="P32" i="15" s="1"/>
  <c r="Q141" i="11"/>
  <c r="Q142" i="11" s="1"/>
  <c r="R139" i="11" s="1"/>
  <c r="Q84" i="11"/>
  <c r="Q89" i="5"/>
  <c r="Q134" i="11"/>
  <c r="P83" i="11"/>
  <c r="DT94" i="5" l="1"/>
  <c r="DT92" i="5" s="1"/>
  <c r="DT54" i="11"/>
  <c r="DU53" i="6"/>
  <c r="DT131" i="11"/>
  <c r="AQ49" i="11"/>
  <c r="AR46" i="11" s="1"/>
  <c r="AQ88" i="5"/>
  <c r="AQ86" i="5" s="1"/>
  <c r="BA95" i="11"/>
  <c r="BB92" i="11" s="1"/>
  <c r="BB94" i="11" s="1"/>
  <c r="BB117" i="5" s="1"/>
  <c r="BB115" i="5" s="1"/>
  <c r="BN281" i="11"/>
  <c r="BN282" i="11" s="1"/>
  <c r="BO279" i="11" s="1"/>
  <c r="BN276" i="11"/>
  <c r="BN277" i="11" s="1"/>
  <c r="BO274" i="11" s="1"/>
  <c r="AO127" i="11"/>
  <c r="AP124" i="11" s="1"/>
  <c r="AP126" i="11" s="1"/>
  <c r="AP46" i="5" s="1"/>
  <c r="R54" i="6"/>
  <c r="R56" i="11"/>
  <c r="R135" i="11" s="1"/>
  <c r="Q63" i="19"/>
  <c r="Q48" i="5"/>
  <c r="P85" i="11"/>
  <c r="P89" i="11"/>
  <c r="Q137" i="11"/>
  <c r="DT47" i="5" l="1"/>
  <c r="DT132" i="11"/>
  <c r="DU129" i="11" s="1"/>
  <c r="DU51" i="11"/>
  <c r="DS27" i="15"/>
  <c r="AR48" i="11"/>
  <c r="AR125" i="11"/>
  <c r="AS52" i="6" s="1"/>
  <c r="BB95" i="11"/>
  <c r="BC92" i="11" s="1"/>
  <c r="BC94" i="11" s="1"/>
  <c r="BC117" i="5" s="1"/>
  <c r="BC115" i="5" s="1"/>
  <c r="BO276" i="11"/>
  <c r="BO277" i="11" s="1"/>
  <c r="BP274" i="11" s="1"/>
  <c r="BO281" i="11"/>
  <c r="BO282" i="11" s="1"/>
  <c r="BP279" i="11" s="1"/>
  <c r="AP127" i="11"/>
  <c r="AQ124" i="11" s="1"/>
  <c r="R58" i="11"/>
  <c r="R91" i="5" s="1"/>
  <c r="R89" i="5" s="1"/>
  <c r="R134" i="11"/>
  <c r="P86" i="11"/>
  <c r="Q83" i="11" s="1"/>
  <c r="P62" i="19"/>
  <c r="R136" i="11"/>
  <c r="S54" i="6"/>
  <c r="M48" i="16" s="1"/>
  <c r="DU53" i="11" l="1"/>
  <c r="DU130" i="11"/>
  <c r="AR88" i="5"/>
  <c r="AR86" i="5" s="1"/>
  <c r="AR49" i="11"/>
  <c r="AS46" i="11" s="1"/>
  <c r="BC95" i="11"/>
  <c r="BD92" i="11" s="1"/>
  <c r="BD94" i="11" s="1"/>
  <c r="BD117" i="5" s="1"/>
  <c r="BD115" i="5" s="1"/>
  <c r="BP281" i="11"/>
  <c r="BP282" i="11" s="1"/>
  <c r="BQ279" i="11" s="1"/>
  <c r="BP276" i="11"/>
  <c r="BP277" i="11" s="1"/>
  <c r="BQ274" i="11" s="1"/>
  <c r="AQ126" i="11"/>
  <c r="AQ46" i="5" s="1"/>
  <c r="R59" i="11"/>
  <c r="Q32" i="15" s="1"/>
  <c r="F654" i="32" s="1"/>
  <c r="R84" i="11"/>
  <c r="R141" i="11"/>
  <c r="R142" i="11" s="1"/>
  <c r="S139" i="11" s="1"/>
  <c r="Q85" i="11"/>
  <c r="Q62" i="19" s="1"/>
  <c r="Q89" i="11"/>
  <c r="R137" i="11"/>
  <c r="DU131" i="11" l="1"/>
  <c r="DV53" i="6"/>
  <c r="DU94" i="5"/>
  <c r="DU92" i="5" s="1"/>
  <c r="DU54" i="11"/>
  <c r="AS125" i="11"/>
  <c r="AT52" i="6" s="1"/>
  <c r="AS48" i="11"/>
  <c r="BD95" i="11"/>
  <c r="BE92" i="11" s="1"/>
  <c r="BE94" i="11" s="1"/>
  <c r="BQ276" i="11"/>
  <c r="BQ277" i="11" s="1"/>
  <c r="BR274" i="11" s="1"/>
  <c r="BQ281" i="11"/>
  <c r="BQ282" i="11" s="1"/>
  <c r="BR279" i="11" s="1"/>
  <c r="AQ127" i="11"/>
  <c r="AR124" i="11" s="1"/>
  <c r="K27" i="18"/>
  <c r="M47" i="16"/>
  <c r="AA47" i="16"/>
  <c r="AB47" i="16"/>
  <c r="S696" i="32" s="1"/>
  <c r="AC47" i="16"/>
  <c r="T696" i="32" s="1"/>
  <c r="AC89" i="17"/>
  <c r="AC87" i="17" s="1"/>
  <c r="AD89" i="17"/>
  <c r="R48" i="5"/>
  <c r="R63" i="19"/>
  <c r="S56" i="11"/>
  <c r="S135" i="11" s="1"/>
  <c r="T54" i="6" s="1"/>
  <c r="Q86" i="11"/>
  <c r="R83" i="11" s="1"/>
  <c r="R89" i="11" s="1"/>
  <c r="S134" i="11"/>
  <c r="K135" i="32" l="1"/>
  <c r="R696" i="32"/>
  <c r="DT27" i="15"/>
  <c r="DV51" i="11"/>
  <c r="DU47" i="5"/>
  <c r="DU132" i="11"/>
  <c r="DV129" i="11" s="1"/>
  <c r="L135" i="32"/>
  <c r="D696" i="32"/>
  <c r="D135" i="32"/>
  <c r="D785" i="32"/>
  <c r="D223" i="32"/>
  <c r="AS88" i="5"/>
  <c r="AS86" i="5" s="1"/>
  <c r="AS49" i="11"/>
  <c r="AT46" i="11" s="1"/>
  <c r="BE117" i="5"/>
  <c r="BE115" i="5" s="1"/>
  <c r="BE95" i="11"/>
  <c r="BF92" i="11" s="1"/>
  <c r="BF94" i="11" s="1"/>
  <c r="BR281" i="11"/>
  <c r="BR282" i="11" s="1"/>
  <c r="BS279" i="11" s="1"/>
  <c r="BR276" i="11"/>
  <c r="BR277" i="11" s="1"/>
  <c r="BS274" i="11" s="1"/>
  <c r="AR126" i="11"/>
  <c r="AR46" i="5" s="1"/>
  <c r="L42" i="17"/>
  <c r="D735" i="32" s="1"/>
  <c r="AB42" i="17"/>
  <c r="AC42" i="17"/>
  <c r="AD42" i="17"/>
  <c r="AD87" i="17"/>
  <c r="S136" i="11"/>
  <c r="S137" i="11" s="1"/>
  <c r="S58" i="11"/>
  <c r="S91" i="5" s="1"/>
  <c r="S89" i="5" s="1"/>
  <c r="R85" i="11"/>
  <c r="DV53" i="11" l="1"/>
  <c r="DV130" i="11"/>
  <c r="C735" i="32"/>
  <c r="AT48" i="11"/>
  <c r="AT88" i="5" s="1"/>
  <c r="AT86" i="5" s="1"/>
  <c r="AT125" i="11"/>
  <c r="AU52" i="6" s="1"/>
  <c r="BF117" i="5"/>
  <c r="BF115" i="5" s="1"/>
  <c r="BF95" i="11"/>
  <c r="BG92" i="11" s="1"/>
  <c r="BG94" i="11" s="1"/>
  <c r="BG117" i="5" s="1"/>
  <c r="BG115" i="5" s="1"/>
  <c r="BS281" i="11"/>
  <c r="BS282" i="11" s="1"/>
  <c r="BT279" i="11" s="1"/>
  <c r="BS276" i="11"/>
  <c r="BS277" i="11" s="1"/>
  <c r="BT274" i="11" s="1"/>
  <c r="AR127" i="11"/>
  <c r="AS124" i="11" s="1"/>
  <c r="S59" i="11"/>
  <c r="R32" i="15" s="1"/>
  <c r="S84" i="11"/>
  <c r="S141" i="11"/>
  <c r="T134" i="11"/>
  <c r="R86" i="11"/>
  <c r="S83" i="11" s="1"/>
  <c r="S89" i="11" s="1"/>
  <c r="R62" i="19"/>
  <c r="DV94" i="5" l="1"/>
  <c r="DV54" i="11"/>
  <c r="DW53" i="6"/>
  <c r="DV131" i="11"/>
  <c r="AT49" i="11"/>
  <c r="AU46" i="11" s="1"/>
  <c r="BG95" i="11"/>
  <c r="BH92" i="11" s="1"/>
  <c r="BT276" i="11"/>
  <c r="BT277" i="11" s="1"/>
  <c r="BU274" i="11" s="1"/>
  <c r="BT281" i="11"/>
  <c r="BT282" i="11" s="1"/>
  <c r="BU279" i="11" s="1"/>
  <c r="AS126" i="11"/>
  <c r="AS46" i="5" s="1"/>
  <c r="T56" i="11"/>
  <c r="S142" i="11"/>
  <c r="S63" i="19"/>
  <c r="S48" i="5"/>
  <c r="S85" i="11"/>
  <c r="S62" i="19" s="1"/>
  <c r="DV92" i="5" l="1"/>
  <c r="AE89" i="17"/>
  <c r="AE87" i="17" s="1"/>
  <c r="DU27" i="15"/>
  <c r="AC22" i="18" s="1"/>
  <c r="M218" i="32" s="1"/>
  <c r="DW51" i="11"/>
  <c r="AE47" i="16"/>
  <c r="AF47" i="16"/>
  <c r="W696" i="32" s="1"/>
  <c r="DV132" i="11"/>
  <c r="DW129" i="11" s="1"/>
  <c r="DV47" i="5"/>
  <c r="AE42" i="17" s="1"/>
  <c r="AU125" i="11"/>
  <c r="AV52" i="6" s="1"/>
  <c r="AU48" i="11"/>
  <c r="AU88" i="5" s="1"/>
  <c r="AU86" i="5" s="1"/>
  <c r="BH94" i="11"/>
  <c r="BH117" i="5" s="1"/>
  <c r="BH115" i="5" s="1"/>
  <c r="BU281" i="11"/>
  <c r="BU282" i="11" s="1"/>
  <c r="BV279" i="11" s="1"/>
  <c r="BU276" i="11"/>
  <c r="BU277" i="11" s="1"/>
  <c r="BV274" i="11" s="1"/>
  <c r="AS127" i="11"/>
  <c r="AT124" i="11" s="1"/>
  <c r="AT126" i="11" s="1"/>
  <c r="AT46" i="5" s="1"/>
  <c r="T58" i="11"/>
  <c r="T59" i="11" s="1"/>
  <c r="S32" i="15" s="1"/>
  <c r="T135" i="11"/>
  <c r="T139" i="11"/>
  <c r="S86" i="11"/>
  <c r="T83" i="11" s="1"/>
  <c r="T89" i="11" s="1"/>
  <c r="M135" i="32" l="1"/>
  <c r="V696" i="32"/>
  <c r="DW130" i="11"/>
  <c r="DW53" i="11"/>
  <c r="AU49" i="11"/>
  <c r="AV46" i="11" s="1"/>
  <c r="AV125" i="11" s="1"/>
  <c r="AW52" i="6" s="1"/>
  <c r="BH95" i="11"/>
  <c r="BI92" i="11" s="1"/>
  <c r="BV276" i="11"/>
  <c r="BV277" i="11" s="1"/>
  <c r="BW274" i="11" s="1"/>
  <c r="BV281" i="11"/>
  <c r="BV282" i="11" s="1"/>
  <c r="BW279" i="11" s="1"/>
  <c r="AT127" i="11"/>
  <c r="AU124" i="11" s="1"/>
  <c r="AU126" i="11" s="1"/>
  <c r="AU46" i="5" s="1"/>
  <c r="U56" i="11"/>
  <c r="T136" i="11"/>
  <c r="T137" i="11" s="1"/>
  <c r="U54" i="6"/>
  <c r="T91" i="5"/>
  <c r="T89" i="5" s="1"/>
  <c r="T84" i="11"/>
  <c r="T141" i="11"/>
  <c r="T142" i="11" s="1"/>
  <c r="U139" i="11" s="1"/>
  <c r="DX53" i="6" l="1"/>
  <c r="DW131" i="11"/>
  <c r="DW132" i="11" s="1"/>
  <c r="DX129" i="11" s="1"/>
  <c r="DW94" i="5"/>
  <c r="DW54" i="11"/>
  <c r="AV48" i="11"/>
  <c r="AV88" i="5" s="1"/>
  <c r="BI94" i="11"/>
  <c r="BI117" i="5" s="1"/>
  <c r="BW281" i="11"/>
  <c r="BW282" i="11" s="1"/>
  <c r="BX279" i="11" s="1"/>
  <c r="BW276" i="11"/>
  <c r="BW277" i="11" s="1"/>
  <c r="BX274" i="11" s="1"/>
  <c r="AU127" i="11"/>
  <c r="AV124" i="11" s="1"/>
  <c r="AV126" i="11" s="1"/>
  <c r="AV46" i="5" s="1"/>
  <c r="T85" i="11"/>
  <c r="T62" i="19" s="1"/>
  <c r="U134" i="11"/>
  <c r="T63" i="19"/>
  <c r="T48" i="5"/>
  <c r="U135" i="11"/>
  <c r="U58" i="11"/>
  <c r="U59" i="11" s="1"/>
  <c r="T32" i="15" s="1"/>
  <c r="G654" i="32" s="1"/>
  <c r="DW47" i="5" l="1"/>
  <c r="DW92" i="5"/>
  <c r="DX51" i="11"/>
  <c r="DV27" i="15"/>
  <c r="BI115" i="5"/>
  <c r="AV49" i="11"/>
  <c r="AW46" i="11" s="1"/>
  <c r="AW125" i="11" s="1"/>
  <c r="AX52" i="6" s="1"/>
  <c r="AV86" i="5"/>
  <c r="R83" i="17"/>
  <c r="R81" i="17" s="1"/>
  <c r="BI95" i="11"/>
  <c r="BJ92" i="11" s="1"/>
  <c r="BJ94" i="11" s="1"/>
  <c r="BJ117" i="5" s="1"/>
  <c r="BJ115" i="5" s="1"/>
  <c r="BX281" i="11"/>
  <c r="BX282" i="11" s="1"/>
  <c r="BY279" i="11" s="1"/>
  <c r="BX276" i="11"/>
  <c r="BX277" i="11" s="1"/>
  <c r="BY274" i="11" s="1"/>
  <c r="AV127" i="11"/>
  <c r="AW124" i="11" s="1"/>
  <c r="U91" i="5"/>
  <c r="U89" i="5" s="1"/>
  <c r="U84" i="11"/>
  <c r="U141" i="11"/>
  <c r="U142" i="11" s="1"/>
  <c r="V139" i="11" s="1"/>
  <c r="V54" i="6"/>
  <c r="U136" i="11"/>
  <c r="U137" i="11" s="1"/>
  <c r="V56" i="11"/>
  <c r="T86" i="11"/>
  <c r="U83" i="11" s="1"/>
  <c r="DX130" i="11" l="1"/>
  <c r="DX53" i="11"/>
  <c r="DX54" i="11" s="1"/>
  <c r="M89" i="26"/>
  <c r="E187" i="32" s="1"/>
  <c r="N89" i="26"/>
  <c r="O89" i="26"/>
  <c r="P89" i="26"/>
  <c r="Q89" i="26"/>
  <c r="R89" i="26"/>
  <c r="S89" i="26"/>
  <c r="T89" i="26"/>
  <c r="U89" i="26"/>
  <c r="AW48" i="11"/>
  <c r="AW88" i="5" s="1"/>
  <c r="AW126" i="11"/>
  <c r="AW46" i="5" s="1"/>
  <c r="BJ95" i="11"/>
  <c r="BK92" i="11" s="1"/>
  <c r="BK94" i="11" s="1"/>
  <c r="BK117" i="5" s="1"/>
  <c r="BK115" i="5" s="1"/>
  <c r="BY276" i="11"/>
  <c r="BY277" i="11" s="1"/>
  <c r="BZ274" i="11" s="1"/>
  <c r="BY281" i="11"/>
  <c r="BY282" i="11" s="1"/>
  <c r="BZ279" i="11" s="1"/>
  <c r="U63" i="19"/>
  <c r="U48" i="5"/>
  <c r="U85" i="11"/>
  <c r="U62" i="19" s="1"/>
  <c r="U89" i="11"/>
  <c r="V134" i="11"/>
  <c r="V135" i="11"/>
  <c r="V58" i="11"/>
  <c r="V59" i="11" s="1"/>
  <c r="U32" i="15" s="1"/>
  <c r="DW27" i="15" l="1"/>
  <c r="DY51" i="11"/>
  <c r="DX131" i="11"/>
  <c r="DX132" i="11" s="1"/>
  <c r="DY129" i="11" s="1"/>
  <c r="DY53" i="6"/>
  <c r="DX94" i="5"/>
  <c r="U87" i="26"/>
  <c r="M187" i="32"/>
  <c r="S87" i="26"/>
  <c r="K187" i="32"/>
  <c r="N87" i="26"/>
  <c r="F187" i="32"/>
  <c r="N617" i="32" s="1"/>
  <c r="O617" i="32" s="1"/>
  <c r="R87" i="26"/>
  <c r="J187" i="32"/>
  <c r="Q87" i="26"/>
  <c r="I187" i="32"/>
  <c r="O87" i="26"/>
  <c r="G187" i="32"/>
  <c r="T87" i="26"/>
  <c r="L187" i="32"/>
  <c r="P87" i="26"/>
  <c r="H187" i="32"/>
  <c r="M42" i="26"/>
  <c r="E174" i="32" s="1"/>
  <c r="N42" i="26"/>
  <c r="F174" i="32" s="1"/>
  <c r="O42" i="26"/>
  <c r="G174" i="32" s="1"/>
  <c r="P42" i="26"/>
  <c r="H174" i="32" s="1"/>
  <c r="Q42" i="26"/>
  <c r="I174" i="32" s="1"/>
  <c r="R42" i="26"/>
  <c r="J174" i="32" s="1"/>
  <c r="S42" i="26"/>
  <c r="K174" i="32" s="1"/>
  <c r="T42" i="26"/>
  <c r="L174" i="32" s="1"/>
  <c r="U42" i="26"/>
  <c r="M174" i="32" s="1"/>
  <c r="AW86" i="5"/>
  <c r="M87" i="26"/>
  <c r="AW49" i="11"/>
  <c r="AX46" i="11" s="1"/>
  <c r="AX48" i="11" s="1"/>
  <c r="AW127" i="11"/>
  <c r="AX124" i="11" s="1"/>
  <c r="BK95" i="11"/>
  <c r="BL92" i="11" s="1"/>
  <c r="BZ276" i="11"/>
  <c r="BZ277" i="11" s="1"/>
  <c r="CA274" i="11" s="1"/>
  <c r="BZ281" i="11"/>
  <c r="BZ282" i="11" s="1"/>
  <c r="CA279" i="11" s="1"/>
  <c r="U86" i="11"/>
  <c r="V83" i="11" s="1"/>
  <c r="V89" i="11" s="1"/>
  <c r="W56" i="11"/>
  <c r="V91" i="5"/>
  <c r="V89" i="5" s="1"/>
  <c r="V84" i="11"/>
  <c r="V141" i="11"/>
  <c r="V142" i="11" s="1"/>
  <c r="W139" i="11" s="1"/>
  <c r="V136" i="11"/>
  <c r="V137" i="11" s="1"/>
  <c r="W54" i="6"/>
  <c r="DY130" i="11" l="1"/>
  <c r="DY131" i="11" s="1"/>
  <c r="DY53" i="11"/>
  <c r="DY54" i="11" s="1"/>
  <c r="DX47" i="5"/>
  <c r="DX92" i="5"/>
  <c r="N604" i="32"/>
  <c r="O604" i="32" s="1"/>
  <c r="AX125" i="11"/>
  <c r="AX88" i="5"/>
  <c r="AX49" i="11"/>
  <c r="AY46" i="11" s="1"/>
  <c r="BL94" i="11"/>
  <c r="BL117" i="5" s="1"/>
  <c r="CA276" i="11"/>
  <c r="CA277" i="11" s="1"/>
  <c r="CB274" i="11" s="1"/>
  <c r="CA281" i="11"/>
  <c r="CA282" i="11" s="1"/>
  <c r="CB279" i="11" s="1"/>
  <c r="V85" i="11"/>
  <c r="V62" i="19" s="1"/>
  <c r="V63" i="19"/>
  <c r="V48" i="5"/>
  <c r="W135" i="11"/>
  <c r="W58" i="11"/>
  <c r="W59" i="11" s="1"/>
  <c r="V32" i="15" s="1"/>
  <c r="W134" i="11"/>
  <c r="DX27" i="15" l="1"/>
  <c r="DZ51" i="11"/>
  <c r="DZ53" i="6"/>
  <c r="DY94" i="5"/>
  <c r="DY47" i="5"/>
  <c r="DY132" i="11"/>
  <c r="DZ129" i="11" s="1"/>
  <c r="BL115" i="5"/>
  <c r="AX86" i="5"/>
  <c r="AY52" i="6"/>
  <c r="AX126" i="11"/>
  <c r="AY48" i="11"/>
  <c r="AY88" i="5" s="1"/>
  <c r="AY86" i="5" s="1"/>
  <c r="AY125" i="11"/>
  <c r="AZ52" i="6" s="1"/>
  <c r="BL95" i="11"/>
  <c r="BM92" i="11" s="1"/>
  <c r="CB281" i="11"/>
  <c r="CB282" i="11" s="1"/>
  <c r="CC279" i="11" s="1"/>
  <c r="CB276" i="11"/>
  <c r="CB277" i="11" s="1"/>
  <c r="CC274" i="11" s="1"/>
  <c r="V86" i="11"/>
  <c r="W83" i="11" s="1"/>
  <c r="W89" i="11" s="1"/>
  <c r="X56" i="11"/>
  <c r="W136" i="11"/>
  <c r="X54" i="6"/>
  <c r="W91" i="5"/>
  <c r="W89" i="5" s="1"/>
  <c r="W84" i="11"/>
  <c r="W141" i="11"/>
  <c r="W142" i="11" s="1"/>
  <c r="X139" i="11" s="1"/>
  <c r="DZ53" i="11" l="1"/>
  <c r="DZ54" i="11" s="1"/>
  <c r="DZ130" i="11"/>
  <c r="DZ131" i="11" s="1"/>
  <c r="DZ132" i="11" s="1"/>
  <c r="EA129" i="11" s="1"/>
  <c r="DY92" i="5"/>
  <c r="AX46" i="5"/>
  <c r="AX127" i="11"/>
  <c r="AY124" i="11" s="1"/>
  <c r="AY126" i="11" s="1"/>
  <c r="AY46" i="5" s="1"/>
  <c r="AY49" i="11"/>
  <c r="AZ46" i="11" s="1"/>
  <c r="AZ48" i="11" s="1"/>
  <c r="AZ88" i="5" s="1"/>
  <c r="AZ86" i="5" s="1"/>
  <c r="BM94" i="11"/>
  <c r="BM117" i="5" s="1"/>
  <c r="CC276" i="11"/>
  <c r="CC277" i="11" s="1"/>
  <c r="CD274" i="11" s="1"/>
  <c r="CC281" i="11"/>
  <c r="CC282" i="11" s="1"/>
  <c r="CD279" i="11" s="1"/>
  <c r="W85" i="11"/>
  <c r="W86" i="11" s="1"/>
  <c r="X83" i="11" s="1"/>
  <c r="X89" i="11" s="1"/>
  <c r="W63" i="19"/>
  <c r="W48" i="5"/>
  <c r="W137" i="11"/>
  <c r="X58" i="11"/>
  <c r="X59" i="11" s="1"/>
  <c r="W32" i="15" s="1"/>
  <c r="H654" i="32" s="1"/>
  <c r="X135" i="11"/>
  <c r="EA51" i="11" l="1"/>
  <c r="DY27" i="15"/>
  <c r="DZ94" i="5"/>
  <c r="EA53" i="6"/>
  <c r="DZ47" i="5"/>
  <c r="BM115" i="5"/>
  <c r="AZ125" i="11"/>
  <c r="BA52" i="6" s="1"/>
  <c r="AY127" i="11"/>
  <c r="AZ124" i="11" s="1"/>
  <c r="AZ49" i="11"/>
  <c r="BA46" i="11" s="1"/>
  <c r="BA125" i="11" s="1"/>
  <c r="BB52" i="6" s="1"/>
  <c r="BM95" i="11"/>
  <c r="BN92" i="11" s="1"/>
  <c r="CD281" i="11"/>
  <c r="CD282" i="11" s="1"/>
  <c r="CE279" i="11" s="1"/>
  <c r="CD276" i="11"/>
  <c r="CD277" i="11" s="1"/>
  <c r="CE274" i="11" s="1"/>
  <c r="W62" i="19"/>
  <c r="L27" i="18"/>
  <c r="E785" i="32" s="1"/>
  <c r="Y54" i="6"/>
  <c r="X136" i="11"/>
  <c r="Y56" i="11"/>
  <c r="X91" i="5"/>
  <c r="X89" i="5" s="1"/>
  <c r="X141" i="11"/>
  <c r="X142" i="11" s="1"/>
  <c r="Y139" i="11" s="1"/>
  <c r="X84" i="11"/>
  <c r="X85" i="11" s="1"/>
  <c r="X134" i="11"/>
  <c r="EA130" i="11" l="1"/>
  <c r="EA53" i="11"/>
  <c r="EA54" i="11" s="1"/>
  <c r="DZ92" i="5"/>
  <c r="AZ126" i="11"/>
  <c r="AZ46" i="5" s="1"/>
  <c r="BA48" i="11"/>
  <c r="BA88" i="5" s="1"/>
  <c r="BA86" i="5" s="1"/>
  <c r="BN94" i="11"/>
  <c r="BN117" i="5" s="1"/>
  <c r="BN115" i="5" s="1"/>
  <c r="CE281" i="11"/>
  <c r="CE282" i="11" s="1"/>
  <c r="CF279" i="11" s="1"/>
  <c r="CE276" i="11"/>
  <c r="CE277" i="11" s="1"/>
  <c r="CF274" i="11" s="1"/>
  <c r="X137" i="11"/>
  <c r="X62" i="19"/>
  <c r="X86" i="11"/>
  <c r="Y83" i="11" s="1"/>
  <c r="Y89" i="11" s="1"/>
  <c r="Y58" i="11"/>
  <c r="Y59" i="11" s="1"/>
  <c r="X32" i="15" s="1"/>
  <c r="Y135" i="11"/>
  <c r="X63" i="19"/>
  <c r="X48" i="5"/>
  <c r="DZ27" i="15" l="1"/>
  <c r="EB51" i="11"/>
  <c r="EA131" i="11"/>
  <c r="EA132" i="11" s="1"/>
  <c r="EB129" i="11" s="1"/>
  <c r="EB53" i="6"/>
  <c r="EA94" i="5"/>
  <c r="AZ127" i="11"/>
  <c r="BA124" i="11" s="1"/>
  <c r="BA126" i="11" s="1"/>
  <c r="BA46" i="5" s="1"/>
  <c r="BA49" i="11"/>
  <c r="BB46" i="11" s="1"/>
  <c r="BB125" i="11" s="1"/>
  <c r="BC52" i="6" s="1"/>
  <c r="T46" i="16" s="1"/>
  <c r="BN95" i="11"/>
  <c r="BO92" i="11" s="1"/>
  <c r="BO94" i="11" s="1"/>
  <c r="BO117" i="5" s="1"/>
  <c r="BO115" i="5" s="1"/>
  <c r="CF276" i="11"/>
  <c r="CF277" i="11" s="1"/>
  <c r="CG274" i="11" s="1"/>
  <c r="CF281" i="11"/>
  <c r="CF282" i="11" s="1"/>
  <c r="CG279" i="11" s="1"/>
  <c r="Y134" i="11"/>
  <c r="Z56" i="11"/>
  <c r="Y136" i="11"/>
  <c r="Z54" i="6"/>
  <c r="Y91" i="5"/>
  <c r="Y84" i="11"/>
  <c r="Y85" i="11" s="1"/>
  <c r="Y141" i="11"/>
  <c r="Y142" i="11" s="1"/>
  <c r="Z139" i="11" s="1"/>
  <c r="EB130" i="11" l="1"/>
  <c r="EB53" i="11"/>
  <c r="EB54" i="11" s="1"/>
  <c r="EA47" i="5"/>
  <c r="EA92" i="5"/>
  <c r="BA127" i="11"/>
  <c r="BB124" i="11" s="1"/>
  <c r="BB126" i="11" s="1"/>
  <c r="BB46" i="5" s="1"/>
  <c r="Y89" i="5"/>
  <c r="BB48" i="11"/>
  <c r="BB49" i="11" s="1"/>
  <c r="BC46" i="11" s="1"/>
  <c r="BO95" i="11"/>
  <c r="BP92" i="11" s="1"/>
  <c r="CG281" i="11"/>
  <c r="CG282" i="11" s="1"/>
  <c r="CH279" i="11" s="1"/>
  <c r="CG276" i="11"/>
  <c r="CG277" i="11" s="1"/>
  <c r="CH274" i="11" s="1"/>
  <c r="Y63" i="19"/>
  <c r="Y48" i="5"/>
  <c r="Y137" i="11"/>
  <c r="Y62" i="19"/>
  <c r="Y86" i="11"/>
  <c r="Z83" i="11" s="1"/>
  <c r="Z89" i="11" s="1"/>
  <c r="Z58" i="11"/>
  <c r="Z59" i="11" s="1"/>
  <c r="Y32" i="15" s="1"/>
  <c r="Z135" i="11"/>
  <c r="EA27" i="15" l="1"/>
  <c r="AD22" i="18" s="1"/>
  <c r="EC51" i="11"/>
  <c r="EC53" i="6"/>
  <c r="EB94" i="5"/>
  <c r="EB131" i="11"/>
  <c r="EB132" i="11" s="1"/>
  <c r="EC129" i="11" s="1"/>
  <c r="BB88" i="5"/>
  <c r="BB86" i="5" s="1"/>
  <c r="BB127" i="11"/>
  <c r="BC124" i="11" s="1"/>
  <c r="BC48" i="11"/>
  <c r="BC88" i="5" s="1"/>
  <c r="BC86" i="5" s="1"/>
  <c r="BC125" i="11"/>
  <c r="BP94" i="11"/>
  <c r="BP117" i="5" s="1"/>
  <c r="BP115" i="5" s="1"/>
  <c r="CH281" i="11"/>
  <c r="CH282" i="11" s="1"/>
  <c r="CI279" i="11" s="1"/>
  <c r="CH276" i="11"/>
  <c r="CH277" i="11" s="1"/>
  <c r="CI274" i="11" s="1"/>
  <c r="AA56" i="11"/>
  <c r="AA54" i="6"/>
  <c r="Z136" i="11"/>
  <c r="Z91" i="5"/>
  <c r="Z84" i="11"/>
  <c r="Z85" i="11" s="1"/>
  <c r="Z141" i="11"/>
  <c r="Z142" i="11" s="1"/>
  <c r="AA139" i="11" s="1"/>
  <c r="Z134" i="11"/>
  <c r="EC130" i="11" l="1"/>
  <c r="EC131" i="11" s="1"/>
  <c r="EC132" i="11" s="1"/>
  <c r="ED129" i="11" s="1"/>
  <c r="EC53" i="11"/>
  <c r="EC54" i="11" s="1"/>
  <c r="EB92" i="5"/>
  <c r="EB47" i="5"/>
  <c r="Z89" i="5"/>
  <c r="S83" i="17"/>
  <c r="S81" i="17" s="1"/>
  <c r="BC49" i="11"/>
  <c r="BD46" i="11" s="1"/>
  <c r="BD125" i="11" s="1"/>
  <c r="BE52" i="6" s="1"/>
  <c r="BD52" i="6"/>
  <c r="BC126" i="11"/>
  <c r="BP95" i="11"/>
  <c r="BQ92" i="11" s="1"/>
  <c r="BQ94" i="11" s="1"/>
  <c r="BQ117" i="5" s="1"/>
  <c r="BQ115" i="5" s="1"/>
  <c r="CI276" i="11"/>
  <c r="CI277" i="11" s="1"/>
  <c r="CJ274" i="11" s="1"/>
  <c r="CI281" i="11"/>
  <c r="CI282" i="11" s="1"/>
  <c r="CJ279" i="11" s="1"/>
  <c r="Z137" i="11"/>
  <c r="AA134" i="11" s="1"/>
  <c r="Z62" i="19"/>
  <c r="Z86" i="11"/>
  <c r="AA83" i="11" s="1"/>
  <c r="AA89" i="11" s="1"/>
  <c r="Z48" i="5"/>
  <c r="Z63" i="19"/>
  <c r="AA58" i="11"/>
  <c r="AA59" i="11" s="1"/>
  <c r="Z32" i="15" s="1"/>
  <c r="I654" i="32" s="1"/>
  <c r="AA135" i="11"/>
  <c r="EB27" i="15" l="1"/>
  <c r="ED51" i="11"/>
  <c r="ED53" i="6"/>
  <c r="EC94" i="5"/>
  <c r="V42" i="26"/>
  <c r="EC47" i="5"/>
  <c r="BD48" i="11"/>
  <c r="BD88" i="5" s="1"/>
  <c r="BD86" i="5" s="1"/>
  <c r="BC46" i="5"/>
  <c r="BC127" i="11"/>
  <c r="BD124" i="11" s="1"/>
  <c r="BD126" i="11" s="1"/>
  <c r="BD46" i="5" s="1"/>
  <c r="BQ95" i="11"/>
  <c r="BR92" i="11" s="1"/>
  <c r="CJ276" i="11"/>
  <c r="CJ277" i="11" s="1"/>
  <c r="CK274" i="11" s="1"/>
  <c r="CJ281" i="11"/>
  <c r="CJ282" i="11" s="1"/>
  <c r="CK279" i="11" s="1"/>
  <c r="AB56" i="11"/>
  <c r="AB54" i="6"/>
  <c r="AA136" i="11"/>
  <c r="AA137" i="11" s="1"/>
  <c r="AA91" i="5"/>
  <c r="AA84" i="11"/>
  <c r="AA85" i="11" s="1"/>
  <c r="AA141" i="11"/>
  <c r="AA142" i="11" s="1"/>
  <c r="AB139" i="11" s="1"/>
  <c r="ED130" i="11" l="1"/>
  <c r="ED53" i="11"/>
  <c r="ED54" i="11" s="1"/>
  <c r="EC92" i="5"/>
  <c r="N174" i="32"/>
  <c r="C174" i="32" s="1"/>
  <c r="AA89" i="5"/>
  <c r="BD49" i="11"/>
  <c r="BE46" i="11" s="1"/>
  <c r="BE48" i="11" s="1"/>
  <c r="BD127" i="11"/>
  <c r="BE124" i="11" s="1"/>
  <c r="BR94" i="11"/>
  <c r="BR117" i="5" s="1"/>
  <c r="BR115" i="5" s="1"/>
  <c r="CK281" i="11"/>
  <c r="CK282" i="11" s="1"/>
  <c r="CL279" i="11" s="1"/>
  <c r="CK276" i="11"/>
  <c r="CK277" i="11" s="1"/>
  <c r="CL274" i="11" s="1"/>
  <c r="AA62" i="19"/>
  <c r="AB134" i="11"/>
  <c r="AA86" i="11"/>
  <c r="AB83" i="11" s="1"/>
  <c r="AB89" i="11" s="1"/>
  <c r="AA63" i="19"/>
  <c r="AA48" i="5"/>
  <c r="AB58" i="11"/>
  <c r="AB59" i="11" s="1"/>
  <c r="AA32" i="15" s="1"/>
  <c r="AB135" i="11"/>
  <c r="EC27" i="15" l="1"/>
  <c r="EE51" i="11"/>
  <c r="ED131" i="11"/>
  <c r="ED132" i="11" s="1"/>
  <c r="EE129" i="11" s="1"/>
  <c r="EE53" i="6"/>
  <c r="ED94" i="5"/>
  <c r="BE125" i="11"/>
  <c r="BE88" i="5"/>
  <c r="BE86" i="5" s="1"/>
  <c r="BE49" i="11"/>
  <c r="BF46" i="11" s="1"/>
  <c r="BR95" i="11"/>
  <c r="BS92" i="11" s="1"/>
  <c r="BS94" i="11" s="1"/>
  <c r="BS117" i="5" s="1"/>
  <c r="BS115" i="5" s="1"/>
  <c r="CL276" i="11"/>
  <c r="CL277" i="11" s="1"/>
  <c r="CM274" i="11" s="1"/>
  <c r="CL281" i="11"/>
  <c r="CL282" i="11" s="1"/>
  <c r="CM279" i="11" s="1"/>
  <c r="AC56" i="11"/>
  <c r="AB136" i="11"/>
  <c r="AB137" i="11" s="1"/>
  <c r="AC54" i="6"/>
  <c r="AB91" i="5"/>
  <c r="AB141" i="11"/>
  <c r="AB142" i="11" s="1"/>
  <c r="AC139" i="11" s="1"/>
  <c r="AB84" i="11"/>
  <c r="AB85" i="11" s="1"/>
  <c r="EE53" i="11" l="1"/>
  <c r="EE54" i="11" s="1"/>
  <c r="EE130" i="11"/>
  <c r="EE131" i="11" s="1"/>
  <c r="ED47" i="5"/>
  <c r="ED92" i="5"/>
  <c r="AB89" i="5"/>
  <c r="BF52" i="6"/>
  <c r="BE126" i="11"/>
  <c r="BF125" i="11"/>
  <c r="BG52" i="6" s="1"/>
  <c r="BF48" i="11"/>
  <c r="BS95" i="11"/>
  <c r="BT92" i="11" s="1"/>
  <c r="BT94" i="11" s="1"/>
  <c r="BT117" i="5" s="1"/>
  <c r="BT115" i="5" s="1"/>
  <c r="CM276" i="11"/>
  <c r="CM277" i="11" s="1"/>
  <c r="CN274" i="11" s="1"/>
  <c r="CM281" i="11"/>
  <c r="CM282" i="11" s="1"/>
  <c r="CN279" i="11" s="1"/>
  <c r="AB62" i="19"/>
  <c r="AC134" i="11"/>
  <c r="AB86" i="11"/>
  <c r="AC83" i="11" s="1"/>
  <c r="AC89" i="11" s="1"/>
  <c r="AB48" i="5"/>
  <c r="AB63" i="19"/>
  <c r="AC135" i="11"/>
  <c r="AC58" i="11"/>
  <c r="AC59" i="11" s="1"/>
  <c r="AB32" i="15" s="1"/>
  <c r="EE132" i="11" l="1"/>
  <c r="EF129" i="11" s="1"/>
  <c r="ED27" i="15"/>
  <c r="EF51" i="11"/>
  <c r="EE94" i="5"/>
  <c r="EF53" i="6"/>
  <c r="EE47" i="5"/>
  <c r="BE46" i="5"/>
  <c r="BE127" i="11"/>
  <c r="BF124" i="11" s="1"/>
  <c r="BF126" i="11" s="1"/>
  <c r="BF46" i="5" s="1"/>
  <c r="BF88" i="5"/>
  <c r="BF86" i="5" s="1"/>
  <c r="BF49" i="11"/>
  <c r="BG46" i="11" s="1"/>
  <c r="BT95" i="11"/>
  <c r="BU92" i="11" s="1"/>
  <c r="CN281" i="11"/>
  <c r="CN282" i="11" s="1"/>
  <c r="CO279" i="11" s="1"/>
  <c r="CN276" i="11"/>
  <c r="CN277" i="11" s="1"/>
  <c r="CO274" i="11" s="1"/>
  <c r="AD56" i="11"/>
  <c r="AC91" i="5"/>
  <c r="AC141" i="11"/>
  <c r="AC142" i="11" s="1"/>
  <c r="AD139" i="11" s="1"/>
  <c r="AC84" i="11"/>
  <c r="AC85" i="11" s="1"/>
  <c r="AD54" i="6"/>
  <c r="AC136" i="11"/>
  <c r="AC137" i="11" s="1"/>
  <c r="EF130" i="11" l="1"/>
  <c r="EF53" i="11"/>
  <c r="EF54" i="11" s="1"/>
  <c r="EE92" i="5"/>
  <c r="AC89" i="5"/>
  <c r="BF127" i="11"/>
  <c r="BG124" i="11" s="1"/>
  <c r="BG48" i="11"/>
  <c r="BG125" i="11"/>
  <c r="BH52" i="6" s="1"/>
  <c r="BU94" i="11"/>
  <c r="BU117" i="5" s="1"/>
  <c r="CO276" i="11"/>
  <c r="CO277" i="11" s="1"/>
  <c r="CP274" i="11" s="1"/>
  <c r="CO281" i="11"/>
  <c r="CO282" i="11" s="1"/>
  <c r="CP279" i="11" s="1"/>
  <c r="AC62" i="19"/>
  <c r="AC86" i="11"/>
  <c r="AD83" i="11" s="1"/>
  <c r="AD89" i="11" s="1"/>
  <c r="AD134" i="11"/>
  <c r="AC48" i="5"/>
  <c r="AC63" i="19"/>
  <c r="AD58" i="11"/>
  <c r="AD135" i="11"/>
  <c r="EE27" i="15" l="1"/>
  <c r="EG51" i="11"/>
  <c r="EF131" i="11"/>
  <c r="EF132" i="11" s="1"/>
  <c r="EG129" i="11" s="1"/>
  <c r="EG53" i="6"/>
  <c r="EF94" i="5"/>
  <c r="BU115" i="5"/>
  <c r="BG126" i="11"/>
  <c r="BG46" i="5" s="1"/>
  <c r="BG88" i="5"/>
  <c r="BG86" i="5" s="1"/>
  <c r="BG49" i="11"/>
  <c r="BH46" i="11" s="1"/>
  <c r="BU95" i="11"/>
  <c r="BV92" i="11" s="1"/>
  <c r="CP281" i="11"/>
  <c r="CP282" i="11" s="1"/>
  <c r="CQ279" i="11" s="1"/>
  <c r="CP276" i="11"/>
  <c r="CP277" i="11" s="1"/>
  <c r="CQ274" i="11" s="1"/>
  <c r="AD91" i="5"/>
  <c r="AD89" i="5" s="1"/>
  <c r="AD84" i="11"/>
  <c r="AD85" i="11" s="1"/>
  <c r="AD141" i="11"/>
  <c r="AD142" i="11" s="1"/>
  <c r="AE139" i="11" s="1"/>
  <c r="AD59" i="11"/>
  <c r="AC32" i="15" s="1"/>
  <c r="J654" i="32" s="1"/>
  <c r="AD136" i="11"/>
  <c r="AD137" i="11" s="1"/>
  <c r="AE54" i="6"/>
  <c r="EG53" i="11" l="1"/>
  <c r="EG54" i="11" s="1"/>
  <c r="EG130" i="11"/>
  <c r="EG131" i="11" s="1"/>
  <c r="EF47" i="5"/>
  <c r="EF92" i="5"/>
  <c r="BG127" i="11"/>
  <c r="BH124" i="11" s="1"/>
  <c r="BH48" i="11"/>
  <c r="BH125" i="11"/>
  <c r="BI52" i="6" s="1"/>
  <c r="BV94" i="11"/>
  <c r="BV117" i="5" s="1"/>
  <c r="CQ276" i="11"/>
  <c r="CQ277" i="11" s="1"/>
  <c r="CR274" i="11" s="1"/>
  <c r="CQ281" i="11"/>
  <c r="CQ282" i="11" s="1"/>
  <c r="CR279" i="11" s="1"/>
  <c r="M27" i="18"/>
  <c r="AD86" i="11"/>
  <c r="AE83" i="11" s="1"/>
  <c r="AE89" i="11" s="1"/>
  <c r="AD62" i="19"/>
  <c r="AE134" i="11"/>
  <c r="AD48" i="5"/>
  <c r="AD63" i="19"/>
  <c r="AE56" i="11"/>
  <c r="EF27" i="15" l="1"/>
  <c r="EH51" i="11"/>
  <c r="EG94" i="5"/>
  <c r="EH53" i="6"/>
  <c r="EG47" i="5"/>
  <c r="EG132" i="11"/>
  <c r="EH129" i="11" s="1"/>
  <c r="F785" i="32"/>
  <c r="E223" i="32"/>
  <c r="BV115" i="5"/>
  <c r="BH126" i="11"/>
  <c r="BH46" i="5" s="1"/>
  <c r="BH88" i="5"/>
  <c r="BH49" i="11"/>
  <c r="BI46" i="11" s="1"/>
  <c r="BV95" i="11"/>
  <c r="BW92" i="11" s="1"/>
  <c r="CR281" i="11"/>
  <c r="CR282" i="11" s="1"/>
  <c r="CS279" i="11" s="1"/>
  <c r="CR276" i="11"/>
  <c r="CR277" i="11" s="1"/>
  <c r="CS274" i="11" s="1"/>
  <c r="AE135" i="11"/>
  <c r="AE58" i="11"/>
  <c r="AE59" i="11" s="1"/>
  <c r="AD32" i="15" s="1"/>
  <c r="EH53" i="11" l="1"/>
  <c r="EH54" i="11" s="1"/>
  <c r="EH130" i="11"/>
  <c r="EG92" i="5"/>
  <c r="BH127" i="11"/>
  <c r="BI124" i="11" s="1"/>
  <c r="BI125" i="11"/>
  <c r="BJ52" i="6" s="1"/>
  <c r="BI48" i="11"/>
  <c r="BH86" i="5"/>
  <c r="T83" i="17"/>
  <c r="T81" i="17" s="1"/>
  <c r="BW94" i="11"/>
  <c r="BW117" i="5" s="1"/>
  <c r="CS276" i="11"/>
  <c r="CS277" i="11" s="1"/>
  <c r="CT274" i="11" s="1"/>
  <c r="CS281" i="11"/>
  <c r="CS282" i="11" s="1"/>
  <c r="CT279" i="11" s="1"/>
  <c r="AF56" i="11"/>
  <c r="AE91" i="5"/>
  <c r="AE89" i="5" s="1"/>
  <c r="AE141" i="11"/>
  <c r="AE142" i="11" s="1"/>
  <c r="AF139" i="11" s="1"/>
  <c r="AE84" i="11"/>
  <c r="AF54" i="6"/>
  <c r="AE136" i="11"/>
  <c r="EH131" i="11" l="1"/>
  <c r="EI51" i="11"/>
  <c r="EG27" i="15"/>
  <c r="AE22" i="18" s="1"/>
  <c r="N218" i="32" s="1"/>
  <c r="EH94" i="5"/>
  <c r="EI53" i="6"/>
  <c r="BW115" i="5"/>
  <c r="BI126" i="11"/>
  <c r="BI46" i="5" s="1"/>
  <c r="BI88" i="5"/>
  <c r="BI49" i="11"/>
  <c r="BJ46" i="11" s="1"/>
  <c r="BW95" i="11"/>
  <c r="BX92" i="11" s="1"/>
  <c r="BX94" i="11" s="1"/>
  <c r="BX117" i="5" s="1"/>
  <c r="BX115" i="5" s="1"/>
  <c r="CT281" i="11"/>
  <c r="CT282" i="11" s="1"/>
  <c r="CU279" i="11" s="1"/>
  <c r="CT276" i="11"/>
  <c r="CT277" i="11" s="1"/>
  <c r="CU274" i="11" s="1"/>
  <c r="AE63" i="19"/>
  <c r="AE48" i="5"/>
  <c r="AE137" i="11"/>
  <c r="AE85" i="11"/>
  <c r="AE62" i="19" s="1"/>
  <c r="AF58" i="11"/>
  <c r="AF135" i="11"/>
  <c r="EH47" i="5" l="1"/>
  <c r="EH132" i="11"/>
  <c r="EI129" i="11" s="1"/>
  <c r="EI53" i="11"/>
  <c r="EI54" i="11" s="1"/>
  <c r="EI130" i="11"/>
  <c r="EH92" i="5"/>
  <c r="AG42" i="17"/>
  <c r="BI86" i="5"/>
  <c r="BI127" i="11"/>
  <c r="BJ124" i="11" s="1"/>
  <c r="BJ125" i="11"/>
  <c r="BK52" i="6" s="1"/>
  <c r="BJ48" i="11"/>
  <c r="BX95" i="11"/>
  <c r="BY92" i="11" s="1"/>
  <c r="BY94" i="11" s="1"/>
  <c r="BY117" i="5" s="1"/>
  <c r="CU276" i="11"/>
  <c r="CU277" i="11" s="1"/>
  <c r="CV274" i="11" s="1"/>
  <c r="CU281" i="11"/>
  <c r="CU282" i="11" s="1"/>
  <c r="CV279" i="11" s="1"/>
  <c r="AF91" i="5"/>
  <c r="AF84" i="11"/>
  <c r="AF141" i="11"/>
  <c r="AF142" i="11" s="1"/>
  <c r="AG139" i="11" s="1"/>
  <c r="AE86" i="11"/>
  <c r="AF83" i="11" s="1"/>
  <c r="AF59" i="11"/>
  <c r="AE32" i="15" s="1"/>
  <c r="AG54" i="6"/>
  <c r="AF136" i="11"/>
  <c r="AF134" i="11"/>
  <c r="EH27" i="15" l="1"/>
  <c r="EJ51" i="11"/>
  <c r="EI94" i="5"/>
  <c r="EI131" i="11"/>
  <c r="EI132" i="11" s="1"/>
  <c r="EJ129" i="11" s="1"/>
  <c r="EJ53" i="6"/>
  <c r="BY115" i="5"/>
  <c r="BJ126" i="11"/>
  <c r="BJ46" i="5" s="1"/>
  <c r="BJ88" i="5"/>
  <c r="BJ49" i="11"/>
  <c r="BK46" i="11" s="1"/>
  <c r="BY95" i="11"/>
  <c r="BZ92" i="11" s="1"/>
  <c r="BZ94" i="11" s="1"/>
  <c r="BZ117" i="5" s="1"/>
  <c r="BZ115" i="5" s="1"/>
  <c r="CV281" i="11"/>
  <c r="CV282" i="11" s="1"/>
  <c r="CW279" i="11" s="1"/>
  <c r="CV276" i="11"/>
  <c r="CV277" i="11" s="1"/>
  <c r="CW274" i="11" s="1"/>
  <c r="AF137" i="11"/>
  <c r="AF63" i="19"/>
  <c r="AF48" i="5"/>
  <c r="AG56" i="11"/>
  <c r="AF85" i="11"/>
  <c r="AF62" i="19" s="1"/>
  <c r="AF89" i="11"/>
  <c r="AF89" i="5"/>
  <c r="EJ130" i="11" l="1"/>
  <c r="EJ131" i="11" s="1"/>
  <c r="EJ53" i="11"/>
  <c r="EJ54" i="11" s="1"/>
  <c r="EI92" i="5"/>
  <c r="EI47" i="5"/>
  <c r="BJ86" i="5"/>
  <c r="BJ127" i="11"/>
  <c r="BK124" i="11" s="1"/>
  <c r="BK125" i="11"/>
  <c r="BK48" i="11"/>
  <c r="BZ95" i="11"/>
  <c r="CA92" i="11" s="1"/>
  <c r="CA94" i="11" s="1"/>
  <c r="CA117" i="5" s="1"/>
  <c r="CA115" i="5" s="1"/>
  <c r="CW276" i="11"/>
  <c r="CW277" i="11" s="1"/>
  <c r="CX274" i="11" s="1"/>
  <c r="CW281" i="11"/>
  <c r="CW282" i="11" s="1"/>
  <c r="CX279" i="11" s="1"/>
  <c r="AG134" i="11"/>
  <c r="AF86" i="11"/>
  <c r="AG83" i="11" s="1"/>
  <c r="AG89" i="11" s="1"/>
  <c r="AG135" i="11"/>
  <c r="AG58" i="11"/>
  <c r="AG59" i="11" s="1"/>
  <c r="AF32" i="15" s="1"/>
  <c r="K654" i="32" s="1"/>
  <c r="EI27" i="15" l="1"/>
  <c r="EK51" i="11"/>
  <c r="EK53" i="6"/>
  <c r="EJ94" i="5"/>
  <c r="EJ47" i="5"/>
  <c r="EJ132" i="11"/>
  <c r="EK129" i="11" s="1"/>
  <c r="BK88" i="5"/>
  <c r="BK49" i="11"/>
  <c r="BL46" i="11" s="1"/>
  <c r="BL52" i="6"/>
  <c r="BK126" i="11"/>
  <c r="CA95" i="11"/>
  <c r="CB92" i="11" s="1"/>
  <c r="CB94" i="11" s="1"/>
  <c r="CB117" i="5" s="1"/>
  <c r="CB115" i="5" s="1"/>
  <c r="CX281" i="11"/>
  <c r="CX282" i="11" s="1"/>
  <c r="CY279" i="11" s="1"/>
  <c r="CX276" i="11"/>
  <c r="CX277" i="11" s="1"/>
  <c r="CY274" i="11" s="1"/>
  <c r="AH56" i="11"/>
  <c r="AG91" i="5"/>
  <c r="AG89" i="5" s="1"/>
  <c r="AG84" i="11"/>
  <c r="AG141" i="11"/>
  <c r="AG142" i="11" s="1"/>
  <c r="AH139" i="11" s="1"/>
  <c r="AG136" i="11"/>
  <c r="AH54" i="6"/>
  <c r="EK53" i="11" l="1"/>
  <c r="EK54" i="11" s="1"/>
  <c r="EK130" i="11"/>
  <c r="EK131" i="11" s="1"/>
  <c r="EK132" i="11" s="1"/>
  <c r="EL129" i="11" s="1"/>
  <c r="EJ92" i="5"/>
  <c r="BK86" i="5"/>
  <c r="BK46" i="5"/>
  <c r="BK127" i="11"/>
  <c r="BL124" i="11" s="1"/>
  <c r="BL48" i="11"/>
  <c r="BL88" i="5" s="1"/>
  <c r="BL86" i="5" s="1"/>
  <c r="BL125" i="11"/>
  <c r="BM52" i="6" s="1"/>
  <c r="CB95" i="11"/>
  <c r="CC92" i="11" s="1"/>
  <c r="CC94" i="11" s="1"/>
  <c r="CC117" i="5" s="1"/>
  <c r="CC115" i="5" s="1"/>
  <c r="CY281" i="11"/>
  <c r="CY282" i="11" s="1"/>
  <c r="CZ279" i="11" s="1"/>
  <c r="CY276" i="11"/>
  <c r="CY277" i="11" s="1"/>
  <c r="CZ274" i="11" s="1"/>
  <c r="AG48" i="5"/>
  <c r="AG63" i="19"/>
  <c r="AG137" i="11"/>
  <c r="AG85" i="11"/>
  <c r="AG62" i="19" s="1"/>
  <c r="AH58" i="11"/>
  <c r="AH135" i="11"/>
  <c r="EJ27" i="15" l="1"/>
  <c r="EL51" i="11"/>
  <c r="EK94" i="5"/>
  <c r="EL53" i="6"/>
  <c r="EK47" i="5"/>
  <c r="BL49" i="11"/>
  <c r="BM46" i="11" s="1"/>
  <c r="BL126" i="11"/>
  <c r="CC95" i="11"/>
  <c r="CD92" i="11" s="1"/>
  <c r="CD94" i="11" s="1"/>
  <c r="CD117" i="5" s="1"/>
  <c r="CD115" i="5" s="1"/>
  <c r="CZ281" i="11"/>
  <c r="CZ282" i="11" s="1"/>
  <c r="DA279" i="11" s="1"/>
  <c r="CZ276" i="11"/>
  <c r="CZ277" i="11" s="1"/>
  <c r="DA274" i="11" s="1"/>
  <c r="AG86" i="11"/>
  <c r="AH83" i="11" s="1"/>
  <c r="AH89" i="11" s="1"/>
  <c r="AH136" i="11"/>
  <c r="AI54" i="6"/>
  <c r="AH91" i="5"/>
  <c r="AH89" i="5" s="1"/>
  <c r="AH84" i="11"/>
  <c r="AH141" i="11"/>
  <c r="AH142" i="11" s="1"/>
  <c r="AI139" i="11" s="1"/>
  <c r="AH59" i="11"/>
  <c r="AG32" i="15" s="1"/>
  <c r="AH134" i="11"/>
  <c r="EL130" i="11" l="1"/>
  <c r="EL53" i="11"/>
  <c r="EL54" i="11" s="1"/>
  <c r="EK92" i="5"/>
  <c r="BM125" i="11"/>
  <c r="BN52" i="6" s="1"/>
  <c r="BM48" i="11"/>
  <c r="BL46" i="5"/>
  <c r="BL127" i="11"/>
  <c r="BM124" i="11" s="1"/>
  <c r="CD95" i="11"/>
  <c r="CE92" i="11" s="1"/>
  <c r="CE94" i="11" s="1"/>
  <c r="CE117" i="5" s="1"/>
  <c r="CE115" i="5" s="1"/>
  <c r="DA276" i="11"/>
  <c r="DA277" i="11" s="1"/>
  <c r="DB274" i="11" s="1"/>
  <c r="DA281" i="11"/>
  <c r="DA282" i="11" s="1"/>
  <c r="DB279" i="11" s="1"/>
  <c r="AH85" i="11"/>
  <c r="AH62" i="19" s="1"/>
  <c r="AH137" i="11"/>
  <c r="AI56" i="11"/>
  <c r="AH63" i="19"/>
  <c r="AH48" i="5"/>
  <c r="EM51" i="11" l="1"/>
  <c r="EK27" i="15"/>
  <c r="EL131" i="11"/>
  <c r="EL132" i="11" s="1"/>
  <c r="EM129" i="11" s="1"/>
  <c r="EM53" i="6"/>
  <c r="EL94" i="5"/>
  <c r="BM126" i="11"/>
  <c r="BM46" i="5" s="1"/>
  <c r="BM88" i="5"/>
  <c r="BM86" i="5" s="1"/>
  <c r="BM49" i="11"/>
  <c r="BN46" i="11" s="1"/>
  <c r="CE95" i="11"/>
  <c r="CF92" i="11" s="1"/>
  <c r="CF94" i="11" s="1"/>
  <c r="CF117" i="5" s="1"/>
  <c r="CF115" i="5" s="1"/>
  <c r="DB281" i="11"/>
  <c r="DB282" i="11" s="1"/>
  <c r="DC279" i="11" s="1"/>
  <c r="DB276" i="11"/>
  <c r="DB277" i="11" s="1"/>
  <c r="DC274" i="11" s="1"/>
  <c r="AI134" i="11"/>
  <c r="AH86" i="11"/>
  <c r="AI83" i="11" s="1"/>
  <c r="AI89" i="11" s="1"/>
  <c r="AI135" i="11"/>
  <c r="AI58" i="11"/>
  <c r="AI59" i="11" s="1"/>
  <c r="AH32" i="15" s="1"/>
  <c r="EM130" i="11" l="1"/>
  <c r="EM131" i="11" s="1"/>
  <c r="EM132" i="11" s="1"/>
  <c r="EN129" i="11" s="1"/>
  <c r="EM53" i="11"/>
  <c r="EM54" i="11" s="1"/>
  <c r="EL47" i="5"/>
  <c r="EL92" i="5"/>
  <c r="BM127" i="11"/>
  <c r="BN124" i="11" s="1"/>
  <c r="BN125" i="11"/>
  <c r="BN48" i="11"/>
  <c r="CF95" i="11"/>
  <c r="CG92" i="11" s="1"/>
  <c r="DC276" i="11"/>
  <c r="DC277" i="11" s="1"/>
  <c r="DD274" i="11" s="1"/>
  <c r="DC281" i="11"/>
  <c r="DC282" i="11" s="1"/>
  <c r="DD279" i="11" s="1"/>
  <c r="AJ56" i="11"/>
  <c r="AI91" i="5"/>
  <c r="AI89" i="5" s="1"/>
  <c r="AI141" i="11"/>
  <c r="AI142" i="11" s="1"/>
  <c r="AJ139" i="11" s="1"/>
  <c r="AI84" i="11"/>
  <c r="AI136" i="11"/>
  <c r="AI137" i="11" s="1"/>
  <c r="AJ54" i="6"/>
  <c r="EL27" i="15" l="1"/>
  <c r="EN51" i="11"/>
  <c r="EN53" i="6"/>
  <c r="EM94" i="5"/>
  <c r="EM47" i="5"/>
  <c r="BN88" i="5"/>
  <c r="BN49" i="11"/>
  <c r="BO46" i="11" s="1"/>
  <c r="BO52" i="6"/>
  <c r="BN126" i="11"/>
  <c r="BN46" i="5" s="1"/>
  <c r="CG94" i="11"/>
  <c r="CG117" i="5" s="1"/>
  <c r="DD281" i="11"/>
  <c r="DD282" i="11" s="1"/>
  <c r="DE279" i="11" s="1"/>
  <c r="DD276" i="11"/>
  <c r="DD277" i="11" s="1"/>
  <c r="DE274" i="11" s="1"/>
  <c r="AJ134" i="11"/>
  <c r="AI63" i="19"/>
  <c r="AI48" i="5"/>
  <c r="AI85" i="11"/>
  <c r="AI62" i="19" s="1"/>
  <c r="AJ58" i="11"/>
  <c r="AJ59" i="11" s="1"/>
  <c r="AI32" i="15" s="1"/>
  <c r="L654" i="32" s="1"/>
  <c r="AJ135" i="11"/>
  <c r="EN130" i="11" l="1"/>
  <c r="EN53" i="11"/>
  <c r="EN54" i="11" s="1"/>
  <c r="EM92" i="5"/>
  <c r="CG115" i="5"/>
  <c r="BN127" i="11"/>
  <c r="BO124" i="11" s="1"/>
  <c r="BO48" i="11"/>
  <c r="BO88" i="5" s="1"/>
  <c r="BO86" i="5" s="1"/>
  <c r="BO125" i="11"/>
  <c r="BP52" i="6" s="1"/>
  <c r="BN86" i="5"/>
  <c r="U83" i="17"/>
  <c r="U81" i="17" s="1"/>
  <c r="CG95" i="11"/>
  <c r="CH92" i="11" s="1"/>
  <c r="CH94" i="11" s="1"/>
  <c r="CH117" i="5" s="1"/>
  <c r="CH115" i="5" s="1"/>
  <c r="DE276" i="11"/>
  <c r="DE277" i="11" s="1"/>
  <c r="DF274" i="11" s="1"/>
  <c r="DE281" i="11"/>
  <c r="DE282" i="11" s="1"/>
  <c r="DF279" i="11" s="1"/>
  <c r="N27" i="18"/>
  <c r="G785" i="32" s="1"/>
  <c r="AK56" i="11"/>
  <c r="AI86" i="11"/>
  <c r="AJ83" i="11" s="1"/>
  <c r="AJ136" i="11"/>
  <c r="AJ137" i="11" s="1"/>
  <c r="AK54" i="6"/>
  <c r="AJ91" i="5"/>
  <c r="AJ141" i="11"/>
  <c r="AJ142" i="11" s="1"/>
  <c r="AK139" i="11" s="1"/>
  <c r="AJ84" i="11"/>
  <c r="EO51" i="11" l="1"/>
  <c r="EM27" i="15"/>
  <c r="AF22" i="18" s="1"/>
  <c r="EN131" i="11"/>
  <c r="EN132" i="11" s="1"/>
  <c r="EO129" i="11" s="1"/>
  <c r="EO53" i="6"/>
  <c r="EN94" i="5"/>
  <c r="BO49" i="11"/>
  <c r="BP46" i="11" s="1"/>
  <c r="BP125" i="11" s="1"/>
  <c r="BQ52" i="6" s="1"/>
  <c r="BO126" i="11"/>
  <c r="BO46" i="5" s="1"/>
  <c r="CH95" i="11"/>
  <c r="CI92" i="11" s="1"/>
  <c r="DF281" i="11"/>
  <c r="DF282" i="11" s="1"/>
  <c r="DG279" i="11" s="1"/>
  <c r="DF276" i="11"/>
  <c r="DF277" i="11" s="1"/>
  <c r="DG274" i="11" s="1"/>
  <c r="AK134" i="11"/>
  <c r="AJ89" i="5"/>
  <c r="AJ63" i="19"/>
  <c r="AJ48" i="5"/>
  <c r="AJ89" i="11"/>
  <c r="AJ85" i="11"/>
  <c r="AJ86" i="11" s="1"/>
  <c r="AK83" i="11" s="1"/>
  <c r="AK135" i="11"/>
  <c r="AK58" i="11"/>
  <c r="EO53" i="11" l="1"/>
  <c r="EO54" i="11" s="1"/>
  <c r="EO130" i="11"/>
  <c r="EO131" i="11" s="1"/>
  <c r="EN47" i="5"/>
  <c r="AI47" i="16"/>
  <c r="EN92" i="5"/>
  <c r="BP48" i="11"/>
  <c r="BP88" i="5" s="1"/>
  <c r="BP86" i="5" s="1"/>
  <c r="BO127" i="11"/>
  <c r="BP124" i="11" s="1"/>
  <c r="CI94" i="11"/>
  <c r="CI117" i="5" s="1"/>
  <c r="DG276" i="11"/>
  <c r="DG277" i="11" s="1"/>
  <c r="DH274" i="11" s="1"/>
  <c r="DG281" i="11"/>
  <c r="DG282" i="11" s="1"/>
  <c r="DH279" i="11" s="1"/>
  <c r="AK89" i="11"/>
  <c r="AJ62" i="19"/>
  <c r="AK91" i="5"/>
  <c r="AK141" i="11"/>
  <c r="AK142" i="11" s="1"/>
  <c r="AL139" i="11" s="1"/>
  <c r="AK84" i="11"/>
  <c r="AK85" i="11" s="1"/>
  <c r="AK59" i="11"/>
  <c r="AJ32" i="15" s="1"/>
  <c r="AK136" i="11"/>
  <c r="AK137" i="11" s="1"/>
  <c r="AL54" i="6"/>
  <c r="EO132" i="11" l="1"/>
  <c r="EP129" i="11" s="1"/>
  <c r="EN27" i="15"/>
  <c r="EP51" i="11"/>
  <c r="EO94" i="5"/>
  <c r="EP53" i="6"/>
  <c r="AH42" i="17"/>
  <c r="EO47" i="5"/>
  <c r="CI115" i="5"/>
  <c r="BP49" i="11"/>
  <c r="BQ46" i="11" s="1"/>
  <c r="BQ125" i="11" s="1"/>
  <c r="BR52" i="6" s="1"/>
  <c r="BP126" i="11"/>
  <c r="BP46" i="5" s="1"/>
  <c r="CI95" i="11"/>
  <c r="CJ92" i="11" s="1"/>
  <c r="DH281" i="11"/>
  <c r="DH282" i="11" s="1"/>
  <c r="DI279" i="11" s="1"/>
  <c r="DH276" i="11"/>
  <c r="DH277" i="11" s="1"/>
  <c r="DI274" i="11" s="1"/>
  <c r="AL56" i="11"/>
  <c r="AL134" i="11"/>
  <c r="AK63" i="19"/>
  <c r="AK48" i="5"/>
  <c r="AK89" i="5"/>
  <c r="AK62" i="19"/>
  <c r="AK86" i="11"/>
  <c r="AL83" i="11" s="1"/>
  <c r="EP130" i="11" l="1"/>
  <c r="EP53" i="11"/>
  <c r="EP54" i="11" s="1"/>
  <c r="EO92" i="5"/>
  <c r="BQ48" i="11"/>
  <c r="BQ88" i="5" s="1"/>
  <c r="BQ86" i="5" s="1"/>
  <c r="BP127" i="11"/>
  <c r="BQ124" i="11" s="1"/>
  <c r="CJ94" i="11"/>
  <c r="CJ117" i="5" s="1"/>
  <c r="DI276" i="11"/>
  <c r="DI277" i="11" s="1"/>
  <c r="DJ274" i="11" s="1"/>
  <c r="DI281" i="11"/>
  <c r="DI282" i="11" s="1"/>
  <c r="DJ279" i="11" s="1"/>
  <c r="AL89" i="11"/>
  <c r="AL58" i="11"/>
  <c r="AL59" i="11" s="1"/>
  <c r="AK32" i="15" s="1"/>
  <c r="AL135" i="11"/>
  <c r="EO27" i="15" l="1"/>
  <c r="EQ51" i="11"/>
  <c r="EP131" i="11"/>
  <c r="EP132" i="11" s="1"/>
  <c r="EQ129" i="11" s="1"/>
  <c r="EQ53" i="6"/>
  <c r="EP94" i="5"/>
  <c r="CJ115" i="5"/>
  <c r="BQ49" i="11"/>
  <c r="BR46" i="11" s="1"/>
  <c r="BR48" i="11" s="1"/>
  <c r="BR88" i="5" s="1"/>
  <c r="BR86" i="5" s="1"/>
  <c r="BQ126" i="11"/>
  <c r="BQ46" i="5" s="1"/>
  <c r="CJ95" i="11"/>
  <c r="CK92" i="11" s="1"/>
  <c r="CK94" i="11" s="1"/>
  <c r="CK117" i="5" s="1"/>
  <c r="CK115" i="5" s="1"/>
  <c r="DJ281" i="11"/>
  <c r="DJ282" i="11" s="1"/>
  <c r="DK279" i="11" s="1"/>
  <c r="DJ276" i="11"/>
  <c r="DJ277" i="11" s="1"/>
  <c r="DK274" i="11" s="1"/>
  <c r="AM56" i="11"/>
  <c r="AL136" i="11"/>
  <c r="AL137" i="11" s="1"/>
  <c r="AM54" i="6"/>
  <c r="AL91" i="5"/>
  <c r="AL84" i="11"/>
  <c r="AL141" i="11"/>
  <c r="AL142" i="11" s="1"/>
  <c r="AM139" i="11" s="1"/>
  <c r="EQ53" i="11" l="1"/>
  <c r="EQ54" i="11" s="1"/>
  <c r="EP27" i="15" s="1"/>
  <c r="AG22" i="18" s="1"/>
  <c r="EQ130" i="11"/>
  <c r="EQ131" i="11" s="1"/>
  <c r="EQ132" i="11" s="1"/>
  <c r="EP47" i="5"/>
  <c r="EP92" i="5"/>
  <c r="AL89" i="5"/>
  <c r="BR49" i="11"/>
  <c r="BS46" i="11" s="1"/>
  <c r="BS125" i="11" s="1"/>
  <c r="BT52" i="6" s="1"/>
  <c r="BR125" i="11"/>
  <c r="BS52" i="6" s="1"/>
  <c r="BQ127" i="11"/>
  <c r="BR124" i="11" s="1"/>
  <c r="CK95" i="11"/>
  <c r="CL92" i="11" s="1"/>
  <c r="CL94" i="11" s="1"/>
  <c r="CL117" i="5" s="1"/>
  <c r="CL115" i="5" s="1"/>
  <c r="DK276" i="11"/>
  <c r="DK277" i="11" s="1"/>
  <c r="DL274" i="11" s="1"/>
  <c r="DK281" i="11"/>
  <c r="DK282" i="11" s="1"/>
  <c r="DL279" i="11" s="1"/>
  <c r="AM134" i="11"/>
  <c r="AL85" i="11"/>
  <c r="AL62" i="19" s="1"/>
  <c r="AL48" i="5"/>
  <c r="AL63" i="19"/>
  <c r="AM58" i="11"/>
  <c r="AM59" i="11" s="1"/>
  <c r="AL32" i="15" s="1"/>
  <c r="AM135" i="11"/>
  <c r="J53" i="11" l="1"/>
  <c r="EQ94" i="5"/>
  <c r="J130" i="11"/>
  <c r="ER53" i="6"/>
  <c r="EQ47" i="5"/>
  <c r="J47" i="5" s="1"/>
  <c r="J131" i="11"/>
  <c r="BS48" i="11"/>
  <c r="BS88" i="5" s="1"/>
  <c r="BS86" i="5" s="1"/>
  <c r="BR126" i="11"/>
  <c r="BR46" i="5" s="1"/>
  <c r="CL95" i="11"/>
  <c r="CM92" i="11" s="1"/>
  <c r="CM94" i="11" s="1"/>
  <c r="CM117" i="5" s="1"/>
  <c r="CM115" i="5" s="1"/>
  <c r="DL281" i="11"/>
  <c r="DL282" i="11" s="1"/>
  <c r="DM279" i="11" s="1"/>
  <c r="DL276" i="11"/>
  <c r="DL277" i="11" s="1"/>
  <c r="DM274" i="11" s="1"/>
  <c r="AL86" i="11"/>
  <c r="AM83" i="11" s="1"/>
  <c r="AM89" i="11" s="1"/>
  <c r="AN56" i="11"/>
  <c r="AM91" i="5"/>
  <c r="AM84" i="11"/>
  <c r="AM141" i="11"/>
  <c r="AM142" i="11" s="1"/>
  <c r="AN139" i="11" s="1"/>
  <c r="AN54" i="6"/>
  <c r="AM136" i="11"/>
  <c r="AM137" i="11" s="1"/>
  <c r="AI42" i="17" l="1"/>
  <c r="X42" i="26"/>
  <c r="J94" i="5"/>
  <c r="J92" i="5" s="1"/>
  <c r="AI89" i="17"/>
  <c r="AI87" i="17" s="1"/>
  <c r="X89" i="26"/>
  <c r="X87" i="26" s="1"/>
  <c r="AH89" i="17"/>
  <c r="AH87" i="17" s="1"/>
  <c r="W89" i="26"/>
  <c r="W87" i="26" s="1"/>
  <c r="AG89" i="17"/>
  <c r="AG87" i="17" s="1"/>
  <c r="V89" i="26"/>
  <c r="AF89" i="17"/>
  <c r="AF87" i="17" s="1"/>
  <c r="EQ92" i="5"/>
  <c r="AB89" i="17"/>
  <c r="AB87" i="17" s="1"/>
  <c r="AA89" i="17"/>
  <c r="K53" i="6"/>
  <c r="AJ47" i="16"/>
  <c r="AH47" i="16"/>
  <c r="AG47" i="16"/>
  <c r="AA42" i="17"/>
  <c r="AF42" i="17"/>
  <c r="W42" i="26"/>
  <c r="J42" i="26" s="1"/>
  <c r="BS49" i="11"/>
  <c r="BT46" i="11" s="1"/>
  <c r="BT125" i="11" s="1"/>
  <c r="BU52" i="6" s="1"/>
  <c r="BR127" i="11"/>
  <c r="BS124" i="11" s="1"/>
  <c r="CM95" i="11"/>
  <c r="CN92" i="11" s="1"/>
  <c r="CN94" i="11" s="1"/>
  <c r="CN117" i="5" s="1"/>
  <c r="CN115" i="5" s="1"/>
  <c r="DM276" i="11"/>
  <c r="DM277" i="11" s="1"/>
  <c r="DN274" i="11" s="1"/>
  <c r="DM281" i="11"/>
  <c r="DM282" i="11" s="1"/>
  <c r="DN279" i="11" s="1"/>
  <c r="AM85" i="11"/>
  <c r="AM86" i="11" s="1"/>
  <c r="AN83" i="11" s="1"/>
  <c r="AN89" i="11" s="1"/>
  <c r="AN134" i="11"/>
  <c r="AM89" i="5"/>
  <c r="AM63" i="19"/>
  <c r="AM48" i="5"/>
  <c r="AN135" i="11"/>
  <c r="AN58" i="11"/>
  <c r="AN59" i="11" s="1"/>
  <c r="AM32" i="15" s="1"/>
  <c r="N135" i="32" l="1"/>
  <c r="C135" i="32" s="1"/>
  <c r="X696" i="32"/>
  <c r="C696" i="32" s="1"/>
  <c r="J42" i="17"/>
  <c r="J89" i="26"/>
  <c r="J87" i="26" s="1"/>
  <c r="N187" i="32"/>
  <c r="C187" i="32" s="1"/>
  <c r="V87" i="26"/>
  <c r="J89" i="17"/>
  <c r="J87" i="17" s="1"/>
  <c r="AA87" i="17"/>
  <c r="K47" i="16"/>
  <c r="BT48" i="11"/>
  <c r="BT88" i="5" s="1"/>
  <c r="BS126" i="11"/>
  <c r="BS46" i="5" s="1"/>
  <c r="CN95" i="11"/>
  <c r="CO92" i="11" s="1"/>
  <c r="DN281" i="11"/>
  <c r="DN282" i="11" s="1"/>
  <c r="DO279" i="11" s="1"/>
  <c r="DN276" i="11"/>
  <c r="DN277" i="11" s="1"/>
  <c r="DO274" i="11" s="1"/>
  <c r="AM62" i="19"/>
  <c r="AO56" i="11"/>
  <c r="AN91" i="5"/>
  <c r="AN89" i="5" s="1"/>
  <c r="AN141" i="11"/>
  <c r="AN142" i="11" s="1"/>
  <c r="AO139" i="11" s="1"/>
  <c r="AN84" i="11"/>
  <c r="AN136" i="11"/>
  <c r="AN137" i="11" s="1"/>
  <c r="AO54" i="6"/>
  <c r="BT86" i="5" l="1"/>
  <c r="V83" i="17"/>
  <c r="V81" i="17" s="1"/>
  <c r="BT49" i="11"/>
  <c r="BU46" i="11" s="1"/>
  <c r="BU125" i="11" s="1"/>
  <c r="BV52" i="6" s="1"/>
  <c r="BS127" i="11"/>
  <c r="BT124" i="11" s="1"/>
  <c r="CO94" i="11"/>
  <c r="CO117" i="5" s="1"/>
  <c r="CO115" i="5" s="1"/>
  <c r="DO276" i="11"/>
  <c r="DO277" i="11" s="1"/>
  <c r="DP274" i="11" s="1"/>
  <c r="DO281" i="11"/>
  <c r="DO282" i="11" s="1"/>
  <c r="DP279" i="11" s="1"/>
  <c r="AO134" i="11"/>
  <c r="AN63" i="19"/>
  <c r="AN48" i="5"/>
  <c r="AN85" i="11"/>
  <c r="AN62" i="19" s="1"/>
  <c r="AO135" i="11"/>
  <c r="AO58" i="11"/>
  <c r="AO59" i="11" s="1"/>
  <c r="AN32" i="15" s="1"/>
  <c r="BU48" i="11" l="1"/>
  <c r="BU88" i="5" s="1"/>
  <c r="BT126" i="11"/>
  <c r="BT46" i="5" s="1"/>
  <c r="CO95" i="11"/>
  <c r="CP92" i="11" s="1"/>
  <c r="CP94" i="11" s="1"/>
  <c r="CP117" i="5" s="1"/>
  <c r="CP115" i="5" s="1"/>
  <c r="DP281" i="11"/>
  <c r="DP282" i="11" s="1"/>
  <c r="DQ279" i="11" s="1"/>
  <c r="DP276" i="11"/>
  <c r="DP277" i="11" s="1"/>
  <c r="DQ274" i="11" s="1"/>
  <c r="AP56" i="11"/>
  <c r="AO91" i="5"/>
  <c r="AO89" i="5" s="1"/>
  <c r="AO141" i="11"/>
  <c r="AO142" i="11" s="1"/>
  <c r="AP139" i="11" s="1"/>
  <c r="AO84" i="11"/>
  <c r="AO136" i="11"/>
  <c r="AO137" i="11" s="1"/>
  <c r="AP54" i="6"/>
  <c r="AN86" i="11"/>
  <c r="AO83" i="11" s="1"/>
  <c r="BU86" i="5" l="1"/>
  <c r="BU49" i="11"/>
  <c r="BV46" i="11" s="1"/>
  <c r="BV48" i="11" s="1"/>
  <c r="BV88" i="5" s="1"/>
  <c r="BV86" i="5" s="1"/>
  <c r="BT127" i="11"/>
  <c r="BU124" i="11" s="1"/>
  <c r="CP95" i="11"/>
  <c r="CQ92" i="11" s="1"/>
  <c r="CQ94" i="11" s="1"/>
  <c r="CQ117" i="5" s="1"/>
  <c r="CQ115" i="5" s="1"/>
  <c r="DQ276" i="11"/>
  <c r="DQ277" i="11" s="1"/>
  <c r="DR274" i="11" s="1"/>
  <c r="DQ281" i="11"/>
  <c r="DQ282" i="11" s="1"/>
  <c r="DR279" i="11" s="1"/>
  <c r="AO85" i="11"/>
  <c r="AO62" i="19" s="1"/>
  <c r="AO89" i="11"/>
  <c r="AP134" i="11"/>
  <c r="AO48" i="5"/>
  <c r="AO63" i="19"/>
  <c r="AP58" i="11"/>
  <c r="AP135" i="11"/>
  <c r="BV49" i="11" l="1"/>
  <c r="BW46" i="11" s="1"/>
  <c r="BW48" i="11" s="1"/>
  <c r="BW88" i="5" s="1"/>
  <c r="BW86" i="5" s="1"/>
  <c r="BV125" i="11"/>
  <c r="BW52" i="6" s="1"/>
  <c r="BU126" i="11"/>
  <c r="BU46" i="5" s="1"/>
  <c r="CQ95" i="11"/>
  <c r="CR92" i="11" s="1"/>
  <c r="CR94" i="11" s="1"/>
  <c r="CR117" i="5" s="1"/>
  <c r="CR115" i="5" s="1"/>
  <c r="DR281" i="11"/>
  <c r="DR282" i="11" s="1"/>
  <c r="DS279" i="11" s="1"/>
  <c r="DR276" i="11"/>
  <c r="DR277" i="11" s="1"/>
  <c r="DS274" i="11" s="1"/>
  <c r="AO86" i="11"/>
  <c r="AP83" i="11" s="1"/>
  <c r="AP89" i="11" s="1"/>
  <c r="AP91" i="5"/>
  <c r="AP89" i="5" s="1"/>
  <c r="AP141" i="11"/>
  <c r="AP142" i="11" s="1"/>
  <c r="AQ139" i="11" s="1"/>
  <c r="AP84" i="11"/>
  <c r="AP136" i="11"/>
  <c r="AP137" i="11" s="1"/>
  <c r="AQ54" i="6"/>
  <c r="AP59" i="11"/>
  <c r="AO32" i="15" s="1"/>
  <c r="BW125" i="11" l="1"/>
  <c r="BX52" i="6" s="1"/>
  <c r="BW49" i="11"/>
  <c r="BX46" i="11" s="1"/>
  <c r="BX48" i="11" s="1"/>
  <c r="BX88" i="5" s="1"/>
  <c r="BX86" i="5" s="1"/>
  <c r="BU127" i="11"/>
  <c r="BV124" i="11" s="1"/>
  <c r="CR95" i="11"/>
  <c r="CS92" i="11" s="1"/>
  <c r="CS94" i="11" s="1"/>
  <c r="DS276" i="11"/>
  <c r="DS277" i="11" s="1"/>
  <c r="DT274" i="11" s="1"/>
  <c r="DS281" i="11"/>
  <c r="DS282" i="11" s="1"/>
  <c r="DT279" i="11" s="1"/>
  <c r="O27" i="18"/>
  <c r="AP85" i="11"/>
  <c r="AP86" i="11" s="1"/>
  <c r="AQ83" i="11" s="1"/>
  <c r="AQ134" i="11"/>
  <c r="AP63" i="19"/>
  <c r="AP48" i="5"/>
  <c r="AQ56" i="11"/>
  <c r="H785" i="32" l="1"/>
  <c r="F223" i="32"/>
  <c r="BX125" i="11"/>
  <c r="BY52" i="6" s="1"/>
  <c r="BX49" i="11"/>
  <c r="BY46" i="11" s="1"/>
  <c r="BY48" i="11" s="1"/>
  <c r="BY88" i="5" s="1"/>
  <c r="BY86" i="5" s="1"/>
  <c r="BV126" i="11"/>
  <c r="BV46" i="5" s="1"/>
  <c r="CS117" i="5"/>
  <c r="CS95" i="11"/>
  <c r="CT92" i="11" s="1"/>
  <c r="CT94" i="11" s="1"/>
  <c r="CT117" i="5" s="1"/>
  <c r="CT115" i="5" s="1"/>
  <c r="DT281" i="11"/>
  <c r="DT282" i="11" s="1"/>
  <c r="DU279" i="11" s="1"/>
  <c r="DT276" i="11"/>
  <c r="DT277" i="11" s="1"/>
  <c r="DU274" i="11" s="1"/>
  <c r="AP62" i="19"/>
  <c r="AQ135" i="11"/>
  <c r="AQ58" i="11"/>
  <c r="AQ89" i="11"/>
  <c r="CS115" i="5" l="1"/>
  <c r="BY125" i="11"/>
  <c r="BZ52" i="6" s="1"/>
  <c r="BY49" i="11"/>
  <c r="BZ46" i="11" s="1"/>
  <c r="BZ48" i="11" s="1"/>
  <c r="BV127" i="11"/>
  <c r="BW124" i="11" s="1"/>
  <c r="CT95" i="11"/>
  <c r="CU92" i="11" s="1"/>
  <c r="CU94" i="11" s="1"/>
  <c r="DU281" i="11"/>
  <c r="DU282" i="11" s="1"/>
  <c r="DV279" i="11" s="1"/>
  <c r="DU276" i="11"/>
  <c r="DU277" i="11" s="1"/>
  <c r="DV274" i="11" s="1"/>
  <c r="AQ91" i="5"/>
  <c r="AQ89" i="5" s="1"/>
  <c r="AQ84" i="11"/>
  <c r="AQ141" i="11"/>
  <c r="AQ142" i="11" s="1"/>
  <c r="AR139" i="11" s="1"/>
  <c r="AQ136" i="11"/>
  <c r="AR54" i="6"/>
  <c r="AQ59" i="11"/>
  <c r="AP32" i="15" s="1"/>
  <c r="BZ125" i="11" l="1"/>
  <c r="CA52" i="6" s="1"/>
  <c r="X46" i="16" s="1"/>
  <c r="BW126" i="11"/>
  <c r="BW46" i="5" s="1"/>
  <c r="BZ88" i="5"/>
  <c r="BZ49" i="11"/>
  <c r="CA46" i="11" s="1"/>
  <c r="CU117" i="5"/>
  <c r="CU95" i="11"/>
  <c r="CV92" i="11" s="1"/>
  <c r="CV94" i="11" s="1"/>
  <c r="CV117" i="5" s="1"/>
  <c r="CV115" i="5" s="1"/>
  <c r="DV276" i="11"/>
  <c r="DV277" i="11" s="1"/>
  <c r="DW274" i="11" s="1"/>
  <c r="DV281" i="11"/>
  <c r="DV282" i="11" s="1"/>
  <c r="DW279" i="11" s="1"/>
  <c r="AR56" i="11"/>
  <c r="AQ63" i="19"/>
  <c r="AQ48" i="5"/>
  <c r="AQ137" i="11"/>
  <c r="AQ85" i="11"/>
  <c r="AQ62" i="19" s="1"/>
  <c r="CU115" i="5" l="1"/>
  <c r="CA48" i="11"/>
  <c r="CA88" i="5" s="1"/>
  <c r="CA86" i="5" s="1"/>
  <c r="CA125" i="11"/>
  <c r="CB52" i="6" s="1"/>
  <c r="W83" i="17"/>
  <c r="W81" i="17" s="1"/>
  <c r="BZ86" i="5"/>
  <c r="BW127" i="11"/>
  <c r="BX124" i="11" s="1"/>
  <c r="CV95" i="11"/>
  <c r="CW92" i="11" s="1"/>
  <c r="CW94" i="11" s="1"/>
  <c r="CW117" i="5" s="1"/>
  <c r="CW115" i="5" s="1"/>
  <c r="DW281" i="11"/>
  <c r="DW282" i="11" s="1"/>
  <c r="DX279" i="11" s="1"/>
  <c r="DW276" i="11"/>
  <c r="DW277" i="11" s="1"/>
  <c r="DX274" i="11" s="1"/>
  <c r="AQ86" i="11"/>
  <c r="AR83" i="11" s="1"/>
  <c r="AR134" i="11"/>
  <c r="AR58" i="11"/>
  <c r="AR59" i="11" s="1"/>
  <c r="AQ32" i="15" s="1"/>
  <c r="AR135" i="11"/>
  <c r="BX126" i="11" l="1"/>
  <c r="BX46" i="5" s="1"/>
  <c r="CA49" i="11"/>
  <c r="CB46" i="11" s="1"/>
  <c r="CW95" i="11"/>
  <c r="CX92" i="11" s="1"/>
  <c r="CX94" i="11" s="1"/>
  <c r="CX117" i="5" s="1"/>
  <c r="CX115" i="5" s="1"/>
  <c r="DX276" i="11"/>
  <c r="DX277" i="11" s="1"/>
  <c r="DY274" i="11" s="1"/>
  <c r="DX281" i="11"/>
  <c r="DX282" i="11" s="1"/>
  <c r="DY279" i="11" s="1"/>
  <c r="AS54" i="6"/>
  <c r="AR136" i="11"/>
  <c r="AR137" i="11" s="1"/>
  <c r="AS56" i="11"/>
  <c r="AR91" i="5"/>
  <c r="AR89" i="5" s="1"/>
  <c r="AR84" i="11"/>
  <c r="AR85" i="11" s="1"/>
  <c r="AR141" i="11"/>
  <c r="AR142" i="11" s="1"/>
  <c r="AS139" i="11" s="1"/>
  <c r="AR89" i="11"/>
  <c r="CB48" i="11" l="1"/>
  <c r="CB125" i="11"/>
  <c r="CC52" i="6" s="1"/>
  <c r="BX127" i="11"/>
  <c r="BY124" i="11" s="1"/>
  <c r="CX95" i="11"/>
  <c r="CY92" i="11" s="1"/>
  <c r="CY94" i="11" s="1"/>
  <c r="DY281" i="11"/>
  <c r="DY282" i="11" s="1"/>
  <c r="DZ279" i="11" s="1"/>
  <c r="DY276" i="11"/>
  <c r="DY277" i="11" s="1"/>
  <c r="DZ274" i="11" s="1"/>
  <c r="AR62" i="19"/>
  <c r="AR86" i="11"/>
  <c r="AS83" i="11" s="1"/>
  <c r="AS89" i="11" s="1"/>
  <c r="AS134" i="11"/>
  <c r="AS58" i="11"/>
  <c r="AS59" i="11" s="1"/>
  <c r="AR32" i="15" s="1"/>
  <c r="AS135" i="11"/>
  <c r="AR48" i="5"/>
  <c r="AR63" i="19"/>
  <c r="BY126" i="11" l="1"/>
  <c r="BY46" i="5" s="1"/>
  <c r="CB88" i="5"/>
  <c r="CB86" i="5" s="1"/>
  <c r="CB49" i="11"/>
  <c r="CC46" i="11" s="1"/>
  <c r="CY117" i="5"/>
  <c r="CY95" i="11"/>
  <c r="CZ92" i="11" s="1"/>
  <c r="CZ94" i="11" s="1"/>
  <c r="CZ117" i="5" s="1"/>
  <c r="CZ115" i="5" s="1"/>
  <c r="DZ281" i="11"/>
  <c r="DZ282" i="11" s="1"/>
  <c r="EA279" i="11" s="1"/>
  <c r="DZ276" i="11"/>
  <c r="DZ277" i="11" s="1"/>
  <c r="EA274" i="11" s="1"/>
  <c r="AT56" i="11"/>
  <c r="AT54" i="6"/>
  <c r="AS136" i="11"/>
  <c r="AS137" i="11" s="1"/>
  <c r="AS91" i="5"/>
  <c r="AS89" i="5" s="1"/>
  <c r="AS84" i="11"/>
  <c r="AS141" i="11"/>
  <c r="AS142" i="11" s="1"/>
  <c r="AT139" i="11" s="1"/>
  <c r="CY115" i="5" l="1"/>
  <c r="CC125" i="11"/>
  <c r="CD52" i="6" s="1"/>
  <c r="CC48" i="11"/>
  <c r="CC88" i="5" s="1"/>
  <c r="CC86" i="5" s="1"/>
  <c r="BY127" i="11"/>
  <c r="BZ124" i="11" s="1"/>
  <c r="CZ95" i="11"/>
  <c r="DA92" i="11" s="1"/>
  <c r="DA94" i="11" s="1"/>
  <c r="DA117" i="5" s="1"/>
  <c r="DA115" i="5" s="1"/>
  <c r="EA276" i="11"/>
  <c r="EA277" i="11" s="1"/>
  <c r="EB274" i="11" s="1"/>
  <c r="EA281" i="11"/>
  <c r="EA282" i="11" s="1"/>
  <c r="EB279" i="11" s="1"/>
  <c r="AT134" i="11"/>
  <c r="AS85" i="11"/>
  <c r="AS62" i="19" s="1"/>
  <c r="AS63" i="19"/>
  <c r="AS48" i="5"/>
  <c r="AT58" i="11"/>
  <c r="AT135" i="11"/>
  <c r="CC49" i="11" l="1"/>
  <c r="CD46" i="11" s="1"/>
  <c r="CD48" i="11" s="1"/>
  <c r="CD88" i="5" s="1"/>
  <c r="CD86" i="5" s="1"/>
  <c r="BZ126" i="11"/>
  <c r="BZ46" i="5" s="1"/>
  <c r="DA95" i="11"/>
  <c r="DB92" i="11" s="1"/>
  <c r="DB94" i="11" s="1"/>
  <c r="DB117" i="5" s="1"/>
  <c r="DB115" i="5" s="1"/>
  <c r="EB281" i="11"/>
  <c r="EB282" i="11" s="1"/>
  <c r="EC279" i="11" s="1"/>
  <c r="EB276" i="11"/>
  <c r="EB277" i="11" s="1"/>
  <c r="EC274" i="11" s="1"/>
  <c r="AS86" i="11"/>
  <c r="AT83" i="11" s="1"/>
  <c r="AT89" i="11" s="1"/>
  <c r="AT136" i="11"/>
  <c r="AT137" i="11" s="1"/>
  <c r="AU54" i="6"/>
  <c r="AT91" i="5"/>
  <c r="AT89" i="5" s="1"/>
  <c r="AT84" i="11"/>
  <c r="AT141" i="11"/>
  <c r="AT142" i="11" s="1"/>
  <c r="AU139" i="11" s="1"/>
  <c r="AT59" i="11"/>
  <c r="AS32" i="15" s="1"/>
  <c r="CD49" i="11" l="1"/>
  <c r="CE46" i="11" s="1"/>
  <c r="CE125" i="11" s="1"/>
  <c r="CF52" i="6" s="1"/>
  <c r="CD125" i="11"/>
  <c r="CE52" i="6" s="1"/>
  <c r="BZ127" i="11"/>
  <c r="CA124" i="11" s="1"/>
  <c r="DB95" i="11"/>
  <c r="DC92" i="11" s="1"/>
  <c r="DC94" i="11" s="1"/>
  <c r="DC117" i="5" s="1"/>
  <c r="DC115" i="5" s="1"/>
  <c r="EC276" i="11"/>
  <c r="EC277" i="11" s="1"/>
  <c r="ED274" i="11" s="1"/>
  <c r="EC281" i="11"/>
  <c r="EC282" i="11" s="1"/>
  <c r="ED279" i="11" s="1"/>
  <c r="AT85" i="11"/>
  <c r="AT62" i="19" s="1"/>
  <c r="AU56" i="11"/>
  <c r="AU134" i="11"/>
  <c r="AT63" i="19"/>
  <c r="AT48" i="5"/>
  <c r="CE48" i="11" l="1"/>
  <c r="CE49" i="11" s="1"/>
  <c r="CF46" i="11" s="1"/>
  <c r="CF125" i="11" s="1"/>
  <c r="CG52" i="6" s="1"/>
  <c r="CA126" i="11"/>
  <c r="CA46" i="5" s="1"/>
  <c r="DC95" i="11"/>
  <c r="DD92" i="11" s="1"/>
  <c r="DD94" i="11" s="1"/>
  <c r="DD117" i="5" s="1"/>
  <c r="DD115" i="5" s="1"/>
  <c r="ED281" i="11"/>
  <c r="ED282" i="11" s="1"/>
  <c r="EE279" i="11" s="1"/>
  <c r="ED276" i="11"/>
  <c r="ED277" i="11" s="1"/>
  <c r="EE274" i="11" s="1"/>
  <c r="AT86" i="11"/>
  <c r="AU83" i="11" s="1"/>
  <c r="AU89" i="11" s="1"/>
  <c r="AU58" i="11"/>
  <c r="AU59" i="11" s="1"/>
  <c r="AT32" i="15" s="1"/>
  <c r="AU135" i="11"/>
  <c r="CE88" i="5" l="1"/>
  <c r="CE86" i="5" s="1"/>
  <c r="CF48" i="11"/>
  <c r="CF88" i="5" s="1"/>
  <c r="CA127" i="11"/>
  <c r="CB124" i="11" s="1"/>
  <c r="DD95" i="11"/>
  <c r="DE92" i="11" s="1"/>
  <c r="DE94" i="11" s="1"/>
  <c r="DE117" i="5" s="1"/>
  <c r="EE276" i="11"/>
  <c r="EE277" i="11" s="1"/>
  <c r="EF274" i="11" s="1"/>
  <c r="EE281" i="11"/>
  <c r="EE282" i="11" s="1"/>
  <c r="EF279" i="11" s="1"/>
  <c r="AV56" i="11"/>
  <c r="AU136" i="11"/>
  <c r="AU137" i="11" s="1"/>
  <c r="AV54" i="6"/>
  <c r="AU91" i="5"/>
  <c r="AU84" i="11"/>
  <c r="AU141" i="11"/>
  <c r="AU142" i="11" s="1"/>
  <c r="AV139" i="11" s="1"/>
  <c r="DE115" i="5" l="1"/>
  <c r="CF86" i="5"/>
  <c r="X83" i="17"/>
  <c r="X81" i="17" s="1"/>
  <c r="CF49" i="11"/>
  <c r="CG46" i="11" s="1"/>
  <c r="CG48" i="11" s="1"/>
  <c r="CG88" i="5" s="1"/>
  <c r="CB126" i="11"/>
  <c r="CB46" i="5" s="1"/>
  <c r="DE95" i="11"/>
  <c r="DF92" i="11" s="1"/>
  <c r="DF94" i="11" s="1"/>
  <c r="EF281" i="11"/>
  <c r="EF282" i="11" s="1"/>
  <c r="EG279" i="11" s="1"/>
  <c r="EF276" i="11"/>
  <c r="EF277" i="11" s="1"/>
  <c r="EG274" i="11" s="1"/>
  <c r="AV134" i="11"/>
  <c r="AU85" i="11"/>
  <c r="AU86" i="11" s="1"/>
  <c r="AV83" i="11" s="1"/>
  <c r="AU89" i="5"/>
  <c r="AU48" i="5"/>
  <c r="AU63" i="19"/>
  <c r="AV58" i="11"/>
  <c r="AV135" i="11"/>
  <c r="CG86" i="5" l="1"/>
  <c r="CG49" i="11"/>
  <c r="CH46" i="11" s="1"/>
  <c r="CH125" i="11" s="1"/>
  <c r="CG125" i="11"/>
  <c r="CH52" i="6" s="1"/>
  <c r="CB127" i="11"/>
  <c r="CC124" i="11" s="1"/>
  <c r="DF117" i="5"/>
  <c r="DF95" i="11"/>
  <c r="DG92" i="11" s="1"/>
  <c r="DG94" i="11" s="1"/>
  <c r="DG117" i="5" s="1"/>
  <c r="DG115" i="5" s="1"/>
  <c r="EG276" i="11"/>
  <c r="EG277" i="11" s="1"/>
  <c r="EH274" i="11" s="1"/>
  <c r="EG281" i="11"/>
  <c r="EG282" i="11" s="1"/>
  <c r="EH279" i="11" s="1"/>
  <c r="AU62" i="19"/>
  <c r="AV91" i="5"/>
  <c r="AV89" i="5" s="1"/>
  <c r="AV141" i="11"/>
  <c r="AV142" i="11" s="1"/>
  <c r="AW139" i="11" s="1"/>
  <c r="AV84" i="11"/>
  <c r="AV85" i="11" s="1"/>
  <c r="AV136" i="11"/>
  <c r="AV137" i="11" s="1"/>
  <c r="AW54" i="6"/>
  <c r="AV89" i="11"/>
  <c r="AV59" i="11"/>
  <c r="AU32" i="15" s="1"/>
  <c r="DF115" i="5" l="1"/>
  <c r="CH48" i="11"/>
  <c r="CH88" i="5" s="1"/>
  <c r="CC126" i="11"/>
  <c r="CC46" i="5" s="1"/>
  <c r="CI52" i="6"/>
  <c r="DG95" i="11"/>
  <c r="DH92" i="11" s="1"/>
  <c r="DH94" i="11" s="1"/>
  <c r="DH117" i="5" s="1"/>
  <c r="DH115" i="5" s="1"/>
  <c r="EH281" i="11"/>
  <c r="EH282" i="11" s="1"/>
  <c r="EI279" i="11" s="1"/>
  <c r="EH276" i="11"/>
  <c r="EH277" i="11" s="1"/>
  <c r="EI274" i="11" s="1"/>
  <c r="AV62" i="19"/>
  <c r="P27" i="18"/>
  <c r="AV86" i="11"/>
  <c r="AW83" i="11" s="1"/>
  <c r="AW89" i="11" s="1"/>
  <c r="AW56" i="11"/>
  <c r="AW134" i="11"/>
  <c r="AV63" i="19"/>
  <c r="AV48" i="5"/>
  <c r="CH86" i="5" l="1"/>
  <c r="CH49" i="11"/>
  <c r="CI46" i="11" s="1"/>
  <c r="CI48" i="11" s="1"/>
  <c r="CI88" i="5" s="1"/>
  <c r="CI86" i="5" s="1"/>
  <c r="CC127" i="11"/>
  <c r="CD124" i="11" s="1"/>
  <c r="DH95" i="11"/>
  <c r="DI92" i="11" s="1"/>
  <c r="DI94" i="11" s="1"/>
  <c r="DI117" i="5" s="1"/>
  <c r="DI115" i="5" s="1"/>
  <c r="EI276" i="11"/>
  <c r="EI277" i="11" s="1"/>
  <c r="EJ274" i="11" s="1"/>
  <c r="EI281" i="11"/>
  <c r="EI282" i="11" s="1"/>
  <c r="EJ279" i="11" s="1"/>
  <c r="AW58" i="11"/>
  <c r="AW59" i="11" s="1"/>
  <c r="AV32" i="15" s="1"/>
  <c r="AW135" i="11"/>
  <c r="CI125" i="11" l="1"/>
  <c r="CJ52" i="6" s="1"/>
  <c r="CD126" i="11"/>
  <c r="CD46" i="5" s="1"/>
  <c r="CI49" i="11"/>
  <c r="CJ46" i="11" s="1"/>
  <c r="CJ48" i="11" s="1"/>
  <c r="DI95" i="11"/>
  <c r="DJ92" i="11" s="1"/>
  <c r="DJ94" i="11" s="1"/>
  <c r="DJ117" i="5" s="1"/>
  <c r="DJ115" i="5" s="1"/>
  <c r="EJ281" i="11"/>
  <c r="EJ282" i="11" s="1"/>
  <c r="EK279" i="11" s="1"/>
  <c r="EJ276" i="11"/>
  <c r="EJ277" i="11" s="1"/>
  <c r="EK274" i="11" s="1"/>
  <c r="AX56" i="11"/>
  <c r="AW136" i="11"/>
  <c r="AW137" i="11" s="1"/>
  <c r="AX54" i="6"/>
  <c r="AW91" i="5"/>
  <c r="AW141" i="11"/>
  <c r="AW142" i="11" s="1"/>
  <c r="AX139" i="11" s="1"/>
  <c r="AW84" i="11"/>
  <c r="AW89" i="5" l="1"/>
  <c r="CD127" i="11"/>
  <c r="CE124" i="11" s="1"/>
  <c r="CE126" i="11" s="1"/>
  <c r="CE46" i="5" s="1"/>
  <c r="CJ125" i="11"/>
  <c r="CK52" i="6" s="1"/>
  <c r="CJ88" i="5"/>
  <c r="CJ49" i="11"/>
  <c r="CK46" i="11" s="1"/>
  <c r="DJ95" i="11"/>
  <c r="DK92" i="11" s="1"/>
  <c r="DK94" i="11" s="1"/>
  <c r="DK117" i="5" s="1"/>
  <c r="DK115" i="5" s="1"/>
  <c r="EK276" i="11"/>
  <c r="EK277" i="11" s="1"/>
  <c r="EL274" i="11" s="1"/>
  <c r="EK281" i="11"/>
  <c r="EK282" i="11" s="1"/>
  <c r="EL279" i="11" s="1"/>
  <c r="AX134" i="11"/>
  <c r="AW85" i="11"/>
  <c r="AW62" i="19" s="1"/>
  <c r="AW63" i="19"/>
  <c r="AW48" i="5"/>
  <c r="AX58" i="11"/>
  <c r="AX135" i="11"/>
  <c r="CJ86" i="5" l="1"/>
  <c r="CE127" i="11"/>
  <c r="CF124" i="11" s="1"/>
  <c r="CK125" i="11"/>
  <c r="CK48" i="11"/>
  <c r="DK95" i="11"/>
  <c r="DL92" i="11" s="1"/>
  <c r="DL94" i="11" s="1"/>
  <c r="DL117" i="5" s="1"/>
  <c r="DL115" i="5" s="1"/>
  <c r="EL276" i="11"/>
  <c r="EL277" i="11" s="1"/>
  <c r="EM274" i="11" s="1"/>
  <c r="EL281" i="11"/>
  <c r="EL282" i="11" s="1"/>
  <c r="EM279" i="11" s="1"/>
  <c r="AW86" i="11"/>
  <c r="AX83" i="11" s="1"/>
  <c r="AX89" i="11" s="1"/>
  <c r="AX91" i="5"/>
  <c r="AX84" i="11"/>
  <c r="AX141" i="11"/>
  <c r="AX142" i="11" s="1"/>
  <c r="AY139" i="11" s="1"/>
  <c r="AX59" i="11"/>
  <c r="AW32" i="15" s="1"/>
  <c r="AY54" i="6"/>
  <c r="AX136" i="11"/>
  <c r="AX137" i="11" s="1"/>
  <c r="AX89" i="5" l="1"/>
  <c r="CF126" i="11"/>
  <c r="CF46" i="5" s="1"/>
  <c r="X41" i="17" s="1"/>
  <c r="CK88" i="5"/>
  <c r="CK49" i="11"/>
  <c r="CL46" i="11" s="1"/>
  <c r="CL52" i="6"/>
  <c r="DL95" i="11"/>
  <c r="DM92" i="11" s="1"/>
  <c r="DM94" i="11" s="1"/>
  <c r="DM117" i="5" s="1"/>
  <c r="DM115" i="5" s="1"/>
  <c r="EM281" i="11"/>
  <c r="EM282" i="11" s="1"/>
  <c r="EN279" i="11" s="1"/>
  <c r="EM276" i="11"/>
  <c r="EM277" i="11" s="1"/>
  <c r="EN274" i="11" s="1"/>
  <c r="AX85" i="11"/>
  <c r="AX62" i="19" s="1"/>
  <c r="AY134" i="11"/>
  <c r="AX63" i="19"/>
  <c r="AX48" i="5"/>
  <c r="AY56" i="11"/>
  <c r="CF127" i="11" l="1"/>
  <c r="CG124" i="11" s="1"/>
  <c r="CL125" i="11"/>
  <c r="CM52" i="6" s="1"/>
  <c r="CL48" i="11"/>
  <c r="CL88" i="5" s="1"/>
  <c r="CL86" i="5" s="1"/>
  <c r="CK86" i="5"/>
  <c r="DM95" i="11"/>
  <c r="DN92" i="11" s="1"/>
  <c r="DN94" i="11" s="1"/>
  <c r="DN117" i="5" s="1"/>
  <c r="DN115" i="5" s="1"/>
  <c r="EN276" i="11"/>
  <c r="EN277" i="11" s="1"/>
  <c r="EO274" i="11" s="1"/>
  <c r="EN281" i="11"/>
  <c r="EN282" i="11" s="1"/>
  <c r="EO279" i="11" s="1"/>
  <c r="AX86" i="11"/>
  <c r="AY83" i="11" s="1"/>
  <c r="AY89" i="11" s="1"/>
  <c r="AY58" i="11"/>
  <c r="AY59" i="11" s="1"/>
  <c r="AX32" i="15" s="1"/>
  <c r="AY135" i="11"/>
  <c r="CG126" i="11" l="1"/>
  <c r="CG46" i="5" s="1"/>
  <c r="Y83" i="17"/>
  <c r="Y81" i="17" s="1"/>
  <c r="CL49" i="11"/>
  <c r="CM46" i="11" s="1"/>
  <c r="CM48" i="11" s="1"/>
  <c r="CM88" i="5" s="1"/>
  <c r="CM86" i="5" s="1"/>
  <c r="DN95" i="11"/>
  <c r="DO92" i="11" s="1"/>
  <c r="DO94" i="11" s="1"/>
  <c r="DO117" i="5" s="1"/>
  <c r="DO115" i="5" s="1"/>
  <c r="EO281" i="11"/>
  <c r="EO282" i="11" s="1"/>
  <c r="EP279" i="11" s="1"/>
  <c r="EO276" i="11"/>
  <c r="EO277" i="11" s="1"/>
  <c r="EP274" i="11" s="1"/>
  <c r="AZ56" i="11"/>
  <c r="AZ54" i="6"/>
  <c r="AY136" i="11"/>
  <c r="AY137" i="11" s="1"/>
  <c r="AY91" i="5"/>
  <c r="AY84" i="11"/>
  <c r="AY141" i="11"/>
  <c r="AY142" i="11" s="1"/>
  <c r="AZ139" i="11" s="1"/>
  <c r="AY89" i="5" l="1"/>
  <c r="CG127" i="11"/>
  <c r="CH124" i="11" s="1"/>
  <c r="CM125" i="11"/>
  <c r="CN52" i="6" s="1"/>
  <c r="CM49" i="11"/>
  <c r="CN46" i="11" s="1"/>
  <c r="CN48" i="11" s="1"/>
  <c r="DO95" i="11"/>
  <c r="DP92" i="11" s="1"/>
  <c r="DP94" i="11" s="1"/>
  <c r="DP117" i="5" s="1"/>
  <c r="DP115" i="5" s="1"/>
  <c r="EP281" i="11"/>
  <c r="EP282" i="11" s="1"/>
  <c r="EQ279" i="11" s="1"/>
  <c r="EP276" i="11"/>
  <c r="EP277" i="11" s="1"/>
  <c r="EQ274" i="11" s="1"/>
  <c r="AZ134" i="11"/>
  <c r="AY85" i="11"/>
  <c r="AY62" i="19" s="1"/>
  <c r="AY63" i="19"/>
  <c r="AY48" i="5"/>
  <c r="AZ135" i="11"/>
  <c r="AZ58" i="11"/>
  <c r="CH126" i="11" l="1"/>
  <c r="CH46" i="5" s="1"/>
  <c r="CN125" i="11"/>
  <c r="CO52" i="6" s="1"/>
  <c r="CN88" i="5"/>
  <c r="CN86" i="5" s="1"/>
  <c r="CN49" i="11"/>
  <c r="CO46" i="11" s="1"/>
  <c r="DP95" i="11"/>
  <c r="DQ92" i="11" s="1"/>
  <c r="DQ94" i="11" s="1"/>
  <c r="DQ117" i="5" s="1"/>
  <c r="EQ276" i="11"/>
  <c r="J276" i="11" s="1"/>
  <c r="EQ281" i="11"/>
  <c r="J281" i="11" s="1"/>
  <c r="AY86" i="11"/>
  <c r="AZ83" i="11" s="1"/>
  <c r="AZ89" i="11" s="1"/>
  <c r="AZ91" i="5"/>
  <c r="AZ141" i="11"/>
  <c r="AZ142" i="11" s="1"/>
  <c r="BA139" i="11" s="1"/>
  <c r="AZ84" i="11"/>
  <c r="AZ59" i="11"/>
  <c r="AY32" i="15" s="1"/>
  <c r="AZ136" i="11"/>
  <c r="AZ137" i="11" s="1"/>
  <c r="BA54" i="6"/>
  <c r="AZ89" i="5" l="1"/>
  <c r="CH127" i="11"/>
  <c r="CI124" i="11" s="1"/>
  <c r="CO125" i="11"/>
  <c r="CP52" i="6" s="1"/>
  <c r="CO48" i="11"/>
  <c r="DQ95" i="11"/>
  <c r="DR92" i="11" s="1"/>
  <c r="DR94" i="11" s="1"/>
  <c r="DR117" i="5" s="1"/>
  <c r="DR115" i="5" s="1"/>
  <c r="DQ115" i="5"/>
  <c r="EQ282" i="11"/>
  <c r="EQ277" i="11"/>
  <c r="AZ85" i="11"/>
  <c r="AZ86" i="11" s="1"/>
  <c r="BA83" i="11" s="1"/>
  <c r="BA89" i="11" s="1"/>
  <c r="BA134" i="11"/>
  <c r="AZ63" i="19"/>
  <c r="AZ48" i="5"/>
  <c r="BA56" i="11"/>
  <c r="CI126" i="11" l="1"/>
  <c r="CI46" i="5" s="1"/>
  <c r="CO49" i="11"/>
  <c r="CP46" i="11" s="1"/>
  <c r="CO88" i="5"/>
  <c r="CO86" i="5" s="1"/>
  <c r="DR95" i="11"/>
  <c r="DS92" i="11" s="1"/>
  <c r="DS94" i="11" s="1"/>
  <c r="DS117" i="5" s="1"/>
  <c r="AZ62" i="19"/>
  <c r="BA58" i="11"/>
  <c r="BA59" i="11" s="1"/>
  <c r="AZ32" i="15" s="1"/>
  <c r="BA135" i="11"/>
  <c r="CI127" i="11" l="1"/>
  <c r="CJ124" i="11" s="1"/>
  <c r="CP48" i="11"/>
  <c r="CP125" i="11"/>
  <c r="CQ52" i="6" s="1"/>
  <c r="DS95" i="11"/>
  <c r="DT92" i="11" s="1"/>
  <c r="DT94" i="11" s="1"/>
  <c r="DT117" i="5" s="1"/>
  <c r="DT115" i="5" s="1"/>
  <c r="DS115" i="5"/>
  <c r="BB56" i="11"/>
  <c r="BA136" i="11"/>
  <c r="BB54" i="6"/>
  <c r="BA91" i="5"/>
  <c r="BA89" i="5" s="1"/>
  <c r="BA141" i="11"/>
  <c r="BA142" i="11" s="1"/>
  <c r="BB139" i="11" s="1"/>
  <c r="BA84" i="11"/>
  <c r="CJ126" i="11" l="1"/>
  <c r="CJ46" i="5" s="1"/>
  <c r="CP88" i="5"/>
  <c r="CP86" i="5" s="1"/>
  <c r="CP49" i="11"/>
  <c r="CQ46" i="11" s="1"/>
  <c r="DT95" i="11"/>
  <c r="DU92" i="11" s="1"/>
  <c r="DU94" i="11" s="1"/>
  <c r="DU117" i="5" s="1"/>
  <c r="BA85" i="11"/>
  <c r="BA62" i="19" s="1"/>
  <c r="BA48" i="5"/>
  <c r="BA63" i="19"/>
  <c r="BA137" i="11"/>
  <c r="BB58" i="11"/>
  <c r="BB135" i="11"/>
  <c r="CJ127" i="11" l="1"/>
  <c r="CK124" i="11" s="1"/>
  <c r="CQ125" i="11"/>
  <c r="CR52" i="6" s="1"/>
  <c r="CQ48" i="11"/>
  <c r="CQ88" i="5" s="1"/>
  <c r="CQ86" i="5" s="1"/>
  <c r="DU95" i="11"/>
  <c r="DV92" i="11" s="1"/>
  <c r="DV94" i="11" s="1"/>
  <c r="DV117" i="5" s="1"/>
  <c r="DU115" i="5"/>
  <c r="BA86" i="11"/>
  <c r="BB83" i="11" s="1"/>
  <c r="BB91" i="5"/>
  <c r="BB84" i="11"/>
  <c r="BB141" i="11"/>
  <c r="BB142" i="11" s="1"/>
  <c r="BC139" i="11" s="1"/>
  <c r="BC54" i="6"/>
  <c r="BB136" i="11"/>
  <c r="BB59" i="11"/>
  <c r="BA32" i="15" s="1"/>
  <c r="BB134" i="11"/>
  <c r="CK126" i="11" l="1"/>
  <c r="CK46" i="5" s="1"/>
  <c r="CQ49" i="11"/>
  <c r="CR46" i="11" s="1"/>
  <c r="CR48" i="11" s="1"/>
  <c r="DV115" i="5"/>
  <c r="AE112" i="17"/>
  <c r="AE110" i="17" s="1"/>
  <c r="DV95" i="11"/>
  <c r="DW92" i="11" s="1"/>
  <c r="DW94" i="11" s="1"/>
  <c r="DW117" i="5" s="1"/>
  <c r="DW115" i="5" s="1"/>
  <c r="Q27" i="18"/>
  <c r="G223" i="32" s="1"/>
  <c r="BB85" i="11"/>
  <c r="BB62" i="19" s="1"/>
  <c r="BB89" i="11"/>
  <c r="BB137" i="11"/>
  <c r="BC56" i="11"/>
  <c r="BB63" i="19"/>
  <c r="BB48" i="5"/>
  <c r="BB89" i="5"/>
  <c r="CK127" i="11" l="1"/>
  <c r="CL124" i="11" s="1"/>
  <c r="CR125" i="11"/>
  <c r="CS52" i="6" s="1"/>
  <c r="CR88" i="5"/>
  <c r="CR49" i="11"/>
  <c r="CS46" i="11" s="1"/>
  <c r="DW95" i="11"/>
  <c r="DX92" i="11" s="1"/>
  <c r="DX94" i="11" s="1"/>
  <c r="DX117" i="5" s="1"/>
  <c r="DX115" i="5" s="1"/>
  <c r="BC134" i="11"/>
  <c r="BB86" i="11"/>
  <c r="BC83" i="11" s="1"/>
  <c r="BC89" i="11" s="1"/>
  <c r="BC135" i="11"/>
  <c r="BC58" i="11"/>
  <c r="BC59" i="11" s="1"/>
  <c r="BB32" i="15" s="1"/>
  <c r="CL126" i="11" l="1"/>
  <c r="CL46" i="5" s="1"/>
  <c r="CS125" i="11"/>
  <c r="CT52" i="6" s="1"/>
  <c r="CS48" i="11"/>
  <c r="Z83" i="17"/>
  <c r="Z81" i="17" s="1"/>
  <c r="CR86" i="5"/>
  <c r="DX95" i="11"/>
  <c r="DY92" i="11" s="1"/>
  <c r="DY94" i="11" s="1"/>
  <c r="DY117" i="5" s="1"/>
  <c r="DY115" i="5" s="1"/>
  <c r="BD56" i="11"/>
  <c r="BC91" i="5"/>
  <c r="BC89" i="5" s="1"/>
  <c r="BC84" i="11"/>
  <c r="BC141" i="11"/>
  <c r="BC142" i="11" s="1"/>
  <c r="BD139" i="11" s="1"/>
  <c r="BC136" i="11"/>
  <c r="BD54" i="6"/>
  <c r="CL127" i="11" l="1"/>
  <c r="CM124" i="11" s="1"/>
  <c r="CS88" i="5"/>
  <c r="CS49" i="11"/>
  <c r="CT46" i="11" s="1"/>
  <c r="DY95" i="11"/>
  <c r="DZ92" i="11" s="1"/>
  <c r="DZ94" i="11" s="1"/>
  <c r="DZ117" i="5" s="1"/>
  <c r="DZ115" i="5" s="1"/>
  <c r="BC48" i="5"/>
  <c r="BC63" i="19"/>
  <c r="BC137" i="11"/>
  <c r="BC85" i="11"/>
  <c r="BC62" i="19" s="1"/>
  <c r="BD58" i="11"/>
  <c r="BD135" i="11"/>
  <c r="CS86" i="5" l="1"/>
  <c r="CM126" i="11"/>
  <c r="CM46" i="5" s="1"/>
  <c r="CT125" i="11"/>
  <c r="CU52" i="6" s="1"/>
  <c r="CT48" i="11"/>
  <c r="DZ95" i="11"/>
  <c r="EA92" i="11" s="1"/>
  <c r="EA94" i="11" s="1"/>
  <c r="BD91" i="5"/>
  <c r="BD89" i="5" s="1"/>
  <c r="BD141" i="11"/>
  <c r="BD142" i="11" s="1"/>
  <c r="BE139" i="11" s="1"/>
  <c r="BD84" i="11"/>
  <c r="BD59" i="11"/>
  <c r="BC32" i="15" s="1"/>
  <c r="BD136" i="11"/>
  <c r="BE54" i="6"/>
  <c r="BC86" i="11"/>
  <c r="BD83" i="11" s="1"/>
  <c r="BD134" i="11"/>
  <c r="CM127" i="11" l="1"/>
  <c r="CN124" i="11" s="1"/>
  <c r="CN126" i="11" s="1"/>
  <c r="CN46" i="5" s="1"/>
  <c r="CT88" i="5"/>
  <c r="CT49" i="11"/>
  <c r="CU46" i="11" s="1"/>
  <c r="EA117" i="5"/>
  <c r="EA115" i="5" s="1"/>
  <c r="EA95" i="11"/>
  <c r="EB92" i="11" s="1"/>
  <c r="EB94" i="11" s="1"/>
  <c r="EB117" i="5" s="1"/>
  <c r="EB115" i="5" s="1"/>
  <c r="BD137" i="11"/>
  <c r="BD85" i="11"/>
  <c r="BD62" i="19" s="1"/>
  <c r="BD48" i="5"/>
  <c r="BD63" i="19"/>
  <c r="BE56" i="11"/>
  <c r="CT86" i="5" l="1"/>
  <c r="CN127" i="11"/>
  <c r="CO124" i="11" s="1"/>
  <c r="CU48" i="11"/>
  <c r="CU125" i="11"/>
  <c r="CV52" i="6" s="1"/>
  <c r="EB95" i="11"/>
  <c r="EC92" i="11" s="1"/>
  <c r="BE134" i="11"/>
  <c r="BE135" i="11"/>
  <c r="BE58" i="11"/>
  <c r="BE59" i="11" s="1"/>
  <c r="BD32" i="15" s="1"/>
  <c r="BD86" i="11"/>
  <c r="CO126" i="11" l="1"/>
  <c r="CO46" i="5" s="1"/>
  <c r="CU88" i="5"/>
  <c r="CU49" i="11"/>
  <c r="CV46" i="11" s="1"/>
  <c r="EC94" i="11"/>
  <c r="EC117" i="5" s="1"/>
  <c r="BF56" i="11"/>
  <c r="BD89" i="11"/>
  <c r="BE83" i="11"/>
  <c r="BF54" i="6"/>
  <c r="BE136" i="11"/>
  <c r="BE137" i="11" s="1"/>
  <c r="BE91" i="5"/>
  <c r="BE89" i="5" s="1"/>
  <c r="BE84" i="11"/>
  <c r="BE141" i="11"/>
  <c r="BE142" i="11" s="1"/>
  <c r="BF139" i="11" s="1"/>
  <c r="EC115" i="5" l="1"/>
  <c r="CU86" i="5"/>
  <c r="CO127" i="11"/>
  <c r="CP124" i="11" s="1"/>
  <c r="CP126" i="11" s="1"/>
  <c r="CP46" i="5" s="1"/>
  <c r="CV48" i="11"/>
  <c r="CV88" i="5" s="1"/>
  <c r="CV86" i="5" s="1"/>
  <c r="CV125" i="11"/>
  <c r="CW52" i="6" s="1"/>
  <c r="EC95" i="11"/>
  <c r="ED92" i="11" s="1"/>
  <c r="ED94" i="11" s="1"/>
  <c r="ED117" i="5" s="1"/>
  <c r="ED115" i="5" s="1"/>
  <c r="BF134" i="11"/>
  <c r="BE63" i="19"/>
  <c r="BE48" i="5"/>
  <c r="BE89" i="11"/>
  <c r="BE85" i="11"/>
  <c r="BE62" i="19" s="1"/>
  <c r="BF58" i="11"/>
  <c r="BF59" i="11" s="1"/>
  <c r="BE32" i="15" s="1"/>
  <c r="BF135" i="11"/>
  <c r="CP127" i="11" l="1"/>
  <c r="CQ124" i="11" s="1"/>
  <c r="CQ126" i="11" s="1"/>
  <c r="CQ46" i="5" s="1"/>
  <c r="CV49" i="11"/>
  <c r="CW46" i="11" s="1"/>
  <c r="CW125" i="11" s="1"/>
  <c r="CX52" i="6" s="1"/>
  <c r="ED95" i="11"/>
  <c r="EE92" i="11" s="1"/>
  <c r="EE94" i="11" s="1"/>
  <c r="EE117" i="5" s="1"/>
  <c r="EE115" i="5" s="1"/>
  <c r="BE86" i="11"/>
  <c r="BF83" i="11" s="1"/>
  <c r="BF89" i="11" s="1"/>
  <c r="BG56" i="11"/>
  <c r="BG54" i="6"/>
  <c r="BF136" i="11"/>
  <c r="BF137" i="11" s="1"/>
  <c r="BF91" i="5"/>
  <c r="BF89" i="5" s="1"/>
  <c r="BF141" i="11"/>
  <c r="BF142" i="11" s="1"/>
  <c r="BG139" i="11" s="1"/>
  <c r="BF84" i="11"/>
  <c r="CQ127" i="11" l="1"/>
  <c r="CR124" i="11" s="1"/>
  <c r="CW48" i="11"/>
  <c r="CW88" i="5" s="1"/>
  <c r="EE95" i="11"/>
  <c r="EF92" i="11" s="1"/>
  <c r="EF94" i="11" s="1"/>
  <c r="EF117" i="5" s="1"/>
  <c r="EF115" i="5" s="1"/>
  <c r="BF85" i="11"/>
  <c r="BF62" i="19" s="1"/>
  <c r="BG134" i="11"/>
  <c r="BF63" i="19"/>
  <c r="BF48" i="5"/>
  <c r="BG58" i="11"/>
  <c r="BG59" i="11" s="1"/>
  <c r="BF32" i="15" s="1"/>
  <c r="BG135" i="11"/>
  <c r="CW86" i="5" l="1"/>
  <c r="CR126" i="11"/>
  <c r="CR46" i="5" s="1"/>
  <c r="CW49" i="11"/>
  <c r="CX46" i="11" s="1"/>
  <c r="CX125" i="11" s="1"/>
  <c r="CY52" i="6" s="1"/>
  <c r="EF95" i="11"/>
  <c r="EG92" i="11" s="1"/>
  <c r="EG94" i="11" s="1"/>
  <c r="EG117" i="5" s="1"/>
  <c r="BF86" i="11"/>
  <c r="BG83" i="11" s="1"/>
  <c r="BG89" i="11" s="1"/>
  <c r="BH56" i="11"/>
  <c r="BG136" i="11"/>
  <c r="BG137" i="11" s="1"/>
  <c r="BH54" i="6"/>
  <c r="BG91" i="5"/>
  <c r="BG89" i="5" s="1"/>
  <c r="BG141" i="11"/>
  <c r="BG142" i="11" s="1"/>
  <c r="BH139" i="11" s="1"/>
  <c r="BG84" i="11"/>
  <c r="CR127" i="11" l="1"/>
  <c r="CS124" i="11" s="1"/>
  <c r="CX48" i="11"/>
  <c r="CX88" i="5" s="1"/>
  <c r="CX86" i="5" s="1"/>
  <c r="EG115" i="5"/>
  <c r="EG95" i="11"/>
  <c r="EH92" i="11" s="1"/>
  <c r="BG85" i="11"/>
  <c r="BG62" i="19" s="1"/>
  <c r="BH134" i="11"/>
  <c r="BG48" i="5"/>
  <c r="BG63" i="19"/>
  <c r="BH58" i="11"/>
  <c r="BH59" i="11" s="1"/>
  <c r="BG32" i="15" s="1"/>
  <c r="BH135" i="11"/>
  <c r="CS126" i="11" l="1"/>
  <c r="CS46" i="5" s="1"/>
  <c r="AA83" i="17"/>
  <c r="AA81" i="17" s="1"/>
  <c r="CX49" i="11"/>
  <c r="CY46" i="11" s="1"/>
  <c r="CY48" i="11" s="1"/>
  <c r="CY88" i="5" s="1"/>
  <c r="CY86" i="5" s="1"/>
  <c r="EH94" i="11"/>
  <c r="EH117" i="5" s="1"/>
  <c r="BG86" i="11"/>
  <c r="BH83" i="11" s="1"/>
  <c r="BH89" i="11" s="1"/>
  <c r="R27" i="18"/>
  <c r="BI56" i="11"/>
  <c r="BH136" i="11"/>
  <c r="BI54" i="6"/>
  <c r="BH91" i="5"/>
  <c r="BH89" i="5" s="1"/>
  <c r="BH141" i="11"/>
  <c r="BH142" i="11" s="1"/>
  <c r="BI139" i="11" s="1"/>
  <c r="BH84" i="11"/>
  <c r="CS127" i="11" l="1"/>
  <c r="CT124" i="11" s="1"/>
  <c r="CY49" i="11"/>
  <c r="CZ46" i="11" s="1"/>
  <c r="CZ125" i="11" s="1"/>
  <c r="DA52" i="6" s="1"/>
  <c r="CY125" i="11"/>
  <c r="CZ52" i="6" s="1"/>
  <c r="EH95" i="11"/>
  <c r="EI92" i="11" s="1"/>
  <c r="EI94" i="11" s="1"/>
  <c r="EI95" i="11" s="1"/>
  <c r="EJ92" i="11" s="1"/>
  <c r="EH115" i="5"/>
  <c r="AG112" i="17"/>
  <c r="AG110" i="17" s="1"/>
  <c r="M112" i="17"/>
  <c r="N112" i="17"/>
  <c r="N110" i="17" s="1"/>
  <c r="P112" i="17"/>
  <c r="P110" i="17" s="1"/>
  <c r="Q112" i="17"/>
  <c r="Q110" i="17" s="1"/>
  <c r="R112" i="17"/>
  <c r="R110" i="17" s="1"/>
  <c r="S112" i="17"/>
  <c r="S110" i="17" s="1"/>
  <c r="T112" i="17"/>
  <c r="T110" i="17" s="1"/>
  <c r="U112" i="17"/>
  <c r="U110" i="17" s="1"/>
  <c r="V112" i="17"/>
  <c r="V110" i="17" s="1"/>
  <c r="W112" i="17"/>
  <c r="W110" i="17" s="1"/>
  <c r="X112" i="17"/>
  <c r="X110" i="17" s="1"/>
  <c r="Y112" i="17"/>
  <c r="Y110" i="17" s="1"/>
  <c r="Z112" i="17"/>
  <c r="Z110" i="17" s="1"/>
  <c r="AA112" i="17"/>
  <c r="AA110" i="17" s="1"/>
  <c r="AB112" i="17"/>
  <c r="AB110" i="17" s="1"/>
  <c r="AC112" i="17"/>
  <c r="AC110" i="17" s="1"/>
  <c r="AD112" i="17"/>
  <c r="AD110" i="17" s="1"/>
  <c r="AF112" i="17"/>
  <c r="AF110" i="17" s="1"/>
  <c r="BH85" i="11"/>
  <c r="BH62" i="19" s="1"/>
  <c r="BH48" i="5"/>
  <c r="BH63" i="19"/>
  <c r="BH137" i="11"/>
  <c r="BI135" i="11"/>
  <c r="BI58" i="11"/>
  <c r="CT126" i="11" l="1"/>
  <c r="CT46" i="5" s="1"/>
  <c r="CZ48" i="11"/>
  <c r="CZ88" i="5" s="1"/>
  <c r="CZ86" i="5" s="1"/>
  <c r="EJ94" i="11"/>
  <c r="EJ117" i="5" s="1"/>
  <c r="EJ115" i="5" s="1"/>
  <c r="EI117" i="5"/>
  <c r="M110" i="17"/>
  <c r="BH86" i="11"/>
  <c r="BI83" i="11" s="1"/>
  <c r="BI89" i="11" s="1"/>
  <c r="BI91" i="5"/>
  <c r="BI84" i="11"/>
  <c r="BI141" i="11"/>
  <c r="BI142" i="11" s="1"/>
  <c r="BJ139" i="11" s="1"/>
  <c r="BI136" i="11"/>
  <c r="BJ54" i="6"/>
  <c r="BI134" i="11"/>
  <c r="BI59" i="11"/>
  <c r="BH32" i="15" s="1"/>
  <c r="BI89" i="5" l="1"/>
  <c r="CT127" i="11"/>
  <c r="CU124" i="11" s="1"/>
  <c r="CZ49" i="11"/>
  <c r="DA46" i="11" s="1"/>
  <c r="DA125" i="11" s="1"/>
  <c r="DB52" i="6" s="1"/>
  <c r="EJ95" i="11"/>
  <c r="EK92" i="11" s="1"/>
  <c r="EK94" i="11" s="1"/>
  <c r="EK95" i="11" s="1"/>
  <c r="EL92" i="11" s="1"/>
  <c r="EI115" i="5"/>
  <c r="BI137" i="11"/>
  <c r="BJ56" i="11"/>
  <c r="BI63" i="19"/>
  <c r="BI48" i="5"/>
  <c r="BI85" i="11"/>
  <c r="BI62" i="19" s="1"/>
  <c r="CU126" i="11" l="1"/>
  <c r="CU46" i="5" s="1"/>
  <c r="DA48" i="11"/>
  <c r="DA88" i="5" s="1"/>
  <c r="DA86" i="5" s="1"/>
  <c r="EL94" i="11"/>
  <c r="EL117" i="5" s="1"/>
  <c r="EL115" i="5" s="1"/>
  <c r="EK117" i="5"/>
  <c r="BJ134" i="11"/>
  <c r="BI86" i="11"/>
  <c r="BJ83" i="11" s="1"/>
  <c r="BJ58" i="11"/>
  <c r="BJ59" i="11" s="1"/>
  <c r="BI32" i="15" s="1"/>
  <c r="BJ135" i="11"/>
  <c r="CU127" i="11" l="1"/>
  <c r="CV124" i="11" s="1"/>
  <c r="DA49" i="11"/>
  <c r="DB46" i="11" s="1"/>
  <c r="DB125" i="11" s="1"/>
  <c r="DC52" i="6" s="1"/>
  <c r="EL95" i="11"/>
  <c r="EM92" i="11" s="1"/>
  <c r="EM94" i="11" s="1"/>
  <c r="EM95" i="11" s="1"/>
  <c r="EN92" i="11" s="1"/>
  <c r="EK115" i="5"/>
  <c r="BK56" i="11"/>
  <c r="BJ91" i="5"/>
  <c r="BJ84" i="11"/>
  <c r="BJ85" i="11" s="1"/>
  <c r="BJ86" i="11" s="1"/>
  <c r="BK83" i="11" s="1"/>
  <c r="BJ141" i="11"/>
  <c r="BJ142" i="11" s="1"/>
  <c r="BK139" i="11" s="1"/>
  <c r="BJ136" i="11"/>
  <c r="BJ137" i="11" s="1"/>
  <c r="BK54" i="6"/>
  <c r="BJ89" i="11"/>
  <c r="CV126" i="11" l="1"/>
  <c r="CV46" i="5" s="1"/>
  <c r="DB48" i="11"/>
  <c r="DB88" i="5" s="1"/>
  <c r="DB86" i="5" s="1"/>
  <c r="EM117" i="5"/>
  <c r="EN94" i="11"/>
  <c r="EN117" i="5" s="1"/>
  <c r="EN115" i="5" s="1"/>
  <c r="BK134" i="11"/>
  <c r="BK89" i="11"/>
  <c r="BJ63" i="19"/>
  <c r="BJ48" i="5"/>
  <c r="BJ89" i="5"/>
  <c r="BJ62" i="19"/>
  <c r="BK58" i="11"/>
  <c r="BK135" i="11"/>
  <c r="CV127" i="11" l="1"/>
  <c r="CW124" i="11" s="1"/>
  <c r="DB49" i="11"/>
  <c r="DC46" i="11" s="1"/>
  <c r="EN95" i="11"/>
  <c r="EO92" i="11" s="1"/>
  <c r="EO94" i="11" s="1"/>
  <c r="EO117" i="5" s="1"/>
  <c r="EM115" i="5"/>
  <c r="AH112" i="17"/>
  <c r="BK91" i="5"/>
  <c r="BK141" i="11"/>
  <c r="BK142" i="11" s="1"/>
  <c r="BL139" i="11" s="1"/>
  <c r="BK84" i="11"/>
  <c r="BK59" i="11"/>
  <c r="BJ32" i="15" s="1"/>
  <c r="BL54" i="6"/>
  <c r="BK136" i="11"/>
  <c r="BK89" i="5" l="1"/>
  <c r="CW126" i="11"/>
  <c r="CW46" i="5" s="1"/>
  <c r="DC125" i="11"/>
  <c r="DC48" i="11"/>
  <c r="EO95" i="11"/>
  <c r="EP92" i="11" s="1"/>
  <c r="EP94" i="11" s="1"/>
  <c r="EP95" i="11" s="1"/>
  <c r="EQ92" i="11" s="1"/>
  <c r="AH110" i="17"/>
  <c r="EO115" i="5"/>
  <c r="BK63" i="19"/>
  <c r="BK48" i="5"/>
  <c r="BK137" i="11"/>
  <c r="BL56" i="11"/>
  <c r="BK85" i="11"/>
  <c r="BK62" i="19" s="1"/>
  <c r="CW127" i="11" l="1"/>
  <c r="CX124" i="11" s="1"/>
  <c r="DC88" i="5"/>
  <c r="DC86" i="5" s="1"/>
  <c r="DC49" i="11"/>
  <c r="DD46" i="11" s="1"/>
  <c r="DD52" i="6"/>
  <c r="EQ94" i="11"/>
  <c r="EQ117" i="5" s="1"/>
  <c r="EP117" i="5"/>
  <c r="X112" i="26" s="1"/>
  <c r="X110" i="26" s="1"/>
  <c r="BL135" i="11"/>
  <c r="BL58" i="11"/>
  <c r="BL59" i="11" s="1"/>
  <c r="BK32" i="15" s="1"/>
  <c r="BK86" i="11"/>
  <c r="BL83" i="11" s="1"/>
  <c r="BL134" i="11"/>
  <c r="EQ115" i="5" l="1"/>
  <c r="M112" i="26"/>
  <c r="N112" i="26"/>
  <c r="N110" i="26" s="1"/>
  <c r="O112" i="26"/>
  <c r="O110" i="26" s="1"/>
  <c r="P112" i="26"/>
  <c r="P110" i="26" s="1"/>
  <c r="Q112" i="26"/>
  <c r="Q110" i="26" s="1"/>
  <c r="R112" i="26"/>
  <c r="R110" i="26" s="1"/>
  <c r="S112" i="26"/>
  <c r="S110" i="26" s="1"/>
  <c r="T112" i="26"/>
  <c r="T110" i="26" s="1"/>
  <c r="U112" i="26"/>
  <c r="U110" i="26" s="1"/>
  <c r="V112" i="26"/>
  <c r="V110" i="26" s="1"/>
  <c r="W112" i="26"/>
  <c r="W110" i="26" s="1"/>
  <c r="CX126" i="11"/>
  <c r="CX46" i="5" s="1"/>
  <c r="DD48" i="11"/>
  <c r="DD88" i="5" s="1"/>
  <c r="DD125" i="11"/>
  <c r="DE52" i="6" s="1"/>
  <c r="J94" i="11"/>
  <c r="EQ95" i="11"/>
  <c r="EP115" i="5"/>
  <c r="J117" i="5"/>
  <c r="J115" i="5" s="1"/>
  <c r="AI112" i="17"/>
  <c r="BL89" i="11"/>
  <c r="BM56" i="11"/>
  <c r="BL91" i="5"/>
  <c r="BL89" i="5" s="1"/>
  <c r="BL141" i="11"/>
  <c r="BL142" i="11" s="1"/>
  <c r="BM139" i="11" s="1"/>
  <c r="BL84" i="11"/>
  <c r="BL85" i="11" s="1"/>
  <c r="BM54" i="6"/>
  <c r="BL136" i="11"/>
  <c r="J112" i="26" l="1"/>
  <c r="J110" i="26" s="1"/>
  <c r="M110" i="26"/>
  <c r="CX127" i="11"/>
  <c r="CY124" i="11" s="1"/>
  <c r="DD49" i="11"/>
  <c r="DE46" i="11" s="1"/>
  <c r="DD86" i="5"/>
  <c r="AB83" i="17"/>
  <c r="AB81" i="17" s="1"/>
  <c r="AI110" i="17"/>
  <c r="J112" i="17"/>
  <c r="J110" i="17" s="1"/>
  <c r="BL62" i="19"/>
  <c r="BM135" i="11"/>
  <c r="BM58" i="11"/>
  <c r="BM59" i="11" s="1"/>
  <c r="BL32" i="15" s="1"/>
  <c r="BL86" i="11"/>
  <c r="BM83" i="11" s="1"/>
  <c r="BL48" i="5"/>
  <c r="BL63" i="19"/>
  <c r="BL137" i="11"/>
  <c r="CY126" i="11" l="1"/>
  <c r="CY46" i="5" s="1"/>
  <c r="DE48" i="11"/>
  <c r="DE125" i="11"/>
  <c r="BM134" i="11"/>
  <c r="BN56" i="11"/>
  <c r="BM89" i="11"/>
  <c r="BM91" i="5"/>
  <c r="BM84" i="11"/>
  <c r="BM85" i="11" s="1"/>
  <c r="BM141" i="11"/>
  <c r="BM142" i="11" s="1"/>
  <c r="BN139" i="11" s="1"/>
  <c r="BN54" i="6"/>
  <c r="BM136" i="11"/>
  <c r="CY127" i="11" l="1"/>
  <c r="CZ124" i="11" s="1"/>
  <c r="DF52" i="6"/>
  <c r="DE88" i="5"/>
  <c r="DE49" i="11"/>
  <c r="DF46" i="11" s="1"/>
  <c r="BM86" i="11"/>
  <c r="BN83" i="11" s="1"/>
  <c r="BM89" i="5"/>
  <c r="BM62" i="19"/>
  <c r="BN58" i="11"/>
  <c r="BN59" i="11" s="1"/>
  <c r="BM32" i="15" s="1"/>
  <c r="BN135" i="11"/>
  <c r="BM63" i="19"/>
  <c r="BM48" i="5"/>
  <c r="BM137" i="11"/>
  <c r="DE86" i="5" l="1"/>
  <c r="CZ126" i="11"/>
  <c r="CZ46" i="5" s="1"/>
  <c r="DF125" i="11"/>
  <c r="DG52" i="6" s="1"/>
  <c r="DF48" i="11"/>
  <c r="DF88" i="5" s="1"/>
  <c r="DF86" i="5" s="1"/>
  <c r="S27" i="18"/>
  <c r="H223" i="32" s="1"/>
  <c r="BN136" i="11"/>
  <c r="BO54" i="6"/>
  <c r="BO56" i="11"/>
  <c r="BN134" i="11"/>
  <c r="BN91" i="5"/>
  <c r="BN89" i="5" s="1"/>
  <c r="BN84" i="11"/>
  <c r="BN85" i="11" s="1"/>
  <c r="BN141" i="11"/>
  <c r="BN142" i="11" s="1"/>
  <c r="BO139" i="11" s="1"/>
  <c r="BN89" i="11"/>
  <c r="CZ127" i="11" l="1"/>
  <c r="DA124" i="11" s="1"/>
  <c r="DF49" i="11"/>
  <c r="DG46" i="11" s="1"/>
  <c r="BN62" i="19"/>
  <c r="BN137" i="11"/>
  <c r="BO58" i="11"/>
  <c r="BO59" i="11" s="1"/>
  <c r="BN32" i="15" s="1"/>
  <c r="BO135" i="11"/>
  <c r="BN86" i="11"/>
  <c r="BO83" i="11" s="1"/>
  <c r="BN63" i="19"/>
  <c r="BN48" i="5"/>
  <c r="DA126" i="11" l="1"/>
  <c r="DA46" i="5" s="1"/>
  <c r="DG125" i="11"/>
  <c r="DH52" i="6" s="1"/>
  <c r="DG48" i="11"/>
  <c r="DG88" i="5" s="1"/>
  <c r="BO134" i="11"/>
  <c r="BO89" i="11"/>
  <c r="BP54" i="6"/>
  <c r="BO136" i="11"/>
  <c r="BP56" i="11"/>
  <c r="BO91" i="5"/>
  <c r="BO89" i="5" s="1"/>
  <c r="BO84" i="11"/>
  <c r="BO85" i="11" s="1"/>
  <c r="BO141" i="11"/>
  <c r="BO142" i="11" s="1"/>
  <c r="BP139" i="11" s="1"/>
  <c r="DG86" i="5" l="1"/>
  <c r="DA127" i="11"/>
  <c r="DB124" i="11" s="1"/>
  <c r="DG49" i="11"/>
  <c r="DH46" i="11" s="1"/>
  <c r="BO62" i="19"/>
  <c r="BO63" i="19"/>
  <c r="BO48" i="5"/>
  <c r="BO86" i="11"/>
  <c r="BP83" i="11" s="1"/>
  <c r="BO137" i="11"/>
  <c r="BP58" i="11"/>
  <c r="BP59" i="11" s="1"/>
  <c r="BO32" i="15" s="1"/>
  <c r="BP135" i="11"/>
  <c r="DB126" i="11" l="1"/>
  <c r="DB46" i="5" s="1"/>
  <c r="DH125" i="11"/>
  <c r="DI52" i="6" s="1"/>
  <c r="DH48" i="11"/>
  <c r="DH88" i="5" s="1"/>
  <c r="BP136" i="11"/>
  <c r="BQ54" i="6"/>
  <c r="BQ56" i="11"/>
  <c r="BP91" i="5"/>
  <c r="BP84" i="11"/>
  <c r="BP85" i="11" s="1"/>
  <c r="BP141" i="11"/>
  <c r="BP142" i="11" s="1"/>
  <c r="BQ139" i="11" s="1"/>
  <c r="BP134" i="11"/>
  <c r="BP89" i="11"/>
  <c r="DH86" i="5" l="1"/>
  <c r="DB127" i="11"/>
  <c r="DC124" i="11" s="1"/>
  <c r="DH49" i="11"/>
  <c r="DI46" i="11" s="1"/>
  <c r="BP137" i="11"/>
  <c r="BQ134" i="11" s="1"/>
  <c r="BP86" i="11"/>
  <c r="BQ83" i="11" s="1"/>
  <c r="BQ89" i="11" s="1"/>
  <c r="BP89" i="5"/>
  <c r="BP62" i="19"/>
  <c r="BQ58" i="11"/>
  <c r="BQ59" i="11" s="1"/>
  <c r="BP32" i="15" s="1"/>
  <c r="BQ135" i="11"/>
  <c r="BP63" i="19"/>
  <c r="BP48" i="5"/>
  <c r="DC126" i="11" l="1"/>
  <c r="DC46" i="5" s="1"/>
  <c r="DI125" i="11"/>
  <c r="DJ52" i="6" s="1"/>
  <c r="DI48" i="11"/>
  <c r="DI88" i="5" s="1"/>
  <c r="BR56" i="11"/>
  <c r="BQ136" i="11"/>
  <c r="BQ137" i="11" s="1"/>
  <c r="BR54" i="6"/>
  <c r="BQ91" i="5"/>
  <c r="BQ84" i="11"/>
  <c r="BQ141" i="11"/>
  <c r="BQ142" i="11" s="1"/>
  <c r="BR139" i="11" s="1"/>
  <c r="DC127" i="11" l="1"/>
  <c r="DD124" i="11" s="1"/>
  <c r="DI49" i="11"/>
  <c r="DJ46" i="11" s="1"/>
  <c r="DI86" i="5"/>
  <c r="BQ85" i="11"/>
  <c r="BQ86" i="11" s="1"/>
  <c r="BR83" i="11" s="1"/>
  <c r="BQ89" i="5"/>
  <c r="BR134" i="11"/>
  <c r="BQ63" i="19"/>
  <c r="BQ48" i="5"/>
  <c r="BR135" i="11"/>
  <c r="BR58" i="11"/>
  <c r="DD126" i="11" l="1"/>
  <c r="DD46" i="5" s="1"/>
  <c r="DJ48" i="11"/>
  <c r="DJ88" i="5" s="1"/>
  <c r="DJ125" i="11"/>
  <c r="DK52" i="6" s="1"/>
  <c r="BR89" i="11"/>
  <c r="BR91" i="5"/>
  <c r="BR89" i="5" s="1"/>
  <c r="BR141" i="11"/>
  <c r="BR142" i="11" s="1"/>
  <c r="BS139" i="11" s="1"/>
  <c r="BR84" i="11"/>
  <c r="BR85" i="11" s="1"/>
  <c r="BS54" i="6"/>
  <c r="BR136" i="11"/>
  <c r="BR137" i="11" s="1"/>
  <c r="BQ62" i="19"/>
  <c r="BR59" i="11"/>
  <c r="BQ32" i="15" s="1"/>
  <c r="DD127" i="11" l="1"/>
  <c r="DE124" i="11" s="1"/>
  <c r="DE126" i="11" s="1"/>
  <c r="DE46" i="5" s="1"/>
  <c r="DJ49" i="11"/>
  <c r="DK46" i="11" s="1"/>
  <c r="DK125" i="11" s="1"/>
  <c r="DL52" i="6" s="1"/>
  <c r="DJ86" i="5"/>
  <c r="AC83" i="17"/>
  <c r="AC81" i="17" s="1"/>
  <c r="BR62" i="19"/>
  <c r="BS134" i="11"/>
  <c r="BR63" i="19"/>
  <c r="BR48" i="5"/>
  <c r="BS56" i="11"/>
  <c r="BR86" i="11"/>
  <c r="BS83" i="11" s="1"/>
  <c r="DE127" i="11" l="1"/>
  <c r="DF124" i="11" s="1"/>
  <c r="DK48" i="11"/>
  <c r="DK88" i="5" s="1"/>
  <c r="DK86" i="5" s="1"/>
  <c r="BS135" i="11"/>
  <c r="BS58" i="11"/>
  <c r="BS59" i="11" s="1"/>
  <c r="BR32" i="15" s="1"/>
  <c r="BS89" i="11"/>
  <c r="DF126" i="11" l="1"/>
  <c r="DF46" i="5" s="1"/>
  <c r="DK49" i="11"/>
  <c r="DL46" i="11" s="1"/>
  <c r="DL48" i="11" s="1"/>
  <c r="DL88" i="5" s="1"/>
  <c r="DL86" i="5" s="1"/>
  <c r="BT56" i="11"/>
  <c r="BS91" i="5"/>
  <c r="BS141" i="11"/>
  <c r="BS142" i="11" s="1"/>
  <c r="BT139" i="11" s="1"/>
  <c r="BS84" i="11"/>
  <c r="BT54" i="6"/>
  <c r="BS136" i="11"/>
  <c r="BS137" i="11" s="1"/>
  <c r="DL49" i="11" l="1"/>
  <c r="DM46" i="11" s="1"/>
  <c r="DM125" i="11" s="1"/>
  <c r="DN52" i="6" s="1"/>
  <c r="DL125" i="11"/>
  <c r="DM52" i="6" s="1"/>
  <c r="DF127" i="11"/>
  <c r="DG124" i="11" s="1"/>
  <c r="BT134" i="11"/>
  <c r="BS85" i="11"/>
  <c r="BS62" i="19" s="1"/>
  <c r="BS89" i="5"/>
  <c r="BS48" i="5"/>
  <c r="BS63" i="19"/>
  <c r="BT58" i="11"/>
  <c r="BT135" i="11"/>
  <c r="DM48" i="11" l="1"/>
  <c r="DM88" i="5" s="1"/>
  <c r="DM86" i="5" s="1"/>
  <c r="DG126" i="11"/>
  <c r="DG46" i="5" s="1"/>
  <c r="BS86" i="11"/>
  <c r="BT83" i="11" s="1"/>
  <c r="BT89" i="11" s="1"/>
  <c r="BT91" i="5"/>
  <c r="BT141" i="11"/>
  <c r="BT142" i="11" s="1"/>
  <c r="BU139" i="11" s="1"/>
  <c r="BT84" i="11"/>
  <c r="BU54" i="6"/>
  <c r="BT136" i="11"/>
  <c r="BT137" i="11" s="1"/>
  <c r="BT59" i="11"/>
  <c r="BS32" i="15" s="1"/>
  <c r="DM49" i="11" l="1"/>
  <c r="DN46" i="11" s="1"/>
  <c r="DN48" i="11" s="1"/>
  <c r="DN88" i="5" s="1"/>
  <c r="DN86" i="5" s="1"/>
  <c r="DG127" i="11"/>
  <c r="DH124" i="11" s="1"/>
  <c r="T27" i="18"/>
  <c r="BT85" i="11"/>
  <c r="BT86" i="11" s="1"/>
  <c r="BU83" i="11" s="1"/>
  <c r="BU56" i="11"/>
  <c r="BU134" i="11"/>
  <c r="BT63" i="19"/>
  <c r="BT48" i="5"/>
  <c r="BT89" i="5"/>
  <c r="DN125" i="11" l="1"/>
  <c r="DO52" i="6" s="1"/>
  <c r="DN49" i="11"/>
  <c r="DO46" i="11" s="1"/>
  <c r="DO48" i="11" s="1"/>
  <c r="DO88" i="5" s="1"/>
  <c r="DO86" i="5" s="1"/>
  <c r="DH126" i="11"/>
  <c r="DH46" i="5" s="1"/>
  <c r="BT62" i="19"/>
  <c r="BU135" i="11"/>
  <c r="BU58" i="11"/>
  <c r="BU59" i="11" s="1"/>
  <c r="BT32" i="15" s="1"/>
  <c r="BU89" i="11"/>
  <c r="DO125" i="11" l="1"/>
  <c r="DP52" i="6" s="1"/>
  <c r="DO49" i="11"/>
  <c r="DP46" i="11" s="1"/>
  <c r="DP125" i="11" s="1"/>
  <c r="DQ52" i="6" s="1"/>
  <c r="DH127" i="11"/>
  <c r="DI124" i="11" s="1"/>
  <c r="O46" i="16"/>
  <c r="P46" i="16"/>
  <c r="Q46" i="16"/>
  <c r="R46" i="16"/>
  <c r="S46" i="16"/>
  <c r="U46" i="16"/>
  <c r="V46" i="16"/>
  <c r="W46" i="16"/>
  <c r="Y46" i="16"/>
  <c r="Z46" i="16"/>
  <c r="AA46" i="16"/>
  <c r="AB46" i="16"/>
  <c r="AC46" i="16"/>
  <c r="AD46" i="16"/>
  <c r="O83" i="17"/>
  <c r="Q83" i="17"/>
  <c r="Q81" i="17" s="1"/>
  <c r="BV56" i="11"/>
  <c r="BU91" i="5"/>
  <c r="BU141" i="11"/>
  <c r="BU142" i="11" s="1"/>
  <c r="BV139" i="11" s="1"/>
  <c r="BU84" i="11"/>
  <c r="BV54" i="6"/>
  <c r="BU136" i="11"/>
  <c r="BU89" i="5" l="1"/>
  <c r="AE46" i="16"/>
  <c r="DP48" i="11"/>
  <c r="DP88" i="5" s="1"/>
  <c r="AD83" i="17" s="1"/>
  <c r="AD81" i="17" s="1"/>
  <c r="DI126" i="11"/>
  <c r="DI46" i="5" s="1"/>
  <c r="O81" i="17"/>
  <c r="BU63" i="19"/>
  <c r="BU48" i="5"/>
  <c r="BU137" i="11"/>
  <c r="BU85" i="11"/>
  <c r="BU62" i="19" s="1"/>
  <c r="BV58" i="11"/>
  <c r="BV135" i="11"/>
  <c r="DP86" i="5" l="1"/>
  <c r="DP49" i="11"/>
  <c r="DQ46" i="11" s="1"/>
  <c r="DQ125" i="11" s="1"/>
  <c r="DR52" i="6" s="1"/>
  <c r="DI127" i="11"/>
  <c r="DJ124" i="11" s="1"/>
  <c r="DJ126" i="11" s="1"/>
  <c r="DJ46" i="5" s="1"/>
  <c r="BV91" i="5"/>
  <c r="BV84" i="11"/>
  <c r="BV141" i="11"/>
  <c r="BV142" i="11" s="1"/>
  <c r="BW139" i="11" s="1"/>
  <c r="BV59" i="11"/>
  <c r="BU32" i="15" s="1"/>
  <c r="BU86" i="11"/>
  <c r="BV83" i="11" s="1"/>
  <c r="BV134" i="11"/>
  <c r="BV136" i="11"/>
  <c r="BW54" i="6"/>
  <c r="BV89" i="5" l="1"/>
  <c r="DQ48" i="11"/>
  <c r="DQ49" i="11" s="1"/>
  <c r="DR46" i="11" s="1"/>
  <c r="DJ127" i="11"/>
  <c r="DK124" i="11" s="1"/>
  <c r="DK126" i="11" s="1"/>
  <c r="DK46" i="5" s="1"/>
  <c r="BV137" i="11"/>
  <c r="BV63" i="19"/>
  <c r="BV48" i="5"/>
  <c r="BV89" i="11"/>
  <c r="BV85" i="11"/>
  <c r="BV62" i="19" s="1"/>
  <c r="BW56" i="11"/>
  <c r="DR48" i="11" l="1"/>
  <c r="DR125" i="11"/>
  <c r="DS52" i="6" s="1"/>
  <c r="DQ88" i="5"/>
  <c r="DK127" i="11"/>
  <c r="DL124" i="11" s="1"/>
  <c r="BW134" i="11"/>
  <c r="BV86" i="11"/>
  <c r="BW83" i="11" s="1"/>
  <c r="BW89" i="11" s="1"/>
  <c r="BW58" i="11"/>
  <c r="BW59" i="11" s="1"/>
  <c r="BV32" i="15" s="1"/>
  <c r="BW135" i="11"/>
  <c r="DQ86" i="5" l="1"/>
  <c r="DR88" i="5"/>
  <c r="DR86" i="5" s="1"/>
  <c r="DR49" i="11"/>
  <c r="DS46" i="11" s="1"/>
  <c r="DL126" i="11"/>
  <c r="DL46" i="5" s="1"/>
  <c r="BX56" i="11"/>
  <c r="BX54" i="6"/>
  <c r="BW136" i="11"/>
  <c r="BW137" i="11" s="1"/>
  <c r="BW91" i="5"/>
  <c r="BW141" i="11"/>
  <c r="BW142" i="11" s="1"/>
  <c r="BX139" i="11" s="1"/>
  <c r="BW84" i="11"/>
  <c r="DS48" i="11" l="1"/>
  <c r="DS125" i="11"/>
  <c r="DT52" i="6" s="1"/>
  <c r="DL127" i="11"/>
  <c r="DM124" i="11" s="1"/>
  <c r="BX134" i="11"/>
  <c r="BW85" i="11"/>
  <c r="BW86" i="11" s="1"/>
  <c r="BX83" i="11" s="1"/>
  <c r="BW89" i="5"/>
  <c r="BW63" i="19"/>
  <c r="BW48" i="5"/>
  <c r="BX135" i="11"/>
  <c r="BX58" i="11"/>
  <c r="DS88" i="5" l="1"/>
  <c r="DS49" i="11"/>
  <c r="DT46" i="11" s="1"/>
  <c r="DM126" i="11"/>
  <c r="DM46" i="5" s="1"/>
  <c r="BW62" i="19"/>
  <c r="BX89" i="11"/>
  <c r="BX91" i="5"/>
  <c r="BX141" i="11"/>
  <c r="BX142" i="11" s="1"/>
  <c r="BY139" i="11" s="1"/>
  <c r="BX84" i="11"/>
  <c r="BX85" i="11" s="1"/>
  <c r="BY54" i="6"/>
  <c r="BX136" i="11"/>
  <c r="BX59" i="11"/>
  <c r="BW32" i="15" s="1"/>
  <c r="DS86" i="5" l="1"/>
  <c r="DT125" i="11"/>
  <c r="DU52" i="6" s="1"/>
  <c r="DT48" i="11"/>
  <c r="DM127" i="11"/>
  <c r="DN124" i="11" s="1"/>
  <c r="BX89" i="5"/>
  <c r="BX62" i="19"/>
  <c r="BY56" i="11"/>
  <c r="BX63" i="19"/>
  <c r="BX48" i="5"/>
  <c r="BX137" i="11"/>
  <c r="BX86" i="11"/>
  <c r="BY83" i="11" s="1"/>
  <c r="DT88" i="5" l="1"/>
  <c r="DT49" i="11"/>
  <c r="DU46" i="11" s="1"/>
  <c r="DN126" i="11"/>
  <c r="DN46" i="5" s="1"/>
  <c r="BY89" i="11"/>
  <c r="BY134" i="11"/>
  <c r="BY58" i="11"/>
  <c r="BY59" i="11" s="1"/>
  <c r="BX32" i="15" s="1"/>
  <c r="BY135" i="11"/>
  <c r="DT86" i="5" l="1"/>
  <c r="DU125" i="11"/>
  <c r="DV52" i="6" s="1"/>
  <c r="DU48" i="11"/>
  <c r="DN127" i="11"/>
  <c r="DO124" i="11" s="1"/>
  <c r="BZ56" i="11"/>
  <c r="BY136" i="11"/>
  <c r="BY137" i="11" s="1"/>
  <c r="BZ54" i="6"/>
  <c r="BY91" i="5"/>
  <c r="BY89" i="5" s="1"/>
  <c r="BY84" i="11"/>
  <c r="BY141" i="11"/>
  <c r="BY142" i="11" s="1"/>
  <c r="BZ139" i="11" s="1"/>
  <c r="DU88" i="5" l="1"/>
  <c r="DU86" i="5" s="1"/>
  <c r="DU49" i="11"/>
  <c r="DV46" i="11" s="1"/>
  <c r="DV125" i="11" s="1"/>
  <c r="DW52" i="6" s="1"/>
  <c r="AF46" i="16" s="1"/>
  <c r="DO126" i="11"/>
  <c r="DO46" i="5" s="1"/>
  <c r="BZ134" i="11"/>
  <c r="BY85" i="11"/>
  <c r="BY62" i="19" s="1"/>
  <c r="BY63" i="19"/>
  <c r="BY48" i="5"/>
  <c r="BZ58" i="11"/>
  <c r="BZ135" i="11"/>
  <c r="DV48" i="11" l="1"/>
  <c r="DO127" i="11"/>
  <c r="DP124" i="11" s="1"/>
  <c r="BZ91" i="5"/>
  <c r="BZ89" i="5" s="1"/>
  <c r="BZ141" i="11"/>
  <c r="BZ142" i="11" s="1"/>
  <c r="CA139" i="11" s="1"/>
  <c r="BZ84" i="11"/>
  <c r="CA54" i="6"/>
  <c r="BZ136" i="11"/>
  <c r="BZ137" i="11" s="1"/>
  <c r="BY86" i="11"/>
  <c r="BZ83" i="11" s="1"/>
  <c r="BZ59" i="11"/>
  <c r="BY32" i="15" s="1"/>
  <c r="DV88" i="5" l="1"/>
  <c r="DV86" i="5" s="1"/>
  <c r="DV49" i="11"/>
  <c r="DW46" i="11" s="1"/>
  <c r="DW125" i="11" s="1"/>
  <c r="DX52" i="6" s="1"/>
  <c r="DP126" i="11"/>
  <c r="DP46" i="5" s="1"/>
  <c r="U27" i="18"/>
  <c r="I223" i="32" s="1"/>
  <c r="CA134" i="11"/>
  <c r="BZ85" i="11"/>
  <c r="BZ62" i="19" s="1"/>
  <c r="BZ89" i="11"/>
  <c r="CA56" i="11"/>
  <c r="BZ48" i="5"/>
  <c r="BZ63" i="19"/>
  <c r="AE83" i="17" l="1"/>
  <c r="AE81" i="17" s="1"/>
  <c r="DW48" i="11"/>
  <c r="DW88" i="5" s="1"/>
  <c r="DW86" i="5" s="1"/>
  <c r="DP127" i="11"/>
  <c r="DQ124" i="11" s="1"/>
  <c r="CA135" i="11"/>
  <c r="CA58" i="11"/>
  <c r="CA59" i="11" s="1"/>
  <c r="BZ32" i="15" s="1"/>
  <c r="BZ86" i="11"/>
  <c r="CA83" i="11" s="1"/>
  <c r="DW49" i="11" l="1"/>
  <c r="DX46" i="11" s="1"/>
  <c r="DX48" i="11" s="1"/>
  <c r="DQ126" i="11"/>
  <c r="DQ46" i="5" s="1"/>
  <c r="CB56" i="11"/>
  <c r="CA89" i="11"/>
  <c r="CA91" i="5"/>
  <c r="CA89" i="5" s="1"/>
  <c r="CA84" i="11"/>
  <c r="CA85" i="11" s="1"/>
  <c r="CA141" i="11"/>
  <c r="CA142" i="11" s="1"/>
  <c r="CB139" i="11" s="1"/>
  <c r="CA136" i="11"/>
  <c r="CB54" i="6"/>
  <c r="DX125" i="11" l="1"/>
  <c r="DY52" i="6" s="1"/>
  <c r="DX49" i="11"/>
  <c r="DY46" i="11" s="1"/>
  <c r="DX88" i="5"/>
  <c r="DX86" i="5" s="1"/>
  <c r="DQ127" i="11"/>
  <c r="DR124" i="11" s="1"/>
  <c r="CA62" i="19"/>
  <c r="CA48" i="5"/>
  <c r="CA63" i="19"/>
  <c r="CA137" i="11"/>
  <c r="CA86" i="11"/>
  <c r="CB83" i="11" s="1"/>
  <c r="CB58" i="11"/>
  <c r="CB135" i="11"/>
  <c r="DY48" i="11" l="1"/>
  <c r="DY125" i="11"/>
  <c r="DZ52" i="6" s="1"/>
  <c r="DR126" i="11"/>
  <c r="DR46" i="5" s="1"/>
  <c r="CB91" i="5"/>
  <c r="CB89" i="5" s="1"/>
  <c r="CB84" i="11"/>
  <c r="CB85" i="11" s="1"/>
  <c r="CB141" i="11"/>
  <c r="CB142" i="11" s="1"/>
  <c r="CC139" i="11" s="1"/>
  <c r="CB59" i="11"/>
  <c r="CA32" i="15" s="1"/>
  <c r="CC54" i="6"/>
  <c r="CB136" i="11"/>
  <c r="CB89" i="11"/>
  <c r="CB134" i="11"/>
  <c r="DY88" i="5" l="1"/>
  <c r="DY86" i="5" s="1"/>
  <c r="DY49" i="11"/>
  <c r="DZ46" i="11" s="1"/>
  <c r="DR127" i="11"/>
  <c r="DS124" i="11" s="1"/>
  <c r="CB62" i="19"/>
  <c r="CB86" i="11"/>
  <c r="CC83" i="11" s="1"/>
  <c r="CC89" i="11" s="1"/>
  <c r="CB63" i="19"/>
  <c r="CB48" i="5"/>
  <c r="CC56" i="11"/>
  <c r="CB137" i="11"/>
  <c r="DZ125" i="11" l="1"/>
  <c r="EA52" i="6" s="1"/>
  <c r="DZ48" i="11"/>
  <c r="DS126" i="11"/>
  <c r="DS46" i="5" s="1"/>
  <c r="CC134" i="11"/>
  <c r="CC58" i="11"/>
  <c r="CC59" i="11" s="1"/>
  <c r="CB32" i="15" s="1"/>
  <c r="CC135" i="11"/>
  <c r="DZ88" i="5" l="1"/>
  <c r="DZ86" i="5" s="1"/>
  <c r="DZ49" i="11"/>
  <c r="EA46" i="11" s="1"/>
  <c r="DS127" i="11"/>
  <c r="DT124" i="11" s="1"/>
  <c r="CD56" i="11"/>
  <c r="CC136" i="11"/>
  <c r="CC137" i="11" s="1"/>
  <c r="CD54" i="6"/>
  <c r="CC91" i="5"/>
  <c r="CC89" i="5" s="1"/>
  <c r="CC141" i="11"/>
  <c r="CC142" i="11" s="1"/>
  <c r="CD139" i="11" s="1"/>
  <c r="CC84" i="11"/>
  <c r="EA125" i="11" l="1"/>
  <c r="EB52" i="6" s="1"/>
  <c r="EA48" i="11"/>
  <c r="DT126" i="11"/>
  <c r="DT46" i="5" s="1"/>
  <c r="CD134" i="11"/>
  <c r="CC85" i="11"/>
  <c r="CC62" i="19" s="1"/>
  <c r="CC63" i="19"/>
  <c r="CC48" i="5"/>
  <c r="CD135" i="11"/>
  <c r="CD58" i="11"/>
  <c r="EA88" i="5" l="1"/>
  <c r="EA86" i="5" s="1"/>
  <c r="EA49" i="11"/>
  <c r="EB46" i="11" s="1"/>
  <c r="DT127" i="11"/>
  <c r="DU124" i="11" s="1"/>
  <c r="CC86" i="11"/>
  <c r="CD83" i="11" s="1"/>
  <c r="CD89" i="11" s="1"/>
  <c r="CD91" i="5"/>
  <c r="CD89" i="5" s="1"/>
  <c r="CD141" i="11"/>
  <c r="CD142" i="11" s="1"/>
  <c r="CE139" i="11" s="1"/>
  <c r="CD84" i="11"/>
  <c r="CD136" i="11"/>
  <c r="CD137" i="11" s="1"/>
  <c r="CE54" i="6"/>
  <c r="CD59" i="11"/>
  <c r="CC32" i="15" s="1"/>
  <c r="EB125" i="11" l="1"/>
  <c r="EC52" i="6" s="1"/>
  <c r="AG46" i="16" s="1"/>
  <c r="EB48" i="11"/>
  <c r="DU126" i="11"/>
  <c r="DU46" i="5" s="1"/>
  <c r="CD85" i="11"/>
  <c r="CD62" i="19" s="1"/>
  <c r="CE56" i="11"/>
  <c r="CE134" i="11"/>
  <c r="CD63" i="19"/>
  <c r="CD48" i="5"/>
  <c r="EB88" i="5" l="1"/>
  <c r="EB86" i="5" s="1"/>
  <c r="EB49" i="11"/>
  <c r="EC46" i="11" s="1"/>
  <c r="DU127" i="11"/>
  <c r="DV124" i="11" s="1"/>
  <c r="CD86" i="11"/>
  <c r="CE83" i="11" s="1"/>
  <c r="CE89" i="11" s="1"/>
  <c r="CE58" i="11"/>
  <c r="CE59" i="11" s="1"/>
  <c r="CD32" i="15" s="1"/>
  <c r="CE135" i="11"/>
  <c r="AF83" i="17" l="1"/>
  <c r="AF81" i="17" s="1"/>
  <c r="EC48" i="11"/>
  <c r="EC125" i="11"/>
  <c r="ED52" i="6" s="1"/>
  <c r="DV126" i="11"/>
  <c r="DV46" i="5" s="1"/>
  <c r="CF56" i="11"/>
  <c r="CE136" i="11"/>
  <c r="CE137" i="11" s="1"/>
  <c r="CF54" i="6"/>
  <c r="CE91" i="5"/>
  <c r="CE89" i="5" s="1"/>
  <c r="CE84" i="11"/>
  <c r="CE141" i="11"/>
  <c r="CE142" i="11" s="1"/>
  <c r="CF139" i="11" s="1"/>
  <c r="EC88" i="5" l="1"/>
  <c r="EC49" i="11"/>
  <c r="ED46" i="11" s="1"/>
  <c r="DV127" i="11"/>
  <c r="DW124" i="11" s="1"/>
  <c r="DW126" i="11" s="1"/>
  <c r="DW46" i="5" s="1"/>
  <c r="CE85" i="11"/>
  <c r="CE62" i="19" s="1"/>
  <c r="CE63" i="19"/>
  <c r="CE48" i="5"/>
  <c r="CF134" i="11"/>
  <c r="CF135" i="11"/>
  <c r="CF58" i="11"/>
  <c r="CF59" i="11" s="1"/>
  <c r="CE32" i="15" s="1"/>
  <c r="EC86" i="5" l="1"/>
  <c r="ED125" i="11"/>
  <c r="EE52" i="6" s="1"/>
  <c r="ED48" i="11"/>
  <c r="DW127" i="11"/>
  <c r="DX124" i="11" s="1"/>
  <c r="V27" i="18"/>
  <c r="CE86" i="11"/>
  <c r="CF83" i="11" s="1"/>
  <c r="CF89" i="11" s="1"/>
  <c r="CG56" i="11"/>
  <c r="CF136" i="11"/>
  <c r="CF137" i="11" s="1"/>
  <c r="CG54" i="6"/>
  <c r="CF91" i="5"/>
  <c r="CF89" i="5" s="1"/>
  <c r="CF84" i="11"/>
  <c r="CF141" i="11"/>
  <c r="CF142" i="11" s="1"/>
  <c r="CG139" i="11" s="1"/>
  <c r="ED88" i="5" l="1"/>
  <c r="ED49" i="11"/>
  <c r="EE46" i="11" s="1"/>
  <c r="DX126" i="11"/>
  <c r="DX46" i="5" s="1"/>
  <c r="CF85" i="11"/>
  <c r="CF62" i="19" s="1"/>
  <c r="CG134" i="11"/>
  <c r="CF63" i="19"/>
  <c r="CF48" i="5"/>
  <c r="CG58" i="11"/>
  <c r="CG59" i="11" s="1"/>
  <c r="CF32" i="15" s="1"/>
  <c r="CG135" i="11"/>
  <c r="ED86" i="5" l="1"/>
  <c r="EE125" i="11"/>
  <c r="EF52" i="6" s="1"/>
  <c r="EE48" i="11"/>
  <c r="DX127" i="11"/>
  <c r="DY124" i="11" s="1"/>
  <c r="CF86" i="11"/>
  <c r="CG83" i="11" s="1"/>
  <c r="CG89" i="11" s="1"/>
  <c r="CH56" i="11"/>
  <c r="CG136" i="11"/>
  <c r="CH54" i="6"/>
  <c r="CG91" i="5"/>
  <c r="CG141" i="11"/>
  <c r="CG142" i="11" s="1"/>
  <c r="CH139" i="11" s="1"/>
  <c r="CG84" i="11"/>
  <c r="CG89" i="5" l="1"/>
  <c r="EE88" i="5"/>
  <c r="EE49" i="11"/>
  <c r="EF46" i="11" s="1"/>
  <c r="DY126" i="11"/>
  <c r="DY46" i="5" s="1"/>
  <c r="CG85" i="11"/>
  <c r="CG62" i="19" s="1"/>
  <c r="CG48" i="5"/>
  <c r="CG63" i="19"/>
  <c r="CG137" i="11"/>
  <c r="CH58" i="11"/>
  <c r="CH135" i="11"/>
  <c r="EE86" i="5" l="1"/>
  <c r="EF48" i="11"/>
  <c r="EF125" i="11"/>
  <c r="EG52" i="6" s="1"/>
  <c r="DY127" i="11"/>
  <c r="DZ124" i="11" s="1"/>
  <c r="CG86" i="11"/>
  <c r="CH83" i="11" s="1"/>
  <c r="CH89" i="11" s="1"/>
  <c r="CH136" i="11"/>
  <c r="CI54" i="6"/>
  <c r="CH91" i="5"/>
  <c r="CH84" i="11"/>
  <c r="CH141" i="11"/>
  <c r="CH142" i="11" s="1"/>
  <c r="CI139" i="11" s="1"/>
  <c r="CH134" i="11"/>
  <c r="CH59" i="11"/>
  <c r="CG32" i="15" s="1"/>
  <c r="CH89" i="5" l="1"/>
  <c r="EF49" i="11"/>
  <c r="EG46" i="11" s="1"/>
  <c r="EG125" i="11" s="1"/>
  <c r="EH52" i="6" s="1"/>
  <c r="EF88" i="5"/>
  <c r="DZ126" i="11"/>
  <c r="DZ46" i="5" s="1"/>
  <c r="CH85" i="11"/>
  <c r="CH62" i="19" s="1"/>
  <c r="CH137" i="11"/>
  <c r="CH48" i="5"/>
  <c r="CH63" i="19"/>
  <c r="CI56" i="11"/>
  <c r="EG48" i="11" l="1"/>
  <c r="EG88" i="5" s="1"/>
  <c r="EG86" i="5" s="1"/>
  <c r="EF86" i="5"/>
  <c r="DZ127" i="11"/>
  <c r="EA124" i="11" s="1"/>
  <c r="CI134" i="11"/>
  <c r="CH86" i="11"/>
  <c r="CI83" i="11" s="1"/>
  <c r="CI89" i="11" s="1"/>
  <c r="CI135" i="11"/>
  <c r="CI58" i="11"/>
  <c r="CI59" i="11" s="1"/>
  <c r="CH32" i="15" s="1"/>
  <c r="EG49" i="11" l="1"/>
  <c r="EH46" i="11" s="1"/>
  <c r="EH125" i="11" s="1"/>
  <c r="EI52" i="6" s="1"/>
  <c r="AH46" i="16" s="1"/>
  <c r="EA126" i="11"/>
  <c r="EA46" i="5" s="1"/>
  <c r="CJ56" i="11"/>
  <c r="CI91" i="5"/>
  <c r="CI84" i="11"/>
  <c r="CI141" i="11"/>
  <c r="CI142" i="11" s="1"/>
  <c r="CJ139" i="11" s="1"/>
  <c r="CI136" i="11"/>
  <c r="CJ54" i="6"/>
  <c r="EH48" i="11" l="1"/>
  <c r="EH88" i="5" s="1"/>
  <c r="EH86" i="5" s="1"/>
  <c r="CI89" i="5"/>
  <c r="AG83" i="17"/>
  <c r="AG81" i="17" s="1"/>
  <c r="EA127" i="11"/>
  <c r="EB124" i="11" s="1"/>
  <c r="CI63" i="19"/>
  <c r="CI48" i="5"/>
  <c r="CI137" i="11"/>
  <c r="CI85" i="11"/>
  <c r="CI62" i="19" s="1"/>
  <c r="CJ58" i="11"/>
  <c r="CJ59" i="11" s="1"/>
  <c r="CI32" i="15" s="1"/>
  <c r="CJ135" i="11"/>
  <c r="EH49" i="11" l="1"/>
  <c r="EI46" i="11" s="1"/>
  <c r="EI125" i="11" s="1"/>
  <c r="EJ52" i="6" s="1"/>
  <c r="EB126" i="11"/>
  <c r="EB46" i="5" s="1"/>
  <c r="AF41" i="17" s="1"/>
  <c r="N41" i="17"/>
  <c r="O41" i="17"/>
  <c r="P41" i="17"/>
  <c r="Q41" i="17"/>
  <c r="R41" i="17"/>
  <c r="S41" i="17"/>
  <c r="T41" i="17"/>
  <c r="U41" i="17"/>
  <c r="V41" i="17"/>
  <c r="W41" i="17"/>
  <c r="Y41" i="17"/>
  <c r="Z41" i="17"/>
  <c r="AA41" i="17"/>
  <c r="AB41" i="17"/>
  <c r="AC41" i="17"/>
  <c r="AD41" i="17"/>
  <c r="AE41" i="17"/>
  <c r="CI86" i="11"/>
  <c r="CJ83" i="11" s="1"/>
  <c r="CJ89" i="11" s="1"/>
  <c r="CJ136" i="11"/>
  <c r="CK54" i="6"/>
  <c r="CJ91" i="5"/>
  <c r="CJ141" i="11"/>
  <c r="CJ142" i="11" s="1"/>
  <c r="CK139" i="11" s="1"/>
  <c r="CJ84" i="11"/>
  <c r="CJ134" i="11"/>
  <c r="CK56" i="11"/>
  <c r="EI48" i="11" l="1"/>
  <c r="EI49" i="11" s="1"/>
  <c r="EJ46" i="11" s="1"/>
  <c r="EJ125" i="11" s="1"/>
  <c r="EK52" i="6" s="1"/>
  <c r="EB127" i="11"/>
  <c r="EC124" i="11" s="1"/>
  <c r="CJ137" i="11"/>
  <c r="CJ85" i="11"/>
  <c r="CJ86" i="11" s="1"/>
  <c r="CK83" i="11" s="1"/>
  <c r="CK89" i="11" s="1"/>
  <c r="CK58" i="11"/>
  <c r="CK59" i="11" s="1"/>
  <c r="CJ32" i="15" s="1"/>
  <c r="CK135" i="11"/>
  <c r="CJ89" i="5"/>
  <c r="CJ48" i="5"/>
  <c r="CJ63" i="19"/>
  <c r="EJ48" i="11" l="1"/>
  <c r="EJ49" i="11" s="1"/>
  <c r="EK46" i="11" s="1"/>
  <c r="EI88" i="5"/>
  <c r="EI86" i="5" s="1"/>
  <c r="EC126" i="11"/>
  <c r="EC46" i="5" s="1"/>
  <c r="CK134" i="11"/>
  <c r="CJ62" i="19"/>
  <c r="CL56" i="11"/>
  <c r="CK136" i="11"/>
  <c r="CL54" i="6"/>
  <c r="CK91" i="5"/>
  <c r="CK89" i="5" s="1"/>
  <c r="CK84" i="11"/>
  <c r="CK141" i="11"/>
  <c r="CK142" i="11" s="1"/>
  <c r="CL139" i="11" s="1"/>
  <c r="EJ88" i="5" l="1"/>
  <c r="EJ86" i="5" s="1"/>
  <c r="EK125" i="11"/>
  <c r="EL52" i="6" s="1"/>
  <c r="EK48" i="11"/>
  <c r="EC127" i="11"/>
  <c r="ED124" i="11" s="1"/>
  <c r="CK48" i="5"/>
  <c r="CK63" i="19"/>
  <c r="CK137" i="11"/>
  <c r="CK85" i="11"/>
  <c r="CK62" i="19" s="1"/>
  <c r="CL58" i="11"/>
  <c r="CL59" i="11" s="1"/>
  <c r="CK32" i="15" s="1"/>
  <c r="CL135" i="11"/>
  <c r="EK88" i="5" l="1"/>
  <c r="EK86" i="5" s="1"/>
  <c r="EK49" i="11"/>
  <c r="EL46" i="11" s="1"/>
  <c r="ED126" i="11"/>
  <c r="ED46" i="5" s="1"/>
  <c r="W27" i="18"/>
  <c r="J223" i="32" s="1"/>
  <c r="CK86" i="11"/>
  <c r="CL83" i="11" s="1"/>
  <c r="CL89" i="11" s="1"/>
  <c r="CM56" i="11"/>
  <c r="CL136" i="11"/>
  <c r="CM54" i="6"/>
  <c r="CL91" i="5"/>
  <c r="CL84" i="11"/>
  <c r="CL141" i="11"/>
  <c r="CL142" i="11" s="1"/>
  <c r="CM139" i="11" s="1"/>
  <c r="CL134" i="11"/>
  <c r="EL48" i="11" l="1"/>
  <c r="EL125" i="11"/>
  <c r="EM52" i="6" s="1"/>
  <c r="ED127" i="11"/>
  <c r="EE124" i="11" s="1"/>
  <c r="CL85" i="11"/>
  <c r="CL86" i="11" s="1"/>
  <c r="CM83" i="11" s="1"/>
  <c r="CM89" i="11" s="1"/>
  <c r="CL137" i="11"/>
  <c r="CL89" i="5"/>
  <c r="CL63" i="19"/>
  <c r="CL48" i="5"/>
  <c r="CM58" i="11"/>
  <c r="CM59" i="11" s="1"/>
  <c r="CL32" i="15" s="1"/>
  <c r="CM135" i="11"/>
  <c r="EL49" i="11" l="1"/>
  <c r="EM46" i="11" s="1"/>
  <c r="EL88" i="5"/>
  <c r="EL86" i="5" s="1"/>
  <c r="EE126" i="11"/>
  <c r="EE46" i="5" s="1"/>
  <c r="CL62" i="19"/>
  <c r="CM134" i="11"/>
  <c r="CN56" i="11"/>
  <c r="CN54" i="6"/>
  <c r="CM136" i="11"/>
  <c r="CM91" i="5"/>
  <c r="CM84" i="11"/>
  <c r="CM141" i="11"/>
  <c r="CM142" i="11" s="1"/>
  <c r="CN139" i="11" s="1"/>
  <c r="EM48" i="11" l="1"/>
  <c r="EM125" i="11"/>
  <c r="EN52" i="6" s="1"/>
  <c r="EE127" i="11"/>
  <c r="EF124" i="11" s="1"/>
  <c r="CM137" i="11"/>
  <c r="CM85" i="11"/>
  <c r="CM62" i="19" s="1"/>
  <c r="CM89" i="5"/>
  <c r="CM63" i="19"/>
  <c r="CM48" i="5"/>
  <c r="CN58" i="11"/>
  <c r="CN135" i="11"/>
  <c r="EM88" i="5" l="1"/>
  <c r="EM86" i="5" s="1"/>
  <c r="EM49" i="11"/>
  <c r="EN46" i="11" s="1"/>
  <c r="EN125" i="11" s="1"/>
  <c r="EO52" i="6" s="1"/>
  <c r="AI46" i="16" s="1"/>
  <c r="EF126" i="11"/>
  <c r="EF46" i="5" s="1"/>
  <c r="CN134" i="11"/>
  <c r="CM86" i="11"/>
  <c r="CN83" i="11" s="1"/>
  <c r="CN89" i="11" s="1"/>
  <c r="CN91" i="5"/>
  <c r="CN84" i="11"/>
  <c r="CN141" i="11"/>
  <c r="CN142" i="11" s="1"/>
  <c r="CO139" i="11" s="1"/>
  <c r="CN136" i="11"/>
  <c r="CO54" i="6"/>
  <c r="CN59" i="11"/>
  <c r="CM32" i="15" s="1"/>
  <c r="EN48" i="11" l="1"/>
  <c r="EN49" i="11" s="1"/>
  <c r="EO46" i="11" s="1"/>
  <c r="EF127" i="11"/>
  <c r="EG124" i="11" s="1"/>
  <c r="CN85" i="11"/>
  <c r="CN86" i="11" s="1"/>
  <c r="CO83" i="11" s="1"/>
  <c r="CN48" i="5"/>
  <c r="CN63" i="19"/>
  <c r="CN137" i="11"/>
  <c r="CO56" i="11"/>
  <c r="CN89" i="5"/>
  <c r="EN88" i="5" l="1"/>
  <c r="EN86" i="5" s="1"/>
  <c r="EO48" i="11"/>
  <c r="EO125" i="11"/>
  <c r="EP52" i="6" s="1"/>
  <c r="AH83" i="17"/>
  <c r="AH81" i="17" s="1"/>
  <c r="EG126" i="11"/>
  <c r="EG46" i="5" s="1"/>
  <c r="CN62" i="19"/>
  <c r="CO89" i="11"/>
  <c r="CO58" i="11"/>
  <c r="CO135" i="11"/>
  <c r="CO134" i="11"/>
  <c r="EO49" i="11" l="1"/>
  <c r="EP46" i="11" s="1"/>
  <c r="EO88" i="5"/>
  <c r="EG127" i="11"/>
  <c r="EH124" i="11" s="1"/>
  <c r="EH126" i="11" s="1"/>
  <c r="EH46" i="5" s="1"/>
  <c r="AG41" i="17" s="1"/>
  <c r="CO91" i="5"/>
  <c r="CO89" i="5" s="1"/>
  <c r="CO141" i="11"/>
  <c r="CO142" i="11" s="1"/>
  <c r="CP139" i="11" s="1"/>
  <c r="CO84" i="11"/>
  <c r="CO59" i="11"/>
  <c r="CN32" i="15" s="1"/>
  <c r="CP54" i="6"/>
  <c r="CO136" i="11"/>
  <c r="EO86" i="5" l="1"/>
  <c r="EP48" i="11"/>
  <c r="EP125" i="11"/>
  <c r="EQ52" i="6" s="1"/>
  <c r="EH127" i="11"/>
  <c r="EI124" i="11" s="1"/>
  <c r="CO63" i="19"/>
  <c r="CO48" i="5"/>
  <c r="CP56" i="11"/>
  <c r="CO137" i="11"/>
  <c r="CO85" i="11"/>
  <c r="CO62" i="19" s="1"/>
  <c r="EP88" i="5" l="1"/>
  <c r="EP49" i="11"/>
  <c r="EQ46" i="11" s="1"/>
  <c r="EI126" i="11"/>
  <c r="EI46" i="5" s="1"/>
  <c r="CO86" i="11"/>
  <c r="CP83" i="11" s="1"/>
  <c r="CP89" i="11" s="1"/>
  <c r="CP58" i="11"/>
  <c r="CP59" i="11" s="1"/>
  <c r="CO32" i="15" s="1"/>
  <c r="CP135" i="11"/>
  <c r="CP134" i="11"/>
  <c r="EP86" i="5" l="1"/>
  <c r="EQ125" i="11"/>
  <c r="EQ48" i="11"/>
  <c r="EQ49" i="11" s="1"/>
  <c r="EI127" i="11"/>
  <c r="EJ124" i="11" s="1"/>
  <c r="CQ56" i="11"/>
  <c r="CQ54" i="6"/>
  <c r="CP136" i="11"/>
  <c r="CP91" i="5"/>
  <c r="CP141" i="11"/>
  <c r="CP142" i="11" s="1"/>
  <c r="CQ139" i="11" s="1"/>
  <c r="CP84" i="11"/>
  <c r="J125" i="11" l="1"/>
  <c r="ER52" i="6"/>
  <c r="EQ88" i="5"/>
  <c r="J48" i="11"/>
  <c r="EJ126" i="11"/>
  <c r="EJ46" i="5" s="1"/>
  <c r="CP63" i="19"/>
  <c r="CP48" i="5"/>
  <c r="CP85" i="11"/>
  <c r="CP86" i="11" s="1"/>
  <c r="CQ83" i="11" s="1"/>
  <c r="CP89" i="5"/>
  <c r="CP137" i="11"/>
  <c r="CQ58" i="11"/>
  <c r="CQ59" i="11" s="1"/>
  <c r="CP32" i="15" s="1"/>
  <c r="CQ135" i="11"/>
  <c r="M83" i="26" l="1"/>
  <c r="N83" i="26"/>
  <c r="N81" i="26" s="1"/>
  <c r="O83" i="26"/>
  <c r="O81" i="26" s="1"/>
  <c r="P83" i="26"/>
  <c r="P81" i="26" s="1"/>
  <c r="Q83" i="26"/>
  <c r="Q81" i="26" s="1"/>
  <c r="R83" i="26"/>
  <c r="R81" i="26" s="1"/>
  <c r="S83" i="26"/>
  <c r="S81" i="26" s="1"/>
  <c r="T83" i="26"/>
  <c r="T81" i="26" s="1"/>
  <c r="U83" i="26"/>
  <c r="U81" i="26" s="1"/>
  <c r="V83" i="26"/>
  <c r="V81" i="26" s="1"/>
  <c r="W83" i="26"/>
  <c r="W81" i="26" s="1"/>
  <c r="X83" i="26"/>
  <c r="X81" i="26" s="1"/>
  <c r="AJ46" i="16"/>
  <c r="K46" i="16" s="1"/>
  <c r="K52" i="6"/>
  <c r="J88" i="5"/>
  <c r="EQ86" i="5"/>
  <c r="AI83" i="17"/>
  <c r="EJ127" i="11"/>
  <c r="EK124" i="11" s="1"/>
  <c r="CP62" i="19"/>
  <c r="CR56" i="11"/>
  <c r="CQ136" i="11"/>
  <c r="CR54" i="6"/>
  <c r="CQ89" i="11"/>
  <c r="CQ134" i="11"/>
  <c r="CQ91" i="5"/>
  <c r="CQ89" i="5" s="1"/>
  <c r="CQ141" i="11"/>
  <c r="CQ142" i="11" s="1"/>
  <c r="CR139" i="11" s="1"/>
  <c r="CQ84" i="11"/>
  <c r="CQ85" i="11" s="1"/>
  <c r="J86" i="5" l="1"/>
  <c r="M81" i="26"/>
  <c r="J83" i="26"/>
  <c r="J81" i="26" s="1"/>
  <c r="J83" i="17"/>
  <c r="J81" i="17" s="1"/>
  <c r="AI81" i="17"/>
  <c r="EK126" i="11"/>
  <c r="EK46" i="5" s="1"/>
  <c r="CQ137" i="11"/>
  <c r="CQ86" i="11"/>
  <c r="CR83" i="11" s="1"/>
  <c r="CR89" i="11" s="1"/>
  <c r="CQ62" i="19"/>
  <c r="CQ63" i="19"/>
  <c r="CQ48" i="5"/>
  <c r="CR135" i="11"/>
  <c r="CR58" i="11"/>
  <c r="CR59" i="11" s="1"/>
  <c r="CQ32" i="15" s="1"/>
  <c r="EK127" i="11" l="1"/>
  <c r="EL124" i="11" s="1"/>
  <c r="X27" i="18"/>
  <c r="CR134" i="11"/>
  <c r="CR136" i="11"/>
  <c r="CS54" i="6"/>
  <c r="CS56" i="11"/>
  <c r="CR91" i="5"/>
  <c r="CR89" i="5" s="1"/>
  <c r="CR141" i="11"/>
  <c r="CR142" i="11" s="1"/>
  <c r="CS139" i="11" s="1"/>
  <c r="CR84" i="11"/>
  <c r="EL126" i="11" l="1"/>
  <c r="EL127" i="11" s="1"/>
  <c r="EM124" i="11" s="1"/>
  <c r="EM126" i="11" s="1"/>
  <c r="CR137" i="11"/>
  <c r="CR85" i="11"/>
  <c r="CR62" i="19" s="1"/>
  <c r="CS58" i="11"/>
  <c r="CS59" i="11" s="1"/>
  <c r="CR32" i="15" s="1"/>
  <c r="CS135" i="11"/>
  <c r="CR48" i="5"/>
  <c r="CR63" i="19"/>
  <c r="EM127" i="11" l="1"/>
  <c r="EN124" i="11" s="1"/>
  <c r="EM46" i="5"/>
  <c r="EL46" i="5"/>
  <c r="CS134" i="11"/>
  <c r="CT56" i="11"/>
  <c r="CS136" i="11"/>
  <c r="CT54" i="6"/>
  <c r="CS141" i="11"/>
  <c r="CS142" i="11" s="1"/>
  <c r="CT139" i="11" s="1"/>
  <c r="CS91" i="5"/>
  <c r="CS84" i="11"/>
  <c r="CR86" i="11"/>
  <c r="CS83" i="11" s="1"/>
  <c r="EN126" i="11" l="1"/>
  <c r="EN127" i="11" s="1"/>
  <c r="EO124" i="11" s="1"/>
  <c r="EO126" i="11" s="1"/>
  <c r="CS137" i="11"/>
  <c r="CT134" i="11" s="1"/>
  <c r="CS89" i="5"/>
  <c r="CS85" i="11"/>
  <c r="CS62" i="19" s="1"/>
  <c r="CS89" i="11"/>
  <c r="CS63" i="19"/>
  <c r="CS48" i="5"/>
  <c r="CT58" i="11"/>
  <c r="CT135" i="11"/>
  <c r="EO127" i="11" l="1"/>
  <c r="EP124" i="11" s="1"/>
  <c r="EO46" i="5"/>
  <c r="EN46" i="5"/>
  <c r="CS86" i="11"/>
  <c r="CT83" i="11" s="1"/>
  <c r="CT89" i="11" s="1"/>
  <c r="CT59" i="11"/>
  <c r="CS32" i="15" s="1"/>
  <c r="CT91" i="5"/>
  <c r="CT141" i="11"/>
  <c r="CT142" i="11" s="1"/>
  <c r="CU139" i="11" s="1"/>
  <c r="CT84" i="11"/>
  <c r="CT136" i="11"/>
  <c r="CU54" i="6"/>
  <c r="AH41" i="17" l="1"/>
  <c r="EP126" i="11"/>
  <c r="CT85" i="11"/>
  <c r="CT86" i="11" s="1"/>
  <c r="CU83" i="11" s="1"/>
  <c r="CU89" i="11" s="1"/>
  <c r="CT48" i="5"/>
  <c r="CT63" i="19"/>
  <c r="CT137" i="11"/>
  <c r="CT89" i="5"/>
  <c r="CU56" i="11"/>
  <c r="EP46" i="5" l="1"/>
  <c r="EP127" i="11"/>
  <c r="EQ124" i="11" s="1"/>
  <c r="CT62" i="19"/>
  <c r="CU135" i="11"/>
  <c r="CU58" i="11"/>
  <c r="CU59" i="11" s="1"/>
  <c r="CT32" i="15" s="1"/>
  <c r="CU134" i="11"/>
  <c r="EQ126" i="11" l="1"/>
  <c r="EQ127" i="11" s="1"/>
  <c r="CV56" i="11"/>
  <c r="CU91" i="5"/>
  <c r="CU84" i="11"/>
  <c r="CU141" i="11"/>
  <c r="CU142" i="11" s="1"/>
  <c r="CV139" i="11" s="1"/>
  <c r="CV54" i="6"/>
  <c r="CU136" i="11"/>
  <c r="EQ46" i="5" l="1"/>
  <c r="J126" i="11"/>
  <c r="CU63" i="19"/>
  <c r="CU48" i="5"/>
  <c r="CU89" i="5"/>
  <c r="CU137" i="11"/>
  <c r="CU85" i="11"/>
  <c r="CU62" i="19" s="1"/>
  <c r="CV135" i="11"/>
  <c r="CV58" i="11"/>
  <c r="CV59" i="11" s="1"/>
  <c r="CU32" i="15" s="1"/>
  <c r="M41" i="26" l="1"/>
  <c r="N41" i="26"/>
  <c r="O41" i="26"/>
  <c r="P41" i="26"/>
  <c r="Q41" i="26"/>
  <c r="R41" i="26"/>
  <c r="S41" i="26"/>
  <c r="T41" i="26"/>
  <c r="U41" i="26"/>
  <c r="V41" i="26"/>
  <c r="W41" i="26"/>
  <c r="X41" i="26"/>
  <c r="J46" i="5"/>
  <c r="AI41" i="17"/>
  <c r="J41" i="17" s="1"/>
  <c r="CU86" i="11"/>
  <c r="CV83" i="11" s="1"/>
  <c r="CV89" i="11" s="1"/>
  <c r="CW56" i="11"/>
  <c r="CV134" i="11"/>
  <c r="CW54" i="6"/>
  <c r="CV136" i="11"/>
  <c r="CV141" i="11"/>
  <c r="CV142" i="11" s="1"/>
  <c r="CW139" i="11" s="1"/>
  <c r="CV91" i="5"/>
  <c r="CV89" i="5" s="1"/>
  <c r="CV84" i="11"/>
  <c r="J41" i="26" l="1"/>
  <c r="CV85" i="11"/>
  <c r="CV62" i="19" s="1"/>
  <c r="CV137" i="11"/>
  <c r="CV63" i="19"/>
  <c r="CV48" i="5"/>
  <c r="CW58" i="11"/>
  <c r="CW135" i="11"/>
  <c r="CV86" i="11" l="1"/>
  <c r="CW83" i="11" s="1"/>
  <c r="CW89" i="11" s="1"/>
  <c r="CX54" i="6"/>
  <c r="CW136" i="11"/>
  <c r="CW59" i="11"/>
  <c r="CV32" i="15" s="1"/>
  <c r="CW141" i="11"/>
  <c r="CW142" i="11" s="1"/>
  <c r="CX139" i="11" s="1"/>
  <c r="CW84" i="11"/>
  <c r="CW91" i="5"/>
  <c r="CW89" i="5" s="1"/>
  <c r="CW134" i="11"/>
  <c r="CW85" i="11" l="1"/>
  <c r="CW86" i="11" s="1"/>
  <c r="CX83" i="11" s="1"/>
  <c r="CX89" i="11" s="1"/>
  <c r="CW137" i="11"/>
  <c r="CX56" i="11"/>
  <c r="CW48" i="5"/>
  <c r="CW63" i="19"/>
  <c r="CW62" i="19" l="1"/>
  <c r="CX134" i="11"/>
  <c r="CX135" i="11"/>
  <c r="CX58" i="11"/>
  <c r="CX59" i="11" l="1"/>
  <c r="CW32" i="15" s="1"/>
  <c r="CX91" i="5"/>
  <c r="CX89" i="5" s="1"/>
  <c r="CX141" i="11"/>
  <c r="CX142" i="11" s="1"/>
  <c r="CY139" i="11" s="1"/>
  <c r="CX84" i="11"/>
  <c r="CY54" i="6"/>
  <c r="CX136" i="11"/>
  <c r="Y27" i="18" l="1"/>
  <c r="K223" i="32" s="1"/>
  <c r="CX63" i="19"/>
  <c r="CX48" i="5"/>
  <c r="CX137" i="11"/>
  <c r="CX85" i="11"/>
  <c r="CX62" i="19" s="1"/>
  <c r="CY56" i="11"/>
  <c r="CX86" i="11" l="1"/>
  <c r="CY83" i="11" s="1"/>
  <c r="CY89" i="11" s="1"/>
  <c r="CY58" i="11"/>
  <c r="CY135" i="11"/>
  <c r="CY134" i="11"/>
  <c r="CY136" i="11" l="1"/>
  <c r="CZ54" i="6"/>
  <c r="CY59" i="11"/>
  <c r="CX32" i="15" s="1"/>
  <c r="CY91" i="5"/>
  <c r="CY89" i="5" s="1"/>
  <c r="CY84" i="11"/>
  <c r="CY141" i="11"/>
  <c r="CY142" i="11" s="1"/>
  <c r="CZ139" i="11" s="1"/>
  <c r="CY85" i="11" l="1"/>
  <c r="CY62" i="19" s="1"/>
  <c r="CZ56" i="11"/>
  <c r="CY63" i="19"/>
  <c r="CY48" i="5"/>
  <c r="CY137" i="11"/>
  <c r="CY86" i="11" l="1"/>
  <c r="CZ83" i="11" s="1"/>
  <c r="CZ89" i="11" s="1"/>
  <c r="CZ134" i="11"/>
  <c r="CZ135" i="11"/>
  <c r="CZ58" i="11"/>
  <c r="CZ59" i="11" l="1"/>
  <c r="CY32" i="15" s="1"/>
  <c r="CZ91" i="5"/>
  <c r="CZ141" i="11"/>
  <c r="CZ142" i="11" s="1"/>
  <c r="DA139" i="11" s="1"/>
  <c r="CZ84" i="11"/>
  <c r="CZ85" i="11" s="1"/>
  <c r="CZ86" i="11" s="1"/>
  <c r="DA83" i="11" s="1"/>
  <c r="CZ136" i="11"/>
  <c r="CZ137" i="11" s="1"/>
  <c r="DA54" i="6"/>
  <c r="DA134" i="11" l="1"/>
  <c r="CZ63" i="19"/>
  <c r="CZ48" i="5"/>
  <c r="DA89" i="11"/>
  <c r="CZ89" i="5"/>
  <c r="CZ62" i="19"/>
  <c r="DA56" i="11"/>
  <c r="DA58" i="11" l="1"/>
  <c r="DA59" i="11" s="1"/>
  <c r="CZ32" i="15" s="1"/>
  <c r="DA135" i="11"/>
  <c r="DB56" i="11" l="1"/>
  <c r="DB54" i="6"/>
  <c r="DA136" i="11"/>
  <c r="DA84" i="11"/>
  <c r="DA141" i="11"/>
  <c r="DA142" i="11" s="1"/>
  <c r="DB139" i="11" s="1"/>
  <c r="DA91" i="5"/>
  <c r="DA89" i="5" s="1"/>
  <c r="DA85" i="11" l="1"/>
  <c r="DA62" i="19" s="1"/>
  <c r="DA63" i="19"/>
  <c r="DA48" i="5"/>
  <c r="DA137" i="11"/>
  <c r="DB135" i="11"/>
  <c r="DB58" i="11"/>
  <c r="DB59" i="11" s="1"/>
  <c r="DA32" i="15" s="1"/>
  <c r="DA86" i="11" l="1"/>
  <c r="DB83" i="11" s="1"/>
  <c r="DB89" i="11" s="1"/>
  <c r="DC56" i="11"/>
  <c r="DB134" i="11"/>
  <c r="DB136" i="11"/>
  <c r="DC54" i="6"/>
  <c r="DB141" i="11"/>
  <c r="DB142" i="11" s="1"/>
  <c r="DC139" i="11" s="1"/>
  <c r="DB84" i="11"/>
  <c r="DB91" i="5"/>
  <c r="DB85" i="11" l="1"/>
  <c r="DB86" i="11" s="1"/>
  <c r="DC83" i="11" s="1"/>
  <c r="DC89" i="11" s="1"/>
  <c r="DB89" i="5"/>
  <c r="DB137" i="11"/>
  <c r="DB63" i="19"/>
  <c r="DB48" i="5"/>
  <c r="DC58" i="11"/>
  <c r="DC135" i="11"/>
  <c r="DB62" i="19" l="1"/>
  <c r="DC136" i="11"/>
  <c r="DD54" i="6"/>
  <c r="DC59" i="11"/>
  <c r="DB32" i="15" s="1"/>
  <c r="DC141" i="11"/>
  <c r="DC142" i="11" s="1"/>
  <c r="DD139" i="11" s="1"/>
  <c r="DC84" i="11"/>
  <c r="DC91" i="5"/>
  <c r="DC134" i="11"/>
  <c r="DC137" i="11" l="1"/>
  <c r="DD134" i="11" s="1"/>
  <c r="DC89" i="5"/>
  <c r="DC85" i="11"/>
  <c r="DC62" i="19" s="1"/>
  <c r="DD56" i="11"/>
  <c r="DC63" i="19"/>
  <c r="DC48" i="5"/>
  <c r="DC86" i="11" l="1"/>
  <c r="DD83" i="11" s="1"/>
  <c r="DD89" i="11" s="1"/>
  <c r="DD135" i="11"/>
  <c r="DD58" i="11"/>
  <c r="DD59" i="11" s="1"/>
  <c r="DC32" i="15" s="1"/>
  <c r="Z27" i="18" l="1"/>
  <c r="DE56" i="11"/>
  <c r="DD91" i="5"/>
  <c r="DD141" i="11"/>
  <c r="DD142" i="11" s="1"/>
  <c r="DE139" i="11" s="1"/>
  <c r="DD84" i="11"/>
  <c r="DD136" i="11"/>
  <c r="DE54" i="6"/>
  <c r="DD48" i="5" l="1"/>
  <c r="DD63" i="19"/>
  <c r="DD137" i="11"/>
  <c r="DD85" i="11"/>
  <c r="DD86" i="11" s="1"/>
  <c r="DE83" i="11" s="1"/>
  <c r="DD89" i="5"/>
  <c r="DE58" i="11"/>
  <c r="DE135" i="11"/>
  <c r="DD62" i="19" l="1"/>
  <c r="DE89" i="11"/>
  <c r="DE134" i="11"/>
  <c r="DF54" i="6"/>
  <c r="DE136" i="11"/>
  <c r="DE59" i="11"/>
  <c r="DD32" i="15" s="1"/>
  <c r="DE91" i="5"/>
  <c r="DE141" i="11"/>
  <c r="DE142" i="11" s="1"/>
  <c r="DF139" i="11" s="1"/>
  <c r="DE84" i="11"/>
  <c r="DE85" i="11" s="1"/>
  <c r="AL95" i="1"/>
  <c r="AL96" i="1"/>
  <c r="AL97" i="1"/>
  <c r="AL98" i="1"/>
  <c r="AL99" i="1"/>
  <c r="AL100" i="1"/>
  <c r="AL101" i="1"/>
  <c r="AL102" i="1"/>
  <c r="AL103" i="1"/>
  <c r="AL104" i="1"/>
  <c r="AL105" i="1"/>
  <c r="AL106" i="1"/>
  <c r="AL107" i="1"/>
  <c r="AL108" i="1"/>
  <c r="AL109" i="1"/>
  <c r="DE89" i="5" l="1"/>
  <c r="DE62" i="19"/>
  <c r="DF56" i="11"/>
  <c r="DE48" i="5"/>
  <c r="DE63" i="19"/>
  <c r="DE137" i="11"/>
  <c r="DE86" i="11"/>
  <c r="DF83" i="11" s="1"/>
  <c r="N48" i="16"/>
  <c r="O48" i="16"/>
  <c r="P48" i="16"/>
  <c r="Q48" i="16"/>
  <c r="R48" i="16"/>
  <c r="S48" i="16"/>
  <c r="T48" i="16"/>
  <c r="U48" i="16"/>
  <c r="V48" i="16"/>
  <c r="W48" i="16"/>
  <c r="Y48" i="16"/>
  <c r="Z48" i="16"/>
  <c r="AA48" i="16"/>
  <c r="AB48" i="16"/>
  <c r="M86" i="17"/>
  <c r="N86" i="17"/>
  <c r="N84" i="17" s="1"/>
  <c r="O86" i="17"/>
  <c r="O84" i="17" s="1"/>
  <c r="P86" i="17"/>
  <c r="P84" i="17" s="1"/>
  <c r="Q86" i="17"/>
  <c r="Q84" i="17" s="1"/>
  <c r="R86" i="17"/>
  <c r="R84" i="17" s="1"/>
  <c r="S86" i="17"/>
  <c r="S84" i="17" s="1"/>
  <c r="T86" i="17"/>
  <c r="T84" i="17" s="1"/>
  <c r="U86" i="17"/>
  <c r="U84" i="17" s="1"/>
  <c r="V86" i="17"/>
  <c r="V84" i="17" s="1"/>
  <c r="W86" i="17"/>
  <c r="W84" i="17" s="1"/>
  <c r="X86" i="17"/>
  <c r="X84" i="17" s="1"/>
  <c r="Y86" i="17"/>
  <c r="Y84" i="17" s="1"/>
  <c r="Z86" i="17"/>
  <c r="Z84" i="17" s="1"/>
  <c r="AA86" i="17"/>
  <c r="AA84" i="17" s="1"/>
  <c r="AL115" i="1"/>
  <c r="DF89" i="11" l="1"/>
  <c r="DF134" i="11"/>
  <c r="DF135" i="11"/>
  <c r="DF58" i="11"/>
  <c r="DF59" i="11" s="1"/>
  <c r="DE32" i="15" s="1"/>
  <c r="M84" i="17"/>
  <c r="AO95" i="1"/>
  <c r="AO96" i="1"/>
  <c r="AO97" i="1"/>
  <c r="AO98" i="1"/>
  <c r="AO99" i="1"/>
  <c r="AO100" i="1"/>
  <c r="AO101" i="1"/>
  <c r="AO102" i="1"/>
  <c r="AO103" i="1"/>
  <c r="AO104" i="1"/>
  <c r="AO105" i="1"/>
  <c r="AO106" i="1"/>
  <c r="AO107" i="1"/>
  <c r="AO108" i="1"/>
  <c r="AO109" i="1"/>
  <c r="DG56" i="11" l="1"/>
  <c r="DF141" i="11"/>
  <c r="DF142" i="11" s="1"/>
  <c r="DG139" i="11" s="1"/>
  <c r="DF84" i="11"/>
  <c r="DF91" i="5"/>
  <c r="DF136" i="11"/>
  <c r="DF137" i="11" s="1"/>
  <c r="DG54" i="6"/>
  <c r="M43" i="17"/>
  <c r="N43" i="17"/>
  <c r="O43" i="17"/>
  <c r="P43" i="17"/>
  <c r="Q43" i="17"/>
  <c r="R43" i="17"/>
  <c r="S43" i="17"/>
  <c r="T43" i="17"/>
  <c r="U43" i="17"/>
  <c r="V43" i="17"/>
  <c r="W43" i="17"/>
  <c r="X43" i="17"/>
  <c r="Y43" i="17"/>
  <c r="Z43" i="17"/>
  <c r="AA43" i="17"/>
  <c r="AM95" i="1"/>
  <c r="AM96" i="1"/>
  <c r="AN96" i="1" s="1"/>
  <c r="AM97" i="1"/>
  <c r="AN97" i="1" s="1"/>
  <c r="AM98" i="1"/>
  <c r="AN98" i="1" s="1"/>
  <c r="AM99" i="1"/>
  <c r="AN99" i="1" s="1"/>
  <c r="AM100" i="1"/>
  <c r="AN100" i="1" s="1"/>
  <c r="AM101" i="1"/>
  <c r="AN101" i="1" s="1"/>
  <c r="AM102" i="1"/>
  <c r="AN102" i="1" s="1"/>
  <c r="AM103" i="1"/>
  <c r="AN103" i="1" s="1"/>
  <c r="AM104" i="1"/>
  <c r="AN104" i="1" s="1"/>
  <c r="AM105" i="1"/>
  <c r="AN105" i="1" s="1"/>
  <c r="AM106" i="1"/>
  <c r="AN106" i="1" s="1"/>
  <c r="AM107" i="1"/>
  <c r="AN107" i="1" s="1"/>
  <c r="AM108" i="1"/>
  <c r="AN108" i="1" s="1"/>
  <c r="AM109" i="1"/>
  <c r="AN109" i="1" s="1"/>
  <c r="DG134" i="11" l="1"/>
  <c r="DF48" i="5"/>
  <c r="DF63" i="19"/>
  <c r="DF89" i="5"/>
  <c r="DF85" i="11"/>
  <c r="DF62" i="19" s="1"/>
  <c r="DG135" i="11"/>
  <c r="DG58" i="11"/>
  <c r="AN95" i="1"/>
  <c r="AM115" i="1"/>
  <c r="DH54" i="6" l="1"/>
  <c r="DG136" i="11"/>
  <c r="DF86" i="11"/>
  <c r="DG83" i="11" s="1"/>
  <c r="DG59" i="11"/>
  <c r="DF32" i="15" s="1"/>
  <c r="DG91" i="5"/>
  <c r="DG141" i="11"/>
  <c r="DG142" i="11" s="1"/>
  <c r="DH139" i="11" s="1"/>
  <c r="DG84" i="11"/>
  <c r="AN115" i="1"/>
  <c r="AR116" i="1"/>
  <c r="DG137" i="11" l="1"/>
  <c r="DH56" i="11"/>
  <c r="DG89" i="5"/>
  <c r="DG89" i="11"/>
  <c r="DG85" i="11"/>
  <c r="DG86" i="11" s="1"/>
  <c r="DH83" i="11" s="1"/>
  <c r="DG63" i="19"/>
  <c r="DG48" i="5"/>
  <c r="DH134" i="11" l="1"/>
  <c r="DH89" i="11"/>
  <c r="DG62" i="19"/>
  <c r="DH135" i="11"/>
  <c r="DH58" i="11"/>
  <c r="DH59" i="11" l="1"/>
  <c r="DG32" i="15" s="1"/>
  <c r="DH91" i="5"/>
  <c r="DH141" i="11"/>
  <c r="DH142" i="11" s="1"/>
  <c r="DI139" i="11" s="1"/>
  <c r="DH84" i="11"/>
  <c r="DI54" i="6"/>
  <c r="DH136" i="11"/>
  <c r="DH137" i="11" l="1"/>
  <c r="DI134" i="11" s="1"/>
  <c r="DH63" i="19"/>
  <c r="DH48" i="5"/>
  <c r="DH85" i="11"/>
  <c r="DH62" i="19" s="1"/>
  <c r="DH89" i="5"/>
  <c r="DI56" i="11"/>
  <c r="DH86" i="11" l="1"/>
  <c r="DI83" i="11" s="1"/>
  <c r="DI58" i="11"/>
  <c r="DI59" i="11" s="1"/>
  <c r="DH32" i="15" s="1"/>
  <c r="DI135" i="11"/>
  <c r="DJ56" i="11" l="1"/>
  <c r="DJ54" i="6"/>
  <c r="DI136" i="11"/>
  <c r="DI141" i="11"/>
  <c r="DI142" i="11" s="1"/>
  <c r="DJ139" i="11" s="1"/>
  <c r="DI84" i="11"/>
  <c r="DI91" i="5"/>
  <c r="DI89" i="11"/>
  <c r="DI89" i="5" l="1"/>
  <c r="DI85" i="11"/>
  <c r="DI62" i="19" s="1"/>
  <c r="DI137" i="11"/>
  <c r="DI48" i="5"/>
  <c r="DI63" i="19"/>
  <c r="DJ135" i="11"/>
  <c r="DJ58" i="11"/>
  <c r="DJ134" i="11" l="1"/>
  <c r="DJ59" i="11"/>
  <c r="DI32" i="15" s="1"/>
  <c r="DJ91" i="5"/>
  <c r="DJ141" i="11"/>
  <c r="DJ142" i="11" s="1"/>
  <c r="DK139" i="11" s="1"/>
  <c r="DJ84" i="11"/>
  <c r="DJ136" i="11"/>
  <c r="AO110" i="1" s="1"/>
  <c r="DK54" i="6"/>
  <c r="DI86" i="11"/>
  <c r="DJ83" i="11" s="1"/>
  <c r="AA27" i="18" l="1"/>
  <c r="L223" i="32" s="1"/>
  <c r="DJ63" i="19"/>
  <c r="DJ48" i="5"/>
  <c r="DJ89" i="5"/>
  <c r="DK56" i="11"/>
  <c r="DJ137" i="11"/>
  <c r="DJ89" i="11"/>
  <c r="DJ85" i="11"/>
  <c r="DJ62" i="19" s="1"/>
  <c r="DJ86" i="11" l="1"/>
  <c r="DK83" i="11" s="1"/>
  <c r="DK89" i="11" s="1"/>
  <c r="DK134" i="11"/>
  <c r="DK135" i="11"/>
  <c r="DK58" i="11"/>
  <c r="DK59" i="11" l="1"/>
  <c r="DJ32" i="15" s="1"/>
  <c r="DK91" i="5"/>
  <c r="DK141" i="11"/>
  <c r="DK142" i="11" s="1"/>
  <c r="DL139" i="11" s="1"/>
  <c r="DK84" i="11"/>
  <c r="DK136" i="11"/>
  <c r="DK137" i="11" s="1"/>
  <c r="DL54" i="6"/>
  <c r="DL134" i="11" l="1"/>
  <c r="DK63" i="19"/>
  <c r="DK48" i="5"/>
  <c r="DK85" i="11"/>
  <c r="DK62" i="19" s="1"/>
  <c r="DK89" i="5"/>
  <c r="DL56" i="11"/>
  <c r="DK86" i="11" l="1"/>
  <c r="DL83" i="11" s="1"/>
  <c r="DL89" i="11" s="1"/>
  <c r="DL58" i="11"/>
  <c r="DL135" i="11"/>
  <c r="DL136" i="11" l="1"/>
  <c r="DL137" i="11" s="1"/>
  <c r="DM54" i="6"/>
  <c r="DL59" i="11"/>
  <c r="DK32" i="15" s="1"/>
  <c r="DL91" i="5"/>
  <c r="DL84" i="11"/>
  <c r="DL141" i="11"/>
  <c r="DL142" i="11" s="1"/>
  <c r="DM139" i="11" s="1"/>
  <c r="DL85" i="11" l="1"/>
  <c r="DL62" i="19" s="1"/>
  <c r="DL89" i="5"/>
  <c r="DM56" i="11"/>
  <c r="DM134" i="11"/>
  <c r="DL48" i="5"/>
  <c r="DL63" i="19"/>
  <c r="DL86" i="11" l="1"/>
  <c r="DM83" i="11" s="1"/>
  <c r="DM89" i="11" s="1"/>
  <c r="DM58" i="11"/>
  <c r="DM135" i="11"/>
  <c r="DN54" i="6" l="1"/>
  <c r="DM136" i="11"/>
  <c r="DM59" i="11"/>
  <c r="DL32" i="15" s="1"/>
  <c r="DM91" i="5"/>
  <c r="DM141" i="11"/>
  <c r="DM142" i="11" s="1"/>
  <c r="DN139" i="11" s="1"/>
  <c r="DM84" i="11"/>
  <c r="DM89" i="5" l="1"/>
  <c r="DM85" i="11"/>
  <c r="DM62" i="19" s="1"/>
  <c r="DM48" i="5"/>
  <c r="DM63" i="19"/>
  <c r="DN56" i="11"/>
  <c r="DM137" i="11"/>
  <c r="DM86" i="11" l="1"/>
  <c r="DN83" i="11" s="1"/>
  <c r="DN134" i="11"/>
  <c r="DN135" i="11"/>
  <c r="DN58" i="11"/>
  <c r="DN89" i="11" l="1"/>
  <c r="DN59" i="11"/>
  <c r="DM32" i="15" s="1"/>
  <c r="DN91" i="5"/>
  <c r="DN141" i="11"/>
  <c r="DN142" i="11" s="1"/>
  <c r="DO139" i="11" s="1"/>
  <c r="DN84" i="11"/>
  <c r="DN85" i="11" s="1"/>
  <c r="DN136" i="11"/>
  <c r="DN137" i="11" s="1"/>
  <c r="DO54" i="6"/>
  <c r="DN62" i="19" l="1"/>
  <c r="DN89" i="5"/>
  <c r="DO56" i="11"/>
  <c r="DN86" i="11"/>
  <c r="DO83" i="11" s="1"/>
  <c r="DO134" i="11"/>
  <c r="DN63" i="19"/>
  <c r="DN48" i="5"/>
  <c r="DO89" i="11" l="1"/>
  <c r="DO135" i="11"/>
  <c r="DO58" i="11"/>
  <c r="DO59" i="11" s="1"/>
  <c r="DN32" i="15" s="1"/>
  <c r="DP56" i="11" l="1"/>
  <c r="DO84" i="11"/>
  <c r="DO141" i="11"/>
  <c r="DO142" i="11" s="1"/>
  <c r="DP139" i="11" s="1"/>
  <c r="DO91" i="5"/>
  <c r="DP54" i="6"/>
  <c r="DO136" i="11"/>
  <c r="DO63" i="19" l="1"/>
  <c r="DO48" i="5"/>
  <c r="DO89" i="5"/>
  <c r="DO85" i="11"/>
  <c r="DO62" i="19" s="1"/>
  <c r="DO137" i="11"/>
  <c r="DP58" i="11"/>
  <c r="DP135" i="11"/>
  <c r="DQ54" i="6" l="1"/>
  <c r="DP136" i="11"/>
  <c r="DP91" i="5"/>
  <c r="DP141" i="11"/>
  <c r="DP142" i="11" s="1"/>
  <c r="DQ139" i="11" s="1"/>
  <c r="DP84" i="11"/>
  <c r="DP134" i="11"/>
  <c r="DO86" i="11"/>
  <c r="DP83" i="11" s="1"/>
  <c r="DP59" i="11"/>
  <c r="DO32" i="15" s="1"/>
  <c r="AB27" i="18" l="1"/>
  <c r="DP89" i="5"/>
  <c r="DQ56" i="11"/>
  <c r="DP137" i="11"/>
  <c r="DP63" i="19"/>
  <c r="DP48" i="5"/>
  <c r="DP89" i="11"/>
  <c r="DP85" i="11"/>
  <c r="DP62" i="19" s="1"/>
  <c r="DP86" i="11" l="1"/>
  <c r="DQ83" i="11" s="1"/>
  <c r="DQ89" i="11" s="1"/>
  <c r="DQ134" i="11"/>
  <c r="DQ58" i="11"/>
  <c r="DQ91" i="5" s="1"/>
  <c r="DQ135" i="11"/>
  <c r="DQ89" i="5" l="1"/>
  <c r="DR54" i="6"/>
  <c r="DQ136" i="11"/>
  <c r="DQ137" i="11" s="1"/>
  <c r="DQ59" i="11"/>
  <c r="DP32" i="15" s="1"/>
  <c r="DQ84" i="11"/>
  <c r="DQ141" i="11"/>
  <c r="DQ142" i="11" l="1"/>
  <c r="DR139" i="11" s="1"/>
  <c r="DQ48" i="5"/>
  <c r="DR134" i="11"/>
  <c r="DQ85" i="11"/>
  <c r="DQ86" i="11" s="1"/>
  <c r="DR83" i="11" s="1"/>
  <c r="DR56" i="11"/>
  <c r="DQ63" i="19"/>
  <c r="DQ62" i="19" l="1"/>
  <c r="DR58" i="11"/>
  <c r="DR91" i="5" s="1"/>
  <c r="DR135" i="11"/>
  <c r="DR89" i="11"/>
  <c r="DR89" i="5" l="1"/>
  <c r="DR136" i="11"/>
  <c r="DS54" i="6"/>
  <c r="DR59" i="11"/>
  <c r="DQ32" i="15" s="1"/>
  <c r="DR84" i="11"/>
  <c r="DR141" i="11"/>
  <c r="DR142" i="11" s="1"/>
  <c r="DS139" i="11" s="1"/>
  <c r="DR48" i="5" l="1"/>
  <c r="DR85" i="11"/>
  <c r="DR62" i="19" s="1"/>
  <c r="DS56" i="11"/>
  <c r="DR63" i="19"/>
  <c r="DR137" i="11"/>
  <c r="DR86" i="11" l="1"/>
  <c r="DS83" i="11" s="1"/>
  <c r="DS89" i="11" s="1"/>
  <c r="DS58" i="11"/>
  <c r="DS91" i="5" s="1"/>
  <c r="DS135" i="11"/>
  <c r="DS134" i="11"/>
  <c r="DS89" i="5" l="1"/>
  <c r="DS136" i="11"/>
  <c r="DT54" i="6"/>
  <c r="DS59" i="11"/>
  <c r="DR32" i="15" s="1"/>
  <c r="DS84" i="11"/>
  <c r="DS141" i="11"/>
  <c r="DS142" i="11" s="1"/>
  <c r="DT139" i="11" s="1"/>
  <c r="DS48" i="5" l="1"/>
  <c r="DT56" i="11"/>
  <c r="DS85" i="11"/>
  <c r="DS86" i="11" s="1"/>
  <c r="DT83" i="11" s="1"/>
  <c r="DS63" i="19"/>
  <c r="DS137" i="11"/>
  <c r="DT89" i="11" l="1"/>
  <c r="DT135" i="11"/>
  <c r="DU54" i="6" s="1"/>
  <c r="DT58" i="11"/>
  <c r="DT91" i="5" s="1"/>
  <c r="DS62" i="19"/>
  <c r="DT134" i="11"/>
  <c r="DT89" i="5" l="1"/>
  <c r="DT59" i="11"/>
  <c r="DS32" i="15" s="1"/>
  <c r="DT84" i="11"/>
  <c r="DT141" i="11"/>
  <c r="DT142" i="11" s="1"/>
  <c r="DU139" i="11" s="1"/>
  <c r="DT136" i="11"/>
  <c r="DT48" i="5" l="1"/>
  <c r="DT63" i="19"/>
  <c r="DU56" i="11"/>
  <c r="DT137" i="11"/>
  <c r="DT85" i="11"/>
  <c r="DT62" i="19" s="1"/>
  <c r="DU134" i="11" l="1"/>
  <c r="DU135" i="11"/>
  <c r="DU58" i="11"/>
  <c r="DU91" i="5" s="1"/>
  <c r="DT86" i="11"/>
  <c r="DU83" i="11" s="1"/>
  <c r="DU89" i="5" l="1"/>
  <c r="DU136" i="11"/>
  <c r="DU137" i="11" s="1"/>
  <c r="DV54" i="6"/>
  <c r="DU84" i="11"/>
  <c r="DU85" i="11" s="1"/>
  <c r="DU141" i="11"/>
  <c r="DU142" i="11" s="1"/>
  <c r="DV139" i="11" s="1"/>
  <c r="DU89" i="11"/>
  <c r="DU59" i="11"/>
  <c r="DU86" i="11" l="1"/>
  <c r="DV83" i="11" s="1"/>
  <c r="DV89" i="11" s="1"/>
  <c r="DU62" i="19"/>
  <c r="DV134" i="11"/>
  <c r="DV56" i="11"/>
  <c r="DV135" i="11" s="1"/>
  <c r="DT32" i="15"/>
  <c r="DU63" i="19"/>
  <c r="DU48" i="5"/>
  <c r="DV58" i="11"/>
  <c r="DV91" i="5" s="1"/>
  <c r="DV89" i="5" l="1"/>
  <c r="DV136" i="11"/>
  <c r="DW54" i="6"/>
  <c r="DV84" i="11"/>
  <c r="DV141" i="11"/>
  <c r="DV142" i="11" s="1"/>
  <c r="DW139" i="11" s="1"/>
  <c r="DV59" i="11"/>
  <c r="AL111" i="1"/>
  <c r="AL112" i="1"/>
  <c r="DV63" i="19" l="1"/>
  <c r="DW56" i="11"/>
  <c r="DW135" i="11" s="1"/>
  <c r="DX54" i="6" s="1"/>
  <c r="DU32" i="15"/>
  <c r="DV48" i="5"/>
  <c r="DV137" i="11"/>
  <c r="DV85" i="11"/>
  <c r="DV62" i="19" s="1"/>
  <c r="DW58" i="11" l="1"/>
  <c r="DW91" i="5" s="1"/>
  <c r="DW89" i="5" s="1"/>
  <c r="AC27" i="18"/>
  <c r="M223" i="32" s="1"/>
  <c r="DV86" i="11"/>
  <c r="DW83" i="11" s="1"/>
  <c r="DW89" i="11" s="1"/>
  <c r="DW134" i="11"/>
  <c r="DW136" i="11"/>
  <c r="AC86" i="17"/>
  <c r="AD86" i="17"/>
  <c r="AD84" i="17" s="1"/>
  <c r="AO111" i="1"/>
  <c r="AO112" i="1"/>
  <c r="X48" i="16"/>
  <c r="AD48" i="16"/>
  <c r="AE48" i="16"/>
  <c r="DW84" i="11" l="1"/>
  <c r="DW85" i="11" s="1"/>
  <c r="DW62" i="19" s="1"/>
  <c r="DW59" i="11"/>
  <c r="DX56" i="11" s="1"/>
  <c r="DW141" i="11"/>
  <c r="DW142" i="11" s="1"/>
  <c r="DX139" i="11" s="1"/>
  <c r="DW137" i="11"/>
  <c r="AC84" i="17"/>
  <c r="AC43" i="17"/>
  <c r="AD43" i="17"/>
  <c r="DW48" i="5" l="1"/>
  <c r="DX135" i="11"/>
  <c r="DY54" i="6" s="1"/>
  <c r="DX58" i="11"/>
  <c r="DX91" i="5" s="1"/>
  <c r="DX89" i="5" s="1"/>
  <c r="DV32" i="15"/>
  <c r="DW63" i="19"/>
  <c r="DX134" i="11"/>
  <c r="DW86" i="11"/>
  <c r="DX83" i="11" s="1"/>
  <c r="DX136" i="11" l="1"/>
  <c r="DX59" i="11"/>
  <c r="DY56" i="11" s="1"/>
  <c r="DX141" i="11"/>
  <c r="DX84" i="11"/>
  <c r="DX85" i="11" s="1"/>
  <c r="DX62" i="19" s="1"/>
  <c r="DX89" i="11"/>
  <c r="DW32" i="15" l="1"/>
  <c r="DX142" i="11"/>
  <c r="DY139" i="11" s="1"/>
  <c r="DX48" i="5"/>
  <c r="DX63" i="19"/>
  <c r="DX137" i="11"/>
  <c r="DY134" i="11" s="1"/>
  <c r="DY135" i="11"/>
  <c r="DZ54" i="6" s="1"/>
  <c r="DY58" i="11"/>
  <c r="DY91" i="5" s="1"/>
  <c r="DX86" i="11"/>
  <c r="DY83" i="11" s="1"/>
  <c r="DY136" i="11" l="1"/>
  <c r="DY137" i="11" s="1"/>
  <c r="DY141" i="11"/>
  <c r="DY142" i="11" s="1"/>
  <c r="DZ139" i="11" s="1"/>
  <c r="DY89" i="5"/>
  <c r="DY84" i="11"/>
  <c r="DY85" i="11" s="1"/>
  <c r="DY62" i="19" s="1"/>
  <c r="DY59" i="11"/>
  <c r="DZ56" i="11" s="1"/>
  <c r="DY89" i="11"/>
  <c r="DX32" i="15" l="1"/>
  <c r="DY48" i="5"/>
  <c r="DY63" i="19"/>
  <c r="DZ135" i="11"/>
  <c r="EA54" i="6" s="1"/>
  <c r="DZ58" i="11"/>
  <c r="DZ91" i="5" s="1"/>
  <c r="DZ134" i="11"/>
  <c r="DY86" i="11"/>
  <c r="DZ83" i="11" s="1"/>
  <c r="DZ136" i="11" l="1"/>
  <c r="DZ137" i="11" s="1"/>
  <c r="DZ89" i="5"/>
  <c r="DZ59" i="11"/>
  <c r="EA56" i="11" s="1"/>
  <c r="DZ141" i="11"/>
  <c r="DZ84" i="11"/>
  <c r="DZ85" i="11" s="1"/>
  <c r="DZ89" i="11"/>
  <c r="DZ142" i="11" l="1"/>
  <c r="EA139" i="11" s="1"/>
  <c r="DZ48" i="5"/>
  <c r="DZ63" i="19"/>
  <c r="DY32" i="15"/>
  <c r="EA58" i="11"/>
  <c r="EA91" i="5" s="1"/>
  <c r="EA89" i="5" s="1"/>
  <c r="EA135" i="11"/>
  <c r="EB54" i="6" s="1"/>
  <c r="DZ86" i="11"/>
  <c r="EA83" i="11" s="1"/>
  <c r="DZ62" i="19"/>
  <c r="EA134" i="11"/>
  <c r="EA136" i="11" l="1"/>
  <c r="EA137" i="11" s="1"/>
  <c r="EA141" i="11"/>
  <c r="EA84" i="11"/>
  <c r="EA85" i="11" s="1"/>
  <c r="EA59" i="11"/>
  <c r="EB56" i="11" s="1"/>
  <c r="EA89" i="11"/>
  <c r="EA63" i="19" l="1"/>
  <c r="EA48" i="5"/>
  <c r="EA142" i="11"/>
  <c r="EB139" i="11" s="1"/>
  <c r="DZ32" i="15"/>
  <c r="AL113" i="1"/>
  <c r="EB135" i="11"/>
  <c r="EB136" i="11" s="1"/>
  <c r="EB58" i="11"/>
  <c r="EB59" i="11" s="1"/>
  <c r="EC56" i="11" s="1"/>
  <c r="EB134" i="11"/>
  <c r="EA86" i="11"/>
  <c r="EB83" i="11" s="1"/>
  <c r="EA62" i="19"/>
  <c r="EC54" i="6" l="1"/>
  <c r="EC58" i="11"/>
  <c r="EC59" i="11" s="1"/>
  <c r="ED56" i="11" s="1"/>
  <c r="ED58" i="11" s="1"/>
  <c r="ED59" i="11" s="1"/>
  <c r="EC135" i="11"/>
  <c r="EC136" i="11" s="1"/>
  <c r="EB91" i="5"/>
  <c r="AE86" i="17" s="1"/>
  <c r="AE84" i="17" s="1"/>
  <c r="EA32" i="15"/>
  <c r="EB84" i="11"/>
  <c r="EB85" i="11" s="1"/>
  <c r="EB86" i="11" s="1"/>
  <c r="EC83" i="11" s="1"/>
  <c r="EB141" i="11"/>
  <c r="EB142" i="11" s="1"/>
  <c r="EC139" i="11" s="1"/>
  <c r="EB137" i="11"/>
  <c r="EC134" i="11" s="1"/>
  <c r="AD27" i="18"/>
  <c r="EB89" i="11"/>
  <c r="AM113" i="1"/>
  <c r="AN113" i="1" s="1"/>
  <c r="ED54" i="6" l="1"/>
  <c r="EB32" i="15"/>
  <c r="EC141" i="11"/>
  <c r="EC63" i="19" s="1"/>
  <c r="EC91" i="5"/>
  <c r="EB89" i="5"/>
  <c r="EC84" i="11"/>
  <c r="EC85" i="11" s="1"/>
  <c r="EB63" i="19"/>
  <c r="EB48" i="5"/>
  <c r="ED135" i="11"/>
  <c r="EE54" i="6" s="1"/>
  <c r="AE43" i="17"/>
  <c r="EE56" i="11"/>
  <c r="EE135" i="11" s="1"/>
  <c r="EC32" i="15"/>
  <c r="EC137" i="11"/>
  <c r="EB62" i="19"/>
  <c r="ED91" i="5"/>
  <c r="ED84" i="11"/>
  <c r="ED141" i="11"/>
  <c r="EC89" i="11"/>
  <c r="EC89" i="5" l="1"/>
  <c r="EC142" i="11"/>
  <c r="ED139" i="11" s="1"/>
  <c r="ED142" i="11" s="1"/>
  <c r="EE139" i="11" s="1"/>
  <c r="EC48" i="5"/>
  <c r="EC62" i="19"/>
  <c r="ED136" i="11"/>
  <c r="EE58" i="11"/>
  <c r="EE59" i="11" s="1"/>
  <c r="EF56" i="11" s="1"/>
  <c r="EF58" i="11" s="1"/>
  <c r="EC86" i="11"/>
  <c r="ED83" i="11" s="1"/>
  <c r="ED89" i="11" s="1"/>
  <c r="ED89" i="5"/>
  <c r="ED134" i="11"/>
  <c r="EE136" i="11"/>
  <c r="EF54" i="6"/>
  <c r="ED63" i="19" l="1"/>
  <c r="ED48" i="5"/>
  <c r="ED137" i="11"/>
  <c r="EE134" i="11" s="1"/>
  <c r="EE137" i="11" s="1"/>
  <c r="ED32" i="15"/>
  <c r="EE141" i="11"/>
  <c r="EE142" i="11" s="1"/>
  <c r="EF139" i="11" s="1"/>
  <c r="EE84" i="11"/>
  <c r="EE91" i="5"/>
  <c r="EF135" i="11"/>
  <c r="EF136" i="11" s="1"/>
  <c r="ED85" i="11"/>
  <c r="ED86" i="11" s="1"/>
  <c r="EE83" i="11" s="1"/>
  <c r="EF59" i="11"/>
  <c r="EF91" i="5"/>
  <c r="EF84" i="11"/>
  <c r="EF141" i="11"/>
  <c r="EE89" i="5" l="1"/>
  <c r="EE63" i="19"/>
  <c r="EE48" i="5"/>
  <c r="EF142" i="11"/>
  <c r="EG139" i="11" s="1"/>
  <c r="EE85" i="11"/>
  <c r="ED62" i="19"/>
  <c r="EG54" i="6"/>
  <c r="EE89" i="11"/>
  <c r="EF89" i="5"/>
  <c r="EG56" i="11"/>
  <c r="EG135" i="11" s="1"/>
  <c r="EE32" i="15"/>
  <c r="EF134" i="11"/>
  <c r="EF137" i="11" s="1"/>
  <c r="EF63" i="19"/>
  <c r="EF48" i="5"/>
  <c r="EE86" i="11" l="1"/>
  <c r="EF83" i="11" s="1"/>
  <c r="EF89" i="11" s="1"/>
  <c r="EE62" i="19"/>
  <c r="EG58" i="11"/>
  <c r="EG59" i="11" s="1"/>
  <c r="EG134" i="11"/>
  <c r="EG136" i="11"/>
  <c r="EH54" i="6"/>
  <c r="EF85" i="11" l="1"/>
  <c r="EF86" i="11" s="1"/>
  <c r="EG83" i="11" s="1"/>
  <c r="EG89" i="11" s="1"/>
  <c r="EG91" i="5"/>
  <c r="EG141" i="11"/>
  <c r="EG84" i="11"/>
  <c r="EG137" i="11"/>
  <c r="EH134" i="11" s="1"/>
  <c r="EH56" i="11"/>
  <c r="EH58" i="11" s="1"/>
  <c r="EH59" i="11" s="1"/>
  <c r="EF32" i="15"/>
  <c r="EG85" i="11" l="1"/>
  <c r="EG86" i="11" s="1"/>
  <c r="EH83" i="11" s="1"/>
  <c r="AM114" i="1" s="1"/>
  <c r="EF62" i="19"/>
  <c r="EG89" i="5"/>
  <c r="EG142" i="11"/>
  <c r="EH139" i="11" s="1"/>
  <c r="EG48" i="5"/>
  <c r="EG63" i="19"/>
  <c r="EH135" i="11"/>
  <c r="EI56" i="11"/>
  <c r="EI135" i="11" s="1"/>
  <c r="EG32" i="15"/>
  <c r="EH91" i="5"/>
  <c r="EH141" i="11"/>
  <c r="EH84" i="11"/>
  <c r="EH89" i="11" l="1"/>
  <c r="EG62" i="19"/>
  <c r="EH85" i="11"/>
  <c r="EH86" i="11" s="1"/>
  <c r="EI83" i="11" s="1"/>
  <c r="EI89" i="11" s="1"/>
  <c r="EH142" i="11"/>
  <c r="EI139" i="11" s="1"/>
  <c r="EH136" i="11"/>
  <c r="EH63" i="19" s="1"/>
  <c r="EI54" i="6"/>
  <c r="AG48" i="16" s="1"/>
  <c r="AE27" i="18"/>
  <c r="N223" i="32" s="1"/>
  <c r="EI58" i="11"/>
  <c r="EI59" i="11" s="1"/>
  <c r="EJ56" i="11" s="1"/>
  <c r="EH89" i="5"/>
  <c r="EJ54" i="6"/>
  <c r="EI136" i="11"/>
  <c r="EH62" i="19" l="1"/>
  <c r="EH137" i="11"/>
  <c r="EI134" i="11" s="1"/>
  <c r="EI137" i="11" s="1"/>
  <c r="EH48" i="5"/>
  <c r="AF43" i="17" s="1"/>
  <c r="EI84" i="11"/>
  <c r="EI85" i="11" s="1"/>
  <c r="EI86" i="11" s="1"/>
  <c r="EJ83" i="11" s="1"/>
  <c r="EI141" i="11"/>
  <c r="EI142" i="11" s="1"/>
  <c r="EJ139" i="11" s="1"/>
  <c r="EI91" i="5"/>
  <c r="EI89" i="5" s="1"/>
  <c r="EJ58" i="11"/>
  <c r="EJ84" i="11" s="1"/>
  <c r="EJ135" i="11"/>
  <c r="EJ136" i="11" s="1"/>
  <c r="EH32" i="15"/>
  <c r="EI63" i="19" l="1"/>
  <c r="EI48" i="5"/>
  <c r="EJ91" i="5"/>
  <c r="EJ89" i="5" s="1"/>
  <c r="EJ59" i="11"/>
  <c r="EK56" i="11" s="1"/>
  <c r="EK135" i="11" s="1"/>
  <c r="EJ141" i="11"/>
  <c r="EJ142" i="11" s="1"/>
  <c r="EK139" i="11" s="1"/>
  <c r="EK54" i="6"/>
  <c r="EJ134" i="11"/>
  <c r="EJ137" i="11" s="1"/>
  <c r="EI62" i="19"/>
  <c r="EJ89" i="11"/>
  <c r="EJ85" i="11"/>
  <c r="EJ86" i="11" s="1"/>
  <c r="EK83" i="11" s="1"/>
  <c r="EJ63" i="19" l="1"/>
  <c r="EJ48" i="5"/>
  <c r="EI32" i="15"/>
  <c r="EK58" i="11"/>
  <c r="EK59" i="11" s="1"/>
  <c r="EJ62" i="19"/>
  <c r="EK134" i="11"/>
  <c r="EK89" i="11"/>
  <c r="EK136" i="11"/>
  <c r="EL54" i="6"/>
  <c r="EK141" i="11" l="1"/>
  <c r="EK142" i="11" s="1"/>
  <c r="EL139" i="11" s="1"/>
  <c r="EK84" i="11"/>
  <c r="EK85" i="11" s="1"/>
  <c r="EK86" i="11" s="1"/>
  <c r="EL83" i="11" s="1"/>
  <c r="EL89" i="11" s="1"/>
  <c r="EK91" i="5"/>
  <c r="EK89" i="5" s="1"/>
  <c r="EL56" i="11"/>
  <c r="EJ32" i="15"/>
  <c r="EK137" i="11"/>
  <c r="EL135" i="11" l="1"/>
  <c r="EL58" i="11"/>
  <c r="EK48" i="5"/>
  <c r="EK63" i="19"/>
  <c r="EK62" i="19"/>
  <c r="EL134" i="11"/>
  <c r="EL136" i="11" l="1"/>
  <c r="EM54" i="6"/>
  <c r="EL59" i="11"/>
  <c r="EM56" i="11" s="1"/>
  <c r="EM135" i="11" s="1"/>
  <c r="EL91" i="5"/>
  <c r="EL89" i="5" s="1"/>
  <c r="EL141" i="11"/>
  <c r="EL142" i="11" s="1"/>
  <c r="EM139" i="11" s="1"/>
  <c r="EL84" i="11"/>
  <c r="EL85" i="11" s="1"/>
  <c r="EM58" i="11"/>
  <c r="EM84" i="11" s="1"/>
  <c r="EL62" i="19" l="1"/>
  <c r="EK32" i="15"/>
  <c r="EL48" i="5"/>
  <c r="EL63" i="19"/>
  <c r="EL137" i="11"/>
  <c r="EM134" i="11" s="1"/>
  <c r="EM136" i="11"/>
  <c r="EN54" i="6"/>
  <c r="EM141" i="11"/>
  <c r="EM142" i="11" s="1"/>
  <c r="EN139" i="11" s="1"/>
  <c r="EM91" i="5"/>
  <c r="EM89" i="5" s="1"/>
  <c r="EM59" i="11"/>
  <c r="EN56" i="11" s="1"/>
  <c r="EN58" i="11" s="1"/>
  <c r="EL86" i="11"/>
  <c r="EM83" i="11" s="1"/>
  <c r="EM89" i="11" s="1"/>
  <c r="EM137" i="11" l="1"/>
  <c r="EN134" i="11" s="1"/>
  <c r="EL32" i="15"/>
  <c r="EM85" i="11"/>
  <c r="EM86" i="11" s="1"/>
  <c r="EN83" i="11" s="1"/>
  <c r="EN89" i="11" s="1"/>
  <c r="EM48" i="5"/>
  <c r="EM63" i="19"/>
  <c r="EN59" i="11"/>
  <c r="EO56" i="11" s="1"/>
  <c r="EN135" i="11"/>
  <c r="EN136" i="11" s="1"/>
  <c r="EN91" i="5"/>
  <c r="EN84" i="11"/>
  <c r="EN141" i="11"/>
  <c r="EN142" i="11" s="1"/>
  <c r="EO139" i="11" s="1"/>
  <c r="EN85" i="11" l="1"/>
  <c r="EN86" i="11" s="1"/>
  <c r="EO83" i="11" s="1"/>
  <c r="EO89" i="11" s="1"/>
  <c r="EM62" i="19"/>
  <c r="EN63" i="19"/>
  <c r="EO135" i="11"/>
  <c r="EP54" i="6" s="1"/>
  <c r="EO58" i="11"/>
  <c r="EO141" i="11" s="1"/>
  <c r="EO142" i="11" s="1"/>
  <c r="EP139" i="11" s="1"/>
  <c r="EM32" i="15"/>
  <c r="EO54" i="6"/>
  <c r="EN89" i="5"/>
  <c r="EN48" i="5"/>
  <c r="AG43" i="17" s="1"/>
  <c r="EN137" i="11"/>
  <c r="EN62" i="19" l="1"/>
  <c r="AH48" i="16"/>
  <c r="AF27" i="18"/>
  <c r="EO91" i="5"/>
  <c r="EO59" i="11"/>
  <c r="EN32" i="15" s="1"/>
  <c r="EO84" i="11"/>
  <c r="EO85" i="11" s="1"/>
  <c r="EO86" i="11" s="1"/>
  <c r="EP83" i="11" s="1"/>
  <c r="EO136" i="11"/>
  <c r="EO48" i="5" s="1"/>
  <c r="EO134" i="11"/>
  <c r="EO89" i="5" l="1"/>
  <c r="EP56" i="11"/>
  <c r="EP135" i="11" s="1"/>
  <c r="EP136" i="11" s="1"/>
  <c r="EO137" i="11"/>
  <c r="EP134" i="11" s="1"/>
  <c r="EO63" i="19"/>
  <c r="EO62" i="19"/>
  <c r="EP89" i="11"/>
  <c r="EP58" i="11" l="1"/>
  <c r="EP141" i="11" s="1"/>
  <c r="EP142" i="11" s="1"/>
  <c r="EQ139" i="11" s="1"/>
  <c r="EQ54" i="6"/>
  <c r="EP137" i="11"/>
  <c r="EQ134" i="11" s="1"/>
  <c r="EP63" i="19" l="1"/>
  <c r="EP48" i="5"/>
  <c r="EP59" i="11"/>
  <c r="EP91" i="5"/>
  <c r="EP84" i="11"/>
  <c r="EP85" i="11" s="1"/>
  <c r="EP86" i="11" s="1"/>
  <c r="EQ83" i="11" s="1"/>
  <c r="EQ89" i="11" s="1"/>
  <c r="AM110" i="1"/>
  <c r="AM111" i="1"/>
  <c r="AN111" i="1" s="1"/>
  <c r="AM112" i="1"/>
  <c r="AN112" i="1" s="1"/>
  <c r="AF86" i="17"/>
  <c r="AL114" i="1"/>
  <c r="AN114" i="1" s="1"/>
  <c r="EP89" i="5" l="1"/>
  <c r="EP62" i="19"/>
  <c r="EO32" i="15"/>
  <c r="EQ56" i="11"/>
  <c r="AG27" i="18"/>
  <c r="AF84" i="17"/>
  <c r="AL110" i="1" l="1"/>
  <c r="AN110" i="1" s="1"/>
  <c r="EQ135" i="11"/>
  <c r="EQ58" i="11"/>
  <c r="AO94" i="1"/>
  <c r="AO113" i="1"/>
  <c r="AI48" i="16"/>
  <c r="AC48" i="16"/>
  <c r="AF48" i="16"/>
  <c r="AH86" i="17"/>
  <c r="AH84" i="17" s="1"/>
  <c r="L86" i="17"/>
  <c r="L84" i="17" s="1"/>
  <c r="AB86" i="17"/>
  <c r="AB84" i="17" s="1"/>
  <c r="AG86" i="17"/>
  <c r="AG84" i="17" s="1"/>
  <c r="AO114" i="1"/>
  <c r="EQ59" i="11" l="1"/>
  <c r="EP32" i="15" s="1"/>
  <c r="EQ91" i="5"/>
  <c r="EQ141" i="11"/>
  <c r="EQ84" i="11"/>
  <c r="J58" i="11"/>
  <c r="ER54" i="6"/>
  <c r="EQ136" i="11"/>
  <c r="J135" i="11"/>
  <c r="AO115" i="1"/>
  <c r="AH43" i="17"/>
  <c r="L43" i="17"/>
  <c r="AB43" i="17"/>
  <c r="M86" i="26" l="1"/>
  <c r="N86" i="26"/>
  <c r="N84" i="26" s="1"/>
  <c r="O86" i="26"/>
  <c r="O84" i="26" s="1"/>
  <c r="P86" i="26"/>
  <c r="P84" i="26" s="1"/>
  <c r="Q86" i="26"/>
  <c r="Q84" i="26" s="1"/>
  <c r="R86" i="26"/>
  <c r="R84" i="26" s="1"/>
  <c r="S86" i="26"/>
  <c r="S84" i="26" s="1"/>
  <c r="T86" i="26"/>
  <c r="T84" i="26" s="1"/>
  <c r="U86" i="26"/>
  <c r="U84" i="26" s="1"/>
  <c r="V86" i="26"/>
  <c r="V84" i="26" s="1"/>
  <c r="W86" i="26"/>
  <c r="W84" i="26" s="1"/>
  <c r="X86" i="26"/>
  <c r="X84" i="26" s="1"/>
  <c r="EQ63" i="19"/>
  <c r="J63" i="19" s="1"/>
  <c r="EQ137" i="11"/>
  <c r="EQ48" i="5"/>
  <c r="J136" i="11"/>
  <c r="AJ48" i="16"/>
  <c r="K48" i="16" s="1"/>
  <c r="K54" i="6"/>
  <c r="J84" i="11"/>
  <c r="K64" i="1" s="1"/>
  <c r="J48" i="21" s="1"/>
  <c r="EQ85" i="11"/>
  <c r="EQ142" i="11"/>
  <c r="J141" i="11"/>
  <c r="AI86" i="17"/>
  <c r="EQ89" i="5"/>
  <c r="J91" i="5"/>
  <c r="J89" i="5" s="1"/>
  <c r="N53" i="21" l="1"/>
  <c r="W4" i="21"/>
  <c r="W6" i="21" s="1"/>
  <c r="M43" i="26"/>
  <c r="N43" i="26"/>
  <c r="O43" i="26"/>
  <c r="P43" i="26"/>
  <c r="Q43" i="26"/>
  <c r="R43" i="26"/>
  <c r="S43" i="26"/>
  <c r="T43" i="26"/>
  <c r="U43" i="26"/>
  <c r="V43" i="26"/>
  <c r="W43" i="26"/>
  <c r="X43" i="26"/>
  <c r="M84" i="26"/>
  <c r="J86" i="26"/>
  <c r="J84" i="26" s="1"/>
  <c r="AI84" i="17"/>
  <c r="J86" i="17"/>
  <c r="J84" i="17" s="1"/>
  <c r="EQ86" i="11"/>
  <c r="EQ62" i="19"/>
  <c r="J62" i="19" s="1"/>
  <c r="J85" i="11"/>
  <c r="J48" i="5"/>
  <c r="AI43" i="17"/>
  <c r="J43" i="17" s="1"/>
  <c r="J43" i="26" l="1"/>
  <c r="K18" i="18"/>
  <c r="D216" i="32" l="1"/>
  <c r="D777" i="32"/>
  <c r="M20" i="16"/>
  <c r="D697" i="32" s="1"/>
  <c r="D136" i="32" l="1"/>
  <c r="M38" i="16"/>
  <c r="D693" i="32" l="1"/>
  <c r="D132" i="32"/>
  <c r="M57" i="16"/>
  <c r="M65" i="16" l="1"/>
  <c r="T27" i="1" l="1"/>
  <c r="DD36" i="2"/>
  <c r="DC66" i="5" s="1"/>
  <c r="W36" i="2"/>
  <c r="V66" i="5" s="1"/>
  <c r="AY36" i="2"/>
  <c r="AX66" i="5" s="1"/>
  <c r="DN36" i="2"/>
  <c r="BS36" i="2"/>
  <c r="BR66" i="5" s="1"/>
  <c r="CC36" i="2"/>
  <c r="CZ36" i="2"/>
  <c r="DX36" i="2"/>
  <c r="CH36" i="2"/>
  <c r="CG66" i="5" s="1"/>
  <c r="EA36" i="2"/>
  <c r="DZ66" i="5" s="1"/>
  <c r="AR36" i="2"/>
  <c r="CD36" i="2"/>
  <c r="CO36" i="2"/>
  <c r="CN66" i="5" s="1"/>
  <c r="DT36" i="2"/>
  <c r="Y36" i="2"/>
  <c r="Y34" i="2" s="1"/>
  <c r="DC36" i="2"/>
  <c r="DB66" i="5" s="1"/>
  <c r="AP36" i="2"/>
  <c r="AP34" i="2" s="1"/>
  <c r="DQ36" i="2"/>
  <c r="BI36" i="2"/>
  <c r="BI34" i="2" s="1"/>
  <c r="DE36" i="2"/>
  <c r="DD66" i="5" s="1"/>
  <c r="CG36" i="2"/>
  <c r="AS36" i="2"/>
  <c r="AR66" i="5" s="1"/>
  <c r="EC36" i="2"/>
  <c r="EC34" i="2" s="1"/>
  <c r="Z36" i="2"/>
  <c r="Z34" i="2" s="1"/>
  <c r="V36" i="2"/>
  <c r="V34" i="2" s="1"/>
  <c r="BW36" i="2"/>
  <c r="BV66" i="5" s="1"/>
  <c r="EI36" i="2"/>
  <c r="EI34" i="2" s="1"/>
  <c r="BJ36" i="2"/>
  <c r="BI66" i="5" s="1"/>
  <c r="CI36" i="2"/>
  <c r="CH66" i="5" s="1"/>
  <c r="CJ36" i="2"/>
  <c r="CJ34" i="2" s="1"/>
  <c r="AC36" i="2"/>
  <c r="AC34" i="2" s="1"/>
  <c r="EO36" i="2"/>
  <c r="EN66" i="5" s="1"/>
  <c r="EE36" i="2"/>
  <c r="EE34" i="2" s="1"/>
  <c r="Q36" i="2"/>
  <c r="BK36" i="2"/>
  <c r="BK34" i="2" s="1"/>
  <c r="P36" i="2"/>
  <c r="EL36" i="2"/>
  <c r="AK36" i="2"/>
  <c r="AK34" i="2" s="1"/>
  <c r="AE36" i="2"/>
  <c r="AD66" i="5" s="1"/>
  <c r="BD36" i="2"/>
  <c r="AL36" i="2"/>
  <c r="DW36" i="2"/>
  <c r="DV66" i="5" s="1"/>
  <c r="AD36" i="2"/>
  <c r="AH36" i="2"/>
  <c r="AG66" i="5" s="1"/>
  <c r="AW36" i="2"/>
  <c r="N36" i="2"/>
  <c r="N34" i="2" s="1"/>
  <c r="BH36" i="2"/>
  <c r="BH34" i="2" s="1"/>
  <c r="BB36" i="2"/>
  <c r="BB34" i="2" s="1"/>
  <c r="CT36" i="2"/>
  <c r="CT34" i="2" s="1"/>
  <c r="U36" i="2"/>
  <c r="U34" i="2" s="1"/>
  <c r="AB36" i="2"/>
  <c r="AB34" i="2" s="1"/>
  <c r="BA36" i="2"/>
  <c r="AZ66" i="5" s="1"/>
  <c r="BL36" i="2"/>
  <c r="BL34" i="2" s="1"/>
  <c r="DB36" i="2"/>
  <c r="DA66" i="5" s="1"/>
  <c r="AQ36" i="2"/>
  <c r="AP66" i="5" s="1"/>
  <c r="X36" i="2"/>
  <c r="W66" i="5" s="1"/>
  <c r="CW36" i="2"/>
  <c r="CV66" i="5" s="1"/>
  <c r="AV36" i="2"/>
  <c r="AV34" i="2" s="1"/>
  <c r="AT36" i="2"/>
  <c r="AS66" i="5" s="1"/>
  <c r="ER36" i="2"/>
  <c r="ER34" i="2" s="1"/>
  <c r="DY36" i="2"/>
  <c r="DY34" i="2" s="1"/>
  <c r="DJ36" i="2"/>
  <c r="DI66" i="5" s="1"/>
  <c r="BQ36" i="2"/>
  <c r="BP66" i="5" s="1"/>
  <c r="DF36" i="2"/>
  <c r="DF34" i="2" s="1"/>
  <c r="EF36" i="2"/>
  <c r="EF34" i="2" s="1"/>
  <c r="AJ36" i="2"/>
  <c r="AI66" i="5" s="1"/>
  <c r="S36" i="2"/>
  <c r="R66" i="5" s="1"/>
  <c r="BP36" i="2"/>
  <c r="BO66" i="5" s="1"/>
  <c r="CM36" i="2"/>
  <c r="CM34" i="2" s="1"/>
  <c r="BU36" i="2"/>
  <c r="BU34" i="2" s="1"/>
  <c r="BG36" i="2"/>
  <c r="BF66" i="5" s="1"/>
  <c r="DZ36" i="2"/>
  <c r="DZ34" i="2" s="1"/>
  <c r="BR36" i="2"/>
  <c r="M36" i="2"/>
  <c r="L66" i="5" s="1"/>
  <c r="L61" i="26" s="1"/>
  <c r="ED36" i="2"/>
  <c r="ED34" i="2" s="1"/>
  <c r="DV36" i="2"/>
  <c r="DU66" i="5" s="1"/>
  <c r="AI36" i="2"/>
  <c r="AF36" i="2"/>
  <c r="AF34" i="2" s="1"/>
  <c r="DU36" i="2"/>
  <c r="BO36" i="2"/>
  <c r="BN66" i="5" s="1"/>
  <c r="BC36" i="2"/>
  <c r="BB66" i="5" s="1"/>
  <c r="CE36" i="2"/>
  <c r="CE34" i="2" s="1"/>
  <c r="CQ36" i="2"/>
  <c r="BX36" i="2"/>
  <c r="BX34" i="2" s="1"/>
  <c r="AO36" i="2"/>
  <c r="AN66" i="5" s="1"/>
  <c r="DR36" i="2"/>
  <c r="DQ66" i="5" s="1"/>
  <c r="CX36" i="2"/>
  <c r="CW66" i="5" s="1"/>
  <c r="BF36" i="2"/>
  <c r="BE66" i="5" s="1"/>
  <c r="CB36" i="2"/>
  <c r="CA66" i="5" s="1"/>
  <c r="EQ36" i="2"/>
  <c r="EJ36" i="2"/>
  <c r="EJ34" i="2" s="1"/>
  <c r="CR36" i="2"/>
  <c r="CQ66" i="5" s="1"/>
  <c r="BM36" i="2"/>
  <c r="BM34" i="2" s="1"/>
  <c r="DS36" i="2"/>
  <c r="DR66" i="5" s="1"/>
  <c r="BT36" i="2"/>
  <c r="BS66" i="5" s="1"/>
  <c r="DO36" i="2"/>
  <c r="DN66" i="5" s="1"/>
  <c r="AM36" i="2"/>
  <c r="AM34" i="2" s="1"/>
  <c r="DH36" i="2"/>
  <c r="DG66" i="5" s="1"/>
  <c r="EP36" i="2"/>
  <c r="EP34" i="2" s="1"/>
  <c r="CS36" i="2"/>
  <c r="CR66" i="5" s="1"/>
  <c r="EG36" i="2"/>
  <c r="EF66" i="5" s="1"/>
  <c r="O36" i="2"/>
  <c r="O34" i="2" s="1"/>
  <c r="DL36" i="2"/>
  <c r="DL34" i="2" s="1"/>
  <c r="BV36" i="2"/>
  <c r="BV34" i="2" s="1"/>
  <c r="AN36" i="2"/>
  <c r="AM66" i="5" s="1"/>
  <c r="EK36" i="2"/>
  <c r="EJ66" i="5" s="1"/>
  <c r="AZ36" i="2"/>
  <c r="AZ34" i="2" s="1"/>
  <c r="CF36" i="2"/>
  <c r="CF34" i="2" s="1"/>
  <c r="BZ36" i="2"/>
  <c r="BY66" i="5" s="1"/>
  <c r="CV36" i="2"/>
  <c r="CU66" i="5" s="1"/>
  <c r="CP36" i="2"/>
  <c r="CP34" i="2" s="1"/>
  <c r="CL36" i="2"/>
  <c r="CL34" i="2" s="1"/>
  <c r="EM36" i="2"/>
  <c r="EM34" i="2" s="1"/>
  <c r="EN36" i="2"/>
  <c r="EN34" i="2" s="1"/>
  <c r="DK36" i="2"/>
  <c r="DJ66" i="5" s="1"/>
  <c r="DP36" i="2"/>
  <c r="DP34" i="2" s="1"/>
  <c r="EH36" i="2"/>
  <c r="EH34" i="2" s="1"/>
  <c r="AU36" i="2"/>
  <c r="AT66" i="5" s="1"/>
  <c r="BY36" i="2"/>
  <c r="BX66" i="5" s="1"/>
  <c r="CK36" i="2"/>
  <c r="CK34" i="2" s="1"/>
  <c r="CA36" i="2"/>
  <c r="BZ66" i="5" s="1"/>
  <c r="T36" i="2"/>
  <c r="T34" i="2" s="1"/>
  <c r="DG36" i="2"/>
  <c r="DG34" i="2" s="1"/>
  <c r="CN36" i="2"/>
  <c r="CM66" i="5" s="1"/>
  <c r="EB36" i="2"/>
  <c r="EA66" i="5" s="1"/>
  <c r="AA36" i="2"/>
  <c r="AA34" i="2" s="1"/>
  <c r="DA36" i="2"/>
  <c r="DA34" i="2" s="1"/>
  <c r="DI36" i="2"/>
  <c r="DH66" i="5" s="1"/>
  <c r="CU36" i="2"/>
  <c r="CT66" i="5" s="1"/>
  <c r="BN36" i="2"/>
  <c r="BN34" i="2" s="1"/>
  <c r="R36" i="2"/>
  <c r="R34" i="2" s="1"/>
  <c r="BE36" i="2"/>
  <c r="BE34" i="2" s="1"/>
  <c r="J34" i="2"/>
  <c r="C7" i="32" s="1"/>
  <c r="AX36" i="2"/>
  <c r="AW66" i="5" s="1"/>
  <c r="CY36" i="2"/>
  <c r="CY34" i="2" s="1"/>
  <c r="AG36" i="2"/>
  <c r="AG34" i="2" s="1"/>
  <c r="DM36" i="2"/>
  <c r="DM34" i="2" s="1"/>
  <c r="P26" i="1"/>
  <c r="AA47" i="21" s="1"/>
  <c r="P27" i="1" l="1"/>
  <c r="T11" i="1" s="1"/>
  <c r="R47" i="21"/>
  <c r="U47" i="21" s="1"/>
  <c r="CJ66" i="5"/>
  <c r="EL66" i="5"/>
  <c r="AU34" i="2"/>
  <c r="ED66" i="5"/>
  <c r="DC34" i="2"/>
  <c r="X66" i="5"/>
  <c r="BT66" i="5"/>
  <c r="AE66" i="5"/>
  <c r="BP34" i="2"/>
  <c r="CW34" i="2"/>
  <c r="DB34" i="2"/>
  <c r="EA34" i="2"/>
  <c r="BA66" i="5"/>
  <c r="AL66" i="5"/>
  <c r="BS34" i="2"/>
  <c r="Y66" i="5"/>
  <c r="AX34" i="2"/>
  <c r="CV34" i="2"/>
  <c r="BD66" i="5"/>
  <c r="EG34" i="2"/>
  <c r="T66" i="5"/>
  <c r="AO66" i="5"/>
  <c r="EB34" i="2"/>
  <c r="Z66" i="5"/>
  <c r="BY34" i="2"/>
  <c r="AU66" i="5"/>
  <c r="AA66" i="5"/>
  <c r="DW34" i="2"/>
  <c r="DE34" i="2"/>
  <c r="CO34" i="2"/>
  <c r="BT34" i="2"/>
  <c r="CD66" i="5"/>
  <c r="BJ66" i="5"/>
  <c r="U66" i="5"/>
  <c r="EM66" i="5"/>
  <c r="BG34" i="2"/>
  <c r="BG66" i="5"/>
  <c r="Q66" i="5"/>
  <c r="CN34" i="2"/>
  <c r="EG66" i="5"/>
  <c r="S34" i="2"/>
  <c r="EO34" i="2"/>
  <c r="EB66" i="5"/>
  <c r="W34" i="2"/>
  <c r="CK66" i="5"/>
  <c r="DO66" i="5"/>
  <c r="BZ34" i="2"/>
  <c r="BL66" i="5"/>
  <c r="AY66" i="5"/>
  <c r="AS34" i="2"/>
  <c r="CH34" i="2"/>
  <c r="CX66" i="5"/>
  <c r="DI34" i="2"/>
  <c r="CA34" i="2"/>
  <c r="CE66" i="5"/>
  <c r="EO66" i="5"/>
  <c r="DV34" i="2"/>
  <c r="AB66" i="5"/>
  <c r="DJ34" i="2"/>
  <c r="EK34" i="2"/>
  <c r="AN34" i="2"/>
  <c r="CI66" i="5"/>
  <c r="DE66" i="5"/>
  <c r="CO66" i="5"/>
  <c r="N66" i="5"/>
  <c r="DO34" i="2"/>
  <c r="M66" i="5"/>
  <c r="BJ34" i="2"/>
  <c r="AY34" i="2"/>
  <c r="BH66" i="5"/>
  <c r="CU34" i="2"/>
  <c r="DF66" i="5"/>
  <c r="DK34" i="2"/>
  <c r="AH34" i="2"/>
  <c r="EQ66" i="5"/>
  <c r="CS34" i="2"/>
  <c r="CL66" i="5"/>
  <c r="CB34" i="2"/>
  <c r="L61" i="17"/>
  <c r="M34" i="2"/>
  <c r="AJ66" i="5"/>
  <c r="AF66" i="5"/>
  <c r="BM66" i="5"/>
  <c r="CZ66" i="5"/>
  <c r="BW66" i="5"/>
  <c r="AJ34" i="2"/>
  <c r="AR34" i="2"/>
  <c r="AQ66" i="5"/>
  <c r="BF34" i="2"/>
  <c r="CX34" i="2"/>
  <c r="BR34" i="2"/>
  <c r="BQ66" i="5"/>
  <c r="EE66" i="5"/>
  <c r="AT34" i="2"/>
  <c r="BD34" i="2"/>
  <c r="BC66" i="5"/>
  <c r="AK66" i="5"/>
  <c r="AL34" i="2"/>
  <c r="DH34" i="2"/>
  <c r="EI66" i="5"/>
  <c r="DR34" i="2"/>
  <c r="BC34" i="2"/>
  <c r="EC66" i="5"/>
  <c r="EK66" i="5"/>
  <c r="EL34" i="2"/>
  <c r="DN34" i="2"/>
  <c r="DM66" i="5"/>
  <c r="EQ34" i="2"/>
  <c r="EP66" i="5"/>
  <c r="CQ34" i="2"/>
  <c r="CP66" i="5"/>
  <c r="CC66" i="5"/>
  <c r="CD34" i="2"/>
  <c r="DL66" i="5"/>
  <c r="BU66" i="5"/>
  <c r="CR34" i="2"/>
  <c r="AO34" i="2"/>
  <c r="DU34" i="2"/>
  <c r="DT66" i="5"/>
  <c r="DK66" i="5"/>
  <c r="DX66" i="5"/>
  <c r="AQ34" i="2"/>
  <c r="CS66" i="5"/>
  <c r="EH66" i="5"/>
  <c r="DS66" i="5"/>
  <c r="DT34" i="2"/>
  <c r="K36" i="2"/>
  <c r="K34" i="2" s="1"/>
  <c r="AC66" i="5"/>
  <c r="AD34" i="2"/>
  <c r="CB66" i="5"/>
  <c r="CC34" i="2"/>
  <c r="BO34" i="2"/>
  <c r="DY66" i="5"/>
  <c r="P34" i="2"/>
  <c r="O66" i="5"/>
  <c r="AW34" i="2"/>
  <c r="AV66" i="5"/>
  <c r="Q34" i="2"/>
  <c r="P66" i="5"/>
  <c r="DQ34" i="2"/>
  <c r="DP66" i="5"/>
  <c r="S66" i="5"/>
  <c r="DS34" i="2"/>
  <c r="BQ34" i="2"/>
  <c r="BK66" i="5"/>
  <c r="CZ34" i="2"/>
  <c r="CY66" i="5"/>
  <c r="AI34" i="2"/>
  <c r="AH66" i="5"/>
  <c r="DW66" i="5"/>
  <c r="DX34" i="2"/>
  <c r="CF66" i="5"/>
  <c r="CG34" i="2"/>
  <c r="BW34" i="2"/>
  <c r="X34" i="2"/>
  <c r="BA34" i="2"/>
  <c r="AE34" i="2"/>
  <c r="CI34" i="2"/>
  <c r="DD34" i="2"/>
  <c r="V61" i="26" l="1"/>
  <c r="R61" i="26"/>
  <c r="Q61" i="26"/>
  <c r="O61" i="26"/>
  <c r="N61" i="26"/>
  <c r="S61" i="26"/>
  <c r="P61" i="26"/>
  <c r="T61" i="26"/>
  <c r="U61" i="26"/>
  <c r="W61" i="26"/>
  <c r="X61" i="26"/>
  <c r="M61" i="26"/>
  <c r="V61" i="17"/>
  <c r="S61" i="17"/>
  <c r="Y61" i="17"/>
  <c r="AB61" i="17"/>
  <c r="AA61" i="17"/>
  <c r="Z61" i="17"/>
  <c r="O61" i="17"/>
  <c r="Q61" i="17"/>
  <c r="U61" i="17"/>
  <c r="T61" i="17"/>
  <c r="N61" i="17"/>
  <c r="AC61" i="17"/>
  <c r="AI61" i="17"/>
  <c r="W61" i="17"/>
  <c r="I62" i="11"/>
  <c r="ED62" i="11" s="1"/>
  <c r="T18" i="1"/>
  <c r="N152" i="5" s="1"/>
  <c r="P61" i="17"/>
  <c r="AE61" i="17"/>
  <c r="E44" i="2"/>
  <c r="G44" i="2" s="1"/>
  <c r="X61" i="17"/>
  <c r="AF61" i="17"/>
  <c r="Q41" i="1"/>
  <c r="G64" i="1"/>
  <c r="C48" i="21" s="1"/>
  <c r="G99" i="5"/>
  <c r="AG61" i="17"/>
  <c r="M61" i="17"/>
  <c r="AH61" i="17"/>
  <c r="AD61" i="17"/>
  <c r="J66" i="5"/>
  <c r="R61" i="17"/>
  <c r="C444" i="32" l="1"/>
  <c r="E7" i="32"/>
  <c r="D44" i="32" s="1"/>
  <c r="J61" i="26"/>
  <c r="L42" i="11"/>
  <c r="L84" i="5" s="1"/>
  <c r="M42" i="11"/>
  <c r="M84" i="5" s="1"/>
  <c r="N42" i="11"/>
  <c r="N84" i="5" s="1"/>
  <c r="O42" i="11"/>
  <c r="O84" i="5" s="1"/>
  <c r="P42" i="11"/>
  <c r="P84" i="5" s="1"/>
  <c r="Q42" i="11"/>
  <c r="Q84" i="5" s="1"/>
  <c r="R42" i="11"/>
  <c r="R84" i="5" s="1"/>
  <c r="S42" i="11"/>
  <c r="S84" i="5" s="1"/>
  <c r="T42" i="11"/>
  <c r="T84" i="5" s="1"/>
  <c r="U42" i="11"/>
  <c r="U84" i="5" s="1"/>
  <c r="V42" i="11"/>
  <c r="V84" i="5" s="1"/>
  <c r="W42" i="11"/>
  <c r="W84" i="5" s="1"/>
  <c r="X42" i="11"/>
  <c r="X84" i="5" s="1"/>
  <c r="Y42" i="11"/>
  <c r="Y84" i="5" s="1"/>
  <c r="Z42" i="11"/>
  <c r="Z84" i="5" s="1"/>
  <c r="AA42" i="11"/>
  <c r="AA84" i="5" s="1"/>
  <c r="AB42" i="11"/>
  <c r="AB84" i="5" s="1"/>
  <c r="AC42" i="11"/>
  <c r="AC84" i="5" s="1"/>
  <c r="AD42" i="11"/>
  <c r="AD84" i="5" s="1"/>
  <c r="AE42" i="11"/>
  <c r="AE84" i="5" s="1"/>
  <c r="AF42" i="11"/>
  <c r="AF84" i="5" s="1"/>
  <c r="AG42" i="11"/>
  <c r="AG84" i="5" s="1"/>
  <c r="AH42" i="11"/>
  <c r="AH84" i="5" s="1"/>
  <c r="AI42" i="11"/>
  <c r="AI84" i="5" s="1"/>
  <c r="AJ42" i="11"/>
  <c r="AJ84" i="5" s="1"/>
  <c r="AK42" i="11"/>
  <c r="AK84" i="5" s="1"/>
  <c r="AL42" i="11"/>
  <c r="AL84" i="5" s="1"/>
  <c r="AM42" i="11"/>
  <c r="AM84" i="5" s="1"/>
  <c r="AN42" i="11"/>
  <c r="AN84" i="5" s="1"/>
  <c r="AO42" i="11"/>
  <c r="AO84" i="5" s="1"/>
  <c r="AP42" i="11"/>
  <c r="AP84" i="5" s="1"/>
  <c r="AQ42" i="11"/>
  <c r="AQ84" i="5" s="1"/>
  <c r="AR42" i="11"/>
  <c r="AR84" i="5" s="1"/>
  <c r="AS42" i="11"/>
  <c r="AS84" i="5" s="1"/>
  <c r="AT42" i="11"/>
  <c r="AT84" i="5" s="1"/>
  <c r="AU42" i="11"/>
  <c r="AU84" i="5" s="1"/>
  <c r="AV42" i="11"/>
  <c r="AV84" i="5" s="1"/>
  <c r="AW42" i="11"/>
  <c r="AW84" i="5" s="1"/>
  <c r="AX42" i="11"/>
  <c r="AX84" i="5" s="1"/>
  <c r="AY42" i="11"/>
  <c r="AY84" i="5" s="1"/>
  <c r="AZ42" i="11"/>
  <c r="AZ84" i="5" s="1"/>
  <c r="BA42" i="11"/>
  <c r="BA84" i="5" s="1"/>
  <c r="BB42" i="11"/>
  <c r="BB84" i="5" s="1"/>
  <c r="BC42" i="11"/>
  <c r="BC84" i="5" s="1"/>
  <c r="BD42" i="11"/>
  <c r="BD84" i="5" s="1"/>
  <c r="BE42" i="11"/>
  <c r="BE84" i="5" s="1"/>
  <c r="BF42" i="11"/>
  <c r="BF84" i="5" s="1"/>
  <c r="BG42" i="11"/>
  <c r="BG84" i="5" s="1"/>
  <c r="BH42" i="11"/>
  <c r="BH84" i="5" s="1"/>
  <c r="BI42" i="11"/>
  <c r="BI84" i="5" s="1"/>
  <c r="BJ42" i="11"/>
  <c r="BJ84" i="5" s="1"/>
  <c r="BK42" i="11"/>
  <c r="BK84" i="5" s="1"/>
  <c r="BL42" i="11"/>
  <c r="BL84" i="5" s="1"/>
  <c r="BM42" i="11"/>
  <c r="BM84" i="5" s="1"/>
  <c r="BN42" i="11"/>
  <c r="BN84" i="5" s="1"/>
  <c r="BO42" i="11"/>
  <c r="BO84" i="5" s="1"/>
  <c r="BP42" i="11"/>
  <c r="BP84" i="5" s="1"/>
  <c r="BQ42" i="11"/>
  <c r="BQ84" i="5" s="1"/>
  <c r="BR42" i="11"/>
  <c r="BR84" i="5" s="1"/>
  <c r="BS42" i="11"/>
  <c r="BS84" i="5" s="1"/>
  <c r="BT42" i="11"/>
  <c r="BT84" i="5" s="1"/>
  <c r="BU42" i="11"/>
  <c r="BU84" i="5" s="1"/>
  <c r="BV42" i="11"/>
  <c r="BV84" i="5" s="1"/>
  <c r="BW42" i="11"/>
  <c r="BW84" i="5" s="1"/>
  <c r="BX42" i="11"/>
  <c r="BX84" i="5" s="1"/>
  <c r="BY42" i="11"/>
  <c r="BY84" i="5" s="1"/>
  <c r="BZ42" i="11"/>
  <c r="BZ84" i="5" s="1"/>
  <c r="CA42" i="11"/>
  <c r="CA84" i="5" s="1"/>
  <c r="CB42" i="11"/>
  <c r="CB84" i="5" s="1"/>
  <c r="CC42" i="11"/>
  <c r="CC84" i="5" s="1"/>
  <c r="CD42" i="11"/>
  <c r="CD84" i="5" s="1"/>
  <c r="CE42" i="11"/>
  <c r="CE84" i="5" s="1"/>
  <c r="CF42" i="11"/>
  <c r="CF84" i="5" s="1"/>
  <c r="CG42" i="11"/>
  <c r="CG84" i="5" s="1"/>
  <c r="CH42" i="11"/>
  <c r="CH84" i="5" s="1"/>
  <c r="CI42" i="11"/>
  <c r="CI84" i="5" s="1"/>
  <c r="CJ42" i="11"/>
  <c r="CJ84" i="5" s="1"/>
  <c r="CK42" i="11"/>
  <c r="CK84" i="5" s="1"/>
  <c r="CL42" i="11"/>
  <c r="CL84" i="5" s="1"/>
  <c r="CM42" i="11"/>
  <c r="CM84" i="5" s="1"/>
  <c r="CN42" i="11"/>
  <c r="CN84" i="5" s="1"/>
  <c r="CO42" i="11"/>
  <c r="CO84" i="5" s="1"/>
  <c r="CP42" i="11"/>
  <c r="CP84" i="5" s="1"/>
  <c r="CQ42" i="11"/>
  <c r="CQ84" i="5" s="1"/>
  <c r="CR42" i="11"/>
  <c r="CR84" i="5" s="1"/>
  <c r="CS42" i="11"/>
  <c r="CS84" i="5" s="1"/>
  <c r="CT42" i="11"/>
  <c r="CT84" i="5" s="1"/>
  <c r="CU42" i="11"/>
  <c r="CU84" i="5" s="1"/>
  <c r="CV42" i="11"/>
  <c r="CV84" i="5" s="1"/>
  <c r="CW42" i="11"/>
  <c r="CW84" i="5" s="1"/>
  <c r="CX42" i="11"/>
  <c r="CX84" i="5" s="1"/>
  <c r="CY42" i="11"/>
  <c r="CY84" i="5" s="1"/>
  <c r="CZ42" i="11"/>
  <c r="CZ84" i="5" s="1"/>
  <c r="DA42" i="11"/>
  <c r="DA84" i="5" s="1"/>
  <c r="DB42" i="11"/>
  <c r="DB84" i="5" s="1"/>
  <c r="DC42" i="11"/>
  <c r="DC84" i="5" s="1"/>
  <c r="DD42" i="11"/>
  <c r="DD84" i="5" s="1"/>
  <c r="DE42" i="11"/>
  <c r="DE84" i="5" s="1"/>
  <c r="DF42" i="11"/>
  <c r="DF84" i="5" s="1"/>
  <c r="DG42" i="11"/>
  <c r="DG84" i="5" s="1"/>
  <c r="DH42" i="11"/>
  <c r="DH84" i="5" s="1"/>
  <c r="DI42" i="11"/>
  <c r="DI84" i="5" s="1"/>
  <c r="DJ42" i="11"/>
  <c r="DJ84" i="5" s="1"/>
  <c r="DK42" i="11"/>
  <c r="DK84" i="5" s="1"/>
  <c r="DL42" i="11"/>
  <c r="DL84" i="5" s="1"/>
  <c r="DM42" i="11"/>
  <c r="DM84" i="5" s="1"/>
  <c r="DN42" i="11"/>
  <c r="DN84" i="5" s="1"/>
  <c r="DO42" i="11"/>
  <c r="DO84" i="5" s="1"/>
  <c r="DP42" i="11"/>
  <c r="DP84" i="5" s="1"/>
  <c r="DQ42" i="11"/>
  <c r="DQ84" i="5" s="1"/>
  <c r="DR42" i="11"/>
  <c r="DR84" i="5" s="1"/>
  <c r="DS42" i="11"/>
  <c r="DS84" i="5" s="1"/>
  <c r="DT42" i="11"/>
  <c r="DT84" i="5" s="1"/>
  <c r="DU42" i="11"/>
  <c r="DU84" i="5" s="1"/>
  <c r="DV42" i="11"/>
  <c r="DV84" i="5" s="1"/>
  <c r="DW42" i="11"/>
  <c r="DW84" i="5" s="1"/>
  <c r="DX42" i="11"/>
  <c r="DX84" i="5" s="1"/>
  <c r="DY42" i="11"/>
  <c r="DY84" i="5" s="1"/>
  <c r="DZ42" i="11"/>
  <c r="DZ84" i="5" s="1"/>
  <c r="EA42" i="11"/>
  <c r="EA84" i="5" s="1"/>
  <c r="EB42" i="11"/>
  <c r="EB84" i="5" s="1"/>
  <c r="EC42" i="11"/>
  <c r="EC84" i="5" s="1"/>
  <c r="ED42" i="11"/>
  <c r="ED84" i="5" s="1"/>
  <c r="EE42" i="11"/>
  <c r="EE84" i="5" s="1"/>
  <c r="EF42" i="11"/>
  <c r="EF84" i="5" s="1"/>
  <c r="EG42" i="11"/>
  <c r="EG84" i="5" s="1"/>
  <c r="EH42" i="11"/>
  <c r="EH84" i="5" s="1"/>
  <c r="EI42" i="11"/>
  <c r="EI84" i="5" s="1"/>
  <c r="EJ42" i="11"/>
  <c r="EJ84" i="5" s="1"/>
  <c r="EK42" i="11"/>
  <c r="EK84" i="5" s="1"/>
  <c r="EL42" i="11"/>
  <c r="EL84" i="5" s="1"/>
  <c r="EM42" i="11"/>
  <c r="EM84" i="5" s="1"/>
  <c r="EN42" i="11"/>
  <c r="EN84" i="5" s="1"/>
  <c r="EO42" i="11"/>
  <c r="EO84" i="5" s="1"/>
  <c r="EP42" i="11"/>
  <c r="EP84" i="5" s="1"/>
  <c r="EQ42" i="11"/>
  <c r="EQ84" i="5" s="1"/>
  <c r="CM62" i="11"/>
  <c r="CM240" i="11" s="1"/>
  <c r="CS62" i="11"/>
  <c r="CS96" i="5" s="1"/>
  <c r="M62" i="11"/>
  <c r="M96" i="5" s="1"/>
  <c r="AP62" i="11"/>
  <c r="AP96" i="5" s="1"/>
  <c r="BM62" i="11"/>
  <c r="BM96" i="5" s="1"/>
  <c r="CQ62" i="11"/>
  <c r="CQ240" i="11" s="1"/>
  <c r="EA62" i="11"/>
  <c r="EA240" i="11" s="1"/>
  <c r="V62" i="11"/>
  <c r="V240" i="11" s="1"/>
  <c r="AN62" i="11"/>
  <c r="AN96" i="5" s="1"/>
  <c r="AA62" i="11"/>
  <c r="AA240" i="11" s="1"/>
  <c r="BC62" i="11"/>
  <c r="BC240" i="11" s="1"/>
  <c r="BR62" i="11"/>
  <c r="BR96" i="5" s="1"/>
  <c r="BA62" i="11"/>
  <c r="BA96" i="5" s="1"/>
  <c r="AY62" i="11"/>
  <c r="AY240" i="11" s="1"/>
  <c r="CN62" i="11"/>
  <c r="CN96" i="5" s="1"/>
  <c r="DM62" i="11"/>
  <c r="DM96" i="5" s="1"/>
  <c r="EB62" i="11"/>
  <c r="EB240" i="11" s="1"/>
  <c r="DZ62" i="11"/>
  <c r="DZ240" i="11" s="1"/>
  <c r="BD62" i="11"/>
  <c r="BD240" i="11" s="1"/>
  <c r="DN62" i="11"/>
  <c r="DN96" i="5" s="1"/>
  <c r="DJ62" i="11"/>
  <c r="DJ240" i="11" s="1"/>
  <c r="AD62" i="11"/>
  <c r="AD240" i="11" s="1"/>
  <c r="BK62" i="11"/>
  <c r="BK240" i="11" s="1"/>
  <c r="CX62" i="11"/>
  <c r="CX96" i="5" s="1"/>
  <c r="DB62" i="11"/>
  <c r="DB96" i="5" s="1"/>
  <c r="X62" i="11"/>
  <c r="X96" i="5" s="1"/>
  <c r="DC62" i="11"/>
  <c r="DC96" i="5" s="1"/>
  <c r="EH62" i="11"/>
  <c r="EH96" i="5" s="1"/>
  <c r="T62" i="11"/>
  <c r="T240" i="11" s="1"/>
  <c r="AS62" i="11"/>
  <c r="AS96" i="5" s="1"/>
  <c r="BQ62" i="11"/>
  <c r="BQ96" i="5" s="1"/>
  <c r="BY62" i="11"/>
  <c r="BY240" i="11" s="1"/>
  <c r="BE62" i="11"/>
  <c r="BE240" i="11" s="1"/>
  <c r="CL62" i="11"/>
  <c r="CL240" i="11" s="1"/>
  <c r="DG62" i="11"/>
  <c r="DG240" i="11" s="1"/>
  <c r="DR62" i="11"/>
  <c r="DR96" i="5" s="1"/>
  <c r="DL62" i="11"/>
  <c r="DL240" i="11" s="1"/>
  <c r="DV62" i="11"/>
  <c r="DV240" i="11" s="1"/>
  <c r="AF62" i="11"/>
  <c r="AF240" i="11" s="1"/>
  <c r="AK62" i="11"/>
  <c r="AK240" i="11" s="1"/>
  <c r="AB62" i="11"/>
  <c r="AB96" i="5" s="1"/>
  <c r="DO62" i="11"/>
  <c r="DO240" i="11" s="1"/>
  <c r="AH62" i="11"/>
  <c r="AH96" i="5" s="1"/>
  <c r="N62" i="11"/>
  <c r="N240" i="11" s="1"/>
  <c r="S62" i="11"/>
  <c r="S96" i="5" s="1"/>
  <c r="AM62" i="11"/>
  <c r="AM240" i="11" s="1"/>
  <c r="AU62" i="11"/>
  <c r="AU96" i="5" s="1"/>
  <c r="DA62" i="11"/>
  <c r="DA240" i="11" s="1"/>
  <c r="BJ62" i="11"/>
  <c r="BJ96" i="5" s="1"/>
  <c r="BW62" i="11"/>
  <c r="BW96" i="5" s="1"/>
  <c r="CV62" i="11"/>
  <c r="CV240" i="11" s="1"/>
  <c r="CO62" i="11"/>
  <c r="CO96" i="5" s="1"/>
  <c r="EE62" i="11"/>
  <c r="EE96" i="5" s="1"/>
  <c r="DX62" i="11"/>
  <c r="DX240" i="11" s="1"/>
  <c r="L62" i="11"/>
  <c r="L240" i="11" s="1"/>
  <c r="BL62" i="11"/>
  <c r="BL240" i="11" s="1"/>
  <c r="CD62" i="11"/>
  <c r="CD96" i="5" s="1"/>
  <c r="BO62" i="11"/>
  <c r="BO96" i="5" s="1"/>
  <c r="DF62" i="11"/>
  <c r="DF240" i="11" s="1"/>
  <c r="DS62" i="11"/>
  <c r="DS240" i="11" s="1"/>
  <c r="EK62" i="11"/>
  <c r="EK240" i="11" s="1"/>
  <c r="CK62" i="11"/>
  <c r="CK240" i="11" s="1"/>
  <c r="AG62" i="11"/>
  <c r="AG96" i="5" s="1"/>
  <c r="Y62" i="11"/>
  <c r="Y240" i="11" s="1"/>
  <c r="CP62" i="11"/>
  <c r="CP240" i="11" s="1"/>
  <c r="CW62" i="11"/>
  <c r="CW96" i="5" s="1"/>
  <c r="EN62" i="11"/>
  <c r="EN240" i="11" s="1"/>
  <c r="AC62" i="11"/>
  <c r="AC96" i="5" s="1"/>
  <c r="DH62" i="11"/>
  <c r="DH240" i="11" s="1"/>
  <c r="U62" i="11"/>
  <c r="U96" i="5" s="1"/>
  <c r="Q62" i="11"/>
  <c r="Q240" i="11" s="1"/>
  <c r="AJ62" i="11"/>
  <c r="AJ240" i="11" s="1"/>
  <c r="AZ62" i="11"/>
  <c r="AZ96" i="5" s="1"/>
  <c r="BG62" i="11"/>
  <c r="BG96" i="5" s="1"/>
  <c r="AW62" i="11"/>
  <c r="AW96" i="5" s="1"/>
  <c r="CH62" i="11"/>
  <c r="CH96" i="5" s="1"/>
  <c r="CU62" i="11"/>
  <c r="CU240" i="11" s="1"/>
  <c r="BT62" i="11"/>
  <c r="BT96" i="5" s="1"/>
  <c r="CA62" i="11"/>
  <c r="CA240" i="11" s="1"/>
  <c r="AQ62" i="11"/>
  <c r="AQ96" i="5" s="1"/>
  <c r="BF62" i="11"/>
  <c r="BF240" i="11" s="1"/>
  <c r="BP62" i="11"/>
  <c r="BP240" i="11" s="1"/>
  <c r="EC62" i="11"/>
  <c r="EC96" i="5" s="1"/>
  <c r="P62" i="11"/>
  <c r="P96" i="5" s="1"/>
  <c r="AR62" i="11"/>
  <c r="AR96" i="5" s="1"/>
  <c r="BI62" i="11"/>
  <c r="BI96" i="5" s="1"/>
  <c r="AV62" i="11"/>
  <c r="AV240" i="11" s="1"/>
  <c r="CI62" i="11"/>
  <c r="CI96" i="5" s="1"/>
  <c r="BU62" i="11"/>
  <c r="BU240" i="11" s="1"/>
  <c r="CY62" i="11"/>
  <c r="CY96" i="5" s="1"/>
  <c r="CJ62" i="11"/>
  <c r="CJ96" i="5" s="1"/>
  <c r="DW62" i="11"/>
  <c r="DW240" i="11" s="1"/>
  <c r="EO62" i="11"/>
  <c r="EO96" i="5" s="1"/>
  <c r="EQ62" i="11"/>
  <c r="EQ240" i="11" s="1"/>
  <c r="CT62" i="11"/>
  <c r="CT240" i="11" s="1"/>
  <c r="R62" i="11"/>
  <c r="R96" i="5" s="1"/>
  <c r="BZ62" i="11"/>
  <c r="BZ96" i="5" s="1"/>
  <c r="BV62" i="11"/>
  <c r="BV240" i="11" s="1"/>
  <c r="BB62" i="11"/>
  <c r="BB240" i="11" s="1"/>
  <c r="BX62" i="11"/>
  <c r="BX240" i="11" s="1"/>
  <c r="CG62" i="11"/>
  <c r="CG240" i="11" s="1"/>
  <c r="CF62" i="11"/>
  <c r="CF240" i="11" s="1"/>
  <c r="DK62" i="11"/>
  <c r="DK240" i="11" s="1"/>
  <c r="DE62" i="11"/>
  <c r="DE96" i="5" s="1"/>
  <c r="EG62" i="11"/>
  <c r="EG96" i="5" s="1"/>
  <c r="EP62" i="11"/>
  <c r="EP96" i="5" s="1"/>
  <c r="EF62" i="11"/>
  <c r="EF240" i="11" s="1"/>
  <c r="Z62" i="11"/>
  <c r="Z96" i="5" s="1"/>
  <c r="BH62" i="11"/>
  <c r="BH240" i="11" s="1"/>
  <c r="BN62" i="11"/>
  <c r="BN240" i="11" s="1"/>
  <c r="EL62" i="11"/>
  <c r="EL96" i="5" s="1"/>
  <c r="EJ62" i="11"/>
  <c r="EJ240" i="11" s="1"/>
  <c r="O62" i="11"/>
  <c r="O96" i="5" s="1"/>
  <c r="CE62" i="11"/>
  <c r="CE240" i="11" s="1"/>
  <c r="BS62" i="11"/>
  <c r="BS96" i="5" s="1"/>
  <c r="CB62" i="11"/>
  <c r="CB96" i="5" s="1"/>
  <c r="DD62" i="11"/>
  <c r="DD96" i="5" s="1"/>
  <c r="AE62" i="11"/>
  <c r="AE240" i="11" s="1"/>
  <c r="AT62" i="11"/>
  <c r="AT240" i="11" s="1"/>
  <c r="EM62" i="11"/>
  <c r="EM240" i="11" s="1"/>
  <c r="DU62" i="11"/>
  <c r="DU96" i="5" s="1"/>
  <c r="W62" i="11"/>
  <c r="W240" i="11" s="1"/>
  <c r="AL62" i="11"/>
  <c r="AL240" i="11" s="1"/>
  <c r="AX62" i="11"/>
  <c r="AX240" i="11" s="1"/>
  <c r="AO62" i="11"/>
  <c r="AO240" i="11" s="1"/>
  <c r="AI62" i="11"/>
  <c r="AI240" i="11" s="1"/>
  <c r="CC62" i="11"/>
  <c r="CC96" i="5" s="1"/>
  <c r="DQ62" i="11"/>
  <c r="DQ240" i="11" s="1"/>
  <c r="DI62" i="11"/>
  <c r="DI240" i="11" s="1"/>
  <c r="DP62" i="11"/>
  <c r="DP96" i="5" s="1"/>
  <c r="DY62" i="11"/>
  <c r="DY240" i="11" s="1"/>
  <c r="CR62" i="11"/>
  <c r="CR240" i="11" s="1"/>
  <c r="CZ62" i="11"/>
  <c r="CZ96" i="5" s="1"/>
  <c r="DT62" i="11"/>
  <c r="DT96" i="5" s="1"/>
  <c r="EI62" i="11"/>
  <c r="EI240" i="11" s="1"/>
  <c r="J61" i="17"/>
  <c r="ED96" i="5"/>
  <c r="ED240" i="11"/>
  <c r="X79" i="26" l="1"/>
  <c r="W79" i="26"/>
  <c r="V79" i="26"/>
  <c r="R79" i="26"/>
  <c r="T79" i="26"/>
  <c r="S79" i="26"/>
  <c r="Q79" i="26"/>
  <c r="P79" i="26"/>
  <c r="O79" i="26"/>
  <c r="N79" i="26"/>
  <c r="M79" i="26"/>
  <c r="U79" i="26"/>
  <c r="L79" i="17"/>
  <c r="L79" i="26"/>
  <c r="AH79" i="17"/>
  <c r="AF79" i="17"/>
  <c r="AD79" i="17"/>
  <c r="AB79" i="17"/>
  <c r="M79" i="17"/>
  <c r="Z79" i="17"/>
  <c r="X79" i="17"/>
  <c r="V79" i="17"/>
  <c r="T79" i="17"/>
  <c r="R79" i="17"/>
  <c r="P79" i="17"/>
  <c r="N79" i="17"/>
  <c r="AI79" i="17"/>
  <c r="AG79" i="17"/>
  <c r="AE79" i="17"/>
  <c r="AC79" i="17"/>
  <c r="AA79" i="17"/>
  <c r="Y79" i="17"/>
  <c r="W79" i="17"/>
  <c r="U79" i="17"/>
  <c r="S79" i="17"/>
  <c r="Q79" i="17"/>
  <c r="O79" i="17"/>
  <c r="CZ240" i="11"/>
  <c r="CM96" i="5"/>
  <c r="BA240" i="11"/>
  <c r="J84" i="5"/>
  <c r="AR240" i="11"/>
  <c r="EK96" i="5"/>
  <c r="BJ240" i="11"/>
  <c r="DB240" i="11"/>
  <c r="DL96" i="5"/>
  <c r="M240" i="11"/>
  <c r="DU240" i="11"/>
  <c r="L43" i="11"/>
  <c r="J42" i="11"/>
  <c r="BW240" i="11"/>
  <c r="AG240" i="11"/>
  <c r="X240" i="11"/>
  <c r="DM240" i="11"/>
  <c r="CK96" i="5"/>
  <c r="CO240" i="11"/>
  <c r="AK96" i="5"/>
  <c r="CI240" i="11"/>
  <c r="CN240" i="11"/>
  <c r="BN96" i="5"/>
  <c r="AZ240" i="11"/>
  <c r="BZ240" i="11"/>
  <c r="BH96" i="5"/>
  <c r="Y96" i="5"/>
  <c r="CP96" i="5"/>
  <c r="EH240" i="11"/>
  <c r="EJ96" i="5"/>
  <c r="EB96" i="5"/>
  <c r="AW240" i="11"/>
  <c r="O240" i="11"/>
  <c r="BG240" i="11"/>
  <c r="EL240" i="11"/>
  <c r="AF96" i="5"/>
  <c r="AV96" i="5"/>
  <c r="DC240" i="11"/>
  <c r="CV96" i="5"/>
  <c r="AL96" i="5"/>
  <c r="EI96" i="5"/>
  <c r="BI240" i="11"/>
  <c r="AX96" i="5"/>
  <c r="AP240" i="11"/>
  <c r="CH240" i="11"/>
  <c r="AY96" i="5"/>
  <c r="DV96" i="5"/>
  <c r="BX96" i="5"/>
  <c r="W96" i="5"/>
  <c r="CS240" i="11"/>
  <c r="BB96" i="5"/>
  <c r="DT240" i="11"/>
  <c r="CW240" i="11"/>
  <c r="CG96" i="5"/>
  <c r="DO96" i="5"/>
  <c r="BV96" i="5"/>
  <c r="BU96" i="5"/>
  <c r="CU96" i="5"/>
  <c r="BM240" i="11"/>
  <c r="DZ96" i="5"/>
  <c r="CF96" i="5"/>
  <c r="DX96" i="5"/>
  <c r="CJ240" i="11"/>
  <c r="AO96" i="5"/>
  <c r="CC240" i="11"/>
  <c r="EA96" i="5"/>
  <c r="CY240" i="11"/>
  <c r="L96" i="5"/>
  <c r="D621" i="32" s="1"/>
  <c r="CQ96" i="5"/>
  <c r="T96" i="5"/>
  <c r="G621" i="32" s="1"/>
  <c r="AB240" i="11"/>
  <c r="AI96" i="5"/>
  <c r="AS240" i="11"/>
  <c r="DK96" i="5"/>
  <c r="AH240" i="11"/>
  <c r="EN96" i="5"/>
  <c r="CE96" i="5"/>
  <c r="BQ240" i="11"/>
  <c r="V96" i="5"/>
  <c r="CA96" i="5"/>
  <c r="BD96" i="5"/>
  <c r="DW96" i="5"/>
  <c r="BY96" i="5"/>
  <c r="BT240" i="11"/>
  <c r="EE240" i="11"/>
  <c r="BE96" i="5"/>
  <c r="AQ240" i="11"/>
  <c r="DN240" i="11"/>
  <c r="CX240" i="11"/>
  <c r="S240" i="11"/>
  <c r="BL96" i="5"/>
  <c r="CB240" i="11"/>
  <c r="N96" i="5"/>
  <c r="E621" i="32" s="1"/>
  <c r="DE240" i="11"/>
  <c r="AM96" i="5"/>
  <c r="BR240" i="11"/>
  <c r="BS240" i="11"/>
  <c r="DQ96" i="5"/>
  <c r="AJ96" i="5"/>
  <c r="P240" i="11"/>
  <c r="EM96" i="5"/>
  <c r="CR96" i="5"/>
  <c r="DR240" i="11"/>
  <c r="DA96" i="5"/>
  <c r="AB91" i="17" s="1"/>
  <c r="DS96" i="5"/>
  <c r="AC240" i="11"/>
  <c r="BF96" i="5"/>
  <c r="DI96" i="5"/>
  <c r="DH96" i="5"/>
  <c r="CD240" i="11"/>
  <c r="EG240" i="11"/>
  <c r="DD240" i="11"/>
  <c r="EO240" i="11"/>
  <c r="DJ96" i="5"/>
  <c r="AN240" i="11"/>
  <c r="BP96" i="5"/>
  <c r="V91" i="17" s="1"/>
  <c r="EQ96" i="5"/>
  <c r="Z240" i="11"/>
  <c r="U240" i="11"/>
  <c r="CL96" i="5"/>
  <c r="BO240" i="11"/>
  <c r="EP240" i="11"/>
  <c r="AD96" i="5"/>
  <c r="J621" i="32" s="1"/>
  <c r="AE96" i="5"/>
  <c r="J62" i="11"/>
  <c r="Q96" i="5"/>
  <c r="F621" i="32" s="1"/>
  <c r="DP240" i="11"/>
  <c r="BK96" i="5"/>
  <c r="EF96" i="5"/>
  <c r="DF96" i="5"/>
  <c r="AU240" i="11"/>
  <c r="EC240" i="11"/>
  <c r="DY96" i="5"/>
  <c r="DG96" i="5"/>
  <c r="BC96" i="5"/>
  <c r="CT96" i="5"/>
  <c r="AT96" i="5"/>
  <c r="AA96" i="5"/>
  <c r="R240" i="11"/>
  <c r="L236" i="11"/>
  <c r="L237" i="11" s="1"/>
  <c r="L241" i="11"/>
  <c r="K621" i="32" l="1"/>
  <c r="L621" i="32"/>
  <c r="H621" i="32"/>
  <c r="I621" i="32"/>
  <c r="AC91" i="17"/>
  <c r="X91" i="17"/>
  <c r="R91" i="17"/>
  <c r="W91" i="26"/>
  <c r="Q91" i="26"/>
  <c r="I191" i="32" s="1"/>
  <c r="P91" i="17"/>
  <c r="H752" i="32" s="1"/>
  <c r="S91" i="17"/>
  <c r="M91" i="26"/>
  <c r="E191" i="32" s="1"/>
  <c r="N91" i="17"/>
  <c r="F752" i="32" s="1"/>
  <c r="AA91" i="17"/>
  <c r="AD91" i="17"/>
  <c r="X91" i="26"/>
  <c r="Q91" i="17"/>
  <c r="O91" i="26"/>
  <c r="G191" i="32" s="1"/>
  <c r="Y91" i="17"/>
  <c r="S91" i="26"/>
  <c r="K191" i="32" s="1"/>
  <c r="AH91" i="17"/>
  <c r="AG91" i="17"/>
  <c r="N91" i="26"/>
  <c r="F191" i="32" s="1"/>
  <c r="O91" i="17"/>
  <c r="G752" i="32" s="1"/>
  <c r="T91" i="26"/>
  <c r="L191" i="32" s="1"/>
  <c r="Z91" i="17"/>
  <c r="U91" i="17"/>
  <c r="T91" i="17"/>
  <c r="L91" i="26"/>
  <c r="D191" i="32" s="1"/>
  <c r="L91" i="17"/>
  <c r="D752" i="32" s="1"/>
  <c r="P91" i="26"/>
  <c r="H191" i="32" s="1"/>
  <c r="V91" i="26"/>
  <c r="N191" i="32" s="1"/>
  <c r="AE91" i="17"/>
  <c r="AF91" i="17"/>
  <c r="U91" i="26"/>
  <c r="M191" i="32" s="1"/>
  <c r="W91" i="17"/>
  <c r="R91" i="26"/>
  <c r="J191" i="32" s="1"/>
  <c r="M91" i="17"/>
  <c r="E752" i="32" s="1"/>
  <c r="AI91" i="17"/>
  <c r="L242" i="11"/>
  <c r="M239" i="11" s="1"/>
  <c r="J79" i="26"/>
  <c r="J79" i="17"/>
  <c r="L44" i="11"/>
  <c r="L85" i="5"/>
  <c r="J240" i="11"/>
  <c r="J96" i="5"/>
  <c r="J235" i="11"/>
  <c r="M234" i="11"/>
  <c r="L63" i="11"/>
  <c r="C621" i="32" l="1"/>
  <c r="C752" i="32"/>
  <c r="N621" i="32"/>
  <c r="C191" i="32"/>
  <c r="L80" i="26"/>
  <c r="D190" i="32" s="1"/>
  <c r="D620" i="32"/>
  <c r="J91" i="26"/>
  <c r="L83" i="5"/>
  <c r="L80" i="17"/>
  <c r="D751" i="32" s="1"/>
  <c r="M41" i="11"/>
  <c r="K33" i="15"/>
  <c r="D653" i="32" s="1"/>
  <c r="J91" i="17"/>
  <c r="L97" i="5"/>
  <c r="L64" i="11"/>
  <c r="M236" i="11"/>
  <c r="M237" i="11" s="1"/>
  <c r="M241" i="11"/>
  <c r="O621" i="32" l="1"/>
  <c r="L78" i="26"/>
  <c r="L92" i="26"/>
  <c r="L92" i="17"/>
  <c r="K28" i="18"/>
  <c r="D784" i="32" s="1"/>
  <c r="K30" i="15"/>
  <c r="M120" i="11"/>
  <c r="M43" i="11"/>
  <c r="L78" i="17"/>
  <c r="M61" i="11"/>
  <c r="L16" i="19"/>
  <c r="N234" i="11"/>
  <c r="M242" i="11"/>
  <c r="M63" i="11"/>
  <c r="N74" i="6" l="1"/>
  <c r="K25" i="18"/>
  <c r="D222" i="32"/>
  <c r="M44" i="11"/>
  <c r="M85" i="5"/>
  <c r="N51" i="6"/>
  <c r="M121" i="11"/>
  <c r="M97" i="5"/>
  <c r="M64" i="11"/>
  <c r="N236" i="11"/>
  <c r="N237" i="11" s="1"/>
  <c r="N239" i="11"/>
  <c r="M122" i="11" l="1"/>
  <c r="M45" i="5"/>
  <c r="M83" i="5"/>
  <c r="N41" i="11"/>
  <c r="L33" i="15"/>
  <c r="L30" i="15" s="1"/>
  <c r="N241" i="11"/>
  <c r="M16" i="19"/>
  <c r="N61" i="11"/>
  <c r="O74" i="6" s="1"/>
  <c r="O234" i="11"/>
  <c r="N242" i="11" l="1"/>
  <c r="O239" i="11" s="1"/>
  <c r="N120" i="11"/>
  <c r="O51" i="6" s="1"/>
  <c r="N43" i="11"/>
  <c r="N85" i="5" s="1"/>
  <c r="N119" i="11"/>
  <c r="N63" i="11"/>
  <c r="N97" i="5" s="1"/>
  <c r="O236" i="11"/>
  <c r="O237" i="11" s="1"/>
  <c r="N121" i="11" l="1"/>
  <c r="N122" i="11" s="1"/>
  <c r="N44" i="11"/>
  <c r="O41" i="11" s="1"/>
  <c r="N83" i="5"/>
  <c r="N64" i="11"/>
  <c r="O241" i="11"/>
  <c r="P234" i="11"/>
  <c r="N16" i="19"/>
  <c r="O61" i="11" l="1"/>
  <c r="P74" i="6" s="1"/>
  <c r="O242" i="11"/>
  <c r="P239" i="11" s="1"/>
  <c r="M33" i="15"/>
  <c r="M30" i="15" s="1"/>
  <c r="N45" i="5"/>
  <c r="O120" i="11"/>
  <c r="P51" i="6" s="1"/>
  <c r="O43" i="11"/>
  <c r="O85" i="5" s="1"/>
  <c r="E620" i="32" s="1"/>
  <c r="O119" i="11"/>
  <c r="O63" i="11"/>
  <c r="O97" i="5" s="1"/>
  <c r="P236" i="11"/>
  <c r="P237" i="11" s="1"/>
  <c r="O121" i="11" l="1"/>
  <c r="O122" i="11" s="1"/>
  <c r="O44" i="11"/>
  <c r="P41" i="11" s="1"/>
  <c r="O83" i="5"/>
  <c r="O64" i="11"/>
  <c r="P61" i="11" s="1"/>
  <c r="Q74" i="6" s="1"/>
  <c r="Q234" i="11"/>
  <c r="P241" i="11"/>
  <c r="O16" i="19"/>
  <c r="P242" i="11" l="1"/>
  <c r="Q239" i="11" s="1"/>
  <c r="O45" i="5"/>
  <c r="N33" i="15"/>
  <c r="P120" i="11"/>
  <c r="Q51" i="6" s="1"/>
  <c r="P43" i="11"/>
  <c r="P119" i="11"/>
  <c r="P63" i="11"/>
  <c r="P64" i="11" s="1"/>
  <c r="Q236" i="11"/>
  <c r="Q237" i="11" s="1"/>
  <c r="N30" i="15" l="1"/>
  <c r="E653" i="32"/>
  <c r="P121" i="11"/>
  <c r="P122" i="11" s="1"/>
  <c r="P44" i="11"/>
  <c r="P85" i="5"/>
  <c r="P97" i="5"/>
  <c r="R234" i="11"/>
  <c r="Q241" i="11"/>
  <c r="Q61" i="11"/>
  <c r="R74" i="6" s="1"/>
  <c r="P16" i="19" l="1"/>
  <c r="Q242" i="11"/>
  <c r="R239" i="11" s="1"/>
  <c r="P45" i="5"/>
  <c r="P83" i="5"/>
  <c r="Q41" i="11"/>
  <c r="O33" i="15"/>
  <c r="O30" i="15" s="1"/>
  <c r="Q119" i="11"/>
  <c r="Q63" i="11"/>
  <c r="Q97" i="5" s="1"/>
  <c r="Q16" i="19" s="1"/>
  <c r="R236" i="11"/>
  <c r="R237" i="11" s="1"/>
  <c r="Q120" i="11" l="1"/>
  <c r="Q43" i="11"/>
  <c r="Q85" i="5" s="1"/>
  <c r="Q64" i="11"/>
  <c r="R61" i="11" s="1"/>
  <c r="S74" i="6" s="1"/>
  <c r="R241" i="11"/>
  <c r="S234" i="11"/>
  <c r="R63" i="11" l="1"/>
  <c r="R97" i="5" s="1"/>
  <c r="R16" i="19" s="1"/>
  <c r="Q44" i="11"/>
  <c r="R41" i="11" s="1"/>
  <c r="Q83" i="5"/>
  <c r="Q121" i="11"/>
  <c r="R51" i="6"/>
  <c r="R242" i="11"/>
  <c r="S236" i="11"/>
  <c r="R64" i="11" l="1"/>
  <c r="S61" i="11" s="1"/>
  <c r="S239" i="11"/>
  <c r="S241" i="11" s="1"/>
  <c r="P33" i="15"/>
  <c r="P30" i="15" s="1"/>
  <c r="Q122" i="11"/>
  <c r="Q45" i="5"/>
  <c r="R120" i="11"/>
  <c r="S51" i="6" s="1"/>
  <c r="R43" i="11"/>
  <c r="R85" i="5" s="1"/>
  <c r="S237" i="11"/>
  <c r="R83" i="5" l="1"/>
  <c r="F620" i="32"/>
  <c r="T74" i="6"/>
  <c r="S63" i="11"/>
  <c r="S64" i="11" s="1"/>
  <c r="R44" i="11"/>
  <c r="S41" i="11" s="1"/>
  <c r="R119" i="11"/>
  <c r="R121" i="11" s="1"/>
  <c r="S242" i="11"/>
  <c r="T234" i="11"/>
  <c r="S97" i="5" l="1"/>
  <c r="S16" i="19" s="1"/>
  <c r="T239" i="11"/>
  <c r="T241" i="11" s="1"/>
  <c r="Q33" i="15"/>
  <c r="R122" i="11"/>
  <c r="R45" i="5"/>
  <c r="S120" i="11"/>
  <c r="T51" i="6" s="1"/>
  <c r="S43" i="11"/>
  <c r="S85" i="5" s="1"/>
  <c r="T236" i="11"/>
  <c r="T237" i="11" s="1"/>
  <c r="T61" i="11"/>
  <c r="S83" i="5" l="1"/>
  <c r="Q30" i="15"/>
  <c r="F653" i="32"/>
  <c r="U74" i="6"/>
  <c r="T242" i="11"/>
  <c r="U239" i="11" s="1"/>
  <c r="L28" i="18"/>
  <c r="S44" i="11"/>
  <c r="S119" i="11"/>
  <c r="S121" i="11" s="1"/>
  <c r="U234" i="11"/>
  <c r="T63" i="11"/>
  <c r="T97" i="5" s="1"/>
  <c r="L25" i="18" l="1"/>
  <c r="E784" i="32"/>
  <c r="S122" i="11"/>
  <c r="S45" i="5"/>
  <c r="T41" i="11"/>
  <c r="R33" i="15"/>
  <c r="R30" i="15" s="1"/>
  <c r="T64" i="11"/>
  <c r="T16" i="19"/>
  <c r="U236" i="11"/>
  <c r="U237" i="11" s="1"/>
  <c r="U241" i="11"/>
  <c r="U61" i="11" l="1"/>
  <c r="U242" i="11"/>
  <c r="V239" i="11" s="1"/>
  <c r="T120" i="11"/>
  <c r="U51" i="6" s="1"/>
  <c r="T43" i="11"/>
  <c r="T119" i="11"/>
  <c r="V234" i="11"/>
  <c r="U63" i="11"/>
  <c r="U97" i="5" s="1"/>
  <c r="V74" i="6" l="1"/>
  <c r="T121" i="11"/>
  <c r="T122" i="11" s="1"/>
  <c r="T44" i="11"/>
  <c r="T85" i="5"/>
  <c r="V241" i="11"/>
  <c r="U64" i="11"/>
  <c r="U16" i="19"/>
  <c r="V236" i="11"/>
  <c r="V237" i="11" s="1"/>
  <c r="T83" i="5" l="1"/>
  <c r="V242" i="11"/>
  <c r="T45" i="5"/>
  <c r="U41" i="11"/>
  <c r="S33" i="15"/>
  <c r="S30" i="15" s="1"/>
  <c r="U119" i="11"/>
  <c r="V63" i="11"/>
  <c r="V97" i="5" s="1"/>
  <c r="V16" i="19" s="1"/>
  <c r="V61" i="11"/>
  <c r="W234" i="11"/>
  <c r="W74" i="6" l="1"/>
  <c r="W239" i="11"/>
  <c r="W241" i="11" s="1"/>
  <c r="U120" i="11"/>
  <c r="U43" i="11"/>
  <c r="V64" i="11"/>
  <c r="W236" i="11"/>
  <c r="W237" i="11" s="1"/>
  <c r="W242" i="11" l="1"/>
  <c r="X239" i="11" s="1"/>
  <c r="U44" i="11"/>
  <c r="U85" i="5"/>
  <c r="U121" i="11"/>
  <c r="V51" i="6"/>
  <c r="W63" i="11"/>
  <c r="W97" i="5" s="1"/>
  <c r="X234" i="11"/>
  <c r="W61" i="11"/>
  <c r="X74" i="6" s="1"/>
  <c r="U83" i="5" l="1"/>
  <c r="G620" i="32"/>
  <c r="U122" i="11"/>
  <c r="U45" i="5"/>
  <c r="V41" i="11"/>
  <c r="T33" i="15"/>
  <c r="W16" i="19"/>
  <c r="W64" i="11"/>
  <c r="X241" i="11"/>
  <c r="X236" i="11"/>
  <c r="X237" i="11" s="1"/>
  <c r="T30" i="15" l="1"/>
  <c r="G653" i="32"/>
  <c r="X242" i="11"/>
  <c r="Y239" i="11" s="1"/>
  <c r="V120" i="11"/>
  <c r="V43" i="11"/>
  <c r="V119" i="11"/>
  <c r="X61" i="11"/>
  <c r="Y74" i="6" s="1"/>
  <c r="Y234" i="11"/>
  <c r="X63" i="11"/>
  <c r="X97" i="5" s="1"/>
  <c r="V44" i="11" l="1"/>
  <c r="V85" i="5"/>
  <c r="V83" i="5" s="1"/>
  <c r="V121" i="11"/>
  <c r="W51" i="6"/>
  <c r="X64" i="11"/>
  <c r="Y61" i="11" s="1"/>
  <c r="Y236" i="11"/>
  <c r="Y241" i="11"/>
  <c r="X16" i="19"/>
  <c r="Z74" i="6" l="1"/>
  <c r="Y242" i="11"/>
  <c r="Z239" i="11" s="1"/>
  <c r="V122" i="11"/>
  <c r="V45" i="5"/>
  <c r="W41" i="11"/>
  <c r="U33" i="15"/>
  <c r="U30" i="15" s="1"/>
  <c r="Y63" i="11"/>
  <c r="Y97" i="5" s="1"/>
  <c r="Y237" i="11"/>
  <c r="Y16" i="19" l="1"/>
  <c r="W120" i="11"/>
  <c r="W43" i="11"/>
  <c r="W119" i="11"/>
  <c r="Y64" i="11"/>
  <c r="Z241" i="11"/>
  <c r="Z234" i="11"/>
  <c r="Z61" i="11" l="1"/>
  <c r="Z242" i="11"/>
  <c r="AA239" i="11" s="1"/>
  <c r="W44" i="11"/>
  <c r="W85" i="5"/>
  <c r="W83" i="5" s="1"/>
  <c r="W121" i="11"/>
  <c r="X51" i="6"/>
  <c r="Z236" i="11"/>
  <c r="Z63" i="11" s="1"/>
  <c r="Z97" i="5" s="1"/>
  <c r="AA74" i="6" l="1"/>
  <c r="W122" i="11"/>
  <c r="W45" i="5"/>
  <c r="X41" i="11"/>
  <c r="V33" i="15"/>
  <c r="V30" i="15" s="1"/>
  <c r="Z237" i="11"/>
  <c r="AA241" i="11"/>
  <c r="Z64" i="11"/>
  <c r="Z16" i="19"/>
  <c r="AA242" i="11" l="1"/>
  <c r="AB239" i="11" s="1"/>
  <c r="X120" i="11"/>
  <c r="X43" i="11"/>
  <c r="X85" i="5" s="1"/>
  <c r="X119" i="11"/>
  <c r="AA234" i="11"/>
  <c r="AA61" i="11"/>
  <c r="X83" i="5" l="1"/>
  <c r="H620" i="32"/>
  <c r="AB74" i="6"/>
  <c r="X44" i="11"/>
  <c r="W33" i="15" s="1"/>
  <c r="H653" i="32" s="1"/>
  <c r="X121" i="11"/>
  <c r="Y51" i="6"/>
  <c r="AB241" i="11"/>
  <c r="AA236" i="11"/>
  <c r="AA63" i="11" s="1"/>
  <c r="AA97" i="5" s="1"/>
  <c r="AB242" i="11" l="1"/>
  <c r="AC239" i="11" s="1"/>
  <c r="Y41" i="11"/>
  <c r="Y43" i="11" s="1"/>
  <c r="Y85" i="5" s="1"/>
  <c r="X122" i="11"/>
  <c r="X45" i="5"/>
  <c r="M28" i="18"/>
  <c r="F784" i="32" s="1"/>
  <c r="W30" i="15"/>
  <c r="AA237" i="11"/>
  <c r="AA64" i="11"/>
  <c r="AA16" i="19"/>
  <c r="M25" i="18" l="1"/>
  <c r="E222" i="32"/>
  <c r="Y120" i="11"/>
  <c r="Z51" i="6" s="1"/>
  <c r="Y44" i="11"/>
  <c r="Z41" i="11" s="1"/>
  <c r="Y83" i="5"/>
  <c r="Y119" i="11"/>
  <c r="AB234" i="11"/>
  <c r="AC241" i="11"/>
  <c r="AB61" i="11"/>
  <c r="AC74" i="6" l="1"/>
  <c r="AC242" i="11"/>
  <c r="AD239" i="11" s="1"/>
  <c r="Y121" i="11"/>
  <c r="Y122" i="11" s="1"/>
  <c r="X33" i="15"/>
  <c r="X30" i="15" s="1"/>
  <c r="Z120" i="11"/>
  <c r="Z43" i="11"/>
  <c r="Z85" i="5" s="1"/>
  <c r="AB236" i="11"/>
  <c r="AB63" i="11" s="1"/>
  <c r="AB97" i="5" s="1"/>
  <c r="Y45" i="5" l="1"/>
  <c r="Z44" i="11"/>
  <c r="AA41" i="11" s="1"/>
  <c r="Z83" i="5"/>
  <c r="AA51" i="6"/>
  <c r="Z119" i="11"/>
  <c r="Z121" i="11" s="1"/>
  <c r="AD241" i="11"/>
  <c r="AB16" i="19"/>
  <c r="AB237" i="11"/>
  <c r="AB64" i="11"/>
  <c r="AD242" i="11" l="1"/>
  <c r="Y33" i="15"/>
  <c r="Y30" i="15" s="1"/>
  <c r="Z122" i="11"/>
  <c r="Z45" i="5"/>
  <c r="AA120" i="11"/>
  <c r="AA43" i="11"/>
  <c r="AC61" i="11"/>
  <c r="AD74" i="6" s="1"/>
  <c r="AC234" i="11"/>
  <c r="AE239" i="11" l="1"/>
  <c r="AE241" i="11" s="1"/>
  <c r="AB51" i="6"/>
  <c r="AA44" i="11"/>
  <c r="AA85" i="5"/>
  <c r="I620" i="32" s="1"/>
  <c r="AA119" i="11"/>
  <c r="AA121" i="11" s="1"/>
  <c r="AC236" i="11"/>
  <c r="AC63" i="11" s="1"/>
  <c r="AC97" i="5" s="1"/>
  <c r="AE242" i="11" l="1"/>
  <c r="AA122" i="11"/>
  <c r="AA45" i="5"/>
  <c r="AB41" i="11"/>
  <c r="Z33" i="15"/>
  <c r="AA83" i="5"/>
  <c r="AC64" i="11"/>
  <c r="AC237" i="11"/>
  <c r="AC16" i="19"/>
  <c r="Z30" i="15" l="1"/>
  <c r="I653" i="32"/>
  <c r="AF239" i="11"/>
  <c r="AF241" i="11" s="1"/>
  <c r="AB120" i="11"/>
  <c r="AB43" i="11"/>
  <c r="AB85" i="5" s="1"/>
  <c r="AB119" i="11"/>
  <c r="AD234" i="11"/>
  <c r="AD61" i="11"/>
  <c r="AE74" i="6" s="1"/>
  <c r="AF242" i="11" l="1"/>
  <c r="AG239" i="11" s="1"/>
  <c r="AB44" i="11"/>
  <c r="AC41" i="11" s="1"/>
  <c r="AB83" i="5"/>
  <c r="AB121" i="11"/>
  <c r="AC51" i="6"/>
  <c r="AD236" i="11"/>
  <c r="AD63" i="11" s="1"/>
  <c r="AD97" i="5" s="1"/>
  <c r="AA33" i="15" l="1"/>
  <c r="AA30" i="15" s="1"/>
  <c r="AB122" i="11"/>
  <c r="AB45" i="5"/>
  <c r="AC120" i="11"/>
  <c r="AD51" i="6" s="1"/>
  <c r="AC43" i="11"/>
  <c r="AC85" i="5" s="1"/>
  <c r="AC83" i="5" s="1"/>
  <c r="AD237" i="11"/>
  <c r="AD16" i="19"/>
  <c r="AG241" i="11"/>
  <c r="AD64" i="11"/>
  <c r="AE61" i="11" s="1"/>
  <c r="AF74" i="6" l="1"/>
  <c r="AG242" i="11"/>
  <c r="AH239" i="11" s="1"/>
  <c r="AC44" i="11"/>
  <c r="AB33" i="15" s="1"/>
  <c r="AB30" i="15" s="1"/>
  <c r="AC119" i="11"/>
  <c r="AC121" i="11" s="1"/>
  <c r="AE234" i="11"/>
  <c r="AD41" i="11" l="1"/>
  <c r="AD43" i="11" s="1"/>
  <c r="AD85" i="5" s="1"/>
  <c r="AC122" i="11"/>
  <c r="AC45" i="5"/>
  <c r="AH241" i="11"/>
  <c r="AE236" i="11"/>
  <c r="AE63" i="11" s="1"/>
  <c r="AD83" i="5" l="1"/>
  <c r="J620" i="32"/>
  <c r="AH242" i="11"/>
  <c r="AI239" i="11" s="1"/>
  <c r="AD120" i="11"/>
  <c r="AE51" i="6" s="1"/>
  <c r="AD44" i="11"/>
  <c r="AD119" i="11"/>
  <c r="AE237" i="11"/>
  <c r="AE97" i="5"/>
  <c r="AE64" i="11"/>
  <c r="AD121" i="11" l="1"/>
  <c r="AD45" i="5" s="1"/>
  <c r="AE41" i="11"/>
  <c r="AC33" i="15"/>
  <c r="J653" i="32" s="1"/>
  <c r="AF234" i="11"/>
  <c r="AF236" i="11" s="1"/>
  <c r="AF63" i="11" s="1"/>
  <c r="AF97" i="5" s="1"/>
  <c r="AE16" i="19"/>
  <c r="AF61" i="11"/>
  <c r="AI241" i="11"/>
  <c r="AG74" i="6" l="1"/>
  <c r="AI242" i="11"/>
  <c r="AJ239" i="11" s="1"/>
  <c r="N28" i="18"/>
  <c r="AC30" i="15"/>
  <c r="AE120" i="11"/>
  <c r="AF51" i="6" s="1"/>
  <c r="AE43" i="11"/>
  <c r="AE85" i="5" s="1"/>
  <c r="AD122" i="11"/>
  <c r="AF64" i="11"/>
  <c r="AF16" i="19"/>
  <c r="AF237" i="11"/>
  <c r="N25" i="18" l="1"/>
  <c r="G784" i="32"/>
  <c r="AE44" i="11"/>
  <c r="AF41" i="11" s="1"/>
  <c r="AE119" i="11"/>
  <c r="AE121" i="11" s="1"/>
  <c r="AE83" i="5"/>
  <c r="AG61" i="11"/>
  <c r="AG234" i="11"/>
  <c r="AJ241" i="11"/>
  <c r="AH74" i="6" l="1"/>
  <c r="AJ242" i="11"/>
  <c r="AK239" i="11" s="1"/>
  <c r="AD33" i="15"/>
  <c r="AD30" i="15" s="1"/>
  <c r="AF120" i="11"/>
  <c r="AF43" i="11"/>
  <c r="AF85" i="5" s="1"/>
  <c r="AE122" i="11"/>
  <c r="AE45" i="5"/>
  <c r="AG236" i="11"/>
  <c r="AG63" i="11" s="1"/>
  <c r="AG97" i="5" s="1"/>
  <c r="AF44" i="11" l="1"/>
  <c r="AG41" i="11" s="1"/>
  <c r="AF119" i="11"/>
  <c r="AF121" i="11" s="1"/>
  <c r="AF45" i="5" s="1"/>
  <c r="AF83" i="5"/>
  <c r="AG51" i="6"/>
  <c r="AG237" i="11"/>
  <c r="AK241" i="11"/>
  <c r="AG16" i="19"/>
  <c r="AG64" i="11"/>
  <c r="AK242" i="11" l="1"/>
  <c r="AL239" i="11" s="1"/>
  <c r="AH234" i="11"/>
  <c r="AH236" i="11" s="1"/>
  <c r="AH63" i="11" s="1"/>
  <c r="AH97" i="5" s="1"/>
  <c r="AE33" i="15"/>
  <c r="AE30" i="15" s="1"/>
  <c r="AG120" i="11"/>
  <c r="AH51" i="6" s="1"/>
  <c r="AG43" i="11"/>
  <c r="AG85" i="5" s="1"/>
  <c r="K620" i="32" s="1"/>
  <c r="AF122" i="11"/>
  <c r="AH61" i="11"/>
  <c r="AI74" i="6" l="1"/>
  <c r="AG44" i="11"/>
  <c r="AH41" i="11" s="1"/>
  <c r="AG119" i="11"/>
  <c r="AG121" i="11" s="1"/>
  <c r="AG83" i="5"/>
  <c r="AH237" i="11"/>
  <c r="AH64" i="11"/>
  <c r="AH16" i="19"/>
  <c r="AL241" i="11"/>
  <c r="AL242" i="11" l="1"/>
  <c r="AM239" i="11" s="1"/>
  <c r="AF33" i="15"/>
  <c r="AH120" i="11"/>
  <c r="AH43" i="11"/>
  <c r="AH85" i="5" s="1"/>
  <c r="AG122" i="11"/>
  <c r="AG45" i="5"/>
  <c r="AI234" i="11"/>
  <c r="AI236" i="11" s="1"/>
  <c r="AI63" i="11" s="1"/>
  <c r="AI97" i="5" s="1"/>
  <c r="AI61" i="11"/>
  <c r="AJ74" i="6" s="1"/>
  <c r="AF30" i="15" l="1"/>
  <c r="K653" i="32"/>
  <c r="AH44" i="11"/>
  <c r="AI41" i="11" s="1"/>
  <c r="AH119" i="11"/>
  <c r="AH121" i="11" s="1"/>
  <c r="AH83" i="5"/>
  <c r="AI51" i="6"/>
  <c r="AI237" i="11"/>
  <c r="AI16" i="19"/>
  <c r="AM241" i="11"/>
  <c r="AI64" i="11"/>
  <c r="AM242" i="11" l="1"/>
  <c r="AN239" i="11" s="1"/>
  <c r="AG33" i="15"/>
  <c r="AG30" i="15" s="1"/>
  <c r="AH122" i="11"/>
  <c r="AH45" i="5"/>
  <c r="AI120" i="11"/>
  <c r="AI43" i="11"/>
  <c r="AI85" i="5" s="1"/>
  <c r="AI83" i="5" s="1"/>
  <c r="AJ61" i="11"/>
  <c r="AK74" i="6" s="1"/>
  <c r="AJ234" i="11"/>
  <c r="AI44" i="11" l="1"/>
  <c r="AJ41" i="11" s="1"/>
  <c r="AJ51" i="6"/>
  <c r="AI119" i="11"/>
  <c r="AI121" i="11" s="1"/>
  <c r="AN241" i="11"/>
  <c r="AJ236" i="11"/>
  <c r="AJ63" i="11" s="1"/>
  <c r="AJ97" i="5" s="1"/>
  <c r="AN242" i="11" l="1"/>
  <c r="AO239" i="11" s="1"/>
  <c r="AH33" i="15"/>
  <c r="AH30" i="15" s="1"/>
  <c r="AI122" i="11"/>
  <c r="AI45" i="5"/>
  <c r="AJ120" i="11"/>
  <c r="AJ43" i="11"/>
  <c r="AJ85" i="5" s="1"/>
  <c r="AJ237" i="11"/>
  <c r="AJ16" i="19"/>
  <c r="AJ64" i="11"/>
  <c r="AK61" i="11" s="1"/>
  <c r="AL74" i="6" l="1"/>
  <c r="AJ83" i="5"/>
  <c r="L620" i="32"/>
  <c r="C620" i="32" s="1"/>
  <c r="AK234" i="11"/>
  <c r="AK236" i="11" s="1"/>
  <c r="AK63" i="11" s="1"/>
  <c r="AK97" i="5" s="1"/>
  <c r="AJ44" i="11"/>
  <c r="AK41" i="11" s="1"/>
  <c r="AK51" i="6"/>
  <c r="AJ119" i="11"/>
  <c r="AJ121" i="11" s="1"/>
  <c r="AO241" i="11"/>
  <c r="AO242" i="11" l="1"/>
  <c r="AP239" i="11" s="1"/>
  <c r="AI33" i="15"/>
  <c r="AJ122" i="11"/>
  <c r="AJ45" i="5"/>
  <c r="AK120" i="11"/>
  <c r="AK43" i="11"/>
  <c r="AK85" i="5" s="1"/>
  <c r="AK64" i="11"/>
  <c r="AK237" i="11"/>
  <c r="AK16" i="19"/>
  <c r="O28" i="18" l="1"/>
  <c r="H784" i="32" s="1"/>
  <c r="L653" i="32"/>
  <c r="AL61" i="11"/>
  <c r="AI30" i="15"/>
  <c r="AK44" i="11"/>
  <c r="AK83" i="5"/>
  <c r="AL51" i="6"/>
  <c r="AK119" i="11"/>
  <c r="AK121" i="11" s="1"/>
  <c r="AL234" i="11"/>
  <c r="AL236" i="11" s="1"/>
  <c r="AL63" i="11" s="1"/>
  <c r="AL97" i="5" s="1"/>
  <c r="AP241" i="11"/>
  <c r="F222" i="32" l="1"/>
  <c r="O25" i="18"/>
  <c r="AM74" i="6"/>
  <c r="AP242" i="11"/>
  <c r="AQ239" i="11" s="1"/>
  <c r="AK122" i="11"/>
  <c r="AK45" i="5"/>
  <c r="AL41" i="11"/>
  <c r="AJ33" i="15"/>
  <c r="AJ30" i="15" s="1"/>
  <c r="AL64" i="11"/>
  <c r="AL237" i="11"/>
  <c r="AL16" i="19"/>
  <c r="AM61" i="11" l="1"/>
  <c r="AM234" i="11"/>
  <c r="AM236" i="11" s="1"/>
  <c r="AM63" i="11" s="1"/>
  <c r="AM97" i="5" s="1"/>
  <c r="AL120" i="11"/>
  <c r="AL43" i="11"/>
  <c r="AL85" i="5" s="1"/>
  <c r="AL119" i="11"/>
  <c r="AQ241" i="11"/>
  <c r="AN74" i="6" l="1"/>
  <c r="AQ242" i="11"/>
  <c r="AR239" i="11" s="1"/>
  <c r="AL44" i="11"/>
  <c r="AK33" i="15" s="1"/>
  <c r="AK30" i="15" s="1"/>
  <c r="AL83" i="5"/>
  <c r="AL121" i="11"/>
  <c r="AM51" i="6"/>
  <c r="AM237" i="11"/>
  <c r="AM64" i="11"/>
  <c r="AM16" i="19"/>
  <c r="AN61" i="11" l="1"/>
  <c r="AM41" i="11"/>
  <c r="AL122" i="11"/>
  <c r="AL45" i="5"/>
  <c r="AN234" i="11"/>
  <c r="AN236" i="11" s="1"/>
  <c r="AN63" i="11" s="1"/>
  <c r="AN97" i="5" s="1"/>
  <c r="AR241" i="11"/>
  <c r="AO74" i="6" l="1"/>
  <c r="AR242" i="11"/>
  <c r="AS239" i="11" s="1"/>
  <c r="AM120" i="11"/>
  <c r="AN51" i="6" s="1"/>
  <c r="AM43" i="11"/>
  <c r="AM119" i="11"/>
  <c r="AN237" i="11"/>
  <c r="AN64" i="11"/>
  <c r="AN16" i="19"/>
  <c r="AO61" i="11" l="1"/>
  <c r="AP74" i="6" s="1"/>
  <c r="AM121" i="11"/>
  <c r="AM45" i="5" s="1"/>
  <c r="AM85" i="5"/>
  <c r="AM83" i="5" s="1"/>
  <c r="AM44" i="11"/>
  <c r="AO234" i="11"/>
  <c r="AO236" i="11" s="1"/>
  <c r="AO63" i="11" s="1"/>
  <c r="AO97" i="5" s="1"/>
  <c r="AS241" i="11"/>
  <c r="AS242" i="11" l="1"/>
  <c r="AT239" i="11" s="1"/>
  <c r="AM122" i="11"/>
  <c r="AL33" i="15"/>
  <c r="AL30" i="15" s="1"/>
  <c r="AN41" i="11"/>
  <c r="AO237" i="11"/>
  <c r="AO16" i="19"/>
  <c r="AO64" i="11"/>
  <c r="AN119" i="11" l="1"/>
  <c r="AN120" i="11"/>
  <c r="AO51" i="6" s="1"/>
  <c r="AN43" i="11"/>
  <c r="AP234" i="11"/>
  <c r="AP236" i="11" s="1"/>
  <c r="AP63" i="11" s="1"/>
  <c r="AP97" i="5" s="1"/>
  <c r="AT241" i="11"/>
  <c r="AP61" i="11"/>
  <c r="AQ74" i="6" s="1"/>
  <c r="AT242" i="11" l="1"/>
  <c r="AU239" i="11" s="1"/>
  <c r="AN121" i="11"/>
  <c r="AN45" i="5" s="1"/>
  <c r="AN85" i="5"/>
  <c r="AN83" i="5" s="1"/>
  <c r="AN44" i="11"/>
  <c r="AP16" i="19"/>
  <c r="AP64" i="11"/>
  <c r="AQ61" i="11" s="1"/>
  <c r="AP237" i="11"/>
  <c r="AR74" i="6" l="1"/>
  <c r="AN122" i="11"/>
  <c r="AO119" i="11" s="1"/>
  <c r="AO41" i="11"/>
  <c r="AM33" i="15"/>
  <c r="AM30" i="15" s="1"/>
  <c r="AU241" i="11"/>
  <c r="AQ234" i="11"/>
  <c r="AU242" i="11" l="1"/>
  <c r="AV239" i="11" s="1"/>
  <c r="AO120" i="11"/>
  <c r="AO43" i="11"/>
  <c r="AQ236" i="11"/>
  <c r="AQ63" i="11" s="1"/>
  <c r="AP51" i="6" l="1"/>
  <c r="AO121" i="11"/>
  <c r="AO44" i="11"/>
  <c r="AO85" i="5"/>
  <c r="AO83" i="5" s="1"/>
  <c r="AQ237" i="11"/>
  <c r="AV241" i="11"/>
  <c r="AQ97" i="5"/>
  <c r="AQ64" i="11"/>
  <c r="AV242" i="11" l="1"/>
  <c r="AW239" i="11" s="1"/>
  <c r="AO45" i="5"/>
  <c r="AO122" i="11"/>
  <c r="AP41" i="11"/>
  <c r="AN33" i="15"/>
  <c r="AN30" i="15" s="1"/>
  <c r="AR234" i="11"/>
  <c r="AR236" i="11" s="1"/>
  <c r="AR63" i="11" s="1"/>
  <c r="AR97" i="5" s="1"/>
  <c r="AQ16" i="19"/>
  <c r="AR61" i="11"/>
  <c r="AS74" i="6" l="1"/>
  <c r="AP119" i="11"/>
  <c r="AP43" i="11"/>
  <c r="AP120" i="11"/>
  <c r="AR237" i="11"/>
  <c r="AW241" i="11"/>
  <c r="AR16" i="19"/>
  <c r="AR64" i="11"/>
  <c r="AW242" i="11" l="1"/>
  <c r="AX239" i="11" s="1"/>
  <c r="AP44" i="11"/>
  <c r="AP85" i="5"/>
  <c r="AP83" i="5" s="1"/>
  <c r="AQ51" i="6"/>
  <c r="AP121" i="11"/>
  <c r="AS61" i="11"/>
  <c r="AS234" i="11"/>
  <c r="AT74" i="6" l="1"/>
  <c r="AP45" i="5"/>
  <c r="AP122" i="11"/>
  <c r="AQ119" i="11" s="1"/>
  <c r="AO33" i="15"/>
  <c r="AQ41" i="11"/>
  <c r="AS236" i="11"/>
  <c r="AS63" i="11" s="1"/>
  <c r="AS97" i="5" s="1"/>
  <c r="AX241" i="11"/>
  <c r="AX242" i="11" l="1"/>
  <c r="AY239" i="11" s="1"/>
  <c r="P28" i="18"/>
  <c r="P25" i="18" s="1"/>
  <c r="AO30" i="15"/>
  <c r="AQ43" i="11"/>
  <c r="AQ120" i="11"/>
  <c r="AS237" i="11"/>
  <c r="AS16" i="19"/>
  <c r="AS64" i="11"/>
  <c r="AR51" i="6" l="1"/>
  <c r="AQ121" i="11"/>
  <c r="AQ85" i="5"/>
  <c r="AQ83" i="5" s="1"/>
  <c r="AQ44" i="11"/>
  <c r="AT234" i="11"/>
  <c r="AT236" i="11" s="1"/>
  <c r="AT63" i="11" s="1"/>
  <c r="AT97" i="5" s="1"/>
  <c r="AY241" i="11"/>
  <c r="AT61" i="11"/>
  <c r="AU74" i="6" l="1"/>
  <c r="AY242" i="11"/>
  <c r="AZ239" i="11" s="1"/>
  <c r="AQ45" i="5"/>
  <c r="AQ122" i="11"/>
  <c r="AR119" i="11" s="1"/>
  <c r="AR41" i="11"/>
  <c r="AR120" i="11" s="1"/>
  <c r="AS51" i="6" s="1"/>
  <c r="AP33" i="15"/>
  <c r="AP30" i="15" s="1"/>
  <c r="AT237" i="11"/>
  <c r="AT16" i="19"/>
  <c r="AT64" i="11"/>
  <c r="AR43" i="11" l="1"/>
  <c r="AR44" i="11" s="1"/>
  <c r="AR121" i="11"/>
  <c r="AU234" i="11"/>
  <c r="AU236" i="11" s="1"/>
  <c r="AU63" i="11" s="1"/>
  <c r="AU97" i="5" s="1"/>
  <c r="AU61" i="11"/>
  <c r="AV74" i="6" s="1"/>
  <c r="AZ241" i="11"/>
  <c r="AZ242" i="11" l="1"/>
  <c r="BA239" i="11" s="1"/>
  <c r="AR85" i="5"/>
  <c r="AR83" i="5" s="1"/>
  <c r="AS41" i="11"/>
  <c r="AQ33" i="15"/>
  <c r="AQ30" i="15" s="1"/>
  <c r="AR45" i="5"/>
  <c r="AR122" i="11"/>
  <c r="AU237" i="11"/>
  <c r="AU16" i="19"/>
  <c r="AU64" i="11"/>
  <c r="AS43" i="11" l="1"/>
  <c r="AS120" i="11"/>
  <c r="AT51" i="6" s="1"/>
  <c r="AS119" i="11"/>
  <c r="AV234" i="11"/>
  <c r="AV236" i="11" s="1"/>
  <c r="AV63" i="11" s="1"/>
  <c r="AV97" i="5" s="1"/>
  <c r="AV61" i="11"/>
  <c r="AW74" i="6" s="1"/>
  <c r="BA241" i="11"/>
  <c r="BA242" i="11" l="1"/>
  <c r="BB239" i="11" s="1"/>
  <c r="AS121" i="11"/>
  <c r="AS85" i="5"/>
  <c r="AS83" i="5" s="1"/>
  <c r="AS44" i="11"/>
  <c r="AV237" i="11"/>
  <c r="AV64" i="11"/>
  <c r="AW61" i="11" s="1"/>
  <c r="AV16" i="19"/>
  <c r="AX74" i="6" l="1"/>
  <c r="AT41" i="11"/>
  <c r="AR33" i="15"/>
  <c r="AR30" i="15" s="1"/>
  <c r="AS45" i="5"/>
  <c r="AS122" i="11"/>
  <c r="AW234" i="11"/>
  <c r="AW236" i="11" s="1"/>
  <c r="AW63" i="11" s="1"/>
  <c r="AW97" i="5" s="1"/>
  <c r="BB241" i="11"/>
  <c r="BB242" i="11" l="1"/>
  <c r="BC239" i="11" s="1"/>
  <c r="AT43" i="11"/>
  <c r="AT120" i="11"/>
  <c r="AU51" i="6" s="1"/>
  <c r="AT119" i="11"/>
  <c r="AW64" i="11"/>
  <c r="AW16" i="19"/>
  <c r="AW237" i="11"/>
  <c r="AX61" i="11" l="1"/>
  <c r="AT121" i="11"/>
  <c r="AT85" i="5"/>
  <c r="AT83" i="5" s="1"/>
  <c r="AT44" i="11"/>
  <c r="AX234" i="11"/>
  <c r="BC241" i="11"/>
  <c r="AY74" i="6" l="1"/>
  <c r="BC242" i="11"/>
  <c r="BD239" i="11" s="1"/>
  <c r="AU41" i="11"/>
  <c r="AS33" i="15"/>
  <c r="AS30" i="15" s="1"/>
  <c r="AT45" i="5"/>
  <c r="AT122" i="11"/>
  <c r="AX236" i="11"/>
  <c r="AX63" i="11" s="1"/>
  <c r="AU43" i="11" l="1"/>
  <c r="AU120" i="11"/>
  <c r="AV51" i="6" s="1"/>
  <c r="AU119" i="11"/>
  <c r="AX237" i="11"/>
  <c r="AX97" i="5"/>
  <c r="AX64" i="11"/>
  <c r="BD241" i="11"/>
  <c r="BD242" i="11" l="1"/>
  <c r="BE239" i="11" s="1"/>
  <c r="AU121" i="11"/>
  <c r="AU85" i="5"/>
  <c r="AU83" i="5" s="1"/>
  <c r="AU44" i="11"/>
  <c r="AY234" i="11"/>
  <c r="AX16" i="19"/>
  <c r="AY61" i="11"/>
  <c r="AZ74" i="6" l="1"/>
  <c r="AV41" i="11"/>
  <c r="AT33" i="15"/>
  <c r="AT30" i="15" s="1"/>
  <c r="AU45" i="5"/>
  <c r="AU122" i="11"/>
  <c r="BE241" i="11"/>
  <c r="AY236" i="11"/>
  <c r="AY63" i="11" s="1"/>
  <c r="AY97" i="5" s="1"/>
  <c r="BE242" i="11" l="1"/>
  <c r="BF239" i="11" s="1"/>
  <c r="AV120" i="11"/>
  <c r="AW51" i="6" s="1"/>
  <c r="AV43" i="11"/>
  <c r="AV119" i="11"/>
  <c r="AY237" i="11"/>
  <c r="AY16" i="19"/>
  <c r="AY64" i="11"/>
  <c r="AV121" i="11" l="1"/>
  <c r="AV85" i="5"/>
  <c r="AV83" i="5" s="1"/>
  <c r="AV44" i="11"/>
  <c r="AZ234" i="11"/>
  <c r="AZ236" i="11" s="1"/>
  <c r="AZ63" i="11" s="1"/>
  <c r="AZ97" i="5" s="1"/>
  <c r="AZ61" i="11"/>
  <c r="BF241" i="11"/>
  <c r="BA74" i="6" l="1"/>
  <c r="BF242" i="11"/>
  <c r="BG239" i="11" s="1"/>
  <c r="AU33" i="15"/>
  <c r="AW41" i="11"/>
  <c r="AV45" i="5"/>
  <c r="AV122" i="11"/>
  <c r="AZ237" i="11"/>
  <c r="AZ64" i="11"/>
  <c r="AZ16" i="19"/>
  <c r="Q28" i="18" l="1"/>
  <c r="AU30" i="15"/>
  <c r="AW43" i="11"/>
  <c r="AW120" i="11"/>
  <c r="AX51" i="6" s="1"/>
  <c r="AW119" i="11"/>
  <c r="BA234" i="11"/>
  <c r="BG241" i="11"/>
  <c r="BA61" i="11"/>
  <c r="BB74" i="6" s="1"/>
  <c r="Q25" i="18" l="1"/>
  <c r="G222" i="32"/>
  <c r="BG242" i="11"/>
  <c r="BH239" i="11" s="1"/>
  <c r="AW121" i="11"/>
  <c r="AW85" i="5"/>
  <c r="AW44" i="11"/>
  <c r="BA236" i="11"/>
  <c r="BA63" i="11" s="1"/>
  <c r="BA97" i="5" s="1"/>
  <c r="AW83" i="5" l="1"/>
  <c r="AX41" i="11"/>
  <c r="AV33" i="15"/>
  <c r="AV30" i="15" s="1"/>
  <c r="AW45" i="5"/>
  <c r="AW122" i="11"/>
  <c r="BA237" i="11"/>
  <c r="BA64" i="11"/>
  <c r="BA16" i="19"/>
  <c r="BH241" i="11"/>
  <c r="BH242" i="11" l="1"/>
  <c r="BI239" i="11" s="1"/>
  <c r="AX120" i="11"/>
  <c r="AY51" i="6" s="1"/>
  <c r="AX43" i="11"/>
  <c r="AX119" i="11"/>
  <c r="BB234" i="11"/>
  <c r="BB236" i="11" s="1"/>
  <c r="BB63" i="11" s="1"/>
  <c r="BB97" i="5" s="1"/>
  <c r="BB61" i="11"/>
  <c r="BC74" i="6" s="1"/>
  <c r="AX121" i="11" l="1"/>
  <c r="AX85" i="5"/>
  <c r="AX44" i="11"/>
  <c r="BI241" i="11"/>
  <c r="BB64" i="11"/>
  <c r="BC61" i="11" s="1"/>
  <c r="BB237" i="11"/>
  <c r="BB16" i="19"/>
  <c r="BD74" i="6" l="1"/>
  <c r="BI242" i="11"/>
  <c r="BJ239" i="11" s="1"/>
  <c r="AX83" i="5"/>
  <c r="AW33" i="15"/>
  <c r="AW30" i="15" s="1"/>
  <c r="AY41" i="11"/>
  <c r="AX45" i="5"/>
  <c r="AX122" i="11"/>
  <c r="BC234" i="11"/>
  <c r="AY120" i="11" l="1"/>
  <c r="AZ51" i="6" s="1"/>
  <c r="AY43" i="11"/>
  <c r="AY119" i="11"/>
  <c r="BC236" i="11"/>
  <c r="BC63" i="11" s="1"/>
  <c r="BJ241" i="11"/>
  <c r="BJ242" i="11" l="1"/>
  <c r="BK239" i="11" s="1"/>
  <c r="AY121" i="11"/>
  <c r="AY85" i="5"/>
  <c r="AY44" i="11"/>
  <c r="BC237" i="11"/>
  <c r="BC97" i="5"/>
  <c r="BC64" i="11"/>
  <c r="AY83" i="5" l="1"/>
  <c r="AZ41" i="11"/>
  <c r="AX33" i="15"/>
  <c r="AX30" i="15" s="1"/>
  <c r="AY45" i="5"/>
  <c r="AY122" i="11"/>
  <c r="BD234" i="11"/>
  <c r="BD236" i="11" s="1"/>
  <c r="BD63" i="11" s="1"/>
  <c r="BD97" i="5" s="1"/>
  <c r="BK241" i="11"/>
  <c r="BC16" i="19"/>
  <c r="BD61" i="11"/>
  <c r="BE74" i="6" l="1"/>
  <c r="BK242" i="11"/>
  <c r="BL239" i="11" s="1"/>
  <c r="AZ120" i="11"/>
  <c r="BA51" i="6" s="1"/>
  <c r="AZ43" i="11"/>
  <c r="AZ119" i="11"/>
  <c r="BD237" i="11"/>
  <c r="BD64" i="11"/>
  <c r="BD16" i="19"/>
  <c r="AZ121" i="11" l="1"/>
  <c r="AZ85" i="5"/>
  <c r="AZ44" i="11"/>
  <c r="BE234" i="11"/>
  <c r="BE236" i="11" s="1"/>
  <c r="BE63" i="11" s="1"/>
  <c r="BE97" i="5" s="1"/>
  <c r="BE61" i="11"/>
  <c r="BL241" i="11"/>
  <c r="BF74" i="6" l="1"/>
  <c r="BL242" i="11"/>
  <c r="BM239" i="11" s="1"/>
  <c r="AZ83" i="5"/>
  <c r="BA41" i="11"/>
  <c r="AY33" i="15"/>
  <c r="AY30" i="15" s="1"/>
  <c r="AZ45" i="5"/>
  <c r="AZ122" i="11"/>
  <c r="BE237" i="11"/>
  <c r="BE16" i="19"/>
  <c r="BE64" i="11"/>
  <c r="BA43" i="11" l="1"/>
  <c r="BA120" i="11"/>
  <c r="BB51" i="6" s="1"/>
  <c r="BA119" i="11"/>
  <c r="BF234" i="11"/>
  <c r="BF236" i="11" s="1"/>
  <c r="BF63" i="11" s="1"/>
  <c r="BF97" i="5" s="1"/>
  <c r="BF61" i="11"/>
  <c r="BM241" i="11"/>
  <c r="BG74" i="6" l="1"/>
  <c r="BM242" i="11"/>
  <c r="BN239" i="11" s="1"/>
  <c r="BA121" i="11"/>
  <c r="BA85" i="5"/>
  <c r="BA83" i="5" s="1"/>
  <c r="BA44" i="11"/>
  <c r="BF64" i="11"/>
  <c r="BF16" i="19"/>
  <c r="BF237" i="11"/>
  <c r="BB41" i="11" l="1"/>
  <c r="AZ33" i="15"/>
  <c r="AZ30" i="15" s="1"/>
  <c r="BA45" i="5"/>
  <c r="BA122" i="11"/>
  <c r="BN241" i="11"/>
  <c r="BG61" i="11"/>
  <c r="BH74" i="6" s="1"/>
  <c r="BG234" i="11"/>
  <c r="BN242" i="11" l="1"/>
  <c r="BO239" i="11" s="1"/>
  <c r="BB43" i="11"/>
  <c r="BB120" i="11"/>
  <c r="BC51" i="6" s="1"/>
  <c r="BB119" i="11"/>
  <c r="BG236" i="11"/>
  <c r="BG63" i="11" s="1"/>
  <c r="BG97" i="5" s="1"/>
  <c r="BB121" i="11" l="1"/>
  <c r="BB85" i="5"/>
  <c r="BB83" i="5" s="1"/>
  <c r="BB44" i="11"/>
  <c r="BG16" i="19"/>
  <c r="BO241" i="11"/>
  <c r="BG237" i="11"/>
  <c r="BG64" i="11"/>
  <c r="BO242" i="11" l="1"/>
  <c r="BP239" i="11" s="1"/>
  <c r="BC41" i="11"/>
  <c r="BA33" i="15"/>
  <c r="BB45" i="5"/>
  <c r="BB122" i="11"/>
  <c r="BH61" i="11"/>
  <c r="BI74" i="6" s="1"/>
  <c r="BH234" i="11"/>
  <c r="BC43" i="11" l="1"/>
  <c r="BC120" i="11"/>
  <c r="BD51" i="6" s="1"/>
  <c r="R28" i="18"/>
  <c r="R25" i="18" s="1"/>
  <c r="BA30" i="15"/>
  <c r="BC119" i="11"/>
  <c r="BH236" i="11"/>
  <c r="BH63" i="11" s="1"/>
  <c r="BH97" i="5" s="1"/>
  <c r="BP241" i="11"/>
  <c r="BP242" i="11" l="1"/>
  <c r="BQ239" i="11" s="1"/>
  <c r="BC121" i="11"/>
  <c r="BC85" i="5"/>
  <c r="BC83" i="5" s="1"/>
  <c r="BC44" i="11"/>
  <c r="BH64" i="11"/>
  <c r="BI61" i="11" s="1"/>
  <c r="BH16" i="19"/>
  <c r="BH237" i="11"/>
  <c r="BJ74" i="6" l="1"/>
  <c r="BD41" i="11"/>
  <c r="BB33" i="15"/>
  <c r="BB30" i="15" s="1"/>
  <c r="BC45" i="5"/>
  <c r="BC122" i="11"/>
  <c r="BI234" i="11"/>
  <c r="BQ241" i="11"/>
  <c r="BQ242" i="11" l="1"/>
  <c r="BR239" i="11" s="1"/>
  <c r="BD43" i="11"/>
  <c r="BD120" i="11"/>
  <c r="BE51" i="6" s="1"/>
  <c r="BD119" i="11"/>
  <c r="BI236" i="11"/>
  <c r="BI63" i="11" s="1"/>
  <c r="BD121" i="11" l="1"/>
  <c r="BD85" i="5"/>
  <c r="BD83" i="5" s="1"/>
  <c r="BD44" i="11"/>
  <c r="BI237" i="11"/>
  <c r="BR241" i="11"/>
  <c r="BI97" i="5"/>
  <c r="BI64" i="11"/>
  <c r="BR242" i="11" l="1"/>
  <c r="BS239" i="11" s="1"/>
  <c r="BE41" i="11"/>
  <c r="BC33" i="15"/>
  <c r="BC30" i="15" s="1"/>
  <c r="BD45" i="5"/>
  <c r="BD122" i="11"/>
  <c r="BJ234" i="11"/>
  <c r="BJ236" i="11" s="1"/>
  <c r="BJ63" i="11" s="1"/>
  <c r="BJ97" i="5" s="1"/>
  <c r="BJ61" i="11"/>
  <c r="BI16" i="19"/>
  <c r="BK74" i="6" l="1"/>
  <c r="BE43" i="11"/>
  <c r="BE120" i="11"/>
  <c r="BF51" i="6" s="1"/>
  <c r="BE119" i="11"/>
  <c r="BJ16" i="19"/>
  <c r="BJ64" i="11"/>
  <c r="BJ237" i="11"/>
  <c r="BS241" i="11"/>
  <c r="BS242" i="11" l="1"/>
  <c r="BT239" i="11" s="1"/>
  <c r="BE121" i="11"/>
  <c r="BE85" i="5"/>
  <c r="BE83" i="5" s="1"/>
  <c r="BE44" i="11"/>
  <c r="BK234" i="11"/>
  <c r="BK61" i="11"/>
  <c r="BL74" i="6" l="1"/>
  <c r="BF41" i="11"/>
  <c r="BD33" i="15"/>
  <c r="BD30" i="15" s="1"/>
  <c r="BE45" i="5"/>
  <c r="BE122" i="11"/>
  <c r="BT241" i="11"/>
  <c r="BK236" i="11"/>
  <c r="BK63" i="11" s="1"/>
  <c r="BK97" i="5" s="1"/>
  <c r="BT242" i="11" l="1"/>
  <c r="BU239" i="11" s="1"/>
  <c r="BF120" i="11"/>
  <c r="BG51" i="6" s="1"/>
  <c r="BF43" i="11"/>
  <c r="BF119" i="11"/>
  <c r="BK237" i="11"/>
  <c r="BK16" i="19"/>
  <c r="BK64" i="11"/>
  <c r="BF85" i="5" l="1"/>
  <c r="BF83" i="5" s="1"/>
  <c r="BF44" i="11"/>
  <c r="BG41" i="11" s="1"/>
  <c r="BF121" i="11"/>
  <c r="BL234" i="11"/>
  <c r="BL236" i="11" s="1"/>
  <c r="BL63" i="11" s="1"/>
  <c r="BL97" i="5" s="1"/>
  <c r="BU241" i="11"/>
  <c r="BL61" i="11"/>
  <c r="BM74" i="6" l="1"/>
  <c r="BU242" i="11"/>
  <c r="BV239" i="11" s="1"/>
  <c r="BE33" i="15"/>
  <c r="BE30" i="15" s="1"/>
  <c r="BF45" i="5"/>
  <c r="BF122" i="11"/>
  <c r="BG119" i="11" s="1"/>
  <c r="BG120" i="11"/>
  <c r="BH51" i="6" s="1"/>
  <c r="BG43" i="11"/>
  <c r="BL237" i="11"/>
  <c r="BL64" i="11"/>
  <c r="BL16" i="19"/>
  <c r="BG121" i="11" l="1"/>
  <c r="BG85" i="5"/>
  <c r="BG83" i="5" s="1"/>
  <c r="BG44" i="11"/>
  <c r="BM234" i="11"/>
  <c r="BM236" i="11" s="1"/>
  <c r="BM63" i="11" s="1"/>
  <c r="BM97" i="5" s="1"/>
  <c r="BM61" i="11"/>
  <c r="BN74" i="6" s="1"/>
  <c r="BV241" i="11"/>
  <c r="BV242" i="11" l="1"/>
  <c r="BW239" i="11" s="1"/>
  <c r="BH41" i="11"/>
  <c r="BF33" i="15"/>
  <c r="BF30" i="15" s="1"/>
  <c r="BG45" i="5"/>
  <c r="BG122" i="11"/>
  <c r="BM237" i="11"/>
  <c r="BM64" i="11"/>
  <c r="BM16" i="19"/>
  <c r="BH43" i="11" l="1"/>
  <c r="BH120" i="11"/>
  <c r="BI51" i="6" s="1"/>
  <c r="BH119" i="11"/>
  <c r="BN234" i="11"/>
  <c r="BN236" i="11" s="1"/>
  <c r="BN63" i="11" s="1"/>
  <c r="BN97" i="5" s="1"/>
  <c r="BW241" i="11"/>
  <c r="BN61" i="11"/>
  <c r="BO74" i="6" s="1"/>
  <c r="BW242" i="11" l="1"/>
  <c r="BX239" i="11" s="1"/>
  <c r="BH121" i="11"/>
  <c r="BH85" i="5"/>
  <c r="BH83" i="5" s="1"/>
  <c r="BH44" i="11"/>
  <c r="BN237" i="11"/>
  <c r="BN64" i="11"/>
  <c r="BO61" i="11" s="1"/>
  <c r="BN16" i="19"/>
  <c r="BP74" i="6" l="1"/>
  <c r="BI41" i="11"/>
  <c r="BG33" i="15"/>
  <c r="BH45" i="5"/>
  <c r="BH122" i="11"/>
  <c r="BO234" i="11"/>
  <c r="BO236" i="11" s="1"/>
  <c r="BO63" i="11" s="1"/>
  <c r="BO97" i="5" s="1"/>
  <c r="BX241" i="11"/>
  <c r="BX242" i="11" l="1"/>
  <c r="BY239" i="11" s="1"/>
  <c r="BI43" i="11"/>
  <c r="BI120" i="11"/>
  <c r="BJ51" i="6" s="1"/>
  <c r="S28" i="18"/>
  <c r="BG30" i="15"/>
  <c r="BI119" i="11"/>
  <c r="BO237" i="11"/>
  <c r="BO64" i="11"/>
  <c r="BO16" i="19"/>
  <c r="S25" i="18" l="1"/>
  <c r="H222" i="32"/>
  <c r="BP61" i="11"/>
  <c r="BI121" i="11"/>
  <c r="BI85" i="5"/>
  <c r="BI44" i="11"/>
  <c r="BP234" i="11"/>
  <c r="BP236" i="11" s="1"/>
  <c r="BP63" i="11" s="1"/>
  <c r="BP97" i="5" s="1"/>
  <c r="BY241" i="11"/>
  <c r="BQ74" i="6" l="1"/>
  <c r="BY242" i="11"/>
  <c r="BZ239" i="11" s="1"/>
  <c r="BI83" i="5"/>
  <c r="BJ41" i="11"/>
  <c r="BH33" i="15"/>
  <c r="BH30" i="15" s="1"/>
  <c r="BI45" i="5"/>
  <c r="BI122" i="11"/>
  <c r="BP64" i="11"/>
  <c r="BP237" i="11"/>
  <c r="BP16" i="19"/>
  <c r="BQ61" i="11" l="1"/>
  <c r="BJ120" i="11"/>
  <c r="BK51" i="6" s="1"/>
  <c r="BJ43" i="11"/>
  <c r="BJ119" i="11"/>
  <c r="BZ241" i="11"/>
  <c r="BQ234" i="11"/>
  <c r="BR74" i="6" l="1"/>
  <c r="BZ242" i="11"/>
  <c r="CA239" i="11" s="1"/>
  <c r="BJ121" i="11"/>
  <c r="BJ85" i="5"/>
  <c r="BJ44" i="11"/>
  <c r="BQ236" i="11"/>
  <c r="BQ63" i="11" s="1"/>
  <c r="BJ83" i="5" l="1"/>
  <c r="BK41" i="11"/>
  <c r="BI33" i="15"/>
  <c r="BI30" i="15" s="1"/>
  <c r="BJ45" i="5"/>
  <c r="BJ122" i="11"/>
  <c r="BQ237" i="11"/>
  <c r="CA241" i="11"/>
  <c r="BQ97" i="5"/>
  <c r="BQ64" i="11"/>
  <c r="CA242" i="11" l="1"/>
  <c r="CB239" i="11" s="1"/>
  <c r="BK43" i="11"/>
  <c r="BK120" i="11"/>
  <c r="BL51" i="6" s="1"/>
  <c r="BK119" i="11"/>
  <c r="BR234" i="11"/>
  <c r="BR236" i="11" s="1"/>
  <c r="BR63" i="11" s="1"/>
  <c r="BR97" i="5" s="1"/>
  <c r="BR61" i="11"/>
  <c r="BS74" i="6" s="1"/>
  <c r="BQ16" i="19"/>
  <c r="BK121" i="11" l="1"/>
  <c r="BK85" i="5"/>
  <c r="BK44" i="11"/>
  <c r="BR237" i="11"/>
  <c r="BR16" i="19"/>
  <c r="CB241" i="11"/>
  <c r="BR64" i="11"/>
  <c r="CB242" i="11" l="1"/>
  <c r="CC239" i="11" s="1"/>
  <c r="BK83" i="5"/>
  <c r="BL41" i="11"/>
  <c r="BJ33" i="15"/>
  <c r="BJ30" i="15" s="1"/>
  <c r="BK45" i="5"/>
  <c r="BK122" i="11"/>
  <c r="BS234" i="11"/>
  <c r="BS236" i="11" s="1"/>
  <c r="BS63" i="11" s="1"/>
  <c r="BS97" i="5" s="1"/>
  <c r="BS61" i="11"/>
  <c r="BT74" i="6" s="1"/>
  <c r="BL120" i="11" l="1"/>
  <c r="BM51" i="6" s="1"/>
  <c r="BL43" i="11"/>
  <c r="BL119" i="11"/>
  <c r="BS237" i="11"/>
  <c r="BS16" i="19"/>
  <c r="BS64" i="11"/>
  <c r="CC241" i="11"/>
  <c r="CC242" i="11" l="1"/>
  <c r="CD239" i="11" s="1"/>
  <c r="BL121" i="11"/>
  <c r="BL85" i="5"/>
  <c r="BL44" i="11"/>
  <c r="BT234" i="11"/>
  <c r="BT236" i="11" s="1"/>
  <c r="BT63" i="11" s="1"/>
  <c r="BT97" i="5" s="1"/>
  <c r="BT61" i="11"/>
  <c r="BU74" i="6" s="1"/>
  <c r="BL83" i="5" l="1"/>
  <c r="BK33" i="15"/>
  <c r="BK30" i="15" s="1"/>
  <c r="BM41" i="11"/>
  <c r="BL45" i="5"/>
  <c r="BL122" i="11"/>
  <c r="BT64" i="11"/>
  <c r="BU61" i="11" s="1"/>
  <c r="BT237" i="11"/>
  <c r="BT16" i="19"/>
  <c r="CD241" i="11"/>
  <c r="BV74" i="6" l="1"/>
  <c r="CD242" i="11"/>
  <c r="CE239" i="11" s="1"/>
  <c r="BM120" i="11"/>
  <c r="BN51" i="6" s="1"/>
  <c r="BM43" i="11"/>
  <c r="BM119" i="11"/>
  <c r="BU234" i="11"/>
  <c r="BM121" i="11" l="1"/>
  <c r="BM85" i="5"/>
  <c r="BM83" i="5" s="1"/>
  <c r="BM44" i="11"/>
  <c r="CE241" i="11"/>
  <c r="BU236" i="11"/>
  <c r="BU63" i="11" s="1"/>
  <c r="CE242" i="11" l="1"/>
  <c r="CF239" i="11" s="1"/>
  <c r="BN41" i="11"/>
  <c r="BL33" i="15"/>
  <c r="BL30" i="15" s="1"/>
  <c r="BM45" i="5"/>
  <c r="BM122" i="11"/>
  <c r="BU237" i="11"/>
  <c r="BU97" i="5"/>
  <c r="BU64" i="11"/>
  <c r="BN120" i="11" l="1"/>
  <c r="BO51" i="6" s="1"/>
  <c r="BN43" i="11"/>
  <c r="BN119" i="11"/>
  <c r="BV234" i="11"/>
  <c r="BV236" i="11" s="1"/>
  <c r="BV63" i="11" s="1"/>
  <c r="BV97" i="5" s="1"/>
  <c r="BU16" i="19"/>
  <c r="BV61" i="11"/>
  <c r="CF241" i="11"/>
  <c r="BW74" i="6" l="1"/>
  <c r="CF242" i="11"/>
  <c r="CG239" i="11" s="1"/>
  <c r="BN121" i="11"/>
  <c r="BN85" i="5"/>
  <c r="BN83" i="5" s="1"/>
  <c r="BN44" i="11"/>
  <c r="BV16" i="19"/>
  <c r="BV64" i="11"/>
  <c r="BV237" i="11"/>
  <c r="BM33" i="15" l="1"/>
  <c r="BO41" i="11"/>
  <c r="BN45" i="5"/>
  <c r="BN122" i="11"/>
  <c r="BW234" i="11"/>
  <c r="BW61" i="11"/>
  <c r="CG241" i="11"/>
  <c r="BX74" i="6" l="1"/>
  <c r="CG242" i="11"/>
  <c r="CH239" i="11" s="1"/>
  <c r="BM30" i="15"/>
  <c r="T28" i="18"/>
  <c r="T25" i="18" s="1"/>
  <c r="BO43" i="11"/>
  <c r="BO120" i="11"/>
  <c r="BP51" i="6" s="1"/>
  <c r="BO119" i="11"/>
  <c r="BW236" i="11"/>
  <c r="BW63" i="11" s="1"/>
  <c r="BW97" i="5" s="1"/>
  <c r="BO121" i="11" l="1"/>
  <c r="BO85" i="5"/>
  <c r="BO83" i="5" s="1"/>
  <c r="BO44" i="11"/>
  <c r="BW64" i="11"/>
  <c r="BX61" i="11" s="1"/>
  <c r="BW237" i="11"/>
  <c r="CH241" i="11"/>
  <c r="BW16" i="19"/>
  <c r="BY74" i="6" l="1"/>
  <c r="CH242" i="11"/>
  <c r="CI239" i="11" s="1"/>
  <c r="BP41" i="11"/>
  <c r="BN33" i="15"/>
  <c r="BN30" i="15" s="1"/>
  <c r="BO45" i="5"/>
  <c r="BO122" i="11"/>
  <c r="BX234" i="11"/>
  <c r="BX236" i="11" s="1"/>
  <c r="BX63" i="11" s="1"/>
  <c r="BX97" i="5" s="1"/>
  <c r="BP120" i="11" l="1"/>
  <c r="BQ51" i="6" s="1"/>
  <c r="BP43" i="11"/>
  <c r="BP119" i="11"/>
  <c r="BX237" i="11"/>
  <c r="BX16" i="19"/>
  <c r="BX64" i="11"/>
  <c r="CI241" i="11"/>
  <c r="CI242" i="11" l="1"/>
  <c r="CJ239" i="11" s="1"/>
  <c r="BP121" i="11"/>
  <c r="BP85" i="5"/>
  <c r="BP83" i="5" s="1"/>
  <c r="BP44" i="11"/>
  <c r="BY234" i="11"/>
  <c r="BY236" i="11" s="1"/>
  <c r="BY63" i="11" s="1"/>
  <c r="BY97" i="5" s="1"/>
  <c r="BY61" i="11"/>
  <c r="BZ74" i="6" s="1"/>
  <c r="BQ41" i="11" l="1"/>
  <c r="BO33" i="15"/>
  <c r="BO30" i="15" s="1"/>
  <c r="BP45" i="5"/>
  <c r="BP122" i="11"/>
  <c r="BY237" i="11"/>
  <c r="BY64" i="11"/>
  <c r="CJ241" i="11"/>
  <c r="BY16" i="19"/>
  <c r="CJ242" i="11" l="1"/>
  <c r="CK239" i="11" s="1"/>
  <c r="BQ43" i="11"/>
  <c r="BQ120" i="11"/>
  <c r="BR51" i="6" s="1"/>
  <c r="BQ119" i="11"/>
  <c r="BZ234" i="11"/>
  <c r="BZ236" i="11" s="1"/>
  <c r="BZ63" i="11" s="1"/>
  <c r="BZ97" i="5" s="1"/>
  <c r="BZ61" i="11"/>
  <c r="CA74" i="6" s="1"/>
  <c r="BQ121" i="11" l="1"/>
  <c r="BQ85" i="5"/>
  <c r="BQ83" i="5" s="1"/>
  <c r="BQ44" i="11"/>
  <c r="BZ64" i="11"/>
  <c r="CA61" i="11" s="1"/>
  <c r="BZ237" i="11"/>
  <c r="CK241" i="11"/>
  <c r="BZ16" i="19"/>
  <c r="CB74" i="6" l="1"/>
  <c r="CK242" i="11"/>
  <c r="CL239" i="11" s="1"/>
  <c r="BR41" i="11"/>
  <c r="BP33" i="15"/>
  <c r="BP30" i="15" s="1"/>
  <c r="BQ45" i="5"/>
  <c r="BQ122" i="11"/>
  <c r="CA234" i="11"/>
  <c r="BR120" i="11" l="1"/>
  <c r="BS51" i="6" s="1"/>
  <c r="BR43" i="11"/>
  <c r="BR119" i="11"/>
  <c r="CA236" i="11"/>
  <c r="CA63" i="11" s="1"/>
  <c r="CL241" i="11"/>
  <c r="CL242" i="11" l="1"/>
  <c r="CM239" i="11" s="1"/>
  <c r="BR121" i="11"/>
  <c r="BR85" i="5"/>
  <c r="BR83" i="5" s="1"/>
  <c r="BR44" i="11"/>
  <c r="CA237" i="11"/>
  <c r="CA97" i="5"/>
  <c r="CA64" i="11"/>
  <c r="BS41" i="11" l="1"/>
  <c r="BQ33" i="15"/>
  <c r="BQ30" i="15" s="1"/>
  <c r="BR45" i="5"/>
  <c r="BR122" i="11"/>
  <c r="CB234" i="11"/>
  <c r="CB236" i="11" s="1"/>
  <c r="CB63" i="11" s="1"/>
  <c r="CB97" i="5" s="1"/>
  <c r="CM241" i="11"/>
  <c r="CA16" i="19"/>
  <c r="CB61" i="11"/>
  <c r="CC74" i="6" l="1"/>
  <c r="CM242" i="11"/>
  <c r="CN239" i="11" s="1"/>
  <c r="BS120" i="11"/>
  <c r="BT51" i="6" s="1"/>
  <c r="BS43" i="11"/>
  <c r="BS119" i="11"/>
  <c r="CB237" i="11"/>
  <c r="CB64" i="11"/>
  <c r="CB16" i="19"/>
  <c r="BS121" i="11" l="1"/>
  <c r="BS85" i="5"/>
  <c r="BS83" i="5" s="1"/>
  <c r="BS44" i="11"/>
  <c r="CC234" i="11"/>
  <c r="CC236" i="11" s="1"/>
  <c r="CC63" i="11" s="1"/>
  <c r="CC97" i="5" s="1"/>
  <c r="CN241" i="11"/>
  <c r="CC61" i="11"/>
  <c r="CD74" i="6" l="1"/>
  <c r="CN242" i="11"/>
  <c r="CO239" i="11" s="1"/>
  <c r="BR33" i="15"/>
  <c r="BR30" i="15" s="1"/>
  <c r="BT41" i="11"/>
  <c r="BS45" i="5"/>
  <c r="BS122" i="11"/>
  <c r="CC237" i="11"/>
  <c r="CC16" i="19"/>
  <c r="CC64" i="11"/>
  <c r="BT120" i="11" l="1"/>
  <c r="BU51" i="6" s="1"/>
  <c r="BT43" i="11"/>
  <c r="BT119" i="11"/>
  <c r="CD234" i="11"/>
  <c r="CD236" i="11" s="1"/>
  <c r="CD63" i="11" s="1"/>
  <c r="CD97" i="5" s="1"/>
  <c r="CO241" i="11"/>
  <c r="CD61" i="11"/>
  <c r="CE74" i="6" l="1"/>
  <c r="CO242" i="11"/>
  <c r="CP239" i="11" s="1"/>
  <c r="BT121" i="11"/>
  <c r="BT85" i="5"/>
  <c r="BT83" i="5" s="1"/>
  <c r="BT44" i="11"/>
  <c r="CD237" i="11"/>
  <c r="CD16" i="19"/>
  <c r="CD64" i="11"/>
  <c r="BU41" i="11" l="1"/>
  <c r="BS33" i="15"/>
  <c r="BT45" i="5"/>
  <c r="BT122" i="11"/>
  <c r="CE234" i="11"/>
  <c r="CE236" i="11" s="1"/>
  <c r="CE63" i="11" s="1"/>
  <c r="CE97" i="5" s="1"/>
  <c r="CP241" i="11"/>
  <c r="CE61" i="11"/>
  <c r="CF74" i="6" s="1"/>
  <c r="CP242" i="11" l="1"/>
  <c r="CQ239" i="11" s="1"/>
  <c r="BU120" i="11"/>
  <c r="BV51" i="6" s="1"/>
  <c r="BU43" i="11"/>
  <c r="U28" i="18"/>
  <c r="BS30" i="15"/>
  <c r="BU119" i="11"/>
  <c r="CE237" i="11"/>
  <c r="CE64" i="11"/>
  <c r="CE16" i="19"/>
  <c r="U25" i="18" l="1"/>
  <c r="I222" i="32"/>
  <c r="BU121" i="11"/>
  <c r="BU85" i="5"/>
  <c r="BU44" i="11"/>
  <c r="CF234" i="11"/>
  <c r="CF236" i="11" s="1"/>
  <c r="CF63" i="11" s="1"/>
  <c r="CF97" i="5" s="1"/>
  <c r="CQ241" i="11"/>
  <c r="CF61" i="11"/>
  <c r="CG74" i="6" s="1"/>
  <c r="CQ242" i="11" l="1"/>
  <c r="CR239" i="11" s="1"/>
  <c r="BU83" i="5"/>
  <c r="BT33" i="15"/>
  <c r="BT30" i="15" s="1"/>
  <c r="BV41" i="11"/>
  <c r="BU45" i="5"/>
  <c r="BU122" i="11"/>
  <c r="CF237" i="11"/>
  <c r="CF16" i="19"/>
  <c r="CF64" i="11"/>
  <c r="CG61" i="11" s="1"/>
  <c r="CH74" i="6" l="1"/>
  <c r="BV120" i="11"/>
  <c r="BW51" i="6" s="1"/>
  <c r="BV43" i="11"/>
  <c r="BV119" i="11"/>
  <c r="CG234" i="11"/>
  <c r="CG236" i="11" s="1"/>
  <c r="CG63" i="11" s="1"/>
  <c r="CG97" i="5" s="1"/>
  <c r="CR241" i="11"/>
  <c r="CR242" i="11" l="1"/>
  <c r="CS239" i="11" s="1"/>
  <c r="BV121" i="11"/>
  <c r="BV85" i="5"/>
  <c r="BV44" i="11"/>
  <c r="CG64" i="11"/>
  <c r="CG237" i="11"/>
  <c r="CG16" i="19"/>
  <c r="CH61" i="11" l="1"/>
  <c r="BV83" i="5"/>
  <c r="BW41" i="11"/>
  <c r="BU33" i="15"/>
  <c r="BU30" i="15" s="1"/>
  <c r="BV45" i="5"/>
  <c r="BV122" i="11"/>
  <c r="CH234" i="11"/>
  <c r="CH236" i="11" s="1"/>
  <c r="CH63" i="11" s="1"/>
  <c r="CH97" i="5" s="1"/>
  <c r="CS241" i="11"/>
  <c r="CI74" i="6" l="1"/>
  <c r="CS242" i="11"/>
  <c r="CT239" i="11" s="1"/>
  <c r="BW120" i="11"/>
  <c r="BX51" i="6" s="1"/>
  <c r="BW43" i="11"/>
  <c r="BW119" i="11"/>
  <c r="CH237" i="11"/>
  <c r="CH64" i="11"/>
  <c r="CH16" i="19"/>
  <c r="BW85" i="5" l="1"/>
  <c r="BW44" i="11"/>
  <c r="BW121" i="11"/>
  <c r="CI234" i="11"/>
  <c r="CI61" i="11"/>
  <c r="CT241" i="11"/>
  <c r="CJ74" i="6" l="1"/>
  <c r="CT242" i="11"/>
  <c r="CU239" i="11" s="1"/>
  <c r="BW83" i="5"/>
  <c r="BV33" i="15"/>
  <c r="BV30" i="15" s="1"/>
  <c r="BX41" i="11"/>
  <c r="BX43" i="11" s="1"/>
  <c r="BW45" i="5"/>
  <c r="BW122" i="11"/>
  <c r="CI236" i="11"/>
  <c r="CI63" i="11" s="1"/>
  <c r="CI97" i="5" s="1"/>
  <c r="BX120" i="11" l="1"/>
  <c r="BY51" i="6" s="1"/>
  <c r="BX119" i="11"/>
  <c r="BX85" i="5"/>
  <c r="BX44" i="11"/>
  <c r="CI64" i="11"/>
  <c r="CI16" i="19"/>
  <c r="CU241" i="11"/>
  <c r="CI237" i="11"/>
  <c r="CJ61" i="11" l="1"/>
  <c r="CU242" i="11"/>
  <c r="CV239" i="11" s="1"/>
  <c r="BX83" i="5"/>
  <c r="BX121" i="11"/>
  <c r="BY41" i="11"/>
  <c r="BW33" i="15"/>
  <c r="BW30" i="15" s="1"/>
  <c r="CJ234" i="11"/>
  <c r="CK74" i="6" l="1"/>
  <c r="BY120" i="11"/>
  <c r="BZ51" i="6" s="1"/>
  <c r="BY43" i="11"/>
  <c r="BX45" i="5"/>
  <c r="BX122" i="11"/>
  <c r="CJ236" i="11"/>
  <c r="CJ63" i="11" s="1"/>
  <c r="CV241" i="11"/>
  <c r="CV242" i="11" l="1"/>
  <c r="CW239" i="11" s="1"/>
  <c r="BY119" i="11"/>
  <c r="BY85" i="5"/>
  <c r="BY83" i="5" s="1"/>
  <c r="BY44" i="11"/>
  <c r="CJ237" i="11"/>
  <c r="CJ97" i="5"/>
  <c r="CJ64" i="11"/>
  <c r="BY121" i="11" l="1"/>
  <c r="BZ41" i="11"/>
  <c r="BX33" i="15"/>
  <c r="BX30" i="15" s="1"/>
  <c r="CK234" i="11"/>
  <c r="CK236" i="11" s="1"/>
  <c r="CK63" i="11" s="1"/>
  <c r="CK97" i="5" s="1"/>
  <c r="CK61" i="11"/>
  <c r="CL74" i="6" s="1"/>
  <c r="CJ16" i="19"/>
  <c r="CW241" i="11"/>
  <c r="CW242" i="11" l="1"/>
  <c r="CX239" i="11" s="1"/>
  <c r="BZ43" i="11"/>
  <c r="BZ120" i="11"/>
  <c r="CA51" i="6" s="1"/>
  <c r="BY45" i="5"/>
  <c r="BY122" i="11"/>
  <c r="CK237" i="11"/>
  <c r="CK16" i="19"/>
  <c r="CK64" i="11"/>
  <c r="BZ119" i="11" l="1"/>
  <c r="BZ85" i="5"/>
  <c r="BZ83" i="5" s="1"/>
  <c r="BZ44" i="11"/>
  <c r="CL234" i="11"/>
  <c r="CX241" i="11"/>
  <c r="CL61" i="11"/>
  <c r="CM74" i="6" s="1"/>
  <c r="CX242" i="11" l="1"/>
  <c r="CY239" i="11" s="1"/>
  <c r="BZ121" i="11"/>
  <c r="BY33" i="15"/>
  <c r="CA41" i="11"/>
  <c r="CL236" i="11"/>
  <c r="CL63" i="11" s="1"/>
  <c r="CL97" i="5" s="1"/>
  <c r="V28" i="18" l="1"/>
  <c r="V25" i="18" s="1"/>
  <c r="BY30" i="15"/>
  <c r="CA43" i="11"/>
  <c r="CA120" i="11"/>
  <c r="CB51" i="6" s="1"/>
  <c r="BZ45" i="5"/>
  <c r="BZ122" i="11"/>
  <c r="CL64" i="11"/>
  <c r="CM61" i="11" s="1"/>
  <c r="CL237" i="11"/>
  <c r="CL16" i="19"/>
  <c r="CY241" i="11"/>
  <c r="CN74" i="6" l="1"/>
  <c r="CY242" i="11"/>
  <c r="CZ239" i="11" s="1"/>
  <c r="CA119" i="11"/>
  <c r="CA85" i="5"/>
  <c r="CA83" i="5" s="1"/>
  <c r="CA44" i="11"/>
  <c r="CM234" i="11"/>
  <c r="CM236" i="11" s="1"/>
  <c r="CM63" i="11" s="1"/>
  <c r="CA121" i="11" l="1"/>
  <c r="BZ33" i="15"/>
  <c r="BZ30" i="15" s="1"/>
  <c r="CB41" i="11"/>
  <c r="CM237" i="11"/>
  <c r="CZ241" i="11"/>
  <c r="CM97" i="5"/>
  <c r="CM64" i="11"/>
  <c r="CZ242" i="11" l="1"/>
  <c r="DA239" i="11" s="1"/>
  <c r="CB120" i="11"/>
  <c r="CC51" i="6" s="1"/>
  <c r="CB43" i="11"/>
  <c r="CA45" i="5"/>
  <c r="CA122" i="11"/>
  <c r="CN234" i="11"/>
  <c r="CN236" i="11" s="1"/>
  <c r="CN63" i="11" s="1"/>
  <c r="CN97" i="5" s="1"/>
  <c r="CN61" i="11"/>
  <c r="CM16" i="19"/>
  <c r="CO74" i="6" l="1"/>
  <c r="CB119" i="11"/>
  <c r="CB85" i="5"/>
  <c r="CB83" i="5" s="1"/>
  <c r="CB44" i="11"/>
  <c r="CN237" i="11"/>
  <c r="CN16" i="19"/>
  <c r="CN64" i="11"/>
  <c r="DA241" i="11"/>
  <c r="DA242" i="11" l="1"/>
  <c r="DB239" i="11" s="1"/>
  <c r="CB121" i="11"/>
  <c r="CC41" i="11"/>
  <c r="CA33" i="15"/>
  <c r="CA30" i="15" s="1"/>
  <c r="CO234" i="11"/>
  <c r="CO236" i="11" s="1"/>
  <c r="CO63" i="11" s="1"/>
  <c r="CO97" i="5" s="1"/>
  <c r="CO61" i="11"/>
  <c r="CP74" i="6" l="1"/>
  <c r="CC120" i="11"/>
  <c r="CD51" i="6" s="1"/>
  <c r="CC43" i="11"/>
  <c r="CB45" i="5"/>
  <c r="CB122" i="11"/>
  <c r="CO16" i="19"/>
  <c r="DB241" i="11"/>
  <c r="CO237" i="11"/>
  <c r="CO64" i="11"/>
  <c r="DB242" i="11" l="1"/>
  <c r="DC239" i="11" s="1"/>
  <c r="CC119" i="11"/>
  <c r="CC85" i="5"/>
  <c r="CC83" i="5" s="1"/>
  <c r="CC44" i="11"/>
  <c r="CP234" i="11"/>
  <c r="CP61" i="11"/>
  <c r="CQ74" i="6" l="1"/>
  <c r="CC121" i="11"/>
  <c r="CB33" i="15"/>
  <c r="CB30" i="15" s="1"/>
  <c r="CD41" i="11"/>
  <c r="CP236" i="11"/>
  <c r="CP63" i="11" s="1"/>
  <c r="CP97" i="5" s="1"/>
  <c r="DC241" i="11"/>
  <c r="DC242" i="11" l="1"/>
  <c r="DD239" i="11" s="1"/>
  <c r="CD43" i="11"/>
  <c r="CD120" i="11"/>
  <c r="CE51" i="6" s="1"/>
  <c r="CC45" i="5"/>
  <c r="CC122" i="11"/>
  <c r="CP237" i="11"/>
  <c r="CP16" i="19"/>
  <c r="CP64" i="11"/>
  <c r="CD119" i="11" l="1"/>
  <c r="CD85" i="5"/>
  <c r="CD83" i="5" s="1"/>
  <c r="CD44" i="11"/>
  <c r="CQ61" i="11"/>
  <c r="CR74" i="6" s="1"/>
  <c r="DD241" i="11"/>
  <c r="CQ234" i="11"/>
  <c r="DD242" i="11" l="1"/>
  <c r="DE239" i="11" s="1"/>
  <c r="CD121" i="11"/>
  <c r="CE41" i="11"/>
  <c r="CC33" i="15"/>
  <c r="CC30" i="15" s="1"/>
  <c r="CQ236" i="11"/>
  <c r="CQ63" i="11" s="1"/>
  <c r="CQ97" i="5" s="1"/>
  <c r="CE120" i="11" l="1"/>
  <c r="CF51" i="6" s="1"/>
  <c r="CE43" i="11"/>
  <c r="CD45" i="5"/>
  <c r="CD122" i="11"/>
  <c r="CQ237" i="11"/>
  <c r="CQ16" i="19"/>
  <c r="CQ64" i="11"/>
  <c r="DE241" i="11"/>
  <c r="DE242" i="11" l="1"/>
  <c r="DF239" i="11" s="1"/>
  <c r="CE119" i="11"/>
  <c r="CE85" i="5"/>
  <c r="CE83" i="5" s="1"/>
  <c r="CE44" i="11"/>
  <c r="CR234" i="11"/>
  <c r="CR236" i="11" s="1"/>
  <c r="CR63" i="11" s="1"/>
  <c r="CR97" i="5" s="1"/>
  <c r="CR61" i="11"/>
  <c r="CS74" i="6" s="1"/>
  <c r="CE121" i="11" l="1"/>
  <c r="CF41" i="11"/>
  <c r="CD33" i="15"/>
  <c r="CD30" i="15" s="1"/>
  <c r="CR237" i="11"/>
  <c r="CR64" i="11"/>
  <c r="CS61" i="11" s="1"/>
  <c r="DF241" i="11"/>
  <c r="CR16" i="19"/>
  <c r="CT74" i="6" l="1"/>
  <c r="DF242" i="11"/>
  <c r="DG239" i="11" s="1"/>
  <c r="CF43" i="11"/>
  <c r="CF120" i="11"/>
  <c r="CG51" i="6" s="1"/>
  <c r="CE45" i="5"/>
  <c r="CE122" i="11"/>
  <c r="CS234" i="11"/>
  <c r="CS236" i="11" s="1"/>
  <c r="CS63" i="11" s="1"/>
  <c r="CS97" i="5" s="1"/>
  <c r="CF119" i="11" l="1"/>
  <c r="CF85" i="5"/>
  <c r="CF83" i="5" s="1"/>
  <c r="CF44" i="11"/>
  <c r="CS64" i="11"/>
  <c r="CS16" i="19"/>
  <c r="CS237" i="11"/>
  <c r="DG241" i="11"/>
  <c r="CT61" i="11" l="1"/>
  <c r="DG242" i="11"/>
  <c r="CF121" i="11"/>
  <c r="CG41" i="11"/>
  <c r="CE33" i="15"/>
  <c r="CT234" i="11"/>
  <c r="CU74" i="6" l="1"/>
  <c r="DH239" i="11"/>
  <c r="DH241" i="11" s="1"/>
  <c r="CG120" i="11"/>
  <c r="CH51" i="6" s="1"/>
  <c r="CG43" i="11"/>
  <c r="W28" i="18"/>
  <c r="CE30" i="15"/>
  <c r="CF45" i="5"/>
  <c r="CF122" i="11"/>
  <c r="CT236" i="11"/>
  <c r="CT63" i="11" s="1"/>
  <c r="W25" i="18" l="1"/>
  <c r="J222" i="32"/>
  <c r="DH242" i="11"/>
  <c r="DI239" i="11" s="1"/>
  <c r="CG119" i="11"/>
  <c r="CG85" i="5"/>
  <c r="CG44" i="11"/>
  <c r="CT237" i="11"/>
  <c r="CT97" i="5"/>
  <c r="CT64" i="11"/>
  <c r="CG83" i="5" l="1"/>
  <c r="CG121" i="11"/>
  <c r="CF33" i="15"/>
  <c r="CF30" i="15" s="1"/>
  <c r="CH41" i="11"/>
  <c r="CU234" i="11"/>
  <c r="CU236" i="11" s="1"/>
  <c r="CU63" i="11" s="1"/>
  <c r="CU97" i="5" s="1"/>
  <c r="CU61" i="11"/>
  <c r="CT16" i="19"/>
  <c r="DI241" i="11"/>
  <c r="CV74" i="6" l="1"/>
  <c r="DI242" i="11"/>
  <c r="DJ239" i="11" s="1"/>
  <c r="CH120" i="11"/>
  <c r="CI51" i="6" s="1"/>
  <c r="CH43" i="11"/>
  <c r="CG45" i="5"/>
  <c r="CG122" i="11"/>
  <c r="CU237" i="11"/>
  <c r="CU16" i="19"/>
  <c r="CU64" i="11"/>
  <c r="CH119" i="11" l="1"/>
  <c r="CH85" i="5"/>
  <c r="CH44" i="11"/>
  <c r="CV234" i="11"/>
  <c r="CV236" i="11" s="1"/>
  <c r="CV63" i="11" s="1"/>
  <c r="CV97" i="5" s="1"/>
  <c r="DJ241" i="11"/>
  <c r="CV61" i="11"/>
  <c r="CW74" i="6" l="1"/>
  <c r="DJ242" i="11"/>
  <c r="DK239" i="11" s="1"/>
  <c r="CH83" i="5"/>
  <c r="CH121" i="11"/>
  <c r="CI41" i="11"/>
  <c r="CG33" i="15"/>
  <c r="CG30" i="15" s="1"/>
  <c r="CV237" i="11"/>
  <c r="CV64" i="11"/>
  <c r="CV16" i="19"/>
  <c r="CI43" i="11" l="1"/>
  <c r="CI120" i="11"/>
  <c r="CJ51" i="6" s="1"/>
  <c r="CH45" i="5"/>
  <c r="CH122" i="11"/>
  <c r="CW234" i="11"/>
  <c r="CW236" i="11" s="1"/>
  <c r="CW63" i="11" s="1"/>
  <c r="CW97" i="5" s="1"/>
  <c r="CW61" i="11"/>
  <c r="CX74" i="6" s="1"/>
  <c r="DK241" i="11"/>
  <c r="DK242" i="11" l="1"/>
  <c r="DL239" i="11" s="1"/>
  <c r="CI119" i="11"/>
  <c r="CI85" i="5"/>
  <c r="CI44" i="11"/>
  <c r="CW237" i="11"/>
  <c r="CW16" i="19"/>
  <c r="CW64" i="11"/>
  <c r="CI83" i="5" l="1"/>
  <c r="CI121" i="11"/>
  <c r="CJ41" i="11"/>
  <c r="CH33" i="15"/>
  <c r="CH30" i="15" s="1"/>
  <c r="CX234" i="11"/>
  <c r="CX61" i="11"/>
  <c r="CY74" i="6" s="1"/>
  <c r="DL241" i="11"/>
  <c r="DL242" i="11" l="1"/>
  <c r="DM239" i="11" s="1"/>
  <c r="CJ120" i="11"/>
  <c r="CK51" i="6" s="1"/>
  <c r="CJ43" i="11"/>
  <c r="CI45" i="5"/>
  <c r="CI122" i="11"/>
  <c r="CX236" i="11"/>
  <c r="CX63" i="11" s="1"/>
  <c r="CX97" i="5" s="1"/>
  <c r="CJ119" i="11" l="1"/>
  <c r="CJ85" i="5"/>
  <c r="CJ44" i="11"/>
  <c r="CX237" i="11"/>
  <c r="CX16" i="19"/>
  <c r="CX64" i="11"/>
  <c r="CY61" i="11" s="1"/>
  <c r="DM241" i="11"/>
  <c r="CZ74" i="6" l="1"/>
  <c r="DM242" i="11"/>
  <c r="DN239" i="11" s="1"/>
  <c r="CJ83" i="5"/>
  <c r="CJ121" i="11"/>
  <c r="CK41" i="11"/>
  <c r="CI33" i="15"/>
  <c r="CI30" i="15" s="1"/>
  <c r="CY234" i="11"/>
  <c r="CY236" i="11" s="1"/>
  <c r="CY63" i="11" s="1"/>
  <c r="CY97" i="5" s="1"/>
  <c r="CK43" i="11" l="1"/>
  <c r="CK120" i="11"/>
  <c r="CL51" i="6" s="1"/>
  <c r="CJ45" i="5"/>
  <c r="CJ122" i="11"/>
  <c r="CY237" i="11"/>
  <c r="CY64" i="11"/>
  <c r="DN241" i="11"/>
  <c r="CY16" i="19"/>
  <c r="CZ61" i="11" l="1"/>
  <c r="DN242" i="11"/>
  <c r="DO239" i="11" s="1"/>
  <c r="CK119" i="11"/>
  <c r="CK85" i="5"/>
  <c r="CK83" i="5" s="1"/>
  <c r="CK44" i="11"/>
  <c r="CZ234" i="11"/>
  <c r="CZ236" i="11" s="1"/>
  <c r="CZ63" i="11" s="1"/>
  <c r="CZ97" i="5" s="1"/>
  <c r="DA74" i="6" l="1"/>
  <c r="CK121" i="11"/>
  <c r="CL41" i="11"/>
  <c r="CJ33" i="15"/>
  <c r="CJ30" i="15" s="1"/>
  <c r="CZ237" i="11"/>
  <c r="CZ64" i="11"/>
  <c r="DO241" i="11"/>
  <c r="CZ16" i="19"/>
  <c r="DA61" i="11" l="1"/>
  <c r="DO242" i="11"/>
  <c r="DP239" i="11" s="1"/>
  <c r="CL43" i="11"/>
  <c r="CL120" i="11"/>
  <c r="CM51" i="6" s="1"/>
  <c r="CK45" i="5"/>
  <c r="CK122" i="11"/>
  <c r="DA234" i="11"/>
  <c r="DA236" i="11" s="1"/>
  <c r="DA63" i="11" s="1"/>
  <c r="DA97" i="5" s="1"/>
  <c r="DB74" i="6" l="1"/>
  <c r="CL119" i="11"/>
  <c r="CL85" i="5"/>
  <c r="CL83" i="5" s="1"/>
  <c r="CL44" i="11"/>
  <c r="DA64" i="11"/>
  <c r="DA237" i="11"/>
  <c r="DA16" i="19"/>
  <c r="DP241" i="11"/>
  <c r="DB61" i="11" l="1"/>
  <c r="DP242" i="11"/>
  <c r="DQ239" i="11" s="1"/>
  <c r="CL121" i="11"/>
  <c r="CM41" i="11"/>
  <c r="CK33" i="15"/>
  <c r="DB234" i="11"/>
  <c r="DC74" i="6" l="1"/>
  <c r="CM43" i="11"/>
  <c r="CM120" i="11"/>
  <c r="CN51" i="6" s="1"/>
  <c r="X28" i="18"/>
  <c r="X25" i="18" s="1"/>
  <c r="CK30" i="15"/>
  <c r="CL45" i="5"/>
  <c r="CL122" i="11"/>
  <c r="DQ241" i="11"/>
  <c r="DB236" i="11"/>
  <c r="DB63" i="11" s="1"/>
  <c r="DQ242" i="11" l="1"/>
  <c r="CM119" i="11"/>
  <c r="CM85" i="5"/>
  <c r="CM83" i="5" s="1"/>
  <c r="CM44" i="11"/>
  <c r="DB237" i="11"/>
  <c r="DB97" i="5"/>
  <c r="DB64" i="11"/>
  <c r="DR239" i="11" l="1"/>
  <c r="DR241" i="11" s="1"/>
  <c r="CM121" i="11"/>
  <c r="CN41" i="11"/>
  <c r="CL33" i="15"/>
  <c r="CL30" i="15" s="1"/>
  <c r="DC234" i="11"/>
  <c r="DC61" i="11"/>
  <c r="DD74" i="6" s="1"/>
  <c r="DB16" i="19"/>
  <c r="DR242" i="11" l="1"/>
  <c r="DS239" i="11" s="1"/>
  <c r="CN120" i="11"/>
  <c r="CO51" i="6" s="1"/>
  <c r="CN43" i="11"/>
  <c r="CM45" i="5"/>
  <c r="CM122" i="11"/>
  <c r="DC236" i="11"/>
  <c r="DC63" i="11" s="1"/>
  <c r="DC97" i="5" s="1"/>
  <c r="CN119" i="11" l="1"/>
  <c r="CN85" i="5"/>
  <c r="CN83" i="5" s="1"/>
  <c r="CN44" i="11"/>
  <c r="DC64" i="11"/>
  <c r="DD61" i="11" s="1"/>
  <c r="DE74" i="6" s="1"/>
  <c r="DC237" i="11"/>
  <c r="DS241" i="11"/>
  <c r="DC16" i="19"/>
  <c r="DS242" i="11" l="1"/>
  <c r="DT239" i="11" s="1"/>
  <c r="CN121" i="11"/>
  <c r="CM33" i="15"/>
  <c r="CM30" i="15" s="1"/>
  <c r="CO41" i="11"/>
  <c r="DD234" i="11"/>
  <c r="DD236" i="11" s="1"/>
  <c r="DD63" i="11" s="1"/>
  <c r="DD97" i="5" s="1"/>
  <c r="CO43" i="11" l="1"/>
  <c r="CO120" i="11"/>
  <c r="CP51" i="6" s="1"/>
  <c r="CN45" i="5"/>
  <c r="CN122" i="11"/>
  <c r="DD237" i="11"/>
  <c r="DD16" i="19"/>
  <c r="DT241" i="11"/>
  <c r="DD64" i="11"/>
  <c r="DE61" i="11" s="1"/>
  <c r="DF74" i="6" l="1"/>
  <c r="DT242" i="11"/>
  <c r="DU239" i="11" s="1"/>
  <c r="CO119" i="11"/>
  <c r="CO85" i="5"/>
  <c r="CO83" i="5" s="1"/>
  <c r="CO44" i="11"/>
  <c r="DE234" i="11"/>
  <c r="DE236" i="11" s="1"/>
  <c r="DE63" i="11" s="1"/>
  <c r="DE97" i="5" s="1"/>
  <c r="CO121" i="11" l="1"/>
  <c r="CP41" i="11"/>
  <c r="CN33" i="15"/>
  <c r="CN30" i="15" s="1"/>
  <c r="DE16" i="19"/>
  <c r="DE237" i="11"/>
  <c r="DU241" i="11"/>
  <c r="DE64" i="11"/>
  <c r="DU242" i="11" l="1"/>
  <c r="DV239" i="11" s="1"/>
  <c r="CP43" i="11"/>
  <c r="CP120" i="11"/>
  <c r="CQ51" i="6" s="1"/>
  <c r="CO45" i="5"/>
  <c r="CO122" i="11"/>
  <c r="DF61" i="11"/>
  <c r="DF234" i="11"/>
  <c r="DG74" i="6" l="1"/>
  <c r="CP119" i="11"/>
  <c r="CP85" i="5"/>
  <c r="CP83" i="5" s="1"/>
  <c r="CP44" i="11"/>
  <c r="DV241" i="11"/>
  <c r="DF236" i="11"/>
  <c r="DF63" i="11" s="1"/>
  <c r="DF97" i="5" s="1"/>
  <c r="DV242" i="11" l="1"/>
  <c r="DW239" i="11" s="1"/>
  <c r="CP121" i="11"/>
  <c r="CO33" i="15"/>
  <c r="CO30" i="15" s="1"/>
  <c r="CQ41" i="11"/>
  <c r="DF64" i="11"/>
  <c r="DF237" i="11"/>
  <c r="DF16" i="19"/>
  <c r="DG61" i="11" l="1"/>
  <c r="CQ120" i="11"/>
  <c r="CR51" i="6" s="1"/>
  <c r="CQ43" i="11"/>
  <c r="CP45" i="5"/>
  <c r="CP122" i="11"/>
  <c r="DG234" i="11"/>
  <c r="DG236" i="11" s="1"/>
  <c r="DG63" i="11" s="1"/>
  <c r="DG97" i="5" s="1"/>
  <c r="DW241" i="11"/>
  <c r="DH74" i="6" l="1"/>
  <c r="DW242" i="11"/>
  <c r="DX239" i="11" s="1"/>
  <c r="CQ119" i="11"/>
  <c r="CQ85" i="5"/>
  <c r="CQ83" i="5" s="1"/>
  <c r="CQ44" i="11"/>
  <c r="DG64" i="11"/>
  <c r="DG16" i="19"/>
  <c r="DG237" i="11"/>
  <c r="CQ121" i="11" l="1"/>
  <c r="CR41" i="11"/>
  <c r="CP33" i="15"/>
  <c r="CP30" i="15" s="1"/>
  <c r="DH234" i="11"/>
  <c r="DX241" i="11"/>
  <c r="DH61" i="11"/>
  <c r="DI74" i="6" l="1"/>
  <c r="DX242" i="11"/>
  <c r="DY239" i="11" s="1"/>
  <c r="CR120" i="11"/>
  <c r="CS51" i="6" s="1"/>
  <c r="CR43" i="11"/>
  <c r="CQ45" i="5"/>
  <c r="CQ122" i="11"/>
  <c r="DH236" i="11"/>
  <c r="DH63" i="11" s="1"/>
  <c r="DH97" i="5" s="1"/>
  <c r="CR119" i="11" l="1"/>
  <c r="CR85" i="5"/>
  <c r="CR83" i="5" s="1"/>
  <c r="CR44" i="11"/>
  <c r="DH64" i="11"/>
  <c r="DI61" i="11" s="1"/>
  <c r="DJ74" i="6" s="1"/>
  <c r="DH237" i="11"/>
  <c r="DY241" i="11"/>
  <c r="DH16" i="19"/>
  <c r="DY242" i="11" l="1"/>
  <c r="CR121" i="11"/>
  <c r="CS41" i="11"/>
  <c r="CQ33" i="15"/>
  <c r="DI234" i="11"/>
  <c r="DI236" i="11" s="1"/>
  <c r="DI63" i="11" s="1"/>
  <c r="DI97" i="5" s="1"/>
  <c r="DZ239" i="11" l="1"/>
  <c r="DZ241" i="11" s="1"/>
  <c r="CS43" i="11"/>
  <c r="CS120" i="11"/>
  <c r="CT51" i="6" s="1"/>
  <c r="CQ30" i="15"/>
  <c r="Y28" i="18"/>
  <c r="CR45" i="5"/>
  <c r="CR122" i="11"/>
  <c r="DI237" i="11"/>
  <c r="DI16" i="19"/>
  <c r="DI64" i="11"/>
  <c r="Y25" i="18" l="1"/>
  <c r="K222" i="32"/>
  <c r="DZ242" i="11"/>
  <c r="EA239" i="11" s="1"/>
  <c r="CS119" i="11"/>
  <c r="CS85" i="5"/>
  <c r="CS44" i="11"/>
  <c r="DJ234" i="11"/>
  <c r="DJ236" i="11" s="1"/>
  <c r="DJ63" i="11" s="1"/>
  <c r="DJ97" i="5" s="1"/>
  <c r="DJ61" i="11"/>
  <c r="DK74" i="6" s="1"/>
  <c r="CS83" i="5" l="1"/>
  <c r="CS121" i="11"/>
  <c r="CT41" i="11"/>
  <c r="CR33" i="15"/>
  <c r="CR30" i="15" s="1"/>
  <c r="DJ237" i="11"/>
  <c r="EA241" i="11"/>
  <c r="DJ16" i="19"/>
  <c r="DJ64" i="11"/>
  <c r="DK61" i="11" s="1"/>
  <c r="DL74" i="6" l="1"/>
  <c r="EA242" i="11"/>
  <c r="EB239" i="11" s="1"/>
  <c r="CT43" i="11"/>
  <c r="CT120" i="11"/>
  <c r="CU51" i="6" s="1"/>
  <c r="CS45" i="5"/>
  <c r="CS122" i="11"/>
  <c r="DK234" i="11"/>
  <c r="CT119" i="11" l="1"/>
  <c r="CT85" i="5"/>
  <c r="CT44" i="11"/>
  <c r="EB241" i="11"/>
  <c r="DK236" i="11"/>
  <c r="DK63" i="11" s="1"/>
  <c r="EB242" i="11" l="1"/>
  <c r="EC239" i="11" s="1"/>
  <c r="CT83" i="5"/>
  <c r="CT121" i="11"/>
  <c r="CU41" i="11"/>
  <c r="CS33" i="15"/>
  <c r="CS30" i="15" s="1"/>
  <c r="DK237" i="11"/>
  <c r="DK97" i="5"/>
  <c r="DK64" i="11"/>
  <c r="CU120" i="11" l="1"/>
  <c r="CV51" i="6" s="1"/>
  <c r="CU43" i="11"/>
  <c r="CT45" i="5"/>
  <c r="CT122" i="11"/>
  <c r="DL61" i="11"/>
  <c r="DK16" i="19"/>
  <c r="DL234" i="11"/>
  <c r="EC241" i="11"/>
  <c r="DM74" i="6" l="1"/>
  <c r="EC242" i="11"/>
  <c r="ED239" i="11" s="1"/>
  <c r="CU119" i="11"/>
  <c r="CU85" i="5"/>
  <c r="CU44" i="11"/>
  <c r="DL236" i="11"/>
  <c r="DL63" i="11" s="1"/>
  <c r="DL97" i="5" s="1"/>
  <c r="CU83" i="5" l="1"/>
  <c r="CU121" i="11"/>
  <c r="CT33" i="15"/>
  <c r="CT30" i="15" s="1"/>
  <c r="CV41" i="11"/>
  <c r="DL237" i="11"/>
  <c r="DL16" i="19"/>
  <c r="DL64" i="11"/>
  <c r="ED241" i="11"/>
  <c r="ED242" i="11" l="1"/>
  <c r="EE239" i="11" s="1"/>
  <c r="CV43" i="11"/>
  <c r="CV120" i="11"/>
  <c r="CW51" i="6" s="1"/>
  <c r="CU45" i="5"/>
  <c r="CU122" i="11"/>
  <c r="DM234" i="11"/>
  <c r="DM236" i="11" s="1"/>
  <c r="DM63" i="11" s="1"/>
  <c r="DM97" i="5" s="1"/>
  <c r="DM61" i="11"/>
  <c r="DN74" i="6" l="1"/>
  <c r="CV119" i="11"/>
  <c r="CV85" i="5"/>
  <c r="CV44" i="11"/>
  <c r="EE241" i="11"/>
  <c r="DM16" i="19"/>
  <c r="DM237" i="11"/>
  <c r="DM64" i="11"/>
  <c r="EE242" i="11" l="1"/>
  <c r="EF239" i="11" s="1"/>
  <c r="CV83" i="5"/>
  <c r="CV121" i="11"/>
  <c r="CW41" i="11"/>
  <c r="CU33" i="15"/>
  <c r="CU30" i="15" s="1"/>
  <c r="DN234" i="11"/>
  <c r="DN61" i="11"/>
  <c r="DO74" i="6" l="1"/>
  <c r="CW120" i="11"/>
  <c r="CX51" i="6" s="1"/>
  <c r="CW43" i="11"/>
  <c r="CV45" i="5"/>
  <c r="CV122" i="11"/>
  <c r="EF241" i="11"/>
  <c r="DN236" i="11"/>
  <c r="DN63" i="11" s="1"/>
  <c r="DN97" i="5" s="1"/>
  <c r="EF242" i="11" l="1"/>
  <c r="EG239" i="11" s="1"/>
  <c r="CW119" i="11"/>
  <c r="CW85" i="5"/>
  <c r="CW83" i="5" s="1"/>
  <c r="CW44" i="11"/>
  <c r="DN237" i="11"/>
  <c r="DN64" i="11"/>
  <c r="DO61" i="11" s="1"/>
  <c r="DP74" i="6" s="1"/>
  <c r="DN16" i="19"/>
  <c r="CW121" i="11" l="1"/>
  <c r="CX41" i="11"/>
  <c r="CV33" i="15"/>
  <c r="CV30" i="15" s="1"/>
  <c r="DO234" i="11"/>
  <c r="DO236" i="11" s="1"/>
  <c r="DO63" i="11" s="1"/>
  <c r="DO97" i="5" s="1"/>
  <c r="EG241" i="11"/>
  <c r="EG242" i="11" l="1"/>
  <c r="EH239" i="11" s="1"/>
  <c r="CX120" i="11"/>
  <c r="CY51" i="6" s="1"/>
  <c r="CX43" i="11"/>
  <c r="CW45" i="5"/>
  <c r="CW122" i="11"/>
  <c r="DO237" i="11"/>
  <c r="DO64" i="11"/>
  <c r="DP61" i="11" s="1"/>
  <c r="DQ74" i="6" s="1"/>
  <c r="DO16" i="19"/>
  <c r="CX85" i="5" l="1"/>
  <c r="CX83" i="5" s="1"/>
  <c r="CX44" i="11"/>
  <c r="CY41" i="11" s="1"/>
  <c r="CX119" i="11"/>
  <c r="DP234" i="11"/>
  <c r="DP236" i="11" s="1"/>
  <c r="DP63" i="11" s="1"/>
  <c r="DP97" i="5" s="1"/>
  <c r="EH241" i="11"/>
  <c r="EH242" i="11" l="1"/>
  <c r="EI239" i="11" s="1"/>
  <c r="CW33" i="15"/>
  <c r="CY120" i="11"/>
  <c r="CZ51" i="6" s="1"/>
  <c r="CY43" i="11"/>
  <c r="CX121" i="11"/>
  <c r="DP237" i="11"/>
  <c r="DP64" i="11"/>
  <c r="DQ61" i="11" s="1"/>
  <c r="DP16" i="19"/>
  <c r="CW30" i="15" l="1"/>
  <c r="Z28" i="18"/>
  <c r="Z25" i="18" s="1"/>
  <c r="DR74" i="6"/>
  <c r="CY85" i="5"/>
  <c r="CY83" i="5" s="1"/>
  <c r="CY44" i="11"/>
  <c r="CX45" i="5"/>
  <c r="CX122" i="11"/>
  <c r="DQ234" i="11"/>
  <c r="DQ236" i="11" s="1"/>
  <c r="DQ63" i="11" s="1"/>
  <c r="EI241" i="11"/>
  <c r="EI242" i="11" l="1"/>
  <c r="CX33" i="15"/>
  <c r="CX30" i="15" s="1"/>
  <c r="CZ41" i="11"/>
  <c r="CY119" i="11"/>
  <c r="DQ237" i="11"/>
  <c r="DQ97" i="5"/>
  <c r="DQ64" i="11"/>
  <c r="EJ239" i="11" l="1"/>
  <c r="EJ241" i="11" s="1"/>
  <c r="CZ120" i="11"/>
  <c r="DA51" i="6" s="1"/>
  <c r="CZ43" i="11"/>
  <c r="CY121" i="11"/>
  <c r="DR61" i="11"/>
  <c r="DQ16" i="19"/>
  <c r="DR234" i="11"/>
  <c r="DS74" i="6" l="1"/>
  <c r="EJ242" i="11"/>
  <c r="EK239" i="11" s="1"/>
  <c r="CZ85" i="5"/>
  <c r="CZ83" i="5" s="1"/>
  <c r="CZ44" i="11"/>
  <c r="CY45" i="5"/>
  <c r="CY122" i="11"/>
  <c r="DR236" i="11"/>
  <c r="DR63" i="11" s="1"/>
  <c r="DR97" i="5" s="1"/>
  <c r="DA41" i="11" l="1"/>
  <c r="CY33" i="15"/>
  <c r="CY30" i="15" s="1"/>
  <c r="CZ119" i="11"/>
  <c r="DR64" i="11"/>
  <c r="DR237" i="11"/>
  <c r="DR16" i="19"/>
  <c r="EK241" i="11"/>
  <c r="DS61" i="11" l="1"/>
  <c r="EK242" i="11"/>
  <c r="EL239" i="11" s="1"/>
  <c r="DA43" i="11"/>
  <c r="DA120" i="11"/>
  <c r="DB51" i="6" s="1"/>
  <c r="CZ121" i="11"/>
  <c r="DS234" i="11"/>
  <c r="DS236" i="11" s="1"/>
  <c r="DS63" i="11" s="1"/>
  <c r="DS97" i="5" s="1"/>
  <c r="DT74" i="6" l="1"/>
  <c r="DA85" i="5"/>
  <c r="DA83" i="5" s="1"/>
  <c r="DA44" i="11"/>
  <c r="CZ45" i="5"/>
  <c r="CZ122" i="11"/>
  <c r="DS237" i="11"/>
  <c r="DS16" i="19"/>
  <c r="EL241" i="11"/>
  <c r="DS64" i="11"/>
  <c r="EL242" i="11" l="1"/>
  <c r="DB41" i="11"/>
  <c r="CZ33" i="15"/>
  <c r="CZ30" i="15" s="1"/>
  <c r="DA119" i="11"/>
  <c r="DT234" i="11"/>
  <c r="DT236" i="11" s="1"/>
  <c r="DT63" i="11" s="1"/>
  <c r="DT97" i="5" s="1"/>
  <c r="DT61" i="11"/>
  <c r="DU74" i="6" l="1"/>
  <c r="EM239" i="11"/>
  <c r="EM241" i="11" s="1"/>
  <c r="DB43" i="11"/>
  <c r="DB120" i="11"/>
  <c r="DC51" i="6" s="1"/>
  <c r="DA121" i="11"/>
  <c r="DT237" i="11"/>
  <c r="DT16" i="19"/>
  <c r="DT64" i="11"/>
  <c r="EM242" i="11" l="1"/>
  <c r="EN239" i="11" s="1"/>
  <c r="DB85" i="5"/>
  <c r="DB83" i="5" s="1"/>
  <c r="DB44" i="11"/>
  <c r="DA45" i="5"/>
  <c r="DA122" i="11"/>
  <c r="DU61" i="11"/>
  <c r="DV74" i="6" s="1"/>
  <c r="DU234" i="11"/>
  <c r="DC41" i="11" l="1"/>
  <c r="DA33" i="15"/>
  <c r="DA30" i="15" s="1"/>
  <c r="DB119" i="11"/>
  <c r="DU236" i="11"/>
  <c r="DU63" i="11" s="1"/>
  <c r="DU97" i="5" s="1"/>
  <c r="EN241" i="11"/>
  <c r="EN242" i="11" l="1"/>
  <c r="EO239" i="11" s="1"/>
  <c r="DC120" i="11"/>
  <c r="DD51" i="6" s="1"/>
  <c r="DC43" i="11"/>
  <c r="DB121" i="11"/>
  <c r="DU64" i="11"/>
  <c r="DV61" i="11" s="1"/>
  <c r="DW74" i="6" s="1"/>
  <c r="DU237" i="11"/>
  <c r="DU16" i="19"/>
  <c r="DC85" i="5" l="1"/>
  <c r="DC83" i="5" s="1"/>
  <c r="DC44" i="11"/>
  <c r="DB45" i="5"/>
  <c r="DB122" i="11"/>
  <c r="DV234" i="11"/>
  <c r="DV236" i="11" s="1"/>
  <c r="DV63" i="11" s="1"/>
  <c r="DV97" i="5" s="1"/>
  <c r="EO241" i="11"/>
  <c r="EO242" i="11" l="1"/>
  <c r="EP239" i="11" s="1"/>
  <c r="DD41" i="11"/>
  <c r="DB33" i="15"/>
  <c r="DB30" i="15" s="1"/>
  <c r="DC119" i="11"/>
  <c r="DV237" i="11"/>
  <c r="DV16" i="19"/>
  <c r="DV64" i="11"/>
  <c r="DW61" i="11" s="1"/>
  <c r="DX74" i="6" l="1"/>
  <c r="DD43" i="11"/>
  <c r="DD120" i="11"/>
  <c r="DE51" i="6" s="1"/>
  <c r="DC121" i="11"/>
  <c r="DW234" i="11"/>
  <c r="DW236" i="11" s="1"/>
  <c r="DW63" i="11" s="1"/>
  <c r="DW97" i="5" s="1"/>
  <c r="EP241" i="11"/>
  <c r="EP242" i="11" l="1"/>
  <c r="EQ239" i="11" s="1"/>
  <c r="DD85" i="5"/>
  <c r="DD83" i="5" s="1"/>
  <c r="DD44" i="11"/>
  <c r="DC45" i="5"/>
  <c r="DC122" i="11"/>
  <c r="DW237" i="11"/>
  <c r="DW16" i="19"/>
  <c r="DW64" i="11"/>
  <c r="DX61" i="11" s="1"/>
  <c r="DY74" i="6" l="1"/>
  <c r="DC33" i="15"/>
  <c r="DE41" i="11"/>
  <c r="DD119" i="11"/>
  <c r="DX234" i="11"/>
  <c r="DX236" i="11" s="1"/>
  <c r="DX63" i="11" s="1"/>
  <c r="DX97" i="5" s="1"/>
  <c r="EQ241" i="11"/>
  <c r="J241" i="11" l="1"/>
  <c r="AA28" i="18"/>
  <c r="DC30" i="15"/>
  <c r="DE120" i="11"/>
  <c r="DF51" i="6" s="1"/>
  <c r="DE43" i="11"/>
  <c r="DD121" i="11"/>
  <c r="DX237" i="11"/>
  <c r="DX16" i="19"/>
  <c r="DX64" i="11"/>
  <c r="DY61" i="11" s="1"/>
  <c r="EQ242" i="11"/>
  <c r="DZ74" i="6" l="1"/>
  <c r="AA25" i="18"/>
  <c r="L222" i="32"/>
  <c r="DE85" i="5"/>
  <c r="DE44" i="11"/>
  <c r="DD45" i="5"/>
  <c r="DD122" i="11"/>
  <c r="DY234" i="11"/>
  <c r="DE83" i="5" l="1"/>
  <c r="DD33" i="15"/>
  <c r="DD30" i="15" s="1"/>
  <c r="DF41" i="11"/>
  <c r="DE119" i="11"/>
  <c r="DY236" i="11"/>
  <c r="DY63" i="11" s="1"/>
  <c r="DF43" i="11" l="1"/>
  <c r="DF120" i="11"/>
  <c r="DG51" i="6" s="1"/>
  <c r="DE121" i="11"/>
  <c r="DY97" i="5"/>
  <c r="DY64" i="11"/>
  <c r="DZ61" i="11" s="1"/>
  <c r="DY237" i="11"/>
  <c r="EA74" i="6" l="1"/>
  <c r="DE45" i="5"/>
  <c r="DE122" i="11"/>
  <c r="DF85" i="5"/>
  <c r="DF44" i="11"/>
  <c r="DY16" i="19"/>
  <c r="DZ234" i="11"/>
  <c r="DF83" i="5" l="1"/>
  <c r="DF119" i="11"/>
  <c r="DF121" i="11"/>
  <c r="DE33" i="15"/>
  <c r="DE30" i="15" s="1"/>
  <c r="DG41" i="11"/>
  <c r="DZ236" i="11"/>
  <c r="DZ63" i="11" s="1"/>
  <c r="DG43" i="11" l="1"/>
  <c r="DG120" i="11"/>
  <c r="DH51" i="6" s="1"/>
  <c r="DF45" i="5"/>
  <c r="DF122" i="11"/>
  <c r="DZ237" i="11"/>
  <c r="DZ97" i="5"/>
  <c r="DZ64" i="11"/>
  <c r="EA61" i="11" s="1"/>
  <c r="EB74" i="6" s="1"/>
  <c r="DG85" i="5" l="1"/>
  <c r="DG44" i="11"/>
  <c r="DF33" i="15" s="1"/>
  <c r="DF30" i="15" s="1"/>
  <c r="DG119" i="11"/>
  <c r="EA234" i="11"/>
  <c r="EA236" i="11" s="1"/>
  <c r="EA63" i="11" s="1"/>
  <c r="EA97" i="5" s="1"/>
  <c r="DZ16" i="19"/>
  <c r="DG83" i="5" l="1"/>
  <c r="DH41" i="11"/>
  <c r="DH43" i="11" s="1"/>
  <c r="DG121" i="11"/>
  <c r="EA64" i="11"/>
  <c r="EB61" i="11" s="1"/>
  <c r="EC74" i="6" s="1"/>
  <c r="EA16" i="19"/>
  <c r="EA237" i="11"/>
  <c r="DH120" i="11" l="1"/>
  <c r="DI51" i="6" s="1"/>
  <c r="DH85" i="5"/>
  <c r="DH44" i="11"/>
  <c r="DG45" i="5"/>
  <c r="DG122" i="11"/>
  <c r="EB234" i="11"/>
  <c r="DH83" i="5" l="1"/>
  <c r="DI41" i="11"/>
  <c r="DG33" i="15"/>
  <c r="DG30" i="15" s="1"/>
  <c r="DH119" i="11"/>
  <c r="AG65" i="16"/>
  <c r="EB236" i="11"/>
  <c r="EB63" i="11" s="1"/>
  <c r="DI120" i="11" l="1"/>
  <c r="DJ51" i="6" s="1"/>
  <c r="DI43" i="11"/>
  <c r="DH121" i="11"/>
  <c r="EB97" i="5"/>
  <c r="EB64" i="11"/>
  <c r="EC61" i="11" s="1"/>
  <c r="ED74" i="6" s="1"/>
  <c r="EB237" i="11"/>
  <c r="DI85" i="5" l="1"/>
  <c r="DI83" i="5" s="1"/>
  <c r="DI44" i="11"/>
  <c r="DH45" i="5"/>
  <c r="DH122" i="11"/>
  <c r="EB16" i="19"/>
  <c r="EC234" i="11"/>
  <c r="DJ41" i="11" l="1"/>
  <c r="DH33" i="15"/>
  <c r="DH30" i="15" s="1"/>
  <c r="DI119" i="11"/>
  <c r="EC236" i="11"/>
  <c r="EC63" i="11" s="1"/>
  <c r="DJ43" i="11" l="1"/>
  <c r="DJ120" i="11"/>
  <c r="DK51" i="6" s="1"/>
  <c r="DI121" i="11"/>
  <c r="EC237" i="11"/>
  <c r="EC97" i="5"/>
  <c r="EC64" i="11"/>
  <c r="ED61" i="11" s="1"/>
  <c r="EE74" i="6" s="1"/>
  <c r="DI45" i="5" l="1"/>
  <c r="DI122" i="11"/>
  <c r="DJ85" i="5"/>
  <c r="DJ83" i="5" s="1"/>
  <c r="DJ44" i="11"/>
  <c r="ED234" i="11"/>
  <c r="ED236" i="11" s="1"/>
  <c r="ED63" i="11" s="1"/>
  <c r="ED97" i="5" s="1"/>
  <c r="EC16" i="19"/>
  <c r="DJ119" i="11" l="1"/>
  <c r="DJ121" i="11" s="1"/>
  <c r="DK41" i="11"/>
  <c r="DI33" i="15"/>
  <c r="ED237" i="11"/>
  <c r="ED64" i="11"/>
  <c r="EE61" i="11" s="1"/>
  <c r="EF74" i="6" s="1"/>
  <c r="ED16" i="19"/>
  <c r="DK120" i="11" l="1"/>
  <c r="DL51" i="6" s="1"/>
  <c r="DK43" i="11"/>
  <c r="AB28" i="18"/>
  <c r="AB25" i="18" s="1"/>
  <c r="DI30" i="15"/>
  <c r="DJ45" i="5"/>
  <c r="DJ122" i="11"/>
  <c r="EE234" i="11"/>
  <c r="EE236" i="11" s="1"/>
  <c r="EE63" i="11" s="1"/>
  <c r="EE97" i="5" s="1"/>
  <c r="DK119" i="11" l="1"/>
  <c r="DK85" i="5"/>
  <c r="DK83" i="5" s="1"/>
  <c r="DK44" i="11"/>
  <c r="EE237" i="11"/>
  <c r="EE16" i="19"/>
  <c r="EE64" i="11"/>
  <c r="EF61" i="11" s="1"/>
  <c r="EG74" i="6" s="1"/>
  <c r="DK121" i="11" l="1"/>
  <c r="DL41" i="11"/>
  <c r="DJ33" i="15"/>
  <c r="DJ30" i="15" s="1"/>
  <c r="EF234" i="11"/>
  <c r="DL43" i="11" l="1"/>
  <c r="DL120" i="11"/>
  <c r="DM51" i="6" s="1"/>
  <c r="DK45" i="5"/>
  <c r="DK122" i="11"/>
  <c r="EF236" i="11"/>
  <c r="EF63" i="11" s="1"/>
  <c r="DL119" i="11" l="1"/>
  <c r="DL85" i="5"/>
  <c r="DL83" i="5" s="1"/>
  <c r="DL44" i="11"/>
  <c r="EF237" i="11"/>
  <c r="EF97" i="5"/>
  <c r="EF64" i="11"/>
  <c r="EG61" i="11" s="1"/>
  <c r="EH74" i="6" s="1"/>
  <c r="DL121" i="11" l="1"/>
  <c r="DM41" i="11"/>
  <c r="DK33" i="15"/>
  <c r="DK30" i="15" s="1"/>
  <c r="EF16" i="19"/>
  <c r="EG234" i="11"/>
  <c r="DM120" i="11" l="1"/>
  <c r="DN51" i="6" s="1"/>
  <c r="DM43" i="11"/>
  <c r="DL45" i="5"/>
  <c r="DL122" i="11"/>
  <c r="EG236" i="11"/>
  <c r="EG63" i="11" s="1"/>
  <c r="DM85" i="5" l="1"/>
  <c r="DM83" i="5" s="1"/>
  <c r="DM44" i="11"/>
  <c r="DN41" i="11" s="1"/>
  <c r="DM119" i="11"/>
  <c r="EG97" i="5"/>
  <c r="EG64" i="11"/>
  <c r="EH61" i="11" s="1"/>
  <c r="EI74" i="6" s="1"/>
  <c r="EG237" i="11"/>
  <c r="DL33" i="15" l="1"/>
  <c r="DL30" i="15" s="1"/>
  <c r="DN43" i="11"/>
  <c r="DN120" i="11"/>
  <c r="DO51" i="6" s="1"/>
  <c r="DM121" i="11"/>
  <c r="EH234" i="11"/>
  <c r="EG16" i="19"/>
  <c r="DN85" i="5" l="1"/>
  <c r="DN83" i="5" s="1"/>
  <c r="DN44" i="11"/>
  <c r="DM33" i="15" s="1"/>
  <c r="DM30" i="15" s="1"/>
  <c r="DM45" i="5"/>
  <c r="DM122" i="11"/>
  <c r="EH236" i="11"/>
  <c r="EH63" i="11" s="1"/>
  <c r="DO41" i="11" l="1"/>
  <c r="DO120" i="11" s="1"/>
  <c r="DP51" i="6" s="1"/>
  <c r="DN119" i="11"/>
  <c r="EH237" i="11"/>
  <c r="EH97" i="5"/>
  <c r="EH64" i="11"/>
  <c r="EI61" i="11" s="1"/>
  <c r="EJ74" i="6" s="1"/>
  <c r="DO43" i="11" l="1"/>
  <c r="DO85" i="5" s="1"/>
  <c r="DO83" i="5" s="1"/>
  <c r="DN121" i="11"/>
  <c r="EI234" i="11"/>
  <c r="EI236" i="11" s="1"/>
  <c r="EI63" i="11" s="1"/>
  <c r="EI97" i="5" s="1"/>
  <c r="EH16" i="19"/>
  <c r="DO44" i="11" l="1"/>
  <c r="DP41" i="11" s="1"/>
  <c r="DN45" i="5"/>
  <c r="DN122" i="11"/>
  <c r="EI64" i="11"/>
  <c r="EJ61" i="11" s="1"/>
  <c r="EK74" i="6" s="1"/>
  <c r="EI237" i="11"/>
  <c r="EI16" i="19"/>
  <c r="DN33" i="15" l="1"/>
  <c r="DN30" i="15" s="1"/>
  <c r="DP120" i="11"/>
  <c r="DQ51" i="6" s="1"/>
  <c r="DP43" i="11"/>
  <c r="DO119" i="11"/>
  <c r="N45" i="16"/>
  <c r="O45" i="16"/>
  <c r="P45" i="16"/>
  <c r="Q45" i="16"/>
  <c r="R45" i="16"/>
  <c r="S45" i="16"/>
  <c r="T45" i="16"/>
  <c r="U45" i="16"/>
  <c r="V45" i="16"/>
  <c r="W45" i="16"/>
  <c r="X45" i="16"/>
  <c r="Y45" i="16"/>
  <c r="Z45" i="16"/>
  <c r="AA45" i="16"/>
  <c r="AB45" i="16"/>
  <c r="AC45" i="16"/>
  <c r="AD45" i="16"/>
  <c r="N80" i="17"/>
  <c r="M80" i="17"/>
  <c r="E751" i="32" s="1"/>
  <c r="O80" i="17"/>
  <c r="P80" i="17"/>
  <c r="Q80" i="17"/>
  <c r="Q78" i="17" s="1"/>
  <c r="R80" i="17"/>
  <c r="R78" i="17" s="1"/>
  <c r="S80" i="17"/>
  <c r="S78" i="17" s="1"/>
  <c r="T80" i="17"/>
  <c r="T78" i="17" s="1"/>
  <c r="U80" i="17"/>
  <c r="U78" i="17" s="1"/>
  <c r="V80" i="17"/>
  <c r="V78" i="17" s="1"/>
  <c r="W80" i="17"/>
  <c r="W78" i="17" s="1"/>
  <c r="X80" i="17"/>
  <c r="X78" i="17" s="1"/>
  <c r="Y80" i="17"/>
  <c r="Y78" i="17" s="1"/>
  <c r="Z80" i="17"/>
  <c r="Z78" i="17" s="1"/>
  <c r="AA80" i="17"/>
  <c r="AA78" i="17" s="1"/>
  <c r="AB80" i="17"/>
  <c r="AB78" i="17" s="1"/>
  <c r="AC80" i="17"/>
  <c r="AC78" i="17" s="1"/>
  <c r="EJ234" i="11"/>
  <c r="EJ236" i="11" s="1"/>
  <c r="EJ63" i="11" s="1"/>
  <c r="P78" i="17" l="1"/>
  <c r="H751" i="32"/>
  <c r="N78" i="17"/>
  <c r="F751" i="32"/>
  <c r="O78" i="17"/>
  <c r="G751" i="32"/>
  <c r="AE45" i="16"/>
  <c r="DO121" i="11"/>
  <c r="DP85" i="5"/>
  <c r="DP44" i="11"/>
  <c r="M78" i="17"/>
  <c r="EJ237" i="11"/>
  <c r="EJ97" i="5"/>
  <c r="EJ64" i="11"/>
  <c r="EK61" i="11" s="1"/>
  <c r="EL74" i="6" s="1"/>
  <c r="C751" i="32" l="1"/>
  <c r="DP83" i="5"/>
  <c r="AD80" i="17"/>
  <c r="AD78" i="17" s="1"/>
  <c r="DQ41" i="11"/>
  <c r="DO33" i="15"/>
  <c r="DO45" i="5"/>
  <c r="DO122" i="11"/>
  <c r="N40" i="17"/>
  <c r="M40" i="17"/>
  <c r="O40" i="17"/>
  <c r="P40" i="17"/>
  <c r="Q40" i="17"/>
  <c r="R40" i="17"/>
  <c r="S40" i="17"/>
  <c r="T40" i="17"/>
  <c r="U40" i="17"/>
  <c r="V40" i="17"/>
  <c r="W40" i="17"/>
  <c r="X40" i="17"/>
  <c r="Y40" i="17"/>
  <c r="Z40" i="17"/>
  <c r="AA40" i="17"/>
  <c r="AB40" i="17"/>
  <c r="AC40" i="17"/>
  <c r="EK234" i="11"/>
  <c r="EJ16" i="19"/>
  <c r="DQ43" i="11" l="1"/>
  <c r="DQ120" i="11"/>
  <c r="DR51" i="6" s="1"/>
  <c r="AC28" i="18"/>
  <c r="DO30" i="15"/>
  <c r="DP119" i="11"/>
  <c r="EK236" i="11"/>
  <c r="EK63" i="11" s="1"/>
  <c r="AC25" i="18" l="1"/>
  <c r="M222" i="32"/>
  <c r="O222" i="32" s="1"/>
  <c r="I973" i="32" s="1"/>
  <c r="J973" i="32" s="1"/>
  <c r="K973" i="32" s="1"/>
  <c r="L973" i="32" s="1"/>
  <c r="M973" i="32" s="1"/>
  <c r="DP121" i="11"/>
  <c r="DQ85" i="5"/>
  <c r="DQ44" i="11"/>
  <c r="EK97" i="5"/>
  <c r="EK64" i="11"/>
  <c r="EL61" i="11" s="1"/>
  <c r="EM74" i="6" s="1"/>
  <c r="EK237" i="11"/>
  <c r="DQ83" i="5" l="1"/>
  <c r="DR41" i="11"/>
  <c r="DP33" i="15"/>
  <c r="DP30" i="15" s="1"/>
  <c r="DP45" i="5"/>
  <c r="DP122" i="11"/>
  <c r="EK16" i="19"/>
  <c r="EL234" i="11"/>
  <c r="DR120" i="11" l="1"/>
  <c r="DS51" i="6" s="1"/>
  <c r="DR43" i="11"/>
  <c r="AD40" i="17"/>
  <c r="DQ119" i="11"/>
  <c r="EL236" i="11"/>
  <c r="EL63" i="11" s="1"/>
  <c r="DQ121" i="11" l="1"/>
  <c r="DR85" i="5"/>
  <c r="DR44" i="11"/>
  <c r="EL237" i="11"/>
  <c r="EL97" i="5"/>
  <c r="EL64" i="11"/>
  <c r="EM61" i="11" s="1"/>
  <c r="EN74" i="6" s="1"/>
  <c r="DR83" i="5" l="1"/>
  <c r="DS41" i="11"/>
  <c r="DQ33" i="15"/>
  <c r="DQ30" i="15" s="1"/>
  <c r="DQ45" i="5"/>
  <c r="DQ122" i="11"/>
  <c r="EM234" i="11"/>
  <c r="EM236" i="11" s="1"/>
  <c r="EM63" i="11" s="1"/>
  <c r="EM97" i="5" s="1"/>
  <c r="EL16" i="19"/>
  <c r="DS43" i="11" l="1"/>
  <c r="DS120" i="11"/>
  <c r="DT51" i="6" s="1"/>
  <c r="DR119" i="11"/>
  <c r="EM64" i="11"/>
  <c r="EN61" i="11" s="1"/>
  <c r="EO74" i="6" s="1"/>
  <c r="EM16" i="19"/>
  <c r="EM237" i="11"/>
  <c r="DR121" i="11" l="1"/>
  <c r="DS85" i="5"/>
  <c r="DS44" i="11"/>
  <c r="AI65" i="16"/>
  <c r="EN234" i="11"/>
  <c r="DS83" i="5" l="1"/>
  <c r="DT41" i="11"/>
  <c r="DR33" i="15"/>
  <c r="DR30" i="15" s="1"/>
  <c r="DR45" i="5"/>
  <c r="DR122" i="11"/>
  <c r="EN236" i="11"/>
  <c r="EN63" i="11" s="1"/>
  <c r="DT120" i="11" l="1"/>
  <c r="DU51" i="6" s="1"/>
  <c r="DT43" i="11"/>
  <c r="DS119" i="11"/>
  <c r="EN237" i="11"/>
  <c r="EN97" i="5"/>
  <c r="EN64" i="11"/>
  <c r="EO61" i="11" s="1"/>
  <c r="EP74" i="6" s="1"/>
  <c r="DT85" i="5" l="1"/>
  <c r="DT44" i="11"/>
  <c r="DU41" i="11" s="1"/>
  <c r="DS121" i="11"/>
  <c r="EO234" i="11"/>
  <c r="EO236" i="11" s="1"/>
  <c r="EO63" i="11" s="1"/>
  <c r="EO97" i="5" s="1"/>
  <c r="EN16" i="19"/>
  <c r="DS33" i="15" l="1"/>
  <c r="DS30" i="15" s="1"/>
  <c r="DT83" i="5"/>
  <c r="DU120" i="11"/>
  <c r="DV51" i="6" s="1"/>
  <c r="DU43" i="11"/>
  <c r="DS45" i="5"/>
  <c r="DS122" i="11"/>
  <c r="EO237" i="11"/>
  <c r="EO16" i="19"/>
  <c r="EO64" i="11"/>
  <c r="EP61" i="11" s="1"/>
  <c r="EQ74" i="6" s="1"/>
  <c r="DT119" i="11" l="1"/>
  <c r="DT121" i="11" s="1"/>
  <c r="DU85" i="5"/>
  <c r="DU83" i="5" s="1"/>
  <c r="DU44" i="11"/>
  <c r="EP234" i="11"/>
  <c r="EP236" i="11" s="1"/>
  <c r="EP63" i="11" s="1"/>
  <c r="EP97" i="5" s="1"/>
  <c r="DT45" i="5" l="1"/>
  <c r="DT122" i="11"/>
  <c r="DV41" i="11"/>
  <c r="DT33" i="15"/>
  <c r="DT30" i="15" s="1"/>
  <c r="EP64" i="11"/>
  <c r="EQ61" i="11" s="1"/>
  <c r="EP237" i="11"/>
  <c r="EP16" i="19"/>
  <c r="ER74" i="6" l="1"/>
  <c r="D43" i="1"/>
  <c r="D44" i="1"/>
  <c r="D45" i="1"/>
  <c r="D46" i="1"/>
  <c r="D47" i="1"/>
  <c r="D48" i="1"/>
  <c r="D49" i="1"/>
  <c r="D50" i="1"/>
  <c r="D51" i="1"/>
  <c r="D52" i="1"/>
  <c r="D53" i="1"/>
  <c r="D54" i="1"/>
  <c r="D55" i="1"/>
  <c r="D56" i="1"/>
  <c r="D57" i="1"/>
  <c r="D58" i="1"/>
  <c r="D59" i="1"/>
  <c r="D60" i="1"/>
  <c r="D61" i="1"/>
  <c r="D62" i="1"/>
  <c r="DU119" i="11"/>
  <c r="DU121" i="11" s="1"/>
  <c r="DV43" i="11"/>
  <c r="DV120" i="11"/>
  <c r="DW51" i="6" s="1"/>
  <c r="EQ234" i="11"/>
  <c r="C40" i="21" l="1"/>
  <c r="E261" i="32"/>
  <c r="C38" i="21"/>
  <c r="E259" i="32"/>
  <c r="C45" i="21"/>
  <c r="E266" i="32"/>
  <c r="C37" i="21"/>
  <c r="E258" i="32"/>
  <c r="C29" i="21"/>
  <c r="E250" i="32"/>
  <c r="C41" i="21"/>
  <c r="E262" i="32"/>
  <c r="C39" i="21"/>
  <c r="E260" i="32"/>
  <c r="C30" i="21"/>
  <c r="E251" i="32"/>
  <c r="C44" i="21"/>
  <c r="E265" i="32"/>
  <c r="C36" i="21"/>
  <c r="E257" i="32"/>
  <c r="C28" i="21"/>
  <c r="E249" i="32"/>
  <c r="C32" i="21"/>
  <c r="E253" i="32"/>
  <c r="C46" i="21"/>
  <c r="E267" i="32"/>
  <c r="C43" i="21"/>
  <c r="E264" i="32"/>
  <c r="C35" i="21"/>
  <c r="E256" i="32"/>
  <c r="C27" i="21"/>
  <c r="E247" i="32"/>
  <c r="E248" i="32"/>
  <c r="D63" i="1"/>
  <c r="C33" i="21"/>
  <c r="E254" i="32"/>
  <c r="C31" i="21"/>
  <c r="E252" i="32"/>
  <c r="C42" i="21"/>
  <c r="E263" i="32"/>
  <c r="C34" i="21"/>
  <c r="E255" i="32"/>
  <c r="DU45" i="5"/>
  <c r="DU122" i="11"/>
  <c r="DV85" i="5"/>
  <c r="DV44" i="11"/>
  <c r="AF45" i="16"/>
  <c r="EQ236" i="11"/>
  <c r="N65" i="16"/>
  <c r="K74" i="6"/>
  <c r="O65" i="16"/>
  <c r="P65" i="16"/>
  <c r="Q65" i="16"/>
  <c r="R65" i="16"/>
  <c r="S65" i="16"/>
  <c r="T65" i="16"/>
  <c r="U65" i="16"/>
  <c r="V65" i="16"/>
  <c r="W65" i="16"/>
  <c r="X65" i="16"/>
  <c r="Y65" i="16"/>
  <c r="Z65" i="16"/>
  <c r="AA65" i="16"/>
  <c r="AB65" i="16"/>
  <c r="AC65" i="16"/>
  <c r="AD65" i="16"/>
  <c r="AE65" i="16"/>
  <c r="AF65" i="16"/>
  <c r="AH65" i="16"/>
  <c r="AJ65" i="16"/>
  <c r="N379" i="32" l="1"/>
  <c r="O379" i="32" s="1"/>
  <c r="D247" i="32"/>
  <c r="E268" i="32"/>
  <c r="J248" i="32"/>
  <c r="M247" i="32"/>
  <c r="L247" i="32"/>
  <c r="DV119" i="11"/>
  <c r="DV121" i="11" s="1"/>
  <c r="DV83" i="5"/>
  <c r="AE80" i="17"/>
  <c r="AE78" i="17" s="1"/>
  <c r="DU33" i="15"/>
  <c r="DW41" i="11"/>
  <c r="K65" i="16"/>
  <c r="EQ63" i="11"/>
  <c r="J236" i="11"/>
  <c r="EQ237" i="11"/>
  <c r="J249" i="32" l="1"/>
  <c r="J250" i="32" s="1"/>
  <c r="J251" i="32" s="1"/>
  <c r="J252" i="32" s="1"/>
  <c r="J253" i="32" s="1"/>
  <c r="J254" i="32" s="1"/>
  <c r="J255" i="32" s="1"/>
  <c r="J256" i="32" s="1"/>
  <c r="J257" i="32" s="1"/>
  <c r="J258" i="32" s="1"/>
  <c r="J259" i="32" s="1"/>
  <c r="J260" i="32" s="1"/>
  <c r="J261" i="32" s="1"/>
  <c r="J262" i="32" s="1"/>
  <c r="J263" i="32" s="1"/>
  <c r="J264" i="32" s="1"/>
  <c r="J265" i="32" s="1"/>
  <c r="J266" i="32" s="1"/>
  <c r="J267" i="32" s="1"/>
  <c r="DV45" i="5"/>
  <c r="DV122" i="11"/>
  <c r="DU30" i="15"/>
  <c r="AD28" i="18"/>
  <c r="AD25" i="18" s="1"/>
  <c r="DW43" i="11"/>
  <c r="DW120" i="11"/>
  <c r="DX51" i="6" s="1"/>
  <c r="EQ97" i="5"/>
  <c r="J63" i="11"/>
  <c r="EQ64" i="11"/>
  <c r="J268" i="32" l="1"/>
  <c r="M92" i="26"/>
  <c r="M92" i="17"/>
  <c r="N92" i="17"/>
  <c r="N92" i="26"/>
  <c r="O92" i="17"/>
  <c r="P92" i="17"/>
  <c r="Q92" i="17"/>
  <c r="O92" i="26"/>
  <c r="R92" i="17"/>
  <c r="S92" i="17"/>
  <c r="P92" i="26"/>
  <c r="T92" i="17"/>
  <c r="U92" i="17"/>
  <c r="Q92" i="26"/>
  <c r="V92" i="17"/>
  <c r="W92" i="17"/>
  <c r="R92" i="26"/>
  <c r="X92" i="17"/>
  <c r="S92" i="26"/>
  <c r="Y92" i="17"/>
  <c r="Z92" i="17"/>
  <c r="AA92" i="17"/>
  <c r="T92" i="26"/>
  <c r="AB92" i="17"/>
  <c r="AC92" i="17"/>
  <c r="U92" i="26"/>
  <c r="AD92" i="17"/>
  <c r="V92" i="26"/>
  <c r="AE92" i="17"/>
  <c r="AF92" i="17"/>
  <c r="W92" i="26"/>
  <c r="AG92" i="17"/>
  <c r="AH92" i="17"/>
  <c r="AI92" i="17"/>
  <c r="X92" i="26"/>
  <c r="DW119" i="11"/>
  <c r="DW121" i="11" s="1"/>
  <c r="DW85" i="5"/>
  <c r="DW83" i="5" s="1"/>
  <c r="DW44" i="11"/>
  <c r="EQ16" i="19"/>
  <c r="J97" i="5"/>
  <c r="J92" i="26" l="1"/>
  <c r="DW45" i="5"/>
  <c r="DW122" i="11"/>
  <c r="DV33" i="15"/>
  <c r="DV30" i="15" s="1"/>
  <c r="DX41" i="11"/>
  <c r="J16" i="19"/>
  <c r="J92" i="17"/>
  <c r="DX119" i="11" l="1"/>
  <c r="DX43" i="11"/>
  <c r="DX120" i="11"/>
  <c r="DY51" i="6" s="1"/>
  <c r="DX85" i="5" l="1"/>
  <c r="DX83" i="5" s="1"/>
  <c r="DX44" i="11"/>
  <c r="DX121" i="11"/>
  <c r="DW33" i="15" l="1"/>
  <c r="DW30" i="15" s="1"/>
  <c r="DY41" i="11"/>
  <c r="DX122" i="11"/>
  <c r="DX45" i="5"/>
  <c r="DY120" i="11" l="1"/>
  <c r="DZ51" i="6" s="1"/>
  <c r="DY43" i="11"/>
  <c r="DY119" i="11"/>
  <c r="DY85" i="5" l="1"/>
  <c r="DY83" i="5" s="1"/>
  <c r="DY44" i="11"/>
  <c r="DY121" i="11"/>
  <c r="DZ41" i="11" l="1"/>
  <c r="DX33" i="15"/>
  <c r="DX30" i="15" s="1"/>
  <c r="DY122" i="11"/>
  <c r="DY45" i="5"/>
  <c r="DZ120" i="11" l="1"/>
  <c r="EA51" i="6" s="1"/>
  <c r="DZ43" i="11"/>
  <c r="DZ119" i="11"/>
  <c r="DZ121" i="11" s="1"/>
  <c r="DZ85" i="5" l="1"/>
  <c r="DZ83" i="5" s="1"/>
  <c r="DZ44" i="11"/>
  <c r="DZ45" i="5"/>
  <c r="DZ122" i="11"/>
  <c r="EA41" i="11" l="1"/>
  <c r="DY33" i="15"/>
  <c r="DY30" i="15" s="1"/>
  <c r="EA119" i="11"/>
  <c r="EA120" i="11" l="1"/>
  <c r="EA43" i="11"/>
  <c r="F29" i="10"/>
  <c r="EH29" i="10" s="1"/>
  <c r="O78" i="1"/>
  <c r="N75" i="1"/>
  <c r="N78" i="1" l="1"/>
  <c r="D79" i="32" s="1"/>
  <c r="D76" i="32"/>
  <c r="Q29" i="21"/>
  <c r="EA121" i="11"/>
  <c r="EB51" i="6"/>
  <c r="EA85" i="5"/>
  <c r="EA83" i="5" s="1"/>
  <c r="EA44" i="11"/>
  <c r="BJ29" i="10"/>
  <c r="AD29" i="10"/>
  <c r="CE29" i="10"/>
  <c r="DA29" i="10"/>
  <c r="N29" i="10"/>
  <c r="CA29" i="10"/>
  <c r="AH29" i="10"/>
  <c r="AH34" i="6" s="1"/>
  <c r="M29" i="10"/>
  <c r="AL29" i="10"/>
  <c r="AK180" i="11" s="1"/>
  <c r="BB29" i="10"/>
  <c r="BB34" i="6" s="1"/>
  <c r="P29" i="10"/>
  <c r="CU29" i="10"/>
  <c r="CT180" i="11" s="1"/>
  <c r="BF29" i="10"/>
  <c r="BG29" i="10"/>
  <c r="BF180" i="11" s="1"/>
  <c r="BH29" i="10"/>
  <c r="CB29" i="10"/>
  <c r="CB34" i="6" s="1"/>
  <c r="O29" i="10"/>
  <c r="O34" i="6" s="1"/>
  <c r="CF29" i="10"/>
  <c r="CH29" i="10"/>
  <c r="CH34" i="6" s="1"/>
  <c r="BC29" i="10"/>
  <c r="BB180" i="11" s="1"/>
  <c r="R29" i="10"/>
  <c r="R34" i="6" s="1"/>
  <c r="CX29" i="10"/>
  <c r="CX34" i="6" s="1"/>
  <c r="S29" i="10"/>
  <c r="R180" i="11" s="1"/>
  <c r="EL29" i="10"/>
  <c r="EL34" i="6" s="1"/>
  <c r="Y29" i="10"/>
  <c r="AA29" i="10"/>
  <c r="AA34" i="6" s="1"/>
  <c r="BI29" i="10"/>
  <c r="Z29" i="10"/>
  <c r="BD29" i="10"/>
  <c r="CC29" i="10"/>
  <c r="CB180" i="11" s="1"/>
  <c r="BX29" i="10"/>
  <c r="BK29" i="10"/>
  <c r="BJ180" i="11" s="1"/>
  <c r="U29" i="10"/>
  <c r="U34" i="6" s="1"/>
  <c r="AZ29" i="10"/>
  <c r="W29" i="10"/>
  <c r="W34" i="6" s="1"/>
  <c r="BA29" i="10"/>
  <c r="BA34" i="6" s="1"/>
  <c r="BY29" i="10"/>
  <c r="T29" i="10"/>
  <c r="BE29" i="10"/>
  <c r="BD180" i="11" s="1"/>
  <c r="BZ29" i="10"/>
  <c r="BZ34" i="6" s="1"/>
  <c r="EH34" i="6"/>
  <c r="EG180" i="11"/>
  <c r="EF29" i="10"/>
  <c r="EG29" i="10"/>
  <c r="EQ29" i="10"/>
  <c r="CJ29" i="10"/>
  <c r="CK29" i="10"/>
  <c r="CL29" i="10"/>
  <c r="CM29" i="10"/>
  <c r="CN29" i="10"/>
  <c r="CO29" i="10"/>
  <c r="CQ29" i="10"/>
  <c r="CR29" i="10"/>
  <c r="CS29" i="10"/>
  <c r="CT29" i="10"/>
  <c r="EM29" i="10"/>
  <c r="DX29" i="10"/>
  <c r="DY29" i="10"/>
  <c r="EB29" i="10"/>
  <c r="EC29" i="10"/>
  <c r="ED29" i="10"/>
  <c r="EE29" i="10"/>
  <c r="EA29" i="10"/>
  <c r="EK29" i="10"/>
  <c r="BL29" i="10"/>
  <c r="BM29" i="10"/>
  <c r="BN29" i="10"/>
  <c r="BO29" i="10"/>
  <c r="BP29" i="10"/>
  <c r="BQ29" i="10"/>
  <c r="BS29" i="10"/>
  <c r="BT29" i="10"/>
  <c r="BU29" i="10"/>
  <c r="BV29" i="10"/>
  <c r="EJ29" i="10"/>
  <c r="EI29" i="10"/>
  <c r="EN29" i="10"/>
  <c r="DT29" i="10"/>
  <c r="DU29" i="10"/>
  <c r="DV29" i="10"/>
  <c r="DW29" i="10"/>
  <c r="EP29" i="10"/>
  <c r="CD29" i="10"/>
  <c r="CG29" i="10"/>
  <c r="CI29" i="10"/>
  <c r="AN29" i="10"/>
  <c r="AP29" i="10"/>
  <c r="AQ29" i="10"/>
  <c r="AS29" i="10"/>
  <c r="AT29" i="10"/>
  <c r="AU29" i="10"/>
  <c r="AV29" i="10"/>
  <c r="AW29" i="10"/>
  <c r="AY29" i="10"/>
  <c r="DH29" i="10"/>
  <c r="DI29" i="10"/>
  <c r="DJ29" i="10"/>
  <c r="DK29" i="10"/>
  <c r="DL29" i="10"/>
  <c r="DM29" i="10"/>
  <c r="DN29" i="10"/>
  <c r="DO29" i="10"/>
  <c r="DP29" i="10"/>
  <c r="DQ29" i="10"/>
  <c r="DR29" i="10"/>
  <c r="DS29" i="10"/>
  <c r="DZ29" i="10"/>
  <c r="EO29" i="10"/>
  <c r="AO29" i="10"/>
  <c r="AR29" i="10"/>
  <c r="AX29" i="10"/>
  <c r="Q29" i="10"/>
  <c r="BR29" i="10"/>
  <c r="BW29" i="10"/>
  <c r="ER29" i="10"/>
  <c r="V29" i="10"/>
  <c r="X29" i="10"/>
  <c r="F51" i="10"/>
  <c r="AB29" i="10"/>
  <c r="AC29" i="10"/>
  <c r="AE29" i="10"/>
  <c r="AF29" i="10"/>
  <c r="AG29" i="10"/>
  <c r="AI29" i="10"/>
  <c r="AJ29" i="10"/>
  <c r="AK29" i="10"/>
  <c r="AM29" i="10"/>
  <c r="CP29" i="10"/>
  <c r="CV29" i="10"/>
  <c r="CW29" i="10"/>
  <c r="CY29" i="10"/>
  <c r="CZ29" i="10"/>
  <c r="DB29" i="10"/>
  <c r="DC29" i="10"/>
  <c r="DD29" i="10"/>
  <c r="DE29" i="10"/>
  <c r="DF29" i="10"/>
  <c r="DG29" i="10"/>
  <c r="EA122" i="11" l="1"/>
  <c r="EA45" i="5"/>
  <c r="EB41" i="11"/>
  <c r="DZ33" i="15"/>
  <c r="DZ30" i="15" s="1"/>
  <c r="M180" i="11"/>
  <c r="BI180" i="11"/>
  <c r="BJ34" i="6"/>
  <c r="CE34" i="6"/>
  <c r="CD180" i="11"/>
  <c r="DA34" i="6"/>
  <c r="CZ180" i="11"/>
  <c r="BZ180" i="11"/>
  <c r="CA34" i="6"/>
  <c r="BF34" i="6"/>
  <c r="BE180" i="11"/>
  <c r="CF34" i="6"/>
  <c r="CE180" i="11"/>
  <c r="X180" i="11"/>
  <c r="Y34" i="6"/>
  <c r="BH180" i="11"/>
  <c r="BI34" i="6"/>
  <c r="BY34" i="6"/>
  <c r="BX180" i="11"/>
  <c r="BC180" i="11"/>
  <c r="EK180" i="11"/>
  <c r="CU34" i="6"/>
  <c r="CA180" i="11"/>
  <c r="AG180" i="11"/>
  <c r="AL34" i="6"/>
  <c r="BD34" i="6"/>
  <c r="CG180" i="11"/>
  <c r="CC34" i="6"/>
  <c r="N180" i="11"/>
  <c r="BA180" i="11"/>
  <c r="BK34" i="6"/>
  <c r="CW180" i="11"/>
  <c r="M34" i="6"/>
  <c r="S34" i="6"/>
  <c r="BW180" i="11"/>
  <c r="Z180" i="11"/>
  <c r="BX34" i="6"/>
  <c r="Q180" i="11"/>
  <c r="BG34" i="6"/>
  <c r="N34" i="6"/>
  <c r="BC34" i="6"/>
  <c r="Z34" i="6"/>
  <c r="P34" i="6"/>
  <c r="O180" i="11"/>
  <c r="L180" i="11"/>
  <c r="L181" i="11" s="1"/>
  <c r="L182" i="11" s="1"/>
  <c r="BH34" i="6"/>
  <c r="BG180" i="11"/>
  <c r="AD34" i="6"/>
  <c r="AC180" i="11"/>
  <c r="Y180" i="11"/>
  <c r="V180" i="11"/>
  <c r="AZ180" i="11"/>
  <c r="T180" i="11"/>
  <c r="AZ34" i="6"/>
  <c r="AY180" i="11"/>
  <c r="BE34" i="6"/>
  <c r="BY180" i="11"/>
  <c r="Z49" i="1"/>
  <c r="K29" i="10"/>
  <c r="AE49" i="1"/>
  <c r="I14" i="21" s="1"/>
  <c r="T34" i="6"/>
  <c r="S180" i="11"/>
  <c r="AC49" i="1"/>
  <c r="CT34" i="6"/>
  <c r="AF49" i="1"/>
  <c r="CS180" i="11"/>
  <c r="BM34" i="6"/>
  <c r="BL180" i="11"/>
  <c r="CS34" i="6"/>
  <c r="CR180" i="11"/>
  <c r="AU34" i="6"/>
  <c r="AT180" i="11"/>
  <c r="DG34" i="6"/>
  <c r="DF180" i="11"/>
  <c r="AS34" i="6"/>
  <c r="AR180" i="11"/>
  <c r="EF34" i="6"/>
  <c r="EE180" i="11"/>
  <c r="DT34" i="6"/>
  <c r="DS180" i="11"/>
  <c r="AQ34" i="6"/>
  <c r="AP180" i="11"/>
  <c r="CQ34" i="6"/>
  <c r="CP180" i="11"/>
  <c r="AM34" i="6"/>
  <c r="AL180" i="11"/>
  <c r="AJ34" i="6"/>
  <c r="AI180" i="11"/>
  <c r="CO34" i="6"/>
  <c r="CN180" i="11"/>
  <c r="DP34" i="6"/>
  <c r="DO180" i="11"/>
  <c r="AT34" i="6"/>
  <c r="AS180" i="11"/>
  <c r="AI34" i="6"/>
  <c r="AH180" i="11"/>
  <c r="DL34" i="6"/>
  <c r="DK180" i="11"/>
  <c r="DK34" i="6"/>
  <c r="DJ180" i="11"/>
  <c r="AN34" i="6"/>
  <c r="AM180" i="11"/>
  <c r="BV34" i="6"/>
  <c r="AD49" i="1"/>
  <c r="BU180" i="11"/>
  <c r="EE34" i="6"/>
  <c r="ED180" i="11"/>
  <c r="CN34" i="6"/>
  <c r="CM180" i="11"/>
  <c r="BN34" i="6"/>
  <c r="BM180" i="11"/>
  <c r="DO34" i="6"/>
  <c r="DN180" i="11"/>
  <c r="DE34" i="6"/>
  <c r="DD180" i="11"/>
  <c r="EJ34" i="6"/>
  <c r="EI180" i="11"/>
  <c r="CM34" i="6"/>
  <c r="CL180" i="11"/>
  <c r="BR34" i="6"/>
  <c r="BQ180" i="11"/>
  <c r="EI34" i="6"/>
  <c r="EH180" i="11"/>
  <c r="DJ34" i="6"/>
  <c r="DI180" i="11"/>
  <c r="AA49" i="1"/>
  <c r="CR34" i="6"/>
  <c r="CQ180" i="11"/>
  <c r="AO34" i="6"/>
  <c r="AN180" i="11"/>
  <c r="DN34" i="6"/>
  <c r="DM180" i="11"/>
  <c r="EK34" i="6"/>
  <c r="EJ180" i="11"/>
  <c r="AF34" i="6"/>
  <c r="AE180" i="11"/>
  <c r="ED34" i="6"/>
  <c r="EC180" i="11"/>
  <c r="EO34" i="6"/>
  <c r="EN180" i="11"/>
  <c r="CL34" i="6"/>
  <c r="CK180" i="11"/>
  <c r="DZ34" i="6"/>
  <c r="DY180" i="11"/>
  <c r="BS34" i="6"/>
  <c r="BR180" i="11"/>
  <c r="DU34" i="6"/>
  <c r="DT180" i="11"/>
  <c r="AK34" i="6"/>
  <c r="AJ180" i="11"/>
  <c r="DF34" i="6"/>
  <c r="DE180" i="11"/>
  <c r="AG49" i="1"/>
  <c r="EN34" i="6"/>
  <c r="EM180" i="11"/>
  <c r="DM34" i="6"/>
  <c r="DL180" i="11"/>
  <c r="DD34" i="6"/>
  <c r="DC180" i="11"/>
  <c r="AX34" i="6"/>
  <c r="AB49" i="1"/>
  <c r="AW180" i="11"/>
  <c r="EA34" i="6"/>
  <c r="DZ180" i="11"/>
  <c r="AR34" i="6"/>
  <c r="AQ180" i="11"/>
  <c r="DB34" i="6"/>
  <c r="DA180" i="11"/>
  <c r="CI34" i="6"/>
  <c r="CH180" i="11"/>
  <c r="BT34" i="6"/>
  <c r="BS180" i="11"/>
  <c r="CY34" i="6"/>
  <c r="CX180" i="11"/>
  <c r="AB34" i="6"/>
  <c r="AA180" i="11"/>
  <c r="DH34" i="6"/>
  <c r="DG180" i="11"/>
  <c r="CD34" i="6"/>
  <c r="CC180" i="11"/>
  <c r="CK34" i="6"/>
  <c r="CJ180" i="11"/>
  <c r="BQ51" i="10"/>
  <c r="BQ43" i="10" s="1"/>
  <c r="BP51" i="10"/>
  <c r="BP43" i="10" s="1"/>
  <c r="P51" i="10"/>
  <c r="P43" i="10" s="1"/>
  <c r="EN51" i="10"/>
  <c r="EN43" i="10" s="1"/>
  <c r="DY51" i="10"/>
  <c r="DY43" i="10" s="1"/>
  <c r="DT51" i="10"/>
  <c r="DT43" i="10" s="1"/>
  <c r="DR51" i="10"/>
  <c r="DR43" i="10" s="1"/>
  <c r="DQ51" i="10"/>
  <c r="DQ43" i="10" s="1"/>
  <c r="DP51" i="10"/>
  <c r="DP43" i="10" s="1"/>
  <c r="DO51" i="10"/>
  <c r="DO43" i="10" s="1"/>
  <c r="DN51" i="10"/>
  <c r="DN43" i="10" s="1"/>
  <c r="DM51" i="10"/>
  <c r="DM43" i="10" s="1"/>
  <c r="DK51" i="10"/>
  <c r="DK43" i="10" s="1"/>
  <c r="DJ51" i="10"/>
  <c r="DJ43" i="10" s="1"/>
  <c r="DI51" i="10"/>
  <c r="DI43" i="10" s="1"/>
  <c r="DH51" i="10"/>
  <c r="DH43" i="10" s="1"/>
  <c r="DG51" i="10"/>
  <c r="DG43" i="10" s="1"/>
  <c r="AX51" i="10"/>
  <c r="AX43" i="10" s="1"/>
  <c r="AW51" i="10"/>
  <c r="AW43" i="10" s="1"/>
  <c r="AV51" i="10"/>
  <c r="AV43" i="10" s="1"/>
  <c r="AU51" i="10"/>
  <c r="AU43" i="10" s="1"/>
  <c r="AS51" i="10"/>
  <c r="AS43" i="10" s="1"/>
  <c r="AQ51" i="10"/>
  <c r="AQ43" i="10" s="1"/>
  <c r="AP51" i="10"/>
  <c r="AP43" i="10" s="1"/>
  <c r="AO51" i="10"/>
  <c r="AO43" i="10" s="1"/>
  <c r="AN51" i="10"/>
  <c r="AN43" i="10" s="1"/>
  <c r="U51" i="10"/>
  <c r="U43" i="10" s="1"/>
  <c r="M51" i="10"/>
  <c r="CH51" i="10"/>
  <c r="CH43" i="10" s="1"/>
  <c r="CF51" i="10"/>
  <c r="CF43" i="10" s="1"/>
  <c r="CC51" i="10"/>
  <c r="CC43" i="10" s="1"/>
  <c r="EO51" i="10"/>
  <c r="EO43" i="10" s="1"/>
  <c r="DV51" i="10"/>
  <c r="DV43" i="10" s="1"/>
  <c r="DU51" i="10"/>
  <c r="DU43" i="10" s="1"/>
  <c r="DS51" i="10"/>
  <c r="DS43" i="10" s="1"/>
  <c r="EH51" i="10"/>
  <c r="EH43" i="10" s="1"/>
  <c r="CT51" i="10"/>
  <c r="CT43" i="10" s="1"/>
  <c r="CN51" i="10"/>
  <c r="CN43" i="10" s="1"/>
  <c r="EP51" i="10"/>
  <c r="EP43" i="10" s="1"/>
  <c r="EI51" i="10"/>
  <c r="EI43" i="10" s="1"/>
  <c r="EJ51" i="10"/>
  <c r="EJ43" i="10" s="1"/>
  <c r="DX51" i="10"/>
  <c r="DX43" i="10" s="1"/>
  <c r="DF51" i="10"/>
  <c r="DF43" i="10" s="1"/>
  <c r="CZ51" i="10"/>
  <c r="CZ43" i="10" s="1"/>
  <c r="CW51" i="10"/>
  <c r="CW43" i="10" s="1"/>
  <c r="ER51" i="10"/>
  <c r="ER43" i="10" s="1"/>
  <c r="EQ51" i="10"/>
  <c r="EQ43" i="10" s="1"/>
  <c r="EK51" i="10"/>
  <c r="EK43" i="10" s="1"/>
  <c r="EL51" i="10"/>
  <c r="EL43" i="10" s="1"/>
  <c r="CS51" i="10"/>
  <c r="CS43" i="10" s="1"/>
  <c r="CR51" i="10"/>
  <c r="CR43" i="10" s="1"/>
  <c r="CQ51" i="10"/>
  <c r="CQ43" i="10" s="1"/>
  <c r="CP51" i="10"/>
  <c r="CP43" i="10" s="1"/>
  <c r="CO51" i="10"/>
  <c r="CO43" i="10" s="1"/>
  <c r="CM51" i="10"/>
  <c r="CM43" i="10" s="1"/>
  <c r="CL51" i="10"/>
  <c r="CL43" i="10" s="1"/>
  <c r="CK51" i="10"/>
  <c r="CK43" i="10" s="1"/>
  <c r="CJ51" i="10"/>
  <c r="CJ43" i="10" s="1"/>
  <c r="CI51" i="10"/>
  <c r="CI43" i="10" s="1"/>
  <c r="EF51" i="10"/>
  <c r="EF43" i="10" s="1"/>
  <c r="EE51" i="10"/>
  <c r="EE43" i="10" s="1"/>
  <c r="EM51" i="10"/>
  <c r="EM43" i="10" s="1"/>
  <c r="EG51" i="10"/>
  <c r="EG43" i="10" s="1"/>
  <c r="DZ51" i="10"/>
  <c r="DZ43" i="10" s="1"/>
  <c r="DE51" i="10"/>
  <c r="DE43" i="10" s="1"/>
  <c r="DD51" i="10"/>
  <c r="DD43" i="10" s="1"/>
  <c r="DC51" i="10"/>
  <c r="DC43" i="10" s="1"/>
  <c r="DB51" i="10"/>
  <c r="DB43" i="10" s="1"/>
  <c r="DA51" i="10"/>
  <c r="DA43" i="10" s="1"/>
  <c r="CY51" i="10"/>
  <c r="CY43" i="10" s="1"/>
  <c r="CX51" i="10"/>
  <c r="CX43" i="10" s="1"/>
  <c r="CV51" i="10"/>
  <c r="CV43" i="10" s="1"/>
  <c r="CU51" i="10"/>
  <c r="CU43" i="10" s="1"/>
  <c r="DL51" i="10"/>
  <c r="DL43" i="10" s="1"/>
  <c r="BS51" i="10"/>
  <c r="BS43" i="10" s="1"/>
  <c r="AR51" i="10"/>
  <c r="AR43" i="10" s="1"/>
  <c r="ED51" i="10"/>
  <c r="ED43" i="10" s="1"/>
  <c r="BG51" i="10"/>
  <c r="BG43" i="10" s="1"/>
  <c r="BD51" i="10"/>
  <c r="BD43" i="10" s="1"/>
  <c r="BA51" i="10"/>
  <c r="BA43" i="10" s="1"/>
  <c r="AK51" i="10"/>
  <c r="AK43" i="10" s="1"/>
  <c r="AG51" i="10"/>
  <c r="AG43" i="10" s="1"/>
  <c r="AC51" i="10"/>
  <c r="AC43" i="10" s="1"/>
  <c r="EC51" i="10"/>
  <c r="EC43" i="10" s="1"/>
  <c r="CE51" i="10"/>
  <c r="CE43" i="10" s="1"/>
  <c r="BU51" i="10"/>
  <c r="BU43" i="10" s="1"/>
  <c r="BN51" i="10"/>
  <c r="BN43" i="10" s="1"/>
  <c r="EB51" i="10"/>
  <c r="EB43" i="10" s="1"/>
  <c r="CA51" i="10"/>
  <c r="CA43" i="10" s="1"/>
  <c r="BX51" i="10"/>
  <c r="BX43" i="10" s="1"/>
  <c r="EA51" i="10"/>
  <c r="EA43" i="10" s="1"/>
  <c r="BL51" i="10"/>
  <c r="BL43" i="10" s="1"/>
  <c r="BJ51" i="10"/>
  <c r="BJ43" i="10" s="1"/>
  <c r="CD51" i="10"/>
  <c r="CD43" i="10" s="1"/>
  <c r="BR51" i="10"/>
  <c r="BR43" i="10" s="1"/>
  <c r="BE51" i="10"/>
  <c r="BE43" i="10" s="1"/>
  <c r="BB51" i="10"/>
  <c r="BB43" i="10" s="1"/>
  <c r="AY51" i="10"/>
  <c r="AY43" i="10" s="1"/>
  <c r="R51" i="10"/>
  <c r="R43" i="10" s="1"/>
  <c r="Z51" i="10"/>
  <c r="Z43" i="10" s="1"/>
  <c r="BW51" i="10"/>
  <c r="BW43" i="10" s="1"/>
  <c r="BH51" i="10"/>
  <c r="BH43" i="10" s="1"/>
  <c r="T51" i="10"/>
  <c r="T43" i="10" s="1"/>
  <c r="O51" i="10"/>
  <c r="O43" i="10" s="1"/>
  <c r="X51" i="10"/>
  <c r="X43" i="10" s="1"/>
  <c r="AA51" i="10"/>
  <c r="AA43" i="10" s="1"/>
  <c r="AF51" i="10"/>
  <c r="AF43" i="10" s="1"/>
  <c r="BZ51" i="10"/>
  <c r="BZ43" i="10" s="1"/>
  <c r="BT51" i="10"/>
  <c r="BT43" i="10" s="1"/>
  <c r="BM51" i="10"/>
  <c r="BM43" i="10" s="1"/>
  <c r="AZ51" i="10"/>
  <c r="AZ43" i="10" s="1"/>
  <c r="V51" i="10"/>
  <c r="V43" i="10" s="1"/>
  <c r="S51" i="10"/>
  <c r="S43" i="10" s="1"/>
  <c r="AB51" i="10"/>
  <c r="AB43" i="10" s="1"/>
  <c r="AL51" i="10"/>
  <c r="AL43" i="10" s="1"/>
  <c r="DW51" i="10"/>
  <c r="DW43" i="10" s="1"/>
  <c r="CG51" i="10"/>
  <c r="CG43" i="10" s="1"/>
  <c r="BO51" i="10"/>
  <c r="BO43" i="10" s="1"/>
  <c r="W51" i="10"/>
  <c r="W43" i="10" s="1"/>
  <c r="BF51" i="10"/>
  <c r="BF43" i="10" s="1"/>
  <c r="BC51" i="10"/>
  <c r="BC43" i="10" s="1"/>
  <c r="AT51" i="10"/>
  <c r="AT43" i="10" s="1"/>
  <c r="AH51" i="10"/>
  <c r="AH43" i="10" s="1"/>
  <c r="AD51" i="10"/>
  <c r="AD43" i="10" s="1"/>
  <c r="Q51" i="10"/>
  <c r="Q43" i="10" s="1"/>
  <c r="BV51" i="10"/>
  <c r="BV43" i="10" s="1"/>
  <c r="CB51" i="10"/>
  <c r="CB43" i="10" s="1"/>
  <c r="BY51" i="10"/>
  <c r="BY43" i="10" s="1"/>
  <c r="BK51" i="10"/>
  <c r="BK43" i="10" s="1"/>
  <c r="BI51" i="10"/>
  <c r="BI43" i="10" s="1"/>
  <c r="Y51" i="10"/>
  <c r="Y43" i="10" s="1"/>
  <c r="N51" i="10"/>
  <c r="N43" i="10" s="1"/>
  <c r="AM51" i="10"/>
  <c r="AM43" i="10" s="1"/>
  <c r="AI51" i="10"/>
  <c r="AI43" i="10" s="1"/>
  <c r="AE51" i="10"/>
  <c r="AE43" i="10" s="1"/>
  <c r="AJ51" i="10"/>
  <c r="AJ43" i="10" s="1"/>
  <c r="DS34" i="6"/>
  <c r="DR180" i="11"/>
  <c r="EP34" i="6"/>
  <c r="EO180" i="11"/>
  <c r="DY34" i="6"/>
  <c r="DX180" i="11"/>
  <c r="CJ34" i="6"/>
  <c r="CI180" i="11"/>
  <c r="CV34" i="6"/>
  <c r="CU180" i="11"/>
  <c r="X34" i="6"/>
  <c r="W180" i="11"/>
  <c r="DR34" i="6"/>
  <c r="AH49" i="1"/>
  <c r="DQ180" i="11"/>
  <c r="AW34" i="6"/>
  <c r="AV180" i="11"/>
  <c r="DW34" i="6"/>
  <c r="DV180" i="11"/>
  <c r="BP34" i="6"/>
  <c r="BO180" i="11"/>
  <c r="DX34" i="6"/>
  <c r="DW180" i="11"/>
  <c r="EQ34" i="6"/>
  <c r="EP180" i="11"/>
  <c r="ER34" i="6"/>
  <c r="EQ180" i="11"/>
  <c r="BW34" i="6"/>
  <c r="BV180" i="11"/>
  <c r="BL34" i="6"/>
  <c r="BK180" i="11"/>
  <c r="Q34" i="6"/>
  <c r="P180" i="11"/>
  <c r="AG34" i="6"/>
  <c r="AF180" i="11"/>
  <c r="AP34" i="6"/>
  <c r="AO180" i="11"/>
  <c r="DC34" i="6"/>
  <c r="DB180" i="11"/>
  <c r="AE34" i="6"/>
  <c r="AD180" i="11"/>
  <c r="BU34" i="6"/>
  <c r="BT180" i="11"/>
  <c r="CZ34" i="6"/>
  <c r="CY180" i="11"/>
  <c r="AC34" i="6"/>
  <c r="AB180" i="11"/>
  <c r="DI34" i="6"/>
  <c r="DH180" i="11"/>
  <c r="CG34" i="6"/>
  <c r="CF180" i="11"/>
  <c r="EC34" i="6"/>
  <c r="EB180" i="11"/>
  <c r="EB34" i="6"/>
  <c r="EA180" i="11"/>
  <c r="CW34" i="6"/>
  <c r="CV180" i="11"/>
  <c r="AY34" i="6"/>
  <c r="AX180" i="11"/>
  <c r="BQ34" i="6"/>
  <c r="BP180" i="11"/>
  <c r="CP34" i="6"/>
  <c r="CO180" i="11"/>
  <c r="V34" i="6"/>
  <c r="U180" i="11"/>
  <c r="DQ34" i="6"/>
  <c r="DP180" i="11"/>
  <c r="AV34" i="6"/>
  <c r="AU180" i="11"/>
  <c r="DV34" i="6"/>
  <c r="DU180" i="11"/>
  <c r="BO34" i="6"/>
  <c r="BN180" i="11"/>
  <c r="EM34" i="6"/>
  <c r="EL180" i="11"/>
  <c r="EG34" i="6"/>
  <c r="EF180" i="11"/>
  <c r="Y49" i="1"/>
  <c r="I13" i="30" l="1"/>
  <c r="G557" i="32"/>
  <c r="I13" i="35"/>
  <c r="F13" i="30"/>
  <c r="K13" i="30"/>
  <c r="N13" i="35"/>
  <c r="M13" i="30"/>
  <c r="P13" i="35"/>
  <c r="G13" i="30"/>
  <c r="J13" i="35"/>
  <c r="L13" i="30"/>
  <c r="O13" i="35"/>
  <c r="H13" i="30"/>
  <c r="K13" i="35"/>
  <c r="L13" i="35"/>
  <c r="J13" i="30"/>
  <c r="M13" i="35"/>
  <c r="F557" i="32"/>
  <c r="L557" i="32"/>
  <c r="E557" i="32"/>
  <c r="D14" i="21"/>
  <c r="I557" i="32"/>
  <c r="K14" i="21"/>
  <c r="E14" i="21"/>
  <c r="H14" i="21"/>
  <c r="K557" i="32"/>
  <c r="C14" i="21"/>
  <c r="J557" i="32"/>
  <c r="L14" i="21"/>
  <c r="M28" i="16"/>
  <c r="D557" i="32"/>
  <c r="F14" i="21"/>
  <c r="G14" i="21"/>
  <c r="J14" i="21"/>
  <c r="H557" i="32"/>
  <c r="EB119" i="11"/>
  <c r="EB43" i="11"/>
  <c r="EB120" i="11"/>
  <c r="EC51" i="6" s="1"/>
  <c r="U28" i="16"/>
  <c r="L688" i="32" s="1"/>
  <c r="J180" i="11"/>
  <c r="AI49" i="1"/>
  <c r="AF28" i="16"/>
  <c r="W688" i="32" s="1"/>
  <c r="P28" i="16"/>
  <c r="X28" i="16"/>
  <c r="O688" i="32" s="1"/>
  <c r="O28" i="16"/>
  <c r="F688" i="32" s="1"/>
  <c r="W28" i="16"/>
  <c r="N688" i="32" s="1"/>
  <c r="S28" i="16"/>
  <c r="J688" i="32" s="1"/>
  <c r="L30" i="5"/>
  <c r="M179" i="11"/>
  <c r="AJ28" i="16"/>
  <c r="AH28" i="16"/>
  <c r="N28" i="16"/>
  <c r="AI28" i="16"/>
  <c r="Y28" i="16"/>
  <c r="P688" i="32" s="1"/>
  <c r="V28" i="16"/>
  <c r="M688" i="32" s="1"/>
  <c r="AA28" i="16"/>
  <c r="R688" i="32" s="1"/>
  <c r="AB28" i="16"/>
  <c r="S688" i="32" s="1"/>
  <c r="R28" i="16"/>
  <c r="I688" i="32" s="1"/>
  <c r="Q28" i="16"/>
  <c r="H688" i="32" s="1"/>
  <c r="M43" i="10"/>
  <c r="K51" i="10"/>
  <c r="T28" i="16"/>
  <c r="K688" i="32" s="1"/>
  <c r="Z28" i="16"/>
  <c r="Q688" i="32" s="1"/>
  <c r="AE28" i="16"/>
  <c r="V688" i="32" s="1"/>
  <c r="AC28" i="16"/>
  <c r="T688" i="32" s="1"/>
  <c r="AD28" i="16"/>
  <c r="U688" i="32" s="1"/>
  <c r="AG28" i="16"/>
  <c r="X688" i="32" s="1"/>
  <c r="K34" i="6"/>
  <c r="D13" i="35" l="1"/>
  <c r="E13" i="35" s="1"/>
  <c r="H13" i="35"/>
  <c r="H127" i="32"/>
  <c r="K127" i="32"/>
  <c r="E688" i="32"/>
  <c r="E127" i="32"/>
  <c r="D688" i="32"/>
  <c r="D127" i="32"/>
  <c r="M127" i="32"/>
  <c r="G127" i="32"/>
  <c r="N127" i="32"/>
  <c r="G688" i="32"/>
  <c r="F127" i="32"/>
  <c r="L127" i="32"/>
  <c r="C557" i="32"/>
  <c r="L25" i="26"/>
  <c r="D167" i="32" s="1"/>
  <c r="D597" i="32"/>
  <c r="J127" i="32"/>
  <c r="I127" i="32"/>
  <c r="E13" i="30"/>
  <c r="EB121" i="11"/>
  <c r="EB85" i="5"/>
  <c r="EB83" i="5" s="1"/>
  <c r="EB44" i="11"/>
  <c r="K28" i="16"/>
  <c r="M181" i="11"/>
  <c r="M182" i="11" s="1"/>
  <c r="L25" i="17"/>
  <c r="D728" i="32" s="1"/>
  <c r="AJ49" i="1"/>
  <c r="K43" i="10"/>
  <c r="X49" i="1"/>
  <c r="C688" i="32" l="1"/>
  <c r="C127" i="32"/>
  <c r="AJ53" i="1"/>
  <c r="M14" i="21"/>
  <c r="M16" i="21" s="1"/>
  <c r="EB45" i="5"/>
  <c r="EB122" i="11"/>
  <c r="EC41" i="11"/>
  <c r="EA33" i="15"/>
  <c r="N179" i="11"/>
  <c r="M30" i="5"/>
  <c r="EC119" i="11" l="1"/>
  <c r="EC120" i="11"/>
  <c r="EC43" i="11"/>
  <c r="EA30" i="15"/>
  <c r="AE28" i="18"/>
  <c r="N181" i="11"/>
  <c r="AE25" i="18" l="1"/>
  <c r="N222" i="32"/>
  <c r="EC121" i="11"/>
  <c r="ED51" i="6"/>
  <c r="EC85" i="5"/>
  <c r="EC44" i="11"/>
  <c r="N30" i="5"/>
  <c r="N182" i="11"/>
  <c r="EC83" i="5" l="1"/>
  <c r="EC122" i="11"/>
  <c r="EC45" i="5"/>
  <c r="ED41" i="11"/>
  <c r="EB33" i="15"/>
  <c r="EB30" i="15" s="1"/>
  <c r="O179" i="11"/>
  <c r="ED119" i="11" l="1"/>
  <c r="ED120" i="11"/>
  <c r="EE51" i="6" s="1"/>
  <c r="ED43" i="11"/>
  <c r="O181" i="11"/>
  <c r="O182" i="11" s="1"/>
  <c r="ED121" i="11" l="1"/>
  <c r="ED85" i="5"/>
  <c r="ED44" i="11"/>
  <c r="O30" i="5"/>
  <c r="E597" i="32" s="1"/>
  <c r="P179" i="11"/>
  <c r="ED83" i="5" l="1"/>
  <c r="ED122" i="11"/>
  <c r="ED45" i="5"/>
  <c r="EC33" i="15"/>
  <c r="EC30" i="15" s="1"/>
  <c r="EE41" i="11"/>
  <c r="P181" i="11"/>
  <c r="P182" i="11" s="1"/>
  <c r="EE119" i="11" l="1"/>
  <c r="EE120" i="11"/>
  <c r="EE43" i="11"/>
  <c r="Q179" i="11"/>
  <c r="P30" i="5"/>
  <c r="EE121" i="11" l="1"/>
  <c r="EF51" i="6"/>
  <c r="EE85" i="5"/>
  <c r="EE44" i="11"/>
  <c r="Q181" i="11"/>
  <c r="Q30" i="5" s="1"/>
  <c r="EE83" i="5" l="1"/>
  <c r="EE122" i="11"/>
  <c r="EE45" i="5"/>
  <c r="ED33" i="15"/>
  <c r="ED30" i="15" s="1"/>
  <c r="EF41" i="11"/>
  <c r="Q182" i="11"/>
  <c r="EF119" i="11" l="1"/>
  <c r="EF120" i="11"/>
  <c r="EG51" i="6" s="1"/>
  <c r="EF43" i="11"/>
  <c r="R179" i="11"/>
  <c r="EF121" i="11" l="1"/>
  <c r="EF45" i="5" s="1"/>
  <c r="EF85" i="5"/>
  <c r="EF44" i="11"/>
  <c r="R181" i="11"/>
  <c r="R30" i="5" s="1"/>
  <c r="F597" i="32" l="1"/>
  <c r="EF83" i="5"/>
  <c r="EF122" i="11"/>
  <c r="EG119" i="11" s="1"/>
  <c r="EE33" i="15"/>
  <c r="EE30" i="15" s="1"/>
  <c r="EG41" i="11"/>
  <c r="R182" i="11"/>
  <c r="EG43" i="11" l="1"/>
  <c r="EG120" i="11"/>
  <c r="S179" i="11"/>
  <c r="EG85" i="5" l="1"/>
  <c r="EG44" i="11"/>
  <c r="EG121" i="11"/>
  <c r="EH51" i="6"/>
  <c r="S181" i="11"/>
  <c r="S30" i="5" s="1"/>
  <c r="EG83" i="5" l="1"/>
  <c r="EH41" i="11"/>
  <c r="EF33" i="15"/>
  <c r="EF30" i="15" s="1"/>
  <c r="EG122" i="11"/>
  <c r="EG45" i="5"/>
  <c r="S182" i="11"/>
  <c r="EH120" i="11" l="1"/>
  <c r="EI51" i="6" s="1"/>
  <c r="EH43" i="11"/>
  <c r="EH119" i="11"/>
  <c r="T179" i="11"/>
  <c r="T181" i="11" s="1"/>
  <c r="T30" i="5" s="1"/>
  <c r="EH85" i="5" l="1"/>
  <c r="EH83" i="5" s="1"/>
  <c r="EH44" i="11"/>
  <c r="EH121" i="11"/>
  <c r="T182" i="11"/>
  <c r="U179" i="11" s="1"/>
  <c r="EI41" i="11" l="1"/>
  <c r="EG33" i="15"/>
  <c r="EH122" i="11"/>
  <c r="EH45" i="5"/>
  <c r="U181" i="11"/>
  <c r="U30" i="5" s="1"/>
  <c r="G597" i="32" s="1"/>
  <c r="EI120" i="11" l="1"/>
  <c r="EI43" i="11"/>
  <c r="EG30" i="15"/>
  <c r="AF28" i="18"/>
  <c r="AF25" i="18" s="1"/>
  <c r="EI119" i="11"/>
  <c r="AH45" i="16"/>
  <c r="AG45" i="16"/>
  <c r="AG80" i="17"/>
  <c r="AG78" i="17" s="1"/>
  <c r="AF80" i="17"/>
  <c r="U182" i="11"/>
  <c r="V179" i="11" s="1"/>
  <c r="EI121" i="11" l="1"/>
  <c r="EJ51" i="6"/>
  <c r="EI85" i="5"/>
  <c r="EI44" i="11"/>
  <c r="AF78" i="17"/>
  <c r="V181" i="11"/>
  <c r="V30" i="5" s="1"/>
  <c r="EI122" i="11" l="1"/>
  <c r="EJ119" i="11" s="1"/>
  <c r="EI45" i="5"/>
  <c r="EI83" i="5"/>
  <c r="EH33" i="15"/>
  <c r="EH30" i="15" s="1"/>
  <c r="EJ41" i="11"/>
  <c r="V182" i="11"/>
  <c r="EJ43" i="11" l="1"/>
  <c r="EJ120" i="11"/>
  <c r="W179" i="11"/>
  <c r="W181" i="11" s="1"/>
  <c r="W30" i="5" s="1"/>
  <c r="EJ85" i="5" l="1"/>
  <c r="EJ44" i="11"/>
  <c r="EJ121" i="11"/>
  <c r="EK51" i="6"/>
  <c r="W182" i="11"/>
  <c r="EJ83" i="5" l="1"/>
  <c r="EK41" i="11"/>
  <c r="EI33" i="15"/>
  <c r="EI30" i="15" s="1"/>
  <c r="EJ122" i="11"/>
  <c r="EJ45" i="5"/>
  <c r="AG40" i="17"/>
  <c r="AF40" i="17"/>
  <c r="AE40" i="17"/>
  <c r="X179" i="11"/>
  <c r="EK43" i="11" l="1"/>
  <c r="EK120" i="11"/>
  <c r="EK119" i="11"/>
  <c r="X181" i="11"/>
  <c r="X30" i="5" s="1"/>
  <c r="EK121" i="11" l="1"/>
  <c r="EK122" i="11" s="1"/>
  <c r="H597" i="32"/>
  <c r="EK85" i="5"/>
  <c r="EK44" i="11"/>
  <c r="EL51" i="6"/>
  <c r="X182" i="11"/>
  <c r="Y179" i="11" s="1"/>
  <c r="EK45" i="5" l="1"/>
  <c r="EK83" i="5"/>
  <c r="EL41" i="11"/>
  <c r="EJ33" i="15"/>
  <c r="EJ30" i="15" s="1"/>
  <c r="EL119" i="11"/>
  <c r="Y181" i="11"/>
  <c r="Y30" i="5" s="1"/>
  <c r="EL43" i="11" l="1"/>
  <c r="EL120" i="11"/>
  <c r="Y182" i="11"/>
  <c r="Z179" i="11" s="1"/>
  <c r="EL85" i="5" l="1"/>
  <c r="EL44" i="11"/>
  <c r="EL121" i="11"/>
  <c r="EM51" i="6"/>
  <c r="Z181" i="11"/>
  <c r="Z30" i="5" s="1"/>
  <c r="EL83" i="5" l="1"/>
  <c r="EK33" i="15"/>
  <c r="EK30" i="15" s="1"/>
  <c r="EM41" i="11"/>
  <c r="EL122" i="11"/>
  <c r="EL45" i="5"/>
  <c r="Z182" i="11"/>
  <c r="EM120" i="11" l="1"/>
  <c r="EM43" i="11"/>
  <c r="EM119" i="11"/>
  <c r="AA179" i="11"/>
  <c r="EN51" i="6" l="1"/>
  <c r="EM85" i="5"/>
  <c r="EM44" i="11"/>
  <c r="EM121" i="11"/>
  <c r="EM122" i="11" s="1"/>
  <c r="AA181" i="11"/>
  <c r="AA30" i="5" s="1"/>
  <c r="I597" i="32" s="1"/>
  <c r="EM83" i="5" l="1"/>
  <c r="EN41" i="11"/>
  <c r="EL33" i="15"/>
  <c r="EL30" i="15" s="1"/>
  <c r="EN119" i="11"/>
  <c r="EM45" i="5"/>
  <c r="AA182" i="11"/>
  <c r="AB179" i="11" s="1"/>
  <c r="EN43" i="11" l="1"/>
  <c r="EN120" i="11"/>
  <c r="EN121" i="11"/>
  <c r="AB181" i="11"/>
  <c r="AB30" i="5" s="1"/>
  <c r="EN122" i="11" l="1"/>
  <c r="EO119" i="11" s="1"/>
  <c r="EN85" i="5"/>
  <c r="EN44" i="11"/>
  <c r="EO51" i="6"/>
  <c r="EN45" i="5"/>
  <c r="AB182" i="11"/>
  <c r="EN83" i="5" l="1"/>
  <c r="EO41" i="11"/>
  <c r="EM33" i="15"/>
  <c r="AH40" i="17"/>
  <c r="AC179" i="11"/>
  <c r="EO120" i="11" l="1"/>
  <c r="EO43" i="11"/>
  <c r="AG28" i="18"/>
  <c r="AG25" i="18" s="1"/>
  <c r="EM30" i="15"/>
  <c r="AC181" i="11"/>
  <c r="AC30" i="5" s="1"/>
  <c r="EO121" i="11" l="1"/>
  <c r="EO122" i="11" s="1"/>
  <c r="EP51" i="6"/>
  <c r="EO85" i="5"/>
  <c r="EO44" i="11"/>
  <c r="AC182" i="11"/>
  <c r="EO45" i="5" l="1"/>
  <c r="EP119" i="11"/>
  <c r="EO83" i="5"/>
  <c r="EP41" i="11"/>
  <c r="EN33" i="15"/>
  <c r="EN30" i="15" s="1"/>
  <c r="AD179" i="11"/>
  <c r="EP120" i="11" l="1"/>
  <c r="EP43" i="11"/>
  <c r="AD181" i="11"/>
  <c r="AD30" i="5" s="1"/>
  <c r="J597" i="32" l="1"/>
  <c r="EP121" i="11"/>
  <c r="EQ51" i="6"/>
  <c r="EP85" i="5"/>
  <c r="EP44" i="11"/>
  <c r="AD182" i="11"/>
  <c r="EP122" i="11" l="1"/>
  <c r="EP45" i="5"/>
  <c r="EP83" i="5"/>
  <c r="EO33" i="15"/>
  <c r="EO30" i="15" s="1"/>
  <c r="EQ41" i="11"/>
  <c r="AE179" i="11"/>
  <c r="EQ119" i="11" l="1"/>
  <c r="EQ43" i="11"/>
  <c r="EQ44" i="11" s="1"/>
  <c r="EP33" i="15" s="1"/>
  <c r="EP30" i="15" s="1"/>
  <c r="EQ120" i="11"/>
  <c r="AE181" i="11"/>
  <c r="AE30" i="5" s="1"/>
  <c r="EQ121" i="11" l="1"/>
  <c r="J121" i="11" s="1"/>
  <c r="J43" i="11"/>
  <c r="EQ85" i="5"/>
  <c r="J120" i="11"/>
  <c r="ER51" i="6"/>
  <c r="AE182" i="11"/>
  <c r="M80" i="26" l="1"/>
  <c r="E190" i="32" s="1"/>
  <c r="N80" i="26"/>
  <c r="O80" i="26"/>
  <c r="P80" i="26"/>
  <c r="Q80" i="26"/>
  <c r="R80" i="26"/>
  <c r="S80" i="26"/>
  <c r="T80" i="26"/>
  <c r="U80" i="26"/>
  <c r="V80" i="26"/>
  <c r="W80" i="26"/>
  <c r="W78" i="26" s="1"/>
  <c r="X80" i="26"/>
  <c r="X78" i="26" s="1"/>
  <c r="EQ122" i="11"/>
  <c r="EQ45" i="5"/>
  <c r="AI80" i="17"/>
  <c r="AI78" i="17" s="1"/>
  <c r="J85" i="5"/>
  <c r="J83" i="5" s="1"/>
  <c r="AH80" i="17"/>
  <c r="EQ83" i="5"/>
  <c r="AJ45" i="16"/>
  <c r="K51" i="6"/>
  <c r="AI45" i="16"/>
  <c r="AF179" i="11"/>
  <c r="AF181" i="11" s="1"/>
  <c r="AF30" i="5" s="1"/>
  <c r="J45" i="5" l="1"/>
  <c r="AI40" i="17"/>
  <c r="P78" i="26"/>
  <c r="H190" i="32"/>
  <c r="R78" i="26"/>
  <c r="J190" i="32"/>
  <c r="O78" i="26"/>
  <c r="G190" i="32"/>
  <c r="T78" i="26"/>
  <c r="L190" i="32"/>
  <c r="Q78" i="26"/>
  <c r="I190" i="32"/>
  <c r="V78" i="26"/>
  <c r="N190" i="32"/>
  <c r="N78" i="26"/>
  <c r="F190" i="32"/>
  <c r="S78" i="26"/>
  <c r="K190" i="32"/>
  <c r="U78" i="26"/>
  <c r="M190" i="32"/>
  <c r="M40" i="26"/>
  <c r="N40" i="26"/>
  <c r="O40" i="26"/>
  <c r="P40" i="26"/>
  <c r="Q40" i="26"/>
  <c r="R40" i="26"/>
  <c r="S40" i="26"/>
  <c r="T40" i="26"/>
  <c r="U40" i="26"/>
  <c r="V40" i="26"/>
  <c r="W40" i="26"/>
  <c r="X40" i="26"/>
  <c r="M78" i="26"/>
  <c r="J80" i="26"/>
  <c r="J78" i="26" s="1"/>
  <c r="J80" i="17"/>
  <c r="J78" i="17" s="1"/>
  <c r="AH78" i="17"/>
  <c r="K45" i="16"/>
  <c r="AF182" i="11"/>
  <c r="J40" i="17" l="1"/>
  <c r="C190" i="32"/>
  <c r="N620" i="32"/>
  <c r="O620" i="32" s="1"/>
  <c r="J40" i="26"/>
  <c r="AG179" i="11"/>
  <c r="AG181" i="11" s="1"/>
  <c r="AG30" i="5" s="1"/>
  <c r="K597" i="32" s="1"/>
  <c r="AG182" i="11" l="1"/>
  <c r="AH179" i="11" s="1"/>
  <c r="AH181" i="11" l="1"/>
  <c r="AH30" i="5" s="1"/>
  <c r="AH182" i="11" l="1"/>
  <c r="AI179" i="11" l="1"/>
  <c r="AI181" i="11" l="1"/>
  <c r="AI30" i="5" s="1"/>
  <c r="AI182" i="11" l="1"/>
  <c r="AJ179" i="11" l="1"/>
  <c r="AJ181" i="11" l="1"/>
  <c r="AJ30" i="5" s="1"/>
  <c r="L597" i="32" l="1"/>
  <c r="AJ182" i="11"/>
  <c r="AK179" i="11" s="1"/>
  <c r="C597" i="32" l="1"/>
  <c r="AK181" i="11"/>
  <c r="AK30" i="5" s="1"/>
  <c r="AK182" i="11" l="1"/>
  <c r="AL179" i="11" s="1"/>
  <c r="AL181" i="11" l="1"/>
  <c r="AL30" i="5" s="1"/>
  <c r="AL182" i="11" l="1"/>
  <c r="AM179" i="11" l="1"/>
  <c r="AM181" i="11" l="1"/>
  <c r="AM30" i="5" s="1"/>
  <c r="AM182" i="11" l="1"/>
  <c r="AN179" i="11" l="1"/>
  <c r="AN181" i="11" l="1"/>
  <c r="AN30" i="5" s="1"/>
  <c r="AN182" i="11" l="1"/>
  <c r="AO179" i="11" l="1"/>
  <c r="AO181" i="11" l="1"/>
  <c r="AO30" i="5" s="1"/>
  <c r="AO182" i="11" l="1"/>
  <c r="AP179" i="11" l="1"/>
  <c r="AP181" i="11" l="1"/>
  <c r="AP30" i="5" s="1"/>
  <c r="AP182" i="11" l="1"/>
  <c r="AQ179" i="11" l="1"/>
  <c r="AQ181" i="11" l="1"/>
  <c r="AQ30" i="5" s="1"/>
  <c r="AQ182" i="11" l="1"/>
  <c r="AR179" i="11" l="1"/>
  <c r="AR181" i="11" s="1"/>
  <c r="AR30" i="5" s="1"/>
  <c r="AR182" i="11" l="1"/>
  <c r="AS179" i="11" s="1"/>
  <c r="AS181" i="11" l="1"/>
  <c r="AS30" i="5" s="1"/>
  <c r="AS182" i="11" l="1"/>
  <c r="AT179" i="11" s="1"/>
  <c r="AT181" i="11" l="1"/>
  <c r="AT30" i="5" s="1"/>
  <c r="AT182" i="11" l="1"/>
  <c r="AU179" i="11" s="1"/>
  <c r="AU181" i="11" l="1"/>
  <c r="AU30" i="5" s="1"/>
  <c r="AU182" i="11" l="1"/>
  <c r="AV179" i="11" l="1"/>
  <c r="AV181" i="11" l="1"/>
  <c r="AV30" i="5" s="1"/>
  <c r="AV182" i="11" l="1"/>
  <c r="AW179" i="11" s="1"/>
  <c r="AW181" i="11" l="1"/>
  <c r="AW30" i="5" s="1"/>
  <c r="AW182" i="11" l="1"/>
  <c r="AX179" i="11" l="1"/>
  <c r="AX181" i="11" l="1"/>
  <c r="AX30" i="5" s="1"/>
  <c r="AX182" i="11" l="1"/>
  <c r="AY179" i="11" s="1"/>
  <c r="AY181" i="11" l="1"/>
  <c r="AY30" i="5" s="1"/>
  <c r="AY182" i="11" l="1"/>
  <c r="AZ179" i="11" s="1"/>
  <c r="AZ181" i="11" l="1"/>
  <c r="AZ30" i="5" s="1"/>
  <c r="AZ182" i="11" l="1"/>
  <c r="BA179" i="11" s="1"/>
  <c r="BA181" i="11" l="1"/>
  <c r="BA30" i="5" s="1"/>
  <c r="BA182" i="11" l="1"/>
  <c r="BB179" i="11" l="1"/>
  <c r="BB181" i="11" s="1"/>
  <c r="BB30" i="5" s="1"/>
  <c r="BB182" i="11" l="1"/>
  <c r="BC179" i="11" s="1"/>
  <c r="BC181" i="11" l="1"/>
  <c r="BC30" i="5" s="1"/>
  <c r="BC182" i="11" l="1"/>
  <c r="BD179" i="11" l="1"/>
  <c r="BD181" i="11" l="1"/>
  <c r="BD30" i="5" s="1"/>
  <c r="BD182" i="11" l="1"/>
  <c r="BE179" i="11" s="1"/>
  <c r="BE181" i="11" l="1"/>
  <c r="BE30" i="5" s="1"/>
  <c r="BE182" i="11" l="1"/>
  <c r="BF179" i="11" l="1"/>
  <c r="BF181" i="11" l="1"/>
  <c r="BF30" i="5" s="1"/>
  <c r="BF182" i="11" l="1"/>
  <c r="BG179" i="11" l="1"/>
  <c r="BG181" i="11" l="1"/>
  <c r="BG30" i="5" s="1"/>
  <c r="BG182" i="11" l="1"/>
  <c r="BH179" i="11" s="1"/>
  <c r="BH181" i="11" l="1"/>
  <c r="BH30" i="5" s="1"/>
  <c r="BH182" i="11" l="1"/>
  <c r="BI179" i="11" l="1"/>
  <c r="BI181" i="11" l="1"/>
  <c r="BI30" i="5" s="1"/>
  <c r="BI182" i="11" l="1"/>
  <c r="BJ179" i="11" l="1"/>
  <c r="BJ181" i="11" l="1"/>
  <c r="BJ30" i="5" s="1"/>
  <c r="BJ182" i="11" l="1"/>
  <c r="BK179" i="11" l="1"/>
  <c r="BK181" i="11" l="1"/>
  <c r="BK30" i="5" s="1"/>
  <c r="BK182" i="11" l="1"/>
  <c r="BL179" i="11" l="1"/>
  <c r="BL181" i="11" l="1"/>
  <c r="BL30" i="5" s="1"/>
  <c r="BL182" i="11" l="1"/>
  <c r="BM179" i="11" l="1"/>
  <c r="BM181" i="11" l="1"/>
  <c r="BM30" i="5" s="1"/>
  <c r="BM182" i="11" l="1"/>
  <c r="BN179" i="11" l="1"/>
  <c r="BN181" i="11" l="1"/>
  <c r="BN30" i="5" s="1"/>
  <c r="BN182" i="11" l="1"/>
  <c r="BO179" i="11" s="1"/>
  <c r="BO181" i="11" l="1"/>
  <c r="BO30" i="5" s="1"/>
  <c r="BO182" i="11" l="1"/>
  <c r="BP179" i="11" l="1"/>
  <c r="BP181" i="11" l="1"/>
  <c r="BP30" i="5" s="1"/>
  <c r="BP182" i="11" l="1"/>
  <c r="BQ179" i="11" l="1"/>
  <c r="BQ181" i="11" l="1"/>
  <c r="BQ30" i="5" s="1"/>
  <c r="BQ182" i="11" l="1"/>
  <c r="BR179" i="11" l="1"/>
  <c r="BR181" i="11" l="1"/>
  <c r="BR30" i="5" s="1"/>
  <c r="BR182" i="11" l="1"/>
  <c r="BS179" i="11" l="1"/>
  <c r="BS181" i="11" l="1"/>
  <c r="BS30" i="5" s="1"/>
  <c r="BS182" i="11" l="1"/>
  <c r="BT179" i="11" l="1"/>
  <c r="BT181" i="11" l="1"/>
  <c r="BT30" i="5" s="1"/>
  <c r="BT182" i="11" l="1"/>
  <c r="BU179" i="11" s="1"/>
  <c r="BU181" i="11" l="1"/>
  <c r="BU30" i="5" s="1"/>
  <c r="BU182" i="11" l="1"/>
  <c r="BV179" i="11" s="1"/>
  <c r="BV181" i="11" l="1"/>
  <c r="BV30" i="5" s="1"/>
  <c r="BV182" i="11" l="1"/>
  <c r="BW179" i="11" l="1"/>
  <c r="BW181" i="11" l="1"/>
  <c r="BW30" i="5" s="1"/>
  <c r="BW182" i="11" l="1"/>
  <c r="BX179" i="11" l="1"/>
  <c r="BX181" i="11" l="1"/>
  <c r="BX30" i="5" s="1"/>
  <c r="BX182" i="11" l="1"/>
  <c r="BY179" i="11" l="1"/>
  <c r="BY181" i="11" l="1"/>
  <c r="BY30" i="5" s="1"/>
  <c r="BY182" i="11" l="1"/>
  <c r="BZ179" i="11" l="1"/>
  <c r="BZ181" i="11" l="1"/>
  <c r="BZ30" i="5" s="1"/>
  <c r="BZ182" i="11" l="1"/>
  <c r="CA179" i="11" l="1"/>
  <c r="CA181" i="11" l="1"/>
  <c r="CA30" i="5" s="1"/>
  <c r="CA182" i="11" l="1"/>
  <c r="CB179" i="11" s="1"/>
  <c r="CB181" i="11" l="1"/>
  <c r="CB30" i="5" s="1"/>
  <c r="CB182" i="11" l="1"/>
  <c r="CC179" i="11" l="1"/>
  <c r="CC181" i="11" l="1"/>
  <c r="CC30" i="5" s="1"/>
  <c r="CC182" i="11" l="1"/>
  <c r="CD179" i="11" l="1"/>
  <c r="CD181" i="11" s="1"/>
  <c r="CD30" i="5" s="1"/>
  <c r="CD182" i="11" l="1"/>
  <c r="CE179" i="11" l="1"/>
  <c r="CE181" i="11" l="1"/>
  <c r="CE30" i="5" s="1"/>
  <c r="CE182" i="11" l="1"/>
  <c r="CF179" i="11" l="1"/>
  <c r="CF181" i="11" l="1"/>
  <c r="CF30" i="5" s="1"/>
  <c r="CF182" i="11" l="1"/>
  <c r="CG179" i="11" l="1"/>
  <c r="CG181" i="11" l="1"/>
  <c r="CG30" i="5" s="1"/>
  <c r="CG182" i="11" l="1"/>
  <c r="CH179" i="11" s="1"/>
  <c r="CH181" i="11" l="1"/>
  <c r="CH30" i="5" s="1"/>
  <c r="CH182" i="11" l="1"/>
  <c r="CI179" i="11" l="1"/>
  <c r="CI181" i="11" l="1"/>
  <c r="CI30" i="5" s="1"/>
  <c r="CI182" i="11" l="1"/>
  <c r="CJ179" i="11" l="1"/>
  <c r="CJ181" i="11" l="1"/>
  <c r="CJ30" i="5" s="1"/>
  <c r="CJ182" i="11" l="1"/>
  <c r="CK179" i="11" l="1"/>
  <c r="CK181" i="11" l="1"/>
  <c r="CK30" i="5" s="1"/>
  <c r="CK182" i="11" l="1"/>
  <c r="CL179" i="11" l="1"/>
  <c r="CL181" i="11" s="1"/>
  <c r="CL30" i="5" s="1"/>
  <c r="CL182" i="11" l="1"/>
  <c r="CM179" i="11" l="1"/>
  <c r="CM181" i="11" l="1"/>
  <c r="CM30" i="5" s="1"/>
  <c r="CM182" i="11" l="1"/>
  <c r="CN179" i="11" l="1"/>
  <c r="CN181" i="11" l="1"/>
  <c r="CN30" i="5" s="1"/>
  <c r="CN182" i="11" l="1"/>
  <c r="CO179" i="11" s="1"/>
  <c r="CO181" i="11" l="1"/>
  <c r="CO30" i="5" s="1"/>
  <c r="CO182" i="11" l="1"/>
  <c r="CP179" i="11" l="1"/>
  <c r="CP181" i="11" l="1"/>
  <c r="CP30" i="5" s="1"/>
  <c r="CP182" i="11" l="1"/>
  <c r="CQ179" i="11" l="1"/>
  <c r="CQ181" i="11" l="1"/>
  <c r="CQ30" i="5" s="1"/>
  <c r="CQ182" i="11" l="1"/>
  <c r="CR179" i="11" l="1"/>
  <c r="CR181" i="11" l="1"/>
  <c r="CR30" i="5" s="1"/>
  <c r="CR182" i="11" l="1"/>
  <c r="CS179" i="11" l="1"/>
  <c r="CS181" i="11" l="1"/>
  <c r="CS30" i="5" s="1"/>
  <c r="CS182" i="11" l="1"/>
  <c r="CT179" i="11" l="1"/>
  <c r="CT181" i="11" s="1"/>
  <c r="CT30" i="5" s="1"/>
  <c r="CT182" i="11" l="1"/>
  <c r="CU179" i="11" l="1"/>
  <c r="CU181" i="11" l="1"/>
  <c r="CU30" i="5" s="1"/>
  <c r="CU182" i="11" l="1"/>
  <c r="CV179" i="11" l="1"/>
  <c r="CV181" i="11" l="1"/>
  <c r="CV30" i="5" s="1"/>
  <c r="CV182" i="11" l="1"/>
  <c r="CW179" i="11" s="1"/>
  <c r="CW181" i="11" l="1"/>
  <c r="CW30" i="5" s="1"/>
  <c r="CW182" i="11" l="1"/>
  <c r="CX179" i="11" s="1"/>
  <c r="CX181" i="11" l="1"/>
  <c r="CX30" i="5" s="1"/>
  <c r="CX182" i="11" l="1"/>
  <c r="CY179" i="11" l="1"/>
  <c r="CY181" i="11" s="1"/>
  <c r="CY30" i="5" s="1"/>
  <c r="CY182" i="11" l="1"/>
  <c r="CZ179" i="11" s="1"/>
  <c r="CZ181" i="11" l="1"/>
  <c r="CZ30" i="5" s="1"/>
  <c r="CZ182" i="11" l="1"/>
  <c r="DA179" i="11" s="1"/>
  <c r="DA181" i="11" l="1"/>
  <c r="DA30" i="5" s="1"/>
  <c r="DA182" i="11" l="1"/>
  <c r="DB179" i="11" l="1"/>
  <c r="DB181" i="11" l="1"/>
  <c r="DB30" i="5" s="1"/>
  <c r="DB182" i="11" l="1"/>
  <c r="DC179" i="11" l="1"/>
  <c r="DC181" i="11" l="1"/>
  <c r="DC30" i="5" s="1"/>
  <c r="DC182" i="11" l="1"/>
  <c r="DD179" i="11" l="1"/>
  <c r="DD181" i="11" l="1"/>
  <c r="DD30" i="5" s="1"/>
  <c r="DD182" i="11" l="1"/>
  <c r="DE179" i="11" l="1"/>
  <c r="DE181" i="11" l="1"/>
  <c r="DE30" i="5" s="1"/>
  <c r="DE182" i="11" l="1"/>
  <c r="DF179" i="11" l="1"/>
  <c r="DF181" i="11" l="1"/>
  <c r="DF30" i="5" s="1"/>
  <c r="DF182" i="11" l="1"/>
  <c r="DG179" i="11" l="1"/>
  <c r="DG181" i="11" l="1"/>
  <c r="DG30" i="5" s="1"/>
  <c r="DG182" i="11" l="1"/>
  <c r="DH179" i="11" s="1"/>
  <c r="DH181" i="11" l="1"/>
  <c r="DH30" i="5" s="1"/>
  <c r="DH182" i="11" l="1"/>
  <c r="DI179" i="11" s="1"/>
  <c r="DI181" i="11" l="1"/>
  <c r="DI30" i="5" s="1"/>
  <c r="DI182" i="11" l="1"/>
  <c r="DJ179" i="11" s="1"/>
  <c r="DJ181" i="11" l="1"/>
  <c r="DJ30" i="5" s="1"/>
  <c r="DJ182" i="11" l="1"/>
  <c r="DK179" i="11" l="1"/>
  <c r="DK181" i="11" l="1"/>
  <c r="DK30" i="5" s="1"/>
  <c r="DK182" i="11" l="1"/>
  <c r="DL179" i="11" s="1"/>
  <c r="DL181" i="11" l="1"/>
  <c r="DL30" i="5" s="1"/>
  <c r="DL182" i="11" l="1"/>
  <c r="DM179" i="11" l="1"/>
  <c r="DM181" i="11" l="1"/>
  <c r="DM30" i="5" s="1"/>
  <c r="DM182" i="11" l="1"/>
  <c r="DN179" i="11" l="1"/>
  <c r="DN181" i="11" l="1"/>
  <c r="DN30" i="5" s="1"/>
  <c r="DN182" i="11" l="1"/>
  <c r="DO179" i="11" l="1"/>
  <c r="DO181" i="11" l="1"/>
  <c r="DO30" i="5" s="1"/>
  <c r="DO182" i="11" l="1"/>
  <c r="DP179" i="11" l="1"/>
  <c r="DP181" i="11" l="1"/>
  <c r="DP30" i="5" s="1"/>
  <c r="DP182" i="11" l="1"/>
  <c r="DQ179" i="11" l="1"/>
  <c r="DQ181" i="11" l="1"/>
  <c r="DQ30" i="5" s="1"/>
  <c r="DQ182" i="11" l="1"/>
  <c r="DR179" i="11" l="1"/>
  <c r="DR181" i="11" l="1"/>
  <c r="DR30" i="5" s="1"/>
  <c r="DR182" i="11" l="1"/>
  <c r="DS179" i="11" l="1"/>
  <c r="DS181" i="11" l="1"/>
  <c r="DS30" i="5" s="1"/>
  <c r="DS182" i="11" l="1"/>
  <c r="DT179" i="11" l="1"/>
  <c r="DT181" i="11" l="1"/>
  <c r="DT30" i="5" s="1"/>
  <c r="DT182" i="11" l="1"/>
  <c r="DU179" i="11" s="1"/>
  <c r="DU181" i="11" l="1"/>
  <c r="DU30" i="5" s="1"/>
  <c r="DU182" i="11" l="1"/>
  <c r="DV179" i="11" l="1"/>
  <c r="DV181" i="11" l="1"/>
  <c r="DV30" i="5" s="1"/>
  <c r="DV182" i="11" l="1"/>
  <c r="DW179" i="11" l="1"/>
  <c r="DW181" i="11" l="1"/>
  <c r="DW30" i="5" s="1"/>
  <c r="DW182" i="11" l="1"/>
  <c r="DX179" i="11" l="1"/>
  <c r="DX181" i="11" l="1"/>
  <c r="DX30" i="5" l="1"/>
  <c r="DX182" i="11"/>
  <c r="DY179" i="11" s="1"/>
  <c r="DY181" i="11" l="1"/>
  <c r="DY30" i="5" s="1"/>
  <c r="DY182" i="11" l="1"/>
  <c r="DZ179" i="11" s="1"/>
  <c r="DZ181" i="11" l="1"/>
  <c r="DZ30" i="5" s="1"/>
  <c r="DZ182" i="11" l="1"/>
  <c r="EA179" i="11" s="1"/>
  <c r="EA181" i="11" l="1"/>
  <c r="EA30" i="5" s="1"/>
  <c r="EA182" i="11" l="1"/>
  <c r="EB179" i="11" l="1"/>
  <c r="EB181" i="11" l="1"/>
  <c r="EB30" i="5" s="1"/>
  <c r="EB182" i="11" l="1"/>
  <c r="EC179" i="11" l="1"/>
  <c r="EC181" i="11" l="1"/>
  <c r="EC30" i="5" s="1"/>
  <c r="EC182" i="11" l="1"/>
  <c r="ED179" i="11" l="1"/>
  <c r="ED181" i="11" l="1"/>
  <c r="ED30" i="5" s="1"/>
  <c r="ED182" i="11" l="1"/>
  <c r="EE179" i="11" l="1"/>
  <c r="EE181" i="11" l="1"/>
  <c r="EE30" i="5" s="1"/>
  <c r="EE182" i="11" l="1"/>
  <c r="EF179" i="11" s="1"/>
  <c r="EF181" i="11" l="1"/>
  <c r="EF30" i="5" s="1"/>
  <c r="EF182" i="11" l="1"/>
  <c r="EG179" i="11" l="1"/>
  <c r="EG181" i="11" s="1"/>
  <c r="EG30" i="5" s="1"/>
  <c r="EG182" i="11" l="1"/>
  <c r="EH179" i="11" l="1"/>
  <c r="EH181" i="11" l="1"/>
  <c r="EH30" i="5" s="1"/>
  <c r="EH182" i="11" l="1"/>
  <c r="EI179" i="11" l="1"/>
  <c r="EI181" i="11" l="1"/>
  <c r="EI30" i="5" s="1"/>
  <c r="EI182" i="11" l="1"/>
  <c r="EJ179" i="11" l="1"/>
  <c r="EJ181" i="11" l="1"/>
  <c r="EJ30" i="5" s="1"/>
  <c r="EJ182" i="11" l="1"/>
  <c r="EK179" i="11" s="1"/>
  <c r="EK181" i="11" l="1"/>
  <c r="EK30" i="5" s="1"/>
  <c r="EK182" i="11" l="1"/>
  <c r="EL179" i="11" s="1"/>
  <c r="EL181" i="11" l="1"/>
  <c r="EL30" i="5" s="1"/>
  <c r="EL182" i="11" l="1"/>
  <c r="EM179" i="11" s="1"/>
  <c r="EM181" i="11" l="1"/>
  <c r="EM30" i="5" s="1"/>
  <c r="EM182" i="11" l="1"/>
  <c r="EN179" i="11" s="1"/>
  <c r="EN181" i="11" l="1"/>
  <c r="EN30" i="5" s="1"/>
  <c r="EN182" i="11" l="1"/>
  <c r="EO179" i="11" s="1"/>
  <c r="EO181" i="11" l="1"/>
  <c r="EO30" i="5" s="1"/>
  <c r="EO182" i="11" l="1"/>
  <c r="EP179" i="11" l="1"/>
  <c r="EP181" i="11" l="1"/>
  <c r="EP30" i="5" s="1"/>
  <c r="EP182" i="11" l="1"/>
  <c r="EQ179" i="11" l="1"/>
  <c r="EQ181" i="11" l="1"/>
  <c r="EQ182" i="11" s="1"/>
  <c r="EQ30" i="5" l="1"/>
  <c r="J181" i="11"/>
  <c r="M25" i="26" l="1"/>
  <c r="E167" i="32" s="1"/>
  <c r="N25" i="26"/>
  <c r="O25" i="26"/>
  <c r="P25" i="26"/>
  <c r="Q25" i="26"/>
  <c r="R25" i="26"/>
  <c r="S25" i="26"/>
  <c r="T25" i="26"/>
  <c r="U25" i="26"/>
  <c r="V25" i="26"/>
  <c r="W25" i="26"/>
  <c r="X25" i="26"/>
  <c r="J30" i="5"/>
  <c r="M25" i="17"/>
  <c r="E728" i="32" s="1"/>
  <c r="N25" i="17"/>
  <c r="O25" i="17"/>
  <c r="P25" i="17"/>
  <c r="Q25" i="17"/>
  <c r="R25" i="17"/>
  <c r="S25" i="17"/>
  <c r="T25" i="17"/>
  <c r="U25" i="17"/>
  <c r="V25" i="17"/>
  <c r="W25" i="17"/>
  <c r="X25" i="17"/>
  <c r="Y25" i="17"/>
  <c r="Z25" i="17"/>
  <c r="AA25" i="17"/>
  <c r="AB25" i="17"/>
  <c r="AC25" i="17"/>
  <c r="AD25" i="17"/>
  <c r="AE25" i="17"/>
  <c r="AF25" i="17"/>
  <c r="AG25" i="17"/>
  <c r="AH25" i="17"/>
  <c r="AI25" i="17"/>
  <c r="L167" i="32" l="1"/>
  <c r="K167" i="32"/>
  <c r="H167" i="32"/>
  <c r="G167" i="32"/>
  <c r="H728" i="32"/>
  <c r="N167" i="32"/>
  <c r="F167" i="32"/>
  <c r="F728" i="32"/>
  <c r="J167" i="32"/>
  <c r="I167" i="32"/>
  <c r="G728" i="32"/>
  <c r="M167" i="32"/>
  <c r="J25" i="26"/>
  <c r="J25" i="17"/>
  <c r="C167" i="32" l="1"/>
  <c r="N597" i="32"/>
  <c r="O597" i="32" s="1"/>
  <c r="C728" i="32"/>
  <c r="P23" i="1"/>
  <c r="P24" i="1" s="1"/>
  <c r="J32" i="2"/>
  <c r="AE33" i="2"/>
  <c r="AE32" i="2" s="1"/>
  <c r="CV33" i="2"/>
  <c r="CV32" i="2" s="1"/>
  <c r="M33" i="2"/>
  <c r="M32" i="2" s="1"/>
  <c r="AX33" i="2"/>
  <c r="AX32" i="2" s="1"/>
  <c r="AQ33" i="2"/>
  <c r="AQ32" i="2" s="1"/>
  <c r="BD33" i="2"/>
  <c r="BD32" i="2" s="1"/>
  <c r="EC33" i="2"/>
  <c r="EC32" i="2" s="1"/>
  <c r="CY33" i="2"/>
  <c r="CY32" i="2" s="1"/>
  <c r="AI33" i="2"/>
  <c r="AI32" i="2" s="1"/>
  <c r="EO33" i="2"/>
  <c r="EO32" i="2" s="1"/>
  <c r="DR33" i="2"/>
  <c r="DR32" i="2" s="1"/>
  <c r="S33" i="2"/>
  <c r="S32" i="2" s="1"/>
  <c r="DM33" i="2"/>
  <c r="DM32" i="2" s="1"/>
  <c r="ER33" i="2"/>
  <c r="ER32" i="2" s="1"/>
  <c r="AS33" i="2"/>
  <c r="AS32" i="2" s="1"/>
  <c r="AO33" i="2"/>
  <c r="AO32" i="2" s="1"/>
  <c r="DC33" i="2"/>
  <c r="DC32" i="2" s="1"/>
  <c r="DD33" i="2"/>
  <c r="DD32" i="2" s="1"/>
  <c r="AR33" i="2"/>
  <c r="AR32" i="2" s="1"/>
  <c r="DP33" i="2"/>
  <c r="DP32" i="2" s="1"/>
  <c r="EA33" i="2"/>
  <c r="EA32" i="2" s="1"/>
  <c r="DT33" i="2"/>
  <c r="DT32" i="2" s="1"/>
  <c r="CN33" i="2"/>
  <c r="CN32" i="2" s="1"/>
  <c r="X33" i="2"/>
  <c r="X32" i="2" s="1"/>
  <c r="AK33" i="2"/>
  <c r="AK32" i="2" s="1"/>
  <c r="DX33" i="2"/>
  <c r="DX32" i="2" s="1"/>
  <c r="AC33" i="2"/>
  <c r="AC32" i="2" s="1"/>
  <c r="CH33" i="2"/>
  <c r="CH32" i="2" s="1"/>
  <c r="BR33" i="2"/>
  <c r="BR32" i="2" s="1"/>
  <c r="EK33" i="2"/>
  <c r="EK32" i="2" s="1"/>
  <c r="AJ33" i="2"/>
  <c r="AJ32" i="2" s="1"/>
  <c r="EF33" i="2"/>
  <c r="EF32" i="2" s="1"/>
  <c r="CO33" i="2"/>
  <c r="CO32" i="2" s="1"/>
  <c r="AF33" i="2"/>
  <c r="AF32" i="2" s="1"/>
  <c r="CC33" i="2"/>
  <c r="CC32" i="2" s="1"/>
  <c r="U33" i="2"/>
  <c r="U32" i="2" s="1"/>
  <c r="Q33" i="2"/>
  <c r="Q32" i="2" s="1"/>
  <c r="DV33" i="2"/>
  <c r="DV32" i="2" s="1"/>
  <c r="AL33" i="2"/>
  <c r="AL32" i="2" s="1"/>
  <c r="BP33" i="2"/>
  <c r="BP32" i="2" s="1"/>
  <c r="BH33" i="2"/>
  <c r="BH32" i="2" s="1"/>
  <c r="AA33" i="2"/>
  <c r="AA32" i="2" s="1"/>
  <c r="BK33" i="2"/>
  <c r="BK32" i="2" s="1"/>
  <c r="AP33" i="2"/>
  <c r="AP32" i="2" s="1"/>
  <c r="DF33" i="2"/>
  <c r="DF32" i="2" s="1"/>
  <c r="CF33" i="2"/>
  <c r="CF32" i="2" s="1"/>
  <c r="AG33" i="2"/>
  <c r="AG32" i="2" s="1"/>
  <c r="BA33" i="2"/>
  <c r="BA32" i="2" s="1"/>
  <c r="DO33" i="2"/>
  <c r="DO32" i="2" s="1"/>
  <c r="EM33" i="2"/>
  <c r="EM32" i="2" s="1"/>
  <c r="BJ33" i="2"/>
  <c r="BJ32" i="2" s="1"/>
  <c r="R33" i="2"/>
  <c r="R32" i="2" s="1"/>
  <c r="EB33" i="2"/>
  <c r="EB32" i="2" s="1"/>
  <c r="CA33" i="2"/>
  <c r="CA32" i="2" s="1"/>
  <c r="BW33" i="2"/>
  <c r="BW32" i="2" s="1"/>
  <c r="CU33" i="2"/>
  <c r="CU32" i="2" s="1"/>
  <c r="DG33" i="2"/>
  <c r="DG32" i="2" s="1"/>
  <c r="CW33" i="2"/>
  <c r="CW32" i="2" s="1"/>
  <c r="BM33" i="2"/>
  <c r="BM32" i="2" s="1"/>
  <c r="EI33" i="2"/>
  <c r="EI32" i="2" s="1"/>
  <c r="DW33" i="2"/>
  <c r="DW32" i="2" s="1"/>
  <c r="CP33" i="2"/>
  <c r="CP32" i="2" s="1"/>
  <c r="BG33" i="2"/>
  <c r="BG32" i="2" s="1"/>
  <c r="BC33" i="2"/>
  <c r="BC32" i="2" s="1"/>
  <c r="AW33" i="2"/>
  <c r="AW32" i="2" s="1"/>
  <c r="AY33" i="2"/>
  <c r="AY32" i="2" s="1"/>
  <c r="BN33" i="2"/>
  <c r="BN32" i="2" s="1"/>
  <c r="CT33" i="2"/>
  <c r="CT32" i="2" s="1"/>
  <c r="AH33" i="2"/>
  <c r="AH32" i="2" s="1"/>
  <c r="ED33" i="2"/>
  <c r="ED32" i="2" s="1"/>
  <c r="EE33" i="2"/>
  <c r="EE32" i="2" s="1"/>
  <c r="DQ33" i="2"/>
  <c r="DQ32" i="2" s="1"/>
  <c r="BL33" i="2"/>
  <c r="BL32" i="2" s="1"/>
  <c r="EJ33" i="2"/>
  <c r="EJ32" i="2" s="1"/>
  <c r="BV33" i="2"/>
  <c r="BV32" i="2" s="1"/>
  <c r="DS33" i="2"/>
  <c r="DS32" i="2" s="1"/>
  <c r="DH33" i="2"/>
  <c r="DH32" i="2" s="1"/>
  <c r="EH33" i="2"/>
  <c r="EH32" i="2" s="1"/>
  <c r="AN33" i="2"/>
  <c r="AN32" i="2" s="1"/>
  <c r="AT33" i="2"/>
  <c r="AT32" i="2" s="1"/>
  <c r="BS33" i="2"/>
  <c r="BS32" i="2" s="1"/>
  <c r="DL33" i="2"/>
  <c r="DL32" i="2" s="1"/>
  <c r="BQ33" i="2"/>
  <c r="BQ32" i="2" s="1"/>
  <c r="EP33" i="2"/>
  <c r="EP32" i="2" s="1"/>
  <c r="AV33" i="2"/>
  <c r="AV32" i="2" s="1"/>
  <c r="DA33" i="2"/>
  <c r="DA32" i="2" s="1"/>
  <c r="AM33" i="2"/>
  <c r="AM32" i="2" s="1"/>
  <c r="BB33" i="2"/>
  <c r="BB32" i="2" s="1"/>
  <c r="BI33" i="2"/>
  <c r="BI32" i="2" s="1"/>
  <c r="P33" i="2"/>
  <c r="P32" i="2" s="1"/>
  <c r="BY33" i="2"/>
  <c r="BY32" i="2" s="1"/>
  <c r="CJ33" i="2"/>
  <c r="CJ32" i="2" s="1"/>
  <c r="EG33" i="2"/>
  <c r="EG32" i="2" s="1"/>
  <c r="DZ33" i="2"/>
  <c r="DZ32" i="2" s="1"/>
  <c r="AZ33" i="2"/>
  <c r="AZ32" i="2" s="1"/>
  <c r="AD33" i="2"/>
  <c r="AD32" i="2" s="1"/>
  <c r="CM33" i="2"/>
  <c r="CM32" i="2" s="1"/>
  <c r="BT33" i="2"/>
  <c r="BT32" i="2" s="1"/>
  <c r="V33" i="2"/>
  <c r="V32" i="2" s="1"/>
  <c r="O33" i="2"/>
  <c r="O32" i="2" s="1"/>
  <c r="W33" i="2"/>
  <c r="W32" i="2" s="1"/>
  <c r="CD33" i="2"/>
  <c r="CD32" i="2" s="1"/>
  <c r="CK33" i="2"/>
  <c r="CK32" i="2" s="1"/>
  <c r="N33" i="2"/>
  <c r="N32" i="2" s="1"/>
  <c r="BO33" i="2"/>
  <c r="BO32" i="2" s="1"/>
  <c r="DE33" i="2"/>
  <c r="DE32" i="2" s="1"/>
  <c r="BU33" i="2"/>
  <c r="BU32" i="2" s="1"/>
  <c r="CI33" i="2"/>
  <c r="CI32" i="2" s="1"/>
  <c r="CB33" i="2"/>
  <c r="CB32" i="2" s="1"/>
  <c r="CZ33" i="2"/>
  <c r="CZ32" i="2" s="1"/>
  <c r="DI33" i="2"/>
  <c r="DI32" i="2" s="1"/>
  <c r="EQ33" i="2"/>
  <c r="EQ32" i="2" s="1"/>
  <c r="AU33" i="2"/>
  <c r="AU32" i="2" s="1"/>
  <c r="CQ33" i="2"/>
  <c r="CQ32" i="2" s="1"/>
  <c r="EL33" i="2"/>
  <c r="EL32" i="2" s="1"/>
  <c r="BZ33" i="2"/>
  <c r="BZ32" i="2" s="1"/>
  <c r="EN33" i="2"/>
  <c r="EN32" i="2" s="1"/>
  <c r="CR33" i="2"/>
  <c r="CR32" i="2" s="1"/>
  <c r="Z33" i="2"/>
  <c r="Z32" i="2" s="1"/>
  <c r="T33" i="2"/>
  <c r="T32" i="2" s="1"/>
  <c r="CX33" i="2"/>
  <c r="CX32" i="2" s="1"/>
  <c r="Y33" i="2"/>
  <c r="Y32" i="2" s="1"/>
  <c r="CL33" i="2"/>
  <c r="CL32" i="2" s="1"/>
  <c r="BF33" i="2"/>
  <c r="BF32" i="2" s="1"/>
  <c r="CE33" i="2"/>
  <c r="CE32" i="2" s="1"/>
  <c r="BE33" i="2"/>
  <c r="BE32" i="2" s="1"/>
  <c r="DN33" i="2"/>
  <c r="DN32" i="2" s="1"/>
  <c r="CS33" i="2"/>
  <c r="CS32" i="2" s="1"/>
  <c r="DB33" i="2"/>
  <c r="DB32" i="2" s="1"/>
  <c r="AB33" i="2"/>
  <c r="AB32" i="2" s="1"/>
  <c r="CG33" i="2"/>
  <c r="CG32" i="2" s="1"/>
  <c r="DJ33" i="2"/>
  <c r="DJ32" i="2" s="1"/>
  <c r="DY33" i="2"/>
  <c r="DY32" i="2" s="1"/>
  <c r="DK33" i="2"/>
  <c r="DK32" i="2" s="1"/>
  <c r="DU33" i="2"/>
  <c r="DU32" i="2" s="1"/>
  <c r="BX33" i="2"/>
  <c r="BX32" i="2" s="1"/>
  <c r="R48" i="21" l="1"/>
  <c r="C6" i="32"/>
  <c r="S65" i="5"/>
  <c r="T10" i="1"/>
  <c r="C19" i="21" s="1"/>
  <c r="CW65" i="5"/>
  <c r="AY65" i="5"/>
  <c r="BK65" i="5"/>
  <c r="DZ65" i="5"/>
  <c r="DE65" i="5"/>
  <c r="CK65" i="5"/>
  <c r="DL65" i="5"/>
  <c r="AR65" i="5"/>
  <c r="EI65" i="5"/>
  <c r="DO65" i="5"/>
  <c r="AO65" i="5"/>
  <c r="DA65" i="5"/>
  <c r="CM65" i="5"/>
  <c r="EN65" i="5"/>
  <c r="Q65" i="5"/>
  <c r="BD65" i="5"/>
  <c r="DI65" i="5"/>
  <c r="AQ65" i="5"/>
  <c r="BB65" i="5"/>
  <c r="BT65" i="5"/>
  <c r="DJ65" i="5"/>
  <c r="BW65" i="5"/>
  <c r="DC65" i="5"/>
  <c r="AE65" i="5"/>
  <c r="EF65" i="5"/>
  <c r="EC65" i="5"/>
  <c r="DP65" i="5"/>
  <c r="DB65" i="5"/>
  <c r="DS65" i="5"/>
  <c r="CB65" i="5"/>
  <c r="DD65" i="5"/>
  <c r="Y65" i="5"/>
  <c r="AD65" i="5"/>
  <c r="L65" i="5"/>
  <c r="AN65" i="5"/>
  <c r="AJ65" i="5"/>
  <c r="Z65" i="5"/>
  <c r="DN65" i="5"/>
  <c r="BU65" i="5"/>
  <c r="CQ65" i="5"/>
  <c r="CU65" i="5"/>
  <c r="CG65" i="5"/>
  <c r="AI65" i="5"/>
  <c r="CE65" i="5"/>
  <c r="EP65" i="5"/>
  <c r="DX65" i="5"/>
  <c r="DT65" i="5"/>
  <c r="AP65" i="5"/>
  <c r="W65" i="5"/>
  <c r="DW65" i="5"/>
  <c r="P65" i="5"/>
  <c r="EG65" i="5"/>
  <c r="BA65" i="5"/>
  <c r="AC65" i="5"/>
  <c r="BS65" i="5"/>
  <c r="U65" i="5"/>
  <c r="EB65" i="5"/>
  <c r="AH65" i="5"/>
  <c r="AB65" i="5"/>
  <c r="BO65" i="5"/>
  <c r="AZ65" i="5"/>
  <c r="BQ65" i="5"/>
  <c r="BF65" i="5"/>
  <c r="AV65" i="5"/>
  <c r="AX65" i="5"/>
  <c r="CS65" i="5"/>
  <c r="AG65" i="5"/>
  <c r="ED65" i="5"/>
  <c r="DY65" i="5"/>
  <c r="X65" i="5"/>
  <c r="BE65" i="5"/>
  <c r="K33" i="2"/>
  <c r="K32" i="2" s="1"/>
  <c r="DQ65" i="5"/>
  <c r="AK65" i="5"/>
  <c r="AF65" i="5"/>
  <c r="EL65" i="5"/>
  <c r="DF65" i="5"/>
  <c r="EE65" i="5"/>
  <c r="DU65" i="5"/>
  <c r="BM65" i="5"/>
  <c r="DG65" i="5"/>
  <c r="EH65" i="5"/>
  <c r="R65" i="5"/>
  <c r="CL65" i="5"/>
  <c r="N65" i="5"/>
  <c r="EQ65" i="5"/>
  <c r="CC65" i="5"/>
  <c r="M65" i="5"/>
  <c r="BN65" i="5"/>
  <c r="AT65" i="5"/>
  <c r="AW65" i="5"/>
  <c r="BC65" i="5"/>
  <c r="CX65" i="5"/>
  <c r="EJ65" i="5"/>
  <c r="CN65" i="5"/>
  <c r="T65" i="5"/>
  <c r="BG65" i="5"/>
  <c r="BJ65" i="5"/>
  <c r="BI65" i="5"/>
  <c r="EA65" i="5"/>
  <c r="BZ65" i="5"/>
  <c r="BV65" i="5"/>
  <c r="CT65" i="5"/>
  <c r="CV65" i="5"/>
  <c r="CO65" i="5"/>
  <c r="DR65" i="5"/>
  <c r="BL65" i="5"/>
  <c r="DV65" i="5"/>
  <c r="AM65" i="5"/>
  <c r="AS65" i="5"/>
  <c r="BR65" i="5"/>
  <c r="DK65" i="5"/>
  <c r="BP65" i="5"/>
  <c r="EO65" i="5"/>
  <c r="AU65" i="5"/>
  <c r="CZ65" i="5"/>
  <c r="AL65" i="5"/>
  <c r="BH65" i="5"/>
  <c r="O65" i="5"/>
  <c r="BX65" i="5"/>
  <c r="CI65" i="5"/>
  <c r="V65" i="5"/>
  <c r="CJ65" i="5"/>
  <c r="CH65" i="5"/>
  <c r="CA65" i="5"/>
  <c r="CY65" i="5"/>
  <c r="DH65" i="5"/>
  <c r="CP65" i="5"/>
  <c r="EK65" i="5"/>
  <c r="BY65" i="5"/>
  <c r="EM65" i="5"/>
  <c r="CD65" i="5"/>
  <c r="DM65" i="5"/>
  <c r="CR65" i="5"/>
  <c r="AA65" i="5"/>
  <c r="CF65" i="5"/>
  <c r="U48" i="21" l="1"/>
  <c r="AA46" i="21"/>
  <c r="L60" i="26"/>
  <c r="X60" i="26"/>
  <c r="Q60" i="26"/>
  <c r="R60" i="26"/>
  <c r="V60" i="26"/>
  <c r="T60" i="26"/>
  <c r="N60" i="26"/>
  <c r="W60" i="26"/>
  <c r="S60" i="26"/>
  <c r="P60" i="26"/>
  <c r="U60" i="26"/>
  <c r="O60" i="26"/>
  <c r="M60" i="26"/>
  <c r="L60" i="17"/>
  <c r="S60" i="17"/>
  <c r="P60" i="17"/>
  <c r="AG60" i="17"/>
  <c r="T60" i="17"/>
  <c r="AH60" i="17"/>
  <c r="Z60" i="17"/>
  <c r="N60" i="17"/>
  <c r="U60" i="17"/>
  <c r="AF60" i="17"/>
  <c r="W60" i="17"/>
  <c r="AA60" i="17"/>
  <c r="AE60" i="17"/>
  <c r="R60" i="17"/>
  <c r="AD60" i="17"/>
  <c r="V60" i="17"/>
  <c r="AI60" i="17"/>
  <c r="J65" i="5"/>
  <c r="M60" i="17"/>
  <c r="X60" i="17"/>
  <c r="AB60" i="17"/>
  <c r="AC60" i="17"/>
  <c r="Q60" i="17"/>
  <c r="Y60" i="17"/>
  <c r="O60" i="17"/>
  <c r="J60" i="26" l="1"/>
  <c r="J60" i="17"/>
  <c r="Z50" i="26" l="1"/>
  <c r="Z49" i="26" s="1"/>
  <c r="AF50" i="26"/>
  <c r="AF49" i="26" s="1"/>
  <c r="AB50" i="26"/>
  <c r="AB49" i="26" s="1"/>
  <c r="AG50" i="26"/>
  <c r="AG49" i="26" s="1"/>
  <c r="AC50" i="26"/>
  <c r="AC49" i="26" s="1"/>
  <c r="AA50" i="26"/>
  <c r="AA49" i="26" s="1"/>
  <c r="AD50" i="26"/>
  <c r="AD49" i="26" s="1"/>
  <c r="Y50" i="26"/>
  <c r="Y49" i="26" s="1"/>
  <c r="AI50" i="26"/>
  <c r="AI49" i="26" s="1"/>
  <c r="AH50" i="26"/>
  <c r="AH49" i="26" s="1"/>
  <c r="AE50" i="26"/>
  <c r="AE49" i="26" s="1"/>
  <c r="AA90" i="26" l="1"/>
  <c r="AA119" i="26" s="1"/>
  <c r="AH90" i="26"/>
  <c r="AH119" i="26" s="1"/>
  <c r="AD90" i="26"/>
  <c r="Z90" i="26"/>
  <c r="AF90" i="26"/>
  <c r="Y90" i="26"/>
  <c r="AC90" i="26"/>
  <c r="AB90" i="26"/>
  <c r="AE90" i="26"/>
  <c r="AI90" i="26"/>
  <c r="AG90" i="26"/>
  <c r="L69" i="11" l="1"/>
  <c r="M66" i="11" s="1"/>
  <c r="N79" i="6" s="1"/>
  <c r="AA118" i="26"/>
  <c r="AH118" i="26"/>
  <c r="AF118" i="26"/>
  <c r="AF119" i="26"/>
  <c r="AG118" i="26"/>
  <c r="AG119" i="26"/>
  <c r="Z118" i="26"/>
  <c r="Z119" i="26"/>
  <c r="AI119" i="26"/>
  <c r="AI118" i="26"/>
  <c r="AE119" i="26"/>
  <c r="AE118" i="26"/>
  <c r="AD118" i="26"/>
  <c r="AD119" i="26"/>
  <c r="AC118" i="26"/>
  <c r="AC119" i="26"/>
  <c r="AB119" i="26"/>
  <c r="AB118" i="26"/>
  <c r="Y118" i="26"/>
  <c r="Y119" i="26"/>
  <c r="M69" i="11" l="1"/>
  <c r="N66" i="11" s="1"/>
  <c r="O79" i="6" s="1"/>
  <c r="N69" i="11" l="1"/>
  <c r="O66" i="11" s="1"/>
  <c r="P79" i="6" s="1"/>
  <c r="O69" i="11" l="1"/>
  <c r="P66" i="11" s="1"/>
  <c r="Q79" i="6" s="1"/>
  <c r="P69" i="11" l="1"/>
  <c r="Q66" i="11" s="1"/>
  <c r="R79" i="6" s="1"/>
  <c r="Q69" i="11" l="1"/>
  <c r="R66" i="11" s="1"/>
  <c r="S79" i="6" s="1"/>
  <c r="H43" i="1" l="1"/>
  <c r="J27" i="21" l="1"/>
  <c r="E274" i="32"/>
  <c r="E273" i="32"/>
  <c r="R69" i="11"/>
  <c r="S66" i="11" s="1"/>
  <c r="T79" i="6" s="1"/>
  <c r="N377" i="32" l="1"/>
  <c r="O377" i="32" s="1"/>
  <c r="E397" i="32" s="1"/>
  <c r="L273" i="32"/>
  <c r="J274" i="32"/>
  <c r="D273" i="32"/>
  <c r="M273" i="32"/>
  <c r="J275" i="32" l="1"/>
  <c r="S69" i="11"/>
  <c r="T66" i="11" s="1"/>
  <c r="U79" i="6" s="1"/>
  <c r="T69" i="11" l="1"/>
  <c r="U66" i="11" s="1"/>
  <c r="V79" i="6" s="1"/>
  <c r="U69" i="11" l="1"/>
  <c r="V66" i="11" s="1"/>
  <c r="W79" i="6" s="1"/>
  <c r="V69" i="11" l="1"/>
  <c r="W66" i="11" s="1"/>
  <c r="X79" i="6" s="1"/>
  <c r="W69" i="11" l="1"/>
  <c r="X66" i="11" s="1"/>
  <c r="Y79" i="6" s="1"/>
  <c r="H44" i="1" l="1"/>
  <c r="J28" i="21" l="1"/>
  <c r="E275" i="32"/>
  <c r="X69" i="11"/>
  <c r="Y66" i="11" s="1"/>
  <c r="Z79" i="6" s="1"/>
  <c r="J276" i="32" l="1"/>
  <c r="Y69" i="11" l="1"/>
  <c r="Z66" i="11" s="1"/>
  <c r="AA79" i="6" s="1"/>
  <c r="Z69" i="11" l="1"/>
  <c r="AA66" i="11" s="1"/>
  <c r="AB79" i="6" s="1"/>
  <c r="AA69" i="11" l="1"/>
  <c r="AB66" i="11" s="1"/>
  <c r="AC79" i="6" s="1"/>
  <c r="AB69" i="11" l="1"/>
  <c r="AC66" i="11" s="1"/>
  <c r="AD79" i="6" s="1"/>
  <c r="AC69" i="11" l="1"/>
  <c r="AD66" i="11" s="1"/>
  <c r="AE79" i="6" s="1"/>
  <c r="H45" i="1" l="1"/>
  <c r="J29" i="21" l="1"/>
  <c r="E299" i="32"/>
  <c r="E276" i="32"/>
  <c r="AD69" i="11"/>
  <c r="AE66" i="11" s="1"/>
  <c r="AF79" i="6" s="1"/>
  <c r="J277" i="32" l="1"/>
  <c r="AE69" i="11" l="1"/>
  <c r="AF66" i="11" s="1"/>
  <c r="AG79" i="6" s="1"/>
  <c r="AF69" i="11" l="1"/>
  <c r="AG66" i="11" s="1"/>
  <c r="AH79" i="6" s="1"/>
  <c r="AG69" i="11" l="1"/>
  <c r="AH66" i="11" s="1"/>
  <c r="AI79" i="6" s="1"/>
  <c r="AH69" i="11" l="1"/>
  <c r="AI66" i="11" s="1"/>
  <c r="AJ79" i="6" s="1"/>
  <c r="AI69" i="11" l="1"/>
  <c r="AJ66" i="11" s="1"/>
  <c r="AK79" i="6" s="1"/>
  <c r="H46" i="1" l="1"/>
  <c r="J30" i="21" l="1"/>
  <c r="E300" i="32"/>
  <c r="E277" i="32"/>
  <c r="AJ69" i="11"/>
  <c r="AK66" i="11" s="1"/>
  <c r="AL79" i="6" s="1"/>
  <c r="J278" i="32" l="1"/>
  <c r="AK69" i="11" l="1"/>
  <c r="AL66" i="11" s="1"/>
  <c r="AM79" i="6" s="1"/>
  <c r="AL69" i="11" l="1"/>
  <c r="AM66" i="11" s="1"/>
  <c r="AN79" i="6" s="1"/>
  <c r="AM69" i="11" l="1"/>
  <c r="AN66" i="11" s="1"/>
  <c r="AO79" i="6" s="1"/>
  <c r="AN69" i="11" l="1"/>
  <c r="AO66" i="11" s="1"/>
  <c r="AP79" i="6" s="1"/>
  <c r="AO69" i="11" l="1"/>
  <c r="AP66" i="11" s="1"/>
  <c r="AQ79" i="6" s="1"/>
  <c r="H47" i="1" l="1"/>
  <c r="J31" i="21" l="1"/>
  <c r="E301" i="32"/>
  <c r="E278" i="32"/>
  <c r="AP69" i="11"/>
  <c r="AQ66" i="11" s="1"/>
  <c r="AR79" i="6" s="1"/>
  <c r="J279" i="32" l="1"/>
  <c r="AQ69" i="11" l="1"/>
  <c r="AR66" i="11" s="1"/>
  <c r="AS79" i="6" s="1"/>
  <c r="AR69" i="11" l="1"/>
  <c r="AS66" i="11" s="1"/>
  <c r="AT79" i="6" s="1"/>
  <c r="AS69" i="11" l="1"/>
  <c r="AT66" i="11" s="1"/>
  <c r="AU79" i="6" s="1"/>
  <c r="AT69" i="11" l="1"/>
  <c r="AU66" i="11" s="1"/>
  <c r="AV79" i="6" s="1"/>
  <c r="AU69" i="11" l="1"/>
  <c r="AV66" i="11" s="1"/>
  <c r="AW79" i="6" s="1"/>
  <c r="H48" i="1" l="1"/>
  <c r="J32" i="21" l="1"/>
  <c r="E279" i="32"/>
  <c r="J280" i="32" s="1"/>
  <c r="AV69" i="11"/>
  <c r="AW66" i="11" s="1"/>
  <c r="AX79" i="6" s="1"/>
  <c r="AW69" i="11" l="1"/>
  <c r="AX66" i="11" s="1"/>
  <c r="AY79" i="6" s="1"/>
  <c r="AX69" i="11" l="1"/>
  <c r="AY66" i="11" s="1"/>
  <c r="AZ79" i="6" s="1"/>
  <c r="AY69" i="11" l="1"/>
  <c r="AZ66" i="11" s="1"/>
  <c r="BA79" i="6" s="1"/>
  <c r="AZ69" i="11" l="1"/>
  <c r="BA66" i="11" s="1"/>
  <c r="BB79" i="6" s="1"/>
  <c r="BA69" i="11" l="1"/>
  <c r="BB66" i="11" s="1"/>
  <c r="BC79" i="6" s="1"/>
  <c r="H49" i="1" l="1"/>
  <c r="J33" i="21" l="1"/>
  <c r="E303" i="32"/>
  <c r="E280" i="32"/>
  <c r="J281" i="32" s="1"/>
  <c r="BB69" i="11"/>
  <c r="BC66" i="11" s="1"/>
  <c r="BD79" i="6" s="1"/>
  <c r="BC69" i="11" l="1"/>
  <c r="BD66" i="11" s="1"/>
  <c r="BE79" i="6" s="1"/>
  <c r="BD69" i="11" l="1"/>
  <c r="BE66" i="11" s="1"/>
  <c r="BF79" i="6" s="1"/>
  <c r="BE69" i="11" l="1"/>
  <c r="BF66" i="11" s="1"/>
  <c r="BG79" i="6" s="1"/>
  <c r="BF69" i="11" l="1"/>
  <c r="BG66" i="11" s="1"/>
  <c r="BH79" i="6" s="1"/>
  <c r="BG69" i="11" l="1"/>
  <c r="BH66" i="11" s="1"/>
  <c r="BI79" i="6" s="1"/>
  <c r="H50" i="1" l="1"/>
  <c r="J34" i="21" l="1"/>
  <c r="E304" i="32"/>
  <c r="E281" i="32"/>
  <c r="J282" i="32" s="1"/>
  <c r="BH69" i="11"/>
  <c r="BI66" i="11" s="1"/>
  <c r="BJ79" i="6" s="1"/>
  <c r="BI69" i="11" l="1"/>
  <c r="BJ66" i="11" s="1"/>
  <c r="BK79" i="6" s="1"/>
  <c r="BJ69" i="11" l="1"/>
  <c r="BK66" i="11" s="1"/>
  <c r="BL79" i="6" s="1"/>
  <c r="BK69" i="11" l="1"/>
  <c r="BL66" i="11" s="1"/>
  <c r="BM79" i="6" s="1"/>
  <c r="BL69" i="11" l="1"/>
  <c r="BM66" i="11" s="1"/>
  <c r="BN79" i="6" s="1"/>
  <c r="BM69" i="11" l="1"/>
  <c r="BN66" i="11" s="1"/>
  <c r="BO79" i="6" s="1"/>
  <c r="H51" i="1" l="1"/>
  <c r="J35" i="21" l="1"/>
  <c r="E305" i="32"/>
  <c r="E282" i="32"/>
  <c r="J283" i="32" s="1"/>
  <c r="BN69" i="11"/>
  <c r="BO66" i="11" s="1"/>
  <c r="BP79" i="6" s="1"/>
  <c r="BO69" i="11" l="1"/>
  <c r="BP66" i="11" s="1"/>
  <c r="BQ79" i="6" s="1"/>
  <c r="BP69" i="11" l="1"/>
  <c r="BQ66" i="11" s="1"/>
  <c r="BR79" i="6" s="1"/>
  <c r="BQ69" i="11" l="1"/>
  <c r="BR66" i="11" s="1"/>
  <c r="BS79" i="6" s="1"/>
  <c r="BR69" i="11" l="1"/>
  <c r="BS66" i="11" s="1"/>
  <c r="BT79" i="6" s="1"/>
  <c r="BS69" i="11" l="1"/>
  <c r="BT66" i="11" s="1"/>
  <c r="BU79" i="6" s="1"/>
  <c r="H52" i="1" l="1"/>
  <c r="J36" i="21" l="1"/>
  <c r="E306" i="32"/>
  <c r="E283" i="32"/>
  <c r="J284" i="32" s="1"/>
  <c r="BT69" i="11"/>
  <c r="BU66" i="11" s="1"/>
  <c r="BV79" i="6" s="1"/>
  <c r="BU69" i="11" l="1"/>
  <c r="BV66" i="11" s="1"/>
  <c r="BW79" i="6" s="1"/>
  <c r="BV69" i="11" l="1"/>
  <c r="BW66" i="11" s="1"/>
  <c r="BX79" i="6" s="1"/>
  <c r="BW69" i="11" l="1"/>
  <c r="BX66" i="11" s="1"/>
  <c r="BY79" i="6" s="1"/>
  <c r="BX69" i="11" l="1"/>
  <c r="BY66" i="11" s="1"/>
  <c r="BZ79" i="6" s="1"/>
  <c r="BY69" i="11" l="1"/>
  <c r="BZ66" i="11" s="1"/>
  <c r="CA79" i="6" s="1"/>
  <c r="H53" i="1" l="1"/>
  <c r="J37" i="21" l="1"/>
  <c r="E307" i="32"/>
  <c r="E284" i="32"/>
  <c r="J285" i="32" s="1"/>
  <c r="BZ69" i="11"/>
  <c r="CA66" i="11" s="1"/>
  <c r="CB79" i="6" s="1"/>
  <c r="CA69" i="11" l="1"/>
  <c r="CB66" i="11" s="1"/>
  <c r="CC79" i="6" s="1"/>
  <c r="CB69" i="11" l="1"/>
  <c r="CC66" i="11" s="1"/>
  <c r="CD79" i="6" s="1"/>
  <c r="CC69" i="11" l="1"/>
  <c r="CD66" i="11" s="1"/>
  <c r="CE79" i="6" s="1"/>
  <c r="CD69" i="11" l="1"/>
  <c r="CE66" i="11" s="1"/>
  <c r="CF79" i="6" s="1"/>
  <c r="CE69" i="11" l="1"/>
  <c r="CF66" i="11" s="1"/>
  <c r="CG79" i="6" s="1"/>
  <c r="H54" i="1" l="1"/>
  <c r="J38" i="21" l="1"/>
  <c r="E308" i="32"/>
  <c r="E285" i="32"/>
  <c r="J286" i="32" s="1"/>
  <c r="CF69" i="11"/>
  <c r="CG66" i="11" s="1"/>
  <c r="CH79" i="6" s="1"/>
  <c r="CG69" i="11" l="1"/>
  <c r="CH66" i="11" s="1"/>
  <c r="CI79" i="6" s="1"/>
  <c r="CH69" i="11" l="1"/>
  <c r="CI66" i="11" s="1"/>
  <c r="CJ79" i="6" s="1"/>
  <c r="CI69" i="11" l="1"/>
  <c r="CJ66" i="11" s="1"/>
  <c r="CK79" i="6" s="1"/>
  <c r="CJ69" i="11" l="1"/>
  <c r="CK66" i="11" s="1"/>
  <c r="CL79" i="6" s="1"/>
  <c r="CK69" i="11" l="1"/>
  <c r="CL66" i="11" s="1"/>
  <c r="CM79" i="6" s="1"/>
  <c r="H55" i="1" l="1"/>
  <c r="J39" i="21" l="1"/>
  <c r="E309" i="32"/>
  <c r="E286" i="32"/>
  <c r="J287" i="32" s="1"/>
  <c r="CL69" i="11"/>
  <c r="CM66" i="11" s="1"/>
  <c r="CN79" i="6" s="1"/>
  <c r="CM69" i="11" l="1"/>
  <c r="CN66" i="11" s="1"/>
  <c r="CO79" i="6" s="1"/>
  <c r="CN69" i="11" l="1"/>
  <c r="CO66" i="11" s="1"/>
  <c r="CP79" i="6" s="1"/>
  <c r="CO69" i="11" l="1"/>
  <c r="CP66" i="11" s="1"/>
  <c r="CQ79" i="6" s="1"/>
  <c r="CP69" i="11" l="1"/>
  <c r="CQ66" i="11" s="1"/>
  <c r="CR79" i="6" s="1"/>
  <c r="CQ69" i="11" l="1"/>
  <c r="CR66" i="11" s="1"/>
  <c r="CS79" i="6" s="1"/>
  <c r="H56" i="1" l="1"/>
  <c r="J40" i="21" l="1"/>
  <c r="E310" i="32"/>
  <c r="E287" i="32"/>
  <c r="J288" i="32" s="1"/>
  <c r="CR69" i="11"/>
  <c r="CS66" i="11" s="1"/>
  <c r="CT79" i="6" s="1"/>
  <c r="CS69" i="11" l="1"/>
  <c r="CT66" i="11" s="1"/>
  <c r="CU79" i="6" s="1"/>
  <c r="CT69" i="11" l="1"/>
  <c r="CU66" i="11" s="1"/>
  <c r="CV79" i="6" s="1"/>
  <c r="CU69" i="11" l="1"/>
  <c r="CV66" i="11" s="1"/>
  <c r="CW79" i="6" s="1"/>
  <c r="CV69" i="11" l="1"/>
  <c r="CW66" i="11" s="1"/>
  <c r="CX79" i="6" s="1"/>
  <c r="CW69" i="11" l="1"/>
  <c r="CX66" i="11" s="1"/>
  <c r="CY79" i="6" s="1"/>
  <c r="H57" i="1" l="1"/>
  <c r="J41" i="21" l="1"/>
  <c r="E311" i="32"/>
  <c r="E288" i="32"/>
  <c r="J289" i="32" s="1"/>
  <c r="CX69" i="11"/>
  <c r="CY66" i="11" s="1"/>
  <c r="CZ79" i="6" s="1"/>
  <c r="CY69" i="11" l="1"/>
  <c r="CZ66" i="11" s="1"/>
  <c r="DA79" i="6" s="1"/>
  <c r="CZ69" i="11" l="1"/>
  <c r="DA66" i="11" s="1"/>
  <c r="DB79" i="6" s="1"/>
  <c r="DA69" i="11" l="1"/>
  <c r="DB66" i="11" s="1"/>
  <c r="DC79" i="6" s="1"/>
  <c r="DB69" i="11" l="1"/>
  <c r="DC66" i="11" s="1"/>
  <c r="DD79" i="6" s="1"/>
  <c r="DC69" i="11" l="1"/>
  <c r="DD66" i="11" s="1"/>
  <c r="DE79" i="6" s="1"/>
  <c r="H58" i="1" l="1"/>
  <c r="J42" i="21" l="1"/>
  <c r="E312" i="32"/>
  <c r="E289" i="32"/>
  <c r="J290" i="32" s="1"/>
  <c r="DD69" i="11"/>
  <c r="DE66" i="11" s="1"/>
  <c r="DF79" i="6" s="1"/>
  <c r="DE69" i="11" l="1"/>
  <c r="DF66" i="11" s="1"/>
  <c r="DG79" i="6" s="1"/>
  <c r="DF69" i="11" l="1"/>
  <c r="DG66" i="11" s="1"/>
  <c r="DH79" i="6" s="1"/>
  <c r="DG69" i="11" l="1"/>
  <c r="DH66" i="11" s="1"/>
  <c r="DI79" i="6" s="1"/>
  <c r="DH69" i="11" l="1"/>
  <c r="DI66" i="11" s="1"/>
  <c r="DJ79" i="6" s="1"/>
  <c r="DI69" i="11" l="1"/>
  <c r="DJ66" i="11" s="1"/>
  <c r="DK79" i="6" s="1"/>
  <c r="H59" i="1" l="1"/>
  <c r="J43" i="21" l="1"/>
  <c r="E313" i="32"/>
  <c r="E290" i="32"/>
  <c r="J291" i="32" s="1"/>
  <c r="DJ69" i="11"/>
  <c r="DK66" i="11" s="1"/>
  <c r="DL79" i="6" s="1"/>
  <c r="DK69" i="11" l="1"/>
  <c r="DL66" i="11" s="1"/>
  <c r="DM79" i="6" s="1"/>
  <c r="DL69" i="11" l="1"/>
  <c r="DM66" i="11" s="1"/>
  <c r="DN79" i="6" s="1"/>
  <c r="DM69" i="11" l="1"/>
  <c r="DN66" i="11" s="1"/>
  <c r="DO79" i="6" s="1"/>
  <c r="DN69" i="11" l="1"/>
  <c r="DO66" i="11" s="1"/>
  <c r="DP79" i="6" s="1"/>
  <c r="DO69" i="11" l="1"/>
  <c r="DP66" i="11" s="1"/>
  <c r="DQ79" i="6" s="1"/>
  <c r="H60" i="1" l="1"/>
  <c r="J44" i="21" l="1"/>
  <c r="E314" i="32"/>
  <c r="E291" i="32"/>
  <c r="J292" i="32" s="1"/>
  <c r="DP69" i="11"/>
  <c r="DQ66" i="11" s="1"/>
  <c r="DR79" i="6" s="1"/>
  <c r="DQ69" i="11" l="1"/>
  <c r="DR66" i="11" s="1"/>
  <c r="DS79" i="6" s="1"/>
  <c r="DR69" i="11" l="1"/>
  <c r="DS66" i="11" s="1"/>
  <c r="DT79" i="6" s="1"/>
  <c r="DS69" i="11" l="1"/>
  <c r="DT66" i="11" s="1"/>
  <c r="DU79" i="6" s="1"/>
  <c r="DT69" i="11" l="1"/>
  <c r="DU66" i="11" s="1"/>
  <c r="DV79" i="6" s="1"/>
  <c r="DU69" i="11" l="1"/>
  <c r="DV66" i="11" s="1"/>
  <c r="DW79" i="6" s="1"/>
  <c r="H61" i="1" l="1"/>
  <c r="J45" i="21" l="1"/>
  <c r="E315" i="32"/>
  <c r="E292" i="32"/>
  <c r="J293" i="32" s="1"/>
  <c r="J294" i="32" s="1"/>
  <c r="DV69" i="11"/>
  <c r="DW66" i="11" s="1"/>
  <c r="DX79" i="6" s="1"/>
  <c r="DW69" i="11" l="1"/>
  <c r="DX66" i="11" s="1"/>
  <c r="DY79" i="6" s="1"/>
  <c r="DX69" i="11" l="1"/>
  <c r="DY66" i="11" s="1"/>
  <c r="DZ79" i="6" s="1"/>
  <c r="DY69" i="11" l="1"/>
  <c r="DZ66" i="11" s="1"/>
  <c r="EA79" i="6" s="1"/>
  <c r="DZ69" i="11" l="1"/>
  <c r="EA66" i="11" s="1"/>
  <c r="EB79" i="6" s="1"/>
  <c r="EA69" i="11" l="1"/>
  <c r="EB66" i="11" s="1"/>
  <c r="EC79" i="6" s="1"/>
  <c r="H62" i="1" l="1"/>
  <c r="J46" i="21" l="1"/>
  <c r="E316" i="32"/>
  <c r="E293" i="32"/>
  <c r="E294" i="32" s="1"/>
  <c r="EB69" i="11"/>
  <c r="EC66" i="11" s="1"/>
  <c r="ED79" i="6" l="1"/>
  <c r="EC69" i="11" l="1"/>
  <c r="ED66" i="11" s="1"/>
  <c r="EE79" i="6" l="1"/>
  <c r="ED69" i="11" l="1"/>
  <c r="EE66" i="11" s="1"/>
  <c r="EF79" i="6" l="1"/>
  <c r="EE69" i="11" l="1"/>
  <c r="EF66" i="11" s="1"/>
  <c r="EG79" i="6" l="1"/>
  <c r="EF69" i="11" l="1"/>
  <c r="EG66" i="11" s="1"/>
  <c r="EH79" i="6" s="1"/>
  <c r="EG69" i="11" l="1"/>
  <c r="EH66" i="11" s="1"/>
  <c r="EI79" i="6" l="1"/>
  <c r="EH69" i="11" l="1"/>
  <c r="EI66" i="11" s="1"/>
  <c r="EJ79" i="6" l="1"/>
  <c r="EI69" i="11" l="1"/>
  <c r="EJ66" i="11" s="1"/>
  <c r="EK79" i="6" l="1"/>
  <c r="EJ69" i="11" l="1"/>
  <c r="EK66" i="11" s="1"/>
  <c r="EL79" i="6" l="1"/>
  <c r="EK69" i="11" l="1"/>
  <c r="EL66" i="11" s="1"/>
  <c r="EM79" i="6" l="1"/>
  <c r="EL69" i="11" l="1"/>
  <c r="EM66" i="11" s="1"/>
  <c r="EN79" i="6" l="1"/>
  <c r="EM69" i="11" l="1"/>
  <c r="EN66" i="11" s="1"/>
  <c r="EO79" i="6" l="1"/>
  <c r="EN69" i="11" l="1"/>
  <c r="EO66" i="11" s="1"/>
  <c r="EP79" i="6" l="1"/>
  <c r="EO69" i="11" l="1"/>
  <c r="EP66" i="11" s="1"/>
  <c r="EQ79" i="6" l="1"/>
  <c r="H63" i="1"/>
  <c r="E317" i="32" s="1"/>
  <c r="EP69" i="11" l="1"/>
  <c r="EQ66" i="11" s="1"/>
  <c r="ER79" i="6" s="1"/>
  <c r="N70" i="16" l="1"/>
  <c r="O70" i="16"/>
  <c r="P70" i="16"/>
  <c r="Q70" i="16"/>
  <c r="R70" i="16"/>
  <c r="S70" i="16"/>
  <c r="T70" i="16"/>
  <c r="U70" i="16"/>
  <c r="V70" i="16"/>
  <c r="W70" i="16"/>
  <c r="X70" i="16"/>
  <c r="Y70" i="16"/>
  <c r="Z70" i="16"/>
  <c r="AA70" i="16"/>
  <c r="AB70" i="16"/>
  <c r="AC70" i="16"/>
  <c r="AD70" i="16"/>
  <c r="AE70" i="16"/>
  <c r="AF70" i="16"/>
  <c r="AG70" i="16"/>
  <c r="AH70" i="16"/>
  <c r="AI70" i="16"/>
  <c r="AJ70" i="16"/>
  <c r="K79" i="6"/>
  <c r="K70" i="16" l="1"/>
  <c r="J68" i="11"/>
  <c r="EQ69" i="11"/>
  <c r="Y44" i="26" l="1"/>
  <c r="Z44" i="26"/>
  <c r="AA44" i="26"/>
  <c r="AB44" i="26"/>
  <c r="AC44" i="26"/>
  <c r="AD44" i="26"/>
  <c r="AE44" i="26"/>
  <c r="AF44" i="26"/>
  <c r="AG44" i="26"/>
  <c r="AH44" i="26"/>
  <c r="AI44" i="26"/>
  <c r="M82" i="16" l="1"/>
  <c r="M21" i="5" l="1"/>
  <c r="N21" i="5" l="1"/>
  <c r="O21" i="5" l="1"/>
  <c r="P21" i="5" l="1"/>
  <c r="Q21" i="5" l="1"/>
  <c r="R21" i="5" l="1"/>
  <c r="S21" i="5" l="1"/>
  <c r="T21" i="5" l="1"/>
  <c r="U21" i="5" l="1"/>
  <c r="V21" i="5" l="1"/>
  <c r="W21" i="5" l="1"/>
  <c r="X21" i="5" l="1"/>
  <c r="Y21" i="5" l="1"/>
  <c r="Z21" i="5" l="1"/>
  <c r="AA21" i="5" l="1"/>
  <c r="AB21" i="5" l="1"/>
  <c r="AC21" i="5" l="1"/>
  <c r="AD21" i="5" l="1"/>
  <c r="AE21" i="5" l="1"/>
  <c r="AF21" i="5" l="1"/>
  <c r="AG21" i="5" l="1"/>
  <c r="AH21" i="5" l="1"/>
  <c r="AI21" i="5" l="1"/>
  <c r="AJ21" i="5" l="1"/>
  <c r="AK21" i="5" l="1"/>
  <c r="AL21" i="5" l="1"/>
  <c r="AM21" i="5" l="1"/>
  <c r="AN21" i="5" l="1"/>
  <c r="AO21" i="5" l="1"/>
  <c r="AP21" i="5" l="1"/>
  <c r="AQ21" i="5" l="1"/>
  <c r="AR21" i="5" l="1"/>
  <c r="AS21" i="5" l="1"/>
  <c r="AT21" i="5" l="1"/>
  <c r="AU21" i="5" l="1"/>
  <c r="AV21" i="5" l="1"/>
  <c r="AW21" i="5" l="1"/>
  <c r="AX21" i="5" l="1"/>
  <c r="AY21" i="5" l="1"/>
  <c r="AZ21" i="5" l="1"/>
  <c r="BA21" i="5" l="1"/>
  <c r="BB21" i="5" l="1"/>
  <c r="BC21" i="5" l="1"/>
  <c r="BD21" i="5" l="1"/>
  <c r="BE21" i="5" l="1"/>
  <c r="BF21" i="5" l="1"/>
  <c r="BG21" i="5" l="1"/>
  <c r="BH21" i="5" l="1"/>
  <c r="BI21" i="5" l="1"/>
  <c r="BJ21" i="5" l="1"/>
  <c r="BK21" i="5" l="1"/>
  <c r="BL21" i="5" l="1"/>
  <c r="BM21" i="5" l="1"/>
  <c r="BN21" i="5" l="1"/>
  <c r="BO21" i="5" l="1"/>
  <c r="BP21" i="5" l="1"/>
  <c r="BQ21" i="5" l="1"/>
  <c r="BR21" i="5" l="1"/>
  <c r="BS21" i="5" l="1"/>
  <c r="BT21" i="5" l="1"/>
  <c r="BU21" i="5" l="1"/>
  <c r="BV21" i="5" l="1"/>
  <c r="BW21" i="5" l="1"/>
  <c r="BX21" i="5" l="1"/>
  <c r="BY21" i="5" l="1"/>
  <c r="BZ21" i="5" l="1"/>
  <c r="CA21" i="5" l="1"/>
  <c r="CB21" i="5" l="1"/>
  <c r="CC21" i="5" l="1"/>
  <c r="CD21" i="5" l="1"/>
  <c r="CE21" i="5" l="1"/>
  <c r="CF21" i="5" l="1"/>
  <c r="CG21" i="5" l="1"/>
  <c r="CH21" i="5" l="1"/>
  <c r="CI21" i="5" l="1"/>
  <c r="CJ21" i="5" l="1"/>
  <c r="CK21" i="5" l="1"/>
  <c r="CL21" i="5" l="1"/>
  <c r="CM21" i="5" l="1"/>
  <c r="CN21" i="5" l="1"/>
  <c r="CO21" i="5" l="1"/>
  <c r="CP21" i="5" l="1"/>
  <c r="CQ21" i="5" l="1"/>
  <c r="CR21" i="5" l="1"/>
  <c r="CS21" i="5" l="1"/>
  <c r="CT21" i="5" l="1"/>
  <c r="CU21" i="5" l="1"/>
  <c r="CV21" i="5" l="1"/>
  <c r="CW21" i="5" l="1"/>
  <c r="CX21" i="5" l="1"/>
  <c r="CY21" i="5" l="1"/>
  <c r="CZ21" i="5" l="1"/>
  <c r="DA21" i="5" l="1"/>
  <c r="DB21" i="5" l="1"/>
  <c r="DC21" i="5" l="1"/>
  <c r="DD21" i="5" l="1"/>
  <c r="DE21" i="5" l="1"/>
  <c r="DF21" i="5" l="1"/>
  <c r="DG21" i="5" l="1"/>
  <c r="DH21" i="5" l="1"/>
  <c r="DI21" i="5" l="1"/>
  <c r="DJ21" i="5" l="1"/>
  <c r="DK21" i="5" l="1"/>
  <c r="DL21" i="5" l="1"/>
  <c r="DM21" i="5" l="1"/>
  <c r="DN21" i="5" l="1"/>
  <c r="DO21" i="5" l="1"/>
  <c r="DP21" i="5" l="1"/>
  <c r="DQ21" i="5" l="1"/>
  <c r="DR21" i="5" l="1"/>
  <c r="DS21" i="5" l="1"/>
  <c r="DT21" i="5" l="1"/>
  <c r="DU21" i="5" l="1"/>
  <c r="DV21" i="5" l="1"/>
  <c r="DW21" i="5" l="1"/>
  <c r="DX21" i="5" l="1"/>
  <c r="DY21" i="5" l="1"/>
  <c r="DZ21" i="5" l="1"/>
  <c r="EA21" i="5" l="1"/>
  <c r="EB21" i="5" l="1"/>
  <c r="EC21" i="5" l="1"/>
  <c r="ED21" i="5" l="1"/>
  <c r="AH40" i="1" l="1"/>
  <c r="AG40" i="1"/>
  <c r="AF40" i="1"/>
  <c r="AE40" i="1"/>
  <c r="AD40" i="1"/>
  <c r="AC40" i="1"/>
  <c r="AB40" i="1"/>
  <c r="AA40" i="1"/>
  <c r="Z40" i="1"/>
  <c r="Y40" i="1"/>
  <c r="AG15" i="16" l="1"/>
  <c r="X680" i="32" s="1"/>
  <c r="AF15" i="16"/>
  <c r="W680" i="32" s="1"/>
  <c r="L905" i="32" s="1"/>
  <c r="AE15" i="16"/>
  <c r="V680" i="32" s="1"/>
  <c r="AD15" i="16"/>
  <c r="U680" i="32" s="1"/>
  <c r="AC15" i="16"/>
  <c r="T680" i="32" s="1"/>
  <c r="AB15" i="16"/>
  <c r="S680" i="32" s="1"/>
  <c r="AA15" i="16"/>
  <c r="R680" i="32" s="1"/>
  <c r="Z15" i="16"/>
  <c r="Q680" i="32" s="1"/>
  <c r="Y15" i="16"/>
  <c r="P680" i="32" s="1"/>
  <c r="X15" i="16"/>
  <c r="O680" i="32" s="1"/>
  <c r="W15" i="16"/>
  <c r="N680" i="32" s="1"/>
  <c r="V15" i="16"/>
  <c r="M680" i="32" s="1"/>
  <c r="U15" i="16"/>
  <c r="L680" i="32" s="1"/>
  <c r="T15" i="16"/>
  <c r="K680" i="32" s="1"/>
  <c r="F905" i="32" s="1"/>
  <c r="S15" i="16"/>
  <c r="J680" i="32" s="1"/>
  <c r="R15" i="16"/>
  <c r="I680" i="32" s="1"/>
  <c r="Q15" i="16"/>
  <c r="P15" i="16"/>
  <c r="O15" i="16"/>
  <c r="N15" i="16"/>
  <c r="AF16" i="17"/>
  <c r="AE16" i="17"/>
  <c r="AD16" i="17"/>
  <c r="AC16" i="17"/>
  <c r="AB16" i="17"/>
  <c r="AA16" i="17"/>
  <c r="Z16" i="17"/>
  <c r="Y16" i="17"/>
  <c r="X16" i="17"/>
  <c r="W16" i="17"/>
  <c r="V16" i="17"/>
  <c r="U16" i="17"/>
  <c r="T16" i="17"/>
  <c r="S16" i="17"/>
  <c r="R16" i="17"/>
  <c r="Q16" i="17"/>
  <c r="P16" i="17"/>
  <c r="O16" i="17"/>
  <c r="N16" i="17"/>
  <c r="M16" i="17"/>
  <c r="AI40" i="1"/>
  <c r="E905" i="32" l="1"/>
  <c r="K905" i="32"/>
  <c r="J905" i="32"/>
  <c r="G905" i="32"/>
  <c r="I905" i="32"/>
  <c r="H905" i="32"/>
  <c r="I119" i="32"/>
  <c r="H680" i="32"/>
  <c r="G119" i="32"/>
  <c r="K119" i="32"/>
  <c r="E680" i="32"/>
  <c r="E119" i="32"/>
  <c r="H119" i="32"/>
  <c r="L119" i="32"/>
  <c r="M119" i="32"/>
  <c r="F680" i="32"/>
  <c r="G680" i="32"/>
  <c r="F119" i="32"/>
  <c r="J119" i="32"/>
  <c r="N119" i="32"/>
  <c r="X40" i="1"/>
  <c r="D905" i="32" l="1"/>
  <c r="C905" i="32"/>
  <c r="C680" i="32"/>
  <c r="C119" i="32"/>
  <c r="EE21" i="5"/>
  <c r="M905" i="32" l="1"/>
  <c r="EF21" i="5"/>
  <c r="EG21" i="5" l="1"/>
  <c r="EH21" i="5" l="1"/>
  <c r="AH15" i="16" l="1"/>
  <c r="AG16" i="17"/>
  <c r="AH82" i="16" l="1"/>
  <c r="EI21" i="5" l="1"/>
  <c r="EJ21" i="5" l="1"/>
  <c r="EK21" i="5" l="1"/>
  <c r="EL21" i="5" l="1"/>
  <c r="EM21" i="5" l="1"/>
  <c r="EN21" i="5" l="1"/>
  <c r="EO21" i="5" l="1"/>
  <c r="EP21" i="5" l="1"/>
  <c r="Y10" i="26" l="1"/>
  <c r="Y9" i="26" s="1"/>
  <c r="Z10" i="26"/>
  <c r="Z9" i="26" s="1"/>
  <c r="AA10" i="26"/>
  <c r="AA9" i="26" s="1"/>
  <c r="AB10" i="26"/>
  <c r="AB9" i="26" s="1"/>
  <c r="AC10" i="26"/>
  <c r="AC9" i="26" s="1"/>
  <c r="AD10" i="26"/>
  <c r="AD9" i="26" s="1"/>
  <c r="AE10" i="26"/>
  <c r="AE9" i="26" s="1"/>
  <c r="AF10" i="26"/>
  <c r="AF9" i="26" s="1"/>
  <c r="AG10" i="26"/>
  <c r="AG9" i="26" s="1"/>
  <c r="AH10" i="26"/>
  <c r="AH9" i="26" s="1"/>
  <c r="AI10" i="26"/>
  <c r="AI9" i="26" s="1"/>
  <c r="EQ21" i="5" l="1"/>
  <c r="M16" i="26" l="1"/>
  <c r="N16" i="26"/>
  <c r="O16" i="26"/>
  <c r="P16" i="26"/>
  <c r="Q16" i="26"/>
  <c r="R16" i="26"/>
  <c r="S16" i="26"/>
  <c r="T16" i="26"/>
  <c r="U16" i="26"/>
  <c r="V16" i="26"/>
  <c r="W16" i="26"/>
  <c r="X16" i="26"/>
  <c r="K20" i="10"/>
  <c r="J16" i="26" l="1"/>
  <c r="J21" i="5"/>
  <c r="AI16" i="17"/>
  <c r="AH16" i="17"/>
  <c r="K21" i="6"/>
  <c r="AJ15" i="16"/>
  <c r="AI15" i="16"/>
  <c r="J16" i="17" l="1"/>
  <c r="K15" i="16"/>
  <c r="Y105" i="26" l="1"/>
  <c r="Y62" i="26" s="1"/>
  <c r="Z105" i="26"/>
  <c r="Z62" i="26" s="1"/>
  <c r="AA105" i="26"/>
  <c r="AA62" i="26" s="1"/>
  <c r="AB105" i="26"/>
  <c r="AB62" i="26" s="1"/>
  <c r="AC105" i="26"/>
  <c r="AC62" i="26" s="1"/>
  <c r="AD105" i="26"/>
  <c r="AD62" i="26" s="1"/>
  <c r="AE105" i="26"/>
  <c r="AE62" i="26" s="1"/>
  <c r="AF105" i="26"/>
  <c r="AF62" i="26" s="1"/>
  <c r="AG105" i="26"/>
  <c r="AG62" i="26" s="1"/>
  <c r="AH105" i="26"/>
  <c r="AH62" i="26" s="1"/>
  <c r="AI105" i="26"/>
  <c r="AI62" i="26" s="1"/>
  <c r="AJ82" i="16"/>
  <c r="AI124" i="26" l="1"/>
  <c r="AI125" i="26"/>
  <c r="AI115" i="26"/>
  <c r="AD125" i="26"/>
  <c r="AD124" i="26"/>
  <c r="AD115" i="26"/>
  <c r="AG124" i="26"/>
  <c r="AG125" i="26"/>
  <c r="AG115" i="26"/>
  <c r="AF125" i="26"/>
  <c r="AF124" i="26"/>
  <c r="AF115" i="26"/>
  <c r="AH125" i="26"/>
  <c r="AH124" i="26"/>
  <c r="AH115" i="26"/>
  <c r="AC125" i="26"/>
  <c r="AC124" i="26"/>
  <c r="AC115" i="26"/>
  <c r="AE125" i="26"/>
  <c r="AE124" i="26"/>
  <c r="AE115" i="26"/>
  <c r="AA124" i="26"/>
  <c r="AA125" i="26"/>
  <c r="AA115" i="26"/>
  <c r="AB125" i="26"/>
  <c r="AB124" i="26"/>
  <c r="AB115" i="26"/>
  <c r="Z124" i="26"/>
  <c r="Z125" i="26"/>
  <c r="Z115" i="26"/>
  <c r="Y124" i="26"/>
  <c r="Y125" i="26"/>
  <c r="Y115" i="26"/>
  <c r="AI82" i="16"/>
  <c r="J28" i="2" l="1"/>
  <c r="CE28" i="2" l="1"/>
  <c r="CE27" i="2" s="1"/>
  <c r="D34" i="32"/>
  <c r="D35" i="32" s="1"/>
  <c r="AY28" i="2"/>
  <c r="AY27" i="2" s="1"/>
  <c r="AX64" i="5" s="1"/>
  <c r="AX60" i="5" s="1"/>
  <c r="V28" i="2"/>
  <c r="V27" i="2" s="1"/>
  <c r="U64" i="5" s="1"/>
  <c r="U60" i="5" s="1"/>
  <c r="AK28" i="2"/>
  <c r="AK27" i="2" s="1"/>
  <c r="AJ64" i="5" s="1"/>
  <c r="AJ60" i="5" s="1"/>
  <c r="AI28" i="2"/>
  <c r="AI27" i="2" s="1"/>
  <c r="AI37" i="2" s="1"/>
  <c r="CB28" i="2"/>
  <c r="CB27" i="2" s="1"/>
  <c r="CB37" i="2" s="1"/>
  <c r="CK28" i="2"/>
  <c r="CK27" i="2" s="1"/>
  <c r="CK37" i="2" s="1"/>
  <c r="BZ28" i="2"/>
  <c r="BZ27" i="2" s="1"/>
  <c r="BY64" i="5" s="1"/>
  <c r="BY60" i="5" s="1"/>
  <c r="EH28" i="2"/>
  <c r="EH27" i="2" s="1"/>
  <c r="EH37" i="2" s="1"/>
  <c r="DF28" i="2"/>
  <c r="DF27" i="2" s="1"/>
  <c r="DE64" i="5" s="1"/>
  <c r="AW28" i="2"/>
  <c r="AW27" i="2" s="1"/>
  <c r="AF28" i="2"/>
  <c r="AF27" i="2" s="1"/>
  <c r="AE64" i="5" s="1"/>
  <c r="BM28" i="2"/>
  <c r="BM27" i="2" s="1"/>
  <c r="BL64" i="5" s="1"/>
  <c r="BL60" i="5" s="1"/>
  <c r="BC28" i="2"/>
  <c r="BC27" i="2" s="1"/>
  <c r="BB64" i="5" s="1"/>
  <c r="BB60" i="5" s="1"/>
  <c r="DO28" i="2"/>
  <c r="DO27" i="2" s="1"/>
  <c r="DO37" i="2" s="1"/>
  <c r="BN28" i="2"/>
  <c r="BN27" i="2" s="1"/>
  <c r="BN37" i="2" s="1"/>
  <c r="BS28" i="2"/>
  <c r="BS27" i="2" s="1"/>
  <c r="S28" i="2"/>
  <c r="S27" i="2" s="1"/>
  <c r="J27" i="2"/>
  <c r="EA28" i="2"/>
  <c r="EA27" i="2" s="1"/>
  <c r="AE28" i="2"/>
  <c r="AE27" i="2" s="1"/>
  <c r="Z28" i="2"/>
  <c r="Z27" i="2" s="1"/>
  <c r="CU28" i="2"/>
  <c r="CU27" i="2" s="1"/>
  <c r="DU28" i="2"/>
  <c r="DU27" i="2" s="1"/>
  <c r="CX28" i="2"/>
  <c r="CX27" i="2" s="1"/>
  <c r="EK28" i="2"/>
  <c r="EK27" i="2" s="1"/>
  <c r="EJ28" i="2"/>
  <c r="EJ27" i="2" s="1"/>
  <c r="DC28" i="2"/>
  <c r="DC27" i="2" s="1"/>
  <c r="BF28" i="2"/>
  <c r="BF27" i="2" s="1"/>
  <c r="EG28" i="2"/>
  <c r="EG27" i="2" s="1"/>
  <c r="EE28" i="2"/>
  <c r="EE27" i="2" s="1"/>
  <c r="CI28" i="2"/>
  <c r="CI27" i="2" s="1"/>
  <c r="DB28" i="2"/>
  <c r="DB27" i="2" s="1"/>
  <c r="BR28" i="2"/>
  <c r="BR27" i="2" s="1"/>
  <c r="R28" i="2"/>
  <c r="R27" i="2" s="1"/>
  <c r="DT28" i="2"/>
  <c r="DT27" i="2" s="1"/>
  <c r="AD28" i="2"/>
  <c r="AD27" i="2" s="1"/>
  <c r="U28" i="2"/>
  <c r="U27" i="2" s="1"/>
  <c r="AT28" i="2"/>
  <c r="AT27" i="2" s="1"/>
  <c r="CG28" i="2"/>
  <c r="CG27" i="2" s="1"/>
  <c r="EI28" i="2"/>
  <c r="EI27" i="2" s="1"/>
  <c r="CJ28" i="2"/>
  <c r="CJ27" i="2" s="1"/>
  <c r="DL28" i="2"/>
  <c r="DL27" i="2" s="1"/>
  <c r="DX28" i="2"/>
  <c r="DX27" i="2" s="1"/>
  <c r="CT28" i="2"/>
  <c r="CT27" i="2" s="1"/>
  <c r="P18" i="1"/>
  <c r="R46" i="21" s="1"/>
  <c r="CF28" i="2"/>
  <c r="CF27" i="2" s="1"/>
  <c r="BY28" i="2"/>
  <c r="BY27" i="2" s="1"/>
  <c r="N28" i="2"/>
  <c r="N27" i="2" s="1"/>
  <c r="T28" i="2"/>
  <c r="T27" i="2" s="1"/>
  <c r="BA28" i="2"/>
  <c r="BA27" i="2" s="1"/>
  <c r="BB28" i="2"/>
  <c r="BB27" i="2" s="1"/>
  <c r="DZ28" i="2"/>
  <c r="DZ27" i="2" s="1"/>
  <c r="BD28" i="2"/>
  <c r="BD27" i="2" s="1"/>
  <c r="CV28" i="2"/>
  <c r="CV27" i="2" s="1"/>
  <c r="BX28" i="2"/>
  <c r="BX27" i="2" s="1"/>
  <c r="AN28" i="2"/>
  <c r="AN27" i="2" s="1"/>
  <c r="Q28" i="2"/>
  <c r="Q27" i="2" s="1"/>
  <c r="AS28" i="2"/>
  <c r="AS27" i="2" s="1"/>
  <c r="CN28" i="2"/>
  <c r="CN27" i="2" s="1"/>
  <c r="BL28" i="2"/>
  <c r="BL27" i="2" s="1"/>
  <c r="W28" i="2"/>
  <c r="W27" i="2" s="1"/>
  <c r="BH28" i="2"/>
  <c r="BH27" i="2" s="1"/>
  <c r="EN28" i="2"/>
  <c r="EN27" i="2" s="1"/>
  <c r="DD28" i="2"/>
  <c r="DD27" i="2" s="1"/>
  <c r="DS28" i="2"/>
  <c r="DS27" i="2" s="1"/>
  <c r="CY28" i="2"/>
  <c r="CY27" i="2" s="1"/>
  <c r="EQ28" i="2"/>
  <c r="EQ27" i="2" s="1"/>
  <c r="AM28" i="2"/>
  <c r="AM27" i="2" s="1"/>
  <c r="BU28" i="2"/>
  <c r="BU27" i="2" s="1"/>
  <c r="DE28" i="2"/>
  <c r="DE27" i="2" s="1"/>
  <c r="CL28" i="2"/>
  <c r="CL27" i="2" s="1"/>
  <c r="CO28" i="2"/>
  <c r="CO27" i="2" s="1"/>
  <c r="BW28" i="2"/>
  <c r="BW27" i="2" s="1"/>
  <c r="BI28" i="2"/>
  <c r="BI27" i="2" s="1"/>
  <c r="CR28" i="2"/>
  <c r="CR27" i="2" s="1"/>
  <c r="CP28" i="2"/>
  <c r="CP27" i="2" s="1"/>
  <c r="P28" i="2"/>
  <c r="P27" i="2" s="1"/>
  <c r="EF28" i="2"/>
  <c r="EF27" i="2" s="1"/>
  <c r="DN28" i="2"/>
  <c r="DN27" i="2" s="1"/>
  <c r="DQ28" i="2"/>
  <c r="DQ27" i="2" s="1"/>
  <c r="AZ28" i="2"/>
  <c r="AZ27" i="2" s="1"/>
  <c r="M28" i="2"/>
  <c r="CM28" i="2"/>
  <c r="CM27" i="2" s="1"/>
  <c r="DR28" i="2"/>
  <c r="DR27" i="2" s="1"/>
  <c r="X28" i="2"/>
  <c r="X27" i="2" s="1"/>
  <c r="DM28" i="2"/>
  <c r="DM27" i="2" s="1"/>
  <c r="AR28" i="2"/>
  <c r="AR27" i="2" s="1"/>
  <c r="AJ28" i="2"/>
  <c r="AJ27" i="2" s="1"/>
  <c r="DP28" i="2"/>
  <c r="DP27" i="2" s="1"/>
  <c r="CW28" i="2"/>
  <c r="CW27" i="2" s="1"/>
  <c r="BO28" i="2"/>
  <c r="BO27" i="2" s="1"/>
  <c r="EP28" i="2"/>
  <c r="EP27" i="2" s="1"/>
  <c r="DA28" i="2"/>
  <c r="DA27" i="2" s="1"/>
  <c r="BT28" i="2"/>
  <c r="BT27" i="2" s="1"/>
  <c r="DV28" i="2"/>
  <c r="DV27" i="2" s="1"/>
  <c r="DW28" i="2"/>
  <c r="DW27" i="2" s="1"/>
  <c r="DJ28" i="2"/>
  <c r="DJ27" i="2" s="1"/>
  <c r="EM28" i="2"/>
  <c r="EM27" i="2" s="1"/>
  <c r="EC28" i="2"/>
  <c r="EC27" i="2" s="1"/>
  <c r="AO28" i="2"/>
  <c r="AO27" i="2" s="1"/>
  <c r="CH28" i="2"/>
  <c r="CH27" i="2" s="1"/>
  <c r="BJ28" i="2"/>
  <c r="BJ27" i="2" s="1"/>
  <c r="DK28" i="2"/>
  <c r="DK27" i="2" s="1"/>
  <c r="DY28" i="2"/>
  <c r="DY27" i="2" s="1"/>
  <c r="AL28" i="2"/>
  <c r="AL27" i="2" s="1"/>
  <c r="BP28" i="2"/>
  <c r="BP27" i="2" s="1"/>
  <c r="AP28" i="2"/>
  <c r="AP27" i="2" s="1"/>
  <c r="DG28" i="2"/>
  <c r="DG27" i="2" s="1"/>
  <c r="AX28" i="2"/>
  <c r="AX27" i="2" s="1"/>
  <c r="CS28" i="2"/>
  <c r="CS27" i="2" s="1"/>
  <c r="BV28" i="2"/>
  <c r="BV27" i="2" s="1"/>
  <c r="Y28" i="2"/>
  <c r="Y27" i="2" s="1"/>
  <c r="EB28" i="2"/>
  <c r="EB27" i="2" s="1"/>
  <c r="AA28" i="2"/>
  <c r="AA27" i="2" s="1"/>
  <c r="CQ28" i="2"/>
  <c r="CQ27" i="2" s="1"/>
  <c r="EL28" i="2"/>
  <c r="EL27" i="2" s="1"/>
  <c r="BK28" i="2"/>
  <c r="BK27" i="2" s="1"/>
  <c r="DI28" i="2"/>
  <c r="DI27" i="2" s="1"/>
  <c r="AV28" i="2"/>
  <c r="AV27" i="2" s="1"/>
  <c r="AQ28" i="2"/>
  <c r="AQ27" i="2" s="1"/>
  <c r="AU28" i="2"/>
  <c r="AU27" i="2" s="1"/>
  <c r="BG28" i="2"/>
  <c r="BG27" i="2" s="1"/>
  <c r="BE28" i="2"/>
  <c r="BE27" i="2" s="1"/>
  <c r="O28" i="2"/>
  <c r="O27" i="2" s="1"/>
  <c r="DH28" i="2"/>
  <c r="DH27" i="2" s="1"/>
  <c r="ED28" i="2"/>
  <c r="ED27" i="2" s="1"/>
  <c r="AG28" i="2"/>
  <c r="AG27" i="2" s="1"/>
  <c r="BQ28" i="2"/>
  <c r="BQ27" i="2" s="1"/>
  <c r="CC28" i="2"/>
  <c r="CC27" i="2" s="1"/>
  <c r="ER28" i="2"/>
  <c r="ER27" i="2" s="1"/>
  <c r="AB28" i="2"/>
  <c r="AB27" i="2" s="1"/>
  <c r="AH28" i="2"/>
  <c r="AH27" i="2" s="1"/>
  <c r="CZ28" i="2"/>
  <c r="CZ27" i="2" s="1"/>
  <c r="CD28" i="2"/>
  <c r="CD27" i="2" s="1"/>
  <c r="AC28" i="2"/>
  <c r="AC27" i="2" s="1"/>
  <c r="CA28" i="2"/>
  <c r="CA27" i="2" s="1"/>
  <c r="EO28" i="2"/>
  <c r="EO27" i="2" s="1"/>
  <c r="CE37" i="2" l="1"/>
  <c r="CD64" i="5"/>
  <c r="CD60" i="5" s="1"/>
  <c r="C5" i="32"/>
  <c r="C11" i="32" s="1"/>
  <c r="F36" i="2"/>
  <c r="AE60" i="5"/>
  <c r="U46" i="21"/>
  <c r="R50" i="21"/>
  <c r="BM37" i="2"/>
  <c r="AY37" i="2"/>
  <c r="DF37" i="2"/>
  <c r="BZ37" i="2"/>
  <c r="EG64" i="5"/>
  <c r="EG60" i="5" s="1"/>
  <c r="AH64" i="5"/>
  <c r="DN64" i="5"/>
  <c r="DN60" i="5" s="1"/>
  <c r="AK37" i="2"/>
  <c r="CJ64" i="5"/>
  <c r="CJ60" i="5" s="1"/>
  <c r="BM64" i="5"/>
  <c r="BM60" i="5" s="1"/>
  <c r="AV64" i="5"/>
  <c r="AV60" i="5" s="1"/>
  <c r="AW37" i="2"/>
  <c r="V37" i="2"/>
  <c r="BC37" i="2"/>
  <c r="AF37" i="2"/>
  <c r="CA64" i="5"/>
  <c r="CA60" i="5" s="1"/>
  <c r="EP37" i="2"/>
  <c r="EO64" i="5"/>
  <c r="CS64" i="5"/>
  <c r="CT37" i="2"/>
  <c r="BN64" i="5"/>
  <c r="BN60" i="5" s="1"/>
  <c r="BO37" i="2"/>
  <c r="BW64" i="5"/>
  <c r="BW60" i="5" s="1"/>
  <c r="BX37" i="2"/>
  <c r="DW64" i="5"/>
  <c r="DX37" i="2"/>
  <c r="DB64" i="5"/>
  <c r="DB60" i="5" s="1"/>
  <c r="DC37" i="2"/>
  <c r="BZ64" i="5"/>
  <c r="BZ60" i="5" s="1"/>
  <c r="CA37" i="2"/>
  <c r="DG64" i="5"/>
  <c r="DG60" i="5" s="1"/>
  <c r="DH37" i="2"/>
  <c r="Z64" i="5"/>
  <c r="Z60" i="5" s="1"/>
  <c r="AA37" i="2"/>
  <c r="BJ37" i="2"/>
  <c r="BI64" i="5"/>
  <c r="CV64" i="5"/>
  <c r="CV60" i="5" s="1"/>
  <c r="CW37" i="2"/>
  <c r="EF37" i="2"/>
  <c r="EE64" i="5"/>
  <c r="EE60" i="5" s="1"/>
  <c r="CY37" i="2"/>
  <c r="CX64" i="5"/>
  <c r="CX60" i="5" s="1"/>
  <c r="CV37" i="2"/>
  <c r="CU64" i="5"/>
  <c r="CU60" i="5" s="1"/>
  <c r="DK64" i="5"/>
  <c r="DL37" i="2"/>
  <c r="EJ37" i="2"/>
  <c r="EI64" i="5"/>
  <c r="EA37" i="2"/>
  <c r="DZ64" i="5"/>
  <c r="DZ60" i="5" s="1"/>
  <c r="EA64" i="5"/>
  <c r="EA60" i="5" s="1"/>
  <c r="EB37" i="2"/>
  <c r="AF64" i="5"/>
  <c r="AG37" i="2"/>
  <c r="AN37" i="2"/>
  <c r="AM64" i="5"/>
  <c r="AM60" i="5" s="1"/>
  <c r="ED37" i="2"/>
  <c r="EC64" i="5"/>
  <c r="DO64" i="5"/>
  <c r="DO60" i="5" s="1"/>
  <c r="DP37" i="2"/>
  <c r="EL37" i="2"/>
  <c r="EK64" i="5"/>
  <c r="EK60" i="5" s="1"/>
  <c r="DJ64" i="5"/>
  <c r="DJ60" i="5" s="1"/>
  <c r="DK37" i="2"/>
  <c r="DS37" i="2"/>
  <c r="DR64" i="5"/>
  <c r="DR60" i="5" s="1"/>
  <c r="H36" i="2"/>
  <c r="J37" i="2"/>
  <c r="AN64" i="5"/>
  <c r="AN60" i="5" s="1"/>
  <c r="AO37" i="2"/>
  <c r="DC64" i="5"/>
  <c r="DC60" i="5" s="1"/>
  <c r="DD37" i="2"/>
  <c r="CI37" i="2"/>
  <c r="CH64" i="5"/>
  <c r="CH60" i="5" s="1"/>
  <c r="R64" i="5"/>
  <c r="R60" i="5" s="1"/>
  <c r="S37" i="2"/>
  <c r="DQ37" i="2"/>
  <c r="DP64" i="5"/>
  <c r="DP60" i="5" s="1"/>
  <c r="EQ37" i="2"/>
  <c r="EP64" i="5"/>
  <c r="EP60" i="5" s="1"/>
  <c r="DE60" i="5"/>
  <c r="BU64" i="5"/>
  <c r="BV37" i="2"/>
  <c r="BA64" i="5"/>
  <c r="BA60" i="5" s="1"/>
  <c r="BB37" i="2"/>
  <c r="BG37" i="2"/>
  <c r="BF64" i="5"/>
  <c r="BF60" i="5" s="1"/>
  <c r="BH64" i="5"/>
  <c r="BH60" i="5" s="1"/>
  <c r="BI37" i="2"/>
  <c r="BA37" i="2"/>
  <c r="AZ64" i="5"/>
  <c r="AZ60" i="5" s="1"/>
  <c r="DJ37" i="2"/>
  <c r="DI64" i="5"/>
  <c r="DI60" i="5" s="1"/>
  <c r="T64" i="5"/>
  <c r="T60" i="5" s="1"/>
  <c r="U37" i="2"/>
  <c r="CO37" i="2"/>
  <c r="CN64" i="5"/>
  <c r="CN60" i="5" s="1"/>
  <c r="AD37" i="2"/>
  <c r="AC64" i="5"/>
  <c r="AC60" i="5" s="1"/>
  <c r="DT64" i="5"/>
  <c r="DT60" i="5" s="1"/>
  <c r="DU37" i="2"/>
  <c r="BR64" i="5"/>
  <c r="BR60" i="5" s="1"/>
  <c r="BS37" i="2"/>
  <c r="CG64" i="5"/>
  <c r="CH37" i="2"/>
  <c r="EB64" i="5"/>
  <c r="EB60" i="5" s="1"/>
  <c r="EC37" i="2"/>
  <c r="AM37" i="2"/>
  <c r="AL64" i="5"/>
  <c r="AL60" i="5" s="1"/>
  <c r="EN64" i="5"/>
  <c r="EN60" i="5" s="1"/>
  <c r="EO37" i="2"/>
  <c r="N64" i="5"/>
  <c r="N60" i="5" s="1"/>
  <c r="O37" i="2"/>
  <c r="CO64" i="5"/>
  <c r="CO60" i="5" s="1"/>
  <c r="CP37" i="2"/>
  <c r="EH64" i="5"/>
  <c r="EH60" i="5" s="1"/>
  <c r="EI37" i="2"/>
  <c r="CR37" i="2"/>
  <c r="CQ64" i="5"/>
  <c r="CQ60" i="5" s="1"/>
  <c r="DA64" i="5"/>
  <c r="DA60" i="5" s="1"/>
  <c r="DB37" i="2"/>
  <c r="EL64" i="5"/>
  <c r="EL60" i="5" s="1"/>
  <c r="EM37" i="2"/>
  <c r="BH37" i="2"/>
  <c r="BG64" i="5"/>
  <c r="BG60" i="5" s="1"/>
  <c r="AG64" i="5"/>
  <c r="AG60" i="5" s="1"/>
  <c r="AH37" i="2"/>
  <c r="BW37" i="2"/>
  <c r="BV64" i="5"/>
  <c r="BV60" i="5" s="1"/>
  <c r="EE37" i="2"/>
  <c r="ED64" i="5"/>
  <c r="ED60" i="5" s="1"/>
  <c r="AQ37" i="2"/>
  <c r="AP64" i="5"/>
  <c r="AP60" i="5" s="1"/>
  <c r="M64" i="5"/>
  <c r="N37" i="2"/>
  <c r="AV37" i="2"/>
  <c r="AU64" i="5"/>
  <c r="AU60" i="5" s="1"/>
  <c r="CL64" i="5"/>
  <c r="CL60" i="5" s="1"/>
  <c r="CM37" i="2"/>
  <c r="CM64" i="5"/>
  <c r="CN37" i="2"/>
  <c r="CE64" i="5"/>
  <c r="CE60" i="5" s="1"/>
  <c r="CF37" i="2"/>
  <c r="DX64" i="5"/>
  <c r="DX60" i="5" s="1"/>
  <c r="DY37" i="2"/>
  <c r="BF37" i="2"/>
  <c r="BE64" i="5"/>
  <c r="BE60" i="5" s="1"/>
  <c r="CQ37" i="2"/>
  <c r="CP64" i="5"/>
  <c r="CP60" i="5" s="1"/>
  <c r="DN37" i="2"/>
  <c r="DM64" i="5"/>
  <c r="DM60" i="5" s="1"/>
  <c r="AC37" i="2"/>
  <c r="AB64" i="5"/>
  <c r="O64" i="5"/>
  <c r="O60" i="5" s="1"/>
  <c r="P37" i="2"/>
  <c r="BD37" i="2"/>
  <c r="BC64" i="5"/>
  <c r="CI64" i="5"/>
  <c r="CI60" i="5" s="1"/>
  <c r="CJ37" i="2"/>
  <c r="EJ64" i="5"/>
  <c r="EJ60" i="5" s="1"/>
  <c r="EK37" i="2"/>
  <c r="CD37" i="2"/>
  <c r="CC64" i="5"/>
  <c r="CC60" i="5" s="1"/>
  <c r="Y37" i="2"/>
  <c r="X64" i="5"/>
  <c r="X60" i="5" s="1"/>
  <c r="AI64" i="5"/>
  <c r="AI60" i="5" s="1"/>
  <c r="AJ37" i="2"/>
  <c r="DZ37" i="2"/>
  <c r="DY64" i="5"/>
  <c r="DY60" i="5" s="1"/>
  <c r="BE37" i="2"/>
  <c r="BD64" i="5"/>
  <c r="BD60" i="5" s="1"/>
  <c r="AQ64" i="5"/>
  <c r="AR37" i="2"/>
  <c r="EN37" i="2"/>
  <c r="EM64" i="5"/>
  <c r="EM60" i="5" s="1"/>
  <c r="CF64" i="5"/>
  <c r="CF60" i="5" s="1"/>
  <c r="CG37" i="2"/>
  <c r="CY64" i="5"/>
  <c r="CZ37" i="2"/>
  <c r="CS37" i="2"/>
  <c r="CR64" i="5"/>
  <c r="CR60" i="5" s="1"/>
  <c r="DM37" i="2"/>
  <c r="DL64" i="5"/>
  <c r="DL60" i="5" s="1"/>
  <c r="AS64" i="5"/>
  <c r="AS60" i="5" s="1"/>
  <c r="AT37" i="2"/>
  <c r="AU37" i="2"/>
  <c r="AT64" i="5"/>
  <c r="AT60" i="5" s="1"/>
  <c r="AW64" i="5"/>
  <c r="AX37" i="2"/>
  <c r="W64" i="5"/>
  <c r="W60" i="5" s="1"/>
  <c r="X37" i="2"/>
  <c r="W37" i="2"/>
  <c r="V64" i="5"/>
  <c r="T37" i="2"/>
  <c r="S64" i="5"/>
  <c r="CW64" i="5"/>
  <c r="CW60" i="5" s="1"/>
  <c r="CX37" i="2"/>
  <c r="AB37" i="2"/>
  <c r="AA64" i="5"/>
  <c r="AA60" i="5" s="1"/>
  <c r="DF64" i="5"/>
  <c r="DF60" i="5" s="1"/>
  <c r="DG37" i="2"/>
  <c r="DV64" i="5"/>
  <c r="DV60" i="5" s="1"/>
  <c r="DW37" i="2"/>
  <c r="DQ64" i="5"/>
  <c r="DR37" i="2"/>
  <c r="BK64" i="5"/>
  <c r="BK60" i="5" s="1"/>
  <c r="BL37" i="2"/>
  <c r="EQ64" i="5"/>
  <c r="EQ60" i="5" s="1"/>
  <c r="ER37" i="2"/>
  <c r="AO64" i="5"/>
  <c r="AO60" i="5" s="1"/>
  <c r="AP37" i="2"/>
  <c r="DU64" i="5"/>
  <c r="DU60" i="5" s="1"/>
  <c r="DV37" i="2"/>
  <c r="CL37" i="2"/>
  <c r="CK64" i="5"/>
  <c r="CK60" i="5" s="1"/>
  <c r="BX64" i="5"/>
  <c r="BX60" i="5" s="1"/>
  <c r="BY37" i="2"/>
  <c r="DS64" i="5"/>
  <c r="DS60" i="5" s="1"/>
  <c r="DT37" i="2"/>
  <c r="CU37" i="2"/>
  <c r="CT64" i="5"/>
  <c r="CT60" i="5" s="1"/>
  <c r="CB64" i="5"/>
  <c r="CC37" i="2"/>
  <c r="DI37" i="2"/>
  <c r="DH64" i="5"/>
  <c r="DH60" i="5" s="1"/>
  <c r="BO64" i="5"/>
  <c r="BP37" i="2"/>
  <c r="BT37" i="2"/>
  <c r="BS64" i="5"/>
  <c r="BS60" i="5" s="1"/>
  <c r="K28" i="2"/>
  <c r="K27" i="2" s="1"/>
  <c r="K37" i="2" s="1"/>
  <c r="M27" i="2"/>
  <c r="DD64" i="5"/>
  <c r="DD60" i="5" s="1"/>
  <c r="DE37" i="2"/>
  <c r="AS37" i="2"/>
  <c r="AR64" i="5"/>
  <c r="AR60" i="5" s="1"/>
  <c r="Q64" i="5"/>
  <c r="Q60" i="5" s="1"/>
  <c r="R37" i="2"/>
  <c r="Y64" i="5"/>
  <c r="Z37" i="2"/>
  <c r="BP64" i="5"/>
  <c r="BP60" i="5" s="1"/>
  <c r="BQ37" i="2"/>
  <c r="BK37" i="2"/>
  <c r="BJ64" i="5"/>
  <c r="BJ60" i="5" s="1"/>
  <c r="AL37" i="2"/>
  <c r="AK64" i="5"/>
  <c r="DA37" i="2"/>
  <c r="CZ64" i="5"/>
  <c r="CZ60" i="5" s="1"/>
  <c r="AY64" i="5"/>
  <c r="AY60" i="5" s="1"/>
  <c r="AZ37" i="2"/>
  <c r="BT64" i="5"/>
  <c r="BT60" i="5" s="1"/>
  <c r="BU37" i="2"/>
  <c r="Q37" i="2"/>
  <c r="P64" i="5"/>
  <c r="P22" i="1"/>
  <c r="BQ64" i="5"/>
  <c r="BQ60" i="5" s="1"/>
  <c r="BR37" i="2"/>
  <c r="EF64" i="5"/>
  <c r="EF60" i="5" s="1"/>
  <c r="EG37" i="2"/>
  <c r="AD64" i="5"/>
  <c r="AD60" i="5" s="1"/>
  <c r="AE37" i="2"/>
  <c r="I36" i="2" l="1"/>
  <c r="S46" i="21"/>
  <c r="AA49" i="21"/>
  <c r="AA45" i="21" s="1"/>
  <c r="D36" i="32"/>
  <c r="K613" i="32"/>
  <c r="E613" i="32"/>
  <c r="AH60" i="5"/>
  <c r="L613" i="32"/>
  <c r="S48" i="21"/>
  <c r="S45" i="21"/>
  <c r="S47" i="21"/>
  <c r="S49" i="21"/>
  <c r="S44" i="21"/>
  <c r="P60" i="5"/>
  <c r="F613" i="32"/>
  <c r="G613" i="32"/>
  <c r="I613" i="32"/>
  <c r="V60" i="5"/>
  <c r="H613" i="32"/>
  <c r="AB60" i="5"/>
  <c r="J613" i="32"/>
  <c r="N59" i="17"/>
  <c r="S60" i="5"/>
  <c r="T59" i="17"/>
  <c r="T55" i="17" s="1"/>
  <c r="BC60" i="5"/>
  <c r="Y60" i="5"/>
  <c r="O59" i="17"/>
  <c r="N59" i="26"/>
  <c r="AB59" i="17"/>
  <c r="AB55" i="17" s="1"/>
  <c r="CY60" i="5"/>
  <c r="R59" i="26"/>
  <c r="W59" i="17"/>
  <c r="W55" i="17" s="1"/>
  <c r="BU60" i="5"/>
  <c r="AF59" i="17"/>
  <c r="AF55" i="17" s="1"/>
  <c r="DW60" i="5"/>
  <c r="BO60" i="5"/>
  <c r="V59" i="17"/>
  <c r="V55" i="17" s="1"/>
  <c r="AH59" i="17"/>
  <c r="AH55" i="17" s="1"/>
  <c r="EI60" i="5"/>
  <c r="Q59" i="26"/>
  <c r="U59" i="17"/>
  <c r="U55" i="17" s="1"/>
  <c r="BI60" i="5"/>
  <c r="U59" i="26"/>
  <c r="S59" i="26"/>
  <c r="Y59" i="17"/>
  <c r="Y55" i="17" s="1"/>
  <c r="CG60" i="5"/>
  <c r="AC59" i="17"/>
  <c r="AC55" i="17" s="1"/>
  <c r="AG59" i="17"/>
  <c r="AG55" i="17" s="1"/>
  <c r="W59" i="26"/>
  <c r="W55" i="26" s="1"/>
  <c r="EC60" i="5"/>
  <c r="M37" i="2"/>
  <c r="I160" i="11" s="1"/>
  <c r="L64" i="5"/>
  <c r="D613" i="32" s="1"/>
  <c r="AE59" i="17"/>
  <c r="AE55" i="17" s="1"/>
  <c r="V59" i="26"/>
  <c r="DQ60" i="5"/>
  <c r="K38" i="2"/>
  <c r="K5" i="1" s="1"/>
  <c r="I222" i="11"/>
  <c r="I217" i="11"/>
  <c r="AD59" i="17"/>
  <c r="AD55" i="17" s="1"/>
  <c r="DK60" i="5"/>
  <c r="P59" i="26"/>
  <c r="S59" i="17"/>
  <c r="S55" i="17" s="1"/>
  <c r="AW60" i="5"/>
  <c r="Z59" i="17"/>
  <c r="Z55" i="17" s="1"/>
  <c r="CM60" i="5"/>
  <c r="CB60" i="5"/>
  <c r="X59" i="17"/>
  <c r="X55" i="17" s="1"/>
  <c r="AK60" i="5"/>
  <c r="O59" i="26"/>
  <c r="Q59" i="17"/>
  <c r="Q55" i="17" s="1"/>
  <c r="T25" i="1"/>
  <c r="P28" i="1"/>
  <c r="T9" i="1"/>
  <c r="AQ60" i="5"/>
  <c r="R59" i="17"/>
  <c r="R55" i="17" s="1"/>
  <c r="CS60" i="5"/>
  <c r="AA59" i="17"/>
  <c r="AA55" i="17" s="1"/>
  <c r="T59" i="26"/>
  <c r="X59" i="26"/>
  <c r="X55" i="26" s="1"/>
  <c r="EO60" i="5"/>
  <c r="AI59" i="17"/>
  <c r="AI55" i="17" s="1"/>
  <c r="M59" i="26"/>
  <c r="M59" i="17"/>
  <c r="M60" i="5"/>
  <c r="AF60" i="5"/>
  <c r="P59" i="17"/>
  <c r="S50" i="21" l="1"/>
  <c r="O55" i="26"/>
  <c r="G183" i="32"/>
  <c r="U55" i="26"/>
  <c r="M183" i="32"/>
  <c r="M55" i="26"/>
  <c r="E183" i="32"/>
  <c r="P55" i="26"/>
  <c r="H183" i="32"/>
  <c r="C613" i="32"/>
  <c r="M55" i="17"/>
  <c r="E744" i="32"/>
  <c r="O55" i="17"/>
  <c r="G744" i="32"/>
  <c r="Q55" i="26"/>
  <c r="I183" i="32"/>
  <c r="N55" i="26"/>
  <c r="F183" i="32"/>
  <c r="R55" i="26"/>
  <c r="J183" i="32"/>
  <c r="S55" i="26"/>
  <c r="K183" i="32"/>
  <c r="P55" i="17"/>
  <c r="H744" i="32"/>
  <c r="T55" i="26"/>
  <c r="L183" i="32"/>
  <c r="V55" i="26"/>
  <c r="N183" i="32"/>
  <c r="N55" i="17"/>
  <c r="F744" i="32"/>
  <c r="J64" i="5"/>
  <c r="J60" i="5" s="1"/>
  <c r="L59" i="17"/>
  <c r="D744" i="32" s="1"/>
  <c r="L60" i="5"/>
  <c r="L59" i="26"/>
  <c r="D183" i="32" s="1"/>
  <c r="BC160" i="11"/>
  <c r="DU160" i="11"/>
  <c r="DM160" i="11"/>
  <c r="AN160" i="11"/>
  <c r="AX160" i="11"/>
  <c r="BF160" i="11"/>
  <c r="EA160" i="11"/>
  <c r="P160" i="11"/>
  <c r="CX160" i="11"/>
  <c r="CP160" i="11"/>
  <c r="CK160" i="11"/>
  <c r="BI160" i="11"/>
  <c r="DV160" i="11"/>
  <c r="AR160" i="11"/>
  <c r="EL160" i="11"/>
  <c r="AF160" i="11"/>
  <c r="AA160" i="11"/>
  <c r="BB160" i="11"/>
  <c r="DY160" i="11"/>
  <c r="CA160" i="11"/>
  <c r="CB160" i="11"/>
  <c r="CJ160" i="11"/>
  <c r="BM160" i="11"/>
  <c r="BZ160" i="11"/>
  <c r="CD160" i="11"/>
  <c r="BR160" i="11"/>
  <c r="BU160" i="11"/>
  <c r="W160" i="11"/>
  <c r="DK160" i="11"/>
  <c r="AK160" i="11"/>
  <c r="V160" i="11"/>
  <c r="DT160" i="11"/>
  <c r="BW160" i="11"/>
  <c r="AV160" i="11"/>
  <c r="CH160" i="11"/>
  <c r="AH160" i="11"/>
  <c r="DW160" i="11"/>
  <c r="DG160" i="11"/>
  <c r="AO160" i="11"/>
  <c r="DC160" i="11"/>
  <c r="BJ160" i="11"/>
  <c r="DA160" i="11"/>
  <c r="DB160" i="11"/>
  <c r="BK160" i="11"/>
  <c r="EQ160" i="11"/>
  <c r="AQ160" i="11"/>
  <c r="AE160" i="11"/>
  <c r="BS160" i="11"/>
  <c r="CV160" i="11"/>
  <c r="BN160" i="11"/>
  <c r="U160" i="11"/>
  <c r="EE160" i="11"/>
  <c r="DX160" i="11"/>
  <c r="BQ160" i="11"/>
  <c r="DP160" i="11"/>
  <c r="CE160" i="11"/>
  <c r="BH160" i="11"/>
  <c r="EM160" i="11"/>
  <c r="DI160" i="11"/>
  <c r="CM160" i="11"/>
  <c r="EO160" i="11"/>
  <c r="EH160" i="11"/>
  <c r="O160" i="11"/>
  <c r="DL160" i="11"/>
  <c r="BA160" i="11"/>
  <c r="AY160" i="11"/>
  <c r="CL160" i="11"/>
  <c r="CZ160" i="11"/>
  <c r="N160" i="11"/>
  <c r="CN160" i="11"/>
  <c r="BO160" i="11"/>
  <c r="Z160" i="11"/>
  <c r="R160" i="11"/>
  <c r="EP160" i="11"/>
  <c r="BV160" i="11"/>
  <c r="Q160" i="11"/>
  <c r="DD160" i="11"/>
  <c r="CU160" i="11"/>
  <c r="AI160" i="11"/>
  <c r="DN160" i="11"/>
  <c r="AJ160" i="11"/>
  <c r="ED160" i="11"/>
  <c r="EC160" i="11"/>
  <c r="BP160" i="11"/>
  <c r="DO160" i="11"/>
  <c r="DJ160" i="11"/>
  <c r="DS160" i="11"/>
  <c r="AW160" i="11"/>
  <c r="AM160" i="11"/>
  <c r="X160" i="11"/>
  <c r="EK160" i="11"/>
  <c r="EF160" i="11"/>
  <c r="DE160" i="11"/>
  <c r="AL160" i="11"/>
  <c r="CS160" i="11"/>
  <c r="AZ160" i="11"/>
  <c r="AB160" i="11"/>
  <c r="DF160" i="11"/>
  <c r="DH160" i="11"/>
  <c r="BD160" i="11"/>
  <c r="BT160" i="11"/>
  <c r="CF160" i="11"/>
  <c r="EJ160" i="11"/>
  <c r="DZ160" i="11"/>
  <c r="M160" i="11"/>
  <c r="AS160" i="11"/>
  <c r="BE160" i="11"/>
  <c r="BX160" i="11"/>
  <c r="CT160" i="11"/>
  <c r="CO160" i="11"/>
  <c r="AT160" i="11"/>
  <c r="T160" i="11"/>
  <c r="L160" i="11"/>
  <c r="CC160" i="11"/>
  <c r="DR160" i="11"/>
  <c r="AG160" i="11"/>
  <c r="CG160" i="11"/>
  <c r="CQ160" i="11"/>
  <c r="EI160" i="11"/>
  <c r="EG160" i="11"/>
  <c r="EB160" i="11"/>
  <c r="AC160" i="11"/>
  <c r="DQ160" i="11"/>
  <c r="CR160" i="11"/>
  <c r="AD160" i="11"/>
  <c r="AU160" i="11"/>
  <c r="BL160" i="11"/>
  <c r="CI160" i="11"/>
  <c r="S160" i="11"/>
  <c r="CY160" i="11"/>
  <c r="BG160" i="11"/>
  <c r="AP160" i="11"/>
  <c r="BY160" i="11"/>
  <c r="CW160" i="11"/>
  <c r="EN160" i="11"/>
  <c r="Y160" i="11"/>
  <c r="BX222" i="11"/>
  <c r="CM222" i="11"/>
  <c r="DP222" i="11"/>
  <c r="BT222" i="11"/>
  <c r="AA222" i="11"/>
  <c r="BO222" i="11"/>
  <c r="CF222" i="11"/>
  <c r="CX222" i="11"/>
  <c r="DJ222" i="11"/>
  <c r="EI222" i="11"/>
  <c r="BY222" i="11"/>
  <c r="Y222" i="11"/>
  <c r="DO222" i="11"/>
  <c r="N222" i="11"/>
  <c r="BI222" i="11"/>
  <c r="EH222" i="11"/>
  <c r="DC222" i="11"/>
  <c r="DK222" i="11"/>
  <c r="DE222" i="11"/>
  <c r="Z222" i="11"/>
  <c r="BW222" i="11"/>
  <c r="AN222" i="11"/>
  <c r="BV222" i="11"/>
  <c r="DG222" i="11"/>
  <c r="CG222" i="11"/>
  <c r="CW222" i="11"/>
  <c r="CB222" i="11"/>
  <c r="BM222" i="11"/>
  <c r="CE222" i="11"/>
  <c r="Q222" i="11"/>
  <c r="CH222" i="11"/>
  <c r="BZ222" i="11"/>
  <c r="DF222" i="11"/>
  <c r="AJ222" i="11"/>
  <c r="AT222" i="11"/>
  <c r="EJ222" i="11"/>
  <c r="AY222" i="11"/>
  <c r="AX222" i="11"/>
  <c r="BE222" i="11"/>
  <c r="BS222" i="11"/>
  <c r="BQ222" i="11"/>
  <c r="AE222" i="11"/>
  <c r="DB222" i="11"/>
  <c r="AK222" i="11"/>
  <c r="EB222" i="11"/>
  <c r="AH222" i="11"/>
  <c r="CR222" i="11"/>
  <c r="U222" i="11"/>
  <c r="DM222" i="11"/>
  <c r="BD222" i="11"/>
  <c r="CL222" i="11"/>
  <c r="BC222" i="11"/>
  <c r="BB222" i="11"/>
  <c r="AV222" i="11"/>
  <c r="O222" i="11"/>
  <c r="R222" i="11"/>
  <c r="CD222" i="11"/>
  <c r="L222" i="11"/>
  <c r="BH222" i="11"/>
  <c r="AU222" i="11"/>
  <c r="T222" i="11"/>
  <c r="AL222" i="11"/>
  <c r="CI222" i="11"/>
  <c r="AC222" i="11"/>
  <c r="DH222" i="11"/>
  <c r="EO222" i="11"/>
  <c r="CQ222" i="11"/>
  <c r="AS222" i="11"/>
  <c r="DD222" i="11"/>
  <c r="BA222" i="11"/>
  <c r="BJ222" i="11"/>
  <c r="EG222" i="11"/>
  <c r="EN222" i="11"/>
  <c r="BN222" i="11"/>
  <c r="M222" i="11"/>
  <c r="CY222" i="11"/>
  <c r="EA222" i="11"/>
  <c r="BR222" i="11"/>
  <c r="EQ222" i="11"/>
  <c r="CJ222" i="11"/>
  <c r="CT222" i="11"/>
  <c r="DT222" i="11"/>
  <c r="CK222" i="11"/>
  <c r="EM222" i="11"/>
  <c r="BL222" i="11"/>
  <c r="AO222" i="11"/>
  <c r="DR222" i="11"/>
  <c r="BF222" i="11"/>
  <c r="BK222" i="11"/>
  <c r="EF222" i="11"/>
  <c r="DQ222" i="11"/>
  <c r="DU222" i="11"/>
  <c r="AI222" i="11"/>
  <c r="DS222" i="11"/>
  <c r="ED222" i="11"/>
  <c r="S222" i="11"/>
  <c r="CO222" i="11"/>
  <c r="EK222" i="11"/>
  <c r="AW222" i="11"/>
  <c r="DY222" i="11"/>
  <c r="CA222" i="11"/>
  <c r="DL222" i="11"/>
  <c r="CP222" i="11"/>
  <c r="AD222" i="11"/>
  <c r="DX222" i="11"/>
  <c r="CN222" i="11"/>
  <c r="BG222" i="11"/>
  <c r="CU222" i="11"/>
  <c r="DA222" i="11"/>
  <c r="AF222" i="11"/>
  <c r="DI222" i="11"/>
  <c r="EL222" i="11"/>
  <c r="EC222" i="11"/>
  <c r="AZ222" i="11"/>
  <c r="W222" i="11"/>
  <c r="CV222" i="11"/>
  <c r="DZ222" i="11"/>
  <c r="DN222" i="11"/>
  <c r="AQ222" i="11"/>
  <c r="BU222" i="11"/>
  <c r="EE222" i="11"/>
  <c r="BP222" i="11"/>
  <c r="DW222" i="11"/>
  <c r="CZ222" i="11"/>
  <c r="AM222" i="11"/>
  <c r="CC222" i="11"/>
  <c r="AP222" i="11"/>
  <c r="P222" i="11"/>
  <c r="AR222" i="11"/>
  <c r="CS222" i="11"/>
  <c r="X222" i="11"/>
  <c r="EP222" i="11"/>
  <c r="AB222" i="11"/>
  <c r="AG222" i="11"/>
  <c r="V222" i="11"/>
  <c r="DV222" i="11"/>
  <c r="T13" i="1"/>
  <c r="U9" i="1" s="1"/>
  <c r="Q9" i="1"/>
  <c r="Q10" i="1" s="1"/>
  <c r="Q16" i="1"/>
  <c r="Q23" i="1"/>
  <c r="Q24" i="1" s="1"/>
  <c r="Q13" i="1"/>
  <c r="Q14" i="1"/>
  <c r="N28" i="1"/>
  <c r="Q11" i="1"/>
  <c r="Q25" i="1"/>
  <c r="Q15" i="1"/>
  <c r="Q21" i="1"/>
  <c r="Q6" i="1"/>
  <c r="AJ59" i="1"/>
  <c r="Q7" i="1"/>
  <c r="Q26" i="1"/>
  <c r="Q12" i="1"/>
  <c r="Q19" i="1"/>
  <c r="Q20" i="1"/>
  <c r="Q18" i="1"/>
  <c r="EA217" i="11"/>
  <c r="DE217" i="11"/>
  <c r="BZ217" i="11"/>
  <c r="O217" i="11"/>
  <c r="CQ217" i="11"/>
  <c r="AZ217" i="11"/>
  <c r="DU217" i="11"/>
  <c r="AS217" i="11"/>
  <c r="DS217" i="11"/>
  <c r="DG217" i="11"/>
  <c r="EF217" i="11"/>
  <c r="BD217" i="11"/>
  <c r="DW217" i="11"/>
  <c r="AN217" i="11"/>
  <c r="BP217" i="11"/>
  <c r="CA217" i="11"/>
  <c r="BK217" i="11"/>
  <c r="BW217" i="11"/>
  <c r="AM217" i="11"/>
  <c r="EP217" i="11"/>
  <c r="CB217" i="11"/>
  <c r="DQ217" i="11"/>
  <c r="BG217" i="11"/>
  <c r="AB217" i="11"/>
  <c r="W217" i="11"/>
  <c r="CH217" i="11"/>
  <c r="BH217" i="11"/>
  <c r="BE217" i="11"/>
  <c r="V217" i="11"/>
  <c r="CV217" i="11"/>
  <c r="EQ217" i="11"/>
  <c r="DA217" i="11"/>
  <c r="AQ217" i="11"/>
  <c r="AL217" i="11"/>
  <c r="CS217" i="11"/>
  <c r="EH217" i="11"/>
  <c r="AJ217" i="11"/>
  <c r="BL217" i="11"/>
  <c r="DM217" i="11"/>
  <c r="BF217" i="11"/>
  <c r="EC217" i="11"/>
  <c r="CU217" i="11"/>
  <c r="R217" i="11"/>
  <c r="CC217" i="11"/>
  <c r="EI217" i="11"/>
  <c r="EB217" i="11"/>
  <c r="L217" i="11"/>
  <c r="U217" i="11"/>
  <c r="AD217" i="11"/>
  <c r="DJ217" i="11"/>
  <c r="CI217" i="11"/>
  <c r="CD217" i="11"/>
  <c r="EG217" i="11"/>
  <c r="ED217" i="11"/>
  <c r="T217" i="11"/>
  <c r="CF217" i="11"/>
  <c r="BQ217" i="11"/>
  <c r="CJ217" i="11"/>
  <c r="BN217" i="11"/>
  <c r="DL217" i="11"/>
  <c r="EE217" i="11"/>
  <c r="CW217" i="11"/>
  <c r="BU217" i="11"/>
  <c r="DT217" i="11"/>
  <c r="DP217" i="11"/>
  <c r="DB217" i="11"/>
  <c r="X217" i="11"/>
  <c r="CP217" i="11"/>
  <c r="DX217" i="11"/>
  <c r="AY217" i="11"/>
  <c r="DI217" i="11"/>
  <c r="AI217" i="11"/>
  <c r="EN217" i="11"/>
  <c r="Q217" i="11"/>
  <c r="EL217" i="11"/>
  <c r="BI217" i="11"/>
  <c r="BO217" i="11"/>
  <c r="Z217" i="11"/>
  <c r="DY217" i="11"/>
  <c r="BY217" i="11"/>
  <c r="BM217" i="11"/>
  <c r="AO217" i="11"/>
  <c r="M217" i="11"/>
  <c r="DK217" i="11"/>
  <c r="AA217" i="11"/>
  <c r="DD217" i="11"/>
  <c r="BR217" i="11"/>
  <c r="BX217" i="11"/>
  <c r="BS217" i="11"/>
  <c r="AC217" i="11"/>
  <c r="CY217" i="11"/>
  <c r="BC217" i="11"/>
  <c r="BB217" i="11"/>
  <c r="AR217" i="11"/>
  <c r="AE217" i="11"/>
  <c r="DF217" i="11"/>
  <c r="DC217" i="11"/>
  <c r="DN217" i="11"/>
  <c r="DR217" i="11"/>
  <c r="AK217" i="11"/>
  <c r="AG217" i="11"/>
  <c r="AV217" i="11"/>
  <c r="AT217" i="11"/>
  <c r="AX217" i="11"/>
  <c r="CR217" i="11"/>
  <c r="CM217" i="11"/>
  <c r="S217" i="11"/>
  <c r="DO217" i="11"/>
  <c r="AF217" i="11"/>
  <c r="DH217" i="11"/>
  <c r="CO217" i="11"/>
  <c r="EK217" i="11"/>
  <c r="DZ217" i="11"/>
  <c r="EM217" i="11"/>
  <c r="CN217" i="11"/>
  <c r="BT217" i="11"/>
  <c r="BA217" i="11"/>
  <c r="P217" i="11"/>
  <c r="AH217" i="11"/>
  <c r="CE217" i="11"/>
  <c r="Y217" i="11"/>
  <c r="BJ217" i="11"/>
  <c r="AP217" i="11"/>
  <c r="EJ217" i="11"/>
  <c r="CZ217" i="11"/>
  <c r="AW217" i="11"/>
  <c r="CX217" i="11"/>
  <c r="CK217" i="11"/>
  <c r="CT217" i="11"/>
  <c r="BV217" i="11"/>
  <c r="AU217" i="11"/>
  <c r="CG217" i="11"/>
  <c r="N217" i="11"/>
  <c r="CL217" i="11"/>
  <c r="EO217" i="11"/>
  <c r="DV217" i="11"/>
  <c r="C744" i="32" l="1"/>
  <c r="N613" i="32"/>
  <c r="O613" i="32" s="1"/>
  <c r="C183" i="32"/>
  <c r="Q8" i="1"/>
  <c r="L161" i="11"/>
  <c r="L162" i="11" s="1"/>
  <c r="J160" i="11"/>
  <c r="Q27" i="1"/>
  <c r="U11" i="1"/>
  <c r="U12" i="1"/>
  <c r="U8" i="1"/>
  <c r="U7" i="1"/>
  <c r="U10" i="1"/>
  <c r="S13" i="1"/>
  <c r="U6" i="1"/>
  <c r="P44" i="1"/>
  <c r="H955" i="32" s="1"/>
  <c r="L223" i="11"/>
  <c r="L224" i="11" s="1"/>
  <c r="J222" i="11"/>
  <c r="L218" i="11"/>
  <c r="L219" i="11" s="1"/>
  <c r="J217" i="11"/>
  <c r="Q17" i="1"/>
  <c r="L55" i="26"/>
  <c r="J59" i="26"/>
  <c r="J55" i="26" s="1"/>
  <c r="J59" i="17"/>
  <c r="J55" i="17" s="1"/>
  <c r="L55" i="17"/>
  <c r="Q22" i="1"/>
  <c r="M955" i="32" l="1"/>
  <c r="M951" i="32" s="1"/>
  <c r="H966" i="32"/>
  <c r="J955" i="32"/>
  <c r="J951" i="32" s="1"/>
  <c r="L955" i="32"/>
  <c r="K955" i="32"/>
  <c r="H951" i="32"/>
  <c r="H962" i="32" s="1"/>
  <c r="H976" i="32" s="1"/>
  <c r="N95" i="1"/>
  <c r="Q62" i="21"/>
  <c r="W50" i="21" s="1"/>
  <c r="AC47" i="21" s="1"/>
  <c r="AC49" i="21" s="1"/>
  <c r="Q28" i="1"/>
  <c r="U13" i="1"/>
  <c r="M216" i="11"/>
  <c r="K21" i="15"/>
  <c r="D644" i="32" s="1"/>
  <c r="K18" i="15"/>
  <c r="M159" i="11"/>
  <c r="M221" i="11"/>
  <c r="K22" i="15"/>
  <c r="I77" i="11"/>
  <c r="Q44" i="1"/>
  <c r="K36" i="1"/>
  <c r="T21" i="1"/>
  <c r="K37" i="1"/>
  <c r="K94" i="1"/>
  <c r="J100" i="21" s="1"/>
  <c r="O155" i="5"/>
  <c r="O157" i="5" s="1"/>
  <c r="R43" i="1"/>
  <c r="W61" i="21" s="1"/>
  <c r="K35" i="1"/>
  <c r="E46" i="2"/>
  <c r="F46" i="2" s="1"/>
  <c r="R44" i="1"/>
  <c r="W62" i="21" s="1"/>
  <c r="P29" i="1"/>
  <c r="R42" i="1"/>
  <c r="W60" i="21" s="1"/>
  <c r="R41" i="1"/>
  <c r="W59" i="21" s="1"/>
  <c r="H154" i="5"/>
  <c r="D17" i="36" l="1"/>
  <c r="D18" i="36" s="1"/>
  <c r="O93" i="1"/>
  <c r="D951" i="32"/>
  <c r="H980" i="32"/>
  <c r="L966" i="32"/>
  <c r="J966" i="32"/>
  <c r="J962" i="32" s="1"/>
  <c r="M966" i="32"/>
  <c r="M962" i="32" s="1"/>
  <c r="K966" i="32"/>
  <c r="G951" i="32"/>
  <c r="G47" i="2"/>
  <c r="R95" i="1"/>
  <c r="O92" i="1"/>
  <c r="N96" i="1"/>
  <c r="O90" i="1"/>
  <c r="O91" i="1"/>
  <c r="O94" i="1"/>
  <c r="K13" i="18"/>
  <c r="D642" i="32"/>
  <c r="K17" i="18"/>
  <c r="D645" i="32"/>
  <c r="O95" i="1"/>
  <c r="W51" i="21"/>
  <c r="X50" i="21" s="1"/>
  <c r="D446" i="32"/>
  <c r="D444" i="32"/>
  <c r="D447" i="32"/>
  <c r="D445" i="32"/>
  <c r="C447" i="32"/>
  <c r="C448" i="32" s="1"/>
  <c r="E10" i="32"/>
  <c r="M77" i="11"/>
  <c r="AA77" i="11"/>
  <c r="BO77" i="11"/>
  <c r="AV77" i="11"/>
  <c r="EN77" i="11"/>
  <c r="BL77" i="11"/>
  <c r="BK77" i="11"/>
  <c r="CT77" i="11"/>
  <c r="AB77" i="11"/>
  <c r="CK77" i="11"/>
  <c r="BT77" i="11"/>
  <c r="AF77" i="11"/>
  <c r="X77" i="11"/>
  <c r="AR77" i="11"/>
  <c r="CN77" i="11"/>
  <c r="CS77" i="11"/>
  <c r="DR77" i="11"/>
  <c r="DP77" i="11"/>
  <c r="CJ77" i="11"/>
  <c r="CA77" i="11"/>
  <c r="P77" i="11"/>
  <c r="EI77" i="11"/>
  <c r="BR77" i="11"/>
  <c r="CD77" i="11"/>
  <c r="AS77" i="11"/>
  <c r="EC77" i="11"/>
  <c r="O77" i="11"/>
  <c r="CB77" i="11"/>
  <c r="DA77" i="11"/>
  <c r="CY77" i="11"/>
  <c r="AY77" i="11"/>
  <c r="CP77" i="11"/>
  <c r="DQ77" i="11"/>
  <c r="S77" i="11"/>
  <c r="EF77" i="11"/>
  <c r="BC77" i="11"/>
  <c r="DW77" i="11"/>
  <c r="EO77" i="11"/>
  <c r="CU77" i="11"/>
  <c r="AQ77" i="11"/>
  <c r="DT77" i="11"/>
  <c r="W77" i="11"/>
  <c r="BF77" i="11"/>
  <c r="Q77" i="11"/>
  <c r="BE77" i="11"/>
  <c r="BG77" i="11"/>
  <c r="DX77" i="11"/>
  <c r="CI77" i="11"/>
  <c r="BQ77" i="11"/>
  <c r="EB77" i="11"/>
  <c r="Y77" i="11"/>
  <c r="AT77" i="11"/>
  <c r="CZ77" i="11"/>
  <c r="EE77" i="11"/>
  <c r="CR77" i="11"/>
  <c r="DF77" i="11"/>
  <c r="U77" i="11"/>
  <c r="DS77" i="11"/>
  <c r="AH77" i="11"/>
  <c r="BP77" i="11"/>
  <c r="EG77" i="11"/>
  <c r="DL77" i="11"/>
  <c r="EJ77" i="11"/>
  <c r="DV77" i="11"/>
  <c r="CF77" i="11"/>
  <c r="AJ77" i="11"/>
  <c r="R77" i="11"/>
  <c r="DJ77" i="11"/>
  <c r="BH77" i="11"/>
  <c r="CV77" i="11"/>
  <c r="EQ77" i="11"/>
  <c r="DC77" i="11"/>
  <c r="Z77" i="11"/>
  <c r="AD77" i="11"/>
  <c r="AE77" i="11"/>
  <c r="DI77" i="11"/>
  <c r="AX77" i="11"/>
  <c r="DM77" i="11"/>
  <c r="BM77" i="11"/>
  <c r="DG77" i="11"/>
  <c r="DY77" i="11"/>
  <c r="EL77" i="11"/>
  <c r="DD77" i="11"/>
  <c r="CH77" i="11"/>
  <c r="EH77" i="11"/>
  <c r="AN77" i="11"/>
  <c r="V77" i="11"/>
  <c r="AW77" i="11"/>
  <c r="EA77" i="11"/>
  <c r="CQ77" i="11"/>
  <c r="BS77" i="11"/>
  <c r="BJ77" i="11"/>
  <c r="AK77" i="11"/>
  <c r="BN77" i="11"/>
  <c r="AG77" i="11"/>
  <c r="BW77" i="11"/>
  <c r="BZ77" i="11"/>
  <c r="ED77" i="11"/>
  <c r="AM77" i="11"/>
  <c r="DZ77" i="11"/>
  <c r="AC77" i="11"/>
  <c r="EM77" i="11"/>
  <c r="CC77" i="11"/>
  <c r="CO77" i="11"/>
  <c r="BY77" i="11"/>
  <c r="DH77" i="11"/>
  <c r="BI77" i="11"/>
  <c r="L77" i="11"/>
  <c r="N77" i="11"/>
  <c r="BB77" i="11"/>
  <c r="T77" i="11"/>
  <c r="EP77" i="11"/>
  <c r="CX77" i="11"/>
  <c r="BA77" i="11"/>
  <c r="DE77" i="11"/>
  <c r="AP77" i="11"/>
  <c r="AL77" i="11"/>
  <c r="AO77" i="11"/>
  <c r="AU77" i="11"/>
  <c r="DU77" i="11"/>
  <c r="AI77" i="11"/>
  <c r="CM77" i="11"/>
  <c r="DK77" i="11"/>
  <c r="BV77" i="11"/>
  <c r="DO77" i="11"/>
  <c r="CE77" i="11"/>
  <c r="DN77" i="11"/>
  <c r="BU77" i="11"/>
  <c r="DB77" i="11"/>
  <c r="CG77" i="11"/>
  <c r="BX77" i="11"/>
  <c r="CW77" i="11"/>
  <c r="BD77" i="11"/>
  <c r="AZ77" i="11"/>
  <c r="EK77" i="11"/>
  <c r="CL77" i="11"/>
  <c r="M227" i="11"/>
  <c r="M223" i="11"/>
  <c r="K20" i="15"/>
  <c r="K16" i="18"/>
  <c r="D775" i="32" s="1"/>
  <c r="M218" i="11"/>
  <c r="M219" i="11" s="1"/>
  <c r="T23" i="1"/>
  <c r="O82" i="1" s="1"/>
  <c r="N155" i="5"/>
  <c r="N157" i="5" s="1"/>
  <c r="P157" i="5" s="1"/>
  <c r="H148" i="5" s="1"/>
  <c r="M161" i="11"/>
  <c r="M162" i="11" s="1"/>
  <c r="G17" i="36" l="1"/>
  <c r="H17" i="36" s="1"/>
  <c r="D28" i="36"/>
  <c r="G28" i="36" s="1"/>
  <c r="I17" i="36"/>
  <c r="K17" i="36" s="1"/>
  <c r="D961" i="32"/>
  <c r="D962" i="32"/>
  <c r="K980" i="32"/>
  <c r="L980" i="32"/>
  <c r="M980" i="32"/>
  <c r="M976" i="32" s="1"/>
  <c r="J980" i="32"/>
  <c r="J976" i="32" s="1"/>
  <c r="G961" i="32"/>
  <c r="G962" i="32"/>
  <c r="N23" i="1"/>
  <c r="S95" i="1"/>
  <c r="I265" i="11" s="1"/>
  <c r="U90" i="1"/>
  <c r="U91" i="1"/>
  <c r="U95" i="1"/>
  <c r="O96" i="1"/>
  <c r="D215" i="32"/>
  <c r="D776" i="32"/>
  <c r="D212" i="32"/>
  <c r="D773" i="32"/>
  <c r="X45" i="21"/>
  <c r="X48" i="21"/>
  <c r="X47" i="21"/>
  <c r="X46" i="21"/>
  <c r="X44" i="21"/>
  <c r="X49" i="21"/>
  <c r="D47" i="32"/>
  <c r="D48" i="32" s="1"/>
  <c r="D49" i="32" s="1"/>
  <c r="E11" i="32"/>
  <c r="F11" i="32" s="1"/>
  <c r="K15" i="18"/>
  <c r="D214" i="32"/>
  <c r="D448" i="32"/>
  <c r="U21" i="1"/>
  <c r="N216" i="11"/>
  <c r="L21" i="15"/>
  <c r="Z111" i="5"/>
  <c r="CW111" i="5"/>
  <c r="DU111" i="5"/>
  <c r="L111" i="5"/>
  <c r="D624" i="32" s="1"/>
  <c r="L78" i="11"/>
  <c r="L79" i="11" s="1"/>
  <c r="J77" i="11"/>
  <c r="BW111" i="5"/>
  <c r="CH111" i="5"/>
  <c r="DC111" i="5"/>
  <c r="BP111" i="5"/>
  <c r="CI111" i="5"/>
  <c r="BC111" i="5"/>
  <c r="CD111" i="5"/>
  <c r="AF111" i="5"/>
  <c r="BX111" i="5"/>
  <c r="AU111" i="5"/>
  <c r="BI111" i="5"/>
  <c r="AG111" i="5"/>
  <c r="DD111" i="5"/>
  <c r="EQ111" i="5"/>
  <c r="AH111" i="5"/>
  <c r="DX111" i="5"/>
  <c r="EF111" i="5"/>
  <c r="BR111" i="5"/>
  <c r="BT111" i="5"/>
  <c r="AI111" i="5"/>
  <c r="AS111" i="5"/>
  <c r="N159" i="11"/>
  <c r="L18" i="15"/>
  <c r="CG111" i="5"/>
  <c r="AO111" i="5"/>
  <c r="DH111" i="5"/>
  <c r="BN111" i="5"/>
  <c r="EL111" i="5"/>
  <c r="CV111" i="5"/>
  <c r="DS111" i="5"/>
  <c r="BG111" i="5"/>
  <c r="S111" i="5"/>
  <c r="EI111" i="5"/>
  <c r="CK111" i="5"/>
  <c r="M228" i="11"/>
  <c r="M229" i="11" s="1"/>
  <c r="N26" i="6"/>
  <c r="DB111" i="5"/>
  <c r="AL111" i="5"/>
  <c r="BY111" i="5"/>
  <c r="AK111" i="5"/>
  <c r="DY111" i="5"/>
  <c r="BH111" i="5"/>
  <c r="U111" i="5"/>
  <c r="BE111" i="5"/>
  <c r="DQ111" i="5"/>
  <c r="P111" i="5"/>
  <c r="AB111" i="5"/>
  <c r="EH111" i="5"/>
  <c r="M224" i="11"/>
  <c r="BU111" i="5"/>
  <c r="AP111" i="5"/>
  <c r="CO111" i="5"/>
  <c r="BJ111" i="5"/>
  <c r="DG111" i="5"/>
  <c r="DJ111" i="5"/>
  <c r="DF111" i="5"/>
  <c r="Q111" i="5"/>
  <c r="CP111" i="5"/>
  <c r="CA111" i="5"/>
  <c r="CT111" i="5"/>
  <c r="BQ111" i="5"/>
  <c r="DN111" i="5"/>
  <c r="DE111" i="5"/>
  <c r="CC111" i="5"/>
  <c r="BS111" i="5"/>
  <c r="BM111" i="5"/>
  <c r="R111" i="5"/>
  <c r="CR111" i="5"/>
  <c r="BF111" i="5"/>
  <c r="AY111" i="5"/>
  <c r="CJ111" i="5"/>
  <c r="BK111" i="5"/>
  <c r="DW111" i="5"/>
  <c r="I46" i="19"/>
  <c r="I13" i="19"/>
  <c r="CE111" i="5"/>
  <c r="BA111" i="5"/>
  <c r="EM111" i="5"/>
  <c r="CQ111" i="5"/>
  <c r="DM111" i="5"/>
  <c r="AJ111" i="5"/>
  <c r="EE111" i="5"/>
  <c r="W111" i="5"/>
  <c r="CY111" i="5"/>
  <c r="DP111" i="5"/>
  <c r="BL111" i="5"/>
  <c r="EG111" i="5"/>
  <c r="U14" i="1"/>
  <c r="U18" i="1"/>
  <c r="U24" i="1"/>
  <c r="U22" i="1"/>
  <c r="U17" i="1"/>
  <c r="U26" i="1"/>
  <c r="U16" i="1"/>
  <c r="U20" i="1"/>
  <c r="S23" i="1"/>
  <c r="U15" i="1"/>
  <c r="U19" i="1"/>
  <c r="U27" i="1"/>
  <c r="U25" i="1"/>
  <c r="K6" i="1"/>
  <c r="DO111" i="5"/>
  <c r="CX111" i="5"/>
  <c r="AC111" i="5"/>
  <c r="EA111" i="5"/>
  <c r="AX111" i="5"/>
  <c r="CF111" i="5"/>
  <c r="CZ111" i="5"/>
  <c r="DT111" i="5"/>
  <c r="DA111" i="5"/>
  <c r="DR111" i="5"/>
  <c r="EN111" i="5"/>
  <c r="BD111" i="5"/>
  <c r="N111" i="5"/>
  <c r="BZ111" i="5"/>
  <c r="M111" i="5"/>
  <c r="CL111" i="5"/>
  <c r="BV111" i="5"/>
  <c r="EP111" i="5"/>
  <c r="DZ111" i="5"/>
  <c r="AW111" i="5"/>
  <c r="DI111" i="5"/>
  <c r="DV111" i="5"/>
  <c r="AT111" i="5"/>
  <c r="AQ111" i="5"/>
  <c r="CB111" i="5"/>
  <c r="CS111" i="5"/>
  <c r="AV111" i="5"/>
  <c r="X111" i="5"/>
  <c r="EK111" i="5"/>
  <c r="DK111" i="5"/>
  <c r="T111" i="5"/>
  <c r="AM111" i="5"/>
  <c r="V111" i="5"/>
  <c r="AE111" i="5"/>
  <c r="EJ111" i="5"/>
  <c r="Y111" i="5"/>
  <c r="CU111" i="5"/>
  <c r="O111" i="5"/>
  <c r="CN111" i="5"/>
  <c r="BO111" i="5"/>
  <c r="AZ111" i="5"/>
  <c r="CM111" i="5"/>
  <c r="BB111" i="5"/>
  <c r="ED111" i="5"/>
  <c r="AN111" i="5"/>
  <c r="AD111" i="5"/>
  <c r="DL111" i="5"/>
  <c r="EB111" i="5"/>
  <c r="EO111" i="5"/>
  <c r="EC111" i="5"/>
  <c r="AR111" i="5"/>
  <c r="AA111" i="5"/>
  <c r="I28" i="36" l="1"/>
  <c r="D29" i="36"/>
  <c r="I47" i="19"/>
  <c r="J149" i="21" s="1"/>
  <c r="D39" i="36"/>
  <c r="I39" i="36" s="1"/>
  <c r="D50" i="36"/>
  <c r="D40" i="36"/>
  <c r="H28" i="36"/>
  <c r="H29" i="36" s="1"/>
  <c r="G29" i="36"/>
  <c r="G30" i="36" s="1"/>
  <c r="K28" i="36"/>
  <c r="I29" i="36"/>
  <c r="J28" i="36" s="1"/>
  <c r="T95" i="1"/>
  <c r="U96" i="1"/>
  <c r="EI265" i="11"/>
  <c r="EI270" i="11" s="1"/>
  <c r="DW265" i="11"/>
  <c r="DW270" i="11" s="1"/>
  <c r="DK265" i="11"/>
  <c r="DK270" i="11" s="1"/>
  <c r="CY265" i="11"/>
  <c r="CY270" i="11" s="1"/>
  <c r="CM265" i="11"/>
  <c r="CM270" i="11" s="1"/>
  <c r="CA265" i="11"/>
  <c r="CA270" i="11" s="1"/>
  <c r="BO265" i="11"/>
  <c r="BO270" i="11" s="1"/>
  <c r="BC265" i="11"/>
  <c r="BC270" i="11" s="1"/>
  <c r="AQ265" i="11"/>
  <c r="AQ270" i="11" s="1"/>
  <c r="AE265" i="11"/>
  <c r="AE270" i="11" s="1"/>
  <c r="S265" i="11"/>
  <c r="S270" i="11" s="1"/>
  <c r="EF265" i="11"/>
  <c r="EF270" i="11" s="1"/>
  <c r="AZ265" i="11"/>
  <c r="AZ270" i="11" s="1"/>
  <c r="EQ265" i="11"/>
  <c r="EQ270" i="11" s="1"/>
  <c r="DS265" i="11"/>
  <c r="DS270" i="11" s="1"/>
  <c r="CU265" i="11"/>
  <c r="CU270" i="11" s="1"/>
  <c r="BW265" i="11"/>
  <c r="BW270" i="11" s="1"/>
  <c r="AY265" i="11"/>
  <c r="AY270" i="11" s="1"/>
  <c r="AA265" i="11"/>
  <c r="AA270" i="11" s="1"/>
  <c r="CT265" i="11"/>
  <c r="CT270" i="11" s="1"/>
  <c r="EO265" i="11"/>
  <c r="EO270" i="11" s="1"/>
  <c r="CS265" i="11"/>
  <c r="CS270" i="11" s="1"/>
  <c r="BU265" i="11"/>
  <c r="BU270" i="11" s="1"/>
  <c r="AW265" i="11"/>
  <c r="AW270" i="11" s="1"/>
  <c r="M265" i="11"/>
  <c r="M270" i="11" s="1"/>
  <c r="DP265" i="11"/>
  <c r="DP270" i="11" s="1"/>
  <c r="DC265" i="11"/>
  <c r="DC270" i="11" s="1"/>
  <c r="EJ265" i="11"/>
  <c r="EJ270" i="11" s="1"/>
  <c r="BD265" i="11"/>
  <c r="BD270" i="11" s="1"/>
  <c r="EH265" i="11"/>
  <c r="EH270" i="11" s="1"/>
  <c r="DV265" i="11"/>
  <c r="DV270" i="11" s="1"/>
  <c r="DJ265" i="11"/>
  <c r="DJ270" i="11" s="1"/>
  <c r="CX265" i="11"/>
  <c r="CX270" i="11" s="1"/>
  <c r="CL265" i="11"/>
  <c r="CL270" i="11" s="1"/>
  <c r="BZ265" i="11"/>
  <c r="BZ270" i="11" s="1"/>
  <c r="BN265" i="11"/>
  <c r="BN270" i="11" s="1"/>
  <c r="BB265" i="11"/>
  <c r="BB270" i="11" s="1"/>
  <c r="AP265" i="11"/>
  <c r="AP270" i="11" s="1"/>
  <c r="AD265" i="11"/>
  <c r="AD270" i="11" s="1"/>
  <c r="R265" i="11"/>
  <c r="R270" i="11" s="1"/>
  <c r="DH265" i="11"/>
  <c r="DH270" i="11" s="1"/>
  <c r="BX265" i="11"/>
  <c r="BX270" i="11" s="1"/>
  <c r="AN265" i="11"/>
  <c r="AN270" i="11" s="1"/>
  <c r="P265" i="11"/>
  <c r="P270" i="11" s="1"/>
  <c r="ED265" i="11"/>
  <c r="ED270" i="11" s="1"/>
  <c r="AL265" i="11"/>
  <c r="AL270" i="11" s="1"/>
  <c r="DQ265" i="11"/>
  <c r="DQ270" i="11" s="1"/>
  <c r="AK265" i="11"/>
  <c r="AK270" i="11" s="1"/>
  <c r="EN265" i="11"/>
  <c r="EN270" i="11" s="1"/>
  <c r="DD265" i="11"/>
  <c r="DD270" i="11" s="1"/>
  <c r="CR265" i="11"/>
  <c r="CR270" i="11" s="1"/>
  <c r="CF265" i="11"/>
  <c r="CF270" i="11" s="1"/>
  <c r="BT265" i="11"/>
  <c r="BT270" i="11" s="1"/>
  <c r="BH265" i="11"/>
  <c r="BH270" i="11" s="1"/>
  <c r="AV265" i="11"/>
  <c r="AV270" i="11" s="1"/>
  <c r="AJ265" i="11"/>
  <c r="AJ270" i="11" s="1"/>
  <c r="X265" i="11"/>
  <c r="X270" i="11" s="1"/>
  <c r="L265" i="11"/>
  <c r="L266" i="11" s="1"/>
  <c r="L267" i="11" s="1"/>
  <c r="EM265" i="11"/>
  <c r="EM270" i="11" s="1"/>
  <c r="EA265" i="11"/>
  <c r="EA270" i="11" s="1"/>
  <c r="DO265" i="11"/>
  <c r="DO270" i="11" s="1"/>
  <c r="CQ265" i="11"/>
  <c r="CQ270" i="11" s="1"/>
  <c r="CE265" i="11"/>
  <c r="CE270" i="11" s="1"/>
  <c r="BG265" i="11"/>
  <c r="BG270" i="11" s="1"/>
  <c r="AU265" i="11"/>
  <c r="AU270" i="11" s="1"/>
  <c r="AI265" i="11"/>
  <c r="AI270" i="11" s="1"/>
  <c r="W265" i="11"/>
  <c r="W270" i="11" s="1"/>
  <c r="DX265" i="11"/>
  <c r="DX270" i="11" s="1"/>
  <c r="CZ265" i="11"/>
  <c r="CZ270" i="11" s="1"/>
  <c r="CN265" i="11"/>
  <c r="CN270" i="11" s="1"/>
  <c r="CB265" i="11"/>
  <c r="CB270" i="11" s="1"/>
  <c r="BP265" i="11"/>
  <c r="BP270" i="11" s="1"/>
  <c r="AR265" i="11"/>
  <c r="AR270" i="11" s="1"/>
  <c r="AF265" i="11"/>
  <c r="AF270" i="11" s="1"/>
  <c r="T265" i="11"/>
  <c r="T270" i="11" s="1"/>
  <c r="EG265" i="11"/>
  <c r="EG270" i="11" s="1"/>
  <c r="DU265" i="11"/>
  <c r="DU270" i="11" s="1"/>
  <c r="DI265" i="11"/>
  <c r="DI270" i="11" s="1"/>
  <c r="CW265" i="11"/>
  <c r="CW270" i="11" s="1"/>
  <c r="CK265" i="11"/>
  <c r="CK270" i="11" s="1"/>
  <c r="BY265" i="11"/>
  <c r="BY270" i="11" s="1"/>
  <c r="BM265" i="11"/>
  <c r="BM270" i="11" s="1"/>
  <c r="BA265" i="11"/>
  <c r="BA270" i="11" s="1"/>
  <c r="AO265" i="11"/>
  <c r="AO270" i="11" s="1"/>
  <c r="AC265" i="11"/>
  <c r="AC270" i="11" s="1"/>
  <c r="Q265" i="11"/>
  <c r="Q270" i="11" s="1"/>
  <c r="DT265" i="11"/>
  <c r="DT270" i="11" s="1"/>
  <c r="CV265" i="11"/>
  <c r="CV270" i="11" s="1"/>
  <c r="CJ265" i="11"/>
  <c r="CJ270" i="11" s="1"/>
  <c r="BL265" i="11"/>
  <c r="BL270" i="11" s="1"/>
  <c r="AB265" i="11"/>
  <c r="AB270" i="11" s="1"/>
  <c r="EE265" i="11"/>
  <c r="EE270" i="11" s="1"/>
  <c r="DG265" i="11"/>
  <c r="DG270" i="11" s="1"/>
  <c r="CI265" i="11"/>
  <c r="CI270" i="11" s="1"/>
  <c r="BK265" i="11"/>
  <c r="BK270" i="11" s="1"/>
  <c r="AM265" i="11"/>
  <c r="AM270" i="11" s="1"/>
  <c r="O265" i="11"/>
  <c r="O270" i="11" s="1"/>
  <c r="EP265" i="11"/>
  <c r="EP270" i="11" s="1"/>
  <c r="DR265" i="11"/>
  <c r="DR270" i="11" s="1"/>
  <c r="DF265" i="11"/>
  <c r="DF270" i="11" s="1"/>
  <c r="CH265" i="11"/>
  <c r="CH270" i="11" s="1"/>
  <c r="BV265" i="11"/>
  <c r="BV270" i="11" s="1"/>
  <c r="BJ265" i="11"/>
  <c r="BJ270" i="11" s="1"/>
  <c r="AX265" i="11"/>
  <c r="AX270" i="11" s="1"/>
  <c r="Z265" i="11"/>
  <c r="Z270" i="11" s="1"/>
  <c r="N265" i="11"/>
  <c r="N270" i="11" s="1"/>
  <c r="EC265" i="11"/>
  <c r="EC270" i="11" s="1"/>
  <c r="DE265" i="11"/>
  <c r="DE270" i="11" s="1"/>
  <c r="CG265" i="11"/>
  <c r="CG270" i="11" s="1"/>
  <c r="BI265" i="11"/>
  <c r="BI270" i="11" s="1"/>
  <c r="Y265" i="11"/>
  <c r="Y270" i="11" s="1"/>
  <c r="EB265" i="11"/>
  <c r="EB270" i="11" s="1"/>
  <c r="BS265" i="11"/>
  <c r="BS270" i="11" s="1"/>
  <c r="EL265" i="11"/>
  <c r="EL270" i="11" s="1"/>
  <c r="DZ265" i="11"/>
  <c r="DZ270" i="11" s="1"/>
  <c r="DN265" i="11"/>
  <c r="DN270" i="11" s="1"/>
  <c r="DB265" i="11"/>
  <c r="DB270" i="11" s="1"/>
  <c r="CP265" i="11"/>
  <c r="CP270" i="11" s="1"/>
  <c r="CD265" i="11"/>
  <c r="CD270" i="11" s="1"/>
  <c r="BR265" i="11"/>
  <c r="BR270" i="11" s="1"/>
  <c r="BF265" i="11"/>
  <c r="BF270" i="11" s="1"/>
  <c r="AT265" i="11"/>
  <c r="AT270" i="11" s="1"/>
  <c r="AH265" i="11"/>
  <c r="AH270" i="11" s="1"/>
  <c r="V265" i="11"/>
  <c r="V270" i="11" s="1"/>
  <c r="DY265" i="11"/>
  <c r="DY270" i="11" s="1"/>
  <c r="DM265" i="11"/>
  <c r="DM270" i="11" s="1"/>
  <c r="DA265" i="11"/>
  <c r="DA270" i="11" s="1"/>
  <c r="CO265" i="11"/>
  <c r="CO270" i="11" s="1"/>
  <c r="CC265" i="11"/>
  <c r="CC270" i="11" s="1"/>
  <c r="BQ265" i="11"/>
  <c r="BQ270" i="11" s="1"/>
  <c r="BE265" i="11"/>
  <c r="BE270" i="11" s="1"/>
  <c r="AS265" i="11"/>
  <c r="AS270" i="11" s="1"/>
  <c r="AG265" i="11"/>
  <c r="AG270" i="11" s="1"/>
  <c r="U265" i="11"/>
  <c r="U270" i="11" s="1"/>
  <c r="DL265" i="11"/>
  <c r="DL270" i="11" s="1"/>
  <c r="EK265" i="11"/>
  <c r="EK270" i="11" s="1"/>
  <c r="H624" i="32"/>
  <c r="K624" i="32"/>
  <c r="I624" i="32"/>
  <c r="F624" i="32"/>
  <c r="L624" i="32"/>
  <c r="G624" i="32"/>
  <c r="J624" i="32"/>
  <c r="E624" i="32"/>
  <c r="X51" i="21"/>
  <c r="O83" i="1"/>
  <c r="P83" i="1" s="1"/>
  <c r="R82" i="1"/>
  <c r="L23" i="15"/>
  <c r="N226" i="11"/>
  <c r="P106" i="17"/>
  <c r="H755" i="32" s="1"/>
  <c r="AE47" i="19"/>
  <c r="P106" i="26"/>
  <c r="H194" i="32" s="1"/>
  <c r="S106" i="17"/>
  <c r="AW47" i="19"/>
  <c r="AB106" i="17"/>
  <c r="CY47" i="19"/>
  <c r="L112" i="5"/>
  <c r="EH47" i="19"/>
  <c r="DY47" i="19"/>
  <c r="DB47" i="19"/>
  <c r="M76" i="11"/>
  <c r="A42" i="1"/>
  <c r="BZ47" i="19"/>
  <c r="DR47" i="19"/>
  <c r="CX47" i="19"/>
  <c r="AA47" i="19"/>
  <c r="CL47" i="19"/>
  <c r="BQ47" i="19"/>
  <c r="EG47" i="19"/>
  <c r="AY47" i="19"/>
  <c r="BM47" i="19"/>
  <c r="DN47" i="19"/>
  <c r="X106" i="17"/>
  <c r="CA47" i="19"/>
  <c r="DJ47" i="19"/>
  <c r="AP47" i="19"/>
  <c r="BE47" i="19"/>
  <c r="O106" i="26"/>
  <c r="G194" i="32" s="1"/>
  <c r="Q106" i="17"/>
  <c r="AK47" i="19"/>
  <c r="CD47" i="19"/>
  <c r="DC47" i="19"/>
  <c r="J111" i="5"/>
  <c r="L106" i="26"/>
  <c r="D194" i="32" s="1"/>
  <c r="L106" i="17"/>
  <c r="D755" i="32" s="1"/>
  <c r="L47" i="19"/>
  <c r="AH106" i="17"/>
  <c r="EI47" i="19"/>
  <c r="CV47" i="19"/>
  <c r="AO47" i="19"/>
  <c r="BT47" i="19"/>
  <c r="AH47" i="19"/>
  <c r="Q106" i="26"/>
  <c r="I194" i="32" s="1"/>
  <c r="U106" i="17"/>
  <c r="BI47" i="19"/>
  <c r="DX47" i="19"/>
  <c r="AV47" i="19"/>
  <c r="AT47" i="19"/>
  <c r="DZ47" i="19"/>
  <c r="W47" i="19"/>
  <c r="CQ47" i="19"/>
  <c r="AF106" i="17"/>
  <c r="DW47" i="19"/>
  <c r="N221" i="11"/>
  <c r="L22" i="15"/>
  <c r="N63" i="6"/>
  <c r="AC106" i="17"/>
  <c r="U106" i="26"/>
  <c r="M194" i="32" s="1"/>
  <c r="DE47" i="19"/>
  <c r="BF47" i="19"/>
  <c r="BS47" i="19"/>
  <c r="CP47" i="19"/>
  <c r="DG47" i="19"/>
  <c r="W106" i="17"/>
  <c r="R106" i="26"/>
  <c r="J194" i="32" s="1"/>
  <c r="BU47" i="19"/>
  <c r="AB47" i="19"/>
  <c r="U47" i="19"/>
  <c r="BY47" i="19"/>
  <c r="AS47" i="19"/>
  <c r="T106" i="17"/>
  <c r="BC47" i="19"/>
  <c r="CH47" i="19"/>
  <c r="DU47" i="19"/>
  <c r="O47" i="19"/>
  <c r="AD106" i="17"/>
  <c r="DK47" i="19"/>
  <c r="CF47" i="19"/>
  <c r="ED47" i="19"/>
  <c r="R106" i="17"/>
  <c r="AQ47" i="19"/>
  <c r="DM47" i="19"/>
  <c r="CU47" i="19"/>
  <c r="DL47" i="19"/>
  <c r="BD47" i="19"/>
  <c r="DT47" i="19"/>
  <c r="EA47" i="19"/>
  <c r="N106" i="17"/>
  <c r="F755" i="32" s="1"/>
  <c r="S47" i="19"/>
  <c r="EL47" i="19"/>
  <c r="Y106" i="17"/>
  <c r="S106" i="26"/>
  <c r="K194" i="32" s="1"/>
  <c r="CG47" i="19"/>
  <c r="BR47" i="19"/>
  <c r="EQ47" i="19"/>
  <c r="AU47" i="19"/>
  <c r="CT47" i="19"/>
  <c r="CK47" i="19"/>
  <c r="DS47" i="19"/>
  <c r="AG47" i="19"/>
  <c r="EK47" i="19"/>
  <c r="DA47" i="19"/>
  <c r="DO47" i="19"/>
  <c r="BB47" i="19"/>
  <c r="U23" i="1"/>
  <c r="BL47" i="19"/>
  <c r="EE47" i="19"/>
  <c r="EM47" i="19"/>
  <c r="CJ47" i="19"/>
  <c r="DF47" i="19"/>
  <c r="CO47" i="19"/>
  <c r="V106" i="26"/>
  <c r="N194" i="32" s="1"/>
  <c r="AE106" i="17"/>
  <c r="DQ47" i="19"/>
  <c r="BP47" i="19"/>
  <c r="N161" i="11"/>
  <c r="EB47" i="19"/>
  <c r="V47" i="19"/>
  <c r="AR47" i="19"/>
  <c r="AA106" i="17"/>
  <c r="T106" i="26"/>
  <c r="L194" i="32" s="1"/>
  <c r="CS47" i="19"/>
  <c r="DV47" i="19"/>
  <c r="EP47" i="19"/>
  <c r="Y99" i="19"/>
  <c r="Y125" i="19" s="1"/>
  <c r="BK47" i="19"/>
  <c r="CR47" i="19"/>
  <c r="CC47" i="19"/>
  <c r="Q47" i="19"/>
  <c r="BJ47" i="19"/>
  <c r="P47" i="19"/>
  <c r="BH47" i="19"/>
  <c r="AL47" i="19"/>
  <c r="AI47" i="19"/>
  <c r="CI47" i="19"/>
  <c r="BW47" i="19"/>
  <c r="CW47" i="19"/>
  <c r="DH47" i="19"/>
  <c r="N47" i="19"/>
  <c r="N106" i="26"/>
  <c r="F194" i="32" s="1"/>
  <c r="O106" i="17"/>
  <c r="G755" i="32" s="1"/>
  <c r="Y47" i="19"/>
  <c r="AD47" i="19"/>
  <c r="BG47" i="19"/>
  <c r="BN47" i="19"/>
  <c r="EF47" i="19"/>
  <c r="DD47" i="19"/>
  <c r="BX47" i="19"/>
  <c r="R47" i="19"/>
  <c r="AF47" i="19"/>
  <c r="CE47" i="19"/>
  <c r="AX47" i="19"/>
  <c r="V106" i="17"/>
  <c r="BO47" i="19"/>
  <c r="AM47" i="19"/>
  <c r="AG106" i="17"/>
  <c r="W106" i="26"/>
  <c r="EC47" i="19"/>
  <c r="Z106" i="17"/>
  <c r="CM47" i="19"/>
  <c r="CN47" i="19"/>
  <c r="EJ47" i="19"/>
  <c r="T47" i="19"/>
  <c r="M106" i="17"/>
  <c r="E755" i="32" s="1"/>
  <c r="M106" i="26"/>
  <c r="E194" i="32" s="1"/>
  <c r="M47" i="19"/>
  <c r="EN47" i="19"/>
  <c r="CZ47" i="19"/>
  <c r="AC47" i="19"/>
  <c r="AI106" i="17"/>
  <c r="X106" i="26"/>
  <c r="EO47" i="19"/>
  <c r="AN47" i="19"/>
  <c r="AZ47" i="19"/>
  <c r="X47" i="19"/>
  <c r="CB47" i="19"/>
  <c r="DI47" i="19"/>
  <c r="BV47" i="19"/>
  <c r="DP47" i="19"/>
  <c r="AJ47" i="19"/>
  <c r="BA47" i="19"/>
  <c r="Z47" i="19"/>
  <c r="N218" i="11"/>
  <c r="G39" i="36" l="1"/>
  <c r="J24" i="36"/>
  <c r="J22" i="36"/>
  <c r="J23" i="36"/>
  <c r="J29" i="36"/>
  <c r="J27" i="36"/>
  <c r="J26" i="36"/>
  <c r="J25" i="36"/>
  <c r="K29" i="36"/>
  <c r="I30" i="36" s="1"/>
  <c r="J30" i="36" s="1"/>
  <c r="D61" i="36"/>
  <c r="I50" i="36"/>
  <c r="G50" i="36"/>
  <c r="D51" i="36"/>
  <c r="H39" i="36"/>
  <c r="H40" i="36" s="1"/>
  <c r="G40" i="36"/>
  <c r="G41" i="36" s="1"/>
  <c r="K39" i="36"/>
  <c r="I40" i="36"/>
  <c r="J39" i="36" s="1"/>
  <c r="L270" i="11"/>
  <c r="L271" i="11" s="1"/>
  <c r="L272" i="11" s="1"/>
  <c r="J265" i="11"/>
  <c r="Q82" i="1"/>
  <c r="C93" i="32"/>
  <c r="N624" i="32"/>
  <c r="C624" i="32"/>
  <c r="C755" i="32"/>
  <c r="C194" i="32"/>
  <c r="O84" i="1"/>
  <c r="R84" i="1" s="1"/>
  <c r="R83" i="1"/>
  <c r="L20" i="15"/>
  <c r="M264" i="11"/>
  <c r="EG54" i="19"/>
  <c r="AW54" i="19"/>
  <c r="AS54" i="19"/>
  <c r="Z54" i="19"/>
  <c r="M54" i="19"/>
  <c r="AX54" i="19"/>
  <c r="AI54" i="19"/>
  <c r="ED54" i="19"/>
  <c r="BV54" i="19"/>
  <c r="EF54" i="19"/>
  <c r="N54" i="19"/>
  <c r="AL54" i="19"/>
  <c r="CC54" i="19"/>
  <c r="CS54" i="19"/>
  <c r="DG54" i="19"/>
  <c r="DJ54" i="19"/>
  <c r="DR54" i="19"/>
  <c r="EL54" i="19"/>
  <c r="N223" i="11"/>
  <c r="N224" i="11" s="1"/>
  <c r="N227" i="11"/>
  <c r="N228" i="11" s="1"/>
  <c r="N229" i="11" s="1"/>
  <c r="EC54" i="19"/>
  <c r="CE54" i="19"/>
  <c r="CR54" i="19"/>
  <c r="EB54" i="19"/>
  <c r="CO54" i="19"/>
  <c r="CP54" i="19"/>
  <c r="DE54" i="19"/>
  <c r="DZ54" i="19"/>
  <c r="AK54" i="19"/>
  <c r="BZ54" i="19"/>
  <c r="DV54" i="19"/>
  <c r="BI54" i="19"/>
  <c r="EI54" i="19"/>
  <c r="EO54" i="19"/>
  <c r="DI54" i="19"/>
  <c r="AF54" i="19"/>
  <c r="BN54" i="19"/>
  <c r="BH54" i="19"/>
  <c r="DF54" i="19"/>
  <c r="AG54" i="19"/>
  <c r="AU54" i="19"/>
  <c r="S54" i="19"/>
  <c r="CU54" i="19"/>
  <c r="DU54" i="19"/>
  <c r="BY54" i="19"/>
  <c r="J47" i="19"/>
  <c r="L54" i="19"/>
  <c r="CA54" i="19"/>
  <c r="L107" i="26"/>
  <c r="L107" i="17"/>
  <c r="L48" i="19"/>
  <c r="V54" i="19"/>
  <c r="U54" i="19"/>
  <c r="DW54" i="19"/>
  <c r="AT54" i="19"/>
  <c r="AE54" i="19"/>
  <c r="CT54" i="19"/>
  <c r="BB54" i="19"/>
  <c r="EQ54" i="19"/>
  <c r="AM54" i="19"/>
  <c r="R54" i="19"/>
  <c r="BG54" i="19"/>
  <c r="CW54" i="19"/>
  <c r="P54" i="19"/>
  <c r="AH54" i="19"/>
  <c r="J106" i="17"/>
  <c r="BQ54" i="19"/>
  <c r="M78" i="11"/>
  <c r="M79" i="11" s="1"/>
  <c r="M80" i="11"/>
  <c r="EK54" i="19"/>
  <c r="BL54" i="19"/>
  <c r="DH54" i="19"/>
  <c r="BK54" i="19"/>
  <c r="BA54" i="19"/>
  <c r="CB54" i="19"/>
  <c r="AC54" i="19"/>
  <c r="T54" i="19"/>
  <c r="CJ54" i="19"/>
  <c r="DS54" i="19"/>
  <c r="DM54" i="19"/>
  <c r="CH54" i="19"/>
  <c r="EJ54" i="19"/>
  <c r="N162" i="11"/>
  <c r="DO54" i="19"/>
  <c r="CK54" i="19"/>
  <c r="EA54" i="19"/>
  <c r="CF54" i="19"/>
  <c r="BC54" i="19"/>
  <c r="AB54" i="19"/>
  <c r="CQ54" i="19"/>
  <c r="AV54" i="19"/>
  <c r="J106" i="26"/>
  <c r="BE54" i="19"/>
  <c r="DN54" i="19"/>
  <c r="CL54" i="19"/>
  <c r="DB54" i="19"/>
  <c r="BP54" i="19"/>
  <c r="BR54" i="19"/>
  <c r="AQ54" i="19"/>
  <c r="BT54" i="19"/>
  <c r="BM54" i="19"/>
  <c r="EH54" i="19"/>
  <c r="AN54" i="19"/>
  <c r="DD54" i="19"/>
  <c r="DL54" i="19"/>
  <c r="CZ54" i="19"/>
  <c r="AD54" i="19"/>
  <c r="BW54" i="19"/>
  <c r="AJ54" i="19"/>
  <c r="X54" i="19"/>
  <c r="BO54" i="19"/>
  <c r="BJ54" i="19"/>
  <c r="EM54" i="19"/>
  <c r="DA54" i="19"/>
  <c r="DT54" i="19"/>
  <c r="DK54" i="19"/>
  <c r="BU54" i="19"/>
  <c r="BS54" i="19"/>
  <c r="DC54" i="19"/>
  <c r="BF54" i="19"/>
  <c r="W54" i="19"/>
  <c r="AO54" i="19"/>
  <c r="AY54" i="19"/>
  <c r="AA54" i="19"/>
  <c r="DY54" i="19"/>
  <c r="CY54" i="19"/>
  <c r="CN54" i="19"/>
  <c r="BX54" i="19"/>
  <c r="CI54" i="19"/>
  <c r="EP54" i="19"/>
  <c r="AR54" i="19"/>
  <c r="EE54" i="19"/>
  <c r="CG54" i="19"/>
  <c r="N219" i="11"/>
  <c r="DP54" i="19"/>
  <c r="AZ54" i="19"/>
  <c r="EN54" i="19"/>
  <c r="CM54" i="19"/>
  <c r="Y54" i="19"/>
  <c r="Q54" i="19"/>
  <c r="DQ54" i="19"/>
  <c r="BD54" i="19"/>
  <c r="O54" i="19"/>
  <c r="DX54" i="19"/>
  <c r="CV54" i="19"/>
  <c r="CD54" i="19"/>
  <c r="AP54" i="19"/>
  <c r="CX54" i="19"/>
  <c r="L28" i="36" l="1"/>
  <c r="D73" i="36"/>
  <c r="G61" i="36"/>
  <c r="I61" i="36"/>
  <c r="D62" i="36"/>
  <c r="L27" i="36"/>
  <c r="L25" i="36"/>
  <c r="L26" i="36"/>
  <c r="L23" i="36"/>
  <c r="L22" i="36"/>
  <c r="L24" i="36"/>
  <c r="J38" i="36"/>
  <c r="J34" i="36"/>
  <c r="J33" i="36"/>
  <c r="J35" i="36"/>
  <c r="J36" i="36"/>
  <c r="J40" i="36"/>
  <c r="J37" i="36"/>
  <c r="K50" i="36"/>
  <c r="I51" i="36"/>
  <c r="J50" i="36" s="1"/>
  <c r="J270" i="11"/>
  <c r="K40" i="36"/>
  <c r="L39" i="36" s="1"/>
  <c r="H50" i="36"/>
  <c r="H51" i="36" s="1"/>
  <c r="G51" i="36"/>
  <c r="G52" i="36" s="1"/>
  <c r="R34" i="21"/>
  <c r="U34" i="21" s="1"/>
  <c r="G38" i="6"/>
  <c r="P38" i="6" s="1"/>
  <c r="G32" i="16"/>
  <c r="Q83" i="1"/>
  <c r="R35" i="21" s="1"/>
  <c r="C94" i="32"/>
  <c r="Q84" i="1"/>
  <c r="R36" i="21" s="1"/>
  <c r="C95" i="32"/>
  <c r="O624" i="32"/>
  <c r="BI38" i="6"/>
  <c r="BQ38" i="6"/>
  <c r="N76" i="11"/>
  <c r="O221" i="11"/>
  <c r="M22" i="15"/>
  <c r="M81" i="11"/>
  <c r="M90" i="11"/>
  <c r="O216" i="11"/>
  <c r="M21" i="15"/>
  <c r="M18" i="15"/>
  <c r="O159" i="11"/>
  <c r="M112" i="5"/>
  <c r="O26" i="6"/>
  <c r="L55" i="19"/>
  <c r="L56" i="19" s="1"/>
  <c r="M53" i="19" s="1"/>
  <c r="J54" i="19"/>
  <c r="M269" i="11"/>
  <c r="M266" i="11"/>
  <c r="M23" i="15"/>
  <c r="O226" i="11"/>
  <c r="E20" i="36" l="1"/>
  <c r="E104" i="36" s="1"/>
  <c r="L34" i="36"/>
  <c r="L33" i="36"/>
  <c r="L35" i="36"/>
  <c r="L36" i="36"/>
  <c r="E31" i="36" s="1"/>
  <c r="L37" i="36"/>
  <c r="L38" i="36"/>
  <c r="L29" i="36"/>
  <c r="J47" i="36"/>
  <c r="J46" i="36"/>
  <c r="J51" i="36"/>
  <c r="J49" i="36"/>
  <c r="J45" i="36"/>
  <c r="J44" i="36"/>
  <c r="J48" i="36"/>
  <c r="K51" i="36"/>
  <c r="L50" i="36" s="1"/>
  <c r="AZ38" i="6"/>
  <c r="AY200" i="11" s="1"/>
  <c r="I41" i="36"/>
  <c r="J41" i="36" s="1"/>
  <c r="K61" i="36"/>
  <c r="I62" i="36"/>
  <c r="J61" i="36" s="1"/>
  <c r="H61" i="36"/>
  <c r="H62" i="36" s="1"/>
  <c r="G62" i="36"/>
  <c r="G63" i="36" s="1"/>
  <c r="BG38" i="6"/>
  <c r="BF200" i="11" s="1"/>
  <c r="I73" i="36"/>
  <c r="D85" i="36"/>
  <c r="G73" i="36"/>
  <c r="D74" i="36"/>
  <c r="BC38" i="6"/>
  <c r="DO38" i="6"/>
  <c r="DN200" i="11" s="1"/>
  <c r="DX38" i="6"/>
  <c r="DW200" i="11" s="1"/>
  <c r="CK38" i="6"/>
  <c r="CJ200" i="11" s="1"/>
  <c r="EA38" i="6"/>
  <c r="DZ200" i="11" s="1"/>
  <c r="CZ38" i="6"/>
  <c r="CY200" i="11" s="1"/>
  <c r="EN38" i="6"/>
  <c r="EM200" i="11" s="1"/>
  <c r="DM38" i="6"/>
  <c r="DL200" i="11" s="1"/>
  <c r="EH38" i="6"/>
  <c r="EG200" i="11" s="1"/>
  <c r="BY38" i="6"/>
  <c r="BX200" i="11" s="1"/>
  <c r="R38" i="6"/>
  <c r="Q200" i="11" s="1"/>
  <c r="DJ38" i="6"/>
  <c r="DI200" i="11" s="1"/>
  <c r="AK38" i="6"/>
  <c r="AB38" i="6"/>
  <c r="AA200" i="11" s="1"/>
  <c r="BV38" i="6"/>
  <c r="BU200" i="11" s="1"/>
  <c r="DS38" i="6"/>
  <c r="DR200" i="11" s="1"/>
  <c r="DT38" i="6"/>
  <c r="DS200" i="11" s="1"/>
  <c r="CA38" i="6"/>
  <c r="BZ200" i="11" s="1"/>
  <c r="ED38" i="6"/>
  <c r="EC200" i="11" s="1"/>
  <c r="DY38" i="6"/>
  <c r="DX200" i="11" s="1"/>
  <c r="Z38" i="6"/>
  <c r="Y200" i="11" s="1"/>
  <c r="EQ38" i="6"/>
  <c r="EP200" i="11" s="1"/>
  <c r="X38" i="6"/>
  <c r="W200" i="11" s="1"/>
  <c r="BP38" i="6"/>
  <c r="BO200" i="11" s="1"/>
  <c r="AW38" i="6"/>
  <c r="AV200" i="11" s="1"/>
  <c r="CW38" i="6"/>
  <c r="CV200" i="11" s="1"/>
  <c r="AL38" i="6"/>
  <c r="AK200" i="11" s="1"/>
  <c r="DD38" i="6"/>
  <c r="DC200" i="11" s="1"/>
  <c r="DE38" i="6"/>
  <c r="DD200" i="11" s="1"/>
  <c r="AE38" i="6"/>
  <c r="AD200" i="11" s="1"/>
  <c r="CB38" i="6"/>
  <c r="CA200" i="11" s="1"/>
  <c r="EI38" i="6"/>
  <c r="EH200" i="11" s="1"/>
  <c r="DL38" i="6"/>
  <c r="DK200" i="11" s="1"/>
  <c r="G39" i="6"/>
  <c r="BK39" i="6" s="1"/>
  <c r="BJ205" i="11" s="1"/>
  <c r="CM38" i="6"/>
  <c r="CL200" i="11" s="1"/>
  <c r="DC38" i="6"/>
  <c r="DB200" i="11" s="1"/>
  <c r="AS38" i="6"/>
  <c r="AR200" i="11" s="1"/>
  <c r="AT38" i="6"/>
  <c r="AS200" i="11" s="1"/>
  <c r="Q38" i="6"/>
  <c r="P200" i="11" s="1"/>
  <c r="CP38" i="6"/>
  <c r="CO200" i="11" s="1"/>
  <c r="CR38" i="6"/>
  <c r="CQ200" i="11" s="1"/>
  <c r="CH38" i="6"/>
  <c r="CG200" i="11" s="1"/>
  <c r="DZ38" i="6"/>
  <c r="DY200" i="11" s="1"/>
  <c r="DK38" i="6"/>
  <c r="DJ200" i="11" s="1"/>
  <c r="BB38" i="6"/>
  <c r="BA200" i="11" s="1"/>
  <c r="M38" i="6"/>
  <c r="AD38" i="6"/>
  <c r="AC200" i="11" s="1"/>
  <c r="S38" i="6"/>
  <c r="AU38" i="6"/>
  <c r="AT200" i="11" s="1"/>
  <c r="CS38" i="6"/>
  <c r="CR200" i="11" s="1"/>
  <c r="DU38" i="6"/>
  <c r="DT200" i="11" s="1"/>
  <c r="EF38" i="6"/>
  <c r="EE200" i="11" s="1"/>
  <c r="BR38" i="6"/>
  <c r="EM38" i="6"/>
  <c r="EL200" i="11" s="1"/>
  <c r="DG38" i="6"/>
  <c r="DF200" i="11" s="1"/>
  <c r="CU38" i="6"/>
  <c r="CT200" i="11" s="1"/>
  <c r="BU38" i="6"/>
  <c r="BT200" i="11" s="1"/>
  <c r="DI38" i="6"/>
  <c r="DH200" i="11" s="1"/>
  <c r="DW38" i="6"/>
  <c r="DV200" i="11" s="1"/>
  <c r="EB38" i="6"/>
  <c r="EA200" i="11" s="1"/>
  <c r="AI38" i="6"/>
  <c r="W38" i="6"/>
  <c r="AC38" i="6"/>
  <c r="BX38" i="6"/>
  <c r="BW200" i="11" s="1"/>
  <c r="BF38" i="6"/>
  <c r="BE200" i="11" s="1"/>
  <c r="DH38" i="6"/>
  <c r="DG200" i="11" s="1"/>
  <c r="Y38" i="6"/>
  <c r="X200" i="11" s="1"/>
  <c r="BE38" i="6"/>
  <c r="BD200" i="11" s="1"/>
  <c r="AV38" i="6"/>
  <c r="AU200" i="11" s="1"/>
  <c r="U38" i="6"/>
  <c r="AQ38" i="6"/>
  <c r="AP200" i="11" s="1"/>
  <c r="AX38" i="6"/>
  <c r="AW200" i="11" s="1"/>
  <c r="CI38" i="6"/>
  <c r="AP38" i="6"/>
  <c r="AO200" i="11" s="1"/>
  <c r="AH38" i="6"/>
  <c r="AG200" i="11" s="1"/>
  <c r="AN38" i="6"/>
  <c r="AM200" i="11" s="1"/>
  <c r="CF38" i="6"/>
  <c r="CE200" i="11" s="1"/>
  <c r="AJ38" i="6"/>
  <c r="AI200" i="11" s="1"/>
  <c r="BA38" i="6"/>
  <c r="AZ200" i="11" s="1"/>
  <c r="BS38" i="6"/>
  <c r="BR200" i="11" s="1"/>
  <c r="BJ38" i="6"/>
  <c r="CE38" i="6"/>
  <c r="CD200" i="11" s="1"/>
  <c r="AF38" i="6"/>
  <c r="CL38" i="6"/>
  <c r="CK200" i="11" s="1"/>
  <c r="DP38" i="6"/>
  <c r="DO200" i="11" s="1"/>
  <c r="EG38" i="6"/>
  <c r="EF200" i="11" s="1"/>
  <c r="CY38" i="6"/>
  <c r="CX200" i="11" s="1"/>
  <c r="AR38" i="6"/>
  <c r="BD38" i="6"/>
  <c r="EK38" i="6"/>
  <c r="EJ200" i="11" s="1"/>
  <c r="T38" i="6"/>
  <c r="CN38" i="6"/>
  <c r="BO38" i="6"/>
  <c r="BN200" i="11" s="1"/>
  <c r="AY38" i="6"/>
  <c r="CG38" i="6"/>
  <c r="CF200" i="11" s="1"/>
  <c r="BK38" i="6"/>
  <c r="BJ200" i="11" s="1"/>
  <c r="BZ38" i="6"/>
  <c r="BY200" i="11" s="1"/>
  <c r="BW38" i="6"/>
  <c r="AA38" i="6"/>
  <c r="CD38" i="6"/>
  <c r="CC200" i="11" s="1"/>
  <c r="CC38" i="6"/>
  <c r="CB200" i="11" s="1"/>
  <c r="V38" i="6"/>
  <c r="U200" i="11" s="1"/>
  <c r="CX38" i="6"/>
  <c r="CW200" i="11" s="1"/>
  <c r="O38" i="6"/>
  <c r="N200" i="11" s="1"/>
  <c r="CQ38" i="6"/>
  <c r="CP200" i="11" s="1"/>
  <c r="CO38" i="6"/>
  <c r="CN200" i="11" s="1"/>
  <c r="AM38" i="6"/>
  <c r="BT38" i="6"/>
  <c r="BS200" i="11" s="1"/>
  <c r="EE38" i="6"/>
  <c r="EO38" i="6"/>
  <c r="EN200" i="11" s="1"/>
  <c r="DR38" i="6"/>
  <c r="CT38" i="6"/>
  <c r="CV38" i="6"/>
  <c r="CU200" i="11" s="1"/>
  <c r="BM38" i="6"/>
  <c r="BL200" i="11" s="1"/>
  <c r="EJ38" i="6"/>
  <c r="EP38" i="6"/>
  <c r="N38" i="6"/>
  <c r="DF38" i="6"/>
  <c r="DA38" i="6"/>
  <c r="DQ38" i="6"/>
  <c r="DP200" i="11" s="1"/>
  <c r="BN38" i="6"/>
  <c r="BM200" i="11" s="1"/>
  <c r="EL38" i="6"/>
  <c r="EK200" i="11" s="1"/>
  <c r="BH38" i="6"/>
  <c r="BG200" i="11" s="1"/>
  <c r="DB38" i="6"/>
  <c r="DA200" i="11" s="1"/>
  <c r="CJ38" i="6"/>
  <c r="CI200" i="11" s="1"/>
  <c r="DV38" i="6"/>
  <c r="DU200" i="11" s="1"/>
  <c r="EC38" i="6"/>
  <c r="AG38" i="6"/>
  <c r="DN38" i="6"/>
  <c r="AO38" i="6"/>
  <c r="AN200" i="11" s="1"/>
  <c r="ER38" i="6"/>
  <c r="EQ200" i="11" s="1"/>
  <c r="BL38" i="6"/>
  <c r="BK200" i="11" s="1"/>
  <c r="G33" i="16"/>
  <c r="G34" i="16"/>
  <c r="G40" i="6"/>
  <c r="U40" i="6" s="1"/>
  <c r="T210" i="11" s="1"/>
  <c r="C98" i="32"/>
  <c r="BB200" i="11"/>
  <c r="AJ200" i="11"/>
  <c r="O200" i="11"/>
  <c r="BP200" i="11"/>
  <c r="BH200" i="11"/>
  <c r="O161" i="11"/>
  <c r="O162" i="11" s="1"/>
  <c r="M48" i="19"/>
  <c r="M267" i="11"/>
  <c r="M20" i="15"/>
  <c r="O218" i="11"/>
  <c r="O219" i="11" s="1"/>
  <c r="M271" i="11"/>
  <c r="M272" i="11" s="1"/>
  <c r="O227" i="11"/>
  <c r="O223" i="11"/>
  <c r="O224" i="11" s="1"/>
  <c r="O63" i="6"/>
  <c r="N78" i="11"/>
  <c r="N79" i="11" s="1"/>
  <c r="N80" i="11"/>
  <c r="M55" i="19"/>
  <c r="M56" i="19" s="1"/>
  <c r="N53" i="19" s="1"/>
  <c r="I52" i="36" l="1"/>
  <c r="J52" i="36" s="1"/>
  <c r="J56" i="36"/>
  <c r="J60" i="36"/>
  <c r="J55" i="36"/>
  <c r="J57" i="36"/>
  <c r="J58" i="36"/>
  <c r="J59" i="36"/>
  <c r="J62" i="36"/>
  <c r="K62" i="36"/>
  <c r="L61" i="36" s="1"/>
  <c r="H73" i="36"/>
  <c r="H74" i="36" s="1"/>
  <c r="G74" i="36"/>
  <c r="G75" i="36" s="1"/>
  <c r="L49" i="36"/>
  <c r="L45" i="36"/>
  <c r="L44" i="36"/>
  <c r="L46" i="36"/>
  <c r="L47" i="36"/>
  <c r="E42" i="36" s="1"/>
  <c r="L48" i="36"/>
  <c r="D97" i="36"/>
  <c r="I85" i="36"/>
  <c r="G85" i="36"/>
  <c r="D86" i="36"/>
  <c r="K73" i="36"/>
  <c r="I74" i="36"/>
  <c r="L40" i="36"/>
  <c r="AH39" i="6"/>
  <c r="AG205" i="11" s="1"/>
  <c r="EQ39" i="6"/>
  <c r="EP205" i="11" s="1"/>
  <c r="CM39" i="6"/>
  <c r="CL205" i="11" s="1"/>
  <c r="AW39" i="6"/>
  <c r="AV205" i="11" s="1"/>
  <c r="BM39" i="6"/>
  <c r="BL205" i="11" s="1"/>
  <c r="CH39" i="6"/>
  <c r="CG205" i="11" s="1"/>
  <c r="EH39" i="6"/>
  <c r="EG205" i="11" s="1"/>
  <c r="CE39" i="6"/>
  <c r="CD205" i="11" s="1"/>
  <c r="CB39" i="6"/>
  <c r="CA205" i="11" s="1"/>
  <c r="BI39" i="6"/>
  <c r="BH205" i="11" s="1"/>
  <c r="DT39" i="6"/>
  <c r="DS205" i="11" s="1"/>
  <c r="CK39" i="6"/>
  <c r="CJ205" i="11" s="1"/>
  <c r="DV39" i="6"/>
  <c r="DU205" i="11" s="1"/>
  <c r="BT39" i="6"/>
  <c r="BS205" i="11" s="1"/>
  <c r="CV39" i="6"/>
  <c r="CU205" i="11" s="1"/>
  <c r="DU39" i="6"/>
  <c r="DT205" i="11" s="1"/>
  <c r="AN39" i="6"/>
  <c r="AM205" i="11" s="1"/>
  <c r="CF39" i="6"/>
  <c r="CE205" i="11" s="1"/>
  <c r="M39" i="6"/>
  <c r="D571" i="32" s="1"/>
  <c r="AX39" i="6"/>
  <c r="AW205" i="11" s="1"/>
  <c r="AK39" i="6"/>
  <c r="AJ205" i="11" s="1"/>
  <c r="W39" i="6"/>
  <c r="EC39" i="6"/>
  <c r="EB205" i="11" s="1"/>
  <c r="BH39" i="6"/>
  <c r="BG205" i="11" s="1"/>
  <c r="CD39" i="6"/>
  <c r="CC205" i="11" s="1"/>
  <c r="AM39" i="6"/>
  <c r="AL205" i="11" s="1"/>
  <c r="AU39" i="6"/>
  <c r="AT205" i="11" s="1"/>
  <c r="AR39" i="6"/>
  <c r="Z39" i="6"/>
  <c r="V39" i="6"/>
  <c r="U205" i="11" s="1"/>
  <c r="X39" i="6"/>
  <c r="W205" i="11" s="1"/>
  <c r="BW39" i="6"/>
  <c r="BV205" i="11" s="1"/>
  <c r="EE39" i="6"/>
  <c r="ED205" i="11" s="1"/>
  <c r="BJ39" i="6"/>
  <c r="EM39" i="6"/>
  <c r="EL205" i="11" s="1"/>
  <c r="EL39" i="6"/>
  <c r="EK205" i="11" s="1"/>
  <c r="S39" i="6"/>
  <c r="R205" i="11" s="1"/>
  <c r="BP39" i="6"/>
  <c r="BO205" i="11" s="1"/>
  <c r="DM39" i="6"/>
  <c r="DL205" i="11" s="1"/>
  <c r="AQ39" i="6"/>
  <c r="AP205" i="11" s="1"/>
  <c r="DF39" i="6"/>
  <c r="DE205" i="11" s="1"/>
  <c r="AT39" i="6"/>
  <c r="AS205" i="11" s="1"/>
  <c r="CC39" i="6"/>
  <c r="CB205" i="11" s="1"/>
  <c r="CT39" i="6"/>
  <c r="CS205" i="11" s="1"/>
  <c r="AS39" i="6"/>
  <c r="AR205" i="11" s="1"/>
  <c r="BA39" i="6"/>
  <c r="AZ205" i="11" s="1"/>
  <c r="BR39" i="6"/>
  <c r="BQ205" i="11" s="1"/>
  <c r="BY39" i="6"/>
  <c r="BX205" i="11" s="1"/>
  <c r="Y39" i="6"/>
  <c r="X205" i="11" s="1"/>
  <c r="BQ39" i="6"/>
  <c r="BP205" i="11" s="1"/>
  <c r="CN39" i="6"/>
  <c r="DZ39" i="6"/>
  <c r="DY205" i="11" s="1"/>
  <c r="CI39" i="6"/>
  <c r="CH205" i="11" s="1"/>
  <c r="BX39" i="6"/>
  <c r="BW205" i="11" s="1"/>
  <c r="EA39" i="6"/>
  <c r="DZ205" i="11" s="1"/>
  <c r="DX39" i="6"/>
  <c r="DW205" i="11" s="1"/>
  <c r="EO39" i="6"/>
  <c r="EN205" i="11" s="1"/>
  <c r="EK39" i="6"/>
  <c r="EJ205" i="11" s="1"/>
  <c r="CQ39" i="6"/>
  <c r="CP205" i="11" s="1"/>
  <c r="BF39" i="6"/>
  <c r="BE205" i="11" s="1"/>
  <c r="DN39" i="6"/>
  <c r="DM205" i="11" s="1"/>
  <c r="P39" i="6"/>
  <c r="O205" i="11" s="1"/>
  <c r="EB39" i="6"/>
  <c r="EA205" i="11" s="1"/>
  <c r="EN39" i="6"/>
  <c r="EM205" i="11" s="1"/>
  <c r="DC39" i="6"/>
  <c r="DB205" i="11" s="1"/>
  <c r="N39" i="6"/>
  <c r="O39" i="6"/>
  <c r="N205" i="11" s="1"/>
  <c r="BD39" i="6"/>
  <c r="BC205" i="11" s="1"/>
  <c r="DE39" i="6"/>
  <c r="DD205" i="11" s="1"/>
  <c r="AC39" i="6"/>
  <c r="AV39" i="6"/>
  <c r="AU205" i="11" s="1"/>
  <c r="DH39" i="6"/>
  <c r="DG205" i="11" s="1"/>
  <c r="EP39" i="6"/>
  <c r="EO205" i="11" s="1"/>
  <c r="EJ39" i="6"/>
  <c r="EI205" i="11" s="1"/>
  <c r="DL39" i="6"/>
  <c r="DK205" i="11" s="1"/>
  <c r="CP39" i="6"/>
  <c r="CO205" i="11" s="1"/>
  <c r="R39" i="6"/>
  <c r="Q205" i="11" s="1"/>
  <c r="AY39" i="6"/>
  <c r="AX205" i="11" s="1"/>
  <c r="DR39" i="6"/>
  <c r="DQ205" i="11" s="1"/>
  <c r="BL39" i="6"/>
  <c r="BK205" i="11" s="1"/>
  <c r="DY39" i="6"/>
  <c r="DX205" i="11" s="1"/>
  <c r="DS39" i="6"/>
  <c r="DR205" i="11" s="1"/>
  <c r="U39" i="6"/>
  <c r="T205" i="11" s="1"/>
  <c r="AO39" i="6"/>
  <c r="AN205" i="11" s="1"/>
  <c r="BE39" i="6"/>
  <c r="BD205" i="11" s="1"/>
  <c r="AP39" i="6"/>
  <c r="AO205" i="11" s="1"/>
  <c r="CO39" i="6"/>
  <c r="CN205" i="11" s="1"/>
  <c r="AZ39" i="6"/>
  <c r="AY205" i="11" s="1"/>
  <c r="ED39" i="6"/>
  <c r="EC205" i="11" s="1"/>
  <c r="CG39" i="6"/>
  <c r="CF205" i="11" s="1"/>
  <c r="DW39" i="6"/>
  <c r="DV205" i="11" s="1"/>
  <c r="CY39" i="6"/>
  <c r="CX205" i="11" s="1"/>
  <c r="AB39" i="6"/>
  <c r="AA205" i="11" s="1"/>
  <c r="ER39" i="6"/>
  <c r="EQ205" i="11" s="1"/>
  <c r="CR39" i="6"/>
  <c r="CQ205" i="11" s="1"/>
  <c r="BG39" i="6"/>
  <c r="BF205" i="11" s="1"/>
  <c r="EI39" i="6"/>
  <c r="EH205" i="11" s="1"/>
  <c r="DD39" i="6"/>
  <c r="DC205" i="11" s="1"/>
  <c r="CL39" i="6"/>
  <c r="CK205" i="11" s="1"/>
  <c r="AE39" i="6"/>
  <c r="AD205" i="11" s="1"/>
  <c r="BV39" i="6"/>
  <c r="BU205" i="11" s="1"/>
  <c r="BC39" i="6"/>
  <c r="BB205" i="11" s="1"/>
  <c r="BZ39" i="6"/>
  <c r="BY205" i="11" s="1"/>
  <c r="CZ39" i="6"/>
  <c r="CY205" i="11" s="1"/>
  <c r="AG39" i="6"/>
  <c r="AF205" i="11" s="1"/>
  <c r="AJ39" i="6"/>
  <c r="AI205" i="11" s="1"/>
  <c r="DG39" i="6"/>
  <c r="DF205" i="11" s="1"/>
  <c r="CJ39" i="6"/>
  <c r="CI205" i="11" s="1"/>
  <c r="CW39" i="6"/>
  <c r="CV205" i="11" s="1"/>
  <c r="DP39" i="6"/>
  <c r="DO205" i="11" s="1"/>
  <c r="BO39" i="6"/>
  <c r="BN205" i="11" s="1"/>
  <c r="BS39" i="6"/>
  <c r="BR205" i="11" s="1"/>
  <c r="EG39" i="6"/>
  <c r="EF205" i="11" s="1"/>
  <c r="BB39" i="6"/>
  <c r="BA205" i="11" s="1"/>
  <c r="DA39" i="6"/>
  <c r="CZ205" i="11" s="1"/>
  <c r="BU39" i="6"/>
  <c r="BT205" i="11" s="1"/>
  <c r="CU39" i="6"/>
  <c r="CT205" i="11" s="1"/>
  <c r="CS39" i="6"/>
  <c r="CR205" i="11" s="1"/>
  <c r="AL39" i="6"/>
  <c r="AK205" i="11" s="1"/>
  <c r="DI39" i="6"/>
  <c r="DH205" i="11" s="1"/>
  <c r="AA39" i="6"/>
  <c r="Z205" i="11" s="1"/>
  <c r="CX39" i="6"/>
  <c r="CW205" i="11" s="1"/>
  <c r="DB39" i="6"/>
  <c r="DA205" i="11" s="1"/>
  <c r="Q39" i="6"/>
  <c r="CA39" i="6"/>
  <c r="BZ205" i="11" s="1"/>
  <c r="DQ39" i="6"/>
  <c r="DP205" i="11" s="1"/>
  <c r="BN39" i="6"/>
  <c r="BM205" i="11" s="1"/>
  <c r="DJ39" i="6"/>
  <c r="DI205" i="11" s="1"/>
  <c r="EF39" i="6"/>
  <c r="EE205" i="11" s="1"/>
  <c r="AD39" i="6"/>
  <c r="AC205" i="11" s="1"/>
  <c r="AF39" i="6"/>
  <c r="DK39" i="6"/>
  <c r="DJ205" i="11" s="1"/>
  <c r="T39" i="6"/>
  <c r="AI39" i="6"/>
  <c r="DO39" i="6"/>
  <c r="DN205" i="11" s="1"/>
  <c r="F569" i="32"/>
  <c r="R200" i="11"/>
  <c r="G19" i="30"/>
  <c r="J19" i="35"/>
  <c r="I569" i="32"/>
  <c r="P32" i="16"/>
  <c r="G700" i="32" s="1"/>
  <c r="Y32" i="16"/>
  <c r="P700" i="32" s="1"/>
  <c r="AH200" i="11"/>
  <c r="M19" i="30"/>
  <c r="P19" i="35"/>
  <c r="L569" i="32"/>
  <c r="V200" i="11"/>
  <c r="I19" i="30"/>
  <c r="L19" i="35"/>
  <c r="H569" i="32"/>
  <c r="AB200" i="11"/>
  <c r="K19" i="30"/>
  <c r="N19" i="35"/>
  <c r="J569" i="32"/>
  <c r="H19" i="30"/>
  <c r="K19" i="35"/>
  <c r="G569" i="32"/>
  <c r="T200" i="11"/>
  <c r="Z200" i="11"/>
  <c r="M19" i="35"/>
  <c r="J19" i="30"/>
  <c r="F19" i="30"/>
  <c r="I19" i="35"/>
  <c r="E569" i="32"/>
  <c r="N32" i="16"/>
  <c r="E700" i="32" s="1"/>
  <c r="M200" i="11"/>
  <c r="DE200" i="11"/>
  <c r="AD32" i="16"/>
  <c r="U700" i="32" s="1"/>
  <c r="AF200" i="11"/>
  <c r="L19" i="30"/>
  <c r="O19" i="35"/>
  <c r="K569" i="32"/>
  <c r="D569" i="32"/>
  <c r="M32" i="16"/>
  <c r="K38" i="6"/>
  <c r="L200" i="11"/>
  <c r="BQ200" i="11"/>
  <c r="W32" i="16"/>
  <c r="N700" i="32" s="1"/>
  <c r="Z32" i="16"/>
  <c r="Q700" i="32" s="1"/>
  <c r="CH200" i="11"/>
  <c r="V32" i="16"/>
  <c r="M700" i="32" s="1"/>
  <c r="BI200" i="11"/>
  <c r="AE200" i="11"/>
  <c r="Q32" i="16"/>
  <c r="AQ200" i="11"/>
  <c r="S32" i="16"/>
  <c r="J700" i="32" s="1"/>
  <c r="U32" i="16"/>
  <c r="L700" i="32" s="1"/>
  <c r="BC200" i="11"/>
  <c r="S200" i="11"/>
  <c r="O32" i="16"/>
  <c r="AA32" i="16"/>
  <c r="R700" i="32" s="1"/>
  <c r="CM200" i="11"/>
  <c r="AX200" i="11"/>
  <c r="T32" i="16"/>
  <c r="K700" i="32" s="1"/>
  <c r="X32" i="16"/>
  <c r="BV200" i="11"/>
  <c r="R32" i="16"/>
  <c r="AL200" i="11"/>
  <c r="ED200" i="11"/>
  <c r="AH32" i="16"/>
  <c r="AF32" i="16"/>
  <c r="W700" i="32" s="1"/>
  <c r="DQ200" i="11"/>
  <c r="CS200" i="11"/>
  <c r="AB32" i="16"/>
  <c r="S700" i="32" s="1"/>
  <c r="EI200" i="11"/>
  <c r="AI32" i="16"/>
  <c r="EO200" i="11"/>
  <c r="AJ32" i="16"/>
  <c r="AC32" i="16"/>
  <c r="T700" i="32" s="1"/>
  <c r="CZ200" i="11"/>
  <c r="EB200" i="11"/>
  <c r="AG32" i="16"/>
  <c r="X700" i="32" s="1"/>
  <c r="DM200" i="11"/>
  <c r="AE32" i="16"/>
  <c r="V700" i="32" s="1"/>
  <c r="AO40" i="6"/>
  <c r="BR40" i="6"/>
  <c r="BA40" i="6"/>
  <c r="CI40" i="6"/>
  <c r="EF40" i="6"/>
  <c r="DS40" i="6"/>
  <c r="EH40" i="6"/>
  <c r="DX40" i="6"/>
  <c r="V40" i="6"/>
  <c r="CC40" i="6"/>
  <c r="P40" i="6"/>
  <c r="Q40" i="6"/>
  <c r="T40" i="6"/>
  <c r="DD40" i="6"/>
  <c r="BX40" i="6"/>
  <c r="BS40" i="6"/>
  <c r="AG40" i="6"/>
  <c r="AT40" i="6"/>
  <c r="BD40" i="6"/>
  <c r="BP40" i="6"/>
  <c r="BM40" i="6"/>
  <c r="DR40" i="6"/>
  <c r="BH40" i="6"/>
  <c r="BB40" i="6"/>
  <c r="EI40" i="6"/>
  <c r="BY40" i="6"/>
  <c r="BE40" i="6"/>
  <c r="EK40" i="6"/>
  <c r="Y40" i="6"/>
  <c r="BO40" i="6"/>
  <c r="DV40" i="6"/>
  <c r="CM40" i="6"/>
  <c r="AS40" i="6"/>
  <c r="CF40" i="6"/>
  <c r="BI40" i="6"/>
  <c r="DF40" i="6"/>
  <c r="Z40" i="6"/>
  <c r="ED40" i="6"/>
  <c r="CA40" i="6"/>
  <c r="AI40" i="6"/>
  <c r="AN40" i="6"/>
  <c r="ER40" i="6"/>
  <c r="DT40" i="6"/>
  <c r="S40" i="6"/>
  <c r="R40" i="6"/>
  <c r="CR40" i="6"/>
  <c r="BT40" i="6"/>
  <c r="BQ40" i="6"/>
  <c r="AD40" i="6"/>
  <c r="N40" i="6"/>
  <c r="AW40" i="6"/>
  <c r="BG40" i="6"/>
  <c r="DL40" i="6"/>
  <c r="DU40" i="6"/>
  <c r="CW40" i="6"/>
  <c r="DA40" i="6"/>
  <c r="AK40" i="6"/>
  <c r="BC40" i="6"/>
  <c r="CJ40" i="6"/>
  <c r="CP40" i="6"/>
  <c r="CO210" i="11" s="1"/>
  <c r="AH40" i="6"/>
  <c r="AG210" i="11" s="1"/>
  <c r="AF40" i="6"/>
  <c r="DC40" i="6"/>
  <c r="DB210" i="11" s="1"/>
  <c r="AR40" i="6"/>
  <c r="BZ40" i="6"/>
  <c r="CY40" i="6"/>
  <c r="AE40" i="6"/>
  <c r="CG40" i="6"/>
  <c r="CF210" i="11" s="1"/>
  <c r="EA40" i="6"/>
  <c r="DM40" i="6"/>
  <c r="DJ40" i="6"/>
  <c r="EN40" i="6"/>
  <c r="X40" i="6"/>
  <c r="DH40" i="6"/>
  <c r="DG210" i="11" s="1"/>
  <c r="EO40" i="6"/>
  <c r="CQ40" i="6"/>
  <c r="CP210" i="11" s="1"/>
  <c r="DP40" i="6"/>
  <c r="O40" i="6"/>
  <c r="BJ40" i="6"/>
  <c r="M40" i="6"/>
  <c r="AU40" i="6"/>
  <c r="CB40" i="6"/>
  <c r="DB40" i="6"/>
  <c r="AZ40" i="6"/>
  <c r="BF40" i="6"/>
  <c r="CU40" i="6"/>
  <c r="BW40" i="6"/>
  <c r="DI40" i="6"/>
  <c r="DH210" i="11" s="1"/>
  <c r="EQ40" i="6"/>
  <c r="CK40" i="6"/>
  <c r="CJ210" i="11" s="1"/>
  <c r="DY40" i="6"/>
  <c r="EE40" i="6"/>
  <c r="ED210" i="11" s="1"/>
  <c r="EC40" i="6"/>
  <c r="CO40" i="6"/>
  <c r="CN210" i="11" s="1"/>
  <c r="CZ40" i="6"/>
  <c r="AY40" i="6"/>
  <c r="DO40" i="6"/>
  <c r="DN210" i="11" s="1"/>
  <c r="AB40" i="6"/>
  <c r="AX40" i="6"/>
  <c r="CD40" i="6"/>
  <c r="CC210" i="11" s="1"/>
  <c r="BU40" i="6"/>
  <c r="CL40" i="6"/>
  <c r="CK210" i="11" s="1"/>
  <c r="DK40" i="6"/>
  <c r="DJ210" i="11" s="1"/>
  <c r="CN40" i="6"/>
  <c r="AV40" i="6"/>
  <c r="AC40" i="6"/>
  <c r="AM40" i="6"/>
  <c r="AL210" i="11" s="1"/>
  <c r="AL40" i="6"/>
  <c r="CS40" i="6"/>
  <c r="AQ40" i="6"/>
  <c r="AP210" i="11" s="1"/>
  <c r="AA40" i="6"/>
  <c r="DQ40" i="6"/>
  <c r="DP210" i="11" s="1"/>
  <c r="EL40" i="6"/>
  <c r="EK210" i="11" s="1"/>
  <c r="EJ40" i="6"/>
  <c r="BV40" i="6"/>
  <c r="BL40" i="6"/>
  <c r="BK210" i="11" s="1"/>
  <c r="CT40" i="6"/>
  <c r="DW40" i="6"/>
  <c r="DV210" i="11" s="1"/>
  <c r="DN40" i="6"/>
  <c r="AJ40" i="6"/>
  <c r="AI210" i="11" s="1"/>
  <c r="AP40" i="6"/>
  <c r="AO210" i="11" s="1"/>
  <c r="CV40" i="6"/>
  <c r="CX40" i="6"/>
  <c r="CW210" i="11" s="1"/>
  <c r="EG40" i="6"/>
  <c r="EF210" i="11" s="1"/>
  <c r="DG40" i="6"/>
  <c r="DF210" i="11" s="1"/>
  <c r="DZ40" i="6"/>
  <c r="DY210" i="11" s="1"/>
  <c r="CH40" i="6"/>
  <c r="EB40" i="6"/>
  <c r="EA210" i="11" s="1"/>
  <c r="BN40" i="6"/>
  <c r="BM210" i="11" s="1"/>
  <c r="CE40" i="6"/>
  <c r="DE40" i="6"/>
  <c r="DD210" i="11" s="1"/>
  <c r="EP40" i="6"/>
  <c r="BK40" i="6"/>
  <c r="BJ210" i="11" s="1"/>
  <c r="EM40" i="6"/>
  <c r="EL210" i="11" s="1"/>
  <c r="W40" i="6"/>
  <c r="AQ205" i="11"/>
  <c r="Y205" i="11"/>
  <c r="CM205" i="11"/>
  <c r="O228" i="11"/>
  <c r="O229" i="11" s="1"/>
  <c r="N18" i="15"/>
  <c r="E642" i="32" s="1"/>
  <c r="P159" i="11"/>
  <c r="P221" i="11"/>
  <c r="N22" i="15"/>
  <c r="E645" i="32" s="1"/>
  <c r="O76" i="11"/>
  <c r="P26" i="6"/>
  <c r="N90" i="11"/>
  <c r="N81" i="11"/>
  <c r="N264" i="11"/>
  <c r="N55" i="19"/>
  <c r="N112" i="5"/>
  <c r="N269" i="11"/>
  <c r="P216" i="11"/>
  <c r="N21" i="15"/>
  <c r="E644" i="32" s="1"/>
  <c r="J70" i="36" l="1"/>
  <c r="J69" i="36"/>
  <c r="J71" i="36"/>
  <c r="J74" i="36"/>
  <c r="J72" i="36"/>
  <c r="J67" i="36"/>
  <c r="J68" i="36"/>
  <c r="J66" i="36"/>
  <c r="H85" i="36"/>
  <c r="H86" i="36" s="1"/>
  <c r="G86" i="36"/>
  <c r="G87" i="36" s="1"/>
  <c r="L59" i="36"/>
  <c r="L55" i="36"/>
  <c r="L57" i="36"/>
  <c r="L58" i="36"/>
  <c r="E53" i="36" s="1"/>
  <c r="D105" i="36" s="1"/>
  <c r="L60" i="36"/>
  <c r="L56" i="36"/>
  <c r="K85" i="36"/>
  <c r="I86" i="36"/>
  <c r="J85" i="36" s="1"/>
  <c r="G97" i="36"/>
  <c r="I97" i="36"/>
  <c r="D98" i="36"/>
  <c r="I63" i="36"/>
  <c r="J63" i="36" s="1"/>
  <c r="L51" i="36"/>
  <c r="K74" i="36"/>
  <c r="L73" i="36" s="1"/>
  <c r="J73" i="36"/>
  <c r="L20" i="30"/>
  <c r="AB205" i="11"/>
  <c r="K20" i="30"/>
  <c r="I20" i="30"/>
  <c r="M205" i="11"/>
  <c r="F20" i="30"/>
  <c r="J20" i="30"/>
  <c r="G20" i="30"/>
  <c r="M20" i="30"/>
  <c r="S205" i="11"/>
  <c r="H20" i="30"/>
  <c r="V33" i="16"/>
  <c r="M702" i="32" s="1"/>
  <c r="H571" i="32"/>
  <c r="D19" i="35"/>
  <c r="M33" i="16"/>
  <c r="D702" i="32" s="1"/>
  <c r="BI205" i="11"/>
  <c r="L205" i="11"/>
  <c r="L206" i="11" s="1"/>
  <c r="X33" i="16"/>
  <c r="O702" i="32" s="1"/>
  <c r="V205" i="11"/>
  <c r="S33" i="16"/>
  <c r="J702" i="32" s="1"/>
  <c r="E571" i="32"/>
  <c r="AG33" i="16"/>
  <c r="X702" i="32" s="1"/>
  <c r="T33" i="16"/>
  <c r="K702" i="32" s="1"/>
  <c r="AI33" i="16"/>
  <c r="U33" i="16"/>
  <c r="L702" i="32" s="1"/>
  <c r="Y33" i="16"/>
  <c r="P702" i="32" s="1"/>
  <c r="AC33" i="16"/>
  <c r="T702" i="32" s="1"/>
  <c r="F571" i="32"/>
  <c r="N33" i="16"/>
  <c r="E702" i="32" s="1"/>
  <c r="P205" i="11"/>
  <c r="AD33" i="16"/>
  <c r="U702" i="32" s="1"/>
  <c r="O33" i="16"/>
  <c r="F702" i="32" s="1"/>
  <c r="AH33" i="16"/>
  <c r="K571" i="32"/>
  <c r="AE205" i="11"/>
  <c r="R33" i="16"/>
  <c r="I702" i="32" s="1"/>
  <c r="W33" i="16"/>
  <c r="N702" i="32" s="1"/>
  <c r="AJ33" i="16"/>
  <c r="J571" i="32"/>
  <c r="AF33" i="16"/>
  <c r="W702" i="32" s="1"/>
  <c r="AA33" i="16"/>
  <c r="R702" i="32" s="1"/>
  <c r="G571" i="32"/>
  <c r="AE33" i="16"/>
  <c r="V702" i="32" s="1"/>
  <c r="Q33" i="16"/>
  <c r="H702" i="32" s="1"/>
  <c r="P33" i="16"/>
  <c r="G702" i="32" s="1"/>
  <c r="I571" i="32"/>
  <c r="AB33" i="16"/>
  <c r="S702" i="32" s="1"/>
  <c r="Z33" i="16"/>
  <c r="Q702" i="32" s="1"/>
  <c r="L571" i="32"/>
  <c r="K39" i="6"/>
  <c r="AH205" i="11"/>
  <c r="J139" i="32"/>
  <c r="O700" i="32"/>
  <c r="G139" i="32"/>
  <c r="I700" i="32"/>
  <c r="M139" i="32"/>
  <c r="C569" i="32"/>
  <c r="H139" i="32"/>
  <c r="EG210" i="11"/>
  <c r="DW210" i="11"/>
  <c r="CB210" i="11"/>
  <c r="O210" i="11"/>
  <c r="AF210" i="11"/>
  <c r="BZ210" i="11"/>
  <c r="H19" i="35"/>
  <c r="I139" i="32"/>
  <c r="E19" i="30"/>
  <c r="D139" i="32"/>
  <c r="D700" i="32"/>
  <c r="DE210" i="11"/>
  <c r="EC210" i="11"/>
  <c r="AQ210" i="11"/>
  <c r="BY210" i="11"/>
  <c r="CX210" i="11"/>
  <c r="AD210" i="11"/>
  <c r="DI210" i="11"/>
  <c r="EM210" i="11"/>
  <c r="DX210" i="11"/>
  <c r="AX210" i="11"/>
  <c r="K32" i="16"/>
  <c r="K87" i="16" s="1"/>
  <c r="K88" i="16" s="1"/>
  <c r="L139" i="32"/>
  <c r="K139" i="32"/>
  <c r="N139" i="32"/>
  <c r="CH210" i="11"/>
  <c r="EE210" i="11"/>
  <c r="DR210" i="11"/>
  <c r="P210" i="11"/>
  <c r="S210" i="11"/>
  <c r="G570" i="32"/>
  <c r="K20" i="35"/>
  <c r="K29" i="35" s="1"/>
  <c r="DC210" i="11"/>
  <c r="AS210" i="11"/>
  <c r="BO210" i="11"/>
  <c r="DQ210" i="11"/>
  <c r="CL210" i="11"/>
  <c r="AR210" i="11"/>
  <c r="BH210" i="11"/>
  <c r="L201" i="11"/>
  <c r="J200" i="11"/>
  <c r="H700" i="32"/>
  <c r="F139" i="32"/>
  <c r="F700" i="32"/>
  <c r="E139" i="32"/>
  <c r="AN210" i="11"/>
  <c r="BQ210" i="11"/>
  <c r="AZ210" i="11"/>
  <c r="U210" i="11"/>
  <c r="BR210" i="11"/>
  <c r="BC210" i="11"/>
  <c r="BL210" i="11"/>
  <c r="BG210" i="11"/>
  <c r="BA210" i="11"/>
  <c r="EH210" i="11"/>
  <c r="EJ210" i="11"/>
  <c r="X210" i="11"/>
  <c r="BN210" i="11"/>
  <c r="DU210" i="11"/>
  <c r="Y210" i="11"/>
  <c r="AH210" i="11"/>
  <c r="EQ210" i="11"/>
  <c r="DS210" i="11"/>
  <c r="R210" i="11"/>
  <c r="CQ210" i="11"/>
  <c r="BP210" i="11"/>
  <c r="W34" i="16"/>
  <c r="N701" i="32" s="1"/>
  <c r="CY210" i="11"/>
  <c r="AA210" i="11"/>
  <c r="AB210" i="11"/>
  <c r="CS210" i="11"/>
  <c r="DM210" i="11"/>
  <c r="CU210" i="11"/>
  <c r="BW210" i="11"/>
  <c r="BX210" i="11"/>
  <c r="BD210" i="11"/>
  <c r="CE210" i="11"/>
  <c r="AM210" i="11"/>
  <c r="Q210" i="11"/>
  <c r="BS210" i="11"/>
  <c r="AC210" i="11"/>
  <c r="M210" i="11"/>
  <c r="N34" i="16"/>
  <c r="AV210" i="11"/>
  <c r="BF210" i="11"/>
  <c r="DK210" i="11"/>
  <c r="DT210" i="11"/>
  <c r="CV210" i="11"/>
  <c r="CZ210" i="11"/>
  <c r="AJ210" i="11"/>
  <c r="BB210" i="11"/>
  <c r="CI210" i="11"/>
  <c r="AE210" i="11"/>
  <c r="DZ210" i="11"/>
  <c r="DL210" i="11"/>
  <c r="W210" i="11"/>
  <c r="EN210" i="11"/>
  <c r="DO210" i="11"/>
  <c r="N210" i="11"/>
  <c r="BI210" i="11"/>
  <c r="D570" i="32"/>
  <c r="D568" i="32" s="1"/>
  <c r="L210" i="11"/>
  <c r="L211" i="11" s="1"/>
  <c r="AT210" i="11"/>
  <c r="S34" i="16"/>
  <c r="J701" i="32" s="1"/>
  <c r="DA210" i="11"/>
  <c r="AY210" i="11"/>
  <c r="BE210" i="11"/>
  <c r="U34" i="16"/>
  <c r="L701" i="32" s="1"/>
  <c r="CT210" i="11"/>
  <c r="AB34" i="16"/>
  <c r="S701" i="32" s="1"/>
  <c r="BV210" i="11"/>
  <c r="EP210" i="11"/>
  <c r="EB210" i="11"/>
  <c r="AW210" i="11"/>
  <c r="BT210" i="11"/>
  <c r="CM210" i="11"/>
  <c r="AU210" i="11"/>
  <c r="R34" i="16"/>
  <c r="I701" i="32" s="1"/>
  <c r="AK210" i="11"/>
  <c r="CR210" i="11"/>
  <c r="Z210" i="11"/>
  <c r="BU210" i="11"/>
  <c r="X34" i="16"/>
  <c r="O701" i="32" s="1"/>
  <c r="CD210" i="11"/>
  <c r="EO210" i="11"/>
  <c r="CA210" i="11"/>
  <c r="Q34" i="16"/>
  <c r="H701" i="32" s="1"/>
  <c r="J20" i="35"/>
  <c r="J29" i="35" s="1"/>
  <c r="F570" i="32"/>
  <c r="I20" i="35"/>
  <c r="I29" i="35" s="1"/>
  <c r="K570" i="32"/>
  <c r="AA34" i="16"/>
  <c r="R701" i="32" s="1"/>
  <c r="AF34" i="16"/>
  <c r="W701" i="32" s="1"/>
  <c r="L20" i="35"/>
  <c r="L29" i="35" s="1"/>
  <c r="AJ34" i="16"/>
  <c r="E570" i="32"/>
  <c r="O34" i="16"/>
  <c r="F701" i="32" s="1"/>
  <c r="O20" i="35"/>
  <c r="O29" i="35" s="1"/>
  <c r="AD34" i="16"/>
  <c r="U701" i="32" s="1"/>
  <c r="P34" i="16"/>
  <c r="J570" i="32"/>
  <c r="AC34" i="16"/>
  <c r="T701" i="32" s="1"/>
  <c r="L570" i="32"/>
  <c r="AE34" i="16"/>
  <c r="V701" i="32" s="1"/>
  <c r="AG34" i="16"/>
  <c r="X701" i="32" s="1"/>
  <c r="Y34" i="16"/>
  <c r="P701" i="32" s="1"/>
  <c r="AH34" i="16"/>
  <c r="CG210" i="11"/>
  <c r="N20" i="35"/>
  <c r="N29" i="35" s="1"/>
  <c r="T34" i="16"/>
  <c r="K701" i="32" s="1"/>
  <c r="EI210" i="11"/>
  <c r="M34" i="16"/>
  <c r="V34" i="16"/>
  <c r="M701" i="32" s="1"/>
  <c r="M20" i="35"/>
  <c r="M29" i="35" s="1"/>
  <c r="P20" i="35"/>
  <c r="P29" i="35" s="1"/>
  <c r="AI34" i="16"/>
  <c r="H570" i="32"/>
  <c r="K40" i="6"/>
  <c r="I570" i="32"/>
  <c r="V210" i="11"/>
  <c r="Z34" i="16"/>
  <c r="Q701" i="32" s="1"/>
  <c r="E566" i="32"/>
  <c r="I15" i="35"/>
  <c r="F15" i="30"/>
  <c r="D141" i="32"/>
  <c r="P226" i="11"/>
  <c r="N23" i="15"/>
  <c r="O80" i="11"/>
  <c r="O78" i="11"/>
  <c r="P218" i="11"/>
  <c r="P219" i="11" s="1"/>
  <c r="N48" i="19"/>
  <c r="N271" i="11"/>
  <c r="N272" i="11" s="1"/>
  <c r="N56" i="19"/>
  <c r="O53" i="19" s="1"/>
  <c r="P223" i="11"/>
  <c r="P224" i="11" s="1"/>
  <c r="P227" i="11"/>
  <c r="N266" i="11"/>
  <c r="N267" i="11" s="1"/>
  <c r="P161" i="11"/>
  <c r="P162" i="11" s="1"/>
  <c r="P63" i="6"/>
  <c r="I75" i="36" l="1"/>
  <c r="J75" i="36" s="1"/>
  <c r="K97" i="36"/>
  <c r="I98" i="36"/>
  <c r="J97" i="36" s="1"/>
  <c r="H97" i="36"/>
  <c r="H98" i="36" s="1"/>
  <c r="G98" i="36"/>
  <c r="G99" i="36" s="1"/>
  <c r="J86" i="36"/>
  <c r="J84" i="36"/>
  <c r="J80" i="36"/>
  <c r="J83" i="36"/>
  <c r="J79" i="36"/>
  <c r="J81" i="36"/>
  <c r="J82" i="36"/>
  <c r="J78" i="36"/>
  <c r="K86" i="36"/>
  <c r="L85" i="36" s="1"/>
  <c r="L70" i="36"/>
  <c r="L71" i="36"/>
  <c r="L72" i="36"/>
  <c r="L68" i="36"/>
  <c r="L66" i="36"/>
  <c r="L67" i="36"/>
  <c r="L69" i="36"/>
  <c r="L62" i="36"/>
  <c r="H29" i="35"/>
  <c r="E19" i="35"/>
  <c r="H568" i="32"/>
  <c r="M699" i="32"/>
  <c r="K568" i="32"/>
  <c r="J699" i="32"/>
  <c r="E568" i="32"/>
  <c r="G141" i="32"/>
  <c r="J205" i="11"/>
  <c r="H141" i="32"/>
  <c r="X699" i="32"/>
  <c r="K699" i="32"/>
  <c r="I141" i="32"/>
  <c r="W699" i="32"/>
  <c r="P699" i="32"/>
  <c r="T699" i="32"/>
  <c r="L699" i="32"/>
  <c r="N141" i="32"/>
  <c r="J141" i="32"/>
  <c r="F568" i="32"/>
  <c r="R699" i="32"/>
  <c r="U699" i="32"/>
  <c r="M141" i="32"/>
  <c r="E141" i="32"/>
  <c r="J568" i="32"/>
  <c r="N699" i="32"/>
  <c r="K141" i="32"/>
  <c r="C571" i="32"/>
  <c r="I568" i="32"/>
  <c r="L141" i="32"/>
  <c r="S699" i="32"/>
  <c r="C702" i="32"/>
  <c r="K33" i="16"/>
  <c r="G568" i="32"/>
  <c r="F141" i="32"/>
  <c r="V699" i="32"/>
  <c r="L568" i="32"/>
  <c r="Q699" i="32"/>
  <c r="D20" i="35"/>
  <c r="E20" i="35" s="1"/>
  <c r="I699" i="32"/>
  <c r="O699" i="32"/>
  <c r="C700" i="32"/>
  <c r="I140" i="32"/>
  <c r="H699" i="32"/>
  <c r="F699" i="32"/>
  <c r="H140" i="32"/>
  <c r="L140" i="32"/>
  <c r="J140" i="32"/>
  <c r="L36" i="5"/>
  <c r="L202" i="11"/>
  <c r="M199" i="11" s="1"/>
  <c r="M201" i="11" s="1"/>
  <c r="C139" i="32"/>
  <c r="G140" i="32"/>
  <c r="M140" i="32"/>
  <c r="N140" i="32"/>
  <c r="K140" i="32"/>
  <c r="E701" i="32"/>
  <c r="E699" i="32" s="1"/>
  <c r="E140" i="32"/>
  <c r="G701" i="32"/>
  <c r="G699" i="32" s="1"/>
  <c r="F140" i="32"/>
  <c r="D140" i="32"/>
  <c r="D138" i="32" s="1"/>
  <c r="J210" i="11"/>
  <c r="K34" i="16"/>
  <c r="D701" i="32"/>
  <c r="H20" i="35"/>
  <c r="C570" i="32"/>
  <c r="E20" i="30"/>
  <c r="I27" i="35"/>
  <c r="N20" i="15"/>
  <c r="E646" i="32"/>
  <c r="L207" i="11"/>
  <c r="M204" i="11" s="1"/>
  <c r="L37" i="5"/>
  <c r="D608" i="32" s="1"/>
  <c r="L212" i="11"/>
  <c r="M209" i="11" s="1"/>
  <c r="L38" i="5"/>
  <c r="D607" i="32" s="1"/>
  <c r="P228" i="11"/>
  <c r="P229" i="11" s="1"/>
  <c r="O23" i="15" s="1"/>
  <c r="O264" i="11"/>
  <c r="Q216" i="11"/>
  <c r="O21" i="15"/>
  <c r="Q159" i="11"/>
  <c r="O18" i="15"/>
  <c r="O112" i="5"/>
  <c r="Q26" i="6"/>
  <c r="O79" i="11"/>
  <c r="O90" i="11"/>
  <c r="O81" i="11"/>
  <c r="O269" i="11"/>
  <c r="O55" i="19"/>
  <c r="O56" i="19" s="1"/>
  <c r="P53" i="19" s="1"/>
  <c r="O22" i="15"/>
  <c r="Q221" i="11"/>
  <c r="I87" i="36" l="1"/>
  <c r="J87" i="36" s="1"/>
  <c r="L74" i="36"/>
  <c r="L80" i="36"/>
  <c r="L84" i="36"/>
  <c r="L78" i="36"/>
  <c r="L79" i="36"/>
  <c r="L81" i="36"/>
  <c r="L82" i="36"/>
  <c r="L83" i="36"/>
  <c r="J92" i="36"/>
  <c r="J90" i="36"/>
  <c r="J91" i="36"/>
  <c r="J93" i="36"/>
  <c r="J94" i="36"/>
  <c r="J95" i="36"/>
  <c r="J96" i="36"/>
  <c r="J98" i="36"/>
  <c r="E64" i="36"/>
  <c r="E105" i="36" s="1"/>
  <c r="C105" i="36" s="1"/>
  <c r="F105" i="36" s="1"/>
  <c r="G105" i="36" s="1"/>
  <c r="I14" i="19" s="1"/>
  <c r="I15" i="19" s="1"/>
  <c r="K98" i="36"/>
  <c r="L97" i="36" s="1"/>
  <c r="G908" i="32"/>
  <c r="G927" i="32" s="1"/>
  <c r="K908" i="32"/>
  <c r="K927" i="32" s="1"/>
  <c r="E908" i="32"/>
  <c r="E927" i="32" s="1"/>
  <c r="D29" i="35"/>
  <c r="L908" i="32"/>
  <c r="L927" i="32" s="1"/>
  <c r="F908" i="32"/>
  <c r="F927" i="32" s="1"/>
  <c r="H138" i="32"/>
  <c r="J908" i="32"/>
  <c r="J927" i="32" s="1"/>
  <c r="H908" i="32"/>
  <c r="H927" i="32" s="1"/>
  <c r="G138" i="32"/>
  <c r="N138" i="32"/>
  <c r="I138" i="32"/>
  <c r="J138" i="32"/>
  <c r="I908" i="32"/>
  <c r="I927" i="32" s="1"/>
  <c r="M138" i="32"/>
  <c r="K138" i="32"/>
  <c r="C141" i="32"/>
  <c r="C568" i="32"/>
  <c r="F138" i="32"/>
  <c r="L138" i="32"/>
  <c r="C908" i="32"/>
  <c r="C927" i="32" s="1"/>
  <c r="C701" i="32"/>
  <c r="D908" i="32"/>
  <c r="D927" i="32" s="1"/>
  <c r="L31" i="17"/>
  <c r="D737" i="32" s="1"/>
  <c r="L31" i="26"/>
  <c r="D176" i="32" s="1"/>
  <c r="D606" i="32"/>
  <c r="D605" i="32" s="1"/>
  <c r="E138" i="32"/>
  <c r="C140" i="32"/>
  <c r="D699" i="32"/>
  <c r="C699" i="32" s="1"/>
  <c r="D27" i="35"/>
  <c r="K29" i="15"/>
  <c r="D651" i="32" s="1"/>
  <c r="M202" i="11"/>
  <c r="M36" i="5"/>
  <c r="L33" i="17"/>
  <c r="D738" i="32" s="1"/>
  <c r="L33" i="26"/>
  <c r="D177" i="32" s="1"/>
  <c r="L32" i="26"/>
  <c r="D178" i="32" s="1"/>
  <c r="L32" i="17"/>
  <c r="D739" i="32" s="1"/>
  <c r="L34" i="5"/>
  <c r="M206" i="11"/>
  <c r="M37" i="5" s="1"/>
  <c r="M211" i="11"/>
  <c r="M38" i="5" s="1"/>
  <c r="Q226" i="11"/>
  <c r="P76" i="11"/>
  <c r="P55" i="19"/>
  <c r="P56" i="19" s="1"/>
  <c r="Q53" i="19" s="1"/>
  <c r="O48" i="19"/>
  <c r="O20" i="15"/>
  <c r="Q218" i="11"/>
  <c r="Q219" i="11" s="1"/>
  <c r="Q63" i="6"/>
  <c r="O266" i="11"/>
  <c r="O267" i="11" s="1"/>
  <c r="Q227" i="11"/>
  <c r="Q223" i="11"/>
  <c r="Q224" i="11" s="1"/>
  <c r="O271" i="11"/>
  <c r="O272" i="11" s="1"/>
  <c r="Q161" i="11"/>
  <c r="Q162" i="11" s="1"/>
  <c r="E76" i="36" l="1"/>
  <c r="I99" i="36"/>
  <c r="J99" i="36" s="1"/>
  <c r="L96" i="36"/>
  <c r="L92" i="36"/>
  <c r="L90" i="36"/>
  <c r="L91" i="36"/>
  <c r="L94" i="36"/>
  <c r="L93" i="36"/>
  <c r="L95" i="36"/>
  <c r="L86" i="36"/>
  <c r="C138" i="32"/>
  <c r="M927" i="32"/>
  <c r="M908" i="32"/>
  <c r="D736" i="32"/>
  <c r="L29" i="17"/>
  <c r="D175" i="32"/>
  <c r="L29" i="26"/>
  <c r="M207" i="11"/>
  <c r="N204" i="11" s="1"/>
  <c r="N206" i="11" s="1"/>
  <c r="N37" i="5" s="1"/>
  <c r="M212" i="11"/>
  <c r="N209" i="11" s="1"/>
  <c r="N211" i="11" s="1"/>
  <c r="N212" i="11" s="1"/>
  <c r="O209" i="11" s="1"/>
  <c r="M34" i="5"/>
  <c r="N199" i="11"/>
  <c r="N201" i="11" s="1"/>
  <c r="K24" i="18"/>
  <c r="D782" i="32" s="1"/>
  <c r="Q228" i="11"/>
  <c r="Q229" i="11" s="1"/>
  <c r="P23" i="15" s="1"/>
  <c r="P18" i="15"/>
  <c r="R159" i="11"/>
  <c r="P269" i="11"/>
  <c r="Q55" i="19"/>
  <c r="Q56" i="19" s="1"/>
  <c r="R53" i="19" s="1"/>
  <c r="R26" i="6"/>
  <c r="P80" i="11"/>
  <c r="P78" i="11"/>
  <c r="P79" i="11" s="1"/>
  <c r="R221" i="11"/>
  <c r="P22" i="15"/>
  <c r="P21" i="15"/>
  <c r="R216" i="11"/>
  <c r="P264" i="11"/>
  <c r="CD15" i="19" l="1"/>
  <c r="CD22" i="19" s="1"/>
  <c r="Y15" i="19"/>
  <c r="Y22" i="19" s="1"/>
  <c r="DQ15" i="19"/>
  <c r="DQ22" i="19" s="1"/>
  <c r="ED15" i="19"/>
  <c r="ED22" i="19" s="1"/>
  <c r="DL15" i="19"/>
  <c r="DL22" i="19" s="1"/>
  <c r="DC15" i="19"/>
  <c r="DC22" i="19" s="1"/>
  <c r="C149" i="21"/>
  <c r="BM15" i="19"/>
  <c r="BM22" i="19" s="1"/>
  <c r="W15" i="19"/>
  <c r="W22" i="19" s="1"/>
  <c r="EO15" i="19"/>
  <c r="EO22" i="19" s="1"/>
  <c r="EE15" i="19"/>
  <c r="EE22" i="19" s="1"/>
  <c r="BF15" i="19"/>
  <c r="BF22" i="19" s="1"/>
  <c r="AN15" i="19"/>
  <c r="AN22" i="19" s="1"/>
  <c r="AV15" i="19"/>
  <c r="AV22" i="19" s="1"/>
  <c r="CT15" i="19"/>
  <c r="CT22" i="19" s="1"/>
  <c r="AC15" i="19"/>
  <c r="AC22" i="19" s="1"/>
  <c r="DN15" i="19"/>
  <c r="DN22" i="19" s="1"/>
  <c r="DV15" i="19"/>
  <c r="DV22" i="19" s="1"/>
  <c r="EA15" i="19"/>
  <c r="EA22" i="19" s="1"/>
  <c r="AT15" i="19"/>
  <c r="AT22" i="19" s="1"/>
  <c r="CX15" i="19"/>
  <c r="CX22" i="19" s="1"/>
  <c r="BL15" i="19"/>
  <c r="BL22" i="19" s="1"/>
  <c r="CQ15" i="19"/>
  <c r="CQ22" i="19" s="1"/>
  <c r="EG15" i="19"/>
  <c r="EG22" i="19" s="1"/>
  <c r="CB15" i="19"/>
  <c r="CB22" i="19" s="1"/>
  <c r="Z15" i="19"/>
  <c r="Z22" i="19" s="1"/>
  <c r="BI15" i="19"/>
  <c r="BI22" i="19" s="1"/>
  <c r="EL15" i="19"/>
  <c r="EL22" i="19" s="1"/>
  <c r="BS15" i="19"/>
  <c r="BS22" i="19" s="1"/>
  <c r="DW15" i="19"/>
  <c r="DW22" i="19" s="1"/>
  <c r="CU15" i="19"/>
  <c r="CU22" i="19" s="1"/>
  <c r="AM15" i="19"/>
  <c r="AM22" i="19" s="1"/>
  <c r="DO15" i="19"/>
  <c r="DO22" i="19" s="1"/>
  <c r="AO15" i="19"/>
  <c r="AO22" i="19" s="1"/>
  <c r="AE15" i="19"/>
  <c r="AE22" i="19" s="1"/>
  <c r="BW15" i="19"/>
  <c r="BW22" i="19" s="1"/>
  <c r="EM15" i="19"/>
  <c r="EM22" i="19" s="1"/>
  <c r="AW15" i="19"/>
  <c r="AW22" i="19" s="1"/>
  <c r="CP15" i="19"/>
  <c r="CP22" i="19" s="1"/>
  <c r="BA15" i="19"/>
  <c r="BA22" i="19" s="1"/>
  <c r="AK15" i="19"/>
  <c r="AK22" i="19" s="1"/>
  <c r="EC15" i="19"/>
  <c r="EC22" i="19" s="1"/>
  <c r="CA15" i="19"/>
  <c r="CA22" i="19" s="1"/>
  <c r="N15" i="19"/>
  <c r="N22" i="19" s="1"/>
  <c r="M15" i="19"/>
  <c r="M22" i="19" s="1"/>
  <c r="EQ15" i="19"/>
  <c r="EQ22" i="19" s="1"/>
  <c r="AL15" i="19"/>
  <c r="AL22" i="19" s="1"/>
  <c r="AA15" i="19"/>
  <c r="AA22" i="19" s="1"/>
  <c r="AD15" i="19"/>
  <c r="AD22" i="19" s="1"/>
  <c r="DS15" i="19"/>
  <c r="DS22" i="19" s="1"/>
  <c r="BR15" i="19"/>
  <c r="BR22" i="19" s="1"/>
  <c r="AF15" i="19"/>
  <c r="AF22" i="19" s="1"/>
  <c r="CS15" i="19"/>
  <c r="CS22" i="19" s="1"/>
  <c r="DR15" i="19"/>
  <c r="DR22" i="19" s="1"/>
  <c r="CY15" i="19"/>
  <c r="CY22" i="19" s="1"/>
  <c r="EK15" i="19"/>
  <c r="EK22" i="19" s="1"/>
  <c r="BG15" i="19"/>
  <c r="BG22" i="19" s="1"/>
  <c r="AH15" i="19"/>
  <c r="AH22" i="19" s="1"/>
  <c r="AS15" i="19"/>
  <c r="AS22" i="19" s="1"/>
  <c r="DT15" i="19"/>
  <c r="DT22" i="19" s="1"/>
  <c r="AY15" i="19"/>
  <c r="AY22" i="19" s="1"/>
  <c r="X15" i="19"/>
  <c r="X22" i="19" s="1"/>
  <c r="CW15" i="19"/>
  <c r="CW22" i="19" s="1"/>
  <c r="DP15" i="19"/>
  <c r="DP22" i="19" s="1"/>
  <c r="DD15" i="19"/>
  <c r="DD22" i="19" s="1"/>
  <c r="S15" i="19"/>
  <c r="S22" i="19" s="1"/>
  <c r="CK15" i="19"/>
  <c r="CK22" i="19" s="1"/>
  <c r="AU15" i="19"/>
  <c r="AU22" i="19" s="1"/>
  <c r="BY15" i="19"/>
  <c r="BY22" i="19" s="1"/>
  <c r="CM15" i="19"/>
  <c r="CM22" i="19" s="1"/>
  <c r="CE15" i="19"/>
  <c r="CE22" i="19" s="1"/>
  <c r="U15" i="19"/>
  <c r="U22" i="19" s="1"/>
  <c r="BT15" i="19"/>
  <c r="BT22" i="19" s="1"/>
  <c r="BB15" i="19"/>
  <c r="BB22" i="19" s="1"/>
  <c r="BH15" i="19"/>
  <c r="BH22" i="19" s="1"/>
  <c r="CC15" i="19"/>
  <c r="CC22" i="19" s="1"/>
  <c r="CI15" i="19"/>
  <c r="CI22" i="19" s="1"/>
  <c r="DU15" i="19"/>
  <c r="DU22" i="19" s="1"/>
  <c r="AP15" i="19"/>
  <c r="AP22" i="19" s="1"/>
  <c r="EP15" i="19"/>
  <c r="EP22" i="19" s="1"/>
  <c r="BQ15" i="19"/>
  <c r="BQ22" i="19" s="1"/>
  <c r="DH15" i="19"/>
  <c r="DH22" i="19" s="1"/>
  <c r="DX15" i="19"/>
  <c r="DX22" i="19" s="1"/>
  <c r="BU15" i="19"/>
  <c r="BU22" i="19" s="1"/>
  <c r="Q99" i="19"/>
  <c r="Q125" i="19" s="1"/>
  <c r="AX15" i="19"/>
  <c r="AX22" i="19" s="1"/>
  <c r="AR15" i="19"/>
  <c r="AR22" i="19" s="1"/>
  <c r="EN15" i="19"/>
  <c r="EN22" i="19" s="1"/>
  <c r="DB15" i="19"/>
  <c r="DB22" i="19" s="1"/>
  <c r="CV15" i="19"/>
  <c r="CV22" i="19" s="1"/>
  <c r="O15" i="19"/>
  <c r="O22" i="19" s="1"/>
  <c r="CJ15" i="19"/>
  <c r="CJ22" i="19" s="1"/>
  <c r="CF15" i="19"/>
  <c r="CF22" i="19" s="1"/>
  <c r="AZ15" i="19"/>
  <c r="AZ22" i="19" s="1"/>
  <c r="BE15" i="19"/>
  <c r="BE22" i="19" s="1"/>
  <c r="EB15" i="19"/>
  <c r="EB22" i="19" s="1"/>
  <c r="CZ15" i="19"/>
  <c r="CZ22" i="19" s="1"/>
  <c r="EJ15" i="19"/>
  <c r="EJ22" i="19" s="1"/>
  <c r="DE15" i="19"/>
  <c r="DE22" i="19" s="1"/>
  <c r="BD15" i="19"/>
  <c r="BD22" i="19" s="1"/>
  <c r="EF15" i="19"/>
  <c r="EF22" i="19" s="1"/>
  <c r="BZ15" i="19"/>
  <c r="BZ22" i="19" s="1"/>
  <c r="EH15" i="19"/>
  <c r="EH22" i="19" s="1"/>
  <c r="P15" i="19"/>
  <c r="P22" i="19" s="1"/>
  <c r="AJ15" i="19"/>
  <c r="AJ22" i="19" s="1"/>
  <c r="R15" i="19"/>
  <c r="R22" i="19" s="1"/>
  <c r="Q15" i="19"/>
  <c r="Q22" i="19" s="1"/>
  <c r="DY15" i="19"/>
  <c r="DY22" i="19" s="1"/>
  <c r="BO15" i="19"/>
  <c r="BO22" i="19" s="1"/>
  <c r="CL15" i="19"/>
  <c r="CL22" i="19" s="1"/>
  <c r="AB15" i="19"/>
  <c r="AB22" i="19" s="1"/>
  <c r="BJ15" i="19"/>
  <c r="BJ22" i="19" s="1"/>
  <c r="DM15" i="19"/>
  <c r="DM22" i="19" s="1"/>
  <c r="BP15" i="19"/>
  <c r="BP22" i="19" s="1"/>
  <c r="DG15" i="19"/>
  <c r="DG22" i="19" s="1"/>
  <c r="DF15" i="19"/>
  <c r="DF22" i="19" s="1"/>
  <c r="BV15" i="19"/>
  <c r="BV22" i="19" s="1"/>
  <c r="DA15" i="19"/>
  <c r="DA22" i="19" s="1"/>
  <c r="CH15" i="19"/>
  <c r="CH22" i="19" s="1"/>
  <c r="CR15" i="19"/>
  <c r="CR22" i="19" s="1"/>
  <c r="V15" i="19"/>
  <c r="V22" i="19" s="1"/>
  <c r="DZ15" i="19"/>
  <c r="DZ22" i="19" s="1"/>
  <c r="BK15" i="19"/>
  <c r="BK22" i="19" s="1"/>
  <c r="AG15" i="19"/>
  <c r="AG22" i="19" s="1"/>
  <c r="AQ15" i="19"/>
  <c r="AQ22" i="19" s="1"/>
  <c r="EI15" i="19"/>
  <c r="EI22" i="19" s="1"/>
  <c r="DI15" i="19"/>
  <c r="DI22" i="19" s="1"/>
  <c r="CO15" i="19"/>
  <c r="CO22" i="19" s="1"/>
  <c r="AI15" i="19"/>
  <c r="AI22" i="19" s="1"/>
  <c r="BN15" i="19"/>
  <c r="BN22" i="19" s="1"/>
  <c r="BX15" i="19"/>
  <c r="BX22" i="19" s="1"/>
  <c r="BC15" i="19"/>
  <c r="BC22" i="19" s="1"/>
  <c r="DK15" i="19"/>
  <c r="DK22" i="19" s="1"/>
  <c r="CG15" i="19"/>
  <c r="CG22" i="19" s="1"/>
  <c r="T15" i="19"/>
  <c r="T22" i="19" s="1"/>
  <c r="DJ15" i="19"/>
  <c r="DJ22" i="19" s="1"/>
  <c r="L15" i="19"/>
  <c r="L22" i="19" s="1"/>
  <c r="CN15" i="19"/>
  <c r="CN22" i="19" s="1"/>
  <c r="E88" i="36"/>
  <c r="L98" i="36"/>
  <c r="N207" i="11"/>
  <c r="O204" i="11" s="1"/>
  <c r="O206" i="11" s="1"/>
  <c r="O37" i="5" s="1"/>
  <c r="E608" i="32" s="1"/>
  <c r="D220" i="32"/>
  <c r="L29" i="15"/>
  <c r="N38" i="5"/>
  <c r="N202" i="11"/>
  <c r="N36" i="5"/>
  <c r="O211" i="11"/>
  <c r="O38" i="5" s="1"/>
  <c r="R226" i="11"/>
  <c r="P20" i="15"/>
  <c r="R55" i="19"/>
  <c r="R56" i="19" s="1"/>
  <c r="S53" i="19" s="1"/>
  <c r="P90" i="11"/>
  <c r="P81" i="11"/>
  <c r="P271" i="11"/>
  <c r="P272" i="11" s="1"/>
  <c r="Q76" i="11"/>
  <c r="R63" i="6"/>
  <c r="P266" i="11"/>
  <c r="P267" i="11" s="1"/>
  <c r="R161" i="11"/>
  <c r="R162" i="11" s="1"/>
  <c r="R227" i="11"/>
  <c r="S26" i="6" s="1"/>
  <c r="N20" i="16" s="1"/>
  <c r="E697" i="32" s="1"/>
  <c r="R223" i="11"/>
  <c r="R224" i="11" s="1"/>
  <c r="R218" i="11"/>
  <c r="R219" i="11" s="1"/>
  <c r="P112" i="5"/>
  <c r="J15" i="19" l="1"/>
  <c r="I18" i="19" s="1"/>
  <c r="L23" i="19"/>
  <c r="L24" i="19" s="1"/>
  <c r="M21" i="19" s="1"/>
  <c r="J22" i="19"/>
  <c r="F804" i="32"/>
  <c r="G15" i="30"/>
  <c r="J15" i="35"/>
  <c r="E607" i="32"/>
  <c r="F566" i="32"/>
  <c r="N34" i="5"/>
  <c r="O207" i="11"/>
  <c r="P204" i="11" s="1"/>
  <c r="P206" i="11" s="1"/>
  <c r="P207" i="11" s="1"/>
  <c r="Q204" i="11" s="1"/>
  <c r="O212" i="11"/>
  <c r="P209" i="11" s="1"/>
  <c r="P211" i="11" s="1"/>
  <c r="P38" i="5" s="1"/>
  <c r="O199" i="11"/>
  <c r="M29" i="15"/>
  <c r="Q22" i="15"/>
  <c r="S221" i="11"/>
  <c r="Q18" i="15"/>
  <c r="S159" i="11"/>
  <c r="Q269" i="11"/>
  <c r="Q264" i="11"/>
  <c r="Q80" i="11"/>
  <c r="Q78" i="11"/>
  <c r="Q112" i="5" s="1"/>
  <c r="R228" i="11"/>
  <c r="R229" i="11" s="1"/>
  <c r="P48" i="19"/>
  <c r="Q21" i="15"/>
  <c r="F644" i="32" s="1"/>
  <c r="S216" i="11"/>
  <c r="S63" i="6"/>
  <c r="S55" i="19"/>
  <c r="S56" i="19" s="1"/>
  <c r="T53" i="19" s="1"/>
  <c r="M23" i="19" l="1"/>
  <c r="M24" i="19" s="1"/>
  <c r="N21" i="19" s="1"/>
  <c r="N23" i="19" s="1"/>
  <c r="N24" i="19" s="1"/>
  <c r="O21" i="19" s="1"/>
  <c r="O23" i="19" s="1"/>
  <c r="O24" i="19" s="1"/>
  <c r="P21" i="19" s="1"/>
  <c r="P23" i="19" s="1"/>
  <c r="P24" i="19" s="1"/>
  <c r="Q21" i="19" s="1"/>
  <c r="Q23" i="19" s="1"/>
  <c r="Q24" i="19" s="1"/>
  <c r="R21" i="19" s="1"/>
  <c r="R23" i="19" s="1"/>
  <c r="R24" i="19" s="1"/>
  <c r="S21" i="19" s="1"/>
  <c r="J27" i="35"/>
  <c r="D15" i="35"/>
  <c r="P37" i="5"/>
  <c r="L13" i="18"/>
  <c r="E773" i="32" s="1"/>
  <c r="F642" i="32"/>
  <c r="L17" i="18"/>
  <c r="E776" i="32" s="1"/>
  <c r="F645" i="32"/>
  <c r="P212" i="11"/>
  <c r="Q209" i="11" s="1"/>
  <c r="Q211" i="11" s="1"/>
  <c r="Q38" i="5" s="1"/>
  <c r="O201" i="11"/>
  <c r="O36" i="5" s="1"/>
  <c r="Q206" i="11"/>
  <c r="Q37" i="5" s="1"/>
  <c r="Q23" i="15"/>
  <c r="S226" i="11"/>
  <c r="T55" i="19"/>
  <c r="T56" i="19" s="1"/>
  <c r="U53" i="19" s="1"/>
  <c r="Q48" i="19"/>
  <c r="S218" i="11"/>
  <c r="S219" i="11" s="1"/>
  <c r="Q81" i="11"/>
  <c r="Q90" i="11"/>
  <c r="L16" i="18"/>
  <c r="E775" i="32" s="1"/>
  <c r="Q79" i="11"/>
  <c r="Q266" i="11"/>
  <c r="Q267" i="11" s="1"/>
  <c r="Q271" i="11"/>
  <c r="Q272" i="11" s="1"/>
  <c r="S161" i="11"/>
  <c r="S162" i="11" s="1"/>
  <c r="S227" i="11"/>
  <c r="T26" i="6" s="1"/>
  <c r="S223" i="11"/>
  <c r="S224" i="11" s="1"/>
  <c r="N78" i="19" l="1"/>
  <c r="C128" i="21" s="1"/>
  <c r="S23" i="19"/>
  <c r="S24" i="19" s="1"/>
  <c r="T21" i="19" s="1"/>
  <c r="T23" i="19" s="1"/>
  <c r="T24" i="19" s="1"/>
  <c r="U21" i="19" s="1"/>
  <c r="U23" i="19" s="1"/>
  <c r="U24" i="19" s="1"/>
  <c r="V21" i="19" s="1"/>
  <c r="V23" i="19" s="1"/>
  <c r="V24" i="19" s="1"/>
  <c r="W21" i="19" s="1"/>
  <c r="W23" i="19" s="1"/>
  <c r="W24" i="19" s="1"/>
  <c r="X21" i="19" s="1"/>
  <c r="X23" i="19" s="1"/>
  <c r="X24" i="19" s="1"/>
  <c r="Y21" i="19" s="1"/>
  <c r="E15" i="35"/>
  <c r="L18" i="18"/>
  <c r="E777" i="32" s="1"/>
  <c r="F646" i="32"/>
  <c r="O34" i="5"/>
  <c r="E606" i="32"/>
  <c r="Q212" i="11"/>
  <c r="R209" i="11" s="1"/>
  <c r="R211" i="11" s="1"/>
  <c r="R38" i="5" s="1"/>
  <c r="O202" i="11"/>
  <c r="N29" i="15" s="1"/>
  <c r="Q207" i="11"/>
  <c r="R204" i="11" s="1"/>
  <c r="R206" i="11" s="1"/>
  <c r="R37" i="5" s="1"/>
  <c r="M32" i="17" s="1"/>
  <c r="E739" i="32" s="1"/>
  <c r="Q20" i="15"/>
  <c r="T221" i="11"/>
  <c r="R22" i="15"/>
  <c r="T159" i="11"/>
  <c r="R18" i="15"/>
  <c r="R264" i="11"/>
  <c r="R76" i="11"/>
  <c r="R269" i="11"/>
  <c r="U55" i="19"/>
  <c r="U56" i="19" s="1"/>
  <c r="V53" i="19" s="1"/>
  <c r="T216" i="11"/>
  <c r="R21" i="15"/>
  <c r="S228" i="11"/>
  <c r="S229" i="11" s="1"/>
  <c r="T63" i="6"/>
  <c r="N114" i="19" l="1"/>
  <c r="N79" i="19"/>
  <c r="C129" i="21" s="1"/>
  <c r="Y23" i="19"/>
  <c r="Y24" i="19" s="1"/>
  <c r="Z21" i="19" s="1"/>
  <c r="Z23" i="19" s="1"/>
  <c r="Z24" i="19" s="1"/>
  <c r="AA21" i="19" s="1"/>
  <c r="AA23" i="19" s="1"/>
  <c r="AA24" i="19" s="1"/>
  <c r="AB21" i="19" s="1"/>
  <c r="AB23" i="19" s="1"/>
  <c r="AB24" i="19" s="1"/>
  <c r="AC21" i="19" s="1"/>
  <c r="AC23" i="19" s="1"/>
  <c r="AC24" i="19" s="1"/>
  <c r="AD21" i="19" s="1"/>
  <c r="AD23" i="19" s="1"/>
  <c r="AD24" i="19" s="1"/>
  <c r="AE21" i="19" s="1"/>
  <c r="M33" i="17"/>
  <c r="E738" i="32" s="1"/>
  <c r="F607" i="32"/>
  <c r="E605" i="32"/>
  <c r="E651" i="32"/>
  <c r="L15" i="18"/>
  <c r="F608" i="32"/>
  <c r="P199" i="11"/>
  <c r="P201" i="11" s="1"/>
  <c r="P36" i="5" s="1"/>
  <c r="R207" i="11"/>
  <c r="S204" i="11" s="1"/>
  <c r="S206" i="11" s="1"/>
  <c r="S37" i="5" s="1"/>
  <c r="R212" i="11"/>
  <c r="S209" i="11" s="1"/>
  <c r="S211" i="11" s="1"/>
  <c r="S38" i="5" s="1"/>
  <c r="R23" i="15"/>
  <c r="R20" i="15" s="1"/>
  <c r="T226" i="11"/>
  <c r="T218" i="11"/>
  <c r="T219" i="11" s="1"/>
  <c r="R271" i="11"/>
  <c r="R272" i="11" s="1"/>
  <c r="V55" i="19"/>
  <c r="V56" i="19" s="1"/>
  <c r="W53" i="19" s="1"/>
  <c r="R266" i="11"/>
  <c r="R267" i="11" s="1"/>
  <c r="R80" i="11"/>
  <c r="R78" i="11"/>
  <c r="R112" i="5" s="1"/>
  <c r="T161" i="11"/>
  <c r="T162" i="11" s="1"/>
  <c r="T227" i="11"/>
  <c r="U26" i="6" s="1"/>
  <c r="T223" i="11"/>
  <c r="T224" i="11" s="1"/>
  <c r="N80" i="19" l="1"/>
  <c r="C130" i="21" s="1"/>
  <c r="AE23" i="19"/>
  <c r="AE24" i="19" s="1"/>
  <c r="AF21" i="19" s="1"/>
  <c r="AF23" i="19" s="1"/>
  <c r="AF24" i="19" s="1"/>
  <c r="AG21" i="19" s="1"/>
  <c r="AG23" i="19" s="1"/>
  <c r="AG24" i="19" s="1"/>
  <c r="AH21" i="19" s="1"/>
  <c r="AH23" i="19" s="1"/>
  <c r="AH24" i="19" s="1"/>
  <c r="AI21" i="19" s="1"/>
  <c r="AI23" i="19" s="1"/>
  <c r="AI24" i="19" s="1"/>
  <c r="AJ21" i="19" s="1"/>
  <c r="AJ23" i="19" s="1"/>
  <c r="AJ24" i="19" s="1"/>
  <c r="AK21" i="19" s="1"/>
  <c r="P202" i="11"/>
  <c r="P34" i="5"/>
  <c r="S212" i="11"/>
  <c r="T209" i="11" s="1"/>
  <c r="T211" i="11" s="1"/>
  <c r="T38" i="5" s="1"/>
  <c r="S207" i="11"/>
  <c r="T204" i="11" s="1"/>
  <c r="T206" i="11" s="1"/>
  <c r="T37" i="5" s="1"/>
  <c r="R79" i="11"/>
  <c r="S76" i="11" s="1"/>
  <c r="S80" i="11" s="1"/>
  <c r="S264" i="11"/>
  <c r="S22" i="15"/>
  <c r="U221" i="11"/>
  <c r="S269" i="11"/>
  <c r="R48" i="19"/>
  <c r="M107" i="17"/>
  <c r="U63" i="6"/>
  <c r="U216" i="11"/>
  <c r="S21" i="15"/>
  <c r="R81" i="11"/>
  <c r="R90" i="11"/>
  <c r="U159" i="11"/>
  <c r="S18" i="15"/>
  <c r="W55" i="19"/>
  <c r="W56" i="19" s="1"/>
  <c r="X53" i="19" s="1"/>
  <c r="T228" i="11"/>
  <c r="T229" i="11" s="1"/>
  <c r="N115" i="19" l="1"/>
  <c r="N81" i="19"/>
  <c r="C131" i="21" s="1"/>
  <c r="AK23" i="19"/>
  <c r="AK24" i="19" s="1"/>
  <c r="AL21" i="19" s="1"/>
  <c r="AL23" i="19" s="1"/>
  <c r="AL24" i="19" s="1"/>
  <c r="AM21" i="19" s="1"/>
  <c r="AM23" i="19" s="1"/>
  <c r="AM24" i="19" s="1"/>
  <c r="AN21" i="19" s="1"/>
  <c r="AN23" i="19" s="1"/>
  <c r="AN24" i="19" s="1"/>
  <c r="AO21" i="19" s="1"/>
  <c r="AO23" i="19" s="1"/>
  <c r="AO24" i="19" s="1"/>
  <c r="AP21" i="19" s="1"/>
  <c r="AP23" i="19" s="1"/>
  <c r="AP24" i="19" s="1"/>
  <c r="AQ21" i="19" s="1"/>
  <c r="O29" i="15"/>
  <c r="Q199" i="11"/>
  <c r="Q201" i="11" s="1"/>
  <c r="Q36" i="5" s="1"/>
  <c r="T212" i="11"/>
  <c r="U209" i="11" s="1"/>
  <c r="U211" i="11" s="1"/>
  <c r="U38" i="5" s="1"/>
  <c r="G607" i="32" s="1"/>
  <c r="T207" i="11"/>
  <c r="U204" i="11" s="1"/>
  <c r="U206" i="11" s="1"/>
  <c r="U37" i="5" s="1"/>
  <c r="G608" i="32" s="1"/>
  <c r="S78" i="11"/>
  <c r="S112" i="5" s="1"/>
  <c r="X55" i="19"/>
  <c r="X56" i="19" s="1"/>
  <c r="Y53" i="19" s="1"/>
  <c r="V79" i="19"/>
  <c r="J129" i="21" s="1"/>
  <c r="S23" i="15"/>
  <c r="S20" i="15" s="1"/>
  <c r="U226" i="11"/>
  <c r="S90" i="11"/>
  <c r="S81" i="11"/>
  <c r="U218" i="11"/>
  <c r="U219" i="11" s="1"/>
  <c r="S271" i="11"/>
  <c r="S272" i="11" s="1"/>
  <c r="U227" i="11"/>
  <c r="V26" i="6" s="1"/>
  <c r="U223" i="11"/>
  <c r="U224" i="11" s="1"/>
  <c r="S266" i="11"/>
  <c r="S267" i="11" s="1"/>
  <c r="U161" i="11"/>
  <c r="U162" i="11" s="1"/>
  <c r="N82" i="19" l="1"/>
  <c r="AQ23" i="19"/>
  <c r="AQ24" i="19" s="1"/>
  <c r="AR21" i="19" s="1"/>
  <c r="AR23" i="19" s="1"/>
  <c r="AR24" i="19" s="1"/>
  <c r="AS21" i="19" s="1"/>
  <c r="AS23" i="19" s="1"/>
  <c r="AS24" i="19" s="1"/>
  <c r="AT21" i="19" s="1"/>
  <c r="AT23" i="19" s="1"/>
  <c r="AT24" i="19" s="1"/>
  <c r="AU21" i="19" s="1"/>
  <c r="AU23" i="19" s="1"/>
  <c r="AU24" i="19" s="1"/>
  <c r="AV21" i="19" s="1"/>
  <c r="AV23" i="19" s="1"/>
  <c r="AV24" i="19" s="1"/>
  <c r="AW21" i="19" s="1"/>
  <c r="G566" i="32"/>
  <c r="K15" i="35"/>
  <c r="H15" i="30"/>
  <c r="S48" i="19"/>
  <c r="Q34" i="5"/>
  <c r="Q202" i="11"/>
  <c r="P29" i="15" s="1"/>
  <c r="U207" i="11"/>
  <c r="V204" i="11" s="1"/>
  <c r="V206" i="11" s="1"/>
  <c r="V37" i="5" s="1"/>
  <c r="U212" i="11"/>
  <c r="V209" i="11" s="1"/>
  <c r="V211" i="11" s="1"/>
  <c r="V38" i="5" s="1"/>
  <c r="S79" i="11"/>
  <c r="T76" i="11" s="1"/>
  <c r="T21" i="15"/>
  <c r="G644" i="32" s="1"/>
  <c r="V216" i="11"/>
  <c r="T264" i="11"/>
  <c r="T22" i="15"/>
  <c r="G645" i="32" s="1"/>
  <c r="V221" i="11"/>
  <c r="T18" i="15"/>
  <c r="G642" i="32" s="1"/>
  <c r="V159" i="11"/>
  <c r="Y55" i="19"/>
  <c r="Y56" i="19" s="1"/>
  <c r="Z53" i="19" s="1"/>
  <c r="U228" i="11"/>
  <c r="U229" i="11" s="1"/>
  <c r="T269" i="11"/>
  <c r="V63" i="6"/>
  <c r="C132" i="21" l="1"/>
  <c r="N116" i="19"/>
  <c r="N83" i="19"/>
  <c r="C133" i="21" s="1"/>
  <c r="AW23" i="19"/>
  <c r="AW24" i="19" s="1"/>
  <c r="AX21" i="19" s="1"/>
  <c r="AX23" i="19" s="1"/>
  <c r="AX24" i="19" s="1"/>
  <c r="AY21" i="19" s="1"/>
  <c r="AY23" i="19" s="1"/>
  <c r="AY24" i="19" s="1"/>
  <c r="AZ21" i="19" s="1"/>
  <c r="AZ23" i="19" s="1"/>
  <c r="AZ24" i="19" s="1"/>
  <c r="BA21" i="19" s="1"/>
  <c r="BA23" i="19" s="1"/>
  <c r="BA24" i="19" s="1"/>
  <c r="BB21" i="19" s="1"/>
  <c r="N84" i="19" s="1"/>
  <c r="C134" i="21" s="1"/>
  <c r="K27" i="35"/>
  <c r="R199" i="11"/>
  <c r="R201" i="11" s="1"/>
  <c r="R36" i="5" s="1"/>
  <c r="V212" i="11"/>
  <c r="W209" i="11" s="1"/>
  <c r="W211" i="11" s="1"/>
  <c r="W38" i="5" s="1"/>
  <c r="V207" i="11"/>
  <c r="W204" i="11" s="1"/>
  <c r="V226" i="11"/>
  <c r="T23" i="15"/>
  <c r="V161" i="11"/>
  <c r="V162" i="11" s="1"/>
  <c r="Z55" i="19"/>
  <c r="Z56" i="19" s="1"/>
  <c r="AA53" i="19" s="1"/>
  <c r="T78" i="11"/>
  <c r="T112" i="5" s="1"/>
  <c r="T80" i="11"/>
  <c r="V223" i="11"/>
  <c r="V224" i="11" s="1"/>
  <c r="V227" i="11"/>
  <c r="W26" i="6" s="1"/>
  <c r="T266" i="11"/>
  <c r="T267" i="11" s="1"/>
  <c r="V218" i="11"/>
  <c r="V219" i="11" s="1"/>
  <c r="T271" i="11"/>
  <c r="T272" i="11" s="1"/>
  <c r="BB23" i="19" l="1"/>
  <c r="BB24" i="19" s="1"/>
  <c r="BC21" i="19" s="1"/>
  <c r="T20" i="15"/>
  <c r="G646" i="32"/>
  <c r="R34" i="5"/>
  <c r="F606" i="32"/>
  <c r="W212" i="11"/>
  <c r="X209" i="11" s="1"/>
  <c r="X211" i="11" s="1"/>
  <c r="X38" i="5" s="1"/>
  <c r="H607" i="32" s="1"/>
  <c r="R202" i="11"/>
  <c r="Q29" i="15" s="1"/>
  <c r="F651" i="32" s="1"/>
  <c r="W206" i="11"/>
  <c r="W37" i="5" s="1"/>
  <c r="U269" i="11"/>
  <c r="U264" i="11"/>
  <c r="AA55" i="19"/>
  <c r="AA56" i="19" s="1"/>
  <c r="AB53" i="19" s="1"/>
  <c r="W159" i="11"/>
  <c r="U18" i="15"/>
  <c r="W63" i="6"/>
  <c r="T81" i="11"/>
  <c r="T90" i="11"/>
  <c r="T48" i="19"/>
  <c r="W216" i="11"/>
  <c r="U21" i="15"/>
  <c r="T79" i="11"/>
  <c r="W221" i="11"/>
  <c r="U22" i="15"/>
  <c r="V228" i="11"/>
  <c r="V229" i="11" s="1"/>
  <c r="BC23" i="19" l="1"/>
  <c r="BC24" i="19" s="1"/>
  <c r="BD21" i="19" s="1"/>
  <c r="BD23" i="19" s="1"/>
  <c r="BD24" i="19" s="1"/>
  <c r="BE21" i="19" s="1"/>
  <c r="BE23" i="19" s="1"/>
  <c r="BE24" i="19" s="1"/>
  <c r="BF21" i="19" s="1"/>
  <c r="BF23" i="19" s="1"/>
  <c r="BF24" i="19" s="1"/>
  <c r="BG21" i="19" s="1"/>
  <c r="BG23" i="19" s="1"/>
  <c r="BG24" i="19" s="1"/>
  <c r="BH21" i="19" s="1"/>
  <c r="BH23" i="19" s="1"/>
  <c r="BH24" i="19" s="1"/>
  <c r="BI21" i="19" s="1"/>
  <c r="BI23" i="19" s="1"/>
  <c r="BI24" i="19" s="1"/>
  <c r="BJ21" i="19" s="1"/>
  <c r="BJ23" i="19" s="1"/>
  <c r="BJ24" i="19" s="1"/>
  <c r="BK21" i="19" s="1"/>
  <c r="BK23" i="19" s="1"/>
  <c r="BK24" i="19" s="1"/>
  <c r="BL21" i="19" s="1"/>
  <c r="BL23" i="19" s="1"/>
  <c r="BL24" i="19" s="1"/>
  <c r="BM21" i="19" s="1"/>
  <c r="BM23" i="19" s="1"/>
  <c r="BM24" i="19" s="1"/>
  <c r="BN21" i="19" s="1"/>
  <c r="N86" i="19" s="1"/>
  <c r="C136" i="21" s="1"/>
  <c r="S199" i="11"/>
  <c r="F605" i="32"/>
  <c r="X212" i="11"/>
  <c r="Y209" i="11" s="1"/>
  <c r="Y211" i="11" s="1"/>
  <c r="Y38" i="5" s="1"/>
  <c r="L24" i="18"/>
  <c r="W207" i="11"/>
  <c r="X204" i="11" s="1"/>
  <c r="AB55" i="19"/>
  <c r="AB56" i="19" s="1"/>
  <c r="AC53" i="19" s="1"/>
  <c r="W226" i="11"/>
  <c r="U23" i="15"/>
  <c r="U20" i="15" s="1"/>
  <c r="W161" i="11"/>
  <c r="W162" i="11" s="1"/>
  <c r="W218" i="11"/>
  <c r="W219" i="11" s="1"/>
  <c r="U76" i="11"/>
  <c r="U266" i="11"/>
  <c r="U267" i="11" s="1"/>
  <c r="U271" i="11"/>
  <c r="U272" i="11" s="1"/>
  <c r="W223" i="11"/>
  <c r="W224" i="11" s="1"/>
  <c r="W227" i="11"/>
  <c r="X26" i="6" s="1"/>
  <c r="N85" i="19" l="1"/>
  <c r="BN23" i="19"/>
  <c r="BN24" i="19" s="1"/>
  <c r="BO21" i="19" s="1"/>
  <c r="BO23" i="19" s="1"/>
  <c r="BO24" i="19" s="1"/>
  <c r="BP21" i="19" s="1"/>
  <c r="BP23" i="19" s="1"/>
  <c r="BP24" i="19" s="1"/>
  <c r="BQ21" i="19" s="1"/>
  <c r="BQ23" i="19" s="1"/>
  <c r="BQ24" i="19" s="1"/>
  <c r="BR21" i="19" s="1"/>
  <c r="BR23" i="19" s="1"/>
  <c r="BR24" i="19" s="1"/>
  <c r="BS21" i="19" s="1"/>
  <c r="BS23" i="19" s="1"/>
  <c r="BS24" i="19" s="1"/>
  <c r="BT21" i="19" s="1"/>
  <c r="BT23" i="19" s="1"/>
  <c r="BT24" i="19" s="1"/>
  <c r="BU21" i="19" s="1"/>
  <c r="S201" i="11"/>
  <c r="E782" i="32"/>
  <c r="Y212" i="11"/>
  <c r="Z209" i="11" s="1"/>
  <c r="Z211" i="11" s="1"/>
  <c r="Z38" i="5" s="1"/>
  <c r="X206" i="11"/>
  <c r="X37" i="5" s="1"/>
  <c r="H608" i="32" s="1"/>
  <c r="V269" i="11"/>
  <c r="X221" i="11"/>
  <c r="V22" i="15"/>
  <c r="X216" i="11"/>
  <c r="V21" i="15"/>
  <c r="V264" i="11"/>
  <c r="X159" i="11"/>
  <c r="V18" i="15"/>
  <c r="W228" i="11"/>
  <c r="W229" i="11" s="1"/>
  <c r="X63" i="6"/>
  <c r="U78" i="11"/>
  <c r="U112" i="5" s="1"/>
  <c r="U80" i="11"/>
  <c r="AC55" i="19"/>
  <c r="AC56" i="19" s="1"/>
  <c r="AD53" i="19" s="1"/>
  <c r="C135" i="21" l="1"/>
  <c r="N118" i="19"/>
  <c r="N87" i="19"/>
  <c r="C137" i="21" s="1"/>
  <c r="BU23" i="19"/>
  <c r="BU24" i="19" s="1"/>
  <c r="BV21" i="19" s="1"/>
  <c r="BV23" i="19" s="1"/>
  <c r="BV24" i="19" s="1"/>
  <c r="BW21" i="19" s="1"/>
  <c r="BW23" i="19" s="1"/>
  <c r="BW24" i="19" s="1"/>
  <c r="BX21" i="19" s="1"/>
  <c r="BX23" i="19" s="1"/>
  <c r="BX24" i="19" s="1"/>
  <c r="BY21" i="19" s="1"/>
  <c r="BY23" i="19" s="1"/>
  <c r="BY24" i="19" s="1"/>
  <c r="BZ21" i="19" s="1"/>
  <c r="BZ23" i="19" s="1"/>
  <c r="BZ24" i="19" s="1"/>
  <c r="CA21" i="19" s="1"/>
  <c r="S36" i="5"/>
  <c r="S34" i="5" s="1"/>
  <c r="S202" i="11"/>
  <c r="Z212" i="11"/>
  <c r="AA209" i="11" s="1"/>
  <c r="AA211" i="11" s="1"/>
  <c r="AA38" i="5" s="1"/>
  <c r="I607" i="32" s="1"/>
  <c r="X207" i="11"/>
  <c r="Y204" i="11" s="1"/>
  <c r="AD55" i="19"/>
  <c r="AD56" i="19" s="1"/>
  <c r="AE53" i="19" s="1"/>
  <c r="V80" i="19"/>
  <c r="J130" i="21" s="1"/>
  <c r="X226" i="11"/>
  <c r="V23" i="15"/>
  <c r="V20" i="15" s="1"/>
  <c r="V266" i="11"/>
  <c r="V267" i="11" s="1"/>
  <c r="X218" i="11"/>
  <c r="X219" i="11" s="1"/>
  <c r="U79" i="11"/>
  <c r="X227" i="11"/>
  <c r="Y26" i="6" s="1"/>
  <c r="X223" i="11"/>
  <c r="X224" i="11" s="1"/>
  <c r="X161" i="11"/>
  <c r="X162" i="11" s="1"/>
  <c r="U81" i="11"/>
  <c r="U90" i="11"/>
  <c r="U48" i="19"/>
  <c r="V271" i="11"/>
  <c r="V272" i="11" s="1"/>
  <c r="N88" i="19" l="1"/>
  <c r="C138" i="21" s="1"/>
  <c r="CA23" i="19"/>
  <c r="CA24" i="19" s="1"/>
  <c r="CB21" i="19" s="1"/>
  <c r="CB23" i="19" s="1"/>
  <c r="CB24" i="19" s="1"/>
  <c r="CC21" i="19" s="1"/>
  <c r="CC23" i="19" s="1"/>
  <c r="CC24" i="19" s="1"/>
  <c r="CD21" i="19" s="1"/>
  <c r="CD23" i="19" s="1"/>
  <c r="CD24" i="19" s="1"/>
  <c r="CE21" i="19" s="1"/>
  <c r="CE23" i="19" s="1"/>
  <c r="CE24" i="19" s="1"/>
  <c r="CF21" i="19" s="1"/>
  <c r="CF23" i="19" s="1"/>
  <c r="CF24" i="19" s="1"/>
  <c r="CG21" i="19" s="1"/>
  <c r="R29" i="15"/>
  <c r="T199" i="11"/>
  <c r="H566" i="32"/>
  <c r="I15" i="30"/>
  <c r="L15" i="35"/>
  <c r="AA212" i="11"/>
  <c r="AB209" i="11" s="1"/>
  <c r="Y206" i="11"/>
  <c r="Y37" i="5" s="1"/>
  <c r="Y159" i="11"/>
  <c r="W18" i="15"/>
  <c r="Y221" i="11"/>
  <c r="W22" i="15"/>
  <c r="W269" i="11"/>
  <c r="W21" i="15"/>
  <c r="H644" i="32" s="1"/>
  <c r="Y216" i="11"/>
  <c r="AE55" i="19"/>
  <c r="AE56" i="19" s="1"/>
  <c r="AF53" i="19" s="1"/>
  <c r="W264" i="11"/>
  <c r="Y63" i="6"/>
  <c r="X228" i="11"/>
  <c r="X229" i="11" s="1"/>
  <c r="V76" i="11"/>
  <c r="N89" i="19" l="1"/>
  <c r="C139" i="21" s="1"/>
  <c r="N119" i="19"/>
  <c r="CG23" i="19"/>
  <c r="CG24" i="19" s="1"/>
  <c r="CH21" i="19" s="1"/>
  <c r="CH23" i="19" s="1"/>
  <c r="CH24" i="19" s="1"/>
  <c r="CI21" i="19" s="1"/>
  <c r="CI23" i="19" s="1"/>
  <c r="CI24" i="19" s="1"/>
  <c r="CJ21" i="19" s="1"/>
  <c r="CJ23" i="19" s="1"/>
  <c r="CJ24" i="19" s="1"/>
  <c r="CK21" i="19" s="1"/>
  <c r="CK23" i="19" s="1"/>
  <c r="CK24" i="19" s="1"/>
  <c r="CL21" i="19" s="1"/>
  <c r="CL23" i="19" s="1"/>
  <c r="CL24" i="19" s="1"/>
  <c r="CM21" i="19" s="1"/>
  <c r="T201" i="11"/>
  <c r="L27" i="35"/>
  <c r="M17" i="18"/>
  <c r="H645" i="32"/>
  <c r="M13" i="18"/>
  <c r="H642" i="32"/>
  <c r="AB211" i="11"/>
  <c r="AB38" i="5" s="1"/>
  <c r="Y207" i="11"/>
  <c r="Z204" i="11" s="1"/>
  <c r="AF55" i="19"/>
  <c r="AF56" i="19" s="1"/>
  <c r="AG53" i="19" s="1"/>
  <c r="Y218" i="11"/>
  <c r="Y219" i="11" s="1"/>
  <c r="M16" i="18"/>
  <c r="W271" i="11"/>
  <c r="W272" i="11" s="1"/>
  <c r="W266" i="11"/>
  <c r="W267" i="11" s="1"/>
  <c r="W23" i="15"/>
  <c r="Y226" i="11"/>
  <c r="Y227" i="11"/>
  <c r="Z26" i="6" s="1"/>
  <c r="Y223" i="11"/>
  <c r="Y224" i="11" s="1"/>
  <c r="V80" i="11"/>
  <c r="V78" i="11"/>
  <c r="V112" i="5" s="1"/>
  <c r="Y161" i="11"/>
  <c r="Y162" i="11" s="1"/>
  <c r="N90" i="19" l="1"/>
  <c r="C140" i="21" s="1"/>
  <c r="CM23" i="19"/>
  <c r="CM24" i="19" s="1"/>
  <c r="CN21" i="19" s="1"/>
  <c r="CN23" i="19" s="1"/>
  <c r="CN24" i="19" s="1"/>
  <c r="CO21" i="19" s="1"/>
  <c r="CO23" i="19" s="1"/>
  <c r="CO24" i="19" s="1"/>
  <c r="CP21" i="19" s="1"/>
  <c r="CP23" i="19" s="1"/>
  <c r="CP24" i="19" s="1"/>
  <c r="CQ21" i="19" s="1"/>
  <c r="CQ23" i="19" s="1"/>
  <c r="CQ24" i="19" s="1"/>
  <c r="CR21" i="19" s="1"/>
  <c r="CR23" i="19" s="1"/>
  <c r="CR24" i="19" s="1"/>
  <c r="CS21" i="19" s="1"/>
  <c r="T36" i="5"/>
  <c r="T34" i="5" s="1"/>
  <c r="T202" i="11"/>
  <c r="E214" i="32"/>
  <c r="F775" i="32"/>
  <c r="E212" i="32"/>
  <c r="F773" i="32"/>
  <c r="M18" i="18"/>
  <c r="M15" i="18" s="1"/>
  <c r="H646" i="32"/>
  <c r="E215" i="32"/>
  <c r="F776" i="32"/>
  <c r="AB212" i="11"/>
  <c r="AC209" i="11" s="1"/>
  <c r="AC211" i="11" s="1"/>
  <c r="AC38" i="5" s="1"/>
  <c r="Z206" i="11"/>
  <c r="Z37" i="5" s="1"/>
  <c r="W20" i="15"/>
  <c r="X269" i="11"/>
  <c r="Z216" i="11"/>
  <c r="X21" i="15"/>
  <c r="X22" i="15"/>
  <c r="Z221" i="11"/>
  <c r="AG55" i="19"/>
  <c r="AG56" i="19" s="1"/>
  <c r="AH53" i="19" s="1"/>
  <c r="X264" i="11"/>
  <c r="Y228" i="11"/>
  <c r="Y229" i="11" s="1"/>
  <c r="V79" i="11"/>
  <c r="V48" i="19"/>
  <c r="V90" i="11"/>
  <c r="V81" i="11"/>
  <c r="Z159" i="11"/>
  <c r="X18" i="15"/>
  <c r="Z63" i="6"/>
  <c r="N91" i="19" l="1"/>
  <c r="C141" i="21" s="1"/>
  <c r="N120" i="19"/>
  <c r="CS23" i="19"/>
  <c r="CS24" i="19" s="1"/>
  <c r="CT21" i="19" s="1"/>
  <c r="CT23" i="19" s="1"/>
  <c r="CT24" i="19" s="1"/>
  <c r="CU21" i="19" s="1"/>
  <c r="CU23" i="19" s="1"/>
  <c r="CU24" i="19" s="1"/>
  <c r="CV21" i="19" s="1"/>
  <c r="CV23" i="19" s="1"/>
  <c r="CV24" i="19" s="1"/>
  <c r="CW21" i="19" s="1"/>
  <c r="CW23" i="19" s="1"/>
  <c r="CW24" i="19" s="1"/>
  <c r="CX21" i="19" s="1"/>
  <c r="CX23" i="19" s="1"/>
  <c r="CX24" i="19" s="1"/>
  <c r="CY21" i="19" s="1"/>
  <c r="U199" i="11"/>
  <c r="S29" i="15"/>
  <c r="AC212" i="11"/>
  <c r="AD209" i="11" s="1"/>
  <c r="AD211" i="11" s="1"/>
  <c r="AD38" i="5" s="1"/>
  <c r="J607" i="32" s="1"/>
  <c r="E216" i="32"/>
  <c r="F777" i="32"/>
  <c r="Z207" i="11"/>
  <c r="AA204" i="11" s="1"/>
  <c r="AA206" i="11" s="1"/>
  <c r="AA37" i="5" s="1"/>
  <c r="I608" i="32" s="1"/>
  <c r="AH55" i="19"/>
  <c r="AH56" i="19" s="1"/>
  <c r="AI53" i="19" s="1"/>
  <c r="X23" i="15"/>
  <c r="X20" i="15" s="1"/>
  <c r="Z226" i="11"/>
  <c r="Z161" i="11"/>
  <c r="Z162" i="11" s="1"/>
  <c r="Z218" i="11"/>
  <c r="Z219" i="11" s="1"/>
  <c r="Z227" i="11"/>
  <c r="AA26" i="6" s="1"/>
  <c r="Z223" i="11"/>
  <c r="Z224" i="11" s="1"/>
  <c r="X271" i="11"/>
  <c r="X272" i="11" s="1"/>
  <c r="W76" i="11"/>
  <c r="X266" i="11"/>
  <c r="X267" i="11" s="1"/>
  <c r="N92" i="19" l="1"/>
  <c r="C142" i="21" s="1"/>
  <c r="CY23" i="19"/>
  <c r="CY24" i="19" s="1"/>
  <c r="CZ21" i="19" s="1"/>
  <c r="CZ23" i="19" s="1"/>
  <c r="CZ24" i="19" s="1"/>
  <c r="DA21" i="19" s="1"/>
  <c r="DA23" i="19" s="1"/>
  <c r="DA24" i="19" s="1"/>
  <c r="DB21" i="19" s="1"/>
  <c r="DB23" i="19" s="1"/>
  <c r="DB24" i="19" s="1"/>
  <c r="DC21" i="19" s="1"/>
  <c r="DC23" i="19" s="1"/>
  <c r="DC24" i="19" s="1"/>
  <c r="DD21" i="19" s="1"/>
  <c r="DD23" i="19" s="1"/>
  <c r="DD24" i="19" s="1"/>
  <c r="DE21" i="19" s="1"/>
  <c r="U201" i="11"/>
  <c r="AD212" i="11"/>
  <c r="AE209" i="11" s="1"/>
  <c r="AE211" i="11" s="1"/>
  <c r="AE38" i="5" s="1"/>
  <c r="O33" i="17"/>
  <c r="G738" i="32" s="1"/>
  <c r="AA207" i="11"/>
  <c r="AB204" i="11" s="1"/>
  <c r="AB206" i="11" s="1"/>
  <c r="AB37" i="5" s="1"/>
  <c r="Y21" i="15"/>
  <c r="AA216" i="11"/>
  <c r="AA159" i="11"/>
  <c r="Y18" i="15"/>
  <c r="AA221" i="11"/>
  <c r="Y22" i="15"/>
  <c r="W78" i="11"/>
  <c r="W112" i="5" s="1"/>
  <c r="W80" i="11"/>
  <c r="Z228" i="11"/>
  <c r="Z229" i="11" s="1"/>
  <c r="Y264" i="11"/>
  <c r="Y269" i="11"/>
  <c r="AI55" i="19"/>
  <c r="AI56" i="19" s="1"/>
  <c r="AJ53" i="19" s="1"/>
  <c r="AA63" i="6"/>
  <c r="N93" i="19" l="1"/>
  <c r="C143" i="21" s="1"/>
  <c r="N121" i="19"/>
  <c r="DE23" i="19"/>
  <c r="DE24" i="19" s="1"/>
  <c r="DF21" i="19" s="1"/>
  <c r="DF23" i="19" s="1"/>
  <c r="DF24" i="19" s="1"/>
  <c r="DG21" i="19" s="1"/>
  <c r="DG23" i="19" s="1"/>
  <c r="DG24" i="19" s="1"/>
  <c r="DH21" i="19" s="1"/>
  <c r="DH23" i="19" s="1"/>
  <c r="DH24" i="19" s="1"/>
  <c r="DI21" i="19" s="1"/>
  <c r="DI23" i="19" s="1"/>
  <c r="DI24" i="19" s="1"/>
  <c r="DJ21" i="19" s="1"/>
  <c r="DJ23" i="19" s="1"/>
  <c r="DJ24" i="19" s="1"/>
  <c r="DK21" i="19" s="1"/>
  <c r="U36" i="5"/>
  <c r="U202" i="11"/>
  <c r="AB207" i="11"/>
  <c r="AC204" i="11" s="1"/>
  <c r="AC206" i="11" s="1"/>
  <c r="AC37" i="5" s="1"/>
  <c r="AE212" i="11"/>
  <c r="AF209" i="11" s="1"/>
  <c r="AF211" i="11" s="1"/>
  <c r="AF38" i="5" s="1"/>
  <c r="W79" i="11"/>
  <c r="X76" i="11" s="1"/>
  <c r="AJ55" i="19"/>
  <c r="AJ56" i="19" s="1"/>
  <c r="AK53" i="19" s="1"/>
  <c r="V81" i="19"/>
  <c r="J131" i="21" s="1"/>
  <c r="Y23" i="15"/>
  <c r="Y20" i="15" s="1"/>
  <c r="AA226" i="11"/>
  <c r="W90" i="11"/>
  <c r="W81" i="11"/>
  <c r="AA227" i="11"/>
  <c r="AB26" i="6" s="1"/>
  <c r="AA223" i="11"/>
  <c r="AA224" i="11" s="1"/>
  <c r="Y271" i="11"/>
  <c r="Y272" i="11" s="1"/>
  <c r="W48" i="19"/>
  <c r="AA161" i="11"/>
  <c r="AA162" i="11" s="1"/>
  <c r="AA218" i="11"/>
  <c r="AA219" i="11" s="1"/>
  <c r="Y266" i="11"/>
  <c r="Y267" i="11" s="1"/>
  <c r="N94" i="19" l="1"/>
  <c r="C144" i="21" s="1"/>
  <c r="DK23" i="19"/>
  <c r="DK24" i="19" s="1"/>
  <c r="DL21" i="19" s="1"/>
  <c r="DL23" i="19" s="1"/>
  <c r="DL24" i="19" s="1"/>
  <c r="DM21" i="19" s="1"/>
  <c r="DM23" i="19" s="1"/>
  <c r="DM24" i="19" s="1"/>
  <c r="DN21" i="19" s="1"/>
  <c r="DN23" i="19" s="1"/>
  <c r="DN24" i="19" s="1"/>
  <c r="DO21" i="19" s="1"/>
  <c r="DO23" i="19" s="1"/>
  <c r="DO24" i="19" s="1"/>
  <c r="DP21" i="19" s="1"/>
  <c r="DP23" i="19" s="1"/>
  <c r="DP24" i="19" s="1"/>
  <c r="DQ21" i="19" s="1"/>
  <c r="G606" i="32"/>
  <c r="G605" i="32" s="1"/>
  <c r="U34" i="5"/>
  <c r="T29" i="15"/>
  <c r="V199" i="11"/>
  <c r="I566" i="32"/>
  <c r="M15" i="35"/>
  <c r="J15" i="30"/>
  <c r="AC207" i="11"/>
  <c r="AD204" i="11" s="1"/>
  <c r="AD206" i="11" s="1"/>
  <c r="Z264" i="11"/>
  <c r="Z21" i="15"/>
  <c r="I644" i="32" s="1"/>
  <c r="AB216" i="11"/>
  <c r="Z269" i="11"/>
  <c r="AB221" i="11"/>
  <c r="Z22" i="15"/>
  <c r="I645" i="32" s="1"/>
  <c r="AK55" i="19"/>
  <c r="AK56" i="19" s="1"/>
  <c r="AL53" i="19" s="1"/>
  <c r="X78" i="11"/>
  <c r="X112" i="5" s="1"/>
  <c r="X80" i="11"/>
  <c r="AB63" i="6"/>
  <c r="AA228" i="11"/>
  <c r="AA229" i="11" s="1"/>
  <c r="AB159" i="11"/>
  <c r="Z18" i="15"/>
  <c r="I642" i="32" s="1"/>
  <c r="AF212" i="11"/>
  <c r="AG209" i="11" s="1"/>
  <c r="N95" i="19" l="1"/>
  <c r="C145" i="21" s="1"/>
  <c r="N122" i="19"/>
  <c r="DQ23" i="19"/>
  <c r="DQ24" i="19" s="1"/>
  <c r="DR21" i="19" s="1"/>
  <c r="DR23" i="19" s="1"/>
  <c r="DR24" i="19" s="1"/>
  <c r="DS21" i="19" s="1"/>
  <c r="DS23" i="19" s="1"/>
  <c r="DS24" i="19" s="1"/>
  <c r="DT21" i="19" s="1"/>
  <c r="DT23" i="19" s="1"/>
  <c r="DT24" i="19" s="1"/>
  <c r="DU21" i="19" s="1"/>
  <c r="DU23" i="19" s="1"/>
  <c r="DU24" i="19" s="1"/>
  <c r="DV21" i="19" s="1"/>
  <c r="DV23" i="19" s="1"/>
  <c r="DV24" i="19" s="1"/>
  <c r="DW21" i="19" s="1"/>
  <c r="G651" i="32"/>
  <c r="V201" i="11"/>
  <c r="M27" i="35"/>
  <c r="AD37" i="5"/>
  <c r="AD207" i="11"/>
  <c r="AE204" i="11" s="1"/>
  <c r="AE206" i="11" s="1"/>
  <c r="AE37" i="5" s="1"/>
  <c r="AL55" i="19"/>
  <c r="AL56" i="19" s="1"/>
  <c r="AM53" i="19" s="1"/>
  <c r="AB227" i="11"/>
  <c r="AC26" i="6" s="1"/>
  <c r="AB223" i="11"/>
  <c r="AB224" i="11" s="1"/>
  <c r="AB161" i="11"/>
  <c r="AB162" i="11" s="1"/>
  <c r="Z271" i="11"/>
  <c r="Z272" i="11" s="1"/>
  <c r="X90" i="11"/>
  <c r="X81" i="11"/>
  <c r="X79" i="11"/>
  <c r="Y76" i="11" s="1"/>
  <c r="AB218" i="11"/>
  <c r="AB219" i="11" s="1"/>
  <c r="X48" i="19"/>
  <c r="Z266" i="11"/>
  <c r="Z267" i="11" s="1"/>
  <c r="AB226" i="11"/>
  <c r="Z23" i="15"/>
  <c r="AG211" i="11"/>
  <c r="AG38" i="5" s="1"/>
  <c r="K607" i="32" s="1"/>
  <c r="N96" i="19" l="1"/>
  <c r="C146" i="21" s="1"/>
  <c r="DW23" i="19"/>
  <c r="DW24" i="19" s="1"/>
  <c r="DX21" i="19" s="1"/>
  <c r="DX23" i="19" s="1"/>
  <c r="DX24" i="19" s="1"/>
  <c r="DY21" i="19" s="1"/>
  <c r="DY23" i="19" s="1"/>
  <c r="DY24" i="19" s="1"/>
  <c r="DZ21" i="19" s="1"/>
  <c r="DZ23" i="19" s="1"/>
  <c r="DZ24" i="19" s="1"/>
  <c r="EA21" i="19" s="1"/>
  <c r="EA23" i="19" s="1"/>
  <c r="EA24" i="19" s="1"/>
  <c r="EB21" i="19" s="1"/>
  <c r="EB23" i="19" s="1"/>
  <c r="EB24" i="19" s="1"/>
  <c r="EC21" i="19" s="1"/>
  <c r="EC23" i="19" s="1"/>
  <c r="EC24" i="19" s="1"/>
  <c r="ED21" i="19" s="1"/>
  <c r="ED23" i="19" s="1"/>
  <c r="ED24" i="19" s="1"/>
  <c r="EE21" i="19" s="1"/>
  <c r="EE23" i="19" s="1"/>
  <c r="EE24" i="19" s="1"/>
  <c r="EF21" i="19" s="1"/>
  <c r="EF23" i="19" s="1"/>
  <c r="EF24" i="19" s="1"/>
  <c r="EG21" i="19" s="1"/>
  <c r="EG23" i="19" s="1"/>
  <c r="EG24" i="19" s="1"/>
  <c r="EH21" i="19" s="1"/>
  <c r="EH23" i="19" s="1"/>
  <c r="EH24" i="19" s="1"/>
  <c r="EI21" i="19" s="1"/>
  <c r="EI23" i="19" s="1"/>
  <c r="EI24" i="19" s="1"/>
  <c r="EJ21" i="19" s="1"/>
  <c r="EJ23" i="19" s="1"/>
  <c r="EJ24" i="19" s="1"/>
  <c r="EK21" i="19" s="1"/>
  <c r="EK23" i="19" s="1"/>
  <c r="EK24" i="19" s="1"/>
  <c r="EL21" i="19" s="1"/>
  <c r="EL23" i="19" s="1"/>
  <c r="EL24" i="19" s="1"/>
  <c r="EM21" i="19" s="1"/>
  <c r="EM23" i="19" s="1"/>
  <c r="EM24" i="19" s="1"/>
  <c r="EN21" i="19" s="1"/>
  <c r="EN23" i="19" s="1"/>
  <c r="EN24" i="19" s="1"/>
  <c r="EO21" i="19" s="1"/>
  <c r="EO23" i="19" s="1"/>
  <c r="EO24" i="19" s="1"/>
  <c r="EP21" i="19" s="1"/>
  <c r="EP23" i="19" s="1"/>
  <c r="EP24" i="19" s="1"/>
  <c r="EQ21" i="19" s="1"/>
  <c r="N117" i="19" s="1"/>
  <c r="V36" i="5"/>
  <c r="V202" i="11"/>
  <c r="O32" i="17"/>
  <c r="G739" i="32" s="1"/>
  <c r="J608" i="32"/>
  <c r="Z20" i="15"/>
  <c r="I646" i="32"/>
  <c r="AE207" i="11"/>
  <c r="AF204" i="11" s="1"/>
  <c r="AF206" i="11" s="1"/>
  <c r="AG212" i="11"/>
  <c r="AH209" i="11" s="1"/>
  <c r="AH211" i="11" s="1"/>
  <c r="AA269" i="11"/>
  <c r="AC216" i="11"/>
  <c r="AA21" i="15"/>
  <c r="AM55" i="19"/>
  <c r="AM56" i="19" s="1"/>
  <c r="AN53" i="19" s="1"/>
  <c r="AA18" i="15"/>
  <c r="AC159" i="11"/>
  <c r="AC221" i="11"/>
  <c r="AA22" i="15"/>
  <c r="AC63" i="6"/>
  <c r="AA264" i="11"/>
  <c r="Y78" i="11"/>
  <c r="Y112" i="5" s="1"/>
  <c r="Y80" i="11"/>
  <c r="AB228" i="11"/>
  <c r="AB229" i="11" s="1"/>
  <c r="N97" i="19" l="1"/>
  <c r="N123" i="19"/>
  <c r="EQ23" i="19"/>
  <c r="J23" i="19" s="1"/>
  <c r="V34" i="5"/>
  <c r="U29" i="15"/>
  <c r="W199" i="11"/>
  <c r="AF37" i="5"/>
  <c r="AF207" i="11"/>
  <c r="AG204" i="11" s="1"/>
  <c r="AH38" i="5"/>
  <c r="AH212" i="11"/>
  <c r="AI209" i="11" s="1"/>
  <c r="AI211" i="11" s="1"/>
  <c r="AI38" i="5" s="1"/>
  <c r="Y79" i="11"/>
  <c r="Z76" i="11" s="1"/>
  <c r="AN55" i="19"/>
  <c r="AN56" i="19" s="1"/>
  <c r="AO53" i="19" s="1"/>
  <c r="Y90" i="11"/>
  <c r="Y81" i="11"/>
  <c r="AC227" i="11"/>
  <c r="AD26" i="6" s="1"/>
  <c r="AC223" i="11"/>
  <c r="AC224" i="11" s="1"/>
  <c r="AC161" i="11"/>
  <c r="AC162" i="11" s="1"/>
  <c r="AC226" i="11"/>
  <c r="AA23" i="15"/>
  <c r="AA20" i="15" s="1"/>
  <c r="Y48" i="19"/>
  <c r="AC218" i="11"/>
  <c r="AC219" i="11" s="1"/>
  <c r="AA266" i="11"/>
  <c r="AA267" i="11" s="1"/>
  <c r="AA271" i="11"/>
  <c r="AA272" i="11" s="1"/>
  <c r="C147" i="21" l="1"/>
  <c r="N98" i="19"/>
  <c r="EQ24" i="19"/>
  <c r="W201" i="11"/>
  <c r="AG206" i="11"/>
  <c r="AG37" i="5" s="1"/>
  <c r="K608" i="32" s="1"/>
  <c r="AB264" i="11"/>
  <c r="AD159" i="11"/>
  <c r="AB18" i="15"/>
  <c r="AI212" i="11"/>
  <c r="AJ209" i="11" s="1"/>
  <c r="AD221" i="11"/>
  <c r="AB22" i="15"/>
  <c r="Z78" i="11"/>
  <c r="Z112" i="5" s="1"/>
  <c r="Z80" i="11"/>
  <c r="AB21" i="15"/>
  <c r="AD216" i="11"/>
  <c r="AD63" i="6"/>
  <c r="AB269" i="11"/>
  <c r="AO55" i="19"/>
  <c r="AO56" i="19" s="1"/>
  <c r="AP53" i="19" s="1"/>
  <c r="AC228" i="11"/>
  <c r="AC229" i="11" s="1"/>
  <c r="W36" i="5" l="1"/>
  <c r="W202" i="11"/>
  <c r="AG207" i="11"/>
  <c r="AH204" i="11" s="1"/>
  <c r="AH206" i="11" s="1"/>
  <c r="AH37" i="5" s="1"/>
  <c r="Z79" i="11"/>
  <c r="AA76" i="11" s="1"/>
  <c r="AB23" i="15"/>
  <c r="AB20" i="15" s="1"/>
  <c r="AD226" i="11"/>
  <c r="AD227" i="11"/>
  <c r="AE26" i="6" s="1"/>
  <c r="AD223" i="11"/>
  <c r="AD224" i="11" s="1"/>
  <c r="AJ211" i="11"/>
  <c r="AJ38" i="5" s="1"/>
  <c r="L607" i="32" s="1"/>
  <c r="C607" i="32" s="1"/>
  <c r="AD218" i="11"/>
  <c r="AD219" i="11" s="1"/>
  <c r="AP55" i="19"/>
  <c r="AP56" i="19" s="1"/>
  <c r="AQ53" i="19" s="1"/>
  <c r="V82" i="19"/>
  <c r="J132" i="21" s="1"/>
  <c r="AD161" i="11"/>
  <c r="AD162" i="11" s="1"/>
  <c r="AB271" i="11"/>
  <c r="AB272" i="11" s="1"/>
  <c r="AB266" i="11"/>
  <c r="AB267" i="11" s="1"/>
  <c r="Z81" i="11"/>
  <c r="Z90" i="11"/>
  <c r="Z48" i="19"/>
  <c r="W34" i="5" l="1"/>
  <c r="X199" i="11"/>
  <c r="V29" i="15"/>
  <c r="J566" i="32"/>
  <c r="N15" i="35"/>
  <c r="K15" i="30"/>
  <c r="AH207" i="11"/>
  <c r="AI204" i="11" s="1"/>
  <c r="AJ212" i="11"/>
  <c r="AK209" i="11" s="1"/>
  <c r="AK211" i="11" s="1"/>
  <c r="AK38" i="5" s="1"/>
  <c r="AC264" i="11"/>
  <c r="AQ55" i="19"/>
  <c r="AQ56" i="19" s="1"/>
  <c r="AR53" i="19" s="1"/>
  <c r="AC21" i="15"/>
  <c r="J644" i="32" s="1"/>
  <c r="AE216" i="11"/>
  <c r="AA80" i="11"/>
  <c r="AA78" i="11"/>
  <c r="AA112" i="5" s="1"/>
  <c r="AC22" i="15"/>
  <c r="AE221" i="11"/>
  <c r="AC269" i="11"/>
  <c r="AE63" i="6"/>
  <c r="AC18" i="15"/>
  <c r="AE159" i="11"/>
  <c r="AD228" i="11"/>
  <c r="AD229" i="11" s="1"/>
  <c r="X201" i="11" l="1"/>
  <c r="N27" i="35"/>
  <c r="N13" i="18"/>
  <c r="G773" i="32" s="1"/>
  <c r="J642" i="32"/>
  <c r="N17" i="18"/>
  <c r="G776" i="32" s="1"/>
  <c r="J645" i="32"/>
  <c r="AI206" i="11"/>
  <c r="AI37" i="5" s="1"/>
  <c r="AK212" i="11"/>
  <c r="AL209" i="11" s="1"/>
  <c r="AL211" i="11" s="1"/>
  <c r="AC23" i="15"/>
  <c r="AE226" i="11"/>
  <c r="AR55" i="19"/>
  <c r="AR56" i="19" s="1"/>
  <c r="AS53" i="19" s="1"/>
  <c r="AA90" i="11"/>
  <c r="AA81" i="11"/>
  <c r="AA48" i="19"/>
  <c r="AE218" i="11"/>
  <c r="AE219" i="11" s="1"/>
  <c r="N16" i="18"/>
  <c r="G775" i="32" s="1"/>
  <c r="AC271" i="11"/>
  <c r="AC272" i="11" s="1"/>
  <c r="AE227" i="11"/>
  <c r="AF26" i="6" s="1"/>
  <c r="AE223" i="11"/>
  <c r="AE224" i="11" s="1"/>
  <c r="AC266" i="11"/>
  <c r="AC267" i="11" s="1"/>
  <c r="AA79" i="11"/>
  <c r="AE161" i="11"/>
  <c r="AE162" i="11" s="1"/>
  <c r="X36" i="5" l="1"/>
  <c r="X202" i="11"/>
  <c r="N18" i="18"/>
  <c r="G777" i="32" s="1"/>
  <c r="J646" i="32"/>
  <c r="AI207" i="11"/>
  <c r="AJ204" i="11" s="1"/>
  <c r="AL38" i="5"/>
  <c r="AL212" i="11"/>
  <c r="AM209" i="11" s="1"/>
  <c r="AM211" i="11" s="1"/>
  <c r="AM38" i="5" s="1"/>
  <c r="AC20" i="15"/>
  <c r="AD22" i="15"/>
  <c r="AF221" i="11"/>
  <c r="AS55" i="19"/>
  <c r="AS56" i="19" s="1"/>
  <c r="AT53" i="19" s="1"/>
  <c r="AB76" i="11"/>
  <c r="AF159" i="11"/>
  <c r="AD18" i="15"/>
  <c r="AD269" i="11"/>
  <c r="AD21" i="15"/>
  <c r="AF216" i="11"/>
  <c r="AE228" i="11"/>
  <c r="AE229" i="11" s="1"/>
  <c r="AD264" i="11"/>
  <c r="AF63" i="6"/>
  <c r="X34" i="5" l="1"/>
  <c r="H606" i="32"/>
  <c r="H605" i="32" s="1"/>
  <c r="Y199" i="11"/>
  <c r="W29" i="15"/>
  <c r="N15" i="18"/>
  <c r="AJ206" i="11"/>
  <c r="AJ37" i="5" s="1"/>
  <c r="L608" i="32" s="1"/>
  <c r="C608" i="32" s="1"/>
  <c r="AM212" i="11"/>
  <c r="AN209" i="11" s="1"/>
  <c r="AN211" i="11" s="1"/>
  <c r="AN38" i="5" s="1"/>
  <c r="AD23" i="15"/>
  <c r="AD20" i="15" s="1"/>
  <c r="AF226" i="11"/>
  <c r="AF161" i="11"/>
  <c r="AF162" i="11" s="1"/>
  <c r="AF218" i="11"/>
  <c r="AF219" i="11" s="1"/>
  <c r="AB78" i="11"/>
  <c r="AB112" i="5" s="1"/>
  <c r="AB80" i="11"/>
  <c r="AT55" i="19"/>
  <c r="AT56" i="19" s="1"/>
  <c r="AU53" i="19" s="1"/>
  <c r="AD266" i="11"/>
  <c r="AD267" i="11" s="1"/>
  <c r="AF227" i="11"/>
  <c r="AG26" i="6" s="1"/>
  <c r="AF223" i="11"/>
  <c r="AF224" i="11" s="1"/>
  <c r="AD271" i="11"/>
  <c r="AD272" i="11" s="1"/>
  <c r="Y201" i="11" l="1"/>
  <c r="M24" i="18"/>
  <c r="H651" i="32"/>
  <c r="AJ207" i="11"/>
  <c r="AK204" i="11" s="1"/>
  <c r="AK206" i="11" s="1"/>
  <c r="AK37" i="5" s="1"/>
  <c r="AE269" i="11"/>
  <c r="AE21" i="15"/>
  <c r="AG216" i="11"/>
  <c r="AG159" i="11"/>
  <c r="AE18" i="15"/>
  <c r="AB48" i="19"/>
  <c r="AG63" i="6"/>
  <c r="AN212" i="11"/>
  <c r="AO209" i="11" s="1"/>
  <c r="AU55" i="19"/>
  <c r="AU56" i="19" s="1"/>
  <c r="AV53" i="19" s="1"/>
  <c r="V83" i="19" s="1"/>
  <c r="J133" i="21" s="1"/>
  <c r="AE22" i="15"/>
  <c r="AG221" i="11"/>
  <c r="AE264" i="11"/>
  <c r="AB79" i="11"/>
  <c r="AB90" i="11"/>
  <c r="AB81" i="11"/>
  <c r="AF228" i="11"/>
  <c r="AF229" i="11" s="1"/>
  <c r="E220" i="32" l="1"/>
  <c r="F782" i="32"/>
  <c r="Y36" i="5"/>
  <c r="Y34" i="5" s="1"/>
  <c r="Y202" i="11"/>
  <c r="AK207" i="11"/>
  <c r="AL204" i="11" s="1"/>
  <c r="AG226" i="11"/>
  <c r="AE23" i="15"/>
  <c r="AE20" i="15" s="1"/>
  <c r="AO211" i="11"/>
  <c r="AO38" i="5" s="1"/>
  <c r="AG161" i="11"/>
  <c r="AG162" i="11" s="1"/>
  <c r="AC76" i="11"/>
  <c r="AE266" i="11"/>
  <c r="AE267" i="11" s="1"/>
  <c r="AG218" i="11"/>
  <c r="AG219" i="11" s="1"/>
  <c r="AV55" i="19"/>
  <c r="AV56" i="19" s="1"/>
  <c r="AW53" i="19" s="1"/>
  <c r="AG223" i="11"/>
  <c r="AG224" i="11" s="1"/>
  <c r="AG227" i="11"/>
  <c r="AH26" i="6" s="1"/>
  <c r="AE271" i="11"/>
  <c r="AE272" i="11" s="1"/>
  <c r="Z199" i="11" l="1"/>
  <c r="X29" i="15"/>
  <c r="K566" i="32"/>
  <c r="L15" i="30"/>
  <c r="O15" i="35"/>
  <c r="AL206" i="11"/>
  <c r="AL37" i="5" s="1"/>
  <c r="AO212" i="11"/>
  <c r="AP209" i="11" s="1"/>
  <c r="AP211" i="11" s="1"/>
  <c r="AP38" i="5" s="1"/>
  <c r="AW55" i="19"/>
  <c r="AW56" i="19" s="1"/>
  <c r="AX53" i="19" s="1"/>
  <c r="AH216" i="11"/>
  <c r="AF21" i="15"/>
  <c r="K644" i="32" s="1"/>
  <c r="AF269" i="11"/>
  <c r="AH221" i="11"/>
  <c r="AF22" i="15"/>
  <c r="K645" i="32" s="1"/>
  <c r="AH159" i="11"/>
  <c r="AF18" i="15"/>
  <c r="K642" i="32" s="1"/>
  <c r="AH63" i="6"/>
  <c r="AF264" i="11"/>
  <c r="AC80" i="11"/>
  <c r="AC78" i="11"/>
  <c r="AC112" i="5" s="1"/>
  <c r="AG228" i="11"/>
  <c r="AG229" i="11" s="1"/>
  <c r="Z201" i="11" l="1"/>
  <c r="O27" i="35"/>
  <c r="AL207" i="11"/>
  <c r="AM204" i="11" s="1"/>
  <c r="AP212" i="11"/>
  <c r="AQ209" i="11" s="1"/>
  <c r="AQ211" i="11" s="1"/>
  <c r="AX55" i="19"/>
  <c r="AX56" i="19" s="1"/>
  <c r="AY53" i="19" s="1"/>
  <c r="AC79" i="11"/>
  <c r="AH161" i="11"/>
  <c r="AH162" i="11" s="1"/>
  <c r="AC48" i="19"/>
  <c r="AH223" i="11"/>
  <c r="AH224" i="11" s="1"/>
  <c r="AH227" i="11"/>
  <c r="AI26" i="6" s="1"/>
  <c r="AF271" i="11"/>
  <c r="AF272" i="11" s="1"/>
  <c r="AC90" i="11"/>
  <c r="AC81" i="11"/>
  <c r="AH218" i="11"/>
  <c r="AH219" i="11" s="1"/>
  <c r="AF266" i="11"/>
  <c r="AF267" i="11" s="1"/>
  <c r="AH226" i="11"/>
  <c r="AF23" i="15"/>
  <c r="Z36" i="5" l="1"/>
  <c r="Z34" i="5" s="1"/>
  <c r="Z202" i="11"/>
  <c r="AF20" i="15"/>
  <c r="K646" i="32"/>
  <c r="AM206" i="11"/>
  <c r="AM37" i="5" s="1"/>
  <c r="AQ38" i="5"/>
  <c r="AQ212" i="11"/>
  <c r="AR209" i="11" s="1"/>
  <c r="AR211" i="11" s="1"/>
  <c r="AR38" i="5" s="1"/>
  <c r="AG264" i="11"/>
  <c r="AI221" i="11"/>
  <c r="AG22" i="15"/>
  <c r="AY55" i="19"/>
  <c r="AY56" i="19" s="1"/>
  <c r="AZ53" i="19" s="1"/>
  <c r="AH228" i="11"/>
  <c r="AH229" i="11" s="1"/>
  <c r="AG18" i="15"/>
  <c r="AI159" i="11"/>
  <c r="AD76" i="11"/>
  <c r="AI63" i="6"/>
  <c r="AG269" i="11"/>
  <c r="AG21" i="15"/>
  <c r="AI216" i="11"/>
  <c r="AA199" i="11" l="1"/>
  <c r="Y29" i="15"/>
  <c r="AM207" i="11"/>
  <c r="AN204" i="11" s="1"/>
  <c r="AN206" i="11" s="1"/>
  <c r="AN37" i="5" s="1"/>
  <c r="AZ55" i="19"/>
  <c r="AZ56" i="19" s="1"/>
  <c r="BA53" i="19" s="1"/>
  <c r="AR212" i="11"/>
  <c r="AS209" i="11" s="1"/>
  <c r="AI226" i="11"/>
  <c r="AG23" i="15"/>
  <c r="AG20" i="15" s="1"/>
  <c r="AD80" i="11"/>
  <c r="AD78" i="11"/>
  <c r="AD112" i="5" s="1"/>
  <c r="AG271" i="11"/>
  <c r="AG272" i="11" s="1"/>
  <c r="AI161" i="11"/>
  <c r="AI162" i="11" s="1"/>
  <c r="AI227" i="11"/>
  <c r="AJ26" i="6" s="1"/>
  <c r="AI223" i="11"/>
  <c r="AI224" i="11" s="1"/>
  <c r="AG266" i="11"/>
  <c r="AG267" i="11" s="1"/>
  <c r="AI218" i="11"/>
  <c r="AI219" i="11" s="1"/>
  <c r="AA201" i="11" l="1"/>
  <c r="AN207" i="11"/>
  <c r="AO204" i="11" s="1"/>
  <c r="AD79" i="11"/>
  <c r="AE76" i="11" s="1"/>
  <c r="AE78" i="11" s="1"/>
  <c r="AE112" i="5" s="1"/>
  <c r="AH269" i="11"/>
  <c r="AH264" i="11"/>
  <c r="BA55" i="19"/>
  <c r="BA56" i="19" s="1"/>
  <c r="BB53" i="19" s="1"/>
  <c r="V84" i="19" s="1"/>
  <c r="J134" i="21" s="1"/>
  <c r="AI228" i="11"/>
  <c r="AI229" i="11" s="1"/>
  <c r="AJ63" i="6"/>
  <c r="AS211" i="11"/>
  <c r="AS38" i="5" s="1"/>
  <c r="AH18" i="15"/>
  <c r="AJ159" i="11"/>
  <c r="AH21" i="15"/>
  <c r="AJ216" i="11"/>
  <c r="AD48" i="19"/>
  <c r="AH22" i="15"/>
  <c r="AJ221" i="11"/>
  <c r="AD81" i="11"/>
  <c r="AD90" i="11"/>
  <c r="AA36" i="5" l="1"/>
  <c r="AA202" i="11"/>
  <c r="AO206" i="11"/>
  <c r="AO37" i="5" s="1"/>
  <c r="AE80" i="11"/>
  <c r="AE81" i="11" s="1"/>
  <c r="AH23" i="15"/>
  <c r="AH20" i="15" s="1"/>
  <c r="AJ226" i="11"/>
  <c r="AJ218" i="11"/>
  <c r="AJ219" i="11" s="1"/>
  <c r="AE48" i="19"/>
  <c r="BB55" i="19"/>
  <c r="BB56" i="19" s="1"/>
  <c r="BC53" i="19" s="1"/>
  <c r="AJ161" i="11"/>
  <c r="AJ162" i="11" s="1"/>
  <c r="AJ227" i="11"/>
  <c r="AK26" i="6" s="1"/>
  <c r="AJ223" i="11"/>
  <c r="AJ224" i="11" s="1"/>
  <c r="AE79" i="11"/>
  <c r="AH266" i="11"/>
  <c r="AH267" i="11" s="1"/>
  <c r="AH271" i="11"/>
  <c r="AH272" i="11" s="1"/>
  <c r="AS212" i="11"/>
  <c r="AT209" i="11" s="1"/>
  <c r="I606" i="32" l="1"/>
  <c r="I605" i="32" s="1"/>
  <c r="AA34" i="5"/>
  <c r="AB199" i="11"/>
  <c r="Z29" i="15"/>
  <c r="L566" i="32"/>
  <c r="C566" i="32" s="1"/>
  <c r="P15" i="35"/>
  <c r="M15" i="30"/>
  <c r="AO207" i="11"/>
  <c r="AP204" i="11" s="1"/>
  <c r="AP206" i="11" s="1"/>
  <c r="AP37" i="5" s="1"/>
  <c r="AE90" i="11"/>
  <c r="BC55" i="19"/>
  <c r="BC56" i="19" s="1"/>
  <c r="BD53" i="19" s="1"/>
  <c r="AI269" i="11"/>
  <c r="AI264" i="11"/>
  <c r="AK63" i="6"/>
  <c r="AI22" i="15"/>
  <c r="AK221" i="11"/>
  <c r="AT211" i="11"/>
  <c r="AT38" i="5" s="1"/>
  <c r="AK159" i="11"/>
  <c r="AI18" i="15"/>
  <c r="AK216" i="11"/>
  <c r="AI21" i="15"/>
  <c r="L644" i="32" s="1"/>
  <c r="AF76" i="11"/>
  <c r="AJ228" i="11"/>
  <c r="AJ229" i="11" s="1"/>
  <c r="AB201" i="11" l="1"/>
  <c r="I651" i="32"/>
  <c r="P27" i="35"/>
  <c r="H27" i="35" s="1"/>
  <c r="H15" i="35"/>
  <c r="O17" i="18"/>
  <c r="L645" i="32"/>
  <c r="O13" i="18"/>
  <c r="L642" i="32"/>
  <c r="AP207" i="11"/>
  <c r="AQ204" i="11" s="1"/>
  <c r="AK161" i="11"/>
  <c r="AK162" i="11" s="1"/>
  <c r="AI266" i="11"/>
  <c r="AI267" i="11" s="1"/>
  <c r="AF80" i="11"/>
  <c r="AF78" i="11"/>
  <c r="AF112" i="5" s="1"/>
  <c r="O16" i="18"/>
  <c r="AT212" i="11"/>
  <c r="AU209" i="11" s="1"/>
  <c r="AK227" i="11"/>
  <c r="AL26" i="6" s="1"/>
  <c r="AK223" i="11"/>
  <c r="AK224" i="11" s="1"/>
  <c r="AI271" i="11"/>
  <c r="AI272" i="11" s="1"/>
  <c r="BD55" i="19"/>
  <c r="BD56" i="19" s="1"/>
  <c r="BE53" i="19" s="1"/>
  <c r="AI23" i="15"/>
  <c r="AK226" i="11"/>
  <c r="AK218" i="11"/>
  <c r="AK219" i="11" s="1"/>
  <c r="AB36" i="5" l="1"/>
  <c r="AB202" i="11"/>
  <c r="O18" i="18"/>
  <c r="O15" i="18" s="1"/>
  <c r="L646" i="32"/>
  <c r="F212" i="32"/>
  <c r="H773" i="32"/>
  <c r="F214" i="32"/>
  <c r="H775" i="32"/>
  <c r="F215" i="32"/>
  <c r="H776" i="32"/>
  <c r="AQ206" i="11"/>
  <c r="AQ37" i="5" s="1"/>
  <c r="AF79" i="11"/>
  <c r="AG76" i="11" s="1"/>
  <c r="AJ21" i="15"/>
  <c r="AL216" i="11"/>
  <c r="BE55" i="19"/>
  <c r="BE56" i="19" s="1"/>
  <c r="BF53" i="19" s="1"/>
  <c r="AJ18" i="15"/>
  <c r="AL159" i="11"/>
  <c r="AJ22" i="15"/>
  <c r="AL221" i="11"/>
  <c r="AF48" i="19"/>
  <c r="AF90" i="11"/>
  <c r="AF81" i="11"/>
  <c r="AJ264" i="11"/>
  <c r="AJ269" i="11"/>
  <c r="AU211" i="11"/>
  <c r="AU38" i="5" s="1"/>
  <c r="AK228" i="11"/>
  <c r="AK229" i="11" s="1"/>
  <c r="AL63" i="6"/>
  <c r="AI20" i="15"/>
  <c r="AB34" i="5" l="1"/>
  <c r="AA29" i="15"/>
  <c r="AC199" i="11"/>
  <c r="AQ207" i="11"/>
  <c r="AR204" i="11" s="1"/>
  <c r="AR206" i="11" s="1"/>
  <c r="AR37" i="5" s="1"/>
  <c r="F216" i="32"/>
  <c r="H777" i="32"/>
  <c r="AJ23" i="15"/>
  <c r="AJ20" i="15" s="1"/>
  <c r="AL226" i="11"/>
  <c r="AL227" i="11"/>
  <c r="AM26" i="6" s="1"/>
  <c r="AL223" i="11"/>
  <c r="AL224" i="11" s="1"/>
  <c r="AJ271" i="11"/>
  <c r="AJ272" i="11" s="1"/>
  <c r="AL161" i="11"/>
  <c r="AL162" i="11" s="1"/>
  <c r="AG78" i="11"/>
  <c r="AG112" i="5" s="1"/>
  <c r="AG80" i="11"/>
  <c r="AJ266" i="11"/>
  <c r="AJ267" i="11" s="1"/>
  <c r="BF55" i="19"/>
  <c r="BF56" i="19" s="1"/>
  <c r="BG53" i="19" s="1"/>
  <c r="AL218" i="11"/>
  <c r="AL219" i="11" s="1"/>
  <c r="AU212" i="11"/>
  <c r="AV209" i="11" s="1"/>
  <c r="AC201" i="11" l="1"/>
  <c r="AR207" i="11"/>
  <c r="AS204" i="11" s="1"/>
  <c r="AK269" i="11"/>
  <c r="AM216" i="11"/>
  <c r="AK21" i="15"/>
  <c r="AM63" i="6"/>
  <c r="AM221" i="11"/>
  <c r="AK22" i="15"/>
  <c r="AG90" i="11"/>
  <c r="AG81" i="11"/>
  <c r="BG55" i="19"/>
  <c r="BG56" i="19" s="1"/>
  <c r="BH53" i="19" s="1"/>
  <c r="AG79" i="11"/>
  <c r="AK264" i="11"/>
  <c r="AM159" i="11"/>
  <c r="AK18" i="15"/>
  <c r="AG48" i="19"/>
  <c r="AV211" i="11"/>
  <c r="AV38" i="5" s="1"/>
  <c r="AL228" i="11"/>
  <c r="AL229" i="11" s="1"/>
  <c r="AC36" i="5" l="1"/>
  <c r="AC202" i="11"/>
  <c r="AS206" i="11"/>
  <c r="AS37" i="5" s="1"/>
  <c r="AM226" i="11"/>
  <c r="AK23" i="15"/>
  <c r="AK20" i="15" s="1"/>
  <c r="BH55" i="19"/>
  <c r="BH56" i="19" s="1"/>
  <c r="BI53" i="19" s="1"/>
  <c r="V85" i="19"/>
  <c r="J135" i="21" s="1"/>
  <c r="AM161" i="11"/>
  <c r="AM162" i="11" s="1"/>
  <c r="AK266" i="11"/>
  <c r="AK267" i="11" s="1"/>
  <c r="AM227" i="11"/>
  <c r="AN26" i="6" s="1"/>
  <c r="AM223" i="11"/>
  <c r="AM224" i="11" s="1"/>
  <c r="AH76" i="11"/>
  <c r="AM218" i="11"/>
  <c r="AM219" i="11" s="1"/>
  <c r="AV212" i="11"/>
  <c r="AW209" i="11" s="1"/>
  <c r="AK271" i="11"/>
  <c r="AK272" i="11" s="1"/>
  <c r="AC34" i="5" l="1"/>
  <c r="AD199" i="11"/>
  <c r="AB29" i="15"/>
  <c r="AS207" i="11"/>
  <c r="AT204" i="11" s="1"/>
  <c r="AL22" i="15"/>
  <c r="AN221" i="11"/>
  <c r="AN216" i="11"/>
  <c r="AL21" i="15"/>
  <c r="BI55" i="19"/>
  <c r="BI56" i="19" s="1"/>
  <c r="BJ53" i="19" s="1"/>
  <c r="AN63" i="6"/>
  <c r="AL264" i="11"/>
  <c r="AN159" i="11"/>
  <c r="AL18" i="15"/>
  <c r="AW211" i="11"/>
  <c r="AW38" i="5" s="1"/>
  <c r="AH78" i="11"/>
  <c r="AH112" i="5" s="1"/>
  <c r="AH80" i="11"/>
  <c r="AL269" i="11"/>
  <c r="AM228" i="11"/>
  <c r="AM229" i="11" s="1"/>
  <c r="AD201" i="11" l="1"/>
  <c r="AT206" i="11"/>
  <c r="AT37" i="5" s="1"/>
  <c r="AH79" i="11"/>
  <c r="AI76" i="11" s="1"/>
  <c r="BJ55" i="19"/>
  <c r="BJ56" i="19" s="1"/>
  <c r="BK53" i="19" s="1"/>
  <c r="AN226" i="11"/>
  <c r="AL23" i="15"/>
  <c r="AL20" i="15" s="1"/>
  <c r="AH90" i="11"/>
  <c r="AH81" i="11"/>
  <c r="AH48" i="19"/>
  <c r="AW212" i="11"/>
  <c r="AX209" i="11" s="1"/>
  <c r="AN218" i="11"/>
  <c r="AN219" i="11" s="1"/>
  <c r="AN223" i="11"/>
  <c r="AN224" i="11" s="1"/>
  <c r="AN227" i="11"/>
  <c r="AO26" i="6" s="1"/>
  <c r="AL271" i="11"/>
  <c r="AL272" i="11" s="1"/>
  <c r="AN161" i="11"/>
  <c r="AN162" i="11" s="1"/>
  <c r="AL266" i="11"/>
  <c r="AL267" i="11" s="1"/>
  <c r="AD36" i="5" l="1"/>
  <c r="AD202" i="11"/>
  <c r="AT207" i="11"/>
  <c r="AU204" i="11" s="1"/>
  <c r="AU206" i="11" s="1"/>
  <c r="AU37" i="5" s="1"/>
  <c r="AM18" i="15"/>
  <c r="AO159" i="11"/>
  <c r="AM269" i="11"/>
  <c r="AM22" i="15"/>
  <c r="AO221" i="11"/>
  <c r="AO216" i="11"/>
  <c r="AM21" i="15"/>
  <c r="BK55" i="19"/>
  <c r="BK56" i="19" s="1"/>
  <c r="BL53" i="19" s="1"/>
  <c r="AO63" i="6"/>
  <c r="AM264" i="11"/>
  <c r="AN228" i="11"/>
  <c r="AN229" i="11" s="1"/>
  <c r="AI80" i="11"/>
  <c r="AI78" i="11"/>
  <c r="AI112" i="5" s="1"/>
  <c r="AX211" i="11"/>
  <c r="AX38" i="5" s="1"/>
  <c r="AD34" i="5" l="1"/>
  <c r="J606" i="32"/>
  <c r="J605" i="32" s="1"/>
  <c r="AC29" i="15"/>
  <c r="AE199" i="11"/>
  <c r="AU207" i="11"/>
  <c r="AV204" i="11" s="1"/>
  <c r="AI79" i="11"/>
  <c r="AJ76" i="11" s="1"/>
  <c r="AM23" i="15"/>
  <c r="AM20" i="15" s="1"/>
  <c r="AO226" i="11"/>
  <c r="BL55" i="19"/>
  <c r="BL56" i="19" s="1"/>
  <c r="BM53" i="19" s="1"/>
  <c r="AO223" i="11"/>
  <c r="AO224" i="11" s="1"/>
  <c r="AO227" i="11"/>
  <c r="AP26" i="6" s="1"/>
  <c r="AX212" i="11"/>
  <c r="AY209" i="11" s="1"/>
  <c r="AM266" i="11"/>
  <c r="AM267" i="11" s="1"/>
  <c r="AO218" i="11"/>
  <c r="AO219" i="11" s="1"/>
  <c r="AM271" i="11"/>
  <c r="AM272" i="11" s="1"/>
  <c r="AI48" i="19"/>
  <c r="AO161" i="11"/>
  <c r="AO162" i="11" s="1"/>
  <c r="AI90" i="11"/>
  <c r="AI81" i="11"/>
  <c r="N24" i="18" l="1"/>
  <c r="J651" i="32"/>
  <c r="AE201" i="11"/>
  <c r="AV206" i="11"/>
  <c r="AV37" i="5" s="1"/>
  <c r="AN18" i="15"/>
  <c r="AP159" i="11"/>
  <c r="BM55" i="19"/>
  <c r="BM56" i="19" s="1"/>
  <c r="BN53" i="19" s="1"/>
  <c r="AN22" i="15"/>
  <c r="AP221" i="11"/>
  <c r="AP63" i="6"/>
  <c r="AN269" i="11"/>
  <c r="AN264" i="11"/>
  <c r="AJ80" i="11"/>
  <c r="AJ78" i="11"/>
  <c r="AJ112" i="5" s="1"/>
  <c r="AP216" i="11"/>
  <c r="AN21" i="15"/>
  <c r="AY211" i="11"/>
  <c r="AY38" i="5" s="1"/>
  <c r="AO228" i="11"/>
  <c r="AO229" i="11" s="1"/>
  <c r="G782" i="32" l="1"/>
  <c r="AE36" i="5"/>
  <c r="AE34" i="5" s="1"/>
  <c r="AE202" i="11"/>
  <c r="AV207" i="11"/>
  <c r="AW204" i="11" s="1"/>
  <c r="AP226" i="11"/>
  <c r="AN23" i="15"/>
  <c r="AN20" i="15" s="1"/>
  <c r="BN55" i="19"/>
  <c r="BN56" i="19" s="1"/>
  <c r="BO53" i="19" s="1"/>
  <c r="V86" i="19"/>
  <c r="J136" i="21" s="1"/>
  <c r="AY212" i="11"/>
  <c r="AZ209" i="11" s="1"/>
  <c r="AP223" i="11"/>
  <c r="AP224" i="11" s="1"/>
  <c r="AP227" i="11"/>
  <c r="AQ26" i="6" s="1"/>
  <c r="AP218" i="11"/>
  <c r="AP219" i="11" s="1"/>
  <c r="AN266" i="11"/>
  <c r="AN267" i="11" s="1"/>
  <c r="AJ48" i="19"/>
  <c r="AJ81" i="11"/>
  <c r="AJ90" i="11"/>
  <c r="AN271" i="11"/>
  <c r="AN272" i="11" s="1"/>
  <c r="AJ79" i="11"/>
  <c r="AK76" i="11" s="1"/>
  <c r="AP161" i="11"/>
  <c r="AP162" i="11" s="1"/>
  <c r="AF199" i="11" l="1"/>
  <c r="AD29" i="15"/>
  <c r="AW206" i="11"/>
  <c r="AW37" i="5" s="1"/>
  <c r="AQ221" i="11"/>
  <c r="AO22" i="15"/>
  <c r="P17" i="18" s="1"/>
  <c r="BO55" i="19"/>
  <c r="BO56" i="19" s="1"/>
  <c r="BP53" i="19" s="1"/>
  <c r="AO264" i="11"/>
  <c r="AZ211" i="11"/>
  <c r="AZ38" i="5" s="1"/>
  <c r="AQ63" i="6"/>
  <c r="AO18" i="15"/>
  <c r="P13" i="18" s="1"/>
  <c r="AQ159" i="11"/>
  <c r="AQ216" i="11"/>
  <c r="AO21" i="15"/>
  <c r="AK78" i="11"/>
  <c r="AK112" i="5" s="1"/>
  <c r="AK80" i="11"/>
  <c r="AO269" i="11"/>
  <c r="AP228" i="11"/>
  <c r="AP229" i="11" s="1"/>
  <c r="AF201" i="11" l="1"/>
  <c r="AW207" i="11"/>
  <c r="AX204" i="11" s="1"/>
  <c r="AK79" i="11"/>
  <c r="AL76" i="11" s="1"/>
  <c r="AZ212" i="11"/>
  <c r="BA209" i="11" s="1"/>
  <c r="BA211" i="11" s="1"/>
  <c r="BA38" i="5" s="1"/>
  <c r="AQ226" i="11"/>
  <c r="AO23" i="15"/>
  <c r="P18" i="18" s="1"/>
  <c r="BP55" i="19"/>
  <c r="BP56" i="19" s="1"/>
  <c r="BQ53" i="19" s="1"/>
  <c r="AO271" i="11"/>
  <c r="AO272" i="11" s="1"/>
  <c r="AQ161" i="11"/>
  <c r="AQ162" i="11" s="1"/>
  <c r="AO266" i="11"/>
  <c r="AO267" i="11" s="1"/>
  <c r="AK90" i="11"/>
  <c r="AK81" i="11"/>
  <c r="P16" i="18"/>
  <c r="AK48" i="19"/>
  <c r="AQ218" i="11"/>
  <c r="AQ219" i="11" s="1"/>
  <c r="AQ227" i="11"/>
  <c r="AR26" i="6" s="1"/>
  <c r="AQ223" i="11"/>
  <c r="AQ224" i="11" s="1"/>
  <c r="AF36" i="5" l="1"/>
  <c r="AF34" i="5" s="1"/>
  <c r="AF202" i="11"/>
  <c r="AX206" i="11"/>
  <c r="AX37" i="5" s="1"/>
  <c r="P15" i="18"/>
  <c r="AR159" i="11"/>
  <c r="AP18" i="15"/>
  <c r="AP269" i="11"/>
  <c r="BQ55" i="19"/>
  <c r="BQ56" i="19" s="1"/>
  <c r="BR53" i="19" s="1"/>
  <c r="AP21" i="15"/>
  <c r="AR216" i="11"/>
  <c r="AR221" i="11"/>
  <c r="AP22" i="15"/>
  <c r="AQ228" i="11"/>
  <c r="AQ229" i="11" s="1"/>
  <c r="AL78" i="11"/>
  <c r="AL112" i="5" s="1"/>
  <c r="AL80" i="11"/>
  <c r="BA212" i="11"/>
  <c r="BB209" i="11" s="1"/>
  <c r="AR63" i="6"/>
  <c r="AP264" i="11"/>
  <c r="AO20" i="15"/>
  <c r="AE29" i="15" l="1"/>
  <c r="AG199" i="11"/>
  <c r="AX207" i="11"/>
  <c r="AY204" i="11" s="1"/>
  <c r="AL79" i="11"/>
  <c r="AM76" i="11" s="1"/>
  <c r="BR55" i="19"/>
  <c r="BR56" i="19" s="1"/>
  <c r="BS53" i="19" s="1"/>
  <c r="AR223" i="11"/>
  <c r="AR224" i="11" s="1"/>
  <c r="AR227" i="11"/>
  <c r="AS26" i="6" s="1"/>
  <c r="AR218" i="11"/>
  <c r="AR219" i="11" s="1"/>
  <c r="BB211" i="11"/>
  <c r="BB38" i="5" s="1"/>
  <c r="AL90" i="11"/>
  <c r="AL81" i="11"/>
  <c r="AP271" i="11"/>
  <c r="AP272" i="11" s="1"/>
  <c r="AL48" i="19"/>
  <c r="AP266" i="11"/>
  <c r="AP267" i="11" s="1"/>
  <c r="AP23" i="15"/>
  <c r="AP20" i="15" s="1"/>
  <c r="AR226" i="11"/>
  <c r="AR161" i="11"/>
  <c r="AR162" i="11" s="1"/>
  <c r="AG201" i="11" l="1"/>
  <c r="AY206" i="11"/>
  <c r="AY37" i="5" s="1"/>
  <c r="BB212" i="11"/>
  <c r="BC209" i="11" s="1"/>
  <c r="BC211" i="11" s="1"/>
  <c r="BC38" i="5" s="1"/>
  <c r="AQ264" i="11"/>
  <c r="AQ21" i="15"/>
  <c r="AS216" i="11"/>
  <c r="AQ269" i="11"/>
  <c r="AQ18" i="15"/>
  <c r="AS159" i="11"/>
  <c r="AM80" i="11"/>
  <c r="AM78" i="11"/>
  <c r="AM112" i="5" s="1"/>
  <c r="AS221" i="11"/>
  <c r="AQ22" i="15"/>
  <c r="AS63" i="6"/>
  <c r="AR228" i="11"/>
  <c r="AR229" i="11" s="1"/>
  <c r="BS55" i="19"/>
  <c r="BS56" i="19" s="1"/>
  <c r="BT53" i="19" s="1"/>
  <c r="AG36" i="5" l="1"/>
  <c r="AG202" i="11"/>
  <c r="AY207" i="11"/>
  <c r="AZ204" i="11" s="1"/>
  <c r="AZ206" i="11" s="1"/>
  <c r="BC212" i="11"/>
  <c r="BD209" i="11" s="1"/>
  <c r="BD211" i="11" s="1"/>
  <c r="BD38" i="5" s="1"/>
  <c r="AM81" i="11"/>
  <c r="AM90" i="11"/>
  <c r="AM48" i="19"/>
  <c r="AM79" i="11"/>
  <c r="AS161" i="11"/>
  <c r="AS162" i="11" s="1"/>
  <c r="AQ271" i="11"/>
  <c r="AQ272" i="11" s="1"/>
  <c r="AS223" i="11"/>
  <c r="AS224" i="11" s="1"/>
  <c r="AS227" i="11"/>
  <c r="AT26" i="6" s="1"/>
  <c r="BT55" i="19"/>
  <c r="BT56" i="19" s="1"/>
  <c r="BU53" i="19" s="1"/>
  <c r="V87" i="19"/>
  <c r="J137" i="21" s="1"/>
  <c r="AQ23" i="15"/>
  <c r="AQ20" i="15" s="1"/>
  <c r="AS226" i="11"/>
  <c r="AS218" i="11"/>
  <c r="AS219" i="11" s="1"/>
  <c r="AQ266" i="11"/>
  <c r="AQ267" i="11" s="1"/>
  <c r="K606" i="32" l="1"/>
  <c r="AG34" i="5"/>
  <c r="AH199" i="11"/>
  <c r="AF29" i="15"/>
  <c r="AZ37" i="5"/>
  <c r="AZ207" i="11"/>
  <c r="BA204" i="11" s="1"/>
  <c r="BA206" i="11" s="1"/>
  <c r="BA37" i="5" s="1"/>
  <c r="BD212" i="11"/>
  <c r="BE209" i="11" s="1"/>
  <c r="BE211" i="11" s="1"/>
  <c r="BE38" i="5" s="1"/>
  <c r="AR264" i="11"/>
  <c r="AT221" i="11"/>
  <c r="AR22" i="15"/>
  <c r="AR18" i="15"/>
  <c r="AT159" i="11"/>
  <c r="BU55" i="19"/>
  <c r="BU56" i="19" s="1"/>
  <c r="BV53" i="19" s="1"/>
  <c r="AN76" i="11"/>
  <c r="AT63" i="6"/>
  <c r="AR21" i="15"/>
  <c r="AT216" i="11"/>
  <c r="AS228" i="11"/>
  <c r="AS229" i="11" s="1"/>
  <c r="AR269" i="11"/>
  <c r="K605" i="32" l="1"/>
  <c r="AH201" i="11"/>
  <c r="K651" i="32"/>
  <c r="BA207" i="11"/>
  <c r="BB204" i="11" s="1"/>
  <c r="BE212" i="11"/>
  <c r="BF209" i="11" s="1"/>
  <c r="BF211" i="11" s="1"/>
  <c r="BF38" i="5" s="1"/>
  <c r="BV55" i="19"/>
  <c r="BV56" i="19" s="1"/>
  <c r="BW53" i="19" s="1"/>
  <c r="AN78" i="11"/>
  <c r="AN112" i="5" s="1"/>
  <c r="AN80" i="11"/>
  <c r="AT161" i="11"/>
  <c r="AT162" i="11" s="1"/>
  <c r="AT226" i="11"/>
  <c r="AR23" i="15"/>
  <c r="AR20" i="15" s="1"/>
  <c r="AT218" i="11"/>
  <c r="AT219" i="11" s="1"/>
  <c r="AR271" i="11"/>
  <c r="AR272" i="11" s="1"/>
  <c r="AT227" i="11"/>
  <c r="AU26" i="6" s="1"/>
  <c r="AT223" i="11"/>
  <c r="AT224" i="11" s="1"/>
  <c r="AR266" i="11"/>
  <c r="AR267" i="11" s="1"/>
  <c r="AH36" i="5" l="1"/>
  <c r="AH202" i="11"/>
  <c r="BB206" i="11"/>
  <c r="BB37" i="5" s="1"/>
  <c r="S32" i="17" s="1"/>
  <c r="AN79" i="11"/>
  <c r="AO76" i="11" s="1"/>
  <c r="AS264" i="11"/>
  <c r="AS18" i="15"/>
  <c r="AU159" i="11"/>
  <c r="BW55" i="19"/>
  <c r="BW56" i="19" s="1"/>
  <c r="BX53" i="19" s="1"/>
  <c r="AN90" i="11"/>
  <c r="AN81" i="11"/>
  <c r="AN48" i="19"/>
  <c r="AS269" i="11"/>
  <c r="AS21" i="15"/>
  <c r="AU216" i="11"/>
  <c r="AT228" i="11"/>
  <c r="AT229" i="11" s="1"/>
  <c r="AU63" i="6"/>
  <c r="AS22" i="15"/>
  <c r="AU221" i="11"/>
  <c r="BF212" i="11"/>
  <c r="BG209" i="11" s="1"/>
  <c r="AH34" i="5" l="1"/>
  <c r="AG29" i="15"/>
  <c r="AI199" i="11"/>
  <c r="BB207" i="11"/>
  <c r="BC204" i="11" s="1"/>
  <c r="BX55" i="19"/>
  <c r="BX56" i="19" s="1"/>
  <c r="BY53" i="19" s="1"/>
  <c r="AS271" i="11"/>
  <c r="AS272" i="11" s="1"/>
  <c r="AU161" i="11"/>
  <c r="AU162" i="11" s="1"/>
  <c r="AU218" i="11"/>
  <c r="AU219" i="11" s="1"/>
  <c r="AO78" i="11"/>
  <c r="AO112" i="5" s="1"/>
  <c r="AO80" i="11"/>
  <c r="AS266" i="11"/>
  <c r="AS267" i="11" s="1"/>
  <c r="AU227" i="11"/>
  <c r="AV26" i="6" s="1"/>
  <c r="AU223" i="11"/>
  <c r="AU224" i="11" s="1"/>
  <c r="AU226" i="11"/>
  <c r="AS23" i="15"/>
  <c r="AS20" i="15" s="1"/>
  <c r="BG211" i="11"/>
  <c r="BG38" i="5" s="1"/>
  <c r="AI201" i="11" l="1"/>
  <c r="BC206" i="11"/>
  <c r="BC37" i="5" s="1"/>
  <c r="AT269" i="11"/>
  <c r="BY55" i="19"/>
  <c r="BY56" i="19" s="1"/>
  <c r="BZ53" i="19" s="1"/>
  <c r="AO48" i="19"/>
  <c r="AT18" i="15"/>
  <c r="AV159" i="11"/>
  <c r="AV63" i="6"/>
  <c r="AV216" i="11"/>
  <c r="AT21" i="15"/>
  <c r="AT22" i="15"/>
  <c r="AV221" i="11"/>
  <c r="BG212" i="11"/>
  <c r="BH209" i="11" s="1"/>
  <c r="AU228" i="11"/>
  <c r="AU229" i="11" s="1"/>
  <c r="AO79" i="11"/>
  <c r="AT264" i="11"/>
  <c r="AO81" i="11"/>
  <c r="AO90" i="11"/>
  <c r="AI36" i="5" l="1"/>
  <c r="AI202" i="11"/>
  <c r="BC207" i="11"/>
  <c r="BD204" i="11" s="1"/>
  <c r="BD206" i="11" s="1"/>
  <c r="BD37" i="5" s="1"/>
  <c r="AV218" i="11"/>
  <c r="AV219" i="11" s="1"/>
  <c r="AP76" i="11"/>
  <c r="AV226" i="11"/>
  <c r="AT23" i="15"/>
  <c r="AT20" i="15" s="1"/>
  <c r="BZ55" i="19"/>
  <c r="BZ56" i="19" s="1"/>
  <c r="CA53" i="19" s="1"/>
  <c r="AT271" i="11"/>
  <c r="AT272" i="11" s="1"/>
  <c r="AT266" i="11"/>
  <c r="AT267" i="11" s="1"/>
  <c r="BH211" i="11"/>
  <c r="BH38" i="5" s="1"/>
  <c r="AV223" i="11"/>
  <c r="AV224" i="11" s="1"/>
  <c r="AV227" i="11"/>
  <c r="AW26" i="6" s="1"/>
  <c r="AV161" i="11"/>
  <c r="AV162" i="11" s="1"/>
  <c r="AI34" i="5" l="1"/>
  <c r="AH29" i="15"/>
  <c r="AJ199" i="11"/>
  <c r="BD207" i="11"/>
  <c r="BE204" i="11" s="1"/>
  <c r="CA55" i="19"/>
  <c r="CA56" i="19" s="1"/>
  <c r="CB53" i="19" s="1"/>
  <c r="AW159" i="11"/>
  <c r="AU18" i="15"/>
  <c r="Q13" i="18" s="1"/>
  <c r="G212" i="32" s="1"/>
  <c r="AW221" i="11"/>
  <c r="AU22" i="15"/>
  <c r="Q17" i="18" s="1"/>
  <c r="G215" i="32" s="1"/>
  <c r="AU264" i="11"/>
  <c r="AW63" i="6"/>
  <c r="AV228" i="11"/>
  <c r="AV229" i="11" s="1"/>
  <c r="AU269" i="11"/>
  <c r="AU21" i="15"/>
  <c r="AW216" i="11"/>
  <c r="BH212" i="11"/>
  <c r="BI209" i="11" s="1"/>
  <c r="AP78" i="11"/>
  <c r="AP112" i="5" s="1"/>
  <c r="AP80" i="11"/>
  <c r="AJ201" i="11" l="1"/>
  <c r="BE206" i="11"/>
  <c r="BE37" i="5" s="1"/>
  <c r="CB55" i="19"/>
  <c r="CB56" i="19" s="1"/>
  <c r="CC53" i="19" s="1"/>
  <c r="BI211" i="11"/>
  <c r="BI38" i="5" s="1"/>
  <c r="AW218" i="11"/>
  <c r="AW219" i="11" s="1"/>
  <c r="AU266" i="11"/>
  <c r="AU267" i="11" s="1"/>
  <c r="AU271" i="11"/>
  <c r="AU272" i="11" s="1"/>
  <c r="AP48" i="19"/>
  <c r="Q16" i="18"/>
  <c r="G214" i="32" s="1"/>
  <c r="AW227" i="11"/>
  <c r="AX26" i="6" s="1"/>
  <c r="AW223" i="11"/>
  <c r="AW224" i="11" s="1"/>
  <c r="AU23" i="15"/>
  <c r="Q18" i="18" s="1"/>
  <c r="G216" i="32" s="1"/>
  <c r="AW226" i="11"/>
  <c r="AW161" i="11"/>
  <c r="AW162" i="11" s="1"/>
  <c r="AP90" i="11"/>
  <c r="AP81" i="11"/>
  <c r="AP79" i="11"/>
  <c r="AQ76" i="11" s="1"/>
  <c r="AJ36" i="5" l="1"/>
  <c r="AJ202" i="11"/>
  <c r="BE207" i="11"/>
  <c r="BF204" i="11" s="1"/>
  <c r="Q15" i="18"/>
  <c r="AU20" i="15"/>
  <c r="AV269" i="11"/>
  <c r="AV264" i="11"/>
  <c r="AQ78" i="11"/>
  <c r="AQ112" i="5" s="1"/>
  <c r="AQ80" i="11"/>
  <c r="BI212" i="11"/>
  <c r="BJ209" i="11" s="1"/>
  <c r="AX63" i="6"/>
  <c r="AX216" i="11"/>
  <c r="AV21" i="15"/>
  <c r="AX159" i="11"/>
  <c r="AV18" i="15"/>
  <c r="AW228" i="11"/>
  <c r="AW229" i="11" s="1"/>
  <c r="AX221" i="11"/>
  <c r="AV22" i="15"/>
  <c r="CC55" i="19"/>
  <c r="CC56" i="19" s="1"/>
  <c r="CD53" i="19" s="1"/>
  <c r="AJ34" i="5" l="1"/>
  <c r="L606" i="32"/>
  <c r="AI29" i="15"/>
  <c r="AK199" i="11"/>
  <c r="BF206" i="11"/>
  <c r="BF37" i="5" s="1"/>
  <c r="AQ79" i="11"/>
  <c r="AR76" i="11" s="1"/>
  <c r="AX226" i="11"/>
  <c r="AV23" i="15"/>
  <c r="AV20" i="15" s="1"/>
  <c r="BJ211" i="11"/>
  <c r="BJ38" i="5" s="1"/>
  <c r="AX227" i="11"/>
  <c r="AY26" i="6" s="1"/>
  <c r="AX223" i="11"/>
  <c r="AX224" i="11" s="1"/>
  <c r="AQ81" i="11"/>
  <c r="AQ90" i="11"/>
  <c r="AX161" i="11"/>
  <c r="AX162" i="11" s="1"/>
  <c r="AQ48" i="19"/>
  <c r="AV266" i="11"/>
  <c r="AV267" i="11" s="1"/>
  <c r="AX218" i="11"/>
  <c r="AX219" i="11" s="1"/>
  <c r="CD55" i="19"/>
  <c r="CD56" i="19" s="1"/>
  <c r="CE53" i="19" s="1"/>
  <c r="AV271" i="11"/>
  <c r="AV272" i="11" s="1"/>
  <c r="C606" i="32" l="1"/>
  <c r="L605" i="32"/>
  <c r="C605" i="32" s="1"/>
  <c r="O24" i="18"/>
  <c r="L651" i="32"/>
  <c r="AK201" i="11"/>
  <c r="BF207" i="11"/>
  <c r="BG204" i="11" s="1"/>
  <c r="AW269" i="11"/>
  <c r="CE55" i="19"/>
  <c r="CE56" i="19" s="1"/>
  <c r="CF53" i="19" s="1"/>
  <c r="V89" i="19" s="1"/>
  <c r="J139" i="21" s="1"/>
  <c r="AY159" i="11"/>
  <c r="AW18" i="15"/>
  <c r="AW21" i="15"/>
  <c r="AY216" i="11"/>
  <c r="AY221" i="11"/>
  <c r="AW22" i="15"/>
  <c r="AW264" i="11"/>
  <c r="AR80" i="11"/>
  <c r="AR78" i="11"/>
  <c r="AR112" i="5" s="1"/>
  <c r="AY63" i="6"/>
  <c r="BJ212" i="11"/>
  <c r="BK209" i="11" s="1"/>
  <c r="AX228" i="11"/>
  <c r="AX229" i="11" s="1"/>
  <c r="F220" i="32" l="1"/>
  <c r="H782" i="32"/>
  <c r="AK36" i="5"/>
  <c r="AK34" i="5" s="1"/>
  <c r="AK202" i="11"/>
  <c r="BG206" i="11"/>
  <c r="BG37" i="5" s="1"/>
  <c r="AY226" i="11"/>
  <c r="AW23" i="15"/>
  <c r="AW20" i="15" s="1"/>
  <c r="AR79" i="11"/>
  <c r="AY227" i="11"/>
  <c r="AZ26" i="6" s="1"/>
  <c r="AY223" i="11"/>
  <c r="AY224" i="11" s="1"/>
  <c r="BK211" i="11"/>
  <c r="BK38" i="5" s="1"/>
  <c r="AR48" i="19"/>
  <c r="AY218" i="11"/>
  <c r="AY219" i="11" s="1"/>
  <c r="AR81" i="11"/>
  <c r="AR90" i="11"/>
  <c r="AY161" i="11"/>
  <c r="AY162" i="11" s="1"/>
  <c r="CF55" i="19"/>
  <c r="CF56" i="19" s="1"/>
  <c r="CG53" i="19" s="1"/>
  <c r="AW271" i="11"/>
  <c r="AW272" i="11" s="1"/>
  <c r="AW266" i="11"/>
  <c r="AW267" i="11" s="1"/>
  <c r="AL199" i="11" l="1"/>
  <c r="AJ29" i="15"/>
  <c r="BG207" i="11"/>
  <c r="BH204" i="11" s="1"/>
  <c r="BK212" i="11"/>
  <c r="BL209" i="11" s="1"/>
  <c r="BL211" i="11" s="1"/>
  <c r="BL38" i="5" s="1"/>
  <c r="AZ159" i="11"/>
  <c r="AX18" i="15"/>
  <c r="AX264" i="11"/>
  <c r="AX269" i="11"/>
  <c r="AZ221" i="11"/>
  <c r="AX22" i="15"/>
  <c r="AZ63" i="6"/>
  <c r="AS76" i="11"/>
  <c r="CG55" i="19"/>
  <c r="CG56" i="19" s="1"/>
  <c r="CH53" i="19" s="1"/>
  <c r="AX21" i="15"/>
  <c r="AZ216" i="11"/>
  <c r="AY228" i="11"/>
  <c r="AY229" i="11" s="1"/>
  <c r="AL201" i="11" l="1"/>
  <c r="BH206" i="11"/>
  <c r="BH37" i="5" s="1"/>
  <c r="BL212" i="11"/>
  <c r="BM209" i="11" s="1"/>
  <c r="BM211" i="11" s="1"/>
  <c r="BM38" i="5" s="1"/>
  <c r="CH55" i="19"/>
  <c r="CH56" i="19" s="1"/>
  <c r="CI53" i="19" s="1"/>
  <c r="AZ218" i="11"/>
  <c r="AZ219" i="11" s="1"/>
  <c r="AZ226" i="11"/>
  <c r="AX23" i="15"/>
  <c r="AX20" i="15" s="1"/>
  <c r="AX266" i="11"/>
  <c r="AX267" i="11" s="1"/>
  <c r="AX271" i="11"/>
  <c r="AX272" i="11" s="1"/>
  <c r="AZ223" i="11"/>
  <c r="AZ224" i="11" s="1"/>
  <c r="AZ227" i="11"/>
  <c r="BA26" i="6" s="1"/>
  <c r="AS78" i="11"/>
  <c r="AS112" i="5" s="1"/>
  <c r="AS80" i="11"/>
  <c r="AZ161" i="11"/>
  <c r="AZ162" i="11" s="1"/>
  <c r="AL36" i="5" l="1"/>
  <c r="AL34" i="5" s="1"/>
  <c r="AL202" i="11"/>
  <c r="BH207" i="11"/>
  <c r="BI204" i="11" s="1"/>
  <c r="BI206" i="11" s="1"/>
  <c r="BI37" i="5" s="1"/>
  <c r="AS79" i="11"/>
  <c r="AT76" i="11" s="1"/>
  <c r="AY21" i="15"/>
  <c r="BA216" i="11"/>
  <c r="AY22" i="15"/>
  <c r="BA221" i="11"/>
  <c r="CI55" i="19"/>
  <c r="CI56" i="19" s="1"/>
  <c r="CJ53" i="19" s="1"/>
  <c r="AY18" i="15"/>
  <c r="BA159" i="11"/>
  <c r="AY264" i="11"/>
  <c r="BA63" i="6"/>
  <c r="BM212" i="11"/>
  <c r="BN209" i="11" s="1"/>
  <c r="AY269" i="11"/>
  <c r="AS90" i="11"/>
  <c r="AS81" i="11"/>
  <c r="AS48" i="19"/>
  <c r="AZ228" i="11"/>
  <c r="AZ229" i="11" s="1"/>
  <c r="AK29" i="15" l="1"/>
  <c r="AM199" i="11"/>
  <c r="BI207" i="11"/>
  <c r="BJ204" i="11" s="1"/>
  <c r="BJ206" i="11" s="1"/>
  <c r="BJ37" i="5" s="1"/>
  <c r="AY23" i="15"/>
  <c r="AY20" i="15" s="1"/>
  <c r="BA226" i="11"/>
  <c r="CJ55" i="19"/>
  <c r="CJ56" i="19" s="1"/>
  <c r="CK53" i="19" s="1"/>
  <c r="AT80" i="11"/>
  <c r="AT78" i="11"/>
  <c r="AT112" i="5" s="1"/>
  <c r="BA161" i="11"/>
  <c r="BA162" i="11" s="1"/>
  <c r="AY271" i="11"/>
  <c r="AY272" i="11" s="1"/>
  <c r="BN211" i="11"/>
  <c r="BN38" i="5" s="1"/>
  <c r="BA218" i="11"/>
  <c r="BA219" i="11" s="1"/>
  <c r="BA227" i="11"/>
  <c r="BB26" i="6" s="1"/>
  <c r="BA223" i="11"/>
  <c r="BA224" i="11" s="1"/>
  <c r="AY266" i="11"/>
  <c r="AY267" i="11" s="1"/>
  <c r="AM201" i="11" l="1"/>
  <c r="BJ207" i="11"/>
  <c r="BK204" i="11" s="1"/>
  <c r="BK206" i="11" s="1"/>
  <c r="BK37" i="5" s="1"/>
  <c r="AT79" i="11"/>
  <c r="AU76" i="11" s="1"/>
  <c r="AZ269" i="11"/>
  <c r="BB159" i="11"/>
  <c r="AZ18" i="15"/>
  <c r="CK55" i="19"/>
  <c r="CK56" i="19" s="1"/>
  <c r="CL53" i="19" s="1"/>
  <c r="U33" i="17"/>
  <c r="AT48" i="19"/>
  <c r="BB63" i="6"/>
  <c r="AT81" i="11"/>
  <c r="AT90" i="11"/>
  <c r="BN212" i="11"/>
  <c r="BO209" i="11" s="1"/>
  <c r="AZ264" i="11"/>
  <c r="BB221" i="11"/>
  <c r="AZ22" i="15"/>
  <c r="AZ21" i="15"/>
  <c r="BB216" i="11"/>
  <c r="BA228" i="11"/>
  <c r="BA229" i="11" s="1"/>
  <c r="AM36" i="5" l="1"/>
  <c r="AM34" i="5" s="1"/>
  <c r="AM202" i="11"/>
  <c r="BK207" i="11"/>
  <c r="BL204" i="11" s="1"/>
  <c r="BL206" i="11" s="1"/>
  <c r="BL37" i="5" s="1"/>
  <c r="CL55" i="19"/>
  <c r="CL56" i="19" s="1"/>
  <c r="CM53" i="19" s="1"/>
  <c r="AU78" i="11"/>
  <c r="AU112" i="5" s="1"/>
  <c r="AU80" i="11"/>
  <c r="BO211" i="11"/>
  <c r="BO38" i="5" s="1"/>
  <c r="BB226" i="11"/>
  <c r="AZ23" i="15"/>
  <c r="AZ20" i="15" s="1"/>
  <c r="BB218" i="11"/>
  <c r="BB219" i="11" s="1"/>
  <c r="BB227" i="11"/>
  <c r="BC26" i="6" s="1"/>
  <c r="BB223" i="11"/>
  <c r="BB224" i="11" s="1"/>
  <c r="AZ266" i="11"/>
  <c r="AZ267" i="11" s="1"/>
  <c r="BB161" i="11"/>
  <c r="BB162" i="11" s="1"/>
  <c r="AZ271" i="11"/>
  <c r="AZ272" i="11" s="1"/>
  <c r="AL29" i="15" l="1"/>
  <c r="AN199" i="11"/>
  <c r="BL207" i="11"/>
  <c r="BM204" i="11" s="1"/>
  <c r="CM55" i="19"/>
  <c r="CM56" i="19" s="1"/>
  <c r="CN53" i="19" s="1"/>
  <c r="BC159" i="11"/>
  <c r="BA18" i="15"/>
  <c r="R13" i="18" s="1"/>
  <c r="BA22" i="15"/>
  <c r="R17" i="18" s="1"/>
  <c r="BC221" i="11"/>
  <c r="BA269" i="11"/>
  <c r="BA264" i="11"/>
  <c r="AU90" i="11"/>
  <c r="AU81" i="11"/>
  <c r="AU48" i="19"/>
  <c r="BO212" i="11"/>
  <c r="BP209" i="11" s="1"/>
  <c r="BC63" i="6"/>
  <c r="BA21" i="15"/>
  <c r="BC216" i="11"/>
  <c r="AU79" i="11"/>
  <c r="BB228" i="11"/>
  <c r="BB229" i="11" s="1"/>
  <c r="AN201" i="11" l="1"/>
  <c r="BM206" i="11"/>
  <c r="BM37" i="5" s="1"/>
  <c r="BA23" i="15"/>
  <c r="R18" i="18" s="1"/>
  <c r="BC226" i="11"/>
  <c r="CN55" i="19"/>
  <c r="CN56" i="19" s="1"/>
  <c r="CO53" i="19" s="1"/>
  <c r="BA266" i="11"/>
  <c r="BA267" i="11" s="1"/>
  <c r="R16" i="18"/>
  <c r="AV76" i="11"/>
  <c r="BC218" i="11"/>
  <c r="BC219" i="11" s="1"/>
  <c r="BC227" i="11"/>
  <c r="BD26" i="6" s="1"/>
  <c r="BC223" i="11"/>
  <c r="BC224" i="11" s="1"/>
  <c r="BA271" i="11"/>
  <c r="BA272" i="11" s="1"/>
  <c r="BC161" i="11"/>
  <c r="BC162" i="11" s="1"/>
  <c r="BP211" i="11"/>
  <c r="BP38" i="5" s="1"/>
  <c r="AN36" i="5" l="1"/>
  <c r="AN34" i="5" s="1"/>
  <c r="AN202" i="11"/>
  <c r="BM207" i="11"/>
  <c r="BN204" i="11" s="1"/>
  <c r="BA20" i="15"/>
  <c r="R15" i="18"/>
  <c r="BB18" i="15"/>
  <c r="BD159" i="11"/>
  <c r="BB264" i="11"/>
  <c r="BB269" i="11"/>
  <c r="BD221" i="11"/>
  <c r="BB22" i="15"/>
  <c r="BB21" i="15"/>
  <c r="BD216" i="11"/>
  <c r="CO55" i="19"/>
  <c r="CO56" i="19" s="1"/>
  <c r="CP53" i="19" s="1"/>
  <c r="BD63" i="6"/>
  <c r="BP212" i="11"/>
  <c r="BQ209" i="11" s="1"/>
  <c r="AV78" i="11"/>
  <c r="AV112" i="5" s="1"/>
  <c r="AV80" i="11"/>
  <c r="BC228" i="11"/>
  <c r="BC229" i="11" s="1"/>
  <c r="AM29" i="15" l="1"/>
  <c r="AO199" i="11"/>
  <c r="BN206" i="11"/>
  <c r="BN37" i="5" s="1"/>
  <c r="U32" i="17" s="1"/>
  <c r="AV79" i="11"/>
  <c r="AW76" i="11" s="1"/>
  <c r="AW78" i="11" s="1"/>
  <c r="AW112" i="5" s="1"/>
  <c r="BD226" i="11"/>
  <c r="BB23" i="15"/>
  <c r="BB20" i="15" s="1"/>
  <c r="CP55" i="19"/>
  <c r="CP56" i="19" s="1"/>
  <c r="CQ53" i="19" s="1"/>
  <c r="BD223" i="11"/>
  <c r="BD224" i="11" s="1"/>
  <c r="BD227" i="11"/>
  <c r="BE26" i="6" s="1"/>
  <c r="BB271" i="11"/>
  <c r="BB272" i="11" s="1"/>
  <c r="BB266" i="11"/>
  <c r="BB267" i="11" s="1"/>
  <c r="BD218" i="11"/>
  <c r="BD219" i="11" s="1"/>
  <c r="AV90" i="11"/>
  <c r="AV81" i="11"/>
  <c r="AV48" i="19"/>
  <c r="BD161" i="11"/>
  <c r="BD162" i="11" s="1"/>
  <c r="BQ211" i="11"/>
  <c r="BQ38" i="5" s="1"/>
  <c r="AO201" i="11" l="1"/>
  <c r="BN207" i="11"/>
  <c r="BO204" i="11" s="1"/>
  <c r="BO206" i="11" s="1"/>
  <c r="BO37" i="5" s="1"/>
  <c r="AW80" i="11"/>
  <c r="AW90" i="11" s="1"/>
  <c r="CQ55" i="19"/>
  <c r="CQ56" i="19" s="1"/>
  <c r="CR53" i="19" s="1"/>
  <c r="V91" i="19" s="1"/>
  <c r="J141" i="21" s="1"/>
  <c r="BE159" i="11"/>
  <c r="BC18" i="15"/>
  <c r="AW48" i="19"/>
  <c r="BC21" i="15"/>
  <c r="BE216" i="11"/>
  <c r="BC264" i="11"/>
  <c r="BE63" i="6"/>
  <c r="BC22" i="15"/>
  <c r="BE221" i="11"/>
  <c r="BC269" i="11"/>
  <c r="BQ212" i="11"/>
  <c r="BR209" i="11" s="1"/>
  <c r="AW79" i="11"/>
  <c r="BD228" i="11"/>
  <c r="BD229" i="11" s="1"/>
  <c r="AO36" i="5" l="1"/>
  <c r="AO34" i="5" s="1"/>
  <c r="AO202" i="11"/>
  <c r="BO207" i="11"/>
  <c r="BP204" i="11" s="1"/>
  <c r="BP206" i="11" s="1"/>
  <c r="BP37" i="5" s="1"/>
  <c r="AW81" i="11"/>
  <c r="BE218" i="11"/>
  <c r="BE219" i="11" s="1"/>
  <c r="BE227" i="11"/>
  <c r="BF26" i="6" s="1"/>
  <c r="BE223" i="11"/>
  <c r="BE224" i="11" s="1"/>
  <c r="BR211" i="11"/>
  <c r="BR38" i="5" s="1"/>
  <c r="BE161" i="11"/>
  <c r="BE162" i="11" s="1"/>
  <c r="BE226" i="11"/>
  <c r="BC23" i="15"/>
  <c r="BC20" i="15" s="1"/>
  <c r="AX76" i="11"/>
  <c r="BC271" i="11"/>
  <c r="BC272" i="11" s="1"/>
  <c r="CR55" i="19"/>
  <c r="CR56" i="19" s="1"/>
  <c r="CS53" i="19" s="1"/>
  <c r="BC266" i="11"/>
  <c r="BC267" i="11" s="1"/>
  <c r="AN29" i="15" l="1"/>
  <c r="AP199" i="11"/>
  <c r="BP207" i="11"/>
  <c r="BQ204" i="11" s="1"/>
  <c r="BQ206" i="11" s="1"/>
  <c r="BQ37" i="5" s="1"/>
  <c r="BF159" i="11"/>
  <c r="BD18" i="15"/>
  <c r="BD264" i="11"/>
  <c r="BD22" i="15"/>
  <c r="BF221" i="11"/>
  <c r="BD269" i="11"/>
  <c r="BR212" i="11"/>
  <c r="BS209" i="11" s="1"/>
  <c r="BD21" i="15"/>
  <c r="BF216" i="11"/>
  <c r="CS55" i="19"/>
  <c r="CS56" i="19" s="1"/>
  <c r="CT53" i="19" s="1"/>
  <c r="AX80" i="11"/>
  <c r="AX78" i="11"/>
  <c r="AX112" i="5" s="1"/>
  <c r="BF63" i="6"/>
  <c r="BE228" i="11"/>
  <c r="BE229" i="11" s="1"/>
  <c r="AP201" i="11" l="1"/>
  <c r="AX79" i="11"/>
  <c r="AY76" i="11" s="1"/>
  <c r="BQ207" i="11"/>
  <c r="BR204" i="11" s="1"/>
  <c r="BR206" i="11" s="1"/>
  <c r="BR37" i="5" s="1"/>
  <c r="BF226" i="11"/>
  <c r="BD23" i="15"/>
  <c r="BD20" i="15" s="1"/>
  <c r="BS211" i="11"/>
  <c r="BS38" i="5" s="1"/>
  <c r="BF218" i="11"/>
  <c r="BF219" i="11" s="1"/>
  <c r="BD271" i="11"/>
  <c r="BD272" i="11" s="1"/>
  <c r="BF227" i="11"/>
  <c r="BG26" i="6" s="1"/>
  <c r="BF223" i="11"/>
  <c r="BF224" i="11" s="1"/>
  <c r="AX81" i="11"/>
  <c r="AX90" i="11"/>
  <c r="BD266" i="11"/>
  <c r="BD267" i="11" s="1"/>
  <c r="CT55" i="19"/>
  <c r="CT56" i="19" s="1"/>
  <c r="CU53" i="19" s="1"/>
  <c r="AX48" i="19"/>
  <c r="BF161" i="11"/>
  <c r="BF162" i="11" s="1"/>
  <c r="AP36" i="5" l="1"/>
  <c r="AP34" i="5" s="1"/>
  <c r="AP202" i="11"/>
  <c r="BR207" i="11"/>
  <c r="BS204" i="11" s="1"/>
  <c r="BS206" i="11" s="1"/>
  <c r="BS37" i="5" s="1"/>
  <c r="BS212" i="11"/>
  <c r="BT209" i="11" s="1"/>
  <c r="BT211" i="11" s="1"/>
  <c r="BT38" i="5" s="1"/>
  <c r="BE264" i="11"/>
  <c r="CU55" i="19"/>
  <c r="CU56" i="19" s="1"/>
  <c r="CV53" i="19" s="1"/>
  <c r="BE21" i="15"/>
  <c r="BG216" i="11"/>
  <c r="BG159" i="11"/>
  <c r="BE18" i="15"/>
  <c r="BE269" i="11"/>
  <c r="AY80" i="11"/>
  <c r="AY78" i="11"/>
  <c r="AY112" i="5" s="1"/>
  <c r="BE22" i="15"/>
  <c r="BG221" i="11"/>
  <c r="BG63" i="6"/>
  <c r="BF228" i="11"/>
  <c r="BF229" i="11" s="1"/>
  <c r="AO29" i="15" l="1"/>
  <c r="AQ199" i="11"/>
  <c r="BT212" i="11"/>
  <c r="BU209" i="11" s="1"/>
  <c r="BU211" i="11" s="1"/>
  <c r="BU38" i="5" s="1"/>
  <c r="BE23" i="15"/>
  <c r="BE20" i="15" s="1"/>
  <c r="BG226" i="11"/>
  <c r="BE271" i="11"/>
  <c r="BE272" i="11" s="1"/>
  <c r="BG161" i="11"/>
  <c r="BG162" i="11" s="1"/>
  <c r="BG218" i="11"/>
  <c r="BG219" i="11" s="1"/>
  <c r="AY48" i="19"/>
  <c r="CV55" i="19"/>
  <c r="CV56" i="19" s="1"/>
  <c r="CW53" i="19" s="1"/>
  <c r="BG223" i="11"/>
  <c r="BG224" i="11" s="1"/>
  <c r="BG227" i="11"/>
  <c r="BH26" i="6" s="1"/>
  <c r="BS207" i="11"/>
  <c r="BT204" i="11" s="1"/>
  <c r="AY90" i="11"/>
  <c r="AY81" i="11"/>
  <c r="AY79" i="11"/>
  <c r="BE266" i="11"/>
  <c r="BE267" i="11" s="1"/>
  <c r="P24" i="18" l="1"/>
  <c r="AQ201" i="11"/>
  <c r="BF264" i="11"/>
  <c r="BF21" i="15"/>
  <c r="BH216" i="11"/>
  <c r="BF269" i="11"/>
  <c r="BH159" i="11"/>
  <c r="BF18" i="15"/>
  <c r="BT206" i="11"/>
  <c r="BT37" i="5" s="1"/>
  <c r="BF22" i="15"/>
  <c r="BH221" i="11"/>
  <c r="BU212" i="11"/>
  <c r="BV209" i="11" s="1"/>
  <c r="BH63" i="6"/>
  <c r="BG228" i="11"/>
  <c r="BG229" i="11" s="1"/>
  <c r="AZ76" i="11"/>
  <c r="CW55" i="19"/>
  <c r="CW56" i="19" s="1"/>
  <c r="CX53" i="19" s="1"/>
  <c r="AQ36" i="5" l="1"/>
  <c r="AQ34" i="5" s="1"/>
  <c r="AQ202" i="11"/>
  <c r="CX55" i="19"/>
  <c r="CX56" i="19" s="1"/>
  <c r="CY53" i="19" s="1"/>
  <c r="V92" i="19"/>
  <c r="J142" i="21" s="1"/>
  <c r="BH226" i="11"/>
  <c r="BF23" i="15"/>
  <c r="BF20" i="15" s="1"/>
  <c r="BT207" i="11"/>
  <c r="BU204" i="11" s="1"/>
  <c r="BV211" i="11"/>
  <c r="BV38" i="5" s="1"/>
  <c r="BH161" i="11"/>
  <c r="BH162" i="11" s="1"/>
  <c r="BF271" i="11"/>
  <c r="BF272" i="11" s="1"/>
  <c r="AZ80" i="11"/>
  <c r="AZ78" i="11"/>
  <c r="AZ112" i="5" s="1"/>
  <c r="BH218" i="11"/>
  <c r="BH219" i="11" s="1"/>
  <c r="BH223" i="11"/>
  <c r="BH224" i="11" s="1"/>
  <c r="BH227" i="11"/>
  <c r="BI26" i="6" s="1"/>
  <c r="BF266" i="11"/>
  <c r="BF267" i="11" s="1"/>
  <c r="AP29" i="15" l="1"/>
  <c r="AR199" i="11"/>
  <c r="BG18" i="15"/>
  <c r="S13" i="18" s="1"/>
  <c r="H212" i="32" s="1"/>
  <c r="BI159" i="11"/>
  <c r="CY55" i="19"/>
  <c r="CY56" i="19" s="1"/>
  <c r="CZ53" i="19" s="1"/>
  <c r="BI221" i="11"/>
  <c r="BG22" i="15"/>
  <c r="S17" i="18" s="1"/>
  <c r="H215" i="32" s="1"/>
  <c r="BU206" i="11"/>
  <c r="BU37" i="5" s="1"/>
  <c r="BG264" i="11"/>
  <c r="AZ81" i="11"/>
  <c r="AZ90" i="11"/>
  <c r="BH228" i="11"/>
  <c r="BH229" i="11" s="1"/>
  <c r="BV212" i="11"/>
  <c r="BW209" i="11" s="1"/>
  <c r="AZ79" i="11"/>
  <c r="BI216" i="11"/>
  <c r="BG21" i="15"/>
  <c r="AZ48" i="19"/>
  <c r="BI63" i="6"/>
  <c r="BG269" i="11"/>
  <c r="AR201" i="11" l="1"/>
  <c r="BU207" i="11"/>
  <c r="BV204" i="11" s="1"/>
  <c r="BV206" i="11" s="1"/>
  <c r="BV37" i="5" s="1"/>
  <c r="CZ55" i="19"/>
  <c r="CZ56" i="19" s="1"/>
  <c r="DA53" i="19" s="1"/>
  <c r="BI227" i="11"/>
  <c r="BJ26" i="6" s="1"/>
  <c r="BI223" i="11"/>
  <c r="BI224" i="11" s="1"/>
  <c r="BW211" i="11"/>
  <c r="BW38" i="5" s="1"/>
  <c r="BI226" i="11"/>
  <c r="BG23" i="15"/>
  <c r="S18" i="18" s="1"/>
  <c r="H216" i="32" s="1"/>
  <c r="BA76" i="11"/>
  <c r="S16" i="18"/>
  <c r="H214" i="32" s="1"/>
  <c r="BG266" i="11"/>
  <c r="BG267" i="11" s="1"/>
  <c r="BI161" i="11"/>
  <c r="BI162" i="11" s="1"/>
  <c r="BG271" i="11"/>
  <c r="BG272" i="11" s="1"/>
  <c r="BI218" i="11"/>
  <c r="BI219" i="11" s="1"/>
  <c r="AR36" i="5" l="1"/>
  <c r="AR34" i="5" s="1"/>
  <c r="AR202" i="11"/>
  <c r="BG20" i="15"/>
  <c r="BW212" i="11"/>
  <c r="BX209" i="11" s="1"/>
  <c r="BX211" i="11" s="1"/>
  <c r="BX38" i="5" s="1"/>
  <c r="BJ216" i="11"/>
  <c r="BH21" i="15"/>
  <c r="BH264" i="11"/>
  <c r="BH269" i="11"/>
  <c r="BI228" i="11"/>
  <c r="BI229" i="11" s="1"/>
  <c r="S15" i="18"/>
  <c r="BV207" i="11"/>
  <c r="BW204" i="11" s="1"/>
  <c r="BH22" i="15"/>
  <c r="BJ221" i="11"/>
  <c r="DA55" i="19"/>
  <c r="DA56" i="19" s="1"/>
  <c r="DB53" i="19" s="1"/>
  <c r="BJ63" i="6"/>
  <c r="BH18" i="15"/>
  <c r="BJ159" i="11"/>
  <c r="BA78" i="11"/>
  <c r="BA112" i="5" s="1"/>
  <c r="BA80" i="11"/>
  <c r="AS199" i="11" l="1"/>
  <c r="AQ29" i="15"/>
  <c r="BX212" i="11"/>
  <c r="BY209" i="11" s="1"/>
  <c r="BY211" i="11" s="1"/>
  <c r="BY38" i="5" s="1"/>
  <c r="DB55" i="19"/>
  <c r="DB56" i="19" s="1"/>
  <c r="DC53" i="19" s="1"/>
  <c r="BA90" i="11"/>
  <c r="BA81" i="11"/>
  <c r="BW206" i="11"/>
  <c r="BW37" i="5" s="1"/>
  <c r="BH271" i="11"/>
  <c r="BH272" i="11" s="1"/>
  <c r="BH266" i="11"/>
  <c r="BH267" i="11" s="1"/>
  <c r="BA48" i="19"/>
  <c r="BH23" i="15"/>
  <c r="BH20" i="15" s="1"/>
  <c r="BJ226" i="11"/>
  <c r="BJ161" i="11"/>
  <c r="BJ162" i="11" s="1"/>
  <c r="BJ218" i="11"/>
  <c r="BJ219" i="11" s="1"/>
  <c r="BA79" i="11"/>
  <c r="BJ223" i="11"/>
  <c r="BJ224" i="11" s="1"/>
  <c r="BJ227" i="11"/>
  <c r="BK26" i="6" s="1"/>
  <c r="AS201" i="11" l="1"/>
  <c r="BI264" i="11"/>
  <c r="BI18" i="15"/>
  <c r="BK159" i="11"/>
  <c r="BW207" i="11"/>
  <c r="BX204" i="11" s="1"/>
  <c r="BJ228" i="11"/>
  <c r="BJ229" i="11" s="1"/>
  <c r="BI269" i="11"/>
  <c r="BY212" i="11"/>
  <c r="BZ209" i="11" s="1"/>
  <c r="BB76" i="11"/>
  <c r="BK63" i="6"/>
  <c r="BK221" i="11"/>
  <c r="BI22" i="15"/>
  <c r="DC55" i="19"/>
  <c r="DC56" i="19" s="1"/>
  <c r="DD53" i="19" s="1"/>
  <c r="BI21" i="15"/>
  <c r="BK216" i="11"/>
  <c r="AS36" i="5" l="1"/>
  <c r="AS34" i="5" s="1"/>
  <c r="AS202" i="11"/>
  <c r="BK218" i="11"/>
  <c r="BK219" i="11" s="1"/>
  <c r="BB78" i="11"/>
  <c r="BB112" i="5" s="1"/>
  <c r="BB80" i="11"/>
  <c r="BX206" i="11"/>
  <c r="BX37" i="5" s="1"/>
  <c r="BK226" i="11"/>
  <c r="BI23" i="15"/>
  <c r="BI20" i="15" s="1"/>
  <c r="BK161" i="11"/>
  <c r="BK162" i="11" s="1"/>
  <c r="BI266" i="11"/>
  <c r="BI267" i="11" s="1"/>
  <c r="DD55" i="19"/>
  <c r="DD56" i="19" s="1"/>
  <c r="DE53" i="19" s="1"/>
  <c r="BZ211" i="11"/>
  <c r="BZ38" i="5" s="1"/>
  <c r="BK227" i="11"/>
  <c r="BL26" i="6" s="1"/>
  <c r="BK223" i="11"/>
  <c r="BK224" i="11" s="1"/>
  <c r="BI271" i="11"/>
  <c r="BI272" i="11" s="1"/>
  <c r="AR29" i="15" l="1"/>
  <c r="AT199" i="11"/>
  <c r="BJ269" i="11"/>
  <c r="BJ18" i="15"/>
  <c r="BL159" i="11"/>
  <c r="DE55" i="19"/>
  <c r="DE56" i="19" s="1"/>
  <c r="DF53" i="19" s="1"/>
  <c r="BJ264" i="11"/>
  <c r="BB90" i="11"/>
  <c r="BB81" i="11"/>
  <c r="BB48" i="19"/>
  <c r="BB79" i="11"/>
  <c r="BC76" i="11" s="1"/>
  <c r="BL221" i="11"/>
  <c r="BJ22" i="15"/>
  <c r="BL63" i="6"/>
  <c r="BK228" i="11"/>
  <c r="BK229" i="11" s="1"/>
  <c r="BZ212" i="11"/>
  <c r="CA209" i="11" s="1"/>
  <c r="BL216" i="11"/>
  <c r="BJ21" i="15"/>
  <c r="BX207" i="11"/>
  <c r="BY204" i="11" s="1"/>
  <c r="AT201" i="11" l="1"/>
  <c r="BJ23" i="15"/>
  <c r="BJ20" i="15" s="1"/>
  <c r="BL226" i="11"/>
  <c r="DF55" i="19"/>
  <c r="DF56" i="19" s="1"/>
  <c r="DG53" i="19" s="1"/>
  <c r="BJ266" i="11"/>
  <c r="BJ267" i="11" s="1"/>
  <c r="BY206" i="11"/>
  <c r="BY37" i="5" s="1"/>
  <c r="BL223" i="11"/>
  <c r="BL224" i="11" s="1"/>
  <c r="BL227" i="11"/>
  <c r="BM26" i="6" s="1"/>
  <c r="BC78" i="11"/>
  <c r="BC112" i="5" s="1"/>
  <c r="BC80" i="11"/>
  <c r="BL218" i="11"/>
  <c r="BL219" i="11" s="1"/>
  <c r="CA211" i="11"/>
  <c r="CA38" i="5" s="1"/>
  <c r="BL161" i="11"/>
  <c r="BL162" i="11" s="1"/>
  <c r="BJ271" i="11"/>
  <c r="BJ272" i="11" s="1"/>
  <c r="AT36" i="5" l="1"/>
  <c r="AT34" i="5" s="1"/>
  <c r="AT202" i="11"/>
  <c r="BC79" i="11"/>
  <c r="BD76" i="11" s="1"/>
  <c r="CA212" i="11"/>
  <c r="CB209" i="11" s="1"/>
  <c r="CB211" i="11" s="1"/>
  <c r="CB38" i="5" s="1"/>
  <c r="BM221" i="11"/>
  <c r="BK22" i="15"/>
  <c r="BK264" i="11"/>
  <c r="DG55" i="19"/>
  <c r="DG56" i="19" s="1"/>
  <c r="DH53" i="19" s="1"/>
  <c r="BK18" i="15"/>
  <c r="BM159" i="11"/>
  <c r="BY207" i="11"/>
  <c r="BZ204" i="11" s="1"/>
  <c r="BK21" i="15"/>
  <c r="BM216" i="11"/>
  <c r="BK269" i="11"/>
  <c r="BC90" i="11"/>
  <c r="BC81" i="11"/>
  <c r="BL228" i="11"/>
  <c r="BL229" i="11" s="1"/>
  <c r="BC48" i="19"/>
  <c r="BM63" i="6"/>
  <c r="AS29" i="15" l="1"/>
  <c r="AU199" i="11"/>
  <c r="CB212" i="11"/>
  <c r="CC209" i="11" s="1"/>
  <c r="CC211" i="11" s="1"/>
  <c r="CC38" i="5" s="1"/>
  <c r="BM226" i="11"/>
  <c r="BK23" i="15"/>
  <c r="BK20" i="15" s="1"/>
  <c r="DH55" i="19"/>
  <c r="DH56" i="19" s="1"/>
  <c r="DI53" i="19" s="1"/>
  <c r="BD78" i="11"/>
  <c r="BD112" i="5" s="1"/>
  <c r="BD80" i="11"/>
  <c r="BK266" i="11"/>
  <c r="BK267" i="11" s="1"/>
  <c r="BZ206" i="11"/>
  <c r="BZ37" i="5" s="1"/>
  <c r="BM161" i="11"/>
  <c r="BM162" i="11" s="1"/>
  <c r="BK271" i="11"/>
  <c r="BK272" i="11" s="1"/>
  <c r="BM223" i="11"/>
  <c r="BM224" i="11" s="1"/>
  <c r="BM227" i="11"/>
  <c r="BN26" i="6" s="1"/>
  <c r="BM218" i="11"/>
  <c r="BM219" i="11" s="1"/>
  <c r="AU201" i="11" l="1"/>
  <c r="BZ207" i="11"/>
  <c r="CA204" i="11" s="1"/>
  <c r="CA206" i="11" s="1"/>
  <c r="CA37" i="5" s="1"/>
  <c r="BD79" i="11"/>
  <c r="BE76" i="11" s="1"/>
  <c r="CC212" i="11"/>
  <c r="CD209" i="11" s="1"/>
  <c r="CD211" i="11" s="1"/>
  <c r="CD38" i="5" s="1"/>
  <c r="BL264" i="11"/>
  <c r="BL269" i="11"/>
  <c r="DI55" i="19"/>
  <c r="DI56" i="19" s="1"/>
  <c r="DJ53" i="19" s="1"/>
  <c r="BD81" i="11"/>
  <c r="BD90" i="11"/>
  <c r="BL18" i="15"/>
  <c r="BN159" i="11"/>
  <c r="BN63" i="6"/>
  <c r="W32" i="17"/>
  <c r="BD48" i="19"/>
  <c r="BL22" i="15"/>
  <c r="BN221" i="11"/>
  <c r="BL21" i="15"/>
  <c r="BN216" i="11"/>
  <c r="BM228" i="11"/>
  <c r="BM229" i="11" s="1"/>
  <c r="AU36" i="5" l="1"/>
  <c r="AU34" i="5" s="1"/>
  <c r="AU202" i="11"/>
  <c r="CA207" i="11"/>
  <c r="CB204" i="11" s="1"/>
  <c r="CB206" i="11" s="1"/>
  <c r="CB37" i="5" s="1"/>
  <c r="DJ55" i="19"/>
  <c r="DJ56" i="19" s="1"/>
  <c r="DK53" i="19" s="1"/>
  <c r="CD212" i="11"/>
  <c r="CE209" i="11" s="1"/>
  <c r="BN223" i="11"/>
  <c r="BN224" i="11" s="1"/>
  <c r="BN227" i="11"/>
  <c r="BO26" i="6" s="1"/>
  <c r="BL271" i="11"/>
  <c r="BL272" i="11" s="1"/>
  <c r="BN226" i="11"/>
  <c r="BL23" i="15"/>
  <c r="BL20" i="15" s="1"/>
  <c r="BN161" i="11"/>
  <c r="BN162" i="11" s="1"/>
  <c r="BL266" i="11"/>
  <c r="BL267" i="11" s="1"/>
  <c r="BN218" i="11"/>
  <c r="BN219" i="11" s="1"/>
  <c r="BE80" i="11"/>
  <c r="BE78" i="11"/>
  <c r="BE112" i="5" s="1"/>
  <c r="AV199" i="11" l="1"/>
  <c r="AT29" i="15"/>
  <c r="CB207" i="11"/>
  <c r="CC204" i="11" s="1"/>
  <c r="CC206" i="11" s="1"/>
  <c r="CC37" i="5" s="1"/>
  <c r="BE79" i="11"/>
  <c r="BF76" i="11" s="1"/>
  <c r="BM269" i="11"/>
  <c r="BO159" i="11"/>
  <c r="BM18" i="15"/>
  <c r="T13" i="18" s="1"/>
  <c r="BM21" i="15"/>
  <c r="BO216" i="11"/>
  <c r="DK55" i="19"/>
  <c r="DK56" i="19" s="1"/>
  <c r="DL53" i="19" s="1"/>
  <c r="BM264" i="11"/>
  <c r="BN228" i="11"/>
  <c r="BN229" i="11" s="1"/>
  <c r="BO63" i="6"/>
  <c r="BO221" i="11"/>
  <c r="BM22" i="15"/>
  <c r="T17" i="18" s="1"/>
  <c r="BE48" i="19"/>
  <c r="BE81" i="11"/>
  <c r="BE90" i="11"/>
  <c r="CE211" i="11"/>
  <c r="CE38" i="5" s="1"/>
  <c r="AV201" i="11" l="1"/>
  <c r="BM23" i="15"/>
  <c r="T18" i="18" s="1"/>
  <c r="BO226" i="11"/>
  <c r="DL55" i="19"/>
  <c r="DL56" i="19" s="1"/>
  <c r="DM53" i="19" s="1"/>
  <c r="BO218" i="11"/>
  <c r="BO219" i="11" s="1"/>
  <c r="T16" i="18"/>
  <c r="BF80" i="11"/>
  <c r="BF78" i="11"/>
  <c r="BF112" i="5" s="1"/>
  <c r="BO161" i="11"/>
  <c r="BO162" i="11" s="1"/>
  <c r="BO227" i="11"/>
  <c r="BP26" i="6" s="1"/>
  <c r="BO223" i="11"/>
  <c r="BO224" i="11" s="1"/>
  <c r="CE212" i="11"/>
  <c r="CF209" i="11" s="1"/>
  <c r="BM271" i="11"/>
  <c r="BM272" i="11" s="1"/>
  <c r="CC207" i="11"/>
  <c r="CD204" i="11" s="1"/>
  <c r="BM266" i="11"/>
  <c r="BM267" i="11" s="1"/>
  <c r="AV36" i="5" l="1"/>
  <c r="AV34" i="5" s="1"/>
  <c r="AV202" i="11"/>
  <c r="BM20" i="15"/>
  <c r="T15" i="18"/>
  <c r="BP221" i="11"/>
  <c r="BN22" i="15"/>
  <c r="BN264" i="11"/>
  <c r="BN18" i="15"/>
  <c r="BP159" i="11"/>
  <c r="BN269" i="11"/>
  <c r="BF48" i="19"/>
  <c r="BF79" i="11"/>
  <c r="CF211" i="11"/>
  <c r="CF38" i="5" s="1"/>
  <c r="DM55" i="19"/>
  <c r="DM56" i="19" s="1"/>
  <c r="DN53" i="19" s="1"/>
  <c r="BP216" i="11"/>
  <c r="BN21" i="15"/>
  <c r="BF90" i="11"/>
  <c r="BF81" i="11"/>
  <c r="CD206" i="11"/>
  <c r="CD37" i="5" s="1"/>
  <c r="BO228" i="11"/>
  <c r="BO229" i="11" s="1"/>
  <c r="BP63" i="6"/>
  <c r="AU29" i="15" l="1"/>
  <c r="AW199" i="11"/>
  <c r="DN55" i="19"/>
  <c r="DN56" i="19" s="1"/>
  <c r="DO53" i="19" s="1"/>
  <c r="BN266" i="11"/>
  <c r="BN267" i="11" s="1"/>
  <c r="BN271" i="11"/>
  <c r="BN272" i="11" s="1"/>
  <c r="BP218" i="11"/>
  <c r="BP219" i="11" s="1"/>
  <c r="BP161" i="11"/>
  <c r="BP162" i="11" s="1"/>
  <c r="BP226" i="11"/>
  <c r="BN23" i="15"/>
  <c r="BN20" i="15" s="1"/>
  <c r="CF212" i="11"/>
  <c r="CG209" i="11" s="1"/>
  <c r="CD207" i="11"/>
  <c r="CE204" i="11" s="1"/>
  <c r="BG76" i="11"/>
  <c r="BP223" i="11"/>
  <c r="BP224" i="11" s="1"/>
  <c r="BP227" i="11"/>
  <c r="BQ26" i="6" s="1"/>
  <c r="Q24" i="18" l="1"/>
  <c r="AW201" i="11"/>
  <c r="BQ221" i="11"/>
  <c r="BO22" i="15"/>
  <c r="BQ159" i="11"/>
  <c r="BO18" i="15"/>
  <c r="BO21" i="15"/>
  <c r="BQ216" i="11"/>
  <c r="DO55" i="19"/>
  <c r="DO56" i="19" s="1"/>
  <c r="DP53" i="19" s="1"/>
  <c r="V95" i="19" s="1"/>
  <c r="J145" i="21" s="1"/>
  <c r="BO264" i="11"/>
  <c r="BG80" i="11"/>
  <c r="BG78" i="11"/>
  <c r="BG112" i="5" s="1"/>
  <c r="BP228" i="11"/>
  <c r="BP229" i="11" s="1"/>
  <c r="BO269" i="11"/>
  <c r="CE206" i="11"/>
  <c r="CE37" i="5" s="1"/>
  <c r="CG211" i="11"/>
  <c r="CG38" i="5" s="1"/>
  <c r="BQ63" i="6"/>
  <c r="G220" i="32" l="1"/>
  <c r="AW36" i="5"/>
  <c r="AW34" i="5" s="1"/>
  <c r="AW202" i="11"/>
  <c r="CG212" i="11"/>
  <c r="CH209" i="11" s="1"/>
  <c r="CH211" i="11" s="1"/>
  <c r="CH38" i="5" s="1"/>
  <c r="BQ226" i="11"/>
  <c r="BO23" i="15"/>
  <c r="BO20" i="15" s="1"/>
  <c r="BO271" i="11"/>
  <c r="BO272" i="11" s="1"/>
  <c r="DP55" i="19"/>
  <c r="DP56" i="19" s="1"/>
  <c r="DQ53" i="19" s="1"/>
  <c r="BG79" i="11"/>
  <c r="BQ218" i="11"/>
  <c r="BQ219" i="11" s="1"/>
  <c r="BG48" i="19"/>
  <c r="BG81" i="11"/>
  <c r="BG90" i="11"/>
  <c r="BQ161" i="11"/>
  <c r="BQ162" i="11" s="1"/>
  <c r="BO266" i="11"/>
  <c r="BO267" i="11" s="1"/>
  <c r="CE207" i="11"/>
  <c r="CF204" i="11" s="1"/>
  <c r="BQ227" i="11"/>
  <c r="BR26" i="6" s="1"/>
  <c r="BQ223" i="11"/>
  <c r="BQ224" i="11" s="1"/>
  <c r="AX199" i="11" l="1"/>
  <c r="AV29" i="15"/>
  <c r="BP264" i="11"/>
  <c r="BR159" i="11"/>
  <c r="BP18" i="15"/>
  <c r="BP21" i="15"/>
  <c r="BR216" i="11"/>
  <c r="CH212" i="11"/>
  <c r="CI209" i="11" s="1"/>
  <c r="BH76" i="11"/>
  <c r="BR63" i="6"/>
  <c r="DQ55" i="19"/>
  <c r="DQ56" i="19" s="1"/>
  <c r="DR53" i="19" s="1"/>
  <c r="BP269" i="11"/>
  <c r="CF206" i="11"/>
  <c r="CF37" i="5" s="1"/>
  <c r="BP22" i="15"/>
  <c r="BR221" i="11"/>
  <c r="BQ228" i="11"/>
  <c r="BQ229" i="11" s="1"/>
  <c r="AX201" i="11" l="1"/>
  <c r="CF207" i="11"/>
  <c r="CG204" i="11" s="1"/>
  <c r="CG206" i="11" s="1"/>
  <c r="CG37" i="5" s="1"/>
  <c r="BP23" i="15"/>
  <c r="BP20" i="15" s="1"/>
  <c r="BR226" i="11"/>
  <c r="BH78" i="11"/>
  <c r="BH112" i="5" s="1"/>
  <c r="BH80" i="11"/>
  <c r="CI211" i="11"/>
  <c r="CI38" i="5" s="1"/>
  <c r="BR218" i="11"/>
  <c r="BR219" i="11" s="1"/>
  <c r="BR227" i="11"/>
  <c r="BS26" i="6" s="1"/>
  <c r="BR223" i="11"/>
  <c r="BR224" i="11" s="1"/>
  <c r="BR161" i="11"/>
  <c r="BR162" i="11" s="1"/>
  <c r="BP266" i="11"/>
  <c r="BP267" i="11" s="1"/>
  <c r="DR55" i="19"/>
  <c r="DR56" i="19" s="1"/>
  <c r="DS53" i="19" s="1"/>
  <c r="BP271" i="11"/>
  <c r="BP272" i="11" s="1"/>
  <c r="AX36" i="5" l="1"/>
  <c r="AX34" i="5" s="1"/>
  <c r="AX202" i="11"/>
  <c r="CI212" i="11"/>
  <c r="CJ209" i="11" s="1"/>
  <c r="CJ211" i="11" s="1"/>
  <c r="CJ38" i="5" s="1"/>
  <c r="CG207" i="11"/>
  <c r="CH204" i="11" s="1"/>
  <c r="CH206" i="11" s="1"/>
  <c r="CH37" i="5" s="1"/>
  <c r="BQ269" i="11"/>
  <c r="BS216" i="11"/>
  <c r="BQ21" i="15"/>
  <c r="BQ264" i="11"/>
  <c r="BQ18" i="15"/>
  <c r="BS159" i="11"/>
  <c r="BH81" i="11"/>
  <c r="BH90" i="11"/>
  <c r="BS63" i="6"/>
  <c r="BS221" i="11"/>
  <c r="BQ22" i="15"/>
  <c r="BH79" i="11"/>
  <c r="BI76" i="11" s="1"/>
  <c r="BH48" i="19"/>
  <c r="BR228" i="11"/>
  <c r="BR229" i="11" s="1"/>
  <c r="DS55" i="19"/>
  <c r="DS56" i="19" s="1"/>
  <c r="DT53" i="19" s="1"/>
  <c r="AW29" i="15" l="1"/>
  <c r="AY199" i="11"/>
  <c r="CH207" i="11"/>
  <c r="CI204" i="11" s="1"/>
  <c r="CI206" i="11" s="1"/>
  <c r="CI37" i="5" s="1"/>
  <c r="DT55" i="19"/>
  <c r="DT56" i="19" s="1"/>
  <c r="DU53" i="19" s="1"/>
  <c r="BQ266" i="11"/>
  <c r="BQ267" i="11" s="1"/>
  <c r="BI78" i="11"/>
  <c r="BI112" i="5" s="1"/>
  <c r="BI80" i="11"/>
  <c r="CJ212" i="11"/>
  <c r="CK209" i="11" s="1"/>
  <c r="BS218" i="11"/>
  <c r="BS219" i="11" s="1"/>
  <c r="BS223" i="11"/>
  <c r="BS224" i="11" s="1"/>
  <c r="BS227" i="11"/>
  <c r="BT26" i="6" s="1"/>
  <c r="BS226" i="11"/>
  <c r="BQ23" i="15"/>
  <c r="BQ20" i="15" s="1"/>
  <c r="BS161" i="11"/>
  <c r="BS162" i="11" s="1"/>
  <c r="BQ271" i="11"/>
  <c r="BQ272" i="11" s="1"/>
  <c r="AY201" i="11" l="1"/>
  <c r="BR264" i="11"/>
  <c r="BR269" i="11"/>
  <c r="CK211" i="11"/>
  <c r="CK38" i="5" s="1"/>
  <c r="CI207" i="11"/>
  <c r="CJ204" i="11" s="1"/>
  <c r="BI48" i="19"/>
  <c r="BS228" i="11"/>
  <c r="BS229" i="11" s="1"/>
  <c r="BT159" i="11"/>
  <c r="BR18" i="15"/>
  <c r="BR21" i="15"/>
  <c r="BT216" i="11"/>
  <c r="BT63" i="6"/>
  <c r="BT221" i="11"/>
  <c r="BR22" i="15"/>
  <c r="BI90" i="11"/>
  <c r="BI81" i="11"/>
  <c r="DU55" i="19"/>
  <c r="DU56" i="19" s="1"/>
  <c r="DV53" i="19" s="1"/>
  <c r="BI79" i="11"/>
  <c r="AY36" i="5" l="1"/>
  <c r="AY34" i="5" s="1"/>
  <c r="AY202" i="11"/>
  <c r="CK212" i="11"/>
  <c r="CL209" i="11" s="1"/>
  <c r="CL211" i="11" s="1"/>
  <c r="CL38" i="5" s="1"/>
  <c r="Y33" i="17" s="1"/>
  <c r="DV55" i="19"/>
  <c r="DV56" i="19" s="1"/>
  <c r="DW53" i="19" s="1"/>
  <c r="BR23" i="15"/>
  <c r="BR20" i="15" s="1"/>
  <c r="BT226" i="11"/>
  <c r="CJ206" i="11"/>
  <c r="CJ37" i="5" s="1"/>
  <c r="BJ76" i="11"/>
  <c r="BT218" i="11"/>
  <c r="BT219" i="11" s="1"/>
  <c r="BT161" i="11"/>
  <c r="BT162" i="11" s="1"/>
  <c r="BR271" i="11"/>
  <c r="BR272" i="11" s="1"/>
  <c r="BT227" i="11"/>
  <c r="BU26" i="6" s="1"/>
  <c r="BT223" i="11"/>
  <c r="BT224" i="11" s="1"/>
  <c r="BR266" i="11"/>
  <c r="BR267" i="11" s="1"/>
  <c r="AX29" i="15" l="1"/>
  <c r="AZ199" i="11"/>
  <c r="BS269" i="11"/>
  <c r="BU221" i="11"/>
  <c r="BS22" i="15"/>
  <c r="U17" i="18" s="1"/>
  <c r="I215" i="32" s="1"/>
  <c r="BU159" i="11"/>
  <c r="BS18" i="15"/>
  <c r="U13" i="18" s="1"/>
  <c r="I212" i="32" s="1"/>
  <c r="DW55" i="19"/>
  <c r="DW56" i="19" s="1"/>
  <c r="DX53" i="19" s="1"/>
  <c r="BJ80" i="11"/>
  <c r="BJ78" i="11"/>
  <c r="BJ112" i="5" s="1"/>
  <c r="BU63" i="6"/>
  <c r="CJ207" i="11"/>
  <c r="CK204" i="11" s="1"/>
  <c r="BS264" i="11"/>
  <c r="BS21" i="15"/>
  <c r="BU216" i="11"/>
  <c r="BT228" i="11"/>
  <c r="BT229" i="11" s="1"/>
  <c r="CL212" i="11"/>
  <c r="CM209" i="11" s="1"/>
  <c r="AZ201" i="11" l="1"/>
  <c r="DX55" i="19"/>
  <c r="DX56" i="19" s="1"/>
  <c r="DY53" i="19" s="1"/>
  <c r="BS23" i="15"/>
  <c r="U18" i="18" s="1"/>
  <c r="I216" i="32" s="1"/>
  <c r="BU226" i="11"/>
  <c r="CK206" i="11"/>
  <c r="CK37" i="5" s="1"/>
  <c r="BU161" i="11"/>
  <c r="BU162" i="11" s="1"/>
  <c r="BU227" i="11"/>
  <c r="BV26" i="6" s="1"/>
  <c r="BU223" i="11"/>
  <c r="BU224" i="11" s="1"/>
  <c r="CM211" i="11"/>
  <c r="CM38" i="5" s="1"/>
  <c r="BU218" i="11"/>
  <c r="BU219" i="11" s="1"/>
  <c r="BJ48" i="19"/>
  <c r="U16" i="18"/>
  <c r="I214" i="32" s="1"/>
  <c r="BJ79" i="11"/>
  <c r="BS266" i="11"/>
  <c r="BS267" i="11" s="1"/>
  <c r="BJ90" i="11"/>
  <c r="BJ81" i="11"/>
  <c r="BS271" i="11"/>
  <c r="BS272" i="11" s="1"/>
  <c r="AZ36" i="5" l="1"/>
  <c r="AZ34" i="5" s="1"/>
  <c r="AZ202" i="11"/>
  <c r="BS20" i="15"/>
  <c r="U15" i="18"/>
  <c r="CK207" i="11"/>
  <c r="CL204" i="11" s="1"/>
  <c r="CL206" i="11" s="1"/>
  <c r="CL37" i="5" s="1"/>
  <c r="Y32" i="17" s="1"/>
  <c r="CM212" i="11"/>
  <c r="CN209" i="11" s="1"/>
  <c r="CN211" i="11" s="1"/>
  <c r="CN38" i="5" s="1"/>
  <c r="BT264" i="11"/>
  <c r="BT21" i="15"/>
  <c r="BV216" i="11"/>
  <c r="DY55" i="19"/>
  <c r="DY56" i="19" s="1"/>
  <c r="DZ53" i="19" s="1"/>
  <c r="BT22" i="15"/>
  <c r="BV221" i="11"/>
  <c r="BV63" i="6"/>
  <c r="BU228" i="11"/>
  <c r="BU229" i="11" s="1"/>
  <c r="BV159" i="11"/>
  <c r="BT18" i="15"/>
  <c r="BT269" i="11"/>
  <c r="BK76" i="11"/>
  <c r="AY29" i="15" l="1"/>
  <c r="BA199" i="11"/>
  <c r="CN212" i="11"/>
  <c r="CO209" i="11" s="1"/>
  <c r="CO211" i="11" s="1"/>
  <c r="CO38" i="5" s="1"/>
  <c r="DZ55" i="19"/>
  <c r="DZ56" i="19" s="1"/>
  <c r="EA53" i="19" s="1"/>
  <c r="BV226" i="11"/>
  <c r="BT23" i="15"/>
  <c r="BT20" i="15" s="1"/>
  <c r="BT271" i="11"/>
  <c r="BT272" i="11" s="1"/>
  <c r="BV223" i="11"/>
  <c r="BV224" i="11" s="1"/>
  <c r="BV227" i="11"/>
  <c r="BW26" i="6" s="1"/>
  <c r="BV161" i="11"/>
  <c r="BV162" i="11" s="1"/>
  <c r="BK78" i="11"/>
  <c r="BK112" i="5" s="1"/>
  <c r="BK80" i="11"/>
  <c r="CL207" i="11"/>
  <c r="CM204" i="11" s="1"/>
  <c r="BV218" i="11"/>
  <c r="BV219" i="11" s="1"/>
  <c r="BT266" i="11"/>
  <c r="BT267" i="11" s="1"/>
  <c r="BA201" i="11" l="1"/>
  <c r="BK79" i="11"/>
  <c r="BL76" i="11" s="1"/>
  <c r="BU264" i="11"/>
  <c r="BU269" i="11"/>
  <c r="EA55" i="19"/>
  <c r="EA56" i="19" s="1"/>
  <c r="EB53" i="19" s="1"/>
  <c r="V97" i="19" s="1"/>
  <c r="J147" i="21" s="1"/>
  <c r="CM206" i="11"/>
  <c r="CM37" i="5" s="1"/>
  <c r="BW159" i="11"/>
  <c r="BU18" i="15"/>
  <c r="BV228" i="11"/>
  <c r="BV229" i="11" s="1"/>
  <c r="BW63" i="6"/>
  <c r="BK81" i="11"/>
  <c r="BK90" i="11"/>
  <c r="BK48" i="19"/>
  <c r="CO212" i="11"/>
  <c r="CP209" i="11" s="1"/>
  <c r="BW216" i="11"/>
  <c r="BU21" i="15"/>
  <c r="BW221" i="11"/>
  <c r="BU22" i="15"/>
  <c r="BA36" i="5" l="1"/>
  <c r="BA34" i="5" s="1"/>
  <c r="BA202" i="11"/>
  <c r="CM207" i="11"/>
  <c r="CN204" i="11" s="1"/>
  <c r="CN206" i="11" s="1"/>
  <c r="CN37" i="5" s="1"/>
  <c r="BU23" i="15"/>
  <c r="BU20" i="15" s="1"/>
  <c r="BW226" i="11"/>
  <c r="BL80" i="11"/>
  <c r="BL78" i="11"/>
  <c r="BL112" i="5" s="1"/>
  <c r="EB55" i="19"/>
  <c r="EB56" i="19" s="1"/>
  <c r="EC53" i="19" s="1"/>
  <c r="BW218" i="11"/>
  <c r="BW219" i="11" s="1"/>
  <c r="CP211" i="11"/>
  <c r="CP38" i="5" s="1"/>
  <c r="BW227" i="11"/>
  <c r="BX26" i="6" s="1"/>
  <c r="BW223" i="11"/>
  <c r="BW224" i="11" s="1"/>
  <c r="BU271" i="11"/>
  <c r="BU272" i="11" s="1"/>
  <c r="BW161" i="11"/>
  <c r="BW162" i="11" s="1"/>
  <c r="BU266" i="11"/>
  <c r="BU267" i="11" s="1"/>
  <c r="AZ29" i="15" l="1"/>
  <c r="BB199" i="11"/>
  <c r="CP212" i="11"/>
  <c r="CQ209" i="11" s="1"/>
  <c r="CQ211" i="11" s="1"/>
  <c r="CQ38" i="5" s="1"/>
  <c r="CN207" i="11"/>
  <c r="CO204" i="11" s="1"/>
  <c r="CO206" i="11" s="1"/>
  <c r="CO37" i="5" s="1"/>
  <c r="BV21" i="15"/>
  <c r="BX216" i="11"/>
  <c r="BX159" i="11"/>
  <c r="BV18" i="15"/>
  <c r="EC55" i="19"/>
  <c r="EC56" i="19" s="1"/>
  <c r="ED53" i="19" s="1"/>
  <c r="BV264" i="11"/>
  <c r="BW228" i="11"/>
  <c r="BW229" i="11" s="1"/>
  <c r="BV269" i="11"/>
  <c r="BL48" i="19"/>
  <c r="BL90" i="11"/>
  <c r="BL81" i="11"/>
  <c r="BV22" i="15"/>
  <c r="BX221" i="11"/>
  <c r="BL79" i="11"/>
  <c r="BX63" i="6"/>
  <c r="BB201" i="11" l="1"/>
  <c r="ED55" i="19"/>
  <c r="ED56" i="19" s="1"/>
  <c r="EE53" i="19" s="1"/>
  <c r="BV23" i="15"/>
  <c r="BV20" i="15" s="1"/>
  <c r="BX226" i="11"/>
  <c r="CQ212" i="11"/>
  <c r="CR209" i="11" s="1"/>
  <c r="BM76" i="11"/>
  <c r="BV266" i="11"/>
  <c r="BV267" i="11" s="1"/>
  <c r="BX227" i="11"/>
  <c r="BY26" i="6" s="1"/>
  <c r="BX223" i="11"/>
  <c r="BX224" i="11" s="1"/>
  <c r="BV271" i="11"/>
  <c r="BV272" i="11" s="1"/>
  <c r="BX161" i="11"/>
  <c r="BX162" i="11" s="1"/>
  <c r="BX218" i="11"/>
  <c r="BX219" i="11" s="1"/>
  <c r="CO207" i="11"/>
  <c r="CP204" i="11" s="1"/>
  <c r="BB36" i="5" l="1"/>
  <c r="BB34" i="5" s="1"/>
  <c r="BB202" i="11"/>
  <c r="BY221" i="11"/>
  <c r="BW22" i="15"/>
  <c r="BW264" i="11"/>
  <c r="BW269" i="11"/>
  <c r="BM78" i="11"/>
  <c r="BM112" i="5" s="1"/>
  <c r="BM80" i="11"/>
  <c r="CR211" i="11"/>
  <c r="CR38" i="5" s="1"/>
  <c r="BX228" i="11"/>
  <c r="BX229" i="11" s="1"/>
  <c r="BY63" i="6"/>
  <c r="EE55" i="19"/>
  <c r="EE56" i="19" s="1"/>
  <c r="EF53" i="19" s="1"/>
  <c r="BY159" i="11"/>
  <c r="BW18" i="15"/>
  <c r="BW21" i="15"/>
  <c r="BY216" i="11"/>
  <c r="CP206" i="11"/>
  <c r="CP37" i="5" s="1"/>
  <c r="BA29" i="15" l="1"/>
  <c r="BC199" i="11"/>
  <c r="CP207" i="11"/>
  <c r="CQ204" i="11" s="1"/>
  <c r="CQ206" i="11" s="1"/>
  <c r="CQ37" i="5" s="1"/>
  <c r="BW23" i="15"/>
  <c r="BW20" i="15" s="1"/>
  <c r="BY226" i="11"/>
  <c r="BW271" i="11"/>
  <c r="BW272" i="11" s="1"/>
  <c r="CR212" i="11"/>
  <c r="CS209" i="11" s="1"/>
  <c r="BM81" i="11"/>
  <c r="BM90" i="11"/>
  <c r="BW266" i="11"/>
  <c r="BW267" i="11" s="1"/>
  <c r="BY161" i="11"/>
  <c r="BY162" i="11" s="1"/>
  <c r="BM79" i="11"/>
  <c r="BY218" i="11"/>
  <c r="BY219" i="11" s="1"/>
  <c r="BM48" i="19"/>
  <c r="EF55" i="19"/>
  <c r="EF56" i="19" s="1"/>
  <c r="EG53" i="19" s="1"/>
  <c r="BY227" i="11"/>
  <c r="BZ26" i="6" s="1"/>
  <c r="BY223" i="11"/>
  <c r="BY224" i="11" s="1"/>
  <c r="R24" i="18" l="1"/>
  <c r="BC201" i="11"/>
  <c r="CQ207" i="11"/>
  <c r="CR204" i="11" s="1"/>
  <c r="CR206" i="11" s="1"/>
  <c r="CR37" i="5" s="1"/>
  <c r="BX269" i="11"/>
  <c r="CS211" i="11"/>
  <c r="CS38" i="5" s="1"/>
  <c r="BZ216" i="11"/>
  <c r="BX21" i="15"/>
  <c r="BZ221" i="11"/>
  <c r="BX22" i="15"/>
  <c r="BZ63" i="6"/>
  <c r="EG55" i="19"/>
  <c r="EG56" i="19" s="1"/>
  <c r="EH53" i="19" s="1"/>
  <c r="BN76" i="11"/>
  <c r="BZ159" i="11"/>
  <c r="BX18" i="15"/>
  <c r="BY228" i="11"/>
  <c r="BY229" i="11" s="1"/>
  <c r="BX264" i="11"/>
  <c r="BC36" i="5" l="1"/>
  <c r="BC34" i="5" s="1"/>
  <c r="BC202" i="11"/>
  <c r="CR207" i="11"/>
  <c r="CS204" i="11" s="1"/>
  <c r="BZ227" i="11"/>
  <c r="CA26" i="6" s="1"/>
  <c r="BZ223" i="11"/>
  <c r="BZ224" i="11" s="1"/>
  <c r="BX23" i="15"/>
  <c r="BX20" i="15" s="1"/>
  <c r="BZ226" i="11"/>
  <c r="BZ218" i="11"/>
  <c r="BZ219" i="11" s="1"/>
  <c r="CS212" i="11"/>
  <c r="CT209" i="11" s="1"/>
  <c r="BZ161" i="11"/>
  <c r="BZ162" i="11" s="1"/>
  <c r="BN78" i="11"/>
  <c r="BN112" i="5" s="1"/>
  <c r="BN80" i="11"/>
  <c r="EH55" i="19"/>
  <c r="EH56" i="19" s="1"/>
  <c r="EI53" i="19" s="1"/>
  <c r="BX266" i="11"/>
  <c r="BX267" i="11" s="1"/>
  <c r="BX271" i="11"/>
  <c r="BX272" i="11" s="1"/>
  <c r="BB29" i="15" l="1"/>
  <c r="BD199" i="11"/>
  <c r="BN79" i="11"/>
  <c r="BO76" i="11" s="1"/>
  <c r="BO78" i="11" s="1"/>
  <c r="BO112" i="5" s="1"/>
  <c r="BY269" i="11"/>
  <c r="BY264" i="11"/>
  <c r="CA159" i="11"/>
  <c r="BY18" i="15"/>
  <c r="V13" i="18" s="1"/>
  <c r="EI55" i="19"/>
  <c r="EI56" i="19" s="1"/>
  <c r="EJ53" i="19" s="1"/>
  <c r="BZ228" i="11"/>
  <c r="BZ229" i="11" s="1"/>
  <c r="BN81" i="11"/>
  <c r="BN90" i="11"/>
  <c r="BY22" i="15"/>
  <c r="V17" i="18" s="1"/>
  <c r="CA221" i="11"/>
  <c r="CA63" i="6"/>
  <c r="CS206" i="11"/>
  <c r="CS37" i="5" s="1"/>
  <c r="BY21" i="15"/>
  <c r="CA216" i="11"/>
  <c r="BN48" i="19"/>
  <c r="CT211" i="11"/>
  <c r="CT38" i="5" s="1"/>
  <c r="BD201" i="11" l="1"/>
  <c r="BO80" i="11"/>
  <c r="BO81" i="11" s="1"/>
  <c r="BO79" i="11"/>
  <c r="BP76" i="11" s="1"/>
  <c r="CS207" i="11"/>
  <c r="CT204" i="11" s="1"/>
  <c r="CT206" i="11" s="1"/>
  <c r="CT37" i="5" s="1"/>
  <c r="BY23" i="15"/>
  <c r="V18" i="18" s="1"/>
  <c r="CA226" i="11"/>
  <c r="EJ55" i="19"/>
  <c r="EJ56" i="19" s="1"/>
  <c r="EK53" i="19" s="1"/>
  <c r="BO48" i="19"/>
  <c r="CA227" i="11"/>
  <c r="CB26" i="6" s="1"/>
  <c r="CA223" i="11"/>
  <c r="CA224" i="11" s="1"/>
  <c r="CA161" i="11"/>
  <c r="CA162" i="11" s="1"/>
  <c r="CT212" i="11"/>
  <c r="CU209" i="11" s="1"/>
  <c r="BY266" i="11"/>
  <c r="BY267" i="11" s="1"/>
  <c r="CA218" i="11"/>
  <c r="CA219" i="11" s="1"/>
  <c r="V16" i="18"/>
  <c r="BY271" i="11"/>
  <c r="BY272" i="11" s="1"/>
  <c r="BD36" i="5" l="1"/>
  <c r="BD34" i="5" s="1"/>
  <c r="BD202" i="11"/>
  <c r="BO90" i="11"/>
  <c r="BY20" i="15"/>
  <c r="V15" i="18"/>
  <c r="CT207" i="11"/>
  <c r="CU204" i="11" s="1"/>
  <c r="CU206" i="11" s="1"/>
  <c r="CU37" i="5" s="1"/>
  <c r="CB159" i="11"/>
  <c r="BZ18" i="15"/>
  <c r="BZ21" i="15"/>
  <c r="CB216" i="11"/>
  <c r="BZ269" i="11"/>
  <c r="BZ264" i="11"/>
  <c r="BP78" i="11"/>
  <c r="BP112" i="5" s="1"/>
  <c r="BP80" i="11"/>
  <c r="CU211" i="11"/>
  <c r="CU38" i="5" s="1"/>
  <c r="EK55" i="19"/>
  <c r="EK56" i="19" s="1"/>
  <c r="EL53" i="19" s="1"/>
  <c r="CB221" i="11"/>
  <c r="BZ22" i="15"/>
  <c r="CA228" i="11"/>
  <c r="CA229" i="11" s="1"/>
  <c r="CB63" i="6"/>
  <c r="BE199" i="11" l="1"/>
  <c r="BC29" i="15"/>
  <c r="BZ23" i="15"/>
  <c r="BZ20" i="15" s="1"/>
  <c r="CB226" i="11"/>
  <c r="EL55" i="19"/>
  <c r="EL56" i="19" s="1"/>
  <c r="EM53" i="19" s="1"/>
  <c r="BZ266" i="11"/>
  <c r="BZ267" i="11" s="1"/>
  <c r="CU212" i="11"/>
  <c r="CV209" i="11" s="1"/>
  <c r="BZ271" i="11"/>
  <c r="BZ272" i="11" s="1"/>
  <c r="CU207" i="11"/>
  <c r="CV204" i="11" s="1"/>
  <c r="BP81" i="11"/>
  <c r="BP90" i="11"/>
  <c r="CB218" i="11"/>
  <c r="CB219" i="11" s="1"/>
  <c r="BP48" i="19"/>
  <c r="CB227" i="11"/>
  <c r="CC26" i="6" s="1"/>
  <c r="CB223" i="11"/>
  <c r="CB224" i="11" s="1"/>
  <c r="BP79" i="11"/>
  <c r="CB161" i="11"/>
  <c r="CB162" i="11" s="1"/>
  <c r="BE201" i="11" l="1"/>
  <c r="CA21" i="15"/>
  <c r="CC216" i="11"/>
  <c r="CA264" i="11"/>
  <c r="CA269" i="11"/>
  <c r="BQ76" i="11"/>
  <c r="CC159" i="11"/>
  <c r="CA18" i="15"/>
  <c r="EM55" i="19"/>
  <c r="EM56" i="19" s="1"/>
  <c r="EN53" i="19" s="1"/>
  <c r="CV206" i="11"/>
  <c r="CV37" i="5" s="1"/>
  <c r="CC221" i="11"/>
  <c r="CA22" i="15"/>
  <c r="CC63" i="6"/>
  <c r="CB228" i="11"/>
  <c r="CB229" i="11" s="1"/>
  <c r="CV211" i="11"/>
  <c r="CV38" i="5" s="1"/>
  <c r="BE36" i="5" l="1"/>
  <c r="BE34" i="5" s="1"/>
  <c r="BE202" i="11"/>
  <c r="CV212" i="11"/>
  <c r="CW209" i="11" s="1"/>
  <c r="CW211" i="11" s="1"/>
  <c r="CW38" i="5" s="1"/>
  <c r="CV207" i="11"/>
  <c r="CW204" i="11" s="1"/>
  <c r="CW206" i="11" s="1"/>
  <c r="CW37" i="5" s="1"/>
  <c r="CC226" i="11"/>
  <c r="CA23" i="15"/>
  <c r="CA20" i="15" s="1"/>
  <c r="CC161" i="11"/>
  <c r="CC162" i="11" s="1"/>
  <c r="BQ78" i="11"/>
  <c r="BQ112" i="5" s="1"/>
  <c r="BQ80" i="11"/>
  <c r="CA271" i="11"/>
  <c r="CA272" i="11" s="1"/>
  <c r="EN55" i="19"/>
  <c r="EN56" i="19" s="1"/>
  <c r="EO53" i="19" s="1"/>
  <c r="CA266" i="11"/>
  <c r="CA267" i="11" s="1"/>
  <c r="CC227" i="11"/>
  <c r="CD26" i="6" s="1"/>
  <c r="CC223" i="11"/>
  <c r="CC224" i="11" s="1"/>
  <c r="CC218" i="11"/>
  <c r="CC219" i="11" s="1"/>
  <c r="BF199" i="11" l="1"/>
  <c r="BD29" i="15"/>
  <c r="CW207" i="11"/>
  <c r="CX204" i="11" s="1"/>
  <c r="CX206" i="11" s="1"/>
  <c r="CX37" i="5" s="1"/>
  <c r="BQ79" i="11"/>
  <c r="BR76" i="11" s="1"/>
  <c r="CB269" i="11"/>
  <c r="CB21" i="15"/>
  <c r="CD216" i="11"/>
  <c r="CB22" i="15"/>
  <c r="CD221" i="11"/>
  <c r="CB264" i="11"/>
  <c r="EO55" i="19"/>
  <c r="EO56" i="19" s="1"/>
  <c r="EP53" i="19" s="1"/>
  <c r="BQ90" i="11"/>
  <c r="BQ81" i="11"/>
  <c r="BQ48" i="19"/>
  <c r="CD159" i="11"/>
  <c r="CB18" i="15"/>
  <c r="CW212" i="11"/>
  <c r="CX209" i="11" s="1"/>
  <c r="CD63" i="6"/>
  <c r="CC228" i="11"/>
  <c r="CC229" i="11" s="1"/>
  <c r="BF201" i="11" l="1"/>
  <c r="EP55" i="19"/>
  <c r="EP56" i="19" s="1"/>
  <c r="EQ53" i="19" s="1"/>
  <c r="CD226" i="11"/>
  <c r="CB23" i="15"/>
  <c r="CB20" i="15" s="1"/>
  <c r="CX207" i="11"/>
  <c r="CY204" i="11" s="1"/>
  <c r="CB266" i="11"/>
  <c r="CB267" i="11" s="1"/>
  <c r="CD227" i="11"/>
  <c r="CE26" i="6" s="1"/>
  <c r="CD223" i="11"/>
  <c r="CD224" i="11" s="1"/>
  <c r="AA32" i="17"/>
  <c r="CD218" i="11"/>
  <c r="CD219" i="11" s="1"/>
  <c r="CX211" i="11"/>
  <c r="CX38" i="5" s="1"/>
  <c r="CD161" i="11"/>
  <c r="CD162" i="11" s="1"/>
  <c r="BR80" i="11"/>
  <c r="BR78" i="11"/>
  <c r="BR112" i="5" s="1"/>
  <c r="CB271" i="11"/>
  <c r="CB272" i="11" s="1"/>
  <c r="V114" i="19" l="1"/>
  <c r="V115" i="19"/>
  <c r="V116" i="19"/>
  <c r="V117" i="19"/>
  <c r="V118" i="19"/>
  <c r="V119" i="19"/>
  <c r="V120" i="19"/>
  <c r="V121" i="19"/>
  <c r="V122" i="19"/>
  <c r="V123" i="19"/>
  <c r="BF36" i="5"/>
  <c r="BF34" i="5" s="1"/>
  <c r="BF202" i="11"/>
  <c r="CX212" i="11"/>
  <c r="CY209" i="11" s="1"/>
  <c r="CY211" i="11" s="1"/>
  <c r="CY38" i="5" s="1"/>
  <c r="CC21" i="15"/>
  <c r="CE216" i="11"/>
  <c r="CC18" i="15"/>
  <c r="CE159" i="11"/>
  <c r="CE221" i="11"/>
  <c r="CC22" i="15"/>
  <c r="CY206" i="11"/>
  <c r="CY37" i="5" s="1"/>
  <c r="CE63" i="6"/>
  <c r="BR90" i="11"/>
  <c r="BR81" i="11"/>
  <c r="AA33" i="17"/>
  <c r="CD228" i="11"/>
  <c r="CD229" i="11" s="1"/>
  <c r="BR79" i="11"/>
  <c r="CC264" i="11"/>
  <c r="CC269" i="11"/>
  <c r="EQ55" i="19"/>
  <c r="J55" i="19" s="1"/>
  <c r="V78" i="19"/>
  <c r="V88" i="19"/>
  <c r="J138" i="21" s="1"/>
  <c r="V90" i="19"/>
  <c r="J140" i="21" s="1"/>
  <c r="V93" i="19"/>
  <c r="J143" i="21" s="1"/>
  <c r="V94" i="19"/>
  <c r="J144" i="21" s="1"/>
  <c r="V96" i="19"/>
  <c r="J146" i="21" s="1"/>
  <c r="BR48" i="19"/>
  <c r="J128" i="21" l="1"/>
  <c r="V98" i="19"/>
  <c r="BG199" i="11"/>
  <c r="BE29" i="15"/>
  <c r="EQ56" i="19"/>
  <c r="CC23" i="15"/>
  <c r="CC20" i="15" s="1"/>
  <c r="CE226" i="11"/>
  <c r="CC271" i="11"/>
  <c r="CC272" i="11" s="1"/>
  <c r="CC266" i="11"/>
  <c r="CC267" i="11" s="1"/>
  <c r="CY207" i="11"/>
  <c r="CZ204" i="11" s="1"/>
  <c r="BS76" i="11"/>
  <c r="CE227" i="11"/>
  <c r="CF26" i="6" s="1"/>
  <c r="CE223" i="11"/>
  <c r="CE224" i="11" s="1"/>
  <c r="CE161" i="11"/>
  <c r="CE162" i="11" s="1"/>
  <c r="CE218" i="11"/>
  <c r="CE219" i="11" s="1"/>
  <c r="CY212" i="11"/>
  <c r="CZ209" i="11" s="1"/>
  <c r="BG201" i="11" l="1"/>
  <c r="CF159" i="11"/>
  <c r="CD18" i="15"/>
  <c r="CD264" i="11"/>
  <c r="CF221" i="11"/>
  <c r="CD22" i="15"/>
  <c r="CF63" i="6"/>
  <c r="CD269" i="11"/>
  <c r="CZ211" i="11"/>
  <c r="CZ38" i="5" s="1"/>
  <c r="BS80" i="11"/>
  <c r="BS78" i="11"/>
  <c r="BS112" i="5" s="1"/>
  <c r="CD21" i="15"/>
  <c r="CF216" i="11"/>
  <c r="CZ206" i="11"/>
  <c r="CZ37" i="5" s="1"/>
  <c r="CE228" i="11"/>
  <c r="CE229" i="11" s="1"/>
  <c r="BG36" i="5" l="1"/>
  <c r="BG34" i="5" s="1"/>
  <c r="BG202" i="11"/>
  <c r="CZ207" i="11"/>
  <c r="DA204" i="11" s="1"/>
  <c r="DA206" i="11" s="1"/>
  <c r="DA37" i="5" s="1"/>
  <c r="BS48" i="19"/>
  <c r="BS79" i="11"/>
  <c r="BS81" i="11"/>
  <c r="BS90" i="11"/>
  <c r="CZ212" i="11"/>
  <c r="DA209" i="11" s="1"/>
  <c r="CD271" i="11"/>
  <c r="CD272" i="11" s="1"/>
  <c r="CF227" i="11"/>
  <c r="CG26" i="6" s="1"/>
  <c r="CF223" i="11"/>
  <c r="CF224" i="11" s="1"/>
  <c r="CF226" i="11"/>
  <c r="CD23" i="15"/>
  <c r="CD20" i="15" s="1"/>
  <c r="CD266" i="11"/>
  <c r="CD267" i="11" s="1"/>
  <c r="CF218" i="11"/>
  <c r="CF219" i="11" s="1"/>
  <c r="CF161" i="11"/>
  <c r="CF162" i="11" s="1"/>
  <c r="BH199" i="11" l="1"/>
  <c r="BF29" i="15"/>
  <c r="DA207" i="11"/>
  <c r="DB204" i="11" s="1"/>
  <c r="DB206" i="11" s="1"/>
  <c r="DB37" i="5" s="1"/>
  <c r="CE18" i="15"/>
  <c r="W13" i="18" s="1"/>
  <c r="J212" i="32" s="1"/>
  <c r="CG159" i="11"/>
  <c r="CE269" i="11"/>
  <c r="CE22" i="15"/>
  <c r="W17" i="18" s="1"/>
  <c r="J215" i="32" s="1"/>
  <c r="CG221" i="11"/>
  <c r="CG216" i="11"/>
  <c r="CE21" i="15"/>
  <c r="BT76" i="11"/>
  <c r="CE264" i="11"/>
  <c r="DA211" i="11"/>
  <c r="DA38" i="5" s="1"/>
  <c r="CF228" i="11"/>
  <c r="CF229" i="11" s="1"/>
  <c r="CG63" i="6"/>
  <c r="BH201" i="11" l="1"/>
  <c r="DA212" i="11"/>
  <c r="DB209" i="11" s="1"/>
  <c r="DB211" i="11" s="1"/>
  <c r="DB38" i="5" s="1"/>
  <c r="CE23" i="15"/>
  <c r="W18" i="18" s="1"/>
  <c r="J216" i="32" s="1"/>
  <c r="CG226" i="11"/>
  <c r="W16" i="18"/>
  <c r="J214" i="32" s="1"/>
  <c r="CG218" i="11"/>
  <c r="CG219" i="11" s="1"/>
  <c r="BT80" i="11"/>
  <c r="BT78" i="11"/>
  <c r="BT112" i="5" s="1"/>
  <c r="DB207" i="11"/>
  <c r="DC204" i="11" s="1"/>
  <c r="CG227" i="11"/>
  <c r="CH26" i="6" s="1"/>
  <c r="CG223" i="11"/>
  <c r="CG224" i="11" s="1"/>
  <c r="CE271" i="11"/>
  <c r="CE272" i="11" s="1"/>
  <c r="CE266" i="11"/>
  <c r="CE267" i="11" s="1"/>
  <c r="CG161" i="11"/>
  <c r="CG162" i="11" s="1"/>
  <c r="BH36" i="5" l="1"/>
  <c r="BH34" i="5" s="1"/>
  <c r="BH202" i="11"/>
  <c r="BT79" i="11"/>
  <c r="BU76" i="11" s="1"/>
  <c r="BU78" i="11" s="1"/>
  <c r="BU112" i="5" s="1"/>
  <c r="DB212" i="11"/>
  <c r="DC209" i="11" s="1"/>
  <c r="DC211" i="11" s="1"/>
  <c r="DC38" i="5" s="1"/>
  <c r="W15" i="18"/>
  <c r="CE20" i="15"/>
  <c r="CF18" i="15"/>
  <c r="CH159" i="11"/>
  <c r="CH221" i="11"/>
  <c r="CF22" i="15"/>
  <c r="CF264" i="11"/>
  <c r="BT48" i="19"/>
  <c r="CF21" i="15"/>
  <c r="CH216" i="11"/>
  <c r="CF269" i="11"/>
  <c r="BT90" i="11"/>
  <c r="BT81" i="11"/>
  <c r="CH63" i="6"/>
  <c r="CG228" i="11"/>
  <c r="CG229" i="11" s="1"/>
  <c r="DC206" i="11"/>
  <c r="DC37" i="5" s="1"/>
  <c r="BG29" i="15" l="1"/>
  <c r="BI199" i="11"/>
  <c r="DC207" i="11"/>
  <c r="DD204" i="11" s="1"/>
  <c r="DD206" i="11" s="1"/>
  <c r="DD37" i="5" s="1"/>
  <c r="BU80" i="11"/>
  <c r="BU81" i="11" s="1"/>
  <c r="DC212" i="11"/>
  <c r="DD209" i="11" s="1"/>
  <c r="DD211" i="11" s="1"/>
  <c r="DD38" i="5" s="1"/>
  <c r="CF23" i="15"/>
  <c r="CF20" i="15" s="1"/>
  <c r="CH226" i="11"/>
  <c r="BU48" i="19"/>
  <c r="CH227" i="11"/>
  <c r="CI26" i="6" s="1"/>
  <c r="CH223" i="11"/>
  <c r="CH224" i="11" s="1"/>
  <c r="CH218" i="11"/>
  <c r="CH219" i="11" s="1"/>
  <c r="CF266" i="11"/>
  <c r="CF267" i="11" s="1"/>
  <c r="CH161" i="11"/>
  <c r="CH162" i="11" s="1"/>
  <c r="CF271" i="11"/>
  <c r="CF272" i="11" s="1"/>
  <c r="BU79" i="11"/>
  <c r="S24" i="18" l="1"/>
  <c r="BI201" i="11"/>
  <c r="BU90" i="11"/>
  <c r="DD207" i="11"/>
  <c r="DE204" i="11" s="1"/>
  <c r="DE206" i="11" s="1"/>
  <c r="DE37" i="5" s="1"/>
  <c r="DD212" i="11"/>
  <c r="DE209" i="11" s="1"/>
  <c r="DE211" i="11" s="1"/>
  <c r="DE38" i="5" s="1"/>
  <c r="CG264" i="11"/>
  <c r="CG21" i="15"/>
  <c r="CI216" i="11"/>
  <c r="CI221" i="11"/>
  <c r="CG22" i="15"/>
  <c r="CI63" i="6"/>
  <c r="BV76" i="11"/>
  <c r="CG269" i="11"/>
  <c r="CH228" i="11"/>
  <c r="CH229" i="11" s="1"/>
  <c r="CI159" i="11"/>
  <c r="CG18" i="15"/>
  <c r="H220" i="32" l="1"/>
  <c r="BI36" i="5"/>
  <c r="BI34" i="5" s="1"/>
  <c r="BI202" i="11"/>
  <c r="DE207" i="11"/>
  <c r="DF204" i="11" s="1"/>
  <c r="DF206" i="11" s="1"/>
  <c r="DF37" i="5" s="1"/>
  <c r="DE212" i="11"/>
  <c r="DF209" i="11" s="1"/>
  <c r="DF211" i="11" s="1"/>
  <c r="DF38" i="5" s="1"/>
  <c r="CI227" i="11"/>
  <c r="CJ26" i="6" s="1"/>
  <c r="CI223" i="11"/>
  <c r="CI224" i="11" s="1"/>
  <c r="CI218" i="11"/>
  <c r="CI219" i="11" s="1"/>
  <c r="CI161" i="11"/>
  <c r="CI162" i="11" s="1"/>
  <c r="CG23" i="15"/>
  <c r="CG20" i="15" s="1"/>
  <c r="CI226" i="11"/>
  <c r="CG266" i="11"/>
  <c r="CG267" i="11" s="1"/>
  <c r="CG271" i="11"/>
  <c r="CG272" i="11" s="1"/>
  <c r="BV80" i="11"/>
  <c r="BV78" i="11"/>
  <c r="BV112" i="5" s="1"/>
  <c r="BJ199" i="11" l="1"/>
  <c r="BH29" i="15"/>
  <c r="BV79" i="11"/>
  <c r="BW76" i="11" s="1"/>
  <c r="CJ221" i="11"/>
  <c r="CH22" i="15"/>
  <c r="CJ216" i="11"/>
  <c r="CH21" i="15"/>
  <c r="CH269" i="11"/>
  <c r="CJ63" i="6"/>
  <c r="CI228" i="11"/>
  <c r="CI229" i="11" s="1"/>
  <c r="DF207" i="11"/>
  <c r="DG204" i="11" s="1"/>
  <c r="CH264" i="11"/>
  <c r="CH18" i="15"/>
  <c r="CJ159" i="11"/>
  <c r="BV48" i="19"/>
  <c r="DF212" i="11"/>
  <c r="DG209" i="11" s="1"/>
  <c r="BV90" i="11"/>
  <c r="BV81" i="11"/>
  <c r="BJ201" i="11" l="1"/>
  <c r="BW80" i="11"/>
  <c r="BW78" i="11"/>
  <c r="BW112" i="5" s="1"/>
  <c r="CH271" i="11"/>
  <c r="CH272" i="11" s="1"/>
  <c r="CJ218" i="11"/>
  <c r="CJ219" i="11" s="1"/>
  <c r="CJ161" i="11"/>
  <c r="CJ162" i="11" s="1"/>
  <c r="DG206" i="11"/>
  <c r="DG37" i="5" s="1"/>
  <c r="CH266" i="11"/>
  <c r="CH267" i="11" s="1"/>
  <c r="CJ227" i="11"/>
  <c r="CK26" i="6" s="1"/>
  <c r="CJ223" i="11"/>
  <c r="CJ224" i="11" s="1"/>
  <c r="DG211" i="11"/>
  <c r="DG38" i="5" s="1"/>
  <c r="CJ226" i="11"/>
  <c r="CH23" i="15"/>
  <c r="CH20" i="15" s="1"/>
  <c r="BJ36" i="5" l="1"/>
  <c r="BJ34" i="5" s="1"/>
  <c r="BJ202" i="11"/>
  <c r="CK221" i="11"/>
  <c r="CI22" i="15"/>
  <c r="CI269" i="11"/>
  <c r="CI264" i="11"/>
  <c r="DG212" i="11"/>
  <c r="DH209" i="11" s="1"/>
  <c r="DG207" i="11"/>
  <c r="DH204" i="11" s="1"/>
  <c r="CI18" i="15"/>
  <c r="CK159" i="11"/>
  <c r="CK63" i="6"/>
  <c r="CI21" i="15"/>
  <c r="CK216" i="11"/>
  <c r="BW48" i="19"/>
  <c r="CJ228" i="11"/>
  <c r="CJ229" i="11" s="1"/>
  <c r="BW79" i="11"/>
  <c r="BW90" i="11"/>
  <c r="BW81" i="11"/>
  <c r="BK199" i="11" l="1"/>
  <c r="BI29" i="15"/>
  <c r="CI23" i="15"/>
  <c r="CI20" i="15" s="1"/>
  <c r="CK226" i="11"/>
  <c r="CK161" i="11"/>
  <c r="CK162" i="11" s="1"/>
  <c r="DH211" i="11"/>
  <c r="DH38" i="5" s="1"/>
  <c r="CI266" i="11"/>
  <c r="CI267" i="11" s="1"/>
  <c r="DH206" i="11"/>
  <c r="DH37" i="5" s="1"/>
  <c r="BX76" i="11"/>
  <c r="CI271" i="11"/>
  <c r="CI272" i="11" s="1"/>
  <c r="CK218" i="11"/>
  <c r="CK219" i="11" s="1"/>
  <c r="CK227" i="11"/>
  <c r="CL26" i="6" s="1"/>
  <c r="CK223" i="11"/>
  <c r="CK224" i="11" s="1"/>
  <c r="BK201" i="11" l="1"/>
  <c r="CJ21" i="15"/>
  <c r="CL216" i="11"/>
  <c r="CJ269" i="11"/>
  <c r="CJ18" i="15"/>
  <c r="CL159" i="11"/>
  <c r="CJ264" i="11"/>
  <c r="CJ22" i="15"/>
  <c r="CL221" i="11"/>
  <c r="CL63" i="6"/>
  <c r="BX78" i="11"/>
  <c r="BX112" i="5" s="1"/>
  <c r="BX80" i="11"/>
  <c r="DH212" i="11"/>
  <c r="DI209" i="11" s="1"/>
  <c r="CK228" i="11"/>
  <c r="CK229" i="11" s="1"/>
  <c r="DH207" i="11"/>
  <c r="DI204" i="11" s="1"/>
  <c r="BK36" i="5" l="1"/>
  <c r="BK34" i="5" s="1"/>
  <c r="BK202" i="11"/>
  <c r="BX79" i="11"/>
  <c r="BY76" i="11" s="1"/>
  <c r="CJ23" i="15"/>
  <c r="CJ20" i="15" s="1"/>
  <c r="CL226" i="11"/>
  <c r="DI206" i="11"/>
  <c r="DI37" i="5" s="1"/>
  <c r="CL227" i="11"/>
  <c r="CM26" i="6" s="1"/>
  <c r="CL223" i="11"/>
  <c r="CL224" i="11" s="1"/>
  <c r="CJ266" i="11"/>
  <c r="CJ267" i="11" s="1"/>
  <c r="CL161" i="11"/>
  <c r="CL162" i="11" s="1"/>
  <c r="DI211" i="11"/>
  <c r="DI38" i="5" s="1"/>
  <c r="CJ271" i="11"/>
  <c r="CJ272" i="11" s="1"/>
  <c r="CL218" i="11"/>
  <c r="CL219" i="11" s="1"/>
  <c r="BX90" i="11"/>
  <c r="BX81" i="11"/>
  <c r="BX48" i="19"/>
  <c r="BL199" i="11" l="1"/>
  <c r="BJ29" i="15"/>
  <c r="DI212" i="11"/>
  <c r="DJ209" i="11" s="1"/>
  <c r="DJ211" i="11" s="1"/>
  <c r="DJ38" i="5" s="1"/>
  <c r="CM159" i="11"/>
  <c r="CK18" i="15"/>
  <c r="X13" i="18" s="1"/>
  <c r="CK264" i="11"/>
  <c r="CK21" i="15"/>
  <c r="CM216" i="11"/>
  <c r="CM221" i="11"/>
  <c r="CK22" i="15"/>
  <c r="X17" i="18" s="1"/>
  <c r="CK269" i="11"/>
  <c r="CM63" i="6"/>
  <c r="BY78" i="11"/>
  <c r="BY112" i="5" s="1"/>
  <c r="BY80" i="11"/>
  <c r="DI207" i="11"/>
  <c r="DJ204" i="11" s="1"/>
  <c r="CL228" i="11"/>
  <c r="CL229" i="11" s="1"/>
  <c r="BL201" i="11" l="1"/>
  <c r="CK23" i="15"/>
  <c r="X18" i="18" s="1"/>
  <c r="CM226" i="11"/>
  <c r="CK271" i="11"/>
  <c r="CK272" i="11" s="1"/>
  <c r="CM227" i="11"/>
  <c r="CN26" i="6" s="1"/>
  <c r="CM223" i="11"/>
  <c r="CM224" i="11" s="1"/>
  <c r="CM218" i="11"/>
  <c r="CM219" i="11" s="1"/>
  <c r="X16" i="18"/>
  <c r="CK266" i="11"/>
  <c r="CK267" i="11" s="1"/>
  <c r="BY48" i="19"/>
  <c r="DJ206" i="11"/>
  <c r="DJ37" i="5" s="1"/>
  <c r="DJ212" i="11"/>
  <c r="DK209" i="11" s="1"/>
  <c r="BY81" i="11"/>
  <c r="BY90" i="11"/>
  <c r="BY79" i="11"/>
  <c r="CM161" i="11"/>
  <c r="CM162" i="11" s="1"/>
  <c r="BL36" i="5" l="1"/>
  <c r="BL34" i="5" s="1"/>
  <c r="BL202" i="11"/>
  <c r="X15" i="18"/>
  <c r="CK20" i="15"/>
  <c r="DJ207" i="11"/>
  <c r="DK204" i="11" s="1"/>
  <c r="DK206" i="11" s="1"/>
  <c r="DK37" i="5" s="1"/>
  <c r="CL269" i="11"/>
  <c r="CL264" i="11"/>
  <c r="CL21" i="15"/>
  <c r="CN216" i="11"/>
  <c r="CN221" i="11"/>
  <c r="CL22" i="15"/>
  <c r="CN63" i="6"/>
  <c r="BZ76" i="11"/>
  <c r="CL18" i="15"/>
  <c r="CN159" i="11"/>
  <c r="CM228" i="11"/>
  <c r="CM229" i="11" s="1"/>
  <c r="DK211" i="11"/>
  <c r="DK38" i="5" s="1"/>
  <c r="BK29" i="15" l="1"/>
  <c r="BM199" i="11"/>
  <c r="DK212" i="11"/>
  <c r="DL209" i="11" s="1"/>
  <c r="DL211" i="11" s="1"/>
  <c r="DL38" i="5" s="1"/>
  <c r="CN226" i="11"/>
  <c r="CL23" i="15"/>
  <c r="CL20" i="15" s="1"/>
  <c r="CN223" i="11"/>
  <c r="CN224" i="11" s="1"/>
  <c r="CN227" i="11"/>
  <c r="CO26" i="6" s="1"/>
  <c r="CN218" i="11"/>
  <c r="CN219" i="11" s="1"/>
  <c r="CL266" i="11"/>
  <c r="CL267" i="11" s="1"/>
  <c r="CN161" i="11"/>
  <c r="CN162" i="11" s="1"/>
  <c r="BZ78" i="11"/>
  <c r="BZ112" i="5" s="1"/>
  <c r="BZ80" i="11"/>
  <c r="DK207" i="11"/>
  <c r="DL204" i="11" s="1"/>
  <c r="CL271" i="11"/>
  <c r="CL272" i="11" s="1"/>
  <c r="BM201" i="11" l="1"/>
  <c r="CM269" i="11"/>
  <c r="CM22" i="15"/>
  <c r="CO221" i="11"/>
  <c r="CM21" i="15"/>
  <c r="CO216" i="11"/>
  <c r="CO63" i="6"/>
  <c r="BZ48" i="19"/>
  <c r="CO159" i="11"/>
  <c r="CM18" i="15"/>
  <c r="DL212" i="11"/>
  <c r="DM209" i="11" s="1"/>
  <c r="DL206" i="11"/>
  <c r="DL37" i="5" s="1"/>
  <c r="CM264" i="11"/>
  <c r="BZ90" i="11"/>
  <c r="BZ81" i="11"/>
  <c r="BZ79" i="11"/>
  <c r="CA76" i="11" s="1"/>
  <c r="CN228" i="11"/>
  <c r="CN229" i="11" s="1"/>
  <c r="BM36" i="5" l="1"/>
  <c r="BM34" i="5" s="1"/>
  <c r="BM202" i="11"/>
  <c r="DL207" i="11"/>
  <c r="DM204" i="11" s="1"/>
  <c r="DM211" i="11"/>
  <c r="DM38" i="5" s="1"/>
  <c r="CO218" i="11"/>
  <c r="CO219" i="11" s="1"/>
  <c r="CM266" i="11"/>
  <c r="CM267" i="11" s="1"/>
  <c r="CO227" i="11"/>
  <c r="CP26" i="6" s="1"/>
  <c r="CO223" i="11"/>
  <c r="CO224" i="11" s="1"/>
  <c r="CM23" i="15"/>
  <c r="CM20" i="15" s="1"/>
  <c r="CO226" i="11"/>
  <c r="CM271" i="11"/>
  <c r="CM272" i="11" s="1"/>
  <c r="CA78" i="11"/>
  <c r="CA112" i="5" s="1"/>
  <c r="CA80" i="11"/>
  <c r="CO161" i="11"/>
  <c r="CO162" i="11" s="1"/>
  <c r="BL29" i="15" l="1"/>
  <c r="BN199" i="11"/>
  <c r="CA79" i="11"/>
  <c r="CB76" i="11" s="1"/>
  <c r="CP159" i="11"/>
  <c r="CN18" i="15"/>
  <c r="CN269" i="11"/>
  <c r="CN21" i="15"/>
  <c r="CP216" i="11"/>
  <c r="DM212" i="11"/>
  <c r="DN209" i="11" s="1"/>
  <c r="DM206" i="11"/>
  <c r="DM37" i="5" s="1"/>
  <c r="CO228" i="11"/>
  <c r="CO229" i="11" s="1"/>
  <c r="CA81" i="11"/>
  <c r="CA90" i="11"/>
  <c r="CP63" i="6"/>
  <c r="CN22" i="15"/>
  <c r="CP221" i="11"/>
  <c r="CA48" i="19"/>
  <c r="CN264" i="11"/>
  <c r="BN201" i="11" l="1"/>
  <c r="CP226" i="11"/>
  <c r="CN23" i="15"/>
  <c r="CN20" i="15" s="1"/>
  <c r="DM207" i="11"/>
  <c r="DN204" i="11" s="1"/>
  <c r="DN211" i="11"/>
  <c r="DN38" i="5" s="1"/>
  <c r="CN266" i="11"/>
  <c r="CN267" i="11" s="1"/>
  <c r="CP218" i="11"/>
  <c r="CP219" i="11" s="1"/>
  <c r="CN271" i="11"/>
  <c r="CN272" i="11" s="1"/>
  <c r="CB80" i="11"/>
  <c r="CB78" i="11"/>
  <c r="CB112" i="5" s="1"/>
  <c r="CP227" i="11"/>
  <c r="CQ26" i="6" s="1"/>
  <c r="CP223" i="11"/>
  <c r="CP224" i="11" s="1"/>
  <c r="CP161" i="11"/>
  <c r="CP162" i="11" s="1"/>
  <c r="BN36" i="5" l="1"/>
  <c r="BN34" i="5" s="1"/>
  <c r="BN202" i="11"/>
  <c r="CQ216" i="11"/>
  <c r="CO21" i="15"/>
  <c r="CO264" i="11"/>
  <c r="CO18" i="15"/>
  <c r="CQ159" i="11"/>
  <c r="CQ221" i="11"/>
  <c r="CO22" i="15"/>
  <c r="CQ63" i="6"/>
  <c r="CB90" i="11"/>
  <c r="CB81" i="11"/>
  <c r="CB48" i="19"/>
  <c r="DN206" i="11"/>
  <c r="DN37" i="5" s="1"/>
  <c r="CB79" i="11"/>
  <c r="CO269" i="11"/>
  <c r="DN212" i="11"/>
  <c r="DO209" i="11" s="1"/>
  <c r="CP228" i="11"/>
  <c r="CP229" i="11" s="1"/>
  <c r="BO199" i="11" l="1"/>
  <c r="BM29" i="15"/>
  <c r="DN207" i="11"/>
  <c r="DO204" i="11" s="1"/>
  <c r="CQ161" i="11"/>
  <c r="CQ162" i="11" s="1"/>
  <c r="CO266" i="11"/>
  <c r="CO267" i="11" s="1"/>
  <c r="CQ227" i="11"/>
  <c r="CR26" i="6" s="1"/>
  <c r="CQ223" i="11"/>
  <c r="CQ224" i="11" s="1"/>
  <c r="CQ226" i="11"/>
  <c r="CO23" i="15"/>
  <c r="CO20" i="15" s="1"/>
  <c r="DO211" i="11"/>
  <c r="DO38" i="5" s="1"/>
  <c r="CO271" i="11"/>
  <c r="CO272" i="11" s="1"/>
  <c r="CC76" i="11"/>
  <c r="CQ218" i="11"/>
  <c r="CQ219" i="11" s="1"/>
  <c r="BO201" i="11" l="1"/>
  <c r="T24" i="18"/>
  <c r="CR221" i="11"/>
  <c r="CP22" i="15"/>
  <c r="CR216" i="11"/>
  <c r="CP21" i="15"/>
  <c r="CP269" i="11"/>
  <c r="CP264" i="11"/>
  <c r="CR63" i="6"/>
  <c r="CQ228" i="11"/>
  <c r="CQ229" i="11" s="1"/>
  <c r="CC80" i="11"/>
  <c r="CC78" i="11"/>
  <c r="CC112" i="5" s="1"/>
  <c r="CR159" i="11"/>
  <c r="CP18" i="15"/>
  <c r="DO212" i="11"/>
  <c r="DP209" i="11" s="1"/>
  <c r="DO206" i="11"/>
  <c r="DO37" i="5" s="1"/>
  <c r="BO36" i="5" l="1"/>
  <c r="BO34" i="5" s="1"/>
  <c r="BO202" i="11"/>
  <c r="CC79" i="11"/>
  <c r="CD76" i="11" s="1"/>
  <c r="DO207" i="11"/>
  <c r="DP204" i="11" s="1"/>
  <c r="DP206" i="11" s="1"/>
  <c r="DP37" i="5" s="1"/>
  <c r="CP23" i="15"/>
  <c r="CP20" i="15" s="1"/>
  <c r="CR226" i="11"/>
  <c r="CP266" i="11"/>
  <c r="CP267" i="11" s="1"/>
  <c r="CR161" i="11"/>
  <c r="CR162" i="11" s="1"/>
  <c r="CP271" i="11"/>
  <c r="CP272" i="11" s="1"/>
  <c r="CC48" i="19"/>
  <c r="CC81" i="11"/>
  <c r="CC90" i="11"/>
  <c r="CR218" i="11"/>
  <c r="CR219" i="11" s="1"/>
  <c r="DP211" i="11"/>
  <c r="DP38" i="5" s="1"/>
  <c r="CR227" i="11"/>
  <c r="CS26" i="6" s="1"/>
  <c r="CR223" i="11"/>
  <c r="CR224" i="11" s="1"/>
  <c r="BP199" i="11" l="1"/>
  <c r="BN29" i="15"/>
  <c r="DP212" i="11"/>
  <c r="DQ209" i="11" s="1"/>
  <c r="DQ211" i="11" s="1"/>
  <c r="DQ38" i="5" s="1"/>
  <c r="DP207" i="11"/>
  <c r="DQ204" i="11" s="1"/>
  <c r="DQ206" i="11" s="1"/>
  <c r="DQ37" i="5" s="1"/>
  <c r="CQ269" i="11"/>
  <c r="CS159" i="11"/>
  <c r="CQ18" i="15"/>
  <c r="Y13" i="18" s="1"/>
  <c r="K212" i="32" s="1"/>
  <c r="CQ264" i="11"/>
  <c r="CS63" i="6"/>
  <c r="CS216" i="11"/>
  <c r="CQ21" i="15"/>
  <c r="CQ22" i="15"/>
  <c r="Y17" i="18" s="1"/>
  <c r="K215" i="32" s="1"/>
  <c r="CS221" i="11"/>
  <c r="CD80" i="11"/>
  <c r="CD78" i="11"/>
  <c r="CD112" i="5" s="1"/>
  <c r="CR228" i="11"/>
  <c r="CR229" i="11" s="1"/>
  <c r="BP201" i="11" l="1"/>
  <c r="CS226" i="11"/>
  <c r="CQ23" i="15"/>
  <c r="Y18" i="18" s="1"/>
  <c r="K216" i="32" s="1"/>
  <c r="Y16" i="18"/>
  <c r="K214" i="32" s="1"/>
  <c r="CD48" i="19"/>
  <c r="CD90" i="11"/>
  <c r="CD81" i="11"/>
  <c r="CS218" i="11"/>
  <c r="CS219" i="11" s="1"/>
  <c r="CQ266" i="11"/>
  <c r="CQ267" i="11" s="1"/>
  <c r="DQ212" i="11"/>
  <c r="DR209" i="11" s="1"/>
  <c r="CD79" i="11"/>
  <c r="DQ207" i="11"/>
  <c r="DR204" i="11" s="1"/>
  <c r="CS161" i="11"/>
  <c r="CS162" i="11" s="1"/>
  <c r="CQ271" i="11"/>
  <c r="CQ272" i="11" s="1"/>
  <c r="CS227" i="11"/>
  <c r="CT26" i="6" s="1"/>
  <c r="CS223" i="11"/>
  <c r="CS224" i="11" s="1"/>
  <c r="BP36" i="5" l="1"/>
  <c r="BP34" i="5" s="1"/>
  <c r="BP202" i="11"/>
  <c r="Y15" i="18"/>
  <c r="CQ20" i="15"/>
  <c r="CR21" i="15"/>
  <c r="CT216" i="11"/>
  <c r="CT159" i="11"/>
  <c r="CR18" i="15"/>
  <c r="CR264" i="11"/>
  <c r="DR211" i="11"/>
  <c r="DR38" i="5" s="1"/>
  <c r="CR22" i="15"/>
  <c r="CT221" i="11"/>
  <c r="CT63" i="6"/>
  <c r="CR269" i="11"/>
  <c r="DR206" i="11"/>
  <c r="DR37" i="5" s="1"/>
  <c r="CE76" i="11"/>
  <c r="CS228" i="11"/>
  <c r="CS229" i="11" s="1"/>
  <c r="BO29" i="15" l="1"/>
  <c r="BQ199" i="11"/>
  <c r="DR212" i="11"/>
  <c r="DS209" i="11" s="1"/>
  <c r="DS211" i="11" s="1"/>
  <c r="DS38" i="5" s="1"/>
  <c r="CT223" i="11"/>
  <c r="CT224" i="11" s="1"/>
  <c r="CT227" i="11"/>
  <c r="CU26" i="6" s="1"/>
  <c r="CE78" i="11"/>
  <c r="CE112" i="5" s="1"/>
  <c r="CE80" i="11"/>
  <c r="DR207" i="11"/>
  <c r="DS204" i="11" s="1"/>
  <c r="CR266" i="11"/>
  <c r="CR267" i="11" s="1"/>
  <c r="CR23" i="15"/>
  <c r="CR20" i="15" s="1"/>
  <c r="CT226" i="11"/>
  <c r="CR271" i="11"/>
  <c r="CR272" i="11" s="1"/>
  <c r="CT161" i="11"/>
  <c r="CT162" i="11" s="1"/>
  <c r="CT218" i="11"/>
  <c r="CT219" i="11" s="1"/>
  <c r="BQ201" i="11" l="1"/>
  <c r="CE79" i="11"/>
  <c r="CF76" i="11" s="1"/>
  <c r="CS264" i="11"/>
  <c r="CU216" i="11"/>
  <c r="CS21" i="15"/>
  <c r="CS18" i="15"/>
  <c r="CU159" i="11"/>
  <c r="CE48" i="19"/>
  <c r="CS269" i="11"/>
  <c r="CT228" i="11"/>
  <c r="CT229" i="11" s="1"/>
  <c r="CU63" i="6"/>
  <c r="CU221" i="11"/>
  <c r="CS22" i="15"/>
  <c r="DS206" i="11"/>
  <c r="DS37" i="5" s="1"/>
  <c r="CE90" i="11"/>
  <c r="CE81" i="11"/>
  <c r="DS212" i="11"/>
  <c r="DT209" i="11" s="1"/>
  <c r="BQ36" i="5" l="1"/>
  <c r="BQ34" i="5" s="1"/>
  <c r="BQ202" i="11"/>
  <c r="CS23" i="15"/>
  <c r="CS20" i="15" s="1"/>
  <c r="CU226" i="11"/>
  <c r="CF78" i="11"/>
  <c r="CF112" i="5" s="1"/>
  <c r="CF80" i="11"/>
  <c r="CU161" i="11"/>
  <c r="CU162" i="11" s="1"/>
  <c r="CU218" i="11"/>
  <c r="CU219" i="11" s="1"/>
  <c r="DS207" i="11"/>
  <c r="DT204" i="11" s="1"/>
  <c r="CU223" i="11"/>
  <c r="CU224" i="11" s="1"/>
  <c r="CU227" i="11"/>
  <c r="CV26" i="6" s="1"/>
  <c r="DT211" i="11"/>
  <c r="DT38" i="5" s="1"/>
  <c r="CS271" i="11"/>
  <c r="CS272" i="11" s="1"/>
  <c r="CS266" i="11"/>
  <c r="CS267" i="11" s="1"/>
  <c r="BP29" i="15" l="1"/>
  <c r="BR199" i="11"/>
  <c r="CT269" i="11"/>
  <c r="DT206" i="11"/>
  <c r="DT37" i="5" s="1"/>
  <c r="CV159" i="11"/>
  <c r="CT18" i="15"/>
  <c r="CV216" i="11"/>
  <c r="CT21" i="15"/>
  <c r="CF81" i="11"/>
  <c r="CF90" i="11"/>
  <c r="CF48" i="19"/>
  <c r="CV221" i="11"/>
  <c r="CT22" i="15"/>
  <c r="CT264" i="11"/>
  <c r="DT212" i="11"/>
  <c r="DU209" i="11" s="1"/>
  <c r="CF79" i="11"/>
  <c r="CG76" i="11" s="1"/>
  <c r="CV63" i="6"/>
  <c r="CU228" i="11"/>
  <c r="CU229" i="11" s="1"/>
  <c r="BR201" i="11" l="1"/>
  <c r="CV218" i="11"/>
  <c r="CV219" i="11" s="1"/>
  <c r="CG78" i="11"/>
  <c r="CG112" i="5" s="1"/>
  <c r="CG80" i="11"/>
  <c r="CV226" i="11"/>
  <c r="CT23" i="15"/>
  <c r="CT20" i="15" s="1"/>
  <c r="DU211" i="11"/>
  <c r="DU38" i="5" s="1"/>
  <c r="CV223" i="11"/>
  <c r="CV224" i="11" s="1"/>
  <c r="CV227" i="11"/>
  <c r="CW26" i="6" s="1"/>
  <c r="CV161" i="11"/>
  <c r="CV162" i="11" s="1"/>
  <c r="CT266" i="11"/>
  <c r="CT267" i="11" s="1"/>
  <c r="DT207" i="11"/>
  <c r="DU204" i="11" s="1"/>
  <c r="CT271" i="11"/>
  <c r="CT272" i="11" s="1"/>
  <c r="BR36" i="5" l="1"/>
  <c r="BR34" i="5" s="1"/>
  <c r="BR202" i="11"/>
  <c r="CG79" i="11"/>
  <c r="CH76" i="11" s="1"/>
  <c r="DU212" i="11"/>
  <c r="DV209" i="11" s="1"/>
  <c r="DV211" i="11" s="1"/>
  <c r="DV38" i="5" s="1"/>
  <c r="AE33" i="17" s="1"/>
  <c r="CU264" i="11"/>
  <c r="CU18" i="15"/>
  <c r="CW159" i="11"/>
  <c r="CU22" i="15"/>
  <c r="CW221" i="11"/>
  <c r="CW63" i="6"/>
  <c r="CU21" i="15"/>
  <c r="CW216" i="11"/>
  <c r="CU269" i="11"/>
  <c r="DU206" i="11"/>
  <c r="DU37" i="5" s="1"/>
  <c r="CV228" i="11"/>
  <c r="CV229" i="11" s="1"/>
  <c r="CG90" i="11"/>
  <c r="CG81" i="11"/>
  <c r="CG48" i="19"/>
  <c r="BS199" i="11" l="1"/>
  <c r="BQ29" i="15"/>
  <c r="DV212" i="11"/>
  <c r="DW209" i="11" s="1"/>
  <c r="DW211" i="11" s="1"/>
  <c r="DW38" i="5" s="1"/>
  <c r="CU23" i="15"/>
  <c r="CU20" i="15" s="1"/>
  <c r="CW226" i="11"/>
  <c r="CW218" i="11"/>
  <c r="CW219" i="11" s="1"/>
  <c r="CH80" i="11"/>
  <c r="CH78" i="11"/>
  <c r="CH112" i="5" s="1"/>
  <c r="CW223" i="11"/>
  <c r="CW224" i="11" s="1"/>
  <c r="CW227" i="11"/>
  <c r="CX26" i="6" s="1"/>
  <c r="CU266" i="11"/>
  <c r="CU267" i="11" s="1"/>
  <c r="DU207" i="11"/>
  <c r="DV204" i="11" s="1"/>
  <c r="CW161" i="11"/>
  <c r="CW162" i="11" s="1"/>
  <c r="CU271" i="11"/>
  <c r="CU272" i="11" s="1"/>
  <c r="BS201" i="11" l="1"/>
  <c r="DW212" i="11"/>
  <c r="DX209" i="11" s="1"/>
  <c r="DX211" i="11" s="1"/>
  <c r="DX38" i="5" s="1"/>
  <c r="CH79" i="11"/>
  <c r="CI76" i="11" s="1"/>
  <c r="CX221" i="11"/>
  <c r="CV22" i="15"/>
  <c r="CV264" i="11"/>
  <c r="CH48" i="19"/>
  <c r="CH81" i="11"/>
  <c r="CH90" i="11"/>
  <c r="CX159" i="11"/>
  <c r="CV18" i="15"/>
  <c r="CV21" i="15"/>
  <c r="CX216" i="11"/>
  <c r="DV206" i="11"/>
  <c r="DV37" i="5" s="1"/>
  <c r="CV269" i="11"/>
  <c r="CX63" i="6"/>
  <c r="CW228" i="11"/>
  <c r="CW229" i="11" s="1"/>
  <c r="BS36" i="5" l="1"/>
  <c r="BS34" i="5" s="1"/>
  <c r="BS202" i="11"/>
  <c r="DX212" i="11"/>
  <c r="DY209" i="11" s="1"/>
  <c r="DY211" i="11" s="1"/>
  <c r="DY38" i="5" s="1"/>
  <c r="CI78" i="11"/>
  <c r="CI112" i="5" s="1"/>
  <c r="CI80" i="11"/>
  <c r="CX218" i="11"/>
  <c r="CX219" i="11" s="1"/>
  <c r="CX226" i="11"/>
  <c r="CV23" i="15"/>
  <c r="CV20" i="15" s="1"/>
  <c r="CX161" i="11"/>
  <c r="CX162" i="11" s="1"/>
  <c r="CV266" i="11"/>
  <c r="CV267" i="11" s="1"/>
  <c r="CV271" i="11"/>
  <c r="CV272" i="11" s="1"/>
  <c r="DV207" i="11"/>
  <c r="DW204" i="11" s="1"/>
  <c r="CX223" i="11"/>
  <c r="CX224" i="11" s="1"/>
  <c r="CX227" i="11"/>
  <c r="CY26" i="6" s="1"/>
  <c r="BT199" i="11" l="1"/>
  <c r="BR29" i="15"/>
  <c r="CW22" i="15"/>
  <c r="Z17" i="18" s="1"/>
  <c r="CY221" i="11"/>
  <c r="DY212" i="11"/>
  <c r="DZ209" i="11" s="1"/>
  <c r="DW206" i="11"/>
  <c r="DW37" i="5" s="1"/>
  <c r="CY63" i="6"/>
  <c r="CX228" i="11"/>
  <c r="CX229" i="11" s="1"/>
  <c r="CW18" i="15"/>
  <c r="Z13" i="18" s="1"/>
  <c r="CY159" i="11"/>
  <c r="CY216" i="11"/>
  <c r="CW21" i="15"/>
  <c r="CW269" i="11"/>
  <c r="CW264" i="11"/>
  <c r="CI90" i="11"/>
  <c r="CI81" i="11"/>
  <c r="CI48" i="19"/>
  <c r="CI79" i="11"/>
  <c r="BT201" i="11" l="1"/>
  <c r="DW207" i="11"/>
  <c r="DX204" i="11" s="1"/>
  <c r="CJ76" i="11"/>
  <c r="DZ211" i="11"/>
  <c r="DZ38" i="5" s="1"/>
  <c r="Z16" i="18"/>
  <c r="CY161" i="11"/>
  <c r="CY162" i="11" s="1"/>
  <c r="CY218" i="11"/>
  <c r="CY219" i="11" s="1"/>
  <c r="CW266" i="11"/>
  <c r="CW267" i="11" s="1"/>
  <c r="CW23" i="15"/>
  <c r="Z18" i="18" s="1"/>
  <c r="CY226" i="11"/>
  <c r="CY227" i="11"/>
  <c r="CZ26" i="6" s="1"/>
  <c r="CY223" i="11"/>
  <c r="CY224" i="11" s="1"/>
  <c r="CW271" i="11"/>
  <c r="CW272" i="11" s="1"/>
  <c r="BT36" i="5" l="1"/>
  <c r="BT34" i="5" s="1"/>
  <c r="BT202" i="11"/>
  <c r="DZ212" i="11"/>
  <c r="EA209" i="11" s="1"/>
  <c r="EA211" i="11" s="1"/>
  <c r="EA38" i="5" s="1"/>
  <c r="CX264" i="11"/>
  <c r="CJ80" i="11"/>
  <c r="CJ78" i="11"/>
  <c r="CJ112" i="5" s="1"/>
  <c r="DX206" i="11"/>
  <c r="DX37" i="5" s="1"/>
  <c r="CZ159" i="11"/>
  <c r="CX18" i="15"/>
  <c r="CX22" i="15"/>
  <c r="CZ221" i="11"/>
  <c r="CZ63" i="6"/>
  <c r="CY228" i="11"/>
  <c r="CY229" i="11" s="1"/>
  <c r="Z15" i="18"/>
  <c r="CW20" i="15"/>
  <c r="CX269" i="11"/>
  <c r="CZ216" i="11"/>
  <c r="CX21" i="15"/>
  <c r="BS29" i="15" l="1"/>
  <c r="BU199" i="11"/>
  <c r="DX207" i="11"/>
  <c r="DY204" i="11" s="1"/>
  <c r="CJ48" i="19"/>
  <c r="CZ226" i="11"/>
  <c r="CX23" i="15"/>
  <c r="CX20" i="15" s="1"/>
  <c r="CZ227" i="11"/>
  <c r="DA26" i="6" s="1"/>
  <c r="CZ223" i="11"/>
  <c r="CZ224" i="11" s="1"/>
  <c r="CJ79" i="11"/>
  <c r="EA212" i="11"/>
  <c r="EB209" i="11" s="1"/>
  <c r="CZ218" i="11"/>
  <c r="CZ219" i="11" s="1"/>
  <c r="CZ161" i="11"/>
  <c r="CZ162" i="11" s="1"/>
  <c r="CX266" i="11"/>
  <c r="CX267" i="11" s="1"/>
  <c r="CX271" i="11"/>
  <c r="CX272" i="11" s="1"/>
  <c r="CJ90" i="11"/>
  <c r="CJ81" i="11"/>
  <c r="U24" i="18" l="1"/>
  <c r="BU201" i="11"/>
  <c r="CY22" i="15"/>
  <c r="DA221" i="11"/>
  <c r="CY269" i="11"/>
  <c r="CY264" i="11"/>
  <c r="CY18" i="15"/>
  <c r="DA159" i="11"/>
  <c r="CZ228" i="11"/>
  <c r="CZ229" i="11" s="1"/>
  <c r="DA216" i="11"/>
  <c r="CY21" i="15"/>
  <c r="EB211" i="11"/>
  <c r="EB38" i="5" s="1"/>
  <c r="CK76" i="11"/>
  <c r="DA63" i="6"/>
  <c r="DY206" i="11"/>
  <c r="DY37" i="5" s="1"/>
  <c r="I220" i="32" l="1"/>
  <c r="BU36" i="5"/>
  <c r="BU34" i="5" s="1"/>
  <c r="BU202" i="11"/>
  <c r="DY207" i="11"/>
  <c r="DZ204" i="11" s="1"/>
  <c r="DZ206" i="11" s="1"/>
  <c r="DZ37" i="5" s="1"/>
  <c r="CY23" i="15"/>
  <c r="CY20" i="15" s="1"/>
  <c r="DA226" i="11"/>
  <c r="DA218" i="11"/>
  <c r="DA219" i="11" s="1"/>
  <c r="CY266" i="11"/>
  <c r="CY267" i="11" s="1"/>
  <c r="EB212" i="11"/>
  <c r="EC209" i="11" s="1"/>
  <c r="CY271" i="11"/>
  <c r="CY272" i="11" s="1"/>
  <c r="DA161" i="11"/>
  <c r="DA162" i="11" s="1"/>
  <c r="CK78" i="11"/>
  <c r="CK112" i="5" s="1"/>
  <c r="CK80" i="11"/>
  <c r="DA223" i="11"/>
  <c r="DA224" i="11" s="1"/>
  <c r="DA227" i="11"/>
  <c r="DB26" i="6" s="1"/>
  <c r="BV199" i="11" l="1"/>
  <c r="BT29" i="15"/>
  <c r="DZ207" i="11"/>
  <c r="EA204" i="11" s="1"/>
  <c r="EA206" i="11" s="1"/>
  <c r="EA37" i="5" s="1"/>
  <c r="CK79" i="11"/>
  <c r="CL76" i="11" s="1"/>
  <c r="CZ269" i="11"/>
  <c r="CZ21" i="15"/>
  <c r="DB216" i="11"/>
  <c r="CZ264" i="11"/>
  <c r="EC211" i="11"/>
  <c r="EC38" i="5" s="1"/>
  <c r="CZ18" i="15"/>
  <c r="DB159" i="11"/>
  <c r="CK90" i="11"/>
  <c r="CK81" i="11"/>
  <c r="DB63" i="6"/>
  <c r="DB221" i="11"/>
  <c r="CZ22" i="15"/>
  <c r="DA228" i="11"/>
  <c r="DA229" i="11" s="1"/>
  <c r="CK48" i="19"/>
  <c r="BV201" i="11" l="1"/>
  <c r="EC212" i="11"/>
  <c r="ED209" i="11" s="1"/>
  <c r="ED211" i="11" s="1"/>
  <c r="ED38" i="5" s="1"/>
  <c r="CZ23" i="15"/>
  <c r="CZ20" i="15" s="1"/>
  <c r="DB226" i="11"/>
  <c r="CZ266" i="11"/>
  <c r="CZ267" i="11" s="1"/>
  <c r="DB223" i="11"/>
  <c r="DB224" i="11" s="1"/>
  <c r="DB227" i="11"/>
  <c r="DC26" i="6" s="1"/>
  <c r="EA207" i="11"/>
  <c r="EB204" i="11" s="1"/>
  <c r="DB218" i="11"/>
  <c r="DB219" i="11" s="1"/>
  <c r="CL78" i="11"/>
  <c r="CL112" i="5" s="1"/>
  <c r="CL80" i="11"/>
  <c r="DB161" i="11"/>
  <c r="DB162" i="11" s="1"/>
  <c r="CZ271" i="11"/>
  <c r="CZ272" i="11" s="1"/>
  <c r="BV36" i="5" l="1"/>
  <c r="BV34" i="5" s="1"/>
  <c r="BV202" i="11"/>
  <c r="DA269" i="11"/>
  <c r="DC159" i="11"/>
  <c r="DA18" i="15"/>
  <c r="EB206" i="11"/>
  <c r="EB37" i="5" s="1"/>
  <c r="CL81" i="11"/>
  <c r="CL90" i="11"/>
  <c r="DC221" i="11"/>
  <c r="DA22" i="15"/>
  <c r="CL79" i="11"/>
  <c r="CM76" i="11" s="1"/>
  <c r="DA264" i="11"/>
  <c r="CL48" i="19"/>
  <c r="DA21" i="15"/>
  <c r="DC216" i="11"/>
  <c r="DC63" i="6"/>
  <c r="DB228" i="11"/>
  <c r="DB229" i="11" s="1"/>
  <c r="ED212" i="11"/>
  <c r="EE209" i="11" s="1"/>
  <c r="BU29" i="15" l="1"/>
  <c r="BW199" i="11"/>
  <c r="EB207" i="11"/>
  <c r="EC204" i="11" s="1"/>
  <c r="EC206" i="11" s="1"/>
  <c r="EC37" i="5" s="1"/>
  <c r="DC227" i="11"/>
  <c r="DD26" i="6" s="1"/>
  <c r="DC223" i="11"/>
  <c r="DC224" i="11" s="1"/>
  <c r="DC218" i="11"/>
  <c r="DC219" i="11" s="1"/>
  <c r="EE211" i="11"/>
  <c r="EE38" i="5" s="1"/>
  <c r="DA23" i="15"/>
  <c r="DA20" i="15" s="1"/>
  <c r="DC226" i="11"/>
  <c r="DA266" i="11"/>
  <c r="DA267" i="11" s="1"/>
  <c r="DC161" i="11"/>
  <c r="DC162" i="11" s="1"/>
  <c r="CM78" i="11"/>
  <c r="CM112" i="5" s="1"/>
  <c r="CM80" i="11"/>
  <c r="DA271" i="11"/>
  <c r="DA272" i="11" s="1"/>
  <c r="BW201" i="11" l="1"/>
  <c r="CM79" i="11"/>
  <c r="CN76" i="11" s="1"/>
  <c r="EE212" i="11"/>
  <c r="EF209" i="11" s="1"/>
  <c r="EF211" i="11" s="1"/>
  <c r="EF38" i="5" s="1"/>
  <c r="DB21" i="15"/>
  <c r="DD216" i="11"/>
  <c r="DB22" i="15"/>
  <c r="DD221" i="11"/>
  <c r="DD159" i="11"/>
  <c r="DB18" i="15"/>
  <c r="DC228" i="11"/>
  <c r="DC229" i="11" s="1"/>
  <c r="DB264" i="11"/>
  <c r="EC207" i="11"/>
  <c r="ED204" i="11" s="1"/>
  <c r="DB269" i="11"/>
  <c r="DD63" i="6"/>
  <c r="CM90" i="11"/>
  <c r="CM81" i="11"/>
  <c r="CM48" i="19"/>
  <c r="BW36" i="5" l="1"/>
  <c r="BW34" i="5" s="1"/>
  <c r="BW202" i="11"/>
  <c r="DD226" i="11"/>
  <c r="DB23" i="15"/>
  <c r="DB20" i="15" s="1"/>
  <c r="CN80" i="11"/>
  <c r="CN78" i="11"/>
  <c r="CN112" i="5" s="1"/>
  <c r="DD161" i="11"/>
  <c r="DD162" i="11" s="1"/>
  <c r="EF212" i="11"/>
  <c r="EG209" i="11" s="1"/>
  <c r="DB271" i="11"/>
  <c r="DB272" i="11" s="1"/>
  <c r="ED206" i="11"/>
  <c r="ED37" i="5" s="1"/>
  <c r="DD227" i="11"/>
  <c r="DE26" i="6" s="1"/>
  <c r="DD223" i="11"/>
  <c r="DD224" i="11" s="1"/>
  <c r="DD218" i="11"/>
  <c r="DD219" i="11" s="1"/>
  <c r="DB266" i="11"/>
  <c r="DB267" i="11" s="1"/>
  <c r="BV29" i="15" l="1"/>
  <c r="BX199" i="11"/>
  <c r="DC269" i="11"/>
  <c r="DC264" i="11"/>
  <c r="DE221" i="11"/>
  <c r="DC22" i="15"/>
  <c r="AA17" i="18" s="1"/>
  <c r="L215" i="32" s="1"/>
  <c r="DE159" i="11"/>
  <c r="DC18" i="15"/>
  <c r="AA13" i="18" s="1"/>
  <c r="L212" i="32" s="1"/>
  <c r="CN81" i="11"/>
  <c r="CN90" i="11"/>
  <c r="DE63" i="6"/>
  <c r="CN48" i="19"/>
  <c r="ED207" i="11"/>
  <c r="EE204" i="11" s="1"/>
  <c r="CN79" i="11"/>
  <c r="DE216" i="11"/>
  <c r="DC21" i="15"/>
  <c r="EG211" i="11"/>
  <c r="EG38" i="5" s="1"/>
  <c r="DD228" i="11"/>
  <c r="DD229" i="11" s="1"/>
  <c r="BX201" i="11" l="1"/>
  <c r="CO76" i="11"/>
  <c r="EE206" i="11"/>
  <c r="EE37" i="5" s="1"/>
  <c r="EG212" i="11"/>
  <c r="EH209" i="11" s="1"/>
  <c r="DE161" i="11"/>
  <c r="DE162" i="11" s="1"/>
  <c r="DE227" i="11"/>
  <c r="DF26" i="6" s="1"/>
  <c r="DE223" i="11"/>
  <c r="DE224" i="11" s="1"/>
  <c r="DC266" i="11"/>
  <c r="DC267" i="11" s="1"/>
  <c r="DC271" i="11"/>
  <c r="DC272" i="11" s="1"/>
  <c r="DC23" i="15"/>
  <c r="AA18" i="18" s="1"/>
  <c r="L216" i="32" s="1"/>
  <c r="DE226" i="11"/>
  <c r="AA16" i="18"/>
  <c r="L214" i="32" s="1"/>
  <c r="DE218" i="11"/>
  <c r="DE219" i="11" s="1"/>
  <c r="BX36" i="5" l="1"/>
  <c r="BX34" i="5" s="1"/>
  <c r="BX202" i="11"/>
  <c r="DC20" i="15"/>
  <c r="AA15" i="18"/>
  <c r="DF221" i="11"/>
  <c r="DD22" i="15"/>
  <c r="DD21" i="15"/>
  <c r="DF216" i="11"/>
  <c r="DD18" i="15"/>
  <c r="DF159" i="11"/>
  <c r="DD269" i="11"/>
  <c r="DD264" i="11"/>
  <c r="EH211" i="11"/>
  <c r="EH38" i="5" s="1"/>
  <c r="DE228" i="11"/>
  <c r="DE229" i="11" s="1"/>
  <c r="EE207" i="11"/>
  <c r="EF204" i="11" s="1"/>
  <c r="DF63" i="6"/>
  <c r="CO78" i="11"/>
  <c r="CO112" i="5" s="1"/>
  <c r="CO80" i="11"/>
  <c r="BY199" i="11" l="1"/>
  <c r="BW29" i="15"/>
  <c r="EH212" i="11"/>
  <c r="EI209" i="11" s="1"/>
  <c r="EI211" i="11" s="1"/>
  <c r="EI38" i="5" s="1"/>
  <c r="DD23" i="15"/>
  <c r="DD20" i="15" s="1"/>
  <c r="DF226" i="11"/>
  <c r="DD266" i="11"/>
  <c r="DD267" i="11" s="1"/>
  <c r="EF206" i="11"/>
  <c r="EF37" i="5" s="1"/>
  <c r="DF161" i="11"/>
  <c r="DF162" i="11" s="1"/>
  <c r="DF218" i="11"/>
  <c r="DF219" i="11" s="1"/>
  <c r="DD271" i="11"/>
  <c r="DD272" i="11" s="1"/>
  <c r="CO90" i="11"/>
  <c r="CO81" i="11"/>
  <c r="CO48" i="19"/>
  <c r="CO79" i="11"/>
  <c r="DF227" i="11"/>
  <c r="DG26" i="6" s="1"/>
  <c r="DF223" i="11"/>
  <c r="DF224" i="11" s="1"/>
  <c r="AG33" i="17"/>
  <c r="BY201" i="11" l="1"/>
  <c r="EI212" i="11"/>
  <c r="EJ209" i="11" s="1"/>
  <c r="EJ211" i="11" s="1"/>
  <c r="EJ38" i="5" s="1"/>
  <c r="DE269" i="11"/>
  <c r="DG159" i="11"/>
  <c r="DE18" i="15"/>
  <c r="DG221" i="11"/>
  <c r="DE22" i="15"/>
  <c r="DE264" i="11"/>
  <c r="EF207" i="11"/>
  <c r="EG204" i="11" s="1"/>
  <c r="DG63" i="6"/>
  <c r="DE21" i="15"/>
  <c r="DG216" i="11"/>
  <c r="DF228" i="11"/>
  <c r="DF229" i="11" s="1"/>
  <c r="CP76" i="11"/>
  <c r="BY36" i="5" l="1"/>
  <c r="BY34" i="5" s="1"/>
  <c r="BY202" i="11"/>
  <c r="EJ212" i="11"/>
  <c r="EK209" i="11" s="1"/>
  <c r="EK211" i="11" s="1"/>
  <c r="EK38" i="5" s="1"/>
  <c r="DG226" i="11"/>
  <c r="DE23" i="15"/>
  <c r="DE20" i="15" s="1"/>
  <c r="DG218" i="11"/>
  <c r="DG219" i="11" s="1"/>
  <c r="DE266" i="11"/>
  <c r="DE267" i="11" s="1"/>
  <c r="DG227" i="11"/>
  <c r="DH26" i="6" s="1"/>
  <c r="DG223" i="11"/>
  <c r="DG224" i="11" s="1"/>
  <c r="DG161" i="11"/>
  <c r="DG162" i="11" s="1"/>
  <c r="CP80" i="11"/>
  <c r="CP78" i="11"/>
  <c r="CP112" i="5" s="1"/>
  <c r="EG206" i="11"/>
  <c r="EG37" i="5" s="1"/>
  <c r="DE271" i="11"/>
  <c r="DE272" i="11" s="1"/>
  <c r="BZ199" i="11" l="1"/>
  <c r="BX29" i="15"/>
  <c r="EG207" i="11"/>
  <c r="EH204" i="11" s="1"/>
  <c r="EH206" i="11" s="1"/>
  <c r="EH37" i="5" s="1"/>
  <c r="AG32" i="17" s="1"/>
  <c r="DF264" i="11"/>
  <c r="DH216" i="11"/>
  <c r="DF21" i="15"/>
  <c r="EK212" i="11"/>
  <c r="EL209" i="11" s="1"/>
  <c r="DH63" i="6"/>
  <c r="CP81" i="11"/>
  <c r="CP90" i="11"/>
  <c r="CP79" i="11"/>
  <c r="DF269" i="11"/>
  <c r="DH159" i="11"/>
  <c r="DF18" i="15"/>
  <c r="DH221" i="11"/>
  <c r="DF22" i="15"/>
  <c r="CP48" i="19"/>
  <c r="DG228" i="11"/>
  <c r="DG229" i="11" s="1"/>
  <c r="BZ201" i="11" l="1"/>
  <c r="EH207" i="11"/>
  <c r="EI204" i="11" s="1"/>
  <c r="DH226" i="11"/>
  <c r="DF23" i="15"/>
  <c r="DF20" i="15" s="1"/>
  <c r="DF271" i="11"/>
  <c r="DF272" i="11" s="1"/>
  <c r="CQ76" i="11"/>
  <c r="EL211" i="11"/>
  <c r="EL38" i="5" s="1"/>
  <c r="DH223" i="11"/>
  <c r="DH224" i="11" s="1"/>
  <c r="DH227" i="11"/>
  <c r="DI26" i="6" s="1"/>
  <c r="DH218" i="11"/>
  <c r="DH219" i="11" s="1"/>
  <c r="DF266" i="11"/>
  <c r="DF267" i="11" s="1"/>
  <c r="DH161" i="11"/>
  <c r="DH162" i="11" s="1"/>
  <c r="BZ36" i="5" l="1"/>
  <c r="BZ34" i="5" s="1"/>
  <c r="BZ202" i="11"/>
  <c r="EI206" i="11"/>
  <c r="EI37" i="5" s="1"/>
  <c r="DI216" i="11"/>
  <c r="DG21" i="15"/>
  <c r="DG269" i="11"/>
  <c r="DI159" i="11"/>
  <c r="DG18" i="15"/>
  <c r="DG264" i="11"/>
  <c r="CQ78" i="11"/>
  <c r="CQ112" i="5" s="1"/>
  <c r="CQ80" i="11"/>
  <c r="DI63" i="6"/>
  <c r="DI221" i="11"/>
  <c r="DG22" i="15"/>
  <c r="EL212" i="11"/>
  <c r="EM209" i="11" s="1"/>
  <c r="DH228" i="11"/>
  <c r="DH229" i="11" s="1"/>
  <c r="BY29" i="15" l="1"/>
  <c r="CA199" i="11"/>
  <c r="EI207" i="11"/>
  <c r="EJ204" i="11" s="1"/>
  <c r="EJ206" i="11" s="1"/>
  <c r="EJ37" i="5" s="1"/>
  <c r="CQ79" i="11"/>
  <c r="CR76" i="11" s="1"/>
  <c r="DI161" i="11"/>
  <c r="DI162" i="11" s="1"/>
  <c r="DG271" i="11"/>
  <c r="DG272" i="11" s="1"/>
  <c r="EM211" i="11"/>
  <c r="EM38" i="5" s="1"/>
  <c r="DI223" i="11"/>
  <c r="DI224" i="11" s="1"/>
  <c r="DI227" i="11"/>
  <c r="DJ26" i="6" s="1"/>
  <c r="DG266" i="11"/>
  <c r="DG267" i="11" s="1"/>
  <c r="DG23" i="15"/>
  <c r="DG20" i="15" s="1"/>
  <c r="DI226" i="11"/>
  <c r="CQ81" i="11"/>
  <c r="CQ90" i="11"/>
  <c r="DI218" i="11"/>
  <c r="DI219" i="11" s="1"/>
  <c r="CQ48" i="19"/>
  <c r="V24" i="18" l="1"/>
  <c r="CA201" i="11"/>
  <c r="EJ207" i="11"/>
  <c r="EK204" i="11" s="1"/>
  <c r="EK206" i="11" s="1"/>
  <c r="EK37" i="5" s="1"/>
  <c r="EM212" i="11"/>
  <c r="EN209" i="11" s="1"/>
  <c r="EN211" i="11" s="1"/>
  <c r="EN38" i="5" s="1"/>
  <c r="DJ216" i="11"/>
  <c r="DH21" i="15"/>
  <c r="DH269" i="11"/>
  <c r="DJ159" i="11"/>
  <c r="DH18" i="15"/>
  <c r="DH264" i="11"/>
  <c r="DI228" i="11"/>
  <c r="DI229" i="11" s="1"/>
  <c r="DJ63" i="6"/>
  <c r="DJ221" i="11"/>
  <c r="DH22" i="15"/>
  <c r="CR80" i="11"/>
  <c r="CR78" i="11"/>
  <c r="CR112" i="5" s="1"/>
  <c r="CA36" i="5" l="1"/>
  <c r="CA34" i="5" s="1"/>
  <c r="CA202" i="11"/>
  <c r="EN212" i="11"/>
  <c r="EO209" i="11" s="1"/>
  <c r="EO211" i="11" s="1"/>
  <c r="EO38" i="5" s="1"/>
  <c r="EK207" i="11"/>
  <c r="EL204" i="11" s="1"/>
  <c r="EL206" i="11" s="1"/>
  <c r="EL37" i="5" s="1"/>
  <c r="CR79" i="11"/>
  <c r="CS76" i="11" s="1"/>
  <c r="CS80" i="11" s="1"/>
  <c r="DJ226" i="11"/>
  <c r="DH23" i="15"/>
  <c r="DH20" i="15" s="1"/>
  <c r="CR48" i="19"/>
  <c r="DJ223" i="11"/>
  <c r="DJ224" i="11" s="1"/>
  <c r="DJ227" i="11"/>
  <c r="DK26" i="6" s="1"/>
  <c r="CR81" i="11"/>
  <c r="CR90" i="11"/>
  <c r="DH266" i="11"/>
  <c r="DH267" i="11" s="1"/>
  <c r="DJ161" i="11"/>
  <c r="DJ162" i="11" s="1"/>
  <c r="DH271" i="11"/>
  <c r="DH272" i="11" s="1"/>
  <c r="DJ218" i="11"/>
  <c r="DJ219" i="11" s="1"/>
  <c r="CB199" i="11" l="1"/>
  <c r="BZ29" i="15"/>
  <c r="CS78" i="11"/>
  <c r="CS112" i="5" s="1"/>
  <c r="CS48" i="19" s="1"/>
  <c r="EO212" i="11"/>
  <c r="EP209" i="11" s="1"/>
  <c r="EP211" i="11" s="1"/>
  <c r="EP38" i="5" s="1"/>
  <c r="EL207" i="11"/>
  <c r="EM204" i="11" s="1"/>
  <c r="EM206" i="11" s="1"/>
  <c r="EM37" i="5" s="1"/>
  <c r="DI269" i="11"/>
  <c r="DI18" i="15"/>
  <c r="AB13" i="18" s="1"/>
  <c r="DK159" i="11"/>
  <c r="DK216" i="11"/>
  <c r="DI21" i="15"/>
  <c r="DI264" i="11"/>
  <c r="DI22" i="15"/>
  <c r="AB17" i="18" s="1"/>
  <c r="DK221" i="11"/>
  <c r="DK63" i="6"/>
  <c r="CS90" i="11"/>
  <c r="CS81" i="11"/>
  <c r="DJ228" i="11"/>
  <c r="DJ229" i="11" s="1"/>
  <c r="CB201" i="11" l="1"/>
  <c r="CS79" i="11"/>
  <c r="CT76" i="11" s="1"/>
  <c r="CT78" i="11" s="1"/>
  <c r="CT112" i="5" s="1"/>
  <c r="EM207" i="11"/>
  <c r="EN204" i="11" s="1"/>
  <c r="EN206" i="11" s="1"/>
  <c r="EN37" i="5" s="1"/>
  <c r="DK226" i="11"/>
  <c r="DI23" i="15"/>
  <c r="AB18" i="18" s="1"/>
  <c r="AB16" i="18"/>
  <c r="DK227" i="11"/>
  <c r="DL26" i="6" s="1"/>
  <c r="DK223" i="11"/>
  <c r="DK224" i="11" s="1"/>
  <c r="DK218" i="11"/>
  <c r="DK219" i="11" s="1"/>
  <c r="EP212" i="11"/>
  <c r="EQ209" i="11" s="1"/>
  <c r="DK161" i="11"/>
  <c r="DK162" i="11" s="1"/>
  <c r="DI266" i="11"/>
  <c r="DI267" i="11" s="1"/>
  <c r="DI271" i="11"/>
  <c r="DI272" i="11" s="1"/>
  <c r="CB36" i="5" l="1"/>
  <c r="CB34" i="5" s="1"/>
  <c r="CB202" i="11"/>
  <c r="CT80" i="11"/>
  <c r="CT81" i="11" s="1"/>
  <c r="DI20" i="15"/>
  <c r="AB15" i="18"/>
  <c r="DJ21" i="15"/>
  <c r="DL216" i="11"/>
  <c r="DL159" i="11"/>
  <c r="DJ18" i="15"/>
  <c r="DL63" i="6"/>
  <c r="DJ264" i="11"/>
  <c r="EQ211" i="11"/>
  <c r="EQ212" i="11" s="1"/>
  <c r="EN207" i="11"/>
  <c r="EO204" i="11" s="1"/>
  <c r="CT48" i="19"/>
  <c r="CT79" i="11"/>
  <c r="DL221" i="11"/>
  <c r="DJ22" i="15"/>
  <c r="DJ269" i="11"/>
  <c r="DK228" i="11"/>
  <c r="DK229" i="11" s="1"/>
  <c r="CA29" i="15" l="1"/>
  <c r="CC199" i="11"/>
  <c r="CT90" i="11"/>
  <c r="CU76" i="11"/>
  <c r="DJ266" i="11"/>
  <c r="DJ267" i="11" s="1"/>
  <c r="EO206" i="11"/>
  <c r="EO37" i="5" s="1"/>
  <c r="EQ38" i="5"/>
  <c r="J211" i="11"/>
  <c r="DL226" i="11"/>
  <c r="DJ23" i="15"/>
  <c r="DJ20" i="15" s="1"/>
  <c r="DJ271" i="11"/>
  <c r="DJ272" i="11" s="1"/>
  <c r="DL161" i="11"/>
  <c r="DL162" i="11" s="1"/>
  <c r="DL218" i="11"/>
  <c r="DL219" i="11" s="1"/>
  <c r="DL227" i="11"/>
  <c r="DM26" i="6" s="1"/>
  <c r="DL223" i="11"/>
  <c r="DL224" i="11" s="1"/>
  <c r="CC201" i="11" l="1"/>
  <c r="EO207" i="11"/>
  <c r="EP204" i="11" s="1"/>
  <c r="EP206" i="11" s="1"/>
  <c r="EP37" i="5" s="1"/>
  <c r="DK21" i="15"/>
  <c r="DM216" i="11"/>
  <c r="DM159" i="11"/>
  <c r="DK18" i="15"/>
  <c r="DM221" i="11"/>
  <c r="DK22" i="15"/>
  <c r="DK264" i="11"/>
  <c r="DK269" i="11"/>
  <c r="DM63" i="6"/>
  <c r="DL228" i="11"/>
  <c r="DL229" i="11" s="1"/>
  <c r="M33" i="26"/>
  <c r="E177" i="32" s="1"/>
  <c r="J38" i="5"/>
  <c r="N33" i="17"/>
  <c r="F738" i="32" s="1"/>
  <c r="N33" i="26"/>
  <c r="F177" i="32" s="1"/>
  <c r="P33" i="17"/>
  <c r="H738" i="32" s="1"/>
  <c r="Q33" i="17"/>
  <c r="O33" i="26"/>
  <c r="G177" i="32" s="1"/>
  <c r="R33" i="17"/>
  <c r="S33" i="17"/>
  <c r="P33" i="26"/>
  <c r="H177" i="32" s="1"/>
  <c r="T33" i="17"/>
  <c r="Q33" i="26"/>
  <c r="I177" i="32" s="1"/>
  <c r="V33" i="17"/>
  <c r="W33" i="17"/>
  <c r="R33" i="26"/>
  <c r="J177" i="32" s="1"/>
  <c r="X33" i="17"/>
  <c r="S33" i="26"/>
  <c r="K177" i="32" s="1"/>
  <c r="Z33" i="17"/>
  <c r="T33" i="26"/>
  <c r="L177" i="32" s="1"/>
  <c r="AB33" i="17"/>
  <c r="AC33" i="17"/>
  <c r="U33" i="26"/>
  <c r="M177" i="32" s="1"/>
  <c r="AD33" i="17"/>
  <c r="V33" i="26"/>
  <c r="N177" i="32" s="1"/>
  <c r="AF33" i="17"/>
  <c r="W33" i="26"/>
  <c r="AH33" i="17"/>
  <c r="AI33" i="17"/>
  <c r="X33" i="26"/>
  <c r="CU78" i="11"/>
  <c r="CU112" i="5" s="1"/>
  <c r="CU80" i="11"/>
  <c r="CC36" i="5" l="1"/>
  <c r="CC34" i="5" s="1"/>
  <c r="CC202" i="11"/>
  <c r="N607" i="32"/>
  <c r="O607" i="32" s="1"/>
  <c r="C738" i="32"/>
  <c r="C177" i="32"/>
  <c r="DK23" i="15"/>
  <c r="DK20" i="15" s="1"/>
  <c r="DM226" i="11"/>
  <c r="DM223" i="11"/>
  <c r="DM224" i="11" s="1"/>
  <c r="DM227" i="11"/>
  <c r="DN26" i="6" s="1"/>
  <c r="CU48" i="19"/>
  <c r="CU79" i="11"/>
  <c r="DK271" i="11"/>
  <c r="DK272" i="11" s="1"/>
  <c r="EP207" i="11"/>
  <c r="EQ204" i="11" s="1"/>
  <c r="CU81" i="11"/>
  <c r="CU90" i="11"/>
  <c r="J33" i="17"/>
  <c r="DM161" i="11"/>
  <c r="DM162" i="11" s="1"/>
  <c r="J33" i="26"/>
  <c r="DK266" i="11"/>
  <c r="DK267" i="11" s="1"/>
  <c r="DM218" i="11"/>
  <c r="DM219" i="11" s="1"/>
  <c r="CD199" i="11" l="1"/>
  <c r="CB29" i="15"/>
  <c r="DL21" i="15"/>
  <c r="DN216" i="11"/>
  <c r="DL269" i="11"/>
  <c r="DL264" i="11"/>
  <c r="DN159" i="11"/>
  <c r="DL18" i="15"/>
  <c r="CV76" i="11"/>
  <c r="DN63" i="6"/>
  <c r="DL22" i="15"/>
  <c r="DN221" i="11"/>
  <c r="EQ206" i="11"/>
  <c r="EQ207" i="11" s="1"/>
  <c r="DM228" i="11"/>
  <c r="DM229" i="11" s="1"/>
  <c r="CD201" i="11" l="1"/>
  <c r="DN226" i="11"/>
  <c r="DL23" i="15"/>
  <c r="DL20" i="15" s="1"/>
  <c r="CV80" i="11"/>
  <c r="CV78" i="11"/>
  <c r="CV112" i="5" s="1"/>
  <c r="DN161" i="11"/>
  <c r="DN162" i="11" s="1"/>
  <c r="DL266" i="11"/>
  <c r="DL267" i="11" s="1"/>
  <c r="DN227" i="11"/>
  <c r="DO26" i="6" s="1"/>
  <c r="DN223" i="11"/>
  <c r="DN224" i="11" s="1"/>
  <c r="DL271" i="11"/>
  <c r="DL272" i="11" s="1"/>
  <c r="EQ37" i="5"/>
  <c r="J206" i="11"/>
  <c r="DN218" i="11"/>
  <c r="DN219" i="11" s="1"/>
  <c r="CD36" i="5" l="1"/>
  <c r="CD34" i="5" s="1"/>
  <c r="CD202" i="11"/>
  <c r="CV79" i="11"/>
  <c r="CW76" i="11" s="1"/>
  <c r="DO221" i="11"/>
  <c r="DM22" i="15"/>
  <c r="DM21" i="15"/>
  <c r="DO216" i="11"/>
  <c r="DO159" i="11"/>
  <c r="DM18" i="15"/>
  <c r="DM264" i="11"/>
  <c r="DM269" i="11"/>
  <c r="CV48" i="19"/>
  <c r="CV81" i="11"/>
  <c r="CV90" i="11"/>
  <c r="DO63" i="6"/>
  <c r="M32" i="26"/>
  <c r="E178" i="32" s="1"/>
  <c r="J37" i="5"/>
  <c r="N32" i="17"/>
  <c r="F739" i="32" s="1"/>
  <c r="N32" i="26"/>
  <c r="F178" i="32" s="1"/>
  <c r="P32" i="17"/>
  <c r="H739" i="32" s="1"/>
  <c r="Q32" i="17"/>
  <c r="O32" i="26"/>
  <c r="G178" i="32" s="1"/>
  <c r="R32" i="17"/>
  <c r="P32" i="26"/>
  <c r="H178" i="32" s="1"/>
  <c r="T32" i="17"/>
  <c r="Q32" i="26"/>
  <c r="I178" i="32" s="1"/>
  <c r="V32" i="17"/>
  <c r="R32" i="26"/>
  <c r="J178" i="32" s="1"/>
  <c r="X32" i="17"/>
  <c r="S32" i="26"/>
  <c r="K178" i="32" s="1"/>
  <c r="Z32" i="17"/>
  <c r="T32" i="26"/>
  <c r="L178" i="32" s="1"/>
  <c r="AB32" i="17"/>
  <c r="U32" i="26"/>
  <c r="M178" i="32" s="1"/>
  <c r="AC32" i="17"/>
  <c r="AD32" i="17"/>
  <c r="V32" i="26"/>
  <c r="N178" i="32" s="1"/>
  <c r="AE32" i="17"/>
  <c r="AF32" i="17"/>
  <c r="W32" i="26"/>
  <c r="AH32" i="17"/>
  <c r="AI32" i="17"/>
  <c r="X32" i="26"/>
  <c r="DN228" i="11"/>
  <c r="DN229" i="11" s="1"/>
  <c r="CC29" i="15" l="1"/>
  <c r="CE199" i="11"/>
  <c r="N608" i="32"/>
  <c r="O608" i="32" s="1"/>
  <c r="C739" i="32"/>
  <c r="C178" i="32"/>
  <c r="DM266" i="11"/>
  <c r="DM267" i="11" s="1"/>
  <c r="DO226" i="11"/>
  <c r="DM23" i="15"/>
  <c r="DM20" i="15" s="1"/>
  <c r="J32" i="17"/>
  <c r="DO161" i="11"/>
  <c r="DO162" i="11" s="1"/>
  <c r="CW80" i="11"/>
  <c r="CW78" i="11"/>
  <c r="CW112" i="5" s="1"/>
  <c r="DO218" i="11"/>
  <c r="DO219" i="11" s="1"/>
  <c r="J32" i="26"/>
  <c r="DM271" i="11"/>
  <c r="DM272" i="11" s="1"/>
  <c r="DO227" i="11"/>
  <c r="DP26" i="6" s="1"/>
  <c r="DO223" i="11"/>
  <c r="DO224" i="11" s="1"/>
  <c r="CE201" i="11" l="1"/>
  <c r="CW79" i="11"/>
  <c r="CX76" i="11" s="1"/>
  <c r="DN264" i="11"/>
  <c r="DN269" i="11"/>
  <c r="DO228" i="11"/>
  <c r="DO229" i="11" s="1"/>
  <c r="CW90" i="11"/>
  <c r="CW81" i="11"/>
  <c r="DN22" i="15"/>
  <c r="DP221" i="11"/>
  <c r="DN18" i="15"/>
  <c r="DP159" i="11"/>
  <c r="DP216" i="11"/>
  <c r="DN21" i="15"/>
  <c r="DP63" i="6"/>
  <c r="CW48" i="19"/>
  <c r="CE36" i="5" l="1"/>
  <c r="CE34" i="5" s="1"/>
  <c r="CE202" i="11"/>
  <c r="DP161" i="11"/>
  <c r="DP162" i="11" s="1"/>
  <c r="CX80" i="11"/>
  <c r="CX78" i="11"/>
  <c r="CX112" i="5" s="1"/>
  <c r="DP223" i="11"/>
  <c r="DP224" i="11" s="1"/>
  <c r="DP227" i="11"/>
  <c r="DQ26" i="6" s="1"/>
  <c r="DN271" i="11"/>
  <c r="DN272" i="11" s="1"/>
  <c r="DP218" i="11"/>
  <c r="DP219" i="11" s="1"/>
  <c r="DP226" i="11"/>
  <c r="DN23" i="15"/>
  <c r="DN20" i="15" s="1"/>
  <c r="DN266" i="11"/>
  <c r="DN267" i="11" s="1"/>
  <c r="CF199" i="11" l="1"/>
  <c r="CD29" i="15"/>
  <c r="CX79" i="11"/>
  <c r="CY76" i="11" s="1"/>
  <c r="CY78" i="11" s="1"/>
  <c r="CY112" i="5" s="1"/>
  <c r="DQ221" i="11"/>
  <c r="DO22" i="15"/>
  <c r="AC17" i="18" s="1"/>
  <c r="M215" i="32" s="1"/>
  <c r="DO269" i="11"/>
  <c r="DO18" i="15"/>
  <c r="AC13" i="18" s="1"/>
  <c r="M212" i="32" s="1"/>
  <c r="DQ159" i="11"/>
  <c r="DO264" i="11"/>
  <c r="DQ63" i="6"/>
  <c r="DP228" i="11"/>
  <c r="DP229" i="11" s="1"/>
  <c r="CX48" i="19"/>
  <c r="DO21" i="15"/>
  <c r="DQ216" i="11"/>
  <c r="CX90" i="11"/>
  <c r="CX81" i="11"/>
  <c r="CF201" i="11" l="1"/>
  <c r="CY80" i="11"/>
  <c r="CY90" i="11" s="1"/>
  <c r="DO23" i="15"/>
  <c r="AC18" i="18" s="1"/>
  <c r="M216" i="32" s="1"/>
  <c r="DQ226" i="11"/>
  <c r="DQ161" i="11"/>
  <c r="DQ162" i="11" s="1"/>
  <c r="CY79" i="11"/>
  <c r="CY48" i="19"/>
  <c r="DO271" i="11"/>
  <c r="DO272" i="11" s="1"/>
  <c r="DQ218" i="11"/>
  <c r="DQ219" i="11" s="1"/>
  <c r="DO266" i="11"/>
  <c r="DO267" i="11" s="1"/>
  <c r="AC16" i="18"/>
  <c r="M214" i="32" s="1"/>
  <c r="DQ227" i="11"/>
  <c r="DR26" i="6" s="1"/>
  <c r="DQ223" i="11"/>
  <c r="DQ224" i="11" s="1"/>
  <c r="CF36" i="5" l="1"/>
  <c r="CF34" i="5" s="1"/>
  <c r="CF202" i="11"/>
  <c r="CY81" i="11"/>
  <c r="DO20" i="15"/>
  <c r="AC15" i="18"/>
  <c r="DR221" i="11"/>
  <c r="DP22" i="15"/>
  <c r="DP269" i="11"/>
  <c r="DR159" i="11"/>
  <c r="DP18" i="15"/>
  <c r="DP21" i="15"/>
  <c r="DR216" i="11"/>
  <c r="CZ76" i="11"/>
  <c r="DR63" i="6"/>
  <c r="DP264" i="11"/>
  <c r="DQ228" i="11"/>
  <c r="DQ229" i="11" s="1"/>
  <c r="CE29" i="15" l="1"/>
  <c r="CG199" i="11"/>
  <c r="DR226" i="11"/>
  <c r="DP23" i="15"/>
  <c r="DP20" i="15" s="1"/>
  <c r="CZ80" i="11"/>
  <c r="CZ78" i="11"/>
  <c r="CZ112" i="5" s="1"/>
  <c r="DR218" i="11"/>
  <c r="DR219" i="11" s="1"/>
  <c r="DR161" i="11"/>
  <c r="DR162" i="11" s="1"/>
  <c r="DP271" i="11"/>
  <c r="DP272" i="11" s="1"/>
  <c r="DP266" i="11"/>
  <c r="DP267" i="11" s="1"/>
  <c r="DR227" i="11"/>
  <c r="DS26" i="6" s="1"/>
  <c r="DR223" i="11"/>
  <c r="DR224" i="11" s="1"/>
  <c r="W24" i="18" l="1"/>
  <c r="CG201" i="11"/>
  <c r="DQ269" i="11"/>
  <c r="DQ21" i="15"/>
  <c r="DS216" i="11"/>
  <c r="CZ79" i="11"/>
  <c r="CZ48" i="19"/>
  <c r="CZ81" i="11"/>
  <c r="CZ90" i="11"/>
  <c r="DQ264" i="11"/>
  <c r="DS221" i="11"/>
  <c r="DQ22" i="15"/>
  <c r="DS159" i="11"/>
  <c r="DQ18" i="15"/>
  <c r="DS63" i="6"/>
  <c r="DR228" i="11"/>
  <c r="DR229" i="11" s="1"/>
  <c r="J220" i="32" l="1"/>
  <c r="CG36" i="5"/>
  <c r="CG34" i="5" s="1"/>
  <c r="CG202" i="11"/>
  <c r="DS226" i="11"/>
  <c r="DQ23" i="15"/>
  <c r="DQ20" i="15" s="1"/>
  <c r="DA76" i="11"/>
  <c r="DS161" i="11"/>
  <c r="DS162" i="11" s="1"/>
  <c r="DQ266" i="11"/>
  <c r="DQ267" i="11" s="1"/>
  <c r="DS218" i="11"/>
  <c r="DS219" i="11" s="1"/>
  <c r="DS223" i="11"/>
  <c r="DS224" i="11" s="1"/>
  <c r="DS227" i="11"/>
  <c r="DT26" i="6" s="1"/>
  <c r="DQ271" i="11"/>
  <c r="DQ272" i="11" s="1"/>
  <c r="CF29" i="15" l="1"/>
  <c r="CH199" i="11"/>
  <c r="DR269" i="11"/>
  <c r="DT159" i="11"/>
  <c r="DR18" i="15"/>
  <c r="DR21" i="15"/>
  <c r="DT216" i="11"/>
  <c r="DA80" i="11"/>
  <c r="DA78" i="11"/>
  <c r="DA112" i="5" s="1"/>
  <c r="DR264" i="11"/>
  <c r="DT63" i="6"/>
  <c r="DT221" i="11"/>
  <c r="DR22" i="15"/>
  <c r="DS228" i="11"/>
  <c r="DS229" i="11" s="1"/>
  <c r="CH201" i="11" l="1"/>
  <c r="DA79" i="11"/>
  <c r="DB76" i="11" s="1"/>
  <c r="DT226" i="11"/>
  <c r="DR23" i="15"/>
  <c r="DR20" i="15" s="1"/>
  <c r="DA90" i="11"/>
  <c r="DA81" i="11"/>
  <c r="DT227" i="11"/>
  <c r="DU26" i="6" s="1"/>
  <c r="DT223" i="11"/>
  <c r="DT224" i="11" s="1"/>
  <c r="DT218" i="11"/>
  <c r="DT219" i="11" s="1"/>
  <c r="DA48" i="19"/>
  <c r="DR266" i="11"/>
  <c r="DR267" i="11" s="1"/>
  <c r="DT161" i="11"/>
  <c r="DT162" i="11" s="1"/>
  <c r="DR271" i="11"/>
  <c r="DR272" i="11" s="1"/>
  <c r="CH36" i="5" l="1"/>
  <c r="CH34" i="5" s="1"/>
  <c r="CH202" i="11"/>
  <c r="DS21" i="15"/>
  <c r="DU216" i="11"/>
  <c r="DU221" i="11"/>
  <c r="DS22" i="15"/>
  <c r="DS269" i="11"/>
  <c r="DU159" i="11"/>
  <c r="DS18" i="15"/>
  <c r="DB78" i="11"/>
  <c r="DB112" i="5" s="1"/>
  <c r="DB80" i="11"/>
  <c r="DS264" i="11"/>
  <c r="DU63" i="6"/>
  <c r="DT228" i="11"/>
  <c r="DT229" i="11" s="1"/>
  <c r="CG29" i="15" l="1"/>
  <c r="CI199" i="11"/>
  <c r="DB79" i="11"/>
  <c r="DB90" i="11"/>
  <c r="DB81" i="11"/>
  <c r="DS23" i="15"/>
  <c r="DS20" i="15" s="1"/>
  <c r="DU226" i="11"/>
  <c r="DU161" i="11"/>
  <c r="DU162" i="11" s="1"/>
  <c r="DS271" i="11"/>
  <c r="DS272" i="11" s="1"/>
  <c r="DB48" i="19"/>
  <c r="DU218" i="11"/>
  <c r="DU219" i="11" s="1"/>
  <c r="DU223" i="11"/>
  <c r="DU224" i="11" s="1"/>
  <c r="DU227" i="11"/>
  <c r="DV26" i="6" s="1"/>
  <c r="DS266" i="11"/>
  <c r="DS267" i="11" s="1"/>
  <c r="CI201" i="11" l="1"/>
  <c r="DT269" i="11"/>
  <c r="DT22" i="15"/>
  <c r="DV221" i="11"/>
  <c r="DV63" i="6"/>
  <c r="DV159" i="11"/>
  <c r="DT18" i="15"/>
  <c r="DT21" i="15"/>
  <c r="DV216" i="11"/>
  <c r="DT264" i="11"/>
  <c r="DU228" i="11"/>
  <c r="DU229" i="11" s="1"/>
  <c r="DC76" i="11"/>
  <c r="CI36" i="5" l="1"/>
  <c r="CI34" i="5" s="1"/>
  <c r="CI202" i="11"/>
  <c r="DT266" i="11"/>
  <c r="DT267" i="11" s="1"/>
  <c r="DV218" i="11"/>
  <c r="DV219" i="11" s="1"/>
  <c r="DC80" i="11"/>
  <c r="DC78" i="11"/>
  <c r="DC112" i="5" s="1"/>
  <c r="DV161" i="11"/>
  <c r="DV162" i="11" s="1"/>
  <c r="DV227" i="11"/>
  <c r="DW26" i="6" s="1"/>
  <c r="DV223" i="11"/>
  <c r="DV224" i="11" s="1"/>
  <c r="DT23" i="15"/>
  <c r="DT20" i="15" s="1"/>
  <c r="DV226" i="11"/>
  <c r="DT271" i="11"/>
  <c r="DT272" i="11" s="1"/>
  <c r="CJ199" i="11" l="1"/>
  <c r="CH29" i="15"/>
  <c r="DC79" i="11"/>
  <c r="DD76" i="11" s="1"/>
  <c r="DW221" i="11"/>
  <c r="DU22" i="15"/>
  <c r="AD17" i="18" s="1"/>
  <c r="DU269" i="11"/>
  <c r="DW216" i="11"/>
  <c r="DU21" i="15"/>
  <c r="DW159" i="11"/>
  <c r="DU18" i="15"/>
  <c r="AD13" i="18" s="1"/>
  <c r="DC48" i="19"/>
  <c r="DC81" i="11"/>
  <c r="DC90" i="11"/>
  <c r="DV228" i="11"/>
  <c r="DV229" i="11" s="1"/>
  <c r="DU264" i="11"/>
  <c r="DW63" i="6"/>
  <c r="CJ201" i="11" l="1"/>
  <c r="DW226" i="11"/>
  <c r="DU23" i="15"/>
  <c r="AD18" i="18" s="1"/>
  <c r="DU266" i="11"/>
  <c r="DU267" i="11" s="1"/>
  <c r="AD16" i="18"/>
  <c r="DW218" i="11"/>
  <c r="DW219" i="11" s="1"/>
  <c r="DW161" i="11"/>
  <c r="DW162" i="11" s="1"/>
  <c r="DU271" i="11"/>
  <c r="DU272" i="11" s="1"/>
  <c r="DD78" i="11"/>
  <c r="DD112" i="5" s="1"/>
  <c r="DD80" i="11"/>
  <c r="DW227" i="11"/>
  <c r="DX26" i="6" s="1"/>
  <c r="DW223" i="11"/>
  <c r="DW224" i="11" s="1"/>
  <c r="CJ36" i="5" l="1"/>
  <c r="CJ34" i="5" s="1"/>
  <c r="CJ202" i="11"/>
  <c r="AD15" i="18"/>
  <c r="DD79" i="11"/>
  <c r="DE76" i="11" s="1"/>
  <c r="DE78" i="11" s="1"/>
  <c r="DE112" i="5" s="1"/>
  <c r="DU20" i="15"/>
  <c r="DV264" i="11"/>
  <c r="DV269" i="11"/>
  <c r="DX216" i="11"/>
  <c r="DV21" i="15"/>
  <c r="DX159" i="11"/>
  <c r="DV18" i="15"/>
  <c r="DD90" i="11"/>
  <c r="DD81" i="11"/>
  <c r="DD48" i="19"/>
  <c r="DX63" i="6"/>
  <c r="DX221" i="11"/>
  <c r="DV22" i="15"/>
  <c r="DW228" i="11"/>
  <c r="DW229" i="11" s="1"/>
  <c r="CK199" i="11" l="1"/>
  <c r="CI29" i="15"/>
  <c r="DE80" i="11"/>
  <c r="DE90" i="11" s="1"/>
  <c r="DX226" i="11"/>
  <c r="DV23" i="15"/>
  <c r="DV20" i="15" s="1"/>
  <c r="DE79" i="11"/>
  <c r="DX161" i="11"/>
  <c r="DX162" i="11" s="1"/>
  <c r="DE48" i="19"/>
  <c r="DX218" i="11"/>
  <c r="DX219" i="11" s="1"/>
  <c r="DX223" i="11"/>
  <c r="DX224" i="11" s="1"/>
  <c r="DX227" i="11"/>
  <c r="DY26" i="6" s="1"/>
  <c r="DV271" i="11"/>
  <c r="DV272" i="11" s="1"/>
  <c r="DV266" i="11"/>
  <c r="DV267" i="11" s="1"/>
  <c r="CK201" i="11" l="1"/>
  <c r="DE81" i="11"/>
  <c r="DW22" i="15"/>
  <c r="DY221" i="11"/>
  <c r="DY216" i="11"/>
  <c r="DW21" i="15"/>
  <c r="DY159" i="11"/>
  <c r="DW18" i="15"/>
  <c r="DF76" i="11"/>
  <c r="DW264" i="11"/>
  <c r="DW269" i="11"/>
  <c r="DY63" i="6"/>
  <c r="DX228" i="11"/>
  <c r="DX229" i="11" s="1"/>
  <c r="CK36" i="5" l="1"/>
  <c r="CK34" i="5" s="1"/>
  <c r="CK202" i="11"/>
  <c r="DY226" i="11"/>
  <c r="DW23" i="15"/>
  <c r="DW20" i="15" s="1"/>
  <c r="DF80" i="11"/>
  <c r="DF78" i="11"/>
  <c r="DF112" i="5" s="1"/>
  <c r="DW271" i="11"/>
  <c r="DW272" i="11" s="1"/>
  <c r="DY161" i="11"/>
  <c r="DY162" i="11" s="1"/>
  <c r="DY218" i="11"/>
  <c r="DY219" i="11" s="1"/>
  <c r="DY223" i="11"/>
  <c r="DY224" i="11" s="1"/>
  <c r="DY227" i="11"/>
  <c r="DZ26" i="6" s="1"/>
  <c r="DW266" i="11"/>
  <c r="DW267" i="11" s="1"/>
  <c r="CJ29" i="15" l="1"/>
  <c r="CL199" i="11"/>
  <c r="DF79" i="11"/>
  <c r="DG76" i="11" s="1"/>
  <c r="DZ159" i="11"/>
  <c r="DX18" i="15"/>
  <c r="DX264" i="11"/>
  <c r="DX269" i="11"/>
  <c r="DF48" i="19"/>
  <c r="DZ216" i="11"/>
  <c r="DX21" i="15"/>
  <c r="DF81" i="11"/>
  <c r="DF90" i="11"/>
  <c r="DZ63" i="6"/>
  <c r="DY228" i="11"/>
  <c r="DY229" i="11" s="1"/>
  <c r="DZ221" i="11"/>
  <c r="DX22" i="15"/>
  <c r="CL201" i="11" l="1"/>
  <c r="DG78" i="11"/>
  <c r="DG112" i="5" s="1"/>
  <c r="DG80" i="11"/>
  <c r="DX271" i="11"/>
  <c r="DX272" i="11" s="1"/>
  <c r="DZ218" i="11"/>
  <c r="DZ219" i="11" s="1"/>
  <c r="DX266" i="11"/>
  <c r="DX267" i="11" s="1"/>
  <c r="DZ226" i="11"/>
  <c r="DX23" i="15"/>
  <c r="DX20" i="15" s="1"/>
  <c r="DZ223" i="11"/>
  <c r="DZ224" i="11" s="1"/>
  <c r="DZ227" i="11"/>
  <c r="EA26" i="6" s="1"/>
  <c r="DZ161" i="11"/>
  <c r="DZ162" i="11" s="1"/>
  <c r="CL36" i="5" l="1"/>
  <c r="CL34" i="5" s="1"/>
  <c r="CL202" i="11"/>
  <c r="DY18" i="15"/>
  <c r="EA159" i="11"/>
  <c r="EA221" i="11"/>
  <c r="DY22" i="15"/>
  <c r="DY264" i="11"/>
  <c r="EA216" i="11"/>
  <c r="DY21" i="15"/>
  <c r="EA63" i="6"/>
  <c r="DG90" i="11"/>
  <c r="DG81" i="11"/>
  <c r="DG48" i="19"/>
  <c r="DG79" i="11"/>
  <c r="DZ228" i="11"/>
  <c r="DZ229" i="11" s="1"/>
  <c r="DY269" i="11"/>
  <c r="CK29" i="15" l="1"/>
  <c r="CM199" i="11"/>
  <c r="EA226" i="11"/>
  <c r="DY23" i="15"/>
  <c r="DY20" i="15" s="1"/>
  <c r="EA218" i="11"/>
  <c r="EA219" i="11" s="1"/>
  <c r="DY266" i="11"/>
  <c r="DY267" i="11" s="1"/>
  <c r="DH76" i="11"/>
  <c r="DY271" i="11"/>
  <c r="DY272" i="11" s="1"/>
  <c r="EA227" i="11"/>
  <c r="EB26" i="6" s="1"/>
  <c r="EA223" i="11"/>
  <c r="EA224" i="11" s="1"/>
  <c r="EA161" i="11"/>
  <c r="EA162" i="11" s="1"/>
  <c r="X24" i="18" l="1"/>
  <c r="CM201" i="11"/>
  <c r="DZ269" i="11"/>
  <c r="EB221" i="11"/>
  <c r="DZ22" i="15"/>
  <c r="DZ264" i="11"/>
  <c r="DZ21" i="15"/>
  <c r="EB216" i="11"/>
  <c r="EB63" i="6"/>
  <c r="DZ18" i="15"/>
  <c r="EB159" i="11"/>
  <c r="DH80" i="11"/>
  <c r="DH78" i="11"/>
  <c r="DH112" i="5" s="1"/>
  <c r="EA228" i="11"/>
  <c r="EA229" i="11" s="1"/>
  <c r="CM36" i="5" l="1"/>
  <c r="CM34" i="5" s="1"/>
  <c r="CM202" i="11"/>
  <c r="EB218" i="11"/>
  <c r="EB219" i="11" s="1"/>
  <c r="EB161" i="11"/>
  <c r="EB162" i="11" s="1"/>
  <c r="EB227" i="11"/>
  <c r="EC26" i="6" s="1"/>
  <c r="EB223" i="11"/>
  <c r="EB224" i="11" s="1"/>
  <c r="EB226" i="11"/>
  <c r="DZ23" i="15"/>
  <c r="DZ20" i="15" s="1"/>
  <c r="DZ271" i="11"/>
  <c r="DZ272" i="11" s="1"/>
  <c r="DH48" i="19"/>
  <c r="DH79" i="11"/>
  <c r="DH81" i="11"/>
  <c r="DH90" i="11"/>
  <c r="DZ266" i="11"/>
  <c r="DZ267" i="11" s="1"/>
  <c r="CL29" i="15" l="1"/>
  <c r="CN199" i="11"/>
  <c r="EA269" i="11"/>
  <c r="EA22" i="15"/>
  <c r="AE17" i="18" s="1"/>
  <c r="N215" i="32" s="1"/>
  <c r="EC221" i="11"/>
  <c r="EC216" i="11"/>
  <c r="EA21" i="15"/>
  <c r="EC159" i="11"/>
  <c r="EA18" i="15"/>
  <c r="AE13" i="18" s="1"/>
  <c r="N212" i="32" s="1"/>
  <c r="EB228" i="11"/>
  <c r="EB229" i="11" s="1"/>
  <c r="EC63" i="6"/>
  <c r="DI76" i="11"/>
  <c r="EA264" i="11"/>
  <c r="CN201" i="11" l="1"/>
  <c r="EA23" i="15"/>
  <c r="AE18" i="18" s="1"/>
  <c r="N216" i="32" s="1"/>
  <c r="EC226" i="11"/>
  <c r="EC161" i="11"/>
  <c r="EC162" i="11" s="1"/>
  <c r="DI78" i="11"/>
  <c r="DI112" i="5" s="1"/>
  <c r="DI80" i="11"/>
  <c r="EA266" i="11"/>
  <c r="EA267" i="11" s="1"/>
  <c r="AE16" i="18"/>
  <c r="N214" i="32" s="1"/>
  <c r="EC218" i="11"/>
  <c r="EC219" i="11" s="1"/>
  <c r="EC227" i="11"/>
  <c r="ED26" i="6" s="1"/>
  <c r="EC223" i="11"/>
  <c r="EC224" i="11" s="1"/>
  <c r="EA271" i="11"/>
  <c r="EA272" i="11" s="1"/>
  <c r="CN36" i="5" l="1"/>
  <c r="CN34" i="5" s="1"/>
  <c r="CN202" i="11"/>
  <c r="EA20" i="15"/>
  <c r="AE15" i="18"/>
  <c r="DI79" i="11"/>
  <c r="DJ76" i="11" s="1"/>
  <c r="EB264" i="11"/>
  <c r="ED221" i="11"/>
  <c r="EB22" i="15"/>
  <c r="ED63" i="6"/>
  <c r="DI81" i="11"/>
  <c r="DI90" i="11"/>
  <c r="EB21" i="15"/>
  <c r="ED216" i="11"/>
  <c r="DI48" i="19"/>
  <c r="ED159" i="11"/>
  <c r="EB18" i="15"/>
  <c r="EB269" i="11"/>
  <c r="EC228" i="11"/>
  <c r="EC229" i="11" s="1"/>
  <c r="CM29" i="15" l="1"/>
  <c r="CO199" i="11"/>
  <c r="EB23" i="15"/>
  <c r="EB20" i="15" s="1"/>
  <c r="ED226" i="11"/>
  <c r="EB271" i="11"/>
  <c r="EB272" i="11" s="1"/>
  <c r="DJ78" i="11"/>
  <c r="DJ112" i="5" s="1"/>
  <c r="DJ80" i="11"/>
  <c r="ED161" i="11"/>
  <c r="ED162" i="11" s="1"/>
  <c r="ED223" i="11"/>
  <c r="ED224" i="11" s="1"/>
  <c r="ED227" i="11"/>
  <c r="EE26" i="6" s="1"/>
  <c r="EB266" i="11"/>
  <c r="EB267" i="11" s="1"/>
  <c r="ED218" i="11"/>
  <c r="ED219" i="11" s="1"/>
  <c r="CO201" i="11" l="1"/>
  <c r="DJ79" i="11"/>
  <c r="DK76" i="11" s="1"/>
  <c r="DK80" i="11" s="1"/>
  <c r="EC269" i="11"/>
  <c r="EC21" i="15"/>
  <c r="EE216" i="11"/>
  <c r="EC264" i="11"/>
  <c r="EE221" i="11"/>
  <c r="EC22" i="15"/>
  <c r="DJ48" i="19"/>
  <c r="EE159" i="11"/>
  <c r="EC18" i="15"/>
  <c r="ED228" i="11"/>
  <c r="ED229" i="11" s="1"/>
  <c r="DJ90" i="11"/>
  <c r="DJ81" i="11"/>
  <c r="EE63" i="6"/>
  <c r="CO36" i="5" l="1"/>
  <c r="CO34" i="5" s="1"/>
  <c r="CO202" i="11"/>
  <c r="DK78" i="11"/>
  <c r="DK112" i="5" s="1"/>
  <c r="DK48" i="19" s="1"/>
  <c r="EE161" i="11"/>
  <c r="EE162" i="11" s="1"/>
  <c r="EC23" i="15"/>
  <c r="EC20" i="15" s="1"/>
  <c r="EE226" i="11"/>
  <c r="EE223" i="11"/>
  <c r="EE224" i="11" s="1"/>
  <c r="EE227" i="11"/>
  <c r="EF26" i="6" s="1"/>
  <c r="EC266" i="11"/>
  <c r="EC267" i="11" s="1"/>
  <c r="EE218" i="11"/>
  <c r="EE219" i="11" s="1"/>
  <c r="DK81" i="11"/>
  <c r="DK90" i="11"/>
  <c r="EC271" i="11"/>
  <c r="EC272" i="11" s="1"/>
  <c r="CN29" i="15" l="1"/>
  <c r="CP199" i="11"/>
  <c r="DK79" i="11"/>
  <c r="DL76" i="11" s="1"/>
  <c r="EF221" i="11"/>
  <c r="ED22" i="15"/>
  <c r="ED21" i="15"/>
  <c r="EF216" i="11"/>
  <c r="ED18" i="15"/>
  <c r="EF159" i="11"/>
  <c r="EF63" i="6"/>
  <c r="EE228" i="11"/>
  <c r="EE229" i="11" s="1"/>
  <c r="ED269" i="11"/>
  <c r="ED264" i="11"/>
  <c r="CP201" i="11" l="1"/>
  <c r="ED23" i="15"/>
  <c r="ED20" i="15" s="1"/>
  <c r="EF226" i="11"/>
  <c r="DL78" i="11"/>
  <c r="DL112" i="5" s="1"/>
  <c r="DL80" i="11"/>
  <c r="EF161" i="11"/>
  <c r="EF162" i="11" s="1"/>
  <c r="ED271" i="11"/>
  <c r="ED272" i="11" s="1"/>
  <c r="EF218" i="11"/>
  <c r="EF219" i="11" s="1"/>
  <c r="ED266" i="11"/>
  <c r="ED267" i="11" s="1"/>
  <c r="EF223" i="11"/>
  <c r="EF224" i="11" s="1"/>
  <c r="EF227" i="11"/>
  <c r="EG26" i="6" s="1"/>
  <c r="CP36" i="5" l="1"/>
  <c r="CP34" i="5" s="1"/>
  <c r="CP202" i="11"/>
  <c r="DL79" i="11"/>
  <c r="DM76" i="11" s="1"/>
  <c r="EE264" i="11"/>
  <c r="EG216" i="11"/>
  <c r="EE21" i="15"/>
  <c r="EE269" i="11"/>
  <c r="EG159" i="11"/>
  <c r="EE18" i="15"/>
  <c r="EE22" i="15"/>
  <c r="EG221" i="11"/>
  <c r="DL90" i="11"/>
  <c r="DL81" i="11"/>
  <c r="EG63" i="6"/>
  <c r="DL48" i="19"/>
  <c r="EF228" i="11"/>
  <c r="EF229" i="11" s="1"/>
  <c r="CO29" i="15" l="1"/>
  <c r="CQ199" i="11"/>
  <c r="EE23" i="15"/>
  <c r="EE20" i="15" s="1"/>
  <c r="EG226" i="11"/>
  <c r="EG227" i="11"/>
  <c r="EH26" i="6" s="1"/>
  <c r="EG223" i="11"/>
  <c r="EG224" i="11" s="1"/>
  <c r="EG161" i="11"/>
  <c r="EG162" i="11" s="1"/>
  <c r="DM80" i="11"/>
  <c r="DM78" i="11"/>
  <c r="DM112" i="5" s="1"/>
  <c r="EE271" i="11"/>
  <c r="EE272" i="11" s="1"/>
  <c r="EG218" i="11"/>
  <c r="EG219" i="11" s="1"/>
  <c r="EE266" i="11"/>
  <c r="EE267" i="11" s="1"/>
  <c r="CQ201" i="11" l="1"/>
  <c r="EF264" i="11"/>
  <c r="EH216" i="11"/>
  <c r="EF21" i="15"/>
  <c r="EH221" i="11"/>
  <c r="EF22" i="15"/>
  <c r="EH159" i="11"/>
  <c r="EF18" i="15"/>
  <c r="DM48" i="19"/>
  <c r="DM79" i="11"/>
  <c r="DM81" i="11"/>
  <c r="DM90" i="11"/>
  <c r="EH63" i="6"/>
  <c r="EF269" i="11"/>
  <c r="EG228" i="11"/>
  <c r="EG229" i="11" s="1"/>
  <c r="CQ36" i="5" l="1"/>
  <c r="CQ34" i="5" s="1"/>
  <c r="CQ202" i="11"/>
  <c r="EF23" i="15"/>
  <c r="EF20" i="15" s="1"/>
  <c r="EH226" i="11"/>
  <c r="DN76" i="11"/>
  <c r="EH161" i="11"/>
  <c r="EH162" i="11" s="1"/>
  <c r="EH223" i="11"/>
  <c r="EH224" i="11" s="1"/>
  <c r="EH227" i="11"/>
  <c r="EI26" i="6" s="1"/>
  <c r="EH218" i="11"/>
  <c r="EH219" i="11" s="1"/>
  <c r="EF271" i="11"/>
  <c r="EF272" i="11" s="1"/>
  <c r="EF266" i="11"/>
  <c r="EF267" i="11" s="1"/>
  <c r="CR199" i="11" l="1"/>
  <c r="CP29" i="15"/>
  <c r="EI221" i="11"/>
  <c r="EG22" i="15"/>
  <c r="AF17" i="18" s="1"/>
  <c r="EG264" i="11"/>
  <c r="EI159" i="11"/>
  <c r="EG18" i="15"/>
  <c r="AF13" i="18" s="1"/>
  <c r="EG269" i="11"/>
  <c r="EG21" i="15"/>
  <c r="EI216" i="11"/>
  <c r="EI63" i="6"/>
  <c r="DN78" i="11"/>
  <c r="DN112" i="5" s="1"/>
  <c r="DN80" i="11"/>
  <c r="EH228" i="11"/>
  <c r="EH229" i="11" s="1"/>
  <c r="CR201" i="11" l="1"/>
  <c r="DN79" i="11"/>
  <c r="DO76" i="11" s="1"/>
  <c r="EI226" i="11"/>
  <c r="EG23" i="15"/>
  <c r="AF18" i="18" s="1"/>
  <c r="EG271" i="11"/>
  <c r="EG272" i="11" s="1"/>
  <c r="DN48" i="19"/>
  <c r="EG266" i="11"/>
  <c r="EG267" i="11" s="1"/>
  <c r="EI161" i="11"/>
  <c r="EI162" i="11" s="1"/>
  <c r="DN81" i="11"/>
  <c r="DN90" i="11"/>
  <c r="AF16" i="18"/>
  <c r="EI218" i="11"/>
  <c r="EI219" i="11" s="1"/>
  <c r="EI223" i="11"/>
  <c r="EI224" i="11" s="1"/>
  <c r="EI227" i="11"/>
  <c r="EJ26" i="6" s="1"/>
  <c r="CR36" i="5" l="1"/>
  <c r="CR34" i="5" s="1"/>
  <c r="CR202" i="11"/>
  <c r="AF15" i="18"/>
  <c r="EG20" i="15"/>
  <c r="EH264" i="11"/>
  <c r="EH21" i="15"/>
  <c r="EJ216" i="11"/>
  <c r="EH269" i="11"/>
  <c r="DO78" i="11"/>
  <c r="DO112" i="5" s="1"/>
  <c r="DO80" i="11"/>
  <c r="EJ63" i="6"/>
  <c r="EJ159" i="11"/>
  <c r="EH18" i="15"/>
  <c r="EH22" i="15"/>
  <c r="EJ221" i="11"/>
  <c r="EI228" i="11"/>
  <c r="EI229" i="11" s="1"/>
  <c r="CS199" i="11" l="1"/>
  <c r="CQ29" i="15"/>
  <c r="DO79" i="11"/>
  <c r="DP76" i="11" s="1"/>
  <c r="EJ226" i="11"/>
  <c r="EH23" i="15"/>
  <c r="EH20" i="15" s="1"/>
  <c r="EJ161" i="11"/>
  <c r="EJ162" i="11" s="1"/>
  <c r="EH271" i="11"/>
  <c r="EH272" i="11" s="1"/>
  <c r="EJ218" i="11"/>
  <c r="EJ219" i="11" s="1"/>
  <c r="DO90" i="11"/>
  <c r="DO81" i="11"/>
  <c r="EH266" i="11"/>
  <c r="EH267" i="11" s="1"/>
  <c r="EJ227" i="11"/>
  <c r="EK26" i="6" s="1"/>
  <c r="EJ223" i="11"/>
  <c r="EJ224" i="11" s="1"/>
  <c r="DO48" i="19"/>
  <c r="CS201" i="11" l="1"/>
  <c r="Y24" i="18"/>
  <c r="EK221" i="11"/>
  <c r="EI22" i="15"/>
  <c r="EI269" i="11"/>
  <c r="EK159" i="11"/>
  <c r="EI18" i="15"/>
  <c r="EI264" i="11"/>
  <c r="EK63" i="6"/>
  <c r="EI21" i="15"/>
  <c r="EK216" i="11"/>
  <c r="DP78" i="11"/>
  <c r="DP112" i="5" s="1"/>
  <c r="DP80" i="11"/>
  <c r="EJ228" i="11"/>
  <c r="EJ229" i="11" s="1"/>
  <c r="K220" i="32" l="1"/>
  <c r="CS36" i="5"/>
  <c r="CS34" i="5" s="1"/>
  <c r="CS202" i="11"/>
  <c r="EI266" i="11"/>
  <c r="EI267" i="11" s="1"/>
  <c r="DP48" i="19"/>
  <c r="EK161" i="11"/>
  <c r="EK162" i="11" s="1"/>
  <c r="EK218" i="11"/>
  <c r="EK219" i="11" s="1"/>
  <c r="EI271" i="11"/>
  <c r="EI272" i="11" s="1"/>
  <c r="EI23" i="15"/>
  <c r="EI20" i="15" s="1"/>
  <c r="EK226" i="11"/>
  <c r="DP79" i="11"/>
  <c r="DQ76" i="11" s="1"/>
  <c r="DP81" i="11"/>
  <c r="DP90" i="11"/>
  <c r="EK227" i="11"/>
  <c r="EL26" i="6" s="1"/>
  <c r="EK223" i="11"/>
  <c r="EK224" i="11" s="1"/>
  <c r="CR29" i="15" l="1"/>
  <c r="CT199" i="11"/>
  <c r="EJ269" i="11"/>
  <c r="EJ21" i="15"/>
  <c r="EL216" i="11"/>
  <c r="EJ22" i="15"/>
  <c r="EL221" i="11"/>
  <c r="EL159" i="11"/>
  <c r="EJ18" i="15"/>
  <c r="EJ264" i="11"/>
  <c r="DQ78" i="11"/>
  <c r="DQ112" i="5" s="1"/>
  <c r="DQ80" i="11"/>
  <c r="EK228" i="11"/>
  <c r="EK229" i="11" s="1"/>
  <c r="EL63" i="6"/>
  <c r="CT201" i="11" l="1"/>
  <c r="DQ79" i="11"/>
  <c r="DR76" i="11" s="1"/>
  <c r="EL226" i="11"/>
  <c r="EJ23" i="15"/>
  <c r="EJ20" i="15" s="1"/>
  <c r="EJ266" i="11"/>
  <c r="EJ267" i="11" s="1"/>
  <c r="EL161" i="11"/>
  <c r="EL162" i="11" s="1"/>
  <c r="EL227" i="11"/>
  <c r="EM26" i="6" s="1"/>
  <c r="EL223" i="11"/>
  <c r="EL224" i="11" s="1"/>
  <c r="DQ81" i="11"/>
  <c r="DQ90" i="11"/>
  <c r="EL218" i="11"/>
  <c r="EL219" i="11" s="1"/>
  <c r="DQ48" i="19"/>
  <c r="EJ271" i="11"/>
  <c r="EJ272" i="11" s="1"/>
  <c r="CT36" i="5" l="1"/>
  <c r="CT34" i="5" s="1"/>
  <c r="CT202" i="11"/>
  <c r="EK264" i="11"/>
  <c r="EM63" i="6"/>
  <c r="EM159" i="11"/>
  <c r="EK18" i="15"/>
  <c r="EM216" i="11"/>
  <c r="EK21" i="15"/>
  <c r="DR78" i="11"/>
  <c r="DR112" i="5" s="1"/>
  <c r="DR80" i="11"/>
  <c r="EK269" i="11"/>
  <c r="EK22" i="15"/>
  <c r="EM221" i="11"/>
  <c r="EL228" i="11"/>
  <c r="EL229" i="11" s="1"/>
  <c r="CU199" i="11" l="1"/>
  <c r="CS29" i="15"/>
  <c r="DR79" i="11"/>
  <c r="DS76" i="11" s="1"/>
  <c r="EM226" i="11"/>
  <c r="EK23" i="15"/>
  <c r="EK20" i="15" s="1"/>
  <c r="EM218" i="11"/>
  <c r="EM219" i="11" s="1"/>
  <c r="EM161" i="11"/>
  <c r="EM162" i="11" s="1"/>
  <c r="EM227" i="11"/>
  <c r="EN26" i="6" s="1"/>
  <c r="EM223" i="11"/>
  <c r="EM224" i="11" s="1"/>
  <c r="EK271" i="11"/>
  <c r="EK272" i="11" s="1"/>
  <c r="DR90" i="11"/>
  <c r="DR81" i="11"/>
  <c r="EK266" i="11"/>
  <c r="EK267" i="11" s="1"/>
  <c r="DR48" i="19"/>
  <c r="CU201" i="11" l="1"/>
  <c r="EL269" i="11"/>
  <c r="EN221" i="11"/>
  <c r="EL22" i="15"/>
  <c r="EL18" i="15"/>
  <c r="EN159" i="11"/>
  <c r="EL264" i="11"/>
  <c r="EL21" i="15"/>
  <c r="EN216" i="11"/>
  <c r="DS78" i="11"/>
  <c r="DS112" i="5" s="1"/>
  <c r="DS80" i="11"/>
  <c r="EN63" i="6"/>
  <c r="EM228" i="11"/>
  <c r="EM229" i="11" s="1"/>
  <c r="CU36" i="5" l="1"/>
  <c r="CU34" i="5" s="1"/>
  <c r="CU202" i="11"/>
  <c r="DS79" i="11"/>
  <c r="DT76" i="11" s="1"/>
  <c r="EL23" i="15"/>
  <c r="EL20" i="15" s="1"/>
  <c r="EN226" i="11"/>
  <c r="EL266" i="11"/>
  <c r="EL267" i="11" s="1"/>
  <c r="EN161" i="11"/>
  <c r="EN162" i="11" s="1"/>
  <c r="DS90" i="11"/>
  <c r="DS81" i="11"/>
  <c r="DS48" i="19"/>
  <c r="EN218" i="11"/>
  <c r="EN219" i="11" s="1"/>
  <c r="EN223" i="11"/>
  <c r="EN224" i="11" s="1"/>
  <c r="EN227" i="11"/>
  <c r="EO26" i="6" s="1"/>
  <c r="EL271" i="11"/>
  <c r="EL272" i="11" s="1"/>
  <c r="CV199" i="11" l="1"/>
  <c r="CT29" i="15"/>
  <c r="EM269" i="11"/>
  <c r="EO216" i="11"/>
  <c r="EM21" i="15"/>
  <c r="DT80" i="11"/>
  <c r="DT78" i="11"/>
  <c r="DT112" i="5" s="1"/>
  <c r="EM264" i="11"/>
  <c r="EO159" i="11"/>
  <c r="EM18" i="15"/>
  <c r="AG13" i="18" s="1"/>
  <c r="EM22" i="15"/>
  <c r="AG17" i="18" s="1"/>
  <c r="EO221" i="11"/>
  <c r="EN228" i="11"/>
  <c r="EN229" i="11" s="1"/>
  <c r="EO63" i="6"/>
  <c r="CV201" i="11" l="1"/>
  <c r="DT79" i="11"/>
  <c r="DU76" i="11" s="1"/>
  <c r="EM23" i="15"/>
  <c r="AG18" i="18" s="1"/>
  <c r="EO226" i="11"/>
  <c r="EO227" i="11"/>
  <c r="EP26" i="6" s="1"/>
  <c r="EO223" i="11"/>
  <c r="EO224" i="11" s="1"/>
  <c r="DT90" i="11"/>
  <c r="DT81" i="11"/>
  <c r="EM266" i="11"/>
  <c r="EM267" i="11" s="1"/>
  <c r="DT48" i="19"/>
  <c r="EO218" i="11"/>
  <c r="EO219" i="11" s="1"/>
  <c r="EO161" i="11"/>
  <c r="EO162" i="11" s="1"/>
  <c r="AG16" i="18"/>
  <c r="EM271" i="11"/>
  <c r="EM272" i="11" s="1"/>
  <c r="CV36" i="5" l="1"/>
  <c r="CV34" i="5" s="1"/>
  <c r="CV202" i="11"/>
  <c r="EM20" i="15"/>
  <c r="AG15" i="18"/>
  <c r="EN269" i="11"/>
  <c r="EN264" i="11"/>
  <c r="EN22" i="15"/>
  <c r="EP221" i="11"/>
  <c r="EP63" i="6"/>
  <c r="DU80" i="11"/>
  <c r="DU78" i="11"/>
  <c r="DU112" i="5" s="1"/>
  <c r="EP216" i="11"/>
  <c r="EN21" i="15"/>
  <c r="EO228" i="11"/>
  <c r="EO229" i="11" s="1"/>
  <c r="EN18" i="15"/>
  <c r="EP159" i="11"/>
  <c r="CW199" i="11" l="1"/>
  <c r="CU29" i="15"/>
  <c r="EP161" i="11"/>
  <c r="EP162" i="11" s="1"/>
  <c r="EP227" i="11"/>
  <c r="EQ26" i="6" s="1"/>
  <c r="EP223" i="11"/>
  <c r="EP224" i="11" s="1"/>
  <c r="EP226" i="11"/>
  <c r="EN23" i="15"/>
  <c r="EN20" i="15" s="1"/>
  <c r="EP218" i="11"/>
  <c r="EP219" i="11" s="1"/>
  <c r="EN266" i="11"/>
  <c r="EN267" i="11" s="1"/>
  <c r="DU48" i="19"/>
  <c r="DU81" i="11"/>
  <c r="DU90" i="11"/>
  <c r="EN271" i="11"/>
  <c r="EN272" i="11" s="1"/>
  <c r="DU79" i="11"/>
  <c r="CW201" i="11" l="1"/>
  <c r="EO264" i="11"/>
  <c r="EO21" i="15"/>
  <c r="EQ216" i="11"/>
  <c r="EQ221" i="11"/>
  <c r="EO22" i="15"/>
  <c r="EO269" i="11"/>
  <c r="EQ159" i="11"/>
  <c r="EO18" i="15"/>
  <c r="EQ63" i="6"/>
  <c r="DV76" i="11"/>
  <c r="EP228" i="11"/>
  <c r="EP229" i="11" s="1"/>
  <c r="CW36" i="5" l="1"/>
  <c r="CW34" i="5" s="1"/>
  <c r="CW202" i="11"/>
  <c r="EO271" i="11"/>
  <c r="EO272" i="11" s="1"/>
  <c r="EO23" i="15"/>
  <c r="EO20" i="15" s="1"/>
  <c r="EQ226" i="11"/>
  <c r="DV80" i="11"/>
  <c r="DV78" i="11"/>
  <c r="DV112" i="5" s="1"/>
  <c r="EQ223" i="11"/>
  <c r="J223" i="11" s="1"/>
  <c r="EQ227" i="11"/>
  <c r="EQ218" i="11"/>
  <c r="J218" i="11" s="1"/>
  <c r="EQ161" i="11"/>
  <c r="J161" i="11" s="1"/>
  <c r="EO266" i="11"/>
  <c r="EO267" i="11" s="1"/>
  <c r="CV29" i="15" l="1"/>
  <c r="CX199" i="11"/>
  <c r="EQ219" i="11"/>
  <c r="EP21" i="15" s="1"/>
  <c r="DV48" i="19"/>
  <c r="DV81" i="11"/>
  <c r="DV90" i="11"/>
  <c r="DV79" i="11"/>
  <c r="DW76" i="11" s="1"/>
  <c r="EQ162" i="11"/>
  <c r="EP18" i="15" s="1"/>
  <c r="EP269" i="11"/>
  <c r="EP264" i="11"/>
  <c r="EQ228" i="11"/>
  <c r="J228" i="11" s="1"/>
  <c r="ER26" i="6"/>
  <c r="J227" i="11"/>
  <c r="EQ224" i="11"/>
  <c r="EP22" i="15" s="1"/>
  <c r="CX201" i="11" l="1"/>
  <c r="EP266" i="11"/>
  <c r="EP267" i="11" s="1"/>
  <c r="ER63" i="6"/>
  <c r="K26" i="6"/>
  <c r="O20" i="16"/>
  <c r="F697" i="32" s="1"/>
  <c r="P20" i="16"/>
  <c r="G697" i="32" s="1"/>
  <c r="Q20" i="16"/>
  <c r="R20" i="16"/>
  <c r="I697" i="32" s="1"/>
  <c r="S20" i="16"/>
  <c r="J697" i="32" s="1"/>
  <c r="F809" i="32" s="1"/>
  <c r="T20" i="16"/>
  <c r="K697" i="32" s="1"/>
  <c r="U20" i="16"/>
  <c r="L697" i="32" s="1"/>
  <c r="F811" i="32" s="1"/>
  <c r="V20" i="16"/>
  <c r="M697" i="32" s="1"/>
  <c r="W20" i="16"/>
  <c r="N697" i="32" s="1"/>
  <c r="F813" i="32" s="1"/>
  <c r="X20" i="16"/>
  <c r="O697" i="32" s="1"/>
  <c r="Y20" i="16"/>
  <c r="P697" i="32" s="1"/>
  <c r="F815" i="32" s="1"/>
  <c r="Z20" i="16"/>
  <c r="Q697" i="32" s="1"/>
  <c r="AA20" i="16"/>
  <c r="R697" i="32" s="1"/>
  <c r="F817" i="32" s="1"/>
  <c r="AB20" i="16"/>
  <c r="S697" i="32" s="1"/>
  <c r="AC20" i="16"/>
  <c r="T697" i="32" s="1"/>
  <c r="F819" i="32" s="1"/>
  <c r="AD20" i="16"/>
  <c r="U697" i="32" s="1"/>
  <c r="AE20" i="16"/>
  <c r="V697" i="32" s="1"/>
  <c r="F821" i="32" s="1"/>
  <c r="AF20" i="16"/>
  <c r="W697" i="32" s="1"/>
  <c r="AG20" i="16"/>
  <c r="X697" i="32" s="1"/>
  <c r="F823" i="32" s="1"/>
  <c r="AH20" i="16"/>
  <c r="AI20" i="16"/>
  <c r="AJ20" i="16"/>
  <c r="EP271" i="11"/>
  <c r="EP272" i="11" s="1"/>
  <c r="DW78" i="11"/>
  <c r="DW112" i="5" s="1"/>
  <c r="DW80" i="11"/>
  <c r="EQ229" i="11"/>
  <c r="EP23" i="15" s="1"/>
  <c r="EP20" i="15" s="1"/>
  <c r="F822" i="32" l="1"/>
  <c r="L910" i="32"/>
  <c r="L931" i="32" s="1"/>
  <c r="F818" i="32"/>
  <c r="J910" i="32"/>
  <c r="J931" i="32" s="1"/>
  <c r="F820" i="32"/>
  <c r="K910" i="32"/>
  <c r="K931" i="32" s="1"/>
  <c r="F816" i="32"/>
  <c r="I910" i="32"/>
  <c r="I931" i="32" s="1"/>
  <c r="F812" i="32"/>
  <c r="G910" i="32"/>
  <c r="G931" i="32" s="1"/>
  <c r="E910" i="32"/>
  <c r="E931" i="32" s="1"/>
  <c r="F808" i="32"/>
  <c r="F810" i="32"/>
  <c r="F910" i="32"/>
  <c r="F931" i="32" s="1"/>
  <c r="F814" i="32"/>
  <c r="H910" i="32"/>
  <c r="H931" i="32" s="1"/>
  <c r="F806" i="32"/>
  <c r="F805" i="32"/>
  <c r="C910" i="32"/>
  <c r="C931" i="32" s="1"/>
  <c r="CX36" i="5"/>
  <c r="CX34" i="5" s="1"/>
  <c r="CX202" i="11"/>
  <c r="H697" i="32"/>
  <c r="F807" i="32" s="1"/>
  <c r="E136" i="32"/>
  <c r="U402" i="32" a="1"/>
  <c r="M136" i="32"/>
  <c r="I136" i="32"/>
  <c r="H136" i="32"/>
  <c r="L136" i="32"/>
  <c r="G136" i="32"/>
  <c r="K136" i="32"/>
  <c r="J136" i="32"/>
  <c r="N136" i="32"/>
  <c r="F136" i="32"/>
  <c r="M27" i="30"/>
  <c r="L27" i="30"/>
  <c r="K27" i="30"/>
  <c r="J27" i="30"/>
  <c r="I27" i="30"/>
  <c r="H27" i="30"/>
  <c r="F27" i="30"/>
  <c r="E15" i="30"/>
  <c r="G27" i="30"/>
  <c r="DW48" i="19"/>
  <c r="EQ269" i="11"/>
  <c r="K20" i="16"/>
  <c r="N57" i="16"/>
  <c r="K63" i="6"/>
  <c r="O57" i="16"/>
  <c r="P57" i="16"/>
  <c r="Q57" i="16"/>
  <c r="R57" i="16"/>
  <c r="S57" i="16"/>
  <c r="T57" i="16"/>
  <c r="U57" i="16"/>
  <c r="V57" i="16"/>
  <c r="W57" i="16"/>
  <c r="X57" i="16"/>
  <c r="Y57" i="16"/>
  <c r="Z57" i="16"/>
  <c r="AA57" i="16"/>
  <c r="AB57" i="16"/>
  <c r="AC57" i="16"/>
  <c r="AD57" i="16"/>
  <c r="AE57" i="16"/>
  <c r="AF57" i="16"/>
  <c r="AG57" i="16"/>
  <c r="AH57" i="16"/>
  <c r="AI57" i="16"/>
  <c r="AJ57" i="16"/>
  <c r="EQ264" i="11"/>
  <c r="DW79" i="11"/>
  <c r="DW90" i="11"/>
  <c r="DW81" i="11"/>
  <c r="C697" i="32" l="1"/>
  <c r="F824" i="32"/>
  <c r="D910" i="32"/>
  <c r="CW29" i="15"/>
  <c r="CY199" i="11"/>
  <c r="C136" i="32"/>
  <c r="E27" i="30"/>
  <c r="K57" i="16"/>
  <c r="EQ271" i="11"/>
  <c r="J271" i="11" s="1"/>
  <c r="DX76" i="11"/>
  <c r="EQ266" i="11"/>
  <c r="J266" i="11" s="1"/>
  <c r="M910" i="32" l="1"/>
  <c r="D931" i="32"/>
  <c r="M931" i="32" s="1"/>
  <c r="Z24" i="18"/>
  <c r="CY201" i="11"/>
  <c r="EQ272" i="11"/>
  <c r="EQ267" i="11"/>
  <c r="DX80" i="11"/>
  <c r="DX78" i="11"/>
  <c r="DX112" i="5" s="1"/>
  <c r="CY36" i="5" l="1"/>
  <c r="CY34" i="5" s="1"/>
  <c r="CY202" i="11"/>
  <c r="DX79" i="11"/>
  <c r="DX90" i="11"/>
  <c r="DX81" i="11"/>
  <c r="DX48" i="19"/>
  <c r="CX29" i="15" l="1"/>
  <c r="CZ199" i="11"/>
  <c r="DY76" i="11"/>
  <c r="CZ201" i="11" l="1"/>
  <c r="DY80" i="11"/>
  <c r="DY78" i="11"/>
  <c r="DY112" i="5" s="1"/>
  <c r="CZ36" i="5" l="1"/>
  <c r="CZ34" i="5" s="1"/>
  <c r="CZ202" i="11"/>
  <c r="DY79" i="11"/>
  <c r="DZ76" i="11" s="1"/>
  <c r="DY81" i="11"/>
  <c r="DY90" i="11"/>
  <c r="DY48" i="19"/>
  <c r="CY29" i="15" l="1"/>
  <c r="DA199" i="11"/>
  <c r="DZ80" i="11"/>
  <c r="DZ78" i="11"/>
  <c r="DZ112" i="5" s="1"/>
  <c r="DA201" i="11" l="1"/>
  <c r="DZ48" i="19"/>
  <c r="DZ79" i="11"/>
  <c r="DZ81" i="11"/>
  <c r="DZ90" i="11"/>
  <c r="DA36" i="5" l="1"/>
  <c r="DA34" i="5" s="1"/>
  <c r="DA202" i="11"/>
  <c r="EA76" i="11"/>
  <c r="CZ29" i="15" l="1"/>
  <c r="DB199" i="11"/>
  <c r="EA78" i="11"/>
  <c r="EA112" i="5" s="1"/>
  <c r="EA80" i="11"/>
  <c r="DB201" i="11" l="1"/>
  <c r="EA90" i="11"/>
  <c r="EA81" i="11"/>
  <c r="EA48" i="19"/>
  <c r="EA79" i="11"/>
  <c r="DB36" i="5" l="1"/>
  <c r="DB34" i="5" s="1"/>
  <c r="DB202" i="11"/>
  <c r="EB76" i="11"/>
  <c r="DA29" i="15" l="1"/>
  <c r="DC199" i="11"/>
  <c r="EB80" i="11"/>
  <c r="EB78" i="11"/>
  <c r="EB112" i="5" s="1"/>
  <c r="M19" i="5"/>
  <c r="DC201" i="11" l="1"/>
  <c r="C230" i="32"/>
  <c r="EB48" i="19"/>
  <c r="EB79" i="11"/>
  <c r="EC76" i="11" s="1"/>
  <c r="EB90" i="11"/>
  <c r="EB81" i="11"/>
  <c r="DC36" i="5" l="1"/>
  <c r="DC34" i="5" s="1"/>
  <c r="DC202" i="11"/>
  <c r="EC78" i="11"/>
  <c r="EC112" i="5" s="1"/>
  <c r="EC80" i="11"/>
  <c r="DD199" i="11" l="1"/>
  <c r="DB29" i="15"/>
  <c r="EC79" i="11"/>
  <c r="ED76" i="11" s="1"/>
  <c r="ED78" i="11" s="1"/>
  <c r="ED112" i="5" s="1"/>
  <c r="EC90" i="11"/>
  <c r="EC81" i="11"/>
  <c r="EC48" i="19"/>
  <c r="DD201" i="11" l="1"/>
  <c r="ED80" i="11"/>
  <c r="ED81" i="11" s="1"/>
  <c r="ED79" i="11"/>
  <c r="EE76" i="11" s="1"/>
  <c r="EE80" i="11" s="1"/>
  <c r="ED48" i="19"/>
  <c r="DD36" i="5" l="1"/>
  <c r="DD34" i="5" s="1"/>
  <c r="DD202" i="11"/>
  <c r="EE78" i="11"/>
  <c r="EE112" i="5" s="1"/>
  <c r="EE48" i="19" s="1"/>
  <c r="ED90" i="11"/>
  <c r="EE90" i="11"/>
  <c r="EE81" i="11"/>
  <c r="DC29" i="15" l="1"/>
  <c r="DE199" i="11"/>
  <c r="EE79" i="11"/>
  <c r="EF76" i="11" s="1"/>
  <c r="EF80" i="11" s="1"/>
  <c r="AA24" i="18" l="1"/>
  <c r="DE201" i="11"/>
  <c r="EF78" i="11"/>
  <c r="EF112" i="5" s="1"/>
  <c r="EF48" i="19" s="1"/>
  <c r="EF81" i="11"/>
  <c r="EF90" i="11"/>
  <c r="L220" i="32" l="1"/>
  <c r="DE36" i="5"/>
  <c r="DE34" i="5" s="1"/>
  <c r="DE202" i="11"/>
  <c r="EF79" i="11"/>
  <c r="EG76" i="11" s="1"/>
  <c r="EG80" i="11" s="1"/>
  <c r="DF199" i="11" l="1"/>
  <c r="DD29" i="15"/>
  <c r="EG78" i="11"/>
  <c r="EG112" i="5" s="1"/>
  <c r="EG48" i="19" s="1"/>
  <c r="EG90" i="11"/>
  <c r="EG81" i="11"/>
  <c r="DF201" i="11" l="1"/>
  <c r="EG79" i="11"/>
  <c r="EH76" i="11" s="1"/>
  <c r="EH80" i="11" s="1"/>
  <c r="EH81" i="11" s="1"/>
  <c r="DF36" i="5" l="1"/>
  <c r="DF34" i="5" s="1"/>
  <c r="DF202" i="11"/>
  <c r="EH90" i="11"/>
  <c r="EH78" i="11"/>
  <c r="EH112" i="5" s="1"/>
  <c r="AG107" i="17" s="1"/>
  <c r="N19" i="5"/>
  <c r="DE29" i="15" l="1"/>
  <c r="DG199" i="11"/>
  <c r="EH48" i="19"/>
  <c r="EH79" i="11"/>
  <c r="EI76" i="11" s="1"/>
  <c r="EI80" i="11" s="1"/>
  <c r="EI81" i="11" s="1"/>
  <c r="DG201" i="11" l="1"/>
  <c r="EI90" i="11"/>
  <c r="EI78" i="11"/>
  <c r="EI112" i="5" s="1"/>
  <c r="EI48" i="19" s="1"/>
  <c r="DG36" i="5" l="1"/>
  <c r="DG34" i="5" s="1"/>
  <c r="DG202" i="11"/>
  <c r="EI79" i="11"/>
  <c r="EJ76" i="11" s="1"/>
  <c r="EJ80" i="11" s="1"/>
  <c r="DH199" i="11" l="1"/>
  <c r="DF29" i="15"/>
  <c r="EJ78" i="11"/>
  <c r="EJ112" i="5" s="1"/>
  <c r="EJ48" i="19" s="1"/>
  <c r="EJ90" i="11"/>
  <c r="EJ81" i="11"/>
  <c r="DH201" i="11" l="1"/>
  <c r="EJ79" i="11"/>
  <c r="EK76" i="11" s="1"/>
  <c r="DH36" i="5" l="1"/>
  <c r="DH34" i="5" s="1"/>
  <c r="DH202" i="11"/>
  <c r="EK78" i="11"/>
  <c r="EK112" i="5" s="1"/>
  <c r="EK48" i="19" s="1"/>
  <c r="EK80" i="11"/>
  <c r="DG29" i="15" l="1"/>
  <c r="DI199" i="11"/>
  <c r="EK79" i="11"/>
  <c r="EL76" i="11" s="1"/>
  <c r="EK81" i="11"/>
  <c r="EK90" i="11"/>
  <c r="DI201" i="11" l="1"/>
  <c r="EL80" i="11"/>
  <c r="EL78" i="11"/>
  <c r="EL112" i="5" s="1"/>
  <c r="EL48" i="19" s="1"/>
  <c r="DI36" i="5" l="1"/>
  <c r="DI34" i="5" s="1"/>
  <c r="DI202" i="11"/>
  <c r="EL79" i="11"/>
  <c r="EM76" i="11" s="1"/>
  <c r="EM78" i="11" s="1"/>
  <c r="EL81" i="11"/>
  <c r="EL90" i="11"/>
  <c r="DH29" i="15" l="1"/>
  <c r="DJ199" i="11"/>
  <c r="EM80" i="11"/>
  <c r="EM81" i="11" s="1"/>
  <c r="EM112" i="5"/>
  <c r="EM48" i="19" s="1"/>
  <c r="EM79" i="11"/>
  <c r="EN76" i="11" s="1"/>
  <c r="DJ201" i="11" l="1"/>
  <c r="EM90" i="11"/>
  <c r="EN78" i="11"/>
  <c r="EN112" i="5" s="1"/>
  <c r="EN80" i="11"/>
  <c r="O19" i="5"/>
  <c r="E589" i="32" s="1"/>
  <c r="DJ36" i="5" l="1"/>
  <c r="DJ34" i="5" s="1"/>
  <c r="DJ202" i="11"/>
  <c r="DK199" i="11" s="1"/>
  <c r="EN81" i="11"/>
  <c r="EN90" i="11"/>
  <c r="EN79" i="11"/>
  <c r="EO76" i="11" s="1"/>
  <c r="AH107" i="17"/>
  <c r="EN48" i="19"/>
  <c r="DI29" i="15" l="1"/>
  <c r="DK201" i="11"/>
  <c r="AB24" i="18"/>
  <c r="EO78" i="11"/>
  <c r="EO112" i="5" s="1"/>
  <c r="EO48" i="19" s="1"/>
  <c r="EO80" i="11"/>
  <c r="DK36" i="5" l="1"/>
  <c r="DK34" i="5" s="1"/>
  <c r="DK202" i="11"/>
  <c r="EO79" i="11"/>
  <c r="EP76" i="11" s="1"/>
  <c r="EO90" i="11"/>
  <c r="EO81" i="11"/>
  <c r="H73" i="1"/>
  <c r="J79" i="21" s="1"/>
  <c r="H74" i="1"/>
  <c r="H75" i="1"/>
  <c r="H76" i="1"/>
  <c r="H77" i="1"/>
  <c r="H78" i="1"/>
  <c r="H79" i="1"/>
  <c r="H80" i="1"/>
  <c r="H81" i="1"/>
  <c r="H82" i="1"/>
  <c r="H83" i="1"/>
  <c r="H84" i="1"/>
  <c r="H85" i="1"/>
  <c r="H86" i="1"/>
  <c r="H87" i="1"/>
  <c r="H88" i="1"/>
  <c r="H89" i="1"/>
  <c r="H90" i="1"/>
  <c r="H91" i="1"/>
  <c r="H92" i="1"/>
  <c r="DJ29" i="15" l="1"/>
  <c r="DL199" i="11"/>
  <c r="E343" i="32"/>
  <c r="E368" i="32" s="1"/>
  <c r="J97" i="21"/>
  <c r="E335" i="32"/>
  <c r="E360" i="32" s="1"/>
  <c r="J89" i="21"/>
  <c r="E327" i="32"/>
  <c r="E352" i="32" s="1"/>
  <c r="J81" i="21"/>
  <c r="E334" i="32"/>
  <c r="E359" i="32" s="1"/>
  <c r="J88" i="21"/>
  <c r="E326" i="32"/>
  <c r="E377" i="32" s="1"/>
  <c r="E404" i="32" s="1"/>
  <c r="J80" i="21"/>
  <c r="E333" i="32"/>
  <c r="E358" i="32" s="1"/>
  <c r="J87" i="21"/>
  <c r="E342" i="32"/>
  <c r="E367" i="32" s="1"/>
  <c r="J96" i="21"/>
  <c r="E332" i="32"/>
  <c r="E357" i="32" s="1"/>
  <c r="J86" i="21"/>
  <c r="E341" i="32"/>
  <c r="E366" i="32" s="1"/>
  <c r="J95" i="21"/>
  <c r="E331" i="32"/>
  <c r="E382" i="32" s="1"/>
  <c r="E409" i="32" s="1"/>
  <c r="J85" i="21"/>
  <c r="E340" i="32"/>
  <c r="E365" i="32" s="1"/>
  <c r="J94" i="21"/>
  <c r="E338" i="32"/>
  <c r="E389" i="32" s="1"/>
  <c r="E416" i="32" s="1"/>
  <c r="J92" i="21"/>
  <c r="E330" i="32"/>
  <c r="E381" i="32" s="1"/>
  <c r="E408" i="32" s="1"/>
  <c r="J84" i="21"/>
  <c r="E339" i="32"/>
  <c r="E364" i="32" s="1"/>
  <c r="J93" i="21"/>
  <c r="E337" i="32"/>
  <c r="E362" i="32" s="1"/>
  <c r="J91" i="21"/>
  <c r="E329" i="32"/>
  <c r="E380" i="32" s="1"/>
  <c r="E407" i="32" s="1"/>
  <c r="J83" i="21"/>
  <c r="E344" i="32"/>
  <c r="E369" i="32" s="1"/>
  <c r="J98" i="21"/>
  <c r="E336" i="32"/>
  <c r="E387" i="32" s="1"/>
  <c r="E414" i="32" s="1"/>
  <c r="J90" i="21"/>
  <c r="E328" i="32"/>
  <c r="E379" i="32" s="1"/>
  <c r="E406" i="32" s="1"/>
  <c r="J82" i="21"/>
  <c r="E324" i="32"/>
  <c r="E325" i="32"/>
  <c r="EP78" i="11"/>
  <c r="EP112" i="5" s="1"/>
  <c r="EP48" i="19" s="1"/>
  <c r="EP80" i="11"/>
  <c r="AD79" i="16"/>
  <c r="AD80" i="16" s="1"/>
  <c r="R79" i="16"/>
  <c r="R80" i="16" s="1"/>
  <c r="AC79" i="16"/>
  <c r="AC80" i="16" s="1"/>
  <c r="Q79" i="16"/>
  <c r="Q80" i="16" s="1"/>
  <c r="AB79" i="16"/>
  <c r="AB80" i="16" s="1"/>
  <c r="P79" i="16"/>
  <c r="P80" i="16" s="1"/>
  <c r="AA79" i="16"/>
  <c r="AA80" i="16" s="1"/>
  <c r="O79" i="16"/>
  <c r="O80" i="16" s="1"/>
  <c r="Z79" i="16"/>
  <c r="Z80" i="16" s="1"/>
  <c r="N79" i="16"/>
  <c r="N80" i="16" s="1"/>
  <c r="H93" i="1"/>
  <c r="Y79" i="16"/>
  <c r="Y80" i="16" s="1"/>
  <c r="A43" i="1"/>
  <c r="A44" i="1"/>
  <c r="A45" i="1"/>
  <c r="A46" i="1"/>
  <c r="A47" i="1"/>
  <c r="A48" i="1"/>
  <c r="A49" i="1"/>
  <c r="A50" i="1"/>
  <c r="A51" i="1"/>
  <c r="A52" i="1"/>
  <c r="A53" i="1"/>
  <c r="A54" i="1"/>
  <c r="A55" i="1"/>
  <c r="A56" i="1"/>
  <c r="A57" i="1"/>
  <c r="A58" i="1"/>
  <c r="A59" i="1"/>
  <c r="A60" i="1"/>
  <c r="A61" i="1"/>
  <c r="A62" i="1"/>
  <c r="X79" i="16"/>
  <c r="X80" i="16" s="1"/>
  <c r="W79" i="16"/>
  <c r="W80" i="16" s="1"/>
  <c r="V79" i="16"/>
  <c r="V80" i="16" s="1"/>
  <c r="U79" i="16"/>
  <c r="U80" i="16" s="1"/>
  <c r="AF79" i="16"/>
  <c r="AF80" i="16" s="1"/>
  <c r="T79" i="16"/>
  <c r="T80" i="16" s="1"/>
  <c r="AG79" i="16"/>
  <c r="AG80" i="16" s="1"/>
  <c r="AE79" i="16"/>
  <c r="AE80" i="16" s="1"/>
  <c r="S79" i="16"/>
  <c r="S80" i="16" s="1"/>
  <c r="DL201" i="11" l="1"/>
  <c r="E394" i="32"/>
  <c r="E421" i="32" s="1"/>
  <c r="E355" i="32"/>
  <c r="E356" i="32"/>
  <c r="E384" i="32"/>
  <c r="E411" i="32" s="1"/>
  <c r="E392" i="32"/>
  <c r="E419" i="32" s="1"/>
  <c r="E351" i="32"/>
  <c r="E386" i="32"/>
  <c r="E413" i="32" s="1"/>
  <c r="E390" i="32"/>
  <c r="E417" i="32" s="1"/>
  <c r="E378" i="32"/>
  <c r="E405" i="32" s="1"/>
  <c r="E385" i="32"/>
  <c r="E412" i="32" s="1"/>
  <c r="E388" i="32"/>
  <c r="E415" i="32" s="1"/>
  <c r="E391" i="32"/>
  <c r="E418" i="32" s="1"/>
  <c r="E361" i="32"/>
  <c r="E354" i="32"/>
  <c r="E363" i="32"/>
  <c r="E383" i="32"/>
  <c r="E410" i="32" s="1"/>
  <c r="E393" i="32"/>
  <c r="E420" i="32" s="1"/>
  <c r="M324" i="32"/>
  <c r="L324" i="32"/>
  <c r="E375" i="32"/>
  <c r="E402" i="32" s="1"/>
  <c r="E350" i="32"/>
  <c r="E376" i="32"/>
  <c r="E403" i="32" s="1"/>
  <c r="J325" i="32"/>
  <c r="D324" i="32"/>
  <c r="E345" i="32"/>
  <c r="EP79" i="11"/>
  <c r="EQ76" i="11" s="1"/>
  <c r="EQ78" i="11" s="1"/>
  <c r="EP81" i="11"/>
  <c r="EP90" i="11"/>
  <c r="M107" i="26"/>
  <c r="N107" i="17"/>
  <c r="N107" i="26"/>
  <c r="O107" i="17"/>
  <c r="P107" i="17"/>
  <c r="Q107" i="17"/>
  <c r="O107" i="26"/>
  <c r="R107" i="17"/>
  <c r="P107" i="26"/>
  <c r="S107" i="17"/>
  <c r="T107" i="17"/>
  <c r="Q107" i="26"/>
  <c r="U107" i="17"/>
  <c r="V107" i="17"/>
  <c r="R107" i="26"/>
  <c r="W107" i="17"/>
  <c r="X107" i="17"/>
  <c r="Y107" i="17"/>
  <c r="S107" i="26"/>
  <c r="Z107" i="17"/>
  <c r="AA107" i="17"/>
  <c r="T107" i="26"/>
  <c r="AB107" i="17"/>
  <c r="AC107" i="17"/>
  <c r="U107" i="26"/>
  <c r="AD107" i="17"/>
  <c r="AE107" i="17"/>
  <c r="V107" i="26"/>
  <c r="AF107" i="17"/>
  <c r="W107" i="26"/>
  <c r="DL36" i="5" l="1"/>
  <c r="DL34" i="5" s="1"/>
  <c r="DL202" i="11"/>
  <c r="J403" i="32"/>
  <c r="AE115" i="21" s="1"/>
  <c r="E395" i="32"/>
  <c r="M375" i="32"/>
  <c r="L375" i="32"/>
  <c r="D375" i="32"/>
  <c r="J376" i="32"/>
  <c r="J326" i="32"/>
  <c r="J327" i="32" s="1"/>
  <c r="J328" i="32" s="1"/>
  <c r="J329" i="32" s="1"/>
  <c r="J330" i="32" s="1"/>
  <c r="J331" i="32" s="1"/>
  <c r="J332" i="32" s="1"/>
  <c r="J333" i="32" s="1"/>
  <c r="J334" i="32" s="1"/>
  <c r="J335" i="32" s="1"/>
  <c r="J336" i="32" s="1"/>
  <c r="J337" i="32" s="1"/>
  <c r="J338" i="32" s="1"/>
  <c r="J339" i="32" s="1"/>
  <c r="J340" i="32" s="1"/>
  <c r="J341" i="32" s="1"/>
  <c r="J342" i="32" s="1"/>
  <c r="J343" i="32" s="1"/>
  <c r="J344" i="32" s="1"/>
  <c r="EQ80" i="11"/>
  <c r="EQ90" i="11" s="1"/>
  <c r="EQ79" i="11"/>
  <c r="J78" i="11"/>
  <c r="EQ112" i="5"/>
  <c r="DK29" i="15" l="1"/>
  <c r="DM199" i="11"/>
  <c r="AI114" i="21"/>
  <c r="AH114" i="21"/>
  <c r="E396" i="32"/>
  <c r="E422" i="32"/>
  <c r="E423" i="32" s="1"/>
  <c r="J404" i="32"/>
  <c r="J377" i="32"/>
  <c r="U78" i="21"/>
  <c r="J345" i="32"/>
  <c r="EQ81" i="11"/>
  <c r="X107" i="26"/>
  <c r="J107" i="26" s="1"/>
  <c r="AI107" i="17"/>
  <c r="J107" i="17" s="1"/>
  <c r="EQ48" i="19"/>
  <c r="J48" i="19" s="1"/>
  <c r="J112" i="5"/>
  <c r="DM201" i="11" l="1"/>
  <c r="J405" i="32"/>
  <c r="AE116" i="21"/>
  <c r="J378" i="32"/>
  <c r="DM36" i="5" l="1"/>
  <c r="DM34" i="5" s="1"/>
  <c r="DM202" i="11"/>
  <c r="J406" i="32"/>
  <c r="AE117" i="21"/>
  <c r="J379" i="32"/>
  <c r="DL29" i="15" l="1"/>
  <c r="DN199" i="11"/>
  <c r="J407" i="32"/>
  <c r="AE118" i="21"/>
  <c r="J380" i="32"/>
  <c r="DN201" i="11" l="1"/>
  <c r="J408" i="32"/>
  <c r="AE119" i="21"/>
  <c r="J381" i="32"/>
  <c r="DN36" i="5" l="1"/>
  <c r="DN34" i="5" s="1"/>
  <c r="DN202" i="11"/>
  <c r="DO199" i="11" s="1"/>
  <c r="J409" i="32"/>
  <c r="AE120" i="21"/>
  <c r="J382" i="32"/>
  <c r="P19" i="5"/>
  <c r="DM29" i="15" l="1"/>
  <c r="DO201" i="11"/>
  <c r="J410" i="32"/>
  <c r="AE121" i="21"/>
  <c r="J383" i="32"/>
  <c r="DO36" i="5" l="1"/>
  <c r="DO34" i="5" s="1"/>
  <c r="DO202" i="11"/>
  <c r="J411" i="32"/>
  <c r="AE122" i="21"/>
  <c r="J384" i="32"/>
  <c r="DP199" i="11" l="1"/>
  <c r="DN29" i="15"/>
  <c r="J412" i="32"/>
  <c r="AE123" i="21"/>
  <c r="J385" i="32"/>
  <c r="DP201" i="11" l="1"/>
  <c r="J413" i="32"/>
  <c r="AE124" i="21"/>
  <c r="J386" i="32"/>
  <c r="DP36" i="5" l="1"/>
  <c r="DP34" i="5" s="1"/>
  <c r="DP202" i="11"/>
  <c r="J414" i="32"/>
  <c r="AE125" i="21"/>
  <c r="J387" i="32"/>
  <c r="DO29" i="15" l="1"/>
  <c r="DQ199" i="11"/>
  <c r="J415" i="32"/>
  <c r="AE126" i="21"/>
  <c r="J388" i="32"/>
  <c r="AC24" i="18" l="1"/>
  <c r="DQ201" i="11"/>
  <c r="J416" i="32"/>
  <c r="AE127" i="21"/>
  <c r="J389" i="32"/>
  <c r="M220" i="32" l="1"/>
  <c r="DQ36" i="5"/>
  <c r="DQ34" i="5" s="1"/>
  <c r="DQ202" i="11"/>
  <c r="J417" i="32"/>
  <c r="AE128" i="21"/>
  <c r="J390" i="32"/>
  <c r="DP29" i="15" l="1"/>
  <c r="DR199" i="11"/>
  <c r="J418" i="32"/>
  <c r="AE129" i="21"/>
  <c r="J391" i="32"/>
  <c r="Q19" i="5"/>
  <c r="DR201" i="11" l="1"/>
  <c r="J419" i="32"/>
  <c r="AE130" i="21"/>
  <c r="J392" i="32"/>
  <c r="DR36" i="5" l="1"/>
  <c r="DR34" i="5" s="1"/>
  <c r="DR202" i="11"/>
  <c r="J420" i="32"/>
  <c r="AE131" i="21"/>
  <c r="J393" i="32"/>
  <c r="DQ29" i="15" l="1"/>
  <c r="DS199" i="11"/>
  <c r="J421" i="32"/>
  <c r="AE132" i="21"/>
  <c r="J394" i="32"/>
  <c r="DS201" i="11" l="1"/>
  <c r="J422" i="32"/>
  <c r="AE133" i="21"/>
  <c r="J395" i="32"/>
  <c r="DS36" i="5" l="1"/>
  <c r="DS34" i="5" s="1"/>
  <c r="DS202" i="11"/>
  <c r="AE134" i="21"/>
  <c r="J423" i="32"/>
  <c r="J396" i="32"/>
  <c r="DR29" i="15" l="1"/>
  <c r="DT199" i="11"/>
  <c r="AI136" i="21"/>
  <c r="AE135" i="21"/>
  <c r="DT201" i="11" l="1"/>
  <c r="DT36" i="5" l="1"/>
  <c r="DT34" i="5" s="1"/>
  <c r="DT202" i="11"/>
  <c r="M31" i="17"/>
  <c r="E737" i="32" s="1"/>
  <c r="M31" i="26"/>
  <c r="E176" i="32" s="1"/>
  <c r="N31" i="17"/>
  <c r="N31" i="26"/>
  <c r="O31" i="17"/>
  <c r="P31" i="17"/>
  <c r="Q31" i="17"/>
  <c r="Q29" i="17" s="1"/>
  <c r="O31" i="26"/>
  <c r="R31" i="17"/>
  <c r="R29" i="17" s="1"/>
  <c r="S31" i="17"/>
  <c r="S29" i="17" s="1"/>
  <c r="P31" i="26"/>
  <c r="T31" i="17"/>
  <c r="T29" i="17" s="1"/>
  <c r="U31" i="17"/>
  <c r="U29" i="17" s="1"/>
  <c r="Q31" i="26"/>
  <c r="V31" i="17"/>
  <c r="V29" i="17" s="1"/>
  <c r="W31" i="17"/>
  <c r="W29" i="17" s="1"/>
  <c r="R31" i="26"/>
  <c r="X31" i="17"/>
  <c r="X29" i="17" s="1"/>
  <c r="S31" i="26"/>
  <c r="Y31" i="17"/>
  <c r="Y29" i="17" s="1"/>
  <c r="Z31" i="17"/>
  <c r="Z29" i="17" s="1"/>
  <c r="T31" i="26"/>
  <c r="AA31" i="17"/>
  <c r="AA29" i="17" s="1"/>
  <c r="AB31" i="17"/>
  <c r="AB29" i="17" s="1"/>
  <c r="U31" i="26"/>
  <c r="AC31" i="17"/>
  <c r="AC29" i="17" s="1"/>
  <c r="AD31" i="17"/>
  <c r="AD29" i="17" s="1"/>
  <c r="DU199" i="11" l="1"/>
  <c r="DS29" i="15"/>
  <c r="N29" i="17"/>
  <c r="F737" i="32"/>
  <c r="F736" i="32" s="1"/>
  <c r="E736" i="32"/>
  <c r="P29" i="17"/>
  <c r="H737" i="32"/>
  <c r="H736" i="32" s="1"/>
  <c r="O29" i="17"/>
  <c r="G737" i="32"/>
  <c r="G736" i="32" s="1"/>
  <c r="O29" i="26"/>
  <c r="G176" i="32"/>
  <c r="G175" i="32" s="1"/>
  <c r="N29" i="26"/>
  <c r="F176" i="32"/>
  <c r="F175" i="32" s="1"/>
  <c r="P29" i="26"/>
  <c r="H176" i="32"/>
  <c r="H175" i="32" s="1"/>
  <c r="S29" i="26"/>
  <c r="K176" i="32"/>
  <c r="K175" i="32" s="1"/>
  <c r="U29" i="26"/>
  <c r="M176" i="32"/>
  <c r="M175" i="32" s="1"/>
  <c r="E175" i="32"/>
  <c r="R29" i="26"/>
  <c r="J176" i="32"/>
  <c r="J175" i="32" s="1"/>
  <c r="Q29" i="26"/>
  <c r="I176" i="32"/>
  <c r="I175" i="32" s="1"/>
  <c r="T29" i="26"/>
  <c r="L176" i="32"/>
  <c r="L175" i="32" s="1"/>
  <c r="M29" i="26"/>
  <c r="M29" i="17"/>
  <c r="DU201" i="11" l="1"/>
  <c r="DU202" i="11" s="1"/>
  <c r="N605" i="32"/>
  <c r="O605" i="32" s="1"/>
  <c r="N606" i="32"/>
  <c r="O606" i="32" s="1"/>
  <c r="C737" i="32"/>
  <c r="C736" i="32"/>
  <c r="DT29" i="15" l="1"/>
  <c r="DV199" i="11"/>
  <c r="DU36" i="5"/>
  <c r="DV201" i="11" l="1"/>
  <c r="DV202" i="11" s="1"/>
  <c r="DU34" i="5"/>
  <c r="R19" i="5"/>
  <c r="F589" i="32" s="1"/>
  <c r="DU29" i="15" l="1"/>
  <c r="DW199" i="11"/>
  <c r="DV36" i="5"/>
  <c r="AD24" i="18" l="1"/>
  <c r="DW201" i="11"/>
  <c r="DW202" i="11" s="1"/>
  <c r="AE31" i="17"/>
  <c r="DV34" i="5"/>
  <c r="DX199" i="11" l="1"/>
  <c r="DV29" i="15"/>
  <c r="DW36" i="5"/>
  <c r="AE29" i="17"/>
  <c r="DX201" i="11" l="1"/>
  <c r="DX202" i="11" s="1"/>
  <c r="DW34" i="5"/>
  <c r="DY199" i="11" l="1"/>
  <c r="DW29" i="15"/>
  <c r="DX36" i="5"/>
  <c r="DY201" i="11" l="1"/>
  <c r="DY202" i="11" s="1"/>
  <c r="DX34" i="5"/>
  <c r="S19" i="5"/>
  <c r="DZ199" i="11" l="1"/>
  <c r="DX29" i="15"/>
  <c r="DY36" i="5"/>
  <c r="DZ201" i="11" l="1"/>
  <c r="DZ202" i="11" s="1"/>
  <c r="DY34" i="5"/>
  <c r="T19" i="5"/>
  <c r="DY29" i="15" l="1"/>
  <c r="EA199" i="11"/>
  <c r="DZ36" i="5"/>
  <c r="U19" i="5"/>
  <c r="G589" i="32" s="1"/>
  <c r="EA201" i="11" l="1"/>
  <c r="EA202" i="11" s="1"/>
  <c r="DZ34" i="5"/>
  <c r="DZ29" i="15" l="1"/>
  <c r="EB199" i="11"/>
  <c r="EA36" i="5"/>
  <c r="EB201" i="11" l="1"/>
  <c r="EB202" i="11" s="1"/>
  <c r="EA34" i="5"/>
  <c r="V19" i="5"/>
  <c r="EC199" i="11" l="1"/>
  <c r="EA29" i="15"/>
  <c r="EB36" i="5"/>
  <c r="EC201" i="11" l="1"/>
  <c r="EC202" i="11" s="1"/>
  <c r="AE24" i="18"/>
  <c r="EB34" i="5"/>
  <c r="W19" i="5"/>
  <c r="ED199" i="11" l="1"/>
  <c r="EB29" i="15"/>
  <c r="EC36" i="5"/>
  <c r="N220" i="32"/>
  <c r="X19" i="5"/>
  <c r="ED201" i="11" l="1"/>
  <c r="ED202" i="11" s="1"/>
  <c r="EC34" i="5"/>
  <c r="H589" i="32"/>
  <c r="EE199" i="11" l="1"/>
  <c r="EC29" i="15"/>
  <c r="ED36" i="5"/>
  <c r="R25" i="30"/>
  <c r="EE201" i="11" l="1"/>
  <c r="EE202" i="11" s="1"/>
  <c r="ED34" i="5"/>
  <c r="Y19" i="5"/>
  <c r="EF199" i="11" l="1"/>
  <c r="ED29" i="15"/>
  <c r="EE36" i="5"/>
  <c r="S25" i="30"/>
  <c r="EF201" i="11" l="1"/>
  <c r="EF202" i="11" s="1"/>
  <c r="EE34" i="5"/>
  <c r="Z19" i="5"/>
  <c r="EG199" i="11" l="1"/>
  <c r="EE29" i="15"/>
  <c r="EF36" i="5"/>
  <c r="T25" i="30"/>
  <c r="EG201" i="11" l="1"/>
  <c r="EG202" i="11" s="1"/>
  <c r="EF34" i="5"/>
  <c r="AA19" i="5"/>
  <c r="EF29" i="15" l="1"/>
  <c r="EH199" i="11"/>
  <c r="EG36" i="5"/>
  <c r="I589" i="32"/>
  <c r="EH201" i="11" l="1"/>
  <c r="EH202" i="11" s="1"/>
  <c r="EG34" i="5"/>
  <c r="U25" i="30"/>
  <c r="EG29" i="15" l="1"/>
  <c r="EI199" i="11"/>
  <c r="EH36" i="5"/>
  <c r="AB19" i="5"/>
  <c r="AF24" i="18" l="1"/>
  <c r="EI201" i="11"/>
  <c r="EI202" i="11" s="1"/>
  <c r="EH34" i="5"/>
  <c r="AC19" i="5"/>
  <c r="EH29" i="15" l="1"/>
  <c r="EJ199" i="11"/>
  <c r="EI36" i="5"/>
  <c r="N25" i="30"/>
  <c r="EJ201" i="11" l="1"/>
  <c r="EJ202" i="11" s="1"/>
  <c r="EI34" i="5"/>
  <c r="AD19" i="5"/>
  <c r="EK199" i="11" l="1"/>
  <c r="EI29" i="15"/>
  <c r="EJ36" i="5"/>
  <c r="J589" i="32"/>
  <c r="EK201" i="11" l="1"/>
  <c r="EK202" i="11" s="1"/>
  <c r="EJ34" i="5"/>
  <c r="AE19" i="5"/>
  <c r="EJ29" i="15" l="1"/>
  <c r="EL199" i="11"/>
  <c r="EK36" i="5"/>
  <c r="EL201" i="11" l="1"/>
  <c r="EL202" i="11" s="1"/>
  <c r="EK34" i="5"/>
  <c r="O25" i="30"/>
  <c r="EM199" i="11" l="1"/>
  <c r="EK29" i="15"/>
  <c r="EL36" i="5"/>
  <c r="AF19" i="5"/>
  <c r="EM201" i="11" l="1"/>
  <c r="EM202" i="11" s="1"/>
  <c r="EL34" i="5"/>
  <c r="AG19" i="5"/>
  <c r="EN199" i="11" l="1"/>
  <c r="EL29" i="15"/>
  <c r="EM36" i="5"/>
  <c r="K589" i="32"/>
  <c r="EN201" i="11" l="1"/>
  <c r="EN202" i="11" s="1"/>
  <c r="EM34" i="5"/>
  <c r="P25" i="30"/>
  <c r="EO199" i="11" l="1"/>
  <c r="EM29" i="15"/>
  <c r="EN36" i="5"/>
  <c r="AH19" i="5"/>
  <c r="EO201" i="11" l="1"/>
  <c r="EO202" i="11" s="1"/>
  <c r="AG24" i="18"/>
  <c r="EN34" i="5"/>
  <c r="AI19" i="5"/>
  <c r="EN29" i="15" l="1"/>
  <c r="EP199" i="11"/>
  <c r="EO36" i="5"/>
  <c r="Q25" i="30"/>
  <c r="EP201" i="11" l="1"/>
  <c r="EP202" i="11" s="1"/>
  <c r="EO34" i="5"/>
  <c r="AJ19" i="5"/>
  <c r="L589" i="32" s="1"/>
  <c r="EQ199" i="11" l="1"/>
  <c r="EO29" i="15"/>
  <c r="EP36" i="5"/>
  <c r="C589" i="32"/>
  <c r="EQ201" i="11" l="1"/>
  <c r="EQ202" i="11" s="1"/>
  <c r="EP29" i="15" s="1"/>
  <c r="EP34" i="5"/>
  <c r="J201" i="11" l="1"/>
  <c r="EQ36" i="5"/>
  <c r="AK19" i="5"/>
  <c r="X31" i="26" l="1"/>
  <c r="X29" i="26" s="1"/>
  <c r="AI31" i="17"/>
  <c r="AI29" i="17" s="1"/>
  <c r="J36" i="5"/>
  <c r="J34" i="5" s="1"/>
  <c r="AH31" i="17"/>
  <c r="AH29" i="17" s="1"/>
  <c r="W31" i="26"/>
  <c r="W29" i="26" s="1"/>
  <c r="AG31" i="17"/>
  <c r="AG29" i="17" s="1"/>
  <c r="AF31" i="17"/>
  <c r="V31" i="26"/>
  <c r="EQ34" i="5"/>
  <c r="AL19" i="5"/>
  <c r="J31" i="17" l="1"/>
  <c r="J29" i="17" s="1"/>
  <c r="AF29" i="17"/>
  <c r="J31" i="26"/>
  <c r="J29" i="26" s="1"/>
  <c r="N176" i="32"/>
  <c r="V29" i="26"/>
  <c r="AM19" i="5"/>
  <c r="C176" i="32" l="1"/>
  <c r="N175" i="32"/>
  <c r="C175" i="32" s="1"/>
  <c r="AN19" i="5"/>
  <c r="AO19" i="5" l="1"/>
  <c r="AP19" i="5" l="1"/>
  <c r="AQ19" i="5" l="1"/>
  <c r="AR19" i="5" l="1"/>
  <c r="AS19" i="5" l="1"/>
  <c r="AT19" i="5" l="1"/>
  <c r="AU19" i="5" l="1"/>
  <c r="AV19" i="5" l="1"/>
  <c r="AW19" i="5" l="1"/>
  <c r="AX19" i="5" l="1"/>
  <c r="AY19" i="5" l="1"/>
  <c r="AZ19" i="5" l="1"/>
  <c r="BA19" i="5" l="1"/>
  <c r="BB19" i="5" l="1"/>
  <c r="BC19" i="5" l="1"/>
  <c r="BD19" i="5" l="1"/>
  <c r="BE19" i="5" l="1"/>
  <c r="BF19" i="5" l="1"/>
  <c r="BG19" i="5" l="1"/>
  <c r="BH19" i="5" l="1"/>
  <c r="BI19" i="5" l="1"/>
  <c r="BJ19" i="5" l="1"/>
  <c r="BK19" i="5" l="1"/>
  <c r="BL19" i="5" l="1"/>
  <c r="BM19" i="5" l="1"/>
  <c r="BN19" i="5" l="1"/>
  <c r="BO19" i="5" l="1"/>
  <c r="BP19" i="5" l="1"/>
  <c r="BQ19" i="5" l="1"/>
  <c r="BR19" i="5" l="1"/>
  <c r="BS19" i="5" l="1"/>
  <c r="BT19" i="5" l="1"/>
  <c r="BU19" i="5" l="1"/>
  <c r="BV19" i="5" l="1"/>
  <c r="BW19" i="5" l="1"/>
  <c r="BX19" i="5" l="1"/>
  <c r="BY19" i="5" l="1"/>
  <c r="BZ19" i="5" l="1"/>
  <c r="CA19" i="5" l="1"/>
  <c r="CB19" i="5" l="1"/>
  <c r="CC19" i="5" l="1"/>
  <c r="CD19" i="5" l="1"/>
  <c r="CE19" i="5" l="1"/>
  <c r="CF19" i="5" l="1"/>
  <c r="CG19" i="5" l="1"/>
  <c r="CH19" i="5" l="1"/>
  <c r="CI19" i="5" l="1"/>
  <c r="CJ19" i="5" l="1"/>
  <c r="CK19" i="5" l="1"/>
  <c r="CL19" i="5" l="1"/>
  <c r="CM19" i="5" l="1"/>
  <c r="CN19" i="5" l="1"/>
  <c r="CO19" i="5" l="1"/>
  <c r="CP19" i="5" l="1"/>
  <c r="CQ19" i="5" l="1"/>
  <c r="CR19" i="5" l="1"/>
  <c r="CS19" i="5" l="1"/>
  <c r="CT19" i="5" l="1"/>
  <c r="CU19" i="5" l="1"/>
  <c r="CV19" i="5" l="1"/>
  <c r="CW19" i="5" l="1"/>
  <c r="CX19" i="5" l="1"/>
  <c r="CY19" i="5" l="1"/>
  <c r="CZ19" i="5" l="1"/>
  <c r="DA19" i="5" l="1"/>
  <c r="DB19" i="5" l="1"/>
  <c r="DC19" i="5" l="1"/>
  <c r="DD19" i="5" l="1"/>
  <c r="DE19" i="5" l="1"/>
  <c r="DF19" i="5" l="1"/>
  <c r="DG19" i="5" l="1"/>
  <c r="DH19" i="5" l="1"/>
  <c r="DI19" i="5" l="1"/>
  <c r="DJ19" i="5" l="1"/>
  <c r="DK19" i="5" l="1"/>
  <c r="DL19" i="5" l="1"/>
  <c r="DM19" i="5" l="1"/>
  <c r="DN19" i="5" l="1"/>
  <c r="DO19" i="5" l="1"/>
  <c r="DP19" i="5" l="1"/>
  <c r="DQ19" i="5" l="1"/>
  <c r="DR19" i="5" l="1"/>
  <c r="DS19" i="5" l="1"/>
  <c r="DT19" i="5" l="1"/>
  <c r="DU19" i="5" l="1"/>
  <c r="DV19" i="5" l="1"/>
  <c r="DW19" i="5" l="1"/>
  <c r="DX19" i="5" l="1"/>
  <c r="DY19" i="5" l="1"/>
  <c r="DZ19" i="5" l="1"/>
  <c r="EA19" i="5" l="1"/>
  <c r="EB19" i="5" l="1"/>
  <c r="EC19" i="5" l="1"/>
  <c r="ED19" i="5" l="1"/>
  <c r="EE19" i="5" l="1"/>
  <c r="EF19" i="5" l="1"/>
  <c r="EG19" i="5" l="1"/>
  <c r="EH19" i="5" l="1"/>
  <c r="EI19" i="5" l="1"/>
  <c r="EJ19" i="5" l="1"/>
  <c r="EK19" i="5" l="1"/>
  <c r="EL19" i="5" l="1"/>
  <c r="EM19" i="5" l="1"/>
  <c r="EN19" i="5" l="1"/>
  <c r="EO19" i="5" l="1"/>
  <c r="EP19" i="5" l="1"/>
  <c r="Y39" i="1" l="1"/>
  <c r="Z39" i="1" l="1"/>
  <c r="D7" i="21" s="1"/>
  <c r="AA39" i="1"/>
  <c r="E7" i="21" s="1"/>
  <c r="AB39" i="1"/>
  <c r="F7" i="21" s="1"/>
  <c r="AC39" i="1"/>
  <c r="G7" i="21" s="1"/>
  <c r="AD39" i="1"/>
  <c r="H7" i="21" s="1"/>
  <c r="AE39" i="1"/>
  <c r="I7" i="21" s="1"/>
  <c r="AF39" i="1"/>
  <c r="J7" i="21" s="1"/>
  <c r="AG39" i="1"/>
  <c r="K7" i="21" s="1"/>
  <c r="AH39" i="1"/>
  <c r="L7" i="21" s="1"/>
  <c r="EQ19" i="5"/>
  <c r="K19" i="10"/>
  <c r="C7" i="21" l="1"/>
  <c r="AD33" i="1"/>
  <c r="AI39" i="1"/>
  <c r="M14" i="17"/>
  <c r="E720" i="32" s="1"/>
  <c r="J19" i="5"/>
  <c r="M14" i="26"/>
  <c r="E159" i="32" s="1"/>
  <c r="N14" i="17"/>
  <c r="F720" i="32" s="1"/>
  <c r="N14" i="26"/>
  <c r="F159" i="32" s="1"/>
  <c r="O14" i="17"/>
  <c r="G720" i="32" s="1"/>
  <c r="P14" i="17"/>
  <c r="H720" i="32" s="1"/>
  <c r="Q14" i="17"/>
  <c r="O14" i="26"/>
  <c r="G159" i="32" s="1"/>
  <c r="R14" i="17"/>
  <c r="S14" i="17"/>
  <c r="P14" i="26"/>
  <c r="H159" i="32" s="1"/>
  <c r="T14" i="17"/>
  <c r="Q14" i="26"/>
  <c r="I159" i="32" s="1"/>
  <c r="U14" i="17"/>
  <c r="V14" i="17"/>
  <c r="W14" i="17"/>
  <c r="R14" i="26"/>
  <c r="J159" i="32" s="1"/>
  <c r="X14" i="17"/>
  <c r="S14" i="26"/>
  <c r="K159" i="32" s="1"/>
  <c r="Y14" i="17"/>
  <c r="Z14" i="17"/>
  <c r="T14" i="26"/>
  <c r="L159" i="32" s="1"/>
  <c r="AA14" i="17"/>
  <c r="AB14" i="17"/>
  <c r="U14" i="26"/>
  <c r="M159" i="32" s="1"/>
  <c r="AC14" i="17"/>
  <c r="AD14" i="17"/>
  <c r="AE14" i="17"/>
  <c r="V14" i="26"/>
  <c r="N159" i="32" s="1"/>
  <c r="AF14" i="17"/>
  <c r="AG14" i="17"/>
  <c r="W14" i="26"/>
  <c r="AH14" i="17"/>
  <c r="X14" i="26"/>
  <c r="AI14" i="17"/>
  <c r="C159" i="32" l="1"/>
  <c r="N589" i="32"/>
  <c r="O589" i="32" s="1"/>
  <c r="C720" i="32"/>
  <c r="C64" i="32"/>
  <c r="X39" i="1"/>
  <c r="J14" i="26"/>
  <c r="J14" i="17"/>
  <c r="D402" i="32" l="1"/>
  <c r="L402" i="32"/>
  <c r="M402" i="32"/>
  <c r="P94" i="1" l="1"/>
  <c r="R94" i="1" s="1"/>
  <c r="G16" i="36"/>
  <c r="I16" i="36"/>
  <c r="G18" i="36" l="1"/>
  <c r="G19" i="36" s="1"/>
  <c r="H16" i="36"/>
  <c r="H18" i="36" s="1"/>
  <c r="I18" i="36"/>
  <c r="K16" i="36"/>
  <c r="K18" i="36" s="1"/>
  <c r="R96" i="1"/>
  <c r="R100" i="1"/>
  <c r="R101" i="1"/>
  <c r="S94" i="1"/>
  <c r="I19" i="36" l="1"/>
  <c r="J19" i="36" s="1"/>
  <c r="J17" i="36"/>
  <c r="J14" i="36"/>
  <c r="J18" i="36"/>
  <c r="J13" i="36"/>
  <c r="J15" i="36"/>
  <c r="J16" i="36"/>
  <c r="S100" i="1"/>
  <c r="S101" i="1"/>
  <c r="L15" i="36"/>
  <c r="L17" i="36"/>
  <c r="L13" i="36"/>
  <c r="L14" i="36"/>
  <c r="R103" i="1"/>
  <c r="S96" i="1"/>
  <c r="T94" i="1"/>
  <c r="T96" i="1" s="1"/>
  <c r="I255" i="11"/>
  <c r="L16" i="36"/>
  <c r="S255" i="11" l="1"/>
  <c r="S260" i="11" s="1"/>
  <c r="AE255" i="11"/>
  <c r="AE260" i="11" s="1"/>
  <c r="AQ255" i="11"/>
  <c r="AQ260" i="11" s="1"/>
  <c r="BC255" i="11"/>
  <c r="BC260" i="11" s="1"/>
  <c r="BO255" i="11"/>
  <c r="BO260" i="11" s="1"/>
  <c r="CA255" i="11"/>
  <c r="CA260" i="11" s="1"/>
  <c r="CM255" i="11"/>
  <c r="CM260" i="11" s="1"/>
  <c r="CY255" i="11"/>
  <c r="CY260" i="11" s="1"/>
  <c r="DK255" i="11"/>
  <c r="DK260" i="11" s="1"/>
  <c r="DW255" i="11"/>
  <c r="DW260" i="11" s="1"/>
  <c r="EI255" i="11"/>
  <c r="EI260" i="11" s="1"/>
  <c r="V255" i="11"/>
  <c r="V260" i="11" s="1"/>
  <c r="AH255" i="11"/>
  <c r="AH260" i="11" s="1"/>
  <c r="AT255" i="11"/>
  <c r="AT260" i="11" s="1"/>
  <c r="BF255" i="11"/>
  <c r="BF260" i="11" s="1"/>
  <c r="BR255" i="11"/>
  <c r="BR260" i="11" s="1"/>
  <c r="CD255" i="11"/>
  <c r="CD260" i="11" s="1"/>
  <c r="CP255" i="11"/>
  <c r="CP260" i="11" s="1"/>
  <c r="DB255" i="11"/>
  <c r="DB260" i="11" s="1"/>
  <c r="DN255" i="11"/>
  <c r="DN260" i="11" s="1"/>
  <c r="DZ255" i="11"/>
  <c r="DZ260" i="11" s="1"/>
  <c r="EL255" i="11"/>
  <c r="EL260" i="11" s="1"/>
  <c r="W255" i="11"/>
  <c r="W260" i="11" s="1"/>
  <c r="AI255" i="11"/>
  <c r="AI260" i="11" s="1"/>
  <c r="AU255" i="11"/>
  <c r="AU260" i="11" s="1"/>
  <c r="BG255" i="11"/>
  <c r="BG260" i="11" s="1"/>
  <c r="BS255" i="11"/>
  <c r="BS260" i="11" s="1"/>
  <c r="CE255" i="11"/>
  <c r="CE260" i="11" s="1"/>
  <c r="CQ255" i="11"/>
  <c r="CQ260" i="11" s="1"/>
  <c r="DC255" i="11"/>
  <c r="DC260" i="11" s="1"/>
  <c r="DO255" i="11"/>
  <c r="DO260" i="11" s="1"/>
  <c r="EA255" i="11"/>
  <c r="EA260" i="11" s="1"/>
  <c r="EM255" i="11"/>
  <c r="EM260" i="11" s="1"/>
  <c r="L255" i="11"/>
  <c r="X255" i="11"/>
  <c r="X260" i="11" s="1"/>
  <c r="AJ255" i="11"/>
  <c r="AJ260" i="11" s="1"/>
  <c r="AV255" i="11"/>
  <c r="AV260" i="11" s="1"/>
  <c r="BH255" i="11"/>
  <c r="BH260" i="11" s="1"/>
  <c r="BT255" i="11"/>
  <c r="BT260" i="11" s="1"/>
  <c r="P255" i="11"/>
  <c r="P260" i="11" s="1"/>
  <c r="AB255" i="11"/>
  <c r="AB260" i="11" s="1"/>
  <c r="AN255" i="11"/>
  <c r="AN260" i="11" s="1"/>
  <c r="AZ255" i="11"/>
  <c r="AZ260" i="11" s="1"/>
  <c r="BL255" i="11"/>
  <c r="BL260" i="11" s="1"/>
  <c r="BX255" i="11"/>
  <c r="BX260" i="11" s="1"/>
  <c r="CJ255" i="11"/>
  <c r="CJ260" i="11" s="1"/>
  <c r="CV255" i="11"/>
  <c r="CV260" i="11" s="1"/>
  <c r="DH255" i="11"/>
  <c r="DH260" i="11" s="1"/>
  <c r="DT255" i="11"/>
  <c r="DT260" i="11" s="1"/>
  <c r="EF255" i="11"/>
  <c r="EF260" i="11" s="1"/>
  <c r="R255" i="11"/>
  <c r="R260" i="11" s="1"/>
  <c r="AD255" i="11"/>
  <c r="AD260" i="11" s="1"/>
  <c r="AP255" i="11"/>
  <c r="AP260" i="11" s="1"/>
  <c r="BB255" i="11"/>
  <c r="BB260" i="11" s="1"/>
  <c r="BN255" i="11"/>
  <c r="BN260" i="11" s="1"/>
  <c r="BZ255" i="11"/>
  <c r="BZ260" i="11" s="1"/>
  <c r="CL255" i="11"/>
  <c r="CL260" i="11" s="1"/>
  <c r="CX255" i="11"/>
  <c r="CX260" i="11" s="1"/>
  <c r="DJ255" i="11"/>
  <c r="DJ260" i="11" s="1"/>
  <c r="DV255" i="11"/>
  <c r="DV260" i="11" s="1"/>
  <c r="EH255" i="11"/>
  <c r="EH260" i="11" s="1"/>
  <c r="AC255" i="11"/>
  <c r="AC260" i="11" s="1"/>
  <c r="BA255" i="11"/>
  <c r="BA260" i="11" s="1"/>
  <c r="BY255" i="11"/>
  <c r="BY260" i="11" s="1"/>
  <c r="CT255" i="11"/>
  <c r="CT260" i="11" s="1"/>
  <c r="DP255" i="11"/>
  <c r="DP260" i="11" s="1"/>
  <c r="EJ255" i="11"/>
  <c r="EJ260" i="11" s="1"/>
  <c r="AF255" i="11"/>
  <c r="AF260" i="11" s="1"/>
  <c r="BD255" i="11"/>
  <c r="BD260" i="11" s="1"/>
  <c r="CB255" i="11"/>
  <c r="CB260" i="11" s="1"/>
  <c r="CU255" i="11"/>
  <c r="CU260" i="11" s="1"/>
  <c r="DQ255" i="11"/>
  <c r="DQ260" i="11" s="1"/>
  <c r="EK255" i="11"/>
  <c r="EK260" i="11" s="1"/>
  <c r="AG255" i="11"/>
  <c r="AG260" i="11" s="1"/>
  <c r="BE255" i="11"/>
  <c r="BE260" i="11" s="1"/>
  <c r="CC255" i="11"/>
  <c r="CC260" i="11" s="1"/>
  <c r="CW255" i="11"/>
  <c r="CW260" i="11" s="1"/>
  <c r="DR255" i="11"/>
  <c r="DR260" i="11" s="1"/>
  <c r="EN255" i="11"/>
  <c r="EN260" i="11" s="1"/>
  <c r="M255" i="11"/>
  <c r="M260" i="11" s="1"/>
  <c r="AK255" i="11"/>
  <c r="AK260" i="11" s="1"/>
  <c r="BI255" i="11"/>
  <c r="BI260" i="11" s="1"/>
  <c r="CF255" i="11"/>
  <c r="CF260" i="11" s="1"/>
  <c r="CZ255" i="11"/>
  <c r="CZ260" i="11" s="1"/>
  <c r="DS255" i="11"/>
  <c r="DS260" i="11" s="1"/>
  <c r="EO255" i="11"/>
  <c r="EO260" i="11" s="1"/>
  <c r="N255" i="11"/>
  <c r="N260" i="11" s="1"/>
  <c r="AL255" i="11"/>
  <c r="AL260" i="11" s="1"/>
  <c r="BJ255" i="11"/>
  <c r="BJ260" i="11" s="1"/>
  <c r="CG255" i="11"/>
  <c r="CG260" i="11" s="1"/>
  <c r="DA255" i="11"/>
  <c r="DA260" i="11" s="1"/>
  <c r="DU255" i="11"/>
  <c r="DU260" i="11" s="1"/>
  <c r="EP255" i="11"/>
  <c r="EP260" i="11" s="1"/>
  <c r="O255" i="11"/>
  <c r="O260" i="11" s="1"/>
  <c r="AM255" i="11"/>
  <c r="AM260" i="11" s="1"/>
  <c r="BK255" i="11"/>
  <c r="BK260" i="11" s="1"/>
  <c r="CH255" i="11"/>
  <c r="CH260" i="11" s="1"/>
  <c r="DD255" i="11"/>
  <c r="DD260" i="11" s="1"/>
  <c r="DX255" i="11"/>
  <c r="DX260" i="11" s="1"/>
  <c r="EQ255" i="11"/>
  <c r="EQ260" i="11" s="1"/>
  <c r="Q255" i="11"/>
  <c r="Q260" i="11" s="1"/>
  <c r="AO255" i="11"/>
  <c r="AO260" i="11" s="1"/>
  <c r="BM255" i="11"/>
  <c r="BM260" i="11" s="1"/>
  <c r="CI255" i="11"/>
  <c r="CI260" i="11" s="1"/>
  <c r="DE255" i="11"/>
  <c r="DE260" i="11" s="1"/>
  <c r="DY255" i="11"/>
  <c r="DY260" i="11" s="1"/>
  <c r="T255" i="11"/>
  <c r="T260" i="11" s="1"/>
  <c r="AR255" i="11"/>
  <c r="AR260" i="11" s="1"/>
  <c r="BP255" i="11"/>
  <c r="BP260" i="11" s="1"/>
  <c r="CK255" i="11"/>
  <c r="CK260" i="11" s="1"/>
  <c r="DF255" i="11"/>
  <c r="DF260" i="11" s="1"/>
  <c r="EB255" i="11"/>
  <c r="EB260" i="11" s="1"/>
  <c r="U255" i="11"/>
  <c r="U260" i="11" s="1"/>
  <c r="AS255" i="11"/>
  <c r="AS260" i="11" s="1"/>
  <c r="BQ255" i="11"/>
  <c r="BQ260" i="11" s="1"/>
  <c r="CN255" i="11"/>
  <c r="CN260" i="11" s="1"/>
  <c r="DG255" i="11"/>
  <c r="DG260" i="11" s="1"/>
  <c r="EC255" i="11"/>
  <c r="EC260" i="11" s="1"/>
  <c r="Y255" i="11"/>
  <c r="Y260" i="11" s="1"/>
  <c r="AW255" i="11"/>
  <c r="AW260" i="11" s="1"/>
  <c r="BU255" i="11"/>
  <c r="BU260" i="11" s="1"/>
  <c r="CO255" i="11"/>
  <c r="CO260" i="11" s="1"/>
  <c r="DI255" i="11"/>
  <c r="DI260" i="11" s="1"/>
  <c r="ED255" i="11"/>
  <c r="ED260" i="11" s="1"/>
  <c r="Z255" i="11"/>
  <c r="Z260" i="11" s="1"/>
  <c r="AX255" i="11"/>
  <c r="AX260" i="11" s="1"/>
  <c r="BV255" i="11"/>
  <c r="BV260" i="11" s="1"/>
  <c r="CR255" i="11"/>
  <c r="CR260" i="11" s="1"/>
  <c r="DL255" i="11"/>
  <c r="DL260" i="11" s="1"/>
  <c r="EE255" i="11"/>
  <c r="EE260" i="11" s="1"/>
  <c r="AA255" i="11"/>
  <c r="AA260" i="11" s="1"/>
  <c r="AY255" i="11"/>
  <c r="AY260" i="11" s="1"/>
  <c r="BW255" i="11"/>
  <c r="BW260" i="11" s="1"/>
  <c r="CS255" i="11"/>
  <c r="CS260" i="11" s="1"/>
  <c r="DM255" i="11"/>
  <c r="DM260" i="11" s="1"/>
  <c r="EG255" i="11"/>
  <c r="EG260" i="11" s="1"/>
  <c r="E103" i="36"/>
  <c r="C103" i="36" s="1"/>
  <c r="E11" i="36"/>
  <c r="D104" i="36" s="1"/>
  <c r="C104" i="36" s="1"/>
  <c r="F104" i="36" s="1"/>
  <c r="G104" i="36" s="1"/>
  <c r="D51" i="2"/>
  <c r="G51" i="2" s="1"/>
  <c r="L18" i="36"/>
  <c r="I25" i="19" l="1"/>
  <c r="I26" i="19" s="1"/>
  <c r="L26" i="19" s="1"/>
  <c r="L33" i="19" s="1"/>
  <c r="D52" i="2"/>
  <c r="G52" i="2" s="1"/>
  <c r="G53" i="2" s="1"/>
  <c r="J255" i="11"/>
  <c r="L260" i="11"/>
  <c r="L256" i="11"/>
  <c r="G106" i="36"/>
  <c r="L261" i="11" l="1"/>
  <c r="L262" i="11" s="1"/>
  <c r="J260" i="11"/>
  <c r="W26" i="19"/>
  <c r="AI26" i="19"/>
  <c r="AU26" i="19"/>
  <c r="BG26" i="19"/>
  <c r="BS26" i="19"/>
  <c r="CE26" i="19"/>
  <c r="CQ26" i="19"/>
  <c r="DC26" i="19"/>
  <c r="DO26" i="19"/>
  <c r="EA26" i="19"/>
  <c r="EM26" i="19"/>
  <c r="O26" i="19"/>
  <c r="AB26" i="19"/>
  <c r="AO26" i="19"/>
  <c r="BB26" i="19"/>
  <c r="BO26" i="19"/>
  <c r="CB26" i="19"/>
  <c r="CO26" i="19"/>
  <c r="DB26" i="19"/>
  <c r="DP26" i="19"/>
  <c r="EC26" i="19"/>
  <c r="EP26" i="19"/>
  <c r="P26" i="19"/>
  <c r="AC26" i="19"/>
  <c r="AP26" i="19"/>
  <c r="BC26" i="19"/>
  <c r="BP26" i="19"/>
  <c r="CC26" i="19"/>
  <c r="CP26" i="19"/>
  <c r="DD26" i="19"/>
  <c r="DQ26" i="19"/>
  <c r="ED26" i="19"/>
  <c r="EQ26" i="19"/>
  <c r="Q26" i="19"/>
  <c r="AD26" i="19"/>
  <c r="AQ26" i="19"/>
  <c r="BD26" i="19"/>
  <c r="BQ26" i="19"/>
  <c r="CD26" i="19"/>
  <c r="CR26" i="19"/>
  <c r="DE26" i="19"/>
  <c r="DR26" i="19"/>
  <c r="EE26" i="19"/>
  <c r="R26" i="19"/>
  <c r="AE26" i="19"/>
  <c r="AR26" i="19"/>
  <c r="BE26" i="19"/>
  <c r="BR26" i="19"/>
  <c r="CF26" i="19"/>
  <c r="CS26" i="19"/>
  <c r="DF26" i="19"/>
  <c r="DS26" i="19"/>
  <c r="EF26" i="19"/>
  <c r="S26" i="19"/>
  <c r="AF26" i="19"/>
  <c r="AS26" i="19"/>
  <c r="BF26" i="19"/>
  <c r="BT26" i="19"/>
  <c r="CG26" i="19"/>
  <c r="CT26" i="19"/>
  <c r="DG26" i="19"/>
  <c r="DT26" i="19"/>
  <c r="EG26" i="19"/>
  <c r="T26" i="19"/>
  <c r="AG26" i="19"/>
  <c r="AT26" i="19"/>
  <c r="BH26" i="19"/>
  <c r="BU26" i="19"/>
  <c r="CH26" i="19"/>
  <c r="CU26" i="19"/>
  <c r="DH26" i="19"/>
  <c r="DU26" i="19"/>
  <c r="EH26" i="19"/>
  <c r="U26" i="19"/>
  <c r="AH26" i="19"/>
  <c r="AV26" i="19"/>
  <c r="BI26" i="19"/>
  <c r="BV26" i="19"/>
  <c r="CI26" i="19"/>
  <c r="CV26" i="19"/>
  <c r="DI26" i="19"/>
  <c r="DV26" i="19"/>
  <c r="EI26" i="19"/>
  <c r="V26" i="19"/>
  <c r="AJ26" i="19"/>
  <c r="AW26" i="19"/>
  <c r="BJ26" i="19"/>
  <c r="BW26" i="19"/>
  <c r="CJ26" i="19"/>
  <c r="CW26" i="19"/>
  <c r="DJ26" i="19"/>
  <c r="DW26" i="19"/>
  <c r="EJ26" i="19"/>
  <c r="Y26" i="19"/>
  <c r="AL26" i="19"/>
  <c r="AY26" i="19"/>
  <c r="BL26" i="19"/>
  <c r="BY26" i="19"/>
  <c r="CL26" i="19"/>
  <c r="CY26" i="19"/>
  <c r="DL26" i="19"/>
  <c r="DY26" i="19"/>
  <c r="EL26" i="19"/>
  <c r="M26" i="19"/>
  <c r="Z26" i="19"/>
  <c r="AM26" i="19"/>
  <c r="AZ26" i="19"/>
  <c r="BM26" i="19"/>
  <c r="BZ26" i="19"/>
  <c r="CM26" i="19"/>
  <c r="CZ26" i="19"/>
  <c r="DM26" i="19"/>
  <c r="DZ26" i="19"/>
  <c r="EN26" i="19"/>
  <c r="AA26" i="19"/>
  <c r="DA26" i="19"/>
  <c r="X26" i="19"/>
  <c r="AK26" i="19"/>
  <c r="DK26" i="19"/>
  <c r="AN26" i="19"/>
  <c r="DN26" i="19"/>
  <c r="AX26" i="19"/>
  <c r="DX26" i="19"/>
  <c r="BA26" i="19"/>
  <c r="EB26" i="19"/>
  <c r="BK26" i="19"/>
  <c r="EK26" i="19"/>
  <c r="CX26" i="19"/>
  <c r="BN26" i="19"/>
  <c r="EO26" i="19"/>
  <c r="BX26" i="19"/>
  <c r="CA26" i="19"/>
  <c r="CK26" i="19"/>
  <c r="N26" i="19"/>
  <c r="CN26" i="19"/>
  <c r="L257" i="11"/>
  <c r="DB33" i="19" l="1"/>
  <c r="S33" i="19"/>
  <c r="EB33" i="19"/>
  <c r="BH33" i="19"/>
  <c r="BA33" i="19"/>
  <c r="DD33" i="19"/>
  <c r="DX33" i="19"/>
  <c r="CB33" i="19"/>
  <c r="AV33" i="19"/>
  <c r="AU33" i="19"/>
  <c r="DJ33" i="19"/>
  <c r="EE33" i="19"/>
  <c r="DR33" i="19"/>
  <c r="AG33" i="19"/>
  <c r="AI33" i="19"/>
  <c r="DM33" i="19"/>
  <c r="DY33" i="19"/>
  <c r="CQ33" i="19"/>
  <c r="AT33" i="19"/>
  <c r="EF33" i="19"/>
  <c r="N33" i="19"/>
  <c r="DS33" i="19"/>
  <c r="CC33" i="19"/>
  <c r="BJ33" i="19"/>
  <c r="CD33" i="19"/>
  <c r="BZ33" i="19"/>
  <c r="CS33" i="19"/>
  <c r="AO33" i="19"/>
  <c r="O33" i="19"/>
  <c r="K37" i="15"/>
  <c r="M259" i="11"/>
  <c r="K36" i="15"/>
  <c r="S98" i="1" s="1"/>
  <c r="M254" i="11"/>
  <c r="CW33" i="19"/>
  <c r="CN33" i="19"/>
  <c r="BI33" i="19"/>
  <c r="CZ33" i="19"/>
  <c r="CR33" i="19"/>
  <c r="AP33" i="19"/>
  <c r="BV33" i="19"/>
  <c r="CI33" i="19"/>
  <c r="DQ33" i="19"/>
  <c r="DL33" i="19"/>
  <c r="CE33" i="19"/>
  <c r="CY33" i="19"/>
  <c r="DE33" i="19"/>
  <c r="BS33" i="19"/>
  <c r="AX33" i="19"/>
  <c r="BW33" i="19"/>
  <c r="BG33" i="19"/>
  <c r="CK33" i="19"/>
  <c r="CM33" i="19"/>
  <c r="BY33" i="19"/>
  <c r="AH33" i="19"/>
  <c r="DF33" i="19"/>
  <c r="BB33" i="19"/>
  <c r="CA33" i="19"/>
  <c r="BL33" i="19"/>
  <c r="U33" i="19"/>
  <c r="BQ33" i="19"/>
  <c r="AY33" i="19"/>
  <c r="EH33" i="19"/>
  <c r="CF33" i="19"/>
  <c r="W33" i="19"/>
  <c r="EO33" i="19"/>
  <c r="AZ33" i="19"/>
  <c r="V33" i="19"/>
  <c r="CT33" i="19"/>
  <c r="AC33" i="19"/>
  <c r="BN33" i="19"/>
  <c r="AK33" i="19"/>
  <c r="Y33" i="19"/>
  <c r="EI33" i="19"/>
  <c r="DH33" i="19"/>
  <c r="BE33" i="19"/>
  <c r="AD33" i="19"/>
  <c r="EM33" i="19"/>
  <c r="X33" i="19"/>
  <c r="Z33" i="19"/>
  <c r="DV33" i="19"/>
  <c r="CU33" i="19"/>
  <c r="BT33" i="19"/>
  <c r="AR33" i="19"/>
  <c r="EP33" i="19"/>
  <c r="EA33" i="19"/>
  <c r="EK33" i="19"/>
  <c r="DA33" i="19"/>
  <c r="M33" i="19"/>
  <c r="EJ33" i="19"/>
  <c r="DI33" i="19"/>
  <c r="CH33" i="19"/>
  <c r="BF33" i="19"/>
  <c r="AE33" i="19"/>
  <c r="EQ33" i="19"/>
  <c r="EC33" i="19"/>
  <c r="DO33" i="19"/>
  <c r="EN33" i="19"/>
  <c r="AF33" i="19"/>
  <c r="DZ33" i="19"/>
  <c r="CO33" i="19"/>
  <c r="CJ33" i="19"/>
  <c r="CP33" i="19"/>
  <c r="CL33" i="19"/>
  <c r="T33" i="19"/>
  <c r="BO33" i="19"/>
  <c r="DN33" i="19"/>
  <c r="EG33" i="19"/>
  <c r="BP33" i="19"/>
  <c r="AN33" i="19"/>
  <c r="AW33" i="19"/>
  <c r="DT33" i="19"/>
  <c r="BC33" i="19"/>
  <c r="BX33" i="19"/>
  <c r="BM33" i="19"/>
  <c r="AJ33" i="19"/>
  <c r="DG33" i="19"/>
  <c r="BD33" i="19"/>
  <c r="AB33" i="19"/>
  <c r="DK33" i="19"/>
  <c r="AL33" i="19"/>
  <c r="DU33" i="19"/>
  <c r="BR33" i="19"/>
  <c r="AQ33" i="19"/>
  <c r="AM33" i="19"/>
  <c r="CG33" i="19"/>
  <c r="P33" i="19"/>
  <c r="CX33" i="19"/>
  <c r="J26" i="19"/>
  <c r="Q33" i="19"/>
  <c r="BK33" i="19"/>
  <c r="AA33" i="19"/>
  <c r="EL33" i="19"/>
  <c r="DW33" i="19"/>
  <c r="CV33" i="19"/>
  <c r="BU33" i="19"/>
  <c r="AS33" i="19"/>
  <c r="R33" i="19"/>
  <c r="ED33" i="19"/>
  <c r="DP33" i="19"/>
  <c r="DC33" i="19"/>
  <c r="L73" i="11"/>
  <c r="K31" i="18" l="1"/>
  <c r="K35" i="15"/>
  <c r="D656" i="32"/>
  <c r="S97" i="1"/>
  <c r="M261" i="11"/>
  <c r="M262" i="11" s="1"/>
  <c r="K32" i="18"/>
  <c r="D657" i="32"/>
  <c r="T97" i="1"/>
  <c r="M256" i="11"/>
  <c r="I29" i="19"/>
  <c r="L34" i="19"/>
  <c r="L35" i="19" s="1"/>
  <c r="M32" i="19" s="1"/>
  <c r="J33" i="19"/>
  <c r="L107" i="5"/>
  <c r="L74" i="11"/>
  <c r="M71" i="11" s="1"/>
  <c r="M28" i="19" l="1"/>
  <c r="M34" i="19"/>
  <c r="M35" i="19" s="1"/>
  <c r="N32" i="19" s="1"/>
  <c r="D226" i="32"/>
  <c r="D788" i="32"/>
  <c r="L102" i="17"/>
  <c r="L102" i="26"/>
  <c r="M73" i="11"/>
  <c r="L37" i="15"/>
  <c r="N259" i="11"/>
  <c r="M257" i="11"/>
  <c r="N84" i="6"/>
  <c r="K30" i="18"/>
  <c r="D225" i="32"/>
  <c r="D787" i="32"/>
  <c r="M45" i="19" l="1"/>
  <c r="N42" i="19" s="1"/>
  <c r="N28" i="19" s="1"/>
  <c r="M107" i="5"/>
  <c r="N85" i="6"/>
  <c r="N86" i="6" s="1"/>
  <c r="O83" i="6" s="1"/>
  <c r="L36" i="15"/>
  <c r="L35" i="15" s="1"/>
  <c r="N254" i="11"/>
  <c r="M74" i="11"/>
  <c r="N71" i="11" s="1"/>
  <c r="N261" i="11"/>
  <c r="N262" i="11" s="1"/>
  <c r="N34" i="19"/>
  <c r="N35" i="19" s="1"/>
  <c r="O32" i="19" s="1"/>
  <c r="N45" i="19" l="1"/>
  <c r="O42" i="19" s="1"/>
  <c r="O28" i="19" s="1"/>
  <c r="M37" i="15"/>
  <c r="O259" i="11"/>
  <c r="N256" i="11"/>
  <c r="N257" i="11" s="1"/>
  <c r="O34" i="19"/>
  <c r="O35" i="19" s="1"/>
  <c r="P32" i="19" s="1"/>
  <c r="O84" i="6"/>
  <c r="M108" i="5"/>
  <c r="O45" i="19" l="1"/>
  <c r="P42" i="19" s="1"/>
  <c r="P34" i="19"/>
  <c r="P35" i="19" s="1"/>
  <c r="Q32" i="19" s="1"/>
  <c r="O261" i="11"/>
  <c r="O262" i="11" s="1"/>
  <c r="N73" i="11"/>
  <c r="M36" i="15"/>
  <c r="M35" i="15" s="1"/>
  <c r="O254" i="11"/>
  <c r="O85" i="6"/>
  <c r="P45" i="19" l="1"/>
  <c r="Q42" i="19" s="1"/>
  <c r="P28" i="19"/>
  <c r="N37" i="15"/>
  <c r="E657" i="32" s="1"/>
  <c r="P259" i="11"/>
  <c r="Q34" i="19"/>
  <c r="Q35" i="19" s="1"/>
  <c r="R32" i="19" s="1"/>
  <c r="N108" i="5"/>
  <c r="O256" i="11"/>
  <c r="O86" i="6"/>
  <c r="P83" i="6" s="1"/>
  <c r="N107" i="5"/>
  <c r="N74" i="11"/>
  <c r="O71" i="11" s="1"/>
  <c r="Q45" i="19" l="1"/>
  <c r="R42" i="19" s="1"/>
  <c r="Q28" i="19"/>
  <c r="P84" i="6"/>
  <c r="P85" i="6" s="1"/>
  <c r="P86" i="6" s="1"/>
  <c r="Q83" i="6" s="1"/>
  <c r="R34" i="19"/>
  <c r="R35" i="19" s="1"/>
  <c r="S32" i="19" s="1"/>
  <c r="O73" i="11"/>
  <c r="P261" i="11"/>
  <c r="P262" i="11" s="1"/>
  <c r="O257" i="11"/>
  <c r="S34" i="19" l="1"/>
  <c r="S35" i="19" s="1"/>
  <c r="T32" i="19" s="1"/>
  <c r="O37" i="15"/>
  <c r="Q259" i="11"/>
  <c r="O107" i="5"/>
  <c r="O108" i="5"/>
  <c r="N36" i="15"/>
  <c r="P254" i="11"/>
  <c r="O74" i="11"/>
  <c r="P71" i="11" s="1"/>
  <c r="S28" i="19" l="1"/>
  <c r="T34" i="19"/>
  <c r="T35" i="19" s="1"/>
  <c r="U32" i="19" s="1"/>
  <c r="P256" i="11"/>
  <c r="P257" i="11" s="1"/>
  <c r="N35" i="15"/>
  <c r="E656" i="32"/>
  <c r="Q84" i="6"/>
  <c r="Q261" i="11"/>
  <c r="Q262" i="11" s="1"/>
  <c r="T28" i="19" l="1"/>
  <c r="P73" i="11"/>
  <c r="O36" i="15"/>
  <c r="O35" i="15" s="1"/>
  <c r="Q254" i="11"/>
  <c r="Q85" i="6"/>
  <c r="Q86" i="6" s="1"/>
  <c r="R83" i="6" s="1"/>
  <c r="P37" i="15"/>
  <c r="R259" i="11"/>
  <c r="U34" i="19"/>
  <c r="U35" i="19" s="1"/>
  <c r="V32" i="19" s="1"/>
  <c r="U28" i="19" l="1"/>
  <c r="V34" i="19"/>
  <c r="V35" i="19" s="1"/>
  <c r="W32" i="19" s="1"/>
  <c r="P107" i="5"/>
  <c r="P74" i="11"/>
  <c r="Q71" i="11" s="1"/>
  <c r="P108" i="5"/>
  <c r="Q256" i="11"/>
  <c r="Q73" i="11" s="1"/>
  <c r="Q107" i="5" s="1"/>
  <c r="R261" i="11"/>
  <c r="R262" i="11" s="1"/>
  <c r="V28" i="19" l="1"/>
  <c r="Q257" i="11"/>
  <c r="Q74" i="11"/>
  <c r="R71" i="11" s="1"/>
  <c r="D73" i="1" s="1"/>
  <c r="R84" i="6"/>
  <c r="W34" i="19"/>
  <c r="W35" i="19" s="1"/>
  <c r="X32" i="19" s="1"/>
  <c r="Q37" i="15"/>
  <c r="S259" i="11"/>
  <c r="W28" i="19" l="1"/>
  <c r="X34" i="19"/>
  <c r="X35" i="19" s="1"/>
  <c r="Y32" i="19" s="1"/>
  <c r="R79" i="19"/>
  <c r="Z79" i="19" s="1"/>
  <c r="X116" i="21" s="1"/>
  <c r="C79" i="21"/>
  <c r="E298" i="32"/>
  <c r="R85" i="6"/>
  <c r="R86" i="6" s="1"/>
  <c r="S83" i="6" s="1"/>
  <c r="S84" i="6"/>
  <c r="P36" i="15"/>
  <c r="P35" i="15" s="1"/>
  <c r="R254" i="11"/>
  <c r="S261" i="11"/>
  <c r="S262" i="11" s="1"/>
  <c r="L32" i="18"/>
  <c r="E788" i="32" s="1"/>
  <c r="F657" i="32"/>
  <c r="R37" i="15" l="1"/>
  <c r="T259" i="11"/>
  <c r="S85" i="6"/>
  <c r="Q108" i="5"/>
  <c r="M298" i="32"/>
  <c r="L298" i="32"/>
  <c r="J299" i="32"/>
  <c r="E302" i="32"/>
  <c r="E319" i="32" s="1"/>
  <c r="E349" i="32"/>
  <c r="D298" i="32"/>
  <c r="R256" i="11"/>
  <c r="Y34" i="19"/>
  <c r="Y35" i="19" s="1"/>
  <c r="Z32" i="19" s="1"/>
  <c r="Y28" i="19" l="1"/>
  <c r="R108" i="5"/>
  <c r="S86" i="6"/>
  <c r="T83" i="6" s="1"/>
  <c r="R73" i="11"/>
  <c r="R257" i="11"/>
  <c r="Z34" i="19"/>
  <c r="Z35" i="19" s="1"/>
  <c r="AA32" i="19" s="1"/>
  <c r="E73" i="1"/>
  <c r="M103" i="17"/>
  <c r="E353" i="32"/>
  <c r="J300" i="32"/>
  <c r="L349" i="32"/>
  <c r="J350" i="32"/>
  <c r="D349" i="32"/>
  <c r="M349" i="32"/>
  <c r="T261" i="11"/>
  <c r="T262" i="11" s="1"/>
  <c r="Z28" i="19" l="1"/>
  <c r="R107" i="5"/>
  <c r="M102" i="17" s="1"/>
  <c r="R74" i="11"/>
  <c r="S71" i="11" s="1"/>
  <c r="T84" i="6" s="1"/>
  <c r="Q36" i="15"/>
  <c r="L31" i="18" s="1"/>
  <c r="S254" i="11"/>
  <c r="S256" i="11" s="1"/>
  <c r="S73" i="11" s="1"/>
  <c r="S107" i="5" s="1"/>
  <c r="J301" i="32"/>
  <c r="S37" i="15"/>
  <c r="U259" i="11"/>
  <c r="Q79" i="21"/>
  <c r="X79" i="21" s="1"/>
  <c r="J351" i="32"/>
  <c r="D79" i="21"/>
  <c r="F299" i="32"/>
  <c r="AA34" i="19"/>
  <c r="AA35" i="19" s="1"/>
  <c r="AB32" i="19" s="1"/>
  <c r="E370" i="32"/>
  <c r="AC78" i="21" l="1"/>
  <c r="AE78" i="21" s="1"/>
  <c r="AA28" i="19"/>
  <c r="Q35" i="15"/>
  <c r="F656" i="32"/>
  <c r="J302" i="32"/>
  <c r="S257" i="11"/>
  <c r="Q80" i="21"/>
  <c r="X80" i="21" s="1"/>
  <c r="AC79" i="21" s="1"/>
  <c r="J352" i="32"/>
  <c r="T85" i="6"/>
  <c r="S108" i="5" s="1"/>
  <c r="S74" i="11"/>
  <c r="T71" i="11" s="1"/>
  <c r="L299" i="32"/>
  <c r="H299" i="32"/>
  <c r="AB34" i="19"/>
  <c r="AB35" i="19" s="1"/>
  <c r="AC32" i="19" s="1"/>
  <c r="L30" i="18"/>
  <c r="E787" i="32"/>
  <c r="U261" i="11"/>
  <c r="U262" i="11" s="1"/>
  <c r="AB28" i="19" l="1"/>
  <c r="J303" i="32"/>
  <c r="AC34" i="19"/>
  <c r="AC35" i="19" s="1"/>
  <c r="AD32" i="19" s="1"/>
  <c r="U84" i="6"/>
  <c r="T86" i="6"/>
  <c r="U83" i="6" s="1"/>
  <c r="Q81" i="21"/>
  <c r="X81" i="21" s="1"/>
  <c r="AC80" i="21" s="1"/>
  <c r="J353" i="32"/>
  <c r="T37" i="15"/>
  <c r="G657" i="32" s="1"/>
  <c r="V259" i="11"/>
  <c r="R36" i="15"/>
  <c r="R35" i="15" s="1"/>
  <c r="T254" i="11"/>
  <c r="AC28" i="19" l="1"/>
  <c r="J304" i="32"/>
  <c r="AD34" i="19"/>
  <c r="AD35" i="19" s="1"/>
  <c r="AE32" i="19" s="1"/>
  <c r="R80" i="19"/>
  <c r="Z80" i="19" s="1"/>
  <c r="X117" i="21" s="1"/>
  <c r="T256" i="11"/>
  <c r="T73" i="11" s="1"/>
  <c r="V261" i="11"/>
  <c r="V262" i="11" s="1"/>
  <c r="Q82" i="21"/>
  <c r="X82" i="21" s="1"/>
  <c r="AC81" i="21" s="1"/>
  <c r="J354" i="32"/>
  <c r="U85" i="6"/>
  <c r="T108" i="5" s="1"/>
  <c r="J305" i="32" l="1"/>
  <c r="U37" i="15"/>
  <c r="W259" i="11"/>
  <c r="U86" i="6"/>
  <c r="V83" i="6" s="1"/>
  <c r="T107" i="5"/>
  <c r="T74" i="11"/>
  <c r="U71" i="11" s="1"/>
  <c r="Q83" i="21"/>
  <c r="X83" i="21" s="1"/>
  <c r="AC82" i="21" s="1"/>
  <c r="J355" i="32"/>
  <c r="T257" i="11"/>
  <c r="AE34" i="19"/>
  <c r="AE35" i="19" s="1"/>
  <c r="AF32" i="19" s="1"/>
  <c r="AE28" i="19" l="1"/>
  <c r="J306" i="32"/>
  <c r="J307" i="32" s="1"/>
  <c r="AF34" i="19"/>
  <c r="AF35" i="19" s="1"/>
  <c r="AG32" i="19" s="1"/>
  <c r="V84" i="6"/>
  <c r="S36" i="15"/>
  <c r="S35" i="15" s="1"/>
  <c r="U254" i="11"/>
  <c r="W261" i="11"/>
  <c r="W262" i="11" s="1"/>
  <c r="Q84" i="21"/>
  <c r="X84" i="21" s="1"/>
  <c r="AC83" i="21" s="1"/>
  <c r="J356" i="32"/>
  <c r="AF28" i="19" l="1"/>
  <c r="J308" i="32"/>
  <c r="V37" i="15"/>
  <c r="X259" i="11"/>
  <c r="AG34" i="19"/>
  <c r="AG35" i="19" s="1"/>
  <c r="AH32" i="19" s="1"/>
  <c r="V85" i="6"/>
  <c r="U108" i="5" s="1"/>
  <c r="Q85" i="21"/>
  <c r="X85" i="21" s="1"/>
  <c r="AC84" i="21" s="1"/>
  <c r="J357" i="32"/>
  <c r="U256" i="11"/>
  <c r="U73" i="11" s="1"/>
  <c r="AG28" i="19" l="1"/>
  <c r="J309" i="32"/>
  <c r="AH34" i="19"/>
  <c r="AH35" i="19" s="1"/>
  <c r="AI32" i="19" s="1"/>
  <c r="Q86" i="21"/>
  <c r="X86" i="21" s="1"/>
  <c r="AC85" i="21" s="1"/>
  <c r="J358" i="32"/>
  <c r="U107" i="5"/>
  <c r="U74" i="11"/>
  <c r="V71" i="11" s="1"/>
  <c r="V86" i="6"/>
  <c r="W83" i="6" s="1"/>
  <c r="U257" i="11"/>
  <c r="X261" i="11"/>
  <c r="X262" i="11" s="1"/>
  <c r="AH28" i="19" l="1"/>
  <c r="J310" i="32"/>
  <c r="W37" i="15"/>
  <c r="Y259" i="11"/>
  <c r="AI34" i="19"/>
  <c r="AI35" i="19" s="1"/>
  <c r="AJ32" i="19" s="1"/>
  <c r="Q87" i="21"/>
  <c r="X87" i="21" s="1"/>
  <c r="AC86" i="21" s="1"/>
  <c r="J359" i="32"/>
  <c r="W84" i="6"/>
  <c r="W85" i="6" s="1"/>
  <c r="V108" i="5" s="1"/>
  <c r="T36" i="15"/>
  <c r="V254" i="11"/>
  <c r="AI28" i="19" l="1"/>
  <c r="R81" i="19"/>
  <c r="Z81" i="19" s="1"/>
  <c r="X118" i="21" s="1"/>
  <c r="J311" i="32"/>
  <c r="J312" i="32" s="1"/>
  <c r="J313" i="32" s="1"/>
  <c r="J314" i="32" s="1"/>
  <c r="J315" i="32" s="1"/>
  <c r="W86" i="6"/>
  <c r="X83" i="6" s="1"/>
  <c r="V256" i="11"/>
  <c r="V73" i="11" s="1"/>
  <c r="T35" i="15"/>
  <c r="G656" i="32"/>
  <c r="AJ34" i="19"/>
  <c r="AJ35" i="19" s="1"/>
  <c r="AK32" i="19" s="1"/>
  <c r="Y261" i="11"/>
  <c r="Y262" i="11" s="1"/>
  <c r="Q88" i="21"/>
  <c r="X88" i="21" s="1"/>
  <c r="AC87" i="21" s="1"/>
  <c r="J360" i="32"/>
  <c r="M32" i="18"/>
  <c r="H657" i="32"/>
  <c r="J316" i="32" l="1"/>
  <c r="J317" i="32" s="1"/>
  <c r="J318" i="32" s="1"/>
  <c r="AK34" i="19"/>
  <c r="AK35" i="19" s="1"/>
  <c r="AL32" i="19" s="1"/>
  <c r="E226" i="32"/>
  <c r="F788" i="32"/>
  <c r="X37" i="15"/>
  <c r="Z259" i="11"/>
  <c r="Q89" i="21"/>
  <c r="X89" i="21" s="1"/>
  <c r="AC88" i="21" s="1"/>
  <c r="J361" i="32"/>
  <c r="V107" i="5"/>
  <c r="V74" i="11"/>
  <c r="W71" i="11" s="1"/>
  <c r="V257" i="11"/>
  <c r="AK28" i="19" l="1"/>
  <c r="J319" i="32"/>
  <c r="Q90" i="21"/>
  <c r="X90" i="21" s="1"/>
  <c r="AC89" i="21" s="1"/>
  <c r="J362" i="32"/>
  <c r="X84" i="6"/>
  <c r="Z261" i="11"/>
  <c r="Z262" i="11" s="1"/>
  <c r="AL34" i="19"/>
  <c r="AL35" i="19" s="1"/>
  <c r="AM32" i="19" s="1"/>
  <c r="U36" i="15"/>
  <c r="U35" i="15" s="1"/>
  <c r="W254" i="11"/>
  <c r="AL28" i="19" l="1"/>
  <c r="Y37" i="15"/>
  <c r="AA259" i="11"/>
  <c r="Q91" i="21"/>
  <c r="X91" i="21" s="1"/>
  <c r="AC90" i="21" s="1"/>
  <c r="J363" i="32"/>
  <c r="AM34" i="19"/>
  <c r="AM35" i="19" s="1"/>
  <c r="AN32" i="19" s="1"/>
  <c r="X85" i="6"/>
  <c r="W256" i="11"/>
  <c r="W73" i="11" s="1"/>
  <c r="AM28" i="19" l="1"/>
  <c r="W108" i="5"/>
  <c r="X86" i="6"/>
  <c r="Y83" i="6" s="1"/>
  <c r="AN34" i="19"/>
  <c r="AN35" i="19" s="1"/>
  <c r="AO32" i="19" s="1"/>
  <c r="Q92" i="21"/>
  <c r="X92" i="21" s="1"/>
  <c r="AC91" i="21" s="1"/>
  <c r="J364" i="32"/>
  <c r="W257" i="11"/>
  <c r="W107" i="5"/>
  <c r="W74" i="11"/>
  <c r="X71" i="11" s="1"/>
  <c r="AA261" i="11"/>
  <c r="AA262" i="11" s="1"/>
  <c r="AN28" i="19" l="1"/>
  <c r="Z37" i="15"/>
  <c r="I657" i="32" s="1"/>
  <c r="AB259" i="11"/>
  <c r="V36" i="15"/>
  <c r="V35" i="15" s="1"/>
  <c r="X254" i="11"/>
  <c r="Q93" i="21"/>
  <c r="X93" i="21" s="1"/>
  <c r="AC92" i="21" s="1"/>
  <c r="J365" i="32"/>
  <c r="Y84" i="6"/>
  <c r="AO34" i="19"/>
  <c r="AO35" i="19" s="1"/>
  <c r="AP32" i="19" s="1"/>
  <c r="AO28" i="19" l="1"/>
  <c r="AB261" i="11"/>
  <c r="AB262" i="11" s="1"/>
  <c r="AP34" i="19"/>
  <c r="AP35" i="19" s="1"/>
  <c r="AQ32" i="19" s="1"/>
  <c r="R82" i="19"/>
  <c r="Z82" i="19" s="1"/>
  <c r="X119" i="21" s="1"/>
  <c r="Q94" i="21"/>
  <c r="X94" i="21" s="1"/>
  <c r="AC93" i="21" s="1"/>
  <c r="J366" i="32"/>
  <c r="Y85" i="6"/>
  <c r="X256" i="11"/>
  <c r="X73" i="11" l="1"/>
  <c r="X257" i="11"/>
  <c r="X108" i="5"/>
  <c r="Y86" i="6"/>
  <c r="Z83" i="6" s="1"/>
  <c r="AA37" i="15"/>
  <c r="AC259" i="11"/>
  <c r="Q95" i="21"/>
  <c r="X95" i="21" s="1"/>
  <c r="AC94" i="21" s="1"/>
  <c r="J367" i="32"/>
  <c r="AQ34" i="19"/>
  <c r="AQ35" i="19" s="1"/>
  <c r="AR32" i="19" s="1"/>
  <c r="AQ28" i="19" l="1"/>
  <c r="W36" i="15"/>
  <c r="Y254" i="11"/>
  <c r="Y256" i="11" s="1"/>
  <c r="Y73" i="11" s="1"/>
  <c r="Y107" i="5" s="1"/>
  <c r="X107" i="5"/>
  <c r="X74" i="11"/>
  <c r="Y71" i="11" s="1"/>
  <c r="Z84" i="6" s="1"/>
  <c r="AR34" i="19"/>
  <c r="AR35" i="19" s="1"/>
  <c r="AS32" i="19" s="1"/>
  <c r="Q96" i="21"/>
  <c r="X96" i="21" s="1"/>
  <c r="AC95" i="21" s="1"/>
  <c r="J368" i="32"/>
  <c r="AC261" i="11"/>
  <c r="AC262" i="11" s="1"/>
  <c r="AR28" i="19" l="1"/>
  <c r="M31" i="18"/>
  <c r="W35" i="15"/>
  <c r="H656" i="32"/>
  <c r="AB37" i="15"/>
  <c r="AD259" i="11"/>
  <c r="Q97" i="21"/>
  <c r="X97" i="21" s="1"/>
  <c r="AC96" i="21" s="1"/>
  <c r="J369" i="32"/>
  <c r="Y257" i="11"/>
  <c r="AS34" i="19"/>
  <c r="AS35" i="19" s="1"/>
  <c r="AT32" i="19" s="1"/>
  <c r="Z85" i="6"/>
  <c r="Y74" i="11"/>
  <c r="Z71" i="11" s="1"/>
  <c r="AS28" i="19" l="1"/>
  <c r="M30" i="18"/>
  <c r="F787" i="32"/>
  <c r="E225" i="32"/>
  <c r="Y108" i="5"/>
  <c r="Z86" i="6"/>
  <c r="AA83" i="6" s="1"/>
  <c r="AT34" i="19"/>
  <c r="AT35" i="19" s="1"/>
  <c r="AU32" i="19" s="1"/>
  <c r="AA84" i="6"/>
  <c r="X36" i="15"/>
  <c r="X35" i="15" s="1"/>
  <c r="Z254" i="11"/>
  <c r="AD261" i="11"/>
  <c r="AD262" i="11" s="1"/>
  <c r="Q98" i="21"/>
  <c r="X98" i="21" s="1"/>
  <c r="J370" i="32"/>
  <c r="X100" i="21" l="1"/>
  <c r="AC98" i="21"/>
  <c r="AC97" i="21"/>
  <c r="X99" i="21"/>
  <c r="AT28" i="19"/>
  <c r="AU34" i="19"/>
  <c r="AU35" i="19" s="1"/>
  <c r="AV32" i="19" s="1"/>
  <c r="Z256" i="11"/>
  <c r="Z73" i="11" s="1"/>
  <c r="U100" i="21"/>
  <c r="Q99" i="21"/>
  <c r="AC37" i="15"/>
  <c r="AE259" i="11"/>
  <c r="AA85" i="6"/>
  <c r="Z108" i="5" s="1"/>
  <c r="AU28" i="19" l="1"/>
  <c r="R83" i="19"/>
  <c r="Z83" i="19" s="1"/>
  <c r="X120" i="21" s="1"/>
  <c r="AE261" i="11"/>
  <c r="AE262" i="11" s="1"/>
  <c r="Z257" i="11"/>
  <c r="Z107" i="5"/>
  <c r="Z74" i="11"/>
  <c r="AA71" i="11" s="1"/>
  <c r="AV34" i="19"/>
  <c r="AV35" i="19" s="1"/>
  <c r="AW32" i="19" s="1"/>
  <c r="N32" i="18"/>
  <c r="G788" i="32" s="1"/>
  <c r="J657" i="32"/>
  <c r="AA86" i="6"/>
  <c r="AB83" i="6" s="1"/>
  <c r="AW34" i="19" l="1"/>
  <c r="AW35" i="19" s="1"/>
  <c r="AX32" i="19" s="1"/>
  <c r="AD37" i="15"/>
  <c r="AF259" i="11"/>
  <c r="AB84" i="6"/>
  <c r="AB85" i="6" s="1"/>
  <c r="AA108" i="5" s="1"/>
  <c r="Y36" i="15"/>
  <c r="Y35" i="15" s="1"/>
  <c r="AA254" i="11"/>
  <c r="AW28" i="19" l="1"/>
  <c r="AB86" i="6"/>
  <c r="AC83" i="6" s="1"/>
  <c r="AF261" i="11"/>
  <c r="AF262" i="11" s="1"/>
  <c r="AA256" i="11"/>
  <c r="AA73" i="11" s="1"/>
  <c r="AX34" i="19"/>
  <c r="AX35" i="19" s="1"/>
  <c r="AY32" i="19" s="1"/>
  <c r="AX28" i="19" l="1"/>
  <c r="AE37" i="15"/>
  <c r="AG259" i="11"/>
  <c r="AY34" i="19"/>
  <c r="AY35" i="19" s="1"/>
  <c r="AZ32" i="19" s="1"/>
  <c r="AA107" i="5"/>
  <c r="AA74" i="11"/>
  <c r="AB71" i="11" s="1"/>
  <c r="AA257" i="11"/>
  <c r="AY28" i="19" l="1"/>
  <c r="AZ34" i="19"/>
  <c r="AZ35" i="19" s="1"/>
  <c r="BA32" i="19" s="1"/>
  <c r="Z36" i="15"/>
  <c r="AB254" i="11"/>
  <c r="AC84" i="6"/>
  <c r="AG261" i="11"/>
  <c r="AG262" i="11" s="1"/>
  <c r="AZ28" i="19" l="1"/>
  <c r="BA34" i="19"/>
  <c r="BA35" i="19" s="1"/>
  <c r="BB32" i="19" s="1"/>
  <c r="AB256" i="11"/>
  <c r="AB73" i="11" s="1"/>
  <c r="AC85" i="6"/>
  <c r="Z35" i="15"/>
  <c r="I656" i="32"/>
  <c r="AF37" i="15"/>
  <c r="K657" i="32" s="1"/>
  <c r="AH259" i="11"/>
  <c r="BA28" i="19" l="1"/>
  <c r="AB108" i="5"/>
  <c r="AC86" i="6"/>
  <c r="AD83" i="6" s="1"/>
  <c r="AH261" i="11"/>
  <c r="AH262" i="11" s="1"/>
  <c r="AB107" i="5"/>
  <c r="AB74" i="11"/>
  <c r="AC71" i="11" s="1"/>
  <c r="BB34" i="19"/>
  <c r="BB35" i="19" s="1"/>
  <c r="BC32" i="19" s="1"/>
  <c r="AB257" i="11"/>
  <c r="AG37" i="15" l="1"/>
  <c r="AI259" i="11"/>
  <c r="BC34" i="19"/>
  <c r="BC35" i="19" s="1"/>
  <c r="BD32" i="19" s="1"/>
  <c r="AD84" i="6"/>
  <c r="AA36" i="15"/>
  <c r="AA35" i="15" s="1"/>
  <c r="AC254" i="11"/>
  <c r="BC28" i="19" l="1"/>
  <c r="BD34" i="19"/>
  <c r="BD35" i="19" s="1"/>
  <c r="BE32" i="19" s="1"/>
  <c r="AC256" i="11"/>
  <c r="AD85" i="6"/>
  <c r="AI261" i="11"/>
  <c r="AI262" i="11" s="1"/>
  <c r="BD28" i="19" l="1"/>
  <c r="AC73" i="11"/>
  <c r="AC257" i="11"/>
  <c r="AC108" i="5"/>
  <c r="AD86" i="6"/>
  <c r="AE83" i="6" s="1"/>
  <c r="AH37" i="15"/>
  <c r="AJ259" i="11"/>
  <c r="BE34" i="19"/>
  <c r="BE35" i="19" s="1"/>
  <c r="BF32" i="19" s="1"/>
  <c r="BE28" i="19" l="1"/>
  <c r="AB36" i="15"/>
  <c r="AB35" i="15" s="1"/>
  <c r="AD254" i="11"/>
  <c r="AD256" i="11" s="1"/>
  <c r="AD73" i="11" s="1"/>
  <c r="AD107" i="5" s="1"/>
  <c r="AC107" i="5"/>
  <c r="AC74" i="11"/>
  <c r="AD71" i="11" s="1"/>
  <c r="AE84" i="6" s="1"/>
  <c r="BF34" i="19"/>
  <c r="BF35" i="19" s="1"/>
  <c r="BG32" i="19" s="1"/>
  <c r="AJ261" i="11"/>
  <c r="AJ262" i="11" s="1"/>
  <c r="BF28" i="19" l="1"/>
  <c r="O102" i="17"/>
  <c r="AI37" i="15"/>
  <c r="AK259" i="11"/>
  <c r="BG34" i="19"/>
  <c r="BG35" i="19" s="1"/>
  <c r="BH32" i="19" s="1"/>
  <c r="AE85" i="6"/>
  <c r="AD74" i="11"/>
  <c r="AE71" i="11" s="1"/>
  <c r="AD257" i="11"/>
  <c r="BG28" i="19" l="1"/>
  <c r="R85" i="19"/>
  <c r="Z85" i="19" s="1"/>
  <c r="X122" i="21" s="1"/>
  <c r="AD108" i="5"/>
  <c r="AE86" i="6"/>
  <c r="AF83" i="6" s="1"/>
  <c r="AC36" i="15"/>
  <c r="AE254" i="11"/>
  <c r="AF84" i="6"/>
  <c r="BH34" i="19"/>
  <c r="BH35" i="19" s="1"/>
  <c r="BI32" i="19" s="1"/>
  <c r="AK261" i="11"/>
  <c r="AK262" i="11" s="1"/>
  <c r="O32" i="18"/>
  <c r="L657" i="32"/>
  <c r="AF85" i="6" l="1"/>
  <c r="BI34" i="19"/>
  <c r="BI35" i="19" s="1"/>
  <c r="BJ32" i="19" s="1"/>
  <c r="F226" i="32"/>
  <c r="H788" i="32"/>
  <c r="AJ37" i="15"/>
  <c r="AL259" i="11"/>
  <c r="AE256" i="11"/>
  <c r="N31" i="18"/>
  <c r="AC35" i="15"/>
  <c r="J656" i="32"/>
  <c r="BI28" i="19" l="1"/>
  <c r="AE108" i="5"/>
  <c r="AF86" i="6"/>
  <c r="AG83" i="6" s="1"/>
  <c r="AE73" i="11"/>
  <c r="AE257" i="11"/>
  <c r="BJ34" i="19"/>
  <c r="BJ35" i="19" s="1"/>
  <c r="BK32" i="19" s="1"/>
  <c r="AL261" i="11"/>
  <c r="AL262" i="11" s="1"/>
  <c r="N30" i="18"/>
  <c r="G787" i="32"/>
  <c r="BJ28" i="19" l="1"/>
  <c r="AE107" i="5"/>
  <c r="AE74" i="11"/>
  <c r="AF71" i="11" s="1"/>
  <c r="AG84" i="6" s="1"/>
  <c r="AD36" i="15"/>
  <c r="AD35" i="15" s="1"/>
  <c r="AF254" i="11"/>
  <c r="AF256" i="11" s="1"/>
  <c r="AF73" i="11" s="1"/>
  <c r="AF107" i="5" s="1"/>
  <c r="AK37" i="15"/>
  <c r="AM259" i="11"/>
  <c r="BK34" i="19"/>
  <c r="BK35" i="19" s="1"/>
  <c r="BL32" i="19" s="1"/>
  <c r="BK28" i="19" l="1"/>
  <c r="AF257" i="11"/>
  <c r="BL34" i="19"/>
  <c r="BL35" i="19" s="1"/>
  <c r="BM32" i="19" s="1"/>
  <c r="AG85" i="6"/>
  <c r="AF74" i="11"/>
  <c r="AG71" i="11" s="1"/>
  <c r="AM261" i="11"/>
  <c r="AM262" i="11" s="1"/>
  <c r="BL28" i="19" l="1"/>
  <c r="AF108" i="5"/>
  <c r="AG86" i="6"/>
  <c r="AH83" i="6" s="1"/>
  <c r="BM34" i="19"/>
  <c r="BM35" i="19" s="1"/>
  <c r="BN32" i="19" s="1"/>
  <c r="AL37" i="15"/>
  <c r="AN259" i="11"/>
  <c r="AE36" i="15"/>
  <c r="AE35" i="15" s="1"/>
  <c r="AG254" i="11"/>
  <c r="AH84" i="6"/>
  <c r="BM28" i="19" l="1"/>
  <c r="R86" i="19"/>
  <c r="Z86" i="19" s="1"/>
  <c r="X123" i="21" s="1"/>
  <c r="AH85" i="6"/>
  <c r="AN261" i="11"/>
  <c r="AN262" i="11" s="1"/>
  <c r="AG256" i="11"/>
  <c r="AG73" i="11" s="1"/>
  <c r="BN34" i="19"/>
  <c r="BN35" i="19" s="1"/>
  <c r="BO32" i="19" s="1"/>
  <c r="AG108" i="5" l="1"/>
  <c r="AH86" i="6"/>
  <c r="AI83" i="6" s="1"/>
  <c r="BO34" i="19"/>
  <c r="BO35" i="19" s="1"/>
  <c r="BP32" i="19" s="1"/>
  <c r="AM37" i="15"/>
  <c r="AO259" i="11"/>
  <c r="AG107" i="5"/>
  <c r="AG74" i="11"/>
  <c r="AH71" i="11" s="1"/>
  <c r="AG257" i="11"/>
  <c r="BO28" i="19" l="1"/>
  <c r="BP34" i="19"/>
  <c r="BP35" i="19" s="1"/>
  <c r="BQ32" i="19" s="1"/>
  <c r="AI84" i="6"/>
  <c r="AO261" i="11"/>
  <c r="AO262" i="11" s="1"/>
  <c r="AF36" i="15"/>
  <c r="AH254" i="11"/>
  <c r="BP28" i="19" l="1"/>
  <c r="AN37" i="15"/>
  <c r="AP259" i="11"/>
  <c r="AI85" i="6"/>
  <c r="AH256" i="11"/>
  <c r="AH73" i="11" s="1"/>
  <c r="AF35" i="15"/>
  <c r="K656" i="32"/>
  <c r="BQ34" i="19"/>
  <c r="BQ35" i="19" s="1"/>
  <c r="BR32" i="19" s="1"/>
  <c r="BQ28" i="19" l="1"/>
  <c r="AH108" i="5"/>
  <c r="AI86" i="6"/>
  <c r="AJ83" i="6" s="1"/>
  <c r="BR34" i="19"/>
  <c r="BR35" i="19" s="1"/>
  <c r="BS32" i="19" s="1"/>
  <c r="AH107" i="5"/>
  <c r="AH74" i="11"/>
  <c r="AI71" i="11" s="1"/>
  <c r="AH257" i="11"/>
  <c r="AP261" i="11"/>
  <c r="AP262" i="11" s="1"/>
  <c r="BR28" i="19" l="1"/>
  <c r="BS34" i="19"/>
  <c r="BS35" i="19" s="1"/>
  <c r="BT32" i="19" s="1"/>
  <c r="AO37" i="15"/>
  <c r="P32" i="18" s="1"/>
  <c r="AQ259" i="11"/>
  <c r="AG36" i="15"/>
  <c r="AG35" i="15" s="1"/>
  <c r="AI254" i="11"/>
  <c r="AJ84" i="6"/>
  <c r="BS28" i="19" l="1"/>
  <c r="AI256" i="11"/>
  <c r="AI73" i="11" s="1"/>
  <c r="AJ85" i="6"/>
  <c r="AI108" i="5" s="1"/>
  <c r="AQ261" i="11"/>
  <c r="AQ262" i="11" s="1"/>
  <c r="BT34" i="19"/>
  <c r="BT35" i="19" s="1"/>
  <c r="BU32" i="19" s="1"/>
  <c r="R87" i="19"/>
  <c r="Z87" i="19" s="1"/>
  <c r="X124" i="21" s="1"/>
  <c r="AP37" i="15" l="1"/>
  <c r="AR259" i="11"/>
  <c r="BU34" i="19"/>
  <c r="BU35" i="19" s="1"/>
  <c r="BV32" i="19" s="1"/>
  <c r="AI107" i="5"/>
  <c r="AI74" i="11"/>
  <c r="AJ71" i="11" s="1"/>
  <c r="AJ86" i="6"/>
  <c r="AK83" i="6" s="1"/>
  <c r="AI257" i="11"/>
  <c r="BU28" i="19" l="1"/>
  <c r="BV34" i="19"/>
  <c r="BV35" i="19" s="1"/>
  <c r="BW32" i="19" s="1"/>
  <c r="AK84" i="6"/>
  <c r="AK85" i="6" s="1"/>
  <c r="AJ108" i="5" s="1"/>
  <c r="AH36" i="15"/>
  <c r="AH35" i="15" s="1"/>
  <c r="AJ254" i="11"/>
  <c r="AR261" i="11"/>
  <c r="AR262" i="11" s="1"/>
  <c r="BV28" i="19" l="1"/>
  <c r="BW34" i="19"/>
  <c r="BW35" i="19" s="1"/>
  <c r="BX32" i="19" s="1"/>
  <c r="AQ37" i="15"/>
  <c r="AS259" i="11"/>
  <c r="AK86" i="6"/>
  <c r="AL83" i="6" s="1"/>
  <c r="P103" i="17"/>
  <c r="E76" i="1"/>
  <c r="AJ256" i="11"/>
  <c r="AJ73" i="11" s="1"/>
  <c r="BW28" i="19" l="1"/>
  <c r="BX34" i="19"/>
  <c r="BX35" i="19" s="1"/>
  <c r="BY32" i="19" s="1"/>
  <c r="AJ107" i="5"/>
  <c r="AJ74" i="11"/>
  <c r="AK71" i="11" s="1"/>
  <c r="AJ257" i="11"/>
  <c r="AS261" i="11"/>
  <c r="AS262" i="11" s="1"/>
  <c r="D82" i="21"/>
  <c r="F302" i="32"/>
  <c r="BX28" i="19" l="1"/>
  <c r="BY34" i="19"/>
  <c r="BY35" i="19" s="1"/>
  <c r="BZ32" i="19" s="1"/>
  <c r="AR37" i="15"/>
  <c r="AT259" i="11"/>
  <c r="AL84" i="6"/>
  <c r="AI36" i="15"/>
  <c r="AK254" i="11"/>
  <c r="H302" i="32"/>
  <c r="L302" i="32"/>
  <c r="BY28" i="19" l="1"/>
  <c r="R88" i="19"/>
  <c r="Z88" i="19" s="1"/>
  <c r="X125" i="21" s="1"/>
  <c r="AL85" i="6"/>
  <c r="AK108" i="5" s="1"/>
  <c r="AT261" i="11"/>
  <c r="AT262" i="11" s="1"/>
  <c r="AK256" i="11"/>
  <c r="O31" i="18"/>
  <c r="AI35" i="15"/>
  <c r="L656" i="32"/>
  <c r="BZ34" i="19"/>
  <c r="BZ35" i="19" s="1"/>
  <c r="CA32" i="19" s="1"/>
  <c r="AK73" i="11" l="1"/>
  <c r="AK257" i="11"/>
  <c r="AS37" i="15"/>
  <c r="AU259" i="11"/>
  <c r="CA34" i="19"/>
  <c r="CA35" i="19" s="1"/>
  <c r="CB32" i="19" s="1"/>
  <c r="O30" i="18"/>
  <c r="H787" i="32"/>
  <c r="F225" i="32"/>
  <c r="AL86" i="6"/>
  <c r="AM83" i="6" s="1"/>
  <c r="CA28" i="19" l="1"/>
  <c r="AK74" i="11"/>
  <c r="AL71" i="11" s="1"/>
  <c r="AM84" i="6" s="1"/>
  <c r="AK107" i="5"/>
  <c r="AJ36" i="15"/>
  <c r="AJ35" i="15" s="1"/>
  <c r="AL254" i="11"/>
  <c r="AL256" i="11" s="1"/>
  <c r="CB34" i="19"/>
  <c r="CB35" i="19" s="1"/>
  <c r="CC32" i="19" s="1"/>
  <c r="AU261" i="11"/>
  <c r="AU262" i="11" s="1"/>
  <c r="CB28" i="19" l="1"/>
  <c r="AL73" i="11"/>
  <c r="AL257" i="11"/>
  <c r="AM85" i="6"/>
  <c r="AT37" i="15"/>
  <c r="AV259" i="11"/>
  <c r="CC34" i="19"/>
  <c r="CC35" i="19" s="1"/>
  <c r="CD32" i="19" s="1"/>
  <c r="CC28" i="19" l="1"/>
  <c r="AL107" i="5"/>
  <c r="AL74" i="11"/>
  <c r="AM71" i="11" s="1"/>
  <c r="AN84" i="6" s="1"/>
  <c r="AK36" i="15"/>
  <c r="AK35" i="15" s="1"/>
  <c r="AM254" i="11"/>
  <c r="AL108" i="5"/>
  <c r="AM86" i="6"/>
  <c r="AN83" i="6" s="1"/>
  <c r="CD34" i="19"/>
  <c r="CD35" i="19" s="1"/>
  <c r="CE32" i="19" s="1"/>
  <c r="AV261" i="11"/>
  <c r="AV262" i="11" s="1"/>
  <c r="CD28" i="19" l="1"/>
  <c r="AM256" i="11"/>
  <c r="AU37" i="15"/>
  <c r="Q32" i="18" s="1"/>
  <c r="G226" i="32" s="1"/>
  <c r="AW259" i="11"/>
  <c r="AN85" i="6"/>
  <c r="CE34" i="19"/>
  <c r="CE35" i="19" s="1"/>
  <c r="CF32" i="19" s="1"/>
  <c r="CE28" i="19" l="1"/>
  <c r="AM73" i="11"/>
  <c r="AM257" i="11"/>
  <c r="AM108" i="5"/>
  <c r="AN86" i="6"/>
  <c r="AO83" i="6" s="1"/>
  <c r="CF34" i="19"/>
  <c r="CF35" i="19" s="1"/>
  <c r="CG32" i="19" s="1"/>
  <c r="AW261" i="11"/>
  <c r="AW262" i="11" s="1"/>
  <c r="AM74" i="11" l="1"/>
  <c r="AN71" i="11" s="1"/>
  <c r="AO84" i="6" s="1"/>
  <c r="AO85" i="6" s="1"/>
  <c r="AN108" i="5" s="1"/>
  <c r="AM107" i="5"/>
  <c r="AL36" i="15"/>
  <c r="AL35" i="15" s="1"/>
  <c r="AN254" i="11"/>
  <c r="AN256" i="11" s="1"/>
  <c r="CG34" i="19"/>
  <c r="CG35" i="19" s="1"/>
  <c r="CH32" i="19" s="1"/>
  <c r="AV37" i="15"/>
  <c r="AX259" i="11"/>
  <c r="CG28" i="19" l="1"/>
  <c r="AO86" i="6"/>
  <c r="AP83" i="6" s="1"/>
  <c r="AN257" i="11"/>
  <c r="AN73" i="11"/>
  <c r="CH34" i="19"/>
  <c r="CH35" i="19" s="1"/>
  <c r="CI32" i="19" s="1"/>
  <c r="AX261" i="11"/>
  <c r="AX262" i="11" s="1"/>
  <c r="CH28" i="19" l="1"/>
  <c r="AM36" i="15"/>
  <c r="AM35" i="15" s="1"/>
  <c r="AO254" i="11"/>
  <c r="AN107" i="5"/>
  <c r="AN74" i="11"/>
  <c r="AO71" i="11" s="1"/>
  <c r="AP84" i="6" s="1"/>
  <c r="CI34" i="19"/>
  <c r="CI35" i="19" s="1"/>
  <c r="CJ32" i="19" s="1"/>
  <c r="AW37" i="15"/>
  <c r="AY259" i="11"/>
  <c r="CI28" i="19" l="1"/>
  <c r="AP85" i="6"/>
  <c r="AO256" i="11"/>
  <c r="CJ34" i="19"/>
  <c r="CJ35" i="19" s="1"/>
  <c r="CK32" i="19" s="1"/>
  <c r="AY261" i="11"/>
  <c r="AY262" i="11" s="1"/>
  <c r="CJ28" i="19" l="1"/>
  <c r="AO108" i="5"/>
  <c r="AP86" i="6"/>
  <c r="AQ83" i="6" s="1"/>
  <c r="AO73" i="11"/>
  <c r="AO257" i="11"/>
  <c r="CK34" i="19"/>
  <c r="CK35" i="19" s="1"/>
  <c r="CL32" i="19" s="1"/>
  <c r="AX37" i="15"/>
  <c r="AZ259" i="11"/>
  <c r="CK28" i="19" l="1"/>
  <c r="R90" i="19"/>
  <c r="Z90" i="19" s="1"/>
  <c r="X127" i="21" s="1"/>
  <c r="AO74" i="11"/>
  <c r="AP71" i="11" s="1"/>
  <c r="AQ84" i="6" s="1"/>
  <c r="AO107" i="5"/>
  <c r="AN36" i="15"/>
  <c r="AN35" i="15" s="1"/>
  <c r="AP254" i="11"/>
  <c r="AP256" i="11" s="1"/>
  <c r="AZ261" i="11"/>
  <c r="AZ262" i="11" s="1"/>
  <c r="CL34" i="19"/>
  <c r="CL35" i="19" s="1"/>
  <c r="CM32" i="19" s="1"/>
  <c r="D77" i="1" l="1"/>
  <c r="C83" i="21" s="1"/>
  <c r="AQ85" i="6"/>
  <c r="AP73" i="11"/>
  <c r="AP257" i="11"/>
  <c r="AY37" i="15"/>
  <c r="BA259" i="11"/>
  <c r="CM34" i="19"/>
  <c r="CM35" i="19" s="1"/>
  <c r="CN32" i="19" s="1"/>
  <c r="CM28" i="19" l="1"/>
  <c r="AP107" i="5"/>
  <c r="AP74" i="11"/>
  <c r="AQ71" i="11" s="1"/>
  <c r="AQ254" i="11"/>
  <c r="AO36" i="15"/>
  <c r="AP108" i="5"/>
  <c r="E77" i="1" s="1"/>
  <c r="AQ86" i="6"/>
  <c r="AR83" i="6" s="1"/>
  <c r="CN34" i="19"/>
  <c r="CN35" i="19" s="1"/>
  <c r="CO32" i="19" s="1"/>
  <c r="BA261" i="11"/>
  <c r="BA262" i="11" s="1"/>
  <c r="CN28" i="19" l="1"/>
  <c r="AR84" i="6"/>
  <c r="AR85" i="6" s="1"/>
  <c r="AQ256" i="11"/>
  <c r="AO35" i="15"/>
  <c r="P31" i="18"/>
  <c r="P30" i="18" s="1"/>
  <c r="D83" i="21"/>
  <c r="F303" i="32"/>
  <c r="AZ37" i="15"/>
  <c r="BB259" i="11"/>
  <c r="CO34" i="19"/>
  <c r="CO35" i="19" s="1"/>
  <c r="CP32" i="19" s="1"/>
  <c r="CO28" i="19" l="1"/>
  <c r="L303" i="32"/>
  <c r="H303" i="32"/>
  <c r="AR86" i="6"/>
  <c r="AS83" i="6" s="1"/>
  <c r="AQ108" i="5"/>
  <c r="AQ73" i="11"/>
  <c r="AQ257" i="11"/>
  <c r="CP34" i="19"/>
  <c r="CP35" i="19" s="1"/>
  <c r="CQ32" i="19" s="1"/>
  <c r="BB261" i="11"/>
  <c r="BB262" i="11" s="1"/>
  <c r="CP28" i="19" l="1"/>
  <c r="AQ74" i="11"/>
  <c r="AR71" i="11" s="1"/>
  <c r="AQ107" i="5"/>
  <c r="AP36" i="15"/>
  <c r="AP35" i="15" s="1"/>
  <c r="AR254" i="11"/>
  <c r="BA37" i="15"/>
  <c r="R32" i="18" s="1"/>
  <c r="BC259" i="11"/>
  <c r="CQ34" i="19"/>
  <c r="CQ35" i="19" s="1"/>
  <c r="CR32" i="19" s="1"/>
  <c r="CQ28" i="19" l="1"/>
  <c r="AS84" i="6"/>
  <c r="AR256" i="11"/>
  <c r="CR34" i="19"/>
  <c r="CR35" i="19" s="1"/>
  <c r="CS32" i="19" s="1"/>
  <c r="BC261" i="11"/>
  <c r="BC262" i="11" s="1"/>
  <c r="AS85" i="6" l="1"/>
  <c r="AR73" i="11"/>
  <c r="AR257" i="11"/>
  <c r="BB37" i="15"/>
  <c r="BD259" i="11"/>
  <c r="CS34" i="19"/>
  <c r="CS35" i="19" s="1"/>
  <c r="CT32" i="19" s="1"/>
  <c r="CS28" i="19" l="1"/>
  <c r="AR108" i="5"/>
  <c r="AS86" i="6"/>
  <c r="AT83" i="6" s="1"/>
  <c r="AR74" i="11"/>
  <c r="AS71" i="11" s="1"/>
  <c r="AR107" i="5"/>
  <c r="AQ36" i="15"/>
  <c r="AQ35" i="15" s="1"/>
  <c r="AS254" i="11"/>
  <c r="CT34" i="19"/>
  <c r="CT35" i="19" s="1"/>
  <c r="CU32" i="19" s="1"/>
  <c r="BD261" i="11"/>
  <c r="BD262" i="11" s="1"/>
  <c r="CT28" i="19" l="1"/>
  <c r="AT84" i="6"/>
  <c r="AS256" i="11"/>
  <c r="CU34" i="19"/>
  <c r="CU35" i="19" s="1"/>
  <c r="CV32" i="19" s="1"/>
  <c r="BC37" i="15"/>
  <c r="BE259" i="11"/>
  <c r="CU28" i="19" l="1"/>
  <c r="AT85" i="6"/>
  <c r="AS73" i="11"/>
  <c r="AS257" i="11"/>
  <c r="CV34" i="19"/>
  <c r="CV35" i="19" s="1"/>
  <c r="CW32" i="19" s="1"/>
  <c r="BE261" i="11"/>
  <c r="BE262" i="11" s="1"/>
  <c r="CV28" i="19" l="1"/>
  <c r="AS108" i="5"/>
  <c r="AT86" i="6"/>
  <c r="AU83" i="6" s="1"/>
  <c r="AS74" i="11"/>
  <c r="AT71" i="11" s="1"/>
  <c r="AU84" i="6" s="1"/>
  <c r="AS107" i="5"/>
  <c r="AR36" i="15"/>
  <c r="AR35" i="15" s="1"/>
  <c r="AT254" i="11"/>
  <c r="BD37" i="15"/>
  <c r="BF259" i="11"/>
  <c r="CW34" i="19"/>
  <c r="CW35" i="19" s="1"/>
  <c r="CX32" i="19" s="1"/>
  <c r="CW28" i="19" l="1"/>
  <c r="AT256" i="11"/>
  <c r="AU85" i="6"/>
  <c r="CX34" i="19"/>
  <c r="CX35" i="19" s="1"/>
  <c r="CY32" i="19" s="1"/>
  <c r="BF261" i="11"/>
  <c r="BF262" i="11" s="1"/>
  <c r="AT73" i="11" l="1"/>
  <c r="AT257" i="11"/>
  <c r="AT108" i="5"/>
  <c r="AU86" i="6"/>
  <c r="AV83" i="6" s="1"/>
  <c r="CY34" i="19"/>
  <c r="CY35" i="19" s="1"/>
  <c r="CZ32" i="19" s="1"/>
  <c r="BE37" i="15"/>
  <c r="BG259" i="11"/>
  <c r="CY28" i="19" l="1"/>
  <c r="AT74" i="11"/>
  <c r="AU71" i="11" s="1"/>
  <c r="AT107" i="5"/>
  <c r="AS36" i="15"/>
  <c r="AS35" i="15" s="1"/>
  <c r="AU254" i="11"/>
  <c r="CZ34" i="19"/>
  <c r="CZ35" i="19" s="1"/>
  <c r="DA32" i="19" s="1"/>
  <c r="BG261" i="11"/>
  <c r="BG262" i="11" s="1"/>
  <c r="CZ28" i="19" l="1"/>
  <c r="AV84" i="6"/>
  <c r="AU256" i="11"/>
  <c r="DA34" i="19"/>
  <c r="DA35" i="19" s="1"/>
  <c r="DB32" i="19" s="1"/>
  <c r="BF37" i="15"/>
  <c r="BH259" i="11"/>
  <c r="DA28" i="19" l="1"/>
  <c r="AV85" i="6"/>
  <c r="AU73" i="11"/>
  <c r="AU257" i="11"/>
  <c r="DB34" i="19"/>
  <c r="DB35" i="19" s="1"/>
  <c r="DC32" i="19" s="1"/>
  <c r="BH261" i="11"/>
  <c r="BH262" i="11" s="1"/>
  <c r="DB28" i="19" l="1"/>
  <c r="AU74" i="11"/>
  <c r="AV71" i="11" s="1"/>
  <c r="AU107" i="5"/>
  <c r="AT36" i="15"/>
  <c r="AT35" i="15" s="1"/>
  <c r="AV254" i="11"/>
  <c r="AU108" i="5"/>
  <c r="AV86" i="6"/>
  <c r="AW83" i="6" s="1"/>
  <c r="DC34" i="19"/>
  <c r="DC35" i="19" s="1"/>
  <c r="DD32" i="19" s="1"/>
  <c r="BG37" i="15"/>
  <c r="S32" i="18" s="1"/>
  <c r="H226" i="32" s="1"/>
  <c r="BI259" i="11"/>
  <c r="DC28" i="19" l="1"/>
  <c r="R93" i="19"/>
  <c r="Z93" i="19" s="1"/>
  <c r="X130" i="21" s="1"/>
  <c r="D78" i="1"/>
  <c r="C84" i="21" s="1"/>
  <c r="AW84" i="6"/>
  <c r="AV256" i="11"/>
  <c r="BI261" i="11"/>
  <c r="BI262" i="11" s="1"/>
  <c r="DD34" i="19"/>
  <c r="DD35" i="19" s="1"/>
  <c r="DE32" i="19" s="1"/>
  <c r="AW85" i="6" l="1"/>
  <c r="AV73" i="11"/>
  <c r="AV257" i="11"/>
  <c r="BH37" i="15"/>
  <c r="BJ259" i="11"/>
  <c r="DE34" i="19"/>
  <c r="DE35" i="19" s="1"/>
  <c r="DF32" i="19" s="1"/>
  <c r="DE28" i="19" l="1"/>
  <c r="AV108" i="5"/>
  <c r="AW86" i="6"/>
  <c r="AX83" i="6" s="1"/>
  <c r="AV74" i="11"/>
  <c r="AW71" i="11" s="1"/>
  <c r="AV107" i="5"/>
  <c r="AW254" i="11"/>
  <c r="AU36" i="15"/>
  <c r="DF34" i="19"/>
  <c r="DF35" i="19" s="1"/>
  <c r="DG32" i="19" s="1"/>
  <c r="BJ261" i="11"/>
  <c r="BJ262" i="11" s="1"/>
  <c r="DF28" i="19" l="1"/>
  <c r="E78" i="1"/>
  <c r="R103" i="17"/>
  <c r="R102" i="17"/>
  <c r="AX84" i="6"/>
  <c r="AW256" i="11"/>
  <c r="Q31" i="18"/>
  <c r="AU35" i="15"/>
  <c r="DG34" i="19"/>
  <c r="DG35" i="19" s="1"/>
  <c r="DH32" i="19" s="1"/>
  <c r="BI37" i="15"/>
  <c r="BK259" i="11"/>
  <c r="DG28" i="19" l="1"/>
  <c r="F304" i="32"/>
  <c r="D84" i="21"/>
  <c r="AX85" i="6"/>
  <c r="G225" i="32"/>
  <c r="Q30" i="18"/>
  <c r="AW73" i="11"/>
  <c r="AW257" i="11"/>
  <c r="DH34" i="19"/>
  <c r="DH35" i="19" s="1"/>
  <c r="DI32" i="19" s="1"/>
  <c r="BK261" i="11"/>
  <c r="BK262" i="11" s="1"/>
  <c r="DH28" i="19" l="1"/>
  <c r="H304" i="32"/>
  <c r="L304" i="32"/>
  <c r="AW74" i="11"/>
  <c r="AX71" i="11" s="1"/>
  <c r="AW107" i="5"/>
  <c r="AV36" i="15"/>
  <c r="AV35" i="15" s="1"/>
  <c r="AX254" i="11"/>
  <c r="AW108" i="5"/>
  <c r="AX86" i="6"/>
  <c r="AY83" i="6" s="1"/>
  <c r="BJ37" i="15"/>
  <c r="BL259" i="11"/>
  <c r="DI34" i="19"/>
  <c r="DI35" i="19" s="1"/>
  <c r="DJ32" i="19" s="1"/>
  <c r="DI28" i="19" l="1"/>
  <c r="AY84" i="6"/>
  <c r="AX256" i="11"/>
  <c r="DJ34" i="19"/>
  <c r="DJ35" i="19" s="1"/>
  <c r="DK32" i="19" s="1"/>
  <c r="BL261" i="11"/>
  <c r="BL262" i="11" s="1"/>
  <c r="AY85" i="6" l="1"/>
  <c r="AX73" i="11"/>
  <c r="AX257" i="11"/>
  <c r="BK37" i="15"/>
  <c r="BM259" i="11"/>
  <c r="DK34" i="19"/>
  <c r="DK35" i="19" s="1"/>
  <c r="DL32" i="19" s="1"/>
  <c r="DK28" i="19" l="1"/>
  <c r="AX74" i="11"/>
  <c r="AY71" i="11" s="1"/>
  <c r="AX107" i="5"/>
  <c r="AW36" i="15"/>
  <c r="AW35" i="15" s="1"/>
  <c r="AY254" i="11"/>
  <c r="AX108" i="5"/>
  <c r="AY86" i="6"/>
  <c r="AZ83" i="6" s="1"/>
  <c r="DL34" i="19"/>
  <c r="DL35" i="19" s="1"/>
  <c r="DM32" i="19" s="1"/>
  <c r="BM261" i="11"/>
  <c r="BM262" i="11" s="1"/>
  <c r="DL28" i="19" l="1"/>
  <c r="AZ84" i="6"/>
  <c r="AY256" i="11"/>
  <c r="BL37" i="15"/>
  <c r="BN259" i="11"/>
  <c r="DM34" i="19"/>
  <c r="DM35" i="19" s="1"/>
  <c r="DN32" i="19" s="1"/>
  <c r="DM28" i="19" l="1"/>
  <c r="AZ85" i="6"/>
  <c r="AY73" i="11"/>
  <c r="AY257" i="11"/>
  <c r="BN261" i="11"/>
  <c r="BN262" i="11" s="1"/>
  <c r="DN34" i="19"/>
  <c r="DN35" i="19" s="1"/>
  <c r="DO32" i="19" s="1"/>
  <c r="DN28" i="19" l="1"/>
  <c r="AY74" i="11"/>
  <c r="AZ71" i="11" s="1"/>
  <c r="AY107" i="5"/>
  <c r="AX36" i="15"/>
  <c r="AX35" i="15" s="1"/>
  <c r="AZ254" i="11"/>
  <c r="AY108" i="5"/>
  <c r="AZ86" i="6"/>
  <c r="BA83" i="6" s="1"/>
  <c r="DO34" i="19"/>
  <c r="DO35" i="19" s="1"/>
  <c r="DP32" i="19" s="1"/>
  <c r="BM37" i="15"/>
  <c r="T32" i="18" s="1"/>
  <c r="BO259" i="11"/>
  <c r="DO28" i="19" l="1"/>
  <c r="R95" i="19"/>
  <c r="Z95" i="19" s="1"/>
  <c r="X132" i="21" s="1"/>
  <c r="BA84" i="6"/>
  <c r="AZ256" i="11"/>
  <c r="BO261" i="11"/>
  <c r="BO262" i="11" s="1"/>
  <c r="DP34" i="19"/>
  <c r="DP35" i="19" s="1"/>
  <c r="DQ32" i="19" s="1"/>
  <c r="BA85" i="6" l="1"/>
  <c r="AZ73" i="11"/>
  <c r="AZ257" i="11"/>
  <c r="BN37" i="15"/>
  <c r="BP259" i="11"/>
  <c r="DQ34" i="19"/>
  <c r="DQ35" i="19" s="1"/>
  <c r="DR32" i="19" s="1"/>
  <c r="DQ28" i="19" l="1"/>
  <c r="AZ107" i="5"/>
  <c r="AZ74" i="11"/>
  <c r="BA71" i="11" s="1"/>
  <c r="BB84" i="6" s="1"/>
  <c r="AY36" i="15"/>
  <c r="AY35" i="15" s="1"/>
  <c r="BA254" i="11"/>
  <c r="AZ108" i="5"/>
  <c r="BA86" i="6"/>
  <c r="BB83" i="6" s="1"/>
  <c r="DR34" i="19"/>
  <c r="DR35" i="19" s="1"/>
  <c r="DS32" i="19" s="1"/>
  <c r="BP261" i="11"/>
  <c r="BP262" i="11" s="1"/>
  <c r="DR28" i="19" l="1"/>
  <c r="BA256" i="11"/>
  <c r="BB85" i="6"/>
  <c r="DS34" i="19"/>
  <c r="DS35" i="19" s="1"/>
  <c r="DT32" i="19" s="1"/>
  <c r="BO37" i="15"/>
  <c r="BQ259" i="11"/>
  <c r="DS28" i="19" l="1"/>
  <c r="BA73" i="11"/>
  <c r="BA257" i="11"/>
  <c r="BA108" i="5"/>
  <c r="BB86" i="6"/>
  <c r="BC83" i="6" s="1"/>
  <c r="DT34" i="19"/>
  <c r="DT35" i="19" s="1"/>
  <c r="DU32" i="19" s="1"/>
  <c r="BQ261" i="11"/>
  <c r="BQ262" i="11" s="1"/>
  <c r="DT28" i="19" l="1"/>
  <c r="BA107" i="5"/>
  <c r="BA74" i="11"/>
  <c r="BB71" i="11" s="1"/>
  <c r="BB254" i="11"/>
  <c r="AZ36" i="15"/>
  <c r="AZ35" i="15" s="1"/>
  <c r="BP37" i="15"/>
  <c r="BR259" i="11"/>
  <c r="DU34" i="19"/>
  <c r="DU35" i="19" s="1"/>
  <c r="DV32" i="19" s="1"/>
  <c r="DU28" i="19" l="1"/>
  <c r="R96" i="19"/>
  <c r="Z96" i="19" s="1"/>
  <c r="X133" i="21" s="1"/>
  <c r="BC84" i="6"/>
  <c r="BB256" i="11"/>
  <c r="DV34" i="19"/>
  <c r="DV35" i="19" s="1"/>
  <c r="DW32" i="19" s="1"/>
  <c r="BR261" i="11"/>
  <c r="BR262" i="11" s="1"/>
  <c r="BC85" i="6" l="1"/>
  <c r="BB73" i="11"/>
  <c r="BB257" i="11"/>
  <c r="BQ37" i="15"/>
  <c r="BS259" i="11"/>
  <c r="DW34" i="19"/>
  <c r="DW35" i="19" s="1"/>
  <c r="DX32" i="19" s="1"/>
  <c r="DW28" i="19" l="1"/>
  <c r="BB74" i="11"/>
  <c r="BC71" i="11" s="1"/>
  <c r="BB107" i="5"/>
  <c r="S102" i="17" s="1"/>
  <c r="BA36" i="15"/>
  <c r="BC254" i="11"/>
  <c r="BB108" i="5"/>
  <c r="BC86" i="6"/>
  <c r="BD83" i="6" s="1"/>
  <c r="DX34" i="19"/>
  <c r="DX35" i="19" s="1"/>
  <c r="DY32" i="19" s="1"/>
  <c r="BS261" i="11"/>
  <c r="BS262" i="11" s="1"/>
  <c r="DX28" i="19" l="1"/>
  <c r="BD84" i="6"/>
  <c r="BD85" i="6" s="1"/>
  <c r="R31" i="18"/>
  <c r="R30" i="18" s="1"/>
  <c r="BA35" i="15"/>
  <c r="BC256" i="11"/>
  <c r="BR37" i="15"/>
  <c r="BT259" i="11"/>
  <c r="DY34" i="19"/>
  <c r="DY35" i="19" s="1"/>
  <c r="DZ32" i="19" s="1"/>
  <c r="DY28" i="19" l="1"/>
  <c r="BC73" i="11"/>
  <c r="BC257" i="11"/>
  <c r="BC108" i="5"/>
  <c r="BD86" i="6"/>
  <c r="BE83" i="6" s="1"/>
  <c r="DZ34" i="19"/>
  <c r="DZ35" i="19" s="1"/>
  <c r="EA32" i="19" s="1"/>
  <c r="BT261" i="11"/>
  <c r="BT262" i="11" s="1"/>
  <c r="DZ28" i="19" l="1"/>
  <c r="BC74" i="11"/>
  <c r="BD71" i="11" s="1"/>
  <c r="BC107" i="5"/>
  <c r="BD254" i="11"/>
  <c r="BB36" i="15"/>
  <c r="BB35" i="15" s="1"/>
  <c r="BS37" i="15"/>
  <c r="U32" i="18" s="1"/>
  <c r="I226" i="32" s="1"/>
  <c r="BU259" i="11"/>
  <c r="EA34" i="19"/>
  <c r="EA35" i="19" s="1"/>
  <c r="EB32" i="19" s="1"/>
  <c r="EA28" i="19" l="1"/>
  <c r="BE84" i="6"/>
  <c r="BD256" i="11"/>
  <c r="BU261" i="11"/>
  <c r="BU262" i="11" s="1"/>
  <c r="EB34" i="19"/>
  <c r="EB35" i="19" s="1"/>
  <c r="EC32" i="19" s="1"/>
  <c r="R97" i="19"/>
  <c r="Z97" i="19" l="1"/>
  <c r="X134" i="21" s="1"/>
  <c r="X136" i="21" s="1"/>
  <c r="U99" i="19"/>
  <c r="BE85" i="6"/>
  <c r="BD73" i="11"/>
  <c r="BD257" i="11"/>
  <c r="EC34" i="19"/>
  <c r="EC35" i="19" s="1"/>
  <c r="ED32" i="19" s="1"/>
  <c r="BT37" i="15"/>
  <c r="BV259" i="11"/>
  <c r="EC28" i="19" l="1"/>
  <c r="AC99" i="19"/>
  <c r="U125" i="19"/>
  <c r="AC125" i="19" s="1"/>
  <c r="BD74" i="11"/>
  <c r="BE71" i="11" s="1"/>
  <c r="BD107" i="5"/>
  <c r="BC36" i="15"/>
  <c r="BC35" i="15" s="1"/>
  <c r="BE254" i="11"/>
  <c r="BD108" i="5"/>
  <c r="BE86" i="6"/>
  <c r="BF83" i="6" s="1"/>
  <c r="BV261" i="11"/>
  <c r="BV262" i="11" s="1"/>
  <c r="ED34" i="19"/>
  <c r="ED35" i="19" s="1"/>
  <c r="EE32" i="19" s="1"/>
  <c r="ED28" i="19" l="1"/>
  <c r="BF84" i="6"/>
  <c r="BF85" i="6" s="1"/>
  <c r="BE256" i="11"/>
  <c r="BU37" i="15"/>
  <c r="BW259" i="11"/>
  <c r="EE34" i="19"/>
  <c r="EE35" i="19" s="1"/>
  <c r="EF32" i="19" s="1"/>
  <c r="EE28" i="19" l="1"/>
  <c r="BE73" i="11"/>
  <c r="BE257" i="11"/>
  <c r="BE108" i="5"/>
  <c r="BF86" i="6"/>
  <c r="BG83" i="6" s="1"/>
  <c r="BW261" i="11"/>
  <c r="BW262" i="11" s="1"/>
  <c r="EF34" i="19"/>
  <c r="EF35" i="19" s="1"/>
  <c r="EG32" i="19" s="1"/>
  <c r="EF28" i="19" l="1"/>
  <c r="BE74" i="11"/>
  <c r="BF71" i="11" s="1"/>
  <c r="BE107" i="5"/>
  <c r="BD36" i="15"/>
  <c r="BD35" i="15" s="1"/>
  <c r="BF254" i="11"/>
  <c r="BV37" i="15"/>
  <c r="BX259" i="11"/>
  <c r="EG34" i="19"/>
  <c r="EG35" i="19" s="1"/>
  <c r="EH32" i="19" s="1"/>
  <c r="EG28" i="19" l="1"/>
  <c r="BG84" i="6"/>
  <c r="BF256" i="11"/>
  <c r="EH34" i="19"/>
  <c r="EH35" i="19" s="1"/>
  <c r="EI32" i="19" s="1"/>
  <c r="BX261" i="11"/>
  <c r="BX262" i="11" s="1"/>
  <c r="EH28" i="19" l="1"/>
  <c r="BG85" i="6"/>
  <c r="BF73" i="11"/>
  <c r="BF257" i="11"/>
  <c r="BW37" i="15"/>
  <c r="BY259" i="11"/>
  <c r="EI34" i="19"/>
  <c r="EI35" i="19" s="1"/>
  <c r="EJ32" i="19" s="1"/>
  <c r="EI28" i="19" l="1"/>
  <c r="BF74" i="11"/>
  <c r="BG71" i="11" s="1"/>
  <c r="BF107" i="5"/>
  <c r="BE36" i="15"/>
  <c r="BE35" i="15" s="1"/>
  <c r="BG254" i="11"/>
  <c r="BF108" i="5"/>
  <c r="BG86" i="6"/>
  <c r="BH83" i="6" s="1"/>
  <c r="EJ34" i="19"/>
  <c r="EJ35" i="19" s="1"/>
  <c r="EK32" i="19" s="1"/>
  <c r="BY261" i="11"/>
  <c r="BY262" i="11" s="1"/>
  <c r="EJ28" i="19" l="1"/>
  <c r="BH84" i="6"/>
  <c r="BG256" i="11"/>
  <c r="BX37" i="15"/>
  <c r="BZ259" i="11"/>
  <c r="EK34" i="19"/>
  <c r="EK35" i="19" s="1"/>
  <c r="EL32" i="19" s="1"/>
  <c r="EK28" i="19" l="1"/>
  <c r="BH85" i="6"/>
  <c r="BG73" i="11"/>
  <c r="BG257" i="11"/>
  <c r="EL34" i="19"/>
  <c r="EL35" i="19" s="1"/>
  <c r="EM32" i="19" s="1"/>
  <c r="BZ261" i="11"/>
  <c r="BZ262" i="11" s="1"/>
  <c r="EL28" i="19" l="1"/>
  <c r="BG108" i="5"/>
  <c r="BH86" i="6"/>
  <c r="BI83" i="6" s="1"/>
  <c r="BG107" i="5"/>
  <c r="BG74" i="11"/>
  <c r="BH71" i="11" s="1"/>
  <c r="BI84" i="6" s="1"/>
  <c r="BH254" i="11"/>
  <c r="BF36" i="15"/>
  <c r="BF35" i="15" s="1"/>
  <c r="BY37" i="15"/>
  <c r="V32" i="18" s="1"/>
  <c r="CA259" i="11"/>
  <c r="EM34" i="19"/>
  <c r="EM35" i="19" s="1"/>
  <c r="EN32" i="19" s="1"/>
  <c r="EM28" i="19" l="1"/>
  <c r="BI85" i="6"/>
  <c r="BH256" i="11"/>
  <c r="CA261" i="11"/>
  <c r="CA262" i="11" s="1"/>
  <c r="EN34" i="19"/>
  <c r="EN35" i="19" s="1"/>
  <c r="EO32" i="19" s="1"/>
  <c r="EN28" i="19" l="1"/>
  <c r="BH108" i="5"/>
  <c r="BI86" i="6"/>
  <c r="BJ83" i="6" s="1"/>
  <c r="BH73" i="11"/>
  <c r="BH257" i="11"/>
  <c r="EO34" i="19"/>
  <c r="EO35" i="19" s="1"/>
  <c r="EP32" i="19" s="1"/>
  <c r="BZ37" i="15"/>
  <c r="CB259" i="11"/>
  <c r="EO28" i="19" l="1"/>
  <c r="BH107" i="5"/>
  <c r="BH74" i="11"/>
  <c r="BI71" i="11" s="1"/>
  <c r="BG36" i="15"/>
  <c r="BI254" i="11"/>
  <c r="CB261" i="11"/>
  <c r="CB262" i="11" s="1"/>
  <c r="EP34" i="19"/>
  <c r="EP35" i="19" s="1"/>
  <c r="EQ32" i="19" s="1"/>
  <c r="J43" i="19" s="1"/>
  <c r="EP28" i="19" l="1"/>
  <c r="R114" i="19"/>
  <c r="Z114" i="19" s="1"/>
  <c r="R115" i="19"/>
  <c r="Z115" i="19" s="1"/>
  <c r="R116" i="19"/>
  <c r="Z116" i="19" s="1"/>
  <c r="R117" i="19"/>
  <c r="Z117" i="19" s="1"/>
  <c r="R118" i="19"/>
  <c r="Z118" i="19" s="1"/>
  <c r="R119" i="19"/>
  <c r="Z119" i="19" s="1"/>
  <c r="R120" i="19"/>
  <c r="Z120" i="19" s="1"/>
  <c r="R121" i="19"/>
  <c r="Z121" i="19" s="1"/>
  <c r="R122" i="19"/>
  <c r="Z122" i="19" s="1"/>
  <c r="R123" i="19"/>
  <c r="Z123" i="19" s="1"/>
  <c r="BJ84" i="6"/>
  <c r="S31" i="18"/>
  <c r="BG35" i="15"/>
  <c r="BI256" i="11"/>
  <c r="CA37" i="15"/>
  <c r="CC259" i="11"/>
  <c r="EQ34" i="19"/>
  <c r="J34" i="19" s="1"/>
  <c r="R78" i="19"/>
  <c r="R84" i="19"/>
  <c r="Z84" i="19" s="1"/>
  <c r="X121" i="21" s="1"/>
  <c r="R89" i="19"/>
  <c r="Z89" i="19" s="1"/>
  <c r="X126" i="21" s="1"/>
  <c r="R91" i="19"/>
  <c r="Z91" i="19" s="1"/>
  <c r="X128" i="21" s="1"/>
  <c r="R92" i="19"/>
  <c r="Z92" i="19" s="1"/>
  <c r="X129" i="21" s="1"/>
  <c r="R94" i="19"/>
  <c r="Z94" i="19" s="1"/>
  <c r="X131" i="21" s="1"/>
  <c r="Z124" i="19" l="1"/>
  <c r="Z78" i="19"/>
  <c r="R98" i="19"/>
  <c r="EQ28" i="19"/>
  <c r="BJ85" i="6"/>
  <c r="H225" i="32"/>
  <c r="S30" i="18"/>
  <c r="BI73" i="11"/>
  <c r="BI257" i="11"/>
  <c r="EQ35" i="19"/>
  <c r="CC261" i="11"/>
  <c r="CC262" i="11" s="1"/>
  <c r="Z98" i="19" l="1"/>
  <c r="X115" i="21"/>
  <c r="X135" i="21" s="1"/>
  <c r="BI74" i="11"/>
  <c r="BJ71" i="11" s="1"/>
  <c r="BI107" i="5"/>
  <c r="BJ254" i="11"/>
  <c r="BH36" i="15"/>
  <c r="BH35" i="15" s="1"/>
  <c r="BI108" i="5"/>
  <c r="BJ86" i="6"/>
  <c r="BK83" i="6" s="1"/>
  <c r="CB37" i="15"/>
  <c r="CD259" i="11"/>
  <c r="BK84" i="6" l="1"/>
  <c r="BJ256" i="11"/>
  <c r="CD261" i="11"/>
  <c r="CD262" i="11" s="1"/>
  <c r="BK85" i="6" l="1"/>
  <c r="BJ73" i="11"/>
  <c r="BJ257" i="11"/>
  <c r="CC37" i="15"/>
  <c r="CE259" i="11"/>
  <c r="BJ108" i="5" l="1"/>
  <c r="BK86" i="6"/>
  <c r="BL83" i="6" s="1"/>
  <c r="BJ74" i="11"/>
  <c r="BK71" i="11" s="1"/>
  <c r="BJ107" i="5"/>
  <c r="BI36" i="15"/>
  <c r="BI35" i="15" s="1"/>
  <c r="BK254" i="11"/>
  <c r="CE261" i="11"/>
  <c r="CE262" i="11" s="1"/>
  <c r="BL84" i="6" l="1"/>
  <c r="BK256" i="11"/>
  <c r="CD37" i="15"/>
  <c r="CF259" i="11"/>
  <c r="BL85" i="6" l="1"/>
  <c r="BK73" i="11"/>
  <c r="BK257" i="11"/>
  <c r="CF261" i="11"/>
  <c r="CF262" i="11" s="1"/>
  <c r="BK108" i="5" l="1"/>
  <c r="BL86" i="6"/>
  <c r="BM83" i="6" s="1"/>
  <c r="BK74" i="11"/>
  <c r="BL71" i="11" s="1"/>
  <c r="BK107" i="5"/>
  <c r="BJ36" i="15"/>
  <c r="BJ35" i="15" s="1"/>
  <c r="BL254" i="11"/>
  <c r="CE37" i="15"/>
  <c r="W32" i="18" s="1"/>
  <c r="J226" i="32" s="1"/>
  <c r="CG259" i="11"/>
  <c r="BM84" i="6" l="1"/>
  <c r="BL256" i="11"/>
  <c r="CG261" i="11"/>
  <c r="CG262" i="11" s="1"/>
  <c r="BM85" i="6" l="1"/>
  <c r="BL73" i="11"/>
  <c r="BL257" i="11"/>
  <c r="CF37" i="15"/>
  <c r="CH259" i="11"/>
  <c r="BL108" i="5" l="1"/>
  <c r="BM86" i="6"/>
  <c r="BN83" i="6" s="1"/>
  <c r="BL74" i="11"/>
  <c r="BM71" i="11" s="1"/>
  <c r="BL107" i="5"/>
  <c r="BK36" i="15"/>
  <c r="BK35" i="15" s="1"/>
  <c r="BM254" i="11"/>
  <c r="CH261" i="11"/>
  <c r="CH262" i="11" s="1"/>
  <c r="BN84" i="6" l="1"/>
  <c r="BM256" i="11"/>
  <c r="CG37" i="15"/>
  <c r="CI259" i="11"/>
  <c r="BN85" i="6" l="1"/>
  <c r="BM73" i="11"/>
  <c r="BM257" i="11"/>
  <c r="CI261" i="11"/>
  <c r="CI262" i="11" s="1"/>
  <c r="BM74" i="11" l="1"/>
  <c r="BN71" i="11" s="1"/>
  <c r="BM107" i="5"/>
  <c r="BL36" i="15"/>
  <c r="BL35" i="15" s="1"/>
  <c r="BN254" i="11"/>
  <c r="BM108" i="5"/>
  <c r="BN86" i="6"/>
  <c r="BO83" i="6" s="1"/>
  <c r="CH37" i="15"/>
  <c r="CJ259" i="11"/>
  <c r="BO84" i="6" l="1"/>
  <c r="BN256" i="11"/>
  <c r="CJ261" i="11"/>
  <c r="CJ262" i="11" s="1"/>
  <c r="BO85" i="6" l="1"/>
  <c r="BN73" i="11"/>
  <c r="BN257" i="11"/>
  <c r="CI37" i="15"/>
  <c r="CK259" i="11"/>
  <c r="BN108" i="5" l="1"/>
  <c r="BO86" i="6"/>
  <c r="BP83" i="6" s="1"/>
  <c r="BN74" i="11"/>
  <c r="BO71" i="11" s="1"/>
  <c r="BN107" i="5"/>
  <c r="BM36" i="15"/>
  <c r="BO254" i="11"/>
  <c r="CK261" i="11"/>
  <c r="CK262" i="11" s="1"/>
  <c r="U102" i="17" l="1"/>
  <c r="BP84" i="6"/>
  <c r="BM35" i="15"/>
  <c r="T31" i="18"/>
  <c r="T30" i="18" s="1"/>
  <c r="BO256" i="11"/>
  <c r="CJ37" i="15"/>
  <c r="CL259" i="11"/>
  <c r="BP85" i="6" l="1"/>
  <c r="BO73" i="11"/>
  <c r="BO257" i="11"/>
  <c r="CL261" i="11"/>
  <c r="CL262" i="11" s="1"/>
  <c r="BO74" i="11" l="1"/>
  <c r="BP71" i="11" s="1"/>
  <c r="BO107" i="5"/>
  <c r="BP254" i="11"/>
  <c r="BN36" i="15"/>
  <c r="BN35" i="15" s="1"/>
  <c r="BO108" i="5"/>
  <c r="BP86" i="6"/>
  <c r="BQ83" i="6" s="1"/>
  <c r="CK37" i="15"/>
  <c r="X32" i="18" s="1"/>
  <c r="CM259" i="11"/>
  <c r="BQ84" i="6" l="1"/>
  <c r="BQ85" i="6" s="1"/>
  <c r="BP256" i="11"/>
  <c r="CM261" i="11"/>
  <c r="CM262" i="11" s="1"/>
  <c r="BP73" i="11" l="1"/>
  <c r="BP257" i="11"/>
  <c r="BP108" i="5"/>
  <c r="BQ86" i="6"/>
  <c r="BR83" i="6" s="1"/>
  <c r="CL37" i="15"/>
  <c r="CN259" i="11"/>
  <c r="BP74" i="11" l="1"/>
  <c r="BQ71" i="11" s="1"/>
  <c r="BP107" i="5"/>
  <c r="BQ254" i="11"/>
  <c r="BO36" i="15"/>
  <c r="BO35" i="15" s="1"/>
  <c r="CN261" i="11"/>
  <c r="CN262" i="11" s="1"/>
  <c r="BR84" i="6" l="1"/>
  <c r="BQ256" i="11"/>
  <c r="CM37" i="15"/>
  <c r="CO259" i="11"/>
  <c r="BR85" i="6" l="1"/>
  <c r="BQ73" i="11"/>
  <c r="BQ257" i="11"/>
  <c r="CO261" i="11"/>
  <c r="CO262" i="11" s="1"/>
  <c r="BQ74" i="11" l="1"/>
  <c r="BR71" i="11" s="1"/>
  <c r="BQ107" i="5"/>
  <c r="BR254" i="11"/>
  <c r="BP36" i="15"/>
  <c r="BP35" i="15" s="1"/>
  <c r="BQ108" i="5"/>
  <c r="BR86" i="6"/>
  <c r="BS83" i="6" s="1"/>
  <c r="CN37" i="15"/>
  <c r="CP259" i="11"/>
  <c r="BS84" i="6" l="1"/>
  <c r="BR256" i="11"/>
  <c r="CP261" i="11"/>
  <c r="CP262" i="11" s="1"/>
  <c r="BS85" i="6" l="1"/>
  <c r="BR73" i="11"/>
  <c r="BR257" i="11"/>
  <c r="CO37" i="15"/>
  <c r="CQ259" i="11"/>
  <c r="BR107" i="5" l="1"/>
  <c r="BR74" i="11"/>
  <c r="BS71" i="11" s="1"/>
  <c r="BT84" i="6" s="1"/>
  <c r="BS254" i="11"/>
  <c r="BQ36" i="15"/>
  <c r="BQ35" i="15" s="1"/>
  <c r="BR108" i="5"/>
  <c r="BS86" i="6"/>
  <c r="BT83" i="6" s="1"/>
  <c r="CQ261" i="11"/>
  <c r="CQ262" i="11" s="1"/>
  <c r="BS256" i="11" l="1"/>
  <c r="BT85" i="6"/>
  <c r="CP37" i="15"/>
  <c r="CR259" i="11"/>
  <c r="BS108" i="5" l="1"/>
  <c r="BT86" i="6"/>
  <c r="BU83" i="6" s="1"/>
  <c r="BS73" i="11"/>
  <c r="BS257" i="11"/>
  <c r="CR261" i="11"/>
  <c r="CR262" i="11" s="1"/>
  <c r="BS107" i="5" l="1"/>
  <c r="BS74" i="11"/>
  <c r="BT71" i="11" s="1"/>
  <c r="BR36" i="15"/>
  <c r="BR35" i="15" s="1"/>
  <c r="BT254" i="11"/>
  <c r="CQ37" i="15"/>
  <c r="Y32" i="18" s="1"/>
  <c r="K226" i="32" s="1"/>
  <c r="CS259" i="11"/>
  <c r="BU84" i="6" l="1"/>
  <c r="BT256" i="11"/>
  <c r="CS261" i="11"/>
  <c r="CS262" i="11" s="1"/>
  <c r="BU85" i="6" l="1"/>
  <c r="BT73" i="11"/>
  <c r="BT257" i="11"/>
  <c r="CR37" i="15"/>
  <c r="CT259" i="11"/>
  <c r="BT108" i="5" l="1"/>
  <c r="V103" i="17" s="1"/>
  <c r="BU86" i="6"/>
  <c r="BV83" i="6" s="1"/>
  <c r="E82" i="1"/>
  <c r="BT74" i="11"/>
  <c r="BU71" i="11" s="1"/>
  <c r="BT107" i="5"/>
  <c r="BS36" i="15"/>
  <c r="BU254" i="11"/>
  <c r="CT261" i="11"/>
  <c r="CT262" i="11" s="1"/>
  <c r="V102" i="17" l="1"/>
  <c r="D88" i="21"/>
  <c r="F308" i="32"/>
  <c r="BV84" i="6"/>
  <c r="BS35" i="15"/>
  <c r="U31" i="18"/>
  <c r="BU256" i="11"/>
  <c r="CS37" i="15"/>
  <c r="CU259" i="11"/>
  <c r="H308" i="32" l="1"/>
  <c r="L308" i="32"/>
  <c r="BV85" i="6"/>
  <c r="I225" i="32"/>
  <c r="U30" i="18"/>
  <c r="BU73" i="11"/>
  <c r="BU257" i="11"/>
  <c r="CU261" i="11"/>
  <c r="CU262" i="11" s="1"/>
  <c r="BU74" i="11" l="1"/>
  <c r="BV71" i="11" s="1"/>
  <c r="BU107" i="5"/>
  <c r="BT36" i="15"/>
  <c r="BT35" i="15" s="1"/>
  <c r="BV254" i="11"/>
  <c r="BU108" i="5"/>
  <c r="BV86" i="6"/>
  <c r="BW83" i="6" s="1"/>
  <c r="CT37" i="15"/>
  <c r="CV259" i="11"/>
  <c r="BW84" i="6" l="1"/>
  <c r="BV256" i="11"/>
  <c r="CV261" i="11"/>
  <c r="CV262" i="11" s="1"/>
  <c r="BW85" i="6" l="1"/>
  <c r="BV73" i="11"/>
  <c r="BV257" i="11"/>
  <c r="CU37" i="15"/>
  <c r="CW259" i="11"/>
  <c r="BV74" i="11" l="1"/>
  <c r="BW71" i="11" s="1"/>
  <c r="BV107" i="5"/>
  <c r="BU36" i="15"/>
  <c r="BU35" i="15" s="1"/>
  <c r="BW254" i="11"/>
  <c r="BV108" i="5"/>
  <c r="BW86" i="6"/>
  <c r="BX83" i="6" s="1"/>
  <c r="CW261" i="11"/>
  <c r="CW262" i="11" s="1"/>
  <c r="BX84" i="6" l="1"/>
  <c r="BW256" i="11"/>
  <c r="CV37" i="15"/>
  <c r="CX259" i="11"/>
  <c r="BW73" i="11" l="1"/>
  <c r="BW257" i="11"/>
  <c r="BX85" i="6"/>
  <c r="CX261" i="11"/>
  <c r="CX262" i="11" s="1"/>
  <c r="BV36" i="15" l="1"/>
  <c r="BV35" i="15" s="1"/>
  <c r="BX254" i="11"/>
  <c r="BX256" i="11" s="1"/>
  <c r="BW107" i="5"/>
  <c r="BW74" i="11"/>
  <c r="BX71" i="11" s="1"/>
  <c r="BY84" i="6" s="1"/>
  <c r="BW108" i="5"/>
  <c r="BX86" i="6"/>
  <c r="BY83" i="6" s="1"/>
  <c r="CW37" i="15"/>
  <c r="Z32" i="18" s="1"/>
  <c r="CY259" i="11"/>
  <c r="BY85" i="6" l="1"/>
  <c r="BX73" i="11"/>
  <c r="BX257" i="11"/>
  <c r="CY261" i="11"/>
  <c r="CY262" i="11" s="1"/>
  <c r="BX108" i="5" l="1"/>
  <c r="BY86" i="6"/>
  <c r="BZ83" i="6" s="1"/>
  <c r="BX107" i="5"/>
  <c r="BX74" i="11"/>
  <c r="BY71" i="11" s="1"/>
  <c r="BY254" i="11"/>
  <c r="BW36" i="15"/>
  <c r="BW35" i="15" s="1"/>
  <c r="CX37" i="15"/>
  <c r="CZ259" i="11"/>
  <c r="BZ84" i="6" l="1"/>
  <c r="BY256" i="11"/>
  <c r="CZ261" i="11"/>
  <c r="CZ262" i="11" s="1"/>
  <c r="BZ85" i="6" l="1"/>
  <c r="BY73" i="11"/>
  <c r="BY257" i="11"/>
  <c r="CY37" i="15"/>
  <c r="DA259" i="11"/>
  <c r="BY74" i="11" l="1"/>
  <c r="BZ71" i="11" s="1"/>
  <c r="BY107" i="5"/>
  <c r="BX36" i="15"/>
  <c r="BX35" i="15" s="1"/>
  <c r="BZ254" i="11"/>
  <c r="BY108" i="5"/>
  <c r="BZ86" i="6"/>
  <c r="CA83" i="6" s="1"/>
  <c r="DA261" i="11"/>
  <c r="DA262" i="11" s="1"/>
  <c r="CA84" i="6" l="1"/>
  <c r="CA85" i="6" s="1"/>
  <c r="D83" i="1"/>
  <c r="C89" i="21" s="1"/>
  <c r="BZ256" i="11"/>
  <c r="CZ37" i="15"/>
  <c r="DB259" i="11"/>
  <c r="BZ73" i="11" l="1"/>
  <c r="BZ257" i="11"/>
  <c r="BZ108" i="5"/>
  <c r="E83" i="1" s="1"/>
  <c r="CA86" i="6"/>
  <c r="CB83" i="6" s="1"/>
  <c r="DB261" i="11"/>
  <c r="DB262" i="11" s="1"/>
  <c r="D89" i="21" l="1"/>
  <c r="F309" i="32"/>
  <c r="BZ74" i="11"/>
  <c r="CA71" i="11" s="1"/>
  <c r="BZ107" i="5"/>
  <c r="BY36" i="15"/>
  <c r="CA254" i="11"/>
  <c r="W103" i="17"/>
  <c r="DA37" i="15"/>
  <c r="DC259" i="11"/>
  <c r="L309" i="32" l="1"/>
  <c r="H309" i="32"/>
  <c r="W102" i="17"/>
  <c r="CB84" i="6"/>
  <c r="BY35" i="15"/>
  <c r="V31" i="18"/>
  <c r="V30" i="18" s="1"/>
  <c r="CA256" i="11"/>
  <c r="DC261" i="11"/>
  <c r="DC262" i="11" s="1"/>
  <c r="CB85" i="6" l="1"/>
  <c r="CA73" i="11"/>
  <c r="CA257" i="11"/>
  <c r="DB37" i="15"/>
  <c r="DD259" i="11"/>
  <c r="CA74" i="11" l="1"/>
  <c r="CB71" i="11" s="1"/>
  <c r="CA107" i="5"/>
  <c r="BZ36" i="15"/>
  <c r="BZ35" i="15" s="1"/>
  <c r="CB254" i="11"/>
  <c r="CA108" i="5"/>
  <c r="CB86" i="6"/>
  <c r="CC83" i="6" s="1"/>
  <c r="DD261" i="11"/>
  <c r="DD262" i="11" s="1"/>
  <c r="CC84" i="6" l="1"/>
  <c r="CB256" i="11"/>
  <c r="DC37" i="15"/>
  <c r="AA32" i="18" s="1"/>
  <c r="L226" i="32" s="1"/>
  <c r="DE259" i="11"/>
  <c r="CC85" i="6" l="1"/>
  <c r="CB73" i="11"/>
  <c r="CB257" i="11"/>
  <c r="DE261" i="11"/>
  <c r="DE262" i="11" s="1"/>
  <c r="CB108" i="5" l="1"/>
  <c r="CC86" i="6"/>
  <c r="CD83" i="6" s="1"/>
  <c r="CB74" i="11"/>
  <c r="CC71" i="11" s="1"/>
  <c r="CB107" i="5"/>
  <c r="CC254" i="11"/>
  <c r="CA36" i="15"/>
  <c r="CA35" i="15" s="1"/>
  <c r="DD37" i="15"/>
  <c r="DF259" i="11"/>
  <c r="CD84" i="6" l="1"/>
  <c r="CC256" i="11"/>
  <c r="DF261" i="11"/>
  <c r="DF262" i="11" s="1"/>
  <c r="CD85" i="6" l="1"/>
  <c r="CC73" i="11"/>
  <c r="CC257" i="11"/>
  <c r="DE37" i="15"/>
  <c r="DG259" i="11"/>
  <c r="CC108" i="5" l="1"/>
  <c r="CD86" i="6"/>
  <c r="CE83" i="6" s="1"/>
  <c r="CC107" i="5"/>
  <c r="CC74" i="11"/>
  <c r="CD71" i="11" s="1"/>
  <c r="CE84" i="6" s="1"/>
  <c r="CD254" i="11"/>
  <c r="CB36" i="15"/>
  <c r="CB35" i="15" s="1"/>
  <c r="DG261" i="11"/>
  <c r="DG262" i="11" s="1"/>
  <c r="CE85" i="6" l="1"/>
  <c r="CD256" i="11"/>
  <c r="DF37" i="15"/>
  <c r="DH259" i="11"/>
  <c r="CD108" i="5" l="1"/>
  <c r="CE86" i="6"/>
  <c r="CF83" i="6" s="1"/>
  <c r="CD73" i="11"/>
  <c r="CD257" i="11"/>
  <c r="DH261" i="11"/>
  <c r="DH262" i="11" s="1"/>
  <c r="CD107" i="5" l="1"/>
  <c r="CD74" i="11"/>
  <c r="CE71" i="11" s="1"/>
  <c r="CC36" i="15"/>
  <c r="CC35" i="15" s="1"/>
  <c r="CE254" i="11"/>
  <c r="DG37" i="15"/>
  <c r="DI259" i="11"/>
  <c r="CF84" i="6" l="1"/>
  <c r="CE256" i="11"/>
  <c r="DI261" i="11"/>
  <c r="DI262" i="11" s="1"/>
  <c r="CF85" i="6" l="1"/>
  <c r="CE73" i="11"/>
  <c r="CE257" i="11"/>
  <c r="DH37" i="15"/>
  <c r="DJ259" i="11"/>
  <c r="CE74" i="11" l="1"/>
  <c r="CF71" i="11" s="1"/>
  <c r="CE107" i="5"/>
  <c r="CD36" i="15"/>
  <c r="CD35" i="15" s="1"/>
  <c r="CF254" i="11"/>
  <c r="CE108" i="5"/>
  <c r="CF86" i="6"/>
  <c r="CG83" i="6" s="1"/>
  <c r="DJ261" i="11"/>
  <c r="DJ262" i="11" s="1"/>
  <c r="CG84" i="6" l="1"/>
  <c r="CG85" i="6" s="1"/>
  <c r="CF256" i="11"/>
  <c r="DI37" i="15"/>
  <c r="AB32" i="18" s="1"/>
  <c r="DK259" i="11"/>
  <c r="CF73" i="11" l="1"/>
  <c r="CF257" i="11"/>
  <c r="CF108" i="5"/>
  <c r="CG86" i="6"/>
  <c r="CH83" i="6" s="1"/>
  <c r="DK261" i="11"/>
  <c r="DK262" i="11" s="1"/>
  <c r="CF74" i="11" l="1"/>
  <c r="CG71" i="11" s="1"/>
  <c r="CF107" i="5"/>
  <c r="CE36" i="15"/>
  <c r="CG254" i="11"/>
  <c r="DJ37" i="15"/>
  <c r="DL259" i="11"/>
  <c r="CH84" i="6" l="1"/>
  <c r="W31" i="18"/>
  <c r="CE35" i="15"/>
  <c r="CG256" i="11"/>
  <c r="DL261" i="11"/>
  <c r="DL262" i="11" s="1"/>
  <c r="CH85" i="6" l="1"/>
  <c r="J225" i="32"/>
  <c r="W30" i="18"/>
  <c r="CG73" i="11"/>
  <c r="CG257" i="11"/>
  <c r="DK37" i="15"/>
  <c r="DM259" i="11"/>
  <c r="CG74" i="11" l="1"/>
  <c r="CH71" i="11" s="1"/>
  <c r="CG107" i="5"/>
  <c r="CF36" i="15"/>
  <c r="CF35" i="15" s="1"/>
  <c r="CH254" i="11"/>
  <c r="CG108" i="5"/>
  <c r="CH86" i="6"/>
  <c r="CI83" i="6" s="1"/>
  <c r="DM261" i="11"/>
  <c r="DM262" i="11" s="1"/>
  <c r="CI84" i="6" l="1"/>
  <c r="CI85" i="6" s="1"/>
  <c r="CH256" i="11"/>
  <c r="DL37" i="15"/>
  <c r="DN259" i="11"/>
  <c r="CH73" i="11" l="1"/>
  <c r="CH257" i="11"/>
  <c r="CH108" i="5"/>
  <c r="CI86" i="6"/>
  <c r="CJ83" i="6" s="1"/>
  <c r="DN261" i="11"/>
  <c r="DN262" i="11" s="1"/>
  <c r="CH74" i="11" l="1"/>
  <c r="CI71" i="11" s="1"/>
  <c r="CH107" i="5"/>
  <c r="CG36" i="15"/>
  <c r="CG35" i="15" s="1"/>
  <c r="CI254" i="11"/>
  <c r="DM37" i="15"/>
  <c r="DO259" i="11"/>
  <c r="CJ84" i="6" l="1"/>
  <c r="CI256" i="11"/>
  <c r="DO261" i="11"/>
  <c r="DO262" i="11" s="1"/>
  <c r="CJ85" i="6" l="1"/>
  <c r="CI73" i="11"/>
  <c r="CI257" i="11"/>
  <c r="DN37" i="15"/>
  <c r="DP259" i="11"/>
  <c r="CI74" i="11" l="1"/>
  <c r="CJ71" i="11" s="1"/>
  <c r="CI107" i="5"/>
  <c r="CH36" i="15"/>
  <c r="CH35" i="15" s="1"/>
  <c r="CJ254" i="11"/>
  <c r="CI108" i="5"/>
  <c r="CJ86" i="6"/>
  <c r="CK83" i="6" s="1"/>
  <c r="DP261" i="11"/>
  <c r="DP262" i="11" s="1"/>
  <c r="CK84" i="6" l="1"/>
  <c r="CJ256" i="11"/>
  <c r="DO37" i="15"/>
  <c r="AC32" i="18" s="1"/>
  <c r="M226" i="32" s="1"/>
  <c r="DQ259" i="11"/>
  <c r="CK85" i="6" l="1"/>
  <c r="CJ73" i="11"/>
  <c r="CJ257" i="11"/>
  <c r="DQ261" i="11"/>
  <c r="DQ262" i="11" s="1"/>
  <c r="CJ74" i="11" l="1"/>
  <c r="CK71" i="11" s="1"/>
  <c r="CL84" i="6" s="1"/>
  <c r="CJ107" i="5"/>
  <c r="CI36" i="15"/>
  <c r="CI35" i="15" s="1"/>
  <c r="CK254" i="11"/>
  <c r="CJ108" i="5"/>
  <c r="CK86" i="6"/>
  <c r="CL83" i="6" s="1"/>
  <c r="DP37" i="15"/>
  <c r="DR259" i="11"/>
  <c r="CK256" i="11" l="1"/>
  <c r="CL85" i="6"/>
  <c r="DR261" i="11"/>
  <c r="DR262" i="11" s="1"/>
  <c r="CK108" i="5" l="1"/>
  <c r="CL86" i="6"/>
  <c r="CM83" i="6" s="1"/>
  <c r="CK73" i="11"/>
  <c r="CK257" i="11"/>
  <c r="DQ37" i="15"/>
  <c r="DS259" i="11"/>
  <c r="CK74" i="11" l="1"/>
  <c r="CL71" i="11" s="1"/>
  <c r="CK107" i="5"/>
  <c r="CJ36" i="15"/>
  <c r="CJ35" i="15" s="1"/>
  <c r="CL254" i="11"/>
  <c r="DS261" i="11"/>
  <c r="DS262" i="11" s="1"/>
  <c r="CM84" i="6" l="1"/>
  <c r="CL256" i="11"/>
  <c r="DR37" i="15"/>
  <c r="DT259" i="11"/>
  <c r="CM85" i="6" l="1"/>
  <c r="CL73" i="11"/>
  <c r="CL257" i="11"/>
  <c r="DT261" i="11"/>
  <c r="DT262" i="11" s="1"/>
  <c r="CL107" i="5" l="1"/>
  <c r="CL74" i="11"/>
  <c r="CM71" i="11" s="1"/>
  <c r="CN84" i="6" s="1"/>
  <c r="CK36" i="15"/>
  <c r="CM254" i="11"/>
  <c r="CL108" i="5"/>
  <c r="CM86" i="6"/>
  <c r="CN83" i="6" s="1"/>
  <c r="DS37" i="15"/>
  <c r="DU259" i="11"/>
  <c r="X31" i="18" l="1"/>
  <c r="X30" i="18" s="1"/>
  <c r="CK35" i="15"/>
  <c r="CM256" i="11"/>
  <c r="CN85" i="6"/>
  <c r="DU261" i="11"/>
  <c r="DU262" i="11" s="1"/>
  <c r="CM108" i="5" l="1"/>
  <c r="CN86" i="6"/>
  <c r="CO83" i="6" s="1"/>
  <c r="CM73" i="11"/>
  <c r="CM257" i="11"/>
  <c r="DT37" i="15"/>
  <c r="DV259" i="11"/>
  <c r="CM107" i="5" l="1"/>
  <c r="CM74" i="11"/>
  <c r="CN71" i="11" s="1"/>
  <c r="CN254" i="11"/>
  <c r="CL36" i="15"/>
  <c r="CL35" i="15" s="1"/>
  <c r="DV261" i="11"/>
  <c r="DV262" i="11" s="1"/>
  <c r="CO84" i="6" l="1"/>
  <c r="CN256" i="11"/>
  <c r="DU37" i="15"/>
  <c r="AD32" i="18" s="1"/>
  <c r="DW259" i="11"/>
  <c r="CO85" i="6" l="1"/>
  <c r="CN73" i="11"/>
  <c r="CN257" i="11"/>
  <c r="DW261" i="11"/>
  <c r="DW262" i="11" s="1"/>
  <c r="CN107" i="5" l="1"/>
  <c r="CN74" i="11"/>
  <c r="CO71" i="11" s="1"/>
  <c r="CP84" i="6" s="1"/>
  <c r="CM36" i="15"/>
  <c r="CM35" i="15" s="1"/>
  <c r="CO254" i="11"/>
  <c r="CN108" i="5"/>
  <c r="CO86" i="6"/>
  <c r="CP83" i="6" s="1"/>
  <c r="DV37" i="15"/>
  <c r="DX259" i="11"/>
  <c r="CO256" i="11" l="1"/>
  <c r="CP85" i="6"/>
  <c r="DX261" i="11"/>
  <c r="DX262" i="11" s="1"/>
  <c r="CO73" i="11" l="1"/>
  <c r="CO257" i="11"/>
  <c r="CO108" i="5"/>
  <c r="CP86" i="6"/>
  <c r="CQ83" i="6" s="1"/>
  <c r="DW37" i="15"/>
  <c r="DY259" i="11"/>
  <c r="CO107" i="5" l="1"/>
  <c r="CO74" i="11"/>
  <c r="CP71" i="11" s="1"/>
  <c r="CP254" i="11"/>
  <c r="CN36" i="15"/>
  <c r="CN35" i="15" s="1"/>
  <c r="DY261" i="11"/>
  <c r="DY262" i="11" s="1"/>
  <c r="CQ84" i="6" l="1"/>
  <c r="CP256" i="11"/>
  <c r="DX37" i="15"/>
  <c r="DZ259" i="11"/>
  <c r="CQ85" i="6" l="1"/>
  <c r="CP73" i="11"/>
  <c r="CP257" i="11"/>
  <c r="DZ261" i="11"/>
  <c r="DZ262" i="11" s="1"/>
  <c r="CP74" i="11" l="1"/>
  <c r="CQ71" i="11" s="1"/>
  <c r="CP107" i="5"/>
  <c r="CO36" i="15"/>
  <c r="CO35" i="15" s="1"/>
  <c r="CQ254" i="11"/>
  <c r="CP108" i="5"/>
  <c r="CQ86" i="6"/>
  <c r="CR83" i="6" s="1"/>
  <c r="DY37" i="15"/>
  <c r="EA259" i="11"/>
  <c r="CR84" i="6" l="1"/>
  <c r="CQ256" i="11"/>
  <c r="EA261" i="11"/>
  <c r="EA262" i="11" s="1"/>
  <c r="CR85" i="6" l="1"/>
  <c r="CQ73" i="11"/>
  <c r="CQ257" i="11"/>
  <c r="DZ37" i="15"/>
  <c r="EB259" i="11"/>
  <c r="CQ74" i="11" l="1"/>
  <c r="CR71" i="11" s="1"/>
  <c r="CQ107" i="5"/>
  <c r="CR254" i="11"/>
  <c r="CP36" i="15"/>
  <c r="CP35" i="15" s="1"/>
  <c r="CQ108" i="5"/>
  <c r="CR86" i="6"/>
  <c r="CS83" i="6" s="1"/>
  <c r="EB261" i="11"/>
  <c r="EB262" i="11" s="1"/>
  <c r="CS84" i="6" l="1"/>
  <c r="CS85" i="6" s="1"/>
  <c r="CR256" i="11"/>
  <c r="EA37" i="15"/>
  <c r="AE32" i="18" s="1"/>
  <c r="N226" i="32" s="1"/>
  <c r="EC259" i="11"/>
  <c r="CR73" i="11" l="1"/>
  <c r="CR257" i="11"/>
  <c r="CR108" i="5"/>
  <c r="CS86" i="6"/>
  <c r="CT83" i="6" s="1"/>
  <c r="EC261" i="11"/>
  <c r="EC262" i="11" s="1"/>
  <c r="CR74" i="11" l="1"/>
  <c r="CS71" i="11" s="1"/>
  <c r="CR107" i="5"/>
  <c r="CQ36" i="15"/>
  <c r="CS254" i="11"/>
  <c r="EB37" i="15"/>
  <c r="ED259" i="11"/>
  <c r="CT84" i="6" l="1"/>
  <c r="Y31" i="18"/>
  <c r="CQ35" i="15"/>
  <c r="CS256" i="11"/>
  <c r="ED261" i="11"/>
  <c r="ED262" i="11" s="1"/>
  <c r="CT85" i="6" l="1"/>
  <c r="K225" i="32"/>
  <c r="Y30" i="18"/>
  <c r="CS73" i="11"/>
  <c r="CS257" i="11"/>
  <c r="EC37" i="15"/>
  <c r="EE259" i="11"/>
  <c r="CS108" i="5" l="1"/>
  <c r="CT86" i="6"/>
  <c r="CU83" i="6" s="1"/>
  <c r="CS74" i="11"/>
  <c r="CT71" i="11" s="1"/>
  <c r="CS107" i="5"/>
  <c r="CR36" i="15"/>
  <c r="CR35" i="15" s="1"/>
  <c r="CT254" i="11"/>
  <c r="EE261" i="11"/>
  <c r="EE262" i="11" s="1"/>
  <c r="CU84" i="6" l="1"/>
  <c r="CT256" i="11"/>
  <c r="ED37" i="15"/>
  <c r="EF259" i="11"/>
  <c r="CU85" i="6" l="1"/>
  <c r="CT73" i="11"/>
  <c r="CT257" i="11"/>
  <c r="EF261" i="11"/>
  <c r="EF262" i="11" s="1"/>
  <c r="CT74" i="11" l="1"/>
  <c r="CU71" i="11" s="1"/>
  <c r="CT107" i="5"/>
  <c r="CS36" i="15"/>
  <c r="CS35" i="15" s="1"/>
  <c r="CU254" i="11"/>
  <c r="CT108" i="5"/>
  <c r="CU86" i="6"/>
  <c r="CV83" i="6" s="1"/>
  <c r="EE37" i="15"/>
  <c r="EG259" i="11"/>
  <c r="CV84" i="6" l="1"/>
  <c r="CV85" i="6" s="1"/>
  <c r="CU108" i="5" s="1"/>
  <c r="CU256" i="11"/>
  <c r="EG261" i="11"/>
  <c r="EG262" i="11" s="1"/>
  <c r="CV86" i="6" l="1"/>
  <c r="CW83" i="6" s="1"/>
  <c r="CU73" i="11"/>
  <c r="CU257" i="11"/>
  <c r="EF37" i="15"/>
  <c r="EH259" i="11"/>
  <c r="CU74" i="11" l="1"/>
  <c r="CV71" i="11" s="1"/>
  <c r="CU107" i="5"/>
  <c r="CV254" i="11"/>
  <c r="CT36" i="15"/>
  <c r="CT35" i="15" s="1"/>
  <c r="EH261" i="11"/>
  <c r="EH262" i="11" s="1"/>
  <c r="CW84" i="6" l="1"/>
  <c r="CV256" i="11"/>
  <c r="EG37" i="15"/>
  <c r="AF32" i="18" s="1"/>
  <c r="EI259" i="11"/>
  <c r="CW85" i="6" l="1"/>
  <c r="CV73" i="11"/>
  <c r="CV257" i="11"/>
  <c r="EI261" i="11"/>
  <c r="EI262" i="11" s="1"/>
  <c r="CV108" i="5" l="1"/>
  <c r="CW86" i="6"/>
  <c r="CX83" i="6" s="1"/>
  <c r="CV74" i="11"/>
  <c r="CW71" i="11" s="1"/>
  <c r="CV107" i="5"/>
  <c r="CW254" i="11"/>
  <c r="CU36" i="15"/>
  <c r="CU35" i="15" s="1"/>
  <c r="EH37" i="15"/>
  <c r="EJ259" i="11"/>
  <c r="CX84" i="6" l="1"/>
  <c r="CW256" i="11"/>
  <c r="EJ261" i="11"/>
  <c r="EJ262" i="11" s="1"/>
  <c r="CX85" i="6" l="1"/>
  <c r="CW73" i="11"/>
  <c r="CW257" i="11"/>
  <c r="EI37" i="15"/>
  <c r="EK259" i="11"/>
  <c r="CW74" i="11" l="1"/>
  <c r="CX71" i="11" s="1"/>
  <c r="CW107" i="5"/>
  <c r="CV36" i="15"/>
  <c r="CV35" i="15" s="1"/>
  <c r="CX254" i="11"/>
  <c r="CW108" i="5"/>
  <c r="CX86" i="6"/>
  <c r="CY83" i="6" s="1"/>
  <c r="EK261" i="11"/>
  <c r="EK262" i="11" s="1"/>
  <c r="CY84" i="6" l="1"/>
  <c r="CX256" i="11"/>
  <c r="EJ37" i="15"/>
  <c r="EL259" i="11"/>
  <c r="CY85" i="6" l="1"/>
  <c r="CX73" i="11"/>
  <c r="CX257" i="11"/>
  <c r="EL261" i="11"/>
  <c r="EL262" i="11" s="1"/>
  <c r="CX74" i="11" l="1"/>
  <c r="CY71" i="11" s="1"/>
  <c r="CX107" i="5"/>
  <c r="CW36" i="15"/>
  <c r="CY254" i="11"/>
  <c r="CX108" i="5"/>
  <c r="CY86" i="6"/>
  <c r="CZ83" i="6" s="1"/>
  <c r="EK37" i="15"/>
  <c r="EM259" i="11"/>
  <c r="CZ84" i="6" l="1"/>
  <c r="AA102" i="17"/>
  <c r="CW35" i="15"/>
  <c r="Z31" i="18"/>
  <c r="Z30" i="18" s="1"/>
  <c r="CY256" i="11"/>
  <c r="EM261" i="11"/>
  <c r="EM262" i="11" s="1"/>
  <c r="CZ85" i="6" l="1"/>
  <c r="CY73" i="11"/>
  <c r="CY257" i="11"/>
  <c r="EL37" i="15"/>
  <c r="EN259" i="11"/>
  <c r="CY107" i="5" l="1"/>
  <c r="CY74" i="11"/>
  <c r="CZ71" i="11" s="1"/>
  <c r="DA84" i="6" s="1"/>
  <c r="CX36" i="15"/>
  <c r="CX35" i="15" s="1"/>
  <c r="CZ254" i="11"/>
  <c r="CY108" i="5"/>
  <c r="CZ86" i="6"/>
  <c r="DA83" i="6" s="1"/>
  <c r="EN261" i="11"/>
  <c r="EN262" i="11" s="1"/>
  <c r="CZ256" i="11" l="1"/>
  <c r="DA85" i="6"/>
  <c r="EM37" i="15"/>
  <c r="AG32" i="18" s="1"/>
  <c r="EO259" i="11"/>
  <c r="CZ73" i="11" l="1"/>
  <c r="CZ257" i="11"/>
  <c r="CZ108" i="5"/>
  <c r="DA86" i="6"/>
  <c r="DB83" i="6" s="1"/>
  <c r="EO261" i="11"/>
  <c r="EO262" i="11" s="1"/>
  <c r="CZ107" i="5" l="1"/>
  <c r="CZ74" i="11"/>
  <c r="DA71" i="11" s="1"/>
  <c r="DA254" i="11"/>
  <c r="CY36" i="15"/>
  <c r="CY35" i="15" s="1"/>
  <c r="EN37" i="15"/>
  <c r="EP259" i="11"/>
  <c r="DB84" i="6" l="1"/>
  <c r="DA256" i="11"/>
  <c r="EP261" i="11"/>
  <c r="EP262" i="11" s="1"/>
  <c r="DB85" i="6" l="1"/>
  <c r="DA73" i="11"/>
  <c r="DA257" i="11"/>
  <c r="EO37" i="15"/>
  <c r="EQ259" i="11"/>
  <c r="DA74" i="11" l="1"/>
  <c r="DB71" i="11" s="1"/>
  <c r="DA107" i="5"/>
  <c r="DB254" i="11"/>
  <c r="CZ36" i="15"/>
  <c r="CZ35" i="15" s="1"/>
  <c r="DA108" i="5"/>
  <c r="DB86" i="6"/>
  <c r="DC83" i="6" s="1"/>
  <c r="EQ261" i="11"/>
  <c r="DC84" i="6" l="1"/>
  <c r="DC85" i="6" s="1"/>
  <c r="DB256" i="11"/>
  <c r="J261" i="11"/>
  <c r="EQ262" i="11"/>
  <c r="EP37" i="15" s="1"/>
  <c r="DB73" i="11" l="1"/>
  <c r="DB257" i="11"/>
  <c r="DB108" i="5"/>
  <c r="DC86" i="6"/>
  <c r="DD83" i="6" s="1"/>
  <c r="DB74" i="11" l="1"/>
  <c r="DC71" i="11" s="1"/>
  <c r="DB107" i="5"/>
  <c r="DA36" i="15"/>
  <c r="DA35" i="15" s="1"/>
  <c r="DC254" i="11"/>
  <c r="DD84" i="6" l="1"/>
  <c r="DC256" i="11"/>
  <c r="DD85" i="6" l="1"/>
  <c r="DC73" i="11"/>
  <c r="DC257" i="11"/>
  <c r="DC74" i="11" l="1"/>
  <c r="DD71" i="11" s="1"/>
  <c r="DC107" i="5"/>
  <c r="DD254" i="11"/>
  <c r="DB36" i="15"/>
  <c r="DB35" i="15" s="1"/>
  <c r="DC108" i="5"/>
  <c r="DD86" i="6"/>
  <c r="DE83" i="6" s="1"/>
  <c r="DE84" i="6" l="1"/>
  <c r="DD256" i="11"/>
  <c r="DE85" i="6" l="1"/>
  <c r="DD73" i="11"/>
  <c r="DD257" i="11"/>
  <c r="DD108" i="5" l="1"/>
  <c r="DE86" i="6"/>
  <c r="DF83" i="6" s="1"/>
  <c r="DD74" i="11"/>
  <c r="DE71" i="11" s="1"/>
  <c r="DD107" i="5"/>
  <c r="DC36" i="15"/>
  <c r="DE254" i="11"/>
  <c r="DF84" i="6" l="1"/>
  <c r="DC35" i="15"/>
  <c r="AA31" i="18"/>
  <c r="DE256" i="11"/>
  <c r="DF85" i="6" l="1"/>
  <c r="L225" i="32"/>
  <c r="AA30" i="18"/>
  <c r="DE73" i="11"/>
  <c r="DE257" i="11"/>
  <c r="DE74" i="11" l="1"/>
  <c r="DF71" i="11" s="1"/>
  <c r="DE107" i="5"/>
  <c r="DD36" i="15"/>
  <c r="DD35" i="15" s="1"/>
  <c r="DF254" i="11"/>
  <c r="DE108" i="5"/>
  <c r="DF86" i="6"/>
  <c r="DG83" i="6" s="1"/>
  <c r="DG84" i="6" l="1"/>
  <c r="DF256" i="11"/>
  <c r="DG85" i="6" l="1"/>
  <c r="DF73" i="11"/>
  <c r="DF257" i="11"/>
  <c r="DF74" i="11" l="1"/>
  <c r="DG71" i="11" s="1"/>
  <c r="DF107" i="5"/>
  <c r="DE36" i="15"/>
  <c r="DE35" i="15" s="1"/>
  <c r="DG254" i="11"/>
  <c r="DF108" i="5"/>
  <c r="DG86" i="6"/>
  <c r="DH83" i="6" s="1"/>
  <c r="DH84" i="6" l="1"/>
  <c r="DG256" i="11"/>
  <c r="DG73" i="11" l="1"/>
  <c r="DG257" i="11"/>
  <c r="DH85" i="6"/>
  <c r="DH254" i="11" l="1"/>
  <c r="DH256" i="11" s="1"/>
  <c r="DF36" i="15"/>
  <c r="DF35" i="15" s="1"/>
  <c r="DG74" i="11"/>
  <c r="DH71" i="11" s="1"/>
  <c r="DI84" i="6" s="1"/>
  <c r="DG107" i="5"/>
  <c r="DG108" i="5"/>
  <c r="DH86" i="6"/>
  <c r="DI83" i="6" s="1"/>
  <c r="DI85" i="6" l="1"/>
  <c r="DH108" i="5" s="1"/>
  <c r="DH73" i="11"/>
  <c r="DH257" i="11"/>
  <c r="DI86" i="6" l="1"/>
  <c r="DJ83" i="6" s="1"/>
  <c r="DH107" i="5"/>
  <c r="DH74" i="11"/>
  <c r="DI71" i="11" s="1"/>
  <c r="DG36" i="15"/>
  <c r="DG35" i="15" s="1"/>
  <c r="DI254" i="11"/>
  <c r="DJ84" i="6" l="1"/>
  <c r="DI256" i="11"/>
  <c r="DJ85" i="6" l="1"/>
  <c r="DI73" i="11"/>
  <c r="DI257" i="11"/>
  <c r="DI74" i="11" l="1"/>
  <c r="DJ71" i="11" s="1"/>
  <c r="DI107" i="5"/>
  <c r="DJ254" i="11"/>
  <c r="DH36" i="15"/>
  <c r="DH35" i="15" s="1"/>
  <c r="DI108" i="5"/>
  <c r="DJ86" i="6"/>
  <c r="DK83" i="6" s="1"/>
  <c r="DK84" i="6" l="1"/>
  <c r="DJ256" i="11"/>
  <c r="DK85" i="6" l="1"/>
  <c r="DJ73" i="11"/>
  <c r="DJ257" i="11"/>
  <c r="DJ74" i="11" l="1"/>
  <c r="DK71" i="11" s="1"/>
  <c r="DJ107" i="5"/>
  <c r="DI36" i="15"/>
  <c r="DK254" i="11"/>
  <c r="DJ108" i="5"/>
  <c r="DK86" i="6"/>
  <c r="DL83" i="6" s="1"/>
  <c r="DL84" i="6" l="1"/>
  <c r="AC102" i="17"/>
  <c r="DI35" i="15"/>
  <c r="AB31" i="18"/>
  <c r="AB30" i="18" s="1"/>
  <c r="DK256" i="11"/>
  <c r="DL85" i="6" l="1"/>
  <c r="DK73" i="11"/>
  <c r="DK257" i="11"/>
  <c r="DK108" i="5" l="1"/>
  <c r="DL86" i="6"/>
  <c r="DM83" i="6" s="1"/>
  <c r="DK107" i="5"/>
  <c r="DK74" i="11"/>
  <c r="DL71" i="11" s="1"/>
  <c r="DM84" i="6" s="1"/>
  <c r="DL254" i="11"/>
  <c r="DJ36" i="15"/>
  <c r="DJ35" i="15" s="1"/>
  <c r="DM85" i="6" l="1"/>
  <c r="DL256" i="11"/>
  <c r="DL108" i="5" l="1"/>
  <c r="DM86" i="6"/>
  <c r="DN83" i="6" s="1"/>
  <c r="DL73" i="11"/>
  <c r="DL257" i="11"/>
  <c r="DL74" i="11" l="1"/>
  <c r="DM71" i="11" s="1"/>
  <c r="DL107" i="5"/>
  <c r="DM254" i="11"/>
  <c r="DK36" i="15"/>
  <c r="DK35" i="15" s="1"/>
  <c r="DN84" i="6" l="1"/>
  <c r="DM256" i="11"/>
  <c r="DN85" i="6" l="1"/>
  <c r="DM73" i="11"/>
  <c r="DM257" i="11"/>
  <c r="DM74" i="11" l="1"/>
  <c r="DN71" i="11" s="1"/>
  <c r="DM107" i="5"/>
  <c r="DL36" i="15"/>
  <c r="DL35" i="15" s="1"/>
  <c r="DN254" i="11"/>
  <c r="DM108" i="5"/>
  <c r="DN86" i="6"/>
  <c r="DO83" i="6" s="1"/>
  <c r="DO84" i="6" l="1"/>
  <c r="DN256" i="11"/>
  <c r="DO85" i="6" l="1"/>
  <c r="DN73" i="11"/>
  <c r="DN257" i="11"/>
  <c r="DN108" i="5" l="1"/>
  <c r="DO86" i="6"/>
  <c r="DP83" i="6" s="1"/>
  <c r="DN74" i="11"/>
  <c r="DO71" i="11" s="1"/>
  <c r="DN107" i="5"/>
  <c r="DM36" i="15"/>
  <c r="DM35" i="15" s="1"/>
  <c r="DO254" i="11"/>
  <c r="DP84" i="6" l="1"/>
  <c r="DO256" i="11"/>
  <c r="DP85" i="6" l="1"/>
  <c r="DO73" i="11"/>
  <c r="DO257" i="11"/>
  <c r="DO74" i="11" l="1"/>
  <c r="DP71" i="11" s="1"/>
  <c r="DO107" i="5"/>
  <c r="DP254" i="11"/>
  <c r="DN36" i="15"/>
  <c r="DN35" i="15" s="1"/>
  <c r="DO108" i="5"/>
  <c r="DP86" i="6"/>
  <c r="DQ83" i="6" s="1"/>
  <c r="DQ84" i="6" l="1"/>
  <c r="DQ85" i="6" s="1"/>
  <c r="DP256" i="11"/>
  <c r="DP73" i="11" l="1"/>
  <c r="DP257" i="11"/>
  <c r="DP108" i="5"/>
  <c r="DQ86" i="6"/>
  <c r="DR83" i="6" s="1"/>
  <c r="DP74" i="11" l="1"/>
  <c r="DQ71" i="11" s="1"/>
  <c r="DP107" i="5"/>
  <c r="DO36" i="15"/>
  <c r="DQ254" i="11"/>
  <c r="DR84" i="6" l="1"/>
  <c r="DO35" i="15"/>
  <c r="AC31" i="18"/>
  <c r="DQ256" i="11"/>
  <c r="DR85" i="6" l="1"/>
  <c r="M225" i="32"/>
  <c r="AC30" i="18"/>
  <c r="DQ73" i="11"/>
  <c r="DQ257" i="11"/>
  <c r="DQ74" i="11" l="1"/>
  <c r="DR71" i="11" s="1"/>
  <c r="DQ107" i="5"/>
  <c r="DP36" i="15"/>
  <c r="DP35" i="15" s="1"/>
  <c r="DR254" i="11"/>
  <c r="DQ108" i="5"/>
  <c r="DR86" i="6"/>
  <c r="DS83" i="6" s="1"/>
  <c r="DS84" i="6" l="1"/>
  <c r="DR256" i="11"/>
  <c r="DS85" i="6" l="1"/>
  <c r="DR73" i="11"/>
  <c r="DR257" i="11"/>
  <c r="DR74" i="11" l="1"/>
  <c r="DS71" i="11" s="1"/>
  <c r="DR107" i="5"/>
  <c r="DQ36" i="15"/>
  <c r="DQ35" i="15" s="1"/>
  <c r="DS254" i="11"/>
  <c r="DR108" i="5"/>
  <c r="DS86" i="6"/>
  <c r="DT83" i="6" s="1"/>
  <c r="DT84" i="6" l="1"/>
  <c r="DS256" i="11"/>
  <c r="DT85" i="6" l="1"/>
  <c r="DS73" i="11"/>
  <c r="DS257" i="11"/>
  <c r="DS74" i="11" l="1"/>
  <c r="DT71" i="11" s="1"/>
  <c r="DS107" i="5"/>
  <c r="DR36" i="15"/>
  <c r="DR35" i="15" s="1"/>
  <c r="DT254" i="11"/>
  <c r="DS108" i="5"/>
  <c r="DT86" i="6"/>
  <c r="DU83" i="6" s="1"/>
  <c r="DU84" i="6" l="1"/>
  <c r="DT256" i="11"/>
  <c r="DU85" i="6" l="1"/>
  <c r="DT73" i="11"/>
  <c r="DT257" i="11"/>
  <c r="DT107" i="5" l="1"/>
  <c r="DT74" i="11"/>
  <c r="DU71" i="11" s="1"/>
  <c r="DV84" i="6" s="1"/>
  <c r="DS36" i="15"/>
  <c r="DS35" i="15" s="1"/>
  <c r="DU254" i="11"/>
  <c r="DT108" i="5"/>
  <c r="DU86" i="6"/>
  <c r="DV83" i="6" s="1"/>
  <c r="DU256" i="11" l="1"/>
  <c r="DV85" i="6"/>
  <c r="DU73" i="11" l="1"/>
  <c r="DU257" i="11"/>
  <c r="DU108" i="5"/>
  <c r="DV86" i="6"/>
  <c r="DW83" i="6" s="1"/>
  <c r="DU107" i="5" l="1"/>
  <c r="DU74" i="11"/>
  <c r="DV71" i="11" s="1"/>
  <c r="DV254" i="11"/>
  <c r="DT36" i="15"/>
  <c r="DT35" i="15" s="1"/>
  <c r="DW84" i="6" l="1"/>
  <c r="DV256" i="11"/>
  <c r="DW85" i="6" l="1"/>
  <c r="DV73" i="11"/>
  <c r="DV257" i="11"/>
  <c r="DV108" i="5" l="1"/>
  <c r="DW86" i="6"/>
  <c r="DX83" i="6" s="1"/>
  <c r="DV74" i="11"/>
  <c r="DW71" i="11" s="1"/>
  <c r="DV107" i="5"/>
  <c r="DW254" i="11"/>
  <c r="DU36" i="15"/>
  <c r="DX84" i="6" l="1"/>
  <c r="DW256" i="11"/>
  <c r="DU35" i="15"/>
  <c r="AD31" i="18"/>
  <c r="AD30" i="18" s="1"/>
  <c r="DX85" i="6" l="1"/>
  <c r="DW73" i="11"/>
  <c r="DW257" i="11"/>
  <c r="DW108" i="5" l="1"/>
  <c r="DX86" i="6"/>
  <c r="DY83" i="6" s="1"/>
  <c r="DW74" i="11"/>
  <c r="DX71" i="11" s="1"/>
  <c r="DW107" i="5"/>
  <c r="DV36" i="15"/>
  <c r="DV35" i="15" s="1"/>
  <c r="DX254" i="11"/>
  <c r="DY84" i="6" l="1"/>
  <c r="DX256" i="11"/>
  <c r="DY85" i="6" l="1"/>
  <c r="DX73" i="11"/>
  <c r="DX257" i="11"/>
  <c r="DX74" i="11" l="1"/>
  <c r="DY71" i="11" s="1"/>
  <c r="DX107" i="5"/>
  <c r="DW36" i="15"/>
  <c r="DW35" i="15" s="1"/>
  <c r="DY254" i="11"/>
  <c r="DX108" i="5"/>
  <c r="DY86" i="6"/>
  <c r="DZ83" i="6" s="1"/>
  <c r="DZ84" i="6" l="1"/>
  <c r="DZ85" i="6" s="1"/>
  <c r="DY256" i="11"/>
  <c r="DY73" i="11" l="1"/>
  <c r="DY257" i="11"/>
  <c r="DY108" i="5"/>
  <c r="DZ86" i="6"/>
  <c r="EA83" i="6" s="1"/>
  <c r="DY74" i="11" l="1"/>
  <c r="DZ71" i="11" s="1"/>
  <c r="DY107" i="5"/>
  <c r="DX36" i="15"/>
  <c r="DX35" i="15" s="1"/>
  <c r="DZ254" i="11"/>
  <c r="EA84" i="6" l="1"/>
  <c r="DZ256" i="11"/>
  <c r="EA85" i="6" l="1"/>
  <c r="DZ73" i="11"/>
  <c r="DZ257" i="11"/>
  <c r="DZ107" i="5" l="1"/>
  <c r="DZ74" i="11"/>
  <c r="EA71" i="11" s="1"/>
  <c r="EB84" i="6" s="1"/>
  <c r="DY36" i="15"/>
  <c r="DY35" i="15" s="1"/>
  <c r="EA254" i="11"/>
  <c r="DZ108" i="5"/>
  <c r="EA86" i="6"/>
  <c r="EB83" i="6" s="1"/>
  <c r="EA256" i="11" l="1"/>
  <c r="EB85" i="6"/>
  <c r="EA73" i="11" l="1"/>
  <c r="EA257" i="11"/>
  <c r="EA108" i="5"/>
  <c r="EB86" i="6"/>
  <c r="EC83" i="6" s="1"/>
  <c r="EB254" i="11" l="1"/>
  <c r="EB256" i="11" s="1"/>
  <c r="DZ36" i="15"/>
  <c r="DZ35" i="15" s="1"/>
  <c r="EA74" i="11"/>
  <c r="EB71" i="11" s="1"/>
  <c r="EC84" i="6" s="1"/>
  <c r="EC85" i="6" s="1"/>
  <c r="EB108" i="5" s="1"/>
  <c r="EA107" i="5"/>
  <c r="D74" i="1"/>
  <c r="D75" i="1"/>
  <c r="C81" i="21" s="1"/>
  <c r="D76" i="1"/>
  <c r="D79" i="1"/>
  <c r="C85" i="21" s="1"/>
  <c r="D80" i="1"/>
  <c r="C86" i="21" s="1"/>
  <c r="D81" i="1"/>
  <c r="C87" i="21" s="1"/>
  <c r="D82" i="1"/>
  <c r="D84" i="1"/>
  <c r="C90" i="21" s="1"/>
  <c r="D85" i="1"/>
  <c r="C91" i="21" s="1"/>
  <c r="D89" i="1"/>
  <c r="D90" i="1"/>
  <c r="C96" i="21" s="1"/>
  <c r="D92" i="1"/>
  <c r="C98" i="21" s="1"/>
  <c r="EC86" i="6" l="1"/>
  <c r="ED83" i="6" s="1"/>
  <c r="EB73" i="11"/>
  <c r="EB257" i="11"/>
  <c r="C95" i="21"/>
  <c r="C88" i="21"/>
  <c r="C82" i="21"/>
  <c r="C80" i="21"/>
  <c r="EB74" i="11" l="1"/>
  <c r="EC71" i="11" s="1"/>
  <c r="EB107" i="5"/>
  <c r="EA36" i="15"/>
  <c r="EC254" i="11"/>
  <c r="ED84" i="6" l="1"/>
  <c r="EA35" i="15"/>
  <c r="AE31" i="18"/>
  <c r="EC256" i="11"/>
  <c r="EC257" i="11" s="1"/>
  <c r="M103" i="26"/>
  <c r="E74" i="1"/>
  <c r="N103" i="17"/>
  <c r="E75" i="1"/>
  <c r="O103" i="17"/>
  <c r="N103" i="26"/>
  <c r="Q103" i="17"/>
  <c r="O103" i="26"/>
  <c r="E79" i="1"/>
  <c r="P103" i="26"/>
  <c r="S103" i="17"/>
  <c r="E80" i="1"/>
  <c r="T103" i="17"/>
  <c r="U103" i="17"/>
  <c r="E81" i="1"/>
  <c r="Q103" i="26"/>
  <c r="R103" i="26"/>
  <c r="X103" i="17"/>
  <c r="E84" i="1"/>
  <c r="S103" i="26"/>
  <c r="Y103" i="17"/>
  <c r="E85" i="1"/>
  <c r="Z103" i="17"/>
  <c r="E86" i="1"/>
  <c r="T103" i="26"/>
  <c r="AA103" i="17"/>
  <c r="E87" i="1"/>
  <c r="AB103" i="17"/>
  <c r="E88" i="1"/>
  <c r="U103" i="26"/>
  <c r="AD103" i="17"/>
  <c r="E90" i="1"/>
  <c r="AE103" i="17"/>
  <c r="E91" i="1"/>
  <c r="V103" i="26"/>
  <c r="AF103" i="17"/>
  <c r="E92" i="1"/>
  <c r="ED85" i="6" l="1"/>
  <c r="ED86" i="6" s="1"/>
  <c r="EE83" i="6" s="1"/>
  <c r="N225" i="32"/>
  <c r="AE30" i="18"/>
  <c r="EB36" i="15"/>
  <c r="EB35" i="15" s="1"/>
  <c r="ED254" i="11"/>
  <c r="EC73" i="11"/>
  <c r="D97" i="21"/>
  <c r="F317" i="32"/>
  <c r="D91" i="21"/>
  <c r="F311" i="32"/>
  <c r="D96" i="21"/>
  <c r="F316" i="32"/>
  <c r="D81" i="21"/>
  <c r="F301" i="32"/>
  <c r="D94" i="21"/>
  <c r="F314" i="32"/>
  <c r="D87" i="21"/>
  <c r="F307" i="32"/>
  <c r="D85" i="21"/>
  <c r="F305" i="32"/>
  <c r="D80" i="21"/>
  <c r="F300" i="32"/>
  <c r="D93" i="21"/>
  <c r="F313" i="32"/>
  <c r="D98" i="21"/>
  <c r="F318" i="32"/>
  <c r="M102" i="26"/>
  <c r="N102" i="17"/>
  <c r="N102" i="26"/>
  <c r="P102" i="17"/>
  <c r="Q102" i="17"/>
  <c r="O102" i="26"/>
  <c r="P102" i="26"/>
  <c r="T102" i="17"/>
  <c r="Q102" i="26"/>
  <c r="R102" i="26"/>
  <c r="X102" i="17"/>
  <c r="S102" i="26"/>
  <c r="Z102" i="17"/>
  <c r="T102" i="26"/>
  <c r="AB102" i="17"/>
  <c r="U102" i="26"/>
  <c r="AD102" i="17"/>
  <c r="V102" i="26"/>
  <c r="AF102" i="17"/>
  <c r="D92" i="21"/>
  <c r="F312" i="32"/>
  <c r="D86" i="21"/>
  <c r="F306" i="32"/>
  <c r="D90" i="21"/>
  <c r="F310" i="32"/>
  <c r="EC108" i="5" l="1"/>
  <c r="ED256" i="11"/>
  <c r="ED257" i="11" s="1"/>
  <c r="EC74" i="11"/>
  <c r="ED71" i="11" s="1"/>
  <c r="EC107" i="5"/>
  <c r="H307" i="32"/>
  <c r="L307" i="32"/>
  <c r="L301" i="32"/>
  <c r="H301" i="32"/>
  <c r="H311" i="32"/>
  <c r="L311" i="32"/>
  <c r="H300" i="32"/>
  <c r="L300" i="32"/>
  <c r="L314" i="32"/>
  <c r="H314" i="32"/>
  <c r="L312" i="32"/>
  <c r="H312" i="32"/>
  <c r="L316" i="32"/>
  <c r="H316" i="32"/>
  <c r="L317" i="32"/>
  <c r="H317" i="32"/>
  <c r="L310" i="32"/>
  <c r="H310" i="32"/>
  <c r="L305" i="32"/>
  <c r="H305" i="32"/>
  <c r="H313" i="32"/>
  <c r="L313" i="32"/>
  <c r="L306" i="32"/>
  <c r="H306" i="32"/>
  <c r="L318" i="32"/>
  <c r="H318" i="32"/>
  <c r="EC36" i="15" l="1"/>
  <c r="EC35" i="15" s="1"/>
  <c r="EE254" i="11"/>
  <c r="ED73" i="11"/>
  <c r="ED74" i="11" s="1"/>
  <c r="EE71" i="11" s="1"/>
  <c r="EE84" i="6"/>
  <c r="EE256" i="11" l="1"/>
  <c r="EE257" i="11" s="1"/>
  <c r="ED107" i="5"/>
  <c r="EE85" i="6"/>
  <c r="EE86" i="6" s="1"/>
  <c r="EF83" i="6" s="1"/>
  <c r="EF84" i="6"/>
  <c r="ED36" i="15" l="1"/>
  <c r="ED35" i="15" s="1"/>
  <c r="EF254" i="11"/>
  <c r="EE73" i="11"/>
  <c r="EF85" i="6"/>
  <c r="ED108" i="5"/>
  <c r="EF256" i="11" l="1"/>
  <c r="EF257" i="11" s="1"/>
  <c r="EE74" i="11"/>
  <c r="EF71" i="11" s="1"/>
  <c r="EE107" i="5"/>
  <c r="EE108" i="5"/>
  <c r="EF86" i="6"/>
  <c r="EG83" i="6" s="1"/>
  <c r="EG254" i="11" l="1"/>
  <c r="EE36" i="15"/>
  <c r="EE35" i="15" s="1"/>
  <c r="EF73" i="11"/>
  <c r="EF74" i="11" s="1"/>
  <c r="EG71" i="11" s="1"/>
  <c r="EH84" i="6" s="1"/>
  <c r="EG84" i="6"/>
  <c r="EG256" i="11" l="1"/>
  <c r="EG257" i="11" s="1"/>
  <c r="EF107" i="5"/>
  <c r="EG85" i="6"/>
  <c r="EG86" i="6" s="1"/>
  <c r="EH83" i="6" s="1"/>
  <c r="EH254" i="11" l="1"/>
  <c r="EF36" i="15"/>
  <c r="EF35" i="15" s="1"/>
  <c r="EG73" i="11"/>
  <c r="EH85" i="6"/>
  <c r="EF108" i="5"/>
  <c r="EG108" i="5" l="1"/>
  <c r="EH86" i="6"/>
  <c r="EI83" i="6" s="1"/>
  <c r="EH256" i="11"/>
  <c r="EH257" i="11" s="1"/>
  <c r="EG107" i="5"/>
  <c r="EG74" i="11"/>
  <c r="EH71" i="11" s="1"/>
  <c r="EH73" i="11" l="1"/>
  <c r="EH74" i="11" s="1"/>
  <c r="EI71" i="11" s="1"/>
  <c r="EI254" i="11"/>
  <c r="EG36" i="15"/>
  <c r="EI84" i="6"/>
  <c r="EH107" i="5" l="1"/>
  <c r="EI256" i="11"/>
  <c r="EI257" i="11" s="1"/>
  <c r="AF31" i="18"/>
  <c r="AF30" i="18" s="1"/>
  <c r="EG35" i="15"/>
  <c r="EJ84" i="6"/>
  <c r="EI85" i="6"/>
  <c r="EI86" i="6" s="1"/>
  <c r="EJ83" i="6" s="1"/>
  <c r="AG102" i="17" l="1"/>
  <c r="EJ254" i="11"/>
  <c r="EH36" i="15"/>
  <c r="EH35" i="15" s="1"/>
  <c r="EI73" i="11"/>
  <c r="EJ85" i="6"/>
  <c r="EH108" i="5"/>
  <c r="EI108" i="5" l="1"/>
  <c r="EJ86" i="6"/>
  <c r="EK83" i="6" s="1"/>
  <c r="EJ256" i="11"/>
  <c r="EJ257" i="11" s="1"/>
  <c r="EI74" i="11"/>
  <c r="EJ71" i="11" s="1"/>
  <c r="EI107" i="5"/>
  <c r="AG103" i="17"/>
  <c r="EK254" i="11" l="1"/>
  <c r="EI36" i="15"/>
  <c r="EI35" i="15" s="1"/>
  <c r="EJ73" i="11"/>
  <c r="EJ74" i="11" s="1"/>
  <c r="EK71" i="11" s="1"/>
  <c r="EK84" i="6"/>
  <c r="EK256" i="11" l="1"/>
  <c r="EK257" i="11" s="1"/>
  <c r="EJ107" i="5"/>
  <c r="EK85" i="6"/>
  <c r="EK86" i="6" s="1"/>
  <c r="EL83" i="6" s="1"/>
  <c r="EL84" i="6"/>
  <c r="EL254" i="11" l="1"/>
  <c r="EJ36" i="15"/>
  <c r="EJ35" i="15" s="1"/>
  <c r="EK73" i="11"/>
  <c r="EJ108" i="5"/>
  <c r="EL85" i="6"/>
  <c r="EL256" i="11" l="1"/>
  <c r="EL257" i="11" s="1"/>
  <c r="EK74" i="11"/>
  <c r="EL71" i="11" s="1"/>
  <c r="EK107" i="5"/>
  <c r="EL86" i="6"/>
  <c r="EM83" i="6" s="1"/>
  <c r="EK108" i="5"/>
  <c r="EK36" i="15" l="1"/>
  <c r="EK35" i="15" s="1"/>
  <c r="EM254" i="11"/>
  <c r="EL73" i="11"/>
  <c r="EL74" i="11" s="1"/>
  <c r="EM71" i="11" s="1"/>
  <c r="EM84" i="6"/>
  <c r="EM256" i="11" l="1"/>
  <c r="EM257" i="11" s="1"/>
  <c r="EL107" i="5"/>
  <c r="EN84" i="6"/>
  <c r="EM85" i="6"/>
  <c r="EM86" i="6" s="1"/>
  <c r="EN83" i="6" s="1"/>
  <c r="EM73" i="11" l="1"/>
  <c r="EN254" i="11"/>
  <c r="EL36" i="15"/>
  <c r="EL35" i="15" s="1"/>
  <c r="EN85" i="6"/>
  <c r="EL108" i="5"/>
  <c r="EM74" i="11" l="1"/>
  <c r="EN71" i="11" s="1"/>
  <c r="EM107" i="5"/>
  <c r="EN256" i="11"/>
  <c r="EN257" i="11" s="1"/>
  <c r="EM108" i="5"/>
  <c r="EN86" i="6"/>
  <c r="EO83" i="6" s="1"/>
  <c r="EO84" i="6" l="1"/>
  <c r="EO254" i="11"/>
  <c r="EM36" i="15"/>
  <c r="EN73" i="11"/>
  <c r="EN74" i="11" s="1"/>
  <c r="EO71" i="11" s="1"/>
  <c r="EP84" i="6" l="1"/>
  <c r="EO256" i="11"/>
  <c r="EO257" i="11" s="1"/>
  <c r="EM35" i="15"/>
  <c r="AG31" i="18"/>
  <c r="AG30" i="18" s="1"/>
  <c r="EN107" i="5"/>
  <c r="EO85" i="6"/>
  <c r="EO86" i="6" s="1"/>
  <c r="EP83" i="6" s="1"/>
  <c r="EP254" i="11" l="1"/>
  <c r="EN36" i="15"/>
  <c r="EN35" i="15" s="1"/>
  <c r="EO73" i="11"/>
  <c r="EN108" i="5"/>
  <c r="EP85" i="6"/>
  <c r="EP86" i="6" s="1"/>
  <c r="EQ83" i="6" s="1"/>
  <c r="EP256" i="11" l="1"/>
  <c r="EP257" i="11" s="1"/>
  <c r="EO74" i="11"/>
  <c r="EP71" i="11" s="1"/>
  <c r="EO107" i="5"/>
  <c r="AH103" i="17"/>
  <c r="EO108" i="5"/>
  <c r="EQ254" i="11" l="1"/>
  <c r="EQ256" i="11" s="1"/>
  <c r="J256" i="11" s="1"/>
  <c r="EO36" i="15"/>
  <c r="EO35" i="15" s="1"/>
  <c r="EP73" i="11"/>
  <c r="EP74" i="11" s="1"/>
  <c r="EQ71" i="11" s="1"/>
  <c r="EQ84" i="6"/>
  <c r="EQ73" i="11" l="1"/>
  <c r="EQ74" i="11" s="1"/>
  <c r="EQ257" i="11"/>
  <c r="EP36" i="15" s="1"/>
  <c r="EP35" i="15" s="1"/>
  <c r="EP107" i="5"/>
  <c r="EQ85" i="6"/>
  <c r="EQ86" i="6" s="1"/>
  <c r="ER83" i="6" s="1"/>
  <c r="ER84" i="6"/>
  <c r="K84" i="6" s="1"/>
  <c r="D91" i="1"/>
  <c r="D88" i="1"/>
  <c r="D87" i="1"/>
  <c r="D86" i="1"/>
  <c r="EP108" i="5" l="1"/>
  <c r="ER85" i="6"/>
  <c r="ER86" i="6" s="1"/>
  <c r="C97" i="21"/>
  <c r="C94" i="21"/>
  <c r="C93" i="21"/>
  <c r="D93" i="1"/>
  <c r="C100" i="21" s="1"/>
  <c r="C92" i="21"/>
  <c r="EQ107" i="5"/>
  <c r="J107" i="5" s="1"/>
  <c r="J73" i="11"/>
  <c r="X102" i="26" l="1"/>
  <c r="AI102" i="17"/>
  <c r="Y102" i="17"/>
  <c r="AE102" i="17"/>
  <c r="W102" i="26"/>
  <c r="AH102" i="17"/>
  <c r="EQ108" i="5"/>
  <c r="L828" i="32" s="1"/>
  <c r="K85" i="6"/>
  <c r="J108" i="5" l="1"/>
  <c r="X103" i="26"/>
  <c r="AI103" i="17"/>
  <c r="J102" i="17"/>
  <c r="J102" i="26"/>
  <c r="E89" i="1"/>
  <c r="AC103" i="17"/>
  <c r="W103" i="26"/>
  <c r="F315" i="32" l="1"/>
  <c r="D95" i="21"/>
  <c r="J103" i="17"/>
  <c r="J103" i="26"/>
  <c r="F319" i="32" l="1"/>
  <c r="L315" i="32"/>
  <c r="L319" i="32" s="1"/>
  <c r="H315" i="32"/>
  <c r="H319" i="32" l="1"/>
  <c r="U402" i="32" l="1"/>
  <c r="Q35" i="1"/>
  <c r="Y34" i="1"/>
  <c r="AG32" i="1"/>
  <c r="AF32" i="1"/>
  <c r="AA32" i="1"/>
  <c r="Z32" i="1"/>
  <c r="Y32" i="1"/>
  <c r="W32" i="1"/>
  <c r="AG31" i="1"/>
  <c r="AF31" i="1"/>
  <c r="AA31" i="1"/>
  <c r="AD31" i="1" s="1"/>
  <c r="Z31" i="1"/>
  <c r="AC31" i="1" s="1"/>
  <c r="Y31" i="1"/>
  <c r="W31" i="1"/>
  <c r="AG30" i="1"/>
  <c r="AF30" i="1"/>
  <c r="AA30" i="1"/>
  <c r="AD30" i="1" s="1"/>
  <c r="Z30" i="1"/>
  <c r="AC30" i="1" s="1"/>
  <c r="Y30" i="1"/>
  <c r="W30" i="1"/>
  <c r="AG29" i="1"/>
  <c r="AF29" i="1"/>
  <c r="AA29" i="1"/>
  <c r="AD29" i="1" s="1"/>
  <c r="Z29" i="1"/>
  <c r="AC29" i="1" s="1"/>
  <c r="Y29" i="1"/>
  <c r="W29" i="1"/>
  <c r="AG28" i="1"/>
  <c r="AF28" i="1"/>
  <c r="AA28" i="1"/>
  <c r="AD28" i="1" s="1"/>
  <c r="Z28" i="1"/>
  <c r="AC28" i="1" s="1"/>
  <c r="Y28" i="1"/>
  <c r="W28" i="1"/>
  <c r="AG27" i="1"/>
  <c r="AF27" i="1"/>
  <c r="AA27" i="1"/>
  <c r="AD27" i="1" s="1"/>
  <c r="Z27" i="1"/>
  <c r="AC27" i="1" s="1"/>
  <c r="Y27" i="1"/>
  <c r="W27" i="1"/>
  <c r="AG26" i="1"/>
  <c r="AA26" i="1"/>
  <c r="AD26" i="1" s="1"/>
  <c r="Z26" i="1"/>
  <c r="AC26" i="1" s="1"/>
  <c r="Y26" i="1"/>
  <c r="W26" i="1"/>
  <c r="X23" i="1"/>
  <c r="AH26" i="1" l="1"/>
  <c r="G177" i="14" a="1"/>
  <c r="G177" i="14" s="1"/>
  <c r="G176" i="14" a="1"/>
  <c r="G174" i="14" a="1"/>
  <c r="G173" i="14" a="1"/>
  <c r="G170" i="14" a="1"/>
  <c r="G167" i="14" a="1"/>
  <c r="G163" i="14" a="1"/>
  <c r="G171" i="14" a="1"/>
  <c r="G165" i="14" a="1"/>
  <c r="G164" i="14" a="1"/>
  <c r="G168" i="14" a="1"/>
  <c r="G166" i="14" a="1"/>
  <c r="G162" i="14" a="1"/>
  <c r="G175" i="14" a="1"/>
  <c r="G169" i="14" a="1"/>
  <c r="G172" i="14" a="1"/>
  <c r="AH27" i="1"/>
  <c r="C110" i="21" s="1"/>
  <c r="AH29" i="1"/>
  <c r="AH31" i="1"/>
  <c r="C960" i="32"/>
  <c r="Z23" i="1"/>
  <c r="AW70" i="1"/>
  <c r="AK22" i="1"/>
  <c r="AL22" i="1" s="1"/>
  <c r="AL26" i="1"/>
  <c r="AM26" i="1" s="1"/>
  <c r="AB32" i="1"/>
  <c r="AB31" i="1"/>
  <c r="AI31" i="1" s="1"/>
  <c r="AB29" i="1"/>
  <c r="AI29" i="1" s="1"/>
  <c r="AL31" i="1"/>
  <c r="AM31" i="1" s="1"/>
  <c r="AB26" i="1"/>
  <c r="AL28" i="1"/>
  <c r="AM28" i="1" s="1"/>
  <c r="AB27" i="1"/>
  <c r="AI27" i="1" s="1"/>
  <c r="AB30" i="1"/>
  <c r="AI30" i="1" s="1"/>
  <c r="AB28" i="1"/>
  <c r="AI28" i="1" s="1"/>
  <c r="AL27" i="1"/>
  <c r="AM27" i="1" s="1"/>
  <c r="AL29" i="1"/>
  <c r="AM29" i="1" s="1"/>
  <c r="AL30" i="1"/>
  <c r="AM30" i="1" s="1"/>
  <c r="W33" i="1"/>
  <c r="Y33" i="1" s="1"/>
  <c r="AF33" i="1"/>
  <c r="AH28" i="1"/>
  <c r="AH30" i="1"/>
  <c r="AH32" i="1"/>
  <c r="AD34" i="1"/>
  <c r="AF34" i="1"/>
  <c r="AH34" i="1"/>
  <c r="AC34" i="1"/>
  <c r="Z34" i="1"/>
  <c r="AA34" i="1"/>
  <c r="AE34" i="1"/>
  <c r="AB34" i="1"/>
  <c r="AG34" i="1"/>
  <c r="N12" i="10"/>
  <c r="Q12" i="14" s="1"/>
  <c r="O12" i="10"/>
  <c r="R12" i="14" s="1"/>
  <c r="P12" i="10"/>
  <c r="S12" i="14" s="1"/>
  <c r="Q12" i="10"/>
  <c r="T12" i="14" s="1"/>
  <c r="R12" i="10"/>
  <c r="U12" i="14" s="1"/>
  <c r="S12" i="10"/>
  <c r="V12" i="14" s="1"/>
  <c r="T12" i="10"/>
  <c r="W12" i="14" s="1"/>
  <c r="U12" i="10"/>
  <c r="X12" i="14" s="1"/>
  <c r="V12" i="10"/>
  <c r="Y12" i="14" s="1"/>
  <c r="W12" i="10"/>
  <c r="Z12" i="14" s="1"/>
  <c r="X12" i="10"/>
  <c r="AA12" i="14" s="1"/>
  <c r="Y12" i="10"/>
  <c r="AB12" i="14" s="1"/>
  <c r="F41" i="32"/>
  <c r="E435" i="32"/>
  <c r="T56" i="21"/>
  <c r="D86" i="32"/>
  <c r="N452" i="32"/>
  <c r="C4" i="33"/>
  <c r="C6" i="33" s="1"/>
  <c r="I100" i="11"/>
  <c r="S32" i="1"/>
  <c r="D87" i="32"/>
  <c r="E438" i="32"/>
  <c r="F42" i="32"/>
  <c r="T57" i="21"/>
  <c r="N453" i="32"/>
  <c r="I115" i="11"/>
  <c r="S35" i="1"/>
  <c r="G110" i="21" l="1"/>
  <c r="I110" i="21"/>
  <c r="E110" i="21"/>
  <c r="F110" i="21"/>
  <c r="D110" i="21"/>
  <c r="AH33" i="1"/>
  <c r="G172" i="14"/>
  <c r="P172" i="14" s="1"/>
  <c r="G166" i="14"/>
  <c r="P166" i="14" s="1"/>
  <c r="G171" i="14"/>
  <c r="P171" i="14" s="1"/>
  <c r="G173" i="14"/>
  <c r="P173" i="14" s="1"/>
  <c r="E953" i="32"/>
  <c r="E952" i="32"/>
  <c r="Z33" i="1"/>
  <c r="G169" i="14"/>
  <c r="P169" i="14" s="1"/>
  <c r="G168" i="14"/>
  <c r="P168" i="14" s="1"/>
  <c r="G163" i="14"/>
  <c r="P163" i="14" s="1"/>
  <c r="G174" i="14"/>
  <c r="P174" i="14" s="1"/>
  <c r="F952" i="32"/>
  <c r="F953" i="32"/>
  <c r="G175" i="14"/>
  <c r="P175" i="14" s="1"/>
  <c r="G164" i="14"/>
  <c r="P164" i="14" s="1"/>
  <c r="G167" i="14"/>
  <c r="P167" i="14" s="1"/>
  <c r="G176" i="14"/>
  <c r="P176" i="14" s="1"/>
  <c r="AI26" i="1"/>
  <c r="G48" i="14" a="1"/>
  <c r="G48" i="14" s="1"/>
  <c r="Z48" i="14" s="1"/>
  <c r="G37" i="14" a="1"/>
  <c r="G37" i="14" s="1"/>
  <c r="W37" i="14" s="1"/>
  <c r="G42" i="14" a="1"/>
  <c r="G42" i="14" s="1"/>
  <c r="AA42" i="14" s="1"/>
  <c r="G50" i="14" a="1"/>
  <c r="G50" i="14" s="1"/>
  <c r="AB50" i="14" s="1"/>
  <c r="G45" i="14" a="1"/>
  <c r="G45" i="14" s="1"/>
  <c r="U45" i="14" s="1"/>
  <c r="G38" i="14" a="1"/>
  <c r="G38" i="14" s="1"/>
  <c r="W38" i="14" s="1"/>
  <c r="G51" i="14" a="1"/>
  <c r="G51" i="14" s="1"/>
  <c r="W51" i="14" s="1"/>
  <c r="G49" i="14" a="1"/>
  <c r="G49" i="14" s="1"/>
  <c r="W49" i="14" s="1"/>
  <c r="G46" i="14" a="1"/>
  <c r="G46" i="14" s="1"/>
  <c r="U46" i="14" s="1"/>
  <c r="G44" i="14" a="1"/>
  <c r="G44" i="14" s="1"/>
  <c r="Z44" i="14" s="1"/>
  <c r="G43" i="14" a="1"/>
  <c r="G43" i="14" s="1"/>
  <c r="Z43" i="14" s="1"/>
  <c r="G39" i="14" a="1"/>
  <c r="G39" i="14" s="1"/>
  <c r="W39" i="14" s="1"/>
  <c r="G41" i="14" a="1"/>
  <c r="G41" i="14" s="1"/>
  <c r="AA41" i="14" s="1"/>
  <c r="G36" i="14" a="1"/>
  <c r="G36" i="14" s="1"/>
  <c r="W36" i="14" s="1"/>
  <c r="G47" i="14" a="1"/>
  <c r="G47" i="14" s="1"/>
  <c r="W47" i="14" s="1"/>
  <c r="G40" i="14" a="1"/>
  <c r="G40" i="14" s="1"/>
  <c r="S40" i="14" s="1"/>
  <c r="AI32" i="1"/>
  <c r="AD32" i="1"/>
  <c r="G162" i="14"/>
  <c r="P162" i="14" s="1"/>
  <c r="G165" i="14"/>
  <c r="P165" i="14" s="1"/>
  <c r="G170" i="14"/>
  <c r="P170" i="14" s="1"/>
  <c r="G213" i="14"/>
  <c r="P213" i="14" s="1"/>
  <c r="P177" i="14"/>
  <c r="W155" i="14"/>
  <c r="W143" i="14"/>
  <c r="W145" i="14"/>
  <c r="W157" i="14"/>
  <c r="W144" i="14"/>
  <c r="W154" i="14"/>
  <c r="W161" i="14"/>
  <c r="W63" i="14"/>
  <c r="W29" i="14"/>
  <c r="W194" i="14"/>
  <c r="W195" i="14"/>
  <c r="W61" i="14"/>
  <c r="W55" i="14"/>
  <c r="W186" i="14"/>
  <c r="W21" i="14"/>
  <c r="W193" i="14"/>
  <c r="W20" i="14"/>
  <c r="W54" i="14"/>
  <c r="W53" i="14"/>
  <c r="W19" i="14"/>
  <c r="W158" i="14"/>
  <c r="W172" i="14"/>
  <c r="W171" i="14"/>
  <c r="W168" i="14"/>
  <c r="W31" i="14"/>
  <c r="W28" i="14"/>
  <c r="W33" i="14"/>
  <c r="W58" i="14"/>
  <c r="W25" i="14"/>
  <c r="W191" i="14"/>
  <c r="W180" i="14"/>
  <c r="W184" i="14"/>
  <c r="W164" i="14"/>
  <c r="W159" i="14"/>
  <c r="W64" i="14"/>
  <c r="W26" i="14"/>
  <c r="W69" i="14"/>
  <c r="W66" i="14"/>
  <c r="W35" i="14"/>
  <c r="W17" i="14"/>
  <c r="W30" i="14"/>
  <c r="W190" i="14"/>
  <c r="W18" i="14"/>
  <c r="W148" i="14"/>
  <c r="W163" i="14"/>
  <c r="W166" i="14"/>
  <c r="W152" i="14"/>
  <c r="W65" i="14"/>
  <c r="W153" i="14"/>
  <c r="W23" i="14"/>
  <c r="W22" i="14"/>
  <c r="W187" i="14"/>
  <c r="W165" i="14"/>
  <c r="W59" i="14"/>
  <c r="W27" i="14"/>
  <c r="W57" i="14"/>
  <c r="W197" i="14"/>
  <c r="W167" i="14"/>
  <c r="W56" i="14"/>
  <c r="W147" i="14"/>
  <c r="W156" i="14"/>
  <c r="W185" i="14"/>
  <c r="W188" i="14"/>
  <c r="W146" i="14"/>
  <c r="W170" i="14"/>
  <c r="W150" i="14"/>
  <c r="W24" i="14"/>
  <c r="W151" i="14"/>
  <c r="W183" i="14"/>
  <c r="W149" i="14"/>
  <c r="W62" i="14"/>
  <c r="W71" i="14"/>
  <c r="W189" i="14"/>
  <c r="W192" i="14"/>
  <c r="W67" i="14"/>
  <c r="W179" i="14"/>
  <c r="W68" i="14"/>
  <c r="W181" i="14"/>
  <c r="W32" i="14"/>
  <c r="W182" i="14"/>
  <c r="W177" i="14"/>
  <c r="W173" i="14"/>
  <c r="W60" i="14"/>
  <c r="AX12" i="10"/>
  <c r="BA12" i="14" s="1"/>
  <c r="AY12" i="10"/>
  <c r="BB12" i="14" s="1"/>
  <c r="AZ12" i="10"/>
  <c r="BC12" i="14" s="1"/>
  <c r="BA12" i="10"/>
  <c r="BD12" i="14" s="1"/>
  <c r="BB12" i="10"/>
  <c r="BE12" i="14" s="1"/>
  <c r="BC12" i="10"/>
  <c r="BF12" i="14" s="1"/>
  <c r="BD12" i="10"/>
  <c r="BG12" i="14" s="1"/>
  <c r="BE12" i="10"/>
  <c r="BH12" i="14" s="1"/>
  <c r="BF12" i="10"/>
  <c r="BI12" i="14" s="1"/>
  <c r="BG12" i="10"/>
  <c r="BJ12" i="14" s="1"/>
  <c r="BH12" i="10"/>
  <c r="BK12" i="14" s="1"/>
  <c r="BI12" i="10"/>
  <c r="BL12" i="14" s="1"/>
  <c r="V57" i="21"/>
  <c r="G438" i="32"/>
  <c r="G42" i="32"/>
  <c r="E42" i="32" s="1"/>
  <c r="L100" i="11"/>
  <c r="M100" i="11"/>
  <c r="N100" i="11"/>
  <c r="O100" i="11"/>
  <c r="P47" i="6" s="1"/>
  <c r="P100" i="11"/>
  <c r="Q47" i="6" s="1"/>
  <c r="Q100" i="11"/>
  <c r="R47" i="6" s="1"/>
  <c r="R100" i="11"/>
  <c r="S47" i="6" s="1"/>
  <c r="S100" i="11"/>
  <c r="T47" i="6" s="1"/>
  <c r="T100" i="11"/>
  <c r="U47" i="6" s="1"/>
  <c r="U100" i="11"/>
  <c r="V47" i="6" s="1"/>
  <c r="V100" i="11"/>
  <c r="W100" i="11"/>
  <c r="X47" i="6" s="1"/>
  <c r="X100" i="11"/>
  <c r="Y47" i="6" s="1"/>
  <c r="Y100" i="11"/>
  <c r="Z47" i="6" s="1"/>
  <c r="Z100" i="11"/>
  <c r="AA47" i="6" s="1"/>
  <c r="AA100" i="11"/>
  <c r="AB47" i="6" s="1"/>
  <c r="AB100" i="11"/>
  <c r="AC47" i="6" s="1"/>
  <c r="AC100" i="11"/>
  <c r="AD47" i="6" s="1"/>
  <c r="AD100" i="11"/>
  <c r="AE47" i="6" s="1"/>
  <c r="AE100" i="11"/>
  <c r="AF47" i="6" s="1"/>
  <c r="AF100" i="11"/>
  <c r="AG47" i="6" s="1"/>
  <c r="AG100" i="11"/>
  <c r="AH47" i="6" s="1"/>
  <c r="AH100" i="11"/>
  <c r="AI47" i="6" s="1"/>
  <c r="AI100" i="11"/>
  <c r="AJ47" i="6" s="1"/>
  <c r="AJ100" i="11"/>
  <c r="AK47" i="6" s="1"/>
  <c r="AK100" i="11"/>
  <c r="AL47" i="6" s="1"/>
  <c r="AL100" i="11"/>
  <c r="AM47" i="6" s="1"/>
  <c r="AM100" i="11"/>
  <c r="AN47" i="6" s="1"/>
  <c r="AN100" i="11"/>
  <c r="AO47" i="6" s="1"/>
  <c r="AO100" i="11"/>
  <c r="AP47" i="6" s="1"/>
  <c r="AP100" i="11"/>
  <c r="AQ47" i="6" s="1"/>
  <c r="AQ100" i="11"/>
  <c r="AR47" i="6" s="1"/>
  <c r="AR100" i="11"/>
  <c r="AS47" i="6" s="1"/>
  <c r="AS100" i="11"/>
  <c r="AT47" i="6" s="1"/>
  <c r="AT100" i="11"/>
  <c r="AU47" i="6" s="1"/>
  <c r="AU100" i="11"/>
  <c r="AV47" i="6" s="1"/>
  <c r="AV100" i="11"/>
  <c r="AW47" i="6" s="1"/>
  <c r="AW100" i="11"/>
  <c r="AX47" i="6" s="1"/>
  <c r="AX100" i="11"/>
  <c r="AY47" i="6" s="1"/>
  <c r="AY100" i="11"/>
  <c r="AZ47" i="6" s="1"/>
  <c r="AZ100" i="11"/>
  <c r="BA47" i="6" s="1"/>
  <c r="BA100" i="11"/>
  <c r="BB47" i="6" s="1"/>
  <c r="BB100" i="11"/>
  <c r="BC47" i="6" s="1"/>
  <c r="BC100" i="11"/>
  <c r="BD47" i="6" s="1"/>
  <c r="BD100" i="11"/>
  <c r="BE47" i="6" s="1"/>
  <c r="BE100" i="11"/>
  <c r="BF47" i="6" s="1"/>
  <c r="BF100" i="11"/>
  <c r="BG47" i="6" s="1"/>
  <c r="BG100" i="11"/>
  <c r="BH47" i="6" s="1"/>
  <c r="BH100" i="11"/>
  <c r="BI47" i="6" s="1"/>
  <c r="BI100" i="11"/>
  <c r="BJ47" i="6" s="1"/>
  <c r="BJ100" i="11"/>
  <c r="BK47" i="6" s="1"/>
  <c r="BK100" i="11"/>
  <c r="BL47" i="6" s="1"/>
  <c r="BL100" i="11"/>
  <c r="BM47" i="6" s="1"/>
  <c r="BM100" i="11"/>
  <c r="BN47" i="6" s="1"/>
  <c r="BN100" i="11"/>
  <c r="BO47" i="6" s="1"/>
  <c r="BO100" i="11"/>
  <c r="BP47" i="6" s="1"/>
  <c r="BP100" i="11"/>
  <c r="BQ47" i="6" s="1"/>
  <c r="BQ100" i="11"/>
  <c r="BR47" i="6" s="1"/>
  <c r="BR100" i="11"/>
  <c r="BS47" i="6" s="1"/>
  <c r="BS100" i="11"/>
  <c r="BT47" i="6" s="1"/>
  <c r="BT100" i="11"/>
  <c r="BU47" i="6" s="1"/>
  <c r="BU100" i="11"/>
  <c r="BV47" i="6" s="1"/>
  <c r="BV100" i="11"/>
  <c r="BW47" i="6" s="1"/>
  <c r="BW100" i="11"/>
  <c r="BX47" i="6" s="1"/>
  <c r="BX100" i="11"/>
  <c r="BY47" i="6" s="1"/>
  <c r="BY100" i="11"/>
  <c r="BZ47" i="6" s="1"/>
  <c r="BZ100" i="11"/>
  <c r="CA47" i="6" s="1"/>
  <c r="CA100" i="11"/>
  <c r="CB47" i="6" s="1"/>
  <c r="CB100" i="11"/>
  <c r="CC47" i="6" s="1"/>
  <c r="CC100" i="11"/>
  <c r="CD47" i="6" s="1"/>
  <c r="CD100" i="11"/>
  <c r="CE47" i="6" s="1"/>
  <c r="CE100" i="11"/>
  <c r="CF47" i="6" s="1"/>
  <c r="CF100" i="11"/>
  <c r="CG47" i="6" s="1"/>
  <c r="CG100" i="11"/>
  <c r="CH47" i="6" s="1"/>
  <c r="CH100" i="11"/>
  <c r="CI47" i="6" s="1"/>
  <c r="CI100" i="11"/>
  <c r="CJ47" i="6" s="1"/>
  <c r="CJ100" i="11"/>
  <c r="CK47" i="6" s="1"/>
  <c r="CK100" i="11"/>
  <c r="CL47" i="6" s="1"/>
  <c r="CL100" i="11"/>
  <c r="CM47" i="6" s="1"/>
  <c r="CM100" i="11"/>
  <c r="CN47" i="6" s="1"/>
  <c r="CN100" i="11"/>
  <c r="CO47" i="6" s="1"/>
  <c r="CO100" i="11"/>
  <c r="CP47" i="6" s="1"/>
  <c r="CP100" i="11"/>
  <c r="CQ47" i="6" s="1"/>
  <c r="CQ100" i="11"/>
  <c r="CR47" i="6" s="1"/>
  <c r="CR100" i="11"/>
  <c r="CS47" i="6" s="1"/>
  <c r="CS100" i="11"/>
  <c r="CT47" i="6" s="1"/>
  <c r="CT100" i="11"/>
  <c r="CU47" i="6" s="1"/>
  <c r="CU100" i="11"/>
  <c r="CV47" i="6" s="1"/>
  <c r="CV100" i="11"/>
  <c r="CW47" i="6" s="1"/>
  <c r="CW100" i="11"/>
  <c r="CX47" i="6" s="1"/>
  <c r="CX100" i="11"/>
  <c r="CY47" i="6" s="1"/>
  <c r="CY100" i="11"/>
  <c r="CZ47" i="6" s="1"/>
  <c r="CZ100" i="11"/>
  <c r="DA47" i="6" s="1"/>
  <c r="DA100" i="11"/>
  <c r="DB47" i="6" s="1"/>
  <c r="DB100" i="11"/>
  <c r="DC47" i="6" s="1"/>
  <c r="DC100" i="11"/>
  <c r="DD47" i="6" s="1"/>
  <c r="DD100" i="11"/>
  <c r="DE47" i="6" s="1"/>
  <c r="DE100" i="11"/>
  <c r="DF47" i="6" s="1"/>
  <c r="DF100" i="11"/>
  <c r="DG47" i="6" s="1"/>
  <c r="DG100" i="11"/>
  <c r="DH47" i="6" s="1"/>
  <c r="DH100" i="11"/>
  <c r="DI47" i="6" s="1"/>
  <c r="DI100" i="11"/>
  <c r="DJ47" i="6" s="1"/>
  <c r="DJ100" i="11"/>
  <c r="DK47" i="6" s="1"/>
  <c r="DK100" i="11"/>
  <c r="DL47" i="6" s="1"/>
  <c r="DL100" i="11"/>
  <c r="DM47" i="6" s="1"/>
  <c r="DM100" i="11"/>
  <c r="DN47" i="6" s="1"/>
  <c r="DN100" i="11"/>
  <c r="DO47" i="6" s="1"/>
  <c r="DO100" i="11"/>
  <c r="DP47" i="6" s="1"/>
  <c r="DP100" i="11"/>
  <c r="DQ47" i="6" s="1"/>
  <c r="DQ100" i="11"/>
  <c r="DR47" i="6" s="1"/>
  <c r="DR100" i="11"/>
  <c r="DS47" i="6" s="1"/>
  <c r="DS100" i="11"/>
  <c r="DT47" i="6" s="1"/>
  <c r="DT100" i="11"/>
  <c r="DU47" i="6" s="1"/>
  <c r="DU100" i="11"/>
  <c r="DV47" i="6" s="1"/>
  <c r="DV100" i="11"/>
  <c r="DW47" i="6" s="1"/>
  <c r="DW100" i="11"/>
  <c r="DX47" i="6" s="1"/>
  <c r="DX100" i="11"/>
  <c r="DY47" i="6" s="1"/>
  <c r="DY100" i="11"/>
  <c r="DZ47" i="6" s="1"/>
  <c r="DZ100" i="11"/>
  <c r="EA47" i="6" s="1"/>
  <c r="EA100" i="11"/>
  <c r="EB47" i="6" s="1"/>
  <c r="EB100" i="11"/>
  <c r="EC47" i="6" s="1"/>
  <c r="EC100" i="11"/>
  <c r="ED47" i="6" s="1"/>
  <c r="ED100" i="11"/>
  <c r="EE47" i="6" s="1"/>
  <c r="EE100" i="11"/>
  <c r="EF47" i="6" s="1"/>
  <c r="EF100" i="11"/>
  <c r="EG47" i="6" s="1"/>
  <c r="EG100" i="11"/>
  <c r="EH47" i="6" s="1"/>
  <c r="EH100" i="11"/>
  <c r="EI47" i="6" s="1"/>
  <c r="EI100" i="11"/>
  <c r="EJ47" i="6" s="1"/>
  <c r="EJ100" i="11"/>
  <c r="EK47" i="6" s="1"/>
  <c r="EK100" i="11"/>
  <c r="EL47" i="6" s="1"/>
  <c r="EL100" i="11"/>
  <c r="EM47" i="6" s="1"/>
  <c r="EM100" i="11"/>
  <c r="EN47" i="6" s="1"/>
  <c r="EN100" i="11"/>
  <c r="EO47" i="6" s="1"/>
  <c r="EO100" i="11"/>
  <c r="EP47" i="6" s="1"/>
  <c r="EP100" i="11"/>
  <c r="EQ47" i="6" s="1"/>
  <c r="EQ100" i="11"/>
  <c r="ER47" i="6" s="1"/>
  <c r="AA163" i="14"/>
  <c r="AA146" i="14"/>
  <c r="AA166" i="14"/>
  <c r="AA168" i="14"/>
  <c r="AA31" i="14"/>
  <c r="AA153" i="14"/>
  <c r="AA18" i="14"/>
  <c r="AA172" i="14"/>
  <c r="AA68" i="14"/>
  <c r="AA144" i="14"/>
  <c r="AA159" i="14"/>
  <c r="AA54" i="14"/>
  <c r="AA158" i="14"/>
  <c r="AA30" i="14"/>
  <c r="AA177" i="14"/>
  <c r="AA67" i="14"/>
  <c r="AA71" i="14"/>
  <c r="AA69" i="14"/>
  <c r="AA53" i="14"/>
  <c r="AA176" i="14"/>
  <c r="AA60" i="14"/>
  <c r="AA66" i="14"/>
  <c r="AA61" i="14"/>
  <c r="AA162" i="14"/>
  <c r="AA21" i="14"/>
  <c r="AA24" i="14"/>
  <c r="AA182" i="14"/>
  <c r="AA22" i="14"/>
  <c r="AA56" i="14"/>
  <c r="AA180" i="14"/>
  <c r="AA188" i="14"/>
  <c r="AA155" i="14"/>
  <c r="AA184" i="14"/>
  <c r="AA191" i="14"/>
  <c r="AA192" i="14"/>
  <c r="AA33" i="14"/>
  <c r="AA185" i="14"/>
  <c r="AA27" i="14"/>
  <c r="AA174" i="14"/>
  <c r="AA175" i="14"/>
  <c r="AA62" i="14"/>
  <c r="AA161" i="14"/>
  <c r="AA19" i="14"/>
  <c r="AA164" i="14"/>
  <c r="AA193" i="14"/>
  <c r="AA169" i="14"/>
  <c r="AA145" i="14"/>
  <c r="AA17" i="14"/>
  <c r="AA186" i="14"/>
  <c r="AA167" i="14"/>
  <c r="AA58" i="14"/>
  <c r="AA194" i="14"/>
  <c r="AA173" i="14"/>
  <c r="AA23" i="14"/>
  <c r="AA170" i="14"/>
  <c r="AA55" i="14"/>
  <c r="AA190" i="14"/>
  <c r="AA154" i="14"/>
  <c r="AA187" i="14"/>
  <c r="AA147" i="14"/>
  <c r="AA152" i="14"/>
  <c r="AA26" i="14"/>
  <c r="AA35" i="14"/>
  <c r="AA157" i="14"/>
  <c r="AA181" i="14"/>
  <c r="AA32" i="14"/>
  <c r="AA165" i="14"/>
  <c r="AA143" i="14"/>
  <c r="AA29" i="14"/>
  <c r="AA25" i="14"/>
  <c r="AA59" i="14"/>
  <c r="AA149" i="14"/>
  <c r="AA156" i="14"/>
  <c r="AA57" i="14"/>
  <c r="AA148" i="14"/>
  <c r="AA64" i="14"/>
  <c r="AA195" i="14"/>
  <c r="AA171" i="14"/>
  <c r="AA150" i="14"/>
  <c r="AA183" i="14"/>
  <c r="AA28" i="14"/>
  <c r="AA63" i="14"/>
  <c r="AA20" i="14"/>
  <c r="AA151" i="14"/>
  <c r="AA189" i="14"/>
  <c r="AA65" i="14"/>
  <c r="AA179" i="14"/>
  <c r="AA197" i="14"/>
  <c r="S168" i="14"/>
  <c r="S174" i="14"/>
  <c r="S150" i="14"/>
  <c r="S147" i="14"/>
  <c r="S213" i="14"/>
  <c r="S167" i="14"/>
  <c r="S31" i="14"/>
  <c r="S21" i="14"/>
  <c r="S26" i="14"/>
  <c r="S184" i="14"/>
  <c r="S175" i="14"/>
  <c r="S151" i="14"/>
  <c r="S33" i="14"/>
  <c r="S176" i="14"/>
  <c r="S171" i="14"/>
  <c r="S60" i="14"/>
  <c r="S190" i="14"/>
  <c r="S56" i="14"/>
  <c r="S66" i="14"/>
  <c r="S188" i="14"/>
  <c r="S25" i="14"/>
  <c r="S164" i="14"/>
  <c r="S179" i="14"/>
  <c r="S35" i="14"/>
  <c r="S166" i="14"/>
  <c r="S158" i="14"/>
  <c r="S71" i="14"/>
  <c r="S18" i="14"/>
  <c r="S161" i="14"/>
  <c r="S172" i="14"/>
  <c r="S22" i="14"/>
  <c r="S193" i="14"/>
  <c r="S65" i="14"/>
  <c r="S32" i="14"/>
  <c r="S152" i="14"/>
  <c r="S62" i="14"/>
  <c r="S68" i="14"/>
  <c r="S191" i="14"/>
  <c r="S180" i="14"/>
  <c r="S144" i="14"/>
  <c r="S169" i="14"/>
  <c r="S23" i="14"/>
  <c r="S154" i="14"/>
  <c r="S28" i="14"/>
  <c r="S173" i="14"/>
  <c r="S163" i="14"/>
  <c r="S17" i="14"/>
  <c r="S143" i="14"/>
  <c r="S155" i="14"/>
  <c r="S146" i="14"/>
  <c r="S19" i="14"/>
  <c r="S57" i="14"/>
  <c r="S189" i="14"/>
  <c r="S195" i="14"/>
  <c r="S181" i="14"/>
  <c r="S64" i="14"/>
  <c r="S194" i="14"/>
  <c r="S183" i="14"/>
  <c r="S187" i="14"/>
  <c r="S170" i="14"/>
  <c r="S156" i="14"/>
  <c r="S55" i="14"/>
  <c r="S185" i="14"/>
  <c r="S61" i="14"/>
  <c r="S69" i="14"/>
  <c r="S192" i="14"/>
  <c r="S165" i="14"/>
  <c r="S197" i="14"/>
  <c r="S54" i="14"/>
  <c r="S63" i="14"/>
  <c r="S162" i="14"/>
  <c r="S30" i="14"/>
  <c r="S20" i="14"/>
  <c r="S153" i="14"/>
  <c r="S149" i="14"/>
  <c r="S177" i="14"/>
  <c r="S24" i="14"/>
  <c r="S67" i="14"/>
  <c r="S148" i="14"/>
  <c r="S58" i="14"/>
  <c r="S182" i="14"/>
  <c r="S27" i="14"/>
  <c r="S53" i="14"/>
  <c r="S59" i="14"/>
  <c r="S157" i="14"/>
  <c r="S145" i="14"/>
  <c r="S186" i="14"/>
  <c r="S159" i="14"/>
  <c r="S29" i="14"/>
  <c r="BJ12" i="10"/>
  <c r="BM12" i="14" s="1"/>
  <c r="BK12" i="10"/>
  <c r="BN12" i="14" s="1"/>
  <c r="BL12" i="10"/>
  <c r="BO12" i="14" s="1"/>
  <c r="BM12" i="10"/>
  <c r="BP12" i="14" s="1"/>
  <c r="BN12" i="10"/>
  <c r="BQ12" i="14" s="1"/>
  <c r="BO12" i="10"/>
  <c r="BR12" i="14" s="1"/>
  <c r="BP12" i="10"/>
  <c r="BS12" i="14" s="1"/>
  <c r="BQ12" i="10"/>
  <c r="BT12" i="14" s="1"/>
  <c r="BR12" i="10"/>
  <c r="BU12" i="14" s="1"/>
  <c r="BS12" i="10"/>
  <c r="BV12" i="14" s="1"/>
  <c r="BT12" i="10"/>
  <c r="BW12" i="14" s="1"/>
  <c r="BU12" i="10"/>
  <c r="BX12" i="14" s="1"/>
  <c r="L115" i="11"/>
  <c r="M115" i="11"/>
  <c r="N50" i="6" s="1"/>
  <c r="N115" i="11"/>
  <c r="O50" i="6" s="1"/>
  <c r="O115" i="11"/>
  <c r="P50" i="6" s="1"/>
  <c r="P115" i="11"/>
  <c r="Q50" i="6" s="1"/>
  <c r="Q115" i="11"/>
  <c r="R50" i="6" s="1"/>
  <c r="R115" i="11"/>
  <c r="S50" i="6" s="1"/>
  <c r="S115" i="11"/>
  <c r="T50" i="6" s="1"/>
  <c r="T115" i="11"/>
  <c r="U50" i="6" s="1"/>
  <c r="U115" i="11"/>
  <c r="V50" i="6" s="1"/>
  <c r="V115" i="11"/>
  <c r="W50" i="6" s="1"/>
  <c r="W115" i="11"/>
  <c r="X50" i="6" s="1"/>
  <c r="X115" i="11"/>
  <c r="Y50" i="6" s="1"/>
  <c r="Y115" i="11"/>
  <c r="Z50" i="6" s="1"/>
  <c r="Z115" i="11"/>
  <c r="AA50" i="6" s="1"/>
  <c r="AA115" i="11"/>
  <c r="AB50" i="6" s="1"/>
  <c r="AB115" i="11"/>
  <c r="AC50" i="6" s="1"/>
  <c r="AC115" i="11"/>
  <c r="AD50" i="6" s="1"/>
  <c r="AD115" i="11"/>
  <c r="AE50" i="6" s="1"/>
  <c r="AE115" i="11"/>
  <c r="AF50" i="6" s="1"/>
  <c r="AF115" i="11"/>
  <c r="AG50" i="6" s="1"/>
  <c r="AG115" i="11"/>
  <c r="AH50" i="6" s="1"/>
  <c r="AH115" i="11"/>
  <c r="AI50" i="6" s="1"/>
  <c r="AI115" i="11"/>
  <c r="AJ50" i="6" s="1"/>
  <c r="AJ115" i="11"/>
  <c r="AK50" i="6" s="1"/>
  <c r="AK115" i="11"/>
  <c r="AL50" i="6" s="1"/>
  <c r="AL115" i="11"/>
  <c r="AM50" i="6" s="1"/>
  <c r="AM115" i="11"/>
  <c r="AN50" i="6" s="1"/>
  <c r="AN115" i="11"/>
  <c r="AO50" i="6" s="1"/>
  <c r="AO115" i="11"/>
  <c r="AP50" i="6" s="1"/>
  <c r="AP115" i="11"/>
  <c r="AQ50" i="6" s="1"/>
  <c r="AQ115" i="11"/>
  <c r="AR50" i="6" s="1"/>
  <c r="AR115" i="11"/>
  <c r="AS50" i="6" s="1"/>
  <c r="AS115" i="11"/>
  <c r="AT50" i="6" s="1"/>
  <c r="AT115" i="11"/>
  <c r="AU50" i="6" s="1"/>
  <c r="AU115" i="11"/>
  <c r="AV50" i="6" s="1"/>
  <c r="AV115" i="11"/>
  <c r="AW50" i="6" s="1"/>
  <c r="AW115" i="11"/>
  <c r="AX50" i="6" s="1"/>
  <c r="AX115" i="11"/>
  <c r="AY50" i="6" s="1"/>
  <c r="AY115" i="11"/>
  <c r="AZ50" i="6" s="1"/>
  <c r="AZ115" i="11"/>
  <c r="BA50" i="6" s="1"/>
  <c r="BA115" i="11"/>
  <c r="BB50" i="6" s="1"/>
  <c r="BB115" i="11"/>
  <c r="BC50" i="6" s="1"/>
  <c r="BC115" i="11"/>
  <c r="BD50" i="6" s="1"/>
  <c r="BD115" i="11"/>
  <c r="BE50" i="6" s="1"/>
  <c r="BE115" i="11"/>
  <c r="BF50" i="6" s="1"/>
  <c r="BF115" i="11"/>
  <c r="BG50" i="6" s="1"/>
  <c r="BG115" i="11"/>
  <c r="BH50" i="6" s="1"/>
  <c r="BH115" i="11"/>
  <c r="BI50" i="6" s="1"/>
  <c r="BI115" i="11"/>
  <c r="BJ50" i="6" s="1"/>
  <c r="BJ115" i="11"/>
  <c r="BK50" i="6" s="1"/>
  <c r="BK115" i="11"/>
  <c r="BL50" i="6" s="1"/>
  <c r="BL115" i="11"/>
  <c r="BM50" i="6" s="1"/>
  <c r="BM115" i="11"/>
  <c r="BN50" i="6" s="1"/>
  <c r="BN115" i="11"/>
  <c r="BO50" i="6" s="1"/>
  <c r="BO115" i="11"/>
  <c r="BP50" i="6" s="1"/>
  <c r="BP115" i="11"/>
  <c r="BQ50" i="6" s="1"/>
  <c r="BQ115" i="11"/>
  <c r="BR50" i="6" s="1"/>
  <c r="BR115" i="11"/>
  <c r="BS50" i="6" s="1"/>
  <c r="BS115" i="11"/>
  <c r="BT50" i="6" s="1"/>
  <c r="BT115" i="11"/>
  <c r="BU50" i="6" s="1"/>
  <c r="BU115" i="11"/>
  <c r="BV50" i="6" s="1"/>
  <c r="BV115" i="11"/>
  <c r="BW50" i="6" s="1"/>
  <c r="BW115" i="11"/>
  <c r="BX50" i="6" s="1"/>
  <c r="BX115" i="11"/>
  <c r="BY50" i="6" s="1"/>
  <c r="BY115" i="11"/>
  <c r="BZ50" i="6" s="1"/>
  <c r="BZ115" i="11"/>
  <c r="CA50" i="6" s="1"/>
  <c r="CA115" i="11"/>
  <c r="CB50" i="6" s="1"/>
  <c r="CB115" i="11"/>
  <c r="CC50" i="6" s="1"/>
  <c r="CC115" i="11"/>
  <c r="CD50" i="6" s="1"/>
  <c r="CD115" i="11"/>
  <c r="CE50" i="6" s="1"/>
  <c r="CE115" i="11"/>
  <c r="CF50" i="6" s="1"/>
  <c r="CF115" i="11"/>
  <c r="CG50" i="6" s="1"/>
  <c r="CG115" i="11"/>
  <c r="CH50" i="6" s="1"/>
  <c r="CH115" i="11"/>
  <c r="CI50" i="6" s="1"/>
  <c r="CI115" i="11"/>
  <c r="CJ50" i="6" s="1"/>
  <c r="CJ115" i="11"/>
  <c r="CK50" i="6" s="1"/>
  <c r="CK115" i="11"/>
  <c r="CL50" i="6" s="1"/>
  <c r="CL115" i="11"/>
  <c r="CM50" i="6" s="1"/>
  <c r="CM115" i="11"/>
  <c r="CN50" i="6" s="1"/>
  <c r="CN115" i="11"/>
  <c r="CO50" i="6" s="1"/>
  <c r="CO115" i="11"/>
  <c r="CP50" i="6" s="1"/>
  <c r="CP115" i="11"/>
  <c r="CQ50" i="6" s="1"/>
  <c r="CQ115" i="11"/>
  <c r="CR50" i="6" s="1"/>
  <c r="CR115" i="11"/>
  <c r="CS50" i="6" s="1"/>
  <c r="CS115" i="11"/>
  <c r="CT50" i="6" s="1"/>
  <c r="CT115" i="11"/>
  <c r="CU50" i="6" s="1"/>
  <c r="CU115" i="11"/>
  <c r="CV50" i="6" s="1"/>
  <c r="CV115" i="11"/>
  <c r="CW50" i="6" s="1"/>
  <c r="CW115" i="11"/>
  <c r="CX50" i="6" s="1"/>
  <c r="CX115" i="11"/>
  <c r="CY50" i="6" s="1"/>
  <c r="CY115" i="11"/>
  <c r="CZ50" i="6" s="1"/>
  <c r="CZ115" i="11"/>
  <c r="DA50" i="6" s="1"/>
  <c r="DA115" i="11"/>
  <c r="DB50" i="6" s="1"/>
  <c r="DB115" i="11"/>
  <c r="DC50" i="6" s="1"/>
  <c r="DC115" i="11"/>
  <c r="DD50" i="6" s="1"/>
  <c r="DD115" i="11"/>
  <c r="DE50" i="6" s="1"/>
  <c r="DE115" i="11"/>
  <c r="DF50" i="6" s="1"/>
  <c r="DF115" i="11"/>
  <c r="DG50" i="6" s="1"/>
  <c r="DG115" i="11"/>
  <c r="DH50" i="6" s="1"/>
  <c r="DH115" i="11"/>
  <c r="DI50" i="6" s="1"/>
  <c r="DI115" i="11"/>
  <c r="DJ50" i="6" s="1"/>
  <c r="DJ115" i="11"/>
  <c r="DK50" i="6" s="1"/>
  <c r="DK115" i="11"/>
  <c r="DL50" i="6" s="1"/>
  <c r="DL115" i="11"/>
  <c r="DM50" i="6" s="1"/>
  <c r="DM115" i="11"/>
  <c r="DN50" i="6" s="1"/>
  <c r="DN115" i="11"/>
  <c r="DO50" i="6" s="1"/>
  <c r="DO115" i="11"/>
  <c r="DP50" i="6" s="1"/>
  <c r="DP115" i="11"/>
  <c r="DQ50" i="6" s="1"/>
  <c r="DQ115" i="11"/>
  <c r="DR50" i="6" s="1"/>
  <c r="DR115" i="11"/>
  <c r="DS50" i="6" s="1"/>
  <c r="DS115" i="11"/>
  <c r="DT50" i="6" s="1"/>
  <c r="DT115" i="11"/>
  <c r="DU50" i="6" s="1"/>
  <c r="DU115" i="11"/>
  <c r="DV50" i="6" s="1"/>
  <c r="DV115" i="11"/>
  <c r="DW50" i="6" s="1"/>
  <c r="DW115" i="11"/>
  <c r="DX50" i="6" s="1"/>
  <c r="DX115" i="11"/>
  <c r="DY50" i="6" s="1"/>
  <c r="DY115" i="11"/>
  <c r="DZ50" i="6" s="1"/>
  <c r="DZ115" i="11"/>
  <c r="EA50" i="6" s="1"/>
  <c r="EA115" i="11"/>
  <c r="EB50" i="6" s="1"/>
  <c r="EB115" i="11"/>
  <c r="EC50" i="6" s="1"/>
  <c r="EC115" i="11"/>
  <c r="ED50" i="6" s="1"/>
  <c r="ED115" i="11"/>
  <c r="EE50" i="6" s="1"/>
  <c r="EE115" i="11"/>
  <c r="EF50" i="6" s="1"/>
  <c r="EF115" i="11"/>
  <c r="EG50" i="6" s="1"/>
  <c r="EG115" i="11"/>
  <c r="EH50" i="6" s="1"/>
  <c r="EH115" i="11"/>
  <c r="EI50" i="6" s="1"/>
  <c r="EI115" i="11"/>
  <c r="EJ50" i="6" s="1"/>
  <c r="EJ115" i="11"/>
  <c r="EK50" i="6" s="1"/>
  <c r="EK115" i="11"/>
  <c r="EL50" i="6" s="1"/>
  <c r="EL115" i="11"/>
  <c r="EM50" i="6" s="1"/>
  <c r="EM115" i="11"/>
  <c r="EN50" i="6" s="1"/>
  <c r="EN115" i="11"/>
  <c r="EO50" i="6" s="1"/>
  <c r="EO115" i="11"/>
  <c r="EP50" i="6" s="1"/>
  <c r="EP115" i="11"/>
  <c r="EQ50" i="6" s="1"/>
  <c r="EQ115" i="11"/>
  <c r="Z183" i="14"/>
  <c r="Z167" i="14"/>
  <c r="Z62" i="14"/>
  <c r="Z58" i="14"/>
  <c r="Z60" i="14"/>
  <c r="Z192" i="14"/>
  <c r="Z32" i="14"/>
  <c r="Z65" i="14"/>
  <c r="Z171" i="14"/>
  <c r="Z54" i="14"/>
  <c r="Z71" i="14"/>
  <c r="Z179" i="14"/>
  <c r="Z197" i="14"/>
  <c r="Z195" i="14"/>
  <c r="Z150" i="14"/>
  <c r="Z184" i="14"/>
  <c r="Z55" i="14"/>
  <c r="Z61" i="14"/>
  <c r="Z191" i="14"/>
  <c r="Z189" i="14"/>
  <c r="Z26" i="14"/>
  <c r="Z147" i="14"/>
  <c r="Z164" i="14"/>
  <c r="Z161" i="14"/>
  <c r="Z190" i="14"/>
  <c r="Z17" i="14"/>
  <c r="Z170" i="14"/>
  <c r="Z156" i="14"/>
  <c r="Z188" i="14"/>
  <c r="Z166" i="14"/>
  <c r="Z67" i="14"/>
  <c r="Z158" i="14"/>
  <c r="Z66" i="14"/>
  <c r="Z165" i="14"/>
  <c r="Z169" i="14"/>
  <c r="Z148" i="14"/>
  <c r="Z33" i="14"/>
  <c r="Z181" i="14"/>
  <c r="Z172" i="14"/>
  <c r="Z186" i="14"/>
  <c r="Z157" i="14"/>
  <c r="Z177" i="14"/>
  <c r="Z152" i="14"/>
  <c r="Z64" i="14"/>
  <c r="Z151" i="14"/>
  <c r="Z146" i="14"/>
  <c r="Z155" i="14"/>
  <c r="Z25" i="14"/>
  <c r="Z68" i="14"/>
  <c r="Z194" i="14"/>
  <c r="Z19" i="14"/>
  <c r="Z29" i="14"/>
  <c r="Z59" i="14"/>
  <c r="Z23" i="14"/>
  <c r="Z20" i="14"/>
  <c r="Z174" i="14"/>
  <c r="Z69" i="14"/>
  <c r="Z153" i="14"/>
  <c r="Z35" i="14"/>
  <c r="Z22" i="14"/>
  <c r="Z175" i="14"/>
  <c r="Z187" i="14"/>
  <c r="Z57" i="14"/>
  <c r="Z162" i="14"/>
  <c r="Z18" i="14"/>
  <c r="Z56" i="14"/>
  <c r="Z28" i="14"/>
  <c r="Z182" i="14"/>
  <c r="Z144" i="14"/>
  <c r="Z27" i="14"/>
  <c r="Z30" i="14"/>
  <c r="Z168" i="14"/>
  <c r="Z173" i="14"/>
  <c r="Z31" i="14"/>
  <c r="Z21" i="14"/>
  <c r="Z143" i="14"/>
  <c r="Z149" i="14"/>
  <c r="Z53" i="14"/>
  <c r="Z24" i="14"/>
  <c r="Z180" i="14"/>
  <c r="Z145" i="14"/>
  <c r="Z193" i="14"/>
  <c r="Z176" i="14"/>
  <c r="Z63" i="14"/>
  <c r="Z185" i="14"/>
  <c r="Z163" i="14"/>
  <c r="Z159" i="14"/>
  <c r="Z154" i="14"/>
  <c r="V33" i="14"/>
  <c r="V162" i="14"/>
  <c r="V158" i="14"/>
  <c r="V173" i="14"/>
  <c r="V28" i="14"/>
  <c r="V61" i="14"/>
  <c r="V184" i="14"/>
  <c r="V186" i="14"/>
  <c r="V169" i="14"/>
  <c r="V64" i="14"/>
  <c r="V176" i="14"/>
  <c r="V172" i="14"/>
  <c r="V59" i="14"/>
  <c r="V149" i="14"/>
  <c r="V183" i="14"/>
  <c r="V185" i="14"/>
  <c r="V166" i="14"/>
  <c r="V62" i="14"/>
  <c r="V17" i="14"/>
  <c r="V54" i="14"/>
  <c r="V164" i="14"/>
  <c r="V188" i="14"/>
  <c r="V170" i="14"/>
  <c r="V18" i="14"/>
  <c r="V26" i="14"/>
  <c r="V180" i="14"/>
  <c r="V154" i="14"/>
  <c r="V187" i="14"/>
  <c r="V63" i="14"/>
  <c r="V179" i="14"/>
  <c r="V67" i="14"/>
  <c r="V35" i="14"/>
  <c r="V68" i="14"/>
  <c r="V150" i="14"/>
  <c r="V195" i="14"/>
  <c r="V193" i="14"/>
  <c r="V163" i="14"/>
  <c r="V148" i="14"/>
  <c r="V57" i="14"/>
  <c r="V56" i="14"/>
  <c r="V156" i="14"/>
  <c r="V143" i="14"/>
  <c r="V161" i="14"/>
  <c r="V60" i="14"/>
  <c r="V27" i="14"/>
  <c r="V153" i="14"/>
  <c r="V151" i="14"/>
  <c r="V213" i="14"/>
  <c r="V175" i="14"/>
  <c r="V155" i="14"/>
  <c r="V24" i="14"/>
  <c r="V19" i="14"/>
  <c r="V165" i="14"/>
  <c r="V25" i="14"/>
  <c r="V22" i="14"/>
  <c r="V182" i="14"/>
  <c r="V32" i="14"/>
  <c r="V21" i="14"/>
  <c r="V146" i="14"/>
  <c r="V147" i="14"/>
  <c r="V23" i="14"/>
  <c r="V174" i="14"/>
  <c r="V197" i="14"/>
  <c r="V30" i="14"/>
  <c r="V192" i="14"/>
  <c r="V29" i="14"/>
  <c r="V20" i="14"/>
  <c r="V177" i="14"/>
  <c r="V168" i="14"/>
  <c r="V65" i="14"/>
  <c r="V145" i="14"/>
  <c r="V191" i="14"/>
  <c r="V71" i="14"/>
  <c r="V69" i="14"/>
  <c r="V157" i="14"/>
  <c r="V194" i="14"/>
  <c r="V66" i="14"/>
  <c r="V171" i="14"/>
  <c r="V189" i="14"/>
  <c r="V144" i="14"/>
  <c r="V53" i="14"/>
  <c r="V159" i="14"/>
  <c r="V55" i="14"/>
  <c r="V190" i="14"/>
  <c r="V58" i="14"/>
  <c r="V31" i="14"/>
  <c r="V181" i="14"/>
  <c r="V167" i="14"/>
  <c r="V152" i="14"/>
  <c r="R172" i="14"/>
  <c r="R154" i="14"/>
  <c r="R24" i="14"/>
  <c r="R62" i="14"/>
  <c r="R185" i="14"/>
  <c r="R31" i="14"/>
  <c r="R65" i="14"/>
  <c r="R152" i="14"/>
  <c r="R192" i="14"/>
  <c r="R187" i="14"/>
  <c r="R173" i="14"/>
  <c r="R176" i="14"/>
  <c r="R63" i="14"/>
  <c r="R165" i="14"/>
  <c r="R28" i="14"/>
  <c r="R189" i="14"/>
  <c r="R183" i="14"/>
  <c r="R29" i="14"/>
  <c r="R159" i="14"/>
  <c r="R67" i="14"/>
  <c r="R182" i="14"/>
  <c r="R30" i="14"/>
  <c r="R174" i="14"/>
  <c r="R164" i="14"/>
  <c r="R149" i="14"/>
  <c r="R57" i="14"/>
  <c r="R184" i="14"/>
  <c r="R166" i="14"/>
  <c r="R195" i="14"/>
  <c r="R27" i="14"/>
  <c r="R188" i="14"/>
  <c r="R175" i="14"/>
  <c r="R146" i="14"/>
  <c r="R17" i="14"/>
  <c r="R177" i="14"/>
  <c r="R162" i="14"/>
  <c r="R186" i="14"/>
  <c r="R179" i="14"/>
  <c r="R193" i="14"/>
  <c r="R53" i="14"/>
  <c r="R144" i="14"/>
  <c r="R18" i="14"/>
  <c r="R58" i="14"/>
  <c r="R25" i="14"/>
  <c r="R32" i="14"/>
  <c r="R190" i="14"/>
  <c r="R147" i="14"/>
  <c r="R145" i="14"/>
  <c r="R161" i="14"/>
  <c r="R167" i="14"/>
  <c r="R19" i="14"/>
  <c r="R69" i="14"/>
  <c r="R191" i="14"/>
  <c r="R23" i="14"/>
  <c r="R22" i="14"/>
  <c r="R33" i="14"/>
  <c r="R168" i="14"/>
  <c r="R64" i="14"/>
  <c r="R21" i="14"/>
  <c r="R54" i="14"/>
  <c r="R163" i="14"/>
  <c r="R20" i="14"/>
  <c r="R194" i="14"/>
  <c r="R150" i="14"/>
  <c r="R56" i="14"/>
  <c r="R197" i="14"/>
  <c r="R158" i="14"/>
  <c r="R213" i="14"/>
  <c r="R153" i="14"/>
  <c r="R156" i="14"/>
  <c r="R171" i="14"/>
  <c r="R170" i="14"/>
  <c r="R143" i="14"/>
  <c r="R181" i="14"/>
  <c r="R169" i="14"/>
  <c r="R35" i="14"/>
  <c r="R26" i="14"/>
  <c r="R61" i="14"/>
  <c r="R60" i="14"/>
  <c r="R180" i="14"/>
  <c r="R155" i="14"/>
  <c r="R66" i="14"/>
  <c r="R151" i="14"/>
  <c r="R59" i="14"/>
  <c r="R157" i="14"/>
  <c r="R68" i="14"/>
  <c r="R71" i="14"/>
  <c r="R148" i="14"/>
  <c r="R55" i="14"/>
  <c r="R45" i="14"/>
  <c r="CH12" i="10"/>
  <c r="CK12" i="14" s="1"/>
  <c r="CI12" i="10"/>
  <c r="CL12" i="14" s="1"/>
  <c r="CJ12" i="10"/>
  <c r="CM12" i="14" s="1"/>
  <c r="CK12" i="10"/>
  <c r="CN12" i="14" s="1"/>
  <c r="CL12" i="10"/>
  <c r="CO12" i="14" s="1"/>
  <c r="CM12" i="10"/>
  <c r="CP12" i="14" s="1"/>
  <c r="CN12" i="10"/>
  <c r="CQ12" i="14" s="1"/>
  <c r="CO12" i="10"/>
  <c r="CR12" i="14" s="1"/>
  <c r="CP12" i="10"/>
  <c r="CS12" i="14" s="1"/>
  <c r="CQ12" i="10"/>
  <c r="CT12" i="14" s="1"/>
  <c r="CR12" i="10"/>
  <c r="CU12" i="14" s="1"/>
  <c r="CS12" i="10"/>
  <c r="CV12" i="14" s="1"/>
  <c r="J37" i="10"/>
  <c r="DR12" i="10"/>
  <c r="DU12" i="14" s="1"/>
  <c r="DS12" i="10"/>
  <c r="DV12" i="14" s="1"/>
  <c r="DT12" i="10"/>
  <c r="DW12" i="14" s="1"/>
  <c r="DU12" i="10"/>
  <c r="DX12" i="14" s="1"/>
  <c r="DV12" i="10"/>
  <c r="DY12" i="14" s="1"/>
  <c r="DW12" i="10"/>
  <c r="DZ12" i="14" s="1"/>
  <c r="DX12" i="10"/>
  <c r="EA12" i="14" s="1"/>
  <c r="DY12" i="10"/>
  <c r="EB12" i="14" s="1"/>
  <c r="DZ12" i="10"/>
  <c r="EC12" i="14" s="1"/>
  <c r="EA12" i="10"/>
  <c r="ED12" i="14" s="1"/>
  <c r="EB12" i="10"/>
  <c r="EE12" i="14" s="1"/>
  <c r="EC12" i="10"/>
  <c r="O453" i="32"/>
  <c r="E453" i="32" s="1"/>
  <c r="L476" i="32"/>
  <c r="L464" i="32"/>
  <c r="O452" i="32"/>
  <c r="E452" i="32" s="1"/>
  <c r="Y151" i="14"/>
  <c r="Y25" i="14"/>
  <c r="Y162" i="14"/>
  <c r="Y193" i="14"/>
  <c r="Y31" i="14"/>
  <c r="Y57" i="14"/>
  <c r="Y27" i="14"/>
  <c r="Y187" i="14"/>
  <c r="Y35" i="14"/>
  <c r="Y62" i="14"/>
  <c r="Y53" i="14"/>
  <c r="Y176" i="14"/>
  <c r="Y190" i="14"/>
  <c r="Y173" i="14"/>
  <c r="Y23" i="14"/>
  <c r="Y20" i="14"/>
  <c r="Y188" i="14"/>
  <c r="Y150" i="14"/>
  <c r="Y28" i="14"/>
  <c r="Y33" i="14"/>
  <c r="Y18" i="14"/>
  <c r="Y19" i="14"/>
  <c r="Y67" i="14"/>
  <c r="Y192" i="14"/>
  <c r="Y158" i="14"/>
  <c r="Y182" i="14"/>
  <c r="Y64" i="14"/>
  <c r="Y156" i="14"/>
  <c r="Y159" i="14"/>
  <c r="Y69" i="14"/>
  <c r="Y189" i="14"/>
  <c r="Y154" i="14"/>
  <c r="Y165" i="14"/>
  <c r="Y163" i="14"/>
  <c r="Y153" i="14"/>
  <c r="Y145" i="14"/>
  <c r="Y161" i="14"/>
  <c r="Y149" i="14"/>
  <c r="Y197" i="14"/>
  <c r="Y157" i="14"/>
  <c r="Y21" i="14"/>
  <c r="Y26" i="14"/>
  <c r="Y152" i="14"/>
  <c r="Y59" i="14"/>
  <c r="Y167" i="14"/>
  <c r="Y174" i="14"/>
  <c r="Y66" i="14"/>
  <c r="Y32" i="14"/>
  <c r="Y186" i="14"/>
  <c r="Y181" i="14"/>
  <c r="Y17" i="14"/>
  <c r="Y144" i="14"/>
  <c r="Y29" i="14"/>
  <c r="Y55" i="14"/>
  <c r="Y194" i="14"/>
  <c r="Y179" i="14"/>
  <c r="Y183" i="14"/>
  <c r="Y56" i="14"/>
  <c r="Y65" i="14"/>
  <c r="Y61" i="14"/>
  <c r="Y168" i="14"/>
  <c r="Y143" i="14"/>
  <c r="Y170" i="14"/>
  <c r="Y71" i="14"/>
  <c r="Y155" i="14"/>
  <c r="Y147" i="14"/>
  <c r="Y184" i="14"/>
  <c r="Y195" i="14"/>
  <c r="Y172" i="14"/>
  <c r="Y164" i="14"/>
  <c r="Y54" i="14"/>
  <c r="Y24" i="14"/>
  <c r="Y180" i="14"/>
  <c r="Y146" i="14"/>
  <c r="Y148" i="14"/>
  <c r="Y169" i="14"/>
  <c r="Y171" i="14"/>
  <c r="Y166" i="14"/>
  <c r="Y177" i="14"/>
  <c r="Y213" i="14"/>
  <c r="Y58" i="14"/>
  <c r="Y60" i="14"/>
  <c r="Y30" i="14"/>
  <c r="Y175" i="14"/>
  <c r="Y63" i="14"/>
  <c r="Y22" i="14"/>
  <c r="Y68" i="14"/>
  <c r="Y191" i="14"/>
  <c r="Y185" i="14"/>
  <c r="U29" i="14"/>
  <c r="U147" i="14"/>
  <c r="U185" i="14"/>
  <c r="U68" i="14"/>
  <c r="U149" i="14"/>
  <c r="U67" i="14"/>
  <c r="U31" i="14"/>
  <c r="U144" i="14"/>
  <c r="U23" i="14"/>
  <c r="U168" i="14"/>
  <c r="U69" i="14"/>
  <c r="U151" i="14"/>
  <c r="U169" i="14"/>
  <c r="U28" i="14"/>
  <c r="U171" i="14"/>
  <c r="U173" i="14"/>
  <c r="U58" i="14"/>
  <c r="U165" i="14"/>
  <c r="U20" i="14"/>
  <c r="U181" i="14"/>
  <c r="U174" i="14"/>
  <c r="U150" i="14"/>
  <c r="U19" i="14"/>
  <c r="U188" i="14"/>
  <c r="U195" i="14"/>
  <c r="U164" i="14"/>
  <c r="U172" i="14"/>
  <c r="U170" i="14"/>
  <c r="U32" i="14"/>
  <c r="U182" i="14"/>
  <c r="U192" i="14"/>
  <c r="U63" i="14"/>
  <c r="U62" i="14"/>
  <c r="U183" i="14"/>
  <c r="U189" i="14"/>
  <c r="U24" i="14"/>
  <c r="U213" i="14"/>
  <c r="U191" i="14"/>
  <c r="U148" i="14"/>
  <c r="U53" i="14"/>
  <c r="U163" i="14"/>
  <c r="U184" i="14"/>
  <c r="U61" i="14"/>
  <c r="U190" i="14"/>
  <c r="U161" i="14"/>
  <c r="U154" i="14"/>
  <c r="U159" i="14"/>
  <c r="U59" i="14"/>
  <c r="U17" i="14"/>
  <c r="U21" i="14"/>
  <c r="U153" i="14"/>
  <c r="U193" i="14"/>
  <c r="U54" i="14"/>
  <c r="U66" i="14"/>
  <c r="U166" i="14"/>
  <c r="U57" i="14"/>
  <c r="U194" i="14"/>
  <c r="U180" i="14"/>
  <c r="U56" i="14"/>
  <c r="U27" i="14"/>
  <c r="U22" i="14"/>
  <c r="U33" i="14"/>
  <c r="U146" i="14"/>
  <c r="U64" i="14"/>
  <c r="U157" i="14"/>
  <c r="U152" i="14"/>
  <c r="U186" i="14"/>
  <c r="U65" i="14"/>
  <c r="U55" i="14"/>
  <c r="U18" i="14"/>
  <c r="U35" i="14"/>
  <c r="U143" i="14"/>
  <c r="U156" i="14"/>
  <c r="U26" i="14"/>
  <c r="U197" i="14"/>
  <c r="U60" i="14"/>
  <c r="U30" i="14"/>
  <c r="U71" i="14"/>
  <c r="U176" i="14"/>
  <c r="U177" i="14"/>
  <c r="U25" i="14"/>
  <c r="U175" i="14"/>
  <c r="U162" i="14"/>
  <c r="U167" i="14"/>
  <c r="U145" i="14"/>
  <c r="U155" i="14"/>
  <c r="U187" i="14"/>
  <c r="U158" i="14"/>
  <c r="U179" i="14"/>
  <c r="Q22" i="14"/>
  <c r="Q24" i="14"/>
  <c r="Q193" i="14"/>
  <c r="Q181" i="14"/>
  <c r="Q63" i="14"/>
  <c r="Q69" i="14"/>
  <c r="Q182" i="14"/>
  <c r="Q54" i="14"/>
  <c r="Q189" i="14"/>
  <c r="Q191" i="14"/>
  <c r="Q157" i="14"/>
  <c r="Q177" i="14"/>
  <c r="Q173" i="14"/>
  <c r="Q56" i="14"/>
  <c r="Q187" i="14"/>
  <c r="Q162" i="14"/>
  <c r="Q151" i="14"/>
  <c r="Q26" i="14"/>
  <c r="Q25" i="14"/>
  <c r="Q155" i="14"/>
  <c r="Q152" i="14"/>
  <c r="Q163" i="14"/>
  <c r="Q35" i="14"/>
  <c r="Q57" i="14"/>
  <c r="Q190" i="14"/>
  <c r="Q192" i="14"/>
  <c r="Q62" i="14"/>
  <c r="Q18" i="14"/>
  <c r="Q55" i="14"/>
  <c r="Q53" i="14"/>
  <c r="Q194" i="14"/>
  <c r="Q180" i="14"/>
  <c r="Q156" i="14"/>
  <c r="Q197" i="14"/>
  <c r="Q185" i="14"/>
  <c r="Q169" i="14"/>
  <c r="Q31" i="14"/>
  <c r="Q64" i="14"/>
  <c r="Q29" i="14"/>
  <c r="Q68" i="14"/>
  <c r="Q158" i="14"/>
  <c r="Q19" i="14"/>
  <c r="Q153" i="14"/>
  <c r="Q27" i="14"/>
  <c r="Q166" i="14"/>
  <c r="Q30" i="14"/>
  <c r="Q58" i="14"/>
  <c r="Q21" i="14"/>
  <c r="Q66" i="14"/>
  <c r="Q147" i="14"/>
  <c r="Q186" i="14"/>
  <c r="Q28" i="14"/>
  <c r="Q171" i="14"/>
  <c r="Q213" i="14"/>
  <c r="Q184" i="14"/>
  <c r="Q71" i="14"/>
  <c r="Q159" i="14"/>
  <c r="Q67" i="14"/>
  <c r="Q179" i="14"/>
  <c r="Q60" i="14"/>
  <c r="Q168" i="14"/>
  <c r="Q188" i="14"/>
  <c r="Q17" i="14"/>
  <c r="Q150" i="14"/>
  <c r="Q32" i="14"/>
  <c r="Q148" i="14"/>
  <c r="Q167" i="14"/>
  <c r="Q176" i="14"/>
  <c r="Q20" i="14"/>
  <c r="Q195" i="14"/>
  <c r="Q175" i="14"/>
  <c r="Q33" i="14"/>
  <c r="Q65" i="14"/>
  <c r="Q174" i="14"/>
  <c r="Q59" i="14"/>
  <c r="Q170" i="14"/>
  <c r="Q143" i="14"/>
  <c r="Q61" i="14"/>
  <c r="Q183" i="14"/>
  <c r="Q154" i="14"/>
  <c r="Q144" i="14"/>
  <c r="Q146" i="14"/>
  <c r="Q161" i="14"/>
  <c r="Q145" i="14"/>
  <c r="Q172" i="14"/>
  <c r="Q149" i="14"/>
  <c r="Q23" i="14"/>
  <c r="Q165" i="14"/>
  <c r="Q164" i="14"/>
  <c r="AL12" i="10"/>
  <c r="AO12" i="14" s="1"/>
  <c r="AM12" i="10"/>
  <c r="AP12" i="14" s="1"/>
  <c r="AN12" i="10"/>
  <c r="AQ12" i="14" s="1"/>
  <c r="AO12" i="10"/>
  <c r="AR12" i="14" s="1"/>
  <c r="AP12" i="10"/>
  <c r="AS12" i="14" s="1"/>
  <c r="AQ12" i="10"/>
  <c r="AT12" i="14" s="1"/>
  <c r="AR12" i="10"/>
  <c r="AU12" i="14" s="1"/>
  <c r="AS12" i="10"/>
  <c r="AV12" i="14" s="1"/>
  <c r="AT12" i="10"/>
  <c r="AW12" i="14" s="1"/>
  <c r="AU12" i="10"/>
  <c r="AX12" i="14" s="1"/>
  <c r="AV12" i="10"/>
  <c r="AY12" i="14" s="1"/>
  <c r="AW12" i="10"/>
  <c r="AZ12" i="14" s="1"/>
  <c r="CT12" i="10"/>
  <c r="CW12" i="14" s="1"/>
  <c r="CU12" i="10"/>
  <c r="CX12" i="14" s="1"/>
  <c r="CV12" i="10"/>
  <c r="CY12" i="14" s="1"/>
  <c r="CW12" i="10"/>
  <c r="CZ12" i="14" s="1"/>
  <c r="CX12" i="10"/>
  <c r="DA12" i="14" s="1"/>
  <c r="CY12" i="10"/>
  <c r="DB12" i="14" s="1"/>
  <c r="CZ12" i="10"/>
  <c r="DC12" i="14" s="1"/>
  <c r="DA12" i="10"/>
  <c r="DD12" i="14" s="1"/>
  <c r="DB12" i="10"/>
  <c r="DE12" i="14" s="1"/>
  <c r="DC12" i="10"/>
  <c r="DF12" i="14" s="1"/>
  <c r="DD12" i="10"/>
  <c r="DG12" i="14" s="1"/>
  <c r="DE12" i="10"/>
  <c r="DH12" i="14" s="1"/>
  <c r="G41" i="32"/>
  <c r="E41" i="32" s="1"/>
  <c r="C5" i="33"/>
  <c r="V56" i="21"/>
  <c r="G435" i="32"/>
  <c r="T31" i="1"/>
  <c r="AB26" i="14"/>
  <c r="AB27" i="14"/>
  <c r="AB185" i="14"/>
  <c r="AB183" i="14"/>
  <c r="AB192" i="14"/>
  <c r="AB66" i="14"/>
  <c r="AB161" i="14"/>
  <c r="AB145" i="14"/>
  <c r="AB173" i="14"/>
  <c r="AB18" i="14"/>
  <c r="AB144" i="14"/>
  <c r="AB143" i="14"/>
  <c r="AB159" i="14"/>
  <c r="AB60" i="14"/>
  <c r="AB146" i="14"/>
  <c r="AB58" i="14"/>
  <c r="AB20" i="14"/>
  <c r="AB149" i="14"/>
  <c r="AB197" i="14"/>
  <c r="AB59" i="14"/>
  <c r="AB169" i="14"/>
  <c r="AB154" i="14"/>
  <c r="AB68" i="14"/>
  <c r="AB165" i="14"/>
  <c r="AB190" i="14"/>
  <c r="AB166" i="14"/>
  <c r="AB177" i="14"/>
  <c r="AB168" i="14"/>
  <c r="AB163" i="14"/>
  <c r="AB170" i="14"/>
  <c r="AB29" i="14"/>
  <c r="AB63" i="14"/>
  <c r="AB195" i="14"/>
  <c r="AB55" i="14"/>
  <c r="AB194" i="14"/>
  <c r="AB174" i="14"/>
  <c r="AB167" i="14"/>
  <c r="AB156" i="14"/>
  <c r="AB187" i="14"/>
  <c r="AB158" i="14"/>
  <c r="AB213" i="14"/>
  <c r="AB182" i="14"/>
  <c r="AB148" i="14"/>
  <c r="AB61" i="14"/>
  <c r="AB179" i="14"/>
  <c r="AB191" i="14"/>
  <c r="AB62" i="14"/>
  <c r="AB24" i="14"/>
  <c r="AB181" i="14"/>
  <c r="AB151" i="14"/>
  <c r="AB57" i="14"/>
  <c r="AB33" i="14"/>
  <c r="AB155" i="14"/>
  <c r="AB150" i="14"/>
  <c r="AB152" i="14"/>
  <c r="AB153" i="14"/>
  <c r="AB172" i="14"/>
  <c r="AB19" i="14"/>
  <c r="AB176" i="14"/>
  <c r="AB186" i="14"/>
  <c r="AB188" i="14"/>
  <c r="AB67" i="14"/>
  <c r="AB56" i="14"/>
  <c r="AB147" i="14"/>
  <c r="AB28" i="14"/>
  <c r="AB53" i="14"/>
  <c r="AB21" i="14"/>
  <c r="AB22" i="14"/>
  <c r="AB69" i="14"/>
  <c r="AB23" i="14"/>
  <c r="AB175" i="14"/>
  <c r="AB31" i="14"/>
  <c r="AB17" i="14"/>
  <c r="AB157" i="14"/>
  <c r="AB25" i="14"/>
  <c r="AB184" i="14"/>
  <c r="AB30" i="14"/>
  <c r="AB71" i="14"/>
  <c r="AB193" i="14"/>
  <c r="AB35" i="14"/>
  <c r="AB171" i="14"/>
  <c r="AB180" i="14"/>
  <c r="AB64" i="14"/>
  <c r="AB189" i="14"/>
  <c r="AB164" i="14"/>
  <c r="AB32" i="14"/>
  <c r="AB162" i="14"/>
  <c r="AB54" i="14"/>
  <c r="AB65" i="14"/>
  <c r="X192" i="14"/>
  <c r="X144" i="14"/>
  <c r="X28" i="14"/>
  <c r="X176" i="14"/>
  <c r="X197" i="14"/>
  <c r="X156" i="14"/>
  <c r="X177" i="14"/>
  <c r="X183" i="14"/>
  <c r="X69" i="14"/>
  <c r="X181" i="14"/>
  <c r="X148" i="14"/>
  <c r="X163" i="14"/>
  <c r="X26" i="14"/>
  <c r="X67" i="14"/>
  <c r="X179" i="14"/>
  <c r="X25" i="14"/>
  <c r="X61" i="14"/>
  <c r="X54" i="14"/>
  <c r="X182" i="14"/>
  <c r="X59" i="14"/>
  <c r="X57" i="14"/>
  <c r="X147" i="14"/>
  <c r="X213" i="14"/>
  <c r="X29" i="14"/>
  <c r="X158" i="14"/>
  <c r="X165" i="14"/>
  <c r="X149" i="14"/>
  <c r="X159" i="14"/>
  <c r="X143" i="14"/>
  <c r="X35" i="14"/>
  <c r="X30" i="14"/>
  <c r="X24" i="14"/>
  <c r="X187" i="14"/>
  <c r="X189" i="14"/>
  <c r="X173" i="14"/>
  <c r="X71" i="14"/>
  <c r="X20" i="14"/>
  <c r="X194" i="14"/>
  <c r="X151" i="14"/>
  <c r="X145" i="14"/>
  <c r="X62" i="14"/>
  <c r="X175" i="14"/>
  <c r="X53" i="14"/>
  <c r="X191" i="14"/>
  <c r="X23" i="14"/>
  <c r="X66" i="14"/>
  <c r="X27" i="14"/>
  <c r="X190" i="14"/>
  <c r="X172" i="14"/>
  <c r="X31" i="14"/>
  <c r="X174" i="14"/>
  <c r="X195" i="14"/>
  <c r="X162" i="14"/>
  <c r="X185" i="14"/>
  <c r="X150" i="14"/>
  <c r="X65" i="14"/>
  <c r="X161" i="14"/>
  <c r="X68" i="14"/>
  <c r="X56" i="14"/>
  <c r="X55" i="14"/>
  <c r="X164" i="14"/>
  <c r="X22" i="14"/>
  <c r="X184" i="14"/>
  <c r="X19" i="14"/>
  <c r="X186" i="14"/>
  <c r="X188" i="14"/>
  <c r="X166" i="14"/>
  <c r="X17" i="14"/>
  <c r="X18" i="14"/>
  <c r="X167" i="14"/>
  <c r="X170" i="14"/>
  <c r="X33" i="14"/>
  <c r="X154" i="14"/>
  <c r="X21" i="14"/>
  <c r="X152" i="14"/>
  <c r="X63" i="14"/>
  <c r="X157" i="14"/>
  <c r="X146" i="14"/>
  <c r="X153" i="14"/>
  <c r="X193" i="14"/>
  <c r="X64" i="14"/>
  <c r="X60" i="14"/>
  <c r="X168" i="14"/>
  <c r="X171" i="14"/>
  <c r="X180" i="14"/>
  <c r="X169" i="14"/>
  <c r="X32" i="14"/>
  <c r="X58" i="14"/>
  <c r="X155" i="14"/>
  <c r="T180" i="14"/>
  <c r="T182" i="14"/>
  <c r="T64" i="14"/>
  <c r="T183" i="14"/>
  <c r="T156" i="14"/>
  <c r="T53" i="14"/>
  <c r="T166" i="14"/>
  <c r="T164" i="14"/>
  <c r="T17" i="14"/>
  <c r="T162" i="14"/>
  <c r="T174" i="14"/>
  <c r="T35" i="14"/>
  <c r="T145" i="14"/>
  <c r="T168" i="14"/>
  <c r="T23" i="14"/>
  <c r="T184" i="14"/>
  <c r="T165" i="14"/>
  <c r="T20" i="14"/>
  <c r="T60" i="14"/>
  <c r="T56" i="14"/>
  <c r="T197" i="14"/>
  <c r="T152" i="14"/>
  <c r="T25" i="14"/>
  <c r="T159" i="14"/>
  <c r="T155" i="14"/>
  <c r="T29" i="14"/>
  <c r="T163" i="14"/>
  <c r="T21" i="14"/>
  <c r="T24" i="14"/>
  <c r="T65" i="14"/>
  <c r="T213" i="14"/>
  <c r="T195" i="14"/>
  <c r="T177" i="14"/>
  <c r="T58" i="14"/>
  <c r="T158" i="14"/>
  <c r="T33" i="14"/>
  <c r="T26" i="14"/>
  <c r="T148" i="14"/>
  <c r="T147" i="14"/>
  <c r="T68" i="14"/>
  <c r="T193" i="14"/>
  <c r="T71" i="14"/>
  <c r="T190" i="14"/>
  <c r="T189" i="14"/>
  <c r="T62" i="14"/>
  <c r="T30" i="14"/>
  <c r="T66" i="14"/>
  <c r="T150" i="14"/>
  <c r="T185" i="14"/>
  <c r="T69" i="14"/>
  <c r="T61" i="14"/>
  <c r="T28" i="14"/>
  <c r="T167" i="14"/>
  <c r="T188" i="14"/>
  <c r="T19" i="14"/>
  <c r="T176" i="14"/>
  <c r="T170" i="14"/>
  <c r="T153" i="14"/>
  <c r="T154" i="14"/>
  <c r="T144" i="14"/>
  <c r="T157" i="14"/>
  <c r="T181" i="14"/>
  <c r="T57" i="14"/>
  <c r="T146" i="14"/>
  <c r="T172" i="14"/>
  <c r="T175" i="14"/>
  <c r="T179" i="14"/>
  <c r="T149" i="14"/>
  <c r="T186" i="14"/>
  <c r="T63" i="14"/>
  <c r="T59" i="14"/>
  <c r="T192" i="14"/>
  <c r="T32" i="14"/>
  <c r="T194" i="14"/>
  <c r="T171" i="14"/>
  <c r="T31" i="14"/>
  <c r="T143" i="14"/>
  <c r="T161" i="14"/>
  <c r="T18" i="14"/>
  <c r="T27" i="14"/>
  <c r="T169" i="14"/>
  <c r="T173" i="14"/>
  <c r="T151" i="14"/>
  <c r="T22" i="14"/>
  <c r="T54" i="14"/>
  <c r="T187" i="14"/>
  <c r="T55" i="14"/>
  <c r="T67" i="14"/>
  <c r="T191" i="14"/>
  <c r="DF12" i="10"/>
  <c r="DI12" i="14" s="1"/>
  <c r="DG12" i="10"/>
  <c r="DJ12" i="14" s="1"/>
  <c r="DH12" i="10"/>
  <c r="DK12" i="14" s="1"/>
  <c r="DI12" i="10"/>
  <c r="DL12" i="14" s="1"/>
  <c r="DJ12" i="10"/>
  <c r="DM12" i="14" s="1"/>
  <c r="DK12" i="10"/>
  <c r="DN12" i="14" s="1"/>
  <c r="DL12" i="10"/>
  <c r="DO12" i="14" s="1"/>
  <c r="DM12" i="10"/>
  <c r="DP12" i="14" s="1"/>
  <c r="DN12" i="10"/>
  <c r="DQ12" i="14" s="1"/>
  <c r="DO12" i="10"/>
  <c r="DR12" i="14" s="1"/>
  <c r="DP12" i="10"/>
  <c r="DS12" i="14" s="1"/>
  <c r="DQ12" i="10"/>
  <c r="DT12" i="14" s="1"/>
  <c r="Z12" i="10"/>
  <c r="AC12" i="14" s="1"/>
  <c r="AA12" i="10"/>
  <c r="AD12" i="14" s="1"/>
  <c r="AB12" i="10"/>
  <c r="AE12" i="14" s="1"/>
  <c r="AC12" i="10"/>
  <c r="AF12" i="14" s="1"/>
  <c r="AD12" i="10"/>
  <c r="AG12" i="14" s="1"/>
  <c r="AE12" i="10"/>
  <c r="AH12" i="14" s="1"/>
  <c r="AF12" i="10"/>
  <c r="AI12" i="14" s="1"/>
  <c r="AG12" i="10"/>
  <c r="AJ12" i="14" s="1"/>
  <c r="AH12" i="10"/>
  <c r="AK12" i="14" s="1"/>
  <c r="AI12" i="10"/>
  <c r="AL12" i="14" s="1"/>
  <c r="AJ12" i="10"/>
  <c r="AM12" i="14" s="1"/>
  <c r="AK12" i="10"/>
  <c r="AN12" i="14" s="1"/>
  <c r="BV12" i="10"/>
  <c r="BY12" i="14" s="1"/>
  <c r="BW12" i="10"/>
  <c r="BZ12" i="14" s="1"/>
  <c r="BX12" i="10"/>
  <c r="CA12" i="14" s="1"/>
  <c r="BY12" i="10"/>
  <c r="CB12" i="14" s="1"/>
  <c r="BZ12" i="10"/>
  <c r="CC12" i="14" s="1"/>
  <c r="CA12" i="10"/>
  <c r="CD12" i="14" s="1"/>
  <c r="CB12" i="10"/>
  <c r="CE12" i="14" s="1"/>
  <c r="CC12" i="10"/>
  <c r="CF12" i="14" s="1"/>
  <c r="CD12" i="10"/>
  <c r="CG12" i="14" s="1"/>
  <c r="CE12" i="10"/>
  <c r="CH12" i="14" s="1"/>
  <c r="CF12" i="10"/>
  <c r="CI12" i="14" s="1"/>
  <c r="CG12" i="10"/>
  <c r="CJ12" i="14" s="1"/>
  <c r="T45" i="14" l="1"/>
  <c r="AB45" i="14"/>
  <c r="AB225" i="14" s="1"/>
  <c r="AB38" i="14"/>
  <c r="V38" i="14"/>
  <c r="V110" i="14" s="1"/>
  <c r="V51" i="14"/>
  <c r="V231" i="14" s="1"/>
  <c r="U49" i="14"/>
  <c r="U229" i="14" s="1"/>
  <c r="T38" i="14"/>
  <c r="T218" i="14" s="1"/>
  <c r="U38" i="14"/>
  <c r="U110" i="14" s="1"/>
  <c r="T51" i="14"/>
  <c r="T231" i="14" s="1"/>
  <c r="U51" i="14"/>
  <c r="U123" i="14" s="1"/>
  <c r="AA51" i="14"/>
  <c r="AA123" i="14" s="1"/>
  <c r="Q51" i="14"/>
  <c r="Q231" i="14" s="1"/>
  <c r="S38" i="14"/>
  <c r="S110" i="14" s="1"/>
  <c r="Y38" i="14"/>
  <c r="Y218" i="14" s="1"/>
  <c r="R38" i="14"/>
  <c r="R218" i="14" s="1"/>
  <c r="Y51" i="14"/>
  <c r="Y123" i="14" s="1"/>
  <c r="T49" i="14"/>
  <c r="T121" i="14" s="1"/>
  <c r="AB51" i="14"/>
  <c r="AB123" i="14" s="1"/>
  <c r="Q38" i="14"/>
  <c r="Q110" i="14" s="1"/>
  <c r="X38" i="14"/>
  <c r="X218" i="14" s="1"/>
  <c r="X51" i="14"/>
  <c r="X123" i="14" s="1"/>
  <c r="Z38" i="14"/>
  <c r="Z110" i="14" s="1"/>
  <c r="G199" i="14"/>
  <c r="Y49" i="14"/>
  <c r="Y121" i="14" s="1"/>
  <c r="R51" i="14"/>
  <c r="R231" i="14" s="1"/>
  <c r="Z51" i="14"/>
  <c r="Z123" i="14" s="1"/>
  <c r="Q49" i="14"/>
  <c r="Q229" i="14" s="1"/>
  <c r="S49" i="14"/>
  <c r="S229" i="14" s="1"/>
  <c r="Z49" i="14"/>
  <c r="Z229" i="14" s="1"/>
  <c r="M31" i="35"/>
  <c r="P31" i="35"/>
  <c r="K31" i="35"/>
  <c r="N31" i="35"/>
  <c r="J31" i="35"/>
  <c r="O31" i="35"/>
  <c r="M33" i="35"/>
  <c r="O33" i="35"/>
  <c r="K33" i="35"/>
  <c r="N33" i="35"/>
  <c r="J33" i="35"/>
  <c r="P33" i="35"/>
  <c r="AA38" i="14"/>
  <c r="AA110" i="14" s="1"/>
  <c r="AB42" i="14"/>
  <c r="AB114" i="14" s="1"/>
  <c r="V49" i="14"/>
  <c r="V229" i="14" s="1"/>
  <c r="Q37" i="14"/>
  <c r="Q217" i="14" s="1"/>
  <c r="Q47" i="14"/>
  <c r="Q227" i="14" s="1"/>
  <c r="T37" i="14"/>
  <c r="T217" i="14" s="1"/>
  <c r="T42" i="14"/>
  <c r="T114" i="14" s="1"/>
  <c r="T47" i="14"/>
  <c r="T227" i="14" s="1"/>
  <c r="X42" i="14"/>
  <c r="X114" i="14" s="1"/>
  <c r="AA47" i="14"/>
  <c r="AA227" i="14" s="1"/>
  <c r="AA40" i="14"/>
  <c r="AA112" i="14" s="1"/>
  <c r="S47" i="14"/>
  <c r="S227" i="14" s="1"/>
  <c r="Y50" i="14"/>
  <c r="Y230" i="14" s="1"/>
  <c r="T50" i="14"/>
  <c r="T230" i="14" s="1"/>
  <c r="U40" i="14"/>
  <c r="U112" i="14" s="1"/>
  <c r="Y40" i="14"/>
  <c r="Y112" i="14" s="1"/>
  <c r="W50" i="14"/>
  <c r="W230" i="14" s="1"/>
  <c r="W42" i="14"/>
  <c r="W114" i="14" s="1"/>
  <c r="X47" i="14"/>
  <c r="X227" i="14" s="1"/>
  <c r="V47" i="14"/>
  <c r="V227" i="14" s="1"/>
  <c r="AB40" i="14"/>
  <c r="AB112" i="14" s="1"/>
  <c r="R42" i="14"/>
  <c r="R222" i="14" s="1"/>
  <c r="V50" i="14"/>
  <c r="V122" i="14" s="1"/>
  <c r="W40" i="14"/>
  <c r="W112" i="14" s="1"/>
  <c r="AB47" i="14"/>
  <c r="AB119" i="14" s="1"/>
  <c r="R50" i="14"/>
  <c r="R230" i="14" s="1"/>
  <c r="T40" i="14"/>
  <c r="T112" i="14" s="1"/>
  <c r="X40" i="14"/>
  <c r="X220" i="14" s="1"/>
  <c r="R47" i="14"/>
  <c r="R227" i="14" s="1"/>
  <c r="Z50" i="14"/>
  <c r="Z122" i="14" s="1"/>
  <c r="V42" i="14"/>
  <c r="V114" i="14" s="1"/>
  <c r="Z47" i="14"/>
  <c r="Z227" i="14" s="1"/>
  <c r="Q50" i="14"/>
  <c r="Q122" i="14" s="1"/>
  <c r="U50" i="14"/>
  <c r="U230" i="14" s="1"/>
  <c r="R40" i="14"/>
  <c r="R112" i="14" s="1"/>
  <c r="Z42" i="14"/>
  <c r="Z222" i="14" s="1"/>
  <c r="Q42" i="14"/>
  <c r="Q222" i="14" s="1"/>
  <c r="U47" i="14"/>
  <c r="U227" i="14" s="1"/>
  <c r="Y47" i="14"/>
  <c r="Y119" i="14" s="1"/>
  <c r="V40" i="14"/>
  <c r="V220" i="14" s="1"/>
  <c r="S50" i="14"/>
  <c r="S122" i="14" s="1"/>
  <c r="Z40" i="14"/>
  <c r="Z220" i="14" s="1"/>
  <c r="S42" i="14"/>
  <c r="S114" i="14" s="1"/>
  <c r="AA50" i="14"/>
  <c r="AA122" i="14" s="1"/>
  <c r="X50" i="14"/>
  <c r="X230" i="14" s="1"/>
  <c r="Q40" i="14"/>
  <c r="Q220" i="14" s="1"/>
  <c r="U42" i="14"/>
  <c r="U222" i="14" s="1"/>
  <c r="Y42" i="14"/>
  <c r="Y114" i="14" s="1"/>
  <c r="Z213" i="14"/>
  <c r="G203" i="14"/>
  <c r="CD203" i="14" s="1"/>
  <c r="G209" i="14"/>
  <c r="AA213" i="14"/>
  <c r="AB36" i="14"/>
  <c r="AB108" i="14" s="1"/>
  <c r="Z46" i="14"/>
  <c r="Z118" i="14" s="1"/>
  <c r="X49" i="14"/>
  <c r="X229" i="14" s="1"/>
  <c r="AA49" i="14"/>
  <c r="AA121" i="14" s="1"/>
  <c r="T46" i="14"/>
  <c r="T226" i="14" s="1"/>
  <c r="S46" i="14"/>
  <c r="S226" i="14" s="1"/>
  <c r="Y36" i="14"/>
  <c r="Y108" i="14" s="1"/>
  <c r="AB49" i="14"/>
  <c r="AB121" i="14" s="1"/>
  <c r="Y44" i="14"/>
  <c r="Y224" i="14" s="1"/>
  <c r="R49" i="14"/>
  <c r="R229" i="14" s="1"/>
  <c r="S51" i="14"/>
  <c r="S231" i="14" s="1"/>
  <c r="Q45" i="14"/>
  <c r="Q225" i="14" s="1"/>
  <c r="AA45" i="14"/>
  <c r="AA117" i="14" s="1"/>
  <c r="Y45" i="14"/>
  <c r="Y225" i="14" s="1"/>
  <c r="V45" i="14"/>
  <c r="V117" i="14" s="1"/>
  <c r="S37" i="14"/>
  <c r="S109" i="14" s="1"/>
  <c r="Z37" i="14"/>
  <c r="Z217" i="14" s="1"/>
  <c r="R36" i="14"/>
  <c r="R216" i="14" s="1"/>
  <c r="U44" i="14"/>
  <c r="U224" i="14" s="1"/>
  <c r="V36" i="14"/>
  <c r="V108" i="14" s="1"/>
  <c r="Y37" i="14"/>
  <c r="Y217" i="14" s="1"/>
  <c r="U36" i="14"/>
  <c r="U216" i="14" s="1"/>
  <c r="S45" i="14"/>
  <c r="S117" i="14" s="1"/>
  <c r="AA36" i="14"/>
  <c r="AA108" i="14" s="1"/>
  <c r="V37" i="14"/>
  <c r="V109" i="14" s="1"/>
  <c r="Z45" i="14"/>
  <c r="Z117" i="14" s="1"/>
  <c r="AA37" i="14"/>
  <c r="AA109" i="14" s="1"/>
  <c r="U37" i="14"/>
  <c r="U217" i="14" s="1"/>
  <c r="X37" i="14"/>
  <c r="X109" i="14" s="1"/>
  <c r="X45" i="14"/>
  <c r="X225" i="14" s="1"/>
  <c r="AA46" i="14"/>
  <c r="AA118" i="14" s="1"/>
  <c r="W45" i="14"/>
  <c r="W225" i="14" s="1"/>
  <c r="AB37" i="14"/>
  <c r="AB217" i="14" s="1"/>
  <c r="R37" i="14"/>
  <c r="R217" i="14" s="1"/>
  <c r="Z36" i="14"/>
  <c r="Z108" i="14" s="1"/>
  <c r="X36" i="14"/>
  <c r="X108" i="14" s="1"/>
  <c r="T36" i="14"/>
  <c r="T216" i="14" s="1"/>
  <c r="Q36" i="14"/>
  <c r="Q108" i="14" s="1"/>
  <c r="S36" i="14"/>
  <c r="S216" i="14" s="1"/>
  <c r="R39" i="14"/>
  <c r="R219" i="14" s="1"/>
  <c r="T48" i="14"/>
  <c r="T120" i="14" s="1"/>
  <c r="AA43" i="14"/>
  <c r="AA115" i="14" s="1"/>
  <c r="W44" i="14"/>
  <c r="W116" i="14" s="1"/>
  <c r="T43" i="14"/>
  <c r="T115" i="14" s="1"/>
  <c r="AB46" i="14"/>
  <c r="AB118" i="14" s="1"/>
  <c r="X43" i="14"/>
  <c r="X115" i="14" s="1"/>
  <c r="Q43" i="14"/>
  <c r="Q115" i="14" s="1"/>
  <c r="V44" i="14"/>
  <c r="V116" i="14" s="1"/>
  <c r="V39" i="14"/>
  <c r="V111" i="14" s="1"/>
  <c r="AB43" i="14"/>
  <c r="AB223" i="14" s="1"/>
  <c r="AA44" i="14"/>
  <c r="AA116" i="14" s="1"/>
  <c r="X46" i="14"/>
  <c r="Q46" i="14"/>
  <c r="T44" i="14"/>
  <c r="S44" i="14"/>
  <c r="S116" i="14" s="1"/>
  <c r="AB44" i="14"/>
  <c r="AB224" i="14" s="1"/>
  <c r="R46" i="14"/>
  <c r="R118" i="14" s="1"/>
  <c r="S43" i="14"/>
  <c r="S115" i="14" s="1"/>
  <c r="W46" i="14"/>
  <c r="W226" i="14" s="1"/>
  <c r="Q44" i="14"/>
  <c r="Q224" i="14" s="1"/>
  <c r="U43" i="14"/>
  <c r="U223" i="14" s="1"/>
  <c r="Y46" i="14"/>
  <c r="Y118" i="14" s="1"/>
  <c r="R43" i="14"/>
  <c r="R115" i="14" s="1"/>
  <c r="V43" i="14"/>
  <c r="R44" i="14"/>
  <c r="R224" i="14" s="1"/>
  <c r="X44" i="14"/>
  <c r="X116" i="14" s="1"/>
  <c r="Y43" i="14"/>
  <c r="Y223" i="14" s="1"/>
  <c r="V46" i="14"/>
  <c r="V226" i="14" s="1"/>
  <c r="W43" i="14"/>
  <c r="W223" i="14" s="1"/>
  <c r="Z39" i="14"/>
  <c r="Z111" i="14" s="1"/>
  <c r="X41" i="14"/>
  <c r="X113" i="14" s="1"/>
  <c r="AB41" i="14"/>
  <c r="AB113" i="14" s="1"/>
  <c r="S41" i="14"/>
  <c r="S221" i="14" s="1"/>
  <c r="W48" i="14"/>
  <c r="W120" i="14" s="1"/>
  <c r="Y41" i="14"/>
  <c r="Y221" i="14" s="1"/>
  <c r="X48" i="14"/>
  <c r="T39" i="14"/>
  <c r="AA48" i="14"/>
  <c r="X39" i="14"/>
  <c r="X219" i="14" s="1"/>
  <c r="AB48" i="14"/>
  <c r="AB228" i="14" s="1"/>
  <c r="AB39" i="14"/>
  <c r="Q39" i="14"/>
  <c r="Q219" i="14" s="1"/>
  <c r="Q41" i="14"/>
  <c r="Q113" i="14" s="1"/>
  <c r="AA39" i="14"/>
  <c r="AA219" i="14" s="1"/>
  <c r="U41" i="14"/>
  <c r="U221" i="14" s="1"/>
  <c r="Y48" i="14"/>
  <c r="Y228" i="14" s="1"/>
  <c r="S39" i="14"/>
  <c r="U48" i="14"/>
  <c r="Y39" i="14"/>
  <c r="S48" i="14"/>
  <c r="W41" i="14"/>
  <c r="W113" i="14" s="1"/>
  <c r="R41" i="14"/>
  <c r="R221" i="14" s="1"/>
  <c r="Z41" i="14"/>
  <c r="T41" i="14"/>
  <c r="T221" i="14" s="1"/>
  <c r="Q48" i="14"/>
  <c r="Q120" i="14" s="1"/>
  <c r="U39" i="14"/>
  <c r="U219" i="14" s="1"/>
  <c r="V41" i="14"/>
  <c r="V221" i="14" s="1"/>
  <c r="R48" i="14"/>
  <c r="R120" i="14" s="1"/>
  <c r="V48" i="14"/>
  <c r="V228" i="14" s="1"/>
  <c r="W169" i="14"/>
  <c r="G211" i="14"/>
  <c r="CH211" i="14" s="1"/>
  <c r="G205" i="14"/>
  <c r="CH205" i="14" s="1"/>
  <c r="G202" i="14"/>
  <c r="CD202" i="14" s="1"/>
  <c r="W162" i="14"/>
  <c r="W213" i="14"/>
  <c r="W176" i="14"/>
  <c r="W174" i="14"/>
  <c r="W175" i="14"/>
  <c r="G201" i="14"/>
  <c r="CH201" i="14" s="1"/>
  <c r="AI33" i="1"/>
  <c r="AN42" i="1" s="1"/>
  <c r="P41" i="14"/>
  <c r="G77" i="14"/>
  <c r="AD77" i="14" s="1"/>
  <c r="G82" i="14"/>
  <c r="CE82" i="14" s="1"/>
  <c r="P46" i="14"/>
  <c r="G81" i="14"/>
  <c r="DW81" i="14" s="1"/>
  <c r="P45" i="14"/>
  <c r="G84" i="14"/>
  <c r="CH84" i="14" s="1"/>
  <c r="P48" i="14"/>
  <c r="F963" i="32"/>
  <c r="L952" i="32"/>
  <c r="P160" i="14"/>
  <c r="M18" i="10" s="1"/>
  <c r="G76" i="14"/>
  <c r="BQ76" i="14" s="1"/>
  <c r="P40" i="14"/>
  <c r="P39" i="14"/>
  <c r="G75" i="14"/>
  <c r="CF75" i="14" s="1"/>
  <c r="P49" i="14"/>
  <c r="G85" i="14"/>
  <c r="CA85" i="14" s="1"/>
  <c r="P50" i="14"/>
  <c r="G86" i="14"/>
  <c r="AD86" i="14" s="1"/>
  <c r="G206" i="14"/>
  <c r="CH206" i="14" s="1"/>
  <c r="G198" i="14"/>
  <c r="CH198" i="14" s="1"/>
  <c r="P47" i="14"/>
  <c r="G83" i="14"/>
  <c r="BU83" i="14" s="1"/>
  <c r="P43" i="14"/>
  <c r="G79" i="14"/>
  <c r="CH79" i="14" s="1"/>
  <c r="P51" i="14"/>
  <c r="G87" i="14"/>
  <c r="DV87" i="14" s="1"/>
  <c r="P42" i="14"/>
  <c r="G78" i="14"/>
  <c r="AD78" i="14" s="1"/>
  <c r="G210" i="14"/>
  <c r="CH210" i="14" s="1"/>
  <c r="G204" i="14"/>
  <c r="AL204" i="14" s="1"/>
  <c r="E963" i="32"/>
  <c r="K952" i="32"/>
  <c r="P36" i="14"/>
  <c r="G72" i="14"/>
  <c r="DS72" i="14" s="1"/>
  <c r="P44" i="14"/>
  <c r="G80" i="14"/>
  <c r="DG80" i="14" s="1"/>
  <c r="P38" i="14"/>
  <c r="G74" i="14"/>
  <c r="CR74" i="14" s="1"/>
  <c r="P37" i="14"/>
  <c r="G73" i="14"/>
  <c r="CQ73" i="14" s="1"/>
  <c r="G212" i="14"/>
  <c r="CH212" i="14" s="1"/>
  <c r="G200" i="14"/>
  <c r="CH200" i="14" s="1"/>
  <c r="F964" i="32"/>
  <c r="L953" i="32"/>
  <c r="E964" i="32"/>
  <c r="K953" i="32"/>
  <c r="G207" i="14"/>
  <c r="CH207" i="14" s="1"/>
  <c r="G208" i="14"/>
  <c r="CD208" i="14" s="1"/>
  <c r="AA113" i="14"/>
  <c r="U178" i="14"/>
  <c r="AB230" i="14"/>
  <c r="U226" i="14"/>
  <c r="CH143" i="14"/>
  <c r="CH145" i="14"/>
  <c r="CH152" i="14"/>
  <c r="CH166" i="14"/>
  <c r="CH194" i="14"/>
  <c r="CH163" i="14"/>
  <c r="CH209" i="14"/>
  <c r="CH176" i="14"/>
  <c r="CH151" i="14"/>
  <c r="CH147" i="14"/>
  <c r="CH148" i="14"/>
  <c r="CH30" i="14"/>
  <c r="CH180" i="14"/>
  <c r="CH33" i="14"/>
  <c r="CH155" i="14"/>
  <c r="CH213" i="14"/>
  <c r="CH183" i="14"/>
  <c r="CH184" i="14"/>
  <c r="CH146" i="14"/>
  <c r="CH149" i="14"/>
  <c r="CH58" i="14"/>
  <c r="CH158" i="14"/>
  <c r="CH173" i="14"/>
  <c r="CH186" i="14"/>
  <c r="CH31" i="14"/>
  <c r="CH159" i="14"/>
  <c r="CH71" i="14"/>
  <c r="CH156" i="14"/>
  <c r="CH24" i="14"/>
  <c r="CH64" i="14"/>
  <c r="CH17" i="14"/>
  <c r="CH168" i="14"/>
  <c r="CH144" i="14"/>
  <c r="CH165" i="14"/>
  <c r="CH197" i="14"/>
  <c r="CH61" i="14"/>
  <c r="CH167" i="14"/>
  <c r="CH25" i="14"/>
  <c r="CH191" i="14"/>
  <c r="CH189" i="14"/>
  <c r="CH150" i="14"/>
  <c r="CH164" i="14"/>
  <c r="CH26" i="14"/>
  <c r="CH195" i="14"/>
  <c r="CH193" i="14"/>
  <c r="CH35" i="14"/>
  <c r="CH69" i="14"/>
  <c r="CH171" i="14"/>
  <c r="CH63" i="14"/>
  <c r="CH65" i="14"/>
  <c r="CH60" i="14"/>
  <c r="CH56" i="14"/>
  <c r="CH174" i="14"/>
  <c r="CH57" i="14"/>
  <c r="CH162" i="14"/>
  <c r="CH182" i="14"/>
  <c r="CH19" i="14"/>
  <c r="CH23" i="14"/>
  <c r="CH172" i="14"/>
  <c r="CH28" i="14"/>
  <c r="CH18" i="14"/>
  <c r="CH62" i="14"/>
  <c r="CH188" i="14"/>
  <c r="CH154" i="14"/>
  <c r="CH161" i="14"/>
  <c r="CH153" i="14"/>
  <c r="CH157" i="14"/>
  <c r="CH21" i="14"/>
  <c r="CH177" i="14"/>
  <c r="CH55" i="14"/>
  <c r="CH53" i="14"/>
  <c r="CH22" i="14"/>
  <c r="CH199" i="14"/>
  <c r="CH169" i="14"/>
  <c r="CH187" i="14"/>
  <c r="CH179" i="14"/>
  <c r="CH170" i="14"/>
  <c r="CH27" i="14"/>
  <c r="CH185" i="14"/>
  <c r="CH66" i="14"/>
  <c r="CH68" i="14"/>
  <c r="CH54" i="14"/>
  <c r="CH20" i="14"/>
  <c r="CH59" i="14"/>
  <c r="CH192" i="14"/>
  <c r="CH29" i="14"/>
  <c r="CH181" i="14"/>
  <c r="CH175" i="14"/>
  <c r="CH67" i="14"/>
  <c r="CH32" i="14"/>
  <c r="CH190" i="14"/>
  <c r="CH40" i="14"/>
  <c r="CH39" i="14"/>
  <c r="CH45" i="14"/>
  <c r="CH49" i="14"/>
  <c r="CH47" i="14"/>
  <c r="CH42" i="14"/>
  <c r="CH51" i="14"/>
  <c r="CH46" i="14"/>
  <c r="CH41" i="14"/>
  <c r="CH43" i="14"/>
  <c r="CH50" i="14"/>
  <c r="CH36" i="14"/>
  <c r="CH38" i="14"/>
  <c r="CH44" i="14"/>
  <c r="CH37" i="14"/>
  <c r="CH48" i="14"/>
  <c r="CD65" i="14"/>
  <c r="CD213" i="14"/>
  <c r="CD151" i="14"/>
  <c r="CD171" i="14"/>
  <c r="CD69" i="14"/>
  <c r="CD28" i="14"/>
  <c r="CD31" i="14"/>
  <c r="CD32" i="14"/>
  <c r="CD197" i="14"/>
  <c r="CD60" i="14"/>
  <c r="CD165" i="14"/>
  <c r="CD67" i="14"/>
  <c r="CD192" i="14"/>
  <c r="CD24" i="14"/>
  <c r="CD182" i="14"/>
  <c r="CD144" i="14"/>
  <c r="CD157" i="14"/>
  <c r="CD186" i="14"/>
  <c r="CD19" i="14"/>
  <c r="CD185" i="14"/>
  <c r="CD173" i="14"/>
  <c r="CD168" i="14"/>
  <c r="CD147" i="14"/>
  <c r="CD169" i="14"/>
  <c r="CD156" i="14"/>
  <c r="CD188" i="14"/>
  <c r="CD143" i="14"/>
  <c r="CD18" i="14"/>
  <c r="CD61" i="14"/>
  <c r="CD175" i="14"/>
  <c r="CD71" i="14"/>
  <c r="CD68" i="14"/>
  <c r="CD195" i="14"/>
  <c r="CD172" i="14"/>
  <c r="CD193" i="14"/>
  <c r="CD166" i="14"/>
  <c r="CD56" i="14"/>
  <c r="CD66" i="14"/>
  <c r="CD187" i="14"/>
  <c r="CD149" i="14"/>
  <c r="CD181" i="14"/>
  <c r="CD210" i="14"/>
  <c r="CD183" i="14"/>
  <c r="CD62" i="14"/>
  <c r="CD29" i="14"/>
  <c r="CD58" i="14"/>
  <c r="CD189" i="14"/>
  <c r="CD17" i="14"/>
  <c r="CD191" i="14"/>
  <c r="CD35" i="14"/>
  <c r="CD57" i="14"/>
  <c r="CD53" i="14"/>
  <c r="CD148" i="14"/>
  <c r="CD170" i="14"/>
  <c r="CD145" i="14"/>
  <c r="CD21" i="14"/>
  <c r="CD174" i="14"/>
  <c r="CD176" i="14"/>
  <c r="CD204" i="14"/>
  <c r="CD152" i="14"/>
  <c r="CD159" i="14"/>
  <c r="CD54" i="14"/>
  <c r="CD30" i="14"/>
  <c r="CD162" i="14"/>
  <c r="CD209" i="14"/>
  <c r="CD177" i="14"/>
  <c r="CD199" i="14"/>
  <c r="CD158" i="14"/>
  <c r="CD164" i="14"/>
  <c r="CD33" i="14"/>
  <c r="CD167" i="14"/>
  <c r="CD163" i="14"/>
  <c r="CD190" i="14"/>
  <c r="CD20" i="14"/>
  <c r="CD25" i="14"/>
  <c r="CD179" i="14"/>
  <c r="CD184" i="14"/>
  <c r="CD180" i="14"/>
  <c r="CD153" i="14"/>
  <c r="CD63" i="14"/>
  <c r="CD161" i="14"/>
  <c r="CD146" i="14"/>
  <c r="CD23" i="14"/>
  <c r="CD64" i="14"/>
  <c r="CD155" i="14"/>
  <c r="CD26" i="14"/>
  <c r="CD55" i="14"/>
  <c r="CD27" i="14"/>
  <c r="CD22" i="14"/>
  <c r="CD194" i="14"/>
  <c r="CD154" i="14"/>
  <c r="CD59" i="14"/>
  <c r="CD150" i="14"/>
  <c r="CD39" i="14"/>
  <c r="CD40" i="14"/>
  <c r="CD45" i="14"/>
  <c r="CD49" i="14"/>
  <c r="CD42" i="14"/>
  <c r="CD43" i="14"/>
  <c r="CD46" i="14"/>
  <c r="CD50" i="14"/>
  <c r="CD51" i="14"/>
  <c r="CD47" i="14"/>
  <c r="CD41" i="14"/>
  <c r="CD44" i="14"/>
  <c r="CD48" i="14"/>
  <c r="CD37" i="14"/>
  <c r="CD36" i="14"/>
  <c r="CD38" i="14"/>
  <c r="AL188" i="14"/>
  <c r="AL213" i="14"/>
  <c r="AL149" i="14"/>
  <c r="AL64" i="14"/>
  <c r="AL168" i="14"/>
  <c r="AL146" i="14"/>
  <c r="AL176" i="14"/>
  <c r="AL191" i="14"/>
  <c r="AL195" i="14"/>
  <c r="AL147" i="14"/>
  <c r="AL32" i="14"/>
  <c r="AL174" i="14"/>
  <c r="AL212" i="14"/>
  <c r="AL180" i="14"/>
  <c r="AL23" i="14"/>
  <c r="AL19" i="14"/>
  <c r="AL154" i="14"/>
  <c r="AL21" i="14"/>
  <c r="AL143" i="14"/>
  <c r="AL165" i="14"/>
  <c r="AL71" i="14"/>
  <c r="AL192" i="14"/>
  <c r="AL173" i="14"/>
  <c r="AL54" i="14"/>
  <c r="AL208" i="14"/>
  <c r="AL148" i="14"/>
  <c r="AL30" i="14"/>
  <c r="AL59" i="14"/>
  <c r="AL24" i="14"/>
  <c r="AL190" i="14"/>
  <c r="AL17" i="14"/>
  <c r="AL53" i="14"/>
  <c r="AL65" i="14"/>
  <c r="AL18" i="14"/>
  <c r="AL182" i="14"/>
  <c r="AL28" i="14"/>
  <c r="AL166" i="14"/>
  <c r="AL163" i="14"/>
  <c r="AL185" i="14"/>
  <c r="AL33" i="14"/>
  <c r="AL61" i="14"/>
  <c r="AL175" i="14"/>
  <c r="AL58" i="14"/>
  <c r="AL67" i="14"/>
  <c r="AL171" i="14"/>
  <c r="AL31" i="14"/>
  <c r="AL159" i="14"/>
  <c r="AL183" i="14"/>
  <c r="AL157" i="14"/>
  <c r="AL22" i="14"/>
  <c r="AL161" i="14"/>
  <c r="AL209" i="14"/>
  <c r="AL186" i="14"/>
  <c r="AL158" i="14"/>
  <c r="AL197" i="14"/>
  <c r="AL156" i="14"/>
  <c r="AL194" i="14"/>
  <c r="AL60" i="14"/>
  <c r="AL151" i="14"/>
  <c r="AL164" i="14"/>
  <c r="AL187" i="14"/>
  <c r="AL179" i="14"/>
  <c r="AL172" i="14"/>
  <c r="AL56" i="14"/>
  <c r="AL55" i="14"/>
  <c r="AL62" i="14"/>
  <c r="AL29" i="14"/>
  <c r="AL63" i="14"/>
  <c r="AL162" i="14"/>
  <c r="AL35" i="14"/>
  <c r="AL184" i="14"/>
  <c r="AL169" i="14"/>
  <c r="AL68" i="14"/>
  <c r="AL167" i="14"/>
  <c r="AL193" i="14"/>
  <c r="AL25" i="14"/>
  <c r="AL150" i="14"/>
  <c r="AL144" i="14"/>
  <c r="AL198" i="14"/>
  <c r="AL27" i="14"/>
  <c r="AL202" i="14"/>
  <c r="AL205" i="14"/>
  <c r="AL26" i="14"/>
  <c r="AL20" i="14"/>
  <c r="AL199" i="14"/>
  <c r="AL177" i="14"/>
  <c r="AL189" i="14"/>
  <c r="AL145" i="14"/>
  <c r="AL152" i="14"/>
  <c r="AL69" i="14"/>
  <c r="AL170" i="14"/>
  <c r="AL153" i="14"/>
  <c r="AL155" i="14"/>
  <c r="AL181" i="14"/>
  <c r="AL66" i="14"/>
  <c r="AL57" i="14"/>
  <c r="AL40" i="14"/>
  <c r="AL39" i="14"/>
  <c r="AL49" i="14"/>
  <c r="AL47" i="14"/>
  <c r="AL45" i="14"/>
  <c r="AL42" i="14"/>
  <c r="AL41" i="14"/>
  <c r="AL51" i="14"/>
  <c r="AL46" i="14"/>
  <c r="AL50" i="14"/>
  <c r="AL43" i="14"/>
  <c r="AL37" i="14"/>
  <c r="AL48" i="14"/>
  <c r="AL36" i="14"/>
  <c r="AL44" i="14"/>
  <c r="AL38" i="14"/>
  <c r="AD180" i="14"/>
  <c r="AD211" i="14"/>
  <c r="AD20" i="14"/>
  <c r="AD175" i="14"/>
  <c r="AD189" i="14"/>
  <c r="AD149" i="14"/>
  <c r="AD22" i="14"/>
  <c r="AD64" i="14"/>
  <c r="AD168" i="14"/>
  <c r="AD213" i="14"/>
  <c r="AD188" i="14"/>
  <c r="AD147" i="14"/>
  <c r="AD182" i="14"/>
  <c r="AD29" i="14"/>
  <c r="AD153" i="14"/>
  <c r="AD157" i="14"/>
  <c r="AD208" i="14"/>
  <c r="AD183" i="14"/>
  <c r="AD192" i="14"/>
  <c r="AD143" i="14"/>
  <c r="AD17" i="14"/>
  <c r="AD193" i="14"/>
  <c r="AD57" i="14"/>
  <c r="AD23" i="14"/>
  <c r="AD162" i="14"/>
  <c r="AD27" i="14"/>
  <c r="AD35" i="14"/>
  <c r="AD204" i="14"/>
  <c r="AD167" i="14"/>
  <c r="AD154" i="14"/>
  <c r="AD60" i="14"/>
  <c r="AD159" i="14"/>
  <c r="AD31" i="14"/>
  <c r="AD209" i="14"/>
  <c r="AD56" i="14"/>
  <c r="AD67" i="14"/>
  <c r="AD150" i="14"/>
  <c r="AD32" i="14"/>
  <c r="AD156" i="14"/>
  <c r="AD21" i="14"/>
  <c r="AD179" i="14"/>
  <c r="AD61" i="14"/>
  <c r="AD59" i="14"/>
  <c r="AD165" i="14"/>
  <c r="AD148" i="14"/>
  <c r="AD170" i="14"/>
  <c r="AD163" i="14"/>
  <c r="AD155" i="14"/>
  <c r="AD186" i="14"/>
  <c r="AD185" i="14"/>
  <c r="AD33" i="14"/>
  <c r="AD145" i="14"/>
  <c r="AD173" i="14"/>
  <c r="AD68" i="14"/>
  <c r="AD210" i="14"/>
  <c r="AD24" i="14"/>
  <c r="AD164" i="14"/>
  <c r="AD152" i="14"/>
  <c r="AD172" i="14"/>
  <c r="AD55" i="14"/>
  <c r="AD205" i="14"/>
  <c r="AD151" i="14"/>
  <c r="AD62" i="14"/>
  <c r="AD26" i="14"/>
  <c r="AD58" i="14"/>
  <c r="AD158" i="14"/>
  <c r="AD174" i="14"/>
  <c r="AD19" i="14"/>
  <c r="AD53" i="14"/>
  <c r="AD177" i="14"/>
  <c r="AD200" i="14"/>
  <c r="AD144" i="14"/>
  <c r="AD54" i="14"/>
  <c r="AD190" i="14"/>
  <c r="AD25" i="14"/>
  <c r="AD71" i="14"/>
  <c r="AD202" i="14"/>
  <c r="AD18" i="14"/>
  <c r="AD63" i="14"/>
  <c r="AD199" i="14"/>
  <c r="AD187" i="14"/>
  <c r="AD195" i="14"/>
  <c r="AD65" i="14"/>
  <c r="AD69" i="14"/>
  <c r="AD166" i="14"/>
  <c r="AD169" i="14"/>
  <c r="AD184" i="14"/>
  <c r="AD28" i="14"/>
  <c r="AD198" i="14"/>
  <c r="AD181" i="14"/>
  <c r="AD176" i="14"/>
  <c r="AD171" i="14"/>
  <c r="AD197" i="14"/>
  <c r="AD161" i="14"/>
  <c r="AD146" i="14"/>
  <c r="AD30" i="14"/>
  <c r="AD191" i="14"/>
  <c r="AD66" i="14"/>
  <c r="AD194" i="14"/>
  <c r="AD40" i="14"/>
  <c r="AD39" i="14"/>
  <c r="AD42" i="14"/>
  <c r="AD49" i="14"/>
  <c r="AD45" i="14"/>
  <c r="AD47" i="14"/>
  <c r="AD43" i="14"/>
  <c r="AD41" i="14"/>
  <c r="AD46" i="14"/>
  <c r="AD51" i="14"/>
  <c r="AD36" i="14"/>
  <c r="AD50" i="14"/>
  <c r="AD37" i="14"/>
  <c r="AD44" i="14"/>
  <c r="AD38" i="14"/>
  <c r="AD48" i="14"/>
  <c r="DR200" i="14"/>
  <c r="DR55" i="14"/>
  <c r="DR193" i="14"/>
  <c r="DR69" i="14"/>
  <c r="DR54" i="14"/>
  <c r="DR35" i="14"/>
  <c r="DR22" i="14"/>
  <c r="DR184" i="14"/>
  <c r="DR66" i="14"/>
  <c r="DR161" i="14"/>
  <c r="DR172" i="14"/>
  <c r="DR191" i="14"/>
  <c r="DR164" i="14"/>
  <c r="DR29" i="14"/>
  <c r="DR188" i="14"/>
  <c r="DR185" i="14"/>
  <c r="DR189" i="14"/>
  <c r="DR30" i="14"/>
  <c r="DR149" i="14"/>
  <c r="DR58" i="14"/>
  <c r="DR179" i="14"/>
  <c r="DR157" i="14"/>
  <c r="DR168" i="14"/>
  <c r="DR60" i="14"/>
  <c r="DR213" i="14"/>
  <c r="DR145" i="14"/>
  <c r="DR162" i="14"/>
  <c r="DR158" i="14"/>
  <c r="DR147" i="14"/>
  <c r="DR159" i="14"/>
  <c r="DR28" i="14"/>
  <c r="DR181" i="14"/>
  <c r="DR32" i="14"/>
  <c r="DR23" i="14"/>
  <c r="DR199" i="14"/>
  <c r="DR61" i="14"/>
  <c r="DR180" i="14"/>
  <c r="DR18" i="14"/>
  <c r="DR183" i="14"/>
  <c r="DR27" i="14"/>
  <c r="DR169" i="14"/>
  <c r="DR63" i="14"/>
  <c r="DR21" i="14"/>
  <c r="DR19" i="14"/>
  <c r="DR163" i="14"/>
  <c r="DR195" i="14"/>
  <c r="DR197" i="14"/>
  <c r="DR202" i="14"/>
  <c r="DR201" i="14"/>
  <c r="DR208" i="14"/>
  <c r="DR198" i="14"/>
  <c r="DR187" i="14"/>
  <c r="DR210" i="14"/>
  <c r="DR192" i="14"/>
  <c r="DR166" i="14"/>
  <c r="DR154" i="14"/>
  <c r="DR25" i="14"/>
  <c r="DR175" i="14"/>
  <c r="DR151" i="14"/>
  <c r="DR209" i="14"/>
  <c r="DR31" i="14"/>
  <c r="DR148" i="14"/>
  <c r="DR59" i="14"/>
  <c r="DR56" i="14"/>
  <c r="DR26" i="14"/>
  <c r="DR57" i="14"/>
  <c r="DR155" i="14"/>
  <c r="DR62" i="14"/>
  <c r="DR152" i="14"/>
  <c r="DR177" i="14"/>
  <c r="DR212" i="14"/>
  <c r="DR205" i="14"/>
  <c r="DR71" i="14"/>
  <c r="DR207" i="14"/>
  <c r="DR144" i="14"/>
  <c r="DR171" i="14"/>
  <c r="DR194" i="14"/>
  <c r="DR170" i="14"/>
  <c r="DR33" i="14"/>
  <c r="DR67" i="14"/>
  <c r="DR53" i="14"/>
  <c r="DR211" i="14"/>
  <c r="DR64" i="14"/>
  <c r="DR153" i="14"/>
  <c r="DR17" i="14"/>
  <c r="DR24" i="14"/>
  <c r="DR165" i="14"/>
  <c r="DR143" i="14"/>
  <c r="DR174" i="14"/>
  <c r="DR204" i="14"/>
  <c r="DR176" i="14"/>
  <c r="DR182" i="14"/>
  <c r="DR146" i="14"/>
  <c r="DR186" i="14"/>
  <c r="DR68" i="14"/>
  <c r="DR150" i="14"/>
  <c r="DR173" i="14"/>
  <c r="DR156" i="14"/>
  <c r="DR20" i="14"/>
  <c r="DR190" i="14"/>
  <c r="DR167" i="14"/>
  <c r="DR65" i="14"/>
  <c r="DR49" i="14"/>
  <c r="DR40" i="14"/>
  <c r="DR39" i="14"/>
  <c r="DR47" i="14"/>
  <c r="DR45" i="14"/>
  <c r="DR42" i="14"/>
  <c r="DR41" i="14"/>
  <c r="DR46" i="14"/>
  <c r="DR51" i="14"/>
  <c r="DR43" i="14"/>
  <c r="DR50" i="14"/>
  <c r="DR48" i="14"/>
  <c r="DR36" i="14"/>
  <c r="DR44" i="14"/>
  <c r="DR38" i="14"/>
  <c r="DR37" i="14"/>
  <c r="DN175" i="14"/>
  <c r="DN193" i="14"/>
  <c r="DN61" i="14"/>
  <c r="DN209" i="14"/>
  <c r="DN185" i="14"/>
  <c r="DN180" i="14"/>
  <c r="DN148" i="14"/>
  <c r="DN69" i="14"/>
  <c r="DN20" i="14"/>
  <c r="DN213" i="14"/>
  <c r="DN19" i="14"/>
  <c r="DN182" i="14"/>
  <c r="DN207" i="14"/>
  <c r="DN154" i="14"/>
  <c r="DN68" i="14"/>
  <c r="DN27" i="14"/>
  <c r="DN195" i="14"/>
  <c r="DN159" i="14"/>
  <c r="DN161" i="14"/>
  <c r="DN63" i="14"/>
  <c r="DN179" i="14"/>
  <c r="DN194" i="14"/>
  <c r="DN158" i="14"/>
  <c r="DN21" i="14"/>
  <c r="DN170" i="14"/>
  <c r="DN212" i="14"/>
  <c r="DN191" i="14"/>
  <c r="DN31" i="14"/>
  <c r="DN184" i="14"/>
  <c r="DN30" i="14"/>
  <c r="DN149" i="14"/>
  <c r="DN176" i="14"/>
  <c r="DN164" i="14"/>
  <c r="DN152" i="14"/>
  <c r="DN163" i="14"/>
  <c r="DN62" i="14"/>
  <c r="DN186" i="14"/>
  <c r="DN181" i="14"/>
  <c r="DN23" i="14"/>
  <c r="DN17" i="14"/>
  <c r="DN199" i="14"/>
  <c r="DN210" i="14"/>
  <c r="DN60" i="14"/>
  <c r="DN168" i="14"/>
  <c r="DN71" i="14"/>
  <c r="DN190" i="14"/>
  <c r="DN56" i="14"/>
  <c r="DN204" i="14"/>
  <c r="DN24" i="14"/>
  <c r="DN188" i="14"/>
  <c r="DN146" i="14"/>
  <c r="DN64" i="14"/>
  <c r="DN167" i="14"/>
  <c r="DN22" i="14"/>
  <c r="DN183" i="14"/>
  <c r="DN198" i="14"/>
  <c r="DN57" i="14"/>
  <c r="DN66" i="14"/>
  <c r="DN202" i="14"/>
  <c r="DN33" i="14"/>
  <c r="DN165" i="14"/>
  <c r="DN192" i="14"/>
  <c r="DN145" i="14"/>
  <c r="DN54" i="14"/>
  <c r="DN177" i="14"/>
  <c r="DN156" i="14"/>
  <c r="DN25" i="14"/>
  <c r="DN65" i="14"/>
  <c r="DN157" i="14"/>
  <c r="DN189" i="14"/>
  <c r="DN205" i="14"/>
  <c r="DN197" i="14"/>
  <c r="DN169" i="14"/>
  <c r="DN32" i="14"/>
  <c r="DN201" i="14"/>
  <c r="DN29" i="14"/>
  <c r="DN208" i="14"/>
  <c r="DN150" i="14"/>
  <c r="DN26" i="14"/>
  <c r="DN147" i="14"/>
  <c r="DN53" i="14"/>
  <c r="DN35" i="14"/>
  <c r="DN153" i="14"/>
  <c r="DN18" i="14"/>
  <c r="DN28" i="14"/>
  <c r="DN55" i="14"/>
  <c r="DN174" i="14"/>
  <c r="DN162" i="14"/>
  <c r="DN166" i="14"/>
  <c r="DN143" i="14"/>
  <c r="DN151" i="14"/>
  <c r="DN155" i="14"/>
  <c r="DN200" i="14"/>
  <c r="DN171" i="14"/>
  <c r="DN144" i="14"/>
  <c r="DN59" i="14"/>
  <c r="DN187" i="14"/>
  <c r="DN58" i="14"/>
  <c r="DN172" i="14"/>
  <c r="DN211" i="14"/>
  <c r="DN173" i="14"/>
  <c r="DN67" i="14"/>
  <c r="DN39" i="14"/>
  <c r="DN49" i="14"/>
  <c r="DN40" i="14"/>
  <c r="DN45" i="14"/>
  <c r="DN42" i="14"/>
  <c r="DN47" i="14"/>
  <c r="DN46" i="14"/>
  <c r="DN43" i="14"/>
  <c r="DN41" i="14"/>
  <c r="DN51" i="14"/>
  <c r="DN50" i="14"/>
  <c r="DN36" i="14"/>
  <c r="DN37" i="14"/>
  <c r="DN38" i="14"/>
  <c r="DN44" i="14"/>
  <c r="DN48" i="14"/>
  <c r="DJ144" i="14"/>
  <c r="DJ54" i="14"/>
  <c r="DJ166" i="14"/>
  <c r="DJ211" i="14"/>
  <c r="DJ55" i="14"/>
  <c r="DJ179" i="14"/>
  <c r="DJ181" i="14"/>
  <c r="DJ176" i="14"/>
  <c r="DJ58" i="14"/>
  <c r="DJ26" i="14"/>
  <c r="DJ174" i="14"/>
  <c r="DJ68" i="14"/>
  <c r="DJ30" i="14"/>
  <c r="DJ177" i="14"/>
  <c r="DJ150" i="14"/>
  <c r="DJ61" i="14"/>
  <c r="DJ66" i="14"/>
  <c r="DJ204" i="14"/>
  <c r="DJ146" i="14"/>
  <c r="DJ53" i="14"/>
  <c r="DJ62" i="14"/>
  <c r="DJ22" i="14"/>
  <c r="DJ17" i="14"/>
  <c r="DJ31" i="14"/>
  <c r="DJ156" i="14"/>
  <c r="DJ67" i="14"/>
  <c r="DJ172" i="14"/>
  <c r="DJ183" i="14"/>
  <c r="DJ171" i="14"/>
  <c r="DJ154" i="14"/>
  <c r="DJ56" i="14"/>
  <c r="DJ185" i="14"/>
  <c r="DJ28" i="14"/>
  <c r="DJ210" i="14"/>
  <c r="DJ155" i="14"/>
  <c r="DJ24" i="14"/>
  <c r="DJ199" i="14"/>
  <c r="DJ205" i="14"/>
  <c r="DJ202" i="14"/>
  <c r="DJ168" i="14"/>
  <c r="DJ59" i="14"/>
  <c r="DJ188" i="14"/>
  <c r="DJ21" i="14"/>
  <c r="DJ23" i="14"/>
  <c r="DJ193" i="14"/>
  <c r="DJ163" i="14"/>
  <c r="DJ153" i="14"/>
  <c r="DJ35" i="14"/>
  <c r="DJ182" i="14"/>
  <c r="DJ165" i="14"/>
  <c r="DJ167" i="14"/>
  <c r="DJ170" i="14"/>
  <c r="DJ164" i="14"/>
  <c r="DJ180" i="14"/>
  <c r="DJ207" i="14"/>
  <c r="DJ212" i="14"/>
  <c r="DJ209" i="14"/>
  <c r="DJ63" i="14"/>
  <c r="DJ148" i="14"/>
  <c r="DJ69" i="14"/>
  <c r="DJ60" i="14"/>
  <c r="DJ145" i="14"/>
  <c r="DJ198" i="14"/>
  <c r="DJ143" i="14"/>
  <c r="DJ213" i="14"/>
  <c r="DJ33" i="14"/>
  <c r="DJ173" i="14"/>
  <c r="DJ149" i="14"/>
  <c r="DJ71" i="14"/>
  <c r="DJ64" i="14"/>
  <c r="DJ191" i="14"/>
  <c r="DJ186" i="14"/>
  <c r="DJ189" i="14"/>
  <c r="DJ197" i="14"/>
  <c r="DJ192" i="14"/>
  <c r="DJ194" i="14"/>
  <c r="DJ151" i="14"/>
  <c r="DJ19" i="14"/>
  <c r="DJ161" i="14"/>
  <c r="DJ162" i="14"/>
  <c r="DJ175" i="14"/>
  <c r="DJ18" i="14"/>
  <c r="DJ169" i="14"/>
  <c r="DJ152" i="14"/>
  <c r="DJ159" i="14"/>
  <c r="DJ32" i="14"/>
  <c r="DJ29" i="14"/>
  <c r="DJ20" i="14"/>
  <c r="DJ195" i="14"/>
  <c r="DJ27" i="14"/>
  <c r="DJ65" i="14"/>
  <c r="DJ190" i="14"/>
  <c r="DJ184" i="14"/>
  <c r="DJ25" i="14"/>
  <c r="DJ147" i="14"/>
  <c r="DJ187" i="14"/>
  <c r="DJ157" i="14"/>
  <c r="DJ57" i="14"/>
  <c r="DJ208" i="14"/>
  <c r="DJ158" i="14"/>
  <c r="DJ200" i="14"/>
  <c r="DJ40" i="14"/>
  <c r="DJ49" i="14"/>
  <c r="DJ42" i="14"/>
  <c r="DJ47" i="14"/>
  <c r="DJ45" i="14"/>
  <c r="DJ39" i="14"/>
  <c r="DJ43" i="14"/>
  <c r="DJ50" i="14"/>
  <c r="DJ41" i="14"/>
  <c r="DJ46" i="14"/>
  <c r="DJ51" i="14"/>
  <c r="DJ36" i="14"/>
  <c r="DJ38" i="14"/>
  <c r="DJ37" i="14"/>
  <c r="DJ44" i="14"/>
  <c r="DJ48" i="14"/>
  <c r="T16" i="14"/>
  <c r="T107" i="14"/>
  <c r="T215" i="14"/>
  <c r="T52" i="14"/>
  <c r="T125" i="14"/>
  <c r="DG197" i="14"/>
  <c r="DG193" i="14"/>
  <c r="DG179" i="14"/>
  <c r="DG65" i="14"/>
  <c r="DG191" i="14"/>
  <c r="DG57" i="14"/>
  <c r="DG155" i="14"/>
  <c r="DG176" i="14"/>
  <c r="DG169" i="14"/>
  <c r="DG195" i="14"/>
  <c r="DG33" i="14"/>
  <c r="DG184" i="14"/>
  <c r="DG188" i="14"/>
  <c r="DG20" i="14"/>
  <c r="DG69" i="14"/>
  <c r="DG56" i="14"/>
  <c r="DG177" i="14"/>
  <c r="DG173" i="14"/>
  <c r="DG159" i="14"/>
  <c r="DG28" i="14"/>
  <c r="DG53" i="14"/>
  <c r="DG151" i="14"/>
  <c r="DG145" i="14"/>
  <c r="DG154" i="14"/>
  <c r="DG209" i="14"/>
  <c r="DG157" i="14"/>
  <c r="DG181" i="14"/>
  <c r="DG35" i="14"/>
  <c r="DG213" i="14"/>
  <c r="DG150" i="14"/>
  <c r="DG174" i="14"/>
  <c r="DG60" i="14"/>
  <c r="DG61" i="14"/>
  <c r="DG31" i="14"/>
  <c r="DG27" i="14"/>
  <c r="DG186" i="14"/>
  <c r="DG17" i="14"/>
  <c r="DG62" i="14"/>
  <c r="DG208" i="14"/>
  <c r="DG149" i="14"/>
  <c r="DG204" i="14"/>
  <c r="DG55" i="14"/>
  <c r="DG212" i="14"/>
  <c r="DG19" i="14"/>
  <c r="DG171" i="14"/>
  <c r="DG201" i="14"/>
  <c r="DG187" i="14"/>
  <c r="DG205" i="14"/>
  <c r="DG59" i="14"/>
  <c r="DG146" i="14"/>
  <c r="DG161" i="14"/>
  <c r="DG182" i="14"/>
  <c r="DG166" i="14"/>
  <c r="DG24" i="14"/>
  <c r="DG143" i="14"/>
  <c r="DG164" i="14"/>
  <c r="DG18" i="14"/>
  <c r="DG153" i="14"/>
  <c r="DG172" i="14"/>
  <c r="DG158" i="14"/>
  <c r="DG165" i="14"/>
  <c r="DG190" i="14"/>
  <c r="DG189" i="14"/>
  <c r="DG183" i="14"/>
  <c r="DG67" i="14"/>
  <c r="DG211" i="14"/>
  <c r="DG58" i="14"/>
  <c r="DG54" i="14"/>
  <c r="DG26" i="14"/>
  <c r="DG23" i="14"/>
  <c r="DG25" i="14"/>
  <c r="DG198" i="14"/>
  <c r="DG180" i="14"/>
  <c r="DG22" i="14"/>
  <c r="DG199" i="14"/>
  <c r="DG168" i="14"/>
  <c r="DG210" i="14"/>
  <c r="DG170" i="14"/>
  <c r="DG194" i="14"/>
  <c r="DG66" i="14"/>
  <c r="DG21" i="14"/>
  <c r="DG68" i="14"/>
  <c r="DG30" i="14"/>
  <c r="DG185" i="14"/>
  <c r="DG192" i="14"/>
  <c r="DG167" i="14"/>
  <c r="DG162" i="14"/>
  <c r="DG163" i="14"/>
  <c r="DG63" i="14"/>
  <c r="DG148" i="14"/>
  <c r="DG29" i="14"/>
  <c r="DG32" i="14"/>
  <c r="DG207" i="14"/>
  <c r="DG71" i="14"/>
  <c r="DG200" i="14"/>
  <c r="DG202" i="14"/>
  <c r="DG64" i="14"/>
  <c r="DG175" i="14"/>
  <c r="DG156" i="14"/>
  <c r="DG147" i="14"/>
  <c r="DG152" i="14"/>
  <c r="DG144" i="14"/>
  <c r="DG40" i="14"/>
  <c r="DG39" i="14"/>
  <c r="DG49" i="14"/>
  <c r="DG45" i="14"/>
  <c r="DG42" i="14"/>
  <c r="DG46" i="14"/>
  <c r="DG41" i="14"/>
  <c r="DG43" i="14"/>
  <c r="DG51" i="14"/>
  <c r="DG47" i="14"/>
  <c r="DG37" i="14"/>
  <c r="DG50" i="14"/>
  <c r="DG36" i="14"/>
  <c r="DG44" i="14"/>
  <c r="DG38" i="14"/>
  <c r="DG48" i="14"/>
  <c r="CY202" i="14"/>
  <c r="CY185" i="14"/>
  <c r="CY28" i="14"/>
  <c r="CY186" i="14"/>
  <c r="CY189" i="14"/>
  <c r="CY30" i="14"/>
  <c r="CY59" i="14"/>
  <c r="CY144" i="14"/>
  <c r="CY27" i="14"/>
  <c r="CY207" i="14"/>
  <c r="CY19" i="14"/>
  <c r="CY143" i="14"/>
  <c r="CY209" i="14"/>
  <c r="CY20" i="14"/>
  <c r="CY176" i="14"/>
  <c r="CY188" i="14"/>
  <c r="CY166" i="14"/>
  <c r="CY213" i="14"/>
  <c r="CY192" i="14"/>
  <c r="CY21" i="14"/>
  <c r="CY152" i="14"/>
  <c r="CY170" i="14"/>
  <c r="CY53" i="14"/>
  <c r="CY148" i="14"/>
  <c r="CY151" i="14"/>
  <c r="CY22" i="14"/>
  <c r="CY158" i="14"/>
  <c r="CY182" i="14"/>
  <c r="CY165" i="14"/>
  <c r="CY181" i="14"/>
  <c r="CY162" i="14"/>
  <c r="CY35" i="14"/>
  <c r="CY208" i="14"/>
  <c r="CY54" i="14"/>
  <c r="CY193" i="14"/>
  <c r="CY180" i="14"/>
  <c r="CY159" i="14"/>
  <c r="CY187" i="14"/>
  <c r="CY200" i="14"/>
  <c r="CY191" i="14"/>
  <c r="CY157" i="14"/>
  <c r="CY156" i="14"/>
  <c r="CY24" i="14"/>
  <c r="CY184" i="14"/>
  <c r="CY167" i="14"/>
  <c r="CY211" i="14"/>
  <c r="CY204" i="14"/>
  <c r="CY25" i="14"/>
  <c r="CY32" i="14"/>
  <c r="CY64" i="14"/>
  <c r="CY163" i="14"/>
  <c r="CY212" i="14"/>
  <c r="CY149" i="14"/>
  <c r="CY164" i="14"/>
  <c r="CY174" i="14"/>
  <c r="CY205" i="14"/>
  <c r="CY190" i="14"/>
  <c r="CY62" i="14"/>
  <c r="CY71" i="14"/>
  <c r="CY61" i="14"/>
  <c r="CY67" i="14"/>
  <c r="CY183" i="14"/>
  <c r="CY18" i="14"/>
  <c r="CY153" i="14"/>
  <c r="CY147" i="14"/>
  <c r="CY173" i="14"/>
  <c r="CY210" i="14"/>
  <c r="CY199" i="14"/>
  <c r="CY63" i="14"/>
  <c r="CY17" i="14"/>
  <c r="CY171" i="14"/>
  <c r="CY150" i="14"/>
  <c r="CY177" i="14"/>
  <c r="CY169" i="14"/>
  <c r="CY197" i="14"/>
  <c r="CY29" i="14"/>
  <c r="CY57" i="14"/>
  <c r="CY155" i="14"/>
  <c r="CY172" i="14"/>
  <c r="CY154" i="14"/>
  <c r="CY145" i="14"/>
  <c r="CY58" i="14"/>
  <c r="CY168" i="14"/>
  <c r="CY65" i="14"/>
  <c r="CY55" i="14"/>
  <c r="CY175" i="14"/>
  <c r="CY56" i="14"/>
  <c r="CY146" i="14"/>
  <c r="CY198" i="14"/>
  <c r="CY179" i="14"/>
  <c r="CY194" i="14"/>
  <c r="CY60" i="14"/>
  <c r="CY31" i="14"/>
  <c r="CY33" i="14"/>
  <c r="CY161" i="14"/>
  <c r="CY195" i="14"/>
  <c r="CY23" i="14"/>
  <c r="CY26" i="14"/>
  <c r="CY69" i="14"/>
  <c r="CY68" i="14"/>
  <c r="CY66" i="14"/>
  <c r="CY40" i="14"/>
  <c r="CY39" i="14"/>
  <c r="CY42" i="14"/>
  <c r="CY45" i="14"/>
  <c r="CY49" i="14"/>
  <c r="CY41" i="14"/>
  <c r="CY43" i="14"/>
  <c r="CY51" i="14"/>
  <c r="CY47" i="14"/>
  <c r="CY46" i="14"/>
  <c r="CY36" i="14"/>
  <c r="CY50" i="14"/>
  <c r="CY37" i="14"/>
  <c r="CY38" i="14"/>
  <c r="CY44" i="14"/>
  <c r="CY48" i="14"/>
  <c r="AY17" i="14"/>
  <c r="AY18" i="14"/>
  <c r="AY157" i="14"/>
  <c r="AY198" i="14"/>
  <c r="AY55" i="14"/>
  <c r="AY205" i="14"/>
  <c r="AY56" i="14"/>
  <c r="AY173" i="14"/>
  <c r="AY158" i="14"/>
  <c r="AY63" i="14"/>
  <c r="AY167" i="14"/>
  <c r="AY212" i="14"/>
  <c r="AY161" i="14"/>
  <c r="AY149" i="14"/>
  <c r="AY146" i="14"/>
  <c r="AY21" i="14"/>
  <c r="AY207" i="14"/>
  <c r="AY147" i="14"/>
  <c r="AY163" i="14"/>
  <c r="AY176" i="14"/>
  <c r="AY20" i="14"/>
  <c r="AY32" i="14"/>
  <c r="AY64" i="14"/>
  <c r="AY193" i="14"/>
  <c r="AY28" i="14"/>
  <c r="AY19" i="14"/>
  <c r="AY150" i="14"/>
  <c r="AY174" i="14"/>
  <c r="AY184" i="14"/>
  <c r="AY170" i="14"/>
  <c r="AY61" i="14"/>
  <c r="AY68" i="14"/>
  <c r="AY57" i="14"/>
  <c r="AY179" i="14"/>
  <c r="AY187" i="14"/>
  <c r="AY181" i="14"/>
  <c r="AY164" i="14"/>
  <c r="AY175" i="14"/>
  <c r="AY159" i="14"/>
  <c r="AY204" i="14"/>
  <c r="AY168" i="14"/>
  <c r="AY208" i="14"/>
  <c r="AY60" i="14"/>
  <c r="AY162" i="14"/>
  <c r="AY202" i="14"/>
  <c r="AY156" i="14"/>
  <c r="AY194" i="14"/>
  <c r="AY66" i="14"/>
  <c r="AY30" i="14"/>
  <c r="AY185" i="14"/>
  <c r="AY26" i="14"/>
  <c r="AY35" i="14"/>
  <c r="AY53" i="14"/>
  <c r="AY143" i="14"/>
  <c r="AY213" i="14"/>
  <c r="AY172" i="14"/>
  <c r="AY177" i="14"/>
  <c r="AY200" i="14"/>
  <c r="AY199" i="14"/>
  <c r="AY211" i="14"/>
  <c r="AY54" i="14"/>
  <c r="AY23" i="14"/>
  <c r="AY58" i="14"/>
  <c r="AY195" i="14"/>
  <c r="AY171" i="14"/>
  <c r="AY153" i="14"/>
  <c r="AY144" i="14"/>
  <c r="AY22" i="14"/>
  <c r="AY210" i="14"/>
  <c r="AY190" i="14"/>
  <c r="AY151" i="14"/>
  <c r="AY29" i="14"/>
  <c r="AY24" i="14"/>
  <c r="AY25" i="14"/>
  <c r="AY59" i="14"/>
  <c r="AY186" i="14"/>
  <c r="AY192" i="14"/>
  <c r="AY152" i="14"/>
  <c r="AY67" i="14"/>
  <c r="AY154" i="14"/>
  <c r="AY197" i="14"/>
  <c r="AY27" i="14"/>
  <c r="AY183" i="14"/>
  <c r="AY180" i="14"/>
  <c r="AY169" i="14"/>
  <c r="AY148" i="14"/>
  <c r="AY188" i="14"/>
  <c r="AY209" i="14"/>
  <c r="AY155" i="14"/>
  <c r="AY69" i="14"/>
  <c r="AY182" i="14"/>
  <c r="AY145" i="14"/>
  <c r="AY165" i="14"/>
  <c r="AY31" i="14"/>
  <c r="AY191" i="14"/>
  <c r="AY33" i="14"/>
  <c r="AY166" i="14"/>
  <c r="AY62" i="14"/>
  <c r="AY71" i="14"/>
  <c r="AY189" i="14"/>
  <c r="AY65" i="14"/>
  <c r="AY40" i="14"/>
  <c r="AY39" i="14"/>
  <c r="AY45" i="14"/>
  <c r="AY49" i="14"/>
  <c r="AY47" i="14"/>
  <c r="AY41" i="14"/>
  <c r="AY42" i="14"/>
  <c r="AY43" i="14"/>
  <c r="AY46" i="14"/>
  <c r="AY51" i="14"/>
  <c r="AY50" i="14"/>
  <c r="AY37" i="14"/>
  <c r="AY38" i="14"/>
  <c r="AY48" i="14"/>
  <c r="AY44" i="14"/>
  <c r="AY36" i="14"/>
  <c r="AQ163" i="14"/>
  <c r="AQ164" i="14"/>
  <c r="AQ191" i="14"/>
  <c r="AQ181" i="14"/>
  <c r="AQ174" i="14"/>
  <c r="AQ159" i="14"/>
  <c r="AQ26" i="14"/>
  <c r="AQ152" i="14"/>
  <c r="AQ175" i="14"/>
  <c r="AQ204" i="14"/>
  <c r="AQ169" i="14"/>
  <c r="AQ183" i="14"/>
  <c r="AQ165" i="14"/>
  <c r="AQ168" i="14"/>
  <c r="AQ67" i="14"/>
  <c r="AQ153" i="14"/>
  <c r="AQ146" i="14"/>
  <c r="AQ158" i="14"/>
  <c r="AQ145" i="14"/>
  <c r="AQ176" i="14"/>
  <c r="AQ185" i="14"/>
  <c r="AQ155" i="14"/>
  <c r="AQ190" i="14"/>
  <c r="AQ187" i="14"/>
  <c r="AQ154" i="14"/>
  <c r="AQ193" i="14"/>
  <c r="AQ177" i="14"/>
  <c r="AQ151" i="14"/>
  <c r="AQ195" i="14"/>
  <c r="AQ68" i="14"/>
  <c r="AQ19" i="14"/>
  <c r="AQ157" i="14"/>
  <c r="AQ150" i="14"/>
  <c r="AQ33" i="14"/>
  <c r="AQ53" i="14"/>
  <c r="AQ29" i="14"/>
  <c r="AQ63" i="14"/>
  <c r="AQ207" i="14"/>
  <c r="AQ25" i="14"/>
  <c r="AQ166" i="14"/>
  <c r="AQ32" i="14"/>
  <c r="AQ28" i="14"/>
  <c r="AQ65" i="14"/>
  <c r="AQ35" i="14"/>
  <c r="AQ71" i="14"/>
  <c r="AQ57" i="14"/>
  <c r="AQ211" i="14"/>
  <c r="AQ31" i="14"/>
  <c r="AQ21" i="14"/>
  <c r="AQ197" i="14"/>
  <c r="AQ22" i="14"/>
  <c r="AQ179" i="14"/>
  <c r="AQ162" i="14"/>
  <c r="AQ148" i="14"/>
  <c r="AQ61" i="14"/>
  <c r="AQ171" i="14"/>
  <c r="AQ149" i="14"/>
  <c r="AQ188" i="14"/>
  <c r="AQ167" i="14"/>
  <c r="AQ161" i="14"/>
  <c r="AQ192" i="14"/>
  <c r="AQ27" i="14"/>
  <c r="AQ59" i="14"/>
  <c r="AQ194" i="14"/>
  <c r="AQ66" i="14"/>
  <c r="AQ212" i="14"/>
  <c r="AQ58" i="14"/>
  <c r="AQ213" i="14"/>
  <c r="AQ208" i="14"/>
  <c r="AQ170" i="14"/>
  <c r="AQ205" i="14"/>
  <c r="AQ147" i="14"/>
  <c r="AQ60" i="14"/>
  <c r="AQ184" i="14"/>
  <c r="AQ30" i="14"/>
  <c r="AQ172" i="14"/>
  <c r="AQ180" i="14"/>
  <c r="AQ54" i="14"/>
  <c r="AQ198" i="14"/>
  <c r="AQ24" i="14"/>
  <c r="AQ23" i="14"/>
  <c r="AQ199" i="14"/>
  <c r="AQ69" i="14"/>
  <c r="AQ144" i="14"/>
  <c r="AQ202" i="14"/>
  <c r="AQ56" i="14"/>
  <c r="AQ17" i="14"/>
  <c r="AQ200" i="14"/>
  <c r="AQ20" i="14"/>
  <c r="AQ186" i="14"/>
  <c r="AQ143" i="14"/>
  <c r="AQ182" i="14"/>
  <c r="AQ62" i="14"/>
  <c r="AQ55" i="14"/>
  <c r="AQ173" i="14"/>
  <c r="AQ18" i="14"/>
  <c r="AQ64" i="14"/>
  <c r="AQ189" i="14"/>
  <c r="AQ210" i="14"/>
  <c r="AQ209" i="14"/>
  <c r="AQ156" i="14"/>
  <c r="AQ39" i="14"/>
  <c r="AQ49" i="14"/>
  <c r="AQ40" i="14"/>
  <c r="AQ42" i="14"/>
  <c r="AQ47" i="14"/>
  <c r="AQ45" i="14"/>
  <c r="AQ41" i="14"/>
  <c r="AQ46" i="14"/>
  <c r="AQ50" i="14"/>
  <c r="AQ43" i="14"/>
  <c r="AQ51" i="14"/>
  <c r="AQ36" i="14"/>
  <c r="AQ48" i="14"/>
  <c r="AQ38" i="14"/>
  <c r="AQ37" i="14"/>
  <c r="AQ44" i="14"/>
  <c r="Q215" i="14"/>
  <c r="Q16" i="14"/>
  <c r="Q107" i="14"/>
  <c r="CG173" i="14"/>
  <c r="CG18" i="14"/>
  <c r="CG164" i="14"/>
  <c r="CG146" i="14"/>
  <c r="CG24" i="14"/>
  <c r="CG17" i="14"/>
  <c r="CG35" i="14"/>
  <c r="CG210" i="14"/>
  <c r="CG187" i="14"/>
  <c r="CG176" i="14"/>
  <c r="CG152" i="14"/>
  <c r="CG212" i="14"/>
  <c r="CG186" i="14"/>
  <c r="CG157" i="14"/>
  <c r="CG150" i="14"/>
  <c r="CG208" i="14"/>
  <c r="CG69" i="14"/>
  <c r="CG59" i="14"/>
  <c r="CG55" i="14"/>
  <c r="CG190" i="14"/>
  <c r="CG154" i="14"/>
  <c r="CG197" i="14"/>
  <c r="CG156" i="14"/>
  <c r="CG179" i="14"/>
  <c r="CG192" i="14"/>
  <c r="CG169" i="14"/>
  <c r="CG171" i="14"/>
  <c r="CG31" i="14"/>
  <c r="CG166" i="14"/>
  <c r="CG153" i="14"/>
  <c r="CG67" i="14"/>
  <c r="CG199" i="14"/>
  <c r="CG26" i="14"/>
  <c r="CG144" i="14"/>
  <c r="CG27" i="14"/>
  <c r="CG64" i="14"/>
  <c r="CG23" i="14"/>
  <c r="CG159" i="14"/>
  <c r="CG185" i="14"/>
  <c r="CG188" i="14"/>
  <c r="CG148" i="14"/>
  <c r="CG200" i="14"/>
  <c r="CG21" i="14"/>
  <c r="CG20" i="14"/>
  <c r="CG213" i="14"/>
  <c r="CG211" i="14"/>
  <c r="CG71" i="14"/>
  <c r="CG28" i="14"/>
  <c r="CG56" i="14"/>
  <c r="CG53" i="14"/>
  <c r="CG174" i="14"/>
  <c r="CG33" i="14"/>
  <c r="CG62" i="14"/>
  <c r="CG194" i="14"/>
  <c r="CG161" i="14"/>
  <c r="CG181" i="14"/>
  <c r="CG170" i="14"/>
  <c r="CG63" i="14"/>
  <c r="CG205" i="14"/>
  <c r="CG195" i="14"/>
  <c r="CG65" i="14"/>
  <c r="CG207" i="14"/>
  <c r="CG54" i="14"/>
  <c r="CG209" i="14"/>
  <c r="CG32" i="14"/>
  <c r="CG193" i="14"/>
  <c r="CG168" i="14"/>
  <c r="CG162" i="14"/>
  <c r="CG149" i="14"/>
  <c r="CG143" i="14"/>
  <c r="CG172" i="14"/>
  <c r="CG191" i="14"/>
  <c r="CG180" i="14"/>
  <c r="CG183" i="14"/>
  <c r="CG61" i="14"/>
  <c r="CG19" i="14"/>
  <c r="CG177" i="14"/>
  <c r="CG163" i="14"/>
  <c r="CG167" i="14"/>
  <c r="CG175" i="14"/>
  <c r="CG165" i="14"/>
  <c r="CG145" i="14"/>
  <c r="CG184" i="14"/>
  <c r="CG66" i="14"/>
  <c r="CG182" i="14"/>
  <c r="CG25" i="14"/>
  <c r="CG22" i="14"/>
  <c r="CG68" i="14"/>
  <c r="CG204" i="14"/>
  <c r="CG198" i="14"/>
  <c r="CG57" i="14"/>
  <c r="CG58" i="14"/>
  <c r="CG151" i="14"/>
  <c r="CG60" i="14"/>
  <c r="CG155" i="14"/>
  <c r="CG147" i="14"/>
  <c r="CG30" i="14"/>
  <c r="CG29" i="14"/>
  <c r="CG189" i="14"/>
  <c r="CG202" i="14"/>
  <c r="CG158" i="14"/>
  <c r="CG40" i="14"/>
  <c r="CG39" i="14"/>
  <c r="CG49" i="14"/>
  <c r="CG45" i="14"/>
  <c r="CG42" i="14"/>
  <c r="CG43" i="14"/>
  <c r="CG46" i="14"/>
  <c r="CG47" i="14"/>
  <c r="CG41" i="14"/>
  <c r="CG51" i="14"/>
  <c r="CG50" i="14"/>
  <c r="CG38" i="14"/>
  <c r="CG36" i="14"/>
  <c r="CG37" i="14"/>
  <c r="CG44" i="14"/>
  <c r="CG48" i="14"/>
  <c r="CC179" i="14"/>
  <c r="CC181" i="14"/>
  <c r="CC22" i="14"/>
  <c r="CC164" i="14"/>
  <c r="CC55" i="14"/>
  <c r="CC29" i="14"/>
  <c r="CC165" i="14"/>
  <c r="CC198" i="14"/>
  <c r="CC166" i="14"/>
  <c r="CC191" i="14"/>
  <c r="CC58" i="14"/>
  <c r="CC61" i="14"/>
  <c r="CC188" i="14"/>
  <c r="CC163" i="14"/>
  <c r="CC25" i="14"/>
  <c r="CC168" i="14"/>
  <c r="CC145" i="14"/>
  <c r="CC210" i="14"/>
  <c r="CC183" i="14"/>
  <c r="CC27" i="14"/>
  <c r="CC69" i="14"/>
  <c r="CC59" i="14"/>
  <c r="CC20" i="14"/>
  <c r="CC184" i="14"/>
  <c r="CC148" i="14"/>
  <c r="CC21" i="14"/>
  <c r="CC161" i="14"/>
  <c r="CC23" i="14"/>
  <c r="CC153" i="14"/>
  <c r="CC176" i="14"/>
  <c r="CC53" i="14"/>
  <c r="CC173" i="14"/>
  <c r="CC63" i="14"/>
  <c r="CC200" i="14"/>
  <c r="CC159" i="14"/>
  <c r="CC211" i="14"/>
  <c r="CC157" i="14"/>
  <c r="CC26" i="14"/>
  <c r="CC60" i="14"/>
  <c r="CC18" i="14"/>
  <c r="CC209" i="14"/>
  <c r="CC146" i="14"/>
  <c r="CC185" i="14"/>
  <c r="CC24" i="14"/>
  <c r="CC171" i="14"/>
  <c r="CC17" i="14"/>
  <c r="CC177" i="14"/>
  <c r="CC33" i="14"/>
  <c r="CC195" i="14"/>
  <c r="CC149" i="14"/>
  <c r="CC197" i="14"/>
  <c r="CC68" i="14"/>
  <c r="CC205" i="14"/>
  <c r="CC19" i="14"/>
  <c r="CC174" i="14"/>
  <c r="CC170" i="14"/>
  <c r="CC31" i="14"/>
  <c r="CC182" i="14"/>
  <c r="CC202" i="14"/>
  <c r="CC193" i="14"/>
  <c r="CC158" i="14"/>
  <c r="CC71" i="14"/>
  <c r="CC155" i="14"/>
  <c r="CC62" i="14"/>
  <c r="CC192" i="14"/>
  <c r="CC199" i="14"/>
  <c r="CC207" i="14"/>
  <c r="CC167" i="14"/>
  <c r="CC147" i="14"/>
  <c r="CC57" i="14"/>
  <c r="CC156" i="14"/>
  <c r="CC28" i="14"/>
  <c r="CC67" i="14"/>
  <c r="CC187" i="14"/>
  <c r="CC143" i="14"/>
  <c r="CC152" i="14"/>
  <c r="CC66" i="14"/>
  <c r="CC213" i="14"/>
  <c r="CC162" i="14"/>
  <c r="CC151" i="14"/>
  <c r="CC154" i="14"/>
  <c r="CC169" i="14"/>
  <c r="CC32" i="14"/>
  <c r="CC144" i="14"/>
  <c r="CC180" i="14"/>
  <c r="CC175" i="14"/>
  <c r="CC172" i="14"/>
  <c r="CC30" i="14"/>
  <c r="CC194" i="14"/>
  <c r="CC54" i="14"/>
  <c r="CC212" i="14"/>
  <c r="CC150" i="14"/>
  <c r="CC64" i="14"/>
  <c r="CC56" i="14"/>
  <c r="CC186" i="14"/>
  <c r="CC35" i="14"/>
  <c r="CC204" i="14"/>
  <c r="CC190" i="14"/>
  <c r="CC208" i="14"/>
  <c r="CC189" i="14"/>
  <c r="CC65" i="14"/>
  <c r="CC39" i="14"/>
  <c r="CC40" i="14"/>
  <c r="CC47" i="14"/>
  <c r="CC49" i="14"/>
  <c r="CC42" i="14"/>
  <c r="CC45" i="14"/>
  <c r="CC50" i="14"/>
  <c r="CC41" i="14"/>
  <c r="CC51" i="14"/>
  <c r="CC43" i="14"/>
  <c r="CC46" i="14"/>
  <c r="CC37" i="14"/>
  <c r="CC44" i="14"/>
  <c r="CC38" i="14"/>
  <c r="CC48" i="14"/>
  <c r="CC36" i="14"/>
  <c r="AK168" i="14"/>
  <c r="AK29" i="14"/>
  <c r="AK55" i="14"/>
  <c r="AK149" i="14"/>
  <c r="AK179" i="14"/>
  <c r="AK210" i="14"/>
  <c r="AK53" i="14"/>
  <c r="AK191" i="14"/>
  <c r="AK205" i="14"/>
  <c r="AK158" i="14"/>
  <c r="AK209" i="14"/>
  <c r="AK204" i="14"/>
  <c r="AK59" i="14"/>
  <c r="AK174" i="14"/>
  <c r="AK184" i="14"/>
  <c r="AK190" i="14"/>
  <c r="AK28" i="14"/>
  <c r="AK68" i="14"/>
  <c r="AK22" i="14"/>
  <c r="AK163" i="14"/>
  <c r="AK69" i="14"/>
  <c r="AK147" i="14"/>
  <c r="AK189" i="14"/>
  <c r="AK187" i="14"/>
  <c r="AK56" i="14"/>
  <c r="AK193" i="14"/>
  <c r="AK17" i="14"/>
  <c r="AK199" i="14"/>
  <c r="AK18" i="14"/>
  <c r="AK171" i="14"/>
  <c r="AK54" i="14"/>
  <c r="AK71" i="14"/>
  <c r="AK175" i="14"/>
  <c r="AK156" i="14"/>
  <c r="AK31" i="14"/>
  <c r="AK157" i="14"/>
  <c r="AK35" i="14"/>
  <c r="AK148" i="14"/>
  <c r="AK181" i="14"/>
  <c r="AK165" i="14"/>
  <c r="AK197" i="14"/>
  <c r="AK155" i="14"/>
  <c r="AK60" i="14"/>
  <c r="AK32" i="14"/>
  <c r="AK208" i="14"/>
  <c r="AK198" i="14"/>
  <c r="AK33" i="14"/>
  <c r="AK170" i="14"/>
  <c r="AK58" i="14"/>
  <c r="AK152" i="14"/>
  <c r="AK64" i="14"/>
  <c r="AK161" i="14"/>
  <c r="AK185" i="14"/>
  <c r="AK24" i="14"/>
  <c r="AK143" i="14"/>
  <c r="AK21" i="14"/>
  <c r="AK173" i="14"/>
  <c r="AK212" i="14"/>
  <c r="AK27" i="14"/>
  <c r="AK183" i="14"/>
  <c r="AK177" i="14"/>
  <c r="AK145" i="14"/>
  <c r="AK162" i="14"/>
  <c r="AK151" i="14"/>
  <c r="AK211" i="14"/>
  <c r="AK67" i="14"/>
  <c r="AK202" i="14"/>
  <c r="AK213" i="14"/>
  <c r="AK176" i="14"/>
  <c r="AK150" i="14"/>
  <c r="AK159" i="14"/>
  <c r="AK62" i="14"/>
  <c r="AK195" i="14"/>
  <c r="AK154" i="14"/>
  <c r="AK65" i="14"/>
  <c r="AK25" i="14"/>
  <c r="AK23" i="14"/>
  <c r="AK180" i="14"/>
  <c r="AK166" i="14"/>
  <c r="AK144" i="14"/>
  <c r="AK57" i="14"/>
  <c r="AK194" i="14"/>
  <c r="AK172" i="14"/>
  <c r="AK19" i="14"/>
  <c r="AK26" i="14"/>
  <c r="AK169" i="14"/>
  <c r="AK61" i="14"/>
  <c r="AK146" i="14"/>
  <c r="AK153" i="14"/>
  <c r="AK207" i="14"/>
  <c r="AK200" i="14"/>
  <c r="AK186" i="14"/>
  <c r="AK63" i="14"/>
  <c r="AK66" i="14"/>
  <c r="AK167" i="14"/>
  <c r="AK164" i="14"/>
  <c r="AK192" i="14"/>
  <c r="AK182" i="14"/>
  <c r="AK188" i="14"/>
  <c r="AK30" i="14"/>
  <c r="AK20" i="14"/>
  <c r="AK40" i="14"/>
  <c r="AK39" i="14"/>
  <c r="AK45" i="14"/>
  <c r="AK41" i="14"/>
  <c r="AK49" i="14"/>
  <c r="AK42" i="14"/>
  <c r="AK47" i="14"/>
  <c r="AK43" i="14"/>
  <c r="AK50" i="14"/>
  <c r="AK46" i="14"/>
  <c r="AK51" i="14"/>
  <c r="AK37" i="14"/>
  <c r="AK44" i="14"/>
  <c r="AK38" i="14"/>
  <c r="AK48" i="14"/>
  <c r="AK36" i="14"/>
  <c r="AG197" i="14"/>
  <c r="AG65" i="14"/>
  <c r="AG24" i="14"/>
  <c r="AG167" i="14"/>
  <c r="AG22" i="14"/>
  <c r="AG174" i="14"/>
  <c r="AG158" i="14"/>
  <c r="AG172" i="14"/>
  <c r="AG148" i="14"/>
  <c r="AG177" i="14"/>
  <c r="AG171" i="14"/>
  <c r="AG149" i="14"/>
  <c r="AG153" i="14"/>
  <c r="AG150" i="14"/>
  <c r="AG183" i="14"/>
  <c r="AG156" i="14"/>
  <c r="AG18" i="14"/>
  <c r="AG185" i="14"/>
  <c r="AG54" i="14"/>
  <c r="AG192" i="14"/>
  <c r="AG186" i="14"/>
  <c r="AG207" i="14"/>
  <c r="AG59" i="14"/>
  <c r="AG56" i="14"/>
  <c r="AG204" i="14"/>
  <c r="AG198" i="14"/>
  <c r="AG28" i="14"/>
  <c r="AG211" i="14"/>
  <c r="AG182" i="14"/>
  <c r="AG61" i="14"/>
  <c r="AG200" i="14"/>
  <c r="AG180" i="14"/>
  <c r="AG205" i="14"/>
  <c r="AG195" i="14"/>
  <c r="AG162" i="14"/>
  <c r="AG26" i="14"/>
  <c r="AG165" i="14"/>
  <c r="AG27" i="14"/>
  <c r="AG144" i="14"/>
  <c r="AG145" i="14"/>
  <c r="AG176" i="14"/>
  <c r="AG146" i="14"/>
  <c r="AG57" i="14"/>
  <c r="AG55" i="14"/>
  <c r="AG147" i="14"/>
  <c r="AG67" i="14"/>
  <c r="AG189" i="14"/>
  <c r="AG210" i="14"/>
  <c r="AG23" i="14"/>
  <c r="AG212" i="14"/>
  <c r="AG188" i="14"/>
  <c r="AG199" i="14"/>
  <c r="AG69" i="14"/>
  <c r="AG170" i="14"/>
  <c r="AG62" i="14"/>
  <c r="AG63" i="14"/>
  <c r="AG58" i="14"/>
  <c r="AG193" i="14"/>
  <c r="AG209" i="14"/>
  <c r="AG164" i="14"/>
  <c r="AG191" i="14"/>
  <c r="AG166" i="14"/>
  <c r="AG25" i="14"/>
  <c r="AG143" i="14"/>
  <c r="AG29" i="14"/>
  <c r="AG175" i="14"/>
  <c r="AG31" i="14"/>
  <c r="AG161" i="14"/>
  <c r="AG68" i="14"/>
  <c r="AG53" i="14"/>
  <c r="AG20" i="14"/>
  <c r="AG154" i="14"/>
  <c r="AG169" i="14"/>
  <c r="AG187" i="14"/>
  <c r="AG213" i="14"/>
  <c r="AG21" i="14"/>
  <c r="AG151" i="14"/>
  <c r="AG30" i="14"/>
  <c r="AG190" i="14"/>
  <c r="AG71" i="14"/>
  <c r="AG179" i="14"/>
  <c r="AG181" i="14"/>
  <c r="AG184" i="14"/>
  <c r="AG157" i="14"/>
  <c r="AG19" i="14"/>
  <c r="AG159" i="14"/>
  <c r="AG155" i="14"/>
  <c r="AG152" i="14"/>
  <c r="AG163" i="14"/>
  <c r="AG202" i="14"/>
  <c r="AG33" i="14"/>
  <c r="AG32" i="14"/>
  <c r="AG168" i="14"/>
  <c r="AG194" i="14"/>
  <c r="AG35" i="14"/>
  <c r="AG17" i="14"/>
  <c r="AG208" i="14"/>
  <c r="AG173" i="14"/>
  <c r="AG64" i="14"/>
  <c r="AG66" i="14"/>
  <c r="AG60" i="14"/>
  <c r="AG39" i="14"/>
  <c r="AG40" i="14"/>
  <c r="AG45" i="14"/>
  <c r="AG49" i="14"/>
  <c r="AG42" i="14"/>
  <c r="AG47" i="14"/>
  <c r="AG46" i="14"/>
  <c r="AG51" i="14"/>
  <c r="AG41" i="14"/>
  <c r="AG43" i="14"/>
  <c r="AG50" i="14"/>
  <c r="AG44" i="14"/>
  <c r="AG38" i="14"/>
  <c r="AG37" i="14"/>
  <c r="AG36" i="14"/>
  <c r="AG48" i="14"/>
  <c r="DQ179" i="14"/>
  <c r="DQ199" i="14"/>
  <c r="DQ193" i="14"/>
  <c r="DQ176" i="14"/>
  <c r="DQ172" i="14"/>
  <c r="DQ209" i="14"/>
  <c r="DQ159" i="14"/>
  <c r="DQ169" i="14"/>
  <c r="DQ64" i="14"/>
  <c r="DQ184" i="14"/>
  <c r="DQ158" i="14"/>
  <c r="DQ68" i="14"/>
  <c r="DQ192" i="14"/>
  <c r="DQ61" i="14"/>
  <c r="DQ153" i="14"/>
  <c r="DQ205" i="14"/>
  <c r="DQ35" i="14"/>
  <c r="DQ24" i="14"/>
  <c r="DQ65" i="14"/>
  <c r="DQ182" i="14"/>
  <c r="DQ17" i="14"/>
  <c r="DQ207" i="14"/>
  <c r="DQ174" i="14"/>
  <c r="DQ195" i="14"/>
  <c r="DQ173" i="14"/>
  <c r="DQ187" i="14"/>
  <c r="DQ203" i="14"/>
  <c r="DQ191" i="14"/>
  <c r="DQ190" i="14"/>
  <c r="DQ149" i="14"/>
  <c r="DQ155" i="14"/>
  <c r="DQ148" i="14"/>
  <c r="DQ152" i="14"/>
  <c r="DQ171" i="14"/>
  <c r="DQ161" i="14"/>
  <c r="DQ167" i="14"/>
  <c r="DQ63" i="14"/>
  <c r="DQ26" i="14"/>
  <c r="DQ180" i="14"/>
  <c r="DQ29" i="14"/>
  <c r="DQ31" i="14"/>
  <c r="DQ157" i="14"/>
  <c r="DQ30" i="14"/>
  <c r="DQ198" i="14"/>
  <c r="DQ175" i="14"/>
  <c r="DQ210" i="14"/>
  <c r="DQ162" i="14"/>
  <c r="DQ163" i="14"/>
  <c r="DQ204" i="14"/>
  <c r="DQ189" i="14"/>
  <c r="DQ194" i="14"/>
  <c r="DQ57" i="14"/>
  <c r="DQ60" i="14"/>
  <c r="DQ21" i="14"/>
  <c r="DQ66" i="14"/>
  <c r="DQ165" i="14"/>
  <c r="DQ183" i="14"/>
  <c r="DQ150" i="14"/>
  <c r="DQ55" i="14"/>
  <c r="DQ144" i="14"/>
  <c r="DQ146" i="14"/>
  <c r="DQ156" i="14"/>
  <c r="DQ145" i="14"/>
  <c r="DQ62" i="14"/>
  <c r="DQ181" i="14"/>
  <c r="DQ213" i="14"/>
  <c r="DQ18" i="14"/>
  <c r="DQ177" i="14"/>
  <c r="DQ200" i="14"/>
  <c r="DQ20" i="14"/>
  <c r="DQ212" i="14"/>
  <c r="DQ27" i="14"/>
  <c r="DQ33" i="14"/>
  <c r="DQ22" i="14"/>
  <c r="DQ25" i="14"/>
  <c r="DQ143" i="14"/>
  <c r="DQ71" i="14"/>
  <c r="DQ168" i="14"/>
  <c r="DQ69" i="14"/>
  <c r="DQ151" i="14"/>
  <c r="DQ19" i="14"/>
  <c r="DQ211" i="14"/>
  <c r="DQ197" i="14"/>
  <c r="DQ67" i="14"/>
  <c r="DQ202" i="14"/>
  <c r="DQ206" i="14"/>
  <c r="DQ58" i="14"/>
  <c r="DQ170" i="14"/>
  <c r="DQ185" i="14"/>
  <c r="DQ59" i="14"/>
  <c r="DQ32" i="14"/>
  <c r="DQ186" i="14"/>
  <c r="DQ147" i="14"/>
  <c r="DQ164" i="14"/>
  <c r="DQ23" i="14"/>
  <c r="DQ56" i="14"/>
  <c r="DQ166" i="14"/>
  <c r="DQ28" i="14"/>
  <c r="DQ188" i="14"/>
  <c r="DQ154" i="14"/>
  <c r="DQ208" i="14"/>
  <c r="DQ54" i="14"/>
  <c r="DQ53" i="14"/>
  <c r="DQ39" i="14"/>
  <c r="DQ40" i="14"/>
  <c r="DQ42" i="14"/>
  <c r="DQ47" i="14"/>
  <c r="DQ49" i="14"/>
  <c r="DQ45" i="14"/>
  <c r="DQ43" i="14"/>
  <c r="DQ50" i="14"/>
  <c r="DQ41" i="14"/>
  <c r="DQ46" i="14"/>
  <c r="DQ51" i="14"/>
  <c r="DQ36" i="14"/>
  <c r="DQ44" i="14"/>
  <c r="DQ38" i="14"/>
  <c r="DQ37" i="14"/>
  <c r="DQ48" i="14"/>
  <c r="DM31" i="14"/>
  <c r="DM167" i="14"/>
  <c r="DM161" i="14"/>
  <c r="DM55" i="14"/>
  <c r="DM195" i="14"/>
  <c r="DM172" i="14"/>
  <c r="DM63" i="14"/>
  <c r="DM152" i="14"/>
  <c r="DM151" i="14"/>
  <c r="DM145" i="14"/>
  <c r="DM170" i="14"/>
  <c r="DM181" i="14"/>
  <c r="DM69" i="14"/>
  <c r="DM148" i="14"/>
  <c r="DM184" i="14"/>
  <c r="DM188" i="14"/>
  <c r="DM27" i="14"/>
  <c r="DM153" i="14"/>
  <c r="DM64" i="14"/>
  <c r="DM26" i="14"/>
  <c r="DM202" i="14"/>
  <c r="DM182" i="14"/>
  <c r="DM32" i="14"/>
  <c r="DM179" i="14"/>
  <c r="DM71" i="14"/>
  <c r="DM166" i="14"/>
  <c r="DM162" i="14"/>
  <c r="DM164" i="14"/>
  <c r="DM209" i="14"/>
  <c r="DM61" i="14"/>
  <c r="DM54" i="14"/>
  <c r="DM19" i="14"/>
  <c r="DM159" i="14"/>
  <c r="DM205" i="14"/>
  <c r="DM183" i="14"/>
  <c r="DM207" i="14"/>
  <c r="DM210" i="14"/>
  <c r="DM156" i="14"/>
  <c r="DM198" i="14"/>
  <c r="DM186" i="14"/>
  <c r="DM189" i="14"/>
  <c r="DM20" i="14"/>
  <c r="DM150" i="14"/>
  <c r="DM155" i="14"/>
  <c r="DM212" i="14"/>
  <c r="DM169" i="14"/>
  <c r="DM171" i="14"/>
  <c r="DM18" i="14"/>
  <c r="DM53" i="14"/>
  <c r="DM58" i="14"/>
  <c r="DM191" i="14"/>
  <c r="DM56" i="14"/>
  <c r="DM23" i="14"/>
  <c r="DM35" i="14"/>
  <c r="DM185" i="14"/>
  <c r="DM146" i="14"/>
  <c r="DM204" i="14"/>
  <c r="DM174" i="14"/>
  <c r="DM62" i="14"/>
  <c r="DM67" i="14"/>
  <c r="DM200" i="14"/>
  <c r="DM147" i="14"/>
  <c r="DM190" i="14"/>
  <c r="DM59" i="14"/>
  <c r="DM177" i="14"/>
  <c r="DM175" i="14"/>
  <c r="DM17" i="14"/>
  <c r="DM33" i="14"/>
  <c r="DM57" i="14"/>
  <c r="DM65" i="14"/>
  <c r="DM30" i="14"/>
  <c r="DM194" i="14"/>
  <c r="DM25" i="14"/>
  <c r="DM28" i="14"/>
  <c r="DM24" i="14"/>
  <c r="DM66" i="14"/>
  <c r="DM193" i="14"/>
  <c r="DM192" i="14"/>
  <c r="DM22" i="14"/>
  <c r="DM173" i="14"/>
  <c r="DM144" i="14"/>
  <c r="DM29" i="14"/>
  <c r="DM149" i="14"/>
  <c r="DM168" i="14"/>
  <c r="DM154" i="14"/>
  <c r="DM180" i="14"/>
  <c r="DM21" i="14"/>
  <c r="DM187" i="14"/>
  <c r="DM211" i="14"/>
  <c r="DM143" i="14"/>
  <c r="DM157" i="14"/>
  <c r="DM208" i="14"/>
  <c r="DM165" i="14"/>
  <c r="DM158" i="14"/>
  <c r="DM176" i="14"/>
  <c r="DM213" i="14"/>
  <c r="DM60" i="14"/>
  <c r="DM163" i="14"/>
  <c r="DM199" i="14"/>
  <c r="DM68" i="14"/>
  <c r="DM197" i="14"/>
  <c r="DM40" i="14"/>
  <c r="DM39" i="14"/>
  <c r="DM49" i="14"/>
  <c r="DM42" i="14"/>
  <c r="DM47" i="14"/>
  <c r="DM45" i="14"/>
  <c r="DM41" i="14"/>
  <c r="DM46" i="14"/>
  <c r="DM51" i="14"/>
  <c r="DM50" i="14"/>
  <c r="DM43" i="14"/>
  <c r="DM37" i="14"/>
  <c r="DM44" i="14"/>
  <c r="DM36" i="14"/>
  <c r="DM48" i="14"/>
  <c r="DM38" i="14"/>
  <c r="DI67" i="14"/>
  <c r="DI53" i="14"/>
  <c r="DI71" i="14"/>
  <c r="DI193" i="14"/>
  <c r="DI20" i="14"/>
  <c r="DI65" i="14"/>
  <c r="DI55" i="14"/>
  <c r="DI171" i="14"/>
  <c r="DI32" i="14"/>
  <c r="DI194" i="14"/>
  <c r="DI187" i="14"/>
  <c r="DI23" i="14"/>
  <c r="DI169" i="14"/>
  <c r="DI22" i="14"/>
  <c r="DI188" i="14"/>
  <c r="DI167" i="14"/>
  <c r="DI144" i="14"/>
  <c r="DI30" i="14"/>
  <c r="DI186" i="14"/>
  <c r="DI153" i="14"/>
  <c r="DI63" i="14"/>
  <c r="DI26" i="14"/>
  <c r="DI143" i="14"/>
  <c r="DI18" i="14"/>
  <c r="DI21" i="14"/>
  <c r="DI155" i="14"/>
  <c r="DI211" i="14"/>
  <c r="DI180" i="14"/>
  <c r="DI54" i="14"/>
  <c r="DI179" i="14"/>
  <c r="DI205" i="14"/>
  <c r="DI175" i="14"/>
  <c r="DI57" i="14"/>
  <c r="DI202" i="14"/>
  <c r="DI174" i="14"/>
  <c r="DI27" i="14"/>
  <c r="DI148" i="14"/>
  <c r="DI172" i="14"/>
  <c r="DI24" i="14"/>
  <c r="DI147" i="14"/>
  <c r="DI146" i="14"/>
  <c r="DI56" i="14"/>
  <c r="DI208" i="14"/>
  <c r="DI149" i="14"/>
  <c r="DI199" i="14"/>
  <c r="DI192" i="14"/>
  <c r="DI33" i="14"/>
  <c r="DI145" i="14"/>
  <c r="DI69" i="14"/>
  <c r="DI166" i="14"/>
  <c r="DI61" i="14"/>
  <c r="DI28" i="14"/>
  <c r="DI66" i="14"/>
  <c r="DI151" i="14"/>
  <c r="DI190" i="14"/>
  <c r="DI170" i="14"/>
  <c r="DI157" i="14"/>
  <c r="DI184" i="14"/>
  <c r="DI191" i="14"/>
  <c r="DI154" i="14"/>
  <c r="DI165" i="14"/>
  <c r="DI189" i="14"/>
  <c r="DI181" i="14"/>
  <c r="DI177" i="14"/>
  <c r="DI195" i="14"/>
  <c r="DI29" i="14"/>
  <c r="DI163" i="14"/>
  <c r="DI204" i="14"/>
  <c r="DI17" i="14"/>
  <c r="DI213" i="14"/>
  <c r="DI198" i="14"/>
  <c r="DI210" i="14"/>
  <c r="DI176" i="14"/>
  <c r="DI164" i="14"/>
  <c r="DI183" i="14"/>
  <c r="DI159" i="14"/>
  <c r="DI150" i="14"/>
  <c r="DI168" i="14"/>
  <c r="DI62" i="14"/>
  <c r="DI212" i="14"/>
  <c r="DI25" i="14"/>
  <c r="DI60" i="14"/>
  <c r="DI158" i="14"/>
  <c r="DI162" i="14"/>
  <c r="DI19" i="14"/>
  <c r="DI152" i="14"/>
  <c r="DI156" i="14"/>
  <c r="DI200" i="14"/>
  <c r="DI209" i="14"/>
  <c r="DI207" i="14"/>
  <c r="DI68" i="14"/>
  <c r="DI197" i="14"/>
  <c r="DI59" i="14"/>
  <c r="DI64" i="14"/>
  <c r="DI161" i="14"/>
  <c r="DI58" i="14"/>
  <c r="DI173" i="14"/>
  <c r="DI31" i="14"/>
  <c r="DI182" i="14"/>
  <c r="DI185" i="14"/>
  <c r="DI35" i="14"/>
  <c r="DI40" i="14"/>
  <c r="DI49" i="14"/>
  <c r="DI42" i="14"/>
  <c r="DI39" i="14"/>
  <c r="DI47" i="14"/>
  <c r="DI45" i="14"/>
  <c r="DI41" i="14"/>
  <c r="DI51" i="14"/>
  <c r="DI43" i="14"/>
  <c r="DI46" i="14"/>
  <c r="DI37" i="14"/>
  <c r="DI44" i="14"/>
  <c r="DI36" i="14"/>
  <c r="DI50" i="14"/>
  <c r="DI38" i="14"/>
  <c r="DI48" i="14"/>
  <c r="CI66" i="14"/>
  <c r="CI56" i="14"/>
  <c r="CI210" i="14"/>
  <c r="CI172" i="14"/>
  <c r="CI27" i="14"/>
  <c r="CI180" i="14"/>
  <c r="CI61" i="14"/>
  <c r="CI71" i="14"/>
  <c r="CI184" i="14"/>
  <c r="CI159" i="14"/>
  <c r="CI185" i="14"/>
  <c r="CI155" i="14"/>
  <c r="CI32" i="14"/>
  <c r="CI149" i="14"/>
  <c r="CI20" i="14"/>
  <c r="CI150" i="14"/>
  <c r="CI162" i="14"/>
  <c r="CI190" i="14"/>
  <c r="CI205" i="14"/>
  <c r="CI204" i="14"/>
  <c r="CI164" i="14"/>
  <c r="CI197" i="14"/>
  <c r="CI157" i="14"/>
  <c r="CI208" i="14"/>
  <c r="CI194" i="14"/>
  <c r="CI145" i="14"/>
  <c r="CI23" i="14"/>
  <c r="CI33" i="14"/>
  <c r="CI62" i="14"/>
  <c r="CI147" i="14"/>
  <c r="CI195" i="14"/>
  <c r="CI153" i="14"/>
  <c r="CI186" i="14"/>
  <c r="CI31" i="14"/>
  <c r="CI179" i="14"/>
  <c r="CI59" i="14"/>
  <c r="CI212" i="14"/>
  <c r="CI165" i="14"/>
  <c r="CI58" i="14"/>
  <c r="CI21" i="14"/>
  <c r="CI209" i="14"/>
  <c r="CI177" i="14"/>
  <c r="CI176" i="14"/>
  <c r="CI168" i="14"/>
  <c r="CI156" i="14"/>
  <c r="CI171" i="14"/>
  <c r="CI166" i="14"/>
  <c r="CI64" i="14"/>
  <c r="CI151" i="14"/>
  <c r="CI211" i="14"/>
  <c r="CI169" i="14"/>
  <c r="CI158" i="14"/>
  <c r="CI193" i="14"/>
  <c r="CI30" i="14"/>
  <c r="CI207" i="14"/>
  <c r="CI19" i="14"/>
  <c r="CI28" i="14"/>
  <c r="CI198" i="14"/>
  <c r="CI24" i="14"/>
  <c r="CI161" i="14"/>
  <c r="CI191" i="14"/>
  <c r="CI60" i="14"/>
  <c r="CI167" i="14"/>
  <c r="CI26" i="14"/>
  <c r="CI181" i="14"/>
  <c r="CI192" i="14"/>
  <c r="CI67" i="14"/>
  <c r="CI18" i="14"/>
  <c r="CI53" i="14"/>
  <c r="CI35" i="14"/>
  <c r="CI202" i="14"/>
  <c r="CI144" i="14"/>
  <c r="CI69" i="14"/>
  <c r="CI68" i="14"/>
  <c r="CI189" i="14"/>
  <c r="CI187" i="14"/>
  <c r="CI143" i="14"/>
  <c r="CI57" i="14"/>
  <c r="CI199" i="14"/>
  <c r="CI170" i="14"/>
  <c r="CI63" i="14"/>
  <c r="CI25" i="14"/>
  <c r="CI175" i="14"/>
  <c r="CI148" i="14"/>
  <c r="CI173" i="14"/>
  <c r="CI200" i="14"/>
  <c r="CI154" i="14"/>
  <c r="CI54" i="14"/>
  <c r="CI188" i="14"/>
  <c r="CI17" i="14"/>
  <c r="CI213" i="14"/>
  <c r="CI174" i="14"/>
  <c r="CI183" i="14"/>
  <c r="CI65" i="14"/>
  <c r="CI182" i="14"/>
  <c r="CI146" i="14"/>
  <c r="CI163" i="14"/>
  <c r="CI29" i="14"/>
  <c r="CI22" i="14"/>
  <c r="CI152" i="14"/>
  <c r="CI55" i="14"/>
  <c r="CI40" i="14"/>
  <c r="CI39" i="14"/>
  <c r="CI49" i="14"/>
  <c r="CI47" i="14"/>
  <c r="CI45" i="14"/>
  <c r="CI50" i="14"/>
  <c r="CI42" i="14"/>
  <c r="CI41" i="14"/>
  <c r="CI43" i="14"/>
  <c r="CI46" i="14"/>
  <c r="CI51" i="14"/>
  <c r="CI38" i="14"/>
  <c r="CI37" i="14"/>
  <c r="CI36" i="14"/>
  <c r="CI44" i="14"/>
  <c r="CI48" i="14"/>
  <c r="CE157" i="14"/>
  <c r="CE55" i="14"/>
  <c r="CE200" i="14"/>
  <c r="CE161" i="14"/>
  <c r="CE171" i="14"/>
  <c r="CE58" i="14"/>
  <c r="CE57" i="14"/>
  <c r="CE148" i="14"/>
  <c r="CE61" i="14"/>
  <c r="CE32" i="14"/>
  <c r="CE63" i="14"/>
  <c r="CE53" i="14"/>
  <c r="CE151" i="14"/>
  <c r="CE145" i="14"/>
  <c r="CE177" i="14"/>
  <c r="CE188" i="14"/>
  <c r="CE185" i="14"/>
  <c r="CE25" i="14"/>
  <c r="CE186" i="14"/>
  <c r="CE17" i="14"/>
  <c r="CE169" i="14"/>
  <c r="CE24" i="14"/>
  <c r="CE27" i="14"/>
  <c r="CE179" i="14"/>
  <c r="CE155" i="14"/>
  <c r="CE71" i="14"/>
  <c r="CE67" i="14"/>
  <c r="CE170" i="14"/>
  <c r="CE195" i="14"/>
  <c r="CE182" i="14"/>
  <c r="CE30" i="14"/>
  <c r="CE69" i="14"/>
  <c r="CE211" i="14"/>
  <c r="CE189" i="14"/>
  <c r="CE22" i="14"/>
  <c r="CE184" i="14"/>
  <c r="CE29" i="14"/>
  <c r="CE213" i="14"/>
  <c r="CE173" i="14"/>
  <c r="CE194" i="14"/>
  <c r="CE60" i="14"/>
  <c r="CE176" i="14"/>
  <c r="CE158" i="14"/>
  <c r="CE207" i="14"/>
  <c r="CE168" i="14"/>
  <c r="CE68" i="14"/>
  <c r="CE192" i="14"/>
  <c r="CE197" i="14"/>
  <c r="CE187" i="14"/>
  <c r="CE162" i="14"/>
  <c r="CE19" i="14"/>
  <c r="CE156" i="14"/>
  <c r="CE62" i="14"/>
  <c r="CE208" i="14"/>
  <c r="CE183" i="14"/>
  <c r="CE175" i="14"/>
  <c r="CE59" i="14"/>
  <c r="CE167" i="14"/>
  <c r="CE28" i="14"/>
  <c r="CE153" i="14"/>
  <c r="CE165" i="14"/>
  <c r="CE144" i="14"/>
  <c r="CE190" i="14"/>
  <c r="CE212" i="14"/>
  <c r="CE202" i="14"/>
  <c r="CE18" i="14"/>
  <c r="CE174" i="14"/>
  <c r="CE147" i="14"/>
  <c r="CE164" i="14"/>
  <c r="CE143" i="14"/>
  <c r="CE35" i="14"/>
  <c r="CE33" i="14"/>
  <c r="CE56" i="14"/>
  <c r="CE191" i="14"/>
  <c r="CE199" i="14"/>
  <c r="CE31" i="14"/>
  <c r="CE20" i="14"/>
  <c r="CE66" i="14"/>
  <c r="CE54" i="14"/>
  <c r="CE64" i="14"/>
  <c r="CE65" i="14"/>
  <c r="CE146" i="14"/>
  <c r="CE180" i="14"/>
  <c r="CE21" i="14"/>
  <c r="CE154" i="14"/>
  <c r="CE181" i="14"/>
  <c r="CE159" i="14"/>
  <c r="CE23" i="14"/>
  <c r="CE163" i="14"/>
  <c r="CE193" i="14"/>
  <c r="CE209" i="14"/>
  <c r="CE150" i="14"/>
  <c r="CE205" i="14"/>
  <c r="CE210" i="14"/>
  <c r="CE166" i="14"/>
  <c r="CE198" i="14"/>
  <c r="CE172" i="14"/>
  <c r="CE152" i="14"/>
  <c r="CE204" i="14"/>
  <c r="CE149" i="14"/>
  <c r="CE26" i="14"/>
  <c r="CE39" i="14"/>
  <c r="CE40" i="14"/>
  <c r="CE49" i="14"/>
  <c r="CE45" i="14"/>
  <c r="CE42" i="14"/>
  <c r="CE47" i="14"/>
  <c r="CE41" i="14"/>
  <c r="CE43" i="14"/>
  <c r="CE46" i="14"/>
  <c r="CE51" i="14"/>
  <c r="CE50" i="14"/>
  <c r="CE37" i="14"/>
  <c r="CE44" i="14"/>
  <c r="CE38" i="14"/>
  <c r="CE36" i="14"/>
  <c r="CE48" i="14"/>
  <c r="CA59" i="14"/>
  <c r="CA54" i="14"/>
  <c r="CA64" i="14"/>
  <c r="CA71" i="14"/>
  <c r="CA68" i="14"/>
  <c r="CA22" i="14"/>
  <c r="CA208" i="14"/>
  <c r="CA28" i="14"/>
  <c r="CA177" i="14"/>
  <c r="CA204" i="14"/>
  <c r="CA147" i="14"/>
  <c r="CA26" i="14"/>
  <c r="CA18" i="14"/>
  <c r="CA153" i="14"/>
  <c r="CA206" i="14"/>
  <c r="CA176" i="14"/>
  <c r="CA199" i="14"/>
  <c r="CA171" i="14"/>
  <c r="CA19" i="14"/>
  <c r="CA180" i="14"/>
  <c r="CA198" i="14"/>
  <c r="CA159" i="14"/>
  <c r="CA161" i="14"/>
  <c r="CA170" i="14"/>
  <c r="CA29" i="14"/>
  <c r="CA65" i="14"/>
  <c r="CA173" i="14"/>
  <c r="CA151" i="14"/>
  <c r="CA56" i="14"/>
  <c r="CA157" i="14"/>
  <c r="CA172" i="14"/>
  <c r="CA188" i="14"/>
  <c r="CA202" i="14"/>
  <c r="CA31" i="14"/>
  <c r="CA152" i="14"/>
  <c r="CA163" i="14"/>
  <c r="CA33" i="14"/>
  <c r="CA197" i="14"/>
  <c r="CA190" i="14"/>
  <c r="CA61" i="14"/>
  <c r="CA148" i="14"/>
  <c r="CA145" i="14"/>
  <c r="CA192" i="14"/>
  <c r="CA17" i="14"/>
  <c r="CA32" i="14"/>
  <c r="CA210" i="14"/>
  <c r="CA212" i="14"/>
  <c r="CA200" i="14"/>
  <c r="CA162" i="14"/>
  <c r="CA174" i="14"/>
  <c r="CA67" i="14"/>
  <c r="CA185" i="14"/>
  <c r="CA144" i="14"/>
  <c r="CA195" i="14"/>
  <c r="CA66" i="14"/>
  <c r="CA62" i="14"/>
  <c r="CA211" i="14"/>
  <c r="CA168" i="14"/>
  <c r="CA23" i="14"/>
  <c r="CA165" i="14"/>
  <c r="CA158" i="14"/>
  <c r="CA167" i="14"/>
  <c r="CA146" i="14"/>
  <c r="CA182" i="14"/>
  <c r="CA175" i="14"/>
  <c r="CA179" i="14"/>
  <c r="CA194" i="14"/>
  <c r="CA20" i="14"/>
  <c r="CA164" i="14"/>
  <c r="CA149" i="14"/>
  <c r="CA53" i="14"/>
  <c r="CA207" i="14"/>
  <c r="CA150" i="14"/>
  <c r="CA25" i="14"/>
  <c r="CA205" i="14"/>
  <c r="CA58" i="14"/>
  <c r="CA181" i="14"/>
  <c r="CA187" i="14"/>
  <c r="CA154" i="14"/>
  <c r="CA213" i="14"/>
  <c r="CA55" i="14"/>
  <c r="CA57" i="14"/>
  <c r="CA155" i="14"/>
  <c r="CA35" i="14"/>
  <c r="CA63" i="14"/>
  <c r="CA169" i="14"/>
  <c r="CA60" i="14"/>
  <c r="CA143" i="14"/>
  <c r="CA166" i="14"/>
  <c r="CA21" i="14"/>
  <c r="CA191" i="14"/>
  <c r="CA30" i="14"/>
  <c r="CA24" i="14"/>
  <c r="CA186" i="14"/>
  <c r="CA69" i="14"/>
  <c r="CA27" i="14"/>
  <c r="CA189" i="14"/>
  <c r="CA156" i="14"/>
  <c r="CA183" i="14"/>
  <c r="CA193" i="14"/>
  <c r="CA209" i="14"/>
  <c r="CA184" i="14"/>
  <c r="CA40" i="14"/>
  <c r="CA49" i="14"/>
  <c r="CA39" i="14"/>
  <c r="CA42" i="14"/>
  <c r="CA47" i="14"/>
  <c r="CA45" i="14"/>
  <c r="CA43" i="14"/>
  <c r="CA46" i="14"/>
  <c r="CA50" i="14"/>
  <c r="CA41" i="14"/>
  <c r="CA51" i="14"/>
  <c r="CA37" i="14"/>
  <c r="CA36" i="14"/>
  <c r="CA38" i="14"/>
  <c r="CA44" i="14"/>
  <c r="CA48" i="14"/>
  <c r="AM189" i="14"/>
  <c r="AM202" i="14"/>
  <c r="AM204" i="14"/>
  <c r="AM207" i="14"/>
  <c r="AM179" i="14"/>
  <c r="AM210" i="14"/>
  <c r="AM27" i="14"/>
  <c r="AM161" i="14"/>
  <c r="AM146" i="14"/>
  <c r="AM144" i="14"/>
  <c r="AM174" i="14"/>
  <c r="AM147" i="14"/>
  <c r="AM156" i="14"/>
  <c r="AM143" i="14"/>
  <c r="AM190" i="14"/>
  <c r="AM35" i="14"/>
  <c r="AM165" i="14"/>
  <c r="AM158" i="14"/>
  <c r="AM61" i="14"/>
  <c r="AM20" i="14"/>
  <c r="AM182" i="14"/>
  <c r="AM151" i="14"/>
  <c r="AM176" i="14"/>
  <c r="AM30" i="14"/>
  <c r="AM180" i="14"/>
  <c r="AM56" i="14"/>
  <c r="AM17" i="14"/>
  <c r="AM152" i="14"/>
  <c r="AM65" i="14"/>
  <c r="AM155" i="14"/>
  <c r="AM185" i="14"/>
  <c r="AM171" i="14"/>
  <c r="AM64" i="14"/>
  <c r="AM154" i="14"/>
  <c r="AM22" i="14"/>
  <c r="AM54" i="14"/>
  <c r="AM148" i="14"/>
  <c r="AM194" i="14"/>
  <c r="AM63" i="14"/>
  <c r="AM71" i="14"/>
  <c r="AM68" i="14"/>
  <c r="AM211" i="14"/>
  <c r="AM153" i="14"/>
  <c r="AM149" i="14"/>
  <c r="AM208" i="14"/>
  <c r="AM166" i="14"/>
  <c r="AM25" i="14"/>
  <c r="AM21" i="14"/>
  <c r="AM203" i="14"/>
  <c r="AM66" i="14"/>
  <c r="AM159" i="14"/>
  <c r="AM205" i="14"/>
  <c r="AM213" i="14"/>
  <c r="AM187" i="14"/>
  <c r="AM199" i="14"/>
  <c r="AM67" i="14"/>
  <c r="AM195" i="14"/>
  <c r="AM167" i="14"/>
  <c r="AM24" i="14"/>
  <c r="AM168" i="14"/>
  <c r="AM18" i="14"/>
  <c r="AM169" i="14"/>
  <c r="AM193" i="14"/>
  <c r="AM150" i="14"/>
  <c r="AM33" i="14"/>
  <c r="AM186" i="14"/>
  <c r="AM188" i="14"/>
  <c r="AM32" i="14"/>
  <c r="AM59" i="14"/>
  <c r="AM60" i="14"/>
  <c r="AM163" i="14"/>
  <c r="AM172" i="14"/>
  <c r="AM198" i="14"/>
  <c r="AM29" i="14"/>
  <c r="AM170" i="14"/>
  <c r="AM164" i="14"/>
  <c r="AM53" i="14"/>
  <c r="AM19" i="14"/>
  <c r="AM62" i="14"/>
  <c r="AM191" i="14"/>
  <c r="AM184" i="14"/>
  <c r="AM23" i="14"/>
  <c r="AM181" i="14"/>
  <c r="AM58" i="14"/>
  <c r="AM212" i="14"/>
  <c r="AM183" i="14"/>
  <c r="AM55" i="14"/>
  <c r="AM173" i="14"/>
  <c r="AM175" i="14"/>
  <c r="AM192" i="14"/>
  <c r="AM200" i="14"/>
  <c r="AM28" i="14"/>
  <c r="AM57" i="14"/>
  <c r="AM26" i="14"/>
  <c r="AM69" i="14"/>
  <c r="AM31" i="14"/>
  <c r="AM177" i="14"/>
  <c r="AM157" i="14"/>
  <c r="AM162" i="14"/>
  <c r="AM145" i="14"/>
  <c r="AM197" i="14"/>
  <c r="AM209" i="14"/>
  <c r="AM40" i="14"/>
  <c r="AM39" i="14"/>
  <c r="AM49" i="14"/>
  <c r="AM47" i="14"/>
  <c r="AM45" i="14"/>
  <c r="AM42" i="14"/>
  <c r="AM41" i="14"/>
  <c r="AM43" i="14"/>
  <c r="AM50" i="14"/>
  <c r="AM46" i="14"/>
  <c r="AM51" i="14"/>
  <c r="AM44" i="14"/>
  <c r="AM38" i="14"/>
  <c r="AM36" i="14"/>
  <c r="AM37" i="14"/>
  <c r="AM48" i="14"/>
  <c r="AI158" i="14"/>
  <c r="AI54" i="14"/>
  <c r="AI176" i="14"/>
  <c r="AI64" i="14"/>
  <c r="AI210" i="14"/>
  <c r="AI55" i="14"/>
  <c r="AI194" i="14"/>
  <c r="AI179" i="14"/>
  <c r="AI166" i="14"/>
  <c r="AI163" i="14"/>
  <c r="AI61" i="14"/>
  <c r="AI156" i="14"/>
  <c r="AI153" i="14"/>
  <c r="AI18" i="14"/>
  <c r="AI199" i="14"/>
  <c r="AI167" i="14"/>
  <c r="AI204" i="14"/>
  <c r="AI173" i="14"/>
  <c r="AI177" i="14"/>
  <c r="AI22" i="14"/>
  <c r="AI66" i="14"/>
  <c r="AI168" i="14"/>
  <c r="AI28" i="14"/>
  <c r="AI175" i="14"/>
  <c r="AI186" i="14"/>
  <c r="AI213" i="14"/>
  <c r="AI21" i="14"/>
  <c r="AI162" i="14"/>
  <c r="AI170" i="14"/>
  <c r="AI150" i="14"/>
  <c r="AI171" i="14"/>
  <c r="AI205" i="14"/>
  <c r="AI184" i="14"/>
  <c r="AI56" i="14"/>
  <c r="AI68" i="14"/>
  <c r="AI209" i="14"/>
  <c r="AI53" i="14"/>
  <c r="AI57" i="14"/>
  <c r="AI157" i="14"/>
  <c r="AI58" i="14"/>
  <c r="AI147" i="14"/>
  <c r="AI146" i="14"/>
  <c r="AI26" i="14"/>
  <c r="AI155" i="14"/>
  <c r="AI169" i="14"/>
  <c r="AI29" i="14"/>
  <c r="AI25" i="14"/>
  <c r="AI23" i="14"/>
  <c r="AI31" i="14"/>
  <c r="AI165" i="14"/>
  <c r="AI185" i="14"/>
  <c r="AI159" i="14"/>
  <c r="AI211" i="14"/>
  <c r="AI180" i="14"/>
  <c r="AI189" i="14"/>
  <c r="AI35" i="14"/>
  <c r="AI193" i="14"/>
  <c r="AI181" i="14"/>
  <c r="AI71" i="14"/>
  <c r="AI208" i="14"/>
  <c r="AI69" i="14"/>
  <c r="AI212" i="14"/>
  <c r="AI197" i="14"/>
  <c r="AI161" i="14"/>
  <c r="AI59" i="14"/>
  <c r="AI27" i="14"/>
  <c r="AI65" i="14"/>
  <c r="AI17" i="14"/>
  <c r="AI151" i="14"/>
  <c r="AI172" i="14"/>
  <c r="AI200" i="14"/>
  <c r="AI148" i="14"/>
  <c r="AI145" i="14"/>
  <c r="AI187" i="14"/>
  <c r="AI202" i="14"/>
  <c r="AI198" i="14"/>
  <c r="AI30" i="14"/>
  <c r="AI207" i="14"/>
  <c r="AI67" i="14"/>
  <c r="AI63" i="14"/>
  <c r="AI62" i="14"/>
  <c r="AI195" i="14"/>
  <c r="AI144" i="14"/>
  <c r="AI174" i="14"/>
  <c r="AI143" i="14"/>
  <c r="AI33" i="14"/>
  <c r="AI154" i="14"/>
  <c r="AI183" i="14"/>
  <c r="AI152" i="14"/>
  <c r="AI149" i="14"/>
  <c r="AI192" i="14"/>
  <c r="AI164" i="14"/>
  <c r="AI191" i="14"/>
  <c r="AI190" i="14"/>
  <c r="AI20" i="14"/>
  <c r="AI182" i="14"/>
  <c r="AI19" i="14"/>
  <c r="AI24" i="14"/>
  <c r="AI60" i="14"/>
  <c r="AI32" i="14"/>
  <c r="AI188" i="14"/>
  <c r="AI40" i="14"/>
  <c r="AI39" i="14"/>
  <c r="AI45" i="14"/>
  <c r="AI42" i="14"/>
  <c r="AI47" i="14"/>
  <c r="AI49" i="14"/>
  <c r="AI41" i="14"/>
  <c r="AI43" i="14"/>
  <c r="AI51" i="14"/>
  <c r="AI50" i="14"/>
  <c r="AI46" i="14"/>
  <c r="AI44" i="14"/>
  <c r="AI38" i="14"/>
  <c r="AI36" i="14"/>
  <c r="AI37" i="14"/>
  <c r="AI48" i="14"/>
  <c r="AE30" i="14"/>
  <c r="AE189" i="14"/>
  <c r="AE71" i="14"/>
  <c r="AE161" i="14"/>
  <c r="AE174" i="14"/>
  <c r="AE145" i="14"/>
  <c r="AE65" i="14"/>
  <c r="AE172" i="14"/>
  <c r="AE186" i="14"/>
  <c r="AE55" i="14"/>
  <c r="AE162" i="14"/>
  <c r="AE59" i="14"/>
  <c r="AE35" i="14"/>
  <c r="AE188" i="14"/>
  <c r="AE170" i="14"/>
  <c r="AE154" i="14"/>
  <c r="AE209" i="14"/>
  <c r="AE21" i="14"/>
  <c r="AE19" i="14"/>
  <c r="AE204" i="14"/>
  <c r="AE194" i="14"/>
  <c r="AE197" i="14"/>
  <c r="AE175" i="14"/>
  <c r="AE152" i="14"/>
  <c r="AE148" i="14"/>
  <c r="AE206" i="14"/>
  <c r="AE180" i="14"/>
  <c r="AE146" i="14"/>
  <c r="AE60" i="14"/>
  <c r="AE57" i="14"/>
  <c r="AE176" i="14"/>
  <c r="AE63" i="14"/>
  <c r="AE182" i="14"/>
  <c r="AE147" i="14"/>
  <c r="AE33" i="14"/>
  <c r="AE165" i="14"/>
  <c r="AE183" i="14"/>
  <c r="AE24" i="14"/>
  <c r="AE26" i="14"/>
  <c r="AE205" i="14"/>
  <c r="AE68" i="14"/>
  <c r="AE202" i="14"/>
  <c r="AE166" i="14"/>
  <c r="AE27" i="14"/>
  <c r="AE61" i="14"/>
  <c r="AE31" i="14"/>
  <c r="AE17" i="14"/>
  <c r="AE156" i="14"/>
  <c r="AE187" i="14"/>
  <c r="AE192" i="14"/>
  <c r="AE159" i="14"/>
  <c r="AE66" i="14"/>
  <c r="AE20" i="14"/>
  <c r="AE69" i="14"/>
  <c r="AE25" i="14"/>
  <c r="AE181" i="14"/>
  <c r="AE167" i="14"/>
  <c r="AE150" i="14"/>
  <c r="AE56" i="14"/>
  <c r="AE158" i="14"/>
  <c r="AE211" i="14"/>
  <c r="AE184" i="14"/>
  <c r="AE210" i="14"/>
  <c r="AE195" i="14"/>
  <c r="AE32" i="14"/>
  <c r="AE28" i="14"/>
  <c r="AE23" i="14"/>
  <c r="AE199" i="14"/>
  <c r="AE200" i="14"/>
  <c r="AE207" i="14"/>
  <c r="AE179" i="14"/>
  <c r="AE163" i="14"/>
  <c r="AE22" i="14"/>
  <c r="AE203" i="14"/>
  <c r="AE171" i="14"/>
  <c r="AE208" i="14"/>
  <c r="AE168" i="14"/>
  <c r="AE64" i="14"/>
  <c r="AE62" i="14"/>
  <c r="AE213" i="14"/>
  <c r="AE29" i="14"/>
  <c r="AE164" i="14"/>
  <c r="AE185" i="14"/>
  <c r="AE54" i="14"/>
  <c r="AE212" i="14"/>
  <c r="AE67" i="14"/>
  <c r="AE177" i="14"/>
  <c r="AE193" i="14"/>
  <c r="AE143" i="14"/>
  <c r="AE191" i="14"/>
  <c r="AE144" i="14"/>
  <c r="AE18" i="14"/>
  <c r="AE169" i="14"/>
  <c r="AE155" i="14"/>
  <c r="AE58" i="14"/>
  <c r="AE153" i="14"/>
  <c r="AE157" i="14"/>
  <c r="AE173" i="14"/>
  <c r="AE149" i="14"/>
  <c r="AE151" i="14"/>
  <c r="AE198" i="14"/>
  <c r="AE190" i="14"/>
  <c r="AE53" i="14"/>
  <c r="AE40" i="14"/>
  <c r="AE49" i="14"/>
  <c r="AE45" i="14"/>
  <c r="AE39" i="14"/>
  <c r="AE42" i="14"/>
  <c r="AE41" i="14"/>
  <c r="AE47" i="14"/>
  <c r="AE43" i="14"/>
  <c r="AE46" i="14"/>
  <c r="AE51" i="14"/>
  <c r="AE50" i="14"/>
  <c r="AE44" i="14"/>
  <c r="AE48" i="14"/>
  <c r="AE37" i="14"/>
  <c r="AE36" i="14"/>
  <c r="AE38" i="14"/>
  <c r="DS202" i="14"/>
  <c r="DS193" i="14"/>
  <c r="DS198" i="14"/>
  <c r="DS68" i="14"/>
  <c r="DS151" i="14"/>
  <c r="DS62" i="14"/>
  <c r="DS189" i="14"/>
  <c r="DS147" i="14"/>
  <c r="DS169" i="14"/>
  <c r="DS168" i="14"/>
  <c r="DS57" i="14"/>
  <c r="DS174" i="14"/>
  <c r="DS63" i="14"/>
  <c r="DS187" i="14"/>
  <c r="DS27" i="14"/>
  <c r="DS33" i="14"/>
  <c r="DS195" i="14"/>
  <c r="DS171" i="14"/>
  <c r="DS180" i="14"/>
  <c r="DS55" i="14"/>
  <c r="DS145" i="14"/>
  <c r="DS155" i="14"/>
  <c r="DS184" i="14"/>
  <c r="DS170" i="14"/>
  <c r="DS61" i="14"/>
  <c r="DS209" i="14"/>
  <c r="DS176" i="14"/>
  <c r="DS177" i="14"/>
  <c r="DS159" i="14"/>
  <c r="DS25" i="14"/>
  <c r="DS59" i="14"/>
  <c r="DS161" i="14"/>
  <c r="DS154" i="14"/>
  <c r="DS21" i="14"/>
  <c r="DS173" i="14"/>
  <c r="DS186" i="14"/>
  <c r="DS35" i="14"/>
  <c r="DS182" i="14"/>
  <c r="DS213" i="14"/>
  <c r="DS190" i="14"/>
  <c r="DS183" i="14"/>
  <c r="DS150" i="14"/>
  <c r="DS144" i="14"/>
  <c r="DS23" i="14"/>
  <c r="DS64" i="14"/>
  <c r="DS69" i="14"/>
  <c r="DS29" i="14"/>
  <c r="DS148" i="14"/>
  <c r="DS181" i="14"/>
  <c r="DS167" i="14"/>
  <c r="DS28" i="14"/>
  <c r="DS211" i="14"/>
  <c r="DS208" i="14"/>
  <c r="DS143" i="14"/>
  <c r="DS210" i="14"/>
  <c r="DS26" i="14"/>
  <c r="DS152" i="14"/>
  <c r="DS153" i="14"/>
  <c r="DS53" i="14"/>
  <c r="DS30" i="14"/>
  <c r="DS204" i="14"/>
  <c r="DS157" i="14"/>
  <c r="DS191" i="14"/>
  <c r="DS22" i="14"/>
  <c r="DS149" i="14"/>
  <c r="DS172" i="14"/>
  <c r="DS194" i="14"/>
  <c r="DS58" i="14"/>
  <c r="DS56" i="14"/>
  <c r="DS205" i="14"/>
  <c r="DS146" i="14"/>
  <c r="DS188" i="14"/>
  <c r="DS31" i="14"/>
  <c r="DS197" i="14"/>
  <c r="DS20" i="14"/>
  <c r="DS156" i="14"/>
  <c r="DS163" i="14"/>
  <c r="DS71" i="14"/>
  <c r="DS67" i="14"/>
  <c r="DS212" i="14"/>
  <c r="DS175" i="14"/>
  <c r="DS179" i="14"/>
  <c r="DS165" i="14"/>
  <c r="DS60" i="14"/>
  <c r="DS65" i="14"/>
  <c r="DS200" i="14"/>
  <c r="DS32" i="14"/>
  <c r="DS54" i="14"/>
  <c r="DS162" i="14"/>
  <c r="DS17" i="14"/>
  <c r="DS199" i="14"/>
  <c r="DS207" i="14"/>
  <c r="DS192" i="14"/>
  <c r="DS164" i="14"/>
  <c r="DS18" i="14"/>
  <c r="DS185" i="14"/>
  <c r="DS166" i="14"/>
  <c r="DS24" i="14"/>
  <c r="DS66" i="14"/>
  <c r="DS19" i="14"/>
  <c r="DS158" i="14"/>
  <c r="DS39" i="14"/>
  <c r="DS40" i="14"/>
  <c r="DS49" i="14"/>
  <c r="DS45" i="14"/>
  <c r="DS47" i="14"/>
  <c r="DS41" i="14"/>
  <c r="DS51" i="14"/>
  <c r="DS50" i="14"/>
  <c r="DS46" i="14"/>
  <c r="DS42" i="14"/>
  <c r="DS43" i="14"/>
  <c r="DS38" i="14"/>
  <c r="DS37" i="14"/>
  <c r="DS44" i="14"/>
  <c r="DS36" i="14"/>
  <c r="DS48" i="14"/>
  <c r="DO199" i="14"/>
  <c r="DO204" i="14"/>
  <c r="DO71" i="14"/>
  <c r="DO193" i="14"/>
  <c r="DO198" i="14"/>
  <c r="DO152" i="14"/>
  <c r="DO183" i="14"/>
  <c r="DO192" i="14"/>
  <c r="DO149" i="14"/>
  <c r="DO144" i="14"/>
  <c r="DO176" i="14"/>
  <c r="DO57" i="14"/>
  <c r="DO172" i="14"/>
  <c r="DO61" i="14"/>
  <c r="DO174" i="14"/>
  <c r="DO153" i="14"/>
  <c r="DO24" i="14"/>
  <c r="DO154" i="14"/>
  <c r="DO147" i="14"/>
  <c r="DO35" i="14"/>
  <c r="DO161" i="14"/>
  <c r="DO23" i="14"/>
  <c r="DO32" i="14"/>
  <c r="DO151" i="14"/>
  <c r="DO170" i="14"/>
  <c r="DO68" i="14"/>
  <c r="DO53" i="14"/>
  <c r="DO64" i="14"/>
  <c r="DO56" i="14"/>
  <c r="DO55" i="14"/>
  <c r="DO30" i="14"/>
  <c r="DO175" i="14"/>
  <c r="DO19" i="14"/>
  <c r="DO33" i="14"/>
  <c r="DO59" i="14"/>
  <c r="DO195" i="14"/>
  <c r="DO165" i="14"/>
  <c r="DO22" i="14"/>
  <c r="DO182" i="14"/>
  <c r="DO155" i="14"/>
  <c r="DO190" i="14"/>
  <c r="DO29" i="14"/>
  <c r="DO171" i="14"/>
  <c r="DO143" i="14"/>
  <c r="DO159" i="14"/>
  <c r="DO187" i="14"/>
  <c r="DO188" i="14"/>
  <c r="DO157" i="14"/>
  <c r="DO173" i="14"/>
  <c r="DO186" i="14"/>
  <c r="DO60" i="14"/>
  <c r="DO162" i="14"/>
  <c r="DO150" i="14"/>
  <c r="DO148" i="14"/>
  <c r="DO208" i="14"/>
  <c r="DO69" i="14"/>
  <c r="DO67" i="14"/>
  <c r="DO58" i="14"/>
  <c r="DO65" i="14"/>
  <c r="DO180" i="14"/>
  <c r="DO209" i="14"/>
  <c r="DO203" i="14"/>
  <c r="DO168" i="14"/>
  <c r="DO210" i="14"/>
  <c r="DO25" i="14"/>
  <c r="DO17" i="14"/>
  <c r="DO202" i="14"/>
  <c r="DO62" i="14"/>
  <c r="DO63" i="14"/>
  <c r="DO145" i="14"/>
  <c r="DO146" i="14"/>
  <c r="DO184" i="14"/>
  <c r="DO156" i="14"/>
  <c r="DO26" i="14"/>
  <c r="DO181" i="14"/>
  <c r="DO21" i="14"/>
  <c r="DO212" i="14"/>
  <c r="DO213" i="14"/>
  <c r="DO207" i="14"/>
  <c r="DO200" i="14"/>
  <c r="DO205" i="14"/>
  <c r="DO211" i="14"/>
  <c r="DO163" i="14"/>
  <c r="DO197" i="14"/>
  <c r="DO18" i="14"/>
  <c r="DO166" i="14"/>
  <c r="DO28" i="14"/>
  <c r="DO179" i="14"/>
  <c r="DO191" i="14"/>
  <c r="DO20" i="14"/>
  <c r="DO66" i="14"/>
  <c r="DO27" i="14"/>
  <c r="DO185" i="14"/>
  <c r="DO158" i="14"/>
  <c r="DO169" i="14"/>
  <c r="DO194" i="14"/>
  <c r="DO167" i="14"/>
  <c r="DO189" i="14"/>
  <c r="DO164" i="14"/>
  <c r="DO177" i="14"/>
  <c r="DO31" i="14"/>
  <c r="DO54" i="14"/>
  <c r="DO39" i="14"/>
  <c r="DO40" i="14"/>
  <c r="DO49" i="14"/>
  <c r="DO42" i="14"/>
  <c r="DO41" i="14"/>
  <c r="DO45" i="14"/>
  <c r="DO47" i="14"/>
  <c r="DO50" i="14"/>
  <c r="DO46" i="14"/>
  <c r="DO43" i="14"/>
  <c r="DO51" i="14"/>
  <c r="DO37" i="14"/>
  <c r="DO36" i="14"/>
  <c r="DO44" i="14"/>
  <c r="DO38" i="14"/>
  <c r="DO48" i="14"/>
  <c r="DK18" i="14"/>
  <c r="DK201" i="14"/>
  <c r="DK211" i="14"/>
  <c r="DK144" i="14"/>
  <c r="DK145" i="14"/>
  <c r="DK54" i="14"/>
  <c r="DK210" i="14"/>
  <c r="DK194" i="14"/>
  <c r="DK191" i="14"/>
  <c r="DK65" i="14"/>
  <c r="DK26" i="14"/>
  <c r="DK53" i="14"/>
  <c r="DK59" i="14"/>
  <c r="DK174" i="14"/>
  <c r="DK189" i="14"/>
  <c r="DK182" i="14"/>
  <c r="DK66" i="14"/>
  <c r="DK152" i="14"/>
  <c r="DK23" i="14"/>
  <c r="DK22" i="14"/>
  <c r="DK183" i="14"/>
  <c r="DK212" i="14"/>
  <c r="DK197" i="14"/>
  <c r="DK202" i="14"/>
  <c r="DK35" i="14"/>
  <c r="DK153" i="14"/>
  <c r="DK58" i="14"/>
  <c r="DK168" i="14"/>
  <c r="DK188" i="14"/>
  <c r="DK28" i="14"/>
  <c r="DK67" i="14"/>
  <c r="DK205" i="14"/>
  <c r="DK150" i="14"/>
  <c r="DK180" i="14"/>
  <c r="DK55" i="14"/>
  <c r="DK204" i="14"/>
  <c r="DK209" i="14"/>
  <c r="DK21" i="14"/>
  <c r="DK68" i="14"/>
  <c r="DK190" i="14"/>
  <c r="DK146" i="14"/>
  <c r="DK199" i="14"/>
  <c r="DK143" i="14"/>
  <c r="DK195" i="14"/>
  <c r="DK30" i="14"/>
  <c r="DK213" i="14"/>
  <c r="DK27" i="14"/>
  <c r="DK175" i="14"/>
  <c r="DK17" i="14"/>
  <c r="DK71" i="14"/>
  <c r="DK148" i="14"/>
  <c r="DK169" i="14"/>
  <c r="DK185" i="14"/>
  <c r="DK166" i="14"/>
  <c r="DK164" i="14"/>
  <c r="DK173" i="14"/>
  <c r="DK25" i="14"/>
  <c r="DK56" i="14"/>
  <c r="DK200" i="14"/>
  <c r="DK192" i="14"/>
  <c r="DK69" i="14"/>
  <c r="DK207" i="14"/>
  <c r="DK31" i="14"/>
  <c r="DK170" i="14"/>
  <c r="DK19" i="14"/>
  <c r="DK33" i="14"/>
  <c r="DK63" i="14"/>
  <c r="DK181" i="14"/>
  <c r="DK149" i="14"/>
  <c r="DK155" i="14"/>
  <c r="DK184" i="14"/>
  <c r="DK20" i="14"/>
  <c r="DK158" i="14"/>
  <c r="DK163" i="14"/>
  <c r="DK208" i="14"/>
  <c r="DK154" i="14"/>
  <c r="DK177" i="14"/>
  <c r="DK176" i="14"/>
  <c r="DK193" i="14"/>
  <c r="DK172" i="14"/>
  <c r="DK165" i="14"/>
  <c r="DK161" i="14"/>
  <c r="DK29" i="14"/>
  <c r="DK167" i="14"/>
  <c r="DK61" i="14"/>
  <c r="DK186" i="14"/>
  <c r="DK162" i="14"/>
  <c r="DK32" i="14"/>
  <c r="DK156" i="14"/>
  <c r="DK24" i="14"/>
  <c r="DK157" i="14"/>
  <c r="DK60" i="14"/>
  <c r="DK198" i="14"/>
  <c r="DK159" i="14"/>
  <c r="DK57" i="14"/>
  <c r="DK179" i="14"/>
  <c r="DK151" i="14"/>
  <c r="DK62" i="14"/>
  <c r="DK64" i="14"/>
  <c r="DK187" i="14"/>
  <c r="DK147" i="14"/>
  <c r="DK171" i="14"/>
  <c r="DK40" i="14"/>
  <c r="DK39" i="14"/>
  <c r="DK45" i="14"/>
  <c r="DK49" i="14"/>
  <c r="DK42" i="14"/>
  <c r="DK47" i="14"/>
  <c r="DK46" i="14"/>
  <c r="DK51" i="14"/>
  <c r="DK43" i="14"/>
  <c r="DK41" i="14"/>
  <c r="DK37" i="14"/>
  <c r="DK44" i="14"/>
  <c r="DK50" i="14"/>
  <c r="DK36" i="14"/>
  <c r="DK38" i="14"/>
  <c r="DK48" i="14"/>
  <c r="T117" i="14"/>
  <c r="T225" i="14"/>
  <c r="AB178" i="14"/>
  <c r="DH53" i="14"/>
  <c r="DH204" i="14"/>
  <c r="DH61" i="14"/>
  <c r="DH158" i="14"/>
  <c r="DH188" i="14"/>
  <c r="DH154" i="14"/>
  <c r="DH148" i="14"/>
  <c r="DH33" i="14"/>
  <c r="DH156" i="14"/>
  <c r="DH175" i="14"/>
  <c r="DH167" i="14"/>
  <c r="DH171" i="14"/>
  <c r="DH58" i="14"/>
  <c r="DH210" i="14"/>
  <c r="DH183" i="14"/>
  <c r="DH69" i="14"/>
  <c r="DH147" i="14"/>
  <c r="DH65" i="14"/>
  <c r="DH22" i="14"/>
  <c r="DH21" i="14"/>
  <c r="DH151" i="14"/>
  <c r="DH143" i="14"/>
  <c r="DH197" i="14"/>
  <c r="DH205" i="14"/>
  <c r="DH186" i="14"/>
  <c r="DH172" i="14"/>
  <c r="DH202" i="14"/>
  <c r="DH57" i="14"/>
  <c r="DH161" i="14"/>
  <c r="DH18" i="14"/>
  <c r="DH30" i="14"/>
  <c r="DH174" i="14"/>
  <c r="DH153" i="14"/>
  <c r="DH177" i="14"/>
  <c r="DH181" i="14"/>
  <c r="DH54" i="14"/>
  <c r="DH211" i="14"/>
  <c r="DH71" i="14"/>
  <c r="DH194" i="14"/>
  <c r="DH20" i="14"/>
  <c r="DH144" i="14"/>
  <c r="DH180" i="14"/>
  <c r="DH25" i="14"/>
  <c r="DH187" i="14"/>
  <c r="DH162" i="14"/>
  <c r="DH35" i="14"/>
  <c r="DH170" i="14"/>
  <c r="DH29" i="14"/>
  <c r="DH63" i="14"/>
  <c r="DH157" i="14"/>
  <c r="DH212" i="14"/>
  <c r="DH146" i="14"/>
  <c r="DH159" i="14"/>
  <c r="DH32" i="14"/>
  <c r="DH173" i="14"/>
  <c r="DH192" i="14"/>
  <c r="DH195" i="14"/>
  <c r="DH164" i="14"/>
  <c r="DH31" i="14"/>
  <c r="DH198" i="14"/>
  <c r="DH213" i="14"/>
  <c r="DH191" i="14"/>
  <c r="DH182" i="14"/>
  <c r="DH19" i="14"/>
  <c r="DH66" i="14"/>
  <c r="DH150" i="14"/>
  <c r="DH60" i="14"/>
  <c r="DH55" i="14"/>
  <c r="DH67" i="14"/>
  <c r="DH23" i="14"/>
  <c r="DH199" i="14"/>
  <c r="DH184" i="14"/>
  <c r="DH64" i="14"/>
  <c r="DH208" i="14"/>
  <c r="DH179" i="14"/>
  <c r="DH163" i="14"/>
  <c r="DH152" i="14"/>
  <c r="DH26" i="14"/>
  <c r="DH169" i="14"/>
  <c r="DH207" i="14"/>
  <c r="DH165" i="14"/>
  <c r="DH209" i="14"/>
  <c r="DH176" i="14"/>
  <c r="DH62" i="14"/>
  <c r="DH56" i="14"/>
  <c r="DH189" i="14"/>
  <c r="DH28" i="14"/>
  <c r="DH145" i="14"/>
  <c r="DH190" i="14"/>
  <c r="DH27" i="14"/>
  <c r="DH24" i="14"/>
  <c r="DH155" i="14"/>
  <c r="DH166" i="14"/>
  <c r="DH59" i="14"/>
  <c r="DH17" i="14"/>
  <c r="DH193" i="14"/>
  <c r="DH168" i="14"/>
  <c r="DH185" i="14"/>
  <c r="DH200" i="14"/>
  <c r="DH68" i="14"/>
  <c r="DH149" i="14"/>
  <c r="DH40" i="14"/>
  <c r="DH39" i="14"/>
  <c r="DH49" i="14"/>
  <c r="DH45" i="14"/>
  <c r="DH42" i="14"/>
  <c r="DH47" i="14"/>
  <c r="DH41" i="14"/>
  <c r="DH51" i="14"/>
  <c r="DH46" i="14"/>
  <c r="DH43" i="14"/>
  <c r="DH50" i="14"/>
  <c r="DH37" i="14"/>
  <c r="DH44" i="14"/>
  <c r="DH38" i="14"/>
  <c r="DH36" i="14"/>
  <c r="DH48" i="14"/>
  <c r="DD189" i="14"/>
  <c r="DD200" i="14"/>
  <c r="DD199" i="14"/>
  <c r="DD181" i="14"/>
  <c r="DD180" i="14"/>
  <c r="DD203" i="14"/>
  <c r="DD60" i="14"/>
  <c r="DD194" i="14"/>
  <c r="DD35" i="14"/>
  <c r="DD168" i="14"/>
  <c r="DD144" i="14"/>
  <c r="DD182" i="14"/>
  <c r="DD157" i="14"/>
  <c r="DD26" i="14"/>
  <c r="DD170" i="14"/>
  <c r="DD167" i="14"/>
  <c r="DD57" i="14"/>
  <c r="DD61" i="14"/>
  <c r="DD32" i="14"/>
  <c r="DD25" i="14"/>
  <c r="DD21" i="14"/>
  <c r="DD187" i="14"/>
  <c r="DD154" i="14"/>
  <c r="DD65" i="14"/>
  <c r="DD158" i="14"/>
  <c r="DD23" i="14"/>
  <c r="DD210" i="14"/>
  <c r="DD202" i="14"/>
  <c r="DD165" i="14"/>
  <c r="DD188" i="14"/>
  <c r="DD28" i="14"/>
  <c r="DD59" i="14"/>
  <c r="DD171" i="14"/>
  <c r="DD204" i="14"/>
  <c r="DD183" i="14"/>
  <c r="DD186" i="14"/>
  <c r="DD24" i="14"/>
  <c r="DD149" i="14"/>
  <c r="DD211" i="14"/>
  <c r="DD207" i="14"/>
  <c r="DD184" i="14"/>
  <c r="DD145" i="14"/>
  <c r="DD164" i="14"/>
  <c r="DD19" i="14"/>
  <c r="DD161" i="14"/>
  <c r="DD146" i="14"/>
  <c r="DD55" i="14"/>
  <c r="DD153" i="14"/>
  <c r="DD152" i="14"/>
  <c r="DD20" i="14"/>
  <c r="DD66" i="14"/>
  <c r="DD185" i="14"/>
  <c r="DD176" i="14"/>
  <c r="DD213" i="14"/>
  <c r="DD163" i="14"/>
  <c r="DD208" i="14"/>
  <c r="DD155" i="14"/>
  <c r="DD179" i="14"/>
  <c r="DD169" i="14"/>
  <c r="DD177" i="14"/>
  <c r="DD150" i="14"/>
  <c r="DD147" i="14"/>
  <c r="DD22" i="14"/>
  <c r="DD18" i="14"/>
  <c r="DD69" i="14"/>
  <c r="DD58" i="14"/>
  <c r="DD212" i="14"/>
  <c r="DD190" i="14"/>
  <c r="DD53" i="14"/>
  <c r="DD159" i="14"/>
  <c r="DD175" i="14"/>
  <c r="DD30" i="14"/>
  <c r="DD71" i="14"/>
  <c r="DD54" i="14"/>
  <c r="DD209" i="14"/>
  <c r="DD151" i="14"/>
  <c r="DD173" i="14"/>
  <c r="DD205" i="14"/>
  <c r="DD31" i="14"/>
  <c r="DD68" i="14"/>
  <c r="DD193" i="14"/>
  <c r="DD29" i="14"/>
  <c r="DD201" i="14"/>
  <c r="DD33" i="14"/>
  <c r="DD56" i="14"/>
  <c r="DD156" i="14"/>
  <c r="DD148" i="14"/>
  <c r="DD174" i="14"/>
  <c r="DD195" i="14"/>
  <c r="DD17" i="14"/>
  <c r="DD143" i="14"/>
  <c r="DD162" i="14"/>
  <c r="DD198" i="14"/>
  <c r="DD67" i="14"/>
  <c r="DD62" i="14"/>
  <c r="DD64" i="14"/>
  <c r="DD63" i="14"/>
  <c r="DD192" i="14"/>
  <c r="DD172" i="14"/>
  <c r="DD197" i="14"/>
  <c r="DD166" i="14"/>
  <c r="DD191" i="14"/>
  <c r="DD27" i="14"/>
  <c r="DD40" i="14"/>
  <c r="DD39" i="14"/>
  <c r="DD45" i="14"/>
  <c r="DD42" i="14"/>
  <c r="DD41" i="14"/>
  <c r="DD49" i="14"/>
  <c r="DD47" i="14"/>
  <c r="DD51" i="14"/>
  <c r="DD43" i="14"/>
  <c r="DD46" i="14"/>
  <c r="DD50" i="14"/>
  <c r="DD36" i="14"/>
  <c r="DD38" i="14"/>
  <c r="DD37" i="14"/>
  <c r="DD44" i="14"/>
  <c r="DD48" i="14"/>
  <c r="CZ69" i="14"/>
  <c r="CZ23" i="14"/>
  <c r="CZ145" i="14"/>
  <c r="CZ21" i="14"/>
  <c r="CZ209" i="14"/>
  <c r="CZ159" i="14"/>
  <c r="CZ211" i="14"/>
  <c r="CZ191" i="14"/>
  <c r="CZ205" i="14"/>
  <c r="CZ153" i="14"/>
  <c r="CZ185" i="14"/>
  <c r="CZ146" i="14"/>
  <c r="CZ188" i="14"/>
  <c r="CZ30" i="14"/>
  <c r="CZ24" i="14"/>
  <c r="CZ59" i="14"/>
  <c r="CZ65" i="14"/>
  <c r="CZ22" i="14"/>
  <c r="CZ20" i="14"/>
  <c r="CZ151" i="14"/>
  <c r="CZ207" i="14"/>
  <c r="CZ55" i="14"/>
  <c r="CZ67" i="14"/>
  <c r="CZ190" i="14"/>
  <c r="CZ61" i="14"/>
  <c r="CZ144" i="14"/>
  <c r="CZ193" i="14"/>
  <c r="CZ57" i="14"/>
  <c r="CZ53" i="14"/>
  <c r="CZ27" i="14"/>
  <c r="CZ179" i="14"/>
  <c r="CZ54" i="14"/>
  <c r="CZ177" i="14"/>
  <c r="CZ155" i="14"/>
  <c r="CZ26" i="14"/>
  <c r="CZ161" i="14"/>
  <c r="CZ213" i="14"/>
  <c r="CZ181" i="14"/>
  <c r="CZ174" i="14"/>
  <c r="CZ17" i="14"/>
  <c r="CZ62" i="14"/>
  <c r="CZ192" i="14"/>
  <c r="CZ198" i="14"/>
  <c r="CZ152" i="14"/>
  <c r="CZ162" i="14"/>
  <c r="CZ194" i="14"/>
  <c r="CZ195" i="14"/>
  <c r="CZ63" i="14"/>
  <c r="CZ169" i="14"/>
  <c r="CZ71" i="14"/>
  <c r="CZ29" i="14"/>
  <c r="CZ180" i="14"/>
  <c r="CZ184" i="14"/>
  <c r="CZ202" i="14"/>
  <c r="CZ204" i="14"/>
  <c r="CZ197" i="14"/>
  <c r="CZ173" i="14"/>
  <c r="CZ166" i="14"/>
  <c r="CZ189" i="14"/>
  <c r="CZ31" i="14"/>
  <c r="CZ171" i="14"/>
  <c r="CZ19" i="14"/>
  <c r="CZ147" i="14"/>
  <c r="CZ186" i="14"/>
  <c r="CZ33" i="14"/>
  <c r="CZ165" i="14"/>
  <c r="CZ176" i="14"/>
  <c r="CZ18" i="14"/>
  <c r="CZ212" i="14"/>
  <c r="CZ150" i="14"/>
  <c r="CZ200" i="14"/>
  <c r="CZ158" i="14"/>
  <c r="CZ175" i="14"/>
  <c r="CZ182" i="14"/>
  <c r="CZ148" i="14"/>
  <c r="CZ25" i="14"/>
  <c r="CZ149" i="14"/>
  <c r="CZ167" i="14"/>
  <c r="CZ156" i="14"/>
  <c r="CZ66" i="14"/>
  <c r="CZ164" i="14"/>
  <c r="CZ154" i="14"/>
  <c r="CZ56" i="14"/>
  <c r="CZ68" i="14"/>
  <c r="CZ143" i="14"/>
  <c r="CZ172" i="14"/>
  <c r="CZ187" i="14"/>
  <c r="CZ64" i="14"/>
  <c r="CZ157" i="14"/>
  <c r="CZ168" i="14"/>
  <c r="CZ28" i="14"/>
  <c r="CZ170" i="14"/>
  <c r="CZ199" i="14"/>
  <c r="CZ183" i="14"/>
  <c r="CZ163" i="14"/>
  <c r="CZ35" i="14"/>
  <c r="CZ58" i="14"/>
  <c r="CZ210" i="14"/>
  <c r="CZ32" i="14"/>
  <c r="CZ208" i="14"/>
  <c r="CZ60" i="14"/>
  <c r="CZ40" i="14"/>
  <c r="CZ39" i="14"/>
  <c r="CZ49" i="14"/>
  <c r="CZ45" i="14"/>
  <c r="CZ42" i="14"/>
  <c r="CZ47" i="14"/>
  <c r="CZ46" i="14"/>
  <c r="CZ41" i="14"/>
  <c r="CZ43" i="14"/>
  <c r="CZ51" i="14"/>
  <c r="CZ50" i="14"/>
  <c r="CZ37" i="14"/>
  <c r="CZ36" i="14"/>
  <c r="CZ38" i="14"/>
  <c r="CZ44" i="14"/>
  <c r="CZ48" i="14"/>
  <c r="AZ199" i="14"/>
  <c r="AZ175" i="14"/>
  <c r="AZ54" i="14"/>
  <c r="AZ205" i="14"/>
  <c r="AZ197" i="14"/>
  <c r="AZ64" i="14"/>
  <c r="AZ193" i="14"/>
  <c r="AZ35" i="14"/>
  <c r="AZ27" i="14"/>
  <c r="AZ28" i="14"/>
  <c r="AZ30" i="14"/>
  <c r="AZ168" i="14"/>
  <c r="AZ185" i="14"/>
  <c r="AZ170" i="14"/>
  <c r="AZ143" i="14"/>
  <c r="AZ149" i="14"/>
  <c r="AZ194" i="14"/>
  <c r="AZ187" i="14"/>
  <c r="AZ24" i="14"/>
  <c r="AZ163" i="14"/>
  <c r="AZ156" i="14"/>
  <c r="AZ68" i="14"/>
  <c r="AZ207" i="14"/>
  <c r="AZ32" i="14"/>
  <c r="AZ164" i="14"/>
  <c r="AZ21" i="14"/>
  <c r="AZ181" i="14"/>
  <c r="AZ31" i="14"/>
  <c r="AZ212" i="14"/>
  <c r="AZ211" i="14"/>
  <c r="AZ198" i="14"/>
  <c r="AZ191" i="14"/>
  <c r="AZ183" i="14"/>
  <c r="AZ182" i="14"/>
  <c r="AZ26" i="14"/>
  <c r="AZ213" i="14"/>
  <c r="AZ22" i="14"/>
  <c r="AZ166" i="14"/>
  <c r="AZ162" i="14"/>
  <c r="AZ33" i="14"/>
  <c r="AZ19" i="14"/>
  <c r="AZ174" i="14"/>
  <c r="AZ208" i="14"/>
  <c r="AZ25" i="14"/>
  <c r="AZ154" i="14"/>
  <c r="AZ59" i="14"/>
  <c r="AZ192" i="14"/>
  <c r="AZ56" i="14"/>
  <c r="AZ202" i="14"/>
  <c r="AZ184" i="14"/>
  <c r="AZ165" i="14"/>
  <c r="AZ210" i="14"/>
  <c r="AZ188" i="14"/>
  <c r="AZ60" i="14"/>
  <c r="AZ171" i="14"/>
  <c r="AZ144" i="14"/>
  <c r="AZ190" i="14"/>
  <c r="AZ177" i="14"/>
  <c r="AZ151" i="14"/>
  <c r="AZ180" i="14"/>
  <c r="AZ186" i="14"/>
  <c r="AZ65" i="14"/>
  <c r="AZ17" i="14"/>
  <c r="AZ66" i="14"/>
  <c r="AZ145" i="14"/>
  <c r="AZ161" i="14"/>
  <c r="AZ153" i="14"/>
  <c r="AZ179" i="14"/>
  <c r="AZ176" i="14"/>
  <c r="AZ169" i="14"/>
  <c r="AZ71" i="14"/>
  <c r="AZ152" i="14"/>
  <c r="AZ61" i="14"/>
  <c r="AZ157" i="14"/>
  <c r="AZ200" i="14"/>
  <c r="AZ18" i="14"/>
  <c r="AZ167" i="14"/>
  <c r="AZ155" i="14"/>
  <c r="AZ55" i="14"/>
  <c r="AZ29" i="14"/>
  <c r="AZ209" i="14"/>
  <c r="AZ146" i="14"/>
  <c r="AZ172" i="14"/>
  <c r="AZ69" i="14"/>
  <c r="AZ173" i="14"/>
  <c r="AZ58" i="14"/>
  <c r="AZ148" i="14"/>
  <c r="AZ63" i="14"/>
  <c r="AZ23" i="14"/>
  <c r="AZ158" i="14"/>
  <c r="AZ67" i="14"/>
  <c r="AZ150" i="14"/>
  <c r="AZ62" i="14"/>
  <c r="AZ159" i="14"/>
  <c r="AZ189" i="14"/>
  <c r="AZ147" i="14"/>
  <c r="AZ20" i="14"/>
  <c r="AZ53" i="14"/>
  <c r="AZ195" i="14"/>
  <c r="AZ204" i="14"/>
  <c r="AZ57" i="14"/>
  <c r="AZ40" i="14"/>
  <c r="AZ49" i="14"/>
  <c r="AZ39" i="14"/>
  <c r="AZ45" i="14"/>
  <c r="AZ42" i="14"/>
  <c r="AZ47" i="14"/>
  <c r="AZ41" i="14"/>
  <c r="AZ51" i="14"/>
  <c r="AZ46" i="14"/>
  <c r="AZ50" i="14"/>
  <c r="AZ43" i="14"/>
  <c r="AZ48" i="14"/>
  <c r="AZ37" i="14"/>
  <c r="AZ44" i="14"/>
  <c r="AZ36" i="14"/>
  <c r="AZ38" i="14"/>
  <c r="AV153" i="14"/>
  <c r="AV17" i="14"/>
  <c r="AV197" i="14"/>
  <c r="AV165" i="14"/>
  <c r="AV25" i="14"/>
  <c r="AV148" i="14"/>
  <c r="AV143" i="14"/>
  <c r="AV199" i="14"/>
  <c r="AV191" i="14"/>
  <c r="AV63" i="14"/>
  <c r="AV166" i="14"/>
  <c r="AV204" i="14"/>
  <c r="AV177" i="14"/>
  <c r="AV175" i="14"/>
  <c r="AV30" i="14"/>
  <c r="AV18" i="14"/>
  <c r="AV173" i="14"/>
  <c r="AV27" i="14"/>
  <c r="AV183" i="14"/>
  <c r="AV209" i="14"/>
  <c r="AV163" i="14"/>
  <c r="AV162" i="14"/>
  <c r="AV24" i="14"/>
  <c r="AV20" i="14"/>
  <c r="AV202" i="14"/>
  <c r="AV213" i="14"/>
  <c r="AV61" i="14"/>
  <c r="AV53" i="14"/>
  <c r="AV180" i="14"/>
  <c r="AV59" i="14"/>
  <c r="AV182" i="14"/>
  <c r="AV155" i="14"/>
  <c r="AV147" i="14"/>
  <c r="AV29" i="14"/>
  <c r="AV171" i="14"/>
  <c r="AV144" i="14"/>
  <c r="AV151" i="14"/>
  <c r="AV55" i="14"/>
  <c r="AV31" i="14"/>
  <c r="AV54" i="14"/>
  <c r="AV32" i="14"/>
  <c r="AV179" i="14"/>
  <c r="AV168" i="14"/>
  <c r="AV157" i="14"/>
  <c r="AV200" i="14"/>
  <c r="AV57" i="14"/>
  <c r="AV210" i="14"/>
  <c r="AV195" i="14"/>
  <c r="AV68" i="14"/>
  <c r="AV62" i="14"/>
  <c r="AV67" i="14"/>
  <c r="AV189" i="14"/>
  <c r="AV194" i="14"/>
  <c r="AV28" i="14"/>
  <c r="AV58" i="14"/>
  <c r="AV164" i="14"/>
  <c r="AV56" i="14"/>
  <c r="AV181" i="14"/>
  <c r="AV150" i="14"/>
  <c r="AV207" i="14"/>
  <c r="AV152" i="14"/>
  <c r="AV188" i="14"/>
  <c r="AV193" i="14"/>
  <c r="AV23" i="14"/>
  <c r="AV26" i="14"/>
  <c r="AV33" i="14"/>
  <c r="AV192" i="14"/>
  <c r="AV169" i="14"/>
  <c r="AV211" i="14"/>
  <c r="AV156" i="14"/>
  <c r="AV172" i="14"/>
  <c r="AV22" i="14"/>
  <c r="AV145" i="14"/>
  <c r="AV184" i="14"/>
  <c r="AV65" i="14"/>
  <c r="AV21" i="14"/>
  <c r="AV146" i="14"/>
  <c r="AV158" i="14"/>
  <c r="AV71" i="14"/>
  <c r="AV190" i="14"/>
  <c r="AV149" i="14"/>
  <c r="AV159" i="14"/>
  <c r="AV167" i="14"/>
  <c r="AV60" i="14"/>
  <c r="AV64" i="14"/>
  <c r="AV69" i="14"/>
  <c r="AV176" i="14"/>
  <c r="AV212" i="14"/>
  <c r="AV161" i="14"/>
  <c r="AV185" i="14"/>
  <c r="AV186" i="14"/>
  <c r="AV66" i="14"/>
  <c r="AV154" i="14"/>
  <c r="AV187" i="14"/>
  <c r="AV198" i="14"/>
  <c r="AV208" i="14"/>
  <c r="AV174" i="14"/>
  <c r="AV205" i="14"/>
  <c r="AV19" i="14"/>
  <c r="AV170" i="14"/>
  <c r="AV35" i="14"/>
  <c r="AV39" i="14"/>
  <c r="AV49" i="14"/>
  <c r="AV40" i="14"/>
  <c r="AV45" i="14"/>
  <c r="AV47" i="14"/>
  <c r="AV42" i="14"/>
  <c r="AV46" i="14"/>
  <c r="AV50" i="14"/>
  <c r="AV41" i="14"/>
  <c r="AV51" i="14"/>
  <c r="AV43" i="14"/>
  <c r="AV44" i="14"/>
  <c r="M44" i="14" s="1"/>
  <c r="AV37" i="14"/>
  <c r="AV38" i="14"/>
  <c r="AV36" i="14"/>
  <c r="AV48" i="14"/>
  <c r="AR19" i="14"/>
  <c r="AR32" i="14"/>
  <c r="AR64" i="14"/>
  <c r="AR63" i="14"/>
  <c r="AR53" i="14"/>
  <c r="AR17" i="14"/>
  <c r="AR188" i="14"/>
  <c r="AR197" i="14"/>
  <c r="AR18" i="14"/>
  <c r="AR67" i="14"/>
  <c r="AR194" i="14"/>
  <c r="AR163" i="14"/>
  <c r="AR182" i="14"/>
  <c r="AR35" i="14"/>
  <c r="AR151" i="14"/>
  <c r="AR29" i="14"/>
  <c r="AR180" i="14"/>
  <c r="AR147" i="14"/>
  <c r="AR148" i="14"/>
  <c r="AR186" i="14"/>
  <c r="AR28" i="14"/>
  <c r="AR57" i="14"/>
  <c r="AR22" i="14"/>
  <c r="AR184" i="14"/>
  <c r="AR171" i="14"/>
  <c r="AR165" i="14"/>
  <c r="AR191" i="14"/>
  <c r="AR62" i="14"/>
  <c r="AR154" i="14"/>
  <c r="AR25" i="14"/>
  <c r="AR153" i="14"/>
  <c r="AR30" i="14"/>
  <c r="AR71" i="14"/>
  <c r="AR23" i="14"/>
  <c r="AR69" i="14"/>
  <c r="AR164" i="14"/>
  <c r="AR166" i="14"/>
  <c r="AR204" i="14"/>
  <c r="AR170" i="14"/>
  <c r="AR162" i="14"/>
  <c r="AR212" i="14"/>
  <c r="AR161" i="14"/>
  <c r="AR211" i="14"/>
  <c r="AR192" i="14"/>
  <c r="AR20" i="14"/>
  <c r="AR157" i="14"/>
  <c r="AR200" i="14"/>
  <c r="AR26" i="14"/>
  <c r="AR183" i="14"/>
  <c r="AR152" i="14"/>
  <c r="AR179" i="14"/>
  <c r="AR65" i="14"/>
  <c r="AR145" i="14"/>
  <c r="AR198" i="14"/>
  <c r="AR144" i="14"/>
  <c r="AR174" i="14"/>
  <c r="AR66" i="14"/>
  <c r="AR190" i="14"/>
  <c r="AR54" i="14"/>
  <c r="AR146" i="14"/>
  <c r="AR143" i="14"/>
  <c r="AR205" i="14"/>
  <c r="AR155" i="14"/>
  <c r="AR187" i="14"/>
  <c r="AR169" i="14"/>
  <c r="AR27" i="14"/>
  <c r="AR202" i="14"/>
  <c r="AR33" i="14"/>
  <c r="AR181" i="14"/>
  <c r="AR21" i="14"/>
  <c r="AR31" i="14"/>
  <c r="AR150" i="14"/>
  <c r="AR185" i="14"/>
  <c r="AR56" i="14"/>
  <c r="AR175" i="14"/>
  <c r="AR167" i="14"/>
  <c r="AR177" i="14"/>
  <c r="AR176" i="14"/>
  <c r="AR209" i="14"/>
  <c r="AR149" i="14"/>
  <c r="AR59" i="14"/>
  <c r="AR68" i="14"/>
  <c r="AR173" i="14"/>
  <c r="AR199" i="14"/>
  <c r="AR58" i="14"/>
  <c r="AR189" i="14"/>
  <c r="AR195" i="14"/>
  <c r="AR24" i="14"/>
  <c r="AR60" i="14"/>
  <c r="AR156" i="14"/>
  <c r="AR213" i="14"/>
  <c r="AR172" i="14"/>
  <c r="AR159" i="14"/>
  <c r="AR168" i="14"/>
  <c r="AR158" i="14"/>
  <c r="AR208" i="14"/>
  <c r="AR61" i="14"/>
  <c r="AR207" i="14"/>
  <c r="AR55" i="14"/>
  <c r="AR193" i="14"/>
  <c r="AR210" i="14"/>
  <c r="AR40" i="14"/>
  <c r="AR39" i="14"/>
  <c r="AR49" i="14"/>
  <c r="AR42" i="14"/>
  <c r="AR45" i="14"/>
  <c r="AR47" i="14"/>
  <c r="AR46" i="14"/>
  <c r="AR41" i="14"/>
  <c r="AR43" i="14"/>
  <c r="AR50" i="14"/>
  <c r="AR51" i="14"/>
  <c r="AR44" i="14"/>
  <c r="AR37" i="14"/>
  <c r="AR38" i="14"/>
  <c r="AR36" i="14"/>
  <c r="AR48" i="14"/>
  <c r="U142" i="14"/>
  <c r="U225" i="14"/>
  <c r="U117" i="14"/>
  <c r="U52" i="14"/>
  <c r="U125" i="14"/>
  <c r="Y142" i="14"/>
  <c r="Y16" i="14"/>
  <c r="Y215" i="14"/>
  <c r="Y107" i="14"/>
  <c r="Y160" i="14"/>
  <c r="F452" i="32"/>
  <c r="G452" i="32" s="1"/>
  <c r="H452" i="32" s="1"/>
  <c r="I452" i="32" s="1"/>
  <c r="J452" i="32" s="1"/>
  <c r="K452" i="32" s="1"/>
  <c r="L452" i="32" s="1"/>
  <c r="EF12" i="14"/>
  <c r="EE12" i="10"/>
  <c r="EH12" i="14" s="1"/>
  <c r="EI12" i="10"/>
  <c r="EL12" i="14" s="1"/>
  <c r="EL12" i="10"/>
  <c r="EO12" i="14" s="1"/>
  <c r="ER12" i="10"/>
  <c r="EU12" i="14" s="1"/>
  <c r="EP12" i="10"/>
  <c r="ES12" i="14" s="1"/>
  <c r="EO12" i="10"/>
  <c r="ER12" i="14" s="1"/>
  <c r="EJ12" i="10"/>
  <c r="EM12" i="14" s="1"/>
  <c r="EF12" i="10"/>
  <c r="EI12" i="14" s="1"/>
  <c r="ED12" i="10"/>
  <c r="EG12" i="14" s="1"/>
  <c r="EN12" i="10"/>
  <c r="EQ12" i="14" s="1"/>
  <c r="EH12" i="10"/>
  <c r="EK12" i="14" s="1"/>
  <c r="EQ12" i="10"/>
  <c r="ET12" i="14" s="1"/>
  <c r="EK12" i="10"/>
  <c r="EN12" i="14" s="1"/>
  <c r="EM12" i="10"/>
  <c r="EP12" i="14" s="1"/>
  <c r="EG12" i="10"/>
  <c r="EJ12" i="14" s="1"/>
  <c r="EB57" i="14"/>
  <c r="EB169" i="14"/>
  <c r="EB213" i="14"/>
  <c r="EB176" i="14"/>
  <c r="EB21" i="14"/>
  <c r="EB151" i="14"/>
  <c r="EB56" i="14"/>
  <c r="EB23" i="14"/>
  <c r="EB187" i="14"/>
  <c r="EB207" i="14"/>
  <c r="EB157" i="14"/>
  <c r="EB192" i="14"/>
  <c r="EB184" i="14"/>
  <c r="EB173" i="14"/>
  <c r="EB55" i="14"/>
  <c r="EB199" i="14"/>
  <c r="EB152" i="14"/>
  <c r="EB149" i="14"/>
  <c r="EB183" i="14"/>
  <c r="EB167" i="14"/>
  <c r="EB189" i="14"/>
  <c r="EB179" i="14"/>
  <c r="EB164" i="14"/>
  <c r="EB195" i="14"/>
  <c r="EB69" i="14"/>
  <c r="EB33" i="14"/>
  <c r="EB180" i="14"/>
  <c r="EB185" i="14"/>
  <c r="EB19" i="14"/>
  <c r="EB25" i="14"/>
  <c r="EB35" i="14"/>
  <c r="EB18" i="14"/>
  <c r="EB24" i="14"/>
  <c r="EB171" i="14"/>
  <c r="EB204" i="14"/>
  <c r="EB147" i="14"/>
  <c r="EB174" i="14"/>
  <c r="EB71" i="14"/>
  <c r="EB197" i="14"/>
  <c r="EB198" i="14"/>
  <c r="EB20" i="14"/>
  <c r="EB61" i="14"/>
  <c r="EB161" i="14"/>
  <c r="EB172" i="14"/>
  <c r="EB181" i="14"/>
  <c r="EB193" i="14"/>
  <c r="EB150" i="14"/>
  <c r="EB177" i="14"/>
  <c r="EB166" i="14"/>
  <c r="EB202" i="14"/>
  <c r="EB32" i="14"/>
  <c r="EB68" i="14"/>
  <c r="EB62" i="14"/>
  <c r="EB170" i="14"/>
  <c r="EB191" i="14"/>
  <c r="EB30" i="14"/>
  <c r="EB27" i="14"/>
  <c r="EB26" i="14"/>
  <c r="EB208" i="14"/>
  <c r="EB148" i="14"/>
  <c r="EB65" i="14"/>
  <c r="EB194" i="14"/>
  <c r="EB31" i="14"/>
  <c r="EB200" i="14"/>
  <c r="EB212" i="14"/>
  <c r="EB188" i="14"/>
  <c r="EB29" i="14"/>
  <c r="EB143" i="14"/>
  <c r="EB155" i="14"/>
  <c r="EB205" i="14"/>
  <c r="EB156" i="14"/>
  <c r="EB17" i="14"/>
  <c r="EB53" i="14"/>
  <c r="EB159" i="14"/>
  <c r="EB59" i="14"/>
  <c r="EB60" i="14"/>
  <c r="EB186" i="14"/>
  <c r="EB54" i="14"/>
  <c r="EB182" i="14"/>
  <c r="EB146" i="14"/>
  <c r="EB28" i="14"/>
  <c r="EB66" i="14"/>
  <c r="EB63" i="14"/>
  <c r="EB175" i="14"/>
  <c r="EB154" i="14"/>
  <c r="EB190" i="14"/>
  <c r="EB209" i="14"/>
  <c r="EB144" i="14"/>
  <c r="EB158" i="14"/>
  <c r="EB153" i="14"/>
  <c r="EB145" i="14"/>
  <c r="EB165" i="14"/>
  <c r="EB22" i="14"/>
  <c r="EB163" i="14"/>
  <c r="EB210" i="14"/>
  <c r="EB168" i="14"/>
  <c r="EB64" i="14"/>
  <c r="EB162" i="14"/>
  <c r="EB67" i="14"/>
  <c r="EB211" i="14"/>
  <c r="EB58" i="14"/>
  <c r="EB49" i="14"/>
  <c r="EB40" i="14"/>
  <c r="EB39" i="14"/>
  <c r="EB45" i="14"/>
  <c r="EB42" i="14"/>
  <c r="EB47" i="14"/>
  <c r="EB41" i="14"/>
  <c r="EB46" i="14"/>
  <c r="EB50" i="14"/>
  <c r="EB43" i="14"/>
  <c r="EB51" i="14"/>
  <c r="EB36" i="14"/>
  <c r="EB38" i="14"/>
  <c r="EB48" i="14"/>
  <c r="EB37" i="14"/>
  <c r="EB44" i="14"/>
  <c r="DX143" i="14"/>
  <c r="DX161" i="14"/>
  <c r="DX59" i="14"/>
  <c r="DX211" i="14"/>
  <c r="DX156" i="14"/>
  <c r="DX197" i="14"/>
  <c r="DX64" i="14"/>
  <c r="DX162" i="14"/>
  <c r="DX151" i="14"/>
  <c r="DX147" i="14"/>
  <c r="DX23" i="14"/>
  <c r="DX54" i="14"/>
  <c r="DX60" i="14"/>
  <c r="DX158" i="14"/>
  <c r="DX144" i="14"/>
  <c r="DX202" i="14"/>
  <c r="DX68" i="14"/>
  <c r="DX164" i="14"/>
  <c r="DX152" i="14"/>
  <c r="DX150" i="14"/>
  <c r="DX17" i="14"/>
  <c r="DX25" i="14"/>
  <c r="DX209" i="14"/>
  <c r="DX208" i="14"/>
  <c r="DX169" i="14"/>
  <c r="DX173" i="14"/>
  <c r="DX170" i="14"/>
  <c r="DX61" i="14"/>
  <c r="DX194" i="14"/>
  <c r="DX69" i="14"/>
  <c r="DX180" i="14"/>
  <c r="DX55" i="14"/>
  <c r="DX205" i="14"/>
  <c r="DX185" i="14"/>
  <c r="DX63" i="14"/>
  <c r="DX154" i="14"/>
  <c r="DX210" i="14"/>
  <c r="DX35" i="14"/>
  <c r="DX195" i="14"/>
  <c r="DX155" i="14"/>
  <c r="DX33" i="14"/>
  <c r="DX198" i="14"/>
  <c r="DX159" i="14"/>
  <c r="DX175" i="14"/>
  <c r="DX188" i="14"/>
  <c r="DX212" i="14"/>
  <c r="DX207" i="14"/>
  <c r="DX28" i="14"/>
  <c r="DX71" i="14"/>
  <c r="DX167" i="14"/>
  <c r="DX157" i="14"/>
  <c r="DX171" i="14"/>
  <c r="DX200" i="14"/>
  <c r="DX213" i="14"/>
  <c r="DX18" i="14"/>
  <c r="DX186" i="14"/>
  <c r="DX183" i="14"/>
  <c r="DX20" i="14"/>
  <c r="DX149" i="14"/>
  <c r="DX29" i="14"/>
  <c r="DX192" i="14"/>
  <c r="DX199" i="14"/>
  <c r="DX177" i="14"/>
  <c r="DX26" i="14"/>
  <c r="DX62" i="14"/>
  <c r="DX66" i="14"/>
  <c r="DX21" i="14"/>
  <c r="DX193" i="14"/>
  <c r="DX191" i="14"/>
  <c r="DX27" i="14"/>
  <c r="DX31" i="14"/>
  <c r="DX67" i="14"/>
  <c r="DX166" i="14"/>
  <c r="DX153" i="14"/>
  <c r="DX146" i="14"/>
  <c r="DX176" i="14"/>
  <c r="DX165" i="14"/>
  <c r="DX163" i="14"/>
  <c r="DX19" i="14"/>
  <c r="DX57" i="14"/>
  <c r="DX58" i="14"/>
  <c r="DX168" i="14"/>
  <c r="DX174" i="14"/>
  <c r="DX182" i="14"/>
  <c r="DX65" i="14"/>
  <c r="DX53" i="14"/>
  <c r="DX189" i="14"/>
  <c r="DX204" i="14"/>
  <c r="DX187" i="14"/>
  <c r="DX190" i="14"/>
  <c r="DX148" i="14"/>
  <c r="DX184" i="14"/>
  <c r="DX203" i="14"/>
  <c r="DX181" i="14"/>
  <c r="DX172" i="14"/>
  <c r="DX24" i="14"/>
  <c r="DX179" i="14"/>
  <c r="DX30" i="14"/>
  <c r="DX56" i="14"/>
  <c r="DX145" i="14"/>
  <c r="DX32" i="14"/>
  <c r="DX22" i="14"/>
  <c r="DX39" i="14"/>
  <c r="DX40" i="14"/>
  <c r="DX42" i="14"/>
  <c r="DX45" i="14"/>
  <c r="DX49" i="14"/>
  <c r="DX41" i="14"/>
  <c r="DX47" i="14"/>
  <c r="DX50" i="14"/>
  <c r="DX43" i="14"/>
  <c r="DX46" i="14"/>
  <c r="DX51" i="14"/>
  <c r="DX36" i="14"/>
  <c r="DX37" i="14"/>
  <c r="DX44" i="14"/>
  <c r="DX38" i="14"/>
  <c r="DX48" i="14"/>
  <c r="CS176" i="14"/>
  <c r="CS161" i="14"/>
  <c r="CS166" i="14"/>
  <c r="CS189" i="14"/>
  <c r="CS193" i="14"/>
  <c r="CS60" i="14"/>
  <c r="CS163" i="14"/>
  <c r="CS32" i="14"/>
  <c r="CS145" i="14"/>
  <c r="CS159" i="14"/>
  <c r="CS17" i="14"/>
  <c r="CS28" i="14"/>
  <c r="CS55" i="14"/>
  <c r="CS56" i="14"/>
  <c r="CS187" i="14"/>
  <c r="CS61" i="14"/>
  <c r="CS181" i="14"/>
  <c r="CS64" i="14"/>
  <c r="CS63" i="14"/>
  <c r="CS35" i="14"/>
  <c r="CS25" i="14"/>
  <c r="CS207" i="14"/>
  <c r="CS22" i="14"/>
  <c r="CS171" i="14"/>
  <c r="CS213" i="14"/>
  <c r="CS58" i="14"/>
  <c r="CS59" i="14"/>
  <c r="CS205" i="14"/>
  <c r="CS177" i="14"/>
  <c r="CS30" i="14"/>
  <c r="CS168" i="14"/>
  <c r="CS197" i="14"/>
  <c r="CS200" i="14"/>
  <c r="CS23" i="14"/>
  <c r="CS173" i="14"/>
  <c r="CS62" i="14"/>
  <c r="CS183" i="14"/>
  <c r="CS26" i="14"/>
  <c r="CS27" i="14"/>
  <c r="CS180" i="14"/>
  <c r="CS191" i="14"/>
  <c r="CS68" i="14"/>
  <c r="CS211" i="14"/>
  <c r="CS157" i="14"/>
  <c r="CS172" i="14"/>
  <c r="CS190" i="14"/>
  <c r="CS165" i="14"/>
  <c r="CS186" i="14"/>
  <c r="CS24" i="14"/>
  <c r="CS182" i="14"/>
  <c r="CS192" i="14"/>
  <c r="CS175" i="14"/>
  <c r="CS150" i="14"/>
  <c r="CS156" i="14"/>
  <c r="CS65" i="14"/>
  <c r="CS202" i="14"/>
  <c r="CS53" i="14"/>
  <c r="CS208" i="14"/>
  <c r="CS158" i="14"/>
  <c r="CS199" i="14"/>
  <c r="CS144" i="14"/>
  <c r="CS54" i="14"/>
  <c r="CS67" i="14"/>
  <c r="CS179" i="14"/>
  <c r="CS143" i="14"/>
  <c r="CS188" i="14"/>
  <c r="CS149" i="14"/>
  <c r="CS195" i="14"/>
  <c r="CS29" i="14"/>
  <c r="CS154" i="14"/>
  <c r="CS18" i="14"/>
  <c r="CS198" i="14"/>
  <c r="CS204" i="14"/>
  <c r="CS169" i="14"/>
  <c r="CS151" i="14"/>
  <c r="CS147" i="14"/>
  <c r="CS155" i="14"/>
  <c r="CS153" i="14"/>
  <c r="CS164" i="14"/>
  <c r="CS194" i="14"/>
  <c r="CS20" i="14"/>
  <c r="CS210" i="14"/>
  <c r="CS31" i="14"/>
  <c r="CS66" i="14"/>
  <c r="CS185" i="14"/>
  <c r="CS167" i="14"/>
  <c r="CS152" i="14"/>
  <c r="CS184" i="14"/>
  <c r="CS148" i="14"/>
  <c r="CS69" i="14"/>
  <c r="CS21" i="14"/>
  <c r="CS212" i="14"/>
  <c r="CS174" i="14"/>
  <c r="CS170" i="14"/>
  <c r="CS19" i="14"/>
  <c r="CS71" i="14"/>
  <c r="CS209" i="14"/>
  <c r="CS33" i="14"/>
  <c r="CS146" i="14"/>
  <c r="CS57" i="14"/>
  <c r="CS162" i="14"/>
  <c r="CS40" i="14"/>
  <c r="CS39" i="14"/>
  <c r="CS45" i="14"/>
  <c r="CS49" i="14"/>
  <c r="CS47" i="14"/>
  <c r="CS42" i="14"/>
  <c r="CS41" i="14"/>
  <c r="CS43" i="14"/>
  <c r="CS46" i="14"/>
  <c r="CS51" i="14"/>
  <c r="CS38" i="14"/>
  <c r="CS50" i="14"/>
  <c r="CS36" i="14"/>
  <c r="CS44" i="14"/>
  <c r="CS37" i="14"/>
  <c r="CS48" i="14"/>
  <c r="CO35" i="14"/>
  <c r="CO21" i="14"/>
  <c r="CO148" i="14"/>
  <c r="CO20" i="14"/>
  <c r="CO149" i="14"/>
  <c r="CO192" i="14"/>
  <c r="CO71" i="14"/>
  <c r="CO65" i="14"/>
  <c r="CO177" i="14"/>
  <c r="CO198" i="14"/>
  <c r="CO165" i="14"/>
  <c r="CO195" i="14"/>
  <c r="CO64" i="14"/>
  <c r="CO175" i="14"/>
  <c r="CO28" i="14"/>
  <c r="CO56" i="14"/>
  <c r="CO168" i="14"/>
  <c r="CO207" i="14"/>
  <c r="CO53" i="14"/>
  <c r="CO152" i="14"/>
  <c r="CO62" i="14"/>
  <c r="CO153" i="14"/>
  <c r="CO183" i="14"/>
  <c r="CO202" i="14"/>
  <c r="CO204" i="14"/>
  <c r="CO171" i="14"/>
  <c r="CO213" i="14"/>
  <c r="CO193" i="14"/>
  <c r="CO210" i="14"/>
  <c r="CO22" i="14"/>
  <c r="CO184" i="14"/>
  <c r="CO143" i="14"/>
  <c r="CO150" i="14"/>
  <c r="CO212" i="14"/>
  <c r="CO23" i="14"/>
  <c r="CO186" i="14"/>
  <c r="CO154" i="14"/>
  <c r="CO61" i="14"/>
  <c r="CO173" i="14"/>
  <c r="CO25" i="14"/>
  <c r="CO151" i="14"/>
  <c r="CO187" i="14"/>
  <c r="CO68" i="14"/>
  <c r="CO188" i="14"/>
  <c r="CO146" i="14"/>
  <c r="CO157" i="14"/>
  <c r="CO211" i="14"/>
  <c r="CO29" i="14"/>
  <c r="CO27" i="14"/>
  <c r="CO59" i="14"/>
  <c r="CO190" i="14"/>
  <c r="CO18" i="14"/>
  <c r="CO33" i="14"/>
  <c r="CO176" i="14"/>
  <c r="CO174" i="14"/>
  <c r="CO145" i="14"/>
  <c r="CO63" i="14"/>
  <c r="CO194" i="14"/>
  <c r="CO197" i="14"/>
  <c r="CO179" i="14"/>
  <c r="CO26" i="14"/>
  <c r="CO30" i="14"/>
  <c r="CO172" i="14"/>
  <c r="CO58" i="14"/>
  <c r="CO24" i="14"/>
  <c r="CO156" i="14"/>
  <c r="CO144" i="14"/>
  <c r="CO31" i="14"/>
  <c r="CO17" i="14"/>
  <c r="CO161" i="14"/>
  <c r="CO199" i="14"/>
  <c r="CO170" i="14"/>
  <c r="CO181" i="14"/>
  <c r="CO60" i="14"/>
  <c r="CO164" i="14"/>
  <c r="CO200" i="14"/>
  <c r="CO191" i="14"/>
  <c r="CO159" i="14"/>
  <c r="CO163" i="14"/>
  <c r="CO69" i="14"/>
  <c r="CO208" i="14"/>
  <c r="CO185" i="14"/>
  <c r="CO180" i="14"/>
  <c r="CO166" i="14"/>
  <c r="CO209" i="14"/>
  <c r="CO19" i="14"/>
  <c r="CO189" i="14"/>
  <c r="CO169" i="14"/>
  <c r="CO155" i="14"/>
  <c r="CO205" i="14"/>
  <c r="CO147" i="14"/>
  <c r="CO162" i="14"/>
  <c r="CO55" i="14"/>
  <c r="CO57" i="14"/>
  <c r="CO158" i="14"/>
  <c r="CO182" i="14"/>
  <c r="CO167" i="14"/>
  <c r="CO66" i="14"/>
  <c r="CO54" i="14"/>
  <c r="CO67" i="14"/>
  <c r="CO32" i="14"/>
  <c r="CO39" i="14"/>
  <c r="CO40" i="14"/>
  <c r="CO41" i="14"/>
  <c r="CO49" i="14"/>
  <c r="CO42" i="14"/>
  <c r="CO45" i="14"/>
  <c r="CO43" i="14"/>
  <c r="CO51" i="14"/>
  <c r="CO50" i="14"/>
  <c r="CO47" i="14"/>
  <c r="CO46" i="14"/>
  <c r="CO44" i="14"/>
  <c r="CO48" i="14"/>
  <c r="CO38" i="14"/>
  <c r="CO36" i="14"/>
  <c r="CO37" i="14"/>
  <c r="CK27" i="14"/>
  <c r="CK145" i="14"/>
  <c r="CK146" i="14"/>
  <c r="CK187" i="14"/>
  <c r="CK57" i="14"/>
  <c r="CK153" i="14"/>
  <c r="CK171" i="14"/>
  <c r="CK149" i="14"/>
  <c r="CK156" i="14"/>
  <c r="CK28" i="14"/>
  <c r="CK19" i="14"/>
  <c r="CK199" i="14"/>
  <c r="CK205" i="14"/>
  <c r="CK161" i="14"/>
  <c r="CK165" i="14"/>
  <c r="CK181" i="14"/>
  <c r="CK31" i="14"/>
  <c r="CK164" i="14"/>
  <c r="CK193" i="14"/>
  <c r="CK170" i="14"/>
  <c r="CK71" i="14"/>
  <c r="CK63" i="14"/>
  <c r="CK61" i="14"/>
  <c r="CK210" i="14"/>
  <c r="CK59" i="14"/>
  <c r="CK189" i="14"/>
  <c r="CK183" i="14"/>
  <c r="CK148" i="14"/>
  <c r="CK213" i="14"/>
  <c r="CK155" i="14"/>
  <c r="CK163" i="14"/>
  <c r="CK180" i="14"/>
  <c r="CK54" i="14"/>
  <c r="CK18" i="14"/>
  <c r="CK55" i="14"/>
  <c r="CK200" i="14"/>
  <c r="CK212" i="14"/>
  <c r="CK184" i="14"/>
  <c r="CK159" i="14"/>
  <c r="CK53" i="14"/>
  <c r="CK26" i="14"/>
  <c r="CK22" i="14"/>
  <c r="CK64" i="14"/>
  <c r="CK158" i="14"/>
  <c r="CK30" i="14"/>
  <c r="CK169" i="14"/>
  <c r="CK33" i="14"/>
  <c r="CK204" i="14"/>
  <c r="CK56" i="14"/>
  <c r="CK62" i="14"/>
  <c r="CK25" i="14"/>
  <c r="CK182" i="14"/>
  <c r="CK23" i="14"/>
  <c r="CK207" i="14"/>
  <c r="CK17" i="14"/>
  <c r="CK208" i="14"/>
  <c r="CK66" i="14"/>
  <c r="CK144" i="14"/>
  <c r="CK177" i="14"/>
  <c r="CK211" i="14"/>
  <c r="CK175" i="14"/>
  <c r="CK65" i="14"/>
  <c r="CK198" i="14"/>
  <c r="CK166" i="14"/>
  <c r="CK154" i="14"/>
  <c r="CK179" i="14"/>
  <c r="CK143" i="14"/>
  <c r="CK209" i="14"/>
  <c r="CK29" i="14"/>
  <c r="CK67" i="14"/>
  <c r="CK150" i="14"/>
  <c r="CK157" i="14"/>
  <c r="CK173" i="14"/>
  <c r="CK60" i="14"/>
  <c r="CK68" i="14"/>
  <c r="CK167" i="14"/>
  <c r="CK188" i="14"/>
  <c r="CK195" i="14"/>
  <c r="CK185" i="14"/>
  <c r="CK35" i="14"/>
  <c r="CK192" i="14"/>
  <c r="CK152" i="14"/>
  <c r="CK32" i="14"/>
  <c r="CK21" i="14"/>
  <c r="CK174" i="14"/>
  <c r="CK202" i="14"/>
  <c r="CK191" i="14"/>
  <c r="CK194" i="14"/>
  <c r="CK176" i="14"/>
  <c r="CK24" i="14"/>
  <c r="CK58" i="14"/>
  <c r="CK151" i="14"/>
  <c r="CK190" i="14"/>
  <c r="CK162" i="14"/>
  <c r="CK147" i="14"/>
  <c r="CK186" i="14"/>
  <c r="CK197" i="14"/>
  <c r="CK69" i="14"/>
  <c r="CK20" i="14"/>
  <c r="CK172" i="14"/>
  <c r="CK168" i="14"/>
  <c r="CK39" i="14"/>
  <c r="CK40" i="14"/>
  <c r="CK49" i="14"/>
  <c r="CK45" i="14"/>
  <c r="CK41" i="14"/>
  <c r="CK47" i="14"/>
  <c r="CK51" i="14"/>
  <c r="CK42" i="14"/>
  <c r="CK46" i="14"/>
  <c r="CK50" i="14"/>
  <c r="CK43" i="14"/>
  <c r="CK36" i="14"/>
  <c r="CK44" i="14"/>
  <c r="CK37" i="14"/>
  <c r="CK38" i="14"/>
  <c r="CK48" i="14"/>
  <c r="V178" i="14"/>
  <c r="V107" i="14"/>
  <c r="V215" i="14"/>
  <c r="V16" i="14"/>
  <c r="Z142" i="14"/>
  <c r="Z115" i="14"/>
  <c r="Z223" i="14"/>
  <c r="Z160" i="14"/>
  <c r="N32" i="35"/>
  <c r="K31" i="30"/>
  <c r="J564" i="32"/>
  <c r="J32" i="35"/>
  <c r="G31" i="30"/>
  <c r="F564" i="32"/>
  <c r="M50" i="6"/>
  <c r="L116" i="11"/>
  <c r="BU152" i="14"/>
  <c r="BU156" i="14"/>
  <c r="BU58" i="14"/>
  <c r="BU203" i="14"/>
  <c r="BU56" i="14"/>
  <c r="BU164" i="14"/>
  <c r="BU60" i="14"/>
  <c r="BU207" i="14"/>
  <c r="BU163" i="14"/>
  <c r="BU185" i="14"/>
  <c r="BU66" i="14"/>
  <c r="BU155" i="14"/>
  <c r="BU63" i="14"/>
  <c r="BU28" i="14"/>
  <c r="BU29" i="14"/>
  <c r="BU25" i="14"/>
  <c r="BU202" i="14"/>
  <c r="BU146" i="14"/>
  <c r="BU210" i="14"/>
  <c r="BU30" i="14"/>
  <c r="BU168" i="14"/>
  <c r="BU190" i="14"/>
  <c r="BU149" i="14"/>
  <c r="BU204" i="14"/>
  <c r="BU18" i="14"/>
  <c r="BU188" i="14"/>
  <c r="BU20" i="14"/>
  <c r="BU151" i="14"/>
  <c r="BU177" i="14"/>
  <c r="BU144" i="14"/>
  <c r="BU165" i="14"/>
  <c r="BU187" i="14"/>
  <c r="BU162" i="14"/>
  <c r="BU153" i="14"/>
  <c r="BU166" i="14"/>
  <c r="BU26" i="14"/>
  <c r="BU183" i="14"/>
  <c r="BU209" i="14"/>
  <c r="BU208" i="14"/>
  <c r="BU182" i="14"/>
  <c r="BU192" i="14"/>
  <c r="BU191" i="14"/>
  <c r="BU69" i="14"/>
  <c r="BU147" i="14"/>
  <c r="BU194" i="14"/>
  <c r="BU53" i="14"/>
  <c r="BU32" i="14"/>
  <c r="BU31" i="14"/>
  <c r="BU184" i="14"/>
  <c r="BU176" i="14"/>
  <c r="BU17" i="14"/>
  <c r="BU59" i="14"/>
  <c r="BU171" i="14"/>
  <c r="BU143" i="14"/>
  <c r="BU61" i="14"/>
  <c r="BU27" i="14"/>
  <c r="BU172" i="14"/>
  <c r="BU158" i="14"/>
  <c r="BU68" i="14"/>
  <c r="BU71" i="14"/>
  <c r="BU173" i="14"/>
  <c r="BU65" i="14"/>
  <c r="BU199" i="14"/>
  <c r="BU197" i="14"/>
  <c r="BU57" i="14"/>
  <c r="BU22" i="14"/>
  <c r="BU175" i="14"/>
  <c r="BU174" i="14"/>
  <c r="BU179" i="14"/>
  <c r="BU54" i="14"/>
  <c r="BU64" i="14"/>
  <c r="BU21" i="14"/>
  <c r="BU19" i="14"/>
  <c r="BU211" i="14"/>
  <c r="BU180" i="14"/>
  <c r="BU161" i="14"/>
  <c r="BU24" i="14"/>
  <c r="BU186" i="14"/>
  <c r="BU62" i="14"/>
  <c r="BU157" i="14"/>
  <c r="BU189" i="14"/>
  <c r="BU213" i="14"/>
  <c r="BU148" i="14"/>
  <c r="BU170" i="14"/>
  <c r="BU167" i="14"/>
  <c r="BU150" i="14"/>
  <c r="BU35" i="14"/>
  <c r="BU181" i="14"/>
  <c r="BU212" i="14"/>
  <c r="BU23" i="14"/>
  <c r="BU67" i="14"/>
  <c r="BU198" i="14"/>
  <c r="BU154" i="14"/>
  <c r="BU55" i="14"/>
  <c r="BU205" i="14"/>
  <c r="BU159" i="14"/>
  <c r="BU33" i="14"/>
  <c r="BU169" i="14"/>
  <c r="BU145" i="14"/>
  <c r="BU193" i="14"/>
  <c r="BU200" i="14"/>
  <c r="BU195" i="14"/>
  <c r="BU40" i="14"/>
  <c r="BU39" i="14"/>
  <c r="BU42" i="14"/>
  <c r="BU49" i="14"/>
  <c r="BU45" i="14"/>
  <c r="BU41" i="14"/>
  <c r="BU47" i="14"/>
  <c r="BU50" i="14"/>
  <c r="BU43" i="14"/>
  <c r="BU46" i="14"/>
  <c r="BU51" i="14"/>
  <c r="BU37" i="14"/>
  <c r="BU36" i="14"/>
  <c r="BU44" i="14"/>
  <c r="BU38" i="14"/>
  <c r="BU48" i="14"/>
  <c r="BQ171" i="14"/>
  <c r="BQ163" i="14"/>
  <c r="BQ157" i="14"/>
  <c r="BQ19" i="14"/>
  <c r="BQ187" i="14"/>
  <c r="BQ205" i="14"/>
  <c r="BQ24" i="14"/>
  <c r="BQ53" i="14"/>
  <c r="BQ57" i="14"/>
  <c r="BQ186" i="14"/>
  <c r="BQ169" i="14"/>
  <c r="BQ20" i="14"/>
  <c r="BQ55" i="14"/>
  <c r="BQ170" i="14"/>
  <c r="BQ209" i="14"/>
  <c r="BQ200" i="14"/>
  <c r="BQ144" i="14"/>
  <c r="BQ150" i="14"/>
  <c r="BQ173" i="14"/>
  <c r="BQ31" i="14"/>
  <c r="BQ188" i="14"/>
  <c r="BQ212" i="14"/>
  <c r="BQ32" i="14"/>
  <c r="BQ177" i="14"/>
  <c r="BQ30" i="14"/>
  <c r="BQ58" i="14"/>
  <c r="BQ174" i="14"/>
  <c r="BQ22" i="14"/>
  <c r="BQ23" i="14"/>
  <c r="BQ189" i="14"/>
  <c r="BQ213" i="14"/>
  <c r="BQ211" i="14"/>
  <c r="BQ192" i="14"/>
  <c r="BQ27" i="14"/>
  <c r="BQ62" i="14"/>
  <c r="BQ181" i="14"/>
  <c r="BQ159" i="14"/>
  <c r="BQ165" i="14"/>
  <c r="BQ172" i="14"/>
  <c r="BQ164" i="14"/>
  <c r="BQ33" i="14"/>
  <c r="BQ154" i="14"/>
  <c r="BQ26" i="14"/>
  <c r="BQ193" i="14"/>
  <c r="BQ208" i="14"/>
  <c r="BQ179" i="14"/>
  <c r="BQ152" i="14"/>
  <c r="BQ185" i="14"/>
  <c r="BQ184" i="14"/>
  <c r="BQ190" i="14"/>
  <c r="BQ155" i="14"/>
  <c r="BQ143" i="14"/>
  <c r="BQ25" i="14"/>
  <c r="BQ166" i="14"/>
  <c r="BQ68" i="14"/>
  <c r="BQ151" i="14"/>
  <c r="BQ146" i="14"/>
  <c r="BQ199" i="14"/>
  <c r="BQ71" i="14"/>
  <c r="BQ180" i="14"/>
  <c r="BQ204" i="14"/>
  <c r="BQ65" i="14"/>
  <c r="BQ175" i="14"/>
  <c r="BQ176" i="14"/>
  <c r="BQ18" i="14"/>
  <c r="BQ156" i="14"/>
  <c r="BQ60" i="14"/>
  <c r="BQ64" i="14"/>
  <c r="BQ56" i="14"/>
  <c r="BQ153" i="14"/>
  <c r="BQ54" i="14"/>
  <c r="BQ66" i="14"/>
  <c r="BQ67" i="14"/>
  <c r="BQ197" i="14"/>
  <c r="BQ149" i="14"/>
  <c r="BQ69" i="14"/>
  <c r="BQ202" i="14"/>
  <c r="BQ167" i="14"/>
  <c r="BQ191" i="14"/>
  <c r="BQ29" i="14"/>
  <c r="BQ183" i="14"/>
  <c r="BQ162" i="14"/>
  <c r="BQ17" i="14"/>
  <c r="BQ35" i="14"/>
  <c r="BQ145" i="14"/>
  <c r="BQ207" i="14"/>
  <c r="BQ182" i="14"/>
  <c r="BQ148" i="14"/>
  <c r="BQ195" i="14"/>
  <c r="BQ59" i="14"/>
  <c r="BQ21" i="14"/>
  <c r="BQ198" i="14"/>
  <c r="BQ147" i="14"/>
  <c r="BQ63" i="14"/>
  <c r="BQ28" i="14"/>
  <c r="BQ61" i="14"/>
  <c r="BQ168" i="14"/>
  <c r="BQ161" i="14"/>
  <c r="BQ210" i="14"/>
  <c r="BQ194" i="14"/>
  <c r="BQ158" i="14"/>
  <c r="BQ40" i="14"/>
  <c r="BQ42" i="14"/>
  <c r="BQ49" i="14"/>
  <c r="BQ45" i="14"/>
  <c r="BQ39" i="14"/>
  <c r="BQ47" i="14"/>
  <c r="BQ43" i="14"/>
  <c r="BQ51" i="14"/>
  <c r="BQ50" i="14"/>
  <c r="BQ41" i="14"/>
  <c r="BQ46" i="14"/>
  <c r="BQ37" i="14"/>
  <c r="BQ44" i="14"/>
  <c r="BQ38" i="14"/>
  <c r="BQ48" i="14"/>
  <c r="BQ36" i="14"/>
  <c r="BM207" i="14"/>
  <c r="BM202" i="14"/>
  <c r="BM198" i="14"/>
  <c r="BM171" i="14"/>
  <c r="BM57" i="14"/>
  <c r="BM159" i="14"/>
  <c r="BM65" i="14"/>
  <c r="BM18" i="14"/>
  <c r="BM183" i="14"/>
  <c r="BM166" i="14"/>
  <c r="BM148" i="14"/>
  <c r="BM167" i="14"/>
  <c r="BM205" i="14"/>
  <c r="BM30" i="14"/>
  <c r="BM61" i="14"/>
  <c r="BM17" i="14"/>
  <c r="BM143" i="14"/>
  <c r="BM27" i="14"/>
  <c r="BM163" i="14"/>
  <c r="BM165" i="14"/>
  <c r="BM145" i="14"/>
  <c r="BM156" i="14"/>
  <c r="BM164" i="14"/>
  <c r="BM182" i="14"/>
  <c r="BM67" i="14"/>
  <c r="BM191" i="14"/>
  <c r="BM147" i="14"/>
  <c r="BM20" i="14"/>
  <c r="BM211" i="14"/>
  <c r="BM162" i="14"/>
  <c r="BM212" i="14"/>
  <c r="BM158" i="14"/>
  <c r="BM176" i="14"/>
  <c r="BM150" i="14"/>
  <c r="BM177" i="14"/>
  <c r="BM185" i="14"/>
  <c r="BM69" i="14"/>
  <c r="BM21" i="14"/>
  <c r="BM68" i="14"/>
  <c r="BM175" i="14"/>
  <c r="BM64" i="14"/>
  <c r="BM19" i="14"/>
  <c r="BM199" i="14"/>
  <c r="BM153" i="14"/>
  <c r="BM22" i="14"/>
  <c r="BM63" i="14"/>
  <c r="BM204" i="14"/>
  <c r="BM32" i="14"/>
  <c r="BM151" i="14"/>
  <c r="BM209" i="14"/>
  <c r="BM170" i="14"/>
  <c r="BM179" i="14"/>
  <c r="BM181" i="14"/>
  <c r="BM200" i="14"/>
  <c r="BM28" i="14"/>
  <c r="BM59" i="14"/>
  <c r="BM192" i="14"/>
  <c r="BM58" i="14"/>
  <c r="BM187" i="14"/>
  <c r="BM26" i="14"/>
  <c r="BM149" i="14"/>
  <c r="BM23" i="14"/>
  <c r="BM174" i="14"/>
  <c r="BM186" i="14"/>
  <c r="BM210" i="14"/>
  <c r="BM71" i="14"/>
  <c r="BM195" i="14"/>
  <c r="BM197" i="14"/>
  <c r="BM194" i="14"/>
  <c r="BM31" i="14"/>
  <c r="BM146" i="14"/>
  <c r="BM189" i="14"/>
  <c r="BM35" i="14"/>
  <c r="BM213" i="14"/>
  <c r="BM161" i="14"/>
  <c r="BM60" i="14"/>
  <c r="BM144" i="14"/>
  <c r="BM55" i="14"/>
  <c r="BM188" i="14"/>
  <c r="BM24" i="14"/>
  <c r="BM62" i="14"/>
  <c r="BM53" i="14"/>
  <c r="BM193" i="14"/>
  <c r="BM54" i="14"/>
  <c r="BM180" i="14"/>
  <c r="BM154" i="14"/>
  <c r="BM184" i="14"/>
  <c r="BM157" i="14"/>
  <c r="BM152" i="14"/>
  <c r="BM168" i="14"/>
  <c r="BM29" i="14"/>
  <c r="BM66" i="14"/>
  <c r="BM169" i="14"/>
  <c r="BM172" i="14"/>
  <c r="BM56" i="14"/>
  <c r="BM208" i="14"/>
  <c r="BM190" i="14"/>
  <c r="BM25" i="14"/>
  <c r="BM33" i="14"/>
  <c r="BM173" i="14"/>
  <c r="BM155" i="14"/>
  <c r="BM39" i="14"/>
  <c r="BM40" i="14"/>
  <c r="BM42" i="14"/>
  <c r="BM47" i="14"/>
  <c r="BM45" i="14"/>
  <c r="BM49" i="14"/>
  <c r="BM43" i="14"/>
  <c r="BM46" i="14"/>
  <c r="BM51" i="14"/>
  <c r="BM50" i="14"/>
  <c r="BM41" i="14"/>
  <c r="BM38" i="14"/>
  <c r="BM48" i="14"/>
  <c r="BM37" i="14"/>
  <c r="BM36" i="14"/>
  <c r="BM44" i="14"/>
  <c r="S107" i="14"/>
  <c r="S16" i="14"/>
  <c r="S215" i="14"/>
  <c r="S178" i="14"/>
  <c r="AA142" i="14"/>
  <c r="AA107" i="14"/>
  <c r="AA215" i="14"/>
  <c r="AA16" i="14"/>
  <c r="AA222" i="14"/>
  <c r="AA114" i="14"/>
  <c r="EO46" i="6"/>
  <c r="EK46" i="6"/>
  <c r="EG46" i="6"/>
  <c r="EC46" i="6"/>
  <c r="DY46" i="6"/>
  <c r="DU46" i="6"/>
  <c r="DQ46" i="6"/>
  <c r="DM46" i="6"/>
  <c r="DI46" i="6"/>
  <c r="DE46" i="6"/>
  <c r="DA46" i="6"/>
  <c r="CW46" i="6"/>
  <c r="CS46" i="6"/>
  <c r="CO46" i="6"/>
  <c r="CK46" i="6"/>
  <c r="CG46" i="6"/>
  <c r="CC46" i="6"/>
  <c r="BY46" i="6"/>
  <c r="BU46" i="6"/>
  <c r="BQ46" i="6"/>
  <c r="BM46" i="6"/>
  <c r="BI46" i="6"/>
  <c r="BE46" i="6"/>
  <c r="BA46" i="6"/>
  <c r="AW46" i="6"/>
  <c r="AS46" i="6"/>
  <c r="AO46" i="6"/>
  <c r="AK46" i="6"/>
  <c r="AG46" i="6"/>
  <c r="K30" i="30"/>
  <c r="K32" i="30"/>
  <c r="J563" i="32"/>
  <c r="AC46" i="6"/>
  <c r="Y46" i="6"/>
  <c r="U46" i="6"/>
  <c r="F563" i="32"/>
  <c r="G30" i="30"/>
  <c r="G32" i="30"/>
  <c r="Q46" i="6"/>
  <c r="L101" i="11"/>
  <c r="L102" i="11" s="1"/>
  <c r="M47" i="6"/>
  <c r="J100" i="11"/>
  <c r="BL180" i="14"/>
  <c r="BL20" i="14"/>
  <c r="BL187" i="14"/>
  <c r="BL35" i="14"/>
  <c r="BL18" i="14"/>
  <c r="BL213" i="14"/>
  <c r="BL182" i="14"/>
  <c r="BL171" i="14"/>
  <c r="BL153" i="14"/>
  <c r="BL25" i="14"/>
  <c r="BL167" i="14"/>
  <c r="BL156" i="14"/>
  <c r="BL68" i="14"/>
  <c r="BL60" i="14"/>
  <c r="BL54" i="14"/>
  <c r="BL173" i="14"/>
  <c r="BL24" i="14"/>
  <c r="BL192" i="14"/>
  <c r="BL155" i="14"/>
  <c r="BL56" i="14"/>
  <c r="BL17" i="14"/>
  <c r="BL28" i="14"/>
  <c r="BL202" i="14"/>
  <c r="BL204" i="14"/>
  <c r="BL191" i="14"/>
  <c r="BL30" i="14"/>
  <c r="BL211" i="14"/>
  <c r="BL61" i="14"/>
  <c r="BL63" i="14"/>
  <c r="BL26" i="14"/>
  <c r="BL161" i="14"/>
  <c r="BL210" i="14"/>
  <c r="BL58" i="14"/>
  <c r="BL175" i="14"/>
  <c r="BL199" i="14"/>
  <c r="BL32" i="14"/>
  <c r="BL144" i="14"/>
  <c r="BL143" i="14"/>
  <c r="BL205" i="14"/>
  <c r="BL57" i="14"/>
  <c r="BL152" i="14"/>
  <c r="BL145" i="14"/>
  <c r="BL181" i="14"/>
  <c r="BL170" i="14"/>
  <c r="BL154" i="14"/>
  <c r="BL31" i="14"/>
  <c r="BL147" i="14"/>
  <c r="BL22" i="14"/>
  <c r="BL198" i="14"/>
  <c r="BL53" i="14"/>
  <c r="BL189" i="14"/>
  <c r="BL195" i="14"/>
  <c r="BL185" i="14"/>
  <c r="BL59" i="14"/>
  <c r="BL19" i="14"/>
  <c r="BL67" i="14"/>
  <c r="BL166" i="14"/>
  <c r="BL179" i="14"/>
  <c r="BL176" i="14"/>
  <c r="BL188" i="14"/>
  <c r="BL33" i="14"/>
  <c r="BL27" i="14"/>
  <c r="BL148" i="14"/>
  <c r="BL151" i="14"/>
  <c r="BL190" i="14"/>
  <c r="BL146" i="14"/>
  <c r="BL200" i="14"/>
  <c r="BL71" i="14"/>
  <c r="BL172" i="14"/>
  <c r="BL168" i="14"/>
  <c r="BL62" i="14"/>
  <c r="BL55" i="14"/>
  <c r="BL209" i="14"/>
  <c r="BL177" i="14"/>
  <c r="BL208" i="14"/>
  <c r="BL157" i="14"/>
  <c r="BL197" i="14"/>
  <c r="BL66" i="14"/>
  <c r="BL207" i="14"/>
  <c r="BL165" i="14"/>
  <c r="BL64" i="14"/>
  <c r="BL29" i="14"/>
  <c r="BL158" i="14"/>
  <c r="BL194" i="14"/>
  <c r="BL21" i="14"/>
  <c r="BL183" i="14"/>
  <c r="BL164" i="14"/>
  <c r="BL23" i="14"/>
  <c r="BL149" i="14"/>
  <c r="BL162" i="14"/>
  <c r="BL186" i="14"/>
  <c r="BL193" i="14"/>
  <c r="BL65" i="14"/>
  <c r="BL69" i="14"/>
  <c r="BL163" i="14"/>
  <c r="BL159" i="14"/>
  <c r="BL174" i="14"/>
  <c r="BL184" i="14"/>
  <c r="BL150" i="14"/>
  <c r="BL169" i="14"/>
  <c r="BL212" i="14"/>
  <c r="BL39" i="14"/>
  <c r="BL40" i="14"/>
  <c r="BL49" i="14"/>
  <c r="BL45" i="14"/>
  <c r="BL47" i="14"/>
  <c r="BL41" i="14"/>
  <c r="BL50" i="14"/>
  <c r="BL42" i="14"/>
  <c r="BL43" i="14"/>
  <c r="BL51" i="14"/>
  <c r="BL46" i="14"/>
  <c r="BL36" i="14"/>
  <c r="BL44" i="14"/>
  <c r="BL38" i="14"/>
  <c r="BL37" i="14"/>
  <c r="BL48" i="14"/>
  <c r="BH69" i="14"/>
  <c r="BH145" i="14"/>
  <c r="BH175" i="14"/>
  <c r="BH173" i="14"/>
  <c r="BH58" i="14"/>
  <c r="BH60" i="14"/>
  <c r="BH156" i="14"/>
  <c r="BH170" i="14"/>
  <c r="BH161" i="14"/>
  <c r="BH166" i="14"/>
  <c r="BH21" i="14"/>
  <c r="BH179" i="14"/>
  <c r="BH163" i="14"/>
  <c r="BH30" i="14"/>
  <c r="BH61" i="14"/>
  <c r="BH146" i="14"/>
  <c r="BH184" i="14"/>
  <c r="BH152" i="14"/>
  <c r="BH149" i="14"/>
  <c r="BH177" i="14"/>
  <c r="BH207" i="14"/>
  <c r="BH55" i="14"/>
  <c r="BH181" i="14"/>
  <c r="BH53" i="14"/>
  <c r="BH204" i="14"/>
  <c r="BH176" i="14"/>
  <c r="BH62" i="14"/>
  <c r="BH148" i="14"/>
  <c r="BH26" i="14"/>
  <c r="BH209" i="14"/>
  <c r="BH186" i="14"/>
  <c r="BH24" i="14"/>
  <c r="BH190" i="14"/>
  <c r="BH18" i="14"/>
  <c r="BH213" i="14"/>
  <c r="BH71" i="14"/>
  <c r="BH66" i="14"/>
  <c r="BH33" i="14"/>
  <c r="BH200" i="14"/>
  <c r="BH191" i="14"/>
  <c r="BH168" i="14"/>
  <c r="BH143" i="14"/>
  <c r="BH23" i="14"/>
  <c r="BH202" i="14"/>
  <c r="BH212" i="14"/>
  <c r="BH182" i="14"/>
  <c r="BH29" i="14"/>
  <c r="BH17" i="14"/>
  <c r="BH19" i="14"/>
  <c r="BH155" i="14"/>
  <c r="BH199" i="14"/>
  <c r="BH54" i="14"/>
  <c r="BH183" i="14"/>
  <c r="BH192" i="14"/>
  <c r="BH28" i="14"/>
  <c r="BH208" i="14"/>
  <c r="BH147" i="14"/>
  <c r="BH144" i="14"/>
  <c r="BH194" i="14"/>
  <c r="BH187" i="14"/>
  <c r="BH22" i="14"/>
  <c r="BH171" i="14"/>
  <c r="BH188" i="14"/>
  <c r="BH197" i="14"/>
  <c r="BH189" i="14"/>
  <c r="BH59" i="14"/>
  <c r="BH185" i="14"/>
  <c r="BH198" i="14"/>
  <c r="BH35" i="14"/>
  <c r="BH32" i="14"/>
  <c r="BH150" i="14"/>
  <c r="BH195" i="14"/>
  <c r="BH211" i="14"/>
  <c r="BH172" i="14"/>
  <c r="BH57" i="14"/>
  <c r="BH162" i="14"/>
  <c r="BH193" i="14"/>
  <c r="BH68" i="14"/>
  <c r="BH157" i="14"/>
  <c r="BH65" i="14"/>
  <c r="BH31" i="14"/>
  <c r="BH64" i="14"/>
  <c r="BH164" i="14"/>
  <c r="BH151" i="14"/>
  <c r="BH180" i="14"/>
  <c r="BH167" i="14"/>
  <c r="BH154" i="14"/>
  <c r="BH63" i="14"/>
  <c r="BH20" i="14"/>
  <c r="BH56" i="14"/>
  <c r="BH165" i="14"/>
  <c r="BH174" i="14"/>
  <c r="BH25" i="14"/>
  <c r="BH153" i="14"/>
  <c r="BH159" i="14"/>
  <c r="BH158" i="14"/>
  <c r="BH169" i="14"/>
  <c r="BH27" i="14"/>
  <c r="BH67" i="14"/>
  <c r="BH210" i="14"/>
  <c r="BH205" i="14"/>
  <c r="BH40" i="14"/>
  <c r="BH49" i="14"/>
  <c r="BH39" i="14"/>
  <c r="BH45" i="14"/>
  <c r="BH47" i="14"/>
  <c r="BH42" i="14"/>
  <c r="BH41" i="14"/>
  <c r="BH51" i="14"/>
  <c r="BH43" i="14"/>
  <c r="BH46" i="14"/>
  <c r="BH50" i="14"/>
  <c r="BH38" i="14"/>
  <c r="BH37" i="14"/>
  <c r="BH44" i="14"/>
  <c r="BH36" i="14"/>
  <c r="BH48" i="14"/>
  <c r="BD185" i="14"/>
  <c r="BD202" i="14"/>
  <c r="BD172" i="14"/>
  <c r="BD175" i="14"/>
  <c r="BD64" i="14"/>
  <c r="BD17" i="14"/>
  <c r="BD193" i="14"/>
  <c r="BD66" i="14"/>
  <c r="BD189" i="14"/>
  <c r="BD31" i="14"/>
  <c r="BD25" i="14"/>
  <c r="BD205" i="14"/>
  <c r="BD153" i="14"/>
  <c r="BD166" i="14"/>
  <c r="BD162" i="14"/>
  <c r="BD23" i="14"/>
  <c r="BD35" i="14"/>
  <c r="BD27" i="14"/>
  <c r="BD212" i="14"/>
  <c r="BD198" i="14"/>
  <c r="BD168" i="14"/>
  <c r="BD145" i="14"/>
  <c r="BD53" i="14"/>
  <c r="BD26" i="14"/>
  <c r="BD167" i="14"/>
  <c r="BD62" i="14"/>
  <c r="BD177" i="14"/>
  <c r="BD164" i="14"/>
  <c r="BD204" i="14"/>
  <c r="BD60" i="14"/>
  <c r="BD148" i="14"/>
  <c r="BD184" i="14"/>
  <c r="BD213" i="14"/>
  <c r="BD155" i="14"/>
  <c r="BD24" i="14"/>
  <c r="BD183" i="14"/>
  <c r="BD169" i="14"/>
  <c r="BD63" i="14"/>
  <c r="BD190" i="14"/>
  <c r="BD143" i="14"/>
  <c r="BD170" i="14"/>
  <c r="BD59" i="14"/>
  <c r="BD157" i="14"/>
  <c r="BD194" i="14"/>
  <c r="BD67" i="14"/>
  <c r="BD195" i="14"/>
  <c r="BD18" i="14"/>
  <c r="BD182" i="14"/>
  <c r="BD152" i="14"/>
  <c r="BD174" i="14"/>
  <c r="BD21" i="14"/>
  <c r="BD159" i="14"/>
  <c r="BD68" i="14"/>
  <c r="BD208" i="14"/>
  <c r="BD171" i="14"/>
  <c r="BD163" i="14"/>
  <c r="BD33" i="14"/>
  <c r="BD197" i="14"/>
  <c r="BD65" i="14"/>
  <c r="BD200" i="14"/>
  <c r="BD179" i="14"/>
  <c r="BD191" i="14"/>
  <c r="BD19" i="14"/>
  <c r="BD207" i="14"/>
  <c r="BD32" i="14"/>
  <c r="BD146" i="14"/>
  <c r="BD58" i="14"/>
  <c r="BD181" i="14"/>
  <c r="BD173" i="14"/>
  <c r="BD144" i="14"/>
  <c r="BD20" i="14"/>
  <c r="BD149" i="14"/>
  <c r="BD30" i="14"/>
  <c r="BD209" i="14"/>
  <c r="BD69" i="14"/>
  <c r="BD61" i="14"/>
  <c r="BD56" i="14"/>
  <c r="BD154" i="14"/>
  <c r="BD186" i="14"/>
  <c r="BD28" i="14"/>
  <c r="BD187" i="14"/>
  <c r="BD29" i="14"/>
  <c r="BD156" i="14"/>
  <c r="BD180" i="14"/>
  <c r="BD54" i="14"/>
  <c r="BD151" i="14"/>
  <c r="BD71" i="14"/>
  <c r="BD55" i="14"/>
  <c r="BD22" i="14"/>
  <c r="BD57" i="14"/>
  <c r="BD199" i="14"/>
  <c r="BD161" i="14"/>
  <c r="BD150" i="14"/>
  <c r="BD210" i="14"/>
  <c r="BD158" i="14"/>
  <c r="BD176" i="14"/>
  <c r="BD211" i="14"/>
  <c r="BD147" i="14"/>
  <c r="BD165" i="14"/>
  <c r="BD192" i="14"/>
  <c r="BD188" i="14"/>
  <c r="BD39" i="14"/>
  <c r="BD40" i="14"/>
  <c r="BD45" i="14"/>
  <c r="BD42" i="14"/>
  <c r="BD49" i="14"/>
  <c r="BD47" i="14"/>
  <c r="BD41" i="14"/>
  <c r="BD43" i="14"/>
  <c r="BD46" i="14"/>
  <c r="BD51" i="14"/>
  <c r="BD50" i="14"/>
  <c r="BD37" i="14"/>
  <c r="BD36" i="14"/>
  <c r="BD38" i="14"/>
  <c r="BD48" i="14"/>
  <c r="BD44" i="14"/>
  <c r="W108" i="14"/>
  <c r="W216" i="14"/>
  <c r="W231" i="14"/>
  <c r="W123" i="14"/>
  <c r="W111" i="14"/>
  <c r="W219" i="14"/>
  <c r="U215" i="14"/>
  <c r="U107" i="14"/>
  <c r="U16" i="14"/>
  <c r="L465" i="32"/>
  <c r="C464" i="32"/>
  <c r="D464" i="32" s="1"/>
  <c r="E464" i="32" s="1"/>
  <c r="F464" i="32" s="1"/>
  <c r="G464" i="32" s="1"/>
  <c r="H464" i="32" s="1"/>
  <c r="I464" i="32" s="1"/>
  <c r="J464" i="32" s="1"/>
  <c r="EE180" i="14"/>
  <c r="EE64" i="14"/>
  <c r="EE207" i="14"/>
  <c r="EE169" i="14"/>
  <c r="EE20" i="14"/>
  <c r="EE152" i="14"/>
  <c r="EE175" i="14"/>
  <c r="EE19" i="14"/>
  <c r="EE161" i="14"/>
  <c r="EE25" i="14"/>
  <c r="EE168" i="14"/>
  <c r="EE163" i="14"/>
  <c r="EE172" i="14"/>
  <c r="EE191" i="14"/>
  <c r="EE208" i="14"/>
  <c r="EE197" i="14"/>
  <c r="EE159" i="14"/>
  <c r="EE195" i="14"/>
  <c r="EE209" i="14"/>
  <c r="EE149" i="14"/>
  <c r="EE69" i="14"/>
  <c r="EE67" i="14"/>
  <c r="EE58" i="14"/>
  <c r="EE17" i="14"/>
  <c r="EE182" i="14"/>
  <c r="EE21" i="14"/>
  <c r="EE173" i="14"/>
  <c r="EE144" i="14"/>
  <c r="EE61" i="14"/>
  <c r="EE29" i="14"/>
  <c r="EE62" i="14"/>
  <c r="EE24" i="14"/>
  <c r="EE165" i="14"/>
  <c r="EE148" i="14"/>
  <c r="EE65" i="14"/>
  <c r="EE194" i="14"/>
  <c r="EE183" i="14"/>
  <c r="EE190" i="14"/>
  <c r="EE151" i="14"/>
  <c r="EE33" i="14"/>
  <c r="EE213" i="14"/>
  <c r="EE167" i="14"/>
  <c r="EE35" i="14"/>
  <c r="EE189" i="14"/>
  <c r="EE166" i="14"/>
  <c r="EE164" i="14"/>
  <c r="EE30" i="14"/>
  <c r="EE66" i="14"/>
  <c r="EE205" i="14"/>
  <c r="EE22" i="14"/>
  <c r="EE32" i="14"/>
  <c r="EE147" i="14"/>
  <c r="EE177" i="14"/>
  <c r="EE211" i="14"/>
  <c r="EE55" i="14"/>
  <c r="EE150" i="14"/>
  <c r="EE186" i="14"/>
  <c r="EE187" i="14"/>
  <c r="EE54" i="14"/>
  <c r="EE27" i="14"/>
  <c r="EE162" i="14"/>
  <c r="EE57" i="14"/>
  <c r="EE155" i="14"/>
  <c r="EE63" i="14"/>
  <c r="EE71" i="14"/>
  <c r="EE184" i="14"/>
  <c r="EE18" i="14"/>
  <c r="EE212" i="14"/>
  <c r="EE193" i="14"/>
  <c r="EE192" i="14"/>
  <c r="EE59" i="14"/>
  <c r="EE181" i="14"/>
  <c r="EE202" i="14"/>
  <c r="EE146" i="14"/>
  <c r="EE157" i="14"/>
  <c r="EE143" i="14"/>
  <c r="EE68" i="14"/>
  <c r="EE60" i="14"/>
  <c r="EE199" i="14"/>
  <c r="EE200" i="14"/>
  <c r="EE154" i="14"/>
  <c r="EE28" i="14"/>
  <c r="EE171" i="14"/>
  <c r="EE176" i="14"/>
  <c r="EE145" i="14"/>
  <c r="EE156" i="14"/>
  <c r="EE179" i="14"/>
  <c r="EE158" i="14"/>
  <c r="EE210" i="14"/>
  <c r="EE23" i="14"/>
  <c r="EE53" i="14"/>
  <c r="EE204" i="14"/>
  <c r="EE31" i="14"/>
  <c r="EE198" i="14"/>
  <c r="EE26" i="14"/>
  <c r="EE174" i="14"/>
  <c r="EE188" i="14"/>
  <c r="EE56" i="14"/>
  <c r="EE170" i="14"/>
  <c r="EE153" i="14"/>
  <c r="EE185" i="14"/>
  <c r="EE40" i="14"/>
  <c r="EE49" i="14"/>
  <c r="EE47" i="14"/>
  <c r="EE39" i="14"/>
  <c r="EE45" i="14"/>
  <c r="EE42" i="14"/>
  <c r="EE51" i="14"/>
  <c r="EE50" i="14"/>
  <c r="EE41" i="14"/>
  <c r="EE43" i="14"/>
  <c r="EE46" i="14"/>
  <c r="EE48" i="14"/>
  <c r="EE37" i="14"/>
  <c r="EE36" i="14"/>
  <c r="EE38" i="14"/>
  <c r="EE44" i="14"/>
  <c r="EA204" i="14"/>
  <c r="EA71" i="14"/>
  <c r="EA200" i="14"/>
  <c r="EA35" i="14"/>
  <c r="EA62" i="14"/>
  <c r="EA198" i="14"/>
  <c r="EA197" i="14"/>
  <c r="EA166" i="14"/>
  <c r="EA29" i="14"/>
  <c r="EA213" i="14"/>
  <c r="EA172" i="14"/>
  <c r="EA67" i="14"/>
  <c r="EA169" i="14"/>
  <c r="EA189" i="14"/>
  <c r="EA21" i="14"/>
  <c r="EA211" i="14"/>
  <c r="EA27" i="14"/>
  <c r="EA26" i="14"/>
  <c r="EA183" i="14"/>
  <c r="EA170" i="14"/>
  <c r="EA153" i="14"/>
  <c r="EA157" i="14"/>
  <c r="EA55" i="14"/>
  <c r="EA165" i="14"/>
  <c r="EA145" i="14"/>
  <c r="EA181" i="14"/>
  <c r="EA31" i="14"/>
  <c r="EA20" i="14"/>
  <c r="EA23" i="14"/>
  <c r="EA25" i="14"/>
  <c r="EA164" i="14"/>
  <c r="EA163" i="14"/>
  <c r="EA56" i="14"/>
  <c r="EA210" i="14"/>
  <c r="EA64" i="14"/>
  <c r="EA207" i="14"/>
  <c r="EA173" i="14"/>
  <c r="EA24" i="14"/>
  <c r="EA167" i="14"/>
  <c r="EA144" i="14"/>
  <c r="EA68" i="14"/>
  <c r="EA209" i="14"/>
  <c r="EA205" i="14"/>
  <c r="EA187" i="14"/>
  <c r="EA186" i="14"/>
  <c r="EA184" i="14"/>
  <c r="EA32" i="14"/>
  <c r="EA190" i="14"/>
  <c r="EA195" i="14"/>
  <c r="EA150" i="14"/>
  <c r="EA212" i="14"/>
  <c r="EA54" i="14"/>
  <c r="EA208" i="14"/>
  <c r="EA65" i="14"/>
  <c r="EA33" i="14"/>
  <c r="EA168" i="14"/>
  <c r="EA158" i="14"/>
  <c r="EA53" i="14"/>
  <c r="EA159" i="14"/>
  <c r="EA61" i="14"/>
  <c r="EA176" i="14"/>
  <c r="EA179" i="14"/>
  <c r="EA149" i="14"/>
  <c r="EA30" i="14"/>
  <c r="EA17" i="14"/>
  <c r="EA188" i="14"/>
  <c r="EA151" i="14"/>
  <c r="EA199" i="14"/>
  <c r="EA185" i="14"/>
  <c r="EA19" i="14"/>
  <c r="EA22" i="14"/>
  <c r="EA63" i="14"/>
  <c r="EA171" i="14"/>
  <c r="EA155" i="14"/>
  <c r="EA58" i="14"/>
  <c r="EA174" i="14"/>
  <c r="EA148" i="14"/>
  <c r="EA69" i="14"/>
  <c r="EA191" i="14"/>
  <c r="EA143" i="14"/>
  <c r="EA156" i="14"/>
  <c r="EA175" i="14"/>
  <c r="EA202" i="14"/>
  <c r="EA194" i="14"/>
  <c r="EA180" i="14"/>
  <c r="EA66" i="14"/>
  <c r="EA193" i="14"/>
  <c r="EA161" i="14"/>
  <c r="EA146" i="14"/>
  <c r="EA147" i="14"/>
  <c r="EA162" i="14"/>
  <c r="EA152" i="14"/>
  <c r="EA60" i="14"/>
  <c r="EA154" i="14"/>
  <c r="EA182" i="14"/>
  <c r="EA192" i="14"/>
  <c r="EA18" i="14"/>
  <c r="EA28" i="14"/>
  <c r="EA177" i="14"/>
  <c r="EA57" i="14"/>
  <c r="EA59" i="14"/>
  <c r="EA39" i="14"/>
  <c r="EA40" i="14"/>
  <c r="EA45" i="14"/>
  <c r="EA42" i="14"/>
  <c r="EA49" i="14"/>
  <c r="EA43" i="14"/>
  <c r="EA46" i="14"/>
  <c r="EA47" i="14"/>
  <c r="EA41" i="14"/>
  <c r="EA51" i="14"/>
  <c r="EA50" i="14"/>
  <c r="EA38" i="14"/>
  <c r="EA36" i="14"/>
  <c r="EA44" i="14"/>
  <c r="EA37" i="14"/>
  <c r="EA48" i="14"/>
  <c r="DW18" i="14"/>
  <c r="DW63" i="14"/>
  <c r="DW169" i="14"/>
  <c r="DW161" i="14"/>
  <c r="DW153" i="14"/>
  <c r="DW65" i="14"/>
  <c r="DW28" i="14"/>
  <c r="DW202" i="14"/>
  <c r="DW171" i="14"/>
  <c r="DW172" i="14"/>
  <c r="DW192" i="14"/>
  <c r="DW33" i="14"/>
  <c r="DW199" i="14"/>
  <c r="DW56" i="14"/>
  <c r="DW19" i="14"/>
  <c r="DW26" i="14"/>
  <c r="DW205" i="14"/>
  <c r="DW149" i="14"/>
  <c r="DW158" i="14"/>
  <c r="DW24" i="14"/>
  <c r="DW190" i="14"/>
  <c r="DW21" i="14"/>
  <c r="DW147" i="14"/>
  <c r="DW64" i="14"/>
  <c r="DW174" i="14"/>
  <c r="DW20" i="14"/>
  <c r="DW162" i="14"/>
  <c r="DW203" i="14"/>
  <c r="DW148" i="14"/>
  <c r="DW145" i="14"/>
  <c r="DW179" i="14"/>
  <c r="DW212" i="14"/>
  <c r="DW27" i="14"/>
  <c r="DW150" i="14"/>
  <c r="DW151" i="14"/>
  <c r="DW152" i="14"/>
  <c r="DW156" i="14"/>
  <c r="DW181" i="14"/>
  <c r="DW144" i="14"/>
  <c r="DW59" i="14"/>
  <c r="DW22" i="14"/>
  <c r="DW166" i="14"/>
  <c r="DW207" i="14"/>
  <c r="DW180" i="14"/>
  <c r="DW165" i="14"/>
  <c r="DW209" i="14"/>
  <c r="DW143" i="14"/>
  <c r="DW188" i="14"/>
  <c r="DW57" i="14"/>
  <c r="DW163" i="14"/>
  <c r="DW35" i="14"/>
  <c r="DW182" i="14"/>
  <c r="DW168" i="14"/>
  <c r="DW155" i="14"/>
  <c r="DW191" i="14"/>
  <c r="DW25" i="14"/>
  <c r="DW60" i="14"/>
  <c r="DW187" i="14"/>
  <c r="DW32" i="14"/>
  <c r="DW67" i="14"/>
  <c r="DW55" i="14"/>
  <c r="DW200" i="14"/>
  <c r="DW197" i="14"/>
  <c r="DW213" i="14"/>
  <c r="DW208" i="14"/>
  <c r="DW177" i="14"/>
  <c r="DW58" i="14"/>
  <c r="DW211" i="14"/>
  <c r="DW69" i="14"/>
  <c r="DW157" i="14"/>
  <c r="DW68" i="14"/>
  <c r="DW210" i="14"/>
  <c r="DW31" i="14"/>
  <c r="DW71" i="14"/>
  <c r="DW159" i="14"/>
  <c r="DW164" i="14"/>
  <c r="DW17" i="14"/>
  <c r="DW175" i="14"/>
  <c r="DW193" i="14"/>
  <c r="DW54" i="14"/>
  <c r="DW167" i="14"/>
  <c r="DW66" i="14"/>
  <c r="DW61" i="14"/>
  <c r="DW195" i="14"/>
  <c r="DW198" i="14"/>
  <c r="DW176" i="14"/>
  <c r="DW170" i="14"/>
  <c r="DW184" i="14"/>
  <c r="DW186" i="14"/>
  <c r="DW194" i="14"/>
  <c r="DW183" i="14"/>
  <c r="DW146" i="14"/>
  <c r="DW29" i="14"/>
  <c r="DW53" i="14"/>
  <c r="DW62" i="14"/>
  <c r="DW189" i="14"/>
  <c r="DW204" i="14"/>
  <c r="DW185" i="14"/>
  <c r="DW173" i="14"/>
  <c r="DW154" i="14"/>
  <c r="DW23" i="14"/>
  <c r="DW30" i="14"/>
  <c r="DW40" i="14"/>
  <c r="DW39" i="14"/>
  <c r="DW49" i="14"/>
  <c r="DW45" i="14"/>
  <c r="DW42" i="14"/>
  <c r="DW47" i="14"/>
  <c r="DW51" i="14"/>
  <c r="DW41" i="14"/>
  <c r="DW43" i="14"/>
  <c r="DW46" i="14"/>
  <c r="DW38" i="14"/>
  <c r="DW37" i="14"/>
  <c r="DW50" i="14"/>
  <c r="DW36" i="14"/>
  <c r="DW44" i="14"/>
  <c r="DW48" i="14"/>
  <c r="CV198" i="14"/>
  <c r="CV183" i="14"/>
  <c r="CV153" i="14"/>
  <c r="CV197" i="14"/>
  <c r="CV176" i="14"/>
  <c r="CV22" i="14"/>
  <c r="CV210" i="14"/>
  <c r="CV71" i="14"/>
  <c r="CV154" i="14"/>
  <c r="CV145" i="14"/>
  <c r="CV63" i="14"/>
  <c r="CV213" i="14"/>
  <c r="CV204" i="14"/>
  <c r="CV143" i="14"/>
  <c r="CV179" i="14"/>
  <c r="CV212" i="14"/>
  <c r="CV207" i="14"/>
  <c r="CV68" i="14"/>
  <c r="CV192" i="14"/>
  <c r="CV162" i="14"/>
  <c r="CV33" i="14"/>
  <c r="CV191" i="14"/>
  <c r="CV157" i="14"/>
  <c r="CV188" i="14"/>
  <c r="CV53" i="14"/>
  <c r="CV66" i="14"/>
  <c r="CV17" i="14"/>
  <c r="CV55" i="14"/>
  <c r="CV65" i="14"/>
  <c r="CV190" i="14"/>
  <c r="CV177" i="14"/>
  <c r="CV161" i="14"/>
  <c r="CV31" i="14"/>
  <c r="CV57" i="14"/>
  <c r="CV184" i="14"/>
  <c r="CV148" i="14"/>
  <c r="CV61" i="14"/>
  <c r="CV186" i="14"/>
  <c r="CV172" i="14"/>
  <c r="CV209" i="14"/>
  <c r="CV208" i="14"/>
  <c r="CV168" i="14"/>
  <c r="CV35" i="14"/>
  <c r="CV180" i="14"/>
  <c r="CV144" i="14"/>
  <c r="CV20" i="14"/>
  <c r="CV187" i="14"/>
  <c r="CV24" i="14"/>
  <c r="CV171" i="14"/>
  <c r="CV23" i="14"/>
  <c r="CV155" i="14"/>
  <c r="CV166" i="14"/>
  <c r="CV147" i="14"/>
  <c r="CV60" i="14"/>
  <c r="CV69" i="14"/>
  <c r="CV21" i="14"/>
  <c r="CV25" i="14"/>
  <c r="CV211" i="14"/>
  <c r="CV54" i="14"/>
  <c r="CV158" i="14"/>
  <c r="CV19" i="14"/>
  <c r="CV164" i="14"/>
  <c r="CV194" i="14"/>
  <c r="CV182" i="14"/>
  <c r="CV30" i="14"/>
  <c r="CV173" i="14"/>
  <c r="CV200" i="14"/>
  <c r="CV193" i="14"/>
  <c r="CV181" i="14"/>
  <c r="CV175" i="14"/>
  <c r="CV195" i="14"/>
  <c r="CV149" i="14"/>
  <c r="CV59" i="14"/>
  <c r="CV185" i="14"/>
  <c r="CV174" i="14"/>
  <c r="CV28" i="14"/>
  <c r="CV27" i="14"/>
  <c r="CV202" i="14"/>
  <c r="CV152" i="14"/>
  <c r="CV67" i="14"/>
  <c r="CV205" i="14"/>
  <c r="CV151" i="14"/>
  <c r="CV170" i="14"/>
  <c r="CV169" i="14"/>
  <c r="CV199" i="14"/>
  <c r="CV62" i="14"/>
  <c r="CV56" i="14"/>
  <c r="CV189" i="14"/>
  <c r="CV163" i="14"/>
  <c r="CV18" i="14"/>
  <c r="CV26" i="14"/>
  <c r="CV58" i="14"/>
  <c r="CV167" i="14"/>
  <c r="CV29" i="14"/>
  <c r="CV156" i="14"/>
  <c r="CV150" i="14"/>
  <c r="CV64" i="14"/>
  <c r="CV146" i="14"/>
  <c r="CV165" i="14"/>
  <c r="CV32" i="14"/>
  <c r="CV159" i="14"/>
  <c r="CV40" i="14"/>
  <c r="CV39" i="14"/>
  <c r="CV45" i="14"/>
  <c r="CV49" i="14"/>
  <c r="CV42" i="14"/>
  <c r="CV47" i="14"/>
  <c r="CV46" i="14"/>
  <c r="CV43" i="14"/>
  <c r="CV41" i="14"/>
  <c r="CV51" i="14"/>
  <c r="CV37" i="14"/>
  <c r="CV36" i="14"/>
  <c r="CV50" i="14"/>
  <c r="CV44" i="14"/>
  <c r="CV38" i="14"/>
  <c r="CV48" i="14"/>
  <c r="CR18" i="14"/>
  <c r="CR145" i="14"/>
  <c r="CR201" i="14"/>
  <c r="CR165" i="14"/>
  <c r="CR169" i="14"/>
  <c r="CR28" i="14"/>
  <c r="CR168" i="14"/>
  <c r="CR71" i="14"/>
  <c r="CR171" i="14"/>
  <c r="CR212" i="14"/>
  <c r="CR68" i="14"/>
  <c r="CR174" i="14"/>
  <c r="CR185" i="14"/>
  <c r="CR64" i="14"/>
  <c r="CR207" i="14"/>
  <c r="CR189" i="14"/>
  <c r="CR24" i="14"/>
  <c r="CR147" i="14"/>
  <c r="CR153" i="14"/>
  <c r="CR157" i="14"/>
  <c r="CR170" i="14"/>
  <c r="CR156" i="14"/>
  <c r="CR151" i="14"/>
  <c r="CR209" i="14"/>
  <c r="CR31" i="14"/>
  <c r="CR23" i="14"/>
  <c r="CR25" i="14"/>
  <c r="CR155" i="14"/>
  <c r="CR191" i="14"/>
  <c r="CR62" i="14"/>
  <c r="CR59" i="14"/>
  <c r="CR194" i="14"/>
  <c r="CR67" i="14"/>
  <c r="CR21" i="14"/>
  <c r="CR55" i="14"/>
  <c r="CR193" i="14"/>
  <c r="CR19" i="14"/>
  <c r="CR181" i="14"/>
  <c r="CR56" i="14"/>
  <c r="CR66" i="14"/>
  <c r="CR146" i="14"/>
  <c r="CR198" i="14"/>
  <c r="CR29" i="14"/>
  <c r="CR192" i="14"/>
  <c r="CR154" i="14"/>
  <c r="CR204" i="14"/>
  <c r="CR149" i="14"/>
  <c r="CR197" i="14"/>
  <c r="CR183" i="14"/>
  <c r="CR22" i="14"/>
  <c r="CR187" i="14"/>
  <c r="CR163" i="14"/>
  <c r="CR144" i="14"/>
  <c r="CR17" i="14"/>
  <c r="CR205" i="14"/>
  <c r="CR53" i="14"/>
  <c r="CR20" i="14"/>
  <c r="CR210" i="14"/>
  <c r="CR202" i="14"/>
  <c r="CR186" i="14"/>
  <c r="CR58" i="14"/>
  <c r="CR190" i="14"/>
  <c r="CR65" i="14"/>
  <c r="CR60" i="14"/>
  <c r="CR61" i="14"/>
  <c r="CR200" i="14"/>
  <c r="CR54" i="14"/>
  <c r="CR32" i="14"/>
  <c r="CR167" i="14"/>
  <c r="CR161" i="14"/>
  <c r="CR195" i="14"/>
  <c r="CR159" i="14"/>
  <c r="CR27" i="14"/>
  <c r="CR152" i="14"/>
  <c r="CR26" i="14"/>
  <c r="CR150" i="14"/>
  <c r="CR208" i="14"/>
  <c r="CR33" i="14"/>
  <c r="CR148" i="14"/>
  <c r="CR188" i="14"/>
  <c r="CR173" i="14"/>
  <c r="CR166" i="14"/>
  <c r="CR176" i="14"/>
  <c r="CR143" i="14"/>
  <c r="CR177" i="14"/>
  <c r="CR172" i="14"/>
  <c r="CR211" i="14"/>
  <c r="CR199" i="14"/>
  <c r="CR63" i="14"/>
  <c r="CR162" i="14"/>
  <c r="CR184" i="14"/>
  <c r="CR164" i="14"/>
  <c r="CR180" i="14"/>
  <c r="CR213" i="14"/>
  <c r="CR175" i="14"/>
  <c r="CR57" i="14"/>
  <c r="CR35" i="14"/>
  <c r="CR158" i="14"/>
  <c r="CR30" i="14"/>
  <c r="CR69" i="14"/>
  <c r="CR182" i="14"/>
  <c r="CR179" i="14"/>
  <c r="CR39" i="14"/>
  <c r="CR40" i="14"/>
  <c r="CR49" i="14"/>
  <c r="CR41" i="14"/>
  <c r="CR45" i="14"/>
  <c r="CR42" i="14"/>
  <c r="CR47" i="14"/>
  <c r="CR51" i="14"/>
  <c r="CR50" i="14"/>
  <c r="CR43" i="14"/>
  <c r="CR46" i="14"/>
  <c r="CR37" i="14"/>
  <c r="CR38" i="14"/>
  <c r="CR36" i="14"/>
  <c r="CR44" i="14"/>
  <c r="CR48" i="14"/>
  <c r="CN33" i="14"/>
  <c r="CN154" i="14"/>
  <c r="CN155" i="14"/>
  <c r="CN153" i="14"/>
  <c r="CN213" i="14"/>
  <c r="CN180" i="14"/>
  <c r="CN177" i="14"/>
  <c r="CN55" i="14"/>
  <c r="CN189" i="14"/>
  <c r="CN179" i="14"/>
  <c r="CN184" i="14"/>
  <c r="CN204" i="14"/>
  <c r="CN167" i="14"/>
  <c r="CN56" i="14"/>
  <c r="CN145" i="14"/>
  <c r="CN146" i="14"/>
  <c r="CN65" i="14"/>
  <c r="CN208" i="14"/>
  <c r="CN157" i="14"/>
  <c r="CN28" i="14"/>
  <c r="CN18" i="14"/>
  <c r="CN20" i="14"/>
  <c r="CN202" i="14"/>
  <c r="CN199" i="14"/>
  <c r="CN170" i="14"/>
  <c r="CN175" i="14"/>
  <c r="CN27" i="14"/>
  <c r="CN182" i="14"/>
  <c r="CN198" i="14"/>
  <c r="CN197" i="14"/>
  <c r="CN192" i="14"/>
  <c r="CN165" i="14"/>
  <c r="CN191" i="14"/>
  <c r="CN205" i="14"/>
  <c r="CN149" i="14"/>
  <c r="CN166" i="14"/>
  <c r="CN24" i="14"/>
  <c r="CN159" i="14"/>
  <c r="CN161" i="14"/>
  <c r="CN183" i="14"/>
  <c r="CN23" i="14"/>
  <c r="CN64" i="14"/>
  <c r="CN152" i="14"/>
  <c r="CN195" i="14"/>
  <c r="CN151" i="14"/>
  <c r="CN173" i="14"/>
  <c r="CN172" i="14"/>
  <c r="CN68" i="14"/>
  <c r="CN190" i="14"/>
  <c r="CN168" i="14"/>
  <c r="CN163" i="14"/>
  <c r="CN54" i="14"/>
  <c r="CN22" i="14"/>
  <c r="CN66" i="14"/>
  <c r="CN29" i="14"/>
  <c r="CN19" i="14"/>
  <c r="CN188" i="14"/>
  <c r="CN164" i="14"/>
  <c r="CN31" i="14"/>
  <c r="CN62" i="14"/>
  <c r="CN200" i="14"/>
  <c r="CN150" i="14"/>
  <c r="CN169" i="14"/>
  <c r="CN63" i="14"/>
  <c r="CN30" i="14"/>
  <c r="CN25" i="14"/>
  <c r="CN35" i="14"/>
  <c r="CN181" i="14"/>
  <c r="CN67" i="14"/>
  <c r="CN194" i="14"/>
  <c r="CN59" i="14"/>
  <c r="CN171" i="14"/>
  <c r="CN176" i="14"/>
  <c r="CN147" i="14"/>
  <c r="CN185" i="14"/>
  <c r="CN148" i="14"/>
  <c r="CN53" i="14"/>
  <c r="CN210" i="14"/>
  <c r="CN144" i="14"/>
  <c r="CN71" i="14"/>
  <c r="CN209" i="14"/>
  <c r="CN57" i="14"/>
  <c r="CN212" i="14"/>
  <c r="CN174" i="14"/>
  <c r="CN61" i="14"/>
  <c r="CN187" i="14"/>
  <c r="CN158" i="14"/>
  <c r="CN211" i="14"/>
  <c r="CN207" i="14"/>
  <c r="CN17" i="14"/>
  <c r="CN156" i="14"/>
  <c r="CN58" i="14"/>
  <c r="CN193" i="14"/>
  <c r="CN186" i="14"/>
  <c r="CN143" i="14"/>
  <c r="CN26" i="14"/>
  <c r="CN32" i="14"/>
  <c r="CN21" i="14"/>
  <c r="CN69" i="14"/>
  <c r="CN60" i="14"/>
  <c r="CN162" i="14"/>
  <c r="CN39" i="14"/>
  <c r="CN40" i="14"/>
  <c r="CN49" i="14"/>
  <c r="CN45" i="14"/>
  <c r="CN42" i="14"/>
  <c r="CN47" i="14"/>
  <c r="CN41" i="14"/>
  <c r="CN50" i="14"/>
  <c r="CN51" i="14"/>
  <c r="CN43" i="14"/>
  <c r="CN46" i="14"/>
  <c r="CN38" i="14"/>
  <c r="CN37" i="14"/>
  <c r="CN44" i="14"/>
  <c r="CN36" i="14"/>
  <c r="CN48" i="14"/>
  <c r="R178" i="14"/>
  <c r="R16" i="14"/>
  <c r="R215" i="14"/>
  <c r="R107" i="14"/>
  <c r="Z125" i="14"/>
  <c r="Z52" i="14"/>
  <c r="Z120" i="14"/>
  <c r="Z228" i="14"/>
  <c r="Z178" i="14"/>
  <c r="J115" i="11"/>
  <c r="ER50" i="6"/>
  <c r="ER46" i="6" s="1"/>
  <c r="AI44" i="16"/>
  <c r="AG44" i="16"/>
  <c r="X695" i="32" s="1"/>
  <c r="AE44" i="16"/>
  <c r="V695" i="32" s="1"/>
  <c r="AC44" i="16"/>
  <c r="T695" i="32" s="1"/>
  <c r="AA44" i="16"/>
  <c r="R695" i="32" s="1"/>
  <c r="Y44" i="16"/>
  <c r="P695" i="32" s="1"/>
  <c r="W44" i="16"/>
  <c r="N695" i="32" s="1"/>
  <c r="U44" i="16"/>
  <c r="L695" i="32" s="1"/>
  <c r="S44" i="16"/>
  <c r="J695" i="32" s="1"/>
  <c r="L31" i="30"/>
  <c r="O32" i="35"/>
  <c r="Q44" i="16"/>
  <c r="H695" i="32" s="1"/>
  <c r="K564" i="32"/>
  <c r="H31" i="30"/>
  <c r="K32" i="35"/>
  <c r="O44" i="16"/>
  <c r="F695" i="32" s="1"/>
  <c r="G564" i="32"/>
  <c r="BX209" i="14"/>
  <c r="BX58" i="14"/>
  <c r="BX173" i="14"/>
  <c r="BX177" i="14"/>
  <c r="BX149" i="14"/>
  <c r="BX60" i="14"/>
  <c r="BX24" i="14"/>
  <c r="BX176" i="14"/>
  <c r="BX167" i="14"/>
  <c r="BX151" i="14"/>
  <c r="BX174" i="14"/>
  <c r="BX20" i="14"/>
  <c r="BX191" i="14"/>
  <c r="BX165" i="14"/>
  <c r="BX211" i="14"/>
  <c r="BX32" i="14"/>
  <c r="BX150" i="14"/>
  <c r="BX179" i="14"/>
  <c r="BX204" i="14"/>
  <c r="BX23" i="14"/>
  <c r="BX171" i="14"/>
  <c r="BX148" i="14"/>
  <c r="BX31" i="14"/>
  <c r="BX189" i="14"/>
  <c r="BX210" i="14"/>
  <c r="BX18" i="14"/>
  <c r="BX205" i="14"/>
  <c r="BX156" i="14"/>
  <c r="BX190" i="14"/>
  <c r="BX55" i="14"/>
  <c r="BX68" i="14"/>
  <c r="BX208" i="14"/>
  <c r="BX152" i="14"/>
  <c r="BX69" i="14"/>
  <c r="BX175" i="14"/>
  <c r="BX26" i="14"/>
  <c r="BX192" i="14"/>
  <c r="BX59" i="14"/>
  <c r="BX56" i="14"/>
  <c r="BX22" i="14"/>
  <c r="BX145" i="14"/>
  <c r="BX193" i="14"/>
  <c r="BX65" i="14"/>
  <c r="BX161" i="14"/>
  <c r="BX159" i="14"/>
  <c r="BX184" i="14"/>
  <c r="BX19" i="14"/>
  <c r="BX182" i="14"/>
  <c r="BX187" i="14"/>
  <c r="BX207" i="14"/>
  <c r="BX143" i="14"/>
  <c r="BX64" i="14"/>
  <c r="BX194" i="14"/>
  <c r="BX183" i="14"/>
  <c r="BX158" i="14"/>
  <c r="BX21" i="14"/>
  <c r="BX17" i="14"/>
  <c r="BX63" i="14"/>
  <c r="BX168" i="14"/>
  <c r="BX188" i="14"/>
  <c r="BX186" i="14"/>
  <c r="BX153" i="14"/>
  <c r="BX169" i="14"/>
  <c r="BX28" i="14"/>
  <c r="BX162" i="14"/>
  <c r="BX144" i="14"/>
  <c r="BX35" i="14"/>
  <c r="BX202" i="14"/>
  <c r="BX61" i="14"/>
  <c r="BX197" i="14"/>
  <c r="BX163" i="14"/>
  <c r="BX25" i="14"/>
  <c r="BX147" i="14"/>
  <c r="BX54" i="14"/>
  <c r="BX67" i="14"/>
  <c r="BX181" i="14"/>
  <c r="BX213" i="14"/>
  <c r="BX166" i="14"/>
  <c r="BX180" i="14"/>
  <c r="BX195" i="14"/>
  <c r="BX33" i="14"/>
  <c r="BX146" i="14"/>
  <c r="BX164" i="14"/>
  <c r="BX66" i="14"/>
  <c r="BX62" i="14"/>
  <c r="BX185" i="14"/>
  <c r="BX154" i="14"/>
  <c r="BX57" i="14"/>
  <c r="BX198" i="14"/>
  <c r="BX29" i="14"/>
  <c r="BX200" i="14"/>
  <c r="BX172" i="14"/>
  <c r="BX157" i="14"/>
  <c r="BX30" i="14"/>
  <c r="BX27" i="14"/>
  <c r="BX212" i="14"/>
  <c r="BX199" i="14"/>
  <c r="BX170" i="14"/>
  <c r="BX155" i="14"/>
  <c r="BX53" i="14"/>
  <c r="BX71" i="14"/>
  <c r="BX40" i="14"/>
  <c r="BX49" i="14"/>
  <c r="BX39" i="14"/>
  <c r="BX45" i="14"/>
  <c r="BX46" i="14"/>
  <c r="BX42" i="14"/>
  <c r="BX41" i="14"/>
  <c r="BX43" i="14"/>
  <c r="BX47" i="14"/>
  <c r="BX51" i="14"/>
  <c r="BX36" i="14"/>
  <c r="BX44" i="14"/>
  <c r="BX50" i="14"/>
  <c r="BX37" i="14"/>
  <c r="BX38" i="14"/>
  <c r="BX48" i="14"/>
  <c r="BT154" i="14"/>
  <c r="BT18" i="14"/>
  <c r="BT146" i="14"/>
  <c r="BT174" i="14"/>
  <c r="BT57" i="14"/>
  <c r="BT69" i="14"/>
  <c r="BT20" i="14"/>
  <c r="BT158" i="14"/>
  <c r="BT161" i="14"/>
  <c r="BT203" i="14"/>
  <c r="BT187" i="14"/>
  <c r="BT198" i="14"/>
  <c r="BT167" i="14"/>
  <c r="BT58" i="14"/>
  <c r="BT176" i="14"/>
  <c r="BT25" i="14"/>
  <c r="BT179" i="14"/>
  <c r="BT71" i="14"/>
  <c r="BT188" i="14"/>
  <c r="BT207" i="14"/>
  <c r="BT24" i="14"/>
  <c r="BT159" i="14"/>
  <c r="BT17" i="14"/>
  <c r="BT181" i="14"/>
  <c r="BT171" i="14"/>
  <c r="BT23" i="14"/>
  <c r="BT212" i="14"/>
  <c r="BT33" i="14"/>
  <c r="BT53" i="14"/>
  <c r="BT190" i="14"/>
  <c r="BT200" i="14"/>
  <c r="BT183" i="14"/>
  <c r="BT148" i="14"/>
  <c r="BT55" i="14"/>
  <c r="BT62" i="14"/>
  <c r="BT56" i="14"/>
  <c r="BT197" i="14"/>
  <c r="BT208" i="14"/>
  <c r="BT22" i="14"/>
  <c r="BT67" i="14"/>
  <c r="BT150" i="14"/>
  <c r="BT61" i="14"/>
  <c r="BT29" i="14"/>
  <c r="BT210" i="14"/>
  <c r="BT35" i="14"/>
  <c r="BT184" i="14"/>
  <c r="BT145" i="14"/>
  <c r="BT162" i="14"/>
  <c r="BT164" i="14"/>
  <c r="BT177" i="14"/>
  <c r="BT192" i="14"/>
  <c r="BT157" i="14"/>
  <c r="BT168" i="14"/>
  <c r="BT59" i="14"/>
  <c r="BT65" i="14"/>
  <c r="BT194" i="14"/>
  <c r="BT54" i="14"/>
  <c r="BT213" i="14"/>
  <c r="BT63" i="14"/>
  <c r="BT64" i="14"/>
  <c r="BT156" i="14"/>
  <c r="BT204" i="14"/>
  <c r="BT147" i="14"/>
  <c r="BT170" i="14"/>
  <c r="BT149" i="14"/>
  <c r="BT19" i="14"/>
  <c r="BT31" i="14"/>
  <c r="BT205" i="14"/>
  <c r="BT193" i="14"/>
  <c r="BT155" i="14"/>
  <c r="BT169" i="14"/>
  <c r="BT202" i="14"/>
  <c r="BT182" i="14"/>
  <c r="BT173" i="14"/>
  <c r="BT211" i="14"/>
  <c r="BT153" i="14"/>
  <c r="BT189" i="14"/>
  <c r="BT166" i="14"/>
  <c r="BT26" i="14"/>
  <c r="BT175" i="14"/>
  <c r="BT191" i="14"/>
  <c r="BT32" i="14"/>
  <c r="BT185" i="14"/>
  <c r="BT30" i="14"/>
  <c r="BT143" i="14"/>
  <c r="BT68" i="14"/>
  <c r="BT27" i="14"/>
  <c r="BT66" i="14"/>
  <c r="BT163" i="14"/>
  <c r="BT195" i="14"/>
  <c r="BT28" i="14"/>
  <c r="BT186" i="14"/>
  <c r="BT152" i="14"/>
  <c r="BT209" i="14"/>
  <c r="BT180" i="14"/>
  <c r="BT165" i="14"/>
  <c r="BT172" i="14"/>
  <c r="BT151" i="14"/>
  <c r="BT21" i="14"/>
  <c r="BT60" i="14"/>
  <c r="BT144" i="14"/>
  <c r="BT199" i="14"/>
  <c r="BT40" i="14"/>
  <c r="BT39" i="14"/>
  <c r="BT45" i="14"/>
  <c r="BT49" i="14"/>
  <c r="BT51" i="14"/>
  <c r="BT47" i="14"/>
  <c r="BT41" i="14"/>
  <c r="BT42" i="14"/>
  <c r="BT43" i="14"/>
  <c r="BT46" i="14"/>
  <c r="BT37" i="14"/>
  <c r="BT44" i="14"/>
  <c r="BT50" i="14"/>
  <c r="BT36" i="14"/>
  <c r="BT38" i="14"/>
  <c r="BT48" i="14"/>
  <c r="BP170" i="14"/>
  <c r="BP164" i="14"/>
  <c r="BP18" i="14"/>
  <c r="BP173" i="14"/>
  <c r="BP157" i="14"/>
  <c r="BP146" i="14"/>
  <c r="BP53" i="14"/>
  <c r="BP58" i="14"/>
  <c r="BP151" i="14"/>
  <c r="BP189" i="14"/>
  <c r="BP200" i="14"/>
  <c r="BP171" i="14"/>
  <c r="BP192" i="14"/>
  <c r="BP204" i="14"/>
  <c r="BP191" i="14"/>
  <c r="BP205" i="14"/>
  <c r="BP194" i="14"/>
  <c r="BP17" i="14"/>
  <c r="BP155" i="14"/>
  <c r="BP61" i="14"/>
  <c r="BP152" i="14"/>
  <c r="BP199" i="14"/>
  <c r="BP68" i="14"/>
  <c r="BP213" i="14"/>
  <c r="BP21" i="14"/>
  <c r="BP169" i="14"/>
  <c r="BP35" i="14"/>
  <c r="BP153" i="14"/>
  <c r="BP175" i="14"/>
  <c r="BP32" i="14"/>
  <c r="BP184" i="14"/>
  <c r="BP22" i="14"/>
  <c r="BP65" i="14"/>
  <c r="BP180" i="14"/>
  <c r="BP63" i="14"/>
  <c r="BP211" i="14"/>
  <c r="BP54" i="14"/>
  <c r="BP27" i="14"/>
  <c r="BP150" i="14"/>
  <c r="BP67" i="14"/>
  <c r="BP183" i="14"/>
  <c r="BP30" i="14"/>
  <c r="BP165" i="14"/>
  <c r="BP177" i="14"/>
  <c r="BP168" i="14"/>
  <c r="BP144" i="14"/>
  <c r="BP182" i="14"/>
  <c r="BP147" i="14"/>
  <c r="BP55" i="14"/>
  <c r="BP71" i="14"/>
  <c r="BP198" i="14"/>
  <c r="BP56" i="14"/>
  <c r="BP29" i="14"/>
  <c r="BP181" i="14"/>
  <c r="BP69" i="14"/>
  <c r="BP206" i="14"/>
  <c r="BP208" i="14"/>
  <c r="BP179" i="14"/>
  <c r="BP62" i="14"/>
  <c r="BP176" i="14"/>
  <c r="BP161" i="14"/>
  <c r="BP174" i="14"/>
  <c r="BP186" i="14"/>
  <c r="BP20" i="14"/>
  <c r="BP145" i="14"/>
  <c r="BP23" i="14"/>
  <c r="BP59" i="14"/>
  <c r="BP167" i="14"/>
  <c r="BP172" i="14"/>
  <c r="BP33" i="14"/>
  <c r="BP26" i="14"/>
  <c r="BP209" i="14"/>
  <c r="BP149" i="14"/>
  <c r="BP187" i="14"/>
  <c r="BP195" i="14"/>
  <c r="BP25" i="14"/>
  <c r="BP158" i="14"/>
  <c r="BP154" i="14"/>
  <c r="BP66" i="14"/>
  <c r="BP212" i="14"/>
  <c r="BP31" i="14"/>
  <c r="BP28" i="14"/>
  <c r="BP163" i="14"/>
  <c r="BP143" i="14"/>
  <c r="BP166" i="14"/>
  <c r="BP148" i="14"/>
  <c r="BP19" i="14"/>
  <c r="BP162" i="14"/>
  <c r="BP207" i="14"/>
  <c r="BP57" i="14"/>
  <c r="BP185" i="14"/>
  <c r="BP197" i="14"/>
  <c r="BP156" i="14"/>
  <c r="BP24" i="14"/>
  <c r="BP193" i="14"/>
  <c r="BP210" i="14"/>
  <c r="BP64" i="14"/>
  <c r="BP190" i="14"/>
  <c r="BP188" i="14"/>
  <c r="BP159" i="14"/>
  <c r="BP202" i="14"/>
  <c r="BP60" i="14"/>
  <c r="BP40" i="14"/>
  <c r="BP39" i="14"/>
  <c r="BP42" i="14"/>
  <c r="BP49" i="14"/>
  <c r="BP45" i="14"/>
  <c r="BP47" i="14"/>
  <c r="BP50" i="14"/>
  <c r="BP51" i="14"/>
  <c r="BP41" i="14"/>
  <c r="BP43" i="14"/>
  <c r="BP46" i="14"/>
  <c r="BP36" i="14"/>
  <c r="BP44" i="14"/>
  <c r="BP37" i="14"/>
  <c r="BP38" i="14"/>
  <c r="BP48" i="14"/>
  <c r="S125" i="14"/>
  <c r="S52" i="14"/>
  <c r="AA125" i="14"/>
  <c r="AA52" i="14"/>
  <c r="EN46" i="6"/>
  <c r="AI41" i="16"/>
  <c r="EJ46" i="6"/>
  <c r="EF46" i="6"/>
  <c r="EB46" i="6"/>
  <c r="AG41" i="16"/>
  <c r="DX46" i="6"/>
  <c r="DT46" i="6"/>
  <c r="DP46" i="6"/>
  <c r="AE41" i="16"/>
  <c r="DL46" i="6"/>
  <c r="DH46" i="6"/>
  <c r="DD46" i="6"/>
  <c r="AC41" i="16"/>
  <c r="CZ46" i="6"/>
  <c r="CV46" i="6"/>
  <c r="CR46" i="6"/>
  <c r="AA41" i="16"/>
  <c r="CN46" i="6"/>
  <c r="CJ46" i="6"/>
  <c r="CF46" i="6"/>
  <c r="Y41" i="16"/>
  <c r="CB46" i="6"/>
  <c r="BX46" i="6"/>
  <c r="BT46" i="6"/>
  <c r="W41" i="16"/>
  <c r="BP46" i="6"/>
  <c r="BL46" i="6"/>
  <c r="BH46" i="6"/>
  <c r="U41" i="16"/>
  <c r="BD46" i="6"/>
  <c r="AZ46" i="6"/>
  <c r="AV46" i="6"/>
  <c r="S41" i="16"/>
  <c r="AR46" i="6"/>
  <c r="AN46" i="6"/>
  <c r="AJ46" i="6"/>
  <c r="K563" i="32"/>
  <c r="L30" i="30"/>
  <c r="L32" i="30"/>
  <c r="Q41" i="16"/>
  <c r="AF46" i="6"/>
  <c r="AB46" i="6"/>
  <c r="X46" i="6"/>
  <c r="G563" i="32"/>
  <c r="H32" i="30"/>
  <c r="H30" i="30"/>
  <c r="T46" i="6"/>
  <c r="P46" i="6"/>
  <c r="BK21" i="14"/>
  <c r="BK174" i="14"/>
  <c r="BK55" i="14"/>
  <c r="BK182" i="14"/>
  <c r="BK164" i="14"/>
  <c r="BK176" i="14"/>
  <c r="BK62" i="14"/>
  <c r="BK23" i="14"/>
  <c r="BK146" i="14"/>
  <c r="BK150" i="14"/>
  <c r="BK190" i="14"/>
  <c r="BK22" i="14"/>
  <c r="BK199" i="14"/>
  <c r="BK149" i="14"/>
  <c r="BK31" i="14"/>
  <c r="BK207" i="14"/>
  <c r="BK157" i="14"/>
  <c r="BK58" i="14"/>
  <c r="BK194" i="14"/>
  <c r="BK180" i="14"/>
  <c r="BK59" i="14"/>
  <c r="BK67" i="14"/>
  <c r="BK211" i="14"/>
  <c r="BK187" i="14"/>
  <c r="BK63" i="14"/>
  <c r="BK172" i="14"/>
  <c r="BK66" i="14"/>
  <c r="BK26" i="14"/>
  <c r="BK202" i="14"/>
  <c r="BK208" i="14"/>
  <c r="BK147" i="14"/>
  <c r="BK161" i="14"/>
  <c r="BK143" i="14"/>
  <c r="BK184" i="14"/>
  <c r="BK204" i="14"/>
  <c r="BK64" i="14"/>
  <c r="BK186" i="14"/>
  <c r="BK154" i="14"/>
  <c r="BK170" i="14"/>
  <c r="BK148" i="14"/>
  <c r="BK158" i="14"/>
  <c r="BK153" i="14"/>
  <c r="BK210" i="14"/>
  <c r="BK185" i="14"/>
  <c r="BK33" i="14"/>
  <c r="BK181" i="14"/>
  <c r="BK65" i="14"/>
  <c r="BK25" i="14"/>
  <c r="BK162" i="14"/>
  <c r="BK175" i="14"/>
  <c r="BK69" i="14"/>
  <c r="BK177" i="14"/>
  <c r="BK18" i="14"/>
  <c r="BK35" i="14"/>
  <c r="BK191" i="14"/>
  <c r="BK56" i="14"/>
  <c r="BK68" i="14"/>
  <c r="BK183" i="14"/>
  <c r="BK197" i="14"/>
  <c r="BK32" i="14"/>
  <c r="BK155" i="14"/>
  <c r="BK61" i="14"/>
  <c r="BK195" i="14"/>
  <c r="BK173" i="14"/>
  <c r="BK169" i="14"/>
  <c r="BK29" i="14"/>
  <c r="BK168" i="14"/>
  <c r="BK156" i="14"/>
  <c r="BK144" i="14"/>
  <c r="BK165" i="14"/>
  <c r="BK189" i="14"/>
  <c r="BK152" i="14"/>
  <c r="BK30" i="14"/>
  <c r="BK60" i="14"/>
  <c r="BK24" i="14"/>
  <c r="BK20" i="14"/>
  <c r="BK179" i="14"/>
  <c r="BK53" i="14"/>
  <c r="BK200" i="14"/>
  <c r="BK205" i="14"/>
  <c r="BK57" i="14"/>
  <c r="BK151" i="14"/>
  <c r="BK159" i="14"/>
  <c r="BK27" i="14"/>
  <c r="BK17" i="14"/>
  <c r="BK163" i="14"/>
  <c r="BK171" i="14"/>
  <c r="BK145" i="14"/>
  <c r="BK198" i="14"/>
  <c r="BK209" i="14"/>
  <c r="BK188" i="14"/>
  <c r="BK193" i="14"/>
  <c r="BK28" i="14"/>
  <c r="BK54" i="14"/>
  <c r="BK166" i="14"/>
  <c r="BK192" i="14"/>
  <c r="BK19" i="14"/>
  <c r="BK71" i="14"/>
  <c r="BK213" i="14"/>
  <c r="BK167" i="14"/>
  <c r="BK212" i="14"/>
  <c r="BK40" i="14"/>
  <c r="BK39" i="14"/>
  <c r="BK49" i="14"/>
  <c r="BK41" i="14"/>
  <c r="BK45" i="14"/>
  <c r="BK42" i="14"/>
  <c r="BK47" i="14"/>
  <c r="BK43" i="14"/>
  <c r="BK50" i="14"/>
  <c r="BK46" i="14"/>
  <c r="BK51" i="14"/>
  <c r="BK38" i="14"/>
  <c r="BK37" i="14"/>
  <c r="BK44" i="14"/>
  <c r="BK36" i="14"/>
  <c r="BK48" i="14"/>
  <c r="BG211" i="14"/>
  <c r="BG195" i="14"/>
  <c r="BG162" i="14"/>
  <c r="BG28" i="14"/>
  <c r="BG202" i="14"/>
  <c r="BG186" i="14"/>
  <c r="BG190" i="14"/>
  <c r="BG161" i="14"/>
  <c r="BG59" i="14"/>
  <c r="BG155" i="14"/>
  <c r="BG164" i="14"/>
  <c r="BG204" i="14"/>
  <c r="BG29" i="14"/>
  <c r="BG166" i="14"/>
  <c r="BG58" i="14"/>
  <c r="BG69" i="14"/>
  <c r="BG168" i="14"/>
  <c r="BG25" i="14"/>
  <c r="BG71" i="14"/>
  <c r="BG171" i="14"/>
  <c r="BG165" i="14"/>
  <c r="BG27" i="14"/>
  <c r="BG189" i="14"/>
  <c r="BG208" i="14"/>
  <c r="BG191" i="14"/>
  <c r="BG22" i="14"/>
  <c r="BG173" i="14"/>
  <c r="BG147" i="14"/>
  <c r="BG197" i="14"/>
  <c r="BG148" i="14"/>
  <c r="BG167" i="14"/>
  <c r="BG143" i="14"/>
  <c r="BG150" i="14"/>
  <c r="BG169" i="14"/>
  <c r="BG151" i="14"/>
  <c r="BG145" i="14"/>
  <c r="BG179" i="14"/>
  <c r="BG175" i="14"/>
  <c r="BG61" i="14"/>
  <c r="BG30" i="14"/>
  <c r="BG176" i="14"/>
  <c r="BG66" i="14"/>
  <c r="BG207" i="14"/>
  <c r="BG157" i="14"/>
  <c r="BG209" i="14"/>
  <c r="BG183" i="14"/>
  <c r="BG182" i="14"/>
  <c r="BG194" i="14"/>
  <c r="BG187" i="14"/>
  <c r="BG54" i="14"/>
  <c r="BG21" i="14"/>
  <c r="BG60" i="14"/>
  <c r="BG153" i="14"/>
  <c r="BG213" i="14"/>
  <c r="BG174" i="14"/>
  <c r="BG212" i="14"/>
  <c r="BG56" i="14"/>
  <c r="BG53" i="14"/>
  <c r="BG65" i="14"/>
  <c r="BG188" i="14"/>
  <c r="BG20" i="14"/>
  <c r="BG57" i="14"/>
  <c r="BG62" i="14"/>
  <c r="BG19" i="14"/>
  <c r="BG163" i="14"/>
  <c r="BG184" i="14"/>
  <c r="BG200" i="14"/>
  <c r="BG177" i="14"/>
  <c r="BG17" i="14"/>
  <c r="BG68" i="14"/>
  <c r="BG64" i="14"/>
  <c r="BG32" i="14"/>
  <c r="BG144" i="14"/>
  <c r="BG146" i="14"/>
  <c r="BG33" i="14"/>
  <c r="BG180" i="14"/>
  <c r="BG18" i="14"/>
  <c r="BG199" i="14"/>
  <c r="BG198" i="14"/>
  <c r="BG35" i="14"/>
  <c r="BG67" i="14"/>
  <c r="BG181" i="14"/>
  <c r="BG192" i="14"/>
  <c r="BG170" i="14"/>
  <c r="BG158" i="14"/>
  <c r="BG210" i="14"/>
  <c r="BG149" i="14"/>
  <c r="BG154" i="14"/>
  <c r="BG159" i="14"/>
  <c r="BG156" i="14"/>
  <c r="BG23" i="14"/>
  <c r="BG185" i="14"/>
  <c r="BG152" i="14"/>
  <c r="BG31" i="14"/>
  <c r="BG63" i="14"/>
  <c r="BG55" i="14"/>
  <c r="BG205" i="14"/>
  <c r="BG26" i="14"/>
  <c r="BG172" i="14"/>
  <c r="BG193" i="14"/>
  <c r="BG24" i="14"/>
  <c r="BG40" i="14"/>
  <c r="BG49" i="14"/>
  <c r="BG39" i="14"/>
  <c r="BG45" i="14"/>
  <c r="BG42" i="14"/>
  <c r="BG47" i="14"/>
  <c r="BG41" i="14"/>
  <c r="BG46" i="14"/>
  <c r="BG51" i="14"/>
  <c r="BG43" i="14"/>
  <c r="BG50" i="14"/>
  <c r="BG44" i="14"/>
  <c r="BG48" i="14"/>
  <c r="BG37" i="14"/>
  <c r="BG36" i="14"/>
  <c r="BG38" i="14"/>
  <c r="BC143" i="14"/>
  <c r="BC173" i="14"/>
  <c r="BC172" i="14"/>
  <c r="BC67" i="14"/>
  <c r="BC177" i="14"/>
  <c r="BC55" i="14"/>
  <c r="BC68" i="14"/>
  <c r="BC144" i="14"/>
  <c r="BC190" i="14"/>
  <c r="BC185" i="14"/>
  <c r="BC194" i="14"/>
  <c r="BC25" i="14"/>
  <c r="BC155" i="14"/>
  <c r="BC23" i="14"/>
  <c r="BC198" i="14"/>
  <c r="BC147" i="14"/>
  <c r="BC28" i="14"/>
  <c r="BC152" i="14"/>
  <c r="BC153" i="14"/>
  <c r="BC57" i="14"/>
  <c r="BC164" i="14"/>
  <c r="BC149" i="14"/>
  <c r="BC24" i="14"/>
  <c r="BC205" i="14"/>
  <c r="BC184" i="14"/>
  <c r="BC29" i="14"/>
  <c r="BC170" i="14"/>
  <c r="BC199" i="14"/>
  <c r="BC30" i="14"/>
  <c r="BC212" i="14"/>
  <c r="BC182" i="14"/>
  <c r="BC145" i="14"/>
  <c r="BC174" i="14"/>
  <c r="BC168" i="14"/>
  <c r="BC166" i="14"/>
  <c r="BC169" i="14"/>
  <c r="BC60" i="14"/>
  <c r="BC207" i="14"/>
  <c r="BC21" i="14"/>
  <c r="BC148" i="14"/>
  <c r="BC179" i="14"/>
  <c r="BC208" i="14"/>
  <c r="BC181" i="14"/>
  <c r="BC162" i="14"/>
  <c r="BC202" i="14"/>
  <c r="BC188" i="14"/>
  <c r="BC19" i="14"/>
  <c r="BC18" i="14"/>
  <c r="BC157" i="14"/>
  <c r="BC53" i="14"/>
  <c r="BC26" i="14"/>
  <c r="BC165" i="14"/>
  <c r="BC150" i="14"/>
  <c r="BC71" i="14"/>
  <c r="BC167" i="14"/>
  <c r="BC213" i="14"/>
  <c r="BC154" i="14"/>
  <c r="BC159" i="14"/>
  <c r="BC186" i="14"/>
  <c r="BC63" i="14"/>
  <c r="BC189" i="14"/>
  <c r="BC193" i="14"/>
  <c r="BC191" i="14"/>
  <c r="BC163" i="14"/>
  <c r="BC61" i="14"/>
  <c r="BC200" i="14"/>
  <c r="BC17" i="14"/>
  <c r="BC33" i="14"/>
  <c r="BC171" i="14"/>
  <c r="BC66" i="14"/>
  <c r="BC192" i="14"/>
  <c r="BC58" i="14"/>
  <c r="BC59" i="14"/>
  <c r="BC151" i="14"/>
  <c r="BC69" i="14"/>
  <c r="BC54" i="14"/>
  <c r="BC158" i="14"/>
  <c r="BC161" i="14"/>
  <c r="BC175" i="14"/>
  <c r="BC35" i="14"/>
  <c r="BC204" i="14"/>
  <c r="BC146" i="14"/>
  <c r="BC31" i="14"/>
  <c r="BC210" i="14"/>
  <c r="BC156" i="14"/>
  <c r="BC64" i="14"/>
  <c r="BC211" i="14"/>
  <c r="BC187" i="14"/>
  <c r="BC183" i="14"/>
  <c r="BC27" i="14"/>
  <c r="BC195" i="14"/>
  <c r="BC62" i="14"/>
  <c r="BC22" i="14"/>
  <c r="BC176" i="14"/>
  <c r="BC65" i="14"/>
  <c r="BC180" i="14"/>
  <c r="BC209" i="14"/>
  <c r="BC56" i="14"/>
  <c r="BC20" i="14"/>
  <c r="BC32" i="14"/>
  <c r="BC197" i="14"/>
  <c r="BC40" i="14"/>
  <c r="BC39" i="14"/>
  <c r="BC49" i="14"/>
  <c r="BC45" i="14"/>
  <c r="BC47" i="14"/>
  <c r="M47" i="14" s="1"/>
  <c r="BC43" i="14"/>
  <c r="BC42" i="14"/>
  <c r="BC41" i="14"/>
  <c r="BC46" i="14"/>
  <c r="BC51" i="14"/>
  <c r="BC44" i="14"/>
  <c r="BC37" i="14"/>
  <c r="BC36" i="14"/>
  <c r="BC50" i="14"/>
  <c r="BC38" i="14"/>
  <c r="BC48" i="14"/>
  <c r="W109" i="14"/>
  <c r="W217" i="14"/>
  <c r="W142" i="14"/>
  <c r="BZ144" i="14"/>
  <c r="BZ55" i="14"/>
  <c r="BZ168" i="14"/>
  <c r="BZ208" i="14"/>
  <c r="BZ197" i="14"/>
  <c r="BZ54" i="14"/>
  <c r="BZ154" i="14"/>
  <c r="BZ165" i="14"/>
  <c r="BZ65" i="14"/>
  <c r="BZ29" i="14"/>
  <c r="BZ62" i="14"/>
  <c r="BZ184" i="14"/>
  <c r="BZ172" i="14"/>
  <c r="BZ174" i="14"/>
  <c r="BZ209" i="14"/>
  <c r="BZ166" i="14"/>
  <c r="BZ59" i="14"/>
  <c r="BZ56" i="14"/>
  <c r="BZ57" i="14"/>
  <c r="BZ191" i="14"/>
  <c r="BZ190" i="14"/>
  <c r="BZ187" i="14"/>
  <c r="BZ23" i="14"/>
  <c r="BZ177" i="14"/>
  <c r="BZ146" i="14"/>
  <c r="BZ153" i="14"/>
  <c r="BZ163" i="14"/>
  <c r="BZ175" i="14"/>
  <c r="BZ28" i="14"/>
  <c r="BZ21" i="14"/>
  <c r="BZ53" i="14"/>
  <c r="BZ26" i="14"/>
  <c r="BZ19" i="14"/>
  <c r="BZ199" i="14"/>
  <c r="BZ213" i="14"/>
  <c r="BZ179" i="14"/>
  <c r="BZ192" i="14"/>
  <c r="BZ63" i="14"/>
  <c r="BZ158" i="14"/>
  <c r="BZ180" i="14"/>
  <c r="BZ189" i="14"/>
  <c r="BZ25" i="14"/>
  <c r="BZ156" i="14"/>
  <c r="BZ204" i="14"/>
  <c r="BZ30" i="14"/>
  <c r="BZ20" i="14"/>
  <c r="BZ32" i="14"/>
  <c r="BZ152" i="14"/>
  <c r="BZ71" i="14"/>
  <c r="BZ170" i="14"/>
  <c r="BZ68" i="14"/>
  <c r="BZ155" i="14"/>
  <c r="BZ35" i="14"/>
  <c r="BZ66" i="14"/>
  <c r="BZ173" i="14"/>
  <c r="BZ193" i="14"/>
  <c r="BZ147" i="14"/>
  <c r="BZ67" i="14"/>
  <c r="BZ211" i="14"/>
  <c r="BZ61" i="14"/>
  <c r="BZ69" i="14"/>
  <c r="BZ60" i="14"/>
  <c r="BZ210" i="14"/>
  <c r="BZ194" i="14"/>
  <c r="BZ64" i="14"/>
  <c r="BZ143" i="14"/>
  <c r="BZ181" i="14"/>
  <c r="BZ167" i="14"/>
  <c r="BZ159" i="14"/>
  <c r="BZ185" i="14"/>
  <c r="BZ145" i="14"/>
  <c r="BZ17" i="14"/>
  <c r="BZ164" i="14"/>
  <c r="BZ207" i="14"/>
  <c r="BZ27" i="14"/>
  <c r="BZ162" i="14"/>
  <c r="BZ157" i="14"/>
  <c r="BZ198" i="14"/>
  <c r="BZ31" i="14"/>
  <c r="BZ18" i="14"/>
  <c r="BZ169" i="14"/>
  <c r="BZ171" i="14"/>
  <c r="BZ183" i="14"/>
  <c r="BZ161" i="14"/>
  <c r="BZ33" i="14"/>
  <c r="BZ182" i="14"/>
  <c r="BZ176" i="14"/>
  <c r="BZ202" i="14"/>
  <c r="BZ150" i="14"/>
  <c r="BZ188" i="14"/>
  <c r="BZ186" i="14"/>
  <c r="BZ195" i="14"/>
  <c r="BZ149" i="14"/>
  <c r="BZ200" i="14"/>
  <c r="BZ22" i="14"/>
  <c r="BZ58" i="14"/>
  <c r="BZ151" i="14"/>
  <c r="BZ24" i="14"/>
  <c r="BZ205" i="14"/>
  <c r="BZ212" i="14"/>
  <c r="BZ148" i="14"/>
  <c r="BZ40" i="14"/>
  <c r="BZ39" i="14"/>
  <c r="BZ49" i="14"/>
  <c r="BZ45" i="14"/>
  <c r="BZ42" i="14"/>
  <c r="BZ47" i="14"/>
  <c r="BZ43" i="14"/>
  <c r="BZ41" i="14"/>
  <c r="BZ46" i="14"/>
  <c r="BZ51" i="14"/>
  <c r="BZ50" i="14"/>
  <c r="BZ44" i="14"/>
  <c r="BZ36" i="14"/>
  <c r="BZ38" i="14"/>
  <c r="BZ37" i="14"/>
  <c r="BZ48" i="14"/>
  <c r="AH200" i="14"/>
  <c r="AH35" i="14"/>
  <c r="AH193" i="14"/>
  <c r="AH33" i="14"/>
  <c r="AH53" i="14"/>
  <c r="AH209" i="14"/>
  <c r="AH161" i="14"/>
  <c r="AH198" i="14"/>
  <c r="AH183" i="14"/>
  <c r="AH162" i="14"/>
  <c r="AH64" i="14"/>
  <c r="AH155" i="14"/>
  <c r="AH197" i="14"/>
  <c r="AH32" i="14"/>
  <c r="AH194" i="14"/>
  <c r="AH22" i="14"/>
  <c r="AH169" i="14"/>
  <c r="AH29" i="14"/>
  <c r="AH164" i="14"/>
  <c r="AH69" i="14"/>
  <c r="AH190" i="14"/>
  <c r="AH187" i="14"/>
  <c r="AH147" i="14"/>
  <c r="AH158" i="14"/>
  <c r="AH163" i="14"/>
  <c r="AH152" i="14"/>
  <c r="AH179" i="14"/>
  <c r="AH151" i="14"/>
  <c r="AH202" i="14"/>
  <c r="AH177" i="14"/>
  <c r="AH181" i="14"/>
  <c r="AH150" i="14"/>
  <c r="AH170" i="14"/>
  <c r="AH175" i="14"/>
  <c r="AH188" i="14"/>
  <c r="AH59" i="14"/>
  <c r="AH199" i="14"/>
  <c r="AH54" i="14"/>
  <c r="AH201" i="14"/>
  <c r="AH205" i="14"/>
  <c r="AH172" i="14"/>
  <c r="AH65" i="14"/>
  <c r="AH180" i="14"/>
  <c r="AH182" i="14"/>
  <c r="AH23" i="14"/>
  <c r="AH184" i="14"/>
  <c r="AH63" i="14"/>
  <c r="AH213" i="14"/>
  <c r="AH19" i="14"/>
  <c r="AH144" i="14"/>
  <c r="AH166" i="14"/>
  <c r="AH25" i="14"/>
  <c r="AH66" i="14"/>
  <c r="AH61" i="14"/>
  <c r="AH143" i="14"/>
  <c r="AH204" i="14"/>
  <c r="AH171" i="14"/>
  <c r="AH17" i="14"/>
  <c r="AH165" i="14"/>
  <c r="AH28" i="14"/>
  <c r="AH21" i="14"/>
  <c r="AH173" i="14"/>
  <c r="AH68" i="14"/>
  <c r="AH189" i="14"/>
  <c r="AH58" i="14"/>
  <c r="AH18" i="14"/>
  <c r="AH31" i="14"/>
  <c r="AH145" i="14"/>
  <c r="AH176" i="14"/>
  <c r="AH24" i="14"/>
  <c r="AH55" i="14"/>
  <c r="AH195" i="14"/>
  <c r="AH146" i="14"/>
  <c r="AH210" i="14"/>
  <c r="AH211" i="14"/>
  <c r="AH191" i="14"/>
  <c r="AH186" i="14"/>
  <c r="AH26" i="14"/>
  <c r="AH57" i="14"/>
  <c r="AH154" i="14"/>
  <c r="AH207" i="14"/>
  <c r="AH71" i="14"/>
  <c r="AH60" i="14"/>
  <c r="AH167" i="14"/>
  <c r="AH208" i="14"/>
  <c r="AH62" i="14"/>
  <c r="AH30" i="14"/>
  <c r="AH156" i="14"/>
  <c r="AH148" i="14"/>
  <c r="AH149" i="14"/>
  <c r="AH157" i="14"/>
  <c r="AH56" i="14"/>
  <c r="AH153" i="14"/>
  <c r="AH20" i="14"/>
  <c r="AH174" i="14"/>
  <c r="AH185" i="14"/>
  <c r="AH212" i="14"/>
  <c r="AH67" i="14"/>
  <c r="AH27" i="14"/>
  <c r="AH159" i="14"/>
  <c r="AH168" i="14"/>
  <c r="AH192" i="14"/>
  <c r="AH40" i="14"/>
  <c r="AH47" i="14"/>
  <c r="AH45" i="14"/>
  <c r="AH49" i="14"/>
  <c r="AH39" i="14"/>
  <c r="AH42" i="14"/>
  <c r="AH41" i="14"/>
  <c r="AH51" i="14"/>
  <c r="AH43" i="14"/>
  <c r="AH46" i="14"/>
  <c r="AH50" i="14"/>
  <c r="AH36" i="14"/>
  <c r="AH37" i="14"/>
  <c r="AH48" i="14"/>
  <c r="AH44" i="14"/>
  <c r="AH38" i="14"/>
  <c r="AB52" i="14"/>
  <c r="AB125" i="14"/>
  <c r="AB110" i="14"/>
  <c r="AB218" i="14"/>
  <c r="DC168" i="14"/>
  <c r="DC197" i="14"/>
  <c r="DC69" i="14"/>
  <c r="DC56" i="14"/>
  <c r="DC205" i="14"/>
  <c r="DC59" i="14"/>
  <c r="DC157" i="14"/>
  <c r="DC159" i="14"/>
  <c r="DC17" i="14"/>
  <c r="DC210" i="14"/>
  <c r="DC67" i="14"/>
  <c r="DC66" i="14"/>
  <c r="DC24" i="14"/>
  <c r="DC183" i="14"/>
  <c r="DC195" i="14"/>
  <c r="DC152" i="14"/>
  <c r="DC35" i="14"/>
  <c r="DC65" i="14"/>
  <c r="DC154" i="14"/>
  <c r="DC204" i="14"/>
  <c r="DC179" i="14"/>
  <c r="DC153" i="14"/>
  <c r="DC18" i="14"/>
  <c r="DC212" i="14"/>
  <c r="DC184" i="14"/>
  <c r="DC63" i="14"/>
  <c r="DC55" i="14"/>
  <c r="DC64" i="14"/>
  <c r="DC170" i="14"/>
  <c r="DC71" i="14"/>
  <c r="DC32" i="14"/>
  <c r="DC33" i="14"/>
  <c r="DC145" i="14"/>
  <c r="DC68" i="14"/>
  <c r="DC180" i="14"/>
  <c r="DC200" i="14"/>
  <c r="DC61" i="14"/>
  <c r="DC151" i="14"/>
  <c r="DC190" i="14"/>
  <c r="DC181" i="14"/>
  <c r="DC194" i="14"/>
  <c r="DC209" i="14"/>
  <c r="DC164" i="14"/>
  <c r="DC58" i="14"/>
  <c r="DC161" i="14"/>
  <c r="DC155" i="14"/>
  <c r="DC171" i="14"/>
  <c r="DC202" i="14"/>
  <c r="DC19" i="14"/>
  <c r="DC208" i="14"/>
  <c r="DC31" i="14"/>
  <c r="DC144" i="14"/>
  <c r="DC26" i="14"/>
  <c r="DC182" i="14"/>
  <c r="DC187" i="14"/>
  <c r="DC188" i="14"/>
  <c r="DC147" i="14"/>
  <c r="DC191" i="14"/>
  <c r="DC163" i="14"/>
  <c r="DC199" i="14"/>
  <c r="DC53" i="14"/>
  <c r="DC143" i="14"/>
  <c r="DC22" i="14"/>
  <c r="DC30" i="14"/>
  <c r="DC173" i="14"/>
  <c r="DC172" i="14"/>
  <c r="DC54" i="14"/>
  <c r="DC29" i="14"/>
  <c r="DC192" i="14"/>
  <c r="DC150" i="14"/>
  <c r="DC158" i="14"/>
  <c r="DC23" i="14"/>
  <c r="DC156" i="14"/>
  <c r="DC57" i="14"/>
  <c r="DC198" i="14"/>
  <c r="DC149" i="14"/>
  <c r="DC176" i="14"/>
  <c r="DC167" i="14"/>
  <c r="DC211" i="14"/>
  <c r="DC148" i="14"/>
  <c r="DC27" i="14"/>
  <c r="DC189" i="14"/>
  <c r="DC169" i="14"/>
  <c r="DC166" i="14"/>
  <c r="DC177" i="14"/>
  <c r="DC146" i="14"/>
  <c r="DC175" i="14"/>
  <c r="DC20" i="14"/>
  <c r="DC207" i="14"/>
  <c r="DC165" i="14"/>
  <c r="DC162" i="14"/>
  <c r="DC193" i="14"/>
  <c r="DC28" i="14"/>
  <c r="DC186" i="14"/>
  <c r="DC185" i="14"/>
  <c r="DC213" i="14"/>
  <c r="DC21" i="14"/>
  <c r="DC62" i="14"/>
  <c r="DC60" i="14"/>
  <c r="DC25" i="14"/>
  <c r="DC174" i="14"/>
  <c r="DC40" i="14"/>
  <c r="DC49" i="14"/>
  <c r="DC39" i="14"/>
  <c r="DC47" i="14"/>
  <c r="DC42" i="14"/>
  <c r="DC45" i="14"/>
  <c r="DC46" i="14"/>
  <c r="DC50" i="14"/>
  <c r="DC43" i="14"/>
  <c r="DC51" i="14"/>
  <c r="DC41" i="14"/>
  <c r="DC36" i="14"/>
  <c r="DC48" i="14"/>
  <c r="DC37" i="14"/>
  <c r="DC38" i="14"/>
  <c r="DC44" i="14"/>
  <c r="AU170" i="14"/>
  <c r="AU163" i="14"/>
  <c r="AU54" i="14"/>
  <c r="AU189" i="14"/>
  <c r="AU198" i="14"/>
  <c r="AU187" i="14"/>
  <c r="AU184" i="14"/>
  <c r="AU188" i="14"/>
  <c r="AU23" i="14"/>
  <c r="AU161" i="14"/>
  <c r="AU172" i="14"/>
  <c r="AU57" i="14"/>
  <c r="AU208" i="14"/>
  <c r="AU199" i="14"/>
  <c r="AU33" i="14"/>
  <c r="AU175" i="14"/>
  <c r="AU147" i="14"/>
  <c r="AU154" i="14"/>
  <c r="AU29" i="14"/>
  <c r="AU176" i="14"/>
  <c r="AU168" i="14"/>
  <c r="AU185" i="14"/>
  <c r="AU183" i="14"/>
  <c r="AU61" i="14"/>
  <c r="AU181" i="14"/>
  <c r="AU64" i="14"/>
  <c r="AU174" i="14"/>
  <c r="AU179" i="14"/>
  <c r="AU191" i="14"/>
  <c r="AU205" i="14"/>
  <c r="AU68" i="14"/>
  <c r="AU202" i="14"/>
  <c r="AU151" i="14"/>
  <c r="AU166" i="14"/>
  <c r="AU148" i="14"/>
  <c r="AU149" i="14"/>
  <c r="AU55" i="14"/>
  <c r="AU171" i="14"/>
  <c r="AU59" i="14"/>
  <c r="AU26" i="14"/>
  <c r="AU35" i="14"/>
  <c r="AU143" i="14"/>
  <c r="AU165" i="14"/>
  <c r="AU212" i="14"/>
  <c r="AU19" i="14"/>
  <c r="AU21" i="14"/>
  <c r="AU192" i="14"/>
  <c r="AU27" i="14"/>
  <c r="AU63" i="14"/>
  <c r="AU209" i="14"/>
  <c r="AU71" i="14"/>
  <c r="AU167" i="14"/>
  <c r="AU173" i="14"/>
  <c r="AU210" i="14"/>
  <c r="AU164" i="14"/>
  <c r="AU62" i="14"/>
  <c r="AU56" i="14"/>
  <c r="AU20" i="14"/>
  <c r="AU158" i="14"/>
  <c r="AU177" i="14"/>
  <c r="AU65" i="14"/>
  <c r="AU169" i="14"/>
  <c r="AU144" i="14"/>
  <c r="AU152" i="14"/>
  <c r="AU159" i="14"/>
  <c r="AU213" i="14"/>
  <c r="AU146" i="14"/>
  <c r="AU156" i="14"/>
  <c r="AU24" i="14"/>
  <c r="AU195" i="14"/>
  <c r="AU66" i="14"/>
  <c r="AU28" i="14"/>
  <c r="AU58" i="14"/>
  <c r="AU193" i="14"/>
  <c r="AU211" i="14"/>
  <c r="AU18" i="14"/>
  <c r="AU207" i="14"/>
  <c r="AU60" i="14"/>
  <c r="AU17" i="14"/>
  <c r="AU25" i="14"/>
  <c r="AU153" i="14"/>
  <c r="AU31" i="14"/>
  <c r="AU157" i="14"/>
  <c r="AU67" i="14"/>
  <c r="AU197" i="14"/>
  <c r="AU30" i="14"/>
  <c r="AU162" i="14"/>
  <c r="AU204" i="14"/>
  <c r="AU182" i="14"/>
  <c r="AU180" i="14"/>
  <c r="AU200" i="14"/>
  <c r="AU150" i="14"/>
  <c r="AU53" i="14"/>
  <c r="AU69" i="14"/>
  <c r="AU32" i="14"/>
  <c r="AU145" i="14"/>
  <c r="AU186" i="14"/>
  <c r="AU194" i="14"/>
  <c r="AU155" i="14"/>
  <c r="AU22" i="14"/>
  <c r="AU190" i="14"/>
  <c r="AU40" i="14"/>
  <c r="AU39" i="14"/>
  <c r="AU49" i="14"/>
  <c r="AU45" i="14"/>
  <c r="AU42" i="14"/>
  <c r="AU47" i="14"/>
  <c r="AU43" i="14"/>
  <c r="AU41" i="14"/>
  <c r="AU46" i="14"/>
  <c r="AU51" i="14"/>
  <c r="AU50" i="14"/>
  <c r="AU37" i="14"/>
  <c r="AU36" i="14"/>
  <c r="AU44" i="14"/>
  <c r="AU38" i="14"/>
  <c r="AU48" i="14"/>
  <c r="BY198" i="14"/>
  <c r="BY205" i="14"/>
  <c r="BY65" i="14"/>
  <c r="BY211" i="14"/>
  <c r="BY31" i="14"/>
  <c r="BY57" i="14"/>
  <c r="BY60" i="14"/>
  <c r="BY173" i="14"/>
  <c r="BY176" i="14"/>
  <c r="BY20" i="14"/>
  <c r="BY147" i="14"/>
  <c r="BY182" i="14"/>
  <c r="BY175" i="14"/>
  <c r="BY26" i="14"/>
  <c r="BY28" i="14"/>
  <c r="BY184" i="14"/>
  <c r="BY61" i="14"/>
  <c r="BY19" i="14"/>
  <c r="BY18" i="14"/>
  <c r="BY151" i="14"/>
  <c r="BY197" i="14"/>
  <c r="BY212" i="14"/>
  <c r="BY17" i="14"/>
  <c r="BY177" i="14"/>
  <c r="BY195" i="14"/>
  <c r="BY213" i="14"/>
  <c r="BY71" i="14"/>
  <c r="BY67" i="14"/>
  <c r="BY156" i="14"/>
  <c r="BY185" i="14"/>
  <c r="BY189" i="14"/>
  <c r="BY188" i="14"/>
  <c r="BY23" i="14"/>
  <c r="BY158" i="14"/>
  <c r="BY183" i="14"/>
  <c r="BY30" i="14"/>
  <c r="BY64" i="14"/>
  <c r="BY191" i="14"/>
  <c r="BY144" i="14"/>
  <c r="BY161" i="14"/>
  <c r="BY29" i="14"/>
  <c r="BY145" i="14"/>
  <c r="BY69" i="14"/>
  <c r="BY143" i="14"/>
  <c r="BY168" i="14"/>
  <c r="BY190" i="14"/>
  <c r="BY171" i="14"/>
  <c r="BY186" i="14"/>
  <c r="BY209" i="14"/>
  <c r="BY63" i="14"/>
  <c r="BY165" i="14"/>
  <c r="BY56" i="14"/>
  <c r="BY154" i="14"/>
  <c r="BY163" i="14"/>
  <c r="BY53" i="14"/>
  <c r="BY55" i="14"/>
  <c r="BY58" i="14"/>
  <c r="BY59" i="14"/>
  <c r="BY202" i="14"/>
  <c r="BY149" i="14"/>
  <c r="BY68" i="14"/>
  <c r="BY159" i="14"/>
  <c r="BY164" i="14"/>
  <c r="BY194" i="14"/>
  <c r="BY169" i="14"/>
  <c r="BY27" i="14"/>
  <c r="BY22" i="14"/>
  <c r="BY180" i="14"/>
  <c r="BY179" i="14"/>
  <c r="BY208" i="14"/>
  <c r="BY181" i="14"/>
  <c r="BY155" i="14"/>
  <c r="BY35" i="14"/>
  <c r="BY193" i="14"/>
  <c r="BY153" i="14"/>
  <c r="BY204" i="14"/>
  <c r="BY199" i="14"/>
  <c r="BY54" i="14"/>
  <c r="BY207" i="14"/>
  <c r="BY210" i="14"/>
  <c r="BY172" i="14"/>
  <c r="BY33" i="14"/>
  <c r="BY174" i="14"/>
  <c r="BY148" i="14"/>
  <c r="BY187" i="14"/>
  <c r="BY166" i="14"/>
  <c r="BY25" i="14"/>
  <c r="BY146" i="14"/>
  <c r="BY162" i="14"/>
  <c r="BY24" i="14"/>
  <c r="BY170" i="14"/>
  <c r="BY152" i="14"/>
  <c r="BY192" i="14"/>
  <c r="BY157" i="14"/>
  <c r="BY62" i="14"/>
  <c r="BY21" i="14"/>
  <c r="BY167" i="14"/>
  <c r="BY150" i="14"/>
  <c r="BY200" i="14"/>
  <c r="BY32" i="14"/>
  <c r="BY66" i="14"/>
  <c r="BY40" i="14"/>
  <c r="BY39" i="14"/>
  <c r="BY42" i="14"/>
  <c r="BY49" i="14"/>
  <c r="BY45" i="14"/>
  <c r="BY47" i="14"/>
  <c r="BY41" i="14"/>
  <c r="BY46" i="14"/>
  <c r="BY51" i="14"/>
  <c r="BY43" i="14"/>
  <c r="BY36" i="14"/>
  <c r="BY50" i="14"/>
  <c r="BY44" i="14"/>
  <c r="BY37" i="14"/>
  <c r="BY38" i="14"/>
  <c r="BY48" i="14"/>
  <c r="AC159" i="14"/>
  <c r="AC198" i="14"/>
  <c r="AC167" i="14"/>
  <c r="AC35" i="14"/>
  <c r="AC24" i="14"/>
  <c r="AC149" i="14"/>
  <c r="AC30" i="14"/>
  <c r="AC182" i="14"/>
  <c r="AC57" i="14"/>
  <c r="AC188" i="14"/>
  <c r="AC172" i="14"/>
  <c r="AC190" i="14"/>
  <c r="AC209" i="14"/>
  <c r="AC197" i="14"/>
  <c r="AC166" i="14"/>
  <c r="AC56" i="14"/>
  <c r="AC157" i="14"/>
  <c r="AC169" i="14"/>
  <c r="AC179" i="14"/>
  <c r="AC67" i="14"/>
  <c r="AC148" i="14"/>
  <c r="AC199" i="14"/>
  <c r="AC20" i="14"/>
  <c r="AC19" i="14"/>
  <c r="AC161" i="14"/>
  <c r="AC185" i="14"/>
  <c r="AC170" i="14"/>
  <c r="AC210" i="14"/>
  <c r="AC187" i="14"/>
  <c r="AC17" i="14"/>
  <c r="AC66" i="14"/>
  <c r="AC173" i="14"/>
  <c r="AC69" i="14"/>
  <c r="AC205" i="14"/>
  <c r="AC193" i="14"/>
  <c r="AC156" i="14"/>
  <c r="AC145" i="14"/>
  <c r="AC61" i="14"/>
  <c r="AC162" i="14"/>
  <c r="AC25" i="14"/>
  <c r="AC62" i="14"/>
  <c r="AC63" i="14"/>
  <c r="AC23" i="14"/>
  <c r="AC68" i="14"/>
  <c r="AC213" i="14"/>
  <c r="AC183" i="14"/>
  <c r="AC176" i="14"/>
  <c r="AC184" i="14"/>
  <c r="AC208" i="14"/>
  <c r="AC204" i="14"/>
  <c r="AC158" i="14"/>
  <c r="AC144" i="14"/>
  <c r="AC143" i="14"/>
  <c r="AC202" i="14"/>
  <c r="AC32" i="14"/>
  <c r="AC60" i="14"/>
  <c r="AC171" i="14"/>
  <c r="AC181" i="14"/>
  <c r="AC195" i="14"/>
  <c r="AC211" i="14"/>
  <c r="AC28" i="14"/>
  <c r="AC175" i="14"/>
  <c r="AC191" i="14"/>
  <c r="AC64" i="14"/>
  <c r="AC153" i="14"/>
  <c r="AC150" i="14"/>
  <c r="AC164" i="14"/>
  <c r="AC71" i="14"/>
  <c r="AC155" i="14"/>
  <c r="AC177" i="14"/>
  <c r="AC152" i="14"/>
  <c r="AC151" i="14"/>
  <c r="AC22" i="14"/>
  <c r="AC58" i="14"/>
  <c r="AC212" i="14"/>
  <c r="AC154" i="14"/>
  <c r="AC174" i="14"/>
  <c r="AC33" i="14"/>
  <c r="AC203" i="14"/>
  <c r="AC18" i="14"/>
  <c r="AC31" i="14"/>
  <c r="AC180" i="14"/>
  <c r="AC55" i="14"/>
  <c r="AC26" i="14"/>
  <c r="AC192" i="14"/>
  <c r="AC54" i="14"/>
  <c r="AC165" i="14"/>
  <c r="AC27" i="14"/>
  <c r="AC65" i="14"/>
  <c r="AC207" i="14"/>
  <c r="AC194" i="14"/>
  <c r="AC59" i="14"/>
  <c r="AC29" i="14"/>
  <c r="AC163" i="14"/>
  <c r="AC168" i="14"/>
  <c r="AC53" i="14"/>
  <c r="AC200" i="14"/>
  <c r="AC147" i="14"/>
  <c r="AC146" i="14"/>
  <c r="AC21" i="14"/>
  <c r="AC186" i="14"/>
  <c r="AC189" i="14"/>
  <c r="AC40" i="14"/>
  <c r="AC49" i="14"/>
  <c r="AC39" i="14"/>
  <c r="AC45" i="14"/>
  <c r="AC42" i="14"/>
  <c r="AC46" i="14"/>
  <c r="AC51" i="14"/>
  <c r="AC50" i="14"/>
  <c r="AC41" i="14"/>
  <c r="AC47" i="14"/>
  <c r="AC43" i="14"/>
  <c r="AC37" i="14"/>
  <c r="AC36" i="14"/>
  <c r="AC44" i="14"/>
  <c r="AC38" i="14"/>
  <c r="AC48" i="14"/>
  <c r="T160" i="14"/>
  <c r="X142" i="14"/>
  <c r="AB215" i="14"/>
  <c r="AB16" i="14"/>
  <c r="AB107" i="14"/>
  <c r="DF18" i="14"/>
  <c r="DF17" i="14"/>
  <c r="DF191" i="14"/>
  <c r="DF187" i="14"/>
  <c r="DF163" i="14"/>
  <c r="DF208" i="14"/>
  <c r="DF151" i="14"/>
  <c r="DF150" i="14"/>
  <c r="DF185" i="14"/>
  <c r="DF148" i="14"/>
  <c r="DF54" i="14"/>
  <c r="DF23" i="14"/>
  <c r="DF171" i="14"/>
  <c r="DF144" i="14"/>
  <c r="DF199" i="14"/>
  <c r="DF57" i="14"/>
  <c r="DF158" i="14"/>
  <c r="DF205" i="14"/>
  <c r="DF26" i="14"/>
  <c r="DF165" i="14"/>
  <c r="DF147" i="14"/>
  <c r="DF210" i="14"/>
  <c r="DF154" i="14"/>
  <c r="DF167" i="14"/>
  <c r="DF211" i="14"/>
  <c r="DF164" i="14"/>
  <c r="DF162" i="14"/>
  <c r="DF61" i="14"/>
  <c r="DF155" i="14"/>
  <c r="DF157" i="14"/>
  <c r="DF183" i="14"/>
  <c r="DF69" i="14"/>
  <c r="DF24" i="14"/>
  <c r="DF31" i="14"/>
  <c r="DF194" i="14"/>
  <c r="DF172" i="14"/>
  <c r="DF177" i="14"/>
  <c r="DF173" i="14"/>
  <c r="DF186" i="14"/>
  <c r="DF184" i="14"/>
  <c r="DF179" i="14"/>
  <c r="DF190" i="14"/>
  <c r="DF202" i="14"/>
  <c r="DF71" i="14"/>
  <c r="DF156" i="14"/>
  <c r="DF195" i="14"/>
  <c r="DF68" i="14"/>
  <c r="DF59" i="14"/>
  <c r="DF207" i="14"/>
  <c r="DF146" i="14"/>
  <c r="DF174" i="14"/>
  <c r="DF30" i="14"/>
  <c r="DF170" i="14"/>
  <c r="DF182" i="14"/>
  <c r="DF198" i="14"/>
  <c r="DF35" i="14"/>
  <c r="DF153" i="14"/>
  <c r="DF209" i="14"/>
  <c r="DF181" i="14"/>
  <c r="DF145" i="14"/>
  <c r="DF60" i="14"/>
  <c r="DF175" i="14"/>
  <c r="DF58" i="14"/>
  <c r="DF53" i="14"/>
  <c r="DF21" i="14"/>
  <c r="DF176" i="14"/>
  <c r="DF212" i="14"/>
  <c r="DF27" i="14"/>
  <c r="DF193" i="14"/>
  <c r="DF22" i="14"/>
  <c r="DF161" i="14"/>
  <c r="DF33" i="14"/>
  <c r="DF28" i="14"/>
  <c r="DF67" i="14"/>
  <c r="DF204" i="14"/>
  <c r="DF188" i="14"/>
  <c r="DF56" i="14"/>
  <c r="DF32" i="14"/>
  <c r="DF29" i="14"/>
  <c r="DF143" i="14"/>
  <c r="DF63" i="14"/>
  <c r="DF20" i="14"/>
  <c r="DF168" i="14"/>
  <c r="DF25" i="14"/>
  <c r="DF166" i="14"/>
  <c r="DF213" i="14"/>
  <c r="DF149" i="14"/>
  <c r="DF159" i="14"/>
  <c r="DF192" i="14"/>
  <c r="DF189" i="14"/>
  <c r="DF65" i="14"/>
  <c r="DF55" i="14"/>
  <c r="DF19" i="14"/>
  <c r="DF66" i="14"/>
  <c r="DF200" i="14"/>
  <c r="DF152" i="14"/>
  <c r="DF180" i="14"/>
  <c r="DF64" i="14"/>
  <c r="DF197" i="14"/>
  <c r="DF169" i="14"/>
  <c r="DF62" i="14"/>
  <c r="DF40" i="14"/>
  <c r="DF39" i="14"/>
  <c r="DF49" i="14"/>
  <c r="DF42" i="14"/>
  <c r="DF47" i="14"/>
  <c r="DF45" i="14"/>
  <c r="DF41" i="14"/>
  <c r="DF43" i="14"/>
  <c r="DF51" i="14"/>
  <c r="DF46" i="14"/>
  <c r="DF50" i="14"/>
  <c r="DF37" i="14"/>
  <c r="DF36" i="14"/>
  <c r="DF38" i="14"/>
  <c r="DF48" i="14"/>
  <c r="DF44" i="14"/>
  <c r="DB198" i="14"/>
  <c r="DB209" i="14"/>
  <c r="DB205" i="14"/>
  <c r="DB179" i="14"/>
  <c r="DB180" i="14"/>
  <c r="DB164" i="14"/>
  <c r="DB25" i="14"/>
  <c r="DB211" i="14"/>
  <c r="DB191" i="14"/>
  <c r="DB21" i="14"/>
  <c r="DB146" i="14"/>
  <c r="DB203" i="14"/>
  <c r="DB189" i="14"/>
  <c r="DB148" i="14"/>
  <c r="DB35" i="14"/>
  <c r="DB22" i="14"/>
  <c r="DB62" i="14"/>
  <c r="DB28" i="14"/>
  <c r="DB187" i="14"/>
  <c r="DB147" i="14"/>
  <c r="DB67" i="14"/>
  <c r="DB169" i="14"/>
  <c r="DB57" i="14"/>
  <c r="DB30" i="14"/>
  <c r="DB161" i="14"/>
  <c r="DB166" i="14"/>
  <c r="DB173" i="14"/>
  <c r="DB158" i="14"/>
  <c r="DB32" i="14"/>
  <c r="DB23" i="14"/>
  <c r="DB210" i="14"/>
  <c r="DB200" i="14"/>
  <c r="DB162" i="14"/>
  <c r="DB185" i="14"/>
  <c r="DB152" i="14"/>
  <c r="DB212" i="14"/>
  <c r="DB204" i="14"/>
  <c r="DB153" i="14"/>
  <c r="DB155" i="14"/>
  <c r="DB207" i="14"/>
  <c r="DB33" i="14"/>
  <c r="DB157" i="14"/>
  <c r="DB18" i="14"/>
  <c r="DB53" i="14"/>
  <c r="DB192" i="14"/>
  <c r="DB171" i="14"/>
  <c r="DB193" i="14"/>
  <c r="DB17" i="14"/>
  <c r="DB182" i="14"/>
  <c r="DB20" i="14"/>
  <c r="DB29" i="14"/>
  <c r="DB143" i="14"/>
  <c r="DB177" i="14"/>
  <c r="DB151" i="14"/>
  <c r="DB202" i="14"/>
  <c r="DB63" i="14"/>
  <c r="DB60" i="14"/>
  <c r="DB194" i="14"/>
  <c r="DB69" i="14"/>
  <c r="DB165" i="14"/>
  <c r="DB61" i="14"/>
  <c r="DB159" i="14"/>
  <c r="DB68" i="14"/>
  <c r="DB55" i="14"/>
  <c r="DB54" i="14"/>
  <c r="DB186" i="14"/>
  <c r="DB59" i="14"/>
  <c r="DB27" i="14"/>
  <c r="DB26" i="14"/>
  <c r="DB149" i="14"/>
  <c r="DB19" i="14"/>
  <c r="DB206" i="14"/>
  <c r="DB181" i="14"/>
  <c r="DB145" i="14"/>
  <c r="DB183" i="14"/>
  <c r="DB31" i="14"/>
  <c r="DB188" i="14"/>
  <c r="DB56" i="14"/>
  <c r="DB197" i="14"/>
  <c r="DB175" i="14"/>
  <c r="DB144" i="14"/>
  <c r="DB172" i="14"/>
  <c r="DB213" i="14"/>
  <c r="DB208" i="14"/>
  <c r="DB195" i="14"/>
  <c r="DB154" i="14"/>
  <c r="DB170" i="14"/>
  <c r="DB176" i="14"/>
  <c r="DB163" i="14"/>
  <c r="DB199" i="14"/>
  <c r="DB71" i="14"/>
  <c r="DB156" i="14"/>
  <c r="DB24" i="14"/>
  <c r="DB168" i="14"/>
  <c r="DB167" i="14"/>
  <c r="DB58" i="14"/>
  <c r="DB64" i="14"/>
  <c r="DB174" i="14"/>
  <c r="DB190" i="14"/>
  <c r="DB150" i="14"/>
  <c r="DB65" i="14"/>
  <c r="DB66" i="14"/>
  <c r="DB184" i="14"/>
  <c r="DB39" i="14"/>
  <c r="DB40" i="14"/>
  <c r="DB47" i="14"/>
  <c r="DB49" i="14"/>
  <c r="DB45" i="14"/>
  <c r="DB42" i="14"/>
  <c r="DB41" i="14"/>
  <c r="DB43" i="14"/>
  <c r="DB50" i="14"/>
  <c r="DB46" i="14"/>
  <c r="DB51" i="14"/>
  <c r="DB38" i="14"/>
  <c r="DB44" i="14"/>
  <c r="DB37" i="14"/>
  <c r="DB36" i="14"/>
  <c r="DB48" i="14"/>
  <c r="CX20" i="14"/>
  <c r="CX163" i="14"/>
  <c r="CX168" i="14"/>
  <c r="CX188" i="14"/>
  <c r="CX159" i="14"/>
  <c r="CX17" i="14"/>
  <c r="CX35" i="14"/>
  <c r="CX171" i="14"/>
  <c r="CX59" i="14"/>
  <c r="CX158" i="14"/>
  <c r="CX153" i="14"/>
  <c r="CX210" i="14"/>
  <c r="CX209" i="14"/>
  <c r="CX202" i="14"/>
  <c r="CX67" i="14"/>
  <c r="CX55" i="14"/>
  <c r="CX179" i="14"/>
  <c r="CX61" i="14"/>
  <c r="CX25" i="14"/>
  <c r="CX149" i="14"/>
  <c r="CX21" i="14"/>
  <c r="CX211" i="14"/>
  <c r="CX207" i="14"/>
  <c r="CX186" i="14"/>
  <c r="CX71" i="14"/>
  <c r="CX165" i="14"/>
  <c r="CX157" i="14"/>
  <c r="CX58" i="14"/>
  <c r="CX68" i="14"/>
  <c r="CX189" i="14"/>
  <c r="CX204" i="14"/>
  <c r="CX194" i="14"/>
  <c r="CX172" i="14"/>
  <c r="CX185" i="14"/>
  <c r="CX213" i="14"/>
  <c r="CX63" i="14"/>
  <c r="CX54" i="14"/>
  <c r="CX30" i="14"/>
  <c r="CX32" i="14"/>
  <c r="CX143" i="14"/>
  <c r="CX162" i="14"/>
  <c r="CX28" i="14"/>
  <c r="CX18" i="14"/>
  <c r="CX167" i="14"/>
  <c r="CX152" i="14"/>
  <c r="CX200" i="14"/>
  <c r="CX182" i="14"/>
  <c r="CX26" i="14"/>
  <c r="CX193" i="14"/>
  <c r="CX195" i="14"/>
  <c r="CX184" i="14"/>
  <c r="CX199" i="14"/>
  <c r="CX190" i="14"/>
  <c r="CX191" i="14"/>
  <c r="CX212" i="14"/>
  <c r="CX24" i="14"/>
  <c r="CX208" i="14"/>
  <c r="CX64" i="14"/>
  <c r="CX166" i="14"/>
  <c r="CX161" i="14"/>
  <c r="CX31" i="14"/>
  <c r="CX174" i="14"/>
  <c r="CX180" i="14"/>
  <c r="CX192" i="14"/>
  <c r="CX53" i="14"/>
  <c r="CX22" i="14"/>
  <c r="CX65" i="14"/>
  <c r="CX147" i="14"/>
  <c r="CX164" i="14"/>
  <c r="CX175" i="14"/>
  <c r="CX177" i="14"/>
  <c r="CX155" i="14"/>
  <c r="CX29" i="14"/>
  <c r="CX23" i="14"/>
  <c r="CX198" i="14"/>
  <c r="CX187" i="14"/>
  <c r="CX154" i="14"/>
  <c r="CX62" i="14"/>
  <c r="CX146" i="14"/>
  <c r="CX183" i="14"/>
  <c r="CX56" i="14"/>
  <c r="CX156" i="14"/>
  <c r="CX145" i="14"/>
  <c r="CX197" i="14"/>
  <c r="CX69" i="14"/>
  <c r="CX60" i="14"/>
  <c r="CX19" i="14"/>
  <c r="CX173" i="14"/>
  <c r="CX144" i="14"/>
  <c r="CX169" i="14"/>
  <c r="CX170" i="14"/>
  <c r="CX176" i="14"/>
  <c r="CX181" i="14"/>
  <c r="CX33" i="14"/>
  <c r="CX148" i="14"/>
  <c r="CX151" i="14"/>
  <c r="CX205" i="14"/>
  <c r="CX150" i="14"/>
  <c r="CX66" i="14"/>
  <c r="CX27" i="14"/>
  <c r="CX57" i="14"/>
  <c r="CX49" i="14"/>
  <c r="CX40" i="14"/>
  <c r="CX39" i="14"/>
  <c r="CX47" i="14"/>
  <c r="CX42" i="14"/>
  <c r="CX45" i="14"/>
  <c r="CX41" i="14"/>
  <c r="CX43" i="14"/>
  <c r="CX46" i="14"/>
  <c r="CX51" i="14"/>
  <c r="CX50" i="14"/>
  <c r="CX38" i="14"/>
  <c r="CX48" i="14"/>
  <c r="CX37" i="14"/>
  <c r="CX36" i="14"/>
  <c r="CX44" i="14"/>
  <c r="AX202" i="14"/>
  <c r="AX159" i="14"/>
  <c r="AX19" i="14"/>
  <c r="AX176" i="14"/>
  <c r="AX58" i="14"/>
  <c r="AX67" i="14"/>
  <c r="AX182" i="14"/>
  <c r="AX197" i="14"/>
  <c r="AX20" i="14"/>
  <c r="AX28" i="14"/>
  <c r="AX66" i="14"/>
  <c r="AX53" i="14"/>
  <c r="AX193" i="14"/>
  <c r="AX208" i="14"/>
  <c r="AX152" i="14"/>
  <c r="AX147" i="14"/>
  <c r="AX69" i="14"/>
  <c r="AX211" i="14"/>
  <c r="AX174" i="14"/>
  <c r="AX35" i="14"/>
  <c r="AX33" i="14"/>
  <c r="AX190" i="14"/>
  <c r="AX165" i="14"/>
  <c r="AX154" i="14"/>
  <c r="AX21" i="14"/>
  <c r="AX60" i="14"/>
  <c r="AX61" i="14"/>
  <c r="AX189" i="14"/>
  <c r="AX62" i="14"/>
  <c r="AX183" i="14"/>
  <c r="AX24" i="14"/>
  <c r="AX199" i="14"/>
  <c r="AX71" i="14"/>
  <c r="AX179" i="14"/>
  <c r="AX169" i="14"/>
  <c r="AX163" i="14"/>
  <c r="AX158" i="14"/>
  <c r="AX144" i="14"/>
  <c r="AX145" i="14"/>
  <c r="AX161" i="14"/>
  <c r="AX167" i="14"/>
  <c r="AX194" i="14"/>
  <c r="AX148" i="14"/>
  <c r="AX22" i="14"/>
  <c r="AX149" i="14"/>
  <c r="AX168" i="14"/>
  <c r="AX188" i="14"/>
  <c r="AX155" i="14"/>
  <c r="AX23" i="14"/>
  <c r="AX205" i="14"/>
  <c r="AX177" i="14"/>
  <c r="AX172" i="14"/>
  <c r="AX157" i="14"/>
  <c r="AX143" i="14"/>
  <c r="AX192" i="14"/>
  <c r="AX184" i="14"/>
  <c r="AX162" i="14"/>
  <c r="AX212" i="14"/>
  <c r="AX204" i="14"/>
  <c r="AX171" i="14"/>
  <c r="AX150" i="14"/>
  <c r="AX54" i="14"/>
  <c r="AX26" i="14"/>
  <c r="AX175" i="14"/>
  <c r="AX18" i="14"/>
  <c r="AX187" i="14"/>
  <c r="AX57" i="14"/>
  <c r="AX207" i="14"/>
  <c r="AX191" i="14"/>
  <c r="AX65" i="14"/>
  <c r="AX63" i="14"/>
  <c r="AX151" i="14"/>
  <c r="AX25" i="14"/>
  <c r="AX27" i="14"/>
  <c r="AX181" i="14"/>
  <c r="AX173" i="14"/>
  <c r="AX29" i="14"/>
  <c r="AX31" i="14"/>
  <c r="AX32" i="14"/>
  <c r="AX186" i="14"/>
  <c r="AX64" i="14"/>
  <c r="AX17" i="14"/>
  <c r="AX153" i="14"/>
  <c r="AX56" i="14"/>
  <c r="AX209" i="14"/>
  <c r="AX156" i="14"/>
  <c r="AX195" i="14"/>
  <c r="AX55" i="14"/>
  <c r="AX185" i="14"/>
  <c r="AX166" i="14"/>
  <c r="AX200" i="14"/>
  <c r="AX198" i="14"/>
  <c r="AX146" i="14"/>
  <c r="AX30" i="14"/>
  <c r="AX180" i="14"/>
  <c r="AX213" i="14"/>
  <c r="AX201" i="14"/>
  <c r="AX170" i="14"/>
  <c r="AX210" i="14"/>
  <c r="AX59" i="14"/>
  <c r="AX164" i="14"/>
  <c r="AX68" i="14"/>
  <c r="AX40" i="14"/>
  <c r="AX39" i="14"/>
  <c r="AX49" i="14"/>
  <c r="AX42" i="14"/>
  <c r="AX47" i="14"/>
  <c r="AX45" i="14"/>
  <c r="AX51" i="14"/>
  <c r="AX43" i="14"/>
  <c r="AX50" i="14"/>
  <c r="AX41" i="14"/>
  <c r="AX46" i="14"/>
  <c r="AX36" i="14"/>
  <c r="AX37" i="14"/>
  <c r="AX44" i="14"/>
  <c r="AX38" i="14"/>
  <c r="AX48" i="14"/>
  <c r="AT55" i="14"/>
  <c r="AT182" i="14"/>
  <c r="AT148" i="14"/>
  <c r="AT57" i="14"/>
  <c r="AT188" i="14"/>
  <c r="AT183" i="14"/>
  <c r="AT172" i="14"/>
  <c r="AT155" i="14"/>
  <c r="AT156" i="14"/>
  <c r="AT23" i="14"/>
  <c r="AT32" i="14"/>
  <c r="AT22" i="14"/>
  <c r="AT185" i="14"/>
  <c r="AT179" i="14"/>
  <c r="AT65" i="14"/>
  <c r="AT66" i="14"/>
  <c r="AT168" i="14"/>
  <c r="AT208" i="14"/>
  <c r="AT170" i="14"/>
  <c r="AT30" i="14"/>
  <c r="AT210" i="14"/>
  <c r="AT173" i="14"/>
  <c r="AT154" i="14"/>
  <c r="AT58" i="14"/>
  <c r="AT60" i="14"/>
  <c r="AT63" i="14"/>
  <c r="AT209" i="14"/>
  <c r="AT192" i="14"/>
  <c r="AT25" i="14"/>
  <c r="AT150" i="14"/>
  <c r="AT167" i="14"/>
  <c r="AT27" i="14"/>
  <c r="AT200" i="14"/>
  <c r="AT205" i="14"/>
  <c r="AT181" i="14"/>
  <c r="AT163" i="14"/>
  <c r="AT24" i="14"/>
  <c r="AT174" i="14"/>
  <c r="AT157" i="14"/>
  <c r="AT26" i="14"/>
  <c r="AT64" i="14"/>
  <c r="AT146" i="14"/>
  <c r="AT164" i="14"/>
  <c r="AT53" i="14"/>
  <c r="AT21" i="14"/>
  <c r="AT71" i="14"/>
  <c r="AT69" i="14"/>
  <c r="AT54" i="14"/>
  <c r="AT145" i="14"/>
  <c r="AT19" i="14"/>
  <c r="AT153" i="14"/>
  <c r="AT189" i="14"/>
  <c r="AT35" i="14"/>
  <c r="AT187" i="14"/>
  <c r="AT186" i="14"/>
  <c r="AT147" i="14"/>
  <c r="AT152" i="14"/>
  <c r="AT56" i="14"/>
  <c r="AT158" i="14"/>
  <c r="AT20" i="14"/>
  <c r="AT29" i="14"/>
  <c r="AT62" i="14"/>
  <c r="AT149" i="14"/>
  <c r="AT198" i="14"/>
  <c r="AT166" i="14"/>
  <c r="AT67" i="14"/>
  <c r="AT197" i="14"/>
  <c r="AT213" i="14"/>
  <c r="AT18" i="14"/>
  <c r="AT68" i="14"/>
  <c r="AT195" i="14"/>
  <c r="AT175" i="14"/>
  <c r="AT202" i="14"/>
  <c r="AT211" i="14"/>
  <c r="AT31" i="14"/>
  <c r="AT212" i="14"/>
  <c r="AT159" i="14"/>
  <c r="AT165" i="14"/>
  <c r="AT191" i="14"/>
  <c r="AT190" i="14"/>
  <c r="AT61" i="14"/>
  <c r="AT171" i="14"/>
  <c r="AT59" i="14"/>
  <c r="AT199" i="14"/>
  <c r="AT144" i="14"/>
  <c r="AT143" i="14"/>
  <c r="AT176" i="14"/>
  <c r="AT204" i="14"/>
  <c r="AT169" i="14"/>
  <c r="AT193" i="14"/>
  <c r="AT33" i="14"/>
  <c r="AT207" i="14"/>
  <c r="AT194" i="14"/>
  <c r="AT177" i="14"/>
  <c r="AT17" i="14"/>
  <c r="AT184" i="14"/>
  <c r="AT161" i="14"/>
  <c r="AT162" i="14"/>
  <c r="AT28" i="14"/>
  <c r="AT151" i="14"/>
  <c r="AT180" i="14"/>
  <c r="AT40" i="14"/>
  <c r="AT39" i="14"/>
  <c r="AT49" i="14"/>
  <c r="AT42" i="14"/>
  <c r="AT45" i="14"/>
  <c r="AT41" i="14"/>
  <c r="AT46" i="14"/>
  <c r="AT47" i="14"/>
  <c r="AT43" i="14"/>
  <c r="AT51" i="14"/>
  <c r="AT44" i="14"/>
  <c r="AT50" i="14"/>
  <c r="AT37" i="14"/>
  <c r="AT38" i="14"/>
  <c r="AT36" i="14"/>
  <c r="AT48" i="14"/>
  <c r="AP31" i="14"/>
  <c r="AP149" i="14"/>
  <c r="AP62" i="14"/>
  <c r="AP184" i="14"/>
  <c r="AP161" i="14"/>
  <c r="AP24" i="14"/>
  <c r="AP179" i="14"/>
  <c r="AP60" i="14"/>
  <c r="AP23" i="14"/>
  <c r="AP66" i="14"/>
  <c r="AP151" i="14"/>
  <c r="AP210" i="14"/>
  <c r="AP55" i="14"/>
  <c r="AP192" i="14"/>
  <c r="AP175" i="14"/>
  <c r="AP205" i="14"/>
  <c r="AP213" i="14"/>
  <c r="AP212" i="14"/>
  <c r="AP197" i="14"/>
  <c r="AP144" i="14"/>
  <c r="AP193" i="14"/>
  <c r="AP56" i="14"/>
  <c r="AP188" i="14"/>
  <c r="AP152" i="14"/>
  <c r="AP190" i="14"/>
  <c r="AP171" i="14"/>
  <c r="AP181" i="14"/>
  <c r="AP58" i="14"/>
  <c r="AP155" i="14"/>
  <c r="AP167" i="14"/>
  <c r="AP174" i="14"/>
  <c r="AP35" i="14"/>
  <c r="AP164" i="14"/>
  <c r="AP143" i="14"/>
  <c r="AP159" i="14"/>
  <c r="AP29" i="14"/>
  <c r="AP157" i="14"/>
  <c r="AP195" i="14"/>
  <c r="AP173" i="14"/>
  <c r="AP27" i="14"/>
  <c r="AP21" i="14"/>
  <c r="AP191" i="14"/>
  <c r="AP156" i="14"/>
  <c r="AP187" i="14"/>
  <c r="AP200" i="14"/>
  <c r="AP64" i="14"/>
  <c r="AP163" i="14"/>
  <c r="AP198" i="14"/>
  <c r="AP180" i="14"/>
  <c r="AP209" i="14"/>
  <c r="AP57" i="14"/>
  <c r="AP207" i="14"/>
  <c r="AP194" i="14"/>
  <c r="AP17" i="14"/>
  <c r="AP53" i="14"/>
  <c r="AP147" i="14"/>
  <c r="AP176" i="14"/>
  <c r="AP19" i="14"/>
  <c r="AP63" i="14"/>
  <c r="AP170" i="14"/>
  <c r="AP54" i="14"/>
  <c r="AP165" i="14"/>
  <c r="AP189" i="14"/>
  <c r="AP162" i="14"/>
  <c r="AP154" i="14"/>
  <c r="AP20" i="14"/>
  <c r="AP172" i="14"/>
  <c r="AP148" i="14"/>
  <c r="AP68" i="14"/>
  <c r="AP204" i="14"/>
  <c r="AP199" i="14"/>
  <c r="AP146" i="14"/>
  <c r="AP59" i="14"/>
  <c r="AP69" i="14"/>
  <c r="AP153" i="14"/>
  <c r="AP71" i="14"/>
  <c r="AP22" i="14"/>
  <c r="AP28" i="14"/>
  <c r="AP186" i="14"/>
  <c r="AP33" i="14"/>
  <c r="AP18" i="14"/>
  <c r="AP183" i="14"/>
  <c r="AP169" i="14"/>
  <c r="AP30" i="14"/>
  <c r="AP145" i="14"/>
  <c r="AP25" i="14"/>
  <c r="AP61" i="14"/>
  <c r="AP32" i="14"/>
  <c r="AP177" i="14"/>
  <c r="AP211" i="14"/>
  <c r="AP202" i="14"/>
  <c r="AP158" i="14"/>
  <c r="AP67" i="14"/>
  <c r="AP65" i="14"/>
  <c r="AP208" i="14"/>
  <c r="AP26" i="14"/>
  <c r="AP182" i="14"/>
  <c r="AP168" i="14"/>
  <c r="AP150" i="14"/>
  <c r="AP166" i="14"/>
  <c r="AP185" i="14"/>
  <c r="AP39" i="14"/>
  <c r="AP49" i="14"/>
  <c r="AP40" i="14"/>
  <c r="AP45" i="14"/>
  <c r="AP41" i="14"/>
  <c r="AP42" i="14"/>
  <c r="AP43" i="14"/>
  <c r="AP46" i="14"/>
  <c r="AP50" i="14"/>
  <c r="AP47" i="14"/>
  <c r="AP51" i="14"/>
  <c r="AP36" i="14"/>
  <c r="AP38" i="14"/>
  <c r="AP48" i="14"/>
  <c r="AP37" i="14"/>
  <c r="AP44" i="14"/>
  <c r="Y178" i="14"/>
  <c r="C476" i="32"/>
  <c r="D476" i="32" s="1"/>
  <c r="E476" i="32" s="1"/>
  <c r="F476" i="32" s="1"/>
  <c r="G476" i="32" s="1"/>
  <c r="H476" i="32" s="1"/>
  <c r="I476" i="32" s="1"/>
  <c r="J476" i="32" s="1"/>
  <c r="L477" i="32"/>
  <c r="ED31" i="14"/>
  <c r="ED175" i="14"/>
  <c r="ED66" i="14"/>
  <c r="ED168" i="14"/>
  <c r="ED211" i="14"/>
  <c r="ED63" i="14"/>
  <c r="ED213" i="14"/>
  <c r="ED60" i="14"/>
  <c r="ED172" i="14"/>
  <c r="ED155" i="14"/>
  <c r="ED54" i="14"/>
  <c r="ED149" i="14"/>
  <c r="ED192" i="14"/>
  <c r="ED182" i="14"/>
  <c r="ED20" i="14"/>
  <c r="ED25" i="14"/>
  <c r="ED28" i="14"/>
  <c r="ED68" i="14"/>
  <c r="ED189" i="14"/>
  <c r="ED19" i="14"/>
  <c r="ED26" i="14"/>
  <c r="ED30" i="14"/>
  <c r="ED148" i="14"/>
  <c r="ED71" i="14"/>
  <c r="ED179" i="14"/>
  <c r="ED150" i="14"/>
  <c r="ED153" i="14"/>
  <c r="ED210" i="14"/>
  <c r="ED185" i="14"/>
  <c r="ED162" i="14"/>
  <c r="ED56" i="14"/>
  <c r="ED53" i="14"/>
  <c r="ED167" i="14"/>
  <c r="ED59" i="14"/>
  <c r="ED163" i="14"/>
  <c r="ED17" i="14"/>
  <c r="ED188" i="14"/>
  <c r="ED197" i="14"/>
  <c r="ED205" i="14"/>
  <c r="ED174" i="14"/>
  <c r="ED191" i="14"/>
  <c r="ED57" i="14"/>
  <c r="ED67" i="14"/>
  <c r="ED22" i="14"/>
  <c r="ED184" i="14"/>
  <c r="ED58" i="14"/>
  <c r="ED202" i="14"/>
  <c r="ED154" i="14"/>
  <c r="ED55" i="14"/>
  <c r="ED181" i="14"/>
  <c r="ED152" i="14"/>
  <c r="ED62" i="14"/>
  <c r="ED24" i="14"/>
  <c r="ED143" i="14"/>
  <c r="ED169" i="14"/>
  <c r="ED32" i="14"/>
  <c r="ED165" i="14"/>
  <c r="ED187" i="14"/>
  <c r="ED65" i="14"/>
  <c r="ED61" i="14"/>
  <c r="ED23" i="14"/>
  <c r="ED190" i="14"/>
  <c r="ED199" i="14"/>
  <c r="ED186" i="14"/>
  <c r="ED209" i="14"/>
  <c r="ED166" i="14"/>
  <c r="ED183" i="14"/>
  <c r="ED176" i="14"/>
  <c r="ED35" i="14"/>
  <c r="ED158" i="14"/>
  <c r="ED198" i="14"/>
  <c r="ED144" i="14"/>
  <c r="ED212" i="14"/>
  <c r="ED147" i="14"/>
  <c r="ED29" i="14"/>
  <c r="ED180" i="14"/>
  <c r="ED151" i="14"/>
  <c r="ED193" i="14"/>
  <c r="ED156" i="14"/>
  <c r="ED200" i="14"/>
  <c r="ED64" i="14"/>
  <c r="ED145" i="14"/>
  <c r="ED177" i="14"/>
  <c r="ED157" i="14"/>
  <c r="ED194" i="14"/>
  <c r="ED18" i="14"/>
  <c r="ED69" i="14"/>
  <c r="ED204" i="14"/>
  <c r="ED27" i="14"/>
  <c r="ED171" i="14"/>
  <c r="ED146" i="14"/>
  <c r="ED170" i="14"/>
  <c r="ED159" i="14"/>
  <c r="ED161" i="14"/>
  <c r="ED33" i="14"/>
  <c r="ED208" i="14"/>
  <c r="ED207" i="14"/>
  <c r="ED164" i="14"/>
  <c r="ED173" i="14"/>
  <c r="ED21" i="14"/>
  <c r="ED195" i="14"/>
  <c r="ED40" i="14"/>
  <c r="ED39" i="14"/>
  <c r="ED42" i="14"/>
  <c r="ED47" i="14"/>
  <c r="ED49" i="14"/>
  <c r="ED45" i="14"/>
  <c r="ED46" i="14"/>
  <c r="ED51" i="14"/>
  <c r="ED41" i="14"/>
  <c r="ED43" i="14"/>
  <c r="ED50" i="14"/>
  <c r="ED36" i="14"/>
  <c r="ED44" i="14"/>
  <c r="ED38" i="14"/>
  <c r="ED37" i="14"/>
  <c r="ED48" i="14"/>
  <c r="DZ166" i="14"/>
  <c r="DZ194" i="14"/>
  <c r="DZ31" i="14"/>
  <c r="DZ188" i="14"/>
  <c r="DZ55" i="14"/>
  <c r="DZ209" i="14"/>
  <c r="DZ161" i="14"/>
  <c r="DZ175" i="14"/>
  <c r="DZ184" i="14"/>
  <c r="DZ18" i="14"/>
  <c r="DZ63" i="14"/>
  <c r="DZ208" i="14"/>
  <c r="DZ27" i="14"/>
  <c r="DZ58" i="14"/>
  <c r="DZ170" i="14"/>
  <c r="DZ147" i="14"/>
  <c r="DZ68" i="14"/>
  <c r="DZ189" i="14"/>
  <c r="DZ53" i="14"/>
  <c r="DZ19" i="14"/>
  <c r="DZ183" i="14"/>
  <c r="DZ21" i="14"/>
  <c r="DZ30" i="14"/>
  <c r="DZ35" i="14"/>
  <c r="DZ69" i="14"/>
  <c r="DZ190" i="14"/>
  <c r="DZ157" i="14"/>
  <c r="DZ59" i="14"/>
  <c r="DZ202" i="14"/>
  <c r="DZ172" i="14"/>
  <c r="DZ204" i="14"/>
  <c r="DZ191" i="14"/>
  <c r="DZ167" i="14"/>
  <c r="DZ199" i="14"/>
  <c r="DZ195" i="14"/>
  <c r="DZ152" i="14"/>
  <c r="DZ176" i="14"/>
  <c r="DZ171" i="14"/>
  <c r="DZ210" i="14"/>
  <c r="DZ186" i="14"/>
  <c r="DZ192" i="14"/>
  <c r="DZ26" i="14"/>
  <c r="DZ62" i="14"/>
  <c r="DZ66" i="14"/>
  <c r="DZ180" i="14"/>
  <c r="DZ193" i="14"/>
  <c r="DZ182" i="14"/>
  <c r="DZ150" i="14"/>
  <c r="DZ164" i="14"/>
  <c r="DZ205" i="14"/>
  <c r="DZ162" i="14"/>
  <c r="DZ213" i="14"/>
  <c r="DZ61" i="14"/>
  <c r="DZ151" i="14"/>
  <c r="DZ17" i="14"/>
  <c r="DZ145" i="14"/>
  <c r="DZ169" i="14"/>
  <c r="DZ24" i="14"/>
  <c r="DZ177" i="14"/>
  <c r="DZ149" i="14"/>
  <c r="DZ154" i="14"/>
  <c r="DZ28" i="14"/>
  <c r="DZ65" i="14"/>
  <c r="DZ60" i="14"/>
  <c r="DZ54" i="14"/>
  <c r="DZ25" i="14"/>
  <c r="DZ158" i="14"/>
  <c r="DZ144" i="14"/>
  <c r="DZ156" i="14"/>
  <c r="DZ179" i="14"/>
  <c r="DZ22" i="14"/>
  <c r="DZ159" i="14"/>
  <c r="DZ23" i="14"/>
  <c r="DZ33" i="14"/>
  <c r="DZ187" i="14"/>
  <c r="DZ173" i="14"/>
  <c r="DZ143" i="14"/>
  <c r="DZ200" i="14"/>
  <c r="DZ64" i="14"/>
  <c r="DZ148" i="14"/>
  <c r="DZ197" i="14"/>
  <c r="DZ57" i="14"/>
  <c r="DZ212" i="14"/>
  <c r="DZ20" i="14"/>
  <c r="DZ146" i="14"/>
  <c r="DZ163" i="14"/>
  <c r="DZ32" i="14"/>
  <c r="DZ181" i="14"/>
  <c r="DZ168" i="14"/>
  <c r="DZ185" i="14"/>
  <c r="DZ207" i="14"/>
  <c r="DZ165" i="14"/>
  <c r="DZ211" i="14"/>
  <c r="DZ56" i="14"/>
  <c r="DZ67" i="14"/>
  <c r="DZ174" i="14"/>
  <c r="DZ29" i="14"/>
  <c r="DZ198" i="14"/>
  <c r="DZ155" i="14"/>
  <c r="DZ71" i="14"/>
  <c r="DZ153" i="14"/>
  <c r="DZ40" i="14"/>
  <c r="DZ49" i="14"/>
  <c r="DZ39" i="14"/>
  <c r="DZ45" i="14"/>
  <c r="DZ42" i="14"/>
  <c r="DZ47" i="14"/>
  <c r="DZ46" i="14"/>
  <c r="DZ41" i="14"/>
  <c r="DZ43" i="14"/>
  <c r="DZ50" i="14"/>
  <c r="DZ51" i="14"/>
  <c r="DZ38" i="14"/>
  <c r="DZ37" i="14"/>
  <c r="DZ36" i="14"/>
  <c r="DZ48" i="14"/>
  <c r="DZ44" i="14"/>
  <c r="DV53" i="14"/>
  <c r="DV181" i="14"/>
  <c r="DV56" i="14"/>
  <c r="DV188" i="14"/>
  <c r="DV179" i="14"/>
  <c r="DV165" i="14"/>
  <c r="DV176" i="14"/>
  <c r="DV20" i="14"/>
  <c r="DV192" i="14"/>
  <c r="DV197" i="14"/>
  <c r="DV68" i="14"/>
  <c r="DV146" i="14"/>
  <c r="DV164" i="14"/>
  <c r="DV174" i="14"/>
  <c r="DV194" i="14"/>
  <c r="DV159" i="14"/>
  <c r="DV189" i="14"/>
  <c r="DV60" i="14"/>
  <c r="DV22" i="14"/>
  <c r="DV153" i="14"/>
  <c r="DV158" i="14"/>
  <c r="DV66" i="14"/>
  <c r="DV175" i="14"/>
  <c r="DV180" i="14"/>
  <c r="DV59" i="14"/>
  <c r="DV185" i="14"/>
  <c r="DV198" i="14"/>
  <c r="DV163" i="14"/>
  <c r="DV209" i="14"/>
  <c r="DV201" i="14"/>
  <c r="DV27" i="14"/>
  <c r="DV155" i="14"/>
  <c r="DV212" i="14"/>
  <c r="DV64" i="14"/>
  <c r="DV167" i="14"/>
  <c r="DV187" i="14"/>
  <c r="DV208" i="14"/>
  <c r="DV171" i="14"/>
  <c r="DV26" i="14"/>
  <c r="DV149" i="14"/>
  <c r="DV193" i="14"/>
  <c r="DV156" i="14"/>
  <c r="DV145" i="14"/>
  <c r="DV54" i="14"/>
  <c r="DV18" i="14"/>
  <c r="DV213" i="14"/>
  <c r="DV69" i="14"/>
  <c r="DV195" i="14"/>
  <c r="DV190" i="14"/>
  <c r="DV31" i="14"/>
  <c r="DV71" i="14"/>
  <c r="DV63" i="14"/>
  <c r="DV150" i="14"/>
  <c r="DV173" i="14"/>
  <c r="DV168" i="14"/>
  <c r="DV24" i="14"/>
  <c r="DV154" i="14"/>
  <c r="DV202" i="14"/>
  <c r="DV23" i="14"/>
  <c r="DV182" i="14"/>
  <c r="DV169" i="14"/>
  <c r="DV61" i="14"/>
  <c r="DV57" i="14"/>
  <c r="DV183" i="14"/>
  <c r="DV152" i="14"/>
  <c r="DV28" i="14"/>
  <c r="DV32" i="14"/>
  <c r="DV144" i="14"/>
  <c r="DV65" i="14"/>
  <c r="DV19" i="14"/>
  <c r="DV207" i="14"/>
  <c r="DV151" i="14"/>
  <c r="DV184" i="14"/>
  <c r="DV186" i="14"/>
  <c r="DV200" i="14"/>
  <c r="DV21" i="14"/>
  <c r="DV211" i="14"/>
  <c r="DV17" i="14"/>
  <c r="DV157" i="14"/>
  <c r="DV204" i="14"/>
  <c r="DV177" i="14"/>
  <c r="DV172" i="14"/>
  <c r="DV35" i="14"/>
  <c r="DV199" i="14"/>
  <c r="DV161" i="14"/>
  <c r="DV191" i="14"/>
  <c r="DV29" i="14"/>
  <c r="DV30" i="14"/>
  <c r="DV58" i="14"/>
  <c r="DV55" i="14"/>
  <c r="DV67" i="14"/>
  <c r="DV162" i="14"/>
  <c r="DV148" i="14"/>
  <c r="DV166" i="14"/>
  <c r="DV33" i="14"/>
  <c r="DV62" i="14"/>
  <c r="DV25" i="14"/>
  <c r="DV147" i="14"/>
  <c r="DV205" i="14"/>
  <c r="DV170" i="14"/>
  <c r="DV143" i="14"/>
  <c r="DV210" i="14"/>
  <c r="DV40" i="14"/>
  <c r="DV39" i="14"/>
  <c r="DV47" i="14"/>
  <c r="DV45" i="14"/>
  <c r="DV49" i="14"/>
  <c r="DV41" i="14"/>
  <c r="DV51" i="14"/>
  <c r="DV42" i="14"/>
  <c r="DV43" i="14"/>
  <c r="DV46" i="14"/>
  <c r="DV50" i="14"/>
  <c r="DV36" i="14"/>
  <c r="DV44" i="14"/>
  <c r="DV38" i="14"/>
  <c r="DV37" i="14"/>
  <c r="DV48" i="14"/>
  <c r="CU29" i="14"/>
  <c r="CU145" i="14"/>
  <c r="CU53" i="14"/>
  <c r="CU211" i="14"/>
  <c r="CU31" i="14"/>
  <c r="CU186" i="14"/>
  <c r="CU180" i="14"/>
  <c r="CU201" i="14"/>
  <c r="CU192" i="14"/>
  <c r="CU35" i="14"/>
  <c r="CU212" i="14"/>
  <c r="CU64" i="14"/>
  <c r="CU32" i="14"/>
  <c r="CU20" i="14"/>
  <c r="CU68" i="14"/>
  <c r="CU58" i="14"/>
  <c r="CU154" i="14"/>
  <c r="CU213" i="14"/>
  <c r="CU187" i="14"/>
  <c r="CU204" i="14"/>
  <c r="CU152" i="14"/>
  <c r="CU30" i="14"/>
  <c r="CU148" i="14"/>
  <c r="CU55" i="14"/>
  <c r="CU197" i="14"/>
  <c r="CU189" i="14"/>
  <c r="CU147" i="14"/>
  <c r="CU172" i="14"/>
  <c r="CU175" i="14"/>
  <c r="CU54" i="14"/>
  <c r="CU157" i="14"/>
  <c r="CU62" i="14"/>
  <c r="CU194" i="14"/>
  <c r="CU143" i="14"/>
  <c r="CU174" i="14"/>
  <c r="CU184" i="14"/>
  <c r="CU164" i="14"/>
  <c r="CU173" i="14"/>
  <c r="CU163" i="14"/>
  <c r="CU188" i="14"/>
  <c r="CU27" i="14"/>
  <c r="CU66" i="14"/>
  <c r="CU151" i="14"/>
  <c r="CU202" i="14"/>
  <c r="CU199" i="14"/>
  <c r="CU185" i="14"/>
  <c r="CU177" i="14"/>
  <c r="CU57" i="14"/>
  <c r="CU21" i="14"/>
  <c r="CU191" i="14"/>
  <c r="CU166" i="14"/>
  <c r="CU209" i="14"/>
  <c r="CU200" i="14"/>
  <c r="CU149" i="14"/>
  <c r="CU24" i="14"/>
  <c r="CU23" i="14"/>
  <c r="CU63" i="14"/>
  <c r="CU71" i="14"/>
  <c r="CU22" i="14"/>
  <c r="CU165" i="14"/>
  <c r="CU150" i="14"/>
  <c r="CU60" i="14"/>
  <c r="CU210" i="14"/>
  <c r="CU19" i="14"/>
  <c r="CU17" i="14"/>
  <c r="CU146" i="14"/>
  <c r="CU208" i="14"/>
  <c r="CU183" i="14"/>
  <c r="CU69" i="14"/>
  <c r="CU33" i="14"/>
  <c r="CU144" i="14"/>
  <c r="CU190" i="14"/>
  <c r="CU158" i="14"/>
  <c r="CU18" i="14"/>
  <c r="CU156" i="14"/>
  <c r="CU207" i="14"/>
  <c r="CU176" i="14"/>
  <c r="CU182" i="14"/>
  <c r="CU171" i="14"/>
  <c r="CU169" i="14"/>
  <c r="CU56" i="14"/>
  <c r="CU168" i="14"/>
  <c r="CU67" i="14"/>
  <c r="CU26" i="14"/>
  <c r="CU167" i="14"/>
  <c r="CU198" i="14"/>
  <c r="CU162" i="14"/>
  <c r="CU28" i="14"/>
  <c r="CU195" i="14"/>
  <c r="CU193" i="14"/>
  <c r="CU155" i="14"/>
  <c r="CU170" i="14"/>
  <c r="CU25" i="14"/>
  <c r="CU65" i="14"/>
  <c r="CU205" i="14"/>
  <c r="CU159" i="14"/>
  <c r="CU161" i="14"/>
  <c r="CU61" i="14"/>
  <c r="CU179" i="14"/>
  <c r="CU153" i="14"/>
  <c r="CU59" i="14"/>
  <c r="CU181" i="14"/>
  <c r="CU40" i="14"/>
  <c r="CU39" i="14"/>
  <c r="CU45" i="14"/>
  <c r="CU47" i="14"/>
  <c r="CU49" i="14"/>
  <c r="CU42" i="14"/>
  <c r="CU43" i="14"/>
  <c r="CU41" i="14"/>
  <c r="CU46" i="14"/>
  <c r="CU51" i="14"/>
  <c r="CU50" i="14"/>
  <c r="CU37" i="14"/>
  <c r="CU38" i="14"/>
  <c r="CU36" i="14"/>
  <c r="CU44" i="14"/>
  <c r="CU48" i="14"/>
  <c r="CQ59" i="14"/>
  <c r="CQ180" i="14"/>
  <c r="CQ181" i="14"/>
  <c r="CQ208" i="14"/>
  <c r="CQ197" i="14"/>
  <c r="CQ161" i="14"/>
  <c r="CQ71" i="14"/>
  <c r="CQ185" i="14"/>
  <c r="CQ31" i="14"/>
  <c r="CQ17" i="14"/>
  <c r="CQ32" i="14"/>
  <c r="CQ68" i="14"/>
  <c r="CQ56" i="14"/>
  <c r="CQ165" i="14"/>
  <c r="CQ30" i="14"/>
  <c r="CQ190" i="14"/>
  <c r="CQ18" i="14"/>
  <c r="CQ35" i="14"/>
  <c r="CQ24" i="14"/>
  <c r="CQ195" i="14"/>
  <c r="CQ64" i="14"/>
  <c r="CQ60" i="14"/>
  <c r="CQ189" i="14"/>
  <c r="CQ61" i="14"/>
  <c r="CQ188" i="14"/>
  <c r="CQ54" i="14"/>
  <c r="CQ175" i="14"/>
  <c r="CQ29" i="14"/>
  <c r="CQ147" i="14"/>
  <c r="CQ159" i="14"/>
  <c r="CQ182" i="14"/>
  <c r="CQ25" i="14"/>
  <c r="CQ26" i="14"/>
  <c r="CQ184" i="14"/>
  <c r="CQ183" i="14"/>
  <c r="CQ146" i="14"/>
  <c r="CQ163" i="14"/>
  <c r="CQ209" i="14"/>
  <c r="CQ171" i="14"/>
  <c r="CQ153" i="14"/>
  <c r="CQ192" i="14"/>
  <c r="CQ212" i="14"/>
  <c r="CQ69" i="14"/>
  <c r="CQ204" i="14"/>
  <c r="CQ144" i="14"/>
  <c r="CQ198" i="14"/>
  <c r="CQ145" i="14"/>
  <c r="CQ33" i="14"/>
  <c r="CQ55" i="14"/>
  <c r="CQ176" i="14"/>
  <c r="CQ28" i="14"/>
  <c r="CQ149" i="14"/>
  <c r="CQ207" i="14"/>
  <c r="CQ167" i="14"/>
  <c r="CQ187" i="14"/>
  <c r="CQ150" i="14"/>
  <c r="CQ179" i="14"/>
  <c r="CQ213" i="14"/>
  <c r="CQ67" i="14"/>
  <c r="CQ193" i="14"/>
  <c r="CQ57" i="14"/>
  <c r="CQ58" i="14"/>
  <c r="CQ21" i="14"/>
  <c r="CQ174" i="14"/>
  <c r="CQ172" i="14"/>
  <c r="CQ168" i="14"/>
  <c r="CQ186" i="14"/>
  <c r="CQ166" i="14"/>
  <c r="CQ143" i="14"/>
  <c r="CQ191" i="14"/>
  <c r="CQ157" i="14"/>
  <c r="CQ154" i="14"/>
  <c r="CQ170" i="14"/>
  <c r="CQ162" i="14"/>
  <c r="CQ65" i="14"/>
  <c r="CQ156" i="14"/>
  <c r="CQ66" i="14"/>
  <c r="CQ19" i="14"/>
  <c r="CQ200" i="14"/>
  <c r="CQ211" i="14"/>
  <c r="CQ210" i="14"/>
  <c r="CQ205" i="14"/>
  <c r="CQ202" i="14"/>
  <c r="CQ152" i="14"/>
  <c r="CQ23" i="14"/>
  <c r="CQ148" i="14"/>
  <c r="CQ53" i="14"/>
  <c r="CQ194" i="14"/>
  <c r="CQ199" i="14"/>
  <c r="CQ20" i="14"/>
  <c r="CQ158" i="14"/>
  <c r="CQ164" i="14"/>
  <c r="CQ62" i="14"/>
  <c r="CQ177" i="14"/>
  <c r="CQ22" i="14"/>
  <c r="CQ27" i="14"/>
  <c r="CQ63" i="14"/>
  <c r="CQ173" i="14"/>
  <c r="CQ169" i="14"/>
  <c r="CQ155" i="14"/>
  <c r="CQ151" i="14"/>
  <c r="CQ49" i="14"/>
  <c r="CQ40" i="14"/>
  <c r="CQ39" i="14"/>
  <c r="CQ47" i="14"/>
  <c r="CQ42" i="14"/>
  <c r="CQ45" i="14"/>
  <c r="CQ41" i="14"/>
  <c r="CQ43" i="14"/>
  <c r="CQ46" i="14"/>
  <c r="CQ50" i="14"/>
  <c r="CQ51" i="14"/>
  <c r="CQ44" i="14"/>
  <c r="CQ36" i="14"/>
  <c r="CQ37" i="14"/>
  <c r="CQ38" i="14"/>
  <c r="CQ48" i="14"/>
  <c r="CM208" i="14"/>
  <c r="CM197" i="14"/>
  <c r="CM67" i="14"/>
  <c r="CM199" i="14"/>
  <c r="CM64" i="14"/>
  <c r="CM65" i="14"/>
  <c r="CM55" i="14"/>
  <c r="CM205" i="14"/>
  <c r="CM202" i="14"/>
  <c r="CM68" i="14"/>
  <c r="CM161" i="14"/>
  <c r="CM173" i="14"/>
  <c r="CM153" i="14"/>
  <c r="CM19" i="14"/>
  <c r="CM29" i="14"/>
  <c r="CM61" i="14"/>
  <c r="CM143" i="14"/>
  <c r="CM167" i="14"/>
  <c r="CM148" i="14"/>
  <c r="CM170" i="14"/>
  <c r="CM23" i="14"/>
  <c r="CM158" i="14"/>
  <c r="CM30" i="14"/>
  <c r="CM33" i="14"/>
  <c r="CM22" i="14"/>
  <c r="CM154" i="14"/>
  <c r="CM183" i="14"/>
  <c r="CM159" i="14"/>
  <c r="CM200" i="14"/>
  <c r="CM189" i="14"/>
  <c r="CM213" i="14"/>
  <c r="CM168" i="14"/>
  <c r="CM192" i="14"/>
  <c r="CM66" i="14"/>
  <c r="CM69" i="14"/>
  <c r="CM211" i="14"/>
  <c r="CM198" i="14"/>
  <c r="CM35" i="14"/>
  <c r="CM212" i="14"/>
  <c r="CM25" i="14"/>
  <c r="CM169" i="14"/>
  <c r="CM166" i="14"/>
  <c r="CM151" i="14"/>
  <c r="CM149" i="14"/>
  <c r="CM147" i="14"/>
  <c r="CM32" i="14"/>
  <c r="CM171" i="14"/>
  <c r="CM191" i="14"/>
  <c r="CM188" i="14"/>
  <c r="CM28" i="14"/>
  <c r="CM187" i="14"/>
  <c r="CM54" i="14"/>
  <c r="CM31" i="14"/>
  <c r="CM210" i="14"/>
  <c r="CM194" i="14"/>
  <c r="CM27" i="14"/>
  <c r="CM177" i="14"/>
  <c r="CM193" i="14"/>
  <c r="CM184" i="14"/>
  <c r="CM190" i="14"/>
  <c r="CM57" i="14"/>
  <c r="CM156" i="14"/>
  <c r="CM56" i="14"/>
  <c r="CM21" i="14"/>
  <c r="CM71" i="14"/>
  <c r="CM174" i="14"/>
  <c r="CM181" i="14"/>
  <c r="CM163" i="14"/>
  <c r="CM179" i="14"/>
  <c r="CM157" i="14"/>
  <c r="CM176" i="14"/>
  <c r="CM195" i="14"/>
  <c r="CM204" i="14"/>
  <c r="CM145" i="14"/>
  <c r="CM59" i="14"/>
  <c r="CM152" i="14"/>
  <c r="CM146" i="14"/>
  <c r="CM24" i="14"/>
  <c r="CM175" i="14"/>
  <c r="CM62" i="14"/>
  <c r="CM207" i="14"/>
  <c r="CM20" i="14"/>
  <c r="CM63" i="14"/>
  <c r="CM172" i="14"/>
  <c r="CM17" i="14"/>
  <c r="CM185" i="14"/>
  <c r="CM53" i="14"/>
  <c r="CM182" i="14"/>
  <c r="CM209" i="14"/>
  <c r="CM180" i="14"/>
  <c r="CM165" i="14"/>
  <c r="CM150" i="14"/>
  <c r="CM164" i="14"/>
  <c r="CM162" i="14"/>
  <c r="CM186" i="14"/>
  <c r="CM144" i="14"/>
  <c r="CM58" i="14"/>
  <c r="CM60" i="14"/>
  <c r="CM26" i="14"/>
  <c r="CM155" i="14"/>
  <c r="CM18" i="14"/>
  <c r="CM39" i="14"/>
  <c r="CM40" i="14"/>
  <c r="CM49" i="14"/>
  <c r="CM45" i="14"/>
  <c r="CM42" i="14"/>
  <c r="CM43" i="14"/>
  <c r="CM51" i="14"/>
  <c r="CM41" i="14"/>
  <c r="CM46" i="14"/>
  <c r="CM47" i="14"/>
  <c r="CM36" i="14"/>
  <c r="CM44" i="14"/>
  <c r="CM50" i="14"/>
  <c r="CM37" i="14"/>
  <c r="CM38" i="14"/>
  <c r="CM48" i="14"/>
  <c r="R160" i="14"/>
  <c r="R117" i="14"/>
  <c r="R225" i="14"/>
  <c r="V160" i="14"/>
  <c r="Z16" i="14"/>
  <c r="Z215" i="14"/>
  <c r="Z107" i="14"/>
  <c r="P32" i="35"/>
  <c r="M31" i="30"/>
  <c r="L564" i="32"/>
  <c r="I31" i="30"/>
  <c r="L32" i="35"/>
  <c r="H564" i="32"/>
  <c r="BW18" i="14"/>
  <c r="BW145" i="14"/>
  <c r="BW179" i="14"/>
  <c r="BW212" i="14"/>
  <c r="BW198" i="14"/>
  <c r="BW22" i="14"/>
  <c r="BW186" i="14"/>
  <c r="BW172" i="14"/>
  <c r="BW209" i="14"/>
  <c r="BW33" i="14"/>
  <c r="BW69" i="14"/>
  <c r="BW150" i="14"/>
  <c r="BW146" i="14"/>
  <c r="BW151" i="14"/>
  <c r="BW156" i="14"/>
  <c r="BW20" i="14"/>
  <c r="BW53" i="14"/>
  <c r="BW204" i="14"/>
  <c r="BW163" i="14"/>
  <c r="BW62" i="14"/>
  <c r="BW185" i="14"/>
  <c r="BW58" i="14"/>
  <c r="BW182" i="14"/>
  <c r="BW153" i="14"/>
  <c r="BW32" i="14"/>
  <c r="BW55" i="14"/>
  <c r="BW167" i="14"/>
  <c r="BW175" i="14"/>
  <c r="BW205" i="14"/>
  <c r="BW66" i="14"/>
  <c r="BW155" i="14"/>
  <c r="BW24" i="14"/>
  <c r="BW59" i="14"/>
  <c r="BW154" i="14"/>
  <c r="BW211" i="14"/>
  <c r="BW19" i="14"/>
  <c r="BW149" i="14"/>
  <c r="BW193" i="14"/>
  <c r="BW176" i="14"/>
  <c r="BW30" i="14"/>
  <c r="BW17" i="14"/>
  <c r="BW157" i="14"/>
  <c r="BW162" i="14"/>
  <c r="BW170" i="14"/>
  <c r="BW144" i="14"/>
  <c r="BW173" i="14"/>
  <c r="BW60" i="14"/>
  <c r="BW26" i="14"/>
  <c r="BW197" i="14"/>
  <c r="BW67" i="14"/>
  <c r="BW63" i="14"/>
  <c r="BW57" i="14"/>
  <c r="BW187" i="14"/>
  <c r="BW65" i="14"/>
  <c r="BW71" i="14"/>
  <c r="BW208" i="14"/>
  <c r="BW27" i="14"/>
  <c r="BW148" i="14"/>
  <c r="BW199" i="14"/>
  <c r="BW174" i="14"/>
  <c r="BW200" i="14"/>
  <c r="BW147" i="14"/>
  <c r="BW164" i="14"/>
  <c r="BW190" i="14"/>
  <c r="BW210" i="14"/>
  <c r="BW64" i="14"/>
  <c r="BW166" i="14"/>
  <c r="BW31" i="14"/>
  <c r="BW61" i="14"/>
  <c r="BW195" i="14"/>
  <c r="BW202" i="14"/>
  <c r="BW194" i="14"/>
  <c r="BW68" i="14"/>
  <c r="BW28" i="14"/>
  <c r="BW21" i="14"/>
  <c r="BW168" i="14"/>
  <c r="BW29" i="14"/>
  <c r="BW25" i="14"/>
  <c r="BW23" i="14"/>
  <c r="BW192" i="14"/>
  <c r="BW171" i="14"/>
  <c r="BW184" i="14"/>
  <c r="BW161" i="14"/>
  <c r="BW169" i="14"/>
  <c r="BW213" i="14"/>
  <c r="BW188" i="14"/>
  <c r="BW165" i="14"/>
  <c r="BW158" i="14"/>
  <c r="BW181" i="14"/>
  <c r="BW191" i="14"/>
  <c r="BW54" i="14"/>
  <c r="BW159" i="14"/>
  <c r="BW152" i="14"/>
  <c r="BW143" i="14"/>
  <c r="BW180" i="14"/>
  <c r="BW189" i="14"/>
  <c r="BW177" i="14"/>
  <c r="BW35" i="14"/>
  <c r="BW183" i="14"/>
  <c r="BW207" i="14"/>
  <c r="BW56" i="14"/>
  <c r="BW40" i="14"/>
  <c r="BW39" i="14"/>
  <c r="BW42" i="14"/>
  <c r="BW47" i="14"/>
  <c r="BW45" i="14"/>
  <c r="BW49" i="14"/>
  <c r="BW41" i="14"/>
  <c r="BW43" i="14"/>
  <c r="BW51" i="14"/>
  <c r="BW46" i="14"/>
  <c r="BW50" i="14"/>
  <c r="BW44" i="14"/>
  <c r="BW38" i="14"/>
  <c r="BW37" i="14"/>
  <c r="BW36" i="14"/>
  <c r="BW48" i="14"/>
  <c r="BS213" i="14"/>
  <c r="BS180" i="14"/>
  <c r="BS71" i="14"/>
  <c r="BS197" i="14"/>
  <c r="BS202" i="14"/>
  <c r="BS146" i="14"/>
  <c r="BS19" i="14"/>
  <c r="BS62" i="14"/>
  <c r="BS171" i="14"/>
  <c r="BS150" i="14"/>
  <c r="BS176" i="14"/>
  <c r="BS63" i="14"/>
  <c r="BS189" i="14"/>
  <c r="BS22" i="14"/>
  <c r="BS31" i="14"/>
  <c r="BS152" i="14"/>
  <c r="BS24" i="14"/>
  <c r="BS20" i="14"/>
  <c r="BS67" i="14"/>
  <c r="BS156" i="14"/>
  <c r="BS191" i="14"/>
  <c r="BS210" i="14"/>
  <c r="BS35" i="14"/>
  <c r="BS155" i="14"/>
  <c r="BS65" i="14"/>
  <c r="BS199" i="14"/>
  <c r="BS182" i="14"/>
  <c r="BS61" i="14"/>
  <c r="BS56" i="14"/>
  <c r="BS27" i="14"/>
  <c r="BS66" i="14"/>
  <c r="BS145" i="14"/>
  <c r="BS169" i="14"/>
  <c r="BS205" i="14"/>
  <c r="BS57" i="14"/>
  <c r="BS54" i="14"/>
  <c r="BS185" i="14"/>
  <c r="BS212" i="14"/>
  <c r="BS143" i="14"/>
  <c r="BS200" i="14"/>
  <c r="BS149" i="14"/>
  <c r="BS69" i="14"/>
  <c r="BS151" i="14"/>
  <c r="BS165" i="14"/>
  <c r="BS194" i="14"/>
  <c r="BS208" i="14"/>
  <c r="BS201" i="14"/>
  <c r="BS164" i="14"/>
  <c r="BS144" i="14"/>
  <c r="BS172" i="14"/>
  <c r="BS28" i="14"/>
  <c r="BS181" i="14"/>
  <c r="BS198" i="14"/>
  <c r="BS68" i="14"/>
  <c r="BS195" i="14"/>
  <c r="BS211" i="14"/>
  <c r="BS188" i="14"/>
  <c r="BS18" i="14"/>
  <c r="BS32" i="14"/>
  <c r="BS173" i="14"/>
  <c r="BS170" i="14"/>
  <c r="BS33" i="14"/>
  <c r="BS162" i="14"/>
  <c r="BS30" i="14"/>
  <c r="BS183" i="14"/>
  <c r="BS147" i="14"/>
  <c r="BS166" i="14"/>
  <c r="BS192" i="14"/>
  <c r="BS148" i="14"/>
  <c r="BS163" i="14"/>
  <c r="BS175" i="14"/>
  <c r="BS29" i="14"/>
  <c r="BS184" i="14"/>
  <c r="BS26" i="14"/>
  <c r="BS23" i="14"/>
  <c r="BS53" i="14"/>
  <c r="BS187" i="14"/>
  <c r="BS174" i="14"/>
  <c r="BS204" i="14"/>
  <c r="BS209" i="14"/>
  <c r="BS55" i="14"/>
  <c r="BS58" i="14"/>
  <c r="BS161" i="14"/>
  <c r="BS179" i="14"/>
  <c r="BS177" i="14"/>
  <c r="BS207" i="14"/>
  <c r="BS60" i="14"/>
  <c r="BS21" i="14"/>
  <c r="BS59" i="14"/>
  <c r="BS17" i="14"/>
  <c r="BS190" i="14"/>
  <c r="BS157" i="14"/>
  <c r="BS159" i="14"/>
  <c r="BS25" i="14"/>
  <c r="BS186" i="14"/>
  <c r="BS168" i="14"/>
  <c r="BS64" i="14"/>
  <c r="BS153" i="14"/>
  <c r="BS154" i="14"/>
  <c r="BS158" i="14"/>
  <c r="BS167" i="14"/>
  <c r="BS193" i="14"/>
  <c r="BS40" i="14"/>
  <c r="BS49" i="14"/>
  <c r="BS45" i="14"/>
  <c r="BS42" i="14"/>
  <c r="BS39" i="14"/>
  <c r="BS47" i="14"/>
  <c r="BS43" i="14"/>
  <c r="BS46" i="14"/>
  <c r="BS51" i="14"/>
  <c r="BS41" i="14"/>
  <c r="BS50" i="14"/>
  <c r="BS37" i="14"/>
  <c r="BS44" i="14"/>
  <c r="BS36" i="14"/>
  <c r="BS48" i="14"/>
  <c r="BS38" i="14"/>
  <c r="BO161" i="14"/>
  <c r="BO168" i="14"/>
  <c r="BO35" i="14"/>
  <c r="BO157" i="14"/>
  <c r="BO175" i="14"/>
  <c r="BO151" i="14"/>
  <c r="BO152" i="14"/>
  <c r="BO67" i="14"/>
  <c r="BO205" i="14"/>
  <c r="BO53" i="14"/>
  <c r="BO64" i="14"/>
  <c r="BO21" i="14"/>
  <c r="BO210" i="14"/>
  <c r="BO54" i="14"/>
  <c r="BO19" i="14"/>
  <c r="BO68" i="14"/>
  <c r="BO155" i="14"/>
  <c r="BO204" i="14"/>
  <c r="BO206" i="14"/>
  <c r="BO184" i="14"/>
  <c r="BO146" i="14"/>
  <c r="BO190" i="14"/>
  <c r="BO195" i="14"/>
  <c r="BO27" i="14"/>
  <c r="BO183" i="14"/>
  <c r="BO22" i="14"/>
  <c r="BO166" i="14"/>
  <c r="BO28" i="14"/>
  <c r="BO147" i="14"/>
  <c r="BO153" i="14"/>
  <c r="BO203" i="14"/>
  <c r="BO185" i="14"/>
  <c r="BO212" i="14"/>
  <c r="BO29" i="14"/>
  <c r="BO169" i="14"/>
  <c r="BO209" i="14"/>
  <c r="BO165" i="14"/>
  <c r="BO71" i="14"/>
  <c r="BO202" i="14"/>
  <c r="BO187" i="14"/>
  <c r="BO188" i="14"/>
  <c r="BO154" i="14"/>
  <c r="BO143" i="14"/>
  <c r="BO31" i="14"/>
  <c r="BO198" i="14"/>
  <c r="BO197" i="14"/>
  <c r="BO186" i="14"/>
  <c r="BO199" i="14"/>
  <c r="BO180" i="14"/>
  <c r="BO207" i="14"/>
  <c r="BO60" i="14"/>
  <c r="BO191" i="14"/>
  <c r="BO148" i="14"/>
  <c r="BO66" i="14"/>
  <c r="BO159" i="14"/>
  <c r="BO179" i="14"/>
  <c r="BO69" i="14"/>
  <c r="BO62" i="14"/>
  <c r="BO59" i="14"/>
  <c r="BO23" i="14"/>
  <c r="BO25" i="14"/>
  <c r="BO24" i="14"/>
  <c r="BO177" i="14"/>
  <c r="BO164" i="14"/>
  <c r="BO170" i="14"/>
  <c r="BO55" i="14"/>
  <c r="BO56" i="14"/>
  <c r="BO156" i="14"/>
  <c r="BO200" i="14"/>
  <c r="BO63" i="14"/>
  <c r="BO208" i="14"/>
  <c r="BO30" i="14"/>
  <c r="BO173" i="14"/>
  <c r="BO33" i="14"/>
  <c r="BO149" i="14"/>
  <c r="BO163" i="14"/>
  <c r="BO162" i="14"/>
  <c r="BO182" i="14"/>
  <c r="BO26" i="14"/>
  <c r="BO32" i="14"/>
  <c r="BO189" i="14"/>
  <c r="BO61" i="14"/>
  <c r="BO57" i="14"/>
  <c r="BO211" i="14"/>
  <c r="BO144" i="14"/>
  <c r="BO171" i="14"/>
  <c r="BO18" i="14"/>
  <c r="BO176" i="14"/>
  <c r="BO17" i="14"/>
  <c r="BO167" i="14"/>
  <c r="BO174" i="14"/>
  <c r="BO145" i="14"/>
  <c r="BO172" i="14"/>
  <c r="BO58" i="14"/>
  <c r="BO150" i="14"/>
  <c r="BO65" i="14"/>
  <c r="BO193" i="14"/>
  <c r="BO20" i="14"/>
  <c r="BO192" i="14"/>
  <c r="BO213" i="14"/>
  <c r="BO158" i="14"/>
  <c r="BO194" i="14"/>
  <c r="BO181" i="14"/>
  <c r="BO40" i="14"/>
  <c r="BO39" i="14"/>
  <c r="BO42" i="14"/>
  <c r="BO45" i="14"/>
  <c r="BO49" i="14"/>
  <c r="BO47" i="14"/>
  <c r="BO51" i="14"/>
  <c r="BO41" i="14"/>
  <c r="BO43" i="14"/>
  <c r="BO46" i="14"/>
  <c r="BO50" i="14"/>
  <c r="BO44" i="14"/>
  <c r="BO38" i="14"/>
  <c r="BO36" i="14"/>
  <c r="BO37" i="14"/>
  <c r="BO48" i="14"/>
  <c r="S220" i="14"/>
  <c r="S112" i="14"/>
  <c r="S160" i="14"/>
  <c r="AA178" i="14"/>
  <c r="AA221" i="14"/>
  <c r="EQ46" i="6"/>
  <c r="EM46" i="6"/>
  <c r="EI46" i="6"/>
  <c r="EE46" i="6"/>
  <c r="EA46" i="6"/>
  <c r="DW46" i="6"/>
  <c r="DS46" i="6"/>
  <c r="DO46" i="6"/>
  <c r="DK46" i="6"/>
  <c r="DG46" i="6"/>
  <c r="DC46" i="6"/>
  <c r="CY46" i="6"/>
  <c r="CU46" i="6"/>
  <c r="CQ46" i="6"/>
  <c r="CM46" i="6"/>
  <c r="CI46" i="6"/>
  <c r="CE46" i="6"/>
  <c r="CA46" i="6"/>
  <c r="BW46" i="6"/>
  <c r="BS46" i="6"/>
  <c r="BO46" i="6"/>
  <c r="BK46" i="6"/>
  <c r="BG46" i="6"/>
  <c r="BC46" i="6"/>
  <c r="AY46" i="6"/>
  <c r="AU46" i="6"/>
  <c r="AQ46" i="6"/>
  <c r="AM46" i="6"/>
  <c r="M30" i="30"/>
  <c r="M32" i="30"/>
  <c r="L563" i="32"/>
  <c r="AI46" i="6"/>
  <c r="AE46" i="6"/>
  <c r="AA46" i="6"/>
  <c r="W47" i="6"/>
  <c r="L31" i="35" s="1"/>
  <c r="S46" i="6"/>
  <c r="O47" i="6"/>
  <c r="O46" i="6" s="1"/>
  <c r="BJ144" i="14"/>
  <c r="BJ145" i="14"/>
  <c r="BJ161" i="14"/>
  <c r="BJ191" i="14"/>
  <c r="BJ184" i="14"/>
  <c r="BJ185" i="14"/>
  <c r="BJ198" i="14"/>
  <c r="BJ202" i="14"/>
  <c r="BJ61" i="14"/>
  <c r="BJ23" i="14"/>
  <c r="BJ152" i="14"/>
  <c r="BJ32" i="14"/>
  <c r="BJ146" i="14"/>
  <c r="BJ153" i="14"/>
  <c r="BJ195" i="14"/>
  <c r="BJ63" i="14"/>
  <c r="BJ55" i="14"/>
  <c r="BJ187" i="14"/>
  <c r="BJ62" i="14"/>
  <c r="BJ182" i="14"/>
  <c r="BJ181" i="14"/>
  <c r="BJ20" i="14"/>
  <c r="BJ67" i="14"/>
  <c r="BJ22" i="14"/>
  <c r="BJ211" i="14"/>
  <c r="BJ57" i="14"/>
  <c r="BJ156" i="14"/>
  <c r="BJ199" i="14"/>
  <c r="BJ35" i="14"/>
  <c r="BJ193" i="14"/>
  <c r="BJ163" i="14"/>
  <c r="BJ189" i="14"/>
  <c r="BJ194" i="14"/>
  <c r="BJ30" i="14"/>
  <c r="BJ168" i="14"/>
  <c r="BJ143" i="14"/>
  <c r="BJ165" i="14"/>
  <c r="BJ58" i="14"/>
  <c r="BJ66" i="14"/>
  <c r="BJ166" i="14"/>
  <c r="BJ154" i="14"/>
  <c r="BJ65" i="14"/>
  <c r="BJ28" i="14"/>
  <c r="BJ59" i="14"/>
  <c r="BJ150" i="14"/>
  <c r="BJ151" i="14"/>
  <c r="BJ33" i="14"/>
  <c r="BJ69" i="14"/>
  <c r="BJ162" i="14"/>
  <c r="BJ180" i="14"/>
  <c r="BJ208" i="14"/>
  <c r="BJ175" i="14"/>
  <c r="BJ54" i="14"/>
  <c r="BJ206" i="14"/>
  <c r="BJ174" i="14"/>
  <c r="BJ56" i="14"/>
  <c r="BJ176" i="14"/>
  <c r="BJ205" i="14"/>
  <c r="BJ19" i="14"/>
  <c r="BJ29" i="14"/>
  <c r="BJ209" i="14"/>
  <c r="BJ170" i="14"/>
  <c r="BJ188" i="14"/>
  <c r="BJ190" i="14"/>
  <c r="BJ159" i="14"/>
  <c r="BJ164" i="14"/>
  <c r="BJ17" i="14"/>
  <c r="BJ24" i="14"/>
  <c r="BJ147" i="14"/>
  <c r="BJ213" i="14"/>
  <c r="BJ210" i="14"/>
  <c r="BJ200" i="14"/>
  <c r="BJ171" i="14"/>
  <c r="BJ27" i="14"/>
  <c r="BJ18" i="14"/>
  <c r="BJ172" i="14"/>
  <c r="BJ183" i="14"/>
  <c r="BJ179" i="14"/>
  <c r="BJ60" i="14"/>
  <c r="BJ71" i="14"/>
  <c r="BJ177" i="14"/>
  <c r="BJ53" i="14"/>
  <c r="BJ169" i="14"/>
  <c r="BJ148" i="14"/>
  <c r="BJ64" i="14"/>
  <c r="BJ167" i="14"/>
  <c r="BJ207" i="14"/>
  <c r="BJ173" i="14"/>
  <c r="BJ155" i="14"/>
  <c r="BJ158" i="14"/>
  <c r="BJ25" i="14"/>
  <c r="BJ68" i="14"/>
  <c r="BJ26" i="14"/>
  <c r="BJ21" i="14"/>
  <c r="BJ192" i="14"/>
  <c r="BJ31" i="14"/>
  <c r="BJ149" i="14"/>
  <c r="BJ157" i="14"/>
  <c r="BJ197" i="14"/>
  <c r="BJ186" i="14"/>
  <c r="BJ212" i="14"/>
  <c r="BJ204" i="14"/>
  <c r="BJ40" i="14"/>
  <c r="BJ39" i="14"/>
  <c r="BJ49" i="14"/>
  <c r="BJ45" i="14"/>
  <c r="BJ42" i="14"/>
  <c r="BJ47" i="14"/>
  <c r="BJ50" i="14"/>
  <c r="BJ43" i="14"/>
  <c r="BJ51" i="14"/>
  <c r="BJ41" i="14"/>
  <c r="BJ46" i="14"/>
  <c r="BJ37" i="14"/>
  <c r="BJ36" i="14"/>
  <c r="BJ44" i="14"/>
  <c r="BJ38" i="14"/>
  <c r="BJ48" i="14"/>
  <c r="BF169" i="14"/>
  <c r="BF55" i="14"/>
  <c r="BF156" i="14"/>
  <c r="BF187" i="14"/>
  <c r="BF182" i="14"/>
  <c r="BF205" i="14"/>
  <c r="BF150" i="14"/>
  <c r="BF19" i="14"/>
  <c r="BF183" i="14"/>
  <c r="BF154" i="14"/>
  <c r="BF208" i="14"/>
  <c r="BF20" i="14"/>
  <c r="BF164" i="14"/>
  <c r="BF161" i="14"/>
  <c r="BF153" i="14"/>
  <c r="BF145" i="14"/>
  <c r="BF190" i="14"/>
  <c r="BF71" i="14"/>
  <c r="BF27" i="14"/>
  <c r="BF191" i="14"/>
  <c r="BF35" i="14"/>
  <c r="BF158" i="14"/>
  <c r="BF58" i="14"/>
  <c r="BF172" i="14"/>
  <c r="BF148" i="14"/>
  <c r="BF173" i="14"/>
  <c r="BF33" i="14"/>
  <c r="BF199" i="14"/>
  <c r="BF157" i="14"/>
  <c r="BF149" i="14"/>
  <c r="BF174" i="14"/>
  <c r="BF192" i="14"/>
  <c r="BF188" i="14"/>
  <c r="BF31" i="14"/>
  <c r="BF186" i="14"/>
  <c r="BF155" i="14"/>
  <c r="BF198" i="14"/>
  <c r="BF53" i="14"/>
  <c r="BF151" i="14"/>
  <c r="BF211" i="14"/>
  <c r="BF22" i="14"/>
  <c r="BF176" i="14"/>
  <c r="BF209" i="14"/>
  <c r="BF26" i="14"/>
  <c r="BF57" i="14"/>
  <c r="BF163" i="14"/>
  <c r="BF152" i="14"/>
  <c r="BF159" i="14"/>
  <c r="BF193" i="14"/>
  <c r="BF180" i="14"/>
  <c r="BF25" i="14"/>
  <c r="BF67" i="14"/>
  <c r="BF23" i="14"/>
  <c r="BF165" i="14"/>
  <c r="BF185" i="14"/>
  <c r="BF65" i="14"/>
  <c r="BF63" i="14"/>
  <c r="BF56" i="14"/>
  <c r="BF69" i="14"/>
  <c r="BF194" i="14"/>
  <c r="BF168" i="14"/>
  <c r="BF213" i="14"/>
  <c r="BF59" i="14"/>
  <c r="BF197" i="14"/>
  <c r="BF212" i="14"/>
  <c r="BF64" i="14"/>
  <c r="BF29" i="14"/>
  <c r="BF170" i="14"/>
  <c r="BF147" i="14"/>
  <c r="BF162" i="14"/>
  <c r="BF32" i="14"/>
  <c r="BF166" i="14"/>
  <c r="BF61" i="14"/>
  <c r="BF62" i="14"/>
  <c r="BF30" i="14"/>
  <c r="BF146" i="14"/>
  <c r="BF17" i="14"/>
  <c r="BF66" i="14"/>
  <c r="BF189" i="14"/>
  <c r="BF179" i="14"/>
  <c r="BF204" i="14"/>
  <c r="BF177" i="14"/>
  <c r="BF60" i="14"/>
  <c r="BF171" i="14"/>
  <c r="BF175" i="14"/>
  <c r="BF24" i="14"/>
  <c r="BF210" i="14"/>
  <c r="BF167" i="14"/>
  <c r="BF200" i="14"/>
  <c r="BF207" i="14"/>
  <c r="BF28" i="14"/>
  <c r="BF181" i="14"/>
  <c r="BF54" i="14"/>
  <c r="BF184" i="14"/>
  <c r="BF21" i="14"/>
  <c r="BF68" i="14"/>
  <c r="BF144" i="14"/>
  <c r="BF195" i="14"/>
  <c r="BF18" i="14"/>
  <c r="BF143" i="14"/>
  <c r="BF202" i="14"/>
  <c r="BF40" i="14"/>
  <c r="BF42" i="14"/>
  <c r="BF47" i="14"/>
  <c r="BF45" i="14"/>
  <c r="BF39" i="14"/>
  <c r="BF49" i="14"/>
  <c r="BF41" i="14"/>
  <c r="BF46" i="14"/>
  <c r="BF51" i="14"/>
  <c r="BF43" i="14"/>
  <c r="BF50" i="14"/>
  <c r="BF44" i="14"/>
  <c r="BF37" i="14"/>
  <c r="BF38" i="14"/>
  <c r="BF36" i="14"/>
  <c r="BF48" i="14"/>
  <c r="BB211" i="14"/>
  <c r="BB170" i="14"/>
  <c r="BB180" i="14"/>
  <c r="BB56" i="14"/>
  <c r="BB63" i="14"/>
  <c r="BB19" i="14"/>
  <c r="BB197" i="14"/>
  <c r="BB156" i="14"/>
  <c r="BB57" i="14"/>
  <c r="BB169" i="14"/>
  <c r="BB176" i="14"/>
  <c r="BB67" i="14"/>
  <c r="BB18" i="14"/>
  <c r="BB172" i="14"/>
  <c r="BB24" i="14"/>
  <c r="BB210" i="14"/>
  <c r="BB20" i="14"/>
  <c r="BB171" i="14"/>
  <c r="BB181" i="14"/>
  <c r="BB32" i="14"/>
  <c r="BB149" i="14"/>
  <c r="BB29" i="14"/>
  <c r="BB192" i="14"/>
  <c r="BB163" i="14"/>
  <c r="BB154" i="14"/>
  <c r="BB26" i="14"/>
  <c r="BB31" i="14"/>
  <c r="BB213" i="14"/>
  <c r="BB164" i="14"/>
  <c r="BB62" i="14"/>
  <c r="BB21" i="14"/>
  <c r="BB193" i="14"/>
  <c r="BB207" i="14"/>
  <c r="BB68" i="14"/>
  <c r="BB190" i="14"/>
  <c r="BB174" i="14"/>
  <c r="BB69" i="14"/>
  <c r="BB152" i="14"/>
  <c r="BB147" i="14"/>
  <c r="BB28" i="14"/>
  <c r="BB22" i="14"/>
  <c r="BB175" i="14"/>
  <c r="BB35" i="14"/>
  <c r="BB179" i="14"/>
  <c r="BB199" i="14"/>
  <c r="BB30" i="14"/>
  <c r="BB60" i="14"/>
  <c r="BB173" i="14"/>
  <c r="BB187" i="14"/>
  <c r="BB168" i="14"/>
  <c r="BB202" i="14"/>
  <c r="BB71" i="14"/>
  <c r="BB195" i="14"/>
  <c r="BB205" i="14"/>
  <c r="BB54" i="14"/>
  <c r="BB65" i="14"/>
  <c r="BB185" i="14"/>
  <c r="BB209" i="14"/>
  <c r="BB146" i="14"/>
  <c r="BB23" i="14"/>
  <c r="BB165" i="14"/>
  <c r="BB189" i="14"/>
  <c r="BB143" i="14"/>
  <c r="BB183" i="14"/>
  <c r="BB188" i="14"/>
  <c r="BB25" i="14"/>
  <c r="BB158" i="14"/>
  <c r="BB200" i="14"/>
  <c r="BB64" i="14"/>
  <c r="BB182" i="14"/>
  <c r="BB161" i="14"/>
  <c r="BB148" i="14"/>
  <c r="BB159" i="14"/>
  <c r="BB33" i="14"/>
  <c r="BB53" i="14"/>
  <c r="BB208" i="14"/>
  <c r="BB145" i="14"/>
  <c r="BB59" i="14"/>
  <c r="BB61" i="14"/>
  <c r="BB191" i="14"/>
  <c r="BB167" i="14"/>
  <c r="BB17" i="14"/>
  <c r="BB58" i="14"/>
  <c r="BB153" i="14"/>
  <c r="BB212" i="14"/>
  <c r="BB66" i="14"/>
  <c r="BB177" i="14"/>
  <c r="BB162" i="14"/>
  <c r="BB55" i="14"/>
  <c r="BB150" i="14"/>
  <c r="BB27" i="14"/>
  <c r="BB194" i="14"/>
  <c r="BB157" i="14"/>
  <c r="BB155" i="14"/>
  <c r="BB198" i="14"/>
  <c r="BB186" i="14"/>
  <c r="BB151" i="14"/>
  <c r="BB204" i="14"/>
  <c r="BB166" i="14"/>
  <c r="BB144" i="14"/>
  <c r="BB184" i="14"/>
  <c r="BB40" i="14"/>
  <c r="BB39" i="14"/>
  <c r="BB49" i="14"/>
  <c r="BB45" i="14"/>
  <c r="BB42" i="14"/>
  <c r="BB47" i="14"/>
  <c r="BB43" i="14"/>
  <c r="BB46" i="14"/>
  <c r="BB41" i="14"/>
  <c r="BB51" i="14"/>
  <c r="BB50" i="14"/>
  <c r="BB37" i="14"/>
  <c r="BB36" i="14"/>
  <c r="BB44" i="14"/>
  <c r="BB38" i="14"/>
  <c r="BB48" i="14"/>
  <c r="W178" i="14"/>
  <c r="W229" i="14"/>
  <c r="W121" i="14"/>
  <c r="W218" i="14"/>
  <c r="W110" i="14"/>
  <c r="W119" i="14"/>
  <c r="W227" i="14"/>
  <c r="Q160" i="14"/>
  <c r="CJ167" i="14"/>
  <c r="CJ158" i="14"/>
  <c r="CJ174" i="14"/>
  <c r="CJ58" i="14"/>
  <c r="CJ22" i="14"/>
  <c r="CJ164" i="14"/>
  <c r="CJ211" i="14"/>
  <c r="CJ183" i="14"/>
  <c r="CJ67" i="14"/>
  <c r="CJ209" i="14"/>
  <c r="CJ166" i="14"/>
  <c r="CJ25" i="14"/>
  <c r="CJ71" i="14"/>
  <c r="CJ185" i="14"/>
  <c r="CJ21" i="14"/>
  <c r="CJ171" i="14"/>
  <c r="CJ213" i="14"/>
  <c r="CJ151" i="14"/>
  <c r="CJ145" i="14"/>
  <c r="CJ189" i="14"/>
  <c r="CJ31" i="14"/>
  <c r="CJ186" i="14"/>
  <c r="CJ35" i="14"/>
  <c r="CJ143" i="14"/>
  <c r="CJ64" i="14"/>
  <c r="CJ176" i="14"/>
  <c r="CJ26" i="14"/>
  <c r="CJ27" i="14"/>
  <c r="CJ54" i="14"/>
  <c r="CJ61" i="14"/>
  <c r="CJ182" i="14"/>
  <c r="CJ152" i="14"/>
  <c r="CJ154" i="14"/>
  <c r="CJ63" i="14"/>
  <c r="CJ192" i="14"/>
  <c r="CJ208" i="14"/>
  <c r="CJ162" i="14"/>
  <c r="CJ157" i="14"/>
  <c r="CJ188" i="14"/>
  <c r="CJ17" i="14"/>
  <c r="CJ69" i="14"/>
  <c r="CJ148" i="14"/>
  <c r="CJ59" i="14"/>
  <c r="CJ30" i="14"/>
  <c r="CJ175" i="14"/>
  <c r="CJ205" i="14"/>
  <c r="CJ159" i="14"/>
  <c r="CJ195" i="14"/>
  <c r="CJ194" i="14"/>
  <c r="CJ156" i="14"/>
  <c r="CJ190" i="14"/>
  <c r="CJ200" i="14"/>
  <c r="CJ20" i="14"/>
  <c r="CJ179" i="14"/>
  <c r="CJ210" i="14"/>
  <c r="CJ18" i="14"/>
  <c r="CJ153" i="14"/>
  <c r="CJ19" i="14"/>
  <c r="CJ212" i="14"/>
  <c r="CJ168" i="14"/>
  <c r="CJ56" i="14"/>
  <c r="CJ207" i="14"/>
  <c r="CJ172" i="14"/>
  <c r="CJ177" i="14"/>
  <c r="CJ197" i="14"/>
  <c r="CJ146" i="14"/>
  <c r="CJ23" i="14"/>
  <c r="CJ193" i="14"/>
  <c r="CJ163" i="14"/>
  <c r="CJ53" i="14"/>
  <c r="CJ28" i="14"/>
  <c r="CJ155" i="14"/>
  <c r="CJ150" i="14"/>
  <c r="CJ68" i="14"/>
  <c r="CJ165" i="14"/>
  <c r="CJ199" i="14"/>
  <c r="CJ66" i="14"/>
  <c r="CJ55" i="14"/>
  <c r="CJ204" i="14"/>
  <c r="CJ149" i="14"/>
  <c r="CJ202" i="14"/>
  <c r="CJ191" i="14"/>
  <c r="CJ161" i="14"/>
  <c r="CJ184" i="14"/>
  <c r="CJ32" i="14"/>
  <c r="CJ180" i="14"/>
  <c r="CJ169" i="14"/>
  <c r="CJ173" i="14"/>
  <c r="CJ62" i="14"/>
  <c r="CJ33" i="14"/>
  <c r="CJ65" i="14"/>
  <c r="CJ198" i="14"/>
  <c r="CJ170" i="14"/>
  <c r="CJ181" i="14"/>
  <c r="CJ57" i="14"/>
  <c r="CJ29" i="14"/>
  <c r="CJ187" i="14"/>
  <c r="CJ24" i="14"/>
  <c r="CJ60" i="14"/>
  <c r="CJ144" i="14"/>
  <c r="CJ147" i="14"/>
  <c r="CJ40" i="14"/>
  <c r="CJ39" i="14"/>
  <c r="CJ45" i="14"/>
  <c r="CJ49" i="14"/>
  <c r="CJ42" i="14"/>
  <c r="CJ47" i="14"/>
  <c r="CJ43" i="14"/>
  <c r="CJ41" i="14"/>
  <c r="CJ46" i="14"/>
  <c r="CJ51" i="14"/>
  <c r="CJ50" i="14"/>
  <c r="CJ38" i="14"/>
  <c r="CJ37" i="14"/>
  <c r="CJ44" i="14"/>
  <c r="CJ36" i="14"/>
  <c r="CJ48" i="14"/>
  <c r="CF168" i="14"/>
  <c r="CF158" i="14"/>
  <c r="CF32" i="14"/>
  <c r="CF176" i="14"/>
  <c r="CF65" i="14"/>
  <c r="CF56" i="14"/>
  <c r="CF163" i="14"/>
  <c r="CF174" i="14"/>
  <c r="CF20" i="14"/>
  <c r="CF28" i="14"/>
  <c r="CF62" i="14"/>
  <c r="CF180" i="14"/>
  <c r="CF195" i="14"/>
  <c r="CF146" i="14"/>
  <c r="CF53" i="14"/>
  <c r="CF55" i="14"/>
  <c r="CF205" i="14"/>
  <c r="CF210" i="14"/>
  <c r="CF57" i="14"/>
  <c r="CF198" i="14"/>
  <c r="CF21" i="14"/>
  <c r="CF207" i="14"/>
  <c r="CF179" i="14"/>
  <c r="CF69" i="14"/>
  <c r="CF213" i="14"/>
  <c r="CF183" i="14"/>
  <c r="CF191" i="14"/>
  <c r="CF148" i="14"/>
  <c r="CF187" i="14"/>
  <c r="CF157" i="14"/>
  <c r="CF145" i="14"/>
  <c r="CF154" i="14"/>
  <c r="CF202" i="14"/>
  <c r="CF209" i="14"/>
  <c r="CF182" i="14"/>
  <c r="CF188" i="14"/>
  <c r="CF150" i="14"/>
  <c r="CF197" i="14"/>
  <c r="CF161" i="14"/>
  <c r="CF159" i="14"/>
  <c r="CF186" i="14"/>
  <c r="CF211" i="14"/>
  <c r="CF177" i="14"/>
  <c r="CF23" i="14"/>
  <c r="CF31" i="14"/>
  <c r="CF17" i="14"/>
  <c r="CF153" i="14"/>
  <c r="CF35" i="14"/>
  <c r="CF212" i="14"/>
  <c r="CF155" i="14"/>
  <c r="CF162" i="14"/>
  <c r="CF61" i="14"/>
  <c r="CF24" i="14"/>
  <c r="CF200" i="14"/>
  <c r="CF181" i="14"/>
  <c r="CF170" i="14"/>
  <c r="CF169" i="14"/>
  <c r="CF54" i="14"/>
  <c r="CF204" i="14"/>
  <c r="CF63" i="14"/>
  <c r="CF167" i="14"/>
  <c r="CF193" i="14"/>
  <c r="CF64" i="14"/>
  <c r="CF144" i="14"/>
  <c r="CF71" i="14"/>
  <c r="CF164" i="14"/>
  <c r="CF58" i="14"/>
  <c r="CF190" i="14"/>
  <c r="CF66" i="14"/>
  <c r="CF59" i="14"/>
  <c r="CF189" i="14"/>
  <c r="CF152" i="14"/>
  <c r="CF175" i="14"/>
  <c r="CF185" i="14"/>
  <c r="CF194" i="14"/>
  <c r="CF192" i="14"/>
  <c r="CF149" i="14"/>
  <c r="CF29" i="14"/>
  <c r="CF171" i="14"/>
  <c r="CF173" i="14"/>
  <c r="CF147" i="14"/>
  <c r="CF143" i="14"/>
  <c r="CF18" i="14"/>
  <c r="CF208" i="14"/>
  <c r="CF27" i="14"/>
  <c r="CF166" i="14"/>
  <c r="CF19" i="14"/>
  <c r="CF172" i="14"/>
  <c r="CF33" i="14"/>
  <c r="CF25" i="14"/>
  <c r="CF22" i="14"/>
  <c r="CF68" i="14"/>
  <c r="CF156" i="14"/>
  <c r="CF184" i="14"/>
  <c r="CF67" i="14"/>
  <c r="CF30" i="14"/>
  <c r="CF60" i="14"/>
  <c r="CF26" i="14"/>
  <c r="CF151" i="14"/>
  <c r="CF165" i="14"/>
  <c r="CF199" i="14"/>
  <c r="CF40" i="14"/>
  <c r="CF39" i="14"/>
  <c r="CF49" i="14"/>
  <c r="CF47" i="14"/>
  <c r="CF42" i="14"/>
  <c r="CF45" i="14"/>
  <c r="CF46" i="14"/>
  <c r="CF51" i="14"/>
  <c r="CF41" i="14"/>
  <c r="CF43" i="14"/>
  <c r="CF50" i="14"/>
  <c r="CF36" i="14"/>
  <c r="CF44" i="14"/>
  <c r="CF38" i="14"/>
  <c r="CF48" i="14"/>
  <c r="CF37" i="14"/>
  <c r="CB157" i="14"/>
  <c r="CB174" i="14"/>
  <c r="CB17" i="14"/>
  <c r="CB19" i="14"/>
  <c r="CB33" i="14"/>
  <c r="CB159" i="14"/>
  <c r="CB164" i="14"/>
  <c r="CB143" i="14"/>
  <c r="CB211" i="14"/>
  <c r="CB205" i="14"/>
  <c r="CB172" i="14"/>
  <c r="CB204" i="14"/>
  <c r="CB200" i="14"/>
  <c r="CB188" i="14"/>
  <c r="CB177" i="14"/>
  <c r="CB184" i="14"/>
  <c r="CB206" i="14"/>
  <c r="CB194" i="14"/>
  <c r="CB21" i="14"/>
  <c r="CB71" i="14"/>
  <c r="CB23" i="14"/>
  <c r="CB153" i="14"/>
  <c r="CB192" i="14"/>
  <c r="CB202" i="14"/>
  <c r="CB67" i="14"/>
  <c r="CB155" i="14"/>
  <c r="CB173" i="14"/>
  <c r="CB20" i="14"/>
  <c r="CB144" i="14"/>
  <c r="CB175" i="14"/>
  <c r="CB165" i="14"/>
  <c r="CB163" i="14"/>
  <c r="CB182" i="14"/>
  <c r="CB149" i="14"/>
  <c r="CB180" i="14"/>
  <c r="CB181" i="14"/>
  <c r="CB55" i="14"/>
  <c r="CB59" i="14"/>
  <c r="CB208" i="14"/>
  <c r="CB185" i="14"/>
  <c r="CB197" i="14"/>
  <c r="CB62" i="14"/>
  <c r="CB161" i="14"/>
  <c r="CB64" i="14"/>
  <c r="CB169" i="14"/>
  <c r="CB207" i="14"/>
  <c r="CB63" i="14"/>
  <c r="CB156" i="14"/>
  <c r="CB145" i="14"/>
  <c r="CB29" i="14"/>
  <c r="CB167" i="14"/>
  <c r="CB162" i="14"/>
  <c r="CB150" i="14"/>
  <c r="CB31" i="14"/>
  <c r="CB152" i="14"/>
  <c r="CB66" i="14"/>
  <c r="CB22" i="14"/>
  <c r="CB179" i="14"/>
  <c r="CB212" i="14"/>
  <c r="CB203" i="14"/>
  <c r="CB193" i="14"/>
  <c r="CB151" i="14"/>
  <c r="CB195" i="14"/>
  <c r="CB154" i="14"/>
  <c r="CB147" i="14"/>
  <c r="CB35" i="14"/>
  <c r="CB18" i="14"/>
  <c r="CB166" i="14"/>
  <c r="CB170" i="14"/>
  <c r="CB32" i="14"/>
  <c r="CB27" i="14"/>
  <c r="CB209" i="14"/>
  <c r="CB26" i="14"/>
  <c r="CB65" i="14"/>
  <c r="CB210" i="14"/>
  <c r="CB187" i="14"/>
  <c r="CB56" i="14"/>
  <c r="CB168" i="14"/>
  <c r="CB213" i="14"/>
  <c r="CB61" i="14"/>
  <c r="CB176" i="14"/>
  <c r="CB60" i="14"/>
  <c r="CB25" i="14"/>
  <c r="CB69" i="14"/>
  <c r="CB191" i="14"/>
  <c r="CB158" i="14"/>
  <c r="CB199" i="14"/>
  <c r="CB53" i="14"/>
  <c r="CB186" i="14"/>
  <c r="CB57" i="14"/>
  <c r="CB183" i="14"/>
  <c r="CB190" i="14"/>
  <c r="CB148" i="14"/>
  <c r="CB54" i="14"/>
  <c r="CB171" i="14"/>
  <c r="CB30" i="14"/>
  <c r="CB198" i="14"/>
  <c r="CB24" i="14"/>
  <c r="CB28" i="14"/>
  <c r="CB189" i="14"/>
  <c r="CB146" i="14"/>
  <c r="CB68" i="14"/>
  <c r="CB58" i="14"/>
  <c r="CB40" i="14"/>
  <c r="CB45" i="14"/>
  <c r="CB42" i="14"/>
  <c r="CB39" i="14"/>
  <c r="CB49" i="14"/>
  <c r="CB47" i="14"/>
  <c r="CB46" i="14"/>
  <c r="CB51" i="14"/>
  <c r="CB41" i="14"/>
  <c r="CB43" i="14"/>
  <c r="CB38" i="14"/>
  <c r="CB50" i="14"/>
  <c r="CB36" i="14"/>
  <c r="CB37" i="14"/>
  <c r="CB44" i="14"/>
  <c r="CB48" i="14"/>
  <c r="AN213" i="14"/>
  <c r="AN26" i="14"/>
  <c r="AN179" i="14"/>
  <c r="AN151" i="14"/>
  <c r="AN55" i="14"/>
  <c r="AN56" i="14"/>
  <c r="AN35" i="14"/>
  <c r="AN54" i="14"/>
  <c r="AN208" i="14"/>
  <c r="AN202" i="14"/>
  <c r="AN17" i="14"/>
  <c r="AN147" i="14"/>
  <c r="AN210" i="14"/>
  <c r="AN58" i="14"/>
  <c r="AN205" i="14"/>
  <c r="AN161" i="14"/>
  <c r="AN194" i="14"/>
  <c r="AN24" i="14"/>
  <c r="AN148" i="14"/>
  <c r="AN19" i="14"/>
  <c r="AN165" i="14"/>
  <c r="AN207" i="14"/>
  <c r="AN185" i="14"/>
  <c r="AN189" i="14"/>
  <c r="AN212" i="14"/>
  <c r="AN173" i="14"/>
  <c r="AN144" i="14"/>
  <c r="AN199" i="14"/>
  <c r="AN171" i="14"/>
  <c r="AN153" i="14"/>
  <c r="AN176" i="14"/>
  <c r="AN206" i="14"/>
  <c r="AN20" i="14"/>
  <c r="AN62" i="14"/>
  <c r="AN187" i="14"/>
  <c r="AN60" i="14"/>
  <c r="AN22" i="14"/>
  <c r="AN193" i="14"/>
  <c r="AN163" i="14"/>
  <c r="AN32" i="14"/>
  <c r="AN29" i="14"/>
  <c r="AN30" i="14"/>
  <c r="AN183" i="14"/>
  <c r="AN204" i="14"/>
  <c r="AN152" i="14"/>
  <c r="AN155" i="14"/>
  <c r="AN18" i="14"/>
  <c r="AN27" i="14"/>
  <c r="AN64" i="14"/>
  <c r="AN143" i="14"/>
  <c r="AN68" i="14"/>
  <c r="AN65" i="14"/>
  <c r="AN61" i="14"/>
  <c r="AN162" i="14"/>
  <c r="AN159" i="14"/>
  <c r="AN167" i="14"/>
  <c r="AN198" i="14"/>
  <c r="AN181" i="14"/>
  <c r="AN154" i="14"/>
  <c r="AN209" i="14"/>
  <c r="AN53" i="14"/>
  <c r="AN184" i="14"/>
  <c r="AN174" i="14"/>
  <c r="AN63" i="14"/>
  <c r="AN33" i="14"/>
  <c r="AN146" i="14"/>
  <c r="AN158" i="14"/>
  <c r="AN195" i="14"/>
  <c r="AN157" i="14"/>
  <c r="AN28" i="14"/>
  <c r="AN66" i="14"/>
  <c r="AN168" i="14"/>
  <c r="AN190" i="14"/>
  <c r="AN150" i="14"/>
  <c r="AN166" i="14"/>
  <c r="AN191" i="14"/>
  <c r="AN57" i="14"/>
  <c r="AN186" i="14"/>
  <c r="AN211" i="14"/>
  <c r="AN156" i="14"/>
  <c r="AN180" i="14"/>
  <c r="AN59" i="14"/>
  <c r="AN197" i="14"/>
  <c r="AN149" i="14"/>
  <c r="AN71" i="14"/>
  <c r="AN69" i="14"/>
  <c r="AN200" i="14"/>
  <c r="AN192" i="14"/>
  <c r="AN170" i="14"/>
  <c r="AN177" i="14"/>
  <c r="AN145" i="14"/>
  <c r="AN164" i="14"/>
  <c r="AN31" i="14"/>
  <c r="AN169" i="14"/>
  <c r="AN21" i="14"/>
  <c r="AN175" i="14"/>
  <c r="AN188" i="14"/>
  <c r="AN172" i="14"/>
  <c r="AN67" i="14"/>
  <c r="AN182" i="14"/>
  <c r="AN23" i="14"/>
  <c r="AN25" i="14"/>
  <c r="AN39" i="14"/>
  <c r="AN40" i="14"/>
  <c r="AN45" i="14"/>
  <c r="AN49" i="14"/>
  <c r="AN47" i="14"/>
  <c r="AN42" i="14"/>
  <c r="AN50" i="14"/>
  <c r="AN46" i="14"/>
  <c r="AN51" i="14"/>
  <c r="AN41" i="14"/>
  <c r="AN43" i="14"/>
  <c r="AN36" i="14"/>
  <c r="AN44" i="14"/>
  <c r="AN38" i="14"/>
  <c r="AN37" i="14"/>
  <c r="AN48" i="14"/>
  <c r="AJ187" i="14"/>
  <c r="AJ177" i="14"/>
  <c r="AJ33" i="14"/>
  <c r="AJ209" i="14"/>
  <c r="AJ167" i="14"/>
  <c r="AJ176" i="14"/>
  <c r="AJ169" i="14"/>
  <c r="AJ18" i="14"/>
  <c r="AJ64" i="14"/>
  <c r="AJ183" i="14"/>
  <c r="AJ146" i="14"/>
  <c r="AJ182" i="14"/>
  <c r="AJ155" i="14"/>
  <c r="AJ154" i="14"/>
  <c r="AJ166" i="14"/>
  <c r="AJ28" i="14"/>
  <c r="AJ57" i="14"/>
  <c r="AJ148" i="14"/>
  <c r="AJ31" i="14"/>
  <c r="AJ174" i="14"/>
  <c r="AJ149" i="14"/>
  <c r="AJ181" i="14"/>
  <c r="AJ158" i="14"/>
  <c r="AJ179" i="14"/>
  <c r="AJ207" i="14"/>
  <c r="AJ165" i="14"/>
  <c r="AJ163" i="14"/>
  <c r="AJ19" i="14"/>
  <c r="AJ164" i="14"/>
  <c r="AJ200" i="14"/>
  <c r="AJ168" i="14"/>
  <c r="AJ61" i="14"/>
  <c r="AJ62" i="14"/>
  <c r="AJ69" i="14"/>
  <c r="AJ204" i="14"/>
  <c r="AJ186" i="14"/>
  <c r="AJ185" i="14"/>
  <c r="AJ171" i="14"/>
  <c r="AJ25" i="14"/>
  <c r="AJ66" i="14"/>
  <c r="AJ156" i="14"/>
  <c r="AJ21" i="14"/>
  <c r="AJ71" i="14"/>
  <c r="AJ35" i="14"/>
  <c r="AJ60" i="14"/>
  <c r="AJ55" i="14"/>
  <c r="AJ191" i="14"/>
  <c r="AJ144" i="14"/>
  <c r="AJ190" i="14"/>
  <c r="AJ199" i="14"/>
  <c r="AJ32" i="14"/>
  <c r="AJ202" i="14"/>
  <c r="AJ22" i="14"/>
  <c r="AJ26" i="14"/>
  <c r="AJ175" i="14"/>
  <c r="AJ143" i="14"/>
  <c r="AJ159" i="14"/>
  <c r="AJ170" i="14"/>
  <c r="AJ198" i="14"/>
  <c r="AJ172" i="14"/>
  <c r="AJ151" i="14"/>
  <c r="AJ59" i="14"/>
  <c r="AJ56" i="14"/>
  <c r="AJ23" i="14"/>
  <c r="AJ29" i="14"/>
  <c r="AJ153" i="14"/>
  <c r="AJ194" i="14"/>
  <c r="AJ152" i="14"/>
  <c r="AJ24" i="14"/>
  <c r="AJ145" i="14"/>
  <c r="AJ203" i="14"/>
  <c r="AJ54" i="14"/>
  <c r="AJ210" i="14"/>
  <c r="AJ211" i="14"/>
  <c r="AJ189" i="14"/>
  <c r="AJ192" i="14"/>
  <c r="AJ157" i="14"/>
  <c r="AJ53" i="14"/>
  <c r="AJ205" i="14"/>
  <c r="AJ20" i="14"/>
  <c r="AJ193" i="14"/>
  <c r="AJ161" i="14"/>
  <c r="AJ162" i="14"/>
  <c r="AJ67" i="14"/>
  <c r="AJ208" i="14"/>
  <c r="AJ195" i="14"/>
  <c r="AJ184" i="14"/>
  <c r="AJ197" i="14"/>
  <c r="AJ65" i="14"/>
  <c r="AJ63" i="14"/>
  <c r="AJ213" i="14"/>
  <c r="AJ188" i="14"/>
  <c r="AJ147" i="14"/>
  <c r="AJ27" i="14"/>
  <c r="AJ17" i="14"/>
  <c r="AJ150" i="14"/>
  <c r="AJ212" i="14"/>
  <c r="AJ180" i="14"/>
  <c r="AJ58" i="14"/>
  <c r="AJ173" i="14"/>
  <c r="AJ68" i="14"/>
  <c r="AJ30" i="14"/>
  <c r="AJ40" i="14"/>
  <c r="AJ39" i="14"/>
  <c r="AJ49" i="14"/>
  <c r="AJ42" i="14"/>
  <c r="AJ45" i="14"/>
  <c r="AJ41" i="14"/>
  <c r="AJ50" i="14"/>
  <c r="AJ43" i="14"/>
  <c r="AJ51" i="14"/>
  <c r="AJ47" i="14"/>
  <c r="AJ46" i="14"/>
  <c r="AJ38" i="14"/>
  <c r="AJ44" i="14"/>
  <c r="AJ37" i="14"/>
  <c r="AJ36" i="14"/>
  <c r="AJ48" i="14"/>
  <c r="AF165" i="14"/>
  <c r="AF53" i="14"/>
  <c r="AF28" i="14"/>
  <c r="AF172" i="14"/>
  <c r="AF151" i="14"/>
  <c r="AF148" i="14"/>
  <c r="AF176" i="14"/>
  <c r="AF182" i="14"/>
  <c r="AF18" i="14"/>
  <c r="AF175" i="14"/>
  <c r="AF145" i="14"/>
  <c r="AF180" i="14"/>
  <c r="AF65" i="14"/>
  <c r="AF146" i="14"/>
  <c r="AF161" i="14"/>
  <c r="AF183" i="14"/>
  <c r="AF23" i="14"/>
  <c r="AF166" i="14"/>
  <c r="AF200" i="14"/>
  <c r="AF177" i="14"/>
  <c r="AF61" i="14"/>
  <c r="AF209" i="14"/>
  <c r="AF188" i="14"/>
  <c r="AF181" i="14"/>
  <c r="AF187" i="14"/>
  <c r="AF54" i="14"/>
  <c r="AF150" i="14"/>
  <c r="AF208" i="14"/>
  <c r="AF185" i="14"/>
  <c r="AF25" i="14"/>
  <c r="AF212" i="14"/>
  <c r="AF144" i="14"/>
  <c r="AF56" i="14"/>
  <c r="AF173" i="14"/>
  <c r="AF26" i="14"/>
  <c r="AF163" i="14"/>
  <c r="AF193" i="14"/>
  <c r="AF211" i="14"/>
  <c r="AF159" i="14"/>
  <c r="AF164" i="14"/>
  <c r="AF29" i="14"/>
  <c r="AF194" i="14"/>
  <c r="AF143" i="14"/>
  <c r="AF197" i="14"/>
  <c r="AF174" i="14"/>
  <c r="AF204" i="14"/>
  <c r="AF66" i="14"/>
  <c r="AF156" i="14"/>
  <c r="AF192" i="14"/>
  <c r="AF191" i="14"/>
  <c r="AF202" i="14"/>
  <c r="AF62" i="14"/>
  <c r="AF30" i="14"/>
  <c r="AF17" i="14"/>
  <c r="AF162" i="14"/>
  <c r="AF179" i="14"/>
  <c r="AF67" i="14"/>
  <c r="AF149" i="14"/>
  <c r="AF147" i="14"/>
  <c r="AF207" i="14"/>
  <c r="AF20" i="14"/>
  <c r="AF35" i="14"/>
  <c r="AF152" i="14"/>
  <c r="AF31" i="14"/>
  <c r="AF154" i="14"/>
  <c r="AF171" i="14"/>
  <c r="AF206" i="14"/>
  <c r="AF55" i="14"/>
  <c r="AF184" i="14"/>
  <c r="AF198" i="14"/>
  <c r="AF210" i="14"/>
  <c r="AF71" i="14"/>
  <c r="AF205" i="14"/>
  <c r="AF168" i="14"/>
  <c r="AF199" i="14"/>
  <c r="AF153" i="14"/>
  <c r="AF190" i="14"/>
  <c r="AF169" i="14"/>
  <c r="AF158" i="14"/>
  <c r="AF68" i="14"/>
  <c r="AF59" i="14"/>
  <c r="AF32" i="14"/>
  <c r="AF167" i="14"/>
  <c r="AF170" i="14"/>
  <c r="AF57" i="14"/>
  <c r="AF203" i="14"/>
  <c r="AF19" i="14"/>
  <c r="AF64" i="14"/>
  <c r="AF69" i="14"/>
  <c r="AF157" i="14"/>
  <c r="AF24" i="14"/>
  <c r="AF155" i="14"/>
  <c r="AF60" i="14"/>
  <c r="AF63" i="14"/>
  <c r="AF213" i="14"/>
  <c r="AF33" i="14"/>
  <c r="AF186" i="14"/>
  <c r="AF22" i="14"/>
  <c r="AF195" i="14"/>
  <c r="AF27" i="14"/>
  <c r="AF21" i="14"/>
  <c r="AF58" i="14"/>
  <c r="AF189" i="14"/>
  <c r="AF39" i="14"/>
  <c r="AF40" i="14"/>
  <c r="AF42" i="14"/>
  <c r="AF49" i="14"/>
  <c r="AF45" i="14"/>
  <c r="AF41" i="14"/>
  <c r="AF43" i="14"/>
  <c r="AF46" i="14"/>
  <c r="AF51" i="14"/>
  <c r="AF50" i="14"/>
  <c r="AF47" i="14"/>
  <c r="AF44" i="14"/>
  <c r="AF38" i="14"/>
  <c r="AF37" i="14"/>
  <c r="AF36" i="14"/>
  <c r="AF48" i="14"/>
  <c r="DT145" i="14"/>
  <c r="DT23" i="14"/>
  <c r="DT209" i="14"/>
  <c r="DT25" i="14"/>
  <c r="DT64" i="14"/>
  <c r="DT29" i="14"/>
  <c r="DT158" i="14"/>
  <c r="DT170" i="14"/>
  <c r="DT200" i="14"/>
  <c r="DT65" i="14"/>
  <c r="DT69" i="14"/>
  <c r="DT194" i="14"/>
  <c r="DT164" i="14"/>
  <c r="DT212" i="14"/>
  <c r="DT175" i="14"/>
  <c r="DT66" i="14"/>
  <c r="DT195" i="14"/>
  <c r="DT71" i="14"/>
  <c r="DT189" i="14"/>
  <c r="DT31" i="14"/>
  <c r="DT202" i="14"/>
  <c r="DT153" i="14"/>
  <c r="DT166" i="14"/>
  <c r="DT181" i="14"/>
  <c r="DT185" i="14"/>
  <c r="DT205" i="14"/>
  <c r="DT61" i="14"/>
  <c r="DT17" i="14"/>
  <c r="DT28" i="14"/>
  <c r="DT197" i="14"/>
  <c r="DT148" i="14"/>
  <c r="DT182" i="14"/>
  <c r="DT20" i="14"/>
  <c r="DT24" i="14"/>
  <c r="DT180" i="14"/>
  <c r="DT151" i="14"/>
  <c r="DT146" i="14"/>
  <c r="DT32" i="14"/>
  <c r="DT171" i="14"/>
  <c r="DT21" i="14"/>
  <c r="DT211" i="14"/>
  <c r="DT198" i="14"/>
  <c r="DT63" i="14"/>
  <c r="DT57" i="14"/>
  <c r="DT143" i="14"/>
  <c r="DT190" i="14"/>
  <c r="DT210" i="14"/>
  <c r="DT154" i="14"/>
  <c r="DT27" i="14"/>
  <c r="DT191" i="14"/>
  <c r="DT188" i="14"/>
  <c r="DT22" i="14"/>
  <c r="DT183" i="14"/>
  <c r="DT213" i="14"/>
  <c r="DT162" i="14"/>
  <c r="DT152" i="14"/>
  <c r="DT204" i="14"/>
  <c r="DT156" i="14"/>
  <c r="DT68" i="14"/>
  <c r="DT60" i="14"/>
  <c r="DT35" i="14"/>
  <c r="DT192" i="14"/>
  <c r="DT161" i="14"/>
  <c r="DT173" i="14"/>
  <c r="DT55" i="14"/>
  <c r="DT19" i="14"/>
  <c r="DT168" i="14"/>
  <c r="DT56" i="14"/>
  <c r="DT179" i="14"/>
  <c r="DT144" i="14"/>
  <c r="DT18" i="14"/>
  <c r="DT208" i="14"/>
  <c r="DT165" i="14"/>
  <c r="DT62" i="14"/>
  <c r="DT155" i="14"/>
  <c r="DT67" i="14"/>
  <c r="DT184" i="14"/>
  <c r="DT187" i="14"/>
  <c r="DT159" i="14"/>
  <c r="DT207" i="14"/>
  <c r="DT186" i="14"/>
  <c r="DT177" i="14"/>
  <c r="DT33" i="14"/>
  <c r="DT59" i="14"/>
  <c r="DT203" i="14"/>
  <c r="DT167" i="14"/>
  <c r="DT54" i="14"/>
  <c r="DT157" i="14"/>
  <c r="DT58" i="14"/>
  <c r="DT176" i="14"/>
  <c r="DT172" i="14"/>
  <c r="DT201" i="14"/>
  <c r="DT26" i="14"/>
  <c r="DT149" i="14"/>
  <c r="DT193" i="14"/>
  <c r="DT53" i="14"/>
  <c r="DT147" i="14"/>
  <c r="DT150" i="14"/>
  <c r="DT169" i="14"/>
  <c r="DT199" i="14"/>
  <c r="DT163" i="14"/>
  <c r="DT30" i="14"/>
  <c r="DT174" i="14"/>
  <c r="DT39" i="14"/>
  <c r="DT40" i="14"/>
  <c r="DT49" i="14"/>
  <c r="DT45" i="14"/>
  <c r="DT42" i="14"/>
  <c r="DT47" i="14"/>
  <c r="DT46" i="14"/>
  <c r="DT41" i="14"/>
  <c r="DT43" i="14"/>
  <c r="DT51" i="14"/>
  <c r="DT50" i="14"/>
  <c r="DT44" i="14"/>
  <c r="DT37" i="14"/>
  <c r="DT36" i="14"/>
  <c r="DT38" i="14"/>
  <c r="DT48" i="14"/>
  <c r="DP164" i="14"/>
  <c r="DP155" i="14"/>
  <c r="DP182" i="14"/>
  <c r="DP199" i="14"/>
  <c r="DP53" i="14"/>
  <c r="DP213" i="14"/>
  <c r="DP189" i="14"/>
  <c r="DP169" i="14"/>
  <c r="DP198" i="14"/>
  <c r="DP175" i="14"/>
  <c r="DP186" i="14"/>
  <c r="DP55" i="14"/>
  <c r="DP202" i="14"/>
  <c r="DP185" i="14"/>
  <c r="DP168" i="14"/>
  <c r="DP147" i="14"/>
  <c r="DP30" i="14"/>
  <c r="DP57" i="14"/>
  <c r="DP21" i="14"/>
  <c r="DP207" i="14"/>
  <c r="DP71" i="14"/>
  <c r="DP176" i="14"/>
  <c r="DP20" i="14"/>
  <c r="DP156" i="14"/>
  <c r="DP54" i="14"/>
  <c r="DP151" i="14"/>
  <c r="DP152" i="14"/>
  <c r="DP65" i="14"/>
  <c r="DP149" i="14"/>
  <c r="DP56" i="14"/>
  <c r="DP68" i="14"/>
  <c r="DP173" i="14"/>
  <c r="DP143" i="14"/>
  <c r="DP201" i="14"/>
  <c r="DP157" i="14"/>
  <c r="DP33" i="14"/>
  <c r="DP62" i="14"/>
  <c r="DP165" i="14"/>
  <c r="DP17" i="14"/>
  <c r="DP204" i="14"/>
  <c r="DP184" i="14"/>
  <c r="DP209" i="14"/>
  <c r="DP193" i="14"/>
  <c r="DP67" i="14"/>
  <c r="DP22" i="14"/>
  <c r="DP66" i="14"/>
  <c r="DP150" i="14"/>
  <c r="DP174" i="14"/>
  <c r="DP26" i="14"/>
  <c r="DP172" i="14"/>
  <c r="DP146" i="14"/>
  <c r="DP27" i="14"/>
  <c r="DP190" i="14"/>
  <c r="DP197" i="14"/>
  <c r="DP29" i="14"/>
  <c r="DP181" i="14"/>
  <c r="DP170" i="14"/>
  <c r="DP211" i="14"/>
  <c r="DP18" i="14"/>
  <c r="DP69" i="14"/>
  <c r="DP61" i="14"/>
  <c r="DP191" i="14"/>
  <c r="DP25" i="14"/>
  <c r="DP24" i="14"/>
  <c r="DP162" i="14"/>
  <c r="DP31" i="14"/>
  <c r="DP177" i="14"/>
  <c r="DP192" i="14"/>
  <c r="DP179" i="14"/>
  <c r="DP195" i="14"/>
  <c r="DP205" i="14"/>
  <c r="DP161" i="14"/>
  <c r="DP194" i="14"/>
  <c r="DP28" i="14"/>
  <c r="DP58" i="14"/>
  <c r="DP153" i="14"/>
  <c r="DP210" i="14"/>
  <c r="DP145" i="14"/>
  <c r="DP59" i="14"/>
  <c r="DP154" i="14"/>
  <c r="DP32" i="14"/>
  <c r="DP212" i="14"/>
  <c r="DP167" i="14"/>
  <c r="DP159" i="14"/>
  <c r="DP187" i="14"/>
  <c r="DP148" i="14"/>
  <c r="DP166" i="14"/>
  <c r="DP163" i="14"/>
  <c r="DP158" i="14"/>
  <c r="DP144" i="14"/>
  <c r="DP183" i="14"/>
  <c r="DP64" i="14"/>
  <c r="DP180" i="14"/>
  <c r="DP35" i="14"/>
  <c r="DP19" i="14"/>
  <c r="DP200" i="14"/>
  <c r="DP188" i="14"/>
  <c r="DP208" i="14"/>
  <c r="DP171" i="14"/>
  <c r="DP23" i="14"/>
  <c r="DP63" i="14"/>
  <c r="DP60" i="14"/>
  <c r="DP49" i="14"/>
  <c r="DP40" i="14"/>
  <c r="DP39" i="14"/>
  <c r="DP42" i="14"/>
  <c r="DP47" i="14"/>
  <c r="DP45" i="14"/>
  <c r="DP43" i="14"/>
  <c r="DP51" i="14"/>
  <c r="DP46" i="14"/>
  <c r="DP41" i="14"/>
  <c r="DP50" i="14"/>
  <c r="DP38" i="14"/>
  <c r="DP48" i="14"/>
  <c r="DP37" i="14"/>
  <c r="DP36" i="14"/>
  <c r="DP44" i="14"/>
  <c r="DL198" i="14"/>
  <c r="DL207" i="14"/>
  <c r="DL211" i="14"/>
  <c r="DL64" i="14"/>
  <c r="DL59" i="14"/>
  <c r="DL27" i="14"/>
  <c r="DL151" i="14"/>
  <c r="DL194" i="14"/>
  <c r="DL186" i="14"/>
  <c r="DL31" i="14"/>
  <c r="DL174" i="14"/>
  <c r="DL33" i="14"/>
  <c r="DL146" i="14"/>
  <c r="DL165" i="14"/>
  <c r="DL158" i="14"/>
  <c r="DL152" i="14"/>
  <c r="DL28" i="14"/>
  <c r="DL32" i="14"/>
  <c r="DL156" i="14"/>
  <c r="DL175" i="14"/>
  <c r="DL172" i="14"/>
  <c r="DL154" i="14"/>
  <c r="DL161" i="14"/>
  <c r="DL23" i="14"/>
  <c r="DL60" i="14"/>
  <c r="DL191" i="14"/>
  <c r="DL179" i="14"/>
  <c r="DL204" i="14"/>
  <c r="DL199" i="14"/>
  <c r="DL65" i="14"/>
  <c r="DL157" i="14"/>
  <c r="DL17" i="14"/>
  <c r="DL197" i="14"/>
  <c r="DL143" i="14"/>
  <c r="DL202" i="14"/>
  <c r="DL22" i="14"/>
  <c r="DL62" i="14"/>
  <c r="DL58" i="14"/>
  <c r="DL183" i="14"/>
  <c r="DL20" i="14"/>
  <c r="DL176" i="14"/>
  <c r="DL184" i="14"/>
  <c r="DL159" i="14"/>
  <c r="DL30" i="14"/>
  <c r="DL150" i="14"/>
  <c r="DL166" i="14"/>
  <c r="DL63" i="14"/>
  <c r="DL29" i="14"/>
  <c r="DL181" i="14"/>
  <c r="DL54" i="14"/>
  <c r="DL193" i="14"/>
  <c r="DL213" i="14"/>
  <c r="DL57" i="14"/>
  <c r="DL195" i="14"/>
  <c r="DL71" i="14"/>
  <c r="DL192" i="14"/>
  <c r="DL145" i="14"/>
  <c r="DL173" i="14"/>
  <c r="DL190" i="14"/>
  <c r="DL148" i="14"/>
  <c r="DL68" i="14"/>
  <c r="DL163" i="14"/>
  <c r="DL21" i="14"/>
  <c r="DL25" i="14"/>
  <c r="DL19" i="14"/>
  <c r="DL177" i="14"/>
  <c r="DL35" i="14"/>
  <c r="DL187" i="14"/>
  <c r="DL205" i="14"/>
  <c r="DL189" i="14"/>
  <c r="DL26" i="14"/>
  <c r="DL162" i="14"/>
  <c r="DL208" i="14"/>
  <c r="DL164" i="14"/>
  <c r="DL167" i="14"/>
  <c r="DL24" i="14"/>
  <c r="DL180" i="14"/>
  <c r="DL144" i="14"/>
  <c r="DL200" i="14"/>
  <c r="DL53" i="14"/>
  <c r="DL69" i="14"/>
  <c r="DL209" i="14"/>
  <c r="DL55" i="14"/>
  <c r="DL210" i="14"/>
  <c r="DL67" i="14"/>
  <c r="DL155" i="14"/>
  <c r="DL171" i="14"/>
  <c r="DL18" i="14"/>
  <c r="DL212" i="14"/>
  <c r="DL168" i="14"/>
  <c r="DL153" i="14"/>
  <c r="DL61" i="14"/>
  <c r="DL185" i="14"/>
  <c r="DL182" i="14"/>
  <c r="DL56" i="14"/>
  <c r="DL147" i="14"/>
  <c r="DL149" i="14"/>
  <c r="DL66" i="14"/>
  <c r="DL169" i="14"/>
  <c r="DL188" i="14"/>
  <c r="DL206" i="14"/>
  <c r="DL170" i="14"/>
  <c r="DL40" i="14"/>
  <c r="DL39" i="14"/>
  <c r="DL42" i="14"/>
  <c r="DL45" i="14"/>
  <c r="DL47" i="14"/>
  <c r="DL49" i="14"/>
  <c r="DL41" i="14"/>
  <c r="DL50" i="14"/>
  <c r="DL46" i="14"/>
  <c r="DL51" i="14"/>
  <c r="DL43" i="14"/>
  <c r="DL37" i="14"/>
  <c r="DL44" i="14"/>
  <c r="DL38" i="14"/>
  <c r="DL36" i="14"/>
  <c r="DL48" i="14"/>
  <c r="T142" i="14"/>
  <c r="T178" i="14"/>
  <c r="X16" i="14"/>
  <c r="X107" i="14"/>
  <c r="X215" i="14"/>
  <c r="X160" i="14"/>
  <c r="X125" i="14"/>
  <c r="X52" i="14"/>
  <c r="X178" i="14"/>
  <c r="AB122" i="14"/>
  <c r="AB142" i="14"/>
  <c r="AB160" i="14"/>
  <c r="DE179" i="14"/>
  <c r="DE198" i="14"/>
  <c r="DE207" i="14"/>
  <c r="DE55" i="14"/>
  <c r="DE71" i="14"/>
  <c r="DE195" i="14"/>
  <c r="DE60" i="14"/>
  <c r="DE56" i="14"/>
  <c r="DE165" i="14"/>
  <c r="DE66" i="14"/>
  <c r="DE159" i="14"/>
  <c r="DE33" i="14"/>
  <c r="DE64" i="14"/>
  <c r="DE23" i="14"/>
  <c r="DE30" i="14"/>
  <c r="DE28" i="14"/>
  <c r="DE156" i="14"/>
  <c r="DE187" i="14"/>
  <c r="DE186" i="14"/>
  <c r="DE167" i="14"/>
  <c r="DE58" i="14"/>
  <c r="DE173" i="14"/>
  <c r="DE162" i="14"/>
  <c r="DE35" i="14"/>
  <c r="DE183" i="14"/>
  <c r="DE177" i="14"/>
  <c r="DE193" i="14"/>
  <c r="DE54" i="14"/>
  <c r="DE210" i="14"/>
  <c r="DE172" i="14"/>
  <c r="DE150" i="14"/>
  <c r="DE164" i="14"/>
  <c r="DE59" i="14"/>
  <c r="DE161" i="14"/>
  <c r="DE65" i="14"/>
  <c r="DE188" i="14"/>
  <c r="DE151" i="14"/>
  <c r="DE203" i="14"/>
  <c r="DE176" i="14"/>
  <c r="DE146" i="14"/>
  <c r="DE175" i="14"/>
  <c r="DE158" i="14"/>
  <c r="DE184" i="14"/>
  <c r="DE189" i="14"/>
  <c r="DE194" i="14"/>
  <c r="DE145" i="14"/>
  <c r="DE20" i="14"/>
  <c r="DE22" i="14"/>
  <c r="DE204" i="14"/>
  <c r="DE147" i="14"/>
  <c r="DE24" i="14"/>
  <c r="DE212" i="14"/>
  <c r="DE31" i="14"/>
  <c r="DE143" i="14"/>
  <c r="DE192" i="14"/>
  <c r="DE197" i="14"/>
  <c r="DE154" i="14"/>
  <c r="DE27" i="14"/>
  <c r="DE209" i="14"/>
  <c r="DE174" i="14"/>
  <c r="DE26" i="14"/>
  <c r="DE182" i="14"/>
  <c r="DE185" i="14"/>
  <c r="DE200" i="14"/>
  <c r="DE25" i="14"/>
  <c r="DE153" i="14"/>
  <c r="DE170" i="14"/>
  <c r="DE18" i="14"/>
  <c r="DE180" i="14"/>
  <c r="DE171" i="14"/>
  <c r="DE157" i="14"/>
  <c r="DE19" i="14"/>
  <c r="DE169" i="14"/>
  <c r="DE213" i="14"/>
  <c r="DE67" i="14"/>
  <c r="DE144" i="14"/>
  <c r="DE149" i="14"/>
  <c r="DE17" i="14"/>
  <c r="DE53" i="14"/>
  <c r="DE57" i="14"/>
  <c r="DE190" i="14"/>
  <c r="DE68" i="14"/>
  <c r="DE166" i="14"/>
  <c r="DE152" i="14"/>
  <c r="DE208" i="14"/>
  <c r="DE29" i="14"/>
  <c r="DE211" i="14"/>
  <c r="DE199" i="14"/>
  <c r="DE191" i="14"/>
  <c r="DE181" i="14"/>
  <c r="DE205" i="14"/>
  <c r="DE62" i="14"/>
  <c r="DE21" i="14"/>
  <c r="DE69" i="14"/>
  <c r="DE61" i="14"/>
  <c r="DE148" i="14"/>
  <c r="DE155" i="14"/>
  <c r="DE168" i="14"/>
  <c r="DE32" i="14"/>
  <c r="DE63" i="14"/>
  <c r="DE163" i="14"/>
  <c r="DE202" i="14"/>
  <c r="DE40" i="14"/>
  <c r="DE39" i="14"/>
  <c r="DE49" i="14"/>
  <c r="DE42" i="14"/>
  <c r="DE45" i="14"/>
  <c r="DE41" i="14"/>
  <c r="DE43" i="14"/>
  <c r="DE46" i="14"/>
  <c r="DE51" i="14"/>
  <c r="DE47" i="14"/>
  <c r="DE50" i="14"/>
  <c r="DE37" i="14"/>
  <c r="DE36" i="14"/>
  <c r="DE48" i="14"/>
  <c r="DE44" i="14"/>
  <c r="DE38" i="14"/>
  <c r="DA151" i="14"/>
  <c r="DA68" i="14"/>
  <c r="DA55" i="14"/>
  <c r="DA27" i="14"/>
  <c r="DA162" i="14"/>
  <c r="DA182" i="14"/>
  <c r="DA62" i="14"/>
  <c r="DA201" i="14"/>
  <c r="DA22" i="14"/>
  <c r="DA195" i="14"/>
  <c r="DA155" i="14"/>
  <c r="DA164" i="14"/>
  <c r="DA197" i="14"/>
  <c r="DA33" i="14"/>
  <c r="DA202" i="14"/>
  <c r="DA60" i="14"/>
  <c r="DA169" i="14"/>
  <c r="DA147" i="14"/>
  <c r="DA163" i="14"/>
  <c r="DA30" i="14"/>
  <c r="DA205" i="14"/>
  <c r="DA148" i="14"/>
  <c r="DA200" i="14"/>
  <c r="DA149" i="14"/>
  <c r="DA168" i="14"/>
  <c r="DA198" i="14"/>
  <c r="DA172" i="14"/>
  <c r="DA24" i="14"/>
  <c r="DA189" i="14"/>
  <c r="DA157" i="14"/>
  <c r="DA176" i="14"/>
  <c r="DA166" i="14"/>
  <c r="DA175" i="14"/>
  <c r="DA190" i="14"/>
  <c r="DA28" i="14"/>
  <c r="DA146" i="14"/>
  <c r="DA58" i="14"/>
  <c r="DA65" i="14"/>
  <c r="DA20" i="14"/>
  <c r="DA53" i="14"/>
  <c r="DA57" i="14"/>
  <c r="DA212" i="14"/>
  <c r="DA203" i="14"/>
  <c r="DA17" i="14"/>
  <c r="DA61" i="14"/>
  <c r="DA71" i="14"/>
  <c r="DA179" i="14"/>
  <c r="DA185" i="14"/>
  <c r="DA213" i="14"/>
  <c r="DA25" i="14"/>
  <c r="DA167" i="14"/>
  <c r="DA158" i="14"/>
  <c r="DA186" i="14"/>
  <c r="DA156" i="14"/>
  <c r="DA187" i="14"/>
  <c r="DA69" i="14"/>
  <c r="DA153" i="14"/>
  <c r="DA152" i="14"/>
  <c r="DA56" i="14"/>
  <c r="DA54" i="14"/>
  <c r="DA150" i="14"/>
  <c r="DA19" i="14"/>
  <c r="DA66" i="14"/>
  <c r="DA144" i="14"/>
  <c r="DA180" i="14"/>
  <c r="DA171" i="14"/>
  <c r="DA184" i="14"/>
  <c r="DA161" i="14"/>
  <c r="DA199" i="14"/>
  <c r="DA192" i="14"/>
  <c r="DA181" i="14"/>
  <c r="DA18" i="14"/>
  <c r="DA194" i="14"/>
  <c r="DA67" i="14"/>
  <c r="DA193" i="14"/>
  <c r="DA188" i="14"/>
  <c r="DA173" i="14"/>
  <c r="DA170" i="14"/>
  <c r="DA143" i="14"/>
  <c r="DA35" i="14"/>
  <c r="DA21" i="14"/>
  <c r="DA63" i="14"/>
  <c r="DA207" i="14"/>
  <c r="DA31" i="14"/>
  <c r="DA32" i="14"/>
  <c r="DA208" i="14"/>
  <c r="DA29" i="14"/>
  <c r="DA174" i="14"/>
  <c r="DA209" i="14"/>
  <c r="DA59" i="14"/>
  <c r="DA165" i="14"/>
  <c r="DA64" i="14"/>
  <c r="DA177" i="14"/>
  <c r="DA23" i="14"/>
  <c r="DA159" i="14"/>
  <c r="DA154" i="14"/>
  <c r="DA183" i="14"/>
  <c r="DA145" i="14"/>
  <c r="DA26" i="14"/>
  <c r="DA211" i="14"/>
  <c r="DA210" i="14"/>
  <c r="DA204" i="14"/>
  <c r="DA191" i="14"/>
  <c r="DA40" i="14"/>
  <c r="DA39" i="14"/>
  <c r="DA47" i="14"/>
  <c r="DA45" i="14"/>
  <c r="DA49" i="14"/>
  <c r="DA42" i="14"/>
  <c r="DA41" i="14"/>
  <c r="DA46" i="14"/>
  <c r="DA51" i="14"/>
  <c r="DA50" i="14"/>
  <c r="DA43" i="14"/>
  <c r="DA37" i="14"/>
  <c r="DA38" i="14"/>
  <c r="DA36" i="14"/>
  <c r="DA44" i="14"/>
  <c r="DA48" i="14"/>
  <c r="CW202" i="14"/>
  <c r="CW180" i="14"/>
  <c r="CW164" i="14"/>
  <c r="CW66" i="14"/>
  <c r="CW148" i="14"/>
  <c r="CW24" i="14"/>
  <c r="CW58" i="14"/>
  <c r="CW212" i="14"/>
  <c r="CW191" i="14"/>
  <c r="CW175" i="14"/>
  <c r="CW195" i="14"/>
  <c r="CW184" i="14"/>
  <c r="CW182" i="14"/>
  <c r="CW166" i="14"/>
  <c r="CW209" i="14"/>
  <c r="CW60" i="14"/>
  <c r="CW20" i="14"/>
  <c r="CW153" i="14"/>
  <c r="CW205" i="14"/>
  <c r="CW25" i="14"/>
  <c r="CW147" i="14"/>
  <c r="CW151" i="14"/>
  <c r="CW144" i="14"/>
  <c r="CW156" i="14"/>
  <c r="CW197" i="14"/>
  <c r="CW22" i="14"/>
  <c r="CW176" i="14"/>
  <c r="CW57" i="14"/>
  <c r="CW146" i="14"/>
  <c r="CW61" i="14"/>
  <c r="CW152" i="14"/>
  <c r="CW161" i="14"/>
  <c r="CW69" i="14"/>
  <c r="CW55" i="14"/>
  <c r="CW65" i="14"/>
  <c r="CW167" i="14"/>
  <c r="CW188" i="14"/>
  <c r="CW193" i="14"/>
  <c r="CW210" i="14"/>
  <c r="CW67" i="14"/>
  <c r="CW31" i="14"/>
  <c r="CW174" i="14"/>
  <c r="CW170" i="14"/>
  <c r="CW54" i="14"/>
  <c r="CW190" i="14"/>
  <c r="CW64" i="14"/>
  <c r="CW68" i="14"/>
  <c r="CW189" i="14"/>
  <c r="CW30" i="14"/>
  <c r="CW181" i="14"/>
  <c r="CW155" i="14"/>
  <c r="CW63" i="14"/>
  <c r="CW23" i="14"/>
  <c r="CW56" i="14"/>
  <c r="CW179" i="14"/>
  <c r="CW143" i="14"/>
  <c r="CW172" i="14"/>
  <c r="CW165" i="14"/>
  <c r="CW207" i="14"/>
  <c r="CW206" i="14"/>
  <c r="CW183" i="14"/>
  <c r="CW201" i="14"/>
  <c r="CW168" i="14"/>
  <c r="CW154" i="14"/>
  <c r="CW171" i="14"/>
  <c r="CW150" i="14"/>
  <c r="CW159" i="14"/>
  <c r="CW32" i="14"/>
  <c r="CW194" i="14"/>
  <c r="CW204" i="14"/>
  <c r="CW208" i="14"/>
  <c r="CW18" i="14"/>
  <c r="CW71" i="14"/>
  <c r="CW19" i="14"/>
  <c r="CW199" i="14"/>
  <c r="CW28" i="14"/>
  <c r="CW192" i="14"/>
  <c r="CW177" i="14"/>
  <c r="CW26" i="14"/>
  <c r="CW53" i="14"/>
  <c r="CW62" i="14"/>
  <c r="CW185" i="14"/>
  <c r="CW149" i="14"/>
  <c r="CW158" i="14"/>
  <c r="CW163" i="14"/>
  <c r="CW186" i="14"/>
  <c r="CW173" i="14"/>
  <c r="CW145" i="14"/>
  <c r="CW211" i="14"/>
  <c r="CW162" i="14"/>
  <c r="CW157" i="14"/>
  <c r="CW187" i="14"/>
  <c r="CW59" i="14"/>
  <c r="CW213" i="14"/>
  <c r="CW33" i="14"/>
  <c r="CW21" i="14"/>
  <c r="CW17" i="14"/>
  <c r="CW27" i="14"/>
  <c r="CW35" i="14"/>
  <c r="CW29" i="14"/>
  <c r="CW169" i="14"/>
  <c r="CW198" i="14"/>
  <c r="CW200" i="14"/>
  <c r="CW39" i="14"/>
  <c r="CW40" i="14"/>
  <c r="CW45" i="14"/>
  <c r="CW49" i="14"/>
  <c r="CW42" i="14"/>
  <c r="CW43" i="14"/>
  <c r="CW41" i="14"/>
  <c r="CW46" i="14"/>
  <c r="CW50" i="14"/>
  <c r="CW47" i="14"/>
  <c r="CW51" i="14"/>
  <c r="CW44" i="14"/>
  <c r="CW37" i="14"/>
  <c r="CW36" i="14"/>
  <c r="CW38" i="14"/>
  <c r="CW48" i="14"/>
  <c r="AW197" i="14"/>
  <c r="AW28" i="14"/>
  <c r="AW190" i="14"/>
  <c r="AW164" i="14"/>
  <c r="AW182" i="14"/>
  <c r="AW162" i="14"/>
  <c r="AW35" i="14"/>
  <c r="AW195" i="14"/>
  <c r="AW20" i="14"/>
  <c r="AW62" i="14"/>
  <c r="AW183" i="14"/>
  <c r="AW21" i="14"/>
  <c r="AW29" i="14"/>
  <c r="AW158" i="14"/>
  <c r="AW172" i="14"/>
  <c r="AW211" i="14"/>
  <c r="AW67" i="14"/>
  <c r="AW54" i="14"/>
  <c r="AW65" i="14"/>
  <c r="AW165" i="14"/>
  <c r="AW187" i="14"/>
  <c r="AW166" i="14"/>
  <c r="AW159" i="14"/>
  <c r="AW185" i="14"/>
  <c r="AW163" i="14"/>
  <c r="AW186" i="14"/>
  <c r="AW170" i="14"/>
  <c r="AW17" i="14"/>
  <c r="AW145" i="14"/>
  <c r="AW204" i="14"/>
  <c r="AW157" i="14"/>
  <c r="AW207" i="14"/>
  <c r="AW156" i="14"/>
  <c r="AW71" i="14"/>
  <c r="AW25" i="14"/>
  <c r="AW146" i="14"/>
  <c r="AW33" i="14"/>
  <c r="AW63" i="14"/>
  <c r="AW30" i="14"/>
  <c r="AW191" i="14"/>
  <c r="AW205" i="14"/>
  <c r="AW168" i="14"/>
  <c r="AW56" i="14"/>
  <c r="AW212" i="14"/>
  <c r="AW18" i="14"/>
  <c r="AW59" i="14"/>
  <c r="AW27" i="14"/>
  <c r="AW175" i="14"/>
  <c r="AW23" i="14"/>
  <c r="AW58" i="14"/>
  <c r="AW64" i="14"/>
  <c r="AW69" i="14"/>
  <c r="AW26" i="14"/>
  <c r="AW180" i="14"/>
  <c r="AW19" i="14"/>
  <c r="AW151" i="14"/>
  <c r="AW153" i="14"/>
  <c r="AW155" i="14"/>
  <c r="AW61" i="14"/>
  <c r="AW199" i="14"/>
  <c r="AW188" i="14"/>
  <c r="AW174" i="14"/>
  <c r="AW143" i="14"/>
  <c r="AW53" i="14"/>
  <c r="AW149" i="14"/>
  <c r="AW179" i="14"/>
  <c r="AW203" i="14"/>
  <c r="AW176" i="14"/>
  <c r="AW200" i="14"/>
  <c r="AW57" i="14"/>
  <c r="AW152" i="14"/>
  <c r="AW169" i="14"/>
  <c r="AW66" i="14"/>
  <c r="AW161" i="14"/>
  <c r="AW150" i="14"/>
  <c r="AW167" i="14"/>
  <c r="AW60" i="14"/>
  <c r="AW154" i="14"/>
  <c r="AW208" i="14"/>
  <c r="AW202" i="14"/>
  <c r="AW192" i="14"/>
  <c r="AW147" i="14"/>
  <c r="AW144" i="14"/>
  <c r="AW181" i="14"/>
  <c r="AW55" i="14"/>
  <c r="AW198" i="14"/>
  <c r="AW173" i="14"/>
  <c r="AW24" i="14"/>
  <c r="AW194" i="14"/>
  <c r="AW148" i="14"/>
  <c r="AW31" i="14"/>
  <c r="AW22" i="14"/>
  <c r="AW213" i="14"/>
  <c r="AW184" i="14"/>
  <c r="AW171" i="14"/>
  <c r="AW193" i="14"/>
  <c r="AW189" i="14"/>
  <c r="AW32" i="14"/>
  <c r="AW68" i="14"/>
  <c r="AW209" i="14"/>
  <c r="AW210" i="14"/>
  <c r="AW177" i="14"/>
  <c r="AW39" i="14"/>
  <c r="AW40" i="14"/>
  <c r="AW49" i="14"/>
  <c r="AW42" i="14"/>
  <c r="AW45" i="14"/>
  <c r="AW47" i="14"/>
  <c r="AW50" i="14"/>
  <c r="AW41" i="14"/>
  <c r="AW46" i="14"/>
  <c r="AW51" i="14"/>
  <c r="AW43" i="14"/>
  <c r="AW38" i="14"/>
  <c r="AW36" i="14"/>
  <c r="AW37" i="14"/>
  <c r="AW44" i="14"/>
  <c r="AW48" i="14"/>
  <c r="AS180" i="14"/>
  <c r="AS61" i="14"/>
  <c r="AS207" i="14"/>
  <c r="AS146" i="14"/>
  <c r="AS208" i="14"/>
  <c r="AS182" i="14"/>
  <c r="AS60" i="14"/>
  <c r="AS213" i="14"/>
  <c r="AS181" i="14"/>
  <c r="AS17" i="14"/>
  <c r="AS176" i="14"/>
  <c r="AS62" i="14"/>
  <c r="AS158" i="14"/>
  <c r="AS35" i="14"/>
  <c r="AS153" i="14"/>
  <c r="AS175" i="14"/>
  <c r="AS164" i="14"/>
  <c r="AS58" i="14"/>
  <c r="AS183" i="14"/>
  <c r="AS188" i="14"/>
  <c r="AS171" i="14"/>
  <c r="AS165" i="14"/>
  <c r="AS193" i="14"/>
  <c r="AS145" i="14"/>
  <c r="AS170" i="14"/>
  <c r="AS192" i="14"/>
  <c r="AS20" i="14"/>
  <c r="AS212" i="14"/>
  <c r="AS206" i="14"/>
  <c r="AS65" i="14"/>
  <c r="AS209" i="14"/>
  <c r="AS184" i="14"/>
  <c r="AS189" i="14"/>
  <c r="AS55" i="14"/>
  <c r="AS200" i="14"/>
  <c r="AS71" i="14"/>
  <c r="AS33" i="14"/>
  <c r="AS202" i="14"/>
  <c r="AS167" i="14"/>
  <c r="AS172" i="14"/>
  <c r="AS66" i="14"/>
  <c r="AS147" i="14"/>
  <c r="AS148" i="14"/>
  <c r="AS155" i="14"/>
  <c r="AS25" i="14"/>
  <c r="AS59" i="14"/>
  <c r="AS198" i="14"/>
  <c r="AS174" i="14"/>
  <c r="AS27" i="14"/>
  <c r="AS24" i="14"/>
  <c r="AS18" i="14"/>
  <c r="AS191" i="14"/>
  <c r="AS197" i="14"/>
  <c r="AS179" i="14"/>
  <c r="AS195" i="14"/>
  <c r="AS204" i="14"/>
  <c r="AS190" i="14"/>
  <c r="AS210" i="14"/>
  <c r="AS69" i="14"/>
  <c r="AS199" i="14"/>
  <c r="AS67" i="14"/>
  <c r="AS150" i="14"/>
  <c r="AS186" i="14"/>
  <c r="AS26" i="14"/>
  <c r="AS187" i="14"/>
  <c r="AS64" i="14"/>
  <c r="AS185" i="14"/>
  <c r="AS28" i="14"/>
  <c r="AS159" i="14"/>
  <c r="AS32" i="14"/>
  <c r="AS151" i="14"/>
  <c r="AS166" i="14"/>
  <c r="AS149" i="14"/>
  <c r="AS168" i="14"/>
  <c r="AS30" i="14"/>
  <c r="AS144" i="14"/>
  <c r="AS161" i="14"/>
  <c r="AS57" i="14"/>
  <c r="AS211" i="14"/>
  <c r="AS63" i="14"/>
  <c r="AS156" i="14"/>
  <c r="AS22" i="14"/>
  <c r="AS154" i="14"/>
  <c r="AS53" i="14"/>
  <c r="AS205" i="14"/>
  <c r="AS68" i="14"/>
  <c r="AS54" i="14"/>
  <c r="AS169" i="14"/>
  <c r="AS157" i="14"/>
  <c r="AS177" i="14"/>
  <c r="AS56" i="14"/>
  <c r="AS152" i="14"/>
  <c r="AS194" i="14"/>
  <c r="AS29" i="14"/>
  <c r="AS162" i="14"/>
  <c r="AS31" i="14"/>
  <c r="AS19" i="14"/>
  <c r="AS21" i="14"/>
  <c r="AS23" i="14"/>
  <c r="AS163" i="14"/>
  <c r="AS173" i="14"/>
  <c r="AS143" i="14"/>
  <c r="AS40" i="14"/>
  <c r="AS49" i="14"/>
  <c r="AS45" i="14"/>
  <c r="AS42" i="14"/>
  <c r="AS39" i="14"/>
  <c r="AS47" i="14"/>
  <c r="AS43" i="14"/>
  <c r="AS46" i="14"/>
  <c r="AS41" i="14"/>
  <c r="AS51" i="14"/>
  <c r="AS50" i="14"/>
  <c r="AS36" i="14"/>
  <c r="AS44" i="14"/>
  <c r="AS37" i="14"/>
  <c r="AS38" i="14"/>
  <c r="AS48" i="14"/>
  <c r="AO200" i="14"/>
  <c r="AO59" i="14"/>
  <c r="AO151" i="14"/>
  <c r="AO63" i="14"/>
  <c r="AO69" i="14"/>
  <c r="AO17" i="14"/>
  <c r="AO167" i="14"/>
  <c r="AO18" i="14"/>
  <c r="AO186" i="14"/>
  <c r="AO173" i="14"/>
  <c r="AO201" i="14"/>
  <c r="AO193" i="14"/>
  <c r="AO166" i="14"/>
  <c r="AO212" i="14"/>
  <c r="AO162" i="14"/>
  <c r="AO29" i="14"/>
  <c r="AO68" i="14"/>
  <c r="AO175" i="14"/>
  <c r="AO190" i="14"/>
  <c r="AO148" i="14"/>
  <c r="AO26" i="14"/>
  <c r="AO194" i="14"/>
  <c r="AO31" i="14"/>
  <c r="AO143" i="14"/>
  <c r="AO191" i="14"/>
  <c r="AO163" i="14"/>
  <c r="AO161" i="14"/>
  <c r="AO165" i="14"/>
  <c r="AO19" i="14"/>
  <c r="AO28" i="14"/>
  <c r="AO185" i="14"/>
  <c r="AO192" i="14"/>
  <c r="AO157" i="14"/>
  <c r="AO71" i="14"/>
  <c r="AO152" i="14"/>
  <c r="AO27" i="14"/>
  <c r="AO197" i="14"/>
  <c r="AO202" i="14"/>
  <c r="AO169" i="14"/>
  <c r="AO23" i="14"/>
  <c r="AO65" i="14"/>
  <c r="AO187" i="14"/>
  <c r="AO20" i="14"/>
  <c r="AO57" i="14"/>
  <c r="AO207" i="14"/>
  <c r="AO208" i="14"/>
  <c r="AO189" i="14"/>
  <c r="AO147" i="14"/>
  <c r="AO61" i="14"/>
  <c r="AO204" i="14"/>
  <c r="AO153" i="14"/>
  <c r="AO188" i="14"/>
  <c r="AO158" i="14"/>
  <c r="AO180" i="14"/>
  <c r="AO58" i="14"/>
  <c r="AO56" i="14"/>
  <c r="AO177" i="14"/>
  <c r="AO174" i="14"/>
  <c r="AO62" i="14"/>
  <c r="AO154" i="14"/>
  <c r="AO213" i="14"/>
  <c r="AO156" i="14"/>
  <c r="AO146" i="14"/>
  <c r="AO150" i="14"/>
  <c r="AO181" i="14"/>
  <c r="AO35" i="14"/>
  <c r="AO205" i="14"/>
  <c r="AO144" i="14"/>
  <c r="AO171" i="14"/>
  <c r="AO183" i="14"/>
  <c r="AO198" i="14"/>
  <c r="AO203" i="14"/>
  <c r="AO172" i="14"/>
  <c r="AO25" i="14"/>
  <c r="AO64" i="14"/>
  <c r="AO206" i="14"/>
  <c r="AO195" i="14"/>
  <c r="AO145" i="14"/>
  <c r="AO32" i="14"/>
  <c r="AO149" i="14"/>
  <c r="AO176" i="14"/>
  <c r="AO30" i="14"/>
  <c r="AO155" i="14"/>
  <c r="AO66" i="14"/>
  <c r="AO54" i="14"/>
  <c r="AO53" i="14"/>
  <c r="AO67" i="14"/>
  <c r="AO211" i="14"/>
  <c r="AO170" i="14"/>
  <c r="AO182" i="14"/>
  <c r="AO184" i="14"/>
  <c r="AO168" i="14"/>
  <c r="AO21" i="14"/>
  <c r="AO209" i="14"/>
  <c r="AO159" i="14"/>
  <c r="AO24" i="14"/>
  <c r="AO199" i="14"/>
  <c r="AO60" i="14"/>
  <c r="AO179" i="14"/>
  <c r="AO164" i="14"/>
  <c r="AO33" i="14"/>
  <c r="AO210" i="14"/>
  <c r="AO55" i="14"/>
  <c r="AO22" i="14"/>
  <c r="AO39" i="14"/>
  <c r="AO40" i="14"/>
  <c r="AO45" i="14"/>
  <c r="AO49" i="14"/>
  <c r="AO42" i="14"/>
  <c r="AO47" i="14"/>
  <c r="AO51" i="14"/>
  <c r="AO43" i="14"/>
  <c r="AO41" i="14"/>
  <c r="AO46" i="14"/>
  <c r="AO50" i="14"/>
  <c r="AO36" i="14"/>
  <c r="AO37" i="14"/>
  <c r="AO44" i="14"/>
  <c r="AO38" i="14"/>
  <c r="AO48" i="14"/>
  <c r="Q142" i="14"/>
  <c r="Q178" i="14"/>
  <c r="Q52" i="14"/>
  <c r="Q125" i="14"/>
  <c r="U118" i="14"/>
  <c r="U160" i="14"/>
  <c r="Y52" i="14"/>
  <c r="Y125" i="14"/>
  <c r="F453" i="32"/>
  <c r="G453" i="32" s="1"/>
  <c r="H453" i="32" s="1"/>
  <c r="I453" i="32" s="1"/>
  <c r="J453" i="32" s="1"/>
  <c r="K453" i="32" s="1"/>
  <c r="L453" i="32" s="1"/>
  <c r="EC31" i="14"/>
  <c r="EC19" i="14"/>
  <c r="EC175" i="14"/>
  <c r="EC69" i="14"/>
  <c r="EC58" i="14"/>
  <c r="EC144" i="14"/>
  <c r="EC67" i="14"/>
  <c r="EC171" i="14"/>
  <c r="EC165" i="14"/>
  <c r="EC24" i="14"/>
  <c r="EC66" i="14"/>
  <c r="EC212" i="14"/>
  <c r="EC62" i="14"/>
  <c r="EC59" i="14"/>
  <c r="EC23" i="14"/>
  <c r="EC61" i="14"/>
  <c r="EC54" i="14"/>
  <c r="EC158" i="14"/>
  <c r="EC57" i="14"/>
  <c r="EC152" i="14"/>
  <c r="EC21" i="14"/>
  <c r="EC30" i="14"/>
  <c r="EC188" i="14"/>
  <c r="EC180" i="14"/>
  <c r="EC17" i="14"/>
  <c r="EC164" i="14"/>
  <c r="EC191" i="14"/>
  <c r="EC146" i="14"/>
  <c r="EC174" i="14"/>
  <c r="EC181" i="14"/>
  <c r="EC63" i="14"/>
  <c r="EC149" i="14"/>
  <c r="EC33" i="14"/>
  <c r="EC148" i="14"/>
  <c r="EC198" i="14"/>
  <c r="EC207" i="14"/>
  <c r="EC201" i="14"/>
  <c r="EC210" i="14"/>
  <c r="EC169" i="14"/>
  <c r="EC170" i="14"/>
  <c r="EC194" i="14"/>
  <c r="EC209" i="14"/>
  <c r="EC192" i="14"/>
  <c r="EC153" i="14"/>
  <c r="EC195" i="14"/>
  <c r="EC183" i="14"/>
  <c r="EC202" i="14"/>
  <c r="EC190" i="14"/>
  <c r="EC29" i="14"/>
  <c r="EC155" i="14"/>
  <c r="EC65" i="14"/>
  <c r="EC25" i="14"/>
  <c r="EC206" i="14"/>
  <c r="EC186" i="14"/>
  <c r="EC147" i="14"/>
  <c r="EC157" i="14"/>
  <c r="EC18" i="14"/>
  <c r="EC53" i="14"/>
  <c r="EC213" i="14"/>
  <c r="EC200" i="14"/>
  <c r="EC64" i="14"/>
  <c r="EC35" i="14"/>
  <c r="EC151" i="14"/>
  <c r="EC161" i="14"/>
  <c r="EC154" i="14"/>
  <c r="EC176" i="14"/>
  <c r="EC168" i="14"/>
  <c r="EC187" i="14"/>
  <c r="EC32" i="14"/>
  <c r="EC56" i="14"/>
  <c r="EC166" i="14"/>
  <c r="EC205" i="14"/>
  <c r="EC208" i="14"/>
  <c r="EC211" i="14"/>
  <c r="EC162" i="14"/>
  <c r="EC203" i="14"/>
  <c r="EC199" i="14"/>
  <c r="EC28" i="14"/>
  <c r="EC193" i="14"/>
  <c r="EC177" i="14"/>
  <c r="EC143" i="14"/>
  <c r="EC197" i="14"/>
  <c r="EC60" i="14"/>
  <c r="EC55" i="14"/>
  <c r="EC204" i="14"/>
  <c r="EC159" i="14"/>
  <c r="EC163" i="14"/>
  <c r="EC173" i="14"/>
  <c r="EC20" i="14"/>
  <c r="EC182" i="14"/>
  <c r="EC167" i="14"/>
  <c r="EC27" i="14"/>
  <c r="EC185" i="14"/>
  <c r="EC156" i="14"/>
  <c r="EC26" i="14"/>
  <c r="EC22" i="14"/>
  <c r="EC184" i="14"/>
  <c r="EC71" i="14"/>
  <c r="EC68" i="14"/>
  <c r="EC172" i="14"/>
  <c r="EC145" i="14"/>
  <c r="EC189" i="14"/>
  <c r="EC179" i="14"/>
  <c r="EC150" i="14"/>
  <c r="EC40" i="14"/>
  <c r="EC39" i="14"/>
  <c r="EC47" i="14"/>
  <c r="EC45" i="14"/>
  <c r="EC49" i="14"/>
  <c r="EC42" i="14"/>
  <c r="EC41" i="14"/>
  <c r="EC46" i="14"/>
  <c r="EC43" i="14"/>
  <c r="EC51" i="14"/>
  <c r="EC50" i="14"/>
  <c r="EC48" i="14"/>
  <c r="EC37" i="14"/>
  <c r="EC44" i="14"/>
  <c r="EC36" i="14"/>
  <c r="EC38" i="14"/>
  <c r="DY31" i="14"/>
  <c r="DY156" i="14"/>
  <c r="DY27" i="14"/>
  <c r="DY56" i="14"/>
  <c r="DY59" i="14"/>
  <c r="DY17" i="14"/>
  <c r="DY68" i="14"/>
  <c r="DY213" i="14"/>
  <c r="DY149" i="14"/>
  <c r="DY171" i="14"/>
  <c r="DY151" i="14"/>
  <c r="DY166" i="14"/>
  <c r="DY163" i="14"/>
  <c r="DY62" i="14"/>
  <c r="DY173" i="14"/>
  <c r="DY25" i="14"/>
  <c r="DY189" i="14"/>
  <c r="DY159" i="14"/>
  <c r="DY209" i="14"/>
  <c r="DY154" i="14"/>
  <c r="DY204" i="14"/>
  <c r="DY63" i="14"/>
  <c r="DY168" i="14"/>
  <c r="DY195" i="14"/>
  <c r="DY211" i="14"/>
  <c r="DY55" i="14"/>
  <c r="DY35" i="14"/>
  <c r="DY161" i="14"/>
  <c r="DY198" i="14"/>
  <c r="DY192" i="14"/>
  <c r="DY148" i="14"/>
  <c r="DY199" i="14"/>
  <c r="DY150" i="14"/>
  <c r="DY184" i="14"/>
  <c r="DY61" i="14"/>
  <c r="DY143" i="14"/>
  <c r="DY21" i="14"/>
  <c r="DY30" i="14"/>
  <c r="DY53" i="14"/>
  <c r="DY18" i="14"/>
  <c r="DY71" i="14"/>
  <c r="DY207" i="14"/>
  <c r="DY174" i="14"/>
  <c r="DY57" i="14"/>
  <c r="DY186" i="14"/>
  <c r="DY205" i="14"/>
  <c r="DY146" i="14"/>
  <c r="DY20" i="14"/>
  <c r="DY185" i="14"/>
  <c r="DY188" i="14"/>
  <c r="DY147" i="14"/>
  <c r="DY22" i="14"/>
  <c r="DY182" i="14"/>
  <c r="DY28" i="14"/>
  <c r="DY164" i="14"/>
  <c r="DY177" i="14"/>
  <c r="DY180" i="14"/>
  <c r="DY208" i="14"/>
  <c r="DY145" i="14"/>
  <c r="DY158" i="14"/>
  <c r="DY66" i="14"/>
  <c r="DY172" i="14"/>
  <c r="DY181" i="14"/>
  <c r="DY170" i="14"/>
  <c r="DY190" i="14"/>
  <c r="DY54" i="14"/>
  <c r="DY165" i="14"/>
  <c r="DY167" i="14"/>
  <c r="DY197" i="14"/>
  <c r="DY175" i="14"/>
  <c r="DY29" i="14"/>
  <c r="DY176" i="14"/>
  <c r="DY60" i="14"/>
  <c r="DY187" i="14"/>
  <c r="DY32" i="14"/>
  <c r="DY23" i="14"/>
  <c r="DY58" i="14"/>
  <c r="DY169" i="14"/>
  <c r="DY24" i="14"/>
  <c r="DY67" i="14"/>
  <c r="DY210" i="14"/>
  <c r="DY157" i="14"/>
  <c r="DY194" i="14"/>
  <c r="DY33" i="14"/>
  <c r="DY162" i="14"/>
  <c r="DY212" i="14"/>
  <c r="DY153" i="14"/>
  <c r="DY26" i="14"/>
  <c r="DY200" i="14"/>
  <c r="DY155" i="14"/>
  <c r="DY69" i="14"/>
  <c r="DY193" i="14"/>
  <c r="DY65" i="14"/>
  <c r="DY179" i="14"/>
  <c r="DY64" i="14"/>
  <c r="DY202" i="14"/>
  <c r="DY183" i="14"/>
  <c r="DY19" i="14"/>
  <c r="DY191" i="14"/>
  <c r="DY144" i="14"/>
  <c r="DY152" i="14"/>
  <c r="DY49" i="14"/>
  <c r="DY40" i="14"/>
  <c r="DY39" i="14"/>
  <c r="DY42" i="14"/>
  <c r="DY45" i="14"/>
  <c r="DY41" i="14"/>
  <c r="DY47" i="14"/>
  <c r="DY46" i="14"/>
  <c r="DY43" i="14"/>
  <c r="DY51" i="14"/>
  <c r="DY50" i="14"/>
  <c r="DY36" i="14"/>
  <c r="DY48" i="14"/>
  <c r="DY37" i="14"/>
  <c r="DY44" i="14"/>
  <c r="DY38" i="14"/>
  <c r="DU211" i="14"/>
  <c r="DU210" i="14"/>
  <c r="DU213" i="14"/>
  <c r="DU159" i="14"/>
  <c r="DU54" i="14"/>
  <c r="DU145" i="14"/>
  <c r="DU212" i="14"/>
  <c r="DU173" i="14"/>
  <c r="DU18" i="14"/>
  <c r="DU190" i="14"/>
  <c r="DU22" i="14"/>
  <c r="DU202" i="14"/>
  <c r="DU195" i="14"/>
  <c r="DU182" i="14"/>
  <c r="DU187" i="14"/>
  <c r="DU208" i="14"/>
  <c r="DU183" i="14"/>
  <c r="DU209" i="14"/>
  <c r="DU152" i="14"/>
  <c r="DU205" i="14"/>
  <c r="DU149" i="14"/>
  <c r="DU164" i="14"/>
  <c r="DU61" i="14"/>
  <c r="DU184" i="14"/>
  <c r="DU58" i="14"/>
  <c r="DU154" i="14"/>
  <c r="DU199" i="14"/>
  <c r="DU165" i="14"/>
  <c r="DU27" i="14"/>
  <c r="DU177" i="14"/>
  <c r="DU156" i="14"/>
  <c r="DU62" i="14"/>
  <c r="DU25" i="14"/>
  <c r="DU69" i="14"/>
  <c r="DU176" i="14"/>
  <c r="DU200" i="14"/>
  <c r="DU23" i="14"/>
  <c r="DU30" i="14"/>
  <c r="DU194" i="14"/>
  <c r="DU28" i="14"/>
  <c r="DU64" i="14"/>
  <c r="DU153" i="14"/>
  <c r="DU147" i="14"/>
  <c r="DU172" i="14"/>
  <c r="DU67" i="14"/>
  <c r="DU71" i="14"/>
  <c r="DU197" i="14"/>
  <c r="DU166" i="14"/>
  <c r="DU171" i="14"/>
  <c r="DU63" i="14"/>
  <c r="DU55" i="14"/>
  <c r="DU155" i="14"/>
  <c r="DU198" i="14"/>
  <c r="DU188" i="14"/>
  <c r="DU56" i="14"/>
  <c r="DU170" i="14"/>
  <c r="DU168" i="14"/>
  <c r="DU148" i="14"/>
  <c r="DU68" i="14"/>
  <c r="DU32" i="14"/>
  <c r="DU20" i="14"/>
  <c r="DU143" i="14"/>
  <c r="DU185" i="14"/>
  <c r="DU174" i="14"/>
  <c r="DU180" i="14"/>
  <c r="DU157" i="14"/>
  <c r="DU163" i="14"/>
  <c r="DU207" i="14"/>
  <c r="DU201" i="14"/>
  <c r="DU53" i="14"/>
  <c r="DU150" i="14"/>
  <c r="DU167" i="14"/>
  <c r="DU192" i="14"/>
  <c r="DU66" i="14"/>
  <c r="DU31" i="14"/>
  <c r="DU204" i="14"/>
  <c r="DU175" i="14"/>
  <c r="DU19" i="14"/>
  <c r="DU146" i="14"/>
  <c r="DU26" i="14"/>
  <c r="DU24" i="14"/>
  <c r="DU60" i="14"/>
  <c r="DU191" i="14"/>
  <c r="DU33" i="14"/>
  <c r="DU65" i="14"/>
  <c r="DU29" i="14"/>
  <c r="DU21" i="14"/>
  <c r="DU151" i="14"/>
  <c r="DU17" i="14"/>
  <c r="DU169" i="14"/>
  <c r="DU193" i="14"/>
  <c r="DU181" i="14"/>
  <c r="DU35" i="14"/>
  <c r="DU179" i="14"/>
  <c r="DU144" i="14"/>
  <c r="DU161" i="14"/>
  <c r="DU59" i="14"/>
  <c r="DU57" i="14"/>
  <c r="DU186" i="14"/>
  <c r="DU189" i="14"/>
  <c r="DU158" i="14"/>
  <c r="DU162" i="14"/>
  <c r="DU39" i="14"/>
  <c r="DU40" i="14"/>
  <c r="DU45" i="14"/>
  <c r="DU42" i="14"/>
  <c r="DU49" i="14"/>
  <c r="DU47" i="14"/>
  <c r="DU51" i="14"/>
  <c r="DU41" i="14"/>
  <c r="DU46" i="14"/>
  <c r="DU50" i="14"/>
  <c r="DU43" i="14"/>
  <c r="DU44" i="14"/>
  <c r="DU38" i="14"/>
  <c r="DU37" i="14"/>
  <c r="DU36" i="14"/>
  <c r="DU48" i="14"/>
  <c r="CT53" i="14"/>
  <c r="CT157" i="14"/>
  <c r="CT210" i="14"/>
  <c r="CT60" i="14"/>
  <c r="CT26" i="14"/>
  <c r="CT173" i="14"/>
  <c r="CT165" i="14"/>
  <c r="CT181" i="14"/>
  <c r="CT145" i="14"/>
  <c r="CT147" i="14"/>
  <c r="CT19" i="14"/>
  <c r="CT161" i="14"/>
  <c r="CT156" i="14"/>
  <c r="CT180" i="14"/>
  <c r="CT69" i="14"/>
  <c r="CT191" i="14"/>
  <c r="CT202" i="14"/>
  <c r="CT33" i="14"/>
  <c r="CT148" i="14"/>
  <c r="CT154" i="14"/>
  <c r="CT66" i="14"/>
  <c r="CT188" i="14"/>
  <c r="CT174" i="14"/>
  <c r="CT71" i="14"/>
  <c r="CT186" i="14"/>
  <c r="CT195" i="14"/>
  <c r="CT17" i="14"/>
  <c r="CT35" i="14"/>
  <c r="CT177" i="14"/>
  <c r="CT166" i="14"/>
  <c r="CT167" i="14"/>
  <c r="CT192" i="14"/>
  <c r="CT170" i="14"/>
  <c r="CT168" i="14"/>
  <c r="CT61" i="14"/>
  <c r="CT146" i="14"/>
  <c r="CT155" i="14"/>
  <c r="CT151" i="14"/>
  <c r="CT64" i="14"/>
  <c r="CT172" i="14"/>
  <c r="CT149" i="14"/>
  <c r="CT158" i="14"/>
  <c r="CT56" i="14"/>
  <c r="CT171" i="14"/>
  <c r="CT185" i="14"/>
  <c r="CT30" i="14"/>
  <c r="CT213" i="14"/>
  <c r="CT28" i="14"/>
  <c r="CT24" i="14"/>
  <c r="CT57" i="14"/>
  <c r="CT27" i="14"/>
  <c r="CT169" i="14"/>
  <c r="CT175" i="14"/>
  <c r="CT21" i="14"/>
  <c r="CT31" i="14"/>
  <c r="CT179" i="14"/>
  <c r="CT18" i="14"/>
  <c r="CT23" i="14"/>
  <c r="CT211" i="14"/>
  <c r="CT65" i="14"/>
  <c r="CT54" i="14"/>
  <c r="CT29" i="14"/>
  <c r="CT206" i="14"/>
  <c r="CT208" i="14"/>
  <c r="CT62" i="14"/>
  <c r="CT205" i="14"/>
  <c r="CT164" i="14"/>
  <c r="CT190" i="14"/>
  <c r="CT194" i="14"/>
  <c r="CT187" i="14"/>
  <c r="CT143" i="14"/>
  <c r="CT162" i="14"/>
  <c r="CT163" i="14"/>
  <c r="CT144" i="14"/>
  <c r="CT182" i="14"/>
  <c r="CT159" i="14"/>
  <c r="CT199" i="14"/>
  <c r="CT204" i="14"/>
  <c r="CT20" i="14"/>
  <c r="CT176" i="14"/>
  <c r="CT184" i="14"/>
  <c r="CT150" i="14"/>
  <c r="CT22" i="14"/>
  <c r="CT32" i="14"/>
  <c r="CT152" i="14"/>
  <c r="CT207" i="14"/>
  <c r="CT212" i="14"/>
  <c r="CT67" i="14"/>
  <c r="CT153" i="14"/>
  <c r="CT209" i="14"/>
  <c r="CT193" i="14"/>
  <c r="CT55" i="14"/>
  <c r="CT197" i="14"/>
  <c r="CT198" i="14"/>
  <c r="CT68" i="14"/>
  <c r="CT58" i="14"/>
  <c r="CT25" i="14"/>
  <c r="CT183" i="14"/>
  <c r="CT59" i="14"/>
  <c r="CT200" i="14"/>
  <c r="CT63" i="14"/>
  <c r="CT189" i="14"/>
  <c r="CT40" i="14"/>
  <c r="CT39" i="14"/>
  <c r="CT45" i="14"/>
  <c r="CT42" i="14"/>
  <c r="CT49" i="14"/>
  <c r="CT51" i="14"/>
  <c r="CT41" i="14"/>
  <c r="CT43" i="14"/>
  <c r="CT46" i="14"/>
  <c r="CT47" i="14"/>
  <c r="CT50" i="14"/>
  <c r="CT37" i="14"/>
  <c r="CT44" i="14"/>
  <c r="CT48" i="14"/>
  <c r="CT36" i="14"/>
  <c r="CT38" i="14"/>
  <c r="CP155" i="14"/>
  <c r="CP209" i="14"/>
  <c r="CP195" i="14"/>
  <c r="CP161" i="14"/>
  <c r="CP174" i="14"/>
  <c r="CP199" i="14"/>
  <c r="CP184" i="14"/>
  <c r="CP35" i="14"/>
  <c r="CP19" i="14"/>
  <c r="CP212" i="14"/>
  <c r="CP183" i="14"/>
  <c r="CP179" i="14"/>
  <c r="CP18" i="14"/>
  <c r="CP17" i="14"/>
  <c r="CP204" i="14"/>
  <c r="CP26" i="14"/>
  <c r="CP194" i="14"/>
  <c r="CP153" i="14"/>
  <c r="CP190" i="14"/>
  <c r="CP62" i="14"/>
  <c r="CP211" i="14"/>
  <c r="CP202" i="14"/>
  <c r="CP66" i="14"/>
  <c r="CP29" i="14"/>
  <c r="CP210" i="14"/>
  <c r="CP213" i="14"/>
  <c r="CP207" i="14"/>
  <c r="CP169" i="14"/>
  <c r="CP53" i="14"/>
  <c r="CP149" i="14"/>
  <c r="CP24" i="14"/>
  <c r="CP144" i="14"/>
  <c r="CP25" i="14"/>
  <c r="CP30" i="14"/>
  <c r="CP163" i="14"/>
  <c r="CP20" i="14"/>
  <c r="CP172" i="14"/>
  <c r="CP31" i="14"/>
  <c r="CP145" i="14"/>
  <c r="CP143" i="14"/>
  <c r="CP164" i="14"/>
  <c r="CP182" i="14"/>
  <c r="CP21" i="14"/>
  <c r="CP28" i="14"/>
  <c r="CP58" i="14"/>
  <c r="CP68" i="14"/>
  <c r="CP157" i="14"/>
  <c r="CP206" i="14"/>
  <c r="CP65" i="14"/>
  <c r="CP192" i="14"/>
  <c r="CP197" i="14"/>
  <c r="CP147" i="14"/>
  <c r="CP181" i="14"/>
  <c r="CP54" i="14"/>
  <c r="CP71" i="14"/>
  <c r="CP185" i="14"/>
  <c r="CP150" i="14"/>
  <c r="CP171" i="14"/>
  <c r="CP198" i="14"/>
  <c r="CP159" i="14"/>
  <c r="CP59" i="14"/>
  <c r="CP176" i="14"/>
  <c r="CP27" i="14"/>
  <c r="CP146" i="14"/>
  <c r="CP188" i="14"/>
  <c r="CP203" i="14"/>
  <c r="CP156" i="14"/>
  <c r="CP162" i="14"/>
  <c r="CP191" i="14"/>
  <c r="CP56" i="14"/>
  <c r="CP158" i="14"/>
  <c r="CP64" i="14"/>
  <c r="CP60" i="14"/>
  <c r="CP152" i="14"/>
  <c r="CP61" i="14"/>
  <c r="CP170" i="14"/>
  <c r="CP187" i="14"/>
  <c r="CP180" i="14"/>
  <c r="CP55" i="14"/>
  <c r="CP168" i="14"/>
  <c r="CP166" i="14"/>
  <c r="CP22" i="14"/>
  <c r="CP189" i="14"/>
  <c r="CP151" i="14"/>
  <c r="CP165" i="14"/>
  <c r="CP33" i="14"/>
  <c r="CP32" i="14"/>
  <c r="CP63" i="14"/>
  <c r="CP67" i="14"/>
  <c r="CP200" i="14"/>
  <c r="CP193" i="14"/>
  <c r="CP208" i="14"/>
  <c r="CP205" i="14"/>
  <c r="CP148" i="14"/>
  <c r="CP173" i="14"/>
  <c r="CP57" i="14"/>
  <c r="CP23" i="14"/>
  <c r="CP186" i="14"/>
  <c r="CP177" i="14"/>
  <c r="CP69" i="14"/>
  <c r="CP167" i="14"/>
  <c r="CP154" i="14"/>
  <c r="CP175" i="14"/>
  <c r="CP40" i="14"/>
  <c r="CP39" i="14"/>
  <c r="CP47" i="14"/>
  <c r="CP45" i="14"/>
  <c r="CP49" i="14"/>
  <c r="CP42" i="14"/>
  <c r="CP50" i="14"/>
  <c r="CP41" i="14"/>
  <c r="CP43" i="14"/>
  <c r="CP51" i="14"/>
  <c r="CP46" i="14"/>
  <c r="CP37" i="14"/>
  <c r="CP48" i="14"/>
  <c r="CP36" i="14"/>
  <c r="CP44" i="14"/>
  <c r="CP38" i="14"/>
  <c r="CL181" i="14"/>
  <c r="CL211" i="14"/>
  <c r="CL179" i="14"/>
  <c r="CL151" i="14"/>
  <c r="CL192" i="14"/>
  <c r="CL148" i="14"/>
  <c r="CL69" i="14"/>
  <c r="CL27" i="14"/>
  <c r="CL21" i="14"/>
  <c r="CL71" i="14"/>
  <c r="CL153" i="14"/>
  <c r="CL202" i="14"/>
  <c r="CL63" i="14"/>
  <c r="CL180" i="14"/>
  <c r="CL158" i="14"/>
  <c r="CL25" i="14"/>
  <c r="CL187" i="14"/>
  <c r="CL150" i="14"/>
  <c r="CL24" i="14"/>
  <c r="CL209" i="14"/>
  <c r="CL197" i="14"/>
  <c r="CL152" i="14"/>
  <c r="CL159" i="14"/>
  <c r="CL60" i="14"/>
  <c r="CL163" i="14"/>
  <c r="CL183" i="14"/>
  <c r="CL208" i="14"/>
  <c r="CL157" i="14"/>
  <c r="CL149" i="14"/>
  <c r="CL53" i="14"/>
  <c r="CL166" i="14"/>
  <c r="CL188" i="14"/>
  <c r="CL143" i="14"/>
  <c r="CL184" i="14"/>
  <c r="CL64" i="14"/>
  <c r="CL164" i="14"/>
  <c r="CL186" i="14"/>
  <c r="CL165" i="14"/>
  <c r="CL28" i="14"/>
  <c r="CL20" i="14"/>
  <c r="CL30" i="14"/>
  <c r="CL162" i="14"/>
  <c r="CL145" i="14"/>
  <c r="CL22" i="14"/>
  <c r="CL169" i="14"/>
  <c r="CL59" i="14"/>
  <c r="CL189" i="14"/>
  <c r="CL182" i="14"/>
  <c r="CL58" i="14"/>
  <c r="CL191" i="14"/>
  <c r="CL185" i="14"/>
  <c r="CL168" i="14"/>
  <c r="CL146" i="14"/>
  <c r="CL68" i="14"/>
  <c r="CL61" i="14"/>
  <c r="CL156" i="14"/>
  <c r="CL175" i="14"/>
  <c r="CL167" i="14"/>
  <c r="CL213" i="14"/>
  <c r="CL195" i="14"/>
  <c r="CL207" i="14"/>
  <c r="CL65" i="14"/>
  <c r="CL205" i="14"/>
  <c r="CL199" i="14"/>
  <c r="CL54" i="14"/>
  <c r="CL147" i="14"/>
  <c r="CL161" i="14"/>
  <c r="CL212" i="14"/>
  <c r="CL31" i="14"/>
  <c r="CL17" i="14"/>
  <c r="CL56" i="14"/>
  <c r="CL66" i="14"/>
  <c r="CL29" i="14"/>
  <c r="CL32" i="14"/>
  <c r="CL173" i="14"/>
  <c r="CL154" i="14"/>
  <c r="CL67" i="14"/>
  <c r="CL193" i="14"/>
  <c r="CL210" i="14"/>
  <c r="CL144" i="14"/>
  <c r="CL176" i="14"/>
  <c r="CL155" i="14"/>
  <c r="CL177" i="14"/>
  <c r="CL194" i="14"/>
  <c r="CL204" i="14"/>
  <c r="CL198" i="14"/>
  <c r="CL171" i="14"/>
  <c r="CL33" i="14"/>
  <c r="CL57" i="14"/>
  <c r="CL190" i="14"/>
  <c r="CL23" i="14"/>
  <c r="CL19" i="14"/>
  <c r="CL206" i="14"/>
  <c r="CL26" i="14"/>
  <c r="CL170" i="14"/>
  <c r="CL18" i="14"/>
  <c r="CL55" i="14"/>
  <c r="CL172" i="14"/>
  <c r="CL200" i="14"/>
  <c r="CL35" i="14"/>
  <c r="CL174" i="14"/>
  <c r="CL62" i="14"/>
  <c r="CL39" i="14"/>
  <c r="CL49" i="14"/>
  <c r="CL40" i="14"/>
  <c r="CL47" i="14"/>
  <c r="CL42" i="14"/>
  <c r="CL41" i="14"/>
  <c r="CL45" i="14"/>
  <c r="CL43" i="14"/>
  <c r="CL46" i="14"/>
  <c r="CL51" i="14"/>
  <c r="CL50" i="14"/>
  <c r="CL37" i="14"/>
  <c r="CL38" i="14"/>
  <c r="CL36" i="14"/>
  <c r="CL48" i="14"/>
  <c r="CL44" i="14"/>
  <c r="R142" i="14"/>
  <c r="R125" i="14"/>
  <c r="R52" i="14"/>
  <c r="V125" i="14"/>
  <c r="V52" i="14"/>
  <c r="V142" i="14"/>
  <c r="Z116" i="14"/>
  <c r="Z224" i="14"/>
  <c r="AH44" i="16"/>
  <c r="AF44" i="16"/>
  <c r="AD44" i="16"/>
  <c r="AB44" i="16"/>
  <c r="Z44" i="16"/>
  <c r="X44" i="16"/>
  <c r="V44" i="16"/>
  <c r="T44" i="16"/>
  <c r="R44" i="16"/>
  <c r="M32" i="35"/>
  <c r="J31" i="30"/>
  <c r="P44" i="16"/>
  <c r="I564" i="32"/>
  <c r="I32" i="35"/>
  <c r="N44" i="16"/>
  <c r="F31" i="30"/>
  <c r="E564" i="32"/>
  <c r="BV154" i="14"/>
  <c r="BV166" i="14"/>
  <c r="BV26" i="14"/>
  <c r="BV56" i="14"/>
  <c r="BV17" i="14"/>
  <c r="BV64" i="14"/>
  <c r="BV161" i="14"/>
  <c r="BV149" i="14"/>
  <c r="BV209" i="14"/>
  <c r="BV29" i="14"/>
  <c r="BV172" i="14"/>
  <c r="BV180" i="14"/>
  <c r="BV175" i="14"/>
  <c r="BV148" i="14"/>
  <c r="BV18" i="14"/>
  <c r="BV157" i="14"/>
  <c r="BV189" i="14"/>
  <c r="BV201" i="14"/>
  <c r="BV198" i="14"/>
  <c r="BV28" i="14"/>
  <c r="BV170" i="14"/>
  <c r="BV186" i="14"/>
  <c r="BV197" i="14"/>
  <c r="BV57" i="14"/>
  <c r="BV207" i="14"/>
  <c r="BV158" i="14"/>
  <c r="BV204" i="14"/>
  <c r="BV147" i="14"/>
  <c r="BV54" i="14"/>
  <c r="BV153" i="14"/>
  <c r="BV66" i="14"/>
  <c r="BV181" i="14"/>
  <c r="BV182" i="14"/>
  <c r="BV202" i="14"/>
  <c r="BV21" i="14"/>
  <c r="BV169" i="14"/>
  <c r="BV146" i="14"/>
  <c r="BV168" i="14"/>
  <c r="BV159" i="14"/>
  <c r="BV19" i="14"/>
  <c r="BV213" i="14"/>
  <c r="BV22" i="14"/>
  <c r="BV183" i="14"/>
  <c r="BV20" i="14"/>
  <c r="BV31" i="14"/>
  <c r="BV33" i="14"/>
  <c r="BV192" i="14"/>
  <c r="BV24" i="14"/>
  <c r="BV177" i="14"/>
  <c r="BV53" i="14"/>
  <c r="BV187" i="14"/>
  <c r="BV205" i="14"/>
  <c r="BV27" i="14"/>
  <c r="BV58" i="14"/>
  <c r="BV59" i="14"/>
  <c r="BV144" i="14"/>
  <c r="BV71" i="14"/>
  <c r="BV190" i="14"/>
  <c r="BV67" i="14"/>
  <c r="BV143" i="14"/>
  <c r="BV193" i="14"/>
  <c r="BV212" i="14"/>
  <c r="BV200" i="14"/>
  <c r="BV179" i="14"/>
  <c r="BV65" i="14"/>
  <c r="BV150" i="14"/>
  <c r="BV23" i="14"/>
  <c r="BV174" i="14"/>
  <c r="BV176" i="14"/>
  <c r="BV30" i="14"/>
  <c r="BV32" i="14"/>
  <c r="BV185" i="14"/>
  <c r="BV25" i="14"/>
  <c r="BV155" i="14"/>
  <c r="BV167" i="14"/>
  <c r="BV61" i="14"/>
  <c r="BV69" i="14"/>
  <c r="BV210" i="14"/>
  <c r="BV152" i="14"/>
  <c r="BV184" i="14"/>
  <c r="BV162" i="14"/>
  <c r="BV208" i="14"/>
  <c r="BV199" i="14"/>
  <c r="BV156" i="14"/>
  <c r="BV203" i="14"/>
  <c r="BV35" i="14"/>
  <c r="BV163" i="14"/>
  <c r="BV62" i="14"/>
  <c r="BV60" i="14"/>
  <c r="BV195" i="14"/>
  <c r="BV63" i="14"/>
  <c r="BV165" i="14"/>
  <c r="BV68" i="14"/>
  <c r="BV188" i="14"/>
  <c r="BV211" i="14"/>
  <c r="BV55" i="14"/>
  <c r="BV194" i="14"/>
  <c r="BV151" i="14"/>
  <c r="BV164" i="14"/>
  <c r="BV173" i="14"/>
  <c r="BV171" i="14"/>
  <c r="BV191" i="14"/>
  <c r="BV145" i="14"/>
  <c r="BV40" i="14"/>
  <c r="BV39" i="14"/>
  <c r="BV45" i="14"/>
  <c r="BV42" i="14"/>
  <c r="BV49" i="14"/>
  <c r="BV47" i="14"/>
  <c r="BV43" i="14"/>
  <c r="BV51" i="14"/>
  <c r="BV46" i="14"/>
  <c r="BV41" i="14"/>
  <c r="BV50" i="14"/>
  <c r="BV38" i="14"/>
  <c r="BV36" i="14"/>
  <c r="BV44" i="14"/>
  <c r="BV37" i="14"/>
  <c r="BV48" i="14"/>
  <c r="BR200" i="14"/>
  <c r="BR195" i="14"/>
  <c r="BR175" i="14"/>
  <c r="BR180" i="14"/>
  <c r="BR211" i="14"/>
  <c r="BR194" i="14"/>
  <c r="BR54" i="14"/>
  <c r="BR65" i="14"/>
  <c r="BR32" i="14"/>
  <c r="BR19" i="14"/>
  <c r="BR187" i="14"/>
  <c r="BR154" i="14"/>
  <c r="BR159" i="14"/>
  <c r="BR147" i="14"/>
  <c r="BR25" i="14"/>
  <c r="BR172" i="14"/>
  <c r="BR156" i="14"/>
  <c r="BR69" i="14"/>
  <c r="BR193" i="14"/>
  <c r="BR183" i="14"/>
  <c r="BR68" i="14"/>
  <c r="BR151" i="14"/>
  <c r="BR21" i="14"/>
  <c r="BR18" i="14"/>
  <c r="BR169" i="14"/>
  <c r="BR210" i="14"/>
  <c r="BR179" i="14"/>
  <c r="BR144" i="14"/>
  <c r="BR59" i="14"/>
  <c r="BR198" i="14"/>
  <c r="BR63" i="14"/>
  <c r="BR186" i="14"/>
  <c r="BR212" i="14"/>
  <c r="BR61" i="14"/>
  <c r="BR188" i="14"/>
  <c r="BR153" i="14"/>
  <c r="BR23" i="14"/>
  <c r="BR184" i="14"/>
  <c r="BR162" i="14"/>
  <c r="BR145" i="14"/>
  <c r="BR163" i="14"/>
  <c r="BR205" i="14"/>
  <c r="BR157" i="14"/>
  <c r="BR171" i="14"/>
  <c r="BR165" i="14"/>
  <c r="BR204" i="14"/>
  <c r="BR190" i="14"/>
  <c r="BR29" i="14"/>
  <c r="BR177" i="14"/>
  <c r="BR189" i="14"/>
  <c r="BR20" i="14"/>
  <c r="BR22" i="14"/>
  <c r="BR174" i="14"/>
  <c r="BR152" i="14"/>
  <c r="BR208" i="14"/>
  <c r="BR71" i="14"/>
  <c r="BR26" i="14"/>
  <c r="BR150" i="14"/>
  <c r="BR67" i="14"/>
  <c r="BR202" i="14"/>
  <c r="BR31" i="14"/>
  <c r="BR56" i="14"/>
  <c r="BR148" i="14"/>
  <c r="BR66" i="14"/>
  <c r="BR30" i="14"/>
  <c r="BR164" i="14"/>
  <c r="BR57" i="14"/>
  <c r="BR185" i="14"/>
  <c r="BR17" i="14"/>
  <c r="BR33" i="14"/>
  <c r="BR207" i="14"/>
  <c r="BR199" i="14"/>
  <c r="BR143" i="14"/>
  <c r="BR209" i="14"/>
  <c r="BR213" i="14"/>
  <c r="BR64" i="14"/>
  <c r="BR27" i="14"/>
  <c r="BR35" i="14"/>
  <c r="BR192" i="14"/>
  <c r="BR182" i="14"/>
  <c r="BR53" i="14"/>
  <c r="BR158" i="14"/>
  <c r="BR161" i="14"/>
  <c r="BR181" i="14"/>
  <c r="BR197" i="14"/>
  <c r="BR55" i="14"/>
  <c r="BR58" i="14"/>
  <c r="BR173" i="14"/>
  <c r="BR146" i="14"/>
  <c r="BR28" i="14"/>
  <c r="BR170" i="14"/>
  <c r="BR149" i="14"/>
  <c r="BR176" i="14"/>
  <c r="BR167" i="14"/>
  <c r="BR60" i="14"/>
  <c r="BR24" i="14"/>
  <c r="BR191" i="14"/>
  <c r="BR168" i="14"/>
  <c r="BR155" i="14"/>
  <c r="BR62" i="14"/>
  <c r="BR166" i="14"/>
  <c r="BR39" i="14"/>
  <c r="BR49" i="14"/>
  <c r="BR40" i="14"/>
  <c r="BR45" i="14"/>
  <c r="BR47" i="14"/>
  <c r="BR42" i="14"/>
  <c r="BR46" i="14"/>
  <c r="BR51" i="14"/>
  <c r="BR43" i="14"/>
  <c r="BR50" i="14"/>
  <c r="BR41" i="14"/>
  <c r="BR37" i="14"/>
  <c r="BR36" i="14"/>
  <c r="BR44" i="14"/>
  <c r="BR38" i="14"/>
  <c r="BR48" i="14"/>
  <c r="BN199" i="14"/>
  <c r="BN63" i="14"/>
  <c r="BN186" i="14"/>
  <c r="BN65" i="14"/>
  <c r="BN35" i="14"/>
  <c r="BN180" i="14"/>
  <c r="BN157" i="14"/>
  <c r="BN175" i="14"/>
  <c r="BN197" i="14"/>
  <c r="BN187" i="14"/>
  <c r="BN66" i="14"/>
  <c r="BN198" i="14"/>
  <c r="BN195" i="14"/>
  <c r="BN172" i="14"/>
  <c r="BN211" i="14"/>
  <c r="BN185" i="14"/>
  <c r="BN58" i="14"/>
  <c r="BN71" i="14"/>
  <c r="BN21" i="14"/>
  <c r="BN29" i="14"/>
  <c r="BN182" i="14"/>
  <c r="BN17" i="14"/>
  <c r="BN25" i="14"/>
  <c r="BN207" i="14"/>
  <c r="BN22" i="14"/>
  <c r="BN213" i="14"/>
  <c r="BN154" i="14"/>
  <c r="BN168" i="14"/>
  <c r="BN192" i="14"/>
  <c r="BN57" i="14"/>
  <c r="BN209" i="14"/>
  <c r="BN69" i="14"/>
  <c r="BN173" i="14"/>
  <c r="BN61" i="14"/>
  <c r="BN27" i="14"/>
  <c r="BN152" i="14"/>
  <c r="BN189" i="14"/>
  <c r="BN205" i="14"/>
  <c r="BN165" i="14"/>
  <c r="BN158" i="14"/>
  <c r="BN23" i="14"/>
  <c r="BN163" i="14"/>
  <c r="BN170" i="14"/>
  <c r="BN67" i="14"/>
  <c r="BN150" i="14"/>
  <c r="BN176" i="14"/>
  <c r="BN33" i="14"/>
  <c r="BN144" i="14"/>
  <c r="BN210" i="14"/>
  <c r="BN167" i="14"/>
  <c r="BN177" i="14"/>
  <c r="BN30" i="14"/>
  <c r="BN54" i="14"/>
  <c r="BN179" i="14"/>
  <c r="BN146" i="14"/>
  <c r="BN147" i="14"/>
  <c r="BN59" i="14"/>
  <c r="BN164" i="14"/>
  <c r="BN200" i="14"/>
  <c r="BN188" i="14"/>
  <c r="BN162" i="14"/>
  <c r="BN184" i="14"/>
  <c r="BN183" i="14"/>
  <c r="BN32" i="14"/>
  <c r="BN55" i="14"/>
  <c r="BN151" i="14"/>
  <c r="BN166" i="14"/>
  <c r="BN208" i="14"/>
  <c r="BN145" i="14"/>
  <c r="BN202" i="14"/>
  <c r="BN19" i="14"/>
  <c r="BN60" i="14"/>
  <c r="BN181" i="14"/>
  <c r="BN153" i="14"/>
  <c r="BN156" i="14"/>
  <c r="BN174" i="14"/>
  <c r="BN31" i="14"/>
  <c r="BN18" i="14"/>
  <c r="BN193" i="14"/>
  <c r="BN26" i="14"/>
  <c r="BN62" i="14"/>
  <c r="BN53" i="14"/>
  <c r="BN56" i="14"/>
  <c r="BN64" i="14"/>
  <c r="BN24" i="14"/>
  <c r="BN28" i="14"/>
  <c r="BN20" i="14"/>
  <c r="BN148" i="14"/>
  <c r="BN212" i="14"/>
  <c r="BN143" i="14"/>
  <c r="BN191" i="14"/>
  <c r="BN204" i="14"/>
  <c r="BN171" i="14"/>
  <c r="BN169" i="14"/>
  <c r="BN190" i="14"/>
  <c r="BN161" i="14"/>
  <c r="BN68" i="14"/>
  <c r="BN155" i="14"/>
  <c r="BN159" i="14"/>
  <c r="BN149" i="14"/>
  <c r="BN194" i="14"/>
  <c r="BN39" i="14"/>
  <c r="BN40" i="14"/>
  <c r="BN45" i="14"/>
  <c r="BN42" i="14"/>
  <c r="BN47" i="14"/>
  <c r="BN49" i="14"/>
  <c r="BN41" i="14"/>
  <c r="BN46" i="14"/>
  <c r="BN51" i="14"/>
  <c r="BN43" i="14"/>
  <c r="BN37" i="14"/>
  <c r="BN36" i="14"/>
  <c r="BN44" i="14"/>
  <c r="BN50" i="14"/>
  <c r="BN38" i="14"/>
  <c r="BN48" i="14"/>
  <c r="S142" i="14"/>
  <c r="AA160" i="14"/>
  <c r="AJ41" i="16"/>
  <c r="EP46" i="6"/>
  <c r="EL46" i="6"/>
  <c r="EH46" i="6"/>
  <c r="AH41" i="16"/>
  <c r="ED46" i="6"/>
  <c r="DZ46" i="6"/>
  <c r="DV46" i="6"/>
  <c r="AF41" i="16"/>
  <c r="DR46" i="6"/>
  <c r="DN46" i="6"/>
  <c r="DJ46" i="6"/>
  <c r="AD41" i="16"/>
  <c r="DF46" i="6"/>
  <c r="DB46" i="6"/>
  <c r="CX46" i="6"/>
  <c r="AB41" i="16"/>
  <c r="CT46" i="6"/>
  <c r="CP46" i="6"/>
  <c r="CL46" i="6"/>
  <c r="Z41" i="16"/>
  <c r="CH46" i="6"/>
  <c r="CD46" i="6"/>
  <c r="BZ46" i="6"/>
  <c r="X41" i="16"/>
  <c r="BV46" i="6"/>
  <c r="BR46" i="6"/>
  <c r="BN46" i="6"/>
  <c r="V41" i="16"/>
  <c r="BJ46" i="6"/>
  <c r="BF46" i="6"/>
  <c r="BB46" i="6"/>
  <c r="T41" i="16"/>
  <c r="AX46" i="6"/>
  <c r="AT46" i="6"/>
  <c r="AP46" i="6"/>
  <c r="R41" i="16"/>
  <c r="AL46" i="6"/>
  <c r="AH46" i="6"/>
  <c r="AD46" i="6"/>
  <c r="J30" i="30"/>
  <c r="J32" i="30"/>
  <c r="I563" i="32"/>
  <c r="P41" i="16"/>
  <c r="Z46" i="6"/>
  <c r="V46" i="6"/>
  <c r="R46" i="6"/>
  <c r="N47" i="6"/>
  <c r="I31" i="35" s="1"/>
  <c r="BI205" i="14"/>
  <c r="BI65" i="14"/>
  <c r="BI199" i="14"/>
  <c r="BI17" i="14"/>
  <c r="BI55" i="14"/>
  <c r="BI186" i="14"/>
  <c r="BI71" i="14"/>
  <c r="BI66" i="14"/>
  <c r="BI172" i="14"/>
  <c r="BI53" i="14"/>
  <c r="BI187" i="14"/>
  <c r="BI153" i="14"/>
  <c r="BI163" i="14"/>
  <c r="BI158" i="14"/>
  <c r="BI175" i="14"/>
  <c r="BI19" i="14"/>
  <c r="BI174" i="14"/>
  <c r="BI62" i="14"/>
  <c r="BI68" i="14"/>
  <c r="BI31" i="14"/>
  <c r="BI64" i="14"/>
  <c r="BI24" i="14"/>
  <c r="BI167" i="14"/>
  <c r="BI28" i="14"/>
  <c r="BI61" i="14"/>
  <c r="BI191" i="14"/>
  <c r="BI181" i="14"/>
  <c r="BI58" i="14"/>
  <c r="BI198" i="14"/>
  <c r="BI35" i="14"/>
  <c r="BI185" i="14"/>
  <c r="BI195" i="14"/>
  <c r="BI166" i="14"/>
  <c r="BI144" i="14"/>
  <c r="BI22" i="14"/>
  <c r="BI171" i="14"/>
  <c r="BI150" i="14"/>
  <c r="BI154" i="14"/>
  <c r="BI151" i="14"/>
  <c r="BI184" i="14"/>
  <c r="BI32" i="14"/>
  <c r="BI204" i="14"/>
  <c r="BI200" i="14"/>
  <c r="BI190" i="14"/>
  <c r="BI145" i="14"/>
  <c r="BI208" i="14"/>
  <c r="BI194" i="14"/>
  <c r="BI20" i="14"/>
  <c r="BI67" i="14"/>
  <c r="BI211" i="14"/>
  <c r="BI27" i="14"/>
  <c r="BI30" i="14"/>
  <c r="BI152" i="14"/>
  <c r="BI188" i="14"/>
  <c r="BI177" i="14"/>
  <c r="BI69" i="14"/>
  <c r="BI173" i="14"/>
  <c r="BI170" i="14"/>
  <c r="BI159" i="14"/>
  <c r="BI168" i="14"/>
  <c r="BI169" i="14"/>
  <c r="BI155" i="14"/>
  <c r="BI143" i="14"/>
  <c r="BI148" i="14"/>
  <c r="BI59" i="14"/>
  <c r="BI182" i="14"/>
  <c r="BI179" i="14"/>
  <c r="BI183" i="14"/>
  <c r="BI23" i="14"/>
  <c r="BI202" i="14"/>
  <c r="BI193" i="14"/>
  <c r="BI164" i="14"/>
  <c r="BI157" i="14"/>
  <c r="BI149" i="14"/>
  <c r="BI176" i="14"/>
  <c r="BI162" i="14"/>
  <c r="BI25" i="14"/>
  <c r="BI60" i="14"/>
  <c r="BI54" i="14"/>
  <c r="BI210" i="14"/>
  <c r="BI189" i="14"/>
  <c r="BI207" i="14"/>
  <c r="BI212" i="14"/>
  <c r="BI57" i="14"/>
  <c r="BI180" i="14"/>
  <c r="BI63" i="14"/>
  <c r="BI29" i="14"/>
  <c r="BI146" i="14"/>
  <c r="BI147" i="14"/>
  <c r="BI192" i="14"/>
  <c r="BI213" i="14"/>
  <c r="BI33" i="14"/>
  <c r="BI56" i="14"/>
  <c r="BI209" i="14"/>
  <c r="BI21" i="14"/>
  <c r="BI156" i="14"/>
  <c r="BI165" i="14"/>
  <c r="BI26" i="14"/>
  <c r="BI18" i="14"/>
  <c r="BI161" i="14"/>
  <c r="BI197" i="14"/>
  <c r="BI39" i="14"/>
  <c r="BI40" i="14"/>
  <c r="BI42" i="14"/>
  <c r="BI49" i="14"/>
  <c r="BI45" i="14"/>
  <c r="BI47" i="14"/>
  <c r="BI43" i="14"/>
  <c r="BI41" i="14"/>
  <c r="BI51" i="14"/>
  <c r="BI46" i="14"/>
  <c r="BI36" i="14"/>
  <c r="BI44" i="14"/>
  <c r="BI50" i="14"/>
  <c r="BI37" i="14"/>
  <c r="BI48" i="14"/>
  <c r="BI38" i="14"/>
  <c r="BE144" i="14"/>
  <c r="BE210" i="14"/>
  <c r="BE53" i="14"/>
  <c r="BE195" i="14"/>
  <c r="BE159" i="14"/>
  <c r="BE145" i="14"/>
  <c r="BE62" i="14"/>
  <c r="BE154" i="14"/>
  <c r="BE60" i="14"/>
  <c r="BE17" i="14"/>
  <c r="BE21" i="14"/>
  <c r="BE65" i="14"/>
  <c r="BE172" i="14"/>
  <c r="BE58" i="14"/>
  <c r="BE26" i="14"/>
  <c r="BE33" i="14"/>
  <c r="BE152" i="14"/>
  <c r="BE190" i="14"/>
  <c r="BE200" i="14"/>
  <c r="BE173" i="14"/>
  <c r="BE186" i="14"/>
  <c r="BE192" i="14"/>
  <c r="BE27" i="14"/>
  <c r="BE206" i="14"/>
  <c r="BE55" i="14"/>
  <c r="BE184" i="14"/>
  <c r="BE67" i="14"/>
  <c r="BE29" i="14"/>
  <c r="BE148" i="14"/>
  <c r="BE155" i="14"/>
  <c r="BE174" i="14"/>
  <c r="BE32" i="14"/>
  <c r="BE19" i="14"/>
  <c r="BE18" i="14"/>
  <c r="BE187" i="14"/>
  <c r="BE28" i="14"/>
  <c r="BE179" i="14"/>
  <c r="BE71" i="14"/>
  <c r="BE171" i="14"/>
  <c r="BE209" i="14"/>
  <c r="BE176" i="14"/>
  <c r="BE211" i="14"/>
  <c r="BE156" i="14"/>
  <c r="BE204" i="14"/>
  <c r="BE167" i="14"/>
  <c r="BE66" i="14"/>
  <c r="BE25" i="14"/>
  <c r="BE205" i="14"/>
  <c r="BE194" i="14"/>
  <c r="BE164" i="14"/>
  <c r="BE64" i="14"/>
  <c r="BE20" i="14"/>
  <c r="BE175" i="14"/>
  <c r="BE163" i="14"/>
  <c r="BE202" i="14"/>
  <c r="BE35" i="14"/>
  <c r="BE161" i="14"/>
  <c r="BE146" i="14"/>
  <c r="BE23" i="14"/>
  <c r="BE151" i="14"/>
  <c r="BE30" i="14"/>
  <c r="BE213" i="14"/>
  <c r="BE63" i="14"/>
  <c r="BE149" i="14"/>
  <c r="BE56" i="14"/>
  <c r="BE31" i="14"/>
  <c r="BE54" i="14"/>
  <c r="BE197" i="14"/>
  <c r="BE22" i="14"/>
  <c r="BE162" i="14"/>
  <c r="BE150" i="14"/>
  <c r="BE193" i="14"/>
  <c r="BE143" i="14"/>
  <c r="BE157" i="14"/>
  <c r="BE166" i="14"/>
  <c r="BE181" i="14"/>
  <c r="BE169" i="14"/>
  <c r="BE199" i="14"/>
  <c r="BE59" i="14"/>
  <c r="BE207" i="14"/>
  <c r="BE188" i="14"/>
  <c r="BE177" i="14"/>
  <c r="BE68" i="14"/>
  <c r="BE208" i="14"/>
  <c r="BE198" i="14"/>
  <c r="BE212" i="14"/>
  <c r="BE168" i="14"/>
  <c r="BE191" i="14"/>
  <c r="BE147" i="14"/>
  <c r="BE180" i="14"/>
  <c r="BE158" i="14"/>
  <c r="BE182" i="14"/>
  <c r="BE170" i="14"/>
  <c r="BE189" i="14"/>
  <c r="BE165" i="14"/>
  <c r="BE61" i="14"/>
  <c r="BE185" i="14"/>
  <c r="BE69" i="14"/>
  <c r="BE57" i="14"/>
  <c r="BE24" i="14"/>
  <c r="BE183" i="14"/>
  <c r="BE153" i="14"/>
  <c r="BE40" i="14"/>
  <c r="BE39" i="14"/>
  <c r="BE42" i="14"/>
  <c r="BE49" i="14"/>
  <c r="BE45" i="14"/>
  <c r="BE47" i="14"/>
  <c r="BE46" i="14"/>
  <c r="BE43" i="14"/>
  <c r="BE51" i="14"/>
  <c r="BE41" i="14"/>
  <c r="BE50" i="14"/>
  <c r="BE38" i="14"/>
  <c r="BE36" i="14"/>
  <c r="BE44" i="14"/>
  <c r="BE37" i="14"/>
  <c r="BE48" i="14"/>
  <c r="BA199" i="14"/>
  <c r="BA17" i="14"/>
  <c r="BA67" i="14"/>
  <c r="BA190" i="14"/>
  <c r="BA157" i="14"/>
  <c r="BA20" i="14"/>
  <c r="BA161" i="14"/>
  <c r="BA170" i="14"/>
  <c r="BA211" i="14"/>
  <c r="BA168" i="14"/>
  <c r="BA53" i="14"/>
  <c r="BA62" i="14"/>
  <c r="BA212" i="14"/>
  <c r="BA65" i="14"/>
  <c r="BA143" i="14"/>
  <c r="BA172" i="14"/>
  <c r="BA164" i="14"/>
  <c r="BA209" i="14"/>
  <c r="BA179" i="14"/>
  <c r="BA182" i="14"/>
  <c r="BA183" i="14"/>
  <c r="BA187" i="14"/>
  <c r="BA184" i="14"/>
  <c r="BA197" i="14"/>
  <c r="BA66" i="14"/>
  <c r="BA186" i="14"/>
  <c r="BA207" i="14"/>
  <c r="BA25" i="14"/>
  <c r="BA154" i="14"/>
  <c r="BA146" i="14"/>
  <c r="BA173" i="14"/>
  <c r="BA26" i="14"/>
  <c r="BA60" i="14"/>
  <c r="BA213" i="14"/>
  <c r="BA198" i="14"/>
  <c r="BA150" i="14"/>
  <c r="BA71" i="14"/>
  <c r="BA163" i="14"/>
  <c r="BA202" i="14"/>
  <c r="BA201" i="14"/>
  <c r="BA193" i="14"/>
  <c r="BA33" i="14"/>
  <c r="BA194" i="14"/>
  <c r="BA145" i="14"/>
  <c r="BA69" i="14"/>
  <c r="BA204" i="14"/>
  <c r="BA21" i="14"/>
  <c r="BA147" i="14"/>
  <c r="BA54" i="14"/>
  <c r="BA191" i="14"/>
  <c r="BA174" i="14"/>
  <c r="BA59" i="14"/>
  <c r="BA63" i="14"/>
  <c r="BA32" i="14"/>
  <c r="BA155" i="14"/>
  <c r="BA162" i="14"/>
  <c r="BA210" i="14"/>
  <c r="BA189" i="14"/>
  <c r="BA24" i="14"/>
  <c r="BA57" i="14"/>
  <c r="BA185" i="14"/>
  <c r="BA200" i="14"/>
  <c r="BA29" i="14"/>
  <c r="BA153" i="14"/>
  <c r="BA28" i="14"/>
  <c r="BA177" i="14"/>
  <c r="BA205" i="14"/>
  <c r="BA23" i="14"/>
  <c r="BA19" i="14"/>
  <c r="BA176" i="14"/>
  <c r="BA180" i="14"/>
  <c r="BA175" i="14"/>
  <c r="BA35" i="14"/>
  <c r="BA195" i="14"/>
  <c r="BA169" i="14"/>
  <c r="BA192" i="14"/>
  <c r="BA61" i="14"/>
  <c r="BA188" i="14"/>
  <c r="BA208" i="14"/>
  <c r="BA55" i="14"/>
  <c r="BA149" i="14"/>
  <c r="BA166" i="14"/>
  <c r="BA158" i="14"/>
  <c r="BA68" i="14"/>
  <c r="BA22" i="14"/>
  <c r="BA27" i="14"/>
  <c r="BA181" i="14"/>
  <c r="BA30" i="14"/>
  <c r="BA144" i="14"/>
  <c r="BA18" i="14"/>
  <c r="BA31" i="14"/>
  <c r="BA165" i="14"/>
  <c r="BA151" i="14"/>
  <c r="BA152" i="14"/>
  <c r="BA171" i="14"/>
  <c r="BA58" i="14"/>
  <c r="BA56" i="14"/>
  <c r="BA167" i="14"/>
  <c r="BA64" i="14"/>
  <c r="BA148" i="14"/>
  <c r="BA156" i="14"/>
  <c r="BA159" i="14"/>
  <c r="BA40" i="14"/>
  <c r="BA49" i="14"/>
  <c r="BA39" i="14"/>
  <c r="BA45" i="14"/>
  <c r="BA43" i="14"/>
  <c r="BA50" i="14"/>
  <c r="BA42" i="14"/>
  <c r="BA41" i="14"/>
  <c r="BA47" i="14"/>
  <c r="BA51" i="14"/>
  <c r="BA46" i="14"/>
  <c r="BA37" i="14"/>
  <c r="BA38" i="14"/>
  <c r="BA36" i="14"/>
  <c r="BA44" i="14"/>
  <c r="BA48" i="14"/>
  <c r="W107" i="14"/>
  <c r="W16" i="14"/>
  <c r="W215" i="14"/>
  <c r="W125" i="14"/>
  <c r="W52" i="14"/>
  <c r="AB117" i="14" l="1"/>
  <c r="V218" i="14"/>
  <c r="U218" i="14"/>
  <c r="U121" i="14"/>
  <c r="Q218" i="14"/>
  <c r="X231" i="14"/>
  <c r="X110" i="14"/>
  <c r="T123" i="14"/>
  <c r="Z218" i="14"/>
  <c r="U231" i="14"/>
  <c r="V123" i="14"/>
  <c r="T110" i="14"/>
  <c r="AA231" i="14"/>
  <c r="Y231" i="14"/>
  <c r="S121" i="14"/>
  <c r="Y229" i="14"/>
  <c r="R110" i="14"/>
  <c r="Z231" i="14"/>
  <c r="Z121" i="14"/>
  <c r="Q121" i="14"/>
  <c r="R123" i="14"/>
  <c r="S218" i="14"/>
  <c r="Y110" i="14"/>
  <c r="AB231" i="14"/>
  <c r="Q123" i="14"/>
  <c r="T229" i="14"/>
  <c r="AT201" i="14"/>
  <c r="DF201" i="14"/>
  <c r="AU201" i="14"/>
  <c r="BZ201" i="14"/>
  <c r="CK201" i="14"/>
  <c r="DX201" i="14"/>
  <c r="DJ201" i="14"/>
  <c r="AM201" i="14"/>
  <c r="AQ201" i="14"/>
  <c r="CB201" i="14"/>
  <c r="CB196" i="14" s="1"/>
  <c r="CM201" i="14"/>
  <c r="BP201" i="14"/>
  <c r="EB201" i="14"/>
  <c r="AV201" i="14"/>
  <c r="CE201" i="14"/>
  <c r="CG201" i="14"/>
  <c r="CP201" i="14"/>
  <c r="CP196" i="14" s="1"/>
  <c r="BF201" i="14"/>
  <c r="BN201" i="14"/>
  <c r="AN201" i="14"/>
  <c r="DC201" i="14"/>
  <c r="W122" i="14"/>
  <c r="BI201" i="14"/>
  <c r="CL201" i="14"/>
  <c r="DE201" i="14"/>
  <c r="DL201" i="14"/>
  <c r="CN201" i="14"/>
  <c r="BL201" i="14"/>
  <c r="BU201" i="14"/>
  <c r="DH201" i="14"/>
  <c r="CA201" i="14"/>
  <c r="DI201" i="14"/>
  <c r="AG201" i="14"/>
  <c r="AY201" i="14"/>
  <c r="CD198" i="14"/>
  <c r="BW201" i="14"/>
  <c r="EA201" i="14"/>
  <c r="CS201" i="14"/>
  <c r="DM201" i="14"/>
  <c r="BB201" i="14"/>
  <c r="BD201" i="14"/>
  <c r="AE201" i="14"/>
  <c r="EE201" i="14"/>
  <c r="BM201" i="14"/>
  <c r="BQ201" i="14"/>
  <c r="AR201" i="14"/>
  <c r="CI201" i="14"/>
  <c r="DQ201" i="14"/>
  <c r="DQ196" i="14" s="1"/>
  <c r="AK201" i="14"/>
  <c r="CC201" i="14"/>
  <c r="BE201" i="14"/>
  <c r="BK201" i="14"/>
  <c r="CZ201" i="14"/>
  <c r="DO201" i="14"/>
  <c r="CY201" i="14"/>
  <c r="AL201" i="14"/>
  <c r="ED201" i="14"/>
  <c r="DB201" i="14"/>
  <c r="DB196" i="14" s="1"/>
  <c r="AW201" i="14"/>
  <c r="AF201" i="14"/>
  <c r="AF196" i="14" s="1"/>
  <c r="AJ201" i="14"/>
  <c r="CQ201" i="14"/>
  <c r="AP201" i="14"/>
  <c r="BC201" i="14"/>
  <c r="CV201" i="14"/>
  <c r="DW201" i="14"/>
  <c r="AZ201" i="14"/>
  <c r="AS201" i="14"/>
  <c r="DY201" i="14"/>
  <c r="BJ201" i="14"/>
  <c r="CX201" i="14"/>
  <c r="BY201" i="14"/>
  <c r="BR201" i="14"/>
  <c r="CT201" i="14"/>
  <c r="CJ201" i="14"/>
  <c r="DZ201" i="14"/>
  <c r="AC201" i="14"/>
  <c r="BG201" i="14"/>
  <c r="BH201" i="14"/>
  <c r="AD212" i="14"/>
  <c r="CD201" i="14"/>
  <c r="CH202" i="14"/>
  <c r="CF201" i="14"/>
  <c r="BO201" i="14"/>
  <c r="BO196" i="14" s="1"/>
  <c r="BT201" i="14"/>
  <c r="BX201" i="14"/>
  <c r="CO201" i="14"/>
  <c r="DS201" i="14"/>
  <c r="AI201" i="14"/>
  <c r="AD201" i="14"/>
  <c r="P199" i="14"/>
  <c r="U199" i="14"/>
  <c r="AB199" i="14"/>
  <c r="AA199" i="14"/>
  <c r="W199" i="14"/>
  <c r="S199" i="14"/>
  <c r="Z199" i="14"/>
  <c r="Q199" i="14"/>
  <c r="T199" i="14"/>
  <c r="V199" i="14"/>
  <c r="Y199" i="14"/>
  <c r="R199" i="14"/>
  <c r="X199" i="14"/>
  <c r="AD207" i="14"/>
  <c r="AL210" i="14"/>
  <c r="AL207" i="14"/>
  <c r="X222" i="14"/>
  <c r="I33" i="35"/>
  <c r="L33" i="35"/>
  <c r="T119" i="14"/>
  <c r="AB222" i="14"/>
  <c r="AA218" i="14"/>
  <c r="Y220" i="14"/>
  <c r="T109" i="14"/>
  <c r="V121" i="14"/>
  <c r="T222" i="14"/>
  <c r="Q109" i="14"/>
  <c r="AA225" i="14"/>
  <c r="Q119" i="14"/>
  <c r="AL211" i="14"/>
  <c r="AA119" i="14"/>
  <c r="DY78" i="14"/>
  <c r="DY132" i="14" s="1"/>
  <c r="CP85" i="14"/>
  <c r="CP139" i="14" s="1"/>
  <c r="DB85" i="14"/>
  <c r="DB139" i="14" s="1"/>
  <c r="BO81" i="14"/>
  <c r="BO135" i="14" s="1"/>
  <c r="DE85" i="14"/>
  <c r="DE139" i="14" s="1"/>
  <c r="V230" i="14"/>
  <c r="AS81" i="14"/>
  <c r="AS135" i="14" s="1"/>
  <c r="CF73" i="14"/>
  <c r="CF127" i="14" s="1"/>
  <c r="DZ85" i="14"/>
  <c r="DZ139" i="14" s="1"/>
  <c r="BI78" i="14"/>
  <c r="BI132" i="14" s="1"/>
  <c r="CF78" i="14"/>
  <c r="CF132" i="14" s="1"/>
  <c r="ED78" i="14"/>
  <c r="ED132" i="14" s="1"/>
  <c r="DL78" i="14"/>
  <c r="DL132" i="14" s="1"/>
  <c r="DZ81" i="14"/>
  <c r="DZ135" i="14" s="1"/>
  <c r="Y216" i="14"/>
  <c r="V216" i="14"/>
  <c r="BF73" i="14"/>
  <c r="BF127" i="14" s="1"/>
  <c r="Y222" i="14"/>
  <c r="DB73" i="14"/>
  <c r="DB127" i="14" s="1"/>
  <c r="DY81" i="14"/>
  <c r="DY135" i="14" s="1"/>
  <c r="BV73" i="14"/>
  <c r="BV127" i="14" s="1"/>
  <c r="CT85" i="14"/>
  <c r="CT139" i="14" s="1"/>
  <c r="AT85" i="14"/>
  <c r="AT139" i="14" s="1"/>
  <c r="CT78" i="14"/>
  <c r="CT132" i="14" s="1"/>
  <c r="BB81" i="14"/>
  <c r="BB135" i="14" s="1"/>
  <c r="S119" i="14"/>
  <c r="AQ85" i="14"/>
  <c r="AQ139" i="14" s="1"/>
  <c r="Z114" i="14"/>
  <c r="BV78" i="14"/>
  <c r="BV132" i="14" s="1"/>
  <c r="BF78" i="14"/>
  <c r="BF132" i="14" s="1"/>
  <c r="BV85" i="14"/>
  <c r="BV139" i="14" s="1"/>
  <c r="AT73" i="14"/>
  <c r="AT127" i="14" s="1"/>
  <c r="AX73" i="14"/>
  <c r="AX127" i="14" s="1"/>
  <c r="AT81" i="14"/>
  <c r="AT135" i="14" s="1"/>
  <c r="DE78" i="14"/>
  <c r="DE132" i="14" s="1"/>
  <c r="AJ73" i="14"/>
  <c r="AJ127" i="14" s="1"/>
  <c r="AC73" i="14"/>
  <c r="AC127" i="14" s="1"/>
  <c r="AW73" i="14"/>
  <c r="AW127" i="14" s="1"/>
  <c r="CB81" i="14"/>
  <c r="CB135" i="14" s="1"/>
  <c r="AJ85" i="14"/>
  <c r="AJ139" i="14" s="1"/>
  <c r="BE81" i="14"/>
  <c r="BE135" i="14" s="1"/>
  <c r="DZ78" i="14"/>
  <c r="DZ132" i="14" s="1"/>
  <c r="CI230" i="14"/>
  <c r="BG118" i="14"/>
  <c r="CI221" i="14"/>
  <c r="CS230" i="14"/>
  <c r="EB230" i="14"/>
  <c r="BA203" i="14"/>
  <c r="DY206" i="14"/>
  <c r="BC206" i="14"/>
  <c r="EA203" i="14"/>
  <c r="EB203" i="14"/>
  <c r="DD206" i="14"/>
  <c r="DD196" i="14" s="1"/>
  <c r="DH206" i="14"/>
  <c r="DS206" i="14"/>
  <c r="AI206" i="14"/>
  <c r="CA203" i="14"/>
  <c r="CE203" i="14"/>
  <c r="AK203" i="14"/>
  <c r="AY203" i="14"/>
  <c r="DG206" i="14"/>
  <c r="DJ206" i="14"/>
  <c r="DL203" i="14"/>
  <c r="CF203" i="14"/>
  <c r="CX206" i="14"/>
  <c r="BA206" i="14"/>
  <c r="BE203" i="14"/>
  <c r="CW203" i="14"/>
  <c r="CW196" i="14" s="1"/>
  <c r="AN203" i="14"/>
  <c r="CF206" i="14"/>
  <c r="BF206" i="14"/>
  <c r="BG206" i="14"/>
  <c r="BD203" i="14"/>
  <c r="BL203" i="14"/>
  <c r="AZ203" i="14"/>
  <c r="DH203" i="14"/>
  <c r="CC203" i="14"/>
  <c r="DT206" i="14"/>
  <c r="DT196" i="14" s="1"/>
  <c r="AX203" i="14"/>
  <c r="BI203" i="14"/>
  <c r="BN203" i="14"/>
  <c r="DA206" i="14"/>
  <c r="DA196" i="14" s="1"/>
  <c r="DE206" i="14"/>
  <c r="CJ206" i="14"/>
  <c r="BF203" i="14"/>
  <c r="BS206" i="14"/>
  <c r="DZ206" i="14"/>
  <c r="ED203" i="14"/>
  <c r="AT206" i="14"/>
  <c r="AC206" i="14"/>
  <c r="AU203" i="14"/>
  <c r="DC203" i="14"/>
  <c r="AH206" i="14"/>
  <c r="BX206" i="14"/>
  <c r="BM203" i="14"/>
  <c r="CK206" i="14"/>
  <c r="AV206" i="14"/>
  <c r="DM203" i="14"/>
  <c r="BS203" i="14"/>
  <c r="BW203" i="14"/>
  <c r="CQ206" i="14"/>
  <c r="DV203" i="14"/>
  <c r="CR206" i="14"/>
  <c r="BH206" i="14"/>
  <c r="BL206" i="14"/>
  <c r="BM206" i="14"/>
  <c r="CK203" i="14"/>
  <c r="CI206" i="14"/>
  <c r="DN206" i="14"/>
  <c r="AU206" i="14"/>
  <c r="BK206" i="14"/>
  <c r="BP203" i="14"/>
  <c r="EE206" i="14"/>
  <c r="BH203" i="14"/>
  <c r="BQ206" i="14"/>
  <c r="CO206" i="14"/>
  <c r="CS206" i="14"/>
  <c r="AK206" i="14"/>
  <c r="DR206" i="14"/>
  <c r="CH203" i="14"/>
  <c r="AT203" i="14"/>
  <c r="BY206" i="14"/>
  <c r="BZ203" i="14"/>
  <c r="BC203" i="14"/>
  <c r="CN206" i="14"/>
  <c r="CV203" i="14"/>
  <c r="EE203" i="14"/>
  <c r="DC206" i="14"/>
  <c r="BK203" i="14"/>
  <c r="BT206" i="14"/>
  <c r="CR203" i="14"/>
  <c r="CV206" i="14"/>
  <c r="DW206" i="14"/>
  <c r="EA206" i="14"/>
  <c r="BD206" i="14"/>
  <c r="CS203" i="14"/>
  <c r="EB206" i="14"/>
  <c r="CE206" i="14"/>
  <c r="CG203" i="14"/>
  <c r="DR203" i="14"/>
  <c r="DU203" i="14"/>
  <c r="BB203" i="14"/>
  <c r="BW206" i="14"/>
  <c r="DF203" i="14"/>
  <c r="BN206" i="14"/>
  <c r="BR203" i="14"/>
  <c r="BV206" i="14"/>
  <c r="BV196" i="14" s="1"/>
  <c r="CT203" i="14"/>
  <c r="DY203" i="14"/>
  <c r="AS203" i="14"/>
  <c r="AW206" i="14"/>
  <c r="DP203" i="14"/>
  <c r="CJ203" i="14"/>
  <c r="CM203" i="14"/>
  <c r="CM206" i="14"/>
  <c r="CU206" i="14"/>
  <c r="DV206" i="14"/>
  <c r="ED206" i="14"/>
  <c r="AP203" i="14"/>
  <c r="AH203" i="14"/>
  <c r="BG203" i="14"/>
  <c r="CN203" i="14"/>
  <c r="CO203" i="14"/>
  <c r="AR206" i="14"/>
  <c r="AZ206" i="14"/>
  <c r="CZ206" i="14"/>
  <c r="CZ203" i="14"/>
  <c r="DK203" i="14"/>
  <c r="DS203" i="14"/>
  <c r="DI203" i="14"/>
  <c r="AG206" i="14"/>
  <c r="CC206" i="14"/>
  <c r="CY203" i="14"/>
  <c r="DN203" i="14"/>
  <c r="AL206" i="14"/>
  <c r="CD206" i="14"/>
  <c r="CL203" i="14"/>
  <c r="BB206" i="14"/>
  <c r="AP206" i="14"/>
  <c r="BI206" i="14"/>
  <c r="BR206" i="14"/>
  <c r="DU206" i="14"/>
  <c r="DP206" i="14"/>
  <c r="AJ206" i="14"/>
  <c r="BJ203" i="14"/>
  <c r="CQ203" i="14"/>
  <c r="DZ203" i="14"/>
  <c r="DF206" i="14"/>
  <c r="BQ203" i="14"/>
  <c r="DI206" i="14"/>
  <c r="AG203" i="14"/>
  <c r="CG206" i="14"/>
  <c r="AQ203" i="14"/>
  <c r="AD203" i="14"/>
  <c r="CD211" i="14"/>
  <c r="BZ206" i="14"/>
  <c r="DX206" i="14"/>
  <c r="DX196" i="14" s="1"/>
  <c r="AR203" i="14"/>
  <c r="AV203" i="14"/>
  <c r="DO206" i="14"/>
  <c r="AI203" i="14"/>
  <c r="AM206" i="14"/>
  <c r="AY206" i="14"/>
  <c r="CY206" i="14"/>
  <c r="AD206" i="14"/>
  <c r="CU203" i="14"/>
  <c r="AX206" i="14"/>
  <c r="CX203" i="14"/>
  <c r="BY203" i="14"/>
  <c r="BX203" i="14"/>
  <c r="BU206" i="14"/>
  <c r="DK206" i="14"/>
  <c r="CI203" i="14"/>
  <c r="DM206" i="14"/>
  <c r="AQ206" i="14"/>
  <c r="DG203" i="14"/>
  <c r="DJ203" i="14"/>
  <c r="AL203" i="14"/>
  <c r="CD212" i="14"/>
  <c r="AL200" i="14"/>
  <c r="CH208" i="14"/>
  <c r="CD200" i="14"/>
  <c r="CH204" i="14"/>
  <c r="CT73" i="14"/>
  <c r="CT127" i="14" s="1"/>
  <c r="DE73" i="14"/>
  <c r="DE127" i="14" s="1"/>
  <c r="CB78" i="14"/>
  <c r="CB132" i="14" s="1"/>
  <c r="BB78" i="14"/>
  <c r="BB132" i="14" s="1"/>
  <c r="CQ78" i="14"/>
  <c r="CQ132" i="14" s="1"/>
  <c r="CN78" i="14"/>
  <c r="CN132" i="14" s="1"/>
  <c r="DK73" i="14"/>
  <c r="DK127" i="14" s="1"/>
  <c r="DI73" i="14"/>
  <c r="DI127" i="14" s="1"/>
  <c r="AU85" i="14"/>
  <c r="AU139" i="14" s="1"/>
  <c r="DH73" i="14"/>
  <c r="DH127" i="14" s="1"/>
  <c r="BK78" i="14"/>
  <c r="BK132" i="14" s="1"/>
  <c r="DL81" i="14"/>
  <c r="DL135" i="14" s="1"/>
  <c r="DB81" i="14"/>
  <c r="DB135" i="14" s="1"/>
  <c r="BV81" i="14"/>
  <c r="BV135" i="14" s="1"/>
  <c r="CP81" i="14"/>
  <c r="CP135" i="14" s="1"/>
  <c r="AF81" i="14"/>
  <c r="AF135" i="14" s="1"/>
  <c r="DF85" i="14"/>
  <c r="DF139" i="14" s="1"/>
  <c r="BE73" i="14"/>
  <c r="BE127" i="14" s="1"/>
  <c r="BE78" i="14"/>
  <c r="BE132" i="14" s="1"/>
  <c r="EC78" i="14"/>
  <c r="EC132" i="14" s="1"/>
  <c r="AW85" i="14"/>
  <c r="AW139" i="14" s="1"/>
  <c r="DP78" i="14"/>
  <c r="DP132" i="14" s="1"/>
  <c r="AA220" i="14"/>
  <c r="BO78" i="14"/>
  <c r="BO132" i="14" s="1"/>
  <c r="CQ81" i="14"/>
  <c r="CQ135" i="14" s="1"/>
  <c r="DX78" i="14"/>
  <c r="DX132" i="14" s="1"/>
  <c r="AZ85" i="14"/>
  <c r="AZ139" i="14" s="1"/>
  <c r="CI73" i="14"/>
  <c r="CI127" i="14" s="1"/>
  <c r="BE85" i="14"/>
  <c r="BE139" i="14" s="1"/>
  <c r="BR81" i="14"/>
  <c r="BR135" i="14" s="1"/>
  <c r="EC85" i="14"/>
  <c r="EC139" i="14" s="1"/>
  <c r="DA81" i="14"/>
  <c r="DA135" i="14" s="1"/>
  <c r="AF85" i="14"/>
  <c r="AF139" i="14" s="1"/>
  <c r="BO85" i="14"/>
  <c r="BO139" i="14" s="1"/>
  <c r="CU78" i="14"/>
  <c r="CU132" i="14" s="1"/>
  <c r="BG81" i="14"/>
  <c r="BG135" i="14" s="1"/>
  <c r="DX81" i="14"/>
  <c r="DX135" i="14" s="1"/>
  <c r="AZ81" i="14"/>
  <c r="AZ135" i="14" s="1"/>
  <c r="CI81" i="14"/>
  <c r="CI135" i="14" s="1"/>
  <c r="BK73" i="14"/>
  <c r="BK127" i="14" s="1"/>
  <c r="DH85" i="14"/>
  <c r="DH139" i="14" s="1"/>
  <c r="DI78" i="14"/>
  <c r="DI132" i="14" s="1"/>
  <c r="BK85" i="14"/>
  <c r="BK139" i="14" s="1"/>
  <c r="CN73" i="14"/>
  <c r="CN127" i="14" s="1"/>
  <c r="R220" i="14"/>
  <c r="DH78" i="14"/>
  <c r="DH132" i="14" s="1"/>
  <c r="DK78" i="14"/>
  <c r="DK132" i="14" s="1"/>
  <c r="DQ81" i="14"/>
  <c r="DQ135" i="14" s="1"/>
  <c r="AQ81" i="14"/>
  <c r="AQ135" i="14" s="1"/>
  <c r="BT85" i="14"/>
  <c r="BT139" i="14" s="1"/>
  <c r="CN85" i="14"/>
  <c r="CN139" i="14" s="1"/>
  <c r="U116" i="14"/>
  <c r="DH81" i="14"/>
  <c r="DH135" i="14" s="1"/>
  <c r="DS78" i="14"/>
  <c r="DS132" i="14" s="1"/>
  <c r="AG78" i="14"/>
  <c r="AG132" i="14" s="1"/>
  <c r="AY73" i="14"/>
  <c r="AY127" i="14" s="1"/>
  <c r="BT81" i="14"/>
  <c r="BT135" i="14" s="1"/>
  <c r="CN81" i="14"/>
  <c r="CN135" i="14" s="1"/>
  <c r="BH73" i="14"/>
  <c r="BH127" i="14" s="1"/>
  <c r="BM78" i="14"/>
  <c r="BM132" i="14" s="1"/>
  <c r="CK73" i="14"/>
  <c r="CK127" i="14" s="1"/>
  <c r="DS81" i="14"/>
  <c r="DS135" i="14" s="1"/>
  <c r="CC78" i="14"/>
  <c r="CC132" i="14" s="1"/>
  <c r="DG85" i="14"/>
  <c r="DG139" i="14" s="1"/>
  <c r="AU78" i="14"/>
  <c r="AU132" i="14" s="1"/>
  <c r="BX73" i="14"/>
  <c r="BX127" i="14" s="1"/>
  <c r="DW78" i="14"/>
  <c r="DW132" i="14" s="1"/>
  <c r="U114" i="14"/>
  <c r="BH78" i="14"/>
  <c r="BH132" i="14" s="1"/>
  <c r="BU73" i="14"/>
  <c r="BU127" i="14" s="1"/>
  <c r="CK85" i="14"/>
  <c r="CK139" i="14" s="1"/>
  <c r="AE78" i="14"/>
  <c r="AE132" i="14" s="1"/>
  <c r="CC81" i="14"/>
  <c r="CC135" i="14" s="1"/>
  <c r="DG73" i="14"/>
  <c r="DG127" i="14" s="1"/>
  <c r="BX78" i="14"/>
  <c r="BX132" i="14" s="1"/>
  <c r="DW85" i="14"/>
  <c r="DW139" i="14" s="1"/>
  <c r="BH81" i="14"/>
  <c r="BH135" i="14" s="1"/>
  <c r="BU85" i="14"/>
  <c r="BU139" i="14" s="1"/>
  <c r="CK78" i="14"/>
  <c r="CK132" i="14" s="1"/>
  <c r="AM85" i="14"/>
  <c r="AM139" i="14" s="1"/>
  <c r="CG78" i="14"/>
  <c r="CG132" i="14" s="1"/>
  <c r="DG81" i="14"/>
  <c r="DG135" i="14" s="1"/>
  <c r="DJ85" i="14"/>
  <c r="DJ139" i="14" s="1"/>
  <c r="AU81" i="14"/>
  <c r="AU135" i="14" s="1"/>
  <c r="BZ81" i="14"/>
  <c r="BZ135" i="14" s="1"/>
  <c r="DW73" i="14"/>
  <c r="DW127" i="14" s="1"/>
  <c r="BL73" i="14"/>
  <c r="BL127" i="14" s="1"/>
  <c r="BU81" i="14"/>
  <c r="BU135" i="14" s="1"/>
  <c r="CK81" i="14"/>
  <c r="CK135" i="14" s="1"/>
  <c r="AM81" i="14"/>
  <c r="AM135" i="14" s="1"/>
  <c r="CG85" i="14"/>
  <c r="CG139" i="14" s="1"/>
  <c r="DJ73" i="14"/>
  <c r="DJ127" i="14" s="1"/>
  <c r="DX73" i="14"/>
  <c r="DX127" i="14" s="1"/>
  <c r="AZ73" i="14"/>
  <c r="AZ127" i="14" s="1"/>
  <c r="CA73" i="14"/>
  <c r="CA127" i="14" s="1"/>
  <c r="DR73" i="14"/>
  <c r="DR127" i="14" s="1"/>
  <c r="DC78" i="14"/>
  <c r="DC132" i="14" s="1"/>
  <c r="EC73" i="14"/>
  <c r="EC127" i="14" s="1"/>
  <c r="AW78" i="14"/>
  <c r="AW132" i="14" s="1"/>
  <c r="DP73" i="14"/>
  <c r="DP127" i="14" s="1"/>
  <c r="BO73" i="14"/>
  <c r="BO127" i="14" s="1"/>
  <c r="DX85" i="14"/>
  <c r="DX139" i="14" s="1"/>
  <c r="AZ78" i="14"/>
  <c r="AZ132" i="14" s="1"/>
  <c r="DE226" i="14"/>
  <c r="Y122" i="14"/>
  <c r="W115" i="14"/>
  <c r="Y116" i="14"/>
  <c r="T122" i="14"/>
  <c r="R121" i="14"/>
  <c r="W220" i="14"/>
  <c r="AB109" i="14"/>
  <c r="AB226" i="14"/>
  <c r="Q114" i="14"/>
  <c r="W117" i="14"/>
  <c r="U119" i="14"/>
  <c r="U220" i="14"/>
  <c r="R122" i="14"/>
  <c r="CH73" i="14"/>
  <c r="CH127" i="14" s="1"/>
  <c r="DQ73" i="14"/>
  <c r="DQ127" i="14" s="1"/>
  <c r="AM73" i="14"/>
  <c r="AM127" i="14" s="1"/>
  <c r="DS73" i="14"/>
  <c r="DS127" i="14" s="1"/>
  <c r="BT73" i="14"/>
  <c r="BT127" i="14" s="1"/>
  <c r="BG73" i="14"/>
  <c r="BG127" i="14" s="1"/>
  <c r="BZ73" i="14"/>
  <c r="BZ127" i="14" s="1"/>
  <c r="BB73" i="14"/>
  <c r="BB127" i="14" s="1"/>
  <c r="AF73" i="14"/>
  <c r="AF127" i="14" s="1"/>
  <c r="DL73" i="14"/>
  <c r="DL127" i="14" s="1"/>
  <c r="DA73" i="14"/>
  <c r="DA127" i="14" s="1"/>
  <c r="AS73" i="14"/>
  <c r="AS127" i="14" s="1"/>
  <c r="DY73" i="14"/>
  <c r="DY127" i="14" s="1"/>
  <c r="CP73" i="14"/>
  <c r="CP127" i="14" s="1"/>
  <c r="BR73" i="14"/>
  <c r="BR127" i="14" s="1"/>
  <c r="DU73" i="14"/>
  <c r="DU127" i="14" s="1"/>
  <c r="DM73" i="14"/>
  <c r="DM127" i="14" s="1"/>
  <c r="CE73" i="14"/>
  <c r="CE127" i="14" s="1"/>
  <c r="CX73" i="14"/>
  <c r="CX127" i="14" s="1"/>
  <c r="BJ73" i="14"/>
  <c r="BJ127" i="14" s="1"/>
  <c r="BN73" i="14"/>
  <c r="BN127" i="14" s="1"/>
  <c r="CO73" i="14"/>
  <c r="CO127" i="14" s="1"/>
  <c r="BM73" i="14"/>
  <c r="BM127" i="14" s="1"/>
  <c r="CY73" i="14"/>
  <c r="CY127" i="14" s="1"/>
  <c r="DD73" i="14"/>
  <c r="DD127" i="14" s="1"/>
  <c r="AV73" i="14"/>
  <c r="AV127" i="14" s="1"/>
  <c r="CS73" i="14"/>
  <c r="CS127" i="14" s="1"/>
  <c r="EE73" i="14"/>
  <c r="EE127" i="14" s="1"/>
  <c r="CV73" i="14"/>
  <c r="CV127" i="14" s="1"/>
  <c r="AP73" i="14"/>
  <c r="AP127" i="14" s="1"/>
  <c r="CM73" i="14"/>
  <c r="CM127" i="14" s="1"/>
  <c r="BW73" i="14"/>
  <c r="BW127" i="14" s="1"/>
  <c r="BQ73" i="14"/>
  <c r="BQ127" i="14" s="1"/>
  <c r="BP73" i="14"/>
  <c r="BP127" i="14" s="1"/>
  <c r="BY73" i="14"/>
  <c r="BY127" i="14" s="1"/>
  <c r="CJ73" i="14"/>
  <c r="CJ127" i="14" s="1"/>
  <c r="AN73" i="14"/>
  <c r="AN127" i="14" s="1"/>
  <c r="CZ73" i="14"/>
  <c r="CZ127" i="14" s="1"/>
  <c r="DC73" i="14"/>
  <c r="DC127" i="14" s="1"/>
  <c r="BI73" i="14"/>
  <c r="BI127" i="14" s="1"/>
  <c r="EB73" i="14"/>
  <c r="EB127" i="14" s="1"/>
  <c r="CU73" i="14"/>
  <c r="CU127" i="14" s="1"/>
  <c r="BS73" i="14"/>
  <c r="BS127" i="14" s="1"/>
  <c r="DN73" i="14"/>
  <c r="DN127" i="14" s="1"/>
  <c r="BD73" i="14"/>
  <c r="BD127" i="14" s="1"/>
  <c r="DV73" i="14"/>
  <c r="DV127" i="14" s="1"/>
  <c r="BA73" i="14"/>
  <c r="BA127" i="14" s="1"/>
  <c r="AI73" i="14"/>
  <c r="AI127" i="14" s="1"/>
  <c r="BC73" i="14"/>
  <c r="BC127" i="14" s="1"/>
  <c r="AK73" i="14"/>
  <c r="AK127" i="14" s="1"/>
  <c r="DO73" i="14"/>
  <c r="DO127" i="14" s="1"/>
  <c r="EA73" i="14"/>
  <c r="EA127" i="14" s="1"/>
  <c r="AH73" i="14"/>
  <c r="AH127" i="14" s="1"/>
  <c r="DT73" i="14"/>
  <c r="DT127" i="14" s="1"/>
  <c r="CW73" i="14"/>
  <c r="CW127" i="14" s="1"/>
  <c r="CG73" i="14"/>
  <c r="CG127" i="14" s="1"/>
  <c r="CR73" i="14"/>
  <c r="CR127" i="14" s="1"/>
  <c r="DF73" i="14"/>
  <c r="DF127" i="14" s="1"/>
  <c r="ED73" i="14"/>
  <c r="ED127" i="14" s="1"/>
  <c r="CC73" i="14"/>
  <c r="CC127" i="14" s="1"/>
  <c r="AU73" i="14"/>
  <c r="AU127" i="14" s="1"/>
  <c r="DZ73" i="14"/>
  <c r="DZ127" i="14" s="1"/>
  <c r="CB73" i="14"/>
  <c r="CB127" i="14" s="1"/>
  <c r="CL73" i="14"/>
  <c r="CL127" i="14" s="1"/>
  <c r="AO73" i="14"/>
  <c r="AO127" i="14" s="1"/>
  <c r="AR73" i="14"/>
  <c r="AR127" i="14" s="1"/>
  <c r="CH78" i="14"/>
  <c r="CH132" i="14" s="1"/>
  <c r="EE78" i="14"/>
  <c r="EE132" i="14" s="1"/>
  <c r="BW78" i="14"/>
  <c r="BW132" i="14" s="1"/>
  <c r="CX78" i="14"/>
  <c r="CX132" i="14" s="1"/>
  <c r="CJ78" i="14"/>
  <c r="CJ132" i="14" s="1"/>
  <c r="CL78" i="14"/>
  <c r="CL132" i="14" s="1"/>
  <c r="AK78" i="14"/>
  <c r="AK132" i="14" s="1"/>
  <c r="DO78" i="14"/>
  <c r="DO132" i="14" s="1"/>
  <c r="CR78" i="14"/>
  <c r="CR132" i="14" s="1"/>
  <c r="BY78" i="14"/>
  <c r="BY132" i="14" s="1"/>
  <c r="DV78" i="14"/>
  <c r="DV132" i="14" s="1"/>
  <c r="DA78" i="14"/>
  <c r="DA132" i="14" s="1"/>
  <c r="BA78" i="14"/>
  <c r="BA132" i="14" s="1"/>
  <c r="CV78" i="14"/>
  <c r="CV132" i="14" s="1"/>
  <c r="AN78" i="14"/>
  <c r="AN132" i="14" s="1"/>
  <c r="DN78" i="14"/>
  <c r="DN132" i="14" s="1"/>
  <c r="CY78" i="14"/>
  <c r="CY132" i="14" s="1"/>
  <c r="AH78" i="14"/>
  <c r="AH132" i="14" s="1"/>
  <c r="CM78" i="14"/>
  <c r="CM132" i="14" s="1"/>
  <c r="CW78" i="14"/>
  <c r="CW132" i="14" s="1"/>
  <c r="BN78" i="14"/>
  <c r="BN132" i="14" s="1"/>
  <c r="CO78" i="14"/>
  <c r="CO132" i="14" s="1"/>
  <c r="BL78" i="14"/>
  <c r="BL132" i="14" s="1"/>
  <c r="DF78" i="14"/>
  <c r="DF132" i="14" s="1"/>
  <c r="AO78" i="14"/>
  <c r="AO132" i="14" s="1"/>
  <c r="DJ78" i="14"/>
  <c r="DJ132" i="14" s="1"/>
  <c r="AJ78" i="14"/>
  <c r="AJ132" i="14" s="1"/>
  <c r="DD78" i="14"/>
  <c r="DD132" i="14" s="1"/>
  <c r="AV78" i="14"/>
  <c r="AV132" i="14" s="1"/>
  <c r="CS78" i="14"/>
  <c r="CS132" i="14" s="1"/>
  <c r="BQ78" i="14"/>
  <c r="BQ132" i="14" s="1"/>
  <c r="AP78" i="14"/>
  <c r="AP132" i="14" s="1"/>
  <c r="BJ78" i="14"/>
  <c r="BJ132" i="14" s="1"/>
  <c r="BD78" i="14"/>
  <c r="BD132" i="14" s="1"/>
  <c r="DT78" i="14"/>
  <c r="DT132" i="14" s="1"/>
  <c r="EB78" i="14"/>
  <c r="EB132" i="14" s="1"/>
  <c r="BS78" i="14"/>
  <c r="BS132" i="14" s="1"/>
  <c r="AR78" i="14"/>
  <c r="AR132" i="14" s="1"/>
  <c r="EA78" i="14"/>
  <c r="EA132" i="14" s="1"/>
  <c r="AL78" i="14"/>
  <c r="AL132" i="14" s="1"/>
  <c r="DM78" i="14"/>
  <c r="DM132" i="14" s="1"/>
  <c r="CE78" i="14"/>
  <c r="CE132" i="14" s="1"/>
  <c r="AI78" i="14"/>
  <c r="AI132" i="14" s="1"/>
  <c r="CZ78" i="14"/>
  <c r="CZ132" i="14" s="1"/>
  <c r="BP78" i="14"/>
  <c r="BP132" i="14" s="1"/>
  <c r="BC78" i="14"/>
  <c r="BC132" i="14" s="1"/>
  <c r="DU78" i="14"/>
  <c r="DU132" i="14" s="1"/>
  <c r="AY78" i="14"/>
  <c r="AY132" i="14" s="1"/>
  <c r="AC78" i="14"/>
  <c r="AC132" i="14" s="1"/>
  <c r="DR78" i="14"/>
  <c r="DR132" i="14" s="1"/>
  <c r="DG78" i="14"/>
  <c r="DG132" i="14" s="1"/>
  <c r="AQ78" i="14"/>
  <c r="AQ132" i="14" s="1"/>
  <c r="DQ78" i="14"/>
  <c r="DQ132" i="14" s="1"/>
  <c r="CI78" i="14"/>
  <c r="CI132" i="14" s="1"/>
  <c r="AM78" i="14"/>
  <c r="AM132" i="14" s="1"/>
  <c r="BU78" i="14"/>
  <c r="BU132" i="14" s="1"/>
  <c r="BT78" i="14"/>
  <c r="BT132" i="14" s="1"/>
  <c r="BG78" i="14"/>
  <c r="BG132" i="14" s="1"/>
  <c r="BZ78" i="14"/>
  <c r="BZ132" i="14" s="1"/>
  <c r="DB78" i="14"/>
  <c r="DB132" i="14" s="1"/>
  <c r="AT78" i="14"/>
  <c r="AT132" i="14" s="1"/>
  <c r="AF78" i="14"/>
  <c r="AF132" i="14" s="1"/>
  <c r="AS78" i="14"/>
  <c r="AS132" i="14" s="1"/>
  <c r="CP78" i="14"/>
  <c r="CP132" i="14" s="1"/>
  <c r="BR78" i="14"/>
  <c r="BR132" i="14" s="1"/>
  <c r="CA78" i="14"/>
  <c r="CA132" i="14" s="1"/>
  <c r="AX78" i="14"/>
  <c r="AX132" i="14" s="1"/>
  <c r="AL85" i="14"/>
  <c r="AL139" i="14" s="1"/>
  <c r="DR85" i="14"/>
  <c r="DR139" i="14" s="1"/>
  <c r="CC85" i="14"/>
  <c r="CC139" i="14" s="1"/>
  <c r="CI85" i="14"/>
  <c r="CI139" i="14" s="1"/>
  <c r="DD85" i="14"/>
  <c r="DD139" i="14" s="1"/>
  <c r="AV85" i="14"/>
  <c r="AV139" i="14" s="1"/>
  <c r="CS85" i="14"/>
  <c r="CS139" i="14" s="1"/>
  <c r="CV85" i="14"/>
  <c r="CV139" i="14" s="1"/>
  <c r="CB85" i="14"/>
  <c r="CB139" i="14" s="1"/>
  <c r="BA85" i="14"/>
  <c r="BA139" i="14" s="1"/>
  <c r="BW85" i="14"/>
  <c r="BW139" i="14" s="1"/>
  <c r="DT85" i="14"/>
  <c r="DT139" i="14" s="1"/>
  <c r="AY85" i="14"/>
  <c r="AY139" i="14" s="1"/>
  <c r="AE85" i="14"/>
  <c r="AE139" i="14" s="1"/>
  <c r="BL85" i="14"/>
  <c r="BL139" i="14" s="1"/>
  <c r="BF85" i="14"/>
  <c r="BF139" i="14" s="1"/>
  <c r="BQ85" i="14"/>
  <c r="BQ139" i="14" s="1"/>
  <c r="BD85" i="14"/>
  <c r="BD139" i="14" s="1"/>
  <c r="BG85" i="14"/>
  <c r="BG139" i="14" s="1"/>
  <c r="BZ85" i="14"/>
  <c r="BZ139" i="14" s="1"/>
  <c r="CX85" i="14"/>
  <c r="CX139" i="14" s="1"/>
  <c r="AS85" i="14"/>
  <c r="AS139" i="14" s="1"/>
  <c r="BR85" i="14"/>
  <c r="BR139" i="14" s="1"/>
  <c r="EE85" i="14"/>
  <c r="EE139" i="14" s="1"/>
  <c r="BP85" i="14"/>
  <c r="BP139" i="14" s="1"/>
  <c r="BY85" i="14"/>
  <c r="BY139" i="14" s="1"/>
  <c r="CD85" i="14"/>
  <c r="CD139" i="14" s="1"/>
  <c r="AP85" i="14"/>
  <c r="AP139" i="14" s="1"/>
  <c r="DV85" i="14"/>
  <c r="DV139" i="14" s="1"/>
  <c r="AO85" i="14"/>
  <c r="AO139" i="14" s="1"/>
  <c r="BI85" i="14"/>
  <c r="BI139" i="14" s="1"/>
  <c r="BN85" i="14"/>
  <c r="BN139" i="14" s="1"/>
  <c r="AD85" i="14"/>
  <c r="AD139" i="14" s="1"/>
  <c r="DI85" i="14"/>
  <c r="DI139" i="14" s="1"/>
  <c r="CY85" i="14"/>
  <c r="CY139" i="14" s="1"/>
  <c r="AK85" i="14"/>
  <c r="AK139" i="14" s="1"/>
  <c r="DM85" i="14"/>
  <c r="DM139" i="14" s="1"/>
  <c r="CE85" i="14"/>
  <c r="CE139" i="14" s="1"/>
  <c r="AI85" i="14"/>
  <c r="AI139" i="14" s="1"/>
  <c r="DO85" i="14"/>
  <c r="DO139" i="14" s="1"/>
  <c r="CM85" i="14"/>
  <c r="CM139" i="14" s="1"/>
  <c r="BC85" i="14"/>
  <c r="BC139" i="14" s="1"/>
  <c r="ED85" i="14"/>
  <c r="ED139" i="14" s="1"/>
  <c r="AG85" i="14"/>
  <c r="AG139" i="14" s="1"/>
  <c r="CZ85" i="14"/>
  <c r="CZ139" i="14" s="1"/>
  <c r="DN85" i="14"/>
  <c r="DN139" i="14" s="1"/>
  <c r="AR85" i="14"/>
  <c r="AR139" i="14" s="1"/>
  <c r="EB85" i="14"/>
  <c r="EB139" i="14" s="1"/>
  <c r="CO85" i="14"/>
  <c r="CO139" i="14" s="1"/>
  <c r="CR85" i="14"/>
  <c r="CR139" i="14" s="1"/>
  <c r="BS85" i="14"/>
  <c r="BS139" i="14" s="1"/>
  <c r="BJ85" i="14"/>
  <c r="BJ139" i="14" s="1"/>
  <c r="CJ85" i="14"/>
  <c r="CJ139" i="14" s="1"/>
  <c r="AN85" i="14"/>
  <c r="AN139" i="14" s="1"/>
  <c r="CL85" i="14"/>
  <c r="CL139" i="14" s="1"/>
  <c r="AC85" i="14"/>
  <c r="AC139" i="14" s="1"/>
  <c r="BX85" i="14"/>
  <c r="BX139" i="14" s="1"/>
  <c r="DP85" i="14"/>
  <c r="DP139" i="14" s="1"/>
  <c r="DS85" i="14"/>
  <c r="DS139" i="14" s="1"/>
  <c r="BH85" i="14"/>
  <c r="BH139" i="14" s="1"/>
  <c r="CQ85" i="14"/>
  <c r="CQ139" i="14" s="1"/>
  <c r="BB85" i="14"/>
  <c r="BB139" i="14" s="1"/>
  <c r="DL85" i="14"/>
  <c r="DL139" i="14" s="1"/>
  <c r="DA85" i="14"/>
  <c r="DA139" i="14" s="1"/>
  <c r="DY85" i="14"/>
  <c r="DY139" i="14" s="1"/>
  <c r="DU85" i="14"/>
  <c r="DU139" i="14" s="1"/>
  <c r="BM85" i="14"/>
  <c r="BM139" i="14" s="1"/>
  <c r="EA85" i="14"/>
  <c r="EA139" i="14" s="1"/>
  <c r="AH85" i="14"/>
  <c r="AH139" i="14" s="1"/>
  <c r="AX85" i="14"/>
  <c r="AX139" i="14" s="1"/>
  <c r="CU85" i="14"/>
  <c r="CU139" i="14" s="1"/>
  <c r="CW85" i="14"/>
  <c r="CW139" i="14" s="1"/>
  <c r="DK85" i="14"/>
  <c r="DK139" i="14" s="1"/>
  <c r="DC85" i="14"/>
  <c r="DC139" i="14" s="1"/>
  <c r="CF85" i="14"/>
  <c r="CF139" i="14" s="1"/>
  <c r="AL81" i="14"/>
  <c r="AL135" i="14" s="1"/>
  <c r="CY81" i="14"/>
  <c r="CY135" i="14" s="1"/>
  <c r="BQ81" i="14"/>
  <c r="BQ135" i="14" s="1"/>
  <c r="BD81" i="14"/>
  <c r="BD135" i="14" s="1"/>
  <c r="BY81" i="14"/>
  <c r="BY135" i="14" s="1"/>
  <c r="CX81" i="14"/>
  <c r="CX135" i="14" s="1"/>
  <c r="AP81" i="14"/>
  <c r="AP135" i="14" s="1"/>
  <c r="DV81" i="14"/>
  <c r="DV135" i="14" s="1"/>
  <c r="CM81" i="14"/>
  <c r="CM135" i="14" s="1"/>
  <c r="AR81" i="14"/>
  <c r="AR135" i="14" s="1"/>
  <c r="CT81" i="14"/>
  <c r="CT135" i="14" s="1"/>
  <c r="DN81" i="14"/>
  <c r="DN135" i="14" s="1"/>
  <c r="AK81" i="14"/>
  <c r="AK135" i="14" s="1"/>
  <c r="DM81" i="14"/>
  <c r="DM135" i="14" s="1"/>
  <c r="CE81" i="14"/>
  <c r="CE135" i="14" s="1"/>
  <c r="AI81" i="14"/>
  <c r="AI135" i="14" s="1"/>
  <c r="DO81" i="14"/>
  <c r="DO135" i="14" s="1"/>
  <c r="BP81" i="14"/>
  <c r="BP135" i="14" s="1"/>
  <c r="BJ81" i="14"/>
  <c r="BJ135" i="14" s="1"/>
  <c r="CJ81" i="14"/>
  <c r="CJ135" i="14" s="1"/>
  <c r="AN81" i="14"/>
  <c r="AN135" i="14" s="1"/>
  <c r="DT81" i="14"/>
  <c r="DT135" i="14" s="1"/>
  <c r="DU81" i="14"/>
  <c r="DU135" i="14" s="1"/>
  <c r="CL81" i="14"/>
  <c r="CL135" i="14" s="1"/>
  <c r="BC81" i="14"/>
  <c r="BC135" i="14" s="1"/>
  <c r="AH81" i="14"/>
  <c r="AH135" i="14" s="1"/>
  <c r="AO81" i="14"/>
  <c r="AO135" i="14" s="1"/>
  <c r="BN81" i="14"/>
  <c r="BN135" i="14" s="1"/>
  <c r="CZ81" i="14"/>
  <c r="CZ135" i="14" s="1"/>
  <c r="EB81" i="14"/>
  <c r="EB135" i="14" s="1"/>
  <c r="CO81" i="14"/>
  <c r="CO135" i="14" s="1"/>
  <c r="CR81" i="14"/>
  <c r="CR135" i="14" s="1"/>
  <c r="BS81" i="14"/>
  <c r="BS135" i="14" s="1"/>
  <c r="BI81" i="14"/>
  <c r="BI135" i="14" s="1"/>
  <c r="DJ81" i="14"/>
  <c r="DJ135" i="14" s="1"/>
  <c r="AG81" i="14"/>
  <c r="AG135" i="14" s="1"/>
  <c r="BX81" i="14"/>
  <c r="BX135" i="14" s="1"/>
  <c r="CF81" i="14"/>
  <c r="CF135" i="14" s="1"/>
  <c r="DE81" i="14"/>
  <c r="DE135" i="14" s="1"/>
  <c r="AW81" i="14"/>
  <c r="AW135" i="14" s="1"/>
  <c r="CD81" i="14"/>
  <c r="CD135" i="14" s="1"/>
  <c r="CW81" i="14"/>
  <c r="CW135" i="14" s="1"/>
  <c r="EA81" i="14"/>
  <c r="EA135" i="14" s="1"/>
  <c r="AD81" i="14"/>
  <c r="AD135" i="14" s="1"/>
  <c r="DI81" i="14"/>
  <c r="DI135" i="14" s="1"/>
  <c r="AE81" i="14"/>
  <c r="AE135" i="14" s="1"/>
  <c r="DP81" i="14"/>
  <c r="DP135" i="14" s="1"/>
  <c r="EC81" i="14"/>
  <c r="EC135" i="14" s="1"/>
  <c r="BK81" i="14"/>
  <c r="BK135" i="14" s="1"/>
  <c r="AY81" i="14"/>
  <c r="AY135" i="14" s="1"/>
  <c r="BM81" i="14"/>
  <c r="BM135" i="14" s="1"/>
  <c r="BL81" i="14"/>
  <c r="BL135" i="14" s="1"/>
  <c r="DC81" i="14"/>
  <c r="DC135" i="14" s="1"/>
  <c r="AC81" i="14"/>
  <c r="AC135" i="14" s="1"/>
  <c r="DF81" i="14"/>
  <c r="DF135" i="14" s="1"/>
  <c r="AX81" i="14"/>
  <c r="AX135" i="14" s="1"/>
  <c r="ED81" i="14"/>
  <c r="ED135" i="14" s="1"/>
  <c r="CU81" i="14"/>
  <c r="CU135" i="14" s="1"/>
  <c r="CA81" i="14"/>
  <c r="CA135" i="14" s="1"/>
  <c r="AJ81" i="14"/>
  <c r="AJ135" i="14" s="1"/>
  <c r="DD81" i="14"/>
  <c r="DD135" i="14" s="1"/>
  <c r="AV81" i="14"/>
  <c r="AV135" i="14" s="1"/>
  <c r="CS81" i="14"/>
  <c r="CS135" i="14" s="1"/>
  <c r="EE81" i="14"/>
  <c r="EE135" i="14" s="1"/>
  <c r="CV81" i="14"/>
  <c r="CV135" i="14" s="1"/>
  <c r="BW81" i="14"/>
  <c r="BW135" i="14" s="1"/>
  <c r="BA81" i="14"/>
  <c r="BA135" i="14" s="1"/>
  <c r="CG81" i="14"/>
  <c r="CG135" i="14" s="1"/>
  <c r="DK81" i="14"/>
  <c r="DK135" i="14" s="1"/>
  <c r="BF81" i="14"/>
  <c r="BF135" i="14" s="1"/>
  <c r="DR81" i="14"/>
  <c r="DR135" i="14" s="1"/>
  <c r="DQ85" i="14"/>
  <c r="DQ139" i="14" s="1"/>
  <c r="AD73" i="14"/>
  <c r="AD127" i="14" s="1"/>
  <c r="AE73" i="14"/>
  <c r="AE127" i="14" s="1"/>
  <c r="AG73" i="14"/>
  <c r="AG127" i="14" s="1"/>
  <c r="AQ73" i="14"/>
  <c r="AQ127" i="14" s="1"/>
  <c r="AB216" i="14"/>
  <c r="Z230" i="14"/>
  <c r="S230" i="14"/>
  <c r="R119" i="14"/>
  <c r="Z112" i="14"/>
  <c r="W222" i="14"/>
  <c r="Z226" i="14"/>
  <c r="Y117" i="14"/>
  <c r="CD73" i="14"/>
  <c r="CD127" i="14" s="1"/>
  <c r="AB227" i="14"/>
  <c r="V225" i="14"/>
  <c r="R226" i="14"/>
  <c r="S222" i="14"/>
  <c r="X121" i="14"/>
  <c r="V222" i="14"/>
  <c r="Y109" i="14"/>
  <c r="Q230" i="14"/>
  <c r="X122" i="14"/>
  <c r="X119" i="14"/>
  <c r="T118" i="14"/>
  <c r="AA230" i="14"/>
  <c r="R114" i="14"/>
  <c r="CH85" i="14"/>
  <c r="CH139" i="14" s="1"/>
  <c r="U122" i="14"/>
  <c r="AA229" i="14"/>
  <c r="S217" i="14"/>
  <c r="U109" i="14"/>
  <c r="Z119" i="14"/>
  <c r="V119" i="14"/>
  <c r="AB220" i="14"/>
  <c r="BJ118" i="14"/>
  <c r="S118" i="14"/>
  <c r="Q112" i="14"/>
  <c r="Z109" i="14"/>
  <c r="V112" i="14"/>
  <c r="X112" i="14"/>
  <c r="U108" i="14"/>
  <c r="T113" i="14"/>
  <c r="S223" i="14"/>
  <c r="AL73" i="14"/>
  <c r="AL127" i="14" s="1"/>
  <c r="Y227" i="14"/>
  <c r="T220" i="14"/>
  <c r="CD205" i="14"/>
  <c r="CD207" i="14"/>
  <c r="P209" i="14"/>
  <c r="R209" i="14"/>
  <c r="X209" i="14"/>
  <c r="S209" i="14"/>
  <c r="AB209" i="14"/>
  <c r="U209" i="14"/>
  <c r="Y209" i="14"/>
  <c r="AA209" i="14"/>
  <c r="V209" i="14"/>
  <c r="W209" i="14"/>
  <c r="Z209" i="14"/>
  <c r="T209" i="14"/>
  <c r="Q209" i="14"/>
  <c r="P203" i="14"/>
  <c r="S203" i="14"/>
  <c r="U203" i="14"/>
  <c r="V203" i="14"/>
  <c r="R203" i="14"/>
  <c r="Q203" i="14"/>
  <c r="X203" i="14"/>
  <c r="W203" i="14"/>
  <c r="AA203" i="14"/>
  <c r="AB203" i="14"/>
  <c r="T203" i="14"/>
  <c r="Z203" i="14"/>
  <c r="Y203" i="14"/>
  <c r="CH81" i="14"/>
  <c r="CH135" i="14" s="1"/>
  <c r="X223" i="14"/>
  <c r="AS86" i="14"/>
  <c r="AS140" i="14" s="1"/>
  <c r="R109" i="14"/>
  <c r="CD78" i="14"/>
  <c r="CD132" i="14" s="1"/>
  <c r="Z219" i="14"/>
  <c r="Q111" i="14"/>
  <c r="DH86" i="14"/>
  <c r="DH140" i="14" s="1"/>
  <c r="S123" i="14"/>
  <c r="CZ84" i="14"/>
  <c r="CZ138" i="14" s="1"/>
  <c r="EA84" i="14"/>
  <c r="EA138" i="14" s="1"/>
  <c r="BQ86" i="14"/>
  <c r="BQ140" i="14" s="1"/>
  <c r="BC226" i="14"/>
  <c r="AA226" i="14"/>
  <c r="Q117" i="14"/>
  <c r="CH86" i="14"/>
  <c r="CH140" i="14" s="1"/>
  <c r="Z216" i="14"/>
  <c r="AB229" i="14"/>
  <c r="T223" i="14"/>
  <c r="AJ84" i="14"/>
  <c r="AJ138" i="14" s="1"/>
  <c r="R108" i="14"/>
  <c r="X221" i="14"/>
  <c r="CT84" i="14"/>
  <c r="CT138" i="14" s="1"/>
  <c r="AP86" i="14"/>
  <c r="AP140" i="14" s="1"/>
  <c r="AJ86" i="14"/>
  <c r="AJ140" i="14" s="1"/>
  <c r="BP86" i="14"/>
  <c r="BP140" i="14" s="1"/>
  <c r="DJ84" i="14"/>
  <c r="DJ138" i="14" s="1"/>
  <c r="BI84" i="14"/>
  <c r="BI138" i="14" s="1"/>
  <c r="BZ86" i="14"/>
  <c r="BZ140" i="14" s="1"/>
  <c r="BJ84" i="14"/>
  <c r="BJ138" i="14" s="1"/>
  <c r="CI86" i="14"/>
  <c r="CI140" i="14" s="1"/>
  <c r="AC86" i="14"/>
  <c r="AC140" i="14" s="1"/>
  <c r="CI84" i="14"/>
  <c r="CI138" i="14" s="1"/>
  <c r="CA86" i="14"/>
  <c r="CA140" i="14" s="1"/>
  <c r="S108" i="14"/>
  <c r="BY118" i="14"/>
  <c r="DY86" i="14"/>
  <c r="DY140" i="14" s="1"/>
  <c r="CB84" i="14"/>
  <c r="CB138" i="14" s="1"/>
  <c r="S225" i="14"/>
  <c r="CU84" i="14"/>
  <c r="CU138" i="14" s="1"/>
  <c r="DZ84" i="14"/>
  <c r="DZ138" i="14" s="1"/>
  <c r="DK84" i="14"/>
  <c r="DK138" i="14" s="1"/>
  <c r="BN86" i="14"/>
  <c r="BN140" i="14" s="1"/>
  <c r="CT86" i="14"/>
  <c r="CT140" i="14" s="1"/>
  <c r="CB86" i="14"/>
  <c r="CB140" i="14" s="1"/>
  <c r="CM86" i="14"/>
  <c r="CM140" i="14" s="1"/>
  <c r="CU86" i="14"/>
  <c r="CU140" i="14" s="1"/>
  <c r="CK86" i="14"/>
  <c r="CK140" i="14" s="1"/>
  <c r="DM84" i="14"/>
  <c r="DM138" i="14" s="1"/>
  <c r="AT86" i="14"/>
  <c r="AT140" i="14" s="1"/>
  <c r="CV84" i="14"/>
  <c r="CV138" i="14" s="1"/>
  <c r="BQ84" i="14"/>
  <c r="BQ138" i="14" s="1"/>
  <c r="CZ86" i="14"/>
  <c r="CZ140" i="14" s="1"/>
  <c r="AI84" i="14"/>
  <c r="AI138" i="14" s="1"/>
  <c r="DT84" i="14"/>
  <c r="DT138" i="14" s="1"/>
  <c r="AV86" i="14"/>
  <c r="AV140" i="14" s="1"/>
  <c r="CA84" i="14"/>
  <c r="CA138" i="14" s="1"/>
  <c r="CY86" i="14"/>
  <c r="CY140" i="14" s="1"/>
  <c r="AL86" i="14"/>
  <c r="AL140" i="14" s="1"/>
  <c r="EC84" i="14"/>
  <c r="EC138" i="14" s="1"/>
  <c r="BK84" i="14"/>
  <c r="BK138" i="14" s="1"/>
  <c r="EB84" i="14"/>
  <c r="EB138" i="14" s="1"/>
  <c r="AV84" i="14"/>
  <c r="AV138" i="14" s="1"/>
  <c r="AL84" i="14"/>
  <c r="AL138" i="14" s="1"/>
  <c r="AO84" i="14"/>
  <c r="AO138" i="14" s="1"/>
  <c r="DC86" i="14"/>
  <c r="DC140" i="14" s="1"/>
  <c r="CN86" i="14"/>
  <c r="CN140" i="14" s="1"/>
  <c r="AG86" i="14"/>
  <c r="AG140" i="14" s="1"/>
  <c r="DB84" i="14"/>
  <c r="DB138" i="14" s="1"/>
  <c r="CN84" i="14"/>
  <c r="CN138" i="14" s="1"/>
  <c r="CS86" i="14"/>
  <c r="CS140" i="14" s="1"/>
  <c r="EB86" i="14"/>
  <c r="EB140" i="14" s="1"/>
  <c r="DS86" i="14"/>
  <c r="DS140" i="14" s="1"/>
  <c r="AQ84" i="14"/>
  <c r="AQ138" i="14" s="1"/>
  <c r="DL86" i="14"/>
  <c r="DL140" i="14" s="1"/>
  <c r="DE86" i="14"/>
  <c r="DE140" i="14" s="1"/>
  <c r="CS84" i="14"/>
  <c r="CS138" i="14" s="1"/>
  <c r="DK86" i="14"/>
  <c r="DK140" i="14" s="1"/>
  <c r="CG86" i="14"/>
  <c r="CG140" i="14" s="1"/>
  <c r="AW84" i="14"/>
  <c r="AW138" i="14" s="1"/>
  <c r="Q221" i="14"/>
  <c r="CL84" i="14"/>
  <c r="CL138" i="14" s="1"/>
  <c r="DT86" i="14"/>
  <c r="DT140" i="14" s="1"/>
  <c r="BS84" i="14"/>
  <c r="BS138" i="14" s="1"/>
  <c r="DE84" i="14"/>
  <c r="DE138" i="14" s="1"/>
  <c r="BB84" i="14"/>
  <c r="BB138" i="14" s="1"/>
  <c r="CW84" i="14"/>
  <c r="CW138" i="14" s="1"/>
  <c r="DL84" i="14"/>
  <c r="DL138" i="14" s="1"/>
  <c r="CJ86" i="14"/>
  <c r="CJ140" i="14" s="1"/>
  <c r="DZ86" i="14"/>
  <c r="DZ140" i="14" s="1"/>
  <c r="BV86" i="14"/>
  <c r="BV140" i="14" s="1"/>
  <c r="CJ84" i="14"/>
  <c r="CJ138" i="14" s="1"/>
  <c r="BY84" i="14"/>
  <c r="BY138" i="14" s="1"/>
  <c r="BX84" i="14"/>
  <c r="BX138" i="14" s="1"/>
  <c r="BH84" i="14"/>
  <c r="BH138" i="14" s="1"/>
  <c r="DS84" i="14"/>
  <c r="DS138" i="14" s="1"/>
  <c r="X216" i="14"/>
  <c r="V224" i="14"/>
  <c r="AA216" i="14"/>
  <c r="Q116" i="14"/>
  <c r="Z225" i="14"/>
  <c r="V217" i="14"/>
  <c r="T108" i="14"/>
  <c r="AA217" i="14"/>
  <c r="Q216" i="14"/>
  <c r="DU226" i="14"/>
  <c r="BI80" i="14"/>
  <c r="BI134" i="14" s="1"/>
  <c r="DP80" i="14"/>
  <c r="DP134" i="14" s="1"/>
  <c r="EC79" i="14"/>
  <c r="EC133" i="14" s="1"/>
  <c r="BI77" i="14"/>
  <c r="BI131" i="14" s="1"/>
  <c r="DU77" i="14"/>
  <c r="DU131" i="14" s="1"/>
  <c r="CP80" i="14"/>
  <c r="CP134" i="14" s="1"/>
  <c r="AW80" i="14"/>
  <c r="AW134" i="14" s="1"/>
  <c r="AA223" i="14"/>
  <c r="X117" i="14"/>
  <c r="BX79" i="14"/>
  <c r="BX133" i="14" s="1"/>
  <c r="CW77" i="14"/>
  <c r="CW131" i="14" s="1"/>
  <c r="DI230" i="14"/>
  <c r="AK118" i="14"/>
  <c r="R111" i="14"/>
  <c r="T228" i="14"/>
  <c r="BC80" i="14"/>
  <c r="BC134" i="14" s="1"/>
  <c r="DQ80" i="14"/>
  <c r="DQ134" i="14" s="1"/>
  <c r="AJ77" i="14"/>
  <c r="AJ131" i="14" s="1"/>
  <c r="BZ79" i="14"/>
  <c r="BZ133" i="14" s="1"/>
  <c r="CP77" i="14"/>
  <c r="CP131" i="14" s="1"/>
  <c r="BB79" i="14"/>
  <c r="BB133" i="14" s="1"/>
  <c r="AP77" i="14"/>
  <c r="AP131" i="14" s="1"/>
  <c r="DF77" i="14"/>
  <c r="DF131" i="14" s="1"/>
  <c r="AV79" i="14"/>
  <c r="AV133" i="14" s="1"/>
  <c r="S224" i="14"/>
  <c r="X217" i="14"/>
  <c r="DM80" i="14"/>
  <c r="DM134" i="14" s="1"/>
  <c r="AG77" i="14"/>
  <c r="AG131" i="14" s="1"/>
  <c r="AW77" i="14"/>
  <c r="AW131" i="14" s="1"/>
  <c r="BJ77" i="14"/>
  <c r="BJ131" i="14" s="1"/>
  <c r="CL77" i="14"/>
  <c r="CL131" i="14" s="1"/>
  <c r="W224" i="14"/>
  <c r="DY79" i="14"/>
  <c r="DY133" i="14" s="1"/>
  <c r="AK80" i="14"/>
  <c r="AK134" i="14" s="1"/>
  <c r="CW118" i="14"/>
  <c r="CP84" i="14"/>
  <c r="CP138" i="14" s="1"/>
  <c r="BE86" i="14"/>
  <c r="BE140" i="14" s="1"/>
  <c r="DY84" i="14"/>
  <c r="DY138" i="14" s="1"/>
  <c r="AO86" i="14"/>
  <c r="AO140" i="14" s="1"/>
  <c r="DA84" i="14"/>
  <c r="DA138" i="14" s="1"/>
  <c r="BW86" i="14"/>
  <c r="BW140" i="14" s="1"/>
  <c r="DU86" i="14"/>
  <c r="DU140" i="14" s="1"/>
  <c r="DA86" i="14"/>
  <c r="DA140" i="14" s="1"/>
  <c r="CF86" i="14"/>
  <c r="CF140" i="14" s="1"/>
  <c r="AP84" i="14"/>
  <c r="AP138" i="14" s="1"/>
  <c r="BA86" i="14"/>
  <c r="BA140" i="14" s="1"/>
  <c r="DP84" i="14"/>
  <c r="DP138" i="14" s="1"/>
  <c r="DV84" i="14"/>
  <c r="DV138" i="14" s="1"/>
  <c r="BN84" i="14"/>
  <c r="BN138" i="14" s="1"/>
  <c r="BV84" i="14"/>
  <c r="BV138" i="14" s="1"/>
  <c r="CL86" i="14"/>
  <c r="CL140" i="14" s="1"/>
  <c r="EC86" i="14"/>
  <c r="EC140" i="14" s="1"/>
  <c r="CW86" i="14"/>
  <c r="CW140" i="14" s="1"/>
  <c r="AN84" i="14"/>
  <c r="AN138" i="14" s="1"/>
  <c r="BB86" i="14"/>
  <c r="BB140" i="14" s="1"/>
  <c r="BS86" i="14"/>
  <c r="BS140" i="14" s="1"/>
  <c r="CM84" i="14"/>
  <c r="CM138" i="14" s="1"/>
  <c r="AX84" i="14"/>
  <c r="AX138" i="14" s="1"/>
  <c r="DB86" i="14"/>
  <c r="DB140" i="14" s="1"/>
  <c r="BG86" i="14"/>
  <c r="BG140" i="14" s="1"/>
  <c r="BP84" i="14"/>
  <c r="BP138" i="14" s="1"/>
  <c r="AI86" i="14"/>
  <c r="AI140" i="14" s="1"/>
  <c r="AK86" i="14"/>
  <c r="AK140" i="14" s="1"/>
  <c r="CY84" i="14"/>
  <c r="CY138" i="14" s="1"/>
  <c r="AJ230" i="14"/>
  <c r="AT84" i="14"/>
  <c r="AT138" i="14" s="1"/>
  <c r="CX86" i="14"/>
  <c r="CX140" i="14" s="1"/>
  <c r="Q228" i="14"/>
  <c r="DC84" i="14"/>
  <c r="DC138" i="14" s="1"/>
  <c r="BC84" i="14"/>
  <c r="BC138" i="14" s="1"/>
  <c r="BT84" i="14"/>
  <c r="BT138" i="14" s="1"/>
  <c r="CR86" i="14"/>
  <c r="CR140" i="14" s="1"/>
  <c r="DW86" i="14"/>
  <c r="DW140" i="14" s="1"/>
  <c r="BH86" i="14"/>
  <c r="BH140" i="14" s="1"/>
  <c r="BM86" i="14"/>
  <c r="BM140" i="14" s="1"/>
  <c r="CK84" i="14"/>
  <c r="CK138" i="14" s="1"/>
  <c r="DH84" i="14"/>
  <c r="DH138" i="14" s="1"/>
  <c r="DM86" i="14"/>
  <c r="DM140" i="14" s="1"/>
  <c r="AY86" i="14"/>
  <c r="AY140" i="14" s="1"/>
  <c r="DG86" i="14"/>
  <c r="DG140" i="14" s="1"/>
  <c r="DJ86" i="14"/>
  <c r="DJ140" i="14" s="1"/>
  <c r="DR86" i="14"/>
  <c r="DR140" i="14" s="1"/>
  <c r="BO86" i="14"/>
  <c r="BO140" i="14" s="1"/>
  <c r="DV86" i="14"/>
  <c r="DV140" i="14" s="1"/>
  <c r="ED86" i="14"/>
  <c r="ED140" i="14" s="1"/>
  <c r="DF86" i="14"/>
  <c r="DF140" i="14" s="1"/>
  <c r="AC84" i="14"/>
  <c r="AC138" i="14" s="1"/>
  <c r="BZ84" i="14"/>
  <c r="BZ138" i="14" s="1"/>
  <c r="BK86" i="14"/>
  <c r="BK140" i="14" s="1"/>
  <c r="CR84" i="14"/>
  <c r="CR138" i="14" s="1"/>
  <c r="BU84" i="14"/>
  <c r="BU138" i="14" s="1"/>
  <c r="AR86" i="14"/>
  <c r="AR140" i="14" s="1"/>
  <c r="DO84" i="14"/>
  <c r="DO138" i="14" s="1"/>
  <c r="AE86" i="14"/>
  <c r="AE140" i="14" s="1"/>
  <c r="CE86" i="14"/>
  <c r="CE140" i="14" s="1"/>
  <c r="DI86" i="14"/>
  <c r="DI140" i="14" s="1"/>
  <c r="AG84" i="14"/>
  <c r="AG138" i="14" s="1"/>
  <c r="CC86" i="14"/>
  <c r="CC140" i="14" s="1"/>
  <c r="AY84" i="14"/>
  <c r="AY138" i="14" s="1"/>
  <c r="DG84" i="14"/>
  <c r="DG138" i="14" s="1"/>
  <c r="DR84" i="14"/>
  <c r="DR138" i="14" s="1"/>
  <c r="AW86" i="14"/>
  <c r="AW140" i="14" s="1"/>
  <c r="BF86" i="14"/>
  <c r="BF140" i="14" s="1"/>
  <c r="CQ86" i="14"/>
  <c r="CQ140" i="14" s="1"/>
  <c r="ED84" i="14"/>
  <c r="ED138" i="14" s="1"/>
  <c r="Q223" i="14"/>
  <c r="CX84" i="14"/>
  <c r="CX138" i="14" s="1"/>
  <c r="AH86" i="14"/>
  <c r="AH140" i="14" s="1"/>
  <c r="BC86" i="14"/>
  <c r="BC140" i="14" s="1"/>
  <c r="BT86" i="14"/>
  <c r="BT140" i="14" s="1"/>
  <c r="EE86" i="14"/>
  <c r="EE140" i="14" s="1"/>
  <c r="DX84" i="14"/>
  <c r="DX138" i="14" s="1"/>
  <c r="AR84" i="14"/>
  <c r="AR138" i="14" s="1"/>
  <c r="DD86" i="14"/>
  <c r="DD140" i="14" s="1"/>
  <c r="AE84" i="14"/>
  <c r="AE138" i="14" s="1"/>
  <c r="AM86" i="14"/>
  <c r="AM140" i="14" s="1"/>
  <c r="DF84" i="14"/>
  <c r="DF138" i="14" s="1"/>
  <c r="AU84" i="14"/>
  <c r="AU138" i="14" s="1"/>
  <c r="AH84" i="14"/>
  <c r="AH138" i="14" s="1"/>
  <c r="BD86" i="14"/>
  <c r="BD140" i="14" s="1"/>
  <c r="BM84" i="14"/>
  <c r="BM138" i="14" s="1"/>
  <c r="BU86" i="14"/>
  <c r="BU140" i="14" s="1"/>
  <c r="CO86" i="14"/>
  <c r="CO140" i="14" s="1"/>
  <c r="DO86" i="14"/>
  <c r="DO140" i="14" s="1"/>
  <c r="DI84" i="14"/>
  <c r="DI138" i="14" s="1"/>
  <c r="DQ86" i="14"/>
  <c r="DQ140" i="14" s="1"/>
  <c r="CC84" i="14"/>
  <c r="CC138" i="14" s="1"/>
  <c r="DN86" i="14"/>
  <c r="DN140" i="14" s="1"/>
  <c r="BE84" i="14"/>
  <c r="BE138" i="14" s="1"/>
  <c r="BR84" i="14"/>
  <c r="BR138" i="14" s="1"/>
  <c r="BF84" i="14"/>
  <c r="BF138" i="14" s="1"/>
  <c r="AU86" i="14"/>
  <c r="AU140" i="14" s="1"/>
  <c r="BG84" i="14"/>
  <c r="BG138" i="14" s="1"/>
  <c r="DW84" i="14"/>
  <c r="DW138" i="14" s="1"/>
  <c r="EE84" i="14"/>
  <c r="EE138" i="14" s="1"/>
  <c r="AZ86" i="14"/>
  <c r="AZ140" i="14" s="1"/>
  <c r="AM84" i="14"/>
  <c r="AM138" i="14" s="1"/>
  <c r="CE84" i="14"/>
  <c r="CE138" i="14" s="1"/>
  <c r="AQ86" i="14"/>
  <c r="AQ140" i="14" s="1"/>
  <c r="CD86" i="14"/>
  <c r="CD140" i="14" s="1"/>
  <c r="BR86" i="14"/>
  <c r="BR140" i="14" s="1"/>
  <c r="DP86" i="14"/>
  <c r="DP140" i="14" s="1"/>
  <c r="BO84" i="14"/>
  <c r="BO138" i="14" s="1"/>
  <c r="CF84" i="14"/>
  <c r="CF138" i="14" s="1"/>
  <c r="BL84" i="14"/>
  <c r="BL138" i="14" s="1"/>
  <c r="DX86" i="14"/>
  <c r="DX140" i="14" s="1"/>
  <c r="AZ84" i="14"/>
  <c r="AZ138" i="14" s="1"/>
  <c r="DD84" i="14"/>
  <c r="DD138" i="14" s="1"/>
  <c r="DQ84" i="14"/>
  <c r="DQ138" i="14" s="1"/>
  <c r="AK84" i="14"/>
  <c r="AK138" i="14" s="1"/>
  <c r="CG84" i="14"/>
  <c r="CG138" i="14" s="1"/>
  <c r="DN84" i="14"/>
  <c r="DN138" i="14" s="1"/>
  <c r="AD84" i="14"/>
  <c r="AD138" i="14" s="1"/>
  <c r="CD84" i="14"/>
  <c r="CD138" i="14" s="1"/>
  <c r="AF86" i="14"/>
  <c r="AF140" i="14" s="1"/>
  <c r="BI86" i="14"/>
  <c r="BI140" i="14" s="1"/>
  <c r="CP86" i="14"/>
  <c r="CP140" i="14" s="1"/>
  <c r="DU84" i="14"/>
  <c r="DU138" i="14" s="1"/>
  <c r="AF84" i="14"/>
  <c r="AF138" i="14" s="1"/>
  <c r="BW84" i="14"/>
  <c r="BW138" i="14" s="1"/>
  <c r="AN86" i="14"/>
  <c r="AN140" i="14" s="1"/>
  <c r="CQ84" i="14"/>
  <c r="CQ138" i="14" s="1"/>
  <c r="AX86" i="14"/>
  <c r="AX140" i="14" s="1"/>
  <c r="BA84" i="14"/>
  <c r="BA138" i="14" s="1"/>
  <c r="AS84" i="14"/>
  <c r="AS138" i="14" s="1"/>
  <c r="BJ86" i="14"/>
  <c r="BJ140" i="14" s="1"/>
  <c r="BY86" i="14"/>
  <c r="BY140" i="14" s="1"/>
  <c r="W118" i="14"/>
  <c r="BX86" i="14"/>
  <c r="BX140" i="14" s="1"/>
  <c r="CV86" i="14"/>
  <c r="CV140" i="14" s="1"/>
  <c r="EA86" i="14"/>
  <c r="EA140" i="14" s="1"/>
  <c r="BD84" i="14"/>
  <c r="BD138" i="14" s="1"/>
  <c r="BL86" i="14"/>
  <c r="BL140" i="14" s="1"/>
  <c r="CO84" i="14"/>
  <c r="CO138" i="14" s="1"/>
  <c r="V113" i="14"/>
  <c r="BD230" i="14"/>
  <c r="AG118" i="14"/>
  <c r="AO118" i="14"/>
  <c r="U111" i="14"/>
  <c r="S113" i="14"/>
  <c r="AA111" i="14"/>
  <c r="V219" i="14"/>
  <c r="U115" i="14"/>
  <c r="AB221" i="14"/>
  <c r="CU118" i="14"/>
  <c r="CW83" i="14"/>
  <c r="CW137" i="14" s="1"/>
  <c r="W228" i="14"/>
  <c r="U113" i="14"/>
  <c r="Y120" i="14"/>
  <c r="R228" i="14"/>
  <c r="BH83" i="14"/>
  <c r="BH137" i="14" s="1"/>
  <c r="AC226" i="14"/>
  <c r="CR79" i="14"/>
  <c r="CR133" i="14" s="1"/>
  <c r="DL80" i="14"/>
  <c r="DL134" i="14" s="1"/>
  <c r="CB80" i="14"/>
  <c r="CB134" i="14" s="1"/>
  <c r="CF80" i="14"/>
  <c r="CF134" i="14" s="1"/>
  <c r="BS72" i="14"/>
  <c r="BS126" i="14" s="1"/>
  <c r="CM80" i="14"/>
  <c r="CM134" i="14" s="1"/>
  <c r="AP79" i="14"/>
  <c r="AP133" i="14" s="1"/>
  <c r="AX80" i="14"/>
  <c r="AX134" i="14" s="1"/>
  <c r="CX79" i="14"/>
  <c r="CX133" i="14" s="1"/>
  <c r="AU79" i="14"/>
  <c r="AU133" i="14" s="1"/>
  <c r="CN80" i="14"/>
  <c r="CN134" i="14" s="1"/>
  <c r="BD79" i="14"/>
  <c r="BD133" i="14" s="1"/>
  <c r="DX80" i="14"/>
  <c r="DX134" i="14" s="1"/>
  <c r="CZ80" i="14"/>
  <c r="CZ134" i="14" s="1"/>
  <c r="DO80" i="14"/>
  <c r="DO134" i="14" s="1"/>
  <c r="CC79" i="14"/>
  <c r="CC133" i="14" s="1"/>
  <c r="AY80" i="14"/>
  <c r="AY134" i="14" s="1"/>
  <c r="AU80" i="14"/>
  <c r="AU134" i="14" s="1"/>
  <c r="BT80" i="14"/>
  <c r="BT134" i="14" s="1"/>
  <c r="AI80" i="14"/>
  <c r="AI134" i="14" s="1"/>
  <c r="CF79" i="14"/>
  <c r="CF133" i="14" s="1"/>
  <c r="CM79" i="14"/>
  <c r="CM133" i="14" s="1"/>
  <c r="CU80" i="14"/>
  <c r="CU134" i="14" s="1"/>
  <c r="ED80" i="14"/>
  <c r="ED134" i="14" s="1"/>
  <c r="BC79" i="14"/>
  <c r="BC133" i="14" s="1"/>
  <c r="BQ79" i="14"/>
  <c r="BQ133" i="14" s="1"/>
  <c r="CO80" i="14"/>
  <c r="CO134" i="14" s="1"/>
  <c r="DK79" i="14"/>
  <c r="DK133" i="14" s="1"/>
  <c r="CE80" i="14"/>
  <c r="CE134" i="14" s="1"/>
  <c r="DM79" i="14"/>
  <c r="DM133" i="14" s="1"/>
  <c r="CD80" i="14"/>
  <c r="CD134" i="14" s="1"/>
  <c r="DZ79" i="14"/>
  <c r="DZ133" i="14" s="1"/>
  <c r="EA79" i="14"/>
  <c r="EA133" i="14" s="1"/>
  <c r="CP79" i="14"/>
  <c r="CP133" i="14" s="1"/>
  <c r="AH80" i="14"/>
  <c r="AH134" i="14" s="1"/>
  <c r="AW79" i="14"/>
  <c r="AW133" i="14" s="1"/>
  <c r="DP79" i="14"/>
  <c r="DP133" i="14" s="1"/>
  <c r="DA80" i="14"/>
  <c r="DA134" i="14" s="1"/>
  <c r="BJ79" i="14"/>
  <c r="BJ133" i="14" s="1"/>
  <c r="DB80" i="14"/>
  <c r="DB134" i="14" s="1"/>
  <c r="DF80" i="14"/>
  <c r="DF134" i="14" s="1"/>
  <c r="BK79" i="14"/>
  <c r="BK133" i="14" s="1"/>
  <c r="BP80" i="14"/>
  <c r="BP134" i="14" s="1"/>
  <c r="CV80" i="14"/>
  <c r="CV134" i="14" s="1"/>
  <c r="BL80" i="14"/>
  <c r="BL134" i="14" s="1"/>
  <c r="BM80" i="14"/>
  <c r="BM134" i="14" s="1"/>
  <c r="CO79" i="14"/>
  <c r="CO133" i="14" s="1"/>
  <c r="CZ79" i="14"/>
  <c r="CZ133" i="14" s="1"/>
  <c r="DO79" i="14"/>
  <c r="DO133" i="14" s="1"/>
  <c r="AI79" i="14"/>
  <c r="AI133" i="14" s="1"/>
  <c r="CE79" i="14"/>
  <c r="CE133" i="14" s="1"/>
  <c r="DI79" i="14"/>
  <c r="DI133" i="14" s="1"/>
  <c r="CG80" i="14"/>
  <c r="CG134" i="14" s="1"/>
  <c r="DR79" i="14"/>
  <c r="DR133" i="14" s="1"/>
  <c r="AL79" i="14"/>
  <c r="AL133" i="14" s="1"/>
  <c r="CD79" i="14"/>
  <c r="CD133" i="14" s="1"/>
  <c r="CS79" i="14"/>
  <c r="CS133" i="14" s="1"/>
  <c r="AM79" i="14"/>
  <c r="AM133" i="14" s="1"/>
  <c r="CL80" i="14"/>
  <c r="CL134" i="14" s="1"/>
  <c r="AF80" i="14"/>
  <c r="AF134" i="14" s="1"/>
  <c r="BY80" i="14"/>
  <c r="BY134" i="14" s="1"/>
  <c r="CP72" i="14"/>
  <c r="CP126" i="14" s="1"/>
  <c r="AX79" i="14"/>
  <c r="AX133" i="14" s="1"/>
  <c r="AC80" i="14"/>
  <c r="AC134" i="14" s="1"/>
  <c r="BX80" i="14"/>
  <c r="BX134" i="14" s="1"/>
  <c r="CV79" i="14"/>
  <c r="CV133" i="14" s="1"/>
  <c r="AZ79" i="14"/>
  <c r="AZ133" i="14" s="1"/>
  <c r="AE80" i="14"/>
  <c r="AE134" i="14" s="1"/>
  <c r="AK79" i="14"/>
  <c r="AK133" i="14" s="1"/>
  <c r="CG79" i="14"/>
  <c r="CG133" i="14" s="1"/>
  <c r="AL80" i="14"/>
  <c r="AL134" i="14" s="1"/>
  <c r="DQ79" i="14"/>
  <c r="DQ133" i="14" s="1"/>
  <c r="CY79" i="14"/>
  <c r="CY133" i="14" s="1"/>
  <c r="AS79" i="14"/>
  <c r="AS133" i="14" s="1"/>
  <c r="BW80" i="14"/>
  <c r="BW134" i="14" s="1"/>
  <c r="DF79" i="14"/>
  <c r="DF133" i="14" s="1"/>
  <c r="AH79" i="14"/>
  <c r="AH133" i="14" s="1"/>
  <c r="BM79" i="14"/>
  <c r="EB79" i="14"/>
  <c r="EB133" i="14" s="1"/>
  <c r="AV80" i="14"/>
  <c r="AV134" i="14" s="1"/>
  <c r="AG80" i="14"/>
  <c r="AG134" i="14" s="1"/>
  <c r="AQ80" i="14"/>
  <c r="AQ134" i="14" s="1"/>
  <c r="DN80" i="14"/>
  <c r="DN134" i="14" s="1"/>
  <c r="AD80" i="14"/>
  <c r="AD134" i="14" s="1"/>
  <c r="BE80" i="14"/>
  <c r="BE134" i="14" s="1"/>
  <c r="CQ79" i="14"/>
  <c r="CQ133" i="14" s="1"/>
  <c r="DW80" i="14"/>
  <c r="DW134" i="14" s="1"/>
  <c r="DS79" i="14"/>
  <c r="DS133" i="14" s="1"/>
  <c r="CI80" i="14"/>
  <c r="CI134" i="14" s="1"/>
  <c r="AD79" i="14"/>
  <c r="AD133" i="14" s="1"/>
  <c r="DY80" i="14"/>
  <c r="DY134" i="14" s="1"/>
  <c r="AJ80" i="14"/>
  <c r="AJ134" i="14" s="1"/>
  <c r="EE80" i="14"/>
  <c r="EE134" i="14" s="1"/>
  <c r="AR79" i="14"/>
  <c r="AR133" i="14" s="1"/>
  <c r="DH80" i="14"/>
  <c r="DH134" i="14" s="1"/>
  <c r="CT72" i="14"/>
  <c r="CT126" i="14" s="1"/>
  <c r="DE80" i="14"/>
  <c r="DE134" i="14" s="1"/>
  <c r="DL79" i="14"/>
  <c r="DL133" i="14" s="1"/>
  <c r="AJ79" i="14"/>
  <c r="AJ133" i="14" s="1"/>
  <c r="BN80" i="14"/>
  <c r="BN134" i="14" s="1"/>
  <c r="BV80" i="14"/>
  <c r="BV134" i="14" s="1"/>
  <c r="CT80" i="14"/>
  <c r="CT134" i="14" s="1"/>
  <c r="DU80" i="14"/>
  <c r="DU134" i="14" s="1"/>
  <c r="AN80" i="14"/>
  <c r="AN134" i="14" s="1"/>
  <c r="BF80" i="14"/>
  <c r="BF134" i="14" s="1"/>
  <c r="CL72" i="14"/>
  <c r="CL126" i="14" s="1"/>
  <c r="DU79" i="14"/>
  <c r="DU133" i="14" s="1"/>
  <c r="AO80" i="14"/>
  <c r="AO134" i="14" s="1"/>
  <c r="BO80" i="14"/>
  <c r="BO134" i="14" s="1"/>
  <c r="DZ80" i="14"/>
  <c r="DZ134" i="14" s="1"/>
  <c r="AT80" i="14"/>
  <c r="AT134" i="14" s="1"/>
  <c r="AC79" i="14"/>
  <c r="AC133" i="14" s="1"/>
  <c r="BK80" i="14"/>
  <c r="BK134" i="14" s="1"/>
  <c r="CR80" i="14"/>
  <c r="CR134" i="14" s="1"/>
  <c r="BH79" i="14"/>
  <c r="BH133" i="14" s="1"/>
  <c r="AA224" i="14"/>
  <c r="EC80" i="14"/>
  <c r="EC134" i="14" s="1"/>
  <c r="CW80" i="14"/>
  <c r="CW134" i="14" s="1"/>
  <c r="DT80" i="14"/>
  <c r="DT134" i="14" s="1"/>
  <c r="AF79" i="14"/>
  <c r="AF133" i="14" s="1"/>
  <c r="CB79" i="14"/>
  <c r="CB133" i="14" s="1"/>
  <c r="BO79" i="14"/>
  <c r="BO133" i="14" s="1"/>
  <c r="CU79" i="14"/>
  <c r="CU133" i="14" s="1"/>
  <c r="ED79" i="14"/>
  <c r="ED133" i="14" s="1"/>
  <c r="DC80" i="14"/>
  <c r="DC134" i="14" s="1"/>
  <c r="BP79" i="14"/>
  <c r="BP133" i="14" s="1"/>
  <c r="EE79" i="14"/>
  <c r="EE133" i="14" s="1"/>
  <c r="BL79" i="14"/>
  <c r="BL133" i="14" s="1"/>
  <c r="CK80" i="14"/>
  <c r="CK134" i="14" s="1"/>
  <c r="AZ80" i="14"/>
  <c r="AZ134" i="14" s="1"/>
  <c r="DD80" i="14"/>
  <c r="DD134" i="14" s="1"/>
  <c r="DH79" i="14"/>
  <c r="DH133" i="14" s="1"/>
  <c r="DK80" i="14"/>
  <c r="DK134" i="14" s="1"/>
  <c r="DS80" i="14"/>
  <c r="DS134" i="14" s="1"/>
  <c r="AM80" i="14"/>
  <c r="AM134" i="14" s="1"/>
  <c r="CA80" i="14"/>
  <c r="CA134" i="14" s="1"/>
  <c r="CI79" i="14"/>
  <c r="CI133" i="14" s="1"/>
  <c r="AY79" i="14"/>
  <c r="AY133" i="14" s="1"/>
  <c r="AD132" i="14"/>
  <c r="CJ79" i="14"/>
  <c r="CJ133" i="14" s="1"/>
  <c r="CX80" i="14"/>
  <c r="CX134" i="14" s="1"/>
  <c r="BE79" i="14"/>
  <c r="BE133" i="14" s="1"/>
  <c r="BA79" i="14"/>
  <c r="BA133" i="14" s="1"/>
  <c r="CW79" i="14"/>
  <c r="CW133" i="14" s="1"/>
  <c r="BZ80" i="14"/>
  <c r="BZ134" i="14" s="1"/>
  <c r="AE79" i="14"/>
  <c r="AE133" i="14" s="1"/>
  <c r="CA79" i="14"/>
  <c r="CA133" i="14" s="1"/>
  <c r="DI80" i="14"/>
  <c r="DI134" i="14" s="1"/>
  <c r="DG79" i="14"/>
  <c r="DG133" i="14" s="1"/>
  <c r="DN79" i="14"/>
  <c r="DN133" i="14" s="1"/>
  <c r="DJ79" i="14"/>
  <c r="DJ133" i="14" s="1"/>
  <c r="BR79" i="14"/>
  <c r="BR133" i="14" s="1"/>
  <c r="BN79" i="14"/>
  <c r="BN133" i="14" s="1"/>
  <c r="AN79" i="14"/>
  <c r="AN133" i="14" s="1"/>
  <c r="DB79" i="14"/>
  <c r="DB133" i="14" s="1"/>
  <c r="AQ221" i="14"/>
  <c r="CY80" i="14"/>
  <c r="CY134" i="14" s="1"/>
  <c r="DJ80" i="14"/>
  <c r="DJ134" i="14" s="1"/>
  <c r="CH80" i="14"/>
  <c r="CH134" i="14" s="1"/>
  <c r="DE79" i="14"/>
  <c r="DE133" i="14" s="1"/>
  <c r="BW79" i="14"/>
  <c r="BW133" i="14" s="1"/>
  <c r="DV79" i="14"/>
  <c r="DV133" i="14" s="1"/>
  <c r="BG79" i="14"/>
  <c r="BG133" i="14" s="1"/>
  <c r="AR80" i="14"/>
  <c r="AR134" i="14" s="1"/>
  <c r="DD79" i="14"/>
  <c r="DD133" i="14" s="1"/>
  <c r="DR80" i="14"/>
  <c r="DR134" i="14" s="1"/>
  <c r="EB80" i="14"/>
  <c r="EB134" i="14" s="1"/>
  <c r="CL79" i="14"/>
  <c r="CL133" i="14" s="1"/>
  <c r="BA80" i="14"/>
  <c r="BA134" i="14" s="1"/>
  <c r="EC72" i="14"/>
  <c r="EC126" i="14" s="1"/>
  <c r="AO79" i="14"/>
  <c r="AO133" i="14" s="1"/>
  <c r="AS80" i="14"/>
  <c r="AS134" i="14" s="1"/>
  <c r="BI79" i="14"/>
  <c r="BI133" i="14" s="1"/>
  <c r="DT79" i="14"/>
  <c r="DT133" i="14" s="1"/>
  <c r="BF79" i="14"/>
  <c r="BF133" i="14" s="1"/>
  <c r="BS80" i="14"/>
  <c r="BS134" i="14" s="1"/>
  <c r="R116" i="14"/>
  <c r="CQ80" i="14"/>
  <c r="CQ134" i="14" s="1"/>
  <c r="DV80" i="14"/>
  <c r="DV134" i="14" s="1"/>
  <c r="AP80" i="14"/>
  <c r="AP134" i="14" s="1"/>
  <c r="BG80" i="14"/>
  <c r="BG134" i="14" s="1"/>
  <c r="DW79" i="14"/>
  <c r="DW133" i="14" s="1"/>
  <c r="BU80" i="14"/>
  <c r="BU134" i="14" s="1"/>
  <c r="CK79" i="14"/>
  <c r="CK133" i="14" s="1"/>
  <c r="DX83" i="14"/>
  <c r="DX137" i="14" s="1"/>
  <c r="BR80" i="14"/>
  <c r="BR134" i="14" s="1"/>
  <c r="BV79" i="14"/>
  <c r="BV133" i="14" s="1"/>
  <c r="CT79" i="14"/>
  <c r="CT133" i="14" s="1"/>
  <c r="CW76" i="14"/>
  <c r="CW130" i="14" s="1"/>
  <c r="DA79" i="14"/>
  <c r="DA133" i="14" s="1"/>
  <c r="CJ80" i="14"/>
  <c r="CJ134" i="14" s="1"/>
  <c r="BB80" i="14"/>
  <c r="BB134" i="14" s="1"/>
  <c r="BJ80" i="14"/>
  <c r="BJ134" i="14" s="1"/>
  <c r="BS79" i="14"/>
  <c r="BS133" i="14" s="1"/>
  <c r="AT79" i="14"/>
  <c r="AT133" i="14" s="1"/>
  <c r="BY79" i="14"/>
  <c r="BY133" i="14" s="1"/>
  <c r="DC79" i="14"/>
  <c r="DC133" i="14" s="1"/>
  <c r="BT79" i="14"/>
  <c r="BT133" i="14" s="1"/>
  <c r="CN79" i="14"/>
  <c r="CN133" i="14" s="1"/>
  <c r="EA80" i="14"/>
  <c r="EA134" i="14" s="1"/>
  <c r="BD80" i="14"/>
  <c r="BD134" i="14" s="1"/>
  <c r="BH80" i="14"/>
  <c r="BH134" i="14" s="1"/>
  <c r="BQ80" i="14"/>
  <c r="BQ134" i="14" s="1"/>
  <c r="BU79" i="14"/>
  <c r="BU133" i="14" s="1"/>
  <c r="CS80" i="14"/>
  <c r="CS134" i="14" s="1"/>
  <c r="DX79" i="14"/>
  <c r="DX133" i="14" s="1"/>
  <c r="AG79" i="14"/>
  <c r="AG133" i="14" s="1"/>
  <c r="CC80" i="14"/>
  <c r="CC134" i="14" s="1"/>
  <c r="AQ79" i="14"/>
  <c r="AQ133" i="14" s="1"/>
  <c r="BM133" i="14"/>
  <c r="DD230" i="14"/>
  <c r="CX76" i="14"/>
  <c r="CX130" i="14" s="1"/>
  <c r="DL76" i="14"/>
  <c r="DL130" i="14" s="1"/>
  <c r="DU72" i="14"/>
  <c r="DU126" i="14" s="1"/>
  <c r="CM72" i="14"/>
  <c r="CM126" i="14" s="1"/>
  <c r="BE76" i="14"/>
  <c r="BE130" i="14" s="1"/>
  <c r="BN76" i="14"/>
  <c r="BN130" i="14" s="1"/>
  <c r="AO83" i="14"/>
  <c r="AO137" i="14" s="1"/>
  <c r="BO83" i="14"/>
  <c r="BO137" i="14" s="1"/>
  <c r="AZ76" i="14"/>
  <c r="AZ130" i="14" s="1"/>
  <c r="Y226" i="14"/>
  <c r="DV76" i="14"/>
  <c r="DV130" i="14" s="1"/>
  <c r="AN76" i="14"/>
  <c r="AN130" i="14" s="1"/>
  <c r="DC76" i="14"/>
  <c r="DC130" i="14" s="1"/>
  <c r="BT83" i="14"/>
  <c r="BT137" i="14" s="1"/>
  <c r="CU72" i="14"/>
  <c r="CU126" i="14" s="1"/>
  <c r="BX72" i="14"/>
  <c r="BX126" i="14" s="1"/>
  <c r="AB115" i="14"/>
  <c r="AD72" i="14"/>
  <c r="AD126" i="14" s="1"/>
  <c r="CM83" i="14"/>
  <c r="CM137" i="14" s="1"/>
  <c r="DK83" i="14"/>
  <c r="DK137" i="14" s="1"/>
  <c r="CV76" i="14"/>
  <c r="CV130" i="14" s="1"/>
  <c r="DR72" i="14"/>
  <c r="DR126" i="14" s="1"/>
  <c r="BZ76" i="14"/>
  <c r="BZ130" i="14" s="1"/>
  <c r="BC76" i="14"/>
  <c r="BC130" i="14" s="1"/>
  <c r="EE83" i="14"/>
  <c r="EE137" i="14" s="1"/>
  <c r="W34" i="14"/>
  <c r="T16" i="10" s="1"/>
  <c r="BB76" i="14"/>
  <c r="BB130" i="14" s="1"/>
  <c r="CS76" i="14"/>
  <c r="CS130" i="14" s="1"/>
  <c r="BJ76" i="14"/>
  <c r="BJ130" i="14" s="1"/>
  <c r="DE76" i="14"/>
  <c r="DE130" i="14" s="1"/>
  <c r="CQ72" i="14"/>
  <c r="CQ126" i="14" s="1"/>
  <c r="DY72" i="14"/>
  <c r="DY126" i="14" s="1"/>
  <c r="BS83" i="14"/>
  <c r="BS137" i="14" s="1"/>
  <c r="DU76" i="14"/>
  <c r="DU130" i="14" s="1"/>
  <c r="DE83" i="14"/>
  <c r="DE137" i="14" s="1"/>
  <c r="CB76" i="14"/>
  <c r="CB130" i="14" s="1"/>
  <c r="BW72" i="14"/>
  <c r="BW126" i="14" s="1"/>
  <c r="BP72" i="14"/>
  <c r="BP126" i="14" s="1"/>
  <c r="CZ83" i="14"/>
  <c r="CZ137" i="14" s="1"/>
  <c r="DG226" i="14"/>
  <c r="W221" i="14"/>
  <c r="DL118" i="14"/>
  <c r="Y113" i="14"/>
  <c r="BF77" i="14"/>
  <c r="BF131" i="14" s="1"/>
  <c r="V118" i="14"/>
  <c r="DV77" i="14"/>
  <c r="DV131" i="14" s="1"/>
  <c r="Y115" i="14"/>
  <c r="CV77" i="14"/>
  <c r="CV131" i="14" s="1"/>
  <c r="AB116" i="14"/>
  <c r="DP77" i="14"/>
  <c r="DP131" i="14" s="1"/>
  <c r="BB77" i="14"/>
  <c r="BB131" i="14" s="1"/>
  <c r="BP77" i="14"/>
  <c r="BP131" i="14" s="1"/>
  <c r="CH77" i="14"/>
  <c r="CH131" i="14" s="1"/>
  <c r="BZ118" i="14"/>
  <c r="AS77" i="14"/>
  <c r="AS131" i="14" s="1"/>
  <c r="EC77" i="14"/>
  <c r="EC131" i="14" s="1"/>
  <c r="DY77" i="14"/>
  <c r="DY131" i="14" s="1"/>
  <c r="BA77" i="14"/>
  <c r="BA131" i="14" s="1"/>
  <c r="CF122" i="14"/>
  <c r="BO77" i="14"/>
  <c r="BO131" i="14" s="1"/>
  <c r="BE77" i="14"/>
  <c r="BE131" i="14" s="1"/>
  <c r="DL77" i="14"/>
  <c r="DL131" i="14" s="1"/>
  <c r="AN77" i="14"/>
  <c r="AN131" i="14" s="1"/>
  <c r="CT77" i="14"/>
  <c r="CT131" i="14" s="1"/>
  <c r="CF77" i="14"/>
  <c r="CF131" i="14" s="1"/>
  <c r="X111" i="14"/>
  <c r="AX77" i="14"/>
  <c r="AX131" i="14" s="1"/>
  <c r="AB120" i="14"/>
  <c r="DP82" i="14"/>
  <c r="DP136" i="14" s="1"/>
  <c r="BW77" i="14"/>
  <c r="BW131" i="14" s="1"/>
  <c r="CM77" i="14"/>
  <c r="CM131" i="14" s="1"/>
  <c r="T116" i="14"/>
  <c r="T224" i="14"/>
  <c r="BU76" i="14"/>
  <c r="BU130" i="14" s="1"/>
  <c r="BI76" i="14"/>
  <c r="BI130" i="14" s="1"/>
  <c r="DT76" i="14"/>
  <c r="DT130" i="14" s="1"/>
  <c r="S120" i="14"/>
  <c r="S228" i="14"/>
  <c r="DM76" i="14"/>
  <c r="DK76" i="14"/>
  <c r="DK130" i="14" s="1"/>
  <c r="AV76" i="14"/>
  <c r="DX76" i="14"/>
  <c r="DX130" i="14" s="1"/>
  <c r="CK76" i="14"/>
  <c r="CK130" i="14" s="1"/>
  <c r="BL76" i="14"/>
  <c r="BL130" i="14" s="1"/>
  <c r="EA76" i="14"/>
  <c r="EA130" i="14" s="1"/>
  <c r="AH76" i="14"/>
  <c r="AH130" i="14" s="1"/>
  <c r="BY76" i="14"/>
  <c r="BY130" i="14" s="1"/>
  <c r="AC76" i="14"/>
  <c r="AC130" i="14" s="1"/>
  <c r="DB76" i="14"/>
  <c r="DB130" i="14" s="1"/>
  <c r="BS76" i="14"/>
  <c r="BS130" i="14" s="1"/>
  <c r="CT76" i="14"/>
  <c r="CT130" i="14" s="1"/>
  <c r="BF76" i="14"/>
  <c r="BF130" i="14" s="1"/>
  <c r="AO76" i="14"/>
  <c r="AO130" i="14" s="1"/>
  <c r="EC76" i="14"/>
  <c r="EC130" i="14" s="1"/>
  <c r="CL76" i="14"/>
  <c r="CL130" i="14" s="1"/>
  <c r="BA76" i="14"/>
  <c r="BA130" i="14" s="1"/>
  <c r="AY76" i="14"/>
  <c r="AY130" i="14" s="1"/>
  <c r="AI76" i="14"/>
  <c r="AI130" i="14" s="1"/>
  <c r="CU76" i="14"/>
  <c r="CU130" i="14" s="1"/>
  <c r="DP76" i="14"/>
  <c r="DP130" i="14" s="1"/>
  <c r="AK76" i="14"/>
  <c r="AK130" i="14" s="1"/>
  <c r="CP76" i="14"/>
  <c r="CP130" i="14" s="1"/>
  <c r="DR76" i="14"/>
  <c r="DR130" i="14" s="1"/>
  <c r="AG76" i="14"/>
  <c r="AG130" i="14" s="1"/>
  <c r="DS76" i="14"/>
  <c r="DS130" i="14" s="1"/>
  <c r="DH76" i="14"/>
  <c r="DH130" i="14" s="1"/>
  <c r="DW76" i="14"/>
  <c r="DW130" i="14" s="1"/>
  <c r="DN76" i="14"/>
  <c r="DN130" i="14" s="1"/>
  <c r="DJ76" i="14"/>
  <c r="DJ130" i="14" s="1"/>
  <c r="BD76" i="14"/>
  <c r="BD130" i="14" s="1"/>
  <c r="AP76" i="14"/>
  <c r="AP130" i="14" s="1"/>
  <c r="BW76" i="14"/>
  <c r="BW130" i="14" s="1"/>
  <c r="DA76" i="14"/>
  <c r="DA130" i="14" s="1"/>
  <c r="AW76" i="14"/>
  <c r="AW130" i="14" s="1"/>
  <c r="DY76" i="14"/>
  <c r="DY130" i="14" s="1"/>
  <c r="BT76" i="14"/>
  <c r="BT130" i="14" s="1"/>
  <c r="CY76" i="14"/>
  <c r="AQ76" i="14"/>
  <c r="AQ130" i="14" s="1"/>
  <c r="EB76" i="14"/>
  <c r="EB130" i="14" s="1"/>
  <c r="BH76" i="14"/>
  <c r="BH130" i="14" s="1"/>
  <c r="BX76" i="14"/>
  <c r="BX130" i="14" s="1"/>
  <c r="BP76" i="14"/>
  <c r="BP130" i="14" s="1"/>
  <c r="AT76" i="14"/>
  <c r="AT130" i="14" s="1"/>
  <c r="DZ76" i="14"/>
  <c r="DZ130" i="14" s="1"/>
  <c r="AD76" i="14"/>
  <c r="AD130" i="14" s="1"/>
  <c r="CA76" i="14"/>
  <c r="CA130" i="14" s="1"/>
  <c r="DO76" i="14"/>
  <c r="DO130" i="14" s="1"/>
  <c r="DF76" i="14"/>
  <c r="DF130" i="14" s="1"/>
  <c r="AX76" i="14"/>
  <c r="AX130" i="14" s="1"/>
  <c r="ED76" i="14"/>
  <c r="ED130" i="14" s="1"/>
  <c r="BO76" i="14"/>
  <c r="BO130" i="14" s="1"/>
  <c r="AJ76" i="14"/>
  <c r="AJ130" i="14" s="1"/>
  <c r="CD76" i="14"/>
  <c r="CD130" i="14" s="1"/>
  <c r="DI76" i="14"/>
  <c r="DI130" i="14" s="1"/>
  <c r="DD76" i="14"/>
  <c r="DD130" i="14" s="1"/>
  <c r="CR76" i="14"/>
  <c r="CR130" i="14" s="1"/>
  <c r="BK76" i="14"/>
  <c r="BK130" i="14" s="1"/>
  <c r="AU76" i="14"/>
  <c r="AU130" i="14" s="1"/>
  <c r="CJ76" i="14"/>
  <c r="CJ130" i="14" s="1"/>
  <c r="AS76" i="14"/>
  <c r="AS130" i="14" s="1"/>
  <c r="CC76" i="14"/>
  <c r="CC130" i="14" s="1"/>
  <c r="DQ76" i="14"/>
  <c r="DQ130" i="14" s="1"/>
  <c r="CI76" i="14"/>
  <c r="CI130" i="14" s="1"/>
  <c r="CZ76" i="14"/>
  <c r="CZ130" i="14" s="1"/>
  <c r="BM76" i="14"/>
  <c r="BM130" i="14" s="1"/>
  <c r="EE76" i="14"/>
  <c r="EE130" i="14" s="1"/>
  <c r="BR76" i="14"/>
  <c r="BR130" i="14" s="1"/>
  <c r="AM76" i="14"/>
  <c r="AM130" i="14" s="1"/>
  <c r="AE76" i="14"/>
  <c r="AE130" i="14" s="1"/>
  <c r="CF76" i="14"/>
  <c r="CF130" i="14" s="1"/>
  <c r="Y111" i="14"/>
  <c r="Y34" i="14"/>
  <c r="V16" i="10" s="1"/>
  <c r="U16" i="5" s="1"/>
  <c r="Y219" i="14"/>
  <c r="T111" i="14"/>
  <c r="T219" i="14"/>
  <c r="Q226" i="14"/>
  <c r="Q34" i="14"/>
  <c r="N16" i="10" s="1"/>
  <c r="M16" i="5" s="1"/>
  <c r="Q118" i="14"/>
  <c r="X34" i="14"/>
  <c r="U16" i="10" s="1"/>
  <c r="CH76" i="14"/>
  <c r="CH130" i="14" s="1"/>
  <c r="CY72" i="14"/>
  <c r="CY126" i="14" s="1"/>
  <c r="DI72" i="14"/>
  <c r="DI126" i="14" s="1"/>
  <c r="CI72" i="14"/>
  <c r="CI126" i="14" s="1"/>
  <c r="BK72" i="14"/>
  <c r="BK126" i="14" s="1"/>
  <c r="CX72" i="14"/>
  <c r="CX126" i="14" s="1"/>
  <c r="AX72" i="14"/>
  <c r="AX126" i="14" s="1"/>
  <c r="CB72" i="14"/>
  <c r="CB126" i="14" s="1"/>
  <c r="AN72" i="14"/>
  <c r="AN126" i="14" s="1"/>
  <c r="AJ72" i="14"/>
  <c r="AJ126" i="14" s="1"/>
  <c r="DL72" i="14"/>
  <c r="DL126" i="14" s="1"/>
  <c r="BI72" i="14"/>
  <c r="BI126" i="14" s="1"/>
  <c r="BE72" i="14"/>
  <c r="BE126" i="14" s="1"/>
  <c r="BA72" i="14"/>
  <c r="BA126" i="14" s="1"/>
  <c r="CN72" i="14"/>
  <c r="CN126" i="14" s="1"/>
  <c r="AU72" i="14"/>
  <c r="AU126" i="14" s="1"/>
  <c r="DB72" i="14"/>
  <c r="DB126" i="14" s="1"/>
  <c r="CJ72" i="14"/>
  <c r="CJ126" i="14" s="1"/>
  <c r="BR72" i="14"/>
  <c r="BR126" i="14" s="1"/>
  <c r="BN72" i="14"/>
  <c r="BN126" i="14" s="1"/>
  <c r="DA72" i="14"/>
  <c r="DA126" i="14" s="1"/>
  <c r="DG72" i="14"/>
  <c r="DG126" i="14" s="1"/>
  <c r="DM72" i="14"/>
  <c r="DM126" i="14" s="1"/>
  <c r="CK72" i="14"/>
  <c r="CK126" i="14" s="1"/>
  <c r="BM72" i="14"/>
  <c r="BM126" i="14" s="1"/>
  <c r="CF72" i="14"/>
  <c r="CF126" i="14" s="1"/>
  <c r="CW72" i="14"/>
  <c r="CW126" i="14" s="1"/>
  <c r="DQ72" i="14"/>
  <c r="DQ126" i="14" s="1"/>
  <c r="AR72" i="14"/>
  <c r="AR126" i="14" s="1"/>
  <c r="CO72" i="14"/>
  <c r="CO126" i="14" s="1"/>
  <c r="BQ72" i="14"/>
  <c r="BQ126" i="14" s="1"/>
  <c r="CR72" i="14"/>
  <c r="CR126" i="14" s="1"/>
  <c r="AH72" i="14"/>
  <c r="AH126" i="14" s="1"/>
  <c r="DC72" i="14"/>
  <c r="DC126" i="14" s="1"/>
  <c r="DF72" i="14"/>
  <c r="DF126" i="14" s="1"/>
  <c r="BV72" i="14"/>
  <c r="BV126" i="14" s="1"/>
  <c r="AK72" i="14"/>
  <c r="AK126" i="14" s="1"/>
  <c r="AG72" i="14"/>
  <c r="AG126" i="14" s="1"/>
  <c r="AV72" i="14"/>
  <c r="AV126" i="14" s="1"/>
  <c r="CS72" i="14"/>
  <c r="CS126" i="14" s="1"/>
  <c r="BU72" i="14"/>
  <c r="BU126" i="14" s="1"/>
  <c r="EA72" i="14"/>
  <c r="EA126" i="14" s="1"/>
  <c r="DW72" i="14"/>
  <c r="DW126" i="14" s="1"/>
  <c r="CV72" i="14"/>
  <c r="CV126" i="14" s="1"/>
  <c r="BZ72" i="14"/>
  <c r="BZ126" i="14" s="1"/>
  <c r="AC72" i="14"/>
  <c r="AC126" i="14" s="1"/>
  <c r="AO72" i="14"/>
  <c r="AO126" i="14" s="1"/>
  <c r="AS72" i="14"/>
  <c r="AS126" i="14" s="1"/>
  <c r="DE72" i="14"/>
  <c r="DE126" i="14" s="1"/>
  <c r="DJ72" i="14"/>
  <c r="DJ126" i="14" s="1"/>
  <c r="DD72" i="14"/>
  <c r="DD126" i="14" s="1"/>
  <c r="CC72" i="14"/>
  <c r="CC126" i="14" s="1"/>
  <c r="AZ72" i="14"/>
  <c r="DX72" i="14"/>
  <c r="DX126" i="14" s="1"/>
  <c r="BD72" i="14"/>
  <c r="BD126" i="14" s="1"/>
  <c r="EE72" i="14"/>
  <c r="EE126" i="14" s="1"/>
  <c r="BY72" i="14"/>
  <c r="BY126" i="14" s="1"/>
  <c r="AW72" i="14"/>
  <c r="AW126" i="14" s="1"/>
  <c r="DO72" i="14"/>
  <c r="DO126" i="14" s="1"/>
  <c r="CG72" i="14"/>
  <c r="CG126" i="14" s="1"/>
  <c r="DK72" i="14"/>
  <c r="DK126" i="14" s="1"/>
  <c r="CZ72" i="14"/>
  <c r="CZ126" i="14" s="1"/>
  <c r="EB72" i="14"/>
  <c r="EB126" i="14" s="1"/>
  <c r="BH72" i="14"/>
  <c r="BH126" i="14" s="1"/>
  <c r="BL72" i="14"/>
  <c r="BL126" i="14" s="1"/>
  <c r="AL72" i="14"/>
  <c r="AL126" i="14" s="1"/>
  <c r="AQ72" i="14"/>
  <c r="AQ126" i="14" s="1"/>
  <c r="CA72" i="14"/>
  <c r="CA126" i="14" s="1"/>
  <c r="AM72" i="14"/>
  <c r="BC72" i="14"/>
  <c r="BC126" i="14" s="1"/>
  <c r="DZ72" i="14"/>
  <c r="DZ126" i="14" s="1"/>
  <c r="DV72" i="14"/>
  <c r="DV126" i="14" s="1"/>
  <c r="BJ72" i="14"/>
  <c r="BJ126" i="14" s="1"/>
  <c r="BF72" i="14"/>
  <c r="BF126" i="14" s="1"/>
  <c r="BB72" i="14"/>
  <c r="CH72" i="14"/>
  <c r="CH126" i="14" s="1"/>
  <c r="CD72" i="14"/>
  <c r="CD126" i="14" s="1"/>
  <c r="AY72" i="14"/>
  <c r="AY126" i="14" s="1"/>
  <c r="CE72" i="14"/>
  <c r="CE126" i="14" s="1"/>
  <c r="BG72" i="14"/>
  <c r="BG126" i="14" s="1"/>
  <c r="AT72" i="14"/>
  <c r="AT126" i="14" s="1"/>
  <c r="AP72" i="14"/>
  <c r="AP126" i="14" s="1"/>
  <c r="ED72" i="14"/>
  <c r="ED126" i="14" s="1"/>
  <c r="AF72" i="14"/>
  <c r="AF126" i="14" s="1"/>
  <c r="DT72" i="14"/>
  <c r="DT126" i="14" s="1"/>
  <c r="DP72" i="14"/>
  <c r="DP126" i="14" s="1"/>
  <c r="DH72" i="14"/>
  <c r="DH126" i="14" s="1"/>
  <c r="CH83" i="14"/>
  <c r="CH137" i="14" s="1"/>
  <c r="AD83" i="14"/>
  <c r="AD137" i="14" s="1"/>
  <c r="DR83" i="14"/>
  <c r="DR137" i="14" s="1"/>
  <c r="AQ83" i="14"/>
  <c r="AQ137" i="14" s="1"/>
  <c r="CA83" i="14"/>
  <c r="CA137" i="14" s="1"/>
  <c r="AE83" i="14"/>
  <c r="AE137" i="14" s="1"/>
  <c r="BJ83" i="14"/>
  <c r="BJ137" i="14" s="1"/>
  <c r="BF83" i="14"/>
  <c r="BF137" i="14" s="1"/>
  <c r="DT83" i="14"/>
  <c r="DT137" i="14" s="1"/>
  <c r="DP83" i="14"/>
  <c r="DP137" i="14" s="1"/>
  <c r="CP83" i="14"/>
  <c r="CP137" i="14" s="1"/>
  <c r="BC83" i="14"/>
  <c r="BC137" i="14" s="1"/>
  <c r="DZ83" i="14"/>
  <c r="DZ137" i="14" s="1"/>
  <c r="AN83" i="14"/>
  <c r="AN137" i="14" s="1"/>
  <c r="AF83" i="14"/>
  <c r="AF137" i="14" s="1"/>
  <c r="DL83" i="14"/>
  <c r="DL137" i="14" s="1"/>
  <c r="BI83" i="14"/>
  <c r="BE83" i="14"/>
  <c r="BE137" i="14" s="1"/>
  <c r="BA83" i="14"/>
  <c r="BA137" i="14" s="1"/>
  <c r="CB83" i="14"/>
  <c r="CB137" i="14" s="1"/>
  <c r="BR83" i="14"/>
  <c r="BR137" i="14" s="1"/>
  <c r="AK83" i="14"/>
  <c r="AK137" i="14" s="1"/>
  <c r="AZ83" i="14"/>
  <c r="AZ137" i="14" s="1"/>
  <c r="CS83" i="14"/>
  <c r="CS137" i="14" s="1"/>
  <c r="BD83" i="14"/>
  <c r="BD137" i="14" s="1"/>
  <c r="AL83" i="14"/>
  <c r="AL137" i="14" s="1"/>
  <c r="CE83" i="14"/>
  <c r="CE137" i="14" s="1"/>
  <c r="AI83" i="14"/>
  <c r="AI137" i="14" s="1"/>
  <c r="AJ83" i="14"/>
  <c r="AJ137" i="14" s="1"/>
  <c r="CF83" i="14"/>
  <c r="CF137" i="14" s="1"/>
  <c r="AS83" i="14"/>
  <c r="AS137" i="14" s="1"/>
  <c r="CD83" i="14"/>
  <c r="CD137" i="14" s="1"/>
  <c r="CY83" i="14"/>
  <c r="CY137" i="14" s="1"/>
  <c r="DI83" i="14"/>
  <c r="DI137" i="14" s="1"/>
  <c r="CI83" i="14"/>
  <c r="CI137" i="14" s="1"/>
  <c r="BK83" i="14"/>
  <c r="BK137" i="14" s="1"/>
  <c r="BG83" i="14"/>
  <c r="BG137" i="14" s="1"/>
  <c r="CX83" i="14"/>
  <c r="CX137" i="14" s="1"/>
  <c r="AX83" i="14"/>
  <c r="AX137" i="14" s="1"/>
  <c r="AT83" i="14"/>
  <c r="AT137" i="14" s="1"/>
  <c r="AP83" i="14"/>
  <c r="AP137" i="14" s="1"/>
  <c r="AY83" i="14"/>
  <c r="AY137" i="14" s="1"/>
  <c r="DM83" i="14"/>
  <c r="DM137" i="14" s="1"/>
  <c r="BM83" i="14"/>
  <c r="BM137" i="14" s="1"/>
  <c r="ED83" i="14"/>
  <c r="ED137" i="14" s="1"/>
  <c r="BN83" i="14"/>
  <c r="BN137" i="14" s="1"/>
  <c r="BY83" i="14"/>
  <c r="BY137" i="14" s="1"/>
  <c r="DG83" i="14"/>
  <c r="DG137" i="14" s="1"/>
  <c r="CO83" i="14"/>
  <c r="CO137" i="14" s="1"/>
  <c r="CR83" i="14"/>
  <c r="CR137" i="14" s="1"/>
  <c r="CN83" i="14"/>
  <c r="CN137" i="14" s="1"/>
  <c r="AU83" i="14"/>
  <c r="AU137" i="14" s="1"/>
  <c r="DF83" i="14"/>
  <c r="DF137" i="14" s="1"/>
  <c r="DB83" i="14"/>
  <c r="DB137" i="14" s="1"/>
  <c r="AW83" i="14"/>
  <c r="AW137" i="14" s="1"/>
  <c r="AG83" i="14"/>
  <c r="AG137" i="14" s="1"/>
  <c r="DQ83" i="14"/>
  <c r="DQ137" i="14" s="1"/>
  <c r="AV83" i="14"/>
  <c r="AV137" i="14" s="1"/>
  <c r="AR83" i="14"/>
  <c r="AR137" i="14" s="1"/>
  <c r="CK83" i="14"/>
  <c r="CK137" i="14" s="1"/>
  <c r="BQ83" i="14"/>
  <c r="BQ137" i="14" s="1"/>
  <c r="EA83" i="14"/>
  <c r="EA137" i="14" s="1"/>
  <c r="DW83" i="14"/>
  <c r="DW137" i="14" s="1"/>
  <c r="CV83" i="14"/>
  <c r="CV137" i="14" s="1"/>
  <c r="BZ83" i="14"/>
  <c r="BZ137" i="14" s="1"/>
  <c r="AH83" i="14"/>
  <c r="AH137" i="14" s="1"/>
  <c r="DC83" i="14"/>
  <c r="DC137" i="14" s="1"/>
  <c r="AC83" i="14"/>
  <c r="AC137" i="14" s="1"/>
  <c r="CJ83" i="14"/>
  <c r="CJ137" i="14" s="1"/>
  <c r="BW83" i="14"/>
  <c r="BW137" i="14" s="1"/>
  <c r="DY83" i="14"/>
  <c r="DY137" i="14" s="1"/>
  <c r="CT83" i="14"/>
  <c r="CT137" i="14" s="1"/>
  <c r="CL83" i="14"/>
  <c r="CL137" i="14" s="1"/>
  <c r="DN83" i="14"/>
  <c r="DN137" i="14" s="1"/>
  <c r="AM83" i="14"/>
  <c r="AM137" i="14" s="1"/>
  <c r="BX83" i="14"/>
  <c r="BX137" i="14" s="1"/>
  <c r="BP83" i="14"/>
  <c r="BP137" i="14" s="1"/>
  <c r="DV83" i="14"/>
  <c r="DV137" i="14" s="1"/>
  <c r="CU83" i="14"/>
  <c r="CU137" i="14" s="1"/>
  <c r="CQ83" i="14"/>
  <c r="CQ137" i="14" s="1"/>
  <c r="BB83" i="14"/>
  <c r="BB137" i="14" s="1"/>
  <c r="EC83" i="14"/>
  <c r="EC137" i="14" s="1"/>
  <c r="DU83" i="14"/>
  <c r="DU137" i="14" s="1"/>
  <c r="BV83" i="14"/>
  <c r="BV137" i="14" s="1"/>
  <c r="CC83" i="14"/>
  <c r="CC137" i="14" s="1"/>
  <c r="U228" i="14"/>
  <c r="U120" i="14"/>
  <c r="U34" i="14"/>
  <c r="R16" i="10" s="1"/>
  <c r="X228" i="14"/>
  <c r="X120" i="14"/>
  <c r="V223" i="14"/>
  <c r="V115" i="14"/>
  <c r="V34" i="14"/>
  <c r="S16" i="10" s="1"/>
  <c r="R16" i="5" s="1"/>
  <c r="X118" i="14"/>
  <c r="X226" i="14"/>
  <c r="T34" i="14"/>
  <c r="Q16" i="10" s="1"/>
  <c r="P16" i="5" s="1"/>
  <c r="CO76" i="14"/>
  <c r="CO130" i="14" s="1"/>
  <c r="S34" i="14"/>
  <c r="P16" i="10" s="1"/>
  <c r="O16" i="5" s="1"/>
  <c r="AA34" i="14"/>
  <c r="X16" i="10" s="1"/>
  <c r="W16" i="5" s="1"/>
  <c r="CN76" i="14"/>
  <c r="CN130" i="14" s="1"/>
  <c r="DJ83" i="14"/>
  <c r="DJ137" i="14" s="1"/>
  <c r="BL83" i="14"/>
  <c r="BL137" i="14" s="1"/>
  <c r="AI72" i="14"/>
  <c r="AI126" i="14" s="1"/>
  <c r="X224" i="14"/>
  <c r="DN72" i="14"/>
  <c r="DN126" i="14" s="1"/>
  <c r="BG76" i="14"/>
  <c r="BG130" i="14" s="1"/>
  <c r="DH83" i="14"/>
  <c r="DH137" i="14" s="1"/>
  <c r="DS83" i="14"/>
  <c r="DS137" i="14" s="1"/>
  <c r="CG76" i="14"/>
  <c r="CG130" i="14" s="1"/>
  <c r="AA120" i="14"/>
  <c r="AA228" i="14"/>
  <c r="AR76" i="14"/>
  <c r="AR130" i="14" s="1"/>
  <c r="AE72" i="14"/>
  <c r="AE126" i="14" s="1"/>
  <c r="CG83" i="14"/>
  <c r="CG137" i="14" s="1"/>
  <c r="DG76" i="14"/>
  <c r="DG130" i="14" s="1"/>
  <c r="BA226" i="14"/>
  <c r="BN226" i="14"/>
  <c r="DE221" i="14"/>
  <c r="BV76" i="14"/>
  <c r="BV130" i="14" s="1"/>
  <c r="DA83" i="14"/>
  <c r="DA137" i="14" s="1"/>
  <c r="AF76" i="14"/>
  <c r="AF130" i="14" s="1"/>
  <c r="BO72" i="14"/>
  <c r="BO126" i="14" s="1"/>
  <c r="CM76" i="14"/>
  <c r="CM130" i="14" s="1"/>
  <c r="CQ76" i="14"/>
  <c r="CQ130" i="14" s="1"/>
  <c r="BT72" i="14"/>
  <c r="BT126" i="14" s="1"/>
  <c r="EB83" i="14"/>
  <c r="EB137" i="14" s="1"/>
  <c r="DD83" i="14"/>
  <c r="DD137" i="14" s="1"/>
  <c r="DO83" i="14"/>
  <c r="DO137" i="14" s="1"/>
  <c r="CE76" i="14"/>
  <c r="CE130" i="14" s="1"/>
  <c r="AL76" i="14"/>
  <c r="AL130" i="14" s="1"/>
  <c r="CN230" i="14"/>
  <c r="V120" i="14"/>
  <c r="BN77" i="14"/>
  <c r="BN131" i="14" s="1"/>
  <c r="DT77" i="14"/>
  <c r="DT131" i="14" s="1"/>
  <c r="DW77" i="14"/>
  <c r="DW131" i="14" s="1"/>
  <c r="CI77" i="14"/>
  <c r="CI131" i="14" s="1"/>
  <c r="CD77" i="14"/>
  <c r="CD131" i="14" s="1"/>
  <c r="R223" i="14"/>
  <c r="R34" i="14"/>
  <c r="O16" i="10" s="1"/>
  <c r="DD77" i="14"/>
  <c r="DD131" i="14" s="1"/>
  <c r="AM77" i="14"/>
  <c r="AM131" i="14" s="1"/>
  <c r="CA118" i="14"/>
  <c r="AQ226" i="14"/>
  <c r="DN230" i="14"/>
  <c r="S111" i="14"/>
  <c r="EB77" i="14"/>
  <c r="EB131" i="14" s="1"/>
  <c r="S219" i="14"/>
  <c r="DE77" i="14"/>
  <c r="DE131" i="14" s="1"/>
  <c r="BT77" i="14"/>
  <c r="BT131" i="14" s="1"/>
  <c r="AY75" i="14"/>
  <c r="AY129" i="14" s="1"/>
  <c r="BW74" i="14"/>
  <c r="BW128" i="14" s="1"/>
  <c r="DO82" i="14"/>
  <c r="DO136" i="14" s="1"/>
  <c r="Z34" i="14"/>
  <c r="W16" i="10" s="1"/>
  <c r="Z221" i="14"/>
  <c r="Z113" i="14"/>
  <c r="DL87" i="14"/>
  <c r="DL141" i="14" s="1"/>
  <c r="AJ82" i="14"/>
  <c r="AJ136" i="14" s="1"/>
  <c r="BS74" i="14"/>
  <c r="BS128" i="14" s="1"/>
  <c r="AV87" i="14"/>
  <c r="AV141" i="14" s="1"/>
  <c r="AF87" i="14"/>
  <c r="AF141" i="14" s="1"/>
  <c r="AL82" i="14"/>
  <c r="AL136" i="14" s="1"/>
  <c r="AB111" i="14"/>
  <c r="AB219" i="14"/>
  <c r="AB34" i="14"/>
  <c r="Y16" i="10" s="1"/>
  <c r="X16" i="5" s="1"/>
  <c r="CZ74" i="14"/>
  <c r="CZ128" i="14" s="1"/>
  <c r="DQ87" i="14"/>
  <c r="DQ141" i="14" s="1"/>
  <c r="EB87" i="14"/>
  <c r="EB141" i="14" s="1"/>
  <c r="AU87" i="14"/>
  <c r="CZ87" i="14"/>
  <c r="CZ141" i="14" s="1"/>
  <c r="AZ87" i="14"/>
  <c r="AZ141" i="14" s="1"/>
  <c r="AR87" i="14"/>
  <c r="AR141" i="14" s="1"/>
  <c r="BQ87" i="14"/>
  <c r="BQ141" i="14" s="1"/>
  <c r="CN87" i="14"/>
  <c r="CN141" i="14" s="1"/>
  <c r="BT87" i="14"/>
  <c r="BT141" i="14" s="1"/>
  <c r="BR87" i="14"/>
  <c r="BR141" i="14" s="1"/>
  <c r="CD87" i="14"/>
  <c r="CS87" i="14"/>
  <c r="CS141" i="14" s="1"/>
  <c r="EA87" i="14"/>
  <c r="EA141" i="14" s="1"/>
  <c r="DB87" i="14"/>
  <c r="DB141" i="14" s="1"/>
  <c r="AT87" i="14"/>
  <c r="AT141" i="14" s="1"/>
  <c r="AP87" i="14"/>
  <c r="AP141" i="14" s="1"/>
  <c r="CU87" i="14"/>
  <c r="CU141" i="14" s="1"/>
  <c r="CQ87" i="14"/>
  <c r="CQ141" i="14" s="1"/>
  <c r="BO87" i="14"/>
  <c r="BO141" i="14" s="1"/>
  <c r="AL87" i="14"/>
  <c r="AL141" i="14" s="1"/>
  <c r="DM87" i="14"/>
  <c r="DM141" i="14" s="1"/>
  <c r="DS87" i="14"/>
  <c r="DS141" i="14" s="1"/>
  <c r="DK87" i="14"/>
  <c r="DK141" i="14" s="1"/>
  <c r="BM87" i="14"/>
  <c r="BM141" i="14" s="1"/>
  <c r="CR87" i="14"/>
  <c r="CR141" i="14" s="1"/>
  <c r="BN87" i="14"/>
  <c r="BN141" i="14" s="1"/>
  <c r="DR87" i="14"/>
  <c r="DR141" i="14" s="1"/>
  <c r="AM87" i="14"/>
  <c r="AM141" i="14" s="1"/>
  <c r="BL87" i="14"/>
  <c r="BL141" i="14" s="1"/>
  <c r="EE87" i="14"/>
  <c r="EE141" i="14" s="1"/>
  <c r="CF87" i="14"/>
  <c r="CF141" i="14" s="1"/>
  <c r="DA87" i="14"/>
  <c r="DA141" i="14" s="1"/>
  <c r="AW87" i="14"/>
  <c r="AW141" i="14" s="1"/>
  <c r="DU87" i="14"/>
  <c r="DU141" i="14" s="1"/>
  <c r="DW87" i="14"/>
  <c r="DW141" i="14" s="1"/>
  <c r="BP87" i="14"/>
  <c r="BP141" i="14" s="1"/>
  <c r="DC87" i="14"/>
  <c r="DC141" i="14" s="1"/>
  <c r="BB87" i="14"/>
  <c r="BB141" i="14" s="1"/>
  <c r="CH87" i="14"/>
  <c r="CH141" i="14" s="1"/>
  <c r="AD87" i="14"/>
  <c r="AD141" i="14" s="1"/>
  <c r="DG87" i="14"/>
  <c r="DG141" i="14" s="1"/>
  <c r="AE87" i="14"/>
  <c r="AE141" i="14" s="1"/>
  <c r="AH87" i="14"/>
  <c r="AH141" i="14" s="1"/>
  <c r="CX87" i="14"/>
  <c r="CX141" i="14" s="1"/>
  <c r="AX87" i="14"/>
  <c r="AX141" i="14" s="1"/>
  <c r="BW87" i="14"/>
  <c r="BS87" i="14"/>
  <c r="BS141" i="14" s="1"/>
  <c r="DE87" i="14"/>
  <c r="DE141" i="14" s="1"/>
  <c r="CL87" i="14"/>
  <c r="CL141" i="14" s="1"/>
  <c r="AQ87" i="14"/>
  <c r="AQ141" i="14" s="1"/>
  <c r="AK87" i="14"/>
  <c r="AK141" i="14" s="1"/>
  <c r="DO87" i="14"/>
  <c r="DO141" i="14" s="1"/>
  <c r="BD87" i="14"/>
  <c r="BD141" i="14" s="1"/>
  <c r="BC87" i="14"/>
  <c r="BC141" i="14" s="1"/>
  <c r="ED87" i="14"/>
  <c r="ED141" i="14" s="1"/>
  <c r="BJ87" i="14"/>
  <c r="BJ141" i="14" s="1"/>
  <c r="AJ87" i="14"/>
  <c r="AJ141" i="14" s="1"/>
  <c r="DT87" i="14"/>
  <c r="DT141" i="14" s="1"/>
  <c r="EC87" i="14"/>
  <c r="EC141" i="14" s="1"/>
  <c r="CT87" i="14"/>
  <c r="CT141" i="14" s="1"/>
  <c r="BV87" i="14"/>
  <c r="BV141" i="14" s="1"/>
  <c r="BI87" i="14"/>
  <c r="BI141" i="14" s="1"/>
  <c r="AY87" i="14"/>
  <c r="AY141" i="14" s="1"/>
  <c r="AG87" i="14"/>
  <c r="AG141" i="14" s="1"/>
  <c r="DI87" i="14"/>
  <c r="DI141" i="14" s="1"/>
  <c r="CI87" i="14"/>
  <c r="CI141" i="14" s="1"/>
  <c r="AI87" i="14"/>
  <c r="AI141" i="14" s="1"/>
  <c r="DH87" i="14"/>
  <c r="DH141" i="14" s="1"/>
  <c r="BH87" i="14"/>
  <c r="BH141" i="14" s="1"/>
  <c r="CV87" i="14"/>
  <c r="CV141" i="14" s="1"/>
  <c r="BK87" i="14"/>
  <c r="BZ87" i="14"/>
  <c r="BZ141" i="14" s="1"/>
  <c r="AC87" i="14"/>
  <c r="AC141" i="14" s="1"/>
  <c r="DZ87" i="14"/>
  <c r="DZ141" i="14" s="1"/>
  <c r="CW87" i="14"/>
  <c r="CW141" i="14" s="1"/>
  <c r="DN87" i="14"/>
  <c r="DN141" i="14" s="1"/>
  <c r="CY87" i="14"/>
  <c r="CY141" i="14" s="1"/>
  <c r="CG87" i="14"/>
  <c r="CG141" i="14" s="1"/>
  <c r="CE87" i="14"/>
  <c r="CE141" i="14" s="1"/>
  <c r="DX87" i="14"/>
  <c r="DX141" i="14" s="1"/>
  <c r="BG87" i="14"/>
  <c r="BG141" i="14" s="1"/>
  <c r="BY87" i="14"/>
  <c r="BY141" i="14" s="1"/>
  <c r="CJ87" i="14"/>
  <c r="CJ141" i="14" s="1"/>
  <c r="CC87" i="14"/>
  <c r="CC141" i="14" s="1"/>
  <c r="CA87" i="14"/>
  <c r="CA141" i="14" s="1"/>
  <c r="CO87" i="14"/>
  <c r="CO141" i="14" s="1"/>
  <c r="CK87" i="14"/>
  <c r="CK141" i="14" s="1"/>
  <c r="BX87" i="14"/>
  <c r="BX141" i="14" s="1"/>
  <c r="DF87" i="14"/>
  <c r="DF141" i="14" s="1"/>
  <c r="BF87" i="14"/>
  <c r="BF141" i="14" s="1"/>
  <c r="AS87" i="14"/>
  <c r="AS141" i="14" s="1"/>
  <c r="BE87" i="14"/>
  <c r="BE141" i="14" s="1"/>
  <c r="BA87" i="14"/>
  <c r="BA141" i="14" s="1"/>
  <c r="CM87" i="14"/>
  <c r="CM141" i="14" s="1"/>
  <c r="DP87" i="14"/>
  <c r="DP141" i="14" s="1"/>
  <c r="AO87" i="14"/>
  <c r="AO141" i="14" s="1"/>
  <c r="DY87" i="14"/>
  <c r="DY141" i="14" s="1"/>
  <c r="CP87" i="14"/>
  <c r="CP141" i="14" s="1"/>
  <c r="CB87" i="14"/>
  <c r="CB141" i="14" s="1"/>
  <c r="DE82" i="14"/>
  <c r="DE136" i="14" s="1"/>
  <c r="AK74" i="14"/>
  <c r="AK128" i="14" s="1"/>
  <c r="BV74" i="14"/>
  <c r="BV128" i="14" s="1"/>
  <c r="AW82" i="14"/>
  <c r="BH82" i="14"/>
  <c r="BH136" i="14" s="1"/>
  <c r="BB74" i="14"/>
  <c r="BB128" i="14" s="1"/>
  <c r="DM82" i="14"/>
  <c r="DM136" i="14" s="1"/>
  <c r="DJ87" i="14"/>
  <c r="DJ141" i="14" s="1"/>
  <c r="AL75" i="14"/>
  <c r="AL129" i="14" s="1"/>
  <c r="DN75" i="14"/>
  <c r="DN129" i="14" s="1"/>
  <c r="AK75" i="14"/>
  <c r="AK129" i="14" s="1"/>
  <c r="DM75" i="14"/>
  <c r="DM129" i="14" s="1"/>
  <c r="DH75" i="14"/>
  <c r="DH129" i="14" s="1"/>
  <c r="AZ75" i="14"/>
  <c r="AZ129" i="14" s="1"/>
  <c r="EA75" i="14"/>
  <c r="EA129" i="14" s="1"/>
  <c r="DC75" i="14"/>
  <c r="DC129" i="14" s="1"/>
  <c r="CQ75" i="14"/>
  <c r="CQ129" i="14" s="1"/>
  <c r="AD75" i="14"/>
  <c r="AD129" i="14" s="1"/>
  <c r="DI75" i="14"/>
  <c r="EB75" i="14"/>
  <c r="CO75" i="14"/>
  <c r="CO129" i="14" s="1"/>
  <c r="BD75" i="14"/>
  <c r="BD129" i="14" s="1"/>
  <c r="CR75" i="14"/>
  <c r="CR129" i="14" s="1"/>
  <c r="BP75" i="14"/>
  <c r="BP129" i="14" s="1"/>
  <c r="DZ75" i="14"/>
  <c r="DZ129" i="14" s="1"/>
  <c r="BS75" i="14"/>
  <c r="BS129" i="14" s="1"/>
  <c r="DL75" i="14"/>
  <c r="DL129" i="14" s="1"/>
  <c r="DJ75" i="14"/>
  <c r="DJ129" i="14" s="1"/>
  <c r="AQ75" i="14"/>
  <c r="AE75" i="14"/>
  <c r="AE129" i="14" s="1"/>
  <c r="DK75" i="14"/>
  <c r="DK129" i="14" s="1"/>
  <c r="DD75" i="14"/>
  <c r="DD129" i="14" s="1"/>
  <c r="AV75" i="14"/>
  <c r="AV129" i="14" s="1"/>
  <c r="BU75" i="14"/>
  <c r="BU129" i="14" s="1"/>
  <c r="BG75" i="14"/>
  <c r="BG129" i="14" s="1"/>
  <c r="BJ75" i="14"/>
  <c r="BJ129" i="14" s="1"/>
  <c r="CB75" i="14"/>
  <c r="CB129" i="14" s="1"/>
  <c r="DA75" i="14"/>
  <c r="DA129" i="14" s="1"/>
  <c r="BA75" i="14"/>
  <c r="BA129" i="14" s="1"/>
  <c r="CH75" i="14"/>
  <c r="CH129" i="14" s="1"/>
  <c r="DG75" i="14"/>
  <c r="DG129" i="14" s="1"/>
  <c r="AG75" i="14"/>
  <c r="AG129" i="14" s="1"/>
  <c r="CA75" i="14"/>
  <c r="CA129" i="14" s="1"/>
  <c r="AP75" i="14"/>
  <c r="AP129" i="14" s="1"/>
  <c r="EC75" i="14"/>
  <c r="EC129" i="14" s="1"/>
  <c r="CG75" i="14"/>
  <c r="CG129" i="14" s="1"/>
  <c r="CN75" i="14"/>
  <c r="CN129" i="14" s="1"/>
  <c r="CX75" i="14"/>
  <c r="CX129" i="14" s="1"/>
  <c r="DV75" i="14"/>
  <c r="DV129" i="14" s="1"/>
  <c r="BF75" i="14"/>
  <c r="BF129" i="14" s="1"/>
  <c r="CJ75" i="14"/>
  <c r="CJ129" i="14" s="1"/>
  <c r="AS75" i="14"/>
  <c r="CI75" i="14"/>
  <c r="CI129" i="14" s="1"/>
  <c r="BQ75" i="14"/>
  <c r="BQ129" i="14" s="1"/>
  <c r="DW75" i="14"/>
  <c r="DW129" i="14" s="1"/>
  <c r="BC75" i="14"/>
  <c r="BC129" i="14" s="1"/>
  <c r="BZ75" i="14"/>
  <c r="BZ129" i="14" s="1"/>
  <c r="CM75" i="14"/>
  <c r="CM129" i="14" s="1"/>
  <c r="DT75" i="14"/>
  <c r="DT129" i="14" s="1"/>
  <c r="CW75" i="14"/>
  <c r="CW129" i="14" s="1"/>
  <c r="CT75" i="14"/>
  <c r="CT129" i="14" s="1"/>
  <c r="DQ75" i="14"/>
  <c r="DQ129" i="14" s="1"/>
  <c r="CZ75" i="14"/>
  <c r="CZ129" i="14" s="1"/>
  <c r="CK75" i="14"/>
  <c r="CK129" i="14" s="1"/>
  <c r="CV75" i="14"/>
  <c r="CV129" i="14" s="1"/>
  <c r="BX75" i="14"/>
  <c r="BX129" i="14" s="1"/>
  <c r="AU75" i="14"/>
  <c r="AU129" i="14" s="1"/>
  <c r="AC75" i="14"/>
  <c r="AC129" i="14" s="1"/>
  <c r="BO75" i="14"/>
  <c r="BO129" i="14" s="1"/>
  <c r="AN75" i="14"/>
  <c r="AN129" i="14" s="1"/>
  <c r="CD75" i="14"/>
  <c r="CD129" i="14" s="1"/>
  <c r="CY75" i="14"/>
  <c r="CY129" i="14" s="1"/>
  <c r="AM75" i="14"/>
  <c r="AM129" i="14" s="1"/>
  <c r="DX75" i="14"/>
  <c r="DX129" i="14" s="1"/>
  <c r="BL75" i="14"/>
  <c r="BL129" i="14" s="1"/>
  <c r="CP75" i="14"/>
  <c r="CP129" i="14" s="1"/>
  <c r="DR75" i="14"/>
  <c r="DR129" i="14" s="1"/>
  <c r="CC75" i="14"/>
  <c r="CC129" i="14" s="1"/>
  <c r="DS75" i="14"/>
  <c r="DS129" i="14" s="1"/>
  <c r="AR75" i="14"/>
  <c r="AR129" i="14" s="1"/>
  <c r="EE75" i="14"/>
  <c r="EE129" i="14" s="1"/>
  <c r="AX75" i="14"/>
  <c r="AX129" i="14" s="1"/>
  <c r="ED75" i="14"/>
  <c r="ED129" i="14" s="1"/>
  <c r="CU75" i="14"/>
  <c r="CU129" i="14" s="1"/>
  <c r="AJ75" i="14"/>
  <c r="AJ129" i="14" s="1"/>
  <c r="DP75" i="14"/>
  <c r="DP129" i="14" s="1"/>
  <c r="AO75" i="14"/>
  <c r="DY75" i="14"/>
  <c r="DY129" i="14" s="1"/>
  <c r="BN75" i="14"/>
  <c r="BI75" i="14"/>
  <c r="BI129" i="14" s="1"/>
  <c r="BM75" i="14"/>
  <c r="BT75" i="14"/>
  <c r="BT129" i="14" s="1"/>
  <c r="BK75" i="14"/>
  <c r="BK129" i="14" s="1"/>
  <c r="AH75" i="14"/>
  <c r="AH129" i="14" s="1"/>
  <c r="DF75" i="14"/>
  <c r="DF129" i="14" s="1"/>
  <c r="BW75" i="14"/>
  <c r="BW129" i="14" s="1"/>
  <c r="BB75" i="14"/>
  <c r="BB129" i="14" s="1"/>
  <c r="CE75" i="14"/>
  <c r="CE129" i="14" s="1"/>
  <c r="AI75" i="14"/>
  <c r="AI129" i="14" s="1"/>
  <c r="DO75" i="14"/>
  <c r="CS75" i="14"/>
  <c r="CS129" i="14" s="1"/>
  <c r="BH75" i="14"/>
  <c r="BH129" i="14" s="1"/>
  <c r="BY75" i="14"/>
  <c r="DB75" i="14"/>
  <c r="DB129" i="14" s="1"/>
  <c r="AT75" i="14"/>
  <c r="AT129" i="14" s="1"/>
  <c r="AF75" i="14"/>
  <c r="AF129" i="14" s="1"/>
  <c r="DE75" i="14"/>
  <c r="DE129" i="14" s="1"/>
  <c r="DU75" i="14"/>
  <c r="DU129" i="14" s="1"/>
  <c r="BV75" i="14"/>
  <c r="BV129" i="14" s="1"/>
  <c r="AW75" i="14"/>
  <c r="AW129" i="14" s="1"/>
  <c r="CL75" i="14"/>
  <c r="CL129" i="14" s="1"/>
  <c r="BR75" i="14"/>
  <c r="BR129" i="14" s="1"/>
  <c r="BE75" i="14"/>
  <c r="BE129" i="14" s="1"/>
  <c r="BI74" i="14"/>
  <c r="BI128" i="14" s="1"/>
  <c r="AN87" i="14"/>
  <c r="AN141" i="14" s="1"/>
  <c r="AI82" i="14"/>
  <c r="DD87" i="14"/>
  <c r="DD141" i="14" s="1"/>
  <c r="AY82" i="14"/>
  <c r="AY136" i="14" s="1"/>
  <c r="BU82" i="14"/>
  <c r="BU136" i="14" s="1"/>
  <c r="BY82" i="14"/>
  <c r="BY136" i="14" s="1"/>
  <c r="BR82" i="14"/>
  <c r="BR136" i="14" s="1"/>
  <c r="BA82" i="14"/>
  <c r="BA136" i="14" s="1"/>
  <c r="DG82" i="14"/>
  <c r="DG136" i="14" s="1"/>
  <c r="CG82" i="14"/>
  <c r="CG136" i="14" s="1"/>
  <c r="DB82" i="14"/>
  <c r="DB136" i="14" s="1"/>
  <c r="BJ82" i="14"/>
  <c r="BJ136" i="14" s="1"/>
  <c r="CH82" i="14"/>
  <c r="CH136" i="14" s="1"/>
  <c r="AG82" i="14"/>
  <c r="AG136" i="14" s="1"/>
  <c r="CA82" i="14"/>
  <c r="CA136" i="14" s="1"/>
  <c r="CO82" i="14"/>
  <c r="CO136" i="14" s="1"/>
  <c r="BZ82" i="14"/>
  <c r="BZ136" i="14" s="1"/>
  <c r="DC82" i="14"/>
  <c r="DC136" i="14" s="1"/>
  <c r="CQ82" i="14"/>
  <c r="CQ136" i="14" s="1"/>
  <c r="BS82" i="14"/>
  <c r="BS136" i="14" s="1"/>
  <c r="DL82" i="14"/>
  <c r="DL136" i="14" s="1"/>
  <c r="DU82" i="14"/>
  <c r="AD82" i="14"/>
  <c r="AD136" i="14" s="1"/>
  <c r="AQ82" i="14"/>
  <c r="AQ136" i="14" s="1"/>
  <c r="DD82" i="14"/>
  <c r="DD136" i="14" s="1"/>
  <c r="EB82" i="14"/>
  <c r="EB136" i="14" s="1"/>
  <c r="BD82" i="14"/>
  <c r="BD136" i="14" s="1"/>
  <c r="CN82" i="14"/>
  <c r="CN136" i="14" s="1"/>
  <c r="BG82" i="14"/>
  <c r="BG136" i="14" s="1"/>
  <c r="AC82" i="14"/>
  <c r="AC136" i="14" s="1"/>
  <c r="CM82" i="14"/>
  <c r="CM136" i="14" s="1"/>
  <c r="AN82" i="14"/>
  <c r="AN136" i="14" s="1"/>
  <c r="DT82" i="14"/>
  <c r="DT136" i="14" s="1"/>
  <c r="DA82" i="14"/>
  <c r="AS82" i="14"/>
  <c r="AS136" i="14" s="1"/>
  <c r="DJ82" i="14"/>
  <c r="DJ136" i="14" s="1"/>
  <c r="DI82" i="14"/>
  <c r="DI136" i="14" s="1"/>
  <c r="AE82" i="14"/>
  <c r="AE136" i="14" s="1"/>
  <c r="DK82" i="14"/>
  <c r="DK136" i="14" s="1"/>
  <c r="AV82" i="14"/>
  <c r="AV136" i="14" s="1"/>
  <c r="DW82" i="14"/>
  <c r="DW136" i="14" s="1"/>
  <c r="BX82" i="14"/>
  <c r="BX136" i="14" s="1"/>
  <c r="BC82" i="14"/>
  <c r="BC136" i="14" s="1"/>
  <c r="AP82" i="14"/>
  <c r="AP136" i="14" s="1"/>
  <c r="BO82" i="14"/>
  <c r="BO136" i="14" s="1"/>
  <c r="CT82" i="14"/>
  <c r="CT136" i="14" s="1"/>
  <c r="CY82" i="14"/>
  <c r="CY136" i="14" s="1"/>
  <c r="AR82" i="14"/>
  <c r="AR136" i="14" s="1"/>
  <c r="DX82" i="14"/>
  <c r="DX136" i="14" s="1"/>
  <c r="CK82" i="14"/>
  <c r="CK136" i="14" s="1"/>
  <c r="AU82" i="14"/>
  <c r="AU136" i="14" s="1"/>
  <c r="CX82" i="14"/>
  <c r="CX136" i="14" s="1"/>
  <c r="DV82" i="14"/>
  <c r="DV136" i="14" s="1"/>
  <c r="BF82" i="14"/>
  <c r="BF136" i="14" s="1"/>
  <c r="CJ82" i="14"/>
  <c r="CJ136" i="14" s="1"/>
  <c r="EC82" i="14"/>
  <c r="EC136" i="14" s="1"/>
  <c r="CD82" i="14"/>
  <c r="CD136" i="14" s="1"/>
  <c r="DR82" i="14"/>
  <c r="DR136" i="14" s="1"/>
  <c r="CC82" i="14"/>
  <c r="CC136" i="14" s="1"/>
  <c r="AM82" i="14"/>
  <c r="AM136" i="14" s="1"/>
  <c r="BQ82" i="14"/>
  <c r="BQ136" i="14" s="1"/>
  <c r="BL82" i="14"/>
  <c r="BL136" i="14" s="1"/>
  <c r="AO82" i="14"/>
  <c r="AO136" i="14" s="1"/>
  <c r="DQ82" i="14"/>
  <c r="DQ136" i="14" s="1"/>
  <c r="CI82" i="14"/>
  <c r="CI136" i="14" s="1"/>
  <c r="DS82" i="14"/>
  <c r="DS136" i="14" s="1"/>
  <c r="CZ82" i="14"/>
  <c r="CZ136" i="14" s="1"/>
  <c r="EE82" i="14"/>
  <c r="EE136" i="14" s="1"/>
  <c r="AH82" i="14"/>
  <c r="AH136" i="14" s="1"/>
  <c r="CU82" i="14"/>
  <c r="CU136" i="14" s="1"/>
  <c r="CW82" i="14"/>
  <c r="CW136" i="14" s="1"/>
  <c r="BM82" i="14"/>
  <c r="BM136" i="14" s="1"/>
  <c r="BT82" i="14"/>
  <c r="BT136" i="14" s="1"/>
  <c r="DF82" i="14"/>
  <c r="DF136" i="14" s="1"/>
  <c r="BW82" i="14"/>
  <c r="BW136" i="14" s="1"/>
  <c r="BB82" i="14"/>
  <c r="BB136" i="14" s="1"/>
  <c r="CP82" i="14"/>
  <c r="CP136" i="14" s="1"/>
  <c r="DH82" i="14"/>
  <c r="DH136" i="14" s="1"/>
  <c r="CV82" i="14"/>
  <c r="CV136" i="14" s="1"/>
  <c r="AX82" i="14"/>
  <c r="AX136" i="14" s="1"/>
  <c r="ED82" i="14"/>
  <c r="ED136" i="14" s="1"/>
  <c r="CF82" i="14"/>
  <c r="CF136" i="14" s="1"/>
  <c r="DY82" i="14"/>
  <c r="DY136" i="14" s="1"/>
  <c r="BN82" i="14"/>
  <c r="BN136" i="14" s="1"/>
  <c r="DN82" i="14"/>
  <c r="DN136" i="14" s="1"/>
  <c r="AK82" i="14"/>
  <c r="AZ82" i="14"/>
  <c r="AZ136" i="14" s="1"/>
  <c r="EA82" i="14"/>
  <c r="EA136" i="14" s="1"/>
  <c r="CR82" i="14"/>
  <c r="CR136" i="14" s="1"/>
  <c r="BP82" i="14"/>
  <c r="BP136" i="14" s="1"/>
  <c r="BK82" i="14"/>
  <c r="BK136" i="14" s="1"/>
  <c r="BI82" i="14"/>
  <c r="BI136" i="14" s="1"/>
  <c r="AT82" i="14"/>
  <c r="DZ82" i="14"/>
  <c r="DZ136" i="14" s="1"/>
  <c r="CB82" i="14"/>
  <c r="CB136" i="14" s="1"/>
  <c r="AF82" i="14"/>
  <c r="AF136" i="14" s="1"/>
  <c r="CL82" i="14"/>
  <c r="CL136" i="14" s="1"/>
  <c r="BV82" i="14"/>
  <c r="BV136" i="14" s="1"/>
  <c r="BE82" i="14"/>
  <c r="BE136" i="14" s="1"/>
  <c r="BU87" i="14"/>
  <c r="BU141" i="14" s="1"/>
  <c r="CS82" i="14"/>
  <c r="CS136" i="14" s="1"/>
  <c r="DR74" i="14"/>
  <c r="DR128" i="14" s="1"/>
  <c r="CC74" i="14"/>
  <c r="CC128" i="14" s="1"/>
  <c r="AG74" i="14"/>
  <c r="AG128" i="14" s="1"/>
  <c r="AI74" i="14"/>
  <c r="AI128" i="14" s="1"/>
  <c r="BM74" i="14"/>
  <c r="BM128" i="14" s="1"/>
  <c r="BP74" i="14"/>
  <c r="BP128" i="14" s="1"/>
  <c r="CH74" i="14"/>
  <c r="CH128" i="14" s="1"/>
  <c r="DJ74" i="14"/>
  <c r="DQ74" i="14"/>
  <c r="CA74" i="14"/>
  <c r="CA128" i="14" s="1"/>
  <c r="DK74" i="14"/>
  <c r="DK128" i="14" s="1"/>
  <c r="DG74" i="14"/>
  <c r="DG128" i="14" s="1"/>
  <c r="BD74" i="14"/>
  <c r="BD128" i="14" s="1"/>
  <c r="EE74" i="14"/>
  <c r="EE128" i="14" s="1"/>
  <c r="CN74" i="14"/>
  <c r="CN128" i="14" s="1"/>
  <c r="AH74" i="14"/>
  <c r="AH128" i="14" s="1"/>
  <c r="BY74" i="14"/>
  <c r="BY128" i="14" s="1"/>
  <c r="CX74" i="14"/>
  <c r="CT74" i="14"/>
  <c r="CT128" i="14" s="1"/>
  <c r="AY74" i="14"/>
  <c r="AY128" i="14" s="1"/>
  <c r="CG74" i="14"/>
  <c r="DI74" i="14"/>
  <c r="DI128" i="14" s="1"/>
  <c r="BQ74" i="14"/>
  <c r="BQ128" i="14" s="1"/>
  <c r="DW74" i="14"/>
  <c r="DW128" i="14" s="1"/>
  <c r="BZ74" i="14"/>
  <c r="BZ128" i="14" s="1"/>
  <c r="ED74" i="14"/>
  <c r="ED128" i="14" s="1"/>
  <c r="DZ74" i="14"/>
  <c r="DZ128" i="14" s="1"/>
  <c r="DV74" i="14"/>
  <c r="DV128" i="14" s="1"/>
  <c r="BA74" i="14"/>
  <c r="AD74" i="14"/>
  <c r="AD128" i="14" s="1"/>
  <c r="DX74" i="14"/>
  <c r="DX128" i="14" s="1"/>
  <c r="CK74" i="14"/>
  <c r="CK128" i="14" s="1"/>
  <c r="AC74" i="14"/>
  <c r="DB74" i="14"/>
  <c r="DB128" i="14" s="1"/>
  <c r="CM74" i="14"/>
  <c r="CM128" i="14" s="1"/>
  <c r="DL74" i="14"/>
  <c r="DL128" i="14" s="1"/>
  <c r="EC74" i="14"/>
  <c r="EC128" i="14" s="1"/>
  <c r="BN74" i="14"/>
  <c r="BN128" i="14" s="1"/>
  <c r="CD74" i="14"/>
  <c r="CD128" i="14" s="1"/>
  <c r="DN74" i="14"/>
  <c r="DN128" i="14" s="1"/>
  <c r="DS74" i="14"/>
  <c r="DS128" i="14" s="1"/>
  <c r="BL74" i="14"/>
  <c r="BL128" i="14" s="1"/>
  <c r="BX74" i="14"/>
  <c r="BX128" i="14" s="1"/>
  <c r="DF74" i="14"/>
  <c r="BO74" i="14"/>
  <c r="BO128" i="14" s="1"/>
  <c r="BJ74" i="14"/>
  <c r="BJ128" i="14" s="1"/>
  <c r="AN74" i="14"/>
  <c r="AN128" i="14" s="1"/>
  <c r="AJ74" i="14"/>
  <c r="AJ128" i="14" s="1"/>
  <c r="AO74" i="14"/>
  <c r="AO128" i="14" s="1"/>
  <c r="CY74" i="14"/>
  <c r="CY128" i="14" s="1"/>
  <c r="CI74" i="14"/>
  <c r="CI128" i="14" s="1"/>
  <c r="CE74" i="14"/>
  <c r="CE128" i="14" s="1"/>
  <c r="CO74" i="14"/>
  <c r="CO128" i="14" s="1"/>
  <c r="BG74" i="14"/>
  <c r="BG128" i="14" s="1"/>
  <c r="DT74" i="14"/>
  <c r="DT128" i="14" s="1"/>
  <c r="CW74" i="14"/>
  <c r="CP74" i="14"/>
  <c r="CP128" i="14" s="1"/>
  <c r="AR74" i="14"/>
  <c r="AR128" i="14" s="1"/>
  <c r="EA74" i="14"/>
  <c r="EA128" i="14" s="1"/>
  <c r="BT74" i="14"/>
  <c r="BT128" i="14" s="1"/>
  <c r="BK74" i="14"/>
  <c r="BK128" i="14" s="1"/>
  <c r="BC74" i="14"/>
  <c r="BC128" i="14" s="1"/>
  <c r="DC74" i="14"/>
  <c r="DC128" i="14" s="1"/>
  <c r="DA74" i="14"/>
  <c r="DA128" i="14" s="1"/>
  <c r="DY74" i="14"/>
  <c r="DY128" i="14" s="1"/>
  <c r="DO74" i="14"/>
  <c r="DO128" i="14" s="1"/>
  <c r="EB74" i="14"/>
  <c r="EB128" i="14" s="1"/>
  <c r="CS74" i="14"/>
  <c r="CS128" i="14" s="1"/>
  <c r="CV74" i="14"/>
  <c r="AT74" i="14"/>
  <c r="AT128" i="14" s="1"/>
  <c r="AL74" i="14"/>
  <c r="AL128" i="14" s="1"/>
  <c r="AQ74" i="14"/>
  <c r="AQ128" i="14" s="1"/>
  <c r="DM74" i="14"/>
  <c r="DM128" i="14" s="1"/>
  <c r="AM74" i="14"/>
  <c r="AM128" i="14" s="1"/>
  <c r="AE74" i="14"/>
  <c r="AE128" i="14" s="1"/>
  <c r="AZ74" i="14"/>
  <c r="AZ128" i="14" s="1"/>
  <c r="BH74" i="14"/>
  <c r="BH128" i="14" s="1"/>
  <c r="AU74" i="14"/>
  <c r="AU128" i="14" s="1"/>
  <c r="CU74" i="14"/>
  <c r="CU128" i="14" s="1"/>
  <c r="CQ74" i="14"/>
  <c r="DH74" i="14"/>
  <c r="DD74" i="14"/>
  <c r="DD128" i="14" s="1"/>
  <c r="AV74" i="14"/>
  <c r="AV128" i="14" s="1"/>
  <c r="BU74" i="14"/>
  <c r="BU128" i="14" s="1"/>
  <c r="AX74" i="14"/>
  <c r="AX128" i="14" s="1"/>
  <c r="AP74" i="14"/>
  <c r="AP128" i="14" s="1"/>
  <c r="CB74" i="14"/>
  <c r="CB128" i="14" s="1"/>
  <c r="CL74" i="14"/>
  <c r="CL128" i="14" s="1"/>
  <c r="BF74" i="14"/>
  <c r="BF128" i="14" s="1"/>
  <c r="CF74" i="14"/>
  <c r="CF128" i="14" s="1"/>
  <c r="DE74" i="14"/>
  <c r="DE128" i="14" s="1"/>
  <c r="CJ74" i="14"/>
  <c r="CJ128" i="14" s="1"/>
  <c r="AF74" i="14"/>
  <c r="AF128" i="14" s="1"/>
  <c r="DP74" i="14"/>
  <c r="DP128" i="14" s="1"/>
  <c r="AS74" i="14"/>
  <c r="AS128" i="14" s="1"/>
  <c r="DU74" i="14"/>
  <c r="DU128" i="14" s="1"/>
  <c r="BR74" i="14"/>
  <c r="BR128" i="14" s="1"/>
  <c r="BE74" i="14"/>
  <c r="BE128" i="14" s="1"/>
  <c r="AW74" i="14"/>
  <c r="AW128" i="14" s="1"/>
  <c r="CU77" i="14"/>
  <c r="CU131" i="14" s="1"/>
  <c r="CJ77" i="14"/>
  <c r="CJ131" i="14" s="1"/>
  <c r="BS77" i="14"/>
  <c r="BS131" i="14" s="1"/>
  <c r="ED77" i="14"/>
  <c r="ED131" i="14" s="1"/>
  <c r="DH77" i="14"/>
  <c r="DH131" i="14" s="1"/>
  <c r="AE77" i="14"/>
  <c r="DM77" i="14"/>
  <c r="DM131" i="14" s="1"/>
  <c r="CY77" i="14"/>
  <c r="CY131" i="14" s="1"/>
  <c r="BR77" i="14"/>
  <c r="BR131" i="14" s="1"/>
  <c r="BV77" i="14"/>
  <c r="BV131" i="14" s="1"/>
  <c r="AO77" i="14"/>
  <c r="AO131" i="14" s="1"/>
  <c r="DA77" i="14"/>
  <c r="DA131" i="14" s="1"/>
  <c r="AF77" i="14"/>
  <c r="AF131" i="14" s="1"/>
  <c r="CB77" i="14"/>
  <c r="BY77" i="14"/>
  <c r="BY131" i="14" s="1"/>
  <c r="AU77" i="14"/>
  <c r="AU131" i="14" s="1"/>
  <c r="EA77" i="14"/>
  <c r="EA131" i="14" s="1"/>
  <c r="CK77" i="14"/>
  <c r="CK131" i="14" s="1"/>
  <c r="DK77" i="14"/>
  <c r="DK131" i="14" s="1"/>
  <c r="DS77" i="14"/>
  <c r="DS131" i="14" s="1"/>
  <c r="CC77" i="14"/>
  <c r="CC131" i="14" s="1"/>
  <c r="DG77" i="14"/>
  <c r="DG131" i="14" s="1"/>
  <c r="BQ77" i="14"/>
  <c r="BQ131" i="14" s="1"/>
  <c r="BU77" i="14"/>
  <c r="BU131" i="14" s="1"/>
  <c r="DJ77" i="14"/>
  <c r="DJ131" i="14" s="1"/>
  <c r="R113" i="14"/>
  <c r="CQ77" i="14"/>
  <c r="CQ131" i="14" s="1"/>
  <c r="DB77" i="14"/>
  <c r="DB131" i="14" s="1"/>
  <c r="AC77" i="14"/>
  <c r="AC131" i="14" s="1"/>
  <c r="CN77" i="14"/>
  <c r="CN131" i="14" s="1"/>
  <c r="AZ77" i="14"/>
  <c r="AZ131" i="14" s="1"/>
  <c r="CA77" i="14"/>
  <c r="CA131" i="14" s="1"/>
  <c r="AL77" i="14"/>
  <c r="AL131" i="14" s="1"/>
  <c r="BG77" i="14"/>
  <c r="BG131" i="14" s="1"/>
  <c r="CR77" i="14"/>
  <c r="CR131" i="14" s="1"/>
  <c r="BD77" i="14"/>
  <c r="BD131" i="14" s="1"/>
  <c r="AV77" i="14"/>
  <c r="AV131" i="14" s="1"/>
  <c r="DQ77" i="14"/>
  <c r="DQ131" i="14" s="1"/>
  <c r="CG77" i="14"/>
  <c r="CG131" i="14" s="1"/>
  <c r="DZ77" i="14"/>
  <c r="DZ131" i="14" s="1"/>
  <c r="CO77" i="14"/>
  <c r="CO131" i="14" s="1"/>
  <c r="CS77" i="14"/>
  <c r="CS131" i="14" s="1"/>
  <c r="AI77" i="14"/>
  <c r="AI131" i="14" s="1"/>
  <c r="DI77" i="14"/>
  <c r="DI131" i="14" s="1"/>
  <c r="AK77" i="14"/>
  <c r="AK131" i="14" s="1"/>
  <c r="AQ77" i="14"/>
  <c r="AQ131" i="14" s="1"/>
  <c r="AY77" i="14"/>
  <c r="AY131" i="14" s="1"/>
  <c r="AT77" i="14"/>
  <c r="AT131" i="14" s="1"/>
  <c r="BK77" i="14"/>
  <c r="BK131" i="14" s="1"/>
  <c r="EE77" i="14"/>
  <c r="EE131" i="14" s="1"/>
  <c r="BL77" i="14"/>
  <c r="BL131" i="14" s="1"/>
  <c r="CZ77" i="14"/>
  <c r="CZ131" i="14" s="1"/>
  <c r="DC77" i="14"/>
  <c r="DC131" i="14" s="1"/>
  <c r="BC77" i="14"/>
  <c r="BC131" i="14" s="1"/>
  <c r="BX77" i="14"/>
  <c r="BX131" i="14" s="1"/>
  <c r="AR77" i="14"/>
  <c r="AR131" i="14" s="1"/>
  <c r="DN77" i="14"/>
  <c r="DN131" i="14" s="1"/>
  <c r="DR77" i="14"/>
  <c r="DR131" i="14" s="1"/>
  <c r="CX77" i="14"/>
  <c r="CX131" i="14" s="1"/>
  <c r="BZ77" i="14"/>
  <c r="BZ131" i="14" s="1"/>
  <c r="BM77" i="14"/>
  <c r="BM131" i="14" s="1"/>
  <c r="DX77" i="14"/>
  <c r="DX131" i="14" s="1"/>
  <c r="DO77" i="14"/>
  <c r="DO131" i="14" s="1"/>
  <c r="CE77" i="14"/>
  <c r="CE131" i="14" s="1"/>
  <c r="AH77" i="14"/>
  <c r="AH131" i="14" s="1"/>
  <c r="BH77" i="14"/>
  <c r="BH131" i="14" s="1"/>
  <c r="AY122" i="14"/>
  <c r="W160" i="14"/>
  <c r="T18" i="10" s="1"/>
  <c r="T20" i="6" s="1"/>
  <c r="AH230" i="14"/>
  <c r="BM122" i="14"/>
  <c r="DO122" i="14"/>
  <c r="BX230" i="14"/>
  <c r="CC118" i="14"/>
  <c r="DV141" i="14"/>
  <c r="AX230" i="14"/>
  <c r="DW122" i="14"/>
  <c r="EE221" i="14"/>
  <c r="DO118" i="14"/>
  <c r="AO122" i="14"/>
  <c r="DP221" i="14"/>
  <c r="DA113" i="14"/>
  <c r="CB113" i="14"/>
  <c r="BW230" i="14"/>
  <c r="AP113" i="14"/>
  <c r="EB118" i="14"/>
  <c r="BY221" i="14"/>
  <c r="BP122" i="14"/>
  <c r="DP230" i="14"/>
  <c r="DB113" i="14"/>
  <c r="AK230" i="14"/>
  <c r="CE221" i="14"/>
  <c r="DM221" i="14"/>
  <c r="CS113" i="14"/>
  <c r="AR230" i="14"/>
  <c r="CK230" i="14"/>
  <c r="CF221" i="14"/>
  <c r="BI230" i="14"/>
  <c r="BV230" i="14"/>
  <c r="AF230" i="14"/>
  <c r="BJ113" i="14"/>
  <c r="CQ127" i="14"/>
  <c r="DJ221" i="14"/>
  <c r="AD226" i="14"/>
  <c r="AM118" i="14"/>
  <c r="BZ230" i="14"/>
  <c r="CF129" i="14"/>
  <c r="BO113" i="14"/>
  <c r="BK113" i="14"/>
  <c r="DQ122" i="14"/>
  <c r="DR118" i="14"/>
  <c r="CD230" i="14"/>
  <c r="DA230" i="14"/>
  <c r="AN118" i="14"/>
  <c r="BS230" i="14"/>
  <c r="AC122" i="14"/>
  <c r="AG122" i="14"/>
  <c r="DR113" i="14"/>
  <c r="N18" i="10"/>
  <c r="N20" i="6" s="1"/>
  <c r="AT122" i="14"/>
  <c r="DJ118" i="14"/>
  <c r="P205" i="14"/>
  <c r="V205" i="14"/>
  <c r="R205" i="14"/>
  <c r="U205" i="14"/>
  <c r="AB205" i="14"/>
  <c r="S205" i="14"/>
  <c r="Z205" i="14"/>
  <c r="Q205" i="14"/>
  <c r="X205" i="14"/>
  <c r="AA205" i="14"/>
  <c r="T205" i="14"/>
  <c r="W205" i="14"/>
  <c r="Y205" i="14"/>
  <c r="P201" i="14"/>
  <c r="Y201" i="14"/>
  <c r="U201" i="14"/>
  <c r="Q201" i="14"/>
  <c r="AA201" i="14"/>
  <c r="S201" i="14"/>
  <c r="Z201" i="14"/>
  <c r="V201" i="14"/>
  <c r="X201" i="14"/>
  <c r="T201" i="14"/>
  <c r="AB201" i="14"/>
  <c r="W201" i="14"/>
  <c r="R201" i="14"/>
  <c r="P211" i="14"/>
  <c r="AA211" i="14"/>
  <c r="R211" i="14"/>
  <c r="Q211" i="14"/>
  <c r="Y211" i="14"/>
  <c r="W211" i="14"/>
  <c r="Z211" i="14"/>
  <c r="AB211" i="14"/>
  <c r="U211" i="14"/>
  <c r="X211" i="14"/>
  <c r="S211" i="14"/>
  <c r="V211" i="14"/>
  <c r="T211" i="14"/>
  <c r="K951" i="32"/>
  <c r="E951" i="32" s="1"/>
  <c r="P202" i="14"/>
  <c r="Q202" i="14"/>
  <c r="AB202" i="14"/>
  <c r="X202" i="14"/>
  <c r="AA202" i="14"/>
  <c r="S202" i="14"/>
  <c r="V202" i="14"/>
  <c r="R202" i="14"/>
  <c r="Y202" i="14"/>
  <c r="U202" i="14"/>
  <c r="T202" i="14"/>
  <c r="W202" i="14"/>
  <c r="Z202" i="14"/>
  <c r="P207" i="14"/>
  <c r="W207" i="14"/>
  <c r="AA207" i="14"/>
  <c r="Y207" i="14"/>
  <c r="Q207" i="14"/>
  <c r="S207" i="14"/>
  <c r="R207" i="14"/>
  <c r="AB207" i="14"/>
  <c r="X207" i="14"/>
  <c r="T207" i="14"/>
  <c r="Z207" i="14"/>
  <c r="V207" i="14"/>
  <c r="U207" i="14"/>
  <c r="F978" i="32"/>
  <c r="L978" i="32" s="1"/>
  <c r="L964" i="32"/>
  <c r="P217" i="14"/>
  <c r="P109" i="14"/>
  <c r="P116" i="14"/>
  <c r="P224" i="14"/>
  <c r="E977" i="32"/>
  <c r="K977" i="32" s="1"/>
  <c r="K963" i="32"/>
  <c r="P222" i="14"/>
  <c r="P114" i="14"/>
  <c r="P115" i="14"/>
  <c r="P223" i="14"/>
  <c r="P206" i="14"/>
  <c r="W206" i="14"/>
  <c r="Z206" i="14"/>
  <c r="V206" i="14"/>
  <c r="Y206" i="14"/>
  <c r="AB206" i="14"/>
  <c r="S206" i="14"/>
  <c r="R206" i="14"/>
  <c r="U206" i="14"/>
  <c r="X206" i="14"/>
  <c r="T206" i="14"/>
  <c r="AA206" i="14"/>
  <c r="Q206" i="14"/>
  <c r="P229" i="14"/>
  <c r="P121" i="14"/>
  <c r="P76" i="14"/>
  <c r="P130" i="14" s="1"/>
  <c r="W76" i="14"/>
  <c r="W130" i="14" s="1"/>
  <c r="S76" i="14"/>
  <c r="S130" i="14" s="1"/>
  <c r="R76" i="14"/>
  <c r="R130" i="14" s="1"/>
  <c r="U76" i="14"/>
  <c r="U130" i="14" s="1"/>
  <c r="AB76" i="14"/>
  <c r="AB130" i="14" s="1"/>
  <c r="X76" i="14"/>
  <c r="X130" i="14" s="1"/>
  <c r="V76" i="14"/>
  <c r="V130" i="14" s="1"/>
  <c r="Y76" i="14"/>
  <c r="Y130" i="14" s="1"/>
  <c r="AA76" i="14"/>
  <c r="AA130" i="14" s="1"/>
  <c r="Z76" i="14"/>
  <c r="Z130" i="14" s="1"/>
  <c r="Q76" i="14"/>
  <c r="Q130" i="14" s="1"/>
  <c r="T76" i="14"/>
  <c r="T130" i="14" s="1"/>
  <c r="P120" i="14"/>
  <c r="P228" i="14"/>
  <c r="P118" i="14"/>
  <c r="P226" i="14"/>
  <c r="P200" i="14"/>
  <c r="AA200" i="14"/>
  <c r="V200" i="14"/>
  <c r="Z200" i="14"/>
  <c r="R200" i="14"/>
  <c r="Q200" i="14"/>
  <c r="X200" i="14"/>
  <c r="T200" i="14"/>
  <c r="S200" i="14"/>
  <c r="Y200" i="14"/>
  <c r="U200" i="14"/>
  <c r="W200" i="14"/>
  <c r="AB200" i="14"/>
  <c r="P74" i="14"/>
  <c r="P128" i="14" s="1"/>
  <c r="AA74" i="14"/>
  <c r="AA128" i="14" s="1"/>
  <c r="S74" i="14"/>
  <c r="S128" i="14" s="1"/>
  <c r="W74" i="14"/>
  <c r="W128" i="14" s="1"/>
  <c r="Z74" i="14"/>
  <c r="Z128" i="14" s="1"/>
  <c r="Y74" i="14"/>
  <c r="Y128" i="14" s="1"/>
  <c r="U74" i="14"/>
  <c r="U128" i="14" s="1"/>
  <c r="Q74" i="14"/>
  <c r="Q128" i="14" s="1"/>
  <c r="V74" i="14"/>
  <c r="V128" i="14" s="1"/>
  <c r="R74" i="14"/>
  <c r="R128" i="14" s="1"/>
  <c r="AB74" i="14"/>
  <c r="AB128" i="14" s="1"/>
  <c r="X74" i="14"/>
  <c r="X128" i="14" s="1"/>
  <c r="T74" i="14"/>
  <c r="T128" i="14" s="1"/>
  <c r="P72" i="14"/>
  <c r="Y72" i="14"/>
  <c r="Q72" i="14"/>
  <c r="X72" i="14"/>
  <c r="AA72" i="14"/>
  <c r="S72" i="14"/>
  <c r="AB72" i="14"/>
  <c r="Z72" i="14"/>
  <c r="U72" i="14"/>
  <c r="W72" i="14"/>
  <c r="V72" i="14"/>
  <c r="R72" i="14"/>
  <c r="T72" i="14"/>
  <c r="P204" i="14"/>
  <c r="V204" i="14"/>
  <c r="Q204" i="14"/>
  <c r="AB204" i="14"/>
  <c r="W204" i="14"/>
  <c r="Z204" i="14"/>
  <c r="Y204" i="14"/>
  <c r="T204" i="14"/>
  <c r="AA204" i="14"/>
  <c r="R204" i="14"/>
  <c r="S204" i="14"/>
  <c r="U204" i="14"/>
  <c r="X204" i="14"/>
  <c r="P87" i="14"/>
  <c r="P141" i="14" s="1"/>
  <c r="AA87" i="14"/>
  <c r="AA141" i="14" s="1"/>
  <c r="Z87" i="14"/>
  <c r="Z141" i="14" s="1"/>
  <c r="V87" i="14"/>
  <c r="V141" i="14" s="1"/>
  <c r="R87" i="14"/>
  <c r="R141" i="14" s="1"/>
  <c r="Q87" i="14"/>
  <c r="Q141" i="14" s="1"/>
  <c r="S87" i="14"/>
  <c r="S141" i="14" s="1"/>
  <c r="U87" i="14"/>
  <c r="U141" i="14" s="1"/>
  <c r="W87" i="14"/>
  <c r="W141" i="14" s="1"/>
  <c r="Y87" i="14"/>
  <c r="Y141" i="14" s="1"/>
  <c r="X87" i="14"/>
  <c r="X141" i="14" s="1"/>
  <c r="T87" i="14"/>
  <c r="T141" i="14" s="1"/>
  <c r="AB87" i="14"/>
  <c r="AB141" i="14" s="1"/>
  <c r="P83" i="14"/>
  <c r="P137" i="14" s="1"/>
  <c r="S83" i="14"/>
  <c r="S137" i="14" s="1"/>
  <c r="Z83" i="14"/>
  <c r="Z137" i="14" s="1"/>
  <c r="AA83" i="14"/>
  <c r="AA137" i="14" s="1"/>
  <c r="Y83" i="14"/>
  <c r="Y137" i="14" s="1"/>
  <c r="W83" i="14"/>
  <c r="W137" i="14" s="1"/>
  <c r="V83" i="14"/>
  <c r="V137" i="14" s="1"/>
  <c r="R83" i="14"/>
  <c r="R137" i="14" s="1"/>
  <c r="U83" i="14"/>
  <c r="U137" i="14" s="1"/>
  <c r="Q83" i="14"/>
  <c r="Q137" i="14" s="1"/>
  <c r="AB83" i="14"/>
  <c r="AB137" i="14" s="1"/>
  <c r="X83" i="14"/>
  <c r="X137" i="14" s="1"/>
  <c r="T83" i="14"/>
  <c r="T137" i="14" s="1"/>
  <c r="P86" i="14"/>
  <c r="P140" i="14" s="1"/>
  <c r="AA86" i="14"/>
  <c r="AA140" i="14" s="1"/>
  <c r="Z86" i="14"/>
  <c r="Z140" i="14" s="1"/>
  <c r="X86" i="14"/>
  <c r="X140" i="14" s="1"/>
  <c r="T86" i="14"/>
  <c r="T140" i="14" s="1"/>
  <c r="W86" i="14"/>
  <c r="W140" i="14" s="1"/>
  <c r="Y86" i="14"/>
  <c r="Y140" i="14" s="1"/>
  <c r="U86" i="14"/>
  <c r="U140" i="14" s="1"/>
  <c r="AB86" i="14"/>
  <c r="AB140" i="14" s="1"/>
  <c r="S86" i="14"/>
  <c r="S140" i="14" s="1"/>
  <c r="R86" i="14"/>
  <c r="R140" i="14" s="1"/>
  <c r="V86" i="14"/>
  <c r="V140" i="14" s="1"/>
  <c r="Q86" i="14"/>
  <c r="Q140" i="14" s="1"/>
  <c r="P75" i="14"/>
  <c r="P129" i="14" s="1"/>
  <c r="W75" i="14"/>
  <c r="W129" i="14" s="1"/>
  <c r="U75" i="14"/>
  <c r="U129" i="14" s="1"/>
  <c r="T75" i="14"/>
  <c r="T129" i="14" s="1"/>
  <c r="V75" i="14"/>
  <c r="V129" i="14" s="1"/>
  <c r="X75" i="14"/>
  <c r="X129" i="14" s="1"/>
  <c r="R75" i="14"/>
  <c r="R129" i="14" s="1"/>
  <c r="AA75" i="14"/>
  <c r="AA129" i="14" s="1"/>
  <c r="S75" i="14"/>
  <c r="S129" i="14" s="1"/>
  <c r="Z75" i="14"/>
  <c r="Z129" i="14" s="1"/>
  <c r="Y75" i="14"/>
  <c r="Y129" i="14" s="1"/>
  <c r="Q75" i="14"/>
  <c r="Q129" i="14" s="1"/>
  <c r="AB75" i="14"/>
  <c r="AB129" i="14" s="1"/>
  <c r="L18" i="5"/>
  <c r="M20" i="6"/>
  <c r="P84" i="14"/>
  <c r="P138" i="14" s="1"/>
  <c r="W84" i="14"/>
  <c r="W138" i="14" s="1"/>
  <c r="R84" i="14"/>
  <c r="R138" i="14" s="1"/>
  <c r="U84" i="14"/>
  <c r="U138" i="14" s="1"/>
  <c r="T84" i="14"/>
  <c r="T138" i="14" s="1"/>
  <c r="S84" i="14"/>
  <c r="S138" i="14" s="1"/>
  <c r="Z84" i="14"/>
  <c r="Z138" i="14" s="1"/>
  <c r="Y84" i="14"/>
  <c r="Y138" i="14" s="1"/>
  <c r="Q84" i="14"/>
  <c r="Q138" i="14" s="1"/>
  <c r="X84" i="14"/>
  <c r="X138" i="14" s="1"/>
  <c r="AA84" i="14"/>
  <c r="AA138" i="14" s="1"/>
  <c r="V84" i="14"/>
  <c r="V138" i="14" s="1"/>
  <c r="AB84" i="14"/>
  <c r="AB138" i="14" s="1"/>
  <c r="P82" i="14"/>
  <c r="P136" i="14" s="1"/>
  <c r="AB82" i="14"/>
  <c r="AB136" i="14" s="1"/>
  <c r="Z82" i="14"/>
  <c r="Z136" i="14" s="1"/>
  <c r="R82" i="14"/>
  <c r="R136" i="14" s="1"/>
  <c r="W82" i="14"/>
  <c r="W136" i="14" s="1"/>
  <c r="AA82" i="14"/>
  <c r="AA136" i="14" s="1"/>
  <c r="S82" i="14"/>
  <c r="S136" i="14" s="1"/>
  <c r="V82" i="14"/>
  <c r="V136" i="14" s="1"/>
  <c r="Y82" i="14"/>
  <c r="Y136" i="14" s="1"/>
  <c r="Q82" i="14"/>
  <c r="Q136" i="14" s="1"/>
  <c r="U82" i="14"/>
  <c r="U136" i="14" s="1"/>
  <c r="X82" i="14"/>
  <c r="X136" i="14" s="1"/>
  <c r="T82" i="14"/>
  <c r="T136" i="14" s="1"/>
  <c r="E978" i="32"/>
  <c r="K978" i="32" s="1"/>
  <c r="K964" i="32"/>
  <c r="P212" i="14"/>
  <c r="AA212" i="14"/>
  <c r="Z212" i="14"/>
  <c r="V212" i="14"/>
  <c r="R212" i="14"/>
  <c r="U212" i="14"/>
  <c r="T212" i="14"/>
  <c r="W212" i="14"/>
  <c r="S212" i="14"/>
  <c r="Y212" i="14"/>
  <c r="Q212" i="14"/>
  <c r="AB212" i="14"/>
  <c r="X212" i="14"/>
  <c r="P110" i="14"/>
  <c r="P218" i="14"/>
  <c r="P108" i="14"/>
  <c r="P216" i="14"/>
  <c r="P34" i="14"/>
  <c r="M16" i="10" s="1"/>
  <c r="P210" i="14"/>
  <c r="U210" i="14"/>
  <c r="X210" i="14"/>
  <c r="R210" i="14"/>
  <c r="Z210" i="14"/>
  <c r="Y210" i="14"/>
  <c r="W210" i="14"/>
  <c r="AA210" i="14"/>
  <c r="S210" i="14"/>
  <c r="V210" i="14"/>
  <c r="Q210" i="14"/>
  <c r="AB210" i="14"/>
  <c r="T210" i="14"/>
  <c r="P231" i="14"/>
  <c r="P123" i="14"/>
  <c r="P119" i="14"/>
  <c r="P227" i="14"/>
  <c r="P122" i="14"/>
  <c r="P230" i="14"/>
  <c r="P111" i="14"/>
  <c r="P219" i="14"/>
  <c r="L951" i="32"/>
  <c r="F951" i="32" s="1"/>
  <c r="P117" i="14"/>
  <c r="P225" i="14"/>
  <c r="P77" i="14"/>
  <c r="P131" i="14" s="1"/>
  <c r="R77" i="14"/>
  <c r="R131" i="14" s="1"/>
  <c r="Q77" i="14"/>
  <c r="Q131" i="14" s="1"/>
  <c r="X77" i="14"/>
  <c r="X131" i="14" s="1"/>
  <c r="W77" i="14"/>
  <c r="W131" i="14" s="1"/>
  <c r="V77" i="14"/>
  <c r="V131" i="14" s="1"/>
  <c r="AB77" i="14"/>
  <c r="AB131" i="14" s="1"/>
  <c r="AA77" i="14"/>
  <c r="AA131" i="14" s="1"/>
  <c r="Z77" i="14"/>
  <c r="Z131" i="14" s="1"/>
  <c r="S77" i="14"/>
  <c r="S131" i="14" s="1"/>
  <c r="Y77" i="14"/>
  <c r="Y131" i="14" s="1"/>
  <c r="U77" i="14"/>
  <c r="U131" i="14" s="1"/>
  <c r="T77" i="14"/>
  <c r="T131" i="14" s="1"/>
  <c r="P208" i="14"/>
  <c r="S208" i="14"/>
  <c r="Z208" i="14"/>
  <c r="V208" i="14"/>
  <c r="T208" i="14"/>
  <c r="AA208" i="14"/>
  <c r="Y208" i="14"/>
  <c r="U208" i="14"/>
  <c r="W208" i="14"/>
  <c r="R208" i="14"/>
  <c r="Q208" i="14"/>
  <c r="AB208" i="14"/>
  <c r="X208" i="14"/>
  <c r="P73" i="14"/>
  <c r="P127" i="14" s="1"/>
  <c r="Z73" i="14"/>
  <c r="Z127" i="14" s="1"/>
  <c r="V73" i="14"/>
  <c r="V127" i="14" s="1"/>
  <c r="Y73" i="14"/>
  <c r="Y127" i="14" s="1"/>
  <c r="AA73" i="14"/>
  <c r="AA127" i="14" s="1"/>
  <c r="U73" i="14"/>
  <c r="U127" i="14" s="1"/>
  <c r="Q73" i="14"/>
  <c r="Q127" i="14" s="1"/>
  <c r="W73" i="14"/>
  <c r="W127" i="14" s="1"/>
  <c r="R73" i="14"/>
  <c r="R127" i="14" s="1"/>
  <c r="S73" i="14"/>
  <c r="S127" i="14" s="1"/>
  <c r="T73" i="14"/>
  <c r="T127" i="14" s="1"/>
  <c r="AB73" i="14"/>
  <c r="AB127" i="14" s="1"/>
  <c r="X73" i="14"/>
  <c r="X127" i="14" s="1"/>
  <c r="P80" i="14"/>
  <c r="P134" i="14" s="1"/>
  <c r="W80" i="14"/>
  <c r="W134" i="14" s="1"/>
  <c r="S80" i="14"/>
  <c r="S134" i="14" s="1"/>
  <c r="Y80" i="14"/>
  <c r="Y134" i="14" s="1"/>
  <c r="T80" i="14"/>
  <c r="T134" i="14" s="1"/>
  <c r="V80" i="14"/>
  <c r="V134" i="14" s="1"/>
  <c r="AA80" i="14"/>
  <c r="AA134" i="14" s="1"/>
  <c r="Z80" i="14"/>
  <c r="Z134" i="14" s="1"/>
  <c r="Q80" i="14"/>
  <c r="Q134" i="14" s="1"/>
  <c r="R80" i="14"/>
  <c r="R134" i="14" s="1"/>
  <c r="U80" i="14"/>
  <c r="U134" i="14" s="1"/>
  <c r="AB80" i="14"/>
  <c r="AB134" i="14" s="1"/>
  <c r="X80" i="14"/>
  <c r="X134" i="14" s="1"/>
  <c r="P78" i="14"/>
  <c r="P132" i="14" s="1"/>
  <c r="S78" i="14"/>
  <c r="S132" i="14" s="1"/>
  <c r="Y78" i="14"/>
  <c r="Y132" i="14" s="1"/>
  <c r="U78" i="14"/>
  <c r="U132" i="14" s="1"/>
  <c r="AB78" i="14"/>
  <c r="AB132" i="14" s="1"/>
  <c r="R78" i="14"/>
  <c r="R132" i="14" s="1"/>
  <c r="Q78" i="14"/>
  <c r="Q132" i="14" s="1"/>
  <c r="W78" i="14"/>
  <c r="W132" i="14" s="1"/>
  <c r="V78" i="14"/>
  <c r="V132" i="14" s="1"/>
  <c r="AA78" i="14"/>
  <c r="AA132" i="14" s="1"/>
  <c r="Z78" i="14"/>
  <c r="Z132" i="14" s="1"/>
  <c r="T78" i="14"/>
  <c r="T132" i="14" s="1"/>
  <c r="X78" i="14"/>
  <c r="X132" i="14" s="1"/>
  <c r="P79" i="14"/>
  <c r="P133" i="14" s="1"/>
  <c r="X79" i="14"/>
  <c r="X133" i="14" s="1"/>
  <c r="T79" i="14"/>
  <c r="T133" i="14" s="1"/>
  <c r="S79" i="14"/>
  <c r="S133" i="14" s="1"/>
  <c r="V79" i="14"/>
  <c r="V133" i="14" s="1"/>
  <c r="R79" i="14"/>
  <c r="R133" i="14" s="1"/>
  <c r="U79" i="14"/>
  <c r="U133" i="14" s="1"/>
  <c r="AB79" i="14"/>
  <c r="AB133" i="14" s="1"/>
  <c r="AA79" i="14"/>
  <c r="AA133" i="14" s="1"/>
  <c r="Z79" i="14"/>
  <c r="Z133" i="14" s="1"/>
  <c r="Q79" i="14"/>
  <c r="Q133" i="14" s="1"/>
  <c r="W79" i="14"/>
  <c r="W133" i="14" s="1"/>
  <c r="Y79" i="14"/>
  <c r="Y133" i="14" s="1"/>
  <c r="P198" i="14"/>
  <c r="AA198" i="14"/>
  <c r="U198" i="14"/>
  <c r="W198" i="14"/>
  <c r="Y198" i="14"/>
  <c r="AB198" i="14"/>
  <c r="X198" i="14"/>
  <c r="S198" i="14"/>
  <c r="Z198" i="14"/>
  <c r="R198" i="14"/>
  <c r="Q198" i="14"/>
  <c r="V198" i="14"/>
  <c r="T198" i="14"/>
  <c r="P85" i="14"/>
  <c r="P139" i="14" s="1"/>
  <c r="V85" i="14"/>
  <c r="V139" i="14" s="1"/>
  <c r="U85" i="14"/>
  <c r="U139" i="14" s="1"/>
  <c r="Q85" i="14"/>
  <c r="Q139" i="14" s="1"/>
  <c r="AB85" i="14"/>
  <c r="AB139" i="14" s="1"/>
  <c r="AA85" i="14"/>
  <c r="AA139" i="14" s="1"/>
  <c r="X85" i="14"/>
  <c r="X139" i="14" s="1"/>
  <c r="Y85" i="14"/>
  <c r="Y139" i="14" s="1"/>
  <c r="W85" i="14"/>
  <c r="W139" i="14" s="1"/>
  <c r="S85" i="14"/>
  <c r="S139" i="14" s="1"/>
  <c r="Z85" i="14"/>
  <c r="Z139" i="14" s="1"/>
  <c r="R85" i="14"/>
  <c r="R139" i="14" s="1"/>
  <c r="T85" i="14"/>
  <c r="T139" i="14" s="1"/>
  <c r="P112" i="14"/>
  <c r="P220" i="14"/>
  <c r="F977" i="32"/>
  <c r="L977" i="32" s="1"/>
  <c r="L963" i="32"/>
  <c r="P81" i="14"/>
  <c r="P135" i="14" s="1"/>
  <c r="AA81" i="14"/>
  <c r="AA135" i="14" s="1"/>
  <c r="V81" i="14"/>
  <c r="V135" i="14" s="1"/>
  <c r="R81" i="14"/>
  <c r="R135" i="14" s="1"/>
  <c r="AB81" i="14"/>
  <c r="AB135" i="14" s="1"/>
  <c r="W81" i="14"/>
  <c r="W135" i="14" s="1"/>
  <c r="Z81" i="14"/>
  <c r="Z135" i="14" s="1"/>
  <c r="Q81" i="14"/>
  <c r="Q135" i="14" s="1"/>
  <c r="S81" i="14"/>
  <c r="S135" i="14" s="1"/>
  <c r="Y81" i="14"/>
  <c r="Y135" i="14" s="1"/>
  <c r="U81" i="14"/>
  <c r="U135" i="14" s="1"/>
  <c r="T81" i="14"/>
  <c r="T135" i="14" s="1"/>
  <c r="X81" i="14"/>
  <c r="X135" i="14" s="1"/>
  <c r="P221" i="14"/>
  <c r="P113" i="14"/>
  <c r="P18" i="10"/>
  <c r="O18" i="5" s="1"/>
  <c r="DT230" i="14"/>
  <c r="EC221" i="14"/>
  <c r="Q18" i="10"/>
  <c r="P18" i="5" s="1"/>
  <c r="AS221" i="14"/>
  <c r="AS230" i="14"/>
  <c r="AJ44" i="16"/>
  <c r="AJ40" i="16" s="1"/>
  <c r="S18" i="10"/>
  <c r="R18" i="5" s="1"/>
  <c r="DR122" i="14"/>
  <c r="CD118" i="14"/>
  <c r="DN118" i="14"/>
  <c r="AD140" i="14"/>
  <c r="AL118" i="14"/>
  <c r="AD131" i="14"/>
  <c r="AD230" i="14"/>
  <c r="CA122" i="14"/>
  <c r="CG113" i="14"/>
  <c r="AL113" i="14"/>
  <c r="EE118" i="14"/>
  <c r="AL230" i="14"/>
  <c r="CU122" i="14"/>
  <c r="CE230" i="14"/>
  <c r="CC122" i="14"/>
  <c r="CG122" i="14"/>
  <c r="AY221" i="14"/>
  <c r="CQ113" i="14"/>
  <c r="DZ226" i="14"/>
  <c r="ED230" i="14"/>
  <c r="ED118" i="14"/>
  <c r="AW118" i="14"/>
  <c r="BJ122" i="14"/>
  <c r="BD226" i="14"/>
  <c r="AG113" i="14"/>
  <c r="CH133" i="14"/>
  <c r="AH40" i="16"/>
  <c r="BR226" i="14"/>
  <c r="CP226" i="14"/>
  <c r="EC122" i="14"/>
  <c r="AJ221" i="14"/>
  <c r="BT230" i="14"/>
  <c r="BX226" i="14"/>
  <c r="CR118" i="14"/>
  <c r="J42" i="35"/>
  <c r="AR113" i="14"/>
  <c r="DS230" i="14"/>
  <c r="AK113" i="14"/>
  <c r="BN122" i="14"/>
  <c r="BR122" i="14"/>
  <c r="CL221" i="14"/>
  <c r="DU230" i="14"/>
  <c r="DP118" i="14"/>
  <c r="AI122" i="14"/>
  <c r="CE136" i="14"/>
  <c r="CI226" i="14"/>
  <c r="DI118" i="14"/>
  <c r="DQ226" i="14"/>
  <c r="AY226" i="14"/>
  <c r="BF230" i="14"/>
  <c r="DO113" i="14"/>
  <c r="AE118" i="14"/>
  <c r="BI118" i="14"/>
  <c r="CP221" i="14"/>
  <c r="CX230" i="14"/>
  <c r="CX221" i="14"/>
  <c r="DF122" i="14"/>
  <c r="DC226" i="14"/>
  <c r="BL226" i="14"/>
  <c r="DX113" i="14"/>
  <c r="CY226" i="14"/>
  <c r="BE113" i="14"/>
  <c r="DU113" i="14"/>
  <c r="EC118" i="14"/>
  <c r="AQ122" i="14"/>
  <c r="CH226" i="14"/>
  <c r="AO221" i="14"/>
  <c r="AS226" i="14"/>
  <c r="AW113" i="14"/>
  <c r="CW122" i="14"/>
  <c r="CY230" i="14"/>
  <c r="CH230" i="14"/>
  <c r="BV118" i="14"/>
  <c r="O18" i="10"/>
  <c r="O20" i="6" s="1"/>
  <c r="CL118" i="14"/>
  <c r="CT226" i="14"/>
  <c r="CW113" i="14"/>
  <c r="BE122" i="14"/>
  <c r="BE118" i="14"/>
  <c r="BN221" i="14"/>
  <c r="BR113" i="14"/>
  <c r="BV113" i="14"/>
  <c r="E31" i="30"/>
  <c r="CL230" i="14"/>
  <c r="CP122" i="14"/>
  <c r="CT122" i="14"/>
  <c r="CT113" i="14"/>
  <c r="CT142" i="14"/>
  <c r="DY122" i="14"/>
  <c r="DY113" i="14"/>
  <c r="EC178" i="14"/>
  <c r="DA118" i="14"/>
  <c r="AF113" i="14"/>
  <c r="DV118" i="14"/>
  <c r="AT113" i="14"/>
  <c r="AX113" i="14"/>
  <c r="DE122" i="14"/>
  <c r="Y18" i="10"/>
  <c r="X18" i="5" s="1"/>
  <c r="DL221" i="14"/>
  <c r="DT226" i="14"/>
  <c r="AF118" i="14"/>
  <c r="AJ226" i="14"/>
  <c r="AJ160" i="14"/>
  <c r="AN230" i="14"/>
  <c r="AN221" i="14"/>
  <c r="CB118" i="14"/>
  <c r="CB230" i="14"/>
  <c r="CF226" i="14"/>
  <c r="CJ230" i="14"/>
  <c r="BB122" i="14"/>
  <c r="BB113" i="14"/>
  <c r="BF113" i="14"/>
  <c r="BF142" i="14"/>
  <c r="BW221" i="14"/>
  <c r="CQ226" i="14"/>
  <c r="AP122" i="14"/>
  <c r="AP118" i="14"/>
  <c r="CX118" i="14"/>
  <c r="DF113" i="14"/>
  <c r="BY122" i="14"/>
  <c r="DC230" i="14"/>
  <c r="AH226" i="14"/>
  <c r="DW226" i="14"/>
  <c r="BL230" i="14"/>
  <c r="BM113" i="14"/>
  <c r="BU137" i="14"/>
  <c r="AV230" i="14"/>
  <c r="AZ122" i="14"/>
  <c r="AZ113" i="14"/>
  <c r="CZ230" i="14"/>
  <c r="CZ113" i="14"/>
  <c r="DD118" i="14"/>
  <c r="DK118" i="14"/>
  <c r="AE113" i="14"/>
  <c r="AI226" i="14"/>
  <c r="AM221" i="14"/>
  <c r="CA113" i="14"/>
  <c r="CE118" i="14"/>
  <c r="DM118" i="14"/>
  <c r="DM122" i="14"/>
  <c r="CC221" i="14"/>
  <c r="DG134" i="14"/>
  <c r="DG113" i="14"/>
  <c r="DB226" i="14"/>
  <c r="DF226" i="14"/>
  <c r="BC122" i="14"/>
  <c r="BK226" i="14"/>
  <c r="BQ221" i="14"/>
  <c r="BU118" i="14"/>
  <c r="BU221" i="14"/>
  <c r="W18" i="10"/>
  <c r="V18" i="5" s="1"/>
  <c r="CK226" i="14"/>
  <c r="CK113" i="14"/>
  <c r="CO122" i="14"/>
  <c r="CO221" i="14"/>
  <c r="CS118" i="14"/>
  <c r="DX118" i="14"/>
  <c r="AV113" i="14"/>
  <c r="CY113" i="14"/>
  <c r="DN113" i="14"/>
  <c r="CH138" i="14"/>
  <c r="CH221" i="14"/>
  <c r="AU118" i="14"/>
  <c r="AU113" i="14"/>
  <c r="AH113" i="14"/>
  <c r="BG122" i="14"/>
  <c r="BK230" i="14"/>
  <c r="BQ122" i="14"/>
  <c r="DX122" i="14"/>
  <c r="C452" i="32"/>
  <c r="DJ122" i="14"/>
  <c r="AD221" i="14"/>
  <c r="BA122" i="14"/>
  <c r="BA221" i="14"/>
  <c r="BE142" i="14"/>
  <c r="BI221" i="14"/>
  <c r="AW122" i="14"/>
  <c r="DL122" i="14"/>
  <c r="DT113" i="14"/>
  <c r="CJ226" i="14"/>
  <c r="CJ113" i="14"/>
  <c r="BB118" i="14"/>
  <c r="BF226" i="14"/>
  <c r="BN160" i="14"/>
  <c r="DY226" i="14"/>
  <c r="D453" i="32"/>
  <c r="BO230" i="14"/>
  <c r="BO118" i="14"/>
  <c r="BS160" i="14"/>
  <c r="BW142" i="14"/>
  <c r="BW118" i="14"/>
  <c r="CM178" i="14"/>
  <c r="CM118" i="14"/>
  <c r="CQ122" i="14"/>
  <c r="CU160" i="14"/>
  <c r="DV230" i="14"/>
  <c r="DV142" i="14"/>
  <c r="DV160" i="14"/>
  <c r="DZ113" i="14"/>
  <c r="ED221" i="14"/>
  <c r="BP118" i="14"/>
  <c r="BP113" i="14"/>
  <c r="BT226" i="14"/>
  <c r="CN221" i="14"/>
  <c r="CR142" i="14"/>
  <c r="CR230" i="14"/>
  <c r="CV118" i="14"/>
  <c r="EA160" i="14"/>
  <c r="EA113" i="14"/>
  <c r="EE178" i="14"/>
  <c r="EE230" i="14"/>
  <c r="BD221" i="14"/>
  <c r="BH122" i="14"/>
  <c r="BH221" i="14"/>
  <c r="BL221" i="14"/>
  <c r="D452" i="32"/>
  <c r="CD113" i="14"/>
  <c r="BS118" i="14"/>
  <c r="CM230" i="14"/>
  <c r="DV113" i="14"/>
  <c r="DZ230" i="14"/>
  <c r="AT118" i="14"/>
  <c r="AX118" i="14"/>
  <c r="DB122" i="14"/>
  <c r="AC221" i="14"/>
  <c r="AU122" i="14"/>
  <c r="DC221" i="14"/>
  <c r="BZ221" i="14"/>
  <c r="BC113" i="14"/>
  <c r="BG113" i="14"/>
  <c r="K42" i="35"/>
  <c r="BT221" i="14"/>
  <c r="CR128" i="14"/>
  <c r="BH118" i="14"/>
  <c r="DK230" i="14"/>
  <c r="DK113" i="14"/>
  <c r="DS118" i="14"/>
  <c r="DS221" i="14"/>
  <c r="AI113" i="14"/>
  <c r="AM230" i="14"/>
  <c r="CA139" i="14"/>
  <c r="CE226" i="14"/>
  <c r="DI221" i="14"/>
  <c r="CG118" i="14"/>
  <c r="DQ221" i="14"/>
  <c r="AG178" i="14"/>
  <c r="BS221" i="14"/>
  <c r="CM221" i="14"/>
  <c r="CU113" i="14"/>
  <c r="BX221" i="14"/>
  <c r="CN226" i="14"/>
  <c r="CR221" i="14"/>
  <c r="CV230" i="14"/>
  <c r="CV113" i="14"/>
  <c r="DW113" i="14"/>
  <c r="EA230" i="14"/>
  <c r="EA118" i="14"/>
  <c r="BM118" i="14"/>
  <c r="BQ160" i="14"/>
  <c r="BQ226" i="14"/>
  <c r="BU230" i="14"/>
  <c r="CO226" i="14"/>
  <c r="EB113" i="14"/>
  <c r="AR226" i="14"/>
  <c r="AV226" i="14"/>
  <c r="AZ118" i="14"/>
  <c r="CZ118" i="14"/>
  <c r="DD221" i="14"/>
  <c r="DH118" i="14"/>
  <c r="DH113" i="14"/>
  <c r="DH122" i="14"/>
  <c r="AE230" i="14"/>
  <c r="AQ142" i="14"/>
  <c r="CY160" i="14"/>
  <c r="DG230" i="14"/>
  <c r="AL178" i="14"/>
  <c r="CD178" i="14"/>
  <c r="O694" i="32"/>
  <c r="J133" i="32"/>
  <c r="X40" i="16"/>
  <c r="BN114" i="14"/>
  <c r="BN222" i="14"/>
  <c r="BN178" i="14"/>
  <c r="BN215" i="14"/>
  <c r="BN107" i="14"/>
  <c r="BN16" i="14"/>
  <c r="BR114" i="14"/>
  <c r="BR222" i="14"/>
  <c r="BE112" i="14"/>
  <c r="BE220" i="14"/>
  <c r="BE160" i="14"/>
  <c r="BE216" i="14"/>
  <c r="BE108" i="14"/>
  <c r="BE215" i="14"/>
  <c r="BE107" i="14"/>
  <c r="BE16" i="14"/>
  <c r="BI111" i="14"/>
  <c r="BI219" i="14"/>
  <c r="BI34" i="14"/>
  <c r="BI52" i="14"/>
  <c r="BI125" i="14"/>
  <c r="BN113" i="14"/>
  <c r="BR160" i="14"/>
  <c r="BR120" i="14"/>
  <c r="BR228" i="14"/>
  <c r="BA119" i="14"/>
  <c r="BA227" i="14"/>
  <c r="BA224" i="14"/>
  <c r="BA116" i="14"/>
  <c r="BE109" i="14"/>
  <c r="BE217" i="14"/>
  <c r="BI110" i="14"/>
  <c r="BI218" i="14"/>
  <c r="BI122" i="14"/>
  <c r="M694" i="32"/>
  <c r="I133" i="32"/>
  <c r="V40" i="16"/>
  <c r="U694" i="32"/>
  <c r="M133" i="32"/>
  <c r="AD40" i="16"/>
  <c r="BN229" i="14"/>
  <c r="BN121" i="14"/>
  <c r="BR111" i="14"/>
  <c r="BR219" i="14"/>
  <c r="BA110" i="14"/>
  <c r="BA218" i="14"/>
  <c r="BE228" i="14"/>
  <c r="BE120" i="14"/>
  <c r="BI114" i="14"/>
  <c r="BI222" i="14"/>
  <c r="BR121" i="14"/>
  <c r="BR229" i="14"/>
  <c r="BR109" i="14"/>
  <c r="BR217" i="14"/>
  <c r="BA121" i="14"/>
  <c r="BA229" i="14"/>
  <c r="BA114" i="14"/>
  <c r="BA222" i="14"/>
  <c r="BA223" i="14"/>
  <c r="BA115" i="14"/>
  <c r="BE178" i="14"/>
  <c r="BI224" i="14"/>
  <c r="BI116" i="14"/>
  <c r="BI120" i="14"/>
  <c r="BI228" i="14"/>
  <c r="I694" i="32"/>
  <c r="G133" i="32"/>
  <c r="R40" i="16"/>
  <c r="Q694" i="32"/>
  <c r="K133" i="32"/>
  <c r="Z40" i="16"/>
  <c r="BR123" i="14"/>
  <c r="BR231" i="14"/>
  <c r="BR115" i="14"/>
  <c r="BR223" i="14"/>
  <c r="BV34" i="14"/>
  <c r="BV122" i="14"/>
  <c r="BV219" i="14"/>
  <c r="BV111" i="14"/>
  <c r="BV216" i="14"/>
  <c r="BV108" i="14"/>
  <c r="BV160" i="14"/>
  <c r="BV224" i="14"/>
  <c r="BV116" i="14"/>
  <c r="G695" i="32"/>
  <c r="F134" i="32"/>
  <c r="K695" i="32"/>
  <c r="H134" i="32"/>
  <c r="S695" i="32"/>
  <c r="L134" i="32"/>
  <c r="CL119" i="14"/>
  <c r="CL227" i="14"/>
  <c r="CL121" i="14"/>
  <c r="CL229" i="14"/>
  <c r="CL125" i="14"/>
  <c r="CL52" i="14"/>
  <c r="CL222" i="14"/>
  <c r="CL114" i="14"/>
  <c r="CL178" i="14"/>
  <c r="CP231" i="14"/>
  <c r="CP123" i="14"/>
  <c r="CP220" i="14"/>
  <c r="CP112" i="14"/>
  <c r="CP121" i="14"/>
  <c r="CP229" i="14"/>
  <c r="CP120" i="14"/>
  <c r="CP228" i="14"/>
  <c r="CT223" i="14"/>
  <c r="CT115" i="14"/>
  <c r="K694" i="32"/>
  <c r="H133" i="32"/>
  <c r="T40" i="16"/>
  <c r="S694" i="32"/>
  <c r="L133" i="32"/>
  <c r="AB40" i="16"/>
  <c r="W694" i="32"/>
  <c r="N133" i="32"/>
  <c r="AF40" i="16"/>
  <c r="BR142" i="14"/>
  <c r="BA120" i="14"/>
  <c r="BA228" i="14"/>
  <c r="BA16" i="14"/>
  <c r="BA215" i="14"/>
  <c r="BA107" i="14"/>
  <c r="BE222" i="14"/>
  <c r="BE114" i="14"/>
  <c r="BI108" i="14"/>
  <c r="BI216" i="14"/>
  <c r="BI227" i="14"/>
  <c r="BI119" i="14"/>
  <c r="BI115" i="14"/>
  <c r="BI223" i="14"/>
  <c r="M42" i="35"/>
  <c r="BN224" i="14"/>
  <c r="BN116" i="14"/>
  <c r="BN112" i="14"/>
  <c r="BN220" i="14"/>
  <c r="BR215" i="14"/>
  <c r="BR16" i="14"/>
  <c r="BR107" i="14"/>
  <c r="BR224" i="14"/>
  <c r="BR116" i="14"/>
  <c r="BR221" i="14"/>
  <c r="BV221" i="14"/>
  <c r="BV228" i="14"/>
  <c r="BV120" i="14"/>
  <c r="BV125" i="14"/>
  <c r="BV52" i="14"/>
  <c r="BV123" i="14"/>
  <c r="BV231" i="14"/>
  <c r="BV112" i="14"/>
  <c r="BV220" i="14"/>
  <c r="BV119" i="14"/>
  <c r="BV227" i="14"/>
  <c r="E134" i="32"/>
  <c r="E695" i="32"/>
  <c r="M695" i="32"/>
  <c r="I134" i="32"/>
  <c r="U695" i="32"/>
  <c r="M134" i="32"/>
  <c r="CL34" i="14"/>
  <c r="CL216" i="14"/>
  <c r="CL108" i="14"/>
  <c r="CL109" i="14"/>
  <c r="CL217" i="14"/>
  <c r="CL123" i="14"/>
  <c r="CL231" i="14"/>
  <c r="CL120" i="14"/>
  <c r="CL228" i="14"/>
  <c r="CL142" i="14"/>
  <c r="CP115" i="14"/>
  <c r="CP223" i="14"/>
  <c r="CP52" i="14"/>
  <c r="CP125" i="14"/>
  <c r="CP16" i="14"/>
  <c r="CP107" i="14"/>
  <c r="CP215" i="14"/>
  <c r="CT119" i="14"/>
  <c r="CT227" i="14"/>
  <c r="CT221" i="14"/>
  <c r="CT111" i="14"/>
  <c r="CT219" i="14"/>
  <c r="CT228" i="14"/>
  <c r="CT120" i="14"/>
  <c r="CT231" i="14"/>
  <c r="CT123" i="14"/>
  <c r="DU160" i="14"/>
  <c r="DU231" i="14"/>
  <c r="DU123" i="14"/>
  <c r="DU224" i="14"/>
  <c r="DU116" i="14"/>
  <c r="DU110" i="14"/>
  <c r="DU218" i="14"/>
  <c r="DU115" i="14"/>
  <c r="DU223" i="14"/>
  <c r="DU225" i="14"/>
  <c r="DU117" i="14"/>
  <c r="DU108" i="14"/>
  <c r="DU216" i="14"/>
  <c r="DY221" i="14"/>
  <c r="DY222" i="14"/>
  <c r="DY114" i="14"/>
  <c r="DY230" i="14"/>
  <c r="DY119" i="14"/>
  <c r="DY227" i="14"/>
  <c r="DY52" i="14"/>
  <c r="DY125" i="14"/>
  <c r="EC196" i="14"/>
  <c r="EC34" i="14"/>
  <c r="EC52" i="14"/>
  <c r="EC125" i="14"/>
  <c r="EC120" i="14"/>
  <c r="EC228" i="14"/>
  <c r="EC114" i="14"/>
  <c r="EC222" i="14"/>
  <c r="EC217" i="14"/>
  <c r="EC109" i="14"/>
  <c r="AO220" i="14"/>
  <c r="AO112" i="14"/>
  <c r="AO114" i="14"/>
  <c r="AO222" i="14"/>
  <c r="AO113" i="14"/>
  <c r="AO117" i="14"/>
  <c r="AO225" i="14"/>
  <c r="AO142" i="14"/>
  <c r="AO227" i="14"/>
  <c r="AO119" i="14"/>
  <c r="AO108" i="14"/>
  <c r="AO216" i="14"/>
  <c r="AS118" i="14"/>
  <c r="AS142" i="14"/>
  <c r="AS111" i="14"/>
  <c r="AS219" i="14"/>
  <c r="AS120" i="14"/>
  <c r="AS228" i="14"/>
  <c r="AS108" i="14"/>
  <c r="AS216" i="14"/>
  <c r="AS110" i="14"/>
  <c r="AS218" i="14"/>
  <c r="AW221" i="14"/>
  <c r="AW52" i="14"/>
  <c r="AW16" i="14"/>
  <c r="AW215" i="14"/>
  <c r="AW107" i="14"/>
  <c r="AW219" i="14"/>
  <c r="AW111" i="14"/>
  <c r="CW34" i="14"/>
  <c r="CW231" i="14"/>
  <c r="CW123" i="14"/>
  <c r="CW52" i="14"/>
  <c r="CW125" i="14"/>
  <c r="CW226" i="14"/>
  <c r="CW108" i="14"/>
  <c r="CW216" i="14"/>
  <c r="CW230" i="14"/>
  <c r="CW142" i="14"/>
  <c r="CW160" i="14"/>
  <c r="CW115" i="14"/>
  <c r="CW223" i="14"/>
  <c r="DA116" i="14"/>
  <c r="DA224" i="14"/>
  <c r="DA119" i="14"/>
  <c r="DA227" i="14"/>
  <c r="DA142" i="14"/>
  <c r="DA160" i="14"/>
  <c r="DA215" i="14"/>
  <c r="DA16" i="14"/>
  <c r="DA107" i="14"/>
  <c r="DA125" i="14"/>
  <c r="DA52" i="14"/>
  <c r="DA114" i="14"/>
  <c r="DA222" i="14"/>
  <c r="DA120" i="14"/>
  <c r="DA228" i="14"/>
  <c r="DA225" i="14"/>
  <c r="DA117" i="14"/>
  <c r="DE119" i="14"/>
  <c r="DE227" i="14"/>
  <c r="DE16" i="14"/>
  <c r="DE215" i="14"/>
  <c r="DE107" i="14"/>
  <c r="DE225" i="14"/>
  <c r="DE117" i="14"/>
  <c r="DE142" i="14"/>
  <c r="DE160" i="14"/>
  <c r="DE34" i="14"/>
  <c r="DE118" i="14"/>
  <c r="DE123" i="14"/>
  <c r="DE231" i="14"/>
  <c r="DL216" i="14"/>
  <c r="DL108" i="14"/>
  <c r="DL52" i="14"/>
  <c r="DL125" i="14"/>
  <c r="DL114" i="14"/>
  <c r="DL222" i="14"/>
  <c r="DL115" i="14"/>
  <c r="DL223" i="14"/>
  <c r="DL119" i="14"/>
  <c r="DL227" i="14"/>
  <c r="DL228" i="14"/>
  <c r="DL120" i="14"/>
  <c r="DL110" i="14"/>
  <c r="DL218" i="14"/>
  <c r="DL220" i="14"/>
  <c r="DL112" i="14"/>
  <c r="DL107" i="14"/>
  <c r="DL16" i="14"/>
  <c r="DL215" i="14"/>
  <c r="DL229" i="14"/>
  <c r="DL121" i="14"/>
  <c r="DL117" i="14"/>
  <c r="DL225" i="14"/>
  <c r="DP113" i="14"/>
  <c r="DP160" i="14"/>
  <c r="DP178" i="14"/>
  <c r="DP116" i="14"/>
  <c r="DP224" i="14"/>
  <c r="DP112" i="14"/>
  <c r="DP220" i="14"/>
  <c r="DT224" i="14"/>
  <c r="DT116" i="14"/>
  <c r="DT178" i="14"/>
  <c r="DT34" i="14"/>
  <c r="DT117" i="14"/>
  <c r="DT225" i="14"/>
  <c r="DT142" i="14"/>
  <c r="DT218" i="14"/>
  <c r="DT110" i="14"/>
  <c r="DT119" i="14"/>
  <c r="DT227" i="14"/>
  <c r="AF219" i="14"/>
  <c r="AF111" i="14"/>
  <c r="AF122" i="14"/>
  <c r="AF34" i="14"/>
  <c r="AF107" i="14"/>
  <c r="AF215" i="14"/>
  <c r="AF16" i="14"/>
  <c r="AF115" i="14"/>
  <c r="AF223" i="14"/>
  <c r="AF52" i="14"/>
  <c r="AF125" i="14"/>
  <c r="AJ125" i="14"/>
  <c r="AJ52" i="14"/>
  <c r="AJ116" i="14"/>
  <c r="AJ224" i="14"/>
  <c r="AJ219" i="14"/>
  <c r="AJ111" i="14"/>
  <c r="AN113" i="14"/>
  <c r="AN225" i="14"/>
  <c r="AN117" i="14"/>
  <c r="AN122" i="14"/>
  <c r="AN220" i="14"/>
  <c r="AN112" i="14"/>
  <c r="AN110" i="14"/>
  <c r="AN218" i="14"/>
  <c r="AN114" i="14"/>
  <c r="AN222" i="14"/>
  <c r="AN224" i="14"/>
  <c r="AN116" i="14"/>
  <c r="CB224" i="14"/>
  <c r="CB116" i="14"/>
  <c r="CB178" i="14"/>
  <c r="CB229" i="14"/>
  <c r="CB121" i="14"/>
  <c r="CB119" i="14"/>
  <c r="CB227" i="14"/>
  <c r="CF121" i="14"/>
  <c r="CF229" i="14"/>
  <c r="CF111" i="14"/>
  <c r="CF219" i="14"/>
  <c r="CF118" i="14"/>
  <c r="CJ160" i="14"/>
  <c r="CJ108" i="14"/>
  <c r="CJ216" i="14"/>
  <c r="CJ228" i="14"/>
  <c r="CJ120" i="14"/>
  <c r="CJ215" i="14"/>
  <c r="CJ107" i="14"/>
  <c r="CJ16" i="14"/>
  <c r="BB225" i="14"/>
  <c r="BB117" i="14"/>
  <c r="BB125" i="14"/>
  <c r="BB52" i="14"/>
  <c r="BB160" i="14"/>
  <c r="BB142" i="14"/>
  <c r="BB178" i="14"/>
  <c r="BB224" i="14"/>
  <c r="BB116" i="14"/>
  <c r="BB119" i="14"/>
  <c r="BB227" i="14"/>
  <c r="BB217" i="14"/>
  <c r="BB109" i="14"/>
  <c r="BF108" i="14"/>
  <c r="BF216" i="14"/>
  <c r="BF219" i="14"/>
  <c r="BF111" i="14"/>
  <c r="BF178" i="14"/>
  <c r="BF221" i="14"/>
  <c r="BF125" i="14"/>
  <c r="BF52" i="14"/>
  <c r="BF121" i="14"/>
  <c r="BF229" i="14"/>
  <c r="BF160" i="14"/>
  <c r="BJ229" i="14"/>
  <c r="BJ121" i="14"/>
  <c r="BJ178" i="14"/>
  <c r="BJ117" i="14"/>
  <c r="BJ225" i="14"/>
  <c r="BJ120" i="14"/>
  <c r="BJ228" i="14"/>
  <c r="BJ218" i="14"/>
  <c r="BJ110" i="14"/>
  <c r="BJ221" i="14"/>
  <c r="BO216" i="14"/>
  <c r="BO108" i="14"/>
  <c r="BO120" i="14"/>
  <c r="BO228" i="14"/>
  <c r="BO221" i="14"/>
  <c r="BO178" i="14"/>
  <c r="BO121" i="14"/>
  <c r="BO229" i="14"/>
  <c r="BO117" i="14"/>
  <c r="BO225" i="14"/>
  <c r="BO111" i="14"/>
  <c r="BO219" i="14"/>
  <c r="BS115" i="14"/>
  <c r="BS223" i="14"/>
  <c r="BS16" i="14"/>
  <c r="BS215" i="14"/>
  <c r="BS107" i="14"/>
  <c r="BS52" i="14"/>
  <c r="BS125" i="14"/>
  <c r="BS119" i="14"/>
  <c r="BS227" i="14"/>
  <c r="BS120" i="14"/>
  <c r="BS228" i="14"/>
  <c r="BW119" i="14"/>
  <c r="BW227" i="14"/>
  <c r="BW225" i="14"/>
  <c r="BW117" i="14"/>
  <c r="BW231" i="14"/>
  <c r="BW123" i="14"/>
  <c r="CM224" i="14"/>
  <c r="CM116" i="14"/>
  <c r="CM229" i="14"/>
  <c r="CM121" i="14"/>
  <c r="CM34" i="14"/>
  <c r="CM217" i="14"/>
  <c r="CM109" i="14"/>
  <c r="CQ230" i="14"/>
  <c r="CQ220" i="14"/>
  <c r="CQ112" i="14"/>
  <c r="CQ125" i="14"/>
  <c r="CQ52" i="14"/>
  <c r="CQ142" i="14"/>
  <c r="CQ178" i="14"/>
  <c r="CQ224" i="14"/>
  <c r="CQ116" i="14"/>
  <c r="CQ216" i="14"/>
  <c r="CQ108" i="14"/>
  <c r="CQ107" i="14"/>
  <c r="CQ215" i="14"/>
  <c r="CQ16" i="14"/>
  <c r="CQ160" i="14"/>
  <c r="CU16" i="14"/>
  <c r="CU107" i="14"/>
  <c r="CU215" i="14"/>
  <c r="CU219" i="14"/>
  <c r="CU111" i="14"/>
  <c r="CU117" i="14"/>
  <c r="CU225" i="14"/>
  <c r="CU230" i="14"/>
  <c r="CU34" i="14"/>
  <c r="DV228" i="14"/>
  <c r="DV120" i="14"/>
  <c r="DV111" i="14"/>
  <c r="DV219" i="14"/>
  <c r="DV114" i="14"/>
  <c r="DV222" i="14"/>
  <c r="DZ110" i="14"/>
  <c r="DZ218" i="14"/>
  <c r="DZ225" i="14"/>
  <c r="DZ117" i="14"/>
  <c r="ED231" i="14"/>
  <c r="ED123" i="14"/>
  <c r="ED227" i="14"/>
  <c r="ED119" i="14"/>
  <c r="ED122" i="14"/>
  <c r="ED220" i="14"/>
  <c r="ED112" i="14"/>
  <c r="ED178" i="14"/>
  <c r="ED116" i="14"/>
  <c r="ED224" i="14"/>
  <c r="ED226" i="14"/>
  <c r="AP223" i="14"/>
  <c r="AP115" i="14"/>
  <c r="AP125" i="14"/>
  <c r="AP52" i="14"/>
  <c r="AP225" i="14"/>
  <c r="AP117" i="14"/>
  <c r="AP119" i="14"/>
  <c r="AP227" i="14"/>
  <c r="AP221" i="14"/>
  <c r="AP160" i="14"/>
  <c r="AP121" i="14"/>
  <c r="AP229" i="14"/>
  <c r="AT215" i="14"/>
  <c r="AT16" i="14"/>
  <c r="AT107" i="14"/>
  <c r="AT231" i="14"/>
  <c r="AT123" i="14"/>
  <c r="AT121" i="14"/>
  <c r="AT229" i="14"/>
  <c r="AT220" i="14"/>
  <c r="AT112" i="14"/>
  <c r="AX122" i="14"/>
  <c r="AX116" i="14"/>
  <c r="AX224" i="14"/>
  <c r="AX123" i="14"/>
  <c r="AX231" i="14"/>
  <c r="AX110" i="14"/>
  <c r="AX218" i="14"/>
  <c r="CX231" i="14"/>
  <c r="CX123" i="14"/>
  <c r="CX116" i="14"/>
  <c r="CX224" i="14"/>
  <c r="CX142" i="14"/>
  <c r="CX110" i="14"/>
  <c r="CX218" i="14"/>
  <c r="DB230" i="14"/>
  <c r="DB229" i="14"/>
  <c r="DB121" i="14"/>
  <c r="DB117" i="14"/>
  <c r="DB225" i="14"/>
  <c r="DB142" i="14"/>
  <c r="DB215" i="14"/>
  <c r="DB16" i="14"/>
  <c r="DB107" i="14"/>
  <c r="DB52" i="14"/>
  <c r="DB125" i="14"/>
  <c r="DB228" i="14"/>
  <c r="DB120" i="14"/>
  <c r="DB220" i="14"/>
  <c r="DB112" i="14"/>
  <c r="DB178" i="14"/>
  <c r="DF227" i="14"/>
  <c r="DF119" i="14"/>
  <c r="DF160" i="14"/>
  <c r="DF108" i="14"/>
  <c r="DF216" i="14"/>
  <c r="AC231" i="14"/>
  <c r="AC123" i="14"/>
  <c r="AC230" i="14"/>
  <c r="AC113" i="14"/>
  <c r="AC110" i="14"/>
  <c r="AC218" i="14"/>
  <c r="AC178" i="14"/>
  <c r="AC34" i="14"/>
  <c r="BY34" i="14"/>
  <c r="BY178" i="14"/>
  <c r="BY107" i="14"/>
  <c r="BY215" i="14"/>
  <c r="BY16" i="14"/>
  <c r="BY216" i="14"/>
  <c r="BY108" i="14"/>
  <c r="BY226" i="14"/>
  <c r="AU120" i="14"/>
  <c r="AU228" i="14"/>
  <c r="AU229" i="14"/>
  <c r="AU121" i="14"/>
  <c r="AU218" i="14"/>
  <c r="AU110" i="14"/>
  <c r="AU111" i="14"/>
  <c r="AU219" i="14"/>
  <c r="AU142" i="14"/>
  <c r="AU178" i="14"/>
  <c r="DC228" i="14"/>
  <c r="DC120" i="14"/>
  <c r="DC125" i="14"/>
  <c r="DC52" i="14"/>
  <c r="DC116" i="14"/>
  <c r="DC224" i="14"/>
  <c r="DC217" i="14"/>
  <c r="DC109" i="14"/>
  <c r="DC160" i="14"/>
  <c r="DC178" i="14"/>
  <c r="DC34" i="14"/>
  <c r="DC222" i="14"/>
  <c r="DC114" i="14"/>
  <c r="DC16" i="14"/>
  <c r="DC107" i="14"/>
  <c r="DC215" i="14"/>
  <c r="AH116" i="14"/>
  <c r="AH224" i="14"/>
  <c r="AH222" i="14"/>
  <c r="AH114" i="14"/>
  <c r="AH216" i="14"/>
  <c r="AH108" i="14"/>
  <c r="AH16" i="14"/>
  <c r="AH215" i="14"/>
  <c r="AH107" i="14"/>
  <c r="AH227" i="14"/>
  <c r="AH119" i="14"/>
  <c r="AH122" i="14"/>
  <c r="BZ121" i="14"/>
  <c r="BZ229" i="14"/>
  <c r="BZ225" i="14"/>
  <c r="BZ117" i="14"/>
  <c r="BZ122" i="14"/>
  <c r="BZ125" i="14"/>
  <c r="BZ52" i="14"/>
  <c r="BZ113" i="14"/>
  <c r="BC225" i="14"/>
  <c r="BC117" i="14"/>
  <c r="BC160" i="14"/>
  <c r="BC16" i="14"/>
  <c r="BC215" i="14"/>
  <c r="BC107" i="14"/>
  <c r="BC116" i="14"/>
  <c r="BC224" i="14"/>
  <c r="BC109" i="14"/>
  <c r="BC217" i="14"/>
  <c r="BC111" i="14"/>
  <c r="BC219" i="14"/>
  <c r="BC118" i="14"/>
  <c r="BC142" i="14"/>
  <c r="BG224" i="14"/>
  <c r="BG116" i="14"/>
  <c r="BG121" i="14"/>
  <c r="BG229" i="14"/>
  <c r="BG123" i="14"/>
  <c r="BG231" i="14"/>
  <c r="BG109" i="14"/>
  <c r="BG217" i="14"/>
  <c r="BG178" i="14"/>
  <c r="BG119" i="14"/>
  <c r="BG227" i="14"/>
  <c r="BK52" i="14"/>
  <c r="BK125" i="14"/>
  <c r="BK119" i="14"/>
  <c r="BK227" i="14"/>
  <c r="BK34" i="14"/>
  <c r="BK219" i="14"/>
  <c r="BK111" i="14"/>
  <c r="BP222" i="14"/>
  <c r="BP114" i="14"/>
  <c r="BP123" i="14"/>
  <c r="BP231" i="14"/>
  <c r="BP178" i="14"/>
  <c r="BP120" i="14"/>
  <c r="BP228" i="14"/>
  <c r="BP34" i="14"/>
  <c r="BT111" i="14"/>
  <c r="BT219" i="14"/>
  <c r="BT225" i="14"/>
  <c r="BT117" i="14"/>
  <c r="BT224" i="14"/>
  <c r="BT116" i="14"/>
  <c r="BT121" i="14"/>
  <c r="BT229" i="14"/>
  <c r="BT231" i="14"/>
  <c r="BT123" i="14"/>
  <c r="BT223" i="14"/>
  <c r="BT115" i="14"/>
  <c r="BX231" i="14"/>
  <c r="BX123" i="14"/>
  <c r="BX215" i="14"/>
  <c r="BX107" i="14"/>
  <c r="BX16" i="14"/>
  <c r="BX108" i="14"/>
  <c r="BX216" i="14"/>
  <c r="BX121" i="14"/>
  <c r="BX229" i="14"/>
  <c r="BX222" i="14"/>
  <c r="BX114" i="14"/>
  <c r="CN224" i="14"/>
  <c r="CN116" i="14"/>
  <c r="CN125" i="14"/>
  <c r="CN52" i="14"/>
  <c r="CN228" i="14"/>
  <c r="CN120" i="14"/>
  <c r="CN220" i="14"/>
  <c r="CN112" i="14"/>
  <c r="CN114" i="14"/>
  <c r="CN222" i="14"/>
  <c r="CN110" i="14"/>
  <c r="CN218" i="14"/>
  <c r="CN178" i="14"/>
  <c r="CR110" i="14"/>
  <c r="CR218" i="14"/>
  <c r="CR109" i="14"/>
  <c r="CR217" i="14"/>
  <c r="CR121" i="14"/>
  <c r="CR229" i="14"/>
  <c r="CR222" i="14"/>
  <c r="CR114" i="14"/>
  <c r="CR226" i="14"/>
  <c r="CV116" i="14"/>
  <c r="CV224" i="14"/>
  <c r="CV109" i="14"/>
  <c r="CV217" i="14"/>
  <c r="CV115" i="14"/>
  <c r="CV223" i="14"/>
  <c r="CV142" i="14"/>
  <c r="CV220" i="14"/>
  <c r="CV112" i="14"/>
  <c r="DW223" i="14"/>
  <c r="DW115" i="14"/>
  <c r="DW225" i="14"/>
  <c r="DW117" i="14"/>
  <c r="DW218" i="14"/>
  <c r="DW110" i="14"/>
  <c r="DW111" i="14"/>
  <c r="DW219" i="14"/>
  <c r="EA142" i="14"/>
  <c r="EA120" i="14"/>
  <c r="EA228" i="14"/>
  <c r="EA225" i="14"/>
  <c r="EA117" i="14"/>
  <c r="EE224" i="14"/>
  <c r="EE116" i="14"/>
  <c r="EE125" i="14"/>
  <c r="EE52" i="14"/>
  <c r="EE108" i="14"/>
  <c r="EE216" i="14"/>
  <c r="EE120" i="14"/>
  <c r="EE228" i="14"/>
  <c r="EE231" i="14"/>
  <c r="EE123" i="14"/>
  <c r="BD160" i="14"/>
  <c r="BD228" i="14"/>
  <c r="BD120" i="14"/>
  <c r="BD122" i="14"/>
  <c r="BD178" i="14"/>
  <c r="BD231" i="14"/>
  <c r="BD123" i="14"/>
  <c r="BD117" i="14"/>
  <c r="BD225" i="14"/>
  <c r="BD121" i="14"/>
  <c r="BD229" i="14"/>
  <c r="BH217" i="14"/>
  <c r="BH109" i="14"/>
  <c r="BH116" i="14"/>
  <c r="BH224" i="14"/>
  <c r="BH219" i="14"/>
  <c r="BH111" i="14"/>
  <c r="BL111" i="14"/>
  <c r="BL219" i="14"/>
  <c r="BL225" i="14"/>
  <c r="BL117" i="14"/>
  <c r="BL178" i="14"/>
  <c r="BL52" i="14"/>
  <c r="BL125" i="14"/>
  <c r="BL121" i="14"/>
  <c r="BL229" i="14"/>
  <c r="BL160" i="14"/>
  <c r="M99" i="11"/>
  <c r="BM223" i="14"/>
  <c r="BM115" i="14"/>
  <c r="BM160" i="14"/>
  <c r="BM142" i="14"/>
  <c r="BQ111" i="14"/>
  <c r="BQ219" i="14"/>
  <c r="BQ16" i="14"/>
  <c r="BQ215" i="14"/>
  <c r="BQ107" i="14"/>
  <c r="BQ142" i="14"/>
  <c r="BQ123" i="14"/>
  <c r="BQ231" i="14"/>
  <c r="BQ113" i="14"/>
  <c r="BQ228" i="14"/>
  <c r="BQ120" i="14"/>
  <c r="BU34" i="14"/>
  <c r="BU215" i="14"/>
  <c r="BU107" i="14"/>
  <c r="BU16" i="14"/>
  <c r="BU218" i="14"/>
  <c r="BU110" i="14"/>
  <c r="BU119" i="14"/>
  <c r="BU227" i="14"/>
  <c r="CK227" i="14"/>
  <c r="CK119" i="14"/>
  <c r="CK221" i="14"/>
  <c r="CK228" i="14"/>
  <c r="CK120" i="14"/>
  <c r="CK116" i="14"/>
  <c r="CK224" i="14"/>
  <c r="CK160" i="14"/>
  <c r="CK118" i="14"/>
  <c r="CO230" i="14"/>
  <c r="CO109" i="14"/>
  <c r="CO217" i="14"/>
  <c r="CO160" i="14"/>
  <c r="CO120" i="14"/>
  <c r="CO228" i="14"/>
  <c r="CO52" i="14"/>
  <c r="CO125" i="14"/>
  <c r="CO218" i="14"/>
  <c r="CO110" i="14"/>
  <c r="CS121" i="14"/>
  <c r="CS229" i="14"/>
  <c r="CS108" i="14"/>
  <c r="CS216" i="14"/>
  <c r="CS225" i="14"/>
  <c r="CS117" i="14"/>
  <c r="CS34" i="14"/>
  <c r="CS226" i="14"/>
  <c r="CS122" i="14"/>
  <c r="DX220" i="14"/>
  <c r="DX112" i="14"/>
  <c r="DX120" i="14"/>
  <c r="DX228" i="14"/>
  <c r="DX52" i="14"/>
  <c r="DX125" i="14"/>
  <c r="DX229" i="14"/>
  <c r="DX121" i="14"/>
  <c r="DX219" i="14"/>
  <c r="DX111" i="14"/>
  <c r="DX216" i="14"/>
  <c r="DX108" i="14"/>
  <c r="EB220" i="14"/>
  <c r="EB112" i="14"/>
  <c r="EB226" i="14"/>
  <c r="EB116" i="14"/>
  <c r="EB224" i="14"/>
  <c r="EB216" i="14"/>
  <c r="EB108" i="14"/>
  <c r="EJ172" i="14"/>
  <c r="EJ145" i="14"/>
  <c r="EJ168" i="14"/>
  <c r="EJ176" i="14"/>
  <c r="EJ144" i="14"/>
  <c r="EJ153" i="14"/>
  <c r="EJ22" i="14"/>
  <c r="EJ71" i="14"/>
  <c r="EJ183" i="14"/>
  <c r="EJ185" i="14"/>
  <c r="EJ67" i="14"/>
  <c r="EJ198" i="14"/>
  <c r="EJ24" i="14"/>
  <c r="EJ26" i="14"/>
  <c r="EJ27" i="14"/>
  <c r="EJ174" i="14"/>
  <c r="EJ56" i="14"/>
  <c r="EJ169" i="14"/>
  <c r="EJ28" i="14"/>
  <c r="EJ158" i="14"/>
  <c r="EJ32" i="14"/>
  <c r="EJ146" i="14"/>
  <c r="EJ30" i="14"/>
  <c r="EJ201" i="14"/>
  <c r="EJ191" i="14"/>
  <c r="EJ205" i="14"/>
  <c r="EJ60" i="14"/>
  <c r="EJ197" i="14"/>
  <c r="EJ143" i="14"/>
  <c r="EJ193" i="14"/>
  <c r="EJ162" i="14"/>
  <c r="EJ157" i="14"/>
  <c r="EJ152" i="14"/>
  <c r="EJ207" i="14"/>
  <c r="EJ150" i="14"/>
  <c r="EJ29" i="14"/>
  <c r="EJ18" i="14"/>
  <c r="EJ186" i="14"/>
  <c r="EJ63" i="14"/>
  <c r="EJ68" i="14"/>
  <c r="EJ58" i="14"/>
  <c r="EJ21" i="14"/>
  <c r="EJ54" i="14"/>
  <c r="EJ179" i="14"/>
  <c r="EJ194" i="14"/>
  <c r="EJ148" i="14"/>
  <c r="EJ59" i="14"/>
  <c r="EJ161" i="14"/>
  <c r="EJ164" i="14"/>
  <c r="EJ35" i="14"/>
  <c r="EJ19" i="14"/>
  <c r="EJ156" i="14"/>
  <c r="EJ189" i="14"/>
  <c r="EJ147" i="14"/>
  <c r="EJ180" i="14"/>
  <c r="EJ211" i="14"/>
  <c r="EJ175" i="14"/>
  <c r="EJ188" i="14"/>
  <c r="EJ20" i="14"/>
  <c r="EJ213" i="14"/>
  <c r="EJ202" i="14"/>
  <c r="EJ69" i="14"/>
  <c r="EJ177" i="14"/>
  <c r="EJ25" i="14"/>
  <c r="EJ199" i="14"/>
  <c r="EJ62" i="14"/>
  <c r="EJ154" i="14"/>
  <c r="EJ182" i="14"/>
  <c r="EJ209" i="14"/>
  <c r="EJ163" i="14"/>
  <c r="EJ200" i="14"/>
  <c r="EJ53" i="14"/>
  <c r="EJ195" i="14"/>
  <c r="EJ167" i="14"/>
  <c r="EJ64" i="14"/>
  <c r="EJ155" i="14"/>
  <c r="EJ23" i="14"/>
  <c r="EJ204" i="14"/>
  <c r="EJ65" i="14"/>
  <c r="EJ151" i="14"/>
  <c r="EJ66" i="14"/>
  <c r="EJ149" i="14"/>
  <c r="EJ184" i="14"/>
  <c r="EJ187" i="14"/>
  <c r="EJ31" i="14"/>
  <c r="EJ173" i="14"/>
  <c r="EJ159" i="14"/>
  <c r="EJ17" i="14"/>
  <c r="EJ171" i="14"/>
  <c r="EJ210" i="14"/>
  <c r="EJ181" i="14"/>
  <c r="EJ190" i="14"/>
  <c r="EJ165" i="14"/>
  <c r="EJ192" i="14"/>
  <c r="EJ212" i="14"/>
  <c r="EJ203" i="14"/>
  <c r="EJ206" i="14"/>
  <c r="EJ208" i="14"/>
  <c r="EJ61" i="14"/>
  <c r="EJ166" i="14"/>
  <c r="EJ57" i="14"/>
  <c r="EJ170" i="14"/>
  <c r="EJ33" i="14"/>
  <c r="EJ55" i="14"/>
  <c r="EJ40" i="14"/>
  <c r="EJ49" i="14"/>
  <c r="EJ39" i="14"/>
  <c r="EJ42" i="14"/>
  <c r="EJ47" i="14"/>
  <c r="EJ45" i="14"/>
  <c r="EJ41" i="14"/>
  <c r="EJ43" i="14"/>
  <c r="EJ51" i="14"/>
  <c r="EJ50" i="14"/>
  <c r="EJ46" i="14"/>
  <c r="EJ37" i="14"/>
  <c r="EJ36" i="14"/>
  <c r="EJ38" i="14"/>
  <c r="EJ44" i="14"/>
  <c r="EJ48" i="14"/>
  <c r="EJ81" i="14"/>
  <c r="EJ83" i="14"/>
  <c r="EJ79" i="14"/>
  <c r="EJ80" i="14"/>
  <c r="EJ84" i="14"/>
  <c r="EJ78" i="14"/>
  <c r="EJ86" i="14"/>
  <c r="EJ85" i="14"/>
  <c r="EJ73" i="14"/>
  <c r="EJ77" i="14"/>
  <c r="EJ87" i="14"/>
  <c r="EJ74" i="14"/>
  <c r="EJ76" i="14"/>
  <c r="EJ82" i="14"/>
  <c r="EJ75" i="14"/>
  <c r="EJ72" i="14"/>
  <c r="EK17" i="14"/>
  <c r="EK185" i="14"/>
  <c r="EK183" i="14"/>
  <c r="EK193" i="14"/>
  <c r="EK205" i="14"/>
  <c r="EK208" i="14"/>
  <c r="EK146" i="14"/>
  <c r="EK147" i="14"/>
  <c r="EK58" i="14"/>
  <c r="EK32" i="14"/>
  <c r="EK25" i="14"/>
  <c r="EK143" i="14"/>
  <c r="EK182" i="14"/>
  <c r="EK198" i="14"/>
  <c r="EK35" i="14"/>
  <c r="EK192" i="14"/>
  <c r="EK212" i="14"/>
  <c r="EK67" i="14"/>
  <c r="EK64" i="14"/>
  <c r="EK186" i="14"/>
  <c r="EK60" i="14"/>
  <c r="EK23" i="14"/>
  <c r="EK148" i="14"/>
  <c r="EK144" i="14"/>
  <c r="EK19" i="14"/>
  <c r="EK167" i="14"/>
  <c r="EK69" i="14"/>
  <c r="EK28" i="14"/>
  <c r="EK204" i="14"/>
  <c r="EK71" i="14"/>
  <c r="EK61" i="14"/>
  <c r="EK209" i="14"/>
  <c r="EK211" i="14"/>
  <c r="EK57" i="14"/>
  <c r="EK164" i="14"/>
  <c r="EK188" i="14"/>
  <c r="EK26" i="14"/>
  <c r="EK174" i="14"/>
  <c r="EK153" i="14"/>
  <c r="EK53" i="14"/>
  <c r="EK152" i="14"/>
  <c r="EK206" i="14"/>
  <c r="EK171" i="14"/>
  <c r="EK173" i="14"/>
  <c r="EK170" i="14"/>
  <c r="EK195" i="14"/>
  <c r="EK166" i="14"/>
  <c r="EK157" i="14"/>
  <c r="EK24" i="14"/>
  <c r="EK29" i="14"/>
  <c r="EK33" i="14"/>
  <c r="EK187" i="14"/>
  <c r="EK168" i="14"/>
  <c r="EK169" i="14"/>
  <c r="EK184" i="14"/>
  <c r="EK154" i="14"/>
  <c r="EK155" i="14"/>
  <c r="EK207" i="14"/>
  <c r="EK165" i="14"/>
  <c r="EK27" i="14"/>
  <c r="EK151" i="14"/>
  <c r="EK66" i="14"/>
  <c r="EK56" i="14"/>
  <c r="EK158" i="14"/>
  <c r="EK20" i="14"/>
  <c r="EK179" i="14"/>
  <c r="EK201" i="14"/>
  <c r="EK202" i="14"/>
  <c r="EK181" i="14"/>
  <c r="EK194" i="14"/>
  <c r="EK177" i="14"/>
  <c r="EK161" i="14"/>
  <c r="EK22" i="14"/>
  <c r="EK163" i="14"/>
  <c r="EK199" i="14"/>
  <c r="EK145" i="14"/>
  <c r="EK54" i="14"/>
  <c r="EK189" i="14"/>
  <c r="EK30" i="14"/>
  <c r="EK21" i="14"/>
  <c r="EK18" i="14"/>
  <c r="EK68" i="14"/>
  <c r="EK180" i="14"/>
  <c r="EK197" i="14"/>
  <c r="EK55" i="14"/>
  <c r="EK190" i="14"/>
  <c r="EK159" i="14"/>
  <c r="EK62" i="14"/>
  <c r="EK65" i="14"/>
  <c r="EK150" i="14"/>
  <c r="EK175" i="14"/>
  <c r="EK191" i="14"/>
  <c r="EK162" i="14"/>
  <c r="EK210" i="14"/>
  <c r="EK156" i="14"/>
  <c r="EK172" i="14"/>
  <c r="EK59" i="14"/>
  <c r="EK149" i="14"/>
  <c r="EK200" i="14"/>
  <c r="EK213" i="14"/>
  <c r="EK176" i="14"/>
  <c r="EK63" i="14"/>
  <c r="EK203" i="14"/>
  <c r="EK31" i="14"/>
  <c r="EK49" i="14"/>
  <c r="EK40" i="14"/>
  <c r="EK39" i="14"/>
  <c r="EK45" i="14"/>
  <c r="EK42" i="14"/>
  <c r="EK47" i="14"/>
  <c r="EK46" i="14"/>
  <c r="EK50" i="14"/>
  <c r="EK41" i="14"/>
  <c r="EK51" i="14"/>
  <c r="EK43" i="14"/>
  <c r="EK38" i="14"/>
  <c r="EK37" i="14"/>
  <c r="EK36" i="14"/>
  <c r="EK44" i="14"/>
  <c r="EK48" i="14"/>
  <c r="EK79" i="14"/>
  <c r="EK83" i="14"/>
  <c r="EK81" i="14"/>
  <c r="EK73" i="14"/>
  <c r="EK85" i="14"/>
  <c r="EK77" i="14"/>
  <c r="EK76" i="14"/>
  <c r="EK87" i="14"/>
  <c r="EK84" i="14"/>
  <c r="EK80" i="14"/>
  <c r="EK78" i="14"/>
  <c r="EK86" i="14"/>
  <c r="EK74" i="14"/>
  <c r="EK72" i="14"/>
  <c r="EK82" i="14"/>
  <c r="EK75" i="14"/>
  <c r="EM149" i="14"/>
  <c r="EM201" i="14"/>
  <c r="EM53" i="14"/>
  <c r="EM185" i="14"/>
  <c r="EM199" i="14"/>
  <c r="EM164" i="14"/>
  <c r="EM67" i="14"/>
  <c r="EM176" i="14"/>
  <c r="EM163" i="14"/>
  <c r="EM193" i="14"/>
  <c r="EM208" i="14"/>
  <c r="EM210" i="14"/>
  <c r="EM183" i="14"/>
  <c r="EM177" i="14"/>
  <c r="EM203" i="14"/>
  <c r="EM191" i="14"/>
  <c r="EM195" i="14"/>
  <c r="EM68" i="14"/>
  <c r="EM157" i="14"/>
  <c r="EM171" i="14"/>
  <c r="EM150" i="14"/>
  <c r="EM71" i="14"/>
  <c r="EM202" i="14"/>
  <c r="EM65" i="14"/>
  <c r="EM148" i="14"/>
  <c r="EM19" i="14"/>
  <c r="EM147" i="14"/>
  <c r="EM197" i="14"/>
  <c r="EM144" i="14"/>
  <c r="EM182" i="14"/>
  <c r="EM30" i="14"/>
  <c r="EM152" i="14"/>
  <c r="EM166" i="14"/>
  <c r="EM26" i="14"/>
  <c r="EM169" i="14"/>
  <c r="EM200" i="14"/>
  <c r="EM23" i="14"/>
  <c r="EM55" i="14"/>
  <c r="EM146" i="14"/>
  <c r="EM168" i="14"/>
  <c r="EM58" i="14"/>
  <c r="EM63" i="14"/>
  <c r="EM173" i="14"/>
  <c r="EM25" i="14"/>
  <c r="EM159" i="14"/>
  <c r="EM190" i="14"/>
  <c r="EM162" i="14"/>
  <c r="EM59" i="14"/>
  <c r="EM211" i="14"/>
  <c r="EM167" i="14"/>
  <c r="EM175" i="14"/>
  <c r="EM17" i="14"/>
  <c r="EM64" i="14"/>
  <c r="EM18" i="14"/>
  <c r="EM170" i="14"/>
  <c r="EM158" i="14"/>
  <c r="EM192" i="14"/>
  <c r="EM56" i="14"/>
  <c r="EM61" i="14"/>
  <c r="EM66" i="14"/>
  <c r="EM69" i="14"/>
  <c r="EM189" i="14"/>
  <c r="EM57" i="14"/>
  <c r="EM32" i="14"/>
  <c r="EM179" i="14"/>
  <c r="EM207" i="14"/>
  <c r="EM54" i="14"/>
  <c r="EM153" i="14"/>
  <c r="EM174" i="14"/>
  <c r="EM209" i="14"/>
  <c r="EM187" i="14"/>
  <c r="EM184" i="14"/>
  <c r="EM212" i="14"/>
  <c r="EM180" i="14"/>
  <c r="EM145" i="14"/>
  <c r="EM35" i="14"/>
  <c r="EM21" i="14"/>
  <c r="EM20" i="14"/>
  <c r="EM161" i="14"/>
  <c r="EM204" i="14"/>
  <c r="EM172" i="14"/>
  <c r="EM33" i="14"/>
  <c r="EM24" i="14"/>
  <c r="EM151" i="14"/>
  <c r="EM181" i="14"/>
  <c r="EM188" i="14"/>
  <c r="EM165" i="14"/>
  <c r="EM154" i="14"/>
  <c r="EM60" i="14"/>
  <c r="EM28" i="14"/>
  <c r="EM213" i="14"/>
  <c r="EM27" i="14"/>
  <c r="EM143" i="14"/>
  <c r="EM194" i="14"/>
  <c r="EM29" i="14"/>
  <c r="EM186" i="14"/>
  <c r="EM206" i="14"/>
  <c r="EM205" i="14"/>
  <c r="EM198" i="14"/>
  <c r="EM62" i="14"/>
  <c r="EM31" i="14"/>
  <c r="EM156" i="14"/>
  <c r="EM155" i="14"/>
  <c r="EM22" i="14"/>
  <c r="EM40" i="14"/>
  <c r="EM49" i="14"/>
  <c r="EM39" i="14"/>
  <c r="EM42" i="14"/>
  <c r="EM47" i="14"/>
  <c r="EM45" i="14"/>
  <c r="EM43" i="14"/>
  <c r="EM46" i="14"/>
  <c r="EM50" i="14"/>
  <c r="EM41" i="14"/>
  <c r="EM51" i="14"/>
  <c r="EM36" i="14"/>
  <c r="EM37" i="14"/>
  <c r="EM38" i="14"/>
  <c r="EM44" i="14"/>
  <c r="EM48" i="14"/>
  <c r="EM83" i="14"/>
  <c r="EM81" i="14"/>
  <c r="EM79" i="14"/>
  <c r="EM80" i="14"/>
  <c r="EM87" i="14"/>
  <c r="EM74" i="14"/>
  <c r="EM77" i="14"/>
  <c r="EM84" i="14"/>
  <c r="EM78" i="14"/>
  <c r="EM85" i="14"/>
  <c r="EM76" i="14"/>
  <c r="EM73" i="14"/>
  <c r="EM86" i="14"/>
  <c r="EM82" i="14"/>
  <c r="EM72" i="14"/>
  <c r="EM75" i="14"/>
  <c r="EO144" i="14"/>
  <c r="EO209" i="14"/>
  <c r="EO63" i="14"/>
  <c r="EO171" i="14"/>
  <c r="EO154" i="14"/>
  <c r="EO199" i="14"/>
  <c r="EO18" i="14"/>
  <c r="EO211" i="14"/>
  <c r="EO206" i="14"/>
  <c r="EO163" i="14"/>
  <c r="EO170" i="14"/>
  <c r="EO149" i="14"/>
  <c r="EO53" i="14"/>
  <c r="EO213" i="14"/>
  <c r="EO59" i="14"/>
  <c r="EO173" i="14"/>
  <c r="EO27" i="14"/>
  <c r="EO191" i="14"/>
  <c r="EO150" i="14"/>
  <c r="EO188" i="14"/>
  <c r="EO192" i="14"/>
  <c r="EO147" i="14"/>
  <c r="EO55" i="14"/>
  <c r="EO68" i="14"/>
  <c r="EO25" i="14"/>
  <c r="EO165" i="14"/>
  <c r="EO22" i="14"/>
  <c r="EO204" i="14"/>
  <c r="EO24" i="14"/>
  <c r="EO174" i="14"/>
  <c r="EO60" i="14"/>
  <c r="EO186" i="14"/>
  <c r="EO67" i="14"/>
  <c r="EO58" i="14"/>
  <c r="EO212" i="14"/>
  <c r="EO33" i="14"/>
  <c r="EO210" i="14"/>
  <c r="EO152" i="14"/>
  <c r="EO143" i="14"/>
  <c r="EO159" i="14"/>
  <c r="EO185" i="14"/>
  <c r="EO30" i="14"/>
  <c r="EO157" i="14"/>
  <c r="EO28" i="14"/>
  <c r="EO200" i="14"/>
  <c r="EO21" i="14"/>
  <c r="EO164" i="14"/>
  <c r="EO198" i="14"/>
  <c r="EO57" i="14"/>
  <c r="EO158" i="14"/>
  <c r="EO161" i="14"/>
  <c r="EO205" i="14"/>
  <c r="EO194" i="14"/>
  <c r="EO197" i="14"/>
  <c r="EO148" i="14"/>
  <c r="EO162" i="14"/>
  <c r="EO175" i="14"/>
  <c r="EO166" i="14"/>
  <c r="EO31" i="14"/>
  <c r="EO189" i="14"/>
  <c r="EO202" i="14"/>
  <c r="EO187" i="14"/>
  <c r="EO32" i="14"/>
  <c r="EO176" i="14"/>
  <c r="EO151" i="14"/>
  <c r="EO29" i="14"/>
  <c r="EO184" i="14"/>
  <c r="EO193" i="14"/>
  <c r="EO155" i="14"/>
  <c r="EO26" i="14"/>
  <c r="EO207" i="14"/>
  <c r="EO195" i="14"/>
  <c r="EO17" i="14"/>
  <c r="EO20" i="14"/>
  <c r="EO66" i="14"/>
  <c r="EO201" i="14"/>
  <c r="EO181" i="14"/>
  <c r="EO69" i="14"/>
  <c r="EO62" i="14"/>
  <c r="EO153" i="14"/>
  <c r="EO156" i="14"/>
  <c r="EO146" i="14"/>
  <c r="EO168" i="14"/>
  <c r="EO23" i="14"/>
  <c r="EO203" i="14"/>
  <c r="EO177" i="14"/>
  <c r="EO169" i="14"/>
  <c r="EO64" i="14"/>
  <c r="EO65" i="14"/>
  <c r="EO19" i="14"/>
  <c r="EO145" i="14"/>
  <c r="EO183" i="14"/>
  <c r="EO71" i="14"/>
  <c r="EO54" i="14"/>
  <c r="EO35" i="14"/>
  <c r="EO190" i="14"/>
  <c r="EO182" i="14"/>
  <c r="EO180" i="14"/>
  <c r="EO61" i="14"/>
  <c r="EO179" i="14"/>
  <c r="EO208" i="14"/>
  <c r="EO167" i="14"/>
  <c r="EO56" i="14"/>
  <c r="EO172" i="14"/>
  <c r="EO49" i="14"/>
  <c r="EO40" i="14"/>
  <c r="EO39" i="14"/>
  <c r="EO42" i="14"/>
  <c r="EO45" i="14"/>
  <c r="EO47" i="14"/>
  <c r="EO51" i="14"/>
  <c r="EO46" i="14"/>
  <c r="EO43" i="14"/>
  <c r="EO41" i="14"/>
  <c r="EO50" i="14"/>
  <c r="EO36" i="14"/>
  <c r="EO44" i="14"/>
  <c r="EO38" i="14"/>
  <c r="EO37" i="14"/>
  <c r="EO48" i="14"/>
  <c r="EO83" i="14"/>
  <c r="EO81" i="14"/>
  <c r="EO79" i="14"/>
  <c r="EO77" i="14"/>
  <c r="EO84" i="14"/>
  <c r="EO80" i="14"/>
  <c r="EO85" i="14"/>
  <c r="EO74" i="14"/>
  <c r="EO78" i="14"/>
  <c r="EO76" i="14"/>
  <c r="EO86" i="14"/>
  <c r="EO87" i="14"/>
  <c r="EO73" i="14"/>
  <c r="EO75" i="14"/>
  <c r="EO72" i="14"/>
  <c r="EO82" i="14"/>
  <c r="V18" i="10"/>
  <c r="AR121" i="14"/>
  <c r="AR229" i="14"/>
  <c r="AR178" i="14"/>
  <c r="AR218" i="14"/>
  <c r="AR110" i="14"/>
  <c r="AR108" i="14"/>
  <c r="AR216" i="14"/>
  <c r="AR52" i="14"/>
  <c r="AR125" i="14"/>
  <c r="AR217" i="14"/>
  <c r="AR109" i="14"/>
  <c r="AV123" i="14"/>
  <c r="AV231" i="14"/>
  <c r="M25" i="14"/>
  <c r="AV223" i="14"/>
  <c r="AV115" i="14"/>
  <c r="AZ125" i="14"/>
  <c r="AZ52" i="14"/>
  <c r="AZ227" i="14"/>
  <c r="AZ119" i="14"/>
  <c r="AZ108" i="14"/>
  <c r="AZ216" i="14"/>
  <c r="AZ178" i="14"/>
  <c r="AZ217" i="14"/>
  <c r="AZ109" i="14"/>
  <c r="AZ220" i="14"/>
  <c r="AZ112" i="14"/>
  <c r="AZ225" i="14"/>
  <c r="AZ117" i="14"/>
  <c r="CZ215" i="14"/>
  <c r="CZ16" i="14"/>
  <c r="CZ107" i="14"/>
  <c r="CZ160" i="14"/>
  <c r="CZ219" i="14"/>
  <c r="CZ111" i="14"/>
  <c r="DD123" i="14"/>
  <c r="DD231" i="14"/>
  <c r="DD120" i="14"/>
  <c r="DD228" i="14"/>
  <c r="DD108" i="14"/>
  <c r="DD216" i="14"/>
  <c r="DD109" i="14"/>
  <c r="DD217" i="14"/>
  <c r="DD114" i="14"/>
  <c r="DD222" i="14"/>
  <c r="DD111" i="14"/>
  <c r="DD219" i="14"/>
  <c r="DD34" i="14"/>
  <c r="DH117" i="14"/>
  <c r="DH225" i="14"/>
  <c r="DH116" i="14"/>
  <c r="DH224" i="14"/>
  <c r="DH34" i="14"/>
  <c r="DH228" i="14"/>
  <c r="DH120" i="14"/>
  <c r="DH52" i="14"/>
  <c r="DH125" i="14"/>
  <c r="DK114" i="14"/>
  <c r="DK222" i="14"/>
  <c r="DK160" i="14"/>
  <c r="DK123" i="14"/>
  <c r="DK231" i="14"/>
  <c r="DK219" i="14"/>
  <c r="DK111" i="14"/>
  <c r="DK224" i="14"/>
  <c r="DK116" i="14"/>
  <c r="DO110" i="14"/>
  <c r="DO218" i="14"/>
  <c r="DO116" i="14"/>
  <c r="DO224" i="14"/>
  <c r="DO107" i="14"/>
  <c r="DO215" i="14"/>
  <c r="DO16" i="14"/>
  <c r="DO228" i="14"/>
  <c r="DO120" i="14"/>
  <c r="DO52" i="14"/>
  <c r="DO125" i="14"/>
  <c r="DO230" i="14"/>
  <c r="DS229" i="14"/>
  <c r="DS121" i="14"/>
  <c r="DS119" i="14"/>
  <c r="DS227" i="14"/>
  <c r="DS231" i="14"/>
  <c r="DS123" i="14"/>
  <c r="AE125" i="14"/>
  <c r="AE52" i="14"/>
  <c r="AE178" i="14"/>
  <c r="AE115" i="14"/>
  <c r="AE223" i="14"/>
  <c r="AE215" i="14"/>
  <c r="AE107" i="14"/>
  <c r="AE16" i="14"/>
  <c r="AE224" i="14"/>
  <c r="AE116" i="14"/>
  <c r="AE231" i="14"/>
  <c r="AE123" i="14"/>
  <c r="AE217" i="14"/>
  <c r="AE109" i="14"/>
  <c r="AE160" i="14"/>
  <c r="AI217" i="14"/>
  <c r="AI109" i="14"/>
  <c r="AI123" i="14"/>
  <c r="AI231" i="14"/>
  <c r="AI117" i="14"/>
  <c r="AI225" i="14"/>
  <c r="AI115" i="14"/>
  <c r="AI223" i="14"/>
  <c r="AI116" i="14"/>
  <c r="AI224" i="14"/>
  <c r="AI219" i="14"/>
  <c r="AI111" i="14"/>
  <c r="AM224" i="14"/>
  <c r="AM116" i="14"/>
  <c r="AM109" i="14"/>
  <c r="AM217" i="14"/>
  <c r="AM227" i="14"/>
  <c r="AM119" i="14"/>
  <c r="AM142" i="14"/>
  <c r="CA111" i="14"/>
  <c r="CA219" i="14"/>
  <c r="CA52" i="14"/>
  <c r="CA125" i="14"/>
  <c r="CA116" i="14"/>
  <c r="CA224" i="14"/>
  <c r="CA226" i="14"/>
  <c r="CE116" i="14"/>
  <c r="CE224" i="14"/>
  <c r="CE142" i="14"/>
  <c r="CE108" i="14"/>
  <c r="CE216" i="14"/>
  <c r="CE109" i="14"/>
  <c r="CE217" i="14"/>
  <c r="CE220" i="14"/>
  <c r="CE112" i="14"/>
  <c r="CE228" i="14"/>
  <c r="CE120" i="14"/>
  <c r="CE117" i="14"/>
  <c r="CE225" i="14"/>
  <c r="CE52" i="14"/>
  <c r="CE125" i="14"/>
  <c r="CE160" i="14"/>
  <c r="CI16" i="14"/>
  <c r="CI215" i="14"/>
  <c r="CI107" i="14"/>
  <c r="CI223" i="14"/>
  <c r="CI115" i="14"/>
  <c r="CI34" i="14"/>
  <c r="CI228" i="14"/>
  <c r="CI120" i="14"/>
  <c r="CI178" i="14"/>
  <c r="CI113" i="14"/>
  <c r="CI110" i="14"/>
  <c r="CI218" i="14"/>
  <c r="DI34" i="14"/>
  <c r="DI217" i="14"/>
  <c r="DI109" i="14"/>
  <c r="DI115" i="14"/>
  <c r="DI223" i="14"/>
  <c r="DI16" i="14"/>
  <c r="DI215" i="14"/>
  <c r="DI107" i="14"/>
  <c r="DI178" i="14"/>
  <c r="DI142" i="14"/>
  <c r="DM223" i="14"/>
  <c r="DM115" i="14"/>
  <c r="DM110" i="14"/>
  <c r="DM218" i="14"/>
  <c r="DQ125" i="14"/>
  <c r="DQ52" i="14"/>
  <c r="DQ230" i="14"/>
  <c r="DQ223" i="14"/>
  <c r="DQ115" i="14"/>
  <c r="DQ108" i="14"/>
  <c r="DQ216" i="14"/>
  <c r="DQ227" i="14"/>
  <c r="DQ119" i="14"/>
  <c r="AG217" i="14"/>
  <c r="AG109" i="14"/>
  <c r="AG119" i="14"/>
  <c r="AG227" i="14"/>
  <c r="AG117" i="14"/>
  <c r="AG225" i="14"/>
  <c r="AK218" i="14"/>
  <c r="AK110" i="14"/>
  <c r="AK117" i="14"/>
  <c r="AK225" i="14"/>
  <c r="AK142" i="14"/>
  <c r="AK231" i="14"/>
  <c r="AK123" i="14"/>
  <c r="AK121" i="14"/>
  <c r="AK229" i="14"/>
  <c r="AK16" i="14"/>
  <c r="AK215" i="14"/>
  <c r="AK107" i="14"/>
  <c r="AK220" i="14"/>
  <c r="AK112" i="14"/>
  <c r="CC217" i="14"/>
  <c r="CC109" i="14"/>
  <c r="CC52" i="14"/>
  <c r="CC125" i="14"/>
  <c r="CC160" i="14"/>
  <c r="CC218" i="14"/>
  <c r="CC110" i="14"/>
  <c r="CG120" i="14"/>
  <c r="CG228" i="14"/>
  <c r="CG142" i="14"/>
  <c r="CG160" i="14"/>
  <c r="CG111" i="14"/>
  <c r="CG219" i="14"/>
  <c r="CG225" i="14"/>
  <c r="CG117" i="14"/>
  <c r="AQ120" i="14"/>
  <c r="AQ228" i="14"/>
  <c r="AQ112" i="14"/>
  <c r="AQ220" i="14"/>
  <c r="AQ115" i="14"/>
  <c r="AQ223" i="14"/>
  <c r="AQ125" i="14"/>
  <c r="AQ52" i="14"/>
  <c r="AQ109" i="14"/>
  <c r="AQ217" i="14"/>
  <c r="AY121" i="14"/>
  <c r="AY229" i="14"/>
  <c r="AY117" i="14"/>
  <c r="AY225" i="14"/>
  <c r="AY115" i="14"/>
  <c r="AY223" i="14"/>
  <c r="AY113" i="14"/>
  <c r="AY34" i="14"/>
  <c r="AY111" i="14"/>
  <c r="AY219" i="14"/>
  <c r="AY16" i="14"/>
  <c r="AY215" i="14"/>
  <c r="AY107" i="14"/>
  <c r="CY224" i="14"/>
  <c r="CY116" i="14"/>
  <c r="CY231" i="14"/>
  <c r="CY123" i="14"/>
  <c r="CY178" i="14"/>
  <c r="CY108" i="14"/>
  <c r="CY216" i="14"/>
  <c r="CY117" i="14"/>
  <c r="CY225" i="14"/>
  <c r="DG227" i="14"/>
  <c r="DG119" i="14"/>
  <c r="DG228" i="14"/>
  <c r="DG120" i="14"/>
  <c r="DG223" i="14"/>
  <c r="DG115" i="14"/>
  <c r="DG142" i="14"/>
  <c r="DG160" i="14"/>
  <c r="DG225" i="14"/>
  <c r="DG117" i="14"/>
  <c r="DJ117" i="14"/>
  <c r="DJ225" i="14"/>
  <c r="DJ119" i="14"/>
  <c r="DJ227" i="14"/>
  <c r="DJ160" i="14"/>
  <c r="DJ111" i="14"/>
  <c r="DJ219" i="14"/>
  <c r="DJ215" i="14"/>
  <c r="DJ16" i="14"/>
  <c r="DJ107" i="14"/>
  <c r="DN142" i="14"/>
  <c r="DN116" i="14"/>
  <c r="DN224" i="14"/>
  <c r="DN115" i="14"/>
  <c r="DN223" i="14"/>
  <c r="DN16" i="14"/>
  <c r="DN215" i="14"/>
  <c r="DN107" i="14"/>
  <c r="DN229" i="14"/>
  <c r="DN121" i="14"/>
  <c r="DN111" i="14"/>
  <c r="DN219" i="14"/>
  <c r="DN225" i="14"/>
  <c r="DN117" i="14"/>
  <c r="DR222" i="14"/>
  <c r="DR114" i="14"/>
  <c r="DR123" i="14"/>
  <c r="DR231" i="14"/>
  <c r="DR111" i="14"/>
  <c r="DR219" i="14"/>
  <c r="DR226" i="14"/>
  <c r="AD115" i="14"/>
  <c r="AD223" i="14"/>
  <c r="AD114" i="14"/>
  <c r="AD222" i="14"/>
  <c r="AD178" i="14"/>
  <c r="AD229" i="14"/>
  <c r="AD121" i="14"/>
  <c r="AD227" i="14"/>
  <c r="AD119" i="14"/>
  <c r="AL218" i="14"/>
  <c r="AL110" i="14"/>
  <c r="AL117" i="14"/>
  <c r="AL225" i="14"/>
  <c r="AL223" i="14"/>
  <c r="AL115" i="14"/>
  <c r="AL112" i="14"/>
  <c r="AL220" i="14"/>
  <c r="AL121" i="14"/>
  <c r="AL229" i="14"/>
  <c r="AL216" i="14"/>
  <c r="AL108" i="14"/>
  <c r="AL228" i="14"/>
  <c r="AL120" i="14"/>
  <c r="CD115" i="14"/>
  <c r="CD223" i="14"/>
  <c r="CD114" i="14"/>
  <c r="CD222" i="14"/>
  <c r="CD122" i="14"/>
  <c r="CH119" i="14"/>
  <c r="CH227" i="14"/>
  <c r="CH225" i="14"/>
  <c r="CH117" i="14"/>
  <c r="BA113" i="14"/>
  <c r="BA108" i="14"/>
  <c r="BA216" i="14"/>
  <c r="BA225" i="14"/>
  <c r="BA117" i="14"/>
  <c r="BA219" i="14"/>
  <c r="BA111" i="14"/>
  <c r="BA178" i="14"/>
  <c r="BA142" i="14"/>
  <c r="BA125" i="14"/>
  <c r="BA52" i="14"/>
  <c r="BE221" i="14"/>
  <c r="BE34" i="14"/>
  <c r="BE218" i="14"/>
  <c r="BE110" i="14"/>
  <c r="BE226" i="14"/>
  <c r="BE230" i="14"/>
  <c r="BE119" i="14"/>
  <c r="BE227" i="14"/>
  <c r="BE231" i="14"/>
  <c r="BE123" i="14"/>
  <c r="BI113" i="14"/>
  <c r="BI178" i="14"/>
  <c r="BI142" i="14"/>
  <c r="BI225" i="14"/>
  <c r="BI117" i="14"/>
  <c r="BI226" i="14"/>
  <c r="BI229" i="14"/>
  <c r="BI121" i="14"/>
  <c r="BI109" i="14"/>
  <c r="BI217" i="14"/>
  <c r="BI215" i="14"/>
  <c r="BI107" i="14"/>
  <c r="BI16" i="14"/>
  <c r="F32" i="30"/>
  <c r="F30" i="30"/>
  <c r="N41" i="16"/>
  <c r="N46" i="6"/>
  <c r="BN110" i="14"/>
  <c r="BN218" i="14"/>
  <c r="BN230" i="14"/>
  <c r="BN120" i="14"/>
  <c r="BN228" i="14"/>
  <c r="BN119" i="14"/>
  <c r="BN227" i="14"/>
  <c r="BN34" i="14"/>
  <c r="BR118" i="14"/>
  <c r="BR34" i="14"/>
  <c r="BR112" i="14"/>
  <c r="BR220" i="14"/>
  <c r="BR119" i="14"/>
  <c r="BR227" i="14"/>
  <c r="BR216" i="14"/>
  <c r="BR108" i="14"/>
  <c r="BR230" i="14"/>
  <c r="BV115" i="14"/>
  <c r="BV223" i="14"/>
  <c r="BV117" i="14"/>
  <c r="BV225" i="14"/>
  <c r="BV121" i="14"/>
  <c r="BV229" i="14"/>
  <c r="BV16" i="14"/>
  <c r="BV215" i="14"/>
  <c r="BV107" i="14"/>
  <c r="H32" i="35"/>
  <c r="D32" i="35"/>
  <c r="O695" i="32"/>
  <c r="J134" i="32"/>
  <c r="W695" i="32"/>
  <c r="N134" i="32"/>
  <c r="CL113" i="14"/>
  <c r="CL160" i="14"/>
  <c r="CL112" i="14"/>
  <c r="CL220" i="14"/>
  <c r="CL110" i="14"/>
  <c r="CL218" i="14"/>
  <c r="CL111" i="14"/>
  <c r="CL219" i="14"/>
  <c r="CP118" i="14"/>
  <c r="CP142" i="14"/>
  <c r="CP218" i="14"/>
  <c r="CP110" i="14"/>
  <c r="CP227" i="14"/>
  <c r="CP119" i="14"/>
  <c r="CP116" i="14"/>
  <c r="CP224" i="14"/>
  <c r="CP108" i="14"/>
  <c r="CP216" i="14"/>
  <c r="CP109" i="14"/>
  <c r="CP217" i="14"/>
  <c r="CT216" i="14"/>
  <c r="CT108" i="14"/>
  <c r="CT222" i="14"/>
  <c r="CT114" i="14"/>
  <c r="CT224" i="14"/>
  <c r="CT116" i="14"/>
  <c r="CT52" i="14"/>
  <c r="CT125" i="14"/>
  <c r="DU111" i="14"/>
  <c r="DU219" i="14"/>
  <c r="DU229" i="14"/>
  <c r="DU121" i="14"/>
  <c r="DU122" i="14"/>
  <c r="DU118" i="14"/>
  <c r="DY109" i="14"/>
  <c r="DY217" i="14"/>
  <c r="DY178" i="14"/>
  <c r="DY118" i="14"/>
  <c r="DY228" i="14"/>
  <c r="DY120" i="14"/>
  <c r="DY34" i="14"/>
  <c r="DY223" i="14"/>
  <c r="DY115" i="14"/>
  <c r="DY229" i="14"/>
  <c r="DY121" i="14"/>
  <c r="EC218" i="14"/>
  <c r="EC110" i="14"/>
  <c r="EC142" i="14"/>
  <c r="EC230" i="14"/>
  <c r="EC108" i="14"/>
  <c r="EC216" i="14"/>
  <c r="EC119" i="14"/>
  <c r="EC227" i="14"/>
  <c r="EC231" i="14"/>
  <c r="EC123" i="14"/>
  <c r="EC16" i="14"/>
  <c r="EC107" i="14"/>
  <c r="EC215" i="14"/>
  <c r="EC219" i="14"/>
  <c r="EC111" i="14"/>
  <c r="EC121" i="14"/>
  <c r="EC229" i="14"/>
  <c r="AO178" i="14"/>
  <c r="AO230" i="14"/>
  <c r="AO110" i="14"/>
  <c r="AO218" i="14"/>
  <c r="AO160" i="14"/>
  <c r="AO121" i="14"/>
  <c r="AO229" i="14"/>
  <c r="AS227" i="14"/>
  <c r="AS119" i="14"/>
  <c r="AS112" i="14"/>
  <c r="AS220" i="14"/>
  <c r="AS122" i="14"/>
  <c r="AS178" i="14"/>
  <c r="AS222" i="14"/>
  <c r="AS114" i="14"/>
  <c r="AS34" i="14"/>
  <c r="AS16" i="14"/>
  <c r="AS107" i="14"/>
  <c r="AS215" i="14"/>
  <c r="AW230" i="14"/>
  <c r="AW142" i="14"/>
  <c r="AW217" i="14"/>
  <c r="AW109" i="14"/>
  <c r="AW117" i="14"/>
  <c r="AW225" i="14"/>
  <c r="AW120" i="14"/>
  <c r="AW228" i="14"/>
  <c r="AW115" i="14"/>
  <c r="AW223" i="14"/>
  <c r="AW34" i="14"/>
  <c r="CW221" i="14"/>
  <c r="CW225" i="14"/>
  <c r="CW117" i="14"/>
  <c r="CW116" i="14"/>
  <c r="CW224" i="14"/>
  <c r="CW178" i="14"/>
  <c r="DA221" i="14"/>
  <c r="DA178" i="14"/>
  <c r="DA218" i="14"/>
  <c r="DA110" i="14"/>
  <c r="DA226" i="14"/>
  <c r="DE230" i="14"/>
  <c r="DE111" i="14"/>
  <c r="DE219" i="14"/>
  <c r="DE115" i="14"/>
  <c r="DE223" i="14"/>
  <c r="DE116" i="14"/>
  <c r="DE224" i="14"/>
  <c r="DE121" i="14"/>
  <c r="DE229" i="14"/>
  <c r="DE120" i="14"/>
  <c r="DE228" i="14"/>
  <c r="DL224" i="14"/>
  <c r="DL116" i="14"/>
  <c r="DL34" i="14"/>
  <c r="DL111" i="14"/>
  <c r="DL219" i="14"/>
  <c r="DL226" i="14"/>
  <c r="DP109" i="14"/>
  <c r="DP217" i="14"/>
  <c r="DP114" i="14"/>
  <c r="DP222" i="14"/>
  <c r="DP117" i="14"/>
  <c r="DP225" i="14"/>
  <c r="DP123" i="14"/>
  <c r="DP231" i="14"/>
  <c r="DP142" i="14"/>
  <c r="DP120" i="14"/>
  <c r="DP228" i="14"/>
  <c r="DP52" i="14"/>
  <c r="DP125" i="14"/>
  <c r="DT125" i="14"/>
  <c r="DT52" i="14"/>
  <c r="DT220" i="14"/>
  <c r="DT112" i="14"/>
  <c r="DT111" i="14"/>
  <c r="DT219" i="14"/>
  <c r="DT118" i="14"/>
  <c r="AF117" i="14"/>
  <c r="AF225" i="14"/>
  <c r="AF123" i="14"/>
  <c r="AF231" i="14"/>
  <c r="AF218" i="14"/>
  <c r="AF110" i="14"/>
  <c r="AF228" i="14"/>
  <c r="AF120" i="14"/>
  <c r="AF119" i="14"/>
  <c r="AF227" i="14"/>
  <c r="AF221" i="14"/>
  <c r="AF216" i="14"/>
  <c r="AF108" i="14"/>
  <c r="AJ107" i="14"/>
  <c r="AJ215" i="14"/>
  <c r="AJ16" i="14"/>
  <c r="AJ114" i="14"/>
  <c r="AJ222" i="14"/>
  <c r="AJ227" i="14"/>
  <c r="AJ119" i="14"/>
  <c r="AJ112" i="14"/>
  <c r="AJ220" i="14"/>
  <c r="AN111" i="14"/>
  <c r="AN219" i="14"/>
  <c r="AN108" i="14"/>
  <c r="AN216" i="14"/>
  <c r="CB228" i="14"/>
  <c r="CB120" i="14"/>
  <c r="CB52" i="14"/>
  <c r="CB125" i="14"/>
  <c r="CB220" i="14"/>
  <c r="CB112" i="14"/>
  <c r="CB221" i="14"/>
  <c r="CB123" i="14"/>
  <c r="CB231" i="14"/>
  <c r="CF116" i="14"/>
  <c r="CF224" i="14"/>
  <c r="CF112" i="14"/>
  <c r="CF220" i="14"/>
  <c r="CF217" i="14"/>
  <c r="CF109" i="14"/>
  <c r="CF108" i="14"/>
  <c r="CF216" i="14"/>
  <c r="CF34" i="14"/>
  <c r="CF113" i="14"/>
  <c r="CF110" i="14"/>
  <c r="CF218" i="14"/>
  <c r="CJ118" i="14"/>
  <c r="CJ114" i="14"/>
  <c r="CJ222" i="14"/>
  <c r="CJ123" i="14"/>
  <c r="CJ231" i="14"/>
  <c r="CJ125" i="14"/>
  <c r="CJ52" i="14"/>
  <c r="CJ229" i="14"/>
  <c r="CJ121" i="14"/>
  <c r="CJ112" i="14"/>
  <c r="CJ220" i="14"/>
  <c r="BB221" i="14"/>
  <c r="BB215" i="14"/>
  <c r="BB107" i="14"/>
  <c r="BB16" i="14"/>
  <c r="BB123" i="14"/>
  <c r="BB231" i="14"/>
  <c r="BB115" i="14"/>
  <c r="BB223" i="14"/>
  <c r="BB34" i="14"/>
  <c r="BB110" i="14"/>
  <c r="BB218" i="14"/>
  <c r="BB108" i="14"/>
  <c r="BB216" i="14"/>
  <c r="BF116" i="14"/>
  <c r="BF224" i="14"/>
  <c r="BF220" i="14"/>
  <c r="BF112" i="14"/>
  <c r="BF34" i="14"/>
  <c r="BJ223" i="14"/>
  <c r="BJ115" i="14"/>
  <c r="BJ34" i="14"/>
  <c r="H563" i="32"/>
  <c r="I30" i="30"/>
  <c r="I32" i="30"/>
  <c r="W46" i="6"/>
  <c r="BO122" i="14"/>
  <c r="BO218" i="14"/>
  <c r="BO110" i="14"/>
  <c r="BO224" i="14"/>
  <c r="BO116" i="14"/>
  <c r="BO142" i="14"/>
  <c r="BO109" i="14"/>
  <c r="BO217" i="14"/>
  <c r="BO34" i="14"/>
  <c r="BS113" i="14"/>
  <c r="BS122" i="14"/>
  <c r="BS226" i="14"/>
  <c r="BS142" i="14"/>
  <c r="BS34" i="14"/>
  <c r="BS121" i="14"/>
  <c r="BS229" i="14"/>
  <c r="BS217" i="14"/>
  <c r="BS109" i="14"/>
  <c r="BW229" i="14"/>
  <c r="BW121" i="14"/>
  <c r="BW16" i="14"/>
  <c r="BW215" i="14"/>
  <c r="BW107" i="14"/>
  <c r="BW122" i="14"/>
  <c r="BW125" i="14"/>
  <c r="BW52" i="14"/>
  <c r="BW112" i="14"/>
  <c r="BW220" i="14"/>
  <c r="BW178" i="14"/>
  <c r="CM122" i="14"/>
  <c r="CM226" i="14"/>
  <c r="CM52" i="14"/>
  <c r="CM125" i="14"/>
  <c r="CM111" i="14"/>
  <c r="CM219" i="14"/>
  <c r="CM117" i="14"/>
  <c r="CM225" i="14"/>
  <c r="CM112" i="14"/>
  <c r="CM220" i="14"/>
  <c r="CM113" i="14"/>
  <c r="CM142" i="14"/>
  <c r="CQ218" i="14"/>
  <c r="CQ110" i="14"/>
  <c r="CQ231" i="14"/>
  <c r="CQ123" i="14"/>
  <c r="CQ115" i="14"/>
  <c r="CQ223" i="14"/>
  <c r="CQ227" i="14"/>
  <c r="CQ119" i="14"/>
  <c r="CQ229" i="14"/>
  <c r="CQ121" i="14"/>
  <c r="CU178" i="14"/>
  <c r="CU226" i="14"/>
  <c r="CU224" i="14"/>
  <c r="CU116" i="14"/>
  <c r="CU217" i="14"/>
  <c r="CU109" i="14"/>
  <c r="CU221" i="14"/>
  <c r="CU121" i="14"/>
  <c r="CU229" i="14"/>
  <c r="CU119" i="14"/>
  <c r="CU227" i="14"/>
  <c r="DV123" i="14"/>
  <c r="DV231" i="14"/>
  <c r="DV227" i="14"/>
  <c r="DV119" i="14"/>
  <c r="DV34" i="14"/>
  <c r="DV122" i="14"/>
  <c r="DV221" i="14"/>
  <c r="DV216" i="14"/>
  <c r="DV108" i="14"/>
  <c r="DV178" i="14"/>
  <c r="DV125" i="14"/>
  <c r="DV52" i="14"/>
  <c r="DZ122" i="14"/>
  <c r="DZ220" i="14"/>
  <c r="DZ112" i="14"/>
  <c r="DZ107" i="14"/>
  <c r="DZ16" i="14"/>
  <c r="DZ215" i="14"/>
  <c r="DZ34" i="14"/>
  <c r="DZ217" i="14"/>
  <c r="DZ109" i="14"/>
  <c r="ED113" i="14"/>
  <c r="ED160" i="14"/>
  <c r="ED108" i="14"/>
  <c r="ED216" i="14"/>
  <c r="ED215" i="14"/>
  <c r="ED16" i="14"/>
  <c r="ED107" i="14"/>
  <c r="ED125" i="14"/>
  <c r="ED52" i="14"/>
  <c r="ED109" i="14"/>
  <c r="ED217" i="14"/>
  <c r="ED115" i="14"/>
  <c r="ED223" i="14"/>
  <c r="ED229" i="14"/>
  <c r="ED121" i="14"/>
  <c r="AP226" i="14"/>
  <c r="AP216" i="14"/>
  <c r="AP108" i="14"/>
  <c r="AP112" i="14"/>
  <c r="AP220" i="14"/>
  <c r="AP110" i="14"/>
  <c r="AP218" i="14"/>
  <c r="AP217" i="14"/>
  <c r="AP109" i="14"/>
  <c r="AP107" i="14"/>
  <c r="AP215" i="14"/>
  <c r="AP16" i="14"/>
  <c r="AP34" i="14"/>
  <c r="AT142" i="14"/>
  <c r="AT109" i="14"/>
  <c r="AT217" i="14"/>
  <c r="AT230" i="14"/>
  <c r="AX120" i="14"/>
  <c r="AX228" i="14"/>
  <c r="AX107" i="14"/>
  <c r="AX215" i="14"/>
  <c r="AX16" i="14"/>
  <c r="AX121" i="14"/>
  <c r="AX229" i="14"/>
  <c r="AX225" i="14"/>
  <c r="AX117" i="14"/>
  <c r="AX142" i="14"/>
  <c r="AX222" i="14"/>
  <c r="AX114" i="14"/>
  <c r="AX34" i="14"/>
  <c r="AX125" i="14"/>
  <c r="AX52" i="14"/>
  <c r="CX113" i="14"/>
  <c r="CX220" i="14"/>
  <c r="CX112" i="14"/>
  <c r="CX216" i="14"/>
  <c r="CX108" i="14"/>
  <c r="CX122" i="14"/>
  <c r="CX115" i="14"/>
  <c r="CX223" i="14"/>
  <c r="DB217" i="14"/>
  <c r="DB109" i="14"/>
  <c r="DB227" i="14"/>
  <c r="DB119" i="14"/>
  <c r="DB108" i="14"/>
  <c r="DB216" i="14"/>
  <c r="DB34" i="14"/>
  <c r="DB223" i="14"/>
  <c r="DB115" i="14"/>
  <c r="DF218" i="14"/>
  <c r="DF110" i="14"/>
  <c r="DF230" i="14"/>
  <c r="DF220" i="14"/>
  <c r="DF112" i="14"/>
  <c r="DF121" i="14"/>
  <c r="DF229" i="14"/>
  <c r="DF116" i="14"/>
  <c r="DF224" i="14"/>
  <c r="AC227" i="14"/>
  <c r="AC119" i="14"/>
  <c r="AC121" i="14"/>
  <c r="AC229" i="14"/>
  <c r="AC215" i="14"/>
  <c r="AC107" i="14"/>
  <c r="AC16" i="14"/>
  <c r="AC228" i="14"/>
  <c r="AC120" i="14"/>
  <c r="BY230" i="14"/>
  <c r="BY111" i="14"/>
  <c r="BY219" i="14"/>
  <c r="BY142" i="14"/>
  <c r="BY119" i="14"/>
  <c r="BY227" i="14"/>
  <c r="BY113" i="14"/>
  <c r="BY217" i="14"/>
  <c r="BY109" i="14"/>
  <c r="BY116" i="14"/>
  <c r="BY224" i="14"/>
  <c r="BY110" i="14"/>
  <c r="BY218" i="14"/>
  <c r="AU221" i="14"/>
  <c r="AU125" i="14"/>
  <c r="AU52" i="14"/>
  <c r="AU114" i="14"/>
  <c r="AU222" i="14"/>
  <c r="AU217" i="14"/>
  <c r="AU109" i="14"/>
  <c r="AU34" i="14"/>
  <c r="AU227" i="14"/>
  <c r="AU119" i="14"/>
  <c r="AU123" i="14"/>
  <c r="AU231" i="14"/>
  <c r="DC111" i="14"/>
  <c r="DC219" i="14"/>
  <c r="DC118" i="14"/>
  <c r="DC112" i="14"/>
  <c r="DC220" i="14"/>
  <c r="DC231" i="14"/>
  <c r="DC123" i="14"/>
  <c r="AH219" i="14"/>
  <c r="AH111" i="14"/>
  <c r="AH109" i="14"/>
  <c r="AH217" i="14"/>
  <c r="AH221" i="14"/>
  <c r="AH125" i="14"/>
  <c r="AH52" i="14"/>
  <c r="AH34" i="14"/>
  <c r="BZ112" i="14"/>
  <c r="BZ220" i="14"/>
  <c r="BZ123" i="14"/>
  <c r="BZ231" i="14"/>
  <c r="BZ142" i="14"/>
  <c r="BZ218" i="14"/>
  <c r="BZ110" i="14"/>
  <c r="BZ115" i="14"/>
  <c r="BZ223" i="14"/>
  <c r="BZ111" i="14"/>
  <c r="BZ219" i="14"/>
  <c r="BZ119" i="14"/>
  <c r="BZ227" i="14"/>
  <c r="BC221" i="14"/>
  <c r="BC220" i="14"/>
  <c r="BC112" i="14"/>
  <c r="BC125" i="14"/>
  <c r="BC52" i="14"/>
  <c r="BC222" i="14"/>
  <c r="BC114" i="14"/>
  <c r="BC115" i="14"/>
  <c r="BC223" i="14"/>
  <c r="BG114" i="14"/>
  <c r="BG222" i="14"/>
  <c r="BG219" i="14"/>
  <c r="BG111" i="14"/>
  <c r="BG120" i="14"/>
  <c r="BG228" i="14"/>
  <c r="BG142" i="14"/>
  <c r="BG160" i="14"/>
  <c r="BG226" i="14"/>
  <c r="BK217" i="14"/>
  <c r="BK109" i="14"/>
  <c r="BK118" i="14"/>
  <c r="BK16" i="14"/>
  <c r="BK215" i="14"/>
  <c r="BK107" i="14"/>
  <c r="BK178" i="14"/>
  <c r="BK120" i="14"/>
  <c r="BK228" i="14"/>
  <c r="BK216" i="14"/>
  <c r="BK108" i="14"/>
  <c r="BK123" i="14"/>
  <c r="BK231" i="14"/>
  <c r="BK142" i="14"/>
  <c r="BK112" i="14"/>
  <c r="BK220" i="14"/>
  <c r="BK221" i="14"/>
  <c r="H694" i="32"/>
  <c r="Q40" i="16"/>
  <c r="BP226" i="14"/>
  <c r="BP229" i="14"/>
  <c r="BP121" i="14"/>
  <c r="BP160" i="14"/>
  <c r="BP119" i="14"/>
  <c r="BP227" i="14"/>
  <c r="BP117" i="14"/>
  <c r="BP225" i="14"/>
  <c r="BP230" i="14"/>
  <c r="BP125" i="14"/>
  <c r="BP52" i="14"/>
  <c r="BP108" i="14"/>
  <c r="BP216" i="14"/>
  <c r="BT122" i="14"/>
  <c r="BT217" i="14"/>
  <c r="BT109" i="14"/>
  <c r="BT227" i="14"/>
  <c r="BT119" i="14"/>
  <c r="BT112" i="14"/>
  <c r="BT220" i="14"/>
  <c r="BT16" i="14"/>
  <c r="BT215" i="14"/>
  <c r="BT107" i="14"/>
  <c r="BT218" i="14"/>
  <c r="BT110" i="14"/>
  <c r="BX113" i="14"/>
  <c r="BX52" i="14"/>
  <c r="BX125" i="14"/>
  <c r="BX115" i="14"/>
  <c r="BX223" i="14"/>
  <c r="BX118" i="14"/>
  <c r="BX111" i="14"/>
  <c r="BX219" i="14"/>
  <c r="BX178" i="14"/>
  <c r="CN219" i="14"/>
  <c r="CN111" i="14"/>
  <c r="CN142" i="14"/>
  <c r="CN217" i="14"/>
  <c r="CN109" i="14"/>
  <c r="CN108" i="14"/>
  <c r="CN216" i="14"/>
  <c r="CN231" i="14"/>
  <c r="CN123" i="14"/>
  <c r="CR122" i="14"/>
  <c r="CR120" i="14"/>
  <c r="CR228" i="14"/>
  <c r="CR224" i="14"/>
  <c r="CR116" i="14"/>
  <c r="CR125" i="14"/>
  <c r="CR52" i="14"/>
  <c r="CR216" i="14"/>
  <c r="CR108" i="14"/>
  <c r="CV122" i="14"/>
  <c r="CV221" i="14"/>
  <c r="CV227" i="14"/>
  <c r="CV119" i="14"/>
  <c r="CV216" i="14"/>
  <c r="CV108" i="14"/>
  <c r="CV111" i="14"/>
  <c r="CV219" i="14"/>
  <c r="CV222" i="14"/>
  <c r="CV114" i="14"/>
  <c r="CV121" i="14"/>
  <c r="CV229" i="14"/>
  <c r="CV125" i="14"/>
  <c r="CV52" i="14"/>
  <c r="CV123" i="14"/>
  <c r="CV231" i="14"/>
  <c r="DW135" i="14"/>
  <c r="DW230" i="14"/>
  <c r="DW34" i="14"/>
  <c r="DW142" i="14"/>
  <c r="DW108" i="14"/>
  <c r="DW216" i="14"/>
  <c r="EA221" i="14"/>
  <c r="EA220" i="14"/>
  <c r="EA112" i="14"/>
  <c r="EA110" i="14"/>
  <c r="EA218" i="14"/>
  <c r="EA119" i="14"/>
  <c r="EA227" i="14"/>
  <c r="EE113" i="14"/>
  <c r="EE226" i="14"/>
  <c r="EE112" i="14"/>
  <c r="EE220" i="14"/>
  <c r="EE34" i="14"/>
  <c r="EE222" i="14"/>
  <c r="EE114" i="14"/>
  <c r="EE215" i="14"/>
  <c r="EE107" i="14"/>
  <c r="EE16" i="14"/>
  <c r="EE160" i="14"/>
  <c r="EE110" i="14"/>
  <c r="EE218" i="14"/>
  <c r="BD118" i="14"/>
  <c r="BD34" i="14"/>
  <c r="BD215" i="14"/>
  <c r="BD16" i="14"/>
  <c r="BD107" i="14"/>
  <c r="BH215" i="14"/>
  <c r="BH16" i="14"/>
  <c r="BH107" i="14"/>
  <c r="BH114" i="14"/>
  <c r="BH222" i="14"/>
  <c r="BH120" i="14"/>
  <c r="BH228" i="14"/>
  <c r="BL113" i="14"/>
  <c r="BL123" i="14"/>
  <c r="BL231" i="14"/>
  <c r="BL142" i="14"/>
  <c r="BL224" i="14"/>
  <c r="BL116" i="14"/>
  <c r="BL228" i="14"/>
  <c r="BL120" i="14"/>
  <c r="BL118" i="14"/>
  <c r="BL115" i="14"/>
  <c r="BL223" i="14"/>
  <c r="BL110" i="14"/>
  <c r="BL218" i="14"/>
  <c r="D563" i="32"/>
  <c r="M46" i="6"/>
  <c r="M41" i="16"/>
  <c r="K47" i="6"/>
  <c r="N42" i="35"/>
  <c r="BM226" i="14"/>
  <c r="BM52" i="14"/>
  <c r="BM125" i="14"/>
  <c r="BM121" i="14"/>
  <c r="BM229" i="14"/>
  <c r="BM221" i="14"/>
  <c r="BM217" i="14"/>
  <c r="BM109" i="14"/>
  <c r="BM111" i="14"/>
  <c r="BM219" i="14"/>
  <c r="BM218" i="14"/>
  <c r="BM110" i="14"/>
  <c r="BM215" i="14"/>
  <c r="BM16" i="14"/>
  <c r="BM107" i="14"/>
  <c r="BM108" i="14"/>
  <c r="BM216" i="14"/>
  <c r="BQ112" i="14"/>
  <c r="BQ220" i="14"/>
  <c r="BQ229" i="14"/>
  <c r="BQ121" i="14"/>
  <c r="BQ218" i="14"/>
  <c r="BQ110" i="14"/>
  <c r="BQ125" i="14"/>
  <c r="BQ52" i="14"/>
  <c r="BQ109" i="14"/>
  <c r="BQ217" i="14"/>
  <c r="BU122" i="14"/>
  <c r="BU113" i="14"/>
  <c r="BU220" i="14"/>
  <c r="BU112" i="14"/>
  <c r="BU142" i="14"/>
  <c r="BU125" i="14"/>
  <c r="BU52" i="14"/>
  <c r="BU226" i="14"/>
  <c r="L117" i="11"/>
  <c r="M114" i="11" s="1"/>
  <c r="M116" i="11" s="1"/>
  <c r="L44" i="5"/>
  <c r="CK111" i="14"/>
  <c r="CK219" i="14"/>
  <c r="CK34" i="14"/>
  <c r="CK125" i="14"/>
  <c r="CK52" i="14"/>
  <c r="CK121" i="14"/>
  <c r="CK229" i="14"/>
  <c r="CO118" i="14"/>
  <c r="CO113" i="14"/>
  <c r="CO16" i="14"/>
  <c r="CO107" i="14"/>
  <c r="CO215" i="14"/>
  <c r="CO222" i="14"/>
  <c r="CO114" i="14"/>
  <c r="CO116" i="14"/>
  <c r="CO224" i="14"/>
  <c r="CO231" i="14"/>
  <c r="CO123" i="14"/>
  <c r="CO225" i="14"/>
  <c r="CO117" i="14"/>
  <c r="CO220" i="14"/>
  <c r="CO112" i="14"/>
  <c r="CS224" i="14"/>
  <c r="CS116" i="14"/>
  <c r="CS221" i="14"/>
  <c r="CS120" i="14"/>
  <c r="CS228" i="14"/>
  <c r="CS220" i="14"/>
  <c r="CS112" i="14"/>
  <c r="CS107" i="14"/>
  <c r="CS16" i="14"/>
  <c r="CS215" i="14"/>
  <c r="DX230" i="14"/>
  <c r="DX178" i="14"/>
  <c r="DX225" i="14"/>
  <c r="DX117" i="14"/>
  <c r="DX218" i="14"/>
  <c r="DX110" i="14"/>
  <c r="DX34" i="14"/>
  <c r="DX221" i="14"/>
  <c r="EB221" i="14"/>
  <c r="EB52" i="14"/>
  <c r="EB125" i="14"/>
  <c r="EB225" i="14"/>
  <c r="EB117" i="14"/>
  <c r="EB160" i="14"/>
  <c r="EB34" i="14"/>
  <c r="EP202" i="14"/>
  <c r="EP198" i="14"/>
  <c r="EP213" i="14"/>
  <c r="EP55" i="14"/>
  <c r="EP185" i="14"/>
  <c r="EP58" i="14"/>
  <c r="EP20" i="14"/>
  <c r="EP161" i="14"/>
  <c r="EP157" i="14"/>
  <c r="EP159" i="14"/>
  <c r="EP195" i="14"/>
  <c r="EP188" i="14"/>
  <c r="EP154" i="14"/>
  <c r="EP165" i="14"/>
  <c r="EP28" i="14"/>
  <c r="EP191" i="14"/>
  <c r="EP146" i="14"/>
  <c r="EP151" i="14"/>
  <c r="EP21" i="14"/>
  <c r="EP172" i="14"/>
  <c r="EP22" i="14"/>
  <c r="EP190" i="14"/>
  <c r="EP23" i="14"/>
  <c r="EP27" i="14"/>
  <c r="EP150" i="14"/>
  <c r="EP24" i="14"/>
  <c r="EP164" i="14"/>
  <c r="EP149" i="14"/>
  <c r="EP183" i="14"/>
  <c r="EP26" i="14"/>
  <c r="EP152" i="14"/>
  <c r="EP155" i="14"/>
  <c r="EP153" i="14"/>
  <c r="EP148" i="14"/>
  <c r="EP166" i="14"/>
  <c r="EP56" i="14"/>
  <c r="EP176" i="14"/>
  <c r="EP187" i="14"/>
  <c r="EP156" i="14"/>
  <c r="EP162" i="14"/>
  <c r="EP174" i="14"/>
  <c r="EP71" i="14"/>
  <c r="EP210" i="14"/>
  <c r="EP181" i="14"/>
  <c r="EP208" i="14"/>
  <c r="EP69" i="14"/>
  <c r="EP25" i="14"/>
  <c r="EP206" i="14"/>
  <c r="EP207" i="14"/>
  <c r="EP168" i="14"/>
  <c r="EP173" i="14"/>
  <c r="EP194" i="14"/>
  <c r="EP17" i="14"/>
  <c r="EP18" i="14"/>
  <c r="EP66" i="14"/>
  <c r="EP60" i="14"/>
  <c r="EP32" i="14"/>
  <c r="EP199" i="14"/>
  <c r="EP180" i="14"/>
  <c r="EP203" i="14"/>
  <c r="EP179" i="14"/>
  <c r="EP212" i="14"/>
  <c r="EP19" i="14"/>
  <c r="EP197" i="14"/>
  <c r="EP171" i="14"/>
  <c r="EP147" i="14"/>
  <c r="EP167" i="14"/>
  <c r="EP144" i="14"/>
  <c r="EP57" i="14"/>
  <c r="EP33" i="14"/>
  <c r="EP67" i="14"/>
  <c r="EP29" i="14"/>
  <c r="EP169" i="14"/>
  <c r="EP184" i="14"/>
  <c r="EP209" i="14"/>
  <c r="EP170" i="14"/>
  <c r="EP158" i="14"/>
  <c r="EP54" i="14"/>
  <c r="EP204" i="14"/>
  <c r="EP205" i="14"/>
  <c r="EP211" i="14"/>
  <c r="EP186" i="14"/>
  <c r="EP145" i="14"/>
  <c r="EP143" i="14"/>
  <c r="EP189" i="14"/>
  <c r="EP192" i="14"/>
  <c r="EP193" i="14"/>
  <c r="EP31" i="14"/>
  <c r="EP68" i="14"/>
  <c r="EP35" i="14"/>
  <c r="EP53" i="14"/>
  <c r="EP200" i="14"/>
  <c r="EP177" i="14"/>
  <c r="EP59" i="14"/>
  <c r="EP163" i="14"/>
  <c r="EP63" i="14"/>
  <c r="EP61" i="14"/>
  <c r="EP62" i="14"/>
  <c r="EP65" i="14"/>
  <c r="EP182" i="14"/>
  <c r="EP64" i="14"/>
  <c r="EP30" i="14"/>
  <c r="EP175" i="14"/>
  <c r="EP201" i="14"/>
  <c r="EP40" i="14"/>
  <c r="EP39" i="14"/>
  <c r="EP49" i="14"/>
  <c r="EP42" i="14"/>
  <c r="EP45" i="14"/>
  <c r="EP41" i="14"/>
  <c r="EP47" i="14"/>
  <c r="EP51" i="14"/>
  <c r="EP46" i="14"/>
  <c r="EP43" i="14"/>
  <c r="EP50" i="14"/>
  <c r="EP36" i="14"/>
  <c r="EP38" i="14"/>
  <c r="EP44" i="14"/>
  <c r="EP48" i="14"/>
  <c r="EP37" i="14"/>
  <c r="EP81" i="14"/>
  <c r="EP79" i="14"/>
  <c r="EP83" i="14"/>
  <c r="EP78" i="14"/>
  <c r="EP76" i="14"/>
  <c r="EP86" i="14"/>
  <c r="EP74" i="14"/>
  <c r="EP77" i="14"/>
  <c r="EP84" i="14"/>
  <c r="EP87" i="14"/>
  <c r="EP80" i="14"/>
  <c r="EP85" i="14"/>
  <c r="EP73" i="14"/>
  <c r="EP82" i="14"/>
  <c r="EP75" i="14"/>
  <c r="EP72" i="14"/>
  <c r="EQ32" i="14"/>
  <c r="EQ195" i="14"/>
  <c r="EQ200" i="14"/>
  <c r="EQ198" i="14"/>
  <c r="EQ171" i="14"/>
  <c r="EQ175" i="14"/>
  <c r="EQ18" i="14"/>
  <c r="EQ158" i="14"/>
  <c r="EQ66" i="14"/>
  <c r="EQ188" i="14"/>
  <c r="EQ162" i="14"/>
  <c r="EQ25" i="14"/>
  <c r="EQ31" i="14"/>
  <c r="EQ146" i="14"/>
  <c r="EQ180" i="14"/>
  <c r="EQ63" i="14"/>
  <c r="EQ53" i="14"/>
  <c r="EQ29" i="14"/>
  <c r="EQ170" i="14"/>
  <c r="EQ33" i="14"/>
  <c r="EQ201" i="14"/>
  <c r="EQ64" i="14"/>
  <c r="EQ190" i="14"/>
  <c r="EQ169" i="14"/>
  <c r="EQ54" i="14"/>
  <c r="EQ20" i="14"/>
  <c r="EQ187" i="14"/>
  <c r="EQ193" i="14"/>
  <c r="EQ61" i="14"/>
  <c r="EQ189" i="14"/>
  <c r="EQ212" i="14"/>
  <c r="EQ199" i="14"/>
  <c r="EQ165" i="14"/>
  <c r="EQ159" i="14"/>
  <c r="EQ19" i="14"/>
  <c r="EQ181" i="14"/>
  <c r="EQ60" i="14"/>
  <c r="EQ143" i="14"/>
  <c r="EQ26" i="14"/>
  <c r="EQ28" i="14"/>
  <c r="EQ35" i="14"/>
  <c r="EQ23" i="14"/>
  <c r="EQ69" i="14"/>
  <c r="EQ156" i="14"/>
  <c r="EQ194" i="14"/>
  <c r="EQ58" i="14"/>
  <c r="EQ204" i="14"/>
  <c r="EQ182" i="14"/>
  <c r="EQ176" i="14"/>
  <c r="EQ179" i="14"/>
  <c r="EQ55" i="14"/>
  <c r="EQ150" i="14"/>
  <c r="EQ210" i="14"/>
  <c r="EQ22" i="14"/>
  <c r="EQ174" i="14"/>
  <c r="EQ191" i="14"/>
  <c r="EQ205" i="14"/>
  <c r="EQ184" i="14"/>
  <c r="EQ71" i="14"/>
  <c r="EQ147" i="14"/>
  <c r="EQ144" i="14"/>
  <c r="EQ202" i="14"/>
  <c r="EQ62" i="14"/>
  <c r="EQ157" i="14"/>
  <c r="EQ56" i="14"/>
  <c r="EQ27" i="14"/>
  <c r="EQ207" i="14"/>
  <c r="EQ168" i="14"/>
  <c r="EQ24" i="14"/>
  <c r="EQ197" i="14"/>
  <c r="EQ153" i="14"/>
  <c r="EQ149" i="14"/>
  <c r="EQ209" i="14"/>
  <c r="EQ145" i="14"/>
  <c r="EQ208" i="14"/>
  <c r="EQ21" i="14"/>
  <c r="EQ177" i="14"/>
  <c r="EQ186" i="14"/>
  <c r="EQ155" i="14"/>
  <c r="EQ65" i="14"/>
  <c r="EQ211" i="14"/>
  <c r="EQ148" i="14"/>
  <c r="EQ192" i="14"/>
  <c r="EQ57" i="14"/>
  <c r="EQ154" i="14"/>
  <c r="EQ164" i="14"/>
  <c r="EQ172" i="14"/>
  <c r="EQ68" i="14"/>
  <c r="EQ206" i="14"/>
  <c r="EQ203" i="14"/>
  <c r="EQ166" i="14"/>
  <c r="EQ161" i="14"/>
  <c r="EQ30" i="14"/>
  <c r="EQ183" i="14"/>
  <c r="EQ67" i="14"/>
  <c r="EQ151" i="14"/>
  <c r="EQ152" i="14"/>
  <c r="EQ185" i="14"/>
  <c r="EQ213" i="14"/>
  <c r="EQ17" i="14"/>
  <c r="EQ173" i="14"/>
  <c r="EQ167" i="14"/>
  <c r="EQ163" i="14"/>
  <c r="EQ59" i="14"/>
  <c r="EQ49" i="14"/>
  <c r="EQ39" i="14"/>
  <c r="EQ40" i="14"/>
  <c r="EQ47" i="14"/>
  <c r="EQ42" i="14"/>
  <c r="EQ45" i="14"/>
  <c r="EQ50" i="14"/>
  <c r="EQ43" i="14"/>
  <c r="EQ51" i="14"/>
  <c r="EQ41" i="14"/>
  <c r="EQ46" i="14"/>
  <c r="EQ44" i="14"/>
  <c r="EQ48" i="14"/>
  <c r="EQ37" i="14"/>
  <c r="EQ36" i="14"/>
  <c r="EQ38" i="14"/>
  <c r="EQ83" i="14"/>
  <c r="EQ81" i="14"/>
  <c r="EQ79" i="14"/>
  <c r="EQ85" i="14"/>
  <c r="EQ84" i="14"/>
  <c r="EQ86" i="14"/>
  <c r="EQ78" i="14"/>
  <c r="EQ80" i="14"/>
  <c r="EQ77" i="14"/>
  <c r="EQ76" i="14"/>
  <c r="EQ87" i="14"/>
  <c r="EQ73" i="14"/>
  <c r="EQ74" i="14"/>
  <c r="EQ82" i="14"/>
  <c r="EQ75" i="14"/>
  <c r="EQ72" i="14"/>
  <c r="ER179" i="14"/>
  <c r="ER67" i="14"/>
  <c r="ER155" i="14"/>
  <c r="ER19" i="14"/>
  <c r="ER30" i="14"/>
  <c r="ER186" i="14"/>
  <c r="ER201" i="14"/>
  <c r="ER61" i="14"/>
  <c r="ER22" i="14"/>
  <c r="ER175" i="14"/>
  <c r="ER176" i="14"/>
  <c r="ER143" i="14"/>
  <c r="ER66" i="14"/>
  <c r="ER204" i="14"/>
  <c r="ER145" i="14"/>
  <c r="ER170" i="14"/>
  <c r="ER31" i="14"/>
  <c r="ER184" i="14"/>
  <c r="ER212" i="14"/>
  <c r="ER187" i="14"/>
  <c r="ER195" i="14"/>
  <c r="ER26" i="14"/>
  <c r="ER59" i="14"/>
  <c r="ER147" i="14"/>
  <c r="ER183" i="14"/>
  <c r="ER169" i="14"/>
  <c r="ER181" i="14"/>
  <c r="ER211" i="14"/>
  <c r="ER202" i="14"/>
  <c r="ER191" i="14"/>
  <c r="ER164" i="14"/>
  <c r="ER171" i="14"/>
  <c r="ER60" i="14"/>
  <c r="ER199" i="14"/>
  <c r="ER182" i="14"/>
  <c r="ER20" i="14"/>
  <c r="ER151" i="14"/>
  <c r="ER213" i="14"/>
  <c r="ER148" i="14"/>
  <c r="ER166" i="14"/>
  <c r="ER157" i="14"/>
  <c r="ER159" i="14"/>
  <c r="ER207" i="14"/>
  <c r="ER146" i="14"/>
  <c r="ER167" i="14"/>
  <c r="ER62" i="14"/>
  <c r="ER65" i="14"/>
  <c r="ER209" i="14"/>
  <c r="ER190" i="14"/>
  <c r="ER29" i="14"/>
  <c r="ER28" i="14"/>
  <c r="ER161" i="14"/>
  <c r="ER193" i="14"/>
  <c r="ER200" i="14"/>
  <c r="ER158" i="14"/>
  <c r="ER25" i="14"/>
  <c r="ER152" i="14"/>
  <c r="ER54" i="14"/>
  <c r="ER32" i="14"/>
  <c r="ER185" i="14"/>
  <c r="ER189" i="14"/>
  <c r="ER17" i="14"/>
  <c r="ER69" i="14"/>
  <c r="ER203" i="14"/>
  <c r="ER63" i="14"/>
  <c r="ER173" i="14"/>
  <c r="ER56" i="14"/>
  <c r="ER58" i="14"/>
  <c r="ER24" i="14"/>
  <c r="ER64" i="14"/>
  <c r="ER150" i="14"/>
  <c r="ER21" i="14"/>
  <c r="ER35" i="14"/>
  <c r="ER154" i="14"/>
  <c r="ER206" i="14"/>
  <c r="ER162" i="14"/>
  <c r="ER174" i="14"/>
  <c r="ER149" i="14"/>
  <c r="ER180" i="14"/>
  <c r="ER198" i="14"/>
  <c r="ER210" i="14"/>
  <c r="ER194" i="14"/>
  <c r="ER208" i="14"/>
  <c r="ER71" i="14"/>
  <c r="ER168" i="14"/>
  <c r="ER144" i="14"/>
  <c r="ER177" i="14"/>
  <c r="ER68" i="14"/>
  <c r="ER156" i="14"/>
  <c r="ER153" i="14"/>
  <c r="ER57" i="14"/>
  <c r="ER27" i="14"/>
  <c r="ER188" i="14"/>
  <c r="ER55" i="14"/>
  <c r="ER23" i="14"/>
  <c r="ER53" i="14"/>
  <c r="ER192" i="14"/>
  <c r="ER205" i="14"/>
  <c r="ER163" i="14"/>
  <c r="ER165" i="14"/>
  <c r="ER197" i="14"/>
  <c r="ER33" i="14"/>
  <c r="ER18" i="14"/>
  <c r="ER172" i="14"/>
  <c r="ER39" i="14"/>
  <c r="ER49" i="14"/>
  <c r="ER40" i="14"/>
  <c r="ER45" i="14"/>
  <c r="ER41" i="14"/>
  <c r="ER42" i="14"/>
  <c r="ER51" i="14"/>
  <c r="ER47" i="14"/>
  <c r="ER43" i="14"/>
  <c r="ER46" i="14"/>
  <c r="ER50" i="14"/>
  <c r="ER38" i="14"/>
  <c r="ER37" i="14"/>
  <c r="ER44" i="14"/>
  <c r="ER48" i="14"/>
  <c r="ER36" i="14"/>
  <c r="ER81" i="14"/>
  <c r="ER79" i="14"/>
  <c r="ER83" i="14"/>
  <c r="ER85" i="14"/>
  <c r="ER77" i="14"/>
  <c r="ER78" i="14"/>
  <c r="ER86" i="14"/>
  <c r="ER80" i="14"/>
  <c r="ER74" i="14"/>
  <c r="ER87" i="14"/>
  <c r="ER73" i="14"/>
  <c r="ER84" i="14"/>
  <c r="ER76" i="14"/>
  <c r="ER75" i="14"/>
  <c r="ER72" i="14"/>
  <c r="ER82" i="14"/>
  <c r="EL25" i="14"/>
  <c r="EL212" i="14"/>
  <c r="EL32" i="14"/>
  <c r="EL64" i="14"/>
  <c r="EL204" i="14"/>
  <c r="EL208" i="14"/>
  <c r="EL60" i="14"/>
  <c r="EL169" i="14"/>
  <c r="EL18" i="14"/>
  <c r="EL189" i="14"/>
  <c r="EL206" i="14"/>
  <c r="EL56" i="14"/>
  <c r="EL166" i="14"/>
  <c r="EL29" i="14"/>
  <c r="EL172" i="14"/>
  <c r="EL21" i="14"/>
  <c r="EL63" i="14"/>
  <c r="EL148" i="14"/>
  <c r="EL164" i="14"/>
  <c r="EL68" i="14"/>
  <c r="EL210" i="14"/>
  <c r="EL203" i="14"/>
  <c r="EL185" i="14"/>
  <c r="EL54" i="14"/>
  <c r="EL187" i="14"/>
  <c r="EL71" i="14"/>
  <c r="EL24" i="14"/>
  <c r="EL150" i="14"/>
  <c r="EL26" i="14"/>
  <c r="EL17" i="14"/>
  <c r="EL191" i="14"/>
  <c r="EL182" i="14"/>
  <c r="EL20" i="14"/>
  <c r="EL199" i="14"/>
  <c r="EL186" i="14"/>
  <c r="EL184" i="14"/>
  <c r="EL163" i="14"/>
  <c r="EL157" i="14"/>
  <c r="EL173" i="14"/>
  <c r="EL175" i="14"/>
  <c r="EL22" i="14"/>
  <c r="EL19" i="14"/>
  <c r="EL202" i="14"/>
  <c r="EL195" i="14"/>
  <c r="EL159" i="14"/>
  <c r="EL62" i="14"/>
  <c r="EL158" i="14"/>
  <c r="EL31" i="14"/>
  <c r="EL205" i="14"/>
  <c r="EL28" i="14"/>
  <c r="EL55" i="14"/>
  <c r="EL200" i="14"/>
  <c r="EL156" i="14"/>
  <c r="EL198" i="14"/>
  <c r="EL167" i="14"/>
  <c r="EL193" i="14"/>
  <c r="EL152" i="14"/>
  <c r="EL53" i="14"/>
  <c r="EL201" i="14"/>
  <c r="EL170" i="14"/>
  <c r="EL61" i="14"/>
  <c r="EL35" i="14"/>
  <c r="EL165" i="14"/>
  <c r="EL179" i="14"/>
  <c r="EL192" i="14"/>
  <c r="EL33" i="14"/>
  <c r="EL180" i="14"/>
  <c r="EL188" i="14"/>
  <c r="EL194" i="14"/>
  <c r="EL58" i="14"/>
  <c r="EL146" i="14"/>
  <c r="EL211" i="14"/>
  <c r="EL144" i="14"/>
  <c r="EL181" i="14"/>
  <c r="EL168" i="14"/>
  <c r="EL162" i="14"/>
  <c r="EL57" i="14"/>
  <c r="EL176" i="14"/>
  <c r="EL65" i="14"/>
  <c r="EL190" i="14"/>
  <c r="EL149" i="14"/>
  <c r="EL69" i="14"/>
  <c r="EL59" i="14"/>
  <c r="EL145" i="14"/>
  <c r="EL177" i="14"/>
  <c r="EL174" i="14"/>
  <c r="EL67" i="14"/>
  <c r="EL209" i="14"/>
  <c r="EL207" i="14"/>
  <c r="EL151" i="14"/>
  <c r="EL171" i="14"/>
  <c r="EL154" i="14"/>
  <c r="EL153" i="14"/>
  <c r="EL161" i="14"/>
  <c r="EL30" i="14"/>
  <c r="EL23" i="14"/>
  <c r="EL27" i="14"/>
  <c r="EL213" i="14"/>
  <c r="EL147" i="14"/>
  <c r="EL155" i="14"/>
  <c r="EL197" i="14"/>
  <c r="EL143" i="14"/>
  <c r="EL66" i="14"/>
  <c r="EL183" i="14"/>
  <c r="EL39" i="14"/>
  <c r="EL40" i="14"/>
  <c r="EL45" i="14"/>
  <c r="EL42" i="14"/>
  <c r="EL49" i="14"/>
  <c r="EL47" i="14"/>
  <c r="EL41" i="14"/>
  <c r="EL46" i="14"/>
  <c r="EL51" i="14"/>
  <c r="EL50" i="14"/>
  <c r="EL43" i="14"/>
  <c r="EL36" i="14"/>
  <c r="EL48" i="14"/>
  <c r="EL37" i="14"/>
  <c r="EL44" i="14"/>
  <c r="EL38" i="14"/>
  <c r="EL83" i="14"/>
  <c r="EL81" i="14"/>
  <c r="EL79" i="14"/>
  <c r="EL77" i="14"/>
  <c r="EL86" i="14"/>
  <c r="EL80" i="14"/>
  <c r="EL78" i="14"/>
  <c r="EL132" i="14" s="1"/>
  <c r="EL76" i="14"/>
  <c r="EL85" i="14"/>
  <c r="EL87" i="14"/>
  <c r="EL84" i="14"/>
  <c r="EL73" i="14"/>
  <c r="EL74" i="14"/>
  <c r="EL72" i="14"/>
  <c r="EL82" i="14"/>
  <c r="EL75" i="14"/>
  <c r="R18" i="10"/>
  <c r="AR221" i="14"/>
  <c r="AR111" i="14"/>
  <c r="AR219" i="14"/>
  <c r="AR117" i="14"/>
  <c r="AR225" i="14"/>
  <c r="AR120" i="14"/>
  <c r="AR228" i="14"/>
  <c r="AR119" i="14"/>
  <c r="AR227" i="14"/>
  <c r="AV122" i="14"/>
  <c r="AV34" i="14"/>
  <c r="AV160" i="14"/>
  <c r="AV224" i="14"/>
  <c r="AV116" i="14"/>
  <c r="AV121" i="14"/>
  <c r="AV229" i="14"/>
  <c r="AV52" i="14"/>
  <c r="AV125" i="14"/>
  <c r="AV110" i="14"/>
  <c r="AV218" i="14"/>
  <c r="AV108" i="14"/>
  <c r="AV216" i="14"/>
  <c r="AZ215" i="14"/>
  <c r="AZ16" i="14"/>
  <c r="AZ107" i="14"/>
  <c r="AZ115" i="14"/>
  <c r="AZ223" i="14"/>
  <c r="AZ123" i="14"/>
  <c r="AZ231" i="14"/>
  <c r="AZ121" i="14"/>
  <c r="AZ229" i="14"/>
  <c r="AZ230" i="14"/>
  <c r="AZ34" i="14"/>
  <c r="CZ221" i="14"/>
  <c r="CZ217" i="14"/>
  <c r="CZ109" i="14"/>
  <c r="CZ227" i="14"/>
  <c r="CZ119" i="14"/>
  <c r="CZ116" i="14"/>
  <c r="CZ224" i="14"/>
  <c r="CZ178" i="14"/>
  <c r="CZ110" i="14"/>
  <c r="CZ218" i="14"/>
  <c r="CZ222" i="14"/>
  <c r="CZ114" i="14"/>
  <c r="DD225" i="14"/>
  <c r="DD117" i="14"/>
  <c r="DD142" i="14"/>
  <c r="DD121" i="14"/>
  <c r="DD229" i="14"/>
  <c r="DD112" i="14"/>
  <c r="DD220" i="14"/>
  <c r="DD223" i="14"/>
  <c r="DD115" i="14"/>
  <c r="DH108" i="14"/>
  <c r="DH216" i="14"/>
  <c r="DH219" i="14"/>
  <c r="DH111" i="14"/>
  <c r="DH123" i="14"/>
  <c r="DH231" i="14"/>
  <c r="DK226" i="14"/>
  <c r="DK109" i="14"/>
  <c r="DK217" i="14"/>
  <c r="DK223" i="14"/>
  <c r="DK115" i="14"/>
  <c r="DK107" i="14"/>
  <c r="DK16" i="14"/>
  <c r="DK215" i="14"/>
  <c r="DK120" i="14"/>
  <c r="DK228" i="14"/>
  <c r="DK34" i="14"/>
  <c r="DO229" i="14"/>
  <c r="DO121" i="14"/>
  <c r="DO108" i="14"/>
  <c r="DO216" i="14"/>
  <c r="DO223" i="14"/>
  <c r="DO115" i="14"/>
  <c r="DO119" i="14"/>
  <c r="DO227" i="14"/>
  <c r="DO112" i="14"/>
  <c r="DO220" i="14"/>
  <c r="DO123" i="14"/>
  <c r="DO231" i="14"/>
  <c r="DO221" i="14"/>
  <c r="DS109" i="14"/>
  <c r="DS217" i="14"/>
  <c r="DS126" i="14"/>
  <c r="DS112" i="14"/>
  <c r="DS220" i="14"/>
  <c r="DS228" i="14"/>
  <c r="DS120" i="14"/>
  <c r="DS116" i="14"/>
  <c r="DS224" i="14"/>
  <c r="DS219" i="14"/>
  <c r="DS111" i="14"/>
  <c r="DS223" i="14"/>
  <c r="DS115" i="14"/>
  <c r="DS117" i="14"/>
  <c r="DS225" i="14"/>
  <c r="AE226" i="14"/>
  <c r="AE121" i="14"/>
  <c r="AE229" i="14"/>
  <c r="AE222" i="14"/>
  <c r="AE114" i="14"/>
  <c r="AE196" i="14"/>
  <c r="AE111" i="14"/>
  <c r="AE219" i="14"/>
  <c r="AI118" i="14"/>
  <c r="AI221" i="14"/>
  <c r="AI230" i="14"/>
  <c r="AI142" i="14"/>
  <c r="AI120" i="14"/>
  <c r="AI228" i="14"/>
  <c r="AI121" i="14"/>
  <c r="AI229" i="14"/>
  <c r="AI119" i="14"/>
  <c r="AI227" i="14"/>
  <c r="AI108" i="14"/>
  <c r="AI216" i="14"/>
  <c r="AM113" i="14"/>
  <c r="AM125" i="14"/>
  <c r="AM52" i="14"/>
  <c r="AM123" i="14"/>
  <c r="AM231" i="14"/>
  <c r="AM108" i="14"/>
  <c r="AM216" i="14"/>
  <c r="CA222" i="14"/>
  <c r="CA114" i="14"/>
  <c r="CA223" i="14"/>
  <c r="CA115" i="14"/>
  <c r="CA178" i="14"/>
  <c r="CA121" i="14"/>
  <c r="CA229" i="14"/>
  <c r="CA160" i="14"/>
  <c r="CA109" i="14"/>
  <c r="CA217" i="14"/>
  <c r="CE113" i="14"/>
  <c r="CE219" i="14"/>
  <c r="CE111" i="14"/>
  <c r="CE218" i="14"/>
  <c r="CE110" i="14"/>
  <c r="CE222" i="14"/>
  <c r="CE114" i="14"/>
  <c r="CE115" i="14"/>
  <c r="CE223" i="14"/>
  <c r="CI142" i="14"/>
  <c r="CI125" i="14"/>
  <c r="CI52" i="14"/>
  <c r="CI118" i="14"/>
  <c r="CI229" i="14"/>
  <c r="CI121" i="14"/>
  <c r="DI113" i="14"/>
  <c r="DI226" i="14"/>
  <c r="DI117" i="14"/>
  <c r="DI225" i="14"/>
  <c r="DI116" i="14"/>
  <c r="DI224" i="14"/>
  <c r="DI228" i="14"/>
  <c r="DI120" i="14"/>
  <c r="DI112" i="14"/>
  <c r="DI220" i="14"/>
  <c r="DM231" i="14"/>
  <c r="DM123" i="14"/>
  <c r="DM113" i="14"/>
  <c r="DM125" i="14"/>
  <c r="DM52" i="14"/>
  <c r="DM160" i="14"/>
  <c r="DQ118" i="14"/>
  <c r="DQ220" i="14"/>
  <c r="DQ112" i="14"/>
  <c r="DQ110" i="14"/>
  <c r="DQ218" i="14"/>
  <c r="DQ228" i="14"/>
  <c r="DQ120" i="14"/>
  <c r="DQ160" i="14"/>
  <c r="AG16" i="14"/>
  <c r="AG215" i="14"/>
  <c r="AG107" i="14"/>
  <c r="AG230" i="14"/>
  <c r="AG219" i="14"/>
  <c r="AG111" i="14"/>
  <c r="AG160" i="14"/>
  <c r="AG221" i="14"/>
  <c r="AG226" i="14"/>
  <c r="AG222" i="14"/>
  <c r="AG114" i="14"/>
  <c r="AK120" i="14"/>
  <c r="AK228" i="14"/>
  <c r="AK116" i="14"/>
  <c r="AK224" i="14"/>
  <c r="AK221" i="14"/>
  <c r="AK222" i="14"/>
  <c r="AK114" i="14"/>
  <c r="AK52" i="14"/>
  <c r="AK125" i="14"/>
  <c r="CC34" i="14"/>
  <c r="CC228" i="14"/>
  <c r="CC120" i="14"/>
  <c r="CC226" i="14"/>
  <c r="CC121" i="14"/>
  <c r="CC229" i="14"/>
  <c r="CC107" i="14"/>
  <c r="CC16" i="14"/>
  <c r="CC215" i="14"/>
  <c r="CC116" i="14"/>
  <c r="CC224" i="14"/>
  <c r="CC219" i="14"/>
  <c r="CC111" i="14"/>
  <c r="CC115" i="14"/>
  <c r="CC223" i="14"/>
  <c r="CC220" i="14"/>
  <c r="CC112" i="14"/>
  <c r="CG226" i="14"/>
  <c r="CG217" i="14"/>
  <c r="CG109" i="14"/>
  <c r="CG125" i="14"/>
  <c r="CG52" i="14"/>
  <c r="CG34" i="14"/>
  <c r="AQ110" i="14"/>
  <c r="AQ218" i="14"/>
  <c r="AQ225" i="14"/>
  <c r="AQ117" i="14"/>
  <c r="AQ118" i="14"/>
  <c r="AQ123" i="14"/>
  <c r="AQ231" i="14"/>
  <c r="AY114" i="14"/>
  <c r="AY222" i="14"/>
  <c r="AY224" i="14"/>
  <c r="AY116" i="14"/>
  <c r="CY221" i="14"/>
  <c r="CY121" i="14"/>
  <c r="CY229" i="14"/>
  <c r="CY16" i="14"/>
  <c r="CY107" i="14"/>
  <c r="CY215" i="14"/>
  <c r="CY34" i="14"/>
  <c r="CY111" i="14"/>
  <c r="CY219" i="14"/>
  <c r="CY142" i="14"/>
  <c r="DG122" i="14"/>
  <c r="DG220" i="14"/>
  <c r="DG112" i="14"/>
  <c r="DG221" i="14"/>
  <c r="DG222" i="14"/>
  <c r="DG114" i="14"/>
  <c r="DG229" i="14"/>
  <c r="DG121" i="14"/>
  <c r="DG123" i="14"/>
  <c r="DG231" i="14"/>
  <c r="DJ230" i="14"/>
  <c r="DJ216" i="14"/>
  <c r="DJ108" i="14"/>
  <c r="DJ109" i="14"/>
  <c r="DJ217" i="14"/>
  <c r="DJ231" i="14"/>
  <c r="DJ123" i="14"/>
  <c r="DJ112" i="14"/>
  <c r="DJ220" i="14"/>
  <c r="DN34" i="14"/>
  <c r="DN122" i="14"/>
  <c r="DN221" i="14"/>
  <c r="DN160" i="14"/>
  <c r="DN109" i="14"/>
  <c r="DN217" i="14"/>
  <c r="DR107" i="14"/>
  <c r="DR215" i="14"/>
  <c r="DR16" i="14"/>
  <c r="DR108" i="14"/>
  <c r="DR216" i="14"/>
  <c r="DR221" i="14"/>
  <c r="DR112" i="14"/>
  <c r="DR220" i="14"/>
  <c r="AD160" i="14"/>
  <c r="AD216" i="14"/>
  <c r="AD108" i="14"/>
  <c r="AD231" i="14"/>
  <c r="AD123" i="14"/>
  <c r="AD219" i="14"/>
  <c r="AD111" i="14"/>
  <c r="AD113" i="14"/>
  <c r="AD215" i="14"/>
  <c r="AD16" i="14"/>
  <c r="AD107" i="14"/>
  <c r="AD112" i="14"/>
  <c r="AD220" i="14"/>
  <c r="AD110" i="14"/>
  <c r="AD218" i="14"/>
  <c r="AL116" i="14"/>
  <c r="AL224" i="14"/>
  <c r="AL142" i="14"/>
  <c r="CD221" i="14"/>
  <c r="CD224" i="14"/>
  <c r="CD116" i="14"/>
  <c r="CD110" i="14"/>
  <c r="CD218" i="14"/>
  <c r="CD228" i="14"/>
  <c r="CD120" i="14"/>
  <c r="CD34" i="14"/>
  <c r="CD108" i="14"/>
  <c r="CD216" i="14"/>
  <c r="CD229" i="14"/>
  <c r="CD121" i="14"/>
  <c r="CH160" i="14"/>
  <c r="CH113" i="14"/>
  <c r="CH34" i="14"/>
  <c r="CH116" i="14"/>
  <c r="CH224" i="14"/>
  <c r="CH222" i="14"/>
  <c r="CH114" i="14"/>
  <c r="CH121" i="14"/>
  <c r="CH229" i="14"/>
  <c r="BA220" i="14"/>
  <c r="BA112" i="14"/>
  <c r="BA34" i="14"/>
  <c r="BA217" i="14"/>
  <c r="BA109" i="14"/>
  <c r="BA118" i="14"/>
  <c r="BA230" i="14"/>
  <c r="BA231" i="14"/>
  <c r="BA123" i="14"/>
  <c r="BA160" i="14"/>
  <c r="BE121" i="14"/>
  <c r="BE229" i="14"/>
  <c r="BE115" i="14"/>
  <c r="BE223" i="14"/>
  <c r="BE225" i="14"/>
  <c r="BE117" i="14"/>
  <c r="BE116" i="14"/>
  <c r="BE224" i="14"/>
  <c r="BE111" i="14"/>
  <c r="BE219" i="14"/>
  <c r="BE125" i="14"/>
  <c r="BE52" i="14"/>
  <c r="BI160" i="14"/>
  <c r="BI123" i="14"/>
  <c r="BI231" i="14"/>
  <c r="BI220" i="14"/>
  <c r="BI112" i="14"/>
  <c r="F133" i="32"/>
  <c r="G694" i="32"/>
  <c r="P40" i="16"/>
  <c r="BN142" i="14"/>
  <c r="BN118" i="14"/>
  <c r="BN125" i="14"/>
  <c r="BN52" i="14"/>
  <c r="BN108" i="14"/>
  <c r="BN216" i="14"/>
  <c r="BN109" i="14"/>
  <c r="BN217" i="14"/>
  <c r="BN123" i="14"/>
  <c r="BN231" i="14"/>
  <c r="BN117" i="14"/>
  <c r="BN225" i="14"/>
  <c r="BN223" i="14"/>
  <c r="BN115" i="14"/>
  <c r="BN111" i="14"/>
  <c r="BN219" i="14"/>
  <c r="BR125" i="14"/>
  <c r="BR52" i="14"/>
  <c r="BR117" i="14"/>
  <c r="BR225" i="14"/>
  <c r="BR218" i="14"/>
  <c r="BR110" i="14"/>
  <c r="BR178" i="14"/>
  <c r="BV178" i="14"/>
  <c r="BV142" i="14"/>
  <c r="BV114" i="14"/>
  <c r="BV222" i="14"/>
  <c r="BV110" i="14"/>
  <c r="BV218" i="14"/>
  <c r="BV109" i="14"/>
  <c r="BV217" i="14"/>
  <c r="BV226" i="14"/>
  <c r="I695" i="32"/>
  <c r="G134" i="32"/>
  <c r="Q695" i="32"/>
  <c r="K134" i="32"/>
  <c r="CL116" i="14"/>
  <c r="CL224" i="14"/>
  <c r="CL122" i="14"/>
  <c r="CL107" i="14"/>
  <c r="CL215" i="14"/>
  <c r="CL16" i="14"/>
  <c r="CL226" i="14"/>
  <c r="CL223" i="14"/>
  <c r="CL115" i="14"/>
  <c r="CL225" i="14"/>
  <c r="CL117" i="14"/>
  <c r="CP113" i="14"/>
  <c r="CP230" i="14"/>
  <c r="CP117" i="14"/>
  <c r="CP225" i="14"/>
  <c r="CP111" i="14"/>
  <c r="CP219" i="14"/>
  <c r="CP114" i="14"/>
  <c r="CP222" i="14"/>
  <c r="CP178" i="14"/>
  <c r="CP34" i="14"/>
  <c r="CP160" i="14"/>
  <c r="CT230" i="14"/>
  <c r="CT178" i="14"/>
  <c r="CT118" i="14"/>
  <c r="CT34" i="14"/>
  <c r="CT160" i="14"/>
  <c r="DU221" i="14"/>
  <c r="DU178" i="14"/>
  <c r="DU119" i="14"/>
  <c r="DU227" i="14"/>
  <c r="DU217" i="14"/>
  <c r="DU109" i="14"/>
  <c r="DU52" i="14"/>
  <c r="DU125" i="14"/>
  <c r="DU220" i="14"/>
  <c r="DU112" i="14"/>
  <c r="DY219" i="14"/>
  <c r="DY111" i="14"/>
  <c r="DY117" i="14"/>
  <c r="DY225" i="14"/>
  <c r="EC226" i="14"/>
  <c r="EC220" i="14"/>
  <c r="EC112" i="14"/>
  <c r="EC117" i="14"/>
  <c r="EC225" i="14"/>
  <c r="EC160" i="14"/>
  <c r="EC115" i="14"/>
  <c r="EC223" i="14"/>
  <c r="C453" i="32"/>
  <c r="AO125" i="14"/>
  <c r="AO52" i="14"/>
  <c r="AO228" i="14"/>
  <c r="AO120" i="14"/>
  <c r="AO223" i="14"/>
  <c r="AO115" i="14"/>
  <c r="AO34" i="14"/>
  <c r="AO226" i="14"/>
  <c r="AO16" i="14"/>
  <c r="AO107" i="14"/>
  <c r="AO215" i="14"/>
  <c r="AS217" i="14"/>
  <c r="AS109" i="14"/>
  <c r="AS160" i="14"/>
  <c r="AS117" i="14"/>
  <c r="AS225" i="14"/>
  <c r="AS223" i="14"/>
  <c r="AS115" i="14"/>
  <c r="AS231" i="14"/>
  <c r="AS123" i="14"/>
  <c r="AW220" i="14"/>
  <c r="AW112" i="14"/>
  <c r="AW114" i="14"/>
  <c r="AW222" i="14"/>
  <c r="AW160" i="14"/>
  <c r="AW178" i="14"/>
  <c r="AW125" i="14"/>
  <c r="AW226" i="14"/>
  <c r="CW107" i="14"/>
  <c r="CW16" i="14"/>
  <c r="CW215" i="14"/>
  <c r="CW109" i="14"/>
  <c r="CW217" i="14"/>
  <c r="CW112" i="14"/>
  <c r="CW220" i="14"/>
  <c r="CW222" i="14"/>
  <c r="CW114" i="14"/>
  <c r="DA122" i="14"/>
  <c r="DA219" i="14"/>
  <c r="DA111" i="14"/>
  <c r="DA217" i="14"/>
  <c r="DA109" i="14"/>
  <c r="DA223" i="14"/>
  <c r="DA115" i="14"/>
  <c r="DA123" i="14"/>
  <c r="DA231" i="14"/>
  <c r="DE109" i="14"/>
  <c r="DE217" i="14"/>
  <c r="DE108" i="14"/>
  <c r="DE216" i="14"/>
  <c r="DE112" i="14"/>
  <c r="DE220" i="14"/>
  <c r="DE113" i="14"/>
  <c r="DL230" i="14"/>
  <c r="DL142" i="14"/>
  <c r="DL113" i="14"/>
  <c r="DL123" i="14"/>
  <c r="DL231" i="14"/>
  <c r="DP34" i="14"/>
  <c r="DP226" i="14"/>
  <c r="DP223" i="14"/>
  <c r="DP115" i="14"/>
  <c r="DP216" i="14"/>
  <c r="DP108" i="14"/>
  <c r="DP119" i="14"/>
  <c r="DP227" i="14"/>
  <c r="DP215" i="14"/>
  <c r="DP107" i="14"/>
  <c r="DP16" i="14"/>
  <c r="DT221" i="14"/>
  <c r="DT231" i="14"/>
  <c r="DT123" i="14"/>
  <c r="DT216" i="14"/>
  <c r="DT108" i="14"/>
  <c r="DT160" i="14"/>
  <c r="DT16" i="14"/>
  <c r="DT215" i="14"/>
  <c r="DT107" i="14"/>
  <c r="DT121" i="14"/>
  <c r="DT229" i="14"/>
  <c r="DT223" i="14"/>
  <c r="DT115" i="14"/>
  <c r="AF226" i="14"/>
  <c r="AF229" i="14"/>
  <c r="AF121" i="14"/>
  <c r="AF178" i="14"/>
  <c r="AJ120" i="14"/>
  <c r="AJ228" i="14"/>
  <c r="AJ110" i="14"/>
  <c r="AJ218" i="14"/>
  <c r="AJ113" i="14"/>
  <c r="AJ142" i="14"/>
  <c r="AJ34" i="14"/>
  <c r="AJ109" i="14"/>
  <c r="AJ217" i="14"/>
  <c r="AJ178" i="14"/>
  <c r="AJ118" i="14"/>
  <c r="AJ216" i="14"/>
  <c r="AJ108" i="14"/>
  <c r="AN115" i="14"/>
  <c r="AN223" i="14"/>
  <c r="AN226" i="14"/>
  <c r="AN142" i="14"/>
  <c r="AN228" i="14"/>
  <c r="AN120" i="14"/>
  <c r="AN217" i="14"/>
  <c r="AN109" i="14"/>
  <c r="AN160" i="14"/>
  <c r="CB122" i="14"/>
  <c r="CB226" i="14"/>
  <c r="CB223" i="14"/>
  <c r="CB115" i="14"/>
  <c r="CB117" i="14"/>
  <c r="CB225" i="14"/>
  <c r="CB108" i="14"/>
  <c r="CB216" i="14"/>
  <c r="CB218" i="14"/>
  <c r="CB110" i="14"/>
  <c r="CB142" i="14"/>
  <c r="CB109" i="14"/>
  <c r="CB217" i="14"/>
  <c r="CF115" i="14"/>
  <c r="CF223" i="14"/>
  <c r="CF142" i="14"/>
  <c r="CF119" i="14"/>
  <c r="CF227" i="14"/>
  <c r="CF160" i="14"/>
  <c r="CF178" i="14"/>
  <c r="CF52" i="14"/>
  <c r="CF125" i="14"/>
  <c r="CJ221" i="14"/>
  <c r="CJ122" i="14"/>
  <c r="CJ109" i="14"/>
  <c r="CJ217" i="14"/>
  <c r="CJ178" i="14"/>
  <c r="CJ225" i="14"/>
  <c r="CJ117" i="14"/>
  <c r="CJ142" i="14"/>
  <c r="CJ115" i="14"/>
  <c r="CJ223" i="14"/>
  <c r="BB226" i="14"/>
  <c r="BB120" i="14"/>
  <c r="BB228" i="14"/>
  <c r="BB230" i="14"/>
  <c r="BF118" i="14"/>
  <c r="BF114" i="14"/>
  <c r="BF222" i="14"/>
  <c r="BF120" i="14"/>
  <c r="BF228" i="14"/>
  <c r="BF122" i="14"/>
  <c r="BF119" i="14"/>
  <c r="BF227" i="14"/>
  <c r="BF223" i="14"/>
  <c r="BF115" i="14"/>
  <c r="BF218" i="14"/>
  <c r="BF110" i="14"/>
  <c r="BF217" i="14"/>
  <c r="BF109" i="14"/>
  <c r="BJ219" i="14"/>
  <c r="BJ111" i="14"/>
  <c r="BJ114" i="14"/>
  <c r="BJ222" i="14"/>
  <c r="BJ227" i="14"/>
  <c r="BJ119" i="14"/>
  <c r="BJ142" i="14"/>
  <c r="BJ112" i="14"/>
  <c r="BJ220" i="14"/>
  <c r="BJ230" i="14"/>
  <c r="P42" i="35"/>
  <c r="BO226" i="14"/>
  <c r="BO107" i="14"/>
  <c r="BO16" i="14"/>
  <c r="BO215" i="14"/>
  <c r="BO231" i="14"/>
  <c r="BO123" i="14"/>
  <c r="BO114" i="14"/>
  <c r="BO222" i="14"/>
  <c r="BO227" i="14"/>
  <c r="BO119" i="14"/>
  <c r="BO220" i="14"/>
  <c r="BO112" i="14"/>
  <c r="BO52" i="14"/>
  <c r="BO125" i="14"/>
  <c r="BS111" i="14"/>
  <c r="BS219" i="14"/>
  <c r="BS178" i="14"/>
  <c r="BS116" i="14"/>
  <c r="BS224" i="14"/>
  <c r="BS123" i="14"/>
  <c r="BS231" i="14"/>
  <c r="BS108" i="14"/>
  <c r="BS216" i="14"/>
  <c r="BS117" i="14"/>
  <c r="BS225" i="14"/>
  <c r="BS110" i="14"/>
  <c r="BS218" i="14"/>
  <c r="BS112" i="14"/>
  <c r="BS220" i="14"/>
  <c r="BW226" i="14"/>
  <c r="BW160" i="14"/>
  <c r="BW113" i="14"/>
  <c r="BW111" i="14"/>
  <c r="BW219" i="14"/>
  <c r="BW116" i="14"/>
  <c r="BW224" i="14"/>
  <c r="BW120" i="14"/>
  <c r="BW228" i="14"/>
  <c r="BW217" i="14"/>
  <c r="BW109" i="14"/>
  <c r="BW114" i="14"/>
  <c r="BW222" i="14"/>
  <c r="BW110" i="14"/>
  <c r="BW218" i="14"/>
  <c r="CM108" i="14"/>
  <c r="CM216" i="14"/>
  <c r="CM110" i="14"/>
  <c r="CM218" i="14"/>
  <c r="CM222" i="14"/>
  <c r="CM114" i="14"/>
  <c r="CM115" i="14"/>
  <c r="CM223" i="14"/>
  <c r="CM231" i="14"/>
  <c r="CM123" i="14"/>
  <c r="CQ221" i="14"/>
  <c r="CQ219" i="14"/>
  <c r="CQ111" i="14"/>
  <c r="CQ118" i="14"/>
  <c r="CQ222" i="14"/>
  <c r="CQ114" i="14"/>
  <c r="CQ120" i="14"/>
  <c r="CQ228" i="14"/>
  <c r="CU112" i="14"/>
  <c r="CU220" i="14"/>
  <c r="CU114" i="14"/>
  <c r="CU222" i="14"/>
  <c r="DV215" i="14"/>
  <c r="DV16" i="14"/>
  <c r="DV107" i="14"/>
  <c r="DV217" i="14"/>
  <c r="DV109" i="14"/>
  <c r="DV226" i="14"/>
  <c r="DV229" i="14"/>
  <c r="DV121" i="14"/>
  <c r="DV110" i="14"/>
  <c r="DV218" i="14"/>
  <c r="DZ221" i="14"/>
  <c r="DZ231" i="14"/>
  <c r="DZ123" i="14"/>
  <c r="DZ178" i="14"/>
  <c r="DZ115" i="14"/>
  <c r="DZ223" i="14"/>
  <c r="DZ118" i="14"/>
  <c r="DZ222" i="14"/>
  <c r="DZ114" i="14"/>
  <c r="DZ228" i="14"/>
  <c r="DZ120" i="14"/>
  <c r="DZ52" i="14"/>
  <c r="DZ125" i="14"/>
  <c r="DZ160" i="14"/>
  <c r="DZ121" i="14"/>
  <c r="DZ229" i="14"/>
  <c r="ED225" i="14"/>
  <c r="ED117" i="14"/>
  <c r="ED34" i="14"/>
  <c r="ED142" i="14"/>
  <c r="ED218" i="14"/>
  <c r="ED110" i="14"/>
  <c r="C477" i="32"/>
  <c r="D477" i="32" s="1"/>
  <c r="E477" i="32" s="1"/>
  <c r="F477" i="32" s="1"/>
  <c r="G477" i="32" s="1"/>
  <c r="H477" i="32" s="1"/>
  <c r="I477" i="32" s="1"/>
  <c r="J477" i="32" s="1"/>
  <c r="L478" i="32"/>
  <c r="AP116" i="14"/>
  <c r="AP224" i="14"/>
  <c r="AP230" i="14"/>
  <c r="AP120" i="14"/>
  <c r="AP228" i="14"/>
  <c r="AP123" i="14"/>
  <c r="AP231" i="14"/>
  <c r="AP178" i="14"/>
  <c r="AT226" i="14"/>
  <c r="AT160" i="14"/>
  <c r="AT216" i="14"/>
  <c r="AT108" i="14"/>
  <c r="AT119" i="14"/>
  <c r="AT227" i="14"/>
  <c r="AT34" i="14"/>
  <c r="AT111" i="14"/>
  <c r="AT219" i="14"/>
  <c r="AT114" i="14"/>
  <c r="AT222" i="14"/>
  <c r="AT223" i="14"/>
  <c r="AT115" i="14"/>
  <c r="AT178" i="14"/>
  <c r="AT221" i="14"/>
  <c r="AX226" i="14"/>
  <c r="AX227" i="14"/>
  <c r="AX119" i="14"/>
  <c r="AX223" i="14"/>
  <c r="AX115" i="14"/>
  <c r="AX216" i="14"/>
  <c r="AX108" i="14"/>
  <c r="AX221" i="14"/>
  <c r="AX178" i="14"/>
  <c r="AX109" i="14"/>
  <c r="AX217" i="14"/>
  <c r="CX225" i="14"/>
  <c r="CX117" i="14"/>
  <c r="CX119" i="14"/>
  <c r="CX227" i="14"/>
  <c r="CX52" i="14"/>
  <c r="CX125" i="14"/>
  <c r="CX121" i="14"/>
  <c r="CX229" i="14"/>
  <c r="CX226" i="14"/>
  <c r="CX120" i="14"/>
  <c r="CX228" i="14"/>
  <c r="CX34" i="14"/>
  <c r="DB110" i="14"/>
  <c r="DB218" i="14"/>
  <c r="DB221" i="14"/>
  <c r="DB118" i="14"/>
  <c r="DB111" i="14"/>
  <c r="DB219" i="14"/>
  <c r="DF221" i="14"/>
  <c r="DF217" i="14"/>
  <c r="DF109" i="14"/>
  <c r="DF118" i="14"/>
  <c r="DF111" i="14"/>
  <c r="DF219" i="14"/>
  <c r="DF178" i="14"/>
  <c r="DF222" i="14"/>
  <c r="DF114" i="14"/>
  <c r="AC111" i="14"/>
  <c r="AC219" i="14"/>
  <c r="AC52" i="14"/>
  <c r="AC125" i="14"/>
  <c r="AC117" i="14"/>
  <c r="AC225" i="14"/>
  <c r="AC116" i="14"/>
  <c r="AC224" i="14"/>
  <c r="AC216" i="14"/>
  <c r="AC108" i="14"/>
  <c r="AC220" i="14"/>
  <c r="AC112" i="14"/>
  <c r="AC118" i="14"/>
  <c r="AC142" i="14"/>
  <c r="AC160" i="14"/>
  <c r="BY115" i="14"/>
  <c r="BY223" i="14"/>
  <c r="BY220" i="14"/>
  <c r="BY112" i="14"/>
  <c r="BY52" i="14"/>
  <c r="BY125" i="14"/>
  <c r="BY160" i="14"/>
  <c r="BY228" i="14"/>
  <c r="BY120" i="14"/>
  <c r="BY121" i="14"/>
  <c r="BY229" i="14"/>
  <c r="AU230" i="14"/>
  <c r="AU220" i="14"/>
  <c r="AU112" i="14"/>
  <c r="AU115" i="14"/>
  <c r="AU223" i="14"/>
  <c r="AU216" i="14"/>
  <c r="AU108" i="14"/>
  <c r="AU226" i="14"/>
  <c r="AU117" i="14"/>
  <c r="AU225" i="14"/>
  <c r="AU224" i="14"/>
  <c r="AU116" i="14"/>
  <c r="AU160" i="14"/>
  <c r="DC113" i="14"/>
  <c r="DC115" i="14"/>
  <c r="DC223" i="14"/>
  <c r="DC110" i="14"/>
  <c r="DC218" i="14"/>
  <c r="DC225" i="14"/>
  <c r="DC117" i="14"/>
  <c r="DC142" i="14"/>
  <c r="DC121" i="14"/>
  <c r="DC229" i="14"/>
  <c r="DC122" i="14"/>
  <c r="DC108" i="14"/>
  <c r="DC216" i="14"/>
  <c r="AH225" i="14"/>
  <c r="AH117" i="14"/>
  <c r="AH228" i="14"/>
  <c r="AH120" i="14"/>
  <c r="AH118" i="14"/>
  <c r="AH115" i="14"/>
  <c r="AH223" i="14"/>
  <c r="AH112" i="14"/>
  <c r="AH220" i="14"/>
  <c r="AH231" i="14"/>
  <c r="AH123" i="14"/>
  <c r="BZ222" i="14"/>
  <c r="BZ114" i="14"/>
  <c r="BZ160" i="14"/>
  <c r="BZ34" i="14"/>
  <c r="BZ120" i="14"/>
  <c r="BZ228" i="14"/>
  <c r="BZ217" i="14"/>
  <c r="BZ109" i="14"/>
  <c r="BZ226" i="14"/>
  <c r="BC230" i="14"/>
  <c r="BC34" i="14"/>
  <c r="BC178" i="14"/>
  <c r="BC120" i="14"/>
  <c r="BC228" i="14"/>
  <c r="BC119" i="14"/>
  <c r="BC227" i="14"/>
  <c r="BG230" i="14"/>
  <c r="BG221" i="14"/>
  <c r="BG216" i="14"/>
  <c r="BG108" i="14"/>
  <c r="BG52" i="14"/>
  <c r="BG125" i="14"/>
  <c r="BK225" i="14"/>
  <c r="BK117" i="14"/>
  <c r="BK218" i="14"/>
  <c r="BK110" i="14"/>
  <c r="BK122" i="14"/>
  <c r="BK223" i="14"/>
  <c r="BK115" i="14"/>
  <c r="BK160" i="14"/>
  <c r="BK116" i="14"/>
  <c r="BK224" i="14"/>
  <c r="BK229" i="14"/>
  <c r="BK121" i="14"/>
  <c r="E563" i="32"/>
  <c r="O41" i="16"/>
  <c r="O42" i="35"/>
  <c r="J694" i="32"/>
  <c r="S40" i="16"/>
  <c r="L694" i="32"/>
  <c r="U40" i="16"/>
  <c r="N694" i="32"/>
  <c r="W40" i="16"/>
  <c r="P694" i="32"/>
  <c r="Y40" i="16"/>
  <c r="R694" i="32"/>
  <c r="AA40" i="16"/>
  <c r="T694" i="32"/>
  <c r="AC40" i="16"/>
  <c r="V694" i="32"/>
  <c r="AE40" i="16"/>
  <c r="X694" i="32"/>
  <c r="AG40" i="16"/>
  <c r="AI40" i="16"/>
  <c r="BP142" i="14"/>
  <c r="BP223" i="14"/>
  <c r="BP115" i="14"/>
  <c r="BP218" i="14"/>
  <c r="BP110" i="14"/>
  <c r="BP219" i="14"/>
  <c r="BP111" i="14"/>
  <c r="BP107" i="14"/>
  <c r="BP215" i="14"/>
  <c r="BP16" i="14"/>
  <c r="BT118" i="14"/>
  <c r="BT142" i="14"/>
  <c r="BT113" i="14"/>
  <c r="BT108" i="14"/>
  <c r="BT216" i="14"/>
  <c r="BX225" i="14"/>
  <c r="BX117" i="14"/>
  <c r="BX34" i="14"/>
  <c r="BX142" i="14"/>
  <c r="BX109" i="14"/>
  <c r="BX217" i="14"/>
  <c r="BX160" i="14"/>
  <c r="BX112" i="14"/>
  <c r="BX220" i="14"/>
  <c r="BX116" i="14"/>
  <c r="BX224" i="14"/>
  <c r="CN122" i="14"/>
  <c r="CN215" i="14"/>
  <c r="CN16" i="14"/>
  <c r="CN107" i="14"/>
  <c r="CN34" i="14"/>
  <c r="CN121" i="14"/>
  <c r="CN229" i="14"/>
  <c r="CN119" i="14"/>
  <c r="CN227" i="14"/>
  <c r="CN160" i="14"/>
  <c r="CN118" i="14"/>
  <c r="CR113" i="14"/>
  <c r="CR178" i="14"/>
  <c r="CR231" i="14"/>
  <c r="CR123" i="14"/>
  <c r="CR160" i="14"/>
  <c r="CR227" i="14"/>
  <c r="CR119" i="14"/>
  <c r="CR223" i="14"/>
  <c r="CR115" i="14"/>
  <c r="CV160" i="14"/>
  <c r="DW221" i="14"/>
  <c r="DW228" i="14"/>
  <c r="DW120" i="14"/>
  <c r="DW125" i="14"/>
  <c r="DW52" i="14"/>
  <c r="DW114" i="14"/>
  <c r="DW222" i="14"/>
  <c r="DW224" i="14"/>
  <c r="DW116" i="14"/>
  <c r="DW231" i="14"/>
  <c r="DW123" i="14"/>
  <c r="DW160" i="14"/>
  <c r="EA226" i="14"/>
  <c r="EA217" i="14"/>
  <c r="EA109" i="14"/>
  <c r="EA178" i="14"/>
  <c r="EA125" i="14"/>
  <c r="EA52" i="14"/>
  <c r="EA231" i="14"/>
  <c r="EA123" i="14"/>
  <c r="EA122" i="14"/>
  <c r="EA229" i="14"/>
  <c r="EA121" i="14"/>
  <c r="EA111" i="14"/>
  <c r="EA219" i="14"/>
  <c r="EA34" i="14"/>
  <c r="EE122" i="14"/>
  <c r="EE229" i="14"/>
  <c r="EE121" i="14"/>
  <c r="EE109" i="14"/>
  <c r="EE217" i="14"/>
  <c r="BD110" i="14"/>
  <c r="BD218" i="14"/>
  <c r="BD109" i="14"/>
  <c r="BD217" i="14"/>
  <c r="BD219" i="14"/>
  <c r="BD111" i="14"/>
  <c r="BD216" i="14"/>
  <c r="BD108" i="14"/>
  <c r="BD142" i="14"/>
  <c r="BD224" i="14"/>
  <c r="BD116" i="14"/>
  <c r="BD113" i="14"/>
  <c r="BH225" i="14"/>
  <c r="BH117" i="14"/>
  <c r="BH230" i="14"/>
  <c r="BH226" i="14"/>
  <c r="BH227" i="14"/>
  <c r="BH119" i="14"/>
  <c r="BH113" i="14"/>
  <c r="BH160" i="14"/>
  <c r="BL220" i="14"/>
  <c r="BL112" i="14"/>
  <c r="BL215" i="14"/>
  <c r="BL107" i="14"/>
  <c r="BL16" i="14"/>
  <c r="BL222" i="14"/>
  <c r="BL114" i="14"/>
  <c r="BL108" i="14"/>
  <c r="BL216" i="14"/>
  <c r="L41" i="5"/>
  <c r="X18" i="10"/>
  <c r="BM34" i="14"/>
  <c r="BM220" i="14"/>
  <c r="BM112" i="14"/>
  <c r="BQ130" i="14"/>
  <c r="BQ118" i="14"/>
  <c r="BQ116" i="14"/>
  <c r="BQ224" i="14"/>
  <c r="BQ230" i="14"/>
  <c r="BQ222" i="14"/>
  <c r="BQ114" i="14"/>
  <c r="BU123" i="14"/>
  <c r="BU231" i="14"/>
  <c r="BU222" i="14"/>
  <c r="BU114" i="14"/>
  <c r="BU109" i="14"/>
  <c r="BU217" i="14"/>
  <c r="BU178" i="14"/>
  <c r="BU108" i="14"/>
  <c r="BU216" i="14"/>
  <c r="D564" i="32"/>
  <c r="C564" i="32" s="1"/>
  <c r="M44" i="16"/>
  <c r="K50" i="6"/>
  <c r="CK110" i="14"/>
  <c r="CK218" i="14"/>
  <c r="CK122" i="14"/>
  <c r="CK142" i="14"/>
  <c r="CK107" i="14"/>
  <c r="CK215" i="14"/>
  <c r="CK16" i="14"/>
  <c r="CK115" i="14"/>
  <c r="CK223" i="14"/>
  <c r="CK123" i="14"/>
  <c r="CK231" i="14"/>
  <c r="CO229" i="14"/>
  <c r="CO121" i="14"/>
  <c r="CO178" i="14"/>
  <c r="CO108" i="14"/>
  <c r="CO216" i="14"/>
  <c r="CO119" i="14"/>
  <c r="CO227" i="14"/>
  <c r="CO115" i="14"/>
  <c r="CO223" i="14"/>
  <c r="CO111" i="14"/>
  <c r="CO219" i="14"/>
  <c r="CS218" i="14"/>
  <c r="CS110" i="14"/>
  <c r="CS227" i="14"/>
  <c r="CS119" i="14"/>
  <c r="CS142" i="14"/>
  <c r="CS52" i="14"/>
  <c r="CS125" i="14"/>
  <c r="CS222" i="14"/>
  <c r="CS114" i="14"/>
  <c r="CS160" i="14"/>
  <c r="DX226" i="14"/>
  <c r="DX114" i="14"/>
  <c r="DX222" i="14"/>
  <c r="DX123" i="14"/>
  <c r="DX231" i="14"/>
  <c r="DX115" i="14"/>
  <c r="DX223" i="14"/>
  <c r="DX160" i="14"/>
  <c r="EB107" i="14"/>
  <c r="EB16" i="14"/>
  <c r="EB215" i="14"/>
  <c r="EB142" i="14"/>
  <c r="EB120" i="14"/>
  <c r="EB228" i="14"/>
  <c r="EB223" i="14"/>
  <c r="EB115" i="14"/>
  <c r="EB231" i="14"/>
  <c r="EB123" i="14"/>
  <c r="EB178" i="14"/>
  <c r="EN35" i="14"/>
  <c r="EN159" i="14"/>
  <c r="EN155" i="14"/>
  <c r="EN29" i="14"/>
  <c r="EN168" i="14"/>
  <c r="EN171" i="14"/>
  <c r="EN24" i="14"/>
  <c r="EN169" i="14"/>
  <c r="EN175" i="14"/>
  <c r="EN203" i="14"/>
  <c r="EN165" i="14"/>
  <c r="EN31" i="14"/>
  <c r="EN59" i="14"/>
  <c r="EN147" i="14"/>
  <c r="EN157" i="14"/>
  <c r="EN192" i="14"/>
  <c r="EN71" i="14"/>
  <c r="EN158" i="14"/>
  <c r="EN60" i="14"/>
  <c r="EN184" i="14"/>
  <c r="EN172" i="14"/>
  <c r="EN25" i="14"/>
  <c r="EN146" i="14"/>
  <c r="EN195" i="14"/>
  <c r="EN209" i="14"/>
  <c r="EN54" i="14"/>
  <c r="EN212" i="14"/>
  <c r="EN166" i="14"/>
  <c r="EN144" i="14"/>
  <c r="EN210" i="14"/>
  <c r="EN57" i="14"/>
  <c r="EN26" i="14"/>
  <c r="EN63" i="14"/>
  <c r="EN66" i="14"/>
  <c r="EN148" i="14"/>
  <c r="EN204" i="14"/>
  <c r="EN153" i="14"/>
  <c r="EN61" i="14"/>
  <c r="EN151" i="14"/>
  <c r="EN186" i="14"/>
  <c r="EN177" i="14"/>
  <c r="EN22" i="14"/>
  <c r="EN189" i="14"/>
  <c r="EN181" i="14"/>
  <c r="EN19" i="14"/>
  <c r="EN206" i="14"/>
  <c r="EN185" i="14"/>
  <c r="EN205" i="14"/>
  <c r="EN164" i="14"/>
  <c r="EN211" i="14"/>
  <c r="EN64" i="14"/>
  <c r="EN198" i="14"/>
  <c r="EN179" i="14"/>
  <c r="EN23" i="14"/>
  <c r="EN182" i="14"/>
  <c r="EN188" i="14"/>
  <c r="EN17" i="14"/>
  <c r="EN201" i="14"/>
  <c r="EN200" i="14"/>
  <c r="EN163" i="14"/>
  <c r="EN68" i="14"/>
  <c r="EN197" i="14"/>
  <c r="EN213" i="14"/>
  <c r="EN202" i="14"/>
  <c r="EN30" i="14"/>
  <c r="EN150" i="14"/>
  <c r="EN67" i="14"/>
  <c r="EN161" i="14"/>
  <c r="EN152" i="14"/>
  <c r="EN62" i="14"/>
  <c r="EN145" i="14"/>
  <c r="EN174" i="14"/>
  <c r="EN55" i="14"/>
  <c r="EN69" i="14"/>
  <c r="EN56" i="14"/>
  <c r="EN199" i="14"/>
  <c r="EN193" i="14"/>
  <c r="EN194" i="14"/>
  <c r="EN162" i="14"/>
  <c r="EN183" i="14"/>
  <c r="EN170" i="14"/>
  <c r="EN154" i="14"/>
  <c r="EN187" i="14"/>
  <c r="EN167" i="14"/>
  <c r="EN58" i="14"/>
  <c r="EN149" i="14"/>
  <c r="EN207" i="14"/>
  <c r="EN208" i="14"/>
  <c r="EN65" i="14"/>
  <c r="EN33" i="14"/>
  <c r="EN143" i="14"/>
  <c r="EN28" i="14"/>
  <c r="EN21" i="14"/>
  <c r="EN190" i="14"/>
  <c r="EN156" i="14"/>
  <c r="EN53" i="14"/>
  <c r="EN32" i="14"/>
  <c r="EN180" i="14"/>
  <c r="EN176" i="14"/>
  <c r="EN191" i="14"/>
  <c r="EN18" i="14"/>
  <c r="EN27" i="14"/>
  <c r="EN173" i="14"/>
  <c r="EN20" i="14"/>
  <c r="EN40" i="14"/>
  <c r="EN39" i="14"/>
  <c r="EN49" i="14"/>
  <c r="EN47" i="14"/>
  <c r="EN45" i="14"/>
  <c r="EN42" i="14"/>
  <c r="EN50" i="14"/>
  <c r="EN46" i="14"/>
  <c r="EN51" i="14"/>
  <c r="EN41" i="14"/>
  <c r="EN43" i="14"/>
  <c r="EN37" i="14"/>
  <c r="EN48" i="14"/>
  <c r="EN36" i="14"/>
  <c r="EN44" i="14"/>
  <c r="EN38" i="14"/>
  <c r="EN83" i="14"/>
  <c r="EN79" i="14"/>
  <c r="EN81" i="14"/>
  <c r="EN77" i="14"/>
  <c r="EN74" i="14"/>
  <c r="EN80" i="14"/>
  <c r="EN86" i="14"/>
  <c r="EN73" i="14"/>
  <c r="EN85" i="14"/>
  <c r="EN78" i="14"/>
  <c r="EN76" i="14"/>
  <c r="EN87" i="14"/>
  <c r="EN84" i="14"/>
  <c r="EN82" i="14"/>
  <c r="EN72" i="14"/>
  <c r="EN75" i="14"/>
  <c r="EG144" i="14"/>
  <c r="EG162" i="14"/>
  <c r="EG26" i="14"/>
  <c r="EG153" i="14"/>
  <c r="EG150" i="14"/>
  <c r="EG186" i="14"/>
  <c r="EG62" i="14"/>
  <c r="EG213" i="14"/>
  <c r="EG164" i="14"/>
  <c r="EG58" i="14"/>
  <c r="EG191" i="14"/>
  <c r="EG60" i="14"/>
  <c r="EG65" i="14"/>
  <c r="EG149" i="14"/>
  <c r="EG151" i="14"/>
  <c r="EG27" i="14"/>
  <c r="EG22" i="14"/>
  <c r="EG180" i="14"/>
  <c r="EG29" i="14"/>
  <c r="EG187" i="14"/>
  <c r="EG209" i="14"/>
  <c r="EG17" i="14"/>
  <c r="EG202" i="14"/>
  <c r="EG207" i="14"/>
  <c r="EG201" i="14"/>
  <c r="EG195" i="14"/>
  <c r="EG32" i="14"/>
  <c r="EG190" i="14"/>
  <c r="EG69" i="14"/>
  <c r="EG57" i="14"/>
  <c r="EG28" i="14"/>
  <c r="EG163" i="14"/>
  <c r="EG181" i="14"/>
  <c r="EG55" i="14"/>
  <c r="EG148" i="14"/>
  <c r="EG188" i="14"/>
  <c r="EG176" i="14"/>
  <c r="EG67" i="14"/>
  <c r="EG167" i="14"/>
  <c r="EG211" i="14"/>
  <c r="EG157" i="14"/>
  <c r="EG174" i="14"/>
  <c r="EG200" i="14"/>
  <c r="EG24" i="14"/>
  <c r="EG166" i="14"/>
  <c r="EG23" i="14"/>
  <c r="EG21" i="14"/>
  <c r="EG30" i="14"/>
  <c r="EG198" i="14"/>
  <c r="EG206" i="14"/>
  <c r="EG173" i="14"/>
  <c r="EG197" i="14"/>
  <c r="EG193" i="14"/>
  <c r="EG168" i="14"/>
  <c r="EG194" i="14"/>
  <c r="EG192" i="14"/>
  <c r="EG33" i="14"/>
  <c r="EG161" i="14"/>
  <c r="EG182" i="14"/>
  <c r="EG204" i="14"/>
  <c r="EG146" i="14"/>
  <c r="EG154" i="14"/>
  <c r="EG169" i="14"/>
  <c r="EG66" i="14"/>
  <c r="EG59" i="14"/>
  <c r="EG212" i="14"/>
  <c r="EG159" i="14"/>
  <c r="EG61" i="14"/>
  <c r="EG71" i="14"/>
  <c r="EG145" i="14"/>
  <c r="EG31" i="14"/>
  <c r="EG210" i="14"/>
  <c r="EG185" i="14"/>
  <c r="EG171" i="14"/>
  <c r="EG147" i="14"/>
  <c r="EG158" i="14"/>
  <c r="EG155" i="14"/>
  <c r="EG18" i="14"/>
  <c r="EG56" i="14"/>
  <c r="EG183" i="14"/>
  <c r="EG53" i="14"/>
  <c r="EG54" i="14"/>
  <c r="EG19" i="14"/>
  <c r="EG156" i="14"/>
  <c r="EG165" i="14"/>
  <c r="EG68" i="14"/>
  <c r="EG175" i="14"/>
  <c r="EG143" i="14"/>
  <c r="EG199" i="14"/>
  <c r="EG20" i="14"/>
  <c r="EG179" i="14"/>
  <c r="EG152" i="14"/>
  <c r="EG208" i="14"/>
  <c r="EG203" i="14"/>
  <c r="EG177" i="14"/>
  <c r="EG205" i="14"/>
  <c r="EG64" i="14"/>
  <c r="EG170" i="14"/>
  <c r="EG189" i="14"/>
  <c r="EG184" i="14"/>
  <c r="EG63" i="14"/>
  <c r="EG35" i="14"/>
  <c r="EG25" i="14"/>
  <c r="EG172" i="14"/>
  <c r="EG40" i="14"/>
  <c r="EG39" i="14"/>
  <c r="EG45" i="14"/>
  <c r="EG42" i="14"/>
  <c r="EG49" i="14"/>
  <c r="EG47" i="14"/>
  <c r="EG41" i="14"/>
  <c r="EG51" i="14"/>
  <c r="EG43" i="14"/>
  <c r="EG46" i="14"/>
  <c r="EG50" i="14"/>
  <c r="EG36" i="14"/>
  <c r="EG44" i="14"/>
  <c r="EG48" i="14"/>
  <c r="EG37" i="14"/>
  <c r="EG38" i="14"/>
  <c r="EG83" i="14"/>
  <c r="EG81" i="14"/>
  <c r="EG79" i="14"/>
  <c r="EG85" i="14"/>
  <c r="EG78" i="14"/>
  <c r="EG86" i="14"/>
  <c r="EG77" i="14"/>
  <c r="EG76" i="14"/>
  <c r="EG74" i="14"/>
  <c r="EG84" i="14"/>
  <c r="EG80" i="14"/>
  <c r="EG87" i="14"/>
  <c r="EG73" i="14"/>
  <c r="EG75" i="14"/>
  <c r="EG82" i="14"/>
  <c r="EG72" i="14"/>
  <c r="ES31" i="14"/>
  <c r="ES18" i="14"/>
  <c r="ES163" i="14"/>
  <c r="ES164" i="14"/>
  <c r="ES148" i="14"/>
  <c r="ES168" i="14"/>
  <c r="ES22" i="14"/>
  <c r="ES171" i="14"/>
  <c r="ES23" i="14"/>
  <c r="ES183" i="14"/>
  <c r="ES190" i="14"/>
  <c r="ES198" i="14"/>
  <c r="ES71" i="14"/>
  <c r="ES192" i="14"/>
  <c r="ES201" i="14"/>
  <c r="ES152" i="14"/>
  <c r="ES200" i="14"/>
  <c r="ES199" i="14"/>
  <c r="ES68" i="14"/>
  <c r="ES150" i="14"/>
  <c r="ES63" i="14"/>
  <c r="ES197" i="14"/>
  <c r="ES170" i="14"/>
  <c r="ES204" i="14"/>
  <c r="ES184" i="14"/>
  <c r="ES61" i="14"/>
  <c r="ES172" i="14"/>
  <c r="ES145" i="14"/>
  <c r="ES166" i="14"/>
  <c r="ES19" i="14"/>
  <c r="ES176" i="14"/>
  <c r="ES33" i="14"/>
  <c r="ES35" i="14"/>
  <c r="ES27" i="14"/>
  <c r="ES186" i="14"/>
  <c r="ES202" i="14"/>
  <c r="ES28" i="14"/>
  <c r="ES182" i="14"/>
  <c r="ES209" i="14"/>
  <c r="ES60" i="14"/>
  <c r="ES53" i="14"/>
  <c r="ES193" i="14"/>
  <c r="ES187" i="14"/>
  <c r="ES206" i="14"/>
  <c r="ES210" i="14"/>
  <c r="ES188" i="14"/>
  <c r="ES20" i="14"/>
  <c r="ES21" i="14"/>
  <c r="ES177" i="14"/>
  <c r="ES169" i="14"/>
  <c r="ES144" i="14"/>
  <c r="ES162" i="14"/>
  <c r="ES157" i="14"/>
  <c r="ES175" i="14"/>
  <c r="ES159" i="14"/>
  <c r="ES54" i="14"/>
  <c r="ES146" i="14"/>
  <c r="ES153" i="14"/>
  <c r="ES56" i="14"/>
  <c r="ES212" i="14"/>
  <c r="ES179" i="14"/>
  <c r="ES203" i="14"/>
  <c r="ES57" i="14"/>
  <c r="ES66" i="14"/>
  <c r="ES191" i="14"/>
  <c r="ES205" i="14"/>
  <c r="ES59" i="14"/>
  <c r="ES211" i="14"/>
  <c r="ES17" i="14"/>
  <c r="ES58" i="14"/>
  <c r="ES62" i="14"/>
  <c r="ES181" i="14"/>
  <c r="ES173" i="14"/>
  <c r="ES143" i="14"/>
  <c r="ES24" i="14"/>
  <c r="ES151" i="14"/>
  <c r="ES67" i="14"/>
  <c r="ES213" i="14"/>
  <c r="ES65" i="14"/>
  <c r="ES29" i="14"/>
  <c r="ES194" i="14"/>
  <c r="ES156" i="14"/>
  <c r="ES64" i="14"/>
  <c r="ES147" i="14"/>
  <c r="ES55" i="14"/>
  <c r="ES69" i="14"/>
  <c r="ES208" i="14"/>
  <c r="ES167" i="14"/>
  <c r="ES165" i="14"/>
  <c r="ES161" i="14"/>
  <c r="ES149" i="14"/>
  <c r="ES155" i="14"/>
  <c r="ES32" i="14"/>
  <c r="ES25" i="14"/>
  <c r="ES154" i="14"/>
  <c r="ES30" i="14"/>
  <c r="ES174" i="14"/>
  <c r="ES158" i="14"/>
  <c r="ES207" i="14"/>
  <c r="ES189" i="14"/>
  <c r="ES180" i="14"/>
  <c r="ES185" i="14"/>
  <c r="ES195" i="14"/>
  <c r="ES26" i="14"/>
  <c r="ES40" i="14"/>
  <c r="ES49" i="14"/>
  <c r="ES39" i="14"/>
  <c r="ES47" i="14"/>
  <c r="ES41" i="14"/>
  <c r="ES42" i="14"/>
  <c r="ES45" i="14"/>
  <c r="ES43" i="14"/>
  <c r="ES46" i="14"/>
  <c r="ES50" i="14"/>
  <c r="ES51" i="14"/>
  <c r="ES44" i="14"/>
  <c r="ES48" i="14"/>
  <c r="ES37" i="14"/>
  <c r="ES36" i="14"/>
  <c r="ES38" i="14"/>
  <c r="ES81" i="14"/>
  <c r="ES83" i="14"/>
  <c r="ES79" i="14"/>
  <c r="ES85" i="14"/>
  <c r="ES77" i="14"/>
  <c r="ES76" i="14"/>
  <c r="ES86" i="14"/>
  <c r="ES87" i="14"/>
  <c r="ES73" i="14"/>
  <c r="ES84" i="14"/>
  <c r="ES80" i="14"/>
  <c r="ES74" i="14"/>
  <c r="ES78" i="14"/>
  <c r="ES75" i="14"/>
  <c r="ES72" i="14"/>
  <c r="ES82" i="14"/>
  <c r="EH159" i="14"/>
  <c r="EH170" i="14"/>
  <c r="EH145" i="14"/>
  <c r="EH167" i="14"/>
  <c r="EH60" i="14"/>
  <c r="EH187" i="14"/>
  <c r="EH192" i="14"/>
  <c r="EH23" i="14"/>
  <c r="EH57" i="14"/>
  <c r="EH184" i="14"/>
  <c r="EH55" i="14"/>
  <c r="EH191" i="14"/>
  <c r="EH53" i="14"/>
  <c r="EH25" i="14"/>
  <c r="EH209" i="14"/>
  <c r="EH21" i="14"/>
  <c r="EH33" i="14"/>
  <c r="EH54" i="14"/>
  <c r="EH64" i="14"/>
  <c r="EH154" i="14"/>
  <c r="EH212" i="14"/>
  <c r="EH146" i="14"/>
  <c r="EH17" i="14"/>
  <c r="EH198" i="14"/>
  <c r="EH59" i="14"/>
  <c r="EH19" i="14"/>
  <c r="EH153" i="14"/>
  <c r="EH204" i="14"/>
  <c r="EH35" i="14"/>
  <c r="EH176" i="14"/>
  <c r="EH171" i="14"/>
  <c r="EH69" i="14"/>
  <c r="EH205" i="14"/>
  <c r="EH22" i="14"/>
  <c r="EH188" i="14"/>
  <c r="EH202" i="14"/>
  <c r="EH62" i="14"/>
  <c r="EH65" i="14"/>
  <c r="EH26" i="14"/>
  <c r="EH200" i="14"/>
  <c r="EH206" i="14"/>
  <c r="EH28" i="14"/>
  <c r="EH180" i="14"/>
  <c r="EH157" i="14"/>
  <c r="EH169" i="14"/>
  <c r="EH175" i="14"/>
  <c r="EH173" i="14"/>
  <c r="EH164" i="14"/>
  <c r="EH148" i="14"/>
  <c r="EH194" i="14"/>
  <c r="EH58" i="14"/>
  <c r="EH174" i="14"/>
  <c r="EH152" i="14"/>
  <c r="EH172" i="14"/>
  <c r="EH211" i="14"/>
  <c r="EH27" i="14"/>
  <c r="EH29" i="14"/>
  <c r="EH156" i="14"/>
  <c r="EH20" i="14"/>
  <c r="EH213" i="14"/>
  <c r="EH165" i="14"/>
  <c r="EH186" i="14"/>
  <c r="EH66" i="14"/>
  <c r="EH24" i="14"/>
  <c r="EH197" i="14"/>
  <c r="EH195" i="14"/>
  <c r="EH183" i="14"/>
  <c r="EH147" i="14"/>
  <c r="EH179" i="14"/>
  <c r="EH177" i="14"/>
  <c r="EH155" i="14"/>
  <c r="EH193" i="14"/>
  <c r="EH149" i="14"/>
  <c r="EH201" i="14"/>
  <c r="EH31" i="14"/>
  <c r="EH181" i="14"/>
  <c r="EH166" i="14"/>
  <c r="EH161" i="14"/>
  <c r="EH207" i="14"/>
  <c r="EH189" i="14"/>
  <c r="EH203" i="14"/>
  <c r="EH210" i="14"/>
  <c r="EH162" i="14"/>
  <c r="EH163" i="14"/>
  <c r="EH143" i="14"/>
  <c r="EH144" i="14"/>
  <c r="EH18" i="14"/>
  <c r="EH190" i="14"/>
  <c r="EH199" i="14"/>
  <c r="EH32" i="14"/>
  <c r="EH67" i="14"/>
  <c r="EH150" i="14"/>
  <c r="EH151" i="14"/>
  <c r="EH168" i="14"/>
  <c r="EH71" i="14"/>
  <c r="EH63" i="14"/>
  <c r="EH208" i="14"/>
  <c r="EH182" i="14"/>
  <c r="EH61" i="14"/>
  <c r="EH30" i="14"/>
  <c r="EH56" i="14"/>
  <c r="EH158" i="14"/>
  <c r="EH68" i="14"/>
  <c r="EH185" i="14"/>
  <c r="EH40" i="14"/>
  <c r="EH39" i="14"/>
  <c r="EH49" i="14"/>
  <c r="EH45" i="14"/>
  <c r="EH41" i="14"/>
  <c r="EH42" i="14"/>
  <c r="EH47" i="14"/>
  <c r="EH43" i="14"/>
  <c r="EH50" i="14"/>
  <c r="EH51" i="14"/>
  <c r="EH46" i="14"/>
  <c r="EH36" i="14"/>
  <c r="EH37" i="14"/>
  <c r="EH38" i="14"/>
  <c r="EH44" i="14"/>
  <c r="EH48" i="14"/>
  <c r="EH81" i="14"/>
  <c r="EH83" i="14"/>
  <c r="EH79" i="14"/>
  <c r="EH80" i="14"/>
  <c r="EH76" i="14"/>
  <c r="EH77" i="14"/>
  <c r="EH86" i="14"/>
  <c r="EH87" i="14"/>
  <c r="EH73" i="14"/>
  <c r="EH74" i="14"/>
  <c r="EH85" i="14"/>
  <c r="EH78" i="14"/>
  <c r="EH84" i="14"/>
  <c r="EH72" i="14"/>
  <c r="EH75" i="14"/>
  <c r="EH82" i="14"/>
  <c r="AR118" i="14"/>
  <c r="AR142" i="14"/>
  <c r="AR112" i="14"/>
  <c r="AR220" i="14"/>
  <c r="AV118" i="14"/>
  <c r="AV219" i="14"/>
  <c r="AV111" i="14"/>
  <c r="AV220" i="14"/>
  <c r="AV112" i="14"/>
  <c r="AV221" i="14"/>
  <c r="AV178" i="14"/>
  <c r="AV114" i="14"/>
  <c r="AV222" i="14"/>
  <c r="AV120" i="14"/>
  <c r="AV228" i="14"/>
  <c r="AV142" i="14"/>
  <c r="AZ221" i="14"/>
  <c r="AZ110" i="14"/>
  <c r="AZ218" i="14"/>
  <c r="AZ160" i="14"/>
  <c r="AZ116" i="14"/>
  <c r="AZ224" i="14"/>
  <c r="AZ222" i="14"/>
  <c r="AZ114" i="14"/>
  <c r="AZ142" i="14"/>
  <c r="AZ120" i="14"/>
  <c r="AZ228" i="14"/>
  <c r="CZ122" i="14"/>
  <c r="CZ226" i="14"/>
  <c r="CZ34" i="14"/>
  <c r="CZ142" i="14"/>
  <c r="CZ231" i="14"/>
  <c r="CZ123" i="14"/>
  <c r="CZ117" i="14"/>
  <c r="CZ225" i="14"/>
  <c r="CZ112" i="14"/>
  <c r="CZ220" i="14"/>
  <c r="CZ120" i="14"/>
  <c r="CZ228" i="14"/>
  <c r="DD215" i="14"/>
  <c r="DD16" i="14"/>
  <c r="DD107" i="14"/>
  <c r="DD119" i="14"/>
  <c r="DD227" i="14"/>
  <c r="DD178" i="14"/>
  <c r="DD218" i="14"/>
  <c r="DD110" i="14"/>
  <c r="DD226" i="14"/>
  <c r="DD122" i="14"/>
  <c r="DH230" i="14"/>
  <c r="DH221" i="14"/>
  <c r="DH109" i="14"/>
  <c r="DH217" i="14"/>
  <c r="DH119" i="14"/>
  <c r="DH227" i="14"/>
  <c r="DH110" i="14"/>
  <c r="DH218" i="14"/>
  <c r="DH160" i="14"/>
  <c r="DH220" i="14"/>
  <c r="DH112" i="14"/>
  <c r="DK221" i="14"/>
  <c r="DK178" i="14"/>
  <c r="DK122" i="14"/>
  <c r="DK110" i="14"/>
  <c r="DK218" i="14"/>
  <c r="DK112" i="14"/>
  <c r="DK220" i="14"/>
  <c r="DO117" i="14"/>
  <c r="DO225" i="14"/>
  <c r="DO178" i="14"/>
  <c r="DO111" i="14"/>
  <c r="DO219" i="14"/>
  <c r="DO217" i="14"/>
  <c r="DO109" i="14"/>
  <c r="DO160" i="14"/>
  <c r="DO222" i="14"/>
  <c r="DO114" i="14"/>
  <c r="DS113" i="14"/>
  <c r="DS108" i="14"/>
  <c r="DS216" i="14"/>
  <c r="DS122" i="14"/>
  <c r="DS218" i="14"/>
  <c r="DS110" i="14"/>
  <c r="DS125" i="14"/>
  <c r="DS52" i="14"/>
  <c r="DS226" i="14"/>
  <c r="DS34" i="14"/>
  <c r="AE221" i="14"/>
  <c r="AE142" i="14"/>
  <c r="AE119" i="14"/>
  <c r="AE227" i="14"/>
  <c r="AE220" i="14"/>
  <c r="AE112" i="14"/>
  <c r="AE122" i="14"/>
  <c r="AE218" i="14"/>
  <c r="AE110" i="14"/>
  <c r="AE34" i="14"/>
  <c r="AI218" i="14"/>
  <c r="AI110" i="14"/>
  <c r="AI215" i="14"/>
  <c r="AI107" i="14"/>
  <c r="AI16" i="14"/>
  <c r="AI160" i="14"/>
  <c r="AI34" i="14"/>
  <c r="AI52" i="14"/>
  <c r="AI125" i="14"/>
  <c r="AM229" i="14"/>
  <c r="AM121" i="14"/>
  <c r="AM226" i="14"/>
  <c r="AM122" i="14"/>
  <c r="AM219" i="14"/>
  <c r="AM111" i="14"/>
  <c r="AM120" i="14"/>
  <c r="AM228" i="14"/>
  <c r="AM218" i="14"/>
  <c r="AM110" i="14"/>
  <c r="AM34" i="14"/>
  <c r="AM160" i="14"/>
  <c r="AM178" i="14"/>
  <c r="CA221" i="14"/>
  <c r="CA117" i="14"/>
  <c r="CA225" i="14"/>
  <c r="CA120" i="14"/>
  <c r="CA228" i="14"/>
  <c r="CA142" i="14"/>
  <c r="CA230" i="14"/>
  <c r="CA231" i="14"/>
  <c r="CA123" i="14"/>
  <c r="CA220" i="14"/>
  <c r="CA112" i="14"/>
  <c r="CE121" i="14"/>
  <c r="CE229" i="14"/>
  <c r="CE123" i="14"/>
  <c r="CE231" i="14"/>
  <c r="CE227" i="14"/>
  <c r="CE119" i="14"/>
  <c r="CE122" i="14"/>
  <c r="CI112" i="14"/>
  <c r="CI220" i="14"/>
  <c r="CI108" i="14"/>
  <c r="CI216" i="14"/>
  <c r="CI224" i="14"/>
  <c r="CI116" i="14"/>
  <c r="CI160" i="14"/>
  <c r="CI217" i="14"/>
  <c r="CI109" i="14"/>
  <c r="CI122" i="14"/>
  <c r="DI160" i="14"/>
  <c r="DI123" i="14"/>
  <c r="DI231" i="14"/>
  <c r="DI114" i="14"/>
  <c r="DI222" i="14"/>
  <c r="DI111" i="14"/>
  <c r="DI219" i="14"/>
  <c r="DI122" i="14"/>
  <c r="DI125" i="14"/>
  <c r="DI52" i="14"/>
  <c r="DM230" i="14"/>
  <c r="DM111" i="14"/>
  <c r="DM219" i="14"/>
  <c r="DM112" i="14"/>
  <c r="DM220" i="14"/>
  <c r="DM114" i="14"/>
  <c r="DM222" i="14"/>
  <c r="DM120" i="14"/>
  <c r="DM228" i="14"/>
  <c r="DM16" i="14"/>
  <c r="DM215" i="14"/>
  <c r="DM107" i="14"/>
  <c r="DM108" i="14"/>
  <c r="DM216" i="14"/>
  <c r="DM225" i="14"/>
  <c r="DM117" i="14"/>
  <c r="DQ217" i="14"/>
  <c r="DQ109" i="14"/>
  <c r="DQ123" i="14"/>
  <c r="DQ231" i="14"/>
  <c r="DQ111" i="14"/>
  <c r="DQ219" i="14"/>
  <c r="DQ224" i="14"/>
  <c r="DQ116" i="14"/>
  <c r="DQ222" i="14"/>
  <c r="DQ114" i="14"/>
  <c r="AG34" i="14"/>
  <c r="AG231" i="14"/>
  <c r="AG123" i="14"/>
  <c r="AG110" i="14"/>
  <c r="AG218" i="14"/>
  <c r="AG121" i="14"/>
  <c r="AG229" i="14"/>
  <c r="AG142" i="14"/>
  <c r="AG224" i="14"/>
  <c r="AG116" i="14"/>
  <c r="AK217" i="14"/>
  <c r="AK109" i="14"/>
  <c r="AK223" i="14"/>
  <c r="AK115" i="14"/>
  <c r="AK34" i="14"/>
  <c r="AK108" i="14"/>
  <c r="AK216" i="14"/>
  <c r="AK226" i="14"/>
  <c r="AK227" i="14"/>
  <c r="AK119" i="14"/>
  <c r="CC230" i="14"/>
  <c r="CC142" i="14"/>
  <c r="CC123" i="14"/>
  <c r="CC231" i="14"/>
  <c r="CC227" i="14"/>
  <c r="CC119" i="14"/>
  <c r="CG220" i="14"/>
  <c r="CG112" i="14"/>
  <c r="CG230" i="14"/>
  <c r="CG221" i="14"/>
  <c r="CG224" i="14"/>
  <c r="CG116" i="14"/>
  <c r="CG16" i="14"/>
  <c r="CG107" i="14"/>
  <c r="CG215" i="14"/>
  <c r="CG216" i="14"/>
  <c r="CG108" i="14"/>
  <c r="AQ108" i="14"/>
  <c r="AQ216" i="14"/>
  <c r="AQ113" i="14"/>
  <c r="AQ219" i="14"/>
  <c r="AQ111" i="14"/>
  <c r="AQ230" i="14"/>
  <c r="AQ116" i="14"/>
  <c r="AQ224" i="14"/>
  <c r="AY123" i="14"/>
  <c r="AY231" i="14"/>
  <c r="AY119" i="14"/>
  <c r="AY227" i="14"/>
  <c r="AY112" i="14"/>
  <c r="AY220" i="14"/>
  <c r="AY142" i="14"/>
  <c r="AY178" i="14"/>
  <c r="AY109" i="14"/>
  <c r="AY217" i="14"/>
  <c r="AY230" i="14"/>
  <c r="CY119" i="14"/>
  <c r="CY227" i="14"/>
  <c r="CY122" i="14"/>
  <c r="CY222" i="14"/>
  <c r="CY114" i="14"/>
  <c r="CY125" i="14"/>
  <c r="CY52" i="14"/>
  <c r="CY109" i="14"/>
  <c r="CY217" i="14"/>
  <c r="CY118" i="14"/>
  <c r="DG219" i="14"/>
  <c r="DG111" i="14"/>
  <c r="DG116" i="14"/>
  <c r="DG224" i="14"/>
  <c r="DG108" i="14"/>
  <c r="DG216" i="14"/>
  <c r="DG16" i="14"/>
  <c r="DG107" i="14"/>
  <c r="DG215" i="14"/>
  <c r="DG125" i="14"/>
  <c r="DG52" i="14"/>
  <c r="DG218" i="14"/>
  <c r="DG110" i="14"/>
  <c r="DG178" i="14"/>
  <c r="DJ110" i="14"/>
  <c r="DJ218" i="14"/>
  <c r="DJ226" i="14"/>
  <c r="DJ224" i="14"/>
  <c r="DJ116" i="14"/>
  <c r="DJ178" i="14"/>
  <c r="DN226" i="14"/>
  <c r="DN52" i="14"/>
  <c r="DN125" i="14"/>
  <c r="DN112" i="14"/>
  <c r="DN220" i="14"/>
  <c r="DN120" i="14"/>
  <c r="DN228" i="14"/>
  <c r="DR142" i="14"/>
  <c r="DR125" i="14"/>
  <c r="DR52" i="14"/>
  <c r="DR224" i="14"/>
  <c r="DR116" i="14"/>
  <c r="DR121" i="14"/>
  <c r="DR229" i="14"/>
  <c r="DR223" i="14"/>
  <c r="DR115" i="14"/>
  <c r="DR230" i="14"/>
  <c r="DR120" i="14"/>
  <c r="DR228" i="14"/>
  <c r="DR227" i="14"/>
  <c r="DR119" i="14"/>
  <c r="DR160" i="14"/>
  <c r="DR34" i="14"/>
  <c r="AD52" i="14"/>
  <c r="AD125" i="14"/>
  <c r="AD34" i="14"/>
  <c r="AD142" i="14"/>
  <c r="AL227" i="14"/>
  <c r="AL119" i="14"/>
  <c r="AL231" i="14"/>
  <c r="AL123" i="14"/>
  <c r="AL226" i="14"/>
  <c r="AL125" i="14"/>
  <c r="AL52" i="14"/>
  <c r="AL114" i="14"/>
  <c r="AL222" i="14"/>
  <c r="AL219" i="14"/>
  <c r="AL111" i="14"/>
  <c r="AL217" i="14"/>
  <c r="AL109" i="14"/>
  <c r="CD112" i="14"/>
  <c r="CD220" i="14"/>
  <c r="CD160" i="14"/>
  <c r="CD231" i="14"/>
  <c r="CD123" i="14"/>
  <c r="CD142" i="14"/>
  <c r="CD226" i="14"/>
  <c r="CH178" i="14"/>
  <c r="CH220" i="14"/>
  <c r="CH112" i="14"/>
  <c r="CH111" i="14"/>
  <c r="CH219" i="14"/>
  <c r="CH216" i="14"/>
  <c r="CH108" i="14"/>
  <c r="CH109" i="14"/>
  <c r="CH217" i="14"/>
  <c r="CH115" i="14"/>
  <c r="CH223" i="14"/>
  <c r="CH120" i="14"/>
  <c r="CH228" i="14"/>
  <c r="CT112" i="14"/>
  <c r="CT220" i="14"/>
  <c r="CT110" i="14"/>
  <c r="CT218" i="14"/>
  <c r="CT229" i="14"/>
  <c r="CT121" i="14"/>
  <c r="CT225" i="14"/>
  <c r="CT117" i="14"/>
  <c r="CT215" i="14"/>
  <c r="CT107" i="14"/>
  <c r="CT16" i="14"/>
  <c r="CT109" i="14"/>
  <c r="CT217" i="14"/>
  <c r="DU34" i="14"/>
  <c r="DU16" i="14"/>
  <c r="DU215" i="14"/>
  <c r="DU107" i="14"/>
  <c r="DU114" i="14"/>
  <c r="DU222" i="14"/>
  <c r="DU142" i="14"/>
  <c r="DU120" i="14"/>
  <c r="DU228" i="14"/>
  <c r="DY116" i="14"/>
  <c r="DY224" i="14"/>
  <c r="DY231" i="14"/>
  <c r="DY123" i="14"/>
  <c r="DY112" i="14"/>
  <c r="DY220" i="14"/>
  <c r="DY110" i="14"/>
  <c r="DY218" i="14"/>
  <c r="DY108" i="14"/>
  <c r="DY216" i="14"/>
  <c r="DY142" i="14"/>
  <c r="DY160" i="14"/>
  <c r="DY16" i="14"/>
  <c r="DY215" i="14"/>
  <c r="DY107" i="14"/>
  <c r="EC224" i="14"/>
  <c r="EC116" i="14"/>
  <c r="EC113" i="14"/>
  <c r="AO123" i="14"/>
  <c r="AO231" i="14"/>
  <c r="AO219" i="14"/>
  <c r="AO111" i="14"/>
  <c r="AO196" i="14"/>
  <c r="AO217" i="14"/>
  <c r="AO109" i="14"/>
  <c r="AO116" i="14"/>
  <c r="AO224" i="14"/>
  <c r="AS113" i="14"/>
  <c r="AS229" i="14"/>
  <c r="AS121" i="14"/>
  <c r="AS125" i="14"/>
  <c r="AS52" i="14"/>
  <c r="AS224" i="14"/>
  <c r="AS116" i="14"/>
  <c r="AW229" i="14"/>
  <c r="AW121" i="14"/>
  <c r="AW116" i="14"/>
  <c r="AW224" i="14"/>
  <c r="AW108" i="14"/>
  <c r="AW216" i="14"/>
  <c r="AW231" i="14"/>
  <c r="AW123" i="14"/>
  <c r="AW119" i="14"/>
  <c r="AW227" i="14"/>
  <c r="AW110" i="14"/>
  <c r="AW218" i="14"/>
  <c r="CW119" i="14"/>
  <c r="CW227" i="14"/>
  <c r="CW219" i="14"/>
  <c r="CW111" i="14"/>
  <c r="CW228" i="14"/>
  <c r="CW120" i="14"/>
  <c r="CW229" i="14"/>
  <c r="CW121" i="14"/>
  <c r="CW110" i="14"/>
  <c r="CW218" i="14"/>
  <c r="DA229" i="14"/>
  <c r="DA121" i="14"/>
  <c r="DA34" i="14"/>
  <c r="DA216" i="14"/>
  <c r="DA108" i="14"/>
  <c r="DA220" i="14"/>
  <c r="DA112" i="14"/>
  <c r="DE125" i="14"/>
  <c r="DE52" i="14"/>
  <c r="DE114" i="14"/>
  <c r="DE222" i="14"/>
  <c r="DE110" i="14"/>
  <c r="DE218" i="14"/>
  <c r="DE178" i="14"/>
  <c r="DL217" i="14"/>
  <c r="DL109" i="14"/>
  <c r="DL178" i="14"/>
  <c r="DL160" i="14"/>
  <c r="DP122" i="14"/>
  <c r="DP121" i="14"/>
  <c r="DP229" i="14"/>
  <c r="DP218" i="14"/>
  <c r="DP110" i="14"/>
  <c r="DP111" i="14"/>
  <c r="DP219" i="14"/>
  <c r="DT228" i="14"/>
  <c r="DT120" i="14"/>
  <c r="DT217" i="14"/>
  <c r="DT109" i="14"/>
  <c r="DT122" i="14"/>
  <c r="DT114" i="14"/>
  <c r="DT222" i="14"/>
  <c r="AF220" i="14"/>
  <c r="AF112" i="14"/>
  <c r="AF222" i="14"/>
  <c r="AF114" i="14"/>
  <c r="AF217" i="14"/>
  <c r="AF109" i="14"/>
  <c r="AF142" i="14"/>
  <c r="AF224" i="14"/>
  <c r="AF116" i="14"/>
  <c r="AF160" i="14"/>
  <c r="AJ117" i="14"/>
  <c r="AJ225" i="14"/>
  <c r="AJ122" i="14"/>
  <c r="AJ115" i="14"/>
  <c r="AJ223" i="14"/>
  <c r="AJ229" i="14"/>
  <c r="AJ121" i="14"/>
  <c r="AJ123" i="14"/>
  <c r="AJ231" i="14"/>
  <c r="AN121" i="14"/>
  <c r="AN229" i="14"/>
  <c r="AN123" i="14"/>
  <c r="AN231" i="14"/>
  <c r="AN125" i="14"/>
  <c r="AN52" i="14"/>
  <c r="AN119" i="14"/>
  <c r="AN227" i="14"/>
  <c r="AN107" i="14"/>
  <c r="AN215" i="14"/>
  <c r="AN16" i="14"/>
  <c r="AN34" i="14"/>
  <c r="AN178" i="14"/>
  <c r="CB114" i="14"/>
  <c r="CB222" i="14"/>
  <c r="CB34" i="14"/>
  <c r="CB160" i="14"/>
  <c r="CB111" i="14"/>
  <c r="CB219" i="14"/>
  <c r="CB215" i="14"/>
  <c r="CB107" i="14"/>
  <c r="CB16" i="14"/>
  <c r="CF228" i="14"/>
  <c r="CF120" i="14"/>
  <c r="CF123" i="14"/>
  <c r="CF231" i="14"/>
  <c r="CF225" i="14"/>
  <c r="CF117" i="14"/>
  <c r="CF222" i="14"/>
  <c r="CF114" i="14"/>
  <c r="CF16" i="14"/>
  <c r="CF107" i="14"/>
  <c r="CF215" i="14"/>
  <c r="CF230" i="14"/>
  <c r="CJ227" i="14"/>
  <c r="CJ119" i="14"/>
  <c r="CJ218" i="14"/>
  <c r="CJ110" i="14"/>
  <c r="CJ116" i="14"/>
  <c r="CJ224" i="14"/>
  <c r="CJ34" i="14"/>
  <c r="CJ111" i="14"/>
  <c r="CJ219" i="14"/>
  <c r="BB112" i="14"/>
  <c r="BB220" i="14"/>
  <c r="BB219" i="14"/>
  <c r="BB111" i="14"/>
  <c r="BB121" i="14"/>
  <c r="BB229" i="14"/>
  <c r="BB222" i="14"/>
  <c r="BB114" i="14"/>
  <c r="BF215" i="14"/>
  <c r="BF16" i="14"/>
  <c r="BF107" i="14"/>
  <c r="BF123" i="14"/>
  <c r="BF231" i="14"/>
  <c r="BF225" i="14"/>
  <c r="BF117" i="14"/>
  <c r="BJ116" i="14"/>
  <c r="BJ224" i="14"/>
  <c r="BJ125" i="14"/>
  <c r="BJ52" i="14"/>
  <c r="BJ108" i="14"/>
  <c r="BJ216" i="14"/>
  <c r="BJ16" i="14"/>
  <c r="BJ107" i="14"/>
  <c r="BJ215" i="14"/>
  <c r="BJ217" i="14"/>
  <c r="BJ109" i="14"/>
  <c r="BJ231" i="14"/>
  <c r="BJ123" i="14"/>
  <c r="BJ226" i="14"/>
  <c r="BJ160" i="14"/>
  <c r="BO115" i="14"/>
  <c r="BO223" i="14"/>
  <c r="BO160" i="14"/>
  <c r="BS222" i="14"/>
  <c r="BS114" i="14"/>
  <c r="BW34" i="14"/>
  <c r="BW223" i="14"/>
  <c r="BW115" i="14"/>
  <c r="BW108" i="14"/>
  <c r="BW216" i="14"/>
  <c r="CM107" i="14"/>
  <c r="CM16" i="14"/>
  <c r="CM215" i="14"/>
  <c r="CM120" i="14"/>
  <c r="CM228" i="14"/>
  <c r="CM119" i="14"/>
  <c r="CM227" i="14"/>
  <c r="CM160" i="14"/>
  <c r="CQ117" i="14"/>
  <c r="CQ225" i="14"/>
  <c r="CQ109" i="14"/>
  <c r="CQ217" i="14"/>
  <c r="CQ34" i="14"/>
  <c r="CU115" i="14"/>
  <c r="CU223" i="14"/>
  <c r="CU108" i="14"/>
  <c r="CU216" i="14"/>
  <c r="CU231" i="14"/>
  <c r="CU123" i="14"/>
  <c r="CU142" i="14"/>
  <c r="CU228" i="14"/>
  <c r="CU120" i="14"/>
  <c r="CU110" i="14"/>
  <c r="CU218" i="14"/>
  <c r="CU52" i="14"/>
  <c r="CU125" i="14"/>
  <c r="DV223" i="14"/>
  <c r="DV115" i="14"/>
  <c r="DV116" i="14"/>
  <c r="DV224" i="14"/>
  <c r="DV117" i="14"/>
  <c r="DV225" i="14"/>
  <c r="DV112" i="14"/>
  <c r="DV220" i="14"/>
  <c r="DZ227" i="14"/>
  <c r="DZ119" i="14"/>
  <c r="DZ142" i="14"/>
  <c r="DZ224" i="14"/>
  <c r="DZ116" i="14"/>
  <c r="DZ219" i="14"/>
  <c r="DZ111" i="14"/>
  <c r="DZ216" i="14"/>
  <c r="DZ108" i="14"/>
  <c r="ED111" i="14"/>
  <c r="ED219" i="14"/>
  <c r="ED114" i="14"/>
  <c r="ED222" i="14"/>
  <c r="ED120" i="14"/>
  <c r="ED228" i="14"/>
  <c r="AP111" i="14"/>
  <c r="AP219" i="14"/>
  <c r="AP142" i="14"/>
  <c r="AP222" i="14"/>
  <c r="AP114" i="14"/>
  <c r="AT218" i="14"/>
  <c r="AT110" i="14"/>
  <c r="AT125" i="14"/>
  <c r="AT52" i="14"/>
  <c r="AT116" i="14"/>
  <c r="AT224" i="14"/>
  <c r="AT225" i="14"/>
  <c r="AT117" i="14"/>
  <c r="AT120" i="14"/>
  <c r="AT228" i="14"/>
  <c r="AX220" i="14"/>
  <c r="AX112" i="14"/>
  <c r="AX160" i="14"/>
  <c r="AX111" i="14"/>
  <c r="AX219" i="14"/>
  <c r="CX109" i="14"/>
  <c r="CX217" i="14"/>
  <c r="CX160" i="14"/>
  <c r="CX222" i="14"/>
  <c r="CX114" i="14"/>
  <c r="CX111" i="14"/>
  <c r="CX219" i="14"/>
  <c r="CX178" i="14"/>
  <c r="CX16" i="14"/>
  <c r="CX215" i="14"/>
  <c r="CX107" i="14"/>
  <c r="DB114" i="14"/>
  <c r="DB222" i="14"/>
  <c r="DB224" i="14"/>
  <c r="DB116" i="14"/>
  <c r="DB123" i="14"/>
  <c r="DB231" i="14"/>
  <c r="DB160" i="14"/>
  <c r="DF115" i="14"/>
  <c r="DF223" i="14"/>
  <c r="DF142" i="14"/>
  <c r="DF231" i="14"/>
  <c r="DF123" i="14"/>
  <c r="DF225" i="14"/>
  <c r="DF117" i="14"/>
  <c r="DF125" i="14"/>
  <c r="DF52" i="14"/>
  <c r="DF34" i="14"/>
  <c r="DF228" i="14"/>
  <c r="DF120" i="14"/>
  <c r="DF16" i="14"/>
  <c r="DF215" i="14"/>
  <c r="DF107" i="14"/>
  <c r="U18" i="10"/>
  <c r="AC115" i="14"/>
  <c r="AC223" i="14"/>
  <c r="AC217" i="14"/>
  <c r="AC109" i="14"/>
  <c r="AC222" i="14"/>
  <c r="AC114" i="14"/>
  <c r="BY114" i="14"/>
  <c r="BY222" i="14"/>
  <c r="BY231" i="14"/>
  <c r="BY123" i="14"/>
  <c r="BY117" i="14"/>
  <c r="BY225" i="14"/>
  <c r="AU16" i="14"/>
  <c r="AU215" i="14"/>
  <c r="AU107" i="14"/>
  <c r="DC227" i="14"/>
  <c r="DC119" i="14"/>
  <c r="AH218" i="14"/>
  <c r="AH110" i="14"/>
  <c r="AH229" i="14"/>
  <c r="AH121" i="14"/>
  <c r="AH142" i="14"/>
  <c r="AH178" i="14"/>
  <c r="AH160" i="14"/>
  <c r="BZ216" i="14"/>
  <c r="BZ108" i="14"/>
  <c r="BZ215" i="14"/>
  <c r="BZ107" i="14"/>
  <c r="BZ16" i="14"/>
  <c r="BZ178" i="14"/>
  <c r="BZ116" i="14"/>
  <c r="BZ224" i="14"/>
  <c r="BC218" i="14"/>
  <c r="BC110" i="14"/>
  <c r="BC121" i="14"/>
  <c r="BC229" i="14"/>
  <c r="BC231" i="14"/>
  <c r="BC123" i="14"/>
  <c r="BC216" i="14"/>
  <c r="BC108" i="14"/>
  <c r="BG34" i="14"/>
  <c r="BG215" i="14"/>
  <c r="BG107" i="14"/>
  <c r="BG16" i="14"/>
  <c r="BG218" i="14"/>
  <c r="BG110" i="14"/>
  <c r="BG220" i="14"/>
  <c r="BG112" i="14"/>
  <c r="BG225" i="14"/>
  <c r="BG117" i="14"/>
  <c r="BG115" i="14"/>
  <c r="BG223" i="14"/>
  <c r="BK222" i="14"/>
  <c r="BK114" i="14"/>
  <c r="BP221" i="14"/>
  <c r="BP109" i="14"/>
  <c r="BP217" i="14"/>
  <c r="BP224" i="14"/>
  <c r="BP116" i="14"/>
  <c r="BP112" i="14"/>
  <c r="BP220" i="14"/>
  <c r="BT120" i="14"/>
  <c r="BT228" i="14"/>
  <c r="BT34" i="14"/>
  <c r="BT125" i="14"/>
  <c r="BT52" i="14"/>
  <c r="BT114" i="14"/>
  <c r="BT222" i="14"/>
  <c r="BT178" i="14"/>
  <c r="BT160" i="14"/>
  <c r="BX228" i="14"/>
  <c r="BX120" i="14"/>
  <c r="BX119" i="14"/>
  <c r="BX227" i="14"/>
  <c r="BX122" i="14"/>
  <c r="BX218" i="14"/>
  <c r="BX110" i="14"/>
  <c r="CN113" i="14"/>
  <c r="CN223" i="14"/>
  <c r="CN115" i="14"/>
  <c r="CN117" i="14"/>
  <c r="CN225" i="14"/>
  <c r="CR34" i="14"/>
  <c r="CR225" i="14"/>
  <c r="CR117" i="14"/>
  <c r="CR215" i="14"/>
  <c r="CR107" i="14"/>
  <c r="CR16" i="14"/>
  <c r="CR112" i="14"/>
  <c r="CR220" i="14"/>
  <c r="CR219" i="14"/>
  <c r="CR111" i="14"/>
  <c r="CV226" i="14"/>
  <c r="CV117" i="14"/>
  <c r="CV225" i="14"/>
  <c r="CV228" i="14"/>
  <c r="CV120" i="14"/>
  <c r="CV218" i="14"/>
  <c r="CV110" i="14"/>
  <c r="CV34" i="14"/>
  <c r="CV16" i="14"/>
  <c r="CV107" i="14"/>
  <c r="CV215" i="14"/>
  <c r="CV178" i="14"/>
  <c r="DW119" i="14"/>
  <c r="DW227" i="14"/>
  <c r="DW16" i="14"/>
  <c r="DW215" i="14"/>
  <c r="DW107" i="14"/>
  <c r="DW121" i="14"/>
  <c r="DW229" i="14"/>
  <c r="DW220" i="14"/>
  <c r="DW112" i="14"/>
  <c r="DW178" i="14"/>
  <c r="DW217" i="14"/>
  <c r="DW109" i="14"/>
  <c r="DW118" i="14"/>
  <c r="EA216" i="14"/>
  <c r="EA108" i="14"/>
  <c r="EA107" i="14"/>
  <c r="EA215" i="14"/>
  <c r="EA16" i="14"/>
  <c r="EA222" i="14"/>
  <c r="EA114" i="14"/>
  <c r="EA115" i="14"/>
  <c r="EA223" i="14"/>
  <c r="EA116" i="14"/>
  <c r="EA224" i="14"/>
  <c r="EE142" i="14"/>
  <c r="EE117" i="14"/>
  <c r="EE225" i="14"/>
  <c r="EE227" i="14"/>
  <c r="EE119" i="14"/>
  <c r="EE219" i="14"/>
  <c r="EE111" i="14"/>
  <c r="EE223" i="14"/>
  <c r="EE115" i="14"/>
  <c r="C465" i="32"/>
  <c r="D465" i="32" s="1"/>
  <c r="E465" i="32" s="1"/>
  <c r="F465" i="32" s="1"/>
  <c r="G465" i="32" s="1"/>
  <c r="H465" i="32" s="1"/>
  <c r="I465" i="32" s="1"/>
  <c r="J465" i="32" s="1"/>
  <c r="L466" i="32"/>
  <c r="BD112" i="14"/>
  <c r="BD220" i="14"/>
  <c r="BD227" i="14"/>
  <c r="BD119" i="14"/>
  <c r="BD114" i="14"/>
  <c r="BD222" i="14"/>
  <c r="BD52" i="14"/>
  <c r="BD125" i="14"/>
  <c r="BD115" i="14"/>
  <c r="BD223" i="14"/>
  <c r="BH115" i="14"/>
  <c r="BH223" i="14"/>
  <c r="BH218" i="14"/>
  <c r="BH110" i="14"/>
  <c r="BH121" i="14"/>
  <c r="BH229" i="14"/>
  <c r="BH34" i="14"/>
  <c r="BH112" i="14"/>
  <c r="BH220" i="14"/>
  <c r="BH142" i="14"/>
  <c r="BH123" i="14"/>
  <c r="BH231" i="14"/>
  <c r="BH108" i="14"/>
  <c r="BH216" i="14"/>
  <c r="BH125" i="14"/>
  <c r="BH52" i="14"/>
  <c r="BH178" i="14"/>
  <c r="BL119" i="14"/>
  <c r="BL227" i="14"/>
  <c r="BL109" i="14"/>
  <c r="BL217" i="14"/>
  <c r="BL122" i="14"/>
  <c r="BL34" i="14"/>
  <c r="BM231" i="14"/>
  <c r="BM123" i="14"/>
  <c r="BM227" i="14"/>
  <c r="BM119" i="14"/>
  <c r="BM114" i="14"/>
  <c r="BM222" i="14"/>
  <c r="BM224" i="14"/>
  <c r="BM116" i="14"/>
  <c r="BM178" i="14"/>
  <c r="BM230" i="14"/>
  <c r="BM117" i="14"/>
  <c r="BM225" i="14"/>
  <c r="BM120" i="14"/>
  <c r="BM228" i="14"/>
  <c r="BQ34" i="14"/>
  <c r="BQ119" i="14"/>
  <c r="BQ227" i="14"/>
  <c r="BQ108" i="14"/>
  <c r="BQ216" i="14"/>
  <c r="BQ223" i="14"/>
  <c r="BQ115" i="14"/>
  <c r="BQ178" i="14"/>
  <c r="BQ117" i="14"/>
  <c r="BQ225" i="14"/>
  <c r="BU160" i="14"/>
  <c r="BU111" i="14"/>
  <c r="BU219" i="14"/>
  <c r="BU117" i="14"/>
  <c r="BU225" i="14"/>
  <c r="BU229" i="14"/>
  <c r="BU121" i="14"/>
  <c r="BU224" i="14"/>
  <c r="BU116" i="14"/>
  <c r="BU120" i="14"/>
  <c r="BU228" i="14"/>
  <c r="BU115" i="14"/>
  <c r="BU223" i="14"/>
  <c r="CK114" i="14"/>
  <c r="CK222" i="14"/>
  <c r="CK178" i="14"/>
  <c r="CK112" i="14"/>
  <c r="CK220" i="14"/>
  <c r="CK108" i="14"/>
  <c r="CK216" i="14"/>
  <c r="CK217" i="14"/>
  <c r="CK109" i="14"/>
  <c r="CK117" i="14"/>
  <c r="CK225" i="14"/>
  <c r="CO142" i="14"/>
  <c r="CO34" i="14"/>
  <c r="CS123" i="14"/>
  <c r="CS231" i="14"/>
  <c r="CS217" i="14"/>
  <c r="CS109" i="14"/>
  <c r="CS219" i="14"/>
  <c r="CS111" i="14"/>
  <c r="CS178" i="14"/>
  <c r="CS115" i="14"/>
  <c r="CS223" i="14"/>
  <c r="DX109" i="14"/>
  <c r="DX217" i="14"/>
  <c r="DX116" i="14"/>
  <c r="DX224" i="14"/>
  <c r="DX119" i="14"/>
  <c r="DX227" i="14"/>
  <c r="DX215" i="14"/>
  <c r="DX107" i="14"/>
  <c r="DX16" i="14"/>
  <c r="DX142" i="14"/>
  <c r="EB119" i="14"/>
  <c r="EB227" i="14"/>
  <c r="EB229" i="14"/>
  <c r="EB121" i="14"/>
  <c r="EB122" i="14"/>
  <c r="EB110" i="14"/>
  <c r="EB218" i="14"/>
  <c r="EB114" i="14"/>
  <c r="EB222" i="14"/>
  <c r="EB109" i="14"/>
  <c r="EB217" i="14"/>
  <c r="EB219" i="14"/>
  <c r="EB111" i="14"/>
  <c r="ET147" i="14"/>
  <c r="ET146" i="14"/>
  <c r="ET17" i="14"/>
  <c r="ET184" i="14"/>
  <c r="ET159" i="14"/>
  <c r="ET206" i="14"/>
  <c r="ET168" i="14"/>
  <c r="ET27" i="14"/>
  <c r="ET170" i="14"/>
  <c r="ET175" i="14"/>
  <c r="ET200" i="14"/>
  <c r="ET62" i="14"/>
  <c r="ET148" i="14"/>
  <c r="ET174" i="14"/>
  <c r="ET187" i="14"/>
  <c r="ET186" i="14"/>
  <c r="ET158" i="14"/>
  <c r="ET33" i="14"/>
  <c r="ET185" i="14"/>
  <c r="ET177" i="14"/>
  <c r="ET67" i="14"/>
  <c r="ET211" i="14"/>
  <c r="ET32" i="14"/>
  <c r="ET144" i="14"/>
  <c r="ET153" i="14"/>
  <c r="ET171" i="14"/>
  <c r="ET208" i="14"/>
  <c r="ET145" i="14"/>
  <c r="ET167" i="14"/>
  <c r="ET54" i="14"/>
  <c r="ET156" i="14"/>
  <c r="ET18" i="14"/>
  <c r="ET60" i="14"/>
  <c r="ET203" i="14"/>
  <c r="ET24" i="14"/>
  <c r="ET58" i="14"/>
  <c r="ET63" i="14"/>
  <c r="ET143" i="14"/>
  <c r="ET176" i="14"/>
  <c r="ET28" i="14"/>
  <c r="ET173" i="14"/>
  <c r="ET155" i="14"/>
  <c r="ET68" i="14"/>
  <c r="ET162" i="14"/>
  <c r="ET149" i="14"/>
  <c r="ET23" i="14"/>
  <c r="ET164" i="14"/>
  <c r="ET25" i="14"/>
  <c r="ET209" i="14"/>
  <c r="ET183" i="14"/>
  <c r="ET210" i="14"/>
  <c r="ET29" i="14"/>
  <c r="ET199" i="14"/>
  <c r="ET181" i="14"/>
  <c r="ET22" i="14"/>
  <c r="ET166" i="14"/>
  <c r="ET212" i="14"/>
  <c r="ET194" i="14"/>
  <c r="ET157" i="14"/>
  <c r="ET182" i="14"/>
  <c r="ET161" i="14"/>
  <c r="ET165" i="14"/>
  <c r="ET192" i="14"/>
  <c r="ET56" i="14"/>
  <c r="ET190" i="14"/>
  <c r="ET205" i="14"/>
  <c r="ET152" i="14"/>
  <c r="ET195" i="14"/>
  <c r="ET66" i="14"/>
  <c r="ET59" i="14"/>
  <c r="ET188" i="14"/>
  <c r="ET35" i="14"/>
  <c r="ET53" i="14"/>
  <c r="ET197" i="14"/>
  <c r="ET150" i="14"/>
  <c r="ET154" i="14"/>
  <c r="ET61" i="14"/>
  <c r="ET213" i="14"/>
  <c r="ET169" i="14"/>
  <c r="ET201" i="14"/>
  <c r="ET71" i="14"/>
  <c r="ET202" i="14"/>
  <c r="ET21" i="14"/>
  <c r="ET193" i="14"/>
  <c r="ET69" i="14"/>
  <c r="ET31" i="14"/>
  <c r="ET191" i="14"/>
  <c r="ET20" i="14"/>
  <c r="ET204" i="14"/>
  <c r="ET57" i="14"/>
  <c r="ET163" i="14"/>
  <c r="ET151" i="14"/>
  <c r="ET179" i="14"/>
  <c r="ET26" i="14"/>
  <c r="ET207" i="14"/>
  <c r="ET198" i="14"/>
  <c r="ET180" i="14"/>
  <c r="ET64" i="14"/>
  <c r="ET172" i="14"/>
  <c r="ET65" i="14"/>
  <c r="ET19" i="14"/>
  <c r="ET55" i="14"/>
  <c r="ET30" i="14"/>
  <c r="ET189" i="14"/>
  <c r="ET39" i="14"/>
  <c r="ET49" i="14"/>
  <c r="ET40" i="14"/>
  <c r="ET45" i="14"/>
  <c r="ET42" i="14"/>
  <c r="ET41" i="14"/>
  <c r="ET47" i="14"/>
  <c r="ET43" i="14"/>
  <c r="ET51" i="14"/>
  <c r="ET50" i="14"/>
  <c r="ET46" i="14"/>
  <c r="ET37" i="14"/>
  <c r="ET36" i="14"/>
  <c r="ET48" i="14"/>
  <c r="ET44" i="14"/>
  <c r="ET38" i="14"/>
  <c r="ET83" i="14"/>
  <c r="ET79" i="14"/>
  <c r="ET81" i="14"/>
  <c r="ET80" i="14"/>
  <c r="ET78" i="14"/>
  <c r="ET73" i="14"/>
  <c r="ET85" i="14"/>
  <c r="ET84" i="14"/>
  <c r="ET87" i="14"/>
  <c r="ET77" i="14"/>
  <c r="ET76" i="14"/>
  <c r="ET86" i="14"/>
  <c r="ET74" i="14"/>
  <c r="ET82" i="14"/>
  <c r="ET75" i="14"/>
  <c r="ET72" i="14"/>
  <c r="EI199" i="14"/>
  <c r="EI211" i="14"/>
  <c r="EI193" i="14"/>
  <c r="EI65" i="14"/>
  <c r="EI212" i="14"/>
  <c r="EI174" i="14"/>
  <c r="EI27" i="14"/>
  <c r="EI30" i="14"/>
  <c r="EI157" i="14"/>
  <c r="EI187" i="14"/>
  <c r="EI143" i="14"/>
  <c r="EI56" i="14"/>
  <c r="EI19" i="14"/>
  <c r="EI17" i="14"/>
  <c r="EI170" i="14"/>
  <c r="EI191" i="14"/>
  <c r="EI168" i="14"/>
  <c r="EI161" i="14"/>
  <c r="EI173" i="14"/>
  <c r="EI64" i="14"/>
  <c r="EI153" i="14"/>
  <c r="EI26" i="14"/>
  <c r="EI66" i="14"/>
  <c r="EI28" i="14"/>
  <c r="EI35" i="14"/>
  <c r="EI162" i="14"/>
  <c r="EI210" i="14"/>
  <c r="EI22" i="14"/>
  <c r="EI149" i="14"/>
  <c r="EI54" i="14"/>
  <c r="EI58" i="14"/>
  <c r="EI33" i="14"/>
  <c r="EI150" i="14"/>
  <c r="EI20" i="14"/>
  <c r="EI163" i="14"/>
  <c r="EI31" i="14"/>
  <c r="EI204" i="14"/>
  <c r="EI67" i="14"/>
  <c r="EI167" i="14"/>
  <c r="EI61" i="14"/>
  <c r="EI53" i="14"/>
  <c r="EI152" i="14"/>
  <c r="EI192" i="14"/>
  <c r="EI166" i="14"/>
  <c r="EI177" i="14"/>
  <c r="EI25" i="14"/>
  <c r="EI190" i="14"/>
  <c r="EI183" i="14"/>
  <c r="EI151" i="14"/>
  <c r="EI201" i="14"/>
  <c r="EI184" i="14"/>
  <c r="EI188" i="14"/>
  <c r="EI147" i="14"/>
  <c r="EI18" i="14"/>
  <c r="EI180" i="14"/>
  <c r="EI194" i="14"/>
  <c r="EI202" i="14"/>
  <c r="EI208" i="14"/>
  <c r="EI62" i="14"/>
  <c r="EI63" i="14"/>
  <c r="EI195" i="14"/>
  <c r="EI169" i="14"/>
  <c r="EI159" i="14"/>
  <c r="EI158" i="14"/>
  <c r="EI144" i="14"/>
  <c r="EI206" i="14"/>
  <c r="EI69" i="14"/>
  <c r="EI175" i="14"/>
  <c r="EI182" i="14"/>
  <c r="EI203" i="14"/>
  <c r="EI200" i="14"/>
  <c r="EI171" i="14"/>
  <c r="EI176" i="14"/>
  <c r="EI145" i="14"/>
  <c r="EI155" i="14"/>
  <c r="EI154" i="14"/>
  <c r="EI172" i="14"/>
  <c r="EI60" i="14"/>
  <c r="EI213" i="14"/>
  <c r="EI59" i="14"/>
  <c r="EI146" i="14"/>
  <c r="EI181" i="14"/>
  <c r="EI209" i="14"/>
  <c r="EI185" i="14"/>
  <c r="EI21" i="14"/>
  <c r="EI29" i="14"/>
  <c r="EI24" i="14"/>
  <c r="EI186" i="14"/>
  <c r="EI71" i="14"/>
  <c r="EI205" i="14"/>
  <c r="EI23" i="14"/>
  <c r="EI189" i="14"/>
  <c r="EI179" i="14"/>
  <c r="EI207" i="14"/>
  <c r="EI55" i="14"/>
  <c r="EI198" i="14"/>
  <c r="EI57" i="14"/>
  <c r="EI148" i="14"/>
  <c r="EI156" i="14"/>
  <c r="EI68" i="14"/>
  <c r="EI197" i="14"/>
  <c r="EI32" i="14"/>
  <c r="EI165" i="14"/>
  <c r="EI164" i="14"/>
  <c r="EI40" i="14"/>
  <c r="EI42" i="14"/>
  <c r="EI47" i="14"/>
  <c r="EI39" i="14"/>
  <c r="EI49" i="14"/>
  <c r="EI45" i="14"/>
  <c r="EI41" i="14"/>
  <c r="EI46" i="14"/>
  <c r="EI43" i="14"/>
  <c r="EI51" i="14"/>
  <c r="EI50" i="14"/>
  <c r="EI44" i="14"/>
  <c r="EI48" i="14"/>
  <c r="EI36" i="14"/>
  <c r="EI38" i="14"/>
  <c r="EI37" i="14"/>
  <c r="EI83" i="14"/>
  <c r="EI81" i="14"/>
  <c r="EI79" i="14"/>
  <c r="EI87" i="14"/>
  <c r="EI78" i="14"/>
  <c r="EI73" i="14"/>
  <c r="EI85" i="14"/>
  <c r="EI77" i="14"/>
  <c r="EI76" i="14"/>
  <c r="EI74" i="14"/>
  <c r="EI80" i="14"/>
  <c r="EI84" i="14"/>
  <c r="EI86" i="14"/>
  <c r="EI75" i="14"/>
  <c r="EI82" i="14"/>
  <c r="EI72" i="14"/>
  <c r="EU173" i="14"/>
  <c r="EU17" i="14"/>
  <c r="EU163" i="14"/>
  <c r="EU164" i="14"/>
  <c r="EU166" i="14"/>
  <c r="EU197" i="14"/>
  <c r="EU199" i="14"/>
  <c r="EU71" i="14"/>
  <c r="EU67" i="14"/>
  <c r="EU204" i="14"/>
  <c r="EU200" i="14"/>
  <c r="EU174" i="14"/>
  <c r="EU202" i="14"/>
  <c r="EU191" i="14"/>
  <c r="EU149" i="14"/>
  <c r="EU61" i="14"/>
  <c r="EU156" i="14"/>
  <c r="EU213" i="14"/>
  <c r="EU189" i="14"/>
  <c r="EU208" i="14"/>
  <c r="EU55" i="14"/>
  <c r="EU24" i="14"/>
  <c r="EU167" i="14"/>
  <c r="EU206" i="14"/>
  <c r="EU30" i="14"/>
  <c r="EU183" i="14"/>
  <c r="EU144" i="14"/>
  <c r="EU150" i="14"/>
  <c r="EU155" i="14"/>
  <c r="EU168" i="14"/>
  <c r="EU161" i="14"/>
  <c r="EU27" i="14"/>
  <c r="EU172" i="14"/>
  <c r="EU54" i="14"/>
  <c r="EU165" i="14"/>
  <c r="EU35" i="14"/>
  <c r="EU59" i="14"/>
  <c r="EU205" i="14"/>
  <c r="EU188" i="14"/>
  <c r="EU169" i="14"/>
  <c r="EU154" i="14"/>
  <c r="EU32" i="14"/>
  <c r="EU170" i="14"/>
  <c r="EU190" i="14"/>
  <c r="EU23" i="14"/>
  <c r="EU53" i="14"/>
  <c r="EU158" i="14"/>
  <c r="EU212" i="14"/>
  <c r="EU177" i="14"/>
  <c r="EU162" i="14"/>
  <c r="EU185" i="14"/>
  <c r="EU182" i="14"/>
  <c r="EU181" i="14"/>
  <c r="EU57" i="14"/>
  <c r="EU207" i="14"/>
  <c r="EU18" i="14"/>
  <c r="EU157" i="14"/>
  <c r="EU26" i="14"/>
  <c r="EU29" i="14"/>
  <c r="EU153" i="14"/>
  <c r="EU192" i="14"/>
  <c r="EU33" i="14"/>
  <c r="EU62" i="14"/>
  <c r="EU68" i="14"/>
  <c r="EU187" i="14"/>
  <c r="EU22" i="14"/>
  <c r="EU209" i="14"/>
  <c r="EU184" i="14"/>
  <c r="EU21" i="14"/>
  <c r="EU180" i="14"/>
  <c r="EU193" i="14"/>
  <c r="EU194" i="14"/>
  <c r="EU171" i="14"/>
  <c r="EU143" i="14"/>
  <c r="EU147" i="14"/>
  <c r="EU159" i="14"/>
  <c r="EU195" i="14"/>
  <c r="EU145" i="14"/>
  <c r="EU19" i="14"/>
  <c r="EU203" i="14"/>
  <c r="EU31" i="14"/>
  <c r="EU175" i="14"/>
  <c r="EU186" i="14"/>
  <c r="EU176" i="14"/>
  <c r="EU63" i="14"/>
  <c r="EU146" i="14"/>
  <c r="EU60" i="14"/>
  <c r="EU151" i="14"/>
  <c r="EU152" i="14"/>
  <c r="EU66" i="14"/>
  <c r="EU148" i="14"/>
  <c r="EU179" i="14"/>
  <c r="EU69" i="14"/>
  <c r="EU56" i="14"/>
  <c r="EU25" i="14"/>
  <c r="EU64" i="14"/>
  <c r="EU211" i="14"/>
  <c r="EU20" i="14"/>
  <c r="EU28" i="14"/>
  <c r="EU210" i="14"/>
  <c r="EU198" i="14"/>
  <c r="EU58" i="14"/>
  <c r="EU65" i="14"/>
  <c r="EU201" i="14"/>
  <c r="EU49" i="14"/>
  <c r="EU40" i="14"/>
  <c r="EU39" i="14"/>
  <c r="EU45" i="14"/>
  <c r="EU42" i="14"/>
  <c r="EU43" i="14"/>
  <c r="EU46" i="14"/>
  <c r="EU50" i="14"/>
  <c r="EU47" i="14"/>
  <c r="EU41" i="14"/>
  <c r="EU51" i="14"/>
  <c r="EU37" i="14"/>
  <c r="EU36" i="14"/>
  <c r="EU44" i="14"/>
  <c r="EU38" i="14"/>
  <c r="EU48" i="14"/>
  <c r="EU83" i="14"/>
  <c r="EU79" i="14"/>
  <c r="EU81" i="14"/>
  <c r="EU85" i="14"/>
  <c r="EU80" i="14"/>
  <c r="EU76" i="14"/>
  <c r="EU86" i="14"/>
  <c r="EU87" i="14"/>
  <c r="EU73" i="14"/>
  <c r="EU77" i="14"/>
  <c r="EU84" i="14"/>
  <c r="EU78" i="14"/>
  <c r="EU74" i="14"/>
  <c r="EU82" i="14"/>
  <c r="EU75" i="14"/>
  <c r="EU72" i="14"/>
  <c r="EF155" i="14"/>
  <c r="EF152" i="14"/>
  <c r="EF56" i="14"/>
  <c r="EF151" i="14"/>
  <c r="EF185" i="14"/>
  <c r="EF32" i="14"/>
  <c r="EF33" i="14"/>
  <c r="EF144" i="14"/>
  <c r="EF54" i="14"/>
  <c r="EF210" i="14"/>
  <c r="EF197" i="14"/>
  <c r="EF165" i="14"/>
  <c r="EF204" i="14"/>
  <c r="EF189" i="14"/>
  <c r="EF147" i="14"/>
  <c r="EF59" i="14"/>
  <c r="EF22" i="14"/>
  <c r="EF179" i="14"/>
  <c r="EF20" i="14"/>
  <c r="EF161" i="14"/>
  <c r="EF143" i="14"/>
  <c r="EF195" i="14"/>
  <c r="EF66" i="14"/>
  <c r="EF206" i="14"/>
  <c r="EF188" i="14"/>
  <c r="EF146" i="14"/>
  <c r="EF173" i="14"/>
  <c r="EF26" i="14"/>
  <c r="EF191" i="14"/>
  <c r="EF24" i="14"/>
  <c r="EF67" i="14"/>
  <c r="EF184" i="14"/>
  <c r="EF53" i="14"/>
  <c r="EF150" i="14"/>
  <c r="EF183" i="14"/>
  <c r="EF68" i="14"/>
  <c r="EF182" i="14"/>
  <c r="EF23" i="14"/>
  <c r="EF63" i="14"/>
  <c r="EF163" i="14"/>
  <c r="EF29" i="14"/>
  <c r="EF166" i="14"/>
  <c r="EF187" i="14"/>
  <c r="EF19" i="14"/>
  <c r="EF154" i="14"/>
  <c r="EF186" i="14"/>
  <c r="EF167" i="14"/>
  <c r="EF55" i="14"/>
  <c r="EF174" i="14"/>
  <c r="EF181" i="14"/>
  <c r="EF21" i="14"/>
  <c r="EF207" i="14"/>
  <c r="EF172" i="14"/>
  <c r="EF205" i="14"/>
  <c r="EF211" i="14"/>
  <c r="EF192" i="14"/>
  <c r="EF169" i="14"/>
  <c r="EF27" i="14"/>
  <c r="EF69" i="14"/>
  <c r="EF164" i="14"/>
  <c r="EF198" i="14"/>
  <c r="EF153" i="14"/>
  <c r="EF30" i="14"/>
  <c r="EF58" i="14"/>
  <c r="EF213" i="14"/>
  <c r="EF170" i="14"/>
  <c r="EF180" i="14"/>
  <c r="EF194" i="14"/>
  <c r="EF158" i="14"/>
  <c r="EF171" i="14"/>
  <c r="EF177" i="14"/>
  <c r="EF149" i="14"/>
  <c r="EF159" i="14"/>
  <c r="EF148" i="14"/>
  <c r="EF156" i="14"/>
  <c r="EF176" i="14"/>
  <c r="EF201" i="14"/>
  <c r="EF60" i="14"/>
  <c r="EF31" i="14"/>
  <c r="EF157" i="14"/>
  <c r="EF35" i="14"/>
  <c r="EF17" i="14"/>
  <c r="EF208" i="14"/>
  <c r="EF65" i="14"/>
  <c r="EF18" i="14"/>
  <c r="EF162" i="14"/>
  <c r="EF202" i="14"/>
  <c r="EF61" i="14"/>
  <c r="EF28" i="14"/>
  <c r="EF145" i="14"/>
  <c r="EF175" i="14"/>
  <c r="EF200" i="14"/>
  <c r="EF62" i="14"/>
  <c r="EF199" i="14"/>
  <c r="EF71" i="14"/>
  <c r="EF57" i="14"/>
  <c r="EF25" i="14"/>
  <c r="EF212" i="14"/>
  <c r="EF64" i="14"/>
  <c r="EF193" i="14"/>
  <c r="EF190" i="14"/>
  <c r="EF168" i="14"/>
  <c r="EF203" i="14"/>
  <c r="EF209" i="14"/>
  <c r="EF40" i="14"/>
  <c r="EF39" i="14"/>
  <c r="EF42" i="14"/>
  <c r="EF47" i="14"/>
  <c r="EF49" i="14"/>
  <c r="EF45" i="14"/>
  <c r="EF43" i="14"/>
  <c r="EF46" i="14"/>
  <c r="EF51" i="14"/>
  <c r="EF50" i="14"/>
  <c r="EF41" i="14"/>
  <c r="EF37" i="14"/>
  <c r="EF36" i="14"/>
  <c r="EF44" i="14"/>
  <c r="EF38" i="14"/>
  <c r="EF48" i="14"/>
  <c r="EF81" i="14"/>
  <c r="EF83" i="14"/>
  <c r="EF77" i="14"/>
  <c r="EF78" i="14"/>
  <c r="EF86" i="14"/>
  <c r="EF79" i="14"/>
  <c r="EF85" i="14"/>
  <c r="EF84" i="14"/>
  <c r="EF76" i="14"/>
  <c r="EF80" i="14"/>
  <c r="EF87" i="14"/>
  <c r="EF73" i="14"/>
  <c r="EF74" i="14"/>
  <c r="EF75" i="14"/>
  <c r="EF72" i="14"/>
  <c r="EF82" i="14"/>
  <c r="AR114" i="14"/>
  <c r="AR222" i="14"/>
  <c r="AR123" i="14"/>
  <c r="AR231" i="14"/>
  <c r="AR224" i="14"/>
  <c r="AR116" i="14"/>
  <c r="AR160" i="14"/>
  <c r="AR115" i="14"/>
  <c r="AR223" i="14"/>
  <c r="AR34" i="14"/>
  <c r="AR107" i="14"/>
  <c r="AR215" i="14"/>
  <c r="AR16" i="14"/>
  <c r="AR122" i="14"/>
  <c r="AV109" i="14"/>
  <c r="AV217" i="14"/>
  <c r="AV227" i="14"/>
  <c r="AV119" i="14"/>
  <c r="AV225" i="14"/>
  <c r="AV117" i="14"/>
  <c r="AV215" i="14"/>
  <c r="AV16" i="14"/>
  <c r="AV107" i="14"/>
  <c r="AZ111" i="14"/>
  <c r="AZ219" i="14"/>
  <c r="AZ226" i="14"/>
  <c r="CZ223" i="14"/>
  <c r="CZ115" i="14"/>
  <c r="CZ108" i="14"/>
  <c r="CZ216" i="14"/>
  <c r="CZ229" i="14"/>
  <c r="CZ121" i="14"/>
  <c r="CZ125" i="14"/>
  <c r="CZ52" i="14"/>
  <c r="DD52" i="14"/>
  <c r="DD125" i="14"/>
  <c r="DD160" i="14"/>
  <c r="DD113" i="14"/>
  <c r="DD224" i="14"/>
  <c r="DD116" i="14"/>
  <c r="DH107" i="14"/>
  <c r="DH16" i="14"/>
  <c r="DH215" i="14"/>
  <c r="DH222" i="14"/>
  <c r="DH114" i="14"/>
  <c r="DH226" i="14"/>
  <c r="DH178" i="14"/>
  <c r="DH121" i="14"/>
  <c r="DH229" i="14"/>
  <c r="DH115" i="14"/>
  <c r="DH223" i="14"/>
  <c r="DH142" i="14"/>
  <c r="DK227" i="14"/>
  <c r="DK119" i="14"/>
  <c r="DK229" i="14"/>
  <c r="DK121" i="14"/>
  <c r="DK117" i="14"/>
  <c r="DK225" i="14"/>
  <c r="DK142" i="14"/>
  <c r="DK52" i="14"/>
  <c r="DK125" i="14"/>
  <c r="DK108" i="14"/>
  <c r="DK216" i="14"/>
  <c r="DO226" i="14"/>
  <c r="DO142" i="14"/>
  <c r="DO34" i="14"/>
  <c r="DS114" i="14"/>
  <c r="DS222" i="14"/>
  <c r="DS215" i="14"/>
  <c r="DS16" i="14"/>
  <c r="DS107" i="14"/>
  <c r="DS178" i="14"/>
  <c r="DS142" i="14"/>
  <c r="DS160" i="14"/>
  <c r="AE216" i="14"/>
  <c r="AE108" i="14"/>
  <c r="AE117" i="14"/>
  <c r="AE225" i="14"/>
  <c r="AE228" i="14"/>
  <c r="AE120" i="14"/>
  <c r="AI114" i="14"/>
  <c r="AI222" i="14"/>
  <c r="AI112" i="14"/>
  <c r="AI220" i="14"/>
  <c r="AI178" i="14"/>
  <c r="AM114" i="14"/>
  <c r="AM222" i="14"/>
  <c r="AM223" i="14"/>
  <c r="AM115" i="14"/>
  <c r="AM112" i="14"/>
  <c r="AM220" i="14"/>
  <c r="AM107" i="14"/>
  <c r="AM16" i="14"/>
  <c r="AM215" i="14"/>
  <c r="AM225" i="14"/>
  <c r="AM117" i="14"/>
  <c r="CA34" i="14"/>
  <c r="CA110" i="14"/>
  <c r="CA218" i="14"/>
  <c r="CA107" i="14"/>
  <c r="CA16" i="14"/>
  <c r="CA215" i="14"/>
  <c r="CA227" i="14"/>
  <c r="CA119" i="14"/>
  <c r="CA216" i="14"/>
  <c r="CA108" i="14"/>
  <c r="CE34" i="14"/>
  <c r="CE178" i="14"/>
  <c r="CE107" i="14"/>
  <c r="CE215" i="14"/>
  <c r="CE16" i="14"/>
  <c r="CI119" i="14"/>
  <c r="CI227" i="14"/>
  <c r="CI222" i="14"/>
  <c r="CI114" i="14"/>
  <c r="CI219" i="14"/>
  <c r="CI111" i="14"/>
  <c r="CI231" i="14"/>
  <c r="CI123" i="14"/>
  <c r="CI117" i="14"/>
  <c r="CI225" i="14"/>
  <c r="DI121" i="14"/>
  <c r="DI229" i="14"/>
  <c r="DI119" i="14"/>
  <c r="DI227" i="14"/>
  <c r="DI108" i="14"/>
  <c r="DI216" i="14"/>
  <c r="DI110" i="14"/>
  <c r="DI218" i="14"/>
  <c r="DM142" i="14"/>
  <c r="DM119" i="14"/>
  <c r="DM227" i="14"/>
  <c r="DM226" i="14"/>
  <c r="DM34" i="14"/>
  <c r="DM217" i="14"/>
  <c r="DM109" i="14"/>
  <c r="DM178" i="14"/>
  <c r="DM224" i="14"/>
  <c r="DM116" i="14"/>
  <c r="DM229" i="14"/>
  <c r="DM121" i="14"/>
  <c r="DQ113" i="14"/>
  <c r="DQ142" i="14"/>
  <c r="DQ117" i="14"/>
  <c r="DQ225" i="14"/>
  <c r="DQ229" i="14"/>
  <c r="DQ121" i="14"/>
  <c r="DQ215" i="14"/>
  <c r="DQ107" i="14"/>
  <c r="DQ16" i="14"/>
  <c r="DQ34" i="14"/>
  <c r="DQ178" i="14"/>
  <c r="AG228" i="14"/>
  <c r="AG120" i="14"/>
  <c r="AG52" i="14"/>
  <c r="AG125" i="14"/>
  <c r="AG223" i="14"/>
  <c r="AG115" i="14"/>
  <c r="AG216" i="14"/>
  <c r="AG108" i="14"/>
  <c r="AG112" i="14"/>
  <c r="AG220" i="14"/>
  <c r="AK219" i="14"/>
  <c r="AK111" i="14"/>
  <c r="AK160" i="14"/>
  <c r="AK122" i="14"/>
  <c r="AK178" i="14"/>
  <c r="CC114" i="14"/>
  <c r="CC222" i="14"/>
  <c r="CC108" i="14"/>
  <c r="CC216" i="14"/>
  <c r="CC113" i="14"/>
  <c r="CC117" i="14"/>
  <c r="CC225" i="14"/>
  <c r="CC178" i="14"/>
  <c r="CG119" i="14"/>
  <c r="CG227" i="14"/>
  <c r="CG115" i="14"/>
  <c r="CG223" i="14"/>
  <c r="CG123" i="14"/>
  <c r="CG231" i="14"/>
  <c r="CG110" i="14"/>
  <c r="CG218" i="14"/>
  <c r="CG121" i="14"/>
  <c r="CG229" i="14"/>
  <c r="CG178" i="14"/>
  <c r="CG114" i="14"/>
  <c r="CG222" i="14"/>
  <c r="AQ107" i="14"/>
  <c r="AQ16" i="14"/>
  <c r="AQ215" i="14"/>
  <c r="AQ222" i="14"/>
  <c r="AQ114" i="14"/>
  <c r="AQ160" i="14"/>
  <c r="AQ178" i="14"/>
  <c r="AQ121" i="14"/>
  <c r="AQ229" i="14"/>
  <c r="AQ34" i="14"/>
  <c r="AQ119" i="14"/>
  <c r="AQ227" i="14"/>
  <c r="AY52" i="14"/>
  <c r="AY125" i="14"/>
  <c r="AY120" i="14"/>
  <c r="AY228" i="14"/>
  <c r="AY118" i="14"/>
  <c r="AY110" i="14"/>
  <c r="AY218" i="14"/>
  <c r="AY160" i="14"/>
  <c r="AY216" i="14"/>
  <c r="AY108" i="14"/>
  <c r="CY115" i="14"/>
  <c r="CY223" i="14"/>
  <c r="CY112" i="14"/>
  <c r="CY220" i="14"/>
  <c r="CY218" i="14"/>
  <c r="CY110" i="14"/>
  <c r="CY228" i="14"/>
  <c r="CY120" i="14"/>
  <c r="DG217" i="14"/>
  <c r="DG109" i="14"/>
  <c r="DG34" i="14"/>
  <c r="DG118" i="14"/>
  <c r="DJ223" i="14"/>
  <c r="DJ115" i="14"/>
  <c r="DJ142" i="14"/>
  <c r="DJ34" i="14"/>
  <c r="DJ113" i="14"/>
  <c r="DJ114" i="14"/>
  <c r="DJ222" i="14"/>
  <c r="DJ121" i="14"/>
  <c r="DJ229" i="14"/>
  <c r="DJ52" i="14"/>
  <c r="DJ125" i="14"/>
  <c r="DJ120" i="14"/>
  <c r="DJ228" i="14"/>
  <c r="DN216" i="14"/>
  <c r="DN108" i="14"/>
  <c r="DN119" i="14"/>
  <c r="DN227" i="14"/>
  <c r="DN231" i="14"/>
  <c r="DN123" i="14"/>
  <c r="DN222" i="14"/>
  <c r="DN114" i="14"/>
  <c r="DN178" i="14"/>
  <c r="DN218" i="14"/>
  <c r="DN110" i="14"/>
  <c r="DR110" i="14"/>
  <c r="DR218" i="14"/>
  <c r="DR109" i="14"/>
  <c r="DR217" i="14"/>
  <c r="DR225" i="14"/>
  <c r="DR117" i="14"/>
  <c r="DR178" i="14"/>
  <c r="AD228" i="14"/>
  <c r="AD120" i="14"/>
  <c r="AD118" i="14"/>
  <c r="AD109" i="14"/>
  <c r="AD217" i="14"/>
  <c r="AD224" i="14"/>
  <c r="AD116" i="14"/>
  <c r="AD122" i="14"/>
  <c r="AD117" i="14"/>
  <c r="AD225" i="14"/>
  <c r="AL34" i="14"/>
  <c r="AL160" i="14"/>
  <c r="AL107" i="14"/>
  <c r="AL215" i="14"/>
  <c r="AL16" i="14"/>
  <c r="AL221" i="14"/>
  <c r="AL122" i="14"/>
  <c r="CD117" i="14"/>
  <c r="CD225" i="14"/>
  <c r="CD219" i="14"/>
  <c r="CD111" i="14"/>
  <c r="CD125" i="14"/>
  <c r="CD52" i="14"/>
  <c r="CD107" i="14"/>
  <c r="CD16" i="14"/>
  <c r="CD215" i="14"/>
  <c r="CD227" i="14"/>
  <c r="CD119" i="14"/>
  <c r="CD217" i="14"/>
  <c r="CD109" i="14"/>
  <c r="CH122" i="14"/>
  <c r="CH110" i="14"/>
  <c r="CH218" i="14"/>
  <c r="CH125" i="14"/>
  <c r="CH52" i="14"/>
  <c r="CH118" i="14"/>
  <c r="CH215" i="14"/>
  <c r="CH16" i="14"/>
  <c r="CH107" i="14"/>
  <c r="CH231" i="14"/>
  <c r="CH123" i="14"/>
  <c r="CH142" i="14"/>
  <c r="BU196" i="14" l="1"/>
  <c r="AN196" i="14"/>
  <c r="AK40" i="10" s="1"/>
  <c r="AS196" i="14"/>
  <c r="AP40" i="10" s="1"/>
  <c r="AM196" i="14"/>
  <c r="EO130" i="14"/>
  <c r="AD196" i="14"/>
  <c r="AA40" i="10" s="1"/>
  <c r="CA196" i="14"/>
  <c r="BX40" i="10" s="1"/>
  <c r="DO196" i="14"/>
  <c r="DL40" i="10" s="1"/>
  <c r="BT196" i="14"/>
  <c r="BQ40" i="10" s="1"/>
  <c r="AC196" i="14"/>
  <c r="Z40" i="10" s="1"/>
  <c r="CT196" i="14"/>
  <c r="CQ40" i="10" s="1"/>
  <c r="DL196" i="14"/>
  <c r="DI40" i="10" s="1"/>
  <c r="AW196" i="14"/>
  <c r="AT40" i="10" s="1"/>
  <c r="CL196" i="14"/>
  <c r="DE196" i="14"/>
  <c r="DB40" i="10" s="1"/>
  <c r="AJ196" i="14"/>
  <c r="AG40" i="10" s="1"/>
  <c r="DW196" i="14"/>
  <c r="DT40" i="10" s="1"/>
  <c r="BE196" i="14"/>
  <c r="BB40" i="10" s="1"/>
  <c r="BY196" i="14"/>
  <c r="BV40" i="10" s="1"/>
  <c r="BJ196" i="14"/>
  <c r="BP196" i="14"/>
  <c r="BM40" i="10" s="1"/>
  <c r="CV196" i="14"/>
  <c r="CS40" i="10" s="1"/>
  <c r="DY196" i="14"/>
  <c r="DV40" i="10" s="1"/>
  <c r="AV196" i="14"/>
  <c r="AS40" i="10" s="1"/>
  <c r="CH196" i="14"/>
  <c r="CE40" i="10" s="1"/>
  <c r="CG196" i="14"/>
  <c r="CD40" i="10" s="1"/>
  <c r="L141" i="5"/>
  <c r="L142" i="5" s="1"/>
  <c r="L143" i="5" s="1"/>
  <c r="DK196" i="14"/>
  <c r="DH40" i="10" s="1"/>
  <c r="AI196" i="14"/>
  <c r="AF40" i="10" s="1"/>
  <c r="DC196" i="14"/>
  <c r="CZ40" i="10" s="1"/>
  <c r="BI196" i="14"/>
  <c r="BF40" i="10" s="1"/>
  <c r="DS196" i="14"/>
  <c r="DP40" i="10" s="1"/>
  <c r="CJ196" i="14"/>
  <c r="CG40" i="10" s="1"/>
  <c r="BQ196" i="14"/>
  <c r="BN40" i="10" s="1"/>
  <c r="BN196" i="14"/>
  <c r="BK40" i="10" s="1"/>
  <c r="DG196" i="14"/>
  <c r="DD40" i="10" s="1"/>
  <c r="EJ133" i="14"/>
  <c r="BB196" i="14"/>
  <c r="AY40" i="10" s="1"/>
  <c r="BX196" i="14"/>
  <c r="BU40" i="10" s="1"/>
  <c r="CE196" i="14"/>
  <c r="CB40" i="10" s="1"/>
  <c r="BA196" i="14"/>
  <c r="AX40" i="10" s="1"/>
  <c r="DF196" i="14"/>
  <c r="DC40" i="10" s="1"/>
  <c r="CI196" i="14"/>
  <c r="CF40" i="10" s="1"/>
  <c r="AR196" i="14"/>
  <c r="AO40" i="10" s="1"/>
  <c r="BH196" i="14"/>
  <c r="BE40" i="10" s="1"/>
  <c r="BC196" i="14"/>
  <c r="AZ40" i="10" s="1"/>
  <c r="CO196" i="14"/>
  <c r="CL40" i="10" s="1"/>
  <c r="AX196" i="14"/>
  <c r="AU40" i="10" s="1"/>
  <c r="DN196" i="14"/>
  <c r="DK40" i="10" s="1"/>
  <c r="DV196" i="14"/>
  <c r="DS40" i="10" s="1"/>
  <c r="CX196" i="14"/>
  <c r="CU40" i="10" s="1"/>
  <c r="CC196" i="14"/>
  <c r="BZ40" i="10" s="1"/>
  <c r="AQ196" i="14"/>
  <c r="AN40" i="10" s="1"/>
  <c r="BD196" i="14"/>
  <c r="BA40" i="10" s="1"/>
  <c r="CR196" i="14"/>
  <c r="CO40" i="10" s="1"/>
  <c r="BF196" i="14"/>
  <c r="BC40" i="10" s="1"/>
  <c r="AY196" i="14"/>
  <c r="AV40" i="10" s="1"/>
  <c r="CK196" i="14"/>
  <c r="CH40" i="10" s="1"/>
  <c r="DR196" i="14"/>
  <c r="DO40" i="10" s="1"/>
  <c r="CU196" i="14"/>
  <c r="CR40" i="10" s="1"/>
  <c r="BR196" i="14"/>
  <c r="BO40" i="10" s="1"/>
  <c r="DJ196" i="14"/>
  <c r="DG40" i="10" s="1"/>
  <c r="CZ196" i="14"/>
  <c r="CW40" i="10" s="1"/>
  <c r="CM196" i="14"/>
  <c r="CJ40" i="10" s="1"/>
  <c r="BM196" i="14"/>
  <c r="BJ40" i="10" s="1"/>
  <c r="AK196" i="14"/>
  <c r="AH40" i="10" s="1"/>
  <c r="CS196" i="14"/>
  <c r="CP40" i="10" s="1"/>
  <c r="DH196" i="14"/>
  <c r="DE40" i="10" s="1"/>
  <c r="DP196" i="14"/>
  <c r="DM40" i="10" s="1"/>
  <c r="AG196" i="14"/>
  <c r="AD40" i="10" s="1"/>
  <c r="AP196" i="14"/>
  <c r="AM40" i="10" s="1"/>
  <c r="BK196" i="14"/>
  <c r="BH40" i="10" s="1"/>
  <c r="DU196" i="14"/>
  <c r="DR40" i="10" s="1"/>
  <c r="DI196" i="14"/>
  <c r="DF40" i="10" s="1"/>
  <c r="AU196" i="14"/>
  <c r="AR40" i="10" s="1"/>
  <c r="BL196" i="14"/>
  <c r="BI40" i="10" s="1"/>
  <c r="BS196" i="14"/>
  <c r="BP40" i="10" s="1"/>
  <c r="DZ196" i="14"/>
  <c r="DW40" i="10" s="1"/>
  <c r="AZ196" i="14"/>
  <c r="AW40" i="10" s="1"/>
  <c r="EA196" i="14"/>
  <c r="DX40" i="10" s="1"/>
  <c r="AL196" i="14"/>
  <c r="AI40" i="10" s="1"/>
  <c r="ED196" i="14"/>
  <c r="EA40" i="10" s="1"/>
  <c r="DM196" i="14"/>
  <c r="DJ40" i="10" s="1"/>
  <c r="BZ196" i="14"/>
  <c r="BW40" i="10" s="1"/>
  <c r="AH196" i="14"/>
  <c r="AE40" i="10" s="1"/>
  <c r="CF196" i="14"/>
  <c r="CC40" i="10" s="1"/>
  <c r="BG196" i="14"/>
  <c r="BD40" i="10" s="1"/>
  <c r="EE196" i="14"/>
  <c r="EB40" i="10" s="1"/>
  <c r="BW196" i="14"/>
  <c r="BT40" i="10" s="1"/>
  <c r="CY196" i="14"/>
  <c r="CV40" i="10" s="1"/>
  <c r="EB196" i="14"/>
  <c r="DY40" i="10" s="1"/>
  <c r="CN196" i="14"/>
  <c r="CK40" i="10" s="1"/>
  <c r="CQ196" i="14"/>
  <c r="CN40" i="10" s="1"/>
  <c r="AT196" i="14"/>
  <c r="AQ40" i="10" s="1"/>
  <c r="EO133" i="14"/>
  <c r="W106" i="14"/>
  <c r="T17" i="10" s="1"/>
  <c r="S17" i="5" s="1"/>
  <c r="U214" i="14"/>
  <c r="R32" i="10" s="1"/>
  <c r="R37" i="6" s="1"/>
  <c r="CD196" i="14"/>
  <c r="CA40" i="10" s="1"/>
  <c r="EP141" i="14"/>
  <c r="EJ118" i="14"/>
  <c r="EQ221" i="14"/>
  <c r="Z106" i="14"/>
  <c r="W17" i="10" s="1"/>
  <c r="V17" i="5" s="1"/>
  <c r="ES140" i="14"/>
  <c r="Q106" i="14"/>
  <c r="N17" i="10" s="1"/>
  <c r="N19" i="6" s="1"/>
  <c r="N18" i="6" s="1"/>
  <c r="AA106" i="14"/>
  <c r="X17" i="10" s="1"/>
  <c r="W17" i="5" s="1"/>
  <c r="Z214" i="14"/>
  <c r="W32" i="10" s="1"/>
  <c r="V33" i="5" s="1"/>
  <c r="U106" i="14"/>
  <c r="R17" i="10" s="1"/>
  <c r="Q17" i="5" s="1"/>
  <c r="EP137" i="14"/>
  <c r="R214" i="14"/>
  <c r="O32" i="10" s="1"/>
  <c r="N33" i="5" s="1"/>
  <c r="N22" i="5" s="1"/>
  <c r="R106" i="14"/>
  <c r="O17" i="10" s="1"/>
  <c r="N17" i="5" s="1"/>
  <c r="EF141" i="14"/>
  <c r="EN113" i="14"/>
  <c r="EM134" i="14"/>
  <c r="W214" i="14"/>
  <c r="T32" i="10" s="1"/>
  <c r="T37" i="6" s="1"/>
  <c r="AA214" i="14"/>
  <c r="X32" i="10" s="1"/>
  <c r="W33" i="5" s="1"/>
  <c r="W22" i="5" s="1"/>
  <c r="EN133" i="14"/>
  <c r="ES134" i="14"/>
  <c r="V214" i="14"/>
  <c r="S32" i="10" s="1"/>
  <c r="R33" i="5" s="1"/>
  <c r="R22" i="5" s="1"/>
  <c r="EH141" i="14"/>
  <c r="S106" i="14"/>
  <c r="P17" i="10" s="1"/>
  <c r="O17" i="5" s="1"/>
  <c r="EL141" i="14"/>
  <c r="AB106" i="14"/>
  <c r="Y17" i="10" s="1"/>
  <c r="X17" i="5" s="1"/>
  <c r="M18" i="5"/>
  <c r="Q214" i="14"/>
  <c r="N32" i="10" s="1"/>
  <c r="M33" i="5" s="1"/>
  <c r="EG137" i="14"/>
  <c r="AB214" i="14"/>
  <c r="Y32" i="10" s="1"/>
  <c r="X33" i="5" s="1"/>
  <c r="X22" i="5" s="1"/>
  <c r="S214" i="14"/>
  <c r="P32" i="10" s="1"/>
  <c r="P21" i="10" s="1"/>
  <c r="V106" i="14"/>
  <c r="S17" i="10" s="1"/>
  <c r="R17" i="5" s="1"/>
  <c r="X214" i="14"/>
  <c r="U32" i="10" s="1"/>
  <c r="T33" i="5" s="1"/>
  <c r="T22" i="5" s="1"/>
  <c r="AM70" i="14"/>
  <c r="AJ38" i="10" s="1"/>
  <c r="BZ70" i="14"/>
  <c r="BW38" i="10" s="1"/>
  <c r="X106" i="14"/>
  <c r="U17" i="10" s="1"/>
  <c r="T17" i="5" s="1"/>
  <c r="AU70" i="14"/>
  <c r="AR38" i="10" s="1"/>
  <c r="BI70" i="14"/>
  <c r="BF38" i="10" s="1"/>
  <c r="EH137" i="14"/>
  <c r="BI137" i="14"/>
  <c r="BI124" i="14" s="1"/>
  <c r="BF39" i="10" s="1"/>
  <c r="T214" i="14"/>
  <c r="Q32" i="10" s="1"/>
  <c r="Q37" i="6" s="1"/>
  <c r="EO136" i="14"/>
  <c r="Y106" i="14"/>
  <c r="V17" i="10" s="1"/>
  <c r="U17" i="5" s="1"/>
  <c r="DE70" i="14"/>
  <c r="DB38" i="10" s="1"/>
  <c r="AU141" i="14"/>
  <c r="AU124" i="14" s="1"/>
  <c r="AR39" i="10" s="1"/>
  <c r="AJ70" i="14"/>
  <c r="AG38" i="10" s="1"/>
  <c r="AM126" i="14"/>
  <c r="AM124" i="14" s="1"/>
  <c r="AJ39" i="10" s="1"/>
  <c r="Y214" i="14"/>
  <c r="V32" i="10" s="1"/>
  <c r="V21" i="10" s="1"/>
  <c r="EQ130" i="14"/>
  <c r="EH140" i="14"/>
  <c r="T106" i="14"/>
  <c r="Q17" i="10" s="1"/>
  <c r="P17" i="5" s="1"/>
  <c r="EU118" i="14"/>
  <c r="EH133" i="14"/>
  <c r="AH16" i="10"/>
  <c r="AG16" i="5" s="1"/>
  <c r="CA70" i="14"/>
  <c r="BX38" i="10" s="1"/>
  <c r="DV70" i="14"/>
  <c r="DS38" i="10" s="1"/>
  <c r="L962" i="32"/>
  <c r="F961" i="32" s="1"/>
  <c r="EF122" i="14"/>
  <c r="BA70" i="14"/>
  <c r="AX38" i="10" s="1"/>
  <c r="AW70" i="14"/>
  <c r="AT38" i="10" s="1"/>
  <c r="EF127" i="14"/>
  <c r="EI131" i="14"/>
  <c r="ET131" i="14"/>
  <c r="BX70" i="14"/>
  <c r="BU38" i="10" s="1"/>
  <c r="L976" i="32"/>
  <c r="BG70" i="14"/>
  <c r="BD38" i="10" s="1"/>
  <c r="CX70" i="14"/>
  <c r="CU38" i="10" s="1"/>
  <c r="BN70" i="14"/>
  <c r="BK38" i="10" s="1"/>
  <c r="DG70" i="14"/>
  <c r="DD38" i="10" s="1"/>
  <c r="AQ70" i="14"/>
  <c r="AN38" i="10" s="1"/>
  <c r="BJ70" i="14"/>
  <c r="BG38" i="10" s="1"/>
  <c r="AZ70" i="14"/>
  <c r="AW38" i="10" s="1"/>
  <c r="CY70" i="14"/>
  <c r="CV38" i="10" s="1"/>
  <c r="AV70" i="14"/>
  <c r="AS38" i="10" s="1"/>
  <c r="DU70" i="14"/>
  <c r="DR38" i="10" s="1"/>
  <c r="DG16" i="10"/>
  <c r="DF16" i="5" s="1"/>
  <c r="DN70" i="14"/>
  <c r="DK38" i="10" s="1"/>
  <c r="AT70" i="14"/>
  <c r="AQ38" i="10" s="1"/>
  <c r="AO70" i="14"/>
  <c r="AL38" i="10" s="1"/>
  <c r="DW70" i="14"/>
  <c r="DT38" i="10" s="1"/>
  <c r="BB70" i="14"/>
  <c r="AY38" i="10" s="1"/>
  <c r="DM70" i="14"/>
  <c r="DJ38" i="10" s="1"/>
  <c r="CB70" i="14"/>
  <c r="BY38" i="10" s="1"/>
  <c r="AL70" i="14"/>
  <c r="AI38" i="10" s="1"/>
  <c r="AN70" i="14"/>
  <c r="AK38" i="10" s="1"/>
  <c r="AZ126" i="14"/>
  <c r="AZ124" i="14" s="1"/>
  <c r="AW39" i="10" s="1"/>
  <c r="CR70" i="14"/>
  <c r="CO38" i="10" s="1"/>
  <c r="BD70" i="14"/>
  <c r="BA38" i="10" s="1"/>
  <c r="CY130" i="14"/>
  <c r="CY124" i="14" s="1"/>
  <c r="CV39" i="10" s="1"/>
  <c r="AO129" i="14"/>
  <c r="AO124" i="14" s="1"/>
  <c r="AL39" i="10" s="1"/>
  <c r="CF70" i="14"/>
  <c r="CC38" i="10" s="1"/>
  <c r="CO70" i="14"/>
  <c r="CL38" i="10" s="1"/>
  <c r="CC70" i="14"/>
  <c r="BZ38" i="10" s="1"/>
  <c r="AV130" i="14"/>
  <c r="AV124" i="14" s="1"/>
  <c r="AS39" i="10" s="1"/>
  <c r="AT136" i="14"/>
  <c r="AT124" i="14" s="1"/>
  <c r="AQ39" i="10" s="1"/>
  <c r="BN129" i="14"/>
  <c r="BN124" i="14" s="1"/>
  <c r="BK39" i="10" s="1"/>
  <c r="BB126" i="14"/>
  <c r="BB124" i="14" s="1"/>
  <c r="AY39" i="10" s="1"/>
  <c r="DL70" i="14"/>
  <c r="DI38" i="10" s="1"/>
  <c r="DM130" i="14"/>
  <c r="DM124" i="14" s="1"/>
  <c r="DJ39" i="10" s="1"/>
  <c r="BP70" i="14"/>
  <c r="BM38" i="10" s="1"/>
  <c r="CX128" i="14"/>
  <c r="CX124" i="14" s="1"/>
  <c r="CU39" i="10" s="1"/>
  <c r="EQ128" i="14"/>
  <c r="AQ129" i="14"/>
  <c r="AQ124" i="14" s="1"/>
  <c r="AN39" i="10" s="1"/>
  <c r="AE70" i="14"/>
  <c r="AB38" i="10" s="1"/>
  <c r="DH70" i="14"/>
  <c r="DE38" i="10" s="1"/>
  <c r="CV70" i="14"/>
  <c r="CS38" i="10" s="1"/>
  <c r="CI70" i="14"/>
  <c r="CF38" i="10" s="1"/>
  <c r="DA70" i="14"/>
  <c r="CX38" i="10" s="1"/>
  <c r="DO70" i="14"/>
  <c r="DL38" i="10" s="1"/>
  <c r="AS70" i="14"/>
  <c r="AP38" i="10" s="1"/>
  <c r="AD70" i="14"/>
  <c r="AA38" i="10" s="1"/>
  <c r="AX70" i="14"/>
  <c r="AU38" i="10" s="1"/>
  <c r="ET136" i="14"/>
  <c r="BU70" i="14"/>
  <c r="BR38" i="10" s="1"/>
  <c r="CZ70" i="14"/>
  <c r="CW38" i="10" s="1"/>
  <c r="DO129" i="14"/>
  <c r="DO124" i="14" s="1"/>
  <c r="DL39" i="10" s="1"/>
  <c r="CQ70" i="14"/>
  <c r="CN38" i="10" s="1"/>
  <c r="CW70" i="14"/>
  <c r="CT38" i="10" s="1"/>
  <c r="DF70" i="14"/>
  <c r="DC38" i="10" s="1"/>
  <c r="CK70" i="14"/>
  <c r="CH38" i="10" s="1"/>
  <c r="DU136" i="14"/>
  <c r="DU124" i="14" s="1"/>
  <c r="DR39" i="10" s="1"/>
  <c r="ED70" i="14"/>
  <c r="EA38" i="10" s="1"/>
  <c r="BA128" i="14"/>
  <c r="BA124" i="14" s="1"/>
  <c r="AX39" i="10" s="1"/>
  <c r="AS129" i="14"/>
  <c r="AS124" i="14" s="1"/>
  <c r="AP39" i="10" s="1"/>
  <c r="CT70" i="14"/>
  <c r="CQ38" i="10" s="1"/>
  <c r="DA136" i="14"/>
  <c r="DA124" i="14" s="1"/>
  <c r="CX39" i="10" s="1"/>
  <c r="BE70" i="14"/>
  <c r="BB38" i="10" s="1"/>
  <c r="DR70" i="14"/>
  <c r="DO38" i="10" s="1"/>
  <c r="DX70" i="14"/>
  <c r="DU38" i="10" s="1"/>
  <c r="AW136" i="14"/>
  <c r="AW124" i="14" s="1"/>
  <c r="AT39" i="10" s="1"/>
  <c r="CU70" i="14"/>
  <c r="CR38" i="10" s="1"/>
  <c r="CB131" i="14"/>
  <c r="CB124" i="14" s="1"/>
  <c r="BY39" i="10" s="1"/>
  <c r="EE70" i="14"/>
  <c r="EB38" i="10" s="1"/>
  <c r="DY70" i="14"/>
  <c r="DV38" i="10" s="1"/>
  <c r="CE70" i="14"/>
  <c r="CB38" i="10" s="1"/>
  <c r="BH70" i="14"/>
  <c r="BE38" i="10" s="1"/>
  <c r="AC70" i="14"/>
  <c r="Z38" i="10" s="1"/>
  <c r="CG70" i="14"/>
  <c r="CD38" i="10" s="1"/>
  <c r="DQ70" i="14"/>
  <c r="DN38" i="10" s="1"/>
  <c r="AK70" i="14"/>
  <c r="AH38" i="10" s="1"/>
  <c r="AI70" i="14"/>
  <c r="AF38" i="10" s="1"/>
  <c r="DD70" i="14"/>
  <c r="DA38" i="10" s="1"/>
  <c r="EB70" i="14"/>
  <c r="DY38" i="10" s="1"/>
  <c r="BK70" i="14"/>
  <c r="BH38" i="10" s="1"/>
  <c r="CD70" i="14"/>
  <c r="CA38" i="10" s="1"/>
  <c r="BF70" i="14"/>
  <c r="BC38" i="10" s="1"/>
  <c r="AH70" i="14"/>
  <c r="AE38" i="10" s="1"/>
  <c r="DJ70" i="14"/>
  <c r="DG38" i="10" s="1"/>
  <c r="CL70" i="14"/>
  <c r="CI38" i="10" s="1"/>
  <c r="BQ70" i="14"/>
  <c r="BN38" i="10" s="1"/>
  <c r="CH70" i="14"/>
  <c r="CE38" i="10" s="1"/>
  <c r="BY70" i="14"/>
  <c r="BV38" i="10" s="1"/>
  <c r="BM70" i="14"/>
  <c r="BJ38" i="10" s="1"/>
  <c r="DI70" i="14"/>
  <c r="DF38" i="10" s="1"/>
  <c r="DT70" i="14"/>
  <c r="DQ38" i="10" s="1"/>
  <c r="BW70" i="14"/>
  <c r="BT38" i="10" s="1"/>
  <c r="DZ70" i="14"/>
  <c r="DW38" i="10" s="1"/>
  <c r="BC70" i="14"/>
  <c r="AZ38" i="10" s="1"/>
  <c r="CN70" i="14"/>
  <c r="CK38" i="10" s="1"/>
  <c r="CS70" i="14"/>
  <c r="CP38" i="10" s="1"/>
  <c r="BM129" i="14"/>
  <c r="BM124" i="14" s="1"/>
  <c r="BJ39" i="10" s="1"/>
  <c r="AG70" i="14"/>
  <c r="AD38" i="10" s="1"/>
  <c r="BW141" i="14"/>
  <c r="BW124" i="14" s="1"/>
  <c r="BT39" i="10" s="1"/>
  <c r="EC70" i="14"/>
  <c r="DZ38" i="10" s="1"/>
  <c r="DH128" i="14"/>
  <c r="DH124" i="14" s="1"/>
  <c r="DE39" i="10" s="1"/>
  <c r="CG128" i="14"/>
  <c r="CG124" i="14" s="1"/>
  <c r="CD39" i="10" s="1"/>
  <c r="CW128" i="14"/>
  <c r="CW124" i="14" s="1"/>
  <c r="CT39" i="10" s="1"/>
  <c r="BL70" i="14"/>
  <c r="BI38" i="10" s="1"/>
  <c r="BO70" i="14"/>
  <c r="BL38" i="10" s="1"/>
  <c r="CM70" i="14"/>
  <c r="CJ38" i="10" s="1"/>
  <c r="BY129" i="14"/>
  <c r="BY124" i="14" s="1"/>
  <c r="BV39" i="10" s="1"/>
  <c r="AP70" i="14"/>
  <c r="AM38" i="10" s="1"/>
  <c r="BS70" i="14"/>
  <c r="BP38" i="10" s="1"/>
  <c r="DI129" i="14"/>
  <c r="DI124" i="14" s="1"/>
  <c r="DF39" i="10" s="1"/>
  <c r="CQ128" i="14"/>
  <c r="CQ124" i="14" s="1"/>
  <c r="CN39" i="10" s="1"/>
  <c r="EB129" i="14"/>
  <c r="EB124" i="14" s="1"/>
  <c r="DY39" i="10" s="1"/>
  <c r="AK136" i="14"/>
  <c r="AK124" i="14" s="1"/>
  <c r="AH39" i="10" s="1"/>
  <c r="DB70" i="14"/>
  <c r="CY38" i="10" s="1"/>
  <c r="CJ70" i="14"/>
  <c r="CG38" i="10" s="1"/>
  <c r="EA70" i="14"/>
  <c r="DX38" i="10" s="1"/>
  <c r="BK141" i="14"/>
  <c r="BK124" i="14" s="1"/>
  <c r="BH39" i="10" s="1"/>
  <c r="DP70" i="14"/>
  <c r="DM38" i="10" s="1"/>
  <c r="DK70" i="14"/>
  <c r="DH38" i="10" s="1"/>
  <c r="DF128" i="14"/>
  <c r="DF124" i="14" s="1"/>
  <c r="DC39" i="10" s="1"/>
  <c r="AF70" i="14"/>
  <c r="AC38" i="10" s="1"/>
  <c r="AR70" i="14"/>
  <c r="AO38" i="10" s="1"/>
  <c r="DJ128" i="14"/>
  <c r="DJ124" i="14" s="1"/>
  <c r="DG39" i="10" s="1"/>
  <c r="DQ128" i="14"/>
  <c r="DQ124" i="14" s="1"/>
  <c r="DN39" i="10" s="1"/>
  <c r="BV70" i="14"/>
  <c r="BS38" i="10" s="1"/>
  <c r="BR70" i="14"/>
  <c r="BO38" i="10" s="1"/>
  <c r="CD141" i="14"/>
  <c r="CD124" i="14" s="1"/>
  <c r="CA39" i="10" s="1"/>
  <c r="AC128" i="14"/>
  <c r="AC124" i="14" s="1"/>
  <c r="Z39" i="10" s="1"/>
  <c r="AY70" i="14"/>
  <c r="AV38" i="10" s="1"/>
  <c r="AE131" i="14"/>
  <c r="AE124" i="14" s="1"/>
  <c r="AB39" i="10" s="1"/>
  <c r="DC70" i="14"/>
  <c r="CZ38" i="10" s="1"/>
  <c r="AI136" i="14"/>
  <c r="AI124" i="14" s="1"/>
  <c r="AF39" i="10" s="1"/>
  <c r="CP70" i="14"/>
  <c r="CM38" i="10" s="1"/>
  <c r="DS70" i="14"/>
  <c r="DP38" i="10" s="1"/>
  <c r="CV128" i="14"/>
  <c r="CV124" i="14" s="1"/>
  <c r="CS39" i="10" s="1"/>
  <c r="BT70" i="14"/>
  <c r="BQ38" i="10" s="1"/>
  <c r="EI118" i="14"/>
  <c r="EN226" i="14"/>
  <c r="EO230" i="14"/>
  <c r="EK136" i="14"/>
  <c r="EG134" i="14"/>
  <c r="EL134" i="14"/>
  <c r="EQ136" i="14"/>
  <c r="EJ138" i="14"/>
  <c r="BJ16" i="10"/>
  <c r="BI16" i="5" s="1"/>
  <c r="T196" i="14"/>
  <c r="Q40" i="10" s="1"/>
  <c r="P196" i="14"/>
  <c r="M40" i="10" s="1"/>
  <c r="ES130" i="14"/>
  <c r="ES118" i="14"/>
  <c r="EH139" i="14"/>
  <c r="EG230" i="14"/>
  <c r="DH16" i="10"/>
  <c r="DG16" i="5" s="1"/>
  <c r="EQ141" i="14"/>
  <c r="AN16" i="10"/>
  <c r="AM16" i="5" s="1"/>
  <c r="EI113" i="14"/>
  <c r="ET127" i="14"/>
  <c r="ET113" i="14"/>
  <c r="EG140" i="14"/>
  <c r="EM128" i="14"/>
  <c r="U196" i="14"/>
  <c r="R40" i="10" s="1"/>
  <c r="ET141" i="14"/>
  <c r="ES127" i="14"/>
  <c r="ER135" i="14"/>
  <c r="EQ138" i="14"/>
  <c r="V196" i="14"/>
  <c r="S40" i="10" s="1"/>
  <c r="DB16" i="10"/>
  <c r="DA16" i="5" s="1"/>
  <c r="EM132" i="14"/>
  <c r="ET134" i="14"/>
  <c r="EP132" i="14"/>
  <c r="EO118" i="14"/>
  <c r="EM138" i="14"/>
  <c r="Z196" i="14"/>
  <c r="W40" i="10" s="1"/>
  <c r="EG129" i="14"/>
  <c r="EN134" i="14"/>
  <c r="EM135" i="14"/>
  <c r="Y196" i="14"/>
  <c r="V40" i="10" s="1"/>
  <c r="ER230" i="14"/>
  <c r="EF139" i="14"/>
  <c r="ES135" i="14"/>
  <c r="ES221" i="14"/>
  <c r="EO137" i="14"/>
  <c r="EM141" i="14"/>
  <c r="EJ130" i="14"/>
  <c r="ET132" i="14"/>
  <c r="EL138" i="14"/>
  <c r="EM133" i="14"/>
  <c r="AB196" i="14"/>
  <c r="Y40" i="10" s="1"/>
  <c r="S196" i="14"/>
  <c r="P40" i="10" s="1"/>
  <c r="W196" i="14"/>
  <c r="T40" i="10" s="1"/>
  <c r="Q196" i="14"/>
  <c r="N40" i="10" s="1"/>
  <c r="R196" i="14"/>
  <c r="O40" i="10" s="1"/>
  <c r="AA196" i="14"/>
  <c r="X40" i="10" s="1"/>
  <c r="L16" i="5"/>
  <c r="D588" i="32"/>
  <c r="L13" i="17"/>
  <c r="D719" i="32" s="1"/>
  <c r="L13" i="26"/>
  <c r="D158" i="32" s="1"/>
  <c r="V70" i="14"/>
  <c r="S38" i="10" s="1"/>
  <c r="V126" i="14"/>
  <c r="V124" i="14" s="1"/>
  <c r="S39" i="10" s="1"/>
  <c r="AB70" i="14"/>
  <c r="Y38" i="10" s="1"/>
  <c r="AB126" i="14"/>
  <c r="AB124" i="14" s="1"/>
  <c r="Y39" i="10" s="1"/>
  <c r="Q70" i="14"/>
  <c r="N38" i="10" s="1"/>
  <c r="Q126" i="14"/>
  <c r="Q124" i="14" s="1"/>
  <c r="N39" i="10" s="1"/>
  <c r="P214" i="14"/>
  <c r="M32" i="10" s="1"/>
  <c r="W126" i="14"/>
  <c r="W124" i="14" s="1"/>
  <c r="T39" i="10" s="1"/>
  <c r="W70" i="14"/>
  <c r="T38" i="10" s="1"/>
  <c r="S126" i="14"/>
  <c r="S124" i="14" s="1"/>
  <c r="P39" i="10" s="1"/>
  <c r="S70" i="14"/>
  <c r="P38" i="10" s="1"/>
  <c r="Y70" i="14"/>
  <c r="V38" i="10" s="1"/>
  <c r="Y126" i="14"/>
  <c r="Y124" i="14" s="1"/>
  <c r="V39" i="10" s="1"/>
  <c r="P106" i="14"/>
  <c r="M17" i="10" s="1"/>
  <c r="L148" i="11" s="1"/>
  <c r="T70" i="14"/>
  <c r="Q38" i="10" s="1"/>
  <c r="T126" i="14"/>
  <c r="T124" i="14" s="1"/>
  <c r="Q39" i="10" s="1"/>
  <c r="U126" i="14"/>
  <c r="U124" i="14" s="1"/>
  <c r="R39" i="10" s="1"/>
  <c r="U70" i="14"/>
  <c r="R38" i="10" s="1"/>
  <c r="AA126" i="14"/>
  <c r="AA124" i="14" s="1"/>
  <c r="X39" i="10" s="1"/>
  <c r="AA70" i="14"/>
  <c r="X38" i="10" s="1"/>
  <c r="P126" i="14"/>
  <c r="P124" i="14" s="1"/>
  <c r="M39" i="10" s="1"/>
  <c r="P70" i="14"/>
  <c r="M38" i="10" s="1"/>
  <c r="K962" i="32"/>
  <c r="X196" i="14"/>
  <c r="U40" i="10" s="1"/>
  <c r="D548" i="32"/>
  <c r="M14" i="16"/>
  <c r="R70" i="14"/>
  <c r="O38" i="10" s="1"/>
  <c r="R126" i="14"/>
  <c r="R124" i="14" s="1"/>
  <c r="O39" i="10" s="1"/>
  <c r="Z70" i="14"/>
  <c r="W38" i="10" s="1"/>
  <c r="Z126" i="14"/>
  <c r="Z124" i="14" s="1"/>
  <c r="W39" i="10" s="1"/>
  <c r="X126" i="14"/>
  <c r="X124" i="14" s="1"/>
  <c r="U39" i="10" s="1"/>
  <c r="X70" i="14"/>
  <c r="U38" i="10" s="1"/>
  <c r="K976" i="32"/>
  <c r="I968" i="32"/>
  <c r="W20" i="6"/>
  <c r="DN40" i="10"/>
  <c r="CM16" i="10"/>
  <c r="CL16" i="5" s="1"/>
  <c r="CH18" i="10"/>
  <c r="CG18" i="5" s="1"/>
  <c r="AG18" i="10"/>
  <c r="AF18" i="5" s="1"/>
  <c r="P20" i="6"/>
  <c r="E548" i="32" s="1"/>
  <c r="S18" i="5"/>
  <c r="AX16" i="10"/>
  <c r="AW16" i="5" s="1"/>
  <c r="DA40" i="10"/>
  <c r="BT18" i="10"/>
  <c r="BS18" i="5" s="1"/>
  <c r="CN16" i="10"/>
  <c r="CM16" i="5" s="1"/>
  <c r="CO18" i="10"/>
  <c r="CO20" i="6" s="1"/>
  <c r="AZ16" i="10"/>
  <c r="AY16" i="5" s="1"/>
  <c r="CZ18" i="10"/>
  <c r="CY18" i="5" s="1"/>
  <c r="DM18" i="10"/>
  <c r="DM20" i="6" s="1"/>
  <c r="BZ18" i="10"/>
  <c r="BY18" i="5" s="1"/>
  <c r="AB16" i="10"/>
  <c r="AA16" i="5" s="1"/>
  <c r="Q20" i="6"/>
  <c r="BB16" i="10"/>
  <c r="BA16" i="5" s="1"/>
  <c r="EN137" i="14"/>
  <c r="BA18" i="10"/>
  <c r="AZ18" i="5" s="1"/>
  <c r="H33" i="35"/>
  <c r="AT16" i="10"/>
  <c r="AS16" i="5" s="1"/>
  <c r="BN18" i="10"/>
  <c r="BN20" i="6" s="1"/>
  <c r="DJ18" i="10"/>
  <c r="DJ20" i="6" s="1"/>
  <c r="BK16" i="10"/>
  <c r="BJ16" i="5" s="1"/>
  <c r="DZ40" i="10"/>
  <c r="DL16" i="10"/>
  <c r="DK16" i="5" s="1"/>
  <c r="AN18" i="10"/>
  <c r="AM18" i="5" s="1"/>
  <c r="S20" i="6"/>
  <c r="EB18" i="10"/>
  <c r="EA18" i="5" s="1"/>
  <c r="DC18" i="10"/>
  <c r="DC20" i="6" s="1"/>
  <c r="AM18" i="10"/>
  <c r="AM20" i="6" s="1"/>
  <c r="CX16" i="10"/>
  <c r="CW16" i="5" s="1"/>
  <c r="DR18" i="10"/>
  <c r="DQ18" i="5" s="1"/>
  <c r="CV18" i="10"/>
  <c r="CV20" i="6" s="1"/>
  <c r="BT16" i="10"/>
  <c r="BS16" i="5" s="1"/>
  <c r="AQ16" i="10"/>
  <c r="AP16" i="5" s="1"/>
  <c r="CG18" i="10"/>
  <c r="CG20" i="6" s="1"/>
  <c r="EI134" i="14"/>
  <c r="DG18" i="10"/>
  <c r="DF18" i="5" s="1"/>
  <c r="CL18" i="10"/>
  <c r="CL20" i="6" s="1"/>
  <c r="BU16" i="10"/>
  <c r="BT16" i="5" s="1"/>
  <c r="AA16" i="10"/>
  <c r="Z16" i="5" s="1"/>
  <c r="CQ18" i="10"/>
  <c r="CQ20" i="6" s="1"/>
  <c r="BS18" i="10"/>
  <c r="BS20" i="6" s="1"/>
  <c r="BK18" i="10"/>
  <c r="BK20" i="6" s="1"/>
  <c r="CY16" i="10"/>
  <c r="CX16" i="5" s="1"/>
  <c r="BQ16" i="10"/>
  <c r="BP16" i="5" s="1"/>
  <c r="CW16" i="10"/>
  <c r="CV16" i="5" s="1"/>
  <c r="DK16" i="10"/>
  <c r="DJ16" i="5" s="1"/>
  <c r="BI18" i="10"/>
  <c r="BI20" i="6" s="1"/>
  <c r="BP18" i="10"/>
  <c r="BP20" i="6" s="1"/>
  <c r="CT40" i="10"/>
  <c r="EM139" i="14"/>
  <c r="EJ132" i="14"/>
  <c r="BC18" i="10"/>
  <c r="BC20" i="6" s="1"/>
  <c r="DI16" i="10"/>
  <c r="DH16" i="5" s="1"/>
  <c r="EK128" i="14"/>
  <c r="EK133" i="14"/>
  <c r="EJ135" i="14"/>
  <c r="BO16" i="10"/>
  <c r="BN16" i="5" s="1"/>
  <c r="EJ139" i="14"/>
  <c r="DL18" i="10"/>
  <c r="DK18" i="5" s="1"/>
  <c r="AJ40" i="10"/>
  <c r="AS18" i="10"/>
  <c r="AR18" i="5" s="1"/>
  <c r="AD16" i="10"/>
  <c r="AC16" i="5" s="1"/>
  <c r="EH131" i="14"/>
  <c r="ES230" i="14"/>
  <c r="EG135" i="14"/>
  <c r="DY18" i="10"/>
  <c r="DY20" i="6" s="1"/>
  <c r="DN18" i="10"/>
  <c r="DM18" i="5" s="1"/>
  <c r="N53" i="14"/>
  <c r="BE16" i="10"/>
  <c r="BD16" i="5" s="1"/>
  <c r="ER137" i="14"/>
  <c r="CL16" i="10"/>
  <c r="CK16" i="5" s="1"/>
  <c r="CE214" i="14"/>
  <c r="CB32" i="10" s="1"/>
  <c r="CA33" i="5" s="1"/>
  <c r="EM137" i="14"/>
  <c r="EM230" i="14"/>
  <c r="ER127" i="14"/>
  <c r="EF221" i="14"/>
  <c r="EI139" i="14"/>
  <c r="ET129" i="14"/>
  <c r="DZ124" i="14"/>
  <c r="DW39" i="10" s="1"/>
  <c r="BU18" i="10"/>
  <c r="BT18" i="5" s="1"/>
  <c r="DJ16" i="10"/>
  <c r="DI16" i="5" s="1"/>
  <c r="Y36" i="1"/>
  <c r="C4" i="21" s="1"/>
  <c r="EA16" i="10"/>
  <c r="DZ16" i="5" s="1"/>
  <c r="CR18" i="10"/>
  <c r="CQ18" i="5" s="1"/>
  <c r="Y20" i="6"/>
  <c r="AA18" i="10"/>
  <c r="AA20" i="6" s="1"/>
  <c r="BX18" i="10"/>
  <c r="BW18" i="5" s="1"/>
  <c r="EL136" i="14"/>
  <c r="EL221" i="14"/>
  <c r="ER140" i="14"/>
  <c r="EQ129" i="14"/>
  <c r="EQ118" i="14"/>
  <c r="EP128" i="14"/>
  <c r="BP16" i="10"/>
  <c r="BO16" i="5" s="1"/>
  <c r="N18" i="5"/>
  <c r="EM140" i="14"/>
  <c r="EK138" i="14"/>
  <c r="EK139" i="14"/>
  <c r="EK113" i="14"/>
  <c r="BV16" i="10"/>
  <c r="BU16" i="5" s="1"/>
  <c r="AF124" i="14"/>
  <c r="AC39" i="10" s="1"/>
  <c r="CE18" i="10"/>
  <c r="CE20" i="6" s="1"/>
  <c r="DH18" i="10"/>
  <c r="DG18" i="5" s="1"/>
  <c r="BN16" i="10"/>
  <c r="BM16" i="5" s="1"/>
  <c r="CT106" i="14"/>
  <c r="CQ17" i="10" s="1"/>
  <c r="CP17" i="5" s="1"/>
  <c r="DN124" i="14"/>
  <c r="DK39" i="10" s="1"/>
  <c r="ER133" i="14"/>
  <c r="EQ135" i="14"/>
  <c r="EO141" i="14"/>
  <c r="EM127" i="14"/>
  <c r="EK129" i="14"/>
  <c r="EK230" i="14"/>
  <c r="EJ134" i="14"/>
  <c r="CU124" i="14"/>
  <c r="CR39" i="10" s="1"/>
  <c r="CG16" i="10"/>
  <c r="CF16" i="5" s="1"/>
  <c r="CW18" i="10"/>
  <c r="CW20" i="6" s="1"/>
  <c r="EA18" i="10"/>
  <c r="DZ18" i="5" s="1"/>
  <c r="BS40" i="10"/>
  <c r="EL128" i="14"/>
  <c r="EL140" i="14"/>
  <c r="EP127" i="14"/>
  <c r="AE16" i="10"/>
  <c r="AD16" i="5" s="1"/>
  <c r="EJ141" i="14"/>
  <c r="BR16" i="10"/>
  <c r="BQ16" i="5" s="1"/>
  <c r="BJ18" i="10"/>
  <c r="BJ20" i="6" s="1"/>
  <c r="EI130" i="14"/>
  <c r="EH127" i="14"/>
  <c r="AL16" i="10"/>
  <c r="AK16" i="5" s="1"/>
  <c r="EF128" i="14"/>
  <c r="N40" i="14"/>
  <c r="EH136" i="14"/>
  <c r="ES136" i="14"/>
  <c r="ES128" i="14"/>
  <c r="EN129" i="14"/>
  <c r="DY106" i="14"/>
  <c r="DV17" i="10" s="1"/>
  <c r="DU17" i="5" s="1"/>
  <c r="DV18" i="10"/>
  <c r="DV20" i="6" s="1"/>
  <c r="DR16" i="10"/>
  <c r="DQ16" i="5" s="1"/>
  <c r="DR124" i="14"/>
  <c r="DO39" i="10" s="1"/>
  <c r="EH128" i="14"/>
  <c r="EN132" i="14"/>
  <c r="CC124" i="14"/>
  <c r="BZ39" i="10" s="1"/>
  <c r="EF130" i="14"/>
  <c r="EF140" i="14"/>
  <c r="N36" i="14"/>
  <c r="N51" i="14"/>
  <c r="N49" i="14"/>
  <c r="EI137" i="14"/>
  <c r="EJ136" i="14"/>
  <c r="EJ131" i="14"/>
  <c r="EJ137" i="14"/>
  <c r="BM18" i="10"/>
  <c r="BL18" i="5" s="1"/>
  <c r="EM129" i="14"/>
  <c r="EK141" i="14"/>
  <c r="CR16" i="10"/>
  <c r="CQ16" i="5" s="1"/>
  <c r="AY18" i="10"/>
  <c r="AX18" i="5" s="1"/>
  <c r="DT124" i="14"/>
  <c r="DQ39" i="10" s="1"/>
  <c r="D911" i="32"/>
  <c r="D929" i="32" s="1"/>
  <c r="EO139" i="14"/>
  <c r="EM130" i="14"/>
  <c r="EP134" i="14"/>
  <c r="L42" i="35"/>
  <c r="EJ127" i="14"/>
  <c r="AL124" i="14"/>
  <c r="AI39" i="10" s="1"/>
  <c r="DW18" i="10"/>
  <c r="DW20" i="6" s="1"/>
  <c r="EH132" i="14"/>
  <c r="EH134" i="14"/>
  <c r="ES139" i="14"/>
  <c r="EG141" i="14"/>
  <c r="EN127" i="14"/>
  <c r="EN131" i="14"/>
  <c r="Z18" i="10"/>
  <c r="Y18" i="5" s="1"/>
  <c r="AJ124" i="14"/>
  <c r="AG39" i="10" s="1"/>
  <c r="DM16" i="10"/>
  <c r="DL16" i="5" s="1"/>
  <c r="DL124" i="14"/>
  <c r="DI39" i="10" s="1"/>
  <c r="CL214" i="14"/>
  <c r="CI32" i="10" s="1"/>
  <c r="CH33" i="5" s="1"/>
  <c r="CH22" i="5" s="1"/>
  <c r="DG124" i="14"/>
  <c r="DD39" i="10" s="1"/>
  <c r="CV16" i="10"/>
  <c r="CU16" i="5" s="1"/>
  <c r="ER131" i="14"/>
  <c r="EP138" i="14"/>
  <c r="EP130" i="14"/>
  <c r="EP118" i="14"/>
  <c r="DB124" i="14"/>
  <c r="CY39" i="10" s="1"/>
  <c r="DW16" i="10"/>
  <c r="DV16" i="5" s="1"/>
  <c r="EO140" i="14"/>
  <c r="EM131" i="14"/>
  <c r="EK118" i="14"/>
  <c r="EJ140" i="14"/>
  <c r="N75" i="14"/>
  <c r="CE106" i="14"/>
  <c r="CB17" i="10" s="1"/>
  <c r="CA17" i="5" s="1"/>
  <c r="DE18" i="10"/>
  <c r="DE20" i="6" s="1"/>
  <c r="N83" i="14"/>
  <c r="N44" i="14"/>
  <c r="N45" i="14"/>
  <c r="N39" i="14"/>
  <c r="AU214" i="14"/>
  <c r="AR32" i="10" s="1"/>
  <c r="AQ33" i="5" s="1"/>
  <c r="DO16" i="10"/>
  <c r="DN16" i="5" s="1"/>
  <c r="EH129" i="14"/>
  <c r="EG136" i="14"/>
  <c r="EG131" i="14"/>
  <c r="EN130" i="14"/>
  <c r="EN140" i="14"/>
  <c r="EN135" i="14"/>
  <c r="EN122" i="14"/>
  <c r="EL130" i="14"/>
  <c r="EL226" i="14"/>
  <c r="ER136" i="14"/>
  <c r="ER134" i="14"/>
  <c r="ER139" i="14"/>
  <c r="EP131" i="14"/>
  <c r="AY16" i="10"/>
  <c r="AX16" i="5" s="1"/>
  <c r="AZ18" i="10"/>
  <c r="AY18" i="5" s="1"/>
  <c r="BB18" i="10"/>
  <c r="BA18" i="5" s="1"/>
  <c r="CH106" i="14"/>
  <c r="CE17" i="10" s="1"/>
  <c r="CD17" i="5" s="1"/>
  <c r="DD16" i="10"/>
  <c r="DC16" i="5" s="1"/>
  <c r="N72" i="14"/>
  <c r="N38" i="14"/>
  <c r="N43" i="14"/>
  <c r="N42" i="14"/>
  <c r="ET139" i="14"/>
  <c r="DU18" i="10"/>
  <c r="DU20" i="6" s="1"/>
  <c r="BE18" i="10"/>
  <c r="BE20" i="6" s="1"/>
  <c r="EG130" i="14"/>
  <c r="EG139" i="14"/>
  <c r="BC124" i="14"/>
  <c r="AZ39" i="10" s="1"/>
  <c r="EL133" i="14"/>
  <c r="EQ132" i="14"/>
  <c r="EQ133" i="14"/>
  <c r="EQ122" i="14"/>
  <c r="EP129" i="14"/>
  <c r="EP230" i="14"/>
  <c r="EO127" i="14"/>
  <c r="EO132" i="14"/>
  <c r="EO138" i="14"/>
  <c r="N179" i="14"/>
  <c r="EU131" i="14"/>
  <c r="EU113" i="14"/>
  <c r="EI127" i="14"/>
  <c r="ET230" i="14"/>
  <c r="AU106" i="14"/>
  <c r="AR17" i="10" s="1"/>
  <c r="AQ17" i="5" s="1"/>
  <c r="DF214" i="14"/>
  <c r="DC32" i="10" s="1"/>
  <c r="DC21" i="10" s="1"/>
  <c r="CX214" i="14"/>
  <c r="CU32" i="10" s="1"/>
  <c r="CU37" i="6" s="1"/>
  <c r="AD124" i="14"/>
  <c r="AA39" i="10" s="1"/>
  <c r="AB18" i="10"/>
  <c r="AB20" i="6" s="1"/>
  <c r="ES133" i="14"/>
  <c r="EG133" i="14"/>
  <c r="ED124" i="14"/>
  <c r="EA39" i="10" s="1"/>
  <c r="AC40" i="10"/>
  <c r="EL135" i="14"/>
  <c r="EL230" i="14"/>
  <c r="ER132" i="14"/>
  <c r="EP136" i="14"/>
  <c r="EP140" i="14"/>
  <c r="EP133" i="14"/>
  <c r="EP221" i="14"/>
  <c r="BD18" i="10"/>
  <c r="BD20" i="6" s="1"/>
  <c r="I42" i="35"/>
  <c r="AV16" i="10"/>
  <c r="AU16" i="5" s="1"/>
  <c r="DF16" i="10"/>
  <c r="DE16" i="5" s="1"/>
  <c r="CF16" i="10"/>
  <c r="CE16" i="5" s="1"/>
  <c r="EO128" i="14"/>
  <c r="EO131" i="14"/>
  <c r="EK127" i="14"/>
  <c r="EJ128" i="14"/>
  <c r="CN18" i="10"/>
  <c r="BO18" i="10"/>
  <c r="BO20" i="6" s="1"/>
  <c r="EK132" i="14"/>
  <c r="EK130" i="14"/>
  <c r="EJ129" i="14"/>
  <c r="EJ113" i="14"/>
  <c r="DS106" i="14"/>
  <c r="DP17" i="10" s="1"/>
  <c r="DO17" i="5" s="1"/>
  <c r="EF138" i="14"/>
  <c r="N48" i="14"/>
  <c r="N37" i="14"/>
  <c r="EF226" i="14"/>
  <c r="N47" i="14"/>
  <c r="EI138" i="14"/>
  <c r="ET140" i="14"/>
  <c r="ET138" i="14"/>
  <c r="BI16" i="10"/>
  <c r="BH16" i="5" s="1"/>
  <c r="BX124" i="14"/>
  <c r="BU39" i="10" s="1"/>
  <c r="AD18" i="10"/>
  <c r="AC18" i="5" s="1"/>
  <c r="EH221" i="14"/>
  <c r="ES132" i="14"/>
  <c r="EG127" i="14"/>
  <c r="EG132" i="14"/>
  <c r="EN138" i="14"/>
  <c r="DW124" i="14"/>
  <c r="DT39" i="10" s="1"/>
  <c r="AG16" i="10"/>
  <c r="AF16" i="5" s="1"/>
  <c r="EL129" i="14"/>
  <c r="EL127" i="14"/>
  <c r="EL131" i="14"/>
  <c r="ER138" i="14"/>
  <c r="EQ127" i="14"/>
  <c r="EQ134" i="14"/>
  <c r="EQ139" i="14"/>
  <c r="EP139" i="14"/>
  <c r="EP142" i="14"/>
  <c r="CD18" i="10"/>
  <c r="CC18" i="5" s="1"/>
  <c r="EO129" i="14"/>
  <c r="EO134" i="14"/>
  <c r="EO135" i="14"/>
  <c r="EO113" i="14"/>
  <c r="EM136" i="14"/>
  <c r="EM221" i="14"/>
  <c r="EK134" i="14"/>
  <c r="EK131" i="14"/>
  <c r="EK137" i="14"/>
  <c r="EJ122" i="14"/>
  <c r="DX18" i="10"/>
  <c r="DW18" i="5" s="1"/>
  <c r="CB16" i="10"/>
  <c r="EI230" i="14"/>
  <c r="AW16" i="10"/>
  <c r="AV16" i="5" s="1"/>
  <c r="AM16" i="10"/>
  <c r="AL16" i="5" s="1"/>
  <c r="EK135" i="14"/>
  <c r="DX124" i="14"/>
  <c r="DU39" i="10" s="1"/>
  <c r="CD106" i="14"/>
  <c r="CA17" i="10" s="1"/>
  <c r="BZ17" i="5" s="1"/>
  <c r="CH214" i="14"/>
  <c r="CE32" i="10" s="1"/>
  <c r="CE37" i="6" s="1"/>
  <c r="CZ124" i="14"/>
  <c r="CW39" i="10" s="1"/>
  <c r="AV106" i="14"/>
  <c r="AS17" i="10" s="1"/>
  <c r="AR17" i="5" s="1"/>
  <c r="EF135" i="14"/>
  <c r="EU128" i="14"/>
  <c r="N152" i="14"/>
  <c r="EI132" i="14"/>
  <c r="CR106" i="14"/>
  <c r="CO17" i="10" s="1"/>
  <c r="CN17" i="5" s="1"/>
  <c r="CO16" i="10"/>
  <c r="AE18" i="10"/>
  <c r="AE20" i="6" s="1"/>
  <c r="CA18" i="10"/>
  <c r="CA20" i="6" s="1"/>
  <c r="EH122" i="14"/>
  <c r="BG124" i="14"/>
  <c r="BD39" i="10" s="1"/>
  <c r="EQ160" i="14"/>
  <c r="DC124" i="14"/>
  <c r="CZ39" i="10" s="1"/>
  <c r="CZ16" i="10"/>
  <c r="CY16" i="5" s="1"/>
  <c r="CP124" i="14"/>
  <c r="CM39" i="10" s="1"/>
  <c r="EF136" i="14"/>
  <c r="EF132" i="14"/>
  <c r="EU122" i="14"/>
  <c r="N210" i="14"/>
  <c r="N64" i="14"/>
  <c r="EU178" i="14"/>
  <c r="N203" i="14"/>
  <c r="N153" i="14"/>
  <c r="EI141" i="14"/>
  <c r="ET226" i="14"/>
  <c r="DX214" i="14"/>
  <c r="DU32" i="10" s="1"/>
  <c r="DT33" i="5" s="1"/>
  <c r="DT22" i="5" s="1"/>
  <c r="BD124" i="14"/>
  <c r="BA39" i="10" s="1"/>
  <c r="BY16" i="10"/>
  <c r="BX16" i="5" s="1"/>
  <c r="AF16" i="10"/>
  <c r="ES141" i="14"/>
  <c r="EN141" i="14"/>
  <c r="CO124" i="14"/>
  <c r="CL39" i="10" s="1"/>
  <c r="ER221" i="14"/>
  <c r="ER226" i="14"/>
  <c r="DB18" i="10"/>
  <c r="DA18" i="5" s="1"/>
  <c r="DS18" i="10"/>
  <c r="BJ214" i="14"/>
  <c r="BG32" i="10" s="1"/>
  <c r="BG37" i="6" s="1"/>
  <c r="AK16" i="10"/>
  <c r="AJ16" i="5" s="1"/>
  <c r="AW18" i="10"/>
  <c r="AW20" i="6" s="1"/>
  <c r="EH226" i="14"/>
  <c r="EG113" i="14"/>
  <c r="EG118" i="14"/>
  <c r="EE124" i="14"/>
  <c r="EB39" i="10" s="1"/>
  <c r="DV124" i="14"/>
  <c r="DS39" i="10" s="1"/>
  <c r="BF124" i="14"/>
  <c r="BC39" i="10" s="1"/>
  <c r="BZ16" i="10"/>
  <c r="BY16" i="5" s="1"/>
  <c r="EO178" i="14"/>
  <c r="EM226" i="14"/>
  <c r="EK140" i="14"/>
  <c r="CL124" i="14"/>
  <c r="CI39" i="10" s="1"/>
  <c r="AL214" i="14"/>
  <c r="AI32" i="10" s="1"/>
  <c r="EF217" i="14"/>
  <c r="EF109" i="14"/>
  <c r="EF116" i="14"/>
  <c r="EF224" i="14"/>
  <c r="EF160" i="14"/>
  <c r="N201" i="14"/>
  <c r="N151" i="14"/>
  <c r="N176" i="14"/>
  <c r="N159" i="14"/>
  <c r="N194" i="14"/>
  <c r="N184" i="14"/>
  <c r="N68" i="14"/>
  <c r="N18" i="14"/>
  <c r="EU108" i="14"/>
  <c r="EU216" i="14"/>
  <c r="N182" i="14"/>
  <c r="N212" i="14"/>
  <c r="N190" i="14"/>
  <c r="N169" i="14"/>
  <c r="N35" i="14"/>
  <c r="EU34" i="14"/>
  <c r="N27" i="14"/>
  <c r="EU117" i="14"/>
  <c r="EU225" i="14"/>
  <c r="N150" i="14"/>
  <c r="N206" i="14"/>
  <c r="N208" i="14"/>
  <c r="N61" i="14"/>
  <c r="EU133" i="14"/>
  <c r="N174" i="14"/>
  <c r="N71" i="14"/>
  <c r="EU70" i="14"/>
  <c r="N164" i="14"/>
  <c r="EI229" i="14"/>
  <c r="EI121" i="14"/>
  <c r="EI123" i="14"/>
  <c r="EI231" i="14"/>
  <c r="EI112" i="14"/>
  <c r="EI220" i="14"/>
  <c r="EI226" i="14"/>
  <c r="EI120" i="14"/>
  <c r="EI228" i="14"/>
  <c r="ET110" i="14"/>
  <c r="ET218" i="14"/>
  <c r="ET34" i="14"/>
  <c r="ET119" i="14"/>
  <c r="ET227" i="14"/>
  <c r="ET115" i="14"/>
  <c r="ET223" i="14"/>
  <c r="ET216" i="14"/>
  <c r="ET108" i="14"/>
  <c r="ET225" i="14"/>
  <c r="ET117" i="14"/>
  <c r="DW106" i="14"/>
  <c r="DT17" i="10" s="1"/>
  <c r="DS17" i="5" s="1"/>
  <c r="CR214" i="14"/>
  <c r="CO32" i="10" s="1"/>
  <c r="BG106" i="14"/>
  <c r="BD17" i="10" s="1"/>
  <c r="BC17" i="5" s="1"/>
  <c r="N46" i="14"/>
  <c r="CM106" i="14"/>
  <c r="CJ17" i="10" s="1"/>
  <c r="CI17" i="5" s="1"/>
  <c r="CI124" i="14"/>
  <c r="CF39" i="10" s="1"/>
  <c r="CE124" i="14"/>
  <c r="CB39" i="10" s="1"/>
  <c r="DD124" i="14"/>
  <c r="DA39" i="10" s="1"/>
  <c r="EH70" i="14"/>
  <c r="EH108" i="14"/>
  <c r="EH216" i="14"/>
  <c r="EH229" i="14"/>
  <c r="EH121" i="14"/>
  <c r="EH110" i="14"/>
  <c r="EH218" i="14"/>
  <c r="EH224" i="14"/>
  <c r="EH116" i="14"/>
  <c r="EH215" i="14"/>
  <c r="EH107" i="14"/>
  <c r="EH16" i="14"/>
  <c r="ES222" i="14"/>
  <c r="ES114" i="14"/>
  <c r="ES110" i="14"/>
  <c r="ES218" i="14"/>
  <c r="ES220" i="14"/>
  <c r="ES112" i="14"/>
  <c r="EG115" i="14"/>
  <c r="EG223" i="14"/>
  <c r="EG178" i="14"/>
  <c r="EG109" i="14"/>
  <c r="EG217" i="14"/>
  <c r="EG121" i="14"/>
  <c r="EG229" i="14"/>
  <c r="EG219" i="14"/>
  <c r="EG111" i="14"/>
  <c r="EG122" i="14"/>
  <c r="EG227" i="14"/>
  <c r="EG119" i="14"/>
  <c r="EG116" i="14"/>
  <c r="EG224" i="14"/>
  <c r="EN142" i="14"/>
  <c r="EN114" i="14"/>
  <c r="EN222" i="14"/>
  <c r="EB214" i="14"/>
  <c r="DY32" i="10" s="1"/>
  <c r="CP18" i="10"/>
  <c r="CK214" i="14"/>
  <c r="CH32" i="10" s="1"/>
  <c r="BL214" i="14"/>
  <c r="BI32" i="10" s="1"/>
  <c r="BP214" i="14"/>
  <c r="BM32" i="10" s="1"/>
  <c r="BP124" i="14"/>
  <c r="BM39" i="10" s="1"/>
  <c r="BY18" i="10"/>
  <c r="DT106" i="14"/>
  <c r="DQ17" i="10" s="1"/>
  <c r="DP17" i="5" s="1"/>
  <c r="DP214" i="14"/>
  <c r="DM32" i="10" s="1"/>
  <c r="AO106" i="14"/>
  <c r="AL17" i="10" s="1"/>
  <c r="CL106" i="14"/>
  <c r="CI17" i="10" s="1"/>
  <c r="CH17" i="5" s="1"/>
  <c r="AD214" i="14"/>
  <c r="AA32" i="10" s="1"/>
  <c r="CY214" i="14"/>
  <c r="CV32" i="10" s="1"/>
  <c r="AY124" i="14"/>
  <c r="AV39" i="10" s="1"/>
  <c r="CD16" i="10"/>
  <c r="CC214" i="14"/>
  <c r="BZ32" i="10" s="1"/>
  <c r="CF18" i="10"/>
  <c r="DK106" i="14"/>
  <c r="DH17" i="10" s="1"/>
  <c r="DG17" i="5" s="1"/>
  <c r="DA18" i="10"/>
  <c r="EL228" i="14"/>
  <c r="EL120" i="14"/>
  <c r="EL222" i="14"/>
  <c r="EL114" i="14"/>
  <c r="EL122" i="14"/>
  <c r="ER216" i="14"/>
  <c r="ER108" i="14"/>
  <c r="ER122" i="14"/>
  <c r="EQ70" i="14"/>
  <c r="EQ224" i="14"/>
  <c r="EQ116" i="14"/>
  <c r="EQ109" i="14"/>
  <c r="EQ217" i="14"/>
  <c r="EQ216" i="14"/>
  <c r="EQ108" i="14"/>
  <c r="EP52" i="14"/>
  <c r="EP125" i="14"/>
  <c r="EP217" i="14"/>
  <c r="EP109" i="14"/>
  <c r="EP223" i="14"/>
  <c r="EP115" i="14"/>
  <c r="EP113" i="14"/>
  <c r="EP111" i="14"/>
  <c r="EP219" i="14"/>
  <c r="EP226" i="14"/>
  <c r="EP110" i="14"/>
  <c r="EP218" i="14"/>
  <c r="CS106" i="14"/>
  <c r="CP17" i="10" s="1"/>
  <c r="CO17" i="5" s="1"/>
  <c r="CS124" i="14"/>
  <c r="CP39" i="10" s="1"/>
  <c r="N16" i="5"/>
  <c r="M117" i="11"/>
  <c r="N114" i="11" s="1"/>
  <c r="N116" i="11" s="1"/>
  <c r="M44" i="5"/>
  <c r="BR18" i="10"/>
  <c r="BH106" i="14"/>
  <c r="BE17" i="10" s="1"/>
  <c r="BD17" i="5" s="1"/>
  <c r="BD214" i="14"/>
  <c r="BA32" i="10" s="1"/>
  <c r="EE106" i="14"/>
  <c r="EB17" i="10" s="1"/>
  <c r="EA17" i="5" s="1"/>
  <c r="EB16" i="10"/>
  <c r="CK18" i="10"/>
  <c r="BT106" i="14"/>
  <c r="BQ17" i="10" s="1"/>
  <c r="BP17" i="5" s="1"/>
  <c r="BZ124" i="14"/>
  <c r="BW39" i="10" s="1"/>
  <c r="T16" i="5"/>
  <c r="BV18" i="10"/>
  <c r="AX214" i="14"/>
  <c r="AU32" i="10" s="1"/>
  <c r="DZ214" i="14"/>
  <c r="DW32" i="10" s="1"/>
  <c r="BW214" i="14"/>
  <c r="BT32" i="10" s="1"/>
  <c r="BL16" i="10"/>
  <c r="BC16" i="10"/>
  <c r="BB214" i="14"/>
  <c r="AY32" i="10" s="1"/>
  <c r="AJ214" i="14"/>
  <c r="AG32" i="10" s="1"/>
  <c r="DP124" i="14"/>
  <c r="DM39" i="10" s="1"/>
  <c r="AP16" i="10"/>
  <c r="AL40" i="10"/>
  <c r="EC214" i="14"/>
  <c r="DZ32" i="10" s="1"/>
  <c r="CT124" i="14"/>
  <c r="CQ39" i="10" s="1"/>
  <c r="CM18" i="10"/>
  <c r="E30" i="30"/>
  <c r="BI214" i="14"/>
  <c r="BF32" i="10" s="1"/>
  <c r="BF18" i="10"/>
  <c r="AX18" i="10"/>
  <c r="CH124" i="14"/>
  <c r="CE39" i="10" s="1"/>
  <c r="DK18" i="10"/>
  <c r="DD18" i="10"/>
  <c r="AK106" i="14"/>
  <c r="AH17" i="10" s="1"/>
  <c r="AG17" i="5" s="1"/>
  <c r="AH18" i="10"/>
  <c r="DI106" i="14"/>
  <c r="DF17" i="10" s="1"/>
  <c r="AE106" i="14"/>
  <c r="AB17" i="10" s="1"/>
  <c r="AA17" i="5" s="1"/>
  <c r="AB40" i="10"/>
  <c r="DO106" i="14"/>
  <c r="DL17" i="10" s="1"/>
  <c r="DK17" i="5" s="1"/>
  <c r="N87" i="14"/>
  <c r="EO34" i="14"/>
  <c r="EO122" i="14"/>
  <c r="EO121" i="14"/>
  <c r="EO229" i="14"/>
  <c r="EO160" i="14"/>
  <c r="EO142" i="14"/>
  <c r="EO112" i="14"/>
  <c r="EO220" i="14"/>
  <c r="EO216" i="14"/>
  <c r="EO108" i="14"/>
  <c r="EM119" i="14"/>
  <c r="EM227" i="14"/>
  <c r="EM222" i="14"/>
  <c r="EM114" i="14"/>
  <c r="EM160" i="14"/>
  <c r="EM126" i="14"/>
  <c r="EM120" i="14"/>
  <c r="EM228" i="14"/>
  <c r="EM125" i="14"/>
  <c r="EM52" i="14"/>
  <c r="EK228" i="14"/>
  <c r="EK120" i="14"/>
  <c r="EK123" i="14"/>
  <c r="EK231" i="14"/>
  <c r="EK34" i="14"/>
  <c r="EK223" i="14"/>
  <c r="EK115" i="14"/>
  <c r="EJ231" i="14"/>
  <c r="EJ123" i="14"/>
  <c r="EJ110" i="14"/>
  <c r="EJ218" i="14"/>
  <c r="EJ217" i="14"/>
  <c r="EJ109" i="14"/>
  <c r="EJ126" i="14"/>
  <c r="EJ228" i="14"/>
  <c r="EJ120" i="14"/>
  <c r="EJ226" i="14"/>
  <c r="EJ225" i="14"/>
  <c r="EJ117" i="14"/>
  <c r="EJ112" i="14"/>
  <c r="EJ220" i="14"/>
  <c r="BU106" i="14"/>
  <c r="BR17" i="10" s="1"/>
  <c r="BQ17" i="5" s="1"/>
  <c r="K28" i="15"/>
  <c r="AH214" i="14"/>
  <c r="AE32" i="10" s="1"/>
  <c r="CY40" i="10"/>
  <c r="AT214" i="14"/>
  <c r="AQ32" i="10" s="1"/>
  <c r="CQ106" i="14"/>
  <c r="CN17" i="10" s="1"/>
  <c r="CM17" i="5" s="1"/>
  <c r="AF106" i="14"/>
  <c r="AC17" i="10" s="1"/>
  <c r="AB17" i="5" s="1"/>
  <c r="DE106" i="14"/>
  <c r="DB17" i="10" s="1"/>
  <c r="DA17" i="5" s="1"/>
  <c r="DA214" i="14"/>
  <c r="CX32" i="10" s="1"/>
  <c r="CT18" i="10"/>
  <c r="N41" i="14"/>
  <c r="F911" i="32"/>
  <c r="F929" i="32" s="1"/>
  <c r="N161" i="14"/>
  <c r="BN106" i="14"/>
  <c r="BK17" i="10" s="1"/>
  <c r="BJ17" i="5" s="1"/>
  <c r="CD214" i="14"/>
  <c r="CA32" i="10" s="1"/>
  <c r="AQ214" i="14"/>
  <c r="AN32" i="10" s="1"/>
  <c r="DQ106" i="14"/>
  <c r="DN17" i="10" s="1"/>
  <c r="DM17" i="5" s="1"/>
  <c r="CA214" i="14"/>
  <c r="BX32" i="10" s="1"/>
  <c r="AM214" i="14"/>
  <c r="AJ32" i="10" s="1"/>
  <c r="DP18" i="10"/>
  <c r="DH214" i="14"/>
  <c r="DE32" i="10" s="1"/>
  <c r="AR214" i="14"/>
  <c r="AO32" i="10" s="1"/>
  <c r="EF131" i="14"/>
  <c r="EF70" i="14"/>
  <c r="EF229" i="14"/>
  <c r="EF121" i="14"/>
  <c r="EF228" i="14"/>
  <c r="EF120" i="14"/>
  <c r="EF111" i="14"/>
  <c r="EF219" i="14"/>
  <c r="EF218" i="14"/>
  <c r="EF110" i="14"/>
  <c r="EF196" i="14"/>
  <c r="EF231" i="14"/>
  <c r="EF123" i="14"/>
  <c r="EU140" i="14"/>
  <c r="N65" i="14"/>
  <c r="EU137" i="14"/>
  <c r="N28" i="14"/>
  <c r="EU226" i="14"/>
  <c r="N25" i="14"/>
  <c r="EU115" i="14"/>
  <c r="EU223" i="14"/>
  <c r="N148" i="14"/>
  <c r="N60" i="14"/>
  <c r="EU132" i="14"/>
  <c r="N186" i="14"/>
  <c r="N19" i="14"/>
  <c r="EU217" i="14"/>
  <c r="EU109" i="14"/>
  <c r="N147" i="14"/>
  <c r="N193" i="14"/>
  <c r="N209" i="14"/>
  <c r="N62" i="14"/>
  <c r="EU134" i="14"/>
  <c r="N29" i="14"/>
  <c r="EU227" i="14"/>
  <c r="EU119" i="14"/>
  <c r="N207" i="14"/>
  <c r="N185" i="14"/>
  <c r="N158" i="14"/>
  <c r="N170" i="14"/>
  <c r="N188" i="14"/>
  <c r="N165" i="14"/>
  <c r="EU160" i="14"/>
  <c r="N144" i="14"/>
  <c r="N167" i="14"/>
  <c r="N189" i="14"/>
  <c r="N149" i="14"/>
  <c r="N200" i="14"/>
  <c r="N199" i="14"/>
  <c r="N163" i="14"/>
  <c r="EI136" i="14"/>
  <c r="EI133" i="14"/>
  <c r="EI122" i="14"/>
  <c r="EI221" i="14"/>
  <c r="EI114" i="14"/>
  <c r="EI222" i="14"/>
  <c r="EI142" i="14"/>
  <c r="EI117" i="14"/>
  <c r="EI225" i="14"/>
  <c r="ET130" i="14"/>
  <c r="ET135" i="14"/>
  <c r="ET118" i="14"/>
  <c r="ET120" i="14"/>
  <c r="ET228" i="14"/>
  <c r="ET111" i="14"/>
  <c r="ET219" i="14"/>
  <c r="ET112" i="14"/>
  <c r="ET220" i="14"/>
  <c r="ET114" i="14"/>
  <c r="ET222" i="14"/>
  <c r="ET122" i="14"/>
  <c r="ET215" i="14"/>
  <c r="ET107" i="14"/>
  <c r="ET16" i="14"/>
  <c r="S16" i="5"/>
  <c r="DW214" i="14"/>
  <c r="DT32" i="10" s="1"/>
  <c r="CS16" i="10"/>
  <c r="BG214" i="14"/>
  <c r="BD32" i="10" s="1"/>
  <c r="BZ106" i="14"/>
  <c r="BW17" i="10" s="1"/>
  <c r="BV17" i="5" s="1"/>
  <c r="N76" i="14"/>
  <c r="U20" i="6"/>
  <c r="T18" i="5"/>
  <c r="DC16" i="10"/>
  <c r="BJ106" i="14"/>
  <c r="BG17" i="10" s="1"/>
  <c r="BF17" i="5" s="1"/>
  <c r="BF106" i="14"/>
  <c r="BC17" i="10" s="1"/>
  <c r="BB17" i="5" s="1"/>
  <c r="CF214" i="14"/>
  <c r="CC32" i="10" s="1"/>
  <c r="DY214" i="14"/>
  <c r="DV32" i="10" s="1"/>
  <c r="DU106" i="14"/>
  <c r="DR17" i="10" s="1"/>
  <c r="CT214" i="14"/>
  <c r="CQ32" i="10" s="1"/>
  <c r="CG214" i="14"/>
  <c r="CD32" i="10" s="1"/>
  <c r="DD214" i="14"/>
  <c r="DA32" i="10" s="1"/>
  <c r="N85" i="14"/>
  <c r="EH230" i="14"/>
  <c r="EH160" i="14"/>
  <c r="EH118" i="14"/>
  <c r="EH112" i="14"/>
  <c r="EH220" i="14"/>
  <c r="EH217" i="14"/>
  <c r="EH109" i="14"/>
  <c r="EH126" i="14"/>
  <c r="EH115" i="14"/>
  <c r="EH223" i="14"/>
  <c r="ES129" i="14"/>
  <c r="ES138" i="14"/>
  <c r="ES137" i="14"/>
  <c r="ES223" i="14"/>
  <c r="ES115" i="14"/>
  <c r="ES160" i="14"/>
  <c r="ES142" i="14"/>
  <c r="ES117" i="14"/>
  <c r="ES225" i="14"/>
  <c r="ES217" i="14"/>
  <c r="ES109" i="14"/>
  <c r="ES196" i="14"/>
  <c r="ES108" i="14"/>
  <c r="ES216" i="14"/>
  <c r="EG138" i="14"/>
  <c r="EG226" i="14"/>
  <c r="EG34" i="14"/>
  <c r="EG110" i="14"/>
  <c r="EG218" i="14"/>
  <c r="EG126" i="14"/>
  <c r="EG216" i="14"/>
  <c r="EG108" i="14"/>
  <c r="EG160" i="14"/>
  <c r="EG221" i="14"/>
  <c r="EG107" i="14"/>
  <c r="EG16" i="14"/>
  <c r="EG215" i="14"/>
  <c r="EN136" i="14"/>
  <c r="EN117" i="14"/>
  <c r="EN225" i="14"/>
  <c r="EN123" i="14"/>
  <c r="EN231" i="14"/>
  <c r="EN196" i="14"/>
  <c r="EN221" i="14"/>
  <c r="EN220" i="14"/>
  <c r="EN112" i="14"/>
  <c r="EN126" i="14"/>
  <c r="EN223" i="14"/>
  <c r="EN115" i="14"/>
  <c r="CK106" i="14"/>
  <c r="CH17" i="10" s="1"/>
  <c r="D695" i="32"/>
  <c r="C695" i="32" s="1"/>
  <c r="D134" i="32"/>
  <c r="C134" i="32" s="1"/>
  <c r="BR40" i="10"/>
  <c r="D602" i="32"/>
  <c r="L40" i="5"/>
  <c r="L36" i="26"/>
  <c r="L36" i="17"/>
  <c r="CN214" i="14"/>
  <c r="CK32" i="10" s="1"/>
  <c r="BP106" i="14"/>
  <c r="BM17" i="10" s="1"/>
  <c r="BL17" i="5" s="1"/>
  <c r="L479" i="32"/>
  <c r="C478" i="32"/>
  <c r="D478" i="32" s="1"/>
  <c r="E478" i="32" s="1"/>
  <c r="F478" i="32" s="1"/>
  <c r="G478" i="32" s="1"/>
  <c r="H478" i="32" s="1"/>
  <c r="I478" i="32" s="1"/>
  <c r="J478" i="32" s="1"/>
  <c r="DV106" i="14"/>
  <c r="DS17" i="10" s="1"/>
  <c r="DR17" i="5" s="1"/>
  <c r="BO214" i="14"/>
  <c r="BL32" i="10" s="1"/>
  <c r="AK18" i="10"/>
  <c r="DT214" i="14"/>
  <c r="DQ32" i="10" s="1"/>
  <c r="CW214" i="14"/>
  <c r="CT32" i="10" s="1"/>
  <c r="N78" i="14"/>
  <c r="CM40" i="10"/>
  <c r="CA16" i="10"/>
  <c r="AI18" i="10"/>
  <c r="CY106" i="14"/>
  <c r="CV17" i="10" s="1"/>
  <c r="CU17" i="5" s="1"/>
  <c r="AF18" i="10"/>
  <c r="AZ106" i="14"/>
  <c r="AW17" i="10" s="1"/>
  <c r="AV17" i="5" s="1"/>
  <c r="AS16" i="10"/>
  <c r="R20" i="6"/>
  <c r="Q18" i="5"/>
  <c r="F588" i="32" s="1"/>
  <c r="EL142" i="14"/>
  <c r="EL160" i="14"/>
  <c r="EL231" i="14"/>
  <c r="EL123" i="14"/>
  <c r="EL34" i="14"/>
  <c r="EL125" i="14"/>
  <c r="EL52" i="14"/>
  <c r="EL118" i="14"/>
  <c r="EL109" i="14"/>
  <c r="EL217" i="14"/>
  <c r="EL107" i="14"/>
  <c r="EL215" i="14"/>
  <c r="EL16" i="14"/>
  <c r="EL70" i="14"/>
  <c r="EL227" i="14"/>
  <c r="EL119" i="14"/>
  <c r="ER129" i="14"/>
  <c r="ER141" i="14"/>
  <c r="ER118" i="14"/>
  <c r="ER231" i="14"/>
  <c r="ER123" i="14"/>
  <c r="ER16" i="14"/>
  <c r="ER215" i="14"/>
  <c r="ER107" i="14"/>
  <c r="ER126" i="14"/>
  <c r="ER119" i="14"/>
  <c r="ER227" i="14"/>
  <c r="ER224" i="14"/>
  <c r="ER116" i="14"/>
  <c r="EQ140" i="14"/>
  <c r="EQ196" i="14"/>
  <c r="EQ117" i="14"/>
  <c r="EQ225" i="14"/>
  <c r="EQ112" i="14"/>
  <c r="EQ220" i="14"/>
  <c r="EQ178" i="14"/>
  <c r="EQ113" i="14"/>
  <c r="EQ142" i="14"/>
  <c r="EQ218" i="14"/>
  <c r="EQ110" i="14"/>
  <c r="EQ119" i="14"/>
  <c r="EQ227" i="14"/>
  <c r="EP228" i="14"/>
  <c r="EP120" i="14"/>
  <c r="EP34" i="14"/>
  <c r="EP126" i="14"/>
  <c r="EP123" i="14"/>
  <c r="EP231" i="14"/>
  <c r="EP108" i="14"/>
  <c r="EP216" i="14"/>
  <c r="EP70" i="14"/>
  <c r="EP224" i="14"/>
  <c r="EP116" i="14"/>
  <c r="EP222" i="14"/>
  <c r="EP114" i="14"/>
  <c r="DU16" i="10"/>
  <c r="BM106" i="14"/>
  <c r="BJ17" i="10" s="1"/>
  <c r="K46" i="6"/>
  <c r="BA16" i="10"/>
  <c r="EE214" i="14"/>
  <c r="EB32" i="10" s="1"/>
  <c r="CR124" i="14"/>
  <c r="CO39" i="10" s="1"/>
  <c r="CN124" i="14"/>
  <c r="CK39" i="10" s="1"/>
  <c r="BT214" i="14"/>
  <c r="BQ32" i="10" s="1"/>
  <c r="BH18" i="10"/>
  <c r="BK106" i="14"/>
  <c r="BH17" i="10" s="1"/>
  <c r="BG17" i="5" s="1"/>
  <c r="BW18" i="10"/>
  <c r="AU18" i="10"/>
  <c r="AX106" i="14"/>
  <c r="AU17" i="10" s="1"/>
  <c r="AT17" i="5" s="1"/>
  <c r="AQ18" i="10"/>
  <c r="ED214" i="14"/>
  <c r="EA32" i="10" s="1"/>
  <c r="DS16" i="10"/>
  <c r="CJ18" i="10"/>
  <c r="CM124" i="14"/>
  <c r="CJ39" i="10" s="1"/>
  <c r="CJ124" i="14"/>
  <c r="CG39" i="10" s="1"/>
  <c r="AJ106" i="14"/>
  <c r="AG17" i="10" s="1"/>
  <c r="AF17" i="5" s="1"/>
  <c r="AS214" i="14"/>
  <c r="AP32" i="10" s="1"/>
  <c r="EC124" i="14"/>
  <c r="DZ39" i="10" s="1"/>
  <c r="EC106" i="14"/>
  <c r="DZ17" i="10" s="1"/>
  <c r="DY17" i="5" s="1"/>
  <c r="BV124" i="14"/>
  <c r="BS39" i="10" s="1"/>
  <c r="E133" i="32"/>
  <c r="E694" i="32"/>
  <c r="N40" i="16"/>
  <c r="E32" i="30"/>
  <c r="DN106" i="14"/>
  <c r="DK17" i="10" s="1"/>
  <c r="DJ17" i="5" s="1"/>
  <c r="DJ106" i="14"/>
  <c r="DG17" i="10" s="1"/>
  <c r="DF17" i="5" s="1"/>
  <c r="AK214" i="14"/>
  <c r="AH32" i="10" s="1"/>
  <c r="DI214" i="14"/>
  <c r="DF32" i="10" s="1"/>
  <c r="AJ18" i="10"/>
  <c r="AE214" i="14"/>
  <c r="AB32" i="10" s="1"/>
  <c r="DE16" i="10"/>
  <c r="CZ214" i="14"/>
  <c r="CW32" i="10" s="1"/>
  <c r="AR124" i="14"/>
  <c r="AO39" i="10" s="1"/>
  <c r="EO126" i="14"/>
  <c r="EO109" i="14"/>
  <c r="EO217" i="14"/>
  <c r="EO110" i="14"/>
  <c r="EO218" i="14"/>
  <c r="EO116" i="14"/>
  <c r="EO224" i="14"/>
  <c r="EO119" i="14"/>
  <c r="EO227" i="14"/>
  <c r="EO196" i="14"/>
  <c r="EO219" i="14"/>
  <c r="EO111" i="14"/>
  <c r="EO228" i="14"/>
  <c r="EO120" i="14"/>
  <c r="EM118" i="14"/>
  <c r="EM231" i="14"/>
  <c r="EM123" i="14"/>
  <c r="EM218" i="14"/>
  <c r="EM110" i="14"/>
  <c r="EM216" i="14"/>
  <c r="EM108" i="14"/>
  <c r="EM116" i="14"/>
  <c r="EM224" i="14"/>
  <c r="EM217" i="14"/>
  <c r="EM109" i="14"/>
  <c r="EM70" i="14"/>
  <c r="EK178" i="14"/>
  <c r="EK227" i="14"/>
  <c r="EK119" i="14"/>
  <c r="EK70" i="14"/>
  <c r="EK221" i="14"/>
  <c r="EK122" i="14"/>
  <c r="EJ34" i="14"/>
  <c r="EJ111" i="14"/>
  <c r="EJ219" i="14"/>
  <c r="EJ224" i="14"/>
  <c r="EJ116" i="14"/>
  <c r="BU214" i="14"/>
  <c r="BR32" i="10" s="1"/>
  <c r="BQ106" i="14"/>
  <c r="BN17" i="10" s="1"/>
  <c r="BM17" i="5" s="1"/>
  <c r="M101" i="11"/>
  <c r="BC106" i="14"/>
  <c r="AZ17" i="10" s="1"/>
  <c r="AY17" i="5" s="1"/>
  <c r="DC214" i="14"/>
  <c r="CZ32" i="10" s="1"/>
  <c r="BY214" i="14"/>
  <c r="BV32" i="10" s="1"/>
  <c r="DB214" i="14"/>
  <c r="CY32" i="10" s="1"/>
  <c r="CU214" i="14"/>
  <c r="CR32" i="10" s="1"/>
  <c r="BL40" i="10"/>
  <c r="CJ106" i="14"/>
  <c r="CG17" i="10" s="1"/>
  <c r="CF17" i="5" s="1"/>
  <c r="AC16" i="10"/>
  <c r="DL106" i="14"/>
  <c r="DI17" i="10" s="1"/>
  <c r="DH17" i="5" s="1"/>
  <c r="DE214" i="14"/>
  <c r="DB32" i="10" s="1"/>
  <c r="CT16" i="10"/>
  <c r="AW106" i="14"/>
  <c r="AT17" i="10" s="1"/>
  <c r="AS17" i="5" s="1"/>
  <c r="BR214" i="14"/>
  <c r="BO32" i="10" s="1"/>
  <c r="BA106" i="14"/>
  <c r="AX17" i="10" s="1"/>
  <c r="J911" i="32"/>
  <c r="J929" i="32" s="1"/>
  <c r="E911" i="32"/>
  <c r="G911" i="32"/>
  <c r="G929" i="32" s="1"/>
  <c r="BN214" i="14"/>
  <c r="BK32" i="10" s="1"/>
  <c r="AI16" i="10"/>
  <c r="AL106" i="14"/>
  <c r="AI17" i="10" s="1"/>
  <c r="AH17" i="5" s="1"/>
  <c r="DQ214" i="14"/>
  <c r="DN32" i="10" s="1"/>
  <c r="BX16" i="10"/>
  <c r="AV214" i="14"/>
  <c r="AS32" i="10" s="1"/>
  <c r="AR106" i="14"/>
  <c r="AO17" i="10" s="1"/>
  <c r="AN17" i="5" s="1"/>
  <c r="EF129" i="14"/>
  <c r="EF134" i="14"/>
  <c r="EF133" i="14"/>
  <c r="EF137" i="14"/>
  <c r="EF107" i="14"/>
  <c r="EF215" i="14"/>
  <c r="EF16" i="14"/>
  <c r="EF225" i="14"/>
  <c r="EF117" i="14"/>
  <c r="EF113" i="14"/>
  <c r="EF114" i="14"/>
  <c r="EF222" i="14"/>
  <c r="EF178" i="14"/>
  <c r="EF230" i="14"/>
  <c r="EU136" i="14"/>
  <c r="N58" i="14"/>
  <c r="EU130" i="14"/>
  <c r="N20" i="14"/>
  <c r="EU218" i="14"/>
  <c r="EU110" i="14"/>
  <c r="N56" i="14"/>
  <c r="N66" i="14"/>
  <c r="EU138" i="14"/>
  <c r="N146" i="14"/>
  <c r="N175" i="14"/>
  <c r="N145" i="14"/>
  <c r="EU142" i="14"/>
  <c r="N180" i="14"/>
  <c r="N22" i="14"/>
  <c r="EU112" i="14"/>
  <c r="EU220" i="14"/>
  <c r="N33" i="14"/>
  <c r="EU231" i="14"/>
  <c r="EU123" i="14"/>
  <c r="N26" i="14"/>
  <c r="EU224" i="14"/>
  <c r="EU116" i="14"/>
  <c r="N57" i="14"/>
  <c r="EU129" i="14"/>
  <c r="N162" i="14"/>
  <c r="EU52" i="14"/>
  <c r="EU125" i="14"/>
  <c r="N32" i="14"/>
  <c r="EU230" i="14"/>
  <c r="N205" i="14"/>
  <c r="N54" i="14"/>
  <c r="EU126" i="14"/>
  <c r="N168" i="14"/>
  <c r="N183" i="14"/>
  <c r="N24" i="14"/>
  <c r="EU114" i="14"/>
  <c r="EU222" i="14"/>
  <c r="N213" i="14"/>
  <c r="N191" i="14"/>
  <c r="N204" i="14"/>
  <c r="EU196" i="14"/>
  <c r="EU107" i="14"/>
  <c r="EU16" i="14"/>
  <c r="EU215" i="14"/>
  <c r="EI129" i="14"/>
  <c r="EI128" i="14"/>
  <c r="EI135" i="14"/>
  <c r="EI227" i="14"/>
  <c r="EI119" i="14"/>
  <c r="EI216" i="14"/>
  <c r="EI108" i="14"/>
  <c r="EI115" i="14"/>
  <c r="EI223" i="14"/>
  <c r="EI110" i="14"/>
  <c r="EI218" i="14"/>
  <c r="EI126" i="14"/>
  <c r="EI224" i="14"/>
  <c r="EI116" i="14"/>
  <c r="EI160" i="14"/>
  <c r="EI16" i="14"/>
  <c r="EI107" i="14"/>
  <c r="EI215" i="14"/>
  <c r="ET133" i="14"/>
  <c r="ET116" i="14"/>
  <c r="ET224" i="14"/>
  <c r="ET121" i="14"/>
  <c r="ET229" i="14"/>
  <c r="ET196" i="14"/>
  <c r="ET221" i="14"/>
  <c r="ET142" i="14"/>
  <c r="ET126" i="14"/>
  <c r="ET231" i="14"/>
  <c r="ET123" i="14"/>
  <c r="EA214" i="14"/>
  <c r="DX32" i="10" s="1"/>
  <c r="CV214" i="14"/>
  <c r="CS32" i="10" s="1"/>
  <c r="BD16" i="10"/>
  <c r="BZ214" i="14"/>
  <c r="BW32" i="10" s="1"/>
  <c r="N82" i="14"/>
  <c r="CM214" i="14"/>
  <c r="CJ32" i="10" s="1"/>
  <c r="CF106" i="14"/>
  <c r="CC17" i="10" s="1"/>
  <c r="CB17" i="5" s="1"/>
  <c r="CB106" i="14"/>
  <c r="BY17" i="10" s="1"/>
  <c r="BX17" i="5" s="1"/>
  <c r="AN214" i="14"/>
  <c r="AK32" i="10" s="1"/>
  <c r="AC18" i="10"/>
  <c r="DU214" i="14"/>
  <c r="DR32" i="10" s="1"/>
  <c r="DG214" i="14"/>
  <c r="DD32" i="10" s="1"/>
  <c r="CG106" i="14"/>
  <c r="CD17" i="10" s="1"/>
  <c r="CC17" i="5" s="1"/>
  <c r="DM106" i="14"/>
  <c r="DJ17" i="10" s="1"/>
  <c r="DI17" i="5" s="1"/>
  <c r="CA124" i="14"/>
  <c r="BX39" i="10" s="1"/>
  <c r="AJ16" i="10"/>
  <c r="AI106" i="14"/>
  <c r="AF17" i="10" s="1"/>
  <c r="AE17" i="5" s="1"/>
  <c r="AO18" i="10"/>
  <c r="N77" i="14"/>
  <c r="EH138" i="14"/>
  <c r="EH130" i="14"/>
  <c r="EH135" i="14"/>
  <c r="EH142" i="14"/>
  <c r="EH178" i="14"/>
  <c r="EH196" i="14"/>
  <c r="EH227" i="14"/>
  <c r="EH119" i="14"/>
  <c r="EH34" i="14"/>
  <c r="EH231" i="14"/>
  <c r="EH123" i="14"/>
  <c r="EH125" i="14"/>
  <c r="EH52" i="14"/>
  <c r="ES131" i="14"/>
  <c r="ES122" i="14"/>
  <c r="ES107" i="14"/>
  <c r="ES16" i="14"/>
  <c r="ES215" i="14"/>
  <c r="ES178" i="14"/>
  <c r="ES52" i="14"/>
  <c r="ES125" i="14"/>
  <c r="ES226" i="14"/>
  <c r="ES34" i="14"/>
  <c r="ES70" i="14"/>
  <c r="ES113" i="14"/>
  <c r="ES229" i="14"/>
  <c r="ES121" i="14"/>
  <c r="EG128" i="14"/>
  <c r="EG52" i="14"/>
  <c r="EG125" i="14"/>
  <c r="EG70" i="14"/>
  <c r="EG123" i="14"/>
  <c r="EG231" i="14"/>
  <c r="EG112" i="14"/>
  <c r="EG220" i="14"/>
  <c r="EN139" i="14"/>
  <c r="EN128" i="14"/>
  <c r="EN216" i="14"/>
  <c r="EN108" i="14"/>
  <c r="EN230" i="14"/>
  <c r="EN219" i="14"/>
  <c r="EN111" i="14"/>
  <c r="EN120" i="14"/>
  <c r="EN228" i="14"/>
  <c r="EN215" i="14"/>
  <c r="EN107" i="14"/>
  <c r="EN16" i="14"/>
  <c r="EN178" i="14"/>
  <c r="EN109" i="14"/>
  <c r="EN217" i="14"/>
  <c r="EN70" i="14"/>
  <c r="EN34" i="14"/>
  <c r="EB106" i="14"/>
  <c r="DY17" i="10" s="1"/>
  <c r="DX17" i="5" s="1"/>
  <c r="X20" i="6"/>
  <c r="W18" i="5"/>
  <c r="H588" i="32" s="1"/>
  <c r="CK16" i="10"/>
  <c r="BT124" i="14"/>
  <c r="BQ39" i="10" s="1"/>
  <c r="BW16" i="10"/>
  <c r="CU16" i="10"/>
  <c r="AP124" i="14"/>
  <c r="AM39" i="10" s="1"/>
  <c r="BO124" i="14"/>
  <c r="BL39" i="10" s="1"/>
  <c r="CC18" i="10"/>
  <c r="CQ16" i="10"/>
  <c r="CE16" i="10"/>
  <c r="AD106" i="14"/>
  <c r="AA17" i="10" s="1"/>
  <c r="Z17" i="5" s="1"/>
  <c r="DR214" i="14"/>
  <c r="DO32" i="10" s="1"/>
  <c r="N86" i="14"/>
  <c r="CC106" i="14"/>
  <c r="BZ17" i="10" s="1"/>
  <c r="BY17" i="5" s="1"/>
  <c r="AG124" i="14"/>
  <c r="AD39" i="10" s="1"/>
  <c r="AG106" i="14"/>
  <c r="AD17" i="10" s="1"/>
  <c r="AC17" i="5" s="1"/>
  <c r="DK214" i="14"/>
  <c r="DH32" i="10" s="1"/>
  <c r="EL139" i="14"/>
  <c r="EL137" i="14"/>
  <c r="EL196" i="14"/>
  <c r="EL117" i="14"/>
  <c r="EL225" i="14"/>
  <c r="EL112" i="14"/>
  <c r="EL220" i="14"/>
  <c r="EL110" i="14"/>
  <c r="EL218" i="14"/>
  <c r="EL116" i="14"/>
  <c r="EL224" i="14"/>
  <c r="EL216" i="14"/>
  <c r="EL108" i="14"/>
  <c r="EL115" i="14"/>
  <c r="EL223" i="14"/>
  <c r="ER130" i="14"/>
  <c r="ER128" i="14"/>
  <c r="ER113" i="14"/>
  <c r="ER196" i="14"/>
  <c r="ER34" i="14"/>
  <c r="ER222" i="14"/>
  <c r="ER114" i="14"/>
  <c r="ER229" i="14"/>
  <c r="ER121" i="14"/>
  <c r="ER112" i="14"/>
  <c r="ER220" i="14"/>
  <c r="ER228" i="14"/>
  <c r="ER120" i="14"/>
  <c r="ER178" i="14"/>
  <c r="EQ131" i="14"/>
  <c r="EQ137" i="14"/>
  <c r="EQ120" i="14"/>
  <c r="EQ228" i="14"/>
  <c r="EQ222" i="14"/>
  <c r="EQ114" i="14"/>
  <c r="EQ34" i="14"/>
  <c r="EQ126" i="14"/>
  <c r="EQ52" i="14"/>
  <c r="EQ125" i="14"/>
  <c r="EQ229" i="14"/>
  <c r="EQ121" i="14"/>
  <c r="EQ230" i="14"/>
  <c r="EP135" i="14"/>
  <c r="EP178" i="14"/>
  <c r="EP122" i="14"/>
  <c r="EP16" i="14"/>
  <c r="EP215" i="14"/>
  <c r="EP107" i="14"/>
  <c r="EP112" i="14"/>
  <c r="EP220" i="14"/>
  <c r="DU40" i="10"/>
  <c r="CS214" i="14"/>
  <c r="CP32" i="10" s="1"/>
  <c r="CO214" i="14"/>
  <c r="CL32" i="10" s="1"/>
  <c r="CH16" i="10"/>
  <c r="D133" i="32"/>
  <c r="D694" i="32"/>
  <c r="K41" i="16"/>
  <c r="M40" i="16"/>
  <c r="BH214" i="14"/>
  <c r="BE32" i="10" s="1"/>
  <c r="BD106" i="14"/>
  <c r="BA17" i="10" s="1"/>
  <c r="AZ17" i="5" s="1"/>
  <c r="EA124" i="14"/>
  <c r="DX39" i="10" s="1"/>
  <c r="DT18" i="10"/>
  <c r="BK214" i="14"/>
  <c r="BH32" i="10" s="1"/>
  <c r="AR16" i="10"/>
  <c r="AC106" i="14"/>
  <c r="Z17" i="10" s="1"/>
  <c r="AU16" i="10"/>
  <c r="AX124" i="14"/>
  <c r="AU39" i="10" s="1"/>
  <c r="AP214" i="14"/>
  <c r="AM32" i="10" s="1"/>
  <c r="N80" i="14"/>
  <c r="DZ106" i="14"/>
  <c r="DW17" i="10" s="1"/>
  <c r="DV17" i="5" s="1"/>
  <c r="BG16" i="10"/>
  <c r="CC16" i="10"/>
  <c r="AT18" i="10"/>
  <c r="AS106" i="14"/>
  <c r="AP17" i="10" s="1"/>
  <c r="AO17" i="5" s="1"/>
  <c r="DZ18" i="10"/>
  <c r="BV106" i="14"/>
  <c r="BS17" i="10" s="1"/>
  <c r="BR17" i="5" s="1"/>
  <c r="D31" i="35"/>
  <c r="D33" i="35" s="1"/>
  <c r="H31" i="35"/>
  <c r="DN214" i="14"/>
  <c r="DK32" i="10" s="1"/>
  <c r="AY106" i="14"/>
  <c r="AV17" i="10" s="1"/>
  <c r="AU17" i="5" s="1"/>
  <c r="DF18" i="10"/>
  <c r="CI106" i="14"/>
  <c r="CF17" i="10" s="1"/>
  <c r="CE17" i="5" s="1"/>
  <c r="CB18" i="10"/>
  <c r="DA16" i="10"/>
  <c r="U18" i="5"/>
  <c r="V20" i="6"/>
  <c r="EO70" i="14"/>
  <c r="EO215" i="14"/>
  <c r="EO107" i="14"/>
  <c r="EO16" i="14"/>
  <c r="EO114" i="14"/>
  <c r="EO222" i="14"/>
  <c r="EO115" i="14"/>
  <c r="EO223" i="14"/>
  <c r="EO225" i="14"/>
  <c r="EO117" i="14"/>
  <c r="EO125" i="14"/>
  <c r="EO52" i="14"/>
  <c r="EM229" i="14"/>
  <c r="EM121" i="14"/>
  <c r="EM142" i="14"/>
  <c r="EM111" i="14"/>
  <c r="EM219" i="14"/>
  <c r="EM178" i="14"/>
  <c r="EM113" i="14"/>
  <c r="EK108" i="14"/>
  <c r="EK216" i="14"/>
  <c r="EK126" i="14"/>
  <c r="EK220" i="14"/>
  <c r="EK112" i="14"/>
  <c r="EK218" i="14"/>
  <c r="EK110" i="14"/>
  <c r="EK222" i="14"/>
  <c r="EK114" i="14"/>
  <c r="EK116" i="14"/>
  <c r="EK224" i="14"/>
  <c r="EK217" i="14"/>
  <c r="EK109" i="14"/>
  <c r="EK107" i="14"/>
  <c r="EK215" i="14"/>
  <c r="EK16" i="14"/>
  <c r="EJ229" i="14"/>
  <c r="EJ121" i="14"/>
  <c r="EJ221" i="14"/>
  <c r="EJ216" i="14"/>
  <c r="EJ108" i="14"/>
  <c r="EJ142" i="14"/>
  <c r="EJ230" i="14"/>
  <c r="EJ114" i="14"/>
  <c r="EJ222" i="14"/>
  <c r="CP16" i="10"/>
  <c r="BQ214" i="14"/>
  <c r="BN32" i="10" s="1"/>
  <c r="BL124" i="14"/>
  <c r="BI39" i="10" s="1"/>
  <c r="CS18" i="10"/>
  <c r="V16" i="5"/>
  <c r="BX106" i="14"/>
  <c r="BU17" i="10" s="1"/>
  <c r="BT17" i="5" s="1"/>
  <c r="BH16" i="10"/>
  <c r="BC214" i="14"/>
  <c r="AZ32" i="10" s="1"/>
  <c r="AH124" i="14"/>
  <c r="AE39" i="10" s="1"/>
  <c r="DC106" i="14"/>
  <c r="CZ17" i="10" s="1"/>
  <c r="CY17" i="5" s="1"/>
  <c r="BY106" i="14"/>
  <c r="BV17" i="10" s="1"/>
  <c r="Z16" i="10"/>
  <c r="CY18" i="10"/>
  <c r="CU18" i="10"/>
  <c r="AT106" i="14"/>
  <c r="AQ17" i="10" s="1"/>
  <c r="AP17" i="5" s="1"/>
  <c r="CU106" i="14"/>
  <c r="CR17" i="10" s="1"/>
  <c r="CQ17" i="5" s="1"/>
  <c r="BS106" i="14"/>
  <c r="BP17" i="10" s="1"/>
  <c r="BO17" i="5" s="1"/>
  <c r="CJ214" i="14"/>
  <c r="CG32" i="10" s="1"/>
  <c r="BY40" i="10"/>
  <c r="DQ16" i="10"/>
  <c r="DA106" i="14"/>
  <c r="CX17" i="10" s="1"/>
  <c r="CW17" i="5" s="1"/>
  <c r="AW214" i="14"/>
  <c r="AT32" i="10" s="1"/>
  <c r="AL18" i="10"/>
  <c r="N73" i="14"/>
  <c r="DZ16" i="10"/>
  <c r="CP214" i="14"/>
  <c r="CM32" i="10" s="1"/>
  <c r="CI18" i="10"/>
  <c r="BA214" i="14"/>
  <c r="AX32" i="10" s="1"/>
  <c r="L911" i="32"/>
  <c r="L929" i="32" s="1"/>
  <c r="CI40" i="10"/>
  <c r="K44" i="16"/>
  <c r="BS16" i="10"/>
  <c r="I911" i="32"/>
  <c r="N84" i="14"/>
  <c r="K911" i="32"/>
  <c r="K929" i="32" s="1"/>
  <c r="BF16" i="10"/>
  <c r="BE106" i="14"/>
  <c r="BB17" i="10" s="1"/>
  <c r="BA17" i="5" s="1"/>
  <c r="AQ106" i="14"/>
  <c r="AN17" i="10" s="1"/>
  <c r="AM17" i="5" s="1"/>
  <c r="DN16" i="10"/>
  <c r="CA106" i="14"/>
  <c r="BX17" i="10" s="1"/>
  <c r="BW17" i="5" s="1"/>
  <c r="AM106" i="14"/>
  <c r="AJ17" i="10" s="1"/>
  <c r="AI17" i="5" s="1"/>
  <c r="DS214" i="14"/>
  <c r="DP32" i="10" s="1"/>
  <c r="DH106" i="14"/>
  <c r="DE17" i="10" s="1"/>
  <c r="DD17" i="5" s="1"/>
  <c r="AO16" i="10"/>
  <c r="EF223" i="14"/>
  <c r="EF115" i="14"/>
  <c r="EF118" i="14"/>
  <c r="EF108" i="14"/>
  <c r="EF216" i="14"/>
  <c r="EF34" i="14"/>
  <c r="EF227" i="14"/>
  <c r="EF119" i="14"/>
  <c r="EF52" i="14"/>
  <c r="EF125" i="14"/>
  <c r="EF142" i="14"/>
  <c r="EF112" i="14"/>
  <c r="EF220" i="14"/>
  <c r="EF126" i="14"/>
  <c r="N198" i="14"/>
  <c r="N211" i="14"/>
  <c r="N69" i="14"/>
  <c r="EU141" i="14"/>
  <c r="N63" i="14"/>
  <c r="EU135" i="14"/>
  <c r="N31" i="14"/>
  <c r="EU121" i="14"/>
  <c r="EU229" i="14"/>
  <c r="N195" i="14"/>
  <c r="N171" i="14"/>
  <c r="N21" i="14"/>
  <c r="EU219" i="14"/>
  <c r="EU111" i="14"/>
  <c r="N187" i="14"/>
  <c r="N192" i="14"/>
  <c r="N157" i="14"/>
  <c r="N181" i="14"/>
  <c r="N177" i="14"/>
  <c r="N23" i="14"/>
  <c r="EU221" i="14"/>
  <c r="N154" i="14"/>
  <c r="N59" i="14"/>
  <c r="N172" i="14"/>
  <c r="N155" i="14"/>
  <c r="N30" i="14"/>
  <c r="EU120" i="14"/>
  <c r="EU228" i="14"/>
  <c r="N55" i="14"/>
  <c r="EU127" i="14"/>
  <c r="N156" i="14"/>
  <c r="N202" i="14"/>
  <c r="N67" i="14"/>
  <c r="EU139" i="14"/>
  <c r="N166" i="14"/>
  <c r="N173" i="14"/>
  <c r="EI140" i="14"/>
  <c r="EI196" i="14"/>
  <c r="EI178" i="14"/>
  <c r="EI70" i="14"/>
  <c r="EI219" i="14"/>
  <c r="EI111" i="14"/>
  <c r="EI125" i="14"/>
  <c r="EI52" i="14"/>
  <c r="EI34" i="14"/>
  <c r="EI109" i="14"/>
  <c r="EI217" i="14"/>
  <c r="ET128" i="14"/>
  <c r="ET137" i="14"/>
  <c r="ET217" i="14"/>
  <c r="ET109" i="14"/>
  <c r="ET178" i="14"/>
  <c r="ET70" i="14"/>
  <c r="ET52" i="14"/>
  <c r="ET125" i="14"/>
  <c r="ET160" i="14"/>
  <c r="DX106" i="14"/>
  <c r="DU17" i="10" s="1"/>
  <c r="DT17" i="5" s="1"/>
  <c r="L467" i="32"/>
  <c r="C466" i="32"/>
  <c r="D466" i="32" s="1"/>
  <c r="E466" i="32" s="1"/>
  <c r="F466" i="32" s="1"/>
  <c r="G466" i="32" s="1"/>
  <c r="H466" i="32" s="1"/>
  <c r="I466" i="32" s="1"/>
  <c r="J466" i="32" s="1"/>
  <c r="EA106" i="14"/>
  <c r="DX17" i="10" s="1"/>
  <c r="DW17" i="5" s="1"/>
  <c r="CV106" i="14"/>
  <c r="CS17" i="10" s="1"/>
  <c r="CR17" i="5" s="1"/>
  <c r="DF106" i="14"/>
  <c r="DC17" i="10" s="1"/>
  <c r="DB17" i="5" s="1"/>
  <c r="CX106" i="14"/>
  <c r="CU17" i="10" s="1"/>
  <c r="CT17" i="5" s="1"/>
  <c r="N74" i="14"/>
  <c r="BF214" i="14"/>
  <c r="BC32" i="10" s="1"/>
  <c r="CB214" i="14"/>
  <c r="BY32" i="10" s="1"/>
  <c r="AN106" i="14"/>
  <c r="AK17" i="10" s="1"/>
  <c r="AJ17" i="5" s="1"/>
  <c r="DO18" i="10"/>
  <c r="DG106" i="14"/>
  <c r="DD17" i="10" s="1"/>
  <c r="DC17" i="5" s="1"/>
  <c r="AV18" i="10"/>
  <c r="DM214" i="14"/>
  <c r="DJ32" i="10" s="1"/>
  <c r="AI214" i="14"/>
  <c r="AF32" i="10" s="1"/>
  <c r="DP16" i="10"/>
  <c r="DK124" i="14"/>
  <c r="DH39" i="10" s="1"/>
  <c r="DD106" i="14"/>
  <c r="DA17" i="10" s="1"/>
  <c r="CZ17" i="5" s="1"/>
  <c r="N50" i="14"/>
  <c r="EH120" i="14"/>
  <c r="EH228" i="14"/>
  <c r="EH114" i="14"/>
  <c r="EH222" i="14"/>
  <c r="EH225" i="14"/>
  <c r="EH117" i="14"/>
  <c r="EH219" i="14"/>
  <c r="EH111" i="14"/>
  <c r="EH113" i="14"/>
  <c r="ES116" i="14"/>
  <c r="ES224" i="14"/>
  <c r="ES228" i="14"/>
  <c r="ES120" i="14"/>
  <c r="ES119" i="14"/>
  <c r="ES227" i="14"/>
  <c r="ES126" i="14"/>
  <c r="ES111" i="14"/>
  <c r="ES219" i="14"/>
  <c r="ES123" i="14"/>
  <c r="ES231" i="14"/>
  <c r="EG142" i="14"/>
  <c r="EG196" i="14"/>
  <c r="EG228" i="14"/>
  <c r="EG120" i="14"/>
  <c r="EG114" i="14"/>
  <c r="EG222" i="14"/>
  <c r="EG117" i="14"/>
  <c r="EG225" i="14"/>
  <c r="EN218" i="14"/>
  <c r="EN110" i="14"/>
  <c r="EN52" i="14"/>
  <c r="EN125" i="14"/>
  <c r="EN118" i="14"/>
  <c r="EN160" i="14"/>
  <c r="EN224" i="14"/>
  <c r="EN116" i="14"/>
  <c r="EN121" i="14"/>
  <c r="EN229" i="14"/>
  <c r="EN119" i="14"/>
  <c r="EN227" i="14"/>
  <c r="BL106" i="14"/>
  <c r="BI17" i="10" s="1"/>
  <c r="BH17" i="5" s="1"/>
  <c r="DX16" i="10"/>
  <c r="CN106" i="14"/>
  <c r="CK17" i="10" s="1"/>
  <c r="CJ17" i="5" s="1"/>
  <c r="BQ18" i="10"/>
  <c r="F694" i="32"/>
  <c r="O40" i="16"/>
  <c r="DV214" i="14"/>
  <c r="DS32" i="10" s="1"/>
  <c r="BO106" i="14"/>
  <c r="BL17" i="10" s="1"/>
  <c r="BK17" i="5" s="1"/>
  <c r="BG18" i="10"/>
  <c r="CF124" i="14"/>
  <c r="CC39" i="10" s="1"/>
  <c r="AN124" i="14"/>
  <c r="AK39" i="10" s="1"/>
  <c r="DP106" i="14"/>
  <c r="DM17" i="10" s="1"/>
  <c r="DL17" i="5" s="1"/>
  <c r="DI18" i="10"/>
  <c r="CW106" i="14"/>
  <c r="CT17" i="10" s="1"/>
  <c r="AO214" i="14"/>
  <c r="AL32" i="10" s="1"/>
  <c r="Y38" i="1"/>
  <c r="DR106" i="14"/>
  <c r="DO17" i="10" s="1"/>
  <c r="DN17" i="5" s="1"/>
  <c r="N17" i="14"/>
  <c r="AG214" i="14"/>
  <c r="AD32" i="10" s="1"/>
  <c r="DS124" i="14"/>
  <c r="DP39" i="10" s="1"/>
  <c r="AZ214" i="14"/>
  <c r="AW32" i="10" s="1"/>
  <c r="EL113" i="14"/>
  <c r="EL178" i="14"/>
  <c r="EL121" i="14"/>
  <c r="EL229" i="14"/>
  <c r="EL126" i="14"/>
  <c r="EL111" i="14"/>
  <c r="EL219" i="14"/>
  <c r="ER52" i="14"/>
  <c r="ER125" i="14"/>
  <c r="ER117" i="14"/>
  <c r="ER225" i="14"/>
  <c r="ER70" i="14"/>
  <c r="ER219" i="14"/>
  <c r="ER111" i="14"/>
  <c r="ER115" i="14"/>
  <c r="ER223" i="14"/>
  <c r="ER160" i="14"/>
  <c r="ER110" i="14"/>
  <c r="ER218" i="14"/>
  <c r="ER142" i="14"/>
  <c r="ER217" i="14"/>
  <c r="ER109" i="14"/>
  <c r="EQ107" i="14"/>
  <c r="EQ215" i="14"/>
  <c r="EQ16" i="14"/>
  <c r="EQ111" i="14"/>
  <c r="EQ219" i="14"/>
  <c r="EQ226" i="14"/>
  <c r="EQ123" i="14"/>
  <c r="EQ231" i="14"/>
  <c r="EQ115" i="14"/>
  <c r="EQ223" i="14"/>
  <c r="EP121" i="14"/>
  <c r="EP229" i="14"/>
  <c r="EP119" i="14"/>
  <c r="EP227" i="14"/>
  <c r="EP196" i="14"/>
  <c r="EP117" i="14"/>
  <c r="EP225" i="14"/>
  <c r="EP160" i="14"/>
  <c r="DY16" i="10"/>
  <c r="CO106" i="14"/>
  <c r="CL17" i="10" s="1"/>
  <c r="CK17" i="5" s="1"/>
  <c r="D603" i="32"/>
  <c r="L39" i="17"/>
  <c r="L39" i="26"/>
  <c r="BU124" i="14"/>
  <c r="BR39" i="10" s="1"/>
  <c r="BQ124" i="14"/>
  <c r="BN39" i="10" s="1"/>
  <c r="BM214" i="14"/>
  <c r="BJ32" i="10" s="1"/>
  <c r="BH124" i="14"/>
  <c r="BE39" i="10" s="1"/>
  <c r="DT16" i="10"/>
  <c r="AC214" i="14"/>
  <c r="Z32" i="10" s="1"/>
  <c r="AP106" i="14"/>
  <c r="AM17" i="10" s="1"/>
  <c r="AL17" i="5" s="1"/>
  <c r="N79" i="14"/>
  <c r="ED106" i="14"/>
  <c r="EA17" i="10" s="1"/>
  <c r="DZ17" i="5" s="1"/>
  <c r="BW106" i="14"/>
  <c r="BT17" i="10" s="1"/>
  <c r="BS17" i="5" s="1"/>
  <c r="BL18" i="10"/>
  <c r="BJ124" i="14"/>
  <c r="BG39" i="10" s="1"/>
  <c r="BB106" i="14"/>
  <c r="AY17" i="10" s="1"/>
  <c r="AX17" i="5" s="1"/>
  <c r="CX40" i="10"/>
  <c r="N143" i="14"/>
  <c r="DV16" i="10"/>
  <c r="DY124" i="14"/>
  <c r="DV39" i="10" s="1"/>
  <c r="BV214" i="14"/>
  <c r="BS32" i="10" s="1"/>
  <c r="BI106" i="14"/>
  <c r="BF17" i="10" s="1"/>
  <c r="BE17" i="5" s="1"/>
  <c r="BE124" i="14"/>
  <c r="BB39" i="10" s="1"/>
  <c r="DJ214" i="14"/>
  <c r="DG32" i="10" s="1"/>
  <c r="AY214" i="14"/>
  <c r="AV32" i="10" s="1"/>
  <c r="Q16" i="5"/>
  <c r="CI214" i="14"/>
  <c r="CF32" i="10" s="1"/>
  <c r="DO214" i="14"/>
  <c r="DL32" i="10" s="1"/>
  <c r="CZ106" i="14"/>
  <c r="CW17" i="10" s="1"/>
  <c r="CV17" i="5" s="1"/>
  <c r="EO221" i="14"/>
  <c r="EO226" i="14"/>
  <c r="EO123" i="14"/>
  <c r="EO231" i="14"/>
  <c r="EM220" i="14"/>
  <c r="EM112" i="14"/>
  <c r="EM117" i="14"/>
  <c r="EM225" i="14"/>
  <c r="EM34" i="14"/>
  <c r="EM122" i="14"/>
  <c r="EM215" i="14"/>
  <c r="EM107" i="14"/>
  <c r="EM16" i="14"/>
  <c r="EM115" i="14"/>
  <c r="EM223" i="14"/>
  <c r="EM196" i="14"/>
  <c r="EK121" i="14"/>
  <c r="EK229" i="14"/>
  <c r="EK196" i="14"/>
  <c r="EK111" i="14"/>
  <c r="EK219" i="14"/>
  <c r="EK160" i="14"/>
  <c r="EK117" i="14"/>
  <c r="EK225" i="14"/>
  <c r="EK52" i="14"/>
  <c r="EK125" i="14"/>
  <c r="EK226" i="14"/>
  <c r="EK142" i="14"/>
  <c r="EJ215" i="14"/>
  <c r="EJ107" i="14"/>
  <c r="EJ16" i="14"/>
  <c r="EJ52" i="14"/>
  <c r="EJ125" i="14"/>
  <c r="EJ223" i="14"/>
  <c r="EJ115" i="14"/>
  <c r="EJ160" i="14"/>
  <c r="EJ178" i="14"/>
  <c r="EJ227" i="14"/>
  <c r="EJ119" i="14"/>
  <c r="EJ196" i="14"/>
  <c r="EJ70" i="14"/>
  <c r="CK124" i="14"/>
  <c r="CH39" i="10" s="1"/>
  <c r="BX214" i="14"/>
  <c r="BU32" i="10" s="1"/>
  <c r="BM16" i="10"/>
  <c r="AH106" i="14"/>
  <c r="AE17" i="10" s="1"/>
  <c r="AD17" i="5" s="1"/>
  <c r="AR18" i="10"/>
  <c r="DB106" i="14"/>
  <c r="CY17" i="10" s="1"/>
  <c r="CX17" i="5" s="1"/>
  <c r="CQ214" i="14"/>
  <c r="CN32" i="10" s="1"/>
  <c r="CJ16" i="10"/>
  <c r="BS124" i="14"/>
  <c r="BP39" i="10" s="1"/>
  <c r="BS214" i="14"/>
  <c r="BP32" i="10" s="1"/>
  <c r="C563" i="32"/>
  <c r="BG40" i="10"/>
  <c r="AF214" i="14"/>
  <c r="AC32" i="10" s="1"/>
  <c r="DQ18" i="10"/>
  <c r="DQ40" i="10"/>
  <c r="DL214" i="14"/>
  <c r="DI32" i="10" s="1"/>
  <c r="DE124" i="14"/>
  <c r="DB39" i="10" s="1"/>
  <c r="CX18" i="10"/>
  <c r="AP18" i="10"/>
  <c r="C524" i="32"/>
  <c r="C526" i="32" s="1"/>
  <c r="N81" i="14"/>
  <c r="CP106" i="14"/>
  <c r="CM17" i="10" s="1"/>
  <c r="CL17" i="5" s="1"/>
  <c r="CI16" i="10"/>
  <c r="BR106" i="14"/>
  <c r="BO17" i="10" s="1"/>
  <c r="BN17" i="5" s="1"/>
  <c r="BR124" i="14"/>
  <c r="BO39" i="10" s="1"/>
  <c r="N197" i="14"/>
  <c r="BE214" i="14"/>
  <c r="BB32" i="10" s="1"/>
  <c r="H911" i="32"/>
  <c r="H929" i="32" s="1"/>
  <c r="W148" i="11" l="1"/>
  <c r="W50" i="5" s="1"/>
  <c r="X15" i="10"/>
  <c r="X19" i="6"/>
  <c r="Y19" i="6"/>
  <c r="Y18" i="6" s="1"/>
  <c r="Y15" i="10"/>
  <c r="O15" i="10"/>
  <c r="M140" i="5"/>
  <c r="L123" i="5"/>
  <c r="E588" i="32"/>
  <c r="O19" i="6"/>
  <c r="O18" i="6" s="1"/>
  <c r="X148" i="11"/>
  <c r="X50" i="5" s="1"/>
  <c r="N148" i="11"/>
  <c r="N50" i="5" s="1"/>
  <c r="Y21" i="10"/>
  <c r="W15" i="10"/>
  <c r="S33" i="5"/>
  <c r="S22" i="5" s="1"/>
  <c r="V148" i="11"/>
  <c r="V50" i="5" s="1"/>
  <c r="W19" i="6"/>
  <c r="S148" i="11"/>
  <c r="S50" i="5" s="1"/>
  <c r="T15" i="10"/>
  <c r="T19" i="6"/>
  <c r="T18" i="6" s="1"/>
  <c r="R15" i="10"/>
  <c r="O148" i="11"/>
  <c r="O50" i="5" s="1"/>
  <c r="R19" i="6"/>
  <c r="R18" i="6" s="1"/>
  <c r="P15" i="10"/>
  <c r="P33" i="10" s="1"/>
  <c r="Q148" i="11"/>
  <c r="Q50" i="5" s="1"/>
  <c r="O21" i="10"/>
  <c r="N37" i="6"/>
  <c r="M153" i="11" s="1"/>
  <c r="N37" i="10"/>
  <c r="N55" i="10" s="1"/>
  <c r="F587" i="32"/>
  <c r="F586" i="32" s="1"/>
  <c r="N21" i="10"/>
  <c r="Q19" i="6"/>
  <c r="Q18" i="6" s="1"/>
  <c r="P37" i="6"/>
  <c r="P24" i="6" s="1"/>
  <c r="M17" i="5"/>
  <c r="E587" i="32" s="1"/>
  <c r="X21" i="10"/>
  <c r="X37" i="6"/>
  <c r="X24" i="6" s="1"/>
  <c r="M148" i="11"/>
  <c r="M50" i="5" s="1"/>
  <c r="O33" i="5"/>
  <c r="O22" i="5" s="1"/>
  <c r="V19" i="6"/>
  <c r="V18" i="6" s="1"/>
  <c r="R21" i="10"/>
  <c r="Q33" i="5"/>
  <c r="Q22" i="5" s="1"/>
  <c r="U15" i="10"/>
  <c r="U19" i="6"/>
  <c r="O37" i="6"/>
  <c r="T148" i="11"/>
  <c r="T50" i="5" s="1"/>
  <c r="P19" i="6"/>
  <c r="P18" i="6" s="1"/>
  <c r="N12" i="17"/>
  <c r="Y37" i="1"/>
  <c r="Y41" i="1" s="1"/>
  <c r="T21" i="10"/>
  <c r="Q21" i="10"/>
  <c r="Y37" i="6"/>
  <c r="X153" i="11" s="1"/>
  <c r="X52" i="5" s="1"/>
  <c r="P33" i="5"/>
  <c r="P22" i="5" s="1"/>
  <c r="V37" i="6"/>
  <c r="U33" i="5"/>
  <c r="U22" i="5" s="1"/>
  <c r="Y52" i="1"/>
  <c r="C15" i="21" s="1"/>
  <c r="C16" i="21" s="1"/>
  <c r="S21" i="10"/>
  <c r="S37" i="6"/>
  <c r="R153" i="11" s="1"/>
  <c r="R52" i="5" s="1"/>
  <c r="W21" i="10"/>
  <c r="W37" i="6"/>
  <c r="U21" i="10"/>
  <c r="U37" i="6"/>
  <c r="U24" i="6" s="1"/>
  <c r="N15" i="10"/>
  <c r="S37" i="10"/>
  <c r="S55" i="10" s="1"/>
  <c r="Q15" i="10"/>
  <c r="P148" i="11"/>
  <c r="P50" i="5" s="1"/>
  <c r="V37" i="10"/>
  <c r="V55" i="10" s="1"/>
  <c r="BJ19" i="6"/>
  <c r="BJ18" i="6" s="1"/>
  <c r="U37" i="10"/>
  <c r="U55" i="10" s="1"/>
  <c r="U148" i="11"/>
  <c r="U50" i="5" s="1"/>
  <c r="V15" i="10"/>
  <c r="V33" i="10" s="1"/>
  <c r="P37" i="10"/>
  <c r="P55" i="10" s="1"/>
  <c r="S19" i="6"/>
  <c r="S18" i="6" s="1"/>
  <c r="R148" i="11"/>
  <c r="R50" i="5" s="1"/>
  <c r="S15" i="10"/>
  <c r="F962" i="32"/>
  <c r="DJ37" i="10"/>
  <c r="DJ55" i="10" s="1"/>
  <c r="T37" i="10"/>
  <c r="T55" i="10" s="1"/>
  <c r="O37" i="10"/>
  <c r="O55" i="10" s="1"/>
  <c r="Y37" i="10"/>
  <c r="Y55" i="10" s="1"/>
  <c r="Q37" i="10"/>
  <c r="Q55" i="10" s="1"/>
  <c r="X37" i="10"/>
  <c r="X55" i="10" s="1"/>
  <c r="EP38" i="10"/>
  <c r="M37" i="10"/>
  <c r="M55" i="10" s="1"/>
  <c r="R37" i="10"/>
  <c r="R55" i="10" s="1"/>
  <c r="L50" i="5"/>
  <c r="L149" i="11"/>
  <c r="L51" i="5" s="1"/>
  <c r="E961" i="32"/>
  <c r="E962" i="32"/>
  <c r="L33" i="5"/>
  <c r="M37" i="6"/>
  <c r="M21" i="10"/>
  <c r="L11" i="17"/>
  <c r="L11" i="26"/>
  <c r="W37" i="10"/>
  <c r="W55" i="10" s="1"/>
  <c r="D679" i="32"/>
  <c r="D118" i="32"/>
  <c r="M15" i="10"/>
  <c r="L17" i="5"/>
  <c r="D587" i="32" s="1"/>
  <c r="D586" i="32" s="1"/>
  <c r="M19" i="6"/>
  <c r="I982" i="32"/>
  <c r="J968" i="32"/>
  <c r="K968" i="32" s="1"/>
  <c r="L968" i="32" s="1"/>
  <c r="M968" i="32" s="1"/>
  <c r="C133" i="32"/>
  <c r="AG37" i="10"/>
  <c r="AG55" i="10" s="1"/>
  <c r="AX19" i="6"/>
  <c r="I8" i="35"/>
  <c r="EO38" i="10"/>
  <c r="AG20" i="6"/>
  <c r="F8" i="30"/>
  <c r="CH20" i="6"/>
  <c r="DL18" i="5"/>
  <c r="CN18" i="5"/>
  <c r="BT20" i="6"/>
  <c r="CZ20" i="6"/>
  <c r="BR18" i="5"/>
  <c r="CK18" i="5"/>
  <c r="BZ20" i="6"/>
  <c r="AF37" i="10"/>
  <c r="AF55" i="10" s="1"/>
  <c r="BA20" i="6"/>
  <c r="N14" i="16"/>
  <c r="E679" i="32" s="1"/>
  <c r="DL20" i="6"/>
  <c r="DC37" i="10"/>
  <c r="DC55" i="10" s="1"/>
  <c r="DB18" i="5"/>
  <c r="DI18" i="5"/>
  <c r="BM18" i="5"/>
  <c r="AN20" i="6"/>
  <c r="Z18" i="5"/>
  <c r="BH18" i="5"/>
  <c r="CP18" i="5"/>
  <c r="DH19" i="6"/>
  <c r="AS20" i="6"/>
  <c r="CF18" i="5"/>
  <c r="EI40" i="10"/>
  <c r="EL40" i="10"/>
  <c r="CI21" i="10"/>
  <c r="CD18" i="5"/>
  <c r="BS37" i="10"/>
  <c r="BS55" i="10" s="1"/>
  <c r="CQ37" i="10"/>
  <c r="CQ55" i="10" s="1"/>
  <c r="DA37" i="10"/>
  <c r="DA55" i="10" s="1"/>
  <c r="DN20" i="6"/>
  <c r="DG20" i="6"/>
  <c r="AI37" i="10"/>
  <c r="AI55" i="10" s="1"/>
  <c r="BJ37" i="10"/>
  <c r="BJ55" i="10" s="1"/>
  <c r="AL18" i="5"/>
  <c r="Z20" i="6"/>
  <c r="M8" i="35" s="1"/>
  <c r="CU18" i="5"/>
  <c r="AZ20" i="6"/>
  <c r="DR20" i="6"/>
  <c r="EB20" i="6"/>
  <c r="BO18" i="5"/>
  <c r="BN18" i="5"/>
  <c r="CB21" i="10"/>
  <c r="BC18" i="5"/>
  <c r="CT37" i="10"/>
  <c r="CT55" i="10" s="1"/>
  <c r="DF15" i="10"/>
  <c r="DX20" i="6"/>
  <c r="CV15" i="10"/>
  <c r="BZ37" i="10"/>
  <c r="BZ55" i="10" s="1"/>
  <c r="AB37" i="10"/>
  <c r="AB55" i="10" s="1"/>
  <c r="CB37" i="6"/>
  <c r="CA153" i="11" s="1"/>
  <c r="CA52" i="5" s="1"/>
  <c r="AD20" i="6"/>
  <c r="BB18" i="5"/>
  <c r="EM18" i="10"/>
  <c r="EM20" i="6" s="1"/>
  <c r="AX15" i="10"/>
  <c r="DX18" i="5"/>
  <c r="ED18" i="10"/>
  <c r="ED20" i="6" s="1"/>
  <c r="AR21" i="10"/>
  <c r="CO19" i="6"/>
  <c r="CO18" i="6" s="1"/>
  <c r="BI37" i="10"/>
  <c r="BI55" i="10" s="1"/>
  <c r="BR15" i="10"/>
  <c r="G588" i="32"/>
  <c r="DT37" i="10"/>
  <c r="DT55" i="10" s="1"/>
  <c r="BZ18" i="5"/>
  <c r="CR20" i="6"/>
  <c r="DG148" i="11"/>
  <c r="DG50" i="5" s="1"/>
  <c r="DD18" i="5"/>
  <c r="BW37" i="10"/>
  <c r="BW55" i="10" s="1"/>
  <c r="CB37" i="10"/>
  <c r="CB55" i="10" s="1"/>
  <c r="EB37" i="10"/>
  <c r="EB55" i="10" s="1"/>
  <c r="CD33" i="5"/>
  <c r="CD22" i="5" s="1"/>
  <c r="BJ15" i="10"/>
  <c r="BT37" i="10"/>
  <c r="BT55" i="10" s="1"/>
  <c r="DI19" i="6"/>
  <c r="BI18" i="5"/>
  <c r="AC37" i="10"/>
  <c r="AC55" i="10" s="1"/>
  <c r="AH37" i="10"/>
  <c r="AH55" i="10" s="1"/>
  <c r="BJ148" i="11"/>
  <c r="BJ50" i="5" s="1"/>
  <c r="DH148" i="11"/>
  <c r="DH50" i="5" s="1"/>
  <c r="EA20" i="6"/>
  <c r="DL15" i="10"/>
  <c r="CN37" i="10"/>
  <c r="CN55" i="10" s="1"/>
  <c r="CM37" i="10"/>
  <c r="CM55" i="10" s="1"/>
  <c r="BJ18" i="5"/>
  <c r="DU18" i="5"/>
  <c r="BF37" i="10"/>
  <c r="BF55" i="10" s="1"/>
  <c r="H548" i="32"/>
  <c r="DR37" i="10"/>
  <c r="DR55" i="10" s="1"/>
  <c r="DK148" i="11"/>
  <c r="DK50" i="5" s="1"/>
  <c r="DB20" i="6"/>
  <c r="EF16" i="10"/>
  <c r="EE16" i="5" s="1"/>
  <c r="CD37" i="10"/>
  <c r="CD55" i="10" s="1"/>
  <c r="EQ40" i="10"/>
  <c r="EC16" i="10"/>
  <c r="AH36" i="1" s="1"/>
  <c r="L4" i="21" s="1"/>
  <c r="EM38" i="10"/>
  <c r="DF19" i="6"/>
  <c r="CB19" i="6"/>
  <c r="DK37" i="10"/>
  <c r="DK55" i="10" s="1"/>
  <c r="F548" i="32"/>
  <c r="BU37" i="10"/>
  <c r="BU55" i="10" s="1"/>
  <c r="DG15" i="10"/>
  <c r="CL37" i="10"/>
  <c r="CL55" i="10" s="1"/>
  <c r="DY37" i="10"/>
  <c r="DY55" i="10" s="1"/>
  <c r="BC37" i="10"/>
  <c r="BC55" i="10" s="1"/>
  <c r="DD37" i="10"/>
  <c r="DD55" i="10" s="1"/>
  <c r="DC37" i="6"/>
  <c r="DB153" i="11" s="1"/>
  <c r="DB52" i="5" s="1"/>
  <c r="CD20" i="6"/>
  <c r="DH20" i="6"/>
  <c r="BM20" i="6"/>
  <c r="BP37" i="10"/>
  <c r="BP55" i="10" s="1"/>
  <c r="CZ37" i="10"/>
  <c r="CZ55" i="10" s="1"/>
  <c r="DV37" i="10"/>
  <c r="DV55" i="10" s="1"/>
  <c r="DH15" i="10"/>
  <c r="AQ37" i="10"/>
  <c r="AQ55" i="10" s="1"/>
  <c r="AM37" i="10"/>
  <c r="AM55" i="10" s="1"/>
  <c r="CN19" i="6"/>
  <c r="AN37" i="10"/>
  <c r="AN55" i="10" s="1"/>
  <c r="BD18" i="5"/>
  <c r="BX20" i="6"/>
  <c r="BG21" i="10"/>
  <c r="DB33" i="5"/>
  <c r="DB22" i="5" s="1"/>
  <c r="AA18" i="5"/>
  <c r="EO16" i="10"/>
  <c r="EN16" i="5" s="1"/>
  <c r="DE37" i="10"/>
  <c r="DE55" i="10" s="1"/>
  <c r="CS37" i="10"/>
  <c r="CS55" i="10" s="1"/>
  <c r="AV37" i="10"/>
  <c r="AV55" i="10" s="1"/>
  <c r="DO37" i="10"/>
  <c r="DO55" i="10" s="1"/>
  <c r="AJ37" i="10"/>
  <c r="AJ55" i="10" s="1"/>
  <c r="DW15" i="10"/>
  <c r="BQ148" i="11"/>
  <c r="BQ50" i="5" s="1"/>
  <c r="DI37" i="10"/>
  <c r="DI55" i="10" s="1"/>
  <c r="BM148" i="11"/>
  <c r="BM50" i="5" s="1"/>
  <c r="CE37" i="10"/>
  <c r="CE55" i="10" s="1"/>
  <c r="BU20" i="6"/>
  <c r="BF33" i="5"/>
  <c r="BF22" i="5" s="1"/>
  <c r="DV18" i="5"/>
  <c r="CU21" i="10"/>
  <c r="AE148" i="11"/>
  <c r="AE50" i="5" s="1"/>
  <c r="BX148" i="11"/>
  <c r="BX50" i="5" s="1"/>
  <c r="AR37" i="6"/>
  <c r="AQ153" i="11" s="1"/>
  <c r="AQ52" i="5" s="1"/>
  <c r="AY20" i="6"/>
  <c r="CV18" i="5"/>
  <c r="BX37" i="10"/>
  <c r="BX55" i="10" s="1"/>
  <c r="CR37" i="10"/>
  <c r="CR55" i="10" s="1"/>
  <c r="CO37" i="10"/>
  <c r="CO55" i="10" s="1"/>
  <c r="CE21" i="10"/>
  <c r="CT33" i="5"/>
  <c r="CT22" i="5" s="1"/>
  <c r="AF19" i="6"/>
  <c r="CN148" i="11"/>
  <c r="CN50" i="5" s="1"/>
  <c r="AA37" i="10"/>
  <c r="AA55" i="10" s="1"/>
  <c r="DS37" i="10"/>
  <c r="DS55" i="10" s="1"/>
  <c r="DL37" i="10"/>
  <c r="DL55" i="10" s="1"/>
  <c r="AL37" i="10"/>
  <c r="AL55" i="10" s="1"/>
  <c r="O14" i="16"/>
  <c r="F679" i="32" s="1"/>
  <c r="BN19" i="6"/>
  <c r="BN18" i="6" s="1"/>
  <c r="CU37" i="10"/>
  <c r="CU55" i="10" s="1"/>
  <c r="AT37" i="10"/>
  <c r="AT55" i="10" s="1"/>
  <c r="BA37" i="10"/>
  <c r="BA55" i="10" s="1"/>
  <c r="BN15" i="10"/>
  <c r="Z37" i="10"/>
  <c r="Z55" i="10" s="1"/>
  <c r="CF15" i="10"/>
  <c r="DI15" i="10"/>
  <c r="CI37" i="6"/>
  <c r="CH153" i="11" s="1"/>
  <c r="CH52" i="5" s="1"/>
  <c r="DT18" i="5"/>
  <c r="CY37" i="10"/>
  <c r="CY55" i="10" s="1"/>
  <c r="BV37" i="10"/>
  <c r="BV55" i="10" s="1"/>
  <c r="DK15" i="10"/>
  <c r="ES124" i="14"/>
  <c r="EP39" i="10" s="1"/>
  <c r="BY15" i="10"/>
  <c r="N127" i="14"/>
  <c r="DA148" i="11"/>
  <c r="DA50" i="5" s="1"/>
  <c r="CJ37" i="10"/>
  <c r="CJ55" i="10" s="1"/>
  <c r="AE37" i="10"/>
  <c r="AE55" i="10" s="1"/>
  <c r="BL37" i="10"/>
  <c r="BL55" i="10" s="1"/>
  <c r="BB20" i="6"/>
  <c r="EJ38" i="10"/>
  <c r="CP37" i="10"/>
  <c r="CP55" i="10" s="1"/>
  <c r="DM37" i="10"/>
  <c r="DM55" i="10" s="1"/>
  <c r="AP37" i="10"/>
  <c r="AP55" i="10" s="1"/>
  <c r="DJ148" i="11"/>
  <c r="DJ50" i="5" s="1"/>
  <c r="BY19" i="6"/>
  <c r="EE16" i="10"/>
  <c r="ED16" i="5" s="1"/>
  <c r="EK16" i="10"/>
  <c r="EJ16" i="5" s="1"/>
  <c r="CO15" i="10"/>
  <c r="DV148" i="11"/>
  <c r="DV50" i="5" s="1"/>
  <c r="AV18" i="5"/>
  <c r="AV15" i="10"/>
  <c r="N216" i="14"/>
  <c r="CG37" i="10"/>
  <c r="CG55" i="10" s="1"/>
  <c r="DW19" i="6"/>
  <c r="DW18" i="6" s="1"/>
  <c r="EL18" i="10"/>
  <c r="EK18" i="5" s="1"/>
  <c r="CK37" i="10"/>
  <c r="CK55" i="10" s="1"/>
  <c r="AW19" i="6"/>
  <c r="AW18" i="6" s="1"/>
  <c r="BD37" i="10"/>
  <c r="BD55" i="10" s="1"/>
  <c r="DU37" i="10"/>
  <c r="DU55" i="10" s="1"/>
  <c r="CB15" i="10"/>
  <c r="CM148" i="11"/>
  <c r="CM50" i="5" s="1"/>
  <c r="EL38" i="10"/>
  <c r="AB36" i="1"/>
  <c r="F4" i="21" s="1"/>
  <c r="AF15" i="10"/>
  <c r="AS37" i="10"/>
  <c r="AS55" i="10" s="1"/>
  <c r="AZ37" i="10"/>
  <c r="AZ55" i="10" s="1"/>
  <c r="AY37" i="10"/>
  <c r="AY55" i="10" s="1"/>
  <c r="AG36" i="1"/>
  <c r="K4" i="21" s="1"/>
  <c r="CR19" i="6"/>
  <c r="G548" i="32"/>
  <c r="AU148" i="11"/>
  <c r="AU50" i="5" s="1"/>
  <c r="CV19" i="6"/>
  <c r="CV18" i="6" s="1"/>
  <c r="CC37" i="10"/>
  <c r="CC55" i="10" s="1"/>
  <c r="CZ15" i="10"/>
  <c r="CN15" i="10"/>
  <c r="EC40" i="10"/>
  <c r="DF148" i="11"/>
  <c r="DF50" i="5" s="1"/>
  <c r="DU21" i="10"/>
  <c r="BK19" i="6"/>
  <c r="BK18" i="6" s="1"/>
  <c r="EL124" i="14"/>
  <c r="EI39" i="10" s="1"/>
  <c r="DN37" i="10"/>
  <c r="DN55" i="10" s="1"/>
  <c r="N139" i="14"/>
  <c r="N135" i="14"/>
  <c r="CM18" i="5"/>
  <c r="AH15" i="10"/>
  <c r="CE148" i="11"/>
  <c r="CE50" i="5" s="1"/>
  <c r="AV19" i="6"/>
  <c r="D600" i="32"/>
  <c r="CU148" i="11"/>
  <c r="CU50" i="5" s="1"/>
  <c r="DK19" i="6"/>
  <c r="CW37" i="10"/>
  <c r="CW55" i="10" s="1"/>
  <c r="AE16" i="5"/>
  <c r="K587" i="32" s="1"/>
  <c r="AD18" i="5"/>
  <c r="K8" i="35"/>
  <c r="CN16" i="5"/>
  <c r="N140" i="14"/>
  <c r="EC18" i="10"/>
  <c r="EB18" i="5" s="1"/>
  <c r="DL19" i="6"/>
  <c r="CA16" i="5"/>
  <c r="CI37" i="10"/>
  <c r="CI55" i="10" s="1"/>
  <c r="DB15" i="10"/>
  <c r="CN20" i="6"/>
  <c r="CY148" i="11"/>
  <c r="CY50" i="5" s="1"/>
  <c r="BR19" i="6"/>
  <c r="R12" i="17"/>
  <c r="EK40" i="10"/>
  <c r="EE18" i="10"/>
  <c r="EE20" i="6" s="1"/>
  <c r="ER40" i="10"/>
  <c r="DG19" i="6"/>
  <c r="DW37" i="10"/>
  <c r="DW55" i="10" s="1"/>
  <c r="J8" i="35"/>
  <c r="EN18" i="10"/>
  <c r="EN20" i="6" s="1"/>
  <c r="AH19" i="6"/>
  <c r="BH37" i="10"/>
  <c r="BH55" i="10" s="1"/>
  <c r="DU37" i="6"/>
  <c r="DT153" i="11" s="1"/>
  <c r="DT52" i="5" s="1"/>
  <c r="CF19" i="6"/>
  <c r="Z38" i="1"/>
  <c r="D6" i="21" s="1"/>
  <c r="H8" i="30"/>
  <c r="N108" i="14"/>
  <c r="CA148" i="11"/>
  <c r="CA50" i="5" s="1"/>
  <c r="N196" i="14"/>
  <c r="AC36" i="1"/>
  <c r="G4" i="21" s="1"/>
  <c r="DB37" i="10"/>
  <c r="DB55" i="10" s="1"/>
  <c r="BK15" i="10"/>
  <c r="N142" i="14"/>
  <c r="BE37" i="10"/>
  <c r="BE55" i="10" s="1"/>
  <c r="BR37" i="10"/>
  <c r="BR55" i="10" s="1"/>
  <c r="DP37" i="10"/>
  <c r="DP55" i="10" s="1"/>
  <c r="N16" i="14"/>
  <c r="N128" i="14"/>
  <c r="N141" i="14"/>
  <c r="EF124" i="14"/>
  <c r="EC39" i="10" s="1"/>
  <c r="DB19" i="6"/>
  <c r="BY37" i="10"/>
  <c r="BY55" i="10" s="1"/>
  <c r="EJ18" i="10"/>
  <c r="EI18" i="5" s="1"/>
  <c r="AU37" i="10"/>
  <c r="AU55" i="10" s="1"/>
  <c r="EP40" i="10"/>
  <c r="ER18" i="10"/>
  <c r="ER20" i="6" s="1"/>
  <c r="EA37" i="10"/>
  <c r="EA55" i="10" s="1"/>
  <c r="CV37" i="10"/>
  <c r="CV55" i="10" s="1"/>
  <c r="G8" i="30"/>
  <c r="AG148" i="11"/>
  <c r="AG50" i="5" s="1"/>
  <c r="N132" i="14"/>
  <c r="EM124" i="14"/>
  <c r="EJ39" i="10" s="1"/>
  <c r="BO19" i="6"/>
  <c r="BO18" i="6" s="1"/>
  <c r="EQ214" i="14"/>
  <c r="EN32" i="10" s="1"/>
  <c r="EM33" i="5" s="1"/>
  <c r="EM22" i="5" s="1"/>
  <c r="EO18" i="10"/>
  <c r="EO20" i="6" s="1"/>
  <c r="CV148" i="11"/>
  <c r="CV50" i="5" s="1"/>
  <c r="EF40" i="10"/>
  <c r="N220" i="14"/>
  <c r="N223" i="14"/>
  <c r="AD36" i="1"/>
  <c r="H4" i="21" s="1"/>
  <c r="N52" i="14"/>
  <c r="N230" i="14"/>
  <c r="EN40" i="10"/>
  <c r="AW15" i="10"/>
  <c r="N123" i="14"/>
  <c r="N218" i="14"/>
  <c r="N228" i="14"/>
  <c r="N122" i="14"/>
  <c r="N116" i="14"/>
  <c r="N112" i="14"/>
  <c r="N119" i="14"/>
  <c r="N113" i="14"/>
  <c r="N117" i="14"/>
  <c r="CX37" i="10"/>
  <c r="CX55" i="10" s="1"/>
  <c r="N13" i="17"/>
  <c r="F719" i="32" s="1"/>
  <c r="N231" i="14"/>
  <c r="N219" i="14"/>
  <c r="N121" i="14"/>
  <c r="N109" i="14"/>
  <c r="DS20" i="6"/>
  <c r="DR18" i="5"/>
  <c r="EQ38" i="10"/>
  <c r="N227" i="14"/>
  <c r="N118" i="14"/>
  <c r="N178" i="14"/>
  <c r="N222" i="14"/>
  <c r="N225" i="14"/>
  <c r="AO37" i="10"/>
  <c r="AO55" i="10" s="1"/>
  <c r="EI38" i="10"/>
  <c r="AV148" i="11"/>
  <c r="AV50" i="5" s="1"/>
  <c r="N136" i="14"/>
  <c r="N111" i="14"/>
  <c r="N229" i="14"/>
  <c r="N217" i="14"/>
  <c r="EJ106" i="14"/>
  <c r="EG17" i="10" s="1"/>
  <c r="EF17" i="5" s="1"/>
  <c r="CW15" i="10"/>
  <c r="N115" i="14"/>
  <c r="AR37" i="10"/>
  <c r="AR55" i="10" s="1"/>
  <c r="X12" i="17"/>
  <c r="N129" i="14"/>
  <c r="N114" i="14"/>
  <c r="N221" i="14"/>
  <c r="N226" i="14"/>
  <c r="AW37" i="10"/>
  <c r="AW55" i="10" s="1"/>
  <c r="N110" i="14"/>
  <c r="N120" i="14"/>
  <c r="N224" i="14"/>
  <c r="AC11" i="17"/>
  <c r="Z52" i="1"/>
  <c r="Y33" i="5"/>
  <c r="Z37" i="6"/>
  <c r="Z21" i="10"/>
  <c r="DI37" i="6"/>
  <c r="DH33" i="5"/>
  <c r="DH22" i="5" s="1"/>
  <c r="DI21" i="10"/>
  <c r="CN37" i="6"/>
  <c r="CM33" i="5"/>
  <c r="CN21" i="10"/>
  <c r="AU33" i="5"/>
  <c r="AU22" i="5" s="1"/>
  <c r="AV37" i="6"/>
  <c r="AV21" i="10"/>
  <c r="DF33" i="5"/>
  <c r="DF22" i="5" s="1"/>
  <c r="DG37" i="6"/>
  <c r="DG21" i="10"/>
  <c r="D173" i="32"/>
  <c r="AK33" i="5"/>
  <c r="AL37" i="6"/>
  <c r="AA52" i="1"/>
  <c r="AL21" i="10"/>
  <c r="DN148" i="11"/>
  <c r="DN50" i="5" s="1"/>
  <c r="DP37" i="6"/>
  <c r="DO33" i="5"/>
  <c r="DO22" i="5" s="1"/>
  <c r="DP21" i="10"/>
  <c r="BE16" i="5"/>
  <c r="BF19" i="6"/>
  <c r="BE148" i="11"/>
  <c r="BE50" i="5" s="1"/>
  <c r="BF15" i="10"/>
  <c r="I929" i="32"/>
  <c r="CI20" i="6"/>
  <c r="CH18" i="5"/>
  <c r="AL20" i="6"/>
  <c r="AK18" i="5"/>
  <c r="AA38" i="1"/>
  <c r="E6" i="21" s="1"/>
  <c r="DP16" i="5"/>
  <c r="DQ19" i="6"/>
  <c r="DP148" i="11"/>
  <c r="DP50" i="5" s="1"/>
  <c r="DQ15" i="10"/>
  <c r="CU20" i="6"/>
  <c r="CT18" i="5"/>
  <c r="BU148" i="11"/>
  <c r="BU50" i="5" s="1"/>
  <c r="BU17" i="5"/>
  <c r="AD37" i="1"/>
  <c r="H5" i="21" s="1"/>
  <c r="AY33" i="5"/>
  <c r="AY22" i="5" s="1"/>
  <c r="AZ37" i="6"/>
  <c r="AZ21" i="10"/>
  <c r="H587" i="32"/>
  <c r="H586" i="32" s="1"/>
  <c r="CO16" i="5"/>
  <c r="CO148" i="11"/>
  <c r="CO50" i="5" s="1"/>
  <c r="CP19" i="6"/>
  <c r="CP15" i="10"/>
  <c r="EG18" i="10"/>
  <c r="EK106" i="14"/>
  <c r="EH17" i="10" s="1"/>
  <c r="EG17" i="5" s="1"/>
  <c r="CZ16" i="5"/>
  <c r="DA19" i="6"/>
  <c r="CZ148" i="11"/>
  <c r="CZ50" i="5" s="1"/>
  <c r="DA15" i="10"/>
  <c r="DF20" i="6"/>
  <c r="DE18" i="5"/>
  <c r="AG38" i="1"/>
  <c r="K6" i="21" s="1"/>
  <c r="AS18" i="5"/>
  <c r="AT20" i="6"/>
  <c r="CB16" i="5"/>
  <c r="CB148" i="11"/>
  <c r="CB50" i="5" s="1"/>
  <c r="CC19" i="6"/>
  <c r="CC15" i="10"/>
  <c r="AM37" i="6"/>
  <c r="AL33" i="5"/>
  <c r="AL22" i="5" s="1"/>
  <c r="AM21" i="10"/>
  <c r="Z19" i="6"/>
  <c r="Y17" i="5"/>
  <c r="Z37" i="1"/>
  <c r="D5" i="21" s="1"/>
  <c r="BH37" i="6"/>
  <c r="BG33" i="5"/>
  <c r="BG22" i="5" s="1"/>
  <c r="BH21" i="10"/>
  <c r="EP214" i="14"/>
  <c r="EM32" i="10" s="1"/>
  <c r="AE38" i="1"/>
  <c r="I6" i="21" s="1"/>
  <c r="ES106" i="14"/>
  <c r="EP17" i="10" s="1"/>
  <c r="EO17" i="5" s="1"/>
  <c r="AN18" i="5"/>
  <c r="AO20" i="6"/>
  <c r="AI16" i="5"/>
  <c r="AJ19" i="6"/>
  <c r="AI148" i="11"/>
  <c r="AI50" i="5" s="1"/>
  <c r="AJ15" i="10"/>
  <c r="AC20" i="6"/>
  <c r="AB18" i="5"/>
  <c r="BV33" i="5"/>
  <c r="BV22" i="5" s="1"/>
  <c r="BW37" i="6"/>
  <c r="BW21" i="10"/>
  <c r="DW33" i="5"/>
  <c r="DX37" i="6"/>
  <c r="DX21" i="10"/>
  <c r="EI124" i="14"/>
  <c r="EF39" i="10" s="1"/>
  <c r="N215" i="14"/>
  <c r="EU214" i="14"/>
  <c r="ER32" i="10" s="1"/>
  <c r="N138" i="14"/>
  <c r="AS37" i="6"/>
  <c r="AR33" i="5"/>
  <c r="AR22" i="5" s="1"/>
  <c r="AS21" i="10"/>
  <c r="AN15" i="10"/>
  <c r="BK37" i="6"/>
  <c r="BJ33" i="5"/>
  <c r="BJ22" i="5" s="1"/>
  <c r="BK21" i="10"/>
  <c r="AB16" i="5"/>
  <c r="AC19" i="6"/>
  <c r="AB148" i="11"/>
  <c r="AB50" i="5" s="1"/>
  <c r="AC15" i="10"/>
  <c r="X18" i="6"/>
  <c r="BV15" i="10"/>
  <c r="BV37" i="6"/>
  <c r="AD52" i="1"/>
  <c r="BU33" i="5"/>
  <c r="BV21" i="10"/>
  <c r="EH40" i="10"/>
  <c r="AA33" i="5"/>
  <c r="AA22" i="5" s="1"/>
  <c r="AB37" i="6"/>
  <c r="AB21" i="10"/>
  <c r="AG33" i="5"/>
  <c r="AG22" i="5" s="1"/>
  <c r="AH37" i="6"/>
  <c r="AH21" i="10"/>
  <c r="BB19" i="6"/>
  <c r="AT15" i="10"/>
  <c r="BP15" i="10"/>
  <c r="BP33" i="5"/>
  <c r="BP22" i="5" s="1"/>
  <c r="BQ37" i="6"/>
  <c r="BQ21" i="10"/>
  <c r="EA33" i="5"/>
  <c r="EA22" i="5" s="1"/>
  <c r="EB37" i="6"/>
  <c r="EB21" i="10"/>
  <c r="DT16" i="5"/>
  <c r="DT148" i="11"/>
  <c r="DT50" i="5" s="1"/>
  <c r="DU19" i="6"/>
  <c r="DU18" i="6" s="1"/>
  <c r="DU15" i="10"/>
  <c r="ER106" i="14"/>
  <c r="EO17" i="10" s="1"/>
  <c r="EN17" i="5" s="1"/>
  <c r="EL214" i="14"/>
  <c r="EI32" i="10" s="1"/>
  <c r="AF20" i="6"/>
  <c r="AE18" i="5"/>
  <c r="AH18" i="5"/>
  <c r="AI20" i="6"/>
  <c r="AG15" i="10"/>
  <c r="AK20" i="6"/>
  <c r="AJ18" i="5"/>
  <c r="BK33" i="5"/>
  <c r="BK22" i="5" s="1"/>
  <c r="BL37" i="6"/>
  <c r="BL21" i="10"/>
  <c r="AY148" i="11"/>
  <c r="AY50" i="5" s="1"/>
  <c r="BT148" i="11"/>
  <c r="BT50" i="5" s="1"/>
  <c r="D733" i="32"/>
  <c r="L35" i="17"/>
  <c r="EG124" i="14"/>
  <c r="ED39" i="10" s="1"/>
  <c r="AD19" i="6"/>
  <c r="DQ148" i="11"/>
  <c r="DQ50" i="5" s="1"/>
  <c r="DQ17" i="5"/>
  <c r="CW148" i="11"/>
  <c r="CW50" i="5" s="1"/>
  <c r="CC37" i="6"/>
  <c r="CB33" i="5"/>
  <c r="CB22" i="5" s="1"/>
  <c r="CC21" i="10"/>
  <c r="M11" i="26"/>
  <c r="CR16" i="5"/>
  <c r="CS19" i="6"/>
  <c r="CR148" i="11"/>
  <c r="CR50" i="5" s="1"/>
  <c r="CS15" i="10"/>
  <c r="CL19" i="6"/>
  <c r="CL18" i="6" s="1"/>
  <c r="EC38" i="10"/>
  <c r="DP20" i="6"/>
  <c r="DO18" i="5"/>
  <c r="DJ19" i="6"/>
  <c r="DJ18" i="6" s="1"/>
  <c r="CW33" i="5"/>
  <c r="CW22" i="5" s="1"/>
  <c r="CX37" i="6"/>
  <c r="CX21" i="10"/>
  <c r="AP33" i="5"/>
  <c r="AP22" i="5" s="1"/>
  <c r="AQ37" i="6"/>
  <c r="AQ21" i="10"/>
  <c r="AH20" i="6"/>
  <c r="AG18" i="5"/>
  <c r="DK20" i="6"/>
  <c r="DJ18" i="5"/>
  <c r="BF37" i="6"/>
  <c r="BE33" i="5"/>
  <c r="BE22" i="5" s="1"/>
  <c r="BF21" i="10"/>
  <c r="AO16" i="5"/>
  <c r="AO148" i="11"/>
  <c r="AO50" i="5" s="1"/>
  <c r="AP19" i="6"/>
  <c r="AP15" i="10"/>
  <c r="AY37" i="6"/>
  <c r="AX33" i="5"/>
  <c r="AX22" i="5" s="1"/>
  <c r="AY21" i="10"/>
  <c r="BS33" i="5"/>
  <c r="BS22" i="5" s="1"/>
  <c r="BT37" i="6"/>
  <c r="BT21" i="10"/>
  <c r="DW37" i="6"/>
  <c r="DV33" i="5"/>
  <c r="DV22" i="5" s="1"/>
  <c r="DW21" i="10"/>
  <c r="AM19" i="6"/>
  <c r="AM18" i="6" s="1"/>
  <c r="CK20" i="6"/>
  <c r="CJ18" i="5"/>
  <c r="N117" i="11"/>
  <c r="O114" i="11" s="1"/>
  <c r="O116" i="11" s="1"/>
  <c r="N44" i="5"/>
  <c r="AD37" i="10"/>
  <c r="AD55" i="10" s="1"/>
  <c r="CU33" i="5"/>
  <c r="CU22" i="5" s="1"/>
  <c r="CV37" i="6"/>
  <c r="CV21" i="10"/>
  <c r="CM19" i="6"/>
  <c r="M13" i="26"/>
  <c r="E158" i="32" s="1"/>
  <c r="AK148" i="11"/>
  <c r="AK50" i="5" s="1"/>
  <c r="DM15" i="10"/>
  <c r="DL33" i="5"/>
  <c r="DL22" i="5" s="1"/>
  <c r="DM37" i="6"/>
  <c r="DM21" i="10"/>
  <c r="CO18" i="5"/>
  <c r="CP20" i="6"/>
  <c r="EH214" i="14"/>
  <c r="EE32" i="10" s="1"/>
  <c r="DG37" i="10"/>
  <c r="DG55" i="10" s="1"/>
  <c r="Z148" i="11"/>
  <c r="Z50" i="5" s="1"/>
  <c r="BT19" i="6"/>
  <c r="CT153" i="11"/>
  <c r="CT52" i="5" s="1"/>
  <c r="CU24" i="6"/>
  <c r="T12" i="17"/>
  <c r="BE19" i="6"/>
  <c r="BE18" i="6" s="1"/>
  <c r="BI19" i="6"/>
  <c r="BI18" i="6" s="1"/>
  <c r="L8" i="35"/>
  <c r="N70" i="14"/>
  <c r="AH33" i="5"/>
  <c r="AI37" i="6"/>
  <c r="AI21" i="10"/>
  <c r="BA33" i="5"/>
  <c r="BA22" i="5" s="1"/>
  <c r="BB37" i="6"/>
  <c r="BB21" i="10"/>
  <c r="CH16" i="5"/>
  <c r="CH148" i="11"/>
  <c r="CH50" i="5" s="1"/>
  <c r="CI19" i="6"/>
  <c r="CI15" i="10"/>
  <c r="AR20" i="6"/>
  <c r="AQ18" i="5"/>
  <c r="AW37" i="6"/>
  <c r="AV33" i="5"/>
  <c r="AV22" i="5" s="1"/>
  <c r="AW21" i="10"/>
  <c r="AB33" i="5"/>
  <c r="AC37" i="6"/>
  <c r="AC21" i="10"/>
  <c r="EH18" i="10"/>
  <c r="EM106" i="14"/>
  <c r="EJ17" i="10" s="1"/>
  <c r="EI17" i="5" s="1"/>
  <c r="BL20" i="6"/>
  <c r="BK18" i="5"/>
  <c r="AD148" i="11"/>
  <c r="AD50" i="5" s="1"/>
  <c r="BJ37" i="6"/>
  <c r="BI33" i="5"/>
  <c r="AC52" i="1"/>
  <c r="BJ21" i="10"/>
  <c r="DX16" i="5"/>
  <c r="DX148" i="11"/>
  <c r="DX50" i="5" s="1"/>
  <c r="DY19" i="6"/>
  <c r="DY18" i="6" s="1"/>
  <c r="DY15" i="10"/>
  <c r="CX20" i="6"/>
  <c r="CW18" i="5"/>
  <c r="BO33" i="5"/>
  <c r="BP37" i="6"/>
  <c r="BP21" i="10"/>
  <c r="EM214" i="14"/>
  <c r="EJ32" i="10" s="1"/>
  <c r="BN148" i="11"/>
  <c r="BN50" i="5" s="1"/>
  <c r="DU16" i="5"/>
  <c r="DV19" i="6"/>
  <c r="DV18" i="6" s="1"/>
  <c r="DU148" i="11"/>
  <c r="DU50" i="5" s="1"/>
  <c r="DV15" i="10"/>
  <c r="AE19" i="6"/>
  <c r="AE18" i="6" s="1"/>
  <c r="D734" i="32"/>
  <c r="DO16" i="5"/>
  <c r="DP19" i="6"/>
  <c r="DO148" i="11"/>
  <c r="DO50" i="5" s="1"/>
  <c r="DP15" i="10"/>
  <c r="DO19" i="6"/>
  <c r="AQ22" i="5"/>
  <c r="AN16" i="5"/>
  <c r="AO19" i="6"/>
  <c r="AN148" i="11"/>
  <c r="AN50" i="5" s="1"/>
  <c r="AO15" i="10"/>
  <c r="DM16" i="5"/>
  <c r="DM148" i="11"/>
  <c r="DM50" i="5" s="1"/>
  <c r="DN19" i="6"/>
  <c r="DN15" i="10"/>
  <c r="BR16" i="5"/>
  <c r="V11" i="17" s="1"/>
  <c r="BR148" i="11"/>
  <c r="BR50" i="5" s="1"/>
  <c r="BS19" i="6"/>
  <c r="BS18" i="6" s="1"/>
  <c r="BS15" i="10"/>
  <c r="CL33" i="5"/>
  <c r="CL22" i="5" s="1"/>
  <c r="CM37" i="6"/>
  <c r="CM21" i="10"/>
  <c r="AT37" i="6"/>
  <c r="AS33" i="5"/>
  <c r="AS22" i="5" s="1"/>
  <c r="AT21" i="10"/>
  <c r="CQ148" i="11"/>
  <c r="CQ50" i="5" s="1"/>
  <c r="CY20" i="6"/>
  <c r="CX18" i="5"/>
  <c r="BG16" i="5"/>
  <c r="BH19" i="6"/>
  <c r="BG148" i="11"/>
  <c r="BG50" i="5" s="1"/>
  <c r="BH15" i="10"/>
  <c r="CR18" i="5"/>
  <c r="CS20" i="6"/>
  <c r="DH37" i="10"/>
  <c r="DH55" i="10" s="1"/>
  <c r="AQ16" i="5"/>
  <c r="AQ148" i="11"/>
  <c r="AQ50" i="5" s="1"/>
  <c r="AR19" i="6"/>
  <c r="AR15" i="10"/>
  <c r="BD33" i="5"/>
  <c r="BD22" i="5" s="1"/>
  <c r="BE37" i="6"/>
  <c r="BE21" i="10"/>
  <c r="K40" i="16"/>
  <c r="CG16" i="5"/>
  <c r="AE36" i="1"/>
  <c r="CG148" i="11"/>
  <c r="CG50" i="5" s="1"/>
  <c r="CH19" i="6"/>
  <c r="CH15" i="10"/>
  <c r="DO37" i="6"/>
  <c r="DN33" i="5"/>
  <c r="DN22" i="5" s="1"/>
  <c r="DO21" i="10"/>
  <c r="CT16" i="5"/>
  <c r="CU19" i="6"/>
  <c r="CT148" i="11"/>
  <c r="CT50" i="5" s="1"/>
  <c r="CU15" i="10"/>
  <c r="EK38" i="10"/>
  <c r="ED38" i="10"/>
  <c r="EP16" i="10"/>
  <c r="AK37" i="10"/>
  <c r="AK55" i="10" s="1"/>
  <c r="BC16" i="5"/>
  <c r="BD19" i="6"/>
  <c r="BC148" i="11"/>
  <c r="BC50" i="5" s="1"/>
  <c r="BD15" i="10"/>
  <c r="ET124" i="14"/>
  <c r="EQ39" i="10" s="1"/>
  <c r="N125" i="14"/>
  <c r="EU124" i="14"/>
  <c r="ER39" i="10" s="1"/>
  <c r="EF214" i="14"/>
  <c r="EC32" i="10" s="1"/>
  <c r="AH52" i="1" s="1"/>
  <c r="AN19" i="6"/>
  <c r="DD15" i="10"/>
  <c r="AH16" i="5"/>
  <c r="AH148" i="11"/>
  <c r="AH50" i="5" s="1"/>
  <c r="AI19" i="6"/>
  <c r="AI15" i="10"/>
  <c r="BK37" i="10"/>
  <c r="BK55" i="10" s="1"/>
  <c r="S153" i="11"/>
  <c r="S52" i="5" s="1"/>
  <c r="T24" i="6"/>
  <c r="AW148" i="11"/>
  <c r="AW50" i="5" s="1"/>
  <c r="AW17" i="5"/>
  <c r="AB37" i="1"/>
  <c r="F5" i="21" s="1"/>
  <c r="CS16" i="5"/>
  <c r="AF36" i="1"/>
  <c r="CT19" i="6"/>
  <c r="CT15" i="10"/>
  <c r="BV19" i="6"/>
  <c r="CZ37" i="6"/>
  <c r="CY33" i="5"/>
  <c r="CZ21" i="10"/>
  <c r="DX37" i="10"/>
  <c r="DX55" i="10" s="1"/>
  <c r="BQ33" i="5"/>
  <c r="BQ22" i="5" s="1"/>
  <c r="BR37" i="6"/>
  <c r="BR21" i="10"/>
  <c r="EH38" i="10"/>
  <c r="CV33" i="5"/>
  <c r="CV22" i="5" s="1"/>
  <c r="CW37" i="6"/>
  <c r="CW21" i="10"/>
  <c r="AI18" i="5"/>
  <c r="AJ20" i="6"/>
  <c r="AT19" i="6"/>
  <c r="BP19" i="6"/>
  <c r="CJ20" i="6"/>
  <c r="CI18" i="5"/>
  <c r="AQ20" i="6"/>
  <c r="AP18" i="5"/>
  <c r="CY15" i="10"/>
  <c r="BV18" i="5"/>
  <c r="BW20" i="6"/>
  <c r="AZ16" i="5"/>
  <c r="AZ148" i="11"/>
  <c r="AZ50" i="5" s="1"/>
  <c r="BA19" i="6"/>
  <c r="BA15" i="10"/>
  <c r="ER214" i="14"/>
  <c r="EO32" i="10" s="1"/>
  <c r="EL106" i="14"/>
  <c r="EI17" i="10" s="1"/>
  <c r="EH17" i="5" s="1"/>
  <c r="BZ16" i="5"/>
  <c r="CA19" i="6"/>
  <c r="CA18" i="6" s="1"/>
  <c r="BZ148" i="11"/>
  <c r="BZ50" i="5" s="1"/>
  <c r="CA15" i="10"/>
  <c r="N126" i="14"/>
  <c r="AF52" i="1"/>
  <c r="CS33" i="5"/>
  <c r="CT37" i="6"/>
  <c r="CT21" i="10"/>
  <c r="AF148" i="11"/>
  <c r="AF50" i="5" s="1"/>
  <c r="AZ19" i="6"/>
  <c r="L35" i="26"/>
  <c r="D172" i="32"/>
  <c r="EG214" i="14"/>
  <c r="ED32" i="10" s="1"/>
  <c r="EP18" i="10"/>
  <c r="DA37" i="6"/>
  <c r="CZ33" i="5"/>
  <c r="CZ22" i="5" s="1"/>
  <c r="DA21" i="10"/>
  <c r="AC148" i="11"/>
  <c r="AC50" i="5" s="1"/>
  <c r="CX19" i="6"/>
  <c r="M11" i="17"/>
  <c r="DB16" i="5"/>
  <c r="DC19" i="6"/>
  <c r="DC18" i="6" s="1"/>
  <c r="DB148" i="11"/>
  <c r="DB50" i="5" s="1"/>
  <c r="DC15" i="10"/>
  <c r="DC33" i="10" s="1"/>
  <c r="DS33" i="5"/>
  <c r="DS22" i="5" s="1"/>
  <c r="DT37" i="6"/>
  <c r="DT21" i="10"/>
  <c r="ET106" i="14"/>
  <c r="EQ17" i="10" s="1"/>
  <c r="EP17" i="5" s="1"/>
  <c r="EF18" i="10"/>
  <c r="N134" i="14"/>
  <c r="N131" i="14"/>
  <c r="AJ37" i="6"/>
  <c r="AI33" i="5"/>
  <c r="AI22" i="5" s="1"/>
  <c r="AJ21" i="10"/>
  <c r="AM33" i="5"/>
  <c r="AM22" i="5" s="1"/>
  <c r="AN37" i="6"/>
  <c r="AN21" i="10"/>
  <c r="CD153" i="11"/>
  <c r="CD52" i="5" s="1"/>
  <c r="CE24" i="6"/>
  <c r="DI148" i="11"/>
  <c r="DI50" i="5" s="1"/>
  <c r="AX37" i="10"/>
  <c r="AX55" i="10" s="1"/>
  <c r="DZ37" i="10"/>
  <c r="DZ55" i="10" s="1"/>
  <c r="AE37" i="6"/>
  <c r="AD33" i="5"/>
  <c r="AD22" i="5" s="1"/>
  <c r="AE21" i="10"/>
  <c r="AY15" i="10"/>
  <c r="BB16" i="5"/>
  <c r="BB148" i="11"/>
  <c r="BB50" i="5" s="1"/>
  <c r="BC19" i="6"/>
  <c r="BC18" i="6" s="1"/>
  <c r="BC15" i="10"/>
  <c r="EA16" i="5"/>
  <c r="EB19" i="6"/>
  <c r="EA148" i="11"/>
  <c r="EA50" i="5" s="1"/>
  <c r="EB15" i="10"/>
  <c r="EN38" i="10"/>
  <c r="BZ15" i="10"/>
  <c r="BZ37" i="6"/>
  <c r="BY33" i="5"/>
  <c r="BY22" i="5" s="1"/>
  <c r="BZ21" i="10"/>
  <c r="CL148" i="11"/>
  <c r="CL50" i="5" s="1"/>
  <c r="M13" i="17"/>
  <c r="E719" i="32" s="1"/>
  <c r="AA36" i="1"/>
  <c r="DL148" i="11"/>
  <c r="DL50" i="5" s="1"/>
  <c r="EA15" i="10"/>
  <c r="AQ15" i="10"/>
  <c r="BH33" i="5"/>
  <c r="BH22" i="5" s="1"/>
  <c r="BI37" i="6"/>
  <c r="BI21" i="10"/>
  <c r="DY37" i="6"/>
  <c r="DX33" i="5"/>
  <c r="DX22" i="5" s="1"/>
  <c r="DY21" i="10"/>
  <c r="EK18" i="10"/>
  <c r="ED40" i="10"/>
  <c r="EE38" i="10"/>
  <c r="AB15" i="10"/>
  <c r="AK15" i="10"/>
  <c r="CG15" i="10"/>
  <c r="BF153" i="11"/>
  <c r="BF52" i="5" s="1"/>
  <c r="BG24" i="6"/>
  <c r="BQ15" i="10"/>
  <c r="CN33" i="5"/>
  <c r="CN22" i="5" s="1"/>
  <c r="CO37" i="6"/>
  <c r="CO21" i="10"/>
  <c r="BD148" i="11"/>
  <c r="BD50" i="5" s="1"/>
  <c r="BH148" i="11"/>
  <c r="BH50" i="5" s="1"/>
  <c r="I8" i="30"/>
  <c r="AC33" i="5"/>
  <c r="AC22" i="5" s="1"/>
  <c r="AD37" i="6"/>
  <c r="AD21" i="10"/>
  <c r="CS148" i="11"/>
  <c r="CS50" i="5" s="1"/>
  <c r="CS17" i="5"/>
  <c r="AF37" i="1"/>
  <c r="J5" i="21" s="1"/>
  <c r="DW16" i="5"/>
  <c r="DX19" i="6"/>
  <c r="DW148" i="11"/>
  <c r="DW50" i="5" s="1"/>
  <c r="DX15" i="10"/>
  <c r="AE33" i="5"/>
  <c r="AF37" i="6"/>
  <c r="AF21" i="10"/>
  <c r="DO20" i="6"/>
  <c r="DN18" i="5"/>
  <c r="BX33" i="5"/>
  <c r="BX22" i="5" s="1"/>
  <c r="BY37" i="6"/>
  <c r="BY21" i="10"/>
  <c r="C467" i="32"/>
  <c r="D467" i="32" s="1"/>
  <c r="E467" i="32" s="1"/>
  <c r="F467" i="32" s="1"/>
  <c r="G467" i="32" s="1"/>
  <c r="H467" i="32" s="1"/>
  <c r="I467" i="32" s="1"/>
  <c r="J467" i="32" s="1"/>
  <c r="L468" i="32"/>
  <c r="CA22" i="5"/>
  <c r="AB52" i="1"/>
  <c r="AW33" i="5"/>
  <c r="AX37" i="6"/>
  <c r="AX21" i="10"/>
  <c r="DY16" i="5"/>
  <c r="DY148" i="11"/>
  <c r="DY50" i="5" s="1"/>
  <c r="DZ19" i="6"/>
  <c r="DZ15" i="10"/>
  <c r="CG37" i="6"/>
  <c r="CF33" i="5"/>
  <c r="CF22" i="5" s="1"/>
  <c r="CG21" i="10"/>
  <c r="V12" i="17"/>
  <c r="AB12" i="17"/>
  <c r="BM37" i="10"/>
  <c r="BM55" i="10" s="1"/>
  <c r="BN37" i="6"/>
  <c r="BM33" i="5"/>
  <c r="BM22" i="5" s="1"/>
  <c r="BN21" i="10"/>
  <c r="EO106" i="14"/>
  <c r="EL17" i="10" s="1"/>
  <c r="EK17" i="5" s="1"/>
  <c r="CB20" i="6"/>
  <c r="CA18" i="5"/>
  <c r="DJ33" i="5"/>
  <c r="DJ22" i="5" s="1"/>
  <c r="DK37" i="6"/>
  <c r="DK21" i="10"/>
  <c r="DY18" i="5"/>
  <c r="DZ20" i="6"/>
  <c r="BF16" i="5"/>
  <c r="BF148" i="11"/>
  <c r="BF50" i="5" s="1"/>
  <c r="BG19" i="6"/>
  <c r="BG15" i="10"/>
  <c r="DS18" i="5"/>
  <c r="DT20" i="6"/>
  <c r="C694" i="32"/>
  <c r="CK33" i="5"/>
  <c r="CK22" i="5" s="1"/>
  <c r="CL37" i="6"/>
  <c r="CL21" i="10"/>
  <c r="EQ124" i="14"/>
  <c r="EN39" i="10" s="1"/>
  <c r="EO40" i="10"/>
  <c r="CJ16" i="5"/>
  <c r="CK19" i="6"/>
  <c r="CJ148" i="11"/>
  <c r="CJ50" i="5" s="1"/>
  <c r="CK15" i="10"/>
  <c r="EN106" i="14"/>
  <c r="EK17" i="10" s="1"/>
  <c r="EJ17" i="5" s="1"/>
  <c r="ES214" i="14"/>
  <c r="EP32" i="10" s="1"/>
  <c r="DC33" i="5"/>
  <c r="DC22" i="5" s="1"/>
  <c r="DD37" i="6"/>
  <c r="DD21" i="10"/>
  <c r="DR37" i="6"/>
  <c r="DQ33" i="5"/>
  <c r="DR21" i="10"/>
  <c r="AJ33" i="5"/>
  <c r="AJ22" i="5" s="1"/>
  <c r="AK37" i="6"/>
  <c r="AK21" i="10"/>
  <c r="EQ18" i="10"/>
  <c r="EI214" i="14"/>
  <c r="EF32" i="10" s="1"/>
  <c r="N107" i="14"/>
  <c r="EU106" i="14"/>
  <c r="ER17" i="10" s="1"/>
  <c r="EQ17" i="5" s="1"/>
  <c r="N130" i="14"/>
  <c r="EF106" i="14"/>
  <c r="EC17" i="10" s="1"/>
  <c r="EB17" i="5" s="1"/>
  <c r="AF12" i="17" s="1"/>
  <c r="BW16" i="5"/>
  <c r="BX19" i="6"/>
  <c r="BW148" i="11"/>
  <c r="BW50" i="5" s="1"/>
  <c r="BX15" i="10"/>
  <c r="AM148" i="11"/>
  <c r="AM50" i="5" s="1"/>
  <c r="DD19" i="6"/>
  <c r="E929" i="32"/>
  <c r="BO37" i="6"/>
  <c r="BN33" i="5"/>
  <c r="BN22" i="5" s="1"/>
  <c r="BO21" i="10"/>
  <c r="CX33" i="5"/>
  <c r="CX22" i="5" s="1"/>
  <c r="CY37" i="6"/>
  <c r="CY21" i="10"/>
  <c r="M41" i="5"/>
  <c r="M141" i="5" s="1"/>
  <c r="EG16" i="10"/>
  <c r="EO124" i="14"/>
  <c r="EL39" i="10" s="1"/>
  <c r="DD16" i="5"/>
  <c r="DE19" i="6"/>
  <c r="DE18" i="6" s="1"/>
  <c r="DD148" i="11"/>
  <c r="DD50" i="5" s="1"/>
  <c r="DE15" i="10"/>
  <c r="BB15" i="10"/>
  <c r="C911" i="32"/>
  <c r="AS148" i="11"/>
  <c r="AS50" i="5" s="1"/>
  <c r="BO148" i="11"/>
  <c r="BO50" i="5" s="1"/>
  <c r="DR16" i="5"/>
  <c r="DR148" i="11"/>
  <c r="DR50" i="5" s="1"/>
  <c r="DS19" i="6"/>
  <c r="DS15" i="10"/>
  <c r="CX148" i="11"/>
  <c r="CX50" i="5" s="1"/>
  <c r="EP124" i="14"/>
  <c r="EM39" i="10" s="1"/>
  <c r="AR16" i="5"/>
  <c r="AS19" i="6"/>
  <c r="AR148" i="11"/>
  <c r="AR50" i="5" s="1"/>
  <c r="AS15" i="10"/>
  <c r="AG19" i="6"/>
  <c r="BU15" i="10"/>
  <c r="CJ33" i="5"/>
  <c r="CJ22" i="5" s="1"/>
  <c r="CK37" i="6"/>
  <c r="CK21" i="10"/>
  <c r="EH124" i="14"/>
  <c r="EE39" i="10" s="1"/>
  <c r="DV37" i="6"/>
  <c r="DU33" i="5"/>
  <c r="DU22" i="5" s="1"/>
  <c r="DV21" i="10"/>
  <c r="CL15" i="10"/>
  <c r="ET214" i="14"/>
  <c r="EQ32" i="10" s="1"/>
  <c r="N137" i="14"/>
  <c r="AN33" i="5"/>
  <c r="AN22" i="5" s="1"/>
  <c r="AO37" i="6"/>
  <c r="AO21" i="10"/>
  <c r="BW33" i="5"/>
  <c r="BW22" i="5" s="1"/>
  <c r="BX37" i="6"/>
  <c r="BX21" i="10"/>
  <c r="Q153" i="11"/>
  <c r="Q52" i="5" s="1"/>
  <c r="R24" i="6"/>
  <c r="EJ124" i="14"/>
  <c r="EG39" i="10" s="1"/>
  <c r="AD12" i="17"/>
  <c r="CF37" i="10"/>
  <c r="CF55" i="10" s="1"/>
  <c r="AW18" i="5"/>
  <c r="AX20" i="6"/>
  <c r="AB38" i="1"/>
  <c r="F6" i="21" s="1"/>
  <c r="DZ37" i="6"/>
  <c r="DY33" i="5"/>
  <c r="DY22" i="5" s="1"/>
  <c r="DZ21" i="10"/>
  <c r="AX148" i="11"/>
  <c r="AX50" i="5" s="1"/>
  <c r="BK16" i="5"/>
  <c r="BK148" i="11"/>
  <c r="BK50" i="5" s="1"/>
  <c r="BL19" i="6"/>
  <c r="BL15" i="10"/>
  <c r="AM15" i="10"/>
  <c r="AT33" i="5"/>
  <c r="AT22" i="5" s="1"/>
  <c r="AU37" i="6"/>
  <c r="AU21" i="10"/>
  <c r="BR20" i="6"/>
  <c r="BQ18" i="5"/>
  <c r="CE18" i="5"/>
  <c r="CF20" i="6"/>
  <c r="BY148" i="11"/>
  <c r="BY50" i="5" s="1"/>
  <c r="CC16" i="5"/>
  <c r="CC148" i="11"/>
  <c r="CC50" i="5" s="1"/>
  <c r="CD19" i="6"/>
  <c r="CD15" i="10"/>
  <c r="DM19" i="6"/>
  <c r="DM18" i="6" s="1"/>
  <c r="BX18" i="5"/>
  <c r="BY20" i="6"/>
  <c r="EA19" i="6"/>
  <c r="AP148" i="11"/>
  <c r="AP50" i="5" s="1"/>
  <c r="BL33" i="5"/>
  <c r="BL22" i="5" s="1"/>
  <c r="BM37" i="6"/>
  <c r="BM21" i="10"/>
  <c r="CG33" i="5"/>
  <c r="AE52" i="1"/>
  <c r="CH37" i="6"/>
  <c r="CH21" i="10"/>
  <c r="AA148" i="11"/>
  <c r="AA50" i="5" s="1"/>
  <c r="AA15" i="10"/>
  <c r="DR15" i="10"/>
  <c r="AK19" i="6"/>
  <c r="CG19" i="6"/>
  <c r="CG18" i="6" s="1"/>
  <c r="BT15" i="10"/>
  <c r="BQ19" i="6"/>
  <c r="EQ16" i="10"/>
  <c r="N133" i="14"/>
  <c r="ER16" i="10"/>
  <c r="BL16" i="5"/>
  <c r="BM19" i="6"/>
  <c r="BL148" i="11"/>
  <c r="BL50" i="5" s="1"/>
  <c r="BM15" i="10"/>
  <c r="DK33" i="5"/>
  <c r="DL37" i="6"/>
  <c r="DL21" i="10"/>
  <c r="C6" i="21"/>
  <c r="DR33" i="5"/>
  <c r="DR22" i="5" s="1"/>
  <c r="DS37" i="6"/>
  <c r="DS21" i="10"/>
  <c r="AP20" i="6"/>
  <c r="AO18" i="5"/>
  <c r="DP18" i="5"/>
  <c r="DQ20" i="6"/>
  <c r="CI16" i="5"/>
  <c r="CI148" i="11"/>
  <c r="CI50" i="5" s="1"/>
  <c r="CJ19" i="6"/>
  <c r="CJ15" i="10"/>
  <c r="BU37" i="6"/>
  <c r="BT33" i="5"/>
  <c r="BT22" i="5" s="1"/>
  <c r="BU21" i="10"/>
  <c r="EG38" i="10"/>
  <c r="EG40" i="10"/>
  <c r="EJ214" i="14"/>
  <c r="EG32" i="10" s="1"/>
  <c r="EJ16" i="10"/>
  <c r="CE33" i="5"/>
  <c r="CE22" i="5" s="1"/>
  <c r="CF37" i="6"/>
  <c r="CF21" i="10"/>
  <c r="P153" i="11"/>
  <c r="P52" i="5" s="1"/>
  <c r="Q24" i="6"/>
  <c r="BO15" i="10"/>
  <c r="BR33" i="5"/>
  <c r="BR22" i="5" s="1"/>
  <c r="BS37" i="6"/>
  <c r="BS21" i="10"/>
  <c r="AE15" i="10"/>
  <c r="DS16" i="5"/>
  <c r="DS148" i="11"/>
  <c r="DS50" i="5" s="1"/>
  <c r="DT19" i="6"/>
  <c r="DT15" i="10"/>
  <c r="EQ106" i="14"/>
  <c r="EN17" i="10" s="1"/>
  <c r="EM17" i="5" s="1"/>
  <c r="DI20" i="6"/>
  <c r="DH18" i="5"/>
  <c r="BF18" i="5"/>
  <c r="BG20" i="6"/>
  <c r="BQ20" i="6"/>
  <c r="BP18" i="5"/>
  <c r="CW19" i="6"/>
  <c r="CW18" i="6" s="1"/>
  <c r="DI33" i="5"/>
  <c r="DI22" i="5" s="1"/>
  <c r="DJ37" i="6"/>
  <c r="DJ21" i="10"/>
  <c r="AV20" i="6"/>
  <c r="AU18" i="5"/>
  <c r="DO15" i="10"/>
  <c r="BB33" i="5"/>
  <c r="BB22" i="5" s="1"/>
  <c r="BC37" i="6"/>
  <c r="BC21" i="10"/>
  <c r="EF38" i="10"/>
  <c r="BB37" i="10"/>
  <c r="BB55" i="10" s="1"/>
  <c r="CR15" i="10"/>
  <c r="Y16" i="5"/>
  <c r="Z36" i="1"/>
  <c r="Y148" i="11"/>
  <c r="Y50" i="5" s="1"/>
  <c r="Z15" i="10"/>
  <c r="CZ19" i="6"/>
  <c r="AC38" i="1"/>
  <c r="G6" i="21" s="1"/>
  <c r="CH37" i="10"/>
  <c r="CH55" i="10" s="1"/>
  <c r="EK214" i="14"/>
  <c r="EH32" i="10" s="1"/>
  <c r="EK124" i="14"/>
  <c r="EH39" i="10" s="1"/>
  <c r="EJ40" i="10"/>
  <c r="EO214" i="14"/>
  <c r="EL32" i="10" s="1"/>
  <c r="BO37" i="10"/>
  <c r="BO55" i="10" s="1"/>
  <c r="AT16" i="5"/>
  <c r="AT148" i="11"/>
  <c r="AT50" i="5" s="1"/>
  <c r="AU19" i="6"/>
  <c r="AU15" i="10"/>
  <c r="BN37" i="10"/>
  <c r="BN55" i="10" s="1"/>
  <c r="CO33" i="5"/>
  <c r="CO22" i="5" s="1"/>
  <c r="CP37" i="6"/>
  <c r="CP21" i="10"/>
  <c r="EP106" i="14"/>
  <c r="EM17" i="10" s="1"/>
  <c r="EL17" i="5" s="1"/>
  <c r="EM40" i="10"/>
  <c r="EN16" i="10"/>
  <c r="DH37" i="6"/>
  <c r="DG33" i="5"/>
  <c r="DG22" i="5" s="1"/>
  <c r="DH21" i="10"/>
  <c r="CD16" i="5"/>
  <c r="CE19" i="6"/>
  <c r="CE18" i="6" s="1"/>
  <c r="CD148" i="11"/>
  <c r="CD50" i="5" s="1"/>
  <c r="CE15" i="10"/>
  <c r="CP16" i="5"/>
  <c r="CQ19" i="6"/>
  <c r="CQ18" i="6" s="1"/>
  <c r="CP148" i="11"/>
  <c r="CP50" i="5" s="1"/>
  <c r="CQ15" i="10"/>
  <c r="CC20" i="6"/>
  <c r="CB18" i="5"/>
  <c r="BV16" i="5"/>
  <c r="BV148" i="11"/>
  <c r="BV50" i="5" s="1"/>
  <c r="BW19" i="6"/>
  <c r="BW15" i="10"/>
  <c r="EN214" i="14"/>
  <c r="EK32" i="10" s="1"/>
  <c r="EE40" i="10"/>
  <c r="P12" i="17"/>
  <c r="CA37" i="10"/>
  <c r="CA55" i="10" s="1"/>
  <c r="CJ37" i="6"/>
  <c r="CI33" i="5"/>
  <c r="CI22" i="5" s="1"/>
  <c r="CJ21" i="10"/>
  <c r="CR33" i="5"/>
  <c r="CR22" i="5" s="1"/>
  <c r="CS37" i="6"/>
  <c r="CS21" i="10"/>
  <c r="EI106" i="14"/>
  <c r="EF17" i="10" s="1"/>
  <c r="EE17" i="5" s="1"/>
  <c r="DM33" i="5"/>
  <c r="DM22" i="5" s="1"/>
  <c r="DN37" i="6"/>
  <c r="DN21" i="10"/>
  <c r="DC148" i="11"/>
  <c r="DC50" i="5" s="1"/>
  <c r="DA33" i="5"/>
  <c r="DA22" i="5" s="1"/>
  <c r="DB37" i="6"/>
  <c r="DB21" i="10"/>
  <c r="CQ33" i="5"/>
  <c r="CQ22" i="5" s="1"/>
  <c r="CR37" i="6"/>
  <c r="CR21" i="10"/>
  <c r="M102" i="11"/>
  <c r="DF37" i="6"/>
  <c r="AG52" i="1"/>
  <c r="DE33" i="5"/>
  <c r="DF21" i="10"/>
  <c r="M22" i="5"/>
  <c r="BA148" i="11"/>
  <c r="BA50" i="5" s="1"/>
  <c r="AP37" i="6"/>
  <c r="AO33" i="5"/>
  <c r="AO22" i="5" s="1"/>
  <c r="AP21" i="10"/>
  <c r="EA37" i="6"/>
  <c r="DZ33" i="5"/>
  <c r="DZ22" i="5" s="1"/>
  <c r="EA21" i="10"/>
  <c r="AU20" i="6"/>
  <c r="AT18" i="5"/>
  <c r="CY19" i="6"/>
  <c r="BH20" i="6"/>
  <c r="BG18" i="5"/>
  <c r="BI148" i="11"/>
  <c r="BI50" i="5" s="1"/>
  <c r="BI17" i="5"/>
  <c r="AC37" i="1"/>
  <c r="G5" i="21" s="1"/>
  <c r="EM16" i="10"/>
  <c r="ER124" i="14"/>
  <c r="EO39" i="10" s="1"/>
  <c r="EI16" i="10"/>
  <c r="EI18" i="10"/>
  <c r="DP33" i="5"/>
  <c r="DP22" i="5" s="1"/>
  <c r="DQ37" i="6"/>
  <c r="DQ21" i="10"/>
  <c r="C479" i="32"/>
  <c r="D479" i="32" s="1"/>
  <c r="E479" i="32" s="1"/>
  <c r="F479" i="32" s="1"/>
  <c r="G479" i="32" s="1"/>
  <c r="H479" i="32" s="1"/>
  <c r="I479" i="32" s="1"/>
  <c r="J479" i="32" s="1"/>
  <c r="L480" i="32"/>
  <c r="AZ15" i="10"/>
  <c r="BU19" i="6"/>
  <c r="CG17" i="5"/>
  <c r="AE37" i="1"/>
  <c r="I5" i="21" s="1"/>
  <c r="EN124" i="14"/>
  <c r="EK39" i="10" s="1"/>
  <c r="EG106" i="14"/>
  <c r="ED17" i="10" s="1"/>
  <c r="EC17" i="5" s="1"/>
  <c r="ED16" i="10"/>
  <c r="AD15" i="10"/>
  <c r="CC33" i="5"/>
  <c r="CC22" i="5" s="1"/>
  <c r="CD37" i="6"/>
  <c r="CD21" i="10"/>
  <c r="CP33" i="5"/>
  <c r="CP22" i="5" s="1"/>
  <c r="CQ37" i="6"/>
  <c r="CQ21" i="10"/>
  <c r="CX15" i="10"/>
  <c r="BC33" i="5"/>
  <c r="BD37" i="6"/>
  <c r="BD21" i="10"/>
  <c r="N11" i="17"/>
  <c r="G587" i="32"/>
  <c r="CK148" i="11"/>
  <c r="CK50" i="5" s="1"/>
  <c r="DE37" i="6"/>
  <c r="DD33" i="5"/>
  <c r="DD22" i="5" s="1"/>
  <c r="DE21" i="10"/>
  <c r="CA37" i="6"/>
  <c r="BZ33" i="5"/>
  <c r="BZ22" i="5" s="1"/>
  <c r="CA21" i="10"/>
  <c r="DJ15" i="10"/>
  <c r="N160" i="14"/>
  <c r="CS18" i="5"/>
  <c r="CT20" i="6"/>
  <c r="AF38" i="1"/>
  <c r="J6" i="21" s="1"/>
  <c r="DQ37" i="10"/>
  <c r="DQ55" i="10" s="1"/>
  <c r="Z12" i="17"/>
  <c r="D650" i="32"/>
  <c r="K23" i="18"/>
  <c r="EH16" i="10"/>
  <c r="EL16" i="10"/>
  <c r="DE148" i="11"/>
  <c r="DE50" i="5" s="1"/>
  <c r="DE17" i="5"/>
  <c r="AG37" i="1"/>
  <c r="K5" i="21" s="1"/>
  <c r="DD20" i="6"/>
  <c r="DC18" i="5"/>
  <c r="BE18" i="5"/>
  <c r="BF20" i="6"/>
  <c r="CM20" i="6"/>
  <c r="CL18" i="5"/>
  <c r="AG37" i="6"/>
  <c r="AF33" i="5"/>
  <c r="AF22" i="5" s="1"/>
  <c r="AG21" i="10"/>
  <c r="AY19" i="6"/>
  <c r="H598" i="32"/>
  <c r="H590" i="32" s="1"/>
  <c r="V22" i="5"/>
  <c r="AL148" i="11"/>
  <c r="AL50" i="5" s="1"/>
  <c r="BV20" i="6"/>
  <c r="BU18" i="5"/>
  <c r="AD38" i="1"/>
  <c r="H6" i="21" s="1"/>
  <c r="AZ33" i="5"/>
  <c r="AZ22" i="5" s="1"/>
  <c r="BA37" i="6"/>
  <c r="BA21" i="10"/>
  <c r="DA20" i="6"/>
  <c r="CZ18" i="5"/>
  <c r="DF37" i="10"/>
  <c r="DF55" i="10" s="1"/>
  <c r="BZ19" i="6"/>
  <c r="Z33" i="5"/>
  <c r="Z22" i="5" s="1"/>
  <c r="AA37" i="6"/>
  <c r="AA21" i="10"/>
  <c r="CM15" i="10"/>
  <c r="AL15" i="10"/>
  <c r="AL19" i="6"/>
  <c r="AA37" i="1"/>
  <c r="E5" i="21" s="1"/>
  <c r="AK17" i="5"/>
  <c r="BG37" i="10"/>
  <c r="BG55" i="10" s="1"/>
  <c r="DZ148" i="11"/>
  <c r="DZ50" i="5" s="1"/>
  <c r="AQ19" i="6"/>
  <c r="BQ37" i="10"/>
  <c r="BQ55" i="10" s="1"/>
  <c r="EH106" i="14"/>
  <c r="EE17" i="10" s="1"/>
  <c r="ED17" i="5" s="1"/>
  <c r="AB19" i="6"/>
  <c r="AB18" i="6" s="1"/>
  <c r="AA19" i="6"/>
  <c r="AA18" i="6" s="1"/>
  <c r="DR19" i="6"/>
  <c r="AJ148" i="11"/>
  <c r="AJ50" i="5" s="1"/>
  <c r="CF148" i="11"/>
  <c r="CF50" i="5" s="1"/>
  <c r="BS148" i="11"/>
  <c r="BS50" i="5" s="1"/>
  <c r="BP148" i="11"/>
  <c r="BP50" i="5" s="1"/>
  <c r="BE15" i="10"/>
  <c r="BI15" i="10"/>
  <c r="ER38" i="10"/>
  <c r="N34" i="14"/>
  <c r="Y56" i="1" l="1"/>
  <c r="D166" i="21" s="1"/>
  <c r="X33" i="10"/>
  <c r="L7" i="35"/>
  <c r="L6" i="35" s="1"/>
  <c r="I7" i="30"/>
  <c r="W18" i="6"/>
  <c r="H547" i="32"/>
  <c r="H546" i="32" s="1"/>
  <c r="N24" i="6"/>
  <c r="N17" i="6" s="1"/>
  <c r="O33" i="10"/>
  <c r="Y33" i="10"/>
  <c r="W33" i="10"/>
  <c r="M142" i="5"/>
  <c r="M143" i="5" s="1"/>
  <c r="E547" i="32"/>
  <c r="E546" i="32" s="1"/>
  <c r="O153" i="11"/>
  <c r="O52" i="5" s="1"/>
  <c r="F558" i="32"/>
  <c r="F550" i="32" s="1"/>
  <c r="L21" i="35"/>
  <c r="L10" i="35" s="1"/>
  <c r="W24" i="6"/>
  <c r="V153" i="11"/>
  <c r="V52" i="5" s="1"/>
  <c r="T153" i="11"/>
  <c r="T52" i="5" s="1"/>
  <c r="F547" i="32"/>
  <c r="F546" i="32" s="1"/>
  <c r="M12" i="17"/>
  <c r="E718" i="32" s="1"/>
  <c r="J7" i="35"/>
  <c r="J6" i="35" s="1"/>
  <c r="M12" i="26"/>
  <c r="E157" i="32" s="1"/>
  <c r="W153" i="11"/>
  <c r="W52" i="5" s="1"/>
  <c r="F7" i="30"/>
  <c r="F6" i="30" s="1"/>
  <c r="T33" i="10"/>
  <c r="R33" i="10"/>
  <c r="N13" i="16"/>
  <c r="E678" i="32" s="1"/>
  <c r="G7" i="30"/>
  <c r="G6" i="30" s="1"/>
  <c r="C5" i="21"/>
  <c r="C8" i="21" s="1"/>
  <c r="C17" i="21" s="1"/>
  <c r="H21" i="30"/>
  <c r="H10" i="30" s="1"/>
  <c r="E598" i="32"/>
  <c r="E590" i="32" s="1"/>
  <c r="V24" i="6"/>
  <c r="V17" i="6" s="1"/>
  <c r="U153" i="11"/>
  <c r="U52" i="5" s="1"/>
  <c r="G558" i="32"/>
  <c r="G550" i="32" s="1"/>
  <c r="N45" i="17"/>
  <c r="O31" i="16"/>
  <c r="O18" i="16" s="1"/>
  <c r="I21" i="30"/>
  <c r="I10" i="30" s="1"/>
  <c r="Y24" i="6"/>
  <c r="Y17" i="6" s="1"/>
  <c r="H558" i="32"/>
  <c r="H550" i="32" s="1"/>
  <c r="N33" i="10"/>
  <c r="I7" i="35"/>
  <c r="Q33" i="10"/>
  <c r="M28" i="17"/>
  <c r="E729" i="32" s="1"/>
  <c r="K21" i="35"/>
  <c r="K10" i="35" s="1"/>
  <c r="F21" i="30"/>
  <c r="F10" i="30" s="1"/>
  <c r="K7" i="35"/>
  <c r="K6" i="35" s="1"/>
  <c r="U33" i="10"/>
  <c r="N31" i="16"/>
  <c r="E689" i="32" s="1"/>
  <c r="M28" i="26"/>
  <c r="E168" i="32" s="1"/>
  <c r="G547" i="32"/>
  <c r="G546" i="32" s="1"/>
  <c r="U18" i="6"/>
  <c r="U17" i="6" s="1"/>
  <c r="O13" i="16"/>
  <c r="F678" i="32" s="1"/>
  <c r="F677" i="32" s="1"/>
  <c r="H7" i="30"/>
  <c r="H6" i="30" s="1"/>
  <c r="O24" i="6"/>
  <c r="O17" i="6" s="1"/>
  <c r="N153" i="11"/>
  <c r="N52" i="5" s="1"/>
  <c r="G598" i="32"/>
  <c r="G590" i="32" s="1"/>
  <c r="E558" i="32"/>
  <c r="E550" i="32" s="1"/>
  <c r="N28" i="17"/>
  <c r="N17" i="17" s="1"/>
  <c r="I21" i="35"/>
  <c r="I10" i="35" s="1"/>
  <c r="F598" i="32"/>
  <c r="F590" i="32" s="1"/>
  <c r="F599" i="32" s="1"/>
  <c r="C78" i="32"/>
  <c r="C79" i="32" s="1"/>
  <c r="Y53" i="1"/>
  <c r="Y54" i="1" s="1"/>
  <c r="O28" i="1" s="1"/>
  <c r="J21" i="35"/>
  <c r="J10" i="35" s="1"/>
  <c r="G21" i="30"/>
  <c r="G10" i="30" s="1"/>
  <c r="S24" i="6"/>
  <c r="S17" i="6" s="1"/>
  <c r="S33" i="10"/>
  <c r="BT18" i="6"/>
  <c r="D8" i="35"/>
  <c r="E8" i="35" s="1"/>
  <c r="DL18" i="6"/>
  <c r="L150" i="11"/>
  <c r="K26" i="15" s="1"/>
  <c r="D558" i="32"/>
  <c r="D550" i="32" s="1"/>
  <c r="M31" i="16"/>
  <c r="L153" i="11"/>
  <c r="M24" i="6"/>
  <c r="D598" i="32"/>
  <c r="D590" i="32" s="1"/>
  <c r="D599" i="32" s="1"/>
  <c r="D585" i="32" s="1"/>
  <c r="L28" i="17"/>
  <c r="L28" i="26"/>
  <c r="L22" i="5"/>
  <c r="D547" i="32"/>
  <c r="D546" i="32" s="1"/>
  <c r="M13" i="16"/>
  <c r="M18" i="6"/>
  <c r="L46" i="17"/>
  <c r="L46" i="26"/>
  <c r="L15" i="5"/>
  <c r="L12" i="17"/>
  <c r="L10" i="17" s="1"/>
  <c r="L12" i="26"/>
  <c r="L10" i="26" s="1"/>
  <c r="M33" i="10"/>
  <c r="L45" i="17"/>
  <c r="L45" i="26"/>
  <c r="AG18" i="6"/>
  <c r="P17" i="6"/>
  <c r="BZ18" i="6"/>
  <c r="AV33" i="10"/>
  <c r="BA18" i="6"/>
  <c r="CU33" i="10"/>
  <c r="AN18" i="6"/>
  <c r="EC18" i="5"/>
  <c r="DF33" i="10"/>
  <c r="CI33" i="10"/>
  <c r="CE33" i="10"/>
  <c r="BU18" i="6"/>
  <c r="I588" i="32"/>
  <c r="EC20" i="6"/>
  <c r="AG14" i="16" s="1"/>
  <c r="X679" i="32" s="1"/>
  <c r="DT18" i="6"/>
  <c r="DH18" i="6"/>
  <c r="EL20" i="6"/>
  <c r="AM33" i="10"/>
  <c r="DC24" i="6"/>
  <c r="DC17" i="6" s="1"/>
  <c r="BB18" i="6"/>
  <c r="AH33" i="10"/>
  <c r="CI24" i="6"/>
  <c r="AX33" i="10"/>
  <c r="CB24" i="6"/>
  <c r="CB33" i="10"/>
  <c r="AY18" i="6"/>
  <c r="DB33" i="10"/>
  <c r="BW18" i="6"/>
  <c r="Z11" i="17"/>
  <c r="Z33" i="10"/>
  <c r="DK33" i="10"/>
  <c r="AB33" i="10"/>
  <c r="DN18" i="6"/>
  <c r="AH18" i="6"/>
  <c r="O13" i="17"/>
  <c r="G719" i="32" s="1"/>
  <c r="EB16" i="5"/>
  <c r="AF11" i="17" s="1"/>
  <c r="G586" i="32"/>
  <c r="DT33" i="10"/>
  <c r="V14" i="16"/>
  <c r="M679" i="32" s="1"/>
  <c r="AR24" i="6"/>
  <c r="CY18" i="6"/>
  <c r="DH33" i="10"/>
  <c r="T14" i="16"/>
  <c r="K679" i="32" s="1"/>
  <c r="BB33" i="10"/>
  <c r="AF33" i="10"/>
  <c r="AZ18" i="6"/>
  <c r="Q11" i="17"/>
  <c r="EI37" i="10"/>
  <c r="EI55" i="10" s="1"/>
  <c r="BI33" i="10"/>
  <c r="BM18" i="6"/>
  <c r="DW33" i="10"/>
  <c r="J588" i="32"/>
  <c r="AS18" i="6"/>
  <c r="R17" i="6"/>
  <c r="CL33" i="10"/>
  <c r="BG33" i="10"/>
  <c r="CB18" i="6"/>
  <c r="EP37" i="10"/>
  <c r="EP55" i="10" s="1"/>
  <c r="EO19" i="6"/>
  <c r="EO18" i="6" s="1"/>
  <c r="DF18" i="6"/>
  <c r="EF37" i="10"/>
  <c r="EF55" i="10" s="1"/>
  <c r="CJ18" i="6"/>
  <c r="AK18" i="6"/>
  <c r="EA18" i="6"/>
  <c r="BL18" i="6"/>
  <c r="AS33" i="10"/>
  <c r="EL37" i="10"/>
  <c r="EL55" i="10" s="1"/>
  <c r="AF13" i="17"/>
  <c r="AW33" i="10"/>
  <c r="J548" i="32"/>
  <c r="I548" i="32"/>
  <c r="X17" i="6"/>
  <c r="CD18" i="6"/>
  <c r="EB18" i="6"/>
  <c r="CW33" i="10"/>
  <c r="CV33" i="10"/>
  <c r="J8" i="30"/>
  <c r="DG18" i="6"/>
  <c r="EJ37" i="10"/>
  <c r="EJ55" i="10" s="1"/>
  <c r="CF33" i="10"/>
  <c r="BL33" i="10"/>
  <c r="BX18" i="6"/>
  <c r="CK18" i="6"/>
  <c r="BJ33" i="10"/>
  <c r="AD18" i="6"/>
  <c r="K588" i="32"/>
  <c r="K586" i="32" s="1"/>
  <c r="AT18" i="6"/>
  <c r="Y13" i="17"/>
  <c r="AE33" i="10"/>
  <c r="BO33" i="10"/>
  <c r="CX18" i="6"/>
  <c r="EQ37" i="10"/>
  <c r="EQ55" i="10" s="1"/>
  <c r="AQ18" i="6"/>
  <c r="EO37" i="10"/>
  <c r="EO55" i="10" s="1"/>
  <c r="AV18" i="6"/>
  <c r="DP33" i="10"/>
  <c r="CR18" i="6"/>
  <c r="AD33" i="10"/>
  <c r="EN21" i="10"/>
  <c r="CO33" i="10"/>
  <c r="BR33" i="10"/>
  <c r="ED18" i="5"/>
  <c r="X14" i="16"/>
  <c r="O679" i="32" s="1"/>
  <c r="DL33" i="10"/>
  <c r="BY33" i="10"/>
  <c r="DG33" i="10"/>
  <c r="E118" i="32"/>
  <c r="DI33" i="10"/>
  <c r="N13" i="26"/>
  <c r="F158" i="32" s="1"/>
  <c r="N588" i="32" s="1"/>
  <c r="AD11" i="17"/>
  <c r="DI18" i="6"/>
  <c r="BY18" i="6"/>
  <c r="BR18" i="6"/>
  <c r="EM18" i="5"/>
  <c r="EJ20" i="6"/>
  <c r="EC37" i="10"/>
  <c r="EC55" i="10" s="1"/>
  <c r="AL33" i="10"/>
  <c r="AB14" i="16"/>
  <c r="S679" i="32" s="1"/>
  <c r="EL18" i="5"/>
  <c r="N106" i="14"/>
  <c r="BN33" i="10"/>
  <c r="AQ33" i="10"/>
  <c r="BH33" i="10"/>
  <c r="AF18" i="6"/>
  <c r="DB18" i="6"/>
  <c r="EO15" i="10"/>
  <c r="AE14" i="16"/>
  <c r="V679" i="32" s="1"/>
  <c r="BQ33" i="10"/>
  <c r="CU18" i="6"/>
  <c r="CU17" i="6" s="1"/>
  <c r="AR33" i="10"/>
  <c r="AO18" i="6"/>
  <c r="U13" i="17"/>
  <c r="EQ18" i="5"/>
  <c r="P11" i="17"/>
  <c r="H718" i="32" s="1"/>
  <c r="DU24" i="6"/>
  <c r="DU17" i="6" s="1"/>
  <c r="CN18" i="6"/>
  <c r="EB33" i="10"/>
  <c r="CN33" i="10"/>
  <c r="AY33" i="10"/>
  <c r="AA14" i="16"/>
  <c r="R679" i="32" s="1"/>
  <c r="EC15" i="10"/>
  <c r="EB148" i="11"/>
  <c r="EB50" i="5" s="1"/>
  <c r="V45" i="26" s="1"/>
  <c r="D167" i="21"/>
  <c r="AB41" i="1"/>
  <c r="U11" i="17"/>
  <c r="U14" i="16"/>
  <c r="L679" i="32" s="1"/>
  <c r="W11" i="17"/>
  <c r="DJ33" i="10"/>
  <c r="BK33" i="10"/>
  <c r="DK18" i="6"/>
  <c r="CZ33" i="10"/>
  <c r="AU33" i="10"/>
  <c r="Q11" i="26"/>
  <c r="BE33" i="10"/>
  <c r="EN18" i="5"/>
  <c r="DR33" i="10"/>
  <c r="AI33" i="10"/>
  <c r="AC14" i="16"/>
  <c r="T679" i="32" s="1"/>
  <c r="CX33" i="10"/>
  <c r="AH38" i="1"/>
  <c r="L6" i="21" s="1"/>
  <c r="Z45" i="17"/>
  <c r="EN148" i="11"/>
  <c r="EN50" i="5" s="1"/>
  <c r="I6" i="30"/>
  <c r="EC19" i="6"/>
  <c r="DO33" i="10"/>
  <c r="Q13" i="26"/>
  <c r="I158" i="32" s="1"/>
  <c r="BT33" i="10"/>
  <c r="CF18" i="6"/>
  <c r="DS18" i="6"/>
  <c r="DX33" i="10"/>
  <c r="EN37" i="6"/>
  <c r="EM153" i="11" s="1"/>
  <c r="EM52" i="5" s="1"/>
  <c r="DP18" i="6"/>
  <c r="CI18" i="6"/>
  <c r="V13" i="26"/>
  <c r="N158" i="32" s="1"/>
  <c r="AZ33" i="10"/>
  <c r="AD13" i="16"/>
  <c r="U678" i="32" s="1"/>
  <c r="ER37" i="10"/>
  <c r="ER55" i="10" s="1"/>
  <c r="CM33" i="10"/>
  <c r="Y31" i="16"/>
  <c r="Y18" i="16" s="1"/>
  <c r="K18" i="10"/>
  <c r="BW33" i="10"/>
  <c r="AF14" i="16"/>
  <c r="AD45" i="17"/>
  <c r="DU33" i="10"/>
  <c r="N214" i="14"/>
  <c r="AB13" i="17"/>
  <c r="W14" i="16"/>
  <c r="N679" i="32" s="1"/>
  <c r="EG37" i="10"/>
  <c r="EG55" i="10" s="1"/>
  <c r="BM33" i="10"/>
  <c r="BZ33" i="10"/>
  <c r="Z14" i="16"/>
  <c r="Q679" i="32" s="1"/>
  <c r="EM37" i="10"/>
  <c r="EM55" i="10" s="1"/>
  <c r="P11" i="26"/>
  <c r="K39" i="10"/>
  <c r="AJ37" i="1" s="1"/>
  <c r="M5" i="21" s="1"/>
  <c r="J17" i="5"/>
  <c r="T13" i="17"/>
  <c r="K16" i="10"/>
  <c r="V13" i="17"/>
  <c r="P45" i="17"/>
  <c r="K40" i="10"/>
  <c r="AJ38" i="1" s="1"/>
  <c r="M6" i="21" s="1"/>
  <c r="Z13" i="17"/>
  <c r="DM33" i="10"/>
  <c r="D219" i="32"/>
  <c r="D224" i="32" s="1"/>
  <c r="D781" i="32"/>
  <c r="BZ153" i="11"/>
  <c r="BZ52" i="5" s="1"/>
  <c r="CA24" i="6"/>
  <c r="CA17" i="6" s="1"/>
  <c r="AZ153" i="11"/>
  <c r="AZ52" i="5" s="1"/>
  <c r="BA24" i="6"/>
  <c r="W13" i="17"/>
  <c r="R13" i="26"/>
  <c r="J158" i="32" s="1"/>
  <c r="AF153" i="11"/>
  <c r="AF52" i="5" s="1"/>
  <c r="AG24" i="6"/>
  <c r="AC12" i="17"/>
  <c r="U12" i="26"/>
  <c r="T13" i="26"/>
  <c r="L158" i="32" s="1"/>
  <c r="AA13" i="17"/>
  <c r="DD153" i="11"/>
  <c r="DD52" i="5" s="1"/>
  <c r="DE24" i="6"/>
  <c r="DE17" i="6" s="1"/>
  <c r="F718" i="32"/>
  <c r="F717" i="32" s="1"/>
  <c r="DP153" i="11"/>
  <c r="DP52" i="5" s="1"/>
  <c r="DQ24" i="6"/>
  <c r="U45" i="17"/>
  <c r="Q45" i="26"/>
  <c r="DZ153" i="11"/>
  <c r="DZ52" i="5" s="1"/>
  <c r="EA24" i="6"/>
  <c r="AD31" i="16"/>
  <c r="DE153" i="11"/>
  <c r="DE52" i="5" s="1"/>
  <c r="DF24" i="6"/>
  <c r="DM153" i="11"/>
  <c r="DM52" i="5" s="1"/>
  <c r="DN24" i="6"/>
  <c r="CR153" i="11"/>
  <c r="CR52" i="5" s="1"/>
  <c r="CS24" i="6"/>
  <c r="CI153" i="11"/>
  <c r="CI52" i="5" s="1"/>
  <c r="CJ24" i="6"/>
  <c r="EE15" i="10"/>
  <c r="EK37" i="6"/>
  <c r="EJ33" i="5"/>
  <c r="EJ22" i="5" s="1"/>
  <c r="EK21" i="10"/>
  <c r="DG153" i="11"/>
  <c r="DG52" i="5" s="1"/>
  <c r="DH24" i="6"/>
  <c r="O11" i="17"/>
  <c r="N11" i="26"/>
  <c r="I587" i="32"/>
  <c r="BB153" i="11"/>
  <c r="BB52" i="5" s="1"/>
  <c r="BC24" i="6"/>
  <c r="BC17" i="6" s="1"/>
  <c r="DI153" i="11"/>
  <c r="DI52" i="5" s="1"/>
  <c r="DJ24" i="6"/>
  <c r="DJ17" i="6" s="1"/>
  <c r="BR153" i="11"/>
  <c r="BR52" i="5" s="1"/>
  <c r="BS24" i="6"/>
  <c r="BS17" i="6" s="1"/>
  <c r="K8" i="21"/>
  <c r="AD28" i="17"/>
  <c r="AD17" i="17" s="1"/>
  <c r="DK22" i="5"/>
  <c r="O11" i="26"/>
  <c r="DY153" i="11"/>
  <c r="DY52" i="5" s="1"/>
  <c r="DZ24" i="6"/>
  <c r="EP33" i="5"/>
  <c r="EP22" i="5" s="1"/>
  <c r="EQ37" i="6"/>
  <c r="EQ21" i="10"/>
  <c r="M52" i="5"/>
  <c r="EO33" i="5"/>
  <c r="EP37" i="6"/>
  <c r="EP21" i="10"/>
  <c r="CK33" i="10"/>
  <c r="CK153" i="11"/>
  <c r="CK52" i="5" s="1"/>
  <c r="CL24" i="6"/>
  <c r="CL17" i="6" s="1"/>
  <c r="BG18" i="6"/>
  <c r="BG17" i="6" s="1"/>
  <c r="DJ153" i="11"/>
  <c r="DJ52" i="5" s="1"/>
  <c r="DK24" i="6"/>
  <c r="DZ18" i="6"/>
  <c r="T31" i="16"/>
  <c r="AW153" i="11"/>
  <c r="AW52" i="5" s="1"/>
  <c r="AX24" i="6"/>
  <c r="X28" i="17"/>
  <c r="X17" i="17" s="1"/>
  <c r="AE13" i="16"/>
  <c r="EF19" i="6"/>
  <c r="L469" i="32"/>
  <c r="C468" i="32"/>
  <c r="D468" i="32" s="1"/>
  <c r="E468" i="32" s="1"/>
  <c r="F468" i="32" s="1"/>
  <c r="G468" i="32" s="1"/>
  <c r="H468" i="32" s="1"/>
  <c r="I468" i="32" s="1"/>
  <c r="J468" i="32" s="1"/>
  <c r="L21" i="30"/>
  <c r="L10" i="30" s="1"/>
  <c r="Q31" i="16"/>
  <c r="K558" i="32"/>
  <c r="K550" i="32" s="1"/>
  <c r="O21" i="35"/>
  <c r="O10" i="35" s="1"/>
  <c r="AE153" i="11"/>
  <c r="AE52" i="5" s="1"/>
  <c r="AF24" i="6"/>
  <c r="AA12" i="17"/>
  <c r="T12" i="26"/>
  <c r="CG33" i="10"/>
  <c r="EE37" i="10"/>
  <c r="EE55" i="10" s="1"/>
  <c r="E4" i="21"/>
  <c r="E8" i="21" s="1"/>
  <c r="AA41" i="1"/>
  <c r="AA56" i="1" s="1"/>
  <c r="EE18" i="5"/>
  <c r="EF20" i="6"/>
  <c r="EP20" i="6"/>
  <c r="EO18" i="5"/>
  <c r="N124" i="14"/>
  <c r="BA33" i="10"/>
  <c r="AC31" i="16"/>
  <c r="CY153" i="11"/>
  <c r="CY52" i="5" s="1"/>
  <c r="CZ24" i="6"/>
  <c r="J4" i="21"/>
  <c r="J8" i="21" s="1"/>
  <c r="AF41" i="1"/>
  <c r="AF56" i="1" s="1"/>
  <c r="P45" i="26"/>
  <c r="S45" i="17"/>
  <c r="DD33" i="10"/>
  <c r="BD33" i="10"/>
  <c r="AE13" i="17"/>
  <c r="EO16" i="5"/>
  <c r="EP19" i="6"/>
  <c r="EO148" i="11"/>
  <c r="EO50" i="5" s="1"/>
  <c r="EP15" i="10"/>
  <c r="DN153" i="11"/>
  <c r="DN52" i="5" s="1"/>
  <c r="DO24" i="6"/>
  <c r="I4" i="21"/>
  <c r="I8" i="21" s="1"/>
  <c r="AE41" i="1"/>
  <c r="AE56" i="1" s="1"/>
  <c r="BH18" i="6"/>
  <c r="Q13" i="16"/>
  <c r="W31" i="16"/>
  <c r="BO153" i="11"/>
  <c r="BO52" i="5" s="1"/>
  <c r="BP24" i="6"/>
  <c r="V31" i="16"/>
  <c r="BI153" i="11"/>
  <c r="BI52" i="5" s="1"/>
  <c r="BJ24" i="6"/>
  <c r="BJ17" i="6" s="1"/>
  <c r="AH12" i="17"/>
  <c r="J558" i="32"/>
  <c r="J550" i="32" s="1"/>
  <c r="N21" i="35"/>
  <c r="N10" i="35" s="1"/>
  <c r="K21" i="30"/>
  <c r="K10" i="30" s="1"/>
  <c r="AB153" i="11"/>
  <c r="AB52" i="5" s="1"/>
  <c r="AC24" i="6"/>
  <c r="AV153" i="11"/>
  <c r="AV52" i="5" s="1"/>
  <c r="AW24" i="6"/>
  <c r="AW17" i="6" s="1"/>
  <c r="BA153" i="11"/>
  <c r="BA52" i="5" s="1"/>
  <c r="BB24" i="6"/>
  <c r="L598" i="32"/>
  <c r="L590" i="32" s="1"/>
  <c r="AH22" i="5"/>
  <c r="DL153" i="11"/>
  <c r="DL52" i="5" s="1"/>
  <c r="DM24" i="6"/>
  <c r="DM17" i="6" s="1"/>
  <c r="DV153" i="11"/>
  <c r="DV52" i="5" s="1"/>
  <c r="DW24" i="6"/>
  <c r="DW17" i="6" s="1"/>
  <c r="AP33" i="10"/>
  <c r="AP153" i="11"/>
  <c r="AP52" i="5" s="1"/>
  <c r="AQ24" i="6"/>
  <c r="AH37" i="1"/>
  <c r="AI37" i="1" s="1"/>
  <c r="X37" i="1" s="1"/>
  <c r="D731" i="32"/>
  <c r="L548" i="32"/>
  <c r="M8" i="30"/>
  <c r="P8" i="35"/>
  <c r="EA153" i="11"/>
  <c r="EA52" i="5" s="1"/>
  <c r="EB24" i="6"/>
  <c r="AA153" i="11"/>
  <c r="AA52" i="5" s="1"/>
  <c r="AB24" i="6"/>
  <c r="AB17" i="6" s="1"/>
  <c r="W28" i="17"/>
  <c r="W17" i="17" s="1"/>
  <c r="R28" i="26"/>
  <c r="BU22" i="5"/>
  <c r="J587" i="32"/>
  <c r="AR153" i="11"/>
  <c r="AR52" i="5" s="1"/>
  <c r="AS24" i="6"/>
  <c r="EQ33" i="5"/>
  <c r="EQ22" i="5" s="1"/>
  <c r="ER37" i="6"/>
  <c r="ER21" i="10"/>
  <c r="BV153" i="11"/>
  <c r="BV52" i="5" s="1"/>
  <c r="BW24" i="6"/>
  <c r="O12" i="17"/>
  <c r="N12" i="26"/>
  <c r="AL153" i="11"/>
  <c r="AL52" i="5" s="1"/>
  <c r="AM24" i="6"/>
  <c r="AM17" i="6" s="1"/>
  <c r="W12" i="17"/>
  <c r="R12" i="26"/>
  <c r="BF33" i="10"/>
  <c r="R31" i="16"/>
  <c r="AK153" i="11"/>
  <c r="AK52" i="5" s="1"/>
  <c r="AL24" i="6"/>
  <c r="AD41" i="1"/>
  <c r="AD56" i="1" s="1"/>
  <c r="AF13" i="16"/>
  <c r="DR18" i="6"/>
  <c r="R13" i="16"/>
  <c r="AL18" i="6"/>
  <c r="L481" i="32"/>
  <c r="C480" i="32"/>
  <c r="D480" i="32" s="1"/>
  <c r="E480" i="32" s="1"/>
  <c r="F480" i="32" s="1"/>
  <c r="G480" i="32" s="1"/>
  <c r="H480" i="32" s="1"/>
  <c r="I480" i="32" s="1"/>
  <c r="J480" i="32" s="1"/>
  <c r="EL16" i="5"/>
  <c r="EM19" i="6"/>
  <c r="EM18" i="6" s="1"/>
  <c r="EL148" i="11"/>
  <c r="EL50" i="5" s="1"/>
  <c r="EM15" i="10"/>
  <c r="N99" i="11"/>
  <c r="L28" i="15"/>
  <c r="EE19" i="6"/>
  <c r="EE18" i="6" s="1"/>
  <c r="EM16" i="5"/>
  <c r="EM148" i="11"/>
  <c r="EM50" i="5" s="1"/>
  <c r="EN19" i="6"/>
  <c r="EN18" i="6" s="1"/>
  <c r="EN15" i="10"/>
  <c r="CO153" i="11"/>
  <c r="CO52" i="5" s="1"/>
  <c r="CP24" i="6"/>
  <c r="CR33" i="10"/>
  <c r="X11" i="17"/>
  <c r="EI16" i="5"/>
  <c r="EJ19" i="6"/>
  <c r="EI148" i="11"/>
  <c r="EI50" i="5" s="1"/>
  <c r="EJ15" i="10"/>
  <c r="BT153" i="11"/>
  <c r="BT52" i="5" s="1"/>
  <c r="BU24" i="6"/>
  <c r="DR153" i="11"/>
  <c r="DR52" i="5" s="1"/>
  <c r="DS24" i="6"/>
  <c r="EQ16" i="5"/>
  <c r="EQ148" i="11"/>
  <c r="EQ50" i="5" s="1"/>
  <c r="ER19" i="6"/>
  <c r="ER18" i="6" s="1"/>
  <c r="ER15" i="10"/>
  <c r="BQ18" i="6"/>
  <c r="Z31" i="16"/>
  <c r="CG153" i="11"/>
  <c r="CG52" i="5" s="1"/>
  <c r="CH24" i="6"/>
  <c r="BL153" i="11"/>
  <c r="BL52" i="5" s="1"/>
  <c r="BM24" i="6"/>
  <c r="AT153" i="11"/>
  <c r="AT52" i="5" s="1"/>
  <c r="AU24" i="6"/>
  <c r="AN153" i="11"/>
  <c r="AN52" i="5" s="1"/>
  <c r="AO24" i="6"/>
  <c r="CJ153" i="11"/>
  <c r="CJ52" i="5" s="1"/>
  <c r="CK24" i="6"/>
  <c r="M911" i="32"/>
  <c r="C929" i="32"/>
  <c r="M929" i="32" s="1"/>
  <c r="M40" i="5"/>
  <c r="AE28" i="17"/>
  <c r="AE17" i="17" s="1"/>
  <c r="DQ22" i="5"/>
  <c r="DC153" i="11"/>
  <c r="DC52" i="5" s="1"/>
  <c r="DD24" i="6"/>
  <c r="Q17" i="6"/>
  <c r="CF153" i="11"/>
  <c r="CF52" i="5" s="1"/>
  <c r="CG24" i="6"/>
  <c r="CG17" i="6" s="1"/>
  <c r="S28" i="17"/>
  <c r="S17" i="17" s="1"/>
  <c r="P28" i="26"/>
  <c r="AW22" i="5"/>
  <c r="EE148" i="11"/>
  <c r="EE50" i="5" s="1"/>
  <c r="P28" i="17"/>
  <c r="K598" i="32"/>
  <c r="K590" i="32" s="1"/>
  <c r="AE22" i="5"/>
  <c r="DX18" i="6"/>
  <c r="AA45" i="17"/>
  <c r="T45" i="26"/>
  <c r="AK33" i="10"/>
  <c r="DX153" i="11"/>
  <c r="DX52" i="5" s="1"/>
  <c r="DY24" i="6"/>
  <c r="DY17" i="6" s="1"/>
  <c r="BY153" i="11"/>
  <c r="BY52" i="5" s="1"/>
  <c r="BZ24" i="6"/>
  <c r="AM153" i="11"/>
  <c r="AM52" i="5" s="1"/>
  <c r="AN24" i="6"/>
  <c r="AI153" i="11"/>
  <c r="AI52" i="5" s="1"/>
  <c r="AJ24" i="6"/>
  <c r="ED37" i="6"/>
  <c r="EC33" i="5"/>
  <c r="ED21" i="10"/>
  <c r="AB31" i="16"/>
  <c r="CS153" i="11"/>
  <c r="CS52" i="5" s="1"/>
  <c r="CT24" i="6"/>
  <c r="CA33" i="10"/>
  <c r="EH37" i="10"/>
  <c r="EH55" i="10" s="1"/>
  <c r="X13" i="16"/>
  <c r="BV18" i="6"/>
  <c r="AA11" i="17"/>
  <c r="T11" i="26"/>
  <c r="T17" i="6"/>
  <c r="L547" i="32"/>
  <c r="M7" i="30"/>
  <c r="P7" i="35"/>
  <c r="AI18" i="6"/>
  <c r="T45" i="17"/>
  <c r="M45" i="17"/>
  <c r="M45" i="26"/>
  <c r="ED37" i="10"/>
  <c r="ED55" i="10" s="1"/>
  <c r="V13" i="16"/>
  <c r="CH33" i="10"/>
  <c r="S11" i="26"/>
  <c r="Y11" i="17"/>
  <c r="S13" i="16"/>
  <c r="AR18" i="6"/>
  <c r="CL153" i="11"/>
  <c r="CL52" i="5" s="1"/>
  <c r="CM24" i="6"/>
  <c r="DO18" i="6"/>
  <c r="O7" i="35"/>
  <c r="DV33" i="10"/>
  <c r="V28" i="17"/>
  <c r="V17" i="17" s="1"/>
  <c r="BO22" i="5"/>
  <c r="DY33" i="10"/>
  <c r="EG18" i="5"/>
  <c r="EH20" i="6"/>
  <c r="J598" i="32"/>
  <c r="J590" i="32" s="1"/>
  <c r="AB22" i="5"/>
  <c r="R13" i="17"/>
  <c r="AD13" i="17"/>
  <c r="CM18" i="6"/>
  <c r="O117" i="11"/>
  <c r="P114" i="11" s="1"/>
  <c r="P116" i="11" s="1"/>
  <c r="O44" i="5"/>
  <c r="AP18" i="6"/>
  <c r="CS18" i="6"/>
  <c r="AE12" i="17"/>
  <c r="V12" i="26"/>
  <c r="BK153" i="11"/>
  <c r="BK52" i="5" s="1"/>
  <c r="BL24" i="6"/>
  <c r="AG33" i="10"/>
  <c r="EH33" i="5"/>
  <c r="EH22" i="5" s="1"/>
  <c r="EI37" i="6"/>
  <c r="EI21" i="10"/>
  <c r="BP33" i="10"/>
  <c r="AG153" i="11"/>
  <c r="AG52" i="5" s="1"/>
  <c r="AH24" i="6"/>
  <c r="H15" i="21"/>
  <c r="H16" i="21" s="1"/>
  <c r="AD53" i="1"/>
  <c r="AC33" i="10"/>
  <c r="AN33" i="10"/>
  <c r="DW153" i="11"/>
  <c r="DW52" i="5" s="1"/>
  <c r="DX24" i="6"/>
  <c r="K8" i="30"/>
  <c r="N8" i="35"/>
  <c r="AJ18" i="6"/>
  <c r="EK15" i="10"/>
  <c r="M7" i="35"/>
  <c r="M6" i="35" s="1"/>
  <c r="J7" i="30"/>
  <c r="I547" i="32"/>
  <c r="P13" i="16"/>
  <c r="Z18" i="6"/>
  <c r="U13" i="26"/>
  <c r="M158" i="32" s="1"/>
  <c r="AC13" i="17"/>
  <c r="DA18" i="6"/>
  <c r="EF18" i="5"/>
  <c r="EG20" i="6"/>
  <c r="H599" i="32"/>
  <c r="W45" i="17"/>
  <c r="R45" i="26"/>
  <c r="DQ33" i="10"/>
  <c r="Q28" i="17"/>
  <c r="Q17" i="17" s="1"/>
  <c r="O28" i="26"/>
  <c r="AK22" i="5"/>
  <c r="J21" i="30"/>
  <c r="J10" i="30" s="1"/>
  <c r="M21" i="35"/>
  <c r="M10" i="35" s="1"/>
  <c r="I558" i="32"/>
  <c r="I550" i="32" s="1"/>
  <c r="P31" i="16"/>
  <c r="Y153" i="11"/>
  <c r="Y52" i="5" s="1"/>
  <c r="Z24" i="6"/>
  <c r="H8" i="21"/>
  <c r="Z153" i="11"/>
  <c r="Z52" i="5" s="1"/>
  <c r="AA24" i="6"/>
  <c r="AA17" i="6" s="1"/>
  <c r="EK16" i="5"/>
  <c r="EL19" i="6"/>
  <c r="EK148" i="11"/>
  <c r="EK50" i="5" s="1"/>
  <c r="EL15" i="10"/>
  <c r="U31" i="16"/>
  <c r="BC153" i="11"/>
  <c r="BC52" i="5" s="1"/>
  <c r="BD24" i="6"/>
  <c r="CC153" i="11"/>
  <c r="CC52" i="5" s="1"/>
  <c r="CD24" i="6"/>
  <c r="EC16" i="5"/>
  <c r="EC148" i="11"/>
  <c r="EC50" i="5" s="1"/>
  <c r="ED19" i="6"/>
  <c r="ED15" i="10"/>
  <c r="Y12" i="17"/>
  <c r="S12" i="26"/>
  <c r="EH18" i="5"/>
  <c r="EI20" i="6"/>
  <c r="AO153" i="11"/>
  <c r="AO52" i="5" s="1"/>
  <c r="AP24" i="6"/>
  <c r="U28" i="26"/>
  <c r="AC28" i="17"/>
  <c r="AC17" i="17" s="1"/>
  <c r="DE22" i="5"/>
  <c r="DA153" i="11"/>
  <c r="DA52" i="5" s="1"/>
  <c r="DB24" i="6"/>
  <c r="ED148" i="11"/>
  <c r="ED50" i="5" s="1"/>
  <c r="CQ33" i="10"/>
  <c r="AU18" i="6"/>
  <c r="EG33" i="5"/>
  <c r="EG22" i="5" s="1"/>
  <c r="EH37" i="6"/>
  <c r="EH21" i="10"/>
  <c r="O45" i="17"/>
  <c r="N45" i="26"/>
  <c r="EF33" i="5"/>
  <c r="EF22" i="5" s="1"/>
  <c r="EG37" i="6"/>
  <c r="EG21" i="10"/>
  <c r="AA33" i="10"/>
  <c r="I15" i="21"/>
  <c r="I16" i="21" s="1"/>
  <c r="AE53" i="1"/>
  <c r="CD33" i="10"/>
  <c r="BW153" i="11"/>
  <c r="BW52" i="5" s="1"/>
  <c r="BX24" i="6"/>
  <c r="DU153" i="11"/>
  <c r="DU52" i="5" s="1"/>
  <c r="DV24" i="6"/>
  <c r="DV17" i="6" s="1"/>
  <c r="DE33" i="10"/>
  <c r="BX33" i="10"/>
  <c r="EF37" i="6"/>
  <c r="EE33" i="5"/>
  <c r="EE22" i="5" s="1"/>
  <c r="EF21" i="10"/>
  <c r="AJ153" i="11"/>
  <c r="AJ52" i="5" s="1"/>
  <c r="AK24" i="6"/>
  <c r="L15" i="21"/>
  <c r="L16" i="21" s="1"/>
  <c r="AH53" i="1"/>
  <c r="S13" i="26"/>
  <c r="K158" i="32" s="1"/>
  <c r="X13" i="17"/>
  <c r="BM153" i="11"/>
  <c r="BM52" i="5" s="1"/>
  <c r="BN24" i="6"/>
  <c r="BN17" i="6" s="1"/>
  <c r="F15" i="21"/>
  <c r="F16" i="21" s="1"/>
  <c r="AB53" i="1"/>
  <c r="X45" i="17"/>
  <c r="AX18" i="6"/>
  <c r="AC153" i="11"/>
  <c r="AC52" i="5" s="1"/>
  <c r="AD24" i="6"/>
  <c r="CN153" i="11"/>
  <c r="CN52" i="5" s="1"/>
  <c r="CO24" i="6"/>
  <c r="CO17" i="6" s="1"/>
  <c r="EK20" i="6"/>
  <c r="EJ18" i="5"/>
  <c r="EA33" i="10"/>
  <c r="AD153" i="11"/>
  <c r="AD52" i="5" s="1"/>
  <c r="AE24" i="6"/>
  <c r="AE17" i="6" s="1"/>
  <c r="CE17" i="6"/>
  <c r="T28" i="26"/>
  <c r="AA28" i="17"/>
  <c r="AA17" i="17" s="1"/>
  <c r="CS22" i="5"/>
  <c r="EO37" i="6"/>
  <c r="EN33" i="5"/>
  <c r="EN22" i="5" s="1"/>
  <c r="EO21" i="10"/>
  <c r="CY33" i="10"/>
  <c r="K32" i="10"/>
  <c r="K21" i="10" s="1"/>
  <c r="CV153" i="11"/>
  <c r="CV52" i="5" s="1"/>
  <c r="CW24" i="6"/>
  <c r="CW17" i="6" s="1"/>
  <c r="CT33" i="10"/>
  <c r="U13" i="16"/>
  <c r="BD18" i="6"/>
  <c r="AA13" i="16"/>
  <c r="EK37" i="10"/>
  <c r="EK55" i="10" s="1"/>
  <c r="Z13" i="16"/>
  <c r="CH18" i="6"/>
  <c r="BD153" i="11"/>
  <c r="BD52" i="5" s="1"/>
  <c r="BE24" i="6"/>
  <c r="BE17" i="6" s="1"/>
  <c r="R45" i="17"/>
  <c r="AO33" i="10"/>
  <c r="K547" i="32"/>
  <c r="EJ37" i="6"/>
  <c r="EI33" i="5"/>
  <c r="EJ21" i="10"/>
  <c r="G15" i="21"/>
  <c r="G16" i="21" s="1"/>
  <c r="AC53" i="1"/>
  <c r="S14" i="16"/>
  <c r="J679" i="32" s="1"/>
  <c r="BS153" i="11"/>
  <c r="BS52" i="5" s="1"/>
  <c r="BT24" i="6"/>
  <c r="BE153" i="11"/>
  <c r="BE52" i="5" s="1"/>
  <c r="BF24" i="6"/>
  <c r="CB153" i="11"/>
  <c r="CB52" i="5" s="1"/>
  <c r="CC24" i="6"/>
  <c r="AE45" i="17"/>
  <c r="P13" i="17"/>
  <c r="H719" i="32" s="1"/>
  <c r="AT33" i="10"/>
  <c r="AI52" i="1"/>
  <c r="X31" i="16"/>
  <c r="BU153" i="11"/>
  <c r="BU52" i="5" s="1"/>
  <c r="BV24" i="6"/>
  <c r="BJ153" i="11"/>
  <c r="BJ52" i="5" s="1"/>
  <c r="BK24" i="6"/>
  <c r="BK17" i="6" s="1"/>
  <c r="DW22" i="5"/>
  <c r="E586" i="32"/>
  <c r="EK19" i="6"/>
  <c r="BG153" i="11"/>
  <c r="BG52" i="5" s="1"/>
  <c r="BH24" i="6"/>
  <c r="CC33" i="10"/>
  <c r="AD14" i="16"/>
  <c r="CP33" i="10"/>
  <c r="AB45" i="17"/>
  <c r="O13" i="26"/>
  <c r="G158" i="32" s="1"/>
  <c r="Q13" i="17"/>
  <c r="BF18" i="6"/>
  <c r="DO153" i="11"/>
  <c r="DO52" i="5" s="1"/>
  <c r="DP24" i="6"/>
  <c r="S31" i="16"/>
  <c r="P14" i="16"/>
  <c r="AU153" i="11"/>
  <c r="AU52" i="5" s="1"/>
  <c r="AV24" i="6"/>
  <c r="Z28" i="17"/>
  <c r="Z17" i="17" s="1"/>
  <c r="CM22" i="5"/>
  <c r="DH153" i="11"/>
  <c r="DH52" i="5" s="1"/>
  <c r="DI24" i="6"/>
  <c r="O28" i="17"/>
  <c r="N28" i="26"/>
  <c r="I598" i="32"/>
  <c r="I590" i="32" s="1"/>
  <c r="Y22" i="5"/>
  <c r="U11" i="26"/>
  <c r="AC41" i="1"/>
  <c r="AC56" i="1" s="1"/>
  <c r="U45" i="26"/>
  <c r="AC45" i="17"/>
  <c r="Q12" i="17"/>
  <c r="O12" i="26"/>
  <c r="EG16" i="5"/>
  <c r="EG148" i="11"/>
  <c r="EG50" i="5" s="1"/>
  <c r="EH19" i="6"/>
  <c r="EH15" i="10"/>
  <c r="T28" i="17"/>
  <c r="T17" i="17" s="1"/>
  <c r="BC22" i="5"/>
  <c r="CP153" i="11"/>
  <c r="CP52" i="5" s="1"/>
  <c r="CQ24" i="6"/>
  <c r="CQ17" i="6" s="1"/>
  <c r="W12" i="26"/>
  <c r="AG12" i="17"/>
  <c r="EH16" i="5"/>
  <c r="EH148" i="11"/>
  <c r="EH50" i="5" s="1"/>
  <c r="EI19" i="6"/>
  <c r="EI15" i="10"/>
  <c r="Q12" i="26"/>
  <c r="U12" i="17"/>
  <c r="K15" i="21"/>
  <c r="K16" i="21" s="1"/>
  <c r="AG53" i="1"/>
  <c r="R11" i="26"/>
  <c r="CQ153" i="11"/>
  <c r="CQ52" i="5" s="1"/>
  <c r="CR24" i="6"/>
  <c r="EK33" i="5"/>
  <c r="EK22" i="5" s="1"/>
  <c r="EL37" i="6"/>
  <c r="EL21" i="10"/>
  <c r="AC13" i="16"/>
  <c r="CZ18" i="6"/>
  <c r="D4" i="21"/>
  <c r="D8" i="21" s="1"/>
  <c r="Z41" i="1"/>
  <c r="Z56" i="1" s="1"/>
  <c r="AI36" i="1"/>
  <c r="K38" i="10"/>
  <c r="F8" i="21"/>
  <c r="AG41" i="1"/>
  <c r="AG56" i="1" s="1"/>
  <c r="CE153" i="11"/>
  <c r="CE52" i="5" s="1"/>
  <c r="CF24" i="6"/>
  <c r="CJ33" i="10"/>
  <c r="AE31" i="16"/>
  <c r="DK153" i="11"/>
  <c r="DK52" i="5" s="1"/>
  <c r="DL24" i="6"/>
  <c r="EP16" i="5"/>
  <c r="EQ19" i="6"/>
  <c r="EP148" i="11"/>
  <c r="EP50" i="5" s="1"/>
  <c r="EQ15" i="10"/>
  <c r="Y28" i="17"/>
  <c r="Y17" i="17" s="1"/>
  <c r="S28" i="26"/>
  <c r="CG22" i="5"/>
  <c r="S13" i="17"/>
  <c r="P13" i="26"/>
  <c r="H158" i="32" s="1"/>
  <c r="BU33" i="10"/>
  <c r="DS33" i="10"/>
  <c r="V45" i="17"/>
  <c r="EF16" i="5"/>
  <c r="EF148" i="11"/>
  <c r="EF50" i="5" s="1"/>
  <c r="EG19" i="6"/>
  <c r="EG15" i="10"/>
  <c r="CX153" i="11"/>
  <c r="CX52" i="5" s="1"/>
  <c r="CY24" i="6"/>
  <c r="BN153" i="11"/>
  <c r="BN52" i="5" s="1"/>
  <c r="BO24" i="6"/>
  <c r="BO17" i="6" s="1"/>
  <c r="DD18" i="6"/>
  <c r="EP18" i="5"/>
  <c r="EQ20" i="6"/>
  <c r="AF31" i="16"/>
  <c r="DQ153" i="11"/>
  <c r="DQ52" i="5" s="1"/>
  <c r="DR24" i="6"/>
  <c r="K17" i="10"/>
  <c r="Y14" i="16"/>
  <c r="P679" i="32" s="1"/>
  <c r="DZ33" i="10"/>
  <c r="EF15" i="10"/>
  <c r="BX153" i="11"/>
  <c r="BX52" i="5" s="1"/>
  <c r="BY24" i="6"/>
  <c r="T13" i="16"/>
  <c r="BH153" i="11"/>
  <c r="BH52" i="5" s="1"/>
  <c r="BI24" i="6"/>
  <c r="BI17" i="6" s="1"/>
  <c r="EN37" i="10"/>
  <c r="EN55" i="10" s="1"/>
  <c r="BC33" i="10"/>
  <c r="DS153" i="11"/>
  <c r="DS52" i="5" s="1"/>
  <c r="DT24" i="6"/>
  <c r="CZ153" i="11"/>
  <c r="CZ52" i="5" s="1"/>
  <c r="DA24" i="6"/>
  <c r="D170" i="32"/>
  <c r="J15" i="21"/>
  <c r="J16" i="21" s="1"/>
  <c r="AF53" i="1"/>
  <c r="W13" i="16"/>
  <c r="BP18" i="6"/>
  <c r="BQ153" i="11"/>
  <c r="BQ52" i="5" s="1"/>
  <c r="BR24" i="6"/>
  <c r="AB28" i="17"/>
  <c r="AB17" i="17" s="1"/>
  <c r="CY22" i="5"/>
  <c r="AB13" i="16"/>
  <c r="CT18" i="6"/>
  <c r="S12" i="17"/>
  <c r="P12" i="26"/>
  <c r="L587" i="32"/>
  <c r="EC37" i="6"/>
  <c r="EB33" i="5"/>
  <c r="EB22" i="5" s="1"/>
  <c r="EC21" i="10"/>
  <c r="T11" i="17"/>
  <c r="Y45" i="17"/>
  <c r="S45" i="26"/>
  <c r="R11" i="17"/>
  <c r="AB11" i="17"/>
  <c r="AS153" i="11"/>
  <c r="AS52" i="5" s="1"/>
  <c r="AT24" i="6"/>
  <c r="BS33" i="10"/>
  <c r="DN33" i="10"/>
  <c r="Y13" i="16"/>
  <c r="R28" i="17"/>
  <c r="R17" i="17" s="1"/>
  <c r="L7" i="30"/>
  <c r="U28" i="17"/>
  <c r="U17" i="17" s="1"/>
  <c r="Q28" i="26"/>
  <c r="BI22" i="5"/>
  <c r="L558" i="32"/>
  <c r="L550" i="32" s="1"/>
  <c r="M21" i="30"/>
  <c r="M10" i="30" s="1"/>
  <c r="P21" i="35"/>
  <c r="P10" i="35" s="1"/>
  <c r="AH153" i="11"/>
  <c r="AH52" i="5" s="1"/>
  <c r="AI24" i="6"/>
  <c r="AE11" i="17"/>
  <c r="EE37" i="6"/>
  <c r="ED33" i="5"/>
  <c r="ED22" i="5" s="1"/>
  <c r="EE21" i="10"/>
  <c r="Q45" i="17"/>
  <c r="O45" i="26"/>
  <c r="CU153" i="11"/>
  <c r="CU52" i="5" s="1"/>
  <c r="CV24" i="6"/>
  <c r="CV17" i="6" s="1"/>
  <c r="AX153" i="11"/>
  <c r="AX52" i="5" s="1"/>
  <c r="AY24" i="6"/>
  <c r="CW153" i="11"/>
  <c r="CW52" i="5" s="1"/>
  <c r="CX24" i="6"/>
  <c r="CS33" i="10"/>
  <c r="L588" i="32"/>
  <c r="K548" i="32"/>
  <c r="O8" i="35"/>
  <c r="L8" i="30"/>
  <c r="Q14" i="16"/>
  <c r="H679" i="32" s="1"/>
  <c r="BP153" i="11"/>
  <c r="BP52" i="5" s="1"/>
  <c r="BQ24" i="6"/>
  <c r="BV33" i="10"/>
  <c r="K7" i="30"/>
  <c r="N7" i="35"/>
  <c r="J547" i="32"/>
  <c r="AC18" i="6"/>
  <c r="AJ33" i="10"/>
  <c r="X12" i="26"/>
  <c r="AI12" i="17"/>
  <c r="EJ148" i="11"/>
  <c r="EJ50" i="5" s="1"/>
  <c r="EL33" i="5"/>
  <c r="EL22" i="5" s="1"/>
  <c r="EM37" i="6"/>
  <c r="EM21" i="10"/>
  <c r="CC18" i="6"/>
  <c r="DA33" i="10"/>
  <c r="CP18" i="6"/>
  <c r="AY153" i="11"/>
  <c r="AY52" i="5" s="1"/>
  <c r="AZ24" i="6"/>
  <c r="DQ18" i="6"/>
  <c r="R14" i="16"/>
  <c r="E15" i="21"/>
  <c r="E16" i="21" s="1"/>
  <c r="AA53" i="1"/>
  <c r="S11" i="17"/>
  <c r="DF153" i="11"/>
  <c r="DF52" i="5" s="1"/>
  <c r="DG24" i="6"/>
  <c r="AA31" i="16"/>
  <c r="CM153" i="11"/>
  <c r="CM52" i="5" s="1"/>
  <c r="CN24" i="6"/>
  <c r="D15" i="21"/>
  <c r="D16" i="21" s="1"/>
  <c r="Z53" i="1"/>
  <c r="C904" i="32"/>
  <c r="G8" i="21"/>
  <c r="D168" i="21" l="1"/>
  <c r="C20" i="21"/>
  <c r="G167" i="21"/>
  <c r="AB56" i="1"/>
  <c r="G166" i="21" s="1"/>
  <c r="W17" i="6"/>
  <c r="O12" i="16"/>
  <c r="O11" i="16" s="1"/>
  <c r="F560" i="32"/>
  <c r="F454" i="32" s="1"/>
  <c r="D494" i="32" s="1"/>
  <c r="N140" i="5"/>
  <c r="M123" i="5"/>
  <c r="N47" i="17"/>
  <c r="L24" i="35"/>
  <c r="L30" i="35" s="1"/>
  <c r="L36" i="35" s="1"/>
  <c r="F689" i="32"/>
  <c r="F681" i="32" s="1"/>
  <c r="F691" i="32" s="1"/>
  <c r="H24" i="30"/>
  <c r="H29" i="30" s="1"/>
  <c r="N18" i="16"/>
  <c r="E128" i="32"/>
  <c r="E120" i="32" s="1"/>
  <c r="N12" i="16"/>
  <c r="D7" i="35"/>
  <c r="E7" i="35" s="1"/>
  <c r="E117" i="32"/>
  <c r="E116" i="32" s="1"/>
  <c r="G560" i="32"/>
  <c r="G454" i="32" s="1"/>
  <c r="I24" i="30"/>
  <c r="I29" i="30" s="1"/>
  <c r="I6" i="35"/>
  <c r="I24" i="35" s="1"/>
  <c r="I30" i="35" s="1"/>
  <c r="M17" i="17"/>
  <c r="K24" i="35"/>
  <c r="K30" i="35" s="1"/>
  <c r="K34" i="35" s="1"/>
  <c r="H560" i="32"/>
  <c r="H454" i="32" s="1"/>
  <c r="M17" i="26"/>
  <c r="Z68" i="1"/>
  <c r="C64" i="21" s="1"/>
  <c r="E10" i="33" s="1"/>
  <c r="BT17" i="6"/>
  <c r="D21" i="35"/>
  <c r="E21" i="35" s="1"/>
  <c r="G599" i="32"/>
  <c r="F729" i="32"/>
  <c r="F721" i="32" s="1"/>
  <c r="F730" i="32" s="1"/>
  <c r="J24" i="35"/>
  <c r="J30" i="35" s="1"/>
  <c r="J34" i="35" s="1"/>
  <c r="G24" i="30"/>
  <c r="G29" i="30" s="1"/>
  <c r="G35" i="30" s="1"/>
  <c r="R138" i="5" s="1"/>
  <c r="AN17" i="6"/>
  <c r="DL17" i="6"/>
  <c r="AG17" i="6"/>
  <c r="D560" i="32"/>
  <c r="AP17" i="6"/>
  <c r="S20" i="1"/>
  <c r="M147" i="11"/>
  <c r="M149" i="11" s="1"/>
  <c r="D718" i="32"/>
  <c r="D717" i="32" s="1"/>
  <c r="D157" i="32"/>
  <c r="D156" i="32" s="1"/>
  <c r="D168" i="32"/>
  <c r="D160" i="32" s="1"/>
  <c r="L17" i="26"/>
  <c r="M17" i="6"/>
  <c r="D117" i="32"/>
  <c r="D116" i="32" s="1"/>
  <c r="M12" i="16"/>
  <c r="D678" i="32"/>
  <c r="D677" i="32" s="1"/>
  <c r="D729" i="32"/>
  <c r="D721" i="32" s="1"/>
  <c r="L17" i="17"/>
  <c r="L154" i="11"/>
  <c r="L53" i="5" s="1"/>
  <c r="L52" i="5"/>
  <c r="K21" i="18"/>
  <c r="D648" i="32"/>
  <c r="D655" i="32" s="1"/>
  <c r="K25" i="15"/>
  <c r="K24" i="15" s="1"/>
  <c r="D689" i="32"/>
  <c r="D681" i="32" s="1"/>
  <c r="D128" i="32"/>
  <c r="D120" i="32" s="1"/>
  <c r="M18" i="16"/>
  <c r="BZ17" i="6"/>
  <c r="BA17" i="6"/>
  <c r="DT17" i="6"/>
  <c r="BU17" i="6"/>
  <c r="J6" i="30"/>
  <c r="J24" i="30" s="1"/>
  <c r="BR17" i="6"/>
  <c r="AZ17" i="6"/>
  <c r="J546" i="32"/>
  <c r="J560" i="32" s="1"/>
  <c r="J454" i="32" s="1"/>
  <c r="BX17" i="6"/>
  <c r="AH17" i="6"/>
  <c r="BM17" i="6"/>
  <c r="AF45" i="17"/>
  <c r="I586" i="32"/>
  <c r="I599" i="32" s="1"/>
  <c r="CB17" i="6"/>
  <c r="C719" i="32"/>
  <c r="BW17" i="6"/>
  <c r="EL18" i="6"/>
  <c r="BB17" i="6"/>
  <c r="S19" i="1"/>
  <c r="DH17" i="6"/>
  <c r="EC18" i="6"/>
  <c r="AD17" i="6"/>
  <c r="CD17" i="6"/>
  <c r="BL17" i="6"/>
  <c r="K6" i="30"/>
  <c r="K24" i="30" s="1"/>
  <c r="AV17" i="6"/>
  <c r="V11" i="26"/>
  <c r="N157" i="32" s="1"/>
  <c r="N156" i="32" s="1"/>
  <c r="CK17" i="6"/>
  <c r="J586" i="32"/>
  <c r="J599" i="32" s="1"/>
  <c r="CX17" i="6"/>
  <c r="AT17" i="6"/>
  <c r="AK17" i="6"/>
  <c r="I546" i="32"/>
  <c r="I560" i="32" s="1"/>
  <c r="I454" i="32" s="1"/>
  <c r="AR17" i="6"/>
  <c r="EB17" i="6"/>
  <c r="CI17" i="6"/>
  <c r="M117" i="32"/>
  <c r="DN17" i="6"/>
  <c r="AY17" i="6"/>
  <c r="CY17" i="6"/>
  <c r="AD12" i="16"/>
  <c r="C588" i="32"/>
  <c r="O588" i="32" s="1"/>
  <c r="DB17" i="6"/>
  <c r="CJ17" i="6"/>
  <c r="P4" i="1"/>
  <c r="Y55" i="1"/>
  <c r="O6" i="1" s="1"/>
  <c r="CN17" i="6"/>
  <c r="S21" i="1"/>
  <c r="O4" i="1"/>
  <c r="CR17" i="6"/>
  <c r="EN24" i="6"/>
  <c r="EN17" i="6" s="1"/>
  <c r="S18" i="1"/>
  <c r="I157" i="32"/>
  <c r="I156" i="32" s="1"/>
  <c r="AG13" i="16"/>
  <c r="N117" i="32" s="1"/>
  <c r="DG17" i="6"/>
  <c r="AS17" i="6"/>
  <c r="DF17" i="6"/>
  <c r="DA17" i="6"/>
  <c r="AI14" i="16"/>
  <c r="AI38" i="1"/>
  <c r="X38" i="1" s="1"/>
  <c r="AB54" i="1"/>
  <c r="AB55" i="1" s="1"/>
  <c r="G169" i="21" s="1"/>
  <c r="DI17" i="6"/>
  <c r="DP17" i="6"/>
  <c r="EA17" i="6"/>
  <c r="CF17" i="6"/>
  <c r="BH17" i="6"/>
  <c r="AH13" i="17"/>
  <c r="M6" i="30"/>
  <c r="M24" i="30" s="1"/>
  <c r="M29" i="30" s="1"/>
  <c r="EN33" i="10"/>
  <c r="G157" i="32"/>
  <c r="G156" i="32" s="1"/>
  <c r="EH18" i="6"/>
  <c r="BV17" i="6"/>
  <c r="L546" i="32"/>
  <c r="L560" i="32" s="1"/>
  <c r="L454" i="32" s="1"/>
  <c r="EQ33" i="10"/>
  <c r="EF33" i="10"/>
  <c r="H118" i="32"/>
  <c r="BY17" i="6"/>
  <c r="EG33" i="10"/>
  <c r="EH33" i="10"/>
  <c r="F904" i="32"/>
  <c r="F921" i="32" s="1"/>
  <c r="AQ17" i="6"/>
  <c r="AO17" i="6"/>
  <c r="AF17" i="6"/>
  <c r="DK17" i="6"/>
  <c r="EG18" i="6"/>
  <c r="EC33" i="10"/>
  <c r="AI68" i="1" s="1"/>
  <c r="C73" i="21" s="1"/>
  <c r="H157" i="32"/>
  <c r="H156" i="32" s="1"/>
  <c r="J904" i="32"/>
  <c r="J921" i="32" s="1"/>
  <c r="EO33" i="10"/>
  <c r="BQ17" i="6"/>
  <c r="K599" i="32"/>
  <c r="AH68" i="1"/>
  <c r="C72" i="21" s="1"/>
  <c r="I904" i="32"/>
  <c r="I921" i="32" s="1"/>
  <c r="AI17" i="6"/>
  <c r="N6" i="35"/>
  <c r="N24" i="35" s="1"/>
  <c r="N30" i="35" s="1"/>
  <c r="C587" i="32"/>
  <c r="R16" i="21"/>
  <c r="P689" i="32"/>
  <c r="P681" i="32" s="1"/>
  <c r="DR17" i="6"/>
  <c r="EP33" i="10"/>
  <c r="K157" i="32"/>
  <c r="K156" i="32" s="1"/>
  <c r="F17" i="21"/>
  <c r="G168" i="21" s="1"/>
  <c r="EI33" i="10"/>
  <c r="EK18" i="6"/>
  <c r="P6" i="35"/>
  <c r="P24" i="35" s="1"/>
  <c r="P30" i="35" s="1"/>
  <c r="I118" i="32"/>
  <c r="G904" i="32"/>
  <c r="G921" i="32" s="1"/>
  <c r="ED33" i="10"/>
  <c r="J16" i="5"/>
  <c r="DX17" i="6"/>
  <c r="AL17" i="6"/>
  <c r="L6" i="30"/>
  <c r="L24" i="30" s="1"/>
  <c r="N118" i="32"/>
  <c r="AD47" i="17"/>
  <c r="EI18" i="6"/>
  <c r="AA68" i="1"/>
  <c r="C65" i="21" s="1"/>
  <c r="W13" i="26"/>
  <c r="AB68" i="1"/>
  <c r="C66" i="21" s="1"/>
  <c r="F157" i="32"/>
  <c r="F156" i="32" s="1"/>
  <c r="W679" i="32"/>
  <c r="L904" i="32" s="1"/>
  <c r="L921" i="32" s="1"/>
  <c r="G17" i="21"/>
  <c r="H168" i="21" s="1"/>
  <c r="J16" i="10"/>
  <c r="J12" i="17"/>
  <c r="L118" i="32"/>
  <c r="EK33" i="10"/>
  <c r="DS17" i="6"/>
  <c r="K118" i="32"/>
  <c r="Z47" i="17"/>
  <c r="E8" i="30"/>
  <c r="R47" i="17"/>
  <c r="AG13" i="17"/>
  <c r="AH14" i="16"/>
  <c r="H8" i="35"/>
  <c r="AC68" i="1"/>
  <c r="C67" i="21" s="1"/>
  <c r="J18" i="5"/>
  <c r="C158" i="32"/>
  <c r="H17" i="21"/>
  <c r="I168" i="21" s="1"/>
  <c r="X47" i="17"/>
  <c r="AE68" i="1"/>
  <c r="C69" i="21" s="1"/>
  <c r="Z17" i="6"/>
  <c r="AD68" i="1"/>
  <c r="C68" i="21" s="1"/>
  <c r="DZ17" i="6"/>
  <c r="P678" i="32"/>
  <c r="P677" i="32" s="1"/>
  <c r="Y12" i="16"/>
  <c r="Y11" i="16" s="1"/>
  <c r="EB153" i="11"/>
  <c r="EB52" i="5" s="1"/>
  <c r="V47" i="26" s="1"/>
  <c r="EC24" i="6"/>
  <c r="N678" i="32"/>
  <c r="N677" i="32" s="1"/>
  <c r="W12" i="16"/>
  <c r="H10" i="35"/>
  <c r="Y10" i="35" s="1"/>
  <c r="E167" i="21"/>
  <c r="E166" i="21"/>
  <c r="Z54" i="1"/>
  <c r="J118" i="32"/>
  <c r="G729" i="32"/>
  <c r="G721" i="32" s="1"/>
  <c r="O17" i="17"/>
  <c r="J689" i="32"/>
  <c r="J681" i="32" s="1"/>
  <c r="S18" i="16"/>
  <c r="O689" i="32"/>
  <c r="O681" i="32" s="1"/>
  <c r="J128" i="32"/>
  <c r="J120" i="32" s="1"/>
  <c r="X18" i="16"/>
  <c r="AH28" i="17"/>
  <c r="AH17" i="17" s="1"/>
  <c r="EI22" i="5"/>
  <c r="R678" i="32"/>
  <c r="R677" i="32" s="1"/>
  <c r="AA12" i="16"/>
  <c r="AG68" i="1"/>
  <c r="EN153" i="11"/>
  <c r="EN52" i="5" s="1"/>
  <c r="EO24" i="6"/>
  <c r="EO17" i="6" s="1"/>
  <c r="K37" i="6"/>
  <c r="K24" i="6" s="1"/>
  <c r="E721" i="32"/>
  <c r="AH13" i="16"/>
  <c r="ED18" i="6"/>
  <c r="EL33" i="10"/>
  <c r="K20" i="6"/>
  <c r="G689" i="32"/>
  <c r="G681" i="32" s="1"/>
  <c r="F128" i="32"/>
  <c r="F120" i="32" s="1"/>
  <c r="P18" i="16"/>
  <c r="F117" i="32"/>
  <c r="G678" i="32"/>
  <c r="P12" i="16"/>
  <c r="AG31" i="16"/>
  <c r="N128" i="32" s="1"/>
  <c r="N120" i="32" s="1"/>
  <c r="E603" i="32"/>
  <c r="CM17" i="6"/>
  <c r="J678" i="32"/>
  <c r="J677" i="32" s="1"/>
  <c r="S12" i="16"/>
  <c r="AF68" i="1"/>
  <c r="CT17" i="6"/>
  <c r="AG28" i="17"/>
  <c r="AG17" i="17" s="1"/>
  <c r="W28" i="26"/>
  <c r="W17" i="26" s="1"/>
  <c r="EC22" i="5"/>
  <c r="F24" i="30"/>
  <c r="E560" i="32"/>
  <c r="C550" i="32"/>
  <c r="Q689" i="32"/>
  <c r="Q681" i="32" s="1"/>
  <c r="K128" i="32"/>
  <c r="K120" i="32" s="1"/>
  <c r="Z18" i="16"/>
  <c r="EJ33" i="10"/>
  <c r="C598" i="32"/>
  <c r="I678" i="32"/>
  <c r="G117" i="32"/>
  <c r="R12" i="16"/>
  <c r="I167" i="21"/>
  <c r="I166" i="21"/>
  <c r="AD54" i="1"/>
  <c r="AD55" i="1" s="1"/>
  <c r="I169" i="21" s="1"/>
  <c r="J168" i="32"/>
  <c r="J160" i="32" s="1"/>
  <c r="R17" i="26"/>
  <c r="C548" i="32"/>
  <c r="J167" i="21"/>
  <c r="J166" i="21"/>
  <c r="AE54" i="1"/>
  <c r="AE55" i="1" s="1"/>
  <c r="J169" i="21" s="1"/>
  <c r="J148" i="11"/>
  <c r="AB47" i="17"/>
  <c r="X13" i="26"/>
  <c r="AI13" i="17"/>
  <c r="E17" i="21"/>
  <c r="F168" i="21" s="1"/>
  <c r="L157" i="32"/>
  <c r="L156" i="32" s="1"/>
  <c r="H689" i="32"/>
  <c r="H681" i="32" s="1"/>
  <c r="Q18" i="16"/>
  <c r="EF18" i="6"/>
  <c r="P47" i="26"/>
  <c r="S47" i="17"/>
  <c r="AI28" i="17"/>
  <c r="AI17" i="17" s="1"/>
  <c r="X28" i="26"/>
  <c r="X17" i="26" s="1"/>
  <c r="EO22" i="5"/>
  <c r="EE33" i="10"/>
  <c r="CS17" i="6"/>
  <c r="J33" i="5"/>
  <c r="J22" i="5" s="1"/>
  <c r="K678" i="32"/>
  <c r="H117" i="32"/>
  <c r="T12" i="16"/>
  <c r="H21" i="35"/>
  <c r="K168" i="32"/>
  <c r="K160" i="32" s="1"/>
  <c r="S17" i="26"/>
  <c r="D17" i="21"/>
  <c r="E168" i="21" s="1"/>
  <c r="EK153" i="11"/>
  <c r="EK52" i="5" s="1"/>
  <c r="EL24" i="6"/>
  <c r="E160" i="32"/>
  <c r="H904" i="32"/>
  <c r="H921" i="32" s="1"/>
  <c r="U679" i="32"/>
  <c r="K904" i="32" s="1"/>
  <c r="K921" i="32" s="1"/>
  <c r="M118" i="32"/>
  <c r="H7" i="35"/>
  <c r="AF28" i="17"/>
  <c r="AF17" i="17" s="1"/>
  <c r="X52" i="1"/>
  <c r="X53" i="1" s="1"/>
  <c r="AI53" i="1"/>
  <c r="CC17" i="6"/>
  <c r="AI31" i="16"/>
  <c r="AI18" i="16" s="1"/>
  <c r="EI153" i="11"/>
  <c r="EI52" i="5" s="1"/>
  <c r="EJ24" i="6"/>
  <c r="K546" i="32"/>
  <c r="K560" i="32" s="1"/>
  <c r="K454" i="32" s="1"/>
  <c r="H717" i="32"/>
  <c r="C547" i="32"/>
  <c r="EE153" i="11"/>
  <c r="EE52" i="5" s="1"/>
  <c r="EF24" i="6"/>
  <c r="M168" i="32"/>
  <c r="M160" i="32" s="1"/>
  <c r="U17" i="26"/>
  <c r="AG45" i="17"/>
  <c r="W45" i="26"/>
  <c r="BD17" i="6"/>
  <c r="G168" i="32"/>
  <c r="G160" i="32" s="1"/>
  <c r="O17" i="26"/>
  <c r="P117" i="11"/>
  <c r="Q114" i="11" s="1"/>
  <c r="Q116" i="11" s="1"/>
  <c r="P44" i="5"/>
  <c r="O678" i="32"/>
  <c r="J117" i="32"/>
  <c r="X12" i="16"/>
  <c r="T47" i="26"/>
  <c r="AA47" i="17"/>
  <c r="AH31" i="16"/>
  <c r="AH18" i="16" s="1"/>
  <c r="EC153" i="11"/>
  <c r="EC52" i="5" s="1"/>
  <c r="ED24" i="6"/>
  <c r="AJ17" i="6"/>
  <c r="H729" i="32"/>
  <c r="H721" i="32" s="1"/>
  <c r="P17" i="17"/>
  <c r="H168" i="32"/>
  <c r="H160" i="32" s="1"/>
  <c r="P17" i="26"/>
  <c r="V28" i="26"/>
  <c r="C558" i="32"/>
  <c r="AU17" i="6"/>
  <c r="AH45" i="17"/>
  <c r="EM33" i="10"/>
  <c r="O47" i="26"/>
  <c r="Q47" i="17"/>
  <c r="EQ153" i="11"/>
  <c r="EQ52" i="5" s="1"/>
  <c r="ER24" i="6"/>
  <c r="ER17" i="6" s="1"/>
  <c r="BP17" i="6"/>
  <c r="H678" i="32"/>
  <c r="H677" i="32" s="1"/>
  <c r="Q12" i="16"/>
  <c r="I17" i="21"/>
  <c r="J168" i="21" s="1"/>
  <c r="AI45" i="17"/>
  <c r="X45" i="26"/>
  <c r="K167" i="21"/>
  <c r="K166" i="21"/>
  <c r="AF54" i="1"/>
  <c r="AF55" i="1" s="1"/>
  <c r="K169" i="21" s="1"/>
  <c r="T689" i="32"/>
  <c r="T681" i="32" s="1"/>
  <c r="AC18" i="16"/>
  <c r="AJ14" i="16"/>
  <c r="P47" i="17"/>
  <c r="V678" i="32"/>
  <c r="V677" i="32" s="1"/>
  <c r="AE12" i="16"/>
  <c r="K689" i="32"/>
  <c r="K681" i="32" s="1"/>
  <c r="H128" i="32"/>
  <c r="H120" i="32" s="1"/>
  <c r="T18" i="16"/>
  <c r="E10" i="30"/>
  <c r="G718" i="32"/>
  <c r="G717" i="32" s="1"/>
  <c r="K15" i="10"/>
  <c r="K33" i="10" s="1"/>
  <c r="R689" i="32"/>
  <c r="R681" i="32" s="1"/>
  <c r="AA18" i="16"/>
  <c r="ED153" i="11"/>
  <c r="ED52" i="5" s="1"/>
  <c r="EE24" i="6"/>
  <c r="EE17" i="6" s="1"/>
  <c r="I168" i="32"/>
  <c r="I160" i="32" s="1"/>
  <c r="Q17" i="26"/>
  <c r="L586" i="32"/>
  <c r="L599" i="32" s="1"/>
  <c r="S678" i="32"/>
  <c r="L117" i="32"/>
  <c r="AB12" i="16"/>
  <c r="AE47" i="17"/>
  <c r="EQ18" i="6"/>
  <c r="V689" i="32"/>
  <c r="V681" i="32" s="1"/>
  <c r="AE18" i="16"/>
  <c r="AJ36" i="1"/>
  <c r="K37" i="10"/>
  <c r="K55" i="10" s="1"/>
  <c r="H167" i="21"/>
  <c r="AC54" i="1"/>
  <c r="H166" i="21"/>
  <c r="Q678" i="32"/>
  <c r="K117" i="32"/>
  <c r="Z12" i="16"/>
  <c r="L678" i="32"/>
  <c r="L677" i="32" s="1"/>
  <c r="U12" i="16"/>
  <c r="EF153" i="11"/>
  <c r="EF52" i="5" s="1"/>
  <c r="EG24" i="6"/>
  <c r="EG153" i="11"/>
  <c r="EG52" i="5" s="1"/>
  <c r="EH24" i="6"/>
  <c r="W11" i="26"/>
  <c r="AG11" i="17"/>
  <c r="T47" i="17"/>
  <c r="J12" i="26"/>
  <c r="EH153" i="11"/>
  <c r="EH52" i="5" s="1"/>
  <c r="EI24" i="6"/>
  <c r="M678" i="32"/>
  <c r="I117" i="32"/>
  <c r="V12" i="16"/>
  <c r="S689" i="32"/>
  <c r="S681" i="32" s="1"/>
  <c r="L128" i="32"/>
  <c r="L120" i="32" s="1"/>
  <c r="AB18" i="16"/>
  <c r="DD17" i="6"/>
  <c r="CH17" i="6"/>
  <c r="AI13" i="16"/>
  <c r="EJ18" i="6"/>
  <c r="N101" i="11"/>
  <c r="N102" i="11" s="1"/>
  <c r="L482" i="32"/>
  <c r="C481" i="32"/>
  <c r="D481" i="32" s="1"/>
  <c r="E481" i="32" s="1"/>
  <c r="F481" i="32" s="1"/>
  <c r="G481" i="32" s="1"/>
  <c r="H481" i="32" s="1"/>
  <c r="I481" i="32" s="1"/>
  <c r="J481" i="32" s="1"/>
  <c r="W678" i="32"/>
  <c r="AF12" i="16"/>
  <c r="I689" i="32"/>
  <c r="I681" i="32" s="1"/>
  <c r="G128" i="32"/>
  <c r="G120" i="32" s="1"/>
  <c r="R18" i="16"/>
  <c r="U47" i="17"/>
  <c r="Q47" i="26"/>
  <c r="V47" i="17"/>
  <c r="DO17" i="6"/>
  <c r="AJ13" i="16"/>
  <c r="EP18" i="6"/>
  <c r="K19" i="6"/>
  <c r="J17" i="21"/>
  <c r="K168" i="21" s="1"/>
  <c r="E21" i="30"/>
  <c r="M47" i="26"/>
  <c r="M47" i="17"/>
  <c r="C903" i="32"/>
  <c r="E677" i="32"/>
  <c r="U47" i="26"/>
  <c r="AC47" i="17"/>
  <c r="DQ17" i="6"/>
  <c r="M157" i="32"/>
  <c r="M156" i="32" s="1"/>
  <c r="E717" i="32"/>
  <c r="C921" i="32"/>
  <c r="I679" i="32"/>
  <c r="E904" i="32" s="1"/>
  <c r="E921" i="32" s="1"/>
  <c r="G118" i="32"/>
  <c r="EL153" i="11"/>
  <c r="EL52" i="5" s="1"/>
  <c r="EM24" i="6"/>
  <c r="EM17" i="6" s="1"/>
  <c r="W689" i="32"/>
  <c r="W681" i="32" s="1"/>
  <c r="AF18" i="16"/>
  <c r="L167" i="21"/>
  <c r="AG54" i="1"/>
  <c r="AG55" i="1" s="1"/>
  <c r="L169" i="21" s="1"/>
  <c r="L166" i="21"/>
  <c r="X36" i="1"/>
  <c r="T678" i="32"/>
  <c r="T677" i="32" s="1"/>
  <c r="AC12" i="16"/>
  <c r="F168" i="32"/>
  <c r="F160" i="32" s="1"/>
  <c r="N17" i="26"/>
  <c r="G679" i="32"/>
  <c r="F118" i="32"/>
  <c r="E599" i="32"/>
  <c r="W47" i="17"/>
  <c r="R47" i="26"/>
  <c r="BF17" i="6"/>
  <c r="L168" i="32"/>
  <c r="L160" i="32" s="1"/>
  <c r="T17" i="26"/>
  <c r="L689" i="32"/>
  <c r="L681" i="32" s="1"/>
  <c r="U18" i="16"/>
  <c r="N47" i="26"/>
  <c r="O47" i="17"/>
  <c r="M24" i="35"/>
  <c r="M30" i="35" s="1"/>
  <c r="E156" i="32"/>
  <c r="O6" i="35"/>
  <c r="O24" i="35" s="1"/>
  <c r="O30" i="35" s="1"/>
  <c r="J50" i="5"/>
  <c r="E7" i="30"/>
  <c r="E681" i="32"/>
  <c r="Y47" i="17"/>
  <c r="S47" i="26"/>
  <c r="ER33" i="10"/>
  <c r="AH11" i="17"/>
  <c r="CP17" i="6"/>
  <c r="C590" i="32"/>
  <c r="J157" i="32"/>
  <c r="J156" i="32" s="1"/>
  <c r="L5" i="21"/>
  <c r="L8" i="21" s="1"/>
  <c r="L17" i="21" s="1"/>
  <c r="M168" i="21" s="1"/>
  <c r="AH41" i="1"/>
  <c r="AH56" i="1" s="1"/>
  <c r="AC17" i="6"/>
  <c r="M689" i="32"/>
  <c r="M681" i="32" s="1"/>
  <c r="I128" i="32"/>
  <c r="I120" i="32" s="1"/>
  <c r="V18" i="16"/>
  <c r="N689" i="32"/>
  <c r="N681" i="32" s="1"/>
  <c r="W18" i="16"/>
  <c r="X11" i="26"/>
  <c r="AI11" i="17"/>
  <c r="CZ17" i="6"/>
  <c r="F167" i="21"/>
  <c r="F166" i="21"/>
  <c r="AA54" i="1"/>
  <c r="AA55" i="1" s="1"/>
  <c r="F169" i="21" s="1"/>
  <c r="L470" i="32"/>
  <c r="C469" i="32"/>
  <c r="D469" i="32" s="1"/>
  <c r="E469" i="32" s="1"/>
  <c r="F469" i="32" s="1"/>
  <c r="G469" i="32" s="1"/>
  <c r="H469" i="32" s="1"/>
  <c r="I469" i="32" s="1"/>
  <c r="J469" i="32" s="1"/>
  <c r="AX17" i="6"/>
  <c r="AJ31" i="16"/>
  <c r="AJ18" i="16" s="1"/>
  <c r="EO153" i="11"/>
  <c r="EO52" i="5" s="1"/>
  <c r="EP24" i="6"/>
  <c r="EP153" i="11"/>
  <c r="EP52" i="5" s="1"/>
  <c r="EQ24" i="6"/>
  <c r="K17" i="21"/>
  <c r="L168" i="21" s="1"/>
  <c r="EJ153" i="11"/>
  <c r="EJ52" i="5" s="1"/>
  <c r="EK24" i="6"/>
  <c r="U689" i="32"/>
  <c r="U681" i="32" s="1"/>
  <c r="M128" i="32"/>
  <c r="M120" i="32" s="1"/>
  <c r="AD18" i="16"/>
  <c r="D505" i="32" l="1"/>
  <c r="D491" i="32"/>
  <c r="L34" i="35"/>
  <c r="AC55" i="1"/>
  <c r="H169" i="21" s="1"/>
  <c r="AC59" i="1"/>
  <c r="D508" i="32"/>
  <c r="D492" i="32"/>
  <c r="D490" i="32"/>
  <c r="N11" i="16"/>
  <c r="D493" i="32"/>
  <c r="D507" i="32"/>
  <c r="D506" i="32"/>
  <c r="F455" i="32"/>
  <c r="F459" i="32" s="1"/>
  <c r="D504" i="32"/>
  <c r="D6" i="35"/>
  <c r="E6" i="35" s="1"/>
  <c r="K36" i="35"/>
  <c r="J36" i="35"/>
  <c r="J41" i="35" s="1"/>
  <c r="D10" i="35"/>
  <c r="E10" i="35" s="1"/>
  <c r="M11" i="16"/>
  <c r="D169" i="32"/>
  <c r="D155" i="32" s="1"/>
  <c r="M18" i="21"/>
  <c r="C105" i="32"/>
  <c r="L155" i="11"/>
  <c r="M152" i="11" s="1"/>
  <c r="M150" i="11"/>
  <c r="M51" i="5"/>
  <c r="L47" i="26"/>
  <c r="L47" i="17"/>
  <c r="D615" i="32"/>
  <c r="L49" i="5"/>
  <c r="L14" i="5" s="1"/>
  <c r="D691" i="32"/>
  <c r="L48" i="17"/>
  <c r="L48" i="26"/>
  <c r="D779" i="32"/>
  <c r="D786" i="32" s="1"/>
  <c r="K20" i="18"/>
  <c r="K19" i="18" s="1"/>
  <c r="D130" i="32"/>
  <c r="D730" i="32"/>
  <c r="D716" i="32" s="1"/>
  <c r="I169" i="32"/>
  <c r="EC17" i="6"/>
  <c r="AD11" i="16"/>
  <c r="EL17" i="6"/>
  <c r="G33" i="30"/>
  <c r="D169" i="21"/>
  <c r="X41" i="1"/>
  <c r="AG12" i="16"/>
  <c r="X678" i="32"/>
  <c r="X677" i="32" s="1"/>
  <c r="H116" i="32"/>
  <c r="H130" i="32" s="1"/>
  <c r="M116" i="32"/>
  <c r="M130" i="32" s="1"/>
  <c r="EK17" i="6"/>
  <c r="C528" i="32"/>
  <c r="EH17" i="6"/>
  <c r="AI12" i="16"/>
  <c r="AI11" i="16" s="1"/>
  <c r="EG17" i="6"/>
  <c r="N587" i="32"/>
  <c r="O587" i="32" s="1"/>
  <c r="AI41" i="1"/>
  <c r="C546" i="32"/>
  <c r="J13" i="17"/>
  <c r="P691" i="32"/>
  <c r="N116" i="32"/>
  <c r="N130" i="32" s="1"/>
  <c r="H909" i="32"/>
  <c r="H928" i="32" s="1"/>
  <c r="H930" i="32" s="1"/>
  <c r="I116" i="32"/>
  <c r="I130" i="32" s="1"/>
  <c r="K14" i="16"/>
  <c r="F169" i="32"/>
  <c r="EI17" i="6"/>
  <c r="AF47" i="17"/>
  <c r="J13" i="26"/>
  <c r="AH12" i="16"/>
  <c r="AH11" i="16" s="1"/>
  <c r="J45" i="26"/>
  <c r="K18" i="6"/>
  <c r="K17" i="6" s="1"/>
  <c r="U11" i="16"/>
  <c r="E6" i="30"/>
  <c r="V6" i="30" s="1"/>
  <c r="L116" i="32"/>
  <c r="L130" i="32" s="1"/>
  <c r="X68" i="1"/>
  <c r="EP17" i="6"/>
  <c r="EQ17" i="6"/>
  <c r="V11" i="16"/>
  <c r="J909" i="32"/>
  <c r="J928" i="32" s="1"/>
  <c r="J930" i="32" s="1"/>
  <c r="AJ12" i="16"/>
  <c r="AJ11" i="16" s="1"/>
  <c r="U677" i="32"/>
  <c r="U691" i="32" s="1"/>
  <c r="ED17" i="6"/>
  <c r="AB11" i="16"/>
  <c r="J116" i="32"/>
  <c r="J130" i="32" s="1"/>
  <c r="AJ68" i="1"/>
  <c r="W11" i="16"/>
  <c r="H691" i="32"/>
  <c r="R11" i="16"/>
  <c r="T691" i="32"/>
  <c r="C718" i="32"/>
  <c r="K116" i="32"/>
  <c r="K130" i="32" s="1"/>
  <c r="C117" i="32"/>
  <c r="J28" i="17"/>
  <c r="J17" i="17" s="1"/>
  <c r="E909" i="32"/>
  <c r="E928" i="32" s="1"/>
  <c r="E930" i="32" s="1"/>
  <c r="T11" i="16"/>
  <c r="K909" i="32"/>
  <c r="K928" i="32" s="1"/>
  <c r="K930" i="32" s="1"/>
  <c r="C118" i="32"/>
  <c r="AA11" i="16"/>
  <c r="J691" i="32"/>
  <c r="J169" i="32"/>
  <c r="G730" i="32"/>
  <c r="M169" i="32"/>
  <c r="G169" i="32"/>
  <c r="J11" i="26"/>
  <c r="J45" i="17"/>
  <c r="J52" i="5"/>
  <c r="AE11" i="16"/>
  <c r="S11" i="16"/>
  <c r="J11" i="17"/>
  <c r="F909" i="32"/>
  <c r="F928" i="32" s="1"/>
  <c r="F930" i="32" s="1"/>
  <c r="H169" i="32"/>
  <c r="O34" i="35"/>
  <c r="O36" i="35"/>
  <c r="I508" i="32"/>
  <c r="I491" i="32"/>
  <c r="I507" i="32"/>
  <c r="I505" i="32"/>
  <c r="I495" i="32"/>
  <c r="K455" i="32"/>
  <c r="I490" i="32"/>
  <c r="I492" i="32"/>
  <c r="I494" i="32"/>
  <c r="I493" i="32"/>
  <c r="I506" i="32"/>
  <c r="I504" i="32"/>
  <c r="I509" i="32"/>
  <c r="G909" i="32"/>
  <c r="M167" i="21"/>
  <c r="M166" i="21"/>
  <c r="AH54" i="1"/>
  <c r="AH55" i="1" s="1"/>
  <c r="M169" i="21" s="1"/>
  <c r="M36" i="35"/>
  <c r="M34" i="35"/>
  <c r="N34" i="35"/>
  <c r="N36" i="35"/>
  <c r="W677" i="32"/>
  <c r="W691" i="32" s="1"/>
  <c r="N41" i="5"/>
  <c r="N141" i="5" s="1"/>
  <c r="N142" i="5" s="1"/>
  <c r="N143" i="5" s="1"/>
  <c r="H6" i="35"/>
  <c r="Y6" i="35" s="1"/>
  <c r="J10" i="33"/>
  <c r="V691" i="32"/>
  <c r="AC11" i="16"/>
  <c r="D509" i="32"/>
  <c r="D495" i="32"/>
  <c r="H730" i="32"/>
  <c r="N598" i="32"/>
  <c r="O598" i="32" s="1"/>
  <c r="G116" i="32"/>
  <c r="G130" i="32" s="1"/>
  <c r="C523" i="32" s="1"/>
  <c r="C525" i="32" s="1"/>
  <c r="C527" i="32" s="1"/>
  <c r="I909" i="32"/>
  <c r="F116" i="32"/>
  <c r="F130" i="32" s="1"/>
  <c r="C721" i="32"/>
  <c r="C71" i="21"/>
  <c r="N691" i="32"/>
  <c r="F10" i="33"/>
  <c r="X47" i="26"/>
  <c r="AI47" i="17"/>
  <c r="H506" i="32"/>
  <c r="H495" i="32"/>
  <c r="H491" i="32"/>
  <c r="H509" i="32"/>
  <c r="H505" i="32"/>
  <c r="H490" i="32"/>
  <c r="H504" i="32"/>
  <c r="H508" i="32"/>
  <c r="H492" i="32"/>
  <c r="J455" i="32"/>
  <c r="H494" i="32"/>
  <c r="H493" i="32"/>
  <c r="H507" i="32"/>
  <c r="H33" i="30"/>
  <c r="H35" i="30"/>
  <c r="U138" i="5" s="1"/>
  <c r="N586" i="32"/>
  <c r="E169" i="32"/>
  <c r="C156" i="32"/>
  <c r="F493" i="32"/>
  <c r="F505" i="32"/>
  <c r="F506" i="32"/>
  <c r="F490" i="32"/>
  <c r="F509" i="32"/>
  <c r="F494" i="32"/>
  <c r="F508" i="32"/>
  <c r="H455" i="32"/>
  <c r="F504" i="32"/>
  <c r="F492" i="32"/>
  <c r="F495" i="32"/>
  <c r="F507" i="32"/>
  <c r="F491" i="32"/>
  <c r="E691" i="32"/>
  <c r="O99" i="11"/>
  <c r="O101" i="11" s="1"/>
  <c r="M28" i="15"/>
  <c r="S677" i="32"/>
  <c r="S691" i="32" s="1"/>
  <c r="J903" i="32"/>
  <c r="L29" i="30"/>
  <c r="K31" i="16"/>
  <c r="K18" i="16" s="1"/>
  <c r="W47" i="26"/>
  <c r="AG47" i="17"/>
  <c r="Q117" i="11"/>
  <c r="R114" i="11" s="1"/>
  <c r="R116" i="11" s="1"/>
  <c r="Q44" i="5"/>
  <c r="K169" i="32"/>
  <c r="EF17" i="6"/>
  <c r="L169" i="32"/>
  <c r="E903" i="32"/>
  <c r="I677" i="32"/>
  <c r="I691" i="32" s="1"/>
  <c r="P34" i="35"/>
  <c r="P36" i="35"/>
  <c r="X689" i="32"/>
  <c r="X681" i="32" s="1"/>
  <c r="L909" i="32" s="1"/>
  <c r="AG18" i="16"/>
  <c r="P11" i="16"/>
  <c r="C729" i="32"/>
  <c r="J29" i="30"/>
  <c r="I903" i="32"/>
  <c r="Q677" i="32"/>
  <c r="Q691" i="32" s="1"/>
  <c r="M4" i="21"/>
  <c r="M8" i="21" s="1"/>
  <c r="M17" i="21" s="1"/>
  <c r="AJ41" i="1"/>
  <c r="AJ54" i="1" s="1"/>
  <c r="K13" i="16"/>
  <c r="E490" i="32"/>
  <c r="E504" i="32"/>
  <c r="E505" i="32"/>
  <c r="E506" i="32"/>
  <c r="E508" i="32"/>
  <c r="E507" i="32"/>
  <c r="E491" i="32"/>
  <c r="E493" i="32"/>
  <c r="E495" i="32"/>
  <c r="G455" i="32"/>
  <c r="E492" i="32"/>
  <c r="E509" i="32"/>
  <c r="E494" i="32"/>
  <c r="N168" i="32"/>
  <c r="N160" i="32" s="1"/>
  <c r="N169" i="32" s="1"/>
  <c r="V17" i="26"/>
  <c r="EJ17" i="6"/>
  <c r="N590" i="32"/>
  <c r="O590" i="32" s="1"/>
  <c r="K677" i="32"/>
  <c r="K691" i="32" s="1"/>
  <c r="F903" i="32"/>
  <c r="Z11" i="16"/>
  <c r="E454" i="32"/>
  <c r="C560" i="32"/>
  <c r="C70" i="21"/>
  <c r="I33" i="30"/>
  <c r="I35" i="30"/>
  <c r="R691" i="32"/>
  <c r="J491" i="32"/>
  <c r="J507" i="32"/>
  <c r="J508" i="32"/>
  <c r="J493" i="32"/>
  <c r="J490" i="32"/>
  <c r="J509" i="32"/>
  <c r="J505" i="32"/>
  <c r="J492" i="32"/>
  <c r="J495" i="32"/>
  <c r="J506" i="32"/>
  <c r="J494" i="32"/>
  <c r="J504" i="32"/>
  <c r="L455" i="32"/>
  <c r="H10" i="33"/>
  <c r="G10" i="33"/>
  <c r="M10" i="33"/>
  <c r="I10" i="33"/>
  <c r="N10" i="33"/>
  <c r="C157" i="32"/>
  <c r="D904" i="32"/>
  <c r="C679" i="32"/>
  <c r="C482" i="32"/>
  <c r="D482" i="32" s="1"/>
  <c r="E482" i="32" s="1"/>
  <c r="F482" i="32" s="1"/>
  <c r="G482" i="32" s="1"/>
  <c r="H482" i="32" s="1"/>
  <c r="I482" i="32" s="1"/>
  <c r="J482" i="32" s="1"/>
  <c r="L483" i="32"/>
  <c r="C120" i="32"/>
  <c r="C599" i="32"/>
  <c r="J153" i="11"/>
  <c r="E130" i="32"/>
  <c r="L471" i="32"/>
  <c r="C470" i="32"/>
  <c r="D470" i="32" s="1"/>
  <c r="C909" i="32"/>
  <c r="C586" i="32"/>
  <c r="AF11" i="16"/>
  <c r="M33" i="30"/>
  <c r="AJ137" i="5" s="1"/>
  <c r="M35" i="30"/>
  <c r="AJ138" i="5" s="1"/>
  <c r="C717" i="32"/>
  <c r="E730" i="32"/>
  <c r="C920" i="32"/>
  <c r="K903" i="32"/>
  <c r="C128" i="32"/>
  <c r="G903" i="32"/>
  <c r="M677" i="32"/>
  <c r="M691" i="32" s="1"/>
  <c r="L691" i="32"/>
  <c r="H24" i="35"/>
  <c r="Y24" i="35" s="1"/>
  <c r="K29" i="30"/>
  <c r="O677" i="32"/>
  <c r="O691" i="32" s="1"/>
  <c r="H903" i="32"/>
  <c r="G491" i="32"/>
  <c r="G494" i="32"/>
  <c r="G507" i="32"/>
  <c r="G506" i="32"/>
  <c r="G495" i="32"/>
  <c r="G505" i="32"/>
  <c r="I455" i="32"/>
  <c r="G504" i="32"/>
  <c r="G493" i="32"/>
  <c r="G492" i="32"/>
  <c r="G508" i="32"/>
  <c r="G490" i="32"/>
  <c r="G509" i="32"/>
  <c r="AH47" i="17"/>
  <c r="Q11" i="16"/>
  <c r="E24" i="30"/>
  <c r="F29" i="30"/>
  <c r="D903" i="32"/>
  <c r="D920" i="32" s="1"/>
  <c r="G677" i="32"/>
  <c r="G691" i="32" s="1"/>
  <c r="D909" i="32"/>
  <c r="X11" i="16"/>
  <c r="Z55" i="1"/>
  <c r="E169" i="21" s="1"/>
  <c r="J28" i="26"/>
  <c r="J17" i="26" s="1"/>
  <c r="D515" i="32" l="1"/>
  <c r="F458" i="32"/>
  <c r="D501" i="32" s="1"/>
  <c r="K40" i="35"/>
  <c r="U137" i="5"/>
  <c r="L41" i="35"/>
  <c r="X138" i="5"/>
  <c r="J40" i="35"/>
  <c r="R137" i="5"/>
  <c r="L40" i="35"/>
  <c r="X137" i="5"/>
  <c r="O140" i="5"/>
  <c r="N123" i="5"/>
  <c r="K41" i="35"/>
  <c r="D24" i="35"/>
  <c r="D30" i="35" s="1"/>
  <c r="D34" i="35" s="1"/>
  <c r="P40" i="35"/>
  <c r="P41" i="35"/>
  <c r="M20" i="21"/>
  <c r="AG11" i="16"/>
  <c r="K17" i="15"/>
  <c r="D641" i="32" s="1"/>
  <c r="I960" i="32"/>
  <c r="H960" i="32" s="1"/>
  <c r="P951" i="32"/>
  <c r="C949" i="32" s="1"/>
  <c r="I949" i="32"/>
  <c r="L26" i="15"/>
  <c r="L25" i="15" s="1"/>
  <c r="L24" i="15" s="1"/>
  <c r="N147" i="11"/>
  <c r="N149" i="11" s="1"/>
  <c r="L44" i="17"/>
  <c r="L9" i="17" s="1"/>
  <c r="D746" i="32"/>
  <c r="D185" i="32"/>
  <c r="L44" i="26"/>
  <c r="L9" i="26" s="1"/>
  <c r="M154" i="11"/>
  <c r="M53" i="5" s="1"/>
  <c r="M49" i="5" s="1"/>
  <c r="C530" i="32"/>
  <c r="C533" i="32" s="1"/>
  <c r="C534" i="32" s="1"/>
  <c r="C678" i="32"/>
  <c r="L903" i="32"/>
  <c r="M903" i="32" s="1"/>
  <c r="H912" i="32"/>
  <c r="H913" i="32" s="1"/>
  <c r="K12" i="16"/>
  <c r="K11" i="16" s="1"/>
  <c r="F912" i="32"/>
  <c r="F913" i="32" s="1"/>
  <c r="K912" i="32"/>
  <c r="K913" i="32" s="1"/>
  <c r="J912" i="32"/>
  <c r="J913" i="32" s="1"/>
  <c r="AI54" i="1"/>
  <c r="X54" i="1" s="1"/>
  <c r="X55" i="1" s="1"/>
  <c r="J47" i="26"/>
  <c r="C681" i="32"/>
  <c r="D891" i="32" s="1"/>
  <c r="E912" i="32"/>
  <c r="E913" i="32" s="1"/>
  <c r="C116" i="32"/>
  <c r="X691" i="32"/>
  <c r="C691" i="32" s="1"/>
  <c r="C168" i="32"/>
  <c r="J47" i="17"/>
  <c r="C160" i="32"/>
  <c r="C689" i="32"/>
  <c r="K35" i="30"/>
  <c r="K33" i="30"/>
  <c r="C471" i="32"/>
  <c r="D471" i="32" s="1"/>
  <c r="L472" i="32"/>
  <c r="K10" i="33"/>
  <c r="C62" i="21"/>
  <c r="C63" i="21"/>
  <c r="N40" i="5"/>
  <c r="G912" i="32"/>
  <c r="G913" i="32" s="1"/>
  <c r="G928" i="32"/>
  <c r="G930" i="32" s="1"/>
  <c r="D912" i="32"/>
  <c r="D913" i="32" s="1"/>
  <c r="D928" i="32"/>
  <c r="D930" i="32" s="1"/>
  <c r="F33" i="30"/>
  <c r="E29" i="30"/>
  <c r="E33" i="30" s="1"/>
  <c r="AN50" i="1" s="1"/>
  <c r="AV95" i="1" s="1"/>
  <c r="F35" i="30"/>
  <c r="K920" i="32"/>
  <c r="C130" i="32"/>
  <c r="C483" i="32"/>
  <c r="D483" i="32" s="1"/>
  <c r="E483" i="32" s="1"/>
  <c r="F483" i="32" s="1"/>
  <c r="G483" i="32" s="1"/>
  <c r="H483" i="32" s="1"/>
  <c r="I483" i="32" s="1"/>
  <c r="J483" i="32" s="1"/>
  <c r="L484" i="32"/>
  <c r="G458" i="32"/>
  <c r="E501" i="32" s="1"/>
  <c r="G459" i="32"/>
  <c r="E515" i="32" s="1"/>
  <c r="I920" i="32"/>
  <c r="J920" i="32"/>
  <c r="L912" i="32"/>
  <c r="L913" i="32" s="1"/>
  <c r="L928" i="32"/>
  <c r="L930" i="32" s="1"/>
  <c r="J459" i="32"/>
  <c r="H515" i="32" s="1"/>
  <c r="J458" i="32"/>
  <c r="H501" i="32" s="1"/>
  <c r="K459" i="32"/>
  <c r="I515" i="32" s="1"/>
  <c r="K458" i="32"/>
  <c r="I501" i="32" s="1"/>
  <c r="M909" i="32"/>
  <c r="C928" i="32"/>
  <c r="C912" i="32"/>
  <c r="R117" i="11"/>
  <c r="S114" i="11" s="1"/>
  <c r="S116" i="11" s="1"/>
  <c r="R44" i="5"/>
  <c r="M39" i="17" s="1"/>
  <c r="H920" i="32"/>
  <c r="G920" i="32"/>
  <c r="C730" i="32"/>
  <c r="D921" i="32"/>
  <c r="M921" i="32" s="1"/>
  <c r="M904" i="32"/>
  <c r="F920" i="32"/>
  <c r="AJ57" i="1"/>
  <c r="C104" i="32"/>
  <c r="P950" i="32" s="1"/>
  <c r="J33" i="30"/>
  <c r="J35" i="30"/>
  <c r="O102" i="11"/>
  <c r="O41" i="5"/>
  <c r="O141" i="5" s="1"/>
  <c r="C677" i="32"/>
  <c r="H458" i="32"/>
  <c r="F501" i="32" s="1"/>
  <c r="H459" i="32"/>
  <c r="F515" i="32" s="1"/>
  <c r="N599" i="32"/>
  <c r="O599" i="32" s="1"/>
  <c r="C169" i="32"/>
  <c r="L10" i="33"/>
  <c r="I458" i="32"/>
  <c r="G501" i="32" s="1"/>
  <c r="I459" i="32"/>
  <c r="G515" i="32" s="1"/>
  <c r="I34" i="35"/>
  <c r="I36" i="35"/>
  <c r="H36" i="35" s="1"/>
  <c r="H30" i="35"/>
  <c r="H34" i="35" s="1"/>
  <c r="E470" i="32"/>
  <c r="D496" i="32"/>
  <c r="D510" i="32"/>
  <c r="L458" i="32"/>
  <c r="J501" i="32" s="1"/>
  <c r="L459" i="32"/>
  <c r="J515" i="32" s="1"/>
  <c r="C490" i="32"/>
  <c r="C496" i="32"/>
  <c r="C494" i="32"/>
  <c r="E455" i="32"/>
  <c r="C492" i="32"/>
  <c r="C506" i="32"/>
  <c r="C491" i="32"/>
  <c r="C510" i="32"/>
  <c r="C504" i="32"/>
  <c r="C493" i="32"/>
  <c r="C454" i="32"/>
  <c r="C509" i="32"/>
  <c r="D454" i="32"/>
  <c r="I967" i="32" s="1"/>
  <c r="C495" i="32"/>
  <c r="C505" i="32"/>
  <c r="C507" i="32"/>
  <c r="C508" i="32"/>
  <c r="E920" i="32"/>
  <c r="L33" i="30"/>
  <c r="L35" i="30"/>
  <c r="O586" i="32"/>
  <c r="I928" i="32"/>
  <c r="I930" i="32" s="1"/>
  <c r="I912" i="32"/>
  <c r="I913" i="32" s="1"/>
  <c r="O41" i="35" l="1"/>
  <c r="AG138" i="5"/>
  <c r="O40" i="35"/>
  <c r="AG137" i="5"/>
  <c r="O142" i="5"/>
  <c r="O143" i="5" s="1"/>
  <c r="M41" i="35"/>
  <c r="AA138" i="5"/>
  <c r="M40" i="35"/>
  <c r="AA137" i="5"/>
  <c r="N40" i="35"/>
  <c r="AD137" i="5"/>
  <c r="N41" i="35"/>
  <c r="AD138" i="5"/>
  <c r="I40" i="35"/>
  <c r="I41" i="35"/>
  <c r="D530" i="32"/>
  <c r="K12" i="18"/>
  <c r="D772" i="32" s="1"/>
  <c r="M155" i="11"/>
  <c r="N152" i="11" s="1"/>
  <c r="N150" i="11"/>
  <c r="N51" i="5"/>
  <c r="I981" i="32"/>
  <c r="C967" i="32"/>
  <c r="L920" i="32"/>
  <c r="M920" i="32" s="1"/>
  <c r="C891" i="32"/>
  <c r="D10" i="33"/>
  <c r="C497" i="32"/>
  <c r="C511" i="32"/>
  <c r="C10" i="33"/>
  <c r="E734" i="32"/>
  <c r="C889" i="32"/>
  <c r="D889" i="32"/>
  <c r="D888" i="32" s="1"/>
  <c r="AN48" i="1"/>
  <c r="AV121" i="1" s="1"/>
  <c r="M912" i="32"/>
  <c r="C913" i="32"/>
  <c r="M913" i="32" s="1"/>
  <c r="M928" i="32"/>
  <c r="C930" i="32"/>
  <c r="M930" i="32" s="1"/>
  <c r="E459" i="32"/>
  <c r="E458" i="32"/>
  <c r="D455" i="32"/>
  <c r="C455" i="32"/>
  <c r="F470" i="32"/>
  <c r="E510" i="32"/>
  <c r="E496" i="32"/>
  <c r="E602" i="32"/>
  <c r="O40" i="5"/>
  <c r="P99" i="11"/>
  <c r="N28" i="15"/>
  <c r="E650" i="32" s="1"/>
  <c r="C107" i="32"/>
  <c r="P953" i="32" s="1"/>
  <c r="I950" i="32" s="1"/>
  <c r="C950" i="32" s="1"/>
  <c r="AJ58" i="1"/>
  <c r="AI57" i="1"/>
  <c r="AN49" i="1"/>
  <c r="AV133" i="1" s="1"/>
  <c r="E35" i="30"/>
  <c r="AN51" i="1" s="1"/>
  <c r="AV109" i="1" s="1"/>
  <c r="C472" i="32"/>
  <c r="L473" i="32"/>
  <c r="S117" i="11"/>
  <c r="T114" i="11" s="1"/>
  <c r="T116" i="11" s="1"/>
  <c r="S44" i="5"/>
  <c r="L485" i="32"/>
  <c r="C484" i="32"/>
  <c r="D484" i="32" s="1"/>
  <c r="E484" i="32" s="1"/>
  <c r="F484" i="32" s="1"/>
  <c r="G484" i="32" s="1"/>
  <c r="H484" i="32" s="1"/>
  <c r="I484" i="32" s="1"/>
  <c r="J484" i="32" s="1"/>
  <c r="E471" i="32"/>
  <c r="D497" i="32"/>
  <c r="D511" i="32"/>
  <c r="F603" i="32"/>
  <c r="P140" i="5" l="1"/>
  <c r="O123" i="5"/>
  <c r="D211" i="32"/>
  <c r="L17" i="15"/>
  <c r="N154" i="11"/>
  <c r="N53" i="5" s="1"/>
  <c r="N49" i="5" s="1"/>
  <c r="O147" i="11"/>
  <c r="M26" i="15"/>
  <c r="M25" i="15" s="1"/>
  <c r="M24" i="15" s="1"/>
  <c r="J981" i="32"/>
  <c r="K981" i="32" s="1"/>
  <c r="L981" i="32" s="1"/>
  <c r="M981" i="32" s="1"/>
  <c r="C981" i="32"/>
  <c r="T117" i="11"/>
  <c r="U114" i="11" s="1"/>
  <c r="U116" i="11" s="1"/>
  <c r="T44" i="5"/>
  <c r="C485" i="32"/>
  <c r="D485" i="32" s="1"/>
  <c r="E485" i="32" s="1"/>
  <c r="F485" i="32" s="1"/>
  <c r="G485" i="32" s="1"/>
  <c r="H485" i="32" s="1"/>
  <c r="I485" i="32" s="1"/>
  <c r="J485" i="32" s="1"/>
  <c r="L486" i="32"/>
  <c r="C486" i="32" s="1"/>
  <c r="D486" i="32" s="1"/>
  <c r="E486" i="32" s="1"/>
  <c r="F486" i="32" s="1"/>
  <c r="G486" i="32" s="1"/>
  <c r="H486" i="32" s="1"/>
  <c r="I486" i="32" s="1"/>
  <c r="J486" i="32" s="1"/>
  <c r="D472" i="32"/>
  <c r="C498" i="32"/>
  <c r="C512" i="32"/>
  <c r="F471" i="32"/>
  <c r="E511" i="32"/>
  <c r="E497" i="32"/>
  <c r="I51" i="26"/>
  <c r="AJ63" i="1"/>
  <c r="AJ62" i="1"/>
  <c r="I51" i="17"/>
  <c r="AI58" i="1"/>
  <c r="I56" i="5"/>
  <c r="AJ61" i="1"/>
  <c r="P101" i="11"/>
  <c r="P102" i="11" s="1"/>
  <c r="C501" i="32"/>
  <c r="D458" i="32"/>
  <c r="C515" i="32"/>
  <c r="D459" i="32"/>
  <c r="D893" i="32"/>
  <c r="D894" i="32"/>
  <c r="C473" i="32"/>
  <c r="L474" i="32"/>
  <c r="C474" i="32" s="1"/>
  <c r="G470" i="32"/>
  <c r="F510" i="32"/>
  <c r="F496" i="32"/>
  <c r="C458" i="32"/>
  <c r="C459" i="32"/>
  <c r="N155" i="11" l="1"/>
  <c r="O149" i="11"/>
  <c r="O51" i="5" s="1"/>
  <c r="C956" i="32"/>
  <c r="D956" i="32" s="1"/>
  <c r="E956" i="32" s="1"/>
  <c r="F956" i="32" s="1"/>
  <c r="G956" i="32" s="1"/>
  <c r="AC56" i="5"/>
  <c r="DQ56" i="5"/>
  <c r="T56" i="5"/>
  <c r="DW56" i="5"/>
  <c r="DV56" i="5"/>
  <c r="AG56" i="5"/>
  <c r="CM56" i="5"/>
  <c r="DM56" i="5"/>
  <c r="CG56" i="5"/>
  <c r="BU56" i="5"/>
  <c r="CB56" i="5"/>
  <c r="EI56" i="5"/>
  <c r="DG56" i="5"/>
  <c r="CJ56" i="5"/>
  <c r="DE56" i="5"/>
  <c r="BO56" i="5"/>
  <c r="BX56" i="5"/>
  <c r="BF56" i="5"/>
  <c r="CC56" i="5"/>
  <c r="BS56" i="5"/>
  <c r="DN56" i="5"/>
  <c r="EJ56" i="5"/>
  <c r="AN56" i="5"/>
  <c r="BI56" i="5"/>
  <c r="ED56" i="5"/>
  <c r="AT56" i="5"/>
  <c r="DU56" i="5"/>
  <c r="EB56" i="5"/>
  <c r="CD56" i="5"/>
  <c r="AW56" i="5"/>
  <c r="EG56" i="5"/>
  <c r="BG56" i="5"/>
  <c r="R56" i="5"/>
  <c r="Y56" i="5"/>
  <c r="AK56" i="5"/>
  <c r="CX56" i="5"/>
  <c r="CE56" i="5"/>
  <c r="EF56" i="5"/>
  <c r="DX56" i="5"/>
  <c r="AB56" i="5"/>
  <c r="BL56" i="5"/>
  <c r="AV56" i="5"/>
  <c r="EA56" i="5"/>
  <c r="CV56" i="5"/>
  <c r="CW56" i="5"/>
  <c r="CQ56" i="5"/>
  <c r="DA56" i="5"/>
  <c r="AS56" i="5"/>
  <c r="EK56" i="5"/>
  <c r="EC56" i="5"/>
  <c r="CO56" i="5"/>
  <c r="BH56" i="5"/>
  <c r="AY56" i="5"/>
  <c r="CP56" i="5"/>
  <c r="DI56" i="5"/>
  <c r="BM56" i="5"/>
  <c r="Q56" i="5"/>
  <c r="BQ56" i="5"/>
  <c r="EE56" i="5"/>
  <c r="CI56" i="5"/>
  <c r="EH56" i="5"/>
  <c r="DF56" i="5"/>
  <c r="BT56" i="5"/>
  <c r="P56" i="5"/>
  <c r="EL56" i="5"/>
  <c r="AO56" i="5"/>
  <c r="DB56" i="5"/>
  <c r="CF56" i="5"/>
  <c r="EM56" i="5"/>
  <c r="BW56" i="5"/>
  <c r="S56" i="5"/>
  <c r="CN56" i="5"/>
  <c r="N56" i="5"/>
  <c r="DJ56" i="5"/>
  <c r="DZ56" i="5"/>
  <c r="CR56" i="5"/>
  <c r="DD56" i="5"/>
  <c r="AF56" i="5"/>
  <c r="DH56" i="5"/>
  <c r="BD56" i="5"/>
  <c r="CA56" i="5"/>
  <c r="CS56" i="5"/>
  <c r="DO56" i="5"/>
  <c r="BJ56" i="5"/>
  <c r="AQ56" i="5"/>
  <c r="CY56" i="5"/>
  <c r="CH56" i="5"/>
  <c r="AD56" i="5"/>
  <c r="EQ56" i="5"/>
  <c r="AE56" i="5"/>
  <c r="W56" i="5"/>
  <c r="BC56" i="5"/>
  <c r="CT56" i="5"/>
  <c r="AX56" i="5"/>
  <c r="DS56" i="5"/>
  <c r="DK56" i="5"/>
  <c r="AM56" i="5"/>
  <c r="EO56" i="5"/>
  <c r="AP56" i="5"/>
  <c r="EP56" i="5"/>
  <c r="DT56" i="5"/>
  <c r="CK56" i="5"/>
  <c r="CU56" i="5"/>
  <c r="M56" i="5"/>
  <c r="BK56" i="5"/>
  <c r="DR56" i="5"/>
  <c r="AI56" i="5"/>
  <c r="Z56" i="5"/>
  <c r="AA56" i="5"/>
  <c r="AU56" i="5"/>
  <c r="BV56" i="5"/>
  <c r="CZ56" i="5"/>
  <c r="AL56" i="5"/>
  <c r="DP56" i="5"/>
  <c r="L56" i="5"/>
  <c r="BY56" i="5"/>
  <c r="AR56" i="5"/>
  <c r="DY56" i="5"/>
  <c r="X56" i="5"/>
  <c r="DC56" i="5"/>
  <c r="O56" i="5"/>
  <c r="BZ56" i="5"/>
  <c r="BR56" i="5"/>
  <c r="CL56" i="5"/>
  <c r="BB56" i="5"/>
  <c r="U56" i="5"/>
  <c r="AZ56" i="5"/>
  <c r="EN56" i="5"/>
  <c r="V56" i="5"/>
  <c r="BN56" i="5"/>
  <c r="BA56" i="5"/>
  <c r="DL56" i="5"/>
  <c r="BP56" i="5"/>
  <c r="AJ56" i="5"/>
  <c r="BE56" i="5"/>
  <c r="AH56" i="5"/>
  <c r="I53" i="26"/>
  <c r="I53" i="17"/>
  <c r="I58" i="5"/>
  <c r="G471" i="32"/>
  <c r="F497" i="32"/>
  <c r="F511" i="32"/>
  <c r="D474" i="32"/>
  <c r="C514" i="32"/>
  <c r="C500" i="32"/>
  <c r="Q99" i="11"/>
  <c r="O28" i="15"/>
  <c r="H470" i="32"/>
  <c r="G496" i="32"/>
  <c r="G510" i="32"/>
  <c r="D473" i="32"/>
  <c r="C513" i="32"/>
  <c r="C499" i="32"/>
  <c r="P41" i="5"/>
  <c r="P141" i="5" s="1"/>
  <c r="AJ64" i="1"/>
  <c r="AH64" i="1" s="1"/>
  <c r="I57" i="5"/>
  <c r="I52" i="17"/>
  <c r="AI60" i="1"/>
  <c r="I52" i="26"/>
  <c r="C108" i="32"/>
  <c r="E472" i="32"/>
  <c r="D498" i="32"/>
  <c r="D512" i="32"/>
  <c r="U117" i="11"/>
  <c r="V114" i="11" s="1"/>
  <c r="V116" i="11" s="1"/>
  <c r="U44" i="5"/>
  <c r="P142" i="5" l="1"/>
  <c r="P143" i="5" s="1"/>
  <c r="M17" i="15"/>
  <c r="O152" i="11"/>
  <c r="O154" i="11" s="1"/>
  <c r="O155" i="11" s="1"/>
  <c r="N17" i="15" s="1"/>
  <c r="E641" i="32" s="1"/>
  <c r="O150" i="11"/>
  <c r="C109" i="32"/>
  <c r="I54" i="17"/>
  <c r="I54" i="26"/>
  <c r="I59" i="5"/>
  <c r="I470" i="32"/>
  <c r="H496" i="32"/>
  <c r="H510" i="32"/>
  <c r="H471" i="32"/>
  <c r="G511" i="32"/>
  <c r="G497" i="32"/>
  <c r="M51" i="26"/>
  <c r="M51" i="17"/>
  <c r="AD51" i="17"/>
  <c r="T51" i="17"/>
  <c r="U51" i="17"/>
  <c r="Q51" i="26"/>
  <c r="V51" i="17"/>
  <c r="AH51" i="17"/>
  <c r="AF51" i="17"/>
  <c r="V117" i="11"/>
  <c r="W114" i="11" s="1"/>
  <c r="W116" i="11" s="1"/>
  <c r="V44" i="5"/>
  <c r="DA57" i="5"/>
  <c r="AF57" i="5"/>
  <c r="AD57" i="5"/>
  <c r="DL57" i="5"/>
  <c r="DI57" i="5"/>
  <c r="EJ57" i="5"/>
  <c r="DX57" i="5"/>
  <c r="BC57" i="5"/>
  <c r="DY57" i="5"/>
  <c r="CW57" i="5"/>
  <c r="CS57" i="5"/>
  <c r="CX57" i="5"/>
  <c r="CG57" i="5"/>
  <c r="BH57" i="5"/>
  <c r="AW57" i="5"/>
  <c r="AG57" i="5"/>
  <c r="DW57" i="5"/>
  <c r="BJ57" i="5"/>
  <c r="BO57" i="5"/>
  <c r="Z57" i="5"/>
  <c r="CK57" i="5"/>
  <c r="CU57" i="5"/>
  <c r="EC57" i="5"/>
  <c r="BX57" i="5"/>
  <c r="AE57" i="5"/>
  <c r="BN57" i="5"/>
  <c r="AR57" i="5"/>
  <c r="CL57" i="5"/>
  <c r="AP57" i="5"/>
  <c r="U57" i="5"/>
  <c r="BB57" i="5"/>
  <c r="BT57" i="5"/>
  <c r="EM57" i="5"/>
  <c r="S57" i="5"/>
  <c r="EQ57" i="5"/>
  <c r="CJ57" i="5"/>
  <c r="X57" i="5"/>
  <c r="R57" i="5"/>
  <c r="M57" i="5"/>
  <c r="V57" i="5"/>
  <c r="CQ57" i="5"/>
  <c r="EI57" i="5"/>
  <c r="BL57" i="5"/>
  <c r="BM57" i="5"/>
  <c r="BD57" i="5"/>
  <c r="BY57" i="5"/>
  <c r="DR57" i="5"/>
  <c r="CN57" i="5"/>
  <c r="Y57" i="5"/>
  <c r="EB57" i="5"/>
  <c r="DE57" i="5"/>
  <c r="Q57" i="5"/>
  <c r="BI57" i="5"/>
  <c r="AS57" i="5"/>
  <c r="BA57" i="5"/>
  <c r="EA57" i="5"/>
  <c r="CA57" i="5"/>
  <c r="DZ57" i="5"/>
  <c r="AO57" i="5"/>
  <c r="DB57" i="5"/>
  <c r="W57" i="5"/>
  <c r="AK57" i="5"/>
  <c r="AY57" i="5"/>
  <c r="DF57" i="5"/>
  <c r="CR57" i="5"/>
  <c r="AJ57" i="5"/>
  <c r="AT57" i="5"/>
  <c r="BV57" i="5"/>
  <c r="CD57" i="5"/>
  <c r="EN57" i="5"/>
  <c r="DQ57" i="5"/>
  <c r="CT57" i="5"/>
  <c r="CB57" i="5"/>
  <c r="T57" i="5"/>
  <c r="BQ57" i="5"/>
  <c r="AU57" i="5"/>
  <c r="BF57" i="5"/>
  <c r="CO57" i="5"/>
  <c r="BW57" i="5"/>
  <c r="CH57" i="5"/>
  <c r="AN57" i="5"/>
  <c r="EG57" i="5"/>
  <c r="CI57" i="5"/>
  <c r="DO57" i="5"/>
  <c r="EK57" i="5"/>
  <c r="DP57" i="5"/>
  <c r="N57" i="5"/>
  <c r="AI57" i="5"/>
  <c r="CE57" i="5"/>
  <c r="CF57" i="5"/>
  <c r="DJ57" i="5"/>
  <c r="CM57" i="5"/>
  <c r="BG57" i="5"/>
  <c r="CY57" i="5"/>
  <c r="AM57" i="5"/>
  <c r="CZ57" i="5"/>
  <c r="DU57" i="5"/>
  <c r="EL57" i="5"/>
  <c r="EO57" i="5"/>
  <c r="BP57" i="5"/>
  <c r="AL57" i="5"/>
  <c r="DH57" i="5"/>
  <c r="BK57" i="5"/>
  <c r="DS57" i="5"/>
  <c r="CP57" i="5"/>
  <c r="O57" i="5"/>
  <c r="EE57" i="5"/>
  <c r="BU57" i="5"/>
  <c r="AA57" i="5"/>
  <c r="P57" i="5"/>
  <c r="DD57" i="5"/>
  <c r="CV57" i="5"/>
  <c r="DK57" i="5"/>
  <c r="DT57" i="5"/>
  <c r="AV57" i="5"/>
  <c r="AZ57" i="5"/>
  <c r="BZ57" i="5"/>
  <c r="ED57" i="5"/>
  <c r="AQ57" i="5"/>
  <c r="BS57" i="5"/>
  <c r="DN57" i="5"/>
  <c r="CC57" i="5"/>
  <c r="EF57" i="5"/>
  <c r="EH57" i="5"/>
  <c r="DV57" i="5"/>
  <c r="AB57" i="5"/>
  <c r="DG57" i="5"/>
  <c r="BR57" i="5"/>
  <c r="BE57" i="5"/>
  <c r="DC57" i="5"/>
  <c r="EP57" i="5"/>
  <c r="AC57" i="5"/>
  <c r="AH57" i="5"/>
  <c r="L57" i="5"/>
  <c r="AX57" i="5"/>
  <c r="DM57" i="5"/>
  <c r="E474" i="32"/>
  <c r="D500" i="32"/>
  <c r="D514" i="32"/>
  <c r="BX58" i="5"/>
  <c r="DT58" i="5"/>
  <c r="BD58" i="5"/>
  <c r="DU58" i="5"/>
  <c r="EA58" i="5"/>
  <c r="BH58" i="5"/>
  <c r="EB58" i="5"/>
  <c r="U58" i="5"/>
  <c r="BW58" i="5"/>
  <c r="AO58" i="5"/>
  <c r="AX58" i="5"/>
  <c r="CR58" i="5"/>
  <c r="DM58" i="5"/>
  <c r="BQ58" i="5"/>
  <c r="AT58" i="5"/>
  <c r="AR58" i="5"/>
  <c r="AE58" i="5"/>
  <c r="CX58" i="5"/>
  <c r="CC58" i="5"/>
  <c r="EF58" i="5"/>
  <c r="AM58" i="5"/>
  <c r="DL58" i="5"/>
  <c r="BE58" i="5"/>
  <c r="AF58" i="5"/>
  <c r="CU58" i="5"/>
  <c r="X58" i="5"/>
  <c r="CS58" i="5"/>
  <c r="CV58" i="5"/>
  <c r="BU58" i="5"/>
  <c r="Y58" i="5"/>
  <c r="AL58" i="5"/>
  <c r="BJ58" i="5"/>
  <c r="CP58" i="5"/>
  <c r="BS58" i="5"/>
  <c r="BR58" i="5"/>
  <c r="AB58" i="5"/>
  <c r="CW58" i="5"/>
  <c r="AU58" i="5"/>
  <c r="BZ58" i="5"/>
  <c r="BC58" i="5"/>
  <c r="CA58" i="5"/>
  <c r="AG58" i="5"/>
  <c r="BY58" i="5"/>
  <c r="DI58" i="5"/>
  <c r="DQ58" i="5"/>
  <c r="CH58" i="5"/>
  <c r="AZ58" i="5"/>
  <c r="BM58" i="5"/>
  <c r="M58" i="5"/>
  <c r="DH58" i="5"/>
  <c r="DF58" i="5"/>
  <c r="DP58" i="5"/>
  <c r="BF58" i="5"/>
  <c r="BG58" i="5"/>
  <c r="EL58" i="5"/>
  <c r="AA58" i="5"/>
  <c r="CE58" i="5"/>
  <c r="BB58" i="5"/>
  <c r="AN58" i="5"/>
  <c r="EO58" i="5"/>
  <c r="DE58" i="5"/>
  <c r="CB58" i="5"/>
  <c r="AK58" i="5"/>
  <c r="EE58" i="5"/>
  <c r="N58" i="5"/>
  <c r="DK58" i="5"/>
  <c r="L58" i="5"/>
  <c r="W58" i="5"/>
  <c r="AJ58" i="5"/>
  <c r="AV58" i="5"/>
  <c r="T58" i="5"/>
  <c r="S58" i="5"/>
  <c r="P58" i="5"/>
  <c r="DY58" i="5"/>
  <c r="BA58" i="5"/>
  <c r="CJ58" i="5"/>
  <c r="O58" i="5"/>
  <c r="AH58" i="5"/>
  <c r="CZ58" i="5"/>
  <c r="AS58" i="5"/>
  <c r="BK58" i="5"/>
  <c r="CY58" i="5"/>
  <c r="DD58" i="5"/>
  <c r="DG58" i="5"/>
  <c r="EP58" i="5"/>
  <c r="CK58" i="5"/>
  <c r="BT58" i="5"/>
  <c r="CF58" i="5"/>
  <c r="CL58" i="5"/>
  <c r="AP58" i="5"/>
  <c r="CN58" i="5"/>
  <c r="DS58" i="5"/>
  <c r="BN58" i="5"/>
  <c r="DC58" i="5"/>
  <c r="CM58" i="5"/>
  <c r="CI58" i="5"/>
  <c r="Q58" i="5"/>
  <c r="AI58" i="5"/>
  <c r="DW58" i="5"/>
  <c r="EC58" i="5"/>
  <c r="BI58" i="5"/>
  <c r="DA58" i="5"/>
  <c r="EQ58" i="5"/>
  <c r="AQ58" i="5"/>
  <c r="BO58" i="5"/>
  <c r="CO58" i="5"/>
  <c r="EK58" i="5"/>
  <c r="R58" i="5"/>
  <c r="CD58" i="5"/>
  <c r="BL58" i="5"/>
  <c r="EH58" i="5"/>
  <c r="Z58" i="5"/>
  <c r="DX58" i="5"/>
  <c r="BP58" i="5"/>
  <c r="AD58" i="5"/>
  <c r="CT58" i="5"/>
  <c r="ED58" i="5"/>
  <c r="DV58" i="5"/>
  <c r="DJ58" i="5"/>
  <c r="DB58" i="5"/>
  <c r="CG58" i="5"/>
  <c r="AW58" i="5"/>
  <c r="EI58" i="5"/>
  <c r="DR58" i="5"/>
  <c r="DO58" i="5"/>
  <c r="CQ58" i="5"/>
  <c r="AC58" i="5"/>
  <c r="EN58" i="5"/>
  <c r="V58" i="5"/>
  <c r="DN58" i="5"/>
  <c r="EG58" i="5"/>
  <c r="AY58" i="5"/>
  <c r="DZ58" i="5"/>
  <c r="EM58" i="5"/>
  <c r="EJ58" i="5"/>
  <c r="BV58" i="5"/>
  <c r="L51" i="26"/>
  <c r="L51" i="17"/>
  <c r="J56" i="5"/>
  <c r="N51" i="17"/>
  <c r="Q51" i="17"/>
  <c r="O51" i="26"/>
  <c r="U51" i="26"/>
  <c r="AC51" i="17"/>
  <c r="Z51" i="17"/>
  <c r="F472" i="32"/>
  <c r="E498" i="32"/>
  <c r="E512" i="32"/>
  <c r="P40" i="5"/>
  <c r="AI51" i="17"/>
  <c r="X51" i="26"/>
  <c r="P51" i="17"/>
  <c r="AB51" i="17"/>
  <c r="AA51" i="17"/>
  <c r="T51" i="26"/>
  <c r="AG51" i="17"/>
  <c r="W51" i="26"/>
  <c r="O51" i="17"/>
  <c r="N51" i="26"/>
  <c r="S51" i="17"/>
  <c r="P51" i="26"/>
  <c r="W51" i="17"/>
  <c r="R51" i="26"/>
  <c r="V51" i="26"/>
  <c r="AE51" i="17"/>
  <c r="G603" i="32"/>
  <c r="E473" i="32"/>
  <c r="D513" i="32"/>
  <c r="D499" i="32"/>
  <c r="Q101" i="11"/>
  <c r="Q41" i="5" s="1"/>
  <c r="C110" i="32"/>
  <c r="AJ65" i="1"/>
  <c r="R51" i="17"/>
  <c r="X51" i="17"/>
  <c r="S51" i="26"/>
  <c r="Y51" i="17"/>
  <c r="Q40" i="5" l="1"/>
  <c r="Q141" i="5"/>
  <c r="Q140" i="5"/>
  <c r="P123" i="5"/>
  <c r="O53" i="5"/>
  <c r="E615" i="32" s="1"/>
  <c r="P152" i="11"/>
  <c r="P154" i="11" s="1"/>
  <c r="P155" i="11" s="1"/>
  <c r="N26" i="15"/>
  <c r="P147" i="11"/>
  <c r="Q102" i="11"/>
  <c r="R99" i="11" s="1"/>
  <c r="V53" i="17"/>
  <c r="Z52" i="17"/>
  <c r="T52" i="17"/>
  <c r="R53" i="17"/>
  <c r="N53" i="17"/>
  <c r="X53" i="26"/>
  <c r="AI53" i="17"/>
  <c r="W117" i="11"/>
  <c r="X114" i="11" s="1"/>
  <c r="X116" i="11" s="1"/>
  <c r="W44" i="5"/>
  <c r="BV59" i="5"/>
  <c r="BV55" i="5" s="1"/>
  <c r="BV54" i="5" s="1"/>
  <c r="M59" i="5"/>
  <c r="M55" i="5" s="1"/>
  <c r="M54" i="5" s="1"/>
  <c r="AK59" i="5"/>
  <c r="AE59" i="5"/>
  <c r="CT59" i="5"/>
  <c r="CT55" i="5" s="1"/>
  <c r="CT54" i="5" s="1"/>
  <c r="CW59" i="5"/>
  <c r="CW55" i="5" s="1"/>
  <c r="CW54" i="5" s="1"/>
  <c r="BA59" i="5"/>
  <c r="BA55" i="5" s="1"/>
  <c r="BA54" i="5" s="1"/>
  <c r="DG59" i="5"/>
  <c r="DG55" i="5" s="1"/>
  <c r="DG54" i="5" s="1"/>
  <c r="CO59" i="5"/>
  <c r="CO55" i="5" s="1"/>
  <c r="CO54" i="5" s="1"/>
  <c r="CE59" i="5"/>
  <c r="CE55" i="5" s="1"/>
  <c r="CE54" i="5" s="1"/>
  <c r="CC59" i="5"/>
  <c r="CC55" i="5" s="1"/>
  <c r="CC54" i="5" s="1"/>
  <c r="BI59" i="5"/>
  <c r="BI55" i="5" s="1"/>
  <c r="BI54" i="5" s="1"/>
  <c r="EI59" i="5"/>
  <c r="BT59" i="5"/>
  <c r="BT55" i="5" s="1"/>
  <c r="BT54" i="5" s="1"/>
  <c r="T59" i="5"/>
  <c r="T55" i="5" s="1"/>
  <c r="T54" i="5" s="1"/>
  <c r="U59" i="5"/>
  <c r="U55" i="5" s="1"/>
  <c r="U54" i="5" s="1"/>
  <c r="AI59" i="5"/>
  <c r="AI55" i="5" s="1"/>
  <c r="AI54" i="5" s="1"/>
  <c r="DB59" i="5"/>
  <c r="DB55" i="5" s="1"/>
  <c r="DB54" i="5" s="1"/>
  <c r="Q59" i="5"/>
  <c r="Q55" i="5" s="1"/>
  <c r="Q54" i="5" s="1"/>
  <c r="S59" i="5"/>
  <c r="S55" i="5" s="1"/>
  <c r="S54" i="5" s="1"/>
  <c r="CS59" i="5"/>
  <c r="CS55" i="5" s="1"/>
  <c r="CS54" i="5" s="1"/>
  <c r="CR59" i="5"/>
  <c r="CR55" i="5" s="1"/>
  <c r="CR54" i="5" s="1"/>
  <c r="ED59" i="5"/>
  <c r="ED55" i="5" s="1"/>
  <c r="ED54" i="5" s="1"/>
  <c r="BF59" i="5"/>
  <c r="BF55" i="5" s="1"/>
  <c r="BF54" i="5" s="1"/>
  <c r="BW59" i="5"/>
  <c r="BW55" i="5" s="1"/>
  <c r="BW54" i="5" s="1"/>
  <c r="DM59" i="5"/>
  <c r="DM55" i="5" s="1"/>
  <c r="DM54" i="5" s="1"/>
  <c r="EH59" i="5"/>
  <c r="EH55" i="5" s="1"/>
  <c r="EH54" i="5" s="1"/>
  <c r="AX59" i="5"/>
  <c r="AX55" i="5" s="1"/>
  <c r="AX54" i="5" s="1"/>
  <c r="CD59" i="5"/>
  <c r="CD55" i="5" s="1"/>
  <c r="CD54" i="5" s="1"/>
  <c r="AO59" i="5"/>
  <c r="AO55" i="5" s="1"/>
  <c r="AO54" i="5" s="1"/>
  <c r="EB59" i="5"/>
  <c r="EB55" i="5" s="1"/>
  <c r="EB54" i="5" s="1"/>
  <c r="DT59" i="5"/>
  <c r="DT55" i="5" s="1"/>
  <c r="DT54" i="5" s="1"/>
  <c r="DD59" i="5"/>
  <c r="DD55" i="5" s="1"/>
  <c r="DD54" i="5" s="1"/>
  <c r="AN59" i="5"/>
  <c r="AN55" i="5" s="1"/>
  <c r="AN54" i="5" s="1"/>
  <c r="W59" i="5"/>
  <c r="W55" i="5" s="1"/>
  <c r="W54" i="5" s="1"/>
  <c r="BX59" i="5"/>
  <c r="BX55" i="5" s="1"/>
  <c r="BX54" i="5" s="1"/>
  <c r="AT59" i="5"/>
  <c r="AT55" i="5" s="1"/>
  <c r="AT54" i="5" s="1"/>
  <c r="EA59" i="5"/>
  <c r="EA55" i="5" s="1"/>
  <c r="EA54" i="5" s="1"/>
  <c r="DJ59" i="5"/>
  <c r="DJ55" i="5" s="1"/>
  <c r="DJ54" i="5" s="1"/>
  <c r="X59" i="5"/>
  <c r="X55" i="5" s="1"/>
  <c r="X54" i="5" s="1"/>
  <c r="AP59" i="5"/>
  <c r="AP55" i="5" s="1"/>
  <c r="AP54" i="5" s="1"/>
  <c r="EK59" i="5"/>
  <c r="EK55" i="5" s="1"/>
  <c r="EK54" i="5" s="1"/>
  <c r="AZ59" i="5"/>
  <c r="AZ55" i="5" s="1"/>
  <c r="AZ54" i="5" s="1"/>
  <c r="AC59" i="5"/>
  <c r="AC55" i="5" s="1"/>
  <c r="AC54" i="5" s="1"/>
  <c r="DE59" i="5"/>
  <c r="P59" i="5"/>
  <c r="P55" i="5" s="1"/>
  <c r="P54" i="5" s="1"/>
  <c r="BD59" i="5"/>
  <c r="BD55" i="5" s="1"/>
  <c r="BD54" i="5" s="1"/>
  <c r="CM59" i="5"/>
  <c r="CM55" i="5" s="1"/>
  <c r="CM54" i="5" s="1"/>
  <c r="CA59" i="5"/>
  <c r="AF59" i="5"/>
  <c r="AF55" i="5" s="1"/>
  <c r="AF54" i="5" s="1"/>
  <c r="AJ59" i="5"/>
  <c r="AJ55" i="5" s="1"/>
  <c r="AJ54" i="5" s="1"/>
  <c r="DP59" i="5"/>
  <c r="DP55" i="5" s="1"/>
  <c r="DP54" i="5" s="1"/>
  <c r="BM59" i="5"/>
  <c r="BM55" i="5" s="1"/>
  <c r="BM54" i="5" s="1"/>
  <c r="EF59" i="5"/>
  <c r="EF55" i="5" s="1"/>
  <c r="EF54" i="5" s="1"/>
  <c r="AU59" i="5"/>
  <c r="AU55" i="5" s="1"/>
  <c r="AU54" i="5" s="1"/>
  <c r="EC59" i="5"/>
  <c r="EO59" i="5"/>
  <c r="EO55" i="5" s="1"/>
  <c r="EO54" i="5" s="1"/>
  <c r="O59" i="5"/>
  <c r="O55" i="5" s="1"/>
  <c r="O54" i="5" s="1"/>
  <c r="BJ59" i="5"/>
  <c r="BJ55" i="5" s="1"/>
  <c r="BJ54" i="5" s="1"/>
  <c r="EE59" i="5"/>
  <c r="EE55" i="5" s="1"/>
  <c r="EE54" i="5" s="1"/>
  <c r="BG59" i="5"/>
  <c r="BG55" i="5" s="1"/>
  <c r="BG54" i="5" s="1"/>
  <c r="CL59" i="5"/>
  <c r="CL55" i="5" s="1"/>
  <c r="CL54" i="5" s="1"/>
  <c r="BN59" i="5"/>
  <c r="BN55" i="5" s="1"/>
  <c r="BN54" i="5" s="1"/>
  <c r="CH59" i="5"/>
  <c r="CH55" i="5" s="1"/>
  <c r="CH54" i="5" s="1"/>
  <c r="BU59" i="5"/>
  <c r="EQ59" i="5"/>
  <c r="EQ55" i="5" s="1"/>
  <c r="EQ54" i="5" s="1"/>
  <c r="BZ59" i="5"/>
  <c r="BZ55" i="5" s="1"/>
  <c r="BZ54" i="5" s="1"/>
  <c r="BK59" i="5"/>
  <c r="BK55" i="5" s="1"/>
  <c r="BK54" i="5" s="1"/>
  <c r="BS59" i="5"/>
  <c r="BS55" i="5" s="1"/>
  <c r="BS54" i="5" s="1"/>
  <c r="DR59" i="5"/>
  <c r="DR55" i="5" s="1"/>
  <c r="DR54" i="5" s="1"/>
  <c r="DY59" i="5"/>
  <c r="DY55" i="5" s="1"/>
  <c r="DY54" i="5" s="1"/>
  <c r="AS59" i="5"/>
  <c r="AS55" i="5" s="1"/>
  <c r="AS54" i="5" s="1"/>
  <c r="AG59" i="5"/>
  <c r="AG55" i="5" s="1"/>
  <c r="AG54" i="5" s="1"/>
  <c r="AM59" i="5"/>
  <c r="AM55" i="5" s="1"/>
  <c r="AM54" i="5" s="1"/>
  <c r="AD59" i="5"/>
  <c r="AD55" i="5" s="1"/>
  <c r="AD54" i="5" s="1"/>
  <c r="DX59" i="5"/>
  <c r="DX55" i="5" s="1"/>
  <c r="DX54" i="5" s="1"/>
  <c r="DU59" i="5"/>
  <c r="DU55" i="5" s="1"/>
  <c r="DU54" i="5" s="1"/>
  <c r="BQ59" i="5"/>
  <c r="BQ55" i="5" s="1"/>
  <c r="BQ54" i="5" s="1"/>
  <c r="CU59" i="5"/>
  <c r="CU55" i="5" s="1"/>
  <c r="CU54" i="5" s="1"/>
  <c r="CG59" i="5"/>
  <c r="Y59" i="5"/>
  <c r="AA59" i="5"/>
  <c r="AA55" i="5" s="1"/>
  <c r="AA54" i="5" s="1"/>
  <c r="EN59" i="5"/>
  <c r="EN55" i="5" s="1"/>
  <c r="EN54" i="5" s="1"/>
  <c r="BL59" i="5"/>
  <c r="BL55" i="5" s="1"/>
  <c r="BL54" i="5" s="1"/>
  <c r="AB59" i="5"/>
  <c r="DH59" i="5"/>
  <c r="DH55" i="5" s="1"/>
  <c r="DH54" i="5" s="1"/>
  <c r="DF59" i="5"/>
  <c r="DF55" i="5" s="1"/>
  <c r="DF54" i="5" s="1"/>
  <c r="CQ59" i="5"/>
  <c r="CQ55" i="5" s="1"/>
  <c r="CQ54" i="5" s="1"/>
  <c r="R59" i="5"/>
  <c r="R55" i="5" s="1"/>
  <c r="R54" i="5" s="1"/>
  <c r="BP59" i="5"/>
  <c r="BP55" i="5" s="1"/>
  <c r="BP54" i="5" s="1"/>
  <c r="DA59" i="5"/>
  <c r="DA55" i="5" s="1"/>
  <c r="DA54" i="5" s="1"/>
  <c r="CX59" i="5"/>
  <c r="CX55" i="5" s="1"/>
  <c r="CX54" i="5" s="1"/>
  <c r="CJ59" i="5"/>
  <c r="CJ55" i="5" s="1"/>
  <c r="CJ54" i="5" s="1"/>
  <c r="CZ59" i="5"/>
  <c r="CZ55" i="5" s="1"/>
  <c r="CZ54" i="5" s="1"/>
  <c r="DQ59" i="5"/>
  <c r="DQ55" i="5" s="1"/>
  <c r="DQ54" i="5" s="1"/>
  <c r="DV59" i="5"/>
  <c r="DV55" i="5" s="1"/>
  <c r="DV54" i="5" s="1"/>
  <c r="EG59" i="5"/>
  <c r="EG55" i="5" s="1"/>
  <c r="EG54" i="5" s="1"/>
  <c r="EM59" i="5"/>
  <c r="EM55" i="5" s="1"/>
  <c r="EM54" i="5" s="1"/>
  <c r="AY59" i="5"/>
  <c r="AY55" i="5" s="1"/>
  <c r="AY54" i="5" s="1"/>
  <c r="EL59" i="5"/>
  <c r="EL55" i="5" s="1"/>
  <c r="EL54" i="5" s="1"/>
  <c r="V59" i="5"/>
  <c r="V55" i="5" s="1"/>
  <c r="V54" i="5" s="1"/>
  <c r="CP59" i="5"/>
  <c r="CP55" i="5" s="1"/>
  <c r="CP54" i="5" s="1"/>
  <c r="EJ59" i="5"/>
  <c r="EJ55" i="5" s="1"/>
  <c r="EJ54" i="5" s="1"/>
  <c r="DC59" i="5"/>
  <c r="DC55" i="5" s="1"/>
  <c r="DC54" i="5" s="1"/>
  <c r="N59" i="5"/>
  <c r="N55" i="5" s="1"/>
  <c r="N54" i="5" s="1"/>
  <c r="CN59" i="5"/>
  <c r="CN55" i="5" s="1"/>
  <c r="CN54" i="5" s="1"/>
  <c r="Z59" i="5"/>
  <c r="Z55" i="5" s="1"/>
  <c r="Z54" i="5" s="1"/>
  <c r="AV59" i="5"/>
  <c r="AV55" i="5" s="1"/>
  <c r="AV54" i="5" s="1"/>
  <c r="DZ59" i="5"/>
  <c r="DZ55" i="5" s="1"/>
  <c r="DZ54" i="5" s="1"/>
  <c r="DK59" i="5"/>
  <c r="BO59" i="5"/>
  <c r="AR59" i="5"/>
  <c r="AR55" i="5" s="1"/>
  <c r="AR54" i="5" s="1"/>
  <c r="AW59" i="5"/>
  <c r="DL59" i="5"/>
  <c r="DL55" i="5" s="1"/>
  <c r="DL54" i="5" s="1"/>
  <c r="CI59" i="5"/>
  <c r="CI55" i="5" s="1"/>
  <c r="CI54" i="5" s="1"/>
  <c r="CB59" i="5"/>
  <c r="CB55" i="5" s="1"/>
  <c r="CB54" i="5" s="1"/>
  <c r="BR59" i="5"/>
  <c r="BR55" i="5" s="1"/>
  <c r="BR54" i="5" s="1"/>
  <c r="AH59" i="5"/>
  <c r="AH55" i="5" s="1"/>
  <c r="AH54" i="5" s="1"/>
  <c r="BE59" i="5"/>
  <c r="BE55" i="5" s="1"/>
  <c r="BE54" i="5" s="1"/>
  <c r="DW59" i="5"/>
  <c r="DW55" i="5" s="1"/>
  <c r="DW54" i="5" s="1"/>
  <c r="AQ59" i="5"/>
  <c r="BC59" i="5"/>
  <c r="BC55" i="5" s="1"/>
  <c r="BC54" i="5" s="1"/>
  <c r="BB59" i="5"/>
  <c r="BB55" i="5" s="1"/>
  <c r="BB54" i="5" s="1"/>
  <c r="DO59" i="5"/>
  <c r="DO55" i="5" s="1"/>
  <c r="DO54" i="5" s="1"/>
  <c r="DI59" i="5"/>
  <c r="DI55" i="5" s="1"/>
  <c r="DI54" i="5" s="1"/>
  <c r="EP59" i="5"/>
  <c r="EP55" i="5" s="1"/>
  <c r="EP54" i="5" s="1"/>
  <c r="CF59" i="5"/>
  <c r="CF55" i="5" s="1"/>
  <c r="CF54" i="5" s="1"/>
  <c r="CK59" i="5"/>
  <c r="CK55" i="5" s="1"/>
  <c r="CK54" i="5" s="1"/>
  <c r="BH59" i="5"/>
  <c r="BH55" i="5" s="1"/>
  <c r="BH54" i="5" s="1"/>
  <c r="CY59" i="5"/>
  <c r="L59" i="5"/>
  <c r="BY59" i="5"/>
  <c r="BY55" i="5" s="1"/>
  <c r="BY54" i="5" s="1"/>
  <c r="CV59" i="5"/>
  <c r="CV55" i="5" s="1"/>
  <c r="CV54" i="5" s="1"/>
  <c r="DS59" i="5"/>
  <c r="DS55" i="5" s="1"/>
  <c r="DS54" i="5" s="1"/>
  <c r="DN59" i="5"/>
  <c r="DN55" i="5" s="1"/>
  <c r="DN54" i="5" s="1"/>
  <c r="AL59" i="5"/>
  <c r="AL55" i="5" s="1"/>
  <c r="AL54" i="5" s="1"/>
  <c r="F473" i="32"/>
  <c r="E499" i="32"/>
  <c r="E513" i="32"/>
  <c r="AH53" i="17"/>
  <c r="AF53" i="17"/>
  <c r="Z53" i="17"/>
  <c r="J58" i="5"/>
  <c r="L53" i="26"/>
  <c r="L53" i="17"/>
  <c r="Q53" i="17"/>
  <c r="O53" i="26"/>
  <c r="T53" i="26"/>
  <c r="AA53" i="17"/>
  <c r="L52" i="26"/>
  <c r="L52" i="17"/>
  <c r="J57" i="5"/>
  <c r="AB52" i="17"/>
  <c r="O52" i="26"/>
  <c r="Q52" i="17"/>
  <c r="AH52" i="17"/>
  <c r="N52" i="17"/>
  <c r="J470" i="32"/>
  <c r="I496" i="32"/>
  <c r="I510" i="32"/>
  <c r="J51" i="26"/>
  <c r="Y53" i="17"/>
  <c r="S53" i="26"/>
  <c r="G472" i="32"/>
  <c r="F498" i="32"/>
  <c r="F512" i="32"/>
  <c r="AG53" i="17"/>
  <c r="W53" i="26"/>
  <c r="T53" i="17"/>
  <c r="R52" i="17"/>
  <c r="AI52" i="17"/>
  <c r="X52" i="26"/>
  <c r="V52" i="26"/>
  <c r="AE52" i="17"/>
  <c r="AC52" i="17"/>
  <c r="U52" i="26"/>
  <c r="M52" i="26"/>
  <c r="M52" i="17"/>
  <c r="AG52" i="17"/>
  <c r="W52" i="26"/>
  <c r="V52" i="17"/>
  <c r="P52" i="26"/>
  <c r="S52" i="17"/>
  <c r="AA52" i="17"/>
  <c r="T52" i="26"/>
  <c r="J51" i="17"/>
  <c r="P53" i="26"/>
  <c r="S53" i="17"/>
  <c r="AB53" i="17"/>
  <c r="AD53" i="17"/>
  <c r="O53" i="17"/>
  <c r="N53" i="26"/>
  <c r="F474" i="32"/>
  <c r="E514" i="32"/>
  <c r="E500" i="32"/>
  <c r="AD52" i="17"/>
  <c r="X52" i="17"/>
  <c r="Q52" i="26"/>
  <c r="U52" i="17"/>
  <c r="O52" i="17"/>
  <c r="N52" i="26"/>
  <c r="P52" i="17"/>
  <c r="AF52" i="17"/>
  <c r="Y52" i="17"/>
  <c r="S52" i="26"/>
  <c r="I471" i="32"/>
  <c r="H497" i="32"/>
  <c r="H511" i="32"/>
  <c r="U53" i="17"/>
  <c r="Q53" i="26"/>
  <c r="AC53" i="17"/>
  <c r="U53" i="26"/>
  <c r="M53" i="17"/>
  <c r="M53" i="26"/>
  <c r="V53" i="26"/>
  <c r="AE53" i="17"/>
  <c r="X53" i="17"/>
  <c r="R53" i="26"/>
  <c r="W53" i="17"/>
  <c r="P53" i="17"/>
  <c r="R52" i="26"/>
  <c r="W52" i="17"/>
  <c r="O49" i="5" l="1"/>
  <c r="Q142" i="5"/>
  <c r="Q143" i="5" s="1"/>
  <c r="R140" i="5" s="1"/>
  <c r="P149" i="11"/>
  <c r="P51" i="5" s="1"/>
  <c r="E648" i="32"/>
  <c r="E655" i="32" s="1"/>
  <c r="N25" i="15"/>
  <c r="N24" i="15" s="1"/>
  <c r="P28" i="15"/>
  <c r="E614" i="32"/>
  <c r="E611" i="32" s="1"/>
  <c r="G614" i="32"/>
  <c r="J614" i="32"/>
  <c r="X54" i="17"/>
  <c r="X50" i="17" s="1"/>
  <c r="X49" i="17" s="1"/>
  <c r="K614" i="32"/>
  <c r="AB54" i="17"/>
  <c r="AB50" i="17" s="1"/>
  <c r="AB49" i="17" s="1"/>
  <c r="J471" i="32"/>
  <c r="I497" i="32"/>
  <c r="I511" i="32"/>
  <c r="J52" i="26"/>
  <c r="T54" i="17"/>
  <c r="T50" i="17" s="1"/>
  <c r="T49" i="17" s="1"/>
  <c r="AD54" i="17"/>
  <c r="AD50" i="17" s="1"/>
  <c r="AD49" i="17" s="1"/>
  <c r="DK55" i="5"/>
  <c r="DK54" i="5" s="1"/>
  <c r="M54" i="17"/>
  <c r="M50" i="17" s="1"/>
  <c r="M49" i="17" s="1"/>
  <c r="M54" i="26"/>
  <c r="M50" i="26" s="1"/>
  <c r="M49" i="26" s="1"/>
  <c r="AB55" i="5"/>
  <c r="AB54" i="5" s="1"/>
  <c r="H472" i="32"/>
  <c r="G512" i="32"/>
  <c r="G498" i="32"/>
  <c r="J510" i="32"/>
  <c r="J496" i="32"/>
  <c r="J53" i="17"/>
  <c r="R54" i="17"/>
  <c r="R50" i="17" s="1"/>
  <c r="R49" i="17" s="1"/>
  <c r="AQ55" i="5"/>
  <c r="AQ54" i="5" s="1"/>
  <c r="P54" i="26"/>
  <c r="H184" i="32" s="1"/>
  <c r="S54" i="17"/>
  <c r="S50" i="17" s="1"/>
  <c r="S49" i="17" s="1"/>
  <c r="AW55" i="5"/>
  <c r="AW54" i="5" s="1"/>
  <c r="N54" i="26"/>
  <c r="F184" i="32" s="1"/>
  <c r="O54" i="17"/>
  <c r="G745" i="32" s="1"/>
  <c r="Y55" i="5"/>
  <c r="Y54" i="5" s="1"/>
  <c r="I614" i="32"/>
  <c r="R54" i="26"/>
  <c r="R50" i="26" s="1"/>
  <c r="R49" i="26" s="1"/>
  <c r="W54" i="17"/>
  <c r="W50" i="17" s="1"/>
  <c r="W49" i="17" s="1"/>
  <c r="X54" i="26"/>
  <c r="X50" i="26" s="1"/>
  <c r="X49" i="26" s="1"/>
  <c r="AI54" i="17"/>
  <c r="AI50" i="17" s="1"/>
  <c r="AI49" i="17" s="1"/>
  <c r="U54" i="26"/>
  <c r="U50" i="26" s="1"/>
  <c r="U49" i="26" s="1"/>
  <c r="AC54" i="17"/>
  <c r="AC50" i="17" s="1"/>
  <c r="AC49" i="17" s="1"/>
  <c r="DE55" i="5"/>
  <c r="DE54" i="5" s="1"/>
  <c r="AA54" i="17"/>
  <c r="AA50" i="17" s="1"/>
  <c r="AA49" i="17" s="1"/>
  <c r="T54" i="26"/>
  <c r="AH54" i="17"/>
  <c r="AH50" i="17" s="1"/>
  <c r="AH49" i="17" s="1"/>
  <c r="EI55" i="5"/>
  <c r="EI54" i="5" s="1"/>
  <c r="H614" i="32"/>
  <c r="CA55" i="5"/>
  <c r="CA54" i="5" s="1"/>
  <c r="F614" i="32"/>
  <c r="O17" i="15"/>
  <c r="Q152" i="11"/>
  <c r="P53" i="5"/>
  <c r="R101" i="11"/>
  <c r="R41" i="5" s="1"/>
  <c r="R141" i="5" s="1"/>
  <c r="J53" i="26"/>
  <c r="AF54" i="17"/>
  <c r="AF50" i="17" s="1"/>
  <c r="AF49" i="17" s="1"/>
  <c r="Y54" i="17"/>
  <c r="Y50" i="17" s="1"/>
  <c r="Y49" i="17" s="1"/>
  <c r="S54" i="26"/>
  <c r="S50" i="26" s="1"/>
  <c r="S49" i="26" s="1"/>
  <c r="CG55" i="5"/>
  <c r="CG54" i="5" s="1"/>
  <c r="AG54" i="17"/>
  <c r="AG50" i="17" s="1"/>
  <c r="AG49" i="17" s="1"/>
  <c r="W54" i="26"/>
  <c r="W50" i="26" s="1"/>
  <c r="W49" i="26" s="1"/>
  <c r="EC55" i="5"/>
  <c r="EC54" i="5" s="1"/>
  <c r="Z54" i="17"/>
  <c r="Z50" i="17" s="1"/>
  <c r="Z49" i="17" s="1"/>
  <c r="N54" i="17"/>
  <c r="N50" i="17" s="1"/>
  <c r="N49" i="17" s="1"/>
  <c r="Q54" i="26"/>
  <c r="Q50" i="26" s="1"/>
  <c r="Q49" i="26" s="1"/>
  <c r="U54" i="17"/>
  <c r="U50" i="17" s="1"/>
  <c r="U49" i="17" s="1"/>
  <c r="P54" i="17"/>
  <c r="H745" i="32" s="1"/>
  <c r="AE55" i="5"/>
  <c r="AE54" i="5" s="1"/>
  <c r="L614" i="32"/>
  <c r="G474" i="32"/>
  <c r="F514" i="32"/>
  <c r="F500" i="32"/>
  <c r="J52" i="17"/>
  <c r="G473" i="32"/>
  <c r="F499" i="32"/>
  <c r="F513" i="32"/>
  <c r="D614" i="32"/>
  <c r="J59" i="5"/>
  <c r="J55" i="5" s="1"/>
  <c r="L54" i="17"/>
  <c r="L54" i="26"/>
  <c r="L55" i="5"/>
  <c r="L54" i="5" s="1"/>
  <c r="M66" i="6" s="1"/>
  <c r="V54" i="17"/>
  <c r="V50" i="17" s="1"/>
  <c r="V49" i="17" s="1"/>
  <c r="AE54" i="17"/>
  <c r="AE50" i="17" s="1"/>
  <c r="AE49" i="17" s="1"/>
  <c r="V54" i="26"/>
  <c r="N184" i="32" s="1"/>
  <c r="Q54" i="17"/>
  <c r="Q50" i="17" s="1"/>
  <c r="Q49" i="17" s="1"/>
  <c r="O54" i="26"/>
  <c r="AK55" i="5"/>
  <c r="AK54" i="5" s="1"/>
  <c r="X117" i="11"/>
  <c r="Y114" i="11" s="1"/>
  <c r="Y116" i="11" s="1"/>
  <c r="X44" i="5"/>
  <c r="H603" i="32" s="1"/>
  <c r="BO55" i="5"/>
  <c r="BO54" i="5" s="1"/>
  <c r="BU55" i="5"/>
  <c r="BU54" i="5" s="1"/>
  <c r="CY55" i="5"/>
  <c r="CY54" i="5" s="1"/>
  <c r="Q123" i="5" l="1"/>
  <c r="R142" i="5"/>
  <c r="R143" i="5" s="1"/>
  <c r="P150" i="11"/>
  <c r="Q147" i="11" s="1"/>
  <c r="Q149" i="11" s="1"/>
  <c r="Q150" i="11" s="1"/>
  <c r="R147" i="11" s="1"/>
  <c r="E745" i="32"/>
  <c r="J184" i="32"/>
  <c r="M75" i="6"/>
  <c r="M80" i="6" s="1"/>
  <c r="Y117" i="11"/>
  <c r="Z114" i="11" s="1"/>
  <c r="Z116" i="11" s="1"/>
  <c r="Y44" i="5"/>
  <c r="D184" i="32"/>
  <c r="J54" i="26"/>
  <c r="J50" i="26" s="1"/>
  <c r="J49" i="26" s="1"/>
  <c r="H474" i="32"/>
  <c r="G500" i="32"/>
  <c r="G514" i="32"/>
  <c r="D745" i="32"/>
  <c r="J54" i="17"/>
  <c r="J50" i="17" s="1"/>
  <c r="J49" i="17" s="1"/>
  <c r="L50" i="17"/>
  <c r="L49" i="17" s="1"/>
  <c r="L50" i="26"/>
  <c r="L49" i="26" s="1"/>
  <c r="E184" i="32"/>
  <c r="F745" i="32"/>
  <c r="I472" i="32"/>
  <c r="H498" i="32"/>
  <c r="H512" i="32"/>
  <c r="M184" i="32"/>
  <c r="N50" i="26"/>
  <c r="N49" i="26" s="1"/>
  <c r="O50" i="17"/>
  <c r="O49" i="17" s="1"/>
  <c r="O50" i="26"/>
  <c r="O49" i="26" s="1"/>
  <c r="G184" i="32"/>
  <c r="J54" i="5"/>
  <c r="H147" i="5"/>
  <c r="H156" i="5" s="1"/>
  <c r="H473" i="32"/>
  <c r="G513" i="32"/>
  <c r="G499" i="32"/>
  <c r="R102" i="11"/>
  <c r="P49" i="5"/>
  <c r="K184" i="32"/>
  <c r="J497" i="32"/>
  <c r="J511" i="32"/>
  <c r="F602" i="32"/>
  <c r="R40" i="5"/>
  <c r="I184" i="32"/>
  <c r="P50" i="26"/>
  <c r="P49" i="26" s="1"/>
  <c r="V50" i="26"/>
  <c r="V49" i="26" s="1"/>
  <c r="C614" i="32"/>
  <c r="D611" i="32"/>
  <c r="Q154" i="11"/>
  <c r="Q155" i="11" s="1"/>
  <c r="T50" i="26"/>
  <c r="T49" i="26" s="1"/>
  <c r="L184" i="32"/>
  <c r="P50" i="17"/>
  <c r="P49" i="17" s="1"/>
  <c r="M71" i="16" l="1"/>
  <c r="M72" i="16" s="1"/>
  <c r="N69" i="16" s="1"/>
  <c r="S140" i="5"/>
  <c r="R123" i="5"/>
  <c r="O26" i="15"/>
  <c r="O25" i="15" s="1"/>
  <c r="O24" i="15" s="1"/>
  <c r="Q51" i="5"/>
  <c r="P26" i="15"/>
  <c r="P25" i="15" s="1"/>
  <c r="P24" i="15" s="1"/>
  <c r="M81" i="6"/>
  <c r="N78" i="6" s="1"/>
  <c r="L103" i="5"/>
  <c r="I473" i="32"/>
  <c r="H513" i="32"/>
  <c r="H499" i="32"/>
  <c r="I474" i="32"/>
  <c r="H514" i="32"/>
  <c r="H500" i="32"/>
  <c r="Z117" i="11"/>
  <c r="AA114" i="11" s="1"/>
  <c r="AA116" i="11" s="1"/>
  <c r="Z44" i="5"/>
  <c r="R149" i="11"/>
  <c r="R51" i="5" s="1"/>
  <c r="S99" i="11"/>
  <c r="Q28" i="15"/>
  <c r="I109" i="5"/>
  <c r="I99" i="5"/>
  <c r="I104" i="5"/>
  <c r="I114" i="5"/>
  <c r="C745" i="32"/>
  <c r="D742" i="32"/>
  <c r="I99" i="17"/>
  <c r="I109" i="17"/>
  <c r="I104" i="17"/>
  <c r="I94" i="17"/>
  <c r="R152" i="11"/>
  <c r="P17" i="15"/>
  <c r="Q53" i="5"/>
  <c r="G45" i="6"/>
  <c r="G39" i="16"/>
  <c r="J472" i="32"/>
  <c r="I512" i="32"/>
  <c r="I498" i="32"/>
  <c r="C184" i="32"/>
  <c r="N614" i="32"/>
  <c r="O614" i="32" s="1"/>
  <c r="D181" i="32"/>
  <c r="M66" i="16"/>
  <c r="M76" i="6"/>
  <c r="N73" i="6" s="1"/>
  <c r="L98" i="5"/>
  <c r="L17" i="19"/>
  <c r="O113" i="19" s="1"/>
  <c r="Q49" i="5" l="1"/>
  <c r="M46" i="17"/>
  <c r="J512" i="32"/>
  <c r="J498" i="32"/>
  <c r="J474" i="32"/>
  <c r="I514" i="32"/>
  <c r="I500" i="32"/>
  <c r="E72" i="1"/>
  <c r="L93" i="26"/>
  <c r="E42" i="1"/>
  <c r="D625" i="32"/>
  <c r="L93" i="17"/>
  <c r="EI104" i="5"/>
  <c r="BU104" i="5"/>
  <c r="AQ104" i="5"/>
  <c r="CS104" i="5"/>
  <c r="DQ104" i="5"/>
  <c r="EQ104" i="5"/>
  <c r="EQ29" i="19" s="1"/>
  <c r="CP104" i="5"/>
  <c r="CP29" i="19" s="1"/>
  <c r="CJ104" i="5"/>
  <c r="CJ29" i="19" s="1"/>
  <c r="EN104" i="5"/>
  <c r="EN29" i="19" s="1"/>
  <c r="BO104" i="5"/>
  <c r="BZ104" i="5"/>
  <c r="BZ29" i="19" s="1"/>
  <c r="R104" i="5"/>
  <c r="R29" i="19" s="1"/>
  <c r="V104" i="5"/>
  <c r="AT104" i="5"/>
  <c r="AT29" i="19" s="1"/>
  <c r="L104" i="5"/>
  <c r="L100" i="5" s="1"/>
  <c r="DO104" i="5"/>
  <c r="DO29" i="19" s="1"/>
  <c r="DG104" i="5"/>
  <c r="DG29" i="19" s="1"/>
  <c r="CI104" i="5"/>
  <c r="CI29" i="19" s="1"/>
  <c r="DM104" i="5"/>
  <c r="DM29" i="19" s="1"/>
  <c r="DW104" i="5"/>
  <c r="CT104" i="5"/>
  <c r="CT29" i="19" s="1"/>
  <c r="DV104" i="5"/>
  <c r="DV29" i="19" s="1"/>
  <c r="EB104" i="5"/>
  <c r="EB29" i="19" s="1"/>
  <c r="AI104" i="5"/>
  <c r="AI29" i="19" s="1"/>
  <c r="CO104" i="5"/>
  <c r="CO29" i="19" s="1"/>
  <c r="DY104" i="5"/>
  <c r="DY29" i="19" s="1"/>
  <c r="ED104" i="5"/>
  <c r="ED29" i="19" s="1"/>
  <c r="AU104" i="5"/>
  <c r="AU29" i="19" s="1"/>
  <c r="DD104" i="5"/>
  <c r="DD29" i="19" s="1"/>
  <c r="CC104" i="5"/>
  <c r="CC29" i="19" s="1"/>
  <c r="DA104" i="5"/>
  <c r="DA29" i="19" s="1"/>
  <c r="CK104" i="5"/>
  <c r="CK29" i="19" s="1"/>
  <c r="Z104" i="5"/>
  <c r="Z29" i="19" s="1"/>
  <c r="BP104" i="5"/>
  <c r="BP29" i="19" s="1"/>
  <c r="BI104" i="5"/>
  <c r="S104" i="5"/>
  <c r="EO104" i="5"/>
  <c r="AW104" i="5"/>
  <c r="BV104" i="5"/>
  <c r="BV29" i="19" s="1"/>
  <c r="BN104" i="5"/>
  <c r="BN29" i="19" s="1"/>
  <c r="DJ104" i="5"/>
  <c r="DJ29" i="19" s="1"/>
  <c r="CQ104" i="5"/>
  <c r="CQ29" i="19" s="1"/>
  <c r="AR104" i="5"/>
  <c r="AR29" i="19" s="1"/>
  <c r="AY104" i="5"/>
  <c r="AY29" i="19" s="1"/>
  <c r="EE104" i="5"/>
  <c r="EE29" i="19" s="1"/>
  <c r="N104" i="5"/>
  <c r="N29" i="19" s="1"/>
  <c r="BW104" i="5"/>
  <c r="BW29" i="19" s="1"/>
  <c r="DZ104" i="5"/>
  <c r="DZ29" i="19" s="1"/>
  <c r="CG104" i="5"/>
  <c r="CX104" i="5"/>
  <c r="CX29" i="19" s="1"/>
  <c r="DC104" i="5"/>
  <c r="DC29" i="19" s="1"/>
  <c r="DT104" i="5"/>
  <c r="DT29" i="19" s="1"/>
  <c r="BM104" i="5"/>
  <c r="BM29" i="19" s="1"/>
  <c r="AP104" i="5"/>
  <c r="AP29" i="19" s="1"/>
  <c r="BE104" i="5"/>
  <c r="BE29" i="19" s="1"/>
  <c r="AZ104" i="5"/>
  <c r="AZ29" i="19" s="1"/>
  <c r="AD104" i="5"/>
  <c r="AD29" i="19" s="1"/>
  <c r="CW104" i="5"/>
  <c r="CW29" i="19" s="1"/>
  <c r="AB104" i="5"/>
  <c r="BT104" i="5"/>
  <c r="BT29" i="19" s="1"/>
  <c r="CN104" i="5"/>
  <c r="CN29" i="19" s="1"/>
  <c r="DN104" i="5"/>
  <c r="DN29" i="19" s="1"/>
  <c r="BL104" i="5"/>
  <c r="BL29" i="19" s="1"/>
  <c r="W104" i="5"/>
  <c r="W29" i="19" s="1"/>
  <c r="DF104" i="5"/>
  <c r="DF29" i="19" s="1"/>
  <c r="EK104" i="5"/>
  <c r="EK29" i="19" s="1"/>
  <c r="BG104" i="5"/>
  <c r="BG29" i="19" s="1"/>
  <c r="BA104" i="5"/>
  <c r="BA29" i="19" s="1"/>
  <c r="DK104" i="5"/>
  <c r="M104" i="5"/>
  <c r="AE104" i="5"/>
  <c r="CM104" i="5"/>
  <c r="X104" i="5"/>
  <c r="X29" i="19" s="1"/>
  <c r="AC104" i="5"/>
  <c r="AC29" i="19" s="1"/>
  <c r="CE104" i="5"/>
  <c r="CE29" i="19" s="1"/>
  <c r="AA104" i="5"/>
  <c r="AA29" i="19" s="1"/>
  <c r="BD104" i="5"/>
  <c r="BD29" i="19" s="1"/>
  <c r="CZ104" i="5"/>
  <c r="CZ29" i="19" s="1"/>
  <c r="CL104" i="5"/>
  <c r="CL29" i="19" s="1"/>
  <c r="U104" i="5"/>
  <c r="U29" i="19" s="1"/>
  <c r="DI104" i="5"/>
  <c r="DI29" i="19" s="1"/>
  <c r="AF104" i="5"/>
  <c r="AF29" i="19" s="1"/>
  <c r="DH104" i="5"/>
  <c r="DH29" i="19" s="1"/>
  <c r="BY104" i="5"/>
  <c r="BY29" i="19" s="1"/>
  <c r="DX104" i="5"/>
  <c r="DX29" i="19" s="1"/>
  <c r="DR104" i="5"/>
  <c r="DR29" i="19" s="1"/>
  <c r="BJ104" i="5"/>
  <c r="BJ29" i="19" s="1"/>
  <c r="AS104" i="5"/>
  <c r="AS29" i="19" s="1"/>
  <c r="AO104" i="5"/>
  <c r="AO29" i="19" s="1"/>
  <c r="EP104" i="5"/>
  <c r="EP29" i="19" s="1"/>
  <c r="CF104" i="5"/>
  <c r="CF29" i="19" s="1"/>
  <c r="EH104" i="5"/>
  <c r="EH29" i="19" s="1"/>
  <c r="AL104" i="5"/>
  <c r="AL29" i="19" s="1"/>
  <c r="AX104" i="5"/>
  <c r="AX29" i="19" s="1"/>
  <c r="CD104" i="5"/>
  <c r="CD29" i="19" s="1"/>
  <c r="DP104" i="5"/>
  <c r="DP29" i="19" s="1"/>
  <c r="DE104" i="5"/>
  <c r="AN104" i="5"/>
  <c r="AN29" i="19" s="1"/>
  <c r="EG104" i="5"/>
  <c r="EG29" i="19" s="1"/>
  <c r="DU104" i="5"/>
  <c r="DU29" i="19" s="1"/>
  <c r="P104" i="5"/>
  <c r="BC104" i="5"/>
  <c r="EC104" i="5"/>
  <c r="CA104" i="5"/>
  <c r="CY104" i="5"/>
  <c r="AK104" i="5"/>
  <c r="Y104" i="5"/>
  <c r="EM104" i="5"/>
  <c r="EM29" i="19" s="1"/>
  <c r="DS104" i="5"/>
  <c r="DS29" i="19" s="1"/>
  <c r="CB104" i="5"/>
  <c r="CB29" i="19" s="1"/>
  <c r="BF104" i="5"/>
  <c r="BF29" i="19" s="1"/>
  <c r="EL104" i="5"/>
  <c r="EL29" i="19" s="1"/>
  <c r="CH104" i="5"/>
  <c r="CH29" i="19" s="1"/>
  <c r="AV104" i="5"/>
  <c r="AV29" i="19" s="1"/>
  <c r="CU104" i="5"/>
  <c r="CU29" i="19" s="1"/>
  <c r="O104" i="5"/>
  <c r="O29" i="19" s="1"/>
  <c r="T104" i="5"/>
  <c r="T29" i="19" s="1"/>
  <c r="DB104" i="5"/>
  <c r="DB29" i="19" s="1"/>
  <c r="BB104" i="5"/>
  <c r="BB29" i="19" s="1"/>
  <c r="CV104" i="5"/>
  <c r="CV29" i="19" s="1"/>
  <c r="BK104" i="5"/>
  <c r="BK29" i="19" s="1"/>
  <c r="Q104" i="5"/>
  <c r="Q29" i="19" s="1"/>
  <c r="AJ104" i="5"/>
  <c r="AJ29" i="19" s="1"/>
  <c r="EF104" i="5"/>
  <c r="EF29" i="19" s="1"/>
  <c r="CR104" i="5"/>
  <c r="CR29" i="19" s="1"/>
  <c r="DL104" i="5"/>
  <c r="DL29" i="19" s="1"/>
  <c r="BS104" i="5"/>
  <c r="BS29" i="19" s="1"/>
  <c r="AM104" i="5"/>
  <c r="AM29" i="19" s="1"/>
  <c r="BR104" i="5"/>
  <c r="BR29" i="19" s="1"/>
  <c r="BX104" i="5"/>
  <c r="BX29" i="19" s="1"/>
  <c r="EJ104" i="5"/>
  <c r="EJ29" i="19" s="1"/>
  <c r="BH104" i="5"/>
  <c r="BH29" i="19" s="1"/>
  <c r="AG104" i="5"/>
  <c r="AG29" i="19" s="1"/>
  <c r="AH104" i="5"/>
  <c r="EA104" i="5"/>
  <c r="EA29" i="19" s="1"/>
  <c r="BQ104" i="5"/>
  <c r="BQ29" i="19" s="1"/>
  <c r="AA117" i="11"/>
  <c r="AB114" i="11" s="1"/>
  <c r="AB116" i="11" s="1"/>
  <c r="AA44" i="5"/>
  <c r="M67" i="16"/>
  <c r="N64" i="16" s="1"/>
  <c r="DM45" i="6"/>
  <c r="EI45" i="6"/>
  <c r="CU45" i="6"/>
  <c r="DP45" i="6"/>
  <c r="EC45" i="6"/>
  <c r="BP45" i="6"/>
  <c r="EN45" i="6"/>
  <c r="Q45" i="6"/>
  <c r="BJ45" i="6"/>
  <c r="CJ45" i="6"/>
  <c r="CD45" i="6"/>
  <c r="BW45" i="6"/>
  <c r="DJ45" i="6"/>
  <c r="CW45" i="6"/>
  <c r="EG45" i="6"/>
  <c r="AT45" i="6"/>
  <c r="CB45" i="6"/>
  <c r="BL45" i="6"/>
  <c r="BX45" i="6"/>
  <c r="CK45" i="6"/>
  <c r="AL45" i="6"/>
  <c r="CZ45" i="6"/>
  <c r="BO45" i="6"/>
  <c r="AH45" i="6"/>
  <c r="CA45" i="6"/>
  <c r="DW45" i="6"/>
  <c r="AR45" i="6"/>
  <c r="CV45" i="6"/>
  <c r="AE45" i="6"/>
  <c r="CM45" i="6"/>
  <c r="CY45" i="6"/>
  <c r="DF45" i="6"/>
  <c r="CC45" i="6"/>
  <c r="EB45" i="6"/>
  <c r="CT45" i="6"/>
  <c r="AY45" i="6"/>
  <c r="BD45" i="6"/>
  <c r="DG45" i="6"/>
  <c r="T45" i="6"/>
  <c r="ER45" i="6"/>
  <c r="DZ45" i="6"/>
  <c r="BS45" i="6"/>
  <c r="EP45" i="6"/>
  <c r="EQ45" i="6"/>
  <c r="W45" i="6"/>
  <c r="EJ45" i="6"/>
  <c r="AP45" i="6"/>
  <c r="DA45" i="6"/>
  <c r="CO45" i="6"/>
  <c r="CS45" i="6"/>
  <c r="AX45" i="6"/>
  <c r="EK45" i="6"/>
  <c r="DK45" i="6"/>
  <c r="CI45" i="6"/>
  <c r="DX45" i="6"/>
  <c r="BM45" i="6"/>
  <c r="AA45" i="6"/>
  <c r="DS45" i="6"/>
  <c r="CN45" i="6"/>
  <c r="CQ45" i="6"/>
  <c r="BG45" i="6"/>
  <c r="BI45" i="6"/>
  <c r="DC45" i="6"/>
  <c r="AI45" i="6"/>
  <c r="U45" i="6"/>
  <c r="CP45" i="6"/>
  <c r="EE45" i="6"/>
  <c r="AO45" i="6"/>
  <c r="P45" i="6"/>
  <c r="CL45" i="6"/>
  <c r="DE45" i="6"/>
  <c r="EL45" i="6"/>
  <c r="DN45" i="6"/>
  <c r="DH45" i="6"/>
  <c r="AW45" i="6"/>
  <c r="CR45" i="6"/>
  <c r="AG45" i="6"/>
  <c r="CF45" i="6"/>
  <c r="AV45" i="6"/>
  <c r="BU45" i="6"/>
  <c r="EA45" i="6"/>
  <c r="CH45" i="6"/>
  <c r="DL45" i="6"/>
  <c r="BC45" i="6"/>
  <c r="BK45" i="6"/>
  <c r="ED45" i="6"/>
  <c r="EF45" i="6"/>
  <c r="V45" i="6"/>
  <c r="DB45" i="6"/>
  <c r="BE45" i="6"/>
  <c r="AB45" i="6"/>
  <c r="DV45" i="6"/>
  <c r="BA45" i="6"/>
  <c r="AZ45" i="6"/>
  <c r="AK45" i="6"/>
  <c r="AJ45" i="6"/>
  <c r="DR45" i="6"/>
  <c r="DD45" i="6"/>
  <c r="BQ45" i="6"/>
  <c r="BV45" i="6"/>
  <c r="EH45" i="6"/>
  <c r="DI45" i="6"/>
  <c r="CE45" i="6"/>
  <c r="BB45" i="6"/>
  <c r="DQ45" i="6"/>
  <c r="R45" i="6"/>
  <c r="Z45" i="6"/>
  <c r="DO45" i="6"/>
  <c r="DY45" i="6"/>
  <c r="AS45" i="6"/>
  <c r="S45" i="6"/>
  <c r="N45" i="6"/>
  <c r="AD45" i="6"/>
  <c r="BT45" i="6"/>
  <c r="BF45" i="6"/>
  <c r="DU45" i="6"/>
  <c r="Y45" i="6"/>
  <c r="BH45" i="6"/>
  <c r="BY45" i="6"/>
  <c r="O45" i="6"/>
  <c r="DT45" i="6"/>
  <c r="CX45" i="6"/>
  <c r="EM45" i="6"/>
  <c r="AC45" i="6"/>
  <c r="X45" i="6"/>
  <c r="BN45" i="6"/>
  <c r="AF45" i="6"/>
  <c r="EO45" i="6"/>
  <c r="AU45" i="6"/>
  <c r="CG45" i="6"/>
  <c r="BR45" i="6"/>
  <c r="AQ45" i="6"/>
  <c r="AM45" i="6"/>
  <c r="M45" i="6"/>
  <c r="AN45" i="6"/>
  <c r="BZ45" i="6"/>
  <c r="R154" i="11"/>
  <c r="R53" i="5" s="1"/>
  <c r="F615" i="32" s="1"/>
  <c r="CM99" i="5"/>
  <c r="O99" i="5"/>
  <c r="O18" i="19" s="1"/>
  <c r="W99" i="5"/>
  <c r="W18" i="19" s="1"/>
  <c r="AB99" i="5"/>
  <c r="BO99" i="5"/>
  <c r="AK99" i="5"/>
  <c r="EF99" i="5"/>
  <c r="EF18" i="19" s="1"/>
  <c r="CX99" i="5"/>
  <c r="CX18" i="19" s="1"/>
  <c r="DT99" i="5"/>
  <c r="DT18" i="19" s="1"/>
  <c r="BW99" i="5"/>
  <c r="BW18" i="19" s="1"/>
  <c r="L99" i="5"/>
  <c r="BN99" i="5"/>
  <c r="BN18" i="19" s="1"/>
  <c r="AI99" i="5"/>
  <c r="AI18" i="19" s="1"/>
  <c r="DR99" i="5"/>
  <c r="DR18" i="19" s="1"/>
  <c r="BK99" i="5"/>
  <c r="BK18" i="19" s="1"/>
  <c r="P99" i="5"/>
  <c r="CG99" i="5"/>
  <c r="EH99" i="5"/>
  <c r="EH18" i="19" s="1"/>
  <c r="T99" i="5"/>
  <c r="T18" i="19" s="1"/>
  <c r="DF99" i="5"/>
  <c r="DF18" i="19" s="1"/>
  <c r="CT99" i="5"/>
  <c r="CT18" i="19" s="1"/>
  <c r="BF99" i="5"/>
  <c r="BF18" i="19" s="1"/>
  <c r="CL99" i="5"/>
  <c r="CL18" i="19" s="1"/>
  <c r="CK99" i="5"/>
  <c r="CK18" i="19" s="1"/>
  <c r="AL99" i="5"/>
  <c r="AL18" i="19" s="1"/>
  <c r="EM99" i="5"/>
  <c r="EM18" i="19" s="1"/>
  <c r="BJ99" i="5"/>
  <c r="BJ18" i="19" s="1"/>
  <c r="DP99" i="5"/>
  <c r="DP18" i="19" s="1"/>
  <c r="Z99" i="5"/>
  <c r="Z18" i="19" s="1"/>
  <c r="EO99" i="5"/>
  <c r="CB99" i="5"/>
  <c r="CB18" i="19" s="1"/>
  <c r="CV99" i="5"/>
  <c r="CV18" i="19" s="1"/>
  <c r="AP99" i="5"/>
  <c r="AP18" i="19" s="1"/>
  <c r="BR99" i="5"/>
  <c r="BR18" i="19" s="1"/>
  <c r="BC99" i="5"/>
  <c r="BL99" i="5"/>
  <c r="BL18" i="19" s="1"/>
  <c r="EB99" i="5"/>
  <c r="EB18" i="19" s="1"/>
  <c r="U99" i="5"/>
  <c r="U18" i="19" s="1"/>
  <c r="BU99" i="5"/>
  <c r="DQ99" i="5"/>
  <c r="BI99" i="5"/>
  <c r="BT99" i="5"/>
  <c r="BT18" i="19" s="1"/>
  <c r="BG99" i="5"/>
  <c r="BG18" i="19" s="1"/>
  <c r="DJ99" i="5"/>
  <c r="DJ18" i="19" s="1"/>
  <c r="BX99" i="5"/>
  <c r="BX18" i="19" s="1"/>
  <c r="AW99" i="5"/>
  <c r="AT99" i="5"/>
  <c r="AT18" i="19" s="1"/>
  <c r="BP99" i="5"/>
  <c r="BP18" i="19" s="1"/>
  <c r="Q99" i="5"/>
  <c r="Q18" i="19" s="1"/>
  <c r="DX99" i="5"/>
  <c r="DX18" i="19" s="1"/>
  <c r="DG99" i="5"/>
  <c r="DG18" i="19" s="1"/>
  <c r="DD99" i="5"/>
  <c r="DD18" i="19" s="1"/>
  <c r="AG99" i="5"/>
  <c r="AG18" i="19" s="1"/>
  <c r="DV99" i="5"/>
  <c r="DV18" i="19" s="1"/>
  <c r="S99" i="5"/>
  <c r="BZ99" i="5"/>
  <c r="BZ18" i="19" s="1"/>
  <c r="DY99" i="5"/>
  <c r="DY18" i="19" s="1"/>
  <c r="CW99" i="5"/>
  <c r="CW18" i="19" s="1"/>
  <c r="EA99" i="5"/>
  <c r="EA18" i="19" s="1"/>
  <c r="ED99" i="5"/>
  <c r="ED18" i="19" s="1"/>
  <c r="EN99" i="5"/>
  <c r="EN18" i="19" s="1"/>
  <c r="CO99" i="5"/>
  <c r="CO18" i="19" s="1"/>
  <c r="CU99" i="5"/>
  <c r="CU18" i="19" s="1"/>
  <c r="AC99" i="5"/>
  <c r="AC18" i="19" s="1"/>
  <c r="CR99" i="5"/>
  <c r="CR18" i="19" s="1"/>
  <c r="CF99" i="5"/>
  <c r="CF18" i="19" s="1"/>
  <c r="CC99" i="5"/>
  <c r="CC18" i="19" s="1"/>
  <c r="AF99" i="5"/>
  <c r="AF18" i="19" s="1"/>
  <c r="CY99" i="5"/>
  <c r="AN99" i="5"/>
  <c r="AN18" i="19" s="1"/>
  <c r="DS99" i="5"/>
  <c r="DS18" i="19" s="1"/>
  <c r="AY99" i="5"/>
  <c r="AY18" i="19" s="1"/>
  <c r="Y99" i="5"/>
  <c r="M99" i="5"/>
  <c r="EC99" i="5"/>
  <c r="AJ99" i="5"/>
  <c r="AJ18" i="19" s="1"/>
  <c r="AV99" i="5"/>
  <c r="AV18" i="19" s="1"/>
  <c r="AX99" i="5"/>
  <c r="AX18" i="19" s="1"/>
  <c r="DL99" i="5"/>
  <c r="DL18" i="19" s="1"/>
  <c r="EG99" i="5"/>
  <c r="EG18" i="19" s="1"/>
  <c r="DM99" i="5"/>
  <c r="DM18" i="19" s="1"/>
  <c r="BS99" i="5"/>
  <c r="BS18" i="19" s="1"/>
  <c r="BV99" i="5"/>
  <c r="BV18" i="19" s="1"/>
  <c r="BY99" i="5"/>
  <c r="BY18" i="19" s="1"/>
  <c r="DA99" i="5"/>
  <c r="DA18" i="19" s="1"/>
  <c r="V99" i="5"/>
  <c r="BB99" i="5"/>
  <c r="BB18" i="19" s="1"/>
  <c r="CE99" i="5"/>
  <c r="CE18" i="19" s="1"/>
  <c r="AM99" i="5"/>
  <c r="AM18" i="19" s="1"/>
  <c r="EL99" i="5"/>
  <c r="EL18" i="19" s="1"/>
  <c r="DZ99" i="5"/>
  <c r="DZ18" i="19" s="1"/>
  <c r="AD99" i="5"/>
  <c r="AD18" i="19" s="1"/>
  <c r="N99" i="5"/>
  <c r="N18" i="19" s="1"/>
  <c r="BM99" i="5"/>
  <c r="BM18" i="19" s="1"/>
  <c r="CS99" i="5"/>
  <c r="DO99" i="5"/>
  <c r="DO18" i="19" s="1"/>
  <c r="EP99" i="5"/>
  <c r="EP18" i="19" s="1"/>
  <c r="AE99" i="5"/>
  <c r="DB99" i="5"/>
  <c r="DB18" i="19" s="1"/>
  <c r="DU99" i="5"/>
  <c r="DU18" i="19" s="1"/>
  <c r="CP99" i="5"/>
  <c r="CP18" i="19" s="1"/>
  <c r="AS99" i="5"/>
  <c r="AS18" i="19" s="1"/>
  <c r="DW99" i="5"/>
  <c r="BQ99" i="5"/>
  <c r="BQ18" i="19" s="1"/>
  <c r="DH99" i="5"/>
  <c r="DH18" i="19" s="1"/>
  <c r="CN99" i="5"/>
  <c r="CN18" i="19" s="1"/>
  <c r="DE99" i="5"/>
  <c r="DK99" i="5"/>
  <c r="EJ99" i="5"/>
  <c r="EJ18" i="19" s="1"/>
  <c r="CD99" i="5"/>
  <c r="CD18" i="19" s="1"/>
  <c r="BE99" i="5"/>
  <c r="BE18" i="19" s="1"/>
  <c r="DN99" i="5"/>
  <c r="DN18" i="19" s="1"/>
  <c r="AO99" i="5"/>
  <c r="AO18" i="19" s="1"/>
  <c r="CZ99" i="5"/>
  <c r="CZ18" i="19" s="1"/>
  <c r="CQ99" i="5"/>
  <c r="CQ18" i="19" s="1"/>
  <c r="BH99" i="5"/>
  <c r="BH18" i="19" s="1"/>
  <c r="AA99" i="5"/>
  <c r="AA18" i="19" s="1"/>
  <c r="DI99" i="5"/>
  <c r="DI18" i="19" s="1"/>
  <c r="X99" i="5"/>
  <c r="X18" i="19" s="1"/>
  <c r="BD99" i="5"/>
  <c r="BD18" i="19" s="1"/>
  <c r="CI99" i="5"/>
  <c r="CI18" i="19" s="1"/>
  <c r="CJ99" i="5"/>
  <c r="CJ18" i="19" s="1"/>
  <c r="AZ99" i="5"/>
  <c r="AZ18" i="19" s="1"/>
  <c r="EI99" i="5"/>
  <c r="EE99" i="5"/>
  <c r="EE18" i="19" s="1"/>
  <c r="R99" i="5"/>
  <c r="R18" i="19" s="1"/>
  <c r="CA99" i="5"/>
  <c r="EK99" i="5"/>
  <c r="EK18" i="19" s="1"/>
  <c r="AH99" i="5"/>
  <c r="BA99" i="5"/>
  <c r="BA18" i="19" s="1"/>
  <c r="EQ99" i="5"/>
  <c r="EQ18" i="19" s="1"/>
  <c r="AQ99" i="5"/>
  <c r="CH99" i="5"/>
  <c r="CH18" i="19" s="1"/>
  <c r="AR99" i="5"/>
  <c r="AR18" i="19" s="1"/>
  <c r="DC99" i="5"/>
  <c r="DC18" i="19" s="1"/>
  <c r="AU99" i="5"/>
  <c r="AU18" i="19" s="1"/>
  <c r="S101" i="11"/>
  <c r="S41" i="5" s="1"/>
  <c r="S141" i="5" s="1"/>
  <c r="S142" i="5" s="1"/>
  <c r="S143" i="5" s="1"/>
  <c r="R150" i="11"/>
  <c r="D626" i="32"/>
  <c r="I42" i="1"/>
  <c r="L98" i="26"/>
  <c r="L98" i="17"/>
  <c r="CL114" i="5"/>
  <c r="DR114" i="5"/>
  <c r="EM114" i="5"/>
  <c r="BF114" i="5"/>
  <c r="DX114" i="5"/>
  <c r="DV114" i="5"/>
  <c r="DD114" i="5"/>
  <c r="CD114" i="5"/>
  <c r="EO114" i="5"/>
  <c r="BD114" i="5"/>
  <c r="BA114" i="5"/>
  <c r="DI114" i="5"/>
  <c r="BG114" i="5"/>
  <c r="AC114" i="5"/>
  <c r="V114" i="5"/>
  <c r="AN114" i="5"/>
  <c r="CW114" i="5"/>
  <c r="BH114" i="5"/>
  <c r="AQ114" i="5"/>
  <c r="BQ114" i="5"/>
  <c r="CP114" i="5"/>
  <c r="DN114" i="5"/>
  <c r="EP114" i="5"/>
  <c r="DF114" i="5"/>
  <c r="DM114" i="5"/>
  <c r="N114" i="5"/>
  <c r="BW114" i="5"/>
  <c r="AB114" i="5"/>
  <c r="DQ114" i="5"/>
  <c r="BN114" i="5"/>
  <c r="AG114" i="5"/>
  <c r="Q114" i="5"/>
  <c r="CX114" i="5"/>
  <c r="CZ114" i="5"/>
  <c r="DO114" i="5"/>
  <c r="DU114" i="5"/>
  <c r="CG114" i="5"/>
  <c r="DK114" i="5"/>
  <c r="DH114" i="5"/>
  <c r="BZ114" i="5"/>
  <c r="DY114" i="5"/>
  <c r="AV114" i="5"/>
  <c r="AZ114" i="5"/>
  <c r="BM114" i="5"/>
  <c r="DS114" i="5"/>
  <c r="AT114" i="5"/>
  <c r="AS114" i="5"/>
  <c r="CO114" i="5"/>
  <c r="EQ114" i="5"/>
  <c r="BK114" i="5"/>
  <c r="EC114" i="5"/>
  <c r="AD114" i="5"/>
  <c r="CH114" i="5"/>
  <c r="DC114" i="5"/>
  <c r="BT114" i="5"/>
  <c r="AA114" i="5"/>
  <c r="AW114" i="5"/>
  <c r="CF114" i="5"/>
  <c r="BP114" i="5"/>
  <c r="CT114" i="5"/>
  <c r="M114" i="5"/>
  <c r="R114" i="5"/>
  <c r="AH114" i="5"/>
  <c r="CE114" i="5"/>
  <c r="CB114" i="5"/>
  <c r="Y114" i="5"/>
  <c r="L114" i="5"/>
  <c r="CU114" i="5"/>
  <c r="EN114" i="5"/>
  <c r="DL114" i="5"/>
  <c r="AL114" i="5"/>
  <c r="BV114" i="5"/>
  <c r="BB114" i="5"/>
  <c r="AF114" i="5"/>
  <c r="U114" i="5"/>
  <c r="O114" i="5"/>
  <c r="P114" i="5"/>
  <c r="BX114" i="5"/>
  <c r="DG114" i="5"/>
  <c r="AO114" i="5"/>
  <c r="EJ114" i="5"/>
  <c r="BC114" i="5"/>
  <c r="CV114" i="5"/>
  <c r="AU114" i="5"/>
  <c r="CK114" i="5"/>
  <c r="AX114" i="5"/>
  <c r="EL114" i="5"/>
  <c r="AJ114" i="5"/>
  <c r="ED114" i="5"/>
  <c r="DW114" i="5"/>
  <c r="EI114" i="5"/>
  <c r="BU114" i="5"/>
  <c r="BO114" i="5"/>
  <c r="T114" i="5"/>
  <c r="BY114" i="5"/>
  <c r="Z114" i="5"/>
  <c r="DZ114" i="5"/>
  <c r="AE114" i="5"/>
  <c r="CR114" i="5"/>
  <c r="AM114" i="5"/>
  <c r="CA114" i="5"/>
  <c r="DP114" i="5"/>
  <c r="AP114" i="5"/>
  <c r="EK114" i="5"/>
  <c r="EE114" i="5"/>
  <c r="X114" i="5"/>
  <c r="EA114" i="5"/>
  <c r="DJ114" i="5"/>
  <c r="CQ114" i="5"/>
  <c r="S114" i="5"/>
  <c r="DE114" i="5"/>
  <c r="BE114" i="5"/>
  <c r="BJ114" i="5"/>
  <c r="AY114" i="5"/>
  <c r="BS114" i="5"/>
  <c r="CY114" i="5"/>
  <c r="EH114" i="5"/>
  <c r="BI114" i="5"/>
  <c r="EB114" i="5"/>
  <c r="EF114" i="5"/>
  <c r="DA114" i="5"/>
  <c r="BL114" i="5"/>
  <c r="CS114" i="5"/>
  <c r="CJ114" i="5"/>
  <c r="AK114" i="5"/>
  <c r="BR114" i="5"/>
  <c r="AR114" i="5"/>
  <c r="CC114" i="5"/>
  <c r="EG114" i="5"/>
  <c r="CM114" i="5"/>
  <c r="W114" i="5"/>
  <c r="CN114" i="5"/>
  <c r="CI114" i="5"/>
  <c r="DT114" i="5"/>
  <c r="AI114" i="5"/>
  <c r="DB114" i="5"/>
  <c r="L23" i="18"/>
  <c r="E781" i="32" s="1"/>
  <c r="F650" i="32"/>
  <c r="O77" i="19"/>
  <c r="L19" i="19"/>
  <c r="F156" i="5"/>
  <c r="BA109" i="5"/>
  <c r="BA105" i="5" s="1"/>
  <c r="DQ109" i="5"/>
  <c r="BU109" i="5"/>
  <c r="DM109" i="5"/>
  <c r="DM105" i="5" s="1"/>
  <c r="CW109" i="5"/>
  <c r="CW105" i="5" s="1"/>
  <c r="ED109" i="5"/>
  <c r="ED105" i="5" s="1"/>
  <c r="CL109" i="5"/>
  <c r="CL105" i="5" s="1"/>
  <c r="BF109" i="5"/>
  <c r="BF105" i="5" s="1"/>
  <c r="CN109" i="5"/>
  <c r="CN105" i="5" s="1"/>
  <c r="AD109" i="5"/>
  <c r="AD105" i="5" s="1"/>
  <c r="EL109" i="5"/>
  <c r="EL105" i="5" s="1"/>
  <c r="EO109" i="5"/>
  <c r="EG109" i="5"/>
  <c r="EG105" i="5" s="1"/>
  <c r="CV109" i="5"/>
  <c r="CV105" i="5" s="1"/>
  <c r="DG109" i="5"/>
  <c r="DG105" i="5" s="1"/>
  <c r="CD109" i="5"/>
  <c r="CD105" i="5" s="1"/>
  <c r="L109" i="5"/>
  <c r="EM109" i="5"/>
  <c r="EM105" i="5" s="1"/>
  <c r="BI109" i="5"/>
  <c r="EH109" i="5"/>
  <c r="EH105" i="5" s="1"/>
  <c r="DR109" i="5"/>
  <c r="DR105" i="5" s="1"/>
  <c r="AP109" i="5"/>
  <c r="AP105" i="5" s="1"/>
  <c r="DI109" i="5"/>
  <c r="DI105" i="5" s="1"/>
  <c r="EP109" i="5"/>
  <c r="EP105" i="5" s="1"/>
  <c r="AB109" i="5"/>
  <c r="CC109" i="5"/>
  <c r="CC105" i="5" s="1"/>
  <c r="BR109" i="5"/>
  <c r="BR105" i="5" s="1"/>
  <c r="EK109" i="5"/>
  <c r="EK105" i="5" s="1"/>
  <c r="CU109" i="5"/>
  <c r="CU105" i="5" s="1"/>
  <c r="BV109" i="5"/>
  <c r="BV105" i="5" s="1"/>
  <c r="DY109" i="5"/>
  <c r="DY105" i="5" s="1"/>
  <c r="DE109" i="5"/>
  <c r="EE109" i="5"/>
  <c r="EE105" i="5" s="1"/>
  <c r="EF109" i="5"/>
  <c r="EF105" i="5" s="1"/>
  <c r="AC109" i="5"/>
  <c r="AC105" i="5" s="1"/>
  <c r="DN109" i="5"/>
  <c r="DN105" i="5" s="1"/>
  <c r="BZ109" i="5"/>
  <c r="BZ105" i="5" s="1"/>
  <c r="EA109" i="5"/>
  <c r="EA105" i="5" s="1"/>
  <c r="BO109" i="5"/>
  <c r="N109" i="5"/>
  <c r="N105" i="5" s="1"/>
  <c r="DP109" i="5"/>
  <c r="DP105" i="5" s="1"/>
  <c r="AZ109" i="5"/>
  <c r="AZ105" i="5" s="1"/>
  <c r="BB109" i="5"/>
  <c r="BB105" i="5" s="1"/>
  <c r="DS109" i="5"/>
  <c r="DS105" i="5" s="1"/>
  <c r="AH109" i="5"/>
  <c r="BG109" i="5"/>
  <c r="BG105" i="5" s="1"/>
  <c r="CR109" i="5"/>
  <c r="CR105" i="5" s="1"/>
  <c r="AU109" i="5"/>
  <c r="AU105" i="5" s="1"/>
  <c r="CP109" i="5"/>
  <c r="CP105" i="5" s="1"/>
  <c r="AK109" i="5"/>
  <c r="U109" i="5"/>
  <c r="U105" i="5" s="1"/>
  <c r="V109" i="5"/>
  <c r="DH109" i="5"/>
  <c r="DH105" i="5" s="1"/>
  <c r="BY109" i="5"/>
  <c r="BY105" i="5" s="1"/>
  <c r="M109" i="5"/>
  <c r="W109" i="5"/>
  <c r="W105" i="5" s="1"/>
  <c r="DO109" i="5"/>
  <c r="DO105" i="5" s="1"/>
  <c r="R109" i="5"/>
  <c r="R105" i="5" s="1"/>
  <c r="AO109" i="5"/>
  <c r="AO105" i="5" s="1"/>
  <c r="CX109" i="5"/>
  <c r="CX105" i="5" s="1"/>
  <c r="AJ109" i="5"/>
  <c r="AJ105" i="5" s="1"/>
  <c r="CB109" i="5"/>
  <c r="CB105" i="5" s="1"/>
  <c r="CH109" i="5"/>
  <c r="CH105" i="5" s="1"/>
  <c r="AY109" i="5"/>
  <c r="AY105" i="5" s="1"/>
  <c r="DZ109" i="5"/>
  <c r="DZ105" i="5" s="1"/>
  <c r="DC109" i="5"/>
  <c r="DC105" i="5" s="1"/>
  <c r="EI109" i="5"/>
  <c r="AQ109" i="5"/>
  <c r="EB109" i="5"/>
  <c r="EB105" i="5" s="1"/>
  <c r="CJ109" i="5"/>
  <c r="CJ105" i="5" s="1"/>
  <c r="BM109" i="5"/>
  <c r="BM105" i="5" s="1"/>
  <c r="DV109" i="5"/>
  <c r="DV105" i="5" s="1"/>
  <c r="CG109" i="5"/>
  <c r="DX109" i="5"/>
  <c r="DX105" i="5" s="1"/>
  <c r="BX109" i="5"/>
  <c r="BX105" i="5" s="1"/>
  <c r="O109" i="5"/>
  <c r="O105" i="5" s="1"/>
  <c r="EJ109" i="5"/>
  <c r="EJ105" i="5" s="1"/>
  <c r="BL109" i="5"/>
  <c r="BL105" i="5" s="1"/>
  <c r="DU109" i="5"/>
  <c r="DU105" i="5" s="1"/>
  <c r="BK109" i="5"/>
  <c r="BK105" i="5" s="1"/>
  <c r="CS109" i="5"/>
  <c r="AA109" i="5"/>
  <c r="AA105" i="5" s="1"/>
  <c r="AR109" i="5"/>
  <c r="AR105" i="5" s="1"/>
  <c r="S109" i="5"/>
  <c r="AS109" i="5"/>
  <c r="AS105" i="5" s="1"/>
  <c r="DT109" i="5"/>
  <c r="DT105" i="5" s="1"/>
  <c r="BS109" i="5"/>
  <c r="BS105" i="5" s="1"/>
  <c r="BC109" i="5"/>
  <c r="BW109" i="5"/>
  <c r="BW105" i="5" s="1"/>
  <c r="CT109" i="5"/>
  <c r="CT105" i="5" s="1"/>
  <c r="EQ109" i="5"/>
  <c r="EQ105" i="5" s="1"/>
  <c r="EN109" i="5"/>
  <c r="EN105" i="5" s="1"/>
  <c r="CE109" i="5"/>
  <c r="CE105" i="5" s="1"/>
  <c r="AL109" i="5"/>
  <c r="AL105" i="5" s="1"/>
  <c r="DJ109" i="5"/>
  <c r="DJ105" i="5" s="1"/>
  <c r="CQ109" i="5"/>
  <c r="CQ105" i="5" s="1"/>
  <c r="CZ109" i="5"/>
  <c r="CZ105" i="5" s="1"/>
  <c r="BH109" i="5"/>
  <c r="BH105" i="5" s="1"/>
  <c r="CO109" i="5"/>
  <c r="CO105" i="5" s="1"/>
  <c r="CK109" i="5"/>
  <c r="CK105" i="5" s="1"/>
  <c r="CF109" i="5"/>
  <c r="CF105" i="5" s="1"/>
  <c r="BP109" i="5"/>
  <c r="BP105" i="5" s="1"/>
  <c r="BT109" i="5"/>
  <c r="BT105" i="5" s="1"/>
  <c r="AW109" i="5"/>
  <c r="AF109" i="5"/>
  <c r="AF105" i="5" s="1"/>
  <c r="CM109" i="5"/>
  <c r="AE109" i="5"/>
  <c r="CI109" i="5"/>
  <c r="CI105" i="5" s="1"/>
  <c r="BD109" i="5"/>
  <c r="BD105" i="5" s="1"/>
  <c r="Q109" i="5"/>
  <c r="Q105" i="5" s="1"/>
  <c r="DK109" i="5"/>
  <c r="Z109" i="5"/>
  <c r="Z105" i="5" s="1"/>
  <c r="AG109" i="5"/>
  <c r="AG105" i="5" s="1"/>
  <c r="X109" i="5"/>
  <c r="X105" i="5" s="1"/>
  <c r="EC109" i="5"/>
  <c r="DA109" i="5"/>
  <c r="DA105" i="5" s="1"/>
  <c r="AN109" i="5"/>
  <c r="AN105" i="5" s="1"/>
  <c r="BN109" i="5"/>
  <c r="BN105" i="5" s="1"/>
  <c r="CY109" i="5"/>
  <c r="DD109" i="5"/>
  <c r="DD105" i="5" s="1"/>
  <c r="CA109" i="5"/>
  <c r="Y109" i="5"/>
  <c r="BJ109" i="5"/>
  <c r="BJ105" i="5" s="1"/>
  <c r="DF109" i="5"/>
  <c r="DF105" i="5" s="1"/>
  <c r="DL109" i="5"/>
  <c r="DL105" i="5" s="1"/>
  <c r="DW109" i="5"/>
  <c r="BE109" i="5"/>
  <c r="BE105" i="5" s="1"/>
  <c r="AM109" i="5"/>
  <c r="AM105" i="5" s="1"/>
  <c r="AV109" i="5"/>
  <c r="AV105" i="5" s="1"/>
  <c r="AT109" i="5"/>
  <c r="AT105" i="5" s="1"/>
  <c r="DB109" i="5"/>
  <c r="DB105" i="5" s="1"/>
  <c r="AI109" i="5"/>
  <c r="AI105" i="5" s="1"/>
  <c r="BQ109" i="5"/>
  <c r="BQ105" i="5" s="1"/>
  <c r="T109" i="5"/>
  <c r="T105" i="5" s="1"/>
  <c r="P109" i="5"/>
  <c r="AX109" i="5"/>
  <c r="AX105" i="5" s="1"/>
  <c r="J473" i="32"/>
  <c r="I513" i="32"/>
  <c r="I499" i="32"/>
  <c r="T140" i="5" l="1"/>
  <c r="S123" i="5"/>
  <c r="M48" i="17"/>
  <c r="M44" i="17" s="1"/>
  <c r="R49" i="5"/>
  <c r="AE39" i="16"/>
  <c r="V698" i="32" s="1"/>
  <c r="E821" i="32" s="1"/>
  <c r="AA39" i="16"/>
  <c r="R698" i="32" s="1"/>
  <c r="E817" i="32" s="1"/>
  <c r="AJ39" i="16"/>
  <c r="Z39" i="16"/>
  <c r="Q698" i="32" s="1"/>
  <c r="E816" i="32" s="1"/>
  <c r="BJ129" i="5"/>
  <c r="BJ130" i="5"/>
  <c r="BT129" i="5"/>
  <c r="BT130" i="5"/>
  <c r="DU130" i="5"/>
  <c r="DU129" i="5"/>
  <c r="AV129" i="5"/>
  <c r="AV130" i="5"/>
  <c r="AN129" i="5"/>
  <c r="AN130" i="5"/>
  <c r="AX129" i="5"/>
  <c r="AX130" i="5"/>
  <c r="AI129" i="5"/>
  <c r="AI130" i="5"/>
  <c r="AM129" i="5"/>
  <c r="AM130" i="5"/>
  <c r="DF130" i="5"/>
  <c r="DF129" i="5"/>
  <c r="DD130" i="5"/>
  <c r="DD129" i="5"/>
  <c r="DA129" i="5"/>
  <c r="DA130" i="5"/>
  <c r="Z129" i="5"/>
  <c r="Z130" i="5"/>
  <c r="CI130" i="5"/>
  <c r="CI129" i="5"/>
  <c r="P104" i="26"/>
  <c r="S104" i="17"/>
  <c r="S100" i="17" s="1"/>
  <c r="AW105" i="5"/>
  <c r="CK129" i="5"/>
  <c r="CK130" i="5"/>
  <c r="CQ130" i="5"/>
  <c r="CQ129" i="5"/>
  <c r="EN130" i="5"/>
  <c r="EN129" i="5"/>
  <c r="T104" i="17"/>
  <c r="T100" i="17" s="1"/>
  <c r="BC105" i="5"/>
  <c r="N104" i="17"/>
  <c r="S105" i="5"/>
  <c r="G623" i="32"/>
  <c r="BK129" i="5"/>
  <c r="BK130" i="5"/>
  <c r="O130" i="5"/>
  <c r="O129" i="5"/>
  <c r="DV129" i="5"/>
  <c r="DV130" i="5"/>
  <c r="R104" i="17"/>
  <c r="R100" i="17" s="1"/>
  <c r="AQ105" i="5"/>
  <c r="AY129" i="5"/>
  <c r="AY130" i="5"/>
  <c r="CX129" i="5"/>
  <c r="CX130" i="5"/>
  <c r="W130" i="5"/>
  <c r="W129" i="5"/>
  <c r="V105" i="5"/>
  <c r="H623" i="32"/>
  <c r="AU130" i="5"/>
  <c r="AU129" i="5"/>
  <c r="DS130" i="5"/>
  <c r="DS129" i="5"/>
  <c r="N130" i="5"/>
  <c r="N129" i="5"/>
  <c r="DN130" i="5"/>
  <c r="DN129" i="5"/>
  <c r="U104" i="26"/>
  <c r="AC104" i="17"/>
  <c r="AC100" i="17" s="1"/>
  <c r="DE105" i="5"/>
  <c r="EK130" i="5"/>
  <c r="EK129" i="5"/>
  <c r="EP129" i="5"/>
  <c r="EP130" i="5"/>
  <c r="EH130" i="5"/>
  <c r="EH129" i="5"/>
  <c r="CD129" i="5"/>
  <c r="CD130" i="5"/>
  <c r="AI104" i="17"/>
  <c r="AI100" i="17" s="1"/>
  <c r="X104" i="26"/>
  <c r="X100" i="26" s="1"/>
  <c r="EO105" i="5"/>
  <c r="BF130" i="5"/>
  <c r="BF129" i="5"/>
  <c r="DM129" i="5"/>
  <c r="DM130" i="5"/>
  <c r="CI50" i="19"/>
  <c r="CJ104" i="6"/>
  <c r="CJ105" i="6" s="1"/>
  <c r="CJ109" i="6"/>
  <c r="EG50" i="19"/>
  <c r="EH104" i="6"/>
  <c r="EH105" i="6" s="1"/>
  <c r="EH109" i="6"/>
  <c r="Q109" i="17"/>
  <c r="O109" i="26"/>
  <c r="G200" i="32" s="1"/>
  <c r="AK50" i="19"/>
  <c r="J77" i="1"/>
  <c r="AL104" i="6"/>
  <c r="AL105" i="6" s="1"/>
  <c r="AL109" i="6"/>
  <c r="DA50" i="19"/>
  <c r="DB104" i="6"/>
  <c r="DB105" i="6" s="1"/>
  <c r="DB109" i="6"/>
  <c r="EH50" i="19"/>
  <c r="EI104" i="6"/>
  <c r="EI105" i="6" s="1"/>
  <c r="EI109" i="6"/>
  <c r="BJ50" i="19"/>
  <c r="BK104" i="6"/>
  <c r="BK105" i="6" s="1"/>
  <c r="BK109" i="6"/>
  <c r="CQ50" i="19"/>
  <c r="CR109" i="6"/>
  <c r="CR104" i="6"/>
  <c r="CR105" i="6" s="1"/>
  <c r="EE50" i="19"/>
  <c r="EF104" i="6"/>
  <c r="EF105" i="6" s="1"/>
  <c r="EF109" i="6"/>
  <c r="CA50" i="19"/>
  <c r="X109" i="17"/>
  <c r="J84" i="1"/>
  <c r="CB104" i="6"/>
  <c r="CB105" i="6" s="1"/>
  <c r="CB109" i="6"/>
  <c r="DZ50" i="19"/>
  <c r="EA104" i="6"/>
  <c r="EA105" i="6" s="1"/>
  <c r="EA109" i="6"/>
  <c r="J82" i="1"/>
  <c r="BO50" i="19"/>
  <c r="V109" i="17"/>
  <c r="BP104" i="6"/>
  <c r="BP105" i="6" s="1"/>
  <c r="BP109" i="6"/>
  <c r="ED50" i="19"/>
  <c r="EE104" i="6"/>
  <c r="EE105" i="6" s="1"/>
  <c r="EE109" i="6"/>
  <c r="CK50" i="19"/>
  <c r="CL104" i="6"/>
  <c r="CL105" i="6" s="1"/>
  <c r="CL109" i="6"/>
  <c r="EJ50" i="19"/>
  <c r="EK104" i="6"/>
  <c r="EK105" i="6" s="1"/>
  <c r="EK109" i="6"/>
  <c r="P50" i="19"/>
  <c r="Q104" i="6"/>
  <c r="Q105" i="6" s="1"/>
  <c r="Q109" i="6"/>
  <c r="F630" i="32"/>
  <c r="BB50" i="19"/>
  <c r="BC104" i="6"/>
  <c r="BC105" i="6" s="1"/>
  <c r="BC109" i="6"/>
  <c r="EN50" i="19"/>
  <c r="EO109" i="6"/>
  <c r="EO104" i="6"/>
  <c r="EO105" i="6" s="1"/>
  <c r="CB50" i="19"/>
  <c r="CC104" i="6"/>
  <c r="CC105" i="6" s="1"/>
  <c r="CC109" i="6"/>
  <c r="J73" i="1"/>
  <c r="N109" i="6"/>
  <c r="N104" i="6"/>
  <c r="N105" i="6" s="1"/>
  <c r="M50" i="19"/>
  <c r="M109" i="17"/>
  <c r="E761" i="32" s="1"/>
  <c r="M109" i="26"/>
  <c r="E200" i="32" s="1"/>
  <c r="E630" i="32"/>
  <c r="AW50" i="19"/>
  <c r="J79" i="1"/>
  <c r="S109" i="17"/>
  <c r="P109" i="26"/>
  <c r="H200" i="32" s="1"/>
  <c r="AX109" i="6"/>
  <c r="AX104" i="6"/>
  <c r="AX105" i="6" s="1"/>
  <c r="CH50" i="19"/>
  <c r="CI109" i="6"/>
  <c r="CI104" i="6"/>
  <c r="CI105" i="6" s="1"/>
  <c r="EQ50" i="19"/>
  <c r="ER109" i="6"/>
  <c r="ER104" i="6"/>
  <c r="DS50" i="19"/>
  <c r="DT104" i="6"/>
  <c r="DT105" i="6" s="1"/>
  <c r="DT109" i="6"/>
  <c r="DY50" i="19"/>
  <c r="DZ109" i="6"/>
  <c r="DZ104" i="6"/>
  <c r="DZ105" i="6" s="1"/>
  <c r="S109" i="26"/>
  <c r="K200" i="32" s="1"/>
  <c r="Y109" i="17"/>
  <c r="CG50" i="19"/>
  <c r="J85" i="1"/>
  <c r="CH104" i="6"/>
  <c r="CH105" i="6" s="1"/>
  <c r="CH109" i="6"/>
  <c r="CX50" i="19"/>
  <c r="CY104" i="6"/>
  <c r="CY105" i="6" s="1"/>
  <c r="CY109" i="6"/>
  <c r="DQ50" i="19"/>
  <c r="V109" i="26"/>
  <c r="N200" i="32" s="1"/>
  <c r="AE109" i="17"/>
  <c r="J91" i="1"/>
  <c r="DR104" i="6"/>
  <c r="DR105" i="6" s="1"/>
  <c r="DR109" i="6"/>
  <c r="DM50" i="19"/>
  <c r="DN104" i="6"/>
  <c r="DN105" i="6" s="1"/>
  <c r="DN109" i="6"/>
  <c r="CP50" i="19"/>
  <c r="CQ109" i="6"/>
  <c r="CQ104" i="6"/>
  <c r="CQ105" i="6" s="1"/>
  <c r="CW50" i="19"/>
  <c r="CX109" i="6"/>
  <c r="CX104" i="6"/>
  <c r="CX105" i="6" s="1"/>
  <c r="BG50" i="19"/>
  <c r="BH109" i="6"/>
  <c r="BH104" i="6"/>
  <c r="BH105" i="6" s="1"/>
  <c r="X109" i="26"/>
  <c r="AI109" i="17"/>
  <c r="EO50" i="19"/>
  <c r="EP104" i="6"/>
  <c r="EP105" i="6" s="1"/>
  <c r="EP109" i="6"/>
  <c r="DX50" i="19"/>
  <c r="DY109" i="6"/>
  <c r="DY104" i="6"/>
  <c r="DY105" i="6" s="1"/>
  <c r="CL50" i="19"/>
  <c r="CM109" i="6"/>
  <c r="CM104" i="6"/>
  <c r="CM105" i="6" s="1"/>
  <c r="L127" i="5"/>
  <c r="L128" i="5"/>
  <c r="S102" i="11"/>
  <c r="F76" i="1"/>
  <c r="P94" i="17"/>
  <c r="H759" i="32" s="1"/>
  <c r="K628" i="32"/>
  <c r="F46" i="1"/>
  <c r="AE18" i="19"/>
  <c r="H628" i="32"/>
  <c r="V18" i="19"/>
  <c r="F73" i="1"/>
  <c r="M94" i="17"/>
  <c r="E759" i="32" s="1"/>
  <c r="E628" i="32"/>
  <c r="M18" i="19"/>
  <c r="F43" i="1"/>
  <c r="M94" i="26"/>
  <c r="E198" i="32" s="1"/>
  <c r="P94" i="26"/>
  <c r="H198" i="32" s="1"/>
  <c r="AW18" i="19"/>
  <c r="F49" i="1"/>
  <c r="S94" i="17"/>
  <c r="F79" i="1"/>
  <c r="AI94" i="17"/>
  <c r="EO18" i="19"/>
  <c r="X94" i="26"/>
  <c r="O94" i="26"/>
  <c r="G198" i="32" s="1"/>
  <c r="AK18" i="19"/>
  <c r="F47" i="1"/>
  <c r="F77" i="1"/>
  <c r="Q94" i="17"/>
  <c r="J567" i="32"/>
  <c r="N39" i="16"/>
  <c r="E567" i="32"/>
  <c r="X39" i="16"/>
  <c r="L567" i="32"/>
  <c r="AD39" i="16"/>
  <c r="F567" i="32"/>
  <c r="J54" i="1"/>
  <c r="X99" i="17"/>
  <c r="CA29" i="19"/>
  <c r="Z99" i="17"/>
  <c r="J56" i="1"/>
  <c r="CM29" i="19"/>
  <c r="G629" i="32"/>
  <c r="N99" i="17"/>
  <c r="F760" i="32" s="1"/>
  <c r="J44" i="1"/>
  <c r="S29" i="19"/>
  <c r="AF99" i="17"/>
  <c r="J62" i="1"/>
  <c r="DW29" i="19"/>
  <c r="T99" i="26"/>
  <c r="L199" i="32" s="1"/>
  <c r="AA99" i="17"/>
  <c r="J57" i="1"/>
  <c r="CS29" i="19"/>
  <c r="L95" i="5"/>
  <c r="J514" i="32"/>
  <c r="J500" i="32"/>
  <c r="P105" i="5"/>
  <c r="F623" i="32"/>
  <c r="W104" i="26"/>
  <c r="W100" i="26" s="1"/>
  <c r="AG104" i="17"/>
  <c r="AG100" i="17" s="1"/>
  <c r="EC105" i="5"/>
  <c r="CO130" i="5"/>
  <c r="CO129" i="5"/>
  <c r="EQ130" i="5"/>
  <c r="EQ129" i="5"/>
  <c r="BS130" i="5"/>
  <c r="BS129" i="5"/>
  <c r="BX129" i="5"/>
  <c r="BX130" i="5"/>
  <c r="AH104" i="17"/>
  <c r="AH100" i="17" s="1"/>
  <c r="EI105" i="5"/>
  <c r="CH129" i="5"/>
  <c r="CH130" i="5"/>
  <c r="AO130" i="5"/>
  <c r="AO129" i="5"/>
  <c r="M104" i="26"/>
  <c r="M104" i="17"/>
  <c r="M105" i="5"/>
  <c r="E623" i="32"/>
  <c r="U130" i="5"/>
  <c r="U129" i="5"/>
  <c r="CR130" i="5"/>
  <c r="CR129" i="5"/>
  <c r="BB130" i="5"/>
  <c r="BB129" i="5"/>
  <c r="V104" i="17"/>
  <c r="V100" i="17" s="1"/>
  <c r="BO105" i="5"/>
  <c r="AC129" i="5"/>
  <c r="AC130" i="5"/>
  <c r="DY129" i="5"/>
  <c r="DY130" i="5"/>
  <c r="BR130" i="5"/>
  <c r="BR129" i="5"/>
  <c r="DI130" i="5"/>
  <c r="DI129" i="5"/>
  <c r="Q104" i="26"/>
  <c r="U104" i="17"/>
  <c r="U100" i="17" s="1"/>
  <c r="BI105" i="5"/>
  <c r="DG129" i="5"/>
  <c r="DG130" i="5"/>
  <c r="EL129" i="5"/>
  <c r="EL130" i="5"/>
  <c r="CL130" i="5"/>
  <c r="CL129" i="5"/>
  <c r="W104" i="17"/>
  <c r="W100" i="17" s="1"/>
  <c r="R104" i="26"/>
  <c r="BU105" i="5"/>
  <c r="DB50" i="19"/>
  <c r="DC109" i="6"/>
  <c r="DC104" i="6"/>
  <c r="DC105" i="6" s="1"/>
  <c r="CN50" i="19"/>
  <c r="CO109" i="6"/>
  <c r="CO104" i="6"/>
  <c r="CO105" i="6" s="1"/>
  <c r="CC50" i="19"/>
  <c r="CD109" i="6"/>
  <c r="CD104" i="6"/>
  <c r="CD105" i="6" s="1"/>
  <c r="CJ50" i="19"/>
  <c r="CK104" i="6"/>
  <c r="CK105" i="6" s="1"/>
  <c r="CK109" i="6"/>
  <c r="EF50" i="19"/>
  <c r="EG104" i="6"/>
  <c r="EG105" i="6" s="1"/>
  <c r="EG109" i="6"/>
  <c r="CY50" i="19"/>
  <c r="AB109" i="17"/>
  <c r="J88" i="1"/>
  <c r="CZ109" i="6"/>
  <c r="CZ104" i="6"/>
  <c r="CZ105" i="6" s="1"/>
  <c r="BE50" i="19"/>
  <c r="BF109" i="6"/>
  <c r="BF104" i="6"/>
  <c r="BF105" i="6" s="1"/>
  <c r="DJ50" i="19"/>
  <c r="DK109" i="6"/>
  <c r="DK104" i="6"/>
  <c r="DK105" i="6" s="1"/>
  <c r="EK50" i="19"/>
  <c r="EL109" i="6"/>
  <c r="EL104" i="6"/>
  <c r="EL105" i="6" s="1"/>
  <c r="AM50" i="19"/>
  <c r="AN109" i="6"/>
  <c r="AN104" i="6"/>
  <c r="AN105" i="6" s="1"/>
  <c r="Z50" i="19"/>
  <c r="AA109" i="6"/>
  <c r="AA104" i="6"/>
  <c r="AA105" i="6" s="1"/>
  <c r="BU50" i="19"/>
  <c r="R109" i="26"/>
  <c r="J200" i="32" s="1"/>
  <c r="W109" i="17"/>
  <c r="J83" i="1"/>
  <c r="BV104" i="6"/>
  <c r="BV105" i="6" s="1"/>
  <c r="BV109" i="6"/>
  <c r="AJ50" i="19"/>
  <c r="AK109" i="6"/>
  <c r="AK104" i="6"/>
  <c r="AK105" i="6" s="1"/>
  <c r="AU50" i="19"/>
  <c r="AV109" i="6"/>
  <c r="AV104" i="6"/>
  <c r="AV105" i="6" s="1"/>
  <c r="AO50" i="19"/>
  <c r="AP104" i="6"/>
  <c r="AP105" i="6" s="1"/>
  <c r="AP109" i="6"/>
  <c r="O50" i="19"/>
  <c r="P109" i="6"/>
  <c r="P104" i="6"/>
  <c r="P105" i="6" s="1"/>
  <c r="BV50" i="19"/>
  <c r="BW104" i="6"/>
  <c r="BW105" i="6" s="1"/>
  <c r="BW109" i="6"/>
  <c r="CU50" i="19"/>
  <c r="CV109" i="6"/>
  <c r="CV104" i="6"/>
  <c r="CV105" i="6" s="1"/>
  <c r="CE50" i="19"/>
  <c r="CF104" i="6"/>
  <c r="CF105" i="6" s="1"/>
  <c r="CF109" i="6"/>
  <c r="CT50" i="19"/>
  <c r="CU104" i="6"/>
  <c r="CU105" i="6" s="1"/>
  <c r="CU109" i="6"/>
  <c r="AA50" i="19"/>
  <c r="AB104" i="6"/>
  <c r="AB105" i="6" s="1"/>
  <c r="AB109" i="6"/>
  <c r="AD50" i="19"/>
  <c r="AE109" i="6"/>
  <c r="AE104" i="6"/>
  <c r="AE105" i="6" s="1"/>
  <c r="CO50" i="19"/>
  <c r="CP109" i="6"/>
  <c r="CP104" i="6"/>
  <c r="CP105" i="6" s="1"/>
  <c r="BM50" i="19"/>
  <c r="BN109" i="6"/>
  <c r="BN104" i="6"/>
  <c r="BN105" i="6" s="1"/>
  <c r="BZ50" i="19"/>
  <c r="CA104" i="6"/>
  <c r="CA105" i="6" s="1"/>
  <c r="CA109" i="6"/>
  <c r="DU50" i="19"/>
  <c r="DV109" i="6"/>
  <c r="DV104" i="6"/>
  <c r="DV105" i="6" s="1"/>
  <c r="Q50" i="19"/>
  <c r="R104" i="6"/>
  <c r="R105" i="6" s="1"/>
  <c r="R109" i="6"/>
  <c r="AB50" i="19"/>
  <c r="AC104" i="6"/>
  <c r="AC105" i="6" s="1"/>
  <c r="AC109" i="6"/>
  <c r="J630" i="32"/>
  <c r="DF50" i="19"/>
  <c r="DG104" i="6"/>
  <c r="DG105" i="6" s="1"/>
  <c r="DG109" i="6"/>
  <c r="BQ50" i="19"/>
  <c r="BR104" i="6"/>
  <c r="BR105" i="6" s="1"/>
  <c r="BR109" i="6"/>
  <c r="AN50" i="19"/>
  <c r="AO104" i="6"/>
  <c r="AO105" i="6" s="1"/>
  <c r="AO109" i="6"/>
  <c r="DI50" i="19"/>
  <c r="DJ104" i="6"/>
  <c r="DJ105" i="6" s="1"/>
  <c r="DJ109" i="6"/>
  <c r="CD50" i="19"/>
  <c r="CE109" i="6"/>
  <c r="CE104" i="6"/>
  <c r="CE105" i="6" s="1"/>
  <c r="BF50" i="19"/>
  <c r="BG104" i="6"/>
  <c r="BG105" i="6" s="1"/>
  <c r="BG109" i="6"/>
  <c r="K26" i="21"/>
  <c r="S40" i="5"/>
  <c r="AH18" i="19"/>
  <c r="L628" i="32"/>
  <c r="I628" i="32"/>
  <c r="F75" i="1"/>
  <c r="N94" i="26"/>
  <c r="F198" i="32" s="1"/>
  <c r="Y18" i="19"/>
  <c r="F45" i="1"/>
  <c r="O94" i="17"/>
  <c r="G759" i="32" s="1"/>
  <c r="F58" i="1"/>
  <c r="CY18" i="19"/>
  <c r="AB94" i="17"/>
  <c r="F88" i="1"/>
  <c r="U94" i="17"/>
  <c r="BI18" i="19"/>
  <c r="F81" i="1"/>
  <c r="Q94" i="26"/>
  <c r="I198" i="32" s="1"/>
  <c r="F51" i="1"/>
  <c r="F55" i="1"/>
  <c r="F85" i="1"/>
  <c r="S94" i="26"/>
  <c r="K198" i="32" s="1"/>
  <c r="Y94" i="17"/>
  <c r="CG18" i="19"/>
  <c r="BO18" i="19"/>
  <c r="F82" i="1"/>
  <c r="V94" i="17"/>
  <c r="F52" i="1"/>
  <c r="F86" i="1"/>
  <c r="F56" i="1"/>
  <c r="Z94" i="17"/>
  <c r="CM18" i="19"/>
  <c r="K567" i="32"/>
  <c r="Q39" i="16"/>
  <c r="H698" i="32" s="1"/>
  <c r="E807" i="32" s="1"/>
  <c r="P39" i="16"/>
  <c r="I567" i="32"/>
  <c r="AG39" i="16"/>
  <c r="X698" i="32" s="1"/>
  <c r="E823" i="32" s="1"/>
  <c r="T39" i="16"/>
  <c r="O39" i="16"/>
  <c r="F698" i="32" s="1"/>
  <c r="E805" i="32" s="1"/>
  <c r="G567" i="32"/>
  <c r="AB39" i="16"/>
  <c r="S39" i="16"/>
  <c r="J698" i="32" s="1"/>
  <c r="E809" i="32" s="1"/>
  <c r="I629" i="32"/>
  <c r="J45" i="1"/>
  <c r="O99" i="17"/>
  <c r="G760" i="32" s="1"/>
  <c r="N99" i="26"/>
  <c r="F199" i="32" s="1"/>
  <c r="Y29" i="19"/>
  <c r="AG99" i="17"/>
  <c r="W99" i="26"/>
  <c r="EC29" i="19"/>
  <c r="K629" i="32"/>
  <c r="P99" i="17"/>
  <c r="H760" i="32" s="1"/>
  <c r="J46" i="1"/>
  <c r="AE29" i="19"/>
  <c r="J629" i="32"/>
  <c r="AB29" i="19"/>
  <c r="Q99" i="26"/>
  <c r="I199" i="32" s="1"/>
  <c r="J51" i="1"/>
  <c r="U99" i="17"/>
  <c r="BI29" i="19"/>
  <c r="D629" i="32"/>
  <c r="L99" i="26"/>
  <c r="L95" i="26" s="1"/>
  <c r="J104" i="5"/>
  <c r="L99" i="17"/>
  <c r="L95" i="17" s="1"/>
  <c r="J42" i="1"/>
  <c r="L29" i="19"/>
  <c r="T113" i="19" s="1"/>
  <c r="J48" i="1"/>
  <c r="R99" i="17"/>
  <c r="AQ29" i="19"/>
  <c r="D26" i="21"/>
  <c r="DB130" i="5"/>
  <c r="DB129" i="5"/>
  <c r="AB104" i="17"/>
  <c r="AB100" i="17" s="1"/>
  <c r="CY105" i="5"/>
  <c r="DJ129" i="5"/>
  <c r="DJ130" i="5"/>
  <c r="BM130" i="5"/>
  <c r="BM129" i="5"/>
  <c r="J513" i="32"/>
  <c r="J499" i="32"/>
  <c r="T130" i="5"/>
  <c r="T129" i="5"/>
  <c r="AT129" i="5"/>
  <c r="AT130" i="5"/>
  <c r="AF104" i="17"/>
  <c r="AF100" i="17" s="1"/>
  <c r="DW105" i="5"/>
  <c r="O104" i="17"/>
  <c r="N104" i="26"/>
  <c r="Y105" i="5"/>
  <c r="I623" i="32"/>
  <c r="BN130" i="5"/>
  <c r="BN129" i="5"/>
  <c r="X130" i="5"/>
  <c r="X129" i="5"/>
  <c r="Q129" i="5"/>
  <c r="Q130" i="5"/>
  <c r="Z104" i="17"/>
  <c r="Z100" i="17" s="1"/>
  <c r="CM105" i="5"/>
  <c r="BP130" i="5"/>
  <c r="BP129" i="5"/>
  <c r="BH130" i="5"/>
  <c r="BH129" i="5"/>
  <c r="AL130" i="5"/>
  <c r="AL129" i="5"/>
  <c r="CT130" i="5"/>
  <c r="CT129" i="5"/>
  <c r="DT129" i="5"/>
  <c r="DT130" i="5"/>
  <c r="AA129" i="5"/>
  <c r="AA130" i="5"/>
  <c r="BL129" i="5"/>
  <c r="BL130" i="5"/>
  <c r="DX130" i="5"/>
  <c r="DX129" i="5"/>
  <c r="CJ129" i="5"/>
  <c r="CJ130" i="5"/>
  <c r="DC129" i="5"/>
  <c r="DC130" i="5"/>
  <c r="CB130" i="5"/>
  <c r="CB129" i="5"/>
  <c r="R129" i="5"/>
  <c r="R130" i="5"/>
  <c r="BY129" i="5"/>
  <c r="BY130" i="5"/>
  <c r="O104" i="26"/>
  <c r="Q104" i="17"/>
  <c r="Q100" i="17" s="1"/>
  <c r="AK105" i="5"/>
  <c r="BG129" i="5"/>
  <c r="BG130" i="5"/>
  <c r="AZ130" i="5"/>
  <c r="AZ129" i="5"/>
  <c r="EA130" i="5"/>
  <c r="EA129" i="5"/>
  <c r="EF129" i="5"/>
  <c r="EF130" i="5"/>
  <c r="BV130" i="5"/>
  <c r="BV129" i="5"/>
  <c r="CC129" i="5"/>
  <c r="CC130" i="5"/>
  <c r="AP129" i="5"/>
  <c r="AP130" i="5"/>
  <c r="EM129" i="5"/>
  <c r="EM130" i="5"/>
  <c r="CV130" i="5"/>
  <c r="CV129" i="5"/>
  <c r="AD130" i="5"/>
  <c r="AD129" i="5"/>
  <c r="ED129" i="5"/>
  <c r="ED130" i="5"/>
  <c r="V104" i="26"/>
  <c r="AE104" i="17"/>
  <c r="AE100" i="17" s="1"/>
  <c r="DQ105" i="5"/>
  <c r="D127" i="21"/>
  <c r="AI50" i="19"/>
  <c r="AJ109" i="6"/>
  <c r="AJ104" i="6"/>
  <c r="AJ105" i="6" s="1"/>
  <c r="W50" i="19"/>
  <c r="X104" i="6"/>
  <c r="X105" i="6" s="1"/>
  <c r="X109" i="6"/>
  <c r="AR50" i="19"/>
  <c r="AS109" i="6"/>
  <c r="AS104" i="6"/>
  <c r="AS105" i="6" s="1"/>
  <c r="CS50" i="19"/>
  <c r="AA109" i="17"/>
  <c r="J87" i="1"/>
  <c r="T109" i="26"/>
  <c r="L200" i="32" s="1"/>
  <c r="CT104" i="6"/>
  <c r="CT105" i="6" s="1"/>
  <c r="CT109" i="6"/>
  <c r="EB50" i="19"/>
  <c r="EC104" i="6"/>
  <c r="EC105" i="6" s="1"/>
  <c r="EC109" i="6"/>
  <c r="BS50" i="19"/>
  <c r="BT109" i="6"/>
  <c r="BT104" i="6"/>
  <c r="BT105" i="6" s="1"/>
  <c r="U109" i="26"/>
  <c r="M200" i="32" s="1"/>
  <c r="J89" i="1"/>
  <c r="AC109" i="17"/>
  <c r="DE50" i="19"/>
  <c r="DF109" i="6"/>
  <c r="DF104" i="6"/>
  <c r="DF105" i="6" s="1"/>
  <c r="EA50" i="19"/>
  <c r="EB109" i="6"/>
  <c r="EB104" i="6"/>
  <c r="EB105" i="6" s="1"/>
  <c r="AP50" i="19"/>
  <c r="AQ104" i="6"/>
  <c r="AQ105" i="6" s="1"/>
  <c r="AQ109" i="6"/>
  <c r="CR50" i="19"/>
  <c r="CS109" i="6"/>
  <c r="CS104" i="6"/>
  <c r="CS105" i="6" s="1"/>
  <c r="BY50" i="19"/>
  <c r="BZ109" i="6"/>
  <c r="BZ104" i="6"/>
  <c r="BZ105" i="6" s="1"/>
  <c r="EI50" i="19"/>
  <c r="AH109" i="17"/>
  <c r="EJ104" i="6"/>
  <c r="EJ105" i="6" s="1"/>
  <c r="EJ109" i="6"/>
  <c r="EL50" i="19"/>
  <c r="EM109" i="6"/>
  <c r="EM104" i="6"/>
  <c r="EM105" i="6" s="1"/>
  <c r="CV50" i="19"/>
  <c r="CW109" i="6"/>
  <c r="CW104" i="6"/>
  <c r="CW105" i="6" s="1"/>
  <c r="DG50" i="19"/>
  <c r="DH104" i="6"/>
  <c r="DH105" i="6" s="1"/>
  <c r="DH109" i="6"/>
  <c r="U50" i="19"/>
  <c r="V109" i="6"/>
  <c r="V104" i="6"/>
  <c r="V105" i="6" s="1"/>
  <c r="AL50" i="19"/>
  <c r="AM109" i="6"/>
  <c r="AM104" i="6"/>
  <c r="AM105" i="6" s="1"/>
  <c r="D630" i="32"/>
  <c r="L109" i="26"/>
  <c r="M104" i="6"/>
  <c r="M105" i="6" s="1"/>
  <c r="L109" i="17"/>
  <c r="J72" i="1"/>
  <c r="M109" i="6"/>
  <c r="L50" i="19"/>
  <c r="X113" i="19" s="1"/>
  <c r="J114" i="5"/>
  <c r="AH50" i="19"/>
  <c r="AI104" i="6"/>
  <c r="AI105" i="6" s="1"/>
  <c r="AI109" i="6"/>
  <c r="L630" i="32"/>
  <c r="BP50" i="19"/>
  <c r="BQ109" i="6"/>
  <c r="BQ104" i="6"/>
  <c r="BQ105" i="6" s="1"/>
  <c r="BT50" i="19"/>
  <c r="BU104" i="6"/>
  <c r="BU105" i="6" s="1"/>
  <c r="BU109" i="6"/>
  <c r="AG109" i="17"/>
  <c r="W109" i="26"/>
  <c r="EC50" i="19"/>
  <c r="ED104" i="6"/>
  <c r="ED105" i="6" s="1"/>
  <c r="ED109" i="6"/>
  <c r="AS50" i="19"/>
  <c r="AT104" i="6"/>
  <c r="AT105" i="6" s="1"/>
  <c r="AT109" i="6"/>
  <c r="AZ50" i="19"/>
  <c r="BA109" i="6"/>
  <c r="BA104" i="6"/>
  <c r="BA105" i="6" s="1"/>
  <c r="DH50" i="19"/>
  <c r="DI109" i="6"/>
  <c r="DI104" i="6"/>
  <c r="DI105" i="6" s="1"/>
  <c r="DO50" i="19"/>
  <c r="DP104" i="6"/>
  <c r="DP105" i="6" s="1"/>
  <c r="DP109" i="6"/>
  <c r="AG50" i="19"/>
  <c r="AH109" i="6"/>
  <c r="AH104" i="6"/>
  <c r="AH105" i="6" s="1"/>
  <c r="BW50" i="19"/>
  <c r="BX109" i="6"/>
  <c r="BX104" i="6"/>
  <c r="BX105" i="6" s="1"/>
  <c r="EP50" i="19"/>
  <c r="EQ109" i="6"/>
  <c r="EQ104" i="6"/>
  <c r="EQ105" i="6" s="1"/>
  <c r="AQ50" i="19"/>
  <c r="R109" i="17"/>
  <c r="J78" i="1"/>
  <c r="AR109" i="6"/>
  <c r="AR104" i="6"/>
  <c r="AR105" i="6" s="1"/>
  <c r="V50" i="19"/>
  <c r="W109" i="6"/>
  <c r="W104" i="6"/>
  <c r="W105" i="6" s="1"/>
  <c r="H630" i="32"/>
  <c r="BA50" i="19"/>
  <c r="BB104" i="6"/>
  <c r="BB105" i="6" s="1"/>
  <c r="BB109" i="6"/>
  <c r="DD50" i="19"/>
  <c r="DE104" i="6"/>
  <c r="DE105" i="6" s="1"/>
  <c r="DE109" i="6"/>
  <c r="EM50" i="19"/>
  <c r="EN104" i="6"/>
  <c r="EN105" i="6" s="1"/>
  <c r="EN109" i="6"/>
  <c r="D757" i="32"/>
  <c r="R94" i="17"/>
  <c r="F48" i="1"/>
  <c r="AQ18" i="19"/>
  <c r="F78" i="1"/>
  <c r="EI18" i="19"/>
  <c r="AH94" i="17"/>
  <c r="F60" i="1"/>
  <c r="AD94" i="17"/>
  <c r="F90" i="1"/>
  <c r="DK18" i="19"/>
  <c r="V94" i="26"/>
  <c r="N198" i="32" s="1"/>
  <c r="F91" i="1"/>
  <c r="F61" i="1"/>
  <c r="DQ18" i="19"/>
  <c r="AE94" i="17"/>
  <c r="F628" i="32"/>
  <c r="P18" i="19"/>
  <c r="AB18" i="19"/>
  <c r="J628" i="32"/>
  <c r="R155" i="11"/>
  <c r="D567" i="32"/>
  <c r="M39" i="16"/>
  <c r="M43" i="6"/>
  <c r="M42" i="6" s="1"/>
  <c r="M55" i="6" s="1"/>
  <c r="M57" i="6" s="1"/>
  <c r="K45" i="6"/>
  <c r="AH39" i="16"/>
  <c r="AI39" i="16"/>
  <c r="AC39" i="16"/>
  <c r="T698" i="32" s="1"/>
  <c r="E819" i="32" s="1"/>
  <c r="W39" i="16"/>
  <c r="N698" i="32" s="1"/>
  <c r="E813" i="32" s="1"/>
  <c r="L629" i="32"/>
  <c r="AH29" i="19"/>
  <c r="Q99" i="17"/>
  <c r="O99" i="26"/>
  <c r="G199" i="32" s="1"/>
  <c r="J47" i="1"/>
  <c r="AK29" i="19"/>
  <c r="J50" i="1"/>
  <c r="T99" i="17"/>
  <c r="BC29" i="19"/>
  <c r="J43" i="1"/>
  <c r="M99" i="17"/>
  <c r="E760" i="32" s="1"/>
  <c r="E629" i="32"/>
  <c r="M99" i="26"/>
  <c r="E199" i="32" s="1"/>
  <c r="M29" i="19"/>
  <c r="J49" i="1"/>
  <c r="P99" i="26"/>
  <c r="H199" i="32" s="1"/>
  <c r="S99" i="17"/>
  <c r="AW29" i="19"/>
  <c r="J52" i="1"/>
  <c r="V99" i="17"/>
  <c r="BO29" i="19"/>
  <c r="R99" i="26"/>
  <c r="J199" i="32" s="1"/>
  <c r="J53" i="1"/>
  <c r="W99" i="17"/>
  <c r="BU29" i="19"/>
  <c r="D195" i="32"/>
  <c r="BE129" i="5"/>
  <c r="BE130" i="5"/>
  <c r="AD104" i="17"/>
  <c r="AD100" i="17" s="1"/>
  <c r="DK105" i="5"/>
  <c r="P104" i="17"/>
  <c r="AE105" i="5"/>
  <c r="K623" i="32"/>
  <c r="AR130" i="5"/>
  <c r="AR129" i="5"/>
  <c r="BQ129" i="5"/>
  <c r="BQ130" i="5"/>
  <c r="DL130" i="5"/>
  <c r="DL129" i="5"/>
  <c r="X104" i="17"/>
  <c r="X100" i="17" s="1"/>
  <c r="CA105" i="5"/>
  <c r="AG129" i="5"/>
  <c r="AG130" i="5"/>
  <c r="BD130" i="5"/>
  <c r="BD129" i="5"/>
  <c r="AF130" i="5"/>
  <c r="AF129" i="5"/>
  <c r="CF130" i="5"/>
  <c r="CF129" i="5"/>
  <c r="CZ129" i="5"/>
  <c r="CZ130" i="5"/>
  <c r="CE129" i="5"/>
  <c r="CE130" i="5"/>
  <c r="BW129" i="5"/>
  <c r="BW130" i="5"/>
  <c r="AS129" i="5"/>
  <c r="AS130" i="5"/>
  <c r="AA104" i="17"/>
  <c r="AA100" i="17" s="1"/>
  <c r="T104" i="26"/>
  <c r="CS105" i="5"/>
  <c r="EJ129" i="5"/>
  <c r="EJ130" i="5"/>
  <c r="Y104" i="17"/>
  <c r="Y100" i="17" s="1"/>
  <c r="S104" i="26"/>
  <c r="CG105" i="5"/>
  <c r="EB129" i="5"/>
  <c r="EB130" i="5"/>
  <c r="DZ130" i="5"/>
  <c r="DZ129" i="5"/>
  <c r="AJ129" i="5"/>
  <c r="AJ130" i="5"/>
  <c r="DO130" i="5"/>
  <c r="DO129" i="5"/>
  <c r="DH130" i="5"/>
  <c r="DH129" i="5"/>
  <c r="CP129" i="5"/>
  <c r="CP130" i="5"/>
  <c r="AH105" i="5"/>
  <c r="L623" i="32"/>
  <c r="DP130" i="5"/>
  <c r="DP129" i="5"/>
  <c r="BZ129" i="5"/>
  <c r="BZ130" i="5"/>
  <c r="EE130" i="5"/>
  <c r="EE129" i="5"/>
  <c r="CU130" i="5"/>
  <c r="CU129" i="5"/>
  <c r="AB105" i="5"/>
  <c r="J623" i="32"/>
  <c r="DR129" i="5"/>
  <c r="DR130" i="5"/>
  <c r="L104" i="26"/>
  <c r="J109" i="5"/>
  <c r="J105" i="5" s="1"/>
  <c r="L104" i="17"/>
  <c r="D623" i="32"/>
  <c r="L105" i="5"/>
  <c r="EG129" i="5"/>
  <c r="EG130" i="5"/>
  <c r="CN129" i="5"/>
  <c r="CN130" i="5"/>
  <c r="CW130" i="5"/>
  <c r="CW129" i="5"/>
  <c r="BA130" i="5"/>
  <c r="BA129" i="5"/>
  <c r="DT50" i="19"/>
  <c r="DU104" i="6"/>
  <c r="DU105" i="6" s="1"/>
  <c r="DU109" i="6"/>
  <c r="CM50" i="19"/>
  <c r="Z109" i="17"/>
  <c r="J86" i="1"/>
  <c r="CN104" i="6"/>
  <c r="CN105" i="6" s="1"/>
  <c r="CN109" i="6"/>
  <c r="BR50" i="19"/>
  <c r="BS104" i="6"/>
  <c r="BS105" i="6" s="1"/>
  <c r="BS109" i="6"/>
  <c r="BL50" i="19"/>
  <c r="BM104" i="6"/>
  <c r="BM105" i="6" s="1"/>
  <c r="BM109" i="6"/>
  <c r="U109" i="17"/>
  <c r="Q109" i="26"/>
  <c r="I200" i="32" s="1"/>
  <c r="BI50" i="19"/>
  <c r="J81" i="1"/>
  <c r="BJ104" i="6"/>
  <c r="BJ105" i="6" s="1"/>
  <c r="BJ109" i="6"/>
  <c r="AY50" i="19"/>
  <c r="AZ104" i="6"/>
  <c r="AZ105" i="6" s="1"/>
  <c r="AZ109" i="6"/>
  <c r="S50" i="19"/>
  <c r="J74" i="1"/>
  <c r="N109" i="17"/>
  <c r="F761" i="32" s="1"/>
  <c r="T104" i="6"/>
  <c r="T105" i="6" s="1"/>
  <c r="T109" i="6"/>
  <c r="G630" i="32"/>
  <c r="X50" i="19"/>
  <c r="Y104" i="6"/>
  <c r="Y105" i="6" s="1"/>
  <c r="Y109" i="6"/>
  <c r="DP50" i="19"/>
  <c r="DQ109" i="6"/>
  <c r="DQ104" i="6"/>
  <c r="DQ105" i="6" s="1"/>
  <c r="AE50" i="19"/>
  <c r="J76" i="1"/>
  <c r="P109" i="17"/>
  <c r="H761" i="32" s="1"/>
  <c r="AF104" i="6"/>
  <c r="AF105" i="6" s="1"/>
  <c r="AF109" i="6"/>
  <c r="K630" i="32"/>
  <c r="T50" i="19"/>
  <c r="U104" i="6"/>
  <c r="U105" i="6" s="1"/>
  <c r="U109" i="6"/>
  <c r="DW50" i="19"/>
  <c r="J92" i="1"/>
  <c r="AF109" i="17"/>
  <c r="DX109" i="6"/>
  <c r="DX104" i="6"/>
  <c r="DX105" i="6" s="1"/>
  <c r="AX50" i="19"/>
  <c r="AY109" i="6"/>
  <c r="AY104" i="6"/>
  <c r="AY105" i="6" s="1"/>
  <c r="T109" i="17"/>
  <c r="J80" i="1"/>
  <c r="BC50" i="19"/>
  <c r="BD104" i="6"/>
  <c r="BD105" i="6" s="1"/>
  <c r="BD109" i="6"/>
  <c r="BX50" i="19"/>
  <c r="BY109" i="6"/>
  <c r="BY104" i="6"/>
  <c r="BY105" i="6" s="1"/>
  <c r="AF50" i="19"/>
  <c r="AG104" i="6"/>
  <c r="AG105" i="6" s="1"/>
  <c r="AG109" i="6"/>
  <c r="DL50" i="19"/>
  <c r="DM104" i="6"/>
  <c r="DM105" i="6" s="1"/>
  <c r="DM109" i="6"/>
  <c r="O109" i="17"/>
  <c r="G761" i="32" s="1"/>
  <c r="J75" i="1"/>
  <c r="Y50" i="19"/>
  <c r="N109" i="26"/>
  <c r="F200" i="32" s="1"/>
  <c r="Z104" i="6"/>
  <c r="Z105" i="6" s="1"/>
  <c r="Z109" i="6"/>
  <c r="I630" i="32"/>
  <c r="R50" i="19"/>
  <c r="S109" i="6"/>
  <c r="S104" i="6"/>
  <c r="S105" i="6" s="1"/>
  <c r="CF50" i="19"/>
  <c r="CG109" i="6"/>
  <c r="CG104" i="6"/>
  <c r="CG105" i="6" s="1"/>
  <c r="DC50" i="19"/>
  <c r="DD109" i="6"/>
  <c r="DD104" i="6"/>
  <c r="DD105" i="6" s="1"/>
  <c r="BK50" i="19"/>
  <c r="BL109" i="6"/>
  <c r="BL104" i="6"/>
  <c r="BL105" i="6" s="1"/>
  <c r="AT50" i="19"/>
  <c r="AU104" i="6"/>
  <c r="AU105" i="6" s="1"/>
  <c r="AU109" i="6"/>
  <c r="AV50" i="19"/>
  <c r="AW104" i="6"/>
  <c r="AW105" i="6" s="1"/>
  <c r="AW109" i="6"/>
  <c r="DK50" i="19"/>
  <c r="J90" i="1"/>
  <c r="AD109" i="17"/>
  <c r="DL109" i="6"/>
  <c r="DL104" i="6"/>
  <c r="DL105" i="6" s="1"/>
  <c r="CZ50" i="19"/>
  <c r="DA109" i="6"/>
  <c r="DA104" i="6"/>
  <c r="DA105" i="6" s="1"/>
  <c r="BN50" i="19"/>
  <c r="BO109" i="6"/>
  <c r="BO104" i="6"/>
  <c r="BO105" i="6" s="1"/>
  <c r="N50" i="19"/>
  <c r="O104" i="6"/>
  <c r="O105" i="6" s="1"/>
  <c r="O109" i="6"/>
  <c r="DN50" i="19"/>
  <c r="DO109" i="6"/>
  <c r="DO104" i="6"/>
  <c r="DO105" i="6" s="1"/>
  <c r="BH50" i="19"/>
  <c r="BI109" i="6"/>
  <c r="BI104" i="6"/>
  <c r="BI105" i="6" s="1"/>
  <c r="AC50" i="19"/>
  <c r="AD104" i="6"/>
  <c r="AD105" i="6" s="1"/>
  <c r="AD109" i="6"/>
  <c r="BD50" i="19"/>
  <c r="BE109" i="6"/>
  <c r="BE104" i="6"/>
  <c r="BE105" i="6" s="1"/>
  <c r="DV50" i="19"/>
  <c r="DW109" i="6"/>
  <c r="DW104" i="6"/>
  <c r="DW105" i="6" s="1"/>
  <c r="DR50" i="19"/>
  <c r="DS104" i="6"/>
  <c r="DS105" i="6" s="1"/>
  <c r="DS109" i="6"/>
  <c r="D196" i="32"/>
  <c r="S147" i="11"/>
  <c r="Q26" i="15"/>
  <c r="CA18" i="19"/>
  <c r="F54" i="1"/>
  <c r="X94" i="17"/>
  <c r="F84" i="1"/>
  <c r="U94" i="26"/>
  <c r="M198" i="32" s="1"/>
  <c r="DE18" i="19"/>
  <c r="AC94" i="17"/>
  <c r="F59" i="1"/>
  <c r="F89" i="1"/>
  <c r="AF94" i="17"/>
  <c r="DW18" i="19"/>
  <c r="F62" i="1"/>
  <c r="F92" i="1"/>
  <c r="AA94" i="17"/>
  <c r="CS18" i="19"/>
  <c r="F57" i="1"/>
  <c r="T94" i="26"/>
  <c r="L198" i="32" s="1"/>
  <c r="F87" i="1"/>
  <c r="AG94" i="17"/>
  <c r="W94" i="26"/>
  <c r="EC18" i="19"/>
  <c r="F44" i="1"/>
  <c r="N94" i="17"/>
  <c r="F759" i="32" s="1"/>
  <c r="G628" i="32"/>
  <c r="S18" i="19"/>
  <c r="F74" i="1"/>
  <c r="W94" i="17"/>
  <c r="R94" i="26"/>
  <c r="J198" i="32" s="1"/>
  <c r="F83" i="1"/>
  <c r="BU18" i="19"/>
  <c r="F53" i="1"/>
  <c r="F50" i="1"/>
  <c r="BC18" i="19"/>
  <c r="T94" i="17"/>
  <c r="F80" i="1"/>
  <c r="D628" i="32"/>
  <c r="L94" i="17"/>
  <c r="L90" i="17" s="1"/>
  <c r="L94" i="26"/>
  <c r="L18" i="19"/>
  <c r="P113" i="19" s="1"/>
  <c r="F72" i="1"/>
  <c r="F42" i="1"/>
  <c r="J99" i="5"/>
  <c r="F611" i="32"/>
  <c r="AF39" i="16"/>
  <c r="H567" i="32"/>
  <c r="U39" i="16"/>
  <c r="L698" i="32" s="1"/>
  <c r="E811" i="32" s="1"/>
  <c r="R39" i="16"/>
  <c r="Y39" i="16"/>
  <c r="P698" i="32" s="1"/>
  <c r="E815" i="32" s="1"/>
  <c r="V39" i="16"/>
  <c r="AB117" i="11"/>
  <c r="AC114" i="11" s="1"/>
  <c r="AC116" i="11" s="1"/>
  <c r="AB44" i="5"/>
  <c r="J58" i="1"/>
  <c r="AB99" i="17"/>
  <c r="CY29" i="19"/>
  <c r="F629" i="32"/>
  <c r="P29" i="19"/>
  <c r="AC99" i="17"/>
  <c r="J59" i="1"/>
  <c r="U99" i="26"/>
  <c r="M199" i="32" s="1"/>
  <c r="DE29" i="19"/>
  <c r="J60" i="1"/>
  <c r="AD99" i="17"/>
  <c r="DK29" i="19"/>
  <c r="Y99" i="17"/>
  <c r="J55" i="1"/>
  <c r="S99" i="26"/>
  <c r="K199" i="32" s="1"/>
  <c r="CG29" i="19"/>
  <c r="AI99" i="17"/>
  <c r="X99" i="26"/>
  <c r="EO29" i="19"/>
  <c r="H629" i="32"/>
  <c r="V29" i="19"/>
  <c r="V99" i="26"/>
  <c r="N199" i="32" s="1"/>
  <c r="AE99" i="17"/>
  <c r="J61" i="1"/>
  <c r="DQ29" i="19"/>
  <c r="AH99" i="17"/>
  <c r="EI29" i="19"/>
  <c r="D756" i="32"/>
  <c r="D78" i="21"/>
  <c r="E93" i="1"/>
  <c r="I603" i="32"/>
  <c r="T120" i="19" l="1"/>
  <c r="T116" i="19"/>
  <c r="T119" i="19"/>
  <c r="P122" i="19"/>
  <c r="T123" i="19"/>
  <c r="T117" i="19"/>
  <c r="P121" i="19"/>
  <c r="P119" i="19"/>
  <c r="P118" i="19"/>
  <c r="T122" i="19"/>
  <c r="X120" i="19"/>
  <c r="X114" i="19"/>
  <c r="P123" i="19"/>
  <c r="T118" i="19"/>
  <c r="P120" i="19"/>
  <c r="X119" i="19"/>
  <c r="T115" i="19"/>
  <c r="X122" i="19"/>
  <c r="X123" i="19"/>
  <c r="P115" i="19"/>
  <c r="X115" i="19"/>
  <c r="X121" i="19"/>
  <c r="P117" i="19"/>
  <c r="T121" i="19"/>
  <c r="X117" i="19"/>
  <c r="X116" i="19"/>
  <c r="T114" i="19"/>
  <c r="X118" i="19"/>
  <c r="P116" i="19"/>
  <c r="P114" i="19"/>
  <c r="P85" i="19"/>
  <c r="E135" i="21" s="1"/>
  <c r="P83" i="19"/>
  <c r="E133" i="21" s="1"/>
  <c r="P87" i="19"/>
  <c r="E137" i="21" s="1"/>
  <c r="P96" i="19"/>
  <c r="E146" i="21" s="1"/>
  <c r="T86" i="19"/>
  <c r="P90" i="19"/>
  <c r="E140" i="21" s="1"/>
  <c r="P93" i="19"/>
  <c r="E143" i="21" s="1"/>
  <c r="T97" i="19"/>
  <c r="T90" i="19"/>
  <c r="T87" i="19"/>
  <c r="T85" i="19"/>
  <c r="P88" i="19"/>
  <c r="E138" i="21" s="1"/>
  <c r="T83" i="19"/>
  <c r="T96" i="19"/>
  <c r="T84" i="19"/>
  <c r="T82" i="19"/>
  <c r="P95" i="19"/>
  <c r="E145" i="21" s="1"/>
  <c r="P91" i="19"/>
  <c r="E141" i="21" s="1"/>
  <c r="T91" i="19"/>
  <c r="P84" i="19"/>
  <c r="E134" i="21" s="1"/>
  <c r="AB113" i="19"/>
  <c r="T92" i="19"/>
  <c r="T95" i="19"/>
  <c r="P92" i="19"/>
  <c r="E142" i="21" s="1"/>
  <c r="P89" i="19"/>
  <c r="E139" i="21" s="1"/>
  <c r="P94" i="19"/>
  <c r="E144" i="21" s="1"/>
  <c r="P86" i="19"/>
  <c r="E136" i="21" s="1"/>
  <c r="T89" i="19"/>
  <c r="T93" i="19"/>
  <c r="T94" i="19"/>
  <c r="P97" i="19"/>
  <c r="E147" i="21" s="1"/>
  <c r="T88" i="19"/>
  <c r="P82" i="19"/>
  <c r="E132" i="21" s="1"/>
  <c r="P79" i="19"/>
  <c r="E129" i="21" s="1"/>
  <c r="E746" i="32"/>
  <c r="E742" i="32" s="1"/>
  <c r="X91" i="19"/>
  <c r="L141" i="21" s="1"/>
  <c r="K137" i="32"/>
  <c r="C628" i="32"/>
  <c r="X80" i="19"/>
  <c r="L130" i="21" s="1"/>
  <c r="X97" i="19"/>
  <c r="L147" i="21" s="1"/>
  <c r="X92" i="19"/>
  <c r="L142" i="21" s="1"/>
  <c r="L43" i="21"/>
  <c r="G290" i="32"/>
  <c r="AC117" i="11"/>
  <c r="AD114" i="11" s="1"/>
  <c r="AD116" i="11" s="1"/>
  <c r="AC44" i="5"/>
  <c r="L39" i="21"/>
  <c r="G286" i="32"/>
  <c r="L44" i="21"/>
  <c r="G291" i="32"/>
  <c r="M698" i="32"/>
  <c r="E812" i="32" s="1"/>
  <c r="I137" i="32"/>
  <c r="D198" i="32"/>
  <c r="J94" i="26"/>
  <c r="G306" i="32"/>
  <c r="E86" i="21"/>
  <c r="F86" i="21" s="1"/>
  <c r="G80" i="1"/>
  <c r="G86" i="21" s="1"/>
  <c r="E37" i="21"/>
  <c r="G258" i="32"/>
  <c r="S149" i="11"/>
  <c r="S51" i="5" s="1"/>
  <c r="BE110" i="6"/>
  <c r="BD65" i="19"/>
  <c r="X95" i="19"/>
  <c r="L145" i="21" s="1"/>
  <c r="AU110" i="6"/>
  <c r="AT65" i="19"/>
  <c r="BK65" i="19"/>
  <c r="BL110" i="6"/>
  <c r="Y65" i="19"/>
  <c r="Z110" i="6"/>
  <c r="L81" i="21"/>
  <c r="G327" i="32"/>
  <c r="DW65" i="19"/>
  <c r="DX110" i="6"/>
  <c r="T65" i="19"/>
  <c r="U110" i="6"/>
  <c r="AE65" i="19"/>
  <c r="AF110" i="6"/>
  <c r="X81" i="19"/>
  <c r="L131" i="21" s="1"/>
  <c r="X65" i="19"/>
  <c r="Y110" i="6"/>
  <c r="S65" i="19"/>
  <c r="T110" i="6"/>
  <c r="X79" i="19"/>
  <c r="L129" i="21" s="1"/>
  <c r="BJ110" i="6"/>
  <c r="BI65" i="19"/>
  <c r="CM65" i="19"/>
  <c r="CN110" i="6"/>
  <c r="J104" i="17"/>
  <c r="J100" i="17" s="1"/>
  <c r="D754" i="32"/>
  <c r="L100" i="17"/>
  <c r="Y123" i="17"/>
  <c r="Y122" i="17"/>
  <c r="L193" i="32"/>
  <c r="T100" i="26"/>
  <c r="P100" i="17"/>
  <c r="H754" i="32"/>
  <c r="L90" i="26"/>
  <c r="T78" i="19"/>
  <c r="L27" i="21"/>
  <c r="G274" i="32"/>
  <c r="C567" i="32"/>
  <c r="D561" i="32"/>
  <c r="E45" i="21"/>
  <c r="G266" i="32"/>
  <c r="E96" i="21"/>
  <c r="F96" i="21" s="1"/>
  <c r="G316" i="32"/>
  <c r="G90" i="1"/>
  <c r="G96" i="21" s="1"/>
  <c r="EN110" i="6"/>
  <c r="EM65" i="19"/>
  <c r="AS65" i="19"/>
  <c r="AT110" i="6"/>
  <c r="BU110" i="6"/>
  <c r="BT65" i="19"/>
  <c r="BQ110" i="6"/>
  <c r="BP65" i="19"/>
  <c r="L65" i="19"/>
  <c r="M110" i="6"/>
  <c r="M111" i="6" s="1"/>
  <c r="N108" i="6" s="1"/>
  <c r="K109" i="6"/>
  <c r="D200" i="32"/>
  <c r="J109" i="26"/>
  <c r="AL65" i="19"/>
  <c r="AM110" i="6"/>
  <c r="EM110" i="6"/>
  <c r="EL65" i="19"/>
  <c r="AQ110" i="6"/>
  <c r="AP65" i="19"/>
  <c r="EB110" i="6"/>
  <c r="EA65" i="19"/>
  <c r="X94" i="19"/>
  <c r="L144" i="21" s="1"/>
  <c r="DQ130" i="5"/>
  <c r="DQ129" i="5"/>
  <c r="N100" i="26"/>
  <c r="F193" i="32"/>
  <c r="J29" i="19"/>
  <c r="T77" i="19"/>
  <c r="D199" i="32"/>
  <c r="J99" i="26"/>
  <c r="T80" i="19"/>
  <c r="E36" i="21"/>
  <c r="G257" i="32"/>
  <c r="E39" i="21"/>
  <c r="G260" i="32"/>
  <c r="P80" i="19"/>
  <c r="E130" i="21" s="1"/>
  <c r="DI65" i="19"/>
  <c r="DJ110" i="6"/>
  <c r="R110" i="6"/>
  <c r="Q65" i="19"/>
  <c r="DV110" i="6"/>
  <c r="DU65" i="19"/>
  <c r="AD65" i="19"/>
  <c r="AE110" i="6"/>
  <c r="CE65" i="19"/>
  <c r="CF110" i="6"/>
  <c r="CV110" i="6"/>
  <c r="CU65" i="19"/>
  <c r="AP110" i="6"/>
  <c r="AO65" i="19"/>
  <c r="AU65" i="19"/>
  <c r="AV110" i="6"/>
  <c r="AA110" i="6"/>
  <c r="Z65" i="19"/>
  <c r="BE65" i="19"/>
  <c r="BF110" i="6"/>
  <c r="L94" i="21"/>
  <c r="G340" i="32"/>
  <c r="DC110" i="6"/>
  <c r="DB65" i="19"/>
  <c r="W122" i="17"/>
  <c r="W123" i="17"/>
  <c r="U123" i="17"/>
  <c r="U122" i="17"/>
  <c r="M100" i="17"/>
  <c r="E754" i="32"/>
  <c r="EC130" i="5"/>
  <c r="EC129" i="5"/>
  <c r="P130" i="5"/>
  <c r="P129" i="5"/>
  <c r="L41" i="21"/>
  <c r="G288" i="32"/>
  <c r="L46" i="21"/>
  <c r="G293" i="32"/>
  <c r="E83" i="21"/>
  <c r="F83" i="21" s="1"/>
  <c r="G303" i="32"/>
  <c r="G77" i="1"/>
  <c r="G83" i="21" s="1"/>
  <c r="P81" i="19"/>
  <c r="E131" i="21" s="1"/>
  <c r="E82" i="21"/>
  <c r="F82" i="21" s="1"/>
  <c r="G302" i="32"/>
  <c r="G76" i="1"/>
  <c r="G82" i="21" s="1"/>
  <c r="DX65" i="19"/>
  <c r="DY110" i="6"/>
  <c r="BG65" i="19"/>
  <c r="BH110" i="6"/>
  <c r="DN110" i="6"/>
  <c r="DM65" i="19"/>
  <c r="X96" i="19"/>
  <c r="L146" i="21" s="1"/>
  <c r="CH110" i="6"/>
  <c r="CG65" i="19"/>
  <c r="K104" i="6"/>
  <c r="ER105" i="6"/>
  <c r="K105" i="6" s="1"/>
  <c r="CI110" i="6"/>
  <c r="CH65" i="19"/>
  <c r="EJ65" i="19"/>
  <c r="EK110" i="6"/>
  <c r="X87" i="19"/>
  <c r="L137" i="21" s="1"/>
  <c r="BK110" i="6"/>
  <c r="BJ65" i="19"/>
  <c r="X82" i="19"/>
  <c r="L132" i="21" s="1"/>
  <c r="DE130" i="5"/>
  <c r="DE129" i="5"/>
  <c r="V130" i="5"/>
  <c r="V129" i="5"/>
  <c r="R122" i="17"/>
  <c r="R123" i="17"/>
  <c r="S129" i="5"/>
  <c r="S130" i="5"/>
  <c r="P100" i="26"/>
  <c r="H193" i="32"/>
  <c r="D99" i="21"/>
  <c r="L42" i="21"/>
  <c r="G289" i="32"/>
  <c r="W698" i="32"/>
  <c r="E822" i="32" s="1"/>
  <c r="N137" i="32"/>
  <c r="E26" i="21"/>
  <c r="F63" i="1"/>
  <c r="D759" i="32"/>
  <c r="C759" i="32" s="1"/>
  <c r="J94" i="17"/>
  <c r="E80" i="21"/>
  <c r="F80" i="21" s="1"/>
  <c r="G300" i="32"/>
  <c r="G74" i="1"/>
  <c r="G80" i="21" s="1"/>
  <c r="E28" i="21"/>
  <c r="G249" i="32"/>
  <c r="E93" i="21"/>
  <c r="F93" i="21" s="1"/>
  <c r="G313" i="32"/>
  <c r="G87" i="1"/>
  <c r="G93" i="21" s="1"/>
  <c r="E38" i="21"/>
  <c r="G259" i="32"/>
  <c r="DS110" i="6"/>
  <c r="DR65" i="19"/>
  <c r="DV65" i="19"/>
  <c r="DW110" i="6"/>
  <c r="DO110" i="6"/>
  <c r="DN65" i="19"/>
  <c r="DL110" i="6"/>
  <c r="DK65" i="19"/>
  <c r="AV65" i="19"/>
  <c r="AW110" i="6"/>
  <c r="S110" i="6"/>
  <c r="R65" i="19"/>
  <c r="AF65" i="19"/>
  <c r="AG110" i="6"/>
  <c r="BY110" i="6"/>
  <c r="BX65" i="19"/>
  <c r="X85" i="19"/>
  <c r="L135" i="21" s="1"/>
  <c r="AY110" i="6"/>
  <c r="AX65" i="19"/>
  <c r="AZ110" i="6"/>
  <c r="AY65" i="19"/>
  <c r="BS110" i="6"/>
  <c r="BR65" i="19"/>
  <c r="DT65" i="19"/>
  <c r="DU110" i="6"/>
  <c r="AH129" i="5"/>
  <c r="AH130" i="5"/>
  <c r="AA122" i="17"/>
  <c r="AA123" i="17"/>
  <c r="DK129" i="5"/>
  <c r="DK130" i="5"/>
  <c r="L31" i="21"/>
  <c r="G278" i="32"/>
  <c r="Q17" i="15"/>
  <c r="S152" i="11"/>
  <c r="E97" i="21"/>
  <c r="F97" i="21" s="1"/>
  <c r="G317" i="32"/>
  <c r="G91" i="1"/>
  <c r="G97" i="21" s="1"/>
  <c r="E84" i="21"/>
  <c r="F84" i="21" s="1"/>
  <c r="G304" i="32"/>
  <c r="G78" i="1"/>
  <c r="G84" i="21" s="1"/>
  <c r="X83" i="19"/>
  <c r="L133" i="21" s="1"/>
  <c r="AH110" i="6"/>
  <c r="AG65" i="19"/>
  <c r="L78" i="21"/>
  <c r="J93" i="1"/>
  <c r="DG65" i="19"/>
  <c r="DH110" i="6"/>
  <c r="CV65" i="19"/>
  <c r="CW110" i="6"/>
  <c r="BS65" i="19"/>
  <c r="BT110" i="6"/>
  <c r="L93" i="21"/>
  <c r="G339" i="32"/>
  <c r="AS110" i="6"/>
  <c r="AR65" i="19"/>
  <c r="AE123" i="17"/>
  <c r="AE122" i="17"/>
  <c r="AK129" i="5"/>
  <c r="AK130" i="5"/>
  <c r="O100" i="17"/>
  <c r="G754" i="32"/>
  <c r="L26" i="21"/>
  <c r="M26" i="21" s="1"/>
  <c r="J63" i="1"/>
  <c r="L35" i="21"/>
  <c r="G282" i="32"/>
  <c r="T81" i="19"/>
  <c r="G698" i="32"/>
  <c r="E806" i="32" s="1"/>
  <c r="F137" i="32"/>
  <c r="E35" i="21"/>
  <c r="G256" i="32"/>
  <c r="E42" i="21"/>
  <c r="G263" i="32"/>
  <c r="DG110" i="6"/>
  <c r="DF65" i="19"/>
  <c r="AB65" i="19"/>
  <c r="AC110" i="6"/>
  <c r="CP110" i="6"/>
  <c r="CO65" i="19"/>
  <c r="CU110" i="6"/>
  <c r="CT65" i="19"/>
  <c r="BU65" i="19"/>
  <c r="BV110" i="6"/>
  <c r="DK110" i="6"/>
  <c r="DJ65" i="19"/>
  <c r="CN65" i="19"/>
  <c r="CO110" i="6"/>
  <c r="I193" i="32"/>
  <c r="Q100" i="26"/>
  <c r="E193" i="32"/>
  <c r="M100" i="26"/>
  <c r="AG122" i="17"/>
  <c r="AG123" i="17"/>
  <c r="L125" i="5"/>
  <c r="L126" i="5"/>
  <c r="U698" i="32"/>
  <c r="E820" i="32" s="1"/>
  <c r="M137" i="32"/>
  <c r="E137" i="32"/>
  <c r="E698" i="32"/>
  <c r="E804" i="32" s="1"/>
  <c r="E31" i="21"/>
  <c r="G252" i="32"/>
  <c r="E33" i="21"/>
  <c r="G254" i="32"/>
  <c r="E27" i="21"/>
  <c r="G248" i="32"/>
  <c r="G299" i="32"/>
  <c r="E79" i="21"/>
  <c r="F79" i="21" s="1"/>
  <c r="G73" i="1"/>
  <c r="G79" i="21" s="1"/>
  <c r="E30" i="21"/>
  <c r="G251" i="32"/>
  <c r="T99" i="11"/>
  <c r="R28" i="15"/>
  <c r="CM110" i="6"/>
  <c r="CL65" i="19"/>
  <c r="L97" i="21"/>
  <c r="G343" i="32"/>
  <c r="CY110" i="6"/>
  <c r="CX65" i="19"/>
  <c r="DT110" i="6"/>
  <c r="DS65" i="19"/>
  <c r="ER110" i="6"/>
  <c r="EQ65" i="19"/>
  <c r="M65" i="19"/>
  <c r="N110" i="6"/>
  <c r="BC110" i="6"/>
  <c r="BB65" i="19"/>
  <c r="P65" i="19"/>
  <c r="Q110" i="6"/>
  <c r="BO65" i="19"/>
  <c r="BP110" i="6"/>
  <c r="L88" i="21"/>
  <c r="G334" i="32"/>
  <c r="CA65" i="19"/>
  <c r="CB110" i="6"/>
  <c r="X89" i="19"/>
  <c r="L139" i="21" s="1"/>
  <c r="AL110" i="6"/>
  <c r="AK65" i="19"/>
  <c r="EO129" i="5"/>
  <c r="EO130" i="5"/>
  <c r="AC123" i="17"/>
  <c r="AC122" i="17"/>
  <c r="N100" i="17"/>
  <c r="F754" i="32"/>
  <c r="L119" i="17"/>
  <c r="L118" i="17"/>
  <c r="L45" i="21"/>
  <c r="G292" i="32"/>
  <c r="I698" i="32"/>
  <c r="E808" i="32" s="1"/>
  <c r="G137" i="32"/>
  <c r="E78" i="21"/>
  <c r="F78" i="21" s="1"/>
  <c r="F93" i="1"/>
  <c r="G99" i="1" s="1"/>
  <c r="C103" i="21" s="1"/>
  <c r="G309" i="32"/>
  <c r="E89" i="21"/>
  <c r="F89" i="21" s="1"/>
  <c r="G83" i="1"/>
  <c r="G89" i="21" s="1"/>
  <c r="G318" i="32"/>
  <c r="E98" i="21"/>
  <c r="F98" i="21" s="1"/>
  <c r="G92" i="1"/>
  <c r="G98" i="21" s="1"/>
  <c r="G315" i="32"/>
  <c r="E95" i="21"/>
  <c r="F95" i="21" s="1"/>
  <c r="G89" i="1"/>
  <c r="G95" i="21" s="1"/>
  <c r="AD110" i="6"/>
  <c r="AC65" i="19"/>
  <c r="BH65" i="19"/>
  <c r="BI110" i="6"/>
  <c r="CZ65" i="19"/>
  <c r="DA110" i="6"/>
  <c r="CF65" i="19"/>
  <c r="CG110" i="6"/>
  <c r="DM110" i="6"/>
  <c r="DL65" i="19"/>
  <c r="L86" i="21"/>
  <c r="G332" i="32"/>
  <c r="L98" i="21"/>
  <c r="G344" i="32"/>
  <c r="DQ110" i="6"/>
  <c r="DP65" i="19"/>
  <c r="L87" i="21"/>
  <c r="G333" i="32"/>
  <c r="BM110" i="6"/>
  <c r="BL65" i="19"/>
  <c r="L92" i="21"/>
  <c r="G338" i="32"/>
  <c r="L130" i="5"/>
  <c r="L129" i="5"/>
  <c r="J104" i="26"/>
  <c r="J100" i="26" s="1"/>
  <c r="L100" i="26"/>
  <c r="D193" i="32"/>
  <c r="CG130" i="5"/>
  <c r="CG129" i="5"/>
  <c r="CA130" i="5"/>
  <c r="CA129" i="5"/>
  <c r="AD122" i="17"/>
  <c r="AD123" i="17"/>
  <c r="L285" i="11"/>
  <c r="M62" i="6"/>
  <c r="E44" i="21"/>
  <c r="G265" i="32"/>
  <c r="L120" i="17"/>
  <c r="L121" i="17"/>
  <c r="BA65" i="19"/>
  <c r="BB110" i="6"/>
  <c r="AR110" i="6"/>
  <c r="AQ65" i="19"/>
  <c r="BW65" i="19"/>
  <c r="BX110" i="6"/>
  <c r="AZ65" i="19"/>
  <c r="BA110" i="6"/>
  <c r="C630" i="32"/>
  <c r="D761" i="32"/>
  <c r="C761" i="32" s="1"/>
  <c r="J109" i="17"/>
  <c r="EI65" i="19"/>
  <c r="EJ110" i="6"/>
  <c r="CS110" i="6"/>
  <c r="CR65" i="19"/>
  <c r="L95" i="21"/>
  <c r="G341" i="32"/>
  <c r="CS65" i="19"/>
  <c r="CT110" i="6"/>
  <c r="N193" i="32"/>
  <c r="V100" i="26"/>
  <c r="Q122" i="17"/>
  <c r="Q123" i="17"/>
  <c r="CM129" i="5"/>
  <c r="CM130" i="5"/>
  <c r="DW129" i="5"/>
  <c r="DW130" i="5"/>
  <c r="CY130" i="5"/>
  <c r="CY129" i="5"/>
  <c r="D760" i="32"/>
  <c r="C760" i="32" s="1"/>
  <c r="J99" i="17"/>
  <c r="C629" i="32"/>
  <c r="L30" i="21"/>
  <c r="G277" i="32"/>
  <c r="K698" i="32"/>
  <c r="E810" i="32" s="1"/>
  <c r="H137" i="32"/>
  <c r="E40" i="21"/>
  <c r="G261" i="32"/>
  <c r="E88" i="21"/>
  <c r="F88" i="21" s="1"/>
  <c r="G308" i="32"/>
  <c r="G82" i="1"/>
  <c r="G88" i="21" s="1"/>
  <c r="G314" i="32"/>
  <c r="E94" i="21"/>
  <c r="F94" i="21" s="1"/>
  <c r="G88" i="1"/>
  <c r="G94" i="21" s="1"/>
  <c r="G301" i="32"/>
  <c r="E81" i="21"/>
  <c r="F81" i="21" s="1"/>
  <c r="G75" i="1"/>
  <c r="G81" i="21" s="1"/>
  <c r="BG110" i="6"/>
  <c r="BF65" i="19"/>
  <c r="CE110" i="6"/>
  <c r="CD65" i="19"/>
  <c r="BR110" i="6"/>
  <c r="BQ65" i="19"/>
  <c r="BZ65" i="19"/>
  <c r="CA110" i="6"/>
  <c r="BM65" i="19"/>
  <c r="BN110" i="6"/>
  <c r="AB110" i="6"/>
  <c r="AA65" i="19"/>
  <c r="BV65" i="19"/>
  <c r="BW110" i="6"/>
  <c r="O65" i="19"/>
  <c r="P110" i="6"/>
  <c r="X88" i="19"/>
  <c r="L138" i="21" s="1"/>
  <c r="EK65" i="19"/>
  <c r="EL110" i="6"/>
  <c r="X93" i="19"/>
  <c r="L143" i="21" s="1"/>
  <c r="CK110" i="6"/>
  <c r="CJ65" i="19"/>
  <c r="CD110" i="6"/>
  <c r="CC65" i="19"/>
  <c r="BU130" i="5"/>
  <c r="BU129" i="5"/>
  <c r="BO129" i="5"/>
  <c r="BO130" i="5"/>
  <c r="EI130" i="5"/>
  <c r="EI129" i="5"/>
  <c r="W122" i="26"/>
  <c r="W123" i="26"/>
  <c r="T79" i="19"/>
  <c r="P78" i="19"/>
  <c r="E128" i="21" s="1"/>
  <c r="EO65" i="19"/>
  <c r="EP110" i="6"/>
  <c r="CP65" i="19"/>
  <c r="CQ110" i="6"/>
  <c r="L91" i="21"/>
  <c r="G337" i="32"/>
  <c r="L85" i="21"/>
  <c r="G331" i="32"/>
  <c r="L79" i="21"/>
  <c r="G325" i="32"/>
  <c r="EE110" i="6"/>
  <c r="ED65" i="19"/>
  <c r="DZ65" i="19"/>
  <c r="EA110" i="6"/>
  <c r="EF110" i="6"/>
  <c r="EE65" i="19"/>
  <c r="CR110" i="6"/>
  <c r="CQ65" i="19"/>
  <c r="DA65" i="19"/>
  <c r="DB110" i="6"/>
  <c r="CJ110" i="6"/>
  <c r="CI65" i="19"/>
  <c r="X123" i="26"/>
  <c r="X122" i="26"/>
  <c r="M193" i="32"/>
  <c r="U100" i="26"/>
  <c r="BC130" i="5"/>
  <c r="BC129" i="5"/>
  <c r="AW129" i="5"/>
  <c r="AW130" i="5"/>
  <c r="P77" i="19"/>
  <c r="J18" i="19"/>
  <c r="L14" i="19"/>
  <c r="L20" i="19"/>
  <c r="E34" i="21"/>
  <c r="G255" i="32"/>
  <c r="E41" i="21"/>
  <c r="G262" i="32"/>
  <c r="E46" i="21"/>
  <c r="G267" i="32"/>
  <c r="E43" i="21"/>
  <c r="G264" i="32"/>
  <c r="E90" i="21"/>
  <c r="F90" i="21" s="1"/>
  <c r="G310" i="32"/>
  <c r="G84" i="1"/>
  <c r="G90" i="21" s="1"/>
  <c r="L21" i="18"/>
  <c r="F648" i="32"/>
  <c r="F655" i="32" s="1"/>
  <c r="Q25" i="15"/>
  <c r="Q24" i="15" s="1"/>
  <c r="L120" i="26"/>
  <c r="L121" i="26"/>
  <c r="N65" i="19"/>
  <c r="O110" i="6"/>
  <c r="BO110" i="6"/>
  <c r="BN65" i="19"/>
  <c r="L96" i="21"/>
  <c r="G342" i="32"/>
  <c r="DC65" i="19"/>
  <c r="DD110" i="6"/>
  <c r="BD110" i="6"/>
  <c r="BC65" i="19"/>
  <c r="L82" i="21"/>
  <c r="G328" i="32"/>
  <c r="L80" i="21"/>
  <c r="G326" i="32"/>
  <c r="G377" i="32" s="1"/>
  <c r="X86" i="19"/>
  <c r="L136" i="21" s="1"/>
  <c r="C623" i="32"/>
  <c r="AB130" i="5"/>
  <c r="AB129" i="5"/>
  <c r="K193" i="32"/>
  <c r="S100" i="26"/>
  <c r="CS130" i="5"/>
  <c r="CS129" i="5"/>
  <c r="X123" i="17"/>
  <c r="X122" i="17"/>
  <c r="AE130" i="5"/>
  <c r="AE129" i="5"/>
  <c r="L37" i="21"/>
  <c r="G284" i="32"/>
  <c r="L36" i="21"/>
  <c r="G283" i="32"/>
  <c r="L33" i="21"/>
  <c r="G280" i="32"/>
  <c r="L34" i="21"/>
  <c r="G281" i="32"/>
  <c r="D698" i="32"/>
  <c r="D137" i="32"/>
  <c r="M37" i="16"/>
  <c r="M36" i="16" s="1"/>
  <c r="M49" i="16" s="1"/>
  <c r="M51" i="16" s="1"/>
  <c r="V402" i="32" a="1"/>
  <c r="V402" i="32" s="1"/>
  <c r="K39" i="16"/>
  <c r="E32" i="21"/>
  <c r="G253" i="32"/>
  <c r="DE110" i="6"/>
  <c r="DD65" i="19"/>
  <c r="W110" i="6"/>
  <c r="V65" i="19"/>
  <c r="L84" i="21"/>
  <c r="G330" i="32"/>
  <c r="EQ110" i="6"/>
  <c r="EP65" i="19"/>
  <c r="DO65" i="19"/>
  <c r="DP110" i="6"/>
  <c r="DH65" i="19"/>
  <c r="DI110" i="6"/>
  <c r="ED110" i="6"/>
  <c r="EC65" i="19"/>
  <c r="AH65" i="19"/>
  <c r="AI110" i="6"/>
  <c r="X77" i="19"/>
  <c r="J50" i="19"/>
  <c r="M106" i="6"/>
  <c r="N103" i="6" s="1"/>
  <c r="N106" i="6" s="1"/>
  <c r="O103" i="6" s="1"/>
  <c r="O106" i="6" s="1"/>
  <c r="P103" i="6" s="1"/>
  <c r="P106" i="6" s="1"/>
  <c r="Q103" i="6" s="1"/>
  <c r="Q106" i="6" s="1"/>
  <c r="R103" i="6" s="1"/>
  <c r="R106" i="6" s="1"/>
  <c r="S103" i="6" s="1"/>
  <c r="S106" i="6" s="1"/>
  <c r="T103" i="6" s="1"/>
  <c r="T106" i="6" s="1"/>
  <c r="U103" i="6" s="1"/>
  <c r="U106" i="6" s="1"/>
  <c r="V103" i="6" s="1"/>
  <c r="V106" i="6" s="1"/>
  <c r="W103" i="6" s="1"/>
  <c r="W106" i="6" s="1"/>
  <c r="X103" i="6" s="1"/>
  <c r="X106" i="6" s="1"/>
  <c r="Y103" i="6" s="1"/>
  <c r="Y106" i="6" s="1"/>
  <c r="Z103" i="6" s="1"/>
  <c r="Z106" i="6" s="1"/>
  <c r="AA103" i="6" s="1"/>
  <c r="AA106" i="6" s="1"/>
  <c r="AB103" i="6" s="1"/>
  <c r="AB106" i="6" s="1"/>
  <c r="AC103" i="6" s="1"/>
  <c r="AC106" i="6" s="1"/>
  <c r="AD103" i="6" s="1"/>
  <c r="AD106" i="6" s="1"/>
  <c r="AE103" i="6" s="1"/>
  <c r="AE106" i="6" s="1"/>
  <c r="AF103" i="6" s="1"/>
  <c r="AF106" i="6" s="1"/>
  <c r="AG103" i="6" s="1"/>
  <c r="AG106" i="6" s="1"/>
  <c r="AH103" i="6" s="1"/>
  <c r="AH106" i="6" s="1"/>
  <c r="AI103" i="6" s="1"/>
  <c r="AI106" i="6" s="1"/>
  <c r="AJ103" i="6" s="1"/>
  <c r="AJ106" i="6" s="1"/>
  <c r="AK103" i="6" s="1"/>
  <c r="AK106" i="6" s="1"/>
  <c r="AL103" i="6" s="1"/>
  <c r="AL106" i="6" s="1"/>
  <c r="AM103" i="6" s="1"/>
  <c r="AM106" i="6" s="1"/>
  <c r="AN103" i="6" s="1"/>
  <c r="AN106" i="6" s="1"/>
  <c r="AO103" i="6" s="1"/>
  <c r="AO106" i="6" s="1"/>
  <c r="AP103" i="6" s="1"/>
  <c r="AP106" i="6" s="1"/>
  <c r="AQ103" i="6" s="1"/>
  <c r="AQ106" i="6" s="1"/>
  <c r="AR103" i="6" s="1"/>
  <c r="AR106" i="6" s="1"/>
  <c r="AS103" i="6" s="1"/>
  <c r="AS106" i="6" s="1"/>
  <c r="AT103" i="6" s="1"/>
  <c r="AT106" i="6" s="1"/>
  <c r="AU103" i="6" s="1"/>
  <c r="AU106" i="6" s="1"/>
  <c r="AV103" i="6" s="1"/>
  <c r="AV106" i="6" s="1"/>
  <c r="AW103" i="6" s="1"/>
  <c r="AW106" i="6" s="1"/>
  <c r="AX103" i="6" s="1"/>
  <c r="AX106" i="6" s="1"/>
  <c r="AY103" i="6" s="1"/>
  <c r="AY106" i="6" s="1"/>
  <c r="AZ103" i="6" s="1"/>
  <c r="AZ106" i="6" s="1"/>
  <c r="BA103" i="6" s="1"/>
  <c r="BA106" i="6" s="1"/>
  <c r="BB103" i="6" s="1"/>
  <c r="BB106" i="6" s="1"/>
  <c r="BC103" i="6" s="1"/>
  <c r="BC106" i="6" s="1"/>
  <c r="BD103" i="6" s="1"/>
  <c r="BD106" i="6" s="1"/>
  <c r="BE103" i="6" s="1"/>
  <c r="BE106" i="6" s="1"/>
  <c r="BF103" i="6" s="1"/>
  <c r="BF106" i="6" s="1"/>
  <c r="BG103" i="6" s="1"/>
  <c r="BG106" i="6" s="1"/>
  <c r="BH103" i="6" s="1"/>
  <c r="BH106" i="6" s="1"/>
  <c r="BI103" i="6" s="1"/>
  <c r="BI106" i="6" s="1"/>
  <c r="BJ103" i="6" s="1"/>
  <c r="BJ106" i="6" s="1"/>
  <c r="BK103" i="6" s="1"/>
  <c r="BK106" i="6" s="1"/>
  <c r="BL103" i="6" s="1"/>
  <c r="BL106" i="6" s="1"/>
  <c r="BM103" i="6" s="1"/>
  <c r="BM106" i="6" s="1"/>
  <c r="BN103" i="6" s="1"/>
  <c r="BN106" i="6" s="1"/>
  <c r="BO103" i="6" s="1"/>
  <c r="BO106" i="6" s="1"/>
  <c r="BP103" i="6" s="1"/>
  <c r="BP106" i="6" s="1"/>
  <c r="BQ103" i="6" s="1"/>
  <c r="BQ106" i="6" s="1"/>
  <c r="BR103" i="6" s="1"/>
  <c r="BR106" i="6" s="1"/>
  <c r="BS103" i="6" s="1"/>
  <c r="BS106" i="6" s="1"/>
  <c r="BT103" i="6" s="1"/>
  <c r="BT106" i="6" s="1"/>
  <c r="BU103" i="6" s="1"/>
  <c r="BU106" i="6" s="1"/>
  <c r="BV103" i="6" s="1"/>
  <c r="BV106" i="6" s="1"/>
  <c r="BW103" i="6" s="1"/>
  <c r="BW106" i="6" s="1"/>
  <c r="BX103" i="6" s="1"/>
  <c r="BX106" i="6" s="1"/>
  <c r="BY103" i="6" s="1"/>
  <c r="BY106" i="6" s="1"/>
  <c r="BZ103" i="6" s="1"/>
  <c r="BZ106" i="6" s="1"/>
  <c r="CA103" i="6" s="1"/>
  <c r="CA106" i="6" s="1"/>
  <c r="CB103" i="6" s="1"/>
  <c r="CB106" i="6" s="1"/>
  <c r="CC103" i="6" s="1"/>
  <c r="CC106" i="6" s="1"/>
  <c r="CD103" i="6" s="1"/>
  <c r="CD106" i="6" s="1"/>
  <c r="CE103" i="6" s="1"/>
  <c r="CE106" i="6" s="1"/>
  <c r="CF103" i="6" s="1"/>
  <c r="CF106" i="6" s="1"/>
  <c r="CG103" i="6" s="1"/>
  <c r="CG106" i="6" s="1"/>
  <c r="CH103" i="6" s="1"/>
  <c r="CH106" i="6" s="1"/>
  <c r="CI103" i="6" s="1"/>
  <c r="CI106" i="6" s="1"/>
  <c r="CJ103" i="6" s="1"/>
  <c r="CJ106" i="6" s="1"/>
  <c r="CK103" i="6" s="1"/>
  <c r="CK106" i="6" s="1"/>
  <c r="CL103" i="6" s="1"/>
  <c r="CL106" i="6" s="1"/>
  <c r="CM103" i="6" s="1"/>
  <c r="CM106" i="6" s="1"/>
  <c r="CN103" i="6" s="1"/>
  <c r="CN106" i="6" s="1"/>
  <c r="CO103" i="6" s="1"/>
  <c r="CO106" i="6" s="1"/>
  <c r="CP103" i="6" s="1"/>
  <c r="CP106" i="6" s="1"/>
  <c r="CQ103" i="6" s="1"/>
  <c r="CQ106" i="6" s="1"/>
  <c r="CR103" i="6" s="1"/>
  <c r="CR106" i="6" s="1"/>
  <c r="CS103" i="6" s="1"/>
  <c r="CS106" i="6" s="1"/>
  <c r="CT103" i="6" s="1"/>
  <c r="CT106" i="6" s="1"/>
  <c r="CU103" i="6" s="1"/>
  <c r="CU106" i="6" s="1"/>
  <c r="CV103" i="6" s="1"/>
  <c r="CV106" i="6" s="1"/>
  <c r="CW103" i="6" s="1"/>
  <c r="CW106" i="6" s="1"/>
  <c r="CX103" i="6" s="1"/>
  <c r="CX106" i="6" s="1"/>
  <c r="CY103" i="6" s="1"/>
  <c r="CY106" i="6" s="1"/>
  <c r="CZ103" i="6" s="1"/>
  <c r="CZ106" i="6" s="1"/>
  <c r="DA103" i="6" s="1"/>
  <c r="DA106" i="6" s="1"/>
  <c r="DB103" i="6" s="1"/>
  <c r="DB106" i="6" s="1"/>
  <c r="DC103" i="6" s="1"/>
  <c r="DC106" i="6" s="1"/>
  <c r="DD103" i="6" s="1"/>
  <c r="DD106" i="6" s="1"/>
  <c r="DE103" i="6" s="1"/>
  <c r="DE106" i="6" s="1"/>
  <c r="DF103" i="6" s="1"/>
  <c r="DF106" i="6" s="1"/>
  <c r="DG103" i="6" s="1"/>
  <c r="DG106" i="6" s="1"/>
  <c r="DH103" i="6" s="1"/>
  <c r="DH106" i="6" s="1"/>
  <c r="DI103" i="6" s="1"/>
  <c r="DI106" i="6" s="1"/>
  <c r="DJ103" i="6" s="1"/>
  <c r="DJ106" i="6" s="1"/>
  <c r="DK103" i="6" s="1"/>
  <c r="DK106" i="6" s="1"/>
  <c r="DL103" i="6" s="1"/>
  <c r="DL106" i="6" s="1"/>
  <c r="DM103" i="6" s="1"/>
  <c r="DM106" i="6" s="1"/>
  <c r="DN103" i="6" s="1"/>
  <c r="DN106" i="6" s="1"/>
  <c r="DO103" i="6" s="1"/>
  <c r="DO106" i="6" s="1"/>
  <c r="DP103" i="6" s="1"/>
  <c r="DP106" i="6" s="1"/>
  <c r="DQ103" i="6" s="1"/>
  <c r="DQ106" i="6" s="1"/>
  <c r="DR103" i="6" s="1"/>
  <c r="DR106" i="6" s="1"/>
  <c r="DS103" i="6" s="1"/>
  <c r="DS106" i="6" s="1"/>
  <c r="DT103" i="6" s="1"/>
  <c r="DT106" i="6" s="1"/>
  <c r="DU103" i="6" s="1"/>
  <c r="DU106" i="6" s="1"/>
  <c r="DV103" i="6" s="1"/>
  <c r="DV106" i="6" s="1"/>
  <c r="DW103" i="6" s="1"/>
  <c r="DW106" i="6" s="1"/>
  <c r="DX103" i="6" s="1"/>
  <c r="DX106" i="6" s="1"/>
  <c r="DY103" i="6" s="1"/>
  <c r="DY106" i="6" s="1"/>
  <c r="DZ103" i="6" s="1"/>
  <c r="DZ106" i="6" s="1"/>
  <c r="EA103" i="6" s="1"/>
  <c r="EA106" i="6" s="1"/>
  <c r="EB103" i="6" s="1"/>
  <c r="EB106" i="6" s="1"/>
  <c r="EC103" i="6" s="1"/>
  <c r="EC106" i="6" s="1"/>
  <c r="ED103" i="6" s="1"/>
  <c r="ED106" i="6" s="1"/>
  <c r="EE103" i="6" s="1"/>
  <c r="EE106" i="6" s="1"/>
  <c r="EF103" i="6" s="1"/>
  <c r="EF106" i="6" s="1"/>
  <c r="EG103" i="6" s="1"/>
  <c r="EG106" i="6" s="1"/>
  <c r="EH103" i="6" s="1"/>
  <c r="EH106" i="6" s="1"/>
  <c r="EI103" i="6" s="1"/>
  <c r="EI106" i="6" s="1"/>
  <c r="EJ103" i="6" s="1"/>
  <c r="EJ106" i="6" s="1"/>
  <c r="EK103" i="6" s="1"/>
  <c r="EK106" i="6" s="1"/>
  <c r="EL103" i="6" s="1"/>
  <c r="EL106" i="6" s="1"/>
  <c r="EM103" i="6" s="1"/>
  <c r="EM106" i="6" s="1"/>
  <c r="EN103" i="6" s="1"/>
  <c r="EN106" i="6" s="1"/>
  <c r="EO103" i="6" s="1"/>
  <c r="EO106" i="6" s="1"/>
  <c r="EP103" i="6" s="1"/>
  <c r="EP106" i="6" s="1"/>
  <c r="EQ103" i="6" s="1"/>
  <c r="EQ106" i="6" s="1"/>
  <c r="ER103" i="6" s="1"/>
  <c r="U65" i="19"/>
  <c r="V110" i="6"/>
  <c r="BY65" i="19"/>
  <c r="BZ110" i="6"/>
  <c r="DF110" i="6"/>
  <c r="DE65" i="19"/>
  <c r="EB65" i="19"/>
  <c r="EC110" i="6"/>
  <c r="W65" i="19"/>
  <c r="X110" i="6"/>
  <c r="AI65" i="19"/>
  <c r="AJ110" i="6"/>
  <c r="O100" i="26"/>
  <c r="G193" i="32"/>
  <c r="Z122" i="17"/>
  <c r="Z123" i="17"/>
  <c r="Y129" i="5"/>
  <c r="Y130" i="5"/>
  <c r="AF122" i="17"/>
  <c r="AF123" i="17"/>
  <c r="AB123" i="17"/>
  <c r="AB122" i="17"/>
  <c r="L32" i="21"/>
  <c r="G279" i="32"/>
  <c r="L29" i="21"/>
  <c r="G276" i="32"/>
  <c r="S698" i="32"/>
  <c r="E818" i="32" s="1"/>
  <c r="L137" i="32"/>
  <c r="E92" i="21"/>
  <c r="F92" i="21" s="1"/>
  <c r="G312" i="32"/>
  <c r="G86" i="1"/>
  <c r="G92" i="21" s="1"/>
  <c r="G311" i="32"/>
  <c r="E91" i="21"/>
  <c r="F91" i="21" s="1"/>
  <c r="G85" i="1"/>
  <c r="G91" i="21" s="1"/>
  <c r="G307" i="32"/>
  <c r="E87" i="21"/>
  <c r="F87" i="21" s="1"/>
  <c r="G81" i="1"/>
  <c r="G87" i="21" s="1"/>
  <c r="E29" i="21"/>
  <c r="G250" i="32"/>
  <c r="AO110" i="6"/>
  <c r="AN65" i="19"/>
  <c r="AJ65" i="19"/>
  <c r="AK110" i="6"/>
  <c r="L89" i="21"/>
  <c r="G335" i="32"/>
  <c r="AM65" i="19"/>
  <c r="AN110" i="6"/>
  <c r="CZ110" i="6"/>
  <c r="CY65" i="19"/>
  <c r="EF65" i="19"/>
  <c r="EG110" i="6"/>
  <c r="R100" i="26"/>
  <c r="J193" i="32"/>
  <c r="BI129" i="5"/>
  <c r="BI130" i="5"/>
  <c r="V123" i="17"/>
  <c r="V122" i="17"/>
  <c r="M129" i="5"/>
  <c r="M130" i="5"/>
  <c r="AH122" i="17"/>
  <c r="AH123" i="17"/>
  <c r="L28" i="21"/>
  <c r="G275" i="32"/>
  <c r="L40" i="21"/>
  <c r="G287" i="32"/>
  <c r="L38" i="21"/>
  <c r="G285" i="32"/>
  <c r="O698" i="32"/>
  <c r="E814" i="32" s="1"/>
  <c r="J137" i="32"/>
  <c r="G305" i="32"/>
  <c r="E85" i="21"/>
  <c r="F85" i="21" s="1"/>
  <c r="G79" i="1"/>
  <c r="G85" i="21" s="1"/>
  <c r="CX110" i="6"/>
  <c r="CW65" i="19"/>
  <c r="DQ65" i="19"/>
  <c r="DR110" i="6"/>
  <c r="X90" i="19"/>
  <c r="L140" i="21" s="1"/>
  <c r="DZ110" i="6"/>
  <c r="DY65" i="19"/>
  <c r="AX110" i="6"/>
  <c r="AW65" i="19"/>
  <c r="X84" i="19"/>
  <c r="L134" i="21" s="1"/>
  <c r="X78" i="19"/>
  <c r="L128" i="21" s="1"/>
  <c r="CC110" i="6"/>
  <c r="CB65" i="19"/>
  <c r="EN65" i="19"/>
  <c r="EO110" i="6"/>
  <c r="CK65" i="19"/>
  <c r="CL110" i="6"/>
  <c r="L90" i="21"/>
  <c r="G336" i="32"/>
  <c r="EH65" i="19"/>
  <c r="EI110" i="6"/>
  <c r="L83" i="21"/>
  <c r="G329" i="32"/>
  <c r="EG65" i="19"/>
  <c r="EH110" i="6"/>
  <c r="AI122" i="17"/>
  <c r="AI123" i="17"/>
  <c r="AQ129" i="5"/>
  <c r="AQ130" i="5"/>
  <c r="T123" i="17"/>
  <c r="T122" i="17"/>
  <c r="S122" i="17"/>
  <c r="S123" i="17"/>
  <c r="AB117" i="19" l="1"/>
  <c r="AB123" i="19"/>
  <c r="AB116" i="19"/>
  <c r="T124" i="19"/>
  <c r="AB115" i="19"/>
  <c r="P124" i="19"/>
  <c r="AB118" i="19"/>
  <c r="X124" i="19"/>
  <c r="AB119" i="19"/>
  <c r="AB120" i="19"/>
  <c r="AB121" i="19"/>
  <c r="AB122" i="19"/>
  <c r="AB114" i="19"/>
  <c r="AB94" i="19"/>
  <c r="Z131" i="21" s="1"/>
  <c r="AB97" i="19"/>
  <c r="Z134" i="21" s="1"/>
  <c r="AB91" i="19"/>
  <c r="Z128" i="21" s="1"/>
  <c r="AB79" i="19"/>
  <c r="Z116" i="21" s="1"/>
  <c r="AB95" i="19"/>
  <c r="Z132" i="21" s="1"/>
  <c r="G378" i="32"/>
  <c r="S150" i="11"/>
  <c r="R26" i="15" s="1"/>
  <c r="R25" i="15" s="1"/>
  <c r="R24" i="15" s="1"/>
  <c r="AB92" i="19"/>
  <c r="Z129" i="21" s="1"/>
  <c r="J104" i="6"/>
  <c r="AB81" i="19"/>
  <c r="Z118" i="21" s="1"/>
  <c r="AB85" i="19"/>
  <c r="Z122" i="21" s="1"/>
  <c r="AB87" i="19"/>
  <c r="Z124" i="21" s="1"/>
  <c r="AB86" i="19"/>
  <c r="Z123" i="21" s="1"/>
  <c r="AB80" i="19"/>
  <c r="Z117" i="21" s="1"/>
  <c r="AB82" i="19"/>
  <c r="Z119" i="21" s="1"/>
  <c r="G352" i="32"/>
  <c r="S81" i="21" s="1"/>
  <c r="AB93" i="19"/>
  <c r="Z130" i="21" s="1"/>
  <c r="M305" i="32"/>
  <c r="D305" i="32"/>
  <c r="R122" i="26"/>
  <c r="R123" i="26"/>
  <c r="S122" i="26"/>
  <c r="S123" i="26"/>
  <c r="E779" i="32"/>
  <c r="E786" i="32" s="1"/>
  <c r="L20" i="18"/>
  <c r="L19" i="18" s="1"/>
  <c r="G392" i="32"/>
  <c r="G366" i="32"/>
  <c r="S95" i="21" s="1"/>
  <c r="G364" i="32"/>
  <c r="S93" i="21" s="1"/>
  <c r="G390" i="32"/>
  <c r="E127" i="21"/>
  <c r="P98" i="19"/>
  <c r="P99" i="19" s="1"/>
  <c r="AB77" i="19"/>
  <c r="Z114" i="21" s="1"/>
  <c r="G376" i="32"/>
  <c r="G345" i="32"/>
  <c r="D308" i="32"/>
  <c r="M308" i="32"/>
  <c r="D309" i="32"/>
  <c r="M309" i="32"/>
  <c r="J65" i="19"/>
  <c r="T101" i="11"/>
  <c r="T41" i="5" s="1"/>
  <c r="T141" i="5" s="1"/>
  <c r="T142" i="5" s="1"/>
  <c r="T143" i="5" s="1"/>
  <c r="G382" i="32"/>
  <c r="G356" i="32"/>
  <c r="S85" i="21" s="1"/>
  <c r="E824" i="32"/>
  <c r="AB89" i="19"/>
  <c r="Z126" i="21" s="1"/>
  <c r="G365" i="32"/>
  <c r="S94" i="21" s="1"/>
  <c r="G391" i="32"/>
  <c r="AB83" i="19"/>
  <c r="Z120" i="21" s="1"/>
  <c r="S154" i="11"/>
  <c r="S53" i="5" s="1"/>
  <c r="S49" i="5" s="1"/>
  <c r="G351" i="32"/>
  <c r="S80" i="21" s="1"/>
  <c r="E47" i="21"/>
  <c r="M122" i="17"/>
  <c r="M123" i="17"/>
  <c r="N630" i="32"/>
  <c r="O630" i="32" s="1"/>
  <c r="C200" i="32"/>
  <c r="G368" i="32"/>
  <c r="S97" i="21" s="1"/>
  <c r="G394" i="32"/>
  <c r="AB84" i="19"/>
  <c r="Z121" i="21" s="1"/>
  <c r="T123" i="26"/>
  <c r="T122" i="26"/>
  <c r="C198" i="32"/>
  <c r="N628" i="32"/>
  <c r="O628" i="32" s="1"/>
  <c r="AD117" i="11"/>
  <c r="AE114" i="11" s="1"/>
  <c r="AE116" i="11" s="1"/>
  <c r="AD44" i="5"/>
  <c r="O123" i="26"/>
  <c r="O122" i="26"/>
  <c r="G355" i="32"/>
  <c r="S84" i="21" s="1"/>
  <c r="G381" i="32"/>
  <c r="M56" i="16"/>
  <c r="M64" i="6"/>
  <c r="M69" i="6"/>
  <c r="I129" i="5"/>
  <c r="G97" i="1" s="1"/>
  <c r="D238" i="32" s="1"/>
  <c r="J129" i="5"/>
  <c r="F99" i="21"/>
  <c r="D318" i="32"/>
  <c r="M318" i="32"/>
  <c r="N122" i="17"/>
  <c r="N123" i="17"/>
  <c r="K110" i="6"/>
  <c r="G353" i="32"/>
  <c r="S82" i="21" s="1"/>
  <c r="G319" i="32"/>
  <c r="I319" i="32" s="1"/>
  <c r="M299" i="32"/>
  <c r="D299" i="32"/>
  <c r="M122" i="26"/>
  <c r="M123" i="26"/>
  <c r="L12" i="18"/>
  <c r="E772" i="32" s="1"/>
  <c r="F641" i="32"/>
  <c r="ER106" i="6"/>
  <c r="M302" i="32"/>
  <c r="D302" i="32"/>
  <c r="D303" i="32"/>
  <c r="M303" i="32"/>
  <c r="G362" i="32"/>
  <c r="S91" i="21" s="1"/>
  <c r="G388" i="32"/>
  <c r="F26" i="21"/>
  <c r="G294" i="32"/>
  <c r="L119" i="26"/>
  <c r="L118" i="26"/>
  <c r="L123" i="17"/>
  <c r="L122" i="17"/>
  <c r="L127" i="21"/>
  <c r="L148" i="21" s="1"/>
  <c r="X98" i="19"/>
  <c r="X99" i="19" s="1"/>
  <c r="D131" i="32"/>
  <c r="C137" i="32"/>
  <c r="D310" i="32"/>
  <c r="M310" i="32"/>
  <c r="G369" i="32"/>
  <c r="S98" i="21" s="1"/>
  <c r="G395" i="32"/>
  <c r="G357" i="32"/>
  <c r="S86" i="21" s="1"/>
  <c r="G383" i="32"/>
  <c r="U122" i="26"/>
  <c r="U123" i="26"/>
  <c r="D314" i="32"/>
  <c r="M314" i="32"/>
  <c r="G389" i="32"/>
  <c r="G363" i="32"/>
  <c r="S92" i="21" s="1"/>
  <c r="G379" i="32"/>
  <c r="C193" i="32"/>
  <c r="N623" i="32"/>
  <c r="O623" i="32" s="1"/>
  <c r="I130" i="5"/>
  <c r="G98" i="1" s="1"/>
  <c r="J130" i="5"/>
  <c r="D315" i="32"/>
  <c r="M315" i="32"/>
  <c r="E99" i="21"/>
  <c r="G268" i="32"/>
  <c r="G350" i="32"/>
  <c r="G354" i="32"/>
  <c r="S83" i="21" s="1"/>
  <c r="G380" i="32"/>
  <c r="G384" i="32"/>
  <c r="G358" i="32"/>
  <c r="S87" i="21" s="1"/>
  <c r="O123" i="17"/>
  <c r="O122" i="17"/>
  <c r="M317" i="32"/>
  <c r="D317" i="32"/>
  <c r="AB88" i="19"/>
  <c r="Z125" i="21" s="1"/>
  <c r="M313" i="32"/>
  <c r="D313" i="32"/>
  <c r="AB96" i="19"/>
  <c r="Z133" i="21" s="1"/>
  <c r="P123" i="26"/>
  <c r="P122" i="26"/>
  <c r="T98" i="19"/>
  <c r="T99" i="19" s="1"/>
  <c r="N111" i="6"/>
  <c r="O108" i="6" s="1"/>
  <c r="O111" i="6" s="1"/>
  <c r="P108" i="6" s="1"/>
  <c r="P111" i="6" s="1"/>
  <c r="Q108" i="6" s="1"/>
  <c r="Q111" i="6" s="1"/>
  <c r="R108" i="6" s="1"/>
  <c r="R111" i="6" s="1"/>
  <c r="S108" i="6" s="1"/>
  <c r="S111" i="6" s="1"/>
  <c r="T108" i="6" s="1"/>
  <c r="T111" i="6" s="1"/>
  <c r="U108" i="6" s="1"/>
  <c r="U111" i="6" s="1"/>
  <c r="V108" i="6" s="1"/>
  <c r="V111" i="6" s="1"/>
  <c r="W108" i="6" s="1"/>
  <c r="W111" i="6" s="1"/>
  <c r="X108" i="6" s="1"/>
  <c r="X111" i="6" s="1"/>
  <c r="Y108" i="6" s="1"/>
  <c r="Y111" i="6" s="1"/>
  <c r="Z108" i="6" s="1"/>
  <c r="Z111" i="6" s="1"/>
  <c r="AA108" i="6" s="1"/>
  <c r="AA111" i="6" s="1"/>
  <c r="AB108" i="6" s="1"/>
  <c r="AB111" i="6" s="1"/>
  <c r="AC108" i="6" s="1"/>
  <c r="AC111" i="6" s="1"/>
  <c r="AD108" i="6" s="1"/>
  <c r="AD111" i="6" s="1"/>
  <c r="AE108" i="6" s="1"/>
  <c r="AE111" i="6" s="1"/>
  <c r="AF108" i="6" s="1"/>
  <c r="AF111" i="6" s="1"/>
  <c r="AG108" i="6" s="1"/>
  <c r="AG111" i="6" s="1"/>
  <c r="AH108" i="6" s="1"/>
  <c r="AH111" i="6" s="1"/>
  <c r="AI108" i="6" s="1"/>
  <c r="AI111" i="6" s="1"/>
  <c r="AJ108" i="6" s="1"/>
  <c r="AJ111" i="6" s="1"/>
  <c r="AK108" i="6" s="1"/>
  <c r="AK111" i="6" s="1"/>
  <c r="AL108" i="6" s="1"/>
  <c r="AL111" i="6" s="1"/>
  <c r="AM108" i="6" s="1"/>
  <c r="AM111" i="6" s="1"/>
  <c r="AN108" i="6" s="1"/>
  <c r="AN111" i="6" s="1"/>
  <c r="AO108" i="6" s="1"/>
  <c r="AO111" i="6" s="1"/>
  <c r="AP108" i="6" s="1"/>
  <c r="AP111" i="6" s="1"/>
  <c r="AQ108" i="6" s="1"/>
  <c r="AQ111" i="6" s="1"/>
  <c r="AR108" i="6" s="1"/>
  <c r="AR111" i="6" s="1"/>
  <c r="AS108" i="6" s="1"/>
  <c r="AS111" i="6" s="1"/>
  <c r="AT108" i="6" s="1"/>
  <c r="AT111" i="6" s="1"/>
  <c r="AU108" i="6" s="1"/>
  <c r="AU111" i="6" s="1"/>
  <c r="AV108" i="6" s="1"/>
  <c r="AV111" i="6" s="1"/>
  <c r="AW108" i="6" s="1"/>
  <c r="AW111" i="6" s="1"/>
  <c r="AX108" i="6" s="1"/>
  <c r="AX111" i="6" s="1"/>
  <c r="AY108" i="6" s="1"/>
  <c r="AY111" i="6" s="1"/>
  <c r="AZ108" i="6" s="1"/>
  <c r="AZ111" i="6" s="1"/>
  <c r="BA108" i="6" s="1"/>
  <c r="BA111" i="6" s="1"/>
  <c r="BB108" i="6" s="1"/>
  <c r="BB111" i="6" s="1"/>
  <c r="BC108" i="6" s="1"/>
  <c r="BC111" i="6" s="1"/>
  <c r="BD108" i="6" s="1"/>
  <c r="BD111" i="6" s="1"/>
  <c r="BE108" i="6" s="1"/>
  <c r="BE111" i="6" s="1"/>
  <c r="BF108" i="6" s="1"/>
  <c r="BF111" i="6" s="1"/>
  <c r="BG108" i="6" s="1"/>
  <c r="BG111" i="6" s="1"/>
  <c r="BH108" i="6" s="1"/>
  <c r="BH111" i="6" s="1"/>
  <c r="BI108" i="6" s="1"/>
  <c r="BI111" i="6" s="1"/>
  <c r="BJ108" i="6" s="1"/>
  <c r="BJ111" i="6" s="1"/>
  <c r="BK108" i="6" s="1"/>
  <c r="BK111" i="6" s="1"/>
  <c r="BL108" i="6" s="1"/>
  <c r="BL111" i="6" s="1"/>
  <c r="BM108" i="6" s="1"/>
  <c r="BM111" i="6" s="1"/>
  <c r="BN108" i="6" s="1"/>
  <c r="BN111" i="6" s="1"/>
  <c r="BO108" i="6" s="1"/>
  <c r="BO111" i="6" s="1"/>
  <c r="BP108" i="6" s="1"/>
  <c r="BP111" i="6" s="1"/>
  <c r="BQ108" i="6" s="1"/>
  <c r="BQ111" i="6" s="1"/>
  <c r="BR108" i="6" s="1"/>
  <c r="BR111" i="6" s="1"/>
  <c r="BS108" i="6" s="1"/>
  <c r="BS111" i="6" s="1"/>
  <c r="BT108" i="6" s="1"/>
  <c r="BT111" i="6" s="1"/>
  <c r="BU108" i="6" s="1"/>
  <c r="BU111" i="6" s="1"/>
  <c r="BV108" i="6" s="1"/>
  <c r="BV111" i="6" s="1"/>
  <c r="BW108" i="6" s="1"/>
  <c r="BW111" i="6" s="1"/>
  <c r="BX108" i="6" s="1"/>
  <c r="BX111" i="6" s="1"/>
  <c r="BY108" i="6" s="1"/>
  <c r="BY111" i="6" s="1"/>
  <c r="BZ108" i="6" s="1"/>
  <c r="BZ111" i="6" s="1"/>
  <c r="CA108" i="6" s="1"/>
  <c r="CA111" i="6" s="1"/>
  <c r="CB108" i="6" s="1"/>
  <c r="CB111" i="6" s="1"/>
  <c r="CC108" i="6" s="1"/>
  <c r="CC111" i="6" s="1"/>
  <c r="CD108" i="6" s="1"/>
  <c r="CD111" i="6" s="1"/>
  <c r="CE108" i="6" s="1"/>
  <c r="CE111" i="6" s="1"/>
  <c r="CF108" i="6" s="1"/>
  <c r="CF111" i="6" s="1"/>
  <c r="CG108" i="6" s="1"/>
  <c r="CG111" i="6" s="1"/>
  <c r="CH108" i="6" s="1"/>
  <c r="CH111" i="6" s="1"/>
  <c r="CI108" i="6" s="1"/>
  <c r="CI111" i="6" s="1"/>
  <c r="CJ108" i="6" s="1"/>
  <c r="CJ111" i="6" s="1"/>
  <c r="CK108" i="6" s="1"/>
  <c r="CK111" i="6" s="1"/>
  <c r="CL108" i="6" s="1"/>
  <c r="CL111" i="6" s="1"/>
  <c r="CM108" i="6" s="1"/>
  <c r="CM111" i="6" s="1"/>
  <c r="CN108" i="6" s="1"/>
  <c r="CN111" i="6" s="1"/>
  <c r="CO108" i="6" s="1"/>
  <c r="CO111" i="6" s="1"/>
  <c r="CP108" i="6" s="1"/>
  <c r="CP111" i="6" s="1"/>
  <c r="CQ108" i="6" s="1"/>
  <c r="CQ111" i="6" s="1"/>
  <c r="CR108" i="6" s="1"/>
  <c r="CR111" i="6" s="1"/>
  <c r="CS108" i="6" s="1"/>
  <c r="CS111" i="6" s="1"/>
  <c r="CT108" i="6" s="1"/>
  <c r="CT111" i="6" s="1"/>
  <c r="CU108" i="6" s="1"/>
  <c r="CU111" i="6" s="1"/>
  <c r="CV108" i="6" s="1"/>
  <c r="CV111" i="6" s="1"/>
  <c r="CW108" i="6" s="1"/>
  <c r="CW111" i="6" s="1"/>
  <c r="CX108" i="6" s="1"/>
  <c r="CX111" i="6" s="1"/>
  <c r="CY108" i="6" s="1"/>
  <c r="CY111" i="6" s="1"/>
  <c r="CZ108" i="6" s="1"/>
  <c r="CZ111" i="6" s="1"/>
  <c r="DA108" i="6" s="1"/>
  <c r="DA111" i="6" s="1"/>
  <c r="DB108" i="6" s="1"/>
  <c r="DB111" i="6" s="1"/>
  <c r="DC108" i="6" s="1"/>
  <c r="DC111" i="6" s="1"/>
  <c r="DD108" i="6" s="1"/>
  <c r="DD111" i="6" s="1"/>
  <c r="DE108" i="6" s="1"/>
  <c r="DE111" i="6" s="1"/>
  <c r="DF108" i="6" s="1"/>
  <c r="DF111" i="6" s="1"/>
  <c r="DG108" i="6" s="1"/>
  <c r="DG111" i="6" s="1"/>
  <c r="DH108" i="6" s="1"/>
  <c r="DH111" i="6" s="1"/>
  <c r="DI108" i="6" s="1"/>
  <c r="DI111" i="6" s="1"/>
  <c r="DJ108" i="6" s="1"/>
  <c r="DJ111" i="6" s="1"/>
  <c r="DK108" i="6" s="1"/>
  <c r="DK111" i="6" s="1"/>
  <c r="DL108" i="6" s="1"/>
  <c r="DL111" i="6" s="1"/>
  <c r="DM108" i="6" s="1"/>
  <c r="DM111" i="6" s="1"/>
  <c r="DN108" i="6" s="1"/>
  <c r="DN111" i="6" s="1"/>
  <c r="DO108" i="6" s="1"/>
  <c r="DO111" i="6" s="1"/>
  <c r="DP108" i="6" s="1"/>
  <c r="DP111" i="6" s="1"/>
  <c r="DQ108" i="6" s="1"/>
  <c r="DQ111" i="6" s="1"/>
  <c r="DR108" i="6" s="1"/>
  <c r="DR111" i="6" s="1"/>
  <c r="DS108" i="6" s="1"/>
  <c r="DS111" i="6" s="1"/>
  <c r="DT108" i="6" s="1"/>
  <c r="DT111" i="6" s="1"/>
  <c r="DU108" i="6" s="1"/>
  <c r="DU111" i="6" s="1"/>
  <c r="DV108" i="6" s="1"/>
  <c r="DV111" i="6" s="1"/>
  <c r="DW108" i="6" s="1"/>
  <c r="DW111" i="6" s="1"/>
  <c r="DX108" i="6" s="1"/>
  <c r="DX111" i="6" s="1"/>
  <c r="DY108" i="6" s="1"/>
  <c r="DY111" i="6" s="1"/>
  <c r="DZ108" i="6" s="1"/>
  <c r="DZ111" i="6" s="1"/>
  <c r="EA108" i="6" s="1"/>
  <c r="EA111" i="6" s="1"/>
  <c r="EB108" i="6" s="1"/>
  <c r="EB111" i="6" s="1"/>
  <c r="EC108" i="6" s="1"/>
  <c r="EC111" i="6" s="1"/>
  <c r="ED108" i="6" s="1"/>
  <c r="ED111" i="6" s="1"/>
  <c r="EE108" i="6" s="1"/>
  <c r="EE111" i="6" s="1"/>
  <c r="EF108" i="6" s="1"/>
  <c r="EF111" i="6" s="1"/>
  <c r="EG108" i="6" s="1"/>
  <c r="EG111" i="6" s="1"/>
  <c r="EH108" i="6" s="1"/>
  <c r="EH111" i="6" s="1"/>
  <c r="EI108" i="6" s="1"/>
  <c r="EI111" i="6" s="1"/>
  <c r="EJ108" i="6" s="1"/>
  <c r="EJ111" i="6" s="1"/>
  <c r="EK108" i="6" s="1"/>
  <c r="EK111" i="6" s="1"/>
  <c r="EL108" i="6" s="1"/>
  <c r="EL111" i="6" s="1"/>
  <c r="EM108" i="6" s="1"/>
  <c r="EM111" i="6" s="1"/>
  <c r="EN108" i="6" s="1"/>
  <c r="EN111" i="6" s="1"/>
  <c r="EO108" i="6" s="1"/>
  <c r="EO111" i="6" s="1"/>
  <c r="EP108" i="6" s="1"/>
  <c r="EP111" i="6" s="1"/>
  <c r="EQ108" i="6" s="1"/>
  <c r="EQ111" i="6" s="1"/>
  <c r="ER108" i="6" s="1"/>
  <c r="ER111" i="6" s="1"/>
  <c r="D316" i="32"/>
  <c r="M316" i="32"/>
  <c r="D574" i="32"/>
  <c r="C754" i="32"/>
  <c r="G386" i="32"/>
  <c r="G360" i="32"/>
  <c r="S89" i="21" s="1"/>
  <c r="D306" i="32"/>
  <c r="M306" i="32"/>
  <c r="D311" i="32"/>
  <c r="M311" i="32"/>
  <c r="D307" i="32"/>
  <c r="M307" i="32"/>
  <c r="D312" i="32"/>
  <c r="M312" i="32"/>
  <c r="C698" i="32"/>
  <c r="D692" i="32"/>
  <c r="D301" i="32"/>
  <c r="M301" i="32"/>
  <c r="V123" i="26"/>
  <c r="V122" i="26"/>
  <c r="G393" i="32"/>
  <c r="G367" i="32"/>
  <c r="S96" i="21" s="1"/>
  <c r="L122" i="26"/>
  <c r="L123" i="26"/>
  <c r="AB90" i="19"/>
  <c r="Z127" i="21" s="1"/>
  <c r="Q123" i="26"/>
  <c r="Q122" i="26"/>
  <c r="L47" i="21"/>
  <c r="L99" i="21"/>
  <c r="M304" i="32"/>
  <c r="D304" i="32"/>
  <c r="G361" i="32"/>
  <c r="S90" i="21" s="1"/>
  <c r="G387" i="32"/>
  <c r="M300" i="32"/>
  <c r="D300" i="32"/>
  <c r="G359" i="32"/>
  <c r="S88" i="21" s="1"/>
  <c r="G385" i="32"/>
  <c r="N629" i="32"/>
  <c r="O629" i="32" s="1"/>
  <c r="C199" i="32"/>
  <c r="N122" i="26"/>
  <c r="N123" i="26"/>
  <c r="AB78" i="19"/>
  <c r="Z115" i="21" s="1"/>
  <c r="P122" i="17"/>
  <c r="P123" i="17"/>
  <c r="AB124" i="19" l="1"/>
  <c r="U140" i="5"/>
  <c r="T123" i="5"/>
  <c r="T147" i="11"/>
  <c r="T149" i="11" s="1"/>
  <c r="T51" i="5" s="1"/>
  <c r="J123" i="17"/>
  <c r="S155" i="11"/>
  <c r="R17" i="15" s="1"/>
  <c r="M55" i="16"/>
  <c r="T40" i="5"/>
  <c r="Z135" i="21"/>
  <c r="G396" i="32"/>
  <c r="E148" i="21"/>
  <c r="F127" i="21"/>
  <c r="I122" i="26"/>
  <c r="J122" i="26"/>
  <c r="M319" i="32"/>
  <c r="F238" i="32"/>
  <c r="C102" i="21"/>
  <c r="V61" i="21"/>
  <c r="BD64" i="1"/>
  <c r="J122" i="17"/>
  <c r="I122" i="17"/>
  <c r="M60" i="16"/>
  <c r="M70" i="6"/>
  <c r="M71" i="6" s="1"/>
  <c r="N68" i="6" s="1"/>
  <c r="O39" i="17"/>
  <c r="G734" i="32" s="1"/>
  <c r="J603" i="32"/>
  <c r="AB98" i="19"/>
  <c r="AB99" i="19" s="1"/>
  <c r="S79" i="21"/>
  <c r="S99" i="21" s="1"/>
  <c r="G370" i="32"/>
  <c r="D319" i="32"/>
  <c r="D320" i="32" s="1"/>
  <c r="I123" i="26"/>
  <c r="J123" i="26"/>
  <c r="D705" i="32"/>
  <c r="D144" i="32"/>
  <c r="I123" i="17"/>
  <c r="AE117" i="11"/>
  <c r="AF114" i="11" s="1"/>
  <c r="AF116" i="11" s="1"/>
  <c r="AE44" i="5"/>
  <c r="T102" i="11"/>
  <c r="T152" i="11" l="1"/>
  <c r="T154" i="11" s="1"/>
  <c r="T53" i="5" s="1"/>
  <c r="T49" i="5" s="1"/>
  <c r="T150" i="11"/>
  <c r="U147" i="11" s="1"/>
  <c r="AF117" i="11"/>
  <c r="AG114" i="11" s="1"/>
  <c r="AG116" i="11" s="1"/>
  <c r="AF44" i="5"/>
  <c r="U99" i="11"/>
  <c r="S28" i="15"/>
  <c r="M61" i="16"/>
  <c r="M89" i="6"/>
  <c r="BD83" i="1"/>
  <c r="AN45" i="1" s="1"/>
  <c r="BD73" i="1"/>
  <c r="S26" i="15" l="1"/>
  <c r="S25" i="15" s="1"/>
  <c r="S24" i="15" s="1"/>
  <c r="T155" i="11"/>
  <c r="U152" i="11" s="1"/>
  <c r="M90" i="6"/>
  <c r="M75" i="16"/>
  <c r="M94" i="6"/>
  <c r="M62" i="16"/>
  <c r="N59" i="16" s="1"/>
  <c r="U101" i="11"/>
  <c r="U41" i="5" s="1"/>
  <c r="U141" i="5" s="1"/>
  <c r="U142" i="5" s="1"/>
  <c r="U143" i="5" s="1"/>
  <c r="AG117" i="11"/>
  <c r="AH114" i="11" s="1"/>
  <c r="AH116" i="11" s="1"/>
  <c r="AG44" i="5"/>
  <c r="K603" i="32" s="1"/>
  <c r="U149" i="11"/>
  <c r="U51" i="5" s="1"/>
  <c r="V140" i="5" l="1"/>
  <c r="U123" i="5"/>
  <c r="S17" i="15"/>
  <c r="G602" i="32"/>
  <c r="U40" i="5"/>
  <c r="L113" i="5"/>
  <c r="M76" i="16"/>
  <c r="M77" i="16" s="1"/>
  <c r="N74" i="16" s="1"/>
  <c r="M91" i="6"/>
  <c r="N88" i="6" s="1"/>
  <c r="AH117" i="11"/>
  <c r="AI114" i="11" s="1"/>
  <c r="AI116" i="11" s="1"/>
  <c r="AH44" i="5"/>
  <c r="M99" i="6"/>
  <c r="M95" i="6"/>
  <c r="M96" i="6" s="1"/>
  <c r="N93" i="6" s="1"/>
  <c r="U154" i="11"/>
  <c r="U53" i="5" s="1"/>
  <c r="U49" i="5" s="1"/>
  <c r="U150" i="11"/>
  <c r="U102" i="11"/>
  <c r="V99" i="11" l="1"/>
  <c r="T28" i="15"/>
  <c r="G650" i="32" s="1"/>
  <c r="T26" i="15"/>
  <c r="V147" i="11"/>
  <c r="AI117" i="11"/>
  <c r="AJ114" i="11" s="1"/>
  <c r="AJ116" i="11" s="1"/>
  <c r="AI44" i="5"/>
  <c r="L49" i="19"/>
  <c r="W113" i="19" s="1"/>
  <c r="L110" i="5"/>
  <c r="L108" i="26"/>
  <c r="I72" i="1"/>
  <c r="D627" i="32"/>
  <c r="L108" i="17"/>
  <c r="L286" i="11"/>
  <c r="G615" i="32"/>
  <c r="U155" i="11"/>
  <c r="M100" i="6"/>
  <c r="M101" i="6" s="1"/>
  <c r="N98" i="6" s="1"/>
  <c r="L64" i="19"/>
  <c r="G648" i="32" l="1"/>
  <c r="G655" i="32" s="1"/>
  <c r="T25" i="15"/>
  <c r="T24" i="15" s="1"/>
  <c r="V152" i="11"/>
  <c r="T17" i="15"/>
  <c r="G641" i="32" s="1"/>
  <c r="D758" i="32"/>
  <c r="L105" i="17"/>
  <c r="G611" i="32"/>
  <c r="V101" i="11"/>
  <c r="V41" i="5" s="1"/>
  <c r="V141" i="5" s="1"/>
  <c r="V142" i="5" s="1"/>
  <c r="V143" i="5" s="1"/>
  <c r="L132" i="5"/>
  <c r="L135" i="5"/>
  <c r="L131" i="5"/>
  <c r="L67" i="5"/>
  <c r="L120" i="5" s="1"/>
  <c r="L122" i="5" s="1"/>
  <c r="L124" i="5" s="1"/>
  <c r="L287" i="11"/>
  <c r="D616" i="32"/>
  <c r="L46" i="19"/>
  <c r="L52" i="19"/>
  <c r="L51" i="19"/>
  <c r="W77" i="19"/>
  <c r="L67" i="19"/>
  <c r="L66" i="19"/>
  <c r="K78" i="21"/>
  <c r="AP94" i="1"/>
  <c r="D197" i="32"/>
  <c r="L105" i="26"/>
  <c r="AJ117" i="11"/>
  <c r="AK114" i="11" s="1"/>
  <c r="AK116" i="11" s="1"/>
  <c r="AJ44" i="5"/>
  <c r="L603" i="32" s="1"/>
  <c r="C603" i="32" s="1"/>
  <c r="V149" i="11"/>
  <c r="V51" i="5" s="1"/>
  <c r="W140" i="5" l="1"/>
  <c r="V123" i="5"/>
  <c r="V150" i="11"/>
  <c r="U26" i="15" s="1"/>
  <c r="K16" i="15"/>
  <c r="M121" i="5"/>
  <c r="J45" i="6"/>
  <c r="N44" i="6"/>
  <c r="AQ94" i="1"/>
  <c r="L134" i="5"/>
  <c r="L125" i="26"/>
  <c r="L124" i="26"/>
  <c r="L62" i="26"/>
  <c r="L115" i="26" s="1"/>
  <c r="L117" i="26" s="1"/>
  <c r="M116" i="26" s="1"/>
  <c r="K127" i="21"/>
  <c r="D631" i="32"/>
  <c r="D633" i="32" s="1"/>
  <c r="V40" i="5"/>
  <c r="V154" i="11"/>
  <c r="V53" i="5" s="1"/>
  <c r="V49" i="5" s="1"/>
  <c r="D186" i="32"/>
  <c r="M78" i="21"/>
  <c r="L133" i="5"/>
  <c r="V102" i="11"/>
  <c r="L124" i="17"/>
  <c r="L125" i="17"/>
  <c r="L62" i="17"/>
  <c r="L115" i="17" s="1"/>
  <c r="L117" i="17" s="1"/>
  <c r="AK117" i="11"/>
  <c r="AL114" i="11" s="1"/>
  <c r="AL116" i="11" s="1"/>
  <c r="AK44" i="5"/>
  <c r="K39" i="15"/>
  <c r="M284" i="11"/>
  <c r="D747" i="32"/>
  <c r="W147" i="11" l="1"/>
  <c r="W149" i="11" s="1"/>
  <c r="W51" i="5" s="1"/>
  <c r="V155" i="11"/>
  <c r="E632" i="32"/>
  <c r="M127" i="21"/>
  <c r="K15" i="15"/>
  <c r="K14" i="15" s="1"/>
  <c r="K11" i="18"/>
  <c r="D640" i="32"/>
  <c r="D647" i="32" s="1"/>
  <c r="D201" i="32"/>
  <c r="D762" i="32"/>
  <c r="D764" i="32" s="1"/>
  <c r="AL117" i="11"/>
  <c r="AM114" i="11" s="1"/>
  <c r="AM116" i="11" s="1"/>
  <c r="AL44" i="5"/>
  <c r="W99" i="11"/>
  <c r="U28" i="15"/>
  <c r="U25" i="15" s="1"/>
  <c r="U24" i="15" s="1"/>
  <c r="N43" i="6"/>
  <c r="N42" i="6" s="1"/>
  <c r="N55" i="6" s="1"/>
  <c r="N57" i="6" s="1"/>
  <c r="M20" i="5"/>
  <c r="D658" i="32"/>
  <c r="D659" i="32" s="1"/>
  <c r="D660" i="32" s="1"/>
  <c r="K38" i="15"/>
  <c r="K34" i="15" s="1"/>
  <c r="K40" i="15" s="1"/>
  <c r="K34" i="18"/>
  <c r="M116" i="17"/>
  <c r="AR94" i="1"/>
  <c r="W150" i="11" l="1"/>
  <c r="X147" i="11" s="1"/>
  <c r="AM117" i="11"/>
  <c r="AN114" i="11" s="1"/>
  <c r="AN116" i="11" s="1"/>
  <c r="AM44" i="5"/>
  <c r="K33" i="18"/>
  <c r="K29" i="18" s="1"/>
  <c r="K35" i="18" s="1"/>
  <c r="D227" i="32"/>
  <c r="D228" i="32" s="1"/>
  <c r="D229" i="32" s="1"/>
  <c r="D789" i="32"/>
  <c r="D790" i="32" s="1"/>
  <c r="D791" i="32" s="1"/>
  <c r="N62" i="6"/>
  <c r="M285" i="11"/>
  <c r="D210" i="32"/>
  <c r="D217" i="32" s="1"/>
  <c r="D771" i="32"/>
  <c r="D778" i="32" s="1"/>
  <c r="K10" i="18"/>
  <c r="K9" i="18" s="1"/>
  <c r="K41" i="15"/>
  <c r="U17" i="15"/>
  <c r="W152" i="11"/>
  <c r="W101" i="11"/>
  <c r="W41" i="5" s="1"/>
  <c r="W141" i="5" s="1"/>
  <c r="W142" i="5" s="1"/>
  <c r="W143" i="5" s="1"/>
  <c r="E763" i="32"/>
  <c r="D203" i="32"/>
  <c r="M15" i="5"/>
  <c r="M14" i="5" s="1"/>
  <c r="N66" i="6" s="1"/>
  <c r="D661" i="32"/>
  <c r="X140" i="5" l="1"/>
  <c r="W123" i="5"/>
  <c r="V26" i="15"/>
  <c r="K36" i="18"/>
  <c r="E202" i="32"/>
  <c r="W40" i="5"/>
  <c r="W154" i="11"/>
  <c r="W53" i="5" s="1"/>
  <c r="W49" i="5" s="1"/>
  <c r="N64" i="6"/>
  <c r="N69" i="6"/>
  <c r="N75" i="6"/>
  <c r="N80" i="6" s="1"/>
  <c r="D792" i="32"/>
  <c r="W102" i="11"/>
  <c r="D230" i="32"/>
  <c r="X149" i="11"/>
  <c r="X51" i="5" s="1"/>
  <c r="AN117" i="11"/>
  <c r="AO114" i="11" s="1"/>
  <c r="AO116" i="11" s="1"/>
  <c r="AN44" i="5"/>
  <c r="X150" i="11" l="1"/>
  <c r="W26" i="15" s="1"/>
  <c r="W155" i="11"/>
  <c r="V17" i="15" s="1"/>
  <c r="M103" i="5"/>
  <c r="N81" i="6"/>
  <c r="O78" i="6" s="1"/>
  <c r="N70" i="6"/>
  <c r="AO117" i="11"/>
  <c r="AP114" i="11" s="1"/>
  <c r="AO44" i="5"/>
  <c r="X99" i="11"/>
  <c r="V28" i="15"/>
  <c r="V25" i="15" s="1"/>
  <c r="V24" i="15" s="1"/>
  <c r="M98" i="5"/>
  <c r="M17" i="19"/>
  <c r="N76" i="6"/>
  <c r="O73" i="6" s="1"/>
  <c r="Y147" i="11" l="1"/>
  <c r="Y149" i="11" s="1"/>
  <c r="Y51" i="5" s="1"/>
  <c r="X152" i="11"/>
  <c r="X154" i="11" s="1"/>
  <c r="X53" i="5" s="1"/>
  <c r="M95" i="5"/>
  <c r="M100" i="5"/>
  <c r="N71" i="6"/>
  <c r="O68" i="6" s="1"/>
  <c r="N89" i="6"/>
  <c r="AP116" i="11"/>
  <c r="AP44" i="5" s="1"/>
  <c r="X101" i="11"/>
  <c r="X41" i="5" s="1"/>
  <c r="X141" i="5" s="1"/>
  <c r="X142" i="5" s="1"/>
  <c r="X143" i="5" s="1"/>
  <c r="M21" i="18"/>
  <c r="H648" i="32"/>
  <c r="M19" i="19"/>
  <c r="M14" i="19"/>
  <c r="M20" i="19"/>
  <c r="Y140" i="5" l="1"/>
  <c r="X123" i="5"/>
  <c r="Y150" i="11"/>
  <c r="X26" i="15" s="1"/>
  <c r="X155" i="11"/>
  <c r="X102" i="11"/>
  <c r="AP117" i="11"/>
  <c r="AQ114" i="11" s="1"/>
  <c r="N94" i="6"/>
  <c r="N99" i="6" s="1"/>
  <c r="N90" i="6"/>
  <c r="H602" i="32"/>
  <c r="X40" i="5"/>
  <c r="X49" i="5"/>
  <c r="H615" i="32"/>
  <c r="M128" i="5"/>
  <c r="M127" i="5"/>
  <c r="M125" i="5"/>
  <c r="M126" i="5"/>
  <c r="F779" i="32"/>
  <c r="Z147" i="11" l="1"/>
  <c r="Z149" i="11" s="1"/>
  <c r="Z51" i="5" s="1"/>
  <c r="H611" i="32"/>
  <c r="Y99" i="11"/>
  <c r="W28" i="15"/>
  <c r="N100" i="6"/>
  <c r="M64" i="19"/>
  <c r="N91" i="6"/>
  <c r="O88" i="6" s="1"/>
  <c r="M113" i="5"/>
  <c r="N95" i="6"/>
  <c r="N96" i="6" s="1"/>
  <c r="O93" i="6" s="1"/>
  <c r="AQ116" i="11"/>
  <c r="AQ44" i="5" s="1"/>
  <c r="W17" i="15"/>
  <c r="Y152" i="11"/>
  <c r="Z150" i="11" l="1"/>
  <c r="AA147" i="11" s="1"/>
  <c r="AQ117" i="11"/>
  <c r="AR114" i="11" s="1"/>
  <c r="AR116" i="11" s="1"/>
  <c r="AR44" i="5" s="1"/>
  <c r="Y154" i="11"/>
  <c r="Y53" i="5" s="1"/>
  <c r="M110" i="5"/>
  <c r="M49" i="19"/>
  <c r="M286" i="11"/>
  <c r="M23" i="18"/>
  <c r="H650" i="32"/>
  <c r="H655" i="32" s="1"/>
  <c r="W25" i="15"/>
  <c r="W24" i="15" s="1"/>
  <c r="H641" i="32"/>
  <c r="M12" i="18"/>
  <c r="M66" i="19"/>
  <c r="M67" i="19"/>
  <c r="Y101" i="11"/>
  <c r="Y41" i="5" s="1"/>
  <c r="Y141" i="5" s="1"/>
  <c r="Y142" i="5" s="1"/>
  <c r="Y143" i="5" s="1"/>
  <c r="N101" i="6"/>
  <c r="O98" i="6" s="1"/>
  <c r="Z140" i="5" l="1"/>
  <c r="Y123" i="5"/>
  <c r="Y26" i="15"/>
  <c r="Y155" i="11"/>
  <c r="Z152" i="11" s="1"/>
  <c r="Y102" i="11"/>
  <c r="Z99" i="11" s="1"/>
  <c r="AR117" i="11"/>
  <c r="AS114" i="11" s="1"/>
  <c r="AS116" i="11" s="1"/>
  <c r="AS44" i="5" s="1"/>
  <c r="M51" i="19"/>
  <c r="M46" i="19"/>
  <c r="M52" i="19"/>
  <c r="AA149" i="11"/>
  <c r="AA51" i="5" s="1"/>
  <c r="M287" i="11"/>
  <c r="F772" i="32"/>
  <c r="E211" i="32"/>
  <c r="E219" i="32"/>
  <c r="E224" i="32" s="1"/>
  <c r="F781" i="32"/>
  <c r="F786" i="32" s="1"/>
  <c r="M20" i="18"/>
  <c r="M19" i="18" s="1"/>
  <c r="M132" i="5"/>
  <c r="M135" i="5"/>
  <c r="M67" i="5"/>
  <c r="M120" i="5" s="1"/>
  <c r="M122" i="5" s="1"/>
  <c r="M124" i="5" s="1"/>
  <c r="M131" i="5"/>
  <c r="Y40" i="5"/>
  <c r="Y49" i="5"/>
  <c r="X28" i="15" l="1"/>
  <c r="X25" i="15" s="1"/>
  <c r="X24" i="15" s="1"/>
  <c r="X17" i="15"/>
  <c r="AS117" i="11"/>
  <c r="AT114" i="11" s="1"/>
  <c r="AT116" i="11" s="1"/>
  <c r="AT44" i="5" s="1"/>
  <c r="AA150" i="11"/>
  <c r="Z26" i="15" s="1"/>
  <c r="O44" i="6"/>
  <c r="L16" i="15"/>
  <c r="L15" i="15" s="1"/>
  <c r="L14" i="15" s="1"/>
  <c r="N121" i="5"/>
  <c r="N284" i="11"/>
  <c r="L39" i="15"/>
  <c r="L38" i="15" s="1"/>
  <c r="L34" i="15" s="1"/>
  <c r="L40" i="15" s="1"/>
  <c r="Z154" i="11"/>
  <c r="Z53" i="5" s="1"/>
  <c r="Z101" i="11"/>
  <c r="Z41" i="5" s="1"/>
  <c r="Z141" i="5" s="1"/>
  <c r="Z142" i="5" s="1"/>
  <c r="Z143" i="5" s="1"/>
  <c r="M134" i="5"/>
  <c r="M133" i="5"/>
  <c r="AA140" i="5" l="1"/>
  <c r="Z123" i="5"/>
  <c r="AB147" i="11"/>
  <c r="AB149" i="11" s="1"/>
  <c r="AB51" i="5" s="1"/>
  <c r="Z102" i="11"/>
  <c r="AA99" i="11" s="1"/>
  <c r="AT117" i="11"/>
  <c r="AU114" i="11" s="1"/>
  <c r="AU116" i="11" s="1"/>
  <c r="AU44" i="5" s="1"/>
  <c r="Z155" i="11"/>
  <c r="AA152" i="11" s="1"/>
  <c r="Z40" i="5"/>
  <c r="L41" i="15"/>
  <c r="N20" i="5"/>
  <c r="O43" i="6"/>
  <c r="O42" i="6" s="1"/>
  <c r="O55" i="6" s="1"/>
  <c r="O57" i="6" s="1"/>
  <c r="I648" i="32"/>
  <c r="Z49" i="5"/>
  <c r="Y17" i="15" l="1"/>
  <c r="Y28" i="15"/>
  <c r="Y25" i="15" s="1"/>
  <c r="Y24" i="15" s="1"/>
  <c r="AB150" i="11"/>
  <c r="AA26" i="15" s="1"/>
  <c r="AA101" i="11"/>
  <c r="AA41" i="5" s="1"/>
  <c r="AA141" i="5" s="1"/>
  <c r="AA142" i="5" s="1"/>
  <c r="AA143" i="5" s="1"/>
  <c r="AA154" i="11"/>
  <c r="AA53" i="5" s="1"/>
  <c r="N285" i="11"/>
  <c r="O62" i="6"/>
  <c r="N15" i="5"/>
  <c r="N14" i="5" s="1"/>
  <c r="O66" i="6" s="1"/>
  <c r="O75" i="6" s="1"/>
  <c r="AU117" i="11"/>
  <c r="AV114" i="11" s="1"/>
  <c r="AB140" i="5" l="1"/>
  <c r="AA123" i="5"/>
  <c r="AC147" i="11"/>
  <c r="AC149" i="11" s="1"/>
  <c r="AC51" i="5" s="1"/>
  <c r="AA102" i="11"/>
  <c r="AB99" i="11" s="1"/>
  <c r="I615" i="32"/>
  <c r="I611" i="32" s="1"/>
  <c r="AA49" i="5"/>
  <c r="AV116" i="11"/>
  <c r="AV44" i="5" s="1"/>
  <c r="O80" i="6"/>
  <c r="N17" i="19"/>
  <c r="N98" i="5"/>
  <c r="O76" i="6"/>
  <c r="P73" i="6" s="1"/>
  <c r="I602" i="32"/>
  <c r="AA40" i="5"/>
  <c r="O69" i="6"/>
  <c r="O64" i="6"/>
  <c r="AA155" i="11"/>
  <c r="Z28" i="15" l="1"/>
  <c r="I650" i="32" s="1"/>
  <c r="I655" i="32" s="1"/>
  <c r="AC150" i="11"/>
  <c r="AD147" i="11" s="1"/>
  <c r="AV117" i="11"/>
  <c r="AW114" i="11" s="1"/>
  <c r="AW116" i="11" s="1"/>
  <c r="AW44" i="5" s="1"/>
  <c r="Z17" i="15"/>
  <c r="I641" i="32" s="1"/>
  <c r="AB152" i="11"/>
  <c r="O70" i="6"/>
  <c r="N95" i="5"/>
  <c r="AB101" i="11"/>
  <c r="AB41" i="5" s="1"/>
  <c r="AB141" i="5" s="1"/>
  <c r="AB142" i="5" s="1"/>
  <c r="AB143" i="5" s="1"/>
  <c r="N19" i="19"/>
  <c r="N20" i="19"/>
  <c r="N14" i="19"/>
  <c r="N103" i="5"/>
  <c r="O81" i="6"/>
  <c r="P78" i="6" s="1"/>
  <c r="AC140" i="5" l="1"/>
  <c r="AB123" i="5"/>
  <c r="Z25" i="15"/>
  <c r="Z24" i="15" s="1"/>
  <c r="AB26" i="15"/>
  <c r="AW117" i="11"/>
  <c r="AX114" i="11" s="1"/>
  <c r="AX116" i="11" s="1"/>
  <c r="AX117" i="11" s="1"/>
  <c r="AY114" i="11" s="1"/>
  <c r="AY116" i="11" s="1"/>
  <c r="AB154" i="11"/>
  <c r="AB53" i="5" s="1"/>
  <c r="AB40" i="5"/>
  <c r="O71" i="6"/>
  <c r="P68" i="6" s="1"/>
  <c r="O89" i="6"/>
  <c r="N100" i="5"/>
  <c r="N126" i="5"/>
  <c r="N125" i="5"/>
  <c r="AD149" i="11"/>
  <c r="AD51" i="5" s="1"/>
  <c r="AB102" i="11"/>
  <c r="AX44" i="5" l="1"/>
  <c r="AB155" i="11"/>
  <c r="AC152" i="11" s="1"/>
  <c r="AD150" i="11"/>
  <c r="AE147" i="11" s="1"/>
  <c r="O94" i="6"/>
  <c r="O90" i="6"/>
  <c r="AC99" i="11"/>
  <c r="AA28" i="15"/>
  <c r="AA25" i="15" s="1"/>
  <c r="AA24" i="15" s="1"/>
  <c r="N128" i="5"/>
  <c r="N127" i="5"/>
  <c r="AY117" i="11"/>
  <c r="AZ114" i="11" s="1"/>
  <c r="AZ116" i="11" s="1"/>
  <c r="AY44" i="5"/>
  <c r="AB49" i="5"/>
  <c r="AA17" i="15" l="1"/>
  <c r="AC26" i="15"/>
  <c r="J648" i="32" s="1"/>
  <c r="AZ117" i="11"/>
  <c r="BA114" i="11" s="1"/>
  <c r="BA116" i="11" s="1"/>
  <c r="AZ44" i="5"/>
  <c r="AC101" i="11"/>
  <c r="AC41" i="5" s="1"/>
  <c r="AC141" i="5" s="1"/>
  <c r="AC142" i="5" s="1"/>
  <c r="AC143" i="5" s="1"/>
  <c r="O99" i="6"/>
  <c r="O95" i="6"/>
  <c r="O96" i="6" s="1"/>
  <c r="P93" i="6" s="1"/>
  <c r="AC154" i="11"/>
  <c r="AC53" i="5" s="1"/>
  <c r="AE149" i="11"/>
  <c r="AE51" i="5" s="1"/>
  <c r="O91" i="6"/>
  <c r="P88" i="6" s="1"/>
  <c r="N113" i="5"/>
  <c r="AD140" i="5" l="1"/>
  <c r="AC123" i="5"/>
  <c r="N21" i="18"/>
  <c r="G779" i="32" s="1"/>
  <c r="AC102" i="11"/>
  <c r="AD99" i="11" s="1"/>
  <c r="AE150" i="11"/>
  <c r="AF147" i="11" s="1"/>
  <c r="AC155" i="11"/>
  <c r="AD152" i="11" s="1"/>
  <c r="N64" i="19"/>
  <c r="O100" i="6"/>
  <c r="AC49" i="5"/>
  <c r="N110" i="5"/>
  <c r="N49" i="19"/>
  <c r="N286" i="11"/>
  <c r="AC40" i="5"/>
  <c r="BA117" i="11"/>
  <c r="BB114" i="11" s="1"/>
  <c r="BB116" i="11" s="1"/>
  <c r="BA44" i="5"/>
  <c r="AB28" i="15" l="1"/>
  <c r="AB25" i="15" s="1"/>
  <c r="AB24" i="15" s="1"/>
  <c r="AD26" i="15"/>
  <c r="AB17" i="15"/>
  <c r="AF149" i="11"/>
  <c r="AF51" i="5" s="1"/>
  <c r="N67" i="5"/>
  <c r="N120" i="5" s="1"/>
  <c r="N122" i="5" s="1"/>
  <c r="N124" i="5" s="1"/>
  <c r="N135" i="5"/>
  <c r="N131" i="5"/>
  <c r="N132" i="5"/>
  <c r="O101" i="6"/>
  <c r="P98" i="6" s="1"/>
  <c r="N66" i="19"/>
  <c r="N67" i="19"/>
  <c r="AD154" i="11"/>
  <c r="AD53" i="5" s="1"/>
  <c r="N287" i="11"/>
  <c r="N46" i="19"/>
  <c r="N52" i="19"/>
  <c r="N51" i="19"/>
  <c r="AD101" i="11"/>
  <c r="AD41" i="5" s="1"/>
  <c r="AD141" i="5" s="1"/>
  <c r="AD142" i="5" s="1"/>
  <c r="AD143" i="5" s="1"/>
  <c r="BB117" i="11"/>
  <c r="BC114" i="11" s="1"/>
  <c r="BC116" i="11" s="1"/>
  <c r="BB44" i="5"/>
  <c r="AE140" i="5" l="1"/>
  <c r="AD123" i="5"/>
  <c r="AD155" i="11"/>
  <c r="AE152" i="11" s="1"/>
  <c r="AF150" i="11"/>
  <c r="AE26" i="15" s="1"/>
  <c r="AD102" i="11"/>
  <c r="AE99" i="11" s="1"/>
  <c r="P44" i="6"/>
  <c r="M16" i="15"/>
  <c r="M15" i="15" s="1"/>
  <c r="M14" i="15" s="1"/>
  <c r="O121" i="5"/>
  <c r="BC117" i="11"/>
  <c r="BD114" i="11" s="1"/>
  <c r="BD116" i="11" s="1"/>
  <c r="BC44" i="5"/>
  <c r="N134" i="5"/>
  <c r="AD49" i="5"/>
  <c r="J615" i="32"/>
  <c r="J611" i="32" s="1"/>
  <c r="N133" i="5"/>
  <c r="J602" i="32"/>
  <c r="AD40" i="5"/>
  <c r="M39" i="15"/>
  <c r="M38" i="15" s="1"/>
  <c r="M34" i="15" s="1"/>
  <c r="M40" i="15" s="1"/>
  <c r="O284" i="11"/>
  <c r="AC17" i="15" l="1"/>
  <c r="J641" i="32" s="1"/>
  <c r="AG147" i="11"/>
  <c r="AG149" i="11" s="1"/>
  <c r="AG51" i="5" s="1"/>
  <c r="AC28" i="15"/>
  <c r="AC25" i="15" s="1"/>
  <c r="AC24" i="15" s="1"/>
  <c r="E456" i="32"/>
  <c r="I35" i="35"/>
  <c r="F34" i="30"/>
  <c r="I37" i="35"/>
  <c r="F36" i="30"/>
  <c r="BD117" i="11"/>
  <c r="BE114" i="11" s="1"/>
  <c r="BE116" i="11" s="1"/>
  <c r="BD44" i="5"/>
  <c r="M41" i="15"/>
  <c r="AE101" i="11"/>
  <c r="AE41" i="5" s="1"/>
  <c r="AE141" i="5" s="1"/>
  <c r="AE142" i="5" s="1"/>
  <c r="AE143" i="5" s="1"/>
  <c r="AE154" i="11"/>
  <c r="AE53" i="5" s="1"/>
  <c r="O20" i="5"/>
  <c r="P43" i="6"/>
  <c r="P42" i="6" s="1"/>
  <c r="P55" i="6" s="1"/>
  <c r="P57" i="6" s="1"/>
  <c r="E562" i="32"/>
  <c r="I26" i="35"/>
  <c r="F26" i="30"/>
  <c r="AF140" i="5" l="1"/>
  <c r="AE123" i="5"/>
  <c r="N12" i="18"/>
  <c r="G772" i="32" s="1"/>
  <c r="J650" i="32"/>
  <c r="J655" i="32" s="1"/>
  <c r="N23" i="18"/>
  <c r="G781" i="32" s="1"/>
  <c r="G786" i="32" s="1"/>
  <c r="AE155" i="11"/>
  <c r="AF152" i="11" s="1"/>
  <c r="AG150" i="11"/>
  <c r="AF26" i="15" s="1"/>
  <c r="AE102" i="11"/>
  <c r="AF99" i="11" s="1"/>
  <c r="AF101" i="11" s="1"/>
  <c r="E561" i="32"/>
  <c r="AE49" i="5"/>
  <c r="BE117" i="11"/>
  <c r="BF114" i="11" s="1"/>
  <c r="BF116" i="11" s="1"/>
  <c r="BE44" i="5"/>
  <c r="F25" i="30"/>
  <c r="I25" i="35"/>
  <c r="P62" i="6"/>
  <c r="O285" i="11"/>
  <c r="O15" i="5"/>
  <c r="O14" i="5" s="1"/>
  <c r="P66" i="6" s="1"/>
  <c r="P75" i="6" s="1"/>
  <c r="E601" i="32"/>
  <c r="AE40" i="5"/>
  <c r="E457" i="32"/>
  <c r="N20" i="18" l="1"/>
  <c r="N19" i="18" s="1"/>
  <c r="AD17" i="15"/>
  <c r="AH147" i="11"/>
  <c r="AH149" i="11" s="1"/>
  <c r="AH51" i="5" s="1"/>
  <c r="AD28" i="15"/>
  <c r="AD25" i="15" s="1"/>
  <c r="AD24" i="15" s="1"/>
  <c r="E460" i="32"/>
  <c r="E461" i="32"/>
  <c r="E600" i="32"/>
  <c r="P80" i="6"/>
  <c r="O98" i="5"/>
  <c r="O17" i="19"/>
  <c r="F45" i="30"/>
  <c r="I46" i="35"/>
  <c r="P76" i="6"/>
  <c r="Q73" i="6" s="1"/>
  <c r="P69" i="6"/>
  <c r="P64" i="6"/>
  <c r="AF154" i="11"/>
  <c r="AF53" i="5" s="1"/>
  <c r="E574" i="32"/>
  <c r="AF102" i="11"/>
  <c r="AF41" i="5"/>
  <c r="AF141" i="5" s="1"/>
  <c r="AF142" i="5" s="1"/>
  <c r="AF143" i="5" s="1"/>
  <c r="K648" i="32"/>
  <c r="BF117" i="11"/>
  <c r="BG114" i="11" s="1"/>
  <c r="BG116" i="11" s="1"/>
  <c r="BF44" i="5"/>
  <c r="AG140" i="5" l="1"/>
  <c r="AF123" i="5"/>
  <c r="AH150" i="11"/>
  <c r="AG26" i="15" s="1"/>
  <c r="AF155" i="11"/>
  <c r="AG152" i="11" s="1"/>
  <c r="O14" i="19"/>
  <c r="O19" i="19"/>
  <c r="O20" i="19"/>
  <c r="O95" i="5"/>
  <c r="E625" i="32"/>
  <c r="I48" i="35"/>
  <c r="E585" i="32"/>
  <c r="AF40" i="5"/>
  <c r="AG99" i="11"/>
  <c r="AE28" i="15"/>
  <c r="AE25" i="15" s="1"/>
  <c r="AE24" i="15" s="1"/>
  <c r="AF49" i="5"/>
  <c r="P70" i="6"/>
  <c r="O103" i="5"/>
  <c r="I47" i="35"/>
  <c r="I49" i="35" s="1"/>
  <c r="F46" i="30"/>
  <c r="F48" i="30" s="1"/>
  <c r="P81" i="6"/>
  <c r="Q78" i="6" s="1"/>
  <c r="BG117" i="11"/>
  <c r="BH114" i="11" s="1"/>
  <c r="BH116" i="11" s="1"/>
  <c r="BG44" i="5"/>
  <c r="F47" i="30"/>
  <c r="AI147" i="11" l="1"/>
  <c r="AI149" i="11" s="1"/>
  <c r="AI51" i="5" s="1"/>
  <c r="AE17" i="15"/>
  <c r="P71" i="6"/>
  <c r="Q68" i="6" s="1"/>
  <c r="P89" i="6"/>
  <c r="AG154" i="11"/>
  <c r="AG53" i="5" s="1"/>
  <c r="BH117" i="11"/>
  <c r="BI114" i="11" s="1"/>
  <c r="BI116" i="11" s="1"/>
  <c r="BH44" i="5"/>
  <c r="T39" i="17" s="1"/>
  <c r="AG101" i="11"/>
  <c r="AG41" i="5" s="1"/>
  <c r="AG141" i="5" s="1"/>
  <c r="AG142" i="5" s="1"/>
  <c r="AG143" i="5" s="1"/>
  <c r="O100" i="5"/>
  <c r="E626" i="32"/>
  <c r="O125" i="5"/>
  <c r="O126" i="5"/>
  <c r="AH140" i="5" l="1"/>
  <c r="AG123" i="5"/>
  <c r="AG102" i="11"/>
  <c r="AH99" i="11" s="1"/>
  <c r="AG155" i="11"/>
  <c r="AF17" i="15" s="1"/>
  <c r="K641" i="32" s="1"/>
  <c r="O127" i="5"/>
  <c r="O128" i="5"/>
  <c r="BI117" i="11"/>
  <c r="BJ114" i="11" s="1"/>
  <c r="BJ116" i="11" s="1"/>
  <c r="BI44" i="5"/>
  <c r="K602" i="32"/>
  <c r="AG40" i="5"/>
  <c r="K615" i="32"/>
  <c r="K611" i="32" s="1"/>
  <c r="AG49" i="5"/>
  <c r="AI150" i="11"/>
  <c r="P94" i="6"/>
  <c r="P90" i="6"/>
  <c r="AF28" i="15" l="1"/>
  <c r="K650" i="32" s="1"/>
  <c r="K655" i="32" s="1"/>
  <c r="AH152" i="11"/>
  <c r="BJ117" i="11"/>
  <c r="BK114" i="11" s="1"/>
  <c r="BK116" i="11" s="1"/>
  <c r="BJ44" i="5"/>
  <c r="P99" i="6"/>
  <c r="P95" i="6"/>
  <c r="P96" i="6" s="1"/>
  <c r="Q93" i="6" s="1"/>
  <c r="AH101" i="11"/>
  <c r="AH41" i="5" s="1"/>
  <c r="AH141" i="5" s="1"/>
  <c r="AH142" i="5" s="1"/>
  <c r="AH143" i="5" s="1"/>
  <c r="P91" i="6"/>
  <c r="Q88" i="6" s="1"/>
  <c r="O113" i="5"/>
  <c r="AJ147" i="11"/>
  <c r="AH26" i="15"/>
  <c r="AI140" i="5" l="1"/>
  <c r="AH123" i="5"/>
  <c r="AF25" i="15"/>
  <c r="AF24" i="15" s="1"/>
  <c r="AH154" i="11"/>
  <c r="AH53" i="5" s="1"/>
  <c r="AH49" i="5" s="1"/>
  <c r="AJ149" i="11"/>
  <c r="AJ51" i="5" s="1"/>
  <c r="AH40" i="5"/>
  <c r="O49" i="19"/>
  <c r="O110" i="5"/>
  <c r="E627" i="32"/>
  <c r="O286" i="11"/>
  <c r="AH102" i="11"/>
  <c r="P100" i="6"/>
  <c r="P101" i="6" s="1"/>
  <c r="Q98" i="6" s="1"/>
  <c r="O64" i="19"/>
  <c r="BK117" i="11"/>
  <c r="BL114" i="11" s="1"/>
  <c r="BL116" i="11" s="1"/>
  <c r="BK44" i="5"/>
  <c r="AH155" i="11" l="1"/>
  <c r="AJ150" i="11"/>
  <c r="AI26" i="15" s="1"/>
  <c r="O66" i="19"/>
  <c r="O67" i="19"/>
  <c r="BL117" i="11"/>
  <c r="BM114" i="11" s="1"/>
  <c r="BM116" i="11" s="1"/>
  <c r="BL44" i="5"/>
  <c r="AI99" i="11"/>
  <c r="AG28" i="15"/>
  <c r="AG25" i="15" s="1"/>
  <c r="AG24" i="15" s="1"/>
  <c r="O51" i="19"/>
  <c r="O46" i="19"/>
  <c r="O52" i="19"/>
  <c r="E616" i="32"/>
  <c r="O287" i="11"/>
  <c r="O132" i="5"/>
  <c r="O135" i="5"/>
  <c r="O131" i="5"/>
  <c r="O67" i="5"/>
  <c r="O120" i="5" s="1"/>
  <c r="O122" i="5" s="1"/>
  <c r="O124" i="5" s="1"/>
  <c r="AK147" i="11" l="1"/>
  <c r="AK149" i="11" s="1"/>
  <c r="AK51" i="5" s="1"/>
  <c r="AI152" i="11"/>
  <c r="AI154" i="11" s="1"/>
  <c r="AI53" i="5" s="1"/>
  <c r="AI49" i="5" s="1"/>
  <c r="AG17" i="15"/>
  <c r="E631" i="32"/>
  <c r="E633" i="32" s="1"/>
  <c r="O134" i="5"/>
  <c r="N16" i="15"/>
  <c r="P121" i="5"/>
  <c r="Q44" i="6"/>
  <c r="N39" i="15"/>
  <c r="P284" i="11"/>
  <c r="AI101" i="11"/>
  <c r="AI41" i="5" s="1"/>
  <c r="AI141" i="5" s="1"/>
  <c r="AI142" i="5" s="1"/>
  <c r="AI143" i="5" s="1"/>
  <c r="O133" i="5"/>
  <c r="O21" i="18"/>
  <c r="L648" i="32"/>
  <c r="BM117" i="11"/>
  <c r="BN114" i="11" s="1"/>
  <c r="BN116" i="11" s="1"/>
  <c r="BM44" i="5"/>
  <c r="AJ140" i="5" l="1"/>
  <c r="AI123" i="5"/>
  <c r="AI155" i="11"/>
  <c r="AJ152" i="11" s="1"/>
  <c r="N15" i="15"/>
  <c r="N14" i="15" s="1"/>
  <c r="E640" i="32"/>
  <c r="E647" i="32" s="1"/>
  <c r="AI40" i="5"/>
  <c r="AI102" i="11"/>
  <c r="Q43" i="6"/>
  <c r="Q42" i="6" s="1"/>
  <c r="Q55" i="6" s="1"/>
  <c r="Q57" i="6" s="1"/>
  <c r="P20" i="5"/>
  <c r="F632" i="32"/>
  <c r="H779" i="32"/>
  <c r="BN117" i="11"/>
  <c r="BO114" i="11" s="1"/>
  <c r="BO116" i="11" s="1"/>
  <c r="BN44" i="5"/>
  <c r="U39" i="17" s="1"/>
  <c r="AK150" i="11"/>
  <c r="E658" i="32"/>
  <c r="E659" i="32" s="1"/>
  <c r="E660" i="32" s="1"/>
  <c r="N38" i="15"/>
  <c r="N34" i="15" s="1"/>
  <c r="N40" i="15" s="1"/>
  <c r="AH17" i="15" l="1"/>
  <c r="AL147" i="11"/>
  <c r="AJ26" i="15"/>
  <c r="P285" i="11"/>
  <c r="Q62" i="6"/>
  <c r="AJ99" i="11"/>
  <c r="AH28" i="15"/>
  <c r="AH25" i="15" s="1"/>
  <c r="AH24" i="15" s="1"/>
  <c r="BO117" i="11"/>
  <c r="BP114" i="11" s="1"/>
  <c r="BP116" i="11" s="1"/>
  <c r="BO44" i="5"/>
  <c r="AJ154" i="11"/>
  <c r="AJ53" i="5" s="1"/>
  <c r="E661" i="32"/>
  <c r="P15" i="5"/>
  <c r="P14" i="5" s="1"/>
  <c r="Q66" i="6" s="1"/>
  <c r="N41" i="15"/>
  <c r="AJ155" i="11" l="1"/>
  <c r="AK152" i="11" s="1"/>
  <c r="Q75" i="6"/>
  <c r="Q80" i="6" s="1"/>
  <c r="Q64" i="6"/>
  <c r="Q69" i="6"/>
  <c r="AJ49" i="5"/>
  <c r="L615" i="32"/>
  <c r="AJ101" i="11"/>
  <c r="AJ41" i="5" s="1"/>
  <c r="AJ141" i="5" s="1"/>
  <c r="AJ142" i="5" s="1"/>
  <c r="AJ143" i="5" s="1"/>
  <c r="BP117" i="11"/>
  <c r="BQ114" i="11" s="1"/>
  <c r="BQ116" i="11" s="1"/>
  <c r="BP44" i="5"/>
  <c r="AL149" i="11"/>
  <c r="AL51" i="5" s="1"/>
  <c r="AK140" i="5" l="1"/>
  <c r="AJ123" i="5"/>
  <c r="AI17" i="15"/>
  <c r="L641" i="32" s="1"/>
  <c r="AJ102" i="11"/>
  <c r="AK99" i="11" s="1"/>
  <c r="P103" i="5"/>
  <c r="Q81" i="6"/>
  <c r="R78" i="6" s="1"/>
  <c r="AK154" i="11"/>
  <c r="AK53" i="5" s="1"/>
  <c r="L602" i="32"/>
  <c r="C602" i="32" s="1"/>
  <c r="AJ40" i="5"/>
  <c r="L611" i="32"/>
  <c r="C611" i="32" s="1"/>
  <c r="C615" i="32"/>
  <c r="Q70" i="6"/>
  <c r="Q71" i="6" s="1"/>
  <c r="R68" i="6" s="1"/>
  <c r="AL150" i="11"/>
  <c r="BQ117" i="11"/>
  <c r="BR114" i="11" s="1"/>
  <c r="BR116" i="11" s="1"/>
  <c r="BQ44" i="5"/>
  <c r="P17" i="19"/>
  <c r="P98" i="5"/>
  <c r="Q76" i="6"/>
  <c r="R73" i="6" s="1"/>
  <c r="O12" i="18" l="1"/>
  <c r="F211" i="32" s="1"/>
  <c r="AI28" i="15"/>
  <c r="O23" i="18" s="1"/>
  <c r="P100" i="5"/>
  <c r="AK101" i="11"/>
  <c r="AK41" i="5" s="1"/>
  <c r="AK141" i="5" s="1"/>
  <c r="AK142" i="5" s="1"/>
  <c r="AK143" i="5" s="1"/>
  <c r="P20" i="19"/>
  <c r="P14" i="19"/>
  <c r="P19" i="19"/>
  <c r="AK49" i="5"/>
  <c r="Q89" i="6"/>
  <c r="BR117" i="11"/>
  <c r="BS114" i="11" s="1"/>
  <c r="BS116" i="11" s="1"/>
  <c r="BR44" i="5"/>
  <c r="P95" i="5"/>
  <c r="AK26" i="15"/>
  <c r="AM147" i="11"/>
  <c r="AK155" i="11"/>
  <c r="AL140" i="5" l="1"/>
  <c r="AK123" i="5"/>
  <c r="H772" i="32"/>
  <c r="L650" i="32"/>
  <c r="L655" i="32" s="1"/>
  <c r="AI25" i="15"/>
  <c r="AI24" i="15" s="1"/>
  <c r="AK40" i="5"/>
  <c r="AM149" i="11"/>
  <c r="AM51" i="5" s="1"/>
  <c r="Q94" i="6"/>
  <c r="Q99" i="6" s="1"/>
  <c r="Q90" i="6"/>
  <c r="AL152" i="11"/>
  <c r="AJ17" i="15"/>
  <c r="BS117" i="11"/>
  <c r="BT114" i="11" s="1"/>
  <c r="BT116" i="11" s="1"/>
  <c r="BS44" i="5"/>
  <c r="F219" i="32"/>
  <c r="F224" i="32" s="1"/>
  <c r="H781" i="32"/>
  <c r="H786" i="32" s="1"/>
  <c r="O20" i="18"/>
  <c r="O19" i="18" s="1"/>
  <c r="P128" i="5"/>
  <c r="P127" i="5"/>
  <c r="P125" i="5"/>
  <c r="P126" i="5"/>
  <c r="AK102" i="11"/>
  <c r="AM150" i="11" l="1"/>
  <c r="AN147" i="11" s="1"/>
  <c r="BT117" i="11"/>
  <c r="BU114" i="11" s="1"/>
  <c r="BU116" i="11" s="1"/>
  <c r="BT44" i="5"/>
  <c r="Q91" i="6"/>
  <c r="R88" i="6" s="1"/>
  <c r="P113" i="5"/>
  <c r="AL99" i="11"/>
  <c r="AJ28" i="15"/>
  <c r="AJ25" i="15" s="1"/>
  <c r="AJ24" i="15" s="1"/>
  <c r="Q100" i="6"/>
  <c r="Q101" i="6" s="1"/>
  <c r="R98" i="6" s="1"/>
  <c r="P64" i="19"/>
  <c r="Q95" i="6"/>
  <c r="Q96" i="6" s="1"/>
  <c r="R93" i="6" s="1"/>
  <c r="AL154" i="11"/>
  <c r="AL53" i="5" s="1"/>
  <c r="AL26" i="15" l="1"/>
  <c r="AL155" i="11"/>
  <c r="AM152" i="11" s="1"/>
  <c r="P110" i="5"/>
  <c r="P49" i="19"/>
  <c r="P286" i="11"/>
  <c r="AN149" i="11"/>
  <c r="AN51" i="5" s="1"/>
  <c r="AL101" i="11"/>
  <c r="AL41" i="5" s="1"/>
  <c r="AL141" i="5" s="1"/>
  <c r="AL142" i="5" s="1"/>
  <c r="AL143" i="5" s="1"/>
  <c r="AL49" i="5"/>
  <c r="P66" i="19"/>
  <c r="P67" i="19"/>
  <c r="BU117" i="11"/>
  <c r="BV114" i="11" s="1"/>
  <c r="BV116" i="11" s="1"/>
  <c r="BU44" i="5"/>
  <c r="AM140" i="5" l="1"/>
  <c r="AL123" i="5"/>
  <c r="AK17" i="15"/>
  <c r="AN150" i="11"/>
  <c r="AO147" i="11" s="1"/>
  <c r="AL40" i="5"/>
  <c r="BV117" i="11"/>
  <c r="BW114" i="11" s="1"/>
  <c r="BW116" i="11" s="1"/>
  <c r="BV44" i="5"/>
  <c r="P287" i="11"/>
  <c r="P52" i="19"/>
  <c r="P46" i="19"/>
  <c r="P51" i="19"/>
  <c r="AL102" i="11"/>
  <c r="AM154" i="11"/>
  <c r="AM53" i="5" s="1"/>
  <c r="P67" i="5"/>
  <c r="P120" i="5" s="1"/>
  <c r="P122" i="5" s="1"/>
  <c r="P124" i="5" s="1"/>
  <c r="P135" i="5"/>
  <c r="P131" i="5"/>
  <c r="P132" i="5"/>
  <c r="AM26" i="15" l="1"/>
  <c r="P133" i="5"/>
  <c r="Q284" i="11"/>
  <c r="O39" i="15"/>
  <c r="O38" i="15" s="1"/>
  <c r="O34" i="15" s="1"/>
  <c r="O40" i="15" s="1"/>
  <c r="AO149" i="11"/>
  <c r="AO51" i="5" s="1"/>
  <c r="AM49" i="5"/>
  <c r="AM99" i="11"/>
  <c r="AK28" i="15"/>
  <c r="AK25" i="15" s="1"/>
  <c r="AK24" i="15" s="1"/>
  <c r="Q121" i="5"/>
  <c r="R44" i="6"/>
  <c r="O16" i="15"/>
  <c r="O15" i="15" s="1"/>
  <c r="O14" i="15" s="1"/>
  <c r="P134" i="5"/>
  <c r="AM155" i="11"/>
  <c r="BW117" i="11"/>
  <c r="BX114" i="11" s="1"/>
  <c r="BX116" i="11" s="1"/>
  <c r="BW44" i="5"/>
  <c r="AL17" i="15" l="1"/>
  <c r="AN152" i="11"/>
  <c r="O41" i="15"/>
  <c r="AM101" i="11"/>
  <c r="AM41" i="5" s="1"/>
  <c r="AM141" i="5" s="1"/>
  <c r="AM142" i="5" s="1"/>
  <c r="AM143" i="5" s="1"/>
  <c r="Q20" i="5"/>
  <c r="R43" i="6"/>
  <c r="R42" i="6" s="1"/>
  <c r="R55" i="6" s="1"/>
  <c r="R57" i="6" s="1"/>
  <c r="BX117" i="11"/>
  <c r="BY114" i="11" s="1"/>
  <c r="BY116" i="11" s="1"/>
  <c r="BX44" i="5"/>
  <c r="AO150" i="11"/>
  <c r="AN140" i="5" l="1"/>
  <c r="AM123" i="5"/>
  <c r="AP147" i="11"/>
  <c r="AN26" i="15"/>
  <c r="BY117" i="11"/>
  <c r="BZ114" i="11" s="1"/>
  <c r="BZ116" i="11" s="1"/>
  <c r="BY44" i="5"/>
  <c r="R62" i="6"/>
  <c r="Q285" i="11"/>
  <c r="AM102" i="11"/>
  <c r="AN154" i="11"/>
  <c r="AN53" i="5" s="1"/>
  <c r="Q15" i="5"/>
  <c r="Q14" i="5" s="1"/>
  <c r="R66" i="6" s="1"/>
  <c r="R75" i="6" s="1"/>
  <c r="AM40" i="5"/>
  <c r="AN155" i="11" l="1"/>
  <c r="AM17" i="15" s="1"/>
  <c r="AN99" i="11"/>
  <c r="AL28" i="15"/>
  <c r="AL25" i="15" s="1"/>
  <c r="AL24" i="15" s="1"/>
  <c r="BZ117" i="11"/>
  <c r="CA114" i="11" s="1"/>
  <c r="CA116" i="11" s="1"/>
  <c r="BZ44" i="5"/>
  <c r="R80" i="6"/>
  <c r="Q98" i="5"/>
  <c r="Q17" i="19"/>
  <c r="R76" i="6"/>
  <c r="S73" i="6" s="1"/>
  <c r="R64" i="6"/>
  <c r="R69" i="6"/>
  <c r="AP149" i="11"/>
  <c r="AP51" i="5" s="1"/>
  <c r="AN49" i="5"/>
  <c r="AO152" i="11" l="1"/>
  <c r="AO154" i="11" s="1"/>
  <c r="AO53" i="5" s="1"/>
  <c r="AP150" i="11"/>
  <c r="AQ147" i="11" s="1"/>
  <c r="Q20" i="19"/>
  <c r="Q19" i="19"/>
  <c r="Q14" i="19"/>
  <c r="CA117" i="11"/>
  <c r="CB114" i="11" s="1"/>
  <c r="CB116" i="11" s="1"/>
  <c r="CA44" i="5"/>
  <c r="Q95" i="5"/>
  <c r="R70" i="6"/>
  <c r="Q103" i="5"/>
  <c r="R81" i="6"/>
  <c r="S78" i="6" s="1"/>
  <c r="AN101" i="11"/>
  <c r="AN41" i="5" s="1"/>
  <c r="AN141" i="5" s="1"/>
  <c r="AN142" i="5" s="1"/>
  <c r="AN143" i="5" s="1"/>
  <c r="AO140" i="5" l="1"/>
  <c r="AN123" i="5"/>
  <c r="AO26" i="15"/>
  <c r="P21" i="18" s="1"/>
  <c r="AN102" i="11"/>
  <c r="AM28" i="15" s="1"/>
  <c r="AM25" i="15" s="1"/>
  <c r="AM24" i="15" s="1"/>
  <c r="AO155" i="11"/>
  <c r="Q100" i="5"/>
  <c r="R71" i="6"/>
  <c r="S68" i="6" s="1"/>
  <c r="R89" i="6"/>
  <c r="Q125" i="5"/>
  <c r="Q126" i="5"/>
  <c r="AO49" i="5"/>
  <c r="AQ149" i="11"/>
  <c r="AQ51" i="5" s="1"/>
  <c r="AN40" i="5"/>
  <c r="CB117" i="11"/>
  <c r="CC114" i="11" s="1"/>
  <c r="CC116" i="11" s="1"/>
  <c r="CB44" i="5"/>
  <c r="AO99" i="11" l="1"/>
  <c r="AO101" i="11" s="1"/>
  <c r="AO41" i="5" s="1"/>
  <c r="AO141" i="5" s="1"/>
  <c r="AO142" i="5" s="1"/>
  <c r="AO143" i="5" s="1"/>
  <c r="AQ150" i="11"/>
  <c r="AR147" i="11" s="1"/>
  <c r="CC117" i="11"/>
  <c r="CD114" i="11" s="1"/>
  <c r="CD116" i="11" s="1"/>
  <c r="CC44" i="5"/>
  <c r="R94" i="6"/>
  <c r="R90" i="6"/>
  <c r="R91" i="6" s="1"/>
  <c r="S88" i="6" s="1"/>
  <c r="Q127" i="5"/>
  <c r="Q128" i="5"/>
  <c r="AN17" i="15"/>
  <c r="AP152" i="11"/>
  <c r="AP140" i="5" l="1"/>
  <c r="AO123" i="5"/>
  <c r="AP26" i="15"/>
  <c r="AO102" i="11"/>
  <c r="AN28" i="15" s="1"/>
  <c r="AN25" i="15" s="1"/>
  <c r="AN24" i="15" s="1"/>
  <c r="AP154" i="11"/>
  <c r="AP53" i="5" s="1"/>
  <c r="AP49" i="5" s="1"/>
  <c r="Q113" i="5"/>
  <c r="AR149" i="11"/>
  <c r="AR51" i="5" s="1"/>
  <c r="AO40" i="5"/>
  <c r="R99" i="6"/>
  <c r="R95" i="6"/>
  <c r="R96" i="6" s="1"/>
  <c r="S93" i="6" s="1"/>
  <c r="CD117" i="11"/>
  <c r="CE114" i="11" s="1"/>
  <c r="CE116" i="11" s="1"/>
  <c r="CD44" i="5"/>
  <c r="AP99" i="11" l="1"/>
  <c r="AP101" i="11" s="1"/>
  <c r="AP41" i="5" s="1"/>
  <c r="AP155" i="11"/>
  <c r="AO17" i="15" s="1"/>
  <c r="P12" i="18" s="1"/>
  <c r="AR150" i="11"/>
  <c r="AQ26" i="15" s="1"/>
  <c r="CE117" i="11"/>
  <c r="CF114" i="11" s="1"/>
  <c r="CF116" i="11" s="1"/>
  <c r="CE44" i="5"/>
  <c r="Q110" i="5"/>
  <c r="Q49" i="19"/>
  <c r="Q286" i="11"/>
  <c r="Q287" i="11" s="1"/>
  <c r="R100" i="6"/>
  <c r="Q64" i="19"/>
  <c r="AP40" i="5" l="1"/>
  <c r="AP141" i="5"/>
  <c r="AP142" i="5" s="1"/>
  <c r="AP143" i="5" s="1"/>
  <c r="AQ152" i="11"/>
  <c r="AQ154" i="11" s="1"/>
  <c r="AQ53" i="5" s="1"/>
  <c r="AS147" i="11"/>
  <c r="AS149" i="11" s="1"/>
  <c r="AS51" i="5" s="1"/>
  <c r="AP102" i="11"/>
  <c r="AO28" i="15" s="1"/>
  <c r="Q52" i="19"/>
  <c r="Q46" i="19"/>
  <c r="Q51" i="19"/>
  <c r="CF117" i="11"/>
  <c r="CG114" i="11" s="1"/>
  <c r="CG116" i="11" s="1"/>
  <c r="CF44" i="5"/>
  <c r="Q66" i="19"/>
  <c r="Q67" i="19"/>
  <c r="Q132" i="5"/>
  <c r="Q134" i="5" s="1"/>
  <c r="Q67" i="5"/>
  <c r="Q120" i="5" s="1"/>
  <c r="Q122" i="5" s="1"/>
  <c r="Q124" i="5" s="1"/>
  <c r="Q131" i="5"/>
  <c r="Q133" i="5" s="1"/>
  <c r="Q135" i="5"/>
  <c r="P39" i="15"/>
  <c r="P38" i="15" s="1"/>
  <c r="P34" i="15" s="1"/>
  <c r="P40" i="15" s="1"/>
  <c r="R284" i="11"/>
  <c r="R101" i="6"/>
  <c r="S98" i="6" s="1"/>
  <c r="AQ140" i="5" l="1"/>
  <c r="AP123" i="5"/>
  <c r="AQ99" i="11"/>
  <c r="AQ101" i="11" s="1"/>
  <c r="AQ41" i="5" s="1"/>
  <c r="AQ141" i="5" s="1"/>
  <c r="AS150" i="11"/>
  <c r="AR26" i="15" s="1"/>
  <c r="AQ155" i="11"/>
  <c r="AR152" i="11" s="1"/>
  <c r="R121" i="5"/>
  <c r="S44" i="6"/>
  <c r="P16" i="15"/>
  <c r="P15" i="15" s="1"/>
  <c r="P14" i="15" s="1"/>
  <c r="P41" i="15" s="1"/>
  <c r="AQ49" i="5"/>
  <c r="P23" i="18"/>
  <c r="P20" i="18" s="1"/>
  <c r="P19" i="18" s="1"/>
  <c r="AO25" i="15"/>
  <c r="AO24" i="15" s="1"/>
  <c r="CG117" i="11"/>
  <c r="CH114" i="11" s="1"/>
  <c r="CH116" i="11" s="1"/>
  <c r="CG44" i="5"/>
  <c r="AQ142" i="5" l="1"/>
  <c r="AQ143" i="5" s="1"/>
  <c r="AP17" i="15"/>
  <c r="AT147" i="11"/>
  <c r="AT149" i="11" s="1"/>
  <c r="AT51" i="5" s="1"/>
  <c r="F456" i="32"/>
  <c r="J37" i="35"/>
  <c r="G34" i="30"/>
  <c r="J35" i="35"/>
  <c r="G36" i="30"/>
  <c r="AQ40" i="5"/>
  <c r="R20" i="5"/>
  <c r="S43" i="6"/>
  <c r="S42" i="6" s="1"/>
  <c r="S55" i="6" s="1"/>
  <c r="S57" i="6" s="1"/>
  <c r="G26" i="30"/>
  <c r="F562" i="32"/>
  <c r="J26" i="35"/>
  <c r="CH117" i="11"/>
  <c r="CI114" i="11" s="1"/>
  <c r="CI116" i="11" s="1"/>
  <c r="CH44" i="5"/>
  <c r="AQ102" i="11"/>
  <c r="AR154" i="11"/>
  <c r="AR53" i="5" s="1"/>
  <c r="AR140" i="5" l="1"/>
  <c r="AQ123" i="5"/>
  <c r="AT150" i="11"/>
  <c r="AS26" i="15" s="1"/>
  <c r="CI117" i="11"/>
  <c r="CJ114" i="11" s="1"/>
  <c r="CJ116" i="11" s="1"/>
  <c r="CI44" i="5"/>
  <c r="AR99" i="11"/>
  <c r="AP28" i="15"/>
  <c r="AP25" i="15" s="1"/>
  <c r="AP24" i="15" s="1"/>
  <c r="R285" i="11"/>
  <c r="S62" i="6"/>
  <c r="AR49" i="5"/>
  <c r="F561" i="32"/>
  <c r="G25" i="30"/>
  <c r="AR155" i="11"/>
  <c r="J25" i="35"/>
  <c r="D26" i="35"/>
  <c r="D25" i="35" s="1"/>
  <c r="R15" i="5"/>
  <c r="R14" i="5" s="1"/>
  <c r="S66" i="6" s="1"/>
  <c r="S75" i="6" s="1"/>
  <c r="F601" i="32"/>
  <c r="F457" i="32"/>
  <c r="AU147" i="11" l="1"/>
  <c r="AU149" i="11" s="1"/>
  <c r="AU51" i="5" s="1"/>
  <c r="F460" i="32"/>
  <c r="F461" i="32"/>
  <c r="F574" i="32"/>
  <c r="F600" i="32"/>
  <c r="S69" i="6"/>
  <c r="S70" i="6" s="1"/>
  <c r="S64" i="6"/>
  <c r="S80" i="6"/>
  <c r="R17" i="19"/>
  <c r="R98" i="5"/>
  <c r="J46" i="35"/>
  <c r="G45" i="30"/>
  <c r="S76" i="6"/>
  <c r="T73" i="6" s="1"/>
  <c r="AQ17" i="15"/>
  <c r="AS152" i="11"/>
  <c r="AR101" i="11"/>
  <c r="AR41" i="5" s="1"/>
  <c r="AR141" i="5" s="1"/>
  <c r="AR142" i="5" s="1"/>
  <c r="AR143" i="5" s="1"/>
  <c r="CJ117" i="11"/>
  <c r="CK114" i="11" s="1"/>
  <c r="CK116" i="11" s="1"/>
  <c r="CJ44" i="5"/>
  <c r="AS140" i="5" l="1"/>
  <c r="AR123" i="5"/>
  <c r="AU150" i="11"/>
  <c r="AT26" i="15" s="1"/>
  <c r="AR40" i="5"/>
  <c r="G47" i="30"/>
  <c r="R103" i="5"/>
  <c r="G46" i="30"/>
  <c r="G48" i="30" s="1"/>
  <c r="J47" i="35"/>
  <c r="J49" i="35" s="1"/>
  <c r="S81" i="6"/>
  <c r="T78" i="6" s="1"/>
  <c r="AS154" i="11"/>
  <c r="AS53" i="5" s="1"/>
  <c r="J48" i="35"/>
  <c r="S71" i="6"/>
  <c r="T68" i="6" s="1"/>
  <c r="S89" i="6"/>
  <c r="N85" i="16"/>
  <c r="N78" i="16"/>
  <c r="N81" i="16" s="1"/>
  <c r="F585" i="32"/>
  <c r="CK117" i="11"/>
  <c r="CL114" i="11" s="1"/>
  <c r="CL116" i="11" s="1"/>
  <c r="CK44" i="5"/>
  <c r="R95" i="5"/>
  <c r="F625" i="32"/>
  <c r="AR102" i="11"/>
  <c r="R14" i="19"/>
  <c r="R19" i="19"/>
  <c r="R20" i="19"/>
  <c r="AV147" i="11" l="1"/>
  <c r="AV149" i="11" s="1"/>
  <c r="AV51" i="5" s="1"/>
  <c r="CL117" i="11"/>
  <c r="CM114" i="11" s="1"/>
  <c r="CM116" i="11" s="1"/>
  <c r="CL44" i="5"/>
  <c r="N82" i="16"/>
  <c r="AS49" i="5"/>
  <c r="AS99" i="11"/>
  <c r="AQ28" i="15"/>
  <c r="AQ25" i="15" s="1"/>
  <c r="AQ24" i="15" s="1"/>
  <c r="R100" i="5"/>
  <c r="F626" i="32"/>
  <c r="S94" i="6"/>
  <c r="S90" i="6"/>
  <c r="R113" i="5" s="1"/>
  <c r="R286" i="11" s="1"/>
  <c r="R287" i="11" s="1"/>
  <c r="R125" i="5"/>
  <c r="R126" i="5"/>
  <c r="AS155" i="11"/>
  <c r="AV150" i="11" l="1"/>
  <c r="AU26" i="15" s="1"/>
  <c r="S91" i="6"/>
  <c r="T88" i="6" s="1"/>
  <c r="Q39" i="15"/>
  <c r="S284" i="11"/>
  <c r="AS101" i="11"/>
  <c r="AS41" i="5" s="1"/>
  <c r="AS141" i="5" s="1"/>
  <c r="AS142" i="5" s="1"/>
  <c r="AS143" i="5" s="1"/>
  <c r="AT152" i="11"/>
  <c r="AR17" i="15"/>
  <c r="CM117" i="11"/>
  <c r="CN114" i="11" s="1"/>
  <c r="CN116" i="11" s="1"/>
  <c r="CM44" i="5"/>
  <c r="R49" i="19"/>
  <c r="R110" i="5"/>
  <c r="F627" i="32"/>
  <c r="S99" i="6"/>
  <c r="S95" i="6"/>
  <c r="S96" i="6" s="1"/>
  <c r="T93" i="6" s="1"/>
  <c r="R127" i="5"/>
  <c r="R128" i="5"/>
  <c r="AT140" i="5" l="1"/>
  <c r="AS123" i="5"/>
  <c r="AW147" i="11"/>
  <c r="AW149" i="11" s="1"/>
  <c r="AW51" i="5" s="1"/>
  <c r="AS102" i="11"/>
  <c r="AT99" i="11" s="1"/>
  <c r="R51" i="19"/>
  <c r="R52" i="19"/>
  <c r="R46" i="19"/>
  <c r="S100" i="6"/>
  <c r="S101" i="6" s="1"/>
  <c r="T98" i="6" s="1"/>
  <c r="R64" i="19"/>
  <c r="Q21" i="18"/>
  <c r="AS40" i="5"/>
  <c r="F616" i="32"/>
  <c r="CN117" i="11"/>
  <c r="CO114" i="11" s="1"/>
  <c r="CO116" i="11" s="1"/>
  <c r="CN44" i="5"/>
  <c r="R131" i="5"/>
  <c r="R133" i="5" s="1"/>
  <c r="R132" i="5"/>
  <c r="R134" i="5" s="1"/>
  <c r="R67" i="5"/>
  <c r="R120" i="5" s="1"/>
  <c r="R122" i="5" s="1"/>
  <c r="R124" i="5" s="1"/>
  <c r="R135" i="5"/>
  <c r="AT154" i="11"/>
  <c r="AT53" i="5" s="1"/>
  <c r="L34" i="18"/>
  <c r="Q38" i="15"/>
  <c r="Q34" i="15" s="1"/>
  <c r="Q40" i="15" s="1"/>
  <c r="F658" i="32"/>
  <c r="F659" i="32" s="1"/>
  <c r="F660" i="32" s="1"/>
  <c r="AR28" i="15" l="1"/>
  <c r="AR25" i="15" s="1"/>
  <c r="AR24" i="15" s="1"/>
  <c r="AW150" i="11"/>
  <c r="AX147" i="11" s="1"/>
  <c r="AX149" i="11" s="1"/>
  <c r="L33" i="18"/>
  <c r="L29" i="18" s="1"/>
  <c r="L35" i="18" s="1"/>
  <c r="E789" i="32"/>
  <c r="E790" i="32" s="1"/>
  <c r="E791" i="32" s="1"/>
  <c r="CO117" i="11"/>
  <c r="CP114" i="11" s="1"/>
  <c r="CP116" i="11" s="1"/>
  <c r="CO44" i="5"/>
  <c r="AT101" i="11"/>
  <c r="AT41" i="5" s="1"/>
  <c r="AT141" i="5" s="1"/>
  <c r="AT142" i="5" s="1"/>
  <c r="AT143" i="5" s="1"/>
  <c r="AT155" i="11"/>
  <c r="R67" i="19"/>
  <c r="R66" i="19"/>
  <c r="AT49" i="5"/>
  <c r="F631" i="32"/>
  <c r="F633" i="32" s="1"/>
  <c r="Q16" i="15"/>
  <c r="S121" i="5"/>
  <c r="T44" i="6"/>
  <c r="AU140" i="5" l="1"/>
  <c r="AT123" i="5"/>
  <c r="AV26" i="15"/>
  <c r="AT102" i="11"/>
  <c r="AU99" i="11" s="1"/>
  <c r="S20" i="5"/>
  <c r="T43" i="6"/>
  <c r="T42" i="6" s="1"/>
  <c r="T55" i="6" s="1"/>
  <c r="T57" i="6" s="1"/>
  <c r="AX150" i="11"/>
  <c r="AX51" i="5"/>
  <c r="Q15" i="15"/>
  <c r="Q14" i="15" s="1"/>
  <c r="F640" i="32"/>
  <c r="F647" i="32" s="1"/>
  <c r="F661" i="32" s="1"/>
  <c r="L11" i="18"/>
  <c r="AT40" i="5"/>
  <c r="G632" i="32"/>
  <c r="AU152" i="11"/>
  <c r="AS17" i="15"/>
  <c r="CP117" i="11"/>
  <c r="CQ114" i="11" s="1"/>
  <c r="CQ116" i="11" s="1"/>
  <c r="CP44" i="5"/>
  <c r="AS28" i="15" l="1"/>
  <c r="AS25" i="15" s="1"/>
  <c r="AS24" i="15" s="1"/>
  <c r="CQ117" i="11"/>
  <c r="CR114" i="11" s="1"/>
  <c r="CR116" i="11" s="1"/>
  <c r="CQ44" i="5"/>
  <c r="S285" i="11"/>
  <c r="T62" i="6"/>
  <c r="AU154" i="11"/>
  <c r="AU53" i="5" s="1"/>
  <c r="L10" i="18"/>
  <c r="L9" i="18" s="1"/>
  <c r="L36" i="18" s="1"/>
  <c r="E771" i="32"/>
  <c r="E778" i="32" s="1"/>
  <c r="E792" i="32" s="1"/>
  <c r="AW26" i="15"/>
  <c r="AY147" i="11"/>
  <c r="AY149" i="11" s="1"/>
  <c r="AU101" i="11"/>
  <c r="AU41" i="5" s="1"/>
  <c r="AU141" i="5" s="1"/>
  <c r="AU142" i="5" s="1"/>
  <c r="AU143" i="5" s="1"/>
  <c r="Q41" i="15"/>
  <c r="Q42" i="15"/>
  <c r="S15" i="5"/>
  <c r="S14" i="5" s="1"/>
  <c r="T66" i="6" s="1"/>
  <c r="AV140" i="5" l="1"/>
  <c r="AU123" i="5"/>
  <c r="AU102" i="11"/>
  <c r="AV99" i="11" s="1"/>
  <c r="T69" i="6"/>
  <c r="T64" i="6"/>
  <c r="AU40" i="5"/>
  <c r="AY150" i="11"/>
  <c r="AY51" i="5"/>
  <c r="AU155" i="11"/>
  <c r="T75" i="6"/>
  <c r="T80" i="6" s="1"/>
  <c r="AU49" i="5"/>
  <c r="CR117" i="11"/>
  <c r="CS114" i="11" s="1"/>
  <c r="CS116" i="11" s="1"/>
  <c r="CR44" i="5"/>
  <c r="AT28" i="15" l="1"/>
  <c r="AT25" i="15" s="1"/>
  <c r="AT24" i="15" s="1"/>
  <c r="CS117" i="11"/>
  <c r="CT114" i="11" s="1"/>
  <c r="CT116" i="11" s="1"/>
  <c r="CS44" i="5"/>
  <c r="S103" i="5"/>
  <c r="T81" i="6"/>
  <c r="U78" i="6" s="1"/>
  <c r="AX26" i="15"/>
  <c r="AZ147" i="11"/>
  <c r="AV101" i="11"/>
  <c r="AV41" i="5" s="1"/>
  <c r="S98" i="5"/>
  <c r="S17" i="19"/>
  <c r="T76" i="6"/>
  <c r="U73" i="6" s="1"/>
  <c r="AV152" i="11"/>
  <c r="AT17" i="15"/>
  <c r="T70" i="6"/>
  <c r="AV40" i="5" l="1"/>
  <c r="AV141" i="5"/>
  <c r="AV142" i="5" s="1"/>
  <c r="AV143" i="5" s="1"/>
  <c r="AV102" i="11"/>
  <c r="S100" i="5"/>
  <c r="T71" i="6"/>
  <c r="U68" i="6" s="1"/>
  <c r="AV154" i="11"/>
  <c r="AV53" i="5" s="1"/>
  <c r="AV49" i="5" s="1"/>
  <c r="T89" i="6"/>
  <c r="S19" i="19"/>
  <c r="S20" i="19"/>
  <c r="S14" i="19"/>
  <c r="AZ149" i="11"/>
  <c r="AZ51" i="5" s="1"/>
  <c r="S95" i="5"/>
  <c r="CT117" i="11"/>
  <c r="CU114" i="11" s="1"/>
  <c r="CU116" i="11" s="1"/>
  <c r="CT44" i="5"/>
  <c r="AW140" i="5" l="1"/>
  <c r="AV123" i="5"/>
  <c r="AZ150" i="11"/>
  <c r="BA147" i="11" s="1"/>
  <c r="AV155" i="11"/>
  <c r="AU17" i="15" s="1"/>
  <c r="Q12" i="18" s="1"/>
  <c r="G211" i="32" s="1"/>
  <c r="T94" i="6"/>
  <c r="T90" i="6"/>
  <c r="S127" i="5"/>
  <c r="S128" i="5"/>
  <c r="CU117" i="11"/>
  <c r="CV114" i="11" s="1"/>
  <c r="CV116" i="11" s="1"/>
  <c r="CU44" i="5"/>
  <c r="S126" i="5"/>
  <c r="S125" i="5"/>
  <c r="AW99" i="11"/>
  <c r="AU28" i="15"/>
  <c r="AY26" i="15" l="1"/>
  <c r="AW152" i="11"/>
  <c r="AW154" i="11" s="1"/>
  <c r="AW53" i="5" s="1"/>
  <c r="T91" i="6"/>
  <c r="U88" i="6" s="1"/>
  <c r="S113" i="5"/>
  <c r="AW101" i="11"/>
  <c r="AW41" i="5" s="1"/>
  <c r="AW141" i="5" s="1"/>
  <c r="AW142" i="5" s="1"/>
  <c r="AW143" i="5" s="1"/>
  <c r="BA149" i="11"/>
  <c r="BA51" i="5" s="1"/>
  <c r="T99" i="6"/>
  <c r="T95" i="6"/>
  <c r="T96" i="6" s="1"/>
  <c r="U93" i="6" s="1"/>
  <c r="Q23" i="18"/>
  <c r="AU25" i="15"/>
  <c r="AU24" i="15" s="1"/>
  <c r="CV117" i="11"/>
  <c r="CW114" i="11" s="1"/>
  <c r="CW116" i="11" s="1"/>
  <c r="CV44" i="5"/>
  <c r="AX140" i="5" l="1"/>
  <c r="AW123" i="5"/>
  <c r="AW102" i="11"/>
  <c r="AX99" i="11" s="1"/>
  <c r="AW155" i="11"/>
  <c r="AV17" i="15" s="1"/>
  <c r="CW117" i="11"/>
  <c r="CX114" i="11" s="1"/>
  <c r="CX116" i="11" s="1"/>
  <c r="CW44" i="5"/>
  <c r="S110" i="5"/>
  <c r="S49" i="19"/>
  <c r="S286" i="11"/>
  <c r="S287" i="11" s="1"/>
  <c r="T100" i="6"/>
  <c r="S64" i="19"/>
  <c r="AW40" i="5"/>
  <c r="G219" i="32"/>
  <c r="G224" i="32" s="1"/>
  <c r="Q20" i="18"/>
  <c r="Q19" i="18" s="1"/>
  <c r="BA150" i="11"/>
  <c r="AW49" i="5"/>
  <c r="AV28" i="15" l="1"/>
  <c r="AV25" i="15" s="1"/>
  <c r="AV24" i="15" s="1"/>
  <c r="AX152" i="11"/>
  <c r="AX154" i="11" s="1"/>
  <c r="AX53" i="5" s="1"/>
  <c r="T101" i="6"/>
  <c r="U98" i="6" s="1"/>
  <c r="R39" i="15"/>
  <c r="R38" i="15" s="1"/>
  <c r="R34" i="15" s="1"/>
  <c r="R40" i="15" s="1"/>
  <c r="T284" i="11"/>
  <c r="S52" i="19"/>
  <c r="S51" i="19"/>
  <c r="S46" i="19"/>
  <c r="AZ26" i="15"/>
  <c r="BB147" i="11"/>
  <c r="S67" i="5"/>
  <c r="S120" i="5" s="1"/>
  <c r="S122" i="5" s="1"/>
  <c r="S124" i="5" s="1"/>
  <c r="S132" i="5"/>
  <c r="S134" i="5" s="1"/>
  <c r="S135" i="5"/>
  <c r="S131" i="5"/>
  <c r="S133" i="5" s="1"/>
  <c r="S66" i="19"/>
  <c r="S67" i="19"/>
  <c r="AX101" i="11"/>
  <c r="AX41" i="5" s="1"/>
  <c r="AX141" i="5" s="1"/>
  <c r="AX142" i="5" s="1"/>
  <c r="AX143" i="5" s="1"/>
  <c r="CX117" i="11"/>
  <c r="CY114" i="11" s="1"/>
  <c r="CY116" i="11" s="1"/>
  <c r="CX44" i="5"/>
  <c r="AA39" i="17" s="1"/>
  <c r="AY140" i="5" l="1"/>
  <c r="AX123" i="5"/>
  <c r="AX155" i="11"/>
  <c r="AY152" i="11" s="1"/>
  <c r="AX40" i="5"/>
  <c r="AX102" i="11"/>
  <c r="BB149" i="11"/>
  <c r="BB51" i="5" s="1"/>
  <c r="R16" i="15"/>
  <c r="R15" i="15" s="1"/>
  <c r="R14" i="15" s="1"/>
  <c r="R41" i="15" s="1"/>
  <c r="T121" i="5"/>
  <c r="U44" i="6"/>
  <c r="CY117" i="11"/>
  <c r="CZ114" i="11" s="1"/>
  <c r="CZ116" i="11" s="1"/>
  <c r="CY44" i="5"/>
  <c r="AX49" i="5"/>
  <c r="AW17" i="15" l="1"/>
  <c r="BB150" i="11"/>
  <c r="BA26" i="15" s="1"/>
  <c r="R42" i="15"/>
  <c r="CZ117" i="11"/>
  <c r="DA114" i="11" s="1"/>
  <c r="DA116" i="11" s="1"/>
  <c r="CZ44" i="5"/>
  <c r="T20" i="5"/>
  <c r="U43" i="6"/>
  <c r="U42" i="6" s="1"/>
  <c r="U55" i="6" s="1"/>
  <c r="U57" i="6" s="1"/>
  <c r="AY154" i="11"/>
  <c r="AY53" i="5" s="1"/>
  <c r="AY99" i="11"/>
  <c r="AW28" i="15"/>
  <c r="AW25" i="15" s="1"/>
  <c r="AW24" i="15" s="1"/>
  <c r="BC147" i="11" l="1"/>
  <c r="BC149" i="11" s="1"/>
  <c r="BC51" i="5" s="1"/>
  <c r="AY155" i="11"/>
  <c r="AZ152" i="11" s="1"/>
  <c r="AY49" i="5"/>
  <c r="AY101" i="11"/>
  <c r="AY41" i="5" s="1"/>
  <c r="AY141" i="5" s="1"/>
  <c r="AY142" i="5" s="1"/>
  <c r="AY143" i="5" s="1"/>
  <c r="T285" i="11"/>
  <c r="U62" i="6"/>
  <c r="T15" i="5"/>
  <c r="T14" i="5" s="1"/>
  <c r="U66" i="6" s="1"/>
  <c r="DA117" i="11"/>
  <c r="DB114" i="11" s="1"/>
  <c r="DB116" i="11" s="1"/>
  <c r="DA44" i="5"/>
  <c r="R21" i="18"/>
  <c r="AZ140" i="5" l="1"/>
  <c r="AY123" i="5"/>
  <c r="AX17" i="15"/>
  <c r="AZ154" i="11"/>
  <c r="AZ53" i="5" s="1"/>
  <c r="AY102" i="11"/>
  <c r="U75" i="6"/>
  <c r="AY40" i="5"/>
  <c r="DB117" i="11"/>
  <c r="DC114" i="11" s="1"/>
  <c r="DC116" i="11" s="1"/>
  <c r="DB44" i="5"/>
  <c r="U64" i="6"/>
  <c r="U69" i="6"/>
  <c r="BC150" i="11"/>
  <c r="T98" i="5" l="1"/>
  <c r="T17" i="19"/>
  <c r="U76" i="6"/>
  <c r="V73" i="6" s="1"/>
  <c r="AZ49" i="5"/>
  <c r="BB26" i="15"/>
  <c r="BD147" i="11"/>
  <c r="DC117" i="11"/>
  <c r="DD114" i="11" s="1"/>
  <c r="DD116" i="11" s="1"/>
  <c r="DC44" i="5"/>
  <c r="AZ99" i="11"/>
  <c r="AX28" i="15"/>
  <c r="AX25" i="15" s="1"/>
  <c r="AX24" i="15" s="1"/>
  <c r="U70" i="6"/>
  <c r="U71" i="6" s="1"/>
  <c r="V68" i="6" s="1"/>
  <c r="U80" i="6"/>
  <c r="AZ155" i="11"/>
  <c r="BA152" i="11" l="1"/>
  <c r="AY17" i="15"/>
  <c r="U89" i="6"/>
  <c r="T103" i="5"/>
  <c r="U81" i="6"/>
  <c r="V78" i="6" s="1"/>
  <c r="BD149" i="11"/>
  <c r="BD51" i="5" s="1"/>
  <c r="AZ101" i="11"/>
  <c r="AZ41" i="5" s="1"/>
  <c r="AZ141" i="5" s="1"/>
  <c r="AZ142" i="5" s="1"/>
  <c r="AZ143" i="5" s="1"/>
  <c r="T14" i="19"/>
  <c r="T20" i="19"/>
  <c r="T19" i="19"/>
  <c r="T95" i="5"/>
  <c r="DD117" i="11"/>
  <c r="DE114" i="11" s="1"/>
  <c r="DE116" i="11" s="1"/>
  <c r="DD44" i="5"/>
  <c r="BA140" i="5" l="1"/>
  <c r="AZ123" i="5"/>
  <c r="BD150" i="11"/>
  <c r="BC26" i="15" s="1"/>
  <c r="AZ40" i="5"/>
  <c r="U94" i="6"/>
  <c r="U90" i="6"/>
  <c r="T100" i="5"/>
  <c r="BA154" i="11"/>
  <c r="BA53" i="5" s="1"/>
  <c r="T126" i="5"/>
  <c r="T125" i="5"/>
  <c r="DE117" i="11"/>
  <c r="DF114" i="11" s="1"/>
  <c r="DF116" i="11" s="1"/>
  <c r="DE44" i="5"/>
  <c r="AZ102" i="11"/>
  <c r="BE147" i="11" l="1"/>
  <c r="BE149" i="11" s="1"/>
  <c r="BE51" i="5" s="1"/>
  <c r="BA155" i="11"/>
  <c r="BB152" i="11" s="1"/>
  <c r="T127" i="5"/>
  <c r="T128" i="5"/>
  <c r="DF117" i="11"/>
  <c r="DG114" i="11" s="1"/>
  <c r="DG116" i="11" s="1"/>
  <c r="DF44" i="5"/>
  <c r="BA49" i="5"/>
  <c r="U91" i="6"/>
  <c r="V88" i="6" s="1"/>
  <c r="T113" i="5"/>
  <c r="BA99" i="11"/>
  <c r="AY28" i="15"/>
  <c r="AY25" i="15" s="1"/>
  <c r="AY24" i="15" s="1"/>
  <c r="U99" i="6"/>
  <c r="U95" i="6"/>
  <c r="U96" i="6" s="1"/>
  <c r="V93" i="6" s="1"/>
  <c r="AZ17" i="15" l="1"/>
  <c r="DG117" i="11"/>
  <c r="DH114" i="11" s="1"/>
  <c r="DH116" i="11" s="1"/>
  <c r="DG44" i="5"/>
  <c r="BB154" i="11"/>
  <c r="BB53" i="5" s="1"/>
  <c r="BB49" i="5" s="1"/>
  <c r="T64" i="19"/>
  <c r="U100" i="6"/>
  <c r="T110" i="5"/>
  <c r="T49" i="19"/>
  <c r="T286" i="11"/>
  <c r="T287" i="11" s="1"/>
  <c r="BA101" i="11"/>
  <c r="BA41" i="5" s="1"/>
  <c r="BA141" i="5" s="1"/>
  <c r="BA142" i="5" s="1"/>
  <c r="BA143" i="5" s="1"/>
  <c r="BE150" i="11"/>
  <c r="BB140" i="5" l="1"/>
  <c r="BA123" i="5"/>
  <c r="BA40" i="5"/>
  <c r="T135" i="5"/>
  <c r="T131" i="5"/>
  <c r="T133" i="5" s="1"/>
  <c r="T67" i="5"/>
  <c r="T120" i="5" s="1"/>
  <c r="T122" i="5" s="1"/>
  <c r="T124" i="5" s="1"/>
  <c r="T132" i="5"/>
  <c r="T134" i="5" s="1"/>
  <c r="T67" i="19"/>
  <c r="T66" i="19"/>
  <c r="BD26" i="15"/>
  <c r="BF147" i="11"/>
  <c r="DH117" i="11"/>
  <c r="DI114" i="11" s="1"/>
  <c r="DI116" i="11" s="1"/>
  <c r="DH44" i="5"/>
  <c r="BA102" i="11"/>
  <c r="S39" i="15"/>
  <c r="S38" i="15" s="1"/>
  <c r="S34" i="15" s="1"/>
  <c r="S40" i="15" s="1"/>
  <c r="U284" i="11"/>
  <c r="T51" i="19"/>
  <c r="T52" i="19"/>
  <c r="T46" i="19"/>
  <c r="U101" i="6"/>
  <c r="V98" i="6" s="1"/>
  <c r="BB155" i="11"/>
  <c r="BA17" i="15" l="1"/>
  <c r="R12" i="18" s="1"/>
  <c r="BC152" i="11"/>
  <c r="V44" i="6"/>
  <c r="S16" i="15"/>
  <c r="S15" i="15" s="1"/>
  <c r="S14" i="15" s="1"/>
  <c r="S41" i="15" s="1"/>
  <c r="U121" i="5"/>
  <c r="DI117" i="11"/>
  <c r="DJ114" i="11" s="1"/>
  <c r="DJ116" i="11" s="1"/>
  <c r="DI44" i="5"/>
  <c r="BB99" i="11"/>
  <c r="AZ28" i="15"/>
  <c r="AZ25" i="15" s="1"/>
  <c r="AZ24" i="15" s="1"/>
  <c r="BF149" i="11"/>
  <c r="BF51" i="5" s="1"/>
  <c r="S42" i="15" l="1"/>
  <c r="DJ117" i="11"/>
  <c r="DK114" i="11" s="1"/>
  <c r="DK116" i="11" s="1"/>
  <c r="DJ44" i="5"/>
  <c r="BB101" i="11"/>
  <c r="BB41" i="5" s="1"/>
  <c r="H36" i="30"/>
  <c r="K35" i="35"/>
  <c r="G456" i="32"/>
  <c r="H34" i="30"/>
  <c r="K37" i="35"/>
  <c r="BC154" i="11"/>
  <c r="BC53" i="5" s="1"/>
  <c r="BF150" i="11"/>
  <c r="U20" i="5"/>
  <c r="V43" i="6"/>
  <c r="V42" i="6" s="1"/>
  <c r="V55" i="6" s="1"/>
  <c r="V57" i="6" s="1"/>
  <c r="G562" i="32"/>
  <c r="H26" i="30"/>
  <c r="K26" i="35"/>
  <c r="BB40" i="5" l="1"/>
  <c r="BB141" i="5"/>
  <c r="BB142" i="5" s="1"/>
  <c r="BB143" i="5" s="1"/>
  <c r="BC155" i="11"/>
  <c r="BB17" i="15" s="1"/>
  <c r="H25" i="30"/>
  <c r="U15" i="5"/>
  <c r="U14" i="5" s="1"/>
  <c r="V66" i="6" s="1"/>
  <c r="V75" i="6" s="1"/>
  <c r="G601" i="32"/>
  <c r="BB102" i="11"/>
  <c r="BC49" i="5"/>
  <c r="G457" i="32"/>
  <c r="G561" i="32"/>
  <c r="K25" i="35"/>
  <c r="V62" i="6"/>
  <c r="U285" i="11"/>
  <c r="BG147" i="11"/>
  <c r="BE26" i="15"/>
  <c r="DK117" i="11"/>
  <c r="DL114" i="11" s="1"/>
  <c r="DL116" i="11" s="1"/>
  <c r="DK44" i="5"/>
  <c r="BC140" i="5" l="1"/>
  <c r="BB123" i="5"/>
  <c r="BD152" i="11"/>
  <c r="BD154" i="11" s="1"/>
  <c r="BD53" i="5" s="1"/>
  <c r="BC99" i="11"/>
  <c r="BA28" i="15"/>
  <c r="G600" i="32"/>
  <c r="BG149" i="11"/>
  <c r="BG51" i="5" s="1"/>
  <c r="G461" i="32"/>
  <c r="G460" i="32"/>
  <c r="V80" i="6"/>
  <c r="U98" i="5"/>
  <c r="U17" i="19"/>
  <c r="K46" i="35"/>
  <c r="H45" i="30"/>
  <c r="V76" i="6"/>
  <c r="W73" i="6" s="1"/>
  <c r="DL117" i="11"/>
  <c r="DM114" i="11" s="1"/>
  <c r="DM116" i="11" s="1"/>
  <c r="DL44" i="5"/>
  <c r="V64" i="6"/>
  <c r="V69" i="6"/>
  <c r="G574" i="32"/>
  <c r="BD155" i="11" l="1"/>
  <c r="BE152" i="11" s="1"/>
  <c r="BG150" i="11"/>
  <c r="BF26" i="15" s="1"/>
  <c r="H47" i="30"/>
  <c r="G585" i="32"/>
  <c r="U95" i="5"/>
  <c r="G625" i="32"/>
  <c r="U103" i="5"/>
  <c r="H46" i="30"/>
  <c r="H48" i="30" s="1"/>
  <c r="K47" i="35"/>
  <c r="K49" i="35" s="1"/>
  <c r="V81" i="6"/>
  <c r="W78" i="6" s="1"/>
  <c r="K48" i="35"/>
  <c r="R23" i="18"/>
  <c r="R20" i="18" s="1"/>
  <c r="R19" i="18" s="1"/>
  <c r="BA25" i="15"/>
  <c r="BA24" i="15" s="1"/>
  <c r="DM117" i="11"/>
  <c r="DN114" i="11" s="1"/>
  <c r="DN116" i="11" s="1"/>
  <c r="DM44" i="5"/>
  <c r="V70" i="6"/>
  <c r="U19" i="19"/>
  <c r="U14" i="19"/>
  <c r="U20" i="19"/>
  <c r="BD49" i="5"/>
  <c r="BC101" i="11"/>
  <c r="BC41" i="5" s="1"/>
  <c r="BC141" i="5" s="1"/>
  <c r="BC142" i="5" s="1"/>
  <c r="BC143" i="5" s="1"/>
  <c r="BD140" i="5" l="1"/>
  <c r="BC123" i="5"/>
  <c r="BC17" i="15"/>
  <c r="BH147" i="11"/>
  <c r="BH149" i="11" s="1"/>
  <c r="BH51" i="5" s="1"/>
  <c r="BC102" i="11"/>
  <c r="BD99" i="11" s="1"/>
  <c r="BE154" i="11"/>
  <c r="BE53" i="5" s="1"/>
  <c r="U100" i="5"/>
  <c r="G626" i="32"/>
  <c r="U125" i="5"/>
  <c r="U126" i="5"/>
  <c r="V71" i="6"/>
  <c r="W68" i="6" s="1"/>
  <c r="V89" i="6"/>
  <c r="BC40" i="5"/>
  <c r="DN117" i="11"/>
  <c r="DO114" i="11" s="1"/>
  <c r="DO116" i="11" s="1"/>
  <c r="DN44" i="5"/>
  <c r="BB28" i="15" l="1"/>
  <c r="BB25" i="15" s="1"/>
  <c r="BB24" i="15" s="1"/>
  <c r="BH150" i="11"/>
  <c r="BI147" i="11" s="1"/>
  <c r="BE155" i="11"/>
  <c r="BD17" i="15" s="1"/>
  <c r="BD101" i="11"/>
  <c r="BD41" i="5" s="1"/>
  <c r="BD141" i="5" s="1"/>
  <c r="BD142" i="5" s="1"/>
  <c r="BD143" i="5" s="1"/>
  <c r="U128" i="5"/>
  <c r="U127" i="5"/>
  <c r="V94" i="6"/>
  <c r="V95" i="6" s="1"/>
  <c r="V96" i="6" s="1"/>
  <c r="W93" i="6" s="1"/>
  <c r="V90" i="6"/>
  <c r="DO117" i="11"/>
  <c r="DP114" i="11" s="1"/>
  <c r="DP116" i="11" s="1"/>
  <c r="DO44" i="5"/>
  <c r="BE49" i="5"/>
  <c r="BE140" i="5" l="1"/>
  <c r="BD123" i="5"/>
  <c r="BG26" i="15"/>
  <c r="S21" i="18" s="1"/>
  <c r="BF152" i="11"/>
  <c r="BF154" i="11" s="1"/>
  <c r="BF53" i="5" s="1"/>
  <c r="BD102" i="11"/>
  <c r="BC28" i="15" s="1"/>
  <c r="BC25" i="15" s="1"/>
  <c r="BC24" i="15" s="1"/>
  <c r="U113" i="5"/>
  <c r="DP117" i="11"/>
  <c r="DQ114" i="11" s="1"/>
  <c r="DQ116" i="11" s="1"/>
  <c r="DP44" i="5"/>
  <c r="V91" i="6"/>
  <c r="W88" i="6" s="1"/>
  <c r="BI149" i="11"/>
  <c r="BI51" i="5" s="1"/>
  <c r="BD40" i="5"/>
  <c r="V99" i="6"/>
  <c r="BE99" i="11" l="1"/>
  <c r="BE101" i="11" s="1"/>
  <c r="BE41" i="5" s="1"/>
  <c r="BE141" i="5" s="1"/>
  <c r="BE142" i="5" s="1"/>
  <c r="BE143" i="5" s="1"/>
  <c r="BI150" i="11"/>
  <c r="BH26" i="15" s="1"/>
  <c r="BF155" i="11"/>
  <c r="BE17" i="15" s="1"/>
  <c r="BF49" i="5"/>
  <c r="V100" i="6"/>
  <c r="U64" i="19"/>
  <c r="U49" i="19"/>
  <c r="U110" i="5"/>
  <c r="G627" i="32"/>
  <c r="U286" i="11"/>
  <c r="U287" i="11" s="1"/>
  <c r="DQ117" i="11"/>
  <c r="DR114" i="11" s="1"/>
  <c r="DR116" i="11" s="1"/>
  <c r="DQ44" i="5"/>
  <c r="BF140" i="5" l="1"/>
  <c r="BE123" i="5"/>
  <c r="BJ147" i="11"/>
  <c r="BJ149" i="11" s="1"/>
  <c r="BJ51" i="5" s="1"/>
  <c r="BG152" i="11"/>
  <c r="BG154" i="11" s="1"/>
  <c r="BG53" i="5" s="1"/>
  <c r="BE102" i="11"/>
  <c r="BD28" i="15" s="1"/>
  <c r="BD25" i="15" s="1"/>
  <c r="BD24" i="15" s="1"/>
  <c r="U51" i="19"/>
  <c r="U46" i="19"/>
  <c r="U52" i="19"/>
  <c r="V101" i="6"/>
  <c r="W98" i="6" s="1"/>
  <c r="DR117" i="11"/>
  <c r="DS114" i="11" s="1"/>
  <c r="DS116" i="11" s="1"/>
  <c r="DR44" i="5"/>
  <c r="G616" i="32"/>
  <c r="BE40" i="5"/>
  <c r="T39" i="15"/>
  <c r="V284" i="11"/>
  <c r="U67" i="5"/>
  <c r="U120" i="5" s="1"/>
  <c r="U122" i="5" s="1"/>
  <c r="U124" i="5" s="1"/>
  <c r="U135" i="5"/>
  <c r="U132" i="5"/>
  <c r="U134" i="5" s="1"/>
  <c r="U131" i="5"/>
  <c r="U133" i="5" s="1"/>
  <c r="U67" i="19"/>
  <c r="U66" i="19"/>
  <c r="BF99" i="11" l="1"/>
  <c r="BF101" i="11" s="1"/>
  <c r="BF41" i="5" s="1"/>
  <c r="BF141" i="5" s="1"/>
  <c r="BF142" i="5" s="1"/>
  <c r="BF143" i="5" s="1"/>
  <c r="BG155" i="11"/>
  <c r="BF17" i="15" s="1"/>
  <c r="BJ150" i="11"/>
  <c r="BI26" i="15" s="1"/>
  <c r="DS117" i="11"/>
  <c r="DT114" i="11" s="1"/>
  <c r="DT116" i="11" s="1"/>
  <c r="DS44" i="5"/>
  <c r="G631" i="32"/>
  <c r="G633" i="32" s="1"/>
  <c r="BG49" i="5"/>
  <c r="G658" i="32"/>
  <c r="G659" i="32" s="1"/>
  <c r="G660" i="32" s="1"/>
  <c r="T38" i="15"/>
  <c r="T34" i="15" s="1"/>
  <c r="T40" i="15" s="1"/>
  <c r="V121" i="5"/>
  <c r="W44" i="6"/>
  <c r="T16" i="15"/>
  <c r="BG140" i="5" l="1"/>
  <c r="BF123" i="5"/>
  <c r="BH152" i="11"/>
  <c r="BH154" i="11" s="1"/>
  <c r="BH53" i="5" s="1"/>
  <c r="BH49" i="5" s="1"/>
  <c r="BK147" i="11"/>
  <c r="BK149" i="11" s="1"/>
  <c r="BK51" i="5" s="1"/>
  <c r="T15" i="15"/>
  <c r="T14" i="15" s="1"/>
  <c r="T41" i="15" s="1"/>
  <c r="G640" i="32"/>
  <c r="G647" i="32" s="1"/>
  <c r="G661" i="32" s="1"/>
  <c r="BF40" i="5"/>
  <c r="V20" i="5"/>
  <c r="W43" i="6"/>
  <c r="W42" i="6" s="1"/>
  <c r="W55" i="6" s="1"/>
  <c r="W57" i="6" s="1"/>
  <c r="DT117" i="11"/>
  <c r="DU114" i="11" s="1"/>
  <c r="DU116" i="11" s="1"/>
  <c r="DT44" i="5"/>
  <c r="BF102" i="11"/>
  <c r="H632" i="32"/>
  <c r="BH155" i="11" l="1"/>
  <c r="BI152" i="11" s="1"/>
  <c r="BK150" i="11"/>
  <c r="BJ26" i="15" s="1"/>
  <c r="T42" i="15"/>
  <c r="V15" i="5"/>
  <c r="V14" i="5" s="1"/>
  <c r="W66" i="6" s="1"/>
  <c r="BG99" i="11"/>
  <c r="BE28" i="15"/>
  <c r="BE25" i="15" s="1"/>
  <c r="BE24" i="15" s="1"/>
  <c r="DU117" i="11"/>
  <c r="DV114" i="11" s="1"/>
  <c r="DV116" i="11" s="1"/>
  <c r="DU44" i="5"/>
  <c r="W62" i="6"/>
  <c r="V285" i="11"/>
  <c r="BG17" i="15" l="1"/>
  <c r="S12" i="18" s="1"/>
  <c r="H211" i="32" s="1"/>
  <c r="BL147" i="11"/>
  <c r="BL149" i="11" s="1"/>
  <c r="BL51" i="5" s="1"/>
  <c r="W75" i="6"/>
  <c r="W80" i="6" s="1"/>
  <c r="W69" i="6"/>
  <c r="W64" i="6"/>
  <c r="BG101" i="11"/>
  <c r="BG41" i="5" s="1"/>
  <c r="BG141" i="5" s="1"/>
  <c r="BG142" i="5" s="1"/>
  <c r="BG143" i="5" s="1"/>
  <c r="DV117" i="11"/>
  <c r="DW114" i="11" s="1"/>
  <c r="DW116" i="11" s="1"/>
  <c r="DV44" i="5"/>
  <c r="AE39" i="17" s="1"/>
  <c r="BI154" i="11"/>
  <c r="BI53" i="5" s="1"/>
  <c r="BH140" i="5" l="1"/>
  <c r="BG123" i="5"/>
  <c r="BI155" i="11"/>
  <c r="BJ152" i="11" s="1"/>
  <c r="BL150" i="11"/>
  <c r="BM147" i="11" s="1"/>
  <c r="BG102" i="11"/>
  <c r="BH99" i="11" s="1"/>
  <c r="BI49" i="5"/>
  <c r="W70" i="6"/>
  <c r="BG40" i="5"/>
  <c r="V103" i="5"/>
  <c r="W81" i="6"/>
  <c r="X78" i="6" s="1"/>
  <c r="DW117" i="11"/>
  <c r="DX114" i="11" s="1"/>
  <c r="DX116" i="11" s="1"/>
  <c r="DW44" i="5"/>
  <c r="V17" i="19"/>
  <c r="V98" i="5"/>
  <c r="W76" i="6"/>
  <c r="X73" i="6" s="1"/>
  <c r="BH17" i="15" l="1"/>
  <c r="BK26" i="15"/>
  <c r="BF28" i="15"/>
  <c r="BF25" i="15" s="1"/>
  <c r="BF24" i="15" s="1"/>
  <c r="BM149" i="11"/>
  <c r="BM51" i="5" s="1"/>
  <c r="V19" i="19"/>
  <c r="V14" i="19"/>
  <c r="V20" i="19"/>
  <c r="DX117" i="11"/>
  <c r="DY114" i="11" s="1"/>
  <c r="DY116" i="11" s="1"/>
  <c r="DX44" i="5"/>
  <c r="V100" i="5"/>
  <c r="BH101" i="11"/>
  <c r="BH41" i="5" s="1"/>
  <c r="V95" i="5"/>
  <c r="W71" i="6"/>
  <c r="X68" i="6" s="1"/>
  <c r="W89" i="6"/>
  <c r="BJ154" i="11"/>
  <c r="BJ53" i="5" s="1"/>
  <c r="BH40" i="5" l="1"/>
  <c r="BH141" i="5"/>
  <c r="BH142" i="5" s="1"/>
  <c r="BH143" i="5" s="1"/>
  <c r="BJ155" i="11"/>
  <c r="BI17" i="15" s="1"/>
  <c r="BH102" i="11"/>
  <c r="BI99" i="11" s="1"/>
  <c r="BM150" i="11"/>
  <c r="BN147" i="11" s="1"/>
  <c r="V125" i="5"/>
  <c r="V126" i="5"/>
  <c r="BJ49" i="5"/>
  <c r="DY117" i="11"/>
  <c r="DZ114" i="11" s="1"/>
  <c r="DZ116" i="11" s="1"/>
  <c r="DY44" i="5"/>
  <c r="W94" i="6"/>
  <c r="W90" i="6"/>
  <c r="V128" i="5"/>
  <c r="V127" i="5"/>
  <c r="BI140" i="5" l="1"/>
  <c r="BH123" i="5"/>
  <c r="BG28" i="15"/>
  <c r="BG25" i="15" s="1"/>
  <c r="BG24" i="15" s="1"/>
  <c r="BL26" i="15"/>
  <c r="BK152" i="11"/>
  <c r="BK154" i="11" s="1"/>
  <c r="BK53" i="5" s="1"/>
  <c r="DZ117" i="11"/>
  <c r="EA114" i="11" s="1"/>
  <c r="EA116" i="11" s="1"/>
  <c r="DZ44" i="5"/>
  <c r="W99" i="6"/>
  <c r="W95" i="6"/>
  <c r="W96" i="6" s="1"/>
  <c r="X93" i="6" s="1"/>
  <c r="BN149" i="11"/>
  <c r="BN51" i="5" s="1"/>
  <c r="W91" i="6"/>
  <c r="X88" i="6" s="1"/>
  <c r="V113" i="5"/>
  <c r="BI101" i="11"/>
  <c r="BI41" i="5" s="1"/>
  <c r="BI141" i="5" s="1"/>
  <c r="BI142" i="5" l="1"/>
  <c r="BI143" i="5" s="1"/>
  <c r="S23" i="18"/>
  <c r="S20" i="18" s="1"/>
  <c r="S19" i="18" s="1"/>
  <c r="BN150" i="11"/>
  <c r="BO147" i="11" s="1"/>
  <c r="BI40" i="5"/>
  <c r="BK155" i="11"/>
  <c r="BK49" i="5"/>
  <c r="EA117" i="11"/>
  <c r="EB114" i="11" s="1"/>
  <c r="EB116" i="11" s="1"/>
  <c r="EA44" i="5"/>
  <c r="V110" i="5"/>
  <c r="V49" i="19"/>
  <c r="V286" i="11"/>
  <c r="V287" i="11" s="1"/>
  <c r="BI102" i="11"/>
  <c r="W100" i="6"/>
  <c r="V64" i="19"/>
  <c r="BJ140" i="5" l="1"/>
  <c r="BI123" i="5"/>
  <c r="H219" i="32"/>
  <c r="H224" i="32" s="1"/>
  <c r="BM26" i="15"/>
  <c r="T21" i="18" s="1"/>
  <c r="W101" i="6"/>
  <c r="X98" i="6" s="1"/>
  <c r="W284" i="11"/>
  <c r="U39" i="15"/>
  <c r="U38" i="15" s="1"/>
  <c r="U34" i="15" s="1"/>
  <c r="U40" i="15" s="1"/>
  <c r="V52" i="19"/>
  <c r="V46" i="19"/>
  <c r="V51" i="19"/>
  <c r="V132" i="5"/>
  <c r="V134" i="5" s="1"/>
  <c r="V131" i="5"/>
  <c r="V133" i="5" s="1"/>
  <c r="V67" i="5"/>
  <c r="V120" i="5" s="1"/>
  <c r="V122" i="5" s="1"/>
  <c r="V124" i="5" s="1"/>
  <c r="V135" i="5"/>
  <c r="BO149" i="11"/>
  <c r="BO51" i="5" s="1"/>
  <c r="V66" i="19"/>
  <c r="V67" i="19"/>
  <c r="BJ99" i="11"/>
  <c r="BH28" i="15"/>
  <c r="BH25" i="15" s="1"/>
  <c r="BH24" i="15" s="1"/>
  <c r="EB117" i="11"/>
  <c r="EC114" i="11" s="1"/>
  <c r="EC116" i="11" s="1"/>
  <c r="EB44" i="5"/>
  <c r="BL152" i="11"/>
  <c r="BJ17" i="15"/>
  <c r="BO150" i="11" l="1"/>
  <c r="BN26" i="15" s="1"/>
  <c r="U16" i="15"/>
  <c r="U15" i="15" s="1"/>
  <c r="U14" i="15" s="1"/>
  <c r="U41" i="15" s="1"/>
  <c r="W121" i="5"/>
  <c r="X44" i="6"/>
  <c r="EC117" i="11"/>
  <c r="ED114" i="11" s="1"/>
  <c r="ED116" i="11" s="1"/>
  <c r="EC44" i="5"/>
  <c r="BL154" i="11"/>
  <c r="BL53" i="5" s="1"/>
  <c r="BJ101" i="11"/>
  <c r="BJ41" i="5" s="1"/>
  <c r="BJ141" i="5" s="1"/>
  <c r="BJ142" i="5" s="1"/>
  <c r="BJ143" i="5" s="1"/>
  <c r="BK140" i="5" l="1"/>
  <c r="BJ123" i="5"/>
  <c r="BP147" i="11"/>
  <c r="BP149" i="11" s="1"/>
  <c r="BP51" i="5" s="1"/>
  <c r="BL155" i="11"/>
  <c r="BM152" i="11" s="1"/>
  <c r="BJ40" i="5"/>
  <c r="W20" i="5"/>
  <c r="X43" i="6"/>
  <c r="X42" i="6" s="1"/>
  <c r="X55" i="6" s="1"/>
  <c r="X57" i="6" s="1"/>
  <c r="BL49" i="5"/>
  <c r="ED117" i="11"/>
  <c r="EE114" i="11" s="1"/>
  <c r="EE116" i="11" s="1"/>
  <c r="ED44" i="5"/>
  <c r="BJ102" i="11"/>
  <c r="U42" i="15"/>
  <c r="BK17" i="15" l="1"/>
  <c r="BP150" i="11"/>
  <c r="BQ147" i="11" s="1"/>
  <c r="BM154" i="11"/>
  <c r="BM53" i="5" s="1"/>
  <c r="BK99" i="11"/>
  <c r="BI28" i="15"/>
  <c r="BI25" i="15" s="1"/>
  <c r="BI24" i="15" s="1"/>
  <c r="W285" i="11"/>
  <c r="X62" i="6"/>
  <c r="EE117" i="11"/>
  <c r="EF114" i="11" s="1"/>
  <c r="EF116" i="11" s="1"/>
  <c r="EE44" i="5"/>
  <c r="W15" i="5"/>
  <c r="W14" i="5" s="1"/>
  <c r="X66" i="6" s="1"/>
  <c r="X75" i="6" s="1"/>
  <c r="BM155" i="11" l="1"/>
  <c r="BN152" i="11" s="1"/>
  <c r="BO26" i="15"/>
  <c r="BK101" i="11"/>
  <c r="BK41" i="5" s="1"/>
  <c r="BK141" i="5" s="1"/>
  <c r="BK142" i="5" s="1"/>
  <c r="BK143" i="5" s="1"/>
  <c r="X80" i="6"/>
  <c r="W98" i="5"/>
  <c r="W17" i="19"/>
  <c r="X76" i="6"/>
  <c r="Y73" i="6" s="1"/>
  <c r="BM49" i="5"/>
  <c r="X64" i="6"/>
  <c r="X69" i="6"/>
  <c r="BQ149" i="11"/>
  <c r="BQ51" i="5" s="1"/>
  <c r="EF117" i="11"/>
  <c r="EG114" i="11" s="1"/>
  <c r="EG116" i="11" s="1"/>
  <c r="EF44" i="5"/>
  <c r="BL140" i="5" l="1"/>
  <c r="BK123" i="5"/>
  <c r="BL17" i="15"/>
  <c r="BK102" i="11"/>
  <c r="BL99" i="11" s="1"/>
  <c r="X70" i="6"/>
  <c r="W20" i="19"/>
  <c r="W14" i="19"/>
  <c r="W19" i="19"/>
  <c r="W103" i="5"/>
  <c r="X81" i="6"/>
  <c r="Y78" i="6" s="1"/>
  <c r="BN154" i="11"/>
  <c r="BN53" i="5" s="1"/>
  <c r="BN49" i="5" s="1"/>
  <c r="EG117" i="11"/>
  <c r="EH114" i="11" s="1"/>
  <c r="EH116" i="11" s="1"/>
  <c r="EG44" i="5"/>
  <c r="BK40" i="5"/>
  <c r="BQ150" i="11"/>
  <c r="W95" i="5"/>
  <c r="BJ28" i="15" l="1"/>
  <c r="BJ25" i="15" s="1"/>
  <c r="BJ24" i="15" s="1"/>
  <c r="BN155" i="11"/>
  <c r="BM17" i="15" s="1"/>
  <c r="T12" i="18" s="1"/>
  <c r="W100" i="5"/>
  <c r="BL101" i="11"/>
  <c r="BL41" i="5" s="1"/>
  <c r="BL141" i="5" s="1"/>
  <c r="BL142" i="5" s="1"/>
  <c r="BL143" i="5" s="1"/>
  <c r="EH117" i="11"/>
  <c r="EI114" i="11" s="1"/>
  <c r="EI116" i="11" s="1"/>
  <c r="EH44" i="5"/>
  <c r="X71" i="6"/>
  <c r="Y68" i="6" s="1"/>
  <c r="X89" i="6"/>
  <c r="W126" i="5"/>
  <c r="W125" i="5"/>
  <c r="BR147" i="11"/>
  <c r="BP26" i="15"/>
  <c r="BM140" i="5" l="1"/>
  <c r="BL123" i="5"/>
  <c r="BO152" i="11"/>
  <c r="BO154" i="11" s="1"/>
  <c r="BO53" i="5" s="1"/>
  <c r="BL102" i="11"/>
  <c r="BK28" i="15" s="1"/>
  <c r="BK25" i="15" s="1"/>
  <c r="BK24" i="15" s="1"/>
  <c r="EI117" i="11"/>
  <c r="EJ114" i="11" s="1"/>
  <c r="EJ116" i="11" s="1"/>
  <c r="EI44" i="5"/>
  <c r="BR149" i="11"/>
  <c r="BR51" i="5" s="1"/>
  <c r="X94" i="6"/>
  <c r="X90" i="6"/>
  <c r="BL40" i="5"/>
  <c r="W127" i="5"/>
  <c r="W128" i="5"/>
  <c r="BM99" i="11" l="1"/>
  <c r="BM101" i="11" s="1"/>
  <c r="BM41" i="5" s="1"/>
  <c r="BM141" i="5" s="1"/>
  <c r="BM142" i="5" s="1"/>
  <c r="BM143" i="5" s="1"/>
  <c r="BO49" i="5"/>
  <c r="W113" i="5"/>
  <c r="X99" i="6"/>
  <c r="X95" i="6"/>
  <c r="X96" i="6" s="1"/>
  <c r="Y93" i="6" s="1"/>
  <c r="EJ117" i="11"/>
  <c r="EK114" i="11" s="1"/>
  <c r="EK116" i="11" s="1"/>
  <c r="EJ44" i="5"/>
  <c r="BO155" i="11"/>
  <c r="X91" i="6"/>
  <c r="Y88" i="6" s="1"/>
  <c r="BR150" i="11"/>
  <c r="BN140" i="5" l="1"/>
  <c r="BM123" i="5"/>
  <c r="BM40" i="5"/>
  <c r="BQ26" i="15"/>
  <c r="BS147" i="11"/>
  <c r="EK117" i="11"/>
  <c r="EL114" i="11" s="1"/>
  <c r="EL116" i="11" s="1"/>
  <c r="EK44" i="5"/>
  <c r="W110" i="5"/>
  <c r="W49" i="19"/>
  <c r="W286" i="11"/>
  <c r="W287" i="11" s="1"/>
  <c r="BP152" i="11"/>
  <c r="BN17" i="15"/>
  <c r="X100" i="6"/>
  <c r="W64" i="19"/>
  <c r="BM102" i="11"/>
  <c r="X101" i="6" l="1"/>
  <c r="Y98" i="6" s="1"/>
  <c r="W132" i="5"/>
  <c r="W134" i="5" s="1"/>
  <c r="W135" i="5"/>
  <c r="W67" i="5"/>
  <c r="W120" i="5" s="1"/>
  <c r="W122" i="5" s="1"/>
  <c r="W124" i="5" s="1"/>
  <c r="W131" i="5"/>
  <c r="W133" i="5" s="1"/>
  <c r="BN99" i="11"/>
  <c r="BL28" i="15"/>
  <c r="BL25" i="15" s="1"/>
  <c r="BL24" i="15" s="1"/>
  <c r="BP154" i="11"/>
  <c r="BP53" i="5" s="1"/>
  <c r="BS149" i="11"/>
  <c r="BS51" i="5" s="1"/>
  <c r="EL117" i="11"/>
  <c r="EM114" i="11" s="1"/>
  <c r="EM116" i="11" s="1"/>
  <c r="EL44" i="5"/>
  <c r="W66" i="19"/>
  <c r="W67" i="19"/>
  <c r="X284" i="11"/>
  <c r="V39" i="15"/>
  <c r="V38" i="15" s="1"/>
  <c r="V34" i="15" s="1"/>
  <c r="V40" i="15" s="1"/>
  <c r="W46" i="19"/>
  <c r="W51" i="19"/>
  <c r="W52" i="19"/>
  <c r="BS150" i="11" l="1"/>
  <c r="BR26" i="15" s="1"/>
  <c r="BP155" i="11"/>
  <c r="BQ152" i="11" s="1"/>
  <c r="BN101" i="11"/>
  <c r="BN41" i="5" s="1"/>
  <c r="EM117" i="11"/>
  <c r="EN114" i="11" s="1"/>
  <c r="EN116" i="11" s="1"/>
  <c r="EM44" i="5"/>
  <c r="BP49" i="5"/>
  <c r="X121" i="5"/>
  <c r="Y44" i="6"/>
  <c r="V16" i="15"/>
  <c r="V15" i="15" s="1"/>
  <c r="V14" i="15" s="1"/>
  <c r="V41" i="15" s="1"/>
  <c r="BN40" i="5" l="1"/>
  <c r="BN141" i="5"/>
  <c r="BN142" i="5" s="1"/>
  <c r="BN143" i="5" s="1"/>
  <c r="BT147" i="11"/>
  <c r="BT149" i="11" s="1"/>
  <c r="BT51" i="5" s="1"/>
  <c r="BO17" i="15"/>
  <c r="V42" i="15"/>
  <c r="X20" i="5"/>
  <c r="Y43" i="6"/>
  <c r="Y42" i="6" s="1"/>
  <c r="Y55" i="6" s="1"/>
  <c r="Y57" i="6" s="1"/>
  <c r="I26" i="30"/>
  <c r="L26" i="35"/>
  <c r="H562" i="32"/>
  <c r="I36" i="30"/>
  <c r="H456" i="32"/>
  <c r="L37" i="35"/>
  <c r="I34" i="30"/>
  <c r="L35" i="35"/>
  <c r="BQ154" i="11"/>
  <c r="BQ53" i="5" s="1"/>
  <c r="EN117" i="11"/>
  <c r="EO114" i="11" s="1"/>
  <c r="EO116" i="11" s="1"/>
  <c r="EN44" i="5"/>
  <c r="BN102" i="11"/>
  <c r="BO140" i="5" l="1"/>
  <c r="BN123" i="5"/>
  <c r="BT150" i="11"/>
  <c r="BS26" i="15" s="1"/>
  <c r="BQ155" i="11"/>
  <c r="BR152" i="11" s="1"/>
  <c r="L25" i="35"/>
  <c r="H457" i="32"/>
  <c r="BQ49" i="5"/>
  <c r="EO117" i="11"/>
  <c r="EP114" i="11" s="1"/>
  <c r="EP116" i="11" s="1"/>
  <c r="EO44" i="5"/>
  <c r="I25" i="30"/>
  <c r="X285" i="11"/>
  <c r="Y62" i="6"/>
  <c r="BO99" i="11"/>
  <c r="BM28" i="15"/>
  <c r="H561" i="32"/>
  <c r="X15" i="5"/>
  <c r="X14" i="5" s="1"/>
  <c r="Y66" i="6" s="1"/>
  <c r="H601" i="32"/>
  <c r="BP17" i="15" l="1"/>
  <c r="BU147" i="11"/>
  <c r="BU149" i="11" s="1"/>
  <c r="BU51" i="5" s="1"/>
  <c r="BR154" i="11"/>
  <c r="BR53" i="5" s="1"/>
  <c r="H600" i="32"/>
  <c r="Y64" i="6"/>
  <c r="Y69" i="6"/>
  <c r="Y70" i="6" s="1"/>
  <c r="H574" i="32"/>
  <c r="T23" i="18"/>
  <c r="T20" i="18" s="1"/>
  <c r="T19" i="18" s="1"/>
  <c r="BM25" i="15"/>
  <c r="BM24" i="15" s="1"/>
  <c r="Y75" i="6"/>
  <c r="Y80" i="6" s="1"/>
  <c r="BO101" i="11"/>
  <c r="BO41" i="5" s="1"/>
  <c r="BO141" i="5" s="1"/>
  <c r="BO142" i="5" s="1"/>
  <c r="BO143" i="5" s="1"/>
  <c r="U21" i="18"/>
  <c r="EP117" i="11"/>
  <c r="EQ114" i="11" s="1"/>
  <c r="EP44" i="5"/>
  <c r="H461" i="32"/>
  <c r="H460" i="32"/>
  <c r="BP140" i="5" l="1"/>
  <c r="BO123" i="5"/>
  <c r="BU150" i="11"/>
  <c r="BV147" i="11" s="1"/>
  <c r="BR155" i="11"/>
  <c r="BQ17" i="15" s="1"/>
  <c r="BO102" i="11"/>
  <c r="BP99" i="11" s="1"/>
  <c r="O78" i="16"/>
  <c r="O81" i="16" s="1"/>
  <c r="X103" i="5"/>
  <c r="I46" i="30"/>
  <c r="L47" i="35"/>
  <c r="Y81" i="6"/>
  <c r="Z78" i="6" s="1"/>
  <c r="Y71" i="6"/>
  <c r="Z68" i="6" s="1"/>
  <c r="O85" i="16"/>
  <c r="Y89" i="6"/>
  <c r="X98" i="5"/>
  <c r="X17" i="19"/>
  <c r="L46" i="35"/>
  <c r="I45" i="30"/>
  <c r="Y76" i="6"/>
  <c r="Z73" i="6" s="1"/>
  <c r="H585" i="32"/>
  <c r="BN28" i="15"/>
  <c r="BN25" i="15" s="1"/>
  <c r="BN24" i="15" s="1"/>
  <c r="EQ116" i="11"/>
  <c r="BO40" i="5"/>
  <c r="BR49" i="5"/>
  <c r="BS152" i="11" l="1"/>
  <c r="BS154" i="11" s="1"/>
  <c r="BS53" i="5" s="1"/>
  <c r="BT26" i="15"/>
  <c r="X95" i="5"/>
  <c r="H625" i="32"/>
  <c r="EQ44" i="5"/>
  <c r="J116" i="11"/>
  <c r="X100" i="5"/>
  <c r="H626" i="32"/>
  <c r="L48" i="35"/>
  <c r="O82" i="16"/>
  <c r="I47" i="30"/>
  <c r="BP101" i="11"/>
  <c r="BP41" i="5" s="1"/>
  <c r="BP141" i="5" s="1"/>
  <c r="BP142" i="5" s="1"/>
  <c r="BP143" i="5" s="1"/>
  <c r="L49" i="35"/>
  <c r="EQ117" i="11"/>
  <c r="X14" i="19"/>
  <c r="X19" i="19"/>
  <c r="X20" i="19"/>
  <c r="Y94" i="6"/>
  <c r="Y90" i="6"/>
  <c r="X113" i="5" s="1"/>
  <c r="X286" i="11" s="1"/>
  <c r="X287" i="11" s="1"/>
  <c r="BV149" i="11"/>
  <c r="BV51" i="5" s="1"/>
  <c r="I48" i="30"/>
  <c r="BQ140" i="5" l="1"/>
  <c r="BP123" i="5"/>
  <c r="BS155" i="11"/>
  <c r="BR17" i="15" s="1"/>
  <c r="BP102" i="11"/>
  <c r="BQ99" i="11" s="1"/>
  <c r="BV150" i="11"/>
  <c r="BU26" i="15" s="1"/>
  <c r="Y91" i="6"/>
  <c r="Z88" i="6" s="1"/>
  <c r="W39" i="15"/>
  <c r="Y284" i="11"/>
  <c r="J44" i="5"/>
  <c r="M39" i="26"/>
  <c r="N39" i="17"/>
  <c r="N39" i="26"/>
  <c r="F173" i="32" s="1"/>
  <c r="P39" i="17"/>
  <c r="H734" i="32" s="1"/>
  <c r="Q39" i="17"/>
  <c r="O39" i="26"/>
  <c r="G173" i="32" s="1"/>
  <c r="R39" i="17"/>
  <c r="S39" i="17"/>
  <c r="P39" i="26"/>
  <c r="H173" i="32" s="1"/>
  <c r="Q39" i="26"/>
  <c r="I173" i="32" s="1"/>
  <c r="V39" i="17"/>
  <c r="W39" i="17"/>
  <c r="R39" i="26"/>
  <c r="J173" i="32" s="1"/>
  <c r="X39" i="17"/>
  <c r="Y39" i="17"/>
  <c r="S39" i="26"/>
  <c r="K173" i="32" s="1"/>
  <c r="Z39" i="17"/>
  <c r="T39" i="26"/>
  <c r="L173" i="32" s="1"/>
  <c r="AB39" i="17"/>
  <c r="AC39" i="17"/>
  <c r="U39" i="26"/>
  <c r="M173" i="32" s="1"/>
  <c r="AD39" i="17"/>
  <c r="V39" i="26"/>
  <c r="N173" i="32" s="1"/>
  <c r="AF39" i="17"/>
  <c r="AG39" i="17"/>
  <c r="W39" i="26"/>
  <c r="AH39" i="17"/>
  <c r="X39" i="26"/>
  <c r="AI39" i="17"/>
  <c r="BS49" i="5"/>
  <c r="X127" i="5"/>
  <c r="X128" i="5"/>
  <c r="Y99" i="6"/>
  <c r="Y95" i="6"/>
  <c r="Y96" i="6" s="1"/>
  <c r="Z93" i="6" s="1"/>
  <c r="BP40" i="5"/>
  <c r="X110" i="5"/>
  <c r="X49" i="19"/>
  <c r="H627" i="32"/>
  <c r="X125" i="5"/>
  <c r="X126" i="5"/>
  <c r="BO28" i="15" l="1"/>
  <c r="BO25" i="15" s="1"/>
  <c r="BO24" i="15" s="1"/>
  <c r="BT152" i="11"/>
  <c r="BT154" i="11" s="1"/>
  <c r="BT53" i="5" s="1"/>
  <c r="BT49" i="5" s="1"/>
  <c r="BW147" i="11"/>
  <c r="BW149" i="11" s="1"/>
  <c r="BW51" i="5" s="1"/>
  <c r="Y100" i="6"/>
  <c r="Y101" i="6" s="1"/>
  <c r="Z98" i="6" s="1"/>
  <c r="X64" i="19"/>
  <c r="F734" i="32"/>
  <c r="C734" i="32" s="1"/>
  <c r="J39" i="17"/>
  <c r="E173" i="32"/>
  <c r="C173" i="32" s="1"/>
  <c r="J39" i="26"/>
  <c r="X46" i="19"/>
  <c r="X51" i="19"/>
  <c r="X52" i="19"/>
  <c r="X135" i="5"/>
  <c r="X67" i="5"/>
  <c r="X120" i="5" s="1"/>
  <c r="X122" i="5" s="1"/>
  <c r="X124" i="5" s="1"/>
  <c r="X131" i="5"/>
  <c r="X133" i="5" s="1"/>
  <c r="X132" i="5"/>
  <c r="X134" i="5" s="1"/>
  <c r="BQ101" i="11"/>
  <c r="BQ41" i="5" s="1"/>
  <c r="BQ141" i="5" s="1"/>
  <c r="BQ142" i="5" s="1"/>
  <c r="BQ143" i="5" s="1"/>
  <c r="H616" i="32"/>
  <c r="W38" i="15"/>
  <c r="W34" i="15" s="1"/>
  <c r="W40" i="15" s="1"/>
  <c r="H658" i="32"/>
  <c r="H659" i="32" s="1"/>
  <c r="H660" i="32" s="1"/>
  <c r="M34" i="18"/>
  <c r="BR140" i="5" l="1"/>
  <c r="BQ123" i="5"/>
  <c r="N603" i="32"/>
  <c r="O603" i="32" s="1"/>
  <c r="BW150" i="11"/>
  <c r="BV26" i="15" s="1"/>
  <c r="BT155" i="11"/>
  <c r="BS17" i="15" s="1"/>
  <c r="U12" i="18" s="1"/>
  <c r="I211" i="32" s="1"/>
  <c r="H631" i="32"/>
  <c r="H633" i="32" s="1"/>
  <c r="BQ102" i="11"/>
  <c r="Z44" i="6"/>
  <c r="W16" i="15"/>
  <c r="Y121" i="5"/>
  <c r="X66" i="19"/>
  <c r="X67" i="19"/>
  <c r="BQ40" i="5"/>
  <c r="E227" i="32"/>
  <c r="E228" i="32" s="1"/>
  <c r="E229" i="32" s="1"/>
  <c r="F789" i="32"/>
  <c r="F790" i="32" s="1"/>
  <c r="F791" i="32" s="1"/>
  <c r="M33" i="18"/>
  <c r="M29" i="18" s="1"/>
  <c r="M35" i="18" s="1"/>
  <c r="BU152" i="11" l="1"/>
  <c r="BU154" i="11" s="1"/>
  <c r="BU53" i="5" s="1"/>
  <c r="BX147" i="11"/>
  <c r="BX149" i="11" s="1"/>
  <c r="BX51" i="5" s="1"/>
  <c r="Y20" i="5"/>
  <c r="Z43" i="6"/>
  <c r="Z42" i="6" s="1"/>
  <c r="Z55" i="6" s="1"/>
  <c r="Z57" i="6" s="1"/>
  <c r="I632" i="32"/>
  <c r="BR99" i="11"/>
  <c r="BP28" i="15"/>
  <c r="BP25" i="15" s="1"/>
  <c r="BP24" i="15" s="1"/>
  <c r="M11" i="18"/>
  <c r="W15" i="15"/>
  <c r="W14" i="15" s="1"/>
  <c r="H640" i="32"/>
  <c r="H647" i="32" s="1"/>
  <c r="H661" i="32" s="1"/>
  <c r="BX150" i="11" l="1"/>
  <c r="BW26" i="15" s="1"/>
  <c r="BU155" i="11"/>
  <c r="BT17" i="15" s="1"/>
  <c r="BU49" i="5"/>
  <c r="BR101" i="11"/>
  <c r="BR41" i="5" s="1"/>
  <c r="BR141" i="5" s="1"/>
  <c r="BR142" i="5" s="1"/>
  <c r="BR143" i="5" s="1"/>
  <c r="W41" i="15"/>
  <c r="W42" i="15"/>
  <c r="Z62" i="6"/>
  <c r="Y285" i="11"/>
  <c r="E210" i="32"/>
  <c r="E217" i="32" s="1"/>
  <c r="E230" i="32" s="1"/>
  <c r="F771" i="32"/>
  <c r="F778" i="32" s="1"/>
  <c r="F792" i="32" s="1"/>
  <c r="M10" i="18"/>
  <c r="M9" i="18" s="1"/>
  <c r="M36" i="18" s="1"/>
  <c r="Y15" i="5"/>
  <c r="Y14" i="5" s="1"/>
  <c r="Z66" i="6" s="1"/>
  <c r="BS140" i="5" l="1"/>
  <c r="BR123" i="5"/>
  <c r="BY147" i="11"/>
  <c r="BY149" i="11" s="1"/>
  <c r="BY51" i="5" s="1"/>
  <c r="BV152" i="11"/>
  <c r="BV154" i="11" s="1"/>
  <c r="BV53" i="5" s="1"/>
  <c r="BR102" i="11"/>
  <c r="BS99" i="11" s="1"/>
  <c r="BR40" i="5"/>
  <c r="Z75" i="6"/>
  <c r="Z80" i="6" s="1"/>
  <c r="Z64" i="6"/>
  <c r="Z69" i="6"/>
  <c r="BQ28" i="15" l="1"/>
  <c r="BQ25" i="15" s="1"/>
  <c r="BQ24" i="15" s="1"/>
  <c r="BY150" i="11"/>
  <c r="BX26" i="15" s="1"/>
  <c r="BV155" i="11"/>
  <c r="BU17" i="15" s="1"/>
  <c r="BS101" i="11"/>
  <c r="BS41" i="5" s="1"/>
  <c r="BS141" i="5" s="1"/>
  <c r="BS142" i="5" s="1"/>
  <c r="BS143" i="5" s="1"/>
  <c r="Z70" i="6"/>
  <c r="Z89" i="6" s="1"/>
  <c r="BV49" i="5"/>
  <c r="Y103" i="5"/>
  <c r="Z81" i="6"/>
  <c r="AA78" i="6" s="1"/>
  <c r="Y98" i="5"/>
  <c r="Y17" i="19"/>
  <c r="Z76" i="6"/>
  <c r="AA73" i="6" s="1"/>
  <c r="BT140" i="5" l="1"/>
  <c r="BS123" i="5"/>
  <c r="BZ147" i="11"/>
  <c r="BZ149" i="11" s="1"/>
  <c r="BZ51" i="5" s="1"/>
  <c r="BW152" i="11"/>
  <c r="BW154" i="11" s="1"/>
  <c r="BW53" i="5" s="1"/>
  <c r="BS102" i="11"/>
  <c r="BT99" i="11" s="1"/>
  <c r="Z94" i="6"/>
  <c r="Z90" i="6"/>
  <c r="Z91" i="6" s="1"/>
  <c r="AA88" i="6" s="1"/>
  <c r="Y14" i="19"/>
  <c r="Y19" i="19"/>
  <c r="Y20" i="19"/>
  <c r="Y100" i="5"/>
  <c r="Z71" i="6"/>
  <c r="AA68" i="6" s="1"/>
  <c r="Y95" i="5"/>
  <c r="BS40" i="5"/>
  <c r="BR28" i="15" l="1"/>
  <c r="BR25" i="15" s="1"/>
  <c r="BR24" i="15" s="1"/>
  <c r="BZ150" i="11"/>
  <c r="CA147" i="11" s="1"/>
  <c r="BW155" i="11"/>
  <c r="BX152" i="11" s="1"/>
  <c r="BT101" i="11"/>
  <c r="BT41" i="5" s="1"/>
  <c r="Y113" i="5"/>
  <c r="Y126" i="5"/>
  <c r="Y125" i="5"/>
  <c r="Y128" i="5"/>
  <c r="Y127" i="5"/>
  <c r="BW49" i="5"/>
  <c r="Z99" i="6"/>
  <c r="Z95" i="6"/>
  <c r="Z96" i="6" s="1"/>
  <c r="AA93" i="6" s="1"/>
  <c r="BT40" i="5" l="1"/>
  <c r="BT141" i="5"/>
  <c r="BT142" i="5" s="1"/>
  <c r="BT143" i="5" s="1"/>
  <c r="BV17" i="15"/>
  <c r="BY26" i="15"/>
  <c r="V21" i="18" s="1"/>
  <c r="BT102" i="11"/>
  <c r="BS28" i="15" s="1"/>
  <c r="Z100" i="6"/>
  <c r="Y64" i="19"/>
  <c r="CA149" i="11"/>
  <c r="CA51" i="5" s="1"/>
  <c r="BX154" i="11"/>
  <c r="BX53" i="5" s="1"/>
  <c r="Y286" i="11"/>
  <c r="Y287" i="11" s="1"/>
  <c r="Y110" i="5"/>
  <c r="Y49" i="19"/>
  <c r="BU140" i="5" l="1"/>
  <c r="BT123" i="5"/>
  <c r="BU99" i="11"/>
  <c r="BU101" i="11" s="1"/>
  <c r="BU41" i="5" s="1"/>
  <c r="BU141" i="5" s="1"/>
  <c r="BX155" i="11"/>
  <c r="BW17" i="15" s="1"/>
  <c r="CA150" i="11"/>
  <c r="BZ26" i="15" s="1"/>
  <c r="Z284" i="11"/>
  <c r="X39" i="15"/>
  <c r="X38" i="15" s="1"/>
  <c r="X34" i="15" s="1"/>
  <c r="X40" i="15" s="1"/>
  <c r="U23" i="18"/>
  <c r="BS25" i="15"/>
  <c r="BS24" i="15" s="1"/>
  <c r="Y46" i="19"/>
  <c r="Y51" i="19"/>
  <c r="Y52" i="19"/>
  <c r="BX49" i="5"/>
  <c r="Y67" i="19"/>
  <c r="Y66" i="19"/>
  <c r="Y67" i="5"/>
  <c r="Y120" i="5" s="1"/>
  <c r="Y122" i="5" s="1"/>
  <c r="Y124" i="5" s="1"/>
  <c r="Y131" i="5"/>
  <c r="Y133" i="5" s="1"/>
  <c r="Y132" i="5"/>
  <c r="Y134" i="5" s="1"/>
  <c r="Y135" i="5"/>
  <c r="Z101" i="6"/>
  <c r="AA98" i="6" s="1"/>
  <c r="BU142" i="5" l="1"/>
  <c r="BU143" i="5" s="1"/>
  <c r="CB147" i="11"/>
  <c r="CB149" i="11" s="1"/>
  <c r="CB51" i="5" s="1"/>
  <c r="BY152" i="11"/>
  <c r="BY154" i="11" s="1"/>
  <c r="BY53" i="5" s="1"/>
  <c r="BU102" i="11"/>
  <c r="BV99" i="11" s="1"/>
  <c r="X16" i="15"/>
  <c r="X15" i="15" s="1"/>
  <c r="X14" i="15" s="1"/>
  <c r="X41" i="15" s="1"/>
  <c r="Z121" i="5"/>
  <c r="AA44" i="6"/>
  <c r="BU40" i="5"/>
  <c r="I219" i="32"/>
  <c r="I224" i="32" s="1"/>
  <c r="U20" i="18"/>
  <c r="U19" i="18" s="1"/>
  <c r="BV140" i="5" l="1"/>
  <c r="BU123" i="5"/>
  <c r="BT28" i="15"/>
  <c r="BT25" i="15" s="1"/>
  <c r="BT24" i="15" s="1"/>
  <c r="CB150" i="11"/>
  <c r="CA26" i="15" s="1"/>
  <c r="BY155" i="11"/>
  <c r="BX17" i="15" s="1"/>
  <c r="X42" i="15"/>
  <c r="Z20" i="5"/>
  <c r="AA43" i="6"/>
  <c r="AA42" i="6" s="1"/>
  <c r="AA55" i="6" s="1"/>
  <c r="AA57" i="6" s="1"/>
  <c r="BV101" i="11"/>
  <c r="BV41" i="5" s="1"/>
  <c r="BV141" i="5" s="1"/>
  <c r="BY49" i="5"/>
  <c r="BV142" i="5" l="1"/>
  <c r="BV143" i="5" s="1"/>
  <c r="BZ152" i="11"/>
  <c r="BZ154" i="11" s="1"/>
  <c r="BZ53" i="5" s="1"/>
  <c r="BZ49" i="5" s="1"/>
  <c r="CC147" i="11"/>
  <c r="CC149" i="11" s="1"/>
  <c r="CC51" i="5" s="1"/>
  <c r="BV40" i="5"/>
  <c r="Z285" i="11"/>
  <c r="AA62" i="6"/>
  <c r="Z15" i="5"/>
  <c r="Z14" i="5" s="1"/>
  <c r="AA66" i="6" s="1"/>
  <c r="AA75" i="6" s="1"/>
  <c r="BV102" i="11"/>
  <c r="BW140" i="5" l="1"/>
  <c r="BV123" i="5"/>
  <c r="BZ155" i="11"/>
  <c r="BY17" i="15" s="1"/>
  <c r="V12" i="18" s="1"/>
  <c r="CC150" i="11"/>
  <c r="CB26" i="15" s="1"/>
  <c r="BW99" i="11"/>
  <c r="BU28" i="15"/>
  <c r="BU25" i="15" s="1"/>
  <c r="BU24" i="15" s="1"/>
  <c r="AA69" i="6"/>
  <c r="AA64" i="6"/>
  <c r="AA80" i="6"/>
  <c r="Z98" i="5"/>
  <c r="Z17" i="19"/>
  <c r="AA76" i="6"/>
  <c r="AB73" i="6" s="1"/>
  <c r="CD147" i="11" l="1"/>
  <c r="CD149" i="11" s="1"/>
  <c r="CD51" i="5" s="1"/>
  <c r="CA152" i="11"/>
  <c r="CA154" i="11" s="1"/>
  <c r="CA53" i="5" s="1"/>
  <c r="Z103" i="5"/>
  <c r="AA81" i="6"/>
  <c r="AB78" i="6" s="1"/>
  <c r="Z14" i="19"/>
  <c r="Z20" i="19"/>
  <c r="Z19" i="19"/>
  <c r="AA70" i="6"/>
  <c r="Z95" i="5"/>
  <c r="BW101" i="11"/>
  <c r="BW41" i="5" s="1"/>
  <c r="BW141" i="5" s="1"/>
  <c r="BW142" i="5" s="1"/>
  <c r="BW143" i="5" s="1"/>
  <c r="BX140" i="5" l="1"/>
  <c r="BW123" i="5"/>
  <c r="CA155" i="11"/>
  <c r="BZ17" i="15" s="1"/>
  <c r="CD150" i="11"/>
  <c r="CC26" i="15" s="1"/>
  <c r="AA89" i="6"/>
  <c r="BW40" i="5"/>
  <c r="Z100" i="5"/>
  <c r="Z126" i="5"/>
  <c r="Z125" i="5"/>
  <c r="BW102" i="11"/>
  <c r="AA71" i="6"/>
  <c r="AB68" i="6" s="1"/>
  <c r="CA49" i="5"/>
  <c r="CB152" i="11" l="1"/>
  <c r="CB154" i="11" s="1"/>
  <c r="CB53" i="5" s="1"/>
  <c r="CE147" i="11"/>
  <c r="CE149" i="11" s="1"/>
  <c r="CE51" i="5" s="1"/>
  <c r="Z128" i="5"/>
  <c r="Z127" i="5"/>
  <c r="BX99" i="11"/>
  <c r="BV28" i="15"/>
  <c r="BV25" i="15" s="1"/>
  <c r="BV24" i="15" s="1"/>
  <c r="AA94" i="6"/>
  <c r="AA90" i="6"/>
  <c r="AA91" i="6" s="1"/>
  <c r="AB88" i="6" s="1"/>
  <c r="CB155" i="11" l="1"/>
  <c r="CA17" i="15" s="1"/>
  <c r="CE150" i="11"/>
  <c r="CF147" i="11" s="1"/>
  <c r="AA99" i="6"/>
  <c r="AA95" i="6"/>
  <c r="AA96" i="6" s="1"/>
  <c r="AB93" i="6" s="1"/>
  <c r="CB49" i="5"/>
  <c r="Z113" i="5"/>
  <c r="BX101" i="11"/>
  <c r="BX41" i="5" s="1"/>
  <c r="BX141" i="5" s="1"/>
  <c r="BX142" i="5" s="1"/>
  <c r="BX143" i="5" s="1"/>
  <c r="BY140" i="5" l="1"/>
  <c r="BX123" i="5"/>
  <c r="CD26" i="15"/>
  <c r="CC152" i="11"/>
  <c r="CC154" i="11" s="1"/>
  <c r="CC53" i="5" s="1"/>
  <c r="BX102" i="11"/>
  <c r="BW28" i="15" s="1"/>
  <c r="BW25" i="15" s="1"/>
  <c r="BW24" i="15" s="1"/>
  <c r="Z110" i="5"/>
  <c r="Z49" i="19"/>
  <c r="Z286" i="11"/>
  <c r="Z287" i="11" s="1"/>
  <c r="BX40" i="5"/>
  <c r="CF149" i="11"/>
  <c r="CF51" i="5" s="1"/>
  <c r="AA100" i="6"/>
  <c r="Z64" i="19"/>
  <c r="BY99" i="11" l="1"/>
  <c r="BY101" i="11" s="1"/>
  <c r="BY41" i="5" s="1"/>
  <c r="BY141" i="5" s="1"/>
  <c r="BY142" i="5" s="1"/>
  <c r="BY143" i="5" s="1"/>
  <c r="CC155" i="11"/>
  <c r="CB17" i="15" s="1"/>
  <c r="AA101" i="6"/>
  <c r="AB98" i="6" s="1"/>
  <c r="Y39" i="15"/>
  <c r="Y38" i="15" s="1"/>
  <c r="Y34" i="15" s="1"/>
  <c r="Y40" i="15" s="1"/>
  <c r="AA284" i="11"/>
  <c r="CC49" i="5"/>
  <c r="Z51" i="19"/>
  <c r="Z46" i="19"/>
  <c r="Z52" i="19"/>
  <c r="Z66" i="19"/>
  <c r="Z67" i="19"/>
  <c r="CF150" i="11"/>
  <c r="Z67" i="5"/>
  <c r="Z120" i="5" s="1"/>
  <c r="Z122" i="5" s="1"/>
  <c r="Z124" i="5" s="1"/>
  <c r="Z132" i="5"/>
  <c r="Z134" i="5" s="1"/>
  <c r="Z131" i="5"/>
  <c r="Z133" i="5" s="1"/>
  <c r="Z135" i="5"/>
  <c r="BZ140" i="5" l="1"/>
  <c r="BY123" i="5"/>
  <c r="CD152" i="11"/>
  <c r="CD154" i="11" s="1"/>
  <c r="CD53" i="5" s="1"/>
  <c r="BY102" i="11"/>
  <c r="BX28" i="15" s="1"/>
  <c r="BX25" i="15" s="1"/>
  <c r="BX24" i="15" s="1"/>
  <c r="AA121" i="5"/>
  <c r="AB44" i="6"/>
  <c r="Y16" i="15"/>
  <c r="Y15" i="15" s="1"/>
  <c r="Y14" i="15" s="1"/>
  <c r="Y41" i="15" s="1"/>
  <c r="CG147" i="11"/>
  <c r="CE26" i="15"/>
  <c r="BY40" i="5"/>
  <c r="CD155" i="11" l="1"/>
  <c r="CC17" i="15" s="1"/>
  <c r="BZ99" i="11"/>
  <c r="BZ101" i="11" s="1"/>
  <c r="BZ41" i="5" s="1"/>
  <c r="Y42" i="15"/>
  <c r="W21" i="18"/>
  <c r="CG149" i="11"/>
  <c r="CG51" i="5" s="1"/>
  <c r="AA20" i="5"/>
  <c r="AB43" i="6"/>
  <c r="AB42" i="6" s="1"/>
  <c r="AB55" i="6" s="1"/>
  <c r="AB57" i="6" s="1"/>
  <c r="M26" i="35"/>
  <c r="I562" i="32"/>
  <c r="J26" i="30"/>
  <c r="CD49" i="5"/>
  <c r="M35" i="35"/>
  <c r="J34" i="30"/>
  <c r="M37" i="35"/>
  <c r="J36" i="30"/>
  <c r="I456" i="32"/>
  <c r="BZ40" i="5" l="1"/>
  <c r="BZ141" i="5"/>
  <c r="BZ142" i="5" s="1"/>
  <c r="BZ143" i="5" s="1"/>
  <c r="CE152" i="11"/>
  <c r="CE154" i="11" s="1"/>
  <c r="CE53" i="5" s="1"/>
  <c r="BZ102" i="11"/>
  <c r="CA99" i="11" s="1"/>
  <c r="M25" i="35"/>
  <c r="CG150" i="11"/>
  <c r="J25" i="30"/>
  <c r="AB62" i="6"/>
  <c r="AA285" i="11"/>
  <c r="I457" i="32"/>
  <c r="I561" i="32"/>
  <c r="I574" i="32" s="1"/>
  <c r="AA15" i="5"/>
  <c r="AA14" i="5" s="1"/>
  <c r="AB66" i="6" s="1"/>
  <c r="AB75" i="6" s="1"/>
  <c r="I601" i="32"/>
  <c r="CA140" i="5" l="1"/>
  <c r="BZ123" i="5"/>
  <c r="BY28" i="15"/>
  <c r="V23" i="18" s="1"/>
  <c r="V20" i="18" s="1"/>
  <c r="V19" i="18" s="1"/>
  <c r="CE49" i="5"/>
  <c r="AB64" i="6"/>
  <c r="AB69" i="6"/>
  <c r="AB80" i="6"/>
  <c r="AA98" i="5"/>
  <c r="AA17" i="19"/>
  <c r="J45" i="30"/>
  <c r="M46" i="35"/>
  <c r="AB76" i="6"/>
  <c r="AC73" i="6" s="1"/>
  <c r="I460" i="32"/>
  <c r="I461" i="32"/>
  <c r="CH147" i="11"/>
  <c r="CF26" i="15"/>
  <c r="CA101" i="11"/>
  <c r="CA41" i="5" s="1"/>
  <c r="CA141" i="5" s="1"/>
  <c r="I600" i="32"/>
  <c r="I585" i="32" s="1"/>
  <c r="CE155" i="11"/>
  <c r="CA142" i="5" l="1"/>
  <c r="CA143" i="5" s="1"/>
  <c r="BY25" i="15"/>
  <c r="BY24" i="15" s="1"/>
  <c r="CA102" i="11"/>
  <c r="CB99" i="11" s="1"/>
  <c r="J47" i="30"/>
  <c r="AA103" i="5"/>
  <c r="J46" i="30"/>
  <c r="J48" i="30" s="1"/>
  <c r="M47" i="35"/>
  <c r="M49" i="35" s="1"/>
  <c r="AB81" i="6"/>
  <c r="AC78" i="6" s="1"/>
  <c r="CH149" i="11"/>
  <c r="CH51" i="5" s="1"/>
  <c r="BZ28" i="15"/>
  <c r="BZ25" i="15" s="1"/>
  <c r="BZ24" i="15" s="1"/>
  <c r="AA14" i="19"/>
  <c r="AA19" i="19"/>
  <c r="AA20" i="19"/>
  <c r="AB70" i="6"/>
  <c r="AB71" i="6" s="1"/>
  <c r="AC68" i="6" s="1"/>
  <c r="CD17" i="15"/>
  <c r="CF152" i="11"/>
  <c r="CA40" i="5"/>
  <c r="M48" i="35"/>
  <c r="AA95" i="5"/>
  <c r="I625" i="32"/>
  <c r="CB140" i="5" l="1"/>
  <c r="CA123" i="5"/>
  <c r="CH150" i="11"/>
  <c r="CG26" i="15" s="1"/>
  <c r="AA125" i="5"/>
  <c r="AA126" i="5"/>
  <c r="CB101" i="11"/>
  <c r="CB41" i="5" s="1"/>
  <c r="CB141" i="5" s="1"/>
  <c r="AB89" i="6"/>
  <c r="CF154" i="11"/>
  <c r="CF53" i="5" s="1"/>
  <c r="CF49" i="5" s="1"/>
  <c r="AA100" i="5"/>
  <c r="I626" i="32"/>
  <c r="CB142" i="5" l="1"/>
  <c r="CB143" i="5" s="1"/>
  <c r="CI147" i="11"/>
  <c r="CI149" i="11" s="1"/>
  <c r="CI51" i="5" s="1"/>
  <c r="CF155" i="11"/>
  <c r="CE17" i="15" s="1"/>
  <c r="W12" i="18" s="1"/>
  <c r="J211" i="32" s="1"/>
  <c r="CB40" i="5"/>
  <c r="AA127" i="5"/>
  <c r="AA128" i="5"/>
  <c r="AB94" i="6"/>
  <c r="AB90" i="6"/>
  <c r="CB102" i="11"/>
  <c r="CC140" i="5" l="1"/>
  <c r="CB123" i="5"/>
  <c r="CG152" i="11"/>
  <c r="CG154" i="11" s="1"/>
  <c r="CG53" i="5" s="1"/>
  <c r="CI150" i="11"/>
  <c r="CJ147" i="11" s="1"/>
  <c r="AB91" i="6"/>
  <c r="AC88" i="6" s="1"/>
  <c r="AA113" i="5"/>
  <c r="CC99" i="11"/>
  <c r="CA28" i="15"/>
  <c r="CA25" i="15" s="1"/>
  <c r="CA24" i="15" s="1"/>
  <c r="AB99" i="6"/>
  <c r="AB95" i="6"/>
  <c r="AB96" i="6" s="1"/>
  <c r="AC93" i="6" s="1"/>
  <c r="CH26" i="15" l="1"/>
  <c r="CG155" i="11"/>
  <c r="CF17" i="15" s="1"/>
  <c r="CC101" i="11"/>
  <c r="CC41" i="5" s="1"/>
  <c r="CC141" i="5" s="1"/>
  <c r="CC142" i="5" s="1"/>
  <c r="CC143" i="5" s="1"/>
  <c r="CG49" i="5"/>
  <c r="AB100" i="6"/>
  <c r="AA64" i="19"/>
  <c r="AA49" i="19"/>
  <c r="AA110" i="5"/>
  <c r="I627" i="32"/>
  <c r="I616" i="32" s="1"/>
  <c r="I631" i="32" s="1"/>
  <c r="I633" i="32" s="1"/>
  <c r="J632" i="32" s="1"/>
  <c r="AA286" i="11"/>
  <c r="AA287" i="11" s="1"/>
  <c r="CJ149" i="11"/>
  <c r="CJ51" i="5" s="1"/>
  <c r="CD140" i="5" l="1"/>
  <c r="CC123" i="5"/>
  <c r="CH152" i="11"/>
  <c r="CH154" i="11" s="1"/>
  <c r="CH53" i="5" s="1"/>
  <c r="CC102" i="11"/>
  <c r="CD99" i="11" s="1"/>
  <c r="AA67" i="19"/>
  <c r="AA66" i="19"/>
  <c r="Z39" i="15"/>
  <c r="AB284" i="11"/>
  <c r="AB101" i="6"/>
  <c r="AC98" i="6" s="1"/>
  <c r="AA67" i="5"/>
  <c r="AA120" i="5" s="1"/>
  <c r="AA122" i="5" s="1"/>
  <c r="AA124" i="5" s="1"/>
  <c r="AA135" i="5"/>
  <c r="AA132" i="5"/>
  <c r="AA134" i="5" s="1"/>
  <c r="AA131" i="5"/>
  <c r="AA133" i="5" s="1"/>
  <c r="CJ150" i="11"/>
  <c r="AA52" i="19"/>
  <c r="AA46" i="19"/>
  <c r="AA51" i="19"/>
  <c r="CC40" i="5"/>
  <c r="CB28" i="15" l="1"/>
  <c r="CB25" i="15" s="1"/>
  <c r="CB24" i="15" s="1"/>
  <c r="CH155" i="11"/>
  <c r="CG17" i="15" s="1"/>
  <c r="CD101" i="11"/>
  <c r="CD41" i="5" s="1"/>
  <c r="CD141" i="5" s="1"/>
  <c r="CD142" i="5" s="1"/>
  <c r="CD143" i="5" s="1"/>
  <c r="AB121" i="5"/>
  <c r="AC44" i="6"/>
  <c r="Z16" i="15"/>
  <c r="Z38" i="15"/>
  <c r="Z34" i="15" s="1"/>
  <c r="Z40" i="15" s="1"/>
  <c r="I658" i="32"/>
  <c r="I659" i="32" s="1"/>
  <c r="I660" i="32" s="1"/>
  <c r="CK147" i="11"/>
  <c r="CI26" i="15"/>
  <c r="CH49" i="5"/>
  <c r="CE140" i="5" l="1"/>
  <c r="CD123" i="5"/>
  <c r="CI152" i="11"/>
  <c r="CI154" i="11" s="1"/>
  <c r="CI53" i="5" s="1"/>
  <c r="CD102" i="11"/>
  <c r="CE99" i="11" s="1"/>
  <c r="AB20" i="5"/>
  <c r="AC43" i="6"/>
  <c r="AC42" i="6" s="1"/>
  <c r="AC55" i="6" s="1"/>
  <c r="AC57" i="6" s="1"/>
  <c r="CK149" i="11"/>
  <c r="CK51" i="5" s="1"/>
  <c r="Z15" i="15"/>
  <c r="Z14" i="15" s="1"/>
  <c r="Z41" i="15" s="1"/>
  <c r="I640" i="32"/>
  <c r="I647" i="32" s="1"/>
  <c r="I661" i="32" s="1"/>
  <c r="CD40" i="5"/>
  <c r="CC28" i="15" l="1"/>
  <c r="CC25" i="15" s="1"/>
  <c r="CC24" i="15" s="1"/>
  <c r="CI155" i="11"/>
  <c r="CJ152" i="11" s="1"/>
  <c r="CK150" i="11"/>
  <c r="CJ26" i="15" s="1"/>
  <c r="Z42" i="15"/>
  <c r="CE101" i="11"/>
  <c r="CE41" i="5" s="1"/>
  <c r="CE141" i="5" s="1"/>
  <c r="CE142" i="5" s="1"/>
  <c r="CE143" i="5" s="1"/>
  <c r="AB285" i="11"/>
  <c r="AC62" i="6"/>
  <c r="CI49" i="5"/>
  <c r="AB15" i="5"/>
  <c r="AB14" i="5" s="1"/>
  <c r="AC66" i="6" s="1"/>
  <c r="AC75" i="6" s="1"/>
  <c r="CF140" i="5" l="1"/>
  <c r="CE123" i="5"/>
  <c r="CL147" i="11"/>
  <c r="CL149" i="11" s="1"/>
  <c r="CL51" i="5" s="1"/>
  <c r="CH17" i="15"/>
  <c r="CE102" i="11"/>
  <c r="CF99" i="11" s="1"/>
  <c r="AC80" i="6"/>
  <c r="AB98" i="5"/>
  <c r="AB17" i="19"/>
  <c r="AC76" i="6"/>
  <c r="AD73" i="6" s="1"/>
  <c r="CE40" i="5"/>
  <c r="AC64" i="6"/>
  <c r="AC69" i="6"/>
  <c r="CJ154" i="11"/>
  <c r="CJ53" i="5" s="1"/>
  <c r="CD28" i="15" l="1"/>
  <c r="CD25" i="15" s="1"/>
  <c r="CD24" i="15" s="1"/>
  <c r="CL150" i="11"/>
  <c r="CM147" i="11" s="1"/>
  <c r="CJ155" i="11"/>
  <c r="CK152" i="11" s="1"/>
  <c r="AC70" i="6"/>
  <c r="AB14" i="19"/>
  <c r="AB19" i="19"/>
  <c r="AB20" i="19"/>
  <c r="CF101" i="11"/>
  <c r="CF41" i="5" s="1"/>
  <c r="CJ49" i="5"/>
  <c r="AB95" i="5"/>
  <c r="AB103" i="5"/>
  <c r="AC81" i="6"/>
  <c r="AD78" i="6" s="1"/>
  <c r="CF40" i="5" l="1"/>
  <c r="CF141" i="5"/>
  <c r="CF142" i="5" s="1"/>
  <c r="CF143" i="5" s="1"/>
  <c r="CK26" i="15"/>
  <c r="X21" i="18" s="1"/>
  <c r="CI17" i="15"/>
  <c r="CM149" i="11"/>
  <c r="CM51" i="5" s="1"/>
  <c r="CK154" i="11"/>
  <c r="CK53" i="5" s="1"/>
  <c r="AB100" i="5"/>
  <c r="AB126" i="5"/>
  <c r="AB125" i="5"/>
  <c r="CF102" i="11"/>
  <c r="AC71" i="6"/>
  <c r="AD68" i="6" s="1"/>
  <c r="AC89" i="6"/>
  <c r="CG140" i="5" l="1"/>
  <c r="CF123" i="5"/>
  <c r="CM150" i="11"/>
  <c r="CN147" i="11" s="1"/>
  <c r="CK155" i="11"/>
  <c r="CJ17" i="15" s="1"/>
  <c r="AC94" i="6"/>
  <c r="AC90" i="6"/>
  <c r="CK49" i="5"/>
  <c r="AB128" i="5"/>
  <c r="AB127" i="5"/>
  <c r="CG99" i="11"/>
  <c r="CE28" i="15"/>
  <c r="CL152" i="11" l="1"/>
  <c r="CL154" i="11" s="1"/>
  <c r="CL53" i="5" s="1"/>
  <c r="CL49" i="5" s="1"/>
  <c r="CL26" i="15"/>
  <c r="CG101" i="11"/>
  <c r="CG41" i="5" s="1"/>
  <c r="CG141" i="5" s="1"/>
  <c r="CG142" i="5" s="1"/>
  <c r="CG143" i="5" s="1"/>
  <c r="AC99" i="6"/>
  <c r="AC95" i="6"/>
  <c r="AC96" i="6" s="1"/>
  <c r="AD93" i="6" s="1"/>
  <c r="CN149" i="11"/>
  <c r="CN51" i="5" s="1"/>
  <c r="W23" i="18"/>
  <c r="CE25" i="15"/>
  <c r="CE24" i="15" s="1"/>
  <c r="AC91" i="6"/>
  <c r="AD88" i="6" s="1"/>
  <c r="AB113" i="5"/>
  <c r="CH140" i="5" l="1"/>
  <c r="CG123" i="5"/>
  <c r="CL155" i="11"/>
  <c r="CK17" i="15" s="1"/>
  <c r="X12" i="18" s="1"/>
  <c r="CG102" i="11"/>
  <c r="CF28" i="15" s="1"/>
  <c r="CF25" i="15" s="1"/>
  <c r="CF24" i="15" s="1"/>
  <c r="CN150" i="11"/>
  <c r="CO147" i="11" s="1"/>
  <c r="AB110" i="5"/>
  <c r="AB49" i="19"/>
  <c r="AB286" i="11"/>
  <c r="AB287" i="11" s="1"/>
  <c r="J219" i="32"/>
  <c r="J224" i="32" s="1"/>
  <c r="W20" i="18"/>
  <c r="W19" i="18" s="1"/>
  <c r="AC100" i="6"/>
  <c r="AB64" i="19"/>
  <c r="CG40" i="5"/>
  <c r="CH99" i="11" l="1"/>
  <c r="CH101" i="11" s="1"/>
  <c r="CH41" i="5" s="1"/>
  <c r="CH141" i="5" s="1"/>
  <c r="CH142" i="5" s="1"/>
  <c r="CH143" i="5" s="1"/>
  <c r="CM26" i="15"/>
  <c r="CM152" i="11"/>
  <c r="CM154" i="11" s="1"/>
  <c r="CM53" i="5" s="1"/>
  <c r="AB66" i="19"/>
  <c r="AB67" i="19"/>
  <c r="AC284" i="11"/>
  <c r="AA39" i="15"/>
  <c r="AA38" i="15" s="1"/>
  <c r="AA34" i="15" s="1"/>
  <c r="AA40" i="15" s="1"/>
  <c r="AB46" i="19"/>
  <c r="AB52" i="19"/>
  <c r="AB51" i="19"/>
  <c r="CO149" i="11"/>
  <c r="CO51" i="5" s="1"/>
  <c r="AC101" i="6"/>
  <c r="AD98" i="6" s="1"/>
  <c r="AB132" i="5"/>
  <c r="AB134" i="5" s="1"/>
  <c r="AB131" i="5"/>
  <c r="AB133" i="5" s="1"/>
  <c r="AB135" i="5"/>
  <c r="AB67" i="5"/>
  <c r="AB120" i="5" s="1"/>
  <c r="AB122" i="5" s="1"/>
  <c r="AB124" i="5" s="1"/>
  <c r="CI140" i="5" l="1"/>
  <c r="CH123" i="5"/>
  <c r="CM155" i="11"/>
  <c r="CN152" i="11" s="1"/>
  <c r="CH40" i="5"/>
  <c r="AD44" i="6"/>
  <c r="AA16" i="15"/>
  <c r="AA15" i="15" s="1"/>
  <c r="AA14" i="15" s="1"/>
  <c r="AA41" i="15" s="1"/>
  <c r="AC121" i="5"/>
  <c r="CM49" i="5"/>
  <c r="CH102" i="11"/>
  <c r="CO150" i="11"/>
  <c r="CL17" i="15" l="1"/>
  <c r="AA42" i="15"/>
  <c r="CP147" i="11"/>
  <c r="CN26" i="15"/>
  <c r="CI99" i="11"/>
  <c r="CG28" i="15"/>
  <c r="CG25" i="15" s="1"/>
  <c r="CG24" i="15" s="1"/>
  <c r="CN154" i="11"/>
  <c r="CN53" i="5" s="1"/>
  <c r="AC20" i="5"/>
  <c r="AD43" i="6"/>
  <c r="AD42" i="6" s="1"/>
  <c r="AD55" i="6" s="1"/>
  <c r="AD57" i="6" s="1"/>
  <c r="CN155" i="11" l="1"/>
  <c r="CM17" i="15" s="1"/>
  <c r="AC285" i="11"/>
  <c r="AD62" i="6"/>
  <c r="AC15" i="5"/>
  <c r="AC14" i="5" s="1"/>
  <c r="AD66" i="6" s="1"/>
  <c r="AD75" i="6" s="1"/>
  <c r="CI101" i="11"/>
  <c r="CI41" i="5" s="1"/>
  <c r="CI141" i="5" s="1"/>
  <c r="CI142" i="5" s="1"/>
  <c r="CI143" i="5" s="1"/>
  <c r="CN49" i="5"/>
  <c r="CP149" i="11"/>
  <c r="CP51" i="5" s="1"/>
  <c r="CJ140" i="5" l="1"/>
  <c r="CI123" i="5"/>
  <c r="CO152" i="11"/>
  <c r="CO154" i="11" s="1"/>
  <c r="CO53" i="5" s="1"/>
  <c r="CI102" i="11"/>
  <c r="CH28" i="15" s="1"/>
  <c r="CH25" i="15" s="1"/>
  <c r="CH24" i="15" s="1"/>
  <c r="CP150" i="11"/>
  <c r="CO26" i="15" s="1"/>
  <c r="AD80" i="6"/>
  <c r="AC98" i="5"/>
  <c r="AC17" i="19"/>
  <c r="AD76" i="6"/>
  <c r="AE73" i="6" s="1"/>
  <c r="AD69" i="6"/>
  <c r="AD64" i="6"/>
  <c r="CI40" i="5"/>
  <c r="CJ99" i="11" l="1"/>
  <c r="CO155" i="11"/>
  <c r="CP152" i="11" s="1"/>
  <c r="CQ147" i="11"/>
  <c r="CQ149" i="11" s="1"/>
  <c r="CQ51" i="5" s="1"/>
  <c r="AC103" i="5"/>
  <c r="AD81" i="6"/>
  <c r="AE78" i="6" s="1"/>
  <c r="AD70" i="6"/>
  <c r="AC95" i="5"/>
  <c r="AC20" i="19"/>
  <c r="AC19" i="19"/>
  <c r="AC14" i="19"/>
  <c r="CO49" i="5"/>
  <c r="CJ101" i="11"/>
  <c r="CJ41" i="5" s="1"/>
  <c r="CJ141" i="5" s="1"/>
  <c r="CJ142" i="5" s="1"/>
  <c r="CJ143" i="5" s="1"/>
  <c r="CK140" i="5" l="1"/>
  <c r="CJ123" i="5"/>
  <c r="CN17" i="15"/>
  <c r="CJ102" i="11"/>
  <c r="CI28" i="15" s="1"/>
  <c r="CI25" i="15" s="1"/>
  <c r="CI24" i="15" s="1"/>
  <c r="CQ150" i="11"/>
  <c r="CR147" i="11" s="1"/>
  <c r="AD89" i="6"/>
  <c r="CP154" i="11"/>
  <c r="CP53" i="5" s="1"/>
  <c r="CJ40" i="5"/>
  <c r="AC126" i="5"/>
  <c r="AC125" i="5"/>
  <c r="AD71" i="6"/>
  <c r="AE68" i="6" s="1"/>
  <c r="AC100" i="5"/>
  <c r="CP26" i="15" l="1"/>
  <c r="CK99" i="11"/>
  <c r="CP155" i="11"/>
  <c r="CO17" i="15" s="1"/>
  <c r="AC127" i="5"/>
  <c r="AC128" i="5"/>
  <c r="CR149" i="11"/>
  <c r="CR51" i="5" s="1"/>
  <c r="CP49" i="5"/>
  <c r="CK101" i="11"/>
  <c r="CK41" i="5" s="1"/>
  <c r="CK141" i="5" s="1"/>
  <c r="CK142" i="5" s="1"/>
  <c r="CK143" i="5" s="1"/>
  <c r="AD94" i="6"/>
  <c r="AD90" i="6"/>
  <c r="CL140" i="5" l="1"/>
  <c r="CK123" i="5"/>
  <c r="CQ152" i="11"/>
  <c r="CQ154" i="11" s="1"/>
  <c r="CQ53" i="5" s="1"/>
  <c r="CK102" i="11"/>
  <c r="CL99" i="11" s="1"/>
  <c r="CK40" i="5"/>
  <c r="CR150" i="11"/>
  <c r="AD91" i="6"/>
  <c r="AE88" i="6" s="1"/>
  <c r="AC113" i="5"/>
  <c r="AD99" i="6"/>
  <c r="AD95" i="6"/>
  <c r="AD96" i="6" s="1"/>
  <c r="AE93" i="6" s="1"/>
  <c r="CJ28" i="15" l="1"/>
  <c r="CJ25" i="15" s="1"/>
  <c r="CJ24" i="15" s="1"/>
  <c r="CQ155" i="11"/>
  <c r="CR152" i="11" s="1"/>
  <c r="CQ49" i="5"/>
  <c r="AC49" i="19"/>
  <c r="AC110" i="5"/>
  <c r="AC286" i="11"/>
  <c r="AC287" i="11" s="1"/>
  <c r="AD100" i="6"/>
  <c r="AC64" i="19"/>
  <c r="CS147" i="11"/>
  <c r="CQ26" i="15"/>
  <c r="CL101" i="11"/>
  <c r="CL41" i="5" s="1"/>
  <c r="CL40" i="5" l="1"/>
  <c r="CL141" i="5"/>
  <c r="CL142" i="5" s="1"/>
  <c r="CL143" i="5" s="1"/>
  <c r="CP17" i="15"/>
  <c r="AB39" i="15"/>
  <c r="AB38" i="15" s="1"/>
  <c r="AB34" i="15" s="1"/>
  <c r="AB40" i="15" s="1"/>
  <c r="AD284" i="11"/>
  <c r="AC52" i="19"/>
  <c r="AC46" i="19"/>
  <c r="AC51" i="19"/>
  <c r="AD101" i="6"/>
  <c r="AE98" i="6" s="1"/>
  <c r="AC67" i="5"/>
  <c r="AC120" i="5" s="1"/>
  <c r="AC122" i="5" s="1"/>
  <c r="AC124" i="5" s="1"/>
  <c r="AC131" i="5"/>
  <c r="AC133" i="5" s="1"/>
  <c r="AC132" i="5"/>
  <c r="AC134" i="5" s="1"/>
  <c r="AC135" i="5"/>
  <c r="CL102" i="11"/>
  <c r="Y21" i="18"/>
  <c r="CS149" i="11"/>
  <c r="CS51" i="5" s="1"/>
  <c r="CR154" i="11"/>
  <c r="CR53" i="5" s="1"/>
  <c r="CR49" i="5" s="1"/>
  <c r="AC67" i="19"/>
  <c r="AC66" i="19"/>
  <c r="CM140" i="5" l="1"/>
  <c r="CL123" i="5"/>
  <c r="CS150" i="11"/>
  <c r="CM99" i="11"/>
  <c r="CK28" i="15"/>
  <c r="AD121" i="5"/>
  <c r="AE44" i="6"/>
  <c r="AB16" i="15"/>
  <c r="AB15" i="15" s="1"/>
  <c r="AB14" i="15" s="1"/>
  <c r="AB41" i="15" s="1"/>
  <c r="CR155" i="11"/>
  <c r="AB42" i="15" l="1"/>
  <c r="CM101" i="11"/>
  <c r="CM41" i="5" s="1"/>
  <c r="CM141" i="5" s="1"/>
  <c r="CM142" i="5" s="1"/>
  <c r="CM143" i="5" s="1"/>
  <c r="AE43" i="6"/>
  <c r="AE42" i="6" s="1"/>
  <c r="AE55" i="6" s="1"/>
  <c r="AE57" i="6" s="1"/>
  <c r="AD20" i="5"/>
  <c r="J562" i="32"/>
  <c r="J561" i="32" s="1"/>
  <c r="J574" i="32" s="1"/>
  <c r="N26" i="35"/>
  <c r="N25" i="35" s="1"/>
  <c r="K26" i="30"/>
  <c r="K25" i="30" s="1"/>
  <c r="CT147" i="11"/>
  <c r="CR26" i="15"/>
  <c r="X23" i="18"/>
  <c r="X20" i="18" s="1"/>
  <c r="X19" i="18" s="1"/>
  <c r="CK25" i="15"/>
  <c r="CK24" i="15" s="1"/>
  <c r="CQ17" i="15"/>
  <c r="Y12" i="18" s="1"/>
  <c r="K211" i="32" s="1"/>
  <c r="CS152" i="11"/>
  <c r="K34" i="30"/>
  <c r="N37" i="35"/>
  <c r="K36" i="30"/>
  <c r="J456" i="32"/>
  <c r="J457" i="32" s="1"/>
  <c r="N35" i="35"/>
  <c r="CN140" i="5" l="1"/>
  <c r="CM123" i="5"/>
  <c r="CM102" i="11"/>
  <c r="CN99" i="11" s="1"/>
  <c r="CT149" i="11"/>
  <c r="CT51" i="5" s="1"/>
  <c r="AD15" i="5"/>
  <c r="AD14" i="5" s="1"/>
  <c r="AE66" i="6" s="1"/>
  <c r="J601" i="32"/>
  <c r="J600" i="32" s="1"/>
  <c r="J585" i="32" s="1"/>
  <c r="AD285" i="11"/>
  <c r="AE62" i="6"/>
  <c r="J461" i="32"/>
  <c r="J460" i="32"/>
  <c r="CS154" i="11"/>
  <c r="CS53" i="5" s="1"/>
  <c r="CM40" i="5"/>
  <c r="CL28" i="15" l="1"/>
  <c r="CL25" i="15" s="1"/>
  <c r="CL24" i="15" s="1"/>
  <c r="CT150" i="11"/>
  <c r="CS26" i="15" s="1"/>
  <c r="CS155" i="11"/>
  <c r="CT152" i="11" s="1"/>
  <c r="CS49" i="5"/>
  <c r="CN101" i="11"/>
  <c r="CN41" i="5" s="1"/>
  <c r="CN141" i="5" s="1"/>
  <c r="CN142" i="5" s="1"/>
  <c r="CN143" i="5" s="1"/>
  <c r="AE75" i="6"/>
  <c r="AE64" i="6"/>
  <c r="AE69" i="6"/>
  <c r="AE70" i="6" s="1"/>
  <c r="CO140" i="5" l="1"/>
  <c r="CN123" i="5"/>
  <c r="CU147" i="11"/>
  <c r="CU149" i="11" s="1"/>
  <c r="CU51" i="5" s="1"/>
  <c r="CR17" i="15"/>
  <c r="CN102" i="11"/>
  <c r="CM28" i="15" s="1"/>
  <c r="CM25" i="15" s="1"/>
  <c r="CM24" i="15" s="1"/>
  <c r="AD98" i="5"/>
  <c r="AD17" i="19"/>
  <c r="K45" i="30"/>
  <c r="K47" i="30" s="1"/>
  <c r="N46" i="35"/>
  <c r="N48" i="35" s="1"/>
  <c r="AE76" i="6"/>
  <c r="AF73" i="6" s="1"/>
  <c r="AE71" i="6"/>
  <c r="AF68" i="6" s="1"/>
  <c r="P85" i="16"/>
  <c r="CN40" i="5"/>
  <c r="AE80" i="6"/>
  <c r="CT154" i="11"/>
  <c r="CT53" i="5" s="1"/>
  <c r="P78" i="16" l="1"/>
  <c r="P81" i="16" s="1"/>
  <c r="P82" i="16" s="1"/>
  <c r="CO99" i="11"/>
  <c r="CO101" i="11" s="1"/>
  <c r="CO41" i="5" s="1"/>
  <c r="CO141" i="5" s="1"/>
  <c r="CO142" i="5" s="1"/>
  <c r="CO143" i="5" s="1"/>
  <c r="CU150" i="11"/>
  <c r="CT26" i="15" s="1"/>
  <c r="CT155" i="11"/>
  <c r="AD14" i="19"/>
  <c r="AD20" i="19"/>
  <c r="AD19" i="19"/>
  <c r="CT49" i="5"/>
  <c r="AD95" i="5"/>
  <c r="J625" i="32"/>
  <c r="AD103" i="5"/>
  <c r="K46" i="30"/>
  <c r="K48" i="30" s="1"/>
  <c r="N47" i="35"/>
  <c r="N49" i="35" s="1"/>
  <c r="AE81" i="6"/>
  <c r="AF78" i="6" s="1"/>
  <c r="AE89" i="6"/>
  <c r="CP140" i="5" l="1"/>
  <c r="CO123" i="5"/>
  <c r="CV147" i="11"/>
  <c r="CV149" i="11" s="1"/>
  <c r="CV51" i="5" s="1"/>
  <c r="CO102" i="11"/>
  <c r="CP99" i="11" s="1"/>
  <c r="AE94" i="6"/>
  <c r="AE95" i="6" s="1"/>
  <c r="AE96" i="6" s="1"/>
  <c r="AF93" i="6" s="1"/>
  <c r="AE90" i="6"/>
  <c r="AD113" i="5" s="1"/>
  <c r="AD100" i="5"/>
  <c r="J626" i="32"/>
  <c r="AD125" i="5"/>
  <c r="AD126" i="5"/>
  <c r="CO40" i="5"/>
  <c r="CS17" i="15"/>
  <c r="CU152" i="11"/>
  <c r="CN28" i="15" l="1"/>
  <c r="CN25" i="15" s="1"/>
  <c r="CN24" i="15" s="1"/>
  <c r="AE91" i="6"/>
  <c r="AF88" i="6" s="1"/>
  <c r="CV150" i="11"/>
  <c r="CW147" i="11" s="1"/>
  <c r="AE99" i="6"/>
  <c r="AD64" i="19" s="1"/>
  <c r="CP101" i="11"/>
  <c r="CP41" i="5" s="1"/>
  <c r="CP141" i="5" s="1"/>
  <c r="CP142" i="5" s="1"/>
  <c r="CP143" i="5" s="1"/>
  <c r="J627" i="32"/>
  <c r="J616" i="32" s="1"/>
  <c r="J631" i="32" s="1"/>
  <c r="J633" i="32" s="1"/>
  <c r="K632" i="32" s="1"/>
  <c r="AD49" i="19"/>
  <c r="AD110" i="5"/>
  <c r="AD286" i="11"/>
  <c r="AD287" i="11" s="1"/>
  <c r="CU154" i="11"/>
  <c r="CU53" i="5" s="1"/>
  <c r="AD127" i="5"/>
  <c r="AD128" i="5"/>
  <c r="CQ140" i="5" l="1"/>
  <c r="CP123" i="5"/>
  <c r="CU155" i="11"/>
  <c r="CV152" i="11" s="1"/>
  <c r="CU26" i="15"/>
  <c r="AE100" i="6"/>
  <c r="AE101" i="6" s="1"/>
  <c r="AF98" i="6" s="1"/>
  <c r="CP102" i="11"/>
  <c r="CO28" i="15" s="1"/>
  <c r="CO25" i="15" s="1"/>
  <c r="CO24" i="15" s="1"/>
  <c r="AD67" i="19"/>
  <c r="AD66" i="19"/>
  <c r="AD135" i="5"/>
  <c r="AD67" i="5"/>
  <c r="AD120" i="5" s="1"/>
  <c r="AD122" i="5" s="1"/>
  <c r="AD124" i="5" s="1"/>
  <c r="AD132" i="5"/>
  <c r="AD134" i="5" s="1"/>
  <c r="AD131" i="5"/>
  <c r="AD133" i="5" s="1"/>
  <c r="AC39" i="15"/>
  <c r="AE284" i="11"/>
  <c r="CP40" i="5"/>
  <c r="AD52" i="19"/>
  <c r="AD51" i="19"/>
  <c r="AD46" i="19"/>
  <c r="CU49" i="5"/>
  <c r="CW149" i="11"/>
  <c r="CW51" i="5" s="1"/>
  <c r="CQ99" i="11" l="1"/>
  <c r="CQ101" i="11" s="1"/>
  <c r="CQ41" i="5" s="1"/>
  <c r="CQ141" i="5" s="1"/>
  <c r="CQ142" i="5" s="1"/>
  <c r="CQ143" i="5" s="1"/>
  <c r="CT17" i="15"/>
  <c r="CV154" i="11"/>
  <c r="CV53" i="5" s="1"/>
  <c r="AE121" i="5"/>
  <c r="AF44" i="6"/>
  <c r="AC16" i="15"/>
  <c r="CW150" i="11"/>
  <c r="J658" i="32"/>
  <c r="J659" i="32" s="1"/>
  <c r="J660" i="32" s="1"/>
  <c r="AC38" i="15"/>
  <c r="AC34" i="15" s="1"/>
  <c r="AC40" i="15" s="1"/>
  <c r="N34" i="18"/>
  <c r="CR140" i="5" l="1"/>
  <c r="CQ123" i="5"/>
  <c r="CQ102" i="11"/>
  <c r="CR99" i="11" s="1"/>
  <c r="CV49" i="5"/>
  <c r="G789" i="32"/>
  <c r="G790" i="32" s="1"/>
  <c r="G791" i="32" s="1"/>
  <c r="N33" i="18"/>
  <c r="N29" i="18" s="1"/>
  <c r="N35" i="18" s="1"/>
  <c r="J640" i="32"/>
  <c r="J647" i="32" s="1"/>
  <c r="J661" i="32" s="1"/>
  <c r="AC15" i="15"/>
  <c r="AC14" i="15" s="1"/>
  <c r="AC41" i="15" s="1"/>
  <c r="N11" i="18"/>
  <c r="AE20" i="5"/>
  <c r="AF43" i="6"/>
  <c r="AF42" i="6" s="1"/>
  <c r="AF55" i="6" s="1"/>
  <c r="AF57" i="6" s="1"/>
  <c r="CQ40" i="5"/>
  <c r="CX147" i="11"/>
  <c r="CV26" i="15"/>
  <c r="CV155" i="11"/>
  <c r="CP28" i="15" l="1"/>
  <c r="CP25" i="15" s="1"/>
  <c r="CP24" i="15" s="1"/>
  <c r="G771" i="32"/>
  <c r="G778" i="32" s="1"/>
  <c r="G792" i="32" s="1"/>
  <c r="N10" i="18"/>
  <c r="N9" i="18" s="1"/>
  <c r="N36" i="18" s="1"/>
  <c r="CX149" i="11"/>
  <c r="CX51" i="5" s="1"/>
  <c r="CR101" i="11"/>
  <c r="CR41" i="5" s="1"/>
  <c r="AF62" i="6"/>
  <c r="AE285" i="11"/>
  <c r="CW152" i="11"/>
  <c r="CU17" i="15"/>
  <c r="AE15" i="5"/>
  <c r="AE14" i="5" s="1"/>
  <c r="AF66" i="6" s="1"/>
  <c r="AF75" i="6" s="1"/>
  <c r="AC42" i="15"/>
  <c r="CR40" i="5" l="1"/>
  <c r="CR141" i="5"/>
  <c r="CR142" i="5" s="1"/>
  <c r="CR143" i="5" s="1"/>
  <c r="CR102" i="11"/>
  <c r="CS99" i="11" s="1"/>
  <c r="CX150" i="11"/>
  <c r="CY147" i="11" s="1"/>
  <c r="AF80" i="6"/>
  <c r="AE98" i="5"/>
  <c r="AE17" i="19"/>
  <c r="AF76" i="6"/>
  <c r="AG73" i="6" s="1"/>
  <c r="AF64" i="6"/>
  <c r="AF69" i="6"/>
  <c r="CW154" i="11"/>
  <c r="CW53" i="5" s="1"/>
  <c r="CS140" i="5" l="1"/>
  <c r="CR123" i="5"/>
  <c r="CW26" i="15"/>
  <c r="Z21" i="18" s="1"/>
  <c r="CQ28" i="15"/>
  <c r="CQ25" i="15" s="1"/>
  <c r="CQ24" i="15" s="1"/>
  <c r="CW155" i="11"/>
  <c r="CV17" i="15" s="1"/>
  <c r="AE95" i="5"/>
  <c r="CW49" i="5"/>
  <c r="AF70" i="6"/>
  <c r="AE103" i="5"/>
  <c r="AF81" i="6"/>
  <c r="AG78" i="6" s="1"/>
  <c r="CY149" i="11"/>
  <c r="CY51" i="5" s="1"/>
  <c r="CS101" i="11"/>
  <c r="CS41" i="5" s="1"/>
  <c r="CS141" i="5" s="1"/>
  <c r="AE19" i="19"/>
  <c r="AE14" i="19"/>
  <c r="AE20" i="19"/>
  <c r="CS142" i="5" l="1"/>
  <c r="CS143" i="5" s="1"/>
  <c r="Y23" i="18"/>
  <c r="K219" i="32" s="1"/>
  <c r="K224" i="32" s="1"/>
  <c r="CX152" i="11"/>
  <c r="CX154" i="11" s="1"/>
  <c r="CX53" i="5" s="1"/>
  <c r="CX49" i="5" s="1"/>
  <c r="CY150" i="11"/>
  <c r="CZ147" i="11" s="1"/>
  <c r="AF89" i="6"/>
  <c r="CS40" i="5"/>
  <c r="AE100" i="5"/>
  <c r="CS102" i="11"/>
  <c r="AE125" i="5"/>
  <c r="AE126" i="5"/>
  <c r="AF71" i="6"/>
  <c r="AG68" i="6" s="1"/>
  <c r="CT140" i="5" l="1"/>
  <c r="CS123" i="5"/>
  <c r="Y20" i="18"/>
  <c r="Y19" i="18" s="1"/>
  <c r="CX26" i="15"/>
  <c r="CX155" i="11"/>
  <c r="CW17" i="15" s="1"/>
  <c r="Z12" i="18" s="1"/>
  <c r="CT99" i="11"/>
  <c r="CR28" i="15"/>
  <c r="CR25" i="15" s="1"/>
  <c r="CR24" i="15" s="1"/>
  <c r="AE127" i="5"/>
  <c r="AE128" i="5"/>
  <c r="CZ149" i="11"/>
  <c r="CZ51" i="5" s="1"/>
  <c r="AF94" i="6"/>
  <c r="AF95" i="6" s="1"/>
  <c r="AF96" i="6" s="1"/>
  <c r="AG93" i="6" s="1"/>
  <c r="AF90" i="6"/>
  <c r="AF91" i="6" s="1"/>
  <c r="AG88" i="6" s="1"/>
  <c r="CY152" i="11" l="1"/>
  <c r="CY154" i="11" s="1"/>
  <c r="CY53" i="5" s="1"/>
  <c r="AF99" i="6"/>
  <c r="AE113" i="5"/>
  <c r="CZ150" i="11"/>
  <c r="CT101" i="11"/>
  <c r="CT41" i="5" s="1"/>
  <c r="CT141" i="5" s="1"/>
  <c r="CT142" i="5" s="1"/>
  <c r="CT143" i="5" s="1"/>
  <c r="CU140" i="5" l="1"/>
  <c r="CT123" i="5"/>
  <c r="CY155" i="11"/>
  <c r="CZ152" i="11" s="1"/>
  <c r="AE110" i="5"/>
  <c r="AE49" i="19"/>
  <c r="AE286" i="11"/>
  <c r="AE287" i="11" s="1"/>
  <c r="CT102" i="11"/>
  <c r="AE64" i="19"/>
  <c r="AF100" i="6"/>
  <c r="CT40" i="5"/>
  <c r="DA147" i="11"/>
  <c r="CY26" i="15"/>
  <c r="CY49" i="5"/>
  <c r="CX17" i="15" l="1"/>
  <c r="CZ154" i="11"/>
  <c r="CZ53" i="5" s="1"/>
  <c r="AE67" i="19"/>
  <c r="AE66" i="19"/>
  <c r="CU99" i="11"/>
  <c r="CS28" i="15"/>
  <c r="CS25" i="15" s="1"/>
  <c r="CS24" i="15" s="1"/>
  <c r="DA149" i="11"/>
  <c r="DA51" i="5" s="1"/>
  <c r="AD39" i="15"/>
  <c r="AD38" i="15" s="1"/>
  <c r="AD34" i="15" s="1"/>
  <c r="AD40" i="15" s="1"/>
  <c r="AF284" i="11"/>
  <c r="AE51" i="19"/>
  <c r="AE52" i="19"/>
  <c r="AE46" i="19"/>
  <c r="AF101" i="6"/>
  <c r="AG98" i="6" s="1"/>
  <c r="AE135" i="5"/>
  <c r="AE131" i="5"/>
  <c r="AE133" i="5" s="1"/>
  <c r="AE67" i="5"/>
  <c r="AE120" i="5" s="1"/>
  <c r="AE122" i="5" s="1"/>
  <c r="AE124" i="5" s="1"/>
  <c r="AE132" i="5"/>
  <c r="AE134" i="5" s="1"/>
  <c r="CZ155" i="11" l="1"/>
  <c r="DA152" i="11" s="1"/>
  <c r="AD16" i="15"/>
  <c r="AD15" i="15" s="1"/>
  <c r="AD14" i="15" s="1"/>
  <c r="AD41" i="15" s="1"/>
  <c r="AF121" i="5"/>
  <c r="AG44" i="6"/>
  <c r="CU101" i="11"/>
  <c r="CU41" i="5" s="1"/>
  <c r="CU141" i="5" s="1"/>
  <c r="CU142" i="5" s="1"/>
  <c r="CU143" i="5" s="1"/>
  <c r="DA150" i="11"/>
  <c r="CZ49" i="5"/>
  <c r="CV140" i="5" l="1"/>
  <c r="CU123" i="5"/>
  <c r="CY17" i="15"/>
  <c r="CU102" i="11"/>
  <c r="CV99" i="11" s="1"/>
  <c r="CZ26" i="15"/>
  <c r="DB147" i="11"/>
  <c r="CU40" i="5"/>
  <c r="AD42" i="15"/>
  <c r="DA154" i="11"/>
  <c r="DA53" i="5" s="1"/>
  <c r="AG43" i="6"/>
  <c r="AG42" i="6" s="1"/>
  <c r="AG55" i="6" s="1"/>
  <c r="AG57" i="6" s="1"/>
  <c r="AF20" i="5"/>
  <c r="CT28" i="15" l="1"/>
  <c r="CT25" i="15" s="1"/>
  <c r="CT24" i="15" s="1"/>
  <c r="DA155" i="11"/>
  <c r="CZ17" i="15" s="1"/>
  <c r="DA49" i="5"/>
  <c r="AF15" i="5"/>
  <c r="AF14" i="5" s="1"/>
  <c r="AG66" i="6" s="1"/>
  <c r="AG62" i="6"/>
  <c r="AF285" i="11"/>
  <c r="DB149" i="11"/>
  <c r="DB51" i="5" s="1"/>
  <c r="CV101" i="11"/>
  <c r="CV41" i="5" s="1"/>
  <c r="CV141" i="5" s="1"/>
  <c r="CV142" i="5" s="1"/>
  <c r="CV143" i="5" s="1"/>
  <c r="CW140" i="5" l="1"/>
  <c r="CV123" i="5"/>
  <c r="DB150" i="11"/>
  <c r="DA26" i="15" s="1"/>
  <c r="DB152" i="11"/>
  <c r="DB154" i="11" s="1"/>
  <c r="DB53" i="5" s="1"/>
  <c r="CV102" i="11"/>
  <c r="CW99" i="11" s="1"/>
  <c r="AG75" i="6"/>
  <c r="AG80" i="6" s="1"/>
  <c r="CV40" i="5"/>
  <c r="AG69" i="6"/>
  <c r="AG64" i="6"/>
  <c r="DC147" i="11" l="1"/>
  <c r="DC149" i="11" s="1"/>
  <c r="DC51" i="5" s="1"/>
  <c r="CU28" i="15"/>
  <c r="CU25" i="15" s="1"/>
  <c r="CU24" i="15" s="1"/>
  <c r="AF103" i="5"/>
  <c r="AG81" i="6"/>
  <c r="AH78" i="6" s="1"/>
  <c r="AF98" i="5"/>
  <c r="AF17" i="19"/>
  <c r="AG76" i="6"/>
  <c r="AH73" i="6" s="1"/>
  <c r="DB49" i="5"/>
  <c r="DB155" i="11"/>
  <c r="AG70" i="6"/>
  <c r="AG89" i="6" s="1"/>
  <c r="CW101" i="11"/>
  <c r="CW41" i="5" s="1"/>
  <c r="CW141" i="5" s="1"/>
  <c r="CW142" i="5" s="1"/>
  <c r="CW143" i="5" s="1"/>
  <c r="CX140" i="5" l="1"/>
  <c r="CW123" i="5"/>
  <c r="AG71" i="6"/>
  <c r="AH68" i="6" s="1"/>
  <c r="CW102" i="11"/>
  <c r="CX99" i="11" s="1"/>
  <c r="DC150" i="11"/>
  <c r="DB26" i="15" s="1"/>
  <c r="AG94" i="6"/>
  <c r="AG95" i="6" s="1"/>
  <c r="AG96" i="6" s="1"/>
  <c r="AH93" i="6" s="1"/>
  <c r="AG90" i="6"/>
  <c r="AF95" i="5"/>
  <c r="AF100" i="5"/>
  <c r="CW40" i="5"/>
  <c r="DA17" i="15"/>
  <c r="DC152" i="11"/>
  <c r="AF14" i="19"/>
  <c r="AF19" i="19"/>
  <c r="AF20" i="19"/>
  <c r="CV28" i="15" l="1"/>
  <c r="CV25" i="15" s="1"/>
  <c r="CV24" i="15" s="1"/>
  <c r="DD147" i="11"/>
  <c r="DD149" i="11" s="1"/>
  <c r="DD51" i="5" s="1"/>
  <c r="AG99" i="6"/>
  <c r="AG100" i="6" s="1"/>
  <c r="AG91" i="6"/>
  <c r="AH88" i="6" s="1"/>
  <c r="AF113" i="5"/>
  <c r="AF125" i="5"/>
  <c r="AF126" i="5"/>
  <c r="CX101" i="11"/>
  <c r="CX41" i="5" s="1"/>
  <c r="AF128" i="5"/>
  <c r="AF127" i="5"/>
  <c r="DC154" i="11"/>
  <c r="DC53" i="5" s="1"/>
  <c r="DC49" i="5" s="1"/>
  <c r="CX40" i="5" l="1"/>
  <c r="CX141" i="5"/>
  <c r="CX142" i="5" s="1"/>
  <c r="CX143" i="5" s="1"/>
  <c r="AF64" i="19"/>
  <c r="AF67" i="19" s="1"/>
  <c r="DC155" i="11"/>
  <c r="DB17" i="15" s="1"/>
  <c r="CX102" i="11"/>
  <c r="CY99" i="11" s="1"/>
  <c r="DD150" i="11"/>
  <c r="DC26" i="15" s="1"/>
  <c r="AG101" i="6"/>
  <c r="AH98" i="6" s="1"/>
  <c r="AF110" i="5"/>
  <c r="AF49" i="19"/>
  <c r="AF286" i="11"/>
  <c r="AF287" i="11" s="1"/>
  <c r="CY140" i="5" l="1"/>
  <c r="CX123" i="5"/>
  <c r="CW28" i="15"/>
  <c r="CW25" i="15" s="1"/>
  <c r="CW24" i="15" s="1"/>
  <c r="DD152" i="11"/>
  <c r="DD154" i="11" s="1"/>
  <c r="DD53" i="5" s="1"/>
  <c r="DD49" i="5" s="1"/>
  <c r="AF66" i="19"/>
  <c r="DE147" i="11"/>
  <c r="DE149" i="11" s="1"/>
  <c r="AA21" i="18"/>
  <c r="AE39" i="15"/>
  <c r="AE38" i="15" s="1"/>
  <c r="AE34" i="15" s="1"/>
  <c r="AE40" i="15" s="1"/>
  <c r="AG284" i="11"/>
  <c r="AF46" i="19"/>
  <c r="AF52" i="19"/>
  <c r="AF51" i="19"/>
  <c r="AF132" i="5"/>
  <c r="AF134" i="5" s="1"/>
  <c r="AF67" i="5"/>
  <c r="AF120" i="5" s="1"/>
  <c r="AF122" i="5" s="1"/>
  <c r="AF124" i="5" s="1"/>
  <c r="AF135" i="5"/>
  <c r="AF131" i="5"/>
  <c r="AF133" i="5" s="1"/>
  <c r="CY101" i="11"/>
  <c r="CY41" i="5" s="1"/>
  <c r="CY141" i="5" s="1"/>
  <c r="CY142" i="5" l="1"/>
  <c r="CY143" i="5" s="1"/>
  <c r="Z23" i="18"/>
  <c r="Z20" i="18" s="1"/>
  <c r="Z19" i="18" s="1"/>
  <c r="DE51" i="5"/>
  <c r="DE150" i="11"/>
  <c r="DF147" i="11" s="1"/>
  <c r="DD155" i="11"/>
  <c r="DC17" i="15" s="1"/>
  <c r="AA12" i="18" s="1"/>
  <c r="L211" i="32" s="1"/>
  <c r="CY102" i="11"/>
  <c r="CZ99" i="11" s="1"/>
  <c r="AG121" i="5"/>
  <c r="AH44" i="6"/>
  <c r="AE16" i="15"/>
  <c r="AE15" i="15" s="1"/>
  <c r="AE14" i="15" s="1"/>
  <c r="AE41" i="15" s="1"/>
  <c r="CY40" i="5"/>
  <c r="CZ140" i="5" l="1"/>
  <c r="CY123" i="5"/>
  <c r="DE152" i="11"/>
  <c r="DE154" i="11" s="1"/>
  <c r="DE53" i="5" s="1"/>
  <c r="DD26" i="15"/>
  <c r="CX28" i="15"/>
  <c r="CX25" i="15" s="1"/>
  <c r="CX24" i="15" s="1"/>
  <c r="CZ101" i="11"/>
  <c r="CZ41" i="5" s="1"/>
  <c r="CZ141" i="5" s="1"/>
  <c r="DF149" i="11"/>
  <c r="DF51" i="5" s="1"/>
  <c r="AG20" i="5"/>
  <c r="AH43" i="6"/>
  <c r="AH42" i="6" s="1"/>
  <c r="AH55" i="6" s="1"/>
  <c r="AH57" i="6" s="1"/>
  <c r="O26" i="35"/>
  <c r="O25" i="35" s="1"/>
  <c r="L26" i="30"/>
  <c r="L25" i="30" s="1"/>
  <c r="K562" i="32"/>
  <c r="K561" i="32" s="1"/>
  <c r="K574" i="32" s="1"/>
  <c r="O35" i="35"/>
  <c r="L34" i="30"/>
  <c r="O37" i="35"/>
  <c r="L36" i="30"/>
  <c r="K456" i="32"/>
  <c r="K457" i="32" s="1"/>
  <c r="AE42" i="15"/>
  <c r="CZ142" i="5" l="1"/>
  <c r="CZ143" i="5" s="1"/>
  <c r="DE155" i="11"/>
  <c r="DD17" i="15" s="1"/>
  <c r="DF150" i="11"/>
  <c r="DG147" i="11" s="1"/>
  <c r="DG149" i="11" s="1"/>
  <c r="AG15" i="5"/>
  <c r="AG14" i="5" s="1"/>
  <c r="AH66" i="6" s="1"/>
  <c r="AH75" i="6" s="1"/>
  <c r="K601" i="32"/>
  <c r="K600" i="32" s="1"/>
  <c r="K585" i="32" s="1"/>
  <c r="CZ40" i="5"/>
  <c r="K461" i="32"/>
  <c r="K460" i="32"/>
  <c r="AG285" i="11"/>
  <c r="AH62" i="6"/>
  <c r="CZ102" i="11"/>
  <c r="DE49" i="5"/>
  <c r="DA140" i="5" l="1"/>
  <c r="CZ123" i="5"/>
  <c r="DF152" i="11"/>
  <c r="DF154" i="11" s="1"/>
  <c r="DF53" i="5" s="1"/>
  <c r="DE26" i="15"/>
  <c r="AH64" i="6"/>
  <c r="AH69" i="6"/>
  <c r="DG150" i="11"/>
  <c r="DG51" i="5"/>
  <c r="DA99" i="11"/>
  <c r="CY28" i="15"/>
  <c r="CY25" i="15" s="1"/>
  <c r="CY24" i="15" s="1"/>
  <c r="AH80" i="6"/>
  <c r="AG98" i="5"/>
  <c r="AG17" i="19"/>
  <c r="O46" i="35"/>
  <c r="L45" i="30"/>
  <c r="AH76" i="6"/>
  <c r="AI73" i="6" s="1"/>
  <c r="DF155" i="11" l="1"/>
  <c r="DG152" i="11" s="1"/>
  <c r="L47" i="30"/>
  <c r="AG103" i="5"/>
  <c r="L46" i="30"/>
  <c r="L48" i="30" s="1"/>
  <c r="O47" i="35"/>
  <c r="O49" i="35" s="1"/>
  <c r="AH81" i="6"/>
  <c r="AI78" i="6" s="1"/>
  <c r="O48" i="35"/>
  <c r="DH147" i="11"/>
  <c r="DF26" i="15"/>
  <c r="AG19" i="19"/>
  <c r="AG20" i="19"/>
  <c r="AG14" i="19"/>
  <c r="DF49" i="5"/>
  <c r="AG95" i="5"/>
  <c r="K625" i="32"/>
  <c r="DA101" i="11"/>
  <c r="DA41" i="5" s="1"/>
  <c r="DA141" i="5" s="1"/>
  <c r="DA142" i="5" s="1"/>
  <c r="DA143" i="5" s="1"/>
  <c r="AH70" i="6"/>
  <c r="DB140" i="5" l="1"/>
  <c r="DA123" i="5"/>
  <c r="DE17" i="15"/>
  <c r="DA102" i="11"/>
  <c r="DB99" i="11" s="1"/>
  <c r="AG100" i="5"/>
  <c r="K626" i="32"/>
  <c r="AH89" i="6"/>
  <c r="AG125" i="5"/>
  <c r="AG126" i="5"/>
  <c r="DG154" i="11"/>
  <c r="DG53" i="5" s="1"/>
  <c r="AH71" i="6"/>
  <c r="AI68" i="6" s="1"/>
  <c r="DA40" i="5"/>
  <c r="DH149" i="11"/>
  <c r="DH51" i="5" s="1"/>
  <c r="CZ28" i="15" l="1"/>
  <c r="CZ25" i="15" s="1"/>
  <c r="CZ24" i="15" s="1"/>
  <c r="DH150" i="11"/>
  <c r="DG26" i="15" s="1"/>
  <c r="DG155" i="11"/>
  <c r="DH152" i="11" s="1"/>
  <c r="DG49" i="5"/>
  <c r="AH94" i="6"/>
  <c r="AH90" i="6"/>
  <c r="AG128" i="5"/>
  <c r="AG127" i="5"/>
  <c r="DB101" i="11"/>
  <c r="DB41" i="5" s="1"/>
  <c r="DB141" i="5" s="1"/>
  <c r="DB142" i="5" s="1"/>
  <c r="DB143" i="5" s="1"/>
  <c r="DC140" i="5" l="1"/>
  <c r="DB123" i="5"/>
  <c r="DI147" i="11"/>
  <c r="DI149" i="11" s="1"/>
  <c r="DI51" i="5" s="1"/>
  <c r="DF17" i="15"/>
  <c r="DB102" i="11"/>
  <c r="DC99" i="11" s="1"/>
  <c r="AH91" i="6"/>
  <c r="AI88" i="6" s="1"/>
  <c r="AG113" i="5"/>
  <c r="DB40" i="5"/>
  <c r="AH99" i="6"/>
  <c r="AH95" i="6"/>
  <c r="AH96" i="6" s="1"/>
  <c r="AI93" i="6" s="1"/>
  <c r="DH154" i="11"/>
  <c r="DH53" i="5" s="1"/>
  <c r="DA28" i="15" l="1"/>
  <c r="DA25" i="15" s="1"/>
  <c r="DA24" i="15" s="1"/>
  <c r="DH155" i="11"/>
  <c r="DG17" i="15" s="1"/>
  <c r="DI150" i="11"/>
  <c r="DH26" i="15" s="1"/>
  <c r="AH100" i="6"/>
  <c r="AH101" i="6" s="1"/>
  <c r="AI98" i="6" s="1"/>
  <c r="AG64" i="19"/>
  <c r="AG110" i="5"/>
  <c r="AG49" i="19"/>
  <c r="K627" i="32"/>
  <c r="K616" i="32" s="1"/>
  <c r="K631" i="32" s="1"/>
  <c r="K633" i="32" s="1"/>
  <c r="L632" i="32" s="1"/>
  <c r="C632" i="32" s="1"/>
  <c r="AG286" i="11"/>
  <c r="AG287" i="11" s="1"/>
  <c r="DH49" i="5"/>
  <c r="DC101" i="11"/>
  <c r="DC41" i="5" s="1"/>
  <c r="DC141" i="5" s="1"/>
  <c r="DC142" i="5" s="1"/>
  <c r="DC143" i="5" s="1"/>
  <c r="DD140" i="5" l="1"/>
  <c r="DC123" i="5"/>
  <c r="DJ147" i="11"/>
  <c r="DJ149" i="11" s="1"/>
  <c r="DJ51" i="5" s="1"/>
  <c r="DI152" i="11"/>
  <c r="DI154" i="11" s="1"/>
  <c r="DI53" i="5" s="1"/>
  <c r="DC102" i="11"/>
  <c r="DD99" i="11" s="1"/>
  <c r="AG67" i="5"/>
  <c r="AG120" i="5" s="1"/>
  <c r="AG122" i="5" s="1"/>
  <c r="AG124" i="5" s="1"/>
  <c r="AG135" i="5"/>
  <c r="AG131" i="5"/>
  <c r="AG133" i="5" s="1"/>
  <c r="AG132" i="5"/>
  <c r="AG134" i="5" s="1"/>
  <c r="AG66" i="19"/>
  <c r="AG67" i="19"/>
  <c r="DC40" i="5"/>
  <c r="AF39" i="15"/>
  <c r="AH284" i="11"/>
  <c r="AG52" i="19"/>
  <c r="AG46" i="19"/>
  <c r="AG51" i="19"/>
  <c r="DB28" i="15" l="1"/>
  <c r="DB25" i="15" s="1"/>
  <c r="DB24" i="15" s="1"/>
  <c r="DI155" i="11"/>
  <c r="DJ152" i="11" s="1"/>
  <c r="K658" i="32"/>
  <c r="K659" i="32" s="1"/>
  <c r="K660" i="32" s="1"/>
  <c r="AF38" i="15"/>
  <c r="AF34" i="15" s="1"/>
  <c r="AF40" i="15" s="1"/>
  <c r="AF16" i="15"/>
  <c r="AH121" i="5"/>
  <c r="AI44" i="6"/>
  <c r="DD101" i="11"/>
  <c r="DD41" i="5" s="1"/>
  <c r="DI49" i="5"/>
  <c r="DJ150" i="11"/>
  <c r="DD40" i="5" l="1"/>
  <c r="DD141" i="5"/>
  <c r="DD142" i="5" s="1"/>
  <c r="DD143" i="5" s="1"/>
  <c r="DH17" i="15"/>
  <c r="DI26" i="15"/>
  <c r="DK147" i="11"/>
  <c r="DD102" i="11"/>
  <c r="K640" i="32"/>
  <c r="K647" i="32" s="1"/>
  <c r="K661" i="32" s="1"/>
  <c r="AF15" i="15"/>
  <c r="AF14" i="15" s="1"/>
  <c r="AF41" i="15" s="1"/>
  <c r="AI43" i="6"/>
  <c r="AI42" i="6" s="1"/>
  <c r="AI55" i="6" s="1"/>
  <c r="AI57" i="6" s="1"/>
  <c r="AH20" i="5"/>
  <c r="DJ154" i="11"/>
  <c r="DJ53" i="5" s="1"/>
  <c r="DJ49" i="5" s="1"/>
  <c r="DE140" i="5" l="1"/>
  <c r="DD123" i="5"/>
  <c r="AF42" i="15"/>
  <c r="DJ155" i="11"/>
  <c r="DK152" i="11" s="1"/>
  <c r="AH15" i="5"/>
  <c r="AH14" i="5" s="1"/>
  <c r="AI66" i="6" s="1"/>
  <c r="AI75" i="6" s="1"/>
  <c r="DE99" i="11"/>
  <c r="DC28" i="15"/>
  <c r="AH285" i="11"/>
  <c r="AI62" i="6"/>
  <c r="DK149" i="11"/>
  <c r="DK51" i="5" s="1"/>
  <c r="AB21" i="18"/>
  <c r="DI17" i="15" l="1"/>
  <c r="AB12" i="18" s="1"/>
  <c r="AI80" i="6"/>
  <c r="AH98" i="5"/>
  <c r="AH17" i="19"/>
  <c r="AI76" i="6"/>
  <c r="AJ73" i="6" s="1"/>
  <c r="DK150" i="11"/>
  <c r="AA23" i="18"/>
  <c r="DC25" i="15"/>
  <c r="DC24" i="15" s="1"/>
  <c r="DE101" i="11"/>
  <c r="DE41" i="5" s="1"/>
  <c r="DE141" i="5" s="1"/>
  <c r="DE142" i="5" s="1"/>
  <c r="DE143" i="5" s="1"/>
  <c r="AI69" i="6"/>
  <c r="AI64" i="6"/>
  <c r="DK154" i="11"/>
  <c r="DK53" i="5" s="1"/>
  <c r="DF140" i="5" l="1"/>
  <c r="DE123" i="5"/>
  <c r="DK155" i="11"/>
  <c r="DJ17" i="15" s="1"/>
  <c r="DE102" i="11"/>
  <c r="AH19" i="19"/>
  <c r="AH20" i="19"/>
  <c r="AH14" i="19"/>
  <c r="AI70" i="6"/>
  <c r="AI71" i="6" s="1"/>
  <c r="AJ68" i="6" s="1"/>
  <c r="AH95" i="5"/>
  <c r="DE40" i="5"/>
  <c r="L219" i="32"/>
  <c r="L224" i="32" s="1"/>
  <c r="AA20" i="18"/>
  <c r="AA19" i="18" s="1"/>
  <c r="DK49" i="5"/>
  <c r="DL147" i="11"/>
  <c r="DJ26" i="15"/>
  <c r="AH103" i="5"/>
  <c r="AI81" i="6"/>
  <c r="AJ78" i="6" s="1"/>
  <c r="DL152" i="11" l="1"/>
  <c r="DL154" i="11" s="1"/>
  <c r="DL53" i="5" s="1"/>
  <c r="AH125" i="5"/>
  <c r="AH126" i="5"/>
  <c r="DF99" i="11"/>
  <c r="DD28" i="15"/>
  <c r="DD25" i="15" s="1"/>
  <c r="DD24" i="15" s="1"/>
  <c r="AI89" i="6"/>
  <c r="DL149" i="11"/>
  <c r="DL51" i="5" s="1"/>
  <c r="AH100" i="5"/>
  <c r="DL150" i="11" l="1"/>
  <c r="DF101" i="11"/>
  <c r="DF41" i="5" s="1"/>
  <c r="DF141" i="5" s="1"/>
  <c r="DF142" i="5" s="1"/>
  <c r="DF143" i="5" s="1"/>
  <c r="DL49" i="5"/>
  <c r="AH127" i="5"/>
  <c r="AH128" i="5"/>
  <c r="DL155" i="11"/>
  <c r="AI94" i="6"/>
  <c r="AI95" i="6" s="1"/>
  <c r="AI96" i="6" s="1"/>
  <c r="AJ93" i="6" s="1"/>
  <c r="AI90" i="6"/>
  <c r="DG140" i="5" l="1"/>
  <c r="DF123" i="5"/>
  <c r="AI99" i="6"/>
  <c r="DF102" i="11"/>
  <c r="DF40" i="5"/>
  <c r="AI91" i="6"/>
  <c r="AJ88" i="6" s="1"/>
  <c r="AH113" i="5"/>
  <c r="DM152" i="11"/>
  <c r="DK17" i="15"/>
  <c r="DM147" i="11"/>
  <c r="DK26" i="15"/>
  <c r="DM154" i="11" l="1"/>
  <c r="DM53" i="5" s="1"/>
  <c r="DG99" i="11"/>
  <c r="DE28" i="15"/>
  <c r="DE25" i="15" s="1"/>
  <c r="DE24" i="15" s="1"/>
  <c r="AH64" i="19"/>
  <c r="AI100" i="6"/>
  <c r="DM149" i="11"/>
  <c r="DM51" i="5" s="1"/>
  <c r="AH110" i="5"/>
  <c r="AH49" i="19"/>
  <c r="AH286" i="11"/>
  <c r="AH287" i="11" s="1"/>
  <c r="DM155" i="11" l="1"/>
  <c r="DL17" i="15" s="1"/>
  <c r="DM49" i="5"/>
  <c r="AI284" i="11"/>
  <c r="AG39" i="15"/>
  <c r="AG38" i="15" s="1"/>
  <c r="AG34" i="15" s="1"/>
  <c r="AG40" i="15" s="1"/>
  <c r="AH52" i="19"/>
  <c r="AH51" i="19"/>
  <c r="AH46" i="19"/>
  <c r="AI101" i="6"/>
  <c r="AJ98" i="6" s="1"/>
  <c r="DG101" i="11"/>
  <c r="DG41" i="5" s="1"/>
  <c r="DG141" i="5" s="1"/>
  <c r="DG142" i="5" s="1"/>
  <c r="DG143" i="5" s="1"/>
  <c r="AH132" i="5"/>
  <c r="AH134" i="5" s="1"/>
  <c r="AH67" i="5"/>
  <c r="AH120" i="5" s="1"/>
  <c r="AH122" i="5" s="1"/>
  <c r="AH124" i="5" s="1"/>
  <c r="AH135" i="5"/>
  <c r="AH131" i="5"/>
  <c r="AH133" i="5" s="1"/>
  <c r="AH67" i="19"/>
  <c r="AH66" i="19"/>
  <c r="DM150" i="11"/>
  <c r="DH140" i="5" l="1"/>
  <c r="DG123" i="5"/>
  <c r="DN152" i="11"/>
  <c r="DN154" i="11" s="1"/>
  <c r="DN53" i="5" s="1"/>
  <c r="DG102" i="11"/>
  <c r="DF28" i="15" s="1"/>
  <c r="DF25" i="15" s="1"/>
  <c r="DF24" i="15" s="1"/>
  <c r="AG16" i="15"/>
  <c r="AG15" i="15" s="1"/>
  <c r="AG14" i="15" s="1"/>
  <c r="AG41" i="15" s="1"/>
  <c r="AI121" i="5"/>
  <c r="AJ44" i="6"/>
  <c r="DN147" i="11"/>
  <c r="DL26" i="15"/>
  <c r="DG40" i="5"/>
  <c r="DH99" i="11" l="1"/>
  <c r="DH101" i="11" s="1"/>
  <c r="DH41" i="5" s="1"/>
  <c r="DH141" i="5" s="1"/>
  <c r="DH142" i="5" s="1"/>
  <c r="DH143" i="5" s="1"/>
  <c r="DN155" i="11"/>
  <c r="DM17" i="15" s="1"/>
  <c r="AI20" i="5"/>
  <c r="AJ43" i="6"/>
  <c r="AJ42" i="6" s="1"/>
  <c r="AJ55" i="6" s="1"/>
  <c r="AJ57" i="6" s="1"/>
  <c r="DN149" i="11"/>
  <c r="DN51" i="5" s="1"/>
  <c r="AG42" i="15"/>
  <c r="DI140" i="5" l="1"/>
  <c r="DH123" i="5"/>
  <c r="DO152" i="11"/>
  <c r="DO154" i="11" s="1"/>
  <c r="DO53" i="5" s="1"/>
  <c r="DN150" i="11"/>
  <c r="DO147" i="11" s="1"/>
  <c r="AI15" i="5"/>
  <c r="AI14" i="5" s="1"/>
  <c r="AJ66" i="6" s="1"/>
  <c r="AJ75" i="6" s="1"/>
  <c r="DH102" i="11"/>
  <c r="AI285" i="11"/>
  <c r="AJ62" i="6"/>
  <c r="DH40" i="5"/>
  <c r="DN49" i="5"/>
  <c r="DM26" i="15" l="1"/>
  <c r="DO155" i="11"/>
  <c r="DN17" i="15" s="1"/>
  <c r="DI99" i="11"/>
  <c r="DG28" i="15"/>
  <c r="DG25" i="15" s="1"/>
  <c r="DG24" i="15" s="1"/>
  <c r="DO149" i="11"/>
  <c r="DO51" i="5" s="1"/>
  <c r="AJ64" i="6"/>
  <c r="AJ69" i="6"/>
  <c r="AJ80" i="6"/>
  <c r="AI98" i="5"/>
  <c r="AI17" i="19"/>
  <c r="AJ76" i="6"/>
  <c r="AK73" i="6" s="1"/>
  <c r="DO150" i="11" l="1"/>
  <c r="DP147" i="11" s="1"/>
  <c r="DP152" i="11"/>
  <c r="DP154" i="11" s="1"/>
  <c r="DP53" i="5" s="1"/>
  <c r="AI95" i="5"/>
  <c r="AJ70" i="6"/>
  <c r="AI20" i="19"/>
  <c r="AI14" i="19"/>
  <c r="AI19" i="19"/>
  <c r="AI103" i="5"/>
  <c r="AJ81" i="6"/>
  <c r="AK78" i="6" s="1"/>
  <c r="DI101" i="11"/>
  <c r="DI41" i="5" s="1"/>
  <c r="DI141" i="5" s="1"/>
  <c r="DI142" i="5" s="1"/>
  <c r="DI143" i="5" s="1"/>
  <c r="DO49" i="5"/>
  <c r="DJ140" i="5" l="1"/>
  <c r="DI123" i="5"/>
  <c r="DN26" i="15"/>
  <c r="DI102" i="11"/>
  <c r="DH28" i="15" s="1"/>
  <c r="DH25" i="15" s="1"/>
  <c r="DH24" i="15" s="1"/>
  <c r="DP149" i="11"/>
  <c r="DP51" i="5" s="1"/>
  <c r="DP49" i="5" s="1"/>
  <c r="AI125" i="5"/>
  <c r="AI126" i="5"/>
  <c r="DP155" i="11"/>
  <c r="DI40" i="5"/>
  <c r="AI100" i="5"/>
  <c r="AJ71" i="6"/>
  <c r="AK68" i="6" s="1"/>
  <c r="AJ89" i="6"/>
  <c r="DJ99" i="11" l="1"/>
  <c r="DJ101" i="11" s="1"/>
  <c r="DJ41" i="5" s="1"/>
  <c r="DP150" i="11"/>
  <c r="DQ147" i="11" s="1"/>
  <c r="AJ94" i="6"/>
  <c r="AJ95" i="6" s="1"/>
  <c r="AJ96" i="6" s="1"/>
  <c r="AK93" i="6" s="1"/>
  <c r="AJ90" i="6"/>
  <c r="AI127" i="5"/>
  <c r="AI128" i="5"/>
  <c r="DO17" i="15"/>
  <c r="AC12" i="18" s="1"/>
  <c r="M211" i="32" s="1"/>
  <c r="DQ152" i="11"/>
  <c r="DJ40" i="5" l="1"/>
  <c r="DJ141" i="5"/>
  <c r="DJ142" i="5" s="1"/>
  <c r="DJ143" i="5" s="1"/>
  <c r="DO26" i="15"/>
  <c r="AC21" i="18" s="1"/>
  <c r="AJ99" i="6"/>
  <c r="AI64" i="19" s="1"/>
  <c r="AJ91" i="6"/>
  <c r="AK88" i="6" s="1"/>
  <c r="AI113" i="5"/>
  <c r="DQ149" i="11"/>
  <c r="DQ51" i="5" s="1"/>
  <c r="DQ154" i="11"/>
  <c r="DQ53" i="5" s="1"/>
  <c r="DJ102" i="11"/>
  <c r="DK140" i="5" l="1"/>
  <c r="DJ123" i="5"/>
  <c r="DQ150" i="11"/>
  <c r="DR147" i="11" s="1"/>
  <c r="AJ100" i="6"/>
  <c r="AJ101" i="6" s="1"/>
  <c r="AK98" i="6" s="1"/>
  <c r="AI110" i="5"/>
  <c r="AI49" i="19"/>
  <c r="AI286" i="11"/>
  <c r="AI287" i="11" s="1"/>
  <c r="AI67" i="19"/>
  <c r="AI66" i="19"/>
  <c r="DQ155" i="11"/>
  <c r="DK99" i="11"/>
  <c r="DI28" i="15"/>
  <c r="DQ49" i="5"/>
  <c r="DP26" i="15" l="1"/>
  <c r="DK101" i="11"/>
  <c r="DK41" i="5" s="1"/>
  <c r="DK141" i="5" s="1"/>
  <c r="DK142" i="5" s="1"/>
  <c r="DK143" i="5" s="1"/>
  <c r="AH39" i="15"/>
  <c r="AH38" i="15" s="1"/>
  <c r="AH34" i="15" s="1"/>
  <c r="AH40" i="15" s="1"/>
  <c r="AJ284" i="11"/>
  <c r="AI51" i="19"/>
  <c r="AI52" i="19"/>
  <c r="AI46" i="19"/>
  <c r="DR152" i="11"/>
  <c r="DP17" i="15"/>
  <c r="DR149" i="11"/>
  <c r="DR51" i="5" s="1"/>
  <c r="AI135" i="5"/>
  <c r="AI67" i="5"/>
  <c r="AI120" i="5" s="1"/>
  <c r="AI122" i="5" s="1"/>
  <c r="AI124" i="5" s="1"/>
  <c r="AI131" i="5"/>
  <c r="AI133" i="5" s="1"/>
  <c r="AI132" i="5"/>
  <c r="AI134" i="5" s="1"/>
  <c r="AB23" i="18"/>
  <c r="AB20" i="18" s="1"/>
  <c r="AB19" i="18" s="1"/>
  <c r="DI25" i="15"/>
  <c r="DI24" i="15" s="1"/>
  <c r="DL140" i="5" l="1"/>
  <c r="DK123" i="5"/>
  <c r="DR150" i="11"/>
  <c r="DQ26" i="15" s="1"/>
  <c r="DR154" i="11"/>
  <c r="DR53" i="5" s="1"/>
  <c r="DK102" i="11"/>
  <c r="AJ121" i="5"/>
  <c r="AK44" i="6"/>
  <c r="AH16" i="15"/>
  <c r="AH15" i="15" s="1"/>
  <c r="AH14" i="15" s="1"/>
  <c r="AH41" i="15" s="1"/>
  <c r="DK40" i="5"/>
  <c r="DS147" i="11" l="1"/>
  <c r="DS149" i="11" s="1"/>
  <c r="DS51" i="5" s="1"/>
  <c r="AJ20" i="5"/>
  <c r="AK43" i="6"/>
  <c r="AK42" i="6" s="1"/>
  <c r="AK55" i="6" s="1"/>
  <c r="AK57" i="6" s="1"/>
  <c r="P26" i="35"/>
  <c r="L562" i="32"/>
  <c r="M26" i="30"/>
  <c r="M36" i="30"/>
  <c r="AN53" i="1" s="1"/>
  <c r="P35" i="35"/>
  <c r="M34" i="30"/>
  <c r="AN52" i="1" s="1"/>
  <c r="L456" i="32"/>
  <c r="P37" i="35"/>
  <c r="DR49" i="5"/>
  <c r="DL99" i="11"/>
  <c r="DJ28" i="15"/>
  <c r="DJ25" i="15" s="1"/>
  <c r="DJ24" i="15" s="1"/>
  <c r="DR155" i="11"/>
  <c r="AH42" i="15"/>
  <c r="DL101" i="11" l="1"/>
  <c r="DL41" i="5" s="1"/>
  <c r="DL141" i="5" s="1"/>
  <c r="DL142" i="5" s="1"/>
  <c r="DL143" i="5" s="1"/>
  <c r="DS152" i="11"/>
  <c r="DQ17" i="15"/>
  <c r="L561" i="32"/>
  <c r="C562" i="32"/>
  <c r="DS150" i="11"/>
  <c r="L457" i="32"/>
  <c r="D456" i="32"/>
  <c r="P25" i="35"/>
  <c r="H25" i="35" s="1"/>
  <c r="H26" i="35"/>
  <c r="AJ285" i="11"/>
  <c r="AK62" i="6"/>
  <c r="M25" i="30"/>
  <c r="E25" i="30" s="1"/>
  <c r="E26" i="30"/>
  <c r="AJ15" i="5"/>
  <c r="AJ14" i="5" s="1"/>
  <c r="AK66" i="6" s="1"/>
  <c r="AK75" i="6" s="1"/>
  <c r="L601" i="32"/>
  <c r="DM140" i="5" l="1"/>
  <c r="DL123" i="5"/>
  <c r="DL40" i="5"/>
  <c r="L461" i="32"/>
  <c r="D461" i="32" s="1"/>
  <c r="L460" i="32"/>
  <c r="D460" i="32" s="1"/>
  <c r="C457" i="32"/>
  <c r="D457" i="32"/>
  <c r="AK80" i="6"/>
  <c r="AJ98" i="5"/>
  <c r="AJ17" i="19"/>
  <c r="M45" i="30"/>
  <c r="P46" i="35"/>
  <c r="AK76" i="6"/>
  <c r="AL73" i="6" s="1"/>
  <c r="DT147" i="11"/>
  <c r="DR26" i="15"/>
  <c r="DS154" i="11"/>
  <c r="DS53" i="5" s="1"/>
  <c r="L574" i="32"/>
  <c r="C574" i="32" s="1"/>
  <c r="C706" i="32" s="1"/>
  <c r="C561" i="32"/>
  <c r="L600" i="32"/>
  <c r="C601" i="32"/>
  <c r="AK64" i="6"/>
  <c r="AK69" i="6"/>
  <c r="DL102" i="11"/>
  <c r="DS155" i="11" l="1"/>
  <c r="DT152" i="11" s="1"/>
  <c r="AK70" i="6"/>
  <c r="AK71" i="6" s="1"/>
  <c r="AL68" i="6" s="1"/>
  <c r="AJ95" i="5"/>
  <c r="L625" i="32"/>
  <c r="DM99" i="11"/>
  <c r="DK28" i="15"/>
  <c r="DK25" i="15" s="1"/>
  <c r="DK24" i="15" s="1"/>
  <c r="L585" i="32"/>
  <c r="C600" i="32"/>
  <c r="DS49" i="5"/>
  <c r="H46" i="35"/>
  <c r="P48" i="35"/>
  <c r="AJ103" i="5"/>
  <c r="P47" i="35"/>
  <c r="H47" i="35" s="1"/>
  <c r="M46" i="30"/>
  <c r="E46" i="30" s="1"/>
  <c r="AK81" i="6"/>
  <c r="AL78" i="6" s="1"/>
  <c r="E45" i="30"/>
  <c r="M47" i="30"/>
  <c r="DT149" i="11"/>
  <c r="DT51" i="5" s="1"/>
  <c r="AJ20" i="19"/>
  <c r="AJ14" i="19"/>
  <c r="AJ19" i="19"/>
  <c r="C461" i="32"/>
  <c r="C460" i="32"/>
  <c r="DR17" i="15" l="1"/>
  <c r="M48" i="30"/>
  <c r="P49" i="35"/>
  <c r="DM101" i="11"/>
  <c r="DM41" i="5" s="1"/>
  <c r="DM141" i="5" s="1"/>
  <c r="DM142" i="5" s="1"/>
  <c r="DM143" i="5" s="1"/>
  <c r="AJ126" i="5"/>
  <c r="AJ125" i="5"/>
  <c r="DT154" i="11"/>
  <c r="DT53" i="5" s="1"/>
  <c r="DT150" i="11"/>
  <c r="AJ100" i="5"/>
  <c r="L626" i="32"/>
  <c r="C626" i="32" s="1"/>
  <c r="C585" i="32"/>
  <c r="C625" i="32"/>
  <c r="Q78" i="16"/>
  <c r="Q81" i="16" s="1"/>
  <c r="Q85" i="16"/>
  <c r="AK89" i="6"/>
  <c r="DN140" i="5" l="1"/>
  <c r="DM123" i="5"/>
  <c r="Q82" i="16"/>
  <c r="DT155" i="11"/>
  <c r="DM102" i="11"/>
  <c r="DM40" i="5"/>
  <c r="AK94" i="6"/>
  <c r="AK90" i="6"/>
  <c r="AJ113" i="5" s="1"/>
  <c r="AJ127" i="5"/>
  <c r="AJ128" i="5"/>
  <c r="DT49" i="5"/>
  <c r="DU147" i="11"/>
  <c r="DS26" i="15"/>
  <c r="AK91" i="6" l="1"/>
  <c r="AL88" i="6" s="1"/>
  <c r="DN99" i="11"/>
  <c r="DL28" i="15"/>
  <c r="DL25" i="15" s="1"/>
  <c r="DL24" i="15" s="1"/>
  <c r="DU149" i="11"/>
  <c r="DU51" i="5" s="1"/>
  <c r="DS17" i="15"/>
  <c r="DU152" i="11"/>
  <c r="AJ110" i="5"/>
  <c r="AJ49" i="19"/>
  <c r="L627" i="32"/>
  <c r="AJ286" i="11"/>
  <c r="AJ287" i="11" s="1"/>
  <c r="AK99" i="6"/>
  <c r="AK95" i="6"/>
  <c r="AK96" i="6" s="1"/>
  <c r="AL93" i="6" s="1"/>
  <c r="AI39" i="15" l="1"/>
  <c r="AK284" i="11"/>
  <c r="DU150" i="11"/>
  <c r="C627" i="32"/>
  <c r="L616" i="32"/>
  <c r="DU154" i="11"/>
  <c r="DU53" i="5" s="1"/>
  <c r="DU49" i="5" s="1"/>
  <c r="AJ51" i="19"/>
  <c r="AJ52" i="19"/>
  <c r="AJ46" i="19"/>
  <c r="AJ64" i="19"/>
  <c r="AK100" i="6"/>
  <c r="AK101" i="6" s="1"/>
  <c r="AL98" i="6" s="1"/>
  <c r="AJ131" i="5"/>
  <c r="AJ133" i="5" s="1"/>
  <c r="AJ132" i="5"/>
  <c r="AJ134" i="5" s="1"/>
  <c r="AJ135" i="5"/>
  <c r="AJ67" i="5"/>
  <c r="AJ120" i="5" s="1"/>
  <c r="AJ122" i="5" s="1"/>
  <c r="AJ124" i="5" s="1"/>
  <c r="DN101" i="11"/>
  <c r="DN41" i="5" s="1"/>
  <c r="DN141" i="5" s="1"/>
  <c r="DN142" i="5" s="1"/>
  <c r="DN143" i="5" s="1"/>
  <c r="DO140" i="5" l="1"/>
  <c r="DN123" i="5"/>
  <c r="DU155" i="11"/>
  <c r="DV152" i="11" s="1"/>
  <c r="DN40" i="5"/>
  <c r="DT26" i="15"/>
  <c r="DV147" i="11"/>
  <c r="AL44" i="6"/>
  <c r="AI16" i="15"/>
  <c r="AK121" i="5"/>
  <c r="DN102" i="11"/>
  <c r="AJ67" i="19"/>
  <c r="AJ66" i="19"/>
  <c r="C616" i="32"/>
  <c r="L631" i="32"/>
  <c r="L633" i="32" s="1"/>
  <c r="L658" i="32"/>
  <c r="L659" i="32" s="1"/>
  <c r="L660" i="32" s="1"/>
  <c r="O34" i="18"/>
  <c r="AI38" i="15"/>
  <c r="AI34" i="15" s="1"/>
  <c r="AI40" i="15" s="1"/>
  <c r="DT17" i="15" l="1"/>
  <c r="H789" i="32"/>
  <c r="H790" i="32" s="1"/>
  <c r="H791" i="32" s="1"/>
  <c r="O33" i="18"/>
  <c r="O29" i="18" s="1"/>
  <c r="O35" i="18" s="1"/>
  <c r="F227" i="32"/>
  <c r="F228" i="32" s="1"/>
  <c r="F229" i="32" s="1"/>
  <c r="C631" i="32"/>
  <c r="H765" i="32"/>
  <c r="C633" i="32"/>
  <c r="DV154" i="11"/>
  <c r="DV53" i="5" s="1"/>
  <c r="DV149" i="11"/>
  <c r="DV51" i="5" s="1"/>
  <c r="DO99" i="11"/>
  <c r="DM28" i="15"/>
  <c r="DM25" i="15" s="1"/>
  <c r="DM24" i="15" s="1"/>
  <c r="O11" i="18"/>
  <c r="L640" i="32"/>
  <c r="L647" i="32" s="1"/>
  <c r="L661" i="32" s="1"/>
  <c r="AI15" i="15"/>
  <c r="AI14" i="15" s="1"/>
  <c r="AI41" i="15" s="1"/>
  <c r="AK20" i="5"/>
  <c r="AL43" i="6"/>
  <c r="AL42" i="6" s="1"/>
  <c r="AL55" i="6" s="1"/>
  <c r="AL57" i="6" s="1"/>
  <c r="DV49" i="5" l="1"/>
  <c r="DV155" i="11"/>
  <c r="DW152" i="11" s="1"/>
  <c r="AI42" i="15"/>
  <c r="O10" i="18"/>
  <c r="O9" i="18" s="1"/>
  <c r="O36" i="18" s="1"/>
  <c r="F210" i="32"/>
  <c r="F217" i="32" s="1"/>
  <c r="F230" i="32" s="1"/>
  <c r="H771" i="32"/>
  <c r="H778" i="32" s="1"/>
  <c r="H792" i="32" s="1"/>
  <c r="AK15" i="5"/>
  <c r="AK14" i="5" s="1"/>
  <c r="AL66" i="6" s="1"/>
  <c r="AK285" i="11"/>
  <c r="AL62" i="6"/>
  <c r="DO101" i="11"/>
  <c r="DO41" i="5" s="1"/>
  <c r="DO141" i="5" s="1"/>
  <c r="DO142" i="5" s="1"/>
  <c r="DO143" i="5" s="1"/>
  <c r="DV150" i="11"/>
  <c r="DP140" i="5" l="1"/>
  <c r="DO123" i="5"/>
  <c r="DU17" i="15"/>
  <c r="AD12" i="18" s="1"/>
  <c r="DO102" i="11"/>
  <c r="DP99" i="11" s="1"/>
  <c r="DW154" i="11"/>
  <c r="DW53" i="5" s="1"/>
  <c r="DO40" i="5"/>
  <c r="AL69" i="6"/>
  <c r="AL64" i="6"/>
  <c r="AL75" i="6"/>
  <c r="AL80" i="6" s="1"/>
  <c r="DU26" i="15"/>
  <c r="DW147" i="11"/>
  <c r="DN28" i="15" l="1"/>
  <c r="DN25" i="15" s="1"/>
  <c r="DN24" i="15" s="1"/>
  <c r="DW155" i="11"/>
  <c r="DX152" i="11" s="1"/>
  <c r="AL70" i="6"/>
  <c r="AL89" i="6" s="1"/>
  <c r="DP101" i="11"/>
  <c r="DP41" i="5" s="1"/>
  <c r="AD21" i="18"/>
  <c r="AK103" i="5"/>
  <c r="AL81" i="6"/>
  <c r="AM78" i="6" s="1"/>
  <c r="AK98" i="5"/>
  <c r="AK17" i="19"/>
  <c r="AL76" i="6"/>
  <c r="AM73" i="6" s="1"/>
  <c r="DW149" i="11"/>
  <c r="DW51" i="5" s="1"/>
  <c r="DP40" i="5" l="1"/>
  <c r="DP141" i="5"/>
  <c r="DP142" i="5" s="1"/>
  <c r="DP143" i="5" s="1"/>
  <c r="DW150" i="11"/>
  <c r="DX147" i="11" s="1"/>
  <c r="DV17" i="15"/>
  <c r="DP102" i="11"/>
  <c r="DQ99" i="11" s="1"/>
  <c r="AK100" i="5"/>
  <c r="AK19" i="19"/>
  <c r="AK20" i="19"/>
  <c r="AK14" i="19"/>
  <c r="DW49" i="5"/>
  <c r="AK95" i="5"/>
  <c r="AL94" i="6"/>
  <c r="AL90" i="6"/>
  <c r="DX154" i="11"/>
  <c r="DX53" i="5" s="1"/>
  <c r="AL71" i="6"/>
  <c r="AM68" i="6" s="1"/>
  <c r="DQ140" i="5" l="1"/>
  <c r="DP123" i="5"/>
  <c r="DV26" i="15"/>
  <c r="DO28" i="15"/>
  <c r="DO25" i="15" s="1"/>
  <c r="DO24" i="15" s="1"/>
  <c r="DX149" i="11"/>
  <c r="DX51" i="5" s="1"/>
  <c r="DQ101" i="11"/>
  <c r="DQ41" i="5" s="1"/>
  <c r="DQ141" i="5" s="1"/>
  <c r="AL91" i="6"/>
  <c r="AM88" i="6" s="1"/>
  <c r="AK113" i="5"/>
  <c r="DX155" i="11"/>
  <c r="AL99" i="6"/>
  <c r="AL95" i="6"/>
  <c r="AL96" i="6" s="1"/>
  <c r="AM93" i="6" s="1"/>
  <c r="AK128" i="5"/>
  <c r="AK127" i="5"/>
  <c r="AK126" i="5"/>
  <c r="AK125" i="5"/>
  <c r="DQ142" i="5" l="1"/>
  <c r="DQ143" i="5" s="1"/>
  <c r="DX150" i="11"/>
  <c r="DW26" i="15" s="1"/>
  <c r="AC23" i="18"/>
  <c r="M219" i="32" s="1"/>
  <c r="M224" i="32" s="1"/>
  <c r="DQ102" i="11"/>
  <c r="DP28" i="15" s="1"/>
  <c r="DP25" i="15" s="1"/>
  <c r="DP24" i="15" s="1"/>
  <c r="AK110" i="5"/>
  <c r="AK49" i="19"/>
  <c r="AK286" i="11"/>
  <c r="AK287" i="11" s="1"/>
  <c r="AK64" i="19"/>
  <c r="AL100" i="6"/>
  <c r="DW17" i="15"/>
  <c r="DY152" i="11"/>
  <c r="DQ40" i="5"/>
  <c r="DX49" i="5"/>
  <c r="DR140" i="5" l="1"/>
  <c r="DQ123" i="5"/>
  <c r="DR99" i="11"/>
  <c r="DR101" i="11" s="1"/>
  <c r="DR41" i="5" s="1"/>
  <c r="DR141" i="5" s="1"/>
  <c r="DY147" i="11"/>
  <c r="DY149" i="11" s="1"/>
  <c r="DY51" i="5" s="1"/>
  <c r="AC20" i="18"/>
  <c r="AC19" i="18" s="1"/>
  <c r="AK67" i="19"/>
  <c r="AK66" i="19"/>
  <c r="DY154" i="11"/>
  <c r="DY53" i="5" s="1"/>
  <c r="AJ39" i="15"/>
  <c r="AJ38" i="15" s="1"/>
  <c r="AJ34" i="15" s="1"/>
  <c r="AJ40" i="15" s="1"/>
  <c r="AL284" i="11"/>
  <c r="AK52" i="19"/>
  <c r="AK46" i="19"/>
  <c r="AK51" i="19"/>
  <c r="AL101" i="6"/>
  <c r="AM98" i="6" s="1"/>
  <c r="AK67" i="5"/>
  <c r="AK120" i="5" s="1"/>
  <c r="AK122" i="5" s="1"/>
  <c r="AK124" i="5" s="1"/>
  <c r="AK132" i="5"/>
  <c r="AK134" i="5" s="1"/>
  <c r="AK135" i="5"/>
  <c r="AK131" i="5"/>
  <c r="AK133" i="5" s="1"/>
  <c r="DR142" i="5" l="1"/>
  <c r="DR143" i="5" s="1"/>
  <c r="DR102" i="11"/>
  <c r="DS99" i="11" s="1"/>
  <c r="DY49" i="5"/>
  <c r="AJ16" i="15"/>
  <c r="AJ15" i="15" s="1"/>
  <c r="AJ14" i="15" s="1"/>
  <c r="AJ41" i="15" s="1"/>
  <c r="AL121" i="5"/>
  <c r="AM44" i="6"/>
  <c r="DR40" i="5"/>
  <c r="DY150" i="11"/>
  <c r="DY155" i="11"/>
  <c r="DS140" i="5" l="1"/>
  <c r="DR123" i="5"/>
  <c r="DQ28" i="15"/>
  <c r="DQ25" i="15" s="1"/>
  <c r="DQ24" i="15" s="1"/>
  <c r="DS101" i="11"/>
  <c r="DS41" i="5" s="1"/>
  <c r="DS141" i="5" s="1"/>
  <c r="DZ152" i="11"/>
  <c r="DX17" i="15"/>
  <c r="AJ42" i="15"/>
  <c r="DX26" i="15"/>
  <c r="DZ147" i="11"/>
  <c r="AL20" i="5"/>
  <c r="AM43" i="6"/>
  <c r="AM42" i="6" s="1"/>
  <c r="AM55" i="6" s="1"/>
  <c r="AM57" i="6" s="1"/>
  <c r="DS142" i="5" l="1"/>
  <c r="DS143" i="5" s="1"/>
  <c r="DS102" i="11"/>
  <c r="DR28" i="15" s="1"/>
  <c r="DR25" i="15" s="1"/>
  <c r="DR24" i="15" s="1"/>
  <c r="AL15" i="5"/>
  <c r="AL14" i="5" s="1"/>
  <c r="AM66" i="6" s="1"/>
  <c r="AM75" i="6" s="1"/>
  <c r="DZ149" i="11"/>
  <c r="DZ51" i="5" s="1"/>
  <c r="DZ154" i="11"/>
  <c r="DZ53" i="5" s="1"/>
  <c r="AL285" i="11"/>
  <c r="AM62" i="6"/>
  <c r="DS40" i="5"/>
  <c r="DT140" i="5" l="1"/>
  <c r="DS123" i="5"/>
  <c r="DT99" i="11"/>
  <c r="DT101" i="11" s="1"/>
  <c r="DT41" i="5" s="1"/>
  <c r="DT141" i="5" s="1"/>
  <c r="DZ155" i="11"/>
  <c r="DY17" i="15" s="1"/>
  <c r="AM69" i="6"/>
  <c r="AM64" i="6"/>
  <c r="DZ49" i="5"/>
  <c r="DZ150" i="11"/>
  <c r="AM80" i="6"/>
  <c r="AL98" i="5"/>
  <c r="AL17" i="19"/>
  <c r="AM76" i="6"/>
  <c r="AN73" i="6" s="1"/>
  <c r="DT142" i="5" l="1"/>
  <c r="DT143" i="5" s="1"/>
  <c r="EA152" i="11"/>
  <c r="EA154" i="11" s="1"/>
  <c r="EA53" i="5" s="1"/>
  <c r="AL95" i="5"/>
  <c r="DT40" i="5"/>
  <c r="AL103" i="5"/>
  <c r="AM81" i="6"/>
  <c r="AN78" i="6" s="1"/>
  <c r="DY26" i="15"/>
  <c r="EA147" i="11"/>
  <c r="AL14" i="19"/>
  <c r="AL19" i="19"/>
  <c r="AL20" i="19"/>
  <c r="DT102" i="11"/>
  <c r="AM70" i="6"/>
  <c r="AM71" i="6" s="1"/>
  <c r="AN68" i="6" s="1"/>
  <c r="DU140" i="5" l="1"/>
  <c r="DT123" i="5"/>
  <c r="EA155" i="11"/>
  <c r="DZ17" i="15" s="1"/>
  <c r="AL100" i="5"/>
  <c r="EA149" i="11"/>
  <c r="EA51" i="5" s="1"/>
  <c r="AM89" i="6"/>
  <c r="DU99" i="11"/>
  <c r="DS28" i="15"/>
  <c r="DS25" i="15" s="1"/>
  <c r="DS24" i="15" s="1"/>
  <c r="AL126" i="5"/>
  <c r="AL125" i="5"/>
  <c r="EB152" i="11" l="1"/>
  <c r="EB154" i="11" s="1"/>
  <c r="EB53" i="5" s="1"/>
  <c r="EA150" i="11"/>
  <c r="DZ26" i="15" s="1"/>
  <c r="DU101" i="11"/>
  <c r="DU41" i="5" s="1"/>
  <c r="DU141" i="5" s="1"/>
  <c r="DU142" i="5" s="1"/>
  <c r="DU143" i="5" s="1"/>
  <c r="EA49" i="5"/>
  <c r="AM94" i="6"/>
  <c r="AM95" i="6" s="1"/>
  <c r="AM96" i="6" s="1"/>
  <c r="AN93" i="6" s="1"/>
  <c r="AM90" i="6"/>
  <c r="AM91" i="6" s="1"/>
  <c r="AN88" i="6" s="1"/>
  <c r="AL128" i="5"/>
  <c r="AL127" i="5"/>
  <c r="DV140" i="5" l="1"/>
  <c r="DU123" i="5"/>
  <c r="EB147" i="11"/>
  <c r="EB149" i="11" s="1"/>
  <c r="EB51" i="5" s="1"/>
  <c r="EB49" i="5" s="1"/>
  <c r="EB155" i="11"/>
  <c r="EA17" i="15" s="1"/>
  <c r="AE12" i="18" s="1"/>
  <c r="N211" i="32" s="1"/>
  <c r="DU102" i="11"/>
  <c r="DV99" i="11" s="1"/>
  <c r="AM99" i="6"/>
  <c r="AM100" i="6" s="1"/>
  <c r="AL113" i="5"/>
  <c r="DU40" i="5"/>
  <c r="DT28" i="15" l="1"/>
  <c r="DT25" i="15" s="1"/>
  <c r="DT24" i="15" s="1"/>
  <c r="EC152" i="11"/>
  <c r="EC154" i="11" s="1"/>
  <c r="EC53" i="5" s="1"/>
  <c r="AL64" i="19"/>
  <c r="AL67" i="19" s="1"/>
  <c r="AL110" i="5"/>
  <c r="AL49" i="19"/>
  <c r="AL286" i="11"/>
  <c r="AL287" i="11" s="1"/>
  <c r="DV101" i="11"/>
  <c r="DV41" i="5" s="1"/>
  <c r="EB150" i="11"/>
  <c r="AM101" i="6"/>
  <c r="AN98" i="6" s="1"/>
  <c r="DV40" i="5" l="1"/>
  <c r="DV141" i="5"/>
  <c r="DV142" i="5" s="1"/>
  <c r="DV143" i="5" s="1"/>
  <c r="AL66" i="19"/>
  <c r="DV102" i="11"/>
  <c r="DW99" i="11" s="1"/>
  <c r="EC147" i="11"/>
  <c r="EA26" i="15"/>
  <c r="AK39" i="15"/>
  <c r="AK38" i="15" s="1"/>
  <c r="AK34" i="15" s="1"/>
  <c r="AK40" i="15" s="1"/>
  <c r="AM284" i="11"/>
  <c r="AL52" i="19"/>
  <c r="AL46" i="19"/>
  <c r="AL51" i="19"/>
  <c r="EC155" i="11"/>
  <c r="AL131" i="5"/>
  <c r="AL133" i="5" s="1"/>
  <c r="AL67" i="5"/>
  <c r="AL120" i="5" s="1"/>
  <c r="AL122" i="5" s="1"/>
  <c r="AL124" i="5" s="1"/>
  <c r="AL135" i="5"/>
  <c r="AL132" i="5"/>
  <c r="AL134" i="5" s="1"/>
  <c r="DW140" i="5" l="1"/>
  <c r="DV123" i="5"/>
  <c r="DU28" i="15"/>
  <c r="DU25" i="15" s="1"/>
  <c r="DU24" i="15" s="1"/>
  <c r="EB17" i="15"/>
  <c r="ED152" i="11"/>
  <c r="AE21" i="18"/>
  <c r="AM121" i="5"/>
  <c r="AN44" i="6"/>
  <c r="AK16" i="15"/>
  <c r="AK15" i="15" s="1"/>
  <c r="AK14" i="15" s="1"/>
  <c r="AK41" i="15" s="1"/>
  <c r="DW101" i="11"/>
  <c r="DW41" i="5" s="1"/>
  <c r="DW141" i="5" s="1"/>
  <c r="EC149" i="11"/>
  <c r="EC51" i="5" s="1"/>
  <c r="DW142" i="5" l="1"/>
  <c r="DW143" i="5" s="1"/>
  <c r="AD23" i="18"/>
  <c r="AD20" i="18" s="1"/>
  <c r="AD19" i="18" s="1"/>
  <c r="EC150" i="11"/>
  <c r="ED147" i="11" s="1"/>
  <c r="DW40" i="5"/>
  <c r="ED154" i="11"/>
  <c r="ED53" i="5" s="1"/>
  <c r="DW102" i="11"/>
  <c r="N34" i="30"/>
  <c r="Q37" i="35"/>
  <c r="N36" i="30"/>
  <c r="Q35" i="35"/>
  <c r="N48" i="30"/>
  <c r="Q48" i="35"/>
  <c r="N47" i="30"/>
  <c r="Q49" i="35"/>
  <c r="EC49" i="5"/>
  <c r="AM20" i="5"/>
  <c r="AN43" i="6"/>
  <c r="AN42" i="6" s="1"/>
  <c r="AN55" i="6" s="1"/>
  <c r="AN57" i="6" s="1"/>
  <c r="AK42" i="15"/>
  <c r="DX140" i="5" l="1"/>
  <c r="DW123" i="5"/>
  <c r="EB26" i="15"/>
  <c r="ED155" i="11"/>
  <c r="AM285" i="11"/>
  <c r="AN62" i="6"/>
  <c r="ED149" i="11"/>
  <c r="ED51" i="5" s="1"/>
  <c r="AM15" i="5"/>
  <c r="AM14" i="5" s="1"/>
  <c r="AN66" i="6" s="1"/>
  <c r="AN75" i="6" s="1"/>
  <c r="DX99" i="11"/>
  <c r="DV28" i="15"/>
  <c r="DV25" i="15" s="1"/>
  <c r="DV24" i="15" s="1"/>
  <c r="DX101" i="11" l="1"/>
  <c r="DX41" i="5" s="1"/>
  <c r="DX141" i="5" s="1"/>
  <c r="DX142" i="5" s="1"/>
  <c r="DX143" i="5" s="1"/>
  <c r="ED49" i="5"/>
  <c r="AN69" i="6"/>
  <c r="AN64" i="6"/>
  <c r="AN80" i="6"/>
  <c r="AM98" i="5"/>
  <c r="AM17" i="19"/>
  <c r="AN76" i="6"/>
  <c r="AO73" i="6" s="1"/>
  <c r="ED150" i="11"/>
  <c r="EE152" i="11"/>
  <c r="EC17" i="15"/>
  <c r="DY140" i="5" l="1"/>
  <c r="DX123" i="5"/>
  <c r="DX102" i="11"/>
  <c r="DY99" i="11" s="1"/>
  <c r="EE154" i="11"/>
  <c r="EE53" i="5" s="1"/>
  <c r="AM14" i="19"/>
  <c r="AM20" i="19"/>
  <c r="AM19" i="19"/>
  <c r="EC26" i="15"/>
  <c r="EE147" i="11"/>
  <c r="AM95" i="5"/>
  <c r="AN70" i="6"/>
  <c r="AN71" i="6" s="1"/>
  <c r="AO68" i="6" s="1"/>
  <c r="AM103" i="5"/>
  <c r="AN81" i="6"/>
  <c r="AO78" i="6" s="1"/>
  <c r="DX40" i="5"/>
  <c r="DW28" i="15" l="1"/>
  <c r="DW25" i="15" s="1"/>
  <c r="DW24" i="15" s="1"/>
  <c r="EE155" i="11"/>
  <c r="EF152" i="11" s="1"/>
  <c r="AM100" i="5"/>
  <c r="DY101" i="11"/>
  <c r="DY41" i="5" s="1"/>
  <c r="DY141" i="5" s="1"/>
  <c r="DY142" i="5" s="1"/>
  <c r="DY143" i="5" s="1"/>
  <c r="AM126" i="5"/>
  <c r="AM125" i="5"/>
  <c r="EE149" i="11"/>
  <c r="EE51" i="5" s="1"/>
  <c r="AN89" i="6"/>
  <c r="DZ140" i="5" l="1"/>
  <c r="DY123" i="5"/>
  <c r="ED17" i="15"/>
  <c r="EE150" i="11"/>
  <c r="ED26" i="15" s="1"/>
  <c r="DY102" i="11"/>
  <c r="DX28" i="15" s="1"/>
  <c r="DX25" i="15" s="1"/>
  <c r="DX24" i="15" s="1"/>
  <c r="AN94" i="6"/>
  <c r="AN95" i="6" s="1"/>
  <c r="AN96" i="6" s="1"/>
  <c r="AO93" i="6" s="1"/>
  <c r="AN90" i="6"/>
  <c r="EE49" i="5"/>
  <c r="EF154" i="11"/>
  <c r="EF53" i="5" s="1"/>
  <c r="DY40" i="5"/>
  <c r="AM128" i="5"/>
  <c r="AM127" i="5"/>
  <c r="EF147" i="11" l="1"/>
  <c r="EF149" i="11" s="1"/>
  <c r="EF51" i="5" s="1"/>
  <c r="DZ99" i="11"/>
  <c r="DZ101" i="11" s="1"/>
  <c r="DZ41" i="5" s="1"/>
  <c r="DZ141" i="5" s="1"/>
  <c r="DZ142" i="5" s="1"/>
  <c r="DZ143" i="5" s="1"/>
  <c r="AN99" i="6"/>
  <c r="AN100" i="6" s="1"/>
  <c r="AN91" i="6"/>
  <c r="AO88" i="6" s="1"/>
  <c r="AM113" i="5"/>
  <c r="EF155" i="11"/>
  <c r="EA140" i="5" l="1"/>
  <c r="DZ123" i="5"/>
  <c r="EF150" i="11"/>
  <c r="EE26" i="15" s="1"/>
  <c r="DZ102" i="11"/>
  <c r="EA99" i="11" s="1"/>
  <c r="AM64" i="19"/>
  <c r="AM67" i="19" s="1"/>
  <c r="EE17" i="15"/>
  <c r="EG152" i="11"/>
  <c r="AM110" i="5"/>
  <c r="AM49" i="19"/>
  <c r="AM286" i="11"/>
  <c r="AM287" i="11" s="1"/>
  <c r="AN101" i="6"/>
  <c r="AO98" i="6" s="1"/>
  <c r="DZ40" i="5"/>
  <c r="EF49" i="5"/>
  <c r="DY28" i="15" l="1"/>
  <c r="DY25" i="15" s="1"/>
  <c r="DY24" i="15" s="1"/>
  <c r="EG147" i="11"/>
  <c r="EG149" i="11" s="1"/>
  <c r="EG51" i="5" s="1"/>
  <c r="AM66" i="19"/>
  <c r="AL39" i="15"/>
  <c r="AL38" i="15" s="1"/>
  <c r="AL34" i="15" s="1"/>
  <c r="AL40" i="15" s="1"/>
  <c r="AN284" i="11"/>
  <c r="AM46" i="19"/>
  <c r="AM51" i="19"/>
  <c r="AM52" i="19"/>
  <c r="EG154" i="11"/>
  <c r="EG53" i="5" s="1"/>
  <c r="EA101" i="11"/>
  <c r="EA41" i="5" s="1"/>
  <c r="EA141" i="5" s="1"/>
  <c r="EA142" i="5" s="1"/>
  <c r="EA143" i="5" s="1"/>
  <c r="AM131" i="5"/>
  <c r="AM133" i="5" s="1"/>
  <c r="AM132" i="5"/>
  <c r="AM134" i="5" s="1"/>
  <c r="AM135" i="5"/>
  <c r="AM67" i="5"/>
  <c r="AM120" i="5" s="1"/>
  <c r="AM122" i="5" s="1"/>
  <c r="AM124" i="5" s="1"/>
  <c r="EB140" i="5" l="1"/>
  <c r="EA123" i="5"/>
  <c r="EG150" i="11"/>
  <c r="EH147" i="11" s="1"/>
  <c r="EA102" i="11"/>
  <c r="DZ28" i="15" s="1"/>
  <c r="DZ25" i="15" s="1"/>
  <c r="DZ24" i="15" s="1"/>
  <c r="AL16" i="15"/>
  <c r="AL15" i="15" s="1"/>
  <c r="AL14" i="15" s="1"/>
  <c r="AL41" i="15" s="1"/>
  <c r="AN121" i="5"/>
  <c r="AO44" i="6"/>
  <c r="EA40" i="5"/>
  <c r="EG155" i="11"/>
  <c r="EG49" i="5"/>
  <c r="EB99" i="11" l="1"/>
  <c r="EB101" i="11" s="1"/>
  <c r="EB41" i="5" s="1"/>
  <c r="EF26" i="15"/>
  <c r="AN20" i="5"/>
  <c r="AO43" i="6"/>
  <c r="AO42" i="6" s="1"/>
  <c r="AO55" i="6" s="1"/>
  <c r="AO57" i="6" s="1"/>
  <c r="EH149" i="11"/>
  <c r="EH51" i="5" s="1"/>
  <c r="AL42" i="15"/>
  <c r="EH152" i="11"/>
  <c r="EF17" i="15"/>
  <c r="EB40" i="5" l="1"/>
  <c r="EB141" i="5"/>
  <c r="EB142" i="5" s="1"/>
  <c r="EB143" i="5" s="1"/>
  <c r="EB102" i="11"/>
  <c r="EA28" i="15" s="1"/>
  <c r="EH154" i="11"/>
  <c r="EH53" i="5" s="1"/>
  <c r="EH49" i="5" s="1"/>
  <c r="AO62" i="6"/>
  <c r="AN285" i="11"/>
  <c r="EH150" i="11"/>
  <c r="AN15" i="5"/>
  <c r="AN14" i="5" s="1"/>
  <c r="AO66" i="6" s="1"/>
  <c r="AO75" i="6" s="1"/>
  <c r="EC140" i="5" l="1"/>
  <c r="EB123" i="5"/>
  <c r="EC99" i="11"/>
  <c r="EH155" i="11"/>
  <c r="EG17" i="15" s="1"/>
  <c r="AF12" i="18" s="1"/>
  <c r="AO80" i="6"/>
  <c r="AN98" i="5"/>
  <c r="AN17" i="19"/>
  <c r="AO76" i="6"/>
  <c r="AP73" i="6" s="1"/>
  <c r="EI147" i="11"/>
  <c r="EG26" i="15"/>
  <c r="AE23" i="18"/>
  <c r="EA25" i="15"/>
  <c r="EA24" i="15" s="1"/>
  <c r="AO69" i="6"/>
  <c r="AO64" i="6"/>
  <c r="EC101" i="11"/>
  <c r="EC41" i="5" s="1"/>
  <c r="EC141" i="5" s="1"/>
  <c r="EC142" i="5" l="1"/>
  <c r="EC143" i="5" s="1"/>
  <c r="EI152" i="11"/>
  <c r="EI154" i="11" s="1"/>
  <c r="EI53" i="5" s="1"/>
  <c r="EC102" i="11"/>
  <c r="ED99" i="11" s="1"/>
  <c r="AO70" i="6"/>
  <c r="EI149" i="11"/>
  <c r="EI51" i="5" s="1"/>
  <c r="EC40" i="5"/>
  <c r="AN20" i="19"/>
  <c r="AN19" i="19"/>
  <c r="AN14" i="19"/>
  <c r="N219" i="32"/>
  <c r="N224" i="32" s="1"/>
  <c r="AE20" i="18"/>
  <c r="AE19" i="18" s="1"/>
  <c r="AN95" i="5"/>
  <c r="AF21" i="18"/>
  <c r="AN103" i="5"/>
  <c r="AO81" i="6"/>
  <c r="AP78" i="6" s="1"/>
  <c r="ED140" i="5" l="1"/>
  <c r="EC123" i="5"/>
  <c r="EB28" i="15"/>
  <c r="EB25" i="15" s="1"/>
  <c r="EB24" i="15" s="1"/>
  <c r="EI150" i="11"/>
  <c r="EH26" i="15" s="1"/>
  <c r="AN126" i="5"/>
  <c r="AN125" i="5"/>
  <c r="EI49" i="5"/>
  <c r="AO89" i="6"/>
  <c r="AN100" i="5"/>
  <c r="EI155" i="11"/>
  <c r="AO71" i="6"/>
  <c r="AP68" i="6" s="1"/>
  <c r="ED101" i="11"/>
  <c r="ED41" i="5" s="1"/>
  <c r="ED141" i="5" s="1"/>
  <c r="ED142" i="5" l="1"/>
  <c r="ED143" i="5" s="1"/>
  <c r="EJ147" i="11"/>
  <c r="EJ149" i="11" s="1"/>
  <c r="EJ51" i="5" s="1"/>
  <c r="ED102" i="11"/>
  <c r="AN127" i="5"/>
  <c r="AN128" i="5"/>
  <c r="ED40" i="5"/>
  <c r="EJ152" i="11"/>
  <c r="EH17" i="15"/>
  <c r="AO94" i="6"/>
  <c r="AO90" i="6"/>
  <c r="EE140" i="5" l="1"/>
  <c r="ED123" i="5"/>
  <c r="AO99" i="6"/>
  <c r="AO95" i="6"/>
  <c r="AO96" i="6" s="1"/>
  <c r="AP93" i="6" s="1"/>
  <c r="EJ150" i="11"/>
  <c r="AO91" i="6"/>
  <c r="AP88" i="6" s="1"/>
  <c r="AN113" i="5"/>
  <c r="EJ154" i="11"/>
  <c r="EJ53" i="5" s="1"/>
  <c r="EJ49" i="5" s="1"/>
  <c r="EE99" i="11"/>
  <c r="EC28" i="15"/>
  <c r="EC25" i="15" s="1"/>
  <c r="EC24" i="15" s="1"/>
  <c r="EJ155" i="11" l="1"/>
  <c r="EK152" i="11" s="1"/>
  <c r="EE101" i="11"/>
  <c r="EE41" i="5" s="1"/>
  <c r="EE141" i="5" s="1"/>
  <c r="EE142" i="5" s="1"/>
  <c r="EE143" i="5" s="1"/>
  <c r="AN110" i="5"/>
  <c r="AN49" i="19"/>
  <c r="AN286" i="11"/>
  <c r="AN287" i="11" s="1"/>
  <c r="EK147" i="11"/>
  <c r="EI26" i="15"/>
  <c r="AO100" i="6"/>
  <c r="AN64" i="19"/>
  <c r="EF140" i="5" l="1"/>
  <c r="EE123" i="5"/>
  <c r="EI17" i="15"/>
  <c r="AO284" i="11"/>
  <c r="AM39" i="15"/>
  <c r="AM38" i="15" s="1"/>
  <c r="AM34" i="15" s="1"/>
  <c r="AM40" i="15" s="1"/>
  <c r="EK154" i="11"/>
  <c r="EK53" i="5" s="1"/>
  <c r="AN132" i="5"/>
  <c r="AN134" i="5" s="1"/>
  <c r="AN135" i="5"/>
  <c r="AN67" i="5"/>
  <c r="AN120" i="5" s="1"/>
  <c r="AN122" i="5" s="1"/>
  <c r="AN124" i="5" s="1"/>
  <c r="AN131" i="5"/>
  <c r="AN133" i="5" s="1"/>
  <c r="AN66" i="19"/>
  <c r="AN67" i="19"/>
  <c r="AO101" i="6"/>
  <c r="AP98" i="6" s="1"/>
  <c r="AN46" i="19"/>
  <c r="AN51" i="19"/>
  <c r="AN52" i="19"/>
  <c r="EE102" i="11"/>
  <c r="EK149" i="11"/>
  <c r="EK51" i="5" s="1"/>
  <c r="EE40" i="5"/>
  <c r="EK150" i="11" l="1"/>
  <c r="EJ26" i="15" s="1"/>
  <c r="EK155" i="11"/>
  <c r="EL152" i="11" s="1"/>
  <c r="EF99" i="11"/>
  <c r="ED28" i="15"/>
  <c r="ED25" i="15" s="1"/>
  <c r="ED24" i="15" s="1"/>
  <c r="AM16" i="15"/>
  <c r="AM15" i="15" s="1"/>
  <c r="AM14" i="15" s="1"/>
  <c r="AM41" i="15" s="1"/>
  <c r="AO121" i="5"/>
  <c r="AP44" i="6"/>
  <c r="EK49" i="5"/>
  <c r="EL147" i="11" l="1"/>
  <c r="EL149" i="11" s="1"/>
  <c r="EL51" i="5" s="1"/>
  <c r="EJ17" i="15"/>
  <c r="AM42" i="15"/>
  <c r="AP43" i="6"/>
  <c r="AP42" i="6" s="1"/>
  <c r="AP55" i="6" s="1"/>
  <c r="AP57" i="6" s="1"/>
  <c r="AO20" i="5"/>
  <c r="EF101" i="11"/>
  <c r="EF41" i="5" s="1"/>
  <c r="EF141" i="5" s="1"/>
  <c r="EF142" i="5" s="1"/>
  <c r="EF143" i="5" s="1"/>
  <c r="EL154" i="11"/>
  <c r="EL53" i="5" s="1"/>
  <c r="EG140" i="5" l="1"/>
  <c r="EF123" i="5"/>
  <c r="EL155" i="11"/>
  <c r="EM152" i="11" s="1"/>
  <c r="EL150" i="11"/>
  <c r="EK26" i="15" s="1"/>
  <c r="EL49" i="5"/>
  <c r="AO15" i="5"/>
  <c r="AO14" i="5" s="1"/>
  <c r="AP66" i="6" s="1"/>
  <c r="AP75" i="6" s="1"/>
  <c r="EF40" i="5"/>
  <c r="EF102" i="11"/>
  <c r="AP62" i="6"/>
  <c r="AO285" i="11"/>
  <c r="EM147" i="11" l="1"/>
  <c r="EM149" i="11" s="1"/>
  <c r="EM51" i="5" s="1"/>
  <c r="EK17" i="15"/>
  <c r="AP64" i="6"/>
  <c r="AP69" i="6"/>
  <c r="EG99" i="11"/>
  <c r="EE28" i="15"/>
  <c r="EE25" i="15" s="1"/>
  <c r="EE24" i="15" s="1"/>
  <c r="AP80" i="6"/>
  <c r="AO98" i="5"/>
  <c r="AO17" i="19"/>
  <c r="AP76" i="6"/>
  <c r="AQ73" i="6" s="1"/>
  <c r="EM154" i="11"/>
  <c r="EM53" i="5" s="1"/>
  <c r="EM155" i="11" l="1"/>
  <c r="EN152" i="11" s="1"/>
  <c r="EM150" i="11"/>
  <c r="EN147" i="11" s="1"/>
  <c r="AP70" i="6"/>
  <c r="AO14" i="19"/>
  <c r="AO19" i="19"/>
  <c r="AO20" i="19"/>
  <c r="AO95" i="5"/>
  <c r="EG101" i="11"/>
  <c r="EG41" i="5" s="1"/>
  <c r="EG141" i="5" s="1"/>
  <c r="EG142" i="5" s="1"/>
  <c r="EG143" i="5" s="1"/>
  <c r="AO103" i="5"/>
  <c r="AP81" i="6"/>
  <c r="AQ78" i="6" s="1"/>
  <c r="EM49" i="5"/>
  <c r="EH140" i="5" l="1"/>
  <c r="EG123" i="5"/>
  <c r="EL17" i="15"/>
  <c r="EL26" i="15"/>
  <c r="EG102" i="11"/>
  <c r="AP89" i="6"/>
  <c r="EN154" i="11"/>
  <c r="EN53" i="5" s="1"/>
  <c r="AO100" i="5"/>
  <c r="AO126" i="5"/>
  <c r="AO125" i="5"/>
  <c r="EG40" i="5"/>
  <c r="EN149" i="11"/>
  <c r="EN51" i="5" s="1"/>
  <c r="AP71" i="6"/>
  <c r="AQ68" i="6" s="1"/>
  <c r="EN150" i="11" l="1"/>
  <c r="EO147" i="11" s="1"/>
  <c r="AO127" i="5"/>
  <c r="AO128" i="5"/>
  <c r="AP94" i="6"/>
  <c r="AP90" i="6"/>
  <c r="EN155" i="11"/>
  <c r="EH99" i="11"/>
  <c r="EF28" i="15"/>
  <c r="EF25" i="15" s="1"/>
  <c r="EF24" i="15" s="1"/>
  <c r="EN49" i="5"/>
  <c r="EM26" i="15" l="1"/>
  <c r="EH101" i="11"/>
  <c r="EH41" i="5" s="1"/>
  <c r="AP91" i="6"/>
  <c r="AQ88" i="6" s="1"/>
  <c r="AO113" i="5"/>
  <c r="EO152" i="11"/>
  <c r="EM17" i="15"/>
  <c r="AG12" i="18" s="1"/>
  <c r="AP99" i="6"/>
  <c r="AP95" i="6"/>
  <c r="AP96" i="6" s="1"/>
  <c r="AQ93" i="6" s="1"/>
  <c r="EO149" i="11"/>
  <c r="EO51" i="5" s="1"/>
  <c r="EH40" i="5" l="1"/>
  <c r="EH141" i="5"/>
  <c r="EH142" i="5" s="1"/>
  <c r="EH143" i="5" s="1"/>
  <c r="EH102" i="11"/>
  <c r="EI99" i="11" s="1"/>
  <c r="EO150" i="11"/>
  <c r="AO110" i="5"/>
  <c r="AO49" i="19"/>
  <c r="AO286" i="11"/>
  <c r="AO287" i="11" s="1"/>
  <c r="EO154" i="11"/>
  <c r="EO53" i="5" s="1"/>
  <c r="AO64" i="19"/>
  <c r="AP100" i="6"/>
  <c r="EI140" i="5" l="1"/>
  <c r="EH123" i="5"/>
  <c r="EG28" i="15"/>
  <c r="AF23" i="18" s="1"/>
  <c r="AF20" i="18" s="1"/>
  <c r="AF19" i="18" s="1"/>
  <c r="EP147" i="11"/>
  <c r="EN26" i="15"/>
  <c r="AP101" i="6"/>
  <c r="AQ98" i="6" s="1"/>
  <c r="EO49" i="5"/>
  <c r="AO51" i="19"/>
  <c r="AO46" i="19"/>
  <c r="AO52" i="19"/>
  <c r="AO66" i="19"/>
  <c r="AO67" i="19"/>
  <c r="AP284" i="11"/>
  <c r="AN39" i="15"/>
  <c r="AN38" i="15" s="1"/>
  <c r="AN34" i="15" s="1"/>
  <c r="AN40" i="15" s="1"/>
  <c r="EO155" i="11"/>
  <c r="EI101" i="11"/>
  <c r="EI41" i="5" s="1"/>
  <c r="EI141" i="5" s="1"/>
  <c r="AO131" i="5"/>
  <c r="AO133" i="5" s="1"/>
  <c r="AO132" i="5"/>
  <c r="AO134" i="5" s="1"/>
  <c r="AO135" i="5"/>
  <c r="AO67" i="5"/>
  <c r="AO120" i="5" s="1"/>
  <c r="AO122" i="5" s="1"/>
  <c r="AO124" i="5" s="1"/>
  <c r="EI142" i="5" l="1"/>
  <c r="EI143" i="5" s="1"/>
  <c r="EG25" i="15"/>
  <c r="EG24" i="15" s="1"/>
  <c r="EI102" i="11"/>
  <c r="EJ99" i="11" s="1"/>
  <c r="EN17" i="15"/>
  <c r="EP152" i="11"/>
  <c r="AP121" i="5"/>
  <c r="AQ44" i="6"/>
  <c r="AN16" i="15"/>
  <c r="AN15" i="15" s="1"/>
  <c r="AN14" i="15" s="1"/>
  <c r="AN41" i="15" s="1"/>
  <c r="EI40" i="5"/>
  <c r="EP149" i="11"/>
  <c r="EP51" i="5" s="1"/>
  <c r="EJ140" i="5" l="1"/>
  <c r="EI123" i="5"/>
  <c r="EH28" i="15"/>
  <c r="EH25" i="15" s="1"/>
  <c r="EH24" i="15" s="1"/>
  <c r="EP154" i="11"/>
  <c r="EP53" i="5" s="1"/>
  <c r="EP49" i="5" s="1"/>
  <c r="EJ101" i="11"/>
  <c r="EJ41" i="5" s="1"/>
  <c r="EJ141" i="5" s="1"/>
  <c r="AQ43" i="6"/>
  <c r="AQ42" i="6" s="1"/>
  <c r="AQ55" i="6" s="1"/>
  <c r="AQ57" i="6" s="1"/>
  <c r="AP20" i="5"/>
  <c r="AP15" i="5" s="1"/>
  <c r="AP14" i="5" s="1"/>
  <c r="AQ66" i="6" s="1"/>
  <c r="AQ75" i="6" s="1"/>
  <c r="EP150" i="11"/>
  <c r="O34" i="30"/>
  <c r="R48" i="35"/>
  <c r="O47" i="30"/>
  <c r="R37" i="35"/>
  <c r="R49" i="35"/>
  <c r="O48" i="30"/>
  <c r="R35" i="35"/>
  <c r="O36" i="30"/>
  <c r="AN42" i="15"/>
  <c r="EJ142" i="5" l="1"/>
  <c r="EJ143" i="5" s="1"/>
  <c r="EP155" i="11"/>
  <c r="EQ152" i="11" s="1"/>
  <c r="AP285" i="11"/>
  <c r="AQ62" i="6"/>
  <c r="EJ102" i="11"/>
  <c r="EJ40" i="5"/>
  <c r="AQ80" i="6"/>
  <c r="AP98" i="5"/>
  <c r="AP17" i="19"/>
  <c r="AQ76" i="6"/>
  <c r="AR73" i="6" s="1"/>
  <c r="EQ147" i="11"/>
  <c r="EO26" i="15"/>
  <c r="EK140" i="5" l="1"/>
  <c r="EJ123" i="5"/>
  <c r="EO17" i="15"/>
  <c r="EQ149" i="11"/>
  <c r="EQ150" i="11" s="1"/>
  <c r="EP26" i="15" s="1"/>
  <c r="AP103" i="5"/>
  <c r="AP100" i="5" s="1"/>
  <c r="AQ81" i="6"/>
  <c r="AR78" i="6" s="1"/>
  <c r="EK99" i="11"/>
  <c r="EI28" i="15"/>
  <c r="EI25" i="15" s="1"/>
  <c r="EI24" i="15" s="1"/>
  <c r="AQ69" i="6"/>
  <c r="AQ64" i="6"/>
  <c r="AP14" i="19"/>
  <c r="AP19" i="19"/>
  <c r="AP20" i="19"/>
  <c r="EQ154" i="11"/>
  <c r="EQ155" i="11" s="1"/>
  <c r="EP17" i="15" s="1"/>
  <c r="AP95" i="5"/>
  <c r="EK101" i="11" l="1"/>
  <c r="EK41" i="5" s="1"/>
  <c r="EK141" i="5" s="1"/>
  <c r="EK142" i="5" s="1"/>
  <c r="EK143" i="5" s="1"/>
  <c r="AP125" i="5"/>
  <c r="AP126" i="5"/>
  <c r="AP127" i="5"/>
  <c r="AP128" i="5"/>
  <c r="AQ70" i="6"/>
  <c r="AQ71" i="6" s="1"/>
  <c r="AR68" i="6" s="1"/>
  <c r="AG21" i="18"/>
  <c r="EQ53" i="5"/>
  <c r="J154" i="11"/>
  <c r="EQ51" i="5"/>
  <c r="J149" i="11"/>
  <c r="EL140" i="5" l="1"/>
  <c r="EK123" i="5"/>
  <c r="EK102" i="11"/>
  <c r="EL99" i="11" s="1"/>
  <c r="EQ49" i="5"/>
  <c r="M46" i="26"/>
  <c r="J51" i="5"/>
  <c r="N46" i="17"/>
  <c r="N46" i="26"/>
  <c r="O46" i="17"/>
  <c r="P46" i="17"/>
  <c r="Q46" i="17"/>
  <c r="O46" i="26"/>
  <c r="R46" i="17"/>
  <c r="P46" i="26"/>
  <c r="S46" i="17"/>
  <c r="T46" i="17"/>
  <c r="Q46" i="26"/>
  <c r="U46" i="17"/>
  <c r="V46" i="17"/>
  <c r="R46" i="26"/>
  <c r="W46" i="17"/>
  <c r="X46" i="17"/>
  <c r="S46" i="26"/>
  <c r="Y46" i="17"/>
  <c r="Z46" i="17"/>
  <c r="T46" i="26"/>
  <c r="AA46" i="17"/>
  <c r="AB46" i="17"/>
  <c r="AC46" i="17"/>
  <c r="U46" i="26"/>
  <c r="AD46" i="17"/>
  <c r="V46" i="26"/>
  <c r="AE46" i="17"/>
  <c r="AF46" i="17"/>
  <c r="W46" i="26"/>
  <c r="AG46" i="17"/>
  <c r="AH46" i="17"/>
  <c r="X46" i="26"/>
  <c r="AI46" i="17"/>
  <c r="J53" i="5"/>
  <c r="M48" i="26"/>
  <c r="N48" i="17"/>
  <c r="N48" i="26"/>
  <c r="O48" i="17"/>
  <c r="P48" i="17"/>
  <c r="O48" i="26"/>
  <c r="Q48" i="17"/>
  <c r="R48" i="17"/>
  <c r="P48" i="26"/>
  <c r="S48" i="17"/>
  <c r="T48" i="17"/>
  <c r="U48" i="17"/>
  <c r="Q48" i="26"/>
  <c r="V48" i="17"/>
  <c r="W48" i="17"/>
  <c r="R48" i="26"/>
  <c r="X48" i="17"/>
  <c r="S48" i="26"/>
  <c r="Y48" i="17"/>
  <c r="Z48" i="17"/>
  <c r="AA48" i="17"/>
  <c r="T48" i="26"/>
  <c r="AB48" i="17"/>
  <c r="AC48" i="17"/>
  <c r="U48" i="26"/>
  <c r="AD48" i="17"/>
  <c r="AE48" i="17"/>
  <c r="V48" i="26"/>
  <c r="AF48" i="17"/>
  <c r="AG48" i="17"/>
  <c r="W48" i="26"/>
  <c r="AH48" i="17"/>
  <c r="AI48" i="17"/>
  <c r="X48" i="26"/>
  <c r="AQ89" i="6"/>
  <c r="R78" i="16"/>
  <c r="R81" i="16" s="1"/>
  <c r="R85" i="16"/>
  <c r="EK40" i="5"/>
  <c r="S44" i="17" l="1"/>
  <c r="V44" i="17"/>
  <c r="Q44" i="17"/>
  <c r="W44" i="26"/>
  <c r="X44" i="26"/>
  <c r="EJ28" i="15"/>
  <c r="EJ25" i="15" s="1"/>
  <c r="EJ24" i="15" s="1"/>
  <c r="AE44" i="17"/>
  <c r="R44" i="17"/>
  <c r="AD44" i="17"/>
  <c r="AI44" i="17"/>
  <c r="AA44" i="17"/>
  <c r="AG44" i="17"/>
  <c r="AB44" i="17"/>
  <c r="Y44" i="17"/>
  <c r="W44" i="17"/>
  <c r="T44" i="17"/>
  <c r="AF44" i="17"/>
  <c r="X44" i="17"/>
  <c r="AH44" i="17"/>
  <c r="AC44" i="17"/>
  <c r="Z44" i="17"/>
  <c r="U44" i="17"/>
  <c r="J49" i="5"/>
  <c r="E185" i="32"/>
  <c r="J48" i="26"/>
  <c r="U44" i="26"/>
  <c r="M185" i="32"/>
  <c r="M181" i="32" s="1"/>
  <c r="T44" i="26"/>
  <c r="L185" i="32"/>
  <c r="L181" i="32" s="1"/>
  <c r="H185" i="32"/>
  <c r="H181" i="32" s="1"/>
  <c r="P44" i="26"/>
  <c r="H746" i="32"/>
  <c r="H742" i="32" s="1"/>
  <c r="P44" i="17"/>
  <c r="AQ94" i="6"/>
  <c r="AQ90" i="6"/>
  <c r="AP113" i="5" s="1"/>
  <c r="EL101" i="11"/>
  <c r="EL41" i="5" s="1"/>
  <c r="EL141" i="5" s="1"/>
  <c r="EL142" i="5" s="1"/>
  <c r="EL143" i="5" s="1"/>
  <c r="R82" i="16"/>
  <c r="I185" i="32"/>
  <c r="I181" i="32" s="1"/>
  <c r="Q44" i="26"/>
  <c r="O44" i="17"/>
  <c r="G746" i="32"/>
  <c r="G742" i="32" s="1"/>
  <c r="J46" i="26"/>
  <c r="M44" i="26"/>
  <c r="V44" i="26"/>
  <c r="N185" i="32"/>
  <c r="N181" i="32" s="1"/>
  <c r="R44" i="26"/>
  <c r="J185" i="32"/>
  <c r="J181" i="32" s="1"/>
  <c r="G185" i="32"/>
  <c r="G181" i="32" s="1"/>
  <c r="O44" i="26"/>
  <c r="N44" i="26"/>
  <c r="F185" i="32"/>
  <c r="F181" i="32" s="1"/>
  <c r="F746" i="32"/>
  <c r="J48" i="17"/>
  <c r="K185" i="32"/>
  <c r="K181" i="32" s="1"/>
  <c r="S44" i="26"/>
  <c r="N44" i="17"/>
  <c r="J46" i="17"/>
  <c r="EM140" i="5" l="1"/>
  <c r="EL123" i="5"/>
  <c r="F742" i="32"/>
  <c r="C742" i="32" s="1"/>
  <c r="C746" i="32"/>
  <c r="AP110" i="5"/>
  <c r="AP49" i="19"/>
  <c r="AP286" i="11"/>
  <c r="AP287" i="11" s="1"/>
  <c r="EL102" i="11"/>
  <c r="AQ99" i="6"/>
  <c r="AQ95" i="6"/>
  <c r="AQ96" i="6" s="1"/>
  <c r="AR93" i="6" s="1"/>
  <c r="EL40" i="5"/>
  <c r="J44" i="26"/>
  <c r="J44" i="17"/>
  <c r="AQ91" i="6"/>
  <c r="AR88" i="6" s="1"/>
  <c r="N615" i="32"/>
  <c r="O615" i="32" s="1"/>
  <c r="C185" i="32"/>
  <c r="E181" i="32"/>
  <c r="N611" i="32" l="1"/>
  <c r="O611" i="32" s="1"/>
  <c r="C181" i="32"/>
  <c r="AP46" i="19"/>
  <c r="AP51" i="19"/>
  <c r="AP52" i="19"/>
  <c r="AQ100" i="6"/>
  <c r="AQ101" i="6" s="1"/>
  <c r="AR98" i="6" s="1"/>
  <c r="AP64" i="19"/>
  <c r="AP132" i="5"/>
  <c r="AP134" i="5" s="1"/>
  <c r="AP131" i="5"/>
  <c r="AP133" i="5" s="1"/>
  <c r="AP135" i="5"/>
  <c r="AP67" i="5"/>
  <c r="AP120" i="5" s="1"/>
  <c r="AP122" i="5" s="1"/>
  <c r="AP124" i="5" s="1"/>
  <c r="EM99" i="11"/>
  <c r="EK28" i="15"/>
  <c r="EK25" i="15" s="1"/>
  <c r="EK24" i="15" s="1"/>
  <c r="AO39" i="15"/>
  <c r="AQ284" i="11"/>
  <c r="EM101" i="11" l="1"/>
  <c r="EM41" i="5" s="1"/>
  <c r="EM141" i="5" s="1"/>
  <c r="EM142" i="5" s="1"/>
  <c r="EM143" i="5" s="1"/>
  <c r="P34" i="18"/>
  <c r="P33" i="18" s="1"/>
  <c r="P29" i="18" s="1"/>
  <c r="P35" i="18" s="1"/>
  <c r="AO38" i="15"/>
  <c r="AO34" i="15" s="1"/>
  <c r="AO40" i="15" s="1"/>
  <c r="AQ121" i="5"/>
  <c r="AR44" i="6"/>
  <c r="AO16" i="15"/>
  <c r="AP67" i="19"/>
  <c r="AP66" i="19"/>
  <c r="EN140" i="5" l="1"/>
  <c r="EM123" i="5"/>
  <c r="EM102" i="11"/>
  <c r="EN99" i="11" s="1"/>
  <c r="AO15" i="15"/>
  <c r="AO14" i="15" s="1"/>
  <c r="AO41" i="15" s="1"/>
  <c r="P11" i="18"/>
  <c r="P10" i="18" s="1"/>
  <c r="P9" i="18" s="1"/>
  <c r="P36" i="18" s="1"/>
  <c r="AQ20" i="5"/>
  <c r="AR43" i="6"/>
  <c r="AR42" i="6" s="1"/>
  <c r="AR55" i="6" s="1"/>
  <c r="AR57" i="6" s="1"/>
  <c r="EM40" i="5"/>
  <c r="EL28" i="15" l="1"/>
  <c r="EL25" i="15" s="1"/>
  <c r="EL24" i="15" s="1"/>
  <c r="EN101" i="11"/>
  <c r="EN41" i="5" s="1"/>
  <c r="AQ15" i="5"/>
  <c r="AQ14" i="5" s="1"/>
  <c r="AR66" i="6" s="1"/>
  <c r="AR75" i="6" s="1"/>
  <c r="AR62" i="6"/>
  <c r="AQ285" i="11"/>
  <c r="AO42" i="15"/>
  <c r="EN40" i="5" l="1"/>
  <c r="EN141" i="5"/>
  <c r="EN142" i="5" s="1"/>
  <c r="EN143" i="5" s="1"/>
  <c r="AR80" i="6"/>
  <c r="AQ98" i="5"/>
  <c r="AQ17" i="19"/>
  <c r="AR76" i="6"/>
  <c r="AS73" i="6" s="1"/>
  <c r="AR69" i="6"/>
  <c r="AR64" i="6"/>
  <c r="EN102" i="11"/>
  <c r="EO140" i="5" l="1"/>
  <c r="EN123" i="5"/>
  <c r="AQ19" i="19"/>
  <c r="AQ14" i="19"/>
  <c r="AQ20" i="19"/>
  <c r="AR70" i="6"/>
  <c r="AQ95" i="5"/>
  <c r="EO99" i="11"/>
  <c r="EM28" i="15"/>
  <c r="AQ103" i="5"/>
  <c r="AR81" i="6"/>
  <c r="AS78" i="6" s="1"/>
  <c r="AG23" i="18" l="1"/>
  <c r="AG20" i="18" s="1"/>
  <c r="AG19" i="18" s="1"/>
  <c r="EM25" i="15"/>
  <c r="EM24" i="15" s="1"/>
  <c r="AR71" i="6"/>
  <c r="AS68" i="6" s="1"/>
  <c r="AR89" i="6"/>
  <c r="AQ100" i="5"/>
  <c r="EO101" i="11"/>
  <c r="EO41" i="5" s="1"/>
  <c r="EO141" i="5" s="1"/>
  <c r="EO142" i="5" s="1"/>
  <c r="EO143" i="5" s="1"/>
  <c r="AQ126" i="5"/>
  <c r="AQ125" i="5"/>
  <c r="EP140" i="5" l="1"/>
  <c r="EO123" i="5"/>
  <c r="AQ128" i="5"/>
  <c r="AQ127" i="5"/>
  <c r="AR94" i="6"/>
  <c r="AR90" i="6"/>
  <c r="EO102" i="11"/>
  <c r="EO40" i="5"/>
  <c r="AR99" i="6" l="1"/>
  <c r="AR95" i="6"/>
  <c r="AR96" i="6" s="1"/>
  <c r="AS93" i="6" s="1"/>
  <c r="EP99" i="11"/>
  <c r="EN28" i="15"/>
  <c r="EN25" i="15" s="1"/>
  <c r="EN24" i="15" s="1"/>
  <c r="AR91" i="6"/>
  <c r="AS88" i="6" s="1"/>
  <c r="AQ113" i="5"/>
  <c r="EP101" i="11" l="1"/>
  <c r="EP41" i="5" s="1"/>
  <c r="EP141" i="5" s="1"/>
  <c r="EP142" i="5" s="1"/>
  <c r="EP143" i="5" s="1"/>
  <c r="AQ110" i="5"/>
  <c r="AQ49" i="19"/>
  <c r="AQ286" i="11"/>
  <c r="AQ287" i="11" s="1"/>
  <c r="AR100" i="6"/>
  <c r="AQ64" i="19"/>
  <c r="EQ140" i="5" l="1"/>
  <c r="EP123" i="5"/>
  <c r="EP102" i="11"/>
  <c r="EQ99" i="11" s="1"/>
  <c r="AQ66" i="19"/>
  <c r="AQ67" i="19"/>
  <c r="AQ132" i="5"/>
  <c r="AQ134" i="5" s="1"/>
  <c r="AQ135" i="5"/>
  <c r="AQ131" i="5"/>
  <c r="AQ133" i="5" s="1"/>
  <c r="AQ67" i="5"/>
  <c r="AQ120" i="5" s="1"/>
  <c r="AQ122" i="5" s="1"/>
  <c r="AQ124" i="5" s="1"/>
  <c r="AR101" i="6"/>
  <c r="AS98" i="6" s="1"/>
  <c r="AP39" i="15"/>
  <c r="AP38" i="15" s="1"/>
  <c r="AP34" i="15" s="1"/>
  <c r="AP40" i="15" s="1"/>
  <c r="AR284" i="11"/>
  <c r="EP40" i="5"/>
  <c r="AQ52" i="19"/>
  <c r="AQ46" i="19"/>
  <c r="AQ51" i="19"/>
  <c r="EO28" i="15" l="1"/>
  <c r="EO25" i="15" s="1"/>
  <c r="EO24" i="15" s="1"/>
  <c r="EQ101" i="11"/>
  <c r="EQ102" i="11" s="1"/>
  <c r="EP28" i="15" s="1"/>
  <c r="EP25" i="15" s="1"/>
  <c r="EP24" i="15" s="1"/>
  <c r="AS44" i="6"/>
  <c r="AP16" i="15"/>
  <c r="AP15" i="15" s="1"/>
  <c r="AP14" i="15" s="1"/>
  <c r="AP41" i="15" s="1"/>
  <c r="AR121" i="5"/>
  <c r="AR20" i="5" l="1"/>
  <c r="AS43" i="6"/>
  <c r="AS42" i="6" s="1"/>
  <c r="AS55" i="6" s="1"/>
  <c r="AS57" i="6" s="1"/>
  <c r="AP42" i="15"/>
  <c r="EQ41" i="5"/>
  <c r="EQ141" i="5" s="1"/>
  <c r="J101" i="11"/>
  <c r="J141" i="5" l="1"/>
  <c r="EQ142" i="5"/>
  <c r="J142" i="5" s="1"/>
  <c r="EQ40" i="5"/>
  <c r="J41" i="5"/>
  <c r="J40" i="5" s="1"/>
  <c r="M36" i="17"/>
  <c r="Z70" i="1"/>
  <c r="M36" i="26"/>
  <c r="N36" i="17"/>
  <c r="N36" i="26"/>
  <c r="O36" i="17"/>
  <c r="AA70" i="1"/>
  <c r="P36" i="17"/>
  <c r="AB70" i="1"/>
  <c r="O36" i="26"/>
  <c r="Q36" i="17"/>
  <c r="Q35" i="17" s="1"/>
  <c r="R36" i="17"/>
  <c r="R35" i="17" s="1"/>
  <c r="S36" i="17"/>
  <c r="S35" i="17" s="1"/>
  <c r="P36" i="26"/>
  <c r="AC70" i="1"/>
  <c r="T36" i="17"/>
  <c r="T35" i="17" s="1"/>
  <c r="AD70" i="1"/>
  <c r="U36" i="17"/>
  <c r="U35" i="17" s="1"/>
  <c r="Q36" i="26"/>
  <c r="V36" i="17"/>
  <c r="V35" i="17" s="1"/>
  <c r="AE70" i="1"/>
  <c r="W36" i="17"/>
  <c r="W35" i="17" s="1"/>
  <c r="R36" i="26"/>
  <c r="X36" i="17"/>
  <c r="X35" i="17" s="1"/>
  <c r="Y36" i="17"/>
  <c r="Y35" i="17" s="1"/>
  <c r="S36" i="26"/>
  <c r="AF70" i="1"/>
  <c r="Z36" i="17"/>
  <c r="Z35" i="17" s="1"/>
  <c r="AG70" i="1"/>
  <c r="T36" i="26"/>
  <c r="AA36" i="17"/>
  <c r="AA35" i="17" s="1"/>
  <c r="AB36" i="17"/>
  <c r="AB35" i="17" s="1"/>
  <c r="AC36" i="17"/>
  <c r="AC35" i="17" s="1"/>
  <c r="U36" i="26"/>
  <c r="AH70" i="1"/>
  <c r="AD36" i="17"/>
  <c r="AD35" i="17" s="1"/>
  <c r="V36" i="26"/>
  <c r="AI70" i="1"/>
  <c r="AE36" i="17"/>
  <c r="AE35" i="17" s="1"/>
  <c r="AF36" i="17"/>
  <c r="AF35" i="17" s="1"/>
  <c r="W36" i="26"/>
  <c r="W35" i="26" s="1"/>
  <c r="AJ70" i="1"/>
  <c r="AJ71" i="1" s="1"/>
  <c r="AG36" i="17"/>
  <c r="AG35" i="17" s="1"/>
  <c r="AH36" i="17"/>
  <c r="AH35" i="17" s="1"/>
  <c r="X36" i="26"/>
  <c r="X35" i="26" s="1"/>
  <c r="AI36" i="17"/>
  <c r="AI35" i="17" s="1"/>
  <c r="AS62" i="6"/>
  <c r="AR285" i="11"/>
  <c r="AR15" i="5"/>
  <c r="AR14" i="5" s="1"/>
  <c r="AS66" i="6" s="1"/>
  <c r="G96" i="1" l="1"/>
  <c r="E238" i="32" s="1"/>
  <c r="C954" i="32" s="1"/>
  <c r="I954" i="32" s="1"/>
  <c r="EQ143" i="5"/>
  <c r="EQ123" i="5" s="1"/>
  <c r="D73" i="21"/>
  <c r="AI73" i="1"/>
  <c r="AI71" i="1"/>
  <c r="M172" i="32"/>
  <c r="U35" i="26"/>
  <c r="L172" i="32"/>
  <c r="T35" i="26"/>
  <c r="K172" i="32"/>
  <c r="S35" i="26"/>
  <c r="H172" i="32"/>
  <c r="P35" i="26"/>
  <c r="G172" i="32"/>
  <c r="O35" i="26"/>
  <c r="G733" i="32"/>
  <c r="O35" i="17"/>
  <c r="D64" i="21"/>
  <c r="Z73" i="1"/>
  <c r="Z71" i="1"/>
  <c r="AS75" i="6"/>
  <c r="AS80" i="6" s="1"/>
  <c r="D69" i="21"/>
  <c r="AE73" i="1"/>
  <c r="AE71" i="1"/>
  <c r="D68" i="21"/>
  <c r="AD73" i="1"/>
  <c r="AD71" i="1"/>
  <c r="D66" i="21"/>
  <c r="AB73" i="1"/>
  <c r="AB71" i="1"/>
  <c r="F172" i="32"/>
  <c r="N35" i="26"/>
  <c r="E733" i="32"/>
  <c r="M35" i="17"/>
  <c r="J36" i="17"/>
  <c r="J35" i="17" s="1"/>
  <c r="N172" i="32"/>
  <c r="V35" i="26"/>
  <c r="H733" i="32"/>
  <c r="P35" i="17"/>
  <c r="F733" i="32"/>
  <c r="N35" i="17"/>
  <c r="D71" i="21"/>
  <c r="AG73" i="1"/>
  <c r="AG71" i="1"/>
  <c r="AS64" i="6"/>
  <c r="AS69" i="6"/>
  <c r="D72" i="21"/>
  <c r="AH73" i="1"/>
  <c r="AH71" i="1"/>
  <c r="D70" i="21"/>
  <c r="AF73" i="1"/>
  <c r="AF71" i="1"/>
  <c r="J172" i="32"/>
  <c r="R35" i="26"/>
  <c r="I172" i="32"/>
  <c r="Q35" i="26"/>
  <c r="D67" i="21"/>
  <c r="AC73" i="1"/>
  <c r="AC71" i="1"/>
  <c r="D65" i="21"/>
  <c r="AA73" i="1"/>
  <c r="AA71" i="1"/>
  <c r="E172" i="32"/>
  <c r="M35" i="26"/>
  <c r="J36" i="26"/>
  <c r="J35" i="26" s="1"/>
  <c r="AC74" i="1" l="1"/>
  <c r="K11" i="33"/>
  <c r="E70" i="21"/>
  <c r="K12" i="33" s="1"/>
  <c r="AG74" i="1"/>
  <c r="AE74" i="1"/>
  <c r="X71" i="1"/>
  <c r="Y71" i="1"/>
  <c r="E11" i="33"/>
  <c r="D63" i="21"/>
  <c r="D62" i="21"/>
  <c r="E64" i="21"/>
  <c r="AA76" i="1"/>
  <c r="AA74" i="1"/>
  <c r="L11" i="33"/>
  <c r="E71" i="21"/>
  <c r="L12" i="33" s="1"/>
  <c r="X73" i="1"/>
  <c r="Z76" i="1"/>
  <c r="Z74" i="1"/>
  <c r="H11" i="33"/>
  <c r="E67" i="21"/>
  <c r="H12" i="33" s="1"/>
  <c r="AS70" i="6"/>
  <c r="AS89" i="6" s="1"/>
  <c r="AD74" i="1"/>
  <c r="J11" i="33"/>
  <c r="E69" i="21"/>
  <c r="J12" i="33" s="1"/>
  <c r="F11" i="33"/>
  <c r="E65" i="21"/>
  <c r="F12" i="33" s="1"/>
  <c r="C733" i="32"/>
  <c r="AB74" i="1"/>
  <c r="I11" i="33"/>
  <c r="E68" i="21"/>
  <c r="I12" i="33" s="1"/>
  <c r="AR103" i="5"/>
  <c r="AS81" i="6"/>
  <c r="AT78" i="6" s="1"/>
  <c r="AI74" i="1"/>
  <c r="AH74" i="1"/>
  <c r="N602" i="32"/>
  <c r="O602" i="32" s="1"/>
  <c r="C172" i="32"/>
  <c r="I972" i="32" s="1"/>
  <c r="I974" i="32" s="1"/>
  <c r="C974" i="32" s="1"/>
  <c r="AF74" i="1"/>
  <c r="M11" i="33"/>
  <c r="E72" i="21"/>
  <c r="M12" i="33" s="1"/>
  <c r="G11" i="33"/>
  <c r="E66" i="21"/>
  <c r="G12" i="33" s="1"/>
  <c r="AR17" i="19"/>
  <c r="AR98" i="5"/>
  <c r="AS76" i="6"/>
  <c r="AT73" i="6" s="1"/>
  <c r="N11" i="33"/>
  <c r="E73" i="21"/>
  <c r="N12" i="33" s="1"/>
  <c r="Y76" i="1" l="1"/>
  <c r="AR100" i="5"/>
  <c r="C11" i="33"/>
  <c r="D11" i="33"/>
  <c r="AR95" i="5"/>
  <c r="AR14" i="19"/>
  <c r="AR19" i="19"/>
  <c r="AR20" i="19"/>
  <c r="AS94" i="6"/>
  <c r="AS90" i="6"/>
  <c r="AS91" i="6" s="1"/>
  <c r="AT88" i="6" s="1"/>
  <c r="AS71" i="6"/>
  <c r="AT68" i="6" s="1"/>
  <c r="Y74" i="1"/>
  <c r="E63" i="21"/>
  <c r="E62" i="21"/>
  <c r="E12" i="33"/>
  <c r="AA79" i="1"/>
  <c r="AA80" i="1" s="1"/>
  <c r="AA77" i="1"/>
  <c r="Z79" i="1"/>
  <c r="Y79" i="1" s="1"/>
  <c r="X76" i="1"/>
  <c r="Z77" i="1"/>
  <c r="X79" i="1" l="1"/>
  <c r="Z80" i="1"/>
  <c r="X77" i="1"/>
  <c r="Y77" i="1"/>
  <c r="AS99" i="6"/>
  <c r="AS95" i="6"/>
  <c r="AS96" i="6" s="1"/>
  <c r="AT93" i="6" s="1"/>
  <c r="D12" i="33"/>
  <c r="C12" i="33"/>
  <c r="AR126" i="5"/>
  <c r="AR125" i="5"/>
  <c r="AR113" i="5"/>
  <c r="AR127" i="5"/>
  <c r="AR128" i="5"/>
  <c r="X80" i="1" l="1"/>
  <c r="Y80" i="1"/>
  <c r="AR286" i="11"/>
  <c r="AR287" i="11" s="1"/>
  <c r="AR49" i="19"/>
  <c r="AR110" i="5"/>
  <c r="AR64" i="19"/>
  <c r="AS100" i="6"/>
  <c r="AS284" i="11" l="1"/>
  <c r="AQ39" i="15"/>
  <c r="AQ38" i="15" s="1"/>
  <c r="AQ34" i="15" s="1"/>
  <c r="AQ40" i="15" s="1"/>
  <c r="AS101" i="6"/>
  <c r="AT98" i="6" s="1"/>
  <c r="AR131" i="5"/>
  <c r="AR133" i="5" s="1"/>
  <c r="AR135" i="5"/>
  <c r="AR67" i="5"/>
  <c r="AR120" i="5" s="1"/>
  <c r="AR122" i="5" s="1"/>
  <c r="AR124" i="5" s="1"/>
  <c r="AR132" i="5"/>
  <c r="AR134" i="5" s="1"/>
  <c r="AR66" i="19"/>
  <c r="AR67" i="19"/>
  <c r="AR52" i="19"/>
  <c r="AR46" i="19"/>
  <c r="AR51" i="19"/>
  <c r="AQ16" i="15" l="1"/>
  <c r="AQ15" i="15" s="1"/>
  <c r="AQ14" i="15" s="1"/>
  <c r="AQ41" i="15" s="1"/>
  <c r="AS121" i="5"/>
  <c r="AT44" i="6"/>
  <c r="AQ42" i="15" l="1"/>
  <c r="AT43" i="6"/>
  <c r="AT42" i="6" s="1"/>
  <c r="AT55" i="6" s="1"/>
  <c r="AT57" i="6" s="1"/>
  <c r="AS20" i="5"/>
  <c r="P34" i="30"/>
  <c r="S35" i="35"/>
  <c r="S48" i="35"/>
  <c r="P36" i="30"/>
  <c r="S49" i="35"/>
  <c r="P47" i="30"/>
  <c r="S37" i="35"/>
  <c r="P48" i="30"/>
  <c r="AS15" i="5" l="1"/>
  <c r="AS14" i="5" s="1"/>
  <c r="AT66" i="6" s="1"/>
  <c r="AT75" i="6" s="1"/>
  <c r="AS285" i="11"/>
  <c r="AT62" i="6"/>
  <c r="AT64" i="6" l="1"/>
  <c r="AT69" i="6"/>
  <c r="AT80" i="6"/>
  <c r="AS98" i="5"/>
  <c r="AS17" i="19"/>
  <c r="AT76" i="6"/>
  <c r="AU73" i="6" s="1"/>
  <c r="AS103" i="5" l="1"/>
  <c r="AT81" i="6"/>
  <c r="AU78" i="6" s="1"/>
  <c r="AS14" i="19"/>
  <c r="AS19" i="19"/>
  <c r="AS20" i="19"/>
  <c r="AT70" i="6"/>
  <c r="AS95" i="5"/>
  <c r="AS100" i="5" l="1"/>
  <c r="AS125" i="5"/>
  <c r="AS126" i="5"/>
  <c r="AT71" i="6"/>
  <c r="AU68" i="6" s="1"/>
  <c r="AT89" i="6"/>
  <c r="AT94" i="6" l="1"/>
  <c r="AT90" i="6"/>
  <c r="AT91" i="6" s="1"/>
  <c r="AU88" i="6" s="1"/>
  <c r="AS128" i="5"/>
  <c r="AS127" i="5"/>
  <c r="AS113" i="5" l="1"/>
  <c r="AT99" i="6"/>
  <c r="AT95" i="6"/>
  <c r="AT96" i="6" s="1"/>
  <c r="AU93" i="6" s="1"/>
  <c r="AT100" i="6" l="1"/>
  <c r="AS64" i="19"/>
  <c r="AS49" i="19"/>
  <c r="AS110" i="5"/>
  <c r="AS286" i="11"/>
  <c r="AS287" i="11" s="1"/>
  <c r="AS132" i="5" l="1"/>
  <c r="AS134" i="5" s="1"/>
  <c r="AS135" i="5"/>
  <c r="AS67" i="5"/>
  <c r="AS120" i="5" s="1"/>
  <c r="AS122" i="5" s="1"/>
  <c r="AS124" i="5" s="1"/>
  <c r="AS131" i="5"/>
  <c r="AS133" i="5" s="1"/>
  <c r="AS66" i="19"/>
  <c r="AS67" i="19"/>
  <c r="AT284" i="11"/>
  <c r="AR39" i="15"/>
  <c r="AR38" i="15" s="1"/>
  <c r="AR34" i="15" s="1"/>
  <c r="AR40" i="15" s="1"/>
  <c r="AS51" i="19"/>
  <c r="AS46" i="19"/>
  <c r="AS52" i="19"/>
  <c r="AT101" i="6"/>
  <c r="AU98" i="6" s="1"/>
  <c r="AR16" i="15" l="1"/>
  <c r="AR15" i="15" s="1"/>
  <c r="AR14" i="15" s="1"/>
  <c r="AR41" i="15" s="1"/>
  <c r="AT121" i="5"/>
  <c r="AU44" i="6"/>
  <c r="AT20" i="5" l="1"/>
  <c r="AU43" i="6"/>
  <c r="AU42" i="6" s="1"/>
  <c r="AU55" i="6" s="1"/>
  <c r="AU57" i="6" s="1"/>
  <c r="AR42" i="15"/>
  <c r="AT285" i="11" l="1"/>
  <c r="AU62" i="6"/>
  <c r="AT15" i="5"/>
  <c r="AT14" i="5" s="1"/>
  <c r="AU66" i="6" s="1"/>
  <c r="AU75" i="6" s="1"/>
  <c r="AU80" i="6" l="1"/>
  <c r="AT17" i="19"/>
  <c r="AT98" i="5"/>
  <c r="AU76" i="6"/>
  <c r="AV73" i="6" s="1"/>
  <c r="AU69" i="6"/>
  <c r="AU64" i="6"/>
  <c r="AT95" i="5" l="1"/>
  <c r="AU70" i="6"/>
  <c r="AU71" i="6" s="1"/>
  <c r="AV68" i="6" s="1"/>
  <c r="AT19" i="19"/>
  <c r="AT20" i="19"/>
  <c r="AT14" i="19"/>
  <c r="AT103" i="5"/>
  <c r="AU81" i="6"/>
  <c r="AV78" i="6" s="1"/>
  <c r="AU89" i="6" l="1"/>
  <c r="AT100" i="5"/>
  <c r="AT125" i="5"/>
  <c r="AT126" i="5"/>
  <c r="AU94" i="6" l="1"/>
  <c r="AU90" i="6"/>
  <c r="AT128" i="5"/>
  <c r="AT127" i="5"/>
  <c r="AU91" i="6" l="1"/>
  <c r="AV88" i="6" s="1"/>
  <c r="AT113" i="5"/>
  <c r="AU99" i="6"/>
  <c r="AU95" i="6"/>
  <c r="AU96" i="6" s="1"/>
  <c r="AV93" i="6" s="1"/>
  <c r="AT110" i="5" l="1"/>
  <c r="AT49" i="19"/>
  <c r="AT286" i="11"/>
  <c r="AT287" i="11" s="1"/>
  <c r="AT64" i="19"/>
  <c r="AU100" i="6"/>
  <c r="AU101" i="6" l="1"/>
  <c r="AV98" i="6" s="1"/>
  <c r="AT66" i="19"/>
  <c r="AT67" i="19"/>
  <c r="AT52" i="19"/>
  <c r="AT51" i="19"/>
  <c r="AT46" i="19"/>
  <c r="AS39" i="15"/>
  <c r="AS38" i="15" s="1"/>
  <c r="AS34" i="15" s="1"/>
  <c r="AS40" i="15" s="1"/>
  <c r="AU284" i="11"/>
  <c r="AT135" i="5"/>
  <c r="AT132" i="5"/>
  <c r="AT134" i="5" s="1"/>
  <c r="AT131" i="5"/>
  <c r="AT133" i="5" s="1"/>
  <c r="AT67" i="5"/>
  <c r="AT120" i="5" s="1"/>
  <c r="AT122" i="5" s="1"/>
  <c r="AT124" i="5" s="1"/>
  <c r="AU121" i="5" l="1"/>
  <c r="AV44" i="6"/>
  <c r="AS16" i="15"/>
  <c r="AS15" i="15" s="1"/>
  <c r="AS14" i="15" s="1"/>
  <c r="AS41" i="15" s="1"/>
  <c r="AS42" i="15" l="1"/>
  <c r="AU20" i="5"/>
  <c r="AV43" i="6"/>
  <c r="AV42" i="6" s="1"/>
  <c r="AV55" i="6" s="1"/>
  <c r="AV57" i="6" s="1"/>
  <c r="AV62" i="6" l="1"/>
  <c r="AU285" i="11"/>
  <c r="AU15" i="5"/>
  <c r="AU14" i="5" s="1"/>
  <c r="AV66" i="6" s="1"/>
  <c r="AV75" i="6" s="1"/>
  <c r="AV80" i="6" l="1"/>
  <c r="AU98" i="5"/>
  <c r="AU17" i="19"/>
  <c r="AV76" i="6"/>
  <c r="AW73" i="6" s="1"/>
  <c r="AV69" i="6"/>
  <c r="AV64" i="6"/>
  <c r="AU20" i="19" l="1"/>
  <c r="AU14" i="19"/>
  <c r="AU19" i="19"/>
  <c r="AV70" i="6"/>
  <c r="AU95" i="5"/>
  <c r="AU103" i="5"/>
  <c r="AV81" i="6"/>
  <c r="AW78" i="6" s="1"/>
  <c r="AV71" i="6" l="1"/>
  <c r="AW68" i="6" s="1"/>
  <c r="AV89" i="6"/>
  <c r="AU100" i="5"/>
  <c r="AU125" i="5"/>
  <c r="AU126" i="5"/>
  <c r="AU127" i="5" l="1"/>
  <c r="AU128" i="5"/>
  <c r="AV94" i="6"/>
  <c r="AV95" i="6" s="1"/>
  <c r="AV96" i="6" s="1"/>
  <c r="AW93" i="6" s="1"/>
  <c r="AV90" i="6"/>
  <c r="AV91" i="6" s="1"/>
  <c r="AW88" i="6" s="1"/>
  <c r="AV99" i="6" l="1"/>
  <c r="AU64" i="19" s="1"/>
  <c r="AU113" i="5"/>
  <c r="AV100" i="6" l="1"/>
  <c r="AV101" i="6" s="1"/>
  <c r="AW98" i="6" s="1"/>
  <c r="AU110" i="5"/>
  <c r="AU49" i="19"/>
  <c r="AU286" i="11"/>
  <c r="AU287" i="11" s="1"/>
  <c r="AU67" i="19"/>
  <c r="AU66" i="19"/>
  <c r="AU46" i="19" l="1"/>
  <c r="AU52" i="19"/>
  <c r="AU51" i="19"/>
  <c r="AT39" i="15"/>
  <c r="AT38" i="15" s="1"/>
  <c r="AT34" i="15" s="1"/>
  <c r="AT40" i="15" s="1"/>
  <c r="AV284" i="11"/>
  <c r="AU67" i="5"/>
  <c r="AU120" i="5" s="1"/>
  <c r="AU122" i="5" s="1"/>
  <c r="AU124" i="5" s="1"/>
  <c r="AU131" i="5"/>
  <c r="AU133" i="5" s="1"/>
  <c r="AU135" i="5"/>
  <c r="AU132" i="5"/>
  <c r="AU134" i="5" s="1"/>
  <c r="AW44" i="6" l="1"/>
  <c r="AT16" i="15"/>
  <c r="AT15" i="15" s="1"/>
  <c r="AT14" i="15" s="1"/>
  <c r="AT41" i="15" s="1"/>
  <c r="AV121" i="5"/>
  <c r="Q34" i="30" l="1"/>
  <c r="T48" i="35"/>
  <c r="Q47" i="30"/>
  <c r="Q36" i="30"/>
  <c r="T49" i="35"/>
  <c r="T35" i="35"/>
  <c r="T37" i="35"/>
  <c r="Q48" i="30"/>
  <c r="AV20" i="5"/>
  <c r="AV15" i="5" s="1"/>
  <c r="AV14" i="5" s="1"/>
  <c r="AW66" i="6" s="1"/>
  <c r="AW43" i="6"/>
  <c r="AW42" i="6" s="1"/>
  <c r="AW55" i="6" s="1"/>
  <c r="AW57" i="6" s="1"/>
  <c r="AT42" i="15"/>
  <c r="AW75" i="6" l="1"/>
  <c r="AW80" i="6" s="1"/>
  <c r="AV285" i="11"/>
  <c r="AW62" i="6"/>
  <c r="AW64" i="6" l="1"/>
  <c r="AW69" i="6"/>
  <c r="AV103" i="5"/>
  <c r="AV100" i="5" s="1"/>
  <c r="AW81" i="6"/>
  <c r="AX78" i="6" s="1"/>
  <c r="AV98" i="5"/>
  <c r="AV95" i="5" s="1"/>
  <c r="AV17" i="19"/>
  <c r="AW76" i="6"/>
  <c r="AX73" i="6" s="1"/>
  <c r="AV128" i="5" l="1"/>
  <c r="AV127" i="5"/>
  <c r="AV14" i="19"/>
  <c r="AV19" i="19"/>
  <c r="AV20" i="19"/>
  <c r="AV125" i="5"/>
  <c r="AV126" i="5"/>
  <c r="AW70" i="6"/>
  <c r="S78" i="16" l="1"/>
  <c r="S81" i="16" s="1"/>
  <c r="S82" i="16" s="1"/>
  <c r="S85" i="16"/>
  <c r="AW89" i="6"/>
  <c r="AW71" i="6"/>
  <c r="AX68" i="6" s="1"/>
  <c r="AW94" i="6" l="1"/>
  <c r="AW90" i="6"/>
  <c r="AV113" i="5" s="1"/>
  <c r="AW91" i="6" l="1"/>
  <c r="AX88" i="6" s="1"/>
  <c r="AV286" i="11"/>
  <c r="AV287" i="11" s="1"/>
  <c r="AV110" i="5"/>
  <c r="AV49" i="19"/>
  <c r="AW99" i="6"/>
  <c r="AW95" i="6"/>
  <c r="AW96" i="6" s="1"/>
  <c r="AX93" i="6" s="1"/>
  <c r="AV67" i="5" l="1"/>
  <c r="AV120" i="5" s="1"/>
  <c r="AV122" i="5" s="1"/>
  <c r="AV124" i="5" s="1"/>
  <c r="AV135" i="5"/>
  <c r="AV131" i="5"/>
  <c r="AV133" i="5" s="1"/>
  <c r="AV132" i="5"/>
  <c r="AV134" i="5" s="1"/>
  <c r="AU39" i="15"/>
  <c r="AW284" i="11"/>
  <c r="AW100" i="6"/>
  <c r="AW101" i="6" s="1"/>
  <c r="AX98" i="6" s="1"/>
  <c r="AV64" i="19"/>
  <c r="AV46" i="19"/>
  <c r="AV52" i="19"/>
  <c r="AV51" i="19"/>
  <c r="Q34" i="18" l="1"/>
  <c r="AU38" i="15"/>
  <c r="AU34" i="15" s="1"/>
  <c r="AU40" i="15" s="1"/>
  <c r="AX44" i="6"/>
  <c r="AU16" i="15"/>
  <c r="AW121" i="5"/>
  <c r="AV66" i="19"/>
  <c r="AV67" i="19"/>
  <c r="Q11" i="18" l="1"/>
  <c r="AU15" i="15"/>
  <c r="AU14" i="15" s="1"/>
  <c r="AU41" i="15" s="1"/>
  <c r="AW20" i="5"/>
  <c r="AX43" i="6"/>
  <c r="AX42" i="6" s="1"/>
  <c r="AX55" i="6" s="1"/>
  <c r="AX57" i="6" s="1"/>
  <c r="Q33" i="18"/>
  <c r="Q29" i="18" s="1"/>
  <c r="Q35" i="18" s="1"/>
  <c r="G227" i="32"/>
  <c r="G228" i="32" s="1"/>
  <c r="G229" i="32" s="1"/>
  <c r="AU42" i="15" l="1"/>
  <c r="AW285" i="11"/>
  <c r="AX62" i="6"/>
  <c r="AW15" i="5"/>
  <c r="AW14" i="5" s="1"/>
  <c r="AX66" i="6" s="1"/>
  <c r="AX75" i="6" s="1"/>
  <c r="G210" i="32"/>
  <c r="G217" i="32" s="1"/>
  <c r="G230" i="32" s="1"/>
  <c r="Q10" i="18"/>
  <c r="Q9" i="18" s="1"/>
  <c r="Q36" i="18" s="1"/>
  <c r="AX69" i="6" l="1"/>
  <c r="AX64" i="6"/>
  <c r="AX80" i="6"/>
  <c r="AW98" i="5"/>
  <c r="AW17" i="19"/>
  <c r="AX76" i="6"/>
  <c r="AY73" i="6" s="1"/>
  <c r="AW103" i="5" l="1"/>
  <c r="AX81" i="6"/>
  <c r="AY78" i="6" s="1"/>
  <c r="AW20" i="19"/>
  <c r="AW14" i="19"/>
  <c r="AW19" i="19"/>
  <c r="AW95" i="5"/>
  <c r="AX70" i="6"/>
  <c r="AW126" i="5" l="1"/>
  <c r="AW125" i="5"/>
  <c r="AX71" i="6"/>
  <c r="AY68" i="6" s="1"/>
  <c r="AX89" i="6"/>
  <c r="AW100" i="5"/>
  <c r="AX94" i="6" l="1"/>
  <c r="AX95" i="6" s="1"/>
  <c r="AX96" i="6" s="1"/>
  <c r="AY93" i="6" s="1"/>
  <c r="AX90" i="6"/>
  <c r="AW128" i="5"/>
  <c r="AW127" i="5"/>
  <c r="AX99" i="6" l="1"/>
  <c r="AX100" i="6" s="1"/>
  <c r="AW113" i="5"/>
  <c r="AX91" i="6"/>
  <c r="AY88" i="6" s="1"/>
  <c r="AW64" i="19" l="1"/>
  <c r="AW67" i="19" s="1"/>
  <c r="AX101" i="6"/>
  <c r="AY98" i="6" s="1"/>
  <c r="AW110" i="5"/>
  <c r="AW49" i="19"/>
  <c r="AW286" i="11"/>
  <c r="AW287" i="11" s="1"/>
  <c r="AW66" i="19" l="1"/>
  <c r="AV39" i="15"/>
  <c r="AV38" i="15" s="1"/>
  <c r="AV34" i="15" s="1"/>
  <c r="AV40" i="15" s="1"/>
  <c r="AX284" i="11"/>
  <c r="AW52" i="19"/>
  <c r="AW51" i="19"/>
  <c r="AW46" i="19"/>
  <c r="AW135" i="5"/>
  <c r="AW132" i="5"/>
  <c r="AW134" i="5" s="1"/>
  <c r="AW131" i="5"/>
  <c r="AW133" i="5" s="1"/>
  <c r="AW67" i="5"/>
  <c r="AW120" i="5" s="1"/>
  <c r="AW122" i="5" s="1"/>
  <c r="AW124" i="5" s="1"/>
  <c r="AV16" i="15" l="1"/>
  <c r="AV15" i="15" s="1"/>
  <c r="AV14" i="15" s="1"/>
  <c r="AV41" i="15" s="1"/>
  <c r="AX121" i="5"/>
  <c r="AY44" i="6"/>
  <c r="AV42" i="15" l="1"/>
  <c r="AX20" i="5"/>
  <c r="AY43" i="6"/>
  <c r="AY42" i="6" s="1"/>
  <c r="AY55" i="6" s="1"/>
  <c r="AY57" i="6" s="1"/>
  <c r="AX285" i="11" l="1"/>
  <c r="AY62" i="6"/>
  <c r="AX15" i="5"/>
  <c r="AX14" i="5" s="1"/>
  <c r="AY66" i="6" s="1"/>
  <c r="AY75" i="6" l="1"/>
  <c r="AY80" i="6" s="1"/>
  <c r="AY69" i="6"/>
  <c r="AY64" i="6"/>
  <c r="AY70" i="6" l="1"/>
  <c r="AY89" i="6" s="1"/>
  <c r="AX103" i="5"/>
  <c r="AY81" i="6"/>
  <c r="AZ78" i="6" s="1"/>
  <c r="AX17" i="19"/>
  <c r="AX98" i="5"/>
  <c r="AY76" i="6"/>
  <c r="AZ73" i="6" s="1"/>
  <c r="AY94" i="6" l="1"/>
  <c r="AY90" i="6"/>
  <c r="AX95" i="5"/>
  <c r="AX14" i="19"/>
  <c r="AX19" i="19"/>
  <c r="AX20" i="19"/>
  <c r="AX100" i="5"/>
  <c r="AY71" i="6"/>
  <c r="AZ68" i="6" s="1"/>
  <c r="AY91" i="6" l="1"/>
  <c r="AZ88" i="6" s="1"/>
  <c r="AX113" i="5"/>
  <c r="AX125" i="5"/>
  <c r="AX126" i="5"/>
  <c r="AX128" i="5"/>
  <c r="AX127" i="5"/>
  <c r="AY99" i="6"/>
  <c r="AY95" i="6"/>
  <c r="AY96" i="6" s="1"/>
  <c r="AZ93" i="6" s="1"/>
  <c r="AY100" i="6" l="1"/>
  <c r="AX64" i="19"/>
  <c r="AX110" i="5"/>
  <c r="AX49" i="19"/>
  <c r="AX286" i="11"/>
  <c r="AX287" i="11" s="1"/>
  <c r="AX67" i="19" l="1"/>
  <c r="AX66" i="19"/>
  <c r="AX135" i="5"/>
  <c r="AX132" i="5"/>
  <c r="AX134" i="5" s="1"/>
  <c r="AX131" i="5"/>
  <c r="AX133" i="5" s="1"/>
  <c r="AX67" i="5"/>
  <c r="AX120" i="5" s="1"/>
  <c r="AX122" i="5" s="1"/>
  <c r="AX124" i="5" s="1"/>
  <c r="AY101" i="6"/>
  <c r="AZ98" i="6" s="1"/>
  <c r="AW39" i="15"/>
  <c r="AW38" i="15" s="1"/>
  <c r="AW34" i="15" s="1"/>
  <c r="AW40" i="15" s="1"/>
  <c r="AY284" i="11"/>
  <c r="AX52" i="19"/>
  <c r="AX51" i="19"/>
  <c r="AX46" i="19"/>
  <c r="AY121" i="5" l="1"/>
  <c r="AZ44" i="6"/>
  <c r="AW16" i="15"/>
  <c r="AW15" i="15" s="1"/>
  <c r="AW14" i="15" s="1"/>
  <c r="AW41" i="15" s="1"/>
  <c r="AW42" i="15" l="1"/>
  <c r="AY20" i="5"/>
  <c r="AZ43" i="6"/>
  <c r="AZ42" i="6" s="1"/>
  <c r="AZ55" i="6" s="1"/>
  <c r="AZ57" i="6" s="1"/>
  <c r="R36" i="30"/>
  <c r="U49" i="35"/>
  <c r="R34" i="30"/>
  <c r="R48" i="30"/>
  <c r="U48" i="35"/>
  <c r="U35" i="35"/>
  <c r="U37" i="35"/>
  <c r="R47" i="30"/>
  <c r="AY285" i="11" l="1"/>
  <c r="AZ62" i="6"/>
  <c r="AY15" i="5"/>
  <c r="AY14" i="5" s="1"/>
  <c r="AZ66" i="6" s="1"/>
  <c r="AZ75" i="6" s="1"/>
  <c r="AZ80" i="6" l="1"/>
  <c r="AY98" i="5"/>
  <c r="AY17" i="19"/>
  <c r="AZ76" i="6"/>
  <c r="BA73" i="6" s="1"/>
  <c r="AZ64" i="6"/>
  <c r="AZ69" i="6"/>
  <c r="AZ70" i="6" l="1"/>
  <c r="AY14" i="19"/>
  <c r="AY19" i="19"/>
  <c r="AY20" i="19"/>
  <c r="AY95" i="5"/>
  <c r="AY103" i="5"/>
  <c r="AZ81" i="6"/>
  <c r="BA78" i="6" s="1"/>
  <c r="AZ89" i="6" l="1"/>
  <c r="AY125" i="5"/>
  <c r="AY126" i="5"/>
  <c r="AY100" i="5"/>
  <c r="AZ71" i="6"/>
  <c r="BA68" i="6" s="1"/>
  <c r="AY127" i="5" l="1"/>
  <c r="AY128" i="5"/>
  <c r="AZ94" i="6"/>
  <c r="AZ90" i="6"/>
  <c r="AZ99" i="6" l="1"/>
  <c r="AZ95" i="6"/>
  <c r="AZ96" i="6" s="1"/>
  <c r="BA93" i="6" s="1"/>
  <c r="AZ91" i="6"/>
  <c r="BA88" i="6" s="1"/>
  <c r="AY113" i="5"/>
  <c r="AZ100" i="6" l="1"/>
  <c r="AY64" i="19"/>
  <c r="AY110" i="5"/>
  <c r="AY49" i="19"/>
  <c r="AY286" i="11"/>
  <c r="AY287" i="11" s="1"/>
  <c r="AX39" i="15" l="1"/>
  <c r="AX38" i="15" s="1"/>
  <c r="AX34" i="15" s="1"/>
  <c r="AX40" i="15" s="1"/>
  <c r="AZ284" i="11"/>
  <c r="AY46" i="19"/>
  <c r="AY51" i="19"/>
  <c r="AY52" i="19"/>
  <c r="AY132" i="5"/>
  <c r="AY134" i="5" s="1"/>
  <c r="AY131" i="5"/>
  <c r="AY133" i="5" s="1"/>
  <c r="AY135" i="5"/>
  <c r="AY67" i="5"/>
  <c r="AY120" i="5" s="1"/>
  <c r="AY122" i="5" s="1"/>
  <c r="AY124" i="5" s="1"/>
  <c r="AY66" i="19"/>
  <c r="AY67" i="19"/>
  <c r="AZ101" i="6"/>
  <c r="BA98" i="6" s="1"/>
  <c r="AX16" i="15" l="1"/>
  <c r="AX15" i="15" s="1"/>
  <c r="AX14" i="15" s="1"/>
  <c r="AX41" i="15" s="1"/>
  <c r="AZ121" i="5"/>
  <c r="BA44" i="6"/>
  <c r="AX42" i="15" l="1"/>
  <c r="AZ20" i="5"/>
  <c r="BA43" i="6"/>
  <c r="BA42" i="6" s="1"/>
  <c r="BA55" i="6" s="1"/>
  <c r="BA57" i="6" s="1"/>
  <c r="AZ285" i="11" l="1"/>
  <c r="BA62" i="6"/>
  <c r="AZ15" i="5"/>
  <c r="AZ14" i="5" s="1"/>
  <c r="BA66" i="6" s="1"/>
  <c r="BA75" i="6" s="1"/>
  <c r="BA80" i="6" l="1"/>
  <c r="AZ17" i="19"/>
  <c r="AZ98" i="5"/>
  <c r="BA76" i="6"/>
  <c r="BB73" i="6" s="1"/>
  <c r="BA69" i="6"/>
  <c r="BA64" i="6"/>
  <c r="AZ95" i="5" l="1"/>
  <c r="BA70" i="6"/>
  <c r="AZ20" i="19"/>
  <c r="AZ19" i="19"/>
  <c r="AZ14" i="19"/>
  <c r="AZ103" i="5"/>
  <c r="BA81" i="6"/>
  <c r="BB78" i="6" s="1"/>
  <c r="AZ100" i="5" l="1"/>
  <c r="BA71" i="6"/>
  <c r="BB68" i="6" s="1"/>
  <c r="BA89" i="6"/>
  <c r="AZ125" i="5"/>
  <c r="AZ126" i="5"/>
  <c r="BA94" i="6" l="1"/>
  <c r="BA95" i="6" s="1"/>
  <c r="BA96" i="6" s="1"/>
  <c r="BB93" i="6" s="1"/>
  <c r="BA90" i="6"/>
  <c r="BA91" i="6" s="1"/>
  <c r="BB88" i="6" s="1"/>
  <c r="AZ127" i="5"/>
  <c r="AZ128" i="5"/>
  <c r="AZ113" i="5" l="1"/>
  <c r="BA99" i="6"/>
  <c r="AZ110" i="5" l="1"/>
  <c r="AZ49" i="19"/>
  <c r="AZ286" i="11"/>
  <c r="AZ287" i="11" s="1"/>
  <c r="BA100" i="6"/>
  <c r="AZ64" i="19"/>
  <c r="AZ67" i="19" l="1"/>
  <c r="AZ66" i="19"/>
  <c r="BA101" i="6"/>
  <c r="BB98" i="6" s="1"/>
  <c r="AY39" i="15"/>
  <c r="AY38" i="15" s="1"/>
  <c r="AY34" i="15" s="1"/>
  <c r="AY40" i="15" s="1"/>
  <c r="BA284" i="11"/>
  <c r="AZ52" i="19"/>
  <c r="AZ46" i="19"/>
  <c r="AZ51" i="19"/>
  <c r="AZ132" i="5"/>
  <c r="AZ134" i="5" s="1"/>
  <c r="AZ131" i="5"/>
  <c r="AZ133" i="5" s="1"/>
  <c r="AZ135" i="5"/>
  <c r="AZ67" i="5"/>
  <c r="AZ120" i="5" s="1"/>
  <c r="AZ122" i="5" s="1"/>
  <c r="AZ124" i="5" s="1"/>
  <c r="AY16" i="15" l="1"/>
  <c r="AY15" i="15" s="1"/>
  <c r="AY14" i="15" s="1"/>
  <c r="AY41" i="15" s="1"/>
  <c r="BA121" i="5"/>
  <c r="BB44" i="6"/>
  <c r="AY42" i="15" l="1"/>
  <c r="BA20" i="5"/>
  <c r="BB43" i="6"/>
  <c r="BB42" i="6" s="1"/>
  <c r="BB55" i="6" s="1"/>
  <c r="BB57" i="6" s="1"/>
  <c r="BA285" i="11" l="1"/>
  <c r="BB62" i="6"/>
  <c r="BA15" i="5"/>
  <c r="BA14" i="5" s="1"/>
  <c r="BB66" i="6" s="1"/>
  <c r="BB75" i="6" s="1"/>
  <c r="BB80" i="6" l="1"/>
  <c r="BA17" i="19"/>
  <c r="BA98" i="5"/>
  <c r="BB76" i="6"/>
  <c r="BC73" i="6" s="1"/>
  <c r="BB69" i="6"/>
  <c r="BB64" i="6"/>
  <c r="BA95" i="5" l="1"/>
  <c r="BB70" i="6"/>
  <c r="BA14" i="19"/>
  <c r="BA19" i="19"/>
  <c r="BA20" i="19"/>
  <c r="BA103" i="5"/>
  <c r="BB81" i="6"/>
  <c r="BC78" i="6" s="1"/>
  <c r="BA100" i="5" l="1"/>
  <c r="BB71" i="6"/>
  <c r="BC68" i="6" s="1"/>
  <c r="BB89" i="6"/>
  <c r="BA126" i="5"/>
  <c r="BA125" i="5"/>
  <c r="BB94" i="6" l="1"/>
  <c r="BB90" i="6"/>
  <c r="BB91" i="6" s="1"/>
  <c r="BC88" i="6" s="1"/>
  <c r="BA127" i="5"/>
  <c r="BA128" i="5"/>
  <c r="BA113" i="5" l="1"/>
  <c r="BB99" i="6"/>
  <c r="BB95" i="6"/>
  <c r="BB96" i="6" s="1"/>
  <c r="BC93" i="6" s="1"/>
  <c r="BA64" i="19" l="1"/>
  <c r="BB100" i="6"/>
  <c r="BA110" i="5"/>
  <c r="BA49" i="19"/>
  <c r="BA286" i="11"/>
  <c r="BA287" i="11" s="1"/>
  <c r="BA46" i="19" l="1"/>
  <c r="BA51" i="19"/>
  <c r="BA52" i="19"/>
  <c r="BA135" i="5"/>
  <c r="BA67" i="5"/>
  <c r="BA120" i="5" s="1"/>
  <c r="BA122" i="5" s="1"/>
  <c r="BA124" i="5" s="1"/>
  <c r="BA131" i="5"/>
  <c r="BA133" i="5" s="1"/>
  <c r="BA132" i="5"/>
  <c r="BA134" i="5" s="1"/>
  <c r="BB101" i="6"/>
  <c r="BC98" i="6" s="1"/>
  <c r="AZ39" i="15"/>
  <c r="AZ38" i="15" s="1"/>
  <c r="AZ34" i="15" s="1"/>
  <c r="AZ40" i="15" s="1"/>
  <c r="BB284" i="11"/>
  <c r="BA66" i="19"/>
  <c r="BA67" i="19"/>
  <c r="AZ16" i="15" l="1"/>
  <c r="AZ15" i="15" s="1"/>
  <c r="AZ14" i="15" s="1"/>
  <c r="AZ41" i="15" s="1"/>
  <c r="BB121" i="5"/>
  <c r="BC44" i="6"/>
  <c r="AZ42" i="15" l="1"/>
  <c r="BB20" i="5"/>
  <c r="BB15" i="5" s="1"/>
  <c r="BB14" i="5" s="1"/>
  <c r="BC66" i="6" s="1"/>
  <c r="BC43" i="6"/>
  <c r="BC42" i="6" s="1"/>
  <c r="BC55" i="6" s="1"/>
  <c r="BC57" i="6" s="1"/>
  <c r="S34" i="30"/>
  <c r="V48" i="35"/>
  <c r="S47" i="30"/>
  <c r="V35" i="35"/>
  <c r="S36" i="30"/>
  <c r="V49" i="35"/>
  <c r="V37" i="35"/>
  <c r="S48" i="30"/>
  <c r="BC75" i="6" l="1"/>
  <c r="BC80" i="6" s="1"/>
  <c r="BB285" i="11"/>
  <c r="BC62" i="6"/>
  <c r="BB103" i="5" l="1"/>
  <c r="BB100" i="5" s="1"/>
  <c r="BC81" i="6"/>
  <c r="BD78" i="6" s="1"/>
  <c r="BC69" i="6"/>
  <c r="BC64" i="6"/>
  <c r="BB98" i="5"/>
  <c r="BB95" i="5" s="1"/>
  <c r="BB17" i="19"/>
  <c r="BC76" i="6"/>
  <c r="BD73" i="6" s="1"/>
  <c r="BC70" i="6" l="1"/>
  <c r="BC71" i="6" s="1"/>
  <c r="BD68" i="6" s="1"/>
  <c r="BB19" i="19"/>
  <c r="BB20" i="19"/>
  <c r="BB14" i="19"/>
  <c r="BB125" i="5"/>
  <c r="BB126" i="5"/>
  <c r="BB127" i="5"/>
  <c r="BB128" i="5"/>
  <c r="T78" i="16" l="1"/>
  <c r="T81" i="16" s="1"/>
  <c r="T82" i="16" s="1"/>
  <c r="BC89" i="6"/>
  <c r="T85" i="16"/>
  <c r="BC94" i="6" l="1"/>
  <c r="BC90" i="6"/>
  <c r="BB113" i="5" s="1"/>
  <c r="BC91" i="6" l="1"/>
  <c r="BD88" i="6" s="1"/>
  <c r="BB286" i="11"/>
  <c r="BB287" i="11" s="1"/>
  <c r="BB110" i="5"/>
  <c r="BB49" i="19"/>
  <c r="BC99" i="6"/>
  <c r="BC95" i="6"/>
  <c r="BC96" i="6" s="1"/>
  <c r="BD93" i="6" s="1"/>
  <c r="BB131" i="5" l="1"/>
  <c r="BB133" i="5" s="1"/>
  <c r="BB135" i="5"/>
  <c r="BB67" i="5"/>
  <c r="BB120" i="5" s="1"/>
  <c r="BB122" i="5" s="1"/>
  <c r="BB124" i="5" s="1"/>
  <c r="BB132" i="5"/>
  <c r="BB134" i="5" s="1"/>
  <c r="BA39" i="15"/>
  <c r="BC284" i="11"/>
  <c r="BC100" i="6"/>
  <c r="BC101" i="6" s="1"/>
  <c r="BD98" i="6" s="1"/>
  <c r="BB64" i="19"/>
  <c r="BB52" i="19"/>
  <c r="BB51" i="19"/>
  <c r="BB46" i="19"/>
  <c r="BA16" i="15" l="1"/>
  <c r="BC121" i="5"/>
  <c r="BD44" i="6"/>
  <c r="BA38" i="15"/>
  <c r="BA34" i="15" s="1"/>
  <c r="BA40" i="15" s="1"/>
  <c r="R34" i="18"/>
  <c r="R33" i="18" s="1"/>
  <c r="R29" i="18" s="1"/>
  <c r="R35" i="18" s="1"/>
  <c r="BB66" i="19"/>
  <c r="BB67" i="19"/>
  <c r="BC20" i="5" l="1"/>
  <c r="BD43" i="6"/>
  <c r="BD42" i="6" s="1"/>
  <c r="BD55" i="6" s="1"/>
  <c r="BD57" i="6" s="1"/>
  <c r="R11" i="18"/>
  <c r="R10" i="18" s="1"/>
  <c r="R9" i="18" s="1"/>
  <c r="R36" i="18" s="1"/>
  <c r="BA15" i="15"/>
  <c r="BA14" i="15" s="1"/>
  <c r="BA41" i="15" s="1"/>
  <c r="BC285" i="11" l="1"/>
  <c r="BD62" i="6"/>
  <c r="BC15" i="5"/>
  <c r="BC14" i="5" s="1"/>
  <c r="BD66" i="6" s="1"/>
  <c r="BA42" i="15"/>
  <c r="BD75" i="6" l="1"/>
  <c r="BD80" i="6" s="1"/>
  <c r="BD64" i="6"/>
  <c r="BD69" i="6"/>
  <c r="BC103" i="5" l="1"/>
  <c r="BD81" i="6"/>
  <c r="BE78" i="6" s="1"/>
  <c r="BD70" i="6"/>
  <c r="BC98" i="5"/>
  <c r="BC17" i="19"/>
  <c r="BD76" i="6"/>
  <c r="BE73" i="6" s="1"/>
  <c r="BC95" i="5" l="1"/>
  <c r="BC20" i="19"/>
  <c r="BC14" i="19"/>
  <c r="BC19" i="19"/>
  <c r="BD71" i="6"/>
  <c r="BE68" i="6" s="1"/>
  <c r="BD89" i="6"/>
  <c r="BC100" i="5"/>
  <c r="BD94" i="6" l="1"/>
  <c r="BD90" i="6"/>
  <c r="BD91" i="6" s="1"/>
  <c r="BE88" i="6" s="1"/>
  <c r="BC127" i="5"/>
  <c r="BC128" i="5"/>
  <c r="BC126" i="5"/>
  <c r="BC125" i="5"/>
  <c r="BD99" i="6" l="1"/>
  <c r="BD95" i="6"/>
  <c r="BD96" i="6" s="1"/>
  <c r="BE93" i="6" s="1"/>
  <c r="BC113" i="5"/>
  <c r="BC110" i="5" l="1"/>
  <c r="BC49" i="19"/>
  <c r="BC286" i="11"/>
  <c r="BC287" i="11" s="1"/>
  <c r="BD100" i="6"/>
  <c r="BC64" i="19"/>
  <c r="BC67" i="19" l="1"/>
  <c r="BC66" i="19"/>
  <c r="BD101" i="6"/>
  <c r="BE98" i="6" s="1"/>
  <c r="BC46" i="19"/>
  <c r="BC51" i="19"/>
  <c r="BC52" i="19"/>
  <c r="BB39" i="15"/>
  <c r="BB38" i="15" s="1"/>
  <c r="BB34" i="15" s="1"/>
  <c r="BB40" i="15" s="1"/>
  <c r="BD284" i="11"/>
  <c r="BC132" i="5"/>
  <c r="BC134" i="5" s="1"/>
  <c r="BC131" i="5"/>
  <c r="BC133" i="5" s="1"/>
  <c r="BC135" i="5"/>
  <c r="BC67" i="5"/>
  <c r="BC120" i="5" s="1"/>
  <c r="BC122" i="5" s="1"/>
  <c r="BC124" i="5" s="1"/>
  <c r="BB16" i="15" l="1"/>
  <c r="BB15" i="15" s="1"/>
  <c r="BB14" i="15" s="1"/>
  <c r="BB41" i="15" s="1"/>
  <c r="BD121" i="5"/>
  <c r="BE44" i="6"/>
  <c r="BB42" i="15" l="1"/>
  <c r="BD20" i="5"/>
  <c r="BE43" i="6"/>
  <c r="BE42" i="6" s="1"/>
  <c r="BE55" i="6" s="1"/>
  <c r="BE57" i="6" s="1"/>
  <c r="BD285" i="11" l="1"/>
  <c r="BE62" i="6"/>
  <c r="BD15" i="5"/>
  <c r="BD14" i="5" s="1"/>
  <c r="BE66" i="6" s="1"/>
  <c r="BE75" i="6" s="1"/>
  <c r="BE80" i="6" l="1"/>
  <c r="BD98" i="5"/>
  <c r="BD17" i="19"/>
  <c r="BE76" i="6"/>
  <c r="BF73" i="6" s="1"/>
  <c r="BE64" i="6"/>
  <c r="BE69" i="6"/>
  <c r="BD14" i="19" l="1"/>
  <c r="BD20" i="19"/>
  <c r="BD19" i="19"/>
  <c r="BE70" i="6"/>
  <c r="BE71" i="6" s="1"/>
  <c r="BF68" i="6" s="1"/>
  <c r="BD95" i="5"/>
  <c r="BD103" i="5"/>
  <c r="BE81" i="6"/>
  <c r="BF78" i="6" s="1"/>
  <c r="BD125" i="5" l="1"/>
  <c r="BD126" i="5"/>
  <c r="BD100" i="5"/>
  <c r="BE89" i="6"/>
  <c r="BE94" i="6" l="1"/>
  <c r="BE95" i="6" s="1"/>
  <c r="BE96" i="6" s="1"/>
  <c r="BF93" i="6" s="1"/>
  <c r="BE90" i="6"/>
  <c r="BD128" i="5"/>
  <c r="BD127" i="5"/>
  <c r="BE99" i="6" l="1"/>
  <c r="BE100" i="6" s="1"/>
  <c r="BD113" i="5"/>
  <c r="BE91" i="6"/>
  <c r="BF88" i="6" s="1"/>
  <c r="BD64" i="19" l="1"/>
  <c r="BD67" i="19" s="1"/>
  <c r="BD110" i="5"/>
  <c r="BD49" i="19"/>
  <c r="BD286" i="11"/>
  <c r="BD287" i="11" s="1"/>
  <c r="BE101" i="6"/>
  <c r="BF98" i="6" s="1"/>
  <c r="BD66" i="19" l="1"/>
  <c r="BD46" i="19"/>
  <c r="BD52" i="19"/>
  <c r="BD51" i="19"/>
  <c r="BE284" i="11"/>
  <c r="BC39" i="15"/>
  <c r="BC38" i="15" s="1"/>
  <c r="BC34" i="15" s="1"/>
  <c r="BC40" i="15" s="1"/>
  <c r="BD67" i="5"/>
  <c r="BD120" i="5" s="1"/>
  <c r="BD122" i="5" s="1"/>
  <c r="BD124" i="5" s="1"/>
  <c r="BD131" i="5"/>
  <c r="BD133" i="5" s="1"/>
  <c r="BD135" i="5"/>
  <c r="BD132" i="5"/>
  <c r="BD134" i="5" s="1"/>
  <c r="BC16" i="15" l="1"/>
  <c r="BC15" i="15" s="1"/>
  <c r="BC14" i="15" s="1"/>
  <c r="BC41" i="15" s="1"/>
  <c r="BE121" i="5"/>
  <c r="BF44" i="6"/>
  <c r="BE20" i="5" l="1"/>
  <c r="BF43" i="6"/>
  <c r="BF42" i="6" s="1"/>
  <c r="BF55" i="6" s="1"/>
  <c r="BF57" i="6" s="1"/>
  <c r="T36" i="30"/>
  <c r="W49" i="35"/>
  <c r="T48" i="30"/>
  <c r="W37" i="35"/>
  <c r="T34" i="30"/>
  <c r="W35" i="35"/>
  <c r="T47" i="30"/>
  <c r="W48" i="35"/>
  <c r="BC42" i="15"/>
  <c r="BE285" i="11" l="1"/>
  <c r="BF62" i="6"/>
  <c r="BE15" i="5"/>
  <c r="BE14" i="5" s="1"/>
  <c r="BF66" i="6" s="1"/>
  <c r="BF75" i="6" s="1"/>
  <c r="BF80" i="6" l="1"/>
  <c r="BE98" i="5"/>
  <c r="BE17" i="19"/>
  <c r="BF76" i="6"/>
  <c r="BG73" i="6" s="1"/>
  <c r="BF64" i="6"/>
  <c r="BF69" i="6"/>
  <c r="BF70" i="6" l="1"/>
  <c r="BE19" i="19"/>
  <c r="BE20" i="19"/>
  <c r="BE14" i="19"/>
  <c r="BE95" i="5"/>
  <c r="BE103" i="5"/>
  <c r="BF81" i="6"/>
  <c r="BG78" i="6" s="1"/>
  <c r="BE100" i="5" l="1"/>
  <c r="BF71" i="6"/>
  <c r="BG68" i="6" s="1"/>
  <c r="BF89" i="6"/>
  <c r="BE125" i="5"/>
  <c r="BE126" i="5"/>
  <c r="BF94" i="6" l="1"/>
  <c r="BF90" i="6"/>
  <c r="BE127" i="5"/>
  <c r="BE128" i="5"/>
  <c r="BF91" i="6" l="1"/>
  <c r="BG88" i="6" s="1"/>
  <c r="BE113" i="5"/>
  <c r="BF99" i="6"/>
  <c r="BF95" i="6"/>
  <c r="BF96" i="6" s="1"/>
  <c r="BG93" i="6" s="1"/>
  <c r="BF100" i="6" l="1"/>
  <c r="BE64" i="19"/>
  <c r="BE110" i="5"/>
  <c r="BE49" i="19"/>
  <c r="BE286" i="11"/>
  <c r="BE287" i="11" s="1"/>
  <c r="BE51" i="19" l="1"/>
  <c r="BE46" i="19"/>
  <c r="BE52" i="19"/>
  <c r="BD39" i="15"/>
  <c r="BD38" i="15" s="1"/>
  <c r="BD34" i="15" s="1"/>
  <c r="BD40" i="15" s="1"/>
  <c r="BF284" i="11"/>
  <c r="BE132" i="5"/>
  <c r="BE134" i="5" s="1"/>
  <c r="BE131" i="5"/>
  <c r="BE133" i="5" s="1"/>
  <c r="BE135" i="5"/>
  <c r="BE67" i="5"/>
  <c r="BE120" i="5" s="1"/>
  <c r="BE122" i="5" s="1"/>
  <c r="BE124" i="5" s="1"/>
  <c r="BE66" i="19"/>
  <c r="BE67" i="19"/>
  <c r="BF101" i="6"/>
  <c r="BG98" i="6" s="1"/>
  <c r="BD16" i="15" l="1"/>
  <c r="BD15" i="15" s="1"/>
  <c r="BD14" i="15" s="1"/>
  <c r="BD41" i="15" s="1"/>
  <c r="BF121" i="5"/>
  <c r="BG44" i="6"/>
  <c r="BD42" i="15" l="1"/>
  <c r="BF20" i="5"/>
  <c r="BG43" i="6"/>
  <c r="BG42" i="6" s="1"/>
  <c r="BG55" i="6" s="1"/>
  <c r="BG57" i="6" s="1"/>
  <c r="BF285" i="11" l="1"/>
  <c r="BG62" i="6"/>
  <c r="BF15" i="5"/>
  <c r="BF14" i="5" s="1"/>
  <c r="BG66" i="6" s="1"/>
  <c r="BG75" i="6" s="1"/>
  <c r="BG80" i="6" l="1"/>
  <c r="BF98" i="5"/>
  <c r="BF17" i="19"/>
  <c r="BG76" i="6"/>
  <c r="BH73" i="6" s="1"/>
  <c r="BG64" i="6"/>
  <c r="BG69" i="6"/>
  <c r="BF14" i="19" l="1"/>
  <c r="BF19" i="19"/>
  <c r="BF20" i="19"/>
  <c r="BF95" i="5"/>
  <c r="BG70" i="6"/>
  <c r="BF103" i="5"/>
  <c r="BG81" i="6"/>
  <c r="BH78" i="6" s="1"/>
  <c r="BF126" i="5" l="1"/>
  <c r="BF125" i="5"/>
  <c r="BF100" i="5"/>
  <c r="BG71" i="6"/>
  <c r="BH68" i="6" s="1"/>
  <c r="BG89" i="6"/>
  <c r="BG94" i="6" l="1"/>
  <c r="BG95" i="6" s="1"/>
  <c r="BG96" i="6" s="1"/>
  <c r="BH93" i="6" s="1"/>
  <c r="BG90" i="6"/>
  <c r="BF127" i="5"/>
  <c r="BF128" i="5"/>
  <c r="BF113" i="5" l="1"/>
  <c r="BG91" i="6"/>
  <c r="BH88" i="6" s="1"/>
  <c r="BG99" i="6"/>
  <c r="BF110" i="5" l="1"/>
  <c r="BF49" i="19"/>
  <c r="BF286" i="11"/>
  <c r="BF287" i="11" s="1"/>
  <c r="BF64" i="19"/>
  <c r="BG100" i="6"/>
  <c r="BG101" i="6" l="1"/>
  <c r="BH98" i="6" s="1"/>
  <c r="BF67" i="19"/>
  <c r="BF66" i="19"/>
  <c r="BF51" i="19"/>
  <c r="BF46" i="19"/>
  <c r="BF52" i="19"/>
  <c r="BE39" i="15"/>
  <c r="BE38" i="15" s="1"/>
  <c r="BE34" i="15" s="1"/>
  <c r="BE40" i="15" s="1"/>
  <c r="BG284" i="11"/>
  <c r="BF135" i="5"/>
  <c r="BF67" i="5"/>
  <c r="BF120" i="5" s="1"/>
  <c r="BF122" i="5" s="1"/>
  <c r="BF124" i="5" s="1"/>
  <c r="BF132" i="5"/>
  <c r="BF134" i="5" s="1"/>
  <c r="BF131" i="5"/>
  <c r="BF133" i="5" s="1"/>
  <c r="BE16" i="15" l="1"/>
  <c r="BE15" i="15" s="1"/>
  <c r="BE14" i="15" s="1"/>
  <c r="BE41" i="15" s="1"/>
  <c r="BG121" i="5"/>
  <c r="BH44" i="6"/>
  <c r="BE42" i="15" l="1"/>
  <c r="BG20" i="5"/>
  <c r="BH43" i="6"/>
  <c r="BH42" i="6" s="1"/>
  <c r="BH55" i="6" s="1"/>
  <c r="BH57" i="6" s="1"/>
  <c r="BG285" i="11" l="1"/>
  <c r="BH62" i="6"/>
  <c r="BG15" i="5"/>
  <c r="BG14" i="5" s="1"/>
  <c r="BH66" i="6" s="1"/>
  <c r="BH75" i="6" s="1"/>
  <c r="BH80" i="6" l="1"/>
  <c r="BG98" i="5"/>
  <c r="BG17" i="19"/>
  <c r="BH76" i="6"/>
  <c r="BI73" i="6" s="1"/>
  <c r="BH64" i="6"/>
  <c r="BH69" i="6"/>
  <c r="BG20" i="19" l="1"/>
  <c r="BG14" i="19"/>
  <c r="BG19" i="19"/>
  <c r="BG95" i="5"/>
  <c r="BH70" i="6"/>
  <c r="BH71" i="6" s="1"/>
  <c r="BI68" i="6" s="1"/>
  <c r="BG103" i="5"/>
  <c r="BH81" i="6"/>
  <c r="BI78" i="6" s="1"/>
  <c r="BH89" i="6" l="1"/>
  <c r="BG126" i="5"/>
  <c r="BG125" i="5"/>
  <c r="BG100" i="5"/>
  <c r="BH94" i="6" l="1"/>
  <c r="BH95" i="6" s="1"/>
  <c r="BH96" i="6" s="1"/>
  <c r="BI93" i="6" s="1"/>
  <c r="BH90" i="6"/>
  <c r="BG127" i="5"/>
  <c r="BG128" i="5"/>
  <c r="BH99" i="6" l="1"/>
  <c r="BH100" i="6" s="1"/>
  <c r="BH91" i="6"/>
  <c r="BI88" i="6" s="1"/>
  <c r="BG113" i="5"/>
  <c r="BG64" i="19" l="1"/>
  <c r="BG66" i="19" s="1"/>
  <c r="BG110" i="5"/>
  <c r="BG49" i="19"/>
  <c r="BG286" i="11"/>
  <c r="BG287" i="11" s="1"/>
  <c r="BH101" i="6"/>
  <c r="BI98" i="6" s="1"/>
  <c r="BG67" i="19" l="1"/>
  <c r="BG46" i="19"/>
  <c r="BG52" i="19"/>
  <c r="BG51" i="19"/>
  <c r="BF39" i="15"/>
  <c r="BF38" i="15" s="1"/>
  <c r="BF34" i="15" s="1"/>
  <c r="BF40" i="15" s="1"/>
  <c r="BH284" i="11"/>
  <c r="BG132" i="5"/>
  <c r="BG134" i="5" s="1"/>
  <c r="BG135" i="5"/>
  <c r="BG67" i="5"/>
  <c r="BG120" i="5" s="1"/>
  <c r="BG122" i="5" s="1"/>
  <c r="BG124" i="5" s="1"/>
  <c r="BG131" i="5"/>
  <c r="BG133" i="5" s="1"/>
  <c r="BF16" i="15" l="1"/>
  <c r="BF15" i="15" s="1"/>
  <c r="BF14" i="15" s="1"/>
  <c r="BF41" i="15" s="1"/>
  <c r="BH121" i="5"/>
  <c r="BI44" i="6"/>
  <c r="BF42" i="15" l="1"/>
  <c r="U34" i="30"/>
  <c r="E34" i="30" s="1"/>
  <c r="AN54" i="1" s="1"/>
  <c r="X35" i="35"/>
  <c r="H35" i="35" s="1"/>
  <c r="X48" i="35"/>
  <c r="H48" i="35" s="1"/>
  <c r="U36" i="30"/>
  <c r="E36" i="30" s="1"/>
  <c r="AN55" i="1" s="1"/>
  <c r="X49" i="35"/>
  <c r="H49" i="35" s="1"/>
  <c r="U48" i="30"/>
  <c r="E48" i="30" s="1"/>
  <c r="AN57" i="1" s="1"/>
  <c r="X37" i="35"/>
  <c r="H37" i="35" s="1"/>
  <c r="U47" i="30"/>
  <c r="E47" i="30" s="1"/>
  <c r="AN56" i="1" s="1"/>
  <c r="BH20" i="5"/>
  <c r="BH15" i="5" s="1"/>
  <c r="BH14" i="5" s="1"/>
  <c r="BI66" i="6" s="1"/>
  <c r="BI75" i="6" s="1"/>
  <c r="BI43" i="6"/>
  <c r="BI42" i="6" s="1"/>
  <c r="BI55" i="6" s="1"/>
  <c r="BI57" i="6" s="1"/>
  <c r="BH285" i="11" l="1"/>
  <c r="BI62" i="6"/>
  <c r="BI80" i="6"/>
  <c r="BH98" i="5"/>
  <c r="BH17" i="19"/>
  <c r="BI76" i="6"/>
  <c r="BJ73" i="6" s="1"/>
  <c r="BH103" i="5" l="1"/>
  <c r="BH100" i="5" s="1"/>
  <c r="BI81" i="6"/>
  <c r="BJ78" i="6" s="1"/>
  <c r="BH19" i="19"/>
  <c r="BH20" i="19"/>
  <c r="BH14" i="19"/>
  <c r="BH95" i="5"/>
  <c r="BI64" i="6"/>
  <c r="BI69" i="6"/>
  <c r="BI70" i="6" s="1"/>
  <c r="BI71" i="6" l="1"/>
  <c r="BJ68" i="6" s="1"/>
  <c r="U78" i="16"/>
  <c r="U81" i="16" s="1"/>
  <c r="U82" i="16" s="1"/>
  <c r="U85" i="16"/>
  <c r="BI89" i="6"/>
  <c r="BH126" i="5"/>
  <c r="BH125" i="5"/>
  <c r="BH127" i="5"/>
  <c r="BH128" i="5"/>
  <c r="BI94" i="6" l="1"/>
  <c r="BI90" i="6"/>
  <c r="BH113" i="5" s="1"/>
  <c r="BI91" i="6" l="1"/>
  <c r="BJ88" i="6" s="1"/>
  <c r="BI99" i="6"/>
  <c r="BI95" i="6"/>
  <c r="BI96" i="6" s="1"/>
  <c r="BJ93" i="6" s="1"/>
  <c r="BH110" i="5"/>
  <c r="BH49" i="19"/>
  <c r="BH286" i="11"/>
  <c r="BH287" i="11" s="1"/>
  <c r="BI284" i="11" l="1"/>
  <c r="BG39" i="15"/>
  <c r="BH132" i="5"/>
  <c r="BH134" i="5" s="1"/>
  <c r="BH67" i="5"/>
  <c r="BH120" i="5" s="1"/>
  <c r="BH122" i="5" s="1"/>
  <c r="BH124" i="5" s="1"/>
  <c r="BH131" i="5"/>
  <c r="BH133" i="5" s="1"/>
  <c r="BH135" i="5"/>
  <c r="BH46" i="19"/>
  <c r="BH52" i="19"/>
  <c r="BH51" i="19"/>
  <c r="BI100" i="6"/>
  <c r="BI101" i="6" s="1"/>
  <c r="BJ98" i="6" s="1"/>
  <c r="BH64" i="19"/>
  <c r="BH67" i="19" l="1"/>
  <c r="BH66" i="19"/>
  <c r="S34" i="18"/>
  <c r="BG38" i="15"/>
  <c r="BG34" i="15" s="1"/>
  <c r="BG40" i="15" s="1"/>
  <c r="BJ44" i="6"/>
  <c r="BG16" i="15"/>
  <c r="BI121" i="5"/>
  <c r="S33" i="18" l="1"/>
  <c r="S29" i="18" s="1"/>
  <c r="S35" i="18" s="1"/>
  <c r="H227" i="32"/>
  <c r="H228" i="32" s="1"/>
  <c r="H229" i="32" s="1"/>
  <c r="S11" i="18"/>
  <c r="BG15" i="15"/>
  <c r="BG14" i="15" s="1"/>
  <c r="BG41" i="15" s="1"/>
  <c r="BI20" i="5"/>
  <c r="BJ43" i="6"/>
  <c r="BJ42" i="6" s="1"/>
  <c r="BJ55" i="6" s="1"/>
  <c r="BJ57" i="6" s="1"/>
  <c r="BG42" i="15" l="1"/>
  <c r="BJ62" i="6"/>
  <c r="BI285" i="11"/>
  <c r="BI15" i="5"/>
  <c r="BI14" i="5" s="1"/>
  <c r="BJ66" i="6" s="1"/>
  <c r="BJ75" i="6" s="1"/>
  <c r="S10" i="18"/>
  <c r="S9" i="18" s="1"/>
  <c r="S36" i="18" s="1"/>
  <c r="H210" i="32"/>
  <c r="H217" i="32" s="1"/>
  <c r="H230" i="32" s="1"/>
  <c r="BJ80" i="6" l="1"/>
  <c r="BI98" i="5"/>
  <c r="BI17" i="19"/>
  <c r="BJ76" i="6"/>
  <c r="BK73" i="6" s="1"/>
  <c r="BJ69" i="6"/>
  <c r="BJ64" i="6"/>
  <c r="BI95" i="5" l="1"/>
  <c r="BI14" i="19"/>
  <c r="BI19" i="19"/>
  <c r="BI20" i="19"/>
  <c r="BJ70" i="6"/>
  <c r="BJ71" i="6" s="1"/>
  <c r="BK68" i="6" s="1"/>
  <c r="BI103" i="5"/>
  <c r="BJ81" i="6"/>
  <c r="BK78" i="6" s="1"/>
  <c r="BI100" i="5" l="1"/>
  <c r="BJ89" i="6"/>
  <c r="BI125" i="5"/>
  <c r="BI126" i="5"/>
  <c r="BJ94" i="6" l="1"/>
  <c r="BJ90" i="6"/>
  <c r="BI128" i="5"/>
  <c r="BI127" i="5"/>
  <c r="BJ91" i="6" l="1"/>
  <c r="BK88" i="6" s="1"/>
  <c r="BI113" i="5"/>
  <c r="BJ99" i="6"/>
  <c r="BJ95" i="6"/>
  <c r="BJ96" i="6" s="1"/>
  <c r="BK93" i="6" s="1"/>
  <c r="BI110" i="5" l="1"/>
  <c r="BI49" i="19"/>
  <c r="BI286" i="11"/>
  <c r="BI287" i="11" s="1"/>
  <c r="BI64" i="19"/>
  <c r="BJ100" i="6"/>
  <c r="BJ101" i="6" l="1"/>
  <c r="BK98" i="6" s="1"/>
  <c r="BI67" i="19"/>
  <c r="BI66" i="19"/>
  <c r="BH39" i="15"/>
  <c r="BH38" i="15" s="1"/>
  <c r="BH34" i="15" s="1"/>
  <c r="BH40" i="15" s="1"/>
  <c r="BJ284" i="11"/>
  <c r="BI51" i="19"/>
  <c r="BI52" i="19"/>
  <c r="BI46" i="19"/>
  <c r="BI135" i="5"/>
  <c r="BI131" i="5"/>
  <c r="BI133" i="5" s="1"/>
  <c r="BI132" i="5"/>
  <c r="BI134" i="5" s="1"/>
  <c r="BI67" i="5"/>
  <c r="BI120" i="5" s="1"/>
  <c r="BI122" i="5" s="1"/>
  <c r="BI124" i="5" s="1"/>
  <c r="BH16" i="15" l="1"/>
  <c r="BH15" i="15" s="1"/>
  <c r="BH14" i="15" s="1"/>
  <c r="BH41" i="15" s="1"/>
  <c r="BJ121" i="5"/>
  <c r="BK44" i="6"/>
  <c r="BJ20" i="5" l="1"/>
  <c r="BK43" i="6"/>
  <c r="BK42" i="6" s="1"/>
  <c r="BK55" i="6" s="1"/>
  <c r="BK57" i="6" s="1"/>
  <c r="BH42" i="15"/>
  <c r="BJ15" i="5" l="1"/>
  <c r="BJ14" i="5" s="1"/>
  <c r="BK66" i="6" s="1"/>
  <c r="BJ285" i="11"/>
  <c r="BK62" i="6"/>
  <c r="BK69" i="6" l="1"/>
  <c r="BK64" i="6"/>
  <c r="BK75" i="6"/>
  <c r="BJ98" i="5" l="1"/>
  <c r="BJ17" i="19"/>
  <c r="BK76" i="6"/>
  <c r="BL73" i="6" s="1"/>
  <c r="BK80" i="6"/>
  <c r="BK70" i="6"/>
  <c r="BK71" i="6" l="1"/>
  <c r="BL68" i="6" s="1"/>
  <c r="BJ20" i="19"/>
  <c r="BJ14" i="19"/>
  <c r="BJ19" i="19"/>
  <c r="BK89" i="6"/>
  <c r="BJ103" i="5"/>
  <c r="BK81" i="6"/>
  <c r="BL78" i="6" s="1"/>
  <c r="BJ95" i="5"/>
  <c r="BJ125" i="5" l="1"/>
  <c r="BJ126" i="5"/>
  <c r="BK94" i="6"/>
  <c r="BK90" i="6"/>
  <c r="BK91" i="6" s="1"/>
  <c r="BL88" i="6" s="1"/>
  <c r="BJ100" i="5"/>
  <c r="BJ128" i="5" l="1"/>
  <c r="BJ127" i="5"/>
  <c r="BK99" i="6"/>
  <c r="BK95" i="6"/>
  <c r="BK96" i="6" s="1"/>
  <c r="BL93" i="6" s="1"/>
  <c r="BJ113" i="5"/>
  <c r="BK100" i="6" l="1"/>
  <c r="BJ64" i="19"/>
  <c r="BJ286" i="11"/>
  <c r="BJ287" i="11" s="1"/>
  <c r="BJ110" i="5"/>
  <c r="BJ49" i="19"/>
  <c r="BI39" i="15" l="1"/>
  <c r="BI38" i="15" s="1"/>
  <c r="BI34" i="15" s="1"/>
  <c r="BI40" i="15" s="1"/>
  <c r="BK284" i="11"/>
  <c r="BJ67" i="19"/>
  <c r="BJ66" i="19"/>
  <c r="BJ52" i="19"/>
  <c r="BJ51" i="19"/>
  <c r="BJ46" i="19"/>
  <c r="BK101" i="6"/>
  <c r="BL98" i="6" s="1"/>
  <c r="BJ132" i="5"/>
  <c r="BJ134" i="5" s="1"/>
  <c r="BJ67" i="5"/>
  <c r="BJ120" i="5" s="1"/>
  <c r="BJ122" i="5" s="1"/>
  <c r="BJ124" i="5" s="1"/>
  <c r="BJ135" i="5"/>
  <c r="BJ131" i="5"/>
  <c r="BJ133" i="5" s="1"/>
  <c r="BI16" i="15" l="1"/>
  <c r="BI15" i="15" s="1"/>
  <c r="BI14" i="15" s="1"/>
  <c r="BI41" i="15" s="1"/>
  <c r="BK121" i="5"/>
  <c r="BL44" i="6"/>
  <c r="BI42" i="15" l="1"/>
  <c r="BK20" i="5"/>
  <c r="BL43" i="6"/>
  <c r="BL42" i="6" s="1"/>
  <c r="BL55" i="6" s="1"/>
  <c r="BL57" i="6" s="1"/>
  <c r="BK285" i="11" l="1"/>
  <c r="BL62" i="6"/>
  <c r="BK15" i="5"/>
  <c r="BK14" i="5" s="1"/>
  <c r="BL66" i="6" s="1"/>
  <c r="BL75" i="6" s="1"/>
  <c r="BL80" i="6" l="1"/>
  <c r="BK17" i="19"/>
  <c r="BK98" i="5"/>
  <c r="BL76" i="6"/>
  <c r="BM73" i="6" s="1"/>
  <c r="BL69" i="6"/>
  <c r="BL64" i="6"/>
  <c r="BK95" i="5" l="1"/>
  <c r="BL70" i="6"/>
  <c r="BK20" i="19"/>
  <c r="BK14" i="19"/>
  <c r="BK19" i="19"/>
  <c r="BK103" i="5"/>
  <c r="BL81" i="6"/>
  <c r="BM78" i="6" s="1"/>
  <c r="BL71" i="6" l="1"/>
  <c r="BM68" i="6" s="1"/>
  <c r="BL89" i="6"/>
  <c r="BK100" i="5"/>
  <c r="BK126" i="5"/>
  <c r="BK125" i="5"/>
  <c r="BK127" i="5" l="1"/>
  <c r="BK128" i="5"/>
  <c r="BL94" i="6"/>
  <c r="BL90" i="6"/>
  <c r="BL99" i="6" l="1"/>
  <c r="BL95" i="6"/>
  <c r="BL96" i="6" s="1"/>
  <c r="BM93" i="6" s="1"/>
  <c r="BL91" i="6"/>
  <c r="BM88" i="6" s="1"/>
  <c r="BK113" i="5"/>
  <c r="BK110" i="5" l="1"/>
  <c r="BK49" i="19"/>
  <c r="BK286" i="11"/>
  <c r="BK287" i="11" s="1"/>
  <c r="BL100" i="6"/>
  <c r="BK64" i="19"/>
  <c r="BL101" i="6" l="1"/>
  <c r="BM98" i="6" s="1"/>
  <c r="BK67" i="19"/>
  <c r="BK66" i="19"/>
  <c r="BJ39" i="15"/>
  <c r="BJ38" i="15" s="1"/>
  <c r="BJ34" i="15" s="1"/>
  <c r="BJ40" i="15" s="1"/>
  <c r="BL284" i="11"/>
  <c r="BK51" i="19"/>
  <c r="BK52" i="19"/>
  <c r="BK46" i="19"/>
  <c r="BK132" i="5"/>
  <c r="BK134" i="5" s="1"/>
  <c r="BK67" i="5"/>
  <c r="BK120" i="5" s="1"/>
  <c r="BK122" i="5" s="1"/>
  <c r="BK124" i="5" s="1"/>
  <c r="BK135" i="5"/>
  <c r="BK131" i="5"/>
  <c r="BK133" i="5" s="1"/>
  <c r="BJ16" i="15" l="1"/>
  <c r="BJ15" i="15" s="1"/>
  <c r="BJ14" i="15" s="1"/>
  <c r="BJ41" i="15" s="1"/>
  <c r="BL121" i="5"/>
  <c r="BM44" i="6"/>
  <c r="BJ42" i="15" l="1"/>
  <c r="BL20" i="5"/>
  <c r="BM43" i="6"/>
  <c r="BM42" i="6" s="1"/>
  <c r="BM55" i="6" s="1"/>
  <c r="BM57" i="6" s="1"/>
  <c r="BL285" i="11" l="1"/>
  <c r="BM62" i="6"/>
  <c r="BL15" i="5"/>
  <c r="BL14" i="5" s="1"/>
  <c r="BM66" i="6" s="1"/>
  <c r="BM75" i="6" s="1"/>
  <c r="BM80" i="6" l="1"/>
  <c r="BL98" i="5"/>
  <c r="BL17" i="19"/>
  <c r="BM76" i="6"/>
  <c r="BN73" i="6" s="1"/>
  <c r="BM69" i="6"/>
  <c r="BM64" i="6"/>
  <c r="BL19" i="19" l="1"/>
  <c r="BL14" i="19"/>
  <c r="BL20" i="19"/>
  <c r="BM70" i="6"/>
  <c r="BL95" i="5"/>
  <c r="BL103" i="5"/>
  <c r="BM81" i="6"/>
  <c r="BN78" i="6" s="1"/>
  <c r="BM89" i="6" l="1"/>
  <c r="BL100" i="5"/>
  <c r="BL126" i="5"/>
  <c r="BL125" i="5"/>
  <c r="BM71" i="6"/>
  <c r="BN68" i="6" s="1"/>
  <c r="BM94" i="6" l="1"/>
  <c r="BM90" i="6"/>
  <c r="BL127" i="5"/>
  <c r="BL128" i="5"/>
  <c r="BM91" i="6" l="1"/>
  <c r="BN88" i="6" s="1"/>
  <c r="BL113" i="5"/>
  <c r="BM99" i="6"/>
  <c r="BM95" i="6"/>
  <c r="BM96" i="6" s="1"/>
  <c r="BN93" i="6" s="1"/>
  <c r="BL110" i="5" l="1"/>
  <c r="BL49" i="19"/>
  <c r="BL286" i="11"/>
  <c r="BL287" i="11" s="1"/>
  <c r="BM100" i="6"/>
  <c r="BL64" i="19"/>
  <c r="BL131" i="5" l="1"/>
  <c r="BL133" i="5" s="1"/>
  <c r="BL132" i="5"/>
  <c r="BL134" i="5" s="1"/>
  <c r="BL135" i="5"/>
  <c r="BL67" i="5"/>
  <c r="BL120" i="5" s="1"/>
  <c r="BL122" i="5" s="1"/>
  <c r="BL124" i="5" s="1"/>
  <c r="BL66" i="19"/>
  <c r="BL67" i="19"/>
  <c r="BM101" i="6"/>
  <c r="BN98" i="6" s="1"/>
  <c r="BK39" i="15"/>
  <c r="BK38" i="15" s="1"/>
  <c r="BK34" i="15" s="1"/>
  <c r="BK40" i="15" s="1"/>
  <c r="BM284" i="11"/>
  <c r="BL52" i="19"/>
  <c r="BL51" i="19"/>
  <c r="BL46" i="19"/>
  <c r="BK16" i="15" l="1"/>
  <c r="BK15" i="15" s="1"/>
  <c r="BK14" i="15" s="1"/>
  <c r="BK41" i="15" s="1"/>
  <c r="BM121" i="5"/>
  <c r="BN44" i="6"/>
  <c r="BK42" i="15" l="1"/>
  <c r="BM20" i="5"/>
  <c r="BN43" i="6"/>
  <c r="BN42" i="6" s="1"/>
  <c r="BN55" i="6" s="1"/>
  <c r="BN57" i="6" s="1"/>
  <c r="BM15" i="5" l="1"/>
  <c r="BM14" i="5" s="1"/>
  <c r="BN66" i="6" s="1"/>
  <c r="BN75" i="6" s="1"/>
  <c r="BM285" i="11"/>
  <c r="BN62" i="6"/>
  <c r="BN69" i="6" l="1"/>
  <c r="BN64" i="6"/>
  <c r="BN80" i="6"/>
  <c r="BM98" i="5"/>
  <c r="BM17" i="19"/>
  <c r="BN76" i="6"/>
  <c r="BO73" i="6" s="1"/>
  <c r="BM103" i="5" l="1"/>
  <c r="BN81" i="6"/>
  <c r="BO78" i="6" s="1"/>
  <c r="BM14" i="19"/>
  <c r="BM20" i="19"/>
  <c r="BM19" i="19"/>
  <c r="BM95" i="5"/>
  <c r="BN70" i="6"/>
  <c r="BM125" i="5" l="1"/>
  <c r="BM126" i="5"/>
  <c r="BN89" i="6"/>
  <c r="BN71" i="6"/>
  <c r="BO68" i="6" s="1"/>
  <c r="BM100" i="5"/>
  <c r="BM128" i="5" l="1"/>
  <c r="BM127" i="5"/>
  <c r="BN94" i="6"/>
  <c r="BN90" i="6"/>
  <c r="BN99" i="6" l="1"/>
  <c r="BN95" i="6"/>
  <c r="BN96" i="6" s="1"/>
  <c r="BO93" i="6" s="1"/>
  <c r="BN91" i="6"/>
  <c r="BO88" i="6" s="1"/>
  <c r="BM113" i="5"/>
  <c r="BM110" i="5" l="1"/>
  <c r="BM49" i="19"/>
  <c r="BM286" i="11"/>
  <c r="BM287" i="11" s="1"/>
  <c r="BM64" i="19"/>
  <c r="BN100" i="6"/>
  <c r="BM66" i="19" l="1"/>
  <c r="BM67" i="19"/>
  <c r="BL39" i="15"/>
  <c r="BL38" i="15" s="1"/>
  <c r="BL34" i="15" s="1"/>
  <c r="BL40" i="15" s="1"/>
  <c r="BN284" i="11"/>
  <c r="BM52" i="19"/>
  <c r="BM46" i="19"/>
  <c r="BM51" i="19"/>
  <c r="BN101" i="6"/>
  <c r="BO98" i="6" s="1"/>
  <c r="BM131" i="5"/>
  <c r="BM133" i="5" s="1"/>
  <c r="BM67" i="5"/>
  <c r="BM120" i="5" s="1"/>
  <c r="BM122" i="5" s="1"/>
  <c r="BM124" i="5" s="1"/>
  <c r="BM135" i="5"/>
  <c r="BM132" i="5"/>
  <c r="BM134" i="5" s="1"/>
  <c r="BN121" i="5" l="1"/>
  <c r="BO44" i="6"/>
  <c r="BL16" i="15"/>
  <c r="BL15" i="15" s="1"/>
  <c r="BL14" i="15" s="1"/>
  <c r="BL41" i="15" s="1"/>
  <c r="BN20" i="5" l="1"/>
  <c r="BN15" i="5" s="1"/>
  <c r="BN14" i="5" s="1"/>
  <c r="BO66" i="6" s="1"/>
  <c r="BO43" i="6"/>
  <c r="BO42" i="6" s="1"/>
  <c r="BO55" i="6" s="1"/>
  <c r="BO57" i="6" s="1"/>
  <c r="BL42" i="15"/>
  <c r="BN285" i="11" l="1"/>
  <c r="BO62" i="6"/>
  <c r="BO75" i="6"/>
  <c r="BO80" i="6" s="1"/>
  <c r="BN103" i="5" l="1"/>
  <c r="BN100" i="5" s="1"/>
  <c r="BO81" i="6"/>
  <c r="BP78" i="6" s="1"/>
  <c r="BN98" i="5"/>
  <c r="BN17" i="19"/>
  <c r="BO76" i="6"/>
  <c r="BP73" i="6" s="1"/>
  <c r="BO69" i="6"/>
  <c r="BO70" i="6" s="1"/>
  <c r="BO64" i="6"/>
  <c r="BN95" i="5" l="1"/>
  <c r="BO71" i="6"/>
  <c r="BP68" i="6" s="1"/>
  <c r="V85" i="16"/>
  <c r="BO89" i="6"/>
  <c r="V78" i="16"/>
  <c r="V81" i="16" s="1"/>
  <c r="V82" i="16" s="1"/>
  <c r="BN14" i="19"/>
  <c r="BN20" i="19"/>
  <c r="BN19" i="19"/>
  <c r="BN128" i="5"/>
  <c r="BN127" i="5"/>
  <c r="BO94" i="6" l="1"/>
  <c r="BO95" i="6" s="1"/>
  <c r="BO96" i="6" s="1"/>
  <c r="BP93" i="6" s="1"/>
  <c r="BO90" i="6"/>
  <c r="BN113" i="5" s="1"/>
  <c r="BN126" i="5"/>
  <c r="BN125" i="5"/>
  <c r="BO99" i="6" l="1"/>
  <c r="BN64" i="19" s="1"/>
  <c r="BN49" i="19"/>
  <c r="BN110" i="5"/>
  <c r="BN286" i="11"/>
  <c r="BN287" i="11" s="1"/>
  <c r="BO91" i="6"/>
  <c r="BP88" i="6" s="1"/>
  <c r="BO100" i="6" l="1"/>
  <c r="BO101" i="6" s="1"/>
  <c r="BP98" i="6" s="1"/>
  <c r="BO284" i="11"/>
  <c r="BM39" i="15"/>
  <c r="BN131" i="5"/>
  <c r="BN133" i="5" s="1"/>
  <c r="BN135" i="5"/>
  <c r="BN67" i="5"/>
  <c r="BN120" i="5" s="1"/>
  <c r="BN122" i="5" s="1"/>
  <c r="BN124" i="5" s="1"/>
  <c r="BN132" i="5"/>
  <c r="BN134" i="5" s="1"/>
  <c r="BN66" i="19"/>
  <c r="BN67" i="19"/>
  <c r="BN52" i="19"/>
  <c r="BN51" i="19"/>
  <c r="BN46" i="19"/>
  <c r="T34" i="18" l="1"/>
  <c r="T33" i="18" s="1"/>
  <c r="T29" i="18" s="1"/>
  <c r="T35" i="18" s="1"/>
  <c r="BM38" i="15"/>
  <c r="BM34" i="15" s="1"/>
  <c r="BM40" i="15" s="1"/>
  <c r="BM16" i="15"/>
  <c r="BO121" i="5"/>
  <c r="BP44" i="6"/>
  <c r="BO20" i="5" l="1"/>
  <c r="BP43" i="6"/>
  <c r="BP42" i="6" s="1"/>
  <c r="BP55" i="6" s="1"/>
  <c r="BP57" i="6" s="1"/>
  <c r="T11" i="18"/>
  <c r="T10" i="18" s="1"/>
  <c r="T9" i="18" s="1"/>
  <c r="T36" i="18" s="1"/>
  <c r="BM15" i="15"/>
  <c r="BM14" i="15" s="1"/>
  <c r="BM41" i="15" s="1"/>
  <c r="BM42" i="15" l="1"/>
  <c r="BO285" i="11"/>
  <c r="BP62" i="6"/>
  <c r="BO15" i="5"/>
  <c r="BO14" i="5" s="1"/>
  <c r="BP66" i="6" s="1"/>
  <c r="BP75" i="6" l="1"/>
  <c r="BP80" i="6" s="1"/>
  <c r="BP69" i="6"/>
  <c r="BP64" i="6"/>
  <c r="BP70" i="6" l="1"/>
  <c r="BP89" i="6" s="1"/>
  <c r="BO103" i="5"/>
  <c r="BP81" i="6"/>
  <c r="BQ78" i="6" s="1"/>
  <c r="BO98" i="5"/>
  <c r="BO17" i="19"/>
  <c r="BP76" i="6"/>
  <c r="BQ73" i="6" s="1"/>
  <c r="BP94" i="6" l="1"/>
  <c r="BP90" i="6"/>
  <c r="BP91" i="6" s="1"/>
  <c r="BQ88" i="6" s="1"/>
  <c r="BO19" i="19"/>
  <c r="BO14" i="19"/>
  <c r="BO20" i="19"/>
  <c r="BO100" i="5"/>
  <c r="BO95" i="5"/>
  <c r="BP71" i="6"/>
  <c r="BQ68" i="6" s="1"/>
  <c r="BO127" i="5" l="1"/>
  <c r="BO128" i="5"/>
  <c r="BO126" i="5"/>
  <c r="BO125" i="5"/>
  <c r="BO113" i="5"/>
  <c r="BP99" i="6"/>
  <c r="BP95" i="6"/>
  <c r="BP96" i="6" s="1"/>
  <c r="BQ93" i="6" s="1"/>
  <c r="BO110" i="5" l="1"/>
  <c r="BO49" i="19"/>
  <c r="BO286" i="11"/>
  <c r="BO287" i="11" s="1"/>
  <c r="BP100" i="6"/>
  <c r="BO64" i="19"/>
  <c r="BO67" i="19" l="1"/>
  <c r="BO66" i="19"/>
  <c r="BP101" i="6"/>
  <c r="BQ98" i="6" s="1"/>
  <c r="BO46" i="19"/>
  <c r="BO52" i="19"/>
  <c r="BO51" i="19"/>
  <c r="BN39" i="15"/>
  <c r="BN38" i="15" s="1"/>
  <c r="BN34" i="15" s="1"/>
  <c r="BN40" i="15" s="1"/>
  <c r="BP284" i="11"/>
  <c r="BO67" i="5"/>
  <c r="BO120" i="5" s="1"/>
  <c r="BO122" i="5" s="1"/>
  <c r="BO124" i="5" s="1"/>
  <c r="BO132" i="5"/>
  <c r="BO134" i="5" s="1"/>
  <c r="BO135" i="5"/>
  <c r="BO131" i="5"/>
  <c r="BO133" i="5" s="1"/>
  <c r="BN16" i="15" l="1"/>
  <c r="BN15" i="15" s="1"/>
  <c r="BN14" i="15" s="1"/>
  <c r="BN41" i="15" s="1"/>
  <c r="BP121" i="5"/>
  <c r="BQ44" i="6"/>
  <c r="BN42" i="15" l="1"/>
  <c r="BP20" i="5"/>
  <c r="BQ43" i="6"/>
  <c r="BQ42" i="6" s="1"/>
  <c r="BQ55" i="6" s="1"/>
  <c r="BQ57" i="6" s="1"/>
  <c r="BQ62" i="6" l="1"/>
  <c r="BP285" i="11"/>
  <c r="BP15" i="5"/>
  <c r="BP14" i="5" s="1"/>
  <c r="BQ66" i="6" s="1"/>
  <c r="BQ75" i="6" s="1"/>
  <c r="BQ80" i="6" l="1"/>
  <c r="BP17" i="19"/>
  <c r="BP98" i="5"/>
  <c r="BQ76" i="6"/>
  <c r="BR73" i="6" s="1"/>
  <c r="BQ64" i="6"/>
  <c r="BQ69" i="6"/>
  <c r="BQ70" i="6" l="1"/>
  <c r="BP95" i="5"/>
  <c r="BP20" i="19"/>
  <c r="BP14" i="19"/>
  <c r="BP19" i="19"/>
  <c r="BP103" i="5"/>
  <c r="BQ81" i="6"/>
  <c r="BR78" i="6" s="1"/>
  <c r="BP100" i="5" l="1"/>
  <c r="BP126" i="5"/>
  <c r="BP125" i="5"/>
  <c r="BQ71" i="6"/>
  <c r="BR68" i="6" s="1"/>
  <c r="BQ89" i="6"/>
  <c r="BQ94" i="6" l="1"/>
  <c r="BQ90" i="6"/>
  <c r="BP127" i="5"/>
  <c r="BP128" i="5"/>
  <c r="BQ99" i="6" l="1"/>
  <c r="BQ95" i="6"/>
  <c r="BQ96" i="6" s="1"/>
  <c r="BR93" i="6" s="1"/>
  <c r="BQ91" i="6"/>
  <c r="BR88" i="6" s="1"/>
  <c r="BP113" i="5"/>
  <c r="BP110" i="5" l="1"/>
  <c r="BP49" i="19"/>
  <c r="BP286" i="11"/>
  <c r="BP287" i="11" s="1"/>
  <c r="BQ100" i="6"/>
  <c r="BP64" i="19"/>
  <c r="BQ101" i="6" l="1"/>
  <c r="BR98" i="6" s="1"/>
  <c r="BP52" i="19"/>
  <c r="BP51" i="19"/>
  <c r="BP46" i="19"/>
  <c r="BP67" i="19"/>
  <c r="BP66" i="19"/>
  <c r="BO39" i="15"/>
  <c r="BO38" i="15" s="1"/>
  <c r="BO34" i="15" s="1"/>
  <c r="BO40" i="15" s="1"/>
  <c r="BQ284" i="11"/>
  <c r="BP132" i="5"/>
  <c r="BP134" i="5" s="1"/>
  <c r="BP131" i="5"/>
  <c r="BP133" i="5" s="1"/>
  <c r="BP135" i="5"/>
  <c r="BP67" i="5"/>
  <c r="BP120" i="5" s="1"/>
  <c r="BP122" i="5" s="1"/>
  <c r="BP124" i="5" s="1"/>
  <c r="BO16" i="15" l="1"/>
  <c r="BO15" i="15" s="1"/>
  <c r="BO14" i="15" s="1"/>
  <c r="BO41" i="15" s="1"/>
  <c r="BQ121" i="5"/>
  <c r="BR44" i="6"/>
  <c r="BQ20" i="5" l="1"/>
  <c r="BR43" i="6"/>
  <c r="BR42" i="6" s="1"/>
  <c r="BR55" i="6" s="1"/>
  <c r="BR57" i="6" s="1"/>
  <c r="BO42" i="15"/>
  <c r="BQ285" i="11" l="1"/>
  <c r="BR62" i="6"/>
  <c r="BQ15" i="5"/>
  <c r="BQ14" i="5" s="1"/>
  <c r="BR66" i="6" s="1"/>
  <c r="BR75" i="6" s="1"/>
  <c r="BR80" i="6" l="1"/>
  <c r="BQ17" i="19"/>
  <c r="BQ98" i="5"/>
  <c r="BR76" i="6"/>
  <c r="BS73" i="6" s="1"/>
  <c r="BR69" i="6"/>
  <c r="BR64" i="6"/>
  <c r="BQ95" i="5" l="1"/>
  <c r="BR70" i="6"/>
  <c r="BQ14" i="19"/>
  <c r="BQ19" i="19"/>
  <c r="BQ20" i="19"/>
  <c r="BQ103" i="5"/>
  <c r="BR81" i="6"/>
  <c r="BS78" i="6" s="1"/>
  <c r="BR89" i="6" l="1"/>
  <c r="BQ100" i="5"/>
  <c r="BR71" i="6"/>
  <c r="BS68" i="6" s="1"/>
  <c r="BQ126" i="5"/>
  <c r="BQ125" i="5"/>
  <c r="BQ128" i="5" l="1"/>
  <c r="BQ127" i="5"/>
  <c r="BR94" i="6"/>
  <c r="BR90" i="6"/>
  <c r="BQ113" i="5" l="1"/>
  <c r="BR91" i="6"/>
  <c r="BS88" i="6" s="1"/>
  <c r="BR99" i="6"/>
  <c r="BR95" i="6"/>
  <c r="BR96" i="6" s="1"/>
  <c r="BS93" i="6" s="1"/>
  <c r="BR100" i="6" l="1"/>
  <c r="BQ64" i="19"/>
  <c r="BQ110" i="5"/>
  <c r="BQ49" i="19"/>
  <c r="BQ286" i="11"/>
  <c r="BQ287" i="11" s="1"/>
  <c r="BQ67" i="19" l="1"/>
  <c r="BQ66" i="19"/>
  <c r="BQ52" i="19"/>
  <c r="BQ46" i="19"/>
  <c r="BQ51" i="19"/>
  <c r="BR101" i="6"/>
  <c r="BS98" i="6" s="1"/>
  <c r="BP39" i="15"/>
  <c r="BP38" i="15" s="1"/>
  <c r="BP34" i="15" s="1"/>
  <c r="BP40" i="15" s="1"/>
  <c r="BR284" i="11"/>
  <c r="BQ132" i="5"/>
  <c r="BQ134" i="5" s="1"/>
  <c r="BQ135" i="5"/>
  <c r="BQ131" i="5"/>
  <c r="BQ133" i="5" s="1"/>
  <c r="BQ67" i="5"/>
  <c r="BQ120" i="5" s="1"/>
  <c r="BQ122" i="5" s="1"/>
  <c r="BQ124" i="5" s="1"/>
  <c r="BP16" i="15" l="1"/>
  <c r="BP15" i="15" s="1"/>
  <c r="BP14" i="15" s="1"/>
  <c r="BP41" i="15" s="1"/>
  <c r="BR121" i="5"/>
  <c r="BS44" i="6"/>
  <c r="BP42" i="15" l="1"/>
  <c r="BR20" i="5"/>
  <c r="BS43" i="6"/>
  <c r="BS42" i="6" s="1"/>
  <c r="BS55" i="6" s="1"/>
  <c r="BS57" i="6" s="1"/>
  <c r="BR285" i="11" l="1"/>
  <c r="BS62" i="6"/>
  <c r="BR15" i="5"/>
  <c r="BR14" i="5" s="1"/>
  <c r="BS66" i="6" s="1"/>
  <c r="BS75" i="6" s="1"/>
  <c r="BS80" i="6" l="1"/>
  <c r="BR17" i="19"/>
  <c r="BR98" i="5"/>
  <c r="BS76" i="6"/>
  <c r="BT73" i="6" s="1"/>
  <c r="BS64" i="6"/>
  <c r="BS69" i="6"/>
  <c r="BS70" i="6" l="1"/>
  <c r="BS71" i="6" s="1"/>
  <c r="BT68" i="6" s="1"/>
  <c r="BR95" i="5"/>
  <c r="BR20" i="19"/>
  <c r="BR19" i="19"/>
  <c r="BR14" i="19"/>
  <c r="BR103" i="5"/>
  <c r="BS81" i="6"/>
  <c r="BT78" i="6" s="1"/>
  <c r="BR100" i="5" l="1"/>
  <c r="BR125" i="5"/>
  <c r="BR126" i="5"/>
  <c r="BS89" i="6"/>
  <c r="BR128" i="5" l="1"/>
  <c r="BR127" i="5"/>
  <c r="BS94" i="6"/>
  <c r="BS95" i="6" s="1"/>
  <c r="BS96" i="6" s="1"/>
  <c r="BT93" i="6" s="1"/>
  <c r="BS90" i="6"/>
  <c r="BS99" i="6" l="1"/>
  <c r="BS100" i="6" s="1"/>
  <c r="BS91" i="6"/>
  <c r="BT88" i="6" s="1"/>
  <c r="BR113" i="5"/>
  <c r="BR64" i="19" l="1"/>
  <c r="BR67" i="19" s="1"/>
  <c r="BR49" i="19"/>
  <c r="BR110" i="5"/>
  <c r="BR286" i="11"/>
  <c r="BR287" i="11" s="1"/>
  <c r="BS101" i="6"/>
  <c r="BT98" i="6" s="1"/>
  <c r="BR66" i="19" l="1"/>
  <c r="BS284" i="11"/>
  <c r="BQ39" i="15"/>
  <c r="BQ38" i="15" s="1"/>
  <c r="BQ34" i="15" s="1"/>
  <c r="BQ40" i="15" s="1"/>
  <c r="BR52" i="19"/>
  <c r="BR46" i="19"/>
  <c r="BR51" i="19"/>
  <c r="BR67" i="5"/>
  <c r="BR120" i="5" s="1"/>
  <c r="BR122" i="5" s="1"/>
  <c r="BR124" i="5" s="1"/>
  <c r="BR132" i="5"/>
  <c r="BR134" i="5" s="1"/>
  <c r="BR131" i="5"/>
  <c r="BR133" i="5" s="1"/>
  <c r="BR135" i="5"/>
  <c r="BQ16" i="15" l="1"/>
  <c r="BQ15" i="15" s="1"/>
  <c r="BQ14" i="15" s="1"/>
  <c r="BQ41" i="15" s="1"/>
  <c r="BS121" i="5"/>
  <c r="BT44" i="6"/>
  <c r="BQ42" i="15" l="1"/>
  <c r="BS20" i="5"/>
  <c r="BT43" i="6"/>
  <c r="BT42" i="6" s="1"/>
  <c r="BT55" i="6" s="1"/>
  <c r="BT57" i="6" s="1"/>
  <c r="BS285" i="11" l="1"/>
  <c r="BT62" i="6"/>
  <c r="BS15" i="5"/>
  <c r="BS14" i="5" s="1"/>
  <c r="BT66" i="6" s="1"/>
  <c r="BT75" i="6" l="1"/>
  <c r="BT80" i="6" s="1"/>
  <c r="BT64" i="6"/>
  <c r="BT69" i="6"/>
  <c r="BS103" i="5" l="1"/>
  <c r="BT81" i="6"/>
  <c r="BU78" i="6" s="1"/>
  <c r="BT70" i="6"/>
  <c r="BS98" i="5"/>
  <c r="BS17" i="19"/>
  <c r="BT76" i="6"/>
  <c r="BU73" i="6" s="1"/>
  <c r="BS19" i="19" l="1"/>
  <c r="BS20" i="19"/>
  <c r="BS14" i="19"/>
  <c r="BS95" i="5"/>
  <c r="BS100" i="5"/>
  <c r="BT71" i="6"/>
  <c r="BU68" i="6" s="1"/>
  <c r="BT89" i="6"/>
  <c r="BT94" i="6" l="1"/>
  <c r="BT90" i="6"/>
  <c r="BS127" i="5"/>
  <c r="BS128" i="5"/>
  <c r="BS126" i="5"/>
  <c r="BS125" i="5"/>
  <c r="BT91" i="6" l="1"/>
  <c r="BU88" i="6" s="1"/>
  <c r="BS113" i="5"/>
  <c r="BT99" i="6"/>
  <c r="BT95" i="6"/>
  <c r="BT96" i="6" s="1"/>
  <c r="BU93" i="6" s="1"/>
  <c r="BS64" i="19" l="1"/>
  <c r="BT100" i="6"/>
  <c r="BS110" i="5"/>
  <c r="BS49" i="19"/>
  <c r="BS286" i="11"/>
  <c r="BS287" i="11" s="1"/>
  <c r="BS46" i="19" l="1"/>
  <c r="BS51" i="19"/>
  <c r="BS52" i="19"/>
  <c r="BR39" i="15"/>
  <c r="BR38" i="15" s="1"/>
  <c r="BR34" i="15" s="1"/>
  <c r="BR40" i="15" s="1"/>
  <c r="BT284" i="11"/>
  <c r="BS131" i="5"/>
  <c r="BS133" i="5" s="1"/>
  <c r="BS132" i="5"/>
  <c r="BS134" i="5" s="1"/>
  <c r="BS135" i="5"/>
  <c r="BS67" i="5"/>
  <c r="BS120" i="5" s="1"/>
  <c r="BS122" i="5" s="1"/>
  <c r="BS124" i="5" s="1"/>
  <c r="BT101" i="6"/>
  <c r="BU98" i="6" s="1"/>
  <c r="BS66" i="19"/>
  <c r="BS67" i="19"/>
  <c r="BR16" i="15" l="1"/>
  <c r="BR15" i="15" s="1"/>
  <c r="BR14" i="15" s="1"/>
  <c r="BR41" i="15" s="1"/>
  <c r="BT121" i="5"/>
  <c r="BU44" i="6"/>
  <c r="BR42" i="15" l="1"/>
  <c r="BT20" i="5"/>
  <c r="BT15" i="5" s="1"/>
  <c r="BT14" i="5" s="1"/>
  <c r="BU66" i="6" s="1"/>
  <c r="BU43" i="6"/>
  <c r="BU42" i="6" s="1"/>
  <c r="BU55" i="6" s="1"/>
  <c r="BU57" i="6" s="1"/>
  <c r="BT285" i="11" l="1"/>
  <c r="BU62" i="6"/>
  <c r="BU75" i="6"/>
  <c r="BT98" i="5" l="1"/>
  <c r="BT17" i="19"/>
  <c r="BU76" i="6"/>
  <c r="BV73" i="6" s="1"/>
  <c r="BU69" i="6"/>
  <c r="BU70" i="6" s="1"/>
  <c r="BU64" i="6"/>
  <c r="BU80" i="6"/>
  <c r="BT103" i="5" l="1"/>
  <c r="BT100" i="5" s="1"/>
  <c r="BU81" i="6"/>
  <c r="BV78" i="6" s="1"/>
  <c r="BT14" i="19"/>
  <c r="BT19" i="19"/>
  <c r="BT20" i="19"/>
  <c r="BU71" i="6"/>
  <c r="BV68" i="6" s="1"/>
  <c r="W85" i="16"/>
  <c r="BU89" i="6"/>
  <c r="W78" i="16"/>
  <c r="W81" i="16" s="1"/>
  <c r="W82" i="16" s="1"/>
  <c r="BT95" i="5"/>
  <c r="BT128" i="5" l="1"/>
  <c r="BT127" i="5"/>
  <c r="BT126" i="5"/>
  <c r="BT125" i="5"/>
  <c r="BU94" i="6"/>
  <c r="BU90" i="6"/>
  <c r="BT113" i="5" s="1"/>
  <c r="BU91" i="6" l="1"/>
  <c r="BV88" i="6" s="1"/>
  <c r="BT110" i="5"/>
  <c r="BT49" i="19"/>
  <c r="BT286" i="11"/>
  <c r="BT287" i="11" s="1"/>
  <c r="BU99" i="6"/>
  <c r="BU95" i="6"/>
  <c r="BU96" i="6" s="1"/>
  <c r="BV93" i="6" s="1"/>
  <c r="BS39" i="15" l="1"/>
  <c r="BU284" i="11"/>
  <c r="BT46" i="19"/>
  <c r="BT52" i="19"/>
  <c r="BT51" i="19"/>
  <c r="BT135" i="5"/>
  <c r="BT67" i="5"/>
  <c r="BT120" i="5" s="1"/>
  <c r="BT122" i="5" s="1"/>
  <c r="BT124" i="5" s="1"/>
  <c r="BT131" i="5"/>
  <c r="BT133" i="5" s="1"/>
  <c r="BT132" i="5"/>
  <c r="BT134" i="5" s="1"/>
  <c r="BU100" i="6"/>
  <c r="BU101" i="6" s="1"/>
  <c r="BV98" i="6" s="1"/>
  <c r="BT64" i="19"/>
  <c r="BT67" i="19" l="1"/>
  <c r="BT66" i="19"/>
  <c r="BS16" i="15"/>
  <c r="BV44" i="6"/>
  <c r="BU121" i="5"/>
  <c r="U34" i="18"/>
  <c r="BS38" i="15"/>
  <c r="BS34" i="15" s="1"/>
  <c r="BS40" i="15" s="1"/>
  <c r="BU20" i="5" l="1"/>
  <c r="BV43" i="6"/>
  <c r="BV42" i="6" s="1"/>
  <c r="BV55" i="6" s="1"/>
  <c r="BV57" i="6" s="1"/>
  <c r="U33" i="18"/>
  <c r="U29" i="18" s="1"/>
  <c r="U35" i="18" s="1"/>
  <c r="I227" i="32"/>
  <c r="I228" i="32" s="1"/>
  <c r="I229" i="32" s="1"/>
  <c r="BS15" i="15"/>
  <c r="BS14" i="15" s="1"/>
  <c r="BS41" i="15" s="1"/>
  <c r="U11" i="18"/>
  <c r="U10" i="18" l="1"/>
  <c r="U9" i="18" s="1"/>
  <c r="U36" i="18" s="1"/>
  <c r="I210" i="32"/>
  <c r="I217" i="32" s="1"/>
  <c r="I230" i="32" s="1"/>
  <c r="BV62" i="6"/>
  <c r="BU285" i="11"/>
  <c r="BS42" i="15"/>
  <c r="BU15" i="5"/>
  <c r="BU14" i="5" s="1"/>
  <c r="BV66" i="6" s="1"/>
  <c r="BV75" i="6" s="1"/>
  <c r="BV64" i="6" l="1"/>
  <c r="BV69" i="6"/>
  <c r="BV80" i="6"/>
  <c r="BU98" i="5"/>
  <c r="BU17" i="19"/>
  <c r="BV76" i="6"/>
  <c r="BW73" i="6" s="1"/>
  <c r="BV70" i="6" l="1"/>
  <c r="BU103" i="5"/>
  <c r="BV81" i="6"/>
  <c r="BW78" i="6" s="1"/>
  <c r="BU19" i="19"/>
  <c r="BU20" i="19"/>
  <c r="BU14" i="19"/>
  <c r="BU95" i="5"/>
  <c r="BU126" i="5" l="1"/>
  <c r="BU125" i="5"/>
  <c r="BV71" i="6"/>
  <c r="BW68" i="6" s="1"/>
  <c r="BV89" i="6"/>
  <c r="BU100" i="5"/>
  <c r="BV94" i="6" l="1"/>
  <c r="BV95" i="6" s="1"/>
  <c r="BV96" i="6" s="1"/>
  <c r="BW93" i="6" s="1"/>
  <c r="BV90" i="6"/>
  <c r="BU127" i="5"/>
  <c r="BU128" i="5"/>
  <c r="BV99" i="6" l="1"/>
  <c r="BV100" i="6" s="1"/>
  <c r="BV91" i="6"/>
  <c r="BW88" i="6" s="1"/>
  <c r="BU113" i="5"/>
  <c r="BU64" i="19" l="1"/>
  <c r="BU66" i="19" s="1"/>
  <c r="BV101" i="6"/>
  <c r="BW98" i="6" s="1"/>
  <c r="BU49" i="19"/>
  <c r="BU110" i="5"/>
  <c r="BU286" i="11"/>
  <c r="BU287" i="11" s="1"/>
  <c r="BU67" i="19" l="1"/>
  <c r="BT39" i="15"/>
  <c r="BT38" i="15" s="1"/>
  <c r="BT34" i="15" s="1"/>
  <c r="BT40" i="15" s="1"/>
  <c r="BV284" i="11"/>
  <c r="BU135" i="5"/>
  <c r="BU67" i="5"/>
  <c r="BU120" i="5" s="1"/>
  <c r="BU122" i="5" s="1"/>
  <c r="BU124" i="5" s="1"/>
  <c r="BU132" i="5"/>
  <c r="BU134" i="5" s="1"/>
  <c r="BU131" i="5"/>
  <c r="BU133" i="5" s="1"/>
  <c r="BU52" i="19"/>
  <c r="BU46" i="19"/>
  <c r="BU51" i="19"/>
  <c r="BT16" i="15" l="1"/>
  <c r="BT15" i="15" s="1"/>
  <c r="BT14" i="15" s="1"/>
  <c r="BT41" i="15" s="1"/>
  <c r="BV121" i="5"/>
  <c r="BW44" i="6"/>
  <c r="BT42" i="15" l="1"/>
  <c r="BV20" i="5"/>
  <c r="BW43" i="6"/>
  <c r="BW42" i="6" s="1"/>
  <c r="BW55" i="6" s="1"/>
  <c r="BW57" i="6" s="1"/>
  <c r="BV285" i="11" l="1"/>
  <c r="BW62" i="6"/>
  <c r="BV15" i="5"/>
  <c r="BV14" i="5" s="1"/>
  <c r="BW66" i="6" s="1"/>
  <c r="BW75" i="6" l="1"/>
  <c r="BW80" i="6" s="1"/>
  <c r="BW69" i="6"/>
  <c r="BW64" i="6"/>
  <c r="BV103" i="5" l="1"/>
  <c r="BW81" i="6"/>
  <c r="BX78" i="6" s="1"/>
  <c r="BW70" i="6"/>
  <c r="BV98" i="5"/>
  <c r="BV17" i="19"/>
  <c r="BW76" i="6"/>
  <c r="BX73" i="6" s="1"/>
  <c r="BV14" i="19" l="1"/>
  <c r="BV20" i="19"/>
  <c r="BV19" i="19"/>
  <c r="BV95" i="5"/>
  <c r="BW71" i="6"/>
  <c r="BX68" i="6" s="1"/>
  <c r="BV100" i="5"/>
  <c r="BW89" i="6"/>
  <c r="BV125" i="5" l="1"/>
  <c r="BV126" i="5"/>
  <c r="BW94" i="6"/>
  <c r="BW90" i="6"/>
  <c r="BV128" i="5"/>
  <c r="BV127" i="5"/>
  <c r="BW91" i="6" l="1"/>
  <c r="BX88" i="6" s="1"/>
  <c r="BV113" i="5"/>
  <c r="BW99" i="6"/>
  <c r="BW95" i="6"/>
  <c r="BW96" i="6" s="1"/>
  <c r="BX93" i="6" s="1"/>
  <c r="BW100" i="6" l="1"/>
  <c r="BV64" i="19"/>
  <c r="BV286" i="11"/>
  <c r="BV287" i="11" s="1"/>
  <c r="BV110" i="5"/>
  <c r="BV49" i="19"/>
  <c r="BU39" i="15" l="1"/>
  <c r="BU38" i="15" s="1"/>
  <c r="BU34" i="15" s="1"/>
  <c r="BU40" i="15" s="1"/>
  <c r="BW284" i="11"/>
  <c r="BV67" i="19"/>
  <c r="BV66" i="19"/>
  <c r="BV132" i="5"/>
  <c r="BV134" i="5" s="1"/>
  <c r="BV67" i="5"/>
  <c r="BV120" i="5" s="1"/>
  <c r="BV122" i="5" s="1"/>
  <c r="BV124" i="5" s="1"/>
  <c r="BV135" i="5"/>
  <c r="BV131" i="5"/>
  <c r="BV133" i="5" s="1"/>
  <c r="BV52" i="19"/>
  <c r="BV46" i="19"/>
  <c r="BV51" i="19"/>
  <c r="BW101" i="6"/>
  <c r="BX98" i="6" s="1"/>
  <c r="BU16" i="15" l="1"/>
  <c r="BU15" i="15" s="1"/>
  <c r="BU14" i="15" s="1"/>
  <c r="BU41" i="15" s="1"/>
  <c r="BW121" i="5"/>
  <c r="BX44" i="6"/>
  <c r="BU42" i="15" l="1"/>
  <c r="BW20" i="5"/>
  <c r="BX43" i="6"/>
  <c r="BX42" i="6" s="1"/>
  <c r="BX55" i="6" s="1"/>
  <c r="BX57" i="6" s="1"/>
  <c r="BW285" i="11" l="1"/>
  <c r="BX62" i="6"/>
  <c r="BW15" i="5"/>
  <c r="BW14" i="5" s="1"/>
  <c r="BX66" i="6" s="1"/>
  <c r="BX75" i="6" s="1"/>
  <c r="BX80" i="6" l="1"/>
  <c r="BW98" i="5"/>
  <c r="BW17" i="19"/>
  <c r="BX76" i="6"/>
  <c r="BY73" i="6" s="1"/>
  <c r="BX69" i="6"/>
  <c r="BX64" i="6"/>
  <c r="BW19" i="19" l="1"/>
  <c r="BW20" i="19"/>
  <c r="BW14" i="19"/>
  <c r="BX70" i="6"/>
  <c r="BW95" i="5"/>
  <c r="BW103" i="5"/>
  <c r="BX81" i="6"/>
  <c r="BY78" i="6" s="1"/>
  <c r="BX89" i="6" l="1"/>
  <c r="BW125" i="5"/>
  <c r="BW126" i="5"/>
  <c r="BW100" i="5"/>
  <c r="BX71" i="6"/>
  <c r="BY68" i="6" s="1"/>
  <c r="BW127" i="5" l="1"/>
  <c r="BW128" i="5"/>
  <c r="BX94" i="6"/>
  <c r="BX90" i="6"/>
  <c r="BX91" i="6" l="1"/>
  <c r="BY88" i="6" s="1"/>
  <c r="BW113" i="5"/>
  <c r="BX99" i="6"/>
  <c r="BX95" i="6"/>
  <c r="BX96" i="6" s="1"/>
  <c r="BY93" i="6" s="1"/>
  <c r="BX100" i="6" l="1"/>
  <c r="BW64" i="19"/>
  <c r="BW110" i="5"/>
  <c r="BW49" i="19"/>
  <c r="BW286" i="11"/>
  <c r="BW287" i="11" s="1"/>
  <c r="BV39" i="15" l="1"/>
  <c r="BV38" i="15" s="1"/>
  <c r="BV34" i="15" s="1"/>
  <c r="BV40" i="15" s="1"/>
  <c r="BX284" i="11"/>
  <c r="BW51" i="19"/>
  <c r="BW46" i="19"/>
  <c r="BW52" i="19"/>
  <c r="BW135" i="5"/>
  <c r="BW132" i="5"/>
  <c r="BW134" i="5" s="1"/>
  <c r="BW67" i="5"/>
  <c r="BW120" i="5" s="1"/>
  <c r="BW122" i="5" s="1"/>
  <c r="BW124" i="5" s="1"/>
  <c r="BW131" i="5"/>
  <c r="BW133" i="5" s="1"/>
  <c r="BW66" i="19"/>
  <c r="BW67" i="19"/>
  <c r="BX101" i="6"/>
  <c r="BY98" i="6" s="1"/>
  <c r="BV16" i="15" l="1"/>
  <c r="BV15" i="15" s="1"/>
  <c r="BV14" i="15" s="1"/>
  <c r="BV41" i="15" s="1"/>
  <c r="BX121" i="5"/>
  <c r="BY44" i="6"/>
  <c r="BV42" i="15" l="1"/>
  <c r="BX20" i="5"/>
  <c r="BY43" i="6"/>
  <c r="BY42" i="6" s="1"/>
  <c r="BY55" i="6" s="1"/>
  <c r="BY57" i="6" s="1"/>
  <c r="BX285" i="11" l="1"/>
  <c r="BY62" i="6"/>
  <c r="BX15" i="5"/>
  <c r="BX14" i="5" s="1"/>
  <c r="BY66" i="6" s="1"/>
  <c r="BY75" i="6" l="1"/>
  <c r="BY80" i="6" s="1"/>
  <c r="BY69" i="6"/>
  <c r="BY64" i="6"/>
  <c r="BY70" i="6" l="1"/>
  <c r="BY89" i="6" s="1"/>
  <c r="BX103" i="5"/>
  <c r="BY81" i="6"/>
  <c r="BZ78" i="6" s="1"/>
  <c r="BX98" i="5"/>
  <c r="BX17" i="19"/>
  <c r="BY76" i="6"/>
  <c r="BZ73" i="6" s="1"/>
  <c r="BX95" i="5" l="1"/>
  <c r="BY71" i="6"/>
  <c r="BZ68" i="6" s="1"/>
  <c r="BX19" i="19"/>
  <c r="BX14" i="19"/>
  <c r="BX20" i="19"/>
  <c r="BX100" i="5"/>
  <c r="BY94" i="6"/>
  <c r="BY90" i="6"/>
  <c r="BY91" i="6" l="1"/>
  <c r="BZ88" i="6" s="1"/>
  <c r="BX113" i="5"/>
  <c r="BX127" i="5"/>
  <c r="BX128" i="5"/>
  <c r="BY99" i="6"/>
  <c r="BY95" i="6"/>
  <c r="BY96" i="6" s="1"/>
  <c r="BZ93" i="6" s="1"/>
  <c r="BX125" i="5"/>
  <c r="BX126" i="5"/>
  <c r="BX64" i="19" l="1"/>
  <c r="BY100" i="6"/>
  <c r="BX110" i="5"/>
  <c r="BX49" i="19"/>
  <c r="BX286" i="11"/>
  <c r="BX287" i="11" s="1"/>
  <c r="BX66" i="19" l="1"/>
  <c r="BX67" i="19"/>
  <c r="BY101" i="6"/>
  <c r="BZ98" i="6" s="1"/>
  <c r="BW39" i="15"/>
  <c r="BW38" i="15" s="1"/>
  <c r="BW34" i="15" s="1"/>
  <c r="BW40" i="15" s="1"/>
  <c r="BY284" i="11"/>
  <c r="BX46" i="19"/>
  <c r="BX52" i="19"/>
  <c r="BX51" i="19"/>
  <c r="BX67" i="5"/>
  <c r="BX120" i="5" s="1"/>
  <c r="BX122" i="5" s="1"/>
  <c r="BX124" i="5" s="1"/>
  <c r="BX132" i="5"/>
  <c r="BX134" i="5" s="1"/>
  <c r="BX135" i="5"/>
  <c r="BX131" i="5"/>
  <c r="BX133" i="5" s="1"/>
  <c r="BW16" i="15" l="1"/>
  <c r="BW15" i="15" s="1"/>
  <c r="BW14" i="15" s="1"/>
  <c r="BW41" i="15" s="1"/>
  <c r="BY121" i="5"/>
  <c r="BZ44" i="6"/>
  <c r="BW42" i="15" l="1"/>
  <c r="BY20" i="5"/>
  <c r="BZ43" i="6"/>
  <c r="BZ42" i="6" s="1"/>
  <c r="BZ55" i="6" s="1"/>
  <c r="BZ57" i="6" s="1"/>
  <c r="BY285" i="11" l="1"/>
  <c r="BZ62" i="6"/>
  <c r="BY15" i="5"/>
  <c r="BY14" i="5" s="1"/>
  <c r="BZ66" i="6" s="1"/>
  <c r="BZ75" i="6" s="1"/>
  <c r="BZ80" i="6" l="1"/>
  <c r="BY98" i="5"/>
  <c r="BY17" i="19"/>
  <c r="BZ76" i="6"/>
  <c r="CA73" i="6" s="1"/>
  <c r="BZ69" i="6"/>
  <c r="BZ64" i="6"/>
  <c r="BY95" i="5" l="1"/>
  <c r="BY14" i="19"/>
  <c r="BY19" i="19"/>
  <c r="BY20" i="19"/>
  <c r="BZ70" i="6"/>
  <c r="BZ71" i="6" s="1"/>
  <c r="CA68" i="6" s="1"/>
  <c r="BY103" i="5"/>
  <c r="BZ81" i="6"/>
  <c r="CA78" i="6" s="1"/>
  <c r="BY100" i="5" l="1"/>
  <c r="BZ89" i="6"/>
  <c r="BY125" i="5"/>
  <c r="BY126" i="5"/>
  <c r="BZ94" i="6" l="1"/>
  <c r="BZ90" i="6"/>
  <c r="BY127" i="5"/>
  <c r="BY128" i="5"/>
  <c r="BZ99" i="6" l="1"/>
  <c r="BZ95" i="6"/>
  <c r="BZ96" i="6" s="1"/>
  <c r="CA93" i="6" s="1"/>
  <c r="BZ91" i="6"/>
  <c r="CA88" i="6" s="1"/>
  <c r="BY113" i="5"/>
  <c r="BY49" i="19" l="1"/>
  <c r="BY110" i="5"/>
  <c r="BY286" i="11"/>
  <c r="BY287" i="11" s="1"/>
  <c r="BZ100" i="6"/>
  <c r="BY64" i="19"/>
  <c r="BX39" i="15" l="1"/>
  <c r="BX38" i="15" s="1"/>
  <c r="BX34" i="15" s="1"/>
  <c r="BX40" i="15" s="1"/>
  <c r="BZ284" i="11"/>
  <c r="BY135" i="5"/>
  <c r="BY132" i="5"/>
  <c r="BY134" i="5" s="1"/>
  <c r="BY131" i="5"/>
  <c r="BY133" i="5" s="1"/>
  <c r="BY67" i="5"/>
  <c r="BY120" i="5" s="1"/>
  <c r="BY122" i="5" s="1"/>
  <c r="BY124" i="5" s="1"/>
  <c r="BY66" i="19"/>
  <c r="BY67" i="19"/>
  <c r="BZ101" i="6"/>
  <c r="CA98" i="6" s="1"/>
  <c r="BY46" i="19"/>
  <c r="BY51" i="19"/>
  <c r="BY52" i="19"/>
  <c r="BZ121" i="5" l="1"/>
  <c r="CA44" i="6"/>
  <c r="BX16" i="15"/>
  <c r="BX15" i="15" s="1"/>
  <c r="BX14" i="15" s="1"/>
  <c r="BX41" i="15" s="1"/>
  <c r="BX42" i="15" l="1"/>
  <c r="BZ20" i="5"/>
  <c r="BZ15" i="5" s="1"/>
  <c r="BZ14" i="5" s="1"/>
  <c r="CA66" i="6" s="1"/>
  <c r="CA75" i="6" s="1"/>
  <c r="CA43" i="6"/>
  <c r="CA42" i="6" s="1"/>
  <c r="CA55" i="6" s="1"/>
  <c r="CA57" i="6" s="1"/>
  <c r="CA62" i="6" l="1"/>
  <c r="BZ285" i="11"/>
  <c r="CA80" i="6"/>
  <c r="BZ98" i="5"/>
  <c r="BZ17" i="19"/>
  <c r="CA76" i="6"/>
  <c r="CB73" i="6" s="1"/>
  <c r="BZ95" i="5" l="1"/>
  <c r="BZ103" i="5"/>
  <c r="BZ100" i="5" s="1"/>
  <c r="CA81" i="6"/>
  <c r="CB78" i="6" s="1"/>
  <c r="BZ14" i="19"/>
  <c r="BZ19" i="19"/>
  <c r="BZ20" i="19"/>
  <c r="CA64" i="6"/>
  <c r="CA69" i="6"/>
  <c r="CA70" i="6" s="1"/>
  <c r="CA71" i="6" l="1"/>
  <c r="CB68" i="6" s="1"/>
  <c r="X78" i="16"/>
  <c r="X81" i="16" s="1"/>
  <c r="X82" i="16" s="1"/>
  <c r="CA89" i="6"/>
  <c r="X85" i="16"/>
  <c r="BZ127" i="5"/>
  <c r="BZ128" i="5"/>
  <c r="BZ126" i="5"/>
  <c r="BZ125" i="5"/>
  <c r="CA94" i="6" l="1"/>
  <c r="CA95" i="6" s="1"/>
  <c r="CA96" i="6" s="1"/>
  <c r="CB93" i="6" s="1"/>
  <c r="CA90" i="6"/>
  <c r="BZ113" i="5" s="1"/>
  <c r="BZ110" i="5" l="1"/>
  <c r="BZ49" i="19"/>
  <c r="BZ286" i="11"/>
  <c r="BZ287" i="11" s="1"/>
  <c r="CA91" i="6"/>
  <c r="CB88" i="6" s="1"/>
  <c r="CA99" i="6"/>
  <c r="BZ132" i="5" l="1"/>
  <c r="BZ134" i="5" s="1"/>
  <c r="BZ67" i="5"/>
  <c r="BZ120" i="5" s="1"/>
  <c r="BZ122" i="5" s="1"/>
  <c r="BZ124" i="5" s="1"/>
  <c r="BZ135" i="5"/>
  <c r="BZ131" i="5"/>
  <c r="BZ133" i="5" s="1"/>
  <c r="CA284" i="11"/>
  <c r="BY39" i="15"/>
  <c r="CA100" i="6"/>
  <c r="CA101" i="6" s="1"/>
  <c r="CB98" i="6" s="1"/>
  <c r="BZ64" i="19"/>
  <c r="BZ52" i="19"/>
  <c r="BZ51" i="19"/>
  <c r="BZ46" i="19"/>
  <c r="V34" i="18" l="1"/>
  <c r="V33" i="18" s="1"/>
  <c r="V29" i="18" s="1"/>
  <c r="V35" i="18" s="1"/>
  <c r="BY38" i="15"/>
  <c r="BY34" i="15" s="1"/>
  <c r="BY40" i="15" s="1"/>
  <c r="BY16" i="15"/>
  <c r="CA121" i="5"/>
  <c r="CB44" i="6"/>
  <c r="BZ66" i="19"/>
  <c r="BZ67" i="19"/>
  <c r="CB43" i="6" l="1"/>
  <c r="CB42" i="6" s="1"/>
  <c r="CB55" i="6" s="1"/>
  <c r="CB57" i="6" s="1"/>
  <c r="CA20" i="5"/>
  <c r="V11" i="18"/>
  <c r="V10" i="18" s="1"/>
  <c r="V9" i="18" s="1"/>
  <c r="V36" i="18" s="1"/>
  <c r="BY15" i="15"/>
  <c r="BY14" i="15" s="1"/>
  <c r="BY41" i="15" s="1"/>
  <c r="BY42" i="15" l="1"/>
  <c r="CA15" i="5"/>
  <c r="CA14" i="5" s="1"/>
  <c r="CB66" i="6" s="1"/>
  <c r="CA285" i="11"/>
  <c r="CB62" i="6"/>
  <c r="CB69" i="6" l="1"/>
  <c r="CB64" i="6"/>
  <c r="CB75" i="6"/>
  <c r="CA98" i="5" l="1"/>
  <c r="CA17" i="19"/>
  <c r="CB76" i="6"/>
  <c r="CC73" i="6" s="1"/>
  <c r="CB80" i="6"/>
  <c r="CB70" i="6"/>
  <c r="CB89" i="6" l="1"/>
  <c r="CB71" i="6"/>
  <c r="CC68" i="6" s="1"/>
  <c r="CA19" i="19"/>
  <c r="CA14" i="19"/>
  <c r="CA20" i="19"/>
  <c r="CA103" i="5"/>
  <c r="CB81" i="6"/>
  <c r="CC78" i="6" s="1"/>
  <c r="CA95" i="5"/>
  <c r="CA100" i="5" l="1"/>
  <c r="CA125" i="5"/>
  <c r="CA126" i="5"/>
  <c r="CB94" i="6"/>
  <c r="CB90" i="6"/>
  <c r="CB91" i="6" s="1"/>
  <c r="CC88" i="6" s="1"/>
  <c r="CB99" i="6" l="1"/>
  <c r="CB95" i="6"/>
  <c r="CB96" i="6" s="1"/>
  <c r="CC93" i="6" s="1"/>
  <c r="CA113" i="5"/>
  <c r="CA127" i="5"/>
  <c r="CA128" i="5"/>
  <c r="CA110" i="5" l="1"/>
  <c r="CA49" i="19"/>
  <c r="CA286" i="11"/>
  <c r="CA287" i="11" s="1"/>
  <c r="CB100" i="6"/>
  <c r="CA64" i="19"/>
  <c r="CA66" i="19" l="1"/>
  <c r="CA67" i="19"/>
  <c r="CB101" i="6"/>
  <c r="CC98" i="6" s="1"/>
  <c r="CA51" i="19"/>
  <c r="CA46" i="19"/>
  <c r="CA52" i="19"/>
  <c r="BZ39" i="15"/>
  <c r="BZ38" i="15" s="1"/>
  <c r="BZ34" i="15" s="1"/>
  <c r="BZ40" i="15" s="1"/>
  <c r="CB284" i="11"/>
  <c r="CA132" i="5"/>
  <c r="CA134" i="5" s="1"/>
  <c r="CA135" i="5"/>
  <c r="CA131" i="5"/>
  <c r="CA133" i="5" s="1"/>
  <c r="CA67" i="5"/>
  <c r="CA120" i="5" s="1"/>
  <c r="CA122" i="5" s="1"/>
  <c r="CA124" i="5" s="1"/>
  <c r="BZ16" i="15" l="1"/>
  <c r="BZ15" i="15" s="1"/>
  <c r="BZ14" i="15" s="1"/>
  <c r="BZ41" i="15" s="1"/>
  <c r="CB121" i="5"/>
  <c r="CC44" i="6"/>
  <c r="BZ42" i="15" l="1"/>
  <c r="CB20" i="5"/>
  <c r="CC43" i="6"/>
  <c r="CC42" i="6" s="1"/>
  <c r="CC55" i="6" s="1"/>
  <c r="CC57" i="6" s="1"/>
  <c r="CB15" i="5" l="1"/>
  <c r="CB14" i="5" s="1"/>
  <c r="CC66" i="6" s="1"/>
  <c r="CC75" i="6" s="1"/>
  <c r="CB285" i="11"/>
  <c r="CC62" i="6"/>
  <c r="CC80" i="6" l="1"/>
  <c r="CB98" i="5"/>
  <c r="CB17" i="19"/>
  <c r="CC76" i="6"/>
  <c r="CD73" i="6" s="1"/>
  <c r="CC69" i="6"/>
  <c r="CC64" i="6"/>
  <c r="CB14" i="19" l="1"/>
  <c r="CB19" i="19"/>
  <c r="CB20" i="19"/>
  <c r="CC70" i="6"/>
  <c r="CC71" i="6" s="1"/>
  <c r="CD68" i="6" s="1"/>
  <c r="CB95" i="5"/>
  <c r="CB103" i="5"/>
  <c r="CC81" i="6"/>
  <c r="CD78" i="6" s="1"/>
  <c r="CB100" i="5" l="1"/>
  <c r="CC89" i="6"/>
  <c r="CB126" i="5"/>
  <c r="CB125" i="5"/>
  <c r="CC94" i="6" l="1"/>
  <c r="CC90" i="6"/>
  <c r="CB128" i="5"/>
  <c r="CB127" i="5"/>
  <c r="CC91" i="6" l="1"/>
  <c r="CD88" i="6" s="1"/>
  <c r="CB113" i="5"/>
  <c r="CC99" i="6"/>
  <c r="CC95" i="6"/>
  <c r="CC96" i="6" s="1"/>
  <c r="CD93" i="6" s="1"/>
  <c r="CB110" i="5" l="1"/>
  <c r="CB49" i="19"/>
  <c r="CB286" i="11"/>
  <c r="CB287" i="11" s="1"/>
  <c r="CC100" i="6"/>
  <c r="CC101" i="6" s="1"/>
  <c r="CD98" i="6" s="1"/>
  <c r="CB64" i="19"/>
  <c r="CB67" i="19" l="1"/>
  <c r="CB66" i="19"/>
  <c r="CB52" i="19"/>
  <c r="CB51" i="19"/>
  <c r="CB46" i="19"/>
  <c r="CA39" i="15"/>
  <c r="CA38" i="15" s="1"/>
  <c r="CA34" i="15" s="1"/>
  <c r="CA40" i="15" s="1"/>
  <c r="CC284" i="11"/>
  <c r="CB135" i="5"/>
  <c r="CB132" i="5"/>
  <c r="CB134" i="5" s="1"/>
  <c r="CB131" i="5"/>
  <c r="CB133" i="5" s="1"/>
  <c r="CB67" i="5"/>
  <c r="CB120" i="5" s="1"/>
  <c r="CB122" i="5" s="1"/>
  <c r="CB124" i="5" s="1"/>
  <c r="CA16" i="15" l="1"/>
  <c r="CA15" i="15" s="1"/>
  <c r="CA14" i="15" s="1"/>
  <c r="CA41" i="15" s="1"/>
  <c r="CC121" i="5"/>
  <c r="CD44" i="6"/>
  <c r="CA42" i="15" l="1"/>
  <c r="CC20" i="5"/>
  <c r="CD43" i="6"/>
  <c r="CD42" i="6" s="1"/>
  <c r="CD55" i="6" s="1"/>
  <c r="CD57" i="6" s="1"/>
  <c r="CC285" i="11" l="1"/>
  <c r="CD62" i="6"/>
  <c r="CC15" i="5"/>
  <c r="CC14" i="5" s="1"/>
  <c r="CD66" i="6" s="1"/>
  <c r="CD75" i="6" l="1"/>
  <c r="CD69" i="6"/>
  <c r="CD64" i="6"/>
  <c r="CC98" i="5" l="1"/>
  <c r="CC17" i="19"/>
  <c r="CD76" i="6"/>
  <c r="CE73" i="6" s="1"/>
  <c r="CD70" i="6"/>
  <c r="CD71" i="6" s="1"/>
  <c r="CE68" i="6" s="1"/>
  <c r="CD80" i="6"/>
  <c r="CC103" i="5" l="1"/>
  <c r="CD81" i="6"/>
  <c r="CE78" i="6" s="1"/>
  <c r="CD89" i="6"/>
  <c r="CC19" i="19"/>
  <c r="CC20" i="19"/>
  <c r="CC14" i="19"/>
  <c r="CC95" i="5"/>
  <c r="CC125" i="5" l="1"/>
  <c r="CC126" i="5"/>
  <c r="CC100" i="5"/>
  <c r="CD94" i="6"/>
  <c r="CD95" i="6" s="1"/>
  <c r="CD96" i="6" s="1"/>
  <c r="CE93" i="6" s="1"/>
  <c r="CD90" i="6"/>
  <c r="CD99" i="6" l="1"/>
  <c r="CC64" i="19" s="1"/>
  <c r="CD91" i="6"/>
  <c r="CE88" i="6" s="1"/>
  <c r="CC113" i="5"/>
  <c r="CC127" i="5"/>
  <c r="CC128" i="5"/>
  <c r="CD100" i="6" l="1"/>
  <c r="CD101" i="6" s="1"/>
  <c r="CE98" i="6" s="1"/>
  <c r="CC67" i="19"/>
  <c r="CC66" i="19"/>
  <c r="CC110" i="5"/>
  <c r="CC49" i="19"/>
  <c r="CC286" i="11"/>
  <c r="CC287" i="11" s="1"/>
  <c r="CC46" i="19" l="1"/>
  <c r="CC51" i="19"/>
  <c r="CC52" i="19"/>
  <c r="CB39" i="15"/>
  <c r="CB38" i="15" s="1"/>
  <c r="CB34" i="15" s="1"/>
  <c r="CB40" i="15" s="1"/>
  <c r="CD284" i="11"/>
  <c r="CC131" i="5"/>
  <c r="CC133" i="5" s="1"/>
  <c r="CC67" i="5"/>
  <c r="CC120" i="5" s="1"/>
  <c r="CC122" i="5" s="1"/>
  <c r="CC124" i="5" s="1"/>
  <c r="CC132" i="5"/>
  <c r="CC134" i="5" s="1"/>
  <c r="CC135" i="5"/>
  <c r="CB16" i="15" l="1"/>
  <c r="CB15" i="15" s="1"/>
  <c r="CB14" i="15" s="1"/>
  <c r="CB41" i="15" s="1"/>
  <c r="CD121" i="5"/>
  <c r="CE44" i="6"/>
  <c r="CB42" i="15" l="1"/>
  <c r="CE43" i="6"/>
  <c r="CE42" i="6" s="1"/>
  <c r="CE55" i="6" s="1"/>
  <c r="CE57" i="6" s="1"/>
  <c r="CD20" i="5"/>
  <c r="CD285" i="11" l="1"/>
  <c r="CE62" i="6"/>
  <c r="CD15" i="5"/>
  <c r="CD14" i="5" s="1"/>
  <c r="CE66" i="6" s="1"/>
  <c r="CE75" i="6" s="1"/>
  <c r="CE80" i="6" l="1"/>
  <c r="CD17" i="19"/>
  <c r="CD98" i="5"/>
  <c r="CE76" i="6"/>
  <c r="CF73" i="6" s="1"/>
  <c r="CE69" i="6"/>
  <c r="CE64" i="6"/>
  <c r="CD95" i="5" l="1"/>
  <c r="CD19" i="19"/>
  <c r="CD20" i="19"/>
  <c r="CD14" i="19"/>
  <c r="CE70" i="6"/>
  <c r="CD103" i="5"/>
  <c r="CE81" i="6"/>
  <c r="CF78" i="6" s="1"/>
  <c r="CD100" i="5" l="1"/>
  <c r="CE71" i="6"/>
  <c r="CF68" i="6" s="1"/>
  <c r="CE89" i="6"/>
  <c r="CD126" i="5"/>
  <c r="CD125" i="5"/>
  <c r="CE94" i="6" l="1"/>
  <c r="CE95" i="6" s="1"/>
  <c r="CE96" i="6" s="1"/>
  <c r="CF93" i="6" s="1"/>
  <c r="CE90" i="6"/>
  <c r="CD127" i="5"/>
  <c r="CD128" i="5"/>
  <c r="CE99" i="6" l="1"/>
  <c r="CD64" i="19" s="1"/>
  <c r="CE91" i="6"/>
  <c r="CF88" i="6" s="1"/>
  <c r="CD113" i="5"/>
  <c r="CE100" i="6" l="1"/>
  <c r="CE101" i="6" s="1"/>
  <c r="CF98" i="6" s="1"/>
  <c r="CD110" i="5"/>
  <c r="CD49" i="19"/>
  <c r="CD286" i="11"/>
  <c r="CD287" i="11" s="1"/>
  <c r="CD66" i="19"/>
  <c r="CD67" i="19"/>
  <c r="CD46" i="19" l="1"/>
  <c r="CD52" i="19"/>
  <c r="CD51" i="19"/>
  <c r="CE284" i="11"/>
  <c r="CC39" i="15"/>
  <c r="CC38" i="15" s="1"/>
  <c r="CC34" i="15" s="1"/>
  <c r="CC40" i="15" s="1"/>
  <c r="CD135" i="5"/>
  <c r="CD132" i="5"/>
  <c r="CD134" i="5" s="1"/>
  <c r="CD67" i="5"/>
  <c r="CD120" i="5" s="1"/>
  <c r="CD122" i="5" s="1"/>
  <c r="CD124" i="5" s="1"/>
  <c r="CD131" i="5"/>
  <c r="CD133" i="5" s="1"/>
  <c r="CC16" i="15" l="1"/>
  <c r="CC15" i="15" s="1"/>
  <c r="CC14" i="15" s="1"/>
  <c r="CC41" i="15" s="1"/>
  <c r="CE121" i="5"/>
  <c r="CF44" i="6"/>
  <c r="CC42" i="15" l="1"/>
  <c r="CF43" i="6"/>
  <c r="CF42" i="6" s="1"/>
  <c r="CF55" i="6" s="1"/>
  <c r="CF57" i="6" s="1"/>
  <c r="CE20" i="5"/>
  <c r="CE15" i="5" l="1"/>
  <c r="CE14" i="5" s="1"/>
  <c r="CF66" i="6" s="1"/>
  <c r="CF62" i="6"/>
  <c r="CE285" i="11"/>
  <c r="CF75" i="6" l="1"/>
  <c r="CF80" i="6" s="1"/>
  <c r="CF64" i="6"/>
  <c r="CF69" i="6"/>
  <c r="CE103" i="5" l="1"/>
  <c r="CF81" i="6"/>
  <c r="CG78" i="6" s="1"/>
  <c r="CF70" i="6"/>
  <c r="CF89" i="6" s="1"/>
  <c r="CE17" i="19"/>
  <c r="CE98" i="5"/>
  <c r="CF76" i="6"/>
  <c r="CG73" i="6" s="1"/>
  <c r="CE95" i="5" l="1"/>
  <c r="CE14" i="19"/>
  <c r="CE19" i="19"/>
  <c r="CE20" i="19"/>
  <c r="CF71" i="6"/>
  <c r="CG68" i="6" s="1"/>
  <c r="CE100" i="5"/>
  <c r="CF94" i="6"/>
  <c r="CF95" i="6" s="1"/>
  <c r="CF96" i="6" s="1"/>
  <c r="CG93" i="6" s="1"/>
  <c r="CF90" i="6"/>
  <c r="CF99" i="6" l="1"/>
  <c r="CE64" i="19" s="1"/>
  <c r="CE128" i="5"/>
  <c r="CE127" i="5"/>
  <c r="CE113" i="5"/>
  <c r="CF91" i="6"/>
  <c r="CG88" i="6" s="1"/>
  <c r="CE126" i="5"/>
  <c r="CE125" i="5"/>
  <c r="CF100" i="6" l="1"/>
  <c r="CF101" i="6" s="1"/>
  <c r="CG98" i="6" s="1"/>
  <c r="CE110" i="5"/>
  <c r="CE49" i="19"/>
  <c r="CE286" i="11"/>
  <c r="CE287" i="11" s="1"/>
  <c r="CE66" i="19"/>
  <c r="CE67" i="19"/>
  <c r="CE52" i="19" l="1"/>
  <c r="CE51" i="19"/>
  <c r="CE46" i="19"/>
  <c r="CD39" i="15"/>
  <c r="CD38" i="15" s="1"/>
  <c r="CD34" i="15" s="1"/>
  <c r="CD40" i="15" s="1"/>
  <c r="CF284" i="11"/>
  <c r="CE132" i="5"/>
  <c r="CE134" i="5" s="1"/>
  <c r="CE67" i="5"/>
  <c r="CE120" i="5" s="1"/>
  <c r="CE122" i="5" s="1"/>
  <c r="CE124" i="5" s="1"/>
  <c r="CE135" i="5"/>
  <c r="CE131" i="5"/>
  <c r="CE133" i="5" s="1"/>
  <c r="CD16" i="15" l="1"/>
  <c r="CD15" i="15" s="1"/>
  <c r="CD14" i="15" s="1"/>
  <c r="CD41" i="15" s="1"/>
  <c r="CF121" i="5"/>
  <c r="CG44" i="6"/>
  <c r="CD42" i="15" l="1"/>
  <c r="CF20" i="5"/>
  <c r="CF15" i="5" s="1"/>
  <c r="CF14" i="5" s="1"/>
  <c r="CG66" i="6" s="1"/>
  <c r="CG75" i="6" s="1"/>
  <c r="CG43" i="6"/>
  <c r="CG42" i="6" s="1"/>
  <c r="CG55" i="6" s="1"/>
  <c r="CG57" i="6" s="1"/>
  <c r="CF285" i="11" l="1"/>
  <c r="CG62" i="6"/>
  <c r="CG80" i="6"/>
  <c r="CF98" i="5"/>
  <c r="CF17" i="19"/>
  <c r="CG76" i="6"/>
  <c r="CH73" i="6" s="1"/>
  <c r="CF103" i="5" l="1"/>
  <c r="CF100" i="5" s="1"/>
  <c r="CG81" i="6"/>
  <c r="CH78" i="6" s="1"/>
  <c r="CG64" i="6"/>
  <c r="CG69" i="6"/>
  <c r="CG70" i="6" s="1"/>
  <c r="CF95" i="5"/>
  <c r="CF20" i="19"/>
  <c r="CF19" i="19"/>
  <c r="CF14" i="19"/>
  <c r="CG71" i="6" l="1"/>
  <c r="CH68" i="6" s="1"/>
  <c r="CG89" i="6"/>
  <c r="Y85" i="16"/>
  <c r="Y78" i="16"/>
  <c r="Y81" i="16" s="1"/>
  <c r="Y82" i="16" s="1"/>
  <c r="CF126" i="5"/>
  <c r="CF125" i="5"/>
  <c r="CF128" i="5"/>
  <c r="CF127" i="5"/>
  <c r="CG94" i="6" l="1"/>
  <c r="CG90" i="6"/>
  <c r="CF113" i="5" s="1"/>
  <c r="CF110" i="5" l="1"/>
  <c r="CF49" i="19"/>
  <c r="CF286" i="11"/>
  <c r="CF287" i="11" s="1"/>
  <c r="CG91" i="6"/>
  <c r="CH88" i="6" s="1"/>
  <c r="CG99" i="6"/>
  <c r="CG95" i="6"/>
  <c r="CG96" i="6" s="1"/>
  <c r="CH93" i="6" s="1"/>
  <c r="CF52" i="19" l="1"/>
  <c r="CF51" i="19"/>
  <c r="CF46" i="19"/>
  <c r="CE39" i="15"/>
  <c r="CG284" i="11"/>
  <c r="CG100" i="6"/>
  <c r="CG101" i="6" s="1"/>
  <c r="CH98" i="6" s="1"/>
  <c r="CF64" i="19"/>
  <c r="CF135" i="5"/>
  <c r="CF67" i="5"/>
  <c r="CF120" i="5" s="1"/>
  <c r="CF122" i="5" s="1"/>
  <c r="CF124" i="5" s="1"/>
  <c r="CF131" i="5"/>
  <c r="CF133" i="5" s="1"/>
  <c r="CF132" i="5"/>
  <c r="CF134" i="5" s="1"/>
  <c r="CF67" i="19" l="1"/>
  <c r="CF66" i="19"/>
  <c r="W34" i="18"/>
  <c r="CE38" i="15"/>
  <c r="CE34" i="15" s="1"/>
  <c r="CE40" i="15" s="1"/>
  <c r="CH44" i="6"/>
  <c r="CE16" i="15"/>
  <c r="CG121" i="5"/>
  <c r="W33" i="18" l="1"/>
  <c r="W29" i="18" s="1"/>
  <c r="W35" i="18" s="1"/>
  <c r="J227" i="32"/>
  <c r="J228" i="32" s="1"/>
  <c r="J229" i="32" s="1"/>
  <c r="W11" i="18"/>
  <c r="CE15" i="15"/>
  <c r="CE14" i="15" s="1"/>
  <c r="CE41" i="15" s="1"/>
  <c r="CG20" i="5"/>
  <c r="CH43" i="6"/>
  <c r="CH42" i="6" s="1"/>
  <c r="CH55" i="6" s="1"/>
  <c r="CH57" i="6" s="1"/>
  <c r="CE42" i="15" l="1"/>
  <c r="CG285" i="11"/>
  <c r="CH62" i="6"/>
  <c r="CG15" i="5"/>
  <c r="CG14" i="5" s="1"/>
  <c r="CH66" i="6" s="1"/>
  <c r="CH75" i="6" s="1"/>
  <c r="W10" i="18"/>
  <c r="W9" i="18" s="1"/>
  <c r="W36" i="18" s="1"/>
  <c r="J210" i="32"/>
  <c r="J217" i="32" s="1"/>
  <c r="J230" i="32" s="1"/>
  <c r="CH64" i="6" l="1"/>
  <c r="CH69" i="6"/>
  <c r="CH80" i="6"/>
  <c r="CG17" i="19"/>
  <c r="CG98" i="5"/>
  <c r="CH76" i="6"/>
  <c r="CI73" i="6" s="1"/>
  <c r="CG103" i="5" l="1"/>
  <c r="CH81" i="6"/>
  <c r="CI78" i="6" s="1"/>
  <c r="CH70" i="6"/>
  <c r="CG95" i="5"/>
  <c r="CG14" i="19"/>
  <c r="CG19" i="19"/>
  <c r="CG20" i="19"/>
  <c r="CG125" i="5" l="1"/>
  <c r="CG126" i="5"/>
  <c r="CH71" i="6"/>
  <c r="CI68" i="6" s="1"/>
  <c r="CH89" i="6"/>
  <c r="CG100" i="5"/>
  <c r="CG127" i="5" l="1"/>
  <c r="CG128" i="5"/>
  <c r="CH94" i="6"/>
  <c r="CH95" i="6" s="1"/>
  <c r="CH96" i="6" s="1"/>
  <c r="CI93" i="6" s="1"/>
  <c r="CH90" i="6"/>
  <c r="CH99" i="6" l="1"/>
  <c r="CH100" i="6" s="1"/>
  <c r="CG113" i="5"/>
  <c r="CH91" i="6"/>
  <c r="CI88" i="6" s="1"/>
  <c r="CG64" i="19" l="1"/>
  <c r="CG67" i="19" s="1"/>
  <c r="CG110" i="5"/>
  <c r="CG49" i="19"/>
  <c r="CG286" i="11"/>
  <c r="CG287" i="11" s="1"/>
  <c r="CH101" i="6"/>
  <c r="CI98" i="6" s="1"/>
  <c r="CG66" i="19" l="1"/>
  <c r="CF39" i="15"/>
  <c r="CF38" i="15" s="1"/>
  <c r="CF34" i="15" s="1"/>
  <c r="CF40" i="15" s="1"/>
  <c r="CH284" i="11"/>
  <c r="CG52" i="19"/>
  <c r="CG51" i="19"/>
  <c r="CG46" i="19"/>
  <c r="CG135" i="5"/>
  <c r="CG131" i="5"/>
  <c r="CG133" i="5" s="1"/>
  <c r="CG67" i="5"/>
  <c r="CG120" i="5" s="1"/>
  <c r="CG122" i="5" s="1"/>
  <c r="CG124" i="5" s="1"/>
  <c r="CG132" i="5"/>
  <c r="CG134" i="5" s="1"/>
  <c r="CF16" i="15" l="1"/>
  <c r="CF15" i="15" s="1"/>
  <c r="CF14" i="15" s="1"/>
  <c r="CF41" i="15" s="1"/>
  <c r="CH121" i="5"/>
  <c r="CI44" i="6"/>
  <c r="CF42" i="15" l="1"/>
  <c r="CH20" i="5"/>
  <c r="CI43" i="6"/>
  <c r="CI42" i="6" s="1"/>
  <c r="CI55" i="6" s="1"/>
  <c r="CI57" i="6" s="1"/>
  <c r="CH285" i="11" l="1"/>
  <c r="CI62" i="6"/>
  <c r="CH15" i="5"/>
  <c r="CH14" i="5" s="1"/>
  <c r="CI66" i="6" s="1"/>
  <c r="CI75" i="6" s="1"/>
  <c r="CI80" i="6" l="1"/>
  <c r="CH98" i="5"/>
  <c r="CH17" i="19"/>
  <c r="CI76" i="6"/>
  <c r="CJ73" i="6" s="1"/>
  <c r="CI69" i="6"/>
  <c r="CI64" i="6"/>
  <c r="CH14" i="19" l="1"/>
  <c r="CH19" i="19"/>
  <c r="CH20" i="19"/>
  <c r="CI70" i="6"/>
  <c r="CH95" i="5"/>
  <c r="CH103" i="5"/>
  <c r="CI81" i="6"/>
  <c r="CJ78" i="6" s="1"/>
  <c r="CI89" i="6" l="1"/>
  <c r="CH100" i="5"/>
  <c r="CH126" i="5"/>
  <c r="CH125" i="5"/>
  <c r="CI71" i="6"/>
  <c r="CJ68" i="6" s="1"/>
  <c r="CI94" i="6" l="1"/>
  <c r="CI90" i="6"/>
  <c r="CH128" i="5"/>
  <c r="CH127" i="5"/>
  <c r="CH113" i="5" l="1"/>
  <c r="CI99" i="6"/>
  <c r="CI95" i="6"/>
  <c r="CI96" i="6" s="1"/>
  <c r="CJ93" i="6" s="1"/>
  <c r="CI91" i="6"/>
  <c r="CJ88" i="6" s="1"/>
  <c r="CI100" i="6" l="1"/>
  <c r="CI101" i="6" s="1"/>
  <c r="CJ98" i="6" s="1"/>
  <c r="CH64" i="19"/>
  <c r="CH49" i="19"/>
  <c r="CH110" i="5"/>
  <c r="CH286" i="11"/>
  <c r="CH287" i="11" s="1"/>
  <c r="CG39" i="15" l="1"/>
  <c r="CG38" i="15" s="1"/>
  <c r="CG34" i="15" s="1"/>
  <c r="CG40" i="15" s="1"/>
  <c r="CI284" i="11"/>
  <c r="CH67" i="5"/>
  <c r="CH120" i="5" s="1"/>
  <c r="CH122" i="5" s="1"/>
  <c r="CH124" i="5" s="1"/>
  <c r="CH135" i="5"/>
  <c r="CH131" i="5"/>
  <c r="CH133" i="5" s="1"/>
  <c r="CH132" i="5"/>
  <c r="CH134" i="5" s="1"/>
  <c r="CH66" i="19"/>
  <c r="CH67" i="19"/>
  <c r="CH51" i="19"/>
  <c r="CH52" i="19"/>
  <c r="CH46" i="19"/>
  <c r="CG16" i="15" l="1"/>
  <c r="CG15" i="15" s="1"/>
  <c r="CG14" i="15" s="1"/>
  <c r="CG41" i="15" s="1"/>
  <c r="CI121" i="5"/>
  <c r="CJ44" i="6"/>
  <c r="CI20" i="5" l="1"/>
  <c r="CJ43" i="6"/>
  <c r="CJ42" i="6" s="1"/>
  <c r="CJ55" i="6" s="1"/>
  <c r="CJ57" i="6" s="1"/>
  <c r="CG42" i="15"/>
  <c r="CI285" i="11" l="1"/>
  <c r="CJ62" i="6"/>
  <c r="CI15" i="5"/>
  <c r="CI14" i="5" s="1"/>
  <c r="CJ66" i="6" s="1"/>
  <c r="CJ75" i="6" s="1"/>
  <c r="CJ80" i="6" l="1"/>
  <c r="CI98" i="5"/>
  <c r="CI17" i="19"/>
  <c r="CJ76" i="6"/>
  <c r="CK73" i="6" s="1"/>
  <c r="CJ69" i="6"/>
  <c r="CJ64" i="6"/>
  <c r="CJ70" i="6" l="1"/>
  <c r="CI14" i="19"/>
  <c r="CI19" i="19"/>
  <c r="CI20" i="19"/>
  <c r="CI95" i="5"/>
  <c r="CI103" i="5"/>
  <c r="CJ81" i="6"/>
  <c r="CK78" i="6" s="1"/>
  <c r="CI100" i="5" l="1"/>
  <c r="CJ71" i="6"/>
  <c r="CK68" i="6" s="1"/>
  <c r="CJ89" i="6"/>
  <c r="CI125" i="5"/>
  <c r="CI126" i="5"/>
  <c r="CJ94" i="6" l="1"/>
  <c r="CJ90" i="6"/>
  <c r="CI127" i="5"/>
  <c r="CI128" i="5"/>
  <c r="CJ99" i="6" l="1"/>
  <c r="CJ95" i="6"/>
  <c r="CJ96" i="6" s="1"/>
  <c r="CK93" i="6" s="1"/>
  <c r="CJ91" i="6"/>
  <c r="CK88" i="6" s="1"/>
  <c r="CI113" i="5"/>
  <c r="CI110" i="5" l="1"/>
  <c r="CI49" i="19"/>
  <c r="CI286" i="11"/>
  <c r="CI287" i="11" s="1"/>
  <c r="CJ100" i="6"/>
  <c r="CI64" i="19"/>
  <c r="CI67" i="19" l="1"/>
  <c r="CI66" i="19"/>
  <c r="CH39" i="15"/>
  <c r="CH38" i="15" s="1"/>
  <c r="CH34" i="15" s="1"/>
  <c r="CH40" i="15" s="1"/>
  <c r="CJ284" i="11"/>
  <c r="CI51" i="19"/>
  <c r="CI46" i="19"/>
  <c r="CI52" i="19"/>
  <c r="CJ101" i="6"/>
  <c r="CK98" i="6" s="1"/>
  <c r="CI67" i="5"/>
  <c r="CI120" i="5" s="1"/>
  <c r="CI122" i="5" s="1"/>
  <c r="CI124" i="5" s="1"/>
  <c r="CI131" i="5"/>
  <c r="CI133" i="5" s="1"/>
  <c r="CI132" i="5"/>
  <c r="CI134" i="5" s="1"/>
  <c r="CI135" i="5"/>
  <c r="CH16" i="15" l="1"/>
  <c r="CH15" i="15" s="1"/>
  <c r="CH14" i="15" s="1"/>
  <c r="CH41" i="15" s="1"/>
  <c r="CJ121" i="5"/>
  <c r="CK44" i="6"/>
  <c r="CJ20" i="5" l="1"/>
  <c r="CK43" i="6"/>
  <c r="CK42" i="6" s="1"/>
  <c r="CK55" i="6" s="1"/>
  <c r="CK57" i="6" s="1"/>
  <c r="CH42" i="15"/>
  <c r="CJ285" i="11" l="1"/>
  <c r="CK62" i="6"/>
  <c r="CJ15" i="5"/>
  <c r="CJ14" i="5" s="1"/>
  <c r="CK66" i="6" s="1"/>
  <c r="CK75" i="6" s="1"/>
  <c r="CK80" i="6" l="1"/>
  <c r="CJ17" i="19"/>
  <c r="CJ98" i="5"/>
  <c r="CK76" i="6"/>
  <c r="CL73" i="6" s="1"/>
  <c r="CK64" i="6"/>
  <c r="CK69" i="6"/>
  <c r="CJ95" i="5" l="1"/>
  <c r="CK70" i="6"/>
  <c r="CJ14" i="19"/>
  <c r="CJ20" i="19"/>
  <c r="CJ19" i="19"/>
  <c r="CJ103" i="5"/>
  <c r="CK81" i="6"/>
  <c r="CL78" i="6" s="1"/>
  <c r="CK89" i="6" l="1"/>
  <c r="CJ100" i="5"/>
  <c r="CK71" i="6"/>
  <c r="CL68" i="6" s="1"/>
  <c r="CJ125" i="5"/>
  <c r="CJ126" i="5"/>
  <c r="CJ127" i="5" l="1"/>
  <c r="CJ128" i="5"/>
  <c r="CK94" i="6"/>
  <c r="CK95" i="6" s="1"/>
  <c r="CK96" i="6" s="1"/>
  <c r="CL93" i="6" s="1"/>
  <c r="CK90" i="6"/>
  <c r="CK99" i="6" l="1"/>
  <c r="CJ64" i="19" s="1"/>
  <c r="CK91" i="6"/>
  <c r="CL88" i="6" s="1"/>
  <c r="CJ113" i="5"/>
  <c r="CK100" i="6" l="1"/>
  <c r="CK101" i="6" s="1"/>
  <c r="CL98" i="6" s="1"/>
  <c r="CJ66" i="19"/>
  <c r="CJ67" i="19"/>
  <c r="CJ110" i="5"/>
  <c r="CJ49" i="19"/>
  <c r="CJ286" i="11"/>
  <c r="CJ287" i="11" s="1"/>
  <c r="CI39" i="15" l="1"/>
  <c r="CI38" i="15" s="1"/>
  <c r="CI34" i="15" s="1"/>
  <c r="CI40" i="15" s="1"/>
  <c r="CK284" i="11"/>
  <c r="CJ46" i="19"/>
  <c r="CJ52" i="19"/>
  <c r="CJ51" i="19"/>
  <c r="CJ135" i="5"/>
  <c r="CJ67" i="5"/>
  <c r="CJ120" i="5" s="1"/>
  <c r="CJ122" i="5" s="1"/>
  <c r="CJ124" i="5" s="1"/>
  <c r="CJ131" i="5"/>
  <c r="CJ133" i="5" s="1"/>
  <c r="CJ132" i="5"/>
  <c r="CJ134" i="5" s="1"/>
  <c r="CI16" i="15" l="1"/>
  <c r="CI15" i="15" s="1"/>
  <c r="CI14" i="15" s="1"/>
  <c r="CI41" i="15" s="1"/>
  <c r="CK121" i="5"/>
  <c r="CL44" i="6"/>
  <c r="CI42" i="15" l="1"/>
  <c r="CK20" i="5"/>
  <c r="CL43" i="6"/>
  <c r="CL42" i="6" s="1"/>
  <c r="CL55" i="6" s="1"/>
  <c r="CL57" i="6" s="1"/>
  <c r="CK285" i="11" l="1"/>
  <c r="CL62" i="6"/>
  <c r="CK15" i="5"/>
  <c r="CK14" i="5" s="1"/>
  <c r="CL66" i="6" s="1"/>
  <c r="CL75" i="6" s="1"/>
  <c r="CL80" i="6" l="1"/>
  <c r="CK17" i="19"/>
  <c r="CK98" i="5"/>
  <c r="CL76" i="6"/>
  <c r="CM73" i="6" s="1"/>
  <c r="CL64" i="6"/>
  <c r="CL69" i="6"/>
  <c r="CL70" i="6" l="1"/>
  <c r="CL71" i="6" s="1"/>
  <c r="CM68" i="6" s="1"/>
  <c r="CK95" i="5"/>
  <c r="CK20" i="19"/>
  <c r="CK14" i="19"/>
  <c r="CK19" i="19"/>
  <c r="CK103" i="5"/>
  <c r="CL81" i="6"/>
  <c r="CM78" i="6" s="1"/>
  <c r="CK126" i="5" l="1"/>
  <c r="CK125" i="5"/>
  <c r="CL89" i="6"/>
  <c r="CK100" i="5"/>
  <c r="CL94" i="6" l="1"/>
  <c r="CL90" i="6"/>
  <c r="CK127" i="5"/>
  <c r="CK128" i="5"/>
  <c r="CL91" i="6" l="1"/>
  <c r="CM88" i="6" s="1"/>
  <c r="CK113" i="5"/>
  <c r="CL99" i="6"/>
  <c r="CL95" i="6"/>
  <c r="CL96" i="6" s="1"/>
  <c r="CM93" i="6" s="1"/>
  <c r="CL100" i="6" l="1"/>
  <c r="CL101" i="6" s="1"/>
  <c r="CM98" i="6" s="1"/>
  <c r="CK64" i="19"/>
  <c r="CK110" i="5"/>
  <c r="CK49" i="19"/>
  <c r="CK286" i="11"/>
  <c r="CK287" i="11" s="1"/>
  <c r="CJ39" i="15" l="1"/>
  <c r="CJ38" i="15" s="1"/>
  <c r="CJ34" i="15" s="1"/>
  <c r="CJ40" i="15" s="1"/>
  <c r="CL284" i="11"/>
  <c r="CK46" i="19"/>
  <c r="CK52" i="19"/>
  <c r="CK51" i="19"/>
  <c r="CK67" i="5"/>
  <c r="CK120" i="5" s="1"/>
  <c r="CK122" i="5" s="1"/>
  <c r="CK124" i="5" s="1"/>
  <c r="CK131" i="5"/>
  <c r="CK133" i="5" s="1"/>
  <c r="CK132" i="5"/>
  <c r="CK134" i="5" s="1"/>
  <c r="CK135" i="5"/>
  <c r="CK66" i="19"/>
  <c r="CK67" i="19"/>
  <c r="CJ16" i="15" l="1"/>
  <c r="CJ15" i="15" s="1"/>
  <c r="CJ14" i="15" s="1"/>
  <c r="CJ41" i="15" s="1"/>
  <c r="CL121" i="5"/>
  <c r="CM44" i="6"/>
  <c r="CJ42" i="15" l="1"/>
  <c r="CL20" i="5"/>
  <c r="CL15" i="5" s="1"/>
  <c r="CL14" i="5" s="1"/>
  <c r="CM66" i="6" s="1"/>
  <c r="CM43" i="6"/>
  <c r="CM42" i="6" s="1"/>
  <c r="CM55" i="6" s="1"/>
  <c r="CM57" i="6" s="1"/>
  <c r="CL285" i="11" l="1"/>
  <c r="CM62" i="6"/>
  <c r="CM75" i="6"/>
  <c r="CM80" i="6" s="1"/>
  <c r="CL103" i="5" l="1"/>
  <c r="CL100" i="5" s="1"/>
  <c r="CM81" i="6"/>
  <c r="CN78" i="6" s="1"/>
  <c r="CL98" i="5"/>
  <c r="CL95" i="5" s="1"/>
  <c r="CL17" i="19"/>
  <c r="CM76" i="6"/>
  <c r="CN73" i="6" s="1"/>
  <c r="CM69" i="6"/>
  <c r="CM64" i="6"/>
  <c r="CL125" i="5" l="1"/>
  <c r="CL126" i="5"/>
  <c r="CM70" i="6"/>
  <c r="CM71" i="6" s="1"/>
  <c r="CN68" i="6" s="1"/>
  <c r="CL14" i="19"/>
  <c r="CL19" i="19"/>
  <c r="CL20" i="19"/>
  <c r="CL128" i="5"/>
  <c r="CL127" i="5"/>
  <c r="Z85" i="16" l="1"/>
  <c r="Z78" i="16"/>
  <c r="Z81" i="16" s="1"/>
  <c r="Z82" i="16" s="1"/>
  <c r="CM89" i="6"/>
  <c r="CM94" i="6" l="1"/>
  <c r="CM90" i="6"/>
  <c r="CL113" i="5" s="1"/>
  <c r="CM91" i="6" l="1"/>
  <c r="CN88" i="6" s="1"/>
  <c r="CL286" i="11"/>
  <c r="CL287" i="11" s="1"/>
  <c r="CL110" i="5"/>
  <c r="CL49" i="19"/>
  <c r="CM99" i="6"/>
  <c r="CM95" i="6"/>
  <c r="CM96" i="6" s="1"/>
  <c r="CN93" i="6" s="1"/>
  <c r="CL51" i="19" l="1"/>
  <c r="CL46" i="19"/>
  <c r="CL52" i="19"/>
  <c r="CL67" i="5"/>
  <c r="CL120" i="5" s="1"/>
  <c r="CL122" i="5" s="1"/>
  <c r="CL124" i="5" s="1"/>
  <c r="CL131" i="5"/>
  <c r="CL133" i="5" s="1"/>
  <c r="CL135" i="5"/>
  <c r="CL132" i="5"/>
  <c r="CL134" i="5" s="1"/>
  <c r="CK39" i="15"/>
  <c r="CM284" i="11"/>
  <c r="CM100" i="6"/>
  <c r="CM101" i="6" s="1"/>
  <c r="CN98" i="6" s="1"/>
  <c r="CL64" i="19"/>
  <c r="CL67" i="19" l="1"/>
  <c r="CL66" i="19"/>
  <c r="CK16" i="15"/>
  <c r="CM121" i="5"/>
  <c r="CN44" i="6"/>
  <c r="X34" i="18"/>
  <c r="X33" i="18" s="1"/>
  <c r="X29" i="18" s="1"/>
  <c r="X35" i="18" s="1"/>
  <c r="CK38" i="15"/>
  <c r="CK34" i="15" s="1"/>
  <c r="CK40" i="15" s="1"/>
  <c r="CK15" i="15" l="1"/>
  <c r="CK14" i="15" s="1"/>
  <c r="CK41" i="15" s="1"/>
  <c r="X11" i="18"/>
  <c r="X10" i="18" s="1"/>
  <c r="X9" i="18" s="1"/>
  <c r="X36" i="18" s="1"/>
  <c r="CN43" i="6"/>
  <c r="CN42" i="6" s="1"/>
  <c r="CN55" i="6" s="1"/>
  <c r="CN57" i="6" s="1"/>
  <c r="CM20" i="5"/>
  <c r="CM15" i="5" l="1"/>
  <c r="CM14" i="5" s="1"/>
  <c r="CN66" i="6" s="1"/>
  <c r="CN75" i="6" s="1"/>
  <c r="CK42" i="15"/>
  <c r="CM285" i="11"/>
  <c r="CN62" i="6"/>
  <c r="CN69" i="6" l="1"/>
  <c r="CN64" i="6"/>
  <c r="CN80" i="6"/>
  <c r="CM17" i="19"/>
  <c r="CM98" i="5"/>
  <c r="CN76" i="6"/>
  <c r="CO73" i="6" s="1"/>
  <c r="CM103" i="5" l="1"/>
  <c r="CN81" i="6"/>
  <c r="CO78" i="6" s="1"/>
  <c r="CM95" i="5"/>
  <c r="CM20" i="19"/>
  <c r="CM19" i="19"/>
  <c r="CM14" i="19"/>
  <c r="CN70" i="6"/>
  <c r="CN71" i="6" l="1"/>
  <c r="CO68" i="6" s="1"/>
  <c r="CN89" i="6"/>
  <c r="CM125" i="5"/>
  <c r="CM126" i="5"/>
  <c r="CM100" i="5"/>
  <c r="CM127" i="5" l="1"/>
  <c r="CM128" i="5"/>
  <c r="CN94" i="6"/>
  <c r="CN90" i="6"/>
  <c r="CN99" i="6" l="1"/>
  <c r="CN95" i="6"/>
  <c r="CN96" i="6" s="1"/>
  <c r="CO93" i="6" s="1"/>
  <c r="CN91" i="6"/>
  <c r="CO88" i="6" s="1"/>
  <c r="CM113" i="5"/>
  <c r="CM110" i="5" l="1"/>
  <c r="CM49" i="19"/>
  <c r="CM286" i="11"/>
  <c r="CM287" i="11" s="1"/>
  <c r="CN100" i="6"/>
  <c r="CM64" i="19"/>
  <c r="CM67" i="19" l="1"/>
  <c r="CM66" i="19"/>
  <c r="CM51" i="19"/>
  <c r="CM46" i="19"/>
  <c r="CM52" i="19"/>
  <c r="CN101" i="6"/>
  <c r="CO98" i="6" s="1"/>
  <c r="CL39" i="15"/>
  <c r="CL38" i="15" s="1"/>
  <c r="CL34" i="15" s="1"/>
  <c r="CL40" i="15" s="1"/>
  <c r="CN284" i="11"/>
  <c r="CM132" i="5"/>
  <c r="CM134" i="5" s="1"/>
  <c r="CM135" i="5"/>
  <c r="CM131" i="5"/>
  <c r="CM133" i="5" s="1"/>
  <c r="CM67" i="5"/>
  <c r="CM120" i="5" s="1"/>
  <c r="CM122" i="5" s="1"/>
  <c r="CM124" i="5" s="1"/>
  <c r="CL16" i="15" l="1"/>
  <c r="CL15" i="15" s="1"/>
  <c r="CL14" i="15" s="1"/>
  <c r="CL41" i="15" s="1"/>
  <c r="CN121" i="5"/>
  <c r="CO44" i="6"/>
  <c r="CL42" i="15" l="1"/>
  <c r="CN20" i="5"/>
  <c r="CO43" i="6"/>
  <c r="CO42" i="6" s="1"/>
  <c r="CO55" i="6" s="1"/>
  <c r="CO57" i="6" s="1"/>
  <c r="CN285" i="11" l="1"/>
  <c r="CO62" i="6"/>
  <c r="CN15" i="5"/>
  <c r="CN14" i="5" s="1"/>
  <c r="CO66" i="6" s="1"/>
  <c r="CO75" i="6" s="1"/>
  <c r="CO80" i="6" l="1"/>
  <c r="CN98" i="5"/>
  <c r="CN17" i="19"/>
  <c r="CO76" i="6"/>
  <c r="CP73" i="6" s="1"/>
  <c r="CO69" i="6"/>
  <c r="CO64" i="6"/>
  <c r="CN14" i="19" l="1"/>
  <c r="CN19" i="19"/>
  <c r="CN20" i="19"/>
  <c r="CO70" i="6"/>
  <c r="CN95" i="5"/>
  <c r="CN103" i="5"/>
  <c r="CO81" i="6"/>
  <c r="CP78" i="6" s="1"/>
  <c r="CO89" i="6" l="1"/>
  <c r="CN126" i="5"/>
  <c r="CN125" i="5"/>
  <c r="CN100" i="5"/>
  <c r="CO71" i="6"/>
  <c r="CP68" i="6" s="1"/>
  <c r="CN128" i="5" l="1"/>
  <c r="CN127" i="5"/>
  <c r="CO94" i="6"/>
  <c r="CO95" i="6" s="1"/>
  <c r="CO96" i="6" s="1"/>
  <c r="CP93" i="6" s="1"/>
  <c r="CO90" i="6"/>
  <c r="CO99" i="6" l="1"/>
  <c r="CO100" i="6" s="1"/>
  <c r="CN113" i="5"/>
  <c r="CO91" i="6"/>
  <c r="CP88" i="6" s="1"/>
  <c r="CN64" i="19" l="1"/>
  <c r="CN67" i="19" s="1"/>
  <c r="CO101" i="6"/>
  <c r="CP98" i="6" s="1"/>
  <c r="CN110" i="5"/>
  <c r="CN49" i="19"/>
  <c r="CN286" i="11"/>
  <c r="CN287" i="11" s="1"/>
  <c r="CN66" i="19" l="1"/>
  <c r="CN52" i="19"/>
  <c r="CN51" i="19"/>
  <c r="CN46" i="19"/>
  <c r="CO284" i="11"/>
  <c r="CM39" i="15"/>
  <c r="CM38" i="15" s="1"/>
  <c r="CM34" i="15" s="1"/>
  <c r="CM40" i="15" s="1"/>
  <c r="CN135" i="5"/>
  <c r="CN131" i="5"/>
  <c r="CN133" i="5" s="1"/>
  <c r="CN132" i="5"/>
  <c r="CN134" i="5" s="1"/>
  <c r="CN67" i="5"/>
  <c r="CN120" i="5" s="1"/>
  <c r="CN122" i="5" s="1"/>
  <c r="CN124" i="5" s="1"/>
  <c r="CM16" i="15" l="1"/>
  <c r="CM15" i="15" s="1"/>
  <c r="CM14" i="15" s="1"/>
  <c r="CM41" i="15" s="1"/>
  <c r="CO121" i="5"/>
  <c r="CP44" i="6"/>
  <c r="CO20" i="5" l="1"/>
  <c r="CP43" i="6"/>
  <c r="CP42" i="6" s="1"/>
  <c r="CP55" i="6" s="1"/>
  <c r="CP57" i="6" s="1"/>
  <c r="CM42" i="15"/>
  <c r="CO285" i="11" l="1"/>
  <c r="CP62" i="6"/>
  <c r="CO15" i="5"/>
  <c r="CO14" i="5" s="1"/>
  <c r="CP66" i="6" s="1"/>
  <c r="CP75" i="6" s="1"/>
  <c r="CP69" i="6" l="1"/>
  <c r="CP64" i="6"/>
  <c r="CP80" i="6"/>
  <c r="CO17" i="19"/>
  <c r="CO98" i="5"/>
  <c r="CP76" i="6"/>
  <c r="CQ73" i="6" s="1"/>
  <c r="CO103" i="5" l="1"/>
  <c r="CP81" i="6"/>
  <c r="CQ78" i="6" s="1"/>
  <c r="CO95" i="5"/>
  <c r="CO20" i="19"/>
  <c r="CO14" i="19"/>
  <c r="CO19" i="19"/>
  <c r="CP70" i="6"/>
  <c r="CO100" i="5" l="1"/>
  <c r="CP89" i="6"/>
  <c r="CP71" i="6"/>
  <c r="CQ68" i="6" s="1"/>
  <c r="CO126" i="5"/>
  <c r="CO125" i="5"/>
  <c r="CO127" i="5" l="1"/>
  <c r="CO128" i="5"/>
  <c r="CP94" i="6"/>
  <c r="CP90" i="6"/>
  <c r="CP99" i="6" l="1"/>
  <c r="CP95" i="6"/>
  <c r="CP96" i="6" s="1"/>
  <c r="CQ93" i="6" s="1"/>
  <c r="CP91" i="6"/>
  <c r="CQ88" i="6" s="1"/>
  <c r="CO113" i="5"/>
  <c r="CO110" i="5" l="1"/>
  <c r="CO49" i="19"/>
  <c r="CO286" i="11"/>
  <c r="CO287" i="11" s="1"/>
  <c r="CP100" i="6"/>
  <c r="CO64" i="19"/>
  <c r="CP101" i="6" l="1"/>
  <c r="CQ98" i="6" s="1"/>
  <c r="CO52" i="19"/>
  <c r="CO51" i="19"/>
  <c r="CO46" i="19"/>
  <c r="CO66" i="19"/>
  <c r="CO67" i="19"/>
  <c r="CN39" i="15"/>
  <c r="CN38" i="15" s="1"/>
  <c r="CN34" i="15" s="1"/>
  <c r="CN40" i="15" s="1"/>
  <c r="CP284" i="11"/>
  <c r="CO131" i="5"/>
  <c r="CO133" i="5" s="1"/>
  <c r="CO132" i="5"/>
  <c r="CO134" i="5" s="1"/>
  <c r="CO67" i="5"/>
  <c r="CO120" i="5" s="1"/>
  <c r="CO122" i="5" s="1"/>
  <c r="CO124" i="5" s="1"/>
  <c r="CO135" i="5"/>
  <c r="CN16" i="15" l="1"/>
  <c r="CN15" i="15" s="1"/>
  <c r="CN14" i="15" s="1"/>
  <c r="CN41" i="15" s="1"/>
  <c r="CP121" i="5"/>
  <c r="CQ44" i="6"/>
  <c r="CN42" i="15" l="1"/>
  <c r="CP20" i="5"/>
  <c r="CQ43" i="6"/>
  <c r="CQ42" i="6" s="1"/>
  <c r="CQ55" i="6" s="1"/>
  <c r="CQ57" i="6" s="1"/>
  <c r="CP285" i="11" l="1"/>
  <c r="CQ62" i="6"/>
  <c r="CP15" i="5"/>
  <c r="CP14" i="5" s="1"/>
  <c r="CQ66" i="6" s="1"/>
  <c r="CQ75" i="6" l="1"/>
  <c r="CQ80" i="6" s="1"/>
  <c r="CQ69" i="6"/>
  <c r="CQ64" i="6"/>
  <c r="CQ70" i="6" l="1"/>
  <c r="CQ89" i="6" s="1"/>
  <c r="CP103" i="5"/>
  <c r="CQ81" i="6"/>
  <c r="CR78" i="6" s="1"/>
  <c r="CP17" i="19"/>
  <c r="CP98" i="5"/>
  <c r="CQ76" i="6"/>
  <c r="CR73" i="6" s="1"/>
  <c r="CQ94" i="6" l="1"/>
  <c r="CQ95" i="6" s="1"/>
  <c r="CQ96" i="6" s="1"/>
  <c r="CR93" i="6" s="1"/>
  <c r="CQ90" i="6"/>
  <c r="CP95" i="5"/>
  <c r="CP100" i="5"/>
  <c r="CP20" i="19"/>
  <c r="CP14" i="19"/>
  <c r="CP19" i="19"/>
  <c r="CQ71" i="6"/>
  <c r="CR68" i="6" s="1"/>
  <c r="CQ99" i="6" l="1"/>
  <c r="CQ100" i="6" s="1"/>
  <c r="CQ91" i="6"/>
  <c r="CR88" i="6" s="1"/>
  <c r="CP113" i="5"/>
  <c r="CP128" i="5"/>
  <c r="CP127" i="5"/>
  <c r="CP125" i="5"/>
  <c r="CP126" i="5"/>
  <c r="CP64" i="19" l="1"/>
  <c r="CP67" i="19" s="1"/>
  <c r="CQ101" i="6"/>
  <c r="CR98" i="6" s="1"/>
  <c r="CP110" i="5"/>
  <c r="CP49" i="19"/>
  <c r="CP286" i="11"/>
  <c r="CP287" i="11" s="1"/>
  <c r="CP66" i="19" l="1"/>
  <c r="CP51" i="19"/>
  <c r="CP46" i="19"/>
  <c r="CP52" i="19"/>
  <c r="CO39" i="15"/>
  <c r="CO38" i="15" s="1"/>
  <c r="CO34" i="15" s="1"/>
  <c r="CO40" i="15" s="1"/>
  <c r="CQ284" i="11"/>
  <c r="CP131" i="5"/>
  <c r="CP133" i="5" s="1"/>
  <c r="CP67" i="5"/>
  <c r="CP120" i="5" s="1"/>
  <c r="CP122" i="5" s="1"/>
  <c r="CP124" i="5" s="1"/>
  <c r="CP132" i="5"/>
  <c r="CP134" i="5" s="1"/>
  <c r="CP135" i="5"/>
  <c r="CO16" i="15" l="1"/>
  <c r="CO15" i="15" s="1"/>
  <c r="CO14" i="15" s="1"/>
  <c r="CO41" i="15" s="1"/>
  <c r="CQ121" i="5"/>
  <c r="CR44" i="6"/>
  <c r="CR43" i="6" l="1"/>
  <c r="CR42" i="6" s="1"/>
  <c r="CR55" i="6" s="1"/>
  <c r="CR57" i="6" s="1"/>
  <c r="CQ20" i="5"/>
  <c r="CO42" i="15"/>
  <c r="CQ15" i="5" l="1"/>
  <c r="CQ14" i="5" s="1"/>
  <c r="CR66" i="6" s="1"/>
  <c r="CR75" i="6" s="1"/>
  <c r="CQ285" i="11"/>
  <c r="CR62" i="6"/>
  <c r="CR64" i="6" l="1"/>
  <c r="CR69" i="6"/>
  <c r="CR80" i="6"/>
  <c r="CQ17" i="19"/>
  <c r="CQ98" i="5"/>
  <c r="CR76" i="6"/>
  <c r="CS73" i="6" s="1"/>
  <c r="CQ103" i="5" l="1"/>
  <c r="CR81" i="6"/>
  <c r="CS78" i="6" s="1"/>
  <c r="CQ95" i="5"/>
  <c r="CR70" i="6"/>
  <c r="CQ19" i="19"/>
  <c r="CQ20" i="19"/>
  <c r="CQ14" i="19"/>
  <c r="CR71" i="6" l="1"/>
  <c r="CS68" i="6" s="1"/>
  <c r="CR89" i="6"/>
  <c r="CQ126" i="5"/>
  <c r="CQ125" i="5"/>
  <c r="CQ100" i="5"/>
  <c r="CQ127" i="5" l="1"/>
  <c r="CQ128" i="5"/>
  <c r="CR94" i="6"/>
  <c r="CR95" i="6" s="1"/>
  <c r="CR96" i="6" s="1"/>
  <c r="CS93" i="6" s="1"/>
  <c r="CR90" i="6"/>
  <c r="CR99" i="6" l="1"/>
  <c r="CR100" i="6" s="1"/>
  <c r="CQ113" i="5"/>
  <c r="CR91" i="6"/>
  <c r="CS88" i="6" s="1"/>
  <c r="CQ64" i="19" l="1"/>
  <c r="CQ66" i="19" s="1"/>
  <c r="CQ49" i="19"/>
  <c r="CQ110" i="5"/>
  <c r="CQ286" i="11"/>
  <c r="CQ287" i="11" s="1"/>
  <c r="CR101" i="6"/>
  <c r="CS98" i="6" s="1"/>
  <c r="CQ67" i="19" l="1"/>
  <c r="CQ67" i="5"/>
  <c r="CQ120" i="5" s="1"/>
  <c r="CQ122" i="5" s="1"/>
  <c r="CQ124" i="5" s="1"/>
  <c r="CQ135" i="5"/>
  <c r="CQ132" i="5"/>
  <c r="CQ134" i="5" s="1"/>
  <c r="CQ131" i="5"/>
  <c r="CQ133" i="5" s="1"/>
  <c r="CR284" i="11"/>
  <c r="CP39" i="15"/>
  <c r="CP38" i="15" s="1"/>
  <c r="CP34" i="15" s="1"/>
  <c r="CP40" i="15" s="1"/>
  <c r="CQ51" i="19"/>
  <c r="CQ46" i="19"/>
  <c r="CQ52" i="19"/>
  <c r="CP16" i="15" l="1"/>
  <c r="CP15" i="15" s="1"/>
  <c r="CP14" i="15" s="1"/>
  <c r="CP41" i="15" s="1"/>
  <c r="CR121" i="5"/>
  <c r="CS44" i="6"/>
  <c r="CR20" i="5" l="1"/>
  <c r="CR15" i="5" s="1"/>
  <c r="CR14" i="5" s="1"/>
  <c r="CS66" i="6" s="1"/>
  <c r="CS43" i="6"/>
  <c r="CS42" i="6" s="1"/>
  <c r="CS55" i="6" s="1"/>
  <c r="CS57" i="6" s="1"/>
  <c r="CP42" i="15"/>
  <c r="CS75" i="6" l="1"/>
  <c r="CS80" i="6" s="1"/>
  <c r="CS62" i="6"/>
  <c r="CR285" i="11"/>
  <c r="CS64" i="6" l="1"/>
  <c r="CS69" i="6"/>
  <c r="CR103" i="5"/>
  <c r="CR100" i="5" s="1"/>
  <c r="CS81" i="6"/>
  <c r="CT78" i="6" s="1"/>
  <c r="CR98" i="5"/>
  <c r="CR17" i="19"/>
  <c r="CS76" i="6"/>
  <c r="CT73" i="6" s="1"/>
  <c r="CR14" i="19" l="1"/>
  <c r="CR19" i="19"/>
  <c r="CR20" i="19"/>
  <c r="CR128" i="5"/>
  <c r="CR127" i="5"/>
  <c r="CR95" i="5"/>
  <c r="CS70" i="6"/>
  <c r="AA85" i="16" l="1"/>
  <c r="CS89" i="6"/>
  <c r="AA78" i="16"/>
  <c r="AA81" i="16" s="1"/>
  <c r="AA82" i="16" s="1"/>
  <c r="CS71" i="6"/>
  <c r="CT68" i="6" s="1"/>
  <c r="CR126" i="5"/>
  <c r="CR125" i="5"/>
  <c r="CS94" i="6" l="1"/>
  <c r="CS90" i="6"/>
  <c r="CR113" i="5" s="1"/>
  <c r="CR110" i="5" l="1"/>
  <c r="CR49" i="19"/>
  <c r="CR286" i="11"/>
  <c r="CR287" i="11" s="1"/>
  <c r="CS99" i="6"/>
  <c r="CS95" i="6"/>
  <c r="CS96" i="6" s="1"/>
  <c r="CT93" i="6" s="1"/>
  <c r="CS91" i="6"/>
  <c r="CT88" i="6" s="1"/>
  <c r="CS100" i="6" l="1"/>
  <c r="CS101" i="6" s="1"/>
  <c r="CT98" i="6" s="1"/>
  <c r="CR64" i="19"/>
  <c r="CQ39" i="15"/>
  <c r="CS284" i="11"/>
  <c r="CR52" i="19"/>
  <c r="CR51" i="19"/>
  <c r="CR46" i="19"/>
  <c r="CR132" i="5"/>
  <c r="CR134" i="5" s="1"/>
  <c r="CR67" i="5"/>
  <c r="CR120" i="5" s="1"/>
  <c r="CR122" i="5" s="1"/>
  <c r="CR124" i="5" s="1"/>
  <c r="CR131" i="5"/>
  <c r="CR133" i="5" s="1"/>
  <c r="CR135" i="5"/>
  <c r="CQ38" i="15" l="1"/>
  <c r="CQ34" i="15" s="1"/>
  <c r="CQ40" i="15" s="1"/>
  <c r="Y34" i="18"/>
  <c r="CQ16" i="15"/>
  <c r="CS121" i="5"/>
  <c r="CT44" i="6"/>
  <c r="CR66" i="19"/>
  <c r="CR67" i="19"/>
  <c r="Y11" i="18" l="1"/>
  <c r="CQ15" i="15"/>
  <c r="CQ14" i="15" s="1"/>
  <c r="CQ41" i="15" s="1"/>
  <c r="Y33" i="18"/>
  <c r="Y29" i="18" s="1"/>
  <c r="Y35" i="18" s="1"/>
  <c r="K227" i="32"/>
  <c r="K228" i="32" s="1"/>
  <c r="K229" i="32" s="1"/>
  <c r="CS20" i="5"/>
  <c r="CT43" i="6"/>
  <c r="CT42" i="6" s="1"/>
  <c r="CT55" i="6" s="1"/>
  <c r="CT57" i="6" s="1"/>
  <c r="CS285" i="11" l="1"/>
  <c r="CT62" i="6"/>
  <c r="CS15" i="5"/>
  <c r="CS14" i="5" s="1"/>
  <c r="CT66" i="6" s="1"/>
  <c r="CT75" i="6" s="1"/>
  <c r="Y10" i="18"/>
  <c r="Y9" i="18" s="1"/>
  <c r="Y36" i="18" s="1"/>
  <c r="K210" i="32"/>
  <c r="K217" i="32" s="1"/>
  <c r="K230" i="32" s="1"/>
  <c r="CQ42" i="15"/>
  <c r="CT64" i="6" l="1"/>
  <c r="CT69" i="6"/>
  <c r="CT80" i="6"/>
  <c r="CS98" i="5"/>
  <c r="CS17" i="19"/>
  <c r="CT76" i="6"/>
  <c r="CU73" i="6" s="1"/>
  <c r="CS103" i="5" l="1"/>
  <c r="CT81" i="6"/>
  <c r="CU78" i="6" s="1"/>
  <c r="CS20" i="19"/>
  <c r="CS14" i="19"/>
  <c r="CS19" i="19"/>
  <c r="CT70" i="6"/>
  <c r="CT71" i="6" s="1"/>
  <c r="CU68" i="6" s="1"/>
  <c r="CS95" i="5"/>
  <c r="CS126" i="5" l="1"/>
  <c r="CS125" i="5"/>
  <c r="CT89" i="6"/>
  <c r="CS100" i="5"/>
  <c r="CS128" i="5" l="1"/>
  <c r="CS127" i="5"/>
  <c r="CT94" i="6"/>
  <c r="CT95" i="6" s="1"/>
  <c r="CT96" i="6" s="1"/>
  <c r="CU93" i="6" s="1"/>
  <c r="CT90" i="6"/>
  <c r="CT91" i="6" s="1"/>
  <c r="CU88" i="6" s="1"/>
  <c r="CT99" i="6" l="1"/>
  <c r="CT100" i="6" s="1"/>
  <c r="CS113" i="5"/>
  <c r="CS64" i="19" l="1"/>
  <c r="CS66" i="19" s="1"/>
  <c r="CS110" i="5"/>
  <c r="CS49" i="19"/>
  <c r="CS286" i="11"/>
  <c r="CS287" i="11" s="1"/>
  <c r="CT101" i="6"/>
  <c r="CU98" i="6" s="1"/>
  <c r="CS67" i="19" l="1"/>
  <c r="CS52" i="19"/>
  <c r="CS51" i="19"/>
  <c r="CS46" i="19"/>
  <c r="CT284" i="11"/>
  <c r="CR39" i="15"/>
  <c r="CR38" i="15" s="1"/>
  <c r="CR34" i="15" s="1"/>
  <c r="CR40" i="15" s="1"/>
  <c r="CS131" i="5"/>
  <c r="CS133" i="5" s="1"/>
  <c r="CS135" i="5"/>
  <c r="CS132" i="5"/>
  <c r="CS134" i="5" s="1"/>
  <c r="CS67" i="5"/>
  <c r="CS120" i="5" s="1"/>
  <c r="CS122" i="5" s="1"/>
  <c r="CS124" i="5" s="1"/>
  <c r="CR16" i="15" l="1"/>
  <c r="CR15" i="15" s="1"/>
  <c r="CR14" i="15" s="1"/>
  <c r="CR41" i="15" s="1"/>
  <c r="CT121" i="5"/>
  <c r="CU44" i="6"/>
  <c r="CR42" i="15" l="1"/>
  <c r="CU43" i="6"/>
  <c r="CU42" i="6" s="1"/>
  <c r="CU55" i="6" s="1"/>
  <c r="CU57" i="6" s="1"/>
  <c r="CT20" i="5"/>
  <c r="CT15" i="5" l="1"/>
  <c r="CT14" i="5" s="1"/>
  <c r="CU66" i="6" s="1"/>
  <c r="CU75" i="6" s="1"/>
  <c r="CT285" i="11"/>
  <c r="CU62" i="6"/>
  <c r="CU69" i="6" l="1"/>
  <c r="CU64" i="6"/>
  <c r="CU80" i="6"/>
  <c r="CT98" i="5"/>
  <c r="CT17" i="19"/>
  <c r="CU76" i="6"/>
  <c r="CV73" i="6" s="1"/>
  <c r="CT103" i="5" l="1"/>
  <c r="CU81" i="6"/>
  <c r="CV78" i="6" s="1"/>
  <c r="CT14" i="19"/>
  <c r="CT20" i="19"/>
  <c r="CT19" i="19"/>
  <c r="CT95" i="5"/>
  <c r="CU70" i="6"/>
  <c r="CT126" i="5" l="1"/>
  <c r="CT125" i="5"/>
  <c r="CU71" i="6"/>
  <c r="CV68" i="6" s="1"/>
  <c r="CU89" i="6"/>
  <c r="CT100" i="5"/>
  <c r="CU94" i="6" l="1"/>
  <c r="CU90" i="6"/>
  <c r="CT128" i="5"/>
  <c r="CT127" i="5"/>
  <c r="CU91" i="6" l="1"/>
  <c r="CV88" i="6" s="1"/>
  <c r="CT113" i="5"/>
  <c r="CU99" i="6"/>
  <c r="CU95" i="6"/>
  <c r="CU96" i="6" s="1"/>
  <c r="CV93" i="6" s="1"/>
  <c r="CU100" i="6" l="1"/>
  <c r="CT64" i="19"/>
  <c r="CT110" i="5"/>
  <c r="CT49" i="19"/>
  <c r="CT286" i="11"/>
  <c r="CT287" i="11" s="1"/>
  <c r="CS39" i="15" l="1"/>
  <c r="CS38" i="15" s="1"/>
  <c r="CS34" i="15" s="1"/>
  <c r="CS40" i="15" s="1"/>
  <c r="CU284" i="11"/>
  <c r="CT52" i="19"/>
  <c r="CT51" i="19"/>
  <c r="CT46" i="19"/>
  <c r="CT131" i="5"/>
  <c r="CT133" i="5" s="1"/>
  <c r="CT67" i="5"/>
  <c r="CT120" i="5" s="1"/>
  <c r="CT122" i="5" s="1"/>
  <c r="CT124" i="5" s="1"/>
  <c r="CT135" i="5"/>
  <c r="CT132" i="5"/>
  <c r="CT134" i="5" s="1"/>
  <c r="CT66" i="19"/>
  <c r="CT67" i="19"/>
  <c r="CU101" i="6"/>
  <c r="CV98" i="6" s="1"/>
  <c r="CS16" i="15" l="1"/>
  <c r="CS15" i="15" s="1"/>
  <c r="CS14" i="15" s="1"/>
  <c r="CS41" i="15" s="1"/>
  <c r="CU121" i="5"/>
  <c r="CV44" i="6"/>
  <c r="CS42" i="15" l="1"/>
  <c r="CU20" i="5"/>
  <c r="CV43" i="6"/>
  <c r="CV42" i="6" s="1"/>
  <c r="CV55" i="6" s="1"/>
  <c r="CV57" i="6" s="1"/>
  <c r="CU285" i="11" l="1"/>
  <c r="CV62" i="6"/>
  <c r="CU15" i="5"/>
  <c r="CU14" i="5" s="1"/>
  <c r="CV66" i="6" s="1"/>
  <c r="CV75" i="6" s="1"/>
  <c r="CV80" i="6" l="1"/>
  <c r="CU98" i="5"/>
  <c r="CU17" i="19"/>
  <c r="CV76" i="6"/>
  <c r="CW73" i="6" s="1"/>
  <c r="CV69" i="6"/>
  <c r="CV64" i="6"/>
  <c r="CU19" i="19" l="1"/>
  <c r="CU14" i="19"/>
  <c r="CU20" i="19"/>
  <c r="CV70" i="6"/>
  <c r="CU95" i="5"/>
  <c r="CU103" i="5"/>
  <c r="CV81" i="6"/>
  <c r="CW78" i="6" s="1"/>
  <c r="CV71" i="6" l="1"/>
  <c r="CW68" i="6" s="1"/>
  <c r="CV89" i="6"/>
  <c r="CU100" i="5"/>
  <c r="CU125" i="5"/>
  <c r="CU126" i="5"/>
  <c r="CU128" i="5" l="1"/>
  <c r="CU127" i="5"/>
  <c r="CV94" i="6"/>
  <c r="CV90" i="6"/>
  <c r="CV99" i="6" l="1"/>
  <c r="CV95" i="6"/>
  <c r="CV96" i="6" s="1"/>
  <c r="CW93" i="6" s="1"/>
  <c r="CV91" i="6"/>
  <c r="CW88" i="6" s="1"/>
  <c r="CU113" i="5"/>
  <c r="CU110" i="5" l="1"/>
  <c r="CU49" i="19"/>
  <c r="CU286" i="11"/>
  <c r="CU287" i="11" s="1"/>
  <c r="CV100" i="6"/>
  <c r="CU64" i="19"/>
  <c r="CU67" i="19" l="1"/>
  <c r="CU66" i="19"/>
  <c r="CV101" i="6"/>
  <c r="CW98" i="6" s="1"/>
  <c r="CT39" i="15"/>
  <c r="CT38" i="15" s="1"/>
  <c r="CT34" i="15" s="1"/>
  <c r="CT40" i="15" s="1"/>
  <c r="CV284" i="11"/>
  <c r="CU46" i="19"/>
  <c r="CU51" i="19"/>
  <c r="CU52" i="19"/>
  <c r="CU131" i="5"/>
  <c r="CU133" i="5" s="1"/>
  <c r="CU135" i="5"/>
  <c r="CU132" i="5"/>
  <c r="CU134" i="5" s="1"/>
  <c r="CU67" i="5"/>
  <c r="CU120" i="5" s="1"/>
  <c r="CU122" i="5" s="1"/>
  <c r="CU124" i="5" s="1"/>
  <c r="CT16" i="15" l="1"/>
  <c r="CT15" i="15" s="1"/>
  <c r="CT14" i="15" s="1"/>
  <c r="CT41" i="15" s="1"/>
  <c r="CV121" i="5"/>
  <c r="CW44" i="6"/>
  <c r="CT42" i="15" l="1"/>
  <c r="CV20" i="5"/>
  <c r="CW43" i="6"/>
  <c r="CW42" i="6" s="1"/>
  <c r="CW55" i="6" s="1"/>
  <c r="CW57" i="6" s="1"/>
  <c r="CV285" i="11" l="1"/>
  <c r="CW62" i="6"/>
  <c r="CV15" i="5"/>
  <c r="CV14" i="5" s="1"/>
  <c r="CW66" i="6" s="1"/>
  <c r="CW75" i="6" l="1"/>
  <c r="CW80" i="6" s="1"/>
  <c r="CW69" i="6"/>
  <c r="CW64" i="6"/>
  <c r="CW70" i="6" l="1"/>
  <c r="CW71" i="6" s="1"/>
  <c r="CX68" i="6" s="1"/>
  <c r="CV103" i="5"/>
  <c r="CW81" i="6"/>
  <c r="CX78" i="6" s="1"/>
  <c r="CV98" i="5"/>
  <c r="CV17" i="19"/>
  <c r="CW76" i="6"/>
  <c r="CX73" i="6" s="1"/>
  <c r="CV19" i="19" l="1"/>
  <c r="CV14" i="19"/>
  <c r="CV20" i="19"/>
  <c r="CV100" i="5"/>
  <c r="CV95" i="5"/>
  <c r="CW89" i="6"/>
  <c r="CW94" i="6" l="1"/>
  <c r="CW90" i="6"/>
  <c r="CW91" i="6" s="1"/>
  <c r="CX88" i="6" s="1"/>
  <c r="CV125" i="5"/>
  <c r="CV126" i="5"/>
  <c r="CV128" i="5"/>
  <c r="CV127" i="5"/>
  <c r="CV113" i="5" l="1"/>
  <c r="CW99" i="6"/>
  <c r="CW95" i="6"/>
  <c r="CW96" i="6" s="1"/>
  <c r="CX93" i="6" s="1"/>
  <c r="CV110" i="5" l="1"/>
  <c r="CV49" i="19"/>
  <c r="CV286" i="11"/>
  <c r="CV287" i="11" s="1"/>
  <c r="CW100" i="6"/>
  <c r="CV64" i="19"/>
  <c r="CW101" i="6" l="1"/>
  <c r="CX98" i="6" s="1"/>
  <c r="CU39" i="15"/>
  <c r="CU38" i="15" s="1"/>
  <c r="CU34" i="15" s="1"/>
  <c r="CU40" i="15" s="1"/>
  <c r="CW284" i="11"/>
  <c r="CV46" i="19"/>
  <c r="CV52" i="19"/>
  <c r="CV51" i="19"/>
  <c r="CV66" i="19"/>
  <c r="CV67" i="19"/>
  <c r="CV135" i="5"/>
  <c r="CV67" i="5"/>
  <c r="CV120" i="5" s="1"/>
  <c r="CV122" i="5" s="1"/>
  <c r="CV124" i="5" s="1"/>
  <c r="CV132" i="5"/>
  <c r="CV134" i="5" s="1"/>
  <c r="CV131" i="5"/>
  <c r="CV133" i="5" s="1"/>
  <c r="CU16" i="15" l="1"/>
  <c r="CU15" i="15" s="1"/>
  <c r="CU14" i="15" s="1"/>
  <c r="CU41" i="15" s="1"/>
  <c r="CW121" i="5"/>
  <c r="CX44" i="6"/>
  <c r="CW20" i="5" l="1"/>
  <c r="CX43" i="6"/>
  <c r="CX42" i="6" s="1"/>
  <c r="CX55" i="6" s="1"/>
  <c r="CX57" i="6" s="1"/>
  <c r="CU42" i="15"/>
  <c r="CW285" i="11" l="1"/>
  <c r="CX62" i="6"/>
  <c r="CW15" i="5"/>
  <c r="CW14" i="5" s="1"/>
  <c r="CX66" i="6" s="1"/>
  <c r="CX75" i="6" s="1"/>
  <c r="CX80" i="6" l="1"/>
  <c r="CW98" i="5"/>
  <c r="CW17" i="19"/>
  <c r="CX76" i="6"/>
  <c r="CY73" i="6" s="1"/>
  <c r="CX64" i="6"/>
  <c r="CX69" i="6"/>
  <c r="CX70" i="6" l="1"/>
  <c r="CW20" i="19"/>
  <c r="CW14" i="19"/>
  <c r="CW19" i="19"/>
  <c r="CW95" i="5"/>
  <c r="CW103" i="5"/>
  <c r="CX81" i="6"/>
  <c r="CY78" i="6" s="1"/>
  <c r="CW100" i="5" l="1"/>
  <c r="CX71" i="6"/>
  <c r="CY68" i="6" s="1"/>
  <c r="CX89" i="6"/>
  <c r="CW125" i="5"/>
  <c r="CW126" i="5"/>
  <c r="CX94" i="6" l="1"/>
  <c r="CX90" i="6"/>
  <c r="CX91" i="6" s="1"/>
  <c r="CY88" i="6" s="1"/>
  <c r="CW127" i="5"/>
  <c r="CW128" i="5"/>
  <c r="CW113" i="5" l="1"/>
  <c r="CX99" i="6"/>
  <c r="CX95" i="6"/>
  <c r="CX96" i="6" s="1"/>
  <c r="CY93" i="6" s="1"/>
  <c r="CW110" i="5" l="1"/>
  <c r="CW49" i="19"/>
  <c r="CW286" i="11"/>
  <c r="CW287" i="11" s="1"/>
  <c r="CX100" i="6"/>
  <c r="CW64" i="19"/>
  <c r="CX101" i="6" l="1"/>
  <c r="CY98" i="6" s="1"/>
  <c r="CV39" i="15"/>
  <c r="CV38" i="15" s="1"/>
  <c r="CV34" i="15" s="1"/>
  <c r="CV40" i="15" s="1"/>
  <c r="CX284" i="11"/>
  <c r="CW46" i="19"/>
  <c r="CW52" i="19"/>
  <c r="CW51" i="19"/>
  <c r="CW66" i="19"/>
  <c r="CW67" i="19"/>
  <c r="CW135" i="5"/>
  <c r="CW67" i="5"/>
  <c r="CW120" i="5" s="1"/>
  <c r="CW122" i="5" s="1"/>
  <c r="CW124" i="5" s="1"/>
  <c r="CW131" i="5"/>
  <c r="CW133" i="5" s="1"/>
  <c r="CW132" i="5"/>
  <c r="CW134" i="5" s="1"/>
  <c r="CY44" i="6" l="1"/>
  <c r="CX121" i="5"/>
  <c r="CV16" i="15"/>
  <c r="CV15" i="15" s="1"/>
  <c r="CV14" i="15" s="1"/>
  <c r="CV41" i="15" s="1"/>
  <c r="CX20" i="5" l="1"/>
  <c r="CX15" i="5" s="1"/>
  <c r="CX14" i="5" s="1"/>
  <c r="CY66" i="6" s="1"/>
  <c r="CY75" i="6" s="1"/>
  <c r="CY43" i="6"/>
  <c r="CY42" i="6" s="1"/>
  <c r="CY55" i="6" s="1"/>
  <c r="CY57" i="6" s="1"/>
  <c r="CV42" i="15"/>
  <c r="CY80" i="6" l="1"/>
  <c r="CX17" i="19"/>
  <c r="CX98" i="5"/>
  <c r="CY76" i="6"/>
  <c r="CZ73" i="6" s="1"/>
  <c r="CX285" i="11"/>
  <c r="CY62" i="6"/>
  <c r="CX95" i="5" l="1"/>
  <c r="CY64" i="6"/>
  <c r="CY69" i="6"/>
  <c r="CX14" i="19"/>
  <c r="CX19" i="19"/>
  <c r="CX20" i="19"/>
  <c r="CX103" i="5"/>
  <c r="CX100" i="5" s="1"/>
  <c r="CY81" i="6"/>
  <c r="CZ78" i="6" s="1"/>
  <c r="CX127" i="5" l="1"/>
  <c r="CX128" i="5"/>
  <c r="CX125" i="5"/>
  <c r="CX126" i="5"/>
  <c r="CY70" i="6"/>
  <c r="CY71" i="6" s="1"/>
  <c r="CZ68" i="6" s="1"/>
  <c r="CY89" i="6" l="1"/>
  <c r="AB78" i="16"/>
  <c r="AB81" i="16" s="1"/>
  <c r="AB82" i="16" s="1"/>
  <c r="AB85" i="16"/>
  <c r="CY94" i="6" l="1"/>
  <c r="CY90" i="6"/>
  <c r="CX113" i="5" s="1"/>
  <c r="CY91" i="6" l="1"/>
  <c r="CZ88" i="6" s="1"/>
  <c r="CX110" i="5"/>
  <c r="CX49" i="19"/>
  <c r="CX286" i="11"/>
  <c r="CX287" i="11" s="1"/>
  <c r="CY99" i="6"/>
  <c r="CY95" i="6"/>
  <c r="CY96" i="6" s="1"/>
  <c r="CZ93" i="6" s="1"/>
  <c r="CW39" i="15" l="1"/>
  <c r="CY284" i="11"/>
  <c r="CX51" i="19"/>
  <c r="CX52" i="19"/>
  <c r="CX46" i="19"/>
  <c r="CX135" i="5"/>
  <c r="CX67" i="5"/>
  <c r="CX120" i="5" s="1"/>
  <c r="CX122" i="5" s="1"/>
  <c r="CX124" i="5" s="1"/>
  <c r="CX132" i="5"/>
  <c r="CX134" i="5" s="1"/>
  <c r="CX131" i="5"/>
  <c r="CX133" i="5" s="1"/>
  <c r="CY100" i="6"/>
  <c r="CY101" i="6" s="1"/>
  <c r="CZ98" i="6" s="1"/>
  <c r="CX64" i="19"/>
  <c r="CZ44" i="6" l="1"/>
  <c r="CW16" i="15"/>
  <c r="CY121" i="5"/>
  <c r="CX66" i="19"/>
  <c r="CX67" i="19"/>
  <c r="Z34" i="18"/>
  <c r="Z33" i="18" s="1"/>
  <c r="Z29" i="18" s="1"/>
  <c r="Z35" i="18" s="1"/>
  <c r="CW38" i="15"/>
  <c r="CW34" i="15" s="1"/>
  <c r="CW40" i="15" s="1"/>
  <c r="Z11" i="18" l="1"/>
  <c r="Z10" i="18" s="1"/>
  <c r="Z9" i="18" s="1"/>
  <c r="Z36" i="18" s="1"/>
  <c r="CW15" i="15"/>
  <c r="CW14" i="15" s="1"/>
  <c r="CW41" i="15" s="1"/>
  <c r="CY20" i="5"/>
  <c r="CZ43" i="6"/>
  <c r="CZ42" i="6" s="1"/>
  <c r="CZ55" i="6" s="1"/>
  <c r="CZ57" i="6" s="1"/>
  <c r="CW42" i="15" l="1"/>
  <c r="CY15" i="5"/>
  <c r="CY14" i="5" s="1"/>
  <c r="CZ66" i="6" s="1"/>
  <c r="CZ75" i="6" s="1"/>
  <c r="CY285" i="11"/>
  <c r="CZ62" i="6"/>
  <c r="CZ64" i="6" l="1"/>
  <c r="CZ69" i="6"/>
  <c r="CZ80" i="6"/>
  <c r="CY98" i="5"/>
  <c r="CY17" i="19"/>
  <c r="CZ76" i="6"/>
  <c r="DA73" i="6" s="1"/>
  <c r="CY103" i="5" l="1"/>
  <c r="CZ81" i="6"/>
  <c r="DA78" i="6" s="1"/>
  <c r="CY19" i="19"/>
  <c r="CY20" i="19"/>
  <c r="CY14" i="19"/>
  <c r="CZ70" i="6"/>
  <c r="CZ71" i="6" s="1"/>
  <c r="DA68" i="6" s="1"/>
  <c r="CY95" i="5"/>
  <c r="CY100" i="5" l="1"/>
  <c r="CY126" i="5"/>
  <c r="CY125" i="5"/>
  <c r="CZ89" i="6"/>
  <c r="CZ94" i="6" l="1"/>
  <c r="CZ90" i="6"/>
  <c r="CY127" i="5"/>
  <c r="CY128" i="5"/>
  <c r="CZ91" i="6" l="1"/>
  <c r="DA88" i="6" s="1"/>
  <c r="CY113" i="5"/>
  <c r="CZ99" i="6"/>
  <c r="CZ95" i="6"/>
  <c r="CZ96" i="6" s="1"/>
  <c r="DA93" i="6" s="1"/>
  <c r="CZ100" i="6" l="1"/>
  <c r="CY64" i="19"/>
  <c r="CY110" i="5"/>
  <c r="CY49" i="19"/>
  <c r="CY286" i="11"/>
  <c r="CY287" i="11" s="1"/>
  <c r="CY67" i="19" l="1"/>
  <c r="CY66" i="19"/>
  <c r="CY52" i="19"/>
  <c r="CY51" i="19"/>
  <c r="CY46" i="19"/>
  <c r="CX39" i="15"/>
  <c r="CX38" i="15" s="1"/>
  <c r="CX34" i="15" s="1"/>
  <c r="CX40" i="15" s="1"/>
  <c r="CZ284" i="11"/>
  <c r="CY132" i="5"/>
  <c r="CY134" i="5" s="1"/>
  <c r="CY67" i="5"/>
  <c r="CY120" i="5" s="1"/>
  <c r="CY122" i="5" s="1"/>
  <c r="CY124" i="5" s="1"/>
  <c r="CY135" i="5"/>
  <c r="CY131" i="5"/>
  <c r="CY133" i="5" s="1"/>
  <c r="CZ101" i="6"/>
  <c r="DA98" i="6" s="1"/>
  <c r="CZ121" i="5" l="1"/>
  <c r="DA44" i="6"/>
  <c r="CX16" i="15"/>
  <c r="CX15" i="15" s="1"/>
  <c r="CX14" i="15" s="1"/>
  <c r="CX41" i="15" s="1"/>
  <c r="CX42" i="15" l="1"/>
  <c r="CZ20" i="5"/>
  <c r="DA43" i="6"/>
  <c r="DA42" i="6" s="1"/>
  <c r="DA55" i="6" s="1"/>
  <c r="DA57" i="6" s="1"/>
  <c r="CZ285" i="11" l="1"/>
  <c r="DA62" i="6"/>
  <c r="CZ15" i="5"/>
  <c r="CZ14" i="5" s="1"/>
  <c r="DA66" i="6" s="1"/>
  <c r="DA75" i="6" s="1"/>
  <c r="DA80" i="6" l="1"/>
  <c r="CZ17" i="19"/>
  <c r="CZ98" i="5"/>
  <c r="DA76" i="6"/>
  <c r="DB73" i="6" s="1"/>
  <c r="DA69" i="6"/>
  <c r="DA64" i="6"/>
  <c r="CZ95" i="5" l="1"/>
  <c r="DA70" i="6"/>
  <c r="CZ19" i="19"/>
  <c r="CZ20" i="19"/>
  <c r="CZ14" i="19"/>
  <c r="CZ103" i="5"/>
  <c r="DA81" i="6"/>
  <c r="DB78" i="6" s="1"/>
  <c r="CZ100" i="5" l="1"/>
  <c r="DA71" i="6"/>
  <c r="DB68" i="6" s="1"/>
  <c r="DA89" i="6"/>
  <c r="CZ125" i="5"/>
  <c r="CZ126" i="5"/>
  <c r="DA94" i="6" l="1"/>
  <c r="DA95" i="6" s="1"/>
  <c r="DA96" i="6" s="1"/>
  <c r="DB93" i="6" s="1"/>
  <c r="DA90" i="6"/>
  <c r="CZ128" i="5"/>
  <c r="CZ127" i="5"/>
  <c r="DA99" i="6" l="1"/>
  <c r="CZ64" i="19" s="1"/>
  <c r="DA91" i="6"/>
  <c r="DB88" i="6" s="1"/>
  <c r="CZ113" i="5"/>
  <c r="DA100" i="6" l="1"/>
  <c r="DA101" i="6" s="1"/>
  <c r="DB98" i="6" s="1"/>
  <c r="CZ110" i="5"/>
  <c r="CZ49" i="19"/>
  <c r="CZ286" i="11"/>
  <c r="CZ287" i="11" s="1"/>
  <c r="CZ66" i="19"/>
  <c r="CZ67" i="19"/>
  <c r="CY39" i="15" l="1"/>
  <c r="CY38" i="15" s="1"/>
  <c r="CY34" i="15" s="1"/>
  <c r="CY40" i="15" s="1"/>
  <c r="DA284" i="11"/>
  <c r="CZ131" i="5"/>
  <c r="CZ133" i="5" s="1"/>
  <c r="CZ135" i="5"/>
  <c r="CZ132" i="5"/>
  <c r="CZ134" i="5" s="1"/>
  <c r="CZ67" i="5"/>
  <c r="CZ120" i="5" s="1"/>
  <c r="CZ122" i="5" s="1"/>
  <c r="CZ124" i="5" s="1"/>
  <c r="CZ51" i="19"/>
  <c r="CZ46" i="19"/>
  <c r="CZ52" i="19"/>
  <c r="CY16" i="15" l="1"/>
  <c r="CY15" i="15" s="1"/>
  <c r="CY14" i="15" s="1"/>
  <c r="CY41" i="15" s="1"/>
  <c r="DA121" i="5"/>
  <c r="DB44" i="6"/>
  <c r="CY42" i="15" l="1"/>
  <c r="DA20" i="5"/>
  <c r="DB43" i="6"/>
  <c r="DB42" i="6" s="1"/>
  <c r="DB55" i="6" s="1"/>
  <c r="DB57" i="6" s="1"/>
  <c r="DA285" i="11" l="1"/>
  <c r="DB62" i="6"/>
  <c r="DA15" i="5"/>
  <c r="DA14" i="5" s="1"/>
  <c r="DB66" i="6" s="1"/>
  <c r="DB75" i="6" l="1"/>
  <c r="DB80" i="6" s="1"/>
  <c r="DB69" i="6"/>
  <c r="DB64" i="6"/>
  <c r="DA103" i="5" l="1"/>
  <c r="DB81" i="6"/>
  <c r="DC78" i="6" s="1"/>
  <c r="DB70" i="6"/>
  <c r="DA98" i="5"/>
  <c r="DA17" i="19"/>
  <c r="DB76" i="6"/>
  <c r="DC73" i="6" s="1"/>
  <c r="DA19" i="19" l="1"/>
  <c r="DA20" i="19"/>
  <c r="DA14" i="19"/>
  <c r="DA95" i="5"/>
  <c r="DB71" i="6"/>
  <c r="DC68" i="6" s="1"/>
  <c r="DB89" i="6"/>
  <c r="DA100" i="5"/>
  <c r="DA128" i="5" l="1"/>
  <c r="DA127" i="5"/>
  <c r="DB94" i="6"/>
  <c r="DB90" i="6"/>
  <c r="DB91" i="6" s="1"/>
  <c r="DC88" i="6" s="1"/>
  <c r="DA125" i="5"/>
  <c r="DA126" i="5"/>
  <c r="DB99" i="6" l="1"/>
  <c r="DB95" i="6"/>
  <c r="DB96" i="6" s="1"/>
  <c r="DC93" i="6" s="1"/>
  <c r="DA113" i="5"/>
  <c r="DA110" i="5" l="1"/>
  <c r="DA49" i="19"/>
  <c r="DA286" i="11"/>
  <c r="DA287" i="11" s="1"/>
  <c r="DB100" i="6"/>
  <c r="DA64" i="19"/>
  <c r="DA66" i="19" l="1"/>
  <c r="DA67" i="19"/>
  <c r="DB101" i="6"/>
  <c r="DC98" i="6" s="1"/>
  <c r="DA46" i="19"/>
  <c r="DA52" i="19"/>
  <c r="DA51" i="19"/>
  <c r="CZ39" i="15"/>
  <c r="CZ38" i="15" s="1"/>
  <c r="CZ34" i="15" s="1"/>
  <c r="CZ40" i="15" s="1"/>
  <c r="DB284" i="11"/>
  <c r="DA132" i="5"/>
  <c r="DA134" i="5" s="1"/>
  <c r="DA67" i="5"/>
  <c r="DA120" i="5" s="1"/>
  <c r="DA122" i="5" s="1"/>
  <c r="DA124" i="5" s="1"/>
  <c r="DA131" i="5"/>
  <c r="DA133" i="5" s="1"/>
  <c r="DA135" i="5"/>
  <c r="CZ16" i="15" l="1"/>
  <c r="CZ15" i="15" s="1"/>
  <c r="CZ14" i="15" s="1"/>
  <c r="CZ41" i="15" s="1"/>
  <c r="DB121" i="5"/>
  <c r="DC44" i="6"/>
  <c r="CZ42" i="15" l="1"/>
  <c r="DB20" i="5"/>
  <c r="DC43" i="6"/>
  <c r="DC42" i="6" s="1"/>
  <c r="DC55" i="6" s="1"/>
  <c r="DC57" i="6" s="1"/>
  <c r="DB285" i="11" l="1"/>
  <c r="DC62" i="6"/>
  <c r="DB15" i="5"/>
  <c r="DB14" i="5" s="1"/>
  <c r="DC66" i="6" s="1"/>
  <c r="DC75" i="6" l="1"/>
  <c r="DC80" i="6" s="1"/>
  <c r="DC69" i="6"/>
  <c r="DC64" i="6"/>
  <c r="DC70" i="6" l="1"/>
  <c r="DC89" i="6" s="1"/>
  <c r="DB103" i="5"/>
  <c r="DC81" i="6"/>
  <c r="DD78" i="6" s="1"/>
  <c r="DB98" i="5"/>
  <c r="DB17" i="19"/>
  <c r="DC76" i="6"/>
  <c r="DD73" i="6" s="1"/>
  <c r="DC94" i="6" l="1"/>
  <c r="DC90" i="6"/>
  <c r="DB100" i="5"/>
  <c r="DB14" i="19"/>
  <c r="DB19" i="19"/>
  <c r="DB20" i="19"/>
  <c r="DB95" i="5"/>
  <c r="DC71" i="6"/>
  <c r="DD68" i="6" s="1"/>
  <c r="DB128" i="5" l="1"/>
  <c r="DB127" i="5"/>
  <c r="DC91" i="6"/>
  <c r="DD88" i="6" s="1"/>
  <c r="DB113" i="5"/>
  <c r="DB125" i="5"/>
  <c r="DB126" i="5"/>
  <c r="DC99" i="6"/>
  <c r="DC95" i="6"/>
  <c r="DC96" i="6" s="1"/>
  <c r="DD93" i="6" s="1"/>
  <c r="DB110" i="5" l="1"/>
  <c r="DB49" i="19"/>
  <c r="DB286" i="11"/>
  <c r="DB287" i="11" s="1"/>
  <c r="DB64" i="19"/>
  <c r="DC100" i="6"/>
  <c r="DB67" i="19" l="1"/>
  <c r="DB66" i="19"/>
  <c r="DB46" i="19"/>
  <c r="DB52" i="19"/>
  <c r="DB51" i="19"/>
  <c r="DC101" i="6"/>
  <c r="DD98" i="6" s="1"/>
  <c r="DA39" i="15"/>
  <c r="DA38" i="15" s="1"/>
  <c r="DA34" i="15" s="1"/>
  <c r="DA40" i="15" s="1"/>
  <c r="DC284" i="11"/>
  <c r="DB132" i="5"/>
  <c r="DB134" i="5" s="1"/>
  <c r="DB67" i="5"/>
  <c r="DB120" i="5" s="1"/>
  <c r="DB122" i="5" s="1"/>
  <c r="DB124" i="5" s="1"/>
  <c r="DB131" i="5"/>
  <c r="DB133" i="5" s="1"/>
  <c r="DB135" i="5"/>
  <c r="DA16" i="15" l="1"/>
  <c r="DA15" i="15" s="1"/>
  <c r="DA14" i="15" s="1"/>
  <c r="DA41" i="15" s="1"/>
  <c r="DC121" i="5"/>
  <c r="DD44" i="6"/>
  <c r="DC20" i="5" l="1"/>
  <c r="DD43" i="6"/>
  <c r="DD42" i="6" s="1"/>
  <c r="DD55" i="6" s="1"/>
  <c r="DD57" i="6" s="1"/>
  <c r="DA42" i="15"/>
  <c r="DC285" i="11" l="1"/>
  <c r="DD62" i="6"/>
  <c r="DC15" i="5"/>
  <c r="DC14" i="5" s="1"/>
  <c r="DD66" i="6" s="1"/>
  <c r="DD75" i="6" s="1"/>
  <c r="DD80" i="6" l="1"/>
  <c r="DC17" i="19"/>
  <c r="DC98" i="5"/>
  <c r="DD76" i="6"/>
  <c r="DE73" i="6" s="1"/>
  <c r="DD64" i="6"/>
  <c r="DD69" i="6"/>
  <c r="DD70" i="6" l="1"/>
  <c r="DC95" i="5"/>
  <c r="DC19" i="19"/>
  <c r="DC20" i="19"/>
  <c r="DC14" i="19"/>
  <c r="DC103" i="5"/>
  <c r="DD81" i="6"/>
  <c r="DE78" i="6" s="1"/>
  <c r="DC100" i="5" l="1"/>
  <c r="DC126" i="5"/>
  <c r="DC125" i="5"/>
  <c r="DD71" i="6"/>
  <c r="DE68" i="6" s="1"/>
  <c r="DD89" i="6"/>
  <c r="DC127" i="5" l="1"/>
  <c r="DC128" i="5"/>
  <c r="DD94" i="6"/>
  <c r="DD90" i="6"/>
  <c r="DD91" i="6" l="1"/>
  <c r="DE88" i="6" s="1"/>
  <c r="DC113" i="5"/>
  <c r="DD99" i="6"/>
  <c r="DD95" i="6"/>
  <c r="DD96" i="6" s="1"/>
  <c r="DE93" i="6" s="1"/>
  <c r="DD100" i="6" l="1"/>
  <c r="DC64" i="19"/>
  <c r="DC110" i="5"/>
  <c r="DC49" i="19"/>
  <c r="DC286" i="11"/>
  <c r="DC287" i="11" s="1"/>
  <c r="DC52" i="19" l="1"/>
  <c r="DC51" i="19"/>
  <c r="DC46" i="19"/>
  <c r="DB39" i="15"/>
  <c r="DB38" i="15" s="1"/>
  <c r="DB34" i="15" s="1"/>
  <c r="DB40" i="15" s="1"/>
  <c r="DD284" i="11"/>
  <c r="DC132" i="5"/>
  <c r="DC134" i="5" s="1"/>
  <c r="DC135" i="5"/>
  <c r="DC67" i="5"/>
  <c r="DC120" i="5" s="1"/>
  <c r="DC122" i="5" s="1"/>
  <c r="DC124" i="5" s="1"/>
  <c r="DC131" i="5"/>
  <c r="DC133" i="5" s="1"/>
  <c r="DC67" i="19"/>
  <c r="DC66" i="19"/>
  <c r="DD101" i="6"/>
  <c r="DE98" i="6" s="1"/>
  <c r="DB16" i="15" l="1"/>
  <c r="DB15" i="15" s="1"/>
  <c r="DB14" i="15" s="1"/>
  <c r="DB41" i="15" s="1"/>
  <c r="DD121" i="5"/>
  <c r="DE44" i="6"/>
  <c r="DB42" i="15" l="1"/>
  <c r="DD20" i="5"/>
  <c r="DD15" i="5" s="1"/>
  <c r="DD14" i="5" s="1"/>
  <c r="DE66" i="6" s="1"/>
  <c r="DE43" i="6"/>
  <c r="DE42" i="6" s="1"/>
  <c r="DE55" i="6" s="1"/>
  <c r="DE57" i="6" s="1"/>
  <c r="DD285" i="11" l="1"/>
  <c r="DE62" i="6"/>
  <c r="DE75" i="6"/>
  <c r="DE80" i="6" s="1"/>
  <c r="DD103" i="5" l="1"/>
  <c r="DD100" i="5" s="1"/>
  <c r="DE81" i="6"/>
  <c r="DF78" i="6" s="1"/>
  <c r="DE64" i="6"/>
  <c r="DE69" i="6"/>
  <c r="DD98" i="5"/>
  <c r="DD17" i="19"/>
  <c r="DE76" i="6"/>
  <c r="DF73" i="6" s="1"/>
  <c r="DD14" i="19" l="1"/>
  <c r="DD19" i="19"/>
  <c r="DD20" i="19"/>
  <c r="DD95" i="5"/>
  <c r="DE70" i="6"/>
  <c r="DE71" i="6" s="1"/>
  <c r="DF68" i="6" s="1"/>
  <c r="DD127" i="5"/>
  <c r="DD128" i="5"/>
  <c r="DE89" i="6" l="1"/>
  <c r="AC78" i="16"/>
  <c r="AC81" i="16" s="1"/>
  <c r="AC82" i="16" s="1"/>
  <c r="AC85" i="16"/>
  <c r="DD125" i="5"/>
  <c r="DD126" i="5"/>
  <c r="DE94" i="6" l="1"/>
  <c r="DE90" i="6"/>
  <c r="DD113" i="5" s="1"/>
  <c r="DE91" i="6" l="1"/>
  <c r="DF88" i="6" s="1"/>
  <c r="DD110" i="5"/>
  <c r="DD49" i="19"/>
  <c r="DD286" i="11"/>
  <c r="DD287" i="11" s="1"/>
  <c r="DE99" i="6"/>
  <c r="DE95" i="6"/>
  <c r="DE96" i="6" s="1"/>
  <c r="DF93" i="6" s="1"/>
  <c r="DC39" i="15" l="1"/>
  <c r="DE284" i="11"/>
  <c r="DD51" i="19"/>
  <c r="DD46" i="19"/>
  <c r="DD52" i="19"/>
  <c r="DD132" i="5"/>
  <c r="DD134" i="5" s="1"/>
  <c r="DD67" i="5"/>
  <c r="DD120" i="5" s="1"/>
  <c r="DD122" i="5" s="1"/>
  <c r="DD124" i="5" s="1"/>
  <c r="DD131" i="5"/>
  <c r="DD133" i="5" s="1"/>
  <c r="DD135" i="5"/>
  <c r="DE100" i="6"/>
  <c r="DE101" i="6" s="1"/>
  <c r="DF98" i="6" s="1"/>
  <c r="DD64" i="19"/>
  <c r="DD67" i="19" l="1"/>
  <c r="DD66" i="19"/>
  <c r="DF44" i="6"/>
  <c r="DC16" i="15"/>
  <c r="DE121" i="5"/>
  <c r="AA34" i="18"/>
  <c r="DC38" i="15"/>
  <c r="DC34" i="15" s="1"/>
  <c r="DC40" i="15" s="1"/>
  <c r="AA11" i="18" l="1"/>
  <c r="DC15" i="15"/>
  <c r="DC14" i="15" s="1"/>
  <c r="DC41" i="15" s="1"/>
  <c r="AA33" i="18"/>
  <c r="AA29" i="18" s="1"/>
  <c r="AA35" i="18" s="1"/>
  <c r="L227" i="32"/>
  <c r="L228" i="32" s="1"/>
  <c r="L229" i="32" s="1"/>
  <c r="DE20" i="5"/>
  <c r="DF43" i="6"/>
  <c r="DF42" i="6" s="1"/>
  <c r="DF55" i="6" s="1"/>
  <c r="DF57" i="6" s="1"/>
  <c r="DF62" i="6" l="1"/>
  <c r="DE285" i="11"/>
  <c r="DE15" i="5"/>
  <c r="DE14" i="5" s="1"/>
  <c r="DF66" i="6" s="1"/>
  <c r="AA10" i="18"/>
  <c r="AA9" i="18" s="1"/>
  <c r="AA36" i="18" s="1"/>
  <c r="L210" i="32"/>
  <c r="L217" i="32" s="1"/>
  <c r="L230" i="32" s="1"/>
  <c r="DC42" i="15"/>
  <c r="DF75" i="6" l="1"/>
  <c r="DF80" i="6" s="1"/>
  <c r="DF64" i="6"/>
  <c r="DF69" i="6"/>
  <c r="DE103" i="5" l="1"/>
  <c r="DF81" i="6"/>
  <c r="DG78" i="6" s="1"/>
  <c r="DF70" i="6"/>
  <c r="DF71" i="6" s="1"/>
  <c r="DG68" i="6" s="1"/>
  <c r="DE98" i="5"/>
  <c r="DE17" i="19"/>
  <c r="DF76" i="6"/>
  <c r="DG73" i="6" s="1"/>
  <c r="DE95" i="5" l="1"/>
  <c r="DE100" i="5"/>
  <c r="DE20" i="19"/>
  <c r="DE14" i="19"/>
  <c r="DE19" i="19"/>
  <c r="DF89" i="6"/>
  <c r="DE128" i="5" l="1"/>
  <c r="DE127" i="5"/>
  <c r="DF94" i="6"/>
  <c r="DF95" i="6" s="1"/>
  <c r="DF96" i="6" s="1"/>
  <c r="DG93" i="6" s="1"/>
  <c r="DF90" i="6"/>
  <c r="DF91" i="6" s="1"/>
  <c r="DG88" i="6" s="1"/>
  <c r="DE126" i="5"/>
  <c r="DE125" i="5"/>
  <c r="DF99" i="6" l="1"/>
  <c r="DF100" i="6" s="1"/>
  <c r="DE113" i="5"/>
  <c r="DE64" i="19" l="1"/>
  <c r="DE67" i="19" s="1"/>
  <c r="DE110" i="5"/>
  <c r="DE49" i="19"/>
  <c r="DE286" i="11"/>
  <c r="DE287" i="11" s="1"/>
  <c r="DF101" i="6"/>
  <c r="DG98" i="6" s="1"/>
  <c r="DE66" i="19" l="1"/>
  <c r="DF284" i="11"/>
  <c r="DD39" i="15"/>
  <c r="DD38" i="15" s="1"/>
  <c r="DD34" i="15" s="1"/>
  <c r="DD40" i="15" s="1"/>
  <c r="DE46" i="19"/>
  <c r="DE52" i="19"/>
  <c r="DE51" i="19"/>
  <c r="DE135" i="5"/>
  <c r="DE132" i="5"/>
  <c r="DE134" i="5" s="1"/>
  <c r="DE67" i="5"/>
  <c r="DE120" i="5" s="1"/>
  <c r="DE122" i="5" s="1"/>
  <c r="DE124" i="5" s="1"/>
  <c r="DE131" i="5"/>
  <c r="DE133" i="5" s="1"/>
  <c r="DD16" i="15" l="1"/>
  <c r="DD15" i="15" s="1"/>
  <c r="DD14" i="15" s="1"/>
  <c r="DD41" i="15" s="1"/>
  <c r="DF121" i="5"/>
  <c r="DG44" i="6"/>
  <c r="DD42" i="15" l="1"/>
  <c r="DF20" i="5"/>
  <c r="DG43" i="6"/>
  <c r="DG42" i="6" s="1"/>
  <c r="DG55" i="6" s="1"/>
  <c r="DG57" i="6" s="1"/>
  <c r="DF285" i="11" l="1"/>
  <c r="DG62" i="6"/>
  <c r="DF15" i="5"/>
  <c r="DF14" i="5" s="1"/>
  <c r="DG66" i="6" s="1"/>
  <c r="DG75" i="6" s="1"/>
  <c r="DG80" i="6" l="1"/>
  <c r="DF17" i="19"/>
  <c r="DF98" i="5"/>
  <c r="DG76" i="6"/>
  <c r="DH73" i="6" s="1"/>
  <c r="DG69" i="6"/>
  <c r="DG64" i="6"/>
  <c r="DF95" i="5" l="1"/>
  <c r="DG70" i="6"/>
  <c r="DF19" i="19"/>
  <c r="DF14" i="19"/>
  <c r="DF20" i="19"/>
  <c r="DF103" i="5"/>
  <c r="DG81" i="6"/>
  <c r="DH78" i="6" s="1"/>
  <c r="DG71" i="6" l="1"/>
  <c r="DH68" i="6" s="1"/>
  <c r="DG89" i="6"/>
  <c r="DF100" i="5"/>
  <c r="DF126" i="5"/>
  <c r="DF125" i="5"/>
  <c r="DG94" i="6" l="1"/>
  <c r="DG95" i="6" s="1"/>
  <c r="DG96" i="6" s="1"/>
  <c r="DH93" i="6" s="1"/>
  <c r="DG90" i="6"/>
  <c r="DF127" i="5"/>
  <c r="DF128" i="5"/>
  <c r="DG99" i="6" l="1"/>
  <c r="DG100" i="6" s="1"/>
  <c r="DF113" i="5"/>
  <c r="DG91" i="6"/>
  <c r="DH88" i="6" s="1"/>
  <c r="DF64" i="19" l="1"/>
  <c r="DF66" i="19" s="1"/>
  <c r="DG101" i="6"/>
  <c r="DH98" i="6" s="1"/>
  <c r="DF110" i="5"/>
  <c r="DF49" i="19"/>
  <c r="DF286" i="11"/>
  <c r="DF287" i="11" s="1"/>
  <c r="DF67" i="19" l="1"/>
  <c r="DG284" i="11"/>
  <c r="DE39" i="15"/>
  <c r="DE38" i="15" s="1"/>
  <c r="DE34" i="15" s="1"/>
  <c r="DE40" i="15" s="1"/>
  <c r="DF46" i="19"/>
  <c r="DF52" i="19"/>
  <c r="DF51" i="19"/>
  <c r="DF67" i="5"/>
  <c r="DF120" i="5" s="1"/>
  <c r="DF122" i="5" s="1"/>
  <c r="DF124" i="5" s="1"/>
  <c r="DF135" i="5"/>
  <c r="DF131" i="5"/>
  <c r="DF133" i="5" s="1"/>
  <c r="DF132" i="5"/>
  <c r="DF134" i="5" s="1"/>
  <c r="DE16" i="15" l="1"/>
  <c r="DE15" i="15" s="1"/>
  <c r="DE14" i="15" s="1"/>
  <c r="DE41" i="15" s="1"/>
  <c r="DH44" i="6"/>
  <c r="DG121" i="5"/>
  <c r="DG20" i="5" l="1"/>
  <c r="DH43" i="6"/>
  <c r="DH42" i="6" s="1"/>
  <c r="DH55" i="6" s="1"/>
  <c r="DH57" i="6" s="1"/>
  <c r="DE42" i="15"/>
  <c r="DG285" i="11" l="1"/>
  <c r="DH62" i="6"/>
  <c r="DG15" i="5"/>
  <c r="DG14" i="5" s="1"/>
  <c r="DH66" i="6" s="1"/>
  <c r="DH75" i="6" s="1"/>
  <c r="DH80" i="6" l="1"/>
  <c r="DG17" i="19"/>
  <c r="DG98" i="5"/>
  <c r="DH76" i="6"/>
  <c r="DI73" i="6" s="1"/>
  <c r="DH69" i="6"/>
  <c r="DH64" i="6"/>
  <c r="DG95" i="5" l="1"/>
  <c r="DH70" i="6"/>
  <c r="DG14" i="19"/>
  <c r="DG19" i="19"/>
  <c r="DG20" i="19"/>
  <c r="DG103" i="5"/>
  <c r="DH81" i="6"/>
  <c r="DI78" i="6" s="1"/>
  <c r="DH89" i="6" l="1"/>
  <c r="DG100" i="5"/>
  <c r="DH71" i="6"/>
  <c r="DI68" i="6" s="1"/>
  <c r="DG126" i="5"/>
  <c r="DG125" i="5"/>
  <c r="DH94" i="6" l="1"/>
  <c r="DH95" i="6" s="1"/>
  <c r="DH96" i="6" s="1"/>
  <c r="DI93" i="6" s="1"/>
  <c r="DH90" i="6"/>
  <c r="DG127" i="5"/>
  <c r="DG128" i="5"/>
  <c r="DH99" i="6" l="1"/>
  <c r="DH100" i="6" s="1"/>
  <c r="DH91" i="6"/>
  <c r="DI88" i="6" s="1"/>
  <c r="DG113" i="5"/>
  <c r="DG64" i="19" l="1"/>
  <c r="DG66" i="19" s="1"/>
  <c r="DH101" i="6"/>
  <c r="DI98" i="6" s="1"/>
  <c r="DG110" i="5"/>
  <c r="DG49" i="19"/>
  <c r="DG286" i="11"/>
  <c r="DG287" i="11" s="1"/>
  <c r="DG67" i="19" l="1"/>
  <c r="DH284" i="11"/>
  <c r="DF39" i="15"/>
  <c r="DF38" i="15" s="1"/>
  <c r="DF34" i="15" s="1"/>
  <c r="DF40" i="15" s="1"/>
  <c r="DG51" i="19"/>
  <c r="DG46" i="19"/>
  <c r="DG52" i="19"/>
  <c r="DG67" i="5"/>
  <c r="DG120" i="5" s="1"/>
  <c r="DG122" i="5" s="1"/>
  <c r="DG124" i="5" s="1"/>
  <c r="DG131" i="5"/>
  <c r="DG133" i="5" s="1"/>
  <c r="DG135" i="5"/>
  <c r="DG132" i="5"/>
  <c r="DG134" i="5" s="1"/>
  <c r="DF16" i="15" l="1"/>
  <c r="DF15" i="15" s="1"/>
  <c r="DF14" i="15" s="1"/>
  <c r="DF41" i="15" s="1"/>
  <c r="DH121" i="5"/>
  <c r="DI44" i="6"/>
  <c r="DF42" i="15" l="1"/>
  <c r="DH20" i="5"/>
  <c r="DI43" i="6"/>
  <c r="DI42" i="6" s="1"/>
  <c r="DI55" i="6" s="1"/>
  <c r="DI57" i="6" s="1"/>
  <c r="DH285" i="11" l="1"/>
  <c r="DI62" i="6"/>
  <c r="DH15" i="5"/>
  <c r="DH14" i="5" s="1"/>
  <c r="DI66" i="6" s="1"/>
  <c r="DI64" i="6" l="1"/>
  <c r="DI69" i="6"/>
  <c r="DI75" i="6"/>
  <c r="DI80" i="6" s="1"/>
  <c r="DH103" i="5" l="1"/>
  <c r="DI81" i="6"/>
  <c r="DJ78" i="6" s="1"/>
  <c r="DH98" i="5"/>
  <c r="DH17" i="19"/>
  <c r="DI76" i="6"/>
  <c r="DJ73" i="6" s="1"/>
  <c r="DI70" i="6"/>
  <c r="DI71" i="6" l="1"/>
  <c r="DJ68" i="6" s="1"/>
  <c r="DH19" i="19"/>
  <c r="DH20" i="19"/>
  <c r="DH14" i="19"/>
  <c r="DH100" i="5"/>
  <c r="DH95" i="5"/>
  <c r="DI89" i="6"/>
  <c r="DI94" i="6" l="1"/>
  <c r="DI90" i="6"/>
  <c r="DI91" i="6" s="1"/>
  <c r="DJ88" i="6" s="1"/>
  <c r="DH125" i="5"/>
  <c r="DH126" i="5"/>
  <c r="DH128" i="5"/>
  <c r="DH127" i="5"/>
  <c r="DH113" i="5" l="1"/>
  <c r="DI99" i="6"/>
  <c r="DI95" i="6"/>
  <c r="DI96" i="6" s="1"/>
  <c r="DJ93" i="6" s="1"/>
  <c r="DH286" i="11" l="1"/>
  <c r="DH287" i="11" s="1"/>
  <c r="DH110" i="5"/>
  <c r="DH49" i="19"/>
  <c r="DI100" i="6"/>
  <c r="DH64" i="19"/>
  <c r="DI101" i="6" l="1"/>
  <c r="DJ98" i="6" s="1"/>
  <c r="DH46" i="19"/>
  <c r="DH51" i="19"/>
  <c r="DH52" i="19"/>
  <c r="DH132" i="5"/>
  <c r="DH134" i="5" s="1"/>
  <c r="DH67" i="5"/>
  <c r="DH120" i="5" s="1"/>
  <c r="DH122" i="5" s="1"/>
  <c r="DH124" i="5" s="1"/>
  <c r="DH131" i="5"/>
  <c r="DH133" i="5" s="1"/>
  <c r="DH135" i="5"/>
  <c r="DH66" i="19"/>
  <c r="DH67" i="19"/>
  <c r="DG39" i="15"/>
  <c r="DG38" i="15" s="1"/>
  <c r="DG34" i="15" s="1"/>
  <c r="DG40" i="15" s="1"/>
  <c r="DI284" i="11"/>
  <c r="DG16" i="15" l="1"/>
  <c r="DG15" i="15" s="1"/>
  <c r="DG14" i="15" s="1"/>
  <c r="DG41" i="15" s="1"/>
  <c r="DI121" i="5"/>
  <c r="DJ44" i="6"/>
  <c r="DI20" i="5" l="1"/>
  <c r="DJ43" i="6"/>
  <c r="DJ42" i="6" s="1"/>
  <c r="DJ55" i="6" s="1"/>
  <c r="DJ57" i="6" s="1"/>
  <c r="DG42" i="15"/>
  <c r="DI285" i="11" l="1"/>
  <c r="DJ62" i="6"/>
  <c r="DI15" i="5"/>
  <c r="DI14" i="5" s="1"/>
  <c r="DJ66" i="6" s="1"/>
  <c r="DJ75" i="6" s="1"/>
  <c r="DJ80" i="6" l="1"/>
  <c r="DI17" i="19"/>
  <c r="DI98" i="5"/>
  <c r="DJ76" i="6"/>
  <c r="DK73" i="6" s="1"/>
  <c r="DJ64" i="6"/>
  <c r="DJ69" i="6"/>
  <c r="DJ70" i="6" l="1"/>
  <c r="DJ89" i="6" s="1"/>
  <c r="DI95" i="5"/>
  <c r="DI19" i="19"/>
  <c r="DI14" i="19"/>
  <c r="DI20" i="19"/>
  <c r="DI103" i="5"/>
  <c r="DJ81" i="6"/>
  <c r="DK78" i="6" s="1"/>
  <c r="DI125" i="5" l="1"/>
  <c r="DI126" i="5"/>
  <c r="DJ94" i="6"/>
  <c r="DJ90" i="6"/>
  <c r="DJ91" i="6" s="1"/>
  <c r="DK88" i="6" s="1"/>
  <c r="DJ71" i="6"/>
  <c r="DK68" i="6" s="1"/>
  <c r="DI100" i="5"/>
  <c r="DJ99" i="6" l="1"/>
  <c r="DJ95" i="6"/>
  <c r="DJ96" i="6" s="1"/>
  <c r="DK93" i="6" s="1"/>
  <c r="DI128" i="5"/>
  <c r="DI127" i="5"/>
  <c r="DI113" i="5"/>
  <c r="DI110" i="5" l="1"/>
  <c r="DI49" i="19"/>
  <c r="DI286" i="11"/>
  <c r="DI287" i="11" s="1"/>
  <c r="DJ100" i="6"/>
  <c r="DJ101" i="6" s="1"/>
  <c r="DK98" i="6" s="1"/>
  <c r="DI64" i="19"/>
  <c r="DI66" i="19" l="1"/>
  <c r="DI67" i="19"/>
  <c r="DH39" i="15"/>
  <c r="DH38" i="15" s="1"/>
  <c r="DH34" i="15" s="1"/>
  <c r="DH40" i="15" s="1"/>
  <c r="DJ284" i="11"/>
  <c r="DI46" i="19"/>
  <c r="DI52" i="19"/>
  <c r="DI51" i="19"/>
  <c r="DI135" i="5"/>
  <c r="DI67" i="5"/>
  <c r="DI120" i="5" s="1"/>
  <c r="DI122" i="5" s="1"/>
  <c r="DI124" i="5" s="1"/>
  <c r="DI132" i="5"/>
  <c r="DI134" i="5" s="1"/>
  <c r="DI131" i="5"/>
  <c r="DI133" i="5" s="1"/>
  <c r="DH16" i="15" l="1"/>
  <c r="DH15" i="15" s="1"/>
  <c r="DH14" i="15" s="1"/>
  <c r="DH41" i="15" s="1"/>
  <c r="DJ121" i="5"/>
  <c r="DK44" i="6"/>
  <c r="DH42" i="15" l="1"/>
  <c r="DJ20" i="5"/>
  <c r="DJ15" i="5" s="1"/>
  <c r="DJ14" i="5" s="1"/>
  <c r="DK66" i="6" s="1"/>
  <c r="DK43" i="6"/>
  <c r="DK42" i="6" s="1"/>
  <c r="DK55" i="6" s="1"/>
  <c r="DK57" i="6" s="1"/>
  <c r="DJ285" i="11" l="1"/>
  <c r="DK62" i="6"/>
  <c r="DK75" i="6"/>
  <c r="DK80" i="6" s="1"/>
  <c r="DJ103" i="5" l="1"/>
  <c r="DJ100" i="5" s="1"/>
  <c r="DK81" i="6"/>
  <c r="DL78" i="6" s="1"/>
  <c r="DJ98" i="5"/>
  <c r="DJ17" i="19"/>
  <c r="DK76" i="6"/>
  <c r="DL73" i="6" s="1"/>
  <c r="DK64" i="6"/>
  <c r="DK69" i="6"/>
  <c r="DK70" i="6" s="1"/>
  <c r="DK71" i="6" l="1"/>
  <c r="DL68" i="6" s="1"/>
  <c r="DK89" i="6"/>
  <c r="AD78" i="16"/>
  <c r="AD81" i="16" s="1"/>
  <c r="AD82" i="16" s="1"/>
  <c r="AD85" i="16"/>
  <c r="DJ95" i="5"/>
  <c r="DJ19" i="19"/>
  <c r="DJ20" i="19"/>
  <c r="DJ14" i="19"/>
  <c r="DJ128" i="5"/>
  <c r="DJ127" i="5"/>
  <c r="DK94" i="6" l="1"/>
  <c r="DK90" i="6"/>
  <c r="DJ113" i="5" s="1"/>
  <c r="DJ125" i="5"/>
  <c r="DJ126" i="5"/>
  <c r="DK91" i="6" l="1"/>
  <c r="DL88" i="6" s="1"/>
  <c r="DJ110" i="5"/>
  <c r="DJ49" i="19"/>
  <c r="DJ286" i="11"/>
  <c r="DJ287" i="11" s="1"/>
  <c r="DK99" i="6"/>
  <c r="DK95" i="6"/>
  <c r="DK96" i="6" s="1"/>
  <c r="DL93" i="6" s="1"/>
  <c r="DI39" i="15" l="1"/>
  <c r="DK284" i="11"/>
  <c r="DK100" i="6"/>
  <c r="DK101" i="6" s="1"/>
  <c r="DL98" i="6" s="1"/>
  <c r="DJ64" i="19"/>
  <c r="DJ46" i="19"/>
  <c r="DJ51" i="19"/>
  <c r="DJ52" i="19"/>
  <c r="DJ135" i="5"/>
  <c r="DJ67" i="5"/>
  <c r="DJ120" i="5" s="1"/>
  <c r="DJ122" i="5" s="1"/>
  <c r="DJ124" i="5" s="1"/>
  <c r="DJ132" i="5"/>
  <c r="DJ134" i="5" s="1"/>
  <c r="DJ131" i="5"/>
  <c r="DJ133" i="5" s="1"/>
  <c r="DK121" i="5" l="1"/>
  <c r="DI16" i="15"/>
  <c r="DL44" i="6"/>
  <c r="DJ66" i="19"/>
  <c r="DJ67" i="19"/>
  <c r="AB34" i="18"/>
  <c r="AB33" i="18" s="1"/>
  <c r="AB29" i="18" s="1"/>
  <c r="AB35" i="18" s="1"/>
  <c r="DI38" i="15"/>
  <c r="DI34" i="15" s="1"/>
  <c r="DI40" i="15" s="1"/>
  <c r="DK20" i="5" l="1"/>
  <c r="DL43" i="6"/>
  <c r="DL42" i="6" s="1"/>
  <c r="DL55" i="6" s="1"/>
  <c r="DL57" i="6" s="1"/>
  <c r="DI15" i="15"/>
  <c r="DI14" i="15" s="1"/>
  <c r="DI41" i="15" s="1"/>
  <c r="AB11" i="18"/>
  <c r="AB10" i="18" s="1"/>
  <c r="AB9" i="18" s="1"/>
  <c r="AB36" i="18" s="1"/>
  <c r="DL62" i="6" l="1"/>
  <c r="DK285" i="11"/>
  <c r="DK15" i="5"/>
  <c r="DK14" i="5" s="1"/>
  <c r="DL66" i="6" s="1"/>
  <c r="DL75" i="6" s="1"/>
  <c r="DI42" i="15"/>
  <c r="DL80" i="6" l="1"/>
  <c r="DK98" i="5"/>
  <c r="DK17" i="19"/>
  <c r="DL76" i="6"/>
  <c r="DM73" i="6" s="1"/>
  <c r="DL64" i="6"/>
  <c r="DL69" i="6"/>
  <c r="DL70" i="6" l="1"/>
  <c r="DL71" i="6" s="1"/>
  <c r="DM68" i="6" s="1"/>
  <c r="DK20" i="19"/>
  <c r="DK19" i="19"/>
  <c r="DK14" i="19"/>
  <c r="DK95" i="5"/>
  <c r="DK103" i="5"/>
  <c r="DL81" i="6"/>
  <c r="DM78" i="6" s="1"/>
  <c r="DK100" i="5" l="1"/>
  <c r="DK125" i="5"/>
  <c r="DK126" i="5"/>
  <c r="DL89" i="6"/>
  <c r="DK127" i="5" l="1"/>
  <c r="DK128" i="5"/>
  <c r="DL94" i="6"/>
  <c r="DL90" i="6"/>
  <c r="DL99" i="6" l="1"/>
  <c r="DL95" i="6"/>
  <c r="DL96" i="6" s="1"/>
  <c r="DM93" i="6" s="1"/>
  <c r="DK113" i="5"/>
  <c r="DL91" i="6"/>
  <c r="DM88" i="6" s="1"/>
  <c r="DK110" i="5" l="1"/>
  <c r="DK49" i="19"/>
  <c r="DK286" i="11"/>
  <c r="DK287" i="11" s="1"/>
  <c r="DL100" i="6"/>
  <c r="DK64" i="19"/>
  <c r="DK66" i="19" l="1"/>
  <c r="DK67" i="19"/>
  <c r="DK51" i="19"/>
  <c r="DK46" i="19"/>
  <c r="DK52" i="19"/>
  <c r="DL101" i="6"/>
  <c r="DM98" i="6" s="1"/>
  <c r="DL284" i="11"/>
  <c r="DJ39" i="15"/>
  <c r="DJ38" i="15" s="1"/>
  <c r="DJ34" i="15" s="1"/>
  <c r="DJ40" i="15" s="1"/>
  <c r="DK132" i="5"/>
  <c r="DK134" i="5" s="1"/>
  <c r="DK131" i="5"/>
  <c r="DK133" i="5" s="1"/>
  <c r="DK135" i="5"/>
  <c r="DK67" i="5"/>
  <c r="DK120" i="5" s="1"/>
  <c r="DK122" i="5" s="1"/>
  <c r="DK124" i="5" s="1"/>
  <c r="DJ16" i="15" l="1"/>
  <c r="DJ15" i="15" s="1"/>
  <c r="DJ14" i="15" s="1"/>
  <c r="DJ41" i="15" s="1"/>
  <c r="DM44" i="6"/>
  <c r="DL121" i="5"/>
  <c r="DJ42" i="15" l="1"/>
  <c r="DL20" i="5"/>
  <c r="DM43" i="6"/>
  <c r="DM42" i="6" s="1"/>
  <c r="DM55" i="6" s="1"/>
  <c r="DM57" i="6" s="1"/>
  <c r="DL285" i="11" l="1"/>
  <c r="DM62" i="6"/>
  <c r="DL15" i="5"/>
  <c r="DL14" i="5" s="1"/>
  <c r="DM66" i="6" s="1"/>
  <c r="DM75" i="6" s="1"/>
  <c r="DM80" i="6" l="1"/>
  <c r="DL98" i="5"/>
  <c r="DL17" i="19"/>
  <c r="DM76" i="6"/>
  <c r="DN73" i="6" s="1"/>
  <c r="DM64" i="6"/>
  <c r="DM69" i="6"/>
  <c r="DM70" i="6" l="1"/>
  <c r="DM71" i="6" s="1"/>
  <c r="DN68" i="6" s="1"/>
  <c r="DL14" i="19"/>
  <c r="DL19" i="19"/>
  <c r="DL20" i="19"/>
  <c r="DL95" i="5"/>
  <c r="DL103" i="5"/>
  <c r="DM81" i="6"/>
  <c r="DN78" i="6" s="1"/>
  <c r="DL125" i="5" l="1"/>
  <c r="DL126" i="5"/>
  <c r="DL100" i="5"/>
  <c r="DM89" i="6"/>
  <c r="DM94" i="6" l="1"/>
  <c r="DM95" i="6" s="1"/>
  <c r="DM96" i="6" s="1"/>
  <c r="DN93" i="6" s="1"/>
  <c r="DM90" i="6"/>
  <c r="DM91" i="6" s="1"/>
  <c r="DN88" i="6" s="1"/>
  <c r="DL127" i="5"/>
  <c r="DL128" i="5"/>
  <c r="DM99" i="6" l="1"/>
  <c r="DM100" i="6" s="1"/>
  <c r="DL113" i="5"/>
  <c r="DL64" i="19" l="1"/>
  <c r="DL66" i="19" s="1"/>
  <c r="DM101" i="6"/>
  <c r="DN98" i="6" s="1"/>
  <c r="DL110" i="5"/>
  <c r="DL49" i="19"/>
  <c r="DL286" i="11"/>
  <c r="DL287" i="11" s="1"/>
  <c r="DL67" i="19" l="1"/>
  <c r="DL46" i="19"/>
  <c r="DL52" i="19"/>
  <c r="DL51" i="19"/>
  <c r="DK39" i="15"/>
  <c r="DK38" i="15" s="1"/>
  <c r="DK34" i="15" s="1"/>
  <c r="DK40" i="15" s="1"/>
  <c r="DM284" i="11"/>
  <c r="DL132" i="5"/>
  <c r="DL134" i="5" s="1"/>
  <c r="DL131" i="5"/>
  <c r="DL133" i="5" s="1"/>
  <c r="DL135" i="5"/>
  <c r="DL67" i="5"/>
  <c r="DL120" i="5" s="1"/>
  <c r="DL122" i="5" s="1"/>
  <c r="DL124" i="5" s="1"/>
  <c r="DK16" i="15" l="1"/>
  <c r="DK15" i="15" s="1"/>
  <c r="DK14" i="15" s="1"/>
  <c r="DK41" i="15" s="1"/>
  <c r="DM121" i="5"/>
  <c r="DN44" i="6"/>
  <c r="DK42" i="15" l="1"/>
  <c r="DM20" i="5"/>
  <c r="DN43" i="6"/>
  <c r="DN42" i="6" s="1"/>
  <c r="DN55" i="6" s="1"/>
  <c r="DN57" i="6" s="1"/>
  <c r="DM285" i="11" l="1"/>
  <c r="DN62" i="6"/>
  <c r="DM15" i="5"/>
  <c r="DM14" i="5" s="1"/>
  <c r="DN66" i="6" s="1"/>
  <c r="DN75" i="6" l="1"/>
  <c r="DN80" i="6" s="1"/>
  <c r="DN64" i="6"/>
  <c r="DN69" i="6"/>
  <c r="DM103" i="5" l="1"/>
  <c r="DN81" i="6"/>
  <c r="DO78" i="6" s="1"/>
  <c r="DN70" i="6"/>
  <c r="DN71" i="6" s="1"/>
  <c r="DO68" i="6" s="1"/>
  <c r="DM98" i="5"/>
  <c r="DM17" i="19"/>
  <c r="DN76" i="6"/>
  <c r="DO73" i="6" s="1"/>
  <c r="DM14" i="19" l="1"/>
  <c r="DM19" i="19"/>
  <c r="DM20" i="19"/>
  <c r="DM95" i="5"/>
  <c r="DN89" i="6"/>
  <c r="DM100" i="5"/>
  <c r="DN94" i="6" l="1"/>
  <c r="DN90" i="6"/>
  <c r="DM127" i="5"/>
  <c r="DM128" i="5"/>
  <c r="DM125" i="5"/>
  <c r="DM126" i="5"/>
  <c r="DN91" i="6" l="1"/>
  <c r="DO88" i="6" s="1"/>
  <c r="DM113" i="5"/>
  <c r="DN99" i="6"/>
  <c r="DN95" i="6"/>
  <c r="DN96" i="6" s="1"/>
  <c r="DO93" i="6" s="1"/>
  <c r="DM110" i="5" l="1"/>
  <c r="DM49" i="19"/>
  <c r="DM286" i="11"/>
  <c r="DM287" i="11" s="1"/>
  <c r="DN100" i="6"/>
  <c r="DM64" i="19"/>
  <c r="DN101" i="6" l="1"/>
  <c r="DO98" i="6" s="1"/>
  <c r="DM51" i="19"/>
  <c r="DM46" i="19"/>
  <c r="DM52" i="19"/>
  <c r="DM67" i="19"/>
  <c r="DM66" i="19"/>
  <c r="DL39" i="15"/>
  <c r="DL38" i="15" s="1"/>
  <c r="DL34" i="15" s="1"/>
  <c r="DL40" i="15" s="1"/>
  <c r="DN284" i="11"/>
  <c r="DM135" i="5"/>
  <c r="DM132" i="5"/>
  <c r="DM134" i="5" s="1"/>
  <c r="DM131" i="5"/>
  <c r="DM133" i="5" s="1"/>
  <c r="DM67" i="5"/>
  <c r="DM120" i="5" s="1"/>
  <c r="DM122" i="5" s="1"/>
  <c r="DM124" i="5" s="1"/>
  <c r="DL16" i="15" l="1"/>
  <c r="DL15" i="15" s="1"/>
  <c r="DL14" i="15" s="1"/>
  <c r="DL41" i="15" s="1"/>
  <c r="DN121" i="5"/>
  <c r="DO44" i="6"/>
  <c r="DL42" i="15" l="1"/>
  <c r="DN20" i="5"/>
  <c r="DO43" i="6"/>
  <c r="DO42" i="6" s="1"/>
  <c r="DO55" i="6" s="1"/>
  <c r="DO57" i="6" s="1"/>
  <c r="DN285" i="11" l="1"/>
  <c r="DO62" i="6"/>
  <c r="DN15" i="5"/>
  <c r="DN14" i="5" s="1"/>
  <c r="DO66" i="6" s="1"/>
  <c r="DO75" i="6" s="1"/>
  <c r="DO64" i="6" l="1"/>
  <c r="DO69" i="6"/>
  <c r="DO80" i="6"/>
  <c r="DN17" i="19"/>
  <c r="DN98" i="5"/>
  <c r="DO76" i="6"/>
  <c r="DP73" i="6" s="1"/>
  <c r="DN103" i="5" l="1"/>
  <c r="DO81" i="6"/>
  <c r="DP78" i="6" s="1"/>
  <c r="DN95" i="5"/>
  <c r="DO70" i="6"/>
  <c r="DO71" i="6" s="1"/>
  <c r="DP68" i="6" s="1"/>
  <c r="DN20" i="19"/>
  <c r="DN14" i="19"/>
  <c r="DN19" i="19"/>
  <c r="DN126" i="5" l="1"/>
  <c r="DN125" i="5"/>
  <c r="DO89" i="6"/>
  <c r="DN100" i="5"/>
  <c r="DN128" i="5" l="1"/>
  <c r="DN127" i="5"/>
  <c r="DO94" i="6"/>
  <c r="DO95" i="6" s="1"/>
  <c r="DO96" i="6" s="1"/>
  <c r="DP93" i="6" s="1"/>
  <c r="DO90" i="6"/>
  <c r="DO99" i="6" l="1"/>
  <c r="DO100" i="6" s="1"/>
  <c r="DO91" i="6"/>
  <c r="DP88" i="6" s="1"/>
  <c r="DN113" i="5"/>
  <c r="DN64" i="19" l="1"/>
  <c r="DN67" i="19" s="1"/>
  <c r="DN110" i="5"/>
  <c r="DN49" i="19"/>
  <c r="DN286" i="11"/>
  <c r="DN287" i="11" s="1"/>
  <c r="DO101" i="6"/>
  <c r="DP98" i="6" s="1"/>
  <c r="DN66" i="19" l="1"/>
  <c r="DN46" i="19"/>
  <c r="DN52" i="19"/>
  <c r="DN51" i="19"/>
  <c r="DM39" i="15"/>
  <c r="DM38" i="15" s="1"/>
  <c r="DM34" i="15" s="1"/>
  <c r="DM40" i="15" s="1"/>
  <c r="DO284" i="11"/>
  <c r="DN131" i="5"/>
  <c r="DN133" i="5" s="1"/>
  <c r="DN135" i="5"/>
  <c r="DN132" i="5"/>
  <c r="DN134" i="5" s="1"/>
  <c r="DN67" i="5"/>
  <c r="DN120" i="5" s="1"/>
  <c r="DN122" i="5" s="1"/>
  <c r="DN124" i="5" s="1"/>
  <c r="DM16" i="15" l="1"/>
  <c r="DM15" i="15" s="1"/>
  <c r="DM14" i="15" s="1"/>
  <c r="DM41" i="15" s="1"/>
  <c r="DO121" i="5"/>
  <c r="DP44" i="6"/>
  <c r="DM42" i="15" l="1"/>
  <c r="DO20" i="5"/>
  <c r="DP43" i="6"/>
  <c r="DP42" i="6" s="1"/>
  <c r="DP55" i="6" s="1"/>
  <c r="DP57" i="6" s="1"/>
  <c r="DO285" i="11" l="1"/>
  <c r="DP62" i="6"/>
  <c r="DO15" i="5"/>
  <c r="DO14" i="5" s="1"/>
  <c r="DP66" i="6" s="1"/>
  <c r="DP75" i="6" s="1"/>
  <c r="DP80" i="6" l="1"/>
  <c r="DO17" i="19"/>
  <c r="DO98" i="5"/>
  <c r="DP76" i="6"/>
  <c r="DQ73" i="6" s="1"/>
  <c r="DP64" i="6"/>
  <c r="DP69" i="6"/>
  <c r="DP70" i="6" l="1"/>
  <c r="DP71" i="6" s="1"/>
  <c r="DQ68" i="6" s="1"/>
  <c r="DO95" i="5"/>
  <c r="DO103" i="5"/>
  <c r="DP81" i="6"/>
  <c r="DQ78" i="6" s="1"/>
  <c r="DO19" i="19"/>
  <c r="DO20" i="19"/>
  <c r="DO14" i="19"/>
  <c r="DO126" i="5" l="1"/>
  <c r="DO125" i="5"/>
  <c r="DP89" i="6"/>
  <c r="DO100" i="5"/>
  <c r="DO127" i="5" l="1"/>
  <c r="DO128" i="5"/>
  <c r="DP94" i="6"/>
  <c r="DP90" i="6"/>
  <c r="DP99" i="6" l="1"/>
  <c r="DP95" i="6"/>
  <c r="DP96" i="6" s="1"/>
  <c r="DQ93" i="6" s="1"/>
  <c r="DP91" i="6"/>
  <c r="DQ88" i="6" s="1"/>
  <c r="DO113" i="5"/>
  <c r="DO110" i="5" l="1"/>
  <c r="DO49" i="19"/>
  <c r="DO286" i="11"/>
  <c r="DO287" i="11" s="1"/>
  <c r="DP100" i="6"/>
  <c r="DO64" i="19"/>
  <c r="DP101" i="6" l="1"/>
  <c r="DQ98" i="6" s="1"/>
  <c r="DO67" i="19"/>
  <c r="DO66" i="19"/>
  <c r="DO51" i="19"/>
  <c r="DO46" i="19"/>
  <c r="DO52" i="19"/>
  <c r="DN39" i="15"/>
  <c r="DN38" i="15" s="1"/>
  <c r="DN34" i="15" s="1"/>
  <c r="DN40" i="15" s="1"/>
  <c r="DP284" i="11"/>
  <c r="DO131" i="5"/>
  <c r="DO133" i="5" s="1"/>
  <c r="DO135" i="5"/>
  <c r="DO132" i="5"/>
  <c r="DO134" i="5" s="1"/>
  <c r="DO67" i="5"/>
  <c r="DO120" i="5" s="1"/>
  <c r="DO122" i="5" s="1"/>
  <c r="DO124" i="5" s="1"/>
  <c r="DN16" i="15" l="1"/>
  <c r="DN15" i="15" s="1"/>
  <c r="DN14" i="15" s="1"/>
  <c r="DN41" i="15" s="1"/>
  <c r="DP121" i="5"/>
  <c r="DQ44" i="6"/>
  <c r="DN42" i="15" l="1"/>
  <c r="DP20" i="5"/>
  <c r="DP15" i="5" s="1"/>
  <c r="DP14" i="5" s="1"/>
  <c r="DQ66" i="6" s="1"/>
  <c r="DQ75" i="6" s="1"/>
  <c r="DQ43" i="6"/>
  <c r="DQ42" i="6" s="1"/>
  <c r="DQ55" i="6" s="1"/>
  <c r="DQ57" i="6" s="1"/>
  <c r="DQ80" i="6" l="1"/>
  <c r="DP17" i="19"/>
  <c r="DP98" i="5"/>
  <c r="DQ76" i="6"/>
  <c r="DR73" i="6" s="1"/>
  <c r="DP285" i="11"/>
  <c r="DQ62" i="6"/>
  <c r="DQ64" i="6" l="1"/>
  <c r="DQ69" i="6"/>
  <c r="DP95" i="5"/>
  <c r="DP14" i="19"/>
  <c r="DP19" i="19"/>
  <c r="DP20" i="19"/>
  <c r="DP103" i="5"/>
  <c r="DP100" i="5" s="1"/>
  <c r="DQ81" i="6"/>
  <c r="DR78" i="6" s="1"/>
  <c r="DP128" i="5" l="1"/>
  <c r="DP127" i="5"/>
  <c r="DQ70" i="6"/>
  <c r="DQ71" i="6" s="1"/>
  <c r="DR68" i="6" s="1"/>
  <c r="DP125" i="5"/>
  <c r="DP126" i="5"/>
  <c r="AE78" i="16" l="1"/>
  <c r="AE81" i="16" s="1"/>
  <c r="AE82" i="16" s="1"/>
  <c r="AE85" i="16"/>
  <c r="DQ89" i="6"/>
  <c r="DQ94" i="6" l="1"/>
  <c r="DQ90" i="6"/>
  <c r="DP113" i="5" s="1"/>
  <c r="DQ91" i="6" l="1"/>
  <c r="DR88" i="6" s="1"/>
  <c r="DP110" i="5"/>
  <c r="DP49" i="19"/>
  <c r="DP286" i="11"/>
  <c r="DP287" i="11" s="1"/>
  <c r="DQ99" i="6"/>
  <c r="DQ95" i="6"/>
  <c r="DQ96" i="6" s="1"/>
  <c r="DR93" i="6" s="1"/>
  <c r="DO39" i="15" l="1"/>
  <c r="DQ284" i="11"/>
  <c r="DP52" i="19"/>
  <c r="DP46" i="19"/>
  <c r="DP51" i="19"/>
  <c r="DQ100" i="6"/>
  <c r="DQ101" i="6" s="1"/>
  <c r="DR98" i="6" s="1"/>
  <c r="DP64" i="19"/>
  <c r="DP135" i="5"/>
  <c r="DP131" i="5"/>
  <c r="DP133" i="5" s="1"/>
  <c r="DP132" i="5"/>
  <c r="DP134" i="5" s="1"/>
  <c r="DP67" i="5"/>
  <c r="DP120" i="5" s="1"/>
  <c r="DP122" i="5" s="1"/>
  <c r="DP124" i="5" s="1"/>
  <c r="DR44" i="6" l="1"/>
  <c r="DO16" i="15"/>
  <c r="DQ121" i="5"/>
  <c r="DP66" i="19"/>
  <c r="DP67" i="19"/>
  <c r="AC34" i="18"/>
  <c r="DO38" i="15"/>
  <c r="DO34" i="15" s="1"/>
  <c r="DO40" i="15" s="1"/>
  <c r="AC33" i="18" l="1"/>
  <c r="AC29" i="18" s="1"/>
  <c r="AC35" i="18" s="1"/>
  <c r="M227" i="32"/>
  <c r="M228" i="32" s="1"/>
  <c r="M229" i="32" s="1"/>
  <c r="AC11" i="18"/>
  <c r="DO15" i="15"/>
  <c r="DO14" i="15" s="1"/>
  <c r="DO41" i="15" s="1"/>
  <c r="DQ20" i="5"/>
  <c r="DR43" i="6"/>
  <c r="DR42" i="6" s="1"/>
  <c r="DR55" i="6" s="1"/>
  <c r="DR57" i="6" s="1"/>
  <c r="DR62" i="6" l="1"/>
  <c r="DQ285" i="11"/>
  <c r="DQ15" i="5"/>
  <c r="DQ14" i="5" s="1"/>
  <c r="DR66" i="6" s="1"/>
  <c r="AC10" i="18"/>
  <c r="AC9" i="18" s="1"/>
  <c r="AC36" i="18" s="1"/>
  <c r="M210" i="32"/>
  <c r="M217" i="32" s="1"/>
  <c r="M230" i="32" s="1"/>
  <c r="DO42" i="15"/>
  <c r="DR75" i="6" l="1"/>
  <c r="DR80" i="6" s="1"/>
  <c r="DR64" i="6"/>
  <c r="DR69" i="6"/>
  <c r="DQ103" i="5" l="1"/>
  <c r="DR81" i="6"/>
  <c r="DS78" i="6" s="1"/>
  <c r="DR70" i="6"/>
  <c r="DQ98" i="5"/>
  <c r="DQ17" i="19"/>
  <c r="DR76" i="6"/>
  <c r="DS73" i="6" s="1"/>
  <c r="DQ14" i="19" l="1"/>
  <c r="DQ19" i="19"/>
  <c r="DQ20" i="19"/>
  <c r="DQ95" i="5"/>
  <c r="DR71" i="6"/>
  <c r="DS68" i="6" s="1"/>
  <c r="DQ100" i="5"/>
  <c r="DR89" i="6"/>
  <c r="DR94" i="6" l="1"/>
  <c r="DR90" i="6"/>
  <c r="DQ127" i="5"/>
  <c r="DQ128" i="5"/>
  <c r="DQ126" i="5"/>
  <c r="DQ125" i="5"/>
  <c r="DR91" i="6" l="1"/>
  <c r="DS88" i="6" s="1"/>
  <c r="DQ113" i="5"/>
  <c r="DR99" i="6"/>
  <c r="DR95" i="6"/>
  <c r="DR96" i="6" s="1"/>
  <c r="DS93" i="6" s="1"/>
  <c r="DR100" i="6" l="1"/>
  <c r="DQ64" i="19"/>
  <c r="DQ110" i="5"/>
  <c r="DQ49" i="19"/>
  <c r="DQ286" i="11"/>
  <c r="DQ287" i="11" s="1"/>
  <c r="DP39" i="15" l="1"/>
  <c r="DP38" i="15" s="1"/>
  <c r="DP34" i="15" s="1"/>
  <c r="DP40" i="15" s="1"/>
  <c r="DR284" i="11"/>
  <c r="DQ46" i="19"/>
  <c r="DQ52" i="19"/>
  <c r="DQ51" i="19"/>
  <c r="DQ132" i="5"/>
  <c r="DQ134" i="5" s="1"/>
  <c r="DQ131" i="5"/>
  <c r="DQ133" i="5" s="1"/>
  <c r="DQ67" i="5"/>
  <c r="DQ120" i="5" s="1"/>
  <c r="DQ122" i="5" s="1"/>
  <c r="DQ124" i="5" s="1"/>
  <c r="DQ135" i="5"/>
  <c r="DQ67" i="19"/>
  <c r="DQ66" i="19"/>
  <c r="DR101" i="6"/>
  <c r="DS98" i="6" s="1"/>
  <c r="DP16" i="15" l="1"/>
  <c r="DP15" i="15" s="1"/>
  <c r="DP14" i="15" s="1"/>
  <c r="DP41" i="15" s="1"/>
  <c r="DR121" i="5"/>
  <c r="DS44" i="6"/>
  <c r="DP42" i="15" l="1"/>
  <c r="DR20" i="5"/>
  <c r="DS43" i="6"/>
  <c r="DS42" i="6" s="1"/>
  <c r="DS55" i="6" s="1"/>
  <c r="DS57" i="6" s="1"/>
  <c r="DR285" i="11" l="1"/>
  <c r="DS62" i="6"/>
  <c r="DR15" i="5"/>
  <c r="DR14" i="5" s="1"/>
  <c r="DS66" i="6" s="1"/>
  <c r="DS75" i="6" l="1"/>
  <c r="DS80" i="6" s="1"/>
  <c r="DS69" i="6"/>
  <c r="DS64" i="6"/>
  <c r="DS70" i="6" l="1"/>
  <c r="DS89" i="6" s="1"/>
  <c r="DR103" i="5"/>
  <c r="DS81" i="6"/>
  <c r="DT78" i="6" s="1"/>
  <c r="DR98" i="5"/>
  <c r="DR17" i="19"/>
  <c r="DS76" i="6"/>
  <c r="DT73" i="6" s="1"/>
  <c r="DS94" i="6" l="1"/>
  <c r="DS90" i="6"/>
  <c r="DR100" i="5"/>
  <c r="DR14" i="19"/>
  <c r="DR20" i="19"/>
  <c r="DR19" i="19"/>
  <c r="DR95" i="5"/>
  <c r="DS71" i="6"/>
  <c r="DT68" i="6" s="1"/>
  <c r="DR127" i="5" l="1"/>
  <c r="DR128" i="5"/>
  <c r="DS91" i="6"/>
  <c r="DT88" i="6" s="1"/>
  <c r="DR113" i="5"/>
  <c r="DR126" i="5"/>
  <c r="DR125" i="5"/>
  <c r="DS99" i="6"/>
  <c r="DS95" i="6"/>
  <c r="DS96" i="6" s="1"/>
  <c r="DT93" i="6" s="1"/>
  <c r="DS100" i="6" l="1"/>
  <c r="DR64" i="19"/>
  <c r="DR110" i="5"/>
  <c r="DR49" i="19"/>
  <c r="DR286" i="11"/>
  <c r="DR287" i="11" s="1"/>
  <c r="DR131" i="5" l="1"/>
  <c r="DR133" i="5" s="1"/>
  <c r="DR67" i="5"/>
  <c r="DR120" i="5" s="1"/>
  <c r="DR122" i="5" s="1"/>
  <c r="DR124" i="5" s="1"/>
  <c r="DR135" i="5"/>
  <c r="DR132" i="5"/>
  <c r="DR134" i="5" s="1"/>
  <c r="DR67" i="19"/>
  <c r="DR66" i="19"/>
  <c r="DS101" i="6"/>
  <c r="DT98" i="6" s="1"/>
  <c r="DQ39" i="15"/>
  <c r="DQ38" i="15" s="1"/>
  <c r="DQ34" i="15" s="1"/>
  <c r="DQ40" i="15" s="1"/>
  <c r="DS284" i="11"/>
  <c r="DR52" i="19"/>
  <c r="DR51" i="19"/>
  <c r="DR46" i="19"/>
  <c r="DQ16" i="15" l="1"/>
  <c r="DQ15" i="15" s="1"/>
  <c r="DQ14" i="15" s="1"/>
  <c r="DQ41" i="15" s="1"/>
  <c r="DS121" i="5"/>
  <c r="DT44" i="6"/>
  <c r="DS20" i="5" l="1"/>
  <c r="DT43" i="6"/>
  <c r="DT42" i="6" s="1"/>
  <c r="DT55" i="6" s="1"/>
  <c r="DT57" i="6" s="1"/>
  <c r="DQ42" i="15"/>
  <c r="DS285" i="11" l="1"/>
  <c r="DT62" i="6"/>
  <c r="DS15" i="5"/>
  <c r="DS14" i="5" s="1"/>
  <c r="DT66" i="6" s="1"/>
  <c r="DT75" i="6" l="1"/>
  <c r="DT69" i="6"/>
  <c r="DT64" i="6"/>
  <c r="DS98" i="5" l="1"/>
  <c r="DS17" i="19"/>
  <c r="DT76" i="6"/>
  <c r="DU73" i="6" s="1"/>
  <c r="DT70" i="6"/>
  <c r="DT80" i="6"/>
  <c r="DT89" i="6" l="1"/>
  <c r="DS103" i="5"/>
  <c r="DT81" i="6"/>
  <c r="DU78" i="6" s="1"/>
  <c r="DS20" i="19"/>
  <c r="DS14" i="19"/>
  <c r="DS19" i="19"/>
  <c r="DT71" i="6"/>
  <c r="DU68" i="6" s="1"/>
  <c r="DS95" i="5"/>
  <c r="DS100" i="5" l="1"/>
  <c r="DS126" i="5"/>
  <c r="DS125" i="5"/>
  <c r="DT94" i="6"/>
  <c r="DT95" i="6" s="1"/>
  <c r="DT96" i="6" s="1"/>
  <c r="DU93" i="6" s="1"/>
  <c r="DT90" i="6"/>
  <c r="DT99" i="6" l="1"/>
  <c r="DS64" i="19" s="1"/>
  <c r="DT91" i="6"/>
  <c r="DU88" i="6" s="1"/>
  <c r="DS113" i="5"/>
  <c r="DS127" i="5"/>
  <c r="DS128" i="5"/>
  <c r="DT100" i="6" l="1"/>
  <c r="DT101" i="6" s="1"/>
  <c r="DU98" i="6" s="1"/>
  <c r="DS67" i="19"/>
  <c r="DS66" i="19"/>
  <c r="DS110" i="5"/>
  <c r="DS49" i="19"/>
  <c r="DS286" i="11"/>
  <c r="DS287" i="11" s="1"/>
  <c r="DS132" i="5" l="1"/>
  <c r="DS134" i="5" s="1"/>
  <c r="DS67" i="5"/>
  <c r="DS120" i="5" s="1"/>
  <c r="DS122" i="5" s="1"/>
  <c r="DS124" i="5" s="1"/>
  <c r="DS135" i="5"/>
  <c r="DS131" i="5"/>
  <c r="DS133" i="5" s="1"/>
  <c r="DR39" i="15"/>
  <c r="DR38" i="15" s="1"/>
  <c r="DR34" i="15" s="1"/>
  <c r="DR40" i="15" s="1"/>
  <c r="DT284" i="11"/>
  <c r="DS51" i="19"/>
  <c r="DS46" i="19"/>
  <c r="DS52" i="19"/>
  <c r="DR16" i="15" l="1"/>
  <c r="DR15" i="15" s="1"/>
  <c r="DR14" i="15" s="1"/>
  <c r="DR41" i="15" s="1"/>
  <c r="DT121" i="5"/>
  <c r="DU44" i="6"/>
  <c r="DR42" i="15" l="1"/>
  <c r="DT20" i="5"/>
  <c r="DU43" i="6"/>
  <c r="DU42" i="6" s="1"/>
  <c r="DU55" i="6" s="1"/>
  <c r="DU57" i="6" s="1"/>
  <c r="DT15" i="5" l="1"/>
  <c r="DT14" i="5" s="1"/>
  <c r="DU66" i="6" s="1"/>
  <c r="DU75" i="6" s="1"/>
  <c r="DT285" i="11"/>
  <c r="DU62" i="6"/>
  <c r="DU64" i="6" l="1"/>
  <c r="DU69" i="6"/>
  <c r="DU80" i="6"/>
  <c r="DT17" i="19"/>
  <c r="DT98" i="5"/>
  <c r="DU76" i="6"/>
  <c r="DV73" i="6" s="1"/>
  <c r="DT103" i="5" l="1"/>
  <c r="DU81" i="6"/>
  <c r="DV78" i="6" s="1"/>
  <c r="DU70" i="6"/>
  <c r="DT95" i="5"/>
  <c r="DT14" i="19"/>
  <c r="DT19" i="19"/>
  <c r="DT20" i="19"/>
  <c r="DT125" i="5" l="1"/>
  <c r="DT126" i="5"/>
  <c r="DU71" i="6"/>
  <c r="DV68" i="6" s="1"/>
  <c r="DU89" i="6"/>
  <c r="DT100" i="5"/>
  <c r="DU94" i="6" l="1"/>
  <c r="DU95" i="6" s="1"/>
  <c r="DU96" i="6" s="1"/>
  <c r="DV93" i="6" s="1"/>
  <c r="DU90" i="6"/>
  <c r="DT127" i="5"/>
  <c r="DT128" i="5"/>
  <c r="DU99" i="6" l="1"/>
  <c r="DT64" i="19" s="1"/>
  <c r="DU91" i="6"/>
  <c r="DV88" i="6" s="1"/>
  <c r="DT113" i="5"/>
  <c r="DU100" i="6" l="1"/>
  <c r="DU101" i="6" s="1"/>
  <c r="DV98" i="6" s="1"/>
  <c r="DT110" i="5"/>
  <c r="DT49" i="19"/>
  <c r="DT286" i="11"/>
  <c r="DT287" i="11" s="1"/>
  <c r="DT66" i="19"/>
  <c r="DT67" i="19"/>
  <c r="DU284" i="11" l="1"/>
  <c r="DS39" i="15"/>
  <c r="DS38" i="15" s="1"/>
  <c r="DS34" i="15" s="1"/>
  <c r="DS40" i="15" s="1"/>
  <c r="DT46" i="19"/>
  <c r="DT51" i="19"/>
  <c r="DT52" i="19"/>
  <c r="DT132" i="5"/>
  <c r="DT134" i="5" s="1"/>
  <c r="DT67" i="5"/>
  <c r="DT120" i="5" s="1"/>
  <c r="DT122" i="5" s="1"/>
  <c r="DT124" i="5" s="1"/>
  <c r="DT131" i="5"/>
  <c r="DT133" i="5" s="1"/>
  <c r="DT135" i="5"/>
  <c r="DS16" i="15" l="1"/>
  <c r="DS15" i="15" s="1"/>
  <c r="DS14" i="15" s="1"/>
  <c r="DS41" i="15" s="1"/>
  <c r="DU121" i="5"/>
  <c r="DV44" i="6"/>
  <c r="DS42" i="15" l="1"/>
  <c r="DU20" i="5"/>
  <c r="DV43" i="6"/>
  <c r="DV42" i="6" s="1"/>
  <c r="DV55" i="6" s="1"/>
  <c r="DV57" i="6" s="1"/>
  <c r="DU285" i="11" l="1"/>
  <c r="DV62" i="6"/>
  <c r="DU15" i="5"/>
  <c r="DU14" i="5" s="1"/>
  <c r="DV66" i="6" s="1"/>
  <c r="DV75" i="6" s="1"/>
  <c r="DV80" i="6" l="1"/>
  <c r="DU17" i="19"/>
  <c r="DU98" i="5"/>
  <c r="DV76" i="6"/>
  <c r="DW73" i="6" s="1"/>
  <c r="DV64" i="6"/>
  <c r="DV69" i="6"/>
  <c r="DV70" i="6" l="1"/>
  <c r="DV71" i="6" s="1"/>
  <c r="DW68" i="6" s="1"/>
  <c r="DU95" i="5"/>
  <c r="DU19" i="19"/>
  <c r="DU14" i="19"/>
  <c r="DU20" i="19"/>
  <c r="DU103" i="5"/>
  <c r="DV81" i="6"/>
  <c r="DW78" i="6" s="1"/>
  <c r="DU126" i="5" l="1"/>
  <c r="DU125" i="5"/>
  <c r="DV89" i="6"/>
  <c r="DU100" i="5"/>
  <c r="DU128" i="5" l="1"/>
  <c r="DU127" i="5"/>
  <c r="DV94" i="6"/>
  <c r="DV90" i="6"/>
  <c r="DV99" i="6" l="1"/>
  <c r="DV95" i="6"/>
  <c r="DV96" i="6" s="1"/>
  <c r="DW93" i="6" s="1"/>
  <c r="DV91" i="6"/>
  <c r="DW88" i="6" s="1"/>
  <c r="DU113" i="5"/>
  <c r="DU49" i="19" l="1"/>
  <c r="DU110" i="5"/>
  <c r="DU286" i="11"/>
  <c r="DU287" i="11" s="1"/>
  <c r="DV100" i="6"/>
  <c r="DV101" i="6" s="1"/>
  <c r="DW98" i="6" s="1"/>
  <c r="DU64" i="19"/>
  <c r="DU66" i="19" l="1"/>
  <c r="DU67" i="19"/>
  <c r="DT39" i="15"/>
  <c r="DT38" i="15" s="1"/>
  <c r="DT34" i="15" s="1"/>
  <c r="DT40" i="15" s="1"/>
  <c r="DV284" i="11"/>
  <c r="DU135" i="5"/>
  <c r="DU132" i="5"/>
  <c r="DU134" i="5" s="1"/>
  <c r="DU67" i="5"/>
  <c r="DU120" i="5" s="1"/>
  <c r="DU122" i="5" s="1"/>
  <c r="DU124" i="5" s="1"/>
  <c r="DU131" i="5"/>
  <c r="DU133" i="5" s="1"/>
  <c r="DU52" i="19"/>
  <c r="DU46" i="19"/>
  <c r="DU51" i="19"/>
  <c r="DT16" i="15" l="1"/>
  <c r="DT15" i="15" s="1"/>
  <c r="DT14" i="15" s="1"/>
  <c r="DT41" i="15" s="1"/>
  <c r="DV121" i="5"/>
  <c r="DW44" i="6"/>
  <c r="DV20" i="5" l="1"/>
  <c r="DV15" i="5" s="1"/>
  <c r="DV14" i="5" s="1"/>
  <c r="DW66" i="6" s="1"/>
  <c r="DW43" i="6"/>
  <c r="DW42" i="6" s="1"/>
  <c r="DW55" i="6" s="1"/>
  <c r="DW57" i="6" s="1"/>
  <c r="DT42" i="15"/>
  <c r="DV285" i="11" l="1"/>
  <c r="DW62" i="6"/>
  <c r="DW75" i="6"/>
  <c r="DV98" i="5" l="1"/>
  <c r="DV17" i="19"/>
  <c r="DW76" i="6"/>
  <c r="DX73" i="6" s="1"/>
  <c r="DW64" i="6"/>
  <c r="DW69" i="6"/>
  <c r="DW70" i="6" s="1"/>
  <c r="DW80" i="6"/>
  <c r="DW71" i="6" l="1"/>
  <c r="DX68" i="6" s="1"/>
  <c r="AF78" i="16"/>
  <c r="AF81" i="16" s="1"/>
  <c r="AF82" i="16" s="1"/>
  <c r="AF85" i="16"/>
  <c r="DW89" i="6"/>
  <c r="DV103" i="5"/>
  <c r="DV100" i="5" s="1"/>
  <c r="DW81" i="6"/>
  <c r="DX78" i="6" s="1"/>
  <c r="DV14" i="19"/>
  <c r="DV19" i="19"/>
  <c r="DV20" i="19"/>
  <c r="DV95" i="5"/>
  <c r="DW94" i="6" l="1"/>
  <c r="DW90" i="6"/>
  <c r="DV113" i="5" s="1"/>
  <c r="DV126" i="5"/>
  <c r="DV125" i="5"/>
  <c r="DV127" i="5"/>
  <c r="DV128" i="5"/>
  <c r="DW91" i="6" l="1"/>
  <c r="DX88" i="6" s="1"/>
  <c r="DV110" i="5"/>
  <c r="DV49" i="19"/>
  <c r="DV286" i="11"/>
  <c r="DV287" i="11" s="1"/>
  <c r="DW99" i="6"/>
  <c r="DW95" i="6"/>
  <c r="DW96" i="6" s="1"/>
  <c r="DX93" i="6" s="1"/>
  <c r="DW284" i="11" l="1"/>
  <c r="DU39" i="15"/>
  <c r="DV51" i="19"/>
  <c r="DV46" i="19"/>
  <c r="DV52" i="19"/>
  <c r="DV132" i="5"/>
  <c r="DV134" i="5" s="1"/>
  <c r="DV67" i="5"/>
  <c r="DV120" i="5" s="1"/>
  <c r="DV122" i="5" s="1"/>
  <c r="DV124" i="5" s="1"/>
  <c r="DV131" i="5"/>
  <c r="DV133" i="5" s="1"/>
  <c r="DV135" i="5"/>
  <c r="DW100" i="6"/>
  <c r="DW101" i="6" s="1"/>
  <c r="DX98" i="6" s="1"/>
  <c r="DV64" i="19"/>
  <c r="DU38" i="15" l="1"/>
  <c r="DU34" i="15" s="1"/>
  <c r="DU40" i="15" s="1"/>
  <c r="AD34" i="18"/>
  <c r="AD33" i="18" s="1"/>
  <c r="AD29" i="18" s="1"/>
  <c r="AD35" i="18" s="1"/>
  <c r="DV66" i="19"/>
  <c r="DV67" i="19"/>
  <c r="DU16" i="15"/>
  <c r="DW121" i="5"/>
  <c r="DX44" i="6"/>
  <c r="DW20" i="5" l="1"/>
  <c r="DX43" i="6"/>
  <c r="DX42" i="6" s="1"/>
  <c r="DX55" i="6" s="1"/>
  <c r="DX57" i="6" s="1"/>
  <c r="AD11" i="18"/>
  <c r="AD10" i="18" s="1"/>
  <c r="AD9" i="18" s="1"/>
  <c r="AD36" i="18" s="1"/>
  <c r="DU15" i="15"/>
  <c r="DU14" i="15" s="1"/>
  <c r="DU41" i="15" s="1"/>
  <c r="DU42" i="15" l="1"/>
  <c r="DW285" i="11"/>
  <c r="DX62" i="6"/>
  <c r="DW15" i="5"/>
  <c r="DW14" i="5" s="1"/>
  <c r="DX66" i="6" s="1"/>
  <c r="DX75" i="6" l="1"/>
  <c r="DX64" i="6"/>
  <c r="DX69" i="6"/>
  <c r="DX70" i="6" l="1"/>
  <c r="DW98" i="5"/>
  <c r="DW17" i="19"/>
  <c r="DX76" i="6"/>
  <c r="DY73" i="6" s="1"/>
  <c r="DX80" i="6"/>
  <c r="DW19" i="19" l="1"/>
  <c r="DW20" i="19"/>
  <c r="DW14" i="19"/>
  <c r="DX89" i="6"/>
  <c r="DW103" i="5"/>
  <c r="DX81" i="6"/>
  <c r="DY78" i="6" s="1"/>
  <c r="DW95" i="5"/>
  <c r="DX71" i="6"/>
  <c r="DY68" i="6" s="1"/>
  <c r="DW100" i="5" l="1"/>
  <c r="DW126" i="5"/>
  <c r="DW125" i="5"/>
  <c r="DX94" i="6"/>
  <c r="DX90" i="6"/>
  <c r="DX91" i="6" s="1"/>
  <c r="DY88" i="6" s="1"/>
  <c r="DX99" i="6" l="1"/>
  <c r="DX95" i="6"/>
  <c r="DX96" i="6" s="1"/>
  <c r="DY93" i="6" s="1"/>
  <c r="DW113" i="5"/>
  <c r="DW128" i="5"/>
  <c r="DW127" i="5"/>
  <c r="DW110" i="5" l="1"/>
  <c r="DW49" i="19"/>
  <c r="DW286" i="11"/>
  <c r="DW287" i="11" s="1"/>
  <c r="DX100" i="6"/>
  <c r="DW64" i="19"/>
  <c r="DW46" i="19" l="1"/>
  <c r="DW51" i="19"/>
  <c r="DW52" i="19"/>
  <c r="DW66" i="19"/>
  <c r="DW67" i="19"/>
  <c r="DX101" i="6"/>
  <c r="DY98" i="6" s="1"/>
  <c r="DV39" i="15"/>
  <c r="DV38" i="15" s="1"/>
  <c r="DV34" i="15" s="1"/>
  <c r="DV40" i="15" s="1"/>
  <c r="DX284" i="11"/>
  <c r="DW132" i="5"/>
  <c r="DW134" i="5" s="1"/>
  <c r="DW131" i="5"/>
  <c r="DW133" i="5" s="1"/>
  <c r="DW135" i="5"/>
  <c r="DW67" i="5"/>
  <c r="DW120" i="5" s="1"/>
  <c r="DW122" i="5" s="1"/>
  <c r="DW124" i="5" s="1"/>
  <c r="DV16" i="15" l="1"/>
  <c r="DV15" i="15" s="1"/>
  <c r="DV14" i="15" s="1"/>
  <c r="DV41" i="15" s="1"/>
  <c r="DX121" i="5"/>
  <c r="DY44" i="6"/>
  <c r="DV42" i="15" l="1"/>
  <c r="DX20" i="5"/>
  <c r="DY43" i="6"/>
  <c r="DY42" i="6" s="1"/>
  <c r="DY55" i="6" s="1"/>
  <c r="DY57" i="6" s="1"/>
  <c r="DX15" i="5" l="1"/>
  <c r="DX14" i="5" s="1"/>
  <c r="DY66" i="6" s="1"/>
  <c r="DX285" i="11"/>
  <c r="DY62" i="6"/>
  <c r="DY64" i="6" l="1"/>
  <c r="DY69" i="6"/>
  <c r="DY75" i="6"/>
  <c r="DX98" i="5" l="1"/>
  <c r="DX17" i="19"/>
  <c r="DY76" i="6"/>
  <c r="DZ73" i="6" s="1"/>
  <c r="DY80" i="6"/>
  <c r="DY70" i="6"/>
  <c r="DY71" i="6" l="1"/>
  <c r="DZ68" i="6" s="1"/>
  <c r="DX19" i="19"/>
  <c r="DX20" i="19"/>
  <c r="DX14" i="19"/>
  <c r="DY89" i="6"/>
  <c r="DX103" i="5"/>
  <c r="DY81" i="6"/>
  <c r="DZ78" i="6" s="1"/>
  <c r="DX95" i="5"/>
  <c r="DX100" i="5" l="1"/>
  <c r="DX126" i="5"/>
  <c r="DX125" i="5"/>
  <c r="DY94" i="6"/>
  <c r="DY90" i="6"/>
  <c r="DX113" i="5" l="1"/>
  <c r="DY99" i="6"/>
  <c r="DY95" i="6"/>
  <c r="DY96" i="6" s="1"/>
  <c r="DZ93" i="6" s="1"/>
  <c r="DY91" i="6"/>
  <c r="DZ88" i="6" s="1"/>
  <c r="DX127" i="5"/>
  <c r="DX128" i="5"/>
  <c r="DY100" i="6" l="1"/>
  <c r="DX64" i="19"/>
  <c r="DX110" i="5"/>
  <c r="DX49" i="19"/>
  <c r="DX286" i="11"/>
  <c r="DX287" i="11" s="1"/>
  <c r="DX131" i="5" l="1"/>
  <c r="DX133" i="5" s="1"/>
  <c r="DX135" i="5"/>
  <c r="DX132" i="5"/>
  <c r="DX134" i="5" s="1"/>
  <c r="DX67" i="5"/>
  <c r="DX120" i="5" s="1"/>
  <c r="DX122" i="5" s="1"/>
  <c r="DX124" i="5" s="1"/>
  <c r="DX66" i="19"/>
  <c r="DX67" i="19"/>
  <c r="DX46" i="19"/>
  <c r="DX52" i="19"/>
  <c r="DX51" i="19"/>
  <c r="DY101" i="6"/>
  <c r="DZ98" i="6" s="1"/>
  <c r="DW39" i="15"/>
  <c r="DW38" i="15" s="1"/>
  <c r="DW34" i="15" s="1"/>
  <c r="DW40" i="15" s="1"/>
  <c r="DY284" i="11"/>
  <c r="DW16" i="15" l="1"/>
  <c r="DW15" i="15" s="1"/>
  <c r="DW14" i="15" s="1"/>
  <c r="DW41" i="15" s="1"/>
  <c r="DY121" i="5"/>
  <c r="DZ44" i="6"/>
  <c r="DW42" i="15" l="1"/>
  <c r="DY20" i="5"/>
  <c r="DZ43" i="6"/>
  <c r="DZ42" i="6" s="1"/>
  <c r="DZ55" i="6" s="1"/>
  <c r="DZ57" i="6" s="1"/>
  <c r="DY285" i="11" l="1"/>
  <c r="DZ62" i="6"/>
  <c r="DY15" i="5"/>
  <c r="DY14" i="5" s="1"/>
  <c r="DZ66" i="6" s="1"/>
  <c r="DZ75" i="6" l="1"/>
  <c r="DZ80" i="6" s="1"/>
  <c r="DZ64" i="6"/>
  <c r="DZ69" i="6"/>
  <c r="DY103" i="5" l="1"/>
  <c r="DZ81" i="6"/>
  <c r="EA78" i="6" s="1"/>
  <c r="DZ70" i="6"/>
  <c r="DY98" i="5"/>
  <c r="DY17" i="19"/>
  <c r="DZ76" i="6"/>
  <c r="EA73" i="6" s="1"/>
  <c r="DY14" i="19" l="1"/>
  <c r="DY19" i="19"/>
  <c r="DY20" i="19"/>
  <c r="DY95" i="5"/>
  <c r="DZ71" i="6"/>
  <c r="EA68" i="6" s="1"/>
  <c r="DY100" i="5"/>
  <c r="DZ89" i="6"/>
  <c r="DZ94" i="6" l="1"/>
  <c r="DZ95" i="6" s="1"/>
  <c r="DZ96" i="6" s="1"/>
  <c r="EA93" i="6" s="1"/>
  <c r="DZ90" i="6"/>
  <c r="DY127" i="5"/>
  <c r="DY128" i="5"/>
  <c r="DY125" i="5"/>
  <c r="DY126" i="5"/>
  <c r="DZ99" i="6" l="1"/>
  <c r="DZ91" i="6"/>
  <c r="EA88" i="6" s="1"/>
  <c r="DY113" i="5"/>
  <c r="DY110" i="5" l="1"/>
  <c r="DY49" i="19"/>
  <c r="DY286" i="11"/>
  <c r="DY287" i="11" s="1"/>
  <c r="DZ100" i="6"/>
  <c r="DY64" i="19"/>
  <c r="DY66" i="19" l="1"/>
  <c r="DY67" i="19"/>
  <c r="DY46" i="19"/>
  <c r="DY52" i="19"/>
  <c r="DY51" i="19"/>
  <c r="DZ101" i="6"/>
  <c r="EA98" i="6" s="1"/>
  <c r="DX39" i="15"/>
  <c r="DX38" i="15" s="1"/>
  <c r="DX34" i="15" s="1"/>
  <c r="DX40" i="15" s="1"/>
  <c r="DZ284" i="11"/>
  <c r="DY135" i="5"/>
  <c r="DY67" i="5"/>
  <c r="DY120" i="5" s="1"/>
  <c r="DY122" i="5" s="1"/>
  <c r="DY124" i="5" s="1"/>
  <c r="DY132" i="5"/>
  <c r="DY134" i="5" s="1"/>
  <c r="DY131" i="5"/>
  <c r="DY133" i="5" s="1"/>
  <c r="DX16" i="15" l="1"/>
  <c r="DX15" i="15" s="1"/>
  <c r="DX14" i="15" s="1"/>
  <c r="DX41" i="15" s="1"/>
  <c r="DZ121" i="5"/>
  <c r="EA44" i="6"/>
  <c r="DX42" i="15" l="1"/>
  <c r="DZ20" i="5"/>
  <c r="EA43" i="6"/>
  <c r="EA42" i="6" s="1"/>
  <c r="EA55" i="6" s="1"/>
  <c r="EA57" i="6" s="1"/>
  <c r="DZ285" i="11" l="1"/>
  <c r="EA62" i="6"/>
  <c r="DZ15" i="5"/>
  <c r="DZ14" i="5" s="1"/>
  <c r="EA66" i="6" s="1"/>
  <c r="EA75" i="6" l="1"/>
  <c r="EA80" i="6" s="1"/>
  <c r="EA64" i="6"/>
  <c r="EA69" i="6"/>
  <c r="EA70" i="6" l="1"/>
  <c r="EA89" i="6" s="1"/>
  <c r="DZ103" i="5"/>
  <c r="EA81" i="6"/>
  <c r="EB78" i="6" s="1"/>
  <c r="DZ98" i="5"/>
  <c r="DZ17" i="19"/>
  <c r="EA76" i="6"/>
  <c r="EB73" i="6" s="1"/>
  <c r="DZ14" i="19" l="1"/>
  <c r="DZ19" i="19"/>
  <c r="DZ20" i="19"/>
  <c r="EA94" i="6"/>
  <c r="EA95" i="6" s="1"/>
  <c r="EA96" i="6" s="1"/>
  <c r="EB93" i="6" s="1"/>
  <c r="EA90" i="6"/>
  <c r="DZ100" i="5"/>
  <c r="DZ95" i="5"/>
  <c r="EA71" i="6"/>
  <c r="EB68" i="6" s="1"/>
  <c r="EA99" i="6" l="1"/>
  <c r="DZ64" i="19" s="1"/>
  <c r="DZ127" i="5"/>
  <c r="DZ128" i="5"/>
  <c r="EA91" i="6"/>
  <c r="EB88" i="6" s="1"/>
  <c r="DZ113" i="5"/>
  <c r="DZ125" i="5"/>
  <c r="DZ126" i="5"/>
  <c r="EA100" i="6" l="1"/>
  <c r="EA101" i="6" s="1"/>
  <c r="EB98" i="6" s="1"/>
  <c r="DZ110" i="5"/>
  <c r="DZ49" i="19"/>
  <c r="DZ286" i="11"/>
  <c r="DZ287" i="11" s="1"/>
  <c r="DZ66" i="19"/>
  <c r="DZ67" i="19"/>
  <c r="EA284" i="11" l="1"/>
  <c r="DY39" i="15"/>
  <c r="DY38" i="15" s="1"/>
  <c r="DY34" i="15" s="1"/>
  <c r="DY40" i="15" s="1"/>
  <c r="DZ51" i="19"/>
  <c r="DZ52" i="19"/>
  <c r="DZ46" i="19"/>
  <c r="DZ67" i="5"/>
  <c r="DZ120" i="5" s="1"/>
  <c r="DZ122" i="5" s="1"/>
  <c r="DZ124" i="5" s="1"/>
  <c r="DZ132" i="5"/>
  <c r="DZ134" i="5" s="1"/>
  <c r="DZ131" i="5"/>
  <c r="DZ133" i="5" s="1"/>
  <c r="DZ135" i="5"/>
  <c r="DY16" i="15" l="1"/>
  <c r="DY15" i="15" s="1"/>
  <c r="DY14" i="15" s="1"/>
  <c r="DY41" i="15" s="1"/>
  <c r="EA121" i="5"/>
  <c r="EB44" i="6"/>
  <c r="DY42" i="15" l="1"/>
  <c r="EA20" i="5"/>
  <c r="EB43" i="6"/>
  <c r="EB42" i="6" s="1"/>
  <c r="EB55" i="6" s="1"/>
  <c r="EB57" i="6" s="1"/>
  <c r="EA285" i="11" l="1"/>
  <c r="EB62" i="6"/>
  <c r="EA15" i="5"/>
  <c r="EA14" i="5" s="1"/>
  <c r="EB66" i="6" s="1"/>
  <c r="EB75" i="6" l="1"/>
  <c r="EB80" i="6" s="1"/>
  <c r="EB64" i="6"/>
  <c r="EB69" i="6"/>
  <c r="EB70" i="6" l="1"/>
  <c r="EB71" i="6" s="1"/>
  <c r="EC68" i="6" s="1"/>
  <c r="EA103" i="5"/>
  <c r="EB81" i="6"/>
  <c r="EC78" i="6" s="1"/>
  <c r="EA98" i="5"/>
  <c r="EA17" i="19"/>
  <c r="EB76" i="6"/>
  <c r="EC73" i="6" s="1"/>
  <c r="EA20" i="19" l="1"/>
  <c r="EA14" i="19"/>
  <c r="EA19" i="19"/>
  <c r="EA100" i="5"/>
  <c r="EA95" i="5"/>
  <c r="EB89" i="6"/>
  <c r="EB94" i="6" l="1"/>
  <c r="EB95" i="6" s="1"/>
  <c r="EB96" i="6" s="1"/>
  <c r="EC93" i="6" s="1"/>
  <c r="EB90" i="6"/>
  <c r="EA127" i="5"/>
  <c r="EA128" i="5"/>
  <c r="EA126" i="5"/>
  <c r="EA125" i="5"/>
  <c r="EB99" i="6" l="1"/>
  <c r="EB100" i="6" s="1"/>
  <c r="EA113" i="5"/>
  <c r="EB91" i="6"/>
  <c r="EC88" i="6" s="1"/>
  <c r="EA64" i="19" l="1"/>
  <c r="EA67" i="19" s="1"/>
  <c r="EB101" i="6"/>
  <c r="EC98" i="6" s="1"/>
  <c r="EA286" i="11"/>
  <c r="EA287" i="11" s="1"/>
  <c r="EA110" i="5"/>
  <c r="EA49" i="19"/>
  <c r="EA66" i="19" l="1"/>
  <c r="EA131" i="5"/>
  <c r="EA133" i="5" s="1"/>
  <c r="EA135" i="5"/>
  <c r="EA132" i="5"/>
  <c r="EA134" i="5" s="1"/>
  <c r="EA67" i="5"/>
  <c r="EA120" i="5" s="1"/>
  <c r="EA122" i="5" s="1"/>
  <c r="EA124" i="5" s="1"/>
  <c r="DZ39" i="15"/>
  <c r="DZ38" i="15" s="1"/>
  <c r="DZ34" i="15" s="1"/>
  <c r="DZ40" i="15" s="1"/>
  <c r="EB284" i="11"/>
  <c r="EA51" i="19"/>
  <c r="EA52" i="19"/>
  <c r="EA46" i="19"/>
  <c r="DZ16" i="15" l="1"/>
  <c r="DZ15" i="15" s="1"/>
  <c r="DZ14" i="15" s="1"/>
  <c r="DZ41" i="15" s="1"/>
  <c r="EB121" i="5"/>
  <c r="EC44" i="6"/>
  <c r="DZ42" i="15" l="1"/>
  <c r="EB20" i="5"/>
  <c r="EB15" i="5" s="1"/>
  <c r="EB14" i="5" s="1"/>
  <c r="EC66" i="6" s="1"/>
  <c r="EC75" i="6" s="1"/>
  <c r="EC43" i="6"/>
  <c r="EC42" i="6" s="1"/>
  <c r="EC55" i="6" s="1"/>
  <c r="EC57" i="6" s="1"/>
  <c r="EB285" i="11" l="1"/>
  <c r="EC62" i="6"/>
  <c r="EC80" i="6"/>
  <c r="EB98" i="5"/>
  <c r="EB17" i="19"/>
  <c r="EC76" i="6"/>
  <c r="ED73" i="6" s="1"/>
  <c r="EB95" i="5" l="1"/>
  <c r="EB103" i="5"/>
  <c r="EB100" i="5" s="1"/>
  <c r="EC81" i="6"/>
  <c r="ED78" i="6" s="1"/>
  <c r="EC69" i="6"/>
  <c r="EC70" i="6" s="1"/>
  <c r="EC64" i="6"/>
  <c r="EB14" i="19"/>
  <c r="EB20" i="19"/>
  <c r="EB19" i="19"/>
  <c r="EC71" i="6" l="1"/>
  <c r="ED68" i="6" s="1"/>
  <c r="AG78" i="16"/>
  <c r="AG81" i="16" s="1"/>
  <c r="AG85" i="16"/>
  <c r="EC89" i="6"/>
  <c r="EB127" i="5"/>
  <c r="EB128" i="5"/>
  <c r="EB125" i="5"/>
  <c r="EB126" i="5"/>
  <c r="EC94" i="6" l="1"/>
  <c r="EC90" i="6"/>
  <c r="EB113" i="5" s="1"/>
  <c r="AG82" i="16"/>
  <c r="K82" i="16" s="1"/>
  <c r="J82" i="16" s="1"/>
  <c r="K81" i="16"/>
  <c r="EC91" i="6" l="1"/>
  <c r="ED88" i="6" s="1"/>
  <c r="EB49" i="19"/>
  <c r="EB110" i="5"/>
  <c r="EB286" i="11"/>
  <c r="EB287" i="11" s="1"/>
  <c r="EC99" i="6"/>
  <c r="EC95" i="6"/>
  <c r="EC96" i="6" s="1"/>
  <c r="ED93" i="6" s="1"/>
  <c r="EA39" i="15" l="1"/>
  <c r="EC284" i="11"/>
  <c r="EB135" i="5"/>
  <c r="EB132" i="5"/>
  <c r="EB134" i="5" s="1"/>
  <c r="EB131" i="5"/>
  <c r="EB133" i="5" s="1"/>
  <c r="EB67" i="5"/>
  <c r="EB120" i="5" s="1"/>
  <c r="EB122" i="5" s="1"/>
  <c r="EB124" i="5" s="1"/>
  <c r="EC100" i="6"/>
  <c r="EC101" i="6" s="1"/>
  <c r="ED98" i="6" s="1"/>
  <c r="EB64" i="19"/>
  <c r="EB51" i="19"/>
  <c r="EB52" i="19"/>
  <c r="EB46" i="19"/>
  <c r="EB66" i="19" l="1"/>
  <c r="EB67" i="19"/>
  <c r="EA16" i="15"/>
  <c r="EC121" i="5"/>
  <c r="ED44" i="6"/>
  <c r="EA38" i="15"/>
  <c r="EA34" i="15" s="1"/>
  <c r="EA40" i="15" s="1"/>
  <c r="AE34" i="18"/>
  <c r="AE33" i="18" l="1"/>
  <c r="AE29" i="18" s="1"/>
  <c r="AE35" i="18" s="1"/>
  <c r="N227" i="32"/>
  <c r="N228" i="32" s="1"/>
  <c r="N229" i="32" s="1"/>
  <c r="EA15" i="15"/>
  <c r="EA14" i="15" s="1"/>
  <c r="EA41" i="15" s="1"/>
  <c r="AE11" i="18"/>
  <c r="EC20" i="5"/>
  <c r="ED43" i="6"/>
  <c r="ED42" i="6" s="1"/>
  <c r="ED55" i="6" s="1"/>
  <c r="ED57" i="6" s="1"/>
  <c r="EA42" i="15" l="1"/>
  <c r="EC285" i="11"/>
  <c r="ED62" i="6"/>
  <c r="EC15" i="5"/>
  <c r="EC14" i="5" s="1"/>
  <c r="ED66" i="6" s="1"/>
  <c r="ED75" i="6" s="1"/>
  <c r="N210" i="32"/>
  <c r="N217" i="32" s="1"/>
  <c r="N230" i="32" s="1"/>
  <c r="AE10" i="18"/>
  <c r="AE9" i="18" s="1"/>
  <c r="AE36" i="18" s="1"/>
  <c r="ED69" i="6" l="1"/>
  <c r="ED64" i="6"/>
  <c r="ED80" i="6"/>
  <c r="EC17" i="19"/>
  <c r="EC98" i="5"/>
  <c r="ED76" i="6"/>
  <c r="EE73" i="6" s="1"/>
  <c r="EC20" i="19" l="1"/>
  <c r="EC14" i="19"/>
  <c r="EC19" i="19"/>
  <c r="EC103" i="5"/>
  <c r="ED81" i="6"/>
  <c r="EE78" i="6" s="1"/>
  <c r="EC95" i="5"/>
  <c r="ED70" i="6"/>
  <c r="EC100" i="5" l="1"/>
  <c r="ED71" i="6"/>
  <c r="EE68" i="6" s="1"/>
  <c r="ED89" i="6"/>
  <c r="EC126" i="5"/>
  <c r="EC125" i="5"/>
  <c r="ED94" i="6" l="1"/>
  <c r="ED90" i="6"/>
  <c r="EC128" i="5"/>
  <c r="EC127" i="5"/>
  <c r="ED91" i="6" l="1"/>
  <c r="EE88" i="6" s="1"/>
  <c r="EC113" i="5"/>
  <c r="ED99" i="6"/>
  <c r="ED95" i="6"/>
  <c r="ED96" i="6" s="1"/>
  <c r="EE93" i="6" s="1"/>
  <c r="ED100" i="6" l="1"/>
  <c r="ED101" i="6" s="1"/>
  <c r="EE98" i="6" s="1"/>
  <c r="EC64" i="19"/>
  <c r="EC110" i="5"/>
  <c r="EC49" i="19"/>
  <c r="EC286" i="11"/>
  <c r="EC287" i="11" s="1"/>
  <c r="EC51" i="19" l="1"/>
  <c r="EC52" i="19"/>
  <c r="EC46" i="19"/>
  <c r="EC132" i="5"/>
  <c r="EC134" i="5" s="1"/>
  <c r="EC135" i="5"/>
  <c r="EC131" i="5"/>
  <c r="EC133" i="5" s="1"/>
  <c r="EC67" i="5"/>
  <c r="EC120" i="5" s="1"/>
  <c r="EC122" i="5" s="1"/>
  <c r="EC124" i="5" s="1"/>
  <c r="EB39" i="15"/>
  <c r="EB38" i="15" s="1"/>
  <c r="EB34" i="15" s="1"/>
  <c r="EB40" i="15" s="1"/>
  <c r="ED284" i="11"/>
  <c r="EC66" i="19"/>
  <c r="EC67" i="19"/>
  <c r="EB16" i="15" l="1"/>
  <c r="EB15" i="15" s="1"/>
  <c r="EB14" i="15" s="1"/>
  <c r="EB41" i="15" s="1"/>
  <c r="ED121" i="5"/>
  <c r="EE44" i="6"/>
  <c r="ED20" i="5" l="1"/>
  <c r="EE43" i="6"/>
  <c r="EE42" i="6" s="1"/>
  <c r="EE55" i="6" s="1"/>
  <c r="EE57" i="6" s="1"/>
  <c r="EB42" i="15"/>
  <c r="ED285" i="11" l="1"/>
  <c r="EE62" i="6"/>
  <c r="ED15" i="5"/>
  <c r="ED14" i="5" s="1"/>
  <c r="EE66" i="6" s="1"/>
  <c r="EE75" i="6" s="1"/>
  <c r="EE80" i="6" l="1"/>
  <c r="ED17" i="19"/>
  <c r="ED98" i="5"/>
  <c r="EE76" i="6"/>
  <c r="EF73" i="6" s="1"/>
  <c r="EE69" i="6"/>
  <c r="EE64" i="6"/>
  <c r="ED95" i="5" l="1"/>
  <c r="EE70" i="6"/>
  <c r="ED14" i="19"/>
  <c r="ED20" i="19"/>
  <c r="ED19" i="19"/>
  <c r="ED103" i="5"/>
  <c r="EE81" i="6"/>
  <c r="EF78" i="6" s="1"/>
  <c r="ED100" i="5" l="1"/>
  <c r="EE71" i="6"/>
  <c r="EF68" i="6" s="1"/>
  <c r="EE89" i="6"/>
  <c r="ED126" i="5"/>
  <c r="ED125" i="5"/>
  <c r="EE94" i="6" l="1"/>
  <c r="EE95" i="6" s="1"/>
  <c r="EE96" i="6" s="1"/>
  <c r="EF93" i="6" s="1"/>
  <c r="EE90" i="6"/>
  <c r="ED128" i="5"/>
  <c r="ED127" i="5"/>
  <c r="EE99" i="6" l="1"/>
  <c r="EE100" i="6" s="1"/>
  <c r="EE101" i="6" s="1"/>
  <c r="EF98" i="6" s="1"/>
  <c r="EE91" i="6"/>
  <c r="EF88" i="6" s="1"/>
  <c r="ED113" i="5"/>
  <c r="ED64" i="19" l="1"/>
  <c r="ED67" i="19" s="1"/>
  <c r="ED49" i="19"/>
  <c r="ED110" i="5"/>
  <c r="ED135" i="5"/>
  <c r="ED286" i="11"/>
  <c r="ED287" i="11" s="1"/>
  <c r="ED66" i="19" l="1"/>
  <c r="EC39" i="15"/>
  <c r="EC38" i="15" s="1"/>
  <c r="EC34" i="15" s="1"/>
  <c r="EC40" i="15" s="1"/>
  <c r="EE284" i="11"/>
  <c r="ED132" i="5"/>
  <c r="ED134" i="5" s="1"/>
  <c r="ED67" i="5"/>
  <c r="ED120" i="5" s="1"/>
  <c r="ED122" i="5" s="1"/>
  <c r="ED124" i="5" s="1"/>
  <c r="ED131" i="5"/>
  <c r="ED133" i="5" s="1"/>
  <c r="ED52" i="19"/>
  <c r="ED51" i="19"/>
  <c r="ED46" i="19"/>
  <c r="EC16" i="15" l="1"/>
  <c r="EC15" i="15" s="1"/>
  <c r="EC14" i="15" s="1"/>
  <c r="EC41" i="15" s="1"/>
  <c r="EE121" i="5"/>
  <c r="EF44" i="6"/>
  <c r="EC42" i="15" l="1"/>
  <c r="EE20" i="5"/>
  <c r="EF43" i="6"/>
  <c r="EF42" i="6" s="1"/>
  <c r="EF55" i="6" s="1"/>
  <c r="EF57" i="6" s="1"/>
  <c r="EE285" i="11" l="1"/>
  <c r="EF62" i="6"/>
  <c r="EE15" i="5"/>
  <c r="EE14" i="5" s="1"/>
  <c r="EF66" i="6" s="1"/>
  <c r="EF75" i="6" s="1"/>
  <c r="EF80" i="6" l="1"/>
  <c r="EE98" i="5"/>
  <c r="EE17" i="19"/>
  <c r="EF76" i="6"/>
  <c r="EG73" i="6" s="1"/>
  <c r="EF69" i="6"/>
  <c r="EF64" i="6"/>
  <c r="EE14" i="19" l="1"/>
  <c r="EE19" i="19"/>
  <c r="EE20" i="19"/>
  <c r="EF70" i="6"/>
  <c r="EF71" i="6" s="1"/>
  <c r="EG68" i="6" s="1"/>
  <c r="EE95" i="5"/>
  <c r="EE103" i="5"/>
  <c r="EF81" i="6"/>
  <c r="EG78" i="6" s="1"/>
  <c r="EF89" i="6" l="1"/>
  <c r="EE100" i="5"/>
  <c r="EE125" i="5"/>
  <c r="EE126" i="5"/>
  <c r="EE128" i="5" l="1"/>
  <c r="EE127" i="5"/>
  <c r="EF94" i="6"/>
  <c r="EF95" i="6" s="1"/>
  <c r="EF96" i="6" s="1"/>
  <c r="EG93" i="6" s="1"/>
  <c r="EF90" i="6"/>
  <c r="EF91" i="6" l="1"/>
  <c r="EG88" i="6" s="1"/>
  <c r="EE113" i="5"/>
  <c r="EF99" i="6"/>
  <c r="EE110" i="5" l="1"/>
  <c r="EE49" i="19"/>
  <c r="EE286" i="11"/>
  <c r="EE287" i="11" s="1"/>
  <c r="EF100" i="6"/>
  <c r="EF101" i="6" s="1"/>
  <c r="EG98" i="6" s="1"/>
  <c r="EE64" i="19"/>
  <c r="EE52" i="19" l="1"/>
  <c r="EE46" i="19"/>
  <c r="EE51" i="19"/>
  <c r="EE67" i="19"/>
  <c r="EE66" i="19"/>
  <c r="ED39" i="15"/>
  <c r="ED38" i="15" s="1"/>
  <c r="ED34" i="15" s="1"/>
  <c r="ED40" i="15" s="1"/>
  <c r="EF284" i="11"/>
  <c r="EE132" i="5"/>
  <c r="EE131" i="5"/>
  <c r="EE133" i="5" s="1"/>
  <c r="EE67" i="5"/>
  <c r="EE120" i="5" s="1"/>
  <c r="EE122" i="5" s="1"/>
  <c r="EE124" i="5" s="1"/>
  <c r="EG44" i="6" l="1"/>
  <c r="ED16" i="15"/>
  <c r="ED15" i="15" s="1"/>
  <c r="ED14" i="15" s="1"/>
  <c r="ED41" i="15" s="1"/>
  <c r="EF121" i="5"/>
  <c r="EE135" i="5"/>
  <c r="EE134" i="5"/>
  <c r="ED42" i="15" l="1"/>
  <c r="EF20" i="5"/>
  <c r="EG43" i="6"/>
  <c r="EG42" i="6" s="1"/>
  <c r="EG55" i="6" s="1"/>
  <c r="EG57" i="6" s="1"/>
  <c r="EF285" i="11" l="1"/>
  <c r="EG62" i="6"/>
  <c r="EF15" i="5"/>
  <c r="EF14" i="5" s="1"/>
  <c r="EG66" i="6" s="1"/>
  <c r="EG75" i="6" s="1"/>
  <c r="EG80" i="6" l="1"/>
  <c r="EF17" i="19"/>
  <c r="EF98" i="5"/>
  <c r="EG76" i="6"/>
  <c r="EH73" i="6" s="1"/>
  <c r="EG64" i="6"/>
  <c r="EG69" i="6"/>
  <c r="EG70" i="6" l="1"/>
  <c r="EF95" i="5"/>
  <c r="EF20" i="19"/>
  <c r="EF14" i="19"/>
  <c r="EF19" i="19"/>
  <c r="EF103" i="5"/>
  <c r="EG81" i="6"/>
  <c r="EH78" i="6" s="1"/>
  <c r="EF100" i="5" l="1"/>
  <c r="EF125" i="5"/>
  <c r="EF126" i="5"/>
  <c r="EG71" i="6"/>
  <c r="EH68" i="6" s="1"/>
  <c r="EG89" i="6"/>
  <c r="EG94" i="6" l="1"/>
  <c r="EG95" i="6" s="1"/>
  <c r="EG96" i="6" s="1"/>
  <c r="EH93" i="6" s="1"/>
  <c r="EG90" i="6"/>
  <c r="EG91" i="6" s="1"/>
  <c r="EH88" i="6" s="1"/>
  <c r="EF127" i="5"/>
  <c r="EF128" i="5"/>
  <c r="EG99" i="6" l="1"/>
  <c r="EG100" i="6" s="1"/>
  <c r="EG101" i="6" s="1"/>
  <c r="EH98" i="6" s="1"/>
  <c r="EF113" i="5"/>
  <c r="EF64" i="19" l="1"/>
  <c r="EF67" i="19" s="1"/>
  <c r="EF110" i="5"/>
  <c r="EF49" i="19"/>
  <c r="EF286" i="11"/>
  <c r="EF287" i="11" s="1"/>
  <c r="EF66" i="19" l="1"/>
  <c r="EF46" i="19"/>
  <c r="EF51" i="19"/>
  <c r="EF52" i="19"/>
  <c r="EE39" i="15"/>
  <c r="EE38" i="15" s="1"/>
  <c r="EE34" i="15" s="1"/>
  <c r="EE40" i="15" s="1"/>
  <c r="EG284" i="11"/>
  <c r="EF67" i="5"/>
  <c r="EF120" i="5" s="1"/>
  <c r="EF122" i="5" s="1"/>
  <c r="EF124" i="5" s="1"/>
  <c r="EF132" i="5"/>
  <c r="EF131" i="5"/>
  <c r="EF133" i="5" s="1"/>
  <c r="EE16" i="15" l="1"/>
  <c r="EE15" i="15" s="1"/>
  <c r="EE14" i="15" s="1"/>
  <c r="EE41" i="15" s="1"/>
  <c r="EG121" i="5"/>
  <c r="EH44" i="6"/>
  <c r="EF135" i="5"/>
  <c r="EF134" i="5"/>
  <c r="EE42" i="15" l="1"/>
  <c r="EG20" i="5"/>
  <c r="EH43" i="6"/>
  <c r="EH42" i="6" s="1"/>
  <c r="EH55" i="6" s="1"/>
  <c r="EH57" i="6" s="1"/>
  <c r="EG285" i="11" l="1"/>
  <c r="EH62" i="6"/>
  <c r="EG15" i="5"/>
  <c r="EG14" i="5" s="1"/>
  <c r="EH66" i="6" s="1"/>
  <c r="EH75" i="6" l="1"/>
  <c r="EH80" i="6" s="1"/>
  <c r="EH64" i="6"/>
  <c r="EH69" i="6"/>
  <c r="EH70" i="6" l="1"/>
  <c r="EH89" i="6" s="1"/>
  <c r="EG103" i="5"/>
  <c r="EH81" i="6"/>
  <c r="EI78" i="6" s="1"/>
  <c r="EG98" i="5"/>
  <c r="EG17" i="19"/>
  <c r="EH76" i="6"/>
  <c r="EI73" i="6" s="1"/>
  <c r="EH94" i="6" l="1"/>
  <c r="EH90" i="6"/>
  <c r="EH91" i="6" s="1"/>
  <c r="EI88" i="6" s="1"/>
  <c r="EG14" i="19"/>
  <c r="EG20" i="19"/>
  <c r="EG19" i="19"/>
  <c r="EG100" i="5"/>
  <c r="EG95" i="5"/>
  <c r="EH71" i="6"/>
  <c r="EI68" i="6" s="1"/>
  <c r="EG113" i="5" l="1"/>
  <c r="EG127" i="5"/>
  <c r="EG128" i="5"/>
  <c r="EG125" i="5"/>
  <c r="EG126" i="5"/>
  <c r="EH99" i="6"/>
  <c r="EH95" i="6"/>
  <c r="EH96" i="6" s="1"/>
  <c r="EI93" i="6" s="1"/>
  <c r="EH100" i="6" l="1"/>
  <c r="EH101" i="6" s="1"/>
  <c r="EI98" i="6" s="1"/>
  <c r="EG64" i="19"/>
  <c r="EG110" i="5"/>
  <c r="EG49" i="19"/>
  <c r="EG286" i="11"/>
  <c r="EG287" i="11" s="1"/>
  <c r="EG52" i="19" l="1"/>
  <c r="EG46" i="19"/>
  <c r="EG51" i="19"/>
  <c r="EG66" i="19"/>
  <c r="EG67" i="19"/>
  <c r="EF39" i="15"/>
  <c r="EF38" i="15" s="1"/>
  <c r="EF34" i="15" s="1"/>
  <c r="EF40" i="15" s="1"/>
  <c r="EH284" i="11"/>
  <c r="EG132" i="5"/>
  <c r="EG131" i="5"/>
  <c r="EG133" i="5" s="1"/>
  <c r="EG67" i="5"/>
  <c r="EG120" i="5" s="1"/>
  <c r="EG122" i="5" s="1"/>
  <c r="EG124" i="5" s="1"/>
  <c r="EI44" i="6" l="1"/>
  <c r="EF16" i="15"/>
  <c r="EF15" i="15" s="1"/>
  <c r="EF14" i="15" s="1"/>
  <c r="EF41" i="15" s="1"/>
  <c r="EH121" i="5"/>
  <c r="EG135" i="5"/>
  <c r="EG134" i="5"/>
  <c r="EH20" i="5" l="1"/>
  <c r="EH15" i="5" s="1"/>
  <c r="EH14" i="5" s="1"/>
  <c r="EI66" i="6" s="1"/>
  <c r="EI75" i="6" s="1"/>
  <c r="EI43" i="6"/>
  <c r="EI42" i="6" s="1"/>
  <c r="EI55" i="6" s="1"/>
  <c r="EI57" i="6" s="1"/>
  <c r="EF42" i="15"/>
  <c r="EH285" i="11" l="1"/>
  <c r="EI62" i="6"/>
  <c r="EI80" i="6"/>
  <c r="EH98" i="5"/>
  <c r="EH17" i="19"/>
  <c r="EI76" i="6"/>
  <c r="EJ73" i="6" s="1"/>
  <c r="EH103" i="5" l="1"/>
  <c r="EH100" i="5" s="1"/>
  <c r="EI81" i="6"/>
  <c r="EJ78" i="6" s="1"/>
  <c r="EH95" i="5"/>
  <c r="EI64" i="6"/>
  <c r="EI69" i="6"/>
  <c r="EH20" i="19"/>
  <c r="EH14" i="19"/>
  <c r="EH19" i="19"/>
  <c r="EH125" i="5" l="1"/>
  <c r="EH126" i="5"/>
  <c r="EI70" i="6"/>
  <c r="EH127" i="5"/>
  <c r="EH128" i="5"/>
  <c r="AH85" i="16" l="1"/>
  <c r="EI89" i="6"/>
  <c r="EI71" i="6"/>
  <c r="EJ68" i="6" s="1"/>
  <c r="EI94" i="6" l="1"/>
  <c r="EI95" i="6" s="1"/>
  <c r="EI96" i="6" s="1"/>
  <c r="EJ93" i="6" s="1"/>
  <c r="EI90" i="6"/>
  <c r="EH113" i="5" s="1"/>
  <c r="EI99" i="6" l="1"/>
  <c r="EI100" i="6" s="1"/>
  <c r="EI101" i="6" s="1"/>
  <c r="EJ98" i="6" s="1"/>
  <c r="EI91" i="6"/>
  <c r="EJ88" i="6" s="1"/>
  <c r="EH110" i="5"/>
  <c r="EH49" i="19"/>
  <c r="EH286" i="11"/>
  <c r="EH287" i="11" s="1"/>
  <c r="EH64" i="19" l="1"/>
  <c r="EH67" i="19" s="1"/>
  <c r="EG39" i="15"/>
  <c r="EI284" i="11"/>
  <c r="EH51" i="19"/>
  <c r="EH46" i="19"/>
  <c r="EH52" i="19"/>
  <c r="EH67" i="5"/>
  <c r="EH120" i="5" s="1"/>
  <c r="EH122" i="5" s="1"/>
  <c r="EH124" i="5" s="1"/>
  <c r="EH131" i="5"/>
  <c r="EH133" i="5" s="1"/>
  <c r="EH132" i="5"/>
  <c r="EH66" i="19" l="1"/>
  <c r="EG16" i="15"/>
  <c r="EI121" i="5"/>
  <c r="EJ44" i="6"/>
  <c r="EH135" i="5"/>
  <c r="EH134" i="5"/>
  <c r="EG38" i="15"/>
  <c r="EG34" i="15" s="1"/>
  <c r="EG40" i="15" s="1"/>
  <c r="AF34" i="18"/>
  <c r="AF33" i="18" s="1"/>
  <c r="AF29" i="18" s="1"/>
  <c r="AF35" i="18" s="1"/>
  <c r="EI20" i="5" l="1"/>
  <c r="EJ43" i="6"/>
  <c r="EJ42" i="6" s="1"/>
  <c r="EJ55" i="6" s="1"/>
  <c r="EJ57" i="6" s="1"/>
  <c r="AF11" i="18"/>
  <c r="AF10" i="18" s="1"/>
  <c r="AF9" i="18" s="1"/>
  <c r="AF36" i="18" s="1"/>
  <c r="EG15" i="15"/>
  <c r="EG14" i="15" s="1"/>
  <c r="EG41" i="15" s="1"/>
  <c r="EG42" i="15" l="1"/>
  <c r="EI285" i="11"/>
  <c r="EJ62" i="6"/>
  <c r="EI15" i="5"/>
  <c r="EI14" i="5" s="1"/>
  <c r="EJ66" i="6" s="1"/>
  <c r="EJ75" i="6" l="1"/>
  <c r="EJ80" i="6" s="1"/>
  <c r="EJ64" i="6"/>
  <c r="EJ69" i="6"/>
  <c r="EI103" i="5" l="1"/>
  <c r="EJ81" i="6"/>
  <c r="EK78" i="6" s="1"/>
  <c r="EJ70" i="6"/>
  <c r="EJ71" i="6" s="1"/>
  <c r="EK68" i="6" s="1"/>
  <c r="EI98" i="5"/>
  <c r="EI17" i="19"/>
  <c r="EJ76" i="6"/>
  <c r="EK73" i="6" s="1"/>
  <c r="EI14" i="19" l="1"/>
  <c r="EI19" i="19"/>
  <c r="EI20" i="19"/>
  <c r="EI95" i="5"/>
  <c r="EJ89" i="6"/>
  <c r="EI100" i="5"/>
  <c r="EI128" i="5" l="1"/>
  <c r="EI127" i="5"/>
  <c r="EJ94" i="6"/>
  <c r="EJ90" i="6"/>
  <c r="EI126" i="5"/>
  <c r="EI125" i="5"/>
  <c r="EJ99" i="6" l="1"/>
  <c r="EJ95" i="6"/>
  <c r="EJ96" i="6" s="1"/>
  <c r="EK93" i="6" s="1"/>
  <c r="EI113" i="5"/>
  <c r="EJ91" i="6"/>
  <c r="EK88" i="6" s="1"/>
  <c r="EI110" i="5" l="1"/>
  <c r="EI49" i="19"/>
  <c r="EI286" i="11"/>
  <c r="EI287" i="11" s="1"/>
  <c r="EJ100" i="6"/>
  <c r="EJ101" i="6" s="1"/>
  <c r="EK98" i="6" s="1"/>
  <c r="EI64" i="19"/>
  <c r="EH39" i="15" l="1"/>
  <c r="EH38" i="15" s="1"/>
  <c r="EH34" i="15" s="1"/>
  <c r="EH40" i="15" s="1"/>
  <c r="EJ284" i="11"/>
  <c r="EI51" i="19"/>
  <c r="EI46" i="19"/>
  <c r="EI52" i="19"/>
  <c r="EI66" i="19"/>
  <c r="EI67" i="19"/>
  <c r="EI132" i="5"/>
  <c r="EI131" i="5"/>
  <c r="EI133" i="5" s="1"/>
  <c r="EI67" i="5"/>
  <c r="EI120" i="5" s="1"/>
  <c r="EI122" i="5" s="1"/>
  <c r="EI124" i="5" s="1"/>
  <c r="EK44" i="6" l="1"/>
  <c r="EH16" i="15"/>
  <c r="EH15" i="15" s="1"/>
  <c r="EH14" i="15" s="1"/>
  <c r="EH41" i="15" s="1"/>
  <c r="EJ121" i="5"/>
  <c r="EI135" i="5"/>
  <c r="EI134" i="5"/>
  <c r="EH42" i="15" l="1"/>
  <c r="EJ20" i="5"/>
  <c r="EK43" i="6"/>
  <c r="EK42" i="6" s="1"/>
  <c r="EK55" i="6" s="1"/>
  <c r="EK57" i="6" s="1"/>
  <c r="EJ285" i="11" l="1"/>
  <c r="EK62" i="6"/>
  <c r="EJ15" i="5"/>
  <c r="EJ14" i="5" s="1"/>
  <c r="EK66" i="6" s="1"/>
  <c r="EK75" i="6" l="1"/>
  <c r="EK80" i="6" s="1"/>
  <c r="EK64" i="6"/>
  <c r="EK69" i="6"/>
  <c r="EK70" i="6" l="1"/>
  <c r="EK71" i="6" s="1"/>
  <c r="EL68" i="6" s="1"/>
  <c r="EJ103" i="5"/>
  <c r="EK81" i="6"/>
  <c r="EL78" i="6" s="1"/>
  <c r="EJ98" i="5"/>
  <c r="EJ17" i="19"/>
  <c r="EK76" i="6"/>
  <c r="EL73" i="6" s="1"/>
  <c r="EJ19" i="19" l="1"/>
  <c r="EJ20" i="19"/>
  <c r="EJ14" i="19"/>
  <c r="EJ100" i="5"/>
  <c r="EJ95" i="5"/>
  <c r="EK89" i="6"/>
  <c r="EJ127" i="5" l="1"/>
  <c r="EJ128" i="5"/>
  <c r="EK94" i="6"/>
  <c r="EK90" i="6"/>
  <c r="EK91" i="6" s="1"/>
  <c r="EL88" i="6" s="1"/>
  <c r="EJ126" i="5"/>
  <c r="EJ125" i="5"/>
  <c r="EK99" i="6" l="1"/>
  <c r="EK95" i="6"/>
  <c r="EK96" i="6" s="1"/>
  <c r="EL93" i="6" s="1"/>
  <c r="EJ113" i="5"/>
  <c r="EK100" i="6" l="1"/>
  <c r="EK101" i="6" s="1"/>
  <c r="EL98" i="6" s="1"/>
  <c r="EJ64" i="19"/>
  <c r="EJ110" i="5"/>
  <c r="EJ49" i="19"/>
  <c r="EJ286" i="11"/>
  <c r="EJ287" i="11" s="1"/>
  <c r="EJ67" i="5" l="1"/>
  <c r="EJ120" i="5" s="1"/>
  <c r="EJ122" i="5" s="1"/>
  <c r="EJ124" i="5" s="1"/>
  <c r="EJ131" i="5"/>
  <c r="EJ133" i="5" s="1"/>
  <c r="EJ132" i="5"/>
  <c r="EI39" i="15"/>
  <c r="EI38" i="15" s="1"/>
  <c r="EI34" i="15" s="1"/>
  <c r="EI40" i="15" s="1"/>
  <c r="EK284" i="11"/>
  <c r="EJ67" i="19"/>
  <c r="EJ66" i="19"/>
  <c r="EJ51" i="19"/>
  <c r="EJ52" i="19"/>
  <c r="EJ46" i="19"/>
  <c r="EJ135" i="5" l="1"/>
  <c r="EJ134" i="5"/>
  <c r="EL44" i="6"/>
  <c r="EI16" i="15"/>
  <c r="EI15" i="15" s="1"/>
  <c r="EI14" i="15" s="1"/>
  <c r="EI41" i="15" s="1"/>
  <c r="EK121" i="5"/>
  <c r="EK20" i="5" l="1"/>
  <c r="EL43" i="6"/>
  <c r="EL42" i="6" s="1"/>
  <c r="EL55" i="6" s="1"/>
  <c r="EL57" i="6" s="1"/>
  <c r="EI42" i="15"/>
  <c r="EK15" i="5" l="1"/>
  <c r="EK14" i="5" s="1"/>
  <c r="EL66" i="6" s="1"/>
  <c r="EL75" i="6" s="1"/>
  <c r="EK285" i="11"/>
  <c r="EL62" i="6"/>
  <c r="EL64" i="6" l="1"/>
  <c r="EL69" i="6"/>
  <c r="EL80" i="6"/>
  <c r="EK98" i="5"/>
  <c r="EK17" i="19"/>
  <c r="EL76" i="6"/>
  <c r="EM73" i="6" s="1"/>
  <c r="EK103" i="5" l="1"/>
  <c r="EL81" i="6"/>
  <c r="EM78" i="6" s="1"/>
  <c r="EK19" i="19"/>
  <c r="EK20" i="19"/>
  <c r="EK14" i="19"/>
  <c r="EL70" i="6"/>
  <c r="EK95" i="5"/>
  <c r="EL89" i="6" l="1"/>
  <c r="EK100" i="5"/>
  <c r="EK125" i="5"/>
  <c r="EK126" i="5"/>
  <c r="EL71" i="6"/>
  <c r="EM68" i="6" s="1"/>
  <c r="EK127" i="5" l="1"/>
  <c r="EK128" i="5"/>
  <c r="EL94" i="6"/>
  <c r="EL90" i="6"/>
  <c r="EL91" i="6" l="1"/>
  <c r="EM88" i="6" s="1"/>
  <c r="EK113" i="5"/>
  <c r="EL99" i="6"/>
  <c r="EL95" i="6"/>
  <c r="EL96" i="6" s="1"/>
  <c r="EM93" i="6" s="1"/>
  <c r="EK64" i="19" l="1"/>
  <c r="EL100" i="6"/>
  <c r="EL101" i="6" s="1"/>
  <c r="EM98" i="6" s="1"/>
  <c r="EK49" i="19"/>
  <c r="EK110" i="5"/>
  <c r="EK286" i="11"/>
  <c r="EK287" i="11" s="1"/>
  <c r="EK67" i="5" l="1"/>
  <c r="EK120" i="5" s="1"/>
  <c r="EK122" i="5" s="1"/>
  <c r="EK124" i="5" s="1"/>
  <c r="EK131" i="5"/>
  <c r="EK133" i="5" s="1"/>
  <c r="EK132" i="5"/>
  <c r="EK52" i="19"/>
  <c r="EK46" i="19"/>
  <c r="EK51" i="19"/>
  <c r="EJ39" i="15"/>
  <c r="EJ38" i="15" s="1"/>
  <c r="EJ34" i="15" s="1"/>
  <c r="EJ40" i="15" s="1"/>
  <c r="EL284" i="11"/>
  <c r="EK66" i="19"/>
  <c r="EK67" i="19"/>
  <c r="EK135" i="5" l="1"/>
  <c r="EK134" i="5"/>
  <c r="EM44" i="6"/>
  <c r="EJ16" i="15"/>
  <c r="EJ15" i="15" s="1"/>
  <c r="EJ14" i="15" s="1"/>
  <c r="EJ41" i="15" s="1"/>
  <c r="EL121" i="5"/>
  <c r="EJ42" i="15" l="1"/>
  <c r="EL20" i="5"/>
  <c r="EM43" i="6"/>
  <c r="EM42" i="6" s="1"/>
  <c r="EM55" i="6" s="1"/>
  <c r="EM57" i="6" s="1"/>
  <c r="EL285" i="11" l="1"/>
  <c r="EM62" i="6"/>
  <c r="EL15" i="5"/>
  <c r="EL14" i="5" s="1"/>
  <c r="EM66" i="6" s="1"/>
  <c r="EM75" i="6" s="1"/>
  <c r="EM80" i="6" l="1"/>
  <c r="EL98" i="5"/>
  <c r="EL17" i="19"/>
  <c r="EM76" i="6"/>
  <c r="EN73" i="6" s="1"/>
  <c r="EM64" i="6"/>
  <c r="EM69" i="6"/>
  <c r="EM70" i="6" l="1"/>
  <c r="EL19" i="19"/>
  <c r="EL14" i="19"/>
  <c r="EL20" i="19"/>
  <c r="EL95" i="5"/>
  <c r="EL103" i="5"/>
  <c r="EM81" i="6"/>
  <c r="EN78" i="6" s="1"/>
  <c r="EM71" i="6" l="1"/>
  <c r="EN68" i="6" s="1"/>
  <c r="EM89" i="6"/>
  <c r="EL126" i="5"/>
  <c r="EL125" i="5"/>
  <c r="EL100" i="5"/>
  <c r="EL127" i="5" l="1"/>
  <c r="EL128" i="5"/>
  <c r="EM94" i="6"/>
  <c r="EM90" i="6"/>
  <c r="EM99" i="6" l="1"/>
  <c r="EM95" i="6"/>
  <c r="EM96" i="6" s="1"/>
  <c r="EN93" i="6" s="1"/>
  <c r="EM91" i="6"/>
  <c r="EN88" i="6" s="1"/>
  <c r="EL113" i="5"/>
  <c r="EL110" i="5" l="1"/>
  <c r="EL49" i="19"/>
  <c r="EL286" i="11"/>
  <c r="EL287" i="11" s="1"/>
  <c r="EM100" i="6"/>
  <c r="EM101" i="6" s="1"/>
  <c r="EN98" i="6" s="1"/>
  <c r="EL64" i="19"/>
  <c r="EM284" i="11" l="1"/>
  <c r="EK39" i="15"/>
  <c r="EK38" i="15" s="1"/>
  <c r="EK34" i="15" s="1"/>
  <c r="EK40" i="15" s="1"/>
  <c r="EL52" i="19"/>
  <c r="EL51" i="19"/>
  <c r="EL46" i="19"/>
  <c r="EL66" i="19"/>
  <c r="EL67" i="19"/>
  <c r="EL67" i="5"/>
  <c r="EL120" i="5" s="1"/>
  <c r="EL122" i="5" s="1"/>
  <c r="EL124" i="5" s="1"/>
  <c r="EL132" i="5"/>
  <c r="EL131" i="5"/>
  <c r="EL133" i="5" s="1"/>
  <c r="EL135" i="5" l="1"/>
  <c r="EL134" i="5"/>
  <c r="EK16" i="15"/>
  <c r="EK15" i="15" s="1"/>
  <c r="EK14" i="15" s="1"/>
  <c r="EK41" i="15" s="1"/>
  <c r="EM121" i="5"/>
  <c r="EN44" i="6"/>
  <c r="EK42" i="15" l="1"/>
  <c r="EM20" i="5"/>
  <c r="EN43" i="6"/>
  <c r="EN42" i="6" s="1"/>
  <c r="EN55" i="6" s="1"/>
  <c r="EN57" i="6" s="1"/>
  <c r="EM285" i="11" l="1"/>
  <c r="EN62" i="6"/>
  <c r="EM15" i="5"/>
  <c r="EM14" i="5" s="1"/>
  <c r="EN66" i="6" s="1"/>
  <c r="EN75" i="6" s="1"/>
  <c r="EN80" i="6" l="1"/>
  <c r="EM98" i="5"/>
  <c r="EM17" i="19"/>
  <c r="EN76" i="6"/>
  <c r="EO73" i="6" s="1"/>
  <c r="EN64" i="6"/>
  <c r="EN69" i="6"/>
  <c r="EN70" i="6" l="1"/>
  <c r="EM20" i="19"/>
  <c r="EM14" i="19"/>
  <c r="EM19" i="19"/>
  <c r="EM95" i="5"/>
  <c r="EM103" i="5"/>
  <c r="EN81" i="6"/>
  <c r="EO78" i="6" s="1"/>
  <c r="EM125" i="5" l="1"/>
  <c r="EM126" i="5"/>
  <c r="EN71" i="6"/>
  <c r="EO68" i="6" s="1"/>
  <c r="EN89" i="6"/>
  <c r="EM100" i="5"/>
  <c r="EM128" i="5" l="1"/>
  <c r="EM127" i="5"/>
  <c r="EN94" i="6"/>
  <c r="EN90" i="6"/>
  <c r="EN91" i="6" s="1"/>
  <c r="EO88" i="6" s="1"/>
  <c r="EM113" i="5" l="1"/>
  <c r="EN99" i="6"/>
  <c r="EN95" i="6"/>
  <c r="EN96" i="6" s="1"/>
  <c r="EO93" i="6" s="1"/>
  <c r="EM110" i="5" l="1"/>
  <c r="EM49" i="19"/>
  <c r="EM286" i="11"/>
  <c r="EM287" i="11" s="1"/>
  <c r="EN100" i="6"/>
  <c r="EN101" i="6" s="1"/>
  <c r="EO98" i="6" s="1"/>
  <c r="EM64" i="19"/>
  <c r="EL39" i="15" l="1"/>
  <c r="EL38" i="15" s="1"/>
  <c r="EL34" i="15" s="1"/>
  <c r="EL40" i="15" s="1"/>
  <c r="EN284" i="11"/>
  <c r="EM66" i="19"/>
  <c r="EM67" i="19"/>
  <c r="EM51" i="19"/>
  <c r="EM52" i="19"/>
  <c r="EM46" i="19"/>
  <c r="EM131" i="5"/>
  <c r="EM133" i="5" s="1"/>
  <c r="EM132" i="5"/>
  <c r="EM67" i="5"/>
  <c r="EM120" i="5" s="1"/>
  <c r="EM122" i="5" s="1"/>
  <c r="EM124" i="5" s="1"/>
  <c r="EO44" i="6" l="1"/>
  <c r="EN121" i="5"/>
  <c r="EL16" i="15"/>
  <c r="EL15" i="15" s="1"/>
  <c r="EL14" i="15" s="1"/>
  <c r="EL41" i="15" s="1"/>
  <c r="EM135" i="5"/>
  <c r="EM134" i="5"/>
  <c r="EL42" i="15" l="1"/>
  <c r="EN20" i="5"/>
  <c r="EN15" i="5" s="1"/>
  <c r="EN14" i="5" s="1"/>
  <c r="EO66" i="6" s="1"/>
  <c r="EO75" i="6" s="1"/>
  <c r="EO43" i="6"/>
  <c r="EO42" i="6" s="1"/>
  <c r="EO55" i="6" s="1"/>
  <c r="EO57" i="6" s="1"/>
  <c r="EN285" i="11" l="1"/>
  <c r="EO62" i="6"/>
  <c r="EO80" i="6"/>
  <c r="EN17" i="19"/>
  <c r="EN98" i="5"/>
  <c r="EO76" i="6"/>
  <c r="EP73" i="6" s="1"/>
  <c r="EN20" i="19" l="1"/>
  <c r="EN14" i="19"/>
  <c r="EN19" i="19"/>
  <c r="EN103" i="5"/>
  <c r="EN100" i="5" s="1"/>
  <c r="EO81" i="6"/>
  <c r="EP78" i="6" s="1"/>
  <c r="EO64" i="6"/>
  <c r="EO69" i="6"/>
  <c r="EO70" i="6" s="1"/>
  <c r="EN95" i="5"/>
  <c r="EO71" i="6" l="1"/>
  <c r="EP68" i="6" s="1"/>
  <c r="AI85" i="16"/>
  <c r="EO89" i="6"/>
  <c r="EN128" i="5"/>
  <c r="EN127" i="5"/>
  <c r="EN126" i="5"/>
  <c r="EN125" i="5"/>
  <c r="EO94" i="6" l="1"/>
  <c r="EO95" i="6" s="1"/>
  <c r="EO96" i="6" s="1"/>
  <c r="EP93" i="6" s="1"/>
  <c r="EO90" i="6"/>
  <c r="EN113" i="5" s="1"/>
  <c r="EO99" i="6" l="1"/>
  <c r="EN64" i="19" s="1"/>
  <c r="EN110" i="5"/>
  <c r="EN49" i="19"/>
  <c r="EN286" i="11"/>
  <c r="EN287" i="11" s="1"/>
  <c r="EO91" i="6"/>
  <c r="EP88" i="6" s="1"/>
  <c r="EO100" i="6" l="1"/>
  <c r="EO101" i="6" s="1"/>
  <c r="EP98" i="6" s="1"/>
  <c r="EM39" i="15"/>
  <c r="EO284" i="11"/>
  <c r="EN52" i="19"/>
  <c r="EN46" i="19"/>
  <c r="EN51" i="19"/>
  <c r="EN67" i="19"/>
  <c r="EN66" i="19"/>
  <c r="EN67" i="5"/>
  <c r="EN120" i="5" s="1"/>
  <c r="EN122" i="5" s="1"/>
  <c r="EN124" i="5" s="1"/>
  <c r="EN131" i="5"/>
  <c r="EN133" i="5" s="1"/>
  <c r="EN132" i="5"/>
  <c r="EP44" i="6" l="1"/>
  <c r="EM16" i="15"/>
  <c r="EO121" i="5"/>
  <c r="AG34" i="18"/>
  <c r="AG33" i="18" s="1"/>
  <c r="AG29" i="18" s="1"/>
  <c r="AG35" i="18" s="1"/>
  <c r="EM38" i="15"/>
  <c r="EM34" i="15" s="1"/>
  <c r="EM40" i="15" s="1"/>
  <c r="EN135" i="5"/>
  <c r="EN134" i="5"/>
  <c r="AG11" i="18" l="1"/>
  <c r="AG10" i="18" s="1"/>
  <c r="AG9" i="18" s="1"/>
  <c r="AG36" i="18" s="1"/>
  <c r="EM15" i="15"/>
  <c r="EM14" i="15" s="1"/>
  <c r="EM41" i="15" s="1"/>
  <c r="EO20" i="5"/>
  <c r="EP43" i="6"/>
  <c r="EP42" i="6" s="1"/>
  <c r="EP55" i="6" s="1"/>
  <c r="EP57" i="6" s="1"/>
  <c r="EM42" i="15" l="1"/>
  <c r="EO285" i="11"/>
  <c r="EP62" i="6"/>
  <c r="EO15" i="5"/>
  <c r="EO14" i="5" s="1"/>
  <c r="EP66" i="6" s="1"/>
  <c r="EP64" i="6" l="1"/>
  <c r="EP69" i="6"/>
  <c r="EP75" i="6"/>
  <c r="EO98" i="5" l="1"/>
  <c r="EO17" i="19"/>
  <c r="EP76" i="6"/>
  <c r="EQ73" i="6" s="1"/>
  <c r="EP70" i="6"/>
  <c r="EP80" i="6"/>
  <c r="EP89" i="6" l="1"/>
  <c r="EO103" i="5"/>
  <c r="EP81" i="6"/>
  <c r="EQ78" i="6" s="1"/>
  <c r="EP71" i="6"/>
  <c r="EQ68" i="6" s="1"/>
  <c r="EO20" i="19"/>
  <c r="EO14" i="19"/>
  <c r="EO19" i="19"/>
  <c r="EO95" i="5"/>
  <c r="EO125" i="5" l="1"/>
  <c r="EO126" i="5"/>
  <c r="EO100" i="5"/>
  <c r="EP94" i="6"/>
  <c r="EP90" i="6"/>
  <c r="EP99" i="6" l="1"/>
  <c r="EP95" i="6"/>
  <c r="EP96" i="6" s="1"/>
  <c r="EQ93" i="6" s="1"/>
  <c r="EP91" i="6"/>
  <c r="EQ88" i="6" s="1"/>
  <c r="EO113" i="5"/>
  <c r="EO127" i="5"/>
  <c r="EO128" i="5"/>
  <c r="EO110" i="5" l="1"/>
  <c r="EO49" i="19"/>
  <c r="EO286" i="11"/>
  <c r="EO287" i="11" s="1"/>
  <c r="EP100" i="6"/>
  <c r="EP101" i="6" s="1"/>
  <c r="EQ98" i="6" s="1"/>
  <c r="EO64" i="19"/>
  <c r="EO52" i="19" l="1"/>
  <c r="EO46" i="19"/>
  <c r="EO51" i="19"/>
  <c r="EO66" i="19"/>
  <c r="EO67" i="19"/>
  <c r="EP284" i="11"/>
  <c r="EN39" i="15"/>
  <c r="EN38" i="15" s="1"/>
  <c r="EN34" i="15" s="1"/>
  <c r="EN40" i="15" s="1"/>
  <c r="EO67" i="5"/>
  <c r="EO120" i="5" s="1"/>
  <c r="EO122" i="5" s="1"/>
  <c r="EO124" i="5" s="1"/>
  <c r="EO132" i="5"/>
  <c r="EO131" i="5"/>
  <c r="EO133" i="5" s="1"/>
  <c r="EO135" i="5" l="1"/>
  <c r="EO134" i="5"/>
  <c r="EN16" i="15"/>
  <c r="EN15" i="15" s="1"/>
  <c r="EN14" i="15" s="1"/>
  <c r="EN41" i="15" s="1"/>
  <c r="EP121" i="5"/>
  <c r="EQ44" i="6"/>
  <c r="EN42" i="15" l="1"/>
  <c r="EP20" i="5"/>
  <c r="EQ43" i="6"/>
  <c r="EQ42" i="6" s="1"/>
  <c r="EQ55" i="6" s="1"/>
  <c r="EQ57" i="6" s="1"/>
  <c r="EP285" i="11" l="1"/>
  <c r="EQ62" i="6"/>
  <c r="EP15" i="5"/>
  <c r="EP14" i="5" s="1"/>
  <c r="EQ66" i="6" s="1"/>
  <c r="EQ75" i="6" s="1"/>
  <c r="EQ80" i="6" l="1"/>
  <c r="EP98" i="5"/>
  <c r="EP17" i="19"/>
  <c r="EQ76" i="6"/>
  <c r="ER73" i="6" s="1"/>
  <c r="EQ69" i="6"/>
  <c r="EQ64" i="6"/>
  <c r="EP14" i="19" l="1"/>
  <c r="EP19" i="19"/>
  <c r="EP20" i="19"/>
  <c r="EQ70" i="6"/>
  <c r="EQ71" i="6" s="1"/>
  <c r="ER68" i="6" s="1"/>
  <c r="EP95" i="5"/>
  <c r="EP103" i="5"/>
  <c r="EQ81" i="6"/>
  <c r="ER78" i="6" s="1"/>
  <c r="EQ89" i="6" l="1"/>
  <c r="EP100" i="5"/>
  <c r="EP125" i="5"/>
  <c r="EP126" i="5"/>
  <c r="EQ94" i="6" l="1"/>
  <c r="EQ90" i="6"/>
  <c r="EP127" i="5"/>
  <c r="EP128" i="5"/>
  <c r="EQ91" i="6" l="1"/>
  <c r="ER88" i="6" s="1"/>
  <c r="EP113" i="5"/>
  <c r="EQ99" i="6"/>
  <c r="EQ95" i="6"/>
  <c r="EQ96" i="6" s="1"/>
  <c r="ER93" i="6" s="1"/>
  <c r="EP110" i="5" l="1"/>
  <c r="EP49" i="19"/>
  <c r="EP286" i="11"/>
  <c r="EP287" i="11" s="1"/>
  <c r="EP64" i="19"/>
  <c r="EQ100" i="6"/>
  <c r="EQ101" i="6" s="1"/>
  <c r="ER98" i="6" s="1"/>
  <c r="EP51" i="19" l="1"/>
  <c r="EP52" i="19"/>
  <c r="EP46" i="19"/>
  <c r="EP67" i="19"/>
  <c r="EP66" i="19"/>
  <c r="EO39" i="15"/>
  <c r="EO38" i="15" s="1"/>
  <c r="EO34" i="15" s="1"/>
  <c r="EO40" i="15" s="1"/>
  <c r="EQ284" i="11"/>
  <c r="EP132" i="5"/>
  <c r="EP131" i="5"/>
  <c r="EP133" i="5" s="1"/>
  <c r="EP67" i="5"/>
  <c r="EP120" i="5" s="1"/>
  <c r="EP122" i="5" s="1"/>
  <c r="EP124" i="5" s="1"/>
  <c r="EO16" i="15" l="1"/>
  <c r="EO15" i="15" s="1"/>
  <c r="EO14" i="15" s="1"/>
  <c r="EO41" i="15" s="1"/>
  <c r="EQ121" i="5"/>
  <c r="ER44" i="6"/>
  <c r="EP135" i="5"/>
  <c r="EP134" i="5"/>
  <c r="EO42" i="15" l="1"/>
  <c r="ER43" i="6"/>
  <c r="ER42" i="6" s="1"/>
  <c r="ER55" i="6" s="1"/>
  <c r="ER57" i="6" s="1"/>
  <c r="EQ20" i="5"/>
  <c r="N38" i="16"/>
  <c r="K44" i="6"/>
  <c r="K43" i="6" s="1"/>
  <c r="K42" i="6" s="1"/>
  <c r="K55" i="6" s="1"/>
  <c r="K57" i="6" s="1"/>
  <c r="O38" i="16"/>
  <c r="P38" i="16"/>
  <c r="Q38" i="16"/>
  <c r="R38" i="16"/>
  <c r="S38" i="16"/>
  <c r="T38" i="16"/>
  <c r="U38" i="16"/>
  <c r="V38" i="16"/>
  <c r="W38" i="16"/>
  <c r="X38" i="16"/>
  <c r="Y38" i="16"/>
  <c r="Z38" i="16"/>
  <c r="AA38" i="16"/>
  <c r="AB38" i="16"/>
  <c r="AC38" i="16"/>
  <c r="AD38" i="16"/>
  <c r="AE38" i="16"/>
  <c r="AF38" i="16"/>
  <c r="AG38" i="16"/>
  <c r="AH38" i="16"/>
  <c r="AH37" i="16" s="1"/>
  <c r="AH36" i="16" s="1"/>
  <c r="AH49" i="16" s="1"/>
  <c r="AH51" i="16" s="1"/>
  <c r="AI38" i="16"/>
  <c r="AI37" i="16" s="1"/>
  <c r="AI36" i="16" s="1"/>
  <c r="AI49" i="16" s="1"/>
  <c r="AI51" i="16" s="1"/>
  <c r="AJ38" i="16"/>
  <c r="AJ37" i="16" s="1"/>
  <c r="AJ36" i="16" s="1"/>
  <c r="AJ49" i="16" s="1"/>
  <c r="AJ51" i="16" s="1"/>
  <c r="M693" i="32" l="1"/>
  <c r="V37" i="16"/>
  <c r="V36" i="16" s="1"/>
  <c r="V49" i="16" s="1"/>
  <c r="V51" i="16" s="1"/>
  <c r="I132" i="32"/>
  <c r="I131" i="32" s="1"/>
  <c r="I144" i="32" s="1"/>
  <c r="I693" i="32"/>
  <c r="R37" i="16"/>
  <c r="R36" i="16" s="1"/>
  <c r="R49" i="16" s="1"/>
  <c r="R51" i="16" s="1"/>
  <c r="G132" i="32"/>
  <c r="G131" i="32" s="1"/>
  <c r="G144" i="32" s="1"/>
  <c r="AG37" i="16"/>
  <c r="AG36" i="16" s="1"/>
  <c r="AG49" i="16" s="1"/>
  <c r="AG51" i="16" s="1"/>
  <c r="X693" i="32"/>
  <c r="Q693" i="32"/>
  <c r="Z37" i="16"/>
  <c r="Z36" i="16" s="1"/>
  <c r="Z49" i="16" s="1"/>
  <c r="Z51" i="16" s="1"/>
  <c r="K132" i="32"/>
  <c r="K131" i="32" s="1"/>
  <c r="K144" i="32" s="1"/>
  <c r="Y37" i="16"/>
  <c r="Y36" i="16" s="1"/>
  <c r="Y49" i="16" s="1"/>
  <c r="Y51" i="16" s="1"/>
  <c r="P693" i="32"/>
  <c r="Q37" i="16"/>
  <c r="Q36" i="16" s="1"/>
  <c r="Q49" i="16" s="1"/>
  <c r="Q51" i="16" s="1"/>
  <c r="H693" i="32"/>
  <c r="N37" i="16"/>
  <c r="N36" i="16" s="1"/>
  <c r="N49" i="16" s="1"/>
  <c r="N51" i="16" s="1"/>
  <c r="E132" i="32"/>
  <c r="D85" i="32"/>
  <c r="K38" i="16"/>
  <c r="K37" i="16" s="1"/>
  <c r="K36" i="16" s="1"/>
  <c r="K49" i="16" s="1"/>
  <c r="K51" i="16" s="1"/>
  <c r="K52" i="16" s="1"/>
  <c r="E693" i="32"/>
  <c r="W693" i="32"/>
  <c r="AF37" i="16"/>
  <c r="AF36" i="16" s="1"/>
  <c r="AF49" i="16" s="1"/>
  <c r="AF51" i="16" s="1"/>
  <c r="N132" i="32"/>
  <c r="N131" i="32" s="1"/>
  <c r="N144" i="32" s="1"/>
  <c r="O693" i="32"/>
  <c r="X37" i="16"/>
  <c r="X36" i="16" s="1"/>
  <c r="X49" i="16" s="1"/>
  <c r="X51" i="16" s="1"/>
  <c r="J132" i="32"/>
  <c r="J131" i="32" s="1"/>
  <c r="J144" i="32" s="1"/>
  <c r="K693" i="32"/>
  <c r="T37" i="16"/>
  <c r="T36" i="16" s="1"/>
  <c r="T49" i="16" s="1"/>
  <c r="T51" i="16" s="1"/>
  <c r="H132" i="32"/>
  <c r="H131" i="32" s="1"/>
  <c r="H144" i="32" s="1"/>
  <c r="P37" i="16"/>
  <c r="P36" i="16" s="1"/>
  <c r="P49" i="16" s="1"/>
  <c r="P51" i="16" s="1"/>
  <c r="F132" i="32"/>
  <c r="F131" i="32" s="1"/>
  <c r="F144" i="32" s="1"/>
  <c r="G693" i="32"/>
  <c r="EQ15" i="5"/>
  <c r="EQ14" i="5" s="1"/>
  <c r="ER66" i="6" s="1"/>
  <c r="ER75" i="6" s="1"/>
  <c r="M15" i="17"/>
  <c r="M15" i="26"/>
  <c r="J20" i="5"/>
  <c r="J15" i="5" s="1"/>
  <c r="J14" i="5" s="1"/>
  <c r="N15" i="17"/>
  <c r="O15" i="17"/>
  <c r="N15" i="26"/>
  <c r="P15" i="17"/>
  <c r="Q15" i="17"/>
  <c r="Q10" i="17" s="1"/>
  <c r="Q9" i="17" s="1"/>
  <c r="O15" i="26"/>
  <c r="R15" i="17"/>
  <c r="R10" i="17" s="1"/>
  <c r="R9" i="17" s="1"/>
  <c r="S15" i="17"/>
  <c r="S10" i="17" s="1"/>
  <c r="S9" i="17" s="1"/>
  <c r="P15" i="26"/>
  <c r="T15" i="17"/>
  <c r="T10" i="17" s="1"/>
  <c r="T9" i="17" s="1"/>
  <c r="U15" i="17"/>
  <c r="U10" i="17" s="1"/>
  <c r="U9" i="17" s="1"/>
  <c r="Q15" i="26"/>
  <c r="V15" i="17"/>
  <c r="V10" i="17" s="1"/>
  <c r="V9" i="17" s="1"/>
  <c r="R15" i="26"/>
  <c r="W15" i="17"/>
  <c r="W10" i="17" s="1"/>
  <c r="W9" i="17" s="1"/>
  <c r="X15" i="17"/>
  <c r="X10" i="17" s="1"/>
  <c r="X9" i="17" s="1"/>
  <c r="Y15" i="17"/>
  <c r="Y10" i="17" s="1"/>
  <c r="Y9" i="17" s="1"/>
  <c r="S15" i="26"/>
  <c r="Z15" i="17"/>
  <c r="Z10" i="17" s="1"/>
  <c r="Z9" i="17" s="1"/>
  <c r="AA15" i="17"/>
  <c r="AA10" i="17" s="1"/>
  <c r="AA9" i="17" s="1"/>
  <c r="T15" i="26"/>
  <c r="AB15" i="17"/>
  <c r="AB10" i="17" s="1"/>
  <c r="AB9" i="17" s="1"/>
  <c r="AC15" i="17"/>
  <c r="AC10" i="17" s="1"/>
  <c r="AC9" i="17" s="1"/>
  <c r="U15" i="26"/>
  <c r="AD15" i="17"/>
  <c r="AD10" i="17" s="1"/>
  <c r="AD9" i="17" s="1"/>
  <c r="V15" i="26"/>
  <c r="AE15" i="17"/>
  <c r="AE10" i="17" s="1"/>
  <c r="AE9" i="17" s="1"/>
  <c r="AF15" i="17"/>
  <c r="AF10" i="17" s="1"/>
  <c r="AF9" i="17" s="1"/>
  <c r="AG15" i="17"/>
  <c r="AG10" i="17" s="1"/>
  <c r="AG9" i="17" s="1"/>
  <c r="W15" i="26"/>
  <c r="W10" i="26" s="1"/>
  <c r="W9" i="26" s="1"/>
  <c r="AH15" i="17"/>
  <c r="AH10" i="17" s="1"/>
  <c r="AH9" i="17" s="1"/>
  <c r="X15" i="26"/>
  <c r="X10" i="26" s="1"/>
  <c r="X9" i="26" s="1"/>
  <c r="AI15" i="17"/>
  <c r="AI10" i="17" s="1"/>
  <c r="AI9" i="17" s="1"/>
  <c r="U693" i="32"/>
  <c r="M132" i="32"/>
  <c r="M131" i="32" s="1"/>
  <c r="M144" i="32" s="1"/>
  <c r="AD37" i="16"/>
  <c r="AD36" i="16" s="1"/>
  <c r="AD49" i="16" s="1"/>
  <c r="AD51" i="16" s="1"/>
  <c r="AC37" i="16"/>
  <c r="AC36" i="16" s="1"/>
  <c r="AC49" i="16" s="1"/>
  <c r="AC51" i="16" s="1"/>
  <c r="T693" i="32"/>
  <c r="U37" i="16"/>
  <c r="U36" i="16" s="1"/>
  <c r="U49" i="16" s="1"/>
  <c r="U51" i="16" s="1"/>
  <c r="L693" i="32"/>
  <c r="S693" i="32"/>
  <c r="L132" i="32"/>
  <c r="L131" i="32" s="1"/>
  <c r="L144" i="32" s="1"/>
  <c r="AB37" i="16"/>
  <c r="AB36" i="16" s="1"/>
  <c r="AB49" i="16" s="1"/>
  <c r="AB51" i="16" s="1"/>
  <c r="AE37" i="16"/>
  <c r="AE36" i="16" s="1"/>
  <c r="AE49" i="16" s="1"/>
  <c r="AE51" i="16" s="1"/>
  <c r="V693" i="32"/>
  <c r="AA37" i="16"/>
  <c r="AA36" i="16" s="1"/>
  <c r="AA49" i="16" s="1"/>
  <c r="AA51" i="16" s="1"/>
  <c r="R693" i="32"/>
  <c r="W37" i="16"/>
  <c r="W36" i="16" s="1"/>
  <c r="W49" i="16" s="1"/>
  <c r="W51" i="16" s="1"/>
  <c r="N693" i="32"/>
  <c r="S37" i="16"/>
  <c r="S36" i="16" s="1"/>
  <c r="S49" i="16" s="1"/>
  <c r="S51" i="16" s="1"/>
  <c r="J693" i="32"/>
  <c r="O37" i="16"/>
  <c r="O36" i="16" s="1"/>
  <c r="O49" i="16" s="1"/>
  <c r="O51" i="16" s="1"/>
  <c r="F693" i="32"/>
  <c r="EQ285" i="11"/>
  <c r="ER62" i="6"/>
  <c r="F906" i="32" l="1"/>
  <c r="L692" i="32"/>
  <c r="L705" i="32" s="1"/>
  <c r="D811" i="32" s="1"/>
  <c r="R811" i="32"/>
  <c r="M171" i="32"/>
  <c r="M170" i="32" s="1"/>
  <c r="M155" i="32" s="1"/>
  <c r="U10" i="26"/>
  <c r="U9" i="26" s="1"/>
  <c r="I171" i="32"/>
  <c r="I170" i="32" s="1"/>
  <c r="I155" i="32" s="1"/>
  <c r="Q10" i="26"/>
  <c r="Q9" i="26" s="1"/>
  <c r="H732" i="32"/>
  <c r="H731" i="32" s="1"/>
  <c r="H716" i="32" s="1"/>
  <c r="P10" i="17"/>
  <c r="P9" i="17" s="1"/>
  <c r="K8" i="1"/>
  <c r="H112" i="5"/>
  <c r="H160" i="5"/>
  <c r="D906" i="32"/>
  <c r="R806" i="32"/>
  <c r="G692" i="32"/>
  <c r="G705" i="32" s="1"/>
  <c r="O692" i="32"/>
  <c r="O705" i="32" s="1"/>
  <c r="R814" i="32"/>
  <c r="R804" i="32"/>
  <c r="C906" i="32"/>
  <c r="E692" i="32"/>
  <c r="C693" i="32"/>
  <c r="T402" i="32" a="1"/>
  <c r="L906" i="32"/>
  <c r="R823" i="32"/>
  <c r="X692" i="32"/>
  <c r="X705" i="32" s="1"/>
  <c r="D823" i="32" s="1"/>
  <c r="I692" i="32"/>
  <c r="I705" i="32" s="1"/>
  <c r="R808" i="32"/>
  <c r="E906" i="32"/>
  <c r="J692" i="32"/>
  <c r="J705" i="32" s="1"/>
  <c r="D809" i="32" s="1"/>
  <c r="R809" i="32"/>
  <c r="F171" i="32"/>
  <c r="F170" i="32" s="1"/>
  <c r="F155" i="32" s="1"/>
  <c r="N10" i="26"/>
  <c r="N9" i="26" s="1"/>
  <c r="J15" i="26"/>
  <c r="J10" i="26" s="1"/>
  <c r="J9" i="26" s="1"/>
  <c r="E171" i="32"/>
  <c r="M10" i="26"/>
  <c r="M9" i="26" s="1"/>
  <c r="Z69" i="1" s="1"/>
  <c r="K692" i="32"/>
  <c r="K705" i="32" s="1"/>
  <c r="R810" i="32"/>
  <c r="R807" i="32"/>
  <c r="H692" i="32"/>
  <c r="H705" i="32" s="1"/>
  <c r="D807" i="32" s="1"/>
  <c r="ER69" i="6"/>
  <c r="ER64" i="6"/>
  <c r="K62" i="6"/>
  <c r="K64" i="6" s="1"/>
  <c r="N56" i="16"/>
  <c r="O56" i="16"/>
  <c r="O55" i="16" s="1"/>
  <c r="P56" i="16"/>
  <c r="P55" i="16" s="1"/>
  <c r="Q56" i="16"/>
  <c r="Q55" i="16" s="1"/>
  <c r="R56" i="16"/>
  <c r="R55" i="16" s="1"/>
  <c r="S56" i="16"/>
  <c r="S55" i="16" s="1"/>
  <c r="T56" i="16"/>
  <c r="T55" i="16" s="1"/>
  <c r="U56" i="16"/>
  <c r="U55" i="16" s="1"/>
  <c r="V56" i="16"/>
  <c r="V55" i="16" s="1"/>
  <c r="W56" i="16"/>
  <c r="W55" i="16" s="1"/>
  <c r="X56" i="16"/>
  <c r="X55" i="16" s="1"/>
  <c r="Y56" i="16"/>
  <c r="Y55" i="16" s="1"/>
  <c r="Z56" i="16"/>
  <c r="Z55" i="16" s="1"/>
  <c r="AA56" i="16"/>
  <c r="AA55" i="16" s="1"/>
  <c r="AB56" i="16"/>
  <c r="AB55" i="16" s="1"/>
  <c r="AC56" i="16"/>
  <c r="AC55" i="16" s="1"/>
  <c r="AD56" i="16"/>
  <c r="AD55" i="16" s="1"/>
  <c r="AE56" i="16"/>
  <c r="AE55" i="16" s="1"/>
  <c r="AF56" i="16"/>
  <c r="AF55" i="16" s="1"/>
  <c r="AG56" i="16"/>
  <c r="AG55" i="16" s="1"/>
  <c r="AH56" i="16"/>
  <c r="AH55" i="16" s="1"/>
  <c r="AI56" i="16"/>
  <c r="AI55" i="16" s="1"/>
  <c r="AJ56" i="16"/>
  <c r="AJ55" i="16" s="1"/>
  <c r="I906" i="32"/>
  <c r="R817" i="32"/>
  <c r="R692" i="32"/>
  <c r="R705" i="32" s="1"/>
  <c r="D817" i="32" s="1"/>
  <c r="J285" i="11"/>
  <c r="J906" i="32"/>
  <c r="R819" i="32"/>
  <c r="T692" i="32"/>
  <c r="T705" i="32" s="1"/>
  <c r="D819" i="32" s="1"/>
  <c r="U692" i="32"/>
  <c r="U705" i="32" s="1"/>
  <c r="R820" i="32"/>
  <c r="N171" i="32"/>
  <c r="N170" i="32" s="1"/>
  <c r="N155" i="32" s="1"/>
  <c r="V10" i="26"/>
  <c r="V9" i="26" s="1"/>
  <c r="K171" i="32"/>
  <c r="K170" i="32" s="1"/>
  <c r="K155" i="32" s="1"/>
  <c r="S10" i="26"/>
  <c r="S9" i="26" s="1"/>
  <c r="J171" i="32"/>
  <c r="J170" i="32" s="1"/>
  <c r="J155" i="32" s="1"/>
  <c r="R10" i="26"/>
  <c r="R9" i="26" s="1"/>
  <c r="G171" i="32"/>
  <c r="G170" i="32" s="1"/>
  <c r="G155" i="32" s="1"/>
  <c r="O10" i="26"/>
  <c r="O9" i="26" s="1"/>
  <c r="G732" i="32"/>
  <c r="G731" i="32" s="1"/>
  <c r="G716" i="32" s="1"/>
  <c r="O10" i="17"/>
  <c r="O9" i="17" s="1"/>
  <c r="J15" i="17"/>
  <c r="J10" i="17" s="1"/>
  <c r="J9" i="17" s="1"/>
  <c r="E732" i="32"/>
  <c r="M10" i="17"/>
  <c r="M9" i="17" s="1"/>
  <c r="F692" i="32"/>
  <c r="F705" i="32" s="1"/>
  <c r="D805" i="32" s="1"/>
  <c r="R805" i="32"/>
  <c r="G906" i="32"/>
  <c r="N692" i="32"/>
  <c r="N705" i="32" s="1"/>
  <c r="D813" i="32" s="1"/>
  <c r="R813" i="32"/>
  <c r="K906" i="32"/>
  <c r="R821" i="32"/>
  <c r="V692" i="32"/>
  <c r="V705" i="32" s="1"/>
  <c r="D821" i="32" s="1"/>
  <c r="S692" i="32"/>
  <c r="S705" i="32" s="1"/>
  <c r="R818" i="32"/>
  <c r="L171" i="32"/>
  <c r="L170" i="32" s="1"/>
  <c r="L155" i="32" s="1"/>
  <c r="T10" i="26"/>
  <c r="T9" i="26" s="1"/>
  <c r="H171" i="32"/>
  <c r="H170" i="32" s="1"/>
  <c r="H155" i="32" s="1"/>
  <c r="P10" i="26"/>
  <c r="P9" i="26" s="1"/>
  <c r="F732" i="32"/>
  <c r="F731" i="32" s="1"/>
  <c r="F716" i="32" s="1"/>
  <c r="N10" i="17"/>
  <c r="N9" i="17" s="1"/>
  <c r="ER80" i="6"/>
  <c r="EQ17" i="19"/>
  <c r="EQ98" i="5"/>
  <c r="K75" i="6"/>
  <c r="N66" i="16"/>
  <c r="O66" i="16"/>
  <c r="P66" i="16"/>
  <c r="Q66" i="16"/>
  <c r="R66" i="16"/>
  <c r="S66" i="16"/>
  <c r="T66" i="16"/>
  <c r="U66" i="16"/>
  <c r="V66" i="16"/>
  <c r="W66" i="16"/>
  <c r="X66" i="16"/>
  <c r="Y66" i="16"/>
  <c r="Z66" i="16"/>
  <c r="AA66" i="16"/>
  <c r="AB66" i="16"/>
  <c r="AC66" i="16"/>
  <c r="AD66" i="16"/>
  <c r="AE66" i="16"/>
  <c r="AF66" i="16"/>
  <c r="AG66" i="16"/>
  <c r="AH66" i="16"/>
  <c r="AI66" i="16"/>
  <c r="AJ66" i="16"/>
  <c r="ER76" i="6"/>
  <c r="W692" i="32"/>
  <c r="W705" i="32" s="1"/>
  <c r="R822" i="32"/>
  <c r="E131" i="32"/>
  <c r="C132" i="32"/>
  <c r="H906" i="32"/>
  <c r="P692" i="32"/>
  <c r="P705" i="32" s="1"/>
  <c r="D815" i="32" s="1"/>
  <c r="R815" i="32"/>
  <c r="Q692" i="32"/>
  <c r="Q705" i="32" s="1"/>
  <c r="R816" i="32"/>
  <c r="M692" i="32"/>
  <c r="M705" i="32" s="1"/>
  <c r="R812" i="32"/>
  <c r="O114" i="19" l="1"/>
  <c r="AH114" i="19" s="1"/>
  <c r="O115" i="19"/>
  <c r="AH115" i="19" s="1"/>
  <c r="O116" i="19"/>
  <c r="AH116" i="19" s="1"/>
  <c r="O117" i="19"/>
  <c r="AH117" i="19" s="1"/>
  <c r="O118" i="19"/>
  <c r="AH118" i="19" s="1"/>
  <c r="O119" i="19"/>
  <c r="AH119" i="19" s="1"/>
  <c r="O120" i="19"/>
  <c r="AH120" i="19" s="1"/>
  <c r="O121" i="19"/>
  <c r="AH121" i="19" s="1"/>
  <c r="O122" i="19"/>
  <c r="AH122" i="19" s="1"/>
  <c r="O123" i="19"/>
  <c r="AH123" i="19" s="1"/>
  <c r="N71" i="16"/>
  <c r="O71" i="16"/>
  <c r="P71" i="16"/>
  <c r="Q71" i="16"/>
  <c r="R71" i="16"/>
  <c r="S71" i="16"/>
  <c r="T71" i="16"/>
  <c r="U71" i="16"/>
  <c r="V71" i="16"/>
  <c r="W71" i="16"/>
  <c r="X71" i="16"/>
  <c r="Y71" i="16"/>
  <c r="Z71" i="16"/>
  <c r="AA71" i="16"/>
  <c r="AB71" i="16"/>
  <c r="AC71" i="16"/>
  <c r="AD71" i="16"/>
  <c r="AE71" i="16"/>
  <c r="AF71" i="16"/>
  <c r="AG71" i="16"/>
  <c r="AH71" i="16"/>
  <c r="AI71" i="16"/>
  <c r="AJ71" i="16"/>
  <c r="G813" i="32"/>
  <c r="G821" i="32"/>
  <c r="D816" i="32"/>
  <c r="G816" i="32" s="1"/>
  <c r="I914" i="32"/>
  <c r="G817" i="32"/>
  <c r="K69" i="6"/>
  <c r="J79" i="6" s="1"/>
  <c r="N60" i="16"/>
  <c r="O60" i="16"/>
  <c r="P60" i="16"/>
  <c r="Q60" i="16"/>
  <c r="R60" i="16"/>
  <c r="S60" i="16"/>
  <c r="T60" i="16"/>
  <c r="U60" i="16"/>
  <c r="V60" i="16"/>
  <c r="W60" i="16"/>
  <c r="X60" i="16"/>
  <c r="Y60" i="16"/>
  <c r="Z60" i="16"/>
  <c r="AA60" i="16"/>
  <c r="AB60" i="16"/>
  <c r="AC60" i="16"/>
  <c r="AD60" i="16"/>
  <c r="AE60" i="16"/>
  <c r="AF60" i="16"/>
  <c r="AG60" i="16"/>
  <c r="AH60" i="16"/>
  <c r="AI60" i="16"/>
  <c r="AJ60" i="16"/>
  <c r="ER70" i="6"/>
  <c r="D810" i="32"/>
  <c r="G810" i="32" s="1"/>
  <c r="F914" i="32"/>
  <c r="E922" i="32"/>
  <c r="E923" i="32" s="1"/>
  <c r="E907" i="32"/>
  <c r="E705" i="32"/>
  <c r="C692" i="32"/>
  <c r="D814" i="32"/>
  <c r="G814" i="32" s="1"/>
  <c r="H914" i="32"/>
  <c r="E144" i="32"/>
  <c r="C131" i="32"/>
  <c r="EQ95" i="5"/>
  <c r="J98" i="5"/>
  <c r="M93" i="17"/>
  <c r="M93" i="26"/>
  <c r="J828" i="32"/>
  <c r="E43" i="1"/>
  <c r="E44" i="1"/>
  <c r="N93" i="17"/>
  <c r="E45" i="1"/>
  <c r="N93" i="26"/>
  <c r="O93" i="17"/>
  <c r="E46" i="1"/>
  <c r="P93" i="17"/>
  <c r="Q93" i="17"/>
  <c r="Q90" i="17" s="1"/>
  <c r="O93" i="26"/>
  <c r="E47" i="1"/>
  <c r="R93" i="17"/>
  <c r="R90" i="17" s="1"/>
  <c r="E48" i="1"/>
  <c r="AB76" i="1"/>
  <c r="AC76" i="1"/>
  <c r="E49" i="1"/>
  <c r="P93" i="26"/>
  <c r="S93" i="17"/>
  <c r="S90" i="17" s="1"/>
  <c r="E50" i="1"/>
  <c r="T93" i="17"/>
  <c r="T90" i="17" s="1"/>
  <c r="AD76" i="1"/>
  <c r="Q93" i="26"/>
  <c r="E51" i="1"/>
  <c r="U93" i="17"/>
  <c r="U90" i="17" s="1"/>
  <c r="V93" i="17"/>
  <c r="V90" i="17" s="1"/>
  <c r="E52" i="1"/>
  <c r="AE76" i="1"/>
  <c r="W93" i="17"/>
  <c r="W90" i="17" s="1"/>
  <c r="E53" i="1"/>
  <c r="R93" i="26"/>
  <c r="X93" i="17"/>
  <c r="X90" i="17" s="1"/>
  <c r="E54" i="1"/>
  <c r="AF76" i="1"/>
  <c r="S93" i="26"/>
  <c r="Y93" i="17"/>
  <c r="Y90" i="17" s="1"/>
  <c r="E55" i="1"/>
  <c r="E56" i="1"/>
  <c r="Z93" i="17"/>
  <c r="Z90" i="17" s="1"/>
  <c r="AG76" i="1"/>
  <c r="T93" i="26"/>
  <c r="AA93" i="17"/>
  <c r="AA90" i="17" s="1"/>
  <c r="E57" i="1"/>
  <c r="AB93" i="17"/>
  <c r="AB90" i="17" s="1"/>
  <c r="E58" i="1"/>
  <c r="AH76" i="1"/>
  <c r="E59" i="1"/>
  <c r="U93" i="26"/>
  <c r="AC93" i="17"/>
  <c r="AC90" i="17" s="1"/>
  <c r="AD93" i="17"/>
  <c r="AD90" i="17" s="1"/>
  <c r="E60" i="1"/>
  <c r="AI76" i="1"/>
  <c r="E61" i="1"/>
  <c r="AE93" i="17"/>
  <c r="AE90" i="17" s="1"/>
  <c r="V93" i="26"/>
  <c r="AF93" i="17"/>
  <c r="AF90" i="17" s="1"/>
  <c r="E62" i="1"/>
  <c r="AG93" i="17"/>
  <c r="AG90" i="17" s="1"/>
  <c r="W93" i="26"/>
  <c r="W90" i="26" s="1"/>
  <c r="AH93" i="17"/>
  <c r="AH90" i="17" s="1"/>
  <c r="X93" i="26"/>
  <c r="X90" i="26" s="1"/>
  <c r="AI93" i="17"/>
  <c r="AI90" i="17" s="1"/>
  <c r="G922" i="32"/>
  <c r="G923" i="32" s="1"/>
  <c r="G907" i="32"/>
  <c r="E731" i="32"/>
  <c r="C732" i="32"/>
  <c r="J922" i="32"/>
  <c r="J923" i="32" s="1"/>
  <c r="J907" i="32"/>
  <c r="N55" i="16"/>
  <c r="AD79" i="21" s="1" a="1"/>
  <c r="K56" i="16"/>
  <c r="G807" i="32"/>
  <c r="Z72" i="1"/>
  <c r="Z75" i="1"/>
  <c r="Z78" i="1"/>
  <c r="Z81" i="1"/>
  <c r="L922" i="32"/>
  <c r="L923" i="32" s="1"/>
  <c r="L907" i="32"/>
  <c r="C922" i="32"/>
  <c r="M906" i="32"/>
  <c r="C907" i="32"/>
  <c r="D806" i="32"/>
  <c r="G806" i="32" s="1"/>
  <c r="D914" i="32"/>
  <c r="G815" i="32"/>
  <c r="EQ20" i="19"/>
  <c r="EQ14" i="19"/>
  <c r="EQ19" i="19"/>
  <c r="J17" i="19"/>
  <c r="O78" i="19"/>
  <c r="O79" i="19"/>
  <c r="O80" i="19"/>
  <c r="O81" i="19"/>
  <c r="O82" i="19"/>
  <c r="O83" i="19"/>
  <c r="O84" i="19"/>
  <c r="O85" i="19"/>
  <c r="O86" i="19"/>
  <c r="O87" i="19"/>
  <c r="O88" i="19"/>
  <c r="O89" i="19"/>
  <c r="O90" i="19"/>
  <c r="O91" i="19"/>
  <c r="O92" i="19"/>
  <c r="O93" i="19"/>
  <c r="O94" i="19"/>
  <c r="O95" i="19"/>
  <c r="O96" i="19"/>
  <c r="O97" i="19"/>
  <c r="K922" i="32"/>
  <c r="K923" i="32" s="1"/>
  <c r="K907" i="32"/>
  <c r="D820" i="32"/>
  <c r="G820" i="32" s="1"/>
  <c r="K914" i="32"/>
  <c r="I922" i="32"/>
  <c r="I923" i="32" s="1"/>
  <c r="I907" i="32"/>
  <c r="N601" i="32"/>
  <c r="O601" i="32" s="1"/>
  <c r="E170" i="32"/>
  <c r="C171" i="32"/>
  <c r="D808" i="32"/>
  <c r="G808" i="32" s="1"/>
  <c r="E914" i="32"/>
  <c r="Q416" i="32"/>
  <c r="Q405" i="32"/>
  <c r="Q422" i="32"/>
  <c r="Q418" i="32"/>
  <c r="Q407" i="32"/>
  <c r="Q412" i="32"/>
  <c r="Q409" i="32"/>
  <c r="Q406" i="32"/>
  <c r="Q415" i="32"/>
  <c r="Q408" i="32"/>
  <c r="Q411" i="32"/>
  <c r="Q404" i="32"/>
  <c r="Q410" i="32"/>
  <c r="Q413" i="32"/>
  <c r="Q417" i="32"/>
  <c r="Q403" i="32"/>
  <c r="Q419" i="32"/>
  <c r="Q414" i="32"/>
  <c r="Q421" i="32"/>
  <c r="Q420" i="32"/>
  <c r="T402" i="32"/>
  <c r="Q402" i="32" s="1"/>
  <c r="S402" i="32" s="1"/>
  <c r="P403" i="32" s="1"/>
  <c r="R824" i="32"/>
  <c r="C890" i="32" s="1"/>
  <c r="C888" i="32" s="1"/>
  <c r="G811" i="32"/>
  <c r="D812" i="32"/>
  <c r="G812" i="32" s="1"/>
  <c r="G914" i="32"/>
  <c r="H922" i="32"/>
  <c r="H923" i="32" s="1"/>
  <c r="H907" i="32"/>
  <c r="D822" i="32"/>
  <c r="G822" i="32" s="1"/>
  <c r="L914" i="32"/>
  <c r="K66" i="16"/>
  <c r="N67" i="16"/>
  <c r="O64" i="16" s="1"/>
  <c r="O67" i="16" s="1"/>
  <c r="P64" i="16" s="1"/>
  <c r="P67" i="16" s="1"/>
  <c r="Q64" i="16" s="1"/>
  <c r="Q67" i="16" s="1"/>
  <c r="R64" i="16" s="1"/>
  <c r="R67" i="16" s="1"/>
  <c r="S64" i="16" s="1"/>
  <c r="S67" i="16" s="1"/>
  <c r="T64" i="16" s="1"/>
  <c r="T67" i="16" s="1"/>
  <c r="U64" i="16" s="1"/>
  <c r="U67" i="16" s="1"/>
  <c r="V64" i="16" s="1"/>
  <c r="V67" i="16" s="1"/>
  <c r="W64" i="16" s="1"/>
  <c r="W67" i="16" s="1"/>
  <c r="X64" i="16" s="1"/>
  <c r="X67" i="16" s="1"/>
  <c r="Y64" i="16" s="1"/>
  <c r="Y67" i="16" s="1"/>
  <c r="Z64" i="16" s="1"/>
  <c r="Z67" i="16" s="1"/>
  <c r="AA64" i="16" s="1"/>
  <c r="AA67" i="16" s="1"/>
  <c r="AB64" i="16" s="1"/>
  <c r="AB67" i="16" s="1"/>
  <c r="AC64" i="16" s="1"/>
  <c r="AC67" i="16" s="1"/>
  <c r="AD64" i="16" s="1"/>
  <c r="AD67" i="16" s="1"/>
  <c r="AE64" i="16" s="1"/>
  <c r="AE67" i="16" s="1"/>
  <c r="AF64" i="16" s="1"/>
  <c r="AF67" i="16" s="1"/>
  <c r="AG64" i="16" s="1"/>
  <c r="AG67" i="16" s="1"/>
  <c r="AH64" i="16" s="1"/>
  <c r="AH67" i="16" s="1"/>
  <c r="AI64" i="16" s="1"/>
  <c r="AI67" i="16" s="1"/>
  <c r="AJ64" i="16" s="1"/>
  <c r="AJ67" i="16" s="1"/>
  <c r="AK64" i="16" s="1"/>
  <c r="AK67" i="16" s="1"/>
  <c r="AL64" i="16" s="1"/>
  <c r="AL67" i="16" s="1"/>
  <c r="AM64" i="16" s="1"/>
  <c r="AM67" i="16" s="1"/>
  <c r="AN64" i="16" s="1"/>
  <c r="AN67" i="16" s="1"/>
  <c r="AO64" i="16" s="1"/>
  <c r="AO67" i="16" s="1"/>
  <c r="AP64" i="16" s="1"/>
  <c r="AP67" i="16" s="1"/>
  <c r="AQ64" i="16" s="1"/>
  <c r="AQ67" i="16" s="1"/>
  <c r="AR64" i="16" s="1"/>
  <c r="AR67" i="16" s="1"/>
  <c r="AS64" i="16" s="1"/>
  <c r="AS67" i="16" s="1"/>
  <c r="AT64" i="16" s="1"/>
  <c r="AT67" i="16" s="1"/>
  <c r="AU64" i="16" s="1"/>
  <c r="AU67" i="16" s="1"/>
  <c r="AV64" i="16" s="1"/>
  <c r="AV67" i="16" s="1"/>
  <c r="AW64" i="16" s="1"/>
  <c r="AW67" i="16" s="1"/>
  <c r="AX64" i="16" s="1"/>
  <c r="AX67" i="16" s="1"/>
  <c r="AY64" i="16" s="1"/>
  <c r="AY67" i="16" s="1"/>
  <c r="AZ64" i="16" s="1"/>
  <c r="AZ67" i="16" s="1"/>
  <c r="BA64" i="16" s="1"/>
  <c r="BA67" i="16" s="1"/>
  <c r="BB64" i="16" s="1"/>
  <c r="BB67" i="16" s="1"/>
  <c r="BC64" i="16" s="1"/>
  <c r="BC67" i="16" s="1"/>
  <c r="BD64" i="16" s="1"/>
  <c r="BD67" i="16" s="1"/>
  <c r="BE64" i="16" s="1"/>
  <c r="BE67" i="16" s="1"/>
  <c r="BF64" i="16" s="1"/>
  <c r="BF67" i="16" s="1"/>
  <c r="BG64" i="16" s="1"/>
  <c r="BG67" i="16" s="1"/>
  <c r="BH64" i="16" s="1"/>
  <c r="BH67" i="16" s="1"/>
  <c r="BI64" i="16" s="1"/>
  <c r="BI67" i="16" s="1"/>
  <c r="BJ64" i="16" s="1"/>
  <c r="BJ67" i="16" s="1"/>
  <c r="BK64" i="16" s="1"/>
  <c r="BK67" i="16" s="1"/>
  <c r="BL64" i="16" s="1"/>
  <c r="BL67" i="16" s="1"/>
  <c r="BM64" i="16" s="1"/>
  <c r="BM67" i="16" s="1"/>
  <c r="BN64" i="16" s="1"/>
  <c r="BN67" i="16" s="1"/>
  <c r="BO64" i="16" s="1"/>
  <c r="BO67" i="16" s="1"/>
  <c r="BP64" i="16" s="1"/>
  <c r="BP67" i="16" s="1"/>
  <c r="BQ64" i="16" s="1"/>
  <c r="BQ67" i="16" s="1"/>
  <c r="BR64" i="16" s="1"/>
  <c r="BR67" i="16" s="1"/>
  <c r="BS64" i="16" s="1"/>
  <c r="BS67" i="16" s="1"/>
  <c r="BT64" i="16" s="1"/>
  <c r="BT67" i="16" s="1"/>
  <c r="BU64" i="16" s="1"/>
  <c r="BU67" i="16" s="1"/>
  <c r="BV64" i="16" s="1"/>
  <c r="BV67" i="16" s="1"/>
  <c r="BW64" i="16" s="1"/>
  <c r="BW67" i="16" s="1"/>
  <c r="BX64" i="16" s="1"/>
  <c r="BX67" i="16" s="1"/>
  <c r="BY64" i="16" s="1"/>
  <c r="BY67" i="16" s="1"/>
  <c r="BZ64" i="16" s="1"/>
  <c r="BZ67" i="16" s="1"/>
  <c r="CA64" i="16" s="1"/>
  <c r="CA67" i="16" s="1"/>
  <c r="CB64" i="16" s="1"/>
  <c r="CB67" i="16" s="1"/>
  <c r="CC64" i="16" s="1"/>
  <c r="CC67" i="16" s="1"/>
  <c r="CD64" i="16" s="1"/>
  <c r="CD67" i="16" s="1"/>
  <c r="CE64" i="16" s="1"/>
  <c r="CE67" i="16" s="1"/>
  <c r="CF64" i="16" s="1"/>
  <c r="CF67" i="16" s="1"/>
  <c r="CG64" i="16" s="1"/>
  <c r="CG67" i="16" s="1"/>
  <c r="CH64" i="16" s="1"/>
  <c r="CH67" i="16" s="1"/>
  <c r="CI64" i="16" s="1"/>
  <c r="CI67" i="16" s="1"/>
  <c r="CJ64" i="16" s="1"/>
  <c r="CJ67" i="16" s="1"/>
  <c r="CK64" i="16" s="1"/>
  <c r="CK67" i="16" s="1"/>
  <c r="CL64" i="16" s="1"/>
  <c r="CL67" i="16" s="1"/>
  <c r="CM64" i="16" s="1"/>
  <c r="CM67" i="16" s="1"/>
  <c r="CN64" i="16" s="1"/>
  <c r="CN67" i="16" s="1"/>
  <c r="CO64" i="16" s="1"/>
  <c r="CO67" i="16" s="1"/>
  <c r="CP64" i="16" s="1"/>
  <c r="CP67" i="16" s="1"/>
  <c r="CQ64" i="16" s="1"/>
  <c r="CQ67" i="16" s="1"/>
  <c r="CR64" i="16" s="1"/>
  <c r="CR67" i="16" s="1"/>
  <c r="CS64" i="16" s="1"/>
  <c r="CS67" i="16" s="1"/>
  <c r="CT64" i="16" s="1"/>
  <c r="CT67" i="16" s="1"/>
  <c r="CU64" i="16" s="1"/>
  <c r="CU67" i="16" s="1"/>
  <c r="CV64" i="16" s="1"/>
  <c r="CV67" i="16" s="1"/>
  <c r="CW64" i="16" s="1"/>
  <c r="CW67" i="16" s="1"/>
  <c r="CX64" i="16" s="1"/>
  <c r="CX67" i="16" s="1"/>
  <c r="CY64" i="16" s="1"/>
  <c r="CY67" i="16" s="1"/>
  <c r="CZ64" i="16" s="1"/>
  <c r="CZ67" i="16" s="1"/>
  <c r="DA64" i="16" s="1"/>
  <c r="DA67" i="16" s="1"/>
  <c r="DB64" i="16" s="1"/>
  <c r="DB67" i="16" s="1"/>
  <c r="DC64" i="16" s="1"/>
  <c r="DC67" i="16" s="1"/>
  <c r="DD64" i="16" s="1"/>
  <c r="DD67" i="16" s="1"/>
  <c r="DE64" i="16" s="1"/>
  <c r="DE67" i="16" s="1"/>
  <c r="DF64" i="16" s="1"/>
  <c r="DF67" i="16" s="1"/>
  <c r="DG64" i="16" s="1"/>
  <c r="DG67" i="16" s="1"/>
  <c r="DH64" i="16" s="1"/>
  <c r="DH67" i="16" s="1"/>
  <c r="DI64" i="16" s="1"/>
  <c r="DI67" i="16" s="1"/>
  <c r="DJ64" i="16" s="1"/>
  <c r="DJ67" i="16" s="1"/>
  <c r="DK64" i="16" s="1"/>
  <c r="DK67" i="16" s="1"/>
  <c r="DL64" i="16" s="1"/>
  <c r="DL67" i="16" s="1"/>
  <c r="DM64" i="16" s="1"/>
  <c r="DM67" i="16" s="1"/>
  <c r="DN64" i="16" s="1"/>
  <c r="DN67" i="16" s="1"/>
  <c r="DO64" i="16" s="1"/>
  <c r="DO67" i="16" s="1"/>
  <c r="DP64" i="16" s="1"/>
  <c r="DP67" i="16" s="1"/>
  <c r="DQ64" i="16" s="1"/>
  <c r="DQ67" i="16" s="1"/>
  <c r="DR64" i="16" s="1"/>
  <c r="DR67" i="16" s="1"/>
  <c r="DS64" i="16" s="1"/>
  <c r="DS67" i="16" s="1"/>
  <c r="DT64" i="16" s="1"/>
  <c r="DT67" i="16" s="1"/>
  <c r="DU64" i="16" s="1"/>
  <c r="DU67" i="16" s="1"/>
  <c r="DV64" i="16" s="1"/>
  <c r="DV67" i="16" s="1"/>
  <c r="DW64" i="16" s="1"/>
  <c r="DW67" i="16" s="1"/>
  <c r="EQ103" i="5"/>
  <c r="K80" i="6"/>
  <c r="ER81" i="6"/>
  <c r="D818" i="32"/>
  <c r="G818" i="32" s="1"/>
  <c r="J914" i="32"/>
  <c r="G805" i="32"/>
  <c r="G819" i="32"/>
  <c r="G809" i="32"/>
  <c r="G823" i="32"/>
  <c r="D907" i="32"/>
  <c r="D922" i="32"/>
  <c r="D923" i="32" s="1"/>
  <c r="F922" i="32"/>
  <c r="F923" i="32" s="1"/>
  <c r="F907" i="32"/>
  <c r="AD79" i="21" l="1"/>
  <c r="Y79" i="21" s="1"/>
  <c r="Y98" i="21"/>
  <c r="Y86" i="21"/>
  <c r="Y97" i="21"/>
  <c r="Y94" i="21"/>
  <c r="Y81" i="21"/>
  <c r="Y80" i="21"/>
  <c r="Y96" i="21"/>
  <c r="Y95" i="21"/>
  <c r="Y87" i="21"/>
  <c r="Y85" i="21"/>
  <c r="Y84" i="21"/>
  <c r="Y83" i="21"/>
  <c r="Y82" i="21"/>
  <c r="Y93" i="21"/>
  <c r="Y92" i="21"/>
  <c r="Y91" i="21"/>
  <c r="Y90" i="21"/>
  <c r="Y89" i="21"/>
  <c r="Y88" i="21"/>
  <c r="Q123" i="19"/>
  <c r="Q122" i="19"/>
  <c r="Q121" i="19"/>
  <c r="Q120" i="19"/>
  <c r="Q119" i="19"/>
  <c r="Q118" i="19"/>
  <c r="Q117" i="19"/>
  <c r="Q116" i="19"/>
  <c r="Q115" i="19"/>
  <c r="Q114" i="19"/>
  <c r="O124" i="19"/>
  <c r="K71" i="16"/>
  <c r="N72" i="16"/>
  <c r="O69" i="16" s="1"/>
  <c r="O72" i="16" s="1"/>
  <c r="P69" i="16" s="1"/>
  <c r="P72" i="16" s="1"/>
  <c r="Q69" i="16" s="1"/>
  <c r="Q72" i="16" s="1"/>
  <c r="R69" i="16" s="1"/>
  <c r="R72" i="16" s="1"/>
  <c r="S69" i="16" s="1"/>
  <c r="S72" i="16" s="1"/>
  <c r="T69" i="16" s="1"/>
  <c r="T72" i="16" s="1"/>
  <c r="U69" i="16" s="1"/>
  <c r="U72" i="16" s="1"/>
  <c r="V69" i="16" s="1"/>
  <c r="V72" i="16" s="1"/>
  <c r="W69" i="16" s="1"/>
  <c r="W72" i="16" s="1"/>
  <c r="X69" i="16" s="1"/>
  <c r="X72" i="16" s="1"/>
  <c r="Y69" i="16" s="1"/>
  <c r="Y72" i="16" s="1"/>
  <c r="Z69" i="16" s="1"/>
  <c r="Z72" i="16" s="1"/>
  <c r="AA69" i="16" s="1"/>
  <c r="AA72" i="16" s="1"/>
  <c r="AB69" i="16" s="1"/>
  <c r="AB72" i="16" s="1"/>
  <c r="AC69" i="16" s="1"/>
  <c r="AC72" i="16" s="1"/>
  <c r="AD69" i="16" s="1"/>
  <c r="AD72" i="16" s="1"/>
  <c r="AE69" i="16" s="1"/>
  <c r="AE72" i="16" s="1"/>
  <c r="AF69" i="16" s="1"/>
  <c r="AF72" i="16" s="1"/>
  <c r="AG69" i="16" s="1"/>
  <c r="AG72" i="16" s="1"/>
  <c r="AH69" i="16" s="1"/>
  <c r="AH72" i="16" s="1"/>
  <c r="AI69" i="16" s="1"/>
  <c r="AI72" i="16" s="1"/>
  <c r="AJ69" i="16" s="1"/>
  <c r="AJ72" i="16" s="1"/>
  <c r="AK69" i="16" s="1"/>
  <c r="AK72" i="16" s="1"/>
  <c r="AL69" i="16" s="1"/>
  <c r="AL72" i="16" s="1"/>
  <c r="AM69" i="16" s="1"/>
  <c r="AM72" i="16" s="1"/>
  <c r="AN69" i="16" s="1"/>
  <c r="AN72" i="16" s="1"/>
  <c r="AO69" i="16" s="1"/>
  <c r="AO72" i="16" s="1"/>
  <c r="AP69" i="16" s="1"/>
  <c r="AP72" i="16" s="1"/>
  <c r="AQ69" i="16" s="1"/>
  <c r="AQ72" i="16" s="1"/>
  <c r="AR69" i="16" s="1"/>
  <c r="AR72" i="16" s="1"/>
  <c r="AS69" i="16" s="1"/>
  <c r="AS72" i="16" s="1"/>
  <c r="AT69" i="16" s="1"/>
  <c r="AT72" i="16" s="1"/>
  <c r="AU69" i="16" s="1"/>
  <c r="AU72" i="16" s="1"/>
  <c r="AV69" i="16" s="1"/>
  <c r="AV72" i="16" s="1"/>
  <c r="AW69" i="16" s="1"/>
  <c r="AW72" i="16" s="1"/>
  <c r="AX69" i="16" s="1"/>
  <c r="AX72" i="16" s="1"/>
  <c r="AY69" i="16" s="1"/>
  <c r="AY72" i="16" s="1"/>
  <c r="AZ69" i="16" s="1"/>
  <c r="AZ72" i="16" s="1"/>
  <c r="BA69" i="16" s="1"/>
  <c r="BA72" i="16" s="1"/>
  <c r="BB69" i="16" s="1"/>
  <c r="BB72" i="16" s="1"/>
  <c r="BC69" i="16" s="1"/>
  <c r="BC72" i="16" s="1"/>
  <c r="BD69" i="16" s="1"/>
  <c r="BD72" i="16" s="1"/>
  <c r="BE69" i="16" s="1"/>
  <c r="BE72" i="16" s="1"/>
  <c r="BF69" i="16" s="1"/>
  <c r="BF72" i="16" s="1"/>
  <c r="BG69" i="16" s="1"/>
  <c r="BG72" i="16" s="1"/>
  <c r="BH69" i="16" s="1"/>
  <c r="BH72" i="16" s="1"/>
  <c r="BI69" i="16" s="1"/>
  <c r="BI72" i="16" s="1"/>
  <c r="BJ69" i="16" s="1"/>
  <c r="BJ72" i="16" s="1"/>
  <c r="BK69" i="16" s="1"/>
  <c r="BK72" i="16" s="1"/>
  <c r="BL69" i="16" s="1"/>
  <c r="BL72" i="16" s="1"/>
  <c r="BM69" i="16" s="1"/>
  <c r="BM72" i="16" s="1"/>
  <c r="BN69" i="16" s="1"/>
  <c r="BN72" i="16" s="1"/>
  <c r="BO69" i="16" s="1"/>
  <c r="BO72" i="16" s="1"/>
  <c r="BP69" i="16" s="1"/>
  <c r="BP72" i="16" s="1"/>
  <c r="BQ69" i="16" s="1"/>
  <c r="BQ72" i="16" s="1"/>
  <c r="BR69" i="16" s="1"/>
  <c r="BR72" i="16" s="1"/>
  <c r="BS69" i="16" s="1"/>
  <c r="BS72" i="16" s="1"/>
  <c r="BT69" i="16" s="1"/>
  <c r="BT72" i="16" s="1"/>
  <c r="BU69" i="16" s="1"/>
  <c r="BU72" i="16" s="1"/>
  <c r="BV69" i="16" s="1"/>
  <c r="BV72" i="16" s="1"/>
  <c r="BW69" i="16" s="1"/>
  <c r="BW72" i="16" s="1"/>
  <c r="BX69" i="16" s="1"/>
  <c r="BX72" i="16" s="1"/>
  <c r="BY69" i="16" s="1"/>
  <c r="BY72" i="16" s="1"/>
  <c r="BZ69" i="16" s="1"/>
  <c r="BZ72" i="16" s="1"/>
  <c r="CA69" i="16" s="1"/>
  <c r="CA72" i="16" s="1"/>
  <c r="CB69" i="16" s="1"/>
  <c r="CB72" i="16" s="1"/>
  <c r="CC69" i="16" s="1"/>
  <c r="CC72" i="16" s="1"/>
  <c r="CD69" i="16" s="1"/>
  <c r="CD72" i="16" s="1"/>
  <c r="CE69" i="16" s="1"/>
  <c r="CE72" i="16" s="1"/>
  <c r="CF69" i="16" s="1"/>
  <c r="CF72" i="16" s="1"/>
  <c r="CG69" i="16" s="1"/>
  <c r="CG72" i="16" s="1"/>
  <c r="CH69" i="16" s="1"/>
  <c r="CH72" i="16" s="1"/>
  <c r="CI69" i="16" s="1"/>
  <c r="CI72" i="16" s="1"/>
  <c r="CJ69" i="16" s="1"/>
  <c r="CJ72" i="16" s="1"/>
  <c r="CK69" i="16" s="1"/>
  <c r="CK72" i="16" s="1"/>
  <c r="CL69" i="16" s="1"/>
  <c r="CL72" i="16" s="1"/>
  <c r="CM69" i="16" s="1"/>
  <c r="CM72" i="16" s="1"/>
  <c r="CN69" i="16" s="1"/>
  <c r="CN72" i="16" s="1"/>
  <c r="CO69" i="16" s="1"/>
  <c r="CO72" i="16" s="1"/>
  <c r="CP69" i="16" s="1"/>
  <c r="CP72" i="16" s="1"/>
  <c r="CQ69" i="16" s="1"/>
  <c r="CQ72" i="16" s="1"/>
  <c r="CR69" i="16" s="1"/>
  <c r="CR72" i="16" s="1"/>
  <c r="CS69" i="16" s="1"/>
  <c r="CS72" i="16" s="1"/>
  <c r="CT69" i="16" s="1"/>
  <c r="CT72" i="16" s="1"/>
  <c r="CU69" i="16" s="1"/>
  <c r="CU72" i="16" s="1"/>
  <c r="CV69" i="16" s="1"/>
  <c r="CV72" i="16" s="1"/>
  <c r="CW69" i="16" s="1"/>
  <c r="CW72" i="16" s="1"/>
  <c r="CX69" i="16" s="1"/>
  <c r="CX72" i="16" s="1"/>
  <c r="CY69" i="16" s="1"/>
  <c r="CY72" i="16" s="1"/>
  <c r="CZ69" i="16" s="1"/>
  <c r="CZ72" i="16" s="1"/>
  <c r="DA69" i="16" s="1"/>
  <c r="DA72" i="16" s="1"/>
  <c r="DB69" i="16" s="1"/>
  <c r="DB72" i="16" s="1"/>
  <c r="DC69" i="16" s="1"/>
  <c r="DC72" i="16" s="1"/>
  <c r="DD69" i="16" s="1"/>
  <c r="DD72" i="16" s="1"/>
  <c r="DE69" i="16" s="1"/>
  <c r="DE72" i="16" s="1"/>
  <c r="DF69" i="16" s="1"/>
  <c r="DF72" i="16" s="1"/>
  <c r="DG69" i="16" s="1"/>
  <c r="DG72" i="16" s="1"/>
  <c r="DH69" i="16" s="1"/>
  <c r="DH72" i="16" s="1"/>
  <c r="DI69" i="16" s="1"/>
  <c r="DI72" i="16" s="1"/>
  <c r="DJ69" i="16" s="1"/>
  <c r="DJ72" i="16" s="1"/>
  <c r="DK69" i="16" s="1"/>
  <c r="DK72" i="16" s="1"/>
  <c r="DL69" i="16" s="1"/>
  <c r="DL72" i="16" s="1"/>
  <c r="DM69" i="16" s="1"/>
  <c r="DM72" i="16" s="1"/>
  <c r="DN69" i="16" s="1"/>
  <c r="DN72" i="16" s="1"/>
  <c r="DO69" i="16" s="1"/>
  <c r="DO72" i="16" s="1"/>
  <c r="DP69" i="16" s="1"/>
  <c r="DP72" i="16" s="1"/>
  <c r="DQ69" i="16" s="1"/>
  <c r="DQ72" i="16" s="1"/>
  <c r="DR69" i="16" s="1"/>
  <c r="DR72" i="16" s="1"/>
  <c r="DS69" i="16" s="1"/>
  <c r="DS72" i="16" s="1"/>
  <c r="DT69" i="16" s="1"/>
  <c r="DT72" i="16" s="1"/>
  <c r="DU69" i="16" s="1"/>
  <c r="DU72" i="16" s="1"/>
  <c r="DV69" i="16" s="1"/>
  <c r="DV72" i="16" s="1"/>
  <c r="DW69" i="16" s="1"/>
  <c r="DW72" i="16" s="1"/>
  <c r="K60" i="16"/>
  <c r="D140" i="21"/>
  <c r="F140" i="21" s="1"/>
  <c r="Q90" i="19"/>
  <c r="G140" i="21" s="1"/>
  <c r="Q95" i="19"/>
  <c r="G145" i="21" s="1"/>
  <c r="D145" i="21"/>
  <c r="F145" i="21" s="1"/>
  <c r="D141" i="21"/>
  <c r="F141" i="21" s="1"/>
  <c r="Q91" i="19"/>
  <c r="G141" i="21" s="1"/>
  <c r="Q87" i="19"/>
  <c r="G137" i="21" s="1"/>
  <c r="D137" i="21"/>
  <c r="F137" i="21" s="1"/>
  <c r="D133" i="21"/>
  <c r="F133" i="21" s="1"/>
  <c r="Q83" i="19"/>
  <c r="G133" i="21" s="1"/>
  <c r="D129" i="21"/>
  <c r="F129" i="21" s="1"/>
  <c r="Q79" i="19"/>
  <c r="G129" i="21" s="1"/>
  <c r="W118" i="26"/>
  <c r="W119" i="26"/>
  <c r="V90" i="26"/>
  <c r="N195" i="32"/>
  <c r="G60" i="1"/>
  <c r="G44" i="21" s="1"/>
  <c r="D44" i="21"/>
  <c r="F44" i="21" s="1"/>
  <c r="F265" i="32"/>
  <c r="G59" i="1"/>
  <c r="G43" i="21" s="1"/>
  <c r="D43" i="21"/>
  <c r="F43" i="21" s="1"/>
  <c r="F264" i="32"/>
  <c r="D41" i="21"/>
  <c r="F41" i="21" s="1"/>
  <c r="F262" i="32"/>
  <c r="G57" i="1"/>
  <c r="G41" i="21" s="1"/>
  <c r="Z118" i="17"/>
  <c r="Z119" i="17"/>
  <c r="S90" i="26"/>
  <c r="K195" i="32"/>
  <c r="R90" i="26"/>
  <c r="J195" i="32"/>
  <c r="F257" i="32"/>
  <c r="G52" i="1"/>
  <c r="G36" i="21" s="1"/>
  <c r="D36" i="21"/>
  <c r="F36" i="21" s="1"/>
  <c r="I195" i="32"/>
  <c r="Q90" i="26"/>
  <c r="S119" i="17"/>
  <c r="S118" i="17"/>
  <c r="AB79" i="1"/>
  <c r="AB77" i="1"/>
  <c r="G195" i="32"/>
  <c r="O90" i="26"/>
  <c r="O90" i="17"/>
  <c r="G756" i="32"/>
  <c r="D28" i="21"/>
  <c r="F28" i="21" s="1"/>
  <c r="F249" i="32"/>
  <c r="G44" i="1"/>
  <c r="G28" i="21" s="1"/>
  <c r="M90" i="17"/>
  <c r="E756" i="32"/>
  <c r="J93" i="17"/>
  <c r="J90" i="17" s="1"/>
  <c r="EQ125" i="5"/>
  <c r="EQ126" i="5"/>
  <c r="ER89" i="6"/>
  <c r="K70" i="6"/>
  <c r="N61" i="16"/>
  <c r="O61" i="16"/>
  <c r="P61" i="16"/>
  <c r="Q61" i="16"/>
  <c r="R61" i="16"/>
  <c r="S61" i="16"/>
  <c r="T61" i="16"/>
  <c r="U61" i="16"/>
  <c r="V61" i="16"/>
  <c r="W61" i="16"/>
  <c r="X61" i="16"/>
  <c r="Y61" i="16"/>
  <c r="Z61" i="16"/>
  <c r="AA61" i="16"/>
  <c r="AB61" i="16"/>
  <c r="AC61" i="16"/>
  <c r="AD61" i="16"/>
  <c r="AE61" i="16"/>
  <c r="AF61" i="16"/>
  <c r="AG61" i="16"/>
  <c r="AH61" i="16"/>
  <c r="AI61" i="16"/>
  <c r="AJ61" i="16"/>
  <c r="Q82" i="19"/>
  <c r="G132" i="21" s="1"/>
  <c r="D132" i="21"/>
  <c r="F132" i="21" s="1"/>
  <c r="AE119" i="17"/>
  <c r="AE118" i="17"/>
  <c r="AA119" i="17"/>
  <c r="AA118" i="17"/>
  <c r="G53" i="1"/>
  <c r="G37" i="21" s="1"/>
  <c r="D37" i="21"/>
  <c r="F37" i="21" s="1"/>
  <c r="F258" i="32"/>
  <c r="V119" i="17"/>
  <c r="V118" i="17"/>
  <c r="AD79" i="1"/>
  <c r="AD80" i="1" s="1"/>
  <c r="AD77" i="1"/>
  <c r="P90" i="26"/>
  <c r="H195" i="32"/>
  <c r="AB82" i="1"/>
  <c r="D32" i="21"/>
  <c r="F32" i="21" s="1"/>
  <c r="F253" i="32"/>
  <c r="G48" i="1"/>
  <c r="G32" i="21" s="1"/>
  <c r="Q118" i="17"/>
  <c r="Q119" i="17"/>
  <c r="N90" i="26"/>
  <c r="F195" i="32"/>
  <c r="F248" i="32"/>
  <c r="G43" i="1"/>
  <c r="G27" i="21" s="1"/>
  <c r="D27" i="21"/>
  <c r="E63" i="1"/>
  <c r="G66" i="1"/>
  <c r="E236" i="32" s="1"/>
  <c r="C952" i="32" s="1"/>
  <c r="I952" i="32" s="1"/>
  <c r="J95" i="5"/>
  <c r="G65" i="1"/>
  <c r="Q86" i="19"/>
  <c r="G136" i="21" s="1"/>
  <c r="D136" i="21"/>
  <c r="F136" i="21" s="1"/>
  <c r="I19" i="19"/>
  <c r="Q101" i="19" s="1"/>
  <c r="Q127" i="19" s="1"/>
  <c r="J19" i="19"/>
  <c r="M922" i="32"/>
  <c r="C923" i="32"/>
  <c r="M923" i="32" s="1"/>
  <c r="C939" i="32" s="1"/>
  <c r="C940" i="32" s="1"/>
  <c r="AI119" i="17"/>
  <c r="AI118" i="17"/>
  <c r="AD119" i="17"/>
  <c r="AD118" i="17"/>
  <c r="AF79" i="1"/>
  <c r="AF80" i="1" s="1"/>
  <c r="AF77" i="1"/>
  <c r="C170" i="32"/>
  <c r="N600" i="32"/>
  <c r="O600" i="32" s="1"/>
  <c r="E155" i="32"/>
  <c r="D143" i="21"/>
  <c r="F143" i="21" s="1"/>
  <c r="Q93" i="19"/>
  <c r="G143" i="21" s="1"/>
  <c r="D135" i="21"/>
  <c r="F135" i="21" s="1"/>
  <c r="Q85" i="19"/>
  <c r="G135" i="21" s="1"/>
  <c r="D131" i="21"/>
  <c r="F131" i="21" s="1"/>
  <c r="Q81" i="19"/>
  <c r="G131" i="21" s="1"/>
  <c r="J14" i="19"/>
  <c r="H19" i="19"/>
  <c r="C731" i="32"/>
  <c r="E716" i="32"/>
  <c r="X118" i="26"/>
  <c r="X119" i="26"/>
  <c r="G62" i="1"/>
  <c r="G46" i="21" s="1"/>
  <c r="D46" i="21"/>
  <c r="F46" i="21" s="1"/>
  <c r="F267" i="32"/>
  <c r="F266" i="32"/>
  <c r="G61" i="1"/>
  <c r="G45" i="21" s="1"/>
  <c r="D45" i="21"/>
  <c r="F45" i="21" s="1"/>
  <c r="AC119" i="17"/>
  <c r="AC118" i="17"/>
  <c r="G58" i="1"/>
  <c r="G42" i="21" s="1"/>
  <c r="D42" i="21"/>
  <c r="F42" i="21" s="1"/>
  <c r="F263" i="32"/>
  <c r="T90" i="26"/>
  <c r="L195" i="32"/>
  <c r="G55" i="1"/>
  <c r="G39" i="21" s="1"/>
  <c r="D39" i="21"/>
  <c r="F39" i="21" s="1"/>
  <c r="F260" i="32"/>
  <c r="G54" i="1"/>
  <c r="G38" i="21" s="1"/>
  <c r="D38" i="21"/>
  <c r="F38" i="21" s="1"/>
  <c r="F259" i="32"/>
  <c r="W119" i="17"/>
  <c r="W118" i="17"/>
  <c r="U119" i="17"/>
  <c r="U118" i="17"/>
  <c r="T118" i="17"/>
  <c r="T119" i="17"/>
  <c r="F254" i="32"/>
  <c r="G49" i="1"/>
  <c r="G33" i="21" s="1"/>
  <c r="D33" i="21"/>
  <c r="F33" i="21" s="1"/>
  <c r="R118" i="17"/>
  <c r="R119" i="17"/>
  <c r="P90" i="17"/>
  <c r="H756" i="32"/>
  <c r="G45" i="1"/>
  <c r="G29" i="21" s="1"/>
  <c r="D29" i="21"/>
  <c r="F29" i="21" s="1"/>
  <c r="F250" i="32"/>
  <c r="C575" i="32"/>
  <c r="C576" i="32" s="1"/>
  <c r="C144" i="32"/>
  <c r="C914" i="32"/>
  <c r="M914" i="32" s="1"/>
  <c r="D804" i="32"/>
  <c r="C707" i="32"/>
  <c r="C705" i="32"/>
  <c r="C708" i="32" s="1"/>
  <c r="G825" i="32" s="1"/>
  <c r="D144" i="21"/>
  <c r="F144" i="21" s="1"/>
  <c r="Q94" i="19"/>
  <c r="G144" i="21" s="1"/>
  <c r="Q78" i="19"/>
  <c r="G128" i="21" s="1"/>
  <c r="D128" i="21"/>
  <c r="O98" i="19"/>
  <c r="Q103" i="19" s="1"/>
  <c r="AG118" i="17"/>
  <c r="AG119" i="17"/>
  <c r="AH79" i="1"/>
  <c r="AH80" i="1" s="1"/>
  <c r="AH77" i="1"/>
  <c r="D40" i="21"/>
  <c r="F40" i="21" s="1"/>
  <c r="F261" i="32"/>
  <c r="G56" i="1"/>
  <c r="G40" i="21" s="1"/>
  <c r="R403" i="32"/>
  <c r="F403" i="32" s="1"/>
  <c r="X403" i="32"/>
  <c r="D147" i="21"/>
  <c r="F147" i="21" s="1"/>
  <c r="Q97" i="19"/>
  <c r="G147" i="21" s="1"/>
  <c r="D139" i="21"/>
  <c r="F139" i="21" s="1"/>
  <c r="Q89" i="19"/>
  <c r="G139" i="21" s="1"/>
  <c r="EQ100" i="5"/>
  <c r="J103" i="5"/>
  <c r="J100" i="5" s="1"/>
  <c r="I43" i="1"/>
  <c r="M98" i="26"/>
  <c r="M98" i="17"/>
  <c r="K828" i="32"/>
  <c r="I44" i="1"/>
  <c r="N98" i="17"/>
  <c r="O98" i="17"/>
  <c r="I45" i="1"/>
  <c r="N98" i="26"/>
  <c r="P98" i="17"/>
  <c r="I46" i="1"/>
  <c r="O98" i="26"/>
  <c r="Q98" i="17"/>
  <c r="Q95" i="17" s="1"/>
  <c r="I47" i="1"/>
  <c r="I48" i="1"/>
  <c r="R98" i="17"/>
  <c r="R95" i="17" s="1"/>
  <c r="P98" i="26"/>
  <c r="S98" i="17"/>
  <c r="S95" i="17" s="1"/>
  <c r="I49" i="1"/>
  <c r="I50" i="1"/>
  <c r="T98" i="17"/>
  <c r="T95" i="17" s="1"/>
  <c r="Q98" i="26"/>
  <c r="U98" i="17"/>
  <c r="U95" i="17" s="1"/>
  <c r="I51" i="1"/>
  <c r="I52" i="1"/>
  <c r="V98" i="17"/>
  <c r="V95" i="17" s="1"/>
  <c r="I53" i="1"/>
  <c r="R98" i="26"/>
  <c r="W98" i="17"/>
  <c r="W95" i="17" s="1"/>
  <c r="I54" i="1"/>
  <c r="X98" i="17"/>
  <c r="X95" i="17" s="1"/>
  <c r="S98" i="26"/>
  <c r="I55" i="1"/>
  <c r="Y98" i="17"/>
  <c r="Y95" i="17" s="1"/>
  <c r="Z98" i="17"/>
  <c r="Z95" i="17" s="1"/>
  <c r="I56" i="1"/>
  <c r="T98" i="26"/>
  <c r="AA98" i="17"/>
  <c r="AA95" i="17" s="1"/>
  <c r="I57" i="1"/>
  <c r="AB98" i="17"/>
  <c r="AB95" i="17" s="1"/>
  <c r="I58" i="1"/>
  <c r="AC98" i="17"/>
  <c r="AC95" i="17" s="1"/>
  <c r="I59" i="1"/>
  <c r="U98" i="26"/>
  <c r="I60" i="1"/>
  <c r="AD98" i="17"/>
  <c r="AD95" i="17" s="1"/>
  <c r="V98" i="26"/>
  <c r="I61" i="1"/>
  <c r="AE98" i="17"/>
  <c r="AE95" i="17" s="1"/>
  <c r="AF98" i="17"/>
  <c r="AF95" i="17" s="1"/>
  <c r="I62" i="1"/>
  <c r="AG98" i="17"/>
  <c r="AG95" i="17" s="1"/>
  <c r="W98" i="26"/>
  <c r="W95" i="26" s="1"/>
  <c r="AH98" i="17"/>
  <c r="AH95" i="17" s="1"/>
  <c r="AI98" i="17"/>
  <c r="AI95" i="17" s="1"/>
  <c r="X98" i="26"/>
  <c r="X95" i="26" s="1"/>
  <c r="D146" i="21"/>
  <c r="F146" i="21" s="1"/>
  <c r="Q96" i="19"/>
  <c r="G146" i="21" s="1"/>
  <c r="D142" i="21"/>
  <c r="F142" i="21" s="1"/>
  <c r="Q92" i="19"/>
  <c r="G142" i="21" s="1"/>
  <c r="D138" i="21"/>
  <c r="F138" i="21" s="1"/>
  <c r="Q88" i="19"/>
  <c r="G138" i="21" s="1"/>
  <c r="Q84" i="19"/>
  <c r="G134" i="21" s="1"/>
  <c r="D134" i="21"/>
  <c r="F134" i="21" s="1"/>
  <c r="D130" i="21"/>
  <c r="F130" i="21" s="1"/>
  <c r="Q80" i="19"/>
  <c r="G130" i="21" s="1"/>
  <c r="I20" i="19"/>
  <c r="J20" i="19"/>
  <c r="M907" i="32"/>
  <c r="AH119" i="17"/>
  <c r="AH118" i="17"/>
  <c r="AF119" i="17"/>
  <c r="AF118" i="17"/>
  <c r="AI79" i="1"/>
  <c r="AI80" i="1" s="1"/>
  <c r="AI77" i="1"/>
  <c r="U90" i="26"/>
  <c r="M195" i="32"/>
  <c r="AB119" i="17"/>
  <c r="AB118" i="17"/>
  <c r="AG79" i="1"/>
  <c r="AG80" i="1" s="1"/>
  <c r="AG77" i="1"/>
  <c r="Y118" i="17"/>
  <c r="Y119" i="17"/>
  <c r="X119" i="17"/>
  <c r="X118" i="17"/>
  <c r="AE79" i="1"/>
  <c r="AE80" i="1" s="1"/>
  <c r="AE77" i="1"/>
  <c r="G51" i="1"/>
  <c r="G35" i="21" s="1"/>
  <c r="D35" i="21"/>
  <c r="F35" i="21" s="1"/>
  <c r="F256" i="32"/>
  <c r="G50" i="1"/>
  <c r="G34" i="21" s="1"/>
  <c r="D34" i="21"/>
  <c r="F34" i="21" s="1"/>
  <c r="F255" i="32"/>
  <c r="AC79" i="1"/>
  <c r="AC80" i="1" s="1"/>
  <c r="AC77" i="1"/>
  <c r="G47" i="1"/>
  <c r="G31" i="21" s="1"/>
  <c r="D31" i="21"/>
  <c r="F31" i="21" s="1"/>
  <c r="F252" i="32"/>
  <c r="G46" i="1"/>
  <c r="G30" i="21" s="1"/>
  <c r="D30" i="21"/>
  <c r="F30" i="21" s="1"/>
  <c r="F251" i="32"/>
  <c r="F756" i="32"/>
  <c r="N90" i="17"/>
  <c r="E195" i="32"/>
  <c r="M90" i="26"/>
  <c r="J93" i="26"/>
  <c r="J90" i="26" s="1"/>
  <c r="ER71" i="6"/>
  <c r="G69" i="1" l="1"/>
  <c r="C51" i="21" s="1"/>
  <c r="N62" i="16"/>
  <c r="O59" i="16" s="1"/>
  <c r="O62" i="16" s="1"/>
  <c r="P59" i="16" s="1"/>
  <c r="P62" i="16" s="1"/>
  <c r="Q59" i="16" s="1"/>
  <c r="Q62" i="16" s="1"/>
  <c r="R59" i="16" s="1"/>
  <c r="R62" i="16" s="1"/>
  <c r="S59" i="16" s="1"/>
  <c r="S62" i="16" s="1"/>
  <c r="T59" i="16" s="1"/>
  <c r="T62" i="16" s="1"/>
  <c r="U59" i="16" s="1"/>
  <c r="U62" i="16" s="1"/>
  <c r="V59" i="16" s="1"/>
  <c r="V62" i="16" s="1"/>
  <c r="W59" i="16" s="1"/>
  <c r="W62" i="16" s="1"/>
  <c r="X59" i="16" s="1"/>
  <c r="X62" i="16" s="1"/>
  <c r="Y59" i="16" s="1"/>
  <c r="Y62" i="16" s="1"/>
  <c r="Z59" i="16" s="1"/>
  <c r="Z62" i="16" s="1"/>
  <c r="AA59" i="16" s="1"/>
  <c r="AA62" i="16" s="1"/>
  <c r="AB59" i="16" s="1"/>
  <c r="AB62" i="16" s="1"/>
  <c r="AC59" i="16" s="1"/>
  <c r="AC62" i="16" s="1"/>
  <c r="AD59" i="16" s="1"/>
  <c r="AD62" i="16" s="1"/>
  <c r="AE59" i="16" s="1"/>
  <c r="AE62" i="16" s="1"/>
  <c r="AF59" i="16" s="1"/>
  <c r="AF62" i="16" s="1"/>
  <c r="AG59" i="16" s="1"/>
  <c r="AG62" i="16" s="1"/>
  <c r="AH59" i="16" s="1"/>
  <c r="AH62" i="16" s="1"/>
  <c r="AI59" i="16" s="1"/>
  <c r="AI62" i="16" s="1"/>
  <c r="AJ59" i="16" s="1"/>
  <c r="AJ62" i="16" s="1"/>
  <c r="AK59" i="16" s="1"/>
  <c r="AK62" i="16" s="1"/>
  <c r="AL59" i="16" s="1"/>
  <c r="AL62" i="16" s="1"/>
  <c r="AM59" i="16" s="1"/>
  <c r="AM62" i="16" s="1"/>
  <c r="AN59" i="16" s="1"/>
  <c r="AN62" i="16" s="1"/>
  <c r="AO59" i="16" s="1"/>
  <c r="AO62" i="16" s="1"/>
  <c r="AP59" i="16" s="1"/>
  <c r="AP62" i="16" s="1"/>
  <c r="AQ59" i="16" s="1"/>
  <c r="AQ62" i="16" s="1"/>
  <c r="AR59" i="16" s="1"/>
  <c r="AR62" i="16" s="1"/>
  <c r="AS59" i="16" s="1"/>
  <c r="AS62" i="16" s="1"/>
  <c r="AT59" i="16" s="1"/>
  <c r="AT62" i="16" s="1"/>
  <c r="AU59" i="16" s="1"/>
  <c r="AU62" i="16" s="1"/>
  <c r="AV59" i="16" s="1"/>
  <c r="AV62" i="16" s="1"/>
  <c r="AW59" i="16" s="1"/>
  <c r="AW62" i="16" s="1"/>
  <c r="AX59" i="16" s="1"/>
  <c r="AX62" i="16" s="1"/>
  <c r="AY59" i="16" s="1"/>
  <c r="AY62" i="16" s="1"/>
  <c r="AZ59" i="16" s="1"/>
  <c r="AZ62" i="16" s="1"/>
  <c r="BA59" i="16" s="1"/>
  <c r="BA62" i="16" s="1"/>
  <c r="BB59" i="16" s="1"/>
  <c r="BB62" i="16" s="1"/>
  <c r="BC59" i="16" s="1"/>
  <c r="BC62" i="16" s="1"/>
  <c r="BD59" i="16" s="1"/>
  <c r="BD62" i="16" s="1"/>
  <c r="BE59" i="16" s="1"/>
  <c r="BE62" i="16" s="1"/>
  <c r="BF59" i="16" s="1"/>
  <c r="BF62" i="16" s="1"/>
  <c r="BG59" i="16" s="1"/>
  <c r="BG62" i="16" s="1"/>
  <c r="BH59" i="16" s="1"/>
  <c r="BH62" i="16" s="1"/>
  <c r="BI59" i="16" s="1"/>
  <c r="BI62" i="16" s="1"/>
  <c r="BJ59" i="16" s="1"/>
  <c r="BJ62" i="16" s="1"/>
  <c r="BK59" i="16" s="1"/>
  <c r="BK62" i="16" s="1"/>
  <c r="BL59" i="16" s="1"/>
  <c r="BL62" i="16" s="1"/>
  <c r="BM59" i="16" s="1"/>
  <c r="BM62" i="16" s="1"/>
  <c r="BN59" i="16" s="1"/>
  <c r="BN62" i="16" s="1"/>
  <c r="BO59" i="16" s="1"/>
  <c r="BO62" i="16" s="1"/>
  <c r="BP59" i="16" s="1"/>
  <c r="BP62" i="16" s="1"/>
  <c r="BQ59" i="16" s="1"/>
  <c r="BQ62" i="16" s="1"/>
  <c r="BR59" i="16" s="1"/>
  <c r="BR62" i="16" s="1"/>
  <c r="BS59" i="16" s="1"/>
  <c r="BS62" i="16" s="1"/>
  <c r="BT59" i="16" s="1"/>
  <c r="BT62" i="16" s="1"/>
  <c r="BU59" i="16" s="1"/>
  <c r="BU62" i="16" s="1"/>
  <c r="BV59" i="16" s="1"/>
  <c r="BV62" i="16" s="1"/>
  <c r="BW59" i="16" s="1"/>
  <c r="BW62" i="16" s="1"/>
  <c r="BX59" i="16" s="1"/>
  <c r="BX62" i="16" s="1"/>
  <c r="BY59" i="16" s="1"/>
  <c r="BY62" i="16" s="1"/>
  <c r="BZ59" i="16" s="1"/>
  <c r="BZ62" i="16" s="1"/>
  <c r="CA59" i="16" s="1"/>
  <c r="CA62" i="16" s="1"/>
  <c r="CB59" i="16" s="1"/>
  <c r="CB62" i="16" s="1"/>
  <c r="CC59" i="16" s="1"/>
  <c r="CC62" i="16" s="1"/>
  <c r="CD59" i="16" s="1"/>
  <c r="CD62" i="16" s="1"/>
  <c r="CE59" i="16" s="1"/>
  <c r="CE62" i="16" s="1"/>
  <c r="CF59" i="16" s="1"/>
  <c r="CF62" i="16" s="1"/>
  <c r="CG59" i="16" s="1"/>
  <c r="CG62" i="16" s="1"/>
  <c r="CH59" i="16" s="1"/>
  <c r="CH62" i="16" s="1"/>
  <c r="CI59" i="16" s="1"/>
  <c r="CI62" i="16" s="1"/>
  <c r="CJ59" i="16" s="1"/>
  <c r="CJ62" i="16" s="1"/>
  <c r="CK59" i="16" s="1"/>
  <c r="CK62" i="16" s="1"/>
  <c r="CL59" i="16" s="1"/>
  <c r="CL62" i="16" s="1"/>
  <c r="CM59" i="16" s="1"/>
  <c r="CM62" i="16" s="1"/>
  <c r="CN59" i="16" s="1"/>
  <c r="CN62" i="16" s="1"/>
  <c r="CO59" i="16" s="1"/>
  <c r="CO62" i="16" s="1"/>
  <c r="CP59" i="16" s="1"/>
  <c r="CP62" i="16" s="1"/>
  <c r="CQ59" i="16" s="1"/>
  <c r="CQ62" i="16" s="1"/>
  <c r="CR59" i="16" s="1"/>
  <c r="CR62" i="16" s="1"/>
  <c r="CS59" i="16" s="1"/>
  <c r="CS62" i="16" s="1"/>
  <c r="CT59" i="16" s="1"/>
  <c r="CT62" i="16" s="1"/>
  <c r="CU59" i="16" s="1"/>
  <c r="CU62" i="16" s="1"/>
  <c r="CV59" i="16" s="1"/>
  <c r="CV62" i="16" s="1"/>
  <c r="CW59" i="16" s="1"/>
  <c r="CW62" i="16" s="1"/>
  <c r="CX59" i="16" s="1"/>
  <c r="CX62" i="16" s="1"/>
  <c r="CY59" i="16" s="1"/>
  <c r="CY62" i="16" s="1"/>
  <c r="CZ59" i="16" s="1"/>
  <c r="CZ62" i="16" s="1"/>
  <c r="DA59" i="16" s="1"/>
  <c r="DA62" i="16" s="1"/>
  <c r="DB59" i="16" s="1"/>
  <c r="DB62" i="16" s="1"/>
  <c r="DC59" i="16" s="1"/>
  <c r="DC62" i="16" s="1"/>
  <c r="DD59" i="16" s="1"/>
  <c r="DD62" i="16" s="1"/>
  <c r="DE59" i="16" s="1"/>
  <c r="DE62" i="16" s="1"/>
  <c r="DF59" i="16" s="1"/>
  <c r="DF62" i="16" s="1"/>
  <c r="DG59" i="16" s="1"/>
  <c r="DG62" i="16" s="1"/>
  <c r="DH59" i="16" s="1"/>
  <c r="DH62" i="16" s="1"/>
  <c r="DI59" i="16" s="1"/>
  <c r="DI62" i="16" s="1"/>
  <c r="DJ59" i="16" s="1"/>
  <c r="DJ62" i="16" s="1"/>
  <c r="DK59" i="16" s="1"/>
  <c r="DK62" i="16" s="1"/>
  <c r="DL59" i="16" s="1"/>
  <c r="DL62" i="16" s="1"/>
  <c r="DM59" i="16" s="1"/>
  <c r="DM62" i="16" s="1"/>
  <c r="DN59" i="16" s="1"/>
  <c r="DN62" i="16" s="1"/>
  <c r="DO59" i="16" s="1"/>
  <c r="DO62" i="16" s="1"/>
  <c r="DP59" i="16" s="1"/>
  <c r="DP62" i="16" s="1"/>
  <c r="DQ59" i="16" s="1"/>
  <c r="DQ62" i="16" s="1"/>
  <c r="DR59" i="16" s="1"/>
  <c r="DR62" i="16" s="1"/>
  <c r="DS59" i="16" s="1"/>
  <c r="DS62" i="16" s="1"/>
  <c r="DT59" i="16" s="1"/>
  <c r="DT62" i="16" s="1"/>
  <c r="DU59" i="16" s="1"/>
  <c r="DU62" i="16" s="1"/>
  <c r="DV59" i="16" s="1"/>
  <c r="DV62" i="16" s="1"/>
  <c r="DW59" i="16" s="1"/>
  <c r="DW62" i="16" s="1"/>
  <c r="K61" i="16"/>
  <c r="J125" i="5"/>
  <c r="I125" i="5"/>
  <c r="G67" i="1" s="1"/>
  <c r="D236" i="32" s="1"/>
  <c r="O119" i="17"/>
  <c r="O118" i="17"/>
  <c r="Q119" i="26"/>
  <c r="Q118" i="26"/>
  <c r="D257" i="32"/>
  <c r="M257" i="32"/>
  <c r="L257" i="32"/>
  <c r="H257" i="32"/>
  <c r="S119" i="26"/>
  <c r="S118" i="26"/>
  <c r="M262" i="32"/>
  <c r="L262" i="32"/>
  <c r="H262" i="32"/>
  <c r="D262" i="32"/>
  <c r="N118" i="17"/>
  <c r="N119" i="17"/>
  <c r="AF120" i="17"/>
  <c r="AF121" i="17"/>
  <c r="AC121" i="17"/>
  <c r="AC120" i="17"/>
  <c r="Y121" i="17"/>
  <c r="Y120" i="17"/>
  <c r="V121" i="17"/>
  <c r="V120" i="17"/>
  <c r="S120" i="17"/>
  <c r="S121" i="17"/>
  <c r="H757" i="32"/>
  <c r="P95" i="17"/>
  <c r="E196" i="32"/>
  <c r="M95" i="26"/>
  <c r="J98" i="26"/>
  <c r="J95" i="26" s="1"/>
  <c r="N585" i="32"/>
  <c r="O585" i="32" s="1"/>
  <c r="C155" i="32"/>
  <c r="L252" i="32"/>
  <c r="M252" i="32"/>
  <c r="D252" i="32"/>
  <c r="H252" i="32"/>
  <c r="W120" i="26"/>
  <c r="W121" i="26"/>
  <c r="K44" i="21"/>
  <c r="M44" i="21" s="1"/>
  <c r="K60" i="1"/>
  <c r="N44" i="21" s="1"/>
  <c r="F291" i="32"/>
  <c r="DP44" i="19" s="1"/>
  <c r="T95" i="26"/>
  <c r="L196" i="32"/>
  <c r="W121" i="17"/>
  <c r="W120" i="17"/>
  <c r="K36" i="21"/>
  <c r="M36" i="21" s="1"/>
  <c r="F283" i="32"/>
  <c r="BT44" i="19" s="1"/>
  <c r="K52" i="1"/>
  <c r="N36" i="21" s="1"/>
  <c r="T121" i="17"/>
  <c r="T120" i="17"/>
  <c r="P95" i="26"/>
  <c r="H196" i="32"/>
  <c r="Q121" i="17"/>
  <c r="Q120" i="17"/>
  <c r="N95" i="26"/>
  <c r="F196" i="32"/>
  <c r="F275" i="32"/>
  <c r="X44" i="19" s="1"/>
  <c r="K44" i="1"/>
  <c r="N28" i="21" s="1"/>
  <c r="K28" i="21"/>
  <c r="M28" i="21" s="1"/>
  <c r="K43" i="1"/>
  <c r="N27" i="21" s="1"/>
  <c r="K27" i="21"/>
  <c r="F274" i="32"/>
  <c r="R44" i="19" s="1"/>
  <c r="I63" i="1"/>
  <c r="AF115" i="21"/>
  <c r="M403" i="32"/>
  <c r="H403" i="32"/>
  <c r="L403" i="32"/>
  <c r="D403" i="32"/>
  <c r="Q129" i="19"/>
  <c r="O99" i="19"/>
  <c r="Q100" i="19"/>
  <c r="Q126" i="19" s="1"/>
  <c r="C150" i="21"/>
  <c r="C49" i="21"/>
  <c r="C236" i="32"/>
  <c r="C963" i="32" s="1"/>
  <c r="F27" i="21"/>
  <c r="F47" i="21" s="1"/>
  <c r="D47" i="21"/>
  <c r="N118" i="26"/>
  <c r="N119" i="26"/>
  <c r="L253" i="32"/>
  <c r="D253" i="32"/>
  <c r="M253" i="32"/>
  <c r="H253" i="32"/>
  <c r="P118" i="26"/>
  <c r="P119" i="26"/>
  <c r="H249" i="32"/>
  <c r="L249" i="32"/>
  <c r="D249" i="32"/>
  <c r="M249" i="32"/>
  <c r="O118" i="26"/>
  <c r="O119" i="26"/>
  <c r="AB80" i="1"/>
  <c r="H265" i="32"/>
  <c r="L265" i="32"/>
  <c r="M265" i="32"/>
  <c r="D265" i="32"/>
  <c r="V118" i="26"/>
  <c r="V119" i="26"/>
  <c r="AH120" i="17"/>
  <c r="AH121" i="17"/>
  <c r="AD120" i="17"/>
  <c r="AD121" i="17"/>
  <c r="AA121" i="17"/>
  <c r="AA120" i="17"/>
  <c r="K38" i="21"/>
  <c r="M38" i="21" s="1"/>
  <c r="F285" i="32"/>
  <c r="CF44" i="19" s="1"/>
  <c r="K54" i="1"/>
  <c r="N38" i="21" s="1"/>
  <c r="Q95" i="26"/>
  <c r="I196" i="32"/>
  <c r="K47" i="1"/>
  <c r="N31" i="21" s="1"/>
  <c r="K31" i="21"/>
  <c r="M31" i="21" s="1"/>
  <c r="F278" i="32"/>
  <c r="AP44" i="19" s="1"/>
  <c r="N95" i="17"/>
  <c r="F757" i="32"/>
  <c r="EQ128" i="5"/>
  <c r="EQ127" i="5"/>
  <c r="M254" i="32"/>
  <c r="D254" i="32"/>
  <c r="H254" i="32"/>
  <c r="L254" i="32"/>
  <c r="C716" i="32"/>
  <c r="L256" i="32"/>
  <c r="M256" i="32"/>
  <c r="H256" i="32"/>
  <c r="D256" i="32"/>
  <c r="AE121" i="17"/>
  <c r="AE120" i="17"/>
  <c r="K42" i="21"/>
  <c r="M42" i="21" s="1"/>
  <c r="F289" i="32"/>
  <c r="DD44" i="19" s="1"/>
  <c r="K58" i="1"/>
  <c r="N42" i="21" s="1"/>
  <c r="K39" i="21"/>
  <c r="M39" i="21" s="1"/>
  <c r="F286" i="32"/>
  <c r="CL44" i="19" s="1"/>
  <c r="K55" i="1"/>
  <c r="N39" i="21" s="1"/>
  <c r="M119" i="26"/>
  <c r="M118" i="26"/>
  <c r="D251" i="32"/>
  <c r="L251" i="32"/>
  <c r="M251" i="32"/>
  <c r="H251" i="32"/>
  <c r="L255" i="32"/>
  <c r="M255" i="32"/>
  <c r="H255" i="32"/>
  <c r="D255" i="32"/>
  <c r="X121" i="26"/>
  <c r="X120" i="26"/>
  <c r="K61" i="1"/>
  <c r="N45" i="21" s="1"/>
  <c r="K45" i="21"/>
  <c r="M45" i="21" s="1"/>
  <c r="F292" i="32"/>
  <c r="DV44" i="19" s="1"/>
  <c r="AB120" i="17"/>
  <c r="AB121" i="17"/>
  <c r="S95" i="26"/>
  <c r="K196" i="32"/>
  <c r="R95" i="26"/>
  <c r="J196" i="32"/>
  <c r="F282" i="32"/>
  <c r="BN44" i="19" s="1"/>
  <c r="K51" i="1"/>
  <c r="N35" i="21" s="1"/>
  <c r="K35" i="21"/>
  <c r="M35" i="21" s="1"/>
  <c r="K34" i="21"/>
  <c r="M34" i="21" s="1"/>
  <c r="F281" i="32"/>
  <c r="BH44" i="19" s="1"/>
  <c r="K50" i="1"/>
  <c r="N34" i="21" s="1"/>
  <c r="R121" i="17"/>
  <c r="R120" i="17"/>
  <c r="O95" i="26"/>
  <c r="G196" i="32"/>
  <c r="K45" i="1"/>
  <c r="N29" i="21" s="1"/>
  <c r="K29" i="21"/>
  <c r="M29" i="21" s="1"/>
  <c r="F276" i="32"/>
  <c r="AD44" i="19" s="1"/>
  <c r="G804" i="32"/>
  <c r="D824" i="32"/>
  <c r="L260" i="32"/>
  <c r="M260" i="32"/>
  <c r="D260" i="32"/>
  <c r="H260" i="32"/>
  <c r="T118" i="26"/>
  <c r="T119" i="26"/>
  <c r="M266" i="32"/>
  <c r="D266" i="32"/>
  <c r="H266" i="32"/>
  <c r="L266" i="32"/>
  <c r="L258" i="32"/>
  <c r="M258" i="32"/>
  <c r="D258" i="32"/>
  <c r="H258" i="32"/>
  <c r="ER94" i="6"/>
  <c r="ER99" i="6" s="1"/>
  <c r="K89" i="6"/>
  <c r="N75" i="16"/>
  <c r="O75" i="16"/>
  <c r="P75" i="16"/>
  <c r="Q75" i="16"/>
  <c r="R75" i="16"/>
  <c r="S75" i="16"/>
  <c r="T75" i="16"/>
  <c r="U75" i="16"/>
  <c r="V75" i="16"/>
  <c r="W75" i="16"/>
  <c r="X75" i="16"/>
  <c r="Y75" i="16"/>
  <c r="Z75" i="16"/>
  <c r="AA75" i="16"/>
  <c r="AB75" i="16"/>
  <c r="AC75" i="16"/>
  <c r="AD75" i="16"/>
  <c r="AE75" i="16"/>
  <c r="AF75" i="16"/>
  <c r="AG75" i="16"/>
  <c r="AH75" i="16"/>
  <c r="AI75" i="16"/>
  <c r="AJ75" i="16"/>
  <c r="ER90" i="6"/>
  <c r="C756" i="32"/>
  <c r="R118" i="26"/>
  <c r="R119" i="26"/>
  <c r="L264" i="32"/>
  <c r="M264" i="32"/>
  <c r="D264" i="32"/>
  <c r="H264" i="32"/>
  <c r="C151" i="21"/>
  <c r="Q102" i="19"/>
  <c r="Q128" i="19" s="1"/>
  <c r="AG121" i="17"/>
  <c r="AG120" i="17"/>
  <c r="U95" i="26"/>
  <c r="M196" i="32"/>
  <c r="K40" i="21"/>
  <c r="M40" i="21" s="1"/>
  <c r="F287" i="32"/>
  <c r="CR44" i="19" s="1"/>
  <c r="K56" i="1"/>
  <c r="N40" i="21" s="1"/>
  <c r="C195" i="32"/>
  <c r="N625" i="32"/>
  <c r="O625" i="32" s="1"/>
  <c r="U119" i="26"/>
  <c r="U118" i="26"/>
  <c r="AI120" i="17"/>
  <c r="AI121" i="17"/>
  <c r="F293" i="32"/>
  <c r="EB44" i="19" s="1"/>
  <c r="K62" i="1"/>
  <c r="N46" i="21" s="1"/>
  <c r="K46" i="21"/>
  <c r="M46" i="21" s="1"/>
  <c r="N196" i="32"/>
  <c r="V95" i="26"/>
  <c r="K59" i="1"/>
  <c r="N43" i="21" s="1"/>
  <c r="K43" i="21"/>
  <c r="M43" i="21" s="1"/>
  <c r="F290" i="32"/>
  <c r="DJ44" i="19" s="1"/>
  <c r="K57" i="1"/>
  <c r="N41" i="21" s="1"/>
  <c r="K41" i="21"/>
  <c r="M41" i="21" s="1"/>
  <c r="F288" i="32"/>
  <c r="CX44" i="19" s="1"/>
  <c r="Z120" i="17"/>
  <c r="Z121" i="17"/>
  <c r="X120" i="17"/>
  <c r="X121" i="17"/>
  <c r="F284" i="32"/>
  <c r="BZ44" i="19" s="1"/>
  <c r="K53" i="1"/>
  <c r="N37" i="21" s="1"/>
  <c r="K37" i="21"/>
  <c r="M37" i="21" s="1"/>
  <c r="U121" i="17"/>
  <c r="U120" i="17"/>
  <c r="K49" i="1"/>
  <c r="N33" i="21" s="1"/>
  <c r="K33" i="21"/>
  <c r="M33" i="21" s="1"/>
  <c r="F280" i="32"/>
  <c r="BB44" i="19" s="1"/>
  <c r="K48" i="1"/>
  <c r="N32" i="21" s="1"/>
  <c r="K32" i="21"/>
  <c r="M32" i="21" s="1"/>
  <c r="F279" i="32"/>
  <c r="AV44" i="19" s="1"/>
  <c r="F277" i="32"/>
  <c r="AJ44" i="19" s="1"/>
  <c r="K46" i="1"/>
  <c r="N30" i="21" s="1"/>
  <c r="K30" i="21"/>
  <c r="M30" i="21" s="1"/>
  <c r="O95" i="17"/>
  <c r="G757" i="32"/>
  <c r="M95" i="17"/>
  <c r="E757" i="32"/>
  <c r="J98" i="17"/>
  <c r="J95" i="17" s="1"/>
  <c r="S403" i="32"/>
  <c r="P404" i="32" s="1"/>
  <c r="M261" i="32"/>
  <c r="D261" i="32"/>
  <c r="L261" i="32"/>
  <c r="H261" i="32"/>
  <c r="F128" i="21"/>
  <c r="F148" i="21" s="1"/>
  <c r="C152" i="21" s="1"/>
  <c r="D148" i="21"/>
  <c r="D250" i="32"/>
  <c r="M250" i="32"/>
  <c r="L250" i="32"/>
  <c r="H250" i="32"/>
  <c r="P118" i="17"/>
  <c r="P119" i="17"/>
  <c r="M259" i="32"/>
  <c r="D259" i="32"/>
  <c r="H259" i="32"/>
  <c r="L259" i="32"/>
  <c r="M263" i="32"/>
  <c r="L263" i="32"/>
  <c r="D263" i="32"/>
  <c r="H263" i="32"/>
  <c r="M267" i="32"/>
  <c r="H267" i="32"/>
  <c r="D267" i="32"/>
  <c r="L267" i="32"/>
  <c r="L248" i="32"/>
  <c r="M248" i="32"/>
  <c r="D248" i="32"/>
  <c r="H248" i="32"/>
  <c r="F268" i="32"/>
  <c r="I126" i="5"/>
  <c r="G68" i="1" s="1"/>
  <c r="J126" i="5"/>
  <c r="M119" i="17"/>
  <c r="M118" i="17"/>
  <c r="AJ28" i="19" l="1"/>
  <c r="AV28" i="19"/>
  <c r="BB28" i="19"/>
  <c r="BZ28" i="19"/>
  <c r="CX28" i="19"/>
  <c r="DJ28" i="19"/>
  <c r="EB28" i="19"/>
  <c r="CR28" i="19"/>
  <c r="AD28" i="19"/>
  <c r="BH28" i="19"/>
  <c r="BN28" i="19"/>
  <c r="DV28" i="19"/>
  <c r="CL28" i="19"/>
  <c r="DD28" i="19"/>
  <c r="AP28" i="19"/>
  <c r="CF28" i="19"/>
  <c r="BT28" i="19"/>
  <c r="DP28" i="19"/>
  <c r="R45" i="19"/>
  <c r="S42" i="19" s="1"/>
  <c r="S45" i="19" s="1"/>
  <c r="T42" i="19" s="1"/>
  <c r="T45" i="19" s="1"/>
  <c r="U42" i="19" s="1"/>
  <c r="U45" i="19" s="1"/>
  <c r="V42" i="19" s="1"/>
  <c r="V45" i="19" s="1"/>
  <c r="W42" i="19" s="1"/>
  <c r="W45" i="19" s="1"/>
  <c r="X42" i="19" s="1"/>
  <c r="R28" i="19"/>
  <c r="I963" i="32"/>
  <c r="C977" i="32"/>
  <c r="I977" i="32" s="1"/>
  <c r="M268" i="32"/>
  <c r="EQ64" i="19"/>
  <c r="ER100" i="6"/>
  <c r="K99" i="6"/>
  <c r="H274" i="32"/>
  <c r="M274" i="32"/>
  <c r="D274" i="32"/>
  <c r="F294" i="32"/>
  <c r="L274" i="32"/>
  <c r="T120" i="26"/>
  <c r="T121" i="26"/>
  <c r="M121" i="26"/>
  <c r="M120" i="26"/>
  <c r="C50" i="21"/>
  <c r="F236" i="32"/>
  <c r="BD62" i="1"/>
  <c r="V59" i="21"/>
  <c r="O121" i="17"/>
  <c r="O120" i="17"/>
  <c r="D279" i="32"/>
  <c r="H279" i="32"/>
  <c r="L279" i="32"/>
  <c r="M279" i="32"/>
  <c r="ER91" i="6"/>
  <c r="EQ113" i="5"/>
  <c r="K90" i="6"/>
  <c r="N76" i="16"/>
  <c r="N77" i="16" s="1"/>
  <c r="O74" i="16" s="1"/>
  <c r="O76" i="16"/>
  <c r="P76" i="16"/>
  <c r="Q76" i="16"/>
  <c r="R76" i="16"/>
  <c r="S76" i="16"/>
  <c r="T76" i="16"/>
  <c r="U76" i="16"/>
  <c r="V76" i="16"/>
  <c r="W76" i="16"/>
  <c r="X76" i="16"/>
  <c r="Y76" i="16"/>
  <c r="Z76" i="16"/>
  <c r="AA76" i="16"/>
  <c r="AB76" i="16"/>
  <c r="AC76" i="16"/>
  <c r="AD76" i="16"/>
  <c r="AE76" i="16"/>
  <c r="AF76" i="16"/>
  <c r="AG76" i="16"/>
  <c r="AH76" i="16"/>
  <c r="AI76" i="16"/>
  <c r="AJ76" i="16"/>
  <c r="D289" i="32"/>
  <c r="H289" i="32"/>
  <c r="L289" i="32"/>
  <c r="M289" i="32"/>
  <c r="H285" i="32"/>
  <c r="L285" i="32"/>
  <c r="M285" i="32"/>
  <c r="D285" i="32"/>
  <c r="I118" i="17"/>
  <c r="J118" i="17"/>
  <c r="D268" i="32"/>
  <c r="D269" i="32" s="1"/>
  <c r="C757" i="32"/>
  <c r="V121" i="26"/>
  <c r="V120" i="26"/>
  <c r="M293" i="32"/>
  <c r="D293" i="32"/>
  <c r="L293" i="32"/>
  <c r="H293" i="32"/>
  <c r="U121" i="26"/>
  <c r="U120" i="26"/>
  <c r="G824" i="32"/>
  <c r="I804" i="32"/>
  <c r="R121" i="26"/>
  <c r="R120" i="26"/>
  <c r="M286" i="32"/>
  <c r="H286" i="32"/>
  <c r="D286" i="32"/>
  <c r="L286" i="32"/>
  <c r="N120" i="17"/>
  <c r="N121" i="17"/>
  <c r="M27" i="21"/>
  <c r="M47" i="21" s="1"/>
  <c r="K47" i="21"/>
  <c r="L275" i="32"/>
  <c r="M275" i="32"/>
  <c r="H275" i="32"/>
  <c r="D275" i="32"/>
  <c r="D291" i="32"/>
  <c r="H291" i="32"/>
  <c r="L291" i="32"/>
  <c r="M291" i="32"/>
  <c r="N626" i="32"/>
  <c r="O626" i="32" s="1"/>
  <c r="C196" i="32"/>
  <c r="I119" i="17"/>
  <c r="J119" i="17"/>
  <c r="M120" i="17"/>
  <c r="M121" i="17"/>
  <c r="D284" i="32"/>
  <c r="H284" i="32"/>
  <c r="L284" i="32"/>
  <c r="M284" i="32"/>
  <c r="H290" i="32"/>
  <c r="L290" i="32"/>
  <c r="M290" i="32"/>
  <c r="D290" i="32"/>
  <c r="L287" i="32"/>
  <c r="H287" i="32"/>
  <c r="M287" i="32"/>
  <c r="D287" i="32"/>
  <c r="K94" i="6"/>
  <c r="ER95" i="6"/>
  <c r="K95" i="6" s="1"/>
  <c r="L292" i="32"/>
  <c r="D292" i="32"/>
  <c r="M292" i="32"/>
  <c r="H292" i="32"/>
  <c r="Q120" i="26"/>
  <c r="Q121" i="26"/>
  <c r="AH115" i="21"/>
  <c r="AI115" i="21"/>
  <c r="P120" i="17"/>
  <c r="P121" i="17"/>
  <c r="J118" i="26"/>
  <c r="I118" i="26"/>
  <c r="J127" i="5"/>
  <c r="I127" i="5"/>
  <c r="K67" i="1" s="1"/>
  <c r="D237" i="32" s="1"/>
  <c r="D278" i="32"/>
  <c r="H278" i="32"/>
  <c r="M278" i="32"/>
  <c r="L278" i="32"/>
  <c r="H268" i="32"/>
  <c r="I268" i="32"/>
  <c r="L268" i="32"/>
  <c r="R404" i="32"/>
  <c r="F404" i="32" s="1"/>
  <c r="M277" i="32"/>
  <c r="H277" i="32"/>
  <c r="D277" i="32"/>
  <c r="L277" i="32"/>
  <c r="H280" i="32"/>
  <c r="L280" i="32"/>
  <c r="M280" i="32"/>
  <c r="D280" i="32"/>
  <c r="L288" i="32"/>
  <c r="M288" i="32"/>
  <c r="D288" i="32"/>
  <c r="H288" i="32"/>
  <c r="K75" i="16"/>
  <c r="L276" i="32"/>
  <c r="D276" i="32"/>
  <c r="H276" i="32"/>
  <c r="M276" i="32"/>
  <c r="O121" i="26"/>
  <c r="O120" i="26"/>
  <c r="D281" i="32"/>
  <c r="L281" i="32"/>
  <c r="H281" i="32"/>
  <c r="M281" i="32"/>
  <c r="H282" i="32"/>
  <c r="M282" i="32"/>
  <c r="L282" i="32"/>
  <c r="D282" i="32"/>
  <c r="S121" i="26"/>
  <c r="S120" i="26"/>
  <c r="I119" i="26"/>
  <c r="J119" i="26"/>
  <c r="I128" i="5"/>
  <c r="K68" i="1" s="1"/>
  <c r="J128" i="5"/>
  <c r="K65" i="1"/>
  <c r="K66" i="1"/>
  <c r="E237" i="32" s="1"/>
  <c r="C953" i="32" s="1"/>
  <c r="I953" i="32" s="1"/>
  <c r="K69" i="1"/>
  <c r="J51" i="21" s="1"/>
  <c r="W9" i="21" s="1"/>
  <c r="N121" i="26"/>
  <c r="N120" i="26"/>
  <c r="P121" i="26"/>
  <c r="P120" i="26"/>
  <c r="M283" i="32"/>
  <c r="D283" i="32"/>
  <c r="H283" i="32"/>
  <c r="L283" i="32"/>
  <c r="J44" i="19" l="1"/>
  <c r="X28" i="19"/>
  <c r="X45" i="19"/>
  <c r="Y42" i="19" s="1"/>
  <c r="Y45" i="19" s="1"/>
  <c r="Z42" i="19" s="1"/>
  <c r="Z45" i="19" s="1"/>
  <c r="AA42" i="19" s="1"/>
  <c r="AA45" i="19" s="1"/>
  <c r="AB42" i="19" s="1"/>
  <c r="AB45" i="19" s="1"/>
  <c r="AC42" i="19" s="1"/>
  <c r="AC45" i="19" s="1"/>
  <c r="AD42" i="19" s="1"/>
  <c r="AD45" i="19" s="1"/>
  <c r="AE42" i="19" s="1"/>
  <c r="AE45" i="19" s="1"/>
  <c r="AF42" i="19" s="1"/>
  <c r="AF45" i="19" s="1"/>
  <c r="AG42" i="19" s="1"/>
  <c r="AG45" i="19" s="1"/>
  <c r="AH42" i="19" s="1"/>
  <c r="AH45" i="19" s="1"/>
  <c r="AI42" i="19" s="1"/>
  <c r="AI45" i="19" s="1"/>
  <c r="AJ42" i="19" s="1"/>
  <c r="AJ45" i="19" s="1"/>
  <c r="AK42" i="19" s="1"/>
  <c r="AK45" i="19" s="1"/>
  <c r="AL42" i="19" s="1"/>
  <c r="AL45" i="19" s="1"/>
  <c r="AM42" i="19" s="1"/>
  <c r="AM45" i="19" s="1"/>
  <c r="AN42" i="19" s="1"/>
  <c r="AN45" i="19" s="1"/>
  <c r="AO42" i="19" s="1"/>
  <c r="AO45" i="19" s="1"/>
  <c r="AP42" i="19" s="1"/>
  <c r="AP45" i="19" s="1"/>
  <c r="AQ42" i="19" s="1"/>
  <c r="AQ45" i="19" s="1"/>
  <c r="AR42" i="19" s="1"/>
  <c r="AR45" i="19" s="1"/>
  <c r="AS42" i="19" s="1"/>
  <c r="AS45" i="19" s="1"/>
  <c r="AT42" i="19" s="1"/>
  <c r="AT45" i="19" s="1"/>
  <c r="AU42" i="19" s="1"/>
  <c r="AU45" i="19" s="1"/>
  <c r="AV42" i="19" s="1"/>
  <c r="AV45" i="19" s="1"/>
  <c r="AW42" i="19" s="1"/>
  <c r="AW45" i="19" s="1"/>
  <c r="AX42" i="19" s="1"/>
  <c r="AX45" i="19" s="1"/>
  <c r="AY42" i="19" s="1"/>
  <c r="AY45" i="19" s="1"/>
  <c r="AZ42" i="19" s="1"/>
  <c r="AZ45" i="19" s="1"/>
  <c r="BA42" i="19" s="1"/>
  <c r="BA45" i="19" s="1"/>
  <c r="BB42" i="19" s="1"/>
  <c r="BB45" i="19" s="1"/>
  <c r="BC42" i="19" s="1"/>
  <c r="BC45" i="19" s="1"/>
  <c r="BD42" i="19" s="1"/>
  <c r="BD45" i="19" s="1"/>
  <c r="BE42" i="19" s="1"/>
  <c r="BE45" i="19" s="1"/>
  <c r="BF42" i="19" s="1"/>
  <c r="BF45" i="19" s="1"/>
  <c r="BG42" i="19" s="1"/>
  <c r="BG45" i="19" s="1"/>
  <c r="BH42" i="19" s="1"/>
  <c r="BH45" i="19" s="1"/>
  <c r="BI42" i="19" s="1"/>
  <c r="BI45" i="19" s="1"/>
  <c r="BJ42" i="19" s="1"/>
  <c r="BJ45" i="19" s="1"/>
  <c r="BK42" i="19" s="1"/>
  <c r="BK45" i="19" s="1"/>
  <c r="BL42" i="19" s="1"/>
  <c r="BL45" i="19" s="1"/>
  <c r="BM42" i="19" s="1"/>
  <c r="BM45" i="19" s="1"/>
  <c r="BN42" i="19" s="1"/>
  <c r="BN45" i="19" s="1"/>
  <c r="BO42" i="19" s="1"/>
  <c r="BO45" i="19" s="1"/>
  <c r="BP42" i="19" s="1"/>
  <c r="BP45" i="19" s="1"/>
  <c r="BQ42" i="19" s="1"/>
  <c r="BQ45" i="19" s="1"/>
  <c r="BR42" i="19" s="1"/>
  <c r="BR45" i="19" s="1"/>
  <c r="BS42" i="19" s="1"/>
  <c r="BS45" i="19" s="1"/>
  <c r="BT42" i="19" s="1"/>
  <c r="BT45" i="19" s="1"/>
  <c r="BU42" i="19" s="1"/>
  <c r="BU45" i="19" s="1"/>
  <c r="BV42" i="19" s="1"/>
  <c r="BV45" i="19" s="1"/>
  <c r="BW42" i="19" s="1"/>
  <c r="BW45" i="19" s="1"/>
  <c r="BX42" i="19" s="1"/>
  <c r="BX45" i="19" s="1"/>
  <c r="BY42" i="19" s="1"/>
  <c r="BY45" i="19" s="1"/>
  <c r="BZ42" i="19" s="1"/>
  <c r="BZ45" i="19" s="1"/>
  <c r="CA42" i="19" s="1"/>
  <c r="CA45" i="19" s="1"/>
  <c r="CB42" i="19" s="1"/>
  <c r="CB45" i="19" s="1"/>
  <c r="CC42" i="19" s="1"/>
  <c r="CC45" i="19" s="1"/>
  <c r="CD42" i="19" s="1"/>
  <c r="CD45" i="19" s="1"/>
  <c r="CE42" i="19" s="1"/>
  <c r="CE45" i="19" s="1"/>
  <c r="CF42" i="19" s="1"/>
  <c r="CF45" i="19" s="1"/>
  <c r="CG42" i="19" s="1"/>
  <c r="CG45" i="19" s="1"/>
  <c r="CH42" i="19" s="1"/>
  <c r="CH45" i="19" s="1"/>
  <c r="CI42" i="19" s="1"/>
  <c r="CI45" i="19" s="1"/>
  <c r="CJ42" i="19" s="1"/>
  <c r="CJ45" i="19" s="1"/>
  <c r="CK42" i="19" s="1"/>
  <c r="CK45" i="19" s="1"/>
  <c r="CL42" i="19" s="1"/>
  <c r="CL45" i="19" s="1"/>
  <c r="CM42" i="19" s="1"/>
  <c r="CM45" i="19" s="1"/>
  <c r="CN42" i="19" s="1"/>
  <c r="CN45" i="19" s="1"/>
  <c r="CO42" i="19" s="1"/>
  <c r="CO45" i="19" s="1"/>
  <c r="CP42" i="19" s="1"/>
  <c r="CP45" i="19" s="1"/>
  <c r="CQ42" i="19" s="1"/>
  <c r="CQ45" i="19" s="1"/>
  <c r="CR42" i="19" s="1"/>
  <c r="CR45" i="19" s="1"/>
  <c r="CS42" i="19" s="1"/>
  <c r="CS45" i="19" s="1"/>
  <c r="CT42" i="19" s="1"/>
  <c r="CT45" i="19" s="1"/>
  <c r="CU42" i="19" s="1"/>
  <c r="CU45" i="19" s="1"/>
  <c r="CV42" i="19" s="1"/>
  <c r="CV45" i="19" s="1"/>
  <c r="CW42" i="19" s="1"/>
  <c r="CW45" i="19" s="1"/>
  <c r="CX42" i="19" s="1"/>
  <c r="CX45" i="19" s="1"/>
  <c r="CY42" i="19" s="1"/>
  <c r="CY45" i="19" s="1"/>
  <c r="CZ42" i="19" s="1"/>
  <c r="CZ45" i="19" s="1"/>
  <c r="DA42" i="19" s="1"/>
  <c r="DA45" i="19" s="1"/>
  <c r="DB42" i="19" s="1"/>
  <c r="DB45" i="19" s="1"/>
  <c r="DC42" i="19" s="1"/>
  <c r="DC45" i="19" s="1"/>
  <c r="DD42" i="19" s="1"/>
  <c r="DD45" i="19" s="1"/>
  <c r="DE42" i="19" s="1"/>
  <c r="DE45" i="19" s="1"/>
  <c r="DF42" i="19" s="1"/>
  <c r="DF45" i="19" s="1"/>
  <c r="DG42" i="19" s="1"/>
  <c r="DG45" i="19" s="1"/>
  <c r="DH42" i="19" s="1"/>
  <c r="DH45" i="19" s="1"/>
  <c r="DI42" i="19" s="1"/>
  <c r="DI45" i="19" s="1"/>
  <c r="DJ42" i="19" s="1"/>
  <c r="DJ45" i="19" s="1"/>
  <c r="DK42" i="19" s="1"/>
  <c r="DK45" i="19" s="1"/>
  <c r="DL42" i="19" s="1"/>
  <c r="DL45" i="19" s="1"/>
  <c r="DM42" i="19" s="1"/>
  <c r="DM45" i="19" s="1"/>
  <c r="DN42" i="19" s="1"/>
  <c r="DN45" i="19" s="1"/>
  <c r="DO42" i="19" s="1"/>
  <c r="DO45" i="19" s="1"/>
  <c r="DP42" i="19" s="1"/>
  <c r="DP45" i="19" s="1"/>
  <c r="DQ42" i="19" s="1"/>
  <c r="DQ45" i="19" s="1"/>
  <c r="DR42" i="19" s="1"/>
  <c r="DR45" i="19" s="1"/>
  <c r="DS42" i="19" s="1"/>
  <c r="DS45" i="19" s="1"/>
  <c r="DT42" i="19" s="1"/>
  <c r="DT45" i="19" s="1"/>
  <c r="DU42" i="19" s="1"/>
  <c r="DU45" i="19" s="1"/>
  <c r="DV42" i="19" s="1"/>
  <c r="DV45" i="19" s="1"/>
  <c r="DW42" i="19" s="1"/>
  <c r="DW45" i="19" s="1"/>
  <c r="DX42" i="19" s="1"/>
  <c r="DX45" i="19" s="1"/>
  <c r="DY42" i="19" s="1"/>
  <c r="DY45" i="19" s="1"/>
  <c r="DZ42" i="19" s="1"/>
  <c r="DZ45" i="19" s="1"/>
  <c r="EA42" i="19" s="1"/>
  <c r="EA45" i="19" s="1"/>
  <c r="EB42" i="19" s="1"/>
  <c r="EB45" i="19" s="1"/>
  <c r="EC42" i="19" s="1"/>
  <c r="EC45" i="19" s="1"/>
  <c r="ED42" i="19" s="1"/>
  <c r="ED45" i="19" s="1"/>
  <c r="EE42" i="19" s="1"/>
  <c r="EE45" i="19" s="1"/>
  <c r="EF42" i="19" s="1"/>
  <c r="EF45" i="19" s="1"/>
  <c r="EG42" i="19" s="1"/>
  <c r="EG45" i="19" s="1"/>
  <c r="EH42" i="19" s="1"/>
  <c r="EH45" i="19" s="1"/>
  <c r="EI42" i="19" s="1"/>
  <c r="EI45" i="19" s="1"/>
  <c r="EJ42" i="19" s="1"/>
  <c r="EJ45" i="19" s="1"/>
  <c r="EK42" i="19" s="1"/>
  <c r="EK45" i="19" s="1"/>
  <c r="EL42" i="19" s="1"/>
  <c r="EL45" i="19" s="1"/>
  <c r="EM42" i="19" s="1"/>
  <c r="EM45" i="19" s="1"/>
  <c r="EN42" i="19" s="1"/>
  <c r="EN45" i="19" s="1"/>
  <c r="EO42" i="19" s="1"/>
  <c r="EO45" i="19" s="1"/>
  <c r="EP42" i="19" s="1"/>
  <c r="EP45" i="19" s="1"/>
  <c r="EQ42" i="19" s="1"/>
  <c r="EQ45" i="19" s="1"/>
  <c r="G826" i="32"/>
  <c r="O77" i="16"/>
  <c r="P74" i="16" s="1"/>
  <c r="P77" i="16" s="1"/>
  <c r="Q74" i="16" s="1"/>
  <c r="Q77" i="16" s="1"/>
  <c r="R74" i="16" s="1"/>
  <c r="R77" i="16" s="1"/>
  <c r="S74" i="16" s="1"/>
  <c r="S77" i="16" s="1"/>
  <c r="T74" i="16" s="1"/>
  <c r="T77" i="16" s="1"/>
  <c r="U74" i="16" s="1"/>
  <c r="U77" i="16" s="1"/>
  <c r="V74" i="16" s="1"/>
  <c r="V77" i="16" s="1"/>
  <c r="W74" i="16" s="1"/>
  <c r="W77" i="16" s="1"/>
  <c r="X74" i="16" s="1"/>
  <c r="X77" i="16" s="1"/>
  <c r="Y74" i="16" s="1"/>
  <c r="Y77" i="16" s="1"/>
  <c r="Z74" i="16" s="1"/>
  <c r="Z77" i="16" s="1"/>
  <c r="AA74" i="16" s="1"/>
  <c r="AA77" i="16" s="1"/>
  <c r="AB74" i="16" s="1"/>
  <c r="AB77" i="16" s="1"/>
  <c r="AC74" i="16" s="1"/>
  <c r="AC77" i="16" s="1"/>
  <c r="AD74" i="16" s="1"/>
  <c r="AD77" i="16" s="1"/>
  <c r="AE74" i="16" s="1"/>
  <c r="AE77" i="16" s="1"/>
  <c r="AF74" i="16" s="1"/>
  <c r="AF77" i="16" s="1"/>
  <c r="AG74" i="16" s="1"/>
  <c r="AG77" i="16" s="1"/>
  <c r="AH74" i="16" s="1"/>
  <c r="AH77" i="16" s="1"/>
  <c r="AI74" i="16" s="1"/>
  <c r="AI77" i="16" s="1"/>
  <c r="AJ74" i="16" s="1"/>
  <c r="AJ77" i="16" s="1"/>
  <c r="AK74" i="16" s="1"/>
  <c r="AK77" i="16" s="1"/>
  <c r="AL74" i="16" s="1"/>
  <c r="AL77" i="16" s="1"/>
  <c r="AM74" i="16" s="1"/>
  <c r="AM77" i="16" s="1"/>
  <c r="AN74" i="16" s="1"/>
  <c r="AN77" i="16" s="1"/>
  <c r="AO74" i="16" s="1"/>
  <c r="AO77" i="16" s="1"/>
  <c r="AP74" i="16" s="1"/>
  <c r="AP77" i="16" s="1"/>
  <c r="AQ74" i="16" s="1"/>
  <c r="AQ77" i="16" s="1"/>
  <c r="AR74" i="16" s="1"/>
  <c r="AR77" i="16" s="1"/>
  <c r="AS74" i="16" s="1"/>
  <c r="AS77" i="16" s="1"/>
  <c r="AT74" i="16" s="1"/>
  <c r="AT77" i="16" s="1"/>
  <c r="AU74" i="16" s="1"/>
  <c r="AU77" i="16" s="1"/>
  <c r="AV74" i="16" s="1"/>
  <c r="AV77" i="16" s="1"/>
  <c r="AW74" i="16" s="1"/>
  <c r="AW77" i="16" s="1"/>
  <c r="AX74" i="16" s="1"/>
  <c r="AX77" i="16" s="1"/>
  <c r="AY74" i="16" s="1"/>
  <c r="AY77" i="16" s="1"/>
  <c r="AZ74" i="16" s="1"/>
  <c r="AZ77" i="16" s="1"/>
  <c r="BA74" i="16" s="1"/>
  <c r="BA77" i="16" s="1"/>
  <c r="BB74" i="16" s="1"/>
  <c r="BB77" i="16" s="1"/>
  <c r="BC74" i="16" s="1"/>
  <c r="BC77" i="16" s="1"/>
  <c r="BD74" i="16" s="1"/>
  <c r="BD77" i="16" s="1"/>
  <c r="BE74" i="16" s="1"/>
  <c r="BE77" i="16" s="1"/>
  <c r="BF74" i="16" s="1"/>
  <c r="BF77" i="16" s="1"/>
  <c r="BG74" i="16" s="1"/>
  <c r="BG77" i="16" s="1"/>
  <c r="BH74" i="16" s="1"/>
  <c r="BH77" i="16" s="1"/>
  <c r="BI74" i="16" s="1"/>
  <c r="BI77" i="16" s="1"/>
  <c r="BJ74" i="16" s="1"/>
  <c r="BJ77" i="16" s="1"/>
  <c r="BK74" i="16" s="1"/>
  <c r="BK77" i="16" s="1"/>
  <c r="BL74" i="16" s="1"/>
  <c r="BL77" i="16" s="1"/>
  <c r="BM74" i="16" s="1"/>
  <c r="BM77" i="16" s="1"/>
  <c r="BN74" i="16" s="1"/>
  <c r="BN77" i="16" s="1"/>
  <c r="BO74" i="16" s="1"/>
  <c r="BO77" i="16" s="1"/>
  <c r="BP74" i="16" s="1"/>
  <c r="BP77" i="16" s="1"/>
  <c r="BQ74" i="16" s="1"/>
  <c r="BQ77" i="16" s="1"/>
  <c r="BR74" i="16" s="1"/>
  <c r="BR77" i="16" s="1"/>
  <c r="BS74" i="16" s="1"/>
  <c r="BS77" i="16" s="1"/>
  <c r="BT74" i="16" s="1"/>
  <c r="BT77" i="16" s="1"/>
  <c r="BU74" i="16" s="1"/>
  <c r="BU77" i="16" s="1"/>
  <c r="BV74" i="16" s="1"/>
  <c r="BV77" i="16" s="1"/>
  <c r="BW74" i="16" s="1"/>
  <c r="BW77" i="16" s="1"/>
  <c r="BX74" i="16" s="1"/>
  <c r="BX77" i="16" s="1"/>
  <c r="BY74" i="16" s="1"/>
  <c r="BY77" i="16" s="1"/>
  <c r="BZ74" i="16" s="1"/>
  <c r="BZ77" i="16" s="1"/>
  <c r="CA74" i="16" s="1"/>
  <c r="CA77" i="16" s="1"/>
  <c r="CB74" i="16" s="1"/>
  <c r="CB77" i="16" s="1"/>
  <c r="CC74" i="16" s="1"/>
  <c r="CC77" i="16" s="1"/>
  <c r="CD74" i="16" s="1"/>
  <c r="CD77" i="16" s="1"/>
  <c r="CE74" i="16" s="1"/>
  <c r="CE77" i="16" s="1"/>
  <c r="CF74" i="16" s="1"/>
  <c r="CF77" i="16" s="1"/>
  <c r="CG74" i="16" s="1"/>
  <c r="CG77" i="16" s="1"/>
  <c r="CH74" i="16" s="1"/>
  <c r="CH77" i="16" s="1"/>
  <c r="CI74" i="16" s="1"/>
  <c r="CI77" i="16" s="1"/>
  <c r="CJ74" i="16" s="1"/>
  <c r="CJ77" i="16" s="1"/>
  <c r="CK74" i="16" s="1"/>
  <c r="CK77" i="16" s="1"/>
  <c r="CL74" i="16" s="1"/>
  <c r="CL77" i="16" s="1"/>
  <c r="CM74" i="16" s="1"/>
  <c r="CM77" i="16" s="1"/>
  <c r="CN74" i="16" s="1"/>
  <c r="CN77" i="16" s="1"/>
  <c r="CO74" i="16" s="1"/>
  <c r="CO77" i="16" s="1"/>
  <c r="CP74" i="16" s="1"/>
  <c r="CP77" i="16" s="1"/>
  <c r="CQ74" i="16" s="1"/>
  <c r="CQ77" i="16" s="1"/>
  <c r="CR74" i="16" s="1"/>
  <c r="CR77" i="16" s="1"/>
  <c r="CS74" i="16" s="1"/>
  <c r="CS77" i="16" s="1"/>
  <c r="CT74" i="16" s="1"/>
  <c r="CT77" i="16" s="1"/>
  <c r="CU74" i="16" s="1"/>
  <c r="CU77" i="16" s="1"/>
  <c r="CV74" i="16" s="1"/>
  <c r="CV77" i="16" s="1"/>
  <c r="CW74" i="16" s="1"/>
  <c r="CW77" i="16" s="1"/>
  <c r="CX74" i="16" s="1"/>
  <c r="CX77" i="16" s="1"/>
  <c r="CY74" i="16" s="1"/>
  <c r="CY77" i="16" s="1"/>
  <c r="CZ74" i="16" s="1"/>
  <c r="CZ77" i="16" s="1"/>
  <c r="DA74" i="16" s="1"/>
  <c r="DA77" i="16" s="1"/>
  <c r="DB74" i="16" s="1"/>
  <c r="DB77" i="16" s="1"/>
  <c r="DC74" i="16" s="1"/>
  <c r="DC77" i="16" s="1"/>
  <c r="DD74" i="16" s="1"/>
  <c r="DD77" i="16" s="1"/>
  <c r="DE74" i="16" s="1"/>
  <c r="DE77" i="16" s="1"/>
  <c r="DF74" i="16" s="1"/>
  <c r="DF77" i="16" s="1"/>
  <c r="DG74" i="16" s="1"/>
  <c r="DG77" i="16" s="1"/>
  <c r="DH74" i="16" s="1"/>
  <c r="DH77" i="16" s="1"/>
  <c r="DI74" i="16" s="1"/>
  <c r="DI77" i="16" s="1"/>
  <c r="DJ74" i="16" s="1"/>
  <c r="DJ77" i="16" s="1"/>
  <c r="DK74" i="16" s="1"/>
  <c r="DK77" i="16" s="1"/>
  <c r="DL74" i="16" s="1"/>
  <c r="DL77" i="16" s="1"/>
  <c r="DM74" i="16" s="1"/>
  <c r="DM77" i="16" s="1"/>
  <c r="DN74" i="16" s="1"/>
  <c r="DN77" i="16" s="1"/>
  <c r="DO74" i="16" s="1"/>
  <c r="DO77" i="16" s="1"/>
  <c r="DP74" i="16" s="1"/>
  <c r="DP77" i="16" s="1"/>
  <c r="DQ74" i="16" s="1"/>
  <c r="DQ77" i="16" s="1"/>
  <c r="DR74" i="16" s="1"/>
  <c r="DR77" i="16" s="1"/>
  <c r="DS74" i="16" s="1"/>
  <c r="DS77" i="16" s="1"/>
  <c r="DT74" i="16" s="1"/>
  <c r="DT77" i="16" s="1"/>
  <c r="DU74" i="16" s="1"/>
  <c r="DU77" i="16" s="1"/>
  <c r="DV74" i="16" s="1"/>
  <c r="DV77" i="16" s="1"/>
  <c r="DW74" i="16" s="1"/>
  <c r="DW77" i="16" s="1"/>
  <c r="ER96" i="6"/>
  <c r="S404" i="32"/>
  <c r="P405" i="32" s="1"/>
  <c r="R405" i="32" s="1"/>
  <c r="F405" i="32" s="1"/>
  <c r="I121" i="17"/>
  <c r="J121" i="17"/>
  <c r="J120" i="17"/>
  <c r="I120" i="17"/>
  <c r="BD71" i="1"/>
  <c r="BD81" i="1"/>
  <c r="AN43" i="1" s="1"/>
  <c r="I120" i="26"/>
  <c r="J120" i="26"/>
  <c r="L294" i="32"/>
  <c r="ER101" i="6"/>
  <c r="K100" i="6"/>
  <c r="AP95" i="1"/>
  <c r="AP96" i="1"/>
  <c r="AQ96" i="1" s="1"/>
  <c r="AR96" i="1" s="1"/>
  <c r="AP97" i="1"/>
  <c r="AQ97" i="1" s="1"/>
  <c r="AR97" i="1" s="1"/>
  <c r="AP98" i="1"/>
  <c r="AQ98" i="1" s="1"/>
  <c r="AR98" i="1" s="1"/>
  <c r="AP99" i="1"/>
  <c r="AQ99" i="1" s="1"/>
  <c r="AR99" i="1" s="1"/>
  <c r="AP100" i="1"/>
  <c r="AQ100" i="1" s="1"/>
  <c r="AR100" i="1" s="1"/>
  <c r="AP101" i="1"/>
  <c r="AQ101" i="1" s="1"/>
  <c r="AR101" i="1" s="1"/>
  <c r="AP102" i="1"/>
  <c r="AQ102" i="1" s="1"/>
  <c r="AR102" i="1" s="1"/>
  <c r="AP103" i="1"/>
  <c r="AQ103" i="1" s="1"/>
  <c r="AR103" i="1" s="1"/>
  <c r="AP104" i="1"/>
  <c r="AQ104" i="1" s="1"/>
  <c r="AR104" i="1" s="1"/>
  <c r="AP105" i="1"/>
  <c r="AQ105" i="1" s="1"/>
  <c r="AR105" i="1" s="1"/>
  <c r="AP106" i="1"/>
  <c r="AQ106" i="1" s="1"/>
  <c r="AR106" i="1" s="1"/>
  <c r="AP107" i="1"/>
  <c r="AQ107" i="1" s="1"/>
  <c r="AR107" i="1" s="1"/>
  <c r="AP108" i="1"/>
  <c r="AQ108" i="1" s="1"/>
  <c r="AR108" i="1" s="1"/>
  <c r="AP109" i="1"/>
  <c r="AQ109" i="1" s="1"/>
  <c r="AR109" i="1" s="1"/>
  <c r="AP110" i="1"/>
  <c r="AQ110" i="1" s="1"/>
  <c r="AR110" i="1" s="1"/>
  <c r="AP111" i="1"/>
  <c r="AQ111" i="1" s="1"/>
  <c r="AR111" i="1" s="1"/>
  <c r="AP112" i="1"/>
  <c r="AQ112" i="1" s="1"/>
  <c r="AR112" i="1" s="1"/>
  <c r="AP113" i="1"/>
  <c r="AQ113" i="1" s="1"/>
  <c r="AR113" i="1" s="1"/>
  <c r="AP114" i="1"/>
  <c r="AQ114" i="1" s="1"/>
  <c r="AR114" i="1" s="1"/>
  <c r="J804" i="32"/>
  <c r="K804" i="32" s="1"/>
  <c r="EQ110" i="5"/>
  <c r="EQ49" i="19"/>
  <c r="J113" i="5"/>
  <c r="J94" i="6" s="1"/>
  <c r="M828" i="32"/>
  <c r="M108" i="26"/>
  <c r="I73" i="1"/>
  <c r="M108" i="17"/>
  <c r="N108" i="17"/>
  <c r="I74" i="1"/>
  <c r="O108" i="17"/>
  <c r="N108" i="26"/>
  <c r="I75" i="1"/>
  <c r="P108" i="17"/>
  <c r="I76" i="1"/>
  <c r="O108" i="26"/>
  <c r="I77" i="1"/>
  <c r="Q108" i="17"/>
  <c r="Q105" i="17" s="1"/>
  <c r="R108" i="17"/>
  <c r="R105" i="17" s="1"/>
  <c r="I78" i="1"/>
  <c r="S108" i="17"/>
  <c r="S105" i="17" s="1"/>
  <c r="I79" i="1"/>
  <c r="P108" i="26"/>
  <c r="T108" i="17"/>
  <c r="T105" i="17" s="1"/>
  <c r="I80" i="1"/>
  <c r="U108" i="17"/>
  <c r="U105" i="17" s="1"/>
  <c r="Q108" i="26"/>
  <c r="I81" i="1"/>
  <c r="V108" i="17"/>
  <c r="V105" i="17" s="1"/>
  <c r="I82" i="1"/>
  <c r="I83" i="1"/>
  <c r="R108" i="26"/>
  <c r="W108" i="17"/>
  <c r="W105" i="17" s="1"/>
  <c r="I84" i="1"/>
  <c r="X108" i="17"/>
  <c r="X105" i="17" s="1"/>
  <c r="Y108" i="17"/>
  <c r="Y105" i="17" s="1"/>
  <c r="S108" i="26"/>
  <c r="I85" i="1"/>
  <c r="Z108" i="17"/>
  <c r="Z105" i="17" s="1"/>
  <c r="I86" i="1"/>
  <c r="AA108" i="17"/>
  <c r="AA105" i="17" s="1"/>
  <c r="T108" i="26"/>
  <c r="I87" i="1"/>
  <c r="I88" i="1"/>
  <c r="AB108" i="17"/>
  <c r="AB105" i="17" s="1"/>
  <c r="AC108" i="17"/>
  <c r="AC105" i="17" s="1"/>
  <c r="I89" i="1"/>
  <c r="U108" i="26"/>
  <c r="I90" i="1"/>
  <c r="AD108" i="17"/>
  <c r="AD105" i="17" s="1"/>
  <c r="AE108" i="17"/>
  <c r="AE105" i="17" s="1"/>
  <c r="I91" i="1"/>
  <c r="V108" i="26"/>
  <c r="AF108" i="17"/>
  <c r="AF105" i="17" s="1"/>
  <c r="I92" i="1"/>
  <c r="W108" i="26"/>
  <c r="W105" i="26" s="1"/>
  <c r="AG108" i="17"/>
  <c r="AG105" i="17" s="1"/>
  <c r="AH108" i="17"/>
  <c r="AH105" i="17" s="1"/>
  <c r="AI108" i="17"/>
  <c r="AI105" i="17" s="1"/>
  <c r="X108" i="26"/>
  <c r="X105" i="26" s="1"/>
  <c r="EQ286" i="11"/>
  <c r="M294" i="32"/>
  <c r="J49" i="21"/>
  <c r="W7" i="21" s="1"/>
  <c r="C237" i="32"/>
  <c r="C964" i="32" s="1"/>
  <c r="I113" i="5"/>
  <c r="K76" i="16"/>
  <c r="J121" i="26"/>
  <c r="I121" i="26"/>
  <c r="I294" i="32"/>
  <c r="H294" i="32"/>
  <c r="EQ66" i="19"/>
  <c r="EQ67" i="19"/>
  <c r="J64" i="19"/>
  <c r="V60" i="21"/>
  <c r="J50" i="21"/>
  <c r="W8" i="21" s="1"/>
  <c r="F237" i="32"/>
  <c r="BD63" i="1"/>
  <c r="M404" i="32"/>
  <c r="AF116" i="21"/>
  <c r="L404" i="32"/>
  <c r="D404" i="32"/>
  <c r="H404" i="32"/>
  <c r="D294" i="32"/>
  <c r="D295" i="32" s="1"/>
  <c r="W114" i="19" l="1"/>
  <c r="AF114" i="19" s="1"/>
  <c r="W115" i="19"/>
  <c r="AF115" i="19" s="1"/>
  <c r="W116" i="19"/>
  <c r="AF116" i="19" s="1"/>
  <c r="W117" i="19"/>
  <c r="AF117" i="19" s="1"/>
  <c r="W118" i="19"/>
  <c r="AF118" i="19" s="1"/>
  <c r="W119" i="19"/>
  <c r="AF119" i="19" s="1"/>
  <c r="W120" i="19"/>
  <c r="AF120" i="19" s="1"/>
  <c r="W121" i="19"/>
  <c r="AF121" i="19" s="1"/>
  <c r="W122" i="19"/>
  <c r="AF122" i="19" s="1"/>
  <c r="W123" i="19"/>
  <c r="AF123" i="19" s="1"/>
  <c r="I964" i="32"/>
  <c r="C978" i="32"/>
  <c r="I978" i="32" s="1"/>
  <c r="AH124" i="17"/>
  <c r="AH62" i="17"/>
  <c r="AH115" i="17" s="1"/>
  <c r="AH125" i="17"/>
  <c r="L197" i="32"/>
  <c r="L186" i="32" s="1"/>
  <c r="L201" i="32" s="1"/>
  <c r="T105" i="26"/>
  <c r="K82" i="1"/>
  <c r="N88" i="21" s="1"/>
  <c r="K88" i="21"/>
  <c r="M88" i="21" s="1"/>
  <c r="F334" i="32"/>
  <c r="Q125" i="17"/>
  <c r="Q62" i="17"/>
  <c r="Q115" i="17" s="1"/>
  <c r="Q124" i="17"/>
  <c r="K80" i="21"/>
  <c r="M80" i="21" s="1"/>
  <c r="F326" i="32"/>
  <c r="K74" i="1"/>
  <c r="N80" i="21" s="1"/>
  <c r="E197" i="32"/>
  <c r="M105" i="26"/>
  <c r="J108" i="26"/>
  <c r="J105" i="26" s="1"/>
  <c r="J62" i="26" s="1"/>
  <c r="J115" i="26" s="1"/>
  <c r="EQ52" i="19"/>
  <c r="EQ46" i="19"/>
  <c r="EQ51" i="19"/>
  <c r="J49" i="19"/>
  <c r="W78" i="19"/>
  <c r="W79" i="19"/>
  <c r="W80" i="19"/>
  <c r="W81" i="19"/>
  <c r="W82" i="19"/>
  <c r="W83" i="19"/>
  <c r="W84" i="19"/>
  <c r="W85" i="19"/>
  <c r="W86" i="19"/>
  <c r="W87" i="19"/>
  <c r="W88" i="19"/>
  <c r="W89" i="19"/>
  <c r="W90" i="19"/>
  <c r="W91" i="19"/>
  <c r="W92" i="19"/>
  <c r="W93" i="19"/>
  <c r="W94" i="19"/>
  <c r="W95" i="19"/>
  <c r="W96" i="19"/>
  <c r="W97" i="19"/>
  <c r="F839" i="32"/>
  <c r="P804" i="32"/>
  <c r="S405" i="32"/>
  <c r="P406" i="32" s="1"/>
  <c r="I67" i="19"/>
  <c r="AR119" i="1" s="1"/>
  <c r="J67" i="19"/>
  <c r="J286" i="11"/>
  <c r="EQ287" i="11"/>
  <c r="EP39" i="15" s="1"/>
  <c r="EP38" i="15" s="1"/>
  <c r="EP34" i="15" s="1"/>
  <c r="EP40" i="15" s="1"/>
  <c r="AG125" i="17"/>
  <c r="AG62" i="17"/>
  <c r="AG115" i="17" s="1"/>
  <c r="AG124" i="17"/>
  <c r="V105" i="26"/>
  <c r="N197" i="32"/>
  <c r="N186" i="32" s="1"/>
  <c r="N201" i="32" s="1"/>
  <c r="K96" i="21"/>
  <c r="M96" i="21" s="1"/>
  <c r="F342" i="32"/>
  <c r="K90" i="1"/>
  <c r="N96" i="21" s="1"/>
  <c r="AB62" i="17"/>
  <c r="AB115" i="17" s="1"/>
  <c r="AB124" i="17"/>
  <c r="AB125" i="17"/>
  <c r="AA125" i="17"/>
  <c r="AA62" i="17"/>
  <c r="AA115" i="17" s="1"/>
  <c r="AA124" i="17"/>
  <c r="S105" i="26"/>
  <c r="K197" i="32"/>
  <c r="K186" i="32" s="1"/>
  <c r="K201" i="32" s="1"/>
  <c r="W124" i="17"/>
  <c r="W62" i="17"/>
  <c r="W115" i="17" s="1"/>
  <c r="W125" i="17"/>
  <c r="V62" i="17"/>
  <c r="V115" i="17" s="1"/>
  <c r="V124" i="17"/>
  <c r="V125" i="17"/>
  <c r="K86" i="21"/>
  <c r="M86" i="21" s="1"/>
  <c r="K80" i="1"/>
  <c r="N86" i="21" s="1"/>
  <c r="F332" i="32"/>
  <c r="S62" i="17"/>
  <c r="S115" i="17" s="1"/>
  <c r="S125" i="17"/>
  <c r="S124" i="17"/>
  <c r="K77" i="1"/>
  <c r="N83" i="21" s="1"/>
  <c r="F329" i="32"/>
  <c r="K83" i="21"/>
  <c r="M83" i="21" s="1"/>
  <c r="K75" i="1"/>
  <c r="N81" i="21" s="1"/>
  <c r="F327" i="32"/>
  <c r="K81" i="21"/>
  <c r="M81" i="21" s="1"/>
  <c r="N105" i="17"/>
  <c r="F758" i="32"/>
  <c r="F747" i="32" s="1"/>
  <c r="F762" i="32" s="1"/>
  <c r="N828" i="32"/>
  <c r="EQ67" i="5"/>
  <c r="EQ120" i="5" s="1"/>
  <c r="EQ122" i="5" s="1"/>
  <c r="EQ124" i="5" s="1"/>
  <c r="EQ132" i="5"/>
  <c r="EQ131" i="5"/>
  <c r="D839" i="32"/>
  <c r="O804" i="32"/>
  <c r="AQ95" i="1"/>
  <c r="AP115" i="1"/>
  <c r="BD72" i="1"/>
  <c r="BD82" i="1"/>
  <c r="AN44" i="1" s="1"/>
  <c r="AC124" i="17"/>
  <c r="AC125" i="17"/>
  <c r="AC62" i="17"/>
  <c r="AC115" i="17" s="1"/>
  <c r="K79" i="1"/>
  <c r="N85" i="21" s="1"/>
  <c r="K85" i="21"/>
  <c r="M85" i="21" s="1"/>
  <c r="F331" i="32"/>
  <c r="I66" i="19"/>
  <c r="J66" i="19"/>
  <c r="K91" i="1"/>
  <c r="N97" i="21" s="1"/>
  <c r="K97" i="21"/>
  <c r="M97" i="21" s="1"/>
  <c r="F343" i="32"/>
  <c r="F338" i="32"/>
  <c r="K86" i="1"/>
  <c r="N92" i="21" s="1"/>
  <c r="K92" i="21"/>
  <c r="M92" i="21" s="1"/>
  <c r="K81" i="1"/>
  <c r="N87" i="21" s="1"/>
  <c r="F333" i="32"/>
  <c r="K87" i="21"/>
  <c r="M87" i="21" s="1"/>
  <c r="K78" i="1"/>
  <c r="N84" i="21" s="1"/>
  <c r="K84" i="21"/>
  <c r="M84" i="21" s="1"/>
  <c r="F330" i="32"/>
  <c r="E758" i="32"/>
  <c r="M105" i="17"/>
  <c r="J108" i="17"/>
  <c r="J105" i="17" s="1"/>
  <c r="J62" i="17" s="1"/>
  <c r="J115" i="17" s="1"/>
  <c r="AD124" i="17"/>
  <c r="AD125" i="17"/>
  <c r="AD62" i="17"/>
  <c r="AD115" i="17" s="1"/>
  <c r="F337" i="32"/>
  <c r="K85" i="1"/>
  <c r="N91" i="21" s="1"/>
  <c r="K91" i="21"/>
  <c r="M91" i="21" s="1"/>
  <c r="U62" i="17"/>
  <c r="U115" i="17" s="1"/>
  <c r="U124" i="17"/>
  <c r="U125" i="17"/>
  <c r="H405" i="32"/>
  <c r="D405" i="32"/>
  <c r="AF117" i="21"/>
  <c r="L405" i="32"/>
  <c r="M405" i="32"/>
  <c r="X62" i="26"/>
  <c r="X115" i="26" s="1"/>
  <c r="X124" i="26"/>
  <c r="X125" i="26"/>
  <c r="W62" i="26"/>
  <c r="W115" i="26" s="1"/>
  <c r="W124" i="26"/>
  <c r="W125" i="26"/>
  <c r="U105" i="26"/>
  <c r="M197" i="32"/>
  <c r="M186" i="32" s="1"/>
  <c r="M201" i="32" s="1"/>
  <c r="F340" i="32"/>
  <c r="K88" i="1"/>
  <c r="N94" i="21" s="1"/>
  <c r="K94" i="21"/>
  <c r="M94" i="21" s="1"/>
  <c r="Y125" i="17"/>
  <c r="Y62" i="17"/>
  <c r="Y115" i="17" s="1"/>
  <c r="Y124" i="17"/>
  <c r="R105" i="26"/>
  <c r="J197" i="32"/>
  <c r="J186" i="32" s="1"/>
  <c r="J201" i="32" s="1"/>
  <c r="T124" i="17"/>
  <c r="T62" i="17"/>
  <c r="T115" i="17" s="1"/>
  <c r="T125" i="17"/>
  <c r="O105" i="26"/>
  <c r="G197" i="32"/>
  <c r="G186" i="32" s="1"/>
  <c r="G201" i="32" s="1"/>
  <c r="N105" i="26"/>
  <c r="F197" i="32"/>
  <c r="F186" i="32" s="1"/>
  <c r="F201" i="32" s="1"/>
  <c r="J110" i="5"/>
  <c r="J67" i="5" s="1"/>
  <c r="J120" i="5" s="1"/>
  <c r="K7" i="1" s="1"/>
  <c r="H159" i="5"/>
  <c r="H161" i="5" s="1"/>
  <c r="AH116" i="21"/>
  <c r="AI116" i="21"/>
  <c r="AI62" i="17"/>
  <c r="AI115" i="17" s="1"/>
  <c r="AI124" i="17"/>
  <c r="AI125" i="17"/>
  <c r="K98" i="21"/>
  <c r="M98" i="21" s="1"/>
  <c r="F344" i="32"/>
  <c r="K92" i="1"/>
  <c r="N98" i="21" s="1"/>
  <c r="AE125" i="17"/>
  <c r="AE62" i="17"/>
  <c r="AE115" i="17" s="1"/>
  <c r="AE124" i="17"/>
  <c r="K95" i="21"/>
  <c r="M95" i="21" s="1"/>
  <c r="F341" i="32"/>
  <c r="K89" i="1"/>
  <c r="N95" i="21" s="1"/>
  <c r="F339" i="32"/>
  <c r="K87" i="1"/>
  <c r="N93" i="21" s="1"/>
  <c r="K93" i="21"/>
  <c r="M93" i="21" s="1"/>
  <c r="Z62" i="17"/>
  <c r="Z115" i="17" s="1"/>
  <c r="Z124" i="17"/>
  <c r="Z125" i="17"/>
  <c r="X125" i="17"/>
  <c r="X62" i="17"/>
  <c r="X115" i="17" s="1"/>
  <c r="X124" i="17"/>
  <c r="K83" i="1"/>
  <c r="N89" i="21" s="1"/>
  <c r="K89" i="21"/>
  <c r="M89" i="21" s="1"/>
  <c r="F335" i="32"/>
  <c r="I197" i="32"/>
  <c r="I186" i="32" s="1"/>
  <c r="I201" i="32" s="1"/>
  <c r="Q105" i="26"/>
  <c r="P105" i="26"/>
  <c r="H197" i="32"/>
  <c r="H186" i="32" s="1"/>
  <c r="H201" i="32" s="1"/>
  <c r="R62" i="17"/>
  <c r="R115" i="17" s="1"/>
  <c r="R124" i="17"/>
  <c r="R125" i="17"/>
  <c r="K76" i="1"/>
  <c r="N82" i="21" s="1"/>
  <c r="K82" i="21"/>
  <c r="M82" i="21" s="1"/>
  <c r="F328" i="32"/>
  <c r="G758" i="32"/>
  <c r="G747" i="32" s="1"/>
  <c r="G762" i="32" s="1"/>
  <c r="O105" i="17"/>
  <c r="K73" i="1"/>
  <c r="N79" i="21" s="1"/>
  <c r="F325" i="32"/>
  <c r="K79" i="21"/>
  <c r="I93" i="1"/>
  <c r="M804" i="32"/>
  <c r="N804" i="32" s="1"/>
  <c r="AF62" i="17"/>
  <c r="AF115" i="17" s="1"/>
  <c r="AF125" i="17"/>
  <c r="AF124" i="17"/>
  <c r="F336" i="32"/>
  <c r="K84" i="1"/>
  <c r="N90" i="21" s="1"/>
  <c r="K90" i="21"/>
  <c r="M90" i="21" s="1"/>
  <c r="P105" i="17"/>
  <c r="H758" i="32"/>
  <c r="H747" i="32" s="1"/>
  <c r="H762" i="32" s="1"/>
  <c r="I100" i="1" l="1"/>
  <c r="G100" i="1"/>
  <c r="Y123" i="19"/>
  <c r="Y122" i="19"/>
  <c r="Y121" i="19"/>
  <c r="Y120" i="19"/>
  <c r="Y119" i="19"/>
  <c r="Y118" i="19"/>
  <c r="Y117" i="19"/>
  <c r="Y116" i="19"/>
  <c r="Y115" i="19"/>
  <c r="Y114" i="19"/>
  <c r="AR118" i="1"/>
  <c r="W124" i="19"/>
  <c r="G839" i="32"/>
  <c r="E879" i="32"/>
  <c r="Y96" i="19"/>
  <c r="N146" i="21" s="1"/>
  <c r="K146" i="21"/>
  <c r="M146" i="21" s="1"/>
  <c r="K142" i="21"/>
  <c r="M142" i="21" s="1"/>
  <c r="Y92" i="19"/>
  <c r="N142" i="21" s="1"/>
  <c r="K138" i="21"/>
  <c r="M138" i="21" s="1"/>
  <c r="Y88" i="19"/>
  <c r="N138" i="21" s="1"/>
  <c r="K134" i="21"/>
  <c r="M134" i="21" s="1"/>
  <c r="Y84" i="19"/>
  <c r="N134" i="21" s="1"/>
  <c r="K130" i="21"/>
  <c r="M130" i="21" s="1"/>
  <c r="Y80" i="19"/>
  <c r="N130" i="21" s="1"/>
  <c r="J51" i="19"/>
  <c r="I51" i="19"/>
  <c r="Y101" i="19" s="1"/>
  <c r="Y127" i="19" s="1"/>
  <c r="M124" i="26"/>
  <c r="M62" i="26"/>
  <c r="M115" i="26" s="1"/>
  <c r="M117" i="26" s="1"/>
  <c r="N116" i="26" s="1"/>
  <c r="M125" i="26"/>
  <c r="D334" i="32"/>
  <c r="H334" i="32"/>
  <c r="L334" i="32"/>
  <c r="M334" i="32"/>
  <c r="F359" i="32"/>
  <c r="F385" i="32"/>
  <c r="R62" i="26"/>
  <c r="R115" i="26" s="1"/>
  <c r="R125" i="26"/>
  <c r="R124" i="26"/>
  <c r="L339" i="32"/>
  <c r="D339" i="32"/>
  <c r="H339" i="32"/>
  <c r="M339" i="32"/>
  <c r="F390" i="32"/>
  <c r="F364" i="32"/>
  <c r="N124" i="26"/>
  <c r="N62" i="26"/>
  <c r="N115" i="26" s="1"/>
  <c r="N125" i="26"/>
  <c r="AH117" i="21"/>
  <c r="AI117" i="21"/>
  <c r="M337" i="32"/>
  <c r="D337" i="32"/>
  <c r="H337" i="32"/>
  <c r="L337" i="32"/>
  <c r="F388" i="32"/>
  <c r="F362" i="32"/>
  <c r="L343" i="32"/>
  <c r="M343" i="32"/>
  <c r="D343" i="32"/>
  <c r="H343" i="32"/>
  <c r="F368" i="32"/>
  <c r="F394" i="32"/>
  <c r="Q804" i="32"/>
  <c r="H805" i="32" s="1"/>
  <c r="I805" i="32" s="1"/>
  <c r="J805" i="32" s="1"/>
  <c r="O805" i="32" s="1"/>
  <c r="V125" i="26"/>
  <c r="V124" i="26"/>
  <c r="V62" i="26"/>
  <c r="V115" i="26" s="1"/>
  <c r="K145" i="21"/>
  <c r="M145" i="21" s="1"/>
  <c r="Y95" i="19"/>
  <c r="N145" i="21" s="1"/>
  <c r="K133" i="21"/>
  <c r="M133" i="21" s="1"/>
  <c r="Y83" i="19"/>
  <c r="N133" i="21" s="1"/>
  <c r="K129" i="21"/>
  <c r="M129" i="21" s="1"/>
  <c r="Y79" i="19"/>
  <c r="N129" i="21" s="1"/>
  <c r="N627" i="32"/>
  <c r="O627" i="32" s="1"/>
  <c r="C197" i="32"/>
  <c r="E186" i="32"/>
  <c r="Q124" i="26"/>
  <c r="Q62" i="26"/>
  <c r="Q115" i="26" s="1"/>
  <c r="Q125" i="26"/>
  <c r="D327" i="32"/>
  <c r="H327" i="32"/>
  <c r="L327" i="32"/>
  <c r="M327" i="32"/>
  <c r="F352" i="32"/>
  <c r="F378" i="32"/>
  <c r="L332" i="32"/>
  <c r="M332" i="32"/>
  <c r="H332" i="32"/>
  <c r="D332" i="32"/>
  <c r="F357" i="32"/>
  <c r="F383" i="32"/>
  <c r="EQ135" i="5"/>
  <c r="I132" i="5"/>
  <c r="K98" i="1" s="1"/>
  <c r="J132" i="5"/>
  <c r="EQ134" i="5"/>
  <c r="R406" i="32"/>
  <c r="F406" i="32" s="1"/>
  <c r="Y87" i="19"/>
  <c r="N137" i="21" s="1"/>
  <c r="K137" i="21"/>
  <c r="M137" i="21" s="1"/>
  <c r="J839" i="32"/>
  <c r="L839" i="32" s="1"/>
  <c r="M331" i="32"/>
  <c r="D331" i="32"/>
  <c r="H331" i="32"/>
  <c r="L331" i="32"/>
  <c r="F356" i="32"/>
  <c r="F382" i="32"/>
  <c r="EP16" i="15"/>
  <c r="EP15" i="15" s="1"/>
  <c r="EP14" i="15" s="1"/>
  <c r="I122" i="5"/>
  <c r="K10" i="1"/>
  <c r="N62" i="17"/>
  <c r="N115" i="17" s="1"/>
  <c r="N124" i="17"/>
  <c r="N125" i="17"/>
  <c r="S62" i="26"/>
  <c r="S115" i="26" s="1"/>
  <c r="S125" i="26"/>
  <c r="S124" i="26"/>
  <c r="M342" i="32"/>
  <c r="D342" i="32"/>
  <c r="H342" i="32"/>
  <c r="L342" i="32"/>
  <c r="F367" i="32"/>
  <c r="F393" i="32"/>
  <c r="K144" i="21"/>
  <c r="M144" i="21" s="1"/>
  <c r="Y94" i="19"/>
  <c r="N144" i="21" s="1"/>
  <c r="Y90" i="19"/>
  <c r="N140" i="21" s="1"/>
  <c r="K140" i="21"/>
  <c r="M140" i="21" s="1"/>
  <c r="K136" i="21"/>
  <c r="M136" i="21" s="1"/>
  <c r="Y86" i="19"/>
  <c r="N136" i="21" s="1"/>
  <c r="Y82" i="19"/>
  <c r="N132" i="21" s="1"/>
  <c r="K132" i="21"/>
  <c r="M132" i="21" s="1"/>
  <c r="Y78" i="19"/>
  <c r="N128" i="21" s="1"/>
  <c r="K128" i="21"/>
  <c r="W98" i="19"/>
  <c r="Y103" i="19" s="1"/>
  <c r="J52" i="19"/>
  <c r="I52" i="19"/>
  <c r="D325" i="32"/>
  <c r="M325" i="32"/>
  <c r="F345" i="32"/>
  <c r="H325" i="32"/>
  <c r="F376" i="32"/>
  <c r="L325" i="32"/>
  <c r="F350" i="32"/>
  <c r="H328" i="32"/>
  <c r="M328" i="32"/>
  <c r="L328" i="32"/>
  <c r="D328" i="32"/>
  <c r="F379" i="32"/>
  <c r="F353" i="32"/>
  <c r="U124" i="26"/>
  <c r="U62" i="26"/>
  <c r="U115" i="26" s="1"/>
  <c r="U125" i="26"/>
  <c r="M330" i="32"/>
  <c r="D330" i="32"/>
  <c r="H330" i="32"/>
  <c r="L330" i="32"/>
  <c r="F381" i="32"/>
  <c r="F355" i="32"/>
  <c r="H333" i="32"/>
  <c r="D333" i="32"/>
  <c r="L333" i="32"/>
  <c r="M333" i="32"/>
  <c r="F384" i="32"/>
  <c r="F358" i="32"/>
  <c r="M338" i="32"/>
  <c r="D338" i="32"/>
  <c r="H338" i="32"/>
  <c r="L338" i="32"/>
  <c r="F363" i="32"/>
  <c r="F389" i="32"/>
  <c r="I131" i="5"/>
  <c r="K97" i="1" s="1"/>
  <c r="D239" i="32" s="1"/>
  <c r="J131" i="5"/>
  <c r="EQ133" i="5"/>
  <c r="H344" i="32"/>
  <c r="L344" i="32"/>
  <c r="M344" i="32"/>
  <c r="D344" i="32"/>
  <c r="F395" i="32"/>
  <c r="F369" i="32"/>
  <c r="Y91" i="19"/>
  <c r="N141" i="21" s="1"/>
  <c r="K141" i="21"/>
  <c r="M141" i="21" s="1"/>
  <c r="H336" i="32"/>
  <c r="M336" i="32"/>
  <c r="L336" i="32"/>
  <c r="D336" i="32"/>
  <c r="F387" i="32"/>
  <c r="F361" i="32"/>
  <c r="K96" i="1"/>
  <c r="E239" i="32" s="1"/>
  <c r="C955" i="32" s="1"/>
  <c r="I955" i="32" s="1"/>
  <c r="K95" i="1"/>
  <c r="K99" i="1"/>
  <c r="J103" i="21" s="1"/>
  <c r="O124" i="17"/>
  <c r="O62" i="17"/>
  <c r="O115" i="17" s="1"/>
  <c r="O125" i="17"/>
  <c r="D335" i="32"/>
  <c r="H335" i="32"/>
  <c r="L335" i="32"/>
  <c r="M335" i="32"/>
  <c r="F386" i="32"/>
  <c r="F360" i="32"/>
  <c r="D340" i="32"/>
  <c r="H340" i="32"/>
  <c r="M340" i="32"/>
  <c r="L340" i="32"/>
  <c r="F391" i="32"/>
  <c r="F365" i="32"/>
  <c r="M125" i="17"/>
  <c r="M124" i="17"/>
  <c r="M62" i="17"/>
  <c r="M115" i="17" s="1"/>
  <c r="M117" i="17" s="1"/>
  <c r="P62" i="17"/>
  <c r="P115" i="17" s="1"/>
  <c r="P124" i="17"/>
  <c r="P125" i="17"/>
  <c r="M79" i="21"/>
  <c r="M99" i="21" s="1"/>
  <c r="K99" i="21"/>
  <c r="P125" i="26"/>
  <c r="P62" i="26"/>
  <c r="P115" i="26" s="1"/>
  <c r="P124" i="26"/>
  <c r="L341" i="32"/>
  <c r="M341" i="32"/>
  <c r="D341" i="32"/>
  <c r="H341" i="32"/>
  <c r="F366" i="32"/>
  <c r="F392" i="32"/>
  <c r="O125" i="26"/>
  <c r="O124" i="26"/>
  <c r="O62" i="26"/>
  <c r="O115" i="26" s="1"/>
  <c r="C758" i="32"/>
  <c r="E747" i="32"/>
  <c r="AR95" i="1"/>
  <c r="AQ115" i="1"/>
  <c r="E878" i="32"/>
  <c r="E839" i="32"/>
  <c r="C938" i="32"/>
  <c r="C892" i="32"/>
  <c r="M329" i="32"/>
  <c r="D329" i="32"/>
  <c r="L329" i="32"/>
  <c r="H329" i="32"/>
  <c r="F354" i="32"/>
  <c r="F380" i="32"/>
  <c r="K147" i="21"/>
  <c r="M147" i="21" s="1"/>
  <c r="Y97" i="19"/>
  <c r="N147" i="21" s="1"/>
  <c r="Y93" i="19"/>
  <c r="N143" i="21" s="1"/>
  <c r="K143" i="21"/>
  <c r="M143" i="21" s="1"/>
  <c r="Y89" i="19"/>
  <c r="N139" i="21" s="1"/>
  <c r="K139" i="21"/>
  <c r="M139" i="21" s="1"/>
  <c r="K135" i="21"/>
  <c r="M135" i="21" s="1"/>
  <c r="Y85" i="19"/>
  <c r="N135" i="21" s="1"/>
  <c r="K131" i="21"/>
  <c r="M131" i="21" s="1"/>
  <c r="Y81" i="19"/>
  <c r="N131" i="21" s="1"/>
  <c r="H51" i="19"/>
  <c r="J46" i="19"/>
  <c r="H326" i="32"/>
  <c r="L326" i="32"/>
  <c r="F377" i="32"/>
  <c r="M326" i="32"/>
  <c r="D326" i="32"/>
  <c r="F351" i="32"/>
  <c r="T124" i="26"/>
  <c r="T62" i="26"/>
  <c r="T115" i="26" s="1"/>
  <c r="T125" i="26"/>
  <c r="S406" i="32" l="1"/>
  <c r="P407" i="32" s="1"/>
  <c r="R407" i="32" s="1"/>
  <c r="F407" i="32" s="1"/>
  <c r="L384" i="32"/>
  <c r="M384" i="32"/>
  <c r="D384" i="32"/>
  <c r="H384" i="32"/>
  <c r="H345" i="32"/>
  <c r="I345" i="32"/>
  <c r="R83" i="21"/>
  <c r="L354" i="32"/>
  <c r="H354" i="32"/>
  <c r="M354" i="32"/>
  <c r="D354" i="32"/>
  <c r="M839" i="32"/>
  <c r="E882" i="32"/>
  <c r="I124" i="17"/>
  <c r="J124" i="17"/>
  <c r="C239" i="32"/>
  <c r="C966" i="32" s="1"/>
  <c r="J101" i="21"/>
  <c r="I133" i="5"/>
  <c r="D240" i="32" s="1"/>
  <c r="J133" i="5"/>
  <c r="L363" i="32"/>
  <c r="R92" i="21"/>
  <c r="M363" i="32"/>
  <c r="D363" i="32"/>
  <c r="H363" i="32"/>
  <c r="L381" i="32"/>
  <c r="M381" i="32"/>
  <c r="D381" i="32"/>
  <c r="H381" i="32"/>
  <c r="M353" i="32"/>
  <c r="D353" i="32"/>
  <c r="L353" i="32"/>
  <c r="R82" i="21"/>
  <c r="H353" i="32"/>
  <c r="L376" i="32"/>
  <c r="F396" i="32"/>
  <c r="M376" i="32"/>
  <c r="D376" i="32"/>
  <c r="H376" i="32"/>
  <c r="D345" i="32"/>
  <c r="D346" i="32" s="1"/>
  <c r="W99" i="19"/>
  <c r="Y129" i="19"/>
  <c r="H377" i="32"/>
  <c r="L377" i="32"/>
  <c r="D377" i="32"/>
  <c r="M377" i="32"/>
  <c r="C747" i="32"/>
  <c r="E762" i="32"/>
  <c r="E764" i="32" s="1"/>
  <c r="J125" i="17"/>
  <c r="I125" i="17"/>
  <c r="M369" i="32"/>
  <c r="H369" i="32"/>
  <c r="R98" i="21"/>
  <c r="D369" i="32"/>
  <c r="L369" i="32"/>
  <c r="R87" i="21"/>
  <c r="M358" i="32"/>
  <c r="H358" i="32"/>
  <c r="D358" i="32"/>
  <c r="L358" i="32"/>
  <c r="M379" i="32"/>
  <c r="H379" i="32"/>
  <c r="D379" i="32"/>
  <c r="L379" i="32"/>
  <c r="J151" i="21"/>
  <c r="Y102" i="19"/>
  <c r="Y128" i="19" s="1"/>
  <c r="M128" i="21"/>
  <c r="M148" i="21" s="1"/>
  <c r="J152" i="21" s="1"/>
  <c r="K148" i="21"/>
  <c r="H393" i="32"/>
  <c r="M393" i="32"/>
  <c r="L393" i="32"/>
  <c r="D393" i="32"/>
  <c r="D840" i="32"/>
  <c r="D406" i="32"/>
  <c r="H406" i="32"/>
  <c r="AF118" i="21"/>
  <c r="L406" i="32"/>
  <c r="M406" i="32"/>
  <c r="I135" i="5"/>
  <c r="J135" i="5"/>
  <c r="L352" i="32"/>
  <c r="M352" i="32"/>
  <c r="D352" i="32"/>
  <c r="R81" i="21"/>
  <c r="H352" i="32"/>
  <c r="K805" i="32"/>
  <c r="M805" i="32" s="1"/>
  <c r="D362" i="32"/>
  <c r="L362" i="32"/>
  <c r="R91" i="21"/>
  <c r="M362" i="32"/>
  <c r="H362" i="32"/>
  <c r="H390" i="32"/>
  <c r="D390" i="32"/>
  <c r="L390" i="32"/>
  <c r="M390" i="32"/>
  <c r="D385" i="32"/>
  <c r="H385" i="32"/>
  <c r="L385" i="32"/>
  <c r="M385" i="32"/>
  <c r="J124" i="26"/>
  <c r="I124" i="26"/>
  <c r="L351" i="32"/>
  <c r="D351" i="32"/>
  <c r="H351" i="32"/>
  <c r="R80" i="21"/>
  <c r="M351" i="32"/>
  <c r="Y100" i="19"/>
  <c r="Y126" i="19" s="1"/>
  <c r="J150" i="21"/>
  <c r="C893" i="32"/>
  <c r="C894" i="32"/>
  <c r="D392" i="32"/>
  <c r="M392" i="32"/>
  <c r="L392" i="32"/>
  <c r="H392" i="32"/>
  <c r="R94" i="21"/>
  <c r="M365" i="32"/>
  <c r="D365" i="32"/>
  <c r="H365" i="32"/>
  <c r="L365" i="32"/>
  <c r="R89" i="21"/>
  <c r="M360" i="32"/>
  <c r="H360" i="32"/>
  <c r="D360" i="32"/>
  <c r="L360" i="32"/>
  <c r="R90" i="21"/>
  <c r="M361" i="32"/>
  <c r="H361" i="32"/>
  <c r="D361" i="32"/>
  <c r="L361" i="32"/>
  <c r="L395" i="32"/>
  <c r="H395" i="32"/>
  <c r="M395" i="32"/>
  <c r="D395" i="32"/>
  <c r="H350" i="32"/>
  <c r="R79" i="21"/>
  <c r="L350" i="32"/>
  <c r="M350" i="32"/>
  <c r="F370" i="32"/>
  <c r="D350" i="32"/>
  <c r="D367" i="32"/>
  <c r="H367" i="32"/>
  <c r="R96" i="21"/>
  <c r="L367" i="32"/>
  <c r="M367" i="32"/>
  <c r="M382" i="32"/>
  <c r="H382" i="32"/>
  <c r="D382" i="32"/>
  <c r="L382" i="32"/>
  <c r="K839" i="32"/>
  <c r="E881" i="32"/>
  <c r="J134" i="5"/>
  <c r="I134" i="5"/>
  <c r="K100" i="1" s="1"/>
  <c r="H383" i="32"/>
  <c r="L383" i="32"/>
  <c r="M383" i="32"/>
  <c r="D383" i="32"/>
  <c r="N616" i="32"/>
  <c r="O616" i="32" s="1"/>
  <c r="C186" i="32"/>
  <c r="E201" i="32"/>
  <c r="H388" i="32"/>
  <c r="L388" i="32"/>
  <c r="M388" i="32"/>
  <c r="D388" i="32"/>
  <c r="D359" i="32"/>
  <c r="R88" i="21"/>
  <c r="H359" i="32"/>
  <c r="L359" i="32"/>
  <c r="M359" i="32"/>
  <c r="L380" i="32"/>
  <c r="D380" i="32"/>
  <c r="M380" i="32"/>
  <c r="H380" i="32"/>
  <c r="AR120" i="1"/>
  <c r="AR117" i="1"/>
  <c r="R95" i="21"/>
  <c r="L366" i="32"/>
  <c r="H366" i="32"/>
  <c r="M366" i="32"/>
  <c r="D366" i="32"/>
  <c r="N116" i="17"/>
  <c r="N117" i="17" s="1"/>
  <c r="O116" i="17" s="1"/>
  <c r="O117" i="17" s="1"/>
  <c r="P116" i="17" s="1"/>
  <c r="P117" i="17" s="1"/>
  <c r="Q116" i="17" s="1"/>
  <c r="Q117" i="17" s="1"/>
  <c r="R116" i="17" s="1"/>
  <c r="R117" i="17" s="1"/>
  <c r="S116" i="17" s="1"/>
  <c r="S117" i="17" s="1"/>
  <c r="T116" i="17" s="1"/>
  <c r="T117" i="17" s="1"/>
  <c r="U116" i="17" s="1"/>
  <c r="U117" i="17" s="1"/>
  <c r="V116" i="17" s="1"/>
  <c r="V117" i="17" s="1"/>
  <c r="W116" i="17" s="1"/>
  <c r="W117" i="17" s="1"/>
  <c r="X116" i="17" s="1"/>
  <c r="X117" i="17" s="1"/>
  <c r="Y116" i="17" s="1"/>
  <c r="Y117" i="17" s="1"/>
  <c r="Z116" i="17" s="1"/>
  <c r="Z117" i="17" s="1"/>
  <c r="AA116" i="17" s="1"/>
  <c r="AA117" i="17" s="1"/>
  <c r="AB116" i="17" s="1"/>
  <c r="AB117" i="17" s="1"/>
  <c r="AC116" i="17" s="1"/>
  <c r="AC117" i="17" s="1"/>
  <c r="AD116" i="17" s="1"/>
  <c r="AD117" i="17" s="1"/>
  <c r="AE116" i="17" s="1"/>
  <c r="AE117" i="17" s="1"/>
  <c r="AF116" i="17" s="1"/>
  <c r="AF117" i="17" s="1"/>
  <c r="AG116" i="17" s="1"/>
  <c r="AG117" i="17" s="1"/>
  <c r="AH116" i="17" s="1"/>
  <c r="AH117" i="17" s="1"/>
  <c r="AI116" i="17" s="1"/>
  <c r="AI117" i="17" s="1"/>
  <c r="AJ116" i="17" s="1"/>
  <c r="AJ117" i="17" s="1"/>
  <c r="AK116" i="17" s="1"/>
  <c r="AK117" i="17" s="1"/>
  <c r="AL116" i="17" s="1"/>
  <c r="AL117" i="17" s="1"/>
  <c r="AM116" i="17" s="1"/>
  <c r="AM117" i="17" s="1"/>
  <c r="AN116" i="17" s="1"/>
  <c r="AN117" i="17" s="1"/>
  <c r="AO116" i="17" s="1"/>
  <c r="AO117" i="17" s="1"/>
  <c r="AP116" i="17" s="1"/>
  <c r="AP117" i="17" s="1"/>
  <c r="AQ116" i="17" s="1"/>
  <c r="AQ117" i="17" s="1"/>
  <c r="AR116" i="17" s="1"/>
  <c r="AR117" i="17" s="1"/>
  <c r="AS116" i="17" s="1"/>
  <c r="AS117" i="17" s="1"/>
  <c r="AT116" i="17" s="1"/>
  <c r="AT117" i="17" s="1"/>
  <c r="AU116" i="17" s="1"/>
  <c r="AU117" i="17" s="1"/>
  <c r="AV116" i="17" s="1"/>
  <c r="AV117" i="17" s="1"/>
  <c r="AW116" i="17" s="1"/>
  <c r="AW117" i="17" s="1"/>
  <c r="AX116" i="17" s="1"/>
  <c r="AX117" i="17" s="1"/>
  <c r="AY116" i="17" s="1"/>
  <c r="AY117" i="17" s="1"/>
  <c r="AZ116" i="17" s="1"/>
  <c r="AZ117" i="17" s="1"/>
  <c r="BA116" i="17" s="1"/>
  <c r="BA117" i="17" s="1"/>
  <c r="BB116" i="17" s="1"/>
  <c r="BB117" i="17" s="1"/>
  <c r="BC116" i="17" s="1"/>
  <c r="BC117" i="17" s="1"/>
  <c r="BD116" i="17" s="1"/>
  <c r="BD117" i="17" s="1"/>
  <c r="BE116" i="17" s="1"/>
  <c r="BE117" i="17" s="1"/>
  <c r="BF116" i="17" s="1"/>
  <c r="BF117" i="17" s="1"/>
  <c r="BG116" i="17" s="1"/>
  <c r="BG117" i="17" s="1"/>
  <c r="BH116" i="17" s="1"/>
  <c r="BH117" i="17" s="1"/>
  <c r="BI116" i="17" s="1"/>
  <c r="BI117" i="17" s="1"/>
  <c r="BJ116" i="17" s="1"/>
  <c r="BJ117" i="17" s="1"/>
  <c r="BK116" i="17" s="1"/>
  <c r="BK117" i="17" s="1"/>
  <c r="BL116" i="17" s="1"/>
  <c r="BL117" i="17" s="1"/>
  <c r="BM116" i="17" s="1"/>
  <c r="BM117" i="17" s="1"/>
  <c r="BN116" i="17" s="1"/>
  <c r="BN117" i="17" s="1"/>
  <c r="BO116" i="17" s="1"/>
  <c r="BO117" i="17" s="1"/>
  <c r="BP116" i="17" s="1"/>
  <c r="BP117" i="17" s="1"/>
  <c r="BQ116" i="17" s="1"/>
  <c r="BQ117" i="17" s="1"/>
  <c r="BR116" i="17" s="1"/>
  <c r="BR117" i="17" s="1"/>
  <c r="BS116" i="17" s="1"/>
  <c r="BS117" i="17" s="1"/>
  <c r="BT116" i="17" s="1"/>
  <c r="BT117" i="17" s="1"/>
  <c r="BU116" i="17" s="1"/>
  <c r="BU117" i="17" s="1"/>
  <c r="BV116" i="17" s="1"/>
  <c r="BV117" i="17" s="1"/>
  <c r="BW116" i="17" s="1"/>
  <c r="BW117" i="17" s="1"/>
  <c r="BX116" i="17" s="1"/>
  <c r="BX117" i="17" s="1"/>
  <c r="BY116" i="17" s="1"/>
  <c r="BY117" i="17" s="1"/>
  <c r="BZ116" i="17" s="1"/>
  <c r="BZ117" i="17" s="1"/>
  <c r="CA116" i="17" s="1"/>
  <c r="CA117" i="17" s="1"/>
  <c r="CB116" i="17" s="1"/>
  <c r="CB117" i="17" s="1"/>
  <c r="CC116" i="17" s="1"/>
  <c r="CC117" i="17" s="1"/>
  <c r="CD116" i="17" s="1"/>
  <c r="CD117" i="17" s="1"/>
  <c r="CE116" i="17" s="1"/>
  <c r="CE117" i="17" s="1"/>
  <c r="CF116" i="17" s="1"/>
  <c r="CF117" i="17" s="1"/>
  <c r="CG116" i="17" s="1"/>
  <c r="CG117" i="17" s="1"/>
  <c r="CH116" i="17" s="1"/>
  <c r="CH117" i="17" s="1"/>
  <c r="CI116" i="17" s="1"/>
  <c r="CI117" i="17" s="1"/>
  <c r="CJ116" i="17" s="1"/>
  <c r="CJ117" i="17" s="1"/>
  <c r="CK116" i="17" s="1"/>
  <c r="CK117" i="17" s="1"/>
  <c r="CL116" i="17" s="1"/>
  <c r="CL117" i="17" s="1"/>
  <c r="CM116" i="17" s="1"/>
  <c r="CM117" i="17" s="1"/>
  <c r="CN116" i="17" s="1"/>
  <c r="CN117" i="17" s="1"/>
  <c r="CO116" i="17" s="1"/>
  <c r="CO117" i="17" s="1"/>
  <c r="CP116" i="17" s="1"/>
  <c r="CP117" i="17" s="1"/>
  <c r="CQ116" i="17" s="1"/>
  <c r="CQ117" i="17" s="1"/>
  <c r="CR116" i="17" s="1"/>
  <c r="CR117" i="17" s="1"/>
  <c r="CS116" i="17" s="1"/>
  <c r="CS117" i="17" s="1"/>
  <c r="CT116" i="17" s="1"/>
  <c r="CT117" i="17" s="1"/>
  <c r="CU116" i="17" s="1"/>
  <c r="CU117" i="17" s="1"/>
  <c r="CV116" i="17" s="1"/>
  <c r="CV117" i="17" s="1"/>
  <c r="CW116" i="17" s="1"/>
  <c r="CW117" i="17" s="1"/>
  <c r="CX116" i="17" s="1"/>
  <c r="CX117" i="17" s="1"/>
  <c r="CY116" i="17" s="1"/>
  <c r="CY117" i="17" s="1"/>
  <c r="CZ116" i="17" s="1"/>
  <c r="CZ117" i="17" s="1"/>
  <c r="DA116" i="17" s="1"/>
  <c r="DA117" i="17" s="1"/>
  <c r="DB116" i="17" s="1"/>
  <c r="DB117" i="17" s="1"/>
  <c r="DC116" i="17" s="1"/>
  <c r="DC117" i="17" s="1"/>
  <c r="DD116" i="17" s="1"/>
  <c r="DD117" i="17" s="1"/>
  <c r="DE116" i="17" s="1"/>
  <c r="DE117" i="17" s="1"/>
  <c r="DF116" i="17" s="1"/>
  <c r="DF117" i="17" s="1"/>
  <c r="DG116" i="17" s="1"/>
  <c r="DG117" i="17" s="1"/>
  <c r="DH116" i="17" s="1"/>
  <c r="DH117" i="17" s="1"/>
  <c r="DI116" i="17" s="1"/>
  <c r="DI117" i="17" s="1"/>
  <c r="DJ116" i="17" s="1"/>
  <c r="DJ117" i="17" s="1"/>
  <c r="DK116" i="17" s="1"/>
  <c r="DK117" i="17" s="1"/>
  <c r="DL116" i="17" s="1"/>
  <c r="DL117" i="17" s="1"/>
  <c r="DM116" i="17" s="1"/>
  <c r="DM117" i="17" s="1"/>
  <c r="DN116" i="17" s="1"/>
  <c r="DN117" i="17" s="1"/>
  <c r="DO116" i="17" s="1"/>
  <c r="DO117" i="17" s="1"/>
  <c r="DP116" i="17" s="1"/>
  <c r="DP117" i="17" s="1"/>
  <c r="DQ116" i="17" s="1"/>
  <c r="DQ117" i="17" s="1"/>
  <c r="DR116" i="17" s="1"/>
  <c r="DR117" i="17" s="1"/>
  <c r="DS116" i="17" s="1"/>
  <c r="DS117" i="17" s="1"/>
  <c r="DT116" i="17" s="1"/>
  <c r="DT117" i="17" s="1"/>
  <c r="DU116" i="17" s="1"/>
  <c r="DU117" i="17" s="1"/>
  <c r="DV116" i="17" s="1"/>
  <c r="DV117" i="17" s="1"/>
  <c r="M391" i="32"/>
  <c r="H391" i="32"/>
  <c r="D391" i="32"/>
  <c r="L391" i="32"/>
  <c r="M386" i="32"/>
  <c r="H386" i="32"/>
  <c r="D386" i="32"/>
  <c r="L386" i="32"/>
  <c r="H387" i="32"/>
  <c r="L387" i="32"/>
  <c r="D387" i="32"/>
  <c r="M387" i="32"/>
  <c r="L389" i="32"/>
  <c r="M389" i="32"/>
  <c r="D389" i="32"/>
  <c r="H389" i="32"/>
  <c r="R84" i="21"/>
  <c r="M355" i="32"/>
  <c r="D355" i="32"/>
  <c r="H355" i="32"/>
  <c r="L355" i="32"/>
  <c r="L345" i="32"/>
  <c r="M345" i="32"/>
  <c r="EP42" i="15"/>
  <c r="EP41" i="15"/>
  <c r="K9" i="1"/>
  <c r="L356" i="32"/>
  <c r="R85" i="21"/>
  <c r="M356" i="32"/>
  <c r="H356" i="32"/>
  <c r="D356" i="32"/>
  <c r="H357" i="32"/>
  <c r="L357" i="32"/>
  <c r="M357" i="32"/>
  <c r="R86" i="21"/>
  <c r="D357" i="32"/>
  <c r="D394" i="32"/>
  <c r="L394" i="32"/>
  <c r="M394" i="32"/>
  <c r="H394" i="32"/>
  <c r="J125" i="26"/>
  <c r="I125" i="26"/>
  <c r="F239" i="32"/>
  <c r="J102" i="21"/>
  <c r="BD65" i="1"/>
  <c r="V62" i="21"/>
  <c r="H378" i="32"/>
  <c r="L378" i="32"/>
  <c r="M378" i="32"/>
  <c r="D378" i="32"/>
  <c r="L368" i="32"/>
  <c r="H368" i="32"/>
  <c r="D368" i="32"/>
  <c r="R97" i="21"/>
  <c r="M368" i="32"/>
  <c r="L364" i="32"/>
  <c r="M364" i="32"/>
  <c r="R93" i="21"/>
  <c r="D364" i="32"/>
  <c r="H364" i="32"/>
  <c r="AA69" i="1"/>
  <c r="N117" i="26"/>
  <c r="O116" i="26" s="1"/>
  <c r="AA88" i="21" l="1"/>
  <c r="AE88" i="21" s="1"/>
  <c r="AB88" i="21"/>
  <c r="AA84" i="21"/>
  <c r="AE84" i="21" s="1"/>
  <c r="AB84" i="21"/>
  <c r="AB95" i="21"/>
  <c r="AA95" i="21"/>
  <c r="AE95" i="21" s="1"/>
  <c r="AB91" i="21"/>
  <c r="AA91" i="21"/>
  <c r="AE91" i="21" s="1"/>
  <c r="AA92" i="21"/>
  <c r="AE92" i="21" s="1"/>
  <c r="AB92" i="21"/>
  <c r="AA83" i="21"/>
  <c r="AE83" i="21" s="1"/>
  <c r="AB83" i="21"/>
  <c r="AB85" i="21"/>
  <c r="AA85" i="21"/>
  <c r="AE85" i="21" s="1"/>
  <c r="AA96" i="21"/>
  <c r="AE96" i="21" s="1"/>
  <c r="AB96" i="21"/>
  <c r="AB89" i="21"/>
  <c r="AA89" i="21"/>
  <c r="AE89" i="21" s="1"/>
  <c r="AA94" i="21"/>
  <c r="AE94" i="21" s="1"/>
  <c r="AB94" i="21"/>
  <c r="AA82" i="21"/>
  <c r="AE82" i="21" s="1"/>
  <c r="AB82" i="21"/>
  <c r="AA80" i="21"/>
  <c r="AE80" i="21" s="1"/>
  <c r="AB80" i="21"/>
  <c r="AA93" i="21"/>
  <c r="AE93" i="21" s="1"/>
  <c r="AB93" i="21"/>
  <c r="AA86" i="21"/>
  <c r="AE86" i="21" s="1"/>
  <c r="AB86" i="21"/>
  <c r="AB81" i="21"/>
  <c r="AA81" i="21"/>
  <c r="AE81" i="21" s="1"/>
  <c r="AA97" i="21"/>
  <c r="AE97" i="21" s="1"/>
  <c r="AB97" i="21"/>
  <c r="AA79" i="21"/>
  <c r="AE79" i="21" s="1"/>
  <c r="AB79" i="21"/>
  <c r="Y99" i="21"/>
  <c r="AA90" i="21"/>
  <c r="AE90" i="21" s="1"/>
  <c r="AB90" i="21"/>
  <c r="AB87" i="21"/>
  <c r="AA87" i="21"/>
  <c r="AE87" i="21" s="1"/>
  <c r="I966" i="32"/>
  <c r="C980" i="32"/>
  <c r="I980" i="32" s="1"/>
  <c r="I961" i="32"/>
  <c r="J961" i="32" s="1"/>
  <c r="J967" i="32" s="1"/>
  <c r="D967" i="32" s="1"/>
  <c r="I975" i="32"/>
  <c r="I117" i="17"/>
  <c r="BD66" i="1"/>
  <c r="F240" i="32"/>
  <c r="U96" i="21"/>
  <c r="T96" i="21"/>
  <c r="H370" i="32"/>
  <c r="C240" i="32" s="1"/>
  <c r="C962" i="32" s="1"/>
  <c r="C976" i="32" s="1"/>
  <c r="I370" i="32"/>
  <c r="E240" i="32" s="1"/>
  <c r="C951" i="32" s="1"/>
  <c r="I951" i="32" s="1"/>
  <c r="T94" i="21"/>
  <c r="U94" i="21"/>
  <c r="J840" i="32"/>
  <c r="F763" i="32"/>
  <c r="M396" i="32"/>
  <c r="U93" i="21"/>
  <c r="T93" i="21"/>
  <c r="AA81" i="1"/>
  <c r="AA75" i="1"/>
  <c r="AA78" i="1"/>
  <c r="X78" i="1" s="1"/>
  <c r="AA72" i="1"/>
  <c r="S407" i="32"/>
  <c r="P408" i="32" s="1"/>
  <c r="T86" i="21"/>
  <c r="U86" i="21"/>
  <c r="T84" i="21"/>
  <c r="U84" i="21"/>
  <c r="D370" i="32"/>
  <c r="U79" i="21"/>
  <c r="R99" i="21"/>
  <c r="T79" i="21"/>
  <c r="U89" i="21"/>
  <c r="T89" i="21"/>
  <c r="T80" i="21"/>
  <c r="U80" i="21"/>
  <c r="U81" i="21"/>
  <c r="T81" i="21"/>
  <c r="T98" i="21"/>
  <c r="U98" i="21"/>
  <c r="D396" i="32"/>
  <c r="T83" i="21"/>
  <c r="U83" i="21"/>
  <c r="BD74" i="1"/>
  <c r="BD84" i="1"/>
  <c r="AN46" i="1" s="1"/>
  <c r="E203" i="32"/>
  <c r="N631" i="32"/>
  <c r="O631" i="32" s="1"/>
  <c r="T88" i="21"/>
  <c r="U88" i="21"/>
  <c r="M370" i="32"/>
  <c r="U103" i="21" s="1"/>
  <c r="T91" i="21"/>
  <c r="U91" i="21"/>
  <c r="F840" i="32"/>
  <c r="P805" i="32"/>
  <c r="F878" i="32"/>
  <c r="E840" i="32"/>
  <c r="I396" i="32"/>
  <c r="H396" i="32"/>
  <c r="T82" i="21"/>
  <c r="U82" i="21"/>
  <c r="T92" i="21"/>
  <c r="U92" i="21"/>
  <c r="AF119" i="21"/>
  <c r="H407" i="32"/>
  <c r="M407" i="32"/>
  <c r="L407" i="32"/>
  <c r="D407" i="32"/>
  <c r="AI118" i="21"/>
  <c r="AH118" i="21"/>
  <c r="N805" i="32"/>
  <c r="T87" i="21"/>
  <c r="U87" i="21"/>
  <c r="AB69" i="1"/>
  <c r="O117" i="26"/>
  <c r="P116" i="26" s="1"/>
  <c r="T97" i="21"/>
  <c r="U97" i="21"/>
  <c r="U85" i="21"/>
  <c r="T85" i="21"/>
  <c r="T95" i="21"/>
  <c r="U95" i="21"/>
  <c r="L370" i="32"/>
  <c r="U90" i="21"/>
  <c r="T90" i="21"/>
  <c r="L396" i="32"/>
  <c r="X101" i="21" l="1"/>
  <c r="U101" i="21"/>
  <c r="U102" i="21"/>
  <c r="Z98" i="21"/>
  <c r="AA98" i="21" s="1"/>
  <c r="L961" i="32"/>
  <c r="L967" i="32" s="1"/>
  <c r="F967" i="32" s="1"/>
  <c r="M961" i="32"/>
  <c r="M967" i="32" s="1"/>
  <c r="G967" i="32" s="1"/>
  <c r="K961" i="32"/>
  <c r="K967" i="32" s="1"/>
  <c r="E967" i="32" s="1"/>
  <c r="J960" i="32"/>
  <c r="D960" i="32" s="1"/>
  <c r="I962" i="32"/>
  <c r="C961" i="32" s="1"/>
  <c r="I976" i="32"/>
  <c r="C975" i="32" s="1"/>
  <c r="D371" i="32"/>
  <c r="U104" i="21" s="1"/>
  <c r="I947" i="32"/>
  <c r="L840" i="32"/>
  <c r="M840" i="32" s="1"/>
  <c r="AB75" i="1"/>
  <c r="AB78" i="1"/>
  <c r="AB72" i="1"/>
  <c r="AB81" i="1"/>
  <c r="F202" i="32"/>
  <c r="D397" i="32"/>
  <c r="D423" i="32"/>
  <c r="D424" i="32" s="1"/>
  <c r="AI140" i="21" s="1"/>
  <c r="Y78" i="1"/>
  <c r="F764" i="32"/>
  <c r="AC69" i="1"/>
  <c r="P117" i="26"/>
  <c r="Q116" i="26" s="1"/>
  <c r="Q805" i="32"/>
  <c r="H806" i="32" s="1"/>
  <c r="I806" i="32" s="1"/>
  <c r="AH119" i="21"/>
  <c r="AI119" i="21"/>
  <c r="T99" i="21"/>
  <c r="X75" i="1"/>
  <c r="Y75" i="1"/>
  <c r="R408" i="32"/>
  <c r="F408" i="32" s="1"/>
  <c r="X81" i="1"/>
  <c r="Y81" i="1"/>
  <c r="BD75" i="1"/>
  <c r="BD85" i="1"/>
  <c r="AN47" i="1" s="1"/>
  <c r="F881" i="32"/>
  <c r="K840" i="32"/>
  <c r="F879" i="32"/>
  <c r="G840" i="32"/>
  <c r="Y72" i="1"/>
  <c r="X72" i="1"/>
  <c r="AA99" i="21" l="1"/>
  <c r="X104" i="21" s="1"/>
  <c r="AE98" i="21"/>
  <c r="X103" i="21" s="1"/>
  <c r="Z99" i="21"/>
  <c r="X102" i="21" s="1"/>
  <c r="AB98" i="21"/>
  <c r="M960" i="32"/>
  <c r="G960" i="32" s="1"/>
  <c r="L960" i="32"/>
  <c r="F960" i="32" s="1"/>
  <c r="K960" i="32"/>
  <c r="E960" i="32" s="1"/>
  <c r="J950" i="32"/>
  <c r="D950" i="32" s="1"/>
  <c r="K950" i="32"/>
  <c r="E950" i="32" s="1"/>
  <c r="M950" i="32"/>
  <c r="G950" i="32" s="1"/>
  <c r="L950" i="32"/>
  <c r="F950" i="32" s="1"/>
  <c r="I948" i="32"/>
  <c r="F882" i="32"/>
  <c r="S408" i="32"/>
  <c r="P409" i="32" s="1"/>
  <c r="R409" i="32" s="1"/>
  <c r="F409" i="32" s="1"/>
  <c r="J806" i="32"/>
  <c r="K806" i="32" s="1"/>
  <c r="N632" i="32"/>
  <c r="O632" i="32" s="1"/>
  <c r="F203" i="32"/>
  <c r="M408" i="32"/>
  <c r="AF120" i="21"/>
  <c r="D408" i="32"/>
  <c r="L408" i="32"/>
  <c r="H408" i="32"/>
  <c r="AD69" i="1"/>
  <c r="Q117" i="26"/>
  <c r="R116" i="26" s="1"/>
  <c r="AC75" i="1"/>
  <c r="AC78" i="1"/>
  <c r="AC72" i="1"/>
  <c r="AC81" i="1"/>
  <c r="G763" i="32"/>
  <c r="M949" i="32" l="1"/>
  <c r="G949" i="32"/>
  <c r="K949" i="32"/>
  <c r="E949" i="32"/>
  <c r="L949" i="32"/>
  <c r="F949" i="32"/>
  <c r="J949" i="32"/>
  <c r="D949" i="32"/>
  <c r="M806" i="32"/>
  <c r="J841" i="32" s="1"/>
  <c r="G764" i="32"/>
  <c r="AE69" i="1"/>
  <c r="R117" i="26"/>
  <c r="S116" i="26" s="1"/>
  <c r="F841" i="32"/>
  <c r="P806" i="32"/>
  <c r="AD78" i="1"/>
  <c r="AD72" i="1"/>
  <c r="AD81" i="1"/>
  <c r="AD75" i="1"/>
  <c r="AI120" i="21"/>
  <c r="AH120" i="21"/>
  <c r="S409" i="32"/>
  <c r="P410" i="32" s="1"/>
  <c r="G202" i="32"/>
  <c r="L634" i="32"/>
  <c r="L635" i="32" s="1"/>
  <c r="N633" i="32"/>
  <c r="O633" i="32" s="1"/>
  <c r="D841" i="32"/>
  <c r="O806" i="32"/>
  <c r="AF121" i="21"/>
  <c r="D409" i="32"/>
  <c r="M409" i="32"/>
  <c r="L409" i="32"/>
  <c r="H409" i="32"/>
  <c r="N806" i="32" l="1"/>
  <c r="Q806" i="32" s="1"/>
  <c r="H807" i="32" s="1"/>
  <c r="I807" i="32" s="1"/>
  <c r="J807" i="32" s="1"/>
  <c r="O807" i="32" s="1"/>
  <c r="R410" i="32"/>
  <c r="F410" i="32" s="1"/>
  <c r="G841" i="32"/>
  <c r="G879" i="32"/>
  <c r="K841" i="32"/>
  <c r="G881" i="32"/>
  <c r="S117" i="26"/>
  <c r="T116" i="26" s="1"/>
  <c r="AF69" i="1"/>
  <c r="AI121" i="21"/>
  <c r="AH121" i="21"/>
  <c r="E841" i="32"/>
  <c r="G878" i="32"/>
  <c r="L841" i="32"/>
  <c r="G203" i="32"/>
  <c r="AE72" i="1"/>
  <c r="AE81" i="1"/>
  <c r="AE75" i="1"/>
  <c r="AE78" i="1"/>
  <c r="H763" i="32"/>
  <c r="S410" i="32" l="1"/>
  <c r="P411" i="32" s="1"/>
  <c r="R411" i="32" s="1"/>
  <c r="F411" i="32" s="1"/>
  <c r="T117" i="26"/>
  <c r="U116" i="26" s="1"/>
  <c r="AG69" i="1"/>
  <c r="H202" i="32"/>
  <c r="D842" i="32"/>
  <c r="H764" i="32"/>
  <c r="C763" i="32"/>
  <c r="M841" i="32"/>
  <c r="G882" i="32"/>
  <c r="K807" i="32"/>
  <c r="M807" i="32" s="1"/>
  <c r="AF78" i="1"/>
  <c r="AF72" i="1"/>
  <c r="AF81" i="1"/>
  <c r="AF75" i="1"/>
  <c r="L410" i="32"/>
  <c r="H410" i="32"/>
  <c r="AF122" i="21"/>
  <c r="D410" i="32"/>
  <c r="M410" i="32"/>
  <c r="N807" i="32" l="1"/>
  <c r="Q807" i="32" s="1"/>
  <c r="H808" i="32" s="1"/>
  <c r="I808" i="32" s="1"/>
  <c r="AH122" i="21"/>
  <c r="AI122" i="21"/>
  <c r="H411" i="32"/>
  <c r="M411" i="32"/>
  <c r="D411" i="32"/>
  <c r="L411" i="32"/>
  <c r="AF123" i="21"/>
  <c r="J842" i="32"/>
  <c r="H878" i="32"/>
  <c r="E842" i="32"/>
  <c r="F842" i="32"/>
  <c r="P807" i="32"/>
  <c r="H766" i="32"/>
  <c r="C762" i="32"/>
  <c r="C764" i="32"/>
  <c r="AG72" i="1"/>
  <c r="AG81" i="1"/>
  <c r="AG75" i="1"/>
  <c r="AG78" i="1"/>
  <c r="S411" i="32"/>
  <c r="P412" i="32" s="1"/>
  <c r="H203" i="32"/>
  <c r="U117" i="26"/>
  <c r="V116" i="26" s="1"/>
  <c r="AH69" i="1"/>
  <c r="AI69" i="1" l="1"/>
  <c r="V117" i="26"/>
  <c r="W116" i="26" s="1"/>
  <c r="W117" i="26" s="1"/>
  <c r="X116" i="26" s="1"/>
  <c r="X117" i="26" s="1"/>
  <c r="Y116" i="26" s="1"/>
  <c r="Y117" i="26" s="1"/>
  <c r="Z116" i="26" s="1"/>
  <c r="Z117" i="26" s="1"/>
  <c r="AA116" i="26" s="1"/>
  <c r="AA117" i="26" s="1"/>
  <c r="AB116" i="26" s="1"/>
  <c r="AB117" i="26" s="1"/>
  <c r="AC116" i="26" s="1"/>
  <c r="AC117" i="26" s="1"/>
  <c r="AD116" i="26" s="1"/>
  <c r="AD117" i="26" s="1"/>
  <c r="AE116" i="26" s="1"/>
  <c r="AE117" i="26" s="1"/>
  <c r="AF116" i="26" s="1"/>
  <c r="AF117" i="26" s="1"/>
  <c r="AG116" i="26" s="1"/>
  <c r="AG117" i="26" s="1"/>
  <c r="AH116" i="26" s="1"/>
  <c r="AH117" i="26" s="1"/>
  <c r="AI116" i="26" s="1"/>
  <c r="AI117" i="26" s="1"/>
  <c r="AJ116" i="26" s="1"/>
  <c r="AJ117" i="26" s="1"/>
  <c r="AK116" i="26" s="1"/>
  <c r="AK117" i="26" s="1"/>
  <c r="AL116" i="26" s="1"/>
  <c r="AL117" i="26" s="1"/>
  <c r="AM116" i="26" s="1"/>
  <c r="AM117" i="26" s="1"/>
  <c r="AN116" i="26" s="1"/>
  <c r="AN117" i="26" s="1"/>
  <c r="AO116" i="26" s="1"/>
  <c r="AO117" i="26" s="1"/>
  <c r="AP116" i="26" s="1"/>
  <c r="AP117" i="26" s="1"/>
  <c r="AQ116" i="26" s="1"/>
  <c r="AQ117" i="26" s="1"/>
  <c r="AR116" i="26" s="1"/>
  <c r="AR117" i="26" s="1"/>
  <c r="AS116" i="26" s="1"/>
  <c r="AS117" i="26" s="1"/>
  <c r="AT116" i="26" s="1"/>
  <c r="AT117" i="26" s="1"/>
  <c r="AU116" i="26" s="1"/>
  <c r="AU117" i="26" s="1"/>
  <c r="AV116" i="26" s="1"/>
  <c r="AV117" i="26" s="1"/>
  <c r="AW116" i="26" s="1"/>
  <c r="AW117" i="26" s="1"/>
  <c r="AX116" i="26" s="1"/>
  <c r="AX117" i="26" s="1"/>
  <c r="AY116" i="26" s="1"/>
  <c r="AY117" i="26" s="1"/>
  <c r="AZ116" i="26" s="1"/>
  <c r="AZ117" i="26" s="1"/>
  <c r="BA116" i="26" s="1"/>
  <c r="BA117" i="26" s="1"/>
  <c r="BB116" i="26" s="1"/>
  <c r="BB117" i="26" s="1"/>
  <c r="BC116" i="26" s="1"/>
  <c r="BC117" i="26" s="1"/>
  <c r="BD116" i="26" s="1"/>
  <c r="BD117" i="26" s="1"/>
  <c r="BE116" i="26" s="1"/>
  <c r="BE117" i="26" s="1"/>
  <c r="BF116" i="26" s="1"/>
  <c r="BF117" i="26" s="1"/>
  <c r="BG116" i="26" s="1"/>
  <c r="BG117" i="26" s="1"/>
  <c r="BH116" i="26" s="1"/>
  <c r="BH117" i="26" s="1"/>
  <c r="BI116" i="26" s="1"/>
  <c r="BI117" i="26" s="1"/>
  <c r="BJ116" i="26" s="1"/>
  <c r="BJ117" i="26" s="1"/>
  <c r="BK116" i="26" s="1"/>
  <c r="BK117" i="26" s="1"/>
  <c r="BL116" i="26" s="1"/>
  <c r="BL117" i="26" s="1"/>
  <c r="BM116" i="26" s="1"/>
  <c r="BM117" i="26" s="1"/>
  <c r="BN116" i="26" s="1"/>
  <c r="BN117" i="26" s="1"/>
  <c r="BO116" i="26" s="1"/>
  <c r="BO117" i="26" s="1"/>
  <c r="BP116" i="26" s="1"/>
  <c r="BP117" i="26" s="1"/>
  <c r="BQ116" i="26" s="1"/>
  <c r="BQ117" i="26" s="1"/>
  <c r="BR116" i="26" s="1"/>
  <c r="BR117" i="26" s="1"/>
  <c r="BS116" i="26" s="1"/>
  <c r="BS117" i="26" s="1"/>
  <c r="BT116" i="26" s="1"/>
  <c r="BT117" i="26" s="1"/>
  <c r="BU116" i="26" s="1"/>
  <c r="BU117" i="26" s="1"/>
  <c r="BV116" i="26" s="1"/>
  <c r="BV117" i="26" s="1"/>
  <c r="BW116" i="26" s="1"/>
  <c r="BW117" i="26" s="1"/>
  <c r="BX116" i="26" s="1"/>
  <c r="BX117" i="26" s="1"/>
  <c r="BY116" i="26" s="1"/>
  <c r="BY117" i="26" s="1"/>
  <c r="BZ116" i="26" s="1"/>
  <c r="BZ117" i="26" s="1"/>
  <c r="CA116" i="26" s="1"/>
  <c r="CA117" i="26" s="1"/>
  <c r="CB116" i="26" s="1"/>
  <c r="CB117" i="26" s="1"/>
  <c r="CC116" i="26" s="1"/>
  <c r="CC117" i="26" s="1"/>
  <c r="CD116" i="26" s="1"/>
  <c r="CD117" i="26" s="1"/>
  <c r="CE116" i="26" s="1"/>
  <c r="CE117" i="26" s="1"/>
  <c r="CF116" i="26" s="1"/>
  <c r="CF117" i="26" s="1"/>
  <c r="CG116" i="26" s="1"/>
  <c r="CG117" i="26" s="1"/>
  <c r="CH116" i="26" s="1"/>
  <c r="CH117" i="26" s="1"/>
  <c r="CI116" i="26" s="1"/>
  <c r="CI117" i="26" s="1"/>
  <c r="CJ116" i="26" s="1"/>
  <c r="CJ117" i="26" s="1"/>
  <c r="CK116" i="26" s="1"/>
  <c r="CK117" i="26" s="1"/>
  <c r="CL116" i="26" s="1"/>
  <c r="CL117" i="26" s="1"/>
  <c r="CM116" i="26" s="1"/>
  <c r="CM117" i="26" s="1"/>
  <c r="CN116" i="26" s="1"/>
  <c r="CN117" i="26" s="1"/>
  <c r="CO116" i="26" s="1"/>
  <c r="CO117" i="26" s="1"/>
  <c r="CP116" i="26" s="1"/>
  <c r="CP117" i="26" s="1"/>
  <c r="CQ116" i="26" s="1"/>
  <c r="CQ117" i="26" s="1"/>
  <c r="CR116" i="26" s="1"/>
  <c r="CR117" i="26" s="1"/>
  <c r="CS116" i="26" s="1"/>
  <c r="CS117" i="26" s="1"/>
  <c r="CT116" i="26" s="1"/>
  <c r="CT117" i="26" s="1"/>
  <c r="CU116" i="26" s="1"/>
  <c r="CU117" i="26" s="1"/>
  <c r="CV116" i="26" s="1"/>
  <c r="CV117" i="26" s="1"/>
  <c r="CW116" i="26" s="1"/>
  <c r="CW117" i="26" s="1"/>
  <c r="CX116" i="26" s="1"/>
  <c r="CX117" i="26" s="1"/>
  <c r="CY116" i="26" s="1"/>
  <c r="CY117" i="26" s="1"/>
  <c r="CZ116" i="26" s="1"/>
  <c r="CZ117" i="26" s="1"/>
  <c r="DA116" i="26" s="1"/>
  <c r="DA117" i="26" s="1"/>
  <c r="DB116" i="26" s="1"/>
  <c r="DB117" i="26" s="1"/>
  <c r="DC116" i="26" s="1"/>
  <c r="DC117" i="26" s="1"/>
  <c r="DD116" i="26" s="1"/>
  <c r="DD117" i="26" s="1"/>
  <c r="DE116" i="26" s="1"/>
  <c r="DE117" i="26" s="1"/>
  <c r="DF116" i="26" s="1"/>
  <c r="DF117" i="26" s="1"/>
  <c r="DG116" i="26" s="1"/>
  <c r="DG117" i="26" s="1"/>
  <c r="DH116" i="26" s="1"/>
  <c r="DH117" i="26" s="1"/>
  <c r="DI116" i="26" s="1"/>
  <c r="DI117" i="26" s="1"/>
  <c r="DJ116" i="26" s="1"/>
  <c r="DJ117" i="26" s="1"/>
  <c r="DK116" i="26" s="1"/>
  <c r="DK117" i="26" s="1"/>
  <c r="DL116" i="26" s="1"/>
  <c r="DL117" i="26" s="1"/>
  <c r="DM116" i="26" s="1"/>
  <c r="DM117" i="26" s="1"/>
  <c r="DN116" i="26" s="1"/>
  <c r="DN117" i="26" s="1"/>
  <c r="DO116" i="26" s="1"/>
  <c r="DO117" i="26" s="1"/>
  <c r="DP116" i="26" s="1"/>
  <c r="DP117" i="26" s="1"/>
  <c r="DQ116" i="26" s="1"/>
  <c r="DQ117" i="26" s="1"/>
  <c r="DR116" i="26" s="1"/>
  <c r="DR117" i="26" s="1"/>
  <c r="DS116" i="26" s="1"/>
  <c r="DS117" i="26" s="1"/>
  <c r="DT116" i="26" s="1"/>
  <c r="DT117" i="26" s="1"/>
  <c r="DU116" i="26" s="1"/>
  <c r="DU117" i="26" s="1"/>
  <c r="DV116" i="26" s="1"/>
  <c r="DV117" i="26" s="1"/>
  <c r="I117" i="26" s="1"/>
  <c r="J808" i="32"/>
  <c r="K808" i="32" s="1"/>
  <c r="M808" i="32" s="1"/>
  <c r="H879" i="32"/>
  <c r="G842" i="32"/>
  <c r="AI123" i="21"/>
  <c r="AH123" i="21"/>
  <c r="I202" i="32"/>
  <c r="L842" i="32"/>
  <c r="H881" i="32"/>
  <c r="K842" i="32"/>
  <c r="AH72" i="1"/>
  <c r="AH81" i="1"/>
  <c r="AH75" i="1"/>
  <c r="AH78" i="1"/>
  <c r="R412" i="32"/>
  <c r="F412" i="32" s="1"/>
  <c r="AF124" i="21" l="1"/>
  <c r="M412" i="32"/>
  <c r="H412" i="32"/>
  <c r="L412" i="32"/>
  <c r="D412" i="32"/>
  <c r="F843" i="32"/>
  <c r="P808" i="32"/>
  <c r="I203" i="32"/>
  <c r="J202" i="32" s="1"/>
  <c r="J203" i="32" s="1"/>
  <c r="K202" i="32" s="1"/>
  <c r="K203" i="32" s="1"/>
  <c r="L202" i="32" s="1"/>
  <c r="L203" i="32" s="1"/>
  <c r="M202" i="32" s="1"/>
  <c r="M203" i="32" s="1"/>
  <c r="N202" i="32" s="1"/>
  <c r="N203" i="32" s="1"/>
  <c r="H882" i="32"/>
  <c r="M842" i="32"/>
  <c r="J843" i="32"/>
  <c r="S412" i="32"/>
  <c r="P413" i="32" s="1"/>
  <c r="D843" i="32"/>
  <c r="N808" i="32"/>
  <c r="O808" i="32"/>
  <c r="AI81" i="1"/>
  <c r="AI75" i="1"/>
  <c r="AI78" i="1"/>
  <c r="AI72" i="1"/>
  <c r="C202" i="32" l="1"/>
  <c r="E843" i="32"/>
  <c r="I878" i="32"/>
  <c r="L843" i="32"/>
  <c r="R413" i="32"/>
  <c r="F413" i="32" s="1"/>
  <c r="G843" i="32"/>
  <c r="I879" i="32"/>
  <c r="Q808" i="32"/>
  <c r="H809" i="32" s="1"/>
  <c r="I809" i="32" s="1"/>
  <c r="K843" i="32"/>
  <c r="I881" i="32"/>
  <c r="C201" i="32"/>
  <c r="C203" i="32"/>
  <c r="AH124" i="21"/>
  <c r="AI124" i="21"/>
  <c r="S413" i="32" l="1"/>
  <c r="P414" i="32" s="1"/>
  <c r="R414" i="32" s="1"/>
  <c r="D413" i="32"/>
  <c r="H413" i="32"/>
  <c r="M413" i="32"/>
  <c r="AF125" i="21"/>
  <c r="L413" i="32"/>
  <c r="I882" i="32"/>
  <c r="M843" i="32"/>
  <c r="J809" i="32"/>
  <c r="F414" i="32" l="1"/>
  <c r="H414" i="32" s="1"/>
  <c r="S414" i="32"/>
  <c r="P415" i="32" s="1"/>
  <c r="R415" i="32" s="1"/>
  <c r="F415" i="32" s="1"/>
  <c r="D844" i="32"/>
  <c r="O809" i="32"/>
  <c r="AH125" i="21"/>
  <c r="AI125" i="21"/>
  <c r="K809" i="32"/>
  <c r="AF126" i="21" l="1"/>
  <c r="AH126" i="21" s="1"/>
  <c r="D414" i="32"/>
  <c r="L414" i="32"/>
  <c r="M414" i="32"/>
  <c r="S415" i="32"/>
  <c r="P416" i="32" s="1"/>
  <c r="R416" i="32" s="1"/>
  <c r="F416" i="32" s="1"/>
  <c r="M415" i="32"/>
  <c r="AF127" i="21"/>
  <c r="L415" i="32"/>
  <c r="D415" i="32"/>
  <c r="H415" i="32"/>
  <c r="M809" i="32"/>
  <c r="J844" i="32" s="1"/>
  <c r="F844" i="32"/>
  <c r="P809" i="32"/>
  <c r="E844" i="32"/>
  <c r="J878" i="32"/>
  <c r="AI126" i="21" l="1"/>
  <c r="S416" i="32"/>
  <c r="P417" i="32" s="1"/>
  <c r="R417" i="32" s="1"/>
  <c r="F417" i="32" s="1"/>
  <c r="J879" i="32"/>
  <c r="G844" i="32"/>
  <c r="AH127" i="21"/>
  <c r="AI127" i="21"/>
  <c r="K844" i="32"/>
  <c r="J881" i="32"/>
  <c r="N809" i="32"/>
  <c r="Q809" i="32" s="1"/>
  <c r="H810" i="32" s="1"/>
  <c r="I810" i="32" s="1"/>
  <c r="L844" i="32"/>
  <c r="D416" i="32"/>
  <c r="H416" i="32"/>
  <c r="L416" i="32"/>
  <c r="AF128" i="21"/>
  <c r="M416" i="32"/>
  <c r="M417" i="32" l="1"/>
  <c r="D417" i="32"/>
  <c r="H417" i="32"/>
  <c r="AF129" i="21"/>
  <c r="L417" i="32"/>
  <c r="AH128" i="21"/>
  <c r="AI128" i="21"/>
  <c r="J810" i="32"/>
  <c r="M844" i="32"/>
  <c r="J882" i="32"/>
  <c r="S417" i="32"/>
  <c r="P418" i="32" s="1"/>
  <c r="D845" i="32" l="1"/>
  <c r="O810" i="32"/>
  <c r="AH129" i="21"/>
  <c r="AI129" i="21"/>
  <c r="R418" i="32"/>
  <c r="F418" i="32" s="1"/>
  <c r="K810" i="32"/>
  <c r="M810" i="32" s="1"/>
  <c r="J845" i="32" s="1"/>
  <c r="S418" i="32" l="1"/>
  <c r="P419" i="32" s="1"/>
  <c r="R419" i="32" s="1"/>
  <c r="F419" i="32" s="1"/>
  <c r="AF130" i="21"/>
  <c r="M418" i="32"/>
  <c r="H418" i="32"/>
  <c r="D418" i="32"/>
  <c r="L418" i="32"/>
  <c r="K845" i="32"/>
  <c r="K881" i="32"/>
  <c r="N810" i="32"/>
  <c r="Q810" i="32" s="1"/>
  <c r="H811" i="32" s="1"/>
  <c r="I811" i="32" s="1"/>
  <c r="F845" i="32"/>
  <c r="L845" i="32" s="1"/>
  <c r="P810" i="32"/>
  <c r="E845" i="32"/>
  <c r="K878" i="32"/>
  <c r="S419" i="32" l="1"/>
  <c r="P420" i="32" s="1"/>
  <c r="R420" i="32" s="1"/>
  <c r="F420" i="32" s="1"/>
  <c r="M845" i="32"/>
  <c r="K882" i="32"/>
  <c r="K879" i="32"/>
  <c r="G845" i="32"/>
  <c r="J811" i="32"/>
  <c r="K811" i="32" s="1"/>
  <c r="P811" i="32" s="1"/>
  <c r="AI130" i="21"/>
  <c r="AH130" i="21"/>
  <c r="L419" i="32"/>
  <c r="M419" i="32"/>
  <c r="D419" i="32"/>
  <c r="AF131" i="21"/>
  <c r="H419" i="32"/>
  <c r="S420" i="32" l="1"/>
  <c r="P421" i="32" s="1"/>
  <c r="R421" i="32" s="1"/>
  <c r="F421" i="32" s="1"/>
  <c r="AI131" i="21"/>
  <c r="AH131" i="21"/>
  <c r="M811" i="32"/>
  <c r="J846" i="32" s="1"/>
  <c r="F846" i="32"/>
  <c r="D420" i="32"/>
  <c r="H420" i="32"/>
  <c r="AF132" i="21"/>
  <c r="L420" i="32"/>
  <c r="M420" i="32"/>
  <c r="D846" i="32"/>
  <c r="O811" i="32"/>
  <c r="N811" i="32" l="1"/>
  <c r="Q811" i="32" s="1"/>
  <c r="H812" i="32" s="1"/>
  <c r="I812" i="32" s="1"/>
  <c r="J812" i="32" s="1"/>
  <c r="O812" i="32" s="1"/>
  <c r="M421" i="32"/>
  <c r="D421" i="32"/>
  <c r="D422" i="32" s="1"/>
  <c r="L421" i="32"/>
  <c r="AF133" i="21"/>
  <c r="H421" i="32"/>
  <c r="G846" i="32"/>
  <c r="L879" i="32"/>
  <c r="AH132" i="21"/>
  <c r="AI132" i="21"/>
  <c r="L881" i="32"/>
  <c r="K846" i="32"/>
  <c r="E846" i="32"/>
  <c r="L878" i="32"/>
  <c r="L846" i="32"/>
  <c r="S421" i="32"/>
  <c r="P422" i="32" s="1"/>
  <c r="K812" i="32" l="1"/>
  <c r="M812" i="32" s="1"/>
  <c r="J847" i="32" s="1"/>
  <c r="K847" i="32" s="1"/>
  <c r="AH133" i="21"/>
  <c r="AI133" i="21"/>
  <c r="R422" i="32"/>
  <c r="F422" i="32" s="1"/>
  <c r="G422" i="32" s="1"/>
  <c r="L882" i="32"/>
  <c r="M846" i="32"/>
  <c r="D847" i="32"/>
  <c r="N812" i="32" l="1"/>
  <c r="Q812" i="32" s="1"/>
  <c r="H813" i="32" s="1"/>
  <c r="I813" i="32" s="1"/>
  <c r="J813" i="32" s="1"/>
  <c r="F847" i="32"/>
  <c r="G847" i="32" s="1"/>
  <c r="M881" i="32"/>
  <c r="P812" i="32"/>
  <c r="S422" i="32"/>
  <c r="AG134" i="21"/>
  <c r="AG135" i="21" s="1"/>
  <c r="G423" i="32"/>
  <c r="H422" i="32"/>
  <c r="L422" i="32"/>
  <c r="L423" i="32" s="1"/>
  <c r="AF134" i="21"/>
  <c r="M422" i="32"/>
  <c r="M423" i="32" s="1"/>
  <c r="AI139" i="21" s="1"/>
  <c r="F423" i="32"/>
  <c r="H423" i="32" s="1"/>
  <c r="M878" i="32"/>
  <c r="E847" i="32"/>
  <c r="M879" i="32" l="1"/>
  <c r="L847" i="32"/>
  <c r="M882" i="32" s="1"/>
  <c r="D848" i="32"/>
  <c r="O813" i="32"/>
  <c r="I423" i="32"/>
  <c r="K813" i="32"/>
  <c r="AH134" i="21"/>
  <c r="AH135" i="21" s="1"/>
  <c r="AI134" i="21"/>
  <c r="AF135" i="21"/>
  <c r="M847" i="32" l="1"/>
  <c r="F848" i="32"/>
  <c r="P813" i="32"/>
  <c r="AI137" i="21"/>
  <c r="AI138" i="21"/>
  <c r="M813" i="32"/>
  <c r="J848" i="32" s="1"/>
  <c r="N878" i="32"/>
  <c r="E848" i="32"/>
  <c r="L848" i="32" l="1"/>
  <c r="N882" i="32" s="1"/>
  <c r="N813" i="32"/>
  <c r="Q813" i="32" s="1"/>
  <c r="H814" i="32" s="1"/>
  <c r="I814" i="32" s="1"/>
  <c r="J814" i="32" s="1"/>
  <c r="N881" i="32"/>
  <c r="K848" i="32"/>
  <c r="N879" i="32"/>
  <c r="G848" i="32"/>
  <c r="M848" i="32" l="1"/>
  <c r="D849" i="32"/>
  <c r="O814" i="32"/>
  <c r="K814" i="32"/>
  <c r="M814" i="32" s="1"/>
  <c r="J849" i="32" s="1"/>
  <c r="K849" i="32" l="1"/>
  <c r="O881" i="32"/>
  <c r="N814" i="32"/>
  <c r="Q814" i="32" s="1"/>
  <c r="H815" i="32" s="1"/>
  <c r="I815" i="32" s="1"/>
  <c r="F849" i="32"/>
  <c r="P814" i="32"/>
  <c r="O878" i="32"/>
  <c r="E849" i="32"/>
  <c r="G849" i="32" l="1"/>
  <c r="O879" i="32"/>
  <c r="J815" i="32"/>
  <c r="L849" i="32"/>
  <c r="D850" i="32" l="1"/>
  <c r="O815" i="32"/>
  <c r="M849" i="32"/>
  <c r="O882" i="32"/>
  <c r="K815" i="32"/>
  <c r="F850" i="32" l="1"/>
  <c r="P815" i="32"/>
  <c r="M815" i="32"/>
  <c r="J850" i="32" s="1"/>
  <c r="P878" i="32"/>
  <c r="E850" i="32"/>
  <c r="L850" i="32" l="1"/>
  <c r="M850" i="32" s="1"/>
  <c r="P881" i="32"/>
  <c r="K850" i="32"/>
  <c r="N815" i="32"/>
  <c r="Q815" i="32" s="1"/>
  <c r="H816" i="32" s="1"/>
  <c r="I816" i="32" s="1"/>
  <c r="G850" i="32"/>
  <c r="P879" i="32"/>
  <c r="P882" i="32" l="1"/>
  <c r="J816" i="32"/>
  <c r="K816" i="32" s="1"/>
  <c r="M816" i="32" l="1"/>
  <c r="J851" i="32" s="1"/>
  <c r="K851" i="32" s="1"/>
  <c r="F851" i="32"/>
  <c r="P816" i="32"/>
  <c r="D851" i="32"/>
  <c r="O816" i="32"/>
  <c r="N816" i="32" l="1"/>
  <c r="Q816" i="32" s="1"/>
  <c r="H817" i="32" s="1"/>
  <c r="I817" i="32" s="1"/>
  <c r="J817" i="32" s="1"/>
  <c r="Q881" i="32"/>
  <c r="G851" i="32"/>
  <c r="Q879" i="32"/>
  <c r="E851" i="32"/>
  <c r="Q878" i="32"/>
  <c r="L851" i="32"/>
  <c r="D852" i="32" l="1"/>
  <c r="Q882" i="32"/>
  <c r="M851" i="32"/>
  <c r="K817" i="32"/>
  <c r="O817" i="32"/>
  <c r="F852" i="32" l="1"/>
  <c r="P817" i="32"/>
  <c r="M817" i="32"/>
  <c r="J852" i="32" s="1"/>
  <c r="R878" i="32"/>
  <c r="E852" i="32"/>
  <c r="L852" i="32" l="1"/>
  <c r="M852" i="32" s="1"/>
  <c r="N817" i="32"/>
  <c r="Q817" i="32" s="1"/>
  <c r="H818" i="32" s="1"/>
  <c r="I818" i="32" s="1"/>
  <c r="J818" i="32" s="1"/>
  <c r="K818" i="32" s="1"/>
  <c r="F853" i="32" s="1"/>
  <c r="R879" i="32"/>
  <c r="G852" i="32"/>
  <c r="K852" i="32"/>
  <c r="R881" i="32"/>
  <c r="R882" i="32" l="1"/>
  <c r="S879" i="32"/>
  <c r="G853" i="32"/>
  <c r="D853" i="32"/>
  <c r="O818" i="32"/>
  <c r="P818" i="32"/>
  <c r="M818" i="32"/>
  <c r="J853" i="32" s="1"/>
  <c r="N818" i="32" l="1"/>
  <c r="Q818" i="32" s="1"/>
  <c r="H819" i="32" s="1"/>
  <c r="I819" i="32" s="1"/>
  <c r="J819" i="32" s="1"/>
  <c r="O819" i="32" s="1"/>
  <c r="L853" i="32"/>
  <c r="S881" i="32"/>
  <c r="K853" i="32"/>
  <c r="S878" i="32"/>
  <c r="E853" i="32"/>
  <c r="K819" i="32" l="1"/>
  <c r="F854" i="32" s="1"/>
  <c r="T879" i="32" s="1"/>
  <c r="S882" i="32"/>
  <c r="M853" i="32"/>
  <c r="D854" i="32"/>
  <c r="P819" i="32" l="1"/>
  <c r="G854" i="32"/>
  <c r="M819" i="32"/>
  <c r="T878" i="32"/>
  <c r="E854" i="32"/>
  <c r="J854" i="32" l="1"/>
  <c r="N819" i="32"/>
  <c r="Q819" i="32" s="1"/>
  <c r="H820" i="32" s="1"/>
  <c r="I820" i="32" s="1"/>
  <c r="J820" i="32" l="1"/>
  <c r="K820" i="32" s="1"/>
  <c r="T881" i="32"/>
  <c r="K854" i="32"/>
  <c r="L854" i="32"/>
  <c r="F855" i="32" l="1"/>
  <c r="P820" i="32"/>
  <c r="M854" i="32"/>
  <c r="T882" i="32"/>
  <c r="O820" i="32"/>
  <c r="D855" i="32"/>
  <c r="M820" i="32"/>
  <c r="J855" i="32" s="1"/>
  <c r="K855" i="32" l="1"/>
  <c r="U881" i="32"/>
  <c r="N820" i="32"/>
  <c r="Q820" i="32" s="1"/>
  <c r="H821" i="32" s="1"/>
  <c r="I821" i="32" s="1"/>
  <c r="J821" i="32" s="1"/>
  <c r="O821" i="32" s="1"/>
  <c r="U878" i="32"/>
  <c r="L855" i="32"/>
  <c r="E855" i="32"/>
  <c r="U879" i="32"/>
  <c r="G855" i="32"/>
  <c r="D856" i="32" l="1"/>
  <c r="K821" i="32"/>
  <c r="M855" i="32"/>
  <c r="U882" i="32"/>
  <c r="M821" i="32" l="1"/>
  <c r="J856" i="32" s="1"/>
  <c r="E856" i="32"/>
  <c r="V878" i="32"/>
  <c r="F856" i="32"/>
  <c r="P821" i="32"/>
  <c r="K856" i="32" l="1"/>
  <c r="V881" i="32"/>
  <c r="L856" i="32"/>
  <c r="G856" i="32"/>
  <c r="V879" i="32"/>
  <c r="N821" i="32"/>
  <c r="Q821" i="32" s="1"/>
  <c r="H822" i="32" s="1"/>
  <c r="I822" i="32" s="1"/>
  <c r="J822" i="32" l="1"/>
  <c r="K822" i="32" s="1"/>
  <c r="V882" i="32"/>
  <c r="M856" i="32"/>
  <c r="F857" i="32" l="1"/>
  <c r="P822" i="32"/>
  <c r="M822" i="32"/>
  <c r="J857" i="32" s="1"/>
  <c r="D857" i="32"/>
  <c r="O822" i="32"/>
  <c r="E857" i="32" l="1"/>
  <c r="W878" i="32"/>
  <c r="L857" i="32"/>
  <c r="K857" i="32"/>
  <c r="W881" i="32"/>
  <c r="N822" i="32"/>
  <c r="Q822" i="32" s="1"/>
  <c r="H823" i="32" s="1"/>
  <c r="I823" i="32" s="1"/>
  <c r="J823" i="32" s="1"/>
  <c r="G857" i="32"/>
  <c r="W879" i="32"/>
  <c r="D858" i="32" l="1"/>
  <c r="J824" i="32"/>
  <c r="O823" i="32"/>
  <c r="W882" i="32"/>
  <c r="M857" i="32"/>
  <c r="K823" i="32"/>
  <c r="M823" i="32" s="1"/>
  <c r="J858" i="32" l="1"/>
  <c r="M824" i="32"/>
  <c r="K824" i="32"/>
  <c r="F858" i="32"/>
  <c r="P823" i="32"/>
  <c r="N823" i="32"/>
  <c r="J829" i="32"/>
  <c r="J826" i="32"/>
  <c r="X878" i="32"/>
  <c r="C878" i="32" s="1"/>
  <c r="E861" i="32" s="1"/>
  <c r="E858" i="32"/>
  <c r="D859" i="32"/>
  <c r="E860" i="32" s="1"/>
  <c r="F859" i="32" l="1"/>
  <c r="G860" i="32" s="1"/>
  <c r="X879" i="32"/>
  <c r="C879" i="32" s="1"/>
  <c r="G861" i="32" s="1"/>
  <c r="G858" i="32"/>
  <c r="Q823" i="32"/>
  <c r="N824" i="32"/>
  <c r="M829" i="32"/>
  <c r="M826" i="32"/>
  <c r="L858" i="32"/>
  <c r="K826" i="32"/>
  <c r="K829" i="32"/>
  <c r="X881" i="32"/>
  <c r="C881" i="32" s="1"/>
  <c r="K861" i="32" s="1"/>
  <c r="J859" i="32"/>
  <c r="K860" i="32" s="1"/>
  <c r="K858" i="32"/>
  <c r="M858" i="32" l="1"/>
  <c r="L859" i="32"/>
  <c r="M860" i="32" s="1"/>
  <c r="X882" i="32"/>
  <c r="C882" i="32" s="1"/>
  <c r="M861" i="32" s="1"/>
  <c r="N826" i="32"/>
  <c r="N829" i="32"/>
  <c r="D975" i="32"/>
  <c r="J975" i="32"/>
  <c r="J972" i="32" s="1"/>
  <c r="J974" i="32" s="1"/>
  <c r="J984" i="32" s="1"/>
  <c r="J985" i="32" s="1"/>
  <c r="J982" i="32" s="1"/>
  <c r="D981" i="32" s="1"/>
  <c r="D976" i="32"/>
  <c r="E975" i="32"/>
  <c r="F975" i="32"/>
  <c r="G975" i="32"/>
  <c r="K975" i="32"/>
  <c r="K972" i="32" s="1"/>
  <c r="K974" i="32" s="1"/>
  <c r="L975" i="32"/>
  <c r="L972" i="32" s="1"/>
  <c r="L974" i="32" s="1"/>
  <c r="M975" i="32"/>
  <c r="M972" i="32" s="1"/>
  <c r="M974" i="32" s="1"/>
  <c r="E976" i="32"/>
  <c r="F976" i="32"/>
  <c r="G976" i="32"/>
  <c r="G974" i="32" l="1"/>
  <c r="M984" i="32"/>
  <c r="M985" i="32" s="1"/>
  <c r="F974" i="32"/>
  <c r="L984" i="32"/>
  <c r="L985" i="32" s="1"/>
  <c r="E974" i="32"/>
  <c r="K984" i="32"/>
  <c r="K985" i="32" s="1"/>
  <c r="K982" i="32" s="1"/>
  <c r="D974" i="32"/>
  <c r="L982" i="32" l="1"/>
  <c r="E981" i="32"/>
  <c r="M982" i="32" l="1"/>
  <c r="G981" i="32" s="1"/>
  <c r="F981" i="32"/>
  <c r="T138" i="38"/>
  <c r="T136" i="38"/>
  <c r="Q136" i="38"/>
  <c r="T135" i="38"/>
  <c r="Q135" i="38"/>
  <c r="T134" i="38"/>
  <c r="Q134" i="38"/>
  <c r="T132" i="38"/>
  <c r="T131" i="38"/>
  <c r="Q131" i="38"/>
  <c r="T130" i="38"/>
  <c r="Q130" i="38"/>
  <c r="T129" i="38"/>
  <c r="Q129" i="38"/>
  <c r="T125" i="38"/>
  <c r="S125" i="38"/>
  <c r="Q125" i="38"/>
  <c r="T124" i="38"/>
  <c r="S124" i="38"/>
  <c r="Q124" i="38"/>
  <c r="T119" i="38"/>
  <c r="S119" i="38"/>
  <c r="Q119" i="38"/>
  <c r="T117" i="38"/>
  <c r="S117" i="38"/>
  <c r="Q117" i="38"/>
  <c r="T116" i="38"/>
  <c r="S116" i="38"/>
  <c r="Q116" i="38"/>
  <c r="T115" i="38"/>
  <c r="S115" i="38"/>
  <c r="Q115" i="38"/>
  <c r="T112" i="38"/>
  <c r="S112" i="38"/>
  <c r="Q112" i="38"/>
  <c r="T111" i="38"/>
  <c r="S111" i="38"/>
  <c r="Q111" i="38"/>
  <c r="T110" i="38"/>
  <c r="S110" i="38"/>
  <c r="Q110" i="38"/>
  <c r="T109" i="38"/>
  <c r="S109" i="38"/>
  <c r="Q109" i="38"/>
  <c r="T108" i="38"/>
  <c r="S108" i="38"/>
  <c r="Q108" i="38"/>
  <c r="O90" i="38"/>
  <c r="O89" i="38"/>
  <c r="R83" i="38"/>
  <c r="Q83" i="38"/>
  <c r="P83" i="38"/>
  <c r="O83" i="38"/>
  <c r="N83" i="38"/>
  <c r="M83" i="38"/>
  <c r="K83" i="38"/>
  <c r="R82" i="38"/>
  <c r="Q82" i="38"/>
  <c r="P82" i="38"/>
  <c r="O82" i="38"/>
  <c r="N82" i="38"/>
  <c r="M82" i="38"/>
  <c r="K82" i="38"/>
  <c r="R81" i="38"/>
  <c r="Q81" i="38"/>
  <c r="P81" i="38"/>
  <c r="O81" i="38"/>
  <c r="N81" i="38"/>
  <c r="M81" i="38"/>
  <c r="K81" i="38"/>
  <c r="R80" i="38"/>
  <c r="Q80" i="38"/>
  <c r="P80" i="38"/>
  <c r="O80" i="38"/>
  <c r="N80" i="38"/>
  <c r="M80" i="38"/>
  <c r="K80" i="38"/>
  <c r="R79" i="38"/>
  <c r="Q79" i="38"/>
  <c r="P79" i="38"/>
  <c r="O79" i="38"/>
  <c r="N79" i="38"/>
  <c r="M79" i="38"/>
  <c r="K79" i="38"/>
  <c r="R78" i="38"/>
  <c r="Q78" i="38"/>
  <c r="P78" i="38"/>
  <c r="O78" i="38"/>
  <c r="N78" i="38"/>
  <c r="M78" i="38"/>
  <c r="K78" i="38"/>
  <c r="D78" i="38"/>
  <c r="U77" i="38"/>
  <c r="R77" i="38"/>
  <c r="Q77" i="38"/>
  <c r="P77" i="38"/>
  <c r="O77" i="38"/>
  <c r="N77" i="38"/>
  <c r="M77" i="38"/>
  <c r="K77" i="38"/>
  <c r="D77" i="38"/>
  <c r="U76" i="38"/>
  <c r="R76" i="38"/>
  <c r="Q76" i="38"/>
  <c r="P76" i="38"/>
  <c r="O76" i="38"/>
  <c r="N76" i="38"/>
  <c r="M76" i="38"/>
  <c r="K76" i="38"/>
  <c r="U75" i="38"/>
  <c r="R75" i="38"/>
  <c r="Q75" i="38"/>
  <c r="P75" i="38"/>
  <c r="O75" i="38"/>
  <c r="N75" i="38"/>
  <c r="M75" i="38"/>
  <c r="K75" i="38"/>
  <c r="D75" i="38"/>
  <c r="U74" i="38"/>
  <c r="R74" i="38"/>
  <c r="Q74" i="38"/>
  <c r="P74" i="38"/>
  <c r="O74" i="38"/>
  <c r="N74" i="38"/>
  <c r="M74" i="38"/>
  <c r="K74" i="38"/>
  <c r="D74" i="38"/>
  <c r="U73" i="38"/>
  <c r="R73" i="38"/>
  <c r="Q73" i="38"/>
  <c r="P73" i="38"/>
  <c r="O73" i="38"/>
  <c r="N73" i="38"/>
  <c r="M73" i="38"/>
  <c r="K73" i="38"/>
  <c r="U72" i="38"/>
  <c r="R72" i="38"/>
  <c r="Q72" i="38"/>
  <c r="P72" i="38"/>
  <c r="O72" i="38"/>
  <c r="N72" i="38"/>
  <c r="M72" i="38"/>
  <c r="K72" i="38"/>
  <c r="U71" i="38"/>
  <c r="R71" i="38"/>
  <c r="Q71" i="38"/>
  <c r="P71" i="38"/>
  <c r="O71" i="38"/>
  <c r="N71" i="38"/>
  <c r="M71" i="38"/>
  <c r="K71" i="38"/>
  <c r="U70" i="38"/>
  <c r="R70" i="38"/>
  <c r="Q70" i="38"/>
  <c r="P70" i="38"/>
  <c r="O70" i="38"/>
  <c r="N70" i="38"/>
  <c r="M70" i="38"/>
  <c r="K70" i="38"/>
  <c r="U69" i="38"/>
  <c r="R69" i="38"/>
  <c r="Q69" i="38"/>
  <c r="P69" i="38"/>
  <c r="O69" i="38"/>
  <c r="N69" i="38"/>
  <c r="M69" i="38"/>
  <c r="K69" i="38"/>
  <c r="U68" i="38"/>
  <c r="R68" i="38"/>
  <c r="Q68" i="38"/>
  <c r="P68" i="38"/>
  <c r="O68" i="38"/>
  <c r="N68" i="38"/>
  <c r="M68" i="38"/>
  <c r="K68" i="38"/>
  <c r="D67" i="38"/>
  <c r="D66" i="38"/>
  <c r="AK65" i="38"/>
  <c r="AJ65" i="38"/>
  <c r="AJ71" i="38" s="1"/>
  <c r="AI65" i="38"/>
  <c r="AI71" i="38" s="1"/>
  <c r="AH65" i="38"/>
  <c r="AH71" i="38" s="1"/>
  <c r="AG65" i="38"/>
  <c r="AG71" i="38" s="1"/>
  <c r="AF65" i="38"/>
  <c r="AF71" i="38" s="1"/>
  <c r="AE65" i="38"/>
  <c r="AE71" i="38" s="1"/>
  <c r="AD65" i="38"/>
  <c r="AD71" i="38" s="1"/>
  <c r="AC65" i="38"/>
  <c r="AC71" i="38" s="1"/>
  <c r="AB65" i="38"/>
  <c r="AB71" i="38" s="1"/>
  <c r="D65" i="38"/>
  <c r="D64" i="38"/>
  <c r="M52" i="38" s="1"/>
  <c r="O52" i="38" s="1"/>
  <c r="AA24" i="38" s="1"/>
  <c r="D63" i="38"/>
  <c r="P59" i="38"/>
  <c r="O59" i="38" s="1"/>
  <c r="P58" i="38"/>
  <c r="P57" i="38"/>
  <c r="P52" i="38"/>
  <c r="AK51" i="38"/>
  <c r="AJ51" i="38"/>
  <c r="AI51" i="38"/>
  <c r="AH51" i="38"/>
  <c r="AG51" i="38"/>
  <c r="AF51" i="38"/>
  <c r="AE51" i="38"/>
  <c r="AD51" i="38"/>
  <c r="AC51" i="38"/>
  <c r="AB51" i="38"/>
  <c r="AA51" i="38"/>
  <c r="P51" i="38"/>
  <c r="AK50" i="38"/>
  <c r="AK55" i="38" s="1"/>
  <c r="AJ50" i="38"/>
  <c r="AJ55" i="38" s="1"/>
  <c r="AI50" i="38"/>
  <c r="AI55" i="38" s="1"/>
  <c r="AH50" i="38"/>
  <c r="AH55" i="38" s="1"/>
  <c r="AG50" i="38"/>
  <c r="AG55" i="38" s="1"/>
  <c r="AF50" i="38"/>
  <c r="AF55" i="38" s="1"/>
  <c r="AE50" i="38"/>
  <c r="AE55" i="38" s="1"/>
  <c r="AD50" i="38"/>
  <c r="AD55" i="38" s="1"/>
  <c r="AC50" i="38"/>
  <c r="AC55" i="38" s="1"/>
  <c r="AB50" i="38"/>
  <c r="AB55" i="38" s="1"/>
  <c r="AA50" i="38"/>
  <c r="AA55" i="38" s="1"/>
  <c r="AA61" i="38" s="1"/>
  <c r="P50" i="38"/>
  <c r="AA23" i="38" s="1"/>
  <c r="P49" i="38"/>
  <c r="AK47" i="38"/>
  <c r="AJ47" i="38"/>
  <c r="AI47" i="38"/>
  <c r="AH47" i="38"/>
  <c r="AG47" i="38"/>
  <c r="AF47" i="38"/>
  <c r="AE47" i="38"/>
  <c r="AD47" i="38"/>
  <c r="AC47" i="38"/>
  <c r="AB47" i="38"/>
  <c r="AA47" i="38"/>
  <c r="AK43" i="38"/>
  <c r="AJ43" i="38"/>
  <c r="AI43" i="38"/>
  <c r="AH43" i="38"/>
  <c r="AG43" i="38"/>
  <c r="AF43" i="38"/>
  <c r="AE43" i="38"/>
  <c r="AD43" i="38"/>
  <c r="AC43" i="38"/>
  <c r="AB43" i="38"/>
  <c r="AA43" i="38"/>
  <c r="AJ40" i="38"/>
  <c r="AI40" i="38"/>
  <c r="AH40" i="38"/>
  <c r="AG40" i="38"/>
  <c r="AF40" i="38"/>
  <c r="AE40" i="38"/>
  <c r="AD40" i="38"/>
  <c r="AC40" i="38"/>
  <c r="AB40" i="38"/>
  <c r="AK37" i="38"/>
  <c r="AJ37" i="38"/>
  <c r="AI37" i="38"/>
  <c r="AH37" i="38"/>
  <c r="AG37" i="38"/>
  <c r="AF37" i="38"/>
  <c r="AE37" i="38"/>
  <c r="AD37" i="38"/>
  <c r="AC37" i="38"/>
  <c r="AB37" i="38"/>
  <c r="AK34" i="38"/>
  <c r="AJ34" i="38"/>
  <c r="AI34" i="38"/>
  <c r="AH34" i="38"/>
  <c r="AG34" i="38"/>
  <c r="AF34" i="38"/>
  <c r="AE34" i="38"/>
  <c r="AD34" i="38"/>
  <c r="AC34" i="38"/>
  <c r="AB34" i="38"/>
  <c r="AK33" i="38"/>
  <c r="AJ33" i="38"/>
  <c r="AI33" i="38"/>
  <c r="AH33" i="38"/>
  <c r="AG33" i="38"/>
  <c r="AF33" i="38"/>
  <c r="AE33" i="38"/>
  <c r="AD33" i="38"/>
  <c r="AC33" i="38"/>
  <c r="AB33" i="38"/>
  <c r="U33" i="38"/>
  <c r="AA21" i="38" s="1"/>
  <c r="AK31" i="38"/>
  <c r="AK39" i="38" s="1"/>
  <c r="AJ31" i="38"/>
  <c r="AJ39" i="38" s="1"/>
  <c r="AJ41" i="38" s="1"/>
  <c r="AI31" i="38"/>
  <c r="AI39" i="38" s="1"/>
  <c r="AI41" i="38" s="1"/>
  <c r="AH31" i="38"/>
  <c r="AH39" i="38" s="1"/>
  <c r="AH41" i="38" s="1"/>
  <c r="AG31" i="38"/>
  <c r="AG39" i="38" s="1"/>
  <c r="AG41" i="38" s="1"/>
  <c r="AF31" i="38"/>
  <c r="AF39" i="38" s="1"/>
  <c r="AF41" i="38" s="1"/>
  <c r="AE31" i="38"/>
  <c r="AE39" i="38" s="1"/>
  <c r="AE41" i="38" s="1"/>
  <c r="AD31" i="38"/>
  <c r="AD39" i="38" s="1"/>
  <c r="AD41" i="38" s="1"/>
  <c r="AC31" i="38"/>
  <c r="AC39" i="38" s="1"/>
  <c r="AC41" i="38" s="1"/>
  <c r="AB31" i="38"/>
  <c r="AB39" i="38" s="1"/>
  <c r="AB41" i="38" s="1"/>
  <c r="M31" i="38"/>
  <c r="AK30" i="38"/>
  <c r="AJ30" i="38"/>
  <c r="AI30" i="38"/>
  <c r="AH30" i="38"/>
  <c r="AG30" i="38"/>
  <c r="AF30" i="38"/>
  <c r="AE30" i="38"/>
  <c r="AD30" i="38"/>
  <c r="AC30" i="38"/>
  <c r="AB30" i="38"/>
  <c r="AK29" i="38"/>
  <c r="AJ29" i="38"/>
  <c r="AI29" i="38"/>
  <c r="AH29" i="38"/>
  <c r="AG29" i="38"/>
  <c r="AF29" i="38"/>
  <c r="AE29" i="38"/>
  <c r="AD29" i="38"/>
  <c r="AC29" i="38"/>
  <c r="AB29" i="38"/>
  <c r="M29" i="38"/>
  <c r="N29" i="38" s="1"/>
  <c r="AK28" i="38"/>
  <c r="AJ28" i="38"/>
  <c r="AI28" i="38"/>
  <c r="AH28" i="38"/>
  <c r="AG28" i="38"/>
  <c r="AF28" i="38"/>
  <c r="AE28" i="38"/>
  <c r="AD28" i="38"/>
  <c r="AC28" i="38"/>
  <c r="AB28" i="38"/>
  <c r="AK27" i="38"/>
  <c r="AJ27" i="38"/>
  <c r="AI27" i="38"/>
  <c r="AH27" i="38"/>
  <c r="AG27" i="38"/>
  <c r="AF27" i="38"/>
  <c r="AE27" i="38"/>
  <c r="AD27" i="38"/>
  <c r="AC27" i="38"/>
  <c r="AB27" i="38"/>
  <c r="U27" i="38"/>
  <c r="T27" i="38"/>
  <c r="S27" i="38"/>
  <c r="R27" i="38"/>
  <c r="M27" i="38"/>
  <c r="N27" i="38" s="1"/>
  <c r="AK26" i="38"/>
  <c r="AJ26" i="38"/>
  <c r="AI26" i="38"/>
  <c r="AH26" i="38"/>
  <c r="AG26" i="38"/>
  <c r="AF26" i="38"/>
  <c r="AE26" i="38"/>
  <c r="AD26" i="38"/>
  <c r="AC26" i="38"/>
  <c r="AB26" i="38"/>
  <c r="N26" i="38"/>
  <c r="M26" i="38"/>
  <c r="T25" i="38"/>
  <c r="S25" i="38"/>
  <c r="R25" i="38"/>
  <c r="T24" i="38"/>
  <c r="S24" i="38"/>
  <c r="R24" i="38"/>
  <c r="M24" i="38"/>
  <c r="U23" i="38"/>
  <c r="T23" i="38"/>
  <c r="S23" i="38"/>
  <c r="R23" i="38"/>
  <c r="M23" i="38"/>
  <c r="AA64" i="38" s="1"/>
  <c r="T22" i="38"/>
  <c r="R22" i="38"/>
  <c r="U19" i="38"/>
  <c r="T19" i="38"/>
  <c r="AA18" i="38"/>
  <c r="U17" i="38"/>
  <c r="AA53" i="38" s="1"/>
  <c r="T17" i="38"/>
  <c r="M17" i="38"/>
  <c r="U16" i="38"/>
  <c r="T16" i="38"/>
  <c r="R16" i="38"/>
  <c r="AA15" i="38"/>
  <c r="U15" i="38"/>
  <c r="T15" i="38"/>
  <c r="R15" i="38"/>
  <c r="N15" i="38"/>
  <c r="M15" i="38"/>
  <c r="M14" i="38"/>
  <c r="N14" i="38" s="1"/>
  <c r="AK12" i="38"/>
  <c r="AJ12" i="38"/>
  <c r="AI12" i="38"/>
  <c r="AH12" i="38"/>
  <c r="AG12" i="38"/>
  <c r="AF12" i="38"/>
  <c r="AE12" i="38"/>
  <c r="AD12" i="38"/>
  <c r="AC12" i="38"/>
  <c r="AB12" i="38"/>
  <c r="AA12" i="38"/>
  <c r="T141" i="38" l="1"/>
  <c r="AG32" i="38"/>
  <c r="AG36" i="38" s="1"/>
  <c r="AH32" i="38"/>
  <c r="AH36" i="38" s="1"/>
  <c r="AD32" i="38"/>
  <c r="AD36" i="38" s="1"/>
  <c r="AF32" i="38"/>
  <c r="AF36" i="38" s="1"/>
  <c r="AC32" i="38"/>
  <c r="AC36" i="38" s="1"/>
  <c r="AE32" i="38"/>
  <c r="AE36" i="38" s="1"/>
  <c r="N20" i="38"/>
  <c r="N18" i="38"/>
  <c r="N30" i="38"/>
  <c r="N19" i="38"/>
  <c r="AK32" i="38"/>
  <c r="AK36" i="38" s="1"/>
  <c r="N84" i="38"/>
  <c r="AA45" i="38"/>
  <c r="AB58" i="38"/>
  <c r="N28" i="38"/>
  <c r="P60" i="38"/>
  <c r="AK22" i="38" s="1"/>
  <c r="AA16" i="38"/>
  <c r="N31" i="38"/>
  <c r="N24" i="38"/>
  <c r="N16" i="38"/>
  <c r="N25" i="38"/>
  <c r="N17" i="38"/>
  <c r="U14" i="38"/>
  <c r="U43" i="38" s="1"/>
  <c r="Q23" i="38" s="1"/>
  <c r="U21" i="38"/>
  <c r="AA19" i="38" s="1"/>
  <c r="AB32" i="38"/>
  <c r="AB36" i="38" s="1"/>
  <c r="AC61" i="38"/>
  <c r="T139" i="38"/>
  <c r="AK66" i="38"/>
  <c r="AK71" i="38" s="1"/>
  <c r="M22" i="38"/>
  <c r="M21" i="38" s="1"/>
  <c r="N21" i="38" s="1"/>
  <c r="AA52" i="38"/>
  <c r="AI32" i="38"/>
  <c r="AI36" i="38" s="1"/>
  <c r="T140" i="38"/>
  <c r="AJ32" i="38"/>
  <c r="AJ36" i="38" s="1"/>
  <c r="AK40" i="38"/>
  <c r="AK41" i="38" s="1"/>
  <c r="AE61" i="38"/>
  <c r="AE58" i="38"/>
  <c r="AF61" i="38"/>
  <c r="AF58" i="38"/>
  <c r="AG58" i="38"/>
  <c r="AG61" i="38"/>
  <c r="AD61" i="38"/>
  <c r="AD58" i="38"/>
  <c r="AH58" i="38"/>
  <c r="AH61" i="38"/>
  <c r="AI58" i="38"/>
  <c r="AI61" i="38"/>
  <c r="AJ58" i="38"/>
  <c r="AJ61" i="38"/>
  <c r="AA71" i="38"/>
  <c r="AK58" i="38"/>
  <c r="AK61" i="38"/>
  <c r="AA58" i="38"/>
  <c r="AA48" i="38"/>
  <c r="AC58" i="38"/>
  <c r="N23" i="38"/>
  <c r="AA44" i="38"/>
  <c r="AA49" i="38"/>
  <c r="AB61" i="38"/>
  <c r="AA56" i="38"/>
  <c r="M43" i="38" l="1"/>
  <c r="N43" i="38" s="1"/>
  <c r="AA17" i="38"/>
  <c r="AA74" i="38"/>
  <c r="N22" i="38"/>
  <c r="AA62" i="38"/>
  <c r="Q18" i="38"/>
  <c r="Q33" i="38"/>
  <c r="Q17" i="38"/>
  <c r="Q15" i="38"/>
  <c r="Q19" i="38"/>
  <c r="Q27" i="38"/>
  <c r="Q16" i="38"/>
  <c r="AA59" i="38"/>
  <c r="AA14" i="38" l="1"/>
  <c r="AA20" i="38" s="1"/>
  <c r="O43" i="38"/>
  <c r="Q43" i="38"/>
  <c r="L30" i="19" l="1"/>
  <c r="S113" i="19"/>
  <c r="AA113" i="19" s="1"/>
  <c r="S77" i="19"/>
  <c r="AA77" i="19" s="1"/>
  <c r="Y114" i="21" s="1"/>
  <c r="L59" i="19"/>
  <c r="S375" i="32" s="1"/>
  <c r="T375" i="32" s="1"/>
  <c r="L25" i="19"/>
  <c r="L58" i="19"/>
  <c r="Q375" i="32" s="1"/>
  <c r="R375" i="32" s="1"/>
  <c r="L31" i="19"/>
  <c r="L39" i="19" s="1"/>
  <c r="J28" i="19"/>
  <c r="AJ58" i="19"/>
  <c r="Q379" i="32" s="1"/>
  <c r="R379" i="32" s="1"/>
  <c r="DD59" i="19"/>
  <c r="S391" i="32" s="1"/>
  <c r="T391" i="32" s="1"/>
  <c r="CL58" i="19"/>
  <c r="Q388" i="32" s="1"/>
  <c r="R388" i="32" s="1"/>
  <c r="AD58" i="19"/>
  <c r="Q378" i="32" s="1"/>
  <c r="R378" i="32" s="1"/>
  <c r="DV59" i="19"/>
  <c r="S394" i="32" s="1"/>
  <c r="T394" i="32" s="1"/>
  <c r="R59" i="19"/>
  <c r="S376" i="32" s="1"/>
  <c r="T376" i="32" s="1"/>
  <c r="EB58" i="19"/>
  <c r="Q395" i="32" s="1"/>
  <c r="R395" i="32" s="1"/>
  <c r="BH59" i="19"/>
  <c r="S383" i="32" s="1"/>
  <c r="T383" i="32" s="1"/>
  <c r="DJ58" i="19"/>
  <c r="Q392" i="32" s="1"/>
  <c r="R392" i="32" s="1"/>
  <c r="CF59" i="19"/>
  <c r="S387" i="32" s="1"/>
  <c r="T387" i="32" s="1"/>
  <c r="BZ59" i="19"/>
  <c r="S386" i="32" s="1"/>
  <c r="T386" i="32" s="1"/>
  <c r="BB58" i="19"/>
  <c r="Q382" i="32" s="1"/>
  <c r="R382" i="32" s="1"/>
  <c r="R58" i="19"/>
  <c r="Q376" i="32" s="1"/>
  <c r="R376" i="32" s="1"/>
  <c r="CF58" i="19"/>
  <c r="Q387" i="32" s="1"/>
  <c r="R387" i="32" s="1"/>
  <c r="DV58" i="19"/>
  <c r="Q394" i="32" s="1"/>
  <c r="R394" i="32" s="1"/>
  <c r="DJ59" i="19"/>
  <c r="S392" i="32" s="1"/>
  <c r="T392" i="32" s="1"/>
  <c r="CR59" i="19"/>
  <c r="S389" i="32" s="1"/>
  <c r="T389" i="32" s="1"/>
  <c r="BT59" i="19"/>
  <c r="S385" i="32" s="1"/>
  <c r="T385" i="32" s="1"/>
  <c r="BH58" i="19"/>
  <c r="Q383" i="32" s="1"/>
  <c r="R383" i="32" s="1"/>
  <c r="AJ59" i="19"/>
  <c r="S379" i="32" s="1"/>
  <c r="T379" i="32" s="1"/>
  <c r="AD59" i="19"/>
  <c r="S378" i="32" s="1"/>
  <c r="T378" i="32" s="1"/>
  <c r="X58" i="19"/>
  <c r="Q377" i="32" s="1"/>
  <c r="R377" i="32" s="1"/>
  <c r="CX59" i="19"/>
  <c r="S390" i="32" s="1"/>
  <c r="T390" i="32" s="1"/>
  <c r="BN58" i="19"/>
  <c r="Q384" i="32" s="1"/>
  <c r="R384" i="32" s="1"/>
  <c r="BZ58" i="19"/>
  <c r="Q386" i="32" s="1"/>
  <c r="R386" i="32" s="1"/>
  <c r="AP59" i="19"/>
  <c r="S380" i="32" s="1"/>
  <c r="T380" i="32" s="1"/>
  <c r="X59" i="19"/>
  <c r="S377" i="32" s="1"/>
  <c r="T377" i="32" s="1"/>
  <c r="AV58" i="19"/>
  <c r="Q381" i="32" s="1"/>
  <c r="R381" i="32" s="1"/>
  <c r="BB59" i="19"/>
  <c r="S382" i="32" s="1"/>
  <c r="T382" i="32" s="1"/>
  <c r="CR58" i="19"/>
  <c r="Q389" i="32" s="1"/>
  <c r="R389" i="32" s="1"/>
  <c r="AP58" i="19"/>
  <c r="Q380" i="32" s="1"/>
  <c r="R380" i="32" s="1"/>
  <c r="BN59" i="19"/>
  <c r="S384" i="32" s="1"/>
  <c r="T384" i="32" s="1"/>
  <c r="CL59" i="19"/>
  <c r="S388" i="32" s="1"/>
  <c r="T388" i="32" s="1"/>
  <c r="BT58" i="19"/>
  <c r="Q385" i="32" s="1"/>
  <c r="R385" i="32" s="1"/>
  <c r="AV59" i="19"/>
  <c r="S381" i="32" s="1"/>
  <c r="T381" i="32" s="1"/>
  <c r="DP58" i="19"/>
  <c r="Q393" i="32" s="1"/>
  <c r="R393" i="32" s="1"/>
  <c r="CX58" i="19"/>
  <c r="Q390" i="32" s="1"/>
  <c r="R390" i="32" s="1"/>
  <c r="DD58" i="19"/>
  <c r="Q391" i="32" s="1"/>
  <c r="R391" i="32" s="1"/>
  <c r="EB59" i="19"/>
  <c r="S395" i="32" s="1"/>
  <c r="T395" i="32" s="1"/>
  <c r="DP59" i="19"/>
  <c r="S393" i="32" s="1"/>
  <c r="T393" i="32" s="1"/>
  <c r="S82" i="19"/>
  <c r="U82" i="19" s="1"/>
  <c r="S84" i="19"/>
  <c r="U84" i="19" s="1"/>
  <c r="S87" i="19"/>
  <c r="AA87" i="19" s="1"/>
  <c r="S95" i="19"/>
  <c r="U95" i="19" s="1"/>
  <c r="S85" i="19"/>
  <c r="U85" i="19" s="1"/>
  <c r="S92" i="19"/>
  <c r="AA92" i="19" s="1"/>
  <c r="S89" i="19"/>
  <c r="U89" i="19" s="1"/>
  <c r="S80" i="19"/>
  <c r="U80" i="19" s="1"/>
  <c r="S96" i="19"/>
  <c r="AA96" i="19" s="1"/>
  <c r="S97" i="19"/>
  <c r="U97" i="19" s="1"/>
  <c r="S86" i="19"/>
  <c r="U86" i="19" s="1"/>
  <c r="S83" i="19"/>
  <c r="AA83" i="19" s="1"/>
  <c r="S90" i="19"/>
  <c r="U90" i="19" s="1"/>
  <c r="S81" i="19"/>
  <c r="U81" i="19" s="1"/>
  <c r="S91" i="19"/>
  <c r="AA91" i="19" s="1"/>
  <c r="S88" i="19"/>
  <c r="U88" i="19" s="1"/>
  <c r="S94" i="19"/>
  <c r="U94" i="19" s="1"/>
  <c r="S79" i="19"/>
  <c r="AA79" i="19" s="1"/>
  <c r="S93" i="19"/>
  <c r="U93" i="19" s="1"/>
  <c r="S78" i="19"/>
  <c r="U78" i="19" s="1"/>
  <c r="S119" i="19"/>
  <c r="AA119" i="19" s="1"/>
  <c r="S114" i="19"/>
  <c r="U114" i="19" s="1"/>
  <c r="S120" i="19"/>
  <c r="AG120" i="19" s="1"/>
  <c r="S115" i="19"/>
  <c r="AG115" i="19" s="1"/>
  <c r="S121" i="19"/>
  <c r="AA121" i="19" s="1"/>
  <c r="S116" i="19"/>
  <c r="AG116" i="19" s="1"/>
  <c r="S122" i="19"/>
  <c r="AG122" i="19" s="1"/>
  <c r="S118" i="19"/>
  <c r="U118" i="19" s="1"/>
  <c r="S117" i="19"/>
  <c r="AA117" i="19" s="1"/>
  <c r="AD117" i="19" s="1"/>
  <c r="S123" i="19"/>
  <c r="U123" i="19" s="1"/>
  <c r="EQ58" i="19"/>
  <c r="EQ59" i="19"/>
  <c r="EQ30" i="19"/>
  <c r="EQ25" i="19"/>
  <c r="EQ31" i="19"/>
  <c r="EP59" i="19"/>
  <c r="EP58" i="19"/>
  <c r="EP30" i="19"/>
  <c r="EP31" i="19"/>
  <c r="EP25" i="19"/>
  <c r="EO59" i="19"/>
  <c r="EO58" i="19"/>
  <c r="EO25" i="19"/>
  <c r="EO31" i="19"/>
  <c r="EO30" i="19"/>
  <c r="EN58" i="19"/>
  <c r="EN59" i="19"/>
  <c r="EN30" i="19"/>
  <c r="EN31" i="19"/>
  <c r="EN25" i="19"/>
  <c r="EM58" i="19"/>
  <c r="EM59" i="19"/>
  <c r="EM31" i="19"/>
  <c r="EM30" i="19"/>
  <c r="EM25" i="19"/>
  <c r="EL58" i="19"/>
  <c r="EL59" i="19"/>
  <c r="EL31" i="19"/>
  <c r="EL25" i="19"/>
  <c r="EL30" i="19"/>
  <c r="EK58" i="19"/>
  <c r="EK59" i="19"/>
  <c r="EK30" i="19"/>
  <c r="EK25" i="19"/>
  <c r="EK31" i="19"/>
  <c r="EJ58" i="19"/>
  <c r="EJ59" i="19"/>
  <c r="EJ31" i="19"/>
  <c r="EJ30" i="19"/>
  <c r="EJ25" i="19"/>
  <c r="EI59" i="19"/>
  <c r="EI58" i="19"/>
  <c r="EI31" i="19"/>
  <c r="EI30" i="19"/>
  <c r="EI25" i="19"/>
  <c r="EH58" i="19"/>
  <c r="EH59" i="19"/>
  <c r="EH31" i="19"/>
  <c r="EH30" i="19"/>
  <c r="EH25" i="19"/>
  <c r="EG58" i="19"/>
  <c r="EG59" i="19"/>
  <c r="EG30" i="19"/>
  <c r="EG31" i="19"/>
  <c r="EG25" i="19"/>
  <c r="EF59" i="19"/>
  <c r="EF58" i="19"/>
  <c r="EF30" i="19"/>
  <c r="EF25" i="19"/>
  <c r="EF31" i="19"/>
  <c r="EE59" i="19"/>
  <c r="EE58" i="19"/>
  <c r="EE30" i="19"/>
  <c r="EE31" i="19"/>
  <c r="EE25" i="19"/>
  <c r="ED59" i="19"/>
  <c r="ED58" i="19"/>
  <c r="ED30" i="19"/>
  <c r="ED31" i="19"/>
  <c r="ED25" i="19"/>
  <c r="EC59" i="19"/>
  <c r="EC58" i="19"/>
  <c r="EC31" i="19"/>
  <c r="EC25" i="19"/>
  <c r="EC30" i="19"/>
  <c r="EB25" i="19"/>
  <c r="EB30" i="19"/>
  <c r="EB31" i="19"/>
  <c r="EA58" i="19"/>
  <c r="EA59" i="19"/>
  <c r="EA30" i="19"/>
  <c r="EA25" i="19"/>
  <c r="EA31" i="19"/>
  <c r="DZ58" i="19"/>
  <c r="DZ59" i="19"/>
  <c r="DZ25" i="19"/>
  <c r="DZ31" i="19"/>
  <c r="DZ30" i="19"/>
  <c r="DY58" i="19"/>
  <c r="DY59" i="19"/>
  <c r="DY30" i="19"/>
  <c r="DY25" i="19"/>
  <c r="DY31" i="19"/>
  <c r="DX58" i="19"/>
  <c r="DX59" i="19"/>
  <c r="DX30" i="19"/>
  <c r="DX25" i="19"/>
  <c r="DX31" i="19"/>
  <c r="DW58" i="19"/>
  <c r="DW59" i="19"/>
  <c r="DW30" i="19"/>
  <c r="DW25" i="19"/>
  <c r="DW31" i="19"/>
  <c r="DV31" i="19"/>
  <c r="DV30" i="19"/>
  <c r="DV25" i="19"/>
  <c r="DU59" i="19"/>
  <c r="DU58" i="19"/>
  <c r="DU30" i="19"/>
  <c r="DU25" i="19"/>
  <c r="DU31" i="19"/>
  <c r="DT59" i="19"/>
  <c r="DT58" i="19"/>
  <c r="DT31" i="19"/>
  <c r="DT30" i="19"/>
  <c r="DT25" i="19"/>
  <c r="DS58" i="19"/>
  <c r="DS59" i="19"/>
  <c r="DS31" i="19"/>
  <c r="DS25" i="19"/>
  <c r="DS30" i="19"/>
  <c r="DR59" i="19"/>
  <c r="DR58" i="19"/>
  <c r="DR25" i="19"/>
  <c r="DR30" i="19"/>
  <c r="DR31" i="19"/>
  <c r="DQ58" i="19"/>
  <c r="DQ59" i="19"/>
  <c r="DQ31" i="19"/>
  <c r="DQ30" i="19"/>
  <c r="DQ25" i="19"/>
  <c r="DP30" i="19"/>
  <c r="DP25" i="19"/>
  <c r="DP31" i="19"/>
  <c r="DO58" i="19"/>
  <c r="DO59" i="19"/>
  <c r="DO31" i="19"/>
  <c r="DO30" i="19"/>
  <c r="DO25" i="19"/>
  <c r="DN58" i="19"/>
  <c r="DN59" i="19"/>
  <c r="DN31" i="19"/>
  <c r="DN25" i="19"/>
  <c r="DN30" i="19"/>
  <c r="DM58" i="19"/>
  <c r="DM59" i="19"/>
  <c r="DM31" i="19"/>
  <c r="DM30" i="19"/>
  <c r="DM25" i="19"/>
  <c r="DL59" i="19"/>
  <c r="DL58" i="19"/>
  <c r="DL31" i="19"/>
  <c r="DL30" i="19"/>
  <c r="DL25" i="19"/>
  <c r="DK59" i="19"/>
  <c r="DK58" i="19"/>
  <c r="DK31" i="19"/>
  <c r="DK30" i="19"/>
  <c r="DK25" i="19"/>
  <c r="DJ31" i="19"/>
  <c r="DJ25" i="19"/>
  <c r="DJ30" i="19"/>
  <c r="DI59" i="19"/>
  <c r="DI58" i="19"/>
  <c r="DI30" i="19"/>
  <c r="DI31" i="19"/>
  <c r="DI25" i="19"/>
  <c r="DH58" i="19"/>
  <c r="DH59" i="19"/>
  <c r="DH31" i="19"/>
  <c r="DH30" i="19"/>
  <c r="DH25" i="19"/>
  <c r="DG59" i="19"/>
  <c r="DG58" i="19"/>
  <c r="DG25" i="19"/>
  <c r="DG31" i="19"/>
  <c r="DG30" i="19"/>
  <c r="DF59" i="19"/>
  <c r="DF58" i="19"/>
  <c r="DF30" i="19"/>
  <c r="DF25" i="19"/>
  <c r="DF31" i="19"/>
  <c r="DE59" i="19"/>
  <c r="DE58" i="19"/>
  <c r="DE25" i="19"/>
  <c r="DE30" i="19"/>
  <c r="DE31" i="19"/>
  <c r="DD25" i="19"/>
  <c r="DD31" i="19"/>
  <c r="DD30" i="19"/>
  <c r="DC58" i="19"/>
  <c r="DC59" i="19"/>
  <c r="DC25" i="19"/>
  <c r="DC31" i="19"/>
  <c r="DC30" i="19"/>
  <c r="DB58" i="19"/>
  <c r="DB59" i="19"/>
  <c r="DB30" i="19"/>
  <c r="DB31" i="19"/>
  <c r="DB25" i="19"/>
  <c r="DA58" i="19"/>
  <c r="DA59" i="19"/>
  <c r="DA25" i="19"/>
  <c r="DA31" i="19"/>
  <c r="DA30" i="19"/>
  <c r="CZ58" i="19"/>
  <c r="CZ59" i="19"/>
  <c r="CZ30" i="19"/>
  <c r="CZ25" i="19"/>
  <c r="CZ31" i="19"/>
  <c r="CY58" i="19"/>
  <c r="CY59" i="19"/>
  <c r="CY31" i="19"/>
  <c r="CY30" i="19"/>
  <c r="CY25" i="19"/>
  <c r="CX31" i="19"/>
  <c r="CX30" i="19"/>
  <c r="CX25" i="19"/>
  <c r="CW59" i="19"/>
  <c r="CW58" i="19"/>
  <c r="CW30" i="19"/>
  <c r="CW31" i="19"/>
  <c r="CW25" i="19"/>
  <c r="CV59" i="19"/>
  <c r="CV58" i="19"/>
  <c r="CV25" i="19"/>
  <c r="CV31" i="19"/>
  <c r="CV30" i="19"/>
  <c r="CU59" i="19"/>
  <c r="CU58" i="19"/>
  <c r="CU25" i="19"/>
  <c r="CU31" i="19"/>
  <c r="CU30" i="19"/>
  <c r="CT58" i="19"/>
  <c r="CT59" i="19"/>
  <c r="CT30" i="19"/>
  <c r="CT25" i="19"/>
  <c r="CT31" i="19"/>
  <c r="CS58" i="19"/>
  <c r="CS59" i="19"/>
  <c r="CS31" i="19"/>
  <c r="CS30" i="19"/>
  <c r="CS25" i="19"/>
  <c r="CR25" i="19"/>
  <c r="CR30" i="19"/>
  <c r="CR31" i="19"/>
  <c r="CQ59" i="19"/>
  <c r="CQ58" i="19"/>
  <c r="CQ31" i="19"/>
  <c r="CQ30" i="19"/>
  <c r="CQ25" i="19"/>
  <c r="CP58" i="19"/>
  <c r="CP59" i="19"/>
  <c r="CP31" i="19"/>
  <c r="CP25" i="19"/>
  <c r="CP30" i="19"/>
  <c r="CO58" i="19"/>
  <c r="CO59" i="19"/>
  <c r="CO25" i="19"/>
  <c r="CO31" i="19"/>
  <c r="CO30" i="19"/>
  <c r="CN58" i="19"/>
  <c r="CN59" i="19"/>
  <c r="CN25" i="19"/>
  <c r="CN31" i="19"/>
  <c r="CN30" i="19"/>
  <c r="CM58" i="19"/>
  <c r="CM59" i="19"/>
  <c r="CM30" i="19"/>
  <c r="CM25" i="19"/>
  <c r="CM31" i="19"/>
  <c r="CL31" i="19"/>
  <c r="CL25" i="19"/>
  <c r="CL30" i="19"/>
  <c r="CK59" i="19"/>
  <c r="CK58" i="19"/>
  <c r="CK30" i="19"/>
  <c r="CK25" i="19"/>
  <c r="CK31" i="19"/>
  <c r="CJ59" i="19"/>
  <c r="CJ58" i="19"/>
  <c r="CJ30" i="19"/>
  <c r="CJ25" i="19"/>
  <c r="CJ31" i="19"/>
  <c r="CI58" i="19"/>
  <c r="CI59" i="19"/>
  <c r="CI31" i="19"/>
  <c r="CI30" i="19"/>
  <c r="CI25" i="19"/>
  <c r="CH59" i="19"/>
  <c r="CH58" i="19"/>
  <c r="CH31" i="19"/>
  <c r="CH30" i="19"/>
  <c r="CH25" i="19"/>
  <c r="CG58" i="19"/>
  <c r="CG59" i="19"/>
  <c r="CG25" i="19"/>
  <c r="CG31" i="19"/>
  <c r="CG30" i="19"/>
  <c r="CF25" i="19"/>
  <c r="CF30" i="19"/>
  <c r="CF31" i="19"/>
  <c r="CE59" i="19"/>
  <c r="CE58" i="19"/>
  <c r="CE25" i="19"/>
  <c r="CE31" i="19"/>
  <c r="CE30" i="19"/>
  <c r="CD59" i="19"/>
  <c r="CD58" i="19"/>
  <c r="CD25" i="19"/>
  <c r="CD30" i="19"/>
  <c r="CD31" i="19"/>
  <c r="CC58" i="19"/>
  <c r="CC59" i="19"/>
  <c r="CC30" i="19"/>
  <c r="CC25" i="19"/>
  <c r="CC31" i="19"/>
  <c r="CB58" i="19"/>
  <c r="CB59" i="19"/>
  <c r="CB25" i="19"/>
  <c r="CB31" i="19"/>
  <c r="CB30" i="19"/>
  <c r="CA59" i="19"/>
  <c r="CA58" i="19"/>
  <c r="CA30" i="19"/>
  <c r="CA25" i="19"/>
  <c r="CA31" i="19"/>
  <c r="BZ25" i="19"/>
  <c r="BZ30" i="19"/>
  <c r="BZ31" i="19"/>
  <c r="BY58" i="19"/>
  <c r="BY59" i="19"/>
  <c r="BY31" i="19"/>
  <c r="BY30" i="19"/>
  <c r="BY25" i="19"/>
  <c r="BX58" i="19"/>
  <c r="BX59" i="19"/>
  <c r="BX31" i="19"/>
  <c r="BX30" i="19"/>
  <c r="BX25" i="19"/>
  <c r="BW59" i="19"/>
  <c r="BW58" i="19"/>
  <c r="BW25" i="19"/>
  <c r="BW30" i="19"/>
  <c r="BW31" i="19"/>
  <c r="BV59" i="19"/>
  <c r="BV58" i="19"/>
  <c r="BV31" i="19"/>
  <c r="BV30" i="19"/>
  <c r="BV25" i="19"/>
  <c r="BU58" i="19"/>
  <c r="BU59" i="19"/>
  <c r="BU31" i="19"/>
  <c r="BU30" i="19"/>
  <c r="BU25" i="19"/>
  <c r="BT30" i="19"/>
  <c r="BT25" i="19"/>
  <c r="BT31" i="19"/>
  <c r="BS59" i="19"/>
  <c r="BS58" i="19"/>
  <c r="BS30" i="19"/>
  <c r="BS25" i="19"/>
  <c r="BS31" i="19"/>
  <c r="BR58" i="19"/>
  <c r="BR59" i="19"/>
  <c r="BR25" i="19"/>
  <c r="BR30" i="19"/>
  <c r="BR31" i="19"/>
  <c r="BQ59" i="19"/>
  <c r="BQ58" i="19"/>
  <c r="BQ30" i="19"/>
  <c r="BQ31" i="19"/>
  <c r="BQ25" i="19"/>
  <c r="BP58" i="19"/>
  <c r="BP59" i="19"/>
  <c r="BP25" i="19"/>
  <c r="BP30" i="19"/>
  <c r="BP31" i="19"/>
  <c r="BO58" i="19"/>
  <c r="BO59" i="19"/>
  <c r="BO25" i="19"/>
  <c r="BO30" i="19"/>
  <c r="BO31" i="19"/>
  <c r="BN25" i="19"/>
  <c r="BN31" i="19"/>
  <c r="BN30" i="19"/>
  <c r="BM58" i="19"/>
  <c r="BM59" i="19"/>
  <c r="BM31" i="19"/>
  <c r="BM30" i="19"/>
  <c r="BM25" i="19"/>
  <c r="BL58" i="19"/>
  <c r="BL59" i="19"/>
  <c r="BL25" i="19"/>
  <c r="BL31" i="19"/>
  <c r="BL30" i="19"/>
  <c r="BK59" i="19"/>
  <c r="BK58" i="19"/>
  <c r="BK30" i="19"/>
  <c r="BK25" i="19"/>
  <c r="BK31" i="19"/>
  <c r="BJ58" i="19"/>
  <c r="BJ59" i="19"/>
  <c r="BJ31" i="19"/>
  <c r="BJ25" i="19"/>
  <c r="BJ30" i="19"/>
  <c r="BI58" i="19"/>
  <c r="BI59" i="19"/>
  <c r="BI25" i="19"/>
  <c r="BI31" i="19"/>
  <c r="BI30" i="19"/>
  <c r="BH25" i="19"/>
  <c r="BH30" i="19"/>
  <c r="BH31" i="19"/>
  <c r="BG58" i="19"/>
  <c r="BG59" i="19"/>
  <c r="BG25" i="19"/>
  <c r="BG31" i="19"/>
  <c r="BG30" i="19"/>
  <c r="BF59" i="19"/>
  <c r="BF58" i="19"/>
  <c r="BF30" i="19"/>
  <c r="BF25" i="19"/>
  <c r="BF31" i="19"/>
  <c r="BE58" i="19"/>
  <c r="BE59" i="19"/>
  <c r="BE30" i="19"/>
  <c r="BE31" i="19"/>
  <c r="BE25" i="19"/>
  <c r="BD58" i="19"/>
  <c r="BD59" i="19"/>
  <c r="BD30" i="19"/>
  <c r="BD31" i="19"/>
  <c r="BD25" i="19"/>
  <c r="BC58" i="19"/>
  <c r="BC59" i="19"/>
  <c r="BC30" i="19"/>
  <c r="BC25" i="19"/>
  <c r="BC31" i="19"/>
  <c r="BB25" i="19"/>
  <c r="BB31" i="19"/>
  <c r="BB30" i="19"/>
  <c r="BA59" i="19"/>
  <c r="BA58" i="19"/>
  <c r="BA30" i="19"/>
  <c r="BA31" i="19"/>
  <c r="BA25" i="19"/>
  <c r="AZ59" i="19"/>
  <c r="AZ58" i="19"/>
  <c r="AZ30" i="19"/>
  <c r="AZ25" i="19"/>
  <c r="AZ31" i="19"/>
  <c r="AY59" i="19"/>
  <c r="AY58" i="19"/>
  <c r="AY30" i="19"/>
  <c r="AY25" i="19"/>
  <c r="AY31" i="19"/>
  <c r="AX58" i="19"/>
  <c r="AX59" i="19"/>
  <c r="AX25" i="19"/>
  <c r="AX31" i="19"/>
  <c r="AX30" i="19"/>
  <c r="AW59" i="19"/>
  <c r="AW58" i="19"/>
  <c r="AW25" i="19"/>
  <c r="AW31" i="19"/>
  <c r="AW30" i="19"/>
  <c r="AV30" i="19"/>
  <c r="AV25" i="19"/>
  <c r="AV31" i="19"/>
  <c r="AU58" i="19"/>
  <c r="AU59" i="19"/>
  <c r="AU30" i="19"/>
  <c r="AU25" i="19"/>
  <c r="AU31" i="19"/>
  <c r="AT58" i="19"/>
  <c r="AT59" i="19"/>
  <c r="AT31" i="19"/>
  <c r="AT30" i="19"/>
  <c r="AT25" i="19"/>
  <c r="AS58" i="19"/>
  <c r="AS59" i="19"/>
  <c r="AS25" i="19"/>
  <c r="AS31" i="19"/>
  <c r="AS30" i="19"/>
  <c r="AR58" i="19"/>
  <c r="AR59" i="19"/>
  <c r="AR25" i="19"/>
  <c r="AR31" i="19"/>
  <c r="AR30" i="19"/>
  <c r="AQ58" i="19"/>
  <c r="AQ59" i="19"/>
  <c r="AQ25" i="19"/>
  <c r="AQ31" i="19"/>
  <c r="AQ30" i="19"/>
  <c r="AP31" i="19"/>
  <c r="AP30" i="19"/>
  <c r="AP25" i="19"/>
  <c r="AO59" i="19"/>
  <c r="AO58" i="19"/>
  <c r="AO30" i="19"/>
  <c r="AO31" i="19"/>
  <c r="AO25" i="19"/>
  <c r="AN58" i="19"/>
  <c r="AN59" i="19"/>
  <c r="AN25" i="19"/>
  <c r="AN31" i="19"/>
  <c r="AN30" i="19"/>
  <c r="AM58" i="19"/>
  <c r="AM59" i="19"/>
  <c r="AM31" i="19"/>
  <c r="AM25" i="19"/>
  <c r="AM30" i="19"/>
  <c r="AL59" i="19"/>
  <c r="AL58" i="19"/>
  <c r="AL31" i="19"/>
  <c r="AL25" i="19"/>
  <c r="AL30" i="19"/>
  <c r="AK58" i="19"/>
  <c r="AK59" i="19"/>
  <c r="AK30" i="19"/>
  <c r="AK31" i="19"/>
  <c r="AK25" i="19"/>
  <c r="AJ30" i="19"/>
  <c r="AJ25" i="19"/>
  <c r="AJ31" i="19"/>
  <c r="AI58" i="19"/>
  <c r="AI59" i="19"/>
  <c r="AI31" i="19"/>
  <c r="AI30" i="19"/>
  <c r="AI25" i="19"/>
  <c r="AH59" i="19"/>
  <c r="AH58" i="19"/>
  <c r="AH31" i="19"/>
  <c r="AH30" i="19"/>
  <c r="AH25" i="19"/>
  <c r="AG59" i="19"/>
  <c r="AG58" i="19"/>
  <c r="AG30" i="19"/>
  <c r="AG25" i="19"/>
  <c r="AG31" i="19"/>
  <c r="AF58" i="19"/>
  <c r="AF59" i="19"/>
  <c r="AF31" i="19"/>
  <c r="AF30" i="19"/>
  <c r="AF25" i="19"/>
  <c r="AE58" i="19"/>
  <c r="AE59" i="19"/>
  <c r="AE31" i="19"/>
  <c r="AE30" i="19"/>
  <c r="AE25" i="19"/>
  <c r="AD31" i="19"/>
  <c r="AD30" i="19"/>
  <c r="AD25" i="19"/>
  <c r="AC59" i="19"/>
  <c r="AC58" i="19"/>
  <c r="AC25" i="19"/>
  <c r="AC30" i="19"/>
  <c r="AC31" i="19"/>
  <c r="AB58" i="19"/>
  <c r="AB59" i="19"/>
  <c r="AB25" i="19"/>
  <c r="AB31" i="19"/>
  <c r="AB30" i="19"/>
  <c r="AA59" i="19"/>
  <c r="AA58" i="19"/>
  <c r="AA25" i="19"/>
  <c r="AA31" i="19"/>
  <c r="AA30" i="19"/>
  <c r="Z58" i="19"/>
  <c r="Z59" i="19"/>
  <c r="Z31" i="19"/>
  <c r="Z30" i="19"/>
  <c r="Z25" i="19"/>
  <c r="Y58" i="19"/>
  <c r="Y59" i="19"/>
  <c r="Y30" i="19"/>
  <c r="Y25" i="19"/>
  <c r="Y31" i="19"/>
  <c r="X30" i="19"/>
  <c r="X25" i="19"/>
  <c r="X31" i="19"/>
  <c r="W58" i="19"/>
  <c r="W59" i="19"/>
  <c r="W31" i="19"/>
  <c r="W30" i="19"/>
  <c r="W25" i="19"/>
  <c r="V58" i="19"/>
  <c r="V59" i="19"/>
  <c r="V25" i="19"/>
  <c r="V31" i="19"/>
  <c r="V30" i="19"/>
  <c r="U59" i="19"/>
  <c r="U58" i="19"/>
  <c r="U31" i="19"/>
  <c r="U30" i="19"/>
  <c r="U25" i="19"/>
  <c r="T59" i="19"/>
  <c r="T58" i="19"/>
  <c r="T30" i="19"/>
  <c r="T25" i="19"/>
  <c r="T31" i="19"/>
  <c r="S59" i="19"/>
  <c r="S58" i="19"/>
  <c r="S25" i="19"/>
  <c r="S31" i="19"/>
  <c r="S30" i="19"/>
  <c r="R25" i="19"/>
  <c r="R30" i="19"/>
  <c r="R31" i="19"/>
  <c r="Q59" i="19"/>
  <c r="Q58" i="19"/>
  <c r="Q31" i="19"/>
  <c r="Q25" i="19"/>
  <c r="Q30" i="19"/>
  <c r="P59" i="19"/>
  <c r="P58" i="19"/>
  <c r="P31" i="19"/>
  <c r="P25" i="19"/>
  <c r="P30" i="19"/>
  <c r="O58" i="19"/>
  <c r="O59" i="19"/>
  <c r="O30" i="19"/>
  <c r="O25" i="19"/>
  <c r="O31" i="19"/>
  <c r="N59" i="19"/>
  <c r="N58" i="19"/>
  <c r="N25" i="19"/>
  <c r="N31" i="19"/>
  <c r="N30" i="19"/>
  <c r="M58" i="19"/>
  <c r="M59" i="19"/>
  <c r="M30" i="19"/>
  <c r="M31" i="19"/>
  <c r="M25" i="19"/>
  <c r="J38" i="19" l="1"/>
  <c r="L40" i="19"/>
  <c r="M37" i="19" s="1"/>
  <c r="AC83" i="19"/>
  <c r="Y120" i="21"/>
  <c r="AC96" i="19"/>
  <c r="Y133" i="21"/>
  <c r="AC79" i="19"/>
  <c r="Y116" i="21"/>
  <c r="AC92" i="19"/>
  <c r="Y129" i="21"/>
  <c r="AC91" i="19"/>
  <c r="Y128" i="21"/>
  <c r="AC87" i="19"/>
  <c r="Y124" i="21"/>
  <c r="AA114" i="21"/>
  <c r="AB114" i="21"/>
  <c r="U87" i="19"/>
  <c r="AG117" i="19"/>
  <c r="U79" i="19"/>
  <c r="U116" i="19"/>
  <c r="U121" i="19"/>
  <c r="U83" i="19"/>
  <c r="AA78" i="19"/>
  <c r="U96" i="19"/>
  <c r="AA122" i="19"/>
  <c r="AD122" i="19" s="1"/>
  <c r="AG121" i="19"/>
  <c r="U117" i="19"/>
  <c r="U120" i="19"/>
  <c r="U91" i="19"/>
  <c r="AG118" i="19"/>
  <c r="U92" i="19"/>
  <c r="U122" i="19"/>
  <c r="U119" i="19"/>
  <c r="AA81" i="19"/>
  <c r="AG119" i="19"/>
  <c r="H30" i="19"/>
  <c r="AC119" i="19"/>
  <c r="AD119" i="19"/>
  <c r="I59" i="19"/>
  <c r="AC102" i="19" s="1"/>
  <c r="X138" i="21" s="1"/>
  <c r="J58" i="19"/>
  <c r="AG114" i="19"/>
  <c r="AA84" i="19"/>
  <c r="AA114" i="19"/>
  <c r="AD114" i="19" s="1"/>
  <c r="I31" i="19"/>
  <c r="U102" i="19" s="1"/>
  <c r="U128" i="19" s="1"/>
  <c r="AA120" i="19"/>
  <c r="AC120" i="19" s="1"/>
  <c r="AG123" i="19"/>
  <c r="AA80" i="19"/>
  <c r="AA116" i="19"/>
  <c r="J30" i="19"/>
  <c r="U115" i="19"/>
  <c r="AA85" i="19"/>
  <c r="I30" i="19"/>
  <c r="U101" i="19" s="1"/>
  <c r="U127" i="19" s="1"/>
  <c r="J31" i="19"/>
  <c r="AA123" i="19"/>
  <c r="AC123" i="19" s="1"/>
  <c r="AA86" i="19"/>
  <c r="S98" i="19"/>
  <c r="I58" i="19"/>
  <c r="AC101" i="19" s="1"/>
  <c r="AC127" i="19" s="1"/>
  <c r="AA94" i="19"/>
  <c r="AA118" i="19"/>
  <c r="AD118" i="19" s="1"/>
  <c r="J25" i="19"/>
  <c r="AD121" i="19"/>
  <c r="AC121" i="19"/>
  <c r="AA93" i="19"/>
  <c r="AA88" i="19"/>
  <c r="AA90" i="19"/>
  <c r="AA97" i="19"/>
  <c r="AA89" i="19"/>
  <c r="AA95" i="19"/>
  <c r="AA82" i="19"/>
  <c r="S124" i="19"/>
  <c r="AA115" i="19"/>
  <c r="AC117" i="19"/>
  <c r="J59" i="19"/>
  <c r="S396" i="32" s="1"/>
  <c r="T396" i="32" s="1"/>
  <c r="M39" i="19" l="1"/>
  <c r="AA128" i="21"/>
  <c r="AB128" i="21"/>
  <c r="AA124" i="21"/>
  <c r="AB124" i="21"/>
  <c r="AC78" i="19"/>
  <c r="Y115" i="21"/>
  <c r="AA129" i="21"/>
  <c r="AB129" i="21"/>
  <c r="AC81" i="19"/>
  <c r="Y118" i="21"/>
  <c r="AC95" i="19"/>
  <c r="Y132" i="21"/>
  <c r="AA116" i="21"/>
  <c r="AB116" i="21"/>
  <c r="AC89" i="19"/>
  <c r="Y126" i="21"/>
  <c r="AC86" i="19"/>
  <c r="Y123" i="21"/>
  <c r="AC97" i="19"/>
  <c r="Y134" i="21"/>
  <c r="AC84" i="19"/>
  <c r="Y121" i="21"/>
  <c r="AC80" i="19"/>
  <c r="Y117" i="21"/>
  <c r="AC82" i="19"/>
  <c r="Y119" i="21"/>
  <c r="AC90" i="19"/>
  <c r="Y127" i="21"/>
  <c r="AB133" i="21"/>
  <c r="AA133" i="21"/>
  <c r="AC88" i="19"/>
  <c r="Y125" i="21"/>
  <c r="AC94" i="19"/>
  <c r="Y131" i="21"/>
  <c r="AC93" i="19"/>
  <c r="Y130" i="21"/>
  <c r="AC85" i="19"/>
  <c r="Y122" i="21"/>
  <c r="AA120" i="21"/>
  <c r="AB120" i="21"/>
  <c r="AC122" i="19"/>
  <c r="AC128" i="19"/>
  <c r="K101" i="1"/>
  <c r="U103" i="19"/>
  <c r="U129" i="19" s="1"/>
  <c r="U100" i="19"/>
  <c r="U126" i="19" s="1"/>
  <c r="AD123" i="19"/>
  <c r="AD116" i="19"/>
  <c r="AC116" i="19"/>
  <c r="AD120" i="19"/>
  <c r="AC114" i="19"/>
  <c r="AC118" i="19"/>
  <c r="S99" i="19"/>
  <c r="AA98" i="19"/>
  <c r="AB100" i="19" s="1"/>
  <c r="AD115" i="19"/>
  <c r="AC115" i="19"/>
  <c r="AA124" i="19"/>
  <c r="AC126" i="19" s="1"/>
  <c r="M40" i="19" l="1"/>
  <c r="N37" i="19" s="1"/>
  <c r="AA121" i="21"/>
  <c r="AB121" i="21"/>
  <c r="AA130" i="21"/>
  <c r="AB130" i="21"/>
  <c r="AB117" i="21"/>
  <c r="AA117" i="21"/>
  <c r="AA132" i="21"/>
  <c r="AB132" i="21"/>
  <c r="AB125" i="21"/>
  <c r="AA125" i="21"/>
  <c r="AA131" i="21"/>
  <c r="AB131" i="21"/>
  <c r="AA115" i="21"/>
  <c r="AB115" i="21"/>
  <c r="Y135" i="21"/>
  <c r="AA118" i="21"/>
  <c r="AB118" i="21"/>
  <c r="AA134" i="21"/>
  <c r="AB134" i="21"/>
  <c r="AA123" i="21"/>
  <c r="AB123" i="21"/>
  <c r="AA127" i="21"/>
  <c r="AB127" i="21"/>
  <c r="AA126" i="21"/>
  <c r="AB126" i="21"/>
  <c r="AA122" i="21"/>
  <c r="AB122" i="21"/>
  <c r="AA119" i="21"/>
  <c r="AB119" i="21"/>
  <c r="AC100" i="19"/>
  <c r="I101" i="1" s="1"/>
  <c r="AC103" i="19"/>
  <c r="AC129" i="19" s="1"/>
  <c r="AA99" i="19"/>
  <c r="N39" i="19" l="1"/>
  <c r="X137" i="21"/>
  <c r="AA135" i="21"/>
  <c r="X139" i="21" s="1"/>
  <c r="N40" i="19" l="1"/>
  <c r="O37" i="19" s="1"/>
  <c r="O39" i="19" l="1"/>
  <c r="O40" i="19" s="1"/>
  <c r="P37" i="19" s="1"/>
  <c r="P39" i="19" l="1"/>
  <c r="P40" i="19" s="1"/>
  <c r="Q37" i="19" s="1"/>
  <c r="Q39" i="19" l="1"/>
  <c r="Q40" i="19" s="1"/>
  <c r="R37" i="19" s="1"/>
  <c r="R39" i="19" l="1"/>
  <c r="R40" i="19" s="1"/>
  <c r="S37" i="19" s="1"/>
  <c r="S39" i="19" l="1"/>
  <c r="S40" i="19" s="1"/>
  <c r="T37" i="19" s="1"/>
  <c r="T39" i="19" l="1"/>
  <c r="T40" i="19" s="1"/>
  <c r="U37" i="19" s="1"/>
  <c r="U39" i="19" l="1"/>
  <c r="U40" i="19" s="1"/>
  <c r="V37" i="19" s="1"/>
  <c r="V39" i="19" l="1"/>
  <c r="V40" i="19" s="1"/>
  <c r="W37" i="19" s="1"/>
  <c r="W39" i="19" l="1"/>
  <c r="W40" i="19" s="1"/>
  <c r="X37" i="19" s="1"/>
  <c r="X39" i="19" l="1"/>
  <c r="X40" i="19" s="1"/>
  <c r="Y37" i="19" s="1"/>
  <c r="Y39" i="19" l="1"/>
  <c r="Y40" i="19" s="1"/>
  <c r="Z37" i="19" s="1"/>
  <c r="Z39" i="19" l="1"/>
  <c r="Z40" i="19" s="1"/>
  <c r="AA37" i="19" s="1"/>
  <c r="AA39" i="19" l="1"/>
  <c r="AA40" i="19" s="1"/>
  <c r="AB37" i="19" s="1"/>
  <c r="AB39" i="19" l="1"/>
  <c r="AB40" i="19" s="1"/>
  <c r="AC37" i="19" s="1"/>
  <c r="AC39" i="19" l="1"/>
  <c r="AC40" i="19" s="1"/>
  <c r="AD37" i="19" s="1"/>
  <c r="AD39" i="19" l="1"/>
  <c r="AD40" i="19" s="1"/>
  <c r="AE37" i="19" s="1"/>
  <c r="AE39" i="19" l="1"/>
  <c r="AE40" i="19" s="1"/>
  <c r="AF37" i="19" s="1"/>
  <c r="AF39" i="19" l="1"/>
  <c r="AF40" i="19" s="1"/>
  <c r="AG37" i="19" s="1"/>
  <c r="AG39" i="19" l="1"/>
  <c r="AG40" i="19" s="1"/>
  <c r="AH37" i="19" s="1"/>
  <c r="AH39" i="19" l="1"/>
  <c r="AH40" i="19" s="1"/>
  <c r="AI37" i="19" s="1"/>
  <c r="AI39" i="19" l="1"/>
  <c r="AI40" i="19" s="1"/>
  <c r="AJ37" i="19" s="1"/>
  <c r="AJ39" i="19" l="1"/>
  <c r="AJ40" i="19" s="1"/>
  <c r="AK37" i="19" s="1"/>
  <c r="AK39" i="19" l="1"/>
  <c r="AK40" i="19" s="1"/>
  <c r="AL37" i="19" s="1"/>
  <c r="AL39" i="19" l="1"/>
  <c r="AL40" i="19" s="1"/>
  <c r="AM37" i="19" s="1"/>
  <c r="AM39" i="19" l="1"/>
  <c r="AM40" i="19" s="1"/>
  <c r="AN37" i="19" s="1"/>
  <c r="AN39" i="19" l="1"/>
  <c r="AN40" i="19" s="1"/>
  <c r="AO37" i="19" s="1"/>
  <c r="AO39" i="19" l="1"/>
  <c r="AO40" i="19" s="1"/>
  <c r="AP37" i="19" s="1"/>
  <c r="AP39" i="19" l="1"/>
  <c r="AP40" i="19" s="1"/>
  <c r="AQ37" i="19" s="1"/>
  <c r="AQ39" i="19" l="1"/>
  <c r="AQ40" i="19" s="1"/>
  <c r="AR37" i="19" s="1"/>
  <c r="AR39" i="19" l="1"/>
  <c r="AR40" i="19" s="1"/>
  <c r="AS37" i="19" s="1"/>
  <c r="AS39" i="19" l="1"/>
  <c r="AS40" i="19" s="1"/>
  <c r="AT37" i="19" s="1"/>
  <c r="AT39" i="19" l="1"/>
  <c r="AT40" i="19" s="1"/>
  <c r="AU37" i="19" s="1"/>
  <c r="AU39" i="19" l="1"/>
  <c r="AU40" i="19" s="1"/>
  <c r="AV37" i="19" s="1"/>
  <c r="AV39" i="19" l="1"/>
  <c r="AV40" i="19" s="1"/>
  <c r="AW37" i="19" s="1"/>
  <c r="AW39" i="19" l="1"/>
  <c r="AW40" i="19" s="1"/>
  <c r="AX37" i="19" s="1"/>
  <c r="AX39" i="19" l="1"/>
  <c r="AX40" i="19" s="1"/>
  <c r="AY37" i="19" s="1"/>
  <c r="AY39" i="19" l="1"/>
  <c r="AY40" i="19" s="1"/>
  <c r="AZ37" i="19" s="1"/>
  <c r="AZ39" i="19" l="1"/>
  <c r="AZ40" i="19" s="1"/>
  <c r="BA37" i="19" s="1"/>
  <c r="BA39" i="19" l="1"/>
  <c r="BA40" i="19" s="1"/>
  <c r="BB37" i="19" s="1"/>
  <c r="BB39" i="19" l="1"/>
  <c r="BB40" i="19" s="1"/>
  <c r="BC37" i="19" s="1"/>
  <c r="BC39" i="19" l="1"/>
  <c r="BC40" i="19" s="1"/>
  <c r="BD37" i="19" s="1"/>
  <c r="BD39" i="19" l="1"/>
  <c r="BD40" i="19" s="1"/>
  <c r="BE37" i="19" s="1"/>
  <c r="BE39" i="19" l="1"/>
  <c r="BE40" i="19" s="1"/>
  <c r="BF37" i="19" s="1"/>
  <c r="BF39" i="19" l="1"/>
  <c r="BF40" i="19" s="1"/>
  <c r="BG37" i="19" s="1"/>
  <c r="BG39" i="19" l="1"/>
  <c r="BG40" i="19" s="1"/>
  <c r="BH37" i="19" s="1"/>
  <c r="BH39" i="19" l="1"/>
  <c r="BH40" i="19" s="1"/>
  <c r="BI37" i="19" s="1"/>
  <c r="BI39" i="19" l="1"/>
  <c r="BI40" i="19" s="1"/>
  <c r="BJ37" i="19" s="1"/>
  <c r="BJ39" i="19" l="1"/>
  <c r="BJ40" i="19" s="1"/>
  <c r="BK37" i="19" s="1"/>
  <c r="BK39" i="19" l="1"/>
  <c r="BK40" i="19" s="1"/>
  <c r="BL37" i="19" s="1"/>
  <c r="BL39" i="19" l="1"/>
  <c r="BL40" i="19" s="1"/>
  <c r="BM37" i="19" s="1"/>
  <c r="BM39" i="19" l="1"/>
  <c r="BM40" i="19" s="1"/>
  <c r="BN37" i="19" s="1"/>
  <c r="BN39" i="19" l="1"/>
  <c r="BN40" i="19" s="1"/>
  <c r="BO37" i="19" s="1"/>
  <c r="BO39" i="19" l="1"/>
  <c r="BO40" i="19" s="1"/>
  <c r="BP37" i="19" s="1"/>
  <c r="BP39" i="19" l="1"/>
  <c r="BP40" i="19" s="1"/>
  <c r="BQ37" i="19" s="1"/>
  <c r="BQ39" i="19" l="1"/>
  <c r="BQ40" i="19" s="1"/>
  <c r="BR37" i="19" s="1"/>
  <c r="BR39" i="19" l="1"/>
  <c r="BR40" i="19" s="1"/>
  <c r="BS37" i="19" s="1"/>
  <c r="BS39" i="19" l="1"/>
  <c r="BS40" i="19" s="1"/>
  <c r="BT37" i="19" s="1"/>
  <c r="BT39" i="19" l="1"/>
  <c r="BT40" i="19" s="1"/>
  <c r="BU37" i="19" s="1"/>
  <c r="BU39" i="19" l="1"/>
  <c r="BU40" i="19" s="1"/>
  <c r="BV37" i="19" s="1"/>
  <c r="BV39" i="19" l="1"/>
  <c r="BV40" i="19" s="1"/>
  <c r="BW37" i="19" s="1"/>
  <c r="BW39" i="19" l="1"/>
  <c r="BW40" i="19" s="1"/>
  <c r="BX37" i="19" s="1"/>
  <c r="BX39" i="19" l="1"/>
  <c r="BX40" i="19" s="1"/>
  <c r="BY37" i="19" s="1"/>
  <c r="BY39" i="19" l="1"/>
  <c r="BY40" i="19" s="1"/>
  <c r="BZ37" i="19" s="1"/>
  <c r="BZ39" i="19" l="1"/>
  <c r="BZ40" i="19" s="1"/>
  <c r="CA37" i="19" s="1"/>
  <c r="CA39" i="19" l="1"/>
  <c r="CA40" i="19" s="1"/>
  <c r="CB37" i="19" s="1"/>
  <c r="CB39" i="19" l="1"/>
  <c r="CB40" i="19" s="1"/>
  <c r="CC37" i="19" s="1"/>
  <c r="CC39" i="19" l="1"/>
  <c r="CC40" i="19" s="1"/>
  <c r="CD37" i="19" s="1"/>
  <c r="CD39" i="19" l="1"/>
  <c r="CD40" i="19" s="1"/>
  <c r="CE37" i="19" s="1"/>
  <c r="CE39" i="19" l="1"/>
  <c r="CE40" i="19" s="1"/>
  <c r="CF37" i="19" s="1"/>
  <c r="CF39" i="19" l="1"/>
  <c r="CF40" i="19" s="1"/>
  <c r="CG37" i="19" s="1"/>
  <c r="CG39" i="19" l="1"/>
  <c r="CG40" i="19" s="1"/>
  <c r="CH37" i="19" s="1"/>
  <c r="CH39" i="19" l="1"/>
  <c r="CH40" i="19" s="1"/>
  <c r="CI37" i="19" s="1"/>
  <c r="CI39" i="19" l="1"/>
  <c r="CI40" i="19" s="1"/>
  <c r="CJ37" i="19" s="1"/>
  <c r="CJ39" i="19" l="1"/>
  <c r="CJ40" i="19" s="1"/>
  <c r="CK37" i="19" s="1"/>
  <c r="CK39" i="19" l="1"/>
  <c r="CK40" i="19" s="1"/>
  <c r="CL37" i="19" s="1"/>
  <c r="CL39" i="19" l="1"/>
  <c r="CL40" i="19" s="1"/>
  <c r="CM37" i="19" s="1"/>
  <c r="CM39" i="19" l="1"/>
  <c r="CM40" i="19" s="1"/>
  <c r="CN37" i="19" s="1"/>
  <c r="CN39" i="19" l="1"/>
  <c r="CN40" i="19" s="1"/>
  <c r="CO37" i="19" s="1"/>
  <c r="CO39" i="19" l="1"/>
  <c r="CO40" i="19" s="1"/>
  <c r="CP37" i="19" s="1"/>
  <c r="CP39" i="19" l="1"/>
  <c r="CP40" i="19" s="1"/>
  <c r="CQ37" i="19" s="1"/>
  <c r="CQ39" i="19" l="1"/>
  <c r="CQ40" i="19" s="1"/>
  <c r="CR37" i="19" s="1"/>
  <c r="CR39" i="19" l="1"/>
  <c r="CR40" i="19" s="1"/>
  <c r="CS37" i="19" s="1"/>
  <c r="CS39" i="19" l="1"/>
  <c r="CS40" i="19" s="1"/>
  <c r="CT37" i="19" s="1"/>
  <c r="CT39" i="19" l="1"/>
  <c r="CT40" i="19" s="1"/>
  <c r="CU37" i="19" s="1"/>
  <c r="CU39" i="19" l="1"/>
  <c r="CU40" i="19" s="1"/>
  <c r="CV37" i="19" s="1"/>
  <c r="CV39" i="19" l="1"/>
  <c r="CV40" i="19" s="1"/>
  <c r="CW37" i="19" s="1"/>
  <c r="CW39" i="19" l="1"/>
  <c r="CW40" i="19" s="1"/>
  <c r="CX37" i="19" s="1"/>
  <c r="CX39" i="19" l="1"/>
  <c r="CX40" i="19" s="1"/>
  <c r="CY37" i="19" s="1"/>
  <c r="CY39" i="19" l="1"/>
  <c r="CY40" i="19" s="1"/>
  <c r="CZ37" i="19" s="1"/>
  <c r="CZ39" i="19" l="1"/>
  <c r="CZ40" i="19" s="1"/>
  <c r="DA37" i="19" s="1"/>
  <c r="DA39" i="19" l="1"/>
  <c r="DA40" i="19" s="1"/>
  <c r="DB37" i="19" s="1"/>
  <c r="DB39" i="19" l="1"/>
  <c r="DB40" i="19" s="1"/>
  <c r="DC37" i="19" s="1"/>
  <c r="DC39" i="19" l="1"/>
  <c r="DC40" i="19" s="1"/>
  <c r="DD37" i="19" s="1"/>
  <c r="DD39" i="19" l="1"/>
  <c r="DD40" i="19" s="1"/>
  <c r="DE37" i="19" s="1"/>
  <c r="DE39" i="19" l="1"/>
  <c r="DE40" i="19" s="1"/>
  <c r="DF37" i="19" s="1"/>
  <c r="DF39" i="19" l="1"/>
  <c r="DF40" i="19" s="1"/>
  <c r="DG37" i="19" s="1"/>
  <c r="DG39" i="19" l="1"/>
  <c r="DG40" i="19" s="1"/>
  <c r="DH37" i="19" s="1"/>
  <c r="DH39" i="19" l="1"/>
  <c r="DH40" i="19" s="1"/>
  <c r="DI37" i="19" s="1"/>
  <c r="DI39" i="19" l="1"/>
  <c r="DI40" i="19" s="1"/>
  <c r="DJ37" i="19" s="1"/>
  <c r="DJ39" i="19" l="1"/>
  <c r="DJ40" i="19" s="1"/>
  <c r="DK37" i="19" s="1"/>
  <c r="DK39" i="19" l="1"/>
  <c r="DK40" i="19" s="1"/>
  <c r="DL37" i="19" s="1"/>
  <c r="DL39" i="19" l="1"/>
  <c r="DL40" i="19" s="1"/>
  <c r="DM37" i="19" s="1"/>
  <c r="DM39" i="19" l="1"/>
  <c r="DM40" i="19" s="1"/>
  <c r="DN37" i="19" s="1"/>
  <c r="DN39" i="19" l="1"/>
  <c r="DN40" i="19" s="1"/>
  <c r="DO37" i="19" s="1"/>
  <c r="DO39" i="19" l="1"/>
  <c r="DO40" i="19" s="1"/>
  <c r="DP37" i="19" s="1"/>
  <c r="DP39" i="19" l="1"/>
  <c r="DP40" i="19" s="1"/>
  <c r="DQ37" i="19" s="1"/>
  <c r="DQ39" i="19" l="1"/>
  <c r="DQ40" i="19" s="1"/>
  <c r="DR37" i="19" s="1"/>
  <c r="DR39" i="19" l="1"/>
  <c r="DR40" i="19" s="1"/>
  <c r="DS37" i="19" s="1"/>
  <c r="DS39" i="19" l="1"/>
  <c r="DS40" i="19" s="1"/>
  <c r="DT37" i="19" s="1"/>
  <c r="DT39" i="19" l="1"/>
  <c r="DT40" i="19" s="1"/>
  <c r="DU37" i="19" s="1"/>
  <c r="DU39" i="19" l="1"/>
  <c r="DU40" i="19" s="1"/>
  <c r="DV37" i="19" s="1"/>
  <c r="DV39" i="19" l="1"/>
  <c r="DV40" i="19" s="1"/>
  <c r="DW37" i="19" s="1"/>
  <c r="DW39" i="19" l="1"/>
  <c r="DW40" i="19" s="1"/>
  <c r="DX37" i="19" s="1"/>
  <c r="DX39" i="19" l="1"/>
  <c r="DX40" i="19" s="1"/>
  <c r="DY37" i="19" s="1"/>
  <c r="DY39" i="19" l="1"/>
  <c r="DY40" i="19" s="1"/>
  <c r="DZ37" i="19" s="1"/>
  <c r="DZ39" i="19" l="1"/>
  <c r="DZ40" i="19" s="1"/>
  <c r="EA37" i="19" s="1"/>
  <c r="EA39" i="19" l="1"/>
  <c r="EA40" i="19" s="1"/>
  <c r="EB37" i="19" s="1"/>
  <c r="EB39" i="19" l="1"/>
  <c r="EB40" i="19" s="1"/>
  <c r="EC37" i="19" s="1"/>
  <c r="EC39" i="19" l="1"/>
  <c r="EC40" i="19" s="1"/>
  <c r="ED37" i="19" s="1"/>
  <c r="ED39" i="19" l="1"/>
  <c r="ED40" i="19" s="1"/>
  <c r="EE37" i="19" s="1"/>
  <c r="EE39" i="19" l="1"/>
  <c r="EE40" i="19" s="1"/>
  <c r="EF37" i="19" s="1"/>
  <c r="EF39" i="19" l="1"/>
  <c r="EF40" i="19" s="1"/>
  <c r="EG37" i="19" s="1"/>
  <c r="EG39" i="19" l="1"/>
  <c r="EG40" i="19" s="1"/>
  <c r="EH37" i="19" s="1"/>
  <c r="EH39" i="19" l="1"/>
  <c r="EH40" i="19" s="1"/>
  <c r="EI37" i="19" s="1"/>
  <c r="EI39" i="19" l="1"/>
  <c r="EI40" i="19" s="1"/>
  <c r="EJ37" i="19" s="1"/>
  <c r="EJ39" i="19" l="1"/>
  <c r="EJ40" i="19" s="1"/>
  <c r="EK37" i="19" s="1"/>
  <c r="EK39" i="19" l="1"/>
  <c r="EK40" i="19" s="1"/>
  <c r="EL37" i="19" s="1"/>
  <c r="EL39" i="19" l="1"/>
  <c r="EL40" i="19" s="1"/>
  <c r="EM37" i="19" s="1"/>
  <c r="EM39" i="19" l="1"/>
  <c r="EM40" i="19" s="1"/>
  <c r="EN37" i="19" s="1"/>
  <c r="EN39" i="19" l="1"/>
  <c r="EN40" i="19" s="1"/>
  <c r="EO37" i="19" s="1"/>
  <c r="EO39" i="19" l="1"/>
  <c r="EO40" i="19" s="1"/>
  <c r="EP37" i="19" s="1"/>
  <c r="EP39" i="19" l="1"/>
  <c r="EP40" i="19" s="1"/>
  <c r="EQ37" i="19" s="1"/>
  <c r="EQ39" i="19" l="1"/>
  <c r="J39" i="19" s="1"/>
  <c r="EQ40" i="1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tc={46086835-B0B6-4804-B8B8-8FA22DB0C6DE}</author>
    <author>tc={A212A43E-8B1C-4684-BFB1-B9E7C8D154D1}</author>
    <author>tc={600EE6EF-FD9F-4240-B66D-F43DE3E9AC71}</author>
    <author>tc={12B08773-2B6E-44F5-8CA4-033CE81DFAAE}</author>
    <author>tc={3D1A676F-8F15-4111-B029-A51C5D698360}</author>
    <author>tc={1BC75A78-2209-4E43-8DEB-7987ACC76977}</author>
    <author>tc={C307A3C4-78CA-4F53-AB62-4F62498AD531}</author>
  </authors>
  <commentList>
    <comment ref="AC6" authorId="0" shapeId="0" xr:uid="{46086835-B0B6-4804-B8B8-8FA22DB0C6DE}">
      <text>
        <t>[스레드 댓글]
사용 중인 버전의 Excel에서 이 스레드 댓글을 읽을 수 있지만 파일을 이후 버전의 Excel에서 열면 편집 내용이 모두 제거됩니다. 자세한 정보: https://go.microsoft.com/fwlink/?linkid=870924.
댓글:
    업체 T/C 수령 예정</t>
      </text>
    </comment>
    <comment ref="Q35" authorId="1" shapeId="0" xr:uid="{A212A43E-8B1C-4684-BFB1-B9E7C8D154D1}">
      <text>
        <t>[스레드 댓글]
사용 중인 버전의 Excel에서 이 스레드 댓글을 읽을 수 있지만 파일을 이후 버전의 Excel에서 열면 편집 내용이 모두 제거됩니다. 자세한 정보: https://go.microsoft.com/fwlink/?linkid=870924.
댓글:
    우리은행 t/c반영</t>
      </text>
    </comment>
    <comment ref="AO39" authorId="2" shapeId="0" xr:uid="{600EE6EF-FD9F-4240-B66D-F43DE3E9AC71}">
      <text>
        <t>[스레드 댓글]
사용 중인 버전의 Excel에서 이 스레드 댓글을 읽을 수 있지만 파일을 이후 버전의 Excel에서 열면 편집 내용이 모두 제거됩니다. 자세한 정보: https://go.microsoft.com/fwlink/?linkid=870924.
댓글:
    우리은행 1안</t>
      </text>
    </comment>
    <comment ref="H43" authorId="3" shapeId="0" xr:uid="{12B08773-2B6E-44F5-8CA4-033CE81DFAAE}">
      <text>
        <t>[스레드 댓글]
사용 중인 버전의 Excel에서 이 스레드 댓글을 읽을 수 있지만 파일을 이후 버전의 Excel에서 열면 편집 내용이 모두 제거됩니다. 자세한 정보: https://go.microsoft.com/fwlink/?linkid=870924.
댓글:
    자본준비금 감액배당 구간</t>
      </text>
    </comment>
    <comment ref="AN48" authorId="4" shapeId="0" xr:uid="{3D1A676F-8F15-4111-B029-A51C5D698360}">
      <text>
        <t>[스레드 댓글]
사용 중인 버전의 Excel에서 이 스레드 댓글을 읽을 수 있지만 파일을 이후 버전의 Excel에서 열면 편집 내용이 모두 제거됩니다. 자세한 정보: https://go.microsoft.com/fwlink/?linkid=870924.
댓글:
    최초 24개월 대출에 대한 DSCR</t>
      </text>
    </comment>
    <comment ref="H73" authorId="5" shapeId="0" xr:uid="{1BC75A78-2209-4E43-8DEB-7987ACC76977}">
      <text>
        <t>[스레드 댓글]
사용 중인 버전의 Excel에서 이 스레드 댓글을 읽을 수 있지만 파일을 이후 버전의 Excel에서 열면 편집 내용이 모두 제거됩니다. 자세한 정보: https://go.microsoft.com/fwlink/?linkid=870924.
댓글:
    자본준비금 감액배당 구간</t>
      </text>
    </comment>
    <comment ref="N73" authorId="6" shapeId="0" xr:uid="{C307A3C4-78CA-4F53-AB62-4F62498AD531}">
      <text>
        <t>[스레드 댓글]
사용 중인 버전의 Excel에서 이 스레드 댓글을 읽을 수 있지만 파일을 이후 버전의 Excel에서 열면 편집 내용이 모두 제거됩니다. 자세한 정보: https://go.microsoft.com/fwlink/?linkid=870924.
댓글:
    실제 치 반영</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안 용현(Yonghyeon,Ahn)</author>
  </authors>
  <commentList>
    <comment ref="G43" authorId="0" shapeId="0" xr:uid="{CB2EF745-EEE6-4ABF-83E1-582774923AAB}">
      <text>
        <r>
          <rPr>
            <b/>
            <sz val="9"/>
            <color indexed="81"/>
            <rFont val="Tahoma"/>
            <family val="2"/>
          </rPr>
          <t>안 용현(Yonghyeon,Ahn):</t>
        </r>
        <r>
          <rPr>
            <sz val="9"/>
            <color indexed="81"/>
            <rFont val="Tahoma"/>
            <family val="2"/>
          </rPr>
          <t xml:space="preserve">
원본 개시시점 렌트롤(37~74행)에 '아이팜' 임차 데이터가 없음(1층 리테일 3개 호실 모두 공실). 사용자 확인에 따라 공란 처리, 공실 리테일 면적은 103행에 합산 반영.</t>
        </r>
      </text>
    </comment>
    <comment ref="G67" authorId="0" shapeId="0" xr:uid="{51096901-A24D-42E1-8759-5FBFCC9D1693}">
      <text>
        <r>
          <rPr>
            <b/>
            <sz val="9"/>
            <color indexed="81"/>
            <rFont val="Tahoma"/>
            <family val="2"/>
          </rPr>
          <t>안 용현(Yonghyeon,Ahn):</t>
        </r>
        <r>
          <rPr>
            <sz val="9"/>
            <color indexed="81"/>
            <rFont val="Tahoma"/>
            <family val="2"/>
          </rPr>
          <t xml:space="preserve">
원본 개시시점 렌트롤(37~74행)에 '아이팜' 임차 데이터가 없음(1층 리테일 3개 호실 모두 공실). 사용자 확인에 따라 공란 처리, 공실 리테일 면적은 103행에 합산 반영.</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hykim</author>
    <author>Administrator</author>
  </authors>
  <commentList>
    <comment ref="U37" authorId="0" shapeId="0" xr:uid="{55C76A43-FA19-43EB-8C8C-3035A2EE8F0B}">
      <text>
        <r>
          <rPr>
            <b/>
            <sz val="9"/>
            <color indexed="81"/>
            <rFont val="돋움"/>
            <family val="3"/>
            <charset val="129"/>
          </rPr>
          <t>가장</t>
        </r>
        <r>
          <rPr>
            <b/>
            <sz val="9"/>
            <color indexed="81"/>
            <rFont val="Tahoma"/>
            <family val="2"/>
          </rPr>
          <t xml:space="preserve"> </t>
        </r>
        <r>
          <rPr>
            <b/>
            <sz val="9"/>
            <color indexed="81"/>
            <rFont val="돋움"/>
            <family val="3"/>
            <charset val="129"/>
          </rPr>
          <t>최근</t>
        </r>
        <r>
          <rPr>
            <b/>
            <sz val="9"/>
            <color indexed="81"/>
            <rFont val="Tahoma"/>
            <family val="2"/>
          </rPr>
          <t xml:space="preserve"> </t>
        </r>
        <r>
          <rPr>
            <b/>
            <sz val="9"/>
            <color indexed="81"/>
            <rFont val="돋움"/>
            <family val="3"/>
            <charset val="129"/>
          </rPr>
          <t>계약</t>
        </r>
        <r>
          <rPr>
            <b/>
            <sz val="9"/>
            <color indexed="81"/>
            <rFont val="Tahoma"/>
            <family val="2"/>
          </rPr>
          <t xml:space="preserve"> </t>
        </r>
        <r>
          <rPr>
            <b/>
            <sz val="9"/>
            <color indexed="81"/>
            <rFont val="돋움"/>
            <family val="3"/>
            <charset val="129"/>
          </rPr>
          <t>체결일</t>
        </r>
        <r>
          <rPr>
            <b/>
            <sz val="9"/>
            <color indexed="81"/>
            <rFont val="Tahoma"/>
            <family val="2"/>
          </rPr>
          <t xml:space="preserve"> </t>
        </r>
      </text>
    </comment>
    <comment ref="H61" authorId="1" shapeId="0" xr:uid="{89343E85-E478-4D6A-89D5-24BFA67F6C4B}">
      <text>
        <r>
          <rPr>
            <b/>
            <sz val="14"/>
            <color indexed="81"/>
            <rFont val="Tahoma"/>
            <family val="2"/>
          </rPr>
          <t>688.32</t>
        </r>
        <r>
          <rPr>
            <sz val="14"/>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강 지아</author>
    <author>Administrator</author>
    <author>이 준모</author>
  </authors>
  <commentList>
    <comment ref="H22" authorId="0" shapeId="0" xr:uid="{93153AEC-B34E-4023-8EFB-CDDFE91A9BC8}">
      <text>
        <r>
          <rPr>
            <b/>
            <sz val="9"/>
            <color indexed="81"/>
            <rFont val="돋움"/>
            <family val="3"/>
            <charset val="129"/>
          </rPr>
          <t>단수조정</t>
        </r>
        <r>
          <rPr>
            <b/>
            <sz val="9"/>
            <color indexed="81"/>
            <rFont val="Tahoma"/>
            <family val="2"/>
          </rPr>
          <t xml:space="preserve">-1
</t>
        </r>
      </text>
    </comment>
    <comment ref="I22" authorId="1" shapeId="0" xr:uid="{E6A8502D-D798-480C-BEF3-881AFBA338D2}">
      <text>
        <r>
          <rPr>
            <b/>
            <sz val="9"/>
            <color indexed="81"/>
            <rFont val="굴림"/>
            <family val="3"/>
            <charset val="129"/>
          </rPr>
          <t>Administrator:</t>
        </r>
        <r>
          <rPr>
            <sz val="9"/>
            <color indexed="81"/>
            <rFont val="굴림"/>
            <family val="3"/>
            <charset val="129"/>
          </rPr>
          <t xml:space="preserve">
재산세액의 100분의20
</t>
        </r>
      </text>
    </comment>
    <comment ref="F26" authorId="1" shapeId="0" xr:uid="{65B54F51-8D39-45AD-BA01-57E895B73BAD}">
      <text>
        <r>
          <rPr>
            <b/>
            <sz val="9"/>
            <color indexed="81"/>
            <rFont val="굴림"/>
            <family val="3"/>
            <charset val="129"/>
          </rPr>
          <t>Administrator:</t>
        </r>
        <r>
          <rPr>
            <sz val="9"/>
            <color indexed="81"/>
            <rFont val="굴림"/>
            <family val="3"/>
            <charset val="129"/>
          </rPr>
          <t xml:space="preserve">
별도합산 280만원+10억 초과금액의 1000분의 4</t>
        </r>
      </text>
    </comment>
    <comment ref="H26" authorId="0" shapeId="0" xr:uid="{D970D522-4A32-4B52-8CE0-CAB5C3B645E6}">
      <text>
        <r>
          <rPr>
            <b/>
            <sz val="9"/>
            <color indexed="81"/>
            <rFont val="돋움"/>
            <family val="3"/>
            <charset val="129"/>
          </rPr>
          <t>단수조정</t>
        </r>
        <r>
          <rPr>
            <b/>
            <sz val="9"/>
            <color indexed="81"/>
            <rFont val="Tahoma"/>
            <family val="2"/>
          </rPr>
          <t xml:space="preserve"> -1</t>
        </r>
      </text>
    </comment>
    <comment ref="I26" authorId="1" shapeId="0" xr:uid="{A3C79CAC-656E-48A6-8072-51868239DEBA}">
      <text>
        <r>
          <rPr>
            <b/>
            <sz val="9"/>
            <color indexed="81"/>
            <rFont val="굴림"/>
            <family val="3"/>
            <charset val="129"/>
          </rPr>
          <t>Administrator:</t>
        </r>
        <r>
          <rPr>
            <sz val="9"/>
            <color indexed="81"/>
            <rFont val="굴림"/>
            <family val="3"/>
            <charset val="129"/>
          </rPr>
          <t xml:space="preserve">
재산세액의 100분의20
</t>
        </r>
      </text>
    </comment>
    <comment ref="H30" authorId="0" shapeId="0" xr:uid="{3D920F87-D18E-43BB-8F9C-A457BC533E77}">
      <text>
        <r>
          <rPr>
            <b/>
            <sz val="9"/>
            <color indexed="81"/>
            <rFont val="돋움"/>
            <family val="3"/>
            <charset val="129"/>
          </rPr>
          <t>단수조정</t>
        </r>
        <r>
          <rPr>
            <b/>
            <sz val="9"/>
            <color indexed="81"/>
            <rFont val="Tahoma"/>
            <family val="2"/>
          </rPr>
          <t xml:space="preserve"> -1</t>
        </r>
      </text>
    </comment>
    <comment ref="I30" authorId="1" shapeId="0" xr:uid="{36E0D76F-6ABE-4B5D-A6F5-D02E98AC3F19}">
      <text>
        <r>
          <rPr>
            <b/>
            <sz val="9"/>
            <color indexed="81"/>
            <rFont val="굴림"/>
            <family val="3"/>
            <charset val="129"/>
          </rPr>
          <t>Administrator:</t>
        </r>
        <r>
          <rPr>
            <sz val="9"/>
            <color indexed="81"/>
            <rFont val="굴림"/>
            <family val="3"/>
            <charset val="129"/>
          </rPr>
          <t xml:space="preserve">
재산세액의 100분의20
</t>
        </r>
      </text>
    </comment>
    <comment ref="I34" authorId="1" shapeId="0" xr:uid="{8769E857-64ED-4149-9572-736C6A8A9693}">
      <text>
        <r>
          <rPr>
            <b/>
            <sz val="9"/>
            <color indexed="81"/>
            <rFont val="굴림"/>
            <family val="3"/>
            <charset val="129"/>
          </rPr>
          <t>Administrator:</t>
        </r>
        <r>
          <rPr>
            <sz val="9"/>
            <color indexed="81"/>
            <rFont val="굴림"/>
            <family val="3"/>
            <charset val="129"/>
          </rPr>
          <t xml:space="preserve">
재산세액의 100분의20
</t>
        </r>
      </text>
    </comment>
    <comment ref="H38" authorId="1" shapeId="0" xr:uid="{DC090A71-6123-4772-8B81-9135B960349E}">
      <text>
        <r>
          <rPr>
            <b/>
            <sz val="9"/>
            <color indexed="81"/>
            <rFont val="굴림"/>
            <family val="3"/>
            <charset val="129"/>
          </rPr>
          <t>Administrator:</t>
        </r>
        <r>
          <rPr>
            <sz val="9"/>
            <color indexed="81"/>
            <rFont val="굴림"/>
            <family val="3"/>
            <charset val="129"/>
          </rPr>
          <t xml:space="preserve">
관양동 912-2 중 46.67 제곱미터는 도시지역분 면세
단수조정-1
</t>
        </r>
      </text>
    </comment>
    <comment ref="I38" authorId="1" shapeId="0" xr:uid="{0CB03381-C365-40CE-9114-CA1A2F66A67A}">
      <text>
        <r>
          <rPr>
            <b/>
            <sz val="9"/>
            <color indexed="81"/>
            <rFont val="굴림"/>
            <family val="3"/>
            <charset val="129"/>
          </rPr>
          <t>Administrator:</t>
        </r>
        <r>
          <rPr>
            <sz val="9"/>
            <color indexed="81"/>
            <rFont val="굴림"/>
            <family val="3"/>
            <charset val="129"/>
          </rPr>
          <t xml:space="preserve">
재산세액의 100분의20
</t>
        </r>
      </text>
    </comment>
    <comment ref="G41" authorId="2" shapeId="0" xr:uid="{D4D9BA76-50C7-4DDA-8728-C790F1F2BB5D}">
      <text>
        <r>
          <rPr>
            <b/>
            <sz val="9"/>
            <color indexed="81"/>
            <rFont val="돋움"/>
            <family val="3"/>
            <charset val="129"/>
          </rPr>
          <t>이</t>
        </r>
        <r>
          <rPr>
            <b/>
            <sz val="9"/>
            <color indexed="81"/>
            <rFont val="Tahoma"/>
            <family val="2"/>
          </rPr>
          <t xml:space="preserve"> </t>
        </r>
        <r>
          <rPr>
            <b/>
            <sz val="9"/>
            <color indexed="81"/>
            <rFont val="돋움"/>
            <family val="3"/>
            <charset val="129"/>
          </rPr>
          <t>준모</t>
        </r>
        <r>
          <rPr>
            <b/>
            <sz val="9"/>
            <color indexed="81"/>
            <rFont val="Tahoma"/>
            <family val="2"/>
          </rPr>
          <t>:</t>
        </r>
        <r>
          <rPr>
            <sz val="9"/>
            <color indexed="81"/>
            <rFont val="Tahoma"/>
            <family val="2"/>
          </rPr>
          <t xml:space="preserve">
</t>
        </r>
        <r>
          <rPr>
            <sz val="9"/>
            <color indexed="81"/>
            <rFont val="돋움"/>
            <family val="3"/>
            <charset val="129"/>
          </rPr>
          <t>재산세는</t>
        </r>
        <r>
          <rPr>
            <sz val="9"/>
            <color indexed="81"/>
            <rFont val="Tahoma"/>
            <family val="2"/>
          </rPr>
          <t xml:space="preserve"> </t>
        </r>
        <r>
          <rPr>
            <sz val="9"/>
            <color indexed="81"/>
            <rFont val="돋움"/>
            <family val="3"/>
            <charset val="129"/>
          </rPr>
          <t>각</t>
        </r>
        <r>
          <rPr>
            <sz val="9"/>
            <color indexed="81"/>
            <rFont val="Tahoma"/>
            <family val="2"/>
          </rPr>
          <t xml:space="preserve"> </t>
        </r>
        <r>
          <rPr>
            <sz val="9"/>
            <color indexed="81"/>
            <rFont val="돋움"/>
            <family val="3"/>
            <charset val="129"/>
          </rPr>
          <t>지번</t>
        </r>
        <r>
          <rPr>
            <sz val="9"/>
            <color indexed="81"/>
            <rFont val="Tahoma"/>
            <family val="2"/>
          </rPr>
          <t xml:space="preserve"> </t>
        </r>
        <r>
          <rPr>
            <sz val="9"/>
            <color indexed="81"/>
            <rFont val="돋움"/>
            <family val="3"/>
            <charset val="129"/>
          </rPr>
          <t>별로</t>
        </r>
        <r>
          <rPr>
            <sz val="9"/>
            <color indexed="81"/>
            <rFont val="Tahoma"/>
            <family val="2"/>
          </rPr>
          <t xml:space="preserve"> </t>
        </r>
        <r>
          <rPr>
            <sz val="9"/>
            <color indexed="81"/>
            <rFont val="돋움"/>
            <family val="3"/>
            <charset val="129"/>
          </rPr>
          <t>계산하는</t>
        </r>
        <r>
          <rPr>
            <sz val="9"/>
            <color indexed="81"/>
            <rFont val="Tahoma"/>
            <family val="2"/>
          </rPr>
          <t xml:space="preserve"> </t>
        </r>
        <r>
          <rPr>
            <sz val="9"/>
            <color indexed="81"/>
            <rFont val="돋움"/>
            <family val="3"/>
            <charset val="129"/>
          </rPr>
          <t>것이</t>
        </r>
        <r>
          <rPr>
            <sz val="9"/>
            <color indexed="81"/>
            <rFont val="Tahoma"/>
            <family val="2"/>
          </rPr>
          <t xml:space="preserve"> </t>
        </r>
        <r>
          <rPr>
            <sz val="9"/>
            <color indexed="81"/>
            <rFont val="돋움"/>
            <family val="3"/>
            <charset val="129"/>
          </rPr>
          <t>아니라</t>
        </r>
        <r>
          <rPr>
            <sz val="9"/>
            <color indexed="81"/>
            <rFont val="Tahoma"/>
            <family val="2"/>
          </rPr>
          <t xml:space="preserve"> </t>
        </r>
        <r>
          <rPr>
            <sz val="9"/>
            <color indexed="81"/>
            <rFont val="돋움"/>
            <family val="3"/>
            <charset val="129"/>
          </rPr>
          <t>과세표준액</t>
        </r>
        <r>
          <rPr>
            <sz val="9"/>
            <color indexed="81"/>
            <rFont val="Tahoma"/>
            <family val="2"/>
          </rPr>
          <t xml:space="preserve"> </t>
        </r>
        <r>
          <rPr>
            <sz val="9"/>
            <color indexed="81"/>
            <rFont val="돋움"/>
            <family val="3"/>
            <charset val="129"/>
          </rPr>
          <t>합산액을</t>
        </r>
        <r>
          <rPr>
            <sz val="9"/>
            <color indexed="81"/>
            <rFont val="Tahoma"/>
            <family val="2"/>
          </rPr>
          <t xml:space="preserve"> </t>
        </r>
        <r>
          <rPr>
            <sz val="9"/>
            <color indexed="81"/>
            <rFont val="돋움"/>
            <family val="3"/>
            <charset val="129"/>
          </rPr>
          <t>기준으로</t>
        </r>
        <r>
          <rPr>
            <sz val="9"/>
            <color indexed="81"/>
            <rFont val="Tahoma"/>
            <family val="2"/>
          </rPr>
          <t xml:space="preserve"> </t>
        </r>
        <r>
          <rPr>
            <sz val="9"/>
            <color indexed="81"/>
            <rFont val="돋움"/>
            <family val="3"/>
            <charset val="129"/>
          </rPr>
          <t>계산</t>
        </r>
      </text>
    </comment>
    <comment ref="H41" authorId="2" shapeId="0" xr:uid="{AFCC1C7E-1290-4EF1-8371-6BB0B4610645}">
      <text>
        <r>
          <rPr>
            <b/>
            <sz val="9"/>
            <color indexed="81"/>
            <rFont val="돋움"/>
            <family val="3"/>
            <charset val="129"/>
          </rPr>
          <t>이</t>
        </r>
        <r>
          <rPr>
            <b/>
            <sz val="9"/>
            <color indexed="81"/>
            <rFont val="Tahoma"/>
            <family val="2"/>
          </rPr>
          <t xml:space="preserve"> </t>
        </r>
        <r>
          <rPr>
            <b/>
            <sz val="9"/>
            <color indexed="81"/>
            <rFont val="돋움"/>
            <family val="3"/>
            <charset val="129"/>
          </rPr>
          <t>준모</t>
        </r>
        <r>
          <rPr>
            <b/>
            <sz val="9"/>
            <color indexed="81"/>
            <rFont val="Tahoma"/>
            <family val="2"/>
          </rPr>
          <t>:</t>
        </r>
        <r>
          <rPr>
            <sz val="9"/>
            <color indexed="81"/>
            <rFont val="Tahoma"/>
            <family val="2"/>
          </rPr>
          <t xml:space="preserve">
</t>
        </r>
        <r>
          <rPr>
            <sz val="9"/>
            <color indexed="81"/>
            <rFont val="돋움"/>
            <family val="3"/>
            <charset val="129"/>
          </rPr>
          <t>도시지역분은</t>
        </r>
        <r>
          <rPr>
            <sz val="9"/>
            <color indexed="81"/>
            <rFont val="Tahoma"/>
            <family val="2"/>
          </rPr>
          <t xml:space="preserve"> </t>
        </r>
        <r>
          <rPr>
            <sz val="9"/>
            <color indexed="81"/>
            <rFont val="돋움"/>
            <family val="3"/>
            <charset val="129"/>
          </rPr>
          <t>지번별로</t>
        </r>
        <r>
          <rPr>
            <sz val="9"/>
            <color indexed="81"/>
            <rFont val="Tahoma"/>
            <family val="2"/>
          </rPr>
          <t xml:space="preserve"> </t>
        </r>
        <r>
          <rPr>
            <sz val="9"/>
            <color indexed="81"/>
            <rFont val="돋움"/>
            <family val="3"/>
            <charset val="129"/>
          </rPr>
          <t>나누어서</t>
        </r>
        <r>
          <rPr>
            <sz val="9"/>
            <color indexed="81"/>
            <rFont val="Tahoma"/>
            <family val="2"/>
          </rPr>
          <t xml:space="preserve"> </t>
        </r>
        <r>
          <rPr>
            <sz val="9"/>
            <color indexed="81"/>
            <rFont val="돋움"/>
            <family val="3"/>
            <charset val="129"/>
          </rPr>
          <t>계산
단수조정</t>
        </r>
        <r>
          <rPr>
            <sz val="9"/>
            <color indexed="81"/>
            <rFont val="Tahoma"/>
            <family val="2"/>
          </rPr>
          <t xml:space="preserve"> +3</t>
        </r>
      </text>
    </comment>
    <comment ref="I41" authorId="1" shapeId="0" xr:uid="{DE3AEC5F-1ACC-44B6-96D2-30655865348B}">
      <text>
        <r>
          <rPr>
            <b/>
            <sz val="9"/>
            <color indexed="81"/>
            <rFont val="굴림"/>
            <family val="3"/>
            <charset val="129"/>
          </rPr>
          <t>Administrator:</t>
        </r>
        <r>
          <rPr>
            <sz val="9"/>
            <color indexed="81"/>
            <rFont val="굴림"/>
            <family val="3"/>
            <charset val="129"/>
          </rPr>
          <t xml:space="preserve">
재산세액의 100분의20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사용자</author>
    <author>steve</author>
  </authors>
  <commentList>
    <comment ref="J41" authorId="0" shapeId="0" xr:uid="{D6C5775E-3BEC-47B5-9A05-F07435639010}">
      <text>
        <r>
          <rPr>
            <sz val="9"/>
            <color indexed="81"/>
            <rFont val="돋움"/>
            <family val="3"/>
            <charset val="129"/>
          </rPr>
          <t>산출세액</t>
        </r>
        <r>
          <rPr>
            <sz val="9"/>
            <color indexed="81"/>
            <rFont val="Tahoma"/>
            <family val="2"/>
          </rPr>
          <t>*</t>
        </r>
        <r>
          <rPr>
            <sz val="9"/>
            <color indexed="81"/>
            <rFont val="돋움"/>
            <family val="3"/>
            <charset val="129"/>
          </rPr>
          <t>해당필지과세표준</t>
        </r>
        <r>
          <rPr>
            <sz val="9"/>
            <color indexed="81"/>
            <rFont val="Tahoma"/>
            <family val="2"/>
          </rPr>
          <t>/</t>
        </r>
        <r>
          <rPr>
            <sz val="9"/>
            <color indexed="81"/>
            <rFont val="돋움"/>
            <family val="3"/>
            <charset val="129"/>
          </rPr>
          <t>총과세표준</t>
        </r>
      </text>
    </comment>
    <comment ref="G55" authorId="1" shapeId="0" xr:uid="{094873A2-847A-4F52-A06D-74CA62598835}">
      <text>
        <r>
          <rPr>
            <sz val="9"/>
            <color indexed="81"/>
            <rFont val="돋움"/>
            <family val="3"/>
            <charset val="129"/>
          </rPr>
          <t>종합부동산세법</t>
        </r>
        <r>
          <rPr>
            <sz val="9"/>
            <color indexed="81"/>
            <rFont val="Tahoma"/>
            <family val="2"/>
          </rPr>
          <t xml:space="preserve"> </t>
        </r>
        <r>
          <rPr>
            <sz val="9"/>
            <color indexed="81"/>
            <rFont val="돋움"/>
            <family val="3"/>
            <charset val="129"/>
          </rPr>
          <t>시행령
제</t>
        </r>
        <r>
          <rPr>
            <sz val="9"/>
            <color indexed="81"/>
            <rFont val="Tahoma"/>
            <family val="2"/>
          </rPr>
          <t>2</t>
        </r>
        <r>
          <rPr>
            <sz val="9"/>
            <color indexed="81"/>
            <rFont val="돋움"/>
            <family val="3"/>
            <charset val="129"/>
          </rPr>
          <t>조</t>
        </r>
        <r>
          <rPr>
            <sz val="9"/>
            <color indexed="81"/>
            <rFont val="Tahoma"/>
            <family val="2"/>
          </rPr>
          <t xml:space="preserve"> 4(</t>
        </r>
        <r>
          <rPr>
            <sz val="9"/>
            <color indexed="81"/>
            <rFont val="돋움"/>
            <family val="3"/>
            <charset val="129"/>
          </rPr>
          <t>공정시장가액비율</t>
        </r>
        <r>
          <rPr>
            <sz val="9"/>
            <color indexed="81"/>
            <rFont val="Tahoma"/>
            <family val="2"/>
          </rPr>
          <t>)</t>
        </r>
        <r>
          <rPr>
            <sz val="9"/>
            <color indexed="81"/>
            <rFont val="돋움"/>
            <family val="3"/>
            <charset val="129"/>
          </rPr>
          <t xml:space="preserve">
</t>
        </r>
      </text>
    </comment>
    <comment ref="I55" authorId="1" shapeId="0" xr:uid="{9AC29D9A-8C27-4E63-9103-656A4D03CA51}">
      <text>
        <r>
          <rPr>
            <sz val="9"/>
            <color indexed="81"/>
            <rFont val="돋움"/>
            <family val="3"/>
            <charset val="129"/>
          </rPr>
          <t>종합부동산세법</t>
        </r>
        <r>
          <rPr>
            <sz val="9"/>
            <color indexed="81"/>
            <rFont val="Tahoma"/>
            <family val="2"/>
          </rPr>
          <t xml:space="preserve"> </t>
        </r>
        <r>
          <rPr>
            <sz val="9"/>
            <color indexed="81"/>
            <rFont val="돋움"/>
            <family val="3"/>
            <charset val="129"/>
          </rPr>
          <t>제</t>
        </r>
        <r>
          <rPr>
            <sz val="9"/>
            <color indexed="81"/>
            <rFont val="Tahoma"/>
            <family val="2"/>
          </rPr>
          <t>13</t>
        </r>
        <r>
          <rPr>
            <sz val="9"/>
            <color indexed="81"/>
            <rFont val="돋움"/>
            <family val="3"/>
            <charset val="129"/>
          </rPr>
          <t>조</t>
        </r>
        <r>
          <rPr>
            <sz val="9"/>
            <color indexed="81"/>
            <rFont val="Tahoma"/>
            <family val="2"/>
          </rPr>
          <t>(</t>
        </r>
        <r>
          <rPr>
            <sz val="9"/>
            <color indexed="81"/>
            <rFont val="돋움"/>
            <family val="3"/>
            <charset val="129"/>
          </rPr>
          <t>과세표준</t>
        </r>
        <r>
          <rPr>
            <sz val="9"/>
            <color indexed="81"/>
            <rFont val="Tahoma"/>
            <family val="2"/>
          </rPr>
          <t xml:space="preserve">) </t>
        </r>
        <r>
          <rPr>
            <sz val="9"/>
            <color indexed="81"/>
            <rFont val="돋움"/>
            <family val="3"/>
            <charset val="129"/>
          </rPr>
          <t>②</t>
        </r>
        <r>
          <rPr>
            <sz val="9"/>
            <color indexed="81"/>
            <rFont val="Tahoma"/>
            <family val="2"/>
          </rPr>
          <t xml:space="preserve"> </t>
        </r>
        <r>
          <rPr>
            <sz val="9"/>
            <color indexed="81"/>
            <rFont val="돋움"/>
            <family val="3"/>
            <charset val="129"/>
          </rPr>
          <t>공시가격</t>
        </r>
        <r>
          <rPr>
            <sz val="9"/>
            <color indexed="81"/>
            <rFont val="Tahoma"/>
            <family val="2"/>
          </rPr>
          <t xml:space="preserve"> </t>
        </r>
        <r>
          <rPr>
            <sz val="9"/>
            <color indexed="81"/>
            <rFont val="돋움"/>
            <family val="3"/>
            <charset val="129"/>
          </rPr>
          <t>합산한</t>
        </r>
        <r>
          <rPr>
            <sz val="9"/>
            <color indexed="81"/>
            <rFont val="Tahoma"/>
            <family val="2"/>
          </rPr>
          <t xml:space="preserve"> </t>
        </r>
        <r>
          <rPr>
            <sz val="9"/>
            <color indexed="81"/>
            <rFont val="돋움"/>
            <family val="3"/>
            <charset val="129"/>
          </rPr>
          <t>금액에서</t>
        </r>
        <r>
          <rPr>
            <sz val="9"/>
            <color indexed="81"/>
            <rFont val="Tahoma"/>
            <family val="2"/>
          </rPr>
          <t xml:space="preserve"> 80</t>
        </r>
        <r>
          <rPr>
            <sz val="9"/>
            <color indexed="81"/>
            <rFont val="돋움"/>
            <family val="3"/>
            <charset val="129"/>
          </rPr>
          <t>억</t>
        </r>
        <r>
          <rPr>
            <sz val="9"/>
            <color indexed="81"/>
            <rFont val="Tahoma"/>
            <family val="2"/>
          </rPr>
          <t xml:space="preserve"> </t>
        </r>
        <r>
          <rPr>
            <sz val="9"/>
            <color indexed="81"/>
            <rFont val="돋움"/>
            <family val="3"/>
            <charset val="129"/>
          </rPr>
          <t>공제</t>
        </r>
        <r>
          <rPr>
            <sz val="9"/>
            <color indexed="81"/>
            <rFont val="Tahoma"/>
            <family val="2"/>
          </rPr>
          <t xml:space="preserve"> </t>
        </r>
        <r>
          <rPr>
            <sz val="9"/>
            <color indexed="81"/>
            <rFont val="돋움"/>
            <family val="3"/>
            <charset val="129"/>
          </rPr>
          <t>금액</t>
        </r>
        <r>
          <rPr>
            <sz val="9"/>
            <color indexed="81"/>
            <rFont val="Tahoma"/>
            <family val="2"/>
          </rPr>
          <t xml:space="preserve"> * </t>
        </r>
        <r>
          <rPr>
            <sz val="9"/>
            <color indexed="81"/>
            <rFont val="돋움"/>
            <family val="3"/>
            <charset val="129"/>
          </rPr>
          <t>공정시장가액비율</t>
        </r>
      </text>
    </comment>
    <comment ref="J55" authorId="1" shapeId="0" xr:uid="{21F8AEEF-E1D2-425F-B8C3-BDB80A122082}">
      <text>
        <r>
          <rPr>
            <sz val="9"/>
            <color indexed="81"/>
            <rFont val="돋움"/>
            <family val="3"/>
            <charset val="129"/>
          </rPr>
          <t>종합부동산세법</t>
        </r>
        <r>
          <rPr>
            <sz val="9"/>
            <color indexed="81"/>
            <rFont val="Tahoma"/>
            <family val="2"/>
          </rPr>
          <t xml:space="preserve"> </t>
        </r>
        <r>
          <rPr>
            <sz val="9"/>
            <color indexed="81"/>
            <rFont val="돋움"/>
            <family val="3"/>
            <charset val="129"/>
          </rPr>
          <t>제</t>
        </r>
        <r>
          <rPr>
            <sz val="9"/>
            <color indexed="81"/>
            <rFont val="Tahoma"/>
            <family val="2"/>
          </rPr>
          <t>14</t>
        </r>
        <r>
          <rPr>
            <sz val="9"/>
            <color indexed="81"/>
            <rFont val="돋움"/>
            <family val="3"/>
            <charset val="129"/>
          </rPr>
          <t>조</t>
        </r>
        <r>
          <rPr>
            <sz val="9"/>
            <color indexed="81"/>
            <rFont val="Tahoma"/>
            <family val="2"/>
          </rPr>
          <t>(</t>
        </r>
        <r>
          <rPr>
            <sz val="9"/>
            <color indexed="81"/>
            <rFont val="돋움"/>
            <family val="3"/>
            <charset val="129"/>
          </rPr>
          <t>세율및세액</t>
        </r>
        <r>
          <rPr>
            <sz val="9"/>
            <color indexed="81"/>
            <rFont val="Tahoma"/>
            <family val="2"/>
          </rPr>
          <t xml:space="preserve">) </t>
        </r>
        <r>
          <rPr>
            <sz val="9"/>
            <color indexed="81"/>
            <rFont val="돋움"/>
            <family val="3"/>
            <charset val="129"/>
          </rPr>
          <t>④</t>
        </r>
        <r>
          <rPr>
            <sz val="9"/>
            <color indexed="81"/>
            <rFont val="Tahoma"/>
            <family val="2"/>
          </rPr>
          <t xml:space="preserve"> 200</t>
        </r>
        <r>
          <rPr>
            <sz val="9"/>
            <color indexed="81"/>
            <rFont val="돋움"/>
            <family val="3"/>
            <charset val="129"/>
          </rPr>
          <t>억</t>
        </r>
        <r>
          <rPr>
            <sz val="9"/>
            <color indexed="81"/>
            <rFont val="Tahoma"/>
            <family val="2"/>
          </rPr>
          <t xml:space="preserve"> </t>
        </r>
        <r>
          <rPr>
            <sz val="9"/>
            <color indexed="81"/>
            <rFont val="Tahoma"/>
            <family val="2"/>
          </rPr>
          <t xml:space="preserve"> </t>
        </r>
        <r>
          <rPr>
            <sz val="9"/>
            <color indexed="81"/>
            <rFont val="돋움"/>
            <family val="3"/>
            <charset val="129"/>
          </rPr>
          <t>이하</t>
        </r>
        <r>
          <rPr>
            <sz val="9"/>
            <color indexed="81"/>
            <rFont val="Tahoma"/>
            <family val="2"/>
          </rPr>
          <t xml:space="preserve"> </t>
        </r>
      </text>
    </comment>
    <comment ref="K55" authorId="1" shapeId="0" xr:uid="{377D0BBC-BDED-42A8-83D6-BB5A68C3B628}">
      <text>
        <r>
          <rPr>
            <sz val="9"/>
            <color indexed="81"/>
            <rFont val="돋움"/>
            <family val="3"/>
            <charset val="129"/>
          </rPr>
          <t>종합부동산세법</t>
        </r>
        <r>
          <rPr>
            <sz val="9"/>
            <color indexed="81"/>
            <rFont val="Tahoma"/>
            <family val="2"/>
          </rPr>
          <t xml:space="preserve"> </t>
        </r>
        <r>
          <rPr>
            <sz val="9"/>
            <color indexed="81"/>
            <rFont val="돋움"/>
            <family val="3"/>
            <charset val="129"/>
          </rPr>
          <t>시행령
제</t>
        </r>
        <r>
          <rPr>
            <sz val="9"/>
            <color indexed="81"/>
            <rFont val="Tahoma"/>
            <family val="2"/>
          </rPr>
          <t>5</t>
        </r>
        <r>
          <rPr>
            <sz val="9"/>
            <color indexed="81"/>
            <rFont val="돋움"/>
            <family val="3"/>
            <charset val="129"/>
          </rPr>
          <t>조</t>
        </r>
        <r>
          <rPr>
            <sz val="9"/>
            <color indexed="81"/>
            <rFont val="Tahoma"/>
            <family val="2"/>
          </rPr>
          <t xml:space="preserve"> 3(</t>
        </r>
        <r>
          <rPr>
            <sz val="9"/>
            <color indexed="81"/>
            <rFont val="돋움"/>
            <family val="3"/>
            <charset val="129"/>
          </rPr>
          <t>토지분</t>
        </r>
        <r>
          <rPr>
            <sz val="9"/>
            <color indexed="81"/>
            <rFont val="Tahoma"/>
            <family val="2"/>
          </rPr>
          <t xml:space="preserve"> </t>
        </r>
        <r>
          <rPr>
            <sz val="9"/>
            <color indexed="81"/>
            <rFont val="돋움"/>
            <family val="3"/>
            <charset val="129"/>
          </rPr>
          <t>종부세의</t>
        </r>
        <r>
          <rPr>
            <sz val="9"/>
            <color indexed="81"/>
            <rFont val="Tahoma"/>
            <family val="2"/>
          </rPr>
          <t xml:space="preserve"> </t>
        </r>
        <r>
          <rPr>
            <sz val="9"/>
            <color indexed="81"/>
            <rFont val="돋움"/>
            <family val="3"/>
            <charset val="129"/>
          </rPr>
          <t>재산세</t>
        </r>
        <r>
          <rPr>
            <sz val="9"/>
            <color indexed="81"/>
            <rFont val="Tahoma"/>
            <family val="2"/>
          </rPr>
          <t xml:space="preserve"> </t>
        </r>
        <r>
          <rPr>
            <sz val="9"/>
            <color indexed="81"/>
            <rFont val="돋움"/>
            <family val="3"/>
            <charset val="129"/>
          </rPr>
          <t>공제</t>
        </r>
        <r>
          <rPr>
            <sz val="9"/>
            <color indexed="81"/>
            <rFont val="Tahoma"/>
            <family val="2"/>
          </rPr>
          <t xml:space="preserve">) </t>
        </r>
        <r>
          <rPr>
            <sz val="9"/>
            <color indexed="81"/>
            <rFont val="돋움"/>
            <family val="3"/>
            <charset val="129"/>
          </rPr>
          <t>②</t>
        </r>
      </text>
    </comment>
    <comment ref="M55" authorId="1" shapeId="0" xr:uid="{E2EA5D2E-1BF8-4FE4-A060-D4C77A43BD89}">
      <text>
        <r>
          <rPr>
            <sz val="9"/>
            <color indexed="81"/>
            <rFont val="돋움"/>
            <family val="3"/>
            <charset val="129"/>
          </rPr>
          <t>농어촌특별법</t>
        </r>
        <r>
          <rPr>
            <sz val="9"/>
            <color indexed="81"/>
            <rFont val="Tahoma"/>
            <family val="2"/>
          </rPr>
          <t xml:space="preserve"> </t>
        </r>
        <r>
          <rPr>
            <sz val="9"/>
            <color indexed="81"/>
            <rFont val="돋움"/>
            <family val="3"/>
            <charset val="129"/>
          </rPr>
          <t>제</t>
        </r>
        <r>
          <rPr>
            <sz val="9"/>
            <color indexed="81"/>
            <rFont val="Tahoma"/>
            <family val="2"/>
          </rPr>
          <t>5</t>
        </r>
        <r>
          <rPr>
            <sz val="9"/>
            <color indexed="81"/>
            <rFont val="돋움"/>
            <family val="3"/>
            <charset val="129"/>
          </rPr>
          <t>조</t>
        </r>
        <r>
          <rPr>
            <sz val="9"/>
            <color indexed="81"/>
            <rFont val="Tahoma"/>
            <family val="2"/>
          </rPr>
          <t xml:space="preserve"> </t>
        </r>
        <r>
          <rPr>
            <sz val="9"/>
            <color indexed="81"/>
            <rFont val="돋움"/>
            <family val="3"/>
            <charset val="129"/>
          </rPr>
          <t>①
과세표준표</t>
        </r>
        <r>
          <rPr>
            <sz val="9"/>
            <color indexed="81"/>
            <rFont val="Tahoma"/>
            <family val="2"/>
          </rPr>
          <t xml:space="preserve"> 8</t>
        </r>
        <r>
          <rPr>
            <sz val="9"/>
            <color indexed="81"/>
            <rFont val="돋움"/>
            <family val="3"/>
            <charset val="129"/>
          </rPr>
          <t>목</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<sst xmlns="http://schemas.openxmlformats.org/spreadsheetml/2006/main" count="5641" uniqueCount="2678">
  <si>
    <t>시작일</t>
  </si>
  <si>
    <t>종료일</t>
  </si>
  <si>
    <t>연도</t>
  </si>
  <si>
    <t>달</t>
  </si>
  <si>
    <t>Index</t>
    <phoneticPr fontId="2" type="noConversion"/>
  </si>
  <si>
    <t>운영기간</t>
    <phoneticPr fontId="2" type="noConversion"/>
  </si>
  <si>
    <t>운영개시일</t>
    <phoneticPr fontId="2" type="noConversion"/>
  </si>
  <si>
    <t>운영종료일</t>
    <phoneticPr fontId="2" type="noConversion"/>
  </si>
  <si>
    <t>청산기간</t>
    <phoneticPr fontId="2" type="noConversion"/>
  </si>
  <si>
    <t>납부</t>
    <phoneticPr fontId="2" type="noConversion"/>
  </si>
  <si>
    <t>환급</t>
    <phoneticPr fontId="2" type="noConversion"/>
  </si>
  <si>
    <t>조달일</t>
    <phoneticPr fontId="2" type="noConversion"/>
  </si>
  <si>
    <t>조달기간</t>
    <phoneticPr fontId="2" type="noConversion"/>
  </si>
  <si>
    <t>조달일</t>
  </si>
  <si>
    <t>상환일</t>
  </si>
  <si>
    <t>조달기간</t>
  </si>
  <si>
    <t>조달기간_누적</t>
  </si>
  <si>
    <t>이자지급주기</t>
  </si>
  <si>
    <t>반환일</t>
    <phoneticPr fontId="2" type="noConversion"/>
  </si>
  <si>
    <t>보통주</t>
    <phoneticPr fontId="2" type="noConversion"/>
  </si>
  <si>
    <t>재무모델 오류 검증</t>
    <phoneticPr fontId="2" type="noConversion"/>
  </si>
  <si>
    <t xml:space="preserve">총 사업비 및 재원조달 </t>
    <phoneticPr fontId="2" type="noConversion"/>
  </si>
  <si>
    <t>Rent-Roll</t>
    <phoneticPr fontId="2" type="noConversion"/>
  </si>
  <si>
    <t>총투자비 일치 검증</t>
    <phoneticPr fontId="2" type="noConversion"/>
  </si>
  <si>
    <t>구분</t>
    <phoneticPr fontId="2" type="noConversion"/>
  </si>
  <si>
    <t>금액</t>
    <phoneticPr fontId="2" type="noConversion"/>
  </si>
  <si>
    <t>비율(%)</t>
    <phoneticPr fontId="2" type="noConversion"/>
  </si>
  <si>
    <t>Sources &amp; Uses</t>
    <phoneticPr fontId="2" type="noConversion"/>
  </si>
  <si>
    <t>비율</t>
    <phoneticPr fontId="2" type="noConversion"/>
  </si>
  <si>
    <t>임대면적</t>
    <phoneticPr fontId="2" type="noConversion"/>
  </si>
  <si>
    <t>임대개시일</t>
  </si>
  <si>
    <t>임대종료일</t>
  </si>
  <si>
    <t>임대기간</t>
  </si>
  <si>
    <t>임대료(원/py)</t>
    <phoneticPr fontId="2" type="noConversion"/>
  </si>
  <si>
    <t>관리비(원/py)</t>
    <phoneticPr fontId="2" type="noConversion"/>
  </si>
  <si>
    <t>보증금(원/py)</t>
    <phoneticPr fontId="2" type="noConversion"/>
  </si>
  <si>
    <t>상승율(%년)</t>
  </si>
  <si>
    <t>총투자비 및 재원조달 일치 검증</t>
    <phoneticPr fontId="2" type="noConversion"/>
  </si>
  <si>
    <t>매입금액</t>
    <phoneticPr fontId="2" type="noConversion"/>
  </si>
  <si>
    <t>토지 매입비</t>
    <phoneticPr fontId="2" type="noConversion"/>
  </si>
  <si>
    <t>현금흐름표 검증</t>
  </si>
  <si>
    <t>건물 매입비</t>
    <phoneticPr fontId="2" type="noConversion"/>
  </si>
  <si>
    <t>매입수수료</t>
    <phoneticPr fontId="2" type="noConversion"/>
  </si>
  <si>
    <t>CF/PL 일치 검증</t>
  </si>
  <si>
    <t>소계</t>
    <phoneticPr fontId="2" type="noConversion"/>
  </si>
  <si>
    <t>실사/자문비용</t>
    <phoneticPr fontId="2" type="noConversion"/>
  </si>
  <si>
    <t>Cash Shortage 검증</t>
  </si>
  <si>
    <t>기타사업비</t>
    <phoneticPr fontId="2" type="noConversion"/>
  </si>
  <si>
    <t>금융비용</t>
    <phoneticPr fontId="2" type="noConversion"/>
  </si>
  <si>
    <t>감정평가수수료</t>
    <phoneticPr fontId="2" type="noConversion"/>
  </si>
  <si>
    <t>법률자문수수료</t>
    <phoneticPr fontId="2" type="noConversion"/>
  </si>
  <si>
    <t>총 투자비</t>
    <phoneticPr fontId="2" type="noConversion"/>
  </si>
  <si>
    <t>재무실사수수료</t>
    <phoneticPr fontId="2" type="noConversion"/>
  </si>
  <si>
    <t>시장실사수수료</t>
    <phoneticPr fontId="2" type="noConversion"/>
  </si>
  <si>
    <t>물리실사수수료</t>
    <phoneticPr fontId="2" type="noConversion"/>
  </si>
  <si>
    <t>사업 기본가정</t>
    <phoneticPr fontId="2" type="noConversion"/>
  </si>
  <si>
    <t>순영업소득/매각가치 산정</t>
    <phoneticPr fontId="2" type="noConversion"/>
  </si>
  <si>
    <t>작성기준일</t>
    <phoneticPr fontId="2" type="noConversion"/>
  </si>
  <si>
    <t>순영업소득 구분</t>
    <phoneticPr fontId="2" type="noConversion"/>
  </si>
  <si>
    <t>합계</t>
    <phoneticPr fontId="2" type="noConversion"/>
  </si>
  <si>
    <t>화폐단위</t>
    <phoneticPr fontId="2" type="noConversion"/>
  </si>
  <si>
    <t>면적단위</t>
    <phoneticPr fontId="2" type="noConversion"/>
  </si>
  <si>
    <t>총 조달액</t>
    <phoneticPr fontId="2" type="noConversion"/>
  </si>
  <si>
    <t>프로젝트 기본가정</t>
    <phoneticPr fontId="2" type="noConversion"/>
  </si>
  <si>
    <t>관리비수입</t>
    <phoneticPr fontId="2" type="noConversion"/>
  </si>
  <si>
    <t>사업명</t>
  </si>
  <si>
    <t>임대보증금 운용수입</t>
    <phoneticPr fontId="2" type="noConversion"/>
  </si>
  <si>
    <t>대지위치</t>
  </si>
  <si>
    <t>예비비</t>
    <phoneticPr fontId="2" type="noConversion"/>
  </si>
  <si>
    <t>기타수입</t>
    <phoneticPr fontId="2" type="noConversion"/>
  </si>
  <si>
    <t>지역지구</t>
  </si>
  <si>
    <t>운영수입 소계</t>
    <phoneticPr fontId="2" type="noConversion"/>
  </si>
  <si>
    <t>금융수수료</t>
    <phoneticPr fontId="2" type="noConversion"/>
  </si>
  <si>
    <t>PM수수료</t>
  </si>
  <si>
    <t>건축규모</t>
  </si>
  <si>
    <t>FM수수료</t>
  </si>
  <si>
    <t>구조</t>
  </si>
  <si>
    <t>여유현금</t>
    <phoneticPr fontId="2" type="noConversion"/>
  </si>
  <si>
    <t>수선유지비</t>
  </si>
  <si>
    <t>대지면적</t>
  </si>
  <si>
    <t>수도광열비</t>
  </si>
  <si>
    <t>제척면적</t>
  </si>
  <si>
    <t>총 사업비</t>
    <phoneticPr fontId="2" type="noConversion"/>
  </si>
  <si>
    <t>보험료</t>
  </si>
  <si>
    <t>실사면적</t>
  </si>
  <si>
    <t>재원조달 가정</t>
    <phoneticPr fontId="2" type="noConversion"/>
  </si>
  <si>
    <t>토지분재산세</t>
  </si>
  <si>
    <t>건축면적</t>
  </si>
  <si>
    <t>자기자본</t>
    <phoneticPr fontId="2" type="noConversion"/>
  </si>
  <si>
    <t>조달금액</t>
    <phoneticPr fontId="2" type="noConversion"/>
  </si>
  <si>
    <t>비고</t>
    <phoneticPr fontId="2" type="noConversion"/>
  </si>
  <si>
    <t>종합부동산세</t>
    <phoneticPr fontId="2" type="noConversion"/>
  </si>
  <si>
    <t>건물분재산세</t>
  </si>
  <si>
    <t>교통유발부담금</t>
  </si>
  <si>
    <t>연면적</t>
  </si>
  <si>
    <t>타인자본</t>
    <phoneticPr fontId="2" type="noConversion"/>
  </si>
  <si>
    <t>조달한도</t>
    <phoneticPr fontId="2" type="noConversion"/>
  </si>
  <si>
    <t>이자율(%,년)</t>
  </si>
  <si>
    <t>수수료(%)</t>
  </si>
  <si>
    <t>간주임대료부가세</t>
  </si>
  <si>
    <t>지상층</t>
  </si>
  <si>
    <t>운영지출 소계</t>
    <phoneticPr fontId="2" type="noConversion"/>
  </si>
  <si>
    <t>지하층</t>
  </si>
  <si>
    <t>순영업소득(NOI)</t>
    <phoneticPr fontId="2" type="noConversion"/>
  </si>
  <si>
    <t>합계</t>
  </si>
  <si>
    <t>운영수입 및 운영지출 가정</t>
    <phoneticPr fontId="2" type="noConversion"/>
  </si>
  <si>
    <t>적용 Cap. Rate</t>
    <phoneticPr fontId="2" type="noConversion"/>
  </si>
  <si>
    <t>용적율 산정 연면적</t>
  </si>
  <si>
    <t>창고시설(상온)</t>
    <phoneticPr fontId="2" type="noConversion"/>
  </si>
  <si>
    <t>창고시설(저온)</t>
    <phoneticPr fontId="2" type="noConversion"/>
  </si>
  <si>
    <t>공용지원시설</t>
  </si>
  <si>
    <t>하역장</t>
  </si>
  <si>
    <t>통로/램프</t>
  </si>
  <si>
    <t>임대면적</t>
  </si>
  <si>
    <t>임대면적여부</t>
    <phoneticPr fontId="2" type="noConversion"/>
  </si>
  <si>
    <t xml:space="preserve">추정 자산가치 </t>
    <phoneticPr fontId="2" type="noConversion"/>
  </si>
  <si>
    <t>주차대수</t>
    <phoneticPr fontId="2" type="noConversion"/>
  </si>
  <si>
    <t>사업기간가정</t>
    <phoneticPr fontId="2" type="noConversion"/>
  </si>
  <si>
    <t>총투자비</t>
    <phoneticPr fontId="2" type="noConversion"/>
  </si>
  <si>
    <t>개시일</t>
    <phoneticPr fontId="2" type="noConversion"/>
  </si>
  <si>
    <t>종료일</t>
    <phoneticPr fontId="2" type="noConversion"/>
  </si>
  <si>
    <t>기간</t>
    <phoneticPr fontId="2" type="noConversion"/>
  </si>
  <si>
    <t>실물매입기간</t>
    <phoneticPr fontId="2" type="noConversion"/>
  </si>
  <si>
    <t>매각관련보수 차감 전 매각차익</t>
    <phoneticPr fontId="2" type="noConversion"/>
  </si>
  <si>
    <t>운영준비기간</t>
    <phoneticPr fontId="2" type="noConversion"/>
  </si>
  <si>
    <t>매각보수</t>
    <phoneticPr fontId="2" type="noConversion"/>
  </si>
  <si>
    <t>매각관련비용</t>
    <phoneticPr fontId="2" type="noConversion"/>
  </si>
  <si>
    <t>매각성과보수</t>
    <phoneticPr fontId="2" type="noConversion"/>
  </si>
  <si>
    <t>리츠운용기간</t>
    <phoneticPr fontId="2" type="noConversion"/>
  </si>
  <si>
    <t>매각관련보수 차감 후 매각차익</t>
    <phoneticPr fontId="2" type="noConversion"/>
  </si>
  <si>
    <t>운영배당</t>
    <phoneticPr fontId="2" type="noConversion"/>
  </si>
  <si>
    <t>임대면적 비율%</t>
    <phoneticPr fontId="2" type="noConversion"/>
  </si>
  <si>
    <t>연면적 비율%</t>
    <phoneticPr fontId="2" type="noConversion"/>
  </si>
  <si>
    <t>운영수입(/PY)</t>
    <phoneticPr fontId="2" type="noConversion"/>
  </si>
  <si>
    <t>PM수수료</t>
    <phoneticPr fontId="2" type="noConversion"/>
  </si>
  <si>
    <t>FM수수료</t>
    <phoneticPr fontId="2" type="noConversion"/>
  </si>
  <si>
    <t>수도광열비</t>
    <phoneticPr fontId="2" type="noConversion"/>
  </si>
  <si>
    <t>보험료</t>
    <phoneticPr fontId="2" type="noConversion"/>
  </si>
  <si>
    <t>종합부동산세</t>
  </si>
  <si>
    <t>운영지출(/PY)</t>
    <phoneticPr fontId="2" type="noConversion"/>
  </si>
  <si>
    <t>기타운영지출</t>
    <phoneticPr fontId="2" type="noConversion"/>
  </si>
  <si>
    <t>설정기준</t>
    <phoneticPr fontId="2" type="noConversion"/>
  </si>
  <si>
    <t>대상금액</t>
    <phoneticPr fontId="2" type="noConversion"/>
  </si>
  <si>
    <t>요율(%)</t>
    <phoneticPr fontId="2" type="noConversion"/>
  </si>
  <si>
    <t>금액(월)</t>
    <phoneticPr fontId="2" type="noConversion"/>
  </si>
  <si>
    <t>금액(연)</t>
    <phoneticPr fontId="2" type="noConversion"/>
  </si>
  <si>
    <t>지급주기</t>
    <phoneticPr fontId="2" type="noConversion"/>
  </si>
  <si>
    <t>상승율(%,년)</t>
    <phoneticPr fontId="2" type="noConversion"/>
  </si>
  <si>
    <t>자산관리수수료</t>
    <phoneticPr fontId="2" type="noConversion"/>
  </si>
  <si>
    <t>자산AUM</t>
    <phoneticPr fontId="2" type="noConversion"/>
  </si>
  <si>
    <t>자산보관수수료</t>
    <phoneticPr fontId="2" type="noConversion"/>
  </si>
  <si>
    <t>자산AUM</t>
  </si>
  <si>
    <t>사무수탁수수료</t>
    <phoneticPr fontId="2" type="noConversion"/>
  </si>
  <si>
    <t>운영경과 월</t>
  </si>
  <si>
    <t>운영경과 분기</t>
  </si>
  <si>
    <t>운영경과 회계연도</t>
  </si>
  <si>
    <t>운영경과 년도</t>
  </si>
  <si>
    <t>매입기간</t>
    <phoneticPr fontId="2" type="noConversion"/>
  </si>
  <si>
    <t>매각+1개년도</t>
    <phoneticPr fontId="2" type="noConversion"/>
  </si>
  <si>
    <t>운영경과 월</t>
    <phoneticPr fontId="2" type="noConversion"/>
  </si>
  <si>
    <t>운영경과 분기</t>
    <phoneticPr fontId="2" type="noConversion"/>
  </si>
  <si>
    <t>운영경과 회계연도</t>
    <phoneticPr fontId="2" type="noConversion"/>
  </si>
  <si>
    <t>운영경과 년도</t>
    <phoneticPr fontId="2" type="noConversion"/>
  </si>
  <si>
    <t>배당기준일</t>
    <phoneticPr fontId="2" type="noConversion"/>
  </si>
  <si>
    <t>V.A.T 납부</t>
    <phoneticPr fontId="2" type="noConversion"/>
  </si>
  <si>
    <t>V.A.T 환급</t>
    <phoneticPr fontId="2" type="noConversion"/>
  </si>
  <si>
    <t>운용월수</t>
  </si>
  <si>
    <t>욘용분기</t>
  </si>
  <si>
    <t>회계연도</t>
  </si>
  <si>
    <t>운용년도</t>
  </si>
  <si>
    <t>총투자비(월별)</t>
    <phoneticPr fontId="2" type="noConversion"/>
  </si>
  <si>
    <t>매입금액</t>
  </si>
  <si>
    <t>계약금</t>
    <phoneticPr fontId="2" type="noConversion"/>
  </si>
  <si>
    <t>잔금</t>
    <phoneticPr fontId="2" type="noConversion"/>
  </si>
  <si>
    <t>매입보수</t>
    <phoneticPr fontId="2" type="noConversion"/>
  </si>
  <si>
    <t>실사/자문비용</t>
  </si>
  <si>
    <t>기타사업비</t>
  </si>
  <si>
    <t>예비비</t>
  </si>
  <si>
    <t>금융비용</t>
  </si>
  <si>
    <t>금융수수료</t>
  </si>
  <si>
    <t>현금흐름표(월)</t>
    <phoneticPr fontId="2" type="noConversion"/>
  </si>
  <si>
    <t>영업활동으로 인한 현금흐름</t>
    <phoneticPr fontId="2" type="noConversion"/>
  </si>
  <si>
    <t>운영수입</t>
    <phoneticPr fontId="2" type="noConversion"/>
  </si>
  <si>
    <t>명목임대료수입</t>
  </si>
  <si>
    <t>Rent-Free 조정</t>
  </si>
  <si>
    <t>관리비수입</t>
  </si>
  <si>
    <t>임대보증금 운용수입</t>
  </si>
  <si>
    <t>기타수입</t>
  </si>
  <si>
    <t>운영지출</t>
    <phoneticPr fontId="2" type="noConversion"/>
  </si>
  <si>
    <t>기타운영비용</t>
    <phoneticPr fontId="2" type="noConversion"/>
  </si>
  <si>
    <t>자산관리수수료</t>
  </si>
  <si>
    <t>자산보관수수료</t>
  </si>
  <si>
    <t>사무수탁수수료</t>
  </si>
  <si>
    <t>금융비용_운영단계</t>
    <phoneticPr fontId="2" type="noConversion"/>
  </si>
  <si>
    <t>부가가치세 예수/납부</t>
    <phoneticPr fontId="2" type="noConversion"/>
  </si>
  <si>
    <t>예수</t>
    <phoneticPr fontId="2" type="noConversion"/>
  </si>
  <si>
    <t>지급</t>
    <phoneticPr fontId="2" type="noConversion"/>
  </si>
  <si>
    <t>투자활동으로 인한 현금흐름</t>
    <phoneticPr fontId="2" type="noConversion"/>
  </si>
  <si>
    <t>투자활동 현금유입</t>
    <phoneticPr fontId="2" type="noConversion"/>
  </si>
  <si>
    <t>자산매각금액</t>
    <phoneticPr fontId="2" type="noConversion"/>
  </si>
  <si>
    <t>매각보수</t>
  </si>
  <si>
    <t>매각관련비용</t>
  </si>
  <si>
    <t>매각성과보수</t>
  </si>
  <si>
    <t>투자활동 현금유출</t>
    <phoneticPr fontId="2" type="noConversion"/>
  </si>
  <si>
    <t>재무활동으로 인한 현금흐름</t>
    <phoneticPr fontId="2" type="noConversion"/>
  </si>
  <si>
    <t>임대보증금</t>
    <phoneticPr fontId="2" type="noConversion"/>
  </si>
  <si>
    <t>조달</t>
    <phoneticPr fontId="2" type="noConversion"/>
  </si>
  <si>
    <t>반환</t>
    <phoneticPr fontId="2" type="noConversion"/>
  </si>
  <si>
    <t>조달</t>
  </si>
  <si>
    <t>반환</t>
  </si>
  <si>
    <t>V.A.T 차입금</t>
    <phoneticPr fontId="2" type="noConversion"/>
  </si>
  <si>
    <t>매각차익배분액</t>
    <phoneticPr fontId="2" type="noConversion"/>
  </si>
  <si>
    <t>월별 현금흐름</t>
    <phoneticPr fontId="2" type="noConversion"/>
  </si>
  <si>
    <t>기초현금</t>
    <phoneticPr fontId="2" type="noConversion"/>
  </si>
  <si>
    <t>기말현금</t>
    <phoneticPr fontId="2" type="noConversion"/>
  </si>
  <si>
    <t>보통주 CF_매각차익 제외</t>
    <phoneticPr fontId="2" type="noConversion"/>
  </si>
  <si>
    <t>보통주 CF_매각차익 포함</t>
    <phoneticPr fontId="2" type="noConversion"/>
  </si>
  <si>
    <t>기초</t>
    <phoneticPr fontId="2" type="noConversion"/>
  </si>
  <si>
    <t>증가</t>
    <phoneticPr fontId="2" type="noConversion"/>
  </si>
  <si>
    <t>감소</t>
    <phoneticPr fontId="2" type="noConversion"/>
  </si>
  <si>
    <t>기말</t>
    <phoneticPr fontId="2" type="noConversion"/>
  </si>
  <si>
    <t>순영업소득(NOI)</t>
  </si>
  <si>
    <t>운영수입</t>
  </si>
  <si>
    <t>운영지출</t>
  </si>
  <si>
    <t>재원조달 구분</t>
    <phoneticPr fontId="2" type="noConversion"/>
  </si>
  <si>
    <t>보통주</t>
  </si>
  <si>
    <t>미지급이자 구분</t>
    <phoneticPr fontId="2" type="noConversion"/>
  </si>
  <si>
    <t>V.A.T 예수금/선급금</t>
    <phoneticPr fontId="2" type="noConversion"/>
  </si>
  <si>
    <t>부가세 예수금</t>
    <phoneticPr fontId="2" type="noConversion"/>
  </si>
  <si>
    <t>부가세 선급금</t>
    <phoneticPr fontId="2" type="noConversion"/>
  </si>
  <si>
    <t>기초</t>
  </si>
  <si>
    <t>증가</t>
  </si>
  <si>
    <t>감소</t>
  </si>
  <si>
    <t>기말</t>
  </si>
  <si>
    <t>연면적</t>
    <phoneticPr fontId="2" type="noConversion"/>
  </si>
  <si>
    <t>상승률</t>
    <phoneticPr fontId="2" type="noConversion"/>
  </si>
  <si>
    <t>상승률</t>
  </si>
  <si>
    <t>선급금</t>
    <phoneticPr fontId="2" type="noConversion"/>
  </si>
  <si>
    <t>선급비용</t>
    <phoneticPr fontId="2" type="noConversion"/>
  </si>
  <si>
    <t>이자수익</t>
    <phoneticPr fontId="2" type="noConversion"/>
  </si>
  <si>
    <t>토지</t>
    <phoneticPr fontId="2" type="noConversion"/>
  </si>
  <si>
    <t>건물</t>
    <phoneticPr fontId="2" type="noConversion"/>
  </si>
  <si>
    <t>배당가능이익</t>
    <phoneticPr fontId="2" type="noConversion"/>
  </si>
  <si>
    <t>지분율</t>
    <phoneticPr fontId="2" type="noConversion"/>
  </si>
  <si>
    <t>Capex</t>
    <phoneticPr fontId="2" type="noConversion"/>
  </si>
  <si>
    <t>소유권이전비용</t>
    <phoneticPr fontId="2" type="noConversion"/>
  </si>
  <si>
    <t>여유현금</t>
  </si>
  <si>
    <t>Overfunding</t>
    <phoneticPr fontId="2" type="noConversion"/>
  </si>
  <si>
    <t>월금액</t>
  </si>
  <si>
    <t>매입수수료</t>
  </si>
  <si>
    <t>코크렙 안양</t>
    <phoneticPr fontId="2" type="noConversion"/>
  </si>
  <si>
    <t>Assumption &amp; Results (가정 및 결과)</t>
  </si>
  <si>
    <t>V.A.T 불공제액</t>
    <phoneticPr fontId="2" type="noConversion"/>
  </si>
  <si>
    <t>Total Investment Costs</t>
    <phoneticPr fontId="2" type="noConversion"/>
  </si>
  <si>
    <t>Cashflow(M)</t>
    <phoneticPr fontId="2" type="noConversion"/>
  </si>
  <si>
    <t>Financing(M)</t>
    <phoneticPr fontId="2" type="noConversion"/>
  </si>
  <si>
    <t>Net Operating Income</t>
    <phoneticPr fontId="2" type="noConversion"/>
  </si>
  <si>
    <t>Income Statements(M)</t>
    <phoneticPr fontId="2" type="noConversion"/>
  </si>
  <si>
    <t>Balance Sheet(M)</t>
    <phoneticPr fontId="2" type="noConversion"/>
  </si>
  <si>
    <t>투자잔액</t>
  </si>
  <si>
    <t>투자잔액</t>
    <phoneticPr fontId="2" type="noConversion"/>
  </si>
  <si>
    <t>운영배당</t>
  </si>
  <si>
    <t>C.G</t>
  </si>
  <si>
    <t>Yield(%)</t>
  </si>
  <si>
    <t>비고</t>
  </si>
  <si>
    <t>CoC(%)_C.G제외</t>
  </si>
  <si>
    <t>CoC(%)_C.G포함</t>
  </si>
  <si>
    <t>IRR(%)_C.G포함</t>
  </si>
  <si>
    <t>E. Multiple</t>
  </si>
  <si>
    <t>임대료수입</t>
    <phoneticPr fontId="2" type="noConversion"/>
  </si>
  <si>
    <t>임대료</t>
  </si>
  <si>
    <t>임대료</t>
    <phoneticPr fontId="2" type="noConversion"/>
  </si>
  <si>
    <t>관리비</t>
    <phoneticPr fontId="2" type="noConversion"/>
  </si>
  <si>
    <t>담보대출</t>
    <phoneticPr fontId="2" type="noConversion"/>
  </si>
  <si>
    <t>배당수익률</t>
    <phoneticPr fontId="2" type="noConversion"/>
  </si>
  <si>
    <t>All-in(%,년)</t>
  </si>
  <si>
    <t>1.  코크렙안양 - Rent Roll</t>
    <phoneticPr fontId="27" type="noConversion"/>
  </si>
  <si>
    <t>작성기준일 : 25.04.01</t>
    <phoneticPr fontId="27" type="noConversion"/>
  </si>
  <si>
    <t>호실번호</t>
    <phoneticPr fontId="27" type="noConversion"/>
  </si>
  <si>
    <t>입점여부</t>
    <phoneticPr fontId="27" type="noConversion"/>
  </si>
  <si>
    <t>임대면적</t>
    <phoneticPr fontId="27" type="noConversion"/>
  </si>
  <si>
    <t>전용면적</t>
    <phoneticPr fontId="27" type="noConversion"/>
  </si>
  <si>
    <t>㎡</t>
    <phoneticPr fontId="27" type="noConversion"/>
  </si>
  <si>
    <t>py</t>
    <phoneticPr fontId="27" type="noConversion"/>
  </si>
  <si>
    <t>%</t>
    <phoneticPr fontId="27" type="noConversion"/>
  </si>
  <si>
    <t>Fit out</t>
  </si>
  <si>
    <t>Rent free</t>
    <phoneticPr fontId="2" type="noConversion"/>
  </si>
  <si>
    <t>근질권</t>
    <phoneticPr fontId="27" type="noConversion"/>
  </si>
  <si>
    <t>8F</t>
    <phoneticPr fontId="27" type="noConversion"/>
  </si>
  <si>
    <t>제2근생(사무소)</t>
    <phoneticPr fontId="27" type="noConversion"/>
  </si>
  <si>
    <t>5-6</t>
  </si>
  <si>
    <t>공실</t>
    <phoneticPr fontId="27" type="noConversion"/>
  </si>
  <si>
    <t>5-7</t>
  </si>
  <si>
    <t>5-8</t>
  </si>
  <si>
    <t>5-9</t>
  </si>
  <si>
    <t>5-0</t>
    <phoneticPr fontId="27" type="noConversion"/>
  </si>
  <si>
    <t>6-1</t>
    <phoneticPr fontId="27" type="noConversion"/>
  </si>
  <si>
    <t>6-2</t>
  </si>
  <si>
    <t>6-3</t>
  </si>
  <si>
    <t>6-4</t>
  </si>
  <si>
    <t>6-5</t>
  </si>
  <si>
    <t>4-1</t>
    <phoneticPr fontId="27" type="noConversion"/>
  </si>
  <si>
    <t>입점</t>
    <phoneticPr fontId="27" type="noConversion"/>
  </si>
  <si>
    <t>키즈밀</t>
    <phoneticPr fontId="27" type="noConversion"/>
  </si>
  <si>
    <t>매월 말일</t>
    <phoneticPr fontId="2" type="noConversion"/>
  </si>
  <si>
    <t>60개월</t>
    <phoneticPr fontId="27" type="noConversion"/>
  </si>
  <si>
    <t>불가</t>
    <phoneticPr fontId="27" type="noConversion"/>
  </si>
  <si>
    <t>6M</t>
    <phoneticPr fontId="27" type="noConversion"/>
  </si>
  <si>
    <t>2025-01-01~2025.02.28</t>
    <phoneticPr fontId="27" type="noConversion"/>
  </si>
  <si>
    <t>2025.09.01 ~ 2025.10.31(2개월)
2026.09.01 ~ 2026.10.31(2개월)
2027.09.01 ~ 2027.10.31(2개월)
2028.09.01 ~ 2028.09.30(1개월)
2029.09.01 ~ 2029.09.30(1개월)</t>
    <phoneticPr fontId="27" type="noConversion"/>
  </si>
  <si>
    <t>연 12%</t>
    <phoneticPr fontId="27" type="noConversion"/>
  </si>
  <si>
    <t>O</t>
    <phoneticPr fontId="27" type="noConversion"/>
  </si>
  <si>
    <t>4-2</t>
    <phoneticPr fontId="27" type="noConversion"/>
  </si>
  <si>
    <t>4-3</t>
  </si>
  <si>
    <t>5-1</t>
    <phoneticPr fontId="27" type="noConversion"/>
  </si>
  <si>
    <t>5-2</t>
  </si>
  <si>
    <t>5-3</t>
  </si>
  <si>
    <t>5-4</t>
  </si>
  <si>
    <t>5-5</t>
  </si>
  <si>
    <t>제2근생(휴게음식점)</t>
    <phoneticPr fontId="27" type="noConversion"/>
  </si>
  <si>
    <t>-</t>
    <phoneticPr fontId="27" type="noConversion"/>
  </si>
  <si>
    <t>창고시설(상온)</t>
    <phoneticPr fontId="27" type="noConversion"/>
  </si>
  <si>
    <t>1-1</t>
    <phoneticPr fontId="27" type="noConversion"/>
  </si>
  <si>
    <t>1-2</t>
  </si>
  <si>
    <t>2-2</t>
    <phoneticPr fontId="27" type="noConversion"/>
  </si>
  <si>
    <t>2-1,2-3</t>
    <phoneticPr fontId="27" type="noConversion"/>
  </si>
  <si>
    <t>쿠팡(사무실)</t>
    <phoneticPr fontId="2" type="noConversion"/>
  </si>
  <si>
    <t>60개월</t>
    <phoneticPr fontId="2" type="noConversion"/>
  </si>
  <si>
    <t>임차인측 의무임대차 기간 종료 3개월전  통지 가능</t>
    <phoneticPr fontId="2" type="noConversion"/>
  </si>
  <si>
    <t>2024-05-01~2024-08-31</t>
    <phoneticPr fontId="2" type="noConversion"/>
  </si>
  <si>
    <t>2029-05-01~2029.09.30(5개월)</t>
    <phoneticPr fontId="2" type="noConversion"/>
  </si>
  <si>
    <t>연 10%</t>
    <phoneticPr fontId="2" type="noConversion"/>
  </si>
  <si>
    <t>O</t>
    <phoneticPr fontId="2" type="noConversion"/>
  </si>
  <si>
    <t>7F</t>
    <phoneticPr fontId="27" type="noConversion"/>
  </si>
  <si>
    <t>쿠팡</t>
    <phoneticPr fontId="2" type="noConversion"/>
  </si>
  <si>
    <t>63개월</t>
    <phoneticPr fontId="2" type="noConversion"/>
  </si>
  <si>
    <t>2024-02-01~2024-04-30</t>
    <phoneticPr fontId="2" type="noConversion"/>
  </si>
  <si>
    <t>6F</t>
    <phoneticPr fontId="27" type="noConversion"/>
  </si>
  <si>
    <t>5F</t>
    <phoneticPr fontId="27" type="noConversion"/>
  </si>
  <si>
    <t>4F</t>
    <phoneticPr fontId="27" type="noConversion"/>
  </si>
  <si>
    <t>3F</t>
    <phoneticPr fontId="27" type="noConversion"/>
  </si>
  <si>
    <t>농심</t>
    <phoneticPr fontId="2" type="noConversion"/>
  </si>
  <si>
    <t>불가</t>
    <phoneticPr fontId="2" type="noConversion"/>
  </si>
  <si>
    <t>6M</t>
    <phoneticPr fontId="2" type="noConversion"/>
  </si>
  <si>
    <t>연 6%</t>
    <phoneticPr fontId="2" type="noConversion"/>
  </si>
  <si>
    <t>2F</t>
    <phoneticPr fontId="27" type="noConversion"/>
  </si>
  <si>
    <t>쿠팡</t>
    <phoneticPr fontId="27" type="noConversion"/>
  </si>
  <si>
    <t>52개월</t>
    <phoneticPr fontId="27" type="noConversion"/>
  </si>
  <si>
    <t>2025-01-01~2025.03.31</t>
    <phoneticPr fontId="27" type="noConversion"/>
  </si>
  <si>
    <t>2025.04.01 ~ 2025.04.30(1개월)
2026.01.01 ~ 2026.01.31(1개월)
2027.01.01 ~ 2027.01.31(1개월)
2028.01.01 ~ 2028.01.31(1개월)
2029.01.01 ~ 2029.01.10(0.33개월)
2029.05.01 ~ 2029.09.30(5개월)</t>
    <phoneticPr fontId="27" type="noConversion"/>
  </si>
  <si>
    <t>1F</t>
    <phoneticPr fontId="27" type="noConversion"/>
  </si>
  <si>
    <t>창고시설-1</t>
    <phoneticPr fontId="27" type="noConversion"/>
  </si>
  <si>
    <t>5-1, 5-2</t>
    <phoneticPr fontId="27" type="noConversion"/>
  </si>
  <si>
    <t>지오영</t>
    <phoneticPr fontId="27" type="noConversion"/>
  </si>
  <si>
    <t>120개월</t>
    <phoneticPr fontId="27" type="noConversion"/>
  </si>
  <si>
    <t>2025-02-01~2025.03.31</t>
    <phoneticPr fontId="27" type="noConversion"/>
  </si>
  <si>
    <t>2025.04.01 ~ 2025.05.15(1.5개월)
2026.02.01 ~ 2026.03.15(1.5개월)
2027.02.01 ~ 2027.03.15(1.5개월)
2028.02.01 ~ 2028.03.15(1.5개월)
2029.02.01 ~ 2029.03.15(1.5개월)
2030.02.01 ~ 2030.03.15(1.5개월)
2031.02.01 ~ 2031.03.15(1.5개월)
2032.02.01 ~ 2032.03.15(1.5개월)
2033.02.01 ~ 2033.03.15(1.5개월)
2034.02.01 ~ 2034.03.15(1.5개월)</t>
    <phoneticPr fontId="27" type="noConversion"/>
  </si>
  <si>
    <t>창고시설-2</t>
    <phoneticPr fontId="27" type="noConversion"/>
  </si>
  <si>
    <t>5-3, 5-4</t>
    <phoneticPr fontId="27" type="noConversion"/>
  </si>
  <si>
    <t>용마로지스</t>
    <phoneticPr fontId="27" type="noConversion"/>
  </si>
  <si>
    <t>62.5개월</t>
    <phoneticPr fontId="27" type="noConversion"/>
  </si>
  <si>
    <t>3M</t>
    <phoneticPr fontId="2" type="noConversion"/>
  </si>
  <si>
    <t>2024.11.01 ~ 2024.11.15</t>
    <phoneticPr fontId="27" type="noConversion"/>
  </si>
  <si>
    <t>제1종근생-1</t>
    <phoneticPr fontId="27" type="noConversion"/>
  </si>
  <si>
    <t>제1종근생-2</t>
    <phoneticPr fontId="27" type="noConversion"/>
  </si>
  <si>
    <t>1-2</t>
    <phoneticPr fontId="27" type="noConversion"/>
  </si>
  <si>
    <t>제1종근생-3</t>
    <phoneticPr fontId="27" type="noConversion"/>
  </si>
  <si>
    <t>1-3,1-4,1-5</t>
    <phoneticPr fontId="27" type="noConversion"/>
  </si>
  <si>
    <t>B1</t>
    <phoneticPr fontId="2" type="noConversion"/>
  </si>
  <si>
    <t>창고시설(저온)</t>
    <phoneticPr fontId="27" type="noConversion"/>
  </si>
  <si>
    <t>49개월</t>
    <phoneticPr fontId="27" type="noConversion"/>
  </si>
  <si>
    <t>임차인측 의무임대차 기간 종료 3개월전  통지 가능</t>
    <phoneticPr fontId="27" type="noConversion"/>
  </si>
  <si>
    <t>2025-04-01~2025.06.30</t>
    <phoneticPr fontId="27" type="noConversion"/>
  </si>
  <si>
    <t>B2</t>
    <phoneticPr fontId="2" type="noConversion"/>
  </si>
  <si>
    <t xml:space="preserve"> Current vacancy</t>
  </si>
  <si>
    <t xml:space="preserve"> New lease / Renewal this month</t>
  </si>
  <si>
    <t xml:space="preserve"> Lease expiration within the next 3 months</t>
  </si>
  <si>
    <t>[전대차 계약]</t>
    <phoneticPr fontId="27" type="noConversion"/>
  </si>
  <si>
    <t>전대인</t>
    <phoneticPr fontId="27" type="noConversion"/>
  </si>
  <si>
    <t>전차인</t>
    <phoneticPr fontId="27" type="noConversion"/>
  </si>
  <si>
    <t>[가설건축물]</t>
    <phoneticPr fontId="27" type="noConversion"/>
  </si>
  <si>
    <t>용도</t>
    <phoneticPr fontId="27" type="noConversion"/>
  </si>
  <si>
    <t>면적</t>
    <phoneticPr fontId="27" type="noConversion"/>
  </si>
  <si>
    <t>존치기간</t>
    <phoneticPr fontId="27" type="noConversion"/>
  </si>
  <si>
    <t>비고</t>
    <phoneticPr fontId="27" type="noConversion"/>
  </si>
  <si>
    <t>흡연부스(7층)</t>
    <phoneticPr fontId="27" type="noConversion"/>
  </si>
  <si>
    <t>[입점율]</t>
    <phoneticPr fontId="27" type="noConversion"/>
  </si>
  <si>
    <t>입점율</t>
    <phoneticPr fontId="27" type="noConversion"/>
  </si>
  <si>
    <t>(단위: 원, VAT별도)</t>
  </si>
  <si>
    <t>층</t>
    <phoneticPr fontId="27" type="noConversion"/>
  </si>
  <si>
    <t>용도</t>
    <phoneticPr fontId="2" type="noConversion"/>
  </si>
  <si>
    <t>임차인</t>
    <phoneticPr fontId="27" type="noConversion"/>
  </si>
  <si>
    <t xml:space="preserve"> 임대보증금 </t>
  </si>
  <si>
    <t xml:space="preserve"> 관리비</t>
    <phoneticPr fontId="27" type="noConversion"/>
  </si>
  <si>
    <t>계약
체결일</t>
  </si>
  <si>
    <t>계약기간</t>
  </si>
  <si>
    <t>응당일</t>
    <phoneticPr fontId="27" type="noConversion"/>
  </si>
  <si>
    <t>통보</t>
    <phoneticPr fontId="27" type="noConversion"/>
  </si>
  <si>
    <t>중도인상</t>
    <phoneticPr fontId="27" type="noConversion"/>
  </si>
  <si>
    <t>무상임대</t>
    <phoneticPr fontId="2" type="noConversion"/>
  </si>
  <si>
    <t>지연손해금</t>
    <phoneticPr fontId="27" type="noConversion"/>
  </si>
  <si>
    <t>채권담보</t>
    <phoneticPr fontId="27" type="noConversion"/>
  </si>
  <si>
    <t>㎡</t>
  </si>
  <si>
    <t>평당</t>
    <phoneticPr fontId="2" type="noConversion"/>
  </si>
  <si>
    <t>금액</t>
    <phoneticPr fontId="27" type="noConversion"/>
  </si>
  <si>
    <t>개시일</t>
  </si>
  <si>
    <t>만료일</t>
  </si>
  <si>
    <t>개월</t>
    <phoneticPr fontId="27" type="noConversion"/>
  </si>
  <si>
    <t>의무임대차 기간</t>
    <phoneticPr fontId="27" type="noConversion"/>
  </si>
  <si>
    <t>중도해지</t>
    <phoneticPr fontId="2" type="noConversion"/>
  </si>
  <si>
    <t>기간만료</t>
    <phoneticPr fontId="27" type="noConversion"/>
  </si>
  <si>
    <t>보증금</t>
    <phoneticPr fontId="27" type="noConversion"/>
  </si>
  <si>
    <t>임대료</t>
    <phoneticPr fontId="27" type="noConversion"/>
  </si>
  <si>
    <t>관리비</t>
    <phoneticPr fontId="27" type="noConversion"/>
  </si>
  <si>
    <t>전세권</t>
    <phoneticPr fontId="27" type="noConversion"/>
  </si>
  <si>
    <t>근저당</t>
    <phoneticPr fontId="27" type="noConversion"/>
  </si>
  <si>
    <t>58.5개월</t>
    <phoneticPr fontId="2" type="noConversion"/>
  </si>
  <si>
    <t>16조 사유만 가능</t>
    <phoneticPr fontId="27" type="noConversion"/>
  </si>
  <si>
    <r>
      <rPr>
        <strike/>
        <sz val="8"/>
        <rFont val="맑은 고딕"/>
        <family val="3"/>
        <charset val="129"/>
        <scheme val="minor"/>
      </rPr>
      <t>2024.11.16 ~ 2024.12.31(1.5개월)</t>
    </r>
    <r>
      <rPr>
        <sz val="8"/>
        <rFont val="맑은 고딕"/>
        <family val="3"/>
        <charset val="129"/>
        <scheme val="minor"/>
      </rPr>
      <t xml:space="preserve">
2025.11.16 ~ 2025.12.31(1.5개월)
2026.11.16 ~ 2026.12.31(1.5개월)
2027.11.16 ~ 2027.12.31(1.5개월)
2028.11.16 ~ 2028.12.31(1.5개월)</t>
    </r>
    <phoneticPr fontId="27" type="noConversion"/>
  </si>
  <si>
    <t>2025.07.01 ~ 2025.07.31(1개월)
2026.04.01 ~ 2026.04.30(1개월)
2027.04.01 ~ 2027.04.30(1개월)
2028.04.01 ~ 2028.04.30(1개월)
2029.04.01 ~ 2029.04.03(0.1개월)
2029.05.01 ~ 2029.09.30(5개월)</t>
    <phoneticPr fontId="27" type="noConversion"/>
  </si>
  <si>
    <t>합   계</t>
    <phoneticPr fontId="2" type="noConversion"/>
  </si>
  <si>
    <t>사무실/판매시설</t>
    <phoneticPr fontId="2" type="noConversion"/>
  </si>
  <si>
    <t>코크렙안양 물류센터</t>
    <phoneticPr fontId="2" type="noConversion"/>
  </si>
  <si>
    <t>지하 2층/ 지상 8층</t>
    <phoneticPr fontId="2" type="noConversion"/>
  </si>
  <si>
    <t>건폐율/용적률</t>
    <phoneticPr fontId="2" type="noConversion"/>
  </si>
  <si>
    <t>도시지역</t>
    <phoneticPr fontId="2" type="noConversion"/>
  </si>
  <si>
    <t>P.C콘크리트(지상), 철근콘크리트(지하)</t>
    <phoneticPr fontId="2" type="noConversion"/>
  </si>
  <si>
    <t>임차인</t>
    <phoneticPr fontId="2" type="noConversion"/>
  </si>
  <si>
    <t>공실</t>
    <phoneticPr fontId="2" type="noConversion"/>
  </si>
  <si>
    <t>키즈밀</t>
  </si>
  <si>
    <t>키즈밀</t>
    <phoneticPr fontId="2" type="noConversion"/>
  </si>
  <si>
    <t>쿠팡</t>
  </si>
  <si>
    <t>근린생활시설</t>
  </si>
  <si>
    <t>근린생활시설</t>
    <phoneticPr fontId="2" type="noConversion"/>
  </si>
  <si>
    <t>상온창고</t>
  </si>
  <si>
    <t>상온창고</t>
    <phoneticPr fontId="2" type="noConversion"/>
  </si>
  <si>
    <t>1F</t>
    <phoneticPr fontId="2" type="noConversion"/>
  </si>
  <si>
    <t>아이팜</t>
    <phoneticPr fontId="2" type="noConversion"/>
  </si>
  <si>
    <t>*TI비용 4천만원 지급에 대해서 2025.03.01~2025.04.30(2개월)간 임대료 관리비 상계처리 진행
2025.09.01 ~ 2025.10.31(2개월)
2026.09.01 ~ 2026.10.31(2개월)
2027.09.01 ~ 2027.10.31(2개월)
2028.09.01 ~ 2028.09.30(1개월)
2029.09.01 ~ 2029.09.30(1개월)</t>
  </si>
  <si>
    <t>2029-05-01~2029.09.30(5개월)</t>
  </si>
  <si>
    <t>2025.04.01 ~ 2025.04.30(1개월)
2026.01.01 ~ 2026.01.31(1개월)
2027.01.01 ~ 2027.01.31(1개월)
2028.01.01 ~ 2028.01.31(1개월)
2029.01.01 ~ 2029.01.10(0.33개월)
2029.05.01 ~ 2029.09.30(5개월)</t>
  </si>
  <si>
    <t>2025.04.01 ~ 2025.05.15(1.5개월)
2026.02.01 ~ 2026.03.15(1.5개월)
2027.02.01 ~ 2027.03.15(1.5개월)
2028.02.01 ~ 2028.03.15(1.5개월)
2029.02.01 ~ 2029.03.15(1.5개월)
2030.02.01 ~ 2030.03.15(1.5개월)
2031.02.01 ~ 2031.03.15(1.5개월)
2032.02.01 ~ 2032.03.15(1.5개월)
2033.02.01 ~ 2033.03.15(1.5개월)
2034.02.01 ~ 2034.03.15(1.5개월)</t>
  </si>
  <si>
    <t>2024.11.16 ~ 2024.12.31(1.5개월)
2025.11.16 ~ 2025.12.31(1.5개월)
2026.11.16 ~ 2026.12.31(1.5개월)
2027.11.16 ~ 2027.12.31(1.5개월)
2028.11.16 ~ 2028.12.31(1.5개월)</t>
  </si>
  <si>
    <t>2025.06.01 ~ 2025.07.15(1.5개월)
2026.05.01 ~ 2026.06.15(1.5개월)
2027.05.01 ~ 2027.06.15(1.5개월)
2028.05.01 ~ 2028.06.15(1.5개월)
2029.05.01 ~ 2029.06.15(1.5개월)</t>
  </si>
  <si>
    <t>2025.07.01 ~ 2025.07.31(1개월)
2026.04.01 ~ 2026.04.30(1개월)
2027.04.01 ~ 2027.04.30(1개월)
2028.04.01 ~ 2028.04.30(1개월)
2029.04.01 ~ 2029.04.03(0.1개월)
2029.05.01 ~ 2029.09.30(5개월)</t>
  </si>
  <si>
    <t>매년 1.5개월</t>
  </si>
  <si>
    <t>Rent-Free</t>
    <phoneticPr fontId="2" type="noConversion"/>
  </si>
  <si>
    <t>매매계약일</t>
    <phoneticPr fontId="2" type="noConversion"/>
  </si>
  <si>
    <t>소유권이전일</t>
    <phoneticPr fontId="2" type="noConversion"/>
  </si>
  <si>
    <t>매매기간</t>
    <phoneticPr fontId="2" type="noConversion"/>
  </si>
  <si>
    <t>확정배당</t>
    <phoneticPr fontId="2" type="noConversion"/>
  </si>
  <si>
    <t>C.G배분율</t>
    <phoneticPr fontId="2" type="noConversion"/>
  </si>
  <si>
    <t>V.A.T 대출</t>
    <phoneticPr fontId="2" type="noConversion"/>
  </si>
  <si>
    <t>경과월</t>
    <phoneticPr fontId="2" type="noConversion"/>
  </si>
  <si>
    <t>경과분기</t>
    <phoneticPr fontId="2" type="noConversion"/>
  </si>
  <si>
    <t>경과회계년도</t>
    <phoneticPr fontId="2" type="noConversion"/>
  </si>
  <si>
    <t>경과년도</t>
    <phoneticPr fontId="2" type="noConversion"/>
  </si>
  <si>
    <t>사업개시기간</t>
    <phoneticPr fontId="2" type="noConversion"/>
  </si>
  <si>
    <t>월별 손익계산서</t>
    <phoneticPr fontId="2" type="noConversion"/>
  </si>
  <si>
    <t>매출액</t>
    <phoneticPr fontId="2" type="noConversion"/>
  </si>
  <si>
    <t>판매관리비</t>
    <phoneticPr fontId="2" type="noConversion"/>
  </si>
  <si>
    <t>관리수익</t>
    <phoneticPr fontId="2" type="noConversion"/>
  </si>
  <si>
    <t>매출원가</t>
    <phoneticPr fontId="2" type="noConversion"/>
  </si>
  <si>
    <t>임원급여</t>
    <phoneticPr fontId="2" type="noConversion"/>
  </si>
  <si>
    <t>감가상각비</t>
    <phoneticPr fontId="2" type="noConversion"/>
  </si>
  <si>
    <t>임대관리수수료</t>
    <phoneticPr fontId="2" type="noConversion"/>
  </si>
  <si>
    <t>담보대출 이자비용</t>
    <phoneticPr fontId="2" type="noConversion"/>
  </si>
  <si>
    <t>V.A.T대출 이자비용</t>
    <phoneticPr fontId="2" type="noConversion"/>
  </si>
  <si>
    <t>임대대행수수료</t>
    <phoneticPr fontId="2" type="noConversion"/>
  </si>
  <si>
    <t>매각차익배분액</t>
  </si>
  <si>
    <t>우선주 CF_매각차익 제외</t>
  </si>
  <si>
    <t>우선주 CF_매각차익 포함</t>
  </si>
  <si>
    <t>임대차 연장</t>
    <phoneticPr fontId="2" type="noConversion"/>
  </si>
  <si>
    <t>지오영</t>
    <phoneticPr fontId="2" type="noConversion"/>
  </si>
  <si>
    <t>N+1</t>
    <phoneticPr fontId="2" type="noConversion"/>
  </si>
  <si>
    <t>임대수입(현 계약)</t>
    <phoneticPr fontId="2" type="noConversion"/>
  </si>
  <si>
    <t>임대수입(연장계약)</t>
    <phoneticPr fontId="2" type="noConversion"/>
  </si>
  <si>
    <t>기존계약</t>
    <phoneticPr fontId="2" type="noConversion"/>
  </si>
  <si>
    <t>임대료(원/py)</t>
  </si>
  <si>
    <t>관리비(원/py)</t>
  </si>
  <si>
    <t>보증금(원/py)</t>
  </si>
  <si>
    <t>NOI Yield(%)</t>
    <phoneticPr fontId="2" type="noConversion"/>
  </si>
  <si>
    <t>기 조건 유지</t>
    <phoneticPr fontId="2" type="noConversion"/>
  </si>
  <si>
    <t>DSCR</t>
    <phoneticPr fontId="2" type="noConversion"/>
  </si>
  <si>
    <t>영업이익</t>
    <phoneticPr fontId="2" type="noConversion"/>
  </si>
  <si>
    <t>Min</t>
    <phoneticPr fontId="2" type="noConversion"/>
  </si>
  <si>
    <t>평균</t>
    <phoneticPr fontId="2" type="noConversion"/>
  </si>
  <si>
    <t>Rent-Free(시점)</t>
    <phoneticPr fontId="2" type="noConversion"/>
  </si>
  <si>
    <t>Rent-Free(금액)</t>
    <phoneticPr fontId="2" type="noConversion"/>
  </si>
  <si>
    <t>관리비수입(현 계약)</t>
    <phoneticPr fontId="2" type="noConversion"/>
  </si>
  <si>
    <t>관리비수입(연장계약)</t>
    <phoneticPr fontId="2" type="noConversion"/>
  </si>
  <si>
    <t>용마로지스</t>
    <phoneticPr fontId="2" type="noConversion"/>
  </si>
  <si>
    <t>현재 시세 기준 표시</t>
  </si>
  <si>
    <t>현재 시세 기준 표시</t>
    <phoneticPr fontId="2" type="noConversion"/>
  </si>
  <si>
    <t>평당금액</t>
  </si>
  <si>
    <t>평당금액</t>
    <phoneticPr fontId="2" type="noConversion"/>
  </si>
  <si>
    <t>월금액</t>
    <phoneticPr fontId="2" type="noConversion"/>
  </si>
  <si>
    <t>연금액</t>
  </si>
  <si>
    <t>연금액</t>
    <phoneticPr fontId="2" type="noConversion"/>
  </si>
  <si>
    <t>상승기준일</t>
    <phoneticPr fontId="2" type="noConversion"/>
  </si>
  <si>
    <t>신규계약</t>
    <phoneticPr fontId="2" type="noConversion"/>
  </si>
  <si>
    <t>매각시점 가치(NOI/Cap.Rate+보증금)</t>
    <phoneticPr fontId="2" type="noConversion"/>
  </si>
  <si>
    <t>산정방식</t>
    <phoneticPr fontId="2" type="noConversion"/>
  </si>
  <si>
    <t>x</t>
    <phoneticPr fontId="2" type="noConversion"/>
  </si>
  <si>
    <t>임대수입(현 계약)_N+1</t>
    <phoneticPr fontId="2" type="noConversion"/>
  </si>
  <si>
    <t>임대수입(연장계약)_N+1</t>
    <phoneticPr fontId="2" type="noConversion"/>
  </si>
  <si>
    <t>Rent-Free(금액)_N+1</t>
    <phoneticPr fontId="2" type="noConversion"/>
  </si>
  <si>
    <t>관리비수입(현 계약)_ N+1</t>
    <phoneticPr fontId="2" type="noConversion"/>
  </si>
  <si>
    <t>관리비수입(연장계약)_N+1</t>
    <phoneticPr fontId="2" type="noConversion"/>
  </si>
  <si>
    <t>-</t>
    <phoneticPr fontId="2" type="noConversion"/>
  </si>
  <si>
    <t>연면적 기준</t>
  </si>
  <si>
    <t>연면적 기준</t>
    <phoneticPr fontId="2" type="noConversion"/>
  </si>
  <si>
    <t>우선주 배당률</t>
    <phoneticPr fontId="2" type="noConversion"/>
  </si>
  <si>
    <t>영업외손익</t>
    <phoneticPr fontId="2" type="noConversion"/>
  </si>
  <si>
    <t>영업 외 수익</t>
    <phoneticPr fontId="2" type="noConversion"/>
  </si>
  <si>
    <t>영업 외 비용</t>
    <phoneticPr fontId="2" type="noConversion"/>
  </si>
  <si>
    <t>투자부동산</t>
    <phoneticPr fontId="2" type="noConversion"/>
  </si>
  <si>
    <t>감가상각누계액</t>
    <phoneticPr fontId="2" type="noConversion"/>
  </si>
  <si>
    <t>상각률</t>
    <phoneticPr fontId="2" type="noConversion"/>
  </si>
  <si>
    <t>유동자산 및 유동부채</t>
    <phoneticPr fontId="2" type="noConversion"/>
  </si>
  <si>
    <t>선급금(계약금)</t>
    <phoneticPr fontId="2" type="noConversion"/>
  </si>
  <si>
    <t>선급비용_보험료</t>
    <phoneticPr fontId="2" type="noConversion"/>
  </si>
  <si>
    <t>미지급비용_토지분 재산세</t>
    <phoneticPr fontId="2" type="noConversion"/>
  </si>
  <si>
    <t>미지급비용_종합부동산세</t>
    <phoneticPr fontId="2" type="noConversion"/>
  </si>
  <si>
    <t>미지급비용_건물분재산세</t>
    <phoneticPr fontId="2" type="noConversion"/>
  </si>
  <si>
    <t>미지급비용_간주임대료부가세</t>
    <phoneticPr fontId="2" type="noConversion"/>
  </si>
  <si>
    <t>일식</t>
  </si>
  <si>
    <t>일식</t>
    <phoneticPr fontId="2" type="noConversion"/>
  </si>
  <si>
    <t>제세공과금 납부</t>
    <phoneticPr fontId="2" type="noConversion"/>
  </si>
  <si>
    <t>토지분 재산세</t>
    <phoneticPr fontId="2" type="noConversion"/>
  </si>
  <si>
    <t>건물분 재산세</t>
    <phoneticPr fontId="2" type="noConversion"/>
  </si>
  <si>
    <t>교통유발부담금</t>
    <phoneticPr fontId="2" type="noConversion"/>
  </si>
  <si>
    <t>미지급비용_교통유발부담금</t>
    <phoneticPr fontId="2" type="noConversion"/>
  </si>
  <si>
    <t>회계감사수수료</t>
    <phoneticPr fontId="2" type="noConversion"/>
  </si>
  <si>
    <t>V.A.T 대출 미지급이자</t>
    <phoneticPr fontId="2" type="noConversion"/>
  </si>
  <si>
    <t>유형자산처분이익</t>
    <phoneticPr fontId="2" type="noConversion"/>
  </si>
  <si>
    <t>법인세 차감 전 순이익</t>
    <phoneticPr fontId="2" type="noConversion"/>
  </si>
  <si>
    <t>법인세 비용</t>
    <phoneticPr fontId="2" type="noConversion"/>
  </si>
  <si>
    <t>당기순이익</t>
    <phoneticPr fontId="2" type="noConversion"/>
  </si>
  <si>
    <t>미지급비용_자산관리수수료</t>
    <phoneticPr fontId="2" type="noConversion"/>
  </si>
  <si>
    <t>미지급비용_자산보관수수료</t>
    <phoneticPr fontId="2" type="noConversion"/>
  </si>
  <si>
    <t>미지급비용_사무수탁수수료</t>
    <phoneticPr fontId="2" type="noConversion"/>
  </si>
  <si>
    <t>미지급비용_회계감사수수료</t>
    <phoneticPr fontId="2" type="noConversion"/>
  </si>
  <si>
    <t>자본금</t>
    <phoneticPr fontId="2" type="noConversion"/>
  </si>
  <si>
    <t>납입자본</t>
    <phoneticPr fontId="2" type="noConversion"/>
  </si>
  <si>
    <t>주식발행초과금</t>
    <phoneticPr fontId="2" type="noConversion"/>
  </si>
  <si>
    <t>미처분이익잉여금</t>
    <phoneticPr fontId="2" type="noConversion"/>
  </si>
  <si>
    <t>부동산투자회사법 배당가능이익</t>
  </si>
  <si>
    <t>부동산투자회사법 배당가능이익</t>
    <phoneticPr fontId="2" type="noConversion"/>
  </si>
  <si>
    <t>감가상각비 초과배당</t>
    <phoneticPr fontId="2" type="noConversion"/>
  </si>
  <si>
    <t>미지급배당금_보통주</t>
    <phoneticPr fontId="2" type="noConversion"/>
  </si>
  <si>
    <t>잔여재산분배</t>
    <phoneticPr fontId="2" type="noConversion"/>
  </si>
  <si>
    <t>Cap.Rate</t>
    <phoneticPr fontId="2" type="noConversion"/>
  </si>
  <si>
    <t>소요액</t>
    <phoneticPr fontId="2" type="noConversion"/>
  </si>
  <si>
    <t>코크렙 안양</t>
  </si>
  <si>
    <t>재무상태표</t>
    <phoneticPr fontId="2" type="noConversion"/>
  </si>
  <si>
    <t>자산</t>
    <phoneticPr fontId="2" type="noConversion"/>
  </si>
  <si>
    <t>유동자산</t>
    <phoneticPr fontId="2" type="noConversion"/>
  </si>
  <si>
    <t>현금 및 현금성자산</t>
    <phoneticPr fontId="2" type="noConversion"/>
  </si>
  <si>
    <t>V.A.T 선급금</t>
    <phoneticPr fontId="2" type="noConversion"/>
  </si>
  <si>
    <t>비유동자산</t>
    <phoneticPr fontId="2" type="noConversion"/>
  </si>
  <si>
    <t>부채</t>
    <phoneticPr fontId="2" type="noConversion"/>
  </si>
  <si>
    <t>유동부채</t>
    <phoneticPr fontId="2" type="noConversion"/>
  </si>
  <si>
    <t>비유동부채</t>
    <phoneticPr fontId="2" type="noConversion"/>
  </si>
  <si>
    <t>이익잉여금</t>
    <phoneticPr fontId="2" type="noConversion"/>
  </si>
  <si>
    <t>부채 및 자기자본</t>
    <phoneticPr fontId="2" type="noConversion"/>
  </si>
  <si>
    <t>검증</t>
    <phoneticPr fontId="2" type="noConversion"/>
  </si>
  <si>
    <t>V.A.T 예수금</t>
    <phoneticPr fontId="2" type="noConversion"/>
  </si>
  <si>
    <t>미지급이자</t>
    <phoneticPr fontId="2" type="noConversion"/>
  </si>
  <si>
    <t>미지급비용</t>
    <phoneticPr fontId="2" type="noConversion"/>
  </si>
  <si>
    <t>BS 일치 검증</t>
    <phoneticPr fontId="2" type="noConversion"/>
  </si>
  <si>
    <t>자본준비금 전입액</t>
  </si>
  <si>
    <t>자본준비금 전입액</t>
    <phoneticPr fontId="2" type="noConversion"/>
  </si>
  <si>
    <t>자본준비금 감액 전입</t>
    <phoneticPr fontId="2" type="noConversion"/>
  </si>
  <si>
    <t>보통주 목표배당액</t>
    <phoneticPr fontId="2" type="noConversion"/>
  </si>
  <si>
    <t>Income Statements(FY)</t>
    <phoneticPr fontId="2" type="noConversion"/>
  </si>
  <si>
    <t>Cashflow(FY)</t>
    <phoneticPr fontId="2" type="noConversion"/>
  </si>
  <si>
    <t>Balance Sheet(FY)</t>
    <phoneticPr fontId="2" type="noConversion"/>
  </si>
  <si>
    <t>자본준비금 감액 배당</t>
    <phoneticPr fontId="2" type="noConversion"/>
  </si>
  <si>
    <t>목표 배당액</t>
    <phoneticPr fontId="2" type="noConversion"/>
  </si>
  <si>
    <t>보통주 평균잔액</t>
    <phoneticPr fontId="2" type="noConversion"/>
  </si>
  <si>
    <t>소요재원</t>
    <phoneticPr fontId="2" type="noConversion"/>
  </si>
  <si>
    <t>자본준비금(감액)</t>
    <phoneticPr fontId="2" type="noConversion"/>
  </si>
  <si>
    <t>이익잉여금(전입)</t>
    <phoneticPr fontId="2" type="noConversion"/>
  </si>
  <si>
    <t>감정평가금액</t>
    <phoneticPr fontId="2" type="noConversion"/>
  </si>
  <si>
    <t>배당지급재원</t>
    <phoneticPr fontId="2" type="noConversion"/>
  </si>
  <si>
    <t>기타</t>
    <phoneticPr fontId="2" type="noConversion"/>
  </si>
  <si>
    <t>Step 1. Case 설정</t>
    <phoneticPr fontId="2" type="noConversion"/>
  </si>
  <si>
    <t>step 2. 목표 배당률 입력</t>
    <phoneticPr fontId="2" type="noConversion"/>
  </si>
  <si>
    <t>Step. 3.우측 버튼 클릭</t>
    <phoneticPr fontId="2" type="noConversion"/>
  </si>
  <si>
    <t>목표배당률</t>
    <phoneticPr fontId="2" type="noConversion"/>
  </si>
  <si>
    <t>Case</t>
    <phoneticPr fontId="2" type="noConversion"/>
  </si>
  <si>
    <t>(자본준비금 감액 배당 0: 미적용, 1: 적용)</t>
    <phoneticPr fontId="2" type="noConversion"/>
  </si>
  <si>
    <t>보통주 기준</t>
    <phoneticPr fontId="2" type="noConversion"/>
  </si>
  <si>
    <t>※ Sell-down 인수 시 수익률</t>
    <phoneticPr fontId="2" type="noConversion"/>
  </si>
  <si>
    <t>Sell-Down(M)</t>
    <phoneticPr fontId="2" type="noConversion"/>
  </si>
  <si>
    <t>투자</t>
    <phoneticPr fontId="2" type="noConversion"/>
  </si>
  <si>
    <t>회수</t>
    <phoneticPr fontId="2" type="noConversion"/>
  </si>
  <si>
    <t>투자자 CF(C.G제외)</t>
    <phoneticPr fontId="2" type="noConversion"/>
  </si>
  <si>
    <t>투자자 CF(C.G포함)</t>
    <phoneticPr fontId="2" type="noConversion"/>
  </si>
  <si>
    <t>Sell-down</t>
    <phoneticPr fontId="2" type="noConversion"/>
  </si>
  <si>
    <t>인수수수료</t>
    <phoneticPr fontId="2" type="noConversion"/>
  </si>
  <si>
    <t>CoC</t>
  </si>
  <si>
    <t>CoC</t>
    <phoneticPr fontId="2" type="noConversion"/>
  </si>
  <si>
    <t>전환가액</t>
    <phoneticPr fontId="2" type="noConversion"/>
  </si>
  <si>
    <t>전환사채</t>
    <phoneticPr fontId="2" type="noConversion"/>
  </si>
  <si>
    <t>※ 전환사채 투자자 별 수익률</t>
    <phoneticPr fontId="2" type="noConversion"/>
  </si>
  <si>
    <t>전환율</t>
    <phoneticPr fontId="2" type="noConversion"/>
  </si>
  <si>
    <t>발행가액</t>
    <phoneticPr fontId="2" type="noConversion"/>
  </si>
  <si>
    <t>보통주(전환사채 전환)</t>
    <phoneticPr fontId="2" type="noConversion"/>
  </si>
  <si>
    <t>주식수</t>
    <phoneticPr fontId="2" type="noConversion"/>
  </si>
  <si>
    <t>전환사채 미지급이자</t>
    <phoneticPr fontId="2" type="noConversion"/>
  </si>
  <si>
    <t>전환율(누적)</t>
    <phoneticPr fontId="2" type="noConversion"/>
  </si>
  <si>
    <t>전환사채 상환할증금</t>
    <phoneticPr fontId="2" type="noConversion"/>
  </si>
  <si>
    <t>CB(전환사채)</t>
    <phoneticPr fontId="2" type="noConversion"/>
  </si>
  <si>
    <t>전환사채 이자비용</t>
  </si>
  <si>
    <t>전환사채 이자비용</t>
    <phoneticPr fontId="2" type="noConversion"/>
  </si>
  <si>
    <t>전환사채</t>
  </si>
  <si>
    <t>보통주(기존)</t>
    <phoneticPr fontId="2" type="noConversion"/>
  </si>
  <si>
    <t>구분</t>
  </si>
  <si>
    <t>미지급배당금_보통주(KLI)</t>
    <phoneticPr fontId="2" type="noConversion"/>
  </si>
  <si>
    <t>미지급배당금_보통주(전환사채)</t>
    <phoneticPr fontId="2" type="noConversion"/>
  </si>
  <si>
    <t>매각차익 배분_보통주(KLI)</t>
    <phoneticPr fontId="2" type="noConversion"/>
  </si>
  <si>
    <t>매각차익 배분_보통주(전환사채)</t>
    <phoneticPr fontId="2" type="noConversion"/>
  </si>
  <si>
    <t>배당수익</t>
    <phoneticPr fontId="2" type="noConversion"/>
  </si>
  <si>
    <t>채권잔액</t>
    <phoneticPr fontId="2" type="noConversion"/>
  </si>
  <si>
    <t>주식잔액</t>
    <phoneticPr fontId="2" type="noConversion"/>
  </si>
  <si>
    <t>평균잔액</t>
    <phoneticPr fontId="2" type="noConversion"/>
  </si>
  <si>
    <t>투자자 CF(C.G제외)</t>
  </si>
  <si>
    <t>투자자 CF(C.G포함)</t>
  </si>
  <si>
    <t>IRR(%)_C.G제외</t>
    <phoneticPr fontId="2" type="noConversion"/>
  </si>
  <si>
    <t>층</t>
  </si>
  <si>
    <t>임차인</t>
  </si>
  <si>
    <t>인상률</t>
  </si>
  <si>
    <t>임대</t>
  </si>
  <si>
    <t>평당</t>
  </si>
  <si>
    <t>총액</t>
  </si>
  <si>
    <t>개시</t>
  </si>
  <si>
    <t>종료</t>
  </si>
  <si>
    <t>Total</t>
  </si>
  <si>
    <t>부동산</t>
    <phoneticPr fontId="2" type="noConversion"/>
  </si>
  <si>
    <t>매입부대비</t>
    <phoneticPr fontId="2" type="noConversion"/>
  </si>
  <si>
    <t>임대보증금</t>
  </si>
  <si>
    <t>담보대출</t>
  </si>
  <si>
    <t>중순위대출</t>
    <phoneticPr fontId="2" type="noConversion"/>
  </si>
  <si>
    <t>선순위</t>
    <phoneticPr fontId="2" type="noConversion"/>
  </si>
  <si>
    <t>Base</t>
    <phoneticPr fontId="2" type="noConversion"/>
  </si>
  <si>
    <t>Rate</t>
    <phoneticPr fontId="2" type="noConversion"/>
  </si>
  <si>
    <t>* 금융수수료</t>
    <phoneticPr fontId="2" type="noConversion"/>
  </si>
  <si>
    <t>금융수수료 합계</t>
    <phoneticPr fontId="2" type="noConversion"/>
  </si>
  <si>
    <t>중순위대출 이자비용</t>
    <phoneticPr fontId="2" type="noConversion"/>
  </si>
  <si>
    <t>통합</t>
    <phoneticPr fontId="2" type="noConversion"/>
  </si>
  <si>
    <t>C.G.제외</t>
    <phoneticPr fontId="2" type="noConversion"/>
  </si>
  <si>
    <t>C.G포함</t>
    <phoneticPr fontId="2" type="noConversion"/>
  </si>
  <si>
    <t>매각+1개년</t>
  </si>
  <si>
    <t>임대료수입</t>
  </si>
  <si>
    <t>Rent-Free</t>
  </si>
  <si>
    <t>관리비</t>
  </si>
  <si>
    <t>제세공과금</t>
  </si>
  <si>
    <t>NOI</t>
  </si>
  <si>
    <t>Cap.Rate</t>
  </si>
  <si>
    <t>매각가치</t>
  </si>
  <si>
    <t>투자금액</t>
  </si>
  <si>
    <t>CoC_C.G제외</t>
  </si>
  <si>
    <t>IRR_C.G포함</t>
  </si>
  <si>
    <t>E.Multiple</t>
  </si>
  <si>
    <t>C.G</t>
    <phoneticPr fontId="2" type="noConversion"/>
  </si>
  <si>
    <t>NOI</t>
    <phoneticPr fontId="2" type="noConversion"/>
  </si>
  <si>
    <t>내용</t>
  </si>
  <si>
    <t>사업기간</t>
  </si>
  <si>
    <t>120개월</t>
  </si>
  <si>
    <t>기간</t>
  </si>
  <si>
    <t>설립준비</t>
  </si>
  <si>
    <t>운영기간</t>
  </si>
  <si>
    <t>청산기간</t>
  </si>
  <si>
    <t>운용기간</t>
  </si>
  <si>
    <t>평당가</t>
  </si>
  <si>
    <t>금액(월)</t>
  </si>
  <si>
    <t>산정 방식</t>
  </si>
  <si>
    <t>금액</t>
  </si>
  <si>
    <t>부동산 매입</t>
  </si>
  <si>
    <t>매입 수수료</t>
  </si>
  <si>
    <t>취득세</t>
  </si>
  <si>
    <t>금리</t>
  </si>
  <si>
    <t>수수료</t>
  </si>
  <si>
    <t>All-in</t>
  </si>
  <si>
    <t>보증금</t>
  </si>
  <si>
    <t>선순위 담보대출</t>
  </si>
  <si>
    <t>중순위 담보대출</t>
  </si>
  <si>
    <t>질권설정액</t>
    <phoneticPr fontId="2" type="noConversion"/>
  </si>
  <si>
    <t>실사비용 등</t>
    <phoneticPr fontId="2" type="noConversion"/>
  </si>
  <si>
    <t>배당수익률</t>
  </si>
  <si>
    <t>C.G배분</t>
  </si>
  <si>
    <t>IRR</t>
  </si>
  <si>
    <t>잔여배당</t>
    <phoneticPr fontId="2" type="noConversion"/>
  </si>
  <si>
    <t>창고명</t>
    <phoneticPr fontId="2" type="noConversion"/>
  </si>
  <si>
    <t>시/도</t>
    <phoneticPr fontId="2" type="noConversion"/>
  </si>
  <si>
    <t>시/군</t>
    <phoneticPr fontId="2" type="noConversion"/>
  </si>
  <si>
    <t>구/읍/면</t>
    <phoneticPr fontId="2" type="noConversion"/>
  </si>
  <si>
    <t>동/리</t>
    <phoneticPr fontId="2" type="noConversion"/>
  </si>
  <si>
    <t>본번</t>
    <phoneticPr fontId="2" type="noConversion"/>
  </si>
  <si>
    <t>부번</t>
    <phoneticPr fontId="2" type="noConversion"/>
  </si>
  <si>
    <t>기타필지(거래_등본)</t>
    <phoneticPr fontId="2" type="noConversion"/>
  </si>
  <si>
    <t>기타건물</t>
    <phoneticPr fontId="2" type="noConversion"/>
  </si>
  <si>
    <t>보관방식</t>
    <phoneticPr fontId="2" type="noConversion"/>
  </si>
  <si>
    <t>건축면적(평)</t>
    <phoneticPr fontId="2" type="noConversion"/>
  </si>
  <si>
    <t>연면적(평)</t>
    <phoneticPr fontId="2" type="noConversion"/>
  </si>
  <si>
    <t>대지면적(평)</t>
    <phoneticPr fontId="2" type="noConversion"/>
  </si>
  <si>
    <t>거래연면적(평)</t>
    <phoneticPr fontId="2" type="noConversion"/>
  </si>
  <si>
    <t>주건축물 수</t>
    <phoneticPr fontId="2" type="noConversion"/>
  </si>
  <si>
    <t>부속건축물 수</t>
    <phoneticPr fontId="2" type="noConversion"/>
  </si>
  <si>
    <t>지상 층</t>
    <phoneticPr fontId="2" type="noConversion"/>
  </si>
  <si>
    <t>지하 층</t>
    <phoneticPr fontId="2" type="noConversion"/>
  </si>
  <si>
    <t>준공일_사용승인일자</t>
    <phoneticPr fontId="2" type="noConversion"/>
  </si>
  <si>
    <t>계약일자</t>
    <phoneticPr fontId="2" type="noConversion"/>
  </si>
  <si>
    <t>잔금일자</t>
    <phoneticPr fontId="2" type="noConversion"/>
  </si>
  <si>
    <t>거래가(천원)</t>
    <phoneticPr fontId="2" type="noConversion"/>
  </si>
  <si>
    <t>평당가(연면적, 천원)</t>
    <phoneticPr fontId="2" type="noConversion"/>
  </si>
  <si>
    <t>매도인</t>
    <phoneticPr fontId="2" type="noConversion"/>
  </si>
  <si>
    <t>매수인</t>
    <phoneticPr fontId="2" type="noConversion"/>
  </si>
  <si>
    <t>투자Vehicle(상세)</t>
    <phoneticPr fontId="2" type="noConversion"/>
  </si>
  <si>
    <t>거래종류</t>
    <phoneticPr fontId="2" type="noConversion"/>
  </si>
  <si>
    <t>대출금리(선순위)</t>
    <phoneticPr fontId="2" type="noConversion"/>
  </si>
  <si>
    <t>책임임차 여부</t>
    <phoneticPr fontId="2" type="noConversion"/>
  </si>
  <si>
    <t>최종 Initial Cap</t>
    <phoneticPr fontId="2" type="noConversion"/>
  </si>
  <si>
    <t>분당야탑물류센터</t>
    <phoneticPr fontId="2" type="noConversion"/>
  </si>
  <si>
    <t>경기</t>
    <phoneticPr fontId="2" type="noConversion"/>
  </si>
  <si>
    <t>성남시</t>
    <phoneticPr fontId="2" type="noConversion"/>
  </si>
  <si>
    <t>분당구</t>
    <phoneticPr fontId="2" type="noConversion"/>
  </si>
  <si>
    <t>야탑동</t>
    <phoneticPr fontId="2" type="noConversion"/>
  </si>
  <si>
    <t>Cold</t>
    <phoneticPr fontId="2" type="noConversion"/>
  </si>
  <si>
    <t/>
  </si>
  <si>
    <t>이지스자산운용</t>
  </si>
  <si>
    <t>실물</t>
    <phoneticPr fontId="2" type="noConversion"/>
  </si>
  <si>
    <t>공매건</t>
  </si>
  <si>
    <t>퍼시픽투자운용 오산 물류센터</t>
    <phoneticPr fontId="2" type="noConversion"/>
  </si>
  <si>
    <t>오산시</t>
    <phoneticPr fontId="2" type="noConversion"/>
  </si>
  <si>
    <t>원동</t>
    <phoneticPr fontId="2" type="noConversion"/>
  </si>
  <si>
    <t>0필지</t>
    <phoneticPr fontId="2" type="noConversion"/>
  </si>
  <si>
    <t>라살자산운용</t>
  </si>
  <si>
    <t>퍼시픽자산운용</t>
  </si>
  <si>
    <t>퍼시픽물류전문제1의3호위탁관리부동산투자회사주식회사</t>
  </si>
  <si>
    <t>ML</t>
    <phoneticPr fontId="2" type="noConversion"/>
  </si>
  <si>
    <t>Jette</t>
    <phoneticPr fontId="2" type="noConversion"/>
  </si>
  <si>
    <t>SSG 네오 003</t>
    <phoneticPr fontId="2" type="noConversion"/>
  </si>
  <si>
    <t>김포시</t>
    <phoneticPr fontId="2" type="noConversion"/>
  </si>
  <si>
    <t>고촌읍</t>
    <phoneticPr fontId="2" type="noConversion"/>
  </si>
  <si>
    <t>전호리</t>
    <phoneticPr fontId="2" type="noConversion"/>
  </si>
  <si>
    <t>1필지(649-0)</t>
    <phoneticPr fontId="2" type="noConversion"/>
  </si>
  <si>
    <t>Mix</t>
    <phoneticPr fontId="2" type="noConversion"/>
  </si>
  <si>
    <t>2019-09-02</t>
  </si>
  <si>
    <t>에스에스지닷컴</t>
  </si>
  <si>
    <t>CJ대한통운</t>
  </si>
  <si>
    <t>SGC이테크건설 저온 물류센터</t>
    <phoneticPr fontId="2" type="noConversion"/>
  </si>
  <si>
    <t>인천</t>
    <phoneticPr fontId="2" type="noConversion"/>
  </si>
  <si>
    <t>인천광역시</t>
    <phoneticPr fontId="2" type="noConversion"/>
  </si>
  <si>
    <t>서구</t>
    <phoneticPr fontId="2" type="noConversion"/>
  </si>
  <si>
    <t>원창동</t>
    <phoneticPr fontId="2" type="noConversion"/>
  </si>
  <si>
    <t>1필지(394-59)</t>
    <phoneticPr fontId="2" type="noConversion"/>
  </si>
  <si>
    <t>394-59(B-2동)</t>
    <phoneticPr fontId="2" type="noConversion"/>
  </si>
  <si>
    <t>SGC이테크건설</t>
  </si>
  <si>
    <t>웨스트사이드로지스</t>
  </si>
  <si>
    <t>스타로드 운수리 물류센터</t>
    <phoneticPr fontId="2" type="noConversion"/>
  </si>
  <si>
    <t>남양주시</t>
    <phoneticPr fontId="2" type="noConversion"/>
  </si>
  <si>
    <t>수동면</t>
    <phoneticPr fontId="2" type="noConversion"/>
  </si>
  <si>
    <t>운수리</t>
    <phoneticPr fontId="2" type="noConversion"/>
  </si>
  <si>
    <t>7필지(268-7,269-3,6,8,21,270-1,산32-4)</t>
    <phoneticPr fontId="2" type="noConversion"/>
  </si>
  <si>
    <t>금오유통</t>
  </si>
  <si>
    <t>스타로드자산운용</t>
  </si>
  <si>
    <t>스타로드스톤전문사모부동산모제6의1호투자회사</t>
  </si>
  <si>
    <t>선매입</t>
    <phoneticPr fontId="2" type="noConversion"/>
  </si>
  <si>
    <t>오뚜기</t>
    <phoneticPr fontId="2" type="noConversion"/>
  </si>
  <si>
    <t>MQ 로지스큐브 김포고촌</t>
    <phoneticPr fontId="2" type="noConversion"/>
  </si>
  <si>
    <t>2013-11-25</t>
  </si>
  <si>
    <t>로지스밸리</t>
  </si>
  <si>
    <t>큐브인더스트리얼자산운용</t>
  </si>
  <si>
    <t>큐브인더스트리얼일반사모부동산투자회사제3호</t>
  </si>
  <si>
    <t>GS리테일,디에이치엘코리아,CJ대한통운</t>
    <phoneticPr fontId="2" type="noConversion"/>
  </si>
  <si>
    <t>MQ 로지스큐브 남양주</t>
    <phoneticPr fontId="2" type="noConversion"/>
  </si>
  <si>
    <t>화도읍</t>
    <phoneticPr fontId="2" type="noConversion"/>
  </si>
  <si>
    <t>차산리</t>
    <phoneticPr fontId="2" type="noConversion"/>
  </si>
  <si>
    <t>14필지(433-3,5,434-1,2,3,4,7,8,541-3,11,542-1,3,9,10)</t>
    <phoneticPr fontId="2" type="noConversion"/>
  </si>
  <si>
    <t>Dry</t>
    <phoneticPr fontId="2" type="noConversion"/>
  </si>
  <si>
    <t>2020-02-27</t>
  </si>
  <si>
    <t>로지스벨리</t>
  </si>
  <si>
    <t>큐브인더스트리얼일반사모부동산투자회사제4호</t>
  </si>
  <si>
    <t>쿠팡, GS리테일</t>
    <phoneticPr fontId="2" type="noConversion"/>
  </si>
  <si>
    <t>부천 내동 물류센터</t>
    <phoneticPr fontId="2" type="noConversion"/>
  </si>
  <si>
    <t>부천시</t>
    <phoneticPr fontId="2" type="noConversion"/>
  </si>
  <si>
    <t>오정구</t>
    <phoneticPr fontId="2" type="noConversion"/>
  </si>
  <si>
    <t>내동</t>
    <phoneticPr fontId="2" type="noConversion"/>
  </si>
  <si>
    <t>2024-04-18</t>
  </si>
  <si>
    <t>미래인로지스</t>
  </si>
  <si>
    <t>그래비티자산운용</t>
  </si>
  <si>
    <t>그래비티일반사모부동산투자회사제7호</t>
  </si>
  <si>
    <t>원리금상환액(선순위)</t>
    <phoneticPr fontId="2" type="noConversion"/>
  </si>
  <si>
    <t>원리금상환액(중순위)</t>
    <phoneticPr fontId="2" type="noConversion"/>
  </si>
  <si>
    <t>DSCR(중순위)</t>
    <phoneticPr fontId="2" type="noConversion"/>
  </si>
  <si>
    <t>DSCR(선순위)</t>
    <phoneticPr fontId="2" type="noConversion"/>
  </si>
  <si>
    <t>임대대행수수료(신규)</t>
    <phoneticPr fontId="2" type="noConversion"/>
  </si>
  <si>
    <t>해당여부</t>
    <phoneticPr fontId="2" type="noConversion"/>
  </si>
  <si>
    <t>수수료율</t>
    <phoneticPr fontId="2" type="noConversion"/>
  </si>
  <si>
    <t>경기도 안양시 동안구 관양동 934,934-1</t>
    <phoneticPr fontId="2" type="noConversion"/>
  </si>
  <si>
    <t>https://m.blog.naver.com/gangnam5570600/223391111753</t>
  </si>
  <si>
    <t>https://blog.genstarmate.com/wp-content/uploads/2025/09/GenstarMate-243Q_Logistics-Market-Review_KOR-ENG.pdf</t>
  </si>
  <si>
    <t>https://www.corebeat.co.kr/article/361</t>
  </si>
  <si>
    <t>https://blog.genstarmate.com/wp-content/uploads/2026/02/2025-%EC%88%98%EB%8F%84%EA%B6%8C-%EB%AC%BC%EB%A5%98%EC%84%BC%ED%84%B0-%EC%97%B0%EA%B0%84%EB%A6%AC%ED%8F%AC%ED%8A%B8-KOR.pdf</t>
  </si>
  <si>
    <t>본 건</t>
  </si>
  <si>
    <t>분당야탑</t>
  </si>
  <si>
    <t>물류센터</t>
  </si>
  <si>
    <t>부천내동</t>
  </si>
  <si>
    <t>MQ로지스</t>
  </si>
  <si>
    <t>김포센터</t>
  </si>
  <si>
    <t>남양주센터</t>
  </si>
  <si>
    <t xml:space="preserve">SSG 네오 </t>
  </si>
  <si>
    <t>사진</t>
  </si>
  <si>
    <t>소재지</t>
  </si>
  <si>
    <t>경기 성남시 분당구</t>
  </si>
  <si>
    <t>야탑동 403</t>
  </si>
  <si>
    <t>경기 부천시 오정구</t>
  </si>
  <si>
    <t>내동 222-11</t>
  </si>
  <si>
    <t>경기 김포시 고촌읍</t>
  </si>
  <si>
    <t>전호리 748</t>
  </si>
  <si>
    <t xml:space="preserve">경기 남양주시 </t>
  </si>
  <si>
    <t>화도읍 차산리 434-6</t>
  </si>
  <si>
    <t>전호리 648</t>
  </si>
  <si>
    <t>거래일자</t>
  </si>
  <si>
    <t>거래가격</t>
  </si>
  <si>
    <t>평당 거래가</t>
  </si>
  <si>
    <t>매도인</t>
  </si>
  <si>
    <t>매수인</t>
  </si>
  <si>
    <t>사용승인일</t>
    <phoneticPr fontId="2" type="noConversion"/>
  </si>
  <si>
    <t>공매</t>
    <phoneticPr fontId="2" type="noConversion"/>
  </si>
  <si>
    <t>이지스자산운용</t>
    <phoneticPr fontId="2" type="noConversion"/>
  </si>
  <si>
    <t>그래비티자산운용</t>
    <phoneticPr fontId="2" type="noConversion"/>
  </si>
  <si>
    <t>[TBD]</t>
    <phoneticPr fontId="2" type="noConversion"/>
  </si>
  <si>
    <t>코크렙안양PFV</t>
    <phoneticPr fontId="2" type="noConversion"/>
  </si>
  <si>
    <t>취득세</t>
    <phoneticPr fontId="2" type="noConversion"/>
  </si>
  <si>
    <t xml:space="preserve"> </t>
    <phoneticPr fontId="2" type="noConversion"/>
  </si>
  <si>
    <t>임대대행</t>
    <phoneticPr fontId="2" type="noConversion"/>
  </si>
  <si>
    <t>보수차감</t>
    <phoneticPr fontId="2" type="noConversion"/>
  </si>
  <si>
    <t>보수제외</t>
    <phoneticPr fontId="2" type="noConversion"/>
  </si>
  <si>
    <t>내용</t>
    <phoneticPr fontId="2" type="noConversion"/>
  </si>
  <si>
    <t>전체 Equity</t>
    <phoneticPr fontId="2" type="noConversion"/>
  </si>
  <si>
    <t>보통주-1</t>
    <phoneticPr fontId="2" type="noConversion"/>
  </si>
  <si>
    <t>수익률</t>
    <phoneticPr fontId="2" type="noConversion"/>
  </si>
  <si>
    <t>질권설정예금</t>
    <phoneticPr fontId="2" type="noConversion"/>
  </si>
  <si>
    <t>우선주소요액</t>
    <phoneticPr fontId="2" type="noConversion"/>
  </si>
  <si>
    <t>요율</t>
    <phoneticPr fontId="2" type="noConversion"/>
  </si>
  <si>
    <t>옥상</t>
    <phoneticPr fontId="2" type="noConversion"/>
  </si>
  <si>
    <t>태양광시설</t>
  </si>
  <si>
    <t>태양광시설</t>
    <phoneticPr fontId="2" type="noConversion"/>
  </si>
  <si>
    <t>2. 산출내역</t>
    <phoneticPr fontId="89" type="noConversion"/>
  </si>
  <si>
    <t>구분</t>
    <phoneticPr fontId="89" type="noConversion"/>
  </si>
  <si>
    <t>재산세</t>
    <phoneticPr fontId="27" type="noConversion"/>
  </si>
  <si>
    <t>도시지역분(구,도시계획세)</t>
    <phoneticPr fontId="27" type="noConversion"/>
  </si>
  <si>
    <t>지방교육세</t>
    <phoneticPr fontId="27" type="noConversion"/>
  </si>
  <si>
    <t>합계</t>
    <phoneticPr fontId="27" type="noConversion"/>
  </si>
  <si>
    <t>고지금액</t>
    <phoneticPr fontId="89" type="noConversion"/>
  </si>
  <si>
    <r>
      <t>4. 과세대상:</t>
    </r>
    <r>
      <rPr>
        <sz val="11"/>
        <rFont val="굴림"/>
        <family val="3"/>
        <charset val="129"/>
      </rPr>
      <t xml:space="preserve"> 전국 소재 모든 토지가 과세 대상에 해당.</t>
    </r>
    <phoneticPr fontId="89" type="noConversion"/>
  </si>
  <si>
    <r>
      <t>5. 과세대상별 토지구분:</t>
    </r>
    <r>
      <rPr>
        <sz val="11"/>
        <rFont val="굴림"/>
        <family val="3"/>
        <charset val="129"/>
      </rPr>
      <t xml:space="preserve"> 별도합산 과세대상 [일반 영업용건축물(사무실, 병원, 점포, 호텔, 여관, 음식점 등)의 부속토지].</t>
    </r>
    <phoneticPr fontId="89" type="noConversion"/>
  </si>
  <si>
    <r>
      <t xml:space="preserve">6. 과세기준일: </t>
    </r>
    <r>
      <rPr>
        <sz val="11"/>
        <rFont val="굴림"/>
        <family val="3"/>
        <charset val="129"/>
      </rPr>
      <t>지방세법 제114조 (과세기준일)- 재산세의 과세기준일은 매년 6월1일로 한다.</t>
    </r>
    <phoneticPr fontId="27" type="noConversion"/>
  </si>
  <si>
    <r>
      <t xml:space="preserve">7. 부과근거: </t>
    </r>
    <r>
      <rPr>
        <sz val="11"/>
        <rFont val="굴림"/>
        <family val="3"/>
        <charset val="129"/>
      </rPr>
      <t>지방세법 제107조에 의거 (재산세 과세기준일 현재 재산을 사실상 소유하고 있는 자.)</t>
    </r>
    <phoneticPr fontId="89" type="noConversion"/>
  </si>
  <si>
    <t>8. 산출내역</t>
    <phoneticPr fontId="89" type="noConversion"/>
  </si>
  <si>
    <t>지번</t>
    <phoneticPr fontId="27" type="noConversion"/>
  </si>
  <si>
    <r>
      <t>면적(</t>
    </r>
    <r>
      <rPr>
        <b/>
        <sz val="11"/>
        <color indexed="9"/>
        <rFont val="돋움"/>
        <family val="3"/>
        <charset val="129"/>
      </rPr>
      <t>㎡</t>
    </r>
    <r>
      <rPr>
        <b/>
        <sz val="11"/>
        <color indexed="9"/>
        <rFont val="굴림"/>
        <family val="3"/>
        <charset val="129"/>
      </rPr>
      <t>)</t>
    </r>
    <phoneticPr fontId="27" type="noConversion"/>
  </si>
  <si>
    <t>공시지가</t>
    <phoneticPr fontId="27" type="noConversion"/>
  </si>
  <si>
    <t>공정시장가액비율</t>
    <phoneticPr fontId="27" type="noConversion"/>
  </si>
  <si>
    <t>과세표준액</t>
    <phoneticPr fontId="27" type="noConversion"/>
  </si>
  <si>
    <t>도시지역분</t>
    <phoneticPr fontId="27" type="noConversion"/>
  </si>
  <si>
    <t>관양동 934</t>
    <phoneticPr fontId="27" type="noConversion"/>
  </si>
  <si>
    <t>관양동 934-1</t>
    <phoneticPr fontId="27" type="noConversion"/>
  </si>
  <si>
    <t>관양동 934-12</t>
    <phoneticPr fontId="27" type="noConversion"/>
  </si>
  <si>
    <t>관양동 934-13</t>
    <phoneticPr fontId="27" type="noConversion"/>
  </si>
  <si>
    <t>관양동 912-2</t>
    <phoneticPr fontId="27" type="noConversion"/>
  </si>
  <si>
    <t>총 과세표준액</t>
    <phoneticPr fontId="27" type="noConversion"/>
  </si>
  <si>
    <t>재산세 합계</t>
    <phoneticPr fontId="27" type="noConversion"/>
  </si>
  <si>
    <t>도시지역분 합계</t>
    <phoneticPr fontId="27" type="noConversion"/>
  </si>
  <si>
    <t>지방교육세 합계</t>
    <phoneticPr fontId="27" type="noConversion"/>
  </si>
  <si>
    <t>총 납부세액</t>
    <phoneticPr fontId="27" type="noConversion"/>
  </si>
  <si>
    <r>
      <t>9. 산출 근거:</t>
    </r>
    <r>
      <rPr>
        <sz val="11"/>
        <rFont val="굴림"/>
        <family val="3"/>
        <charset val="129"/>
      </rPr>
      <t xml:space="preserve"> 지방세법 제111조 (세율)</t>
    </r>
    <phoneticPr fontId="27" type="noConversion"/>
  </si>
  <si>
    <t xml:space="preserve"> 1) 재산세(토지)</t>
    <phoneticPr fontId="27" type="noConversion"/>
  </si>
  <si>
    <t>과세표준</t>
    <phoneticPr fontId="27" type="noConversion"/>
  </si>
  <si>
    <t>세율</t>
    <phoneticPr fontId="27" type="noConversion"/>
  </si>
  <si>
    <t>2억원 이하</t>
    <phoneticPr fontId="27" type="noConversion"/>
  </si>
  <si>
    <t>2/1000</t>
    <phoneticPr fontId="27" type="noConversion"/>
  </si>
  <si>
    <t>2억원 초과 10억원이하</t>
    <phoneticPr fontId="27" type="noConversion"/>
  </si>
  <si>
    <t>400,000+(과표-2억)*3/1000</t>
    <phoneticPr fontId="27" type="noConversion"/>
  </si>
  <si>
    <t>10억원 초과</t>
    <phoneticPr fontId="27" type="noConversion"/>
  </si>
  <si>
    <t>2,800,000+(과표-10억)*4/1000</t>
    <phoneticPr fontId="27" type="noConversion"/>
  </si>
  <si>
    <t xml:space="preserve"> 2) 도시지역분</t>
    <phoneticPr fontId="27" type="noConversion"/>
  </si>
  <si>
    <t>과세표준액 * 0.14%</t>
    <phoneticPr fontId="27" type="noConversion"/>
  </si>
  <si>
    <t xml:space="preserve"> 3) 지방교육세</t>
    <phoneticPr fontId="27" type="noConversion"/>
  </si>
  <si>
    <t>재산세액 * 20%</t>
    <phoneticPr fontId="27" type="noConversion"/>
  </si>
  <si>
    <t xml:space="preserve">10. 특이사항: </t>
    <phoneticPr fontId="27" type="noConversion"/>
  </si>
  <si>
    <t>KLB</t>
    <phoneticPr fontId="27" type="noConversion"/>
  </si>
  <si>
    <t>PP</t>
    <phoneticPr fontId="27" type="noConversion"/>
  </si>
  <si>
    <r>
      <t xml:space="preserve">관양동 912-2(1동 2호)는 도시지역분 과세 면세/ 해당면적 46.67 제곱미터 </t>
    </r>
    <r>
      <rPr>
        <sz val="11"/>
        <rFont val="KoPub돋움체 Medium"/>
        <family val="3"/>
        <charset val="129"/>
      </rPr>
      <t>→</t>
    </r>
    <r>
      <rPr>
        <sz val="11"/>
        <rFont val="굴림"/>
        <family val="3"/>
        <charset val="129"/>
      </rPr>
      <t xml:space="preserve"> 2023년에는 268 제곱미터 전체 과세</t>
    </r>
    <phoneticPr fontId="27" type="noConversion"/>
  </si>
  <si>
    <t xml:space="preserve">■ 2025년 재산세 산출내역 (토지분) </t>
    <phoneticPr fontId="27" type="noConversion"/>
  </si>
  <si>
    <r>
      <t>3. 납부기한:</t>
    </r>
    <r>
      <rPr>
        <sz val="11"/>
        <rFont val="굴림"/>
        <family val="3"/>
        <charset val="129"/>
      </rPr>
      <t xml:space="preserve"> 2025년 09월 30일(금)까지. (납부기한 초과시 3%의 가산금이 부과됨.)</t>
    </r>
    <phoneticPr fontId="89" type="noConversion"/>
  </si>
  <si>
    <t>**별첨(재산세_토지)</t>
    <phoneticPr fontId="2" type="noConversion"/>
  </si>
  <si>
    <t>Prepared by MatePlus</t>
    <phoneticPr fontId="2" type="noConversion"/>
  </si>
  <si>
    <t>■ 과세표준</t>
    <phoneticPr fontId="2" type="noConversion"/>
  </si>
  <si>
    <t xml:space="preserve">지방세법 제110조(과세표준) </t>
    <phoneticPr fontId="2" type="noConversion"/>
  </si>
  <si>
    <r>
      <t>①토지·건축물·주택에 대한재산세의 과세표준=</t>
    </r>
    <r>
      <rPr>
        <sz val="10"/>
        <color rgb="FF0000FF"/>
        <rFont val="맑은 고딕"/>
        <family val="3"/>
        <charset val="129"/>
        <scheme val="minor"/>
      </rPr>
      <t>시가표준액*</t>
    </r>
    <r>
      <rPr>
        <b/>
        <sz val="10"/>
        <color rgb="FF0000FF"/>
        <rFont val="맑은 고딕"/>
        <family val="3"/>
        <charset val="129"/>
        <scheme val="minor"/>
      </rPr>
      <t>공정시장가액비율</t>
    </r>
    <phoneticPr fontId="2" type="noConversion"/>
  </si>
  <si>
    <t>■ 기본사항</t>
    <phoneticPr fontId="2" type="noConversion"/>
  </si>
  <si>
    <t>1. 과세대상</t>
    <phoneticPr fontId="2" type="noConversion"/>
  </si>
  <si>
    <t>■ 공정시장가액비율</t>
    <phoneticPr fontId="2" type="noConversion"/>
  </si>
  <si>
    <t xml:space="preserve">2. 소재지 </t>
    <phoneticPr fontId="2" type="noConversion"/>
  </si>
  <si>
    <t>지방세법 시행령</t>
  </si>
  <si>
    <t>3. 공시지가</t>
    <phoneticPr fontId="2" type="noConversion"/>
  </si>
  <si>
    <t>:</t>
    <phoneticPr fontId="2" type="noConversion"/>
  </si>
  <si>
    <t>단위: 원, ㎡</t>
    <phoneticPr fontId="2" type="noConversion"/>
  </si>
  <si>
    <t>제109조(공정시장가액비율)</t>
    <phoneticPr fontId="2" type="noConversion"/>
  </si>
  <si>
    <t>증감율</t>
    <phoneticPr fontId="2" type="noConversion"/>
  </si>
  <si>
    <r>
      <t xml:space="preserve">1. 토지 및 건축물 : </t>
    </r>
    <r>
      <rPr>
        <sz val="10"/>
        <color rgb="FF0000FF"/>
        <rFont val="맑은 고딕"/>
        <family val="3"/>
        <charset val="129"/>
        <scheme val="minor"/>
      </rPr>
      <t>시가표준액의</t>
    </r>
    <r>
      <rPr>
        <b/>
        <sz val="10"/>
        <color rgb="FF0000FF"/>
        <rFont val="맑은 고딕"/>
        <family val="3"/>
        <charset val="129"/>
        <scheme val="minor"/>
      </rPr>
      <t xml:space="preserve"> 100분의 70</t>
    </r>
    <phoneticPr fontId="2" type="noConversion"/>
  </si>
  <si>
    <t>관양동 934</t>
    <phoneticPr fontId="2" type="noConversion"/>
  </si>
  <si>
    <t>2. 주택 : 시가표준액의 100분의 60</t>
  </si>
  <si>
    <t>관양동 934-1</t>
    <phoneticPr fontId="2" type="noConversion"/>
  </si>
  <si>
    <t>관양동 934-12</t>
    <phoneticPr fontId="2" type="noConversion"/>
  </si>
  <si>
    <t>관양동 934-13</t>
    <phoneticPr fontId="2" type="noConversion"/>
  </si>
  <si>
    <t>관양동 912-2</t>
    <phoneticPr fontId="2" type="noConversion"/>
  </si>
  <si>
    <t>■ 재산세</t>
    <phoneticPr fontId="2" type="noConversion"/>
  </si>
  <si>
    <t>지방세법 제111조(세율)</t>
    <phoneticPr fontId="2" type="noConversion"/>
  </si>
  <si>
    <t xml:space="preserve">■ 2022년 재산세(토지) 납부금액 </t>
    <phoneticPr fontId="2" type="noConversion"/>
  </si>
  <si>
    <t>①제110조의 과세표준*표준세율</t>
    <phoneticPr fontId="2" type="noConversion"/>
  </si>
  <si>
    <t>1. 토지</t>
    <phoneticPr fontId="2" type="noConversion"/>
  </si>
  <si>
    <t>나. 별도합산과세대상</t>
    <phoneticPr fontId="2" type="noConversion"/>
  </si>
  <si>
    <t>■ 고지내역</t>
    <phoneticPr fontId="2" type="noConversion"/>
  </si>
  <si>
    <t>과세표준</t>
    <phoneticPr fontId="2" type="noConversion"/>
  </si>
  <si>
    <t>세율</t>
    <phoneticPr fontId="2" type="noConversion"/>
  </si>
  <si>
    <t>과세구분</t>
    <phoneticPr fontId="2" type="noConversion"/>
  </si>
  <si>
    <t>산출세액</t>
    <phoneticPr fontId="2" type="noConversion"/>
  </si>
  <si>
    <t>부과세액</t>
    <phoneticPr fontId="2" type="noConversion"/>
  </si>
  <si>
    <t>2억원 이하</t>
    <phoneticPr fontId="2" type="noConversion"/>
  </si>
  <si>
    <t>1,000분의 2</t>
    <phoneticPr fontId="2" type="noConversion"/>
  </si>
  <si>
    <t>재산세</t>
    <phoneticPr fontId="2" type="noConversion"/>
  </si>
  <si>
    <t>별도합산과세</t>
    <phoneticPr fontId="2" type="noConversion"/>
  </si>
  <si>
    <t>2억원 초과 10억원 이하</t>
    <phoneticPr fontId="2" type="noConversion"/>
  </si>
  <si>
    <t>40만원+2억원 초과금액의 1,000분의 3</t>
    <phoneticPr fontId="2" type="noConversion"/>
  </si>
  <si>
    <t>도시지역분세</t>
    <phoneticPr fontId="2" type="noConversion"/>
  </si>
  <si>
    <t>10억원 초과</t>
    <phoneticPr fontId="2" type="noConversion"/>
  </si>
  <si>
    <t>280만원+10억원 초과금액의 1,000분의 4</t>
    <phoneticPr fontId="2" type="noConversion"/>
  </si>
  <si>
    <t>지방교육세</t>
    <phoneticPr fontId="2" type="noConversion"/>
  </si>
  <si>
    <t>총 계</t>
    <phoneticPr fontId="2" type="noConversion"/>
  </si>
  <si>
    <t>■ 도시지역분</t>
    <phoneticPr fontId="2" type="noConversion"/>
  </si>
  <si>
    <t>지방세법 제112조(재산세 도시지역분)</t>
    <phoneticPr fontId="2" type="noConversion"/>
  </si>
  <si>
    <r>
      <t xml:space="preserve">①의2호.제110조에 따른 토지등의 </t>
    </r>
    <r>
      <rPr>
        <b/>
        <sz val="10"/>
        <color rgb="FF0000FF"/>
        <rFont val="맑은 고딕"/>
        <family val="3"/>
        <charset val="129"/>
        <scheme val="minor"/>
      </rPr>
      <t>과세표준에 1천분의 1.4를 적용</t>
    </r>
    <r>
      <rPr>
        <sz val="10"/>
        <color theme="1"/>
        <rFont val="맑은 고딕"/>
        <family val="3"/>
        <charset val="129"/>
        <scheme val="minor"/>
      </rPr>
      <t>하여 산출한 세액</t>
    </r>
    <phoneticPr fontId="2" type="noConversion"/>
  </si>
  <si>
    <t>■전년도 비교</t>
    <phoneticPr fontId="2" type="noConversion"/>
  </si>
  <si>
    <t>재산세(토지)</t>
    <phoneticPr fontId="2" type="noConversion"/>
  </si>
  <si>
    <t>■지방교육세</t>
    <phoneticPr fontId="2" type="noConversion"/>
  </si>
  <si>
    <t>지방세법 제151조(과세표준과 세율)</t>
    <phoneticPr fontId="2" type="noConversion"/>
  </si>
  <si>
    <r>
      <t>①항 6호; 재산세액의</t>
    </r>
    <r>
      <rPr>
        <sz val="10"/>
        <color rgb="FF0000FF"/>
        <rFont val="맑은 고딕"/>
        <family val="3"/>
        <charset val="129"/>
        <scheme val="minor"/>
      </rPr>
      <t xml:space="preserve"> </t>
    </r>
    <r>
      <rPr>
        <b/>
        <sz val="10"/>
        <color rgb="FF0000FF"/>
        <rFont val="맑은 고딕"/>
        <family val="3"/>
        <charset val="129"/>
        <scheme val="minor"/>
      </rPr>
      <t>100분의 20</t>
    </r>
    <phoneticPr fontId="2" type="noConversion"/>
  </si>
  <si>
    <t>■적용 세율</t>
    <phoneticPr fontId="2" type="noConversion"/>
  </si>
  <si>
    <t>재산세 기본 세율</t>
    <phoneticPr fontId="0" type="noConversion"/>
  </si>
  <si>
    <t>재산세액</t>
    <phoneticPr fontId="0" type="noConversion"/>
  </si>
  <si>
    <t>도시지역분</t>
    <phoneticPr fontId="0" type="noConversion"/>
  </si>
  <si>
    <t>지방교육세</t>
    <phoneticPr fontId="0" type="noConversion"/>
  </si>
  <si>
    <t>**별첨(종합부동산세)</t>
    <phoneticPr fontId="2" type="noConversion"/>
  </si>
  <si>
    <t>재산세 Notice 참고</t>
    <phoneticPr fontId="2" type="noConversion"/>
  </si>
  <si>
    <t xml:space="preserve">종합부동산세법 제13조(과세표준) </t>
    <phoneticPr fontId="2" type="noConversion"/>
  </si>
  <si>
    <t>② 공시가격 합산한 금액에서 80억 공제 금액 * 공정시장가액비율</t>
    <phoneticPr fontId="2" type="noConversion"/>
  </si>
  <si>
    <t>■ 산출 상세내역</t>
    <phoneticPr fontId="2" type="noConversion"/>
  </si>
  <si>
    <t>면적</t>
    <phoneticPr fontId="2" type="noConversion"/>
  </si>
  <si>
    <t>부과면적</t>
    <phoneticPr fontId="2" type="noConversion"/>
  </si>
  <si>
    <t>공시지가</t>
    <phoneticPr fontId="2" type="noConversion"/>
  </si>
  <si>
    <t>재산세 시가표준액</t>
    <phoneticPr fontId="2" type="noConversion"/>
  </si>
  <si>
    <t>재산세액</t>
    <phoneticPr fontId="2" type="noConversion"/>
  </si>
  <si>
    <t>도시지역분</t>
    <phoneticPr fontId="2" type="noConversion"/>
  </si>
  <si>
    <t>총 세액</t>
    <phoneticPr fontId="2" type="noConversion"/>
  </si>
  <si>
    <t>■ 공정시장가액비율(종합부동산세법 시행령 제2조의4 2항)</t>
    <phoneticPr fontId="2" type="noConversion"/>
  </si>
  <si>
    <t>별도합산</t>
    <phoneticPr fontId="2" type="noConversion"/>
  </si>
  <si>
    <t>※ 재산세 Notice</t>
    <phoneticPr fontId="27" type="noConversion"/>
  </si>
  <si>
    <t>산출세액 :</t>
    <phoneticPr fontId="27" type="noConversion"/>
  </si>
  <si>
    <t>산출근거 :</t>
    <phoneticPr fontId="27" type="noConversion"/>
  </si>
  <si>
    <t>별도합산과세대상 과세표준 10억원 초과(280만원+10억원 초과금액의 1,000분의 4) = 280만원+(과세표준-10억)*0.004 (지방세법 제111조 제1항)</t>
    <phoneticPr fontId="27" type="noConversion"/>
  </si>
  <si>
    <t>■ 재산세 공제전 종합부동산세</t>
    <phoneticPr fontId="2" type="noConversion"/>
  </si>
  <si>
    <t>종합부동산세법 제14조(세율및세액)</t>
    <phoneticPr fontId="2" type="noConversion"/>
  </si>
  <si>
    <t>④별도합산과세대상</t>
    <phoneticPr fontId="2" type="noConversion"/>
  </si>
  <si>
    <t>단위: 원, ㎡</t>
    <phoneticPr fontId="27" type="noConversion"/>
  </si>
  <si>
    <t>관할관청</t>
    <phoneticPr fontId="2" type="noConversion"/>
  </si>
  <si>
    <t>소재지</t>
    <phoneticPr fontId="2" type="noConversion"/>
  </si>
  <si>
    <t>공정시장
가액비율</t>
    <phoneticPr fontId="2" type="noConversion"/>
  </si>
  <si>
    <t>재산세 공제전
종합부동산세</t>
    <phoneticPr fontId="2" type="noConversion"/>
  </si>
  <si>
    <t>공제금액
(재산세)</t>
    <phoneticPr fontId="2" type="noConversion"/>
  </si>
  <si>
    <t>공제 후</t>
    <phoneticPr fontId="2" type="noConversion"/>
  </si>
  <si>
    <t>농특세</t>
    <phoneticPr fontId="2" type="noConversion"/>
  </si>
  <si>
    <t>총 합계</t>
    <phoneticPr fontId="2" type="noConversion"/>
  </si>
  <si>
    <t>200억원 이하</t>
    <phoneticPr fontId="2" type="noConversion"/>
  </si>
  <si>
    <t>1,000분의 5</t>
    <phoneticPr fontId="2" type="noConversion"/>
  </si>
  <si>
    <t>별도</t>
    <phoneticPr fontId="2" type="noConversion"/>
  </si>
  <si>
    <t>200억원 초과 400억원 이하</t>
    <phoneticPr fontId="2" type="noConversion"/>
  </si>
  <si>
    <t>1억원+(200억원을 초과하는 금액의 1,000분의 6)</t>
    <phoneticPr fontId="2" type="noConversion"/>
  </si>
  <si>
    <t>400억원 초과</t>
    <phoneticPr fontId="2" type="noConversion"/>
  </si>
  <si>
    <t>2억2천만원+(400억원을 초과하는 금액의 1,000분의 7)</t>
    <phoneticPr fontId="2" type="noConversion"/>
  </si>
  <si>
    <t>■ 공제금액(재산세)</t>
    <phoneticPr fontId="2" type="noConversion"/>
  </si>
  <si>
    <t>종합부동산세법 시행령 제5조의3(토지분 종합부동산세의 재산세 공제)</t>
    <phoneticPr fontId="2" type="noConversion"/>
  </si>
  <si>
    <t>② 별도합산과세대상</t>
    <phoneticPr fontId="2" type="noConversion"/>
  </si>
  <si>
    <t>공제할 재산세액 = 해당연도 재산세액 × 과세표준세율 재산세액 / 총표준세율 재산세액</t>
  </si>
  <si>
    <t>① 해당연도 재산세액 : 실제 납부한 재산세액(도시지역분, 지역자원시설세, 교육세 등 제외)</t>
  </si>
  <si>
    <t>② 과세표준세율 재산세액 : 종합부동산세 과세표준*재산세 공정시장가액비율 * 재산세 표준세율</t>
    <phoneticPr fontId="2" type="noConversion"/>
  </si>
  <si>
    <t>③ 총표준세율 재산세액 : 감면후공시가격 합계*재산세 공정시장가액비율*재산세 표준세율 - 누진공제액</t>
    <phoneticPr fontId="2" type="noConversion"/>
  </si>
  <si>
    <t>■ 농어촌특별세</t>
    <phoneticPr fontId="2" type="noConversion"/>
  </si>
  <si>
    <t xml:space="preserve">제5조(과세표준과 세율) </t>
    <phoneticPr fontId="2" type="noConversion"/>
  </si>
  <si>
    <r>
      <t xml:space="preserve">①항_8호별 「종합부동산세법」에 따라 납부하여야 할 </t>
    </r>
    <r>
      <rPr>
        <sz val="10"/>
        <color rgb="FF0000FF"/>
        <rFont val="맑은 고딕"/>
        <family val="3"/>
        <charset val="129"/>
        <scheme val="minor"/>
      </rPr>
      <t>종합부동산세액의</t>
    </r>
    <r>
      <rPr>
        <sz val="10"/>
        <color rgb="FF0000FF"/>
        <rFont val="맑은 고딕"/>
        <family val="2"/>
        <charset val="129"/>
        <scheme val="minor"/>
      </rPr>
      <t xml:space="preserve"> </t>
    </r>
    <r>
      <rPr>
        <sz val="10"/>
        <color rgb="FF0000FF"/>
        <rFont val="맑은 고딕"/>
        <family val="3"/>
        <charset val="129"/>
        <scheme val="minor"/>
      </rPr>
      <t>100분의 20</t>
    </r>
    <phoneticPr fontId="2" type="noConversion"/>
  </si>
  <si>
    <t>2025년 코크렙안양물류센터 종합부동산세 산출 내역 검토</t>
    <phoneticPr fontId="2" type="noConversion"/>
  </si>
  <si>
    <t>'25 납부액</t>
    <phoneticPr fontId="2" type="noConversion"/>
  </si>
  <si>
    <t xml:space="preserve">2025 재산세 공정시장가액 비율 (토지) </t>
    <phoneticPr fontId="2" type="noConversion"/>
  </si>
  <si>
    <t>■ 2025년 재산세(토지分) 종합부동산세</t>
    <phoneticPr fontId="2" type="noConversion"/>
  </si>
  <si>
    <t>분리과세 적용시</t>
    <phoneticPr fontId="2" type="noConversion"/>
  </si>
  <si>
    <t>(공모 시)</t>
    <phoneticPr fontId="2" type="noConversion"/>
  </si>
  <si>
    <t>LTV(매가)</t>
    <phoneticPr fontId="2" type="noConversion"/>
  </si>
  <si>
    <t>LTV(감정가)</t>
    <phoneticPr fontId="2" type="noConversion"/>
  </si>
  <si>
    <t>담보대출(2nd)</t>
    <phoneticPr fontId="2" type="noConversion"/>
  </si>
  <si>
    <t>담보대출(3rd)</t>
    <phoneticPr fontId="2" type="noConversion"/>
  </si>
  <si>
    <t>중순위대출(2nd)</t>
    <phoneticPr fontId="2" type="noConversion"/>
  </si>
  <si>
    <t>중순위대출(3rd)</t>
    <phoneticPr fontId="2" type="noConversion"/>
  </si>
  <si>
    <t>담보대출(2nd) 이자비용</t>
    <phoneticPr fontId="2" type="noConversion"/>
  </si>
  <si>
    <t>담보대출(3rd) 이자비용</t>
    <phoneticPr fontId="2" type="noConversion"/>
  </si>
  <si>
    <t>중순위대출(2nd) 이자비용</t>
    <phoneticPr fontId="2" type="noConversion"/>
  </si>
  <si>
    <t>중순위대출(3rd) 이자비용</t>
    <phoneticPr fontId="2" type="noConversion"/>
  </si>
  <si>
    <t>이자수익</t>
  </si>
  <si>
    <t>공모적용 여부</t>
    <phoneticPr fontId="2" type="noConversion"/>
  </si>
  <si>
    <t>보통주(KLI)</t>
    <phoneticPr fontId="2" type="noConversion"/>
  </si>
  <si>
    <t>지급대상액(1종 우선주)</t>
    <phoneticPr fontId="2" type="noConversion"/>
  </si>
  <si>
    <t>DSCR(1종 우선주)</t>
    <phoneticPr fontId="2" type="noConversion"/>
  </si>
  <si>
    <t>임차인 비중</t>
    <phoneticPr fontId="2" type="noConversion"/>
  </si>
  <si>
    <t>잔여재산분배</t>
  </si>
  <si>
    <t>자본금_보통주(KLI)</t>
    <phoneticPr fontId="2" type="noConversion"/>
  </si>
  <si>
    <t>주식발행초과금_보통주(KLI)</t>
    <phoneticPr fontId="2" type="noConversion"/>
  </si>
  <si>
    <t>자본금_재투자(LF)</t>
    <phoneticPr fontId="2" type="noConversion"/>
  </si>
  <si>
    <t>주식발행초과금_재투자(LF)</t>
    <phoneticPr fontId="2" type="noConversion"/>
  </si>
  <si>
    <t>재투자</t>
    <phoneticPr fontId="2" type="noConversion"/>
  </si>
  <si>
    <t>Cap. Rate(실질)</t>
    <phoneticPr fontId="2" type="noConversion"/>
  </si>
  <si>
    <t>WALE(현재)</t>
    <phoneticPr fontId="2" type="noConversion"/>
  </si>
  <si>
    <t>WALE(종결일)</t>
    <phoneticPr fontId="2" type="noConversion"/>
  </si>
  <si>
    <t>배당제외</t>
  </si>
  <si>
    <t>배당제외</t>
    <phoneticPr fontId="2" type="noConversion"/>
  </si>
  <si>
    <t>LF</t>
    <phoneticPr fontId="2" type="noConversion"/>
  </si>
  <si>
    <t>간주 취득세</t>
  </si>
  <si>
    <t>E.rent</t>
    <phoneticPr fontId="2" type="noConversion"/>
  </si>
  <si>
    <t>Eff. Rent</t>
    <phoneticPr fontId="2" type="noConversion"/>
  </si>
  <si>
    <t>1년차</t>
  </si>
  <si>
    <t>2년차</t>
  </si>
  <si>
    <t>3년차</t>
  </si>
  <si>
    <t>4년차</t>
  </si>
  <si>
    <t>5년차</t>
  </si>
  <si>
    <t>6년차</t>
  </si>
  <si>
    <t>7년차</t>
  </si>
  <si>
    <t>8년차</t>
  </si>
  <si>
    <t>9년차</t>
  </si>
  <si>
    <t>10년차</t>
  </si>
  <si>
    <t>2027년</t>
  </si>
  <si>
    <t>2028년</t>
  </si>
  <si>
    <t>2029년</t>
  </si>
  <si>
    <t>2030년</t>
  </si>
  <si>
    <t>2031년</t>
  </si>
  <si>
    <t>2032년</t>
  </si>
  <si>
    <t>2033년</t>
  </si>
  <si>
    <t>2034년</t>
  </si>
  <si>
    <t>2035년</t>
  </si>
  <si>
    <t>2036년</t>
  </si>
  <si>
    <t>쿠팡(76.5%)</t>
  </si>
  <si>
    <t>농심(10.5%)</t>
  </si>
  <si>
    <t>지오영(5.2%)</t>
  </si>
  <si>
    <t>용마로지스(4.1%)</t>
  </si>
  <si>
    <t>키즈밀(2.3%)</t>
  </si>
  <si>
    <t>공실(1.4%)</t>
  </si>
  <si>
    <t>월 임대수입</t>
  </si>
  <si>
    <r>
      <t>Eff. Rent</t>
    </r>
    <r>
      <rPr>
        <vertAlign val="superscript"/>
        <sz val="10"/>
        <color rgb="FF000000"/>
        <rFont val="KoPubWorld돋움체 Light"/>
        <family val="3"/>
        <charset val="129"/>
      </rPr>
      <t>1)</t>
    </r>
  </si>
  <si>
    <t>매입장부가</t>
    <phoneticPr fontId="2" type="noConversion"/>
  </si>
  <si>
    <t>초기 1개년</t>
    <phoneticPr fontId="2" type="noConversion"/>
  </si>
  <si>
    <t>현금한도</t>
    <phoneticPr fontId="2" type="noConversion"/>
  </si>
  <si>
    <t>보장기간</t>
    <phoneticPr fontId="2" type="noConversion"/>
  </si>
  <si>
    <t>부투법상 배당가능이익</t>
    <phoneticPr fontId="2" type="noConversion"/>
  </si>
  <si>
    <t>상환가능현금</t>
    <phoneticPr fontId="2" type="noConversion"/>
  </si>
  <si>
    <t>Cashflow(Y)</t>
    <phoneticPr fontId="2" type="noConversion"/>
  </si>
  <si>
    <t>단순</t>
  </si>
  <si>
    <t>단순</t>
    <phoneticPr fontId="2" type="noConversion"/>
  </si>
  <si>
    <t>누적</t>
  </si>
  <si>
    <t>누적</t>
    <phoneticPr fontId="2" type="noConversion"/>
  </si>
  <si>
    <t>1종 우선주</t>
    <phoneticPr fontId="2" type="noConversion"/>
  </si>
  <si>
    <t>2종 우선주</t>
    <phoneticPr fontId="2" type="noConversion"/>
  </si>
  <si>
    <t>3종 우선주(LF)</t>
    <phoneticPr fontId="2" type="noConversion"/>
  </si>
  <si>
    <t>2종 우선주(삼성)</t>
    <phoneticPr fontId="2" type="noConversion"/>
  </si>
  <si>
    <t>열후주</t>
    <phoneticPr fontId="2" type="noConversion"/>
  </si>
  <si>
    <t>3종 우선주</t>
    <phoneticPr fontId="2" type="noConversion"/>
  </si>
  <si>
    <t>자본금_2종 우선주</t>
    <phoneticPr fontId="2" type="noConversion"/>
  </si>
  <si>
    <t>자본금_1종 우선주</t>
    <phoneticPr fontId="2" type="noConversion"/>
  </si>
  <si>
    <t>주식발행초과금_1종 우선주</t>
    <phoneticPr fontId="2" type="noConversion"/>
  </si>
  <si>
    <t>주식발행초과금_2종 우선주</t>
    <phoneticPr fontId="2" type="noConversion"/>
  </si>
  <si>
    <t>자본금_3종 우선주</t>
    <phoneticPr fontId="2" type="noConversion"/>
  </si>
  <si>
    <t>주식발행초과금_3종 우선주</t>
    <phoneticPr fontId="2" type="noConversion"/>
  </si>
  <si>
    <t>미지급배당금_1종 우선주</t>
    <phoneticPr fontId="2" type="noConversion"/>
  </si>
  <si>
    <t>미지급배당금_2종 우선주</t>
    <phoneticPr fontId="2" type="noConversion"/>
  </si>
  <si>
    <t>미지급배당금_3종 우선주</t>
    <phoneticPr fontId="2" type="noConversion"/>
  </si>
  <si>
    <t>1종 우선주 CF_매각차익 제외</t>
    <phoneticPr fontId="2" type="noConversion"/>
  </si>
  <si>
    <t>1종 우선주 CF_매각차익 포함</t>
    <phoneticPr fontId="2" type="noConversion"/>
  </si>
  <si>
    <t>2종 우선주 CF_매각차익 제외</t>
    <phoneticPr fontId="2" type="noConversion"/>
  </si>
  <si>
    <t>2종 우선주 CF_매각차익 포함</t>
    <phoneticPr fontId="2" type="noConversion"/>
  </si>
  <si>
    <t>3종 우선주 CF_매각차익 제외</t>
    <phoneticPr fontId="2" type="noConversion"/>
  </si>
  <si>
    <t>3종 우선주 CF_매각차익 포함</t>
    <phoneticPr fontId="2" type="noConversion"/>
  </si>
  <si>
    <t>Carry 기간</t>
    <phoneticPr fontId="2" type="noConversion"/>
  </si>
  <si>
    <t>Handover</t>
    <phoneticPr fontId="2" type="noConversion"/>
  </si>
  <si>
    <t>증권사 T/C</t>
    <phoneticPr fontId="2" type="noConversion"/>
  </si>
  <si>
    <t>기간 보장수익률</t>
    <phoneticPr fontId="2" type="noConversion"/>
  </si>
  <si>
    <t>Eff. Rent(갱신 후)</t>
    <phoneticPr fontId="2" type="noConversion"/>
  </si>
  <si>
    <t>2개년</t>
    <phoneticPr fontId="2" type="noConversion"/>
  </si>
  <si>
    <t>지급대상액(2종 우선주)</t>
    <phoneticPr fontId="2" type="noConversion"/>
  </si>
  <si>
    <t>DSCR(2종 우선주)</t>
    <phoneticPr fontId="2" type="noConversion"/>
  </si>
  <si>
    <t>보증금 운용수입 제외</t>
    <phoneticPr fontId="2" type="noConversion"/>
  </si>
  <si>
    <t>민감도 적용여부</t>
    <phoneticPr fontId="2" type="noConversion"/>
  </si>
  <si>
    <t>순현금유입</t>
    <phoneticPr fontId="2" type="noConversion"/>
  </si>
  <si>
    <t>공실률</t>
    <phoneticPr fontId="2" type="noConversion"/>
  </si>
  <si>
    <t>보증금상환</t>
    <phoneticPr fontId="2" type="noConversion"/>
  </si>
  <si>
    <t>1종 우선주</t>
  </si>
  <si>
    <t>2종 우선주</t>
  </si>
  <si>
    <t>3종 우선주</t>
  </si>
  <si>
    <t>보통주 원본</t>
    <phoneticPr fontId="2" type="noConversion"/>
  </si>
  <si>
    <t>초과배당보전</t>
    <phoneticPr fontId="2" type="noConversion"/>
  </si>
  <si>
    <t>간주취득세 반영 여부</t>
    <phoneticPr fontId="2" type="noConversion"/>
  </si>
  <si>
    <t>Equity CF_매각차익 제외</t>
    <phoneticPr fontId="2" type="noConversion"/>
  </si>
  <si>
    <t>Equity CF_매각차익 포함</t>
    <phoneticPr fontId="2" type="noConversion"/>
  </si>
  <si>
    <t>Base</t>
  </si>
  <si>
    <t>E.Rent</t>
  </si>
  <si>
    <t>Equity</t>
  </si>
  <si>
    <t>+20bp</t>
  </si>
  <si>
    <t>+40bp</t>
  </si>
  <si>
    <t>+60bp</t>
  </si>
  <si>
    <t>+80bp</t>
  </si>
  <si>
    <t>+100bp</t>
  </si>
  <si>
    <t>Tr. A 금리</t>
  </si>
  <si>
    <t>Tr. B 금리</t>
  </si>
  <si>
    <t>누적 DSCR</t>
  </si>
  <si>
    <t>Tr. A</t>
  </si>
  <si>
    <t>Tr. B</t>
  </si>
  <si>
    <t>운영배당지급</t>
    <phoneticPr fontId="2" type="noConversion"/>
  </si>
  <si>
    <t>영업CF</t>
    <phoneticPr fontId="2" type="noConversion"/>
  </si>
  <si>
    <t>전입배당지급</t>
    <phoneticPr fontId="2" type="noConversion"/>
  </si>
  <si>
    <t>기표</t>
    <phoneticPr fontId="2" type="noConversion"/>
  </si>
  <si>
    <t>24개월후</t>
    <phoneticPr fontId="2" type="noConversion"/>
  </si>
  <si>
    <t>중순위대출</t>
  </si>
  <si>
    <t>재투자</t>
  </si>
  <si>
    <t>자본재조정</t>
    <phoneticPr fontId="2" type="noConversion"/>
  </si>
  <si>
    <t>금리</t>
    <phoneticPr fontId="2" type="noConversion"/>
  </si>
  <si>
    <t>Tr.A</t>
    <phoneticPr fontId="2" type="noConversion"/>
  </si>
  <si>
    <t>Tr.B</t>
    <phoneticPr fontId="2" type="noConversion"/>
  </si>
  <si>
    <t>공실률(갱신 시)</t>
    <phoneticPr fontId="2" type="noConversion"/>
  </si>
  <si>
    <t>시작</t>
    <phoneticPr fontId="2" type="noConversion"/>
  </si>
  <si>
    <t>끝</t>
    <phoneticPr fontId="2" type="noConversion"/>
  </si>
  <si>
    <t>임대료(갱신 시)</t>
    <phoneticPr fontId="2" type="noConversion"/>
  </si>
  <si>
    <t>Rent Roll</t>
    <phoneticPr fontId="5" type="noConversion"/>
  </si>
  <si>
    <r>
      <rPr>
        <b/>
        <sz val="11"/>
        <color rgb="FFFFFFFF"/>
        <rFont val="맑은 고딕"/>
        <family val="2"/>
        <charset val="129"/>
      </rPr>
      <t>동</t>
    </r>
    <r>
      <rPr>
        <b/>
        <sz val="11"/>
        <color indexed="9"/>
        <rFont val="Arial"/>
        <family val="2"/>
      </rPr>
      <t xml:space="preserve">
Building</t>
    </r>
    <phoneticPr fontId="5" type="noConversion"/>
  </si>
  <si>
    <r>
      <rPr>
        <b/>
        <sz val="11"/>
        <color rgb="FFFFFFFF"/>
        <rFont val="맑은 고딕"/>
        <family val="2"/>
        <charset val="129"/>
      </rPr>
      <t>층</t>
    </r>
    <r>
      <rPr>
        <b/>
        <sz val="11"/>
        <color indexed="9"/>
        <rFont val="Arial"/>
        <family val="2"/>
      </rPr>
      <t xml:space="preserve">
Floor</t>
    </r>
    <phoneticPr fontId="5" type="noConversion"/>
  </si>
  <si>
    <r>
      <rPr>
        <b/>
        <sz val="11"/>
        <color rgb="FFFFFFFF"/>
        <rFont val="맑은 고딕"/>
        <family val="2"/>
        <charset val="129"/>
      </rPr>
      <t xml:space="preserve">임차인 
</t>
    </r>
    <r>
      <rPr>
        <b/>
        <sz val="11"/>
        <color indexed="9"/>
        <rFont val="Arial"/>
        <family val="2"/>
      </rPr>
      <t>Tenant</t>
    </r>
    <phoneticPr fontId="5" type="noConversion"/>
  </si>
  <si>
    <r>
      <rPr>
        <b/>
        <sz val="11"/>
        <color rgb="FFFFFFFF"/>
        <rFont val="맑은 고딕"/>
        <family val="2"/>
        <charset val="129"/>
      </rPr>
      <t xml:space="preserve">구분 
</t>
    </r>
    <r>
      <rPr>
        <b/>
        <sz val="11"/>
        <color indexed="9"/>
        <rFont val="Arial"/>
        <family val="2"/>
      </rPr>
      <t>Type</t>
    </r>
    <phoneticPr fontId="5" type="noConversion"/>
  </si>
  <si>
    <r>
      <rPr>
        <b/>
        <sz val="11"/>
        <color theme="0"/>
        <rFont val="맑은 고딕"/>
        <family val="2"/>
        <charset val="129"/>
      </rPr>
      <t xml:space="preserve">임대면적 
</t>
    </r>
    <r>
      <rPr>
        <b/>
        <sz val="11"/>
        <color theme="0"/>
        <rFont val="Arial"/>
        <family val="2"/>
      </rPr>
      <t>GLA</t>
    </r>
    <phoneticPr fontId="27" type="noConversion"/>
  </si>
  <si>
    <r>
      <rPr>
        <b/>
        <sz val="11"/>
        <color rgb="FFFFFFFF"/>
        <rFont val="맑은 고딕"/>
        <family val="2"/>
        <charset val="129"/>
      </rPr>
      <t xml:space="preserve">임대기간 
</t>
    </r>
    <r>
      <rPr>
        <b/>
        <sz val="11"/>
        <color indexed="9"/>
        <rFont val="Arial"/>
        <family val="2"/>
      </rPr>
      <t>Lease Period</t>
    </r>
    <phoneticPr fontId="5" type="noConversion"/>
  </si>
  <si>
    <r>
      <rPr>
        <b/>
        <sz val="11"/>
        <color rgb="FFFFFFFF"/>
        <rFont val="맑은 고딕"/>
        <family val="2"/>
        <charset val="129"/>
      </rPr>
      <t xml:space="preserve">보증금 (원)
</t>
    </r>
    <r>
      <rPr>
        <b/>
        <sz val="11"/>
        <color indexed="9"/>
        <rFont val="Arial"/>
        <family val="2"/>
      </rPr>
      <t>Security Deposit (KRW)</t>
    </r>
    <phoneticPr fontId="5" type="noConversion"/>
  </si>
  <si>
    <r>
      <rPr>
        <b/>
        <sz val="11"/>
        <color rgb="FFFFFFFF"/>
        <rFont val="맑은 고딕"/>
        <family val="2"/>
        <charset val="129"/>
      </rPr>
      <t xml:space="preserve">월 임대료 (원)
</t>
    </r>
    <r>
      <rPr>
        <b/>
        <sz val="11"/>
        <color indexed="9"/>
        <rFont val="Arial"/>
        <family val="2"/>
      </rPr>
      <t>Monthly Rent (KRW)</t>
    </r>
    <phoneticPr fontId="5" type="noConversion"/>
  </si>
  <si>
    <r>
      <rPr>
        <b/>
        <sz val="11"/>
        <color rgb="FFFFFFFF"/>
        <rFont val="맑은 고딕"/>
        <family val="2"/>
        <charset val="129"/>
      </rPr>
      <t xml:space="preserve">월 관리비 (원)
Monthly </t>
    </r>
    <r>
      <rPr>
        <b/>
        <sz val="11"/>
        <color indexed="9"/>
        <rFont val="Arial"/>
        <family val="2"/>
      </rPr>
      <t>CAM (KRW)</t>
    </r>
    <phoneticPr fontId="5" type="noConversion"/>
  </si>
  <si>
    <r>
      <rPr>
        <b/>
        <sz val="11"/>
        <color rgb="FFFFFFFF"/>
        <rFont val="맑은 고딕"/>
        <family val="2"/>
        <charset val="129"/>
      </rPr>
      <t xml:space="preserve">임대료 인상률 
</t>
    </r>
    <r>
      <rPr>
        <b/>
        <sz val="11"/>
        <color indexed="9"/>
        <rFont val="Arial"/>
        <family val="2"/>
      </rPr>
      <t>Rent Escalation</t>
    </r>
    <phoneticPr fontId="5" type="noConversion"/>
  </si>
  <si>
    <r>
      <rPr>
        <b/>
        <sz val="11"/>
        <color rgb="FFFFFFFF"/>
        <rFont val="맑은 고딕"/>
        <family val="2"/>
        <charset val="129"/>
      </rPr>
      <t xml:space="preserve">관리비 인상률 
</t>
    </r>
    <r>
      <rPr>
        <b/>
        <sz val="11"/>
        <color indexed="9"/>
        <rFont val="Arial"/>
        <family val="2"/>
      </rPr>
      <t>CAM Escalation</t>
    </r>
    <phoneticPr fontId="5" type="noConversion"/>
  </si>
  <si>
    <t>Rent Free</t>
    <phoneticPr fontId="5" type="noConversion"/>
  </si>
  <si>
    <t>sqm</t>
    <phoneticPr fontId="27" type="noConversion"/>
  </si>
  <si>
    <r>
      <rPr>
        <b/>
        <sz val="10"/>
        <color rgb="FFFFFFFF"/>
        <rFont val="맑은 고딕"/>
        <family val="2"/>
        <charset val="129"/>
      </rPr>
      <t>시작일</t>
    </r>
    <r>
      <rPr>
        <b/>
        <sz val="10"/>
        <color indexed="9"/>
        <rFont val="Arial"/>
        <family val="2"/>
      </rPr>
      <t xml:space="preserve">
Start Date</t>
    </r>
    <phoneticPr fontId="5" type="noConversion"/>
  </si>
  <si>
    <r>
      <rPr>
        <b/>
        <sz val="10"/>
        <color rgb="FFFFFFFF"/>
        <rFont val="맑은 고딕"/>
        <family val="2"/>
        <charset val="129"/>
      </rPr>
      <t>만료일</t>
    </r>
    <r>
      <rPr>
        <b/>
        <sz val="10"/>
        <color indexed="9"/>
        <rFont val="Arial"/>
        <family val="2"/>
      </rPr>
      <t xml:space="preserve">
End Date</t>
    </r>
    <phoneticPr fontId="5" type="noConversion"/>
  </si>
  <si>
    <r>
      <rPr>
        <b/>
        <sz val="10"/>
        <color rgb="FFFFFFFF"/>
        <rFont val="맑은 고딕"/>
        <family val="2"/>
        <charset val="129"/>
      </rPr>
      <t xml:space="preserve">잔여 임대차 기간 (연)
</t>
    </r>
    <r>
      <rPr>
        <b/>
        <sz val="10"/>
        <color rgb="FFFFFFFF"/>
        <rFont val="Arial"/>
        <family val="2"/>
      </rPr>
      <t>Remaining Lease Term (Year)</t>
    </r>
    <phoneticPr fontId="5" type="noConversion"/>
  </si>
  <si>
    <t>/py</t>
  </si>
  <si>
    <t>/sqm</t>
  </si>
  <si>
    <t>/py</t>
    <phoneticPr fontId="5" type="noConversion"/>
  </si>
  <si>
    <t>/sqm</t>
    <phoneticPr fontId="5" type="noConversion"/>
  </si>
  <si>
    <t>Total</t>
    <phoneticPr fontId="5" type="noConversion"/>
  </si>
  <si>
    <t>Rate</t>
  </si>
  <si>
    <t>Term</t>
  </si>
  <si>
    <t>Upcoming</t>
  </si>
  <si>
    <t>Rate</t>
    <phoneticPr fontId="5" type="noConversion"/>
  </si>
  <si>
    <t>Term</t>
    <phoneticPr fontId="5" type="noConversion"/>
  </si>
  <si>
    <t>Upcoming</t>
    <phoneticPr fontId="5" type="noConversion"/>
  </si>
  <si>
    <t>Months</t>
  </si>
  <si>
    <t>Main</t>
    <phoneticPr fontId="5" type="noConversion"/>
  </si>
  <si>
    <r>
      <rPr>
        <sz val="9"/>
        <rFont val="맑은 고딕"/>
        <family val="2"/>
        <charset val="129"/>
      </rPr>
      <t xml:space="preserve">키즈밀
</t>
    </r>
    <r>
      <rPr>
        <sz val="9"/>
        <rFont val="Arial"/>
        <family val="2"/>
      </rPr>
      <t>KIZMEAL</t>
    </r>
    <phoneticPr fontId="5" type="noConversion"/>
  </si>
  <si>
    <t>Office
Dry
Retail</t>
    <phoneticPr fontId="5" type="noConversion"/>
  </si>
  <si>
    <t>Every 1 year</t>
  </si>
  <si>
    <r>
      <rPr>
        <sz val="11"/>
        <color theme="1"/>
        <rFont val="맑은 고딕"/>
        <family val="2"/>
        <charset val="129"/>
      </rPr>
      <t xml:space="preserve">쿠팡
</t>
    </r>
    <r>
      <rPr>
        <sz val="11"/>
        <color theme="1"/>
        <rFont val="Arial"/>
        <family val="2"/>
      </rPr>
      <t>Coupang</t>
    </r>
    <phoneticPr fontId="5" type="noConversion"/>
  </si>
  <si>
    <t>Dry</t>
    <phoneticPr fontId="5" type="noConversion"/>
  </si>
  <si>
    <t>Vacant</t>
    <phoneticPr fontId="5" type="noConversion"/>
  </si>
  <si>
    <t>-</t>
    <phoneticPr fontId="5" type="noConversion"/>
  </si>
  <si>
    <t>Office</t>
    <phoneticPr fontId="5" type="noConversion"/>
  </si>
  <si>
    <r>
      <rPr>
        <sz val="11"/>
        <color theme="1"/>
        <rFont val="맑은 고딕"/>
        <family val="2"/>
        <charset val="129"/>
      </rPr>
      <t xml:space="preserve">농심
</t>
    </r>
    <r>
      <rPr>
        <sz val="11"/>
        <color theme="1"/>
        <rFont val="Arial"/>
        <family val="2"/>
      </rPr>
      <t>Nongshim</t>
    </r>
    <phoneticPr fontId="5" type="noConversion"/>
  </si>
  <si>
    <t>지오영
Geo-Young</t>
    <phoneticPr fontId="5" type="noConversion"/>
  </si>
  <si>
    <t>용마로지스
Yongma Logis</t>
    <phoneticPr fontId="5" type="noConversion"/>
  </si>
  <si>
    <r>
      <rPr>
        <sz val="11"/>
        <color theme="1"/>
        <rFont val="맑은 고딕"/>
        <family val="2"/>
        <charset val="129"/>
      </rPr>
      <t xml:space="preserve">아이팜
</t>
    </r>
    <r>
      <rPr>
        <sz val="11"/>
        <color theme="1"/>
        <rFont val="Arial"/>
        <family val="2"/>
      </rPr>
      <t>IFAM</t>
    </r>
    <phoneticPr fontId="5" type="noConversion"/>
  </si>
  <si>
    <t>Retail</t>
    <phoneticPr fontId="5" type="noConversion"/>
  </si>
  <si>
    <t>B1</t>
    <phoneticPr fontId="5" type="noConversion"/>
  </si>
  <si>
    <r>
      <rPr>
        <sz val="11"/>
        <color theme="1"/>
        <rFont val="맑은 고딕"/>
        <family val="2"/>
        <charset val="129"/>
      </rPr>
      <t>쿠팡</t>
    </r>
    <r>
      <rPr>
        <sz val="11"/>
        <color theme="1"/>
        <rFont val="Arial"/>
        <family val="2"/>
      </rPr>
      <t xml:space="preserve">
Coupang</t>
    </r>
    <phoneticPr fontId="5" type="noConversion"/>
  </si>
  <si>
    <t>B2</t>
    <phoneticPr fontId="5" type="noConversion"/>
  </si>
  <si>
    <t>쿠팡
Coupang</t>
    <phoneticPr fontId="5" type="noConversion"/>
  </si>
  <si>
    <t>Total</t>
    <phoneticPr fontId="27" type="noConversion"/>
  </si>
  <si>
    <t>용도</t>
  </si>
  <si>
    <t>Rent-Roll</t>
  </si>
  <si>
    <t>금리민감도</t>
    <phoneticPr fontId="2" type="noConversion"/>
  </si>
  <si>
    <t>임대료 민감도</t>
    <phoneticPr fontId="2" type="noConversion"/>
  </si>
  <si>
    <t>(연장)재계약_현재시점(`29.08)</t>
    <phoneticPr fontId="2" type="noConversion"/>
  </si>
  <si>
    <t>(현)계약_현재시점 기준</t>
    <phoneticPr fontId="2" type="noConversion"/>
  </si>
  <si>
    <t xml:space="preserve">  </t>
    <phoneticPr fontId="2" type="noConversion"/>
  </si>
  <si>
    <t xml:space="preserve">구분 </t>
  </si>
  <si>
    <t xml:space="preserve">영업수익 </t>
  </si>
  <si>
    <r>
      <t>임대수익</t>
    </r>
    <r>
      <rPr>
        <b/>
        <vertAlign val="superscript"/>
        <sz val="9"/>
        <color rgb="FF000000"/>
        <rFont val="맑은 고딕"/>
        <family val="3"/>
        <charset val="129"/>
        <scheme val="minor"/>
      </rPr>
      <t>주1)</t>
    </r>
    <r>
      <rPr>
        <b/>
        <sz val="9"/>
        <color rgb="FF000000"/>
        <rFont val="맑은 고딕"/>
        <family val="3"/>
        <charset val="129"/>
        <scheme val="minor"/>
      </rPr>
      <t xml:space="preserve"> </t>
    </r>
  </si>
  <si>
    <t xml:space="preserve">관리수익 </t>
  </si>
  <si>
    <t xml:space="preserve">기타수익 </t>
  </si>
  <si>
    <t>영업비용</t>
  </si>
  <si>
    <t>임원급여</t>
  </si>
  <si>
    <t>감가상각비</t>
  </si>
  <si>
    <t>수선비</t>
  </si>
  <si>
    <t>지급수수료</t>
  </si>
  <si>
    <t>자금관리수수료</t>
  </si>
  <si>
    <t>임대중개수수료</t>
  </si>
  <si>
    <t>부동산관리수수료</t>
  </si>
  <si>
    <t>기타예비비</t>
  </si>
  <si>
    <t>영업이익(A)</t>
    <phoneticPr fontId="2" type="noConversion"/>
  </si>
  <si>
    <t>영업외수익</t>
  </si>
  <si>
    <t>감가상각비(B)</t>
  </si>
  <si>
    <t>T.I(C)</t>
  </si>
  <si>
    <t>이자지급가능액(d=A+B+C)</t>
    <phoneticPr fontId="2" type="noConversion"/>
  </si>
  <si>
    <t>이자상환액(E)</t>
  </si>
  <si>
    <t>주1) 렌트프리 반영된 임대수익으로 1월(쿠팡:2F) 및 4월(쿠팡:B1,B2) 주요 렌트프리 발생</t>
  </si>
  <si>
    <t>주2) 단순 DSCR = D / E</t>
  </si>
  <si>
    <t>우리 DSCR Index</t>
    <phoneticPr fontId="2" type="noConversion"/>
  </si>
  <si>
    <t>이자지급주기</t>
    <phoneticPr fontId="2" type="noConversion"/>
  </si>
  <si>
    <t>32~35</t>
    <phoneticPr fontId="2" type="noConversion"/>
  </si>
  <si>
    <t>39,40</t>
    <phoneticPr fontId="2" type="noConversion"/>
  </si>
  <si>
    <t>27,28</t>
    <phoneticPr fontId="2" type="noConversion"/>
  </si>
  <si>
    <t>중순위 포함</t>
  </si>
  <si>
    <t>중순위 포함</t>
    <phoneticPr fontId="2" type="noConversion"/>
  </si>
  <si>
    <t xml:space="preserve">주3) 누적 DSCR = (D + 기초현금) / E </t>
    <phoneticPr fontId="2" type="noConversion"/>
  </si>
  <si>
    <t>C</t>
    <phoneticPr fontId="2" type="noConversion"/>
  </si>
  <si>
    <t>공실률민감도(계약기간 관련 없이)</t>
    <phoneticPr fontId="2" type="noConversion"/>
  </si>
  <si>
    <t>단순 DSCR</t>
  </si>
  <si>
    <t>공실률</t>
  </si>
  <si>
    <t>선순위 최소 DSCR</t>
  </si>
  <si>
    <t>선순위 평균 DSCR</t>
  </si>
  <si>
    <t>중순위 최소 DSCR</t>
  </si>
  <si>
    <t>중순위 평균 DSCR</t>
  </si>
  <si>
    <t>최소</t>
  </si>
  <si>
    <t>최소</t>
    <phoneticPr fontId="2" type="noConversion"/>
  </si>
  <si>
    <t>평균</t>
  </si>
  <si>
    <t>단순 DSCR</t>
  </si>
  <si>
    <t>-</t>
  </si>
  <si>
    <r>
      <rPr>
        <b/>
        <sz val="9"/>
        <color rgb="FFFFFFFF"/>
        <rFont val="맑은 고딕"/>
        <family val="2"/>
        <charset val="129"/>
      </rPr>
      <t>동</t>
    </r>
    <r>
      <rPr>
        <b/>
        <sz val="9"/>
        <color indexed="9"/>
        <rFont val="Arial"/>
        <family val="2"/>
      </rPr>
      <t xml:space="preserve">
Building</t>
    </r>
    <phoneticPr fontId="5" type="noConversion"/>
  </si>
  <si>
    <r>
      <rPr>
        <b/>
        <sz val="9"/>
        <color rgb="FFFFFFFF"/>
        <rFont val="맑은 고딕"/>
        <family val="2"/>
        <charset val="129"/>
      </rPr>
      <t>층</t>
    </r>
    <r>
      <rPr>
        <b/>
        <sz val="9"/>
        <color indexed="9"/>
        <rFont val="Arial"/>
        <family val="2"/>
      </rPr>
      <t xml:space="preserve">
Floor</t>
    </r>
    <phoneticPr fontId="5" type="noConversion"/>
  </si>
  <si>
    <r>
      <rPr>
        <b/>
        <sz val="9"/>
        <color rgb="FFFFFFFF"/>
        <rFont val="맑은 고딕"/>
        <family val="2"/>
        <charset val="129"/>
      </rPr>
      <t xml:space="preserve">임차인 
</t>
    </r>
    <r>
      <rPr>
        <b/>
        <sz val="9"/>
        <color indexed="9"/>
        <rFont val="Arial"/>
        <family val="2"/>
      </rPr>
      <t>Tenant</t>
    </r>
    <phoneticPr fontId="5" type="noConversion"/>
  </si>
  <si>
    <r>
      <rPr>
        <b/>
        <sz val="9"/>
        <color rgb="FFFFFFFF"/>
        <rFont val="맑은 고딕"/>
        <family val="2"/>
        <charset val="129"/>
      </rPr>
      <t xml:space="preserve">구분 
</t>
    </r>
    <r>
      <rPr>
        <b/>
        <sz val="9"/>
        <color indexed="9"/>
        <rFont val="Arial"/>
        <family val="2"/>
      </rPr>
      <t>Type</t>
    </r>
    <phoneticPr fontId="5" type="noConversion"/>
  </si>
  <si>
    <r>
      <rPr>
        <b/>
        <sz val="9"/>
        <color theme="0"/>
        <rFont val="맑은 고딕"/>
        <family val="2"/>
        <charset val="129"/>
      </rPr>
      <t xml:space="preserve">임대면적 
</t>
    </r>
    <r>
      <rPr>
        <b/>
        <sz val="9"/>
        <color theme="0"/>
        <rFont val="Arial"/>
        <family val="2"/>
      </rPr>
      <t>GLA</t>
    </r>
    <phoneticPr fontId="27" type="noConversion"/>
  </si>
  <si>
    <r>
      <rPr>
        <b/>
        <sz val="9"/>
        <color rgb="FFFFFFFF"/>
        <rFont val="맑은 고딕"/>
        <family val="2"/>
        <charset val="129"/>
      </rPr>
      <t xml:space="preserve">임대기간 
</t>
    </r>
    <r>
      <rPr>
        <b/>
        <sz val="9"/>
        <color indexed="9"/>
        <rFont val="Arial"/>
        <family val="2"/>
      </rPr>
      <t>Lease Period</t>
    </r>
    <phoneticPr fontId="5" type="noConversion"/>
  </si>
  <si>
    <r>
      <rPr>
        <b/>
        <sz val="9"/>
        <color rgb="FFFFFFFF"/>
        <rFont val="맑은 고딕"/>
        <family val="2"/>
        <charset val="129"/>
      </rPr>
      <t xml:space="preserve">보증금 (원)
</t>
    </r>
    <r>
      <rPr>
        <b/>
        <sz val="9"/>
        <color indexed="9"/>
        <rFont val="Arial"/>
        <family val="2"/>
      </rPr>
      <t>Security Deposit (KRW)</t>
    </r>
    <phoneticPr fontId="5" type="noConversion"/>
  </si>
  <si>
    <r>
      <rPr>
        <b/>
        <sz val="9"/>
        <color rgb="FFFFFFFF"/>
        <rFont val="맑은 고딕"/>
        <family val="2"/>
        <charset val="129"/>
      </rPr>
      <t xml:space="preserve">월 임대료 (원)
</t>
    </r>
    <r>
      <rPr>
        <b/>
        <sz val="9"/>
        <color indexed="9"/>
        <rFont val="Arial"/>
        <family val="2"/>
      </rPr>
      <t>Monthly Rent (KRW)</t>
    </r>
    <phoneticPr fontId="5" type="noConversion"/>
  </si>
  <si>
    <r>
      <rPr>
        <b/>
        <sz val="9"/>
        <color rgb="FFFFFFFF"/>
        <rFont val="맑은 고딕"/>
        <family val="2"/>
        <charset val="129"/>
      </rPr>
      <t xml:space="preserve">월 관리비 (원)
Monthly </t>
    </r>
    <r>
      <rPr>
        <b/>
        <sz val="9"/>
        <color indexed="9"/>
        <rFont val="Arial"/>
        <family val="2"/>
      </rPr>
      <t>CAM (KRW)</t>
    </r>
    <phoneticPr fontId="5" type="noConversion"/>
  </si>
  <si>
    <r>
      <rPr>
        <b/>
        <sz val="9"/>
        <color rgb="FFFFFFFF"/>
        <rFont val="맑은 고딕"/>
        <family val="2"/>
        <charset val="129"/>
      </rPr>
      <t xml:space="preserve">임대료 인상률 
</t>
    </r>
    <r>
      <rPr>
        <b/>
        <sz val="9"/>
        <color indexed="9"/>
        <rFont val="Arial"/>
        <family val="2"/>
      </rPr>
      <t>Rent Escalation</t>
    </r>
    <phoneticPr fontId="5" type="noConversion"/>
  </si>
  <si>
    <r>
      <rPr>
        <b/>
        <sz val="9"/>
        <color rgb="FFFFFFFF"/>
        <rFont val="맑은 고딕"/>
        <family val="2"/>
        <charset val="129"/>
      </rPr>
      <t xml:space="preserve">관리비 인상률 
</t>
    </r>
    <r>
      <rPr>
        <b/>
        <sz val="9"/>
        <color indexed="9"/>
        <rFont val="Arial"/>
        <family val="2"/>
      </rPr>
      <t>CAM Escalation</t>
    </r>
    <phoneticPr fontId="5" type="noConversion"/>
  </si>
  <si>
    <r>
      <rPr>
        <b/>
        <sz val="9"/>
        <color rgb="FFFFFFFF"/>
        <rFont val="맑은 고딕"/>
        <family val="2"/>
        <charset val="129"/>
      </rPr>
      <t>시작일</t>
    </r>
    <r>
      <rPr>
        <b/>
        <sz val="9"/>
        <color indexed="9"/>
        <rFont val="Arial"/>
        <family val="2"/>
      </rPr>
      <t xml:space="preserve">
Start Date</t>
    </r>
    <phoneticPr fontId="5" type="noConversion"/>
  </si>
  <si>
    <r>
      <rPr>
        <b/>
        <sz val="9"/>
        <color rgb="FFFFFFFF"/>
        <rFont val="맑은 고딕"/>
        <family val="2"/>
        <charset val="129"/>
      </rPr>
      <t>만료일</t>
    </r>
    <r>
      <rPr>
        <b/>
        <sz val="9"/>
        <color indexed="9"/>
        <rFont val="Arial"/>
        <family val="2"/>
      </rPr>
      <t xml:space="preserve">
End Date</t>
    </r>
    <phoneticPr fontId="5" type="noConversion"/>
  </si>
  <si>
    <r>
      <rPr>
        <b/>
        <sz val="9"/>
        <color rgb="FFFFFFFF"/>
        <rFont val="맑은 고딕"/>
        <family val="2"/>
        <charset val="129"/>
      </rPr>
      <t xml:space="preserve">잔여 임대차 기간 (연)
</t>
    </r>
    <r>
      <rPr>
        <b/>
        <sz val="9"/>
        <color rgb="FFFFFFFF"/>
        <rFont val="Arial"/>
        <family val="2"/>
      </rPr>
      <t>Remaining Lease Term (Year)</t>
    </r>
    <phoneticPr fontId="5" type="noConversion"/>
  </si>
  <si>
    <r>
      <rPr>
        <sz val="9"/>
        <color theme="1"/>
        <rFont val="맑은 고딕"/>
        <family val="2"/>
        <charset val="129"/>
      </rPr>
      <t xml:space="preserve">쿠팡
</t>
    </r>
    <r>
      <rPr>
        <sz val="9"/>
        <color theme="1"/>
        <rFont val="Arial"/>
        <family val="2"/>
      </rPr>
      <t>Coupang</t>
    </r>
    <phoneticPr fontId="5" type="noConversion"/>
  </si>
  <si>
    <r>
      <rPr>
        <sz val="9"/>
        <color theme="1"/>
        <rFont val="맑은 고딕"/>
        <family val="2"/>
        <charset val="129"/>
      </rPr>
      <t xml:space="preserve">농심
</t>
    </r>
    <r>
      <rPr>
        <sz val="9"/>
        <color theme="1"/>
        <rFont val="Arial"/>
        <family val="2"/>
      </rPr>
      <t>Nongshim</t>
    </r>
    <phoneticPr fontId="5" type="noConversion"/>
  </si>
  <si>
    <r>
      <rPr>
        <sz val="9"/>
        <color theme="1"/>
        <rFont val="맑은 고딕"/>
        <family val="2"/>
        <charset val="129"/>
      </rPr>
      <t xml:space="preserve">아이팜
</t>
    </r>
    <r>
      <rPr>
        <sz val="9"/>
        <color theme="1"/>
        <rFont val="Arial"/>
        <family val="2"/>
      </rPr>
      <t>IFAM</t>
    </r>
    <phoneticPr fontId="5" type="noConversion"/>
  </si>
  <si>
    <r>
      <rPr>
        <sz val="9"/>
        <color theme="1"/>
        <rFont val="맑은 고딕"/>
        <family val="2"/>
        <charset val="129"/>
      </rPr>
      <t>쿠팡</t>
    </r>
    <r>
      <rPr>
        <sz val="9"/>
        <color theme="1"/>
        <rFont val="Arial"/>
        <family val="2"/>
      </rPr>
      <t xml:space="preserve">
Coupang</t>
    </r>
    <phoneticPr fontId="5" type="noConversion"/>
  </si>
  <si>
    <t>※ 5월시점 Rentroll</t>
    <phoneticPr fontId="2" type="noConversion"/>
  </si>
  <si>
    <t>이자상환액_선순위</t>
    <phoneticPr fontId="2" type="noConversion"/>
  </si>
  <si>
    <t>이자상환액_중순위</t>
    <phoneticPr fontId="2" type="noConversion"/>
  </si>
  <si>
    <r>
      <t>단순 DSCR</t>
    </r>
    <r>
      <rPr>
        <b/>
        <vertAlign val="superscript"/>
        <sz val="9"/>
        <color rgb="FF000000"/>
        <rFont val="맑은 고딕"/>
        <family val="3"/>
        <charset val="129"/>
        <scheme val="minor"/>
      </rPr>
      <t>주2)</t>
    </r>
    <r>
      <rPr>
        <b/>
        <sz val="9"/>
        <color rgb="FF000000"/>
        <rFont val="맑은 고딕"/>
        <family val="3"/>
        <charset val="129"/>
        <scheme val="minor"/>
      </rPr>
      <t xml:space="preserve"> _선순위</t>
    </r>
    <phoneticPr fontId="2" type="noConversion"/>
  </si>
  <si>
    <r>
      <t>누적 DSCR</t>
    </r>
    <r>
      <rPr>
        <b/>
        <vertAlign val="superscript"/>
        <sz val="9"/>
        <color rgb="FF000000"/>
        <rFont val="맑은 고딕"/>
        <family val="3"/>
        <charset val="129"/>
        <scheme val="minor"/>
      </rPr>
      <t>주3)</t>
    </r>
    <r>
      <rPr>
        <b/>
        <sz val="9"/>
        <color rgb="FF000000"/>
        <rFont val="맑은 고딕"/>
        <family val="3"/>
        <charset val="129"/>
        <scheme val="minor"/>
      </rPr>
      <t xml:space="preserve"> _선순위</t>
    </r>
    <phoneticPr fontId="2" type="noConversion"/>
  </si>
  <si>
    <r>
      <t>단순 DSCR</t>
    </r>
    <r>
      <rPr>
        <b/>
        <vertAlign val="superscript"/>
        <sz val="9"/>
        <color rgb="FF000000"/>
        <rFont val="맑은 고딕"/>
        <family val="3"/>
        <charset val="129"/>
        <scheme val="minor"/>
      </rPr>
      <t>주2)</t>
    </r>
    <r>
      <rPr>
        <b/>
        <sz val="9"/>
        <color rgb="FF000000"/>
        <rFont val="맑은 고딕"/>
        <family val="3"/>
        <charset val="129"/>
        <scheme val="minor"/>
      </rPr>
      <t xml:space="preserve"> _중순위</t>
    </r>
    <phoneticPr fontId="2" type="noConversion"/>
  </si>
  <si>
    <r>
      <t>누적 DSCR</t>
    </r>
    <r>
      <rPr>
        <b/>
        <vertAlign val="superscript"/>
        <sz val="9"/>
        <color rgb="FF000000"/>
        <rFont val="맑은 고딕"/>
        <family val="3"/>
        <charset val="129"/>
        <scheme val="minor"/>
      </rPr>
      <t>주3)</t>
    </r>
    <r>
      <rPr>
        <b/>
        <sz val="9"/>
        <color rgb="FF000000"/>
        <rFont val="맑은 고딕"/>
        <family val="3"/>
        <charset val="129"/>
        <scheme val="minor"/>
      </rPr>
      <t xml:space="preserve"> _중순위</t>
    </r>
    <phoneticPr fontId="2" type="noConversion"/>
  </si>
  <si>
    <t>누적 DSCR</t>
    <phoneticPr fontId="2" type="noConversion"/>
  </si>
  <si>
    <t>2종 우선주 배당</t>
    <phoneticPr fontId="2" type="noConversion"/>
  </si>
  <si>
    <t>1종 우선주 배당</t>
    <phoneticPr fontId="2" type="noConversion"/>
  </si>
  <si>
    <t>1종 누적 dscr</t>
    <phoneticPr fontId="2" type="noConversion"/>
  </si>
  <si>
    <t>2종 누적 dscr</t>
    <phoneticPr fontId="2" type="noConversion"/>
  </si>
  <si>
    <t>코크렙 안양물류센터 | 선순위대출 1,600억원 금리조건 비교분석 (우리은행 변경제안 1안 vs 2안)</t>
  </si>
  <si>
    <t>대출기간 '26.10 ~ '28.10 (24개월) 기준  |  작성기준일 2026-08-12  |  단위: 백만원, %</t>
  </si>
  <si>
    <r>
      <rPr>
        <sz val="9"/>
        <color rgb="FF404040"/>
        <rFont val="Arial"/>
        <family val="2"/>
      </rPr>
      <t>[</t>
    </r>
    <r>
      <rPr>
        <sz val="9"/>
        <color rgb="FF404040"/>
        <rFont val="Noto Sans CJK SC"/>
        <family val="2"/>
      </rPr>
      <t>범례</t>
    </r>
    <r>
      <rPr>
        <sz val="9"/>
        <color rgb="FF404040"/>
        <rFont val="Arial"/>
        <family val="2"/>
      </rPr>
      <t xml:space="preserve">]  </t>
    </r>
    <r>
      <rPr>
        <sz val="9"/>
        <color rgb="FF404040"/>
        <rFont val="Noto Sans CJK SC"/>
        <family val="2"/>
      </rPr>
      <t xml:space="preserve">파란색 글씨 </t>
    </r>
    <r>
      <rPr>
        <sz val="9"/>
        <color rgb="FF404040"/>
        <rFont val="Arial"/>
        <family val="2"/>
      </rPr>
      <t xml:space="preserve">= </t>
    </r>
    <r>
      <rPr>
        <sz val="9"/>
        <color rgb="FF404040"/>
        <rFont val="Noto Sans CJK SC"/>
        <family val="2"/>
      </rPr>
      <t>입력값</t>
    </r>
    <r>
      <rPr>
        <sz val="9"/>
        <color rgb="FF404040"/>
        <rFont val="Arial"/>
        <family val="2"/>
      </rPr>
      <t>(</t>
    </r>
    <r>
      <rPr>
        <sz val="9"/>
        <color rgb="FF404040"/>
        <rFont val="Noto Sans CJK SC"/>
        <family val="2"/>
      </rPr>
      <t>수정 가능</t>
    </r>
    <r>
      <rPr>
        <sz val="9"/>
        <color rgb="FF404040"/>
        <rFont val="Arial"/>
        <family val="2"/>
      </rPr>
      <t xml:space="preserve">)   /   </t>
    </r>
    <r>
      <rPr>
        <sz val="9"/>
        <color rgb="FF404040"/>
        <rFont val="Noto Sans CJK SC"/>
        <family val="2"/>
      </rPr>
      <t xml:space="preserve">검은색 글씨 </t>
    </r>
    <r>
      <rPr>
        <sz val="9"/>
        <color rgb="FF404040"/>
        <rFont val="Arial"/>
        <family val="2"/>
      </rPr>
      <t xml:space="preserve">= </t>
    </r>
    <r>
      <rPr>
        <sz val="9"/>
        <color rgb="FF404040"/>
        <rFont val="Noto Sans CJK SC"/>
        <family val="2"/>
      </rPr>
      <t xml:space="preserve">수식   </t>
    </r>
    <r>
      <rPr>
        <sz val="9"/>
        <color rgb="FF404040"/>
        <rFont val="Arial"/>
        <family val="2"/>
      </rPr>
      <t xml:space="preserve">/   </t>
    </r>
    <r>
      <rPr>
        <sz val="9"/>
        <color rgb="FF404040"/>
        <rFont val="Noto Sans CJK SC"/>
        <family val="2"/>
      </rPr>
      <t xml:space="preserve">노란색 음영 </t>
    </r>
    <r>
      <rPr>
        <sz val="9"/>
        <color rgb="FF404040"/>
        <rFont val="Arial"/>
        <family val="2"/>
      </rPr>
      <t xml:space="preserve">= </t>
    </r>
    <r>
      <rPr>
        <sz val="9"/>
        <color rgb="FF404040"/>
        <rFont val="Noto Sans CJK SC"/>
        <family val="2"/>
      </rPr>
      <t>핵심 가정</t>
    </r>
  </si>
  <si>
    <t>【1】 기본 전제 및 입력값</t>
  </si>
  <si>
    <t>값</t>
  </si>
  <si>
    <t>단위</t>
  </si>
  <si>
    <t>대출금액 (선순위 Tr.A)</t>
  </si>
  <si>
    <t>백만원</t>
  </si>
  <si>
    <r>
      <rPr>
        <sz val="10"/>
        <rFont val="Arial"/>
        <family val="2"/>
      </rPr>
      <t xml:space="preserve">IM </t>
    </r>
    <r>
      <rPr>
        <sz val="10"/>
        <rFont val="Noto Sans CJK SC"/>
        <family val="2"/>
      </rPr>
      <t>재원조달표 기준</t>
    </r>
  </si>
  <si>
    <t>대출기간</t>
  </si>
  <si>
    <t>개월</t>
  </si>
  <si>
    <t>'26.10 ~ '28.10</t>
  </si>
  <si>
    <t>고정금리 비중 (변경 가능)</t>
  </si>
  <si>
    <t>%</t>
  </si>
  <si>
    <t>제안조건상 최소 50% 이상 필수</t>
  </si>
  <si>
    <t>기존 조건 All-in (100% 고정)</t>
  </si>
  <si>
    <r>
      <rPr>
        <sz val="10"/>
        <rFont val="Arial"/>
        <family val="2"/>
      </rPr>
      <t xml:space="preserve">IM </t>
    </r>
    <r>
      <rPr>
        <sz val="10"/>
        <rFont val="Noto Sans CJK SC"/>
        <family val="2"/>
      </rPr>
      <t xml:space="preserve">가정치 </t>
    </r>
    <r>
      <rPr>
        <sz val="10"/>
        <rFont val="Arial"/>
        <family val="2"/>
      </rPr>
      <t>(</t>
    </r>
    <r>
      <rPr>
        <sz val="10"/>
        <rFont val="Noto Sans CJK SC"/>
        <family val="2"/>
      </rPr>
      <t xml:space="preserve">선순위 </t>
    </r>
    <r>
      <rPr>
        <sz val="10"/>
        <rFont val="Arial"/>
        <family val="2"/>
      </rPr>
      <t>All-in 5.5%)</t>
    </r>
  </si>
  <si>
    <t>리셋주기 차이 (6M vs 3M) 평균 이연기간</t>
  </si>
  <si>
    <r>
      <rPr>
        <sz val="10"/>
        <rFont val="Arial"/>
        <family val="2"/>
      </rPr>
      <t>3M</t>
    </r>
    <r>
      <rPr>
        <sz val="10"/>
        <rFont val="Noto Sans CJK SC"/>
        <family val="2"/>
      </rPr>
      <t xml:space="preserve">리셋 평균이연 </t>
    </r>
    <r>
      <rPr>
        <sz val="10"/>
        <rFont val="Arial"/>
        <family val="2"/>
      </rPr>
      <t>1.5M / 6M</t>
    </r>
    <r>
      <rPr>
        <sz val="10"/>
        <rFont val="Noto Sans CJK SC"/>
        <family val="2"/>
      </rPr>
      <t xml:space="preserve">리셋 평균이연 </t>
    </r>
    <r>
      <rPr>
        <sz val="10"/>
        <rFont val="Arial"/>
        <family val="2"/>
      </rPr>
      <t>3.0M</t>
    </r>
  </si>
  <si>
    <t>【2】 우리은행 변경제안 조건 비교 (실행시점 기준)</t>
  </si>
  <si>
    <t>기존 조건</t>
  </si>
  <si>
    <r>
      <rPr>
        <b/>
        <sz val="10"/>
        <color rgb="FFFFFFFF"/>
        <rFont val="Arial"/>
        <family val="2"/>
      </rPr>
      <t>1</t>
    </r>
    <r>
      <rPr>
        <b/>
        <sz val="10"/>
        <color rgb="FFFFFFFF"/>
        <rFont val="Noto Sans CJK SC"/>
        <family val="2"/>
      </rPr>
      <t xml:space="preserve">안 </t>
    </r>
    <r>
      <rPr>
        <b/>
        <sz val="10"/>
        <color rgb="FFFFFFFF"/>
        <rFont val="Arial"/>
        <family val="2"/>
      </rPr>
      <t>(</t>
    </r>
    <r>
      <rPr>
        <b/>
        <sz val="10"/>
        <color rgb="FFFFFFFF"/>
        <rFont val="Noto Sans CJK SC"/>
        <family val="2"/>
      </rPr>
      <t xml:space="preserve">고정 </t>
    </r>
    <r>
      <rPr>
        <b/>
        <sz val="10"/>
        <color rgb="FFFFFFFF"/>
        <rFont val="Arial"/>
        <family val="2"/>
      </rPr>
      <t>+ 3</t>
    </r>
    <r>
      <rPr>
        <b/>
        <sz val="10"/>
        <color rgb="FFFFFFFF"/>
        <rFont val="Noto Sans CJK SC"/>
        <family val="2"/>
      </rPr>
      <t xml:space="preserve">개월 </t>
    </r>
    <r>
      <rPr>
        <b/>
        <sz val="10"/>
        <color rgb="FFFFFFFF"/>
        <rFont val="Arial"/>
        <family val="2"/>
      </rPr>
      <t>CD)</t>
    </r>
  </si>
  <si>
    <r>
      <rPr>
        <b/>
        <sz val="10"/>
        <color rgb="FFFFFFFF"/>
        <rFont val="Arial"/>
        <family val="2"/>
      </rPr>
      <t>2</t>
    </r>
    <r>
      <rPr>
        <b/>
        <sz val="10"/>
        <color rgb="FFFFFFFF"/>
        <rFont val="Noto Sans CJK SC"/>
        <family val="2"/>
      </rPr>
      <t xml:space="preserve">안 </t>
    </r>
    <r>
      <rPr>
        <b/>
        <sz val="10"/>
        <color rgb="FFFFFFFF"/>
        <rFont val="Arial"/>
        <family val="2"/>
      </rPr>
      <t>(</t>
    </r>
    <r>
      <rPr>
        <b/>
        <sz val="10"/>
        <color rgb="FFFFFFFF"/>
        <rFont val="Noto Sans CJK SC"/>
        <family val="2"/>
      </rPr>
      <t xml:space="preserve">고정 </t>
    </r>
    <r>
      <rPr>
        <b/>
        <sz val="10"/>
        <color rgb="FFFFFFFF"/>
        <rFont val="Arial"/>
        <family val="2"/>
      </rPr>
      <t>+ 6</t>
    </r>
    <r>
      <rPr>
        <b/>
        <sz val="10"/>
        <color rgb="FFFFFFFF"/>
        <rFont val="Noto Sans CJK SC"/>
        <family val="2"/>
      </rPr>
      <t>개월 금융채</t>
    </r>
    <r>
      <rPr>
        <b/>
        <sz val="10"/>
        <color rgb="FFFFFFFF"/>
        <rFont val="Arial"/>
        <family val="2"/>
      </rPr>
      <t>AAA)</t>
    </r>
  </si>
  <si>
    <r>
      <rPr>
        <b/>
        <sz val="10"/>
        <color rgb="FFFFFFFF"/>
        <rFont val="Arial"/>
        <family val="2"/>
      </rPr>
      <t>1</t>
    </r>
    <r>
      <rPr>
        <b/>
        <sz val="10"/>
        <color rgb="FFFFFFFF"/>
        <rFont val="Noto Sans CJK SC"/>
        <family val="2"/>
      </rPr>
      <t xml:space="preserve">안 </t>
    </r>
    <r>
      <rPr>
        <b/>
        <sz val="10"/>
        <color rgb="FFFFFFFF"/>
        <rFont val="Arial"/>
        <family val="2"/>
      </rPr>
      <t>- 2</t>
    </r>
    <r>
      <rPr>
        <b/>
        <sz val="10"/>
        <color rgb="FFFFFFFF"/>
        <rFont val="Noto Sans CJK SC"/>
        <family val="2"/>
      </rPr>
      <t>안</t>
    </r>
  </si>
  <si>
    <t>고정 - All-in 금리</t>
  </si>
  <si>
    <t>고정금리 5.50% → 5.60%로 10bp 인상 제시</t>
  </si>
  <si>
    <t>고정 - 대출금리</t>
  </si>
  <si>
    <t>수수료 제외 순수 대출금리</t>
  </si>
  <si>
    <t>변동 - All-in 금리</t>
  </si>
  <si>
    <r>
      <rPr>
        <i/>
        <sz val="9"/>
        <color rgb="FF808080"/>
        <rFont val="Arial"/>
        <family val="2"/>
      </rPr>
      <t>1</t>
    </r>
    <r>
      <rPr>
        <i/>
        <sz val="9"/>
        <color rgb="FF808080"/>
        <rFont val="Noto Sans CJK SC"/>
        <family val="2"/>
      </rPr>
      <t>안</t>
    </r>
    <r>
      <rPr>
        <i/>
        <sz val="9"/>
        <color rgb="FF808080"/>
        <rFont val="Arial"/>
        <family val="2"/>
      </rPr>
      <t>: 3</t>
    </r>
    <r>
      <rPr>
        <i/>
        <sz val="9"/>
        <color rgb="FF808080"/>
        <rFont val="Noto Sans CJK SC"/>
        <family val="2"/>
      </rPr>
      <t xml:space="preserve">개월 </t>
    </r>
    <r>
      <rPr>
        <i/>
        <sz val="9"/>
        <color rgb="FF808080"/>
        <rFont val="Arial"/>
        <family val="2"/>
      </rPr>
      <t>CD / 2</t>
    </r>
    <r>
      <rPr>
        <i/>
        <sz val="9"/>
        <color rgb="FF808080"/>
        <rFont val="Noto Sans CJK SC"/>
        <family val="2"/>
      </rPr>
      <t>안</t>
    </r>
    <r>
      <rPr>
        <i/>
        <sz val="9"/>
        <color rgb="FF808080"/>
        <rFont val="Arial"/>
        <family val="2"/>
      </rPr>
      <t>: 6</t>
    </r>
    <r>
      <rPr>
        <i/>
        <sz val="9"/>
        <color rgb="FF808080"/>
        <rFont val="Noto Sans CJK SC"/>
        <family val="2"/>
      </rPr>
      <t xml:space="preserve">개월 금융채 </t>
    </r>
    <r>
      <rPr>
        <i/>
        <sz val="9"/>
        <color rgb="FF808080"/>
        <rFont val="Arial"/>
        <family val="2"/>
      </rPr>
      <t>AAA</t>
    </r>
  </si>
  <si>
    <t>변동 - 대출금리</t>
  </si>
  <si>
    <t>지표 레벨 차이 25bp</t>
  </si>
  <si>
    <t>가중평균 All-in 금리</t>
  </si>
  <si>
    <t>고정비중 셀(B9) 변경 시 자동 재계산</t>
  </si>
  <si>
    <t>가중평균 대출금리</t>
  </si>
  <si>
    <t>수수료 제외 기준</t>
  </si>
  <si>
    <t>기존 조건 대비 증감 (bp)</t>
  </si>
  <si>
    <r>
      <rPr>
        <i/>
        <sz val="9"/>
        <color rgb="FF808080"/>
        <rFont val="Arial"/>
        <family val="2"/>
      </rPr>
      <t>(-)</t>
    </r>
    <r>
      <rPr>
        <i/>
        <sz val="9"/>
        <color rgb="FF808080"/>
        <rFont val="Noto Sans CJK SC"/>
        <family val="2"/>
      </rPr>
      <t>는 조달비용 절감</t>
    </r>
  </si>
  <si>
    <t>연간 이자비용</t>
  </si>
  <si>
    <t>대출기간(24개월) 누적 이자비용</t>
  </si>
  <si>
    <t>기존 조건 대비 절감액 (24개월)</t>
  </si>
  <si>
    <t>백만원 / (+)는 절감</t>
  </si>
  <si>
    <t>【3】 손익분기(Break-even) 분석</t>
  </si>
  <si>
    <r>
      <rPr>
        <b/>
        <sz val="10"/>
        <color rgb="FFFFFFFF"/>
        <rFont val="Arial"/>
        <family val="2"/>
      </rPr>
      <t>1</t>
    </r>
    <r>
      <rPr>
        <b/>
        <sz val="10"/>
        <color rgb="FFFFFFFF"/>
        <rFont val="Noto Sans CJK SC"/>
        <family val="2"/>
      </rPr>
      <t xml:space="preserve">안 </t>
    </r>
    <r>
      <rPr>
        <b/>
        <sz val="10"/>
        <color rgb="FFFFFFFF"/>
        <rFont val="Arial"/>
        <family val="2"/>
      </rPr>
      <t>(CD 3M)</t>
    </r>
  </si>
  <si>
    <r>
      <rPr>
        <b/>
        <sz val="10"/>
        <color rgb="FFFFFFFF"/>
        <rFont val="Arial"/>
        <family val="2"/>
      </rPr>
      <t>2</t>
    </r>
    <r>
      <rPr>
        <b/>
        <sz val="10"/>
        <color rgb="FFFFFFFF"/>
        <rFont val="Noto Sans CJK SC"/>
        <family val="2"/>
      </rPr>
      <t xml:space="preserve">안 </t>
    </r>
    <r>
      <rPr>
        <b/>
        <sz val="10"/>
        <color rgb="FFFFFFFF"/>
        <rFont val="Arial"/>
        <family val="2"/>
      </rPr>
      <t>(</t>
    </r>
    <r>
      <rPr>
        <b/>
        <sz val="10"/>
        <color rgb="FFFFFFFF"/>
        <rFont val="Noto Sans CJK SC"/>
        <family val="2"/>
      </rPr>
      <t xml:space="preserve">금융채 </t>
    </r>
    <r>
      <rPr>
        <b/>
        <sz val="10"/>
        <color rgb="FFFFFFFF"/>
        <rFont val="Arial"/>
        <family val="2"/>
      </rPr>
      <t>6M)</t>
    </r>
  </si>
  <si>
    <t>판단</t>
  </si>
  <si>
    <t>고정-변동 금리 갭 (변동금리 상향 버퍼)</t>
  </si>
  <si>
    <r>
      <rPr>
        <sz val="10"/>
        <rFont val="Arial"/>
        <family val="2"/>
      </rPr>
      <t>1</t>
    </r>
    <r>
      <rPr>
        <sz val="10"/>
        <rFont val="Noto Sans CJK SC"/>
        <family val="2"/>
      </rPr>
      <t xml:space="preserve">안이 </t>
    </r>
    <r>
      <rPr>
        <sz val="10"/>
        <rFont val="Arial"/>
        <family val="2"/>
      </rPr>
      <t xml:space="preserve">25bp </t>
    </r>
    <r>
      <rPr>
        <sz val="10"/>
        <rFont val="Noto Sans CJK SC"/>
        <family val="2"/>
      </rPr>
      <t xml:space="preserve">더 두터운 완충력 보유 </t>
    </r>
    <r>
      <rPr>
        <sz val="10"/>
        <rFont val="Arial"/>
        <family val="2"/>
      </rPr>
      <t>(</t>
    </r>
    <r>
      <rPr>
        <sz val="10"/>
        <rFont val="Noto Sans CJK SC"/>
        <family val="2"/>
      </rPr>
      <t>은행 제시 버퍼와 일치</t>
    </r>
    <r>
      <rPr>
        <sz val="10"/>
        <rFont val="Arial"/>
        <family val="2"/>
      </rPr>
      <t>)</t>
    </r>
  </si>
  <si>
    <t>기존 5.50% 초과 시점 (지표 평균 상승폭)</t>
  </si>
  <si>
    <t>지표가 이 폭 이상 상승해야 기존 고정 5.50% 대비 열위로 전환</t>
  </si>
  <si>
    <r>
      <rPr>
        <b/>
        <sz val="10"/>
        <rFont val="Arial"/>
        <family val="2"/>
      </rPr>
      <t>2</t>
    </r>
    <r>
      <rPr>
        <b/>
        <sz val="10"/>
        <rFont val="Noto Sans CJK SC"/>
        <family val="2"/>
      </rPr>
      <t xml:space="preserve">안이 </t>
    </r>
    <r>
      <rPr>
        <b/>
        <sz val="10"/>
        <rFont val="Arial"/>
        <family val="2"/>
      </rPr>
      <t>1</t>
    </r>
    <r>
      <rPr>
        <b/>
        <sz val="10"/>
        <rFont val="Noto Sans CJK SC"/>
        <family val="2"/>
      </rPr>
      <t>안보다 유리해지는 조건</t>
    </r>
  </si>
  <si>
    <t>동일 기준금리를 추종하는 두 지표 간 실현 가능성 낮음</t>
  </si>
  <si>
    <t>기존 5.50%를 유지하는 최대 고정비중</t>
  </si>
  <si>
    <r>
      <rPr>
        <b/>
        <sz val="10"/>
        <rFont val="Arial"/>
        <family val="2"/>
      </rPr>
      <t>★1</t>
    </r>
    <r>
      <rPr>
        <b/>
        <sz val="10"/>
        <rFont val="Noto Sans CJK SC"/>
        <family val="2"/>
      </rPr>
      <t>안은 고정비중을 더 높여도 기존 대비 불리해지지 않음 → 추가 비용 없이 고정 방어력 확보 가능</t>
    </r>
  </si>
  <si>
    <t>【4】 2안의 유일한 구조적 장점 - 6개월 리셋 이연효과의 정량평가</t>
  </si>
  <si>
    <t>이연효과(bp) = 연환산 인상속도 × 리셋 이연기간 차이(1.5개월) ÷ 12  →  2안이 지불하는 지표 레벨차 25bp를 상쇄할 수 있는지 검증</t>
  </si>
  <si>
    <t>기준금리 연환산 인상속도</t>
  </si>
  <si>
    <r>
      <rPr>
        <b/>
        <sz val="10"/>
        <color rgb="FFFFFFFF"/>
        <rFont val="Arial"/>
        <family val="2"/>
      </rPr>
      <t>2</t>
    </r>
    <r>
      <rPr>
        <b/>
        <sz val="10"/>
        <color rgb="FFFFFFFF"/>
        <rFont val="Noto Sans CJK SC"/>
        <family val="2"/>
      </rPr>
      <t xml:space="preserve">안 이연효과 </t>
    </r>
    <r>
      <rPr>
        <b/>
        <sz val="10"/>
        <color rgb="FFFFFFFF"/>
        <rFont val="Arial"/>
        <family val="2"/>
      </rPr>
      <t>(</t>
    </r>
    <r>
      <rPr>
        <b/>
        <sz val="10"/>
        <color rgb="FFFFFFFF"/>
        <rFont val="Noto Sans CJK SC"/>
        <family val="2"/>
      </rPr>
      <t>변동분 기준</t>
    </r>
    <r>
      <rPr>
        <b/>
        <sz val="10"/>
        <color rgb="FFFFFFFF"/>
        <rFont val="Arial"/>
        <family val="2"/>
      </rPr>
      <t>)</t>
    </r>
  </si>
  <si>
    <r>
      <rPr>
        <b/>
        <sz val="10"/>
        <color rgb="FFFFFFFF"/>
        <rFont val="Arial"/>
        <family val="2"/>
      </rPr>
      <t>2</t>
    </r>
    <r>
      <rPr>
        <b/>
        <sz val="10"/>
        <color rgb="FFFFFFFF"/>
        <rFont val="Noto Sans CJK SC"/>
        <family val="2"/>
      </rPr>
      <t>안 지표 레벨 열위</t>
    </r>
  </si>
  <si>
    <t>순효과 (2안 기준)</t>
  </si>
  <si>
    <t>판정</t>
  </si>
  <si>
    <t>컨센서스 (잔여 25bp)</t>
  </si>
  <si>
    <t>상쇄에 필요한 수준</t>
  </si>
  <si>
    <t>→ 연 200bp(8회 연속 인상 수준)의 극단적 인상속도에서만 2안이 상쇄 가능. 컨센서스(연 25bp) 하에서는 이연효과 3bp에 그침</t>
  </si>
  <si>
    <t>【5】 금리 시나리오별 대출기간 평균 가중평균 All-in 비교</t>
  </si>
  <si>
    <t>시나리오</t>
  </si>
  <si>
    <t>지표 평균 상승폭</t>
  </si>
  <si>
    <t>연환산 인상속도</t>
  </si>
  <si>
    <r>
      <rPr>
        <b/>
        <sz val="10"/>
        <color rgb="FFFFFFFF"/>
        <rFont val="Arial"/>
        <family val="2"/>
      </rPr>
      <t>1</t>
    </r>
    <r>
      <rPr>
        <b/>
        <sz val="10"/>
        <color rgb="FFFFFFFF"/>
        <rFont val="Noto Sans CJK SC"/>
        <family val="2"/>
      </rPr>
      <t xml:space="preserve">안 평균 </t>
    </r>
    <r>
      <rPr>
        <b/>
        <sz val="10"/>
        <color rgb="FFFFFFFF"/>
        <rFont val="Arial"/>
        <family val="2"/>
      </rPr>
      <t>All-in</t>
    </r>
  </si>
  <si>
    <r>
      <rPr>
        <b/>
        <sz val="10"/>
        <color rgb="FFFFFFFF"/>
        <rFont val="Arial"/>
        <family val="2"/>
      </rPr>
      <t>2</t>
    </r>
    <r>
      <rPr>
        <b/>
        <sz val="10"/>
        <color rgb="FFFFFFFF"/>
        <rFont val="Noto Sans CJK SC"/>
        <family val="2"/>
      </rPr>
      <t xml:space="preserve">안 평균 </t>
    </r>
    <r>
      <rPr>
        <b/>
        <sz val="10"/>
        <color rgb="FFFFFFFF"/>
        <rFont val="Arial"/>
        <family val="2"/>
      </rPr>
      <t>All-in</t>
    </r>
  </si>
  <si>
    <t>유리한 안</t>
  </si>
  <si>
    <r>
      <rPr>
        <b/>
        <sz val="10"/>
        <color rgb="FFFFFFFF"/>
        <rFont val="Arial"/>
        <family val="2"/>
      </rPr>
      <t>1</t>
    </r>
    <r>
      <rPr>
        <b/>
        <sz val="10"/>
        <color rgb="FFFFFFFF"/>
        <rFont val="Noto Sans CJK SC"/>
        <family val="2"/>
      </rPr>
      <t>안 절감액</t>
    </r>
    <r>
      <rPr>
        <b/>
        <sz val="10"/>
        <color rgb="FFFFFFFF"/>
        <rFont val="Arial"/>
        <family val="2"/>
      </rPr>
      <t>(24M)</t>
    </r>
  </si>
  <si>
    <t>인하 전환 ('27년 조기 인하)</t>
  </si>
  <si>
    <t>컨센서스 - 3.00% 종착 후 동결</t>
  </si>
  <si>
    <t>컨센서스 + ('27년말 인하 지연)</t>
  </si>
  <si>
    <t>추가 인상 (3.25%까지)</t>
  </si>
  <si>
    <t>급격한 인상 (3.50% 이상)</t>
  </si>
  <si>
    <r>
      <rPr>
        <i/>
        <sz val="9"/>
        <color rgb="FF808080"/>
        <rFont val="Arial"/>
        <family val="2"/>
      </rPr>
      <t>* 2</t>
    </r>
    <r>
      <rPr>
        <i/>
        <sz val="9"/>
        <color rgb="FF808080"/>
        <rFont val="Noto Sans CJK SC"/>
        <family val="2"/>
      </rPr>
      <t xml:space="preserve">안은 </t>
    </r>
    <r>
      <rPr>
        <i/>
        <sz val="9"/>
        <color rgb="FF808080"/>
        <rFont val="Arial"/>
        <family val="2"/>
      </rPr>
      <t>6</t>
    </r>
    <r>
      <rPr>
        <i/>
        <sz val="9"/>
        <color rgb="FF808080"/>
        <rFont val="Noto Sans CJK SC"/>
        <family val="2"/>
      </rPr>
      <t xml:space="preserve">개월 리셋 이연효과를 반영한 실효 상승폭 적용  </t>
    </r>
    <r>
      <rPr>
        <i/>
        <sz val="9"/>
        <color rgb="FF808080"/>
        <rFont val="Arial"/>
        <family val="2"/>
      </rPr>
      <t xml:space="preserve">|  </t>
    </r>
    <r>
      <rPr>
        <i/>
        <sz val="9"/>
        <color rgb="FF808080"/>
        <rFont val="Noto Sans CJK SC"/>
        <family val="2"/>
      </rPr>
      <t>절감액 단위</t>
    </r>
    <r>
      <rPr>
        <i/>
        <sz val="9"/>
        <color rgb="FF808080"/>
        <rFont val="Arial"/>
        <family val="2"/>
      </rPr>
      <t xml:space="preserve">: </t>
    </r>
    <r>
      <rPr>
        <i/>
        <sz val="9"/>
        <color rgb="FF808080"/>
        <rFont val="Noto Sans CJK SC"/>
        <family val="2"/>
      </rPr>
      <t xml:space="preserve">백만원 </t>
    </r>
    <r>
      <rPr>
        <i/>
        <sz val="9"/>
        <color rgb="FF808080"/>
        <rFont val="Arial"/>
        <family val="2"/>
      </rPr>
      <t>(</t>
    </r>
    <r>
      <rPr>
        <i/>
        <sz val="9"/>
        <color rgb="FF808080"/>
        <rFont val="Noto Sans CJK SC"/>
        <family val="2"/>
      </rPr>
      <t xml:space="preserve">기존 </t>
    </r>
    <r>
      <rPr>
        <i/>
        <sz val="9"/>
        <color rgb="FF808080"/>
        <rFont val="Arial"/>
        <family val="2"/>
      </rPr>
      <t xml:space="preserve">5.50% </t>
    </r>
    <r>
      <rPr>
        <i/>
        <sz val="9"/>
        <color rgb="FF808080"/>
        <rFont val="Noto Sans CJK SC"/>
        <family val="2"/>
      </rPr>
      <t>대비</t>
    </r>
    <r>
      <rPr>
        <i/>
        <sz val="9"/>
        <color rgb="FF808080"/>
        <rFont val="Arial"/>
        <family val="2"/>
      </rPr>
      <t>)</t>
    </r>
  </si>
  <si>
    <t>【6】 고정비중 민감도 (실행시점 가중평균 All-in)</t>
  </si>
  <si>
    <t>고정 : 변동 비중</t>
  </si>
  <si>
    <r>
      <rPr>
        <b/>
        <sz val="10"/>
        <color rgb="FFFFFFFF"/>
        <rFont val="Arial"/>
        <family val="2"/>
      </rPr>
      <t>1</t>
    </r>
    <r>
      <rPr>
        <b/>
        <sz val="10"/>
        <color rgb="FFFFFFFF"/>
        <rFont val="Noto Sans CJK SC"/>
        <family val="2"/>
      </rPr>
      <t>안 가중평균</t>
    </r>
  </si>
  <si>
    <r>
      <rPr>
        <b/>
        <sz val="10"/>
        <color rgb="FFFFFFFF"/>
        <rFont val="Arial"/>
        <family val="2"/>
      </rPr>
      <t>2</t>
    </r>
    <r>
      <rPr>
        <b/>
        <sz val="10"/>
        <color rgb="FFFFFFFF"/>
        <rFont val="Noto Sans CJK SC"/>
        <family val="2"/>
      </rPr>
      <t>안 가중평균</t>
    </r>
  </si>
  <si>
    <r>
      <rPr>
        <b/>
        <sz val="10"/>
        <color rgb="FFFFFFFF"/>
        <rFont val="Arial"/>
        <family val="2"/>
      </rPr>
      <t>1</t>
    </r>
    <r>
      <rPr>
        <b/>
        <sz val="10"/>
        <color rgb="FFFFFFFF"/>
        <rFont val="Noto Sans CJK SC"/>
        <family val="2"/>
      </rPr>
      <t xml:space="preserve">안 </t>
    </r>
    <r>
      <rPr>
        <b/>
        <sz val="10"/>
        <color rgb="FFFFFFFF"/>
        <rFont val="Arial"/>
        <family val="2"/>
      </rPr>
      <t xml:space="preserve">- </t>
    </r>
    <r>
      <rPr>
        <b/>
        <sz val="10"/>
        <color rgb="FFFFFFFF"/>
        <rFont val="Noto Sans CJK SC"/>
        <family val="2"/>
      </rPr>
      <t>기존</t>
    </r>
  </si>
  <si>
    <r>
      <rPr>
        <b/>
        <sz val="10"/>
        <color rgb="FFFFFFFF"/>
        <rFont val="Arial"/>
        <family val="2"/>
      </rPr>
      <t>2</t>
    </r>
    <r>
      <rPr>
        <b/>
        <sz val="10"/>
        <color rgb="FFFFFFFF"/>
        <rFont val="Noto Sans CJK SC"/>
        <family val="2"/>
      </rPr>
      <t xml:space="preserve">안 </t>
    </r>
    <r>
      <rPr>
        <b/>
        <sz val="10"/>
        <color rgb="FFFFFFFF"/>
        <rFont val="Arial"/>
        <family val="2"/>
      </rPr>
      <t xml:space="preserve">- </t>
    </r>
    <r>
      <rPr>
        <b/>
        <sz val="10"/>
        <color rgb="FFFFFFFF"/>
        <rFont val="Noto Sans CJK SC"/>
        <family val="2"/>
      </rPr>
      <t>기존</t>
    </r>
  </si>
  <si>
    <t>제안 최소 비중</t>
  </si>
  <si>
    <t>인상 리스크 대비 절충안 (권고)</t>
  </si>
  <si>
    <r>
      <rPr>
        <i/>
        <sz val="9"/>
        <color rgb="FF808080"/>
        <rFont val="Arial"/>
        <family val="2"/>
      </rPr>
      <t>1</t>
    </r>
    <r>
      <rPr>
        <i/>
        <sz val="9"/>
        <color rgb="FF808080"/>
        <rFont val="Noto Sans CJK SC"/>
        <family val="2"/>
      </rPr>
      <t>안 손익분기 초과 구간</t>
    </r>
  </si>
  <si>
    <t>【7】 금리 환경 점검 (참고자료)</t>
  </si>
  <si>
    <t>항목</t>
  </si>
  <si>
    <t>현 기준금리</t>
  </si>
  <si>
    <r>
      <rPr>
        <sz val="10"/>
        <rFont val="Arial"/>
        <family val="2"/>
      </rPr>
      <t xml:space="preserve">2.75% ('26.7.16 </t>
    </r>
    <r>
      <rPr>
        <sz val="10"/>
        <rFont val="Noto Sans CJK SC"/>
        <family val="2"/>
      </rPr>
      <t>금통위</t>
    </r>
    <r>
      <rPr>
        <sz val="10"/>
        <rFont val="Arial"/>
        <family val="2"/>
      </rPr>
      <t xml:space="preserve">, 2.50%→2.75% </t>
    </r>
    <r>
      <rPr>
        <sz val="10"/>
        <rFont val="Noto Sans CJK SC"/>
        <family val="2"/>
      </rPr>
      <t xml:space="preserve">만장일치 인상 </t>
    </r>
    <r>
      <rPr>
        <sz val="10"/>
        <rFont val="Arial"/>
        <family val="2"/>
      </rPr>
      <t>/ 2023.1</t>
    </r>
    <r>
      <rPr>
        <sz val="10"/>
        <rFont val="Noto Sans CJK SC"/>
        <family val="2"/>
      </rPr>
      <t xml:space="preserve">월 이후 </t>
    </r>
    <r>
      <rPr>
        <sz val="10"/>
        <rFont val="Arial"/>
        <family val="2"/>
      </rPr>
      <t>3</t>
    </r>
    <r>
      <rPr>
        <sz val="10"/>
        <rFont val="Noto Sans CJK SC"/>
        <family val="2"/>
      </rPr>
      <t xml:space="preserve">년 </t>
    </r>
    <r>
      <rPr>
        <sz val="10"/>
        <rFont val="Arial"/>
        <family val="2"/>
      </rPr>
      <t>6</t>
    </r>
    <r>
      <rPr>
        <sz val="10"/>
        <rFont val="Noto Sans CJK SC"/>
        <family val="2"/>
      </rPr>
      <t>개월 만의 인상</t>
    </r>
    <r>
      <rPr>
        <sz val="10"/>
        <rFont val="Arial"/>
        <family val="2"/>
      </rPr>
      <t>)</t>
    </r>
  </si>
  <si>
    <t>한국은행</t>
  </si>
  <si>
    <r>
      <rPr>
        <b/>
        <sz val="10"/>
        <rFont val="Arial"/>
        <family val="2"/>
      </rPr>
      <t>'26</t>
    </r>
    <r>
      <rPr>
        <b/>
        <sz val="10"/>
        <rFont val="Noto Sans CJK SC"/>
        <family val="2"/>
      </rPr>
      <t>년 금통위 일정</t>
    </r>
  </si>
  <si>
    <r>
      <rPr>
        <sz val="10"/>
        <rFont val="Arial"/>
        <family val="2"/>
      </rPr>
      <t>1/15, 2/26, 4/10, 5/28, 7/16, 8/27, 10/22, 11/26 (</t>
    </r>
    <r>
      <rPr>
        <sz val="10"/>
        <rFont val="Noto Sans CJK SC"/>
        <family val="2"/>
      </rPr>
      <t xml:space="preserve">총 </t>
    </r>
    <r>
      <rPr>
        <sz val="10"/>
        <rFont val="Arial"/>
        <family val="2"/>
      </rPr>
      <t>8</t>
    </r>
    <r>
      <rPr>
        <sz val="10"/>
        <rFont val="Noto Sans CJK SC"/>
        <family val="2"/>
      </rPr>
      <t>회</t>
    </r>
    <r>
      <rPr>
        <sz val="10"/>
        <rFont val="Arial"/>
        <family val="2"/>
      </rPr>
      <t>)</t>
    </r>
  </si>
  <si>
    <t>대출기간 중 잔여 금통위</t>
  </si>
  <si>
    <r>
      <rPr>
        <sz val="10"/>
        <rFont val="Arial"/>
        <family val="2"/>
      </rPr>
      <t>'26</t>
    </r>
    <r>
      <rPr>
        <sz val="10"/>
        <rFont val="Noto Sans CJK SC"/>
        <family val="2"/>
      </rPr>
      <t xml:space="preserve">년 </t>
    </r>
    <r>
      <rPr>
        <sz val="10"/>
        <rFont val="Arial"/>
        <family val="2"/>
      </rPr>
      <t>1</t>
    </r>
    <r>
      <rPr>
        <sz val="10"/>
        <rFont val="Noto Sans CJK SC"/>
        <family val="2"/>
      </rPr>
      <t>회</t>
    </r>
    <r>
      <rPr>
        <sz val="10"/>
        <rFont val="Arial"/>
        <family val="2"/>
      </rPr>
      <t>(11/26) + '27</t>
    </r>
    <r>
      <rPr>
        <sz val="10"/>
        <rFont val="Noto Sans CJK SC"/>
        <family val="2"/>
      </rPr>
      <t xml:space="preserve">년 </t>
    </r>
    <r>
      <rPr>
        <sz val="10"/>
        <rFont val="Arial"/>
        <family val="2"/>
      </rPr>
      <t>8</t>
    </r>
    <r>
      <rPr>
        <sz val="10"/>
        <rFont val="Noto Sans CJK SC"/>
        <family val="2"/>
      </rPr>
      <t xml:space="preserve">회 </t>
    </r>
    <r>
      <rPr>
        <sz val="10"/>
        <rFont val="Arial"/>
        <family val="2"/>
      </rPr>
      <t>+ '28</t>
    </r>
    <r>
      <rPr>
        <sz val="10"/>
        <rFont val="Noto Sans CJK SC"/>
        <family val="2"/>
      </rPr>
      <t xml:space="preserve">년 </t>
    </r>
    <r>
      <rPr>
        <sz val="10"/>
        <rFont val="Arial"/>
        <family val="2"/>
      </rPr>
      <t>1~10</t>
    </r>
    <r>
      <rPr>
        <sz val="10"/>
        <rFont val="Noto Sans CJK SC"/>
        <family val="2"/>
      </rPr>
      <t xml:space="preserve">월 약 </t>
    </r>
    <r>
      <rPr>
        <sz val="10"/>
        <rFont val="Arial"/>
        <family val="2"/>
      </rPr>
      <t>6</t>
    </r>
    <r>
      <rPr>
        <sz val="10"/>
        <rFont val="Noto Sans CJK SC"/>
        <family val="2"/>
      </rPr>
      <t xml:space="preserve">회 </t>
    </r>
    <r>
      <rPr>
        <sz val="10"/>
        <rFont val="Arial"/>
        <family val="2"/>
      </rPr>
      <t xml:space="preserve">= </t>
    </r>
    <r>
      <rPr>
        <sz val="10"/>
        <rFont val="Noto Sans CJK SC"/>
        <family val="2"/>
      </rPr>
      <t xml:space="preserve">총 </t>
    </r>
    <r>
      <rPr>
        <sz val="10"/>
        <rFont val="Arial"/>
        <family val="2"/>
      </rPr>
      <t>15~16</t>
    </r>
    <r>
      <rPr>
        <sz val="10"/>
        <rFont val="Noto Sans CJK SC"/>
        <family val="2"/>
      </rPr>
      <t>회</t>
    </r>
  </si>
  <si>
    <r>
      <rPr>
        <i/>
        <sz val="9"/>
        <color rgb="FF808080"/>
        <rFont val="Arial"/>
        <family val="2"/>
      </rPr>
      <t>'28</t>
    </r>
    <r>
      <rPr>
        <i/>
        <sz val="9"/>
        <color rgb="FF808080"/>
        <rFont val="Noto Sans CJK SC"/>
        <family val="2"/>
      </rPr>
      <t>년 일정 미공표</t>
    </r>
    <r>
      <rPr>
        <i/>
        <sz val="9"/>
        <color rgb="FF808080"/>
        <rFont val="Arial"/>
        <family val="2"/>
      </rPr>
      <t xml:space="preserve">, </t>
    </r>
    <r>
      <rPr>
        <i/>
        <sz val="9"/>
        <color rgb="FF808080"/>
        <rFont val="Noto Sans CJK SC"/>
        <family val="2"/>
      </rPr>
      <t>통상 패턴 기준</t>
    </r>
  </si>
  <si>
    <t>인상 배경</t>
  </si>
  <si>
    <r>
      <rPr>
        <sz val="10"/>
        <rFont val="Arial"/>
        <family val="2"/>
      </rPr>
      <t>6</t>
    </r>
    <r>
      <rPr>
        <sz val="10"/>
        <rFont val="Noto Sans CJK SC"/>
        <family val="2"/>
      </rPr>
      <t xml:space="preserve">월 소비자물가 전년비 </t>
    </r>
    <r>
      <rPr>
        <sz val="10"/>
        <rFont val="Arial"/>
        <family val="2"/>
      </rPr>
      <t>3.2% (2</t>
    </r>
    <r>
      <rPr>
        <sz val="10"/>
        <rFont val="Noto Sans CJK SC"/>
        <family val="2"/>
      </rPr>
      <t xml:space="preserve">개월 연속 </t>
    </r>
    <r>
      <rPr>
        <sz val="10"/>
        <rFont val="Arial"/>
        <family val="2"/>
      </rPr>
      <t>3%</t>
    </r>
    <r>
      <rPr>
        <sz val="10"/>
        <rFont val="Noto Sans CJK SC"/>
        <family val="2"/>
      </rPr>
      <t>대</t>
    </r>
    <r>
      <rPr>
        <sz val="10"/>
        <rFont val="Arial"/>
        <family val="2"/>
      </rPr>
      <t xml:space="preserve">), 2Q GDP </t>
    </r>
    <r>
      <rPr>
        <sz val="10"/>
        <rFont val="Noto Sans CJK SC"/>
        <family val="2"/>
      </rPr>
      <t xml:space="preserve">전기비 </t>
    </r>
    <r>
      <rPr>
        <sz val="10"/>
        <rFont val="Arial"/>
        <family val="2"/>
      </rPr>
      <t>0.6%·</t>
    </r>
    <r>
      <rPr>
        <sz val="10"/>
        <rFont val="Noto Sans CJK SC"/>
        <family val="2"/>
      </rPr>
      <t xml:space="preserve">전년비 </t>
    </r>
    <r>
      <rPr>
        <sz val="10"/>
        <rFont val="Arial"/>
        <family val="2"/>
      </rPr>
      <t xml:space="preserve">3.7% </t>
    </r>
    <r>
      <rPr>
        <sz val="10"/>
        <rFont val="Noto Sans CJK SC"/>
        <family val="2"/>
      </rPr>
      <t>성장</t>
    </r>
  </si>
  <si>
    <t>한국은행, 통계청</t>
  </si>
  <si>
    <t>시장 전망 (증권가)</t>
  </si>
  <si>
    <r>
      <rPr>
        <sz val="10"/>
        <rFont val="Arial"/>
        <family val="2"/>
      </rPr>
      <t>'26</t>
    </r>
    <r>
      <rPr>
        <sz val="10"/>
        <rFont val="Noto Sans CJK SC"/>
        <family val="2"/>
      </rPr>
      <t xml:space="preserve">년말 기준금리 </t>
    </r>
    <r>
      <rPr>
        <sz val="10"/>
        <rFont val="Arial"/>
        <family val="2"/>
      </rPr>
      <t>3.00%, '27</t>
    </r>
    <r>
      <rPr>
        <sz val="10"/>
        <rFont val="Noto Sans CJK SC"/>
        <family val="2"/>
      </rPr>
      <t xml:space="preserve">년말 </t>
    </r>
    <r>
      <rPr>
        <sz val="10"/>
        <rFont val="Arial"/>
        <family val="2"/>
      </rPr>
      <t xml:space="preserve">2.75% → </t>
    </r>
    <r>
      <rPr>
        <sz val="10"/>
        <rFont val="Noto Sans CJK SC"/>
        <family val="2"/>
      </rPr>
      <t xml:space="preserve">잔여 인상폭 </t>
    </r>
    <r>
      <rPr>
        <sz val="10"/>
        <rFont val="Arial"/>
        <family val="2"/>
      </rPr>
      <t xml:space="preserve">25bp </t>
    </r>
    <r>
      <rPr>
        <sz val="10"/>
        <rFont val="Noto Sans CJK SC"/>
        <family val="2"/>
      </rPr>
      <t xml:space="preserve">내외 후 </t>
    </r>
    <r>
      <rPr>
        <sz val="10"/>
        <rFont val="Arial"/>
        <family val="2"/>
      </rPr>
      <t>'27</t>
    </r>
    <r>
      <rPr>
        <sz val="10"/>
        <rFont val="Noto Sans CJK SC"/>
        <family val="2"/>
      </rPr>
      <t>년 인하 전환</t>
    </r>
  </si>
  <si>
    <r>
      <rPr>
        <i/>
        <sz val="9"/>
        <color rgb="FF808080"/>
        <rFont val="Arial"/>
        <family val="2"/>
      </rPr>
      <t>IBK</t>
    </r>
    <r>
      <rPr>
        <i/>
        <sz val="9"/>
        <color rgb="FF808080"/>
        <rFont val="Noto Sans CJK SC"/>
        <family val="2"/>
      </rPr>
      <t>투자증권 등</t>
    </r>
  </si>
  <si>
    <r>
      <rPr>
        <b/>
        <sz val="10"/>
        <rFont val="Arial"/>
        <family val="2"/>
      </rPr>
      <t>CD 91</t>
    </r>
    <r>
      <rPr>
        <b/>
        <sz val="10"/>
        <rFont val="Noto Sans CJK SC"/>
        <family val="2"/>
      </rPr>
      <t>일물</t>
    </r>
  </si>
  <si>
    <t>2.95% ('26.7.31)</t>
  </si>
  <si>
    <r>
      <rPr>
        <i/>
        <sz val="9"/>
        <color rgb="FF808080"/>
        <rFont val="Arial"/>
        <family val="2"/>
      </rPr>
      <t>1</t>
    </r>
    <r>
      <rPr>
        <i/>
        <sz val="9"/>
        <color rgb="FF808080"/>
        <rFont val="Noto Sans CJK SC"/>
        <family val="2"/>
      </rPr>
      <t xml:space="preserve">안 가산금리 역산 약 </t>
    </r>
    <r>
      <rPr>
        <i/>
        <sz val="9"/>
        <color rgb="FF808080"/>
        <rFont val="Arial"/>
        <family val="2"/>
      </rPr>
      <t>1.35%p</t>
    </r>
  </si>
  <si>
    <t>통안 2Y / 국고 3Y</t>
  </si>
  <si>
    <t>3.67% / 3.76% ('26.7.31)</t>
  </si>
  <si>
    <t>국고3Y가 기준금리 100bp 상회 → 인상 상당부분 선반영</t>
  </si>
  <si>
    <t>은행채 6M AAA</t>
  </si>
  <si>
    <r>
      <rPr>
        <sz val="10"/>
        <rFont val="Arial"/>
        <family val="2"/>
      </rPr>
      <t>[</t>
    </r>
    <r>
      <rPr>
        <sz val="10"/>
        <rFont val="Noto Sans CJK SC"/>
        <family val="2"/>
      </rPr>
      <t>실제 호가 확인 필요</t>
    </r>
    <r>
      <rPr>
        <sz val="10"/>
        <rFont val="Arial"/>
        <family val="2"/>
      </rPr>
      <t>]</t>
    </r>
  </si>
  <si>
    <r>
      <rPr>
        <i/>
        <sz val="9"/>
        <color rgb="FF808080"/>
        <rFont val="Arial"/>
        <family val="2"/>
      </rPr>
      <t>★2</t>
    </r>
    <r>
      <rPr>
        <i/>
        <sz val="9"/>
        <color rgb="FF808080"/>
        <rFont val="Noto Sans CJK SC"/>
        <family val="2"/>
      </rPr>
      <t xml:space="preserve">안 검증의 핵심 변수 </t>
    </r>
    <r>
      <rPr>
        <i/>
        <sz val="9"/>
        <color rgb="FF808080"/>
        <rFont val="Arial"/>
        <family val="2"/>
      </rPr>
      <t xml:space="preserve">- </t>
    </r>
    <r>
      <rPr>
        <i/>
        <sz val="9"/>
        <color rgb="FF808080"/>
        <rFont val="Noto Sans CJK SC"/>
        <family val="2"/>
      </rPr>
      <t>우리은행에 산정근거 요청 필요</t>
    </r>
  </si>
  <si>
    <t>【8】 리츠 재무구조 영향 (1안 채택 시, IM 가정 대비)</t>
  </si>
  <si>
    <r>
      <rPr>
        <b/>
        <sz val="10"/>
        <color rgb="FFFFFFFF"/>
        <rFont val="Arial"/>
        <family val="2"/>
      </rPr>
      <t xml:space="preserve">IM </t>
    </r>
    <r>
      <rPr>
        <b/>
        <sz val="10"/>
        <color rgb="FFFFFFFF"/>
        <rFont val="Noto Sans CJK SC"/>
        <family val="2"/>
      </rPr>
      <t xml:space="preserve">가정 </t>
    </r>
    <r>
      <rPr>
        <b/>
        <sz val="10"/>
        <color rgb="FFFFFFFF"/>
        <rFont val="Arial"/>
        <family val="2"/>
      </rPr>
      <t>(5.50%)</t>
    </r>
  </si>
  <si>
    <r>
      <rPr>
        <b/>
        <sz val="10"/>
        <color rgb="FFFFFFFF"/>
        <rFont val="Arial"/>
        <family val="2"/>
      </rPr>
      <t>1</t>
    </r>
    <r>
      <rPr>
        <b/>
        <sz val="10"/>
        <color rgb="FFFFFFFF"/>
        <rFont val="Noto Sans CJK SC"/>
        <family val="2"/>
      </rPr>
      <t xml:space="preserve">안 </t>
    </r>
    <r>
      <rPr>
        <b/>
        <sz val="10"/>
        <color rgb="FFFFFFFF"/>
        <rFont val="Arial"/>
        <family val="2"/>
      </rPr>
      <t>(5.25%)</t>
    </r>
  </si>
  <si>
    <t>개선폭</t>
  </si>
  <si>
    <t>선순위 All-in 금리</t>
  </si>
  <si>
    <r>
      <rPr>
        <i/>
        <sz val="9"/>
        <color rgb="FF808080"/>
        <rFont val="Arial"/>
        <family val="2"/>
      </rPr>
      <t xml:space="preserve">IM p.18 </t>
    </r>
    <r>
      <rPr>
        <i/>
        <sz val="9"/>
        <color rgb="FF808080"/>
        <rFont val="Noto Sans CJK SC"/>
        <family val="2"/>
      </rPr>
      <t>재원조달 가정</t>
    </r>
  </si>
  <si>
    <t>연간 이자비용 (백만원)</t>
  </si>
  <si>
    <t>연 약 4억원 절감</t>
  </si>
  <si>
    <r>
      <rPr>
        <b/>
        <sz val="10"/>
        <rFont val="Arial"/>
        <family val="2"/>
      </rPr>
      <t xml:space="preserve">Tr.A </t>
    </r>
    <r>
      <rPr>
        <b/>
        <sz val="10"/>
        <rFont val="Noto Sans CJK SC"/>
        <family val="2"/>
      </rPr>
      <t xml:space="preserve">누적 </t>
    </r>
    <r>
      <rPr>
        <b/>
        <sz val="10"/>
        <rFont val="Arial"/>
        <family val="2"/>
      </rPr>
      <t>DSCR (Carry 24M)</t>
    </r>
  </si>
  <si>
    <t>≈ 2.42</t>
  </si>
  <si>
    <t>+0.11</t>
  </si>
  <si>
    <r>
      <rPr>
        <i/>
        <sz val="9"/>
        <color rgb="FF808080"/>
        <rFont val="Arial"/>
        <family val="2"/>
      </rPr>
      <t xml:space="preserve">IM p.23 </t>
    </r>
    <r>
      <rPr>
        <i/>
        <sz val="9"/>
        <color rgb="FF808080"/>
        <rFont val="Noto Sans CJK SC"/>
        <family val="2"/>
      </rPr>
      <t>민감도표</t>
    </r>
    <r>
      <rPr>
        <i/>
        <sz val="9"/>
        <color rgb="FF808080"/>
        <rFont val="Arial"/>
        <family val="2"/>
      </rPr>
      <t>(+20bp</t>
    </r>
    <r>
      <rPr>
        <i/>
        <sz val="9"/>
        <color rgb="FF808080"/>
        <rFont val="Noto Sans CJK SC"/>
        <family val="2"/>
      </rPr>
      <t xml:space="preserve">당 </t>
    </r>
    <r>
      <rPr>
        <i/>
        <sz val="9"/>
        <color rgb="FF808080"/>
        <rFont val="Arial"/>
        <family val="2"/>
      </rPr>
      <t xml:space="preserve">-0.09) </t>
    </r>
    <r>
      <rPr>
        <i/>
        <sz val="9"/>
        <color rgb="FF808080"/>
        <rFont val="Noto Sans CJK SC"/>
        <family val="2"/>
      </rPr>
      <t>역산</t>
    </r>
  </si>
  <si>
    <r>
      <rPr>
        <b/>
        <sz val="10"/>
        <rFont val="Arial"/>
        <family val="2"/>
      </rPr>
      <t>2</t>
    </r>
    <r>
      <rPr>
        <b/>
        <sz val="10"/>
        <rFont val="Noto Sans CJK SC"/>
        <family val="2"/>
      </rPr>
      <t xml:space="preserve">종 우선주 누적 </t>
    </r>
    <r>
      <rPr>
        <b/>
        <sz val="10"/>
        <rFont val="Arial"/>
        <family val="2"/>
      </rPr>
      <t>DSCR</t>
    </r>
  </si>
  <si>
    <t>≈ 1.34</t>
  </si>
  <si>
    <t>+0.05</t>
  </si>
  <si>
    <r>
      <rPr>
        <i/>
        <sz val="9"/>
        <color rgb="FF808080"/>
        <rFont val="Arial"/>
        <family val="2"/>
      </rPr>
      <t xml:space="preserve">IM p.23 </t>
    </r>
    <r>
      <rPr>
        <i/>
        <sz val="9"/>
        <color rgb="FF808080"/>
        <rFont val="Noto Sans CJK SC"/>
        <family val="2"/>
      </rPr>
      <t>민감도표 역산</t>
    </r>
  </si>
  <si>
    <t>보통주 IRR</t>
  </si>
  <si>
    <t>≈ 13.0%</t>
  </si>
  <si>
    <t>+0.4%p</t>
  </si>
  <si>
    <r>
      <rPr>
        <i/>
        <sz val="9"/>
        <color rgb="FF808080"/>
        <rFont val="Arial"/>
        <family val="2"/>
      </rPr>
      <t xml:space="preserve">IM p.23 </t>
    </r>
    <r>
      <rPr>
        <i/>
        <sz val="9"/>
        <color rgb="FF808080"/>
        <rFont val="Noto Sans CJK SC"/>
        <family val="2"/>
      </rPr>
      <t>금리민감도</t>
    </r>
    <r>
      <rPr>
        <i/>
        <sz val="9"/>
        <color rgb="FF808080"/>
        <rFont val="Arial"/>
        <family val="2"/>
      </rPr>
      <t>(+20bp</t>
    </r>
    <r>
      <rPr>
        <i/>
        <sz val="9"/>
        <color rgb="FF808080"/>
        <rFont val="Noto Sans CJK SC"/>
        <family val="2"/>
      </rPr>
      <t xml:space="preserve">당 </t>
    </r>
    <r>
      <rPr>
        <i/>
        <sz val="9"/>
        <color rgb="FF808080"/>
        <rFont val="Arial"/>
        <family val="2"/>
      </rPr>
      <t xml:space="preserve">-0.3%p) </t>
    </r>
    <r>
      <rPr>
        <i/>
        <sz val="9"/>
        <color rgb="FF808080"/>
        <rFont val="Noto Sans CJK SC"/>
        <family val="2"/>
      </rPr>
      <t>역산</t>
    </r>
  </si>
  <si>
    <t>배당재원 추가 확보 (24M)</t>
  </si>
  <si>
    <t>예비현금 100억의 8% 상당</t>
  </si>
  <si>
    <r>
      <rPr>
        <i/>
        <sz val="9"/>
        <color rgb="FF808080"/>
        <rFont val="Arial"/>
        <family val="2"/>
      </rPr>
      <t xml:space="preserve">FY3 Rent-Free </t>
    </r>
    <r>
      <rPr>
        <i/>
        <sz val="9"/>
        <color rgb="FF808080"/>
        <rFont val="Noto Sans CJK SC"/>
        <family val="2"/>
      </rPr>
      <t>취약구간</t>
    </r>
    <r>
      <rPr>
        <i/>
        <sz val="9"/>
        <color rgb="FF808080"/>
        <rFont val="Arial"/>
        <family val="2"/>
      </rPr>
      <t>(</t>
    </r>
    <r>
      <rPr>
        <i/>
        <sz val="9"/>
        <color rgb="FF808080"/>
        <rFont val="Noto Sans CJK SC"/>
        <family val="2"/>
      </rPr>
      <t xml:space="preserve">선순위 </t>
    </r>
    <r>
      <rPr>
        <i/>
        <sz val="9"/>
        <color rgb="FF808080"/>
        <rFont val="Arial"/>
        <family val="2"/>
      </rPr>
      <t xml:space="preserve">DSCR 0.90) </t>
    </r>
    <r>
      <rPr>
        <i/>
        <sz val="9"/>
        <color rgb="FF808080"/>
        <rFont val="Noto Sans CJK SC"/>
        <family val="2"/>
      </rPr>
      <t>완충</t>
    </r>
  </si>
  <si>
    <t>【9】 결론 및 협상 포인트</t>
  </si>
  <si>
    <t>결론</t>
  </si>
  <si>
    <r>
      <rPr>
        <b/>
        <sz val="10"/>
        <rFont val="Arial"/>
        <family val="2"/>
      </rPr>
      <t>1</t>
    </r>
    <r>
      <rPr>
        <b/>
        <sz val="10"/>
        <rFont val="Noto Sans CJK SC"/>
        <family val="2"/>
      </rPr>
      <t>안</t>
    </r>
    <r>
      <rPr>
        <b/>
        <sz val="10"/>
        <rFont val="Arial"/>
        <family val="2"/>
      </rPr>
      <t>(</t>
    </r>
    <r>
      <rPr>
        <b/>
        <sz val="10"/>
        <rFont val="Noto Sans CJK SC"/>
        <family val="2"/>
      </rPr>
      <t xml:space="preserve">고정 </t>
    </r>
    <r>
      <rPr>
        <b/>
        <sz val="10"/>
        <rFont val="Arial"/>
        <family val="2"/>
      </rPr>
      <t>50% + CD 3</t>
    </r>
    <r>
      <rPr>
        <b/>
        <sz val="10"/>
        <rFont val="Noto Sans CJK SC"/>
        <family val="2"/>
      </rPr>
      <t xml:space="preserve">개월 </t>
    </r>
    <r>
      <rPr>
        <b/>
        <sz val="10"/>
        <rFont val="Arial"/>
        <family val="2"/>
      </rPr>
      <t xml:space="preserve">50%) </t>
    </r>
    <r>
      <rPr>
        <b/>
        <sz val="10"/>
        <rFont val="Noto Sans CJK SC"/>
        <family val="2"/>
      </rPr>
      <t>채택 권고</t>
    </r>
    <r>
      <rPr>
        <b/>
        <sz val="10"/>
        <rFont val="Arial"/>
        <family val="2"/>
      </rPr>
      <t xml:space="preserve">. </t>
    </r>
    <r>
      <rPr>
        <b/>
        <sz val="10"/>
        <rFont val="Noto Sans CJK SC"/>
        <family val="2"/>
      </rPr>
      <t xml:space="preserve">실행시점 가중평균 </t>
    </r>
    <r>
      <rPr>
        <b/>
        <sz val="10"/>
        <rFont val="Arial"/>
        <family val="2"/>
      </rPr>
      <t xml:space="preserve">8bp </t>
    </r>
    <r>
      <rPr>
        <b/>
        <sz val="10"/>
        <rFont val="Noto Sans CJK SC"/>
        <family val="2"/>
      </rPr>
      <t>우위이며</t>
    </r>
    <r>
      <rPr>
        <b/>
        <sz val="10"/>
        <rFont val="Arial"/>
        <family val="2"/>
      </rPr>
      <t>, 2</t>
    </r>
    <r>
      <rPr>
        <b/>
        <sz val="10"/>
        <rFont val="Noto Sans CJK SC"/>
        <family val="2"/>
      </rPr>
      <t xml:space="preserve">안의 유일한 구조적 장점인 </t>
    </r>
    <r>
      <rPr>
        <b/>
        <sz val="10"/>
        <rFont val="Arial"/>
        <family val="2"/>
      </rPr>
      <t>6</t>
    </r>
    <r>
      <rPr>
        <b/>
        <sz val="10"/>
        <rFont val="Noto Sans CJK SC"/>
        <family val="2"/>
      </rPr>
      <t>개월 리셋 이연효과</t>
    </r>
    <r>
      <rPr>
        <b/>
        <sz val="10"/>
        <rFont val="Arial"/>
        <family val="2"/>
      </rPr>
      <t>(</t>
    </r>
    <r>
      <rPr>
        <b/>
        <sz val="10"/>
        <rFont val="Noto Sans CJK SC"/>
        <family val="2"/>
      </rPr>
      <t xml:space="preserve">연 </t>
    </r>
    <r>
      <rPr>
        <b/>
        <sz val="10"/>
        <rFont val="Arial"/>
        <family val="2"/>
      </rPr>
      <t xml:space="preserve">25bp </t>
    </r>
    <r>
      <rPr>
        <b/>
        <sz val="10"/>
        <rFont val="Noto Sans CJK SC"/>
        <family val="2"/>
      </rPr>
      <t xml:space="preserve">인상속도 기준 약 </t>
    </r>
    <r>
      <rPr>
        <b/>
        <sz val="10"/>
        <rFont val="Arial"/>
        <family val="2"/>
      </rPr>
      <t>3bp)</t>
    </r>
    <r>
      <rPr>
        <b/>
        <sz val="10"/>
        <rFont val="Noto Sans CJK SC"/>
        <family val="2"/>
      </rPr>
      <t xml:space="preserve">가 지표 레벨 차이 </t>
    </r>
    <r>
      <rPr>
        <b/>
        <sz val="10"/>
        <rFont val="Arial"/>
        <family val="2"/>
      </rPr>
      <t>25bp</t>
    </r>
    <r>
      <rPr>
        <b/>
        <sz val="10"/>
        <rFont val="Noto Sans CJK SC"/>
        <family val="2"/>
      </rPr>
      <t>를 상쇄하지 못함</t>
    </r>
  </si>
  <si>
    <t>① 고정비중 상향</t>
  </si>
  <si>
    <r>
      <rPr>
        <sz val="10"/>
        <rFont val="Arial"/>
        <family val="2"/>
      </rPr>
      <t>1</t>
    </r>
    <r>
      <rPr>
        <sz val="10"/>
        <rFont val="Noto Sans CJK SC"/>
        <family val="2"/>
      </rPr>
      <t xml:space="preserve">안은 고정비중을 최대 </t>
    </r>
    <r>
      <rPr>
        <sz val="10"/>
        <rFont val="Arial"/>
        <family val="2"/>
      </rPr>
      <t>85.7%</t>
    </r>
    <r>
      <rPr>
        <sz val="10"/>
        <rFont val="Noto Sans CJK SC"/>
        <family val="2"/>
      </rPr>
      <t xml:space="preserve">까지 올려도 기존 </t>
    </r>
    <r>
      <rPr>
        <sz val="10"/>
        <rFont val="Arial"/>
        <family val="2"/>
      </rPr>
      <t>5.50%</t>
    </r>
    <r>
      <rPr>
        <sz val="10"/>
        <rFont val="Noto Sans CJK SC"/>
        <family val="2"/>
      </rPr>
      <t>를 초과하지 않음</t>
    </r>
    <r>
      <rPr>
        <sz val="10"/>
        <rFont val="Arial"/>
        <family val="2"/>
      </rPr>
      <t xml:space="preserve">. </t>
    </r>
    <r>
      <rPr>
        <sz val="10"/>
        <rFont val="Noto Sans CJK SC"/>
        <family val="2"/>
      </rPr>
      <t xml:space="preserve">인상 리스크 부담 시 고정 </t>
    </r>
    <r>
      <rPr>
        <sz val="10"/>
        <rFont val="Arial"/>
        <family val="2"/>
      </rPr>
      <t>65~70%(</t>
    </r>
    <r>
      <rPr>
        <sz val="10"/>
        <rFont val="Noto Sans CJK SC"/>
        <family val="2"/>
      </rPr>
      <t xml:space="preserve">가중평균 </t>
    </r>
    <r>
      <rPr>
        <sz val="10"/>
        <rFont val="Arial"/>
        <family val="2"/>
      </rPr>
      <t xml:space="preserve">5.39%) </t>
    </r>
    <r>
      <rPr>
        <sz val="10"/>
        <rFont val="Noto Sans CJK SC"/>
        <family val="2"/>
      </rPr>
      <t>절충 권고</t>
    </r>
  </si>
  <si>
    <t>② 변동분 CAP 설정</t>
  </si>
  <si>
    <t>변동분 상단을 고정금리 5.60%로 캡핑 → 하방 이익만 취하는 구조 확보</t>
  </si>
  <si>
    <t>③ 기준지표 산정근거 확인</t>
  </si>
  <si>
    <t>은행채 6M AAA 실제 호가 및 산정방식(민평 3사 평균 등) 문서 요청. CD 대비 격차가 10bp 이내면 2안 재검토 필요</t>
  </si>
  <si>
    <t>④ 지표 변동성 차이</t>
  </si>
  <si>
    <t>은행채는 신용경색 국면('22년 하반기 사례)에서 스프레드 급확대 리스크. DSCR 커버넌트 보유 리츠에는 CD의 안정성이 유리</t>
  </si>
  <si>
    <t>⑤ 고정금리 10bp 인상 협상</t>
  </si>
  <si>
    <t>기존 5.50% → 신규 5.60%로 고정 조달원가 상승. 기존 수준 유지 또는 축소 협상 여지 확인</t>
  </si>
  <si>
    <r>
      <rPr>
        <b/>
        <sz val="10"/>
        <rFont val="Arial"/>
        <family val="2"/>
      </rPr>
      <t xml:space="preserve">⑥ '28.10 </t>
    </r>
    <r>
      <rPr>
        <b/>
        <sz val="10"/>
        <rFont val="Noto Sans CJK SC"/>
        <family val="2"/>
      </rPr>
      <t>리파이낸싱 가정 재점검</t>
    </r>
  </si>
  <si>
    <r>
      <rPr>
        <sz val="10"/>
        <rFont val="Arial"/>
        <family val="2"/>
      </rPr>
      <t>IM</t>
    </r>
    <r>
      <rPr>
        <sz val="10"/>
        <rFont val="Noto Sans CJK SC"/>
        <family val="2"/>
      </rPr>
      <t xml:space="preserve">은 </t>
    </r>
    <r>
      <rPr>
        <sz val="10"/>
        <rFont val="Arial"/>
        <family val="2"/>
      </rPr>
      <t>Re-fi</t>
    </r>
    <r>
      <rPr>
        <sz val="10"/>
        <rFont val="Noto Sans CJK SC"/>
        <family val="2"/>
      </rPr>
      <t xml:space="preserve">를 </t>
    </r>
    <r>
      <rPr>
        <sz val="10"/>
        <rFont val="Arial"/>
        <family val="2"/>
      </rPr>
      <t>4.80%(LTV 62%)</t>
    </r>
    <r>
      <rPr>
        <sz val="10"/>
        <rFont val="Noto Sans CJK SC"/>
        <family val="2"/>
      </rPr>
      <t>로 가정하나 현 커브</t>
    </r>
    <r>
      <rPr>
        <sz val="10"/>
        <rFont val="Arial"/>
        <family val="2"/>
      </rPr>
      <t>(</t>
    </r>
    <r>
      <rPr>
        <sz val="10"/>
        <rFont val="Noto Sans CJK SC"/>
        <family val="2"/>
      </rPr>
      <t>국고</t>
    </r>
    <r>
      <rPr>
        <sz val="10"/>
        <rFont val="Arial"/>
        <family val="2"/>
      </rPr>
      <t xml:space="preserve">3Y 3.76%) </t>
    </r>
    <r>
      <rPr>
        <sz val="10"/>
        <rFont val="Noto Sans CJK SC"/>
        <family val="2"/>
      </rPr>
      <t>및 인상 사이클 감안 시 낙관적</t>
    </r>
    <r>
      <rPr>
        <sz val="10"/>
        <rFont val="Arial"/>
        <family val="2"/>
      </rPr>
      <t>. 1</t>
    </r>
    <r>
      <rPr>
        <sz val="10"/>
        <rFont val="Noto Sans CJK SC"/>
        <family val="2"/>
      </rPr>
      <t>안</t>
    </r>
    <r>
      <rPr>
        <sz val="10"/>
        <rFont val="Arial"/>
        <family val="2"/>
      </rPr>
      <t>·2</t>
    </r>
    <r>
      <rPr>
        <sz val="10"/>
        <rFont val="Noto Sans CJK SC"/>
        <family val="2"/>
      </rPr>
      <t xml:space="preserve">안 간 </t>
    </r>
    <r>
      <rPr>
        <sz val="10"/>
        <rFont val="Arial"/>
        <family val="2"/>
      </rPr>
      <t>8bp</t>
    </r>
    <r>
      <rPr>
        <sz val="10"/>
        <rFont val="Noto Sans CJK SC"/>
        <family val="2"/>
      </rPr>
      <t>보다 사업성에 미치는 영향이 훨씬 큼</t>
    </r>
  </si>
  <si>
    <t>※ 본 분석은 2026-08-12 기준 시장금리 및 공개된 전망자료를 반영한 것으로, 실행일 기준 지표 수준 재확인 후 최종 의사결정 필요. 투자·금융 자문이 아니며 참고자료로만 활용 바랍니다.</t>
  </si>
  <si>
    <t>1종우선주</t>
    <phoneticPr fontId="2" type="noConversion"/>
  </si>
  <si>
    <t>2종우선주</t>
    <phoneticPr fontId="2" type="noConversion"/>
  </si>
  <si>
    <t>중순위</t>
    <phoneticPr fontId="2" type="noConversion"/>
  </si>
  <si>
    <t>임대보증금</t>
    <phoneticPr fontId="217" type="noConversion"/>
  </si>
  <si>
    <t>총 투자비</t>
    <phoneticPr fontId="217" type="noConversion"/>
  </si>
  <si>
    <t>자문수수료 등</t>
  </si>
  <si>
    <t>취득부대비용 토지분 매입세액 불공제</t>
    <phoneticPr fontId="217" type="noConversion"/>
  </si>
  <si>
    <t>소유권이전등기 관련</t>
    <phoneticPr fontId="217" type="noConversion"/>
  </si>
  <si>
    <t>소계</t>
  </si>
  <si>
    <t>담보설정비용</t>
  </si>
  <si>
    <t>등록면허세</t>
  </si>
  <si>
    <t>담보차입금 x 120% x 0.24%</t>
    <phoneticPr fontId="217" type="noConversion"/>
  </si>
  <si>
    <t>국민주택채권할인액</t>
  </si>
  <si>
    <t>저당권설정등기 관련</t>
    <phoneticPr fontId="217" type="noConversion"/>
  </si>
  <si>
    <t>담보신탁비</t>
    <phoneticPr fontId="217" type="noConversion"/>
  </si>
  <si>
    <t>취득부대비용 계</t>
  </si>
  <si>
    <t>타인자본</t>
  </si>
  <si>
    <t>자기자본</t>
  </si>
  <si>
    <t>구분</t>
    <phoneticPr fontId="217" type="noConversion"/>
  </si>
  <si>
    <t>계약만료일</t>
    <phoneticPr fontId="217" type="noConversion"/>
  </si>
  <si>
    <t>임대료</t>
    <phoneticPr fontId="217" type="noConversion"/>
  </si>
  <si>
    <t>관리비</t>
    <phoneticPr fontId="217" type="noConversion"/>
  </si>
  <si>
    <t>상승률</t>
    <phoneticPr fontId="217" type="noConversion"/>
  </si>
  <si>
    <t>렌트프리</t>
    <phoneticPr fontId="217" type="noConversion"/>
  </si>
  <si>
    <t>1년차 금액</t>
  </si>
  <si>
    <t>지급시기</t>
  </si>
  <si>
    <t>운영비용 계</t>
  </si>
  <si>
    <t>내용</t>
    <phoneticPr fontId="217" type="noConversion"/>
  </si>
  <si>
    <t>금액</t>
    <phoneticPr fontId="217" type="noConversion"/>
  </si>
  <si>
    <t>합계</t>
    <phoneticPr fontId="217" type="noConversion"/>
  </si>
  <si>
    <t>투자일</t>
    <phoneticPr fontId="217" type="noConversion"/>
  </si>
  <si>
    <t>청산배당 제외</t>
    <phoneticPr fontId="217" type="noConversion"/>
  </si>
  <si>
    <t>청산배당 포함</t>
    <phoneticPr fontId="217" type="noConversion"/>
  </si>
  <si>
    <t>이익분배율(CoC)</t>
    <phoneticPr fontId="217" type="noConversion"/>
  </si>
  <si>
    <t>내부수익률(IRR)</t>
    <phoneticPr fontId="217" type="noConversion"/>
  </si>
  <si>
    <t>자본 전체</t>
    <phoneticPr fontId="217" type="noConversion"/>
  </si>
  <si>
    <t>현금의 변동</t>
  </si>
  <si>
    <t>투자금 납입/상환</t>
    <phoneticPr fontId="217" type="noConversion"/>
  </si>
  <si>
    <t>운영배당수입</t>
    <phoneticPr fontId="217" type="noConversion"/>
  </si>
  <si>
    <t>청산배당수입</t>
    <phoneticPr fontId="217" type="noConversion"/>
  </si>
  <si>
    <t>운영배당수익률</t>
    <phoneticPr fontId="217" type="noConversion"/>
  </si>
  <si>
    <t>투자일</t>
  </si>
  <si>
    <t>합계/평균</t>
    <phoneticPr fontId="217" type="noConversion"/>
  </si>
  <si>
    <t>합계/평균</t>
  </si>
  <si>
    <t>최소</t>
    <phoneticPr fontId="214" type="Hiragana"/>
  </si>
  <si>
    <t>영업이익</t>
  </si>
  <si>
    <t>이자비용</t>
  </si>
  <si>
    <t>대출금액</t>
  </si>
  <si>
    <t>DSCR(A/B)</t>
  </si>
  <si>
    <t>수정사항</t>
    <phoneticPr fontId="217" type="noConversion"/>
  </si>
  <si>
    <t>구분</t>
    <phoneticPr fontId="214" type="Hiragana"/>
  </si>
  <si>
    <t>일자</t>
    <phoneticPr fontId="217" type="noConversion"/>
  </si>
  <si>
    <t>내용</t>
    <phoneticPr fontId="214" type="Hiragana"/>
  </si>
  <si>
    <t>셀 주소</t>
    <phoneticPr fontId="214" type="Hiragana"/>
  </si>
  <si>
    <t>수정내용</t>
    <phoneticPr fontId="214" type="Hiragana"/>
  </si>
  <si>
    <t>금융자문수수료</t>
  </si>
  <si>
    <t>감정평가</t>
  </si>
  <si>
    <t>법률자문</t>
  </si>
  <si>
    <t>재무실사</t>
  </si>
  <si>
    <t>시장실사</t>
  </si>
  <si>
    <t>물리실사</t>
  </si>
  <si>
    <t>대출수수료(*1)</t>
  </si>
  <si>
    <t>기타자문수수료</t>
  </si>
  <si>
    <t>매입자문수수료</t>
  </si>
  <si>
    <t>부가세불공제액 (유형자산)</t>
  </si>
  <si>
    <t>국민주택채권할인액(*2)</t>
  </si>
  <si>
    <t>재산세(토지분)</t>
  </si>
  <si>
    <t>재산세(건물분)</t>
  </si>
  <si>
    <t>N+1 NOI</t>
  </si>
  <si>
    <t>Cap Rate</t>
  </si>
  <si>
    <t>매각시점 보증금</t>
  </si>
  <si>
    <t>매각금액</t>
  </si>
  <si>
    <t>매각현금흐름</t>
  </si>
  <si>
    <t>영업수익</t>
  </si>
  <si>
    <t>영업외손익</t>
  </si>
  <si>
    <t>유형자산처분이익</t>
  </si>
  <si>
    <t>리츠운용비용</t>
  </si>
  <si>
    <t>부동산매입금액</t>
    <phoneticPr fontId="2" type="noConversion"/>
  </si>
  <si>
    <t>취득부대비용</t>
    <phoneticPr fontId="2" type="noConversion"/>
  </si>
  <si>
    <t>금융수수료</t>
    <phoneticPr fontId="217" type="noConversion"/>
  </si>
  <si>
    <t>재원조달 계</t>
    <phoneticPr fontId="2" type="noConversion"/>
  </si>
  <si>
    <t>무배당·무의결 후순위(재투자)</t>
  </si>
  <si>
    <t>잔여배당, C.G 80%</t>
  </si>
  <si>
    <t>연간금액</t>
    <phoneticPr fontId="2" type="noConversion"/>
  </si>
  <si>
    <t>임원급여</t>
    <phoneticPr fontId="217" type="noConversion"/>
  </si>
  <si>
    <t>리츠운용비용 계</t>
    <phoneticPr fontId="2" type="noConversion"/>
  </si>
  <si>
    <t>매 1개월</t>
    <phoneticPr fontId="2" type="noConversion"/>
  </si>
  <si>
    <t>태양광 등 (1년차)</t>
    <phoneticPr fontId="2" type="noConversion"/>
  </si>
  <si>
    <t>임대면적(py)</t>
    <phoneticPr fontId="217" type="noConversion"/>
  </si>
  <si>
    <t>쿠팡</t>
    <phoneticPr fontId="217" type="noConversion"/>
  </si>
  <si>
    <t>농심</t>
    <phoneticPr fontId="217" type="noConversion"/>
  </si>
  <si>
    <t>지오영</t>
  </si>
  <si>
    <t>용마로지스</t>
  </si>
  <si>
    <t>공실</t>
  </si>
  <si>
    <t>선순위 대출 요약 (Tr.A)</t>
  </si>
  <si>
    <t>원</t>
  </si>
  <si>
    <t>대출금리(가중평균)</t>
  </si>
  <si>
    <t>고정 50% + 3개월 CD 변동 50%</t>
  </si>
  <si>
    <t>All-in 금리</t>
  </si>
  <si>
    <t>수수료 1.2% 포함</t>
  </si>
  <si>
    <t>연간 이자</t>
  </si>
  <si>
    <t>연차별 DSCR (일반)</t>
  </si>
  <si>
    <t>영업이익(A)</t>
  </si>
  <si>
    <t>이자·원리금(B)</t>
  </si>
  <si>
    <t>합계/평균</t>
    <phoneticPr fontId="2" type="noConversion"/>
  </si>
  <si>
    <t>보통주(KLI) 배당·현금흐름 (반기)</t>
  </si>
  <si>
    <t>2종 우선주(삼성증권→KLI) 배당·현금흐름 (반기)</t>
  </si>
  <si>
    <t>1종 우선주 배당·현금흐름 (반기)</t>
  </si>
  <si>
    <t>연도별 손익 요약 (운용연차, 단위: 백만원)</t>
  </si>
  <si>
    <t>간주임대료부가세</t>
    <phoneticPr fontId="2" type="noConversion"/>
  </si>
  <si>
    <t>이자비용(중순위)</t>
    <phoneticPr fontId="2" type="noConversion"/>
  </si>
  <si>
    <t>연도별 현금흐름 요약 (운용연차, 단위: 백만원)</t>
  </si>
  <si>
    <t>영업현금흐름</t>
    <phoneticPr fontId="2" type="noConversion"/>
  </si>
  <si>
    <t>제세공과금</t>
    <phoneticPr fontId="2" type="noConversion"/>
  </si>
  <si>
    <t>리츠운용비용</t>
    <phoneticPr fontId="2" type="noConversion"/>
  </si>
  <si>
    <t>투자현금흐름</t>
    <phoneticPr fontId="2" type="noConversion"/>
  </si>
  <si>
    <t>재무현금흐름</t>
    <phoneticPr fontId="2" type="noConversion"/>
  </si>
  <si>
    <t>운영배당(1종)</t>
    <phoneticPr fontId="2" type="noConversion"/>
  </si>
  <si>
    <t>운영배당(2종)</t>
    <phoneticPr fontId="2" type="noConversion"/>
  </si>
  <si>
    <t>운영배당(보통주)</t>
    <phoneticPr fontId="2" type="noConversion"/>
  </si>
  <si>
    <t>기초의 현금</t>
    <phoneticPr fontId="2" type="noConversion"/>
  </si>
  <si>
    <t>기말의 현금</t>
    <phoneticPr fontId="2" type="noConversion"/>
  </si>
  <si>
    <t>현금의 변동</t>
    <phoneticPr fontId="2" type="noConversion"/>
  </si>
  <si>
    <t>연도별 재무상태 요약 (운용연차 말, 단위: 백만원)</t>
  </si>
  <si>
    <t>현금및현금성자산</t>
    <phoneticPr fontId="2" type="noConversion"/>
  </si>
  <si>
    <t>자산 계</t>
    <phoneticPr fontId="2" type="noConversion"/>
  </si>
  <si>
    <t>부채 계</t>
    <phoneticPr fontId="2" type="noConversion"/>
  </si>
  <si>
    <t>자본 계</t>
    <phoneticPr fontId="2" type="noConversion"/>
  </si>
  <si>
    <t>차대 검증</t>
  </si>
  <si>
    <t>기타투자비</t>
    <phoneticPr fontId="2" type="noConversion"/>
  </si>
  <si>
    <t>담보차입금(선순위)</t>
  </si>
  <si>
    <t>담보차입금(선순위)</t>
    <phoneticPr fontId="2" type="noConversion"/>
  </si>
  <si>
    <t>담보차입금(중순위)</t>
  </si>
  <si>
    <t>담보차입금(중순위)</t>
    <phoneticPr fontId="2" type="noConversion"/>
  </si>
  <si>
    <t>우선주(1종)</t>
    <phoneticPr fontId="2" type="noConversion"/>
  </si>
  <si>
    <t>우선주(2종)</t>
    <phoneticPr fontId="2" type="noConversion"/>
  </si>
  <si>
    <t>우선주(3종)</t>
    <phoneticPr fontId="2" type="noConversion"/>
  </si>
  <si>
    <t>담보차입금 차수별 조달 조건</t>
  </si>
  <si>
    <t>차수</t>
  </si>
  <si>
    <t>조달액(백만원)</t>
  </si>
  <si>
    <t>이자율</t>
  </si>
  <si>
    <t>반환일</t>
  </si>
  <si>
    <t>최초</t>
  </si>
  <si>
    <t>2차</t>
  </si>
  <si>
    <t>3차</t>
  </si>
  <si>
    <t>자기자본 조달 가정</t>
  </si>
  <si>
    <t>지분율</t>
  </si>
  <si>
    <t>확정배당</t>
  </si>
  <si>
    <t>C.G배분율</t>
  </si>
  <si>
    <t>인수수수료</t>
  </si>
  <si>
    <t>잔여배당</t>
  </si>
  <si>
    <t>연간금액(1년차)</t>
  </si>
  <si>
    <t>평당 금액/월(원)</t>
  </si>
  <si>
    <t>임차인 부담</t>
  </si>
  <si>
    <t>26년 기준, 연 2% 감소 가정</t>
  </si>
  <si>
    <t>별도합산</t>
  </si>
  <si>
    <t>25년 부과실적 기준</t>
  </si>
  <si>
    <t>연장계약 월 임대료 50%, 신규계약 200%</t>
  </si>
  <si>
    <t>임대대행수수료</t>
  </si>
  <si>
    <t>유휴자금 운용수입</t>
  </si>
  <si>
    <t>월 2백만원</t>
    <phoneticPr fontId="2" type="noConversion"/>
  </si>
  <si>
    <t>연액 기준</t>
    <phoneticPr fontId="2" type="noConversion"/>
  </si>
  <si>
    <t>부가세차입금</t>
    <phoneticPr fontId="2" type="noConversion"/>
  </si>
  <si>
    <t>유휴자금 x 연 3.5%</t>
  </si>
  <si>
    <t>380억원 x 6.00%</t>
  </si>
  <si>
    <t>연 4.50%</t>
  </si>
  <si>
    <t>총자산가액 x 0.223%</t>
    <phoneticPr fontId="2" type="noConversion"/>
  </si>
  <si>
    <t>11년차</t>
    <phoneticPr fontId="2" type="noConversion"/>
  </si>
  <si>
    <t>매각금액 x 1.0% (매각보수 0.5% + 부대비용 0.5%)</t>
  </si>
  <si>
    <t>매각차익 x 15%</t>
  </si>
  <si>
    <t>평당 약 1,214만원</t>
    <phoneticPr fontId="2" type="noConversion"/>
  </si>
  <si>
    <t>매각기본수수료</t>
    <phoneticPr fontId="2" type="noConversion"/>
  </si>
  <si>
    <t>매각성과수수료</t>
    <phoneticPr fontId="2" type="noConversion"/>
  </si>
  <si>
    <t>영업수익</t>
    <phoneticPr fontId="2" type="noConversion"/>
  </si>
  <si>
    <t>영업비용</t>
    <phoneticPr fontId="2" type="noConversion"/>
  </si>
  <si>
    <t>영업손익</t>
    <phoneticPr fontId="2" type="noConversion"/>
  </si>
  <si>
    <t>이자비용(선순위)</t>
    <phoneticPr fontId="2" type="noConversion"/>
  </si>
  <si>
    <t>이자비용(부가세)</t>
    <phoneticPr fontId="2" type="noConversion"/>
  </si>
  <si>
    <t>부가세예수금</t>
    <phoneticPr fontId="2" type="noConversion"/>
  </si>
  <si>
    <t>매입부대비용</t>
    <phoneticPr fontId="2" type="noConversion"/>
  </si>
  <si>
    <t>부동산처분금액</t>
    <phoneticPr fontId="2" type="noConversion"/>
  </si>
  <si>
    <t>청산배당(1종)</t>
    <phoneticPr fontId="2" type="noConversion"/>
  </si>
  <si>
    <t>청산배당(2종)</t>
    <phoneticPr fontId="2" type="noConversion"/>
  </si>
  <si>
    <t>청산배당(보통주)</t>
    <phoneticPr fontId="2" type="noConversion"/>
  </si>
  <si>
    <t>부가세대급금</t>
    <phoneticPr fontId="2" type="noConversion"/>
  </si>
  <si>
    <t>담보차입금</t>
    <phoneticPr fontId="2" type="noConversion"/>
  </si>
  <si>
    <t>부채와자본 계</t>
    <phoneticPr fontId="2" type="noConversion"/>
  </si>
  <si>
    <t>DSCR 분기별</t>
    <phoneticPr fontId="217" type="noConversion"/>
  </si>
  <si>
    <t>이자상환액(선순위)</t>
    <phoneticPr fontId="2" type="noConversion"/>
  </si>
  <si>
    <t>이자상환액(중순위)</t>
    <phoneticPr fontId="2" type="noConversion"/>
  </si>
  <si>
    <t>이자지급가능액</t>
    <phoneticPr fontId="2" type="noConversion"/>
  </si>
  <si>
    <t>이자지급가능액(누적)</t>
    <phoneticPr fontId="2" type="noConversion"/>
  </si>
  <si>
    <t>기초의현금</t>
    <phoneticPr fontId="2" type="noConversion"/>
  </si>
  <si>
    <t>DSCR(선순위, 누적)</t>
    <phoneticPr fontId="2" type="noConversion"/>
  </si>
  <si>
    <t>DSCR(중순위, 누적)</t>
    <phoneticPr fontId="2" type="noConversion"/>
  </si>
  <si>
    <t>매각가치 기준 LTV (대출 만기 시점)</t>
  </si>
  <si>
    <t>LTV(선순위)</t>
  </si>
  <si>
    <t>N+1 NOI</t>
    <phoneticPr fontId="217" type="noConversion"/>
  </si>
  <si>
    <t>조정 N+1 NOI</t>
    <phoneticPr fontId="217" type="noConversion"/>
  </si>
  <si>
    <t>(-) R/F 임대기간 안분</t>
    <phoneticPr fontId="217" type="noConversion"/>
  </si>
  <si>
    <t>쿠팡 R/F 5개월분 효과 제거</t>
    <phoneticPr fontId="217" type="noConversion"/>
  </si>
  <si>
    <t>3년차 (쿠팡 R/F 5개월분 일시 반영)</t>
    <phoneticPr fontId="217" type="noConversion"/>
  </si>
  <si>
    <t>R/F를 임대기간(60개월)에 균등 배분 시 R/F 효과</t>
    <phoneticPr fontId="217" type="noConversion"/>
  </si>
  <si>
    <t>3년차 (명목임대료 기준)</t>
    <phoneticPr fontId="217" type="noConversion"/>
  </si>
  <si>
    <t>3년차 (실질임대료 기준)</t>
    <phoneticPr fontId="217" type="noConversion"/>
  </si>
  <si>
    <t>Cap.Rate</t>
    <phoneticPr fontId="217" type="noConversion"/>
  </si>
  <si>
    <t>매각가정 동일 수준</t>
    <phoneticPr fontId="217" type="noConversion"/>
  </si>
  <si>
    <t>매각가치</t>
    <phoneticPr fontId="217" type="noConversion"/>
  </si>
  <si>
    <t>LTV(중순위)</t>
    <phoneticPr fontId="217" type="noConversion"/>
  </si>
  <si>
    <t>(+) R/F 환입</t>
    <phoneticPr fontId="217" type="noConversion"/>
  </si>
  <si>
    <t>총자산가액 x 0.0004%</t>
    <phoneticPr fontId="217" type="noConversion"/>
  </si>
  <si>
    <t>3종 우선주</t>
    <phoneticPr fontId="217" type="noConversion"/>
  </si>
  <si>
    <t>2종은 12개월</t>
    <phoneticPr fontId="217" type="noConversion"/>
  </si>
  <si>
    <t>1종은 24개월</t>
    <phoneticPr fontId="217" type="noConversion"/>
  </si>
  <si>
    <t>자기자본 합계</t>
    <phoneticPr fontId="217" type="noConversion"/>
  </si>
  <si>
    <t>청산배당수익률</t>
    <phoneticPr fontId="217" type="noConversion"/>
  </si>
  <si>
    <t>운영IRR</t>
    <phoneticPr fontId="217" type="noConversion"/>
  </si>
  <si>
    <t>청산IRR</t>
    <phoneticPr fontId="217" type="noConversion"/>
  </si>
  <si>
    <t>전체 기준</t>
    <phoneticPr fontId="2" type="noConversion"/>
  </si>
  <si>
    <t>간주취득세율</t>
    <phoneticPr fontId="217" type="noConversion"/>
  </si>
  <si>
    <t>코람코 스케쥴 기준 (배당 기준 유지)</t>
    <phoneticPr fontId="217" type="noConversion"/>
  </si>
  <si>
    <t>코람코 스케쥴 기준 (순이익만 배당)</t>
    <phoneticPr fontId="217" type="noConversion"/>
  </si>
  <si>
    <t>당기순이익</t>
    <phoneticPr fontId="217" type="noConversion"/>
  </si>
  <si>
    <t>기초</t>
    <phoneticPr fontId="217" type="noConversion"/>
  </si>
  <si>
    <t>기말</t>
    <phoneticPr fontId="217" type="noConversion"/>
  </si>
  <si>
    <t>매각차익</t>
    <phoneticPr fontId="217" type="noConversion"/>
  </si>
  <si>
    <t>감가상각비</t>
    <phoneticPr fontId="217" type="noConversion"/>
  </si>
  <si>
    <t>감소</t>
    <phoneticPr fontId="217" type="noConversion"/>
  </si>
  <si>
    <t>순이익</t>
    <phoneticPr fontId="217" type="noConversion"/>
  </si>
  <si>
    <t>코람코 기준 (초과배당 유지)</t>
    <phoneticPr fontId="2" type="noConversion"/>
  </si>
  <si>
    <t>코람코 기준 (초과배당 X)</t>
    <phoneticPr fontId="2" type="noConversion"/>
  </si>
  <si>
    <t>분기별 손익 요약 (운용분기 · 24개월, 단위: 백만원)</t>
    <phoneticPr fontId="217" type="noConversion"/>
  </si>
  <si>
    <t>분기별 현금흐름 요약 (운용분기 · 24개월, 단위: 백만원)</t>
    <phoneticPr fontId="217" type="noConversion"/>
  </si>
  <si>
    <t>분기별 재무상태 요약 (운용분기 말 · 24개월, 단위: 백만원)</t>
    <phoneticPr fontId="217" type="noConversion"/>
  </si>
  <si>
    <t>반기별 현금흐름 요약 (운용반기 · 24개월, 단위: 백만원)</t>
    <phoneticPr fontId="217" type="noConversion"/>
  </si>
  <si>
    <t>반기별 재무상태 요약 (운용반기 말 · 24개월, 단위: 백만원)</t>
    <phoneticPr fontId="217" type="noConversion"/>
  </si>
  <si>
    <t>기본값</t>
    <phoneticPr fontId="217" type="noConversion"/>
  </si>
  <si>
    <t>선순위 DSCR 민감도</t>
    <phoneticPr fontId="2" type="noConversion"/>
  </si>
  <si>
    <t>후순위 DSCR 민감도</t>
    <phoneticPr fontId="2" type="noConversion"/>
  </si>
  <si>
    <t>이자수입</t>
    <phoneticPr fontId="2" type="noConversion"/>
  </si>
  <si>
    <t>임대보증금운용수입</t>
    <phoneticPr fontId="2" type="noConversion"/>
  </si>
  <si>
    <t>임대보증금운용수익</t>
    <phoneticPr fontId="2" type="noConversion"/>
  </si>
  <si>
    <t>보증금운용수익</t>
    <phoneticPr fontId="2" type="noConversion"/>
  </si>
  <si>
    <t xml:space="preserve">1,600억원 x 5.00% </t>
    <phoneticPr fontId="2" type="noConversion"/>
  </si>
  <si>
    <t>(단위: 백만원. 이자·원리금 = 담보대출 체인: 1~2년차 Tr.A 1,600억 x 5.00%, 3~5년차 리파 2,130억 x 4.8%, 6~10년차 2,130억 x 4.5%. 중순위 제외 기준)</t>
    <phoneticPr fontId="2" type="noConversion"/>
  </si>
  <si>
    <t>연간 26백만원</t>
    <phoneticPr fontId="217" type="noConversion"/>
  </si>
  <si>
    <t>PFV</t>
    <phoneticPr fontId="2" type="noConversion"/>
  </si>
  <si>
    <t>금번리츠</t>
    <phoneticPr fontId="2" type="noConversion"/>
  </si>
  <si>
    <t>차이</t>
    <phoneticPr fontId="2" type="noConversion"/>
  </si>
  <si>
    <t>신규 기준 작성</t>
    <phoneticPr fontId="2" type="noConversion"/>
  </si>
  <si>
    <t>P,FM수수료 절감</t>
    <phoneticPr fontId="2" type="noConversion"/>
  </si>
  <si>
    <t>11기</t>
    <phoneticPr fontId="2" type="noConversion"/>
  </si>
  <si>
    <t>1기</t>
    <phoneticPr fontId="2" type="noConversion"/>
  </si>
  <si>
    <t>리츠: 대출관련 취급수수료 일시인식</t>
    <phoneticPr fontId="2" type="noConversion"/>
  </si>
  <si>
    <t>리츠: 화재로 인한 보험료인상</t>
    <phoneticPr fontId="2" type="noConversion"/>
  </si>
  <si>
    <t>PFV: 세금 등을 분할인식</t>
    <phoneticPr fontId="2" type="noConversion"/>
  </si>
  <si>
    <t>리츠: 임대중개수수료비용 제외(임차완료 99.3%)</t>
    <phoneticPr fontId="2" type="noConversion"/>
  </si>
  <si>
    <t>PFV: 상기 추가임대차에 대한 관리비는 수령</t>
    <phoneticPr fontId="2" type="noConversion"/>
  </si>
  <si>
    <t>PFV: 임대료 인상분 및 추가 임대차계약 
지하2층 쿠팡 추가임대차 개시(25-12-01)
25-12부터 3개월 F/O 및 1개월 R.F로 수익 미인식</t>
    <phoneticPr fontId="2" type="noConversion"/>
  </si>
  <si>
    <t>리츠: 수도광열비 정산에 따라 수익으로 인식 안함.</t>
    <phoneticPr fontId="2" type="noConversion"/>
  </si>
  <si>
    <t>리츠: 수도광열비 정산에 따라 비용으로 인식 안함.</t>
    <phoneticPr fontId="2" type="noConversion"/>
  </si>
  <si>
    <t>선순위_평균DSCR</t>
    <phoneticPr fontId="2" type="noConversion"/>
  </si>
  <si>
    <t>중순위_평균DSCR</t>
    <phoneticPr fontId="2" type="noConversion"/>
  </si>
  <si>
    <t>선순위_최소DSCR</t>
    <phoneticPr fontId="2" type="noConversion"/>
  </si>
  <si>
    <t>중순위_최소DSCR</t>
    <phoneticPr fontId="2" type="noConversion"/>
  </si>
  <si>
    <t>포함여부</t>
    <phoneticPr fontId="2" type="noConversion"/>
  </si>
  <si>
    <t>장부가</t>
    <phoneticPr fontId="2" type="noConversion"/>
  </si>
  <si>
    <t>액면가</t>
    <phoneticPr fontId="2" type="noConversion"/>
  </si>
  <si>
    <t>우선주발행가</t>
    <phoneticPr fontId="2" type="noConversion"/>
  </si>
  <si>
    <t>보통주발행가</t>
    <phoneticPr fontId="2" type="noConversion"/>
  </si>
  <si>
    <t>불균등발행가 / 유상 증감자 방식</t>
    <phoneticPr fontId="2" type="noConversion"/>
  </si>
  <si>
    <t>1) 최초</t>
    <phoneticPr fontId="2" type="noConversion"/>
  </si>
  <si>
    <t>KLI 지분율</t>
    <phoneticPr fontId="2" type="noConversion"/>
  </si>
  <si>
    <t>의결권여부</t>
    <phoneticPr fontId="2" type="noConversion"/>
  </si>
  <si>
    <t>투자금</t>
    <phoneticPr fontId="2" type="noConversion"/>
  </si>
  <si>
    <t>발행가</t>
    <phoneticPr fontId="2" type="noConversion"/>
  </si>
  <si>
    <t>의결권주식수</t>
    <phoneticPr fontId="2" type="noConversion"/>
  </si>
  <si>
    <t>1종 - 외부</t>
  </si>
  <si>
    <t>2종 - 외부</t>
    <phoneticPr fontId="2" type="noConversion"/>
  </si>
  <si>
    <t>2종 - 외부(무의결)</t>
    <phoneticPr fontId="2" type="noConversion"/>
  </si>
  <si>
    <t>3종 - 외부(무의결)</t>
    <phoneticPr fontId="2" type="noConversion"/>
  </si>
  <si>
    <t>보통주 - KLI</t>
    <phoneticPr fontId="2" type="noConversion"/>
  </si>
  <si>
    <t>무의결비율</t>
  </si>
  <si>
    <t>2-1) 12개월 후 - 2종 KLI 증자 (의결권 유 250억)</t>
    <phoneticPr fontId="2" type="noConversion"/>
  </si>
  <si>
    <t>2종 - KLI</t>
  </si>
  <si>
    <t>2-1단계 KLI 증자</t>
    <phoneticPr fontId="2" type="noConversion"/>
  </si>
  <si>
    <t>2종 - KLI(무의결)</t>
    <phoneticPr fontId="2" type="noConversion"/>
  </si>
  <si>
    <t>2-2) 12개월 후 - 2종 외부 감자 (무의결 250억)</t>
    <phoneticPr fontId="2" type="noConversion"/>
  </si>
  <si>
    <t>2-2단계 감자</t>
  </si>
  <si>
    <t>2-3) 12개월 후 - 2종 KLI 증자 (무의결 250억)</t>
    <phoneticPr fontId="2" type="noConversion"/>
  </si>
  <si>
    <t>2-3단계 KIL 증자</t>
    <phoneticPr fontId="2" type="noConversion"/>
  </si>
  <si>
    <t>2-4) 12개월 후 - 2종 외부 감자 (의결권 유 250억)</t>
    <phoneticPr fontId="2" type="noConversion"/>
  </si>
  <si>
    <t>2-4단계 감자</t>
  </si>
  <si>
    <t>3-1) 24개월 후 - 1종 KLI 증자</t>
    <phoneticPr fontId="2" type="noConversion"/>
  </si>
  <si>
    <t>1종 - KLI</t>
    <phoneticPr fontId="2" type="noConversion"/>
  </si>
  <si>
    <t>3-1단계 KLI  증자</t>
    <phoneticPr fontId="2" type="noConversion"/>
  </si>
  <si>
    <t>3-2) 24개월 후 - 1종 감자</t>
    <phoneticPr fontId="2" type="noConversion"/>
  </si>
  <si>
    <t>3-2단계 감자</t>
  </si>
  <si>
    <t>3-3) 24개월 후 - 3종 감자</t>
    <phoneticPr fontId="2" type="noConversion"/>
  </si>
  <si>
    <t>3-3단계 감자</t>
  </si>
  <si>
    <t>지분취득</t>
    <phoneticPr fontId="2" type="noConversion"/>
  </si>
  <si>
    <t>지분취득전</t>
    <phoneticPr fontId="2" type="noConversion"/>
  </si>
  <si>
    <t>지분취득후</t>
    <phoneticPr fontId="2" type="noConversion"/>
  </si>
  <si>
    <t>간주취득과표</t>
    <phoneticPr fontId="2" type="noConversion"/>
  </si>
  <si>
    <t>세금</t>
    <phoneticPr fontId="2" type="noConversion"/>
  </si>
  <si>
    <t xml:space="preserve">최초 과점주주 </t>
    <phoneticPr fontId="2" type="noConversion"/>
  </si>
  <si>
    <t>3</t>
    <phoneticPr fontId="2" type="noConversion"/>
  </si>
  <si>
    <t>의결권</t>
    <phoneticPr fontId="2" type="noConversion"/>
  </si>
  <si>
    <t>의결권비율</t>
    <phoneticPr fontId="2" type="noConversion"/>
  </si>
  <si>
    <t>* 등록면허세</t>
    <phoneticPr fontId="2" type="noConversion"/>
  </si>
  <si>
    <t>x</t>
    <phoneticPr fontId="2" type="noConversion"/>
  </si>
  <si>
    <t>KB펀드파트너스</t>
    <phoneticPr fontId="2" type="noConversion"/>
  </si>
  <si>
    <t>미래새한</t>
    <phoneticPr fontId="2" type="noConversion"/>
  </si>
  <si>
    <t>태평양</t>
    <phoneticPr fontId="2" type="noConversion"/>
  </si>
  <si>
    <t>우리</t>
    <phoneticPr fontId="2" type="noConversion"/>
  </si>
  <si>
    <t>Savills</t>
    <phoneticPr fontId="2" type="noConversion"/>
  </si>
  <si>
    <t>CBRE</t>
    <phoneticPr fontId="2" type="noConversion"/>
  </si>
  <si>
    <t>담보신탁보수(우리)</t>
    <phoneticPr fontId="2" type="noConversion"/>
  </si>
  <si>
    <t>무의결권 한도</t>
    <phoneticPr fontId="2" type="noConversion"/>
  </si>
  <si>
    <t>무의결권주식수</t>
    <phoneticPr fontId="2" type="noConversion"/>
  </si>
  <si>
    <t>발행주식수</t>
    <phoneticPr fontId="2" type="noConversion"/>
  </si>
  <si>
    <t>NH증권</t>
    <phoneticPr fontId="2" type="noConversion"/>
  </si>
  <si>
    <t>10. 배당계획 재구성 — 반기 IS 기준 운영배당가능금액(당기순이익 − 처분이익 + 감가상각비) 워터폴 (단위: 백만원)</t>
    <phoneticPr fontId="2" type="noConversion"/>
  </si>
  <si>
    <t>※ 미지급 우선주 배당은 이월해 우선 보전, 잔여재원은 보통주. 가용재원 부족(음수)도 다음 기로 이월</t>
    <phoneticPr fontId="2" type="noConversion"/>
  </si>
  <si>
    <t>기수</t>
    <phoneticPr fontId="2" type="noConversion"/>
  </si>
  <si>
    <t>결산월</t>
    <phoneticPr fontId="2" type="noConversion"/>
  </si>
  <si>
    <t>당기순이익</t>
    <phoneticPr fontId="2" type="noConversion"/>
  </si>
  <si>
    <t>유형자산처분이익</t>
    <phoneticPr fontId="2" type="noConversion"/>
  </si>
  <si>
    <t>감가상각비</t>
    <phoneticPr fontId="2" type="noConversion"/>
  </si>
  <si>
    <t>운영배당가능금액</t>
    <phoneticPr fontId="2" type="noConversion"/>
  </si>
  <si>
    <t>전기이월</t>
    <phoneticPr fontId="2" type="noConversion"/>
  </si>
  <si>
    <t>가용재원</t>
    <phoneticPr fontId="2" type="noConversion"/>
  </si>
  <si>
    <t>1종 배당</t>
    <phoneticPr fontId="2" type="noConversion"/>
  </si>
  <si>
    <t>2종 배당</t>
    <phoneticPr fontId="2" type="noConversion"/>
  </si>
  <si>
    <t>3종 배당</t>
    <phoneticPr fontId="2" type="noConversion"/>
  </si>
  <si>
    <t>보통주 배당</t>
    <phoneticPr fontId="2" type="noConversion"/>
  </si>
  <si>
    <t>배당 계</t>
    <phoneticPr fontId="2" type="noConversion"/>
  </si>
  <si>
    <t>1종 미지급누계</t>
    <phoneticPr fontId="2" type="noConversion"/>
  </si>
  <si>
    <t>2종 미지급누계</t>
    <phoneticPr fontId="2" type="noConversion"/>
  </si>
  <si>
    <t>차기이월</t>
    <phoneticPr fontId="2" type="noConversion"/>
  </si>
  <si>
    <t>소계</t>
    <phoneticPr fontId="2" type="noConversion"/>
  </si>
  <si>
    <t>운영배당률(연, 원금대비)</t>
    <phoneticPr fontId="2" type="noConversion"/>
  </si>
  <si>
    <t>참고 — 모델 계획배당(CF(M) 20기 누계)</t>
    <phoneticPr fontId="2" type="noConversion"/>
  </si>
  <si>
    <t>차이(계획 − 재구성) = 자본전입 소요액</t>
    <phoneticPr fontId="2" type="noConversion"/>
  </si>
  <si>
    <t>파라미터</t>
    <phoneticPr fontId="2" type="noConversion"/>
  </si>
  <si>
    <t>1종 약정배당(반기)</t>
    <phoneticPr fontId="2" type="noConversion"/>
  </si>
  <si>
    <t>2종 약정배당(반기)</t>
    <phoneticPr fontId="2" type="noConversion"/>
  </si>
  <si>
    <t>반기별 손익 요약 (운용반기 · 120개월/20기, 단위: 백만원)</t>
    <phoneticPr fontId="217" type="noConversion"/>
  </si>
  <si>
    <t>모델 이자수익(제거)</t>
  </si>
  <si>
    <t>보정 이자수익(유보현금×이자율)</t>
  </si>
  <si>
    <t>유보현금(예비현금)</t>
  </si>
  <si>
    <t>이자수익률(연)</t>
  </si>
  <si>
    <t>10. 배당계획 (부동산원 양식) — 재구성 기준 (단위: 백만원)</t>
  </si>
  <si>
    <t>기수</t>
  </si>
  <si>
    <t>결산월</t>
  </si>
  <si>
    <t>1종종류주</t>
  </si>
  <si>
    <t>2종종류주</t>
  </si>
  <si>
    <t>3종종류주</t>
  </si>
  <si>
    <t>전체</t>
  </si>
  <si>
    <t>배당액</t>
  </si>
  <si>
    <t>배당률</t>
  </si>
  <si>
    <t>1기(6개월)</t>
  </si>
  <si>
    <t>2기(6개월)</t>
  </si>
  <si>
    <t>3기(6개월)</t>
  </si>
  <si>
    <t>4기(6개월)</t>
  </si>
  <si>
    <t>5기(6개월)</t>
  </si>
  <si>
    <t>6기(6개월)</t>
  </si>
  <si>
    <t>7기(6개월)</t>
  </si>
  <si>
    <t>8기(6개월)</t>
  </si>
  <si>
    <t>9기(6개월)</t>
  </si>
  <si>
    <t>10기(6개월)</t>
  </si>
  <si>
    <t>11기(6개월)</t>
  </si>
  <si>
    <t>12기(6개월)</t>
  </si>
  <si>
    <t>13기(6개월)</t>
  </si>
  <si>
    <t>14기(6개월)</t>
  </si>
  <si>
    <t>15기(6개월)</t>
  </si>
  <si>
    <t>16기(6개월)</t>
  </si>
  <si>
    <t>17기(6개월)</t>
  </si>
  <si>
    <t>18기(6개월)</t>
  </si>
  <si>
    <t>19기(6개월)</t>
  </si>
  <si>
    <t>20기(6개월)</t>
  </si>
  <si>
    <t>IRR 산정용 현금흐름 (단위: 백만원)</t>
  </si>
  <si>
    <t>날짜</t>
  </si>
  <si>
    <t>1종(운영)</t>
  </si>
  <si>
    <t>2종(운영)</t>
  </si>
  <si>
    <t>3종(운영)</t>
  </si>
  <si>
    <t>보통주(운영)</t>
  </si>
  <si>
    <t>전체(운영)</t>
  </si>
  <si>
    <t>10-2. 자본전입 시행 / 미시행 비교 (단위: 백만원)</t>
  </si>
  <si>
    <t>자본전입 시행</t>
  </si>
  <si>
    <t>자본전입 미시행</t>
  </si>
  <si>
    <t>자본전입제외 운영배당금(A=a1+a2-a3)</t>
  </si>
  <si>
    <t>임대수익(a1)</t>
  </si>
  <si>
    <t>이자수익(a2)</t>
  </si>
  <si>
    <t>운영비용(a3)</t>
  </si>
  <si>
    <t>자본전입액(B)</t>
  </si>
  <si>
    <t>비율(B/A)</t>
  </si>
  <si>
    <t>※ 시행 = 모델 이자수익(자본전입으로 현금 유출) · 미시행 = 유보현금 유지 가정 이자수익</t>
  </si>
  <si>
    <t>소계</t>
    <phoneticPr fontId="2" type="noConversion"/>
  </si>
  <si>
    <t>운영배당금</t>
    <phoneticPr fontId="2" type="noConversion"/>
  </si>
  <si>
    <t>운영배당률(연)</t>
    <phoneticPr fontId="2" type="noConversion"/>
  </si>
  <si>
    <t>IRR(운영)</t>
    <phoneticPr fontId="2" type="noConversion"/>
  </si>
  <si>
    <t>이자수익 기준(1=유보현금 유지·자본전입 미시행 / 0=모델 이자수익·시행)</t>
  </si>
  <si>
    <t>12. 재무계획 — 연차별 집계 (반기 2개 합, 단위: 백만원)</t>
  </si>
  <si>
    <t>임대수익(임대료수입)</t>
  </si>
  <si>
    <t>관리수익(관리비수입)</t>
  </si>
  <si>
    <t>보증금운용수익</t>
  </si>
  <si>
    <t>소계 ⓐ 운영수익</t>
  </si>
  <si>
    <t>리츠관리비용</t>
  </si>
  <si>
    <t>부동산관리비용(영업비용)</t>
  </si>
  <si>
    <t>금융비용(이자비용 계)</t>
  </si>
  <si>
    <t>소계 ⓑ 운영비용(감가 제외)</t>
  </si>
  <si>
    <t>소계 ⓑ' 운영비용(감가 포함)</t>
  </si>
  <si>
    <t>당기순이익</t>
  </si>
  <si>
    <t>12-1. 운영수익 (부동산원 양식 형태 · 억원) — 연차 블록 ÷100</t>
  </si>
  <si>
    <t>합계(억원)</t>
  </si>
  <si>
    <t>임대수익</t>
  </si>
  <si>
    <t>관리수익</t>
  </si>
  <si>
    <t>이자수익(보증금운용 포함)</t>
  </si>
  <si>
    <t>합계 ⓐ</t>
  </si>
  <si>
    <t>12-2. 운영비용 (양식 형태 · 억원, 감가상각비 제외)</t>
  </si>
  <si>
    <t>부동산관리비용</t>
  </si>
  <si>
    <t>합계 ⓑ</t>
  </si>
  <si>
    <t>(참고) 감가상각비 — 비현금비용, 제외</t>
  </si>
  <si>
    <t>12-3. 예상손익 (양식 = 배당 기준) · 억원</t>
    <phoneticPr fontId="2" type="noConversion"/>
  </si>
  <si>
    <t>구분</t>
    <phoneticPr fontId="2" type="noConversion"/>
  </si>
  <si>
    <t>금액(억원)</t>
    <phoneticPr fontId="2" type="noConversion"/>
  </si>
  <si>
    <t>비고</t>
    <phoneticPr fontId="2" type="noConversion"/>
  </si>
  <si>
    <t>임대운영손익 A(배당) = 운영배당금</t>
    <phoneticPr fontId="2" type="noConversion"/>
  </si>
  <si>
    <t>배당계획 표1 소계</t>
    <phoneticPr fontId="2" type="noConversion"/>
  </si>
  <si>
    <t>자산매각손익 B(배당) = 매각배당금</t>
    <phoneticPr fontId="2" type="noConversion"/>
  </si>
  <si>
    <t>예상손익 C(배당)</t>
    <phoneticPr fontId="2" type="noConversion"/>
  </si>
  <si>
    <t>배당계획 C와 일치</t>
    <phoneticPr fontId="2" type="noConversion"/>
  </si>
  <si>
    <t>(참고) 모델 기준 배당총액</t>
    <phoneticPr fontId="2" type="noConversion"/>
  </si>
  <si>
    <t>운영배당 + 매각차익배분</t>
    <phoneticPr fontId="2" type="noConversion"/>
  </si>
  <si>
    <t>(참고) 손익 기준 ⓐ−ⓑ</t>
    <phoneticPr fontId="2" type="noConversion"/>
  </si>
  <si>
    <t>감가 제외 기준</t>
    <phoneticPr fontId="2" type="noConversion"/>
  </si>
  <si>
    <t>(참고) 배당 − 손익 차이</t>
    <phoneticPr fontId="2" type="noConversion"/>
  </si>
  <si>
    <t>자본전입액 110억 + 감가상각비 341억 등</t>
    <phoneticPr fontId="2" type="noConversion"/>
  </si>
  <si>
    <t>11. 배당률 민감도 — 근거표 (총액 워터폴 + 자본전입 11,007 고정)</t>
  </si>
  <si>
    <t>(계획)</t>
  </si>
  <si>
    <t>(종류주약정배당마지노선)</t>
  </si>
  <si>
    <t>(배당율 = 후순위차입금리)</t>
  </si>
  <si>
    <t>(배당율 = 선순위차입금리)</t>
  </si>
  <si>
    <t>(배당률 0%)</t>
  </si>
  <si>
    <t>1종 종류주</t>
    <phoneticPr fontId="2" type="noConversion"/>
  </si>
  <si>
    <t>2종 종류주</t>
    <phoneticPr fontId="2" type="noConversion"/>
  </si>
  <si>
    <t>3종 종류주</t>
    <phoneticPr fontId="2" type="noConversion"/>
  </si>
  <si>
    <t>DSCR</t>
    <phoneticPr fontId="2" type="noConversion"/>
  </si>
  <si>
    <t>전체</t>
    <phoneticPr fontId="2" type="noConversion"/>
  </si>
  <si>
    <t>재매도환원율(%)</t>
    <phoneticPr fontId="2" type="noConversion"/>
  </si>
  <si>
    <t>매각가액</t>
    <phoneticPr fontId="2" type="noConversion"/>
  </si>
  <si>
    <t>대출금리</t>
    <phoneticPr fontId="2" type="noConversion"/>
  </si>
  <si>
    <t>금리민감도_리파이낸싱</t>
    <phoneticPr fontId="2" type="noConversion"/>
  </si>
  <si>
    <t>리파이낸싱 금리</t>
    <phoneticPr fontId="2" type="noConversion"/>
  </si>
  <si>
    <t>1.주식발행계획</t>
    <phoneticPr fontId="2" type="noConversion"/>
  </si>
  <si>
    <t>2.선순위 Term Sheet</t>
    <phoneticPr fontId="2" type="noConversion"/>
  </si>
  <si>
    <t>Tr. A-1</t>
    <phoneticPr fontId="2" type="noConversion"/>
  </si>
  <si>
    <t>Tr. A-2</t>
    <phoneticPr fontId="2" type="noConversion"/>
  </si>
  <si>
    <t>변동</t>
    <phoneticPr fontId="2" type="noConversion"/>
  </si>
  <si>
    <t>고정</t>
    <phoneticPr fontId="2" type="noConversion"/>
  </si>
  <si>
    <t>수수료</t>
    <phoneticPr fontId="2" type="noConversion"/>
  </si>
  <si>
    <t>All-in</t>
    <phoneticPr fontId="2" type="noConversion"/>
  </si>
  <si>
    <t>Spread</t>
    <phoneticPr fontId="2" type="noConversion"/>
  </si>
  <si>
    <t>CD(91)</t>
    <phoneticPr fontId="2" type="noConversion"/>
  </si>
  <si>
    <t>금융채AAA(2년)</t>
    <phoneticPr fontId="2" type="noConversion"/>
  </si>
  <si>
    <t>종류</t>
  </si>
  <si>
    <t>종류명</t>
  </si>
  <si>
    <t>신용등급</t>
  </si>
  <si>
    <t>고시기관</t>
  </si>
  <si>
    <t>3월</t>
  </si>
  <si>
    <t>6월</t>
  </si>
  <si>
    <t>9월</t>
  </si>
  <si>
    <t>1년</t>
  </si>
  <si>
    <t>1년6월</t>
  </si>
  <si>
    <t>2년</t>
  </si>
  <si>
    <t>2년6월</t>
  </si>
  <si>
    <t>3년</t>
  </si>
  <si>
    <t>4년</t>
  </si>
  <si>
    <t>5년</t>
  </si>
  <si>
    <t>7년</t>
  </si>
  <si>
    <t>10년</t>
  </si>
  <si>
    <t>15년</t>
  </si>
  <si>
    <t>20년</t>
  </si>
  <si>
    <t>30년</t>
  </si>
  <si>
    <t>50년</t>
  </si>
  <si>
    <t>국채</t>
  </si>
  <si>
    <t>국고채권</t>
  </si>
  <si>
    <t>양곡,외평,재정</t>
  </si>
  <si>
    <t>평가사 평균(`23.1.9~)</t>
  </si>
  <si>
    <t>3.048</t>
  </si>
  <si>
    <t>3.193</t>
  </si>
  <si>
    <t>3.407</t>
  </si>
  <si>
    <t>3.515</t>
  </si>
  <si>
    <t>3.649</t>
  </si>
  <si>
    <t>3.726</t>
  </si>
  <si>
    <t>3.830</t>
  </si>
  <si>
    <t>3.910</t>
  </si>
  <si>
    <t>4.019</t>
  </si>
  <si>
    <t>4.133</t>
  </si>
  <si>
    <t>4.270</t>
  </si>
  <si>
    <t>4.400</t>
  </si>
  <si>
    <t>4.484</t>
  </si>
  <si>
    <t>4.552</t>
  </si>
  <si>
    <t>4.642</t>
  </si>
  <si>
    <t>4.602</t>
  </si>
  <si>
    <t>제2종국민주택채권</t>
  </si>
  <si>
    <t>2.961</t>
  </si>
  <si>
    <t>3.096</t>
  </si>
  <si>
    <t>3.293</t>
  </si>
  <si>
    <t>3.374</t>
  </si>
  <si>
    <t>3.509</t>
  </si>
  <si>
    <t>3.578</t>
  </si>
  <si>
    <t>3.669</t>
  </si>
  <si>
    <t>3.780</t>
  </si>
  <si>
    <t>3.868</t>
  </si>
  <si>
    <t>4.169</t>
  </si>
  <si>
    <t>4.215</t>
  </si>
  <si>
    <t>4.601</t>
  </si>
  <si>
    <t>제1종국민주택채권</t>
  </si>
  <si>
    <t>기타국채</t>
  </si>
  <si>
    <t>3.135</t>
  </si>
  <si>
    <t>3.296</t>
  </si>
  <si>
    <t>3.478</t>
  </si>
  <si>
    <t>3.584</t>
  </si>
  <si>
    <t>3.717</t>
  </si>
  <si>
    <t>3.794</t>
  </si>
  <si>
    <t>3.884</t>
  </si>
  <si>
    <t>3.969</t>
  </si>
  <si>
    <t>4.072</t>
  </si>
  <si>
    <t>4.398</t>
  </si>
  <si>
    <t>지방채</t>
  </si>
  <si>
    <t>서울도시철도공채증권</t>
  </si>
  <si>
    <t>3.180</t>
  </si>
  <si>
    <t>3.356</t>
  </si>
  <si>
    <t>3.514</t>
  </si>
  <si>
    <t>3.625</t>
  </si>
  <si>
    <t>3.786</t>
  </si>
  <si>
    <t>3.879</t>
  </si>
  <si>
    <t>3.970</t>
  </si>
  <si>
    <t>4.106</t>
  </si>
  <si>
    <t>4.191</t>
  </si>
  <si>
    <t>4.423</t>
  </si>
  <si>
    <t>4.498</t>
  </si>
  <si>
    <t>지역개발공채증권</t>
  </si>
  <si>
    <t>기타지방채</t>
  </si>
  <si>
    <t>3.624</t>
  </si>
  <si>
    <t>3.880</t>
  </si>
  <si>
    <t>특수채</t>
  </si>
  <si>
    <t>공사채 및 공단채</t>
  </si>
  <si>
    <t>정부보증채</t>
  </si>
  <si>
    <t>3.171</t>
  </si>
  <si>
    <t>3.438</t>
  </si>
  <si>
    <t>3.665</t>
  </si>
  <si>
    <t>3.730</t>
  </si>
  <si>
    <t>3.864</t>
  </si>
  <si>
    <t>3.956</t>
  </si>
  <si>
    <t>4.023</t>
  </si>
  <si>
    <t>4.089</t>
  </si>
  <si>
    <t>4.181</t>
  </si>
  <si>
    <t>4.396</t>
  </si>
  <si>
    <t>4.507</t>
  </si>
  <si>
    <t>4.589</t>
  </si>
  <si>
    <t>4.676</t>
  </si>
  <si>
    <t>AAA</t>
  </si>
  <si>
    <t>3.218</t>
  </si>
  <si>
    <t>3.523</t>
  </si>
  <si>
    <t>3.778</t>
  </si>
  <si>
    <t>3.820</t>
  </si>
  <si>
    <t>4.061</t>
  </si>
  <si>
    <t>4.140</t>
  </si>
  <si>
    <t>4.233</t>
  </si>
  <si>
    <t>4.311</t>
  </si>
  <si>
    <t>4.438</t>
  </si>
  <si>
    <t>4.482</t>
  </si>
  <si>
    <t>4.578</t>
  </si>
  <si>
    <t>4.666</t>
  </si>
  <si>
    <t>4.761</t>
  </si>
  <si>
    <t>4.857</t>
  </si>
  <si>
    <t>AA+</t>
  </si>
  <si>
    <t>3.267</t>
  </si>
  <si>
    <t>3.573</t>
  </si>
  <si>
    <t>3.839</t>
  </si>
  <si>
    <t>3.885</t>
  </si>
  <si>
    <t>4.054</t>
  </si>
  <si>
    <t>4.171</t>
  </si>
  <si>
    <t>4.247</t>
  </si>
  <si>
    <t>4.342</t>
  </si>
  <si>
    <t>4.424</t>
  </si>
  <si>
    <t>4.563</t>
  </si>
  <si>
    <t>4.620</t>
  </si>
  <si>
    <t>4.776</t>
  </si>
  <si>
    <t>4.882</t>
  </si>
  <si>
    <t>5.007</t>
  </si>
  <si>
    <t>AA</t>
  </si>
  <si>
    <t>3.323</t>
  </si>
  <si>
    <t>3.628</t>
  </si>
  <si>
    <t>3.906</t>
  </si>
  <si>
    <t>3.968</t>
  </si>
  <si>
    <t>4.165</t>
  </si>
  <si>
    <t>4.292</t>
  </si>
  <si>
    <t>4.375</t>
  </si>
  <si>
    <t>4.470</t>
  </si>
  <si>
    <t>4.548</t>
  </si>
  <si>
    <t>4.693</t>
  </si>
  <si>
    <t>4.757</t>
  </si>
  <si>
    <t>4.918</t>
  </si>
  <si>
    <t>5.034</t>
  </si>
  <si>
    <t>5.160</t>
  </si>
  <si>
    <t>한국주택금융공사유동화증권</t>
  </si>
  <si>
    <t>MBS</t>
  </si>
  <si>
    <t>3.210</t>
  </si>
  <si>
    <t>3.525</t>
  </si>
  <si>
    <t>3.782</t>
  </si>
  <si>
    <t>3.832</t>
  </si>
  <si>
    <t>3.997</t>
  </si>
  <si>
    <t>4.179</t>
  </si>
  <si>
    <t>4.271</t>
  </si>
  <si>
    <t>4.344</t>
  </si>
  <si>
    <t>4.473</t>
  </si>
  <si>
    <t>4.508</t>
  </si>
  <si>
    <t>4.616</t>
  </si>
  <si>
    <t>4.696</t>
  </si>
  <si>
    <t>4.789</t>
  </si>
  <si>
    <t>4.879</t>
  </si>
  <si>
    <t>통안증권</t>
  </si>
  <si>
    <t>3.036</t>
  </si>
  <si>
    <t>3.061</t>
  </si>
  <si>
    <t>3.302</t>
  </si>
  <si>
    <t>3.688</t>
  </si>
  <si>
    <t>3.805</t>
  </si>
  <si>
    <t>3.811</t>
  </si>
  <si>
    <t>3.905</t>
  </si>
  <si>
    <t>커버드본드</t>
  </si>
  <si>
    <t>3.246</t>
  </si>
  <si>
    <t>3.533</t>
  </si>
  <si>
    <t>3.788</t>
  </si>
  <si>
    <t>3.829</t>
  </si>
  <si>
    <t>4.075</t>
  </si>
  <si>
    <t>4.145</t>
  </si>
  <si>
    <t>4.242</t>
  </si>
  <si>
    <t>4.307</t>
  </si>
  <si>
    <t>4.454</t>
  </si>
  <si>
    <t>4.513</t>
  </si>
  <si>
    <t>4.765</t>
  </si>
  <si>
    <t>4.982</t>
  </si>
  <si>
    <t>5.205</t>
  </si>
  <si>
    <t>금융채 I(은행채)</t>
  </si>
  <si>
    <t>무보증</t>
  </si>
  <si>
    <t>AAA(산금채)</t>
  </si>
  <si>
    <t>3.231</t>
  </si>
  <si>
    <t>3.508</t>
  </si>
  <si>
    <t>3.763</t>
  </si>
  <si>
    <t>3.934</t>
  </si>
  <si>
    <t>4.008</t>
  </si>
  <si>
    <t>4.066</t>
  </si>
  <si>
    <t>4.153</t>
  </si>
  <si>
    <t>4.218</t>
  </si>
  <si>
    <t>4.411</t>
  </si>
  <si>
    <t>4.455</t>
  </si>
  <si>
    <t>4.727</t>
  </si>
  <si>
    <t>4.936</t>
  </si>
  <si>
    <t>AAA(중금채)</t>
  </si>
  <si>
    <t>4.221</t>
  </si>
  <si>
    <t>4.416</t>
  </si>
  <si>
    <t>4.478</t>
  </si>
  <si>
    <t>4.754</t>
  </si>
  <si>
    <t>4.962</t>
  </si>
  <si>
    <t>5.191</t>
  </si>
  <si>
    <t>3.258</t>
  </si>
  <si>
    <t>3.539</t>
  </si>
  <si>
    <t>3.800</t>
  </si>
  <si>
    <t>3.845</t>
  </si>
  <si>
    <t>3.999</t>
  </si>
  <si>
    <t>4.136</t>
  </si>
  <si>
    <t>4.244</t>
  </si>
  <si>
    <t>4.314</t>
  </si>
  <si>
    <t>4.463</t>
  </si>
  <si>
    <t>4.554</t>
  </si>
  <si>
    <t>4.825</t>
  </si>
  <si>
    <t>5.042</t>
  </si>
  <si>
    <t>5.271</t>
  </si>
  <si>
    <t>3.441</t>
  </si>
  <si>
    <t>3.741</t>
  </si>
  <si>
    <t>4.001</t>
  </si>
  <si>
    <t>4.255</t>
  </si>
  <si>
    <t>4.372</t>
  </si>
  <si>
    <t>4.464</t>
  </si>
  <si>
    <t>4.557</t>
  </si>
  <si>
    <t>4.634</t>
  </si>
  <si>
    <t>4.803</t>
  </si>
  <si>
    <t>4.914</t>
  </si>
  <si>
    <t>5.237</t>
  </si>
  <si>
    <t>5.527</t>
  </si>
  <si>
    <t>5.819</t>
  </si>
  <si>
    <t>A+</t>
  </si>
  <si>
    <t>4.050</t>
  </si>
  <si>
    <t>4.334</t>
  </si>
  <si>
    <t>4.414</t>
  </si>
  <si>
    <t>4.618</t>
  </si>
  <si>
    <t>4.738</t>
  </si>
  <si>
    <t>4.823</t>
  </si>
  <si>
    <t>4.928</t>
  </si>
  <si>
    <t>5.006</t>
  </si>
  <si>
    <t>5.178</t>
  </si>
  <si>
    <t>5.323</t>
  </si>
  <si>
    <t>5.715</t>
  </si>
  <si>
    <t>5.976</t>
  </si>
  <si>
    <t>6.250</t>
  </si>
  <si>
    <t>**금융채 II(금융기관채)</t>
  </si>
  <si>
    <t>3.362</t>
  </si>
  <si>
    <t>3.710</t>
  </si>
  <si>
    <t>3.944</t>
  </si>
  <si>
    <t>3.979</t>
  </si>
  <si>
    <t>4.172</t>
  </si>
  <si>
    <t>4.327</t>
  </si>
  <si>
    <t>4.392</t>
  </si>
  <si>
    <t>4.462</t>
  </si>
  <si>
    <t>4.829</t>
  </si>
  <si>
    <t>5.763</t>
  </si>
  <si>
    <t>AA0</t>
  </si>
  <si>
    <t>3.382</t>
  </si>
  <si>
    <t>3.725</t>
  </si>
  <si>
    <t>3.961</t>
  </si>
  <si>
    <t>3.996</t>
  </si>
  <si>
    <t>4.199</t>
  </si>
  <si>
    <t>4.359</t>
  </si>
  <si>
    <t>4.528</t>
  </si>
  <si>
    <t>4.580</t>
  </si>
  <si>
    <t>4.730</t>
  </si>
  <si>
    <t>5.055</t>
  </si>
  <si>
    <t>5.936</t>
  </si>
  <si>
    <t>AA-</t>
  </si>
  <si>
    <t>3.401</t>
  </si>
  <si>
    <t>3.764</t>
  </si>
  <si>
    <t>4.014</t>
  </si>
  <si>
    <t>4.060</t>
  </si>
  <si>
    <t>4.265</t>
  </si>
  <si>
    <t>4.444</t>
  </si>
  <si>
    <t>4.514</t>
  </si>
  <si>
    <t>4.614</t>
  </si>
  <si>
    <t>4.673</t>
  </si>
  <si>
    <t>4.821</t>
  </si>
  <si>
    <t>5.263</t>
  </si>
  <si>
    <t>6.161</t>
  </si>
  <si>
    <t>4.151</t>
  </si>
  <si>
    <t>4.598</t>
  </si>
  <si>
    <t>5.149</t>
  </si>
  <si>
    <t>5.398</t>
  </si>
  <si>
    <t>5.687</t>
  </si>
  <si>
    <t>5.954</t>
  </si>
  <si>
    <t>6.162</t>
  </si>
  <si>
    <t>6.858</t>
  </si>
  <si>
    <t>A0</t>
  </si>
  <si>
    <t>4.180</t>
  </si>
  <si>
    <t>5.054</t>
  </si>
  <si>
    <t>5.087</t>
  </si>
  <si>
    <t>5.283</t>
  </si>
  <si>
    <t>5.680</t>
  </si>
  <si>
    <t>5.900</t>
  </si>
  <si>
    <t>6.171</t>
  </si>
  <si>
    <t>6.374</t>
  </si>
  <si>
    <t>6.615</t>
  </si>
  <si>
    <t>6.689</t>
  </si>
  <si>
    <t>7.279</t>
  </si>
  <si>
    <t>A-</t>
  </si>
  <si>
    <t>4.687</t>
  </si>
  <si>
    <t>5.351</t>
  </si>
  <si>
    <t>5.647</t>
  </si>
  <si>
    <t>5.645</t>
  </si>
  <si>
    <t>5.842</t>
  </si>
  <si>
    <t>6.244</t>
  </si>
  <si>
    <t>6.535</t>
  </si>
  <si>
    <t>6.813</t>
  </si>
  <si>
    <t>7.047</t>
  </si>
  <si>
    <t>7.264</t>
  </si>
  <si>
    <t>7.336</t>
  </si>
  <si>
    <t>7.924</t>
  </si>
  <si>
    <t>BBB</t>
  </si>
  <si>
    <t>5.801</t>
  </si>
  <si>
    <t>6.653</t>
  </si>
  <si>
    <t>7.099</t>
  </si>
  <si>
    <t>7.174</t>
  </si>
  <si>
    <t>7.441</t>
  </si>
  <si>
    <t>8.124</t>
  </si>
  <si>
    <t>8.491</t>
  </si>
  <si>
    <t>8.810</t>
  </si>
  <si>
    <t>8.983</t>
  </si>
  <si>
    <t>9.290</t>
  </si>
  <si>
    <t>9.454</t>
  </si>
  <si>
    <t>10.271</t>
  </si>
  <si>
    <t>회사채 I(공모사채)</t>
  </si>
  <si>
    <t>***보증</t>
  </si>
  <si>
    <t>특수은행,우량시중은행</t>
  </si>
  <si>
    <t>3.263</t>
  </si>
  <si>
    <t>3.603</t>
  </si>
  <si>
    <t>3.859</t>
  </si>
  <si>
    <t>4.035</t>
  </si>
  <si>
    <t>4.158</t>
  </si>
  <si>
    <t>4.219</t>
  </si>
  <si>
    <t>4.289</t>
  </si>
  <si>
    <t>시중은행</t>
  </si>
  <si>
    <t>3.668</t>
  </si>
  <si>
    <t>3.948</t>
  </si>
  <si>
    <t>4.132</t>
  </si>
  <si>
    <t>4.273</t>
  </si>
  <si>
    <t>4.346</t>
  </si>
  <si>
    <t>4.439</t>
  </si>
  <si>
    <t>우량지방은행</t>
  </si>
  <si>
    <t>3.436</t>
  </si>
  <si>
    <t>3.796</t>
  </si>
  <si>
    <t>4.049</t>
  </si>
  <si>
    <t>4.095</t>
  </si>
  <si>
    <t>4.316</t>
  </si>
  <si>
    <t>4.475</t>
  </si>
  <si>
    <t>4.560</t>
  </si>
  <si>
    <t>4.665</t>
  </si>
  <si>
    <t>4.939</t>
  </si>
  <si>
    <t>기타금융기관</t>
  </si>
  <si>
    <t>3.501</t>
  </si>
  <si>
    <t>4.002</t>
  </si>
  <si>
    <t>4.310</t>
  </si>
  <si>
    <t>4.361</t>
  </si>
  <si>
    <t>4.714</t>
  </si>
  <si>
    <t>5.074</t>
  </si>
  <si>
    <t>5.207</t>
  </si>
  <si>
    <t>5.382</t>
  </si>
  <si>
    <t>5.738</t>
  </si>
  <si>
    <t>3.280</t>
  </si>
  <si>
    <t>3.687</t>
  </si>
  <si>
    <t>4.108</t>
  </si>
  <si>
    <t>4.286</t>
  </si>
  <si>
    <t>4.339</t>
  </si>
  <si>
    <t>4.385</t>
  </si>
  <si>
    <t>4.433</t>
  </si>
  <si>
    <t>4.510</t>
  </si>
  <si>
    <t>4.592</t>
  </si>
  <si>
    <t>4.891</t>
  </si>
  <si>
    <t>3.366</t>
  </si>
  <si>
    <t>3.787</t>
  </si>
  <si>
    <t>3.980</t>
  </si>
  <si>
    <t>4.006</t>
  </si>
  <si>
    <t>4.176</t>
  </si>
  <si>
    <t>4.365</t>
  </si>
  <si>
    <t>4.421</t>
  </si>
  <si>
    <t>4.488</t>
  </si>
  <si>
    <t>4.534</t>
  </si>
  <si>
    <t>4.695</t>
  </si>
  <si>
    <t>5.176</t>
  </si>
  <si>
    <t>3.399</t>
  </si>
  <si>
    <t>3.819</t>
  </si>
  <si>
    <t>4.016</t>
  </si>
  <si>
    <t>4.042</t>
  </si>
  <si>
    <t>4.216</t>
  </si>
  <si>
    <t>4.456</t>
  </si>
  <si>
    <t>4.525</t>
  </si>
  <si>
    <t>4.575</t>
  </si>
  <si>
    <t>4.667</t>
  </si>
  <si>
    <t>4.792</t>
  </si>
  <si>
    <t>5.512</t>
  </si>
  <si>
    <t>3.428</t>
  </si>
  <si>
    <t>3.850</t>
  </si>
  <si>
    <t>4.047</t>
  </si>
  <si>
    <t>4.078</t>
  </si>
  <si>
    <t>4.250</t>
  </si>
  <si>
    <t>4.445</t>
  </si>
  <si>
    <t>4.501</t>
  </si>
  <si>
    <t>4.639</t>
  </si>
  <si>
    <t>4.770</t>
  </si>
  <si>
    <t>4.989</t>
  </si>
  <si>
    <t>5.878</t>
  </si>
  <si>
    <t>3.511</t>
  </si>
  <si>
    <t>3.946</t>
  </si>
  <si>
    <t>4.725</t>
  </si>
  <si>
    <t>4.822</t>
  </si>
  <si>
    <t>4.963</t>
  </si>
  <si>
    <t>5.139</t>
  </si>
  <si>
    <t>5.437</t>
  </si>
  <si>
    <t>5.659</t>
  </si>
  <si>
    <t>6.460</t>
  </si>
  <si>
    <t>3.610</t>
  </si>
  <si>
    <t>4.063</t>
  </si>
  <si>
    <t>4.320</t>
  </si>
  <si>
    <t>4.376</t>
  </si>
  <si>
    <t>4.659</t>
  </si>
  <si>
    <t>4.913</t>
  </si>
  <si>
    <t>5.026</t>
  </si>
  <si>
    <t>5.235</t>
  </si>
  <si>
    <t>5.500</t>
  </si>
  <si>
    <t>5.882</t>
  </si>
  <si>
    <t>6.117</t>
  </si>
  <si>
    <t>6.921</t>
  </si>
  <si>
    <t>3.840</t>
  </si>
  <si>
    <t>4.591</t>
  </si>
  <si>
    <t>4.646</t>
  </si>
  <si>
    <t>4.970</t>
  </si>
  <si>
    <t>5.267</t>
  </si>
  <si>
    <t>5.435</t>
  </si>
  <si>
    <t>5.691</t>
  </si>
  <si>
    <t>5.998</t>
  </si>
  <si>
    <t>6.472</t>
  </si>
  <si>
    <t>6.647</t>
  </si>
  <si>
    <t>7.435</t>
  </si>
  <si>
    <t>BBB+</t>
  </si>
  <si>
    <t>4.186</t>
  </si>
  <si>
    <t>5.000</t>
  </si>
  <si>
    <t>5.565</t>
  </si>
  <si>
    <t>5.708</t>
  </si>
  <si>
    <t>6.462</t>
  </si>
  <si>
    <t>7.307</t>
  </si>
  <si>
    <t>7.627</t>
  </si>
  <si>
    <t>7.957</t>
  </si>
  <si>
    <t>8.155</t>
  </si>
  <si>
    <t>8.352</t>
  </si>
  <si>
    <t>8.448</t>
  </si>
  <si>
    <t>8.925</t>
  </si>
  <si>
    <t>BBB0</t>
  </si>
  <si>
    <t>4.568</t>
  </si>
  <si>
    <t>5.516</t>
  </si>
  <si>
    <t>6.157</t>
  </si>
  <si>
    <t>6.397</t>
  </si>
  <si>
    <t>7.281</t>
  </si>
  <si>
    <t>8.266</t>
  </si>
  <si>
    <t>8.670</t>
  </si>
  <si>
    <t>9.007</t>
  </si>
  <si>
    <t>9.203</t>
  </si>
  <si>
    <t>9.402</t>
  </si>
  <si>
    <t>9.501</t>
  </si>
  <si>
    <t>10.022</t>
  </si>
  <si>
    <t>BBB-</t>
  </si>
  <si>
    <t>5.248</t>
  </si>
  <si>
    <t>6.317</t>
  </si>
  <si>
    <t>7.091</t>
  </si>
  <si>
    <t>7.393</t>
  </si>
  <si>
    <t>8.410</t>
  </si>
  <si>
    <t>9.434</t>
  </si>
  <si>
    <t>9.918</t>
  </si>
  <si>
    <t>10.385</t>
  </si>
  <si>
    <t>10.623</t>
  </si>
  <si>
    <t>10.827</t>
  </si>
  <si>
    <t>10.921</t>
  </si>
  <si>
    <t>11.456</t>
  </si>
  <si>
    <t>회사채 II(사모사채)</t>
  </si>
  <si>
    <t>3.368</t>
  </si>
  <si>
    <t>3.797</t>
  </si>
  <si>
    <t>4.003</t>
  </si>
  <si>
    <t>4.045</t>
  </si>
  <si>
    <t>4.259</t>
  </si>
  <si>
    <t>4.446</t>
  </si>
  <si>
    <t>4.565</t>
  </si>
  <si>
    <t>4.626</t>
  </si>
  <si>
    <t>4.724</t>
  </si>
  <si>
    <t>4.834</t>
  </si>
  <si>
    <t>5.165</t>
  </si>
  <si>
    <t>3.529</t>
  </si>
  <si>
    <t>3.976</t>
  </si>
  <si>
    <t>4.189</t>
  </si>
  <si>
    <t>4.224</t>
  </si>
  <si>
    <t>4.413</t>
  </si>
  <si>
    <t>4.606</t>
  </si>
  <si>
    <t>4.756</t>
  </si>
  <si>
    <t>4.816</t>
  </si>
  <si>
    <t>4.930</t>
  </si>
  <si>
    <t>5.791</t>
  </si>
  <si>
    <t>3.707</t>
  </si>
  <si>
    <t>4.185</t>
  </si>
  <si>
    <t>4.434</t>
  </si>
  <si>
    <t>4.497</t>
  </si>
  <si>
    <t>4.777</t>
  </si>
  <si>
    <t>5.041</t>
  </si>
  <si>
    <t>5.173</t>
  </si>
  <si>
    <t>5.327</t>
  </si>
  <si>
    <t>5.513</t>
  </si>
  <si>
    <t>5.831</t>
  </si>
  <si>
    <t>6.093</t>
  </si>
  <si>
    <t>6.916</t>
  </si>
  <si>
    <t>3.827</t>
  </si>
  <si>
    <t>4.332</t>
  </si>
  <si>
    <t>4.609</t>
  </si>
  <si>
    <t>4.682</t>
  </si>
  <si>
    <t>4.981</t>
  </si>
  <si>
    <t>5.265</t>
  </si>
  <si>
    <t>5.409</t>
  </si>
  <si>
    <t>5.630</t>
  </si>
  <si>
    <t>5.924</t>
  </si>
  <si>
    <t>6.320</t>
  </si>
  <si>
    <t>6.594</t>
  </si>
  <si>
    <t>7.428</t>
  </si>
  <si>
    <t>4.090</t>
  </si>
  <si>
    <t>4.612</t>
  </si>
  <si>
    <t>4.919</t>
  </si>
  <si>
    <t>4.993</t>
  </si>
  <si>
    <t>5.332</t>
  </si>
  <si>
    <t>5.657</t>
  </si>
  <si>
    <t>5.851</t>
  </si>
  <si>
    <t>6.121</t>
  </si>
  <si>
    <t>6.440</t>
  </si>
  <si>
    <t>6.943</t>
  </si>
  <si>
    <t>7.153</t>
  </si>
  <si>
    <t>7.964</t>
  </si>
  <si>
    <t>기준일</t>
    <phoneticPr fontId="2" type="noConversion"/>
  </si>
  <si>
    <t>취득부대비</t>
    <phoneticPr fontId="2" type="noConversion"/>
  </si>
  <si>
    <t>보증금</t>
    <phoneticPr fontId="2" type="noConversion"/>
  </si>
  <si>
    <t>Equity</t>
    <phoneticPr fontId="2" type="noConversion"/>
  </si>
  <si>
    <t>예비현금</t>
    <phoneticPr fontId="2" type="noConversion"/>
  </si>
  <si>
    <t>Vehicle 관련</t>
    <phoneticPr fontId="2" type="noConversion"/>
  </si>
  <si>
    <t>이자적립유보금</t>
  </si>
  <si>
    <t>이자적립유보금</t>
    <phoneticPr fontId="2" type="noConversion"/>
  </si>
  <si>
    <t>기초</t>
    <phoneticPr fontId="2" type="noConversion"/>
  </si>
  <si>
    <t>DSCR_선순위</t>
    <phoneticPr fontId="2" type="noConversion"/>
  </si>
  <si>
    <t>DSCR_중순위</t>
    <phoneticPr fontId="2" type="noConversion"/>
  </si>
  <si>
    <t>기타현금</t>
    <phoneticPr fontId="2" type="noConversion"/>
  </si>
  <si>
    <t>자본금</t>
  </si>
  <si>
    <t>실물자산 재무모델 Assumption &amp; Report</t>
  </si>
  <si>
    <t>[작성 GUIDE]</t>
  </si>
  <si>
    <t>[주요 지표 설명]</t>
  </si>
  <si>
    <t>작성자 : 리츠투자부문 상장리츠팀</t>
  </si>
  <si>
    <t>* 사업팀 작성하는 재무모델과 본 sheet를 연결해서 사용 권장</t>
  </si>
  <si>
    <t>* 펀드비용 : 자산관리수수료, 사무수탁수수료, 자산보관수수료, 임원보수 등 리츠(펀드) 등 vehicle 운용하면서 발생하는 수수료</t>
  </si>
  <si>
    <t>작성일자 : 2026-10-06</t>
  </si>
  <si>
    <t>* 재무실사 진행시, 회계법인에 제공하여 작성 권장(본 재무모델과 연동)</t>
  </si>
  <si>
    <t>* NOI : 영업수익 - 관리비용(펀드비용, 감가상각비 외)</t>
  </si>
  <si>
    <t>프로젝트명 : 안양물류센터 매입 (코람코라이프로지스리츠)</t>
  </si>
  <si>
    <t>* "0. 자산 개요"에는 기재 가능한 정보만 기재</t>
  </si>
  <si>
    <t>* Net CF : 사업팀에서 본 프로젝트 진행을 위해 검토한 CF</t>
  </si>
  <si>
    <t>* Net CF(100% Equity) : 본 프로젝트 진행시 대출이 "0"으로 가정한 CF</t>
  </si>
  <si>
    <t>* Net CF(펀드 관련 수수료 제외) : 사업팀에서 본 프로젝트 진행을 위해 검토한 CF에서 펀드비용을 더한 CF(펀드비용이 "0"인 가정)</t>
  </si>
  <si>
    <t>* Net CF(코람코 배당+보수) : 사업팀에서 본 프로젝트 진행을 위해 검토한 CF에서 코람코 투자한 금액에 대한 배당금 및 수취하는 보수를 더한 CF</t>
  </si>
  <si>
    <t>0. 자산 개요</t>
  </si>
  <si>
    <t>1.매입 및 재원조달</t>
  </si>
  <si>
    <t>6. Forecasting Cash Flow</t>
  </si>
  <si>
    <t>(단위 : 백만원)</t>
  </si>
  <si>
    <t>*매입</t>
  </si>
  <si>
    <t>*조달</t>
  </si>
  <si>
    <t>*건물 Image  (투심자료 Ⅰ. 사업개요 참조)</t>
  </si>
  <si>
    <t>평당 가격(만원)</t>
  </si>
  <si>
    <t>재원비중</t>
  </si>
  <si>
    <t>이자율/수익률</t>
  </si>
  <si>
    <t>’26 (종결)</t>
  </si>
  <si>
    <t>’27</t>
  </si>
  <si>
    <t>’28</t>
  </si>
  <si>
    <t>’29</t>
  </si>
  <si>
    <t>’30</t>
  </si>
  <si>
    <t>’31</t>
  </si>
  <si>
    <t>’32</t>
  </si>
  <si>
    <t>’33</t>
  </si>
  <si>
    <t>’34</t>
  </si>
  <si>
    <t>’35</t>
  </si>
  <si>
    <t>’36</t>
  </si>
  <si>
    <t>부동산매입금액</t>
  </si>
  <si>
    <t>매입</t>
  </si>
  <si>
    <t>총 사업비(AUM)</t>
  </si>
  <si>
    <t>토지</t>
  </si>
  <si>
    <t>우선주(1종)</t>
  </si>
  <si>
    <t>Going-in Cap Rate</t>
  </si>
  <si>
    <t>개발비</t>
  </si>
  <si>
    <t>우선주(2종)</t>
  </si>
  <si>
    <t>평당 매입 금액(만원)</t>
  </si>
  <si>
    <t>건물</t>
  </si>
  <si>
    <t>보통주(코람코제외, KLI)</t>
  </si>
  <si>
    <t>보통주(코람코PI)</t>
  </si>
  <si>
    <t>코람코PI</t>
  </si>
  <si>
    <t>우선주(3종, 매도인 재투자)</t>
  </si>
  <si>
    <t>무배당</t>
  </si>
  <si>
    <t>대출금</t>
  </si>
  <si>
    <t>LTV(%) - 총사업비 대비</t>
  </si>
  <si>
    <t>취득관련비용</t>
  </si>
  <si>
    <t>Debt</t>
  </si>
  <si>
    <t>취득부대비용</t>
  </si>
  <si>
    <t>단기차입금 (V.A.T 대출, 환급 상환)</t>
  </si>
  <si>
    <t>매각</t>
  </si>
  <si>
    <t>매각현금 흐름</t>
  </si>
  <si>
    <t>담보차입금(선순위) 1차</t>
  </si>
  <si>
    <t>Terminal Cap Rate</t>
  </si>
  <si>
    <t>자문수수료 등 (실사·소유권이전)</t>
  </si>
  <si>
    <t>담보차입금(선순위) 2차 - 리파이 가정</t>
  </si>
  <si>
    <t>평당 매각 금액(만원)</t>
  </si>
  <si>
    <t>담보차입금(선순위) 3차 - 리파이 가정</t>
  </si>
  <si>
    <t>취득세 (V.A.T 불공제 포함)</t>
  </si>
  <si>
    <t>대출부대비용 (금융수수료)</t>
  </si>
  <si>
    <t>담보차입금(중순위) 1차</t>
  </si>
  <si>
    <t>주식발행비용</t>
  </si>
  <si>
    <t>담보차입금(중순위) 2차</t>
  </si>
  <si>
    <t>기타수익</t>
  </si>
  <si>
    <t>자본적지출</t>
  </si>
  <si>
    <t>담보차입금(중순위) 3차</t>
  </si>
  <si>
    <t>관리비용(펀드비용, 감가상각비 외)</t>
  </si>
  <si>
    <t>펀드비용</t>
  </si>
  <si>
    <t>예비비 (여유현금 포함)</t>
  </si>
  <si>
    <t>영업외 수익</t>
  </si>
  <si>
    <t>이자수익 등</t>
  </si>
  <si>
    <t>*위치 Map  (투심자료 Ⅰ. 사업개요 참조)</t>
  </si>
  <si>
    <t>영업외 비용(이자 등)</t>
  </si>
  <si>
    <t>대출수수료 (취득 시 자본화)</t>
  </si>
  <si>
    <t>DSCR (NOI / 전체 이자비용)</t>
  </si>
  <si>
    <t>배당</t>
  </si>
  <si>
    <t>배당가능이익</t>
  </si>
  <si>
    <t>배당금</t>
  </si>
  <si>
    <t>초과이익배당</t>
  </si>
  <si>
    <t>매입 총계 (AUM)</t>
  </si>
  <si>
    <t>재원조달 계</t>
  </si>
  <si>
    <t>우선주(1종) 배당+원금</t>
  </si>
  <si>
    <t>IRR(%) - 매각포함</t>
  </si>
  <si>
    <t>COC(%) - 매각포함</t>
  </si>
  <si>
    <t>2. 매각</t>
  </si>
  <si>
    <t>우선주(2종) 배당+원금</t>
  </si>
  <si>
    <t>매각 가정</t>
  </si>
  <si>
    <t>우선주(3종) 원금 (무배당, ’28 유상감자)</t>
  </si>
  <si>
    <t>보통주(KLI) 배당+원금</t>
  </si>
  <si>
    <t>평</t>
  </si>
  <si>
    <t>Net CF (Equity 전체: 1·2·3종·보통주)</t>
  </si>
  <si>
    <t xml:space="preserve">  프로젝트 IRR</t>
  </si>
  <si>
    <t>처분비용</t>
  </si>
  <si>
    <t>매각금액 x</t>
  </si>
  <si>
    <t>매각기본보수</t>
  </si>
  <si>
    <t>Net CF(100% Equity) - 차입·상환·이자 제거</t>
  </si>
  <si>
    <t>매각차익 x</t>
  </si>
  <si>
    <t xml:space="preserve">  프로젝트 IRR(Full Equity기준)</t>
  </si>
  <si>
    <t>Net CF(펀드 관련 수수료 제외)</t>
  </si>
  <si>
    <t>건물명</t>
  </si>
  <si>
    <t>안양물류센터 (코크렙안양 물류센터)</t>
  </si>
  <si>
    <t xml:space="preserve">  프로젝트 IRR(펀드 관련 수수료 제외)</t>
  </si>
  <si>
    <t>주소</t>
  </si>
  <si>
    <t>3. 임대가정</t>
  </si>
  <si>
    <t>연면적(평)</t>
  </si>
  <si>
    <t>코람코보수</t>
  </si>
  <si>
    <t>매입보수</t>
  </si>
  <si>
    <t>운용 개시일</t>
  </si>
  <si>
    <t>운용보수</t>
  </si>
  <si>
    <t>운용 만기일</t>
  </si>
  <si>
    <t>매입 시점 임대료가정 (원/평·월, 보증금 원/평)</t>
  </si>
  <si>
    <t>연차별 공실률 (1F 근생 141평 공실 가정)</t>
  </si>
  <si>
    <t>운용기간(월)</t>
  </si>
  <si>
    <t>섹터</t>
  </si>
  <si>
    <t>면적</t>
  </si>
  <si>
    <t>연차</t>
  </si>
  <si>
    <t>배당주기(월)</t>
  </si>
  <si>
    <t>PI</t>
  </si>
  <si>
    <t>Net CF(코람코 배당)</t>
  </si>
  <si>
    <t>임대형태</t>
  </si>
  <si>
    <t>다수 임차인 일반임대 (쿠팡 비중 77.2%), 관리비 별도</t>
  </si>
  <si>
    <t>코람코 IRR(배당)</t>
  </si>
  <si>
    <t>해당없음 (당사 PI 없음)</t>
  </si>
  <si>
    <t>*기본가정</t>
  </si>
  <si>
    <t>Net CF(코람코 배당+보수)</t>
  </si>
  <si>
    <t>인플레이션율</t>
  </si>
  <si>
    <t>임대료·관리비 2.5% / 운영비 2.0%</t>
  </si>
  <si>
    <t>코람코 IRR(배당+보수)</t>
  </si>
  <si>
    <t>해당없음 (당사 PI 없음, 보수만 수취)</t>
  </si>
  <si>
    <t>여유자금운용이자율</t>
  </si>
  <si>
    <t xml:space="preserve">   코람코투자 Multiple</t>
  </si>
  <si>
    <t>해당없음</t>
  </si>
  <si>
    <t>보증금 운용이율</t>
  </si>
  <si>
    <t xml:space="preserve">   보수 합계 (매입+운용+매각)</t>
  </si>
  <si>
    <t>교통유발부담금 상승률</t>
  </si>
  <si>
    <t>간주임대료 요율</t>
  </si>
  <si>
    <t>토지기준시가상승률</t>
  </si>
  <si>
    <t>건물기준시가상승률</t>
  </si>
  <si>
    <t>토지 별도합산여부</t>
  </si>
  <si>
    <t>초과배당 적용시 자본잉여금 전입 가정</t>
  </si>
  <si>
    <t>적용 (보통주 초기 1년 목표배당 7.5%, 자본준비금 감액배당)</t>
  </si>
  <si>
    <t>주식할증발행</t>
  </si>
  <si>
    <t>1·2종 25,000원 / 3종 23,000원 / 보통주 5,000원</t>
  </si>
  <si>
    <t>감가상각기간</t>
  </si>
  <si>
    <t>정액법 (연 3,418백만원)</t>
  </si>
  <si>
    <t>합계 (임대면적, 평)</t>
  </si>
  <si>
    <t>※ 옥상 태양광시설 임대 별도 (모델 A&amp;R V6)</t>
  </si>
  <si>
    <t>*주요 Comments</t>
  </si>
  <si>
    <t>Project 배경 설명</t>
  </si>
  <si>
    <t>1. 매도인 코크렙안양PFV(엘에프 95%) 보유, 경쟁입찰 우선협상자(’26.8.18)</t>
  </si>
  <si>
    <t>Rent-Free 등 세부가정</t>
  </si>
  <si>
    <t>2. KLI 보통주 출자 자리츠 → 2종(12M)·1종(24M) 매입확약</t>
  </si>
  <si>
    <t>Downtime
(개월)</t>
  </si>
  <si>
    <t>FIT-out
(개월)</t>
  </si>
  <si>
    <t>TI</t>
  </si>
  <si>
    <t>3. 매입가 2,700억 (감정가 대비 -19.3%), 임대율 99.3%</t>
  </si>
  <si>
    <t>전체 (모델 반영)</t>
  </si>
  <si>
    <t>4. 선순위 1,600 · 중순위 380억(24M) 후 리파이 가정</t>
  </si>
  <si>
    <t>3년차 집중분 (’29)</t>
  </si>
  <si>
    <t>5. 사업기간 10년(’26.10~’36.10), Exit Cap 4.89%</t>
  </si>
  <si>
    <t>※ Rent-Free 단위: 백만원 (10년 합계), Fit-out·TI 모델 미반영</t>
  </si>
  <si>
    <t>투자심의 Comments</t>
  </si>
  <si>
    <t>(있을 시 기재)</t>
  </si>
  <si>
    <t>운용본부 Comments</t>
  </si>
  <si>
    <t>(운용본부 기재)</t>
  </si>
  <si>
    <t>5.운영비용</t>
  </si>
  <si>
    <t>비용가정</t>
  </si>
  <si>
    <t>단가(원)</t>
  </si>
  <si>
    <t>주기</t>
  </si>
  <si>
    <t>연 상승률</t>
  </si>
  <si>
    <t>부동산관리비</t>
  </si>
  <si>
    <t>평당/월</t>
  </si>
  <si>
    <t>매 1개월</t>
  </si>
  <si>
    <t>매 12개월</t>
  </si>
  <si>
    <t>종합부동산세(토지분)</t>
  </si>
  <si>
    <t>12월</t>
  </si>
  <si>
    <t>7월</t>
  </si>
  <si>
    <t>재산세(주택분)</t>
  </si>
  <si>
    <t>10월</t>
  </si>
  <si>
    <t>도로점용료</t>
  </si>
  <si>
    <t>기타제세금</t>
  </si>
  <si>
    <t>기타비용</t>
  </si>
  <si>
    <t>기타운영비</t>
  </si>
  <si>
    <t>간주부가세</t>
  </si>
  <si>
    <t>중개수수료</t>
  </si>
  <si>
    <t>기존계약(개월)</t>
  </si>
  <si>
    <t>신규계약(개월)</t>
  </si>
  <si>
    <t>임차인지원</t>
  </si>
  <si>
    <t>운용수수료</t>
  </si>
  <si>
    <t>자산가액 x</t>
  </si>
  <si>
    <t>매 6개월</t>
  </si>
  <si>
    <t>일식(월, 천원)</t>
  </si>
  <si>
    <t>기타수수료 (임원급여·회계감사)</t>
  </si>
  <si>
    <t>이자 및 감가상각비</t>
  </si>
  <si>
    <t>이자비용(단기, V.A.T)</t>
  </si>
  <si>
    <t>매 3개월</t>
  </si>
  <si>
    <t>이자비용(담보-선)</t>
  </si>
  <si>
    <t>이자비용(담보-중순위)</t>
  </si>
  <si>
    <t>이자수익(유휴자금)</t>
  </si>
  <si>
    <t>정액법</t>
  </si>
  <si>
    <t>합계(관리비용)</t>
  </si>
  <si>
    <t>합계(펀드비용)</t>
  </si>
  <si>
    <t>합계(이자비용)</t>
  </si>
  <si>
    <t>미지급배당금</t>
    <phoneticPr fontId="2" type="noConversion"/>
  </si>
  <si>
    <t>IRR</t>
    <phoneticPr fontId="2" type="noConversion"/>
  </si>
  <si>
    <t>KLI 가중평균</t>
    <phoneticPr fontId="2" type="noConversion"/>
  </si>
  <si>
    <t>2026년</t>
  </si>
  <si>
    <t>2027년(E)</t>
  </si>
  <si>
    <t>2028년(E)</t>
  </si>
  <si>
    <t>2029년(E)</t>
  </si>
  <si>
    <t>(쿠팡 임대차연장)</t>
  </si>
  <si>
    <t>2030년(E)</t>
  </si>
  <si>
    <t>…</t>
  </si>
  <si>
    <t>2034년(E)</t>
  </si>
  <si>
    <t>(쿠팡 임대차만기)</t>
  </si>
  <si>
    <t>본 건 예상 Eff.Rent</t>
  </si>
  <si>
    <t>(*상승률 2.5%적용)</t>
  </si>
  <si>
    <t>61,463원/평</t>
  </si>
  <si>
    <t>63,000원/평</t>
  </si>
  <si>
    <t>64,575원/평</t>
  </si>
  <si>
    <t>66,189원/평</t>
  </si>
  <si>
    <t>67,844원/평</t>
  </si>
  <si>
    <t>74,887원/평</t>
  </si>
  <si>
    <t>쿠팡 임대차조건</t>
  </si>
  <si>
    <t>2-1(KLI)</t>
    <phoneticPr fontId="2" type="noConversion"/>
  </si>
  <si>
    <t>2-2 삼성증권</t>
    <phoneticPr fontId="2" type="noConversion"/>
  </si>
  <si>
    <t>2-1 타주주</t>
    <phoneticPr fontId="2" type="noConversion"/>
  </si>
  <si>
    <t>원본</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</si>
</sst>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1">
    <numFmt numFmtId="41" formatCode="_-* #,##0_-;\-* #,##0_-;_-* &quot;-&quot;_-;_-@_-"/>
    <numFmt numFmtId="43" formatCode="_-* #,##0.00_-;\-* #,##0.00_-;_-* &quot;-&quot;??_-;_-@_-"/>
    <numFmt numFmtId="176" formatCode="#,###;\(#,###\);\-"/>
    <numFmt numFmtId="177" formatCode="&quot;M&quot;###0;\(&quot;M&quot;###0\);&quot;M&quot;0"/>
    <numFmt numFmtId="178" formatCode="&quot;Q&quot;#,###;\(&quot;Q&quot;#,###\);&quot;Q&quot;0"/>
    <numFmt numFmtId="179" formatCode="&quot;FY&quot;###0;\(&quot;FY&quot;###0\);&quot;FY&quot;0"/>
    <numFmt numFmtId="180" formatCode="&quot;Y&quot;###0;\(&quot;Y&quot;###0\);&quot;Y&quot;0"/>
    <numFmt numFmtId="181" formatCode="#,##0&quot;Months&quot;"/>
    <numFmt numFmtId="182" formatCode="0.00%;\(0.00%\);\-"/>
    <numFmt numFmtId="183" formatCode="General&quot;F&quot;"/>
    <numFmt numFmtId="184" formatCode="#,##0.00&quot;py&quot;;\(#,##0.00&quot;py&quot;\);\-"/>
    <numFmt numFmtId="185" formatCode="General&quot;개월&quot;"/>
    <numFmt numFmtId="186" formatCode="&quot;x&quot;\ #,##0.00"/>
    <numFmt numFmtId="187" formatCode="#,##0.0000&quot;평/㎡&quot;;\(#,##0.0000&quot;평/㎡&quot;\);\-"/>
    <numFmt numFmtId="188" formatCode="&quot;Y+&quot;\ General"/>
    <numFmt numFmtId="189" formatCode="#,##0&quot;KRW&quot;"/>
    <numFmt numFmtId="190" formatCode="#,##0.0000&quot;㎡/py&quot;;\(#,##0.00&quot;㎡&quot;\);\-"/>
    <numFmt numFmtId="191" formatCode="#,##0.00&quot;㎡&quot;;\(#,##0.00&quot;㎡&quot;\);\-"/>
    <numFmt numFmtId="192" formatCode="0.0%"/>
    <numFmt numFmtId="193" formatCode="#,##0&quot;(/py)&quot;"/>
    <numFmt numFmtId="194" formatCode="#,##0.00&quot;m&quot;;\(#,##0.00&quot;m&quot;\);\-"/>
    <numFmt numFmtId="195" formatCode="&quot;연&quot;\ 0.00%\ &quot;상승&quot;"/>
    <numFmt numFmtId="196" formatCode="0.000%"/>
    <numFmt numFmtId="197" formatCode="0.0%;\(0.0%\);\-"/>
    <numFmt numFmtId="198" formatCode="&quot;FY&quot;\ #,##0"/>
    <numFmt numFmtId="199" formatCode="[$-409]mmmm\ d\,\ yyyy;@"/>
    <numFmt numFmtId="200" formatCode="0.0"/>
    <numFmt numFmtId="201" formatCode="#,##0.00_-;[Red]\(#,##0.00_-\);\-_-;@"/>
    <numFmt numFmtId="202" formatCode="_-* #,##0.0_-;\-* #,##0.0_-;_-* &quot;-&quot;_-;_-@_-"/>
    <numFmt numFmtId="203" formatCode="yyyy\.mm\.dd"/>
    <numFmt numFmtId="204" formatCode="_-* #,##0.00_-;\-* #,##0.00_-;_-* &quot;-&quot;_-;_-@_-"/>
    <numFmt numFmtId="205" formatCode="_-* #,##0_-;\-* #,##0_-;_-* &quot;-&quot;??_-;_-@_-"/>
    <numFmt numFmtId="206" formatCode="#,##0&quot;대&quot;"/>
    <numFmt numFmtId="207" formatCode="&quot;M&quot;#,##0"/>
    <numFmt numFmtId="208" formatCode="&quot;Q&quot;#,##0"/>
    <numFmt numFmtId="209" formatCode="&quot;FY&quot;#,##0"/>
    <numFmt numFmtId="210" formatCode="&quot;Y&quot;#,##0"/>
    <numFmt numFmtId="211" formatCode="#,##0.0"/>
    <numFmt numFmtId="212" formatCode="#,###.0;\(#,###.0\);\-"/>
    <numFmt numFmtId="213" formatCode="#,###.00;\(#,###.00\);\-"/>
    <numFmt numFmtId="214" formatCode="#,##0.0;\(#,##0.0\);;\-"/>
    <numFmt numFmtId="215" formatCode="#,###&quot;원/평&quot;;\(#,###\);\-"/>
    <numFmt numFmtId="216" formatCode="#,###&quot;천원/평&quot;;\(#,###\);\-"/>
    <numFmt numFmtId="217" formatCode="#,##0.000"/>
    <numFmt numFmtId="218" formatCode="#,##0&quot;개월&quot;"/>
    <numFmt numFmtId="219" formatCode="#,##0.0&quot;개월&quot;"/>
    <numFmt numFmtId="220" formatCode="#,##0&quot;원&quot;"/>
    <numFmt numFmtId="221" formatCode="0%;\(0%\);\-"/>
    <numFmt numFmtId="222" formatCode="General&quot;개월/도영&quot;"/>
    <numFmt numFmtId="223" formatCode="General&quot;도영&quot;"/>
    <numFmt numFmtId="224" formatCode="#,###&quot;년차&quot;;\(#,###\);\-"/>
    <numFmt numFmtId="225" formatCode="#,##0&quot;개월&quot;;\(#,##0\);\-"/>
    <numFmt numFmtId="226" formatCode="#,##0&quot;원/평&quot;"/>
    <numFmt numFmtId="227" formatCode="#,##0.00&quot;개월/년&quot;"/>
    <numFmt numFmtId="228" formatCode="#,##0&quot;백만원&quot;;\(#,##0\)&quot;백만원&quot;;\-"/>
    <numFmt numFmtId="229" formatCode="#,##0&quot;원/평&quot;;;\-"/>
    <numFmt numFmtId="230" formatCode="&quot;LTV&quot;\ 0%"/>
    <numFmt numFmtId="231" formatCode="yyyy/mm"/>
    <numFmt numFmtId="232" formatCode="0_);[Red]\(0\)"/>
    <numFmt numFmtId="233" formatCode="0_ "/>
    <numFmt numFmtId="234" formatCode="#,##0.0_);[Red]\(#,##0.0\)"/>
    <numFmt numFmtId="235" formatCode="#,##0_);[Red]\(#,##0\)"/>
    <numFmt numFmtId="236" formatCode="#,##0_ "/>
    <numFmt numFmtId="237" formatCode="#,##0&quot;만원/평&quot;"/>
    <numFmt numFmtId="238" formatCode="0.000%;\(0.000%\);\-"/>
    <numFmt numFmtId="239" formatCode="0.0000%;\(0.0000%\);\-"/>
    <numFmt numFmtId="240" formatCode="yyyy"/>
    <numFmt numFmtId="241" formatCode="&quot;Diff.&quot;\ #,###&quot;원 (원단위차)&quot;;&quot;Diff.&quot;\ \-#,###&quot;원 (원단위차)&quot;"/>
    <numFmt numFmtId="242" formatCode="_-* #,##0_-;\-* #,##0_-;_-* &quot;-&quot;?_-;_-@_-"/>
    <numFmt numFmtId="243" formatCode="#,##0.0_ "/>
    <numFmt numFmtId="244" formatCode="_ * #,##0_ ;_ * \-#,##0_ ;_ * &quot;-&quot;_ ;_ @_ "/>
    <numFmt numFmtId="245" formatCode="&quot;평균&quot;\ 0.00%"/>
    <numFmt numFmtId="246" formatCode="#,##0.00&quot;년&quot;"/>
    <numFmt numFmtId="247" formatCode="#,##0&quot;천원/평&quot;"/>
    <numFmt numFmtId="248" formatCode="#,##0&quot;억원&quot;"/>
    <numFmt numFmtId="249" formatCode="&quot;Cap&quot;\ 0.00%"/>
    <numFmt numFmtId="250" formatCode="#,##0.0&quot;천원/평&quot;"/>
    <numFmt numFmtId="251" formatCode="\As\ \o\f\ yyyy/mm/dd"/>
    <numFmt numFmtId="252" formatCode="_-* #,##0.0000_-;\-* #,##0.0000_-;_-* &quot;-&quot;??_-;_-@_-"/>
    <numFmt numFmtId="253" formatCode="_(* #,##0_);_(* \(#,##0\);_(* &quot;-&quot;_);_(@_)"/>
    <numFmt numFmtId="254" formatCode="0&quot; F&quot;"/>
    <numFmt numFmtId="255" formatCode="dd&quot;-&quot;mmm&quot;-&quot;yyyy"/>
    <numFmt numFmtId="256" formatCode="General&quot;회차&quot;"/>
    <numFmt numFmtId="257" formatCode="#,##0&quot;회차&quot;;;\-"/>
    <numFmt numFmtId="258" formatCode="#,##0;\(#,##0\);\-"/>
    <numFmt numFmtId="259" formatCode="#,##0&quot;bp&quot;"/>
    <numFmt numFmtId="260" formatCode="#,##0_);[Red]\(#,##0\);\-_)"/>
    <numFmt numFmtId="261" formatCode="0.000%\ "/>
    <numFmt numFmtId="262" formatCode="0.0%\ "/>
    <numFmt numFmtId="263" formatCode="General&quot;F 이상&quot;"/>
    <numFmt numFmtId="264" formatCode="yy\.mm\.dd"/>
    <numFmt numFmtId="265" formatCode="#,##0_);\(#,##0\);\-_)"/>
    <numFmt numFmtId="266" formatCode="#,##0.0&quot;개월&quot;_);[Red]\-#,##0.0&quot;개월&quot;_)"/>
    <numFmt numFmtId="267" formatCode="#,##0&quot;년차&quot;_);[Red]\-#,##0&quot;년차&quot;_)"/>
    <numFmt numFmtId="268" formatCode="yyyy\-mm\-dd"/>
    <numFmt numFmtId="269" formatCode="yy\.mm"/>
    <numFmt numFmtId="270" formatCode="0.00%\ "/>
    <numFmt numFmtId="271" formatCode="#,##0&quot;회차&quot;_);[Red]\-#,##0&quot;회차&quot;_)"/>
    <numFmt numFmtId="272" formatCode="#,##0.00_);[Red]\(#,##0.00\);\-_)\ "/>
    <numFmt numFmtId="273" formatCode="0.00_ "/>
    <numFmt numFmtId="274" formatCode="_-[$£-809]* #,##0.00_-;\-[$£-809]* #,##0.00_-;_-[$£-809]* &quot;-&quot;??_-;_-@_-"/>
    <numFmt numFmtId="275" formatCode="_-@"/>
    <numFmt numFmtId="276" formatCode="#,##0&quot;개월&quot;_);[Red]\-#,##0&quot;개월&quot;_)"/>
    <numFmt numFmtId="277" formatCode="#,##0&quot;분기&quot;_);[Red]\-#,##0&quot;분기&quot;_)"/>
    <numFmt numFmtId="278" formatCode="#,##0&quot;반기&quot;_);[Red]\-#,##0&quot;반기&quot;_)"/>
    <numFmt numFmtId="279" formatCode="\+0.0%"/>
    <numFmt numFmtId="280" formatCode="0.000000000000000000_ "/>
    <numFmt numFmtId="281" formatCode="#,##0&quot;원&quot;_);[Red]\-#,##0&quot;원&quot;_)"/>
    <numFmt numFmtId="282" formatCode="#,##0&quot;개월 후&quot;_);[Red]\-#,##0&quot;개월 후&quot;_)"/>
    <numFmt numFmtId="283" formatCode="0%\ "/>
    <numFmt numFmtId="284" formatCode="General&quot;천원&quot;"/>
    <numFmt numFmtId="285" formatCode="#,##0&quot;주&quot;"/>
    <numFmt numFmtId="286" formatCode="#,##0&quot;억원&quot;_);[Red]\-#,##0&quot;억원&quot;_)"/>
    <numFmt numFmtId="287" formatCode="#,##0.00_);\(#,##0.00\)"/>
    <numFmt numFmtId="288" formatCode="&quot;Y&quot;\ #,##0"/>
    <numFmt numFmtId="289" formatCode="&quot;FY&quot;00"/>
    <numFmt numFmtId="290" formatCode="#,##0.00_);[Red]\(#,##0.00\)"/>
    <numFmt numFmtId="291" formatCode="_-[$₩-412]* #,##0_-;\-[$₩-412]* #,##0_-;_-[$₩-412]* &quot;-&quot;??_-;_-@_-"/>
    <numFmt numFmtId="292" formatCode="#,##0.0&quot;평&quot;_);[Red]\-#,##0.0&quot;평&quot;_)"/>
    <numFmt numFmtId="293" formatCode="_-* #,##0.0_-;\-* #,##0.0_-;_-* &quot;-&quot;?_-;_-@_-"/>
    <numFmt numFmtId="294" formatCode="0.0000%"/>
  </numFmts>
  <fonts count="273">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8"/>
      <color theme="0"/>
      <name val="맑은 고딕"/>
      <family val="3"/>
      <charset val="129"/>
      <scheme val="minor"/>
    </font>
    <font>
      <sz val="8"/>
      <color theme="1"/>
      <name val="맑은 고딕"/>
      <family val="3"/>
      <charset val="129"/>
      <scheme val="minor"/>
    </font>
    <font>
      <sz val="8"/>
      <name val="맑은 고딕"/>
      <family val="3"/>
      <charset val="129"/>
      <scheme val="minor"/>
    </font>
    <font>
      <sz val="8"/>
      <color rgb="FFFF0000"/>
      <name val="맑은 고딕"/>
      <family val="3"/>
      <charset val="129"/>
      <scheme val="minor"/>
    </font>
    <font>
      <b/>
      <sz val="8"/>
      <color theme="1"/>
      <name val="맑은 고딕"/>
      <family val="3"/>
      <charset val="129"/>
      <scheme val="minor"/>
    </font>
    <font>
      <b/>
      <sz val="8"/>
      <color rgb="FFFF0000"/>
      <name val="맑은 고딕"/>
      <family val="3"/>
      <charset val="129"/>
      <scheme val="minor"/>
    </font>
    <font>
      <b/>
      <sz val="8"/>
      <color theme="0"/>
      <name val="맑은 고딕"/>
      <family val="3"/>
      <charset val="129"/>
      <scheme val="minor"/>
    </font>
    <font>
      <i/>
      <sz val="9"/>
      <color theme="0"/>
      <name val="맑은 고딕"/>
      <family val="3"/>
      <charset val="129"/>
    </font>
    <font>
      <sz val="9"/>
      <color theme="1"/>
      <name val="맑은 고딕"/>
      <family val="3"/>
      <charset val="129"/>
    </font>
    <font>
      <i/>
      <sz val="9"/>
      <name val="맑은 고딕"/>
      <family val="3"/>
      <charset val="129"/>
    </font>
    <font>
      <sz val="9"/>
      <color theme="0"/>
      <name val="맑은 고딕"/>
      <family val="3"/>
      <charset val="129"/>
    </font>
    <font>
      <sz val="9"/>
      <name val="맑은 고딕"/>
      <family val="3"/>
      <charset val="129"/>
    </font>
    <font>
      <sz val="9"/>
      <color rgb="FFFF0000"/>
      <name val="맑은 고딕"/>
      <family val="3"/>
      <charset val="129"/>
    </font>
    <font>
      <b/>
      <sz val="9"/>
      <color theme="1"/>
      <name val="맑은 고딕"/>
      <family val="3"/>
      <charset val="129"/>
    </font>
    <font>
      <b/>
      <sz val="9"/>
      <color rgb="FFFF0000"/>
      <name val="맑은 고딕"/>
      <family val="3"/>
      <charset val="129"/>
    </font>
    <font>
      <b/>
      <i/>
      <sz val="9"/>
      <color theme="0"/>
      <name val="맑은 고딕"/>
      <family val="3"/>
      <charset val="129"/>
    </font>
    <font>
      <b/>
      <i/>
      <sz val="9"/>
      <name val="맑은 고딕"/>
      <family val="3"/>
      <charset val="129"/>
    </font>
    <font>
      <b/>
      <sz val="9"/>
      <color theme="0"/>
      <name val="맑은 고딕"/>
      <family val="3"/>
      <charset val="129"/>
    </font>
    <font>
      <b/>
      <sz val="9"/>
      <name val="맑은 고딕"/>
      <family val="3"/>
      <charset val="129"/>
    </font>
    <font>
      <sz val="9"/>
      <color theme="8" tint="-0.249977111117893"/>
      <name val="맑은 고딕"/>
      <family val="3"/>
      <charset val="129"/>
    </font>
    <font>
      <i/>
      <sz val="9"/>
      <color theme="1"/>
      <name val="맑은 고딕"/>
      <family val="3"/>
      <charset val="129"/>
    </font>
    <font>
      <i/>
      <sz val="9"/>
      <color rgb="FFFF0000"/>
      <name val="맑은 고딕"/>
      <family val="3"/>
      <charset val="129"/>
    </font>
    <font>
      <b/>
      <i/>
      <sz val="9"/>
      <color rgb="FFFF0000"/>
      <name val="맑은 고딕"/>
      <family val="3"/>
      <charset val="129"/>
    </font>
    <font>
      <sz val="11"/>
      <name val="돋움"/>
      <family val="3"/>
      <charset val="129"/>
    </font>
    <font>
      <sz val="8"/>
      <name val="돋움"/>
      <family val="3"/>
      <charset val="129"/>
    </font>
    <font>
      <sz val="10"/>
      <name val="Arial"/>
      <family val="2"/>
    </font>
    <font>
      <sz val="11"/>
      <color indexed="8"/>
      <name val="맑은 고딕"/>
      <family val="3"/>
      <charset val="129"/>
    </font>
    <font>
      <b/>
      <sz val="9"/>
      <color indexed="81"/>
      <name val="돋움"/>
      <family val="3"/>
      <charset val="129"/>
    </font>
    <font>
      <b/>
      <sz val="9"/>
      <color indexed="81"/>
      <name val="Tahoma"/>
      <family val="2"/>
    </font>
    <font>
      <b/>
      <sz val="14"/>
      <color indexed="81"/>
      <name val="Tahoma"/>
      <family val="2"/>
    </font>
    <font>
      <sz val="14"/>
      <color indexed="81"/>
      <name val="Tahoma"/>
      <family val="2"/>
    </font>
    <font>
      <b/>
      <sz val="8"/>
      <name val="맑은 고딕"/>
      <family val="3"/>
      <charset val="129"/>
      <scheme val="minor"/>
    </font>
    <font>
      <b/>
      <sz val="8"/>
      <color indexed="8"/>
      <name val="맑은 고딕"/>
      <family val="3"/>
      <charset val="129"/>
      <scheme val="minor"/>
    </font>
    <font>
      <sz val="8"/>
      <color indexed="8"/>
      <name val="맑은 고딕"/>
      <family val="3"/>
      <charset val="129"/>
      <scheme val="minor"/>
    </font>
    <font>
      <strike/>
      <sz val="8"/>
      <name val="맑은 고딕"/>
      <family val="3"/>
      <charset val="129"/>
      <scheme val="minor"/>
    </font>
    <font>
      <i/>
      <sz val="8.5"/>
      <color theme="0"/>
      <name val="맑은 고딕"/>
      <family val="3"/>
      <charset val="129"/>
    </font>
    <font>
      <sz val="8.5"/>
      <color theme="1"/>
      <name val="맑은 고딕"/>
      <family val="3"/>
      <charset val="129"/>
    </font>
    <font>
      <i/>
      <sz val="8.5"/>
      <name val="맑은 고딕"/>
      <family val="3"/>
      <charset val="129"/>
    </font>
    <font>
      <b/>
      <sz val="8.5"/>
      <color theme="0"/>
      <name val="맑은 고딕"/>
      <family val="3"/>
      <charset val="129"/>
    </font>
    <font>
      <sz val="8.5"/>
      <color theme="0"/>
      <name val="맑은 고딕"/>
      <family val="3"/>
      <charset val="129"/>
    </font>
    <font>
      <b/>
      <sz val="8.5"/>
      <name val="맑은 고딕"/>
      <family val="3"/>
      <charset val="129"/>
    </font>
    <font>
      <sz val="8.5"/>
      <name val="맑은 고딕"/>
      <family val="3"/>
      <charset val="129"/>
    </font>
    <font>
      <b/>
      <sz val="8.5"/>
      <color theme="1"/>
      <name val="맑은 고딕"/>
      <family val="3"/>
      <charset val="129"/>
    </font>
    <font>
      <i/>
      <sz val="8.5"/>
      <color theme="1"/>
      <name val="맑은 고딕"/>
      <family val="3"/>
      <charset val="129"/>
    </font>
    <font>
      <sz val="8.5"/>
      <color rgb="FFFF0000"/>
      <name val="맑은 고딕"/>
      <family val="3"/>
      <charset val="129"/>
    </font>
    <font>
      <i/>
      <sz val="8.5"/>
      <color theme="0" tint="-0.249977111117893"/>
      <name val="맑은 고딕"/>
      <family val="3"/>
      <charset val="129"/>
    </font>
    <font>
      <sz val="9"/>
      <color rgb="FFC00000"/>
      <name val="맑은 고딕"/>
      <family val="3"/>
      <charset val="129"/>
    </font>
    <font>
      <b/>
      <sz val="9"/>
      <color rgb="FFC00000"/>
      <name val="맑은 고딕"/>
      <family val="3"/>
      <charset val="129"/>
    </font>
    <font>
      <b/>
      <i/>
      <sz val="9"/>
      <color rgb="FF00B0F0"/>
      <name val="맑은 고딕"/>
      <family val="3"/>
      <charset val="129"/>
    </font>
    <font>
      <i/>
      <sz val="9"/>
      <color rgb="FF00B0F0"/>
      <name val="맑은 고딕"/>
      <family val="3"/>
      <charset val="129"/>
    </font>
    <font>
      <sz val="9"/>
      <color theme="3" tint="0.499984740745262"/>
      <name val="맑은 고딕"/>
      <family val="3"/>
      <charset val="129"/>
    </font>
    <font>
      <i/>
      <sz val="8"/>
      <color theme="1"/>
      <name val="맑은 고딕"/>
      <family val="3"/>
      <charset val="129"/>
    </font>
    <font>
      <b/>
      <i/>
      <sz val="9"/>
      <color theme="1"/>
      <name val="맑은 고딕"/>
      <family val="3"/>
      <charset val="129"/>
    </font>
    <font>
      <b/>
      <i/>
      <sz val="9"/>
      <color rgb="FFC00000"/>
      <name val="맑은 고딕"/>
      <family val="3"/>
      <charset val="129"/>
    </font>
    <font>
      <b/>
      <i/>
      <sz val="9"/>
      <color rgb="FF0070C0"/>
      <name val="맑은 고딕"/>
      <family val="3"/>
      <charset val="129"/>
    </font>
    <font>
      <i/>
      <sz val="9"/>
      <color theme="0" tint="-0.34998626667073579"/>
      <name val="맑은 고딕"/>
      <family val="3"/>
      <charset val="129"/>
    </font>
    <font>
      <sz val="18"/>
      <name val="Arial"/>
      <family val="2"/>
    </font>
    <font>
      <b/>
      <sz val="9"/>
      <color rgb="FF000000"/>
      <name val="맑은 고딕"/>
      <family val="3"/>
      <charset val="129"/>
    </font>
    <font>
      <b/>
      <sz val="9"/>
      <color rgb="FF548235"/>
      <name val="맑은 고딕"/>
      <family val="3"/>
      <charset val="129"/>
    </font>
    <font>
      <sz val="8"/>
      <color rgb="FF000000"/>
      <name val="맑은 고딕"/>
      <family val="3"/>
      <charset val="129"/>
    </font>
    <font>
      <sz val="8"/>
      <color rgb="FF3D3935"/>
      <name val="맑은 고딕"/>
      <family val="3"/>
      <charset val="129"/>
    </font>
    <font>
      <sz val="9"/>
      <color rgb="FF000000"/>
      <name val="맑은 고딕"/>
      <family val="3"/>
      <charset val="129"/>
    </font>
    <font>
      <sz val="8"/>
      <name val="맑은 고딕"/>
      <family val="3"/>
      <charset val="129"/>
    </font>
    <font>
      <sz val="7"/>
      <name val="맑은 고딕"/>
      <family val="3"/>
      <charset val="129"/>
    </font>
    <font>
      <sz val="10"/>
      <color rgb="FF000000"/>
      <name val="KoPubWorld돋움체 Light"/>
      <family val="3"/>
      <charset val="129"/>
    </font>
    <font>
      <sz val="10"/>
      <color rgb="FF3D3935"/>
      <name val="KoPubWorld돋움체 Light"/>
      <family val="3"/>
      <charset val="129"/>
    </font>
    <font>
      <sz val="10"/>
      <name val="KoPubWorld돋움체 Light"/>
      <family val="3"/>
      <charset val="129"/>
    </font>
    <font>
      <sz val="10"/>
      <color rgb="FF000000"/>
      <name val="KoPubWorld돋움체 Bold"/>
      <family val="3"/>
      <charset val="129"/>
    </font>
    <font>
      <b/>
      <sz val="10"/>
      <color rgb="FF000000"/>
      <name val="KoPubWorld돋움체 Light"/>
      <family val="3"/>
      <charset val="129"/>
    </font>
    <font>
      <b/>
      <i/>
      <sz val="10"/>
      <color theme="1"/>
      <name val="KoPubWorld돋움체 Light"/>
      <family val="3"/>
      <charset val="129"/>
    </font>
    <font>
      <sz val="10"/>
      <color theme="1"/>
      <name val="KoPubWorld돋움체 Light"/>
      <family val="3"/>
      <charset val="129"/>
    </font>
    <font>
      <sz val="10"/>
      <color theme="0"/>
      <name val="Noto Sans CJK KR Bold"/>
      <family val="3"/>
      <charset val="129"/>
    </font>
    <font>
      <sz val="10"/>
      <color theme="0"/>
      <name val="돋움"/>
      <family val="3"/>
      <charset val="129"/>
    </font>
    <font>
      <sz val="10"/>
      <name val="돋움"/>
      <family val="3"/>
      <charset val="129"/>
    </font>
    <font>
      <i/>
      <sz val="7"/>
      <color theme="0"/>
      <name val="맑은 고딕"/>
      <family val="3"/>
      <charset val="129"/>
    </font>
    <font>
      <i/>
      <sz val="7"/>
      <name val="맑은 고딕"/>
      <family val="3"/>
      <charset val="129"/>
    </font>
    <font>
      <i/>
      <sz val="7"/>
      <color theme="1"/>
      <name val="맑은 고딕"/>
      <family val="3"/>
      <charset val="129"/>
    </font>
    <font>
      <sz val="9"/>
      <color rgb="FF00B050"/>
      <name val="맑은 고딕"/>
      <family val="3"/>
      <charset val="129"/>
    </font>
    <font>
      <b/>
      <sz val="16"/>
      <name val="굴림"/>
      <family val="3"/>
      <charset val="129"/>
    </font>
    <font>
      <sz val="12"/>
      <name val="Arial"/>
      <family val="2"/>
    </font>
    <font>
      <b/>
      <sz val="10"/>
      <name val="굴림"/>
      <family val="3"/>
      <charset val="129"/>
    </font>
    <font>
      <sz val="10"/>
      <name val="굴림"/>
      <family val="3"/>
      <charset val="129"/>
    </font>
    <font>
      <sz val="10"/>
      <color indexed="9"/>
      <name val="굴림"/>
      <family val="3"/>
      <charset val="129"/>
    </font>
    <font>
      <b/>
      <sz val="11"/>
      <name val="굴림"/>
      <family val="3"/>
      <charset val="129"/>
    </font>
    <font>
      <sz val="11"/>
      <name val="굴림"/>
      <family val="3"/>
      <charset val="129"/>
    </font>
    <font>
      <sz val="11"/>
      <name val="Arial"/>
      <family val="2"/>
    </font>
    <font>
      <sz val="8"/>
      <name val="돋움체"/>
      <family val="3"/>
      <charset val="129"/>
    </font>
    <font>
      <b/>
      <sz val="11"/>
      <name val="Arial"/>
      <family val="2"/>
    </font>
    <font>
      <sz val="11"/>
      <color indexed="9"/>
      <name val="굴림"/>
      <family val="3"/>
      <charset val="129"/>
    </font>
    <font>
      <sz val="11"/>
      <color rgb="FFF8F8F8"/>
      <name val="굴림"/>
      <family val="3"/>
      <charset val="129"/>
    </font>
    <font>
      <b/>
      <sz val="10"/>
      <name val="Arial"/>
      <family val="2"/>
    </font>
    <font>
      <b/>
      <sz val="11"/>
      <color indexed="9"/>
      <name val="굴림"/>
      <family val="3"/>
      <charset val="129"/>
    </font>
    <font>
      <b/>
      <sz val="11"/>
      <color indexed="9"/>
      <name val="돋움"/>
      <family val="3"/>
      <charset val="129"/>
    </font>
    <font>
      <sz val="11"/>
      <color theme="1"/>
      <name val="굴림"/>
      <family val="3"/>
      <charset val="129"/>
    </font>
    <font>
      <b/>
      <u/>
      <sz val="11"/>
      <name val="굴림"/>
      <family val="3"/>
      <charset val="129"/>
    </font>
    <font>
      <sz val="11"/>
      <color indexed="12"/>
      <name val="굴림"/>
      <family val="3"/>
      <charset val="129"/>
    </font>
    <font>
      <sz val="11"/>
      <name val="KoPub돋움체 Medium"/>
      <family val="3"/>
      <charset val="129"/>
    </font>
    <font>
      <b/>
      <sz val="9"/>
      <color indexed="81"/>
      <name val="굴림"/>
      <family val="3"/>
      <charset val="129"/>
    </font>
    <font>
      <sz val="9"/>
      <color indexed="81"/>
      <name val="굴림"/>
      <family val="3"/>
      <charset val="129"/>
    </font>
    <font>
      <sz val="9"/>
      <color indexed="81"/>
      <name val="Tahoma"/>
      <family val="2"/>
    </font>
    <font>
      <sz val="9"/>
      <color indexed="81"/>
      <name val="돋움"/>
      <family val="3"/>
      <charset val="129"/>
    </font>
    <font>
      <sz val="10"/>
      <color theme="1"/>
      <name val="맑은 고딕"/>
      <family val="2"/>
      <charset val="129"/>
      <scheme val="minor"/>
    </font>
    <font>
      <b/>
      <sz val="14"/>
      <color theme="1"/>
      <name val="맑은 고딕"/>
      <family val="3"/>
      <charset val="129"/>
      <scheme val="minor"/>
    </font>
    <font>
      <i/>
      <sz val="9"/>
      <color theme="1" tint="0.499984740745262"/>
      <name val="맑은 고딕"/>
      <family val="3"/>
      <charset val="129"/>
      <scheme val="minor"/>
    </font>
    <font>
      <sz val="10"/>
      <color theme="1"/>
      <name val="맑은 고딕"/>
      <family val="3"/>
      <charset val="129"/>
      <scheme val="minor"/>
    </font>
    <font>
      <sz val="10"/>
      <color rgb="FF0000FF"/>
      <name val="맑은 고딕"/>
      <family val="3"/>
      <charset val="129"/>
      <scheme val="minor"/>
    </font>
    <font>
      <b/>
      <sz val="10"/>
      <color rgb="FF0000FF"/>
      <name val="맑은 고딕"/>
      <family val="3"/>
      <charset val="129"/>
      <scheme val="minor"/>
    </font>
    <font>
      <b/>
      <sz val="10"/>
      <color theme="1"/>
      <name val="맑은 고딕"/>
      <family val="3"/>
      <charset val="129"/>
      <scheme val="minor"/>
    </font>
    <font>
      <i/>
      <sz val="8"/>
      <color theme="1"/>
      <name val="맑은 고딕"/>
      <family val="3"/>
      <charset val="129"/>
      <scheme val="minor"/>
    </font>
    <font>
      <sz val="10"/>
      <name val="맑은 고딕"/>
      <family val="3"/>
      <charset val="129"/>
      <scheme val="minor"/>
    </font>
    <font>
      <b/>
      <sz val="10"/>
      <color theme="0"/>
      <name val="맑은 고딕"/>
      <family val="3"/>
      <charset val="129"/>
      <scheme val="minor"/>
    </font>
    <font>
      <b/>
      <sz val="9"/>
      <color theme="0"/>
      <name val="맑은 고딕"/>
      <family val="3"/>
      <charset val="129"/>
      <scheme val="minor"/>
    </font>
    <font>
      <sz val="9"/>
      <color theme="1"/>
      <name val="맑은 고딕"/>
      <family val="3"/>
      <charset val="129"/>
      <scheme val="minor"/>
    </font>
    <font>
      <b/>
      <i/>
      <u/>
      <sz val="9"/>
      <color theme="1"/>
      <name val="맑은 고딕"/>
      <family val="3"/>
      <charset val="129"/>
      <scheme val="minor"/>
    </font>
    <font>
      <b/>
      <i/>
      <u val="singleAccounting"/>
      <sz val="10"/>
      <color theme="1"/>
      <name val="맑은 고딕"/>
      <family val="3"/>
      <charset val="129"/>
      <scheme val="minor"/>
    </font>
    <font>
      <sz val="12"/>
      <name val="바탕체"/>
      <family val="1"/>
      <charset val="129"/>
    </font>
    <font>
      <sz val="9"/>
      <name val="맑은 고딕"/>
      <family val="3"/>
      <charset val="129"/>
      <scheme val="major"/>
    </font>
    <font>
      <sz val="10"/>
      <color rgb="FFFF0000"/>
      <name val="맑은 고딕"/>
      <family val="3"/>
      <charset val="129"/>
      <scheme val="minor"/>
    </font>
    <font>
      <sz val="9"/>
      <color indexed="8"/>
      <name val="맑은 고딕"/>
      <family val="3"/>
      <charset val="129"/>
    </font>
    <font>
      <sz val="9"/>
      <color indexed="8"/>
      <name val="맑은 고딕"/>
      <family val="3"/>
      <charset val="129"/>
      <scheme val="major"/>
    </font>
    <font>
      <sz val="11"/>
      <name val="돋움체"/>
      <family val="3"/>
      <charset val="129"/>
    </font>
    <font>
      <b/>
      <sz val="9"/>
      <color indexed="8"/>
      <name val="맑은 고딕"/>
      <family val="3"/>
      <charset val="129"/>
      <scheme val="major"/>
    </font>
    <font>
      <sz val="9"/>
      <name val="맑은 고딕"/>
      <family val="3"/>
      <charset val="129"/>
      <scheme val="minor"/>
    </font>
    <font>
      <b/>
      <u/>
      <sz val="10"/>
      <color theme="1"/>
      <name val="맑은 고딕"/>
      <family val="3"/>
      <charset val="129"/>
      <scheme val="minor"/>
    </font>
    <font>
      <b/>
      <sz val="8"/>
      <name val="맑은 고딕"/>
      <family val="3"/>
      <charset val="129"/>
      <scheme val="major"/>
    </font>
    <font>
      <i/>
      <sz val="8"/>
      <name val="맑은 고딕"/>
      <family val="3"/>
      <charset val="129"/>
      <scheme val="major"/>
    </font>
    <font>
      <sz val="10"/>
      <color indexed="8"/>
      <name val="맑은 고딕"/>
      <family val="3"/>
      <charset val="129"/>
      <scheme val="major"/>
    </font>
    <font>
      <b/>
      <sz val="10"/>
      <color indexed="8"/>
      <name val="맑은 고딕"/>
      <family val="3"/>
      <charset val="129"/>
      <scheme val="major"/>
    </font>
    <font>
      <sz val="10"/>
      <color indexed="8"/>
      <name val="맑은 고딕"/>
      <family val="3"/>
      <charset val="129"/>
      <scheme val="minor"/>
    </font>
    <font>
      <sz val="10"/>
      <color rgb="FF0000FF"/>
      <name val="맑은 고딕"/>
      <family val="2"/>
      <charset val="129"/>
      <scheme val="minor"/>
    </font>
    <font>
      <i/>
      <sz val="9"/>
      <color rgb="FF002060"/>
      <name val="맑은 고딕"/>
      <family val="3"/>
      <charset val="129"/>
    </font>
    <font>
      <b/>
      <sz val="9"/>
      <color rgb="FF002060"/>
      <name val="맑은 고딕"/>
      <family val="3"/>
      <charset val="129"/>
    </font>
    <font>
      <b/>
      <i/>
      <sz val="11"/>
      <color theme="4" tint="0.39997558519241921"/>
      <name val="맑은 고딕"/>
      <family val="2"/>
      <charset val="129"/>
      <scheme val="minor"/>
    </font>
    <font>
      <b/>
      <i/>
      <sz val="11"/>
      <color theme="4" tint="0.39997558519241921"/>
      <name val="Arial"/>
      <family val="2"/>
    </font>
    <font>
      <vertAlign val="superscript"/>
      <sz val="10"/>
      <color rgb="FF000000"/>
      <name val="KoPubWorld돋움체 Light"/>
      <family val="3"/>
      <charset val="129"/>
    </font>
    <font>
      <b/>
      <i/>
      <sz val="6"/>
      <color rgb="FFFF0000"/>
      <name val="맑은 고딕"/>
      <family val="3"/>
      <charset val="129"/>
    </font>
    <font>
      <i/>
      <sz val="10"/>
      <color theme="1"/>
      <name val="KoPubWorld돋움체 Light"/>
      <family val="3"/>
      <charset val="129"/>
    </font>
    <font>
      <i/>
      <sz val="9"/>
      <color theme="1"/>
      <name val="KoPubWorld돋움체 Light"/>
      <family val="3"/>
      <charset val="129"/>
    </font>
    <font>
      <i/>
      <sz val="9"/>
      <color rgb="FFC00000"/>
      <name val="맑은 고딕"/>
      <family val="3"/>
      <charset val="129"/>
    </font>
    <font>
      <i/>
      <sz val="9"/>
      <color rgb="FFFF0000"/>
      <name val="KoPubWorld돋움체 Light"/>
      <family val="3"/>
      <charset val="129"/>
    </font>
    <font>
      <sz val="11"/>
      <color rgb="FF000000"/>
      <name val="맑은 고딕"/>
      <family val="3"/>
      <charset val="129"/>
    </font>
    <font>
      <sz val="11"/>
      <color rgb="FFFF0000"/>
      <name val="맑은 고딕"/>
      <family val="2"/>
      <charset val="129"/>
      <scheme val="minor"/>
    </font>
    <font>
      <b/>
      <sz val="24"/>
      <name val="Arial"/>
      <family val="2"/>
    </font>
    <font>
      <b/>
      <sz val="20"/>
      <name val="Arial"/>
      <family val="2"/>
    </font>
    <font>
      <sz val="22"/>
      <name val="Arial"/>
      <family val="2"/>
    </font>
    <font>
      <b/>
      <sz val="16"/>
      <name val="Arial"/>
      <family val="2"/>
    </font>
    <font>
      <b/>
      <sz val="12"/>
      <color theme="1"/>
      <name val="Arial"/>
      <family val="2"/>
    </font>
    <font>
      <sz val="8"/>
      <name val="Arial"/>
      <family val="2"/>
    </font>
    <font>
      <sz val="8"/>
      <color theme="0"/>
      <name val="Arial"/>
      <family val="2"/>
    </font>
    <font>
      <sz val="11"/>
      <color theme="1"/>
      <name val="맑은 고딕"/>
      <family val="2"/>
      <scheme val="minor"/>
    </font>
    <font>
      <b/>
      <sz val="11"/>
      <color indexed="9"/>
      <name val="Arial"/>
      <family val="2"/>
      <charset val="129"/>
    </font>
    <font>
      <b/>
      <sz val="11"/>
      <color rgb="FFFFFFFF"/>
      <name val="맑은 고딕"/>
      <family val="2"/>
      <charset val="129"/>
    </font>
    <font>
      <b/>
      <sz val="11"/>
      <color indexed="9"/>
      <name val="Arial"/>
      <family val="2"/>
    </font>
    <font>
      <b/>
      <sz val="11"/>
      <color theme="0"/>
      <name val="Arial"/>
      <family val="2"/>
      <charset val="129"/>
    </font>
    <font>
      <b/>
      <sz val="11"/>
      <color theme="0"/>
      <name val="맑은 고딕"/>
      <family val="2"/>
      <charset val="129"/>
    </font>
    <font>
      <b/>
      <sz val="11"/>
      <color theme="0"/>
      <name val="Arial"/>
      <family val="2"/>
    </font>
    <font>
      <b/>
      <sz val="10"/>
      <color indexed="9"/>
      <name val="Arial"/>
      <family val="2"/>
      <charset val="129"/>
    </font>
    <font>
      <b/>
      <sz val="10"/>
      <color rgb="FFFFFFFF"/>
      <name val="맑은 고딕"/>
      <family val="2"/>
      <charset val="129"/>
    </font>
    <font>
      <b/>
      <sz val="10"/>
      <color indexed="9"/>
      <name val="Arial"/>
      <family val="2"/>
    </font>
    <font>
      <b/>
      <sz val="10"/>
      <color rgb="FFFFFFFF"/>
      <name val="Arial"/>
      <family val="2"/>
      <charset val="129"/>
    </font>
    <font>
      <b/>
      <sz val="10"/>
      <color rgb="FFFFFFFF"/>
      <name val="Arial"/>
      <family val="2"/>
    </font>
    <font>
      <sz val="9"/>
      <name val="Arial"/>
      <family val="2"/>
    </font>
    <font>
      <sz val="9"/>
      <color theme="0"/>
      <name val="Arial"/>
      <family val="2"/>
    </font>
    <font>
      <sz val="11"/>
      <color theme="1"/>
      <name val="Arial"/>
      <family val="2"/>
    </font>
    <font>
      <sz val="9"/>
      <name val="Arial"/>
      <family val="2"/>
      <charset val="129"/>
    </font>
    <font>
      <sz val="9"/>
      <name val="맑은 고딕"/>
      <family val="2"/>
      <charset val="129"/>
    </font>
    <font>
      <sz val="11"/>
      <color theme="1"/>
      <name val="Arial"/>
      <family val="2"/>
      <charset val="129"/>
    </font>
    <font>
      <sz val="11"/>
      <color theme="1"/>
      <name val="맑은 고딕"/>
      <family val="2"/>
      <charset val="129"/>
    </font>
    <font>
      <sz val="11"/>
      <name val="GE Inspira"/>
      <family val="2"/>
    </font>
    <font>
      <sz val="11"/>
      <color theme="1"/>
      <name val="맑은 고딕"/>
      <family val="3"/>
      <charset val="129"/>
      <scheme val="minor"/>
    </font>
    <font>
      <sz val="11"/>
      <name val="맑은 고딕"/>
      <family val="2"/>
      <charset val="129"/>
    </font>
    <font>
      <b/>
      <sz val="11"/>
      <color theme="1"/>
      <name val="Arial"/>
      <family val="2"/>
    </font>
    <font>
      <u/>
      <sz val="12"/>
      <name val="Arial"/>
      <family val="2"/>
    </font>
    <font>
      <b/>
      <sz val="9"/>
      <color rgb="FFFFFFFF"/>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5"/>
      <color rgb="FF000000"/>
      <name val="맑은 고딕"/>
      <family val="3"/>
      <charset val="129"/>
      <scheme val="minor"/>
    </font>
    <font>
      <b/>
      <vertAlign val="superscript"/>
      <sz val="9"/>
      <color rgb="FF000000"/>
      <name val="맑은 고딕"/>
      <family val="3"/>
      <charset val="129"/>
      <scheme val="minor"/>
    </font>
    <font>
      <vertAlign val="superscript"/>
      <sz val="9"/>
      <color rgb="FF000000"/>
      <name val="맑은 고딕"/>
      <family val="3"/>
      <charset val="129"/>
      <scheme val="minor"/>
    </font>
    <font>
      <sz val="10"/>
      <color rgb="FF000000"/>
      <name val="맑은 고딕"/>
      <family val="3"/>
      <charset val="129"/>
      <scheme val="minor"/>
    </font>
    <font>
      <sz val="8"/>
      <color theme="1"/>
      <name val="맑은 고딕"/>
      <family val="2"/>
      <charset val="129"/>
      <scheme val="minor"/>
    </font>
    <font>
      <b/>
      <sz val="10"/>
      <color rgb="FFFFFFFF"/>
      <name val="맑은 고딕"/>
      <family val="3"/>
      <charset val="129"/>
    </font>
    <font>
      <b/>
      <sz val="10"/>
      <color rgb="FFFFFFFF"/>
      <name val="맑은 고딕"/>
      <family val="3"/>
      <charset val="129"/>
      <scheme val="minor"/>
    </font>
    <font>
      <b/>
      <sz val="9"/>
      <color indexed="9"/>
      <name val="Arial"/>
      <family val="2"/>
      <charset val="129"/>
    </font>
    <font>
      <b/>
      <sz val="9"/>
      <color rgb="FFFFFFFF"/>
      <name val="맑은 고딕"/>
      <family val="2"/>
      <charset val="129"/>
    </font>
    <font>
      <b/>
      <sz val="9"/>
      <color indexed="9"/>
      <name val="Arial"/>
      <family val="2"/>
    </font>
    <font>
      <b/>
      <sz val="9"/>
      <color theme="0"/>
      <name val="Arial"/>
      <family val="2"/>
      <charset val="129"/>
    </font>
    <font>
      <b/>
      <sz val="9"/>
      <color theme="0"/>
      <name val="맑은 고딕"/>
      <family val="2"/>
      <charset val="129"/>
    </font>
    <font>
      <b/>
      <sz val="9"/>
      <color theme="0"/>
      <name val="Arial"/>
      <family val="2"/>
    </font>
    <font>
      <b/>
      <sz val="9"/>
      <color rgb="FFFFFFFF"/>
      <name val="Arial"/>
      <family val="2"/>
      <charset val="129"/>
    </font>
    <font>
      <b/>
      <sz val="9"/>
      <color rgb="FFFFFFFF"/>
      <name val="Arial"/>
      <family val="2"/>
    </font>
    <font>
      <sz val="9"/>
      <color theme="1"/>
      <name val="Arial"/>
      <family val="2"/>
    </font>
    <font>
      <sz val="9"/>
      <color theme="1"/>
      <name val="Arial"/>
      <family val="2"/>
      <charset val="129"/>
    </font>
    <font>
      <sz val="9"/>
      <color theme="1"/>
      <name val="맑은 고딕"/>
      <family val="2"/>
      <charset val="129"/>
    </font>
    <font>
      <b/>
      <sz val="9"/>
      <color theme="1"/>
      <name val="Arial"/>
      <family val="2"/>
    </font>
    <font>
      <b/>
      <i/>
      <sz val="8"/>
      <name val="Arial"/>
      <family val="2"/>
    </font>
    <font>
      <b/>
      <sz val="14"/>
      <color rgb="FFFFFFFF"/>
      <name val="Noto Sans CJK SC"/>
      <family val="2"/>
      <charset val="1"/>
    </font>
    <font>
      <i/>
      <sz val="9"/>
      <color rgb="FF404040"/>
      <name val="Noto Sans CJK SC"/>
      <family val="2"/>
      <charset val="1"/>
    </font>
    <font>
      <sz val="9"/>
      <color rgb="FF404040"/>
      <name val="Arial"/>
      <family val="2"/>
    </font>
    <font>
      <sz val="9"/>
      <color rgb="FF404040"/>
      <name val="Noto Sans CJK SC"/>
      <family val="2"/>
    </font>
    <font>
      <b/>
      <sz val="11"/>
      <color rgb="FFFFFFFF"/>
      <name val="Noto Sans CJK SC"/>
      <family val="2"/>
      <charset val="1"/>
    </font>
    <font>
      <b/>
      <sz val="10"/>
      <color rgb="FFFFFFFF"/>
      <name val="Noto Sans CJK SC"/>
      <family val="2"/>
      <charset val="1"/>
    </font>
    <font>
      <sz val="10"/>
      <name val="Noto Sans CJK SC"/>
      <family val="2"/>
      <charset val="1"/>
    </font>
    <font>
      <sz val="10"/>
      <color rgb="FF0000FF"/>
      <name val="Arial"/>
      <family val="2"/>
    </font>
    <font>
      <sz val="10"/>
      <name val="Noto Sans CJK SC"/>
      <family val="2"/>
    </font>
    <font>
      <b/>
      <sz val="10"/>
      <color rgb="FFFFFFFF"/>
      <name val="Noto Sans CJK SC"/>
      <family val="2"/>
    </font>
    <font>
      <b/>
      <sz val="10"/>
      <name val="Noto Sans CJK SC"/>
      <family val="2"/>
      <charset val="1"/>
    </font>
    <font>
      <i/>
      <sz val="9"/>
      <color rgb="FF808080"/>
      <name val="Noto Sans CJK SC"/>
      <family val="2"/>
      <charset val="1"/>
    </font>
    <font>
      <i/>
      <sz val="9"/>
      <color rgb="FF808080"/>
      <name val="Arial"/>
      <family val="2"/>
    </font>
    <font>
      <i/>
      <sz val="9"/>
      <color rgb="FF808080"/>
      <name val="Noto Sans CJK SC"/>
      <family val="2"/>
    </font>
    <font>
      <b/>
      <sz val="10"/>
      <name val="Noto Sans CJK SC"/>
      <family val="2"/>
    </font>
    <font>
      <sz val="8"/>
      <color theme="1"/>
      <name val="맑은 고딕"/>
      <family val="2"/>
      <charset val="129"/>
    </font>
    <font>
      <b/>
      <sz val="9"/>
      <color rgb="FFFFFFFF"/>
      <name val="맑은 고딕"/>
      <family val="3"/>
      <charset val="129"/>
    </font>
    <font>
      <sz val="9"/>
      <color rgb="FF333333"/>
      <name val="맑은 고딕"/>
      <family val="3"/>
      <charset val="129"/>
    </font>
    <font>
      <sz val="8"/>
      <name val="맑은 고딕"/>
      <family val="2"/>
      <charset val="129"/>
    </font>
    <font>
      <b/>
      <sz val="9"/>
      <color rgb="FF333333"/>
      <name val="맑은 고딕"/>
      <family val="3"/>
      <charset val="129"/>
    </font>
    <font>
      <b/>
      <sz val="8"/>
      <color rgb="FFFFFFFF"/>
      <name val="맑은 고딕"/>
      <family val="3"/>
      <charset val="129"/>
    </font>
    <font>
      <sz val="8"/>
      <color rgb="FF333333"/>
      <name val="맑은 고딕"/>
      <family val="3"/>
      <charset val="129"/>
    </font>
    <font>
      <sz val="10"/>
      <color rgb="FF646464"/>
      <name val="맑은 고딕"/>
      <family val="3"/>
      <charset val="129"/>
    </font>
    <font>
      <sz val="8"/>
      <color theme="1"/>
      <name val="맑은 고딕"/>
      <family val="3"/>
      <charset val="129"/>
    </font>
    <font>
      <b/>
      <sz val="8"/>
      <color rgb="FF333333"/>
      <name val="맑은 고딕"/>
      <family val="3"/>
      <charset val="129"/>
    </font>
    <font>
      <sz val="7"/>
      <color theme="1"/>
      <name val="맑은 고딕"/>
      <family val="3"/>
      <charset val="129"/>
    </font>
    <font>
      <sz val="8"/>
      <color rgb="FF000000"/>
      <name val="Gulim"/>
      <family val="3"/>
    </font>
    <font>
      <sz val="9"/>
      <color rgb="FF262626"/>
      <name val="KoPubWorldDotum_Pro Medium"/>
      <family val="3"/>
    </font>
    <font>
      <b/>
      <sz val="9"/>
      <color rgb="FF262626"/>
      <name val="KoPubWorldDotum_Pro Medium"/>
      <family val="3"/>
    </font>
    <font>
      <b/>
      <sz val="8"/>
      <color theme="0"/>
      <name val="맑은 고딕"/>
      <family val="3"/>
      <charset val="129"/>
      <scheme val="major"/>
    </font>
    <font>
      <sz val="8"/>
      <name val="맑은 고딕"/>
      <family val="3"/>
      <charset val="129"/>
      <scheme val="major"/>
    </font>
    <font>
      <u/>
      <sz val="8"/>
      <color theme="10"/>
      <name val="맑은 고딕"/>
      <family val="2"/>
      <charset val="129"/>
    </font>
    <font>
      <sz val="9"/>
      <color rgb="FF646464"/>
      <name val="맑은 고딕"/>
      <family val="3"/>
      <charset val="129"/>
    </font>
    <font>
      <sz val="9"/>
      <color rgb="FF333333"/>
      <name val="맑은 고딕"/>
      <family val="3"/>
      <charset val="129"/>
      <scheme val="minor"/>
    </font>
    <font>
      <sz val="9"/>
      <color theme="1"/>
      <name val="가는각진제목체"/>
      <family val="1"/>
      <charset val="129"/>
    </font>
    <font>
      <u/>
      <sz val="9"/>
      <color theme="11"/>
      <name val="나눔고딕"/>
      <family val="3"/>
      <charset val="129"/>
    </font>
    <font>
      <u/>
      <sz val="9"/>
      <color theme="10"/>
      <name val="나눔고딕"/>
      <family val="3"/>
      <charset val="129"/>
    </font>
    <font>
      <sz val="9"/>
      <color theme="1"/>
      <name val="맑은 고딕"/>
      <family val="2"/>
      <charset val="129"/>
      <scheme val="minor"/>
    </font>
    <font>
      <b/>
      <sz val="10"/>
      <color theme="1"/>
      <name val="KoPubWorld돋움체 Light"/>
      <family val="3"/>
      <charset val="129"/>
    </font>
    <font>
      <b/>
      <sz val="9"/>
      <color rgb="FF0000FF"/>
      <name val="맑은 고딕"/>
      <family val="3"/>
      <charset val="129"/>
      <scheme val="minor"/>
    </font>
    <font>
      <sz val="9"/>
      <color rgb="FF0000FF"/>
      <name val="맑은 고딕"/>
      <family val="3"/>
      <charset val="129"/>
      <scheme val="minor"/>
    </font>
    <font>
      <sz val="9"/>
      <color theme="0"/>
      <name val="맑은 고딕"/>
      <family val="3"/>
      <charset val="129"/>
      <scheme val="minor"/>
    </font>
    <font>
      <b/>
      <sz val="10"/>
      <name val="한컴바탕"/>
      <family val="3"/>
      <charset val="129"/>
    </font>
    <font>
      <sz val="9"/>
      <color theme="4" tint="0.59999389629810485"/>
      <name val="맑은 고딕"/>
      <family val="3"/>
      <charset val="129"/>
    </font>
    <font>
      <i/>
      <sz val="9"/>
      <name val="KoPubWorld돋움체 Light"/>
      <family val="3"/>
      <charset val="129"/>
    </font>
    <font>
      <b/>
      <u/>
      <sz val="9"/>
      <color theme="1"/>
      <name val="맑은 고딕"/>
      <family val="3"/>
      <charset val="129"/>
    </font>
    <font>
      <b/>
      <sz val="10"/>
      <color rgb="FFFF0000"/>
      <name val="맑은 고딕"/>
      <family val="3"/>
      <charset val="129"/>
      <scheme val="minor"/>
    </font>
    <font>
      <b/>
      <sz val="10"/>
      <name val="맑은 고딕"/>
      <family val="3"/>
      <charset val="129"/>
      <scheme val="minor"/>
    </font>
    <font>
      <sz val="11"/>
      <color theme="1"/>
      <name val="맑은 고딕"/>
      <family val="2"/>
      <charset val="129"/>
      <scheme val="minor"/>
    </font>
    <font>
      <sz val="10"/>
      <color theme="1"/>
      <name val="맑은 고딕"/>
      <family val="2"/>
      <charset val="129"/>
      <scheme val="minor"/>
    </font>
    <font>
      <b/>
      <sz val="16"/>
      <color theme="1"/>
      <name val="맑은 고딕"/>
      <family val="3"/>
      <charset val="129"/>
      <scheme val="minor"/>
    </font>
    <font>
      <b/>
      <sz val="12"/>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0"/>
      <color theme="1"/>
      <name val="맑은 고딕"/>
      <family val="3"/>
      <charset val="129"/>
      <scheme val="major"/>
    </font>
    <font>
      <sz val="10"/>
      <color theme="1"/>
      <name val="맑은 고딕"/>
      <family val="3"/>
      <charset val="129"/>
      <scheme val="major"/>
    </font>
    <font>
      <sz val="10"/>
      <color theme="0"/>
      <name val="맑은 고딕"/>
      <family val="2"/>
      <charset val="129"/>
      <scheme val="minor"/>
    </font>
    <font>
      <sz val="10"/>
      <color theme="1"/>
      <name val="맑은 고딕"/>
      <family val="3"/>
      <charset val="129"/>
    </font>
    <font>
      <b/>
      <sz val="10"/>
      <color theme="0"/>
      <name val="맑은 고딕"/>
      <family val="2"/>
      <charset val="129"/>
    </font>
    <font>
      <b/>
      <sz val="10"/>
      <color theme="0"/>
      <name val="Arial"/>
      <family val="2"/>
    </font>
    <font>
      <b/>
      <sz val="10"/>
      <color theme="0"/>
      <name val="맑은 고딕"/>
      <family val="3"/>
      <charset val="129"/>
      <scheme val="major"/>
    </font>
    <font>
      <b/>
      <sz val="10"/>
      <color theme="0"/>
      <name val="맑은 고딕"/>
      <family val="3"/>
      <charset val="129"/>
      <scheme val="minor"/>
    </font>
    <font>
      <sz val="10"/>
      <color theme="1"/>
      <name val="맑은 고딕"/>
      <family val="2"/>
      <charset val="129"/>
    </font>
    <font>
      <sz val="10"/>
      <color theme="1"/>
      <name val="Arial"/>
      <family val="2"/>
    </font>
    <font>
      <b/>
      <sz val="10"/>
      <color theme="1"/>
      <name val="맑은 고딕"/>
      <family val="3"/>
      <charset val="129"/>
    </font>
    <font>
      <sz val="10"/>
      <color theme="1"/>
      <name val="맑은 고딕"/>
      <family val="3"/>
      <charset val="129"/>
      <scheme val="minor"/>
    </font>
    <font>
      <b/>
      <sz val="10"/>
      <color theme="1"/>
      <name val="Arial"/>
      <family val="2"/>
    </font>
    <font>
      <sz val="10"/>
      <color theme="1"/>
      <name val="Arial"/>
      <family val="2"/>
      <charset val="129"/>
    </font>
    <font>
      <i/>
      <sz val="10"/>
      <color theme="1"/>
      <name val="Arial"/>
      <family val="2"/>
    </font>
    <font>
      <b/>
      <sz val="10"/>
      <color theme="0"/>
      <name val="맑은 고딕"/>
      <family val="3"/>
      <charset val="129"/>
    </font>
    <font>
      <sz val="12"/>
      <color theme="1"/>
      <name val="맑은 고딕"/>
      <family val="2"/>
      <charset val="129"/>
      <scheme val="minor"/>
    </font>
    <font>
      <b/>
      <sz val="18"/>
      <color rgb="FFC00000"/>
      <name val="맑은 고딕"/>
      <family val="3"/>
      <charset val="129"/>
      <scheme val="minor"/>
    </font>
    <font>
      <b/>
      <u/>
      <sz val="14"/>
      <color theme="1"/>
      <name val="맑은 고딕"/>
      <family val="3"/>
      <charset val="129"/>
      <scheme val="minor"/>
    </font>
    <font>
      <sz val="10"/>
      <color rgb="FF000000"/>
      <name val="KoPubWorld돋움체 Medium"/>
      <family val="3"/>
      <charset val="129"/>
    </font>
  </fonts>
  <fills count="78">
    <fill>
      <patternFill patternType="none"/>
    </fill>
    <fill>
      <patternFill patternType="gray125"/>
    </fill>
    <fill>
      <patternFill patternType="solid">
        <fgColor theme="7" tint="0.79998168889431442"/>
        <bgColor indexed="64"/>
      </patternFill>
    </fill>
    <fill>
      <patternFill patternType="solid">
        <fgColor rgb="FF00338D"/>
        <bgColor indexed="64"/>
      </patternFill>
    </fill>
    <fill>
      <patternFill patternType="solid">
        <fgColor rgb="FF4066AA"/>
        <bgColor indexed="64"/>
      </patternFill>
    </fill>
    <fill>
      <patternFill patternType="solid">
        <fgColor rgb="FFD6DCE4"/>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FFFF00"/>
        <bgColor indexed="64"/>
      </patternFill>
    </fill>
    <fill>
      <patternFill patternType="lightUp">
        <bgColor theme="0" tint="-4.9989318521683403E-2"/>
      </patternFill>
    </fill>
    <fill>
      <patternFill patternType="solid">
        <fgColor theme="3"/>
        <bgColor indexed="64"/>
      </patternFill>
    </fill>
    <fill>
      <patternFill patternType="solid">
        <fgColor theme="0"/>
        <bgColor indexed="64"/>
      </patternFill>
    </fill>
    <fill>
      <patternFill patternType="solid">
        <fgColor rgb="FF9BC2E6"/>
        <bgColor indexed="64"/>
      </patternFill>
    </fill>
    <fill>
      <patternFill patternType="solid">
        <fgColor rgb="FFFFC000"/>
        <bgColor indexed="64"/>
      </patternFill>
    </fill>
    <fill>
      <patternFill patternType="solid">
        <fgColor theme="9" tint="0.79998168889431442"/>
        <bgColor indexed="64"/>
      </patternFill>
    </fill>
    <fill>
      <patternFill patternType="solid">
        <fgColor theme="3" tint="0.89999084444715716"/>
        <bgColor indexed="64"/>
      </patternFill>
    </fill>
    <fill>
      <patternFill patternType="solid">
        <fgColor theme="5" tint="0.79998168889431442"/>
        <bgColor indexed="64"/>
      </patternFill>
    </fill>
    <fill>
      <patternFill patternType="solid">
        <fgColor indexed="65"/>
        <bgColor indexed="64"/>
      </patternFill>
    </fill>
    <fill>
      <patternFill patternType="solid">
        <fgColor rgb="FF000066"/>
        <bgColor indexed="64"/>
      </patternFill>
    </fill>
    <fill>
      <patternFill patternType="solid">
        <fgColor rgb="FF008000"/>
        <bgColor indexed="64"/>
      </patternFill>
    </fill>
    <fill>
      <patternFill patternType="solid">
        <fgColor theme="8" tint="0.79998168889431442"/>
        <bgColor indexed="64"/>
      </patternFill>
    </fill>
    <fill>
      <patternFill patternType="solid">
        <fgColor indexed="9"/>
        <bgColor indexed="64"/>
      </patternFill>
    </fill>
    <fill>
      <patternFill patternType="solid">
        <fgColor theme="2" tint="-0.749992370372631"/>
        <bgColor indexed="64"/>
      </patternFill>
    </fill>
    <fill>
      <patternFill patternType="solid">
        <fgColor rgb="FF002060"/>
        <bgColor indexed="64"/>
      </patternFill>
    </fill>
    <fill>
      <patternFill patternType="solid">
        <fgColor rgb="FFC00000"/>
        <bgColor indexed="64"/>
      </patternFill>
    </fill>
    <fill>
      <patternFill patternType="solid">
        <fgColor rgb="FFFF0000"/>
        <bgColor indexed="64"/>
      </patternFill>
    </fill>
    <fill>
      <patternFill patternType="solid">
        <fgColor theme="3" tint="0.749992370372631"/>
        <bgColor indexed="64"/>
      </patternFill>
    </fill>
    <fill>
      <patternFill patternType="solid">
        <fgColor theme="3" tint="0.249977111117893"/>
        <bgColor indexed="64"/>
      </patternFill>
    </fill>
    <fill>
      <patternFill patternType="solid">
        <fgColor theme="3" tint="9.9978637043366805E-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1" tint="0.34998626667073579"/>
        <bgColor indexed="64"/>
      </patternFill>
    </fill>
    <fill>
      <patternFill patternType="solid">
        <fgColor rgb="FFC9DBC1"/>
        <bgColor indexed="64"/>
      </patternFill>
    </fill>
    <fill>
      <patternFill patternType="solid">
        <fgColor rgb="FFE2F0D9"/>
        <bgColor indexed="64"/>
      </patternFill>
    </fill>
    <fill>
      <patternFill patternType="solid">
        <fgColor theme="2" tint="-0.89999084444715716"/>
        <bgColor indexed="64"/>
      </patternFill>
    </fill>
    <fill>
      <patternFill patternType="solid">
        <fgColor rgb="FFEDEDED"/>
        <bgColor indexed="64"/>
      </patternFill>
    </fill>
    <fill>
      <patternFill patternType="solid">
        <fgColor rgb="FFFFFFFF"/>
        <bgColor indexed="64"/>
      </patternFill>
    </fill>
    <fill>
      <patternFill patternType="solid">
        <fgColor rgb="FFF2F2F2"/>
        <bgColor indexed="64"/>
      </patternFill>
    </fill>
    <fill>
      <patternFill patternType="solid">
        <fgColor theme="5"/>
        <bgColor indexed="64"/>
      </patternFill>
    </fill>
    <fill>
      <patternFill patternType="solid">
        <fgColor theme="8" tint="0.59999389629810485"/>
        <bgColor indexed="64"/>
      </patternFill>
    </fill>
    <fill>
      <patternFill patternType="solid">
        <fgColor indexed="17"/>
        <bgColor indexed="64"/>
      </patternFill>
    </fill>
    <fill>
      <patternFill patternType="solid">
        <fgColor indexed="52"/>
        <bgColor indexed="64"/>
      </patternFill>
    </fill>
    <fill>
      <patternFill patternType="solid">
        <fgColor theme="8" tint="0.39997558519241921"/>
        <bgColor indexed="64"/>
      </patternFill>
    </fill>
    <fill>
      <patternFill patternType="solid">
        <fgColor theme="2" tint="-9.9978637043366805E-2"/>
        <bgColor indexed="64"/>
      </patternFill>
    </fill>
    <fill>
      <patternFill patternType="solid">
        <fgColor theme="9" tint="0.59999389629810485"/>
        <bgColor indexed="64"/>
      </patternFill>
    </fill>
    <fill>
      <patternFill patternType="darkUp"/>
    </fill>
    <fill>
      <patternFill patternType="solid">
        <fgColor theme="5" tint="0.59999389629810485"/>
        <bgColor indexed="64"/>
      </patternFill>
    </fill>
    <fill>
      <patternFill patternType="solid">
        <fgColor theme="5" tint="0.39997558519241921"/>
        <bgColor indexed="64"/>
      </patternFill>
    </fill>
    <fill>
      <patternFill patternType="solid">
        <fgColor theme="5" tint="-0.499984740745262"/>
        <bgColor indexed="64"/>
      </patternFill>
    </fill>
    <fill>
      <patternFill patternType="solid">
        <fgColor theme="1"/>
        <bgColor indexed="64"/>
      </patternFill>
    </fill>
    <fill>
      <patternFill patternType="solid">
        <fgColor theme="0" tint="-0.14999847407452621"/>
        <bgColor indexed="64"/>
      </patternFill>
    </fill>
    <fill>
      <patternFill patternType="solid">
        <fgColor theme="4"/>
        <bgColor indexed="64"/>
      </patternFill>
    </fill>
    <fill>
      <patternFill patternType="solid">
        <fgColor theme="6"/>
        <bgColor indexed="64"/>
      </patternFill>
    </fill>
    <fill>
      <patternFill patternType="solid">
        <fgColor rgb="FF0E1F31"/>
        <bgColor indexed="64"/>
      </patternFill>
    </fill>
    <fill>
      <patternFill patternType="solid">
        <fgColor theme="2"/>
        <bgColor indexed="64"/>
      </patternFill>
    </fill>
    <fill>
      <patternFill patternType="solid">
        <fgColor rgb="FFDAE7F1"/>
        <bgColor indexed="64"/>
      </patternFill>
    </fill>
    <fill>
      <patternFill patternType="solid">
        <fgColor rgb="FF1F3864"/>
        <bgColor rgb="FF404040"/>
      </patternFill>
    </fill>
    <fill>
      <patternFill patternType="solid">
        <fgColor rgb="FFF2F2F2"/>
        <bgColor rgb="FFE2EFDA"/>
      </patternFill>
    </fill>
    <fill>
      <patternFill patternType="solid">
        <fgColor rgb="FF2F5597"/>
        <bgColor rgb="FF1F3864"/>
      </patternFill>
    </fill>
    <fill>
      <patternFill patternType="solid">
        <fgColor rgb="FFFFFF00"/>
        <bgColor rgb="FFFFFF00"/>
      </patternFill>
    </fill>
    <fill>
      <patternFill patternType="solid">
        <fgColor rgb="FFD9E2F3"/>
        <bgColor rgb="FFE2EFDA"/>
      </patternFill>
    </fill>
    <fill>
      <patternFill patternType="solid">
        <fgColor rgb="FFE2EFDA"/>
        <bgColor rgb="FFF2F2F2"/>
      </patternFill>
    </fill>
    <fill>
      <patternFill patternType="solid">
        <fgColor rgb="FFBFBFBF"/>
        <bgColor indexed="64"/>
      </patternFill>
    </fill>
    <fill>
      <patternFill patternType="solid">
        <fgColor rgb="FF02348D"/>
        <bgColor indexed="64"/>
      </patternFill>
    </fill>
    <fill>
      <patternFill patternType="solid">
        <fgColor rgb="FFF0F0F0"/>
        <bgColor indexed="64"/>
      </patternFill>
    </fill>
    <fill>
      <patternFill patternType="solid">
        <fgColor rgb="FFD9D9D9"/>
        <bgColor indexed="64"/>
      </patternFill>
    </fill>
    <fill>
      <patternFill patternType="solid">
        <fgColor rgb="FF808080"/>
        <bgColor indexed="64"/>
      </patternFill>
    </fill>
    <fill>
      <patternFill patternType="solid">
        <fgColor theme="1" tint="0.499984740745262"/>
        <bgColor indexed="64"/>
      </patternFill>
    </fill>
    <fill>
      <patternFill patternType="solid">
        <fgColor rgb="FFDDEBF7"/>
        <bgColor indexed="64"/>
      </patternFill>
    </fill>
    <fill>
      <patternFill patternType="solid">
        <fgColor indexed="49"/>
        <bgColor indexed="64"/>
      </patternFill>
    </fill>
    <fill>
      <patternFill patternType="solid">
        <fgColor theme="9" tint="-0.249977111117893"/>
        <bgColor indexed="64"/>
      </patternFill>
    </fill>
    <fill>
      <patternFill patternType="solid">
        <fgColor rgb="FFDAE3F3"/>
        <bgColor indexed="64"/>
      </patternFill>
    </fill>
    <fill>
      <patternFill patternType="none"/>
    </fill>
    <fill>
      <patternFill patternType="solid">
        <fgColor rgb="FFFFFF00"/>
        <bgColor indexed="64"/>
      </patternFill>
    </fill>
    <fill>
      <patternFill patternType="solid">
        <fgColor theme="0"/>
        <bgColor indexed="64"/>
      </patternFill>
    </fill>
    <fill>
      <patternFill patternType="solid">
        <fgColor theme="0" tint="-0.14999847407452621"/>
        <bgColor indexed="64"/>
      </patternFill>
    </fill>
    <fill>
      <patternFill patternType="solid">
        <fgColor theme="8"/>
        <bgColor indexed="64"/>
      </patternFill>
    </fill>
    <fill>
      <patternFill patternType="solid">
        <fgColor theme="9" tint="0.79998168889431442"/>
        <bgColor indexed="64"/>
      </patternFill>
    </fill>
  </fills>
  <borders count="621">
    <border>
      <left/>
      <right/>
      <top/>
      <bottom/>
      <diagonal/>
    </border>
    <border>
      <left style="thin">
        <color rgb="FF003399"/>
      </left>
      <right style="thin">
        <color rgb="FF003399"/>
      </right>
      <top style="thin">
        <color rgb="FF003399"/>
      </top>
      <bottom/>
      <diagonal/>
    </border>
    <border>
      <left/>
      <right style="thin">
        <color rgb="FF003399"/>
      </right>
      <top/>
      <bottom/>
      <diagonal/>
    </border>
    <border>
      <left style="thin">
        <color rgb="FF003399"/>
      </left>
      <right/>
      <top style="thin">
        <color rgb="FF003399"/>
      </top>
      <bottom/>
      <diagonal/>
    </border>
    <border>
      <left/>
      <right/>
      <top style="thin">
        <color rgb="FF003399"/>
      </top>
      <bottom/>
      <diagonal/>
    </border>
    <border>
      <left style="thin">
        <color rgb="FF003399"/>
      </left>
      <right style="thin">
        <color rgb="FF003399"/>
      </right>
      <top style="thin">
        <color rgb="FF003399"/>
      </top>
      <bottom style="thin">
        <color rgb="FF003399"/>
      </bottom>
      <diagonal/>
    </border>
    <border>
      <left style="thin">
        <color rgb="FF003399"/>
      </left>
      <right/>
      <top/>
      <bottom/>
      <diagonal/>
    </border>
    <border>
      <left style="thin">
        <color rgb="FF003399"/>
      </left>
      <right style="thin">
        <color rgb="FF003399"/>
      </right>
      <top/>
      <bottom/>
      <diagonal/>
    </border>
    <border>
      <left style="thin">
        <color rgb="FF003399"/>
      </left>
      <right/>
      <top/>
      <bottom style="thin">
        <color rgb="FF003399"/>
      </bottom>
      <diagonal/>
    </border>
    <border>
      <left/>
      <right/>
      <top/>
      <bottom style="thin">
        <color rgb="FF003399"/>
      </bottom>
      <diagonal/>
    </border>
    <border>
      <left style="thin">
        <color rgb="FF003399"/>
      </left>
      <right style="thin">
        <color rgb="FF003399"/>
      </right>
      <top/>
      <bottom style="thin">
        <color rgb="FF003399"/>
      </bottom>
      <diagonal/>
    </border>
    <border>
      <left style="thin">
        <color rgb="FF003399"/>
      </left>
      <right style="thin">
        <color rgb="FF003399"/>
      </right>
      <top/>
      <bottom style="thin">
        <color indexed="64"/>
      </bottom>
      <diagonal/>
    </border>
    <border>
      <left style="thin">
        <color theme="8"/>
      </left>
      <right/>
      <top style="thin">
        <color theme="8"/>
      </top>
      <bottom style="thin">
        <color rgb="FF00338D"/>
      </bottom>
      <diagonal/>
    </border>
    <border>
      <left/>
      <right/>
      <top style="thin">
        <color theme="8"/>
      </top>
      <bottom style="thin">
        <color rgb="FF00338D"/>
      </bottom>
      <diagonal/>
    </border>
    <border>
      <left/>
      <right/>
      <top style="thin">
        <color theme="8"/>
      </top>
      <bottom/>
      <diagonal/>
    </border>
    <border>
      <left/>
      <right style="thin">
        <color theme="8"/>
      </right>
      <top style="thin">
        <color theme="8"/>
      </top>
      <bottom style="thin">
        <color rgb="FF00338D"/>
      </bottom>
      <diagonal/>
    </border>
    <border>
      <left style="thin">
        <color theme="8"/>
      </left>
      <right/>
      <top/>
      <bottom/>
      <diagonal/>
    </border>
    <border>
      <left style="thin">
        <color rgb="FF00338D"/>
      </left>
      <right/>
      <top style="thin">
        <color rgb="FF00338D"/>
      </top>
      <bottom/>
      <diagonal/>
    </border>
    <border>
      <left/>
      <right/>
      <top style="thin">
        <color rgb="FF00338D"/>
      </top>
      <bottom/>
      <diagonal/>
    </border>
    <border>
      <left style="thin">
        <color indexed="64"/>
      </left>
      <right/>
      <top style="thin">
        <color rgb="FF00338D"/>
      </top>
      <bottom style="thin">
        <color rgb="FF00338D"/>
      </bottom>
      <diagonal/>
    </border>
    <border>
      <left/>
      <right/>
      <top style="thin">
        <color rgb="FF00338D"/>
      </top>
      <bottom style="thin">
        <color rgb="FF00338D"/>
      </bottom>
      <diagonal/>
    </border>
    <border>
      <left/>
      <right style="thin">
        <color rgb="FF00338D"/>
      </right>
      <top style="thin">
        <color rgb="FF00338D"/>
      </top>
      <bottom style="thin">
        <color rgb="FF00338D"/>
      </bottom>
      <diagonal/>
    </border>
    <border>
      <left style="thin">
        <color theme="8"/>
      </left>
      <right/>
      <top style="thin">
        <color rgb="FF00338D"/>
      </top>
      <bottom style="thin">
        <color rgb="FF00338D"/>
      </bottom>
      <diagonal/>
    </border>
    <border>
      <left/>
      <right style="thin">
        <color theme="8"/>
      </right>
      <top style="thin">
        <color rgb="FF00338D"/>
      </top>
      <bottom style="thin">
        <color rgb="FF00338D"/>
      </bottom>
      <diagonal/>
    </border>
    <border>
      <left style="thin">
        <color rgb="FF00338D"/>
      </left>
      <right/>
      <top style="thin">
        <color indexed="64"/>
      </top>
      <bottom/>
      <diagonal/>
    </border>
    <border>
      <left/>
      <right/>
      <top style="thin">
        <color indexed="64"/>
      </top>
      <bottom/>
      <diagonal/>
    </border>
    <border>
      <left style="thin">
        <color indexed="64"/>
      </left>
      <right/>
      <top/>
      <bottom/>
      <diagonal/>
    </border>
    <border>
      <left/>
      <right style="thin">
        <color rgb="FF00338D"/>
      </right>
      <top/>
      <bottom/>
      <diagonal/>
    </border>
    <border>
      <left/>
      <right style="thin">
        <color theme="8"/>
      </right>
      <top/>
      <bottom/>
      <diagonal/>
    </border>
    <border>
      <left style="thin">
        <color rgb="FF00338D"/>
      </left>
      <right/>
      <top/>
      <bottom/>
      <diagonal/>
    </border>
    <border>
      <left style="thin">
        <color rgb="FF00338D"/>
      </left>
      <right/>
      <top/>
      <bottom style="hair">
        <color indexed="64"/>
      </bottom>
      <diagonal/>
    </border>
    <border>
      <left/>
      <right/>
      <top style="hair">
        <color indexed="64"/>
      </top>
      <bottom style="hair">
        <color indexed="64"/>
      </bottom>
      <diagonal/>
    </border>
    <border>
      <left style="thin">
        <color rgb="FF00338D"/>
      </left>
      <right/>
      <top style="hair">
        <color indexed="64"/>
      </top>
      <bottom/>
      <diagonal/>
    </border>
    <border>
      <left/>
      <right/>
      <top style="hair">
        <color auto="1"/>
      </top>
      <bottom/>
      <diagonal/>
    </border>
    <border>
      <left/>
      <right style="thin">
        <color rgb="FF00338D"/>
      </right>
      <top style="hair">
        <color indexed="64"/>
      </top>
      <bottom style="hair">
        <color indexed="64"/>
      </bottom>
      <diagonal/>
    </border>
    <border>
      <left/>
      <right/>
      <top style="hair">
        <color theme="8"/>
      </top>
      <bottom/>
      <diagonal/>
    </border>
    <border>
      <left/>
      <right/>
      <top style="hair">
        <color theme="8"/>
      </top>
      <bottom style="hair">
        <color theme="8"/>
      </bottom>
      <diagonal/>
    </border>
    <border>
      <left style="hair">
        <color rgb="FF00338D"/>
      </left>
      <right/>
      <top style="thin">
        <color rgb="FF00338D"/>
      </top>
      <bottom style="thin">
        <color rgb="FF00338D"/>
      </bottom>
      <diagonal/>
    </border>
    <border>
      <left style="hair">
        <color rgb="FF00338D"/>
      </left>
      <right/>
      <top/>
      <bottom/>
      <diagonal/>
    </border>
    <border>
      <left style="thin">
        <color theme="8"/>
      </left>
      <right/>
      <top style="thin">
        <color theme="8"/>
      </top>
      <bottom style="thin">
        <color theme="8"/>
      </bottom>
      <diagonal/>
    </border>
    <border>
      <left/>
      <right/>
      <top style="thin">
        <color theme="8"/>
      </top>
      <bottom style="thin">
        <color theme="8"/>
      </bottom>
      <diagonal/>
    </border>
    <border>
      <left style="thin">
        <color theme="8"/>
      </left>
      <right/>
      <top style="hair">
        <color theme="8"/>
      </top>
      <bottom style="hair">
        <color theme="8"/>
      </bottom>
      <diagonal/>
    </border>
    <border>
      <left style="hair">
        <color rgb="FF00338D"/>
      </left>
      <right/>
      <top style="hair">
        <color theme="8"/>
      </top>
      <bottom style="hair">
        <color theme="8"/>
      </bottom>
      <diagonal/>
    </border>
    <border>
      <left style="thin">
        <color rgb="FF00338D"/>
      </left>
      <right/>
      <top style="hair">
        <color indexed="64"/>
      </top>
      <bottom style="thin">
        <color rgb="FF00338D"/>
      </bottom>
      <diagonal/>
    </border>
    <border>
      <left/>
      <right/>
      <top style="hair">
        <color indexed="64"/>
      </top>
      <bottom style="thin">
        <color rgb="FF00338D"/>
      </bottom>
      <diagonal/>
    </border>
    <border>
      <left style="thin">
        <color indexed="64"/>
      </left>
      <right/>
      <top style="thin">
        <color indexed="64"/>
      </top>
      <bottom style="thin">
        <color rgb="FF00338D"/>
      </bottom>
      <diagonal/>
    </border>
    <border>
      <left/>
      <right/>
      <top/>
      <bottom style="thin">
        <color rgb="FF00338D"/>
      </bottom>
      <diagonal/>
    </border>
    <border>
      <left style="thin">
        <color indexed="64"/>
      </left>
      <right/>
      <top style="thin">
        <color theme="8"/>
      </top>
      <bottom style="thin">
        <color rgb="FF00338D"/>
      </bottom>
      <diagonal/>
    </border>
    <border>
      <left style="hair">
        <color rgb="FF00338D"/>
      </left>
      <right/>
      <top style="thin">
        <color theme="8"/>
      </top>
      <bottom style="thin">
        <color rgb="FF00338D"/>
      </bottom>
      <diagonal/>
    </border>
    <border>
      <left style="thin">
        <color indexed="64"/>
      </left>
      <right/>
      <top style="hair">
        <color indexed="64"/>
      </top>
      <bottom/>
      <diagonal/>
    </border>
    <border>
      <left style="hair">
        <color rgb="FF00338D"/>
      </left>
      <right/>
      <top style="hair">
        <color indexed="64"/>
      </top>
      <bottom/>
      <diagonal/>
    </border>
    <border>
      <left style="thin">
        <color indexed="64"/>
      </left>
      <right/>
      <top/>
      <bottom style="thin">
        <color theme="8"/>
      </bottom>
      <diagonal/>
    </border>
    <border>
      <left style="hair">
        <color rgb="FF00338D"/>
      </left>
      <right/>
      <top/>
      <bottom style="thin">
        <color theme="8"/>
      </bottom>
      <diagonal/>
    </border>
    <border>
      <left/>
      <right/>
      <top/>
      <bottom style="thin">
        <color theme="8"/>
      </bottom>
      <diagonal/>
    </border>
    <border>
      <left/>
      <right style="thin">
        <color theme="8"/>
      </right>
      <top/>
      <bottom style="thin">
        <color theme="8"/>
      </bottom>
      <diagonal/>
    </border>
    <border>
      <left/>
      <right style="hair">
        <color theme="8"/>
      </right>
      <top style="thin">
        <color rgb="FF00338D"/>
      </top>
      <bottom style="thin">
        <color rgb="FF00338D"/>
      </bottom>
      <diagonal/>
    </border>
    <border>
      <left style="thin">
        <color theme="8"/>
      </left>
      <right/>
      <top style="thin">
        <color theme="8"/>
      </top>
      <bottom style="hair">
        <color theme="8"/>
      </bottom>
      <diagonal/>
    </border>
    <border>
      <left/>
      <right/>
      <top style="thin">
        <color theme="8"/>
      </top>
      <bottom style="hair">
        <color theme="8"/>
      </bottom>
      <diagonal/>
    </border>
    <border>
      <left style="hair">
        <color rgb="FF00338D"/>
      </left>
      <right/>
      <top style="thin">
        <color theme="8"/>
      </top>
      <bottom style="hair">
        <color theme="8"/>
      </bottom>
      <diagonal/>
    </border>
    <border>
      <left/>
      <right style="hair">
        <color theme="8"/>
      </right>
      <top style="thin">
        <color rgb="FF00338D"/>
      </top>
      <bottom style="thin">
        <color theme="8"/>
      </bottom>
      <diagonal/>
    </border>
    <border>
      <left/>
      <right/>
      <top style="thin">
        <color rgb="FF00338D"/>
      </top>
      <bottom style="thin">
        <color theme="8"/>
      </bottom>
      <diagonal/>
    </border>
    <border>
      <left style="hair">
        <color rgb="FF00338D"/>
      </left>
      <right/>
      <top style="thin">
        <color rgb="FF00338D"/>
      </top>
      <bottom style="thin">
        <color theme="8"/>
      </bottom>
      <diagonal/>
    </border>
    <border>
      <left/>
      <right style="thin">
        <color theme="8"/>
      </right>
      <top style="hair">
        <color theme="8"/>
      </top>
      <bottom/>
      <diagonal/>
    </border>
    <border>
      <left/>
      <right style="hair">
        <color theme="8"/>
      </right>
      <top/>
      <bottom/>
      <diagonal/>
    </border>
    <border>
      <left style="medium">
        <color indexed="64"/>
      </left>
      <right style="medium">
        <color indexed="64"/>
      </right>
      <top style="medium">
        <color indexed="64"/>
      </top>
      <bottom style="medium">
        <color indexed="64"/>
      </bottom>
      <diagonal/>
    </border>
    <border>
      <left/>
      <right/>
      <top style="hair">
        <color theme="8"/>
      </top>
      <bottom style="thin">
        <color theme="8"/>
      </bottom>
      <diagonal/>
    </border>
    <border>
      <left/>
      <right style="hair">
        <color theme="8"/>
      </right>
      <top style="hair">
        <color theme="8"/>
      </top>
      <bottom style="hair">
        <color theme="8"/>
      </bottom>
      <diagonal/>
    </border>
    <border>
      <left/>
      <right style="thin">
        <color theme="8"/>
      </right>
      <top style="thin">
        <color rgb="FF00338D"/>
      </top>
      <bottom/>
      <diagonal/>
    </border>
    <border>
      <left/>
      <right style="hair">
        <color theme="8"/>
      </right>
      <top style="hair">
        <color theme="8"/>
      </top>
      <bottom style="thin">
        <color theme="8"/>
      </bottom>
      <diagonal/>
    </border>
    <border>
      <left style="medium">
        <color indexed="64"/>
      </left>
      <right style="medium">
        <color indexed="64"/>
      </right>
      <top style="medium">
        <color indexed="64"/>
      </top>
      <bottom style="thin">
        <color rgb="FF00338D"/>
      </bottom>
      <diagonal/>
    </border>
    <border>
      <left style="medium">
        <color indexed="64"/>
      </left>
      <right style="medium">
        <color indexed="64"/>
      </right>
      <top/>
      <bottom/>
      <diagonal/>
    </border>
    <border>
      <left style="thin">
        <color indexed="64"/>
      </left>
      <right/>
      <top style="hair">
        <color theme="8"/>
      </top>
      <bottom/>
      <diagonal/>
    </border>
    <border>
      <left/>
      <right style="hair">
        <color theme="8"/>
      </right>
      <top style="hair">
        <color theme="8"/>
      </top>
      <bottom/>
      <diagonal/>
    </border>
    <border>
      <left/>
      <right style="hair">
        <color theme="8"/>
      </right>
      <top style="thin">
        <color theme="8"/>
      </top>
      <bottom style="thin">
        <color theme="8"/>
      </bottom>
      <diagonal/>
    </border>
    <border>
      <left style="thin">
        <color indexed="64"/>
      </left>
      <right/>
      <top style="thin">
        <color theme="8"/>
      </top>
      <bottom/>
      <diagonal/>
    </border>
    <border>
      <left/>
      <right style="hair">
        <color theme="8"/>
      </right>
      <top style="thin">
        <color theme="8"/>
      </top>
      <bottom/>
      <diagonal/>
    </border>
    <border>
      <left/>
      <right style="thin">
        <color theme="8"/>
      </right>
      <top style="thin">
        <color theme="8"/>
      </top>
      <bottom/>
      <diagonal/>
    </border>
    <border>
      <left/>
      <right/>
      <top/>
      <bottom style="thin">
        <color indexed="64"/>
      </bottom>
      <diagonal/>
    </border>
    <border>
      <left/>
      <right style="thin">
        <color indexed="64"/>
      </right>
      <top/>
      <bottom style="thin">
        <color indexed="64"/>
      </bottom>
      <diagonal/>
    </border>
    <border>
      <left style="thin">
        <color theme="8"/>
      </left>
      <right/>
      <top/>
      <bottom style="thin">
        <color theme="8"/>
      </bottom>
      <diagonal/>
    </border>
    <border>
      <left/>
      <right style="hair">
        <color theme="8"/>
      </right>
      <top/>
      <bottom style="thin">
        <color theme="8"/>
      </bottom>
      <diagonal/>
    </border>
    <border>
      <left style="thin">
        <color rgb="FF003399"/>
      </left>
      <right/>
      <top/>
      <bottom style="thin">
        <color indexed="64"/>
      </bottom>
      <diagonal/>
    </border>
    <border>
      <left style="hair">
        <color rgb="FF003399"/>
      </left>
      <right/>
      <top/>
      <bottom/>
      <diagonal/>
    </border>
    <border>
      <left style="hair">
        <color rgb="FF003399"/>
      </left>
      <right/>
      <top style="thin">
        <color rgb="FF003399"/>
      </top>
      <bottom/>
      <diagonal/>
    </border>
    <border>
      <left style="hair">
        <color rgb="FF003399"/>
      </left>
      <right/>
      <top/>
      <bottom style="thin">
        <color rgb="FF003399"/>
      </bottom>
      <diagonal/>
    </border>
    <border>
      <left style="thin">
        <color rgb="FF003399"/>
      </left>
      <right/>
      <top style="thin">
        <color rgb="FF003399"/>
      </top>
      <bottom style="thin">
        <color rgb="FF003399"/>
      </bottom>
      <diagonal/>
    </border>
    <border>
      <left/>
      <right/>
      <top style="thin">
        <color rgb="FF003399"/>
      </top>
      <bottom style="thin">
        <color rgb="FF003399"/>
      </bottom>
      <diagonal/>
    </border>
    <border>
      <left style="hair">
        <color rgb="FF003399"/>
      </left>
      <right/>
      <top style="thin">
        <color rgb="FF003399"/>
      </top>
      <bottom style="thin">
        <color rgb="FF003399"/>
      </bottom>
      <diagonal/>
    </border>
    <border>
      <left style="thin">
        <color theme="8" tint="-0.499984740745262"/>
      </left>
      <right/>
      <top/>
      <bottom/>
      <diagonal/>
    </border>
    <border>
      <left style="thin">
        <color theme="8" tint="-0.499984740745262"/>
      </left>
      <right/>
      <top style="thin">
        <color theme="8" tint="-0.499984740745262"/>
      </top>
      <bottom/>
      <diagonal/>
    </border>
    <border>
      <left/>
      <right/>
      <top style="thin">
        <color theme="8" tint="-0.499984740745262"/>
      </top>
      <bottom/>
      <diagonal/>
    </border>
    <border>
      <left style="thin">
        <color rgb="FF003399"/>
      </left>
      <right style="thin">
        <color rgb="FF003399"/>
      </right>
      <top style="thin">
        <color theme="8" tint="-0.499984740745262"/>
      </top>
      <bottom style="thin">
        <color rgb="FF003399"/>
      </bottom>
      <diagonal/>
    </border>
    <border>
      <left style="thin">
        <color theme="8" tint="-0.499984740745262"/>
      </left>
      <right/>
      <top style="thin">
        <color theme="8" tint="-0.499984740745262"/>
      </top>
      <bottom style="thin">
        <color theme="8" tint="-0.499984740745262"/>
      </bottom>
      <diagonal/>
    </border>
    <border>
      <left/>
      <right/>
      <top style="thin">
        <color theme="8" tint="-0.499984740745262"/>
      </top>
      <bottom style="thin">
        <color theme="8" tint="-0.499984740745262"/>
      </bottom>
      <diagonal/>
    </border>
    <border>
      <left style="thin">
        <color rgb="FF003399"/>
      </left>
      <right style="thin">
        <color rgb="FF003399"/>
      </right>
      <top style="thin">
        <color theme="8" tint="-0.499984740745262"/>
      </top>
      <bottom style="thin">
        <color theme="8" tint="-0.499984740745262"/>
      </bottom>
      <diagonal/>
    </border>
    <border>
      <left style="thin">
        <color rgb="FF003399"/>
      </left>
      <right style="thin">
        <color rgb="FF003399"/>
      </right>
      <top style="thin">
        <color theme="8" tint="-0.499984740745262"/>
      </top>
      <bottom/>
      <diagonal/>
    </border>
    <border>
      <left style="thin">
        <color theme="8" tint="-0.499984740745262"/>
      </left>
      <right/>
      <top/>
      <bottom style="thin">
        <color theme="8" tint="-0.499984740745262"/>
      </bottom>
      <diagonal/>
    </border>
    <border>
      <left/>
      <right/>
      <top/>
      <bottom style="thin">
        <color theme="8" tint="-0.499984740745262"/>
      </bottom>
      <diagonal/>
    </border>
    <border>
      <left style="thin">
        <color rgb="FF003399"/>
      </left>
      <right style="thin">
        <color rgb="FF003399"/>
      </right>
      <top/>
      <bottom style="thin">
        <color theme="8" tint="-0.499984740745262"/>
      </bottom>
      <diagonal/>
    </border>
    <border>
      <left style="thin">
        <color theme="8" tint="-0.499984740745262"/>
      </left>
      <right/>
      <top/>
      <bottom style="thin">
        <color indexed="64"/>
      </bottom>
      <diagonal/>
    </border>
    <border>
      <left style="thin">
        <color rgb="FF00338D"/>
      </left>
      <right/>
      <top style="thin">
        <color rgb="FF00338D"/>
      </top>
      <bottom style="thin">
        <color rgb="FF00338D"/>
      </bottom>
      <diagonal/>
    </border>
    <border>
      <left style="thin">
        <color rgb="FF00338D"/>
      </left>
      <right/>
      <top/>
      <bottom style="thin">
        <color rgb="FF00338D"/>
      </bottom>
      <diagonal/>
    </border>
    <border>
      <left/>
      <right/>
      <top/>
      <bottom style="hair">
        <color rgb="FF00338D"/>
      </bottom>
      <diagonal/>
    </border>
    <border>
      <left style="thin">
        <color rgb="FF00338D"/>
      </left>
      <right/>
      <top/>
      <bottom style="hair">
        <color rgb="FF00338D"/>
      </bottom>
      <diagonal/>
    </border>
    <border>
      <left/>
      <right style="thin">
        <color rgb="FF00338D"/>
      </right>
      <top style="thin">
        <color rgb="FF00338D"/>
      </top>
      <bottom/>
      <diagonal/>
    </border>
    <border>
      <left/>
      <right style="thin">
        <color rgb="FF00338D"/>
      </right>
      <top/>
      <bottom style="thin">
        <color rgb="FF00338D"/>
      </bottom>
      <diagonal/>
    </border>
    <border>
      <left/>
      <right style="thin">
        <color indexed="64"/>
      </right>
      <top style="thin">
        <color rgb="FF00338D"/>
      </top>
      <bottom/>
      <diagonal/>
    </border>
    <border>
      <left/>
      <right style="thin">
        <color indexed="64"/>
      </right>
      <top/>
      <bottom/>
      <diagonal/>
    </border>
    <border>
      <left/>
      <right style="thin">
        <color indexed="64"/>
      </right>
      <top/>
      <bottom style="thin">
        <color rgb="FF00338D"/>
      </bottom>
      <diagonal/>
    </border>
    <border>
      <left/>
      <right/>
      <top style="hair">
        <color auto="1"/>
      </top>
      <bottom style="hair">
        <color rgb="FF00338D"/>
      </bottom>
      <diagonal/>
    </border>
    <border>
      <left style="hair">
        <color rgb="FF00338D"/>
      </left>
      <right/>
      <top style="hair">
        <color indexed="64"/>
      </top>
      <bottom style="hair">
        <color indexed="64"/>
      </bottom>
      <diagonal/>
    </border>
    <border>
      <left style="thin">
        <color theme="8"/>
      </left>
      <right/>
      <top style="thin">
        <color theme="8"/>
      </top>
      <bottom/>
      <diagonal/>
    </border>
    <border>
      <left/>
      <right style="thin">
        <color rgb="FF00338D"/>
      </right>
      <top style="thin">
        <color theme="8"/>
      </top>
      <bottom/>
      <diagonal/>
    </border>
    <border>
      <left/>
      <right style="medium">
        <color auto="1"/>
      </right>
      <top/>
      <bottom/>
      <diagonal/>
    </border>
    <border>
      <left/>
      <right style="thin">
        <color theme="0"/>
      </right>
      <top style="medium">
        <color indexed="64"/>
      </top>
      <bottom style="thin">
        <color theme="0"/>
      </bottom>
      <diagonal/>
    </border>
    <border>
      <left style="thin">
        <color theme="0"/>
      </left>
      <right style="thin">
        <color theme="0"/>
      </right>
      <top style="medium">
        <color auto="1"/>
      </top>
      <bottom style="thin">
        <color theme="0"/>
      </bottom>
      <diagonal/>
    </border>
    <border>
      <left style="thin">
        <color theme="0"/>
      </left>
      <right style="thin">
        <color theme="0"/>
      </right>
      <top style="medium">
        <color auto="1"/>
      </top>
      <bottom/>
      <diagonal/>
    </border>
    <border>
      <left style="thin">
        <color theme="0"/>
      </left>
      <right/>
      <top style="medium">
        <color auto="1"/>
      </top>
      <bottom style="thin">
        <color theme="0"/>
      </bottom>
      <diagonal/>
    </border>
    <border>
      <left style="thin">
        <color theme="0"/>
      </left>
      <right style="medium">
        <color indexed="64"/>
      </right>
      <top style="medium">
        <color indexed="64"/>
      </top>
      <bottom style="thin">
        <color theme="0"/>
      </bottom>
      <diagonal/>
    </border>
    <border>
      <left/>
      <right style="thin">
        <color theme="0"/>
      </right>
      <top style="thin">
        <color theme="0"/>
      </top>
      <bottom style="thin">
        <color auto="1"/>
      </bottom>
      <diagonal/>
    </border>
    <border>
      <left style="thin">
        <color theme="0"/>
      </left>
      <right style="thin">
        <color theme="0"/>
      </right>
      <top style="thin">
        <color theme="0"/>
      </top>
      <bottom style="thin">
        <color indexed="64"/>
      </bottom>
      <diagonal/>
    </border>
    <border>
      <left style="thin">
        <color theme="0"/>
      </left>
      <right style="thin">
        <color theme="0"/>
      </right>
      <top/>
      <bottom style="thin">
        <color indexed="64"/>
      </bottom>
      <diagonal/>
    </border>
    <border>
      <left style="thin">
        <color theme="0"/>
      </left>
      <right style="hair">
        <color theme="0"/>
      </right>
      <top style="thin">
        <color theme="0"/>
      </top>
      <bottom style="thin">
        <color indexed="64"/>
      </bottom>
      <diagonal/>
    </border>
    <border>
      <left style="hair">
        <color theme="0"/>
      </left>
      <right style="hair">
        <color theme="0"/>
      </right>
      <top style="thin">
        <color theme="0"/>
      </top>
      <bottom style="thin">
        <color indexed="64"/>
      </bottom>
      <diagonal/>
    </border>
    <border>
      <left style="hair">
        <color theme="0"/>
      </left>
      <right style="thin">
        <color theme="0"/>
      </right>
      <top style="thin">
        <color theme="0"/>
      </top>
      <bottom style="thin">
        <color indexed="64"/>
      </bottom>
      <diagonal/>
    </border>
    <border>
      <left style="thin">
        <color theme="0"/>
      </left>
      <right style="thin">
        <color theme="0"/>
      </right>
      <top style="thin">
        <color theme="0"/>
      </top>
      <bottom/>
      <diagonal/>
    </border>
    <border>
      <left style="thin">
        <color theme="0"/>
      </left>
      <right style="thin">
        <color theme="0"/>
      </right>
      <top style="thin">
        <color theme="0"/>
      </top>
      <bottom style="thin">
        <color theme="0"/>
      </bottom>
      <diagonal/>
    </border>
    <border>
      <left style="thin">
        <color theme="0"/>
      </left>
      <right/>
      <top/>
      <bottom style="thin">
        <color indexed="64"/>
      </bottom>
      <diagonal/>
    </border>
    <border>
      <left/>
      <right style="thin">
        <color theme="0"/>
      </right>
      <top/>
      <bottom style="thin">
        <color indexed="64"/>
      </bottom>
      <diagonal/>
    </border>
    <border>
      <left style="thin">
        <color theme="0"/>
      </left>
      <right style="medium">
        <color indexed="64"/>
      </right>
      <top style="thin">
        <color theme="0"/>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hair">
        <color theme="1"/>
      </right>
      <top style="thin">
        <color indexed="64"/>
      </top>
      <bottom/>
      <diagonal/>
    </border>
    <border>
      <left/>
      <right style="thin">
        <color indexed="64"/>
      </right>
      <top style="thin">
        <color indexed="64"/>
      </top>
      <bottom style="hair">
        <color indexed="64"/>
      </bottom>
      <diagonal/>
    </border>
    <border>
      <left style="thin">
        <color indexed="64"/>
      </left>
      <right style="hair">
        <color theme="1"/>
      </right>
      <top style="thin">
        <color indexed="64"/>
      </top>
      <bottom/>
      <diagonal/>
    </border>
    <border>
      <left style="hair">
        <color theme="1"/>
      </left>
      <right style="thin">
        <color auto="1"/>
      </right>
      <top style="thin">
        <color indexed="64"/>
      </top>
      <bottom/>
      <diagonal/>
    </border>
    <border>
      <left style="thin">
        <color indexed="64"/>
      </left>
      <right style="hair">
        <color auto="1"/>
      </right>
      <top style="thin">
        <color indexed="64"/>
      </top>
      <bottom/>
      <diagonal/>
    </border>
    <border>
      <left/>
      <right style="thin">
        <color indexed="64"/>
      </right>
      <top style="thin">
        <color indexed="64"/>
      </top>
      <bottom/>
      <diagonal/>
    </border>
    <border>
      <left style="thin">
        <color auto="1"/>
      </left>
      <right/>
      <top style="thin">
        <color indexed="64"/>
      </top>
      <bottom/>
      <diagonal/>
    </border>
    <border>
      <left style="hair">
        <color theme="1"/>
      </left>
      <right style="hair">
        <color theme="1"/>
      </right>
      <top style="thin">
        <color indexed="64"/>
      </top>
      <bottom/>
      <diagonal/>
    </border>
    <border>
      <left style="hair">
        <color indexed="64"/>
      </left>
      <right/>
      <top style="thin">
        <color indexed="64"/>
      </top>
      <bottom/>
      <diagonal/>
    </border>
    <border>
      <left style="hair">
        <color auto="1"/>
      </left>
      <right style="thin">
        <color indexed="64"/>
      </right>
      <top style="thin">
        <color indexed="64"/>
      </top>
      <bottom/>
      <diagonal/>
    </border>
    <border>
      <left style="thin">
        <color indexed="64"/>
      </left>
      <right/>
      <top style="thin">
        <color indexed="64"/>
      </top>
      <bottom style="thin">
        <color indexed="64"/>
      </bottom>
      <diagonal/>
    </border>
    <border>
      <left/>
      <right style="hair">
        <color auto="1"/>
      </right>
      <top style="thin">
        <color indexed="64"/>
      </top>
      <bottom style="thin">
        <color indexed="64"/>
      </bottom>
      <diagonal/>
    </border>
    <border>
      <left/>
      <right style="hair">
        <color auto="1"/>
      </right>
      <top style="thin">
        <color indexed="64"/>
      </top>
      <bottom/>
      <diagonal/>
    </border>
    <border>
      <left style="hair">
        <color indexed="64"/>
      </left>
      <right style="hair">
        <color indexed="64"/>
      </right>
      <top style="thin">
        <color indexed="64"/>
      </top>
      <bottom/>
      <diagonal/>
    </border>
    <border>
      <left/>
      <right style="medium">
        <color indexed="64"/>
      </right>
      <top style="thin">
        <color indexed="64"/>
      </top>
      <bottom/>
      <diagonal/>
    </border>
    <border>
      <left style="medium">
        <color indexed="64"/>
      </left>
      <right style="thin">
        <color auto="1"/>
      </right>
      <top/>
      <bottom/>
      <diagonal/>
    </border>
    <border>
      <left style="thin">
        <color auto="1"/>
      </left>
      <right style="thin">
        <color auto="1"/>
      </right>
      <top/>
      <bottom/>
      <diagonal/>
    </border>
    <border>
      <left style="thin">
        <color indexed="64"/>
      </left>
      <right style="hair">
        <color theme="1"/>
      </right>
      <top/>
      <bottom/>
      <diagonal/>
    </border>
    <border>
      <left style="hair">
        <color theme="1"/>
      </left>
      <right style="thin">
        <color auto="1"/>
      </right>
      <top/>
      <bottom/>
      <diagonal/>
    </border>
    <border>
      <left style="thin">
        <color auto="1"/>
      </left>
      <right style="medium">
        <color indexed="64"/>
      </right>
      <top style="thin">
        <color indexed="64"/>
      </top>
      <bottom/>
      <diagonal/>
    </border>
    <border>
      <left style="thin">
        <color indexed="64"/>
      </left>
      <right style="hair">
        <color indexed="64"/>
      </right>
      <top/>
      <bottom/>
      <diagonal/>
    </border>
    <border>
      <left style="hair">
        <color auto="1"/>
      </left>
      <right style="thin">
        <color indexed="64"/>
      </right>
      <top/>
      <bottom/>
      <diagonal/>
    </border>
    <border>
      <left style="hair">
        <color theme="1"/>
      </left>
      <right style="hair">
        <color theme="1"/>
      </right>
      <top/>
      <bottom/>
      <diagonal/>
    </border>
    <border>
      <left/>
      <right style="hair">
        <color auto="1"/>
      </right>
      <top/>
      <bottom/>
      <diagonal/>
    </border>
    <border>
      <left style="hair">
        <color auto="1"/>
      </left>
      <right style="hair">
        <color auto="1"/>
      </right>
      <top/>
      <bottom/>
      <diagonal/>
    </border>
    <border>
      <left style="thin">
        <color auto="1"/>
      </left>
      <right style="medium">
        <color indexed="64"/>
      </right>
      <top/>
      <bottom/>
      <diagonal/>
    </border>
    <border>
      <left style="thin">
        <color auto="1"/>
      </left>
      <right style="thin">
        <color auto="1"/>
      </right>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hair">
        <color theme="1"/>
      </right>
      <top/>
      <bottom style="thin">
        <color indexed="64"/>
      </bottom>
      <diagonal/>
    </border>
    <border>
      <left style="hair">
        <color theme="1"/>
      </left>
      <right style="thin">
        <color auto="1"/>
      </right>
      <top/>
      <bottom style="thin">
        <color indexed="64"/>
      </bottom>
      <diagonal/>
    </border>
    <border>
      <left style="thin">
        <color indexed="64"/>
      </left>
      <right style="hair">
        <color indexed="64"/>
      </right>
      <top/>
      <bottom style="thin">
        <color auto="1"/>
      </bottom>
      <diagonal/>
    </border>
    <border>
      <left style="hair">
        <color indexed="64"/>
      </left>
      <right style="thin">
        <color indexed="64"/>
      </right>
      <top/>
      <bottom style="thin">
        <color indexed="64"/>
      </bottom>
      <diagonal/>
    </border>
    <border>
      <left style="hair">
        <color theme="1"/>
      </left>
      <right style="hair">
        <color theme="1"/>
      </right>
      <top/>
      <bottom style="thin">
        <color indexed="64"/>
      </bottom>
      <diagonal/>
    </border>
    <border>
      <left style="thin">
        <color indexed="64"/>
      </left>
      <right/>
      <top/>
      <bottom style="thin">
        <color auto="1"/>
      </bottom>
      <diagonal/>
    </border>
    <border>
      <left/>
      <right style="hair">
        <color auto="1"/>
      </right>
      <top/>
      <bottom style="thin">
        <color auto="1"/>
      </bottom>
      <diagonal/>
    </border>
    <border>
      <left style="hair">
        <color indexed="64"/>
      </left>
      <right style="hair">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indexed="64"/>
      </bottom>
      <diagonal/>
    </border>
    <border>
      <left style="thin">
        <color indexed="64"/>
      </left>
      <right style="thin">
        <color indexed="64"/>
      </right>
      <top style="thin">
        <color indexed="64"/>
      </top>
      <bottom style="hair">
        <color indexed="64"/>
      </bottom>
      <diagonal/>
    </border>
    <border>
      <left/>
      <right style="hair">
        <color theme="1"/>
      </right>
      <top/>
      <bottom/>
      <diagonal/>
    </border>
    <border>
      <left/>
      <right style="hair">
        <color theme="1"/>
      </right>
      <top/>
      <bottom style="thin">
        <color indexed="64"/>
      </bottom>
      <diagonal/>
    </border>
    <border>
      <left style="hair">
        <color indexed="64"/>
      </left>
      <right style="hair">
        <color theme="1"/>
      </right>
      <top/>
      <bottom style="hair">
        <color indexed="64"/>
      </bottom>
      <diagonal/>
    </border>
    <border>
      <left/>
      <right style="thin">
        <color indexed="64"/>
      </right>
      <top/>
      <bottom style="hair">
        <color indexed="64"/>
      </bottom>
      <diagonal/>
    </border>
    <border>
      <left/>
      <right style="hair">
        <color theme="1"/>
      </right>
      <top/>
      <bottom style="hair">
        <color indexed="64"/>
      </bottom>
      <diagonal/>
    </border>
    <border>
      <left style="thin">
        <color indexed="64"/>
      </left>
      <right style="hair">
        <color indexed="64"/>
      </right>
      <top style="thin">
        <color auto="1"/>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hair">
        <color theme="1"/>
      </right>
      <top style="thin">
        <color indexed="64"/>
      </top>
      <bottom style="thin">
        <color indexed="64"/>
      </bottom>
      <diagonal/>
    </border>
    <border>
      <left style="hair">
        <color theme="1"/>
      </left>
      <right style="hair">
        <color theme="1"/>
      </right>
      <top style="thin">
        <color indexed="64"/>
      </top>
      <bottom style="thin">
        <color indexed="64"/>
      </bottom>
      <diagonal/>
    </border>
    <border>
      <left style="hair">
        <color theme="1"/>
      </left>
      <right style="thin">
        <color auto="1"/>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indexed="64"/>
      </left>
      <right style="hair">
        <color theme="1"/>
      </right>
      <top style="thin">
        <color indexed="64"/>
      </top>
      <bottom style="hair">
        <color indexed="64"/>
      </bottom>
      <diagonal/>
    </border>
    <border>
      <left/>
      <right style="hair">
        <color theme="1"/>
      </right>
      <top style="thin">
        <color indexed="64"/>
      </top>
      <bottom style="hair">
        <color indexed="64"/>
      </bottom>
      <diagonal/>
    </border>
    <border>
      <left style="medium">
        <color indexed="64"/>
      </left>
      <right style="thin">
        <color theme="0"/>
      </right>
      <top style="medium">
        <color indexed="64"/>
      </top>
      <bottom style="thin">
        <color theme="0"/>
      </bottom>
      <diagonal/>
    </border>
    <border>
      <left style="thin">
        <color theme="0"/>
      </left>
      <right/>
      <top style="medium">
        <color auto="1"/>
      </top>
      <bottom/>
      <diagonal/>
    </border>
    <border>
      <left/>
      <right style="thin">
        <color theme="0"/>
      </right>
      <top style="medium">
        <color auto="1"/>
      </top>
      <bottom/>
      <diagonal/>
    </border>
    <border>
      <left/>
      <right/>
      <top style="medium">
        <color auto="1"/>
      </top>
      <bottom style="thin">
        <color theme="0"/>
      </bottom>
      <diagonal/>
    </border>
    <border>
      <left style="medium">
        <color indexed="64"/>
      </left>
      <right style="thin">
        <color theme="0"/>
      </right>
      <top style="thin">
        <color theme="0"/>
      </top>
      <bottom style="thin">
        <color auto="1"/>
      </bottom>
      <diagonal/>
    </border>
    <border>
      <left style="thin">
        <color theme="0"/>
      </left>
      <right/>
      <top/>
      <bottom/>
      <diagonal/>
    </border>
    <border>
      <left style="thin">
        <color indexed="64"/>
      </left>
      <right style="thin">
        <color indexed="64"/>
      </right>
      <top/>
      <bottom style="hair">
        <color indexed="64"/>
      </bottom>
      <diagonal/>
    </border>
    <border>
      <left style="thin">
        <color indexed="64"/>
      </left>
      <right style="hair">
        <color theme="1"/>
      </right>
      <top/>
      <bottom style="hair">
        <color indexed="64"/>
      </bottom>
      <diagonal/>
    </border>
    <border>
      <left style="hair">
        <color theme="1"/>
      </left>
      <right style="hair">
        <color theme="1"/>
      </right>
      <top/>
      <bottom style="hair">
        <color indexed="64"/>
      </bottom>
      <diagonal/>
    </border>
    <border>
      <left style="hair">
        <color theme="1"/>
      </left>
      <right style="thin">
        <color auto="1"/>
      </right>
      <top/>
      <bottom style="hair">
        <color indexed="64"/>
      </bottom>
      <diagonal/>
    </border>
    <border>
      <left style="medium">
        <color indexed="64"/>
      </left>
      <right/>
      <top style="thin">
        <color auto="1"/>
      </top>
      <bottom style="medium">
        <color indexed="64"/>
      </bottom>
      <diagonal/>
    </border>
    <border>
      <left/>
      <right/>
      <top style="thin">
        <color indexed="64"/>
      </top>
      <bottom style="medium">
        <color indexed="64"/>
      </bottom>
      <diagonal/>
    </border>
    <border>
      <left/>
      <right style="thin">
        <color auto="1"/>
      </right>
      <top style="thin">
        <color auto="1"/>
      </top>
      <bottom style="medium">
        <color indexed="64"/>
      </bottom>
      <diagonal/>
    </border>
    <border>
      <left/>
      <right style="hair">
        <color indexed="64"/>
      </right>
      <top style="thin">
        <color indexed="64"/>
      </top>
      <bottom style="medium">
        <color indexed="64"/>
      </bottom>
      <diagonal/>
    </border>
    <border>
      <left style="thin">
        <color indexed="64"/>
      </left>
      <right style="hair">
        <color indexed="64"/>
      </right>
      <top style="thin">
        <color indexed="64"/>
      </top>
      <bottom style="medium">
        <color indexed="64"/>
      </bottom>
      <diagonal/>
    </border>
    <border>
      <left style="thin">
        <color indexed="64"/>
      </left>
      <right/>
      <top style="thin">
        <color indexed="64"/>
      </top>
      <bottom style="medium">
        <color indexed="64"/>
      </bottom>
      <diagonal/>
    </border>
    <border>
      <left style="hair">
        <color theme="1"/>
      </left>
      <right style="hair">
        <color theme="1"/>
      </right>
      <top style="thin">
        <color indexed="64"/>
      </top>
      <bottom style="medium">
        <color indexed="64"/>
      </bottom>
      <diagonal/>
    </border>
    <border>
      <left style="thin">
        <color indexed="64"/>
      </left>
      <right/>
      <top/>
      <bottom style="medium">
        <color indexed="64"/>
      </bottom>
      <diagonal/>
    </border>
    <border>
      <left/>
      <right style="thin">
        <color theme="0"/>
      </right>
      <top style="thin">
        <color indexed="64"/>
      </top>
      <bottom/>
      <diagonal/>
    </border>
    <border>
      <left style="thin">
        <color theme="0"/>
      </left>
      <right/>
      <top style="thin">
        <color indexed="64"/>
      </top>
      <bottom style="thin">
        <color theme="0"/>
      </bottom>
      <diagonal/>
    </border>
    <border>
      <left/>
      <right/>
      <top style="thin">
        <color indexed="64"/>
      </top>
      <bottom style="thin">
        <color theme="0"/>
      </bottom>
      <diagonal/>
    </border>
    <border>
      <left/>
      <right style="thin">
        <color theme="0"/>
      </right>
      <top style="thin">
        <color indexed="64"/>
      </top>
      <bottom style="thin">
        <color theme="0"/>
      </bottom>
      <diagonal/>
    </border>
    <border>
      <left style="thin">
        <color theme="0"/>
      </left>
      <right/>
      <top style="thin">
        <color indexed="64"/>
      </top>
      <bottom/>
      <diagonal/>
    </border>
    <border>
      <left style="thin">
        <color theme="0"/>
      </left>
      <right/>
      <top style="thin">
        <color theme="0"/>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8"/>
      </left>
      <right/>
      <top style="hair">
        <color theme="8"/>
      </top>
      <bottom/>
      <diagonal/>
    </border>
    <border>
      <left/>
      <right style="thin">
        <color rgb="FF00338D"/>
      </right>
      <top style="hair">
        <color theme="8"/>
      </top>
      <bottom/>
      <diagonal/>
    </border>
    <border>
      <left style="thin">
        <color theme="8"/>
      </left>
      <right/>
      <top/>
      <bottom style="hair">
        <color theme="8"/>
      </bottom>
      <diagonal/>
    </border>
    <border>
      <left/>
      <right/>
      <top/>
      <bottom style="hair">
        <color theme="8"/>
      </bottom>
      <diagonal/>
    </border>
    <border>
      <left/>
      <right style="thin">
        <color rgb="FF00338D"/>
      </right>
      <top/>
      <bottom style="hair">
        <color theme="8"/>
      </bottom>
      <diagonal/>
    </border>
    <border>
      <left/>
      <right style="thin">
        <color auto="1"/>
      </right>
      <top style="thin">
        <color rgb="FF00338D"/>
      </top>
      <bottom style="thin">
        <color rgb="FF00338D"/>
      </bottom>
      <diagonal/>
    </border>
    <border>
      <left/>
      <right/>
      <top style="hair">
        <color theme="8"/>
      </top>
      <bottom style="thin">
        <color indexed="64"/>
      </bottom>
      <diagonal/>
    </border>
    <border>
      <left/>
      <right style="thin">
        <color auto="1"/>
      </right>
      <top style="hair">
        <color theme="8"/>
      </top>
      <bottom style="thin">
        <color indexed="64"/>
      </bottom>
      <diagonal/>
    </border>
    <border>
      <left/>
      <right/>
      <top style="thin">
        <color indexed="64"/>
      </top>
      <bottom style="thin">
        <color rgb="FF00338D"/>
      </bottom>
      <diagonal/>
    </border>
    <border>
      <left/>
      <right style="thin">
        <color indexed="64"/>
      </right>
      <top style="thin">
        <color indexed="64"/>
      </top>
      <bottom style="thin">
        <color rgb="FF00338D"/>
      </bottom>
      <diagonal/>
    </border>
    <border>
      <left/>
      <right style="thin">
        <color theme="8"/>
      </right>
      <top/>
      <bottom style="thin">
        <color indexed="64"/>
      </bottom>
      <diagonal/>
    </border>
    <border>
      <left style="thin">
        <color indexed="64"/>
      </left>
      <right/>
      <top style="hair">
        <color indexed="64"/>
      </top>
      <bottom style="thin">
        <color theme="8"/>
      </bottom>
      <diagonal/>
    </border>
    <border>
      <left/>
      <right/>
      <top style="hair">
        <color indexed="64"/>
      </top>
      <bottom style="thin">
        <color theme="8"/>
      </bottom>
      <diagonal/>
    </border>
    <border>
      <left/>
      <right style="thin">
        <color indexed="64"/>
      </right>
      <top style="thin">
        <color theme="8"/>
      </top>
      <bottom style="thin">
        <color rgb="FF00338D"/>
      </bottom>
      <diagonal/>
    </border>
    <border>
      <left/>
      <right style="hair">
        <color theme="8"/>
      </right>
      <top style="thin">
        <color rgb="FF00338D"/>
      </top>
      <bottom style="hair">
        <color indexed="64"/>
      </bottom>
      <diagonal/>
    </border>
    <border>
      <left/>
      <right/>
      <top style="thin">
        <color theme="8"/>
      </top>
      <bottom style="hair">
        <color indexed="64"/>
      </bottom>
      <diagonal/>
    </border>
    <border>
      <left style="hair">
        <color rgb="FF00338D"/>
      </left>
      <right/>
      <top style="thin">
        <color rgb="FF00338D"/>
      </top>
      <bottom style="hair">
        <color indexed="64"/>
      </bottom>
      <diagonal/>
    </border>
    <border>
      <left/>
      <right style="thin">
        <color theme="8"/>
      </right>
      <top style="thin">
        <color theme="8"/>
      </top>
      <bottom style="hair">
        <color indexed="64"/>
      </bottom>
      <diagonal/>
    </border>
    <border>
      <left/>
      <right style="thin">
        <color indexed="64"/>
      </right>
      <top style="thin">
        <color theme="8"/>
      </top>
      <bottom/>
      <diagonal/>
    </border>
    <border>
      <left style="hair">
        <color rgb="FF003399"/>
      </left>
      <right style="hair">
        <color rgb="FF003399"/>
      </right>
      <top/>
      <bottom style="thin">
        <color rgb="FF003399"/>
      </bottom>
      <diagonal/>
    </border>
    <border>
      <left style="hair">
        <color rgb="FF003399"/>
      </left>
      <right style="hair">
        <color rgb="FF003399"/>
      </right>
      <top/>
      <bottom/>
      <diagonal/>
    </border>
    <border>
      <left style="hair">
        <color rgb="FF003399"/>
      </left>
      <right style="hair">
        <color rgb="FF003399"/>
      </right>
      <top style="thin">
        <color rgb="FF003399"/>
      </top>
      <bottom/>
      <diagonal/>
    </border>
    <border>
      <left style="hair">
        <color rgb="FF003399"/>
      </left>
      <right style="hair">
        <color rgb="FF003399"/>
      </right>
      <top style="thin">
        <color rgb="FF003399"/>
      </top>
      <bottom style="thin">
        <color rgb="FF003399"/>
      </bottom>
      <diagonal/>
    </border>
    <border>
      <left style="thin">
        <color rgb="FF00338D"/>
      </left>
      <right/>
      <top style="hair">
        <color theme="8"/>
      </top>
      <bottom style="hair">
        <color theme="8"/>
      </bottom>
      <diagonal/>
    </border>
    <border>
      <left style="medium">
        <color indexed="64"/>
      </left>
      <right style="medium">
        <color indexed="64"/>
      </right>
      <top style="hair">
        <color theme="8"/>
      </top>
      <bottom style="hair">
        <color theme="8"/>
      </bottom>
      <diagonal/>
    </border>
    <border>
      <left style="medium">
        <color indexed="64"/>
      </left>
      <right style="medium">
        <color indexed="64"/>
      </right>
      <top/>
      <bottom style="thin">
        <color theme="8"/>
      </bottom>
      <diagonal/>
    </border>
    <border>
      <left style="medium">
        <color indexed="64"/>
      </left>
      <right style="medium">
        <color indexed="64"/>
      </right>
      <top style="thin">
        <color theme="8"/>
      </top>
      <bottom style="hair">
        <color theme="8"/>
      </bottom>
      <diagonal/>
    </border>
    <border>
      <left style="medium">
        <color indexed="64"/>
      </left>
      <right style="medium">
        <color indexed="64"/>
      </right>
      <top style="hair">
        <color theme="8"/>
      </top>
      <bottom/>
      <diagonal/>
    </border>
    <border>
      <left style="medium">
        <color indexed="64"/>
      </left>
      <right style="medium">
        <color indexed="64"/>
      </right>
      <top style="hair">
        <color theme="8"/>
      </top>
      <bottom style="medium">
        <color indexed="64"/>
      </bottom>
      <diagonal/>
    </border>
    <border>
      <left/>
      <right style="hair">
        <color theme="8"/>
      </right>
      <top/>
      <bottom style="thin">
        <color indexed="64"/>
      </bottom>
      <diagonal/>
    </border>
    <border>
      <left style="thin">
        <color indexed="64"/>
      </left>
      <right/>
      <top/>
      <bottom style="hair">
        <color rgb="FF00338D"/>
      </bottom>
      <diagonal/>
    </border>
    <border>
      <left style="thin">
        <color indexed="64"/>
      </left>
      <right/>
      <top/>
      <bottom style="thin">
        <color rgb="FF00338D"/>
      </bottom>
      <diagonal/>
    </border>
    <border>
      <left style="thin">
        <color theme="8" tint="-0.499984740745262"/>
      </left>
      <right/>
      <top style="thin">
        <color indexed="64"/>
      </top>
      <bottom/>
      <diagonal/>
    </border>
    <border>
      <left/>
      <right/>
      <top style="thin">
        <color indexed="64"/>
      </top>
      <bottom style="thin">
        <color rgb="FF003399"/>
      </bottom>
      <diagonal/>
    </border>
    <border>
      <left style="thin">
        <color rgb="FF003399"/>
      </left>
      <right style="thin">
        <color rgb="FF003399"/>
      </right>
      <top style="thin">
        <color indexed="64"/>
      </top>
      <bottom style="thin">
        <color rgb="FF003399"/>
      </bottom>
      <diagonal/>
    </border>
    <border>
      <left style="thin">
        <color rgb="FF003399"/>
      </left>
      <right/>
      <top style="hair">
        <color rgb="FF003399"/>
      </top>
      <bottom/>
      <diagonal/>
    </border>
    <border>
      <left/>
      <right/>
      <top style="hair">
        <color rgb="FF003399"/>
      </top>
      <bottom/>
      <diagonal/>
    </border>
    <border>
      <left style="thin">
        <color rgb="FF003399"/>
      </left>
      <right style="thin">
        <color rgb="FF003399"/>
      </right>
      <top style="hair">
        <color rgb="FF003399"/>
      </top>
      <bottom/>
      <diagonal/>
    </border>
    <border>
      <left style="thin">
        <color theme="8" tint="-0.499984740745262"/>
      </left>
      <right/>
      <top style="thin">
        <color indexed="64"/>
      </top>
      <bottom style="thin">
        <color indexed="64"/>
      </bottom>
      <diagonal/>
    </border>
    <border>
      <left style="thin">
        <color rgb="FF003399"/>
      </left>
      <right style="thin">
        <color rgb="FF003399"/>
      </right>
      <top style="thin">
        <color indexed="64"/>
      </top>
      <bottom style="thin">
        <color indexed="64"/>
      </bottom>
      <diagonal/>
    </border>
    <border>
      <left style="thin">
        <color indexed="64"/>
      </left>
      <right style="thin">
        <color rgb="FF003399"/>
      </right>
      <top style="thin">
        <color rgb="FF003399"/>
      </top>
      <bottom/>
      <diagonal/>
    </border>
    <border>
      <left style="thin">
        <color indexed="64"/>
      </left>
      <right style="thin">
        <color rgb="FF003399"/>
      </right>
      <top style="thin">
        <color rgb="FF003399"/>
      </top>
      <bottom style="thin">
        <color rgb="FF003399"/>
      </bottom>
      <diagonal/>
    </border>
    <border>
      <left style="thin">
        <color indexed="64"/>
      </left>
      <right style="thin">
        <color rgb="FF003399"/>
      </right>
      <top/>
      <bottom/>
      <diagonal/>
    </border>
    <border>
      <left style="thin">
        <color indexed="64"/>
      </left>
      <right style="thin">
        <color rgb="FF003399"/>
      </right>
      <top style="thin">
        <color indexed="64"/>
      </top>
      <bottom style="thin">
        <color rgb="FF003399"/>
      </bottom>
      <diagonal/>
    </border>
    <border>
      <left style="thin">
        <color rgb="FF003399"/>
      </left>
      <right style="thin">
        <color rgb="FF003399"/>
      </right>
      <top/>
      <bottom style="double">
        <color indexed="64"/>
      </bottom>
      <diagonal/>
    </border>
    <border>
      <left style="thin">
        <color theme="8" tint="-0.499984740745262"/>
      </left>
      <right/>
      <top/>
      <bottom style="double">
        <color indexed="64"/>
      </bottom>
      <diagonal/>
    </border>
    <border>
      <left style="thin">
        <color rgb="FF003399"/>
      </left>
      <right/>
      <top/>
      <bottom style="double">
        <color indexed="64"/>
      </bottom>
      <diagonal/>
    </border>
    <border>
      <left/>
      <right/>
      <top/>
      <bottom style="double">
        <color indexed="64"/>
      </bottom>
      <diagonal/>
    </border>
    <border>
      <left style="thin">
        <color indexed="64"/>
      </left>
      <right style="thin">
        <color rgb="FF003399"/>
      </right>
      <top/>
      <bottom style="double">
        <color indexed="64"/>
      </bottom>
      <diagonal/>
    </border>
    <border>
      <left/>
      <right/>
      <top style="thin">
        <color rgb="FF00338D"/>
      </top>
      <bottom style="hair">
        <color indexed="64"/>
      </bottom>
      <diagonal/>
    </border>
    <border>
      <left style="thin">
        <color indexed="64"/>
      </left>
      <right/>
      <top style="thin">
        <color rgb="FF00338D"/>
      </top>
      <bottom/>
      <diagonal/>
    </border>
    <border>
      <left/>
      <right style="thin">
        <color rgb="FF00338D"/>
      </right>
      <top style="hair">
        <color indexed="64"/>
      </top>
      <bottom/>
      <diagonal/>
    </border>
    <border>
      <left/>
      <right style="thin">
        <color indexed="64"/>
      </right>
      <top style="hair">
        <color indexed="64"/>
      </top>
      <bottom/>
      <diagonal/>
    </border>
    <border>
      <left/>
      <right style="thin">
        <color indexed="64"/>
      </right>
      <top style="thin">
        <color rgb="FF003399"/>
      </top>
      <bottom/>
      <diagonal/>
    </border>
    <border>
      <left/>
      <right style="thin">
        <color indexed="64"/>
      </right>
      <top style="thin">
        <color theme="8" tint="-0.499984740745262"/>
      </top>
      <bottom/>
      <diagonal/>
    </border>
    <border>
      <left/>
      <right style="thin">
        <color indexed="64"/>
      </right>
      <top style="thin">
        <color theme="8" tint="-0.499984740745262"/>
      </top>
      <bottom style="thin">
        <color theme="8" tint="-0.499984740745262"/>
      </bottom>
      <diagonal/>
    </border>
    <border>
      <left style="thin">
        <color indexed="64"/>
      </left>
      <right style="thin">
        <color rgb="FF003399"/>
      </right>
      <top style="hair">
        <color rgb="FF003399"/>
      </top>
      <bottom/>
      <diagonal/>
    </border>
    <border>
      <left style="thin">
        <color rgb="FF003399"/>
      </left>
      <right style="thin">
        <color rgb="FF003399"/>
      </right>
      <top/>
      <bottom style="hair">
        <color rgb="FF003399"/>
      </bottom>
      <diagonal/>
    </border>
    <border>
      <left/>
      <right style="thin">
        <color rgb="FF00338D"/>
      </right>
      <top style="hair">
        <color rgb="FF00338D"/>
      </top>
      <bottom style="hair">
        <color indexed="64"/>
      </bottom>
      <diagonal/>
    </border>
    <border>
      <left/>
      <right/>
      <top style="hair">
        <color rgb="FF00338D"/>
      </top>
      <bottom style="hair">
        <color indexed="64"/>
      </bottom>
      <diagonal/>
    </border>
    <border>
      <left style="hair">
        <color rgb="FF00338D"/>
      </left>
      <right style="thin">
        <color theme="8"/>
      </right>
      <top style="hair">
        <color rgb="FF00338D"/>
      </top>
      <bottom style="hair">
        <color indexed="64"/>
      </bottom>
      <diagonal/>
    </border>
    <border>
      <left style="thin">
        <color rgb="FF003399"/>
      </left>
      <right/>
      <top/>
      <bottom style="hair">
        <color rgb="FF003399"/>
      </bottom>
      <diagonal/>
    </border>
    <border>
      <left/>
      <right/>
      <top/>
      <bottom style="hair">
        <color rgb="FF003399"/>
      </bottom>
      <diagonal/>
    </border>
    <border>
      <left style="thin">
        <color indexed="64"/>
      </left>
      <right/>
      <top style="hair">
        <color rgb="FF003399"/>
      </top>
      <bottom/>
      <diagonal/>
    </border>
    <border>
      <left style="thin">
        <color indexed="64"/>
      </left>
      <right/>
      <top/>
      <bottom style="thin">
        <color rgb="FF003399"/>
      </bottom>
      <diagonal/>
    </border>
    <border>
      <left style="thin">
        <color indexed="64"/>
      </left>
      <right style="thin">
        <color indexed="64"/>
      </right>
      <top style="thin">
        <color theme="8"/>
      </top>
      <bottom style="thin">
        <color rgb="FF00338D"/>
      </bottom>
      <diagonal/>
    </border>
    <border>
      <left style="thin">
        <color indexed="64"/>
      </left>
      <right style="thin">
        <color indexed="64"/>
      </right>
      <top style="thin">
        <color rgb="FF00338D"/>
      </top>
      <bottom/>
      <diagonal/>
    </border>
    <border>
      <left style="thin">
        <color auto="1"/>
      </left>
      <right/>
      <top/>
      <bottom style="hair">
        <color auto="1"/>
      </bottom>
      <diagonal/>
    </border>
    <border>
      <left/>
      <right/>
      <top/>
      <bottom style="hair">
        <color auto="1"/>
      </bottom>
      <diagonal/>
    </border>
    <border>
      <left style="thin">
        <color rgb="FFD9D9D9"/>
      </left>
      <right style="thin">
        <color rgb="FFD9D9D9"/>
      </right>
      <top style="thin">
        <color rgb="FFD9D9D9"/>
      </top>
      <bottom style="thin">
        <color rgb="FFD9D9D9"/>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
      <left style="thin">
        <color rgb="FFD9D9D9"/>
      </left>
      <right/>
      <top style="thin">
        <color rgb="FFD9D9D9"/>
      </top>
      <bottom style="thin">
        <color rgb="FFD9D9D9"/>
      </bottom>
      <diagonal/>
    </border>
    <border>
      <left/>
      <right style="thin">
        <color rgb="FFD9D9D9"/>
      </right>
      <top style="thin">
        <color rgb="FFD9D9D9"/>
      </top>
      <bottom style="thin">
        <color rgb="FFD9D9D9"/>
      </bottom>
      <diagonal/>
    </border>
    <border>
      <left style="thin">
        <color rgb="FFD9D9D9"/>
      </left>
      <right style="thin">
        <color rgb="FFD9D9D9"/>
      </right>
      <top/>
      <bottom/>
      <diagonal/>
    </border>
    <border>
      <left style="thin">
        <color indexed="64"/>
      </left>
      <right style="thin">
        <color rgb="FF00338D"/>
      </right>
      <top style="thin">
        <color indexed="64"/>
      </top>
      <bottom/>
      <diagonal/>
    </border>
    <border>
      <left style="thin">
        <color rgb="FF00338D"/>
      </left>
      <right style="thin">
        <color indexed="64"/>
      </right>
      <top style="thin">
        <color indexed="64"/>
      </top>
      <bottom/>
      <diagonal/>
    </border>
    <border>
      <left style="thin">
        <color indexed="64"/>
      </left>
      <right style="thin">
        <color rgb="FF00338D"/>
      </right>
      <top/>
      <bottom/>
      <diagonal/>
    </border>
    <border>
      <left style="thin">
        <color rgb="FF00338D"/>
      </left>
      <right style="thin">
        <color indexed="64"/>
      </right>
      <top/>
      <bottom/>
      <diagonal/>
    </border>
    <border>
      <left style="thin">
        <color indexed="64"/>
      </left>
      <right style="thin">
        <color rgb="FF00338D"/>
      </right>
      <top style="hair">
        <color indexed="64"/>
      </top>
      <bottom style="hair">
        <color indexed="64"/>
      </bottom>
      <diagonal/>
    </border>
    <border>
      <left style="thin">
        <color rgb="FF00338D"/>
      </left>
      <right style="thin">
        <color indexed="64"/>
      </right>
      <top style="hair">
        <color indexed="64"/>
      </top>
      <bottom style="hair">
        <color indexed="64"/>
      </bottom>
      <diagonal/>
    </border>
    <border>
      <left style="thin">
        <color indexed="64"/>
      </left>
      <right style="thin">
        <color rgb="FF00338D"/>
      </right>
      <top style="hair">
        <color auto="1"/>
      </top>
      <bottom/>
      <diagonal/>
    </border>
    <border>
      <left style="thin">
        <color rgb="FF00338D"/>
      </left>
      <right style="thin">
        <color indexed="64"/>
      </right>
      <top style="hair">
        <color auto="1"/>
      </top>
      <bottom/>
      <diagonal/>
    </border>
    <border>
      <left style="thin">
        <color indexed="64"/>
      </left>
      <right style="thin">
        <color rgb="FF00338D"/>
      </right>
      <top style="hair">
        <color auto="1"/>
      </top>
      <bottom style="hair">
        <color rgb="FF00338D"/>
      </bottom>
      <diagonal/>
    </border>
    <border>
      <left style="thin">
        <color rgb="FF00338D"/>
      </left>
      <right style="thin">
        <color indexed="64"/>
      </right>
      <top style="hair">
        <color auto="1"/>
      </top>
      <bottom style="hair">
        <color rgb="FF00338D"/>
      </bottom>
      <diagonal/>
    </border>
    <border>
      <left style="thin">
        <color indexed="64"/>
      </left>
      <right style="thin">
        <color rgb="FF00338D"/>
      </right>
      <top/>
      <bottom style="hair">
        <color rgb="FF00338D"/>
      </bottom>
      <diagonal/>
    </border>
    <border>
      <left style="thin">
        <color rgb="FF00338D"/>
      </left>
      <right style="thin">
        <color indexed="64"/>
      </right>
      <top/>
      <bottom style="hair">
        <color rgb="FF00338D"/>
      </bottom>
      <diagonal/>
    </border>
    <border>
      <left style="thin">
        <color indexed="64"/>
      </left>
      <right style="thin">
        <color rgb="FF00338D"/>
      </right>
      <top style="hair">
        <color indexed="64"/>
      </top>
      <bottom style="thin">
        <color indexed="64"/>
      </bottom>
      <diagonal/>
    </border>
    <border>
      <left style="thin">
        <color rgb="FF00338D"/>
      </left>
      <right style="thin">
        <color indexed="64"/>
      </right>
      <top style="hair">
        <color indexed="64"/>
      </top>
      <bottom style="thin">
        <color indexed="64"/>
      </bottom>
      <diagonal/>
    </border>
    <border>
      <left/>
      <right style="thin">
        <color rgb="FFD9D9D9"/>
      </right>
      <top style="medium">
        <color rgb="FF000000"/>
      </top>
      <bottom style="thin">
        <color rgb="FFD9D9D9"/>
      </bottom>
      <diagonal/>
    </border>
    <border>
      <left style="thin">
        <color rgb="FFD9D9D9"/>
      </left>
      <right style="thin">
        <color rgb="FFD9D9D9"/>
      </right>
      <top style="medium">
        <color rgb="FF000000"/>
      </top>
      <bottom style="thin">
        <color rgb="FFD9D9D9"/>
      </bottom>
      <diagonal/>
    </border>
    <border>
      <left style="thin">
        <color rgb="FFD9D9D9"/>
      </left>
      <right/>
      <top style="medium">
        <color rgb="FF000000"/>
      </top>
      <bottom style="thin">
        <color rgb="FFD9D9D9"/>
      </bottom>
      <diagonal/>
    </border>
    <border>
      <left/>
      <right style="thin">
        <color rgb="FFD9D9D9"/>
      </right>
      <top style="thin">
        <color rgb="FFD9D9D9"/>
      </top>
      <bottom style="medium">
        <color rgb="FF000000"/>
      </bottom>
      <diagonal/>
    </border>
    <border>
      <left style="thin">
        <color rgb="FFD9D9D9"/>
      </left>
      <right style="thin">
        <color rgb="FFD9D9D9"/>
      </right>
      <top style="thin">
        <color rgb="FFD9D9D9"/>
      </top>
      <bottom style="medium">
        <color rgb="FF000000"/>
      </bottom>
      <diagonal/>
    </border>
    <border>
      <left style="thin">
        <color rgb="FFD9D9D9"/>
      </left>
      <right/>
      <top style="thin">
        <color rgb="FFD9D9D9"/>
      </top>
      <bottom style="medium">
        <color rgb="FF000000"/>
      </bottom>
      <diagonal/>
    </border>
    <border>
      <left/>
      <right style="thin">
        <color rgb="FFD9D9D9"/>
      </right>
      <top style="thin">
        <color rgb="FFD9D9D9"/>
      </top>
      <bottom/>
      <diagonal/>
    </border>
    <border>
      <left style="thin">
        <color rgb="FFD9D9D9"/>
      </left>
      <right/>
      <top style="thin">
        <color rgb="FFD9D9D9"/>
      </top>
      <bottom/>
      <diagonal/>
    </border>
    <border>
      <left/>
      <right/>
      <top style="thin">
        <color rgb="FFD9D9D9"/>
      </top>
      <bottom style="thin">
        <color rgb="FFD9D9D9"/>
      </bottom>
      <diagonal/>
    </border>
    <border>
      <left/>
      <right/>
      <top style="thin">
        <color rgb="FFD9D9D9"/>
      </top>
      <bottom style="medium">
        <color rgb="FF000000"/>
      </bottom>
      <diagonal/>
    </border>
    <border>
      <left/>
      <right style="thin">
        <color rgb="FFD9D9D9"/>
      </right>
      <top style="thin">
        <color rgb="FFD9D9D9"/>
      </top>
      <bottom style="thin">
        <color indexed="64"/>
      </bottom>
      <diagonal/>
    </border>
    <border>
      <left style="thin">
        <color rgb="FFD9D9D9"/>
      </left>
      <right style="thin">
        <color rgb="FFD9D9D9"/>
      </right>
      <top style="thin">
        <color rgb="FFD9D9D9"/>
      </top>
      <bottom style="thin">
        <color indexed="64"/>
      </bottom>
      <diagonal/>
    </border>
    <border>
      <left style="thin">
        <color rgb="FFD9D9D9"/>
      </left>
      <right/>
      <top style="thin">
        <color rgb="FFD9D9D9"/>
      </top>
      <bottom style="thin">
        <color indexed="64"/>
      </bottom>
      <diagonal/>
    </border>
    <border>
      <left/>
      <right style="thin">
        <color rgb="FFD9D9D9"/>
      </right>
      <top style="thick">
        <color rgb="FF000000"/>
      </top>
      <bottom style="thin">
        <color rgb="FFD9D9D9"/>
      </bottom>
      <diagonal/>
    </border>
    <border>
      <left style="thin">
        <color rgb="FFD9D9D9"/>
      </left>
      <right style="thin">
        <color rgb="FFD9D9D9"/>
      </right>
      <top style="thick">
        <color rgb="FF000000"/>
      </top>
      <bottom style="thin">
        <color rgb="FFD9D9D9"/>
      </bottom>
      <diagonal/>
    </border>
    <border>
      <left style="thin">
        <color rgb="FFD9D9D9"/>
      </left>
      <right/>
      <top style="thick">
        <color rgb="FF000000"/>
      </top>
      <bottom style="thin">
        <color rgb="FFD9D9D9"/>
      </bottom>
      <diagonal/>
    </border>
    <border>
      <left style="medium">
        <color indexed="64"/>
      </left>
      <right style="medium">
        <color indexed="64"/>
      </right>
      <top/>
      <bottom style="medium">
        <color indexed="64"/>
      </bottom>
      <diagonal/>
    </border>
    <border>
      <left/>
      <right style="thin">
        <color indexed="64"/>
      </right>
      <top style="hair">
        <color theme="8"/>
      </top>
      <bottom/>
      <diagonal/>
    </border>
    <border>
      <left style="thin">
        <color indexed="64"/>
      </left>
      <right/>
      <top/>
      <bottom style="hair">
        <color theme="8"/>
      </bottom>
      <diagonal/>
    </border>
    <border>
      <left/>
      <right style="thin">
        <color indexed="64"/>
      </right>
      <top/>
      <bottom style="hair">
        <color theme="8"/>
      </bottom>
      <diagonal/>
    </border>
    <border>
      <left/>
      <right style="thin">
        <color theme="8"/>
      </right>
      <top/>
      <bottom style="hair">
        <color theme="8"/>
      </bottom>
      <diagonal/>
    </border>
    <border>
      <left/>
      <right style="thin">
        <color rgb="FF00338D"/>
      </right>
      <top style="thin">
        <color indexed="64"/>
      </top>
      <bottom/>
      <diagonal/>
    </border>
    <border>
      <left style="thin">
        <color rgb="FFD9D9D9"/>
      </left>
      <right style="thin">
        <color rgb="FFD9D9D9"/>
      </right>
      <top style="medium">
        <color rgb="FF000000"/>
      </top>
      <bottom/>
      <diagonal/>
    </border>
    <border>
      <left style="medium">
        <color indexed="64"/>
      </left>
      <right/>
      <top style="medium">
        <color indexed="64"/>
      </top>
      <bottom style="thin">
        <color rgb="FF00338D"/>
      </bottom>
      <diagonal/>
    </border>
    <border>
      <left/>
      <right/>
      <top style="medium">
        <color indexed="64"/>
      </top>
      <bottom style="thin">
        <color rgb="FF00338D"/>
      </bottom>
      <diagonal/>
    </border>
    <border>
      <left style="thin">
        <color indexed="64"/>
      </left>
      <right/>
      <top style="medium">
        <color indexed="64"/>
      </top>
      <bottom style="thin">
        <color rgb="FF00338D"/>
      </bottom>
      <diagonal/>
    </border>
    <border>
      <left/>
      <right style="medium">
        <color indexed="64"/>
      </right>
      <top style="medium">
        <color indexed="64"/>
      </top>
      <bottom style="thin">
        <color rgb="FF00338D"/>
      </bottom>
      <diagonal/>
    </border>
    <border>
      <left style="medium">
        <color indexed="64"/>
      </left>
      <right/>
      <top style="thin">
        <color theme="8"/>
      </top>
      <bottom style="thin">
        <color rgb="FF00338D"/>
      </bottom>
      <diagonal/>
    </border>
    <border>
      <left/>
      <right style="medium">
        <color indexed="64"/>
      </right>
      <top style="thin">
        <color theme="8"/>
      </top>
      <bottom style="thin">
        <color rgb="FF00338D"/>
      </bottom>
      <diagonal/>
    </border>
    <border>
      <left style="medium">
        <color indexed="64"/>
      </left>
      <right/>
      <top style="thin">
        <color rgb="FF00338D"/>
      </top>
      <bottom/>
      <diagonal/>
    </border>
    <border>
      <left/>
      <right style="medium">
        <color indexed="64"/>
      </right>
      <top style="thin">
        <color rgb="FF00338D"/>
      </top>
      <bottom/>
      <diagonal/>
    </border>
    <border>
      <left style="medium">
        <color indexed="64"/>
      </left>
      <right/>
      <top/>
      <bottom/>
      <diagonal/>
    </border>
    <border>
      <left style="medium">
        <color indexed="64"/>
      </left>
      <right/>
      <top/>
      <bottom style="hair">
        <color rgb="FF00338D"/>
      </bottom>
      <diagonal/>
    </border>
    <border>
      <left style="medium">
        <color indexed="64"/>
      </left>
      <right/>
      <top style="hair">
        <color auto="1"/>
      </top>
      <bottom/>
      <diagonal/>
    </border>
    <border>
      <left/>
      <right style="medium">
        <color indexed="64"/>
      </right>
      <top style="hair">
        <color indexed="64"/>
      </top>
      <bottom/>
      <diagonal/>
    </border>
    <border>
      <left style="hair">
        <color theme="0"/>
      </left>
      <right/>
      <top style="thin">
        <color theme="0"/>
      </top>
      <bottom style="thin">
        <color indexed="64"/>
      </bottom>
      <diagonal/>
    </border>
    <border>
      <left style="hair">
        <color theme="1"/>
      </left>
      <right/>
      <top/>
      <bottom style="hair">
        <color indexed="64"/>
      </bottom>
      <diagonal/>
    </border>
    <border>
      <left style="thin">
        <color theme="8"/>
      </left>
      <right/>
      <top style="thin">
        <color rgb="FF00338D"/>
      </top>
      <bottom style="hair">
        <color theme="8"/>
      </bottom>
      <diagonal/>
    </border>
    <border>
      <left/>
      <right/>
      <top style="thin">
        <color rgb="FF00338D"/>
      </top>
      <bottom style="hair">
        <color theme="8"/>
      </bottom>
      <diagonal/>
    </border>
    <border>
      <left/>
      <right style="thin">
        <color indexed="64"/>
      </right>
      <top style="thin">
        <color rgb="FF00338D"/>
      </top>
      <bottom style="hair">
        <color theme="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style="medium">
        <color indexed="64"/>
      </bottom>
      <diagonal/>
    </border>
    <border>
      <left style="mediumDashed">
        <color rgb="FFFF0000"/>
      </left>
      <right/>
      <top style="mediumDashed">
        <color rgb="FFFF0000"/>
      </top>
      <bottom/>
      <diagonal/>
    </border>
    <border>
      <left/>
      <right style="mediumDashed">
        <color rgb="FFFF0000"/>
      </right>
      <top style="mediumDashed">
        <color rgb="FFFF0000"/>
      </top>
      <bottom/>
      <diagonal/>
    </border>
    <border>
      <left style="mediumDashed">
        <color rgb="FFFF0000"/>
      </left>
      <right style="thin">
        <color auto="1"/>
      </right>
      <top style="thin">
        <color auto="1"/>
      </top>
      <bottom style="mediumDashed">
        <color rgb="FFFF0000"/>
      </bottom>
      <diagonal/>
    </border>
    <border>
      <left style="thin">
        <color auto="1"/>
      </left>
      <right style="mediumDashed">
        <color rgb="FFFF0000"/>
      </right>
      <top style="thin">
        <color auto="1"/>
      </top>
      <bottom style="mediumDashed">
        <color rgb="FFFF0000"/>
      </bottom>
      <diagonal/>
    </border>
    <border>
      <left/>
      <right style="thin">
        <color auto="1"/>
      </right>
      <top style="thin">
        <color auto="1"/>
      </top>
      <bottom style="double">
        <color indexed="64"/>
      </bottom>
      <diagonal/>
    </border>
    <border>
      <left style="thin">
        <color auto="1"/>
      </left>
      <right style="thin">
        <color auto="1"/>
      </right>
      <top style="thin">
        <color auto="1"/>
      </top>
      <bottom style="double">
        <color indexed="64"/>
      </bottom>
      <diagonal/>
    </border>
    <border>
      <left style="thin">
        <color auto="1"/>
      </left>
      <right style="thin">
        <color auto="1"/>
      </right>
      <top/>
      <bottom style="double">
        <color indexed="64"/>
      </bottom>
      <diagonal/>
    </border>
    <border>
      <left style="thin">
        <color auto="1"/>
      </left>
      <right/>
      <top style="thin">
        <color auto="1"/>
      </top>
      <bottom style="double">
        <color indexed="64"/>
      </bottom>
      <diagonal/>
    </border>
    <border>
      <left style="hair">
        <color rgb="FF00338D"/>
      </left>
      <right/>
      <top/>
      <bottom style="hair">
        <color indexed="64"/>
      </bottom>
      <diagonal/>
    </border>
    <border>
      <left/>
      <right style="thin">
        <color theme="8"/>
      </right>
      <top style="hair">
        <color auto="1"/>
      </top>
      <bottom/>
      <diagonal/>
    </border>
    <border>
      <left/>
      <right style="thin">
        <color theme="8"/>
      </right>
      <top/>
      <bottom style="hair">
        <color indexed="64"/>
      </bottom>
      <diagonal/>
    </border>
    <border>
      <left style="thin">
        <color indexed="64"/>
      </left>
      <right style="thin">
        <color indexed="64"/>
      </right>
      <top style="thin">
        <color indexed="64"/>
      </top>
      <bottom style="thin">
        <color rgb="FF00338D"/>
      </bottom>
      <diagonal/>
    </border>
    <border>
      <left style="thin">
        <color indexed="64"/>
      </left>
      <right style="thin">
        <color indexed="64"/>
      </right>
      <top style="hair">
        <color indexed="64"/>
      </top>
      <bottom style="thin">
        <color indexed="64"/>
      </bottom>
      <diagonal/>
    </border>
    <border>
      <left/>
      <right/>
      <top style="medium">
        <color rgb="FFC00000"/>
      </top>
      <bottom/>
      <diagonal/>
    </border>
    <border>
      <left/>
      <right style="medium">
        <color rgb="FFC00000"/>
      </right>
      <top style="medium">
        <color rgb="FFC00000"/>
      </top>
      <bottom/>
      <diagonal/>
    </border>
    <border>
      <left style="medium">
        <color rgb="FFC00000"/>
      </left>
      <right/>
      <top/>
      <bottom/>
      <diagonal/>
    </border>
    <border>
      <left/>
      <right style="medium">
        <color rgb="FFC00000"/>
      </right>
      <top/>
      <bottom/>
      <diagonal/>
    </border>
    <border>
      <left style="medium">
        <color rgb="FFC00000"/>
      </left>
      <right/>
      <top/>
      <bottom style="medium">
        <color rgb="FFC00000"/>
      </bottom>
      <diagonal/>
    </border>
    <border>
      <left/>
      <right/>
      <top/>
      <bottom style="medium">
        <color rgb="FFC00000"/>
      </bottom>
      <diagonal/>
    </border>
    <border>
      <left/>
      <right style="medium">
        <color rgb="FFC00000"/>
      </right>
      <top/>
      <bottom style="medium">
        <color rgb="FFC00000"/>
      </bottom>
      <diagonal/>
    </border>
    <border>
      <left/>
      <right style="thin">
        <color rgb="FFD9D9D9"/>
      </right>
      <top style="medium">
        <color rgb="FF000000"/>
      </top>
      <bottom/>
      <diagonal/>
    </border>
    <border>
      <left/>
      <right style="thin">
        <color rgb="FFD9D9D9"/>
      </right>
      <top/>
      <bottom style="thin">
        <color rgb="FFD9D9D9"/>
      </bottom>
      <diagonal/>
    </border>
    <border>
      <left style="thin">
        <color rgb="FFD9D9D9"/>
      </left>
      <right style="thin">
        <color rgb="FF8497B0"/>
      </right>
      <top style="thin">
        <color rgb="FFD9D9D9"/>
      </top>
      <bottom style="thin">
        <color rgb="FFD9D9D9"/>
      </bottom>
      <diagonal/>
    </border>
    <border>
      <left style="thin">
        <color rgb="FF8497B0"/>
      </left>
      <right style="thin">
        <color rgb="FFD9D9D9"/>
      </right>
      <top style="thin">
        <color rgb="FFD9D9D9"/>
      </top>
      <bottom style="thin">
        <color rgb="FFD9D9D9"/>
      </bottom>
      <diagonal/>
    </border>
    <border>
      <left style="thin">
        <color rgb="FF8497B0"/>
      </left>
      <right style="thin">
        <color rgb="FFD9D9D9"/>
      </right>
      <top style="thin">
        <color rgb="FFD9D9D9"/>
      </top>
      <bottom style="thin">
        <color rgb="FF8497B0"/>
      </bottom>
      <diagonal/>
    </border>
    <border>
      <left style="thin">
        <color rgb="FFD9D9D9"/>
      </left>
      <right style="thin">
        <color rgb="FFD9D9D9"/>
      </right>
      <top style="thin">
        <color rgb="FFD9D9D9"/>
      </top>
      <bottom style="thin">
        <color rgb="FF8497B0"/>
      </bottom>
      <diagonal/>
    </border>
    <border>
      <left style="thin">
        <color rgb="FFD9D9D9"/>
      </left>
      <right style="thin">
        <color rgb="FFD9D9D9"/>
      </right>
      <top style="thin">
        <color rgb="FF8497B0"/>
      </top>
      <bottom style="thin">
        <color rgb="FFD9D9D9"/>
      </bottom>
      <diagonal/>
    </border>
    <border>
      <left style="thin">
        <color rgb="FFD9D9D9"/>
      </left>
      <right style="thin">
        <color rgb="FFD9D9D9"/>
      </right>
      <top style="thin">
        <color rgb="FF8497B0"/>
      </top>
      <bottom style="thin">
        <color rgb="FF8497B0"/>
      </bottom>
      <diagonal/>
    </border>
    <border>
      <left style="thin">
        <color rgb="FFD9D9D9"/>
      </left>
      <right style="thin">
        <color rgb="FF8497B0"/>
      </right>
      <top style="thin">
        <color rgb="FF8497B0"/>
      </top>
      <bottom style="thin">
        <color rgb="FF8497B0"/>
      </bottom>
      <diagonal/>
    </border>
    <border>
      <left style="thin">
        <color rgb="FF8497B0"/>
      </left>
      <right style="thin">
        <color rgb="FFD9D9D9"/>
      </right>
      <top style="thin">
        <color rgb="FF8497B0"/>
      </top>
      <bottom style="thin">
        <color rgb="FFD9D9D9"/>
      </bottom>
      <diagonal/>
    </border>
    <border>
      <left style="thin">
        <color rgb="FFD9D9D9"/>
      </left>
      <right style="thin">
        <color rgb="FF8497B0"/>
      </right>
      <top style="thin">
        <color rgb="FFD9D9D9"/>
      </top>
      <bottom style="thin">
        <color rgb="FF8497B0"/>
      </bottom>
      <diagonal/>
    </border>
    <border>
      <left/>
      <right style="thin">
        <color rgb="FF8497B0"/>
      </right>
      <top style="thin">
        <color rgb="FFD9D9D9"/>
      </top>
      <bottom style="thin">
        <color rgb="FFD9D9D9"/>
      </bottom>
      <diagonal/>
    </border>
    <border>
      <left style="hair">
        <color theme="8"/>
      </left>
      <right/>
      <top style="hair">
        <color theme="8"/>
      </top>
      <bottom/>
      <diagonal/>
    </border>
    <border>
      <left style="hair">
        <color theme="8"/>
      </left>
      <right/>
      <top/>
      <bottom/>
      <diagonal/>
    </border>
    <border>
      <left style="hair">
        <color theme="8"/>
      </left>
      <right/>
      <top/>
      <bottom style="hair">
        <color theme="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hair">
        <color indexed="64"/>
      </top>
      <bottom style="thin">
        <color theme="8"/>
      </bottom>
      <diagonal/>
    </border>
    <border>
      <left style="thin">
        <color rgb="FF003399"/>
      </left>
      <right/>
      <top style="thin">
        <color indexed="64"/>
      </top>
      <bottom/>
      <diagonal/>
    </border>
    <border>
      <left style="thin">
        <color indexed="64"/>
      </left>
      <right style="thin">
        <color rgb="FF003399"/>
      </right>
      <top style="thin">
        <color indexed="64"/>
      </top>
      <bottom/>
      <diagonal/>
    </border>
    <border>
      <left style="thin">
        <color indexed="64"/>
      </left>
      <right style="thin">
        <color rgb="FF003399"/>
      </right>
      <top/>
      <bottom style="thin">
        <color indexed="64"/>
      </bottom>
      <diagonal/>
    </border>
    <border>
      <left style="thin">
        <color rgb="FF003399"/>
      </left>
      <right style="thin">
        <color rgb="FF003399"/>
      </right>
      <top style="thin">
        <color indexed="64"/>
      </top>
      <bottom/>
      <diagonal/>
    </border>
    <border>
      <left style="medium">
        <color rgb="FFC00000"/>
      </left>
      <right/>
      <top style="hair">
        <color rgb="FFC00000"/>
      </top>
      <bottom/>
      <diagonal/>
    </border>
    <border>
      <left style="hair">
        <color rgb="FF00338D"/>
      </left>
      <right/>
      <top style="hair">
        <color rgb="FFC00000"/>
      </top>
      <bottom/>
      <diagonal/>
    </border>
    <border>
      <left/>
      <right/>
      <top style="hair">
        <color rgb="FFC00000"/>
      </top>
      <bottom/>
      <diagonal/>
    </border>
    <border>
      <left/>
      <right style="thin">
        <color theme="8"/>
      </right>
      <top style="hair">
        <color rgb="FFC00000"/>
      </top>
      <bottom/>
      <diagonal/>
    </border>
    <border>
      <left style="medium">
        <color rgb="FFC00000"/>
      </left>
      <right/>
      <top/>
      <bottom style="thin">
        <color theme="8"/>
      </bottom>
      <diagonal/>
    </border>
    <border>
      <left style="medium">
        <color indexed="64"/>
      </left>
      <right/>
      <top/>
      <bottom style="thin">
        <color indexed="64"/>
      </bottom>
      <diagonal/>
    </border>
    <border>
      <left style="thin">
        <color rgb="FF00338D"/>
      </left>
      <right/>
      <top/>
      <bottom style="thin">
        <color indexed="64"/>
      </bottom>
      <diagonal/>
    </border>
    <border>
      <left/>
      <right style="thin">
        <color rgb="FF00338D"/>
      </right>
      <top/>
      <bottom style="thin">
        <color indexed="64"/>
      </bottom>
      <diagonal/>
    </border>
    <border>
      <left/>
      <right style="medium">
        <color auto="1"/>
      </right>
      <top/>
      <bottom style="thin">
        <color indexed="64"/>
      </bottom>
      <diagonal/>
    </border>
    <border>
      <left style="hair">
        <color rgb="FF00338D"/>
      </left>
      <right/>
      <top style="hair">
        <color theme="8"/>
      </top>
      <bottom/>
      <diagonal/>
    </border>
    <border>
      <left style="medium">
        <color indexed="64"/>
      </left>
      <right/>
      <top style="thin">
        <color rgb="FF00338D"/>
      </top>
      <bottom style="thin">
        <color rgb="FF00338D"/>
      </bottom>
      <diagonal/>
    </border>
    <border>
      <left/>
      <right style="medium">
        <color indexed="64"/>
      </right>
      <top style="thin">
        <color rgb="FF00338D"/>
      </top>
      <bottom style="thin">
        <color rgb="FF00338D"/>
      </bottom>
      <diagonal/>
    </border>
    <border>
      <left style="medium">
        <color indexed="64"/>
      </left>
      <right/>
      <top/>
      <bottom style="hair">
        <color theme="8"/>
      </bottom>
      <diagonal/>
    </border>
    <border>
      <left/>
      <right style="medium">
        <color indexed="64"/>
      </right>
      <top/>
      <bottom style="hair">
        <color theme="8"/>
      </bottom>
      <diagonal/>
    </border>
    <border>
      <left style="medium">
        <color indexed="64"/>
      </left>
      <right/>
      <top style="hair">
        <color theme="8"/>
      </top>
      <bottom/>
      <diagonal/>
    </border>
    <border>
      <left/>
      <right style="medium">
        <color indexed="64"/>
      </right>
      <top style="hair">
        <color theme="8"/>
      </top>
      <bottom/>
      <diagonal/>
    </border>
    <border>
      <left/>
      <right style="thin">
        <color indexed="64"/>
      </right>
      <top/>
      <bottom style="medium">
        <color indexed="64"/>
      </bottom>
      <diagonal/>
    </border>
    <border>
      <left style="thin">
        <color auto="1"/>
      </left>
      <right/>
      <top style="hair">
        <color theme="8"/>
      </top>
      <bottom style="thin">
        <color indexed="64"/>
      </bottom>
      <diagonal/>
    </border>
    <border>
      <left style="thin">
        <color indexed="64"/>
      </left>
      <right style="thin">
        <color indexed="64"/>
      </right>
      <top/>
      <bottom style="thin">
        <color rgb="FF00338D"/>
      </bottom>
      <diagonal/>
    </border>
    <border>
      <left/>
      <right style="thin">
        <color rgb="FFD9D9D9"/>
      </right>
      <top style="thin">
        <color rgb="FFD9D9D9"/>
      </top>
      <bottom style="thin">
        <color rgb="FF000000"/>
      </bottom>
      <diagonal/>
    </border>
    <border>
      <left style="thin">
        <color rgb="FFD9D9D9"/>
      </left>
      <right style="thin">
        <color rgb="FFD9D9D9"/>
      </right>
      <top style="thin">
        <color rgb="FFD9D9D9"/>
      </top>
      <bottom style="thin">
        <color rgb="FF000000"/>
      </bottom>
      <diagonal/>
    </border>
    <border>
      <left style="thin">
        <color rgb="FFD9D9D9"/>
      </left>
      <right/>
      <top style="thin">
        <color rgb="FFD9D9D9"/>
      </top>
      <bottom style="thin">
        <color rgb="FF000000"/>
      </bottom>
      <diagonal/>
    </border>
    <border>
      <left style="thin">
        <color rgb="FFD9D9D9"/>
      </left>
      <right/>
      <top style="medium">
        <color rgb="FF000000"/>
      </top>
      <bottom/>
      <diagonal/>
    </border>
    <border>
      <left style="thin">
        <color rgb="FFD9D9D9"/>
      </left>
      <right/>
      <top/>
      <bottom style="thin">
        <color rgb="FFD9D9D9"/>
      </bottom>
      <diagonal/>
    </border>
    <border>
      <left/>
      <right/>
      <top style="medium">
        <color rgb="FF000000"/>
      </top>
      <bottom style="thin">
        <color rgb="FFD9D9D9"/>
      </bottom>
      <diagonal/>
    </border>
    <border>
      <left/>
      <right style="thin">
        <color rgb="FFD9D9D9"/>
      </right>
      <top/>
      <bottom/>
      <diagonal/>
    </border>
    <border>
      <left/>
      <right style="thin">
        <color rgb="FFD9D9D9"/>
      </right>
      <top/>
      <bottom style="thin">
        <color rgb="FF000000"/>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auto="1"/>
      </right>
      <top/>
      <bottom style="thin">
        <color indexed="64"/>
      </bottom>
      <diagonal/>
    </border>
    <border>
      <left/>
      <right style="hair">
        <color indexed="64"/>
      </right>
      <top/>
      <bottom style="medium">
        <color indexed="64"/>
      </bottom>
      <diagonal/>
    </border>
    <border>
      <left/>
      <right style="hair">
        <color indexed="64"/>
      </right>
      <top style="medium">
        <color indexed="64"/>
      </top>
      <bottom style="thin">
        <color indexed="64"/>
      </bottom>
      <diagonal/>
    </border>
    <border>
      <left/>
      <right style="medium">
        <color rgb="FF000000"/>
      </right>
      <top/>
      <bottom style="medium">
        <color rgb="FF000000"/>
      </bottom>
      <diagonal/>
    </border>
    <border>
      <left/>
      <right style="medium">
        <color rgb="FF000000"/>
      </right>
      <top/>
      <bottom/>
      <diagonal/>
    </border>
    <border>
      <left style="medium">
        <color rgb="FFB2B2B2"/>
      </left>
      <right style="medium">
        <color rgb="FFB2B2B2"/>
      </right>
      <top style="medium">
        <color rgb="FFB2B2B2"/>
      </top>
      <bottom style="medium">
        <color rgb="FF808080"/>
      </bottom>
      <diagonal/>
    </border>
    <border>
      <left style="medium">
        <color rgb="FFB2B2B2"/>
      </left>
      <right style="medium">
        <color rgb="FF808080"/>
      </right>
      <top style="medium">
        <color rgb="FFB2B2B2"/>
      </top>
      <bottom style="medium">
        <color rgb="FF808080"/>
      </bottom>
      <diagonal/>
    </border>
    <border>
      <left/>
      <right style="medium">
        <color rgb="FF000000"/>
      </right>
      <top style="medium">
        <color rgb="FF000000"/>
      </top>
      <bottom style="medium">
        <color rgb="FF000000"/>
      </bottom>
      <diagonal/>
    </border>
    <border>
      <left style="medium">
        <color rgb="FFB2B2B2"/>
      </left>
      <right style="medium">
        <color rgb="FFB2B2B2"/>
      </right>
      <top style="medium">
        <color rgb="FF808080"/>
      </top>
      <bottom style="medium">
        <color rgb="FF808080"/>
      </bottom>
      <diagonal/>
    </border>
    <border>
      <left style="medium">
        <color rgb="FF000000"/>
      </left>
      <right/>
      <top style="medium">
        <color rgb="FF000000"/>
      </top>
      <bottom style="medium">
        <color rgb="FF000000"/>
      </bottom>
      <diagonal/>
    </border>
    <border>
      <left style="medium">
        <color rgb="FFB2B2B2"/>
      </left>
      <right style="medium">
        <color rgb="FFB2B2B2"/>
      </right>
      <top style="medium">
        <color rgb="FF808080"/>
      </top>
      <bottom style="medium">
        <color rgb="FFB2B2B2"/>
      </bottom>
      <diagonal/>
    </border>
    <border>
      <left style="medium">
        <color indexed="64"/>
      </left>
      <right style="medium">
        <color indexed="64"/>
      </right>
      <top style="hair">
        <color indexed="64"/>
      </top>
      <bottom/>
      <diagonal/>
    </border>
    <border>
      <left/>
      <right style="hair">
        <color auto="1"/>
      </right>
      <top style="hair">
        <color indexed="64"/>
      </top>
      <bottom/>
      <diagonal/>
    </border>
    <border>
      <left style="medium">
        <color indexed="64"/>
      </left>
      <right/>
      <top/>
      <bottom style="hair">
        <color indexed="64"/>
      </bottom>
      <diagonal/>
    </border>
    <border>
      <left style="medium">
        <color indexed="64"/>
      </left>
      <right style="medium">
        <color indexed="64"/>
      </right>
      <top/>
      <bottom style="hair">
        <color indexed="64"/>
      </bottom>
      <diagonal/>
    </border>
    <border>
      <left/>
      <right style="hair">
        <color auto="1"/>
      </right>
      <top/>
      <bottom style="hair">
        <color indexed="64"/>
      </bottom>
      <diagonal/>
    </border>
    <border>
      <left/>
      <right style="medium">
        <color auto="1"/>
      </right>
      <top/>
      <bottom style="hair">
        <color indexed="64"/>
      </bottom>
      <diagonal/>
    </border>
    <border>
      <left style="medium">
        <color rgb="FF000000"/>
      </left>
      <right/>
      <top/>
      <bottom/>
      <diagonal/>
    </border>
    <border>
      <left style="thin">
        <color rgb="FFBFBFBF"/>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right style="medium">
        <color rgb="FFD9D9D9"/>
      </right>
      <top style="medium">
        <color rgb="FFD9D9D9"/>
      </top>
      <bottom style="medium">
        <color rgb="FFD9D9D9"/>
      </bottom>
      <diagonal/>
    </border>
    <border>
      <left/>
      <right/>
      <top style="medium">
        <color rgb="FFD9D9D9"/>
      </top>
      <bottom style="medium">
        <color rgb="FFD9D9D9"/>
      </bottom>
      <diagonal/>
    </border>
    <border>
      <left/>
      <right style="medium">
        <color rgb="FFD9D9D9"/>
      </right>
      <top/>
      <bottom style="medium">
        <color rgb="FFD9D9D9"/>
      </bottom>
      <diagonal/>
    </border>
    <border>
      <left/>
      <right/>
      <top/>
      <bottom style="medium">
        <color rgb="FFD9D9D9"/>
      </bottom>
      <diagonal/>
    </border>
    <border>
      <left/>
      <right style="medium">
        <color rgb="FFD9D9D9"/>
      </right>
      <top style="medium">
        <color rgb="FFD9D9D9"/>
      </top>
      <bottom/>
      <diagonal/>
    </border>
    <border>
      <left/>
      <right style="medium">
        <color rgb="FFD9D9D9"/>
      </right>
      <top/>
      <bottom/>
      <diagonal/>
    </border>
    <border>
      <left/>
      <right style="thin">
        <color rgb="FFBFBFBF"/>
      </right>
      <top style="thin">
        <color rgb="FFBFBFBF"/>
      </top>
      <bottom style="thin">
        <color rgb="FFBFBFBF"/>
      </bottom>
      <diagonal/>
    </border>
    <border>
      <left/>
      <right style="medium">
        <color rgb="FFBFBFBF"/>
      </right>
      <top style="medium">
        <color rgb="FFBFBFBF"/>
      </top>
      <bottom style="medium">
        <color rgb="FFBFBFBF"/>
      </bottom>
      <diagonal/>
    </border>
    <border>
      <left/>
      <right/>
      <top style="medium">
        <color rgb="FFBFBFBF"/>
      </top>
      <bottom style="medium">
        <color rgb="FFBFBFBF"/>
      </bottom>
      <diagonal/>
    </border>
    <border>
      <left/>
      <right style="medium">
        <color rgb="FFBFBFBF"/>
      </right>
      <top/>
      <bottom style="medium">
        <color rgb="FFBFBFBF"/>
      </bottom>
      <diagonal/>
    </border>
    <border>
      <left/>
      <right/>
      <top/>
      <bottom style="medium">
        <color rgb="FFBFBFBF"/>
      </bottom>
      <diagonal/>
    </border>
    <border>
      <left style="medium">
        <color rgb="FFBFBFBF"/>
      </left>
      <right style="medium">
        <color rgb="FFBFBFBF"/>
      </right>
      <top style="medium">
        <color rgb="FFBFBFBF"/>
      </top>
      <bottom style="medium">
        <color rgb="FFBFBFBF"/>
      </bottom>
      <diagonal/>
    </border>
    <border>
      <left style="medium">
        <color rgb="FFC0C0C0"/>
      </left>
      <right style="medium">
        <color rgb="FFC0C0C0"/>
      </right>
      <top style="medium">
        <color rgb="FFC0C0C0"/>
      </top>
      <bottom style="medium">
        <color rgb="FFC0C0C0"/>
      </bottom>
      <diagonal/>
    </border>
    <border>
      <left style="medium">
        <color rgb="FFC0C0C0"/>
      </left>
      <right/>
      <top style="medium">
        <color rgb="FFC0C0C0"/>
      </top>
      <bottom style="medium">
        <color rgb="FFC0C0C0"/>
      </bottom>
      <diagonal/>
    </border>
    <border>
      <left/>
      <right style="thin">
        <color rgb="FFBFBFBF"/>
      </right>
      <top style="thin">
        <color rgb="FFBFBFBF"/>
      </top>
      <bottom/>
      <diagonal/>
    </border>
    <border>
      <left/>
      <right style="thin">
        <color rgb="FFBFBFBF"/>
      </right>
      <top/>
      <bottom style="medium">
        <color rgb="FFBFBFBF"/>
      </bottom>
      <diagonal/>
    </border>
    <border>
      <left/>
      <right style="medium">
        <color rgb="FFBFBFBF"/>
      </right>
      <top style="medium">
        <color rgb="FFBFBFBF"/>
      </top>
      <bottom/>
      <diagonal/>
    </border>
    <border>
      <left style="medium">
        <color rgb="FFC0C0C0"/>
      </left>
      <right style="medium">
        <color rgb="FFC0C0C0"/>
      </right>
      <top style="medium">
        <color rgb="FFC0C0C0"/>
      </top>
      <bottom/>
      <diagonal/>
    </border>
    <border>
      <left style="medium">
        <color rgb="FFC0C0C0"/>
      </left>
      <right/>
      <top style="medium">
        <color rgb="FFC0C0C0"/>
      </top>
      <bottom/>
      <diagonal/>
    </border>
    <border>
      <left/>
      <right style="medium">
        <color rgb="FFBFBFBF"/>
      </right>
      <top/>
      <bottom/>
      <diagonal/>
    </border>
    <border>
      <left style="medium">
        <color rgb="FFC0C0C0"/>
      </left>
      <right style="medium">
        <color rgb="FFC0C0C0"/>
      </right>
      <top/>
      <bottom/>
      <diagonal/>
    </border>
    <border>
      <left style="medium">
        <color rgb="FFC0C0C0"/>
      </left>
      <right/>
      <top/>
      <bottom/>
      <diagonal/>
    </border>
    <border>
      <left style="medium">
        <color rgb="FFC0C0C0"/>
      </left>
      <right style="medium">
        <color rgb="FFC0C0C0"/>
      </right>
      <top/>
      <bottom style="medium">
        <color rgb="FFC0C0C0"/>
      </bottom>
      <diagonal/>
    </border>
    <border>
      <left style="medium">
        <color rgb="FFC0C0C0"/>
      </left>
      <right/>
      <top/>
      <bottom style="medium">
        <color rgb="FFC0C0C0"/>
      </bottom>
      <diagonal/>
    </border>
    <border>
      <left style="medium">
        <color rgb="FFBFBFBF"/>
      </left>
      <right/>
      <top style="medium">
        <color rgb="FFBFBFBF"/>
      </top>
      <bottom style="medium">
        <color rgb="FFBFBFBF"/>
      </bottom>
      <diagonal/>
    </border>
    <border>
      <left/>
      <right/>
      <top style="thin">
        <color rgb="FF000000"/>
      </top>
      <bottom style="thin">
        <color rgb="FF000000"/>
      </bottom>
      <diagonal/>
    </border>
    <border>
      <left/>
      <right/>
      <top style="thin">
        <color rgb="FF000000"/>
      </top>
      <bottom/>
      <diagonal/>
    </border>
    <border>
      <left/>
      <right style="thin">
        <color rgb="FF000000"/>
      </right>
      <top/>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style="medium">
        <color rgb="FFFFFFFF"/>
      </right>
      <top style="thin">
        <color rgb="FF000000"/>
      </top>
      <bottom style="thin">
        <color rgb="FF000000"/>
      </bottom>
      <diagonal/>
    </border>
    <border>
      <left style="medium">
        <color rgb="FFFFFFFF"/>
      </left>
      <right/>
      <top style="thin">
        <color rgb="FF000000"/>
      </top>
      <bottom style="thin">
        <color rgb="FF000000"/>
      </bottom>
      <diagonal/>
    </border>
    <border>
      <left style="medium">
        <color indexed="64"/>
      </left>
      <right style="hair">
        <color indexed="64"/>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auto="1"/>
      </top>
      <bottom style="hair">
        <color indexed="64"/>
      </bottom>
      <diagonal/>
    </border>
    <border>
      <left style="hair">
        <color auto="1"/>
      </left>
      <right/>
      <top style="hair">
        <color auto="1"/>
      </top>
      <bottom style="hair">
        <color auto="1"/>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top style="hair">
        <color indexed="64"/>
      </top>
      <bottom style="medium">
        <color indexed="64"/>
      </bottom>
      <diagonal/>
    </border>
    <border>
      <left/>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rgb="FFC0C0C0"/>
      </right>
      <top style="medium">
        <color rgb="FFC0C0C0"/>
      </top>
      <bottom style="medium">
        <color rgb="FFC0C0C0"/>
      </bottom>
      <diagonal/>
    </border>
    <border>
      <left style="thin">
        <color rgb="FFFFFFFF"/>
      </left>
      <right style="thin">
        <color rgb="FFFFFFFF"/>
      </right>
      <top style="thin">
        <color rgb="FFFFFFFF"/>
      </top>
      <bottom style="thin">
        <color rgb="FFFFFFFF"/>
      </bottom>
      <diagonal/>
    </border>
    <border>
      <left style="medium">
        <color rgb="FFFFFFFF"/>
      </left>
      <right style="medium">
        <color rgb="FFFFFFFF"/>
      </right>
      <top style="medium">
        <color rgb="FFFFFFFF"/>
      </top>
      <bottom style="medium">
        <color rgb="FFFFFFFF"/>
      </bottom>
      <diagonal/>
    </border>
    <border>
      <left/>
      <right/>
      <top style="thin">
        <color rgb="FF000000"/>
      </top>
      <bottom style="thin">
        <color rgb="FFBFBFBF"/>
      </bottom>
      <diagonal/>
    </border>
    <border>
      <left/>
      <right style="thin">
        <color rgb="FFBFBFBF"/>
      </right>
      <top style="thin">
        <color rgb="FF000000"/>
      </top>
      <bottom style="thin">
        <color rgb="FFBFBFBF"/>
      </bottom>
      <diagonal/>
    </border>
    <border>
      <left style="thin">
        <color rgb="FFBFBFBF"/>
      </left>
      <right/>
      <top style="thin">
        <color rgb="FF000000"/>
      </top>
      <bottom style="thin">
        <color rgb="FFBFBFBF"/>
      </bottom>
      <diagonal/>
    </border>
    <border>
      <left style="thin">
        <color rgb="FFBFBFBF"/>
      </left>
      <right style="thin">
        <color rgb="FFBFBFBF"/>
      </right>
      <top style="thin">
        <color rgb="FFBFBFBF"/>
      </top>
      <bottom/>
      <diagonal/>
    </border>
    <border>
      <left style="thin">
        <color rgb="FFBFBFBF"/>
      </left>
      <right style="thin">
        <color rgb="FFBFBFBF"/>
      </right>
      <top/>
      <bottom style="medium">
        <color rgb="FFC0C0C0"/>
      </bottom>
      <diagonal/>
    </border>
    <border>
      <left/>
      <right style="thin">
        <color rgb="FFBFBFBF"/>
      </right>
      <top/>
      <bottom style="thin">
        <color rgb="FFBFBFBF"/>
      </bottom>
      <diagonal/>
    </border>
    <border>
      <left style="thin">
        <color rgb="FFBFBFBF"/>
      </left>
      <right style="thin">
        <color rgb="FFBFBFBF"/>
      </right>
      <top/>
      <bottom style="thin">
        <color rgb="FFBFBFBF"/>
      </bottom>
      <diagonal/>
    </border>
    <border>
      <left style="thin">
        <color rgb="FFBFBFBF"/>
      </left>
      <right/>
      <top/>
      <bottom style="thin">
        <color rgb="FFBFBFBF"/>
      </bottom>
      <diagonal/>
    </border>
    <border>
      <left style="thin">
        <color rgb="FFBFBFBF"/>
      </left>
      <right/>
      <top style="thin">
        <color rgb="FFBFBFBF"/>
      </top>
      <bottom/>
      <diagonal/>
    </border>
    <border>
      <left/>
      <right style="thin">
        <color rgb="FFBFBFBF"/>
      </right>
      <top/>
      <bottom/>
      <diagonal/>
    </border>
    <border>
      <left style="thin">
        <color rgb="FFBFBFBF"/>
      </left>
      <right style="thin">
        <color rgb="FFBFBFBF"/>
      </right>
      <top/>
      <bottom/>
      <diagonal/>
    </border>
    <border>
      <left style="thin">
        <color rgb="FFBFBFBF"/>
      </left>
      <right/>
      <top/>
      <bottom/>
      <diagonal/>
    </border>
    <border>
      <left/>
      <right/>
      <top/>
      <bottom style="medium">
        <color rgb="FF000000"/>
      </bottom>
      <diagonal/>
    </border>
    <border>
      <left style="medium">
        <color rgb="FF000000"/>
      </left>
      <right/>
      <top/>
      <bottom style="medium">
        <color rgb="FF000000"/>
      </bottom>
      <diagonal/>
    </border>
    <border>
      <left style="medium">
        <color rgb="FFB2B2B2"/>
      </left>
      <right style="medium">
        <color rgb="FFB2B2B2"/>
      </right>
      <top style="medium">
        <color rgb="FFB2B2B2"/>
      </top>
      <bottom style="medium">
        <color rgb="FFB2B2B2"/>
      </bottom>
      <diagonal/>
    </border>
    <border>
      <left style="medium">
        <color rgb="FFB2B2B2"/>
      </left>
      <right style="medium">
        <color rgb="FF808080"/>
      </right>
      <top style="medium">
        <color rgb="FFB2B2B2"/>
      </top>
      <bottom style="medium">
        <color rgb="FFB2B2B2"/>
      </bottom>
      <diagonal/>
    </border>
    <border>
      <left/>
      <right style="medium">
        <color rgb="FF000000"/>
      </right>
      <top style="medium">
        <color rgb="FF000000"/>
      </top>
      <bottom/>
      <diagonal/>
    </border>
    <border>
      <left style="thin">
        <color indexed="8"/>
      </left>
      <right style="thin">
        <color indexed="8"/>
      </right>
      <top style="thin">
        <color indexed="8"/>
      </top>
      <bottom style="thin">
        <color indexed="8"/>
      </bottom>
      <diagonal/>
    </border>
    <border>
      <left/>
      <right/>
      <top style="thin">
        <color indexed="64"/>
      </top>
      <bottom/>
      <diagonal/>
    </border>
    <border>
      <left style="thin">
        <color theme="8" tint="-0.499984740745262"/>
      </left>
      <right/>
      <top style="thin">
        <color indexed="64"/>
      </top>
      <bottom/>
      <diagonal/>
    </border>
    <border>
      <left style="thin">
        <color rgb="FF003399"/>
      </left>
      <right style="thin">
        <color rgb="FF003399"/>
      </right>
      <top style="thin">
        <color indexed="64"/>
      </top>
      <bottom/>
      <diagonal/>
    </border>
    <border>
      <left/>
      <right style="thin">
        <color rgb="FF595959"/>
      </right>
      <top style="thin">
        <color rgb="FF595959"/>
      </top>
      <bottom style="thin">
        <color rgb="FF595959"/>
      </bottom>
      <diagonal/>
    </border>
    <border>
      <left style="thin">
        <color rgb="FF595959"/>
      </left>
      <right style="thin">
        <color rgb="FF595959"/>
      </right>
      <top style="thin">
        <color rgb="FF595959"/>
      </top>
      <bottom style="thin">
        <color rgb="FF595959"/>
      </bottom>
      <diagonal/>
    </border>
    <border>
      <left style="thin">
        <color rgb="FF595959"/>
      </left>
      <right/>
      <top style="thin">
        <color rgb="FF595959"/>
      </top>
      <bottom style="thin">
        <color rgb="FF595959"/>
      </bottom>
      <diagonal/>
    </border>
    <border>
      <left/>
      <right style="thin">
        <color rgb="FF595959"/>
      </right>
      <top style="thin">
        <color rgb="FF595959"/>
      </top>
      <bottom/>
      <diagonal/>
    </border>
    <border>
      <left style="thin">
        <color rgb="FF595959"/>
      </left>
      <right style="thin">
        <color rgb="FF595959"/>
      </right>
      <top style="thin">
        <color rgb="FF595959"/>
      </top>
      <bottom/>
      <diagonal/>
    </border>
    <border>
      <left style="thin">
        <color rgb="FF595959"/>
      </left>
      <right/>
      <top style="thin">
        <color rgb="FF595959"/>
      </top>
      <bottom/>
      <diagonal/>
    </border>
    <border>
      <left/>
      <right style="thin">
        <color rgb="FF595959"/>
      </right>
      <top/>
      <bottom/>
      <diagonal/>
    </border>
    <border>
      <left style="thin">
        <color rgb="FF595959"/>
      </left>
      <right style="thin">
        <color rgb="FF595959"/>
      </right>
      <top/>
      <bottom/>
      <diagonal/>
    </border>
    <border>
      <left style="thin">
        <color rgb="FF595959"/>
      </left>
      <right/>
      <top/>
      <bottom/>
      <diagonal/>
    </border>
    <border>
      <left/>
      <right style="thin">
        <color rgb="FF595959"/>
      </right>
      <top/>
      <bottom style="thin">
        <color rgb="FF595959"/>
      </bottom>
      <diagonal/>
    </border>
    <border>
      <left style="thin">
        <color rgb="FF595959"/>
      </left>
      <right style="thin">
        <color rgb="FF595959"/>
      </right>
      <top/>
      <bottom style="thin">
        <color rgb="FF595959"/>
      </bottom>
      <diagonal/>
    </border>
    <border>
      <left style="thin">
        <color rgb="FF595959"/>
      </left>
      <right/>
      <top/>
      <bottom style="thin">
        <color rgb="FF595959"/>
      </bottom>
      <diagonal/>
    </border>
    <border>
      <left/>
      <right/>
      <top style="thin">
        <color rgb="FF595959"/>
      </top>
      <bottom style="thin">
        <color rgb="FF595959"/>
      </bottom>
      <diagonal/>
    </border>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right/>
      <top style="thin">
        <color theme="0"/>
      </top>
      <bottom style="thin">
        <color theme="0"/>
      </bottom>
      <diagonal/>
    </border>
    <border>
      <left style="medium">
        <color theme="1" tint="0.249977111117893"/>
      </left>
      <right style="thin">
        <color theme="0"/>
      </right>
      <top style="medium">
        <color theme="1" tint="0.249977111117893"/>
      </top>
      <bottom/>
      <diagonal/>
    </border>
    <border>
      <left style="thin">
        <color theme="0"/>
      </left>
      <right style="thin">
        <color theme="0"/>
      </right>
      <top style="medium">
        <color theme="1" tint="0.249977111117893"/>
      </top>
      <bottom/>
      <diagonal/>
    </border>
    <border>
      <left style="thin">
        <color theme="0"/>
      </left>
      <right style="medium">
        <color theme="1" tint="0.249977111117893"/>
      </right>
      <top style="medium">
        <color theme="1" tint="0.249977111117893"/>
      </top>
      <bottom/>
      <diagonal/>
    </border>
    <border>
      <left/>
      <right/>
      <top style="thin">
        <color theme="0"/>
      </top>
      <bottom/>
      <diagonal/>
    </border>
    <border>
      <left style="medium">
        <color theme="1"/>
      </left>
      <right style="thin">
        <color theme="0"/>
      </right>
      <top style="medium">
        <color theme="1"/>
      </top>
      <bottom/>
      <diagonal/>
    </border>
    <border>
      <left style="thin">
        <color theme="0"/>
      </left>
      <right style="thin">
        <color theme="0"/>
      </right>
      <top style="medium">
        <color theme="1"/>
      </top>
      <bottom/>
      <diagonal/>
    </border>
    <border>
      <left style="thin">
        <color theme="0"/>
      </left>
      <right style="medium">
        <color theme="1"/>
      </right>
      <top style="medium">
        <color theme="1"/>
      </top>
      <bottom/>
      <diagonal/>
    </border>
    <border>
      <left/>
      <right style="thin">
        <color theme="0"/>
      </right>
      <top style="thin">
        <color theme="0"/>
      </top>
      <bottom style="thin">
        <color theme="0"/>
      </bottom>
      <diagonal/>
    </border>
    <border>
      <left style="medium">
        <color theme="1" tint="0.249977111117893"/>
      </left>
      <right/>
      <top style="thin">
        <color theme="0"/>
      </top>
      <bottom/>
      <diagonal/>
    </border>
    <border>
      <left style="thin">
        <color theme="0" tint="-0.249977111117893"/>
      </left>
      <right/>
      <top style="thin">
        <color theme="0" tint="-0.249977111117893"/>
      </top>
      <bottom style="thin">
        <color theme="0"/>
      </bottom>
      <diagonal/>
    </border>
    <border>
      <left/>
      <right style="thin">
        <color theme="0" tint="-0.249977111117893"/>
      </right>
      <top style="thin">
        <color theme="0" tint="-0.249977111117893"/>
      </top>
      <bottom style="thin">
        <color theme="0"/>
      </bottom>
      <diagonal/>
    </border>
    <border>
      <left style="thin">
        <color theme="0" tint="-0.249977111117893"/>
      </left>
      <right style="thin">
        <color theme="0" tint="-0.249977111117893"/>
      </right>
      <top style="thin">
        <color theme="0" tint="-0.249977111117893"/>
      </top>
      <bottom style="thin">
        <color theme="0"/>
      </bottom>
      <diagonal/>
    </border>
    <border>
      <left/>
      <right style="medium">
        <color theme="1" tint="0.249977111117893"/>
      </right>
      <top style="thin">
        <color theme="0"/>
      </top>
      <bottom style="thin">
        <color theme="0"/>
      </bottom>
      <diagonal/>
    </border>
    <border>
      <left style="medium">
        <color theme="1"/>
      </left>
      <right/>
      <top style="thin">
        <color theme="0"/>
      </top>
      <bottom style="thin">
        <color theme="0"/>
      </bottom>
      <diagonal/>
    </border>
    <border>
      <left/>
      <right style="medium">
        <color theme="1"/>
      </right>
      <top style="thin">
        <color theme="0"/>
      </top>
      <bottom style="thin">
        <color theme="0"/>
      </bottom>
      <diagonal/>
    </border>
    <border>
      <left style="thin">
        <color theme="0" tint="-0.249977111117893"/>
      </left>
      <right style="thin">
        <color theme="0"/>
      </right>
      <top style="thin">
        <color theme="0"/>
      </top>
      <bottom style="thin">
        <color theme="0"/>
      </bottom>
      <diagonal/>
    </border>
    <border>
      <left style="thin">
        <color theme="0"/>
      </left>
      <right style="thin">
        <color theme="0" tint="-0.249977111117893"/>
      </right>
      <top style="thin">
        <color theme="0"/>
      </top>
      <bottom style="thin">
        <color theme="0"/>
      </bottom>
      <diagonal/>
    </border>
    <border>
      <left style="thin">
        <color theme="0" tint="-0.249977111117893"/>
      </left>
      <right style="thin">
        <color theme="0" tint="-0.249977111117893"/>
      </right>
      <top style="thin">
        <color theme="0"/>
      </top>
      <bottom style="thin">
        <color theme="0"/>
      </bottom>
      <diagonal/>
    </border>
    <border>
      <left/>
      <right style="thin">
        <color theme="0" tint="-0.249977111117893"/>
      </right>
      <top style="thin">
        <color theme="0"/>
      </top>
      <bottom style="thin">
        <color theme="0"/>
      </bottom>
      <diagonal/>
    </border>
    <border>
      <left style="medium">
        <color theme="1" tint="0.249977111117893"/>
      </left>
      <right/>
      <top style="thin">
        <color theme="0"/>
      </top>
      <bottom style="thin">
        <color theme="0"/>
      </bottom>
      <diagonal/>
    </border>
    <border>
      <left style="thin">
        <color theme="0" tint="-0.249977111117893"/>
      </left>
      <right style="thin">
        <color theme="0"/>
      </right>
      <top style="thin">
        <color theme="0"/>
      </top>
      <bottom style="thin">
        <color theme="0" tint="-0.249977111117893"/>
      </bottom>
      <diagonal/>
    </border>
    <border>
      <left style="thin">
        <color theme="0"/>
      </left>
      <right style="thin">
        <color theme="0" tint="-0.249977111117893"/>
      </right>
      <top style="thin">
        <color theme="0"/>
      </top>
      <bottom style="thin">
        <color theme="0" tint="-0.249977111117893"/>
      </bottom>
      <diagonal/>
    </border>
    <border>
      <left style="thin">
        <color theme="0" tint="-0.249977111117893"/>
      </left>
      <right style="thin">
        <color theme="0" tint="-0.249977111117893"/>
      </right>
      <top style="thin">
        <color theme="0"/>
      </top>
      <bottom style="thin">
        <color theme="0" tint="-0.249977111117893"/>
      </bottom>
      <diagonal/>
    </border>
    <border>
      <left/>
      <right style="thin">
        <color theme="0" tint="-0.249977111117893"/>
      </right>
      <top style="thin">
        <color theme="0"/>
      </top>
      <bottom style="thin">
        <color theme="0" tint="-0.249977111117893"/>
      </bottom>
      <diagonal/>
    </border>
    <border>
      <left style="medium">
        <color theme="1"/>
      </left>
      <right style="thin">
        <color theme="0"/>
      </right>
      <top style="thin">
        <color theme="0"/>
      </top>
      <bottom style="medium">
        <color theme="1"/>
      </bottom>
      <diagonal/>
    </border>
    <border>
      <left style="thin">
        <color theme="0"/>
      </left>
      <right style="thin">
        <color theme="0"/>
      </right>
      <top style="thin">
        <color theme="0"/>
      </top>
      <bottom style="medium">
        <color theme="1"/>
      </bottom>
      <diagonal/>
    </border>
    <border>
      <left/>
      <right style="medium">
        <color theme="1"/>
      </right>
      <top style="thin">
        <color theme="0"/>
      </top>
      <bottom style="medium">
        <color theme="1"/>
      </bottom>
      <diagonal/>
    </border>
    <border>
      <left style="thin">
        <color theme="0"/>
      </left>
      <right style="thin">
        <color theme="0"/>
      </right>
      <top/>
      <bottom style="thin">
        <color theme="0"/>
      </bottom>
      <diagonal/>
    </border>
    <border>
      <left style="medium">
        <color theme="1" tint="0.249977111117893"/>
      </left>
      <right/>
      <top/>
      <bottom style="thin">
        <color theme="0"/>
      </bottom>
      <diagonal/>
    </border>
    <border>
      <left style="medium">
        <color theme="1"/>
      </left>
      <right style="thin">
        <color theme="0"/>
      </right>
      <top style="medium">
        <color theme="1"/>
      </top>
      <bottom style="thin">
        <color theme="0"/>
      </bottom>
      <diagonal/>
    </border>
    <border>
      <left style="thin">
        <color theme="0"/>
      </left>
      <right style="thin">
        <color theme="0"/>
      </right>
      <top style="medium">
        <color theme="1"/>
      </top>
      <bottom style="thin">
        <color theme="0"/>
      </bottom>
      <diagonal/>
    </border>
    <border>
      <left style="thin">
        <color theme="0"/>
      </left>
      <right style="medium">
        <color theme="1"/>
      </right>
      <top style="medium">
        <color theme="1"/>
      </top>
      <bottom style="thin">
        <color theme="0"/>
      </bottom>
      <diagonal/>
    </border>
    <border>
      <left style="thin">
        <color theme="0"/>
      </left>
      <right style="medium">
        <color theme="1"/>
      </right>
      <top style="thin">
        <color theme="0"/>
      </top>
      <bottom style="thin">
        <color theme="0"/>
      </bottom>
      <diagonal/>
    </border>
    <border>
      <left style="medium">
        <color theme="1" tint="0.249977111117893"/>
      </left>
      <right/>
      <top style="thin">
        <color theme="0"/>
      </top>
      <bottom style="medium">
        <color theme="1" tint="0.249977111117893"/>
      </bottom>
      <diagonal/>
    </border>
    <border>
      <left style="thin">
        <color theme="0"/>
      </left>
      <right style="thin">
        <color theme="0"/>
      </right>
      <top/>
      <bottom style="medium">
        <color theme="1" tint="0.249977111117893"/>
      </bottom>
      <diagonal/>
    </border>
    <border>
      <left style="thin">
        <color theme="0"/>
      </left>
      <right style="medium">
        <color theme="1" tint="0.249977111117893"/>
      </right>
      <top style="thin">
        <color theme="0"/>
      </top>
      <bottom style="medium">
        <color theme="1" tint="0.249977111117893"/>
      </bottom>
      <diagonal/>
    </border>
    <border>
      <left/>
      <right style="thin">
        <color theme="0"/>
      </right>
      <top style="thin">
        <color theme="0"/>
      </top>
      <bottom style="medium">
        <color theme="1"/>
      </bottom>
      <diagonal/>
    </border>
    <border>
      <left style="thin">
        <color theme="0"/>
      </left>
      <right style="medium">
        <color theme="1"/>
      </right>
      <top style="thin">
        <color theme="0"/>
      </top>
      <bottom style="medium">
        <color theme="1"/>
      </bottom>
      <diagonal/>
    </border>
    <border>
      <left/>
      <right/>
      <top/>
      <bottom style="thin">
        <color theme="0"/>
      </bottom>
      <diagonal/>
    </border>
    <border>
      <left/>
      <right style="thin">
        <color theme="0"/>
      </right>
      <top/>
      <bottom style="thin">
        <color theme="0"/>
      </bottom>
      <diagonal/>
    </border>
    <border>
      <left style="medium">
        <color theme="1"/>
      </left>
      <right/>
      <top style="medium">
        <color theme="1"/>
      </top>
      <bottom style="thin">
        <color theme="0"/>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right>
      <top style="thin">
        <color theme="0" tint="-0.249977111117893"/>
      </top>
      <bottom style="thin">
        <color theme="0" tint="-0.249977111117893"/>
      </bottom>
      <diagonal/>
    </border>
    <border>
      <left style="thin">
        <color theme="0"/>
      </left>
      <right style="thin">
        <color theme="0"/>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medium">
        <color theme="1"/>
      </left>
      <right style="thin">
        <color theme="0"/>
      </right>
      <top style="thin">
        <color theme="0"/>
      </top>
      <bottom style="thin">
        <color theme="0"/>
      </bottom>
      <diagonal/>
    </border>
    <border>
      <left/>
      <right/>
      <top style="thin">
        <color theme="0" tint="-0.249977111117893"/>
      </top>
      <bottom style="thin">
        <color theme="0"/>
      </bottom>
      <diagonal/>
    </border>
    <border>
      <left style="thin">
        <color theme="8"/>
      </left>
      <right style="thin">
        <color theme="0" tint="-0.249977111117893"/>
      </right>
      <top style="thin">
        <color theme="0" tint="-0.249977111117893"/>
      </top>
      <bottom style="thin">
        <color theme="0"/>
      </bottom>
      <diagonal/>
    </border>
    <border>
      <left/>
      <right style="thin">
        <color theme="0" tint="-0.249977111117893"/>
      </right>
      <top style="thin">
        <color theme="0" tint="-0.249977111117893"/>
      </top>
      <bottom/>
      <diagonal/>
    </border>
    <border>
      <left style="thin">
        <color theme="0" tint="-0.249977111117893"/>
      </left>
      <right style="thin">
        <color theme="0"/>
      </right>
      <top style="thin">
        <color theme="0" tint="-0.249977111117893"/>
      </top>
      <bottom style="thin">
        <color theme="0"/>
      </bottom>
      <diagonal/>
    </border>
    <border>
      <left style="thin">
        <color theme="0"/>
      </left>
      <right style="thin">
        <color theme="0" tint="-0.249977111117893"/>
      </right>
      <top style="thin">
        <color theme="0" tint="-0.249977111117893"/>
      </top>
      <bottom style="thin">
        <color theme="0"/>
      </bottom>
      <diagonal/>
    </border>
    <border>
      <left/>
      <right style="thin">
        <color theme="0"/>
      </right>
      <top/>
      <bottom style="thin">
        <color theme="0" tint="-0.249977111117893"/>
      </bottom>
      <diagonal/>
    </border>
    <border>
      <left style="thin">
        <color theme="0"/>
      </left>
      <right style="thin">
        <color theme="0"/>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theme="0"/>
      </right>
      <top style="thin">
        <color theme="0"/>
      </top>
      <bottom/>
      <diagonal/>
    </border>
    <border>
      <left style="thin">
        <color theme="0"/>
      </left>
      <right style="thin">
        <color theme="0" tint="-0.249977111117893"/>
      </right>
      <top style="thin">
        <color theme="0"/>
      </top>
      <bottom/>
      <diagonal/>
    </border>
    <border>
      <left style="thin">
        <color theme="0" tint="-0.249977111117893"/>
      </left>
      <right style="thin">
        <color theme="0" tint="-0.249977111117893"/>
      </right>
      <top style="thin">
        <color theme="0"/>
      </top>
      <bottom/>
      <diagonal/>
    </border>
    <border>
      <left style="thin">
        <color theme="0"/>
      </left>
      <right/>
      <top/>
      <bottom style="thin">
        <color theme="0"/>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diagonal/>
    </border>
    <border>
      <left style="thin">
        <color theme="0" tint="-0.249977111117893"/>
      </left>
      <right/>
      <top style="thin">
        <color theme="0"/>
      </top>
      <bottom/>
      <diagonal/>
    </border>
    <border>
      <left/>
      <right style="thin">
        <color theme="0" tint="-0.249977111117893"/>
      </right>
      <top style="thin">
        <color theme="0"/>
      </top>
      <bottom/>
      <diagonal/>
    </border>
    <border>
      <left/>
      <right style="thin">
        <color theme="0"/>
      </right>
      <top style="thin">
        <color theme="0"/>
      </top>
      <bottom/>
      <diagonal/>
    </border>
    <border>
      <left style="thin">
        <color theme="0" tint="-0.249977111117893"/>
      </left>
      <right style="thin">
        <color theme="0" tint="-0.14999847407452621"/>
      </right>
      <top style="thin">
        <color theme="0" tint="-0.249977111117893"/>
      </top>
      <bottom style="thin">
        <color theme="0" tint="-0.249977111117893"/>
      </bottom>
      <diagonal/>
    </border>
    <border>
      <left style="thin">
        <color theme="0" tint="-0.14999847407452621"/>
      </left>
      <right style="thin">
        <color theme="0" tint="-0.14999847407452621"/>
      </right>
      <top style="thin">
        <color theme="0" tint="-0.249977111117893"/>
      </top>
      <bottom style="thin">
        <color theme="0" tint="-0.249977111117893"/>
      </bottom>
      <diagonal/>
    </border>
    <border>
      <left style="thin">
        <color theme="0" tint="-0.14999847407452621"/>
      </left>
      <right style="thin">
        <color theme="0" tint="-0.249977111117893"/>
      </right>
      <top style="thin">
        <color theme="0" tint="-0.249977111117893"/>
      </top>
      <bottom style="thin">
        <color theme="0" tint="-0.249977111117893"/>
      </bottom>
      <diagonal/>
    </border>
    <border>
      <left style="medium">
        <color theme="1"/>
      </left>
      <right/>
      <top style="thin">
        <color theme="0"/>
      </top>
      <bottom/>
      <diagonal/>
    </border>
    <border>
      <left style="thin">
        <color theme="0" tint="-0.249977111117893"/>
      </left>
      <right style="thin">
        <color theme="0" tint="-0.249977111117893"/>
      </right>
      <top/>
      <bottom style="thin">
        <color theme="0"/>
      </bottom>
      <diagonal/>
    </border>
    <border>
      <left/>
      <right style="thin">
        <color theme="0"/>
      </right>
      <top style="thin">
        <color theme="0"/>
      </top>
      <bottom style="thin">
        <color theme="0" tint="-0.249977111117893"/>
      </bottom>
      <diagonal/>
    </border>
    <border>
      <left style="thin">
        <color theme="0"/>
      </left>
      <right style="thin">
        <color theme="0"/>
      </right>
      <top style="thin">
        <color theme="0"/>
      </top>
      <bottom style="thin">
        <color theme="0" tint="-0.249977111117893"/>
      </bottom>
      <diagonal/>
    </border>
    <border>
      <left style="thin">
        <color theme="0"/>
      </left>
      <right/>
      <top style="thin">
        <color theme="0"/>
      </top>
      <bottom style="thin">
        <color theme="0" tint="-0.249977111117893"/>
      </bottom>
      <diagonal/>
    </border>
    <border>
      <left style="medium">
        <color theme="1"/>
      </left>
      <right style="thin">
        <color theme="0"/>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theme="0"/>
      </left>
      <right style="medium">
        <color theme="1"/>
      </right>
      <top style="thin">
        <color theme="0"/>
      </top>
      <bottom/>
      <diagonal/>
    </border>
    <border>
      <left/>
      <right style="medium">
        <color theme="1"/>
      </right>
      <top style="thin">
        <color theme="0"/>
      </top>
      <bottom/>
      <diagonal/>
    </border>
    <border>
      <left style="thin">
        <color theme="0"/>
      </left>
      <right style="thin">
        <color theme="0"/>
      </right>
      <top/>
      <bottom style="medium">
        <color theme="1"/>
      </bottom>
      <diagonal/>
    </border>
    <border>
      <left style="thin">
        <color theme="0"/>
      </left>
      <right/>
      <top style="thin">
        <color theme="0"/>
      </top>
      <bottom style="medium">
        <color theme="1"/>
      </bottom>
      <diagonal/>
    </border>
    <border>
      <left style="medium">
        <color theme="1"/>
      </left>
      <right/>
      <top style="thin">
        <color theme="0"/>
      </top>
      <bottom style="medium">
        <color theme="1"/>
      </bottom>
      <diagonal/>
    </border>
    <border>
      <left/>
      <right style="thin">
        <color theme="0"/>
      </right>
      <top/>
      <bottom style="medium">
        <color theme="1"/>
      </bottom>
      <diagonal/>
    </border>
    <border>
      <left style="thin">
        <color theme="0"/>
      </left>
      <right/>
      <top style="medium">
        <color theme="1"/>
      </top>
      <bottom style="thin">
        <color theme="0"/>
      </bottom>
      <diagonal/>
    </border>
    <border>
      <left/>
      <right style="medium">
        <color theme="1"/>
      </right>
      <top style="medium">
        <color theme="1"/>
      </top>
      <bottom style="thin">
        <color theme="0"/>
      </bottom>
      <diagonal/>
    </border>
    <border>
      <left style="thin">
        <color rgb="FF003399"/>
      </left>
      <right style="thin">
        <color rgb="FF003399"/>
      </right>
      <top style="thin">
        <color indexed="64"/>
      </top>
      <bottom style="hair">
        <color rgb="FF003399"/>
      </bottom>
      <diagonal/>
    </border>
    <border>
      <left/>
      <right style="thin">
        <color rgb="FFBFBFBF"/>
      </right>
      <top style="thin">
        <color rgb="FF000000"/>
      </top>
      <bottom/>
      <diagonal/>
    </border>
    <border>
      <left style="thin">
        <color rgb="FFBFBFBF"/>
      </left>
      <right/>
      <top style="thin">
        <color rgb="FF000000"/>
      </top>
      <bottom/>
      <diagonal/>
    </border>
    <border>
      <left/>
      <right/>
      <top/>
      <bottom style="thin">
        <color rgb="FFBFBFBF"/>
      </bottom>
      <diagonal/>
    </border>
    <border>
      <left/>
      <right/>
      <top style="thin">
        <color rgb="FFBFBFBF"/>
      </top>
      <bottom style="thin">
        <color rgb="FFBFBFBF"/>
      </bottom>
      <diagonal/>
    </border>
    <border>
      <left/>
      <right/>
      <top style="thin">
        <color rgb="FFBFBFBF"/>
      </top>
      <bottom/>
      <diagonal/>
    </border>
  </borders>
  <cellStyleXfs count="45">
    <xf numFmtId="0" fontId="0" fillId="0" borderId="0" applyNumberFormat="0" applyFont="0" applyFill="0" applyBorder="0" applyAlignment="0" applyProtection="0">
      <alignment vertical="center"/>
    </xf>
    <xf numFmtId="9" fontId="1" fillId="0" borderId="0" applyFont="0" applyFill="0" applyBorder="0" applyAlignment="0" applyProtection="0">
      <alignment vertical="center"/>
    </xf>
    <xf numFmtId="199" fontId="26" fillId="0" borderId="0">
      <alignment vertical="center"/>
    </xf>
    <xf numFmtId="41"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0" borderId="0"/>
    <xf numFmtId="43" fontId="26" fillId="0" borderId="0" applyFont="0" applyFill="0" applyBorder="0" applyAlignment="0" applyProtection="0"/>
    <xf numFmtId="9" fontId="26" fillId="0" borderId="0" applyFont="0" applyFill="0" applyBorder="0" applyAlignment="0" applyProtection="0">
      <alignment vertical="center"/>
    </xf>
    <xf numFmtId="43" fontId="26" fillId="0" borderId="0" applyFont="0" applyFill="0" applyBorder="0" applyAlignment="0" applyProtection="0">
      <alignment vertical="center"/>
    </xf>
    <xf numFmtId="41" fontId="29" fillId="0" borderId="0" applyFont="0" applyFill="0" applyBorder="0" applyAlignment="0" applyProtection="0">
      <alignment vertical="center"/>
    </xf>
    <xf numFmtId="41" fontId="1" fillId="0" borderId="0" applyFont="0" applyFill="0" applyBorder="0" applyAlignment="0" applyProtection="0">
      <alignment vertical="center"/>
    </xf>
    <xf numFmtId="0" fontId="1" fillId="0" borderId="0">
      <alignment vertical="center"/>
    </xf>
    <xf numFmtId="0" fontId="118" fillId="0" borderId="0"/>
    <xf numFmtId="244" fontId="118" fillId="0" borderId="0" applyFont="0" applyFill="0" applyBorder="0" applyAlignment="0" applyProtection="0"/>
    <xf numFmtId="9" fontId="123" fillId="0" borderId="0" applyFont="0" applyFill="0" applyBorder="0" applyAlignment="0" applyProtection="0"/>
    <xf numFmtId="41" fontId="123" fillId="0" borderId="0" applyFont="0" applyFill="0" applyBorder="0" applyAlignment="0" applyProtection="0"/>
    <xf numFmtId="0" fontId="1" fillId="0" borderId="0">
      <alignment vertical="center"/>
    </xf>
    <xf numFmtId="41" fontId="1" fillId="0" borderId="0" applyFont="0" applyFill="0" applyBorder="0" applyAlignment="0" applyProtection="0">
      <alignment vertical="center"/>
    </xf>
    <xf numFmtId="0" fontId="26" fillId="0" borderId="0"/>
    <xf numFmtId="41" fontId="123" fillId="0" borderId="0" applyFont="0" applyFill="0" applyBorder="0" applyAlignment="0" applyProtection="0"/>
    <xf numFmtId="9" fontId="123" fillId="0" borderId="0" applyFont="0" applyFill="0" applyBorder="0" applyAlignment="0" applyProtection="0"/>
    <xf numFmtId="0" fontId="26" fillId="0" borderId="0"/>
    <xf numFmtId="253" fontId="152" fillId="0" borderId="0" applyFont="0" applyFill="0" applyBorder="0" applyAlignment="0" applyProtection="0">
      <alignment vertical="center"/>
    </xf>
    <xf numFmtId="41" fontId="26" fillId="0" borderId="0" applyFont="0" applyFill="0" applyBorder="0" applyAlignment="0" applyProtection="0"/>
    <xf numFmtId="41" fontId="171" fillId="0" borderId="0" applyFont="0" applyFill="0" applyBorder="0" applyAlignment="0" applyProtection="0"/>
    <xf numFmtId="0" fontId="214" fillId="0" borderId="0">
      <alignment vertical="center"/>
    </xf>
    <xf numFmtId="0" fontId="215" fillId="63" borderId="447" applyNumberFormat="0" applyProtection="0">
      <alignment horizontal="center" vertical="center"/>
    </xf>
    <xf numFmtId="0" fontId="215" fillId="63" borderId="439" applyNumberFormat="0" applyProtection="0">
      <alignment horizontal="center" vertical="center"/>
    </xf>
    <xf numFmtId="0" fontId="216" fillId="64" borderId="447" applyNumberFormat="0" applyProtection="0">
      <alignment vertical="center"/>
    </xf>
    <xf numFmtId="0" fontId="216" fillId="0" borderId="439" applyNumberFormat="0" applyProtection="0">
      <alignment vertical="center"/>
    </xf>
    <xf numFmtId="0" fontId="1" fillId="0" borderId="0" applyNumberFormat="0" applyFont="0" applyFill="0" applyBorder="0" applyAlignment="0" applyProtection="0">
      <alignment vertical="center"/>
    </xf>
    <xf numFmtId="0" fontId="230" fillId="0" borderId="0" applyNumberFormat="0" applyFill="0" applyBorder="0" applyAlignment="0" applyProtection="0">
      <alignment vertical="center"/>
    </xf>
    <xf numFmtId="0" fontId="235" fillId="0" borderId="0" applyNumberFormat="0" applyFill="0" applyBorder="0" applyAlignment="0" applyProtection="0">
      <alignment vertical="center"/>
    </xf>
    <xf numFmtId="0" fontId="234" fillId="0" borderId="0" applyNumberFormat="0" applyFill="0" applyBorder="0" applyAlignment="0" applyProtection="0">
      <alignment vertical="center"/>
    </xf>
    <xf numFmtId="0" fontId="216" fillId="0" borderId="490" applyNumberFormat="0">
      <alignment vertical="center"/>
    </xf>
    <xf numFmtId="0" fontId="216" fillId="0" borderId="440" applyNumberFormat="0" applyProtection="0">
      <alignment vertical="center"/>
    </xf>
    <xf numFmtId="10" fontId="231" fillId="64" borderId="491" applyNumberFormat="0">
      <alignment vertical="center"/>
    </xf>
    <xf numFmtId="275" fontId="216" fillId="64" borderId="0" applyNumberFormat="0">
      <alignment vertical="center"/>
    </xf>
    <xf numFmtId="0" fontId="215" fillId="66" borderId="490" applyNumberFormat="0">
      <alignment horizontal="center" vertical="center" readingOrder="1"/>
    </xf>
    <xf numFmtId="0" fontId="232" fillId="64" borderId="492" applyNumberFormat="0" applyAlignment="0">
      <alignment vertical="center"/>
    </xf>
    <xf numFmtId="0" fontId="64" fillId="0" borderId="0" applyNumberFormat="0">
      <alignment vertical="center" readingOrder="1"/>
    </xf>
    <xf numFmtId="0" fontId="216" fillId="64" borderId="448" applyNumberFormat="0">
      <alignment vertical="center"/>
    </xf>
    <xf numFmtId="0" fontId="215" fillId="63" borderId="440" applyNumberFormat="0" applyProtection="0">
      <alignment horizontal="center" vertical="center"/>
    </xf>
    <xf numFmtId="0" fontId="233" fillId="0" borderId="210" applyNumberFormat="0">
      <alignment vertical="center"/>
    </xf>
    <xf numFmtId="0" fontId="233" fillId="0" borderId="159" applyNumberFormat="0">
      <alignment vertical="center"/>
    </xf>
  </cellStyleXfs>
  <cellXfs count="3298">
    <xf numFmtId="0" fontId="0" fillId="0" borderId="0" xfId="0">
      <alignment vertical="center"/>
    </xf>
    <xf numFmtId="0" fontId="4" fillId="0" borderId="0" xfId="0" applyFont="1">
      <alignment vertical="center"/>
    </xf>
    <xf numFmtId="187" fontId="10" fillId="10" borderId="0" xfId="0" applyNumberFormat="1" applyFont="1" applyFill="1">
      <alignment vertical="center"/>
    </xf>
    <xf numFmtId="0" fontId="11" fillId="10" borderId="0" xfId="0" applyFont="1" applyFill="1">
      <alignment vertical="center"/>
    </xf>
    <xf numFmtId="0" fontId="12" fillId="15" borderId="0" xfId="0" applyFont="1" applyFill="1">
      <alignment vertical="center"/>
    </xf>
    <xf numFmtId="0" fontId="11" fillId="0" borderId="0" xfId="0" applyFont="1">
      <alignment vertical="center"/>
    </xf>
    <xf numFmtId="0" fontId="13" fillId="4" borderId="12" xfId="0" applyFont="1" applyFill="1" applyBorder="1">
      <alignment vertical="center"/>
    </xf>
    <xf numFmtId="0" fontId="13" fillId="4" borderId="13" xfId="0" applyFont="1" applyFill="1" applyBorder="1">
      <alignment vertical="center"/>
    </xf>
    <xf numFmtId="0" fontId="13" fillId="4" borderId="14" xfId="0" applyFont="1" applyFill="1" applyBorder="1">
      <alignment vertical="center"/>
    </xf>
    <xf numFmtId="0" fontId="13" fillId="4" borderId="15" xfId="0" applyFont="1" applyFill="1" applyBorder="1" applyAlignment="1">
      <alignment horizontal="right" vertical="center"/>
    </xf>
    <xf numFmtId="0" fontId="13" fillId="4" borderId="13" xfId="0" applyFont="1" applyFill="1" applyBorder="1" applyAlignment="1">
      <alignment horizontal="center" vertical="center"/>
    </xf>
    <xf numFmtId="0" fontId="13" fillId="4" borderId="15" xfId="0" applyFont="1" applyFill="1" applyBorder="1">
      <alignment vertical="center"/>
    </xf>
    <xf numFmtId="0" fontId="11" fillId="0" borderId="16" xfId="0" applyFont="1" applyBorder="1">
      <alignment vertical="center"/>
    </xf>
    <xf numFmtId="176" fontId="11" fillId="0" borderId="0" xfId="0" applyNumberFormat="1" applyFont="1">
      <alignment vertical="center"/>
    </xf>
    <xf numFmtId="0" fontId="14" fillId="5" borderId="17" xfId="0" applyFont="1" applyFill="1" applyBorder="1" applyAlignment="1">
      <alignment horizontal="left" vertical="center"/>
    </xf>
    <xf numFmtId="0" fontId="14" fillId="5" borderId="18" xfId="0" applyFont="1" applyFill="1" applyBorder="1" applyAlignment="1">
      <alignment horizontal="center" vertical="center"/>
    </xf>
    <xf numFmtId="0" fontId="14" fillId="5" borderId="20" xfId="0" applyFont="1" applyFill="1" applyBorder="1" applyAlignment="1">
      <alignment horizontal="center" vertical="center"/>
    </xf>
    <xf numFmtId="0" fontId="14" fillId="5" borderId="21" xfId="0" applyFont="1" applyFill="1" applyBorder="1" applyAlignment="1">
      <alignment horizontal="center" vertical="center"/>
    </xf>
    <xf numFmtId="0" fontId="14" fillId="5" borderId="13" xfId="0" applyFont="1" applyFill="1" applyBorder="1" applyAlignment="1">
      <alignment horizontal="center" vertical="center"/>
    </xf>
    <xf numFmtId="0" fontId="14" fillId="5" borderId="22" xfId="0" applyFont="1" applyFill="1" applyBorder="1" applyAlignment="1">
      <alignment horizontal="left" vertical="center"/>
    </xf>
    <xf numFmtId="0" fontId="14" fillId="5" borderId="20" xfId="0" applyFont="1" applyFill="1" applyBorder="1" applyAlignment="1">
      <alignment horizontal="left" vertical="center"/>
    </xf>
    <xf numFmtId="0" fontId="11" fillId="0" borderId="25" xfId="0" applyFont="1" applyBorder="1">
      <alignment vertical="center"/>
    </xf>
    <xf numFmtId="0" fontId="11" fillId="0" borderId="27" xfId="0" applyFont="1" applyBorder="1">
      <alignment vertical="center"/>
    </xf>
    <xf numFmtId="184" fontId="11" fillId="0" borderId="0" xfId="0" applyNumberFormat="1" applyFont="1" applyAlignment="1">
      <alignment horizontal="right" vertical="center"/>
    </xf>
    <xf numFmtId="14" fontId="11" fillId="0" borderId="0" xfId="0" applyNumberFormat="1" applyFont="1" applyAlignment="1">
      <alignment horizontal="center" vertical="center"/>
    </xf>
    <xf numFmtId="10" fontId="15" fillId="0" borderId="0" xfId="0" applyNumberFormat="1" applyFont="1" applyAlignment="1">
      <alignment horizontal="center" vertical="center"/>
    </xf>
    <xf numFmtId="0" fontId="11" fillId="6" borderId="29" xfId="0" applyFont="1" applyFill="1" applyBorder="1">
      <alignment vertical="center"/>
    </xf>
    <xf numFmtId="176" fontId="11" fillId="0" borderId="0" xfId="0" applyNumberFormat="1" applyFont="1" applyAlignment="1">
      <alignment horizontal="right" vertical="center"/>
    </xf>
    <xf numFmtId="0" fontId="11" fillId="6" borderId="30" xfId="0" applyFont="1" applyFill="1" applyBorder="1">
      <alignment vertical="center"/>
    </xf>
    <xf numFmtId="0" fontId="11" fillId="6" borderId="31" xfId="0" applyFont="1" applyFill="1" applyBorder="1">
      <alignment vertical="center"/>
    </xf>
    <xf numFmtId="0" fontId="11" fillId="0" borderId="0" xfId="0" applyFont="1" applyAlignment="1">
      <alignment horizontal="center" vertical="center"/>
    </xf>
    <xf numFmtId="0" fontId="11" fillId="6" borderId="32" xfId="0" applyFont="1" applyFill="1" applyBorder="1">
      <alignment vertical="center"/>
    </xf>
    <xf numFmtId="0" fontId="11" fillId="0" borderId="33" xfId="0" applyFont="1" applyBorder="1">
      <alignment vertical="center"/>
    </xf>
    <xf numFmtId="176" fontId="11" fillId="0" borderId="33" xfId="0" applyNumberFormat="1" applyFont="1" applyBorder="1" applyAlignment="1">
      <alignment horizontal="right" vertical="center"/>
    </xf>
    <xf numFmtId="0" fontId="13" fillId="4" borderId="13" xfId="0" applyFont="1" applyFill="1" applyBorder="1" applyAlignment="1">
      <alignment horizontal="right" vertical="center"/>
    </xf>
    <xf numFmtId="176" fontId="11" fillId="6" borderId="31" xfId="0" applyNumberFormat="1" applyFont="1" applyFill="1" applyBorder="1">
      <alignment vertical="center"/>
    </xf>
    <xf numFmtId="0" fontId="11" fillId="6" borderId="36" xfId="0" applyFont="1" applyFill="1" applyBorder="1">
      <alignment vertical="center"/>
    </xf>
    <xf numFmtId="0" fontId="14" fillId="0" borderId="16" xfId="0" applyFont="1" applyBorder="1" applyAlignment="1">
      <alignment horizontal="left" vertical="center"/>
    </xf>
    <xf numFmtId="0" fontId="14" fillId="0" borderId="0" xfId="0" applyFont="1" applyAlignment="1">
      <alignment horizontal="center" vertical="center"/>
    </xf>
    <xf numFmtId="14" fontId="15" fillId="0" borderId="0" xfId="0" applyNumberFormat="1" applyFont="1" applyAlignment="1">
      <alignment horizontal="right" vertical="center"/>
    </xf>
    <xf numFmtId="188" fontId="14" fillId="5" borderId="20" xfId="0" applyNumberFormat="1" applyFont="1" applyFill="1" applyBorder="1" applyAlignment="1">
      <alignment horizontal="center" vertical="center"/>
    </xf>
    <xf numFmtId="189" fontId="14" fillId="0" borderId="0" xfId="0" applyNumberFormat="1" applyFont="1" applyAlignment="1">
      <alignment horizontal="right" vertical="center"/>
    </xf>
    <xf numFmtId="190" fontId="14" fillId="0" borderId="0" xfId="0" applyNumberFormat="1" applyFont="1" applyAlignment="1">
      <alignment horizontal="right" vertical="center"/>
    </xf>
    <xf numFmtId="0" fontId="14" fillId="5" borderId="39" xfId="0" applyFont="1" applyFill="1" applyBorder="1" applyAlignment="1">
      <alignment horizontal="left" vertical="center"/>
    </xf>
    <xf numFmtId="0" fontId="14" fillId="5" borderId="40" xfId="0" applyFont="1" applyFill="1" applyBorder="1" applyAlignment="1">
      <alignment horizontal="center" vertical="center"/>
    </xf>
    <xf numFmtId="187" fontId="11" fillId="0" borderId="0" xfId="0" applyNumberFormat="1" applyFont="1" applyAlignment="1">
      <alignment horizontal="right" vertical="center"/>
    </xf>
    <xf numFmtId="176" fontId="11" fillId="6" borderId="31" xfId="0" applyNumberFormat="1" applyFont="1" applyFill="1" applyBorder="1" applyAlignment="1">
      <alignment horizontal="right" vertical="center"/>
    </xf>
    <xf numFmtId="0" fontId="11" fillId="6" borderId="41" xfId="0" applyFont="1" applyFill="1" applyBorder="1">
      <alignment vertical="center"/>
    </xf>
    <xf numFmtId="176" fontId="11" fillId="6" borderId="42" xfId="0" applyNumberFormat="1" applyFont="1" applyFill="1" applyBorder="1">
      <alignment vertical="center"/>
    </xf>
    <xf numFmtId="176" fontId="11" fillId="6" borderId="36" xfId="0" applyNumberFormat="1" applyFont="1" applyFill="1" applyBorder="1">
      <alignment vertical="center"/>
    </xf>
    <xf numFmtId="0" fontId="11" fillId="6" borderId="103" xfId="0" applyFont="1" applyFill="1" applyBorder="1">
      <alignment vertical="center"/>
    </xf>
    <xf numFmtId="0" fontId="11" fillId="6" borderId="109" xfId="0" applyFont="1" applyFill="1" applyBorder="1">
      <alignment vertical="center"/>
    </xf>
    <xf numFmtId="176" fontId="11" fillId="6" borderId="109" xfId="0" applyNumberFormat="1" applyFont="1" applyFill="1" applyBorder="1" applyAlignment="1">
      <alignment horizontal="right" vertical="center"/>
    </xf>
    <xf numFmtId="0" fontId="11" fillId="0" borderId="102" xfId="0" applyFont="1" applyBorder="1">
      <alignment vertical="center"/>
    </xf>
    <xf numFmtId="187" fontId="11" fillId="0" borderId="0" xfId="0" applyNumberFormat="1" applyFont="1">
      <alignment vertical="center"/>
    </xf>
    <xf numFmtId="191" fontId="11" fillId="0" borderId="0" xfId="0" applyNumberFormat="1" applyFont="1">
      <alignment vertical="center"/>
    </xf>
    <xf numFmtId="0" fontId="11" fillId="6" borderId="0" xfId="0" applyFont="1" applyFill="1">
      <alignment vertical="center"/>
    </xf>
    <xf numFmtId="176" fontId="11" fillId="6" borderId="0" xfId="0" applyNumberFormat="1" applyFont="1" applyFill="1" applyAlignment="1">
      <alignment horizontal="right" vertical="center"/>
    </xf>
    <xf numFmtId="0" fontId="11" fillId="7" borderId="43" xfId="0" applyFont="1" applyFill="1" applyBorder="1">
      <alignment vertical="center"/>
    </xf>
    <xf numFmtId="176" fontId="11" fillId="7" borderId="44" xfId="0" applyNumberFormat="1" applyFont="1" applyFill="1" applyBorder="1" applyAlignment="1">
      <alignment horizontal="right" vertical="center"/>
    </xf>
    <xf numFmtId="0" fontId="13" fillId="4" borderId="45" xfId="0" applyFont="1" applyFill="1" applyBorder="1">
      <alignment vertical="center"/>
    </xf>
    <xf numFmtId="0" fontId="13" fillId="4" borderId="46" xfId="0" applyFont="1" applyFill="1" applyBorder="1">
      <alignment vertical="center"/>
    </xf>
    <xf numFmtId="0" fontId="14" fillId="5" borderId="47" xfId="0" applyFont="1" applyFill="1" applyBorder="1" applyAlignment="1">
      <alignment horizontal="left" vertical="center"/>
    </xf>
    <xf numFmtId="0" fontId="14" fillId="5" borderId="37" xfId="0" applyFont="1" applyFill="1" applyBorder="1" applyAlignment="1">
      <alignment horizontal="center" vertical="center"/>
    </xf>
    <xf numFmtId="0" fontId="14" fillId="5" borderId="46" xfId="0" applyFont="1" applyFill="1" applyBorder="1" applyAlignment="1">
      <alignment horizontal="center" vertical="center"/>
    </xf>
    <xf numFmtId="10" fontId="11" fillId="0" borderId="0" xfId="0" applyNumberFormat="1" applyFont="1">
      <alignment vertical="center"/>
    </xf>
    <xf numFmtId="0" fontId="11" fillId="0" borderId="26" xfId="0" applyFont="1" applyBorder="1">
      <alignment vertical="center"/>
    </xf>
    <xf numFmtId="14" fontId="11" fillId="0" borderId="38" xfId="0" applyNumberFormat="1" applyFont="1" applyBorder="1" applyAlignment="1">
      <alignment horizontal="center" vertical="center"/>
    </xf>
    <xf numFmtId="185" fontId="11" fillId="0" borderId="0" xfId="0" applyNumberFormat="1" applyFont="1" applyAlignment="1">
      <alignment horizontal="center" vertical="center"/>
    </xf>
    <xf numFmtId="9" fontId="15" fillId="0" borderId="0" xfId="0" applyNumberFormat="1" applyFont="1" applyAlignment="1">
      <alignment horizontal="center" vertical="center"/>
    </xf>
    <xf numFmtId="0" fontId="14" fillId="5" borderId="48" xfId="0" applyFont="1" applyFill="1" applyBorder="1" applyAlignment="1">
      <alignment horizontal="center" vertical="center"/>
    </xf>
    <xf numFmtId="14" fontId="11" fillId="0" borderId="50" xfId="0" applyNumberFormat="1" applyFont="1" applyBorder="1" applyAlignment="1">
      <alignment horizontal="center" vertical="center"/>
    </xf>
    <xf numFmtId="14" fontId="11" fillId="0" borderId="33" xfId="0" applyNumberFormat="1" applyFont="1" applyBorder="1" applyAlignment="1">
      <alignment horizontal="center" vertical="center"/>
    </xf>
    <xf numFmtId="185" fontId="11" fillId="0" borderId="33" xfId="0" applyNumberFormat="1" applyFont="1" applyBorder="1" applyAlignment="1">
      <alignment horizontal="center" vertical="center"/>
    </xf>
    <xf numFmtId="10" fontId="15" fillId="0" borderId="33" xfId="0" applyNumberFormat="1" applyFont="1" applyBorder="1" applyAlignment="1">
      <alignment horizontal="center" vertical="center"/>
    </xf>
    <xf numFmtId="0" fontId="11" fillId="0" borderId="51" xfId="0" applyFont="1" applyBorder="1">
      <alignment vertical="center"/>
    </xf>
    <xf numFmtId="14" fontId="11" fillId="0" borderId="52" xfId="0" applyNumberFormat="1" applyFont="1" applyBorder="1" applyAlignment="1">
      <alignment horizontal="center" vertical="center"/>
    </xf>
    <xf numFmtId="14" fontId="11" fillId="0" borderId="53" xfId="0" applyNumberFormat="1" applyFont="1" applyBorder="1" applyAlignment="1">
      <alignment horizontal="center" vertical="center"/>
    </xf>
    <xf numFmtId="185" fontId="11" fillId="0" borderId="53" xfId="0" applyNumberFormat="1" applyFont="1" applyBorder="1" applyAlignment="1">
      <alignment horizontal="center" vertical="center"/>
    </xf>
    <xf numFmtId="10" fontId="15" fillId="0" borderId="53" xfId="0" applyNumberFormat="1" applyFont="1" applyBorder="1" applyAlignment="1">
      <alignment horizontal="center" vertical="center"/>
    </xf>
    <xf numFmtId="0" fontId="13" fillId="4" borderId="47" xfId="0" applyFont="1" applyFill="1" applyBorder="1">
      <alignment vertical="center"/>
    </xf>
    <xf numFmtId="182" fontId="11" fillId="0" borderId="38" xfId="0" applyNumberFormat="1" applyFont="1" applyBorder="1">
      <alignment vertical="center"/>
    </xf>
    <xf numFmtId="0" fontId="14" fillId="5" borderId="55" xfId="0" applyFont="1" applyFill="1" applyBorder="1">
      <alignment vertical="center"/>
    </xf>
    <xf numFmtId="0" fontId="11" fillId="2" borderId="56" xfId="0" applyFont="1" applyFill="1" applyBorder="1">
      <alignment vertical="center"/>
    </xf>
    <xf numFmtId="182" fontId="17" fillId="2" borderId="57" xfId="0" applyNumberFormat="1" applyFont="1" applyFill="1" applyBorder="1">
      <alignment vertical="center"/>
    </xf>
    <xf numFmtId="0" fontId="14" fillId="6" borderId="59" xfId="0" applyFont="1" applyFill="1" applyBorder="1" applyAlignment="1">
      <alignment horizontal="left" vertical="center"/>
    </xf>
    <xf numFmtId="0" fontId="17" fillId="6" borderId="60" xfId="0" applyFont="1" applyFill="1" applyBorder="1" applyAlignment="1">
      <alignment horizontal="center" vertical="center"/>
    </xf>
    <xf numFmtId="0" fontId="14" fillId="6" borderId="61" xfId="0" applyFont="1" applyFill="1" applyBorder="1" applyAlignment="1">
      <alignment horizontal="center" vertical="center"/>
    </xf>
    <xf numFmtId="183" fontId="11" fillId="0" borderId="63" xfId="0" applyNumberFormat="1" applyFont="1" applyBorder="1" applyAlignment="1">
      <alignment horizontal="left" vertical="center"/>
    </xf>
    <xf numFmtId="0" fontId="11" fillId="0" borderId="38" xfId="0" applyFont="1" applyBorder="1">
      <alignment vertical="center"/>
    </xf>
    <xf numFmtId="3" fontId="11" fillId="0" borderId="0" xfId="0" applyNumberFormat="1" applyFont="1">
      <alignment vertical="center"/>
    </xf>
    <xf numFmtId="176" fontId="15" fillId="8" borderId="64" xfId="0" applyNumberFormat="1" applyFont="1" applyFill="1" applyBorder="1">
      <alignment vertical="center"/>
    </xf>
    <xf numFmtId="0" fontId="14" fillId="5" borderId="12" xfId="0" applyFont="1" applyFill="1" applyBorder="1" applyAlignment="1">
      <alignment horizontal="centerContinuous" vertical="center"/>
    </xf>
    <xf numFmtId="0" fontId="14" fillId="5" borderId="13" xfId="0" applyFont="1" applyFill="1" applyBorder="1" applyAlignment="1">
      <alignment horizontal="centerContinuous" vertical="center"/>
    </xf>
    <xf numFmtId="0" fontId="11" fillId="6" borderId="42" xfId="0" applyFont="1" applyFill="1" applyBorder="1">
      <alignment vertical="center"/>
    </xf>
    <xf numFmtId="185" fontId="15" fillId="8" borderId="64" xfId="0" applyNumberFormat="1" applyFont="1" applyFill="1" applyBorder="1" applyAlignment="1">
      <alignment horizontal="center" vertical="center"/>
    </xf>
    <xf numFmtId="0" fontId="15" fillId="0" borderId="38" xfId="0" applyFont="1" applyBorder="1">
      <alignment vertical="center"/>
    </xf>
    <xf numFmtId="9" fontId="15" fillId="0" borderId="0" xfId="0" applyNumberFormat="1" applyFont="1">
      <alignment vertical="center"/>
    </xf>
    <xf numFmtId="41" fontId="11" fillId="0" borderId="0" xfId="0" applyNumberFormat="1" applyFont="1">
      <alignment vertical="center"/>
    </xf>
    <xf numFmtId="0" fontId="11" fillId="0" borderId="26" xfId="0" applyFont="1" applyBorder="1" applyAlignment="1">
      <alignment horizontal="left" vertical="center"/>
    </xf>
    <xf numFmtId="0" fontId="11" fillId="0" borderId="63" xfId="0" applyFont="1" applyBorder="1" applyAlignment="1">
      <alignment horizontal="left" vertical="center"/>
    </xf>
    <xf numFmtId="0" fontId="14" fillId="5" borderId="12" xfId="0" applyFont="1" applyFill="1" applyBorder="1" applyAlignment="1">
      <alignment horizontal="left" vertical="center"/>
    </xf>
    <xf numFmtId="0" fontId="11" fillId="6" borderId="66" xfId="0" applyFont="1" applyFill="1" applyBorder="1" applyAlignment="1">
      <alignment horizontal="left" vertical="center"/>
    </xf>
    <xf numFmtId="191" fontId="11" fillId="6" borderId="36" xfId="0" applyNumberFormat="1" applyFont="1" applyFill="1" applyBorder="1">
      <alignment vertical="center"/>
    </xf>
    <xf numFmtId="179" fontId="14" fillId="5" borderId="20" xfId="0" applyNumberFormat="1" applyFont="1" applyFill="1" applyBorder="1" applyAlignment="1">
      <alignment horizontal="center" vertical="center"/>
    </xf>
    <xf numFmtId="3" fontId="11" fillId="0" borderId="17" xfId="0" applyNumberFormat="1" applyFont="1" applyBorder="1" applyAlignment="1">
      <alignment horizontal="left" vertical="center"/>
    </xf>
    <xf numFmtId="194" fontId="11" fillId="0" borderId="106" xfId="0" applyNumberFormat="1" applyFont="1" applyBorder="1" applyAlignment="1">
      <alignment horizontal="center" vertical="center"/>
    </xf>
    <xf numFmtId="9" fontId="11" fillId="6" borderId="36" xfId="0" applyNumberFormat="1" applyFont="1" applyFill="1" applyBorder="1">
      <alignment vertical="center"/>
    </xf>
    <xf numFmtId="14" fontId="11" fillId="0" borderId="18" xfId="0" applyNumberFormat="1" applyFont="1" applyBorder="1" applyAlignment="1">
      <alignment horizontal="center" vertical="center"/>
    </xf>
    <xf numFmtId="3" fontId="11" fillId="0" borderId="18" xfId="0" applyNumberFormat="1" applyFont="1" applyBorder="1" applyAlignment="1">
      <alignment horizontal="center" vertical="center"/>
    </xf>
    <xf numFmtId="183" fontId="11" fillId="0" borderId="0" xfId="0" applyNumberFormat="1" applyFont="1" applyAlignment="1">
      <alignment horizontal="left" vertical="center"/>
    </xf>
    <xf numFmtId="0" fontId="11" fillId="6" borderId="68" xfId="0" applyFont="1" applyFill="1" applyBorder="1" applyAlignment="1">
      <alignment horizontal="left" vertical="center"/>
    </xf>
    <xf numFmtId="9" fontId="11" fillId="6" borderId="65" xfId="0" applyNumberFormat="1" applyFont="1" applyFill="1" applyBorder="1">
      <alignment vertical="center"/>
    </xf>
    <xf numFmtId="191" fontId="11" fillId="9" borderId="65" xfId="0" applyNumberFormat="1" applyFont="1" applyFill="1" applyBorder="1">
      <alignment vertical="center"/>
    </xf>
    <xf numFmtId="176" fontId="15" fillId="0" borderId="0" xfId="0" applyNumberFormat="1" applyFont="1">
      <alignment vertical="center"/>
    </xf>
    <xf numFmtId="176" fontId="11" fillId="6" borderId="66" xfId="0" applyNumberFormat="1" applyFont="1" applyFill="1" applyBorder="1">
      <alignment vertical="center"/>
    </xf>
    <xf numFmtId="176" fontId="15" fillId="0" borderId="63" xfId="0" applyNumberFormat="1" applyFont="1" applyBorder="1">
      <alignment vertical="center"/>
    </xf>
    <xf numFmtId="195" fontId="15" fillId="0" borderId="0" xfId="0" applyNumberFormat="1" applyFont="1">
      <alignment vertical="center"/>
    </xf>
    <xf numFmtId="0" fontId="11" fillId="0" borderId="0" xfId="0" applyFont="1" applyAlignment="1">
      <alignment horizontal="left" vertical="center"/>
    </xf>
    <xf numFmtId="0" fontId="11" fillId="0" borderId="29" xfId="0" applyFont="1" applyBorder="1">
      <alignment vertical="center"/>
    </xf>
    <xf numFmtId="0" fontId="11" fillId="0" borderId="107" xfId="0" applyFont="1" applyBorder="1">
      <alignment vertical="center"/>
    </xf>
    <xf numFmtId="0" fontId="11" fillId="6" borderId="72" xfId="0" applyFont="1" applyFill="1" applyBorder="1" applyAlignment="1">
      <alignment horizontal="left" vertical="center"/>
    </xf>
    <xf numFmtId="176" fontId="11" fillId="6" borderId="35" xfId="0" applyNumberFormat="1" applyFont="1" applyFill="1" applyBorder="1">
      <alignment vertical="center"/>
    </xf>
    <xf numFmtId="176" fontId="11" fillId="6" borderId="68" xfId="0" applyNumberFormat="1" applyFont="1" applyFill="1" applyBorder="1">
      <alignment vertical="center"/>
    </xf>
    <xf numFmtId="0" fontId="11" fillId="6" borderId="35" xfId="0" applyFont="1" applyFill="1" applyBorder="1">
      <alignment vertical="center"/>
    </xf>
    <xf numFmtId="0" fontId="14" fillId="5" borderId="73" xfId="0" applyFont="1" applyFill="1" applyBorder="1" applyAlignment="1">
      <alignment horizontal="left" vertical="center"/>
    </xf>
    <xf numFmtId="0" fontId="11" fillId="0" borderId="74" xfId="0" applyFont="1" applyBorder="1">
      <alignment vertical="center"/>
    </xf>
    <xf numFmtId="0" fontId="11" fillId="0" borderId="75" xfId="0" applyFont="1" applyBorder="1">
      <alignment vertical="center"/>
    </xf>
    <xf numFmtId="176" fontId="11" fillId="0" borderId="14" xfId="0" applyNumberFormat="1" applyFont="1" applyBorder="1">
      <alignment vertical="center"/>
    </xf>
    <xf numFmtId="196" fontId="15" fillId="0" borderId="14" xfId="0" applyNumberFormat="1" applyFont="1" applyBorder="1">
      <alignment vertical="center"/>
    </xf>
    <xf numFmtId="3" fontId="11" fillId="0" borderId="14" xfId="0" applyNumberFormat="1" applyFont="1" applyBorder="1">
      <alignment vertical="center"/>
    </xf>
    <xf numFmtId="185" fontId="11" fillId="0" borderId="14" xfId="0" applyNumberFormat="1" applyFont="1" applyBorder="1">
      <alignment vertical="center"/>
    </xf>
    <xf numFmtId="196" fontId="15" fillId="0" borderId="0" xfId="0" applyNumberFormat="1" applyFont="1">
      <alignment vertical="center"/>
    </xf>
    <xf numFmtId="185" fontId="11" fillId="0" borderId="0" xfId="0" applyNumberFormat="1" applyFont="1">
      <alignment vertical="center"/>
    </xf>
    <xf numFmtId="9" fontId="11" fillId="0" borderId="0" xfId="0" applyNumberFormat="1" applyFont="1">
      <alignment vertical="center"/>
    </xf>
    <xf numFmtId="176" fontId="11" fillId="0" borderId="53" xfId="0" applyNumberFormat="1" applyFont="1" applyBorder="1" applyAlignment="1">
      <alignment horizontal="right" vertical="center"/>
    </xf>
    <xf numFmtId="0" fontId="11" fillId="0" borderId="53" xfId="0" applyFont="1" applyBorder="1">
      <alignment vertical="center"/>
    </xf>
    <xf numFmtId="0" fontId="11" fillId="0" borderId="101" xfId="0" applyFont="1" applyBorder="1">
      <alignment vertical="center"/>
    </xf>
    <xf numFmtId="0" fontId="11" fillId="0" borderId="46" xfId="0" applyFont="1" applyBorder="1">
      <alignment vertical="center"/>
    </xf>
    <xf numFmtId="0" fontId="11" fillId="0" borderId="80" xfId="0" applyFont="1" applyBorder="1">
      <alignment vertical="center"/>
    </xf>
    <xf numFmtId="196" fontId="15" fillId="0" borderId="53" xfId="0" applyNumberFormat="1" applyFont="1" applyBorder="1">
      <alignment vertical="center"/>
    </xf>
    <xf numFmtId="185" fontId="11" fillId="0" borderId="53" xfId="0" applyNumberFormat="1" applyFont="1" applyBorder="1">
      <alignment vertical="center"/>
    </xf>
    <xf numFmtId="0" fontId="18" fillId="3" borderId="0" xfId="0" applyFont="1" applyFill="1">
      <alignment vertical="center"/>
    </xf>
    <xf numFmtId="0" fontId="13" fillId="3" borderId="0" xfId="0" applyFont="1" applyFill="1">
      <alignment vertical="center"/>
    </xf>
    <xf numFmtId="0" fontId="11" fillId="3" borderId="0" xfId="0" applyFont="1" applyFill="1">
      <alignment vertical="center"/>
    </xf>
    <xf numFmtId="14" fontId="13" fillId="3" borderId="0" xfId="0" applyNumberFormat="1" applyFont="1" applyFill="1" applyAlignment="1">
      <alignment horizontal="center" vertical="center"/>
    </xf>
    <xf numFmtId="14" fontId="11" fillId="0" borderId="0" xfId="0" applyNumberFormat="1" applyFont="1">
      <alignment vertical="center"/>
    </xf>
    <xf numFmtId="0" fontId="19" fillId="5" borderId="0" xfId="0" applyFont="1" applyFill="1">
      <alignment vertical="center"/>
    </xf>
    <xf numFmtId="0" fontId="14" fillId="5" borderId="0" xfId="0" applyFont="1" applyFill="1">
      <alignment vertical="center"/>
    </xf>
    <xf numFmtId="0" fontId="14" fillId="5" borderId="0" xfId="0" applyFont="1" applyFill="1" applyAlignment="1">
      <alignment horizontal="center" vertical="center"/>
    </xf>
    <xf numFmtId="177" fontId="14" fillId="5" borderId="0" xfId="0" applyNumberFormat="1" applyFont="1" applyFill="1" applyAlignment="1">
      <alignment horizontal="center" vertical="center"/>
    </xf>
    <xf numFmtId="178" fontId="14" fillId="5" borderId="0" xfId="0" applyNumberFormat="1" applyFont="1" applyFill="1" applyAlignment="1">
      <alignment horizontal="center" vertical="center"/>
    </xf>
    <xf numFmtId="179" fontId="14" fillId="5" borderId="0" xfId="0" applyNumberFormat="1" applyFont="1" applyFill="1" applyAlignment="1">
      <alignment horizontal="center" vertical="center"/>
    </xf>
    <xf numFmtId="180" fontId="14" fillId="5" borderId="0" xfId="0" applyNumberFormat="1" applyFont="1" applyFill="1" applyAlignment="1">
      <alignment horizontal="center" vertical="center"/>
    </xf>
    <xf numFmtId="0" fontId="16" fillId="0" borderId="0" xfId="0" applyFont="1">
      <alignment vertical="center"/>
    </xf>
    <xf numFmtId="0" fontId="20" fillId="4" borderId="0" xfId="0" applyFont="1" applyFill="1">
      <alignment vertical="center"/>
    </xf>
    <xf numFmtId="0" fontId="20" fillId="4" borderId="1" xfId="0" applyFont="1" applyFill="1" applyBorder="1" applyAlignment="1">
      <alignment horizontal="center" vertical="center"/>
    </xf>
    <xf numFmtId="14" fontId="13" fillId="4" borderId="2" xfId="0" applyNumberFormat="1" applyFont="1" applyFill="1" applyBorder="1" applyAlignment="1">
      <alignment horizontal="center" vertical="center"/>
    </xf>
    <xf numFmtId="0" fontId="11" fillId="5" borderId="3" xfId="0" applyFont="1" applyFill="1" applyBorder="1">
      <alignment vertical="center"/>
    </xf>
    <xf numFmtId="0" fontId="11" fillId="5" borderId="4" xfId="0" applyFont="1" applyFill="1" applyBorder="1">
      <alignment vertical="center"/>
    </xf>
    <xf numFmtId="14" fontId="11" fillId="5" borderId="4" xfId="0" applyNumberFormat="1" applyFont="1" applyFill="1" applyBorder="1">
      <alignment vertical="center"/>
    </xf>
    <xf numFmtId="41" fontId="11" fillId="5" borderId="1" xfId="0" applyNumberFormat="1" applyFont="1" applyFill="1" applyBorder="1">
      <alignment vertical="center"/>
    </xf>
    <xf numFmtId="176" fontId="11" fillId="5" borderId="5" xfId="0" applyNumberFormat="1" applyFont="1" applyFill="1" applyBorder="1">
      <alignment vertical="center"/>
    </xf>
    <xf numFmtId="0" fontId="11" fillId="5" borderId="6" xfId="0" applyFont="1" applyFill="1" applyBorder="1">
      <alignment vertical="center"/>
    </xf>
    <xf numFmtId="0" fontId="11" fillId="0" borderId="3" xfId="0" applyFont="1" applyBorder="1">
      <alignment vertical="center"/>
    </xf>
    <xf numFmtId="0" fontId="11" fillId="0" borderId="4" xfId="0" applyFont="1" applyBorder="1">
      <alignment vertical="center"/>
    </xf>
    <xf numFmtId="14" fontId="11" fillId="0" borderId="4" xfId="0" applyNumberFormat="1" applyFont="1" applyBorder="1">
      <alignment vertical="center"/>
    </xf>
    <xf numFmtId="41" fontId="11" fillId="0" borderId="1" xfId="0" applyNumberFormat="1" applyFont="1" applyBorder="1">
      <alignment vertical="center"/>
    </xf>
    <xf numFmtId="176" fontId="11" fillId="0" borderId="1" xfId="0" applyNumberFormat="1" applyFont="1" applyBorder="1">
      <alignment vertical="center"/>
    </xf>
    <xf numFmtId="0" fontId="11" fillId="0" borderId="6" xfId="0" applyFont="1" applyBorder="1">
      <alignment vertical="center"/>
    </xf>
    <xf numFmtId="41" fontId="11" fillId="0" borderId="7" xfId="0" applyNumberFormat="1" applyFont="1" applyBorder="1">
      <alignment vertical="center"/>
    </xf>
    <xf numFmtId="176" fontId="11" fillId="0" borderId="7" xfId="0" applyNumberFormat="1" applyFont="1" applyBorder="1">
      <alignment vertical="center"/>
    </xf>
    <xf numFmtId="181" fontId="15" fillId="0" borderId="0" xfId="0" applyNumberFormat="1" applyFont="1">
      <alignment vertical="center"/>
    </xf>
    <xf numFmtId="0" fontId="11" fillId="5" borderId="8" xfId="0" applyFont="1" applyFill="1" applyBorder="1">
      <alignment vertical="center"/>
    </xf>
    <xf numFmtId="0" fontId="11" fillId="0" borderId="8" xfId="0" applyFont="1" applyBorder="1">
      <alignment vertical="center"/>
    </xf>
    <xf numFmtId="0" fontId="11" fillId="0" borderId="9" xfId="0" applyFont="1" applyBorder="1">
      <alignment vertical="center"/>
    </xf>
    <xf numFmtId="41" fontId="11" fillId="0" borderId="10" xfId="0" applyNumberFormat="1" applyFont="1" applyBorder="1">
      <alignment vertical="center"/>
    </xf>
    <xf numFmtId="176" fontId="11" fillId="0" borderId="10" xfId="0" applyNumberFormat="1" applyFont="1" applyBorder="1">
      <alignment vertical="center"/>
    </xf>
    <xf numFmtId="0" fontId="11" fillId="5" borderId="81" xfId="0" applyFont="1" applyFill="1" applyBorder="1">
      <alignment vertical="center"/>
    </xf>
    <xf numFmtId="0" fontId="11" fillId="0" borderId="81" xfId="0" applyFont="1" applyBorder="1">
      <alignment vertical="center"/>
    </xf>
    <xf numFmtId="0" fontId="11" fillId="0" borderId="77" xfId="0" applyFont="1" applyBorder="1">
      <alignment vertical="center"/>
    </xf>
    <xf numFmtId="14" fontId="11" fillId="0" borderId="77" xfId="0" applyNumberFormat="1" applyFont="1" applyBorder="1">
      <alignment vertical="center"/>
    </xf>
    <xf numFmtId="3" fontId="11" fillId="0" borderId="77" xfId="0" applyNumberFormat="1" applyFont="1" applyBorder="1">
      <alignment vertical="center"/>
    </xf>
    <xf numFmtId="41" fontId="11" fillId="0" borderId="11" xfId="0" applyNumberFormat="1" applyFont="1" applyBorder="1">
      <alignment vertical="center"/>
    </xf>
    <xf numFmtId="176" fontId="11" fillId="0" borderId="11" xfId="0" applyNumberFormat="1" applyFont="1" applyBorder="1">
      <alignment vertical="center"/>
    </xf>
    <xf numFmtId="3" fontId="11" fillId="0" borderId="4" xfId="0" applyNumberFormat="1" applyFont="1" applyBorder="1">
      <alignment vertical="center"/>
    </xf>
    <xf numFmtId="3" fontId="11" fillId="0" borderId="9" xfId="0" applyNumberFormat="1" applyFont="1" applyBorder="1">
      <alignment vertical="center"/>
    </xf>
    <xf numFmtId="0" fontId="20" fillId="3" borderId="0" xfId="0" applyFont="1" applyFill="1">
      <alignment vertical="center"/>
    </xf>
    <xf numFmtId="176" fontId="13" fillId="3" borderId="0" xfId="0" applyNumberFormat="1" applyFont="1" applyFill="1">
      <alignment vertical="center"/>
    </xf>
    <xf numFmtId="0" fontId="21" fillId="5" borderId="0" xfId="0" applyFont="1" applyFill="1">
      <alignment vertical="center"/>
    </xf>
    <xf numFmtId="176" fontId="14" fillId="5" borderId="0" xfId="0" applyNumberFormat="1" applyFont="1" applyFill="1">
      <alignment vertical="center"/>
    </xf>
    <xf numFmtId="14" fontId="20" fillId="4" borderId="0" xfId="0" applyNumberFormat="1" applyFont="1" applyFill="1">
      <alignment vertical="center"/>
    </xf>
    <xf numFmtId="176" fontId="20" fillId="4" borderId="0" xfId="0" applyNumberFormat="1" applyFont="1" applyFill="1">
      <alignment vertical="center"/>
    </xf>
    <xf numFmtId="0" fontId="11" fillId="5" borderId="83" xfId="0" applyFont="1" applyFill="1" applyBorder="1">
      <alignment vertical="center"/>
    </xf>
    <xf numFmtId="10" fontId="11" fillId="0" borderId="4" xfId="0" applyNumberFormat="1" applyFont="1" applyBorder="1">
      <alignment vertical="center"/>
    </xf>
    <xf numFmtId="0" fontId="11" fillId="0" borderId="84" xfId="0" applyFont="1" applyBorder="1">
      <alignment vertical="center"/>
    </xf>
    <xf numFmtId="176" fontId="11" fillId="0" borderId="9" xfId="0" applyNumberFormat="1" applyFont="1" applyBorder="1">
      <alignment vertical="center"/>
    </xf>
    <xf numFmtId="14" fontId="11" fillId="0" borderId="9" xfId="0" applyNumberFormat="1" applyFont="1" applyBorder="1">
      <alignment vertical="center"/>
    </xf>
    <xf numFmtId="0" fontId="11" fillId="0" borderId="85" xfId="0" applyFont="1" applyBorder="1">
      <alignment vertical="center"/>
    </xf>
    <xf numFmtId="0" fontId="11" fillId="0" borderId="86" xfId="0" applyFont="1" applyBorder="1">
      <alignment vertical="center"/>
    </xf>
    <xf numFmtId="14" fontId="11" fillId="0" borderId="86" xfId="0" applyNumberFormat="1" applyFont="1" applyBorder="1">
      <alignment vertical="center"/>
    </xf>
    <xf numFmtId="41" fontId="11" fillId="0" borderId="5" xfId="0" applyNumberFormat="1" applyFont="1" applyBorder="1">
      <alignment vertical="center"/>
    </xf>
    <xf numFmtId="0" fontId="11" fillId="7" borderId="85" xfId="0" applyFont="1" applyFill="1" applyBorder="1">
      <alignment vertical="center"/>
    </xf>
    <xf numFmtId="0" fontId="11" fillId="7" borderId="86" xfId="0" applyFont="1" applyFill="1" applyBorder="1">
      <alignment vertical="center"/>
    </xf>
    <xf numFmtId="0" fontId="11" fillId="7" borderId="87" xfId="0" applyFont="1" applyFill="1" applyBorder="1">
      <alignment vertical="center"/>
    </xf>
    <xf numFmtId="14" fontId="11" fillId="7" borderId="86" xfId="0" applyNumberFormat="1" applyFont="1" applyFill="1" applyBorder="1">
      <alignment vertical="center"/>
    </xf>
    <xf numFmtId="41" fontId="11" fillId="7" borderId="5" xfId="0" applyNumberFormat="1" applyFont="1" applyFill="1" applyBorder="1">
      <alignment vertical="center"/>
    </xf>
    <xf numFmtId="176" fontId="11" fillId="7" borderId="5" xfId="0" applyNumberFormat="1" applyFont="1" applyFill="1" applyBorder="1">
      <alignment vertical="center"/>
    </xf>
    <xf numFmtId="14" fontId="13" fillId="3" borderId="0" xfId="0" applyNumberFormat="1" applyFont="1" applyFill="1">
      <alignment vertical="center"/>
    </xf>
    <xf numFmtId="14" fontId="14" fillId="5" borderId="0" xfId="0" applyNumberFormat="1" applyFont="1" applyFill="1">
      <alignment vertical="center"/>
    </xf>
    <xf numFmtId="14" fontId="13" fillId="4" borderId="7" xfId="0" applyNumberFormat="1" applyFont="1" applyFill="1" applyBorder="1" applyAlignment="1">
      <alignment horizontal="center" vertical="center"/>
    </xf>
    <xf numFmtId="0" fontId="16" fillId="12" borderId="88" xfId="0" applyFont="1" applyFill="1" applyBorder="1">
      <alignment vertical="center"/>
    </xf>
    <xf numFmtId="0" fontId="20" fillId="12" borderId="0" xfId="0" applyFont="1" applyFill="1">
      <alignment vertical="center"/>
    </xf>
    <xf numFmtId="14" fontId="20" fillId="12" borderId="0" xfId="0" applyNumberFormat="1" applyFont="1" applyFill="1">
      <alignment vertical="center"/>
    </xf>
    <xf numFmtId="176" fontId="20" fillId="12" borderId="0" xfId="0" applyNumberFormat="1" applyFont="1" applyFill="1">
      <alignment vertical="center"/>
    </xf>
    <xf numFmtId="176" fontId="14" fillId="12" borderId="5" xfId="0" applyNumberFormat="1" applyFont="1" applyFill="1" applyBorder="1" applyAlignment="1">
      <alignment horizontal="right" vertical="center"/>
    </xf>
    <xf numFmtId="176" fontId="14" fillId="12" borderId="7" xfId="0" applyNumberFormat="1" applyFont="1" applyFill="1" applyBorder="1" applyAlignment="1">
      <alignment horizontal="right" vertical="center"/>
    </xf>
    <xf numFmtId="176" fontId="14" fillId="12" borderId="2" xfId="0" applyNumberFormat="1" applyFont="1" applyFill="1" applyBorder="1" applyAlignment="1">
      <alignment horizontal="right" vertical="center"/>
    </xf>
    <xf numFmtId="0" fontId="11" fillId="12" borderId="88" xfId="0" applyFont="1" applyFill="1" applyBorder="1">
      <alignment vertical="center"/>
    </xf>
    <xf numFmtId="176" fontId="11" fillId="5" borderId="4" xfId="0" applyNumberFormat="1" applyFont="1" applyFill="1" applyBorder="1">
      <alignment vertical="center"/>
    </xf>
    <xf numFmtId="176" fontId="11" fillId="5" borderId="1" xfId="0" applyNumberFormat="1" applyFont="1" applyFill="1" applyBorder="1">
      <alignment vertical="center"/>
    </xf>
    <xf numFmtId="176" fontId="11" fillId="0" borderId="4" xfId="0" applyNumberFormat="1" applyFont="1" applyBorder="1">
      <alignment vertical="center"/>
    </xf>
    <xf numFmtId="192" fontId="15" fillId="0" borderId="0" xfId="0" applyNumberFormat="1" applyFont="1">
      <alignment vertical="center"/>
    </xf>
    <xf numFmtId="0" fontId="16" fillId="12" borderId="89" xfId="0" applyFont="1" applyFill="1" applyBorder="1">
      <alignment vertical="center"/>
    </xf>
    <xf numFmtId="0" fontId="20" fillId="12" borderId="90" xfId="0" applyFont="1" applyFill="1" applyBorder="1">
      <alignment vertical="center"/>
    </xf>
    <xf numFmtId="14" fontId="20" fillId="12" borderId="90" xfId="0" applyNumberFormat="1" applyFont="1" applyFill="1" applyBorder="1">
      <alignment vertical="center"/>
    </xf>
    <xf numFmtId="176" fontId="20" fillId="12" borderId="90" xfId="0" applyNumberFormat="1" applyFont="1" applyFill="1" applyBorder="1">
      <alignment vertical="center"/>
    </xf>
    <xf numFmtId="176" fontId="14" fillId="12" borderId="91" xfId="0" applyNumberFormat="1" applyFont="1" applyFill="1" applyBorder="1" applyAlignment="1">
      <alignment horizontal="right" vertical="center"/>
    </xf>
    <xf numFmtId="176" fontId="14" fillId="0" borderId="4" xfId="0" applyNumberFormat="1" applyFont="1" applyBorder="1" applyAlignment="1">
      <alignment horizontal="right" vertical="center"/>
    </xf>
    <xf numFmtId="176" fontId="14" fillId="0" borderId="0" xfId="0" applyNumberFormat="1" applyFont="1" applyAlignment="1">
      <alignment horizontal="right" vertical="center"/>
    </xf>
    <xf numFmtId="0" fontId="16" fillId="12" borderId="92" xfId="0" applyFont="1" applyFill="1" applyBorder="1">
      <alignment vertical="center"/>
    </xf>
    <xf numFmtId="0" fontId="20" fillId="12" borderId="93" xfId="0" applyFont="1" applyFill="1" applyBorder="1">
      <alignment vertical="center"/>
    </xf>
    <xf numFmtId="14" fontId="20" fillId="12" borderId="93" xfId="0" applyNumberFormat="1" applyFont="1" applyFill="1" applyBorder="1">
      <alignment vertical="center"/>
    </xf>
    <xf numFmtId="176" fontId="20" fillId="12" borderId="93" xfId="0" applyNumberFormat="1" applyFont="1" applyFill="1" applyBorder="1">
      <alignment vertical="center"/>
    </xf>
    <xf numFmtId="176" fontId="14" fillId="12" borderId="94" xfId="0" applyNumberFormat="1" applyFont="1" applyFill="1" applyBorder="1" applyAlignment="1">
      <alignment horizontal="right" vertical="center"/>
    </xf>
    <xf numFmtId="176" fontId="14" fillId="12" borderId="10" xfId="0" applyNumberFormat="1" applyFont="1" applyFill="1" applyBorder="1" applyAlignment="1">
      <alignment horizontal="right" vertical="center"/>
    </xf>
    <xf numFmtId="176" fontId="14" fillId="12" borderId="95" xfId="0" applyNumberFormat="1" applyFont="1" applyFill="1" applyBorder="1" applyAlignment="1">
      <alignment horizontal="right" vertical="center"/>
    </xf>
    <xf numFmtId="0" fontId="16" fillId="12" borderId="96" xfId="0" applyFont="1" applyFill="1" applyBorder="1">
      <alignment vertical="center"/>
    </xf>
    <xf numFmtId="0" fontId="20" fillId="12" borderId="97" xfId="0" applyFont="1" applyFill="1" applyBorder="1">
      <alignment vertical="center"/>
    </xf>
    <xf numFmtId="14" fontId="20" fillId="12" borderId="97" xfId="0" applyNumberFormat="1" applyFont="1" applyFill="1" applyBorder="1">
      <alignment vertical="center"/>
    </xf>
    <xf numFmtId="176" fontId="20" fillId="12" borderId="97" xfId="0" applyNumberFormat="1" applyFont="1" applyFill="1" applyBorder="1" applyAlignment="1">
      <alignment horizontal="center" vertical="center"/>
    </xf>
    <xf numFmtId="176" fontId="14" fillId="12" borderId="98" xfId="0" applyNumberFormat="1" applyFont="1" applyFill="1" applyBorder="1" applyAlignment="1">
      <alignment horizontal="right" vertical="center"/>
    </xf>
    <xf numFmtId="10" fontId="20" fillId="12" borderId="0" xfId="0" applyNumberFormat="1" applyFont="1" applyFill="1" applyAlignment="1">
      <alignment horizontal="center" vertical="center"/>
    </xf>
    <xf numFmtId="10" fontId="20" fillId="12" borderId="97" xfId="0" applyNumberFormat="1" applyFont="1" applyFill="1" applyBorder="1" applyAlignment="1">
      <alignment horizontal="center" vertical="center"/>
    </xf>
    <xf numFmtId="0" fontId="11" fillId="12" borderId="99" xfId="0" applyFont="1" applyFill="1" applyBorder="1">
      <alignment vertical="center"/>
    </xf>
    <xf numFmtId="192" fontId="15" fillId="0" borderId="77" xfId="0" applyNumberFormat="1" applyFont="1" applyBorder="1">
      <alignment vertical="center"/>
    </xf>
    <xf numFmtId="192" fontId="11" fillId="5" borderId="4" xfId="0" applyNumberFormat="1" applyFont="1" applyFill="1" applyBorder="1">
      <alignment vertical="center"/>
    </xf>
    <xf numFmtId="192" fontId="11" fillId="0" borderId="4" xfId="0" applyNumberFormat="1" applyFont="1" applyBorder="1">
      <alignment vertical="center"/>
    </xf>
    <xf numFmtId="192" fontId="11" fillId="0" borderId="0" xfId="0" applyNumberFormat="1" applyFont="1">
      <alignment vertical="center"/>
    </xf>
    <xf numFmtId="192" fontId="11" fillId="0" borderId="9" xfId="0" applyNumberFormat="1" applyFont="1" applyBorder="1">
      <alignment vertical="center"/>
    </xf>
    <xf numFmtId="41" fontId="11" fillId="5" borderId="1" xfId="0" applyNumberFormat="1" applyFont="1" applyFill="1" applyBorder="1" applyAlignment="1">
      <alignment horizontal="right" vertical="center"/>
    </xf>
    <xf numFmtId="0" fontId="11" fillId="12" borderId="85" xfId="0" applyFont="1" applyFill="1" applyBorder="1">
      <alignment vertical="center"/>
    </xf>
    <xf numFmtId="0" fontId="11" fillId="12" borderId="86" xfId="0" applyFont="1" applyFill="1" applyBorder="1">
      <alignment vertical="center"/>
    </xf>
    <xf numFmtId="14" fontId="11" fillId="12" borderId="86" xfId="0" applyNumberFormat="1" applyFont="1" applyFill="1" applyBorder="1">
      <alignment vertical="center"/>
    </xf>
    <xf numFmtId="176" fontId="11" fillId="12" borderId="86" xfId="0" applyNumberFormat="1" applyFont="1" applyFill="1" applyBorder="1">
      <alignment vertical="center"/>
    </xf>
    <xf numFmtId="41" fontId="11" fillId="12" borderId="5" xfId="0" applyNumberFormat="1" applyFont="1" applyFill="1" applyBorder="1">
      <alignment vertical="center"/>
    </xf>
    <xf numFmtId="176" fontId="11" fillId="12" borderId="5" xfId="0" applyNumberFormat="1" applyFont="1" applyFill="1" applyBorder="1">
      <alignment vertical="center"/>
    </xf>
    <xf numFmtId="0" fontId="11" fillId="0" borderId="18" xfId="0" applyFont="1" applyBorder="1">
      <alignment vertical="center"/>
    </xf>
    <xf numFmtId="0" fontId="23" fillId="10" borderId="0" xfId="0" applyFont="1" applyFill="1">
      <alignment vertical="center"/>
    </xf>
    <xf numFmtId="0" fontId="23" fillId="0" borderId="0" xfId="0" applyFont="1">
      <alignment vertical="center"/>
    </xf>
    <xf numFmtId="0" fontId="23" fillId="0" borderId="27" xfId="0" applyFont="1" applyBorder="1">
      <alignment vertical="center"/>
    </xf>
    <xf numFmtId="0" fontId="23" fillId="0" borderId="26" xfId="0" applyFont="1" applyBorder="1">
      <alignment vertical="center"/>
    </xf>
    <xf numFmtId="0" fontId="23" fillId="0" borderId="28" xfId="0" applyFont="1" applyBorder="1">
      <alignment vertical="center"/>
    </xf>
    <xf numFmtId="0" fontId="23" fillId="0" borderId="49" xfId="0" applyFont="1" applyBorder="1">
      <alignment vertical="center"/>
    </xf>
    <xf numFmtId="0" fontId="23" fillId="0" borderId="107" xfId="0" applyFont="1" applyBorder="1">
      <alignment vertical="center"/>
    </xf>
    <xf numFmtId="176" fontId="23" fillId="0" borderId="14" xfId="0" applyNumberFormat="1" applyFont="1" applyBorder="1">
      <alignment vertical="center"/>
    </xf>
    <xf numFmtId="176" fontId="23" fillId="0" borderId="53" xfId="0" applyNumberFormat="1" applyFont="1" applyBorder="1">
      <alignment vertical="center"/>
    </xf>
    <xf numFmtId="198" fontId="11" fillId="0" borderId="18" xfId="0" applyNumberFormat="1" applyFont="1" applyBorder="1" applyAlignment="1">
      <alignment horizontal="left" vertical="center"/>
    </xf>
    <xf numFmtId="198" fontId="11" fillId="0" borderId="0" xfId="0" applyNumberFormat="1" applyFont="1" applyAlignment="1">
      <alignment horizontal="left" vertical="center"/>
    </xf>
    <xf numFmtId="198" fontId="11" fillId="0" borderId="102" xfId="0" applyNumberFormat="1" applyFont="1" applyBorder="1" applyAlignment="1">
      <alignment horizontal="left" vertical="center"/>
    </xf>
    <xf numFmtId="0" fontId="23" fillId="0" borderId="0" xfId="0" applyFont="1" applyAlignment="1">
      <alignment horizontal="center" vertical="center"/>
    </xf>
    <xf numFmtId="3" fontId="11" fillId="0" borderId="53" xfId="0" applyNumberFormat="1" applyFont="1" applyBorder="1">
      <alignment vertical="center"/>
    </xf>
    <xf numFmtId="0" fontId="11" fillId="0" borderId="79" xfId="0" applyFont="1" applyBorder="1">
      <alignment vertical="center"/>
    </xf>
    <xf numFmtId="192" fontId="15" fillId="0" borderId="33" xfId="0" applyNumberFormat="1" applyFont="1" applyBorder="1" applyAlignment="1">
      <alignment horizontal="center" vertical="center"/>
    </xf>
    <xf numFmtId="0" fontId="14" fillId="6" borderId="60" xfId="0" applyFont="1" applyFill="1" applyBorder="1" applyAlignment="1">
      <alignment horizontal="center" vertical="center"/>
    </xf>
    <xf numFmtId="191" fontId="11" fillId="9" borderId="36" xfId="0" applyNumberFormat="1" applyFont="1" applyFill="1" applyBorder="1">
      <alignment vertical="center"/>
    </xf>
    <xf numFmtId="187" fontId="11" fillId="6" borderId="36" xfId="0" applyNumberFormat="1" applyFont="1" applyFill="1" applyBorder="1">
      <alignment vertical="center"/>
    </xf>
    <xf numFmtId="187" fontId="11" fillId="0" borderId="0" xfId="0" applyNumberFormat="1" applyFont="1" applyAlignment="1">
      <alignment horizontal="center" vertical="center"/>
    </xf>
    <xf numFmtId="185" fontId="15" fillId="0" borderId="0" xfId="0" applyNumberFormat="1" applyFont="1" applyAlignment="1">
      <alignment horizontal="center" vertical="center"/>
    </xf>
    <xf numFmtId="193" fontId="16" fillId="0" borderId="0" xfId="0" applyNumberFormat="1" applyFont="1" applyAlignment="1">
      <alignment horizontal="right" vertical="center"/>
    </xf>
    <xf numFmtId="10" fontId="15" fillId="0" borderId="0" xfId="0" applyNumberFormat="1" applyFont="1">
      <alignment vertical="center"/>
    </xf>
    <xf numFmtId="0" fontId="11" fillId="0" borderId="111" xfId="0" applyFont="1" applyBorder="1">
      <alignment vertical="center"/>
    </xf>
    <xf numFmtId="0" fontId="11" fillId="0" borderId="14" xfId="0" applyFont="1" applyBorder="1">
      <alignment vertical="center"/>
    </xf>
    <xf numFmtId="187" fontId="11" fillId="0" borderId="112" xfId="0" applyNumberFormat="1" applyFont="1" applyBorder="1" applyAlignment="1">
      <alignment horizontal="right" vertical="center"/>
    </xf>
    <xf numFmtId="187" fontId="11" fillId="0" borderId="27" xfId="0" applyNumberFormat="1" applyFont="1" applyBorder="1" applyAlignment="1">
      <alignment horizontal="right" vertical="center"/>
    </xf>
    <xf numFmtId="0" fontId="14" fillId="5" borderId="100" xfId="0" applyFont="1" applyFill="1" applyBorder="1" applyAlignment="1">
      <alignment horizontal="center" vertical="center"/>
    </xf>
    <xf numFmtId="182" fontId="11" fillId="6" borderId="110" xfId="0" applyNumberFormat="1" applyFont="1" applyFill="1" applyBorder="1">
      <alignment vertical="center"/>
    </xf>
    <xf numFmtId="191" fontId="11" fillId="17" borderId="0" xfId="0" applyNumberFormat="1" applyFont="1" applyFill="1">
      <alignment vertical="center"/>
    </xf>
    <xf numFmtId="191" fontId="11" fillId="17" borderId="38" xfId="0" applyNumberFormat="1" applyFont="1" applyFill="1" applyBorder="1">
      <alignment vertical="center"/>
    </xf>
    <xf numFmtId="0" fontId="7" fillId="0" borderId="0" xfId="0" applyFont="1">
      <alignment vertical="center"/>
    </xf>
    <xf numFmtId="41" fontId="5" fillId="0" borderId="0" xfId="3" applyFont="1" applyFill="1" applyBorder="1" applyAlignment="1">
      <alignment vertical="center"/>
    </xf>
    <xf numFmtId="199" fontId="5" fillId="0" borderId="0" xfId="2" applyFont="1" applyProtection="1">
      <alignment vertical="center"/>
      <protection locked="0"/>
    </xf>
    <xf numFmtId="199" fontId="34" fillId="0" borderId="0" xfId="2" applyFont="1" applyProtection="1">
      <alignment vertical="center"/>
      <protection locked="0"/>
    </xf>
    <xf numFmtId="200" fontId="5" fillId="0" borderId="0" xfId="2" applyNumberFormat="1" applyFont="1" applyProtection="1">
      <alignment vertical="center"/>
      <protection locked="0"/>
    </xf>
    <xf numFmtId="41" fontId="5" fillId="0" borderId="0" xfId="3" applyFont="1" applyProtection="1">
      <alignment vertical="center"/>
      <protection locked="0"/>
    </xf>
    <xf numFmtId="199" fontId="5" fillId="0" borderId="0" xfId="2" applyFont="1" applyAlignment="1" applyProtection="1">
      <alignment horizontal="right" vertical="center"/>
      <protection locked="0"/>
    </xf>
    <xf numFmtId="199" fontId="5" fillId="0" borderId="0" xfId="2" applyFont="1" applyAlignment="1" applyProtection="1">
      <alignment horizontal="left" vertical="center"/>
      <protection locked="0"/>
    </xf>
    <xf numFmtId="199" fontId="5" fillId="0" borderId="0" xfId="2" applyFont="1" applyAlignment="1" applyProtection="1">
      <alignment horizontal="center" vertical="center"/>
      <protection locked="0"/>
    </xf>
    <xf numFmtId="199" fontId="34" fillId="11" borderId="0" xfId="2" applyFont="1" applyFill="1">
      <alignment vertical="center"/>
    </xf>
    <xf numFmtId="199" fontId="5" fillId="11" borderId="0" xfId="2" applyFont="1" applyFill="1" applyProtection="1">
      <alignment vertical="center"/>
      <protection locked="0"/>
    </xf>
    <xf numFmtId="199" fontId="34" fillId="11" borderId="0" xfId="2" applyFont="1" applyFill="1" applyProtection="1">
      <alignment vertical="center"/>
      <protection locked="0"/>
    </xf>
    <xf numFmtId="200" fontId="5" fillId="11" borderId="0" xfId="2" applyNumberFormat="1" applyFont="1" applyFill="1" applyProtection="1">
      <alignment vertical="center"/>
      <protection locked="0"/>
    </xf>
    <xf numFmtId="10" fontId="5" fillId="11" borderId="0" xfId="4" applyNumberFormat="1" applyFont="1" applyFill="1" applyProtection="1">
      <alignment vertical="center"/>
      <protection locked="0"/>
    </xf>
    <xf numFmtId="41" fontId="9" fillId="0" borderId="0" xfId="3" applyFont="1" applyProtection="1">
      <alignment vertical="center"/>
      <protection locked="0"/>
    </xf>
    <xf numFmtId="0" fontId="35" fillId="0" borderId="0" xfId="0" applyFont="1">
      <alignment vertical="center"/>
    </xf>
    <xf numFmtId="43" fontId="35" fillId="0" borderId="0" xfId="0" applyNumberFormat="1" applyFont="1">
      <alignment vertical="center"/>
    </xf>
    <xf numFmtId="0" fontId="35" fillId="0" borderId="0" xfId="0" applyFont="1" applyAlignment="1">
      <alignment horizontal="right" vertical="center"/>
    </xf>
    <xf numFmtId="0" fontId="35" fillId="0" borderId="0" xfId="0" applyFont="1" applyAlignment="1">
      <alignment horizontal="left" vertical="center"/>
    </xf>
    <xf numFmtId="41" fontId="35" fillId="0" borderId="0" xfId="3" applyFont="1">
      <alignment vertical="center"/>
    </xf>
    <xf numFmtId="0" fontId="35" fillId="0" borderId="0" xfId="0" applyFont="1" applyAlignment="1">
      <alignment horizontal="center" vertical="center"/>
    </xf>
    <xf numFmtId="0" fontId="36" fillId="0" borderId="0" xfId="0" applyFont="1" applyAlignment="1">
      <alignment horizontal="right"/>
    </xf>
    <xf numFmtId="199" fontId="9" fillId="0" borderId="0" xfId="2" applyFont="1" applyProtection="1">
      <alignment vertical="center"/>
      <protection locked="0"/>
    </xf>
    <xf numFmtId="41" fontId="4" fillId="0" borderId="0" xfId="3" applyFont="1" applyAlignment="1"/>
    <xf numFmtId="199" fontId="9" fillId="19" borderId="0" xfId="2" applyFont="1" applyFill="1" applyProtection="1">
      <alignment vertical="center"/>
      <protection locked="0"/>
    </xf>
    <xf numFmtId="0" fontId="4" fillId="0" borderId="0" xfId="5" applyFont="1"/>
    <xf numFmtId="0" fontId="9" fillId="18" borderId="120" xfId="5" applyFont="1" applyFill="1" applyBorder="1" applyAlignment="1">
      <alignment horizontal="center" vertical="center" wrapText="1"/>
    </xf>
    <xf numFmtId="3" fontId="9" fillId="18" borderId="120" xfId="5" applyNumberFormat="1" applyFont="1" applyFill="1" applyBorder="1" applyAlignment="1">
      <alignment horizontal="center" vertical="center"/>
    </xf>
    <xf numFmtId="14" fontId="9" fillId="18" borderId="122" xfId="5" applyNumberFormat="1" applyFont="1" applyFill="1" applyBorder="1" applyAlignment="1">
      <alignment horizontal="center" vertical="center"/>
    </xf>
    <xf numFmtId="14" fontId="9" fillId="18" borderId="123" xfId="5" applyNumberFormat="1" applyFont="1" applyFill="1" applyBorder="1" applyAlignment="1">
      <alignment horizontal="center" vertical="center"/>
    </xf>
    <xf numFmtId="14" fontId="9" fillId="18" borderId="124" xfId="5" applyNumberFormat="1" applyFont="1" applyFill="1" applyBorder="1" applyAlignment="1">
      <alignment horizontal="center" vertical="center"/>
    </xf>
    <xf numFmtId="14" fontId="9" fillId="18" borderId="125" xfId="5" applyNumberFormat="1" applyFont="1" applyFill="1" applyBorder="1" applyAlignment="1">
      <alignment horizontal="center" vertical="center"/>
    </xf>
    <xf numFmtId="14" fontId="9" fillId="18" borderId="126" xfId="5" applyNumberFormat="1" applyFont="1" applyFill="1" applyBorder="1" applyAlignment="1">
      <alignment horizontal="center" vertical="center"/>
    </xf>
    <xf numFmtId="0" fontId="9" fillId="18" borderId="120" xfId="5" applyFont="1" applyFill="1" applyBorder="1" applyAlignment="1">
      <alignment horizontal="center" vertical="center"/>
    </xf>
    <xf numFmtId="14" fontId="9" fillId="18" borderId="120" xfId="5" applyNumberFormat="1" applyFont="1" applyFill="1" applyBorder="1" applyAlignment="1">
      <alignment horizontal="center" vertical="center"/>
    </xf>
    <xf numFmtId="41" fontId="9" fillId="18" borderId="120" xfId="3" applyFont="1" applyFill="1" applyBorder="1" applyAlignment="1">
      <alignment horizontal="center" vertical="center"/>
    </xf>
    <xf numFmtId="0" fontId="4" fillId="0" borderId="0" xfId="5" applyFont="1" applyAlignment="1">
      <alignment horizontal="center" vertical="center"/>
    </xf>
    <xf numFmtId="0" fontId="34" fillId="0" borderId="130" xfId="5" applyFont="1" applyBorder="1" applyAlignment="1">
      <alignment horizontal="center" vertical="center" wrapText="1"/>
    </xf>
    <xf numFmtId="0" fontId="5" fillId="0" borderId="131" xfId="5" applyFont="1" applyBorder="1" applyAlignment="1">
      <alignment vertical="center"/>
    </xf>
    <xf numFmtId="49" fontId="5" fillId="13" borderId="131" xfId="5" applyNumberFormat="1" applyFont="1" applyFill="1" applyBorder="1" applyAlignment="1">
      <alignment horizontal="center" vertical="center"/>
    </xf>
    <xf numFmtId="0" fontId="5" fillId="13" borderId="131" xfId="5" applyFont="1" applyFill="1" applyBorder="1" applyAlignment="1">
      <alignment horizontal="center" vertical="center"/>
    </xf>
    <xf numFmtId="201" fontId="5" fillId="13" borderId="132" xfId="6" applyNumberFormat="1" applyFont="1" applyFill="1" applyBorder="1" applyAlignment="1">
      <alignment vertical="center"/>
    </xf>
    <xf numFmtId="43" fontId="5" fillId="13" borderId="133" xfId="6" applyFont="1" applyFill="1" applyBorder="1" applyAlignment="1">
      <alignment vertical="center"/>
    </xf>
    <xf numFmtId="41" fontId="5" fillId="0" borderId="136" xfId="3" applyFont="1" applyFill="1" applyBorder="1" applyAlignment="1">
      <alignment horizontal="center" vertical="center"/>
    </xf>
    <xf numFmtId="41" fontId="5" fillId="0" borderId="137" xfId="3" applyFont="1" applyFill="1" applyBorder="1" applyAlignment="1">
      <alignment horizontal="center" vertical="center"/>
    </xf>
    <xf numFmtId="14" fontId="5" fillId="0" borderId="131" xfId="5" applyNumberFormat="1" applyFont="1" applyBorder="1" applyAlignment="1">
      <alignment horizontal="center" vertical="center" wrapText="1"/>
    </xf>
    <xf numFmtId="14" fontId="5" fillId="0" borderId="138" xfId="5" applyNumberFormat="1" applyFont="1" applyBorder="1" applyAlignment="1">
      <alignment horizontal="center" vertical="center"/>
    </xf>
    <xf numFmtId="14" fontId="5" fillId="0" borderId="139" xfId="5" applyNumberFormat="1" applyFont="1" applyBorder="1" applyAlignment="1">
      <alignment horizontal="center" vertical="center"/>
    </xf>
    <xf numFmtId="202" fontId="5" fillId="0" borderId="135" xfId="3" applyNumberFormat="1" applyFont="1" applyBorder="1" applyAlignment="1">
      <alignment horizontal="center" vertical="center"/>
    </xf>
    <xf numFmtId="0" fontId="5" fillId="0" borderId="131" xfId="5" applyFont="1" applyBorder="1" applyAlignment="1">
      <alignment horizontal="center" vertical="center" wrapText="1"/>
    </xf>
    <xf numFmtId="14" fontId="5" fillId="0" borderId="131" xfId="5" applyNumberFormat="1" applyFont="1" applyBorder="1" applyAlignment="1">
      <alignment horizontal="center" vertical="center"/>
    </xf>
    <xf numFmtId="0" fontId="5" fillId="0" borderId="140" xfId="5" applyFont="1" applyBorder="1" applyAlignment="1">
      <alignment horizontal="center" vertical="center"/>
    </xf>
    <xf numFmtId="9" fontId="5" fillId="0" borderId="141" xfId="7" applyFont="1" applyBorder="1" applyAlignment="1">
      <alignment horizontal="center" vertical="center"/>
    </xf>
    <xf numFmtId="14" fontId="5" fillId="0" borderId="136" xfId="5" applyNumberFormat="1" applyFont="1" applyBorder="1" applyAlignment="1">
      <alignment horizontal="center" vertical="center"/>
    </xf>
    <xf numFmtId="192" fontId="5" fillId="0" borderId="140" xfId="7" applyNumberFormat="1" applyFont="1" applyBorder="1" applyAlignment="1">
      <alignment horizontal="center" vertical="center"/>
    </xf>
    <xf numFmtId="202" fontId="5" fillId="0" borderId="144" xfId="3" applyNumberFormat="1" applyFont="1" applyBorder="1" applyAlignment="1">
      <alignment horizontal="center" vertical="center"/>
    </xf>
    <xf numFmtId="0" fontId="5" fillId="0" borderId="145" xfId="5" applyFont="1" applyBorder="1" applyAlignment="1">
      <alignment horizontal="center" vertical="center" wrapText="1"/>
    </xf>
    <xf numFmtId="202" fontId="5" fillId="0" borderId="137" xfId="3" applyNumberFormat="1" applyFont="1" applyBorder="1" applyAlignment="1">
      <alignment horizontal="center" vertical="center" wrapText="1"/>
    </xf>
    <xf numFmtId="0" fontId="5" fillId="0" borderId="136" xfId="5" applyFont="1" applyBorder="1" applyAlignment="1">
      <alignment horizontal="center" vertical="center"/>
    </xf>
    <xf numFmtId="0" fontId="5" fillId="0" borderId="141" xfId="5" applyFont="1" applyBorder="1" applyAlignment="1">
      <alignment horizontal="center" vertical="center"/>
    </xf>
    <xf numFmtId="0" fontId="5" fillId="0" borderId="146" xfId="5" applyFont="1" applyBorder="1" applyAlignment="1">
      <alignment horizontal="center" vertical="center" wrapText="1"/>
    </xf>
    <xf numFmtId="0" fontId="34" fillId="0" borderId="147" xfId="5" applyFont="1" applyBorder="1" applyAlignment="1">
      <alignment vertical="center" wrapText="1"/>
    </xf>
    <xf numFmtId="0" fontId="5" fillId="0" borderId="148" xfId="5" applyFont="1" applyBorder="1" applyAlignment="1">
      <alignment vertical="center"/>
    </xf>
    <xf numFmtId="0" fontId="5" fillId="8" borderId="148" xfId="5" applyFont="1" applyFill="1" applyBorder="1" applyAlignment="1">
      <alignment vertical="center"/>
    </xf>
    <xf numFmtId="49" fontId="5" fillId="8" borderId="131" xfId="5" applyNumberFormat="1" applyFont="1" applyFill="1" applyBorder="1" applyAlignment="1">
      <alignment horizontal="center" vertical="center"/>
    </xf>
    <xf numFmtId="49" fontId="34" fillId="8" borderId="131" xfId="5" applyNumberFormat="1" applyFont="1" applyFill="1" applyBorder="1" applyAlignment="1">
      <alignment horizontal="center" vertical="center"/>
    </xf>
    <xf numFmtId="0" fontId="34" fillId="16" borderId="131" xfId="5" applyFont="1" applyFill="1" applyBorder="1" applyAlignment="1">
      <alignment horizontal="center" vertical="center"/>
    </xf>
    <xf numFmtId="201" fontId="5" fillId="0" borderId="134" xfId="6" applyNumberFormat="1" applyFont="1" applyFill="1" applyBorder="1" applyAlignment="1">
      <alignment vertical="center"/>
    </xf>
    <xf numFmtId="43" fontId="5" fillId="0" borderId="135" xfId="6" applyFont="1" applyFill="1" applyBorder="1" applyAlignment="1">
      <alignment vertical="center"/>
    </xf>
    <xf numFmtId="41" fontId="5" fillId="0" borderId="136" xfId="3" applyFont="1" applyFill="1" applyBorder="1" applyAlignment="1">
      <alignment vertical="center"/>
    </xf>
    <xf numFmtId="41" fontId="5" fillId="0" borderId="141" xfId="3" applyFont="1" applyFill="1" applyBorder="1" applyAlignment="1">
      <alignment vertical="center"/>
    </xf>
    <xf numFmtId="14" fontId="5" fillId="0" borderId="131" xfId="5" applyNumberFormat="1" applyFont="1" applyBorder="1" applyAlignment="1">
      <alignment vertical="center" wrapText="1"/>
    </xf>
    <xf numFmtId="14" fontId="5" fillId="0" borderId="134" xfId="5" applyNumberFormat="1" applyFont="1" applyBorder="1" applyAlignment="1">
      <alignment vertical="center"/>
    </xf>
    <xf numFmtId="14" fontId="5" fillId="0" borderId="139" xfId="5" applyNumberFormat="1" applyFont="1" applyBorder="1" applyAlignment="1">
      <alignment vertical="center"/>
    </xf>
    <xf numFmtId="202" fontId="5" fillId="0" borderId="135" xfId="3" applyNumberFormat="1" applyFont="1" applyBorder="1" applyAlignment="1">
      <alignment vertical="center"/>
    </xf>
    <xf numFmtId="14" fontId="5" fillId="0" borderId="136" xfId="5" applyNumberFormat="1" applyFont="1" applyBorder="1" applyAlignment="1">
      <alignment vertical="center"/>
    </xf>
    <xf numFmtId="0" fontId="5" fillId="0" borderId="141" xfId="5" applyFont="1" applyBorder="1" applyAlignment="1">
      <alignment vertical="center"/>
    </xf>
    <xf numFmtId="192" fontId="5" fillId="8" borderId="141" xfId="7" applyNumberFormat="1" applyFont="1" applyFill="1" applyBorder="1" applyAlignment="1">
      <alignment vertical="center"/>
    </xf>
    <xf numFmtId="203" fontId="5" fillId="8" borderId="138" xfId="5" applyNumberFormat="1" applyFont="1" applyFill="1" applyBorder="1" applyAlignment="1">
      <alignment vertical="center"/>
    </xf>
    <xf numFmtId="203" fontId="5" fillId="8" borderId="144" xfId="5" applyNumberFormat="1" applyFont="1" applyFill="1" applyBorder="1" applyAlignment="1">
      <alignment vertical="center"/>
    </xf>
    <xf numFmtId="0" fontId="34" fillId="16" borderId="148" xfId="5" applyFont="1" applyFill="1" applyBorder="1" applyAlignment="1">
      <alignment vertical="center"/>
    </xf>
    <xf numFmtId="201" fontId="5" fillId="0" borderId="149" xfId="6" applyNumberFormat="1" applyFont="1" applyFill="1" applyBorder="1" applyAlignment="1">
      <alignment vertical="center"/>
    </xf>
    <xf numFmtId="43" fontId="5" fillId="0" borderId="150" xfId="6" applyFont="1" applyFill="1" applyBorder="1" applyAlignment="1">
      <alignment vertical="center"/>
    </xf>
    <xf numFmtId="41" fontId="5" fillId="0" borderId="152" xfId="3" applyFont="1" applyFill="1" applyBorder="1" applyAlignment="1">
      <alignment vertical="center"/>
    </xf>
    <xf numFmtId="41" fontId="5" fillId="0" borderId="153" xfId="3" applyFont="1" applyFill="1" applyBorder="1" applyAlignment="1">
      <alignment vertical="center"/>
    </xf>
    <xf numFmtId="14" fontId="5" fillId="0" borderId="148" xfId="5" applyNumberFormat="1" applyFont="1" applyBorder="1" applyAlignment="1">
      <alignment vertical="center" wrapText="1"/>
    </xf>
    <xf numFmtId="14" fontId="5" fillId="0" borderId="149" xfId="5" applyNumberFormat="1" applyFont="1" applyBorder="1" applyAlignment="1">
      <alignment vertical="center"/>
    </xf>
    <xf numFmtId="14" fontId="5" fillId="0" borderId="154" xfId="5" applyNumberFormat="1" applyFont="1" applyBorder="1" applyAlignment="1">
      <alignment vertical="center"/>
    </xf>
    <xf numFmtId="202" fontId="5" fillId="0" borderId="150" xfId="3" applyNumberFormat="1" applyFont="1" applyBorder="1" applyAlignment="1">
      <alignment vertical="center"/>
    </xf>
    <xf numFmtId="14" fontId="5" fillId="0" borderId="152" xfId="5" applyNumberFormat="1" applyFont="1" applyBorder="1" applyAlignment="1">
      <alignment vertical="center"/>
    </xf>
    <xf numFmtId="0" fontId="5" fillId="0" borderId="153" xfId="5" applyFont="1" applyBorder="1" applyAlignment="1">
      <alignment vertical="center"/>
    </xf>
    <xf numFmtId="192" fontId="5" fillId="8" borderId="153" xfId="7" applyNumberFormat="1" applyFont="1" applyFill="1" applyBorder="1" applyAlignment="1">
      <alignment vertical="center"/>
    </xf>
    <xf numFmtId="203" fontId="5" fillId="8" borderId="26" xfId="5" applyNumberFormat="1" applyFont="1" applyFill="1" applyBorder="1" applyAlignment="1">
      <alignment vertical="center"/>
    </xf>
    <xf numFmtId="203" fontId="5" fillId="8" borderId="155" xfId="5" applyNumberFormat="1" applyFont="1" applyFill="1" applyBorder="1" applyAlignment="1">
      <alignment vertical="center"/>
    </xf>
    <xf numFmtId="0" fontId="5" fillId="8" borderId="158" xfId="5" applyFont="1" applyFill="1" applyBorder="1" applyAlignment="1">
      <alignment vertical="center"/>
    </xf>
    <xf numFmtId="0" fontId="5" fillId="8" borderId="159" xfId="5" applyFont="1" applyFill="1" applyBorder="1" applyAlignment="1">
      <alignment horizontal="center" vertical="center"/>
    </xf>
    <xf numFmtId="0" fontId="5" fillId="8" borderId="131" xfId="5" applyFont="1" applyFill="1" applyBorder="1" applyAlignment="1">
      <alignment horizontal="center" vertical="center"/>
    </xf>
    <xf numFmtId="0" fontId="34" fillId="16" borderId="158" xfId="5" applyFont="1" applyFill="1" applyBorder="1" applyAlignment="1">
      <alignment vertical="center"/>
    </xf>
    <xf numFmtId="201" fontId="5" fillId="0" borderId="160" xfId="6" applyNumberFormat="1" applyFont="1" applyFill="1" applyBorder="1" applyAlignment="1">
      <alignment vertical="center"/>
    </xf>
    <xf numFmtId="43" fontId="5" fillId="0" borderId="161" xfId="6" applyFont="1" applyFill="1" applyBorder="1" applyAlignment="1">
      <alignment vertical="center"/>
    </xf>
    <xf numFmtId="41" fontId="5" fillId="0" borderId="162" xfId="3" applyFont="1" applyFill="1" applyBorder="1" applyAlignment="1">
      <alignment vertical="center"/>
    </xf>
    <xf numFmtId="41" fontId="5" fillId="0" borderId="163" xfId="3" applyFont="1" applyFill="1" applyBorder="1" applyAlignment="1">
      <alignment vertical="center"/>
    </xf>
    <xf numFmtId="14" fontId="5" fillId="0" borderId="158" xfId="5" applyNumberFormat="1" applyFont="1" applyBorder="1" applyAlignment="1">
      <alignment vertical="center" wrapText="1"/>
    </xf>
    <xf numFmtId="14" fontId="5" fillId="0" borderId="160" xfId="5" applyNumberFormat="1" applyFont="1" applyBorder="1" applyAlignment="1">
      <alignment vertical="center"/>
    </xf>
    <xf numFmtId="14" fontId="5" fillId="0" borderId="164" xfId="5" applyNumberFormat="1" applyFont="1" applyBorder="1" applyAlignment="1">
      <alignment vertical="center"/>
    </xf>
    <xf numFmtId="202" fontId="5" fillId="0" borderId="161" xfId="3" applyNumberFormat="1" applyFont="1" applyBorder="1" applyAlignment="1">
      <alignment vertical="center"/>
    </xf>
    <xf numFmtId="14" fontId="5" fillId="0" borderId="162" xfId="5" applyNumberFormat="1" applyFont="1" applyBorder="1" applyAlignment="1">
      <alignment vertical="center"/>
    </xf>
    <xf numFmtId="0" fontId="5" fillId="0" borderId="163" xfId="5" applyFont="1" applyBorder="1" applyAlignment="1">
      <alignment vertical="center"/>
    </xf>
    <xf numFmtId="192" fontId="5" fillId="8" borderId="163" xfId="7" applyNumberFormat="1" applyFont="1" applyFill="1" applyBorder="1" applyAlignment="1">
      <alignment vertical="center"/>
    </xf>
    <xf numFmtId="203" fontId="5" fillId="8" borderId="165" xfId="5" applyNumberFormat="1" applyFont="1" applyFill="1" applyBorder="1" applyAlignment="1">
      <alignment vertical="center"/>
    </xf>
    <xf numFmtId="203" fontId="5" fillId="8" borderId="166" xfId="5" applyNumberFormat="1" applyFont="1" applyFill="1" applyBorder="1" applyAlignment="1">
      <alignment vertical="center"/>
    </xf>
    <xf numFmtId="192" fontId="5" fillId="8" borderId="140" xfId="7" applyNumberFormat="1" applyFont="1" applyFill="1" applyBorder="1" applyAlignment="1">
      <alignment horizontal="center" vertical="center"/>
    </xf>
    <xf numFmtId="0" fontId="37" fillId="0" borderId="145" xfId="5" applyFont="1" applyBorder="1" applyAlignment="1">
      <alignment horizontal="center" vertical="center" wrapText="1"/>
    </xf>
    <xf numFmtId="0" fontId="34" fillId="0" borderId="169" xfId="5" applyFont="1" applyBorder="1" applyAlignment="1">
      <alignment vertical="center" wrapText="1"/>
    </xf>
    <xf numFmtId="0" fontId="5" fillId="0" borderId="131" xfId="5" applyFont="1" applyBorder="1" applyAlignment="1">
      <alignment horizontal="center" vertical="center"/>
    </xf>
    <xf numFmtId="49" fontId="5" fillId="0" borderId="131" xfId="5" applyNumberFormat="1" applyFont="1" applyBorder="1" applyAlignment="1">
      <alignment horizontal="center" vertical="center"/>
    </xf>
    <xf numFmtId="49" fontId="34" fillId="0" borderId="131" xfId="5" applyNumberFormat="1" applyFont="1" applyBorder="1" applyAlignment="1">
      <alignment horizontal="center" vertical="center"/>
    </xf>
    <xf numFmtId="43" fontId="5" fillId="0" borderId="132" xfId="6" applyFont="1" applyFill="1" applyBorder="1" applyAlignment="1">
      <alignment vertical="center"/>
    </xf>
    <xf numFmtId="43" fontId="5" fillId="0" borderId="133" xfId="6" applyFont="1" applyFill="1" applyBorder="1" applyAlignment="1">
      <alignment vertical="center"/>
    </xf>
    <xf numFmtId="0" fontId="5" fillId="8" borderId="145" xfId="5" applyFont="1" applyFill="1" applyBorder="1" applyAlignment="1">
      <alignment horizontal="center" vertical="center"/>
    </xf>
    <xf numFmtId="0" fontId="5" fillId="0" borderId="170" xfId="5" applyFont="1" applyBorder="1" applyAlignment="1">
      <alignment horizontal="center" vertical="center"/>
    </xf>
    <xf numFmtId="201" fontId="5" fillId="0" borderId="132" xfId="6" applyNumberFormat="1" applyFont="1" applyFill="1" applyBorder="1" applyAlignment="1">
      <alignment vertical="center"/>
    </xf>
    <xf numFmtId="43" fontId="5" fillId="0" borderId="132" xfId="6" applyFont="1" applyFill="1" applyBorder="1" applyAlignment="1">
      <alignment horizontal="center" vertical="center"/>
    </xf>
    <xf numFmtId="43" fontId="5" fillId="0" borderId="135" xfId="6" applyFont="1" applyFill="1" applyBorder="1" applyAlignment="1">
      <alignment horizontal="center" vertical="center"/>
    </xf>
    <xf numFmtId="192" fontId="5" fillId="8" borderId="141" xfId="7" applyNumberFormat="1" applyFont="1" applyFill="1" applyBorder="1" applyAlignment="1">
      <alignment horizontal="center" vertical="center"/>
    </xf>
    <xf numFmtId="0" fontId="34" fillId="14" borderId="131" xfId="5" applyFont="1" applyFill="1" applyBorder="1" applyAlignment="1">
      <alignment horizontal="center" vertical="center"/>
    </xf>
    <xf numFmtId="14" fontId="34" fillId="0" borderId="131" xfId="5" applyNumberFormat="1" applyFont="1" applyBorder="1" applyAlignment="1">
      <alignment horizontal="center" vertical="center" wrapText="1"/>
    </xf>
    <xf numFmtId="14" fontId="34" fillId="0" borderId="138" xfId="5" applyNumberFormat="1" applyFont="1" applyBorder="1" applyAlignment="1">
      <alignment horizontal="center" vertical="center"/>
    </xf>
    <xf numFmtId="14" fontId="5" fillId="0" borderId="131" xfId="5" applyNumberFormat="1" applyFont="1" applyBorder="1" applyAlignment="1">
      <alignment horizontal="left" vertical="center"/>
    </xf>
    <xf numFmtId="202" fontId="5" fillId="8" borderId="144" xfId="3" applyNumberFormat="1" applyFont="1" applyFill="1" applyBorder="1" applyAlignment="1">
      <alignment horizontal="center" vertical="center"/>
    </xf>
    <xf numFmtId="204" fontId="5" fillId="0" borderId="137" xfId="3" applyNumberFormat="1" applyFont="1" applyBorder="1" applyAlignment="1">
      <alignment horizontal="center" vertical="center" wrapText="1"/>
    </xf>
    <xf numFmtId="0" fontId="34" fillId="0" borderId="131" xfId="5" applyFont="1" applyBorder="1" applyAlignment="1">
      <alignment horizontal="center" vertical="center"/>
    </xf>
    <xf numFmtId="0" fontId="5" fillId="13" borderId="170" xfId="5" applyFont="1" applyFill="1" applyBorder="1" applyAlignment="1">
      <alignment horizontal="center" vertical="center"/>
    </xf>
    <xf numFmtId="49" fontId="5" fillId="13" borderId="137" xfId="3" applyNumberFormat="1" applyFont="1" applyFill="1" applyBorder="1" applyAlignment="1">
      <alignment horizontal="center" vertical="center"/>
    </xf>
    <xf numFmtId="9" fontId="5" fillId="8" borderId="140" xfId="7" applyFont="1" applyFill="1" applyBorder="1" applyAlignment="1">
      <alignment horizontal="center" vertical="center"/>
    </xf>
    <xf numFmtId="9" fontId="5" fillId="8" borderId="141" xfId="7" applyFont="1" applyFill="1" applyBorder="1" applyAlignment="1">
      <alignment horizontal="center" vertical="center"/>
    </xf>
    <xf numFmtId="203" fontId="37" fillId="0" borderId="142" xfId="5" applyNumberFormat="1" applyFont="1" applyBorder="1" applyAlignment="1">
      <alignment horizontal="center" vertical="center"/>
    </xf>
    <xf numFmtId="203" fontId="37" fillId="0" borderId="143" xfId="5" applyNumberFormat="1" applyFont="1" applyBorder="1" applyAlignment="1">
      <alignment horizontal="center" vertical="center"/>
    </xf>
    <xf numFmtId="0" fontId="34" fillId="0" borderId="107" xfId="5" applyFont="1" applyBorder="1" applyAlignment="1">
      <alignment horizontal="center" vertical="center"/>
    </xf>
    <xf numFmtId="0" fontId="5" fillId="0" borderId="159" xfId="5" applyFont="1" applyBorder="1" applyAlignment="1">
      <alignment horizontal="center" vertical="center"/>
    </xf>
    <xf numFmtId="0" fontId="34" fillId="0" borderId="159" xfId="5" applyFont="1" applyBorder="1" applyAlignment="1">
      <alignment horizontal="center" vertical="center"/>
    </xf>
    <xf numFmtId="0" fontId="34" fillId="14" borderId="159" xfId="5" applyFont="1" applyFill="1" applyBorder="1" applyAlignment="1">
      <alignment horizontal="center" vertical="center"/>
    </xf>
    <xf numFmtId="201" fontId="5" fillId="0" borderId="173" xfId="6" applyNumberFormat="1" applyFont="1" applyFill="1" applyBorder="1" applyAlignment="1">
      <alignment vertical="center"/>
    </xf>
    <xf numFmtId="43" fontId="5" fillId="0" borderId="174" xfId="6" applyFont="1" applyFill="1" applyBorder="1" applyAlignment="1">
      <alignment vertical="center"/>
    </xf>
    <xf numFmtId="201" fontId="5" fillId="0" borderId="175" xfId="6" applyNumberFormat="1" applyFont="1" applyFill="1" applyBorder="1" applyAlignment="1">
      <alignment vertical="center"/>
    </xf>
    <xf numFmtId="43" fontId="5" fillId="0" borderId="175" xfId="6" applyFont="1" applyFill="1" applyBorder="1" applyAlignment="1">
      <alignment vertical="center"/>
    </xf>
    <xf numFmtId="41" fontId="5" fillId="0" borderId="176" xfId="3" applyFont="1" applyFill="1" applyBorder="1" applyAlignment="1">
      <alignment horizontal="center" vertical="center"/>
    </xf>
    <xf numFmtId="41" fontId="5" fillId="0" borderId="177" xfId="3" applyFont="1" applyBorder="1" applyAlignment="1">
      <alignment horizontal="center" vertical="center"/>
    </xf>
    <xf numFmtId="41" fontId="5" fillId="0" borderId="177" xfId="3" applyFont="1" applyFill="1" applyBorder="1" applyAlignment="1">
      <alignment horizontal="center" vertical="center"/>
    </xf>
    <xf numFmtId="14" fontId="34" fillId="0" borderId="159" xfId="5" applyNumberFormat="1" applyFont="1" applyBorder="1" applyAlignment="1">
      <alignment horizontal="center" vertical="center" wrapText="1"/>
    </xf>
    <xf numFmtId="14" fontId="34" fillId="0" borderId="178" xfId="5" applyNumberFormat="1" applyFont="1" applyBorder="1" applyAlignment="1">
      <alignment horizontal="center" vertical="center"/>
    </xf>
    <xf numFmtId="14" fontId="5" fillId="0" borderId="179" xfId="5" applyNumberFormat="1" applyFont="1" applyBorder="1" applyAlignment="1">
      <alignment horizontal="center" vertical="center"/>
    </xf>
    <xf numFmtId="202" fontId="5" fillId="0" borderId="180" xfId="3" applyNumberFormat="1" applyFont="1" applyBorder="1" applyAlignment="1">
      <alignment horizontal="center" vertical="center"/>
    </xf>
    <xf numFmtId="0" fontId="5" fillId="0" borderId="159" xfId="5" applyFont="1" applyBorder="1" applyAlignment="1">
      <alignment horizontal="center" vertical="center" wrapText="1"/>
    </xf>
    <xf numFmtId="14" fontId="5" fillId="0" borderId="176" xfId="5" applyNumberFormat="1" applyFont="1" applyBorder="1" applyAlignment="1">
      <alignment horizontal="center" vertical="center" wrapText="1"/>
    </xf>
    <xf numFmtId="14" fontId="5" fillId="0" borderId="159" xfId="5" applyNumberFormat="1" applyFont="1" applyBorder="1" applyAlignment="1">
      <alignment horizontal="left" vertical="center"/>
    </xf>
    <xf numFmtId="0" fontId="5" fillId="0" borderId="177" xfId="5" applyFont="1" applyBorder="1" applyAlignment="1">
      <alignment horizontal="center" vertical="center"/>
    </xf>
    <xf numFmtId="0" fontId="5" fillId="0" borderId="176" xfId="5" applyFont="1" applyBorder="1" applyAlignment="1">
      <alignment vertical="center"/>
    </xf>
    <xf numFmtId="0" fontId="5" fillId="0" borderId="177" xfId="5" applyFont="1" applyBorder="1" applyAlignment="1">
      <alignment vertical="center"/>
    </xf>
    <xf numFmtId="14" fontId="5" fillId="0" borderId="176" xfId="5" applyNumberFormat="1" applyFont="1" applyBorder="1" applyAlignment="1">
      <alignment vertical="center" wrapText="1"/>
    </xf>
    <xf numFmtId="192" fontId="5" fillId="8" borderId="177" xfId="5" applyNumberFormat="1" applyFont="1" applyFill="1" applyBorder="1" applyAlignment="1">
      <alignment horizontal="center" vertical="center"/>
    </xf>
    <xf numFmtId="202" fontId="5" fillId="8" borderId="181" xfId="3" applyNumberFormat="1" applyFont="1" applyFill="1" applyBorder="1" applyAlignment="1">
      <alignment vertical="center"/>
    </xf>
    <xf numFmtId="0" fontId="5" fillId="8" borderId="181" xfId="5" applyFont="1" applyFill="1" applyBorder="1" applyAlignment="1">
      <alignment horizontal="center" vertical="center"/>
    </xf>
    <xf numFmtId="202" fontId="5" fillId="0" borderId="177" xfId="3" applyNumberFormat="1" applyFont="1" applyBorder="1" applyAlignment="1">
      <alignment vertical="center" wrapText="1"/>
    </xf>
    <xf numFmtId="0" fontId="5" fillId="0" borderId="181" xfId="5" applyFont="1" applyBorder="1" applyAlignment="1">
      <alignment vertical="center"/>
    </xf>
    <xf numFmtId="0" fontId="5" fillId="0" borderId="182" xfId="5" applyFont="1" applyBorder="1" applyAlignment="1">
      <alignment vertical="center" wrapText="1"/>
    </xf>
    <xf numFmtId="0" fontId="5" fillId="0" borderId="0" xfId="5" applyFont="1"/>
    <xf numFmtId="0" fontId="34" fillId="0" borderId="137" xfId="5" applyFont="1" applyBorder="1" applyAlignment="1">
      <alignment horizontal="center" vertical="center"/>
    </xf>
    <xf numFmtId="0" fontId="5" fillId="13" borderId="159" xfId="5" applyFont="1" applyFill="1" applyBorder="1" applyAlignment="1">
      <alignment horizontal="center" vertical="center"/>
    </xf>
    <xf numFmtId="0" fontId="5" fillId="13" borderId="158" xfId="5" applyFont="1" applyFill="1" applyBorder="1" applyAlignment="1">
      <alignment horizontal="center" vertical="center"/>
    </xf>
    <xf numFmtId="201" fontId="5" fillId="0" borderId="183" xfId="6" applyNumberFormat="1" applyFont="1" applyFill="1" applyBorder="1" applyAlignment="1">
      <alignment vertical="center"/>
    </xf>
    <xf numFmtId="201" fontId="5" fillId="0" borderId="184" xfId="6" applyNumberFormat="1" applyFont="1" applyFill="1" applyBorder="1" applyAlignment="1">
      <alignment vertical="center"/>
    </xf>
    <xf numFmtId="43" fontId="5" fillId="0" borderId="184" xfId="6" applyFont="1" applyFill="1" applyBorder="1" applyAlignment="1">
      <alignment vertical="center"/>
    </xf>
    <xf numFmtId="41" fontId="5" fillId="0" borderId="163" xfId="3" applyFont="1" applyBorder="1" applyAlignment="1">
      <alignment horizontal="center" vertical="center"/>
    </xf>
    <xf numFmtId="41" fontId="5" fillId="0" borderId="163" xfId="3" applyFont="1" applyFill="1" applyBorder="1" applyAlignment="1">
      <alignment horizontal="center" vertical="center"/>
    </xf>
    <xf numFmtId="14" fontId="5" fillId="0" borderId="158" xfId="5" applyNumberFormat="1" applyFont="1" applyBorder="1" applyAlignment="1">
      <alignment horizontal="center" vertical="center"/>
    </xf>
    <xf numFmtId="14" fontId="6" fillId="8" borderId="160" xfId="5" applyNumberFormat="1" applyFont="1" applyFill="1" applyBorder="1" applyAlignment="1">
      <alignment horizontal="center" vertical="center"/>
    </xf>
    <xf numFmtId="14" fontId="6" fillId="0" borderId="164" xfId="5" applyNumberFormat="1" applyFont="1" applyBorder="1" applyAlignment="1">
      <alignment horizontal="center" vertical="center"/>
    </xf>
    <xf numFmtId="0" fontId="5" fillId="0" borderId="158" xfId="5" applyFont="1" applyBorder="1" applyAlignment="1">
      <alignment horizontal="center" vertical="center" wrapText="1"/>
    </xf>
    <xf numFmtId="14" fontId="5" fillId="0" borderId="162" xfId="5" applyNumberFormat="1" applyFont="1" applyBorder="1" applyAlignment="1">
      <alignment horizontal="center" vertical="center" wrapText="1"/>
    </xf>
    <xf numFmtId="0" fontId="5" fillId="0" borderId="167" xfId="5" applyFont="1" applyBorder="1" applyAlignment="1">
      <alignment horizontal="center" vertical="center"/>
    </xf>
    <xf numFmtId="0" fontId="5" fillId="0" borderId="162" xfId="5" applyFont="1" applyBorder="1" applyAlignment="1">
      <alignment vertical="center"/>
    </xf>
    <xf numFmtId="14" fontId="5" fillId="0" borderId="162" xfId="5" applyNumberFormat="1" applyFont="1" applyBorder="1" applyAlignment="1">
      <alignment vertical="center" wrapText="1"/>
    </xf>
    <xf numFmtId="192" fontId="5" fillId="0" borderId="163" xfId="5" applyNumberFormat="1" applyFont="1" applyBorder="1" applyAlignment="1">
      <alignment vertical="center"/>
    </xf>
    <xf numFmtId="202" fontId="5" fillId="0" borderId="167" xfId="3" applyNumberFormat="1" applyFont="1" applyBorder="1" applyAlignment="1">
      <alignment vertical="center"/>
    </xf>
    <xf numFmtId="0" fontId="5" fillId="0" borderId="167" xfId="5" applyFont="1" applyBorder="1" applyAlignment="1">
      <alignment vertical="center" wrapText="1"/>
    </xf>
    <xf numFmtId="202" fontId="5" fillId="0" borderId="163" xfId="3" applyNumberFormat="1" applyFont="1" applyBorder="1" applyAlignment="1">
      <alignment vertical="center" wrapText="1"/>
    </xf>
    <xf numFmtId="0" fontId="5" fillId="0" borderId="158" xfId="5" applyFont="1" applyBorder="1" applyAlignment="1">
      <alignment vertical="center" wrapText="1"/>
    </xf>
    <xf numFmtId="0" fontId="5" fillId="0" borderId="167" xfId="5" applyFont="1" applyBorder="1" applyAlignment="1">
      <alignment vertical="center"/>
    </xf>
    <xf numFmtId="0" fontId="5" fillId="0" borderId="168" xfId="5" applyFont="1" applyBorder="1" applyAlignment="1">
      <alignment vertical="center" wrapText="1"/>
    </xf>
    <xf numFmtId="41" fontId="4" fillId="0" borderId="0" xfId="3" applyFont="1" applyFill="1" applyBorder="1" applyAlignment="1"/>
    <xf numFmtId="41" fontId="9" fillId="0" borderId="0" xfId="3" applyFont="1" applyFill="1" applyBorder="1" applyAlignment="1">
      <alignment horizontal="center" vertical="center"/>
    </xf>
    <xf numFmtId="204" fontId="34" fillId="0" borderId="0" xfId="3" applyNumberFormat="1" applyFont="1" applyFill="1" applyBorder="1" applyAlignment="1">
      <alignment horizontal="center" vertical="center"/>
    </xf>
    <xf numFmtId="41" fontId="8" fillId="0" borderId="0" xfId="3" applyFont="1" applyFill="1" applyBorder="1" applyAlignment="1">
      <alignment horizontal="center" vertical="center"/>
    </xf>
    <xf numFmtId="41" fontId="34" fillId="0" borderId="0" xfId="3" applyFont="1" applyFill="1" applyBorder="1" applyAlignment="1">
      <alignment horizontal="center" vertical="center"/>
    </xf>
    <xf numFmtId="14" fontId="9" fillId="0" borderId="0" xfId="3" applyNumberFormat="1" applyFont="1" applyFill="1" applyBorder="1" applyAlignment="1">
      <alignment horizontal="center" vertical="center"/>
    </xf>
    <xf numFmtId="41" fontId="9" fillId="0" borderId="0" xfId="3" applyFont="1" applyFill="1" applyBorder="1" applyAlignment="1">
      <alignment horizontal="right" vertical="center"/>
    </xf>
    <xf numFmtId="41" fontId="9" fillId="0" borderId="0" xfId="3" applyFont="1" applyFill="1" applyBorder="1" applyAlignment="1">
      <alignment horizontal="left" vertical="center"/>
    </xf>
    <xf numFmtId="0" fontId="5" fillId="16" borderId="0" xfId="5" applyFont="1" applyFill="1"/>
    <xf numFmtId="0" fontId="34" fillId="0" borderId="0" xfId="5" applyFont="1" applyAlignment="1">
      <alignment vertical="center"/>
    </xf>
    <xf numFmtId="0" fontId="5" fillId="0" borderId="0" xfId="5" applyFont="1" applyAlignment="1">
      <alignment vertical="center"/>
    </xf>
    <xf numFmtId="10" fontId="5" fillId="0" borderId="0" xfId="4" applyNumberFormat="1" applyFont="1" applyAlignment="1">
      <alignment vertical="center"/>
    </xf>
    <xf numFmtId="201" fontId="5" fillId="0" borderId="0" xfId="6" applyNumberFormat="1" applyFont="1" applyFill="1" applyBorder="1" applyAlignment="1">
      <alignment vertical="center"/>
    </xf>
    <xf numFmtId="205" fontId="5" fillId="0" borderId="0" xfId="8" applyNumberFormat="1" applyFont="1" applyAlignment="1">
      <alignment vertical="center"/>
    </xf>
    <xf numFmtId="10" fontId="5" fillId="0" borderId="0" xfId="4" applyNumberFormat="1" applyFont="1" applyAlignment="1"/>
    <xf numFmtId="14" fontId="5" fillId="0" borderId="0" xfId="5" applyNumberFormat="1" applyFont="1" applyAlignment="1">
      <alignment horizontal="center" vertical="center"/>
    </xf>
    <xf numFmtId="14" fontId="5" fillId="0" borderId="0" xfId="5" applyNumberFormat="1" applyFont="1" applyAlignment="1">
      <alignment vertical="center"/>
    </xf>
    <xf numFmtId="0" fontId="5" fillId="0" borderId="0" xfId="5" applyFont="1" applyAlignment="1">
      <alignment horizontal="center" vertical="center"/>
    </xf>
    <xf numFmtId="0" fontId="5" fillId="0" borderId="0" xfId="5" applyFont="1" applyAlignment="1">
      <alignment horizontal="right" vertical="center"/>
    </xf>
    <xf numFmtId="0" fontId="5" fillId="0" borderId="0" xfId="5" applyFont="1" applyAlignment="1">
      <alignment horizontal="left" vertical="center"/>
    </xf>
    <xf numFmtId="41" fontId="5" fillId="0" borderId="0" xfId="3" applyFont="1" applyAlignment="1">
      <alignment vertical="center"/>
    </xf>
    <xf numFmtId="0" fontId="5" fillId="14" borderId="0" xfId="5" applyFont="1" applyFill="1"/>
    <xf numFmtId="14" fontId="5" fillId="0" borderId="0" xfId="5" applyNumberFormat="1" applyFont="1" applyAlignment="1">
      <alignment horizontal="center"/>
    </xf>
    <xf numFmtId="14" fontId="5" fillId="0" borderId="0" xfId="5" applyNumberFormat="1" applyFont="1"/>
    <xf numFmtId="0" fontId="5" fillId="0" borderId="0" xfId="5" applyFont="1" applyAlignment="1">
      <alignment horizontal="center"/>
    </xf>
    <xf numFmtId="0" fontId="5" fillId="20" borderId="0" xfId="5" applyFont="1" applyFill="1"/>
    <xf numFmtId="41" fontId="7" fillId="0" borderId="0" xfId="3" applyFont="1" applyFill="1" applyBorder="1" applyAlignment="1">
      <alignment horizontal="left" vertical="center"/>
    </xf>
    <xf numFmtId="41" fontId="5" fillId="0" borderId="0" xfId="3" applyFont="1" applyFill="1" applyBorder="1" applyAlignment="1"/>
    <xf numFmtId="41" fontId="9" fillId="0" borderId="0" xfId="9" applyFont="1" applyFill="1" applyBorder="1" applyAlignment="1">
      <alignment horizontal="center" vertical="center"/>
    </xf>
    <xf numFmtId="41" fontId="35" fillId="0" borderId="0" xfId="3" applyFont="1" applyFill="1">
      <alignment vertical="center"/>
    </xf>
    <xf numFmtId="199" fontId="5" fillId="21" borderId="0" xfId="2" applyFont="1" applyFill="1" applyProtection="1">
      <alignment vertical="center"/>
      <protection locked="0"/>
    </xf>
    <xf numFmtId="0" fontId="9" fillId="18" borderId="115" xfId="5" applyFont="1" applyFill="1" applyBorder="1" applyAlignment="1">
      <alignment horizontal="center" vertical="center"/>
    </xf>
    <xf numFmtId="0" fontId="9" fillId="18" borderId="186" xfId="5" applyFont="1" applyFill="1" applyBorder="1" applyAlignment="1">
      <alignment horizontal="center" vertical="center"/>
    </xf>
    <xf numFmtId="41" fontId="5" fillId="0" borderId="0" xfId="3" applyFont="1" applyFill="1" applyBorder="1" applyAlignment="1">
      <alignment horizontal="center" vertical="center" wrapText="1"/>
    </xf>
    <xf numFmtId="9" fontId="5" fillId="0" borderId="0" xfId="3" applyNumberFormat="1" applyFont="1" applyFill="1" applyBorder="1" applyAlignment="1">
      <alignment horizontal="center" vertical="center"/>
    </xf>
    <xf numFmtId="41" fontId="5" fillId="0" borderId="0" xfId="3" applyFont="1" applyFill="1" applyBorder="1" applyAlignment="1">
      <alignment horizontal="right" vertical="center"/>
    </xf>
    <xf numFmtId="41" fontId="5" fillId="0" borderId="0" xfId="3" applyFont="1" applyFill="1" applyBorder="1" applyAlignment="1">
      <alignment horizontal="left" vertical="center"/>
    </xf>
    <xf numFmtId="41" fontId="5" fillId="0" borderId="0" xfId="3" applyFont="1" applyFill="1" applyBorder="1" applyAlignment="1">
      <alignment horizontal="center" vertical="center"/>
    </xf>
    <xf numFmtId="41" fontId="5" fillId="0" borderId="0" xfId="3" applyFont="1" applyAlignment="1"/>
    <xf numFmtId="0" fontId="9" fillId="18" borderId="127" xfId="5" applyFont="1" applyFill="1" applyBorder="1" applyAlignment="1">
      <alignment horizontal="center" vertical="center"/>
    </xf>
    <xf numFmtId="0" fontId="9" fillId="18" borderId="119" xfId="5" applyFont="1" applyFill="1" applyBorder="1" applyAlignment="1">
      <alignment horizontal="center" vertical="center" wrapText="1"/>
    </xf>
    <xf numFmtId="4" fontId="9" fillId="0" borderId="0" xfId="5" applyNumberFormat="1" applyFont="1" applyAlignment="1">
      <alignment horizontal="center" vertical="center"/>
    </xf>
    <xf numFmtId="4" fontId="9" fillId="0" borderId="0" xfId="5" applyNumberFormat="1" applyFont="1" applyAlignment="1">
      <alignment horizontal="right" vertical="center"/>
    </xf>
    <xf numFmtId="4" fontId="9" fillId="0" borderId="0" xfId="5" applyNumberFormat="1" applyFont="1" applyAlignment="1">
      <alignment horizontal="left" vertical="center"/>
    </xf>
    <xf numFmtId="41" fontId="9" fillId="0" borderId="0" xfId="3" applyFont="1" applyAlignment="1">
      <alignment horizontal="center" vertical="center"/>
    </xf>
    <xf numFmtId="0" fontId="5" fillId="0" borderId="113" xfId="5" applyFont="1" applyBorder="1" applyAlignment="1">
      <alignment horizontal="center" vertical="center"/>
    </xf>
    <xf numFmtId="0" fontId="5" fillId="0" borderId="147" xfId="5" applyFont="1" applyBorder="1" applyAlignment="1">
      <alignment horizontal="center" vertical="center"/>
    </xf>
    <xf numFmtId="0" fontId="5" fillId="0" borderId="191" xfId="5" applyFont="1" applyBorder="1" applyAlignment="1">
      <alignment horizontal="center" vertical="center" wrapText="1"/>
    </xf>
    <xf numFmtId="0" fontId="5" fillId="0" borderId="148" xfId="5" applyFont="1" applyBorder="1" applyAlignment="1">
      <alignment horizontal="center" vertical="center" wrapText="1"/>
    </xf>
    <xf numFmtId="0" fontId="5" fillId="0" borderId="148" xfId="5" applyFont="1" applyBorder="1" applyAlignment="1">
      <alignment horizontal="center" vertical="center"/>
    </xf>
    <xf numFmtId="0" fontId="5" fillId="0" borderId="26" xfId="5" applyFont="1" applyBorder="1" applyAlignment="1">
      <alignment horizontal="center" vertical="center"/>
    </xf>
    <xf numFmtId="14" fontId="5" fillId="0" borderId="192" xfId="5" applyNumberFormat="1" applyFont="1" applyBorder="1" applyAlignment="1">
      <alignment horizontal="center" vertical="center"/>
    </xf>
    <xf numFmtId="14" fontId="5" fillId="0" borderId="193" xfId="5" applyNumberFormat="1" applyFont="1" applyBorder="1" applyAlignment="1">
      <alignment horizontal="center" vertical="center"/>
    </xf>
    <xf numFmtId="202" fontId="5" fillId="0" borderId="194" xfId="3" applyNumberFormat="1" applyFont="1" applyBorder="1" applyAlignment="1">
      <alignment horizontal="center" vertical="center"/>
    </xf>
    <xf numFmtId="0" fontId="5" fillId="0" borderId="26" xfId="5" applyFont="1" applyBorder="1" applyAlignment="1">
      <alignment horizontal="center" vertical="center" wrapText="1"/>
    </xf>
    <xf numFmtId="199" fontId="5" fillId="21" borderId="113" xfId="2" applyFont="1" applyFill="1" applyBorder="1" applyProtection="1">
      <alignment vertical="center"/>
      <protection locked="0"/>
    </xf>
    <xf numFmtId="41" fontId="9" fillId="22" borderId="196" xfId="3" applyFont="1" applyFill="1" applyBorder="1" applyAlignment="1">
      <alignment horizontal="center" vertical="center" wrapText="1"/>
    </xf>
    <xf numFmtId="204" fontId="9" fillId="22" borderId="198" xfId="3" applyNumberFormat="1" applyFont="1" applyFill="1" applyBorder="1" applyAlignment="1">
      <alignment horizontal="center" vertical="center"/>
    </xf>
    <xf numFmtId="204" fontId="9" fillId="22" borderId="199" xfId="3" applyNumberFormat="1" applyFont="1" applyFill="1" applyBorder="1" applyAlignment="1">
      <alignment horizontal="center" vertical="center"/>
    </xf>
    <xf numFmtId="14" fontId="9" fillId="22" borderId="200" xfId="3" applyNumberFormat="1" applyFont="1" applyFill="1" applyBorder="1" applyAlignment="1">
      <alignment horizontal="center" vertical="center"/>
    </xf>
    <xf numFmtId="14" fontId="9" fillId="22" borderId="201" xfId="3" applyNumberFormat="1" applyFont="1" applyFill="1" applyBorder="1" applyAlignment="1">
      <alignment horizontal="center" vertical="center"/>
    </xf>
    <xf numFmtId="202" fontId="9" fillId="22" borderId="197" xfId="3" applyNumberFormat="1" applyFont="1" applyFill="1" applyBorder="1" applyAlignment="1">
      <alignment horizontal="center" vertical="center"/>
    </xf>
    <xf numFmtId="41" fontId="9" fillId="22" borderId="202" xfId="3" applyFont="1" applyFill="1" applyBorder="1" applyAlignment="1">
      <alignment horizontal="center" vertical="center"/>
    </xf>
    <xf numFmtId="43" fontId="5" fillId="0" borderId="159" xfId="6" applyFont="1" applyFill="1" applyBorder="1" applyAlignment="1">
      <alignment vertical="center"/>
    </xf>
    <xf numFmtId="14" fontId="5" fillId="0" borderId="134" xfId="5" applyNumberFormat="1" applyFont="1" applyBorder="1" applyAlignment="1">
      <alignment horizontal="center" vertical="center"/>
    </xf>
    <xf numFmtId="202" fontId="5" fillId="0" borderId="135" xfId="3" applyNumberFormat="1" applyFont="1" applyFill="1" applyBorder="1" applyAlignment="1">
      <alignment horizontal="center" vertical="center"/>
    </xf>
    <xf numFmtId="204" fontId="9" fillId="22" borderId="176" xfId="3" applyNumberFormat="1" applyFont="1" applyFill="1" applyBorder="1" applyAlignment="1">
      <alignment horizontal="center" vertical="center"/>
    </xf>
    <xf numFmtId="204" fontId="9" fillId="22" borderId="209" xfId="3" applyNumberFormat="1" applyFont="1" applyFill="1" applyBorder="1" applyAlignment="1">
      <alignment horizontal="center" vertical="center"/>
    </xf>
    <xf numFmtId="204" fontId="9" fillId="22" borderId="142" xfId="3" applyNumberFormat="1" applyFont="1" applyFill="1" applyBorder="1" applyAlignment="1">
      <alignment horizontal="center" vertical="center"/>
    </xf>
    <xf numFmtId="204" fontId="5" fillId="0" borderId="0" xfId="3" applyNumberFormat="1" applyFont="1" applyProtection="1">
      <alignment vertical="center"/>
      <protection locked="0"/>
    </xf>
    <xf numFmtId="41" fontId="5" fillId="0" borderId="0" xfId="3" applyFont="1" applyFill="1" applyBorder="1" applyProtection="1">
      <alignment vertical="center"/>
      <protection locked="0"/>
    </xf>
    <xf numFmtId="41" fontId="9" fillId="0" borderId="0" xfId="3" applyFont="1" applyFill="1" applyBorder="1" applyAlignment="1">
      <alignment vertical="center"/>
    </xf>
    <xf numFmtId="199" fontId="3" fillId="23" borderId="159" xfId="2" applyFont="1" applyFill="1" applyBorder="1" applyAlignment="1" applyProtection="1">
      <alignment horizontal="center" vertical="center"/>
      <protection locked="0"/>
    </xf>
    <xf numFmtId="10" fontId="34" fillId="0" borderId="159" xfId="1" applyNumberFormat="1" applyFont="1" applyBorder="1" applyProtection="1">
      <alignment vertical="center"/>
    </xf>
    <xf numFmtId="10" fontId="5" fillId="0" borderId="0" xfId="7" applyNumberFormat="1" applyFont="1" applyFill="1" applyBorder="1" applyAlignment="1">
      <alignment horizontal="right" vertical="center"/>
    </xf>
    <xf numFmtId="41" fontId="5" fillId="0" borderId="0" xfId="3" applyFont="1" applyBorder="1" applyAlignment="1">
      <alignment horizontal="center" vertical="center"/>
    </xf>
    <xf numFmtId="10" fontId="5" fillId="0" borderId="0" xfId="7" applyNumberFormat="1" applyFont="1" applyBorder="1" applyAlignment="1">
      <alignment horizontal="right" vertical="center"/>
    </xf>
    <xf numFmtId="14" fontId="34" fillId="0" borderId="0" xfId="3" applyNumberFormat="1" applyFont="1" applyFill="1" applyBorder="1" applyAlignment="1">
      <alignment horizontal="right"/>
    </xf>
    <xf numFmtId="41" fontId="7" fillId="0" borderId="0" xfId="3" applyFont="1" applyFill="1" applyBorder="1" applyAlignment="1">
      <alignment vertical="center"/>
    </xf>
    <xf numFmtId="41" fontId="7" fillId="0" borderId="0" xfId="3" applyFont="1" applyFill="1" applyBorder="1" applyAlignment="1">
      <alignment horizontal="center" vertical="center"/>
    </xf>
    <xf numFmtId="41" fontId="4" fillId="0" borderId="0" xfId="3" applyFont="1" applyFill="1" applyBorder="1" applyAlignment="1">
      <alignment vertical="center"/>
    </xf>
    <xf numFmtId="204" fontId="4" fillId="0" borderId="0" xfId="3" applyNumberFormat="1" applyFont="1" applyFill="1" applyBorder="1" applyAlignment="1">
      <alignment horizontal="center" vertical="center"/>
    </xf>
    <xf numFmtId="41" fontId="4" fillId="0" borderId="0" xfId="3" applyFont="1" applyFill="1" applyBorder="1" applyAlignment="1">
      <alignment horizontal="center" vertical="center"/>
    </xf>
    <xf numFmtId="0" fontId="7" fillId="0" borderId="0" xfId="5" applyFont="1" applyAlignment="1">
      <alignment vertical="center"/>
    </xf>
    <xf numFmtId="204" fontId="7" fillId="0" borderId="0" xfId="3" applyNumberFormat="1" applyFont="1" applyFill="1" applyBorder="1" applyAlignment="1">
      <alignment horizontal="center" vertical="center"/>
    </xf>
    <xf numFmtId="41" fontId="5" fillId="0" borderId="0" xfId="3" applyFont="1" applyBorder="1" applyAlignment="1">
      <alignment vertical="center"/>
    </xf>
    <xf numFmtId="0" fontId="5" fillId="0" borderId="142" xfId="5" applyFont="1" applyBorder="1" applyAlignment="1">
      <alignment vertical="center"/>
    </xf>
    <xf numFmtId="0" fontId="5" fillId="0" borderId="209" xfId="5" applyFont="1" applyBorder="1" applyAlignment="1">
      <alignment vertical="center"/>
    </xf>
    <xf numFmtId="0" fontId="5" fillId="0" borderId="210" xfId="5" applyFont="1" applyBorder="1" applyAlignment="1">
      <alignment vertical="center"/>
    </xf>
    <xf numFmtId="14" fontId="5" fillId="0" borderId="142" xfId="5" applyNumberFormat="1" applyFont="1" applyBorder="1" applyAlignment="1">
      <alignment vertical="center"/>
    </xf>
    <xf numFmtId="14" fontId="5" fillId="0" borderId="209" xfId="5" applyNumberFormat="1" applyFont="1" applyBorder="1" applyAlignment="1">
      <alignment vertical="center"/>
    </xf>
    <xf numFmtId="14" fontId="5" fillId="0" borderId="210" xfId="5" applyNumberFormat="1" applyFont="1" applyBorder="1" applyAlignment="1">
      <alignment vertical="center"/>
    </xf>
    <xf numFmtId="41" fontId="9" fillId="22" borderId="142" xfId="3" applyFont="1" applyFill="1" applyBorder="1" applyAlignment="1">
      <alignment vertical="center" wrapText="1"/>
    </xf>
    <xf numFmtId="41" fontId="9" fillId="22" borderId="209" xfId="3" applyFont="1" applyFill="1" applyBorder="1" applyAlignment="1">
      <alignment vertical="center" wrapText="1"/>
    </xf>
    <xf numFmtId="41" fontId="9" fillId="22" borderId="210" xfId="3" applyFont="1" applyFill="1" applyBorder="1" applyAlignment="1">
      <alignment vertical="center" wrapText="1"/>
    </xf>
    <xf numFmtId="204" fontId="9" fillId="22" borderId="142" xfId="3" applyNumberFormat="1" applyFont="1" applyFill="1" applyBorder="1" applyAlignment="1">
      <alignment vertical="center"/>
    </xf>
    <xf numFmtId="204" fontId="9" fillId="22" borderId="210" xfId="3" applyNumberFormat="1" applyFont="1" applyFill="1" applyBorder="1" applyAlignment="1">
      <alignment vertical="center"/>
    </xf>
    <xf numFmtId="204" fontId="9" fillId="22" borderId="209" xfId="3" applyNumberFormat="1" applyFont="1" applyFill="1" applyBorder="1" applyAlignment="1">
      <alignment vertical="center"/>
    </xf>
    <xf numFmtId="43" fontId="5" fillId="0" borderId="142" xfId="6" applyFont="1" applyFill="1" applyBorder="1" applyAlignment="1">
      <alignment vertical="center"/>
    </xf>
    <xf numFmtId="43" fontId="5" fillId="0" borderId="210" xfId="6" applyFont="1" applyFill="1" applyBorder="1" applyAlignment="1">
      <alignment vertical="center"/>
    </xf>
    <xf numFmtId="0" fontId="9" fillId="18" borderId="186" xfId="5" applyFont="1" applyFill="1" applyBorder="1" applyAlignment="1">
      <alignment vertical="center"/>
    </xf>
    <xf numFmtId="0" fontId="9" fillId="18" borderId="190" xfId="5" applyFont="1" applyFill="1" applyBorder="1" applyAlignment="1">
      <alignment vertical="center"/>
    </xf>
    <xf numFmtId="0" fontId="5" fillId="0" borderId="138" xfId="5" applyFont="1" applyBorder="1" applyAlignment="1">
      <alignment vertical="center"/>
    </xf>
    <xf numFmtId="0" fontId="5" fillId="0" borderId="137" xfId="5" applyFont="1" applyBorder="1" applyAlignment="1">
      <alignment vertical="center"/>
    </xf>
    <xf numFmtId="41" fontId="9" fillId="22" borderId="195" xfId="3" applyFont="1" applyFill="1" applyBorder="1" applyAlignment="1">
      <alignment vertical="center" wrapText="1"/>
    </xf>
    <xf numFmtId="41" fontId="9" fillId="22" borderId="196" xfId="3" applyFont="1" applyFill="1" applyBorder="1" applyAlignment="1">
      <alignment vertical="center" wrapText="1"/>
    </xf>
    <xf numFmtId="41" fontId="9" fillId="22" borderId="197" xfId="3" applyFont="1" applyFill="1" applyBorder="1" applyAlignment="1">
      <alignment vertical="center" wrapText="1"/>
    </xf>
    <xf numFmtId="0" fontId="9" fillId="0" borderId="0" xfId="5" applyFont="1" applyAlignment="1">
      <alignment vertical="center"/>
    </xf>
    <xf numFmtId="0" fontId="9" fillId="18" borderId="138" xfId="5" applyFont="1" applyFill="1" applyBorder="1" applyAlignment="1">
      <alignment vertical="center"/>
    </xf>
    <xf numFmtId="0" fontId="9" fillId="18" borderId="25" xfId="5" applyFont="1" applyFill="1" applyBorder="1" applyAlignment="1">
      <alignment vertical="center"/>
    </xf>
    <xf numFmtId="0" fontId="9" fillId="18" borderId="203" xfId="5" applyFont="1" applyFill="1" applyBorder="1" applyAlignment="1">
      <alignment vertical="center"/>
    </xf>
    <xf numFmtId="0" fontId="9" fillId="18" borderId="165" xfId="5" applyFont="1" applyFill="1" applyBorder="1" applyAlignment="1">
      <alignment vertical="center"/>
    </xf>
    <xf numFmtId="0" fontId="9" fillId="18" borderId="77" xfId="5" applyFont="1" applyFill="1" applyBorder="1" applyAlignment="1">
      <alignment vertical="center"/>
    </xf>
    <xf numFmtId="0" fontId="9" fillId="18" borderId="128" xfId="5" applyFont="1" applyFill="1" applyBorder="1" applyAlignment="1">
      <alignment vertical="center"/>
    </xf>
    <xf numFmtId="0" fontId="9" fillId="18" borderId="204" xfId="5" applyFont="1" applyFill="1" applyBorder="1" applyAlignment="1">
      <alignment vertical="center" wrapText="1"/>
    </xf>
    <xf numFmtId="0" fontId="9" fillId="18" borderId="205" xfId="5" applyFont="1" applyFill="1" applyBorder="1" applyAlignment="1">
      <alignment vertical="center" wrapText="1"/>
    </xf>
    <xf numFmtId="0" fontId="9" fillId="18" borderId="206" xfId="5" applyFont="1" applyFill="1" applyBorder="1" applyAlignment="1">
      <alignment vertical="center" wrapText="1"/>
    </xf>
    <xf numFmtId="14" fontId="9" fillId="18" borderId="204" xfId="5" applyNumberFormat="1" applyFont="1" applyFill="1" applyBorder="1" applyAlignment="1">
      <alignment vertical="center"/>
    </xf>
    <xf numFmtId="14" fontId="9" fillId="18" borderId="205" xfId="5" applyNumberFormat="1" applyFont="1" applyFill="1" applyBorder="1" applyAlignment="1">
      <alignment vertical="center"/>
    </xf>
    <xf numFmtId="14" fontId="9" fillId="18" borderId="206" xfId="5" applyNumberFormat="1" applyFont="1" applyFill="1" applyBorder="1" applyAlignment="1">
      <alignment vertical="center"/>
    </xf>
    <xf numFmtId="14" fontId="9" fillId="18" borderId="207" xfId="5" applyNumberFormat="1" applyFont="1" applyFill="1" applyBorder="1" applyAlignment="1">
      <alignment vertical="center"/>
    </xf>
    <xf numFmtId="14" fontId="9" fillId="18" borderId="25" xfId="5" applyNumberFormat="1" applyFont="1" applyFill="1" applyBorder="1" applyAlignment="1">
      <alignment vertical="center"/>
    </xf>
    <xf numFmtId="14" fontId="9" fillId="18" borderId="137" xfId="5" applyNumberFormat="1" applyFont="1" applyFill="1" applyBorder="1" applyAlignment="1">
      <alignment vertical="center"/>
    </xf>
    <xf numFmtId="14" fontId="9" fillId="18" borderId="127" xfId="5" applyNumberFormat="1" applyFont="1" applyFill="1" applyBorder="1" applyAlignment="1">
      <alignment vertical="center"/>
    </xf>
    <xf numFmtId="14" fontId="9" fillId="18" borderId="77" xfId="5" applyNumberFormat="1" applyFont="1" applyFill="1" applyBorder="1" applyAlignment="1">
      <alignment vertical="center"/>
    </xf>
    <xf numFmtId="14" fontId="9" fillId="18" borderId="78" xfId="5" applyNumberFormat="1" applyFont="1" applyFill="1" applyBorder="1" applyAlignment="1">
      <alignment vertical="center"/>
    </xf>
    <xf numFmtId="0" fontId="9" fillId="18" borderId="208" xfId="5" applyFont="1" applyFill="1" applyBorder="1" applyAlignment="1">
      <alignment vertical="center" wrapText="1"/>
    </xf>
    <xf numFmtId="0" fontId="9" fillId="18" borderId="119" xfId="5" applyFont="1" applyFill="1" applyBorder="1" applyAlignment="1">
      <alignment vertical="center" wrapText="1"/>
    </xf>
    <xf numFmtId="203" fontId="5" fillId="8" borderId="142" xfId="5" applyNumberFormat="1" applyFont="1" applyFill="1" applyBorder="1" applyAlignment="1">
      <alignment vertical="center"/>
    </xf>
    <xf numFmtId="203" fontId="37" fillId="8" borderId="143" xfId="5" applyNumberFormat="1" applyFont="1" applyFill="1" applyBorder="1" applyAlignment="1">
      <alignment vertical="center"/>
    </xf>
    <xf numFmtId="203" fontId="37" fillId="0" borderId="142" xfId="5" applyNumberFormat="1" applyFont="1" applyBorder="1" applyAlignment="1">
      <alignment vertical="center"/>
    </xf>
    <xf numFmtId="203" fontId="37" fillId="0" borderId="143" xfId="5" applyNumberFormat="1" applyFont="1" applyBorder="1" applyAlignment="1">
      <alignment vertical="center"/>
    </xf>
    <xf numFmtId="0" fontId="9" fillId="0" borderId="113" xfId="5" applyFont="1" applyBorder="1" applyAlignment="1">
      <alignment vertical="center"/>
    </xf>
    <xf numFmtId="0" fontId="9" fillId="18" borderId="185" xfId="5" applyFont="1" applyFill="1" applyBorder="1" applyAlignment="1">
      <alignment vertical="center"/>
    </xf>
    <xf numFmtId="0" fontId="9" fillId="18" borderId="189" xfId="5" applyFont="1" applyFill="1" applyBorder="1" applyAlignment="1">
      <alignment vertical="center"/>
    </xf>
    <xf numFmtId="0" fontId="9" fillId="18" borderId="115" xfId="5" applyFont="1" applyFill="1" applyBorder="1" applyAlignment="1">
      <alignment vertical="center"/>
    </xf>
    <xf numFmtId="0" fontId="9" fillId="18" borderId="120" xfId="5" applyFont="1" applyFill="1" applyBorder="1" applyAlignment="1">
      <alignment vertical="center"/>
    </xf>
    <xf numFmtId="0" fontId="9" fillId="18" borderId="187" xfId="5" applyFont="1" applyFill="1" applyBorder="1" applyAlignment="1">
      <alignment vertical="center"/>
    </xf>
    <xf numFmtId="0" fontId="9" fillId="18" borderId="127" xfId="5" applyFont="1" applyFill="1" applyBorder="1" applyAlignment="1">
      <alignment vertical="center"/>
    </xf>
    <xf numFmtId="0" fontId="9" fillId="18" borderId="188" xfId="5" applyFont="1" applyFill="1" applyBorder="1" applyAlignment="1">
      <alignment vertical="center" wrapText="1"/>
    </xf>
    <xf numFmtId="0" fontId="9" fillId="18" borderId="114" xfId="5" applyFont="1" applyFill="1" applyBorder="1" applyAlignment="1">
      <alignment vertical="center" wrapText="1"/>
    </xf>
    <xf numFmtId="14" fontId="9" fillId="18" borderId="115" xfId="5" applyNumberFormat="1" applyFont="1" applyFill="1" applyBorder="1" applyAlignment="1">
      <alignment vertical="center"/>
    </xf>
    <xf numFmtId="43" fontId="5" fillId="0" borderId="171" xfId="6" applyFont="1" applyFill="1" applyBorder="1" applyAlignment="1">
      <alignment vertical="center"/>
    </xf>
    <xf numFmtId="43" fontId="5" fillId="0" borderId="172" xfId="6" applyFont="1" applyFill="1" applyBorder="1" applyAlignment="1">
      <alignment vertical="center"/>
    </xf>
    <xf numFmtId="43" fontId="5" fillId="0" borderId="135" xfId="6" applyFont="1" applyFill="1" applyBorder="1" applyAlignment="1">
      <alignment vertical="center" wrapText="1"/>
    </xf>
    <xf numFmtId="43" fontId="5" fillId="0" borderId="150" xfId="6" applyFont="1" applyFill="1" applyBorder="1" applyAlignment="1">
      <alignment vertical="center" wrapText="1"/>
    </xf>
    <xf numFmtId="43" fontId="5" fillId="0" borderId="161" xfId="6" applyFont="1" applyFill="1" applyBorder="1" applyAlignment="1">
      <alignment vertical="center" wrapText="1"/>
    </xf>
    <xf numFmtId="0" fontId="5" fillId="0" borderId="151" xfId="5" applyFont="1" applyBorder="1" applyAlignment="1">
      <alignment vertical="center" wrapText="1"/>
    </xf>
    <xf numFmtId="0" fontId="5" fillId="0" borderId="157" xfId="5" applyFont="1" applyBorder="1" applyAlignment="1">
      <alignment vertical="center" wrapText="1"/>
    </xf>
    <xf numFmtId="14" fontId="5" fillId="0" borderId="131" xfId="5" applyNumberFormat="1" applyFont="1" applyBorder="1" applyAlignment="1">
      <alignment vertical="center"/>
    </xf>
    <xf numFmtId="14" fontId="5" fillId="0" borderId="148" xfId="5" applyNumberFormat="1" applyFont="1" applyBorder="1" applyAlignment="1">
      <alignment vertical="center"/>
    </xf>
    <xf numFmtId="14" fontId="5" fillId="0" borderId="158" xfId="5" applyNumberFormat="1" applyFont="1" applyBorder="1" applyAlignment="1">
      <alignment vertical="center"/>
    </xf>
    <xf numFmtId="0" fontId="5" fillId="8" borderId="145" xfId="5" applyFont="1" applyFill="1" applyBorder="1" applyAlignment="1">
      <alignment vertical="center"/>
    </xf>
    <xf numFmtId="0" fontId="5" fillId="8" borderId="156" xfId="5" applyFont="1" applyFill="1" applyBorder="1" applyAlignment="1">
      <alignment vertical="center"/>
    </xf>
    <xf numFmtId="0" fontId="5" fillId="8" borderId="167" xfId="5" applyFont="1" applyFill="1" applyBorder="1" applyAlignment="1">
      <alignment vertical="center"/>
    </xf>
    <xf numFmtId="202" fontId="5" fillId="0" borderId="141" xfId="3" applyNumberFormat="1" applyFont="1" applyBorder="1" applyAlignment="1">
      <alignment vertical="center" wrapText="1"/>
    </xf>
    <xf numFmtId="202" fontId="5" fillId="0" borderId="153" xfId="3" applyNumberFormat="1" applyFont="1" applyBorder="1" applyAlignment="1">
      <alignment vertical="center" wrapText="1"/>
    </xf>
    <xf numFmtId="0" fontId="5" fillId="0" borderId="131" xfId="5" applyFont="1" applyBorder="1" applyAlignment="1">
      <alignment vertical="center" wrapText="1"/>
    </xf>
    <xf numFmtId="0" fontId="5" fillId="0" borderId="148" xfId="5" applyFont="1" applyBorder="1" applyAlignment="1">
      <alignment vertical="center" wrapText="1"/>
    </xf>
    <xf numFmtId="0" fontId="5" fillId="0" borderId="136" xfId="5" applyFont="1" applyBorder="1" applyAlignment="1">
      <alignment vertical="center"/>
    </xf>
    <xf numFmtId="0" fontId="5" fillId="0" borderId="152" xfId="5" applyFont="1" applyBorder="1" applyAlignment="1">
      <alignment vertical="center"/>
    </xf>
    <xf numFmtId="0" fontId="5" fillId="0" borderId="145" xfId="5" applyFont="1" applyBorder="1" applyAlignment="1">
      <alignment vertical="center"/>
    </xf>
    <xf numFmtId="0" fontId="5" fillId="0" borderId="156" xfId="5" applyFont="1" applyBorder="1" applyAlignment="1">
      <alignment vertical="center"/>
    </xf>
    <xf numFmtId="202" fontId="5" fillId="8" borderId="145" xfId="3" applyNumberFormat="1" applyFont="1" applyFill="1" applyBorder="1" applyAlignment="1">
      <alignment vertical="center"/>
    </xf>
    <xf numFmtId="202" fontId="5" fillId="8" borderId="156" xfId="3" applyNumberFormat="1" applyFont="1" applyFill="1" applyBorder="1" applyAlignment="1">
      <alignment vertical="center"/>
    </xf>
    <xf numFmtId="202" fontId="5" fillId="8" borderId="167" xfId="3" applyNumberFormat="1" applyFont="1" applyFill="1" applyBorder="1" applyAlignment="1">
      <alignment vertical="center"/>
    </xf>
    <xf numFmtId="0" fontId="9" fillId="18" borderId="115" xfId="5" applyFont="1" applyFill="1" applyBorder="1" applyAlignment="1">
      <alignment vertical="center" wrapText="1"/>
    </xf>
    <xf numFmtId="0" fontId="9" fillId="18" borderId="120" xfId="5" applyFont="1" applyFill="1" applyBorder="1" applyAlignment="1">
      <alignment vertical="center" wrapText="1"/>
    </xf>
    <xf numFmtId="0" fontId="9" fillId="18" borderId="118" xfId="5" applyFont="1" applyFill="1" applyBorder="1" applyAlignment="1">
      <alignment vertical="center"/>
    </xf>
    <xf numFmtId="0" fontId="9" fillId="18" borderId="129" xfId="5" applyFont="1" applyFill="1" applyBorder="1" applyAlignment="1">
      <alignment vertical="center"/>
    </xf>
    <xf numFmtId="14" fontId="9" fillId="18" borderId="128" xfId="5" applyNumberFormat="1" applyFont="1" applyFill="1" applyBorder="1" applyAlignment="1">
      <alignment vertical="center"/>
    </xf>
    <xf numFmtId="0" fontId="5" fillId="0" borderId="113" xfId="5" applyFont="1" applyBorder="1" applyAlignment="1">
      <alignment vertical="center"/>
    </xf>
    <xf numFmtId="43" fontId="5" fillId="0" borderId="134" xfId="6" applyFont="1" applyFill="1" applyBorder="1" applyAlignment="1">
      <alignment vertical="center"/>
    </xf>
    <xf numFmtId="43" fontId="5" fillId="0" borderId="149" xfId="6" applyFont="1" applyFill="1" applyBorder="1" applyAlignment="1">
      <alignment vertical="center"/>
    </xf>
    <xf numFmtId="43" fontId="5" fillId="0" borderId="160" xfId="6" applyFont="1" applyFill="1" applyBorder="1" applyAlignment="1">
      <alignment vertical="center"/>
    </xf>
    <xf numFmtId="14" fontId="9" fillId="18" borderId="115" xfId="5" applyNumberFormat="1" applyFont="1" applyFill="1" applyBorder="1" applyAlignment="1">
      <alignment vertical="center" wrapText="1"/>
    </xf>
    <xf numFmtId="14" fontId="9" fillId="18" borderId="120" xfId="5" applyNumberFormat="1" applyFont="1" applyFill="1" applyBorder="1" applyAlignment="1">
      <alignment vertical="center" wrapText="1"/>
    </xf>
    <xf numFmtId="0" fontId="3" fillId="18" borderId="117" xfId="5" applyFont="1" applyFill="1" applyBorder="1" applyAlignment="1">
      <alignment vertical="center"/>
    </xf>
    <xf numFmtId="0" fontId="3" fillId="18" borderId="114" xfId="5" applyFont="1" applyFill="1" applyBorder="1" applyAlignment="1">
      <alignment vertical="center"/>
    </xf>
    <xf numFmtId="3" fontId="9" fillId="18" borderId="115" xfId="5" applyNumberFormat="1" applyFont="1" applyFill="1" applyBorder="1" applyAlignment="1">
      <alignment vertical="center"/>
    </xf>
    <xf numFmtId="0" fontId="9" fillId="18" borderId="114" xfId="5" applyFont="1" applyFill="1" applyBorder="1" applyAlignment="1">
      <alignment vertical="center"/>
    </xf>
    <xf numFmtId="0" fontId="9" fillId="18" borderId="119" xfId="5" applyFont="1" applyFill="1" applyBorder="1" applyAlignment="1">
      <alignment vertical="center"/>
    </xf>
    <xf numFmtId="0" fontId="9" fillId="18" borderId="116" xfId="5" applyFont="1" applyFill="1" applyBorder="1" applyAlignment="1">
      <alignment vertical="center"/>
    </xf>
    <xf numFmtId="0" fontId="9" fillId="18" borderId="121" xfId="5" applyFont="1" applyFill="1" applyBorder="1" applyAlignment="1">
      <alignment vertical="center"/>
    </xf>
    <xf numFmtId="0" fontId="11" fillId="0" borderId="211" xfId="0" applyFont="1" applyBorder="1">
      <alignment vertical="center"/>
    </xf>
    <xf numFmtId="0" fontId="11" fillId="0" borderId="35" xfId="0" applyFont="1" applyBorder="1">
      <alignment vertical="center"/>
    </xf>
    <xf numFmtId="191" fontId="11" fillId="0" borderId="35" xfId="0" applyNumberFormat="1" applyFont="1" applyBorder="1">
      <alignment vertical="center"/>
    </xf>
    <xf numFmtId="184" fontId="11" fillId="0" borderId="212" xfId="0" applyNumberFormat="1" applyFont="1" applyBorder="1" applyAlignment="1">
      <alignment horizontal="right" vertical="center"/>
    </xf>
    <xf numFmtId="184" fontId="11" fillId="0" borderId="27" xfId="0" applyNumberFormat="1" applyFont="1" applyBorder="1" applyAlignment="1">
      <alignment horizontal="right" vertical="center"/>
    </xf>
    <xf numFmtId="0" fontId="11" fillId="0" borderId="213" xfId="0" applyFont="1" applyBorder="1">
      <alignment vertical="center"/>
    </xf>
    <xf numFmtId="0" fontId="11" fillId="0" borderId="214" xfId="0" applyFont="1" applyBorder="1">
      <alignment vertical="center"/>
    </xf>
    <xf numFmtId="191" fontId="11" fillId="0" borderId="214" xfId="0" applyNumberFormat="1" applyFont="1" applyBorder="1">
      <alignment vertical="center"/>
    </xf>
    <xf numFmtId="184" fontId="11" fillId="0" borderId="215" xfId="0" applyNumberFormat="1" applyFont="1" applyBorder="1" applyAlignment="1">
      <alignment horizontal="right" vertical="center"/>
    </xf>
    <xf numFmtId="10" fontId="11" fillId="0" borderId="53" xfId="0" applyNumberFormat="1" applyFont="1" applyBorder="1">
      <alignment vertical="center"/>
    </xf>
    <xf numFmtId="192" fontId="11" fillId="0" borderId="53" xfId="0" applyNumberFormat="1" applyFont="1" applyBorder="1">
      <alignment vertical="center"/>
    </xf>
    <xf numFmtId="187" fontId="11" fillId="11" borderId="27" xfId="0" applyNumberFormat="1" applyFont="1" applyFill="1" applyBorder="1" applyAlignment="1">
      <alignment horizontal="right" vertical="center"/>
    </xf>
    <xf numFmtId="0" fontId="23" fillId="0" borderId="77" xfId="0" applyFont="1" applyBorder="1">
      <alignment vertical="center"/>
    </xf>
    <xf numFmtId="184" fontId="11" fillId="0" borderId="107" xfId="0" applyNumberFormat="1" applyFont="1" applyBorder="1" applyAlignment="1">
      <alignment horizontal="right" vertical="center"/>
    </xf>
    <xf numFmtId="206" fontId="11" fillId="0" borderId="107" xfId="0" applyNumberFormat="1" applyFont="1" applyBorder="1" applyAlignment="1">
      <alignment horizontal="right" vertical="center"/>
    </xf>
    <xf numFmtId="0" fontId="14" fillId="5" borderId="20" xfId="0" applyFont="1" applyFill="1" applyBorder="1">
      <alignment vertical="center"/>
    </xf>
    <xf numFmtId="0" fontId="14" fillId="6" borderId="60" xfId="0" applyFont="1" applyFill="1" applyBorder="1" applyAlignment="1">
      <alignment horizontal="left" vertical="center"/>
    </xf>
    <xf numFmtId="185" fontId="14" fillId="0" borderId="0" xfId="0" applyNumberFormat="1" applyFont="1" applyAlignment="1">
      <alignment horizontal="center" vertical="center"/>
    </xf>
    <xf numFmtId="0" fontId="11" fillId="0" borderId="17" xfId="0" applyFont="1" applyBorder="1">
      <alignment vertical="center"/>
    </xf>
    <xf numFmtId="185" fontId="15" fillId="0" borderId="18" xfId="0" applyNumberFormat="1" applyFont="1" applyBorder="1" applyAlignment="1">
      <alignment horizontal="center" vertical="center"/>
    </xf>
    <xf numFmtId="0" fontId="23" fillId="0" borderId="18" xfId="0" applyFont="1" applyBorder="1">
      <alignment vertical="center"/>
    </xf>
    <xf numFmtId="183" fontId="11" fillId="0" borderId="16" xfId="0" applyNumberFormat="1" applyFont="1" applyBorder="1" applyAlignment="1">
      <alignment horizontal="left" vertical="center"/>
    </xf>
    <xf numFmtId="0" fontId="13" fillId="4" borderId="108" xfId="0" applyFont="1" applyFill="1" applyBorder="1" applyAlignment="1">
      <alignment horizontal="center" vertical="center"/>
    </xf>
    <xf numFmtId="0" fontId="14" fillId="5" borderId="216" xfId="0" applyFont="1" applyFill="1" applyBorder="1" applyAlignment="1">
      <alignment horizontal="center" vertical="center"/>
    </xf>
    <xf numFmtId="184" fontId="11" fillId="6" borderId="217" xfId="0" applyNumberFormat="1" applyFont="1" applyFill="1" applyBorder="1" applyAlignment="1">
      <alignment horizontal="right" vertical="center"/>
    </xf>
    <xf numFmtId="0" fontId="11" fillId="6" borderId="217" xfId="0" applyFont="1" applyFill="1" applyBorder="1">
      <alignment vertical="center"/>
    </xf>
    <xf numFmtId="184" fontId="11" fillId="0" borderId="0" xfId="0" applyNumberFormat="1" applyFont="1" applyAlignment="1">
      <alignment horizontal="left" vertical="center"/>
    </xf>
    <xf numFmtId="3" fontId="11" fillId="6" borderId="217" xfId="0" applyNumberFormat="1" applyFont="1" applyFill="1" applyBorder="1" applyAlignment="1">
      <alignment horizontal="right" vertical="center"/>
    </xf>
    <xf numFmtId="9" fontId="11" fillId="0" borderId="0" xfId="0" applyNumberFormat="1" applyFont="1" applyAlignment="1">
      <alignment horizontal="right" vertical="center"/>
    </xf>
    <xf numFmtId="207" fontId="11" fillId="0" borderId="7" xfId="0" applyNumberFormat="1" applyFont="1" applyBorder="1">
      <alignment vertical="center"/>
    </xf>
    <xf numFmtId="208" fontId="11" fillId="0" borderId="7" xfId="0" applyNumberFormat="1" applyFont="1" applyBorder="1">
      <alignment vertical="center"/>
    </xf>
    <xf numFmtId="209" fontId="11" fillId="0" borderId="7" xfId="0" applyNumberFormat="1" applyFont="1" applyBorder="1">
      <alignment vertical="center"/>
    </xf>
    <xf numFmtId="210" fontId="11" fillId="0" borderId="11" xfId="0" applyNumberFormat="1" applyFont="1" applyBorder="1">
      <alignment vertical="center"/>
    </xf>
    <xf numFmtId="176" fontId="20" fillId="12" borderId="9" xfId="0" applyNumberFormat="1" applyFont="1" applyFill="1" applyBorder="1">
      <alignment vertical="center"/>
    </xf>
    <xf numFmtId="0" fontId="13" fillId="4" borderId="219" xfId="0" applyFont="1" applyFill="1" applyBorder="1">
      <alignment vertical="center"/>
    </xf>
    <xf numFmtId="0" fontId="14" fillId="5" borderId="19" xfId="0" applyFont="1" applyFill="1" applyBorder="1" applyAlignment="1">
      <alignment horizontal="left" vertical="center"/>
    </xf>
    <xf numFmtId="0" fontId="11" fillId="0" borderId="221" xfId="0" applyFont="1" applyBorder="1">
      <alignment vertical="center"/>
    </xf>
    <xf numFmtId="0" fontId="13" fillId="24" borderId="13" xfId="0" applyFont="1" applyFill="1" applyBorder="1" applyAlignment="1">
      <alignment horizontal="centerContinuous" vertical="center"/>
    </xf>
    <xf numFmtId="187" fontId="38" fillId="10" borderId="0" xfId="0" applyNumberFormat="1" applyFont="1" applyFill="1">
      <alignment vertical="center"/>
    </xf>
    <xf numFmtId="0" fontId="39" fillId="10" borderId="0" xfId="0" applyFont="1" applyFill="1">
      <alignment vertical="center"/>
    </xf>
    <xf numFmtId="0" fontId="40" fillId="15" borderId="0" xfId="0" applyFont="1" applyFill="1">
      <alignment vertical="center"/>
    </xf>
    <xf numFmtId="0" fontId="39" fillId="0" borderId="0" xfId="0" applyFont="1">
      <alignment vertical="center"/>
    </xf>
    <xf numFmtId="0" fontId="41" fillId="3" borderId="0" xfId="0" applyFont="1" applyFill="1">
      <alignment vertical="center"/>
    </xf>
    <xf numFmtId="0" fontId="42" fillId="3" borderId="0" xfId="0" applyFont="1" applyFill="1">
      <alignment vertical="center"/>
    </xf>
    <xf numFmtId="14" fontId="42" fillId="3" borderId="0" xfId="0" applyNumberFormat="1" applyFont="1" applyFill="1">
      <alignment vertical="center"/>
    </xf>
    <xf numFmtId="176" fontId="42" fillId="3" borderId="0" xfId="0" applyNumberFormat="1" applyFont="1" applyFill="1">
      <alignment vertical="center"/>
    </xf>
    <xf numFmtId="0" fontId="39" fillId="3" borderId="0" xfId="0" applyFont="1" applyFill="1">
      <alignment vertical="center"/>
    </xf>
    <xf numFmtId="14" fontId="42" fillId="3" borderId="0" xfId="0" applyNumberFormat="1" applyFont="1" applyFill="1" applyAlignment="1">
      <alignment horizontal="center" vertical="center"/>
    </xf>
    <xf numFmtId="14" fontId="39" fillId="0" borderId="0" xfId="0" applyNumberFormat="1" applyFont="1">
      <alignment vertical="center"/>
    </xf>
    <xf numFmtId="0" fontId="43" fillId="5" borderId="0" xfId="0" applyFont="1" applyFill="1">
      <alignment vertical="center"/>
    </xf>
    <xf numFmtId="0" fontId="44" fillId="5" borderId="0" xfId="0" applyFont="1" applyFill="1">
      <alignment vertical="center"/>
    </xf>
    <xf numFmtId="14" fontId="44" fillId="5" borderId="0" xfId="0" applyNumberFormat="1" applyFont="1" applyFill="1">
      <alignment vertical="center"/>
    </xf>
    <xf numFmtId="176" fontId="44" fillId="5" borderId="0" xfId="0" applyNumberFormat="1" applyFont="1" applyFill="1">
      <alignment vertical="center"/>
    </xf>
    <xf numFmtId="0" fontId="44" fillId="5" borderId="0" xfId="0" applyFont="1" applyFill="1" applyAlignment="1">
      <alignment horizontal="center" vertical="center"/>
    </xf>
    <xf numFmtId="177" fontId="44" fillId="5" borderId="0" xfId="0" applyNumberFormat="1" applyFont="1" applyFill="1" applyAlignment="1">
      <alignment horizontal="center" vertical="center"/>
    </xf>
    <xf numFmtId="178" fontId="44" fillId="5" borderId="0" xfId="0" applyNumberFormat="1" applyFont="1" applyFill="1" applyAlignment="1">
      <alignment horizontal="center" vertical="center"/>
    </xf>
    <xf numFmtId="179" fontId="44" fillId="5" borderId="0" xfId="0" applyNumberFormat="1" applyFont="1" applyFill="1" applyAlignment="1">
      <alignment horizontal="center" vertical="center"/>
    </xf>
    <xf numFmtId="180" fontId="44" fillId="5" borderId="0" xfId="0" applyNumberFormat="1" applyFont="1" applyFill="1" applyAlignment="1">
      <alignment horizontal="center" vertical="center"/>
    </xf>
    <xf numFmtId="0" fontId="45" fillId="0" borderId="0" xfId="0" applyFont="1">
      <alignment vertical="center"/>
    </xf>
    <xf numFmtId="176" fontId="39" fillId="0" borderId="0" xfId="0" applyNumberFormat="1" applyFont="1">
      <alignment vertical="center"/>
    </xf>
    <xf numFmtId="0" fontId="41" fillId="4" borderId="0" xfId="0" applyFont="1" applyFill="1">
      <alignment vertical="center"/>
    </xf>
    <xf numFmtId="14" fontId="41" fillId="4" borderId="0" xfId="0" applyNumberFormat="1" applyFont="1" applyFill="1">
      <alignment vertical="center"/>
    </xf>
    <xf numFmtId="176" fontId="41" fillId="4" borderId="0" xfId="0" applyNumberFormat="1" applyFont="1" applyFill="1">
      <alignment vertical="center"/>
    </xf>
    <xf numFmtId="0" fontId="41" fillId="4" borderId="1" xfId="0" applyFont="1" applyFill="1" applyBorder="1" applyAlignment="1">
      <alignment horizontal="center" vertical="center"/>
    </xf>
    <xf numFmtId="14" fontId="42" fillId="4" borderId="2" xfId="0" applyNumberFormat="1" applyFont="1" applyFill="1" applyBorder="1" applyAlignment="1">
      <alignment horizontal="center" vertical="center"/>
    </xf>
    <xf numFmtId="0" fontId="39" fillId="5" borderId="3" xfId="0" applyFont="1" applyFill="1" applyBorder="1">
      <alignment vertical="center"/>
    </xf>
    <xf numFmtId="0" fontId="39" fillId="5" borderId="4" xfId="0" applyFont="1" applyFill="1" applyBorder="1">
      <alignment vertical="center"/>
    </xf>
    <xf numFmtId="14" fontId="39" fillId="5" borderId="4" xfId="0" applyNumberFormat="1" applyFont="1" applyFill="1" applyBorder="1">
      <alignment vertical="center"/>
    </xf>
    <xf numFmtId="176" fontId="39" fillId="5" borderId="4" xfId="0" applyNumberFormat="1" applyFont="1" applyFill="1" applyBorder="1">
      <alignment vertical="center"/>
    </xf>
    <xf numFmtId="41" fontId="39" fillId="5" borderId="1" xfId="0" applyNumberFormat="1" applyFont="1" applyFill="1" applyBorder="1">
      <alignment vertical="center"/>
    </xf>
    <xf numFmtId="41" fontId="39" fillId="0" borderId="0" xfId="0" applyNumberFormat="1" applyFont="1">
      <alignment vertical="center"/>
    </xf>
    <xf numFmtId="176" fontId="39" fillId="5" borderId="5" xfId="0" applyNumberFormat="1" applyFont="1" applyFill="1" applyBorder="1">
      <alignment vertical="center"/>
    </xf>
    <xf numFmtId="0" fontId="39" fillId="5" borderId="6" xfId="0" applyFont="1" applyFill="1" applyBorder="1">
      <alignment vertical="center"/>
    </xf>
    <xf numFmtId="183" fontId="39" fillId="0" borderId="3" xfId="0" applyNumberFormat="1" applyFont="1" applyBorder="1" applyAlignment="1">
      <alignment horizontal="left" vertical="center"/>
    </xf>
    <xf numFmtId="0" fontId="39" fillId="0" borderId="4" xfId="0" applyFont="1" applyBorder="1">
      <alignment vertical="center"/>
    </xf>
    <xf numFmtId="211" fontId="46" fillId="0" borderId="4" xfId="0" applyNumberFormat="1" applyFont="1" applyBorder="1" applyAlignment="1">
      <alignment horizontal="right" vertical="center"/>
    </xf>
    <xf numFmtId="14" fontId="46" fillId="0" borderId="4" xfId="0" applyNumberFormat="1" applyFont="1" applyBorder="1" applyAlignment="1">
      <alignment horizontal="right" vertical="center"/>
    </xf>
    <xf numFmtId="10" fontId="39" fillId="0" borderId="4" xfId="0" applyNumberFormat="1" applyFont="1" applyBorder="1">
      <alignment vertical="center"/>
    </xf>
    <xf numFmtId="176" fontId="39" fillId="0" borderId="4" xfId="0" applyNumberFormat="1" applyFont="1" applyBorder="1">
      <alignment vertical="center"/>
    </xf>
    <xf numFmtId="176" fontId="39" fillId="0" borderId="1" xfId="0" applyNumberFormat="1" applyFont="1" applyBorder="1">
      <alignment vertical="center"/>
    </xf>
    <xf numFmtId="183" fontId="39" fillId="0" borderId="6" xfId="0" applyNumberFormat="1" applyFont="1" applyBorder="1" applyAlignment="1">
      <alignment horizontal="left" vertical="center"/>
    </xf>
    <xf numFmtId="211" fontId="46" fillId="0" borderId="0" xfId="0" applyNumberFormat="1" applyFont="1" applyAlignment="1">
      <alignment horizontal="right" vertical="center"/>
    </xf>
    <xf numFmtId="14" fontId="46" fillId="0" borderId="0" xfId="0" applyNumberFormat="1" applyFont="1" applyAlignment="1">
      <alignment horizontal="right" vertical="center"/>
    </xf>
    <xf numFmtId="10" fontId="39" fillId="0" borderId="0" xfId="0" applyNumberFormat="1" applyFont="1">
      <alignment vertical="center"/>
    </xf>
    <xf numFmtId="176" fontId="39" fillId="0" borderId="7" xfId="0" applyNumberFormat="1" applyFont="1" applyBorder="1">
      <alignment vertical="center"/>
    </xf>
    <xf numFmtId="3" fontId="39" fillId="0" borderId="0" xfId="0" applyNumberFormat="1" applyFont="1">
      <alignment vertical="center"/>
    </xf>
    <xf numFmtId="192" fontId="47" fillId="0" borderId="0" xfId="0" applyNumberFormat="1" applyFont="1">
      <alignment vertical="center"/>
    </xf>
    <xf numFmtId="14" fontId="39" fillId="0" borderId="4" xfId="0" applyNumberFormat="1" applyFont="1" applyBorder="1">
      <alignment vertical="center"/>
    </xf>
    <xf numFmtId="176" fontId="39" fillId="0" borderId="4" xfId="0" applyNumberFormat="1" applyFont="1" applyBorder="1" applyAlignment="1">
      <alignment horizontal="right" vertical="center"/>
    </xf>
    <xf numFmtId="176" fontId="39" fillId="0" borderId="0" xfId="0" applyNumberFormat="1" applyFont="1" applyAlignment="1">
      <alignment horizontal="right" vertical="center"/>
    </xf>
    <xf numFmtId="192" fontId="46" fillId="0" borderId="4" xfId="0" applyNumberFormat="1" applyFont="1" applyBorder="1" applyAlignment="1">
      <alignment horizontal="right" vertical="center"/>
    </xf>
    <xf numFmtId="192" fontId="46" fillId="0" borderId="0" xfId="0" applyNumberFormat="1" applyFont="1" applyAlignment="1">
      <alignment horizontal="right" vertical="center"/>
    </xf>
    <xf numFmtId="212" fontId="39" fillId="0" borderId="1" xfId="0" applyNumberFormat="1" applyFont="1" applyBorder="1">
      <alignment vertical="center"/>
    </xf>
    <xf numFmtId="212" fontId="39" fillId="0" borderId="7" xfId="0" applyNumberFormat="1" applyFont="1" applyBorder="1">
      <alignment vertical="center"/>
    </xf>
    <xf numFmtId="0" fontId="23" fillId="0" borderId="222" xfId="0" applyFont="1" applyBorder="1">
      <alignment vertical="center"/>
    </xf>
    <xf numFmtId="0" fontId="23" fillId="0" borderId="223" xfId="0" applyFont="1" applyBorder="1">
      <alignment vertical="center"/>
    </xf>
    <xf numFmtId="0" fontId="13" fillId="4" borderId="219" xfId="0" applyFont="1" applyFill="1" applyBorder="1" applyAlignment="1">
      <alignment horizontal="centerContinuous" vertical="center"/>
    </xf>
    <xf numFmtId="0" fontId="24" fillId="0" borderId="0" xfId="0" applyFont="1" applyAlignment="1">
      <alignment horizontal="center" vertical="center"/>
    </xf>
    <xf numFmtId="180" fontId="14" fillId="5" borderId="20" xfId="0" applyNumberFormat="1" applyFont="1" applyFill="1" applyBorder="1" applyAlignment="1">
      <alignment horizontal="center" vertical="center"/>
    </xf>
    <xf numFmtId="180" fontId="14" fillId="5" borderId="23" xfId="0" applyNumberFormat="1" applyFont="1" applyFill="1" applyBorder="1" applyAlignment="1">
      <alignment horizontal="center" vertical="center"/>
    </xf>
    <xf numFmtId="0" fontId="39" fillId="5" borderId="81" xfId="0" applyFont="1" applyFill="1" applyBorder="1">
      <alignment vertical="center"/>
    </xf>
    <xf numFmtId="183" fontId="39" fillId="0" borderId="81" xfId="0" applyNumberFormat="1" applyFont="1" applyBorder="1" applyAlignment="1">
      <alignment horizontal="left" vertical="center"/>
    </xf>
    <xf numFmtId="176" fontId="39" fillId="0" borderId="77" xfId="0" applyNumberFormat="1" applyFont="1" applyBorder="1">
      <alignment vertical="center"/>
    </xf>
    <xf numFmtId="14" fontId="39" fillId="0" borderId="77" xfId="0" applyNumberFormat="1" applyFont="1" applyBorder="1">
      <alignment vertical="center"/>
    </xf>
    <xf numFmtId="176" fontId="39" fillId="0" borderId="11" xfId="0" applyNumberFormat="1" applyFont="1" applyBorder="1">
      <alignment vertical="center"/>
    </xf>
    <xf numFmtId="176" fontId="39" fillId="11" borderId="7" xfId="0" applyNumberFormat="1" applyFont="1" applyFill="1" applyBorder="1">
      <alignment vertical="center"/>
    </xf>
    <xf numFmtId="41" fontId="39" fillId="11" borderId="0" xfId="0" applyNumberFormat="1" applyFont="1" applyFill="1">
      <alignment vertical="center"/>
    </xf>
    <xf numFmtId="214" fontId="39" fillId="0" borderId="1" xfId="0" applyNumberFormat="1" applyFont="1" applyBorder="1">
      <alignment vertical="center"/>
    </xf>
    <xf numFmtId="214" fontId="39" fillId="0" borderId="0" xfId="0" applyNumberFormat="1" applyFont="1">
      <alignment vertical="center"/>
    </xf>
    <xf numFmtId="214" fontId="39" fillId="11" borderId="7" xfId="0" applyNumberFormat="1" applyFont="1" applyFill="1" applyBorder="1">
      <alignment vertical="center"/>
    </xf>
    <xf numFmtId="214" fontId="39" fillId="11" borderId="0" xfId="0" applyNumberFormat="1" applyFont="1" applyFill="1">
      <alignment vertical="center"/>
    </xf>
    <xf numFmtId="0" fontId="39" fillId="0" borderId="77" xfId="0" applyFont="1" applyBorder="1">
      <alignment vertical="center"/>
    </xf>
    <xf numFmtId="176" fontId="39" fillId="0" borderId="77" xfId="0" applyNumberFormat="1" applyFont="1" applyBorder="1" applyAlignment="1">
      <alignment horizontal="right" vertical="center"/>
    </xf>
    <xf numFmtId="211" fontId="46" fillId="0" borderId="77" xfId="0" applyNumberFormat="1" applyFont="1" applyBorder="1" applyAlignment="1">
      <alignment horizontal="right" vertical="center"/>
    </xf>
    <xf numFmtId="14" fontId="46" fillId="0" borderId="77" xfId="0" applyNumberFormat="1" applyFont="1" applyBorder="1" applyAlignment="1">
      <alignment horizontal="right" vertical="center"/>
    </xf>
    <xf numFmtId="192" fontId="46" fillId="0" borderId="77" xfId="0" applyNumberFormat="1" applyFont="1" applyBorder="1" applyAlignment="1">
      <alignment horizontal="right" vertical="center"/>
    </xf>
    <xf numFmtId="176" fontId="39" fillId="11" borderId="11" xfId="0" applyNumberFormat="1" applyFont="1" applyFill="1" applyBorder="1">
      <alignment vertical="center"/>
    </xf>
    <xf numFmtId="212" fontId="39" fillId="0" borderId="4" xfId="0" applyNumberFormat="1" applyFont="1" applyBorder="1" applyAlignment="1">
      <alignment horizontal="right" vertical="center"/>
    </xf>
    <xf numFmtId="212" fontId="39" fillId="0" borderId="0" xfId="0" applyNumberFormat="1" applyFont="1" applyAlignment="1">
      <alignment horizontal="right" vertical="center"/>
    </xf>
    <xf numFmtId="212" fontId="39" fillId="0" borderId="77" xfId="0" applyNumberFormat="1" applyFont="1" applyBorder="1" applyAlignment="1">
      <alignment horizontal="right" vertical="center"/>
    </xf>
    <xf numFmtId="3" fontId="23" fillId="0" borderId="0" xfId="0" applyNumberFormat="1" applyFont="1">
      <alignment vertical="center"/>
    </xf>
    <xf numFmtId="0" fontId="14" fillId="5" borderId="225" xfId="0" applyFont="1" applyFill="1" applyBorder="1">
      <alignment vertical="center"/>
    </xf>
    <xf numFmtId="0" fontId="14" fillId="5" borderId="226" xfId="0" applyFont="1" applyFill="1" applyBorder="1" applyAlignment="1">
      <alignment horizontal="center" vertical="center"/>
    </xf>
    <xf numFmtId="0" fontId="14" fillId="5" borderId="227" xfId="0" applyFont="1" applyFill="1" applyBorder="1" applyAlignment="1">
      <alignment horizontal="center" vertical="center"/>
    </xf>
    <xf numFmtId="0" fontId="14" fillId="5" borderId="228" xfId="0" applyFont="1" applyFill="1" applyBorder="1" applyAlignment="1">
      <alignment horizontal="center" vertical="center"/>
    </xf>
    <xf numFmtId="192" fontId="11" fillId="0" borderId="14" xfId="0" applyNumberFormat="1" applyFont="1" applyBorder="1">
      <alignment vertical="center"/>
    </xf>
    <xf numFmtId="195" fontId="14" fillId="0" borderId="0" xfId="0" applyNumberFormat="1" applyFont="1">
      <alignment vertical="center"/>
    </xf>
    <xf numFmtId="3" fontId="11" fillId="0" borderId="106" xfId="0" applyNumberFormat="1" applyFont="1" applyBorder="1" applyAlignment="1">
      <alignment horizontal="right" vertical="center"/>
    </xf>
    <xf numFmtId="215" fontId="15" fillId="0" borderId="0" xfId="0" applyNumberFormat="1" applyFont="1">
      <alignment vertical="center"/>
    </xf>
    <xf numFmtId="176" fontId="14" fillId="0" borderId="0" xfId="0" applyNumberFormat="1" applyFont="1">
      <alignment vertical="center"/>
    </xf>
    <xf numFmtId="192" fontId="15" fillId="0" borderId="0" xfId="0" applyNumberFormat="1" applyFont="1" applyAlignment="1">
      <alignment horizontal="center" vertical="center"/>
    </xf>
    <xf numFmtId="14" fontId="14" fillId="0" borderId="0" xfId="0" applyNumberFormat="1" applyFont="1">
      <alignment vertical="center"/>
    </xf>
    <xf numFmtId="14" fontId="11" fillId="0" borderId="76" xfId="0" applyNumberFormat="1" applyFont="1" applyBorder="1">
      <alignment vertical="center"/>
    </xf>
    <xf numFmtId="14" fontId="11" fillId="0" borderId="28" xfId="0" applyNumberFormat="1" applyFont="1" applyBorder="1">
      <alignment vertical="center"/>
    </xf>
    <xf numFmtId="14" fontId="11" fillId="0" borderId="54" xfId="0" applyNumberFormat="1" applyFont="1" applyBorder="1">
      <alignment vertical="center"/>
    </xf>
    <xf numFmtId="3" fontId="46" fillId="0" borderId="0" xfId="0" applyNumberFormat="1" applyFont="1">
      <alignment vertical="center"/>
    </xf>
    <xf numFmtId="14" fontId="46" fillId="0" borderId="0" xfId="0" applyNumberFormat="1" applyFont="1">
      <alignment vertical="center"/>
    </xf>
    <xf numFmtId="9" fontId="46" fillId="0" borderId="0" xfId="0" applyNumberFormat="1" applyFont="1">
      <alignment vertical="center"/>
    </xf>
    <xf numFmtId="0" fontId="39" fillId="12" borderId="86" xfId="0" applyFont="1" applyFill="1" applyBorder="1">
      <alignment vertical="center"/>
    </xf>
    <xf numFmtId="3" fontId="48" fillId="0" borderId="4" xfId="0" applyNumberFormat="1" applyFont="1" applyBorder="1">
      <alignment vertical="center"/>
    </xf>
    <xf numFmtId="14" fontId="48" fillId="0" borderId="4" xfId="0" applyNumberFormat="1" applyFont="1" applyBorder="1">
      <alignment vertical="center"/>
    </xf>
    <xf numFmtId="9" fontId="48" fillId="0" borderId="4" xfId="0" applyNumberFormat="1" applyFont="1" applyBorder="1">
      <alignment vertical="center"/>
    </xf>
    <xf numFmtId="3" fontId="48" fillId="0" borderId="0" xfId="0" applyNumberFormat="1" applyFont="1">
      <alignment vertical="center"/>
    </xf>
    <xf numFmtId="14" fontId="48" fillId="0" borderId="0" xfId="0" applyNumberFormat="1" applyFont="1">
      <alignment vertical="center"/>
    </xf>
    <xf numFmtId="9" fontId="48" fillId="0" borderId="0" xfId="0" applyNumberFormat="1" applyFont="1">
      <alignment vertical="center"/>
    </xf>
    <xf numFmtId="0" fontId="49" fillId="16" borderId="16" xfId="0" applyFont="1" applyFill="1" applyBorder="1">
      <alignment vertical="center"/>
    </xf>
    <xf numFmtId="0" fontId="49" fillId="16" borderId="0" xfId="0" applyFont="1" applyFill="1">
      <alignment vertical="center"/>
    </xf>
    <xf numFmtId="182" fontId="49" fillId="16" borderId="0" xfId="0" applyNumberFormat="1" applyFont="1" applyFill="1">
      <alignment vertical="center"/>
    </xf>
    <xf numFmtId="182" fontId="49" fillId="16" borderId="53" xfId="0" applyNumberFormat="1" applyFont="1" applyFill="1" applyBorder="1">
      <alignment vertical="center"/>
    </xf>
    <xf numFmtId="0" fontId="20" fillId="4" borderId="82" xfId="0" applyFont="1" applyFill="1" applyBorder="1" applyAlignment="1">
      <alignment horizontal="centerContinuous" vertical="center"/>
    </xf>
    <xf numFmtId="0" fontId="20" fillId="4" borderId="0" xfId="0" applyFont="1" applyFill="1" applyAlignment="1">
      <alignment horizontal="centerContinuous" vertical="center"/>
    </xf>
    <xf numFmtId="14" fontId="20" fillId="4" borderId="0" xfId="0" applyNumberFormat="1" applyFont="1" applyFill="1" applyAlignment="1">
      <alignment horizontal="centerContinuous" vertical="center"/>
    </xf>
    <xf numFmtId="3" fontId="11" fillId="0" borderId="83" xfId="0" applyNumberFormat="1" applyFont="1" applyBorder="1">
      <alignment vertical="center"/>
    </xf>
    <xf numFmtId="3" fontId="11" fillId="0" borderId="82" xfId="0" applyNumberFormat="1" applyFont="1" applyBorder="1">
      <alignment vertical="center"/>
    </xf>
    <xf numFmtId="0" fontId="11" fillId="0" borderId="4" xfId="0" applyFont="1" applyBorder="1" applyAlignment="1">
      <alignment horizontal="center" vertical="center"/>
    </xf>
    <xf numFmtId="176" fontId="20" fillId="4" borderId="231" xfId="0" applyNumberFormat="1" applyFont="1" applyFill="1" applyBorder="1" applyAlignment="1">
      <alignment horizontal="centerContinuous" vertical="center"/>
    </xf>
    <xf numFmtId="176" fontId="11" fillId="5" borderId="232" xfId="0" applyNumberFormat="1" applyFont="1" applyFill="1" applyBorder="1">
      <alignment vertical="center"/>
    </xf>
    <xf numFmtId="176" fontId="22" fillId="0" borderId="232" xfId="0" applyNumberFormat="1" applyFont="1" applyBorder="1">
      <alignment vertical="center"/>
    </xf>
    <xf numFmtId="176" fontId="22" fillId="0" borderId="231" xfId="0" applyNumberFormat="1" applyFont="1" applyBorder="1">
      <alignment vertical="center"/>
    </xf>
    <xf numFmtId="176" fontId="22" fillId="5" borderId="232" xfId="0" applyNumberFormat="1" applyFont="1" applyFill="1" applyBorder="1">
      <alignment vertical="center"/>
    </xf>
    <xf numFmtId="3" fontId="22" fillId="0" borderId="232" xfId="0" applyNumberFormat="1" applyFont="1" applyBorder="1">
      <alignment vertical="center"/>
    </xf>
    <xf numFmtId="176" fontId="22" fillId="0" borderId="230" xfId="0" applyNumberFormat="1" applyFont="1" applyBorder="1">
      <alignment vertical="center"/>
    </xf>
    <xf numFmtId="176" fontId="22" fillId="0" borderId="233" xfId="0" applyNumberFormat="1" applyFont="1" applyBorder="1">
      <alignment vertical="center"/>
    </xf>
    <xf numFmtId="176" fontId="11" fillId="7" borderId="233" xfId="0" applyNumberFormat="1" applyFont="1" applyFill="1" applyBorder="1">
      <alignment vertical="center"/>
    </xf>
    <xf numFmtId="0" fontId="39" fillId="26" borderId="3" xfId="0" applyFont="1" applyFill="1" applyBorder="1">
      <alignment vertical="center"/>
    </xf>
    <xf numFmtId="0" fontId="39" fillId="26" borderId="6" xfId="0" applyFont="1" applyFill="1" applyBorder="1">
      <alignment vertical="center"/>
    </xf>
    <xf numFmtId="0" fontId="39" fillId="26" borderId="4" xfId="0" applyFont="1" applyFill="1" applyBorder="1">
      <alignment vertical="center"/>
    </xf>
    <xf numFmtId="14" fontId="39" fillId="26" borderId="4" xfId="0" applyNumberFormat="1" applyFont="1" applyFill="1" applyBorder="1">
      <alignment vertical="center"/>
    </xf>
    <xf numFmtId="176" fontId="39" fillId="26" borderId="4" xfId="0" applyNumberFormat="1" applyFont="1" applyFill="1" applyBorder="1">
      <alignment vertical="center"/>
    </xf>
    <xf numFmtId="41" fontId="39" fillId="26" borderId="1" xfId="0" applyNumberFormat="1" applyFont="1" applyFill="1" applyBorder="1">
      <alignment vertical="center"/>
    </xf>
    <xf numFmtId="176" fontId="39" fillId="26" borderId="5" xfId="0" applyNumberFormat="1" applyFont="1" applyFill="1" applyBorder="1">
      <alignment vertical="center"/>
    </xf>
    <xf numFmtId="0" fontId="39" fillId="26" borderId="81" xfId="0" applyFont="1" applyFill="1" applyBorder="1">
      <alignment vertical="center"/>
    </xf>
    <xf numFmtId="216" fontId="16" fillId="6" borderId="36" xfId="0" applyNumberFormat="1" applyFont="1" applyFill="1" applyBorder="1">
      <alignment vertical="center"/>
    </xf>
    <xf numFmtId="176" fontId="11" fillId="0" borderId="29" xfId="0" applyNumberFormat="1" applyFont="1" applyBorder="1">
      <alignment vertical="center"/>
    </xf>
    <xf numFmtId="176" fontId="11" fillId="6" borderId="234" xfId="0" applyNumberFormat="1" applyFont="1" applyFill="1" applyBorder="1">
      <alignment vertical="center"/>
    </xf>
    <xf numFmtId="0" fontId="13" fillId="4" borderId="229" xfId="0" applyFont="1" applyFill="1" applyBorder="1">
      <alignment vertical="center"/>
    </xf>
    <xf numFmtId="0" fontId="14" fillId="5" borderId="69" xfId="0" applyFont="1" applyFill="1" applyBorder="1" applyAlignment="1">
      <alignment horizontal="center" vertical="center"/>
    </xf>
    <xf numFmtId="176" fontId="11" fillId="0" borderId="70" xfId="0" applyNumberFormat="1" applyFont="1" applyBorder="1">
      <alignment vertical="center"/>
    </xf>
    <xf numFmtId="176" fontId="11" fillId="6" borderId="235" xfId="0" applyNumberFormat="1" applyFont="1" applyFill="1" applyBorder="1">
      <alignment vertical="center"/>
    </xf>
    <xf numFmtId="10" fontId="50" fillId="16" borderId="236" xfId="0" applyNumberFormat="1" applyFont="1" applyFill="1" applyBorder="1">
      <alignment vertical="center"/>
    </xf>
    <xf numFmtId="176" fontId="11" fillId="2" borderId="237" xfId="0" applyNumberFormat="1" applyFont="1" applyFill="1" applyBorder="1">
      <alignment vertical="center"/>
    </xf>
    <xf numFmtId="176" fontId="11" fillId="6" borderId="238" xfId="0" applyNumberFormat="1" applyFont="1" applyFill="1" applyBorder="1">
      <alignment vertical="center"/>
    </xf>
    <xf numFmtId="176" fontId="11" fillId="0" borderId="70" xfId="0" applyNumberFormat="1" applyFont="1" applyBorder="1" applyAlignment="1">
      <alignment horizontal="right" vertical="center"/>
    </xf>
    <xf numFmtId="176" fontId="11" fillId="6" borderId="239" xfId="0" applyNumberFormat="1" applyFont="1" applyFill="1" applyBorder="1">
      <alignment vertical="center"/>
    </xf>
    <xf numFmtId="0" fontId="11" fillId="0" borderId="86" xfId="0" applyFont="1" applyBorder="1" applyAlignment="1">
      <alignment horizontal="center" vertical="center"/>
    </xf>
    <xf numFmtId="3" fontId="11" fillId="0" borderId="87" xfId="0" applyNumberFormat="1" applyFont="1" applyBorder="1">
      <alignment vertical="center"/>
    </xf>
    <xf numFmtId="10" fontId="11" fillId="0" borderId="86" xfId="0" applyNumberFormat="1" applyFont="1" applyBorder="1">
      <alignment vertical="center"/>
    </xf>
    <xf numFmtId="10" fontId="15" fillId="0" borderId="4" xfId="0" applyNumberFormat="1" applyFont="1" applyBorder="1">
      <alignment vertical="center"/>
    </xf>
    <xf numFmtId="3" fontId="15" fillId="0" borderId="83" xfId="0" applyNumberFormat="1" applyFont="1" applyBorder="1">
      <alignment vertical="center"/>
    </xf>
    <xf numFmtId="3" fontId="15" fillId="0" borderId="82" xfId="0" applyNumberFormat="1" applyFont="1" applyBorder="1">
      <alignment vertical="center"/>
    </xf>
    <xf numFmtId="176" fontId="11" fillId="0" borderId="82" xfId="0" applyNumberFormat="1" applyFont="1" applyBorder="1">
      <alignment vertical="center"/>
    </xf>
    <xf numFmtId="0" fontId="51" fillId="5" borderId="18" xfId="0" applyFont="1" applyFill="1" applyBorder="1" applyAlignment="1">
      <alignment horizontal="center" vertical="center"/>
    </xf>
    <xf numFmtId="3" fontId="51" fillId="5" borderId="18" xfId="0" applyNumberFormat="1" applyFont="1" applyFill="1" applyBorder="1" applyAlignment="1">
      <alignment horizontal="center" vertical="center"/>
    </xf>
    <xf numFmtId="10" fontId="14" fillId="0" borderId="53" xfId="0" applyNumberFormat="1" applyFont="1" applyBorder="1" applyAlignment="1">
      <alignment horizontal="center" vertical="center"/>
    </xf>
    <xf numFmtId="10" fontId="15" fillId="0" borderId="0" xfId="0" applyNumberFormat="1" applyFont="1" applyAlignment="1">
      <alignment horizontal="right" vertical="center"/>
    </xf>
    <xf numFmtId="0" fontId="11" fillId="0" borderId="63" xfId="0" applyFont="1" applyBorder="1" applyAlignment="1">
      <alignment horizontal="right" vertical="center"/>
    </xf>
    <xf numFmtId="0" fontId="11" fillId="0" borderId="165" xfId="0" applyFont="1" applyBorder="1">
      <alignment vertical="center"/>
    </xf>
    <xf numFmtId="176" fontId="11" fillId="0" borderId="77" xfId="0" applyNumberFormat="1" applyFont="1" applyBorder="1">
      <alignment vertical="center"/>
    </xf>
    <xf numFmtId="196" fontId="15" fillId="0" borderId="77" xfId="0" applyNumberFormat="1" applyFont="1" applyBorder="1">
      <alignment vertical="center"/>
    </xf>
    <xf numFmtId="185" fontId="11" fillId="0" borderId="77" xfId="0" applyNumberFormat="1" applyFont="1" applyBorder="1">
      <alignment vertical="center"/>
    </xf>
    <xf numFmtId="192" fontId="11" fillId="0" borderId="77" xfId="0" applyNumberFormat="1" applyFont="1" applyBorder="1">
      <alignment vertical="center"/>
    </xf>
    <xf numFmtId="14" fontId="11" fillId="0" borderId="221" xfId="0" applyNumberFormat="1" applyFont="1" applyBorder="1">
      <alignment vertical="center"/>
    </xf>
    <xf numFmtId="3" fontId="14" fillId="0" borderId="0" xfId="0" applyNumberFormat="1" applyFont="1">
      <alignment vertical="center"/>
    </xf>
    <xf numFmtId="192" fontId="12" fillId="0" borderId="0" xfId="0" applyNumberFormat="1" applyFont="1" applyAlignment="1">
      <alignment horizontal="center" vertical="center"/>
    </xf>
    <xf numFmtId="215" fontId="14" fillId="0" borderId="0" xfId="0" applyNumberFormat="1" applyFont="1">
      <alignment vertical="center"/>
    </xf>
    <xf numFmtId="215" fontId="53" fillId="0" borderId="0" xfId="0" applyNumberFormat="1" applyFont="1" applyAlignment="1">
      <alignment horizontal="right" vertical="center"/>
    </xf>
    <xf numFmtId="215" fontId="15" fillId="6" borderId="0" xfId="0" applyNumberFormat="1" applyFont="1" applyFill="1" applyAlignment="1">
      <alignment horizontal="right" vertical="center"/>
    </xf>
    <xf numFmtId="3" fontId="11" fillId="0" borderId="26" xfId="0" applyNumberFormat="1" applyFont="1" applyBorder="1" applyAlignment="1">
      <alignment horizontal="left" vertical="center"/>
    </xf>
    <xf numFmtId="0" fontId="11" fillId="0" borderId="241" xfId="0" applyFont="1" applyBorder="1">
      <alignment vertical="center"/>
    </xf>
    <xf numFmtId="0" fontId="11" fillId="0" borderId="242" xfId="0" applyFont="1" applyBorder="1">
      <alignment vertical="center"/>
    </xf>
    <xf numFmtId="0" fontId="23" fillId="0" borderId="165" xfId="0" applyFont="1" applyBorder="1">
      <alignment vertical="center"/>
    </xf>
    <xf numFmtId="0" fontId="23" fillId="0" borderId="78" xfId="0" applyFont="1" applyBorder="1">
      <alignment vertical="center"/>
    </xf>
    <xf numFmtId="0" fontId="16" fillId="12" borderId="243" xfId="0" applyFont="1" applyFill="1" applyBorder="1">
      <alignment vertical="center"/>
    </xf>
    <xf numFmtId="0" fontId="20" fillId="12" borderId="25" xfId="0" applyFont="1" applyFill="1" applyBorder="1">
      <alignment vertical="center"/>
    </xf>
    <xf numFmtId="14" fontId="20" fillId="12" borderId="25" xfId="0" applyNumberFormat="1" applyFont="1" applyFill="1" applyBorder="1">
      <alignment vertical="center"/>
    </xf>
    <xf numFmtId="176" fontId="20" fillId="12" borderId="244" xfId="0" applyNumberFormat="1" applyFont="1" applyFill="1" applyBorder="1">
      <alignment vertical="center"/>
    </xf>
    <xf numFmtId="0" fontId="54" fillId="0" borderId="0" xfId="0" applyFont="1">
      <alignment vertical="center"/>
    </xf>
    <xf numFmtId="10" fontId="11" fillId="5" borderId="4" xfId="0" applyNumberFormat="1" applyFont="1" applyFill="1" applyBorder="1">
      <alignment vertical="center"/>
    </xf>
    <xf numFmtId="217" fontId="11" fillId="0" borderId="0" xfId="0" applyNumberFormat="1" applyFont="1">
      <alignment vertical="center"/>
    </xf>
    <xf numFmtId="0" fontId="23" fillId="0" borderId="14" xfId="0" applyFont="1" applyBorder="1" applyAlignment="1">
      <alignment horizontal="right" vertical="center"/>
    </xf>
    <xf numFmtId="0" fontId="23" fillId="0" borderId="0" xfId="0" applyFont="1" applyAlignment="1">
      <alignment horizontal="right" vertical="center"/>
    </xf>
    <xf numFmtId="0" fontId="23" fillId="0" borderId="77" xfId="0" applyFont="1" applyBorder="1" applyAlignment="1">
      <alignment horizontal="right" vertical="center"/>
    </xf>
    <xf numFmtId="0" fontId="11" fillId="0" borderId="246" xfId="0" applyFont="1" applyBorder="1">
      <alignment vertical="center"/>
    </xf>
    <xf numFmtId="0" fontId="11" fillId="0" borderId="247" xfId="0" applyFont="1" applyBorder="1">
      <alignment vertical="center"/>
    </xf>
    <xf numFmtId="176" fontId="11" fillId="0" borderId="247" xfId="0" applyNumberFormat="1" applyFont="1" applyBorder="1">
      <alignment vertical="center"/>
    </xf>
    <xf numFmtId="176" fontId="11" fillId="0" borderId="248" xfId="0" applyNumberFormat="1" applyFont="1" applyBorder="1">
      <alignment vertical="center"/>
    </xf>
    <xf numFmtId="3" fontId="48" fillId="0" borderId="77" xfId="0" applyNumberFormat="1" applyFont="1" applyBorder="1">
      <alignment vertical="center"/>
    </xf>
    <xf numFmtId="14" fontId="48" fillId="0" borderId="77" xfId="0" applyNumberFormat="1" applyFont="1" applyBorder="1">
      <alignment vertical="center"/>
    </xf>
    <xf numFmtId="9" fontId="48" fillId="0" borderId="77" xfId="0" applyNumberFormat="1" applyFont="1" applyBorder="1">
      <alignment vertical="center"/>
    </xf>
    <xf numFmtId="3" fontId="48" fillId="0" borderId="247" xfId="0" applyNumberFormat="1" applyFont="1" applyBorder="1">
      <alignment vertical="center"/>
    </xf>
    <xf numFmtId="14" fontId="48" fillId="0" borderId="247" xfId="0" applyNumberFormat="1" applyFont="1" applyBorder="1">
      <alignment vertical="center"/>
    </xf>
    <xf numFmtId="9" fontId="48" fillId="0" borderId="247" xfId="0" applyNumberFormat="1" applyFont="1" applyBorder="1">
      <alignment vertical="center"/>
    </xf>
    <xf numFmtId="0" fontId="23" fillId="0" borderId="53" xfId="0" applyFont="1" applyBorder="1" applyAlignment="1">
      <alignment horizontal="right" vertical="center"/>
    </xf>
    <xf numFmtId="176" fontId="11" fillId="6" borderId="1" xfId="0" applyNumberFormat="1" applyFont="1" applyFill="1" applyBorder="1">
      <alignment vertical="center"/>
    </xf>
    <xf numFmtId="176" fontId="14" fillId="12" borderId="245" xfId="0" applyNumberFormat="1" applyFont="1" applyFill="1" applyBorder="1" applyAlignment="1">
      <alignment horizontal="right" vertical="center"/>
    </xf>
    <xf numFmtId="0" fontId="20" fillId="27" borderId="209" xfId="0" applyFont="1" applyFill="1" applyBorder="1">
      <alignment vertical="center"/>
    </xf>
    <xf numFmtId="14" fontId="20" fillId="27" borderId="209" xfId="0" applyNumberFormat="1" applyFont="1" applyFill="1" applyBorder="1">
      <alignment vertical="center"/>
    </xf>
    <xf numFmtId="176" fontId="20" fillId="27" borderId="209" xfId="0" applyNumberFormat="1" applyFont="1" applyFill="1" applyBorder="1">
      <alignment vertical="center"/>
    </xf>
    <xf numFmtId="0" fontId="20" fillId="27" borderId="249" xfId="0" applyFont="1" applyFill="1" applyBorder="1">
      <alignment vertical="center"/>
    </xf>
    <xf numFmtId="176" fontId="13" fillId="27" borderId="250" xfId="0" applyNumberFormat="1" applyFont="1" applyFill="1" applyBorder="1" applyAlignment="1">
      <alignment horizontal="right" vertical="center"/>
    </xf>
    <xf numFmtId="176" fontId="13" fillId="27" borderId="245" xfId="0" applyNumberFormat="1" applyFont="1" applyFill="1" applyBorder="1" applyAlignment="1">
      <alignment horizontal="right" vertical="center"/>
    </xf>
    <xf numFmtId="0" fontId="11" fillId="11" borderId="3" xfId="0" applyFont="1" applyFill="1" applyBorder="1">
      <alignment vertical="center"/>
    </xf>
    <xf numFmtId="0" fontId="11" fillId="11" borderId="4" xfId="0" applyFont="1" applyFill="1" applyBorder="1">
      <alignment vertical="center"/>
    </xf>
    <xf numFmtId="14" fontId="11" fillId="11" borderId="4" xfId="0" applyNumberFormat="1" applyFont="1" applyFill="1" applyBorder="1">
      <alignment vertical="center"/>
    </xf>
    <xf numFmtId="176" fontId="11" fillId="11" borderId="4" xfId="0" applyNumberFormat="1" applyFont="1" applyFill="1" applyBorder="1">
      <alignment vertical="center"/>
    </xf>
    <xf numFmtId="176" fontId="11" fillId="11" borderId="1" xfId="0" applyNumberFormat="1" applyFont="1" applyFill="1" applyBorder="1">
      <alignment vertical="center"/>
    </xf>
    <xf numFmtId="41" fontId="11" fillId="11" borderId="0" xfId="0" applyNumberFormat="1" applyFont="1" applyFill="1">
      <alignment vertical="center"/>
    </xf>
    <xf numFmtId="176" fontId="11" fillId="11" borderId="5" xfId="0" applyNumberFormat="1" applyFont="1" applyFill="1" applyBorder="1">
      <alignment vertical="center"/>
    </xf>
    <xf numFmtId="0" fontId="11" fillId="11" borderId="6" xfId="0" applyFont="1" applyFill="1" applyBorder="1">
      <alignment vertical="center"/>
    </xf>
    <xf numFmtId="0" fontId="11" fillId="11" borderId="0" xfId="0" applyFont="1" applyFill="1">
      <alignment vertical="center"/>
    </xf>
    <xf numFmtId="14" fontId="11" fillId="11" borderId="0" xfId="0" applyNumberFormat="1" applyFont="1" applyFill="1">
      <alignment vertical="center"/>
    </xf>
    <xf numFmtId="176" fontId="11" fillId="11" borderId="0" xfId="0" applyNumberFormat="1" applyFont="1" applyFill="1">
      <alignment vertical="center"/>
    </xf>
    <xf numFmtId="0" fontId="20" fillId="4" borderId="251" xfId="0" applyFont="1" applyFill="1" applyBorder="1" applyAlignment="1">
      <alignment horizontal="center" vertical="center"/>
    </xf>
    <xf numFmtId="176" fontId="14" fillId="12" borderId="252" xfId="0" applyNumberFormat="1" applyFont="1" applyFill="1" applyBorder="1" applyAlignment="1">
      <alignment horizontal="right" vertical="center"/>
    </xf>
    <xf numFmtId="176" fontId="11" fillId="11" borderId="251" xfId="0" applyNumberFormat="1" applyFont="1" applyFill="1" applyBorder="1">
      <alignment vertical="center"/>
    </xf>
    <xf numFmtId="176" fontId="11" fillId="11" borderId="253" xfId="0" applyNumberFormat="1" applyFont="1" applyFill="1" applyBorder="1">
      <alignment vertical="center"/>
    </xf>
    <xf numFmtId="176" fontId="14" fillId="12" borderId="254" xfId="0" applyNumberFormat="1" applyFont="1" applyFill="1" applyBorder="1" applyAlignment="1">
      <alignment horizontal="right" vertical="center"/>
    </xf>
    <xf numFmtId="176" fontId="11" fillId="11" borderId="7" xfId="0" applyNumberFormat="1" applyFont="1" applyFill="1" applyBorder="1">
      <alignment vertical="center"/>
    </xf>
    <xf numFmtId="10" fontId="11" fillId="11" borderId="0" xfId="0" applyNumberFormat="1" applyFont="1" applyFill="1">
      <alignment vertical="center"/>
    </xf>
    <xf numFmtId="176" fontId="11" fillId="0" borderId="255" xfId="0" applyNumberFormat="1" applyFont="1" applyBorder="1">
      <alignment vertical="center"/>
    </xf>
    <xf numFmtId="0" fontId="11" fillId="12" borderId="256" xfId="0" applyFont="1" applyFill="1" applyBorder="1">
      <alignment vertical="center"/>
    </xf>
    <xf numFmtId="0" fontId="11" fillId="11" borderId="257" xfId="0" applyFont="1" applyFill="1" applyBorder="1">
      <alignment vertical="center"/>
    </xf>
    <xf numFmtId="0" fontId="11" fillId="11" borderId="258" xfId="0" applyFont="1" applyFill="1" applyBorder="1">
      <alignment vertical="center"/>
    </xf>
    <xf numFmtId="14" fontId="11" fillId="11" borderId="258" xfId="0" applyNumberFormat="1" applyFont="1" applyFill="1" applyBorder="1">
      <alignment vertical="center"/>
    </xf>
    <xf numFmtId="176" fontId="11" fillId="11" borderId="258" xfId="0" applyNumberFormat="1" applyFont="1" applyFill="1" applyBorder="1">
      <alignment vertical="center"/>
    </xf>
    <xf numFmtId="176" fontId="11" fillId="11" borderId="259" xfId="0" applyNumberFormat="1" applyFont="1" applyFill="1" applyBorder="1">
      <alignment vertical="center"/>
    </xf>
    <xf numFmtId="3" fontId="11" fillId="11" borderId="0" xfId="0" applyNumberFormat="1" applyFont="1" applyFill="1">
      <alignment vertical="center"/>
    </xf>
    <xf numFmtId="9" fontId="11" fillId="0" borderId="18" xfId="0" applyNumberFormat="1" applyFont="1" applyBorder="1">
      <alignment vertical="center"/>
    </xf>
    <xf numFmtId="9" fontId="11" fillId="0" borderId="18" xfId="0" applyNumberFormat="1" applyFont="1" applyBorder="1" applyAlignment="1">
      <alignment horizontal="center" vertical="center"/>
    </xf>
    <xf numFmtId="9" fontId="11" fillId="0" borderId="0" xfId="0" applyNumberFormat="1" applyFont="1" applyAlignment="1">
      <alignment horizontal="center" vertical="center"/>
    </xf>
    <xf numFmtId="9" fontId="17" fillId="0" borderId="18" xfId="0" applyNumberFormat="1" applyFont="1" applyBorder="1" applyAlignment="1">
      <alignment horizontal="center" vertical="center"/>
    </xf>
    <xf numFmtId="176" fontId="11" fillId="0" borderId="17" xfId="0" applyNumberFormat="1" applyFont="1" applyBorder="1">
      <alignment vertical="center"/>
    </xf>
    <xf numFmtId="176" fontId="11" fillId="0" borderId="18" xfId="0" applyNumberFormat="1" applyFont="1" applyBorder="1">
      <alignment vertical="center"/>
    </xf>
    <xf numFmtId="176" fontId="11" fillId="0" borderId="103" xfId="0" applyNumberFormat="1" applyFont="1" applyBorder="1">
      <alignment vertical="center"/>
    </xf>
    <xf numFmtId="176" fontId="11" fillId="0" borderId="102" xfId="0" applyNumberFormat="1" applyFont="1" applyBorder="1">
      <alignment vertical="center"/>
    </xf>
    <xf numFmtId="10" fontId="11" fillId="0" borderId="27" xfId="0" applyNumberFormat="1" applyFont="1" applyBorder="1">
      <alignment vertical="center"/>
    </xf>
    <xf numFmtId="0" fontId="11" fillId="6" borderId="36" xfId="0" applyFont="1" applyFill="1" applyBorder="1" applyAlignment="1">
      <alignment horizontal="left" vertical="center"/>
    </xf>
    <xf numFmtId="0" fontId="11" fillId="6" borderId="65" xfId="0" applyFont="1" applyFill="1" applyBorder="1" applyAlignment="1">
      <alignment horizontal="left" vertical="center"/>
    </xf>
    <xf numFmtId="0" fontId="14" fillId="5" borderId="260" xfId="0" applyFont="1" applyFill="1" applyBorder="1">
      <alignment vertical="center"/>
    </xf>
    <xf numFmtId="0" fontId="13" fillId="25" borderId="45" xfId="0" applyFont="1" applyFill="1" applyBorder="1" applyAlignment="1">
      <alignment horizontal="centerContinuous" vertical="center"/>
    </xf>
    <xf numFmtId="0" fontId="13" fillId="25" borderId="219" xfId="0" applyFont="1" applyFill="1" applyBorder="1" applyAlignment="1">
      <alignment horizontal="centerContinuous" vertical="center"/>
    </xf>
    <xf numFmtId="0" fontId="13" fillId="25" borderId="220" xfId="0" applyFont="1" applyFill="1" applyBorder="1" applyAlignment="1">
      <alignment horizontal="centerContinuous" vertical="center"/>
    </xf>
    <xf numFmtId="0" fontId="14" fillId="5" borderId="47" xfId="0" applyFont="1" applyFill="1" applyBorder="1" applyAlignment="1">
      <alignment horizontal="center" vertical="center"/>
    </xf>
    <xf numFmtId="0" fontId="14" fillId="5" borderId="224" xfId="0" applyFont="1" applyFill="1" applyBorder="1" applyAlignment="1">
      <alignment horizontal="center" vertical="center"/>
    </xf>
    <xf numFmtId="176" fontId="11" fillId="0" borderId="261" xfId="0" applyNumberFormat="1" applyFont="1" applyBorder="1">
      <alignment vertical="center"/>
    </xf>
    <xf numFmtId="176" fontId="11" fillId="0" borderId="26" xfId="0" applyNumberFormat="1" applyFont="1" applyBorder="1">
      <alignment vertical="center"/>
    </xf>
    <xf numFmtId="197" fontId="11" fillId="0" borderId="107" xfId="0" applyNumberFormat="1" applyFont="1" applyBorder="1">
      <alignment vertical="center"/>
    </xf>
    <xf numFmtId="176" fontId="11" fillId="0" borderId="165" xfId="0" applyNumberFormat="1" applyFont="1" applyBorder="1">
      <alignment vertical="center"/>
    </xf>
    <xf numFmtId="197" fontId="11" fillId="0" borderId="78" xfId="0" applyNumberFormat="1" applyFont="1" applyBorder="1">
      <alignment vertical="center"/>
    </xf>
    <xf numFmtId="176" fontId="11" fillId="0" borderId="27" xfId="0" applyNumberFormat="1" applyFont="1" applyBorder="1">
      <alignment vertical="center"/>
    </xf>
    <xf numFmtId="176" fontId="11" fillId="0" borderId="107" xfId="0" applyNumberFormat="1" applyFont="1" applyBorder="1">
      <alignment vertical="center"/>
    </xf>
    <xf numFmtId="0" fontId="11" fillId="0" borderId="32" xfId="0" applyFont="1" applyBorder="1">
      <alignment vertical="center"/>
    </xf>
    <xf numFmtId="10" fontId="11" fillId="0" borderId="262" xfId="0" applyNumberFormat="1" applyFont="1" applyBorder="1">
      <alignment vertical="center"/>
    </xf>
    <xf numFmtId="186" fontId="11" fillId="0" borderId="105" xfId="0" applyNumberFormat="1" applyFont="1" applyBorder="1">
      <alignment vertical="center"/>
    </xf>
    <xf numFmtId="10" fontId="11" fillId="0" borderId="263" xfId="0" applyNumberFormat="1" applyFont="1" applyBorder="1">
      <alignment vertical="center"/>
    </xf>
    <xf numFmtId="10" fontId="11" fillId="0" borderId="107" xfId="0" applyNumberFormat="1" applyFont="1" applyBorder="1">
      <alignment vertical="center"/>
    </xf>
    <xf numFmtId="4" fontId="11" fillId="0" borderId="108" xfId="0" applyNumberFormat="1" applyFont="1" applyBorder="1">
      <alignment vertical="center"/>
    </xf>
    <xf numFmtId="176" fontId="11" fillId="0" borderId="67" xfId="0" applyNumberFormat="1" applyFont="1" applyBorder="1">
      <alignment vertical="center"/>
    </xf>
    <xf numFmtId="179" fontId="14" fillId="5" borderId="45" xfId="0" applyNumberFormat="1" applyFont="1" applyFill="1" applyBorder="1" applyAlignment="1">
      <alignment horizontal="center" vertical="center"/>
    </xf>
    <xf numFmtId="179" fontId="14" fillId="5" borderId="220" xfId="0" applyNumberFormat="1" applyFont="1" applyFill="1" applyBorder="1" applyAlignment="1">
      <alignment horizontal="center" vertical="center"/>
    </xf>
    <xf numFmtId="3" fontId="11" fillId="0" borderId="261" xfId="0" applyNumberFormat="1" applyFont="1" applyBorder="1" applyAlignment="1">
      <alignment horizontal="right" vertical="center"/>
    </xf>
    <xf numFmtId="9" fontId="23" fillId="0" borderId="25" xfId="0" applyNumberFormat="1" applyFont="1" applyBorder="1" applyAlignment="1">
      <alignment horizontal="right" vertical="center"/>
    </xf>
    <xf numFmtId="10" fontId="23" fillId="0" borderId="25" xfId="0" applyNumberFormat="1" applyFont="1" applyBorder="1" applyAlignment="1">
      <alignment horizontal="right" vertical="center"/>
    </xf>
    <xf numFmtId="176" fontId="23" fillId="0" borderId="107" xfId="0" applyNumberFormat="1" applyFont="1" applyBorder="1">
      <alignment vertical="center"/>
    </xf>
    <xf numFmtId="3" fontId="17" fillId="14" borderId="83" xfId="0" applyNumberFormat="1" applyFont="1" applyFill="1" applyBorder="1">
      <alignment vertical="center"/>
    </xf>
    <xf numFmtId="10" fontId="11" fillId="7" borderId="44" xfId="0" applyNumberFormat="1" applyFont="1" applyFill="1" applyBorder="1" applyAlignment="1">
      <alignment horizontal="right" vertical="center"/>
    </xf>
    <xf numFmtId="176" fontId="13" fillId="3" borderId="107" xfId="0" applyNumberFormat="1" applyFont="1" applyFill="1" applyBorder="1">
      <alignment vertical="center"/>
    </xf>
    <xf numFmtId="176" fontId="14" fillId="5" borderId="107" xfId="0" applyNumberFormat="1" applyFont="1" applyFill="1" applyBorder="1">
      <alignment vertical="center"/>
    </xf>
    <xf numFmtId="176" fontId="20" fillId="4" borderId="107" xfId="0" applyNumberFormat="1" applyFont="1" applyFill="1" applyBorder="1">
      <alignment vertical="center"/>
    </xf>
    <xf numFmtId="176" fontId="20" fillId="12" borderId="107" xfId="0" applyNumberFormat="1" applyFont="1" applyFill="1" applyBorder="1">
      <alignment vertical="center"/>
    </xf>
    <xf numFmtId="176" fontId="11" fillId="5" borderId="264" xfId="0" applyNumberFormat="1" applyFont="1" applyFill="1" applyBorder="1">
      <alignment vertical="center"/>
    </xf>
    <xf numFmtId="176" fontId="11" fillId="0" borderId="264" xfId="0" applyNumberFormat="1" applyFont="1" applyBorder="1">
      <alignment vertical="center"/>
    </xf>
    <xf numFmtId="176" fontId="20" fillId="12" borderId="265" xfId="0" applyNumberFormat="1" applyFont="1" applyFill="1" applyBorder="1">
      <alignment vertical="center"/>
    </xf>
    <xf numFmtId="176" fontId="14" fillId="0" borderId="264" xfId="0" applyNumberFormat="1" applyFont="1" applyBorder="1" applyAlignment="1">
      <alignment horizontal="right" vertical="center"/>
    </xf>
    <xf numFmtId="176" fontId="14" fillId="0" borderId="107" xfId="0" applyNumberFormat="1" applyFont="1" applyBorder="1" applyAlignment="1">
      <alignment horizontal="right" vertical="center"/>
    </xf>
    <xf numFmtId="176" fontId="20" fillId="12" borderId="266" xfId="0" applyNumberFormat="1" applyFont="1" applyFill="1" applyBorder="1">
      <alignment vertical="center"/>
    </xf>
    <xf numFmtId="0" fontId="20" fillId="28" borderId="93" xfId="0" applyFont="1" applyFill="1" applyBorder="1">
      <alignment vertical="center"/>
    </xf>
    <xf numFmtId="14" fontId="20" fillId="28" borderId="93" xfId="0" applyNumberFormat="1" applyFont="1" applyFill="1" applyBorder="1">
      <alignment vertical="center"/>
    </xf>
    <xf numFmtId="176" fontId="20" fillId="28" borderId="266" xfId="0" applyNumberFormat="1" applyFont="1" applyFill="1" applyBorder="1">
      <alignment vertical="center"/>
    </xf>
    <xf numFmtId="0" fontId="20" fillId="28" borderId="92" xfId="0" applyFont="1" applyFill="1" applyBorder="1">
      <alignment vertical="center"/>
    </xf>
    <xf numFmtId="176" fontId="13" fillId="28" borderId="10" xfId="0" applyNumberFormat="1" applyFont="1" applyFill="1" applyBorder="1" applyAlignment="1">
      <alignment horizontal="right" vertical="center"/>
    </xf>
    <xf numFmtId="0" fontId="16" fillId="29" borderId="243" xfId="0" applyFont="1" applyFill="1" applyBorder="1">
      <alignment vertical="center"/>
    </xf>
    <xf numFmtId="0" fontId="11" fillId="29" borderId="88" xfId="0" applyFont="1" applyFill="1" applyBorder="1">
      <alignment vertical="center"/>
    </xf>
    <xf numFmtId="0" fontId="11" fillId="29" borderId="256" xfId="0" applyFont="1" applyFill="1" applyBorder="1">
      <alignment vertical="center"/>
    </xf>
    <xf numFmtId="0" fontId="20" fillId="29" borderId="25" xfId="0" applyFont="1" applyFill="1" applyBorder="1">
      <alignment vertical="center"/>
    </xf>
    <xf numFmtId="14" fontId="20" fillId="29" borderId="25" xfId="0" applyNumberFormat="1" applyFont="1" applyFill="1" applyBorder="1">
      <alignment vertical="center"/>
    </xf>
    <xf numFmtId="176" fontId="20" fillId="29" borderId="244" xfId="0" applyNumberFormat="1" applyFont="1" applyFill="1" applyBorder="1">
      <alignment vertical="center"/>
    </xf>
    <xf numFmtId="176" fontId="14" fillId="29" borderId="254" xfId="0" applyNumberFormat="1" applyFont="1" applyFill="1" applyBorder="1" applyAlignment="1">
      <alignment horizontal="right" vertical="center"/>
    </xf>
    <xf numFmtId="176" fontId="14" fillId="29" borderId="245" xfId="0" applyNumberFormat="1" applyFont="1" applyFill="1" applyBorder="1" applyAlignment="1">
      <alignment horizontal="right" vertical="center"/>
    </xf>
    <xf numFmtId="0" fontId="11" fillId="11" borderId="246" xfId="0" applyFont="1" applyFill="1" applyBorder="1">
      <alignment vertical="center"/>
    </xf>
    <xf numFmtId="0" fontId="11" fillId="11" borderId="247" xfId="0" applyFont="1" applyFill="1" applyBorder="1">
      <alignment vertical="center"/>
    </xf>
    <xf numFmtId="14" fontId="11" fillId="11" borderId="247" xfId="0" applyNumberFormat="1" applyFont="1" applyFill="1" applyBorder="1">
      <alignment vertical="center"/>
    </xf>
    <xf numFmtId="176" fontId="11" fillId="11" borderId="247" xfId="0" applyNumberFormat="1" applyFont="1" applyFill="1" applyBorder="1">
      <alignment vertical="center"/>
    </xf>
    <xf numFmtId="176" fontId="11" fillId="11" borderId="267" xfId="0" applyNumberFormat="1" applyFont="1" applyFill="1" applyBorder="1">
      <alignment vertical="center"/>
    </xf>
    <xf numFmtId="176" fontId="11" fillId="0" borderId="268" xfId="0" applyNumberFormat="1" applyFont="1" applyBorder="1">
      <alignment vertical="center"/>
    </xf>
    <xf numFmtId="0" fontId="11" fillId="15" borderId="257" xfId="0" applyFont="1" applyFill="1" applyBorder="1">
      <alignment vertical="center"/>
    </xf>
    <xf numFmtId="0" fontId="11" fillId="15" borderId="258" xfId="0" applyFont="1" applyFill="1" applyBorder="1">
      <alignment vertical="center"/>
    </xf>
    <xf numFmtId="14" fontId="11" fillId="15" borderId="258" xfId="0" applyNumberFormat="1" applyFont="1" applyFill="1" applyBorder="1">
      <alignment vertical="center"/>
    </xf>
    <xf numFmtId="176" fontId="11" fillId="15" borderId="258" xfId="0" applyNumberFormat="1" applyFont="1" applyFill="1" applyBorder="1">
      <alignment vertical="center"/>
    </xf>
    <xf numFmtId="176" fontId="11" fillId="15" borderId="259" xfId="0" applyNumberFormat="1" applyFont="1" applyFill="1" applyBorder="1">
      <alignment vertical="center"/>
    </xf>
    <xf numFmtId="176" fontId="11" fillId="30" borderId="255" xfId="0" applyNumberFormat="1" applyFont="1" applyFill="1" applyBorder="1">
      <alignment vertical="center"/>
    </xf>
    <xf numFmtId="215" fontId="15" fillId="29" borderId="0" xfId="0" applyNumberFormat="1" applyFont="1" applyFill="1">
      <alignment vertical="center"/>
    </xf>
    <xf numFmtId="192" fontId="17" fillId="29" borderId="0" xfId="0" applyNumberFormat="1" applyFont="1" applyFill="1" applyAlignment="1">
      <alignment horizontal="center" vertical="center"/>
    </xf>
    <xf numFmtId="17" fontId="11" fillId="0" borderId="0" xfId="0" applyNumberFormat="1" applyFont="1">
      <alignment vertical="center"/>
    </xf>
    <xf numFmtId="14" fontId="51" fillId="0" borderId="4" xfId="0" applyNumberFormat="1" applyFont="1" applyBorder="1" applyAlignment="1">
      <alignment horizontal="right" vertical="center"/>
    </xf>
    <xf numFmtId="176" fontId="11" fillId="0" borderId="270" xfId="0" applyNumberFormat="1" applyFont="1" applyBorder="1">
      <alignment vertical="center"/>
    </xf>
    <xf numFmtId="182" fontId="11" fillId="0" borderId="271" xfId="0" applyNumberFormat="1" applyFont="1" applyBorder="1">
      <alignment vertical="center"/>
    </xf>
    <xf numFmtId="10" fontId="25" fillId="8" borderId="159" xfId="0" applyNumberFormat="1" applyFont="1" applyFill="1" applyBorder="1">
      <alignment vertical="center"/>
    </xf>
    <xf numFmtId="0" fontId="23" fillId="8" borderId="159" xfId="0" applyFont="1" applyFill="1" applyBorder="1" applyAlignment="1">
      <alignment horizontal="center" vertical="center"/>
    </xf>
    <xf numFmtId="0" fontId="55" fillId="0" borderId="0" xfId="0" applyFont="1">
      <alignment vertical="center"/>
    </xf>
    <xf numFmtId="176" fontId="23" fillId="0" borderId="0" xfId="0" applyNumberFormat="1" applyFont="1">
      <alignment vertical="center"/>
    </xf>
    <xf numFmtId="3" fontId="23" fillId="0" borderId="0" xfId="0" applyNumberFormat="1" applyFont="1" applyAlignment="1">
      <alignment horizontal="center" vertical="center"/>
    </xf>
    <xf numFmtId="0" fontId="11" fillId="0" borderId="9" xfId="0" applyFont="1" applyBorder="1" applyAlignment="1">
      <alignment horizontal="center" vertical="center"/>
    </xf>
    <xf numFmtId="10" fontId="11" fillId="0" borderId="9" xfId="0" applyNumberFormat="1" applyFont="1" applyBorder="1">
      <alignment vertical="center"/>
    </xf>
    <xf numFmtId="0" fontId="11" fillId="0" borderId="272" xfId="0" applyFont="1" applyBorder="1">
      <alignment vertical="center"/>
    </xf>
    <xf numFmtId="0" fontId="11" fillId="0" borderId="273" xfId="0" applyFont="1" applyBorder="1">
      <alignment vertical="center"/>
    </xf>
    <xf numFmtId="10" fontId="11" fillId="0" borderId="273" xfId="0" applyNumberFormat="1" applyFont="1" applyBorder="1">
      <alignment vertical="center"/>
    </xf>
    <xf numFmtId="14" fontId="11" fillId="0" borderId="273" xfId="0" applyNumberFormat="1" applyFont="1" applyBorder="1">
      <alignment vertical="center"/>
    </xf>
    <xf numFmtId="176" fontId="14" fillId="0" borderId="273" xfId="0" applyNumberFormat="1" applyFont="1" applyBorder="1" applyAlignment="1">
      <alignment horizontal="right" vertical="center"/>
    </xf>
    <xf numFmtId="10" fontId="14" fillId="0" borderId="0" xfId="0" applyNumberFormat="1" applyFont="1" applyAlignment="1">
      <alignment horizontal="right" vertical="center"/>
    </xf>
    <xf numFmtId="10" fontId="14" fillId="0" borderId="247" xfId="0" applyNumberFormat="1" applyFont="1" applyBorder="1" applyAlignment="1">
      <alignment horizontal="right" vertical="center"/>
    </xf>
    <xf numFmtId="10" fontId="14" fillId="0" borderId="77" xfId="0" applyNumberFormat="1" applyFont="1" applyBorder="1" applyAlignment="1">
      <alignment horizontal="right" vertical="center"/>
    </xf>
    <xf numFmtId="218" fontId="56" fillId="0" borderId="0" xfId="0" applyNumberFormat="1" applyFont="1">
      <alignment vertical="center"/>
    </xf>
    <xf numFmtId="0" fontId="57" fillId="15" borderId="247" xfId="0" applyFont="1" applyFill="1" applyBorder="1">
      <alignment vertical="center"/>
    </xf>
    <xf numFmtId="10" fontId="57" fillId="15" borderId="247" xfId="0" applyNumberFormat="1" applyFont="1" applyFill="1" applyBorder="1">
      <alignment vertical="center"/>
    </xf>
    <xf numFmtId="10" fontId="57" fillId="15" borderId="77" xfId="0" applyNumberFormat="1" applyFont="1" applyFill="1" applyBorder="1">
      <alignment vertical="center"/>
    </xf>
    <xf numFmtId="219" fontId="57" fillId="15" borderId="77" xfId="0" applyNumberFormat="1" applyFont="1" applyFill="1" applyBorder="1">
      <alignment vertical="center"/>
    </xf>
    <xf numFmtId="219" fontId="57" fillId="15" borderId="0" xfId="0" applyNumberFormat="1" applyFont="1" applyFill="1">
      <alignment vertical="center"/>
    </xf>
    <xf numFmtId="0" fontId="57" fillId="15" borderId="0" xfId="0" applyFont="1" applyFill="1">
      <alignment vertical="center"/>
    </xf>
    <xf numFmtId="10" fontId="57" fillId="15" borderId="0" xfId="0" applyNumberFormat="1" applyFont="1" applyFill="1">
      <alignment vertical="center"/>
    </xf>
    <xf numFmtId="219" fontId="57" fillId="15" borderId="247" xfId="0" applyNumberFormat="1" applyFont="1" applyFill="1" applyBorder="1">
      <alignment vertical="center"/>
    </xf>
    <xf numFmtId="10" fontId="57" fillId="15" borderId="9" xfId="0" applyNumberFormat="1" applyFont="1" applyFill="1" applyBorder="1">
      <alignment vertical="center"/>
    </xf>
    <xf numFmtId="219" fontId="57" fillId="15" borderId="9" xfId="0" applyNumberFormat="1" applyFont="1" applyFill="1" applyBorder="1">
      <alignment vertical="center"/>
    </xf>
    <xf numFmtId="10" fontId="14" fillId="0" borderId="9" xfId="0" applyNumberFormat="1" applyFont="1" applyBorder="1" applyAlignment="1">
      <alignment horizontal="right" vertical="center"/>
    </xf>
    <xf numFmtId="0" fontId="11" fillId="0" borderId="274" xfId="0" applyFont="1" applyBorder="1">
      <alignment vertical="center"/>
    </xf>
    <xf numFmtId="0" fontId="11" fillId="0" borderId="275" xfId="0" applyFont="1" applyBorder="1">
      <alignment vertical="center"/>
    </xf>
    <xf numFmtId="14" fontId="57" fillId="15" borderId="0" xfId="0" applyNumberFormat="1" applyFont="1" applyFill="1">
      <alignment vertical="center"/>
    </xf>
    <xf numFmtId="192" fontId="25" fillId="13" borderId="0" xfId="0" applyNumberFormat="1" applyFont="1" applyFill="1">
      <alignment vertical="center"/>
    </xf>
    <xf numFmtId="14" fontId="19" fillId="11" borderId="0" xfId="0" applyNumberFormat="1" applyFont="1" applyFill="1">
      <alignment vertical="center"/>
    </xf>
    <xf numFmtId="182" fontId="11" fillId="0" borderId="0" xfId="0" applyNumberFormat="1" applyFont="1">
      <alignment vertical="center"/>
    </xf>
    <xf numFmtId="3" fontId="11" fillId="6" borderId="31" xfId="0" applyNumberFormat="1" applyFont="1" applyFill="1" applyBorder="1">
      <alignment vertical="center"/>
    </xf>
    <xf numFmtId="9" fontId="14" fillId="0" borderId="0" xfId="0" applyNumberFormat="1" applyFont="1" applyAlignment="1">
      <alignment horizontal="center" vertical="center"/>
    </xf>
    <xf numFmtId="0" fontId="13" fillId="31" borderId="12" xfId="0" applyFont="1" applyFill="1" applyBorder="1">
      <alignment vertical="center"/>
    </xf>
    <xf numFmtId="0" fontId="13" fillId="31" borderId="13" xfId="0" applyFont="1" applyFill="1" applyBorder="1">
      <alignment vertical="center"/>
    </xf>
    <xf numFmtId="0" fontId="13" fillId="31" borderId="219" xfId="0" applyFont="1" applyFill="1" applyBorder="1" applyAlignment="1">
      <alignment horizontal="centerContinuous" vertical="center"/>
    </xf>
    <xf numFmtId="0" fontId="13" fillId="31" borderId="220" xfId="0" applyFont="1" applyFill="1" applyBorder="1" applyAlignment="1">
      <alignment horizontal="centerContinuous" vertical="center"/>
    </xf>
    <xf numFmtId="220" fontId="11" fillId="0" borderId="0" xfId="0" applyNumberFormat="1" applyFont="1" applyAlignment="1">
      <alignment horizontal="center" vertical="center"/>
    </xf>
    <xf numFmtId="220" fontId="17" fillId="16" borderId="0" xfId="0" applyNumberFormat="1" applyFont="1" applyFill="1" applyAlignment="1">
      <alignment horizontal="center" vertical="center"/>
    </xf>
    <xf numFmtId="0" fontId="13" fillId="31" borderId="3" xfId="0" applyFont="1" applyFill="1" applyBorder="1">
      <alignment vertical="center"/>
    </xf>
    <xf numFmtId="0" fontId="13" fillId="31" borderId="6" xfId="0" applyFont="1" applyFill="1" applyBorder="1">
      <alignment vertical="center"/>
    </xf>
    <xf numFmtId="0" fontId="11" fillId="31" borderId="4" xfId="0" applyFont="1" applyFill="1" applyBorder="1">
      <alignment vertical="center"/>
    </xf>
    <xf numFmtId="14" fontId="11" fillId="31" borderId="4" xfId="0" applyNumberFormat="1" applyFont="1" applyFill="1" applyBorder="1">
      <alignment vertical="center"/>
    </xf>
    <xf numFmtId="176" fontId="11" fillId="31" borderId="4" xfId="0" applyNumberFormat="1" applyFont="1" applyFill="1" applyBorder="1">
      <alignment vertical="center"/>
    </xf>
    <xf numFmtId="41" fontId="11" fillId="31" borderId="1" xfId="0" applyNumberFormat="1" applyFont="1" applyFill="1" applyBorder="1">
      <alignment vertical="center"/>
    </xf>
    <xf numFmtId="176" fontId="11" fillId="31" borderId="5" xfId="0" applyNumberFormat="1" applyFont="1" applyFill="1" applyBorder="1">
      <alignment vertical="center"/>
    </xf>
    <xf numFmtId="0" fontId="13" fillId="31" borderId="81" xfId="0" applyFont="1" applyFill="1" applyBorder="1">
      <alignment vertical="center"/>
    </xf>
    <xf numFmtId="14" fontId="58" fillId="0" borderId="17" xfId="0" applyNumberFormat="1" applyFont="1" applyBorder="1" applyAlignment="1">
      <alignment horizontal="left" vertical="center"/>
    </xf>
    <xf numFmtId="14" fontId="58" fillId="0" borderId="26" xfId="0" applyNumberFormat="1" applyFont="1" applyBorder="1" applyAlignment="1">
      <alignment horizontal="left" vertical="center"/>
    </xf>
    <xf numFmtId="14" fontId="58" fillId="0" borderId="241" xfId="0" applyNumberFormat="1" applyFont="1" applyBorder="1" applyAlignment="1">
      <alignment horizontal="left" vertical="center"/>
    </xf>
    <xf numFmtId="192" fontId="11" fillId="0" borderId="7" xfId="0" applyNumberFormat="1" applyFont="1" applyBorder="1">
      <alignment vertical="center"/>
    </xf>
    <xf numFmtId="192" fontId="11" fillId="0" borderId="10" xfId="0" applyNumberFormat="1" applyFont="1" applyBorder="1">
      <alignment vertical="center"/>
    </xf>
    <xf numFmtId="192" fontId="11" fillId="0" borderId="11" xfId="0" applyNumberFormat="1" applyFont="1" applyBorder="1">
      <alignment vertical="center"/>
    </xf>
    <xf numFmtId="192" fontId="11" fillId="11" borderId="0" xfId="0" applyNumberFormat="1" applyFont="1" applyFill="1">
      <alignment vertical="center"/>
    </xf>
    <xf numFmtId="9" fontId="15" fillId="2" borderId="261" xfId="0" applyNumberFormat="1" applyFont="1" applyFill="1" applyBorder="1" applyAlignment="1">
      <alignment horizontal="right" vertical="center"/>
    </xf>
    <xf numFmtId="221" fontId="14" fillId="0" borderId="261" xfId="0" applyNumberFormat="1" applyFont="1" applyBorder="1" applyAlignment="1">
      <alignment horizontal="right" vertical="center"/>
    </xf>
    <xf numFmtId="9" fontId="15" fillId="2" borderId="26" xfId="0" applyNumberFormat="1" applyFont="1" applyFill="1" applyBorder="1" applyAlignment="1">
      <alignment horizontal="right" vertical="center"/>
    </xf>
    <xf numFmtId="221" fontId="14" fillId="0" borderId="26" xfId="0" applyNumberFormat="1" applyFont="1" applyBorder="1" applyAlignment="1">
      <alignment horizontal="right" vertical="center"/>
    </xf>
    <xf numFmtId="221" fontId="14" fillId="0" borderId="165" xfId="0" applyNumberFormat="1" applyFont="1" applyBorder="1" applyAlignment="1">
      <alignment horizontal="right" vertical="center"/>
    </xf>
    <xf numFmtId="0" fontId="23" fillId="11" borderId="0" xfId="0" applyFont="1" applyFill="1">
      <alignment vertical="center"/>
    </xf>
    <xf numFmtId="222" fontId="11" fillId="0" borderId="0" xfId="0" applyNumberFormat="1" applyFont="1">
      <alignment vertical="center"/>
    </xf>
    <xf numFmtId="223" fontId="11" fillId="0" borderId="0" xfId="0" applyNumberFormat="1" applyFont="1">
      <alignment vertical="center"/>
    </xf>
    <xf numFmtId="0" fontId="23" fillId="0" borderId="25" xfId="0" applyFont="1" applyBorder="1">
      <alignment vertical="center"/>
    </xf>
    <xf numFmtId="192" fontId="25" fillId="13" borderId="25" xfId="0" applyNumberFormat="1" applyFont="1" applyFill="1" applyBorder="1">
      <alignment vertical="center"/>
    </xf>
    <xf numFmtId="218" fontId="56" fillId="0" borderId="25" xfId="0" applyNumberFormat="1" applyFont="1" applyBorder="1">
      <alignment vertical="center"/>
    </xf>
    <xf numFmtId="14" fontId="23" fillId="0" borderId="0" xfId="0" applyNumberFormat="1" applyFont="1">
      <alignment vertical="center"/>
    </xf>
    <xf numFmtId="14" fontId="23" fillId="0" borderId="25" xfId="0" applyNumberFormat="1" applyFont="1" applyBorder="1">
      <alignment vertical="center"/>
    </xf>
    <xf numFmtId="182" fontId="11" fillId="0" borderId="102" xfId="0" applyNumberFormat="1" applyFont="1" applyBorder="1">
      <alignment vertical="center"/>
    </xf>
    <xf numFmtId="0" fontId="14" fillId="5" borderId="276" xfId="0" applyFont="1" applyFill="1" applyBorder="1" applyAlignment="1">
      <alignment horizontal="center" vertical="center"/>
    </xf>
    <xf numFmtId="176" fontId="11" fillId="0" borderId="277" xfId="0" applyNumberFormat="1" applyFont="1" applyBorder="1">
      <alignment vertical="center"/>
    </xf>
    <xf numFmtId="176" fontId="11" fillId="0" borderId="148" xfId="0" applyNumberFormat="1" applyFont="1" applyBorder="1">
      <alignment vertical="center"/>
    </xf>
    <xf numFmtId="176" fontId="11" fillId="0" borderId="158" xfId="0" applyNumberFormat="1" applyFont="1" applyBorder="1">
      <alignment vertical="center"/>
    </xf>
    <xf numFmtId="182" fontId="11" fillId="0" borderId="148" xfId="0" applyNumberFormat="1" applyFont="1" applyBorder="1">
      <alignment vertical="center"/>
    </xf>
    <xf numFmtId="9" fontId="15" fillId="11" borderId="26" xfId="0" applyNumberFormat="1" applyFont="1" applyFill="1" applyBorder="1" applyAlignment="1">
      <alignment horizontal="right" vertical="center"/>
    </xf>
    <xf numFmtId="9" fontId="15" fillId="11" borderId="165" xfId="0" applyNumberFormat="1" applyFont="1" applyFill="1" applyBorder="1" applyAlignment="1">
      <alignment horizontal="right" vertical="center"/>
    </xf>
    <xf numFmtId="182" fontId="11" fillId="0" borderId="158" xfId="0" applyNumberFormat="1" applyFont="1" applyBorder="1">
      <alignment vertical="center"/>
    </xf>
    <xf numFmtId="182" fontId="11" fillId="0" borderId="277" xfId="0" applyNumberFormat="1" applyFont="1" applyBorder="1" applyAlignment="1">
      <alignment horizontal="right" vertical="center"/>
    </xf>
    <xf numFmtId="176" fontId="11" fillId="0" borderId="138" xfId="0" applyNumberFormat="1" applyFont="1" applyBorder="1">
      <alignment vertical="center"/>
    </xf>
    <xf numFmtId="176" fontId="11" fillId="0" borderId="25" xfId="0" applyNumberFormat="1" applyFont="1" applyBorder="1">
      <alignment vertical="center"/>
    </xf>
    <xf numFmtId="0" fontId="11" fillId="0" borderId="137" xfId="0" applyFont="1" applyBorder="1">
      <alignment vertical="center"/>
    </xf>
    <xf numFmtId="0" fontId="11" fillId="0" borderId="278" xfId="0" applyFont="1" applyBorder="1">
      <alignment vertical="center"/>
    </xf>
    <xf numFmtId="0" fontId="11" fillId="0" borderId="279" xfId="0" applyFont="1" applyBorder="1">
      <alignment vertical="center"/>
    </xf>
    <xf numFmtId="176" fontId="11" fillId="0" borderId="174" xfId="0" applyNumberFormat="1" applyFont="1" applyBorder="1">
      <alignment vertical="center"/>
    </xf>
    <xf numFmtId="10" fontId="11" fillId="0" borderId="77" xfId="0" applyNumberFormat="1" applyFont="1" applyBorder="1">
      <alignment vertical="center"/>
    </xf>
    <xf numFmtId="176" fontId="14" fillId="0" borderId="77" xfId="0" applyNumberFormat="1" applyFont="1" applyBorder="1" applyAlignment="1">
      <alignment horizontal="right" vertical="center"/>
    </xf>
    <xf numFmtId="217" fontId="11" fillId="0" borderId="78" xfId="0" applyNumberFormat="1" applyFont="1" applyBorder="1">
      <alignment vertical="center"/>
    </xf>
    <xf numFmtId="176" fontId="17" fillId="2" borderId="33" xfId="0" applyNumberFormat="1" applyFont="1" applyFill="1" applyBorder="1" applyAlignment="1">
      <alignment horizontal="right" vertical="center"/>
    </xf>
    <xf numFmtId="0" fontId="59" fillId="32" borderId="283" xfId="0" applyFont="1" applyFill="1" applyBorder="1" applyAlignment="1">
      <alignment vertical="center" wrapText="1"/>
    </xf>
    <xf numFmtId="0" fontId="60" fillId="32" borderId="280" xfId="0" applyFont="1" applyFill="1" applyBorder="1" applyAlignment="1">
      <alignment horizontal="center" vertical="center" wrapText="1" readingOrder="1"/>
    </xf>
    <xf numFmtId="0" fontId="61" fillId="33" borderId="280" xfId="0" applyFont="1" applyFill="1" applyBorder="1" applyAlignment="1">
      <alignment horizontal="center" vertical="center" wrapText="1" readingOrder="1"/>
    </xf>
    <xf numFmtId="0" fontId="59" fillId="32" borderId="284" xfId="0" applyFont="1" applyFill="1" applyBorder="1" applyAlignment="1">
      <alignment vertical="center" wrapText="1"/>
    </xf>
    <xf numFmtId="0" fontId="60" fillId="32" borderId="281" xfId="0" applyFont="1" applyFill="1" applyBorder="1" applyAlignment="1">
      <alignment vertical="center" wrapText="1" readingOrder="1"/>
    </xf>
    <xf numFmtId="0" fontId="60" fillId="32" borderId="282" xfId="0" applyFont="1" applyFill="1" applyBorder="1" applyAlignment="1">
      <alignment vertical="center" wrapText="1" readingOrder="1"/>
    </xf>
    <xf numFmtId="185" fontId="23" fillId="0" borderId="0" xfId="0" applyNumberFormat="1" applyFont="1">
      <alignment vertical="center"/>
    </xf>
    <xf numFmtId="183" fontId="61" fillId="33" borderId="281" xfId="0" applyNumberFormat="1" applyFont="1" applyFill="1" applyBorder="1" applyAlignment="1">
      <alignment horizontal="center" vertical="center" wrapText="1" readingOrder="1"/>
    </xf>
    <xf numFmtId="183" fontId="61" fillId="33" borderId="285" xfId="0" applyNumberFormat="1" applyFont="1" applyFill="1" applyBorder="1" applyAlignment="1">
      <alignment horizontal="center" vertical="center" wrapText="1" readingOrder="1"/>
    </xf>
    <xf numFmtId="183" fontId="61" fillId="33" borderId="280" xfId="0" applyNumberFormat="1" applyFont="1" applyFill="1" applyBorder="1" applyAlignment="1">
      <alignment horizontal="center" vertical="center" wrapText="1" readingOrder="1"/>
    </xf>
    <xf numFmtId="183" fontId="61" fillId="33" borderId="282" xfId="0" applyNumberFormat="1" applyFont="1" applyFill="1" applyBorder="1" applyAlignment="1">
      <alignment horizontal="center" vertical="center" wrapText="1" readingOrder="1"/>
    </xf>
    <xf numFmtId="0" fontId="64" fillId="6" borderId="283" xfId="0" applyFont="1" applyFill="1" applyBorder="1" applyAlignment="1">
      <alignment horizontal="center" vertical="center" wrapText="1" readingOrder="1"/>
    </xf>
    <xf numFmtId="0" fontId="62" fillId="6" borderId="280" xfId="0" applyFont="1" applyFill="1" applyBorder="1" applyAlignment="1">
      <alignment horizontal="left" vertical="center" wrapText="1" readingOrder="1"/>
    </xf>
    <xf numFmtId="184" fontId="65" fillId="6" borderId="280" xfId="0" applyNumberFormat="1" applyFont="1" applyFill="1" applyBorder="1" applyAlignment="1">
      <alignment horizontal="left" vertical="center" wrapText="1" readingOrder="1"/>
    </xf>
    <xf numFmtId="184" fontId="65" fillId="6" borderId="280" xfId="0" applyNumberFormat="1" applyFont="1" applyFill="1" applyBorder="1" applyAlignment="1">
      <alignment horizontal="center" vertical="center" wrapText="1" readingOrder="1"/>
    </xf>
    <xf numFmtId="0" fontId="65" fillId="6" borderId="280" xfId="0" applyFont="1" applyFill="1" applyBorder="1" applyAlignment="1">
      <alignment horizontal="center" vertical="center" wrapText="1" readingOrder="1"/>
    </xf>
    <xf numFmtId="184" fontId="65" fillId="6" borderId="281" xfId="0" applyNumberFormat="1" applyFont="1" applyFill="1" applyBorder="1" applyAlignment="1">
      <alignment horizontal="left" vertical="center" wrapText="1" readingOrder="1"/>
    </xf>
    <xf numFmtId="0" fontId="65" fillId="6" borderId="281" xfId="0" applyFont="1" applyFill="1" applyBorder="1" applyAlignment="1">
      <alignment horizontal="center" vertical="center" wrapText="1" readingOrder="1"/>
    </xf>
    <xf numFmtId="0" fontId="65" fillId="6" borderId="281" xfId="0" applyFont="1" applyFill="1" applyBorder="1" applyAlignment="1">
      <alignment horizontal="left" vertical="center" wrapText="1" readingOrder="1"/>
    </xf>
    <xf numFmtId="0" fontId="65" fillId="6" borderId="285" xfId="0" applyFont="1" applyFill="1" applyBorder="1" applyAlignment="1">
      <alignment horizontal="left" vertical="center" wrapText="1" readingOrder="1"/>
    </xf>
    <xf numFmtId="0" fontId="65" fillId="6" borderId="282" xfId="0" applyFont="1" applyFill="1" applyBorder="1" applyAlignment="1">
      <alignment horizontal="left" vertical="center" wrapText="1" readingOrder="1"/>
    </xf>
    <xf numFmtId="0" fontId="65" fillId="6" borderId="280" xfId="0" applyFont="1" applyFill="1" applyBorder="1" applyAlignment="1">
      <alignment horizontal="left" vertical="center" wrapText="1" readingOrder="1"/>
    </xf>
    <xf numFmtId="0" fontId="65" fillId="6" borderId="282" xfId="0" applyFont="1" applyFill="1" applyBorder="1" applyAlignment="1">
      <alignment horizontal="center" vertical="center" wrapText="1" readingOrder="1"/>
    </xf>
    <xf numFmtId="0" fontId="63" fillId="6" borderId="280" xfId="0" applyFont="1" applyFill="1" applyBorder="1" applyAlignment="1">
      <alignment horizontal="center" vertical="center" wrapText="1" readingOrder="1"/>
    </xf>
    <xf numFmtId="3" fontId="11" fillId="6" borderId="217" xfId="0" applyNumberFormat="1" applyFont="1" applyFill="1" applyBorder="1">
      <alignment vertical="center"/>
    </xf>
    <xf numFmtId="176" fontId="11" fillId="0" borderId="131" xfId="0" applyNumberFormat="1" applyFont="1" applyBorder="1">
      <alignment vertical="center"/>
    </xf>
    <xf numFmtId="0" fontId="11" fillId="6" borderId="33" xfId="0" applyFont="1" applyFill="1" applyBorder="1">
      <alignment vertical="center"/>
    </xf>
    <xf numFmtId="0" fontId="11" fillId="6" borderId="262" xfId="0" applyFont="1" applyFill="1" applyBorder="1">
      <alignment vertical="center"/>
    </xf>
    <xf numFmtId="176" fontId="11" fillId="6" borderId="33" xfId="0" applyNumberFormat="1" applyFont="1" applyFill="1" applyBorder="1">
      <alignment vertical="center"/>
    </xf>
    <xf numFmtId="182" fontId="11" fillId="6" borderId="50" xfId="0" applyNumberFormat="1" applyFont="1" applyFill="1" applyBorder="1">
      <alignment vertical="center"/>
    </xf>
    <xf numFmtId="176" fontId="23" fillId="0" borderId="158" xfId="0" applyNumberFormat="1" applyFont="1" applyBorder="1">
      <alignment vertical="center"/>
    </xf>
    <xf numFmtId="0" fontId="11" fillId="0" borderId="270" xfId="0" applyFont="1" applyBorder="1">
      <alignment vertical="center"/>
    </xf>
    <xf numFmtId="0" fontId="14" fillId="5" borderId="286" xfId="0" applyFont="1" applyFill="1" applyBorder="1" applyAlignment="1">
      <alignment horizontal="center" vertical="center"/>
    </xf>
    <xf numFmtId="0" fontId="14" fillId="5" borderId="287" xfId="0" applyFont="1" applyFill="1" applyBorder="1" applyAlignment="1">
      <alignment horizontal="center" vertical="center"/>
    </xf>
    <xf numFmtId="176" fontId="11" fillId="0" borderId="286" xfId="0" applyNumberFormat="1" applyFont="1" applyBorder="1">
      <alignment vertical="center"/>
    </xf>
    <xf numFmtId="182" fontId="11" fillId="0" borderId="287" xfId="0" applyNumberFormat="1" applyFont="1" applyBorder="1">
      <alignment vertical="center"/>
    </xf>
    <xf numFmtId="176" fontId="11" fillId="0" borderId="288" xfId="0" applyNumberFormat="1" applyFont="1" applyBorder="1">
      <alignment vertical="center"/>
    </xf>
    <xf numFmtId="182" fontId="11" fillId="0" borderId="289" xfId="0" applyNumberFormat="1" applyFont="1" applyBorder="1">
      <alignment vertical="center"/>
    </xf>
    <xf numFmtId="176" fontId="11" fillId="6" borderId="290" xfId="0" applyNumberFormat="1" applyFont="1" applyFill="1" applyBorder="1">
      <alignment vertical="center"/>
    </xf>
    <xf numFmtId="182" fontId="11" fillId="6" borderId="291" xfId="0" applyNumberFormat="1" applyFont="1" applyFill="1" applyBorder="1">
      <alignment vertical="center"/>
    </xf>
    <xf numFmtId="176" fontId="11" fillId="6" borderId="294" xfId="0" applyNumberFormat="1" applyFont="1" applyFill="1" applyBorder="1">
      <alignment vertical="center"/>
    </xf>
    <xf numFmtId="182" fontId="11" fillId="6" borderId="295" xfId="0" applyNumberFormat="1" applyFont="1" applyFill="1" applyBorder="1">
      <alignment vertical="center"/>
    </xf>
    <xf numFmtId="176" fontId="11" fillId="0" borderId="296" xfId="0" applyNumberFormat="1" applyFont="1" applyBorder="1">
      <alignment vertical="center"/>
    </xf>
    <xf numFmtId="182" fontId="11" fillId="0" borderId="297" xfId="0" applyNumberFormat="1" applyFont="1" applyBorder="1">
      <alignment vertical="center"/>
    </xf>
    <xf numFmtId="176" fontId="11" fillId="6" borderId="288" xfId="0" applyNumberFormat="1" applyFont="1" applyFill="1" applyBorder="1">
      <alignment vertical="center"/>
    </xf>
    <xf numFmtId="182" fontId="11" fillId="6" borderId="289" xfId="0" applyNumberFormat="1" applyFont="1" applyFill="1" applyBorder="1">
      <alignment vertical="center"/>
    </xf>
    <xf numFmtId="176" fontId="11" fillId="7" borderId="298" xfId="0" applyNumberFormat="1" applyFont="1" applyFill="1" applyBorder="1">
      <alignment vertical="center"/>
    </xf>
    <xf numFmtId="182" fontId="11" fillId="7" borderId="299" xfId="0" applyNumberFormat="1" applyFont="1" applyFill="1" applyBorder="1">
      <alignment vertical="center"/>
    </xf>
    <xf numFmtId="10" fontId="11" fillId="0" borderId="25" xfId="0" applyNumberFormat="1" applyFont="1" applyBorder="1">
      <alignment vertical="center"/>
    </xf>
    <xf numFmtId="3" fontId="11" fillId="0" borderId="25" xfId="0" applyNumberFormat="1" applyFont="1" applyBorder="1">
      <alignment vertical="center"/>
    </xf>
    <xf numFmtId="0" fontId="13" fillId="34" borderId="45" xfId="0" applyFont="1" applyFill="1" applyBorder="1" applyAlignment="1">
      <alignment horizontal="centerContinuous" vertical="center"/>
    </xf>
    <xf numFmtId="0" fontId="13" fillId="34" borderId="219" xfId="0" applyFont="1" applyFill="1" applyBorder="1" applyAlignment="1">
      <alignment horizontal="centerContinuous" vertical="center"/>
    </xf>
    <xf numFmtId="0" fontId="13" fillId="34" borderId="220" xfId="0" applyFont="1" applyFill="1" applyBorder="1" applyAlignment="1">
      <alignment horizontal="centerContinuous" vertical="center"/>
    </xf>
    <xf numFmtId="10" fontId="14" fillId="0" borderId="4" xfId="0" applyNumberFormat="1" applyFont="1" applyBorder="1" applyAlignment="1">
      <alignment horizontal="right" vertical="center"/>
    </xf>
    <xf numFmtId="176" fontId="67" fillId="36" borderId="284" xfId="0" applyNumberFormat="1" applyFont="1" applyFill="1" applyBorder="1" applyAlignment="1">
      <alignment horizontal="center" vertical="center" wrapText="1" readingOrder="1"/>
    </xf>
    <xf numFmtId="176" fontId="67" fillId="37" borderId="284" xfId="0" applyNumberFormat="1" applyFont="1" applyFill="1" applyBorder="1" applyAlignment="1">
      <alignment horizontal="center" vertical="center" wrapText="1" readingOrder="1"/>
    </xf>
    <xf numFmtId="176" fontId="67" fillId="37" borderId="303" xfId="0" applyNumberFormat="1" applyFont="1" applyFill="1" applyBorder="1" applyAlignment="1">
      <alignment horizontal="center" vertical="center" wrapText="1" readingOrder="1"/>
    </xf>
    <xf numFmtId="176" fontId="67" fillId="37" borderId="280" xfId="0" applyNumberFormat="1" applyFont="1" applyFill="1" applyBorder="1" applyAlignment="1">
      <alignment horizontal="right" vertical="center" wrapText="1" readingOrder="1"/>
    </xf>
    <xf numFmtId="176" fontId="68" fillId="37" borderId="280" xfId="0" applyNumberFormat="1" applyFont="1" applyFill="1" applyBorder="1" applyAlignment="1">
      <alignment horizontal="right" vertical="center" wrapText="1" readingOrder="1"/>
    </xf>
    <xf numFmtId="176" fontId="67" fillId="37" borderId="306" xfId="0" applyNumberFormat="1" applyFont="1" applyFill="1" applyBorder="1" applyAlignment="1">
      <alignment horizontal="center" vertical="center" wrapText="1" readingOrder="1"/>
    </xf>
    <xf numFmtId="176" fontId="67" fillId="37" borderId="281" xfId="0" applyNumberFormat="1" applyFont="1" applyFill="1" applyBorder="1" applyAlignment="1">
      <alignment horizontal="right" vertical="center" wrapText="1" readingOrder="1"/>
    </xf>
    <xf numFmtId="176" fontId="68" fillId="37" borderId="281" xfId="0" applyNumberFormat="1" applyFont="1" applyFill="1" applyBorder="1" applyAlignment="1">
      <alignment horizontal="right" vertical="center" wrapText="1" readingOrder="1"/>
    </xf>
    <xf numFmtId="176" fontId="67" fillId="35" borderId="300" xfId="0" applyNumberFormat="1" applyFont="1" applyFill="1" applyBorder="1" applyAlignment="1">
      <alignment horizontal="center" vertical="center" wrapText="1" readingOrder="1"/>
    </xf>
    <xf numFmtId="224" fontId="67" fillId="35" borderId="301" xfId="0" applyNumberFormat="1" applyFont="1" applyFill="1" applyBorder="1" applyAlignment="1">
      <alignment horizontal="center" vertical="center" wrapText="1" readingOrder="1"/>
    </xf>
    <xf numFmtId="176" fontId="67" fillId="35" borderId="302" xfId="0" applyNumberFormat="1" applyFont="1" applyFill="1" applyBorder="1" applyAlignment="1">
      <alignment horizontal="center" vertical="center" wrapText="1" readingOrder="1"/>
    </xf>
    <xf numFmtId="176" fontId="69" fillId="0" borderId="280" xfId="0" applyNumberFormat="1" applyFont="1" applyBorder="1" applyAlignment="1">
      <alignment horizontal="right" vertical="center" wrapText="1"/>
    </xf>
    <xf numFmtId="176" fontId="69" fillId="0" borderId="283" xfId="0" applyNumberFormat="1" applyFont="1" applyBorder="1" applyAlignment="1">
      <alignment horizontal="right" vertical="center" wrapText="1"/>
    </xf>
    <xf numFmtId="176" fontId="69" fillId="37" borderId="280" xfId="0" applyNumberFormat="1" applyFont="1" applyFill="1" applyBorder="1" applyAlignment="1">
      <alignment horizontal="right" vertical="center" wrapText="1"/>
    </xf>
    <xf numFmtId="176" fontId="69" fillId="37" borderId="283" xfId="0" applyNumberFormat="1" applyFont="1" applyFill="1" applyBorder="1" applyAlignment="1">
      <alignment horizontal="right" vertical="center" wrapText="1"/>
    </xf>
    <xf numFmtId="10" fontId="69" fillId="37" borderId="283" xfId="0" applyNumberFormat="1" applyFont="1" applyFill="1" applyBorder="1" applyAlignment="1">
      <alignment horizontal="right" vertical="center" wrapText="1"/>
    </xf>
    <xf numFmtId="176" fontId="69" fillId="37" borderId="281" xfId="0" applyNumberFormat="1" applyFont="1" applyFill="1" applyBorder="1" applyAlignment="1">
      <alignment horizontal="right" vertical="center" wrapText="1"/>
    </xf>
    <xf numFmtId="3" fontId="69" fillId="37" borderId="307" xfId="0" applyNumberFormat="1" applyFont="1" applyFill="1" applyBorder="1" applyAlignment="1">
      <alignment horizontal="right" vertical="center" wrapText="1"/>
    </xf>
    <xf numFmtId="176" fontId="69" fillId="37" borderId="304" xfId="0" applyNumberFormat="1" applyFont="1" applyFill="1" applyBorder="1" applyAlignment="1">
      <alignment horizontal="right" vertical="center" wrapText="1"/>
    </xf>
    <xf numFmtId="176" fontId="69" fillId="37" borderId="305" xfId="0" applyNumberFormat="1" applyFont="1" applyFill="1" applyBorder="1" applyAlignment="1">
      <alignment horizontal="right" vertical="center" wrapText="1"/>
    </xf>
    <xf numFmtId="0" fontId="67" fillId="37" borderId="284" xfId="0" applyFont="1" applyFill="1" applyBorder="1" applyAlignment="1">
      <alignment horizontal="left" vertical="center" wrapText="1" readingOrder="1"/>
    </xf>
    <xf numFmtId="0" fontId="67" fillId="37" borderId="303" xfId="0" applyFont="1" applyFill="1" applyBorder="1" applyAlignment="1">
      <alignment horizontal="left" vertical="center" wrapText="1" readingOrder="1"/>
    </xf>
    <xf numFmtId="0" fontId="67" fillId="35" borderId="300" xfId="0" applyFont="1" applyFill="1" applyBorder="1" applyAlignment="1">
      <alignment horizontal="center" vertical="center" wrapText="1" readingOrder="1"/>
    </xf>
    <xf numFmtId="0" fontId="67" fillId="35" borderId="301" xfId="0" applyFont="1" applyFill="1" applyBorder="1" applyAlignment="1">
      <alignment horizontal="center" vertical="center" wrapText="1" readingOrder="1"/>
    </xf>
    <xf numFmtId="0" fontId="67" fillId="35" borderId="302" xfId="0" applyFont="1" applyFill="1" applyBorder="1" applyAlignment="1">
      <alignment horizontal="center" vertical="center" wrapText="1" readingOrder="1"/>
    </xf>
    <xf numFmtId="0" fontId="69" fillId="37" borderId="283" xfId="0" applyFont="1" applyFill="1" applyBorder="1" applyAlignment="1">
      <alignment horizontal="center" vertical="center" wrapText="1"/>
    </xf>
    <xf numFmtId="176" fontId="69" fillId="0" borderId="280" xfId="0" applyNumberFormat="1" applyFont="1" applyBorder="1" applyAlignment="1">
      <alignment vertical="center" wrapText="1"/>
    </xf>
    <xf numFmtId="176" fontId="69" fillId="37" borderId="280" xfId="0" applyNumberFormat="1" applyFont="1" applyFill="1" applyBorder="1" applyAlignment="1">
      <alignment vertical="center" wrapText="1"/>
    </xf>
    <xf numFmtId="198" fontId="67" fillId="36" borderId="284" xfId="0" applyNumberFormat="1" applyFont="1" applyFill="1" applyBorder="1" applyAlignment="1">
      <alignment horizontal="center" vertical="center" wrapText="1" readingOrder="1"/>
    </xf>
    <xf numFmtId="182" fontId="69" fillId="0" borderId="283" xfId="0" applyNumberFormat="1" applyFont="1" applyBorder="1" applyAlignment="1">
      <alignment horizontal="right" vertical="center" wrapText="1"/>
    </xf>
    <xf numFmtId="0" fontId="67" fillId="36" borderId="284" xfId="0" applyFont="1" applyFill="1" applyBorder="1" applyAlignment="1">
      <alignment horizontal="center" vertical="center" wrapText="1" readingOrder="1"/>
    </xf>
    <xf numFmtId="0" fontId="71" fillId="37" borderId="284" xfId="0" applyFont="1" applyFill="1" applyBorder="1" applyAlignment="1">
      <alignment horizontal="center" vertical="center" wrapText="1" readingOrder="1"/>
    </xf>
    <xf numFmtId="0" fontId="67" fillId="36" borderId="303" xfId="0" applyFont="1" applyFill="1" applyBorder="1" applyAlignment="1">
      <alignment horizontal="center" vertical="center" wrapText="1" readingOrder="1"/>
    </xf>
    <xf numFmtId="0" fontId="72" fillId="0" borderId="0" xfId="0" applyFont="1">
      <alignment vertical="center"/>
    </xf>
    <xf numFmtId="0" fontId="73" fillId="0" borderId="0" xfId="0" applyFont="1">
      <alignment vertical="center"/>
    </xf>
    <xf numFmtId="0" fontId="69" fillId="0" borderId="283" xfId="0" applyFont="1" applyBorder="1" applyAlignment="1">
      <alignment horizontal="center" vertical="center" wrapText="1"/>
    </xf>
    <xf numFmtId="0" fontId="67" fillId="37" borderId="280" xfId="0" applyFont="1" applyFill="1" applyBorder="1" applyAlignment="1">
      <alignment horizontal="center" vertical="center" wrapText="1" readingOrder="1"/>
    </xf>
    <xf numFmtId="0" fontId="67" fillId="37" borderId="283" xfId="0" applyFont="1" applyFill="1" applyBorder="1" applyAlignment="1">
      <alignment horizontal="center" vertical="center" wrapText="1" readingOrder="1"/>
    </xf>
    <xf numFmtId="0" fontId="69" fillId="0" borderId="280" xfId="0" applyFont="1" applyBorder="1" applyAlignment="1">
      <alignment vertical="center" wrapText="1"/>
    </xf>
    <xf numFmtId="0" fontId="69" fillId="36" borderId="304" xfId="0" applyFont="1" applyFill="1" applyBorder="1" applyAlignment="1">
      <alignment vertical="center" wrapText="1"/>
    </xf>
    <xf numFmtId="0" fontId="69" fillId="0" borderId="280" xfId="0" applyFont="1" applyBorder="1" applyAlignment="1">
      <alignment horizontal="right" vertical="center" wrapText="1"/>
    </xf>
    <xf numFmtId="0" fontId="69" fillId="0" borderId="283" xfId="0" applyFont="1" applyBorder="1" applyAlignment="1">
      <alignment horizontal="right" vertical="center" wrapText="1"/>
    </xf>
    <xf numFmtId="0" fontId="69" fillId="36" borderId="305" xfId="0" applyFont="1" applyFill="1" applyBorder="1" applyAlignment="1">
      <alignment horizontal="right" vertical="center" wrapText="1"/>
    </xf>
    <xf numFmtId="225" fontId="69" fillId="0" borderId="283" xfId="0" applyNumberFormat="1" applyFont="1" applyBorder="1" applyAlignment="1">
      <alignment vertical="center" wrapText="1"/>
    </xf>
    <xf numFmtId="225" fontId="69" fillId="36" borderId="283" xfId="0" applyNumberFormat="1" applyFont="1" applyFill="1" applyBorder="1" applyAlignment="1">
      <alignment vertical="center" wrapText="1"/>
    </xf>
    <xf numFmtId="225" fontId="69" fillId="36" borderId="305" xfId="0" applyNumberFormat="1" applyFont="1" applyFill="1" applyBorder="1" applyAlignment="1">
      <alignment vertical="center" wrapText="1"/>
    </xf>
    <xf numFmtId="226" fontId="69" fillId="0" borderId="280" xfId="0" applyNumberFormat="1" applyFont="1" applyBorder="1" applyAlignment="1">
      <alignment horizontal="right" vertical="center" wrapText="1"/>
    </xf>
    <xf numFmtId="227" fontId="14" fillId="0" borderId="107" xfId="0" applyNumberFormat="1" applyFont="1" applyBorder="1">
      <alignment vertical="center"/>
    </xf>
    <xf numFmtId="227" fontId="11" fillId="6" borderId="218" xfId="0" applyNumberFormat="1" applyFont="1" applyFill="1" applyBorder="1">
      <alignment vertical="center"/>
    </xf>
    <xf numFmtId="227" fontId="69" fillId="0" borderId="280" xfId="0" applyNumberFormat="1" applyFont="1" applyBorder="1" applyAlignment="1">
      <alignment horizontal="right" vertical="center" wrapText="1"/>
    </xf>
    <xf numFmtId="10" fontId="69" fillId="0" borderId="280" xfId="0" applyNumberFormat="1" applyFont="1" applyBorder="1" applyAlignment="1">
      <alignment horizontal="right" vertical="center" wrapText="1"/>
    </xf>
    <xf numFmtId="197" fontId="69" fillId="0" borderId="280" xfId="0" applyNumberFormat="1" applyFont="1" applyBorder="1" applyAlignment="1">
      <alignment horizontal="right" vertical="center" wrapText="1"/>
    </xf>
    <xf numFmtId="197" fontId="69" fillId="36" borderId="304" xfId="0" applyNumberFormat="1" applyFont="1" applyFill="1" applyBorder="1" applyAlignment="1">
      <alignment horizontal="right" vertical="center" wrapText="1"/>
    </xf>
    <xf numFmtId="0" fontId="67" fillId="36" borderId="310" xfId="0" applyFont="1" applyFill="1" applyBorder="1" applyAlignment="1">
      <alignment horizontal="center" vertical="center" wrapText="1" readingOrder="1"/>
    </xf>
    <xf numFmtId="226" fontId="69" fillId="0" borderId="311" xfId="0" applyNumberFormat="1" applyFont="1" applyBorder="1" applyAlignment="1">
      <alignment horizontal="right" vertical="center" wrapText="1"/>
    </xf>
    <xf numFmtId="197" fontId="69" fillId="0" borderId="311" xfId="0" applyNumberFormat="1" applyFont="1" applyBorder="1" applyAlignment="1">
      <alignment horizontal="right" vertical="center" wrapText="1"/>
    </xf>
    <xf numFmtId="0" fontId="69" fillId="0" borderId="312" xfId="0" applyFont="1" applyBorder="1" applyAlignment="1">
      <alignment horizontal="right" vertical="center" wrapText="1"/>
    </xf>
    <xf numFmtId="228" fontId="69" fillId="0" borderId="280" xfId="0" applyNumberFormat="1" applyFont="1" applyBorder="1" applyAlignment="1">
      <alignment vertical="center" wrapText="1"/>
    </xf>
    <xf numFmtId="228" fontId="69" fillId="0" borderId="280" xfId="0" applyNumberFormat="1" applyFont="1" applyBorder="1" applyAlignment="1">
      <alignment horizontal="right" vertical="center" wrapText="1"/>
    </xf>
    <xf numFmtId="228" fontId="69" fillId="0" borderId="311" xfId="0" applyNumberFormat="1" applyFont="1" applyBorder="1" applyAlignment="1">
      <alignment horizontal="right" vertical="center" wrapText="1"/>
    </xf>
    <xf numFmtId="228" fontId="69" fillId="36" borderId="304" xfId="0" applyNumberFormat="1" applyFont="1" applyFill="1" applyBorder="1" applyAlignment="1">
      <alignment horizontal="right" vertical="center" wrapText="1"/>
    </xf>
    <xf numFmtId="10" fontId="69" fillId="0" borderId="280" xfId="0" applyNumberFormat="1" applyFont="1" applyBorder="1" applyAlignment="1">
      <alignment vertical="center" wrapText="1"/>
    </xf>
    <xf numFmtId="9" fontId="69" fillId="0" borderId="283" xfId="0" applyNumberFormat="1" applyFont="1" applyBorder="1" applyAlignment="1">
      <alignment vertical="center" wrapText="1"/>
    </xf>
    <xf numFmtId="9" fontId="69" fillId="0" borderId="312" xfId="0" applyNumberFormat="1" applyFont="1" applyBorder="1" applyAlignment="1">
      <alignment vertical="center" wrapText="1"/>
    </xf>
    <xf numFmtId="0" fontId="67" fillId="37" borderId="313" xfId="0" applyFont="1" applyFill="1" applyBorder="1" applyAlignment="1">
      <alignment horizontal="center" vertical="center" wrapText="1" readingOrder="1"/>
    </xf>
    <xf numFmtId="0" fontId="70" fillId="37" borderId="314" xfId="0" applyFont="1" applyFill="1" applyBorder="1" applyAlignment="1">
      <alignment horizontal="center" vertical="center" wrapText="1" readingOrder="1"/>
    </xf>
    <xf numFmtId="0" fontId="70" fillId="37" borderId="315" xfId="0" applyFont="1" applyFill="1" applyBorder="1" applyAlignment="1">
      <alignment horizontal="center" vertical="center" wrapText="1" readingOrder="1"/>
    </xf>
    <xf numFmtId="10" fontId="69" fillId="0" borderId="311" xfId="0" applyNumberFormat="1" applyFont="1" applyBorder="1" applyAlignment="1">
      <alignment horizontal="right" vertical="center" wrapText="1"/>
    </xf>
    <xf numFmtId="10" fontId="69" fillId="36" borderId="304" xfId="0" applyNumberFormat="1" applyFont="1" applyFill="1" applyBorder="1" applyAlignment="1">
      <alignment vertical="center" wrapText="1"/>
    </xf>
    <xf numFmtId="229" fontId="69" fillId="0" borderId="280" xfId="0" applyNumberFormat="1" applyFont="1" applyBorder="1" applyAlignment="1">
      <alignment horizontal="right" vertical="center" wrapText="1"/>
    </xf>
    <xf numFmtId="229" fontId="69" fillId="36" borderId="304" xfId="0" applyNumberFormat="1" applyFont="1" applyFill="1" applyBorder="1" applyAlignment="1">
      <alignment horizontal="right" vertical="center" wrapText="1"/>
    </xf>
    <xf numFmtId="230" fontId="69" fillId="0" borderId="283" xfId="0" applyNumberFormat="1" applyFont="1" applyBorder="1" applyAlignment="1">
      <alignment vertical="center" wrapText="1"/>
    </xf>
    <xf numFmtId="231" fontId="69" fillId="0" borderId="280" xfId="0" applyNumberFormat="1" applyFont="1" applyBorder="1" applyAlignment="1">
      <alignment vertical="center" wrapText="1"/>
    </xf>
    <xf numFmtId="231" fontId="69" fillId="36" borderId="280" xfId="0" applyNumberFormat="1" applyFont="1" applyFill="1" applyBorder="1" applyAlignment="1">
      <alignment vertical="center" wrapText="1"/>
    </xf>
    <xf numFmtId="231" fontId="69" fillId="36" borderId="304" xfId="0" applyNumberFormat="1" applyFont="1" applyFill="1" applyBorder="1" applyAlignment="1">
      <alignment vertical="center" wrapText="1"/>
    </xf>
    <xf numFmtId="231" fontId="69" fillId="0" borderId="280" xfId="0" applyNumberFormat="1" applyFont="1" applyBorder="1" applyAlignment="1">
      <alignment horizontal="right" vertical="center" wrapText="1"/>
    </xf>
    <xf numFmtId="231" fontId="69" fillId="0" borderId="311" xfId="0" applyNumberFormat="1" applyFont="1" applyBorder="1" applyAlignment="1">
      <alignment horizontal="right" vertical="center" wrapText="1"/>
    </xf>
    <xf numFmtId="230" fontId="69" fillId="36" borderId="305" xfId="0" applyNumberFormat="1" applyFont="1" applyFill="1" applyBorder="1" applyAlignment="1">
      <alignment vertical="center" wrapText="1"/>
    </xf>
    <xf numFmtId="0" fontId="74" fillId="38" borderId="159" xfId="0" applyFont="1" applyFill="1" applyBorder="1" applyAlignment="1">
      <alignment horizontal="center" vertical="center"/>
    </xf>
    <xf numFmtId="0" fontId="75" fillId="38" borderId="159" xfId="0" applyFont="1" applyFill="1" applyBorder="1" applyAlignment="1">
      <alignment horizontal="center" vertical="center"/>
    </xf>
    <xf numFmtId="0" fontId="76" fillId="0" borderId="159" xfId="0" applyFont="1" applyBorder="1" applyAlignment="1">
      <alignment horizontal="left" vertical="center"/>
    </xf>
    <xf numFmtId="232" fontId="76" fillId="0" borderId="159" xfId="0" applyNumberFormat="1" applyFont="1" applyBorder="1" applyAlignment="1">
      <alignment horizontal="right" vertical="center"/>
    </xf>
    <xf numFmtId="233" fontId="76" fillId="0" borderId="159" xfId="0" applyNumberFormat="1" applyFont="1" applyBorder="1" applyAlignment="1">
      <alignment horizontal="left" vertical="center"/>
    </xf>
    <xf numFmtId="200" fontId="76" fillId="0" borderId="158" xfId="0" applyNumberFormat="1" applyFont="1" applyBorder="1" applyAlignment="1">
      <alignment horizontal="right" vertical="center"/>
    </xf>
    <xf numFmtId="234" fontId="76" fillId="0" borderId="159" xfId="0" applyNumberFormat="1" applyFont="1" applyBorder="1" applyAlignment="1">
      <alignment horizontal="right" vertical="center"/>
    </xf>
    <xf numFmtId="235" fontId="76" fillId="0" borderId="159" xfId="10" applyNumberFormat="1" applyFont="1" applyFill="1" applyBorder="1" applyAlignment="1">
      <alignment horizontal="right" vertical="center"/>
    </xf>
    <xf numFmtId="235" fontId="76" fillId="0" borderId="159" xfId="0" applyNumberFormat="1" applyFont="1" applyBorder="1" applyAlignment="1">
      <alignment horizontal="right" vertical="center"/>
    </xf>
    <xf numFmtId="14" fontId="76" fillId="0" borderId="159" xfId="0" applyNumberFormat="1" applyFont="1" applyBorder="1" applyAlignment="1">
      <alignment horizontal="right" vertical="center"/>
    </xf>
    <xf numFmtId="236" fontId="76" fillId="0" borderId="159" xfId="10" applyNumberFormat="1" applyFont="1" applyFill="1" applyBorder="1" applyAlignment="1">
      <alignment horizontal="right" vertical="center"/>
    </xf>
    <xf numFmtId="41" fontId="76" fillId="0" borderId="159" xfId="10" applyFont="1" applyFill="1" applyBorder="1" applyAlignment="1">
      <alignment horizontal="left" vertical="center"/>
    </xf>
    <xf numFmtId="0" fontId="76" fillId="0" borderId="158" xfId="0" applyFont="1" applyBorder="1" applyAlignment="1">
      <alignment horizontal="left" vertical="center"/>
    </xf>
    <xf numFmtId="0" fontId="76" fillId="0" borderId="159" xfId="10" applyNumberFormat="1" applyFont="1" applyFill="1" applyBorder="1" applyAlignment="1">
      <alignment horizontal="left" vertical="center"/>
    </xf>
    <xf numFmtId="10" fontId="76" fillId="0" borderId="159" xfId="10" applyNumberFormat="1" applyFont="1" applyFill="1" applyBorder="1" applyAlignment="1">
      <alignment horizontal="left" vertical="center"/>
    </xf>
    <xf numFmtId="236" fontId="76" fillId="0" borderId="159" xfId="0" applyNumberFormat="1" applyFont="1" applyBorder="1" applyAlignment="1">
      <alignment horizontal="left" vertical="center"/>
    </xf>
    <xf numFmtId="10" fontId="76" fillId="0" borderId="159" xfId="1" applyNumberFormat="1" applyFont="1" applyFill="1" applyBorder="1" applyAlignment="1">
      <alignment horizontal="right" vertical="center"/>
    </xf>
    <xf numFmtId="3" fontId="0" fillId="0" borderId="0" xfId="0" applyNumberFormat="1">
      <alignment vertical="center"/>
    </xf>
    <xf numFmtId="211" fontId="11" fillId="6" borderId="34" xfId="0" applyNumberFormat="1" applyFont="1" applyFill="1" applyBorder="1">
      <alignment vertical="center"/>
    </xf>
    <xf numFmtId="176" fontId="14" fillId="0" borderId="70" xfId="0" applyNumberFormat="1" applyFont="1" applyBorder="1" applyAlignment="1">
      <alignment horizontal="right" vertical="center"/>
    </xf>
    <xf numFmtId="176" fontId="14" fillId="6" borderId="235" xfId="0" applyNumberFormat="1" applyFont="1" applyFill="1" applyBorder="1" applyAlignment="1">
      <alignment horizontal="right" vertical="center"/>
    </xf>
    <xf numFmtId="176" fontId="14" fillId="0" borderId="316" xfId="0" applyNumberFormat="1" applyFont="1" applyBorder="1" applyAlignment="1">
      <alignment horizontal="right" vertical="center"/>
    </xf>
    <xf numFmtId="10" fontId="25" fillId="0" borderId="4" xfId="0" applyNumberFormat="1" applyFont="1" applyBorder="1">
      <alignment vertical="center"/>
    </xf>
    <xf numFmtId="0" fontId="23" fillId="0" borderId="35" xfId="0" applyFont="1" applyBorder="1">
      <alignment vertical="center"/>
    </xf>
    <xf numFmtId="3" fontId="23" fillId="0" borderId="71" xfId="0" applyNumberFormat="1" applyFont="1" applyBorder="1">
      <alignment vertical="center"/>
    </xf>
    <xf numFmtId="3" fontId="23" fillId="0" borderId="317" xfId="0" applyNumberFormat="1" applyFont="1" applyBorder="1">
      <alignment vertical="center"/>
    </xf>
    <xf numFmtId="3" fontId="23" fillId="0" borderId="35" xfId="0" applyNumberFormat="1" applyFont="1" applyBorder="1">
      <alignment vertical="center"/>
    </xf>
    <xf numFmtId="0" fontId="23" fillId="0" borderId="62" xfId="0" applyFont="1" applyBorder="1">
      <alignment vertical="center"/>
    </xf>
    <xf numFmtId="0" fontId="39" fillId="5" borderId="4" xfId="0" applyFont="1" applyFill="1" applyBorder="1" applyAlignment="1">
      <alignment horizontal="center" vertical="center"/>
    </xf>
    <xf numFmtId="3" fontId="46" fillId="0" borderId="4" xfId="0" applyNumberFormat="1" applyFont="1" applyBorder="1" applyAlignment="1">
      <alignment horizontal="right" vertical="center"/>
    </xf>
    <xf numFmtId="3" fontId="46" fillId="0" borderId="0" xfId="0" applyNumberFormat="1" applyFont="1" applyAlignment="1">
      <alignment horizontal="right" vertical="center"/>
    </xf>
    <xf numFmtId="3" fontId="46" fillId="0" borderId="4" xfId="0" applyNumberFormat="1" applyFont="1" applyBorder="1" applyAlignment="1">
      <alignment horizontal="center" vertical="center"/>
    </xf>
    <xf numFmtId="3" fontId="46" fillId="0" borderId="0" xfId="0" applyNumberFormat="1" applyFont="1" applyAlignment="1">
      <alignment horizontal="center" vertical="center"/>
    </xf>
    <xf numFmtId="3" fontId="46" fillId="0" borderId="77" xfId="0" applyNumberFormat="1" applyFont="1" applyBorder="1" applyAlignment="1">
      <alignment horizontal="center" vertical="center"/>
    </xf>
    <xf numFmtId="3" fontId="46" fillId="0" borderId="77" xfId="0" applyNumberFormat="1" applyFont="1" applyBorder="1" applyAlignment="1">
      <alignment horizontal="right" vertical="center"/>
    </xf>
    <xf numFmtId="3" fontId="11" fillId="0" borderId="24" xfId="0" applyNumberFormat="1" applyFont="1" applyBorder="1">
      <alignment vertical="center"/>
    </xf>
    <xf numFmtId="0" fontId="11" fillId="0" borderId="321" xfId="0" applyFont="1" applyBorder="1">
      <alignment vertical="center"/>
    </xf>
    <xf numFmtId="9" fontId="25" fillId="29" borderId="0" xfId="0" applyNumberFormat="1" applyFont="1" applyFill="1">
      <alignment vertical="center"/>
    </xf>
    <xf numFmtId="0" fontId="76" fillId="8" borderId="159" xfId="0" applyFont="1" applyFill="1" applyBorder="1" applyAlignment="1">
      <alignment horizontal="left" vertical="center"/>
    </xf>
    <xf numFmtId="232" fontId="76" fillId="8" borderId="159" xfId="0" applyNumberFormat="1" applyFont="1" applyFill="1" applyBorder="1" applyAlignment="1">
      <alignment horizontal="right" vertical="center"/>
    </xf>
    <xf numFmtId="233" fontId="76" fillId="8" borderId="159" xfId="0" applyNumberFormat="1" applyFont="1" applyFill="1" applyBorder="1" applyAlignment="1">
      <alignment horizontal="left" vertical="center"/>
    </xf>
    <xf numFmtId="200" fontId="76" fillId="8" borderId="158" xfId="0" applyNumberFormat="1" applyFont="1" applyFill="1" applyBorder="1" applyAlignment="1">
      <alignment horizontal="right" vertical="center"/>
    </xf>
    <xf numFmtId="234" fontId="76" fillId="8" borderId="159" xfId="0" applyNumberFormat="1" applyFont="1" applyFill="1" applyBorder="1" applyAlignment="1">
      <alignment horizontal="right" vertical="center"/>
    </xf>
    <xf numFmtId="235" fontId="76" fillId="8" borderId="159" xfId="10" applyNumberFormat="1" applyFont="1" applyFill="1" applyBorder="1" applyAlignment="1">
      <alignment horizontal="right" vertical="center"/>
    </xf>
    <xf numFmtId="235" fontId="76" fillId="8" borderId="159" xfId="0" applyNumberFormat="1" applyFont="1" applyFill="1" applyBorder="1" applyAlignment="1">
      <alignment horizontal="right" vertical="center"/>
    </xf>
    <xf numFmtId="14" fontId="76" fillId="8" borderId="159" xfId="0" applyNumberFormat="1" applyFont="1" applyFill="1" applyBorder="1" applyAlignment="1">
      <alignment horizontal="right" vertical="center"/>
    </xf>
    <xf numFmtId="236" fontId="76" fillId="8" borderId="159" xfId="10" applyNumberFormat="1" applyFont="1" applyFill="1" applyBorder="1" applyAlignment="1">
      <alignment horizontal="right" vertical="center"/>
    </xf>
    <xf numFmtId="41" fontId="76" fillId="8" borderId="159" xfId="10" applyFont="1" applyFill="1" applyBorder="1" applyAlignment="1">
      <alignment horizontal="left" vertical="center"/>
    </xf>
    <xf numFmtId="0" fontId="76" fillId="8" borderId="158" xfId="0" applyFont="1" applyFill="1" applyBorder="1" applyAlignment="1">
      <alignment horizontal="left" vertical="center"/>
    </xf>
    <xf numFmtId="0" fontId="76" fillId="8" borderId="159" xfId="10" applyNumberFormat="1" applyFont="1" applyFill="1" applyBorder="1" applyAlignment="1">
      <alignment horizontal="left" vertical="center"/>
    </xf>
    <xf numFmtId="10" fontId="76" fillId="8" borderId="159" xfId="10" applyNumberFormat="1" applyFont="1" applyFill="1" applyBorder="1" applyAlignment="1">
      <alignment horizontal="left" vertical="center"/>
    </xf>
    <xf numFmtId="236" fontId="76" fillId="8" borderId="159" xfId="0" applyNumberFormat="1" applyFont="1" applyFill="1" applyBorder="1" applyAlignment="1">
      <alignment horizontal="left" vertical="center"/>
    </xf>
    <xf numFmtId="10" fontId="76" fillId="8" borderId="159" xfId="1" applyNumberFormat="1" applyFont="1" applyFill="1" applyBorder="1" applyAlignment="1">
      <alignment horizontal="right" vertical="center"/>
    </xf>
    <xf numFmtId="0" fontId="67" fillId="0" borderId="280" xfId="0" applyFont="1" applyBorder="1" applyAlignment="1">
      <alignment horizontal="center" vertical="center" wrapText="1" readingOrder="1"/>
    </xf>
    <xf numFmtId="0" fontId="67" fillId="0" borderId="281" xfId="0" applyFont="1" applyBorder="1" applyAlignment="1">
      <alignment horizontal="center" vertical="center" wrapText="1" readingOrder="1"/>
    </xf>
    <xf numFmtId="0" fontId="67" fillId="0" borderId="282" xfId="0" applyFont="1" applyBorder="1" applyAlignment="1">
      <alignment horizontal="center" vertical="center" wrapText="1" readingOrder="1"/>
    </xf>
    <xf numFmtId="0" fontId="67" fillId="0" borderId="280" xfId="0" applyFont="1" applyBorder="1" applyAlignment="1">
      <alignment horizontal="center" wrapText="1" readingOrder="1"/>
    </xf>
    <xf numFmtId="0" fontId="68" fillId="36" borderId="304" xfId="0" applyFont="1" applyFill="1" applyBorder="1" applyAlignment="1">
      <alignment horizontal="center" vertical="center" wrapText="1" readingOrder="1"/>
    </xf>
    <xf numFmtId="0" fontId="67" fillId="35" borderId="322" xfId="0" applyFont="1" applyFill="1" applyBorder="1" applyAlignment="1">
      <alignment horizontal="center" vertical="center" wrapText="1" readingOrder="1"/>
    </xf>
    <xf numFmtId="0" fontId="67" fillId="35" borderId="282" xfId="0" applyFont="1" applyFill="1" applyBorder="1" applyAlignment="1">
      <alignment horizontal="center" vertical="center" wrapText="1" readingOrder="1"/>
    </xf>
    <xf numFmtId="0" fontId="69" fillId="0" borderId="280" xfId="0" applyFont="1" applyBorder="1" applyAlignment="1">
      <alignment horizontal="center" vertical="center" wrapText="1"/>
    </xf>
    <xf numFmtId="0" fontId="69" fillId="0" borderId="280" xfId="0" applyFont="1" applyBorder="1" applyAlignment="1">
      <alignment horizontal="center" wrapText="1"/>
    </xf>
    <xf numFmtId="0" fontId="69" fillId="36" borderId="304" xfId="0" applyFont="1" applyFill="1" applyBorder="1" applyAlignment="1">
      <alignment horizontal="center" vertical="center" wrapText="1"/>
    </xf>
    <xf numFmtId="3" fontId="69" fillId="0" borderId="280" xfId="0" applyNumberFormat="1" applyFont="1" applyBorder="1" applyAlignment="1">
      <alignment horizontal="center" wrapText="1"/>
    </xf>
    <xf numFmtId="14" fontId="67" fillId="0" borderId="282" xfId="0" applyNumberFormat="1" applyFont="1" applyBorder="1" applyAlignment="1">
      <alignment horizontal="center" vertical="center" wrapText="1" readingOrder="1"/>
    </xf>
    <xf numFmtId="14" fontId="69" fillId="0" borderId="280" xfId="0" applyNumberFormat="1" applyFont="1" applyBorder="1" applyAlignment="1">
      <alignment horizontal="center" wrapText="1"/>
    </xf>
    <xf numFmtId="237" fontId="69" fillId="0" borderId="280" xfId="0" applyNumberFormat="1" applyFont="1" applyBorder="1" applyAlignment="1">
      <alignment horizontal="center" wrapText="1"/>
    </xf>
    <xf numFmtId="14" fontId="69" fillId="0" borderId="282" xfId="0" applyNumberFormat="1" applyFont="1" applyBorder="1" applyAlignment="1">
      <alignment horizontal="center" vertical="center" wrapText="1"/>
    </xf>
    <xf numFmtId="3" fontId="73" fillId="0" borderId="0" xfId="0" applyNumberFormat="1" applyFont="1">
      <alignment vertical="center"/>
    </xf>
    <xf numFmtId="187" fontId="77" fillId="10" borderId="0" xfId="0" applyNumberFormat="1" applyFont="1" applyFill="1">
      <alignment vertical="center"/>
    </xf>
    <xf numFmtId="0" fontId="78" fillId="15" borderId="0" xfId="0" applyFont="1" applyFill="1">
      <alignment vertical="center"/>
    </xf>
    <xf numFmtId="0" fontId="79" fillId="0" borderId="0" xfId="0" applyFont="1">
      <alignment vertical="center"/>
    </xf>
    <xf numFmtId="0" fontId="79" fillId="11" borderId="0" xfId="0" applyFont="1" applyFill="1">
      <alignment vertical="center"/>
    </xf>
    <xf numFmtId="14" fontId="79" fillId="0" borderId="0" xfId="0" applyNumberFormat="1" applyFont="1">
      <alignment vertical="center"/>
    </xf>
    <xf numFmtId="182" fontId="11" fillId="0" borderId="107" xfId="0" applyNumberFormat="1" applyFont="1" applyBorder="1">
      <alignment vertical="center"/>
    </xf>
    <xf numFmtId="182" fontId="11" fillId="0" borderId="78" xfId="0" applyNumberFormat="1" applyFont="1" applyBorder="1">
      <alignment vertical="center"/>
    </xf>
    <xf numFmtId="3" fontId="17" fillId="0" borderId="0" xfId="0" applyNumberFormat="1" applyFont="1">
      <alignment vertical="center"/>
    </xf>
    <xf numFmtId="192" fontId="23" fillId="0" borderId="27" xfId="0" applyNumberFormat="1" applyFont="1" applyBorder="1">
      <alignment vertical="center"/>
    </xf>
    <xf numFmtId="41" fontId="13" fillId="4" borderId="46" xfId="10" applyFont="1" applyFill="1" applyBorder="1">
      <alignment vertical="center"/>
    </xf>
    <xf numFmtId="0" fontId="11" fillId="8" borderId="0" xfId="0" applyFont="1" applyFill="1">
      <alignment vertical="center"/>
    </xf>
    <xf numFmtId="0" fontId="12" fillId="8" borderId="0" xfId="0" applyFont="1" applyFill="1">
      <alignment vertical="center"/>
    </xf>
    <xf numFmtId="14" fontId="13" fillId="8" borderId="0" xfId="0" applyNumberFormat="1" applyFont="1" applyFill="1" applyAlignment="1">
      <alignment horizontal="center" vertical="center"/>
    </xf>
    <xf numFmtId="0" fontId="14" fillId="8" borderId="0" xfId="0" applyFont="1" applyFill="1" applyAlignment="1">
      <alignment horizontal="center" vertical="center"/>
    </xf>
    <xf numFmtId="177" fontId="14" fillId="8" borderId="0" xfId="0" applyNumberFormat="1" applyFont="1" applyFill="1" applyAlignment="1">
      <alignment horizontal="center" vertical="center"/>
    </xf>
    <xf numFmtId="178" fontId="14" fillId="8" borderId="0" xfId="0" applyNumberFormat="1" applyFont="1" applyFill="1" applyAlignment="1">
      <alignment horizontal="center" vertical="center"/>
    </xf>
    <xf numFmtId="179" fontId="14" fillId="8" borderId="0" xfId="0" applyNumberFormat="1" applyFont="1" applyFill="1" applyAlignment="1">
      <alignment horizontal="center" vertical="center"/>
    </xf>
    <xf numFmtId="180" fontId="14" fillId="8" borderId="0" xfId="0" applyNumberFormat="1" applyFont="1" applyFill="1" applyAlignment="1">
      <alignment horizontal="center" vertical="center"/>
    </xf>
    <xf numFmtId="14" fontId="13" fillId="8" borderId="2" xfId="0" applyNumberFormat="1" applyFont="1" applyFill="1" applyBorder="1" applyAlignment="1">
      <alignment horizontal="center" vertical="center"/>
    </xf>
    <xf numFmtId="176" fontId="11" fillId="8" borderId="5" xfId="0" applyNumberFormat="1" applyFont="1" applyFill="1" applyBorder="1">
      <alignment vertical="center"/>
    </xf>
    <xf numFmtId="176" fontId="11" fillId="8" borderId="1" xfId="0" applyNumberFormat="1" applyFont="1" applyFill="1" applyBorder="1">
      <alignment vertical="center"/>
    </xf>
    <xf numFmtId="176" fontId="11" fillId="8" borderId="7" xfId="0" applyNumberFormat="1" applyFont="1" applyFill="1" applyBorder="1">
      <alignment vertical="center"/>
    </xf>
    <xf numFmtId="176" fontId="11" fillId="8" borderId="10" xfId="0" applyNumberFormat="1" applyFont="1" applyFill="1" applyBorder="1">
      <alignment vertical="center"/>
    </xf>
    <xf numFmtId="192" fontId="11" fillId="8" borderId="10" xfId="0" applyNumberFormat="1" applyFont="1" applyFill="1" applyBorder="1">
      <alignment vertical="center"/>
    </xf>
    <xf numFmtId="176" fontId="11" fillId="8" borderId="11" xfId="0" applyNumberFormat="1" applyFont="1" applyFill="1" applyBorder="1">
      <alignment vertical="center"/>
    </xf>
    <xf numFmtId="192" fontId="11" fillId="8" borderId="7" xfId="0" applyNumberFormat="1" applyFont="1" applyFill="1" applyBorder="1">
      <alignment vertical="center"/>
    </xf>
    <xf numFmtId="192" fontId="11" fillId="8" borderId="11" xfId="0" applyNumberFormat="1" applyFont="1" applyFill="1" applyBorder="1">
      <alignment vertical="center"/>
    </xf>
    <xf numFmtId="176" fontId="11" fillId="8" borderId="0" xfId="0" applyNumberFormat="1" applyFont="1" applyFill="1">
      <alignment vertical="center"/>
    </xf>
    <xf numFmtId="14" fontId="13" fillId="8" borderId="7" xfId="0" applyNumberFormat="1" applyFont="1" applyFill="1" applyBorder="1" applyAlignment="1">
      <alignment horizontal="center" vertical="center"/>
    </xf>
    <xf numFmtId="176" fontId="14" fillId="8" borderId="2" xfId="0" applyNumberFormat="1" applyFont="1" applyFill="1" applyBorder="1" applyAlignment="1">
      <alignment horizontal="right" vertical="center"/>
    </xf>
    <xf numFmtId="3" fontId="11" fillId="0" borderId="217" xfId="0" applyNumberFormat="1" applyFont="1" applyBorder="1" applyAlignment="1">
      <alignment horizontal="right" vertical="center"/>
    </xf>
    <xf numFmtId="9" fontId="11" fillId="0" borderId="0" xfId="1" applyFont="1">
      <alignment vertical="center"/>
    </xf>
    <xf numFmtId="176" fontId="11" fillId="14" borderId="7" xfId="0" applyNumberFormat="1" applyFont="1" applyFill="1" applyBorder="1">
      <alignment vertical="center"/>
    </xf>
    <xf numFmtId="176" fontId="39" fillId="14" borderId="7" xfId="0" applyNumberFormat="1" applyFont="1" applyFill="1" applyBorder="1">
      <alignment vertical="center"/>
    </xf>
    <xf numFmtId="176" fontId="39" fillId="14" borderId="11" xfId="0" applyNumberFormat="1" applyFont="1" applyFill="1" applyBorder="1">
      <alignment vertical="center"/>
    </xf>
    <xf numFmtId="10" fontId="23" fillId="0" borderId="0" xfId="1" applyNumberFormat="1" applyFont="1">
      <alignment vertical="center"/>
    </xf>
    <xf numFmtId="41" fontId="73" fillId="0" borderId="0" xfId="10" applyFont="1">
      <alignment vertical="center"/>
    </xf>
    <xf numFmtId="9" fontId="73" fillId="0" borderId="0" xfId="0" applyNumberFormat="1" applyFont="1">
      <alignment vertical="center"/>
    </xf>
    <xf numFmtId="3" fontId="67" fillId="0" borderId="283" xfId="0" applyNumberFormat="1" applyFont="1" applyBorder="1" applyAlignment="1">
      <alignment vertical="center" wrapText="1" readingOrder="1"/>
    </xf>
    <xf numFmtId="3" fontId="67" fillId="0" borderId="284" xfId="0" applyNumberFormat="1" applyFont="1" applyBorder="1" applyAlignment="1">
      <alignment vertical="center" wrapText="1" readingOrder="1"/>
    </xf>
    <xf numFmtId="9" fontId="69" fillId="0" borderId="280" xfId="1" applyFont="1" applyBorder="1" applyAlignment="1">
      <alignment horizontal="right" vertical="center" wrapText="1"/>
    </xf>
    <xf numFmtId="10" fontId="69" fillId="0" borderId="280" xfId="1" applyNumberFormat="1" applyFont="1" applyBorder="1" applyAlignment="1">
      <alignment horizontal="right" vertical="center" wrapText="1"/>
    </xf>
    <xf numFmtId="10" fontId="69" fillId="36" borderId="280" xfId="1" applyNumberFormat="1" applyFont="1" applyFill="1" applyBorder="1" applyAlignment="1">
      <alignment vertical="center" wrapText="1"/>
    </xf>
    <xf numFmtId="9" fontId="69" fillId="0" borderId="280" xfId="1" applyFont="1" applyBorder="1" applyAlignment="1">
      <alignment horizontal="center" vertical="center" wrapText="1"/>
    </xf>
    <xf numFmtId="231" fontId="69" fillId="36" borderId="280" xfId="0" applyNumberFormat="1" applyFont="1" applyFill="1" applyBorder="1" applyAlignment="1">
      <alignment horizontal="center" vertical="center" wrapText="1"/>
    </xf>
    <xf numFmtId="186" fontId="69" fillId="36" borderId="304" xfId="0" applyNumberFormat="1" applyFont="1" applyFill="1" applyBorder="1" applyAlignment="1">
      <alignment vertical="center" wrapText="1"/>
    </xf>
    <xf numFmtId="176" fontId="11" fillId="39" borderId="0" xfId="0" applyNumberFormat="1" applyFont="1" applyFill="1">
      <alignment vertical="center"/>
    </xf>
    <xf numFmtId="176" fontId="22" fillId="39" borderId="232" xfId="0" applyNumberFormat="1" applyFont="1" applyFill="1" applyBorder="1">
      <alignment vertical="center"/>
    </xf>
    <xf numFmtId="3" fontId="11" fillId="0" borderId="269" xfId="0" applyNumberFormat="1" applyFont="1" applyBorder="1">
      <alignment vertical="center"/>
    </xf>
    <xf numFmtId="0" fontId="25" fillId="8" borderId="26" xfId="0" applyFont="1" applyFill="1" applyBorder="1">
      <alignment vertical="center"/>
    </xf>
    <xf numFmtId="0" fontId="17" fillId="8" borderId="29" xfId="0" applyFont="1" applyFill="1" applyBorder="1">
      <alignment vertical="center"/>
    </xf>
    <xf numFmtId="10" fontId="17" fillId="8" borderId="27" xfId="0" applyNumberFormat="1" applyFont="1" applyFill="1" applyBorder="1">
      <alignment vertical="center"/>
    </xf>
    <xf numFmtId="0" fontId="25" fillId="8" borderId="49" xfId="0" applyFont="1" applyFill="1" applyBorder="1">
      <alignment vertical="center"/>
    </xf>
    <xf numFmtId="0" fontId="17" fillId="8" borderId="33" xfId="0" applyFont="1" applyFill="1" applyBorder="1">
      <alignment vertical="center"/>
    </xf>
    <xf numFmtId="0" fontId="17" fillId="8" borderId="32" xfId="0" applyFont="1" applyFill="1" applyBorder="1">
      <alignment vertical="center"/>
    </xf>
    <xf numFmtId="10" fontId="17" fillId="8" borderId="262" xfId="0" applyNumberFormat="1" applyFont="1" applyFill="1" applyBorder="1">
      <alignment vertical="center"/>
    </xf>
    <xf numFmtId="10" fontId="17" fillId="8" borderId="33" xfId="0" applyNumberFormat="1" applyFont="1" applyFill="1" applyBorder="1">
      <alignment vertical="center"/>
    </xf>
    <xf numFmtId="0" fontId="13" fillId="4" borderId="323" xfId="0" applyFont="1" applyFill="1" applyBorder="1">
      <alignment vertical="center"/>
    </xf>
    <xf numFmtId="0" fontId="13" fillId="24" borderId="324" xfId="0" applyFont="1" applyFill="1" applyBorder="1" applyAlignment="1">
      <alignment horizontal="centerContinuous" vertical="center"/>
    </xf>
    <xf numFmtId="0" fontId="13" fillId="25" borderId="325" xfId="0" applyFont="1" applyFill="1" applyBorder="1" applyAlignment="1">
      <alignment horizontal="centerContinuous" vertical="center"/>
    </xf>
    <xf numFmtId="0" fontId="13" fillId="25" borderId="324" xfId="0" applyFont="1" applyFill="1" applyBorder="1" applyAlignment="1">
      <alignment horizontal="centerContinuous" vertical="center"/>
    </xf>
    <xf numFmtId="0" fontId="13" fillId="25" borderId="326" xfId="0" applyFont="1" applyFill="1" applyBorder="1" applyAlignment="1">
      <alignment horizontal="centerContinuous" vertical="center"/>
    </xf>
    <xf numFmtId="0" fontId="14" fillId="5" borderId="327" xfId="0" applyFont="1" applyFill="1" applyBorder="1" applyAlignment="1">
      <alignment horizontal="center" vertical="center"/>
    </xf>
    <xf numFmtId="0" fontId="14" fillId="5" borderId="328" xfId="0" applyFont="1" applyFill="1" applyBorder="1" applyAlignment="1">
      <alignment horizontal="center" vertical="center"/>
    </xf>
    <xf numFmtId="198" fontId="11" fillId="0" borderId="329" xfId="0" applyNumberFormat="1" applyFont="1" applyBorder="1" applyAlignment="1">
      <alignment horizontal="left" vertical="center"/>
    </xf>
    <xf numFmtId="194" fontId="11" fillId="0" borderId="330" xfId="0" applyNumberFormat="1" applyFont="1" applyBorder="1" applyAlignment="1">
      <alignment horizontal="center" vertical="center"/>
    </xf>
    <xf numFmtId="198" fontId="11" fillId="0" borderId="331" xfId="0" applyNumberFormat="1" applyFont="1" applyBorder="1" applyAlignment="1">
      <alignment horizontal="left" vertical="center"/>
    </xf>
    <xf numFmtId="197" fontId="11" fillId="0" borderId="0" xfId="0" applyNumberFormat="1" applyFont="1">
      <alignment vertical="center"/>
    </xf>
    <xf numFmtId="198" fontId="11" fillId="0" borderId="332" xfId="0" applyNumberFormat="1" applyFont="1" applyBorder="1" applyAlignment="1">
      <alignment horizontal="left" vertical="center"/>
    </xf>
    <xf numFmtId="0" fontId="11" fillId="0" borderId="331" xfId="0" applyFont="1" applyBorder="1" applyAlignment="1">
      <alignment horizontal="left" vertical="center"/>
    </xf>
    <xf numFmtId="0" fontId="11" fillId="0" borderId="146" xfId="0" applyFont="1" applyBorder="1">
      <alignment vertical="center"/>
    </xf>
    <xf numFmtId="0" fontId="11" fillId="0" borderId="331" xfId="0" applyFont="1" applyBorder="1">
      <alignment vertical="center"/>
    </xf>
    <xf numFmtId="176" fontId="11" fillId="0" borderId="113" xfId="0" applyNumberFormat="1" applyFont="1" applyBorder="1">
      <alignment vertical="center"/>
    </xf>
    <xf numFmtId="0" fontId="17" fillId="8" borderId="333" xfId="0" applyFont="1" applyFill="1" applyBorder="1">
      <alignment vertical="center"/>
    </xf>
    <xf numFmtId="10" fontId="17" fillId="8" borderId="334" xfId="0" applyNumberFormat="1" applyFont="1" applyFill="1" applyBorder="1">
      <alignment vertical="center"/>
    </xf>
    <xf numFmtId="0" fontId="80" fillId="0" borderId="0" xfId="0" applyFont="1">
      <alignment vertical="center"/>
    </xf>
    <xf numFmtId="192" fontId="11" fillId="0" borderId="113" xfId="0" applyNumberFormat="1" applyFont="1" applyBorder="1">
      <alignment vertical="center"/>
    </xf>
    <xf numFmtId="10" fontId="11" fillId="0" borderId="113" xfId="0" applyNumberFormat="1" applyFont="1" applyBorder="1">
      <alignment vertical="center"/>
    </xf>
    <xf numFmtId="0" fontId="17" fillId="8" borderId="331" xfId="0" applyFont="1" applyFill="1" applyBorder="1">
      <alignment vertical="center"/>
    </xf>
    <xf numFmtId="0" fontId="17" fillId="8" borderId="0" xfId="0" applyFont="1" applyFill="1">
      <alignment vertical="center"/>
    </xf>
    <xf numFmtId="10" fontId="17" fillId="8" borderId="0" xfId="0" applyNumberFormat="1" applyFont="1" applyFill="1">
      <alignment vertical="center"/>
    </xf>
    <xf numFmtId="10" fontId="17" fillId="8" borderId="113" xfId="0" applyNumberFormat="1" applyFont="1" applyFill="1" applyBorder="1">
      <alignment vertical="center"/>
    </xf>
    <xf numFmtId="3" fontId="52" fillId="0" borderId="27" xfId="0" applyNumberFormat="1" applyFont="1" applyBorder="1" applyAlignment="1">
      <alignment horizontal="right" vertical="center"/>
    </xf>
    <xf numFmtId="10" fontId="17" fillId="0" borderId="33" xfId="0" applyNumberFormat="1" applyFont="1" applyBorder="1" applyAlignment="1">
      <alignment horizontal="center" vertical="center"/>
    </xf>
    <xf numFmtId="10" fontId="7" fillId="0" borderId="0" xfId="3" applyNumberFormat="1" applyFont="1" applyFill="1" applyBorder="1" applyAlignment="1">
      <alignment horizontal="center" vertical="center"/>
    </xf>
    <xf numFmtId="41" fontId="4" fillId="0" borderId="0" xfId="10" applyFont="1" applyFill="1" applyBorder="1" applyAlignment="1">
      <alignment horizontal="center" vertical="center"/>
    </xf>
    <xf numFmtId="41" fontId="7" fillId="0" borderId="0" xfId="10" applyFont="1" applyFill="1" applyBorder="1" applyAlignment="1">
      <alignment horizontal="center" vertical="center"/>
    </xf>
    <xf numFmtId="41" fontId="5" fillId="0" borderId="0" xfId="10" applyFont="1" applyFill="1" applyBorder="1" applyProtection="1">
      <alignment vertical="center"/>
      <protection locked="0"/>
    </xf>
    <xf numFmtId="10" fontId="47" fillId="0" borderId="0" xfId="0" applyNumberFormat="1" applyFont="1">
      <alignment vertical="center"/>
    </xf>
    <xf numFmtId="41" fontId="5" fillId="0" borderId="25" xfId="3" applyFont="1" applyFill="1" applyBorder="1" applyAlignment="1">
      <alignment horizontal="center" vertical="center"/>
    </xf>
    <xf numFmtId="41" fontId="5" fillId="0" borderId="25" xfId="3" applyFont="1" applyFill="1" applyBorder="1" applyAlignment="1">
      <alignment vertical="center"/>
    </xf>
    <xf numFmtId="41" fontId="5" fillId="0" borderId="77" xfId="3" applyFont="1" applyFill="1" applyBorder="1" applyAlignment="1">
      <alignment vertical="center"/>
    </xf>
    <xf numFmtId="41" fontId="5" fillId="0" borderId="209" xfId="3" applyFont="1" applyFill="1" applyBorder="1" applyAlignment="1">
      <alignment horizontal="center" vertical="center"/>
    </xf>
    <xf numFmtId="41" fontId="5" fillId="0" borderId="77" xfId="3" applyFont="1" applyFill="1" applyBorder="1" applyAlignment="1">
      <alignment horizontal="center" vertical="center"/>
    </xf>
    <xf numFmtId="14" fontId="9" fillId="18" borderId="335" xfId="5" applyNumberFormat="1" applyFont="1" applyFill="1" applyBorder="1" applyAlignment="1">
      <alignment horizontal="center" vertical="center"/>
    </xf>
    <xf numFmtId="14" fontId="5" fillId="0" borderId="336" xfId="5" applyNumberFormat="1" applyFont="1" applyBorder="1" applyAlignment="1">
      <alignment horizontal="center" vertical="center"/>
    </xf>
    <xf numFmtId="14" fontId="9" fillId="22" borderId="196" xfId="3" applyNumberFormat="1" applyFont="1" applyFill="1" applyBorder="1" applyAlignment="1">
      <alignment horizontal="center" vertical="center"/>
    </xf>
    <xf numFmtId="192" fontId="5" fillId="0" borderId="25" xfId="1" applyNumberFormat="1" applyFont="1" applyFill="1" applyBorder="1" applyAlignment="1">
      <alignment horizontal="center" vertical="center"/>
    </xf>
    <xf numFmtId="238" fontId="69" fillId="0" borderId="280" xfId="0" applyNumberFormat="1" applyFont="1" applyBorder="1" applyAlignment="1">
      <alignment horizontal="right" vertical="center" wrapText="1"/>
    </xf>
    <xf numFmtId="239" fontId="69" fillId="0" borderId="280" xfId="0" applyNumberFormat="1" applyFont="1" applyBorder="1" applyAlignment="1">
      <alignment horizontal="right" vertical="center" wrapText="1"/>
    </xf>
    <xf numFmtId="180" fontId="67" fillId="36" borderId="284" xfId="0" applyNumberFormat="1" applyFont="1" applyFill="1" applyBorder="1" applyAlignment="1">
      <alignment horizontal="center" vertical="center" wrapText="1" readingOrder="1"/>
    </xf>
    <xf numFmtId="213" fontId="69" fillId="0" borderId="280" xfId="0" applyNumberFormat="1" applyFont="1" applyBorder="1" applyAlignment="1">
      <alignment vertical="center" wrapText="1"/>
    </xf>
    <xf numFmtId="4" fontId="23" fillId="0" borderId="0" xfId="0" applyNumberFormat="1" applyFont="1">
      <alignment vertical="center"/>
    </xf>
    <xf numFmtId="214" fontId="39" fillId="0" borderId="7" xfId="0" applyNumberFormat="1" applyFont="1" applyBorder="1">
      <alignment vertical="center"/>
    </xf>
    <xf numFmtId="0" fontId="82" fillId="21" borderId="0" xfId="0" applyFont="1" applyFill="1">
      <alignment vertical="center"/>
    </xf>
    <xf numFmtId="0" fontId="83" fillId="21" borderId="0" xfId="0" applyFont="1" applyFill="1" applyAlignment="1">
      <alignment horizontal="left" vertical="center"/>
    </xf>
    <xf numFmtId="0" fontId="84" fillId="21" borderId="0" xfId="0" applyFont="1" applyFill="1">
      <alignment vertical="center"/>
    </xf>
    <xf numFmtId="0" fontId="85" fillId="21" borderId="0" xfId="0" applyFont="1" applyFill="1">
      <alignment vertical="center"/>
    </xf>
    <xf numFmtId="9" fontId="85" fillId="21" borderId="0" xfId="0" applyNumberFormat="1" applyFont="1" applyFill="1">
      <alignment vertical="center"/>
    </xf>
    <xf numFmtId="41" fontId="85" fillId="21" borderId="0" xfId="3" applyFont="1" applyFill="1">
      <alignment vertical="center"/>
    </xf>
    <xf numFmtId="10" fontId="84" fillId="21" borderId="0" xfId="4" applyNumberFormat="1" applyFont="1" applyFill="1">
      <alignment vertical="center"/>
    </xf>
    <xf numFmtId="0" fontId="86" fillId="0" borderId="0" xfId="0" applyFont="1">
      <alignment vertical="center"/>
    </xf>
    <xf numFmtId="0" fontId="87" fillId="0" borderId="0" xfId="0" applyFont="1">
      <alignment vertical="center"/>
    </xf>
    <xf numFmtId="0" fontId="87" fillId="21" borderId="0" xfId="0" applyFont="1" applyFill="1">
      <alignment vertical="center"/>
    </xf>
    <xf numFmtId="0" fontId="88" fillId="21" borderId="0" xfId="0" applyFont="1" applyFill="1">
      <alignment vertical="center"/>
    </xf>
    <xf numFmtId="0" fontId="86" fillId="21" borderId="0" xfId="0" applyFont="1" applyFill="1">
      <alignment vertical="center"/>
    </xf>
    <xf numFmtId="0" fontId="90" fillId="21" borderId="0" xfId="0" applyFont="1" applyFill="1">
      <alignment vertical="center"/>
    </xf>
    <xf numFmtId="0" fontId="91" fillId="40" borderId="159" xfId="0" applyFont="1" applyFill="1" applyBorder="1" applyAlignment="1">
      <alignment horizontal="center" vertical="center"/>
    </xf>
    <xf numFmtId="0" fontId="87" fillId="0" borderId="159" xfId="0" applyFont="1" applyBorder="1" applyAlignment="1">
      <alignment horizontal="center" vertical="center"/>
    </xf>
    <xf numFmtId="41" fontId="88" fillId="21" borderId="0" xfId="0" applyNumberFormat="1" applyFont="1" applyFill="1">
      <alignment vertical="center"/>
    </xf>
    <xf numFmtId="0" fontId="87" fillId="0" borderId="0" xfId="0" applyFont="1" applyAlignment="1">
      <alignment horizontal="left" vertical="center" indent="2"/>
    </xf>
    <xf numFmtId="0" fontId="92" fillId="0" borderId="0" xfId="0" applyFont="1">
      <alignment vertical="center"/>
    </xf>
    <xf numFmtId="0" fontId="86" fillId="0" borderId="0" xfId="0" applyFont="1" applyAlignment="1">
      <alignment horizontal="left" vertical="center"/>
    </xf>
    <xf numFmtId="43" fontId="88" fillId="21" borderId="0" xfId="0" applyNumberFormat="1" applyFont="1" applyFill="1">
      <alignment vertical="center"/>
    </xf>
    <xf numFmtId="204" fontId="88" fillId="21" borderId="0" xfId="0" applyNumberFormat="1" applyFont="1" applyFill="1">
      <alignment vertical="center"/>
    </xf>
    <xf numFmtId="10" fontId="88" fillId="21" borderId="0" xfId="4" applyNumberFormat="1" applyFont="1" applyFill="1">
      <alignment vertical="center"/>
    </xf>
    <xf numFmtId="0" fontId="93" fillId="0" borderId="0" xfId="0" applyFont="1">
      <alignment vertical="center"/>
    </xf>
    <xf numFmtId="0" fontId="94" fillId="40" borderId="340" xfId="0" applyFont="1" applyFill="1" applyBorder="1" applyAlignment="1">
      <alignment horizontal="center" vertical="center"/>
    </xf>
    <xf numFmtId="0" fontId="94" fillId="40" borderId="341" xfId="0" applyFont="1" applyFill="1" applyBorder="1" applyAlignment="1">
      <alignment horizontal="center" vertical="center"/>
    </xf>
    <xf numFmtId="41" fontId="94" fillId="40" borderId="341" xfId="3" applyFont="1" applyFill="1" applyBorder="1" applyAlignment="1">
      <alignment horizontal="center" vertical="center"/>
    </xf>
    <xf numFmtId="0" fontId="94" fillId="40" borderId="342" xfId="0" applyFont="1" applyFill="1" applyBorder="1" applyAlignment="1">
      <alignment horizontal="center" vertical="center"/>
    </xf>
    <xf numFmtId="0" fontId="28" fillId="21" borderId="0" xfId="0" applyFont="1" applyFill="1">
      <alignment vertical="center"/>
    </xf>
    <xf numFmtId="0" fontId="87" fillId="21" borderId="331" xfId="0" applyFont="1" applyFill="1" applyBorder="1">
      <alignment vertical="center"/>
    </xf>
    <xf numFmtId="204" fontId="87" fillId="21" borderId="0" xfId="3" applyNumberFormat="1" applyFont="1" applyFill="1" applyBorder="1" applyAlignment="1">
      <alignment horizontal="right" vertical="center"/>
    </xf>
    <xf numFmtId="41" fontId="96" fillId="21" borderId="0" xfId="3" applyFont="1" applyFill="1" applyBorder="1" applyAlignment="1">
      <alignment horizontal="center" vertical="center"/>
    </xf>
    <xf numFmtId="9" fontId="87" fillId="21" borderId="0" xfId="0" applyNumberFormat="1" applyFont="1" applyFill="1" applyAlignment="1">
      <alignment horizontal="center" vertical="center"/>
    </xf>
    <xf numFmtId="41" fontId="87" fillId="21" borderId="0" xfId="3" applyFont="1" applyFill="1" applyBorder="1" applyAlignment="1">
      <alignment horizontal="right" vertical="center"/>
    </xf>
    <xf numFmtId="41" fontId="87" fillId="21" borderId="0" xfId="0" applyNumberFormat="1" applyFont="1" applyFill="1" applyAlignment="1">
      <alignment horizontal="right" vertical="center"/>
    </xf>
    <xf numFmtId="41" fontId="87" fillId="21" borderId="113" xfId="0" applyNumberFormat="1" applyFont="1" applyFill="1" applyBorder="1" applyAlignment="1">
      <alignment horizontal="right" vertical="center"/>
    </xf>
    <xf numFmtId="41" fontId="28" fillId="21" borderId="0" xfId="3" applyFont="1" applyFill="1">
      <alignment vertical="center"/>
    </xf>
    <xf numFmtId="0" fontId="28" fillId="0" borderId="0" xfId="0" applyFont="1">
      <alignment vertical="center"/>
    </xf>
    <xf numFmtId="0" fontId="87" fillId="21" borderId="195" xfId="0" applyFont="1" applyFill="1" applyBorder="1">
      <alignment vertical="center"/>
    </xf>
    <xf numFmtId="204" fontId="87" fillId="21" borderId="196" xfId="3" applyNumberFormat="1" applyFont="1" applyFill="1" applyBorder="1" applyAlignment="1">
      <alignment horizontal="right" vertical="center"/>
    </xf>
    <xf numFmtId="41" fontId="87" fillId="21" borderId="196" xfId="3" applyFont="1" applyFill="1" applyBorder="1" applyAlignment="1">
      <alignment horizontal="center" vertical="center"/>
    </xf>
    <xf numFmtId="0" fontId="87" fillId="21" borderId="196" xfId="0" applyFont="1" applyFill="1" applyBorder="1" applyAlignment="1">
      <alignment horizontal="center" vertical="center"/>
    </xf>
    <xf numFmtId="41" fontId="87" fillId="21" borderId="196" xfId="0" applyNumberFormat="1" applyFont="1" applyFill="1" applyBorder="1" applyAlignment="1">
      <alignment horizontal="right" vertical="center"/>
    </xf>
    <xf numFmtId="41" fontId="86" fillId="21" borderId="196" xfId="0" applyNumberFormat="1" applyFont="1" applyFill="1" applyBorder="1" applyAlignment="1">
      <alignment horizontal="right" vertical="center"/>
    </xf>
    <xf numFmtId="41" fontId="86" fillId="21" borderId="196" xfId="3" applyFont="1" applyFill="1" applyBorder="1" applyAlignment="1">
      <alignment horizontal="right" vertical="center"/>
    </xf>
    <xf numFmtId="41" fontId="86" fillId="41" borderId="343" xfId="0" applyNumberFormat="1" applyFont="1" applyFill="1" applyBorder="1" applyAlignment="1">
      <alignment horizontal="right" vertical="center"/>
    </xf>
    <xf numFmtId="41" fontId="28" fillId="0" borderId="0" xfId="3" applyFont="1">
      <alignment vertical="center"/>
    </xf>
    <xf numFmtId="41" fontId="87" fillId="21" borderId="0" xfId="3" applyFont="1" applyFill="1" applyBorder="1" applyAlignment="1">
      <alignment horizontal="center" vertical="center"/>
    </xf>
    <xf numFmtId="0" fontId="87" fillId="21" borderId="0" xfId="0" applyFont="1" applyFill="1" applyAlignment="1">
      <alignment horizontal="center" vertical="center"/>
    </xf>
    <xf numFmtId="41" fontId="86" fillId="21" borderId="0" xfId="0" applyNumberFormat="1" applyFont="1" applyFill="1" applyAlignment="1">
      <alignment horizontal="right" vertical="center"/>
    </xf>
    <xf numFmtId="41" fontId="86" fillId="21" borderId="0" xfId="3" applyFont="1" applyFill="1" applyBorder="1" applyAlignment="1">
      <alignment horizontal="right" vertical="center"/>
    </xf>
    <xf numFmtId="41" fontId="86" fillId="11" borderId="0" xfId="0" applyNumberFormat="1" applyFont="1" applyFill="1" applyAlignment="1">
      <alignment horizontal="right" vertical="center"/>
    </xf>
    <xf numFmtId="0" fontId="76" fillId="0" borderId="0" xfId="0" applyFont="1">
      <alignment vertical="center"/>
    </xf>
    <xf numFmtId="204" fontId="87" fillId="8" borderId="0" xfId="3" applyNumberFormat="1" applyFont="1" applyFill="1" applyBorder="1" applyAlignment="1">
      <alignment horizontal="right" vertical="center"/>
    </xf>
    <xf numFmtId="0" fontId="0" fillId="11" borderId="0" xfId="0" applyFill="1">
      <alignment vertical="center"/>
    </xf>
    <xf numFmtId="0" fontId="86" fillId="21" borderId="0" xfId="0" applyFont="1" applyFill="1" applyAlignment="1">
      <alignment horizontal="left" vertical="center"/>
    </xf>
    <xf numFmtId="0" fontId="97" fillId="21" borderId="0" xfId="0" applyFont="1" applyFill="1" applyAlignment="1">
      <alignment horizontal="left" vertical="center"/>
    </xf>
    <xf numFmtId="41" fontId="87" fillId="21" borderId="0" xfId="3" applyFont="1" applyFill="1" applyAlignment="1">
      <alignment horizontal="center" vertical="center"/>
    </xf>
    <xf numFmtId="0" fontId="1" fillId="0" borderId="0" xfId="11">
      <alignment vertical="center"/>
    </xf>
    <xf numFmtId="43" fontId="87" fillId="21" borderId="0" xfId="0" applyNumberFormat="1" applyFont="1" applyFill="1" applyAlignment="1">
      <alignment horizontal="center" vertical="center"/>
    </xf>
    <xf numFmtId="41" fontId="87" fillId="21" borderId="0" xfId="3" applyFont="1" applyFill="1">
      <alignment vertical="center"/>
    </xf>
    <xf numFmtId="41" fontId="87" fillId="21" borderId="0" xfId="0" applyNumberFormat="1" applyFont="1" applyFill="1">
      <alignment vertical="center"/>
    </xf>
    <xf numFmtId="0" fontId="87" fillId="21" borderId="0" xfId="0" applyFont="1" applyFill="1" applyAlignment="1">
      <alignment horizontal="left" vertical="center"/>
    </xf>
    <xf numFmtId="43" fontId="87" fillId="21" borderId="0" xfId="0" applyNumberFormat="1" applyFont="1" applyFill="1">
      <alignment vertical="center"/>
    </xf>
    <xf numFmtId="41" fontId="96" fillId="21" borderId="0" xfId="3" applyFont="1" applyFill="1">
      <alignment vertical="center"/>
    </xf>
    <xf numFmtId="0" fontId="96" fillId="21" borderId="0" xfId="0" applyFont="1" applyFill="1">
      <alignment vertical="center"/>
    </xf>
    <xf numFmtId="41" fontId="98" fillId="21" borderId="0" xfId="3" applyFont="1" applyFill="1">
      <alignment vertical="center"/>
    </xf>
    <xf numFmtId="41" fontId="87" fillId="0" borderId="0" xfId="3" applyFont="1">
      <alignment vertical="center"/>
    </xf>
    <xf numFmtId="0" fontId="88" fillId="0" borderId="0" xfId="0" applyFont="1">
      <alignment vertical="center"/>
    </xf>
    <xf numFmtId="41" fontId="88" fillId="0" borderId="0" xfId="3" applyFont="1">
      <alignment vertical="center"/>
    </xf>
    <xf numFmtId="41" fontId="88" fillId="0" borderId="0" xfId="0" applyNumberFormat="1" applyFont="1">
      <alignment vertical="center"/>
    </xf>
    <xf numFmtId="9" fontId="88" fillId="0" borderId="0" xfId="4" applyFont="1">
      <alignment vertical="center"/>
    </xf>
    <xf numFmtId="0" fontId="87" fillId="8" borderId="0" xfId="0" applyFont="1" applyFill="1">
      <alignment vertical="center"/>
    </xf>
    <xf numFmtId="0" fontId="88" fillId="8" borderId="0" xfId="0" applyFont="1" applyFill="1">
      <alignment vertical="center"/>
    </xf>
    <xf numFmtId="41" fontId="88" fillId="8" borderId="0" xfId="3" applyFont="1" applyFill="1">
      <alignment vertical="center"/>
    </xf>
    <xf numFmtId="0" fontId="104" fillId="0" borderId="0" xfId="0" applyFont="1">
      <alignment vertical="center"/>
    </xf>
    <xf numFmtId="0" fontId="105" fillId="0" borderId="77" xfId="0" applyFont="1" applyBorder="1" applyAlignment="1">
      <alignment horizontal="centerContinuous" vertical="center"/>
    </xf>
    <xf numFmtId="0" fontId="104" fillId="0" borderId="77" xfId="0" applyFont="1" applyBorder="1">
      <alignment vertical="center"/>
    </xf>
    <xf numFmtId="0" fontId="106" fillId="0" borderId="0" xfId="0" applyFont="1" applyAlignment="1">
      <alignment horizontal="right" vertical="center"/>
    </xf>
    <xf numFmtId="0" fontId="107" fillId="0" borderId="138" xfId="0" applyFont="1" applyBorder="1">
      <alignment vertical="center"/>
    </xf>
    <xf numFmtId="0" fontId="107" fillId="0" borderId="25" xfId="0" applyFont="1" applyBorder="1">
      <alignment vertical="center"/>
    </xf>
    <xf numFmtId="0" fontId="107" fillId="0" borderId="137" xfId="0" applyFont="1" applyBorder="1">
      <alignment vertical="center"/>
    </xf>
    <xf numFmtId="0" fontId="107" fillId="0" borderId="26" xfId="0" applyFont="1" applyBorder="1">
      <alignment vertical="center"/>
    </xf>
    <xf numFmtId="0" fontId="107" fillId="0" borderId="0" xfId="0" applyFont="1">
      <alignment vertical="center"/>
    </xf>
    <xf numFmtId="0" fontId="107" fillId="0" borderId="107" xfId="0" applyFont="1" applyBorder="1">
      <alignment vertical="center"/>
    </xf>
    <xf numFmtId="0" fontId="110" fillId="0" borderId="0" xfId="0" applyFont="1">
      <alignment vertical="center"/>
    </xf>
    <xf numFmtId="0" fontId="111" fillId="0" borderId="0" xfId="0" applyFont="1" applyAlignment="1">
      <alignment horizontal="right" vertical="center"/>
    </xf>
    <xf numFmtId="0" fontId="112" fillId="0" borderId="26" xfId="0" applyFont="1" applyBorder="1">
      <alignment vertical="center"/>
    </xf>
    <xf numFmtId="0" fontId="104" fillId="11" borderId="210" xfId="0" applyFont="1" applyFill="1" applyBorder="1" applyAlignment="1">
      <alignment horizontal="center" vertical="center"/>
    </xf>
    <xf numFmtId="0" fontId="104" fillId="11" borderId="159" xfId="0" applyFont="1" applyFill="1" applyBorder="1" applyAlignment="1">
      <alignment horizontal="center" vertical="center"/>
    </xf>
    <xf numFmtId="0" fontId="104" fillId="0" borderId="0" xfId="10" applyNumberFormat="1" applyFont="1" applyBorder="1">
      <alignment vertical="center"/>
    </xf>
    <xf numFmtId="240" fontId="104" fillId="0" borderId="0" xfId="0" applyNumberFormat="1" applyFont="1">
      <alignment vertical="center"/>
    </xf>
    <xf numFmtId="3" fontId="104" fillId="0" borderId="0" xfId="0" applyNumberFormat="1" applyFont="1">
      <alignment vertical="center"/>
    </xf>
    <xf numFmtId="192" fontId="104" fillId="0" borderId="0" xfId="1" applyNumberFormat="1" applyFont="1" applyBorder="1">
      <alignment vertical="center"/>
    </xf>
    <xf numFmtId="0" fontId="110" fillId="43" borderId="209" xfId="0" applyFont="1" applyFill="1" applyBorder="1">
      <alignment vertical="center"/>
    </xf>
    <xf numFmtId="0" fontId="104" fillId="43" borderId="209" xfId="10" applyNumberFormat="1" applyFont="1" applyFill="1" applyBorder="1">
      <alignment vertical="center"/>
    </xf>
    <xf numFmtId="220" fontId="104" fillId="0" borderId="209" xfId="10" applyNumberFormat="1" applyFont="1" applyBorder="1" applyAlignment="1">
      <alignment vertical="center"/>
    </xf>
    <xf numFmtId="3" fontId="104" fillId="0" borderId="209" xfId="0" applyNumberFormat="1" applyFont="1" applyBorder="1">
      <alignment vertical="center"/>
    </xf>
    <xf numFmtId="192" fontId="104" fillId="0" borderId="209" xfId="1" applyNumberFormat="1" applyFont="1" applyBorder="1">
      <alignment vertical="center"/>
    </xf>
    <xf numFmtId="0" fontId="104" fillId="0" borderId="209" xfId="0" applyFont="1" applyBorder="1">
      <alignment vertical="center"/>
    </xf>
    <xf numFmtId="0" fontId="104" fillId="0" borderId="0" xfId="10" applyNumberFormat="1" applyFont="1" applyFill="1" applyBorder="1">
      <alignment vertical="center"/>
    </xf>
    <xf numFmtId="220" fontId="104" fillId="0" borderId="0" xfId="10" applyNumberFormat="1" applyFont="1" applyFill="1" applyBorder="1" applyAlignment="1">
      <alignment vertical="center"/>
    </xf>
    <xf numFmtId="220" fontId="104" fillId="0" borderId="0" xfId="10" applyNumberFormat="1" applyFont="1" applyBorder="1" applyAlignment="1">
      <alignment vertical="center"/>
    </xf>
    <xf numFmtId="0" fontId="110" fillId="0" borderId="77" xfId="0" applyFont="1" applyBorder="1">
      <alignment vertical="center"/>
    </xf>
    <xf numFmtId="0" fontId="114" fillId="23" borderId="209" xfId="0" applyFont="1" applyFill="1" applyBorder="1" applyAlignment="1">
      <alignment horizontal="center" vertical="center"/>
    </xf>
    <xf numFmtId="0" fontId="114" fillId="23" borderId="210" xfId="0" applyFont="1" applyFill="1" applyBorder="1" applyAlignment="1">
      <alignment horizontal="center" vertical="center"/>
    </xf>
    <xf numFmtId="0" fontId="108" fillId="0" borderId="26" xfId="0" applyFont="1" applyBorder="1">
      <alignment vertical="center"/>
    </xf>
    <xf numFmtId="0" fontId="116" fillId="0" borderId="0" xfId="0" applyFont="1" applyAlignment="1">
      <alignment horizontal="center" vertical="center"/>
    </xf>
    <xf numFmtId="41" fontId="117" fillId="0" borderId="0" xfId="10" applyFont="1" applyBorder="1" applyAlignment="1">
      <alignment horizontal="right" vertical="center"/>
    </xf>
    <xf numFmtId="242" fontId="107" fillId="0" borderId="0" xfId="0" applyNumberFormat="1" applyFont="1" applyAlignment="1">
      <alignment horizontal="center" vertical="center"/>
    </xf>
    <xf numFmtId="10" fontId="104" fillId="0" borderId="142" xfId="1" applyNumberFormat="1" applyFont="1" applyBorder="1" applyAlignment="1">
      <alignment vertical="center"/>
    </xf>
    <xf numFmtId="10" fontId="104" fillId="0" borderId="209" xfId="1" applyNumberFormat="1" applyFont="1" applyBorder="1" applyAlignment="1">
      <alignment vertical="center"/>
    </xf>
    <xf numFmtId="0" fontId="114" fillId="23" borderId="210" xfId="0" applyFont="1" applyFill="1" applyBorder="1" applyAlignment="1">
      <alignment horizontal="centerContinuous" vertical="center"/>
    </xf>
    <xf numFmtId="9" fontId="114" fillId="23" borderId="209" xfId="0" applyNumberFormat="1" applyFont="1" applyFill="1" applyBorder="1" applyAlignment="1">
      <alignment horizontal="centerContinuous" vertical="center"/>
    </xf>
    <xf numFmtId="0" fontId="104" fillId="0" borderId="0" xfId="0" applyFont="1" applyAlignment="1">
      <alignment horizontal="center" vertical="center"/>
    </xf>
    <xf numFmtId="0" fontId="114" fillId="23" borderId="209" xfId="0" applyFont="1" applyFill="1" applyBorder="1" applyAlignment="1">
      <alignment horizontal="centerContinuous" vertical="center"/>
    </xf>
    <xf numFmtId="0" fontId="104" fillId="0" borderId="142" xfId="0" applyFont="1" applyBorder="1" applyAlignment="1">
      <alignment horizontal="center" vertical="center"/>
    </xf>
    <xf numFmtId="0" fontId="107" fillId="0" borderId="165" xfId="0" applyFont="1" applyBorder="1">
      <alignment vertical="center"/>
    </xf>
    <xf numFmtId="0" fontId="107" fillId="0" borderId="78" xfId="0" applyFont="1" applyBorder="1">
      <alignment vertical="center"/>
    </xf>
    <xf numFmtId="0" fontId="104" fillId="0" borderId="142" xfId="0" applyFont="1" applyBorder="1">
      <alignment vertical="center"/>
    </xf>
    <xf numFmtId="0" fontId="112" fillId="0" borderId="0" xfId="0" applyFont="1">
      <alignment vertical="center"/>
    </xf>
    <xf numFmtId="0" fontId="108" fillId="0" borderId="0" xfId="0" applyFont="1">
      <alignment vertical="center"/>
    </xf>
    <xf numFmtId="204" fontId="104" fillId="11" borderId="159" xfId="10" applyNumberFormat="1" applyFont="1" applyFill="1" applyBorder="1">
      <alignment vertical="center"/>
    </xf>
    <xf numFmtId="243" fontId="104" fillId="11" borderId="159" xfId="0" applyNumberFormat="1" applyFont="1" applyFill="1" applyBorder="1">
      <alignment vertical="center"/>
    </xf>
    <xf numFmtId="3" fontId="104" fillId="11" borderId="159" xfId="0" applyNumberFormat="1" applyFont="1" applyFill="1" applyBorder="1">
      <alignment vertical="center"/>
    </xf>
    <xf numFmtId="3" fontId="119" fillId="0" borderId="159" xfId="12" applyNumberFormat="1" applyFont="1" applyBorder="1" applyAlignment="1">
      <alignment vertical="center"/>
    </xf>
    <xf numFmtId="3" fontId="104" fillId="11" borderId="142" xfId="0" applyNumberFormat="1" applyFont="1" applyFill="1" applyBorder="1">
      <alignment vertical="center"/>
    </xf>
    <xf numFmtId="0" fontId="120" fillId="0" borderId="26" xfId="0" applyFont="1" applyBorder="1">
      <alignment vertical="center"/>
    </xf>
    <xf numFmtId="0" fontId="104" fillId="0" borderId="348" xfId="0" applyFont="1" applyBorder="1" applyAlignment="1">
      <alignment horizontal="center" vertical="center"/>
    </xf>
    <xf numFmtId="0" fontId="104" fillId="0" borderId="349" xfId="0" applyFont="1" applyBorder="1" applyAlignment="1">
      <alignment horizontal="center" vertical="center"/>
    </xf>
    <xf numFmtId="204" fontId="104" fillId="0" borderId="349" xfId="10" applyNumberFormat="1" applyFont="1" applyBorder="1">
      <alignment vertical="center"/>
    </xf>
    <xf numFmtId="243" fontId="104" fillId="11" borderId="349" xfId="0" applyNumberFormat="1" applyFont="1" applyFill="1" applyBorder="1">
      <alignment vertical="center"/>
    </xf>
    <xf numFmtId="3" fontId="104" fillId="11" borderId="349" xfId="0" applyNumberFormat="1" applyFont="1" applyFill="1" applyBorder="1">
      <alignment vertical="center"/>
    </xf>
    <xf numFmtId="3" fontId="119" fillId="0" borderId="350" xfId="12" applyNumberFormat="1" applyFont="1" applyBorder="1" applyAlignment="1">
      <alignment vertical="center"/>
    </xf>
    <xf numFmtId="3" fontId="104" fillId="11" borderId="351" xfId="0" applyNumberFormat="1" applyFont="1" applyFill="1" applyBorder="1">
      <alignment vertical="center"/>
    </xf>
    <xf numFmtId="0" fontId="120" fillId="0" borderId="0" xfId="0" applyFont="1">
      <alignment vertical="center"/>
    </xf>
    <xf numFmtId="204" fontId="104" fillId="44" borderId="349" xfId="10" applyNumberFormat="1" applyFont="1" applyFill="1" applyBorder="1">
      <alignment vertical="center"/>
    </xf>
    <xf numFmtId="3" fontId="120" fillId="0" borderId="0" xfId="0" applyNumberFormat="1" applyFont="1">
      <alignment vertical="center"/>
    </xf>
    <xf numFmtId="243" fontId="104" fillId="0" borderId="158" xfId="0" applyNumberFormat="1" applyFont="1" applyBorder="1">
      <alignment vertical="center"/>
    </xf>
    <xf numFmtId="3" fontId="104" fillId="0" borderId="158" xfId="0" applyNumberFormat="1" applyFont="1" applyBorder="1">
      <alignment vertical="center"/>
    </xf>
    <xf numFmtId="3" fontId="104" fillId="0" borderId="165" xfId="0" applyNumberFormat="1" applyFont="1" applyBorder="1">
      <alignment vertical="center"/>
    </xf>
    <xf numFmtId="3" fontId="121" fillId="0" borderId="138" xfId="12" applyNumberFormat="1" applyFont="1" applyBorder="1" applyAlignment="1">
      <alignment vertical="center"/>
    </xf>
    <xf numFmtId="3" fontId="121" fillId="0" borderId="25" xfId="12" applyNumberFormat="1" applyFont="1" applyBorder="1" applyAlignment="1">
      <alignment vertical="center"/>
    </xf>
    <xf numFmtId="244" fontId="122" fillId="0" borderId="25" xfId="13" applyFont="1" applyFill="1" applyBorder="1" applyAlignment="1">
      <alignment horizontal="right" vertical="center"/>
    </xf>
    <xf numFmtId="192" fontId="122" fillId="0" borderId="25" xfId="14" applyNumberFormat="1" applyFont="1" applyFill="1" applyBorder="1" applyAlignment="1">
      <alignment horizontal="center" vertical="center"/>
    </xf>
    <xf numFmtId="1" fontId="122" fillId="0" borderId="25" xfId="12" applyNumberFormat="1" applyFont="1" applyBorder="1" applyAlignment="1">
      <alignment horizontal="center" vertical="center"/>
    </xf>
    <xf numFmtId="0" fontId="122" fillId="0" borderId="25" xfId="12" applyFont="1" applyBorder="1" applyAlignment="1">
      <alignment horizontal="center" vertical="center"/>
    </xf>
    <xf numFmtId="41" fontId="122" fillId="0" borderId="25" xfId="15" applyFont="1" applyFill="1" applyBorder="1" applyAlignment="1">
      <alignment horizontal="right" vertical="center"/>
    </xf>
    <xf numFmtId="41" fontId="122" fillId="0" borderId="25" xfId="15" applyFont="1" applyFill="1" applyBorder="1" applyAlignment="1">
      <alignment horizontal="center" vertical="center"/>
    </xf>
    <xf numFmtId="41" fontId="124" fillId="0" borderId="25" xfId="15" applyFont="1" applyFill="1" applyBorder="1" applyAlignment="1">
      <alignment horizontal="center" vertical="center"/>
    </xf>
    <xf numFmtId="0" fontId="122" fillId="0" borderId="137" xfId="12" applyFont="1" applyBorder="1" applyAlignment="1">
      <alignment horizontal="center" vertical="center"/>
    </xf>
    <xf numFmtId="0" fontId="125" fillId="21" borderId="0" xfId="12" applyFont="1" applyFill="1"/>
    <xf numFmtId="0" fontId="112" fillId="21" borderId="0" xfId="12" applyFont="1" applyFill="1"/>
    <xf numFmtId="0" fontId="119" fillId="0" borderId="26" xfId="12" applyFont="1" applyBorder="1" applyAlignment="1">
      <alignment horizontal="center" vertical="center"/>
    </xf>
    <xf numFmtId="3" fontId="119" fillId="0" borderId="0" xfId="12" applyNumberFormat="1" applyFont="1" applyAlignment="1">
      <alignment horizontal="left" vertical="center"/>
    </xf>
    <xf numFmtId="0" fontId="119" fillId="0" borderId="0" xfId="12" applyFont="1" applyAlignment="1">
      <alignment horizontal="right"/>
    </xf>
    <xf numFmtId="192" fontId="119" fillId="0" borderId="0" xfId="14" applyNumberFormat="1" applyFont="1" applyFill="1" applyBorder="1" applyAlignment="1">
      <alignment horizontal="center"/>
    </xf>
    <xf numFmtId="0" fontId="119" fillId="0" borderId="0" xfId="12" applyFont="1" applyAlignment="1">
      <alignment horizontal="center"/>
    </xf>
    <xf numFmtId="0" fontId="119" fillId="21" borderId="0" xfId="12" applyFont="1" applyFill="1"/>
    <xf numFmtId="41" fontId="122" fillId="0" borderId="0" xfId="15" applyFont="1" applyFill="1" applyBorder="1" applyAlignment="1">
      <alignment horizontal="center" vertical="center"/>
    </xf>
    <xf numFmtId="0" fontId="122" fillId="0" borderId="0" xfId="12" applyFont="1"/>
    <xf numFmtId="0" fontId="119" fillId="21" borderId="107" xfId="12" applyFont="1" applyFill="1" applyBorder="1"/>
    <xf numFmtId="0" fontId="119" fillId="0" borderId="165" xfId="12" applyFont="1" applyBorder="1" applyAlignment="1">
      <alignment horizontal="center" vertical="center"/>
    </xf>
    <xf numFmtId="0" fontId="119" fillId="21" borderId="77" xfId="12" applyFont="1" applyFill="1" applyBorder="1" applyAlignment="1">
      <alignment vertical="center"/>
    </xf>
    <xf numFmtId="0" fontId="119" fillId="21" borderId="78" xfId="12" applyFont="1" applyFill="1" applyBorder="1" applyAlignment="1">
      <alignment vertical="center"/>
    </xf>
    <xf numFmtId="4" fontId="119" fillId="0" borderId="0" xfId="12" applyNumberFormat="1" applyFont="1"/>
    <xf numFmtId="0" fontId="126" fillId="0" borderId="0" xfId="16" applyFont="1">
      <alignment vertical="center"/>
    </xf>
    <xf numFmtId="0" fontId="104" fillId="0" borderId="0" xfId="16" applyFont="1">
      <alignment vertical="center"/>
    </xf>
    <xf numFmtId="41" fontId="104" fillId="0" borderId="0" xfId="17" applyFont="1">
      <alignment vertical="center"/>
    </xf>
    <xf numFmtId="0" fontId="111" fillId="0" borderId="0" xfId="16" applyFont="1" applyAlignment="1">
      <alignment horizontal="right" vertical="center"/>
    </xf>
    <xf numFmtId="0" fontId="107" fillId="0" borderId="77" xfId="0" applyFont="1" applyBorder="1" applyAlignment="1">
      <alignment horizontal="center" vertical="center"/>
    </xf>
    <xf numFmtId="0" fontId="127" fillId="21" borderId="0" xfId="12" applyFont="1" applyFill="1" applyAlignment="1">
      <alignment vertical="center"/>
    </xf>
    <xf numFmtId="3" fontId="127" fillId="21" borderId="0" xfId="12" applyNumberFormat="1" applyFont="1" applyFill="1" applyAlignment="1">
      <alignment vertical="center"/>
    </xf>
    <xf numFmtId="0" fontId="107" fillId="0" borderId="142" xfId="0" applyFont="1" applyBorder="1" applyAlignment="1">
      <alignment horizontal="center" vertical="center"/>
    </xf>
    <xf numFmtId="0" fontId="107" fillId="0" borderId="210" xfId="0" applyFont="1" applyBorder="1" applyAlignment="1">
      <alignment horizontal="center" vertical="center"/>
    </xf>
    <xf numFmtId="0" fontId="107" fillId="0" borderId="209" xfId="0" applyFont="1" applyBorder="1" applyAlignment="1">
      <alignment horizontal="center" vertical="center"/>
    </xf>
    <xf numFmtId="0" fontId="109" fillId="0" borderId="210" xfId="0" applyFont="1" applyBorder="1" applyAlignment="1">
      <alignment horizontal="center" vertical="center"/>
    </xf>
    <xf numFmtId="0" fontId="114" fillId="23" borderId="210" xfId="16" applyFont="1" applyFill="1" applyBorder="1" applyAlignment="1">
      <alignment horizontal="center" vertical="center"/>
    </xf>
    <xf numFmtId="0" fontId="114" fillId="23" borderId="210" xfId="16" applyFont="1" applyFill="1" applyBorder="1" applyAlignment="1">
      <alignment horizontal="center" vertical="center" wrapText="1"/>
    </xf>
    <xf numFmtId="0" fontId="114" fillId="23" borderId="209" xfId="16" applyFont="1" applyFill="1" applyBorder="1" applyAlignment="1">
      <alignment horizontal="center" vertical="center"/>
    </xf>
    <xf numFmtId="0" fontId="109" fillId="0" borderId="142" xfId="0" applyFont="1" applyBorder="1" applyAlignment="1">
      <alignment horizontal="center" vertical="center"/>
    </xf>
    <xf numFmtId="0" fontId="109" fillId="0" borderId="209" xfId="0" applyFont="1" applyBorder="1" applyAlignment="1">
      <alignment horizontal="center" vertical="center"/>
    </xf>
    <xf numFmtId="3" fontId="129" fillId="21" borderId="210" xfId="12" applyNumberFormat="1" applyFont="1" applyFill="1" applyBorder="1" applyAlignment="1">
      <alignment horizontal="center" vertical="center" wrapText="1"/>
    </xf>
    <xf numFmtId="3" fontId="129" fillId="21" borderId="159" xfId="12" applyNumberFormat="1" applyFont="1" applyFill="1" applyBorder="1" applyAlignment="1">
      <alignment horizontal="center" vertical="center"/>
    </xf>
    <xf numFmtId="243" fontId="107" fillId="11" borderId="159" xfId="16" applyNumberFormat="1" applyFont="1" applyFill="1" applyBorder="1">
      <alignment vertical="center"/>
    </xf>
    <xf numFmtId="192" fontId="129" fillId="21" borderId="159" xfId="20" applyNumberFormat="1" applyFont="1" applyFill="1" applyBorder="1" applyAlignment="1">
      <alignment horizontal="center" vertical="center"/>
    </xf>
    <xf numFmtId="41" fontId="129" fillId="44" borderId="159" xfId="10" applyFont="1" applyFill="1" applyBorder="1" applyAlignment="1">
      <alignment vertical="center"/>
    </xf>
    <xf numFmtId="41" fontId="129" fillId="21" borderId="159" xfId="19" applyFont="1" applyFill="1" applyBorder="1" applyAlignment="1">
      <alignment vertical="center"/>
    </xf>
    <xf numFmtId="41" fontId="129" fillId="11" borderId="159" xfId="19" applyFont="1" applyFill="1" applyBorder="1" applyAlignment="1">
      <alignment vertical="center"/>
    </xf>
    <xf numFmtId="41" fontId="130" fillId="21" borderId="142" xfId="12" applyNumberFormat="1" applyFont="1" applyFill="1" applyBorder="1" applyAlignment="1">
      <alignment vertical="center"/>
    </xf>
    <xf numFmtId="0" fontId="107" fillId="0" borderId="142" xfId="0" applyFont="1" applyBorder="1" applyAlignment="1">
      <alignment horizontal="left" vertical="center"/>
    </xf>
    <xf numFmtId="0" fontId="107" fillId="0" borderId="209" xfId="0" applyFont="1" applyBorder="1" applyAlignment="1">
      <alignment horizontal="left" vertical="center"/>
    </xf>
    <xf numFmtId="0" fontId="107" fillId="0" borderId="210" xfId="0" applyFont="1" applyBorder="1" applyAlignment="1">
      <alignment horizontal="left" vertical="center"/>
    </xf>
    <xf numFmtId="0" fontId="112" fillId="21" borderId="159" xfId="12" applyFont="1" applyFill="1" applyBorder="1" applyAlignment="1">
      <alignment horizontal="center"/>
    </xf>
    <xf numFmtId="204" fontId="112" fillId="21" borderId="159" xfId="12" applyNumberFormat="1" applyFont="1" applyFill="1" applyBorder="1"/>
    <xf numFmtId="0" fontId="131" fillId="21" borderId="159" xfId="12" applyFont="1" applyFill="1" applyBorder="1"/>
    <xf numFmtId="0" fontId="112" fillId="21" borderId="159" xfId="12" applyFont="1" applyFill="1" applyBorder="1"/>
    <xf numFmtId="0" fontId="112" fillId="21" borderId="142" xfId="12" applyFont="1" applyFill="1" applyBorder="1"/>
    <xf numFmtId="0" fontId="112" fillId="0" borderId="142" xfId="0" applyFont="1" applyBorder="1" applyAlignment="1">
      <alignment horizontal="center" vertical="center"/>
    </xf>
    <xf numFmtId="0" fontId="112" fillId="0" borderId="210" xfId="0" applyFont="1" applyBorder="1" applyAlignment="1">
      <alignment horizontal="center" vertical="center"/>
    </xf>
    <xf numFmtId="0" fontId="112" fillId="0" borderId="142" xfId="0" applyFont="1" applyBorder="1" applyAlignment="1">
      <alignment horizontal="left" vertical="center"/>
    </xf>
    <xf numFmtId="0" fontId="112" fillId="0" borderId="209" xfId="0" applyFont="1" applyBorder="1" applyAlignment="1">
      <alignment horizontal="left" vertical="center"/>
    </xf>
    <xf numFmtId="0" fontId="112" fillId="0" borderId="210" xfId="0" applyFont="1" applyBorder="1" applyAlignment="1">
      <alignment horizontal="left" vertical="center"/>
    </xf>
    <xf numFmtId="220" fontId="110" fillId="0" borderId="209" xfId="10" applyNumberFormat="1" applyFont="1" applyBorder="1" applyAlignment="1">
      <alignment vertical="center"/>
    </xf>
    <xf numFmtId="0" fontId="104" fillId="11" borderId="0" xfId="0" applyFont="1" applyFill="1">
      <alignment vertical="center"/>
    </xf>
    <xf numFmtId="0" fontId="104" fillId="14" borderId="0" xfId="0" applyFont="1" applyFill="1">
      <alignment vertical="center"/>
    </xf>
    <xf numFmtId="215" fontId="133" fillId="26" borderId="0" xfId="0" applyNumberFormat="1" applyFont="1" applyFill="1">
      <alignment vertical="center"/>
    </xf>
    <xf numFmtId="183" fontId="134" fillId="26" borderId="337" xfId="0" applyNumberFormat="1" applyFont="1" applyFill="1" applyBorder="1" applyAlignment="1">
      <alignment horizontal="left" vertical="center"/>
    </xf>
    <xf numFmtId="184" fontId="134" fillId="26" borderId="338" xfId="0" applyNumberFormat="1" applyFont="1" applyFill="1" applyBorder="1" applyAlignment="1">
      <alignment horizontal="left" vertical="center"/>
    </xf>
    <xf numFmtId="14" fontId="134" fillId="26" borderId="338" xfId="0" applyNumberFormat="1" applyFont="1" applyFill="1" applyBorder="1" applyAlignment="1">
      <alignment horizontal="center" vertical="center"/>
    </xf>
    <xf numFmtId="185" fontId="134" fillId="26" borderId="338" xfId="0" applyNumberFormat="1" applyFont="1" applyFill="1" applyBorder="1" applyAlignment="1">
      <alignment horizontal="center" vertical="center"/>
    </xf>
    <xf numFmtId="215" fontId="134" fillId="26" borderId="338" xfId="0" applyNumberFormat="1" applyFont="1" applyFill="1" applyBorder="1" applyAlignment="1">
      <alignment horizontal="right" vertical="center"/>
    </xf>
    <xf numFmtId="10" fontId="134" fillId="26" borderId="338" xfId="0" applyNumberFormat="1" applyFont="1" applyFill="1" applyBorder="1" applyAlignment="1">
      <alignment horizontal="center" vertical="center"/>
    </xf>
    <xf numFmtId="227" fontId="134" fillId="26" borderId="339" xfId="0" applyNumberFormat="1" applyFont="1" applyFill="1" applyBorder="1">
      <alignment vertical="center"/>
    </xf>
    <xf numFmtId="3" fontId="135" fillId="11" borderId="0" xfId="0" applyNumberFormat="1" applyFont="1" applyFill="1">
      <alignment vertical="center"/>
    </xf>
    <xf numFmtId="3" fontId="136" fillId="21" borderId="0" xfId="0" applyNumberFormat="1" applyFont="1" applyFill="1">
      <alignment vertical="center"/>
    </xf>
    <xf numFmtId="195" fontId="21" fillId="0" borderId="0" xfId="0" applyNumberFormat="1" applyFont="1">
      <alignment vertical="center"/>
    </xf>
    <xf numFmtId="245" fontId="49" fillId="16" borderId="0" xfId="0" applyNumberFormat="1" applyFont="1" applyFill="1">
      <alignment vertical="center"/>
    </xf>
    <xf numFmtId="182" fontId="25" fillId="8" borderId="38" xfId="0" applyNumberFormat="1" applyFont="1" applyFill="1" applyBorder="1">
      <alignment vertical="center"/>
    </xf>
    <xf numFmtId="10" fontId="17" fillId="8" borderId="13" xfId="0" applyNumberFormat="1" applyFont="1" applyFill="1" applyBorder="1">
      <alignment vertical="center"/>
    </xf>
    <xf numFmtId="176" fontId="55" fillId="0" borderId="0" xfId="0" applyNumberFormat="1" applyFont="1" applyAlignment="1">
      <alignment horizontal="right" vertical="center"/>
    </xf>
    <xf numFmtId="176" fontId="55" fillId="0" borderId="107" xfId="0" applyNumberFormat="1" applyFont="1" applyBorder="1">
      <alignment vertical="center"/>
    </xf>
    <xf numFmtId="0" fontId="11" fillId="0" borderId="49" xfId="0" applyFont="1" applyBorder="1">
      <alignment vertical="center"/>
    </xf>
    <xf numFmtId="185" fontId="15" fillId="0" borderId="33" xfId="0" applyNumberFormat="1" applyFont="1" applyBorder="1" applyAlignment="1">
      <alignment horizontal="center" vertical="center"/>
    </xf>
    <xf numFmtId="10" fontId="24" fillId="11" borderId="0" xfId="0" applyNumberFormat="1" applyFont="1" applyFill="1" applyAlignment="1">
      <alignment horizontal="right" vertical="center"/>
    </xf>
    <xf numFmtId="10" fontId="24" fillId="0" borderId="0" xfId="0" applyNumberFormat="1" applyFont="1" applyAlignment="1">
      <alignment horizontal="center" vertical="center"/>
    </xf>
    <xf numFmtId="192" fontId="14" fillId="11" borderId="0" xfId="0" applyNumberFormat="1" applyFont="1" applyFill="1" applyAlignment="1">
      <alignment horizontal="center" vertical="center"/>
    </xf>
    <xf numFmtId="14" fontId="11" fillId="0" borderId="352" xfId="0" applyNumberFormat="1" applyFont="1" applyBorder="1" applyAlignment="1">
      <alignment horizontal="center" vertical="center"/>
    </xf>
    <xf numFmtId="14" fontId="11" fillId="0" borderId="279" xfId="0" applyNumberFormat="1" applyFont="1" applyBorder="1" applyAlignment="1">
      <alignment horizontal="center" vertical="center"/>
    </xf>
    <xf numFmtId="185" fontId="11" fillId="0" borderId="279" xfId="0" applyNumberFormat="1" applyFont="1" applyBorder="1" applyAlignment="1">
      <alignment horizontal="center" vertical="center"/>
    </xf>
    <xf numFmtId="10" fontId="24" fillId="11" borderId="279" xfId="0" applyNumberFormat="1" applyFont="1" applyFill="1" applyBorder="1" applyAlignment="1">
      <alignment horizontal="right" vertical="center"/>
    </xf>
    <xf numFmtId="10" fontId="24" fillId="0" borderId="279" xfId="0" applyNumberFormat="1" applyFont="1" applyBorder="1" applyAlignment="1">
      <alignment horizontal="center" vertical="center"/>
    </xf>
    <xf numFmtId="192" fontId="14" fillId="11" borderId="279" xfId="0" applyNumberFormat="1" applyFont="1" applyFill="1" applyBorder="1" applyAlignment="1">
      <alignment horizontal="center" vertical="center"/>
    </xf>
    <xf numFmtId="176" fontId="14" fillId="11" borderId="33" xfId="0" applyNumberFormat="1" applyFont="1" applyFill="1" applyBorder="1" applyAlignment="1">
      <alignment horizontal="right" vertical="center"/>
    </xf>
    <xf numFmtId="176" fontId="14" fillId="11" borderId="279" xfId="0" applyNumberFormat="1" applyFont="1" applyFill="1" applyBorder="1" applyAlignment="1">
      <alignment horizontal="right" vertical="center"/>
    </xf>
    <xf numFmtId="192" fontId="14" fillId="0" borderId="28" xfId="0" applyNumberFormat="1" applyFont="1" applyBorder="1" applyAlignment="1">
      <alignment horizontal="center" vertical="center"/>
    </xf>
    <xf numFmtId="192" fontId="14" fillId="0" borderId="354" xfId="0" applyNumberFormat="1" applyFont="1" applyBorder="1" applyAlignment="1">
      <alignment horizontal="center" vertical="center"/>
    </xf>
    <xf numFmtId="10" fontId="14" fillId="0" borderId="33" xfId="0" applyNumberFormat="1" applyFont="1" applyBorder="1" applyAlignment="1">
      <alignment horizontal="center" vertical="center"/>
    </xf>
    <xf numFmtId="10" fontId="14" fillId="0" borderId="0" xfId="0" applyNumberFormat="1" applyFont="1" applyAlignment="1">
      <alignment horizontal="center" vertical="center"/>
    </xf>
    <xf numFmtId="10" fontId="14" fillId="0" borderId="279" xfId="0" applyNumberFormat="1" applyFont="1" applyBorder="1" applyAlignment="1">
      <alignment horizontal="center" vertical="center"/>
    </xf>
    <xf numFmtId="192" fontId="14" fillId="11" borderId="107" xfId="0" applyNumberFormat="1" applyFont="1" applyFill="1" applyBorder="1" applyAlignment="1">
      <alignment horizontal="center" vertical="center"/>
    </xf>
    <xf numFmtId="192" fontId="14" fillId="11" borderId="174" xfId="0" applyNumberFormat="1" applyFont="1" applyFill="1" applyBorder="1" applyAlignment="1">
      <alignment horizontal="center" vertical="center"/>
    </xf>
    <xf numFmtId="192" fontId="14" fillId="11" borderId="263" xfId="0" applyNumberFormat="1" applyFont="1" applyFill="1" applyBorder="1" applyAlignment="1">
      <alignment horizontal="center" vertical="center"/>
    </xf>
    <xf numFmtId="218" fontId="17" fillId="0" borderId="0" xfId="0" applyNumberFormat="1" applyFont="1">
      <alignment vertical="center"/>
    </xf>
    <xf numFmtId="14" fontId="11" fillId="0" borderId="247" xfId="0" applyNumberFormat="1" applyFont="1" applyBorder="1">
      <alignment vertical="center"/>
    </xf>
    <xf numFmtId="176" fontId="11" fillId="0" borderId="273" xfId="0" applyNumberFormat="1" applyFont="1" applyBorder="1">
      <alignment vertical="center"/>
    </xf>
    <xf numFmtId="0" fontId="14" fillId="5" borderId="18" xfId="0" applyFont="1" applyFill="1" applyBorder="1" applyAlignment="1">
      <alignment horizontal="left" vertical="center"/>
    </xf>
    <xf numFmtId="3" fontId="134" fillId="8" borderId="64" xfId="0" applyNumberFormat="1" applyFont="1" applyFill="1" applyBorder="1" applyAlignment="1">
      <alignment horizontal="center" vertical="center"/>
    </xf>
    <xf numFmtId="0" fontId="11" fillId="6" borderId="35" xfId="0" applyFont="1" applyFill="1" applyBorder="1" applyAlignment="1">
      <alignment horizontal="left" vertical="center"/>
    </xf>
    <xf numFmtId="0" fontId="14" fillId="5" borderId="40" xfId="0" applyFont="1" applyFill="1" applyBorder="1" applyAlignment="1">
      <alignment horizontal="left" vertical="center"/>
    </xf>
    <xf numFmtId="186" fontId="11" fillId="0" borderId="27" xfId="0" applyNumberFormat="1" applyFont="1" applyBorder="1">
      <alignment vertical="center"/>
    </xf>
    <xf numFmtId="4" fontId="11" fillId="0" borderId="113" xfId="0" applyNumberFormat="1" applyFont="1" applyBorder="1">
      <alignment vertical="center"/>
    </xf>
    <xf numFmtId="0" fontId="23" fillId="0" borderId="138" xfId="0" applyFont="1" applyBorder="1">
      <alignment vertical="center"/>
    </xf>
    <xf numFmtId="0" fontId="23" fillId="0" borderId="137" xfId="0" applyFont="1" applyBorder="1">
      <alignment vertical="center"/>
    </xf>
    <xf numFmtId="0" fontId="23" fillId="0" borderId="0" xfId="0" applyFont="1" applyAlignment="1">
      <alignment horizontal="left" vertical="center"/>
    </xf>
    <xf numFmtId="0" fontId="13" fillId="4" borderId="137" xfId="0" applyFont="1" applyFill="1" applyBorder="1" applyAlignment="1">
      <alignment horizontal="centerContinuous" vertical="center"/>
    </xf>
    <xf numFmtId="0" fontId="21" fillId="5" borderId="355" xfId="0" applyFont="1" applyFill="1" applyBorder="1" applyAlignment="1">
      <alignment horizontal="center" vertical="center"/>
    </xf>
    <xf numFmtId="192" fontId="23" fillId="0" borderId="148" xfId="0" applyNumberFormat="1" applyFont="1" applyBorder="1">
      <alignment vertical="center"/>
    </xf>
    <xf numFmtId="0" fontId="23" fillId="0" borderId="356" xfId="0" applyFont="1" applyBorder="1">
      <alignment vertical="center"/>
    </xf>
    <xf numFmtId="0" fontId="11" fillId="45" borderId="6" xfId="0" applyFont="1" applyFill="1" applyBorder="1">
      <alignment vertical="center"/>
    </xf>
    <xf numFmtId="0" fontId="11" fillId="45" borderId="0" xfId="0" applyFont="1" applyFill="1">
      <alignment vertical="center"/>
    </xf>
    <xf numFmtId="14" fontId="11" fillId="45" borderId="0" xfId="0" applyNumberFormat="1" applyFont="1" applyFill="1">
      <alignment vertical="center"/>
    </xf>
    <xf numFmtId="176" fontId="14" fillId="45" borderId="0" xfId="0" applyNumberFormat="1" applyFont="1" applyFill="1" applyAlignment="1">
      <alignment horizontal="right" vertical="center"/>
    </xf>
    <xf numFmtId="176" fontId="11" fillId="45" borderId="7" xfId="0" applyNumberFormat="1" applyFont="1" applyFill="1" applyBorder="1">
      <alignment vertical="center"/>
    </xf>
    <xf numFmtId="10" fontId="11" fillId="45" borderId="0" xfId="0" applyNumberFormat="1" applyFont="1" applyFill="1">
      <alignment vertical="center"/>
    </xf>
    <xf numFmtId="0" fontId="20" fillId="4" borderId="13" xfId="0" applyFont="1" applyFill="1" applyBorder="1">
      <alignment vertical="center"/>
    </xf>
    <xf numFmtId="176" fontId="11" fillId="16" borderId="357" xfId="0" applyNumberFormat="1" applyFont="1" applyFill="1" applyBorder="1">
      <alignment vertical="center"/>
    </xf>
    <xf numFmtId="176" fontId="11" fillId="16" borderId="359" xfId="0" applyNumberFormat="1" applyFont="1" applyFill="1" applyBorder="1">
      <alignment vertical="center"/>
    </xf>
    <xf numFmtId="176" fontId="11" fillId="16" borderId="0" xfId="0" applyNumberFormat="1" applyFont="1" applyFill="1">
      <alignment vertical="center"/>
    </xf>
    <xf numFmtId="176" fontId="11" fillId="16" borderId="361" xfId="0" applyNumberFormat="1" applyFont="1" applyFill="1" applyBorder="1">
      <alignment vertical="center"/>
    </xf>
    <xf numFmtId="176" fontId="11" fillId="16" borderId="362" xfId="0" applyNumberFormat="1" applyFont="1" applyFill="1" applyBorder="1">
      <alignment vertical="center"/>
    </xf>
    <xf numFmtId="14" fontId="14" fillId="0" borderId="0" xfId="0" applyNumberFormat="1" applyFont="1" applyAlignment="1">
      <alignment horizontal="center" vertical="center"/>
    </xf>
    <xf numFmtId="246" fontId="23" fillId="0" borderId="0" xfId="0" applyNumberFormat="1" applyFont="1">
      <alignment vertical="center"/>
    </xf>
    <xf numFmtId="185" fontId="12" fillId="15" borderId="0" xfId="0" applyNumberFormat="1" applyFont="1" applyFill="1">
      <alignment vertical="center"/>
    </xf>
    <xf numFmtId="246" fontId="12" fillId="15" borderId="0" xfId="0" applyNumberFormat="1" applyFont="1" applyFill="1">
      <alignment vertical="center"/>
    </xf>
    <xf numFmtId="192" fontId="69" fillId="0" borderId="283" xfId="0" applyNumberFormat="1" applyFont="1" applyBorder="1" applyAlignment="1">
      <alignment vertical="center" wrapText="1"/>
    </xf>
    <xf numFmtId="192" fontId="69" fillId="36" borderId="305" xfId="0" applyNumberFormat="1" applyFont="1" applyFill="1" applyBorder="1" applyAlignment="1">
      <alignment vertical="center" wrapText="1"/>
    </xf>
    <xf numFmtId="197" fontId="69" fillId="0" borderId="283" xfId="0" applyNumberFormat="1" applyFont="1" applyBorder="1" applyAlignment="1">
      <alignment horizontal="right" vertical="center" wrapText="1"/>
    </xf>
    <xf numFmtId="192" fontId="23" fillId="0" borderId="0" xfId="0" applyNumberFormat="1" applyFont="1">
      <alignment vertical="center"/>
    </xf>
    <xf numFmtId="3" fontId="11" fillId="5" borderId="4" xfId="0" applyNumberFormat="1" applyFont="1" applyFill="1" applyBorder="1">
      <alignment vertical="center"/>
    </xf>
    <xf numFmtId="3" fontId="23" fillId="0" borderId="148" xfId="0" applyNumberFormat="1" applyFont="1" applyBorder="1">
      <alignment vertical="center"/>
    </xf>
    <xf numFmtId="3" fontId="16" fillId="2" borderId="58" xfId="0" applyNumberFormat="1" applyFont="1" applyFill="1" applyBorder="1">
      <alignment vertical="center"/>
    </xf>
    <xf numFmtId="3" fontId="16" fillId="2" borderId="57" xfId="0" applyNumberFormat="1" applyFont="1" applyFill="1" applyBorder="1">
      <alignment vertical="center"/>
    </xf>
    <xf numFmtId="0" fontId="16" fillId="2" borderId="57" xfId="0" applyFont="1" applyFill="1" applyBorder="1" applyAlignment="1">
      <alignment horizontal="right" vertical="center"/>
    </xf>
    <xf numFmtId="247" fontId="67" fillId="37" borderId="280" xfId="0" applyNumberFormat="1" applyFont="1" applyFill="1" applyBorder="1" applyAlignment="1">
      <alignment horizontal="right" vertical="center" wrapText="1" readingOrder="1"/>
    </xf>
    <xf numFmtId="0" fontId="67" fillId="35" borderId="280" xfId="0" applyFont="1" applyFill="1" applyBorder="1" applyAlignment="1">
      <alignment horizontal="center" vertical="center" wrapText="1" readingOrder="1"/>
    </xf>
    <xf numFmtId="0" fontId="67" fillId="37" borderId="284" xfId="0" applyFont="1" applyFill="1" applyBorder="1" applyAlignment="1">
      <alignment horizontal="center" vertical="center" wrapText="1" readingOrder="1"/>
    </xf>
    <xf numFmtId="0" fontId="67" fillId="36" borderId="284" xfId="0" applyFont="1" applyFill="1" applyBorder="1" applyAlignment="1">
      <alignment horizontal="left" vertical="center" wrapText="1" readingOrder="1"/>
    </xf>
    <xf numFmtId="0" fontId="69" fillId="0" borderId="366" xfId="0" applyFont="1" applyBorder="1" applyAlignment="1">
      <alignment horizontal="right" vertical="center" wrapText="1"/>
    </xf>
    <xf numFmtId="0" fontId="69" fillId="0" borderId="367" xfId="0" applyFont="1" applyBorder="1" applyAlignment="1">
      <alignment horizontal="right" vertical="center" wrapText="1"/>
    </xf>
    <xf numFmtId="0" fontId="69" fillId="0" borderId="368" xfId="0" applyFont="1" applyBorder="1" applyAlignment="1">
      <alignment horizontal="right" vertical="center" wrapText="1"/>
    </xf>
    <xf numFmtId="0" fontId="69" fillId="0" borderId="369" xfId="0" applyFont="1" applyBorder="1" applyAlignment="1">
      <alignment horizontal="right" vertical="center" wrapText="1"/>
    </xf>
    <xf numFmtId="0" fontId="69" fillId="0" borderId="370" xfId="0" applyFont="1" applyBorder="1" applyAlignment="1">
      <alignment horizontal="right" vertical="center" wrapText="1"/>
    </xf>
    <xf numFmtId="0" fontId="69" fillId="0" borderId="371" xfId="0" applyFont="1" applyBorder="1" applyAlignment="1">
      <alignment horizontal="right" vertical="center" wrapText="1"/>
    </xf>
    <xf numFmtId="0" fontId="69" fillId="0" borderId="372" xfId="0" applyFont="1" applyBorder="1" applyAlignment="1">
      <alignment horizontal="right" vertical="center" wrapText="1"/>
    </xf>
    <xf numFmtId="0" fontId="69" fillId="0" borderId="373" xfId="0" applyFont="1" applyBorder="1" applyAlignment="1">
      <alignment horizontal="right" vertical="center" wrapText="1"/>
    </xf>
    <xf numFmtId="0" fontId="69" fillId="0" borderId="374" xfId="0" applyFont="1" applyBorder="1" applyAlignment="1">
      <alignment horizontal="right" vertical="center" wrapText="1"/>
    </xf>
    <xf numFmtId="0" fontId="67" fillId="36" borderId="375" xfId="0" applyFont="1" applyFill="1" applyBorder="1" applyAlignment="1">
      <alignment horizontal="left" vertical="center" wrapText="1" readingOrder="1"/>
    </xf>
    <xf numFmtId="248" fontId="69" fillId="37" borderId="280" xfId="0" applyNumberFormat="1" applyFont="1" applyFill="1" applyBorder="1" applyAlignment="1">
      <alignment horizontal="right" vertical="center" wrapText="1"/>
    </xf>
    <xf numFmtId="10" fontId="69" fillId="37" borderId="280" xfId="0" applyNumberFormat="1" applyFont="1" applyFill="1" applyBorder="1" applyAlignment="1">
      <alignment horizontal="right" vertical="center" wrapText="1"/>
    </xf>
    <xf numFmtId="182" fontId="11" fillId="16" borderId="360" xfId="0" applyNumberFormat="1" applyFont="1" applyFill="1" applyBorder="1">
      <alignment vertical="center"/>
    </xf>
    <xf numFmtId="182" fontId="11" fillId="16" borderId="363" xfId="0" applyNumberFormat="1" applyFont="1" applyFill="1" applyBorder="1">
      <alignment vertical="center"/>
    </xf>
    <xf numFmtId="182" fontId="11" fillId="0" borderId="113" xfId="0" applyNumberFormat="1" applyFont="1" applyBorder="1">
      <alignment vertical="center"/>
    </xf>
    <xf numFmtId="3" fontId="69" fillId="0" borderId="280" xfId="0" applyNumberFormat="1" applyFont="1" applyBorder="1" applyAlignment="1">
      <alignment vertical="center" wrapText="1"/>
    </xf>
    <xf numFmtId="3" fontId="69" fillId="36" borderId="304" xfId="0" applyNumberFormat="1" applyFont="1" applyFill="1" applyBorder="1" applyAlignment="1">
      <alignment vertical="center" wrapText="1"/>
    </xf>
    <xf numFmtId="3" fontId="69" fillId="0" borderId="280" xfId="0" applyNumberFormat="1" applyFont="1" applyBorder="1" applyAlignment="1">
      <alignment horizontal="right" vertical="center" wrapText="1"/>
    </xf>
    <xf numFmtId="3" fontId="69" fillId="0" borderId="311" xfId="0" applyNumberFormat="1" applyFont="1" applyBorder="1" applyAlignment="1">
      <alignment horizontal="right" vertical="center" wrapText="1"/>
    </xf>
    <xf numFmtId="4" fontId="23" fillId="0" borderId="107" xfId="0" applyNumberFormat="1" applyFont="1" applyBorder="1">
      <alignment vertical="center"/>
    </xf>
    <xf numFmtId="184" fontId="11" fillId="0" borderId="35" xfId="0" applyNumberFormat="1" applyFont="1" applyBorder="1" applyAlignment="1">
      <alignment horizontal="right" vertical="center"/>
    </xf>
    <xf numFmtId="0" fontId="11" fillId="0" borderId="376" xfId="0" applyFont="1" applyBorder="1">
      <alignment vertical="center"/>
    </xf>
    <xf numFmtId="184" fontId="11" fillId="0" borderId="317" xfId="0" applyNumberFormat="1" applyFont="1" applyBorder="1" applyAlignment="1">
      <alignment horizontal="right" vertical="center"/>
    </xf>
    <xf numFmtId="0" fontId="11" fillId="0" borderId="377" xfId="0" applyFont="1" applyBorder="1">
      <alignment vertical="center"/>
    </xf>
    <xf numFmtId="192" fontId="23" fillId="0" borderId="104" xfId="0" applyNumberFormat="1" applyFont="1" applyBorder="1">
      <alignment vertical="center"/>
    </xf>
    <xf numFmtId="192" fontId="73" fillId="0" borderId="0" xfId="0" applyNumberFormat="1" applyFont="1">
      <alignment vertical="center"/>
    </xf>
    <xf numFmtId="0" fontId="11" fillId="6" borderId="16" xfId="0" applyFont="1" applyFill="1" applyBorder="1">
      <alignment vertical="center"/>
    </xf>
    <xf numFmtId="0" fontId="11" fillId="6" borderId="378" xfId="0" applyFont="1" applyFill="1" applyBorder="1">
      <alignment vertical="center"/>
    </xf>
    <xf numFmtId="0" fontId="11" fillId="6" borderId="214" xfId="0" applyFont="1" applyFill="1" applyBorder="1">
      <alignment vertical="center"/>
    </xf>
    <xf numFmtId="191" fontId="16" fillId="6" borderId="0" xfId="0" applyNumberFormat="1" applyFont="1" applyFill="1">
      <alignment vertical="center"/>
    </xf>
    <xf numFmtId="184" fontId="16" fillId="6" borderId="0" xfId="0" applyNumberFormat="1" applyFont="1" applyFill="1" applyAlignment="1">
      <alignment horizontal="right" vertical="center"/>
    </xf>
    <xf numFmtId="191" fontId="16" fillId="6" borderId="214" xfId="0" applyNumberFormat="1" applyFont="1" applyFill="1" applyBorder="1">
      <alignment vertical="center"/>
    </xf>
    <xf numFmtId="184" fontId="16" fillId="6" borderId="319" xfId="0" applyNumberFormat="1" applyFont="1" applyFill="1" applyBorder="1" applyAlignment="1">
      <alignment horizontal="right" vertical="center"/>
    </xf>
    <xf numFmtId="182" fontId="17" fillId="16" borderId="358" xfId="0" applyNumberFormat="1" applyFont="1" applyFill="1" applyBorder="1">
      <alignment vertical="center"/>
    </xf>
    <xf numFmtId="182" fontId="17" fillId="16" borderId="360" xfId="0" applyNumberFormat="1" applyFont="1" applyFill="1" applyBorder="1">
      <alignment vertical="center"/>
    </xf>
    <xf numFmtId="176" fontId="11" fillId="0" borderId="379" xfId="0" applyNumberFormat="1" applyFont="1" applyBorder="1">
      <alignment vertical="center"/>
    </xf>
    <xf numFmtId="176" fontId="11" fillId="0" borderId="380" xfId="0" applyNumberFormat="1" applyFont="1" applyBorder="1">
      <alignment vertical="center"/>
    </xf>
    <xf numFmtId="197" fontId="17" fillId="0" borderId="381" xfId="0" applyNumberFormat="1" applyFont="1" applyBorder="1">
      <alignment vertical="center"/>
    </xf>
    <xf numFmtId="176" fontId="11" fillId="0" borderId="382" xfId="0" applyNumberFormat="1" applyFont="1" applyBorder="1">
      <alignment vertical="center"/>
    </xf>
    <xf numFmtId="176" fontId="11" fillId="0" borderId="383" xfId="0" applyNumberFormat="1" applyFont="1" applyBorder="1">
      <alignment vertical="center"/>
    </xf>
    <xf numFmtId="197" fontId="17" fillId="0" borderId="384" xfId="0" applyNumberFormat="1" applyFont="1" applyBorder="1">
      <alignment vertical="center"/>
    </xf>
    <xf numFmtId="3" fontId="24" fillId="0" borderId="0" xfId="0" applyNumberFormat="1" applyFont="1">
      <alignment vertical="center"/>
    </xf>
    <xf numFmtId="0" fontId="13" fillId="4" borderId="45" xfId="0" applyFont="1" applyFill="1" applyBorder="1" applyAlignment="1">
      <alignment horizontal="centerContinuous" vertical="center"/>
    </xf>
    <xf numFmtId="0" fontId="13" fillId="4" borderId="220" xfId="0" applyFont="1" applyFill="1" applyBorder="1" applyAlignment="1">
      <alignment horizontal="centerContinuous" vertical="center"/>
    </xf>
    <xf numFmtId="3" fontId="23" fillId="0" borderId="26" xfId="0" applyNumberFormat="1" applyFont="1" applyBorder="1">
      <alignment vertical="center"/>
    </xf>
    <xf numFmtId="3" fontId="23" fillId="0" borderId="107" xfId="0" applyNumberFormat="1" applyFont="1" applyBorder="1">
      <alignment vertical="center"/>
    </xf>
    <xf numFmtId="0" fontId="23" fillId="0" borderId="385" xfId="0" applyFont="1" applyBorder="1">
      <alignment vertical="center"/>
    </xf>
    <xf numFmtId="3" fontId="24" fillId="0" borderId="26" xfId="0" applyNumberFormat="1" applyFont="1" applyBorder="1">
      <alignment vertical="center"/>
    </xf>
    <xf numFmtId="3" fontId="24" fillId="8" borderId="26" xfId="0" applyNumberFormat="1" applyFont="1" applyFill="1" applyBorder="1">
      <alignment vertical="center"/>
    </xf>
    <xf numFmtId="3" fontId="133" fillId="26" borderId="26" xfId="0" applyNumberFormat="1" applyFont="1" applyFill="1" applyBorder="1">
      <alignment vertical="center"/>
    </xf>
    <xf numFmtId="3" fontId="11" fillId="8" borderId="340" xfId="0" applyNumberFormat="1" applyFont="1" applyFill="1" applyBorder="1" applyAlignment="1">
      <alignment horizontal="center" vertical="center"/>
    </xf>
    <xf numFmtId="187" fontId="11" fillId="6" borderId="35" xfId="0" applyNumberFormat="1" applyFont="1" applyFill="1" applyBorder="1">
      <alignment vertical="center"/>
    </xf>
    <xf numFmtId="14" fontId="23" fillId="0" borderId="107" xfId="0" applyNumberFormat="1" applyFont="1" applyBorder="1">
      <alignment vertical="center"/>
    </xf>
    <xf numFmtId="218" fontId="25" fillId="13" borderId="159" xfId="0" applyNumberFormat="1" applyFont="1" applyFill="1" applyBorder="1">
      <alignment vertical="center"/>
    </xf>
    <xf numFmtId="10" fontId="17" fillId="46" borderId="13" xfId="0" applyNumberFormat="1" applyFont="1" applyFill="1" applyBorder="1">
      <alignment vertical="center"/>
    </xf>
    <xf numFmtId="10" fontId="13" fillId="4" borderId="14" xfId="0" applyNumberFormat="1" applyFont="1" applyFill="1" applyBorder="1">
      <alignment vertical="center"/>
    </xf>
    <xf numFmtId="10" fontId="13" fillId="4" borderId="13" xfId="0" applyNumberFormat="1" applyFont="1" applyFill="1" applyBorder="1">
      <alignment vertical="center"/>
    </xf>
    <xf numFmtId="192" fontId="14" fillId="46" borderId="353" xfId="0" applyNumberFormat="1" applyFont="1" applyFill="1" applyBorder="1" applyAlignment="1">
      <alignment horizontal="center" vertical="center"/>
    </xf>
    <xf numFmtId="0" fontId="11" fillId="11" borderId="386" xfId="0" applyFont="1" applyFill="1" applyBorder="1">
      <alignment vertical="center"/>
    </xf>
    <xf numFmtId="0" fontId="11" fillId="11" borderId="25" xfId="0" applyFont="1" applyFill="1" applyBorder="1">
      <alignment vertical="center"/>
    </xf>
    <xf numFmtId="14" fontId="11" fillId="11" borderId="25" xfId="0" applyNumberFormat="1" applyFont="1" applyFill="1" applyBorder="1">
      <alignment vertical="center"/>
    </xf>
    <xf numFmtId="176" fontId="11" fillId="11" borderId="25" xfId="0" applyNumberFormat="1" applyFont="1" applyFill="1" applyBorder="1">
      <alignment vertical="center"/>
    </xf>
    <xf numFmtId="176" fontId="11" fillId="11" borderId="387" xfId="0" applyNumberFormat="1" applyFont="1" applyFill="1" applyBorder="1">
      <alignment vertical="center"/>
    </xf>
    <xf numFmtId="0" fontId="11" fillId="11" borderId="81" xfId="0" applyFont="1" applyFill="1" applyBorder="1">
      <alignment vertical="center"/>
    </xf>
    <xf numFmtId="0" fontId="11" fillId="11" borderId="77" xfId="0" applyFont="1" applyFill="1" applyBorder="1">
      <alignment vertical="center"/>
    </xf>
    <xf numFmtId="14" fontId="11" fillId="11" borderId="77" xfId="0" applyNumberFormat="1" applyFont="1" applyFill="1" applyBorder="1">
      <alignment vertical="center"/>
    </xf>
    <xf numFmtId="176" fontId="11" fillId="11" borderId="77" xfId="0" applyNumberFormat="1" applyFont="1" applyFill="1" applyBorder="1">
      <alignment vertical="center"/>
    </xf>
    <xf numFmtId="176" fontId="11" fillId="11" borderId="388" xfId="0" applyNumberFormat="1" applyFont="1" applyFill="1" applyBorder="1">
      <alignment vertical="center"/>
    </xf>
    <xf numFmtId="176" fontId="11" fillId="0" borderId="389" xfId="0" applyNumberFormat="1" applyFont="1" applyBorder="1">
      <alignment vertical="center"/>
    </xf>
    <xf numFmtId="176" fontId="15" fillId="11" borderId="0" xfId="0" applyNumberFormat="1" applyFont="1" applyFill="1" applyAlignment="1">
      <alignment horizontal="right" vertical="center"/>
    </xf>
    <xf numFmtId="0" fontId="11" fillId="17" borderId="6" xfId="0" applyFont="1" applyFill="1" applyBorder="1">
      <alignment vertical="center"/>
    </xf>
    <xf numFmtId="0" fontId="11" fillId="17" borderId="0" xfId="0" applyFont="1" applyFill="1">
      <alignment vertical="center"/>
    </xf>
    <xf numFmtId="14" fontId="11" fillId="17" borderId="0" xfId="0" applyNumberFormat="1" applyFont="1" applyFill="1">
      <alignment vertical="center"/>
    </xf>
    <xf numFmtId="176" fontId="14" fillId="17" borderId="0" xfId="0" applyNumberFormat="1" applyFont="1" applyFill="1" applyAlignment="1">
      <alignment horizontal="right" vertical="center"/>
    </xf>
    <xf numFmtId="176" fontId="11" fillId="17" borderId="7" xfId="0" applyNumberFormat="1" applyFont="1" applyFill="1" applyBorder="1">
      <alignment vertical="center"/>
    </xf>
    <xf numFmtId="41" fontId="11" fillId="17" borderId="0" xfId="0" applyNumberFormat="1" applyFont="1" applyFill="1">
      <alignment vertical="center"/>
    </xf>
    <xf numFmtId="9" fontId="77" fillId="0" borderId="0" xfId="0" applyNumberFormat="1" applyFont="1">
      <alignment vertical="center"/>
    </xf>
    <xf numFmtId="3" fontId="11" fillId="0" borderId="26" xfId="0" applyNumberFormat="1" applyFont="1" applyBorder="1" applyAlignment="1">
      <alignment horizontal="right" vertical="center"/>
    </xf>
    <xf numFmtId="3" fontId="11" fillId="0" borderId="107" xfId="0" applyNumberFormat="1" applyFont="1" applyBorder="1" applyAlignment="1">
      <alignment horizontal="right" vertical="center"/>
    </xf>
    <xf numFmtId="176" fontId="11" fillId="0" borderId="28" xfId="0" applyNumberFormat="1" applyFont="1" applyBorder="1">
      <alignment vertical="center"/>
    </xf>
    <xf numFmtId="3" fontId="11" fillId="0" borderId="77" xfId="0" applyNumberFormat="1" applyFont="1" applyBorder="1" applyAlignment="1">
      <alignment horizontal="center" vertical="center"/>
    </xf>
    <xf numFmtId="3" fontId="11" fillId="0" borderId="165" xfId="0" applyNumberFormat="1" applyFont="1" applyBorder="1" applyAlignment="1">
      <alignment horizontal="right" vertical="center"/>
    </xf>
    <xf numFmtId="3" fontId="11" fillId="0" borderId="78" xfId="0" applyNumberFormat="1" applyFont="1" applyBorder="1" applyAlignment="1">
      <alignment horizontal="right" vertical="center"/>
    </xf>
    <xf numFmtId="176" fontId="11" fillId="0" borderId="221" xfId="0" applyNumberFormat="1" applyFont="1" applyBorder="1">
      <alignment vertical="center"/>
    </xf>
    <xf numFmtId="4" fontId="11" fillId="0" borderId="26" xfId="0" applyNumberFormat="1" applyFont="1" applyBorder="1" applyAlignment="1">
      <alignment horizontal="right" vertical="center"/>
    </xf>
    <xf numFmtId="4" fontId="11" fillId="0" borderId="107" xfId="0" applyNumberFormat="1" applyFont="1" applyBorder="1" applyAlignment="1">
      <alignment horizontal="right" vertical="center"/>
    </xf>
    <xf numFmtId="213" fontId="11" fillId="0" borderId="28" xfId="0" applyNumberFormat="1" applyFont="1" applyBorder="1">
      <alignment vertical="center"/>
    </xf>
    <xf numFmtId="4" fontId="23" fillId="0" borderId="26" xfId="0" applyNumberFormat="1" applyFont="1" applyBorder="1">
      <alignment vertical="center"/>
    </xf>
    <xf numFmtId="3" fontId="11" fillId="15" borderId="214" xfId="0" applyNumberFormat="1" applyFont="1" applyFill="1" applyBorder="1" applyAlignment="1">
      <alignment horizontal="right" vertical="center"/>
    </xf>
    <xf numFmtId="4" fontId="11" fillId="15" borderId="318" xfId="0" applyNumberFormat="1" applyFont="1" applyFill="1" applyBorder="1" applyAlignment="1">
      <alignment horizontal="right" vertical="center"/>
    </xf>
    <xf numFmtId="4" fontId="11" fillId="15" borderId="319" xfId="0" applyNumberFormat="1" applyFont="1" applyFill="1" applyBorder="1" applyAlignment="1">
      <alignment horizontal="right" vertical="center"/>
    </xf>
    <xf numFmtId="213" fontId="11" fillId="15" borderId="320" xfId="0" applyNumberFormat="1" applyFont="1" applyFill="1" applyBorder="1">
      <alignment vertical="center"/>
    </xf>
    <xf numFmtId="0" fontId="12" fillId="15" borderId="214" xfId="0" applyFont="1" applyFill="1" applyBorder="1" applyAlignment="1">
      <alignment horizontal="right" vertical="center"/>
    </xf>
    <xf numFmtId="4" fontId="23" fillId="15" borderId="318" xfId="0" applyNumberFormat="1" applyFont="1" applyFill="1" applyBorder="1">
      <alignment vertical="center"/>
    </xf>
    <xf numFmtId="4" fontId="23" fillId="15" borderId="319" xfId="0" applyNumberFormat="1" applyFont="1" applyFill="1" applyBorder="1">
      <alignment vertical="center"/>
    </xf>
    <xf numFmtId="4" fontId="23" fillId="15" borderId="214" xfId="0" applyNumberFormat="1" applyFont="1" applyFill="1" applyBorder="1">
      <alignment vertical="center"/>
    </xf>
    <xf numFmtId="0" fontId="23" fillId="15" borderId="320" xfId="0" applyFont="1" applyFill="1" applyBorder="1">
      <alignment vertical="center"/>
    </xf>
    <xf numFmtId="4" fontId="23" fillId="15" borderId="26" xfId="0" applyNumberFormat="1" applyFont="1" applyFill="1" applyBorder="1">
      <alignment vertical="center"/>
    </xf>
    <xf numFmtId="4" fontId="23" fillId="15" borderId="107" xfId="0" applyNumberFormat="1" applyFont="1" applyFill="1" applyBorder="1">
      <alignment vertical="center"/>
    </xf>
    <xf numFmtId="0" fontId="23" fillId="15" borderId="28" xfId="0" applyFont="1" applyFill="1" applyBorder="1">
      <alignment vertical="center"/>
    </xf>
    <xf numFmtId="0" fontId="11" fillId="0" borderId="359" xfId="0" applyFont="1" applyBorder="1">
      <alignment vertical="center"/>
    </xf>
    <xf numFmtId="192" fontId="15" fillId="0" borderId="28" xfId="0" applyNumberFormat="1" applyFont="1" applyBorder="1" applyAlignment="1">
      <alignment horizontal="center" vertical="center"/>
    </xf>
    <xf numFmtId="0" fontId="11" fillId="0" borderId="390" xfId="0" applyFont="1" applyBorder="1">
      <alignment vertical="center"/>
    </xf>
    <xf numFmtId="14" fontId="11" fillId="0" borderId="391" xfId="0" applyNumberFormat="1" applyFont="1" applyBorder="1" applyAlignment="1">
      <alignment horizontal="center" vertical="center"/>
    </xf>
    <xf numFmtId="14" fontId="11" fillId="0" borderId="392" xfId="0" applyNumberFormat="1" applyFont="1" applyBorder="1" applyAlignment="1">
      <alignment horizontal="center" vertical="center"/>
    </xf>
    <xf numFmtId="185" fontId="11" fillId="0" borderId="392" xfId="0" applyNumberFormat="1" applyFont="1" applyBorder="1" applyAlignment="1">
      <alignment horizontal="center" vertical="center"/>
    </xf>
    <xf numFmtId="176" fontId="11" fillId="0" borderId="392" xfId="0" applyNumberFormat="1" applyFont="1" applyBorder="1" applyAlignment="1">
      <alignment horizontal="right" vertical="center"/>
    </xf>
    <xf numFmtId="10" fontId="14" fillId="0" borderId="392" xfId="0" applyNumberFormat="1" applyFont="1" applyBorder="1" applyAlignment="1">
      <alignment horizontal="center" vertical="center"/>
    </xf>
    <xf numFmtId="10" fontId="15" fillId="0" borderId="392" xfId="0" applyNumberFormat="1" applyFont="1" applyBorder="1" applyAlignment="1">
      <alignment horizontal="center" vertical="center"/>
    </xf>
    <xf numFmtId="192" fontId="15" fillId="0" borderId="393" xfId="0" applyNumberFormat="1" applyFont="1" applyBorder="1" applyAlignment="1">
      <alignment horizontal="center" vertical="center"/>
    </xf>
    <xf numFmtId="0" fontId="11" fillId="0" borderId="394" xfId="0" applyFont="1" applyBorder="1">
      <alignment vertical="center"/>
    </xf>
    <xf numFmtId="176" fontId="17" fillId="2" borderId="53" xfId="0" applyNumberFormat="1" applyFont="1" applyFill="1" applyBorder="1" applyAlignment="1">
      <alignment horizontal="right" vertical="center"/>
    </xf>
    <xf numFmtId="192" fontId="15" fillId="0" borderId="54" xfId="0" applyNumberFormat="1" applyFont="1" applyBorder="1" applyAlignment="1">
      <alignment horizontal="center" vertical="center"/>
    </xf>
    <xf numFmtId="0" fontId="11" fillId="0" borderId="395" xfId="0" applyFont="1" applyBorder="1">
      <alignment vertical="center"/>
    </xf>
    <xf numFmtId="0" fontId="11" fillId="0" borderId="396" xfId="0" applyFont="1" applyBorder="1">
      <alignment vertical="center"/>
    </xf>
    <xf numFmtId="186" fontId="11" fillId="0" borderId="397" xfId="0" applyNumberFormat="1" applyFont="1" applyBorder="1">
      <alignment vertical="center"/>
    </xf>
    <xf numFmtId="4" fontId="11" fillId="0" borderId="398" xfId="0" applyNumberFormat="1" applyFont="1" applyBorder="1">
      <alignment vertical="center"/>
    </xf>
    <xf numFmtId="0" fontId="13" fillId="47" borderId="325" xfId="0" applyFont="1" applyFill="1" applyBorder="1" applyAlignment="1">
      <alignment horizontal="centerContinuous" vertical="center"/>
    </xf>
    <xf numFmtId="0" fontId="13" fillId="47" borderId="324" xfId="0" applyFont="1" applyFill="1" applyBorder="1" applyAlignment="1">
      <alignment horizontal="centerContinuous" vertical="center"/>
    </xf>
    <xf numFmtId="0" fontId="13" fillId="47" borderId="326" xfId="0" applyFont="1" applyFill="1" applyBorder="1" applyAlignment="1">
      <alignment horizontal="centerContinuous" vertical="center"/>
    </xf>
    <xf numFmtId="10" fontId="17" fillId="0" borderId="0" xfId="0" applyNumberFormat="1" applyFont="1" applyAlignment="1">
      <alignment horizontal="center" vertical="center"/>
    </xf>
    <xf numFmtId="10" fontId="16" fillId="11" borderId="0" xfId="0" applyNumberFormat="1" applyFont="1" applyFill="1">
      <alignment vertical="center"/>
    </xf>
    <xf numFmtId="0" fontId="13" fillId="48" borderId="13" xfId="0" applyFont="1" applyFill="1" applyBorder="1" applyAlignment="1">
      <alignment horizontal="centerContinuous" vertical="center"/>
    </xf>
    <xf numFmtId="218" fontId="25" fillId="10" borderId="0" xfId="0" applyNumberFormat="1" applyFont="1" applyFill="1">
      <alignment vertical="center"/>
    </xf>
    <xf numFmtId="14" fontId="19" fillId="10" borderId="0" xfId="0" applyNumberFormat="1" applyFont="1" applyFill="1">
      <alignment vertical="center"/>
    </xf>
    <xf numFmtId="14" fontId="23" fillId="10" borderId="107" xfId="0" applyNumberFormat="1" applyFont="1" applyFill="1" applyBorder="1">
      <alignment vertical="center"/>
    </xf>
    <xf numFmtId="0" fontId="23" fillId="11" borderId="26" xfId="0" applyFont="1" applyFill="1" applyBorder="1">
      <alignment vertical="center"/>
    </xf>
    <xf numFmtId="218" fontId="25" fillId="11" borderId="0" xfId="0" applyNumberFormat="1" applyFont="1" applyFill="1">
      <alignment vertical="center"/>
    </xf>
    <xf numFmtId="14" fontId="23" fillId="11" borderId="107" xfId="0" applyNumberFormat="1" applyFont="1" applyFill="1" applyBorder="1">
      <alignment vertical="center"/>
    </xf>
    <xf numFmtId="0" fontId="10" fillId="10" borderId="26" xfId="0" applyFont="1" applyFill="1" applyBorder="1">
      <alignment vertical="center"/>
    </xf>
    <xf numFmtId="220" fontId="17" fillId="26" borderId="338" xfId="0" applyNumberFormat="1" applyFont="1" applyFill="1" applyBorder="1" applyAlignment="1">
      <alignment horizontal="right" vertical="center"/>
    </xf>
    <xf numFmtId="10" fontId="25" fillId="13" borderId="25" xfId="0" applyNumberFormat="1" applyFont="1" applyFill="1" applyBorder="1">
      <alignment vertical="center"/>
    </xf>
    <xf numFmtId="10" fontId="25" fillId="13" borderId="0" xfId="0" applyNumberFormat="1" applyFont="1" applyFill="1">
      <alignment vertical="center"/>
    </xf>
    <xf numFmtId="10" fontId="21" fillId="11" borderId="0" xfId="0" applyNumberFormat="1" applyFont="1" applyFill="1">
      <alignment vertical="center"/>
    </xf>
    <xf numFmtId="0" fontId="11" fillId="6" borderId="211" xfId="0" applyFont="1" applyFill="1" applyBorder="1">
      <alignment vertical="center"/>
    </xf>
    <xf numFmtId="0" fontId="11" fillId="6" borderId="399" xfId="0" applyFont="1" applyFill="1" applyBorder="1">
      <alignment vertical="center"/>
    </xf>
    <xf numFmtId="0" fontId="13" fillId="4" borderId="324" xfId="0" applyFont="1" applyFill="1" applyBorder="1">
      <alignment vertical="center"/>
    </xf>
    <xf numFmtId="0" fontId="13" fillId="4" borderId="326" xfId="0" applyFont="1" applyFill="1" applyBorder="1" applyAlignment="1">
      <alignment horizontal="center" vertical="center"/>
    </xf>
    <xf numFmtId="179" fontId="14" fillId="5" borderId="400" xfId="0" applyNumberFormat="1" applyFont="1" applyFill="1" applyBorder="1" applyAlignment="1">
      <alignment horizontal="left" vertical="center"/>
    </xf>
    <xf numFmtId="180" fontId="14" fillId="5" borderId="401" xfId="0" applyNumberFormat="1" applyFont="1" applyFill="1" applyBorder="1" applyAlignment="1">
      <alignment horizontal="center" vertical="center"/>
    </xf>
    <xf numFmtId="3" fontId="11" fillId="0" borderId="329" xfId="0" applyNumberFormat="1" applyFont="1" applyBorder="1" applyAlignment="1">
      <alignment horizontal="left" vertical="center"/>
    </xf>
    <xf numFmtId="176" fontId="11" fillId="0" borderId="330" xfId="0" applyNumberFormat="1" applyFont="1" applyBorder="1">
      <alignment vertical="center"/>
    </xf>
    <xf numFmtId="3" fontId="11" fillId="0" borderId="395" xfId="0" applyNumberFormat="1" applyFont="1" applyBorder="1" applyAlignment="1">
      <alignment horizontal="left" vertical="center"/>
    </xf>
    <xf numFmtId="3" fontId="11" fillId="0" borderId="331" xfId="0" applyNumberFormat="1" applyFont="1" applyBorder="1" applyAlignment="1">
      <alignment horizontal="left" vertical="center"/>
    </xf>
    <xf numFmtId="3" fontId="11" fillId="0" borderId="0" xfId="0" applyNumberFormat="1" applyFont="1" applyAlignment="1">
      <alignment horizontal="center" vertical="center"/>
    </xf>
    <xf numFmtId="3" fontId="11" fillId="0" borderId="0" xfId="0" applyNumberFormat="1" applyFont="1" applyAlignment="1">
      <alignment horizontal="right" vertical="center"/>
    </xf>
    <xf numFmtId="3" fontId="11" fillId="15" borderId="402" xfId="0" applyNumberFormat="1" applyFont="1" applyFill="1" applyBorder="1" applyAlignment="1">
      <alignment horizontal="left" vertical="center"/>
    </xf>
    <xf numFmtId="0" fontId="23" fillId="0" borderId="404" xfId="0" applyFont="1" applyBorder="1">
      <alignment vertical="center"/>
    </xf>
    <xf numFmtId="3" fontId="23" fillId="0" borderId="405" xfId="0" applyNumberFormat="1" applyFont="1" applyBorder="1">
      <alignment vertical="center"/>
    </xf>
    <xf numFmtId="0" fontId="23" fillId="0" borderId="331" xfId="0" applyFont="1" applyBorder="1">
      <alignment vertical="center"/>
    </xf>
    <xf numFmtId="0" fontId="12" fillId="0" borderId="0" xfId="0" applyFont="1" applyAlignment="1">
      <alignment horizontal="right" vertical="center"/>
    </xf>
    <xf numFmtId="4" fontId="23" fillId="11" borderId="0" xfId="0" applyNumberFormat="1" applyFont="1" applyFill="1">
      <alignment vertical="center"/>
    </xf>
    <xf numFmtId="4" fontId="23" fillId="0" borderId="113" xfId="0" applyNumberFormat="1" applyFont="1" applyBorder="1">
      <alignment vertical="center"/>
    </xf>
    <xf numFmtId="0" fontId="23" fillId="15" borderId="331" xfId="0" applyFont="1" applyFill="1" applyBorder="1">
      <alignment vertical="center"/>
    </xf>
    <xf numFmtId="4" fontId="23" fillId="15" borderId="403" xfId="0" applyNumberFormat="1" applyFont="1" applyFill="1" applyBorder="1">
      <alignment vertical="center"/>
    </xf>
    <xf numFmtId="0" fontId="23" fillId="15" borderId="382" xfId="0" applyFont="1" applyFill="1" applyBorder="1">
      <alignment vertical="center"/>
    </xf>
    <xf numFmtId="0" fontId="23" fillId="15" borderId="383" xfId="0" applyFont="1" applyFill="1" applyBorder="1" applyAlignment="1">
      <alignment horizontal="right" vertical="center"/>
    </xf>
    <xf numFmtId="4" fontId="23" fillId="15" borderId="202" xfId="0" applyNumberFormat="1" applyFont="1" applyFill="1" applyBorder="1">
      <alignment vertical="center"/>
    </xf>
    <xf numFmtId="4" fontId="23" fillId="15" borderId="406" xfId="0" applyNumberFormat="1" applyFont="1" applyFill="1" applyBorder="1">
      <alignment vertical="center"/>
    </xf>
    <xf numFmtId="4" fontId="23" fillId="15" borderId="383" xfId="0" applyNumberFormat="1" applyFont="1" applyFill="1" applyBorder="1">
      <alignment vertical="center"/>
    </xf>
    <xf numFmtId="4" fontId="23" fillId="15" borderId="384" xfId="0" applyNumberFormat="1" applyFont="1" applyFill="1" applyBorder="1">
      <alignment vertical="center"/>
    </xf>
    <xf numFmtId="0" fontId="23" fillId="15" borderId="0" xfId="0" applyFont="1" applyFill="1" applyAlignment="1">
      <alignment horizontal="right" vertical="center"/>
    </xf>
    <xf numFmtId="4" fontId="23" fillId="15" borderId="0" xfId="0" applyNumberFormat="1" applyFont="1" applyFill="1">
      <alignment vertical="center"/>
    </xf>
    <xf numFmtId="4" fontId="23" fillId="15" borderId="113" xfId="0" applyNumberFormat="1" applyFont="1" applyFill="1" applyBorder="1">
      <alignment vertical="center"/>
    </xf>
    <xf numFmtId="0" fontId="13" fillId="4" borderId="380" xfId="0" applyFont="1" applyFill="1" applyBorder="1" applyAlignment="1">
      <alignment horizontal="centerContinuous" vertical="center"/>
    </xf>
    <xf numFmtId="182" fontId="14" fillId="16" borderId="358" xfId="0" applyNumberFormat="1" applyFont="1" applyFill="1" applyBorder="1">
      <alignment vertical="center"/>
    </xf>
    <xf numFmtId="182" fontId="14" fillId="16" borderId="360" xfId="0" applyNumberFormat="1" applyFont="1" applyFill="1" applyBorder="1">
      <alignment vertical="center"/>
    </xf>
    <xf numFmtId="10" fontId="11" fillId="0" borderId="138" xfId="0" applyNumberFormat="1" applyFont="1" applyBorder="1">
      <alignment vertical="center"/>
    </xf>
    <xf numFmtId="10" fontId="11" fillId="0" borderId="26" xfId="0" applyNumberFormat="1" applyFont="1" applyBorder="1">
      <alignment vertical="center"/>
    </xf>
    <xf numFmtId="10" fontId="11" fillId="0" borderId="165" xfId="0" applyNumberFormat="1" applyFont="1" applyBorder="1">
      <alignment vertical="center"/>
    </xf>
    <xf numFmtId="183" fontId="11" fillId="0" borderId="26" xfId="0" applyNumberFormat="1" applyFont="1" applyBorder="1" applyAlignment="1">
      <alignment horizontal="left" vertical="center"/>
    </xf>
    <xf numFmtId="0" fontId="11" fillId="6" borderId="407" xfId="0" applyFont="1" applyFill="1" applyBorder="1" applyAlignment="1">
      <alignment horizontal="left" vertical="center"/>
    </xf>
    <xf numFmtId="227" fontId="23" fillId="0" borderId="0" xfId="0" applyNumberFormat="1" applyFont="1">
      <alignment vertical="center"/>
    </xf>
    <xf numFmtId="0" fontId="21" fillId="5" borderId="408" xfId="0" applyFont="1" applyFill="1" applyBorder="1" applyAlignment="1">
      <alignment horizontal="center" vertical="center"/>
    </xf>
    <xf numFmtId="0" fontId="138" fillId="0" borderId="0" xfId="0" applyFont="1" applyAlignment="1">
      <alignment horizontal="left" vertical="center"/>
    </xf>
    <xf numFmtId="10" fontId="11" fillId="2" borderId="57" xfId="0" applyNumberFormat="1" applyFont="1" applyFill="1" applyBorder="1">
      <alignment vertical="center"/>
    </xf>
    <xf numFmtId="3" fontId="23" fillId="0" borderId="223" xfId="0" applyNumberFormat="1" applyFont="1" applyBorder="1">
      <alignment vertical="center"/>
    </xf>
    <xf numFmtId="3" fontId="23" fillId="0" borderId="356" xfId="0" applyNumberFormat="1" applyFont="1" applyBorder="1" applyAlignment="1">
      <alignment horizontal="right" vertical="center"/>
    </xf>
    <xf numFmtId="227" fontId="23" fillId="0" borderId="223" xfId="0" applyNumberFormat="1" applyFont="1" applyBorder="1">
      <alignment vertical="center"/>
    </xf>
    <xf numFmtId="0" fontId="13" fillId="4" borderId="14" xfId="0" applyFont="1" applyFill="1" applyBorder="1" applyAlignment="1">
      <alignment horizontal="center" vertical="center"/>
    </xf>
    <xf numFmtId="10" fontId="13" fillId="4" borderId="46" xfId="0" applyNumberFormat="1" applyFont="1" applyFill="1" applyBorder="1">
      <alignment vertical="center"/>
    </xf>
    <xf numFmtId="192" fontId="14" fillId="5" borderId="0" xfId="0" applyNumberFormat="1" applyFont="1" applyFill="1" applyAlignment="1">
      <alignment horizontal="center" vertical="center"/>
    </xf>
    <xf numFmtId="192" fontId="44" fillId="5" borderId="0" xfId="0" applyNumberFormat="1" applyFont="1" applyFill="1" applyAlignment="1">
      <alignment horizontal="center" vertical="center"/>
    </xf>
    <xf numFmtId="3" fontId="23" fillId="0" borderId="49" xfId="0" applyNumberFormat="1" applyFont="1" applyBorder="1">
      <alignment vertical="center"/>
    </xf>
    <xf numFmtId="188" fontId="14" fillId="5" borderId="46" xfId="0" applyNumberFormat="1" applyFont="1" applyFill="1" applyBorder="1" applyAlignment="1">
      <alignment horizontal="center" vertical="center"/>
    </xf>
    <xf numFmtId="184" fontId="14" fillId="6" borderId="217" xfId="0" applyNumberFormat="1" applyFont="1" applyFill="1" applyBorder="1" applyAlignment="1">
      <alignment horizontal="center" vertical="center"/>
    </xf>
    <xf numFmtId="10" fontId="14" fillId="6" borderId="217" xfId="0" applyNumberFormat="1" applyFont="1" applyFill="1" applyBorder="1" applyAlignment="1">
      <alignment horizontal="center" vertical="center"/>
    </xf>
    <xf numFmtId="192" fontId="17" fillId="0" borderId="33" xfId="0" applyNumberFormat="1" applyFont="1" applyBorder="1" applyAlignment="1">
      <alignment horizontal="center" vertical="center"/>
    </xf>
    <xf numFmtId="192" fontId="14" fillId="0" borderId="0" xfId="0" applyNumberFormat="1" applyFont="1" applyAlignment="1">
      <alignment horizontal="center" vertical="center"/>
    </xf>
    <xf numFmtId="192" fontId="14" fillId="0" borderId="392" xfId="0" applyNumberFormat="1" applyFont="1" applyBorder="1" applyAlignment="1">
      <alignment horizontal="center" vertical="center"/>
    </xf>
    <xf numFmtId="10" fontId="17" fillId="13" borderId="64" xfId="0" applyNumberFormat="1" applyFont="1" applyFill="1" applyBorder="1">
      <alignment vertical="center"/>
    </xf>
    <xf numFmtId="3" fontId="24" fillId="13" borderId="64" xfId="0" applyNumberFormat="1" applyFont="1" applyFill="1" applyBorder="1">
      <alignment vertical="center"/>
    </xf>
    <xf numFmtId="0" fontId="67" fillId="36" borderId="409" xfId="0" applyFont="1" applyFill="1" applyBorder="1" applyAlignment="1">
      <alignment horizontal="left" vertical="center" wrapText="1" readingOrder="1"/>
    </xf>
    <xf numFmtId="0" fontId="67" fillId="36" borderId="280" xfId="0" applyFont="1" applyFill="1" applyBorder="1" applyAlignment="1">
      <alignment horizontal="center" vertical="center" wrapText="1" readingOrder="1"/>
    </xf>
    <xf numFmtId="10" fontId="23" fillId="0" borderId="0" xfId="0" applyNumberFormat="1" applyFont="1">
      <alignment vertical="center"/>
    </xf>
    <xf numFmtId="9" fontId="67" fillId="35" borderId="301" xfId="0" applyNumberFormat="1" applyFont="1" applyFill="1" applyBorder="1" applyAlignment="1">
      <alignment horizontal="center" vertical="center" wrapText="1" readingOrder="1"/>
    </xf>
    <xf numFmtId="9" fontId="67" fillId="35" borderId="302" xfId="0" applyNumberFormat="1" applyFont="1" applyFill="1" applyBorder="1" applyAlignment="1">
      <alignment horizontal="center" vertical="center" wrapText="1" readingOrder="1"/>
    </xf>
    <xf numFmtId="0" fontId="139" fillId="0" borderId="0" xfId="0" applyFont="1">
      <alignment vertical="center"/>
    </xf>
    <xf numFmtId="0" fontId="140" fillId="0" borderId="0" xfId="0" applyFont="1">
      <alignment vertical="center"/>
    </xf>
    <xf numFmtId="247" fontId="69" fillId="37" borderId="280" xfId="0" applyNumberFormat="1" applyFont="1" applyFill="1" applyBorder="1" applyAlignment="1">
      <alignment vertical="center" wrapText="1"/>
    </xf>
    <xf numFmtId="247" fontId="69" fillId="37" borderId="280" xfId="0" applyNumberFormat="1" applyFont="1" applyFill="1" applyBorder="1" applyAlignment="1">
      <alignment horizontal="right" vertical="center" wrapText="1"/>
    </xf>
    <xf numFmtId="247" fontId="69" fillId="37" borderId="283" xfId="0" applyNumberFormat="1" applyFont="1" applyFill="1" applyBorder="1" applyAlignment="1">
      <alignment vertical="center" wrapText="1"/>
    </xf>
    <xf numFmtId="10" fontId="139" fillId="0" borderId="0" xfId="0" applyNumberFormat="1" applyFont="1">
      <alignment vertical="center"/>
    </xf>
    <xf numFmtId="10" fontId="67" fillId="35" borderId="282" xfId="0" applyNumberFormat="1" applyFont="1" applyFill="1" applyBorder="1" applyAlignment="1">
      <alignment horizontal="center" vertical="center" wrapText="1" readingOrder="1"/>
    </xf>
    <xf numFmtId="247" fontId="139" fillId="13" borderId="0" xfId="0" applyNumberFormat="1" applyFont="1" applyFill="1">
      <alignment vertical="center"/>
    </xf>
    <xf numFmtId="10" fontId="69" fillId="0" borderId="283" xfId="0" applyNumberFormat="1" applyFont="1" applyBorder="1" applyAlignment="1">
      <alignment vertical="center" wrapText="1"/>
    </xf>
    <xf numFmtId="10" fontId="69" fillId="36" borderId="280" xfId="0" applyNumberFormat="1" applyFont="1" applyFill="1" applyBorder="1" applyAlignment="1">
      <alignment vertical="center" wrapText="1"/>
    </xf>
    <xf numFmtId="10" fontId="69" fillId="36" borderId="280" xfId="0" applyNumberFormat="1" applyFont="1" applyFill="1" applyBorder="1" applyAlignment="1">
      <alignment horizontal="right" vertical="center" wrapText="1"/>
    </xf>
    <xf numFmtId="10" fontId="69" fillId="36" borderId="283" xfId="0" applyNumberFormat="1" applyFont="1" applyFill="1" applyBorder="1" applyAlignment="1">
      <alignment vertical="center" wrapText="1"/>
    </xf>
    <xf numFmtId="10" fontId="69" fillId="36" borderId="410" xfId="0" applyNumberFormat="1" applyFont="1" applyFill="1" applyBorder="1" applyAlignment="1">
      <alignment vertical="center" wrapText="1"/>
    </xf>
    <xf numFmtId="10" fontId="69" fillId="36" borderId="410" xfId="0" applyNumberFormat="1" applyFont="1" applyFill="1" applyBorder="1" applyAlignment="1">
      <alignment horizontal="right" vertical="center" wrapText="1"/>
    </xf>
    <xf numFmtId="10" fontId="69" fillId="36" borderId="411" xfId="0" applyNumberFormat="1" applyFont="1" applyFill="1" applyBorder="1" applyAlignment="1">
      <alignment vertical="center" wrapText="1"/>
    </xf>
    <xf numFmtId="10" fontId="140" fillId="0" borderId="0" xfId="0" applyNumberFormat="1" applyFont="1">
      <alignment vertical="center"/>
    </xf>
    <xf numFmtId="10" fontId="69" fillId="37" borderId="280" xfId="0" applyNumberFormat="1" applyFont="1" applyFill="1" applyBorder="1" applyAlignment="1">
      <alignment vertical="center" wrapText="1"/>
    </xf>
    <xf numFmtId="10" fontId="69" fillId="37" borderId="283" xfId="0" applyNumberFormat="1" applyFont="1" applyFill="1" applyBorder="1" applyAlignment="1">
      <alignment vertical="center" wrapText="1"/>
    </xf>
    <xf numFmtId="0" fontId="67" fillId="36" borderId="311" xfId="0" applyFont="1" applyFill="1" applyBorder="1" applyAlignment="1">
      <alignment horizontal="center" vertical="center" wrapText="1" readingOrder="1"/>
    </xf>
    <xf numFmtId="4" fontId="69" fillId="36" borderId="280" xfId="0" applyNumberFormat="1" applyFont="1" applyFill="1" applyBorder="1" applyAlignment="1">
      <alignment horizontal="right" vertical="center" wrapText="1"/>
    </xf>
    <xf numFmtId="4" fontId="69" fillId="0" borderId="280" xfId="0" applyNumberFormat="1" applyFont="1" applyBorder="1" applyAlignment="1">
      <alignment horizontal="right" vertical="center" wrapText="1"/>
    </xf>
    <xf numFmtId="4" fontId="69" fillId="36" borderId="311" xfId="0" applyNumberFormat="1" applyFont="1" applyFill="1" applyBorder="1" applyAlignment="1">
      <alignment horizontal="right" vertical="center" wrapText="1"/>
    </xf>
    <xf numFmtId="0" fontId="39" fillId="15" borderId="0" xfId="0" applyFont="1" applyFill="1">
      <alignment vertical="center"/>
    </xf>
    <xf numFmtId="0" fontId="39" fillId="15" borderId="6" xfId="0" applyFont="1" applyFill="1" applyBorder="1">
      <alignment vertical="center"/>
    </xf>
    <xf numFmtId="183" fontId="39" fillId="15" borderId="6" xfId="0" applyNumberFormat="1" applyFont="1" applyFill="1" applyBorder="1" applyAlignment="1">
      <alignment horizontal="left" vertical="center"/>
    </xf>
    <xf numFmtId="176" fontId="39" fillId="15" borderId="0" xfId="0" applyNumberFormat="1" applyFont="1" applyFill="1" applyAlignment="1">
      <alignment horizontal="right" vertical="center"/>
    </xf>
    <xf numFmtId="211" fontId="46" fillId="15" borderId="0" xfId="0" applyNumberFormat="1" applyFont="1" applyFill="1" applyAlignment="1">
      <alignment horizontal="right" vertical="center"/>
    </xf>
    <xf numFmtId="14" fontId="46" fillId="15" borderId="0" xfId="0" applyNumberFormat="1" applyFont="1" applyFill="1" applyAlignment="1">
      <alignment horizontal="right" vertical="center"/>
    </xf>
    <xf numFmtId="14" fontId="39" fillId="15" borderId="0" xfId="0" applyNumberFormat="1" applyFont="1" applyFill="1">
      <alignment vertical="center"/>
    </xf>
    <xf numFmtId="176" fontId="39" fillId="15" borderId="0" xfId="0" applyNumberFormat="1" applyFont="1" applyFill="1">
      <alignment vertical="center"/>
    </xf>
    <xf numFmtId="212" fontId="39" fillId="15" borderId="7" xfId="0" applyNumberFormat="1" applyFont="1" applyFill="1" applyBorder="1">
      <alignment vertical="center"/>
    </xf>
    <xf numFmtId="41" fontId="39" fillId="15" borderId="0" xfId="0" applyNumberFormat="1" applyFont="1" applyFill="1">
      <alignment vertical="center"/>
    </xf>
    <xf numFmtId="214" fontId="39" fillId="15" borderId="7" xfId="0" applyNumberFormat="1" applyFont="1" applyFill="1" applyBorder="1">
      <alignment vertical="center"/>
    </xf>
    <xf numFmtId="214" fontId="39" fillId="15" borderId="0" xfId="0" applyNumberFormat="1" applyFont="1" applyFill="1">
      <alignment vertical="center"/>
    </xf>
    <xf numFmtId="3" fontId="39" fillId="15" borderId="0" xfId="0" applyNumberFormat="1" applyFont="1" applyFill="1">
      <alignment vertical="center"/>
    </xf>
    <xf numFmtId="192" fontId="47" fillId="15" borderId="0" xfId="0" applyNumberFormat="1" applyFont="1" applyFill="1">
      <alignment vertical="center"/>
    </xf>
    <xf numFmtId="10" fontId="39" fillId="15" borderId="0" xfId="0" applyNumberFormat="1" applyFont="1" applyFill="1">
      <alignment vertical="center"/>
    </xf>
    <xf numFmtId="176" fontId="11" fillId="8" borderId="77" xfId="0" applyNumberFormat="1" applyFont="1" applyFill="1" applyBorder="1">
      <alignment vertical="center"/>
    </xf>
    <xf numFmtId="176" fontId="11" fillId="8" borderId="398" xfId="0" applyNumberFormat="1" applyFont="1" applyFill="1" applyBorder="1">
      <alignment vertical="center"/>
    </xf>
    <xf numFmtId="0" fontId="11" fillId="0" borderId="0" xfId="0" applyFont="1" applyAlignment="1">
      <alignment horizontal="right" vertical="center"/>
    </xf>
    <xf numFmtId="192" fontId="69" fillId="0" borderId="280" xfId="0" applyNumberFormat="1" applyFont="1" applyBorder="1" applyAlignment="1">
      <alignment horizontal="right" vertical="center" wrapText="1"/>
    </xf>
    <xf numFmtId="192" fontId="69" fillId="36" borderId="280" xfId="0" applyNumberFormat="1" applyFont="1" applyFill="1" applyBorder="1" applyAlignment="1">
      <alignment horizontal="right" vertical="center" wrapText="1"/>
    </xf>
    <xf numFmtId="4" fontId="11" fillId="11" borderId="0" xfId="0" applyNumberFormat="1" applyFont="1" applyFill="1" applyAlignment="1">
      <alignment horizontal="right" vertical="center"/>
    </xf>
    <xf numFmtId="4" fontId="11" fillId="11" borderId="0" xfId="0" applyNumberFormat="1" applyFont="1" applyFill="1">
      <alignment vertical="center"/>
    </xf>
    <xf numFmtId="4" fontId="11" fillId="11" borderId="113" xfId="0" applyNumberFormat="1" applyFont="1" applyFill="1" applyBorder="1">
      <alignment vertical="center"/>
    </xf>
    <xf numFmtId="4" fontId="11" fillId="15" borderId="214" xfId="0" applyNumberFormat="1" applyFont="1" applyFill="1" applyBorder="1" applyAlignment="1">
      <alignment horizontal="right" vertical="center"/>
    </xf>
    <xf numFmtId="4" fontId="11" fillId="15" borderId="214" xfId="0" applyNumberFormat="1" applyFont="1" applyFill="1" applyBorder="1">
      <alignment vertical="center"/>
    </xf>
    <xf numFmtId="4" fontId="11" fillId="15" borderId="403" xfId="0" applyNumberFormat="1" applyFont="1" applyFill="1" applyBorder="1">
      <alignment vertical="center"/>
    </xf>
    <xf numFmtId="0" fontId="11" fillId="0" borderId="174" xfId="0" applyFont="1" applyBorder="1">
      <alignment vertical="center"/>
    </xf>
    <xf numFmtId="0" fontId="140" fillId="0" borderId="0" xfId="0" applyFont="1" applyAlignment="1">
      <alignment horizontal="center" vertical="center"/>
    </xf>
    <xf numFmtId="10" fontId="23" fillId="0" borderId="70" xfId="0" applyNumberFormat="1" applyFont="1" applyBorder="1">
      <alignment vertical="center"/>
    </xf>
    <xf numFmtId="4" fontId="23" fillId="0" borderId="70" xfId="0" applyNumberFormat="1" applyFont="1" applyBorder="1">
      <alignment vertical="center"/>
    </xf>
    <xf numFmtId="4" fontId="23" fillId="0" borderId="316" xfId="0" applyNumberFormat="1" applyFont="1" applyBorder="1">
      <alignment vertical="center"/>
    </xf>
    <xf numFmtId="0" fontId="23" fillId="8" borderId="417" xfId="0" applyFont="1" applyFill="1" applyBorder="1" applyAlignment="1">
      <alignment horizontal="center" vertical="center"/>
    </xf>
    <xf numFmtId="0" fontId="10" fillId="49" borderId="0" xfId="0" applyFont="1" applyFill="1">
      <alignment vertical="center"/>
    </xf>
    <xf numFmtId="0" fontId="23" fillId="0" borderId="418" xfId="0" applyFont="1" applyBorder="1">
      <alignment vertical="center"/>
    </xf>
    <xf numFmtId="0" fontId="23" fillId="0" borderId="419" xfId="0" applyFont="1" applyBorder="1">
      <alignment vertical="center"/>
    </xf>
    <xf numFmtId="0" fontId="140" fillId="0" borderId="419" xfId="0" applyFont="1" applyBorder="1">
      <alignment vertical="center"/>
    </xf>
    <xf numFmtId="0" fontId="140" fillId="0" borderId="420" xfId="0" applyFont="1" applyBorder="1">
      <alignment vertical="center"/>
    </xf>
    <xf numFmtId="10" fontId="24" fillId="0" borderId="0" xfId="0" applyNumberFormat="1" applyFont="1">
      <alignment vertical="center"/>
    </xf>
    <xf numFmtId="10" fontId="140" fillId="0" borderId="113" xfId="0" applyNumberFormat="1" applyFont="1" applyBorder="1">
      <alignment vertical="center"/>
    </xf>
    <xf numFmtId="10" fontId="142" fillId="0" borderId="0" xfId="0" applyNumberFormat="1" applyFont="1">
      <alignment vertical="center"/>
    </xf>
    <xf numFmtId="10" fontId="142" fillId="0" borderId="113" xfId="0" applyNumberFormat="1" applyFont="1" applyBorder="1">
      <alignment vertical="center"/>
    </xf>
    <xf numFmtId="0" fontId="23" fillId="0" borderId="382" xfId="0" applyFont="1" applyBorder="1">
      <alignment vertical="center"/>
    </xf>
    <xf numFmtId="0" fontId="23" fillId="0" borderId="383" xfId="0" applyFont="1" applyBorder="1">
      <alignment vertical="center"/>
    </xf>
    <xf numFmtId="10" fontId="23" fillId="0" borderId="331" xfId="0" applyNumberFormat="1" applyFont="1" applyBorder="1">
      <alignment vertical="center"/>
    </xf>
    <xf numFmtId="4" fontId="23" fillId="0" borderId="331" xfId="0" applyNumberFormat="1" applyFont="1" applyBorder="1">
      <alignment vertical="center"/>
    </xf>
    <xf numFmtId="4" fontId="23" fillId="0" borderId="382" xfId="0" applyNumberFormat="1" applyFont="1" applyBorder="1">
      <alignment vertical="center"/>
    </xf>
    <xf numFmtId="4" fontId="23" fillId="0" borderId="383" xfId="0" applyNumberFormat="1" applyFont="1" applyBorder="1">
      <alignment vertical="center"/>
    </xf>
    <xf numFmtId="10" fontId="23" fillId="0" borderId="113" xfId="0" applyNumberFormat="1" applyFont="1" applyBorder="1">
      <alignment vertical="center"/>
    </xf>
    <xf numFmtId="4" fontId="23" fillId="0" borderId="384" xfId="0" applyNumberFormat="1" applyFont="1" applyBorder="1">
      <alignment vertical="center"/>
    </xf>
    <xf numFmtId="10" fontId="11" fillId="6" borderId="217" xfId="0" applyNumberFormat="1" applyFont="1" applyFill="1" applyBorder="1">
      <alignment vertical="center"/>
    </xf>
    <xf numFmtId="3" fontId="23" fillId="0" borderId="25" xfId="0" applyNumberFormat="1" applyFont="1" applyBorder="1">
      <alignment vertical="center"/>
    </xf>
    <xf numFmtId="192" fontId="23" fillId="0" borderId="25" xfId="0" applyNumberFormat="1" applyFont="1" applyBorder="1">
      <alignment vertical="center"/>
    </xf>
    <xf numFmtId="3" fontId="23" fillId="0" borderId="77" xfId="0" applyNumberFormat="1" applyFont="1" applyBorder="1">
      <alignment vertical="center"/>
    </xf>
    <xf numFmtId="192" fontId="23" fillId="0" borderId="77" xfId="0" applyNumberFormat="1" applyFont="1" applyBorder="1">
      <alignment vertical="center"/>
    </xf>
    <xf numFmtId="0" fontId="25" fillId="11" borderId="49" xfId="0" applyFont="1" applyFill="1" applyBorder="1">
      <alignment vertical="center"/>
    </xf>
    <xf numFmtId="0" fontId="25" fillId="11" borderId="26" xfId="0" applyFont="1" applyFill="1" applyBorder="1">
      <alignment vertical="center"/>
    </xf>
    <xf numFmtId="0" fontId="11" fillId="11" borderId="26" xfId="0" applyFont="1" applyFill="1" applyBorder="1">
      <alignment vertical="center"/>
    </xf>
    <xf numFmtId="10" fontId="11" fillId="7" borderId="44" xfId="0" applyNumberFormat="1" applyFont="1" applyFill="1" applyBorder="1">
      <alignment vertical="center"/>
    </xf>
    <xf numFmtId="0" fontId="145" fillId="0" borderId="0" xfId="0" applyFont="1">
      <alignment vertical="center"/>
    </xf>
    <xf numFmtId="0" fontId="146" fillId="0" borderId="0" xfId="0" applyFont="1" applyAlignment="1">
      <alignment horizontal="left" vertical="center"/>
    </xf>
    <xf numFmtId="0" fontId="147" fillId="0" borderId="0" xfId="0" applyFont="1">
      <alignment vertical="center"/>
    </xf>
    <xf numFmtId="0" fontId="145" fillId="0" borderId="0" xfId="0" applyFont="1" applyAlignment="1">
      <alignment horizontal="center" vertical="center"/>
    </xf>
    <xf numFmtId="0" fontId="148" fillId="0" borderId="0" xfId="21" applyFont="1" applyAlignment="1">
      <alignment vertical="center"/>
    </xf>
    <xf numFmtId="251" fontId="149" fillId="0" borderId="0" xfId="0" applyNumberFormat="1" applyFont="1" applyAlignment="1">
      <alignment horizontal="left" vertical="center"/>
    </xf>
    <xf numFmtId="0" fontId="88" fillId="0" borderId="0" xfId="21" applyFont="1" applyAlignment="1">
      <alignment vertical="center"/>
    </xf>
    <xf numFmtId="0" fontId="88" fillId="0" borderId="0" xfId="21" applyFont="1" applyAlignment="1">
      <alignment horizontal="center" vertical="center"/>
    </xf>
    <xf numFmtId="43" fontId="88" fillId="0" borderId="0" xfId="21" applyNumberFormat="1" applyFont="1" applyAlignment="1">
      <alignment vertical="center"/>
    </xf>
    <xf numFmtId="0" fontId="150" fillId="11" borderId="0" xfId="21" applyFont="1" applyFill="1" applyAlignment="1">
      <alignment vertical="center"/>
    </xf>
    <xf numFmtId="14" fontId="151" fillId="0" borderId="0" xfId="21" applyNumberFormat="1" applyFont="1" applyAlignment="1">
      <alignment vertical="center"/>
    </xf>
    <xf numFmtId="0" fontId="90" fillId="11" borderId="0" xfId="21" applyFont="1" applyFill="1" applyAlignment="1">
      <alignment horizontal="left" vertical="center"/>
    </xf>
    <xf numFmtId="0" fontId="90" fillId="11" borderId="0" xfId="21" applyFont="1" applyFill="1" applyAlignment="1">
      <alignment horizontal="center" vertical="center"/>
    </xf>
    <xf numFmtId="43" fontId="90" fillId="11" borderId="0" xfId="21" applyNumberFormat="1" applyFont="1" applyFill="1" applyAlignment="1">
      <alignment horizontal="left" vertical="center"/>
    </xf>
    <xf numFmtId="0" fontId="93" fillId="11" borderId="0" xfId="21" applyFont="1" applyFill="1" applyAlignment="1">
      <alignment horizontal="center" vertical="center"/>
    </xf>
    <xf numFmtId="0" fontId="28" fillId="11" borderId="0" xfId="21" applyFont="1" applyFill="1" applyAlignment="1">
      <alignment horizontal="center" vertical="center"/>
    </xf>
    <xf numFmtId="192" fontId="90" fillId="11" borderId="0" xfId="1" applyNumberFormat="1" applyFont="1" applyFill="1" applyAlignment="1">
      <alignment horizontal="left" vertical="center"/>
    </xf>
    <xf numFmtId="252" fontId="90" fillId="11" borderId="0" xfId="21" applyNumberFormat="1" applyFont="1" applyFill="1" applyAlignment="1">
      <alignment horizontal="left" vertical="center"/>
    </xf>
    <xf numFmtId="0" fontId="93" fillId="11" borderId="0" xfId="21" applyFont="1" applyFill="1" applyAlignment="1">
      <alignment vertical="center"/>
    </xf>
    <xf numFmtId="253" fontId="155" fillId="22" borderId="159" xfId="22" applyFont="1" applyFill="1" applyBorder="1" applyAlignment="1">
      <alignment horizontal="center" vertical="center"/>
    </xf>
    <xf numFmtId="38" fontId="155" fillId="22" borderId="159" xfId="22" applyNumberFormat="1" applyFont="1" applyFill="1" applyBorder="1" applyAlignment="1">
      <alignment horizontal="center" vertical="center"/>
    </xf>
    <xf numFmtId="0" fontId="159" fillId="22" borderId="159" xfId="21" applyFont="1" applyFill="1" applyBorder="1" applyAlignment="1">
      <alignment horizontal="center" vertical="center" wrapText="1"/>
    </xf>
    <xf numFmtId="0" fontId="162" fillId="22" borderId="159" xfId="21" applyFont="1" applyFill="1" applyBorder="1" applyAlignment="1">
      <alignment horizontal="center" vertical="center" wrapText="1"/>
    </xf>
    <xf numFmtId="0" fontId="164" fillId="0" borderId="0" xfId="21" applyFont="1" applyAlignment="1">
      <alignment vertical="center"/>
    </xf>
    <xf numFmtId="0" fontId="165" fillId="0" borderId="0" xfId="21" applyFont="1" applyAlignment="1">
      <alignment vertical="center"/>
    </xf>
    <xf numFmtId="0" fontId="88" fillId="50" borderId="159" xfId="21" applyFont="1" applyFill="1" applyBorder="1" applyAlignment="1">
      <alignment horizontal="center" vertical="center"/>
    </xf>
    <xf numFmtId="254" fontId="166" fillId="0" borderId="159" xfId="22" applyNumberFormat="1" applyFont="1" applyFill="1" applyBorder="1" applyAlignment="1">
      <alignment horizontal="center" vertical="center"/>
    </xf>
    <xf numFmtId="0" fontId="167" fillId="0" borderId="0" xfId="21" applyFont="1" applyAlignment="1">
      <alignment horizontal="center" vertical="center" wrapText="1"/>
    </xf>
    <xf numFmtId="0" fontId="166" fillId="0" borderId="159" xfId="21" applyFont="1" applyBorder="1" applyAlignment="1">
      <alignment horizontal="center" vertical="center" wrapText="1"/>
    </xf>
    <xf numFmtId="204" fontId="166" fillId="0" borderId="159" xfId="10" applyNumberFormat="1" applyFont="1" applyFill="1" applyBorder="1" applyAlignment="1">
      <alignment horizontal="right" vertical="center"/>
    </xf>
    <xf numFmtId="255" fontId="166" fillId="0" borderId="159" xfId="21" applyNumberFormat="1" applyFont="1" applyBorder="1" applyAlignment="1">
      <alignment horizontal="center" vertical="center"/>
    </xf>
    <xf numFmtId="204" fontId="166" fillId="0" borderId="159" xfId="10" applyNumberFormat="1" applyFont="1" applyFill="1" applyBorder="1" applyAlignment="1">
      <alignment horizontal="center" vertical="center"/>
    </xf>
    <xf numFmtId="253" fontId="166" fillId="0" borderId="159" xfId="22" applyFont="1" applyFill="1" applyBorder="1" applyAlignment="1">
      <alignment horizontal="center" vertical="center"/>
    </xf>
    <xf numFmtId="41" fontId="166" fillId="0" borderId="159" xfId="23" applyFont="1" applyFill="1" applyBorder="1" applyAlignment="1">
      <alignment horizontal="center" vertical="center"/>
    </xf>
    <xf numFmtId="41" fontId="166" fillId="0" borderId="159" xfId="23" applyFont="1" applyFill="1" applyBorder="1" applyAlignment="1">
      <alignment horizontal="left" vertical="center"/>
    </xf>
    <xf numFmtId="192" fontId="166" fillId="0" borderId="159" xfId="1" applyNumberFormat="1" applyFont="1" applyFill="1" applyBorder="1" applyAlignment="1">
      <alignment horizontal="center" vertical="center"/>
    </xf>
    <xf numFmtId="41" fontId="88" fillId="0" borderId="159" xfId="23" applyFont="1" applyFill="1" applyBorder="1" applyAlignment="1">
      <alignment horizontal="center" vertical="center"/>
    </xf>
    <xf numFmtId="14" fontId="166" fillId="0" borderId="159" xfId="23" applyNumberFormat="1" applyFont="1" applyFill="1" applyBorder="1" applyAlignment="1">
      <alignment horizontal="center" vertical="center"/>
    </xf>
    <xf numFmtId="202" fontId="166" fillId="0" borderId="159" xfId="10" applyNumberFormat="1" applyFont="1" applyFill="1" applyBorder="1" applyAlignment="1">
      <alignment horizontal="center" vertical="center" wrapText="1"/>
    </xf>
    <xf numFmtId="0" fontId="169" fillId="0" borderId="159" xfId="21" applyFont="1" applyBorder="1" applyAlignment="1">
      <alignment horizontal="center" vertical="center" wrapText="1"/>
    </xf>
    <xf numFmtId="0" fontId="166" fillId="0" borderId="159" xfId="21" applyFont="1" applyBorder="1" applyAlignment="1">
      <alignment horizontal="center" vertical="center"/>
    </xf>
    <xf numFmtId="41" fontId="172" fillId="11" borderId="159" xfId="24" applyFont="1" applyFill="1" applyBorder="1" applyAlignment="1">
      <alignment vertical="center"/>
    </xf>
    <xf numFmtId="0" fontId="88" fillId="0" borderId="159" xfId="21" applyFont="1" applyBorder="1" applyAlignment="1">
      <alignment horizontal="center" vertical="center"/>
    </xf>
    <xf numFmtId="204" fontId="88" fillId="0" borderId="159" xfId="10" applyNumberFormat="1" applyFont="1" applyFill="1" applyBorder="1" applyAlignment="1">
      <alignment horizontal="right" vertical="center"/>
    </xf>
    <xf numFmtId="255" fontId="88" fillId="0" borderId="159" xfId="21" applyNumberFormat="1" applyFont="1" applyBorder="1" applyAlignment="1">
      <alignment horizontal="center" vertical="center"/>
    </xf>
    <xf numFmtId="41" fontId="88" fillId="0" borderId="159" xfId="23" applyFont="1" applyFill="1" applyBorder="1" applyAlignment="1">
      <alignment horizontal="left" vertical="center"/>
    </xf>
    <xf numFmtId="192" fontId="88" fillId="0" borderId="159" xfId="1" applyNumberFormat="1" applyFont="1" applyFill="1" applyBorder="1" applyAlignment="1">
      <alignment horizontal="center" vertical="center"/>
    </xf>
    <xf numFmtId="202" fontId="88" fillId="0" borderId="159" xfId="10" applyNumberFormat="1" applyFont="1" applyFill="1" applyBorder="1" applyAlignment="1">
      <alignment horizontal="right" vertical="center"/>
    </xf>
    <xf numFmtId="202" fontId="166" fillId="0" borderId="159" xfId="10" applyNumberFormat="1" applyFont="1" applyFill="1" applyBorder="1" applyAlignment="1">
      <alignment horizontal="right" vertical="center"/>
    </xf>
    <xf numFmtId="0" fontId="170" fillId="0" borderId="159" xfId="21" applyFont="1" applyBorder="1" applyAlignment="1">
      <alignment horizontal="center" vertical="center" wrapText="1"/>
    </xf>
    <xf numFmtId="0" fontId="165" fillId="11" borderId="0" xfId="21" applyFont="1" applyFill="1" applyAlignment="1">
      <alignment vertical="center"/>
    </xf>
    <xf numFmtId="254" fontId="88" fillId="0" borderId="159" xfId="22" applyNumberFormat="1" applyFont="1" applyFill="1" applyBorder="1" applyAlignment="1">
      <alignment horizontal="center" vertical="center"/>
    </xf>
    <xf numFmtId="0" fontId="164" fillId="11" borderId="0" xfId="21" applyFont="1" applyFill="1" applyAlignment="1">
      <alignment vertical="center"/>
    </xf>
    <xf numFmtId="202" fontId="88" fillId="0" borderId="159" xfId="10" applyNumberFormat="1" applyFont="1" applyFill="1" applyBorder="1" applyAlignment="1">
      <alignment horizontal="center" vertical="center" wrapText="1"/>
    </xf>
    <xf numFmtId="0" fontId="173" fillId="0" borderId="159" xfId="21" applyFont="1" applyBorder="1" applyAlignment="1">
      <alignment horizontal="center" vertical="center" wrapText="1"/>
    </xf>
    <xf numFmtId="41" fontId="164" fillId="11" borderId="0" xfId="10" applyFont="1" applyFill="1" applyAlignment="1">
      <alignment vertical="center"/>
    </xf>
    <xf numFmtId="204" fontId="174" fillId="6" borderId="159" xfId="10" applyNumberFormat="1" applyFont="1" applyFill="1" applyBorder="1" applyAlignment="1">
      <alignment horizontal="right" vertical="center"/>
    </xf>
    <xf numFmtId="41" fontId="174" fillId="6" borderId="159" xfId="10" quotePrefix="1" applyFont="1" applyFill="1" applyBorder="1" applyAlignment="1">
      <alignment horizontal="center" vertical="center"/>
    </xf>
    <xf numFmtId="204" fontId="174" fillId="6" borderId="159" xfId="10" quotePrefix="1" applyNumberFormat="1" applyFont="1" applyFill="1" applyBorder="1" applyAlignment="1">
      <alignment horizontal="center" vertical="center"/>
    </xf>
    <xf numFmtId="0" fontId="175" fillId="11" borderId="0" xfId="21" applyFont="1" applyFill="1" applyAlignment="1">
      <alignment vertical="center"/>
    </xf>
    <xf numFmtId="0" fontId="150" fillId="11" borderId="0" xfId="21" applyFont="1" applyFill="1" applyAlignment="1">
      <alignment horizontal="center" vertical="center"/>
    </xf>
    <xf numFmtId="3" fontId="150" fillId="11" borderId="0" xfId="21" applyNumberFormat="1" applyFont="1" applyFill="1" applyAlignment="1">
      <alignment vertical="center"/>
    </xf>
    <xf numFmtId="3" fontId="11" fillId="11" borderId="0" xfId="0" applyNumberFormat="1" applyFont="1" applyFill="1" applyAlignment="1">
      <alignment horizontal="right" vertical="center"/>
    </xf>
    <xf numFmtId="176" fontId="14" fillId="11" borderId="0" xfId="0" applyNumberFormat="1" applyFont="1" applyFill="1" applyAlignment="1">
      <alignment horizontal="right" vertical="center"/>
    </xf>
    <xf numFmtId="249" fontId="49" fillId="11" borderId="27" xfId="0" applyNumberFormat="1" applyFont="1" applyFill="1" applyBorder="1">
      <alignment vertical="center"/>
    </xf>
    <xf numFmtId="249" fontId="49" fillId="11" borderId="107" xfId="0" applyNumberFormat="1" applyFont="1" applyFill="1" applyBorder="1">
      <alignment vertical="center"/>
    </xf>
    <xf numFmtId="249" fontId="141" fillId="11" borderId="107" xfId="0" applyNumberFormat="1" applyFont="1" applyFill="1" applyBorder="1">
      <alignment vertical="center"/>
    </xf>
    <xf numFmtId="0" fontId="23" fillId="49" borderId="0" xfId="0" applyFont="1" applyFill="1">
      <alignment vertical="center"/>
    </xf>
    <xf numFmtId="0" fontId="10" fillId="49" borderId="0" xfId="0" applyFont="1" applyFill="1" applyAlignment="1">
      <alignment horizontal="centerContinuous" vertical="center"/>
    </xf>
    <xf numFmtId="0" fontId="23" fillId="51" borderId="0" xfId="0" applyFont="1" applyFill="1">
      <alignment vertical="center"/>
    </xf>
    <xf numFmtId="0" fontId="10" fillId="52" borderId="0" xfId="0" applyFont="1" applyFill="1" applyAlignment="1">
      <alignment horizontal="centerContinuous" vertical="center"/>
    </xf>
    <xf numFmtId="250" fontId="140" fillId="0" borderId="70" xfId="0" applyNumberFormat="1" applyFont="1" applyBorder="1">
      <alignment vertical="center"/>
    </xf>
    <xf numFmtId="250" fontId="140" fillId="0" borderId="331" xfId="0" applyNumberFormat="1" applyFont="1" applyBorder="1">
      <alignment vertical="center"/>
    </xf>
    <xf numFmtId="250" fontId="140" fillId="0" borderId="0" xfId="0" applyNumberFormat="1" applyFont="1">
      <alignment vertical="center"/>
    </xf>
    <xf numFmtId="250" fontId="140" fillId="0" borderId="113" xfId="0" applyNumberFormat="1" applyFont="1" applyBorder="1">
      <alignment vertical="center"/>
    </xf>
    <xf numFmtId="0" fontId="23" fillId="0" borderId="395" xfId="0" applyFont="1" applyBorder="1">
      <alignment vertical="center"/>
    </xf>
    <xf numFmtId="10" fontId="23" fillId="0" borderId="421" xfId="0" applyNumberFormat="1" applyFont="1" applyBorder="1">
      <alignment vertical="center"/>
    </xf>
    <xf numFmtId="10" fontId="23" fillId="0" borderId="395" xfId="0" applyNumberFormat="1" applyFont="1" applyBorder="1">
      <alignment vertical="center"/>
    </xf>
    <xf numFmtId="10" fontId="23" fillId="0" borderId="77" xfId="0" applyNumberFormat="1" applyFont="1" applyBorder="1">
      <alignment vertical="center"/>
    </xf>
    <xf numFmtId="10" fontId="140" fillId="0" borderId="77" xfId="0" applyNumberFormat="1" applyFont="1" applyBorder="1">
      <alignment vertical="center"/>
    </xf>
    <xf numFmtId="10" fontId="142" fillId="0" borderId="77" xfId="0" applyNumberFormat="1" applyFont="1" applyBorder="1">
      <alignment vertical="center"/>
    </xf>
    <xf numFmtId="10" fontId="142" fillId="0" borderId="398" xfId="0" applyNumberFormat="1" applyFont="1" applyBorder="1">
      <alignment vertical="center"/>
    </xf>
    <xf numFmtId="0" fontId="10" fillId="52" borderId="155" xfId="0" applyFont="1" applyFill="1" applyBorder="1" applyAlignment="1">
      <alignment horizontal="centerContinuous" vertical="center"/>
    </xf>
    <xf numFmtId="0" fontId="23" fillId="0" borderId="423" xfId="0" applyFont="1" applyBorder="1">
      <alignment vertical="center"/>
    </xf>
    <xf numFmtId="10" fontId="24" fillId="0" borderId="155" xfId="0" applyNumberFormat="1" applyFont="1" applyBorder="1">
      <alignment vertical="center"/>
    </xf>
    <xf numFmtId="10" fontId="23" fillId="0" borderId="155" xfId="0" applyNumberFormat="1" applyFont="1" applyBorder="1">
      <alignment vertical="center"/>
    </xf>
    <xf numFmtId="10" fontId="23" fillId="0" borderId="166" xfId="0" applyNumberFormat="1" applyFont="1" applyBorder="1">
      <alignment vertical="center"/>
    </xf>
    <xf numFmtId="250" fontId="140" fillId="0" borderId="155" xfId="0" applyNumberFormat="1" applyFont="1" applyBorder="1">
      <alignment vertical="center"/>
    </xf>
    <xf numFmtId="4" fontId="23" fillId="0" borderId="155" xfId="0" applyNumberFormat="1" applyFont="1" applyBorder="1">
      <alignment vertical="center"/>
    </xf>
    <xf numFmtId="4" fontId="23" fillId="0" borderId="422" xfId="0" applyNumberFormat="1" applyFont="1" applyBorder="1">
      <alignment vertical="center"/>
    </xf>
    <xf numFmtId="0" fontId="23" fillId="51" borderId="155" xfId="0" applyFont="1" applyFill="1" applyBorder="1">
      <alignment vertical="center"/>
    </xf>
    <xf numFmtId="0" fontId="140" fillId="0" borderId="423" xfId="0" applyFont="1" applyBorder="1">
      <alignment vertical="center"/>
    </xf>
    <xf numFmtId="10" fontId="140" fillId="0" borderId="155" xfId="0" applyNumberFormat="1" applyFont="1" applyBorder="1">
      <alignment vertical="center"/>
    </xf>
    <xf numFmtId="10" fontId="142" fillId="0" borderId="155" xfId="0" applyNumberFormat="1" applyFont="1" applyBorder="1">
      <alignment vertical="center"/>
    </xf>
    <xf numFmtId="10" fontId="140" fillId="0" borderId="166" xfId="0" applyNumberFormat="1" applyFont="1" applyBorder="1">
      <alignment vertical="center"/>
    </xf>
    <xf numFmtId="10" fontId="25" fillId="13" borderId="33" xfId="0" applyNumberFormat="1" applyFont="1" applyFill="1" applyBorder="1" applyAlignment="1">
      <alignment horizontal="right" vertical="center"/>
    </xf>
    <xf numFmtId="10" fontId="25" fillId="13" borderId="33" xfId="0" applyNumberFormat="1" applyFont="1" applyFill="1" applyBorder="1" applyAlignment="1">
      <alignment horizontal="center" vertical="center"/>
    </xf>
    <xf numFmtId="184" fontId="11" fillId="11" borderId="0" xfId="0" applyNumberFormat="1" applyFont="1" applyFill="1" applyAlignment="1">
      <alignment horizontal="right" vertical="center"/>
    </xf>
    <xf numFmtId="184" fontId="65" fillId="6" borderId="280" xfId="0" applyNumberFormat="1" applyFont="1" applyFill="1" applyBorder="1" applyAlignment="1">
      <alignment horizontal="right" vertical="center" wrapText="1" readingOrder="1"/>
    </xf>
    <xf numFmtId="215" fontId="65" fillId="6" borderId="280" xfId="0" applyNumberFormat="1" applyFont="1" applyFill="1" applyBorder="1" applyAlignment="1">
      <alignment horizontal="right" vertical="center" wrapText="1" readingOrder="1"/>
    </xf>
    <xf numFmtId="3" fontId="65" fillId="6" borderId="280" xfId="0" applyNumberFormat="1" applyFont="1" applyFill="1" applyBorder="1" applyAlignment="1">
      <alignment horizontal="right" vertical="center" wrapText="1" readingOrder="1"/>
    </xf>
    <xf numFmtId="14" fontId="65" fillId="6" borderId="280" xfId="0" applyNumberFormat="1" applyFont="1" applyFill="1" applyBorder="1" applyAlignment="1">
      <alignment horizontal="right" vertical="center" wrapText="1" readingOrder="1"/>
    </xf>
    <xf numFmtId="10" fontId="65" fillId="6" borderId="280" xfId="0" applyNumberFormat="1" applyFont="1" applyFill="1" applyBorder="1" applyAlignment="1">
      <alignment horizontal="right" vertical="center" wrapText="1" readingOrder="1"/>
    </xf>
    <xf numFmtId="184" fontId="65" fillId="6" borderId="281" xfId="0" applyNumberFormat="1" applyFont="1" applyFill="1" applyBorder="1" applyAlignment="1">
      <alignment horizontal="right" vertical="center" wrapText="1" readingOrder="1"/>
    </xf>
    <xf numFmtId="215" fontId="65" fillId="6" borderId="281" xfId="0" applyNumberFormat="1" applyFont="1" applyFill="1" applyBorder="1" applyAlignment="1">
      <alignment horizontal="right" vertical="center" wrapText="1" readingOrder="1"/>
    </xf>
    <xf numFmtId="3" fontId="65" fillId="6" borderId="281" xfId="0" applyNumberFormat="1" applyFont="1" applyFill="1" applyBorder="1" applyAlignment="1">
      <alignment horizontal="right" vertical="center" wrapText="1" readingOrder="1"/>
    </xf>
    <xf numFmtId="14" fontId="65" fillId="6" borderId="281" xfId="0" applyNumberFormat="1" applyFont="1" applyFill="1" applyBorder="1" applyAlignment="1">
      <alignment horizontal="right" vertical="center" wrapText="1" readingOrder="1"/>
    </xf>
    <xf numFmtId="10" fontId="65" fillId="6" borderId="281" xfId="0" applyNumberFormat="1" applyFont="1" applyFill="1" applyBorder="1" applyAlignment="1">
      <alignment horizontal="right" vertical="center" wrapText="1" readingOrder="1"/>
    </xf>
    <xf numFmtId="184" fontId="65" fillId="6" borderId="282" xfId="0" applyNumberFormat="1" applyFont="1" applyFill="1" applyBorder="1" applyAlignment="1">
      <alignment horizontal="right" vertical="center" wrapText="1" readingOrder="1"/>
    </xf>
    <xf numFmtId="215" fontId="65" fillId="6" borderId="282" xfId="0" applyNumberFormat="1" applyFont="1" applyFill="1" applyBorder="1" applyAlignment="1">
      <alignment horizontal="right" vertical="center" wrapText="1" readingOrder="1"/>
    </xf>
    <xf numFmtId="3" fontId="65" fillId="6" borderId="282" xfId="0" applyNumberFormat="1" applyFont="1" applyFill="1" applyBorder="1" applyAlignment="1">
      <alignment horizontal="right" vertical="center" wrapText="1" readingOrder="1"/>
    </xf>
    <xf numFmtId="215" fontId="66" fillId="6" borderId="282" xfId="0" applyNumberFormat="1" applyFont="1" applyFill="1" applyBorder="1" applyAlignment="1">
      <alignment horizontal="right" vertical="center" wrapText="1" readingOrder="1"/>
    </xf>
    <xf numFmtId="14" fontId="65" fillId="6" borderId="282" xfId="0" applyNumberFormat="1" applyFont="1" applyFill="1" applyBorder="1" applyAlignment="1">
      <alignment horizontal="right" vertical="center" wrapText="1" readingOrder="1"/>
    </xf>
    <xf numFmtId="10" fontId="65" fillId="6" borderId="282" xfId="0" applyNumberFormat="1" applyFont="1" applyFill="1" applyBorder="1" applyAlignment="1">
      <alignment horizontal="right" vertical="center" wrapText="1" readingOrder="1"/>
    </xf>
    <xf numFmtId="184" fontId="62" fillId="6" borderId="280" xfId="0" applyNumberFormat="1" applyFont="1" applyFill="1" applyBorder="1" applyAlignment="1">
      <alignment horizontal="right" vertical="center" wrapText="1" readingOrder="1"/>
    </xf>
    <xf numFmtId="215" fontId="63" fillId="6" borderId="280" xfId="0" applyNumberFormat="1" applyFont="1" applyFill="1" applyBorder="1" applyAlignment="1">
      <alignment horizontal="right" vertical="center" wrapText="1" readingOrder="1"/>
    </xf>
    <xf numFmtId="3" fontId="63" fillId="6" borderId="280" xfId="0" applyNumberFormat="1" applyFont="1" applyFill="1" applyBorder="1" applyAlignment="1">
      <alignment horizontal="right" vertical="center" wrapText="1" readingOrder="1"/>
    </xf>
    <xf numFmtId="14" fontId="63" fillId="6" borderId="280" xfId="0" applyNumberFormat="1" applyFont="1" applyFill="1" applyBorder="1" applyAlignment="1">
      <alignment horizontal="right" vertical="center" wrapText="1" readingOrder="1"/>
    </xf>
    <xf numFmtId="10" fontId="63" fillId="6" borderId="280" xfId="0" applyNumberFormat="1" applyFont="1" applyFill="1" applyBorder="1" applyAlignment="1">
      <alignment horizontal="right" vertical="center" wrapText="1" readingOrder="1"/>
    </xf>
    <xf numFmtId="0" fontId="176" fillId="53" borderId="159" xfId="0" applyFont="1" applyFill="1" applyBorder="1" applyAlignment="1">
      <alignment horizontal="center" vertical="center" wrapText="1"/>
    </xf>
    <xf numFmtId="0" fontId="179" fillId="0" borderId="159" xfId="0" applyFont="1" applyBorder="1" applyAlignment="1">
      <alignment horizontal="justify" vertical="center" wrapText="1"/>
    </xf>
    <xf numFmtId="0" fontId="178" fillId="0" borderId="159" xfId="0" applyFont="1" applyBorder="1" applyAlignment="1">
      <alignment horizontal="justify" vertical="center" wrapText="1"/>
    </xf>
    <xf numFmtId="0" fontId="178" fillId="0" borderId="159" xfId="0" applyFont="1" applyBorder="1" applyAlignment="1">
      <alignment horizontal="left" vertical="center" wrapText="1"/>
    </xf>
    <xf numFmtId="0" fontId="181" fillId="0" borderId="159" xfId="0" applyFont="1" applyBorder="1" applyAlignment="1">
      <alignment horizontal="left" vertical="center" wrapText="1"/>
    </xf>
    <xf numFmtId="2" fontId="177" fillId="55" borderId="159" xfId="0" applyNumberFormat="1" applyFont="1" applyFill="1" applyBorder="1" applyAlignment="1">
      <alignment horizontal="right" vertical="center" wrapText="1"/>
    </xf>
    <xf numFmtId="0" fontId="182" fillId="0" borderId="0" xfId="0" applyFont="1" applyAlignment="1">
      <alignment horizontal="left" vertical="center"/>
    </xf>
    <xf numFmtId="185" fontId="144" fillId="0" borderId="0" xfId="0" applyNumberFormat="1" applyFont="1">
      <alignment vertical="center"/>
    </xf>
    <xf numFmtId="256" fontId="176" fillId="53" borderId="159" xfId="0" applyNumberFormat="1" applyFont="1" applyFill="1" applyBorder="1" applyAlignment="1">
      <alignment horizontal="center" vertical="center" wrapText="1"/>
    </xf>
    <xf numFmtId="14" fontId="104" fillId="0" borderId="0" xfId="0" applyNumberFormat="1" applyFont="1">
      <alignment vertical="center"/>
    </xf>
    <xf numFmtId="257" fontId="14" fillId="5" borderId="0" xfId="0" applyNumberFormat="1" applyFont="1" applyFill="1" applyAlignment="1">
      <alignment horizontal="right" vertical="center"/>
    </xf>
    <xf numFmtId="3" fontId="182" fillId="0" borderId="159" xfId="0" applyNumberFormat="1" applyFont="1" applyBorder="1" applyAlignment="1">
      <alignment horizontal="center" vertical="center" wrapText="1"/>
    </xf>
    <xf numFmtId="0" fontId="11" fillId="8" borderId="3" xfId="0" applyFont="1" applyFill="1" applyBorder="1">
      <alignment vertical="center"/>
    </xf>
    <xf numFmtId="0" fontId="11" fillId="8" borderId="6" xfId="0" applyFont="1" applyFill="1" applyBorder="1">
      <alignment vertical="center"/>
    </xf>
    <xf numFmtId="258" fontId="178" fillId="0" borderId="159" xfId="0" applyNumberFormat="1" applyFont="1" applyBorder="1" applyAlignment="1">
      <alignment vertical="center" wrapText="1"/>
    </xf>
    <xf numFmtId="258" fontId="178" fillId="0" borderId="159" xfId="0" applyNumberFormat="1" applyFont="1" applyBorder="1" applyAlignment="1">
      <alignment wrapText="1"/>
    </xf>
    <xf numFmtId="258" fontId="178" fillId="54" borderId="159" xfId="0" applyNumberFormat="1" applyFont="1" applyFill="1" applyBorder="1" applyAlignment="1">
      <alignment wrapText="1"/>
    </xf>
    <xf numFmtId="258" fontId="177" fillId="54" borderId="159" xfId="0" applyNumberFormat="1" applyFont="1" applyFill="1" applyBorder="1" applyAlignment="1">
      <alignment vertical="center" wrapText="1"/>
    </xf>
    <xf numFmtId="258" fontId="177" fillId="37" borderId="159" xfId="0" applyNumberFormat="1" applyFont="1" applyFill="1" applyBorder="1" applyAlignment="1">
      <alignment vertical="center" wrapText="1"/>
    </xf>
    <xf numFmtId="0" fontId="183" fillId="0" borderId="0" xfId="0" applyFont="1">
      <alignment vertical="center"/>
    </xf>
    <xf numFmtId="14" fontId="149" fillId="0" borderId="0" xfId="0" applyNumberFormat="1" applyFont="1" applyAlignment="1">
      <alignment horizontal="left" vertical="center"/>
    </xf>
    <xf numFmtId="10" fontId="185" fillId="53" borderId="426" xfId="0" applyNumberFormat="1" applyFont="1" applyFill="1" applyBorder="1" applyAlignment="1">
      <alignment horizontal="center" vertical="center" wrapText="1"/>
    </xf>
    <xf numFmtId="10" fontId="185" fillId="53" borderId="427" xfId="0" applyNumberFormat="1" applyFont="1" applyFill="1" applyBorder="1" applyAlignment="1">
      <alignment horizontal="center" vertical="center" wrapText="1"/>
    </xf>
    <xf numFmtId="0" fontId="182" fillId="0" borderId="428" xfId="0" applyFont="1" applyBorder="1" applyAlignment="1">
      <alignment horizontal="center" vertical="center" wrapText="1"/>
    </xf>
    <xf numFmtId="0" fontId="23" fillId="0" borderId="333" xfId="0" applyFont="1" applyBorder="1">
      <alignment vertical="center"/>
    </xf>
    <xf numFmtId="0" fontId="23" fillId="0" borderId="33" xfId="0" applyFont="1" applyBorder="1">
      <alignment vertical="center"/>
    </xf>
    <xf numFmtId="4" fontId="23" fillId="0" borderId="432" xfId="0" applyNumberFormat="1" applyFont="1" applyBorder="1">
      <alignment vertical="center"/>
    </xf>
    <xf numFmtId="4" fontId="23" fillId="0" borderId="333" xfId="0" applyNumberFormat="1" applyFont="1" applyBorder="1">
      <alignment vertical="center"/>
    </xf>
    <xf numFmtId="4" fontId="23" fillId="0" borderId="33" xfId="0" applyNumberFormat="1" applyFont="1" applyBorder="1">
      <alignment vertical="center"/>
    </xf>
    <xf numFmtId="4" fontId="23" fillId="0" borderId="433" xfId="0" applyNumberFormat="1" applyFont="1" applyBorder="1">
      <alignment vertical="center"/>
    </xf>
    <xf numFmtId="4" fontId="23" fillId="0" borderId="334" xfId="0" applyNumberFormat="1" applyFont="1" applyBorder="1">
      <alignment vertical="center"/>
    </xf>
    <xf numFmtId="0" fontId="23" fillId="0" borderId="434" xfId="0" applyFont="1" applyBorder="1">
      <alignment vertical="center"/>
    </xf>
    <xf numFmtId="0" fontId="23" fillId="0" borderId="279" xfId="0" applyFont="1" applyBorder="1">
      <alignment vertical="center"/>
    </xf>
    <xf numFmtId="4" fontId="23" fillId="0" borderId="435" xfId="0" applyNumberFormat="1" applyFont="1" applyBorder="1">
      <alignment vertical="center"/>
    </xf>
    <xf numFmtId="4" fontId="23" fillId="0" borderId="434" xfId="0" applyNumberFormat="1" applyFont="1" applyBorder="1">
      <alignment vertical="center"/>
    </xf>
    <xf numFmtId="4" fontId="23" fillId="0" borderId="279" xfId="0" applyNumberFormat="1" applyFont="1" applyBorder="1">
      <alignment vertical="center"/>
    </xf>
    <xf numFmtId="4" fontId="23" fillId="0" borderId="436" xfId="0" applyNumberFormat="1" applyFont="1" applyBorder="1">
      <alignment vertical="center"/>
    </xf>
    <xf numFmtId="4" fontId="23" fillId="0" borderId="437" xfId="0" applyNumberFormat="1" applyFont="1" applyBorder="1">
      <alignment vertical="center"/>
    </xf>
    <xf numFmtId="41" fontId="4" fillId="11" borderId="0" xfId="3" applyFont="1" applyFill="1" applyAlignment="1"/>
    <xf numFmtId="41" fontId="9" fillId="11" borderId="0" xfId="3" applyFont="1" applyFill="1" applyBorder="1" applyAlignment="1">
      <alignment vertical="center" wrapText="1"/>
    </xf>
    <xf numFmtId="41" fontId="9" fillId="11" borderId="0" xfId="3" applyFont="1" applyFill="1" applyBorder="1" applyAlignment="1">
      <alignment horizontal="center" vertical="center" wrapText="1"/>
    </xf>
    <xf numFmtId="204" fontId="9" fillId="11" borderId="0" xfId="3" applyNumberFormat="1" applyFont="1" applyFill="1" applyBorder="1" applyAlignment="1">
      <alignment horizontal="center" vertical="center"/>
    </xf>
    <xf numFmtId="14" fontId="9" fillId="11" borderId="0" xfId="3" applyNumberFormat="1" applyFont="1" applyFill="1" applyBorder="1" applyAlignment="1">
      <alignment horizontal="center" vertical="center"/>
    </xf>
    <xf numFmtId="202" fontId="9" fillId="11" borderId="0" xfId="3" applyNumberFormat="1" applyFont="1" applyFill="1" applyBorder="1" applyAlignment="1">
      <alignment horizontal="center" vertical="center"/>
    </xf>
    <xf numFmtId="41" fontId="9" fillId="11" borderId="0" xfId="3" applyFont="1" applyFill="1" applyBorder="1" applyAlignment="1">
      <alignment horizontal="center" vertical="center"/>
    </xf>
    <xf numFmtId="199" fontId="5" fillId="11" borderId="0" xfId="2" applyFont="1" applyFill="1" applyAlignment="1" applyProtection="1">
      <alignment horizontal="right" vertical="center"/>
      <protection locked="0"/>
    </xf>
    <xf numFmtId="199" fontId="5" fillId="11" borderId="0" xfId="2" applyFont="1" applyFill="1" applyAlignment="1" applyProtection="1">
      <alignment horizontal="left" vertical="center"/>
      <protection locked="0"/>
    </xf>
    <xf numFmtId="41" fontId="5" fillId="11" borderId="0" xfId="3" applyFont="1" applyFill="1" applyProtection="1">
      <alignment vertical="center"/>
      <protection locked="0"/>
    </xf>
    <xf numFmtId="199" fontId="5" fillId="11" borderId="0" xfId="2" applyFont="1" applyFill="1" applyAlignment="1" applyProtection="1">
      <alignment horizontal="center" vertical="center"/>
      <protection locked="0"/>
    </xf>
    <xf numFmtId="0" fontId="186" fillId="22" borderId="159" xfId="21" applyFont="1" applyFill="1" applyBorder="1" applyAlignment="1">
      <alignment horizontal="center" vertical="center" wrapText="1"/>
    </xf>
    <xf numFmtId="253" fontId="188" fillId="22" borderId="159" xfId="22" applyFont="1" applyFill="1" applyBorder="1" applyAlignment="1">
      <alignment horizontal="center" vertical="center"/>
    </xf>
    <xf numFmtId="38" fontId="188" fillId="22" borderId="159" xfId="22" applyNumberFormat="1" applyFont="1" applyFill="1" applyBorder="1" applyAlignment="1">
      <alignment horizontal="center" vertical="center"/>
    </xf>
    <xf numFmtId="0" fontId="192" fillId="22" borderId="159" xfId="21" applyFont="1" applyFill="1" applyBorder="1" applyAlignment="1">
      <alignment horizontal="center" vertical="center" wrapText="1"/>
    </xf>
    <xf numFmtId="0" fontId="164" fillId="50" borderId="159" xfId="21" applyFont="1" applyFill="1" applyBorder="1" applyAlignment="1">
      <alignment horizontal="center" vertical="center"/>
    </xf>
    <xf numFmtId="254" fontId="194" fillId="0" borderId="159" xfId="22" applyNumberFormat="1" applyFont="1" applyFill="1" applyBorder="1" applyAlignment="1">
      <alignment horizontal="center" vertical="center"/>
    </xf>
    <xf numFmtId="0" fontId="194" fillId="0" borderId="159" xfId="21" applyFont="1" applyBorder="1" applyAlignment="1">
      <alignment horizontal="center" vertical="center" wrapText="1"/>
    </xf>
    <xf numFmtId="204" fontId="194" fillId="0" borderId="159" xfId="10" applyNumberFormat="1" applyFont="1" applyFill="1" applyBorder="1" applyAlignment="1">
      <alignment horizontal="right" vertical="center"/>
    </xf>
    <xf numFmtId="255" fontId="194" fillId="0" borderId="159" xfId="21" applyNumberFormat="1" applyFont="1" applyBorder="1" applyAlignment="1">
      <alignment horizontal="center" vertical="center"/>
    </xf>
    <xf numFmtId="204" fontId="194" fillId="0" borderId="159" xfId="10" applyNumberFormat="1" applyFont="1" applyFill="1" applyBorder="1" applyAlignment="1">
      <alignment horizontal="center" vertical="center"/>
    </xf>
    <xf numFmtId="253" fontId="194" fillId="0" borderId="159" xfId="22" applyFont="1" applyFill="1" applyBorder="1" applyAlignment="1">
      <alignment horizontal="center" vertical="center"/>
    </xf>
    <xf numFmtId="41" fontId="194" fillId="0" borderId="159" xfId="23" applyFont="1" applyFill="1" applyBorder="1" applyAlignment="1">
      <alignment horizontal="center" vertical="center"/>
    </xf>
    <xf numFmtId="41" fontId="194" fillId="0" borderId="159" xfId="23" applyFont="1" applyFill="1" applyBorder="1" applyAlignment="1">
      <alignment horizontal="left" vertical="center"/>
    </xf>
    <xf numFmtId="192" fontId="194" fillId="0" borderId="159" xfId="1" applyNumberFormat="1" applyFont="1" applyFill="1" applyBorder="1" applyAlignment="1">
      <alignment horizontal="center" vertical="center"/>
    </xf>
    <xf numFmtId="41" fontId="164" fillId="0" borderId="159" xfId="23" applyFont="1" applyFill="1" applyBorder="1" applyAlignment="1">
      <alignment horizontal="center" vertical="center"/>
    </xf>
    <xf numFmtId="14" fontId="194" fillId="0" borderId="159" xfId="23" applyNumberFormat="1" applyFont="1" applyFill="1" applyBorder="1" applyAlignment="1">
      <alignment horizontal="center" vertical="center"/>
    </xf>
    <xf numFmtId="202" fontId="194" fillId="0" borderId="159" xfId="10" applyNumberFormat="1" applyFont="1" applyFill="1" applyBorder="1" applyAlignment="1">
      <alignment horizontal="center" vertical="center" wrapText="1"/>
    </xf>
    <xf numFmtId="0" fontId="195" fillId="0" borderId="159" xfId="21" applyFont="1" applyBorder="1" applyAlignment="1">
      <alignment horizontal="center" vertical="center" wrapText="1"/>
    </xf>
    <xf numFmtId="0" fontId="194" fillId="0" borderId="159" xfId="21" applyFont="1" applyBorder="1" applyAlignment="1">
      <alignment horizontal="center" vertical="center"/>
    </xf>
    <xf numFmtId="41" fontId="115" fillId="11" borderId="159" xfId="24" applyFont="1" applyFill="1" applyBorder="1" applyAlignment="1">
      <alignment vertical="center"/>
    </xf>
    <xf numFmtId="0" fontId="164" fillId="0" borderId="159" xfId="21" applyFont="1" applyBorder="1" applyAlignment="1">
      <alignment horizontal="center" vertical="center"/>
    </xf>
    <xf numFmtId="204" fontId="164" fillId="0" borderId="159" xfId="10" applyNumberFormat="1" applyFont="1" applyFill="1" applyBorder="1" applyAlignment="1">
      <alignment horizontal="right" vertical="center"/>
    </xf>
    <xf numFmtId="255" fontId="164" fillId="0" borderId="159" xfId="21" applyNumberFormat="1" applyFont="1" applyBorder="1" applyAlignment="1">
      <alignment horizontal="center" vertical="center"/>
    </xf>
    <xf numFmtId="41" fontId="164" fillId="0" borderId="159" xfId="23" applyFont="1" applyFill="1" applyBorder="1" applyAlignment="1">
      <alignment horizontal="left" vertical="center"/>
    </xf>
    <xf numFmtId="192" fontId="164" fillId="0" borderId="159" xfId="1" applyNumberFormat="1" applyFont="1" applyFill="1" applyBorder="1" applyAlignment="1">
      <alignment horizontal="center" vertical="center"/>
    </xf>
    <xf numFmtId="202" fontId="164" fillId="0" borderId="159" xfId="10" applyNumberFormat="1" applyFont="1" applyFill="1" applyBorder="1" applyAlignment="1">
      <alignment horizontal="right" vertical="center"/>
    </xf>
    <xf numFmtId="202" fontId="194" fillId="0" borderId="159" xfId="10" applyNumberFormat="1" applyFont="1" applyFill="1" applyBorder="1" applyAlignment="1">
      <alignment horizontal="right" vertical="center"/>
    </xf>
    <xf numFmtId="0" fontId="196" fillId="0" borderId="159" xfId="21" applyFont="1" applyBorder="1" applyAlignment="1">
      <alignment horizontal="center" vertical="center" wrapText="1"/>
    </xf>
    <xf numFmtId="254" fontId="164" fillId="0" borderId="159" xfId="22" applyNumberFormat="1" applyFont="1" applyFill="1" applyBorder="1" applyAlignment="1">
      <alignment horizontal="center" vertical="center"/>
    </xf>
    <xf numFmtId="202" fontId="164" fillId="0" borderId="159" xfId="10" applyNumberFormat="1" applyFont="1" applyFill="1" applyBorder="1" applyAlignment="1">
      <alignment horizontal="center" vertical="center" wrapText="1"/>
    </xf>
    <xf numFmtId="0" fontId="168" fillId="0" borderId="159" xfId="21" applyFont="1" applyBorder="1" applyAlignment="1">
      <alignment horizontal="center" vertical="center" wrapText="1"/>
    </xf>
    <xf numFmtId="204" fontId="197" fillId="6" borderId="159" xfId="10" applyNumberFormat="1" applyFont="1" applyFill="1" applyBorder="1" applyAlignment="1">
      <alignment horizontal="right" vertical="center"/>
    </xf>
    <xf numFmtId="41" fontId="197" fillId="6" borderId="159" xfId="10" quotePrefix="1" applyFont="1" applyFill="1" applyBorder="1" applyAlignment="1">
      <alignment horizontal="center" vertical="center"/>
    </xf>
    <xf numFmtId="204" fontId="197" fillId="6" borderId="159" xfId="10" quotePrefix="1" applyNumberFormat="1" applyFont="1" applyFill="1" applyBorder="1" applyAlignment="1">
      <alignment horizontal="center" vertical="center"/>
    </xf>
    <xf numFmtId="41" fontId="34" fillId="11" borderId="0" xfId="3" applyFont="1" applyFill="1" applyBorder="1" applyAlignment="1">
      <alignment horizontal="center" vertical="center"/>
    </xf>
    <xf numFmtId="204" fontId="34" fillId="11" borderId="0" xfId="3" applyNumberFormat="1" applyFont="1" applyFill="1" applyBorder="1" applyAlignment="1">
      <alignment horizontal="center" vertical="center"/>
    </xf>
    <xf numFmtId="0" fontId="198" fillId="11" borderId="0" xfId="21" applyFont="1" applyFill="1" applyAlignment="1">
      <alignment vertical="center"/>
    </xf>
    <xf numFmtId="38" fontId="188" fillId="13" borderId="159" xfId="22" applyNumberFormat="1" applyFont="1" applyFill="1" applyBorder="1" applyAlignment="1">
      <alignment horizontal="center" vertical="center"/>
    </xf>
    <xf numFmtId="3" fontId="194" fillId="0" borderId="159" xfId="1" applyNumberFormat="1" applyFont="1" applyFill="1" applyBorder="1" applyAlignment="1">
      <alignment horizontal="right" vertical="center"/>
    </xf>
    <xf numFmtId="3" fontId="164" fillId="0" borderId="159" xfId="1" applyNumberFormat="1" applyFont="1" applyFill="1" applyBorder="1" applyAlignment="1">
      <alignment horizontal="right" vertical="center"/>
    </xf>
    <xf numFmtId="3" fontId="164" fillId="0" borderId="159" xfId="23" applyNumberFormat="1" applyFont="1" applyFill="1" applyBorder="1" applyAlignment="1">
      <alignment horizontal="right" vertical="center"/>
    </xf>
    <xf numFmtId="254" fontId="194" fillId="13" borderId="159" xfId="22" applyNumberFormat="1" applyFont="1" applyFill="1" applyBorder="1" applyAlignment="1">
      <alignment horizontal="center" vertical="center"/>
    </xf>
    <xf numFmtId="0" fontId="195" fillId="13" borderId="159" xfId="21" applyFont="1" applyFill="1" applyBorder="1" applyAlignment="1">
      <alignment horizontal="center" vertical="center" wrapText="1"/>
    </xf>
    <xf numFmtId="0" fontId="194" fillId="13" borderId="159" xfId="21" applyFont="1" applyFill="1" applyBorder="1" applyAlignment="1">
      <alignment horizontal="center" vertical="center"/>
    </xf>
    <xf numFmtId="204" fontId="194" fillId="13" borderId="159" xfId="10" applyNumberFormat="1" applyFont="1" applyFill="1" applyBorder="1" applyAlignment="1">
      <alignment horizontal="right" vertical="center"/>
    </xf>
    <xf numFmtId="255" fontId="194" fillId="13" borderId="159" xfId="21" applyNumberFormat="1" applyFont="1" applyFill="1" applyBorder="1" applyAlignment="1">
      <alignment horizontal="center" vertical="center"/>
    </xf>
    <xf numFmtId="204" fontId="194" fillId="13" borderId="159" xfId="10" applyNumberFormat="1" applyFont="1" applyFill="1" applyBorder="1" applyAlignment="1">
      <alignment horizontal="center" vertical="center"/>
    </xf>
    <xf numFmtId="253" fontId="194" fillId="13" borderId="159" xfId="22" applyFont="1" applyFill="1" applyBorder="1" applyAlignment="1">
      <alignment horizontal="center" vertical="center"/>
    </xf>
    <xf numFmtId="41" fontId="194" fillId="13" borderId="159" xfId="23" applyFont="1" applyFill="1" applyBorder="1" applyAlignment="1">
      <alignment horizontal="center" vertical="center"/>
    </xf>
    <xf numFmtId="41" fontId="194" fillId="13" borderId="159" xfId="23" applyFont="1" applyFill="1" applyBorder="1" applyAlignment="1">
      <alignment horizontal="left" vertical="center"/>
    </xf>
    <xf numFmtId="3" fontId="194" fillId="13" borderId="159" xfId="1" applyNumberFormat="1" applyFont="1" applyFill="1" applyBorder="1" applyAlignment="1">
      <alignment horizontal="right" vertical="center"/>
    </xf>
    <xf numFmtId="3" fontId="164" fillId="13" borderId="159" xfId="23" applyNumberFormat="1" applyFont="1" applyFill="1" applyBorder="1" applyAlignment="1">
      <alignment horizontal="right" vertical="center"/>
    </xf>
    <xf numFmtId="14" fontId="194" fillId="13" borderId="159" xfId="23" applyNumberFormat="1" applyFont="1" applyFill="1" applyBorder="1" applyAlignment="1">
      <alignment horizontal="center" vertical="center"/>
    </xf>
    <xf numFmtId="41" fontId="164" fillId="13" borderId="159" xfId="23" applyFont="1" applyFill="1" applyBorder="1" applyAlignment="1">
      <alignment horizontal="center" vertical="center"/>
    </xf>
    <xf numFmtId="202" fontId="194" fillId="13" borderId="159" xfId="10" applyNumberFormat="1" applyFont="1" applyFill="1" applyBorder="1" applyAlignment="1">
      <alignment horizontal="center" vertical="center" wrapText="1"/>
    </xf>
    <xf numFmtId="0" fontId="0" fillId="0" borderId="0" xfId="0" applyAlignment="1">
      <alignment horizontal="right" vertical="center"/>
    </xf>
    <xf numFmtId="0" fontId="10" fillId="51" borderId="0" xfId="0" applyFont="1" applyFill="1" applyAlignment="1">
      <alignment horizontal="left" vertical="center"/>
    </xf>
    <xf numFmtId="4" fontId="182" fillId="0" borderId="429" xfId="0" applyNumberFormat="1" applyFont="1" applyBorder="1" applyAlignment="1">
      <alignment horizontal="center" vertical="center" wrapText="1"/>
    </xf>
    <xf numFmtId="4" fontId="182" fillId="0" borderId="431" xfId="0" applyNumberFormat="1" applyFont="1" applyBorder="1" applyAlignment="1">
      <alignment horizontal="center" vertical="center" wrapText="1"/>
    </xf>
    <xf numFmtId="4" fontId="182" fillId="0" borderId="430" xfId="0" applyNumberFormat="1" applyFont="1" applyBorder="1" applyAlignment="1">
      <alignment horizontal="center" vertical="center" wrapText="1"/>
    </xf>
    <xf numFmtId="0" fontId="0" fillId="0" borderId="0" xfId="0" applyAlignment="1"/>
    <xf numFmtId="0" fontId="204" fillId="58" borderId="439" xfId="0" applyFont="1" applyFill="1" applyBorder="1" applyAlignment="1">
      <alignment horizontal="center" vertical="center"/>
    </xf>
    <xf numFmtId="0" fontId="205" fillId="0" borderId="439" xfId="0" applyFont="1" applyBorder="1" applyAlignment="1">
      <alignment horizontal="left" vertical="center"/>
    </xf>
    <xf numFmtId="258" fontId="206" fillId="59" borderId="439" xfId="0" applyNumberFormat="1" applyFont="1" applyFill="1" applyBorder="1" applyAlignment="1">
      <alignment horizontal="right" vertical="center"/>
    </xf>
    <xf numFmtId="0" fontId="205" fillId="0" borderId="439" xfId="0" applyFont="1" applyBorder="1" applyAlignment="1">
      <alignment horizontal="center" vertical="center"/>
    </xf>
    <xf numFmtId="0" fontId="28" fillId="0" borderId="439" xfId="0" applyFont="1" applyBorder="1" applyAlignment="1">
      <alignment horizontal="left" vertical="center"/>
    </xf>
    <xf numFmtId="3" fontId="206" fillId="59" borderId="439" xfId="0" applyNumberFormat="1" applyFont="1" applyFill="1" applyBorder="1" applyAlignment="1">
      <alignment horizontal="right" vertical="center"/>
    </xf>
    <xf numFmtId="10" fontId="206" fillId="59" borderId="439" xfId="0" applyNumberFormat="1" applyFont="1" applyFill="1" applyBorder="1" applyAlignment="1">
      <alignment horizontal="right" vertical="center"/>
    </xf>
    <xf numFmtId="0" fontId="28" fillId="0" borderId="439" xfId="0" applyFont="1" applyBorder="1" applyAlignment="1">
      <alignment horizontal="center" vertical="center"/>
    </xf>
    <xf numFmtId="10" fontId="206" fillId="0" borderId="439" xfId="0" applyNumberFormat="1" applyFont="1" applyBorder="1" applyAlignment="1">
      <alignment horizontal="right" vertical="center"/>
    </xf>
    <xf numFmtId="2" fontId="206" fillId="59" borderId="439" xfId="0" applyNumberFormat="1" applyFont="1" applyFill="1" applyBorder="1" applyAlignment="1">
      <alignment horizontal="right" vertical="center"/>
    </xf>
    <xf numFmtId="0" fontId="204" fillId="58" borderId="439" xfId="0" applyFont="1" applyFill="1" applyBorder="1" applyAlignment="1">
      <alignment horizontal="center" vertical="center" wrapText="1"/>
    </xf>
    <xf numFmtId="0" fontId="163" fillId="58" borderId="439" xfId="0" applyFont="1" applyFill="1" applyBorder="1" applyAlignment="1">
      <alignment horizontal="center" vertical="center" wrapText="1"/>
    </xf>
    <xf numFmtId="0" fontId="209" fillId="60" borderId="439" xfId="0" applyFont="1" applyFill="1" applyBorder="1" applyAlignment="1">
      <alignment horizontal="left" vertical="center"/>
    </xf>
    <xf numFmtId="0" fontId="210" fillId="0" borderId="439" xfId="0" applyFont="1" applyBorder="1" applyAlignment="1">
      <alignment horizontal="left" vertical="center"/>
    </xf>
    <xf numFmtId="10" fontId="28" fillId="0" borderId="439" xfId="0" applyNumberFormat="1" applyFont="1" applyBorder="1" applyAlignment="1">
      <alignment horizontal="right" vertical="center"/>
    </xf>
    <xf numFmtId="0" fontId="211" fillId="0" borderId="439" xfId="0" applyFont="1" applyBorder="1" applyAlignment="1">
      <alignment horizontal="left" vertical="center"/>
    </xf>
    <xf numFmtId="0" fontId="209" fillId="61" borderId="439" xfId="0" applyFont="1" applyFill="1" applyBorder="1" applyAlignment="1">
      <alignment horizontal="left" vertical="center"/>
    </xf>
    <xf numFmtId="10" fontId="93" fillId="61" borderId="439" xfId="0" applyNumberFormat="1" applyFont="1" applyFill="1" applyBorder="1" applyAlignment="1">
      <alignment horizontal="right" vertical="center"/>
    </xf>
    <xf numFmtId="0" fontId="210" fillId="61" borderId="439" xfId="0" applyFont="1" applyFill="1" applyBorder="1" applyAlignment="1">
      <alignment horizontal="left" vertical="center"/>
    </xf>
    <xf numFmtId="259" fontId="93" fillId="0" borderId="439" xfId="0" applyNumberFormat="1" applyFont="1" applyBorder="1" applyAlignment="1">
      <alignment horizontal="right" vertical="center"/>
    </xf>
    <xf numFmtId="259" fontId="28" fillId="0" borderId="439" xfId="0" applyNumberFormat="1" applyFont="1" applyBorder="1" applyAlignment="1">
      <alignment horizontal="right" vertical="center"/>
    </xf>
    <xf numFmtId="258" fontId="28" fillId="0" borderId="439" xfId="0" applyNumberFormat="1" applyFont="1" applyBorder="1" applyAlignment="1">
      <alignment horizontal="right" vertical="center"/>
    </xf>
    <xf numFmtId="0" fontId="28" fillId="61" borderId="439" xfId="0" applyFont="1" applyFill="1" applyBorder="1" applyAlignment="1">
      <alignment horizontal="center" vertical="center"/>
    </xf>
    <xf numFmtId="258" fontId="93" fillId="61" borderId="439" xfId="0" applyNumberFormat="1" applyFont="1" applyFill="1" applyBorder="1" applyAlignment="1">
      <alignment horizontal="right" vertical="center"/>
    </xf>
    <xf numFmtId="0" fontId="163" fillId="58" borderId="439" xfId="0" applyFont="1" applyFill="1" applyBorder="1" applyAlignment="1">
      <alignment horizontal="center" vertical="center"/>
    </xf>
    <xf numFmtId="0" fontId="93" fillId="60" borderId="439" xfId="0" applyFont="1" applyFill="1" applyBorder="1" applyAlignment="1">
      <alignment horizontal="left" vertical="center"/>
    </xf>
    <xf numFmtId="0" fontId="93" fillId="0" borderId="439" xfId="0" applyFont="1" applyBorder="1" applyAlignment="1">
      <alignment horizontal="center" vertical="center"/>
    </xf>
    <xf numFmtId="2" fontId="206" fillId="0" borderId="439" xfId="0" applyNumberFormat="1" applyFont="1" applyBorder="1" applyAlignment="1">
      <alignment horizontal="right" vertical="center"/>
    </xf>
    <xf numFmtId="0" fontId="28" fillId="0" borderId="439" xfId="0" applyFont="1" applyBorder="1" applyAlignment="1">
      <alignment horizontal="right" vertical="center"/>
    </xf>
    <xf numFmtId="0" fontId="205" fillId="61" borderId="439" xfId="0" applyFont="1" applyFill="1" applyBorder="1" applyAlignment="1">
      <alignment horizontal="left" vertical="center"/>
    </xf>
    <xf numFmtId="0" fontId="211" fillId="61" borderId="439" xfId="0" applyFont="1" applyFill="1" applyBorder="1" applyAlignment="1">
      <alignment horizontal="left" vertical="center"/>
    </xf>
    <xf numFmtId="10" fontId="25" fillId="8" borderId="331" xfId="0" applyNumberFormat="1" applyFont="1" applyFill="1" applyBorder="1">
      <alignment vertical="center"/>
    </xf>
    <xf numFmtId="41" fontId="23" fillId="0" borderId="0" xfId="10" applyFont="1">
      <alignment vertical="center"/>
    </xf>
    <xf numFmtId="0" fontId="14" fillId="0" borderId="0" xfId="0" applyFont="1">
      <alignment vertical="center"/>
    </xf>
    <xf numFmtId="10" fontId="14" fillId="0" borderId="0" xfId="0" applyNumberFormat="1" applyFont="1">
      <alignment vertical="center"/>
    </xf>
    <xf numFmtId="0" fontId="196" fillId="0" borderId="0" xfId="25" applyFont="1">
      <alignment vertical="center"/>
    </xf>
    <xf numFmtId="0" fontId="215" fillId="63" borderId="441" xfId="25" applyFont="1" applyFill="1" applyBorder="1" applyAlignment="1">
      <alignment horizontal="center" vertical="center"/>
    </xf>
    <xf numFmtId="0" fontId="215" fillId="63" borderId="442" xfId="25" applyFont="1" applyFill="1" applyBorder="1" applyAlignment="1">
      <alignment horizontal="center" vertical="center"/>
    </xf>
    <xf numFmtId="0" fontId="216" fillId="64" borderId="443" xfId="25" applyFont="1" applyFill="1" applyBorder="1" applyAlignment="1">
      <alignment horizontal="justify" vertical="center"/>
    </xf>
    <xf numFmtId="260" fontId="216" fillId="0" borderId="443" xfId="25" applyNumberFormat="1" applyFont="1" applyBorder="1" applyAlignment="1">
      <alignment horizontal="right" vertical="center"/>
    </xf>
    <xf numFmtId="0" fontId="216" fillId="64" borderId="443" xfId="25" applyFont="1" applyFill="1" applyBorder="1" applyAlignment="1">
      <alignment horizontal="left" vertical="center"/>
    </xf>
    <xf numFmtId="260" fontId="216" fillId="0" borderId="444" xfId="25" applyNumberFormat="1" applyFont="1" applyBorder="1" applyAlignment="1">
      <alignment horizontal="right" vertical="center"/>
    </xf>
    <xf numFmtId="0" fontId="218" fillId="64" borderId="443" xfId="25" applyFont="1" applyFill="1" applyBorder="1" applyAlignment="1">
      <alignment horizontal="justify" vertical="center"/>
    </xf>
    <xf numFmtId="260" fontId="218" fillId="0" borderId="443" xfId="25" applyNumberFormat="1" applyFont="1" applyBorder="1" applyAlignment="1">
      <alignment horizontal="right" vertical="center"/>
    </xf>
    <xf numFmtId="0" fontId="218" fillId="64" borderId="443" xfId="25" applyFont="1" applyFill="1" applyBorder="1" applyAlignment="1">
      <alignment horizontal="left" vertical="center"/>
    </xf>
    <xf numFmtId="260" fontId="218" fillId="0" borderId="444" xfId="25" applyNumberFormat="1" applyFont="1" applyBorder="1" applyAlignment="1">
      <alignment horizontal="right" vertical="center"/>
    </xf>
    <xf numFmtId="0" fontId="216" fillId="64" borderId="444" xfId="25" applyFont="1" applyFill="1" applyBorder="1" applyAlignment="1">
      <alignment horizontal="justify" vertical="center"/>
    </xf>
    <xf numFmtId="0" fontId="216" fillId="0" borderId="444" xfId="25" applyFont="1" applyBorder="1">
      <alignment vertical="center"/>
    </xf>
    <xf numFmtId="261" fontId="196" fillId="0" borderId="0" xfId="25" applyNumberFormat="1" applyFont="1">
      <alignment vertical="center"/>
    </xf>
    <xf numFmtId="0" fontId="216" fillId="0" borderId="444" xfId="25" applyFont="1" applyBorder="1" applyAlignment="1">
      <alignment horizontal="justify" vertical="center"/>
    </xf>
    <xf numFmtId="0" fontId="216" fillId="64" borderId="446" xfId="25" applyFont="1" applyFill="1" applyBorder="1" applyAlignment="1">
      <alignment horizontal="justify" vertical="center"/>
    </xf>
    <xf numFmtId="0" fontId="218" fillId="64" borderId="443" xfId="25" applyFont="1" applyFill="1" applyBorder="1" applyAlignment="1">
      <alignment horizontal="center" vertical="center"/>
    </xf>
    <xf numFmtId="0" fontId="218" fillId="0" borderId="444" xfId="25" applyFont="1" applyBorder="1" applyAlignment="1">
      <alignment horizontal="justify" vertical="center"/>
    </xf>
    <xf numFmtId="0" fontId="11" fillId="0" borderId="444" xfId="25" applyFont="1" applyBorder="1">
      <alignment vertical="center"/>
    </xf>
    <xf numFmtId="260" fontId="196" fillId="0" borderId="0" xfId="25" applyNumberFormat="1" applyFont="1">
      <alignment vertical="center"/>
    </xf>
    <xf numFmtId="262" fontId="196" fillId="0" borderId="0" xfId="25" applyNumberFormat="1" applyFont="1">
      <alignment vertical="center"/>
    </xf>
    <xf numFmtId="0" fontId="216" fillId="0" borderId="444" xfId="25" applyFont="1" applyBorder="1" applyAlignment="1">
      <alignment vertical="center" wrapText="1"/>
    </xf>
    <xf numFmtId="0" fontId="219" fillId="63" borderId="447" xfId="26" applyFont="1">
      <alignment horizontal="center" vertical="center"/>
    </xf>
    <xf numFmtId="0" fontId="219" fillId="63" borderId="439" xfId="27" applyFont="1">
      <alignment horizontal="center" vertical="center"/>
    </xf>
    <xf numFmtId="0" fontId="219" fillId="63" borderId="440" xfId="27" applyFont="1" applyBorder="1">
      <alignment horizontal="center" vertical="center"/>
    </xf>
    <xf numFmtId="263" fontId="220" fillId="64" borderId="447" xfId="28" applyNumberFormat="1" applyFont="1">
      <alignment vertical="center"/>
    </xf>
    <xf numFmtId="262" fontId="220" fillId="0" borderId="439" xfId="29" applyNumberFormat="1" applyFont="1">
      <alignment vertical="center"/>
    </xf>
    <xf numFmtId="266" fontId="220" fillId="0" borderId="440" xfId="29" applyNumberFormat="1" applyFont="1" applyBorder="1">
      <alignment vertical="center"/>
    </xf>
    <xf numFmtId="0" fontId="215" fillId="63" borderId="448" xfId="25" applyFont="1" applyFill="1" applyBorder="1" applyAlignment="1">
      <alignment horizontal="center" vertical="center"/>
    </xf>
    <xf numFmtId="0" fontId="215" fillId="63" borderId="449" xfId="25" applyFont="1" applyFill="1" applyBorder="1" applyAlignment="1">
      <alignment horizontal="center" vertical="center"/>
    </xf>
    <xf numFmtId="0" fontId="221" fillId="64" borderId="450" xfId="25" applyFont="1" applyFill="1" applyBorder="1">
      <alignment vertical="center"/>
    </xf>
    <xf numFmtId="265" fontId="216" fillId="0" borderId="450" xfId="25" applyNumberFormat="1" applyFont="1" applyBorder="1">
      <alignment vertical="center"/>
    </xf>
    <xf numFmtId="0" fontId="216" fillId="0" borderId="450" xfId="25" applyFont="1" applyBorder="1" applyAlignment="1">
      <alignment horizontal="right" vertical="center"/>
    </xf>
    <xf numFmtId="10" fontId="216" fillId="0" borderId="450" xfId="25" applyNumberFormat="1" applyFont="1" applyBorder="1" applyAlignment="1">
      <alignment horizontal="right" vertical="center"/>
    </xf>
    <xf numFmtId="0" fontId="216" fillId="0" borderId="451" xfId="25" applyFont="1" applyBorder="1">
      <alignment vertical="center"/>
    </xf>
    <xf numFmtId="262" fontId="216" fillId="0" borderId="443" xfId="25" applyNumberFormat="1" applyFont="1" applyBorder="1" applyAlignment="1">
      <alignment horizontal="right" vertical="center"/>
    </xf>
    <xf numFmtId="265" fontId="196" fillId="0" borderId="0" xfId="25" applyNumberFormat="1" applyFont="1">
      <alignment vertical="center"/>
    </xf>
    <xf numFmtId="0" fontId="215" fillId="63" borderId="442" xfId="25" applyFont="1" applyFill="1" applyBorder="1" applyAlignment="1">
      <alignment horizontal="left" vertical="center"/>
    </xf>
    <xf numFmtId="0" fontId="215" fillId="63" borderId="452" xfId="25" applyFont="1" applyFill="1" applyBorder="1" applyAlignment="1">
      <alignment horizontal="center" vertical="center"/>
    </xf>
    <xf numFmtId="0" fontId="216" fillId="64" borderId="448" xfId="25" applyFont="1" applyFill="1" applyBorder="1">
      <alignment vertical="center"/>
    </xf>
    <xf numFmtId="0" fontId="216" fillId="0" borderId="454" xfId="25" applyFont="1" applyBorder="1">
      <alignment vertical="center"/>
    </xf>
    <xf numFmtId="265" fontId="216" fillId="0" borderId="453" xfId="25" applyNumberFormat="1" applyFont="1" applyBorder="1">
      <alignment vertical="center"/>
    </xf>
    <xf numFmtId="267" fontId="216" fillId="0" borderId="454" xfId="25" applyNumberFormat="1" applyFont="1" applyBorder="1" applyAlignment="1">
      <alignment horizontal="left" vertical="center"/>
    </xf>
    <xf numFmtId="262" fontId="216" fillId="0" borderId="453" xfId="25" applyNumberFormat="1" applyFont="1" applyBorder="1">
      <alignment vertical="center"/>
    </xf>
    <xf numFmtId="0" fontId="218" fillId="64" borderId="448" xfId="25" applyFont="1" applyFill="1" applyBorder="1">
      <alignment vertical="center"/>
    </xf>
    <xf numFmtId="265" fontId="218" fillId="0" borderId="453" xfId="25" applyNumberFormat="1" applyFont="1" applyBorder="1">
      <alignment vertical="center"/>
    </xf>
    <xf numFmtId="0" fontId="222" fillId="0" borderId="0" xfId="25" applyFont="1">
      <alignment vertical="center"/>
    </xf>
    <xf numFmtId="267" fontId="219" fillId="63" borderId="439" xfId="30" applyNumberFormat="1" applyFont="1" applyFill="1" applyBorder="1" applyAlignment="1">
      <alignment horizontal="center" vertical="center"/>
    </xf>
    <xf numFmtId="267" fontId="219" fillId="63" borderId="440" xfId="30" applyNumberFormat="1" applyFont="1" applyFill="1" applyBorder="1" applyAlignment="1">
      <alignment horizontal="center" vertical="center"/>
    </xf>
    <xf numFmtId="0" fontId="215" fillId="63" borderId="447" xfId="26">
      <alignment horizontal="center" vertical="center"/>
    </xf>
    <xf numFmtId="0" fontId="215" fillId="63" borderId="439" xfId="27">
      <alignment horizontal="center" vertical="center"/>
    </xf>
    <xf numFmtId="267" fontId="215" fillId="63" borderId="439" xfId="27" applyNumberFormat="1">
      <alignment horizontal="center" vertical="center"/>
    </xf>
    <xf numFmtId="267" fontId="215" fillId="63" borderId="440" xfId="27" applyNumberFormat="1" applyBorder="1">
      <alignment horizontal="center" vertical="center"/>
    </xf>
    <xf numFmtId="267" fontId="219" fillId="63" borderId="439" xfId="27" applyNumberFormat="1" applyFont="1">
      <alignment horizontal="center" vertical="center"/>
    </xf>
    <xf numFmtId="267" fontId="219" fillId="63" borderId="440" xfId="27" applyNumberFormat="1" applyFont="1" applyBorder="1">
      <alignment horizontal="center" vertical="center"/>
    </xf>
    <xf numFmtId="0" fontId="223" fillId="64" borderId="448" xfId="25" applyFont="1" applyFill="1" applyBorder="1">
      <alignment vertical="center"/>
    </xf>
    <xf numFmtId="265" fontId="223" fillId="0" borderId="453" xfId="25" applyNumberFormat="1" applyFont="1" applyBorder="1">
      <alignment vertical="center"/>
    </xf>
    <xf numFmtId="265" fontId="223" fillId="0" borderId="454" xfId="25" applyNumberFormat="1" applyFont="1" applyBorder="1">
      <alignment vertical="center"/>
    </xf>
    <xf numFmtId="0" fontId="220" fillId="64" borderId="457" xfId="25" applyFont="1" applyFill="1" applyBorder="1" applyAlignment="1">
      <alignment horizontal="left" vertical="center" indent="1"/>
    </xf>
    <xf numFmtId="265" fontId="220" fillId="0" borderId="458" xfId="25" applyNumberFormat="1" applyFont="1" applyBorder="1">
      <alignment vertical="center"/>
    </xf>
    <xf numFmtId="265" fontId="220" fillId="0" borderId="459" xfId="25" applyNumberFormat="1" applyFont="1" applyBorder="1">
      <alignment vertical="center"/>
    </xf>
    <xf numFmtId="0" fontId="220" fillId="64" borderId="460" xfId="25" applyFont="1" applyFill="1" applyBorder="1" applyAlignment="1">
      <alignment horizontal="left" vertical="center" indent="1"/>
    </xf>
    <xf numFmtId="265" fontId="220" fillId="0" borderId="461" xfId="25" applyNumberFormat="1" applyFont="1" applyBorder="1">
      <alignment vertical="center"/>
    </xf>
    <xf numFmtId="265" fontId="220" fillId="0" borderId="462" xfId="25" applyNumberFormat="1" applyFont="1" applyBorder="1">
      <alignment vertical="center"/>
    </xf>
    <xf numFmtId="0" fontId="220" fillId="64" borderId="450" xfId="25" applyFont="1" applyFill="1" applyBorder="1" applyAlignment="1">
      <alignment horizontal="left" vertical="center" indent="1"/>
    </xf>
    <xf numFmtId="265" fontId="220" fillId="0" borderId="463" xfId="25" applyNumberFormat="1" applyFont="1" applyBorder="1">
      <alignment vertical="center"/>
    </xf>
    <xf numFmtId="265" fontId="220" fillId="0" borderId="464" xfId="25" applyNumberFormat="1" applyFont="1" applyBorder="1">
      <alignment vertical="center"/>
    </xf>
    <xf numFmtId="0" fontId="219" fillId="63" borderId="448" xfId="25" applyFont="1" applyFill="1" applyBorder="1" applyAlignment="1">
      <alignment horizontal="center" vertical="center"/>
    </xf>
    <xf numFmtId="267" fontId="219" fillId="63" borderId="452" xfId="25" applyNumberFormat="1" applyFont="1" applyFill="1" applyBorder="1" applyAlignment="1">
      <alignment horizontal="center" vertical="center"/>
    </xf>
    <xf numFmtId="0" fontId="220" fillId="64" borderId="448" xfId="25" applyFont="1" applyFill="1" applyBorder="1" applyAlignment="1">
      <alignment horizontal="left" vertical="center" indent="1"/>
    </xf>
    <xf numFmtId="265" fontId="220" fillId="0" borderId="453" xfId="25" applyNumberFormat="1" applyFont="1" applyBorder="1">
      <alignment vertical="center"/>
    </xf>
    <xf numFmtId="265" fontId="220" fillId="0" borderId="454" xfId="25" applyNumberFormat="1" applyFont="1" applyBorder="1">
      <alignment vertical="center"/>
    </xf>
    <xf numFmtId="0" fontId="224" fillId="0" borderId="0" xfId="25" applyFont="1">
      <alignment vertical="center"/>
    </xf>
    <xf numFmtId="265" fontId="216" fillId="64" borderId="448" xfId="25" applyNumberFormat="1" applyFont="1" applyFill="1" applyBorder="1">
      <alignment vertical="center"/>
    </xf>
    <xf numFmtId="265" fontId="218" fillId="64" borderId="448" xfId="25" applyNumberFormat="1" applyFont="1" applyFill="1" applyBorder="1">
      <alignment vertical="center"/>
    </xf>
    <xf numFmtId="270" fontId="218" fillId="0" borderId="454" xfId="25" applyNumberFormat="1" applyFont="1" applyBorder="1">
      <alignment vertical="center"/>
    </xf>
    <xf numFmtId="0" fontId="216" fillId="64" borderId="448" xfId="25" applyFont="1" applyFill="1" applyBorder="1" applyAlignment="1">
      <alignment horizontal="left" vertical="center"/>
    </xf>
    <xf numFmtId="269" fontId="216" fillId="64" borderId="448" xfId="25" applyNumberFormat="1" applyFont="1" applyFill="1" applyBorder="1" applyAlignment="1">
      <alignment horizontal="center" vertical="center"/>
    </xf>
    <xf numFmtId="262" fontId="216" fillId="0" borderId="454" xfId="25" applyNumberFormat="1" applyFont="1" applyBorder="1">
      <alignment vertical="center"/>
    </xf>
    <xf numFmtId="271" fontId="216" fillId="64" borderId="448" xfId="25" applyNumberFormat="1" applyFont="1" applyFill="1" applyBorder="1" applyAlignment="1">
      <alignment horizontal="left" vertical="center"/>
    </xf>
    <xf numFmtId="0" fontId="214" fillId="0" borderId="0" xfId="25">
      <alignment vertical="center"/>
    </xf>
    <xf numFmtId="265" fontId="215" fillId="63" borderId="452" xfId="25" applyNumberFormat="1" applyFont="1" applyFill="1" applyBorder="1" applyAlignment="1">
      <alignment horizontal="center" vertical="center"/>
    </xf>
    <xf numFmtId="0" fontId="225" fillId="65" borderId="159" xfId="25" applyFont="1" applyFill="1" applyBorder="1" applyAlignment="1">
      <alignment horizontal="left" vertical="center"/>
    </xf>
    <xf numFmtId="236" fontId="225" fillId="0" borderId="210" xfId="25" applyNumberFormat="1" applyFont="1" applyBorder="1" applyAlignment="1">
      <alignment horizontal="right" vertical="center" shrinkToFit="1"/>
    </xf>
    <xf numFmtId="10" fontId="225" fillId="0" borderId="210" xfId="25" applyNumberFormat="1" applyFont="1" applyBorder="1" applyAlignment="1">
      <alignment horizontal="right" vertical="center"/>
    </xf>
    <xf numFmtId="0" fontId="225" fillId="65" borderId="159" xfId="25" applyFont="1" applyFill="1" applyBorder="1" applyAlignment="1">
      <alignment horizontal="center" vertical="center"/>
    </xf>
    <xf numFmtId="0" fontId="225" fillId="0" borderId="159" xfId="25" applyFont="1" applyBorder="1" applyAlignment="1">
      <alignment horizontal="center" vertical="center"/>
    </xf>
    <xf numFmtId="3" fontId="225" fillId="0" borderId="159" xfId="25" applyNumberFormat="1" applyFont="1" applyBorder="1" applyAlignment="1">
      <alignment horizontal="right" vertical="center"/>
    </xf>
    <xf numFmtId="273" fontId="225" fillId="0" borderId="159" xfId="25" applyNumberFormat="1" applyFont="1" applyBorder="1" applyAlignment="1">
      <alignment horizontal="center" vertical="center"/>
    </xf>
    <xf numFmtId="0" fontId="225" fillId="0" borderId="159" xfId="25" applyFont="1" applyBorder="1" applyAlignment="1">
      <alignment horizontal="left" vertical="center"/>
    </xf>
    <xf numFmtId="3" fontId="214" fillId="0" borderId="0" xfId="25" applyNumberFormat="1">
      <alignment vertical="center"/>
    </xf>
    <xf numFmtId="10" fontId="214" fillId="0" borderId="0" xfId="25" applyNumberFormat="1">
      <alignment vertical="center"/>
    </xf>
    <xf numFmtId="3" fontId="226" fillId="65" borderId="466" xfId="25" applyNumberFormat="1" applyFont="1" applyFill="1" applyBorder="1" applyAlignment="1">
      <alignment horizontal="right" vertical="center" wrapText="1" readingOrder="1"/>
    </xf>
    <xf numFmtId="10" fontId="226" fillId="65" borderId="466" xfId="25" applyNumberFormat="1" applyFont="1" applyFill="1" applyBorder="1" applyAlignment="1">
      <alignment horizontal="right" vertical="center" wrapText="1" readingOrder="1"/>
    </xf>
    <xf numFmtId="0" fontId="59" fillId="65" borderId="466" xfId="25" applyFont="1" applyFill="1" applyBorder="1" applyAlignment="1">
      <alignment horizontal="right" vertical="center" wrapText="1"/>
    </xf>
    <xf numFmtId="0" fontId="59" fillId="65" borderId="468" xfId="25" applyFont="1" applyFill="1" applyBorder="1" applyAlignment="1">
      <alignment vertical="center" wrapText="1"/>
    </xf>
    <xf numFmtId="0" fontId="226" fillId="37" borderId="469" xfId="25" applyFont="1" applyFill="1" applyBorder="1" applyAlignment="1">
      <alignment horizontal="left" vertical="center" wrapText="1" readingOrder="1"/>
    </xf>
    <xf numFmtId="0" fontId="59" fillId="65" borderId="466" xfId="25" applyFont="1" applyFill="1" applyBorder="1" applyAlignment="1">
      <alignment horizontal="center" vertical="center" wrapText="1"/>
    </xf>
    <xf numFmtId="0" fontId="59" fillId="65" borderId="470" xfId="25" applyFont="1" applyFill="1" applyBorder="1" applyAlignment="1">
      <alignment vertical="center" wrapText="1"/>
    </xf>
    <xf numFmtId="3" fontId="227" fillId="36" borderId="466" xfId="25" applyNumberFormat="1" applyFont="1" applyFill="1" applyBorder="1" applyAlignment="1">
      <alignment horizontal="right" vertical="center" wrapText="1" readingOrder="1"/>
    </xf>
    <xf numFmtId="0" fontId="226" fillId="37" borderId="471" xfId="25" applyFont="1" applyFill="1" applyBorder="1" applyAlignment="1">
      <alignment horizontal="left" vertical="center" wrapText="1" readingOrder="1"/>
    </xf>
    <xf numFmtId="3" fontId="226" fillId="36" borderId="472" xfId="25" applyNumberFormat="1" applyFont="1" applyFill="1" applyBorder="1" applyAlignment="1">
      <alignment horizontal="right" vertical="center" wrapText="1" readingOrder="1"/>
    </xf>
    <xf numFmtId="3" fontId="226" fillId="62" borderId="466" xfId="25" applyNumberFormat="1" applyFont="1" applyFill="1" applyBorder="1" applyAlignment="1">
      <alignment horizontal="right" vertical="center" wrapText="1" readingOrder="1"/>
    </xf>
    <xf numFmtId="0" fontId="59" fillId="62" borderId="466" xfId="25" applyFont="1" applyFill="1" applyBorder="1" applyAlignment="1">
      <alignment horizontal="right" vertical="center" wrapText="1"/>
    </xf>
    <xf numFmtId="0" fontId="59" fillId="62" borderId="466" xfId="25" applyFont="1" applyFill="1" applyBorder="1" applyAlignment="1">
      <alignment horizontal="center" vertical="center" wrapText="1"/>
    </xf>
    <xf numFmtId="0" fontId="226" fillId="0" borderId="466" xfId="25" applyFont="1" applyBorder="1" applyAlignment="1">
      <alignment horizontal="right" vertical="center" wrapText="1" readingOrder="1"/>
    </xf>
    <xf numFmtId="14" fontId="214" fillId="0" borderId="0" xfId="25" applyNumberFormat="1">
      <alignment vertical="center"/>
    </xf>
    <xf numFmtId="236" fontId="226" fillId="0" borderId="466" xfId="25" applyNumberFormat="1" applyFont="1" applyBorder="1" applyAlignment="1">
      <alignment horizontal="right" vertical="center" wrapText="1" readingOrder="1"/>
    </xf>
    <xf numFmtId="3" fontId="227" fillId="62" borderId="466" xfId="25" applyNumberFormat="1" applyFont="1" applyFill="1" applyBorder="1" applyAlignment="1">
      <alignment horizontal="right" vertical="center" wrapText="1" readingOrder="1"/>
    </xf>
    <xf numFmtId="3" fontId="226" fillId="36" borderId="466" xfId="25" applyNumberFormat="1" applyFont="1" applyFill="1" applyBorder="1" applyAlignment="1">
      <alignment horizontal="right" vertical="center" wrapText="1" readingOrder="1"/>
    </xf>
    <xf numFmtId="0" fontId="59" fillId="36" borderId="466" xfId="25" applyFont="1" applyFill="1" applyBorder="1" applyAlignment="1">
      <alignment horizontal="right" vertical="center" wrapText="1"/>
    </xf>
    <xf numFmtId="0" fontId="228" fillId="10" borderId="0" xfId="25" applyFont="1" applyFill="1">
      <alignment vertical="center"/>
    </xf>
    <xf numFmtId="0" fontId="229" fillId="0" borderId="473" xfId="25" applyFont="1" applyBorder="1" applyAlignment="1">
      <alignment horizontal="center" vertical="center"/>
    </xf>
    <xf numFmtId="0" fontId="229" fillId="0" borderId="474" xfId="25" applyFont="1" applyBorder="1" applyAlignment="1">
      <alignment horizontal="center" vertical="center"/>
    </xf>
    <xf numFmtId="0" fontId="229" fillId="0" borderId="475" xfId="25" applyFont="1" applyBorder="1" applyAlignment="1">
      <alignment horizontal="center" vertical="center"/>
    </xf>
    <xf numFmtId="274" fontId="229" fillId="0" borderId="478" xfId="25" applyNumberFormat="1" applyFont="1" applyBorder="1" applyAlignment="1">
      <alignment horizontal="center" vertical="center"/>
    </xf>
    <xf numFmtId="0" fontId="229" fillId="0" borderId="479" xfId="25" applyFont="1" applyBorder="1" applyAlignment="1">
      <alignment horizontal="center" vertical="center"/>
    </xf>
    <xf numFmtId="14" fontId="229" fillId="0" borderId="480" xfId="25" applyNumberFormat="1" applyFont="1" applyBorder="1" applyAlignment="1">
      <alignment horizontal="center" vertical="center"/>
    </xf>
    <xf numFmtId="0" fontId="229" fillId="0" borderId="480" xfId="25" applyFont="1" applyBorder="1" applyAlignment="1">
      <alignment horizontal="center" vertical="center"/>
    </xf>
    <xf numFmtId="40" fontId="230" fillId="0" borderId="481" xfId="31" applyNumberFormat="1" applyBorder="1" applyAlignment="1">
      <alignment horizontal="center" vertical="center"/>
    </xf>
    <xf numFmtId="0" fontId="229" fillId="0" borderId="482" xfId="25" applyFont="1" applyBorder="1" applyAlignment="1">
      <alignment horizontal="left" vertical="center" indent="1"/>
    </xf>
    <xf numFmtId="0" fontId="229" fillId="0" borderId="31" xfId="25" applyFont="1" applyBorder="1">
      <alignment vertical="center"/>
    </xf>
    <xf numFmtId="0" fontId="229" fillId="0" borderId="31" xfId="25" applyFont="1" applyBorder="1" applyAlignment="1">
      <alignment horizontal="center" vertical="center"/>
    </xf>
    <xf numFmtId="0" fontId="229" fillId="0" borderId="483" xfId="25" applyFont="1" applyBorder="1" applyAlignment="1">
      <alignment horizontal="center" vertical="center"/>
    </xf>
    <xf numFmtId="0" fontId="65" fillId="0" borderId="480" xfId="25" applyFont="1" applyBorder="1" applyAlignment="1">
      <alignment horizontal="center" vertical="center"/>
    </xf>
    <xf numFmtId="40" fontId="230" fillId="0" borderId="481" xfId="31" quotePrefix="1" applyNumberFormat="1" applyBorder="1" applyAlignment="1">
      <alignment horizontal="center" vertical="center"/>
    </xf>
    <xf numFmtId="0" fontId="230" fillId="0" borderId="481" xfId="31" quotePrefix="1" applyBorder="1" applyAlignment="1">
      <alignment horizontal="center" vertical="center"/>
    </xf>
    <xf numFmtId="0" fontId="65" fillId="0" borderId="483" xfId="25" applyFont="1" applyBorder="1" applyAlignment="1">
      <alignment horizontal="center" vertical="center"/>
    </xf>
    <xf numFmtId="0" fontId="65" fillId="0" borderId="482" xfId="25" applyFont="1" applyBorder="1" applyAlignment="1">
      <alignment horizontal="center" vertical="center"/>
    </xf>
    <xf numFmtId="0" fontId="65" fillId="0" borderId="31" xfId="25" applyFont="1" applyBorder="1" applyAlignment="1">
      <alignment horizontal="center" vertical="center"/>
    </xf>
    <xf numFmtId="0" fontId="65" fillId="0" borderId="481" xfId="25" applyFont="1" applyBorder="1" applyAlignment="1">
      <alignment horizontal="center" vertical="center"/>
    </xf>
    <xf numFmtId="0" fontId="229" fillId="0" borderId="484" xfId="25" applyFont="1" applyBorder="1" applyAlignment="1">
      <alignment horizontal="center" vertical="center"/>
    </xf>
    <xf numFmtId="0" fontId="229" fillId="0" borderId="485" xfId="25" applyFont="1" applyBorder="1" applyAlignment="1">
      <alignment horizontal="center" vertical="center"/>
    </xf>
    <xf numFmtId="0" fontId="65" fillId="0" borderId="485" xfId="25" applyFont="1" applyBorder="1" applyAlignment="1">
      <alignment horizontal="center" vertical="center"/>
    </xf>
    <xf numFmtId="0" fontId="65" fillId="0" borderId="486" xfId="25" applyFont="1" applyBorder="1" applyAlignment="1">
      <alignment horizontal="center" vertical="center"/>
    </xf>
    <xf numFmtId="0" fontId="65" fillId="0" borderId="487" xfId="25" applyFont="1" applyBorder="1" applyAlignment="1">
      <alignment horizontal="center" vertical="center"/>
    </xf>
    <xf numFmtId="0" fontId="65" fillId="0" borderId="488" xfId="25" applyFont="1" applyBorder="1" applyAlignment="1">
      <alignment horizontal="center" vertical="center"/>
    </xf>
    <xf numFmtId="0" fontId="65" fillId="0" borderId="489" xfId="25" applyFont="1" applyBorder="1" applyAlignment="1">
      <alignment horizontal="center" vertical="center"/>
    </xf>
    <xf numFmtId="266" fontId="220" fillId="0" borderId="0" xfId="29" applyNumberFormat="1" applyFont="1" applyBorder="1">
      <alignment vertical="center"/>
    </xf>
    <xf numFmtId="3" fontId="220" fillId="0" borderId="439" xfId="29" applyNumberFormat="1" applyFont="1">
      <alignment vertical="center"/>
    </xf>
    <xf numFmtId="14" fontId="220" fillId="0" borderId="439" xfId="29" applyNumberFormat="1" applyFont="1" applyAlignment="1">
      <alignment horizontal="center" vertical="center"/>
    </xf>
    <xf numFmtId="10" fontId="225" fillId="0" borderId="210" xfId="25" applyNumberFormat="1" applyFont="1" applyBorder="1" applyAlignment="1">
      <alignment horizontal="right" vertical="center" shrinkToFit="1"/>
    </xf>
    <xf numFmtId="3" fontId="225" fillId="0" borderId="210" xfId="25" applyNumberFormat="1" applyFont="1" applyBorder="1" applyAlignment="1">
      <alignment horizontal="right" vertical="center"/>
    </xf>
    <xf numFmtId="3" fontId="225" fillId="0" borderId="210" xfId="25" applyNumberFormat="1" applyFont="1" applyBorder="1" applyAlignment="1">
      <alignment horizontal="right" vertical="center" shrinkToFit="1"/>
    </xf>
    <xf numFmtId="3" fontId="225" fillId="0" borderId="159" xfId="25" applyNumberFormat="1" applyFont="1" applyBorder="1" applyAlignment="1">
      <alignment horizontal="center" vertical="center"/>
    </xf>
    <xf numFmtId="2" fontId="225" fillId="0" borderId="159" xfId="25" applyNumberFormat="1" applyFont="1" applyBorder="1" applyAlignment="1">
      <alignment horizontal="right" vertical="center"/>
    </xf>
    <xf numFmtId="2" fontId="214" fillId="0" borderId="0" xfId="25" applyNumberFormat="1">
      <alignment vertical="center"/>
    </xf>
    <xf numFmtId="14" fontId="196" fillId="0" borderId="0" xfId="25" applyNumberFormat="1" applyFont="1">
      <alignment vertical="center"/>
    </xf>
    <xf numFmtId="0" fontId="215" fillId="63" borderId="440" xfId="42">
      <alignment horizontal="center" vertical="center"/>
    </xf>
    <xf numFmtId="0" fontId="216" fillId="0" borderId="440" xfId="35">
      <alignment vertical="center"/>
    </xf>
    <xf numFmtId="0" fontId="216" fillId="64" borderId="447" xfId="28">
      <alignment vertical="center"/>
    </xf>
    <xf numFmtId="3" fontId="216" fillId="0" borderId="439" xfId="29" applyNumberFormat="1">
      <alignment vertical="center"/>
    </xf>
    <xf numFmtId="10" fontId="216" fillId="0" borderId="439" xfId="29" applyNumberFormat="1">
      <alignment vertical="center"/>
    </xf>
    <xf numFmtId="264" fontId="216" fillId="0" borderId="439" xfId="29" applyNumberFormat="1">
      <alignment vertical="center"/>
    </xf>
    <xf numFmtId="264" fontId="216" fillId="0" borderId="440" xfId="35" applyNumberFormat="1">
      <alignment vertical="center"/>
    </xf>
    <xf numFmtId="3" fontId="215" fillId="63" borderId="439" xfId="27" applyNumberFormat="1">
      <alignment horizontal="center" vertical="center"/>
    </xf>
    <xf numFmtId="10" fontId="215" fillId="63" borderId="439" xfId="27" applyNumberFormat="1">
      <alignment horizontal="center" vertical="center"/>
    </xf>
    <xf numFmtId="10" fontId="215" fillId="63" borderId="440" xfId="42" applyNumberFormat="1">
      <alignment horizontal="center" vertical="center"/>
    </xf>
    <xf numFmtId="0" fontId="218" fillId="64" borderId="447" xfId="28" applyFont="1">
      <alignment vertical="center"/>
    </xf>
    <xf numFmtId="10" fontId="218" fillId="0" borderId="439" xfId="29" applyNumberFormat="1" applyFont="1">
      <alignment vertical="center"/>
    </xf>
    <xf numFmtId="3" fontId="218" fillId="0" borderId="439" xfId="29" applyNumberFormat="1" applyFont="1">
      <alignment vertical="center"/>
    </xf>
    <xf numFmtId="10" fontId="218" fillId="0" borderId="440" xfId="35" applyNumberFormat="1" applyFont="1">
      <alignment vertical="center"/>
    </xf>
    <xf numFmtId="10" fontId="216" fillId="0" borderId="440" xfId="29" applyNumberFormat="1" applyBorder="1">
      <alignment vertical="center"/>
    </xf>
    <xf numFmtId="10" fontId="218" fillId="0" borderId="440" xfId="29" applyNumberFormat="1" applyFont="1" applyBorder="1">
      <alignment vertical="center"/>
    </xf>
    <xf numFmtId="10" fontId="216" fillId="0" borderId="439" xfId="29" applyNumberFormat="1" applyAlignment="1">
      <alignment horizontal="center" vertical="center"/>
    </xf>
    <xf numFmtId="0" fontId="215" fillId="63" borderId="495" xfId="27" applyBorder="1" applyAlignment="1">
      <alignment vertical="center"/>
    </xf>
    <xf numFmtId="0" fontId="0" fillId="0" borderId="0" xfId="0" applyFont="1">
      <alignment vertical="center"/>
    </xf>
    <xf numFmtId="0" fontId="236" fillId="0" borderId="0" xfId="0" applyFont="1">
      <alignment vertical="center"/>
    </xf>
    <xf numFmtId="3" fontId="216" fillId="0" borderId="443" xfId="25" applyNumberFormat="1" applyFont="1" applyBorder="1" applyAlignment="1">
      <alignment horizontal="right" vertical="center"/>
    </xf>
    <xf numFmtId="192" fontId="216" fillId="0" borderId="439" xfId="29" applyNumberFormat="1">
      <alignment vertical="center"/>
    </xf>
    <xf numFmtId="0" fontId="216" fillId="0" borderId="440" xfId="35" quotePrefix="1">
      <alignment vertical="center"/>
    </xf>
    <xf numFmtId="262" fontId="216" fillId="0" borderId="439" xfId="29" applyNumberFormat="1">
      <alignment vertical="center"/>
    </xf>
    <xf numFmtId="262" fontId="218" fillId="0" borderId="439" xfId="29" applyNumberFormat="1" applyFont="1">
      <alignment vertical="center"/>
    </xf>
    <xf numFmtId="0" fontId="218" fillId="0" borderId="440" xfId="35" applyFont="1">
      <alignment vertical="center"/>
    </xf>
    <xf numFmtId="265" fontId="216" fillId="0" borderId="439" xfId="29" applyNumberFormat="1">
      <alignment vertical="center"/>
    </xf>
    <xf numFmtId="265" fontId="218" fillId="0" borderId="439" xfId="29" applyNumberFormat="1" applyFont="1">
      <alignment vertical="center"/>
    </xf>
    <xf numFmtId="211" fontId="220" fillId="0" borderId="439" xfId="29" applyNumberFormat="1" applyFont="1">
      <alignment vertical="center"/>
    </xf>
    <xf numFmtId="3" fontId="218" fillId="0" borderId="443" xfId="25" applyNumberFormat="1" applyFont="1" applyBorder="1" applyAlignment="1">
      <alignment horizontal="right" vertical="center"/>
    </xf>
    <xf numFmtId="264" fontId="215" fillId="63" borderId="439" xfId="27" applyNumberFormat="1">
      <alignment horizontal="center" vertical="center"/>
    </xf>
    <xf numFmtId="264" fontId="215" fillId="63" borderId="440" xfId="27" applyNumberFormat="1" applyBorder="1">
      <alignment horizontal="center" vertical="center"/>
    </xf>
    <xf numFmtId="0" fontId="218" fillId="64" borderId="0" xfId="25" applyFont="1" applyFill="1">
      <alignment vertical="center"/>
    </xf>
    <xf numFmtId="265" fontId="218" fillId="0" borderId="0" xfId="25" applyNumberFormat="1" applyFont="1">
      <alignment vertical="center"/>
    </xf>
    <xf numFmtId="0" fontId="216" fillId="0" borderId="0" xfId="25" applyFont="1">
      <alignment vertical="center"/>
    </xf>
    <xf numFmtId="268" fontId="196" fillId="0" borderId="0" xfId="25" applyNumberFormat="1" applyFont="1">
      <alignment vertical="center"/>
    </xf>
    <xf numFmtId="264" fontId="219" fillId="63" borderId="439" xfId="27" applyNumberFormat="1" applyFont="1">
      <alignment horizontal="center" vertical="center"/>
    </xf>
    <xf numFmtId="264" fontId="219" fillId="63" borderId="440" xfId="27" applyNumberFormat="1" applyFont="1" applyBorder="1">
      <alignment horizontal="center" vertical="center"/>
    </xf>
    <xf numFmtId="10" fontId="196" fillId="0" borderId="0" xfId="25" applyNumberFormat="1" applyFont="1">
      <alignment vertical="center"/>
    </xf>
    <xf numFmtId="270" fontId="216" fillId="0" borderId="453" xfId="25" applyNumberFormat="1" applyFont="1" applyBorder="1">
      <alignment vertical="center"/>
    </xf>
    <xf numFmtId="270" fontId="216" fillId="0" borderId="454" xfId="25" applyNumberFormat="1" applyFont="1" applyBorder="1">
      <alignment vertical="center"/>
    </xf>
    <xf numFmtId="270" fontId="218" fillId="0" borderId="453" xfId="25" applyNumberFormat="1" applyFont="1" applyBorder="1">
      <alignment vertical="center"/>
    </xf>
    <xf numFmtId="0" fontId="216" fillId="64" borderId="498" xfId="28" applyBorder="1">
      <alignment vertical="center"/>
    </xf>
    <xf numFmtId="0" fontId="216" fillId="64" borderId="455" xfId="28" applyBorder="1">
      <alignment vertical="center"/>
    </xf>
    <xf numFmtId="265" fontId="216" fillId="0" borderId="496" xfId="29" applyNumberFormat="1" applyBorder="1">
      <alignment vertical="center"/>
    </xf>
    <xf numFmtId="265" fontId="216" fillId="0" borderId="499" xfId="29" applyNumberFormat="1" applyBorder="1">
      <alignment vertical="center"/>
    </xf>
    <xf numFmtId="0" fontId="216" fillId="64" borderId="498" xfId="28" applyBorder="1" applyAlignment="1">
      <alignment horizontal="left" vertical="center" indent="1"/>
    </xf>
    <xf numFmtId="2" fontId="216" fillId="0" borderId="496" xfId="29" applyNumberFormat="1" applyBorder="1">
      <alignment vertical="center"/>
    </xf>
    <xf numFmtId="2" fontId="216" fillId="0" borderId="501" xfId="35" applyNumberFormat="1" applyBorder="1">
      <alignment vertical="center"/>
    </xf>
    <xf numFmtId="2" fontId="216" fillId="0" borderId="499" xfId="29" applyNumberFormat="1" applyBorder="1">
      <alignment vertical="center"/>
    </xf>
    <xf numFmtId="2" fontId="216" fillId="0" borderId="500" xfId="35" applyNumberFormat="1" applyBorder="1">
      <alignment vertical="center"/>
    </xf>
    <xf numFmtId="272" fontId="216" fillId="0" borderId="0" xfId="29" applyNumberFormat="1" applyBorder="1">
      <alignment vertical="center"/>
    </xf>
    <xf numFmtId="277" fontId="219" fillId="63" borderId="439" xfId="27" applyNumberFormat="1" applyFont="1">
      <alignment horizontal="center" vertical="center"/>
    </xf>
    <xf numFmtId="277" fontId="219" fillId="63" borderId="440" xfId="27" applyNumberFormat="1" applyFont="1" applyBorder="1">
      <alignment horizontal="center" vertical="center"/>
    </xf>
    <xf numFmtId="0" fontId="0" fillId="0" borderId="0" xfId="0" applyFont="1" applyBorder="1">
      <alignment vertical="center"/>
    </xf>
    <xf numFmtId="276" fontId="219" fillId="63" borderId="439" xfId="27" applyNumberFormat="1" applyFont="1">
      <alignment horizontal="center" vertical="center"/>
    </xf>
    <xf numFmtId="276" fontId="219" fillId="63" borderId="440" xfId="42" applyNumberFormat="1" applyFont="1">
      <alignment horizontal="center" vertical="center"/>
    </xf>
    <xf numFmtId="0" fontId="220" fillId="64" borderId="455" xfId="28" applyFont="1" applyBorder="1">
      <alignment vertical="center"/>
    </xf>
    <xf numFmtId="265" fontId="220" fillId="0" borderId="496" xfId="29" applyNumberFormat="1" applyFont="1" applyBorder="1">
      <alignment vertical="center"/>
    </xf>
    <xf numFmtId="265" fontId="220" fillId="0" borderId="501" xfId="35" applyNumberFormat="1" applyFont="1" applyBorder="1">
      <alignment vertical="center"/>
    </xf>
    <xf numFmtId="0" fontId="220" fillId="64" borderId="498" xfId="28" applyFont="1" applyBorder="1">
      <alignment vertical="center"/>
    </xf>
    <xf numFmtId="265" fontId="220" fillId="0" borderId="499" xfId="29" applyNumberFormat="1" applyFont="1" applyBorder="1">
      <alignment vertical="center"/>
    </xf>
    <xf numFmtId="265" fontId="220" fillId="0" borderId="500" xfId="35" applyNumberFormat="1" applyFont="1" applyBorder="1">
      <alignment vertical="center"/>
    </xf>
    <xf numFmtId="0" fontId="220" fillId="64" borderId="447" xfId="28" applyFont="1">
      <alignment vertical="center"/>
    </xf>
    <xf numFmtId="265" fontId="220" fillId="0" borderId="439" xfId="29" applyNumberFormat="1" applyFont="1">
      <alignment vertical="center"/>
    </xf>
    <xf numFmtId="265" fontId="220" fillId="0" borderId="440" xfId="35" applyNumberFormat="1" applyFont="1">
      <alignment vertical="center"/>
    </xf>
    <xf numFmtId="3" fontId="220" fillId="0" borderId="499" xfId="29" applyNumberFormat="1" applyFont="1" applyBorder="1">
      <alignment vertical="center"/>
    </xf>
    <xf numFmtId="3" fontId="220" fillId="0" borderId="500" xfId="35" applyNumberFormat="1" applyFont="1" applyBorder="1">
      <alignment vertical="center"/>
    </xf>
    <xf numFmtId="3" fontId="220" fillId="0" borderId="440" xfId="35" applyNumberFormat="1" applyFont="1">
      <alignment vertical="center"/>
    </xf>
    <xf numFmtId="272" fontId="220" fillId="0" borderId="496" xfId="29" applyNumberFormat="1" applyFont="1" applyBorder="1">
      <alignment vertical="center"/>
    </xf>
    <xf numFmtId="272" fontId="220" fillId="0" borderId="501" xfId="35" applyNumberFormat="1" applyFont="1" applyBorder="1">
      <alignment vertical="center"/>
    </xf>
    <xf numFmtId="272" fontId="220" fillId="0" borderId="499" xfId="29" applyNumberFormat="1" applyFont="1" applyBorder="1">
      <alignment vertical="center"/>
    </xf>
    <xf numFmtId="272" fontId="220" fillId="0" borderId="500" xfId="35" applyNumberFormat="1" applyFont="1" applyBorder="1">
      <alignment vertical="center"/>
    </xf>
    <xf numFmtId="0" fontId="216" fillId="0" borderId="500" xfId="35" applyBorder="1">
      <alignment vertical="center"/>
    </xf>
    <xf numFmtId="0" fontId="216" fillId="0" borderId="501" xfId="35" applyBorder="1">
      <alignment vertical="center"/>
    </xf>
    <xf numFmtId="0" fontId="216" fillId="0" borderId="504" xfId="35" applyBorder="1">
      <alignment vertical="center"/>
    </xf>
    <xf numFmtId="262" fontId="216" fillId="0" borderId="499" xfId="29" applyNumberFormat="1" applyBorder="1">
      <alignment vertical="center"/>
    </xf>
    <xf numFmtId="0" fontId="216" fillId="64" borderId="502" xfId="28" applyBorder="1" applyAlignment="1">
      <alignment horizontal="left" vertical="center" indent="1"/>
    </xf>
    <xf numFmtId="262" fontId="216" fillId="0" borderId="496" xfId="29" applyNumberFormat="1" applyBorder="1">
      <alignment vertical="center"/>
    </xf>
    <xf numFmtId="10" fontId="69" fillId="37" borderId="308" xfId="0" applyNumberFormat="1" applyFont="1" applyFill="1" applyBorder="1" applyAlignment="1">
      <alignment horizontal="right" vertical="center" wrapText="1"/>
    </xf>
    <xf numFmtId="10" fontId="68" fillId="37" borderId="308" xfId="0" applyNumberFormat="1" applyFont="1" applyFill="1" applyBorder="1" applyAlignment="1">
      <alignment horizontal="right" vertical="center" wrapText="1" readingOrder="1"/>
    </xf>
    <xf numFmtId="186" fontId="69" fillId="37" borderId="305" xfId="0" applyNumberFormat="1" applyFont="1" applyFill="1" applyBorder="1" applyAlignment="1">
      <alignment horizontal="right" vertical="center" wrapText="1"/>
    </xf>
    <xf numFmtId="186" fontId="69" fillId="37" borderId="309" xfId="0" applyNumberFormat="1" applyFont="1" applyFill="1" applyBorder="1" applyAlignment="1">
      <alignment horizontal="right" vertical="center" wrapText="1"/>
    </xf>
    <xf numFmtId="262" fontId="23" fillId="0" borderId="0" xfId="0" applyNumberFormat="1" applyFont="1">
      <alignment vertical="center"/>
    </xf>
    <xf numFmtId="0" fontId="11" fillId="0" borderId="0" xfId="25" applyFont="1">
      <alignment vertical="center"/>
    </xf>
    <xf numFmtId="0" fontId="16" fillId="0" borderId="0" xfId="25" applyFont="1" applyAlignment="1">
      <alignment horizontal="center" vertical="center"/>
    </xf>
    <xf numFmtId="270" fontId="196" fillId="30" borderId="0" xfId="25" applyNumberFormat="1" applyFont="1" applyFill="1">
      <alignment vertical="center"/>
    </xf>
    <xf numFmtId="2" fontId="196" fillId="0" borderId="0" xfId="25" applyNumberFormat="1" applyFont="1">
      <alignment vertical="center"/>
    </xf>
    <xf numFmtId="272" fontId="196" fillId="30" borderId="0" xfId="25" applyNumberFormat="1" applyFont="1" applyFill="1">
      <alignment vertical="center"/>
    </xf>
    <xf numFmtId="0" fontId="237" fillId="0" borderId="0" xfId="0" applyFont="1">
      <alignment vertical="center"/>
    </xf>
    <xf numFmtId="10" fontId="196" fillId="29" borderId="0" xfId="25" applyNumberFormat="1" applyFont="1" applyFill="1">
      <alignment vertical="center"/>
    </xf>
    <xf numFmtId="265" fontId="216" fillId="29" borderId="453" xfId="25" applyNumberFormat="1" applyFont="1" applyFill="1" applyBorder="1">
      <alignment vertical="center"/>
    </xf>
    <xf numFmtId="265" fontId="11" fillId="0" borderId="0" xfId="25" applyNumberFormat="1" applyFont="1">
      <alignment vertical="center"/>
    </xf>
    <xf numFmtId="265" fontId="196" fillId="0" borderId="77" xfId="25" applyNumberFormat="1" applyFont="1" applyBorder="1">
      <alignment vertical="center"/>
    </xf>
    <xf numFmtId="0" fontId="196" fillId="0" borderId="209" xfId="25" applyFont="1" applyBorder="1" applyAlignment="1">
      <alignment horizontal="center" vertical="center"/>
    </xf>
    <xf numFmtId="0" fontId="11" fillId="0" borderId="209" xfId="25" applyFont="1" applyBorder="1" applyAlignment="1">
      <alignment horizontal="center" vertical="center"/>
    </xf>
    <xf numFmtId="0" fontId="196" fillId="0" borderId="210" xfId="25" applyFont="1" applyBorder="1" applyAlignment="1">
      <alignment horizontal="center" vertical="center"/>
    </xf>
    <xf numFmtId="265" fontId="196" fillId="0" borderId="107" xfId="25" applyNumberFormat="1" applyFont="1" applyBorder="1">
      <alignment vertical="center"/>
    </xf>
    <xf numFmtId="265" fontId="196" fillId="0" borderId="78" xfId="25" applyNumberFormat="1" applyFont="1" applyBorder="1">
      <alignment vertical="center"/>
    </xf>
    <xf numFmtId="265" fontId="218" fillId="29" borderId="453" xfId="25" applyNumberFormat="1" applyFont="1" applyFill="1" applyBorder="1">
      <alignment vertical="center"/>
    </xf>
    <xf numFmtId="265" fontId="216" fillId="20" borderId="453" xfId="25" applyNumberFormat="1" applyFont="1" applyFill="1" applyBorder="1">
      <alignment vertical="center"/>
    </xf>
    <xf numFmtId="3" fontId="69" fillId="37" borderId="308" xfId="0" applyNumberFormat="1" applyFont="1" applyFill="1" applyBorder="1" applyAlignment="1">
      <alignment vertical="center" wrapText="1"/>
    </xf>
    <xf numFmtId="278" fontId="219" fillId="63" borderId="439" xfId="27" applyNumberFormat="1" applyFont="1">
      <alignment horizontal="center" vertical="center"/>
    </xf>
    <xf numFmtId="278" fontId="219" fillId="63" borderId="440" xfId="27" applyNumberFormat="1" applyFont="1" applyBorder="1">
      <alignment horizontal="center" vertical="center"/>
    </xf>
    <xf numFmtId="265" fontId="216" fillId="0" borderId="0" xfId="29" applyNumberFormat="1" applyBorder="1">
      <alignment vertical="center"/>
    </xf>
    <xf numFmtId="270" fontId="216" fillId="0" borderId="503" xfId="29" applyNumberFormat="1" applyBorder="1">
      <alignment vertical="center"/>
    </xf>
    <xf numFmtId="265" fontId="23" fillId="0" borderId="222" xfId="0" applyNumberFormat="1" applyFont="1" applyBorder="1">
      <alignment vertical="center"/>
    </xf>
    <xf numFmtId="265" fontId="23" fillId="0" borderId="0" xfId="0" applyNumberFormat="1" applyFont="1">
      <alignment vertical="center"/>
    </xf>
    <xf numFmtId="265" fontId="12" fillId="15" borderId="0" xfId="0" applyNumberFormat="1" applyFont="1" applyFill="1">
      <alignment vertical="center"/>
    </xf>
    <xf numFmtId="265" fontId="11" fillId="0" borderId="0" xfId="0" applyNumberFormat="1" applyFont="1">
      <alignment vertical="center"/>
    </xf>
    <xf numFmtId="277" fontId="215" fillId="63" borderId="439" xfId="27" applyNumberFormat="1">
      <alignment horizontal="center" vertical="center"/>
    </xf>
    <xf numFmtId="277" fontId="215" fillId="63" borderId="440" xfId="27" applyNumberFormat="1" applyBorder="1">
      <alignment horizontal="center" vertical="center"/>
    </xf>
    <xf numFmtId="278" fontId="215" fillId="63" borderId="439" xfId="27" applyNumberFormat="1">
      <alignment horizontal="center" vertical="center"/>
    </xf>
    <xf numFmtId="278" fontId="215" fillId="63" borderId="440" xfId="27" applyNumberFormat="1" applyBorder="1">
      <alignment horizontal="center" vertical="center"/>
    </xf>
    <xf numFmtId="0" fontId="196" fillId="2" borderId="0" xfId="25" applyFont="1" applyFill="1">
      <alignment vertical="center"/>
    </xf>
    <xf numFmtId="265" fontId="224" fillId="0" borderId="0" xfId="25" applyNumberFormat="1" applyFont="1">
      <alignment vertical="center"/>
    </xf>
    <xf numFmtId="265" fontId="224" fillId="2" borderId="0" xfId="25" applyNumberFormat="1" applyFont="1" applyFill="1">
      <alignment vertical="center"/>
    </xf>
    <xf numFmtId="265" fontId="196" fillId="2" borderId="0" xfId="25" applyNumberFormat="1" applyFont="1" applyFill="1">
      <alignment vertical="center"/>
    </xf>
    <xf numFmtId="265" fontId="218" fillId="0" borderId="496" xfId="29" applyNumberFormat="1" applyFont="1" applyBorder="1">
      <alignment vertical="center"/>
    </xf>
    <xf numFmtId="0" fontId="220" fillId="64" borderId="447" xfId="28" applyFont="1" applyAlignment="1">
      <alignment horizontal="center" vertical="center"/>
    </xf>
    <xf numFmtId="272" fontId="220" fillId="0" borderId="439" xfId="29" applyNumberFormat="1" applyFont="1">
      <alignment vertical="center"/>
    </xf>
    <xf numFmtId="272" fontId="220" fillId="0" borderId="440" xfId="35" applyNumberFormat="1" applyFont="1">
      <alignment vertical="center"/>
    </xf>
    <xf numFmtId="279" fontId="220" fillId="64" borderId="447" xfId="28" applyNumberFormat="1" applyFont="1" applyAlignment="1">
      <alignment horizontal="center" vertical="center"/>
    </xf>
    <xf numFmtId="265" fontId="222" fillId="0" borderId="0" xfId="25" applyNumberFormat="1" applyFont="1">
      <alignment vertical="center"/>
    </xf>
    <xf numFmtId="0" fontId="177" fillId="37" borderId="159" xfId="0" applyFont="1" applyFill="1" applyBorder="1" applyAlignment="1">
      <alignment horizontal="justify" vertical="center" wrapText="1"/>
    </xf>
    <xf numFmtId="0" fontId="177" fillId="55" borderId="210" xfId="0" applyFont="1" applyFill="1" applyBorder="1" applyAlignment="1">
      <alignment vertical="center" wrapText="1"/>
    </xf>
    <xf numFmtId="0" fontId="177" fillId="37" borderId="142" xfId="0" applyFont="1" applyFill="1" applyBorder="1" applyAlignment="1">
      <alignment horizontal="justify" vertical="center" wrapText="1"/>
    </xf>
    <xf numFmtId="0" fontId="177" fillId="55" borderId="209" xfId="0" applyFont="1" applyFill="1" applyBorder="1" applyAlignment="1">
      <alignment vertical="center" wrapText="1"/>
    </xf>
    <xf numFmtId="0" fontId="176" fillId="53" borderId="210" xfId="0" applyFont="1" applyFill="1" applyBorder="1" applyAlignment="1">
      <alignment horizontal="center" vertical="center" wrapText="1"/>
    </xf>
    <xf numFmtId="258" fontId="178" fillId="0" borderId="210" xfId="0" applyNumberFormat="1" applyFont="1" applyBorder="1" applyAlignment="1">
      <alignment vertical="center" wrapText="1"/>
    </xf>
    <xf numFmtId="258" fontId="178" fillId="0" borderId="210" xfId="0" applyNumberFormat="1" applyFont="1" applyBorder="1" applyAlignment="1">
      <alignment wrapText="1"/>
    </xf>
    <xf numFmtId="258" fontId="178" fillId="54" borderId="210" xfId="0" applyNumberFormat="1" applyFont="1" applyFill="1" applyBorder="1" applyAlignment="1">
      <alignment wrapText="1"/>
    </xf>
    <xf numFmtId="2" fontId="177" fillId="55" borderId="210" xfId="0" applyNumberFormat="1" applyFont="1" applyFill="1" applyBorder="1" applyAlignment="1">
      <alignment horizontal="right" vertical="center" wrapText="1"/>
    </xf>
    <xf numFmtId="0" fontId="0" fillId="0" borderId="0" xfId="0" applyFill="1" applyBorder="1">
      <alignment vertical="center"/>
    </xf>
    <xf numFmtId="0" fontId="176" fillId="0" borderId="0" xfId="0" applyFont="1" applyFill="1" applyBorder="1" applyAlignment="1">
      <alignment horizontal="center" vertical="center" wrapText="1"/>
    </xf>
    <xf numFmtId="0" fontId="177" fillId="0" borderId="0" xfId="0" applyFont="1" applyFill="1" applyBorder="1" applyAlignment="1">
      <alignment horizontal="justify" vertical="center" wrapText="1"/>
    </xf>
    <xf numFmtId="0" fontId="178" fillId="0" borderId="0" xfId="0" applyFont="1" applyFill="1" applyBorder="1" applyAlignment="1">
      <alignment horizontal="justify" vertical="center" wrapText="1"/>
    </xf>
    <xf numFmtId="0" fontId="178" fillId="0" borderId="0" xfId="0" applyFont="1" applyFill="1" applyBorder="1" applyAlignment="1">
      <alignment horizontal="left" vertical="center" wrapText="1"/>
    </xf>
    <xf numFmtId="0" fontId="181" fillId="0" borderId="0" xfId="0" applyFont="1" applyFill="1" applyBorder="1" applyAlignment="1">
      <alignment horizontal="left" vertical="center" wrapText="1"/>
    </xf>
    <xf numFmtId="0" fontId="177" fillId="0" borderId="0" xfId="0" applyFont="1" applyFill="1" applyBorder="1" applyAlignment="1">
      <alignment horizontal="left" vertical="center" wrapText="1"/>
    </xf>
    <xf numFmtId="0" fontId="177" fillId="0" borderId="0" xfId="0" applyFont="1" applyFill="1" applyBorder="1" applyAlignment="1">
      <alignment vertical="center" wrapText="1"/>
    </xf>
    <xf numFmtId="256" fontId="176" fillId="53" borderId="142" xfId="0" applyNumberFormat="1" applyFont="1" applyFill="1" applyBorder="1" applyAlignment="1">
      <alignment horizontal="center" vertical="center" wrapText="1"/>
    </xf>
    <xf numFmtId="0" fontId="177" fillId="37" borderId="159" xfId="0" applyFont="1" applyFill="1" applyBorder="1" applyAlignment="1">
      <alignment horizontal="right" vertical="center" wrapText="1"/>
    </xf>
    <xf numFmtId="0" fontId="177" fillId="55" borderId="210" xfId="0" applyFont="1" applyFill="1" applyBorder="1" applyAlignment="1">
      <alignment horizontal="right" vertical="center" wrapText="1"/>
    </xf>
    <xf numFmtId="258" fontId="177" fillId="0" borderId="159" xfId="0" applyNumberFormat="1" applyFont="1" applyBorder="1" applyAlignment="1">
      <alignment vertical="center" wrapText="1"/>
    </xf>
    <xf numFmtId="0" fontId="115" fillId="0" borderId="0" xfId="0" applyFont="1">
      <alignment vertical="center"/>
    </xf>
    <xf numFmtId="0" fontId="177" fillId="37" borderId="0" xfId="0" applyFont="1" applyFill="1" applyBorder="1" applyAlignment="1">
      <alignment horizontal="justify" vertical="center" wrapText="1"/>
    </xf>
    <xf numFmtId="0" fontId="177" fillId="55" borderId="0" xfId="0" applyFont="1" applyFill="1" applyBorder="1" applyAlignment="1">
      <alignment vertical="center" wrapText="1"/>
    </xf>
    <xf numFmtId="14" fontId="108" fillId="0" borderId="0" xfId="0" applyNumberFormat="1" applyFont="1">
      <alignment vertical="center"/>
    </xf>
    <xf numFmtId="0" fontId="238" fillId="53" borderId="159" xfId="0" applyFont="1" applyFill="1" applyBorder="1" applyAlignment="1">
      <alignment horizontal="center" vertical="center" wrapText="1"/>
    </xf>
    <xf numFmtId="3" fontId="238" fillId="0" borderId="159" xfId="0" applyNumberFormat="1" applyFont="1" applyBorder="1" applyAlignment="1">
      <alignment horizontal="right" vertical="center" wrapText="1"/>
    </xf>
    <xf numFmtId="3" fontId="239" fillId="0" borderId="159" xfId="0" applyNumberFormat="1" applyFont="1" applyBorder="1" applyAlignment="1">
      <alignment horizontal="right" vertical="center" wrapText="1"/>
    </xf>
    <xf numFmtId="258" fontId="238" fillId="54" borderId="159" xfId="0" applyNumberFormat="1" applyFont="1" applyFill="1" applyBorder="1" applyAlignment="1">
      <alignment vertical="center" wrapText="1"/>
    </xf>
    <xf numFmtId="3" fontId="238" fillId="37" borderId="159" xfId="0" applyNumberFormat="1" applyFont="1" applyFill="1" applyBorder="1" applyAlignment="1">
      <alignment horizontal="right" vertical="center" wrapText="1"/>
    </xf>
    <xf numFmtId="258" fontId="238" fillId="37" borderId="159" xfId="0" applyNumberFormat="1" applyFont="1" applyFill="1" applyBorder="1" applyAlignment="1">
      <alignment vertical="center" wrapText="1"/>
    </xf>
    <xf numFmtId="0" fontId="238" fillId="37" borderId="159" xfId="0" applyFont="1" applyFill="1" applyBorder="1" applyAlignment="1">
      <alignment horizontal="right" vertical="center" wrapText="1"/>
    </xf>
    <xf numFmtId="2" fontId="238" fillId="55" borderId="159" xfId="0" applyNumberFormat="1" applyFont="1" applyFill="1" applyBorder="1" applyAlignment="1">
      <alignment horizontal="right" vertical="center" wrapText="1"/>
    </xf>
    <xf numFmtId="0" fontId="179" fillId="0" borderId="131" xfId="0" applyFont="1" applyBorder="1" applyAlignment="1">
      <alignment horizontal="justify" vertical="center" wrapText="1"/>
    </xf>
    <xf numFmtId="0" fontId="178" fillId="0" borderId="131" xfId="0" applyFont="1" applyBorder="1" applyAlignment="1">
      <alignment horizontal="justify" vertical="center" wrapText="1"/>
    </xf>
    <xf numFmtId="3" fontId="239" fillId="0" borderId="131" xfId="0" applyNumberFormat="1" applyFont="1" applyBorder="1" applyAlignment="1">
      <alignment horizontal="right" vertical="center" wrapText="1"/>
    </xf>
    <xf numFmtId="258" fontId="178" fillId="0" borderId="131" xfId="0" applyNumberFormat="1" applyFont="1" applyBorder="1" applyAlignment="1">
      <alignment vertical="center" wrapText="1"/>
    </xf>
    <xf numFmtId="258" fontId="178" fillId="0" borderId="137" xfId="0" applyNumberFormat="1" applyFont="1" applyBorder="1" applyAlignment="1">
      <alignment vertical="center" wrapText="1"/>
    </xf>
    <xf numFmtId="0" fontId="0" fillId="0" borderId="0" xfId="0" applyBorder="1">
      <alignment vertical="center"/>
    </xf>
    <xf numFmtId="0" fontId="179" fillId="0" borderId="148" xfId="0" applyFont="1" applyBorder="1" applyAlignment="1">
      <alignment horizontal="justify" vertical="center" wrapText="1"/>
    </xf>
    <xf numFmtId="0" fontId="178" fillId="0" borderId="148" xfId="0" applyFont="1" applyBorder="1" applyAlignment="1">
      <alignment horizontal="justify" vertical="center" wrapText="1"/>
    </xf>
    <xf numFmtId="3" fontId="239" fillId="0" borderId="148" xfId="0" applyNumberFormat="1" applyFont="1" applyBorder="1" applyAlignment="1">
      <alignment horizontal="right" vertical="center" wrapText="1"/>
    </xf>
    <xf numFmtId="258" fontId="178" fillId="0" borderId="148" xfId="0" applyNumberFormat="1" applyFont="1" applyBorder="1" applyAlignment="1">
      <alignment vertical="center" wrapText="1"/>
    </xf>
    <xf numFmtId="258" fontId="178" fillId="0" borderId="107" xfId="0" applyNumberFormat="1" applyFont="1" applyBorder="1" applyAlignment="1">
      <alignment vertical="center" wrapText="1"/>
    </xf>
    <xf numFmtId="0" fontId="179" fillId="0" borderId="158" xfId="0" applyFont="1" applyBorder="1" applyAlignment="1">
      <alignment horizontal="justify" vertical="center" wrapText="1"/>
    </xf>
    <xf numFmtId="0" fontId="178" fillId="0" borderId="158" xfId="0" applyFont="1" applyBorder="1" applyAlignment="1">
      <alignment horizontal="justify" vertical="center" wrapText="1"/>
    </xf>
    <xf numFmtId="3" fontId="239" fillId="0" borderId="158" xfId="0" applyNumberFormat="1" applyFont="1" applyBorder="1" applyAlignment="1">
      <alignment horizontal="right" vertical="center" wrapText="1"/>
    </xf>
    <xf numFmtId="258" fontId="178" fillId="0" borderId="158" xfId="0" applyNumberFormat="1" applyFont="1" applyBorder="1" applyAlignment="1">
      <alignment vertical="center" wrapText="1"/>
    </xf>
    <xf numFmtId="258" fontId="178" fillId="0" borderId="78" xfId="0" applyNumberFormat="1" applyFont="1" applyBorder="1" applyAlignment="1">
      <alignment vertical="center" wrapText="1"/>
    </xf>
    <xf numFmtId="3" fontId="182" fillId="0" borderId="131" xfId="0" applyNumberFormat="1" applyFont="1" applyBorder="1" applyAlignment="1">
      <alignment horizontal="center" vertical="center" wrapText="1"/>
    </xf>
    <xf numFmtId="0" fontId="178" fillId="0" borderId="131" xfId="0" applyFont="1" applyBorder="1" applyAlignment="1">
      <alignment horizontal="left" vertical="center" wrapText="1"/>
    </xf>
    <xf numFmtId="258" fontId="178" fillId="0" borderId="137" xfId="0" applyNumberFormat="1" applyFont="1" applyBorder="1" applyAlignment="1">
      <alignment wrapText="1"/>
    </xf>
    <xf numFmtId="3" fontId="182" fillId="0" borderId="148" xfId="0" applyNumberFormat="1" applyFont="1" applyBorder="1" applyAlignment="1">
      <alignment horizontal="center" vertical="center" wrapText="1"/>
    </xf>
    <xf numFmtId="0" fontId="178" fillId="0" borderId="148" xfId="0" applyFont="1" applyBorder="1" applyAlignment="1">
      <alignment horizontal="left" vertical="center" wrapText="1"/>
    </xf>
    <xf numFmtId="258" fontId="178" fillId="0" borderId="107" xfId="0" applyNumberFormat="1" applyFont="1" applyBorder="1" applyAlignment="1">
      <alignment wrapText="1"/>
    </xf>
    <xf numFmtId="0" fontId="239" fillId="0" borderId="148" xfId="0" applyFont="1" applyBorder="1" applyAlignment="1">
      <alignment horizontal="right" vertical="center" wrapText="1"/>
    </xf>
    <xf numFmtId="258" fontId="178" fillId="0" borderId="148" xfId="0" applyNumberFormat="1" applyFont="1" applyBorder="1" applyAlignment="1">
      <alignment wrapText="1"/>
    </xf>
    <xf numFmtId="3" fontId="182" fillId="0" borderId="158" xfId="0" applyNumberFormat="1" applyFont="1" applyBorder="1" applyAlignment="1">
      <alignment horizontal="center" vertical="center" wrapText="1"/>
    </xf>
    <xf numFmtId="0" fontId="178" fillId="0" borderId="158" xfId="0" applyFont="1" applyBorder="1" applyAlignment="1">
      <alignment horizontal="left" vertical="center" wrapText="1"/>
    </xf>
    <xf numFmtId="0" fontId="239" fillId="0" borderId="158" xfId="0" applyFont="1" applyBorder="1" applyAlignment="1">
      <alignment horizontal="right" vertical="center" wrapText="1"/>
    </xf>
    <xf numFmtId="258" fontId="178" fillId="0" borderId="78" xfId="0" applyNumberFormat="1" applyFont="1" applyBorder="1" applyAlignment="1">
      <alignment wrapText="1"/>
    </xf>
    <xf numFmtId="0" fontId="0" fillId="0" borderId="0" xfId="0" applyAlignment="1">
      <alignment horizontal="center" vertical="center"/>
    </xf>
    <xf numFmtId="41" fontId="150" fillId="11" borderId="0" xfId="10" applyFont="1" applyFill="1" applyAlignment="1">
      <alignment vertical="center"/>
    </xf>
    <xf numFmtId="41" fontId="150" fillId="11" borderId="0" xfId="21" applyNumberFormat="1" applyFont="1" applyFill="1" applyAlignment="1">
      <alignment vertical="center"/>
    </xf>
    <xf numFmtId="0" fontId="240" fillId="67" borderId="0" xfId="0" applyFont="1" applyFill="1">
      <alignment vertical="center"/>
    </xf>
    <xf numFmtId="10" fontId="184" fillId="53" borderId="507" xfId="0" applyNumberFormat="1" applyFont="1" applyFill="1" applyBorder="1" applyAlignment="1">
      <alignment horizontal="center" vertical="center" wrapText="1"/>
    </xf>
    <xf numFmtId="10" fontId="184" fillId="53" borderId="508" xfId="0" applyNumberFormat="1" applyFont="1" applyFill="1" applyBorder="1" applyAlignment="1">
      <alignment horizontal="center" vertical="center" wrapText="1"/>
    </xf>
    <xf numFmtId="10" fontId="184" fillId="53" borderId="429" xfId="0" applyNumberFormat="1" applyFont="1" applyFill="1" applyBorder="1" applyAlignment="1">
      <alignment horizontal="center" vertical="center" wrapText="1"/>
    </xf>
    <xf numFmtId="10" fontId="184" fillId="53" borderId="431" xfId="0" applyNumberFormat="1" applyFont="1" applyFill="1" applyBorder="1" applyAlignment="1">
      <alignment horizontal="center" vertical="center" wrapText="1"/>
    </xf>
    <xf numFmtId="0" fontId="184" fillId="53" borderId="0" xfId="0" applyFont="1" applyFill="1" applyAlignment="1">
      <alignment vertical="center" wrapText="1"/>
    </xf>
    <xf numFmtId="0" fontId="184" fillId="53" borderId="425" xfId="0" applyFont="1" applyFill="1" applyBorder="1" applyAlignment="1">
      <alignment vertical="center" wrapText="1"/>
    </xf>
    <xf numFmtId="0" fontId="184" fillId="53" borderId="505" xfId="0" applyFont="1" applyFill="1" applyBorder="1" applyAlignment="1">
      <alignment vertical="center" wrapText="1"/>
    </xf>
    <xf numFmtId="4" fontId="184" fillId="53" borderId="424" xfId="0" applyNumberFormat="1" applyFont="1" applyFill="1" applyBorder="1" applyAlignment="1">
      <alignment vertical="center" wrapText="1"/>
    </xf>
    <xf numFmtId="4" fontId="241" fillId="0" borderId="507" xfId="0" applyNumberFormat="1" applyFont="1" applyBorder="1" applyAlignment="1">
      <alignment horizontal="center" vertical="center" wrapText="1"/>
    </xf>
    <xf numFmtId="4" fontId="241" fillId="0" borderId="508" xfId="0" applyNumberFormat="1" applyFont="1" applyBorder="1" applyAlignment="1">
      <alignment horizontal="center" vertical="center" wrapText="1"/>
    </xf>
    <xf numFmtId="4" fontId="241" fillId="11" borderId="507" xfId="0" applyNumberFormat="1" applyFont="1" applyFill="1" applyBorder="1" applyAlignment="1">
      <alignment horizontal="center" vertical="center" wrapText="1"/>
    </xf>
    <xf numFmtId="0" fontId="144" fillId="0" borderId="0" xfId="0" applyFont="1" applyAlignment="1">
      <alignment horizontal="center" vertical="center"/>
    </xf>
    <xf numFmtId="0" fontId="144" fillId="6" borderId="0" xfId="0" applyFont="1" applyFill="1" applyAlignment="1">
      <alignment horizontal="center" vertical="center"/>
    </xf>
    <xf numFmtId="258" fontId="178" fillId="13" borderId="159" xfId="0" applyNumberFormat="1" applyFont="1" applyFill="1" applyBorder="1" applyAlignment="1">
      <alignment vertical="center" wrapText="1"/>
    </xf>
    <xf numFmtId="265" fontId="220" fillId="13" borderId="458" xfId="25" applyNumberFormat="1" applyFont="1" applyFill="1" applyBorder="1">
      <alignment vertical="center"/>
    </xf>
    <xf numFmtId="265" fontId="220" fillId="13" borderId="461" xfId="25" applyNumberFormat="1" applyFont="1" applyFill="1" applyBorder="1">
      <alignment vertical="center"/>
    </xf>
    <xf numFmtId="258" fontId="178" fillId="13" borderId="159" xfId="0" applyNumberFormat="1" applyFont="1" applyFill="1" applyBorder="1" applyAlignment="1">
      <alignment wrapText="1"/>
    </xf>
    <xf numFmtId="258" fontId="0" fillId="0" borderId="0" xfId="0" applyNumberFormat="1" applyAlignment="1">
      <alignment horizontal="right" vertical="center"/>
    </xf>
    <xf numFmtId="280" fontId="0" fillId="0" borderId="0" xfId="0" applyNumberFormat="1" applyAlignment="1">
      <alignment horizontal="right" vertical="center"/>
    </xf>
    <xf numFmtId="49" fontId="23" fillId="0" borderId="25" xfId="0" applyNumberFormat="1" applyFont="1" applyBorder="1">
      <alignment vertical="center"/>
    </xf>
    <xf numFmtId="49" fontId="23" fillId="0" borderId="0" xfId="0" applyNumberFormat="1" applyFont="1">
      <alignment vertical="center"/>
    </xf>
    <xf numFmtId="49" fontId="23" fillId="0" borderId="77" xfId="0" applyNumberFormat="1" applyFont="1" applyBorder="1">
      <alignment vertical="center"/>
    </xf>
    <xf numFmtId="284" fontId="23" fillId="0" borderId="25" xfId="0" applyNumberFormat="1" applyFont="1" applyBorder="1">
      <alignment vertical="center"/>
    </xf>
    <xf numFmtId="284" fontId="23" fillId="0" borderId="0" xfId="0" applyNumberFormat="1" applyFont="1">
      <alignment vertical="center"/>
    </xf>
    <xf numFmtId="284" fontId="23" fillId="0" borderId="77" xfId="0" applyNumberFormat="1" applyFont="1" applyBorder="1">
      <alignment vertical="center"/>
    </xf>
    <xf numFmtId="285" fontId="23" fillId="0" borderId="25" xfId="0" applyNumberFormat="1" applyFont="1" applyBorder="1">
      <alignment vertical="center"/>
    </xf>
    <xf numFmtId="285" fontId="23" fillId="0" borderId="0" xfId="0" applyNumberFormat="1" applyFont="1">
      <alignment vertical="center"/>
    </xf>
    <xf numFmtId="285" fontId="23" fillId="0" borderId="77" xfId="0" applyNumberFormat="1" applyFont="1" applyBorder="1">
      <alignment vertical="center"/>
    </xf>
    <xf numFmtId="3" fontId="23" fillId="0" borderId="0" xfId="0" applyNumberFormat="1" applyFont="1" applyBorder="1">
      <alignment vertical="center"/>
    </xf>
    <xf numFmtId="192" fontId="23" fillId="0" borderId="25" xfId="0" applyNumberFormat="1" applyFont="1" applyBorder="1" applyAlignment="1">
      <alignment horizontal="right" vertical="center"/>
    </xf>
    <xf numFmtId="192" fontId="23" fillId="0" borderId="0" xfId="0" applyNumberFormat="1" applyFont="1" applyBorder="1" applyAlignment="1">
      <alignment horizontal="right" vertical="center"/>
    </xf>
    <xf numFmtId="192" fontId="23" fillId="0" borderId="77" xfId="0" applyNumberFormat="1" applyFont="1" applyBorder="1" applyAlignment="1">
      <alignment horizontal="right" vertical="center"/>
    </xf>
    <xf numFmtId="192" fontId="23" fillId="0" borderId="0" xfId="0" applyNumberFormat="1" applyFont="1" applyAlignment="1">
      <alignment horizontal="right" vertical="center"/>
    </xf>
    <xf numFmtId="0" fontId="11" fillId="0" borderId="77" xfId="0" applyFont="1" applyBorder="1" applyAlignment="1">
      <alignment horizontal="center" vertical="center"/>
    </xf>
    <xf numFmtId="9" fontId="11" fillId="0" borderId="77" xfId="0" applyNumberFormat="1" applyFont="1" applyBorder="1">
      <alignment vertical="center"/>
    </xf>
    <xf numFmtId="0" fontId="242" fillId="0" borderId="63" xfId="0" applyFont="1" applyBorder="1" applyAlignment="1">
      <alignment horizontal="right" vertical="center"/>
    </xf>
    <xf numFmtId="0" fontId="242" fillId="0" borderId="240" xfId="0" applyFont="1" applyBorder="1">
      <alignment vertical="center"/>
    </xf>
    <xf numFmtId="3" fontId="15" fillId="0" borderId="0" xfId="0" applyNumberFormat="1" applyFont="1">
      <alignment vertical="center"/>
    </xf>
    <xf numFmtId="285" fontId="23" fillId="0" borderId="0" xfId="0" applyNumberFormat="1" applyFont="1" applyAlignment="1">
      <alignment horizontal="right" vertical="center"/>
    </xf>
    <xf numFmtId="10" fontId="23" fillId="0" borderId="0" xfId="0" applyNumberFormat="1" applyFont="1" applyAlignment="1">
      <alignment horizontal="right" vertical="center"/>
    </xf>
    <xf numFmtId="176" fontId="14" fillId="8" borderId="10" xfId="0" applyNumberFormat="1" applyFont="1" applyFill="1" applyBorder="1" applyAlignment="1">
      <alignment horizontal="right" vertical="center"/>
    </xf>
    <xf numFmtId="176" fontId="14" fillId="8" borderId="7" xfId="0" applyNumberFormat="1" applyFont="1" applyFill="1" applyBorder="1" applyAlignment="1">
      <alignment horizontal="right" vertical="center"/>
    </xf>
    <xf numFmtId="0" fontId="12" fillId="0" borderId="0" xfId="0" applyFont="1">
      <alignment vertical="center"/>
    </xf>
    <xf numFmtId="271" fontId="216" fillId="8" borderId="448" xfId="25" applyNumberFormat="1" applyFont="1" applyFill="1" applyBorder="1" applyAlignment="1">
      <alignment horizontal="left" vertical="center"/>
    </xf>
    <xf numFmtId="269" fontId="216" fillId="8" borderId="448" xfId="25" applyNumberFormat="1" applyFont="1" applyFill="1" applyBorder="1" applyAlignment="1">
      <alignment horizontal="center" vertical="center"/>
    </xf>
    <xf numFmtId="265" fontId="216" fillId="8" borderId="453" xfId="25" applyNumberFormat="1" applyFont="1" applyFill="1" applyBorder="1">
      <alignment vertical="center"/>
    </xf>
    <xf numFmtId="270" fontId="216" fillId="8" borderId="454" xfId="25" applyNumberFormat="1" applyFont="1" applyFill="1" applyBorder="1">
      <alignment vertical="center"/>
    </xf>
    <xf numFmtId="176" fontId="11" fillId="8" borderId="288" xfId="0" applyNumberFormat="1" applyFont="1" applyFill="1" applyBorder="1">
      <alignment vertical="center"/>
    </xf>
    <xf numFmtId="0" fontId="11" fillId="29" borderId="0" xfId="0" applyFont="1" applyFill="1">
      <alignment vertical="center"/>
    </xf>
    <xf numFmtId="41" fontId="11" fillId="0" borderId="4" xfId="10" applyFont="1" applyBorder="1">
      <alignment vertical="center"/>
    </xf>
    <xf numFmtId="0" fontId="11" fillId="29" borderId="246" xfId="0" applyFont="1" applyFill="1" applyBorder="1">
      <alignment vertical="center"/>
    </xf>
    <xf numFmtId="0" fontId="11" fillId="29" borderId="247" xfId="0" applyFont="1" applyFill="1" applyBorder="1">
      <alignment vertical="center"/>
    </xf>
    <xf numFmtId="0" fontId="11" fillId="29" borderId="6" xfId="0" applyFont="1" applyFill="1" applyBorder="1">
      <alignment vertical="center"/>
    </xf>
    <xf numFmtId="0" fontId="11" fillId="29" borderId="81" xfId="0" applyFont="1" applyFill="1" applyBorder="1">
      <alignment vertical="center"/>
    </xf>
    <xf numFmtId="0" fontId="11" fillId="29" borderId="77" xfId="0" applyFont="1" applyFill="1" applyBorder="1">
      <alignment vertical="center"/>
    </xf>
    <xf numFmtId="14" fontId="11" fillId="29" borderId="0" xfId="0" applyNumberFormat="1" applyFont="1" applyFill="1">
      <alignment vertical="center"/>
    </xf>
    <xf numFmtId="176" fontId="11" fillId="29" borderId="0" xfId="0" applyNumberFormat="1" applyFont="1" applyFill="1">
      <alignment vertical="center"/>
    </xf>
    <xf numFmtId="176" fontId="11" fillId="29" borderId="7" xfId="0" applyNumberFormat="1" applyFont="1" applyFill="1" applyBorder="1">
      <alignment vertical="center"/>
    </xf>
    <xf numFmtId="0" fontId="16" fillId="0" borderId="0" xfId="25" applyFont="1">
      <alignment vertical="center"/>
    </xf>
    <xf numFmtId="0" fontId="196" fillId="0" borderId="77" xfId="25" applyFont="1" applyBorder="1">
      <alignment vertical="center"/>
    </xf>
    <xf numFmtId="0" fontId="11" fillId="54" borderId="209" xfId="25" applyFont="1" applyFill="1" applyBorder="1" applyAlignment="1">
      <alignment horizontal="center" vertical="center"/>
    </xf>
    <xf numFmtId="0" fontId="11" fillId="54" borderId="210" xfId="25" applyFont="1" applyFill="1" applyBorder="1" applyAlignment="1">
      <alignment horizontal="center" vertical="center"/>
    </xf>
    <xf numFmtId="269" fontId="196" fillId="0" borderId="107" xfId="25" applyNumberFormat="1" applyFont="1" applyBorder="1">
      <alignment vertical="center"/>
    </xf>
    <xf numFmtId="269" fontId="196" fillId="0" borderId="78" xfId="25" applyNumberFormat="1" applyFont="1" applyBorder="1">
      <alignment vertical="center"/>
    </xf>
    <xf numFmtId="0" fontId="16" fillId="0" borderId="209" xfId="25" applyFont="1" applyBorder="1">
      <alignment vertical="center"/>
    </xf>
    <xf numFmtId="0" fontId="16" fillId="0" borderId="210" xfId="25" applyFont="1" applyBorder="1">
      <alignment vertical="center"/>
    </xf>
    <xf numFmtId="265" fontId="16" fillId="0" borderId="209" xfId="25" applyNumberFormat="1" applyFont="1" applyBorder="1">
      <alignment vertical="center"/>
    </xf>
    <xf numFmtId="265" fontId="16" fillId="0" borderId="210" xfId="25" applyNumberFormat="1" applyFont="1" applyBorder="1">
      <alignment vertical="center"/>
    </xf>
    <xf numFmtId="265" fontId="196" fillId="0" borderId="209" xfId="25" applyNumberFormat="1" applyFont="1" applyBorder="1">
      <alignment vertical="center"/>
    </xf>
    <xf numFmtId="269" fontId="196" fillId="0" borderId="0" xfId="25" applyNumberFormat="1" applyFont="1">
      <alignment vertical="center"/>
    </xf>
    <xf numFmtId="3" fontId="196" fillId="0" borderId="0" xfId="25" applyNumberFormat="1" applyFont="1">
      <alignment vertical="center"/>
    </xf>
    <xf numFmtId="0" fontId="16" fillId="68" borderId="0" xfId="25" applyFont="1" applyFill="1">
      <alignment vertical="center"/>
    </xf>
    <xf numFmtId="10" fontId="16" fillId="0" borderId="0" xfId="25" applyNumberFormat="1" applyFont="1">
      <alignment vertical="center"/>
    </xf>
    <xf numFmtId="211" fontId="196" fillId="0" borderId="0" xfId="25" applyNumberFormat="1" applyFont="1">
      <alignment vertical="center"/>
    </xf>
    <xf numFmtId="272" fontId="196" fillId="0" borderId="0" xfId="25" applyNumberFormat="1" applyFont="1">
      <alignment vertical="center"/>
    </xf>
    <xf numFmtId="0" fontId="16" fillId="0" borderId="159" xfId="25" applyFont="1" applyBorder="1">
      <alignment vertical="center"/>
    </xf>
    <xf numFmtId="0" fontId="196" fillId="0" borderId="159" xfId="25" applyFont="1" applyBorder="1">
      <alignment vertical="center"/>
    </xf>
    <xf numFmtId="3" fontId="196" fillId="0" borderId="159" xfId="25" applyNumberFormat="1" applyFont="1" applyBorder="1">
      <alignment vertical="center"/>
    </xf>
    <xf numFmtId="192" fontId="196" fillId="0" borderId="159" xfId="25" applyNumberFormat="1" applyFont="1" applyBorder="1">
      <alignment vertical="center"/>
    </xf>
    <xf numFmtId="14" fontId="196" fillId="0" borderId="159" xfId="25" applyNumberFormat="1" applyFont="1" applyBorder="1">
      <alignment vertical="center"/>
    </xf>
    <xf numFmtId="268" fontId="196" fillId="0" borderId="159" xfId="25" applyNumberFormat="1" applyFont="1" applyBorder="1">
      <alignment vertical="center"/>
    </xf>
    <xf numFmtId="10" fontId="196" fillId="0" borderId="159" xfId="25" applyNumberFormat="1" applyFont="1" applyBorder="1">
      <alignment vertical="center"/>
    </xf>
    <xf numFmtId="265" fontId="196" fillId="0" borderId="159" xfId="25" applyNumberFormat="1" applyFont="1" applyBorder="1">
      <alignment vertical="center"/>
    </xf>
    <xf numFmtId="0" fontId="16" fillId="68" borderId="25" xfId="25" applyFont="1" applyFill="1" applyBorder="1">
      <alignment vertical="center"/>
    </xf>
    <xf numFmtId="0" fontId="16" fillId="68" borderId="77" xfId="25" applyFont="1" applyFill="1" applyBorder="1">
      <alignment vertical="center"/>
    </xf>
    <xf numFmtId="0" fontId="16" fillId="0" borderId="25" xfId="25" applyFont="1" applyBorder="1">
      <alignment vertical="center"/>
    </xf>
    <xf numFmtId="3" fontId="16" fillId="0" borderId="25" xfId="25" applyNumberFormat="1" applyFont="1" applyBorder="1">
      <alignment vertical="center"/>
    </xf>
    <xf numFmtId="10" fontId="16" fillId="0" borderId="25" xfId="25" applyNumberFormat="1" applyFont="1" applyBorder="1">
      <alignment vertical="center"/>
    </xf>
    <xf numFmtId="3" fontId="16" fillId="0" borderId="0" xfId="25" applyNumberFormat="1" applyFont="1">
      <alignment vertical="center"/>
    </xf>
    <xf numFmtId="0" fontId="16" fillId="0" borderId="77" xfId="25" applyFont="1" applyBorder="1">
      <alignment vertical="center"/>
    </xf>
    <xf numFmtId="3" fontId="16" fillId="0" borderId="77" xfId="25" applyNumberFormat="1" applyFont="1" applyBorder="1">
      <alignment vertical="center"/>
    </xf>
    <xf numFmtId="10" fontId="16" fillId="0" borderId="77" xfId="25" applyNumberFormat="1" applyFont="1" applyBorder="1">
      <alignment vertical="center"/>
    </xf>
    <xf numFmtId="0" fontId="196" fillId="0" borderId="209" xfId="25" applyFont="1" applyBorder="1">
      <alignment vertical="center"/>
    </xf>
    <xf numFmtId="211" fontId="196" fillId="0" borderId="209" xfId="25" applyNumberFormat="1" applyFont="1" applyBorder="1">
      <alignment vertical="center"/>
    </xf>
    <xf numFmtId="286" fontId="196" fillId="0" borderId="0" xfId="25" applyNumberFormat="1" applyFont="1">
      <alignment vertical="center"/>
    </xf>
    <xf numFmtId="0" fontId="16" fillId="68" borderId="209" xfId="25" applyFont="1" applyFill="1" applyBorder="1" applyAlignment="1">
      <alignment horizontal="center" vertical="center"/>
    </xf>
    <xf numFmtId="211" fontId="196" fillId="0" borderId="209" xfId="25" applyNumberFormat="1" applyFont="1" applyBorder="1" applyAlignment="1">
      <alignment horizontal="center" vertical="center"/>
    </xf>
    <xf numFmtId="0" fontId="16" fillId="68" borderId="209" xfId="25" applyFont="1" applyFill="1" applyBorder="1" applyAlignment="1">
      <alignment horizontal="center" vertical="center" wrapText="1"/>
    </xf>
    <xf numFmtId="265" fontId="64" fillId="0" borderId="0" xfId="25" applyNumberFormat="1" applyFont="1">
      <alignment vertical="center"/>
    </xf>
    <xf numFmtId="0" fontId="64" fillId="0" borderId="0" xfId="25" applyFont="1">
      <alignment vertical="center"/>
    </xf>
    <xf numFmtId="0" fontId="196" fillId="0" borderId="25" xfId="25" applyFont="1" applyBorder="1">
      <alignment vertical="center"/>
    </xf>
    <xf numFmtId="10" fontId="196" fillId="0" borderId="25" xfId="25" applyNumberFormat="1" applyFont="1" applyBorder="1">
      <alignment vertical="center"/>
    </xf>
    <xf numFmtId="10" fontId="196" fillId="0" borderId="77" xfId="25" applyNumberFormat="1" applyFont="1" applyBorder="1">
      <alignment vertical="center"/>
    </xf>
    <xf numFmtId="270" fontId="196" fillId="0" borderId="0" xfId="25" applyNumberFormat="1" applyFont="1">
      <alignment vertical="center"/>
    </xf>
    <xf numFmtId="272" fontId="196" fillId="0" borderId="77" xfId="25" applyNumberFormat="1" applyFont="1" applyBorder="1">
      <alignment vertical="center"/>
    </xf>
    <xf numFmtId="287" fontId="12" fillId="15" borderId="0" xfId="0" applyNumberFormat="1" applyFont="1" applyFill="1">
      <alignment vertical="center"/>
    </xf>
    <xf numFmtId="211" fontId="12" fillId="15" borderId="0" xfId="0" applyNumberFormat="1" applyFont="1" applyFill="1">
      <alignment vertical="center"/>
    </xf>
    <xf numFmtId="43" fontId="34" fillId="0" borderId="0" xfId="5" applyNumberFormat="1" applyFont="1" applyAlignment="1">
      <alignment vertical="center"/>
    </xf>
    <xf numFmtId="0" fontId="10" fillId="10" borderId="0" xfId="0" applyFont="1" applyFill="1" applyAlignment="1">
      <alignment horizontal="left" vertical="center"/>
    </xf>
    <xf numFmtId="10" fontId="243" fillId="0" borderId="0" xfId="0" applyNumberFormat="1" applyFont="1">
      <alignment vertical="center"/>
    </xf>
    <xf numFmtId="10" fontId="243" fillId="0" borderId="113" xfId="0" applyNumberFormat="1" applyFont="1" applyBorder="1">
      <alignment vertical="center"/>
    </xf>
    <xf numFmtId="10" fontId="243" fillId="0" borderId="77" xfId="0" applyNumberFormat="1" applyFont="1" applyBorder="1">
      <alignment vertical="center"/>
    </xf>
    <xf numFmtId="10" fontId="243" fillId="0" borderId="398" xfId="0" applyNumberFormat="1" applyFont="1" applyBorder="1">
      <alignment vertical="center"/>
    </xf>
    <xf numFmtId="10" fontId="12" fillId="0" borderId="395" xfId="0" applyNumberFormat="1" applyFont="1" applyBorder="1">
      <alignment vertical="center"/>
    </xf>
    <xf numFmtId="10" fontId="12" fillId="0" borderId="77" xfId="0" applyNumberFormat="1" applyFont="1" applyBorder="1">
      <alignment vertical="center"/>
    </xf>
    <xf numFmtId="10" fontId="12" fillId="0" borderId="166" xfId="0" applyNumberFormat="1" applyFont="1" applyBorder="1">
      <alignment vertical="center"/>
    </xf>
    <xf numFmtId="10" fontId="243" fillId="0" borderId="166" xfId="0" applyNumberFormat="1" applyFont="1" applyBorder="1">
      <alignment vertical="center"/>
    </xf>
    <xf numFmtId="0" fontId="244" fillId="0" borderId="0" xfId="0" applyFont="1" applyAlignment="1">
      <alignment horizontal="left" vertical="center"/>
    </xf>
    <xf numFmtId="49" fontId="23" fillId="0" borderId="0" xfId="0" applyNumberFormat="1" applyFont="1" applyBorder="1">
      <alignment vertical="center"/>
    </xf>
    <xf numFmtId="0" fontId="23" fillId="0" borderId="0" xfId="0" applyFont="1" applyBorder="1">
      <alignment vertical="center"/>
    </xf>
    <xf numFmtId="192" fontId="23" fillId="0" borderId="0" xfId="0" applyNumberFormat="1" applyFont="1" applyBorder="1">
      <alignment vertical="center"/>
    </xf>
    <xf numFmtId="284" fontId="23" fillId="0" borderId="0" xfId="0" applyNumberFormat="1" applyFont="1" applyBorder="1">
      <alignment vertical="center"/>
    </xf>
    <xf numFmtId="10" fontId="23" fillId="0" borderId="25" xfId="0" applyNumberFormat="1" applyFont="1" applyBorder="1">
      <alignment vertical="center"/>
    </xf>
    <xf numFmtId="0" fontId="183" fillId="0" borderId="0" xfId="0" applyFont="1" applyAlignment="1"/>
    <xf numFmtId="0" fontId="183" fillId="69" borderId="510" xfId="0" applyFont="1" applyFill="1" applyBorder="1" applyAlignment="1">
      <alignment horizontal="center" vertical="center" wrapText="1"/>
    </xf>
    <xf numFmtId="0" fontId="4" fillId="21" borderId="510" xfId="0" applyFont="1" applyFill="1" applyBorder="1" applyAlignment="1">
      <alignment horizontal="center" vertical="center"/>
    </xf>
    <xf numFmtId="0" fontId="4" fillId="13" borderId="510" xfId="0" applyFont="1" applyFill="1" applyBorder="1" applyAlignment="1">
      <alignment horizontal="center" vertical="center"/>
    </xf>
    <xf numFmtId="10" fontId="23" fillId="50" borderId="0" xfId="0" applyNumberFormat="1" applyFont="1" applyFill="1">
      <alignment vertical="center"/>
    </xf>
    <xf numFmtId="10" fontId="23" fillId="50" borderId="0" xfId="0" applyNumberFormat="1" applyFont="1" applyFill="1" applyBorder="1">
      <alignment vertical="center"/>
    </xf>
    <xf numFmtId="14" fontId="183" fillId="0" borderId="0" xfId="0" quotePrefix="1" applyNumberFormat="1" applyFont="1" applyAlignment="1"/>
    <xf numFmtId="9" fontId="23" fillId="0" borderId="0" xfId="0" applyNumberFormat="1" applyFont="1">
      <alignment vertical="center"/>
    </xf>
    <xf numFmtId="9" fontId="25" fillId="8" borderId="0" xfId="0" applyNumberFormat="1" applyFont="1" applyFill="1">
      <alignment vertical="center"/>
    </xf>
    <xf numFmtId="10" fontId="25" fillId="26" borderId="25" xfId="0" applyNumberFormat="1" applyFont="1" applyFill="1" applyBorder="1">
      <alignment vertical="center"/>
    </xf>
    <xf numFmtId="10" fontId="18" fillId="70" borderId="0" xfId="0" applyNumberFormat="1" applyFont="1" applyFill="1">
      <alignment vertical="center"/>
    </xf>
    <xf numFmtId="192" fontId="12" fillId="15" borderId="0" xfId="0" applyNumberFormat="1" applyFont="1" applyFill="1">
      <alignment vertical="center"/>
    </xf>
    <xf numFmtId="3" fontId="69" fillId="0" borderId="283" xfId="0" applyNumberFormat="1" applyFont="1" applyBorder="1" applyAlignment="1">
      <alignment vertical="center" wrapText="1"/>
    </xf>
    <xf numFmtId="0" fontId="11" fillId="11" borderId="0" xfId="0" applyFont="1" applyFill="1" applyAlignment="1">
      <alignment horizontal="left" vertical="center"/>
    </xf>
    <xf numFmtId="0" fontId="11" fillId="11" borderId="63" xfId="0" applyFont="1" applyFill="1" applyBorder="1" applyAlignment="1">
      <alignment horizontal="right" vertical="center"/>
    </xf>
    <xf numFmtId="215" fontId="15" fillId="11" borderId="0" xfId="0" applyNumberFormat="1" applyFont="1" applyFill="1">
      <alignment vertical="center"/>
    </xf>
    <xf numFmtId="176" fontId="14" fillId="11" borderId="0" xfId="0" applyNumberFormat="1" applyFont="1" applyFill="1">
      <alignment vertical="center"/>
    </xf>
    <xf numFmtId="192" fontId="15" fillId="11" borderId="0" xfId="0" applyNumberFormat="1" applyFont="1" applyFill="1" applyAlignment="1">
      <alignment horizontal="center" vertical="center"/>
    </xf>
    <xf numFmtId="14" fontId="14" fillId="11" borderId="0" xfId="0" applyNumberFormat="1" applyFont="1" applyFill="1">
      <alignment vertical="center"/>
    </xf>
    <xf numFmtId="10" fontId="14" fillId="11" borderId="33" xfId="0" applyNumberFormat="1" applyFont="1" applyFill="1" applyBorder="1" applyAlignment="1">
      <alignment horizontal="center" vertical="center"/>
    </xf>
    <xf numFmtId="10" fontId="14" fillId="46" borderId="33" xfId="0" applyNumberFormat="1" applyFont="1" applyFill="1" applyBorder="1" applyAlignment="1">
      <alignment horizontal="center" vertical="center"/>
    </xf>
    <xf numFmtId="3" fontId="11" fillId="0" borderId="27" xfId="0" applyNumberFormat="1" applyFont="1" applyBorder="1">
      <alignment vertical="center"/>
    </xf>
    <xf numFmtId="258" fontId="178" fillId="8" borderId="131" xfId="0" applyNumberFormat="1" applyFont="1" applyFill="1" applyBorder="1" applyAlignment="1">
      <alignment vertical="center" wrapText="1"/>
    </xf>
    <xf numFmtId="258" fontId="178" fillId="8" borderId="148" xfId="0" applyNumberFormat="1" applyFont="1" applyFill="1" applyBorder="1" applyAlignment="1">
      <alignment vertical="center" wrapText="1"/>
    </xf>
    <xf numFmtId="0" fontId="20" fillId="12" borderId="0" xfId="0" applyFont="1" applyFill="1" applyBorder="1">
      <alignment vertical="center"/>
    </xf>
    <xf numFmtId="14" fontId="20" fillId="12" borderId="0" xfId="0" applyNumberFormat="1" applyFont="1" applyFill="1" applyBorder="1">
      <alignment vertical="center"/>
    </xf>
    <xf numFmtId="176" fontId="20" fillId="12" borderId="0" xfId="0" applyNumberFormat="1" applyFont="1" applyFill="1" applyBorder="1" applyAlignment="1">
      <alignment horizontal="center" vertical="center"/>
    </xf>
    <xf numFmtId="0" fontId="16" fillId="12" borderId="512" xfId="0" applyFont="1" applyFill="1" applyBorder="1">
      <alignment vertical="center"/>
    </xf>
    <xf numFmtId="0" fontId="20" fillId="12" borderId="511" xfId="0" applyFont="1" applyFill="1" applyBorder="1">
      <alignment vertical="center"/>
    </xf>
    <xf numFmtId="14" fontId="20" fillId="12" borderId="511" xfId="0" applyNumberFormat="1" applyFont="1" applyFill="1" applyBorder="1">
      <alignment vertical="center"/>
    </xf>
    <xf numFmtId="10" fontId="20" fillId="12" borderId="511" xfId="0" applyNumberFormat="1" applyFont="1" applyFill="1" applyBorder="1" applyAlignment="1">
      <alignment horizontal="center" vertical="center"/>
    </xf>
    <xf numFmtId="176" fontId="14" fillId="12" borderId="513" xfId="0" applyNumberFormat="1" applyFont="1" applyFill="1" applyBorder="1" applyAlignment="1">
      <alignment horizontal="right" vertical="center"/>
    </xf>
    <xf numFmtId="213" fontId="11" fillId="0" borderId="0" xfId="0" applyNumberFormat="1" applyFont="1">
      <alignment vertical="center"/>
    </xf>
    <xf numFmtId="213" fontId="15" fillId="8" borderId="0" xfId="0" applyNumberFormat="1" applyFont="1" applyFill="1">
      <alignment vertical="center"/>
    </xf>
    <xf numFmtId="0" fontId="11" fillId="15" borderId="6" xfId="0" applyFont="1" applyFill="1" applyBorder="1">
      <alignment vertical="center"/>
    </xf>
    <xf numFmtId="0" fontId="11" fillId="15" borderId="0" xfId="0" applyFont="1" applyFill="1">
      <alignment vertical="center"/>
    </xf>
    <xf numFmtId="14" fontId="11" fillId="15" borderId="0" xfId="0" applyNumberFormat="1" applyFont="1" applyFill="1">
      <alignment vertical="center"/>
    </xf>
    <xf numFmtId="176" fontId="11" fillId="15" borderId="0" xfId="0" applyNumberFormat="1" applyFont="1" applyFill="1">
      <alignment vertical="center"/>
    </xf>
    <xf numFmtId="176" fontId="11" fillId="15" borderId="253" xfId="0" applyNumberFormat="1" applyFont="1" applyFill="1" applyBorder="1">
      <alignment vertical="center"/>
    </xf>
    <xf numFmtId="41" fontId="11" fillId="15" borderId="0" xfId="0" applyNumberFormat="1" applyFont="1" applyFill="1">
      <alignment vertical="center"/>
    </xf>
    <xf numFmtId="176" fontId="11" fillId="15" borderId="7" xfId="0" applyNumberFormat="1" applyFont="1" applyFill="1" applyBorder="1">
      <alignment vertical="center"/>
    </xf>
    <xf numFmtId="0" fontId="11" fillId="11" borderId="33" xfId="0" applyFont="1" applyFill="1" applyBorder="1">
      <alignment vertical="center"/>
    </xf>
    <xf numFmtId="176" fontId="11" fillId="11" borderId="33" xfId="0" applyNumberFormat="1" applyFont="1" applyFill="1" applyBorder="1" applyAlignment="1">
      <alignment horizontal="right" vertical="center"/>
    </xf>
    <xf numFmtId="176" fontId="242" fillId="11" borderId="33" xfId="0" applyNumberFormat="1" applyFont="1" applyFill="1" applyBorder="1" applyAlignment="1">
      <alignment horizontal="right" vertical="center"/>
    </xf>
    <xf numFmtId="176" fontId="11" fillId="11" borderId="292" xfId="0" applyNumberFormat="1" applyFont="1" applyFill="1" applyBorder="1">
      <alignment vertical="center"/>
    </xf>
    <xf numFmtId="182" fontId="11" fillId="11" borderId="293" xfId="0" applyNumberFormat="1" applyFont="1" applyFill="1" applyBorder="1">
      <alignment vertical="center"/>
    </xf>
    <xf numFmtId="176" fontId="11" fillId="11" borderId="0" xfId="0" applyNumberFormat="1" applyFont="1" applyFill="1" applyAlignment="1">
      <alignment horizontal="right" vertical="center"/>
    </xf>
    <xf numFmtId="176" fontId="242" fillId="11" borderId="0" xfId="0" applyNumberFormat="1" applyFont="1" applyFill="1" applyAlignment="1">
      <alignment horizontal="right" vertical="center"/>
    </xf>
    <xf numFmtId="176" fontId="11" fillId="11" borderId="288" xfId="0" applyNumberFormat="1" applyFont="1" applyFill="1" applyBorder="1">
      <alignment vertical="center"/>
    </xf>
    <xf numFmtId="182" fontId="11" fillId="11" borderId="289" xfId="0" applyNumberFormat="1" applyFont="1" applyFill="1" applyBorder="1">
      <alignment vertical="center"/>
    </xf>
    <xf numFmtId="3" fontId="11" fillId="8" borderId="0" xfId="0" applyNumberFormat="1" applyFont="1" applyFill="1">
      <alignment vertical="center"/>
    </xf>
    <xf numFmtId="10" fontId="11" fillId="8" borderId="0" xfId="0" applyNumberFormat="1" applyFont="1" applyFill="1">
      <alignment vertical="center"/>
    </xf>
    <xf numFmtId="0" fontId="11" fillId="8" borderId="77" xfId="0" applyFont="1" applyFill="1" applyBorder="1">
      <alignment vertical="center"/>
    </xf>
    <xf numFmtId="3" fontId="11" fillId="8" borderId="77" xfId="0" applyNumberFormat="1" applyFont="1" applyFill="1" applyBorder="1">
      <alignment vertical="center"/>
    </xf>
    <xf numFmtId="10" fontId="11" fillId="8" borderId="77" xfId="0" applyNumberFormat="1" applyFont="1" applyFill="1" applyBorder="1">
      <alignment vertical="center"/>
    </xf>
    <xf numFmtId="265" fontId="107" fillId="20" borderId="0" xfId="0" applyNumberFormat="1" applyFont="1" applyFill="1">
      <alignment vertical="center"/>
    </xf>
    <xf numFmtId="262" fontId="107" fillId="0" borderId="0" xfId="0" applyNumberFormat="1" applyFont="1">
      <alignment vertical="center"/>
    </xf>
    <xf numFmtId="265" fontId="107" fillId="0" borderId="0" xfId="0" applyNumberFormat="1" applyFont="1">
      <alignment vertical="center"/>
    </xf>
    <xf numFmtId="281" fontId="107" fillId="0" borderId="0" xfId="0" applyNumberFormat="1" applyFont="1">
      <alignment vertical="center"/>
    </xf>
    <xf numFmtId="0" fontId="107" fillId="29" borderId="0" xfId="0" applyFont="1" applyFill="1">
      <alignment vertical="center"/>
    </xf>
    <xf numFmtId="262" fontId="107" fillId="29" borderId="0" xfId="0" applyNumberFormat="1" applyFont="1" applyFill="1">
      <alignment vertical="center"/>
    </xf>
    <xf numFmtId="0" fontId="107" fillId="0" borderId="209" xfId="0" applyFont="1" applyBorder="1">
      <alignment vertical="center"/>
    </xf>
    <xf numFmtId="282" fontId="107" fillId="0" borderId="0" xfId="0" applyNumberFormat="1" applyFont="1">
      <alignment vertical="center"/>
    </xf>
    <xf numFmtId="265" fontId="107" fillId="51" borderId="0" xfId="0" applyNumberFormat="1" applyFont="1" applyFill="1">
      <alignment vertical="center"/>
    </xf>
    <xf numFmtId="281" fontId="245" fillId="0" borderId="0" xfId="0" applyNumberFormat="1" applyFont="1">
      <alignment vertical="center"/>
    </xf>
    <xf numFmtId="265" fontId="107" fillId="0" borderId="209" xfId="0" applyNumberFormat="1" applyFont="1" applyBorder="1">
      <alignment vertical="center"/>
    </xf>
    <xf numFmtId="281" fontId="107" fillId="0" borderId="209" xfId="0" applyNumberFormat="1" applyFont="1" applyBorder="1">
      <alignment vertical="center"/>
    </xf>
    <xf numFmtId="265" fontId="107" fillId="8" borderId="209" xfId="0" applyNumberFormat="1" applyFont="1" applyFill="1" applyBorder="1">
      <alignment vertical="center"/>
    </xf>
    <xf numFmtId="262" fontId="107" fillId="0" borderId="209" xfId="0" applyNumberFormat="1" applyFont="1" applyBorder="1">
      <alignment vertical="center"/>
    </xf>
    <xf numFmtId="192" fontId="107" fillId="0" borderId="0" xfId="0" applyNumberFormat="1" applyFont="1">
      <alignment vertical="center"/>
    </xf>
    <xf numFmtId="265" fontId="120" fillId="0" borderId="0" xfId="0" applyNumberFormat="1" applyFont="1">
      <alignment vertical="center"/>
    </xf>
    <xf numFmtId="0" fontId="246" fillId="14" borderId="0" xfId="0" applyFont="1" applyFill="1">
      <alignment vertical="center"/>
    </xf>
    <xf numFmtId="265" fontId="246" fillId="14" borderId="0" xfId="0" applyNumberFormat="1" applyFont="1" applyFill="1">
      <alignment vertical="center"/>
    </xf>
    <xf numFmtId="281" fontId="246" fillId="14" borderId="0" xfId="0" applyNumberFormat="1" applyFont="1" applyFill="1">
      <alignment vertical="center"/>
    </xf>
    <xf numFmtId="262" fontId="246" fillId="14" borderId="0" xfId="0" applyNumberFormat="1" applyFont="1" applyFill="1">
      <alignment vertical="center"/>
    </xf>
    <xf numFmtId="282" fontId="246" fillId="14" borderId="0" xfId="0" applyNumberFormat="1" applyFont="1" applyFill="1">
      <alignment vertical="center"/>
    </xf>
    <xf numFmtId="0" fontId="110" fillId="14" borderId="0" xfId="0" applyFont="1" applyFill="1">
      <alignment vertical="center"/>
    </xf>
    <xf numFmtId="265" fontId="110" fillId="14" borderId="0" xfId="0" applyNumberFormat="1" applyFont="1" applyFill="1">
      <alignment vertical="center"/>
    </xf>
    <xf numFmtId="281" fontId="110" fillId="14" borderId="0" xfId="0" applyNumberFormat="1" applyFont="1" applyFill="1">
      <alignment vertical="center"/>
    </xf>
    <xf numFmtId="262" fontId="110" fillId="14" borderId="0" xfId="0" applyNumberFormat="1" applyFont="1" applyFill="1">
      <alignment vertical="center"/>
    </xf>
    <xf numFmtId="282" fontId="110" fillId="14" borderId="0" xfId="0" applyNumberFormat="1" applyFont="1" applyFill="1">
      <alignment vertical="center"/>
    </xf>
    <xf numFmtId="0" fontId="107" fillId="14" borderId="0" xfId="0" applyFont="1" applyFill="1">
      <alignment vertical="center"/>
    </xf>
    <xf numFmtId="265" fontId="107" fillId="14" borderId="0" xfId="0" applyNumberFormat="1" applyFont="1" applyFill="1">
      <alignment vertical="center"/>
    </xf>
    <xf numFmtId="281" fontId="107" fillId="14" borderId="0" xfId="0" applyNumberFormat="1" applyFont="1" applyFill="1">
      <alignment vertical="center"/>
    </xf>
    <xf numFmtId="262" fontId="107" fillId="14" borderId="0" xfId="0" applyNumberFormat="1" applyFont="1" applyFill="1">
      <alignment vertical="center"/>
    </xf>
    <xf numFmtId="282" fontId="107" fillId="14" borderId="0" xfId="0" applyNumberFormat="1" applyFont="1" applyFill="1">
      <alignment vertical="center"/>
    </xf>
    <xf numFmtId="276" fontId="107" fillId="0" borderId="0" xfId="0" applyNumberFormat="1" applyFont="1">
      <alignment vertical="center"/>
    </xf>
    <xf numFmtId="283" fontId="107" fillId="0" borderId="0" xfId="0" applyNumberFormat="1" applyFont="1">
      <alignment vertical="center"/>
    </xf>
    <xf numFmtId="276" fontId="107" fillId="0" borderId="77" xfId="0" applyNumberFormat="1" applyFont="1" applyBorder="1">
      <alignment vertical="center"/>
    </xf>
    <xf numFmtId="283" fontId="107" fillId="0" borderId="77" xfId="0" applyNumberFormat="1" applyFont="1" applyBorder="1">
      <alignment vertical="center"/>
    </xf>
    <xf numFmtId="265" fontId="107" fillId="0" borderId="77" xfId="0" applyNumberFormat="1" applyFont="1" applyBorder="1">
      <alignment vertical="center"/>
    </xf>
    <xf numFmtId="0" fontId="107" fillId="0" borderId="77" xfId="0" applyFont="1" applyBorder="1">
      <alignment vertical="center"/>
    </xf>
    <xf numFmtId="265" fontId="107" fillId="29" borderId="0" xfId="0" applyNumberFormat="1" applyFont="1" applyFill="1">
      <alignment vertical="center"/>
    </xf>
    <xf numFmtId="0" fontId="70" fillId="65" borderId="514" xfId="0" applyFont="1" applyFill="1" applyBorder="1" applyAlignment="1">
      <alignment horizontal="center" vertical="center" wrapText="1" readingOrder="1"/>
    </xf>
    <xf numFmtId="0" fontId="70" fillId="65" borderId="515" xfId="0" applyFont="1" applyFill="1" applyBorder="1" applyAlignment="1">
      <alignment horizontal="center" vertical="center" wrapText="1" readingOrder="1"/>
    </xf>
    <xf numFmtId="0" fontId="70" fillId="65" borderId="516" xfId="0" applyFont="1" applyFill="1" applyBorder="1" applyAlignment="1">
      <alignment horizontal="center" vertical="center" wrapText="1" readingOrder="1"/>
    </xf>
    <xf numFmtId="0" fontId="70" fillId="37" borderId="517" xfId="0" applyFont="1" applyFill="1" applyBorder="1" applyAlignment="1">
      <alignment horizontal="center" vertical="center" wrapText="1" readingOrder="1"/>
    </xf>
    <xf numFmtId="0" fontId="59" fillId="0" borderId="518" xfId="0" applyFont="1" applyBorder="1" applyAlignment="1">
      <alignment horizontal="right" vertical="center" wrapText="1"/>
    </xf>
    <xf numFmtId="0" fontId="59" fillId="0" borderId="519" xfId="0" applyFont="1" applyBorder="1" applyAlignment="1">
      <alignment horizontal="right" vertical="center" wrapText="1"/>
    </xf>
    <xf numFmtId="0" fontId="70" fillId="37" borderId="520" xfId="0" applyFont="1" applyFill="1" applyBorder="1" applyAlignment="1">
      <alignment horizontal="center" vertical="center" wrapText="1" readingOrder="1"/>
    </xf>
    <xf numFmtId="0" fontId="59" fillId="0" borderId="521" xfId="0" applyFont="1" applyBorder="1" applyAlignment="1">
      <alignment horizontal="right" vertical="center" wrapText="1"/>
    </xf>
    <xf numFmtId="0" fontId="59" fillId="0" borderId="522" xfId="0" applyFont="1" applyBorder="1" applyAlignment="1">
      <alignment horizontal="right" vertical="center" wrapText="1"/>
    </xf>
    <xf numFmtId="0" fontId="70" fillId="71" borderId="523" xfId="0" applyFont="1" applyFill="1" applyBorder="1" applyAlignment="1">
      <alignment horizontal="center" vertical="center" wrapText="1" readingOrder="1"/>
    </xf>
    <xf numFmtId="0" fontId="59" fillId="71" borderId="524" xfId="0" applyFont="1" applyFill="1" applyBorder="1" applyAlignment="1">
      <alignment horizontal="right" vertical="center" wrapText="1"/>
    </xf>
    <xf numFmtId="0" fontId="59" fillId="71" borderId="525" xfId="0" applyFont="1" applyFill="1" applyBorder="1" applyAlignment="1">
      <alignment horizontal="center" vertical="center" wrapText="1"/>
    </xf>
    <xf numFmtId="198" fontId="11" fillId="0" borderId="0" xfId="0" applyNumberFormat="1" applyFont="1">
      <alignment vertical="center"/>
    </xf>
    <xf numFmtId="288" fontId="11" fillId="0" borderId="18" xfId="0" applyNumberFormat="1" applyFont="1" applyBorder="1" applyAlignment="1">
      <alignment horizontal="left" vertical="center"/>
    </xf>
    <xf numFmtId="288" fontId="11" fillId="0" borderId="0" xfId="0" applyNumberFormat="1" applyFont="1" applyAlignment="1">
      <alignment horizontal="left" vertical="center"/>
    </xf>
    <xf numFmtId="288" fontId="11" fillId="0" borderId="102" xfId="0" applyNumberFormat="1" applyFont="1" applyBorder="1" applyAlignment="1">
      <alignment horizontal="left" vertical="center"/>
    </xf>
    <xf numFmtId="0" fontId="247" fillId="72" borderId="527" xfId="0" applyFont="1" applyFill="1" applyBorder="1" applyAlignment="1">
      <alignment vertical="center"/>
    </xf>
    <xf numFmtId="0" fontId="248" fillId="72" borderId="528" xfId="0" applyFont="1" applyFill="1" applyBorder="1" applyAlignment="1">
      <alignment vertical="center"/>
    </xf>
    <xf numFmtId="0" fontId="249" fillId="73" borderId="528" xfId="0" applyFont="1" applyFill="1" applyBorder="1" applyAlignment="1">
      <alignment vertical="center"/>
    </xf>
    <xf numFmtId="0" fontId="250" fillId="72" borderId="528" xfId="0" applyFont="1" applyFill="1" applyBorder="1" applyAlignment="1">
      <alignment vertical="center"/>
    </xf>
    <xf numFmtId="0" fontId="251" fillId="72" borderId="528" xfId="0" applyFont="1" applyFill="1" applyBorder="1" applyAlignment="1">
      <alignment vertical="center"/>
    </xf>
    <xf numFmtId="0" fontId="252" fillId="72" borderId="528" xfId="0" applyFont="1" applyFill="1" applyBorder="1" applyAlignment="1">
      <alignment vertical="center"/>
    </xf>
    <xf numFmtId="0" fontId="253" fillId="72" borderId="528" xfId="0" applyFont="1" applyFill="1" applyBorder="1" applyAlignment="1">
      <alignment vertical="center"/>
    </xf>
    <xf numFmtId="0" fontId="248" fillId="72" borderId="529" xfId="0" applyFont="1" applyFill="1" applyBorder="1" applyAlignment="1">
      <alignment vertical="center"/>
    </xf>
    <xf numFmtId="0" fontId="251" fillId="72" borderId="529" xfId="0" applyFont="1" applyFill="1" applyBorder="1" applyAlignment="1">
      <alignment vertical="center"/>
    </xf>
    <xf numFmtId="0" fontId="248" fillId="72" borderId="529" xfId="0" applyFont="1" applyFill="1" applyBorder="1" applyAlignment="1">
      <alignment horizontal="right" vertical="center"/>
    </xf>
    <xf numFmtId="0" fontId="248" fillId="72" borderId="530" xfId="0" applyFont="1" applyFill="1" applyBorder="1" applyAlignment="1">
      <alignment vertical="center"/>
    </xf>
    <xf numFmtId="0" fontId="248" fillId="72" borderId="531" xfId="0" applyFont="1" applyFill="1" applyBorder="1" applyAlignment="1">
      <alignment vertical="center"/>
    </xf>
    <xf numFmtId="0" fontId="248" fillId="72" borderId="532" xfId="0" applyFont="1" applyFill="1" applyBorder="1" applyAlignment="1">
      <alignment vertical="center"/>
    </xf>
    <xf numFmtId="0" fontId="248" fillId="72" borderId="533" xfId="0" applyFont="1" applyFill="1" applyBorder="1" applyAlignment="1">
      <alignment vertical="center"/>
    </xf>
    <xf numFmtId="14" fontId="255" fillId="72" borderId="533" xfId="0" applyNumberFormat="1" applyFont="1" applyFill="1" applyBorder="1" applyAlignment="1">
      <alignment vertical="center"/>
    </xf>
    <xf numFmtId="0" fontId="248" fillId="72" borderId="534" xfId="0" applyFont="1" applyFill="1" applyBorder="1" applyAlignment="1">
      <alignment vertical="center"/>
    </xf>
    <xf numFmtId="0" fontId="248" fillId="72" borderId="535" xfId="0" applyFont="1" applyFill="1" applyBorder="1" applyAlignment="1">
      <alignment vertical="center"/>
    </xf>
    <xf numFmtId="0" fontId="251" fillId="72" borderId="537" xfId="0" applyFont="1" applyFill="1" applyBorder="1" applyAlignment="1">
      <alignment vertical="center"/>
    </xf>
    <xf numFmtId="0" fontId="248" fillId="72" borderId="537" xfId="0" applyFont="1" applyFill="1" applyBorder="1" applyAlignment="1">
      <alignment vertical="center"/>
    </xf>
    <xf numFmtId="0" fontId="248" fillId="72" borderId="539" xfId="0" applyFont="1" applyFill="1" applyBorder="1" applyAlignment="1">
      <alignment vertical="center"/>
    </xf>
    <xf numFmtId="0" fontId="248" fillId="72" borderId="540" xfId="0" applyFont="1" applyFill="1" applyBorder="1" applyAlignment="1">
      <alignment vertical="center"/>
    </xf>
    <xf numFmtId="0" fontId="248" fillId="72" borderId="544" xfId="0" applyFont="1" applyFill="1" applyBorder="1" applyAlignment="1">
      <alignment vertical="center"/>
    </xf>
    <xf numFmtId="0" fontId="248" fillId="72" borderId="545" xfId="0" applyFont="1" applyFill="1" applyBorder="1" applyAlignment="1">
      <alignment vertical="center"/>
    </xf>
    <xf numFmtId="0" fontId="248" fillId="72" borderId="546" xfId="0" applyFont="1" applyFill="1" applyBorder="1" applyAlignment="1">
      <alignment vertical="center"/>
    </xf>
    <xf numFmtId="0" fontId="248" fillId="72" borderId="547" xfId="0" applyFont="1" applyFill="1" applyBorder="1" applyAlignment="1">
      <alignment vertical="center"/>
    </xf>
    <xf numFmtId="0" fontId="261" fillId="72" borderId="548" xfId="0" applyFont="1" applyFill="1" applyBorder="1" applyAlignment="1">
      <alignment vertical="center"/>
    </xf>
    <xf numFmtId="289" fontId="262" fillId="72" borderId="549" xfId="0" applyNumberFormat="1" applyFont="1" applyFill="1" applyBorder="1" applyAlignment="1">
      <alignment horizontal="center" vertical="center"/>
    </xf>
    <xf numFmtId="0" fontId="263" fillId="72" borderId="547" xfId="0" applyFont="1" applyFill="1" applyBorder="1" applyAlignment="1">
      <alignment vertical="center"/>
    </xf>
    <xf numFmtId="0" fontId="254" fillId="72" borderId="548" xfId="0" applyFont="1" applyFill="1" applyBorder="1" applyAlignment="1">
      <alignment horizontal="right" vertical="center"/>
    </xf>
    <xf numFmtId="0" fontId="251" fillId="74" borderId="549" xfId="0" applyFont="1" applyFill="1" applyBorder="1" applyAlignment="1">
      <alignment vertical="center"/>
    </xf>
    <xf numFmtId="192" fontId="248" fillId="72" borderId="549" xfId="0" applyNumberFormat="1" applyFont="1" applyFill="1" applyBorder="1" applyAlignment="1">
      <alignment vertical="center"/>
    </xf>
    <xf numFmtId="0" fontId="248" fillId="72" borderId="549" xfId="0" applyFont="1" applyFill="1" applyBorder="1" applyAlignment="1">
      <alignment vertical="center"/>
    </xf>
    <xf numFmtId="41" fontId="248" fillId="72" borderId="550" xfId="0" applyNumberFormat="1" applyFont="1" applyFill="1" applyBorder="1" applyAlignment="1">
      <alignment vertical="center"/>
    </xf>
    <xf numFmtId="41" fontId="248" fillId="72" borderId="528" xfId="0" applyNumberFormat="1" applyFont="1" applyFill="1" applyBorder="1" applyAlignment="1">
      <alignment vertical="center"/>
    </xf>
    <xf numFmtId="41" fontId="263" fillId="72" borderId="549" xfId="0" applyNumberFormat="1" applyFont="1" applyFill="1" applyBorder="1" applyAlignment="1">
      <alignment vertical="center"/>
    </xf>
    <xf numFmtId="0" fontId="248" fillId="72" borderId="549" xfId="0" applyFont="1" applyFill="1" applyBorder="1" applyAlignment="1">
      <alignment horizontal="left" vertical="center" indent="1"/>
    </xf>
    <xf numFmtId="0" fontId="261" fillId="72" borderId="548" xfId="0" applyFont="1" applyFill="1" applyBorder="1" applyAlignment="1">
      <alignment horizontal="left" vertical="center" indent="1"/>
    </xf>
    <xf numFmtId="41" fontId="261" fillId="72" borderId="549" xfId="0" applyNumberFormat="1" applyFont="1" applyFill="1" applyBorder="1" applyAlignment="1">
      <alignment vertical="center"/>
    </xf>
    <xf numFmtId="0" fontId="248" fillId="72" borderId="548" xfId="0" applyFont="1" applyFill="1" applyBorder="1" applyAlignment="1">
      <alignment vertical="center"/>
    </xf>
    <xf numFmtId="0" fontId="248" fillId="72" borderId="550" xfId="0" applyFont="1" applyFill="1" applyBorder="1" applyAlignment="1">
      <alignment vertical="center"/>
    </xf>
    <xf numFmtId="41" fontId="262" fillId="72" borderId="549" xfId="0" applyNumberFormat="1" applyFont="1" applyFill="1" applyBorder="1" applyAlignment="1">
      <alignment vertical="center"/>
    </xf>
    <xf numFmtId="0" fontId="251" fillId="72" borderId="549" xfId="0" applyFont="1" applyFill="1" applyBorder="1" applyAlignment="1">
      <alignment vertical="center"/>
    </xf>
    <xf numFmtId="0" fontId="256" fillId="72" borderId="548" xfId="0" applyFont="1" applyFill="1" applyBorder="1" applyAlignment="1">
      <alignment vertical="center"/>
    </xf>
    <xf numFmtId="265" fontId="256" fillId="72" borderId="549" xfId="0" applyNumberFormat="1" applyFont="1" applyFill="1" applyBorder="1" applyAlignment="1">
      <alignment vertical="center"/>
    </xf>
    <xf numFmtId="0" fontId="256" fillId="72" borderId="547" xfId="0" applyFont="1" applyFill="1" applyBorder="1" applyAlignment="1">
      <alignment horizontal="left" vertical="center" indent="2"/>
    </xf>
    <xf numFmtId="0" fontId="264" fillId="72" borderId="547" xfId="0" applyFont="1" applyFill="1" applyBorder="1" applyAlignment="1">
      <alignment horizontal="left" vertical="center" indent="2"/>
    </xf>
    <xf numFmtId="235" fontId="262" fillId="72" borderId="549" xfId="0" applyNumberFormat="1" applyFont="1" applyFill="1" applyBorder="1" applyAlignment="1">
      <alignment vertical="center"/>
    </xf>
    <xf numFmtId="235" fontId="248" fillId="72" borderId="549" xfId="0" applyNumberFormat="1" applyFont="1" applyFill="1" applyBorder="1" applyAlignment="1">
      <alignment vertical="center"/>
    </xf>
    <xf numFmtId="290" fontId="262" fillId="72" borderId="549" xfId="0" applyNumberFormat="1" applyFont="1" applyFill="1" applyBorder="1" applyAlignment="1">
      <alignment vertical="center"/>
    </xf>
    <xf numFmtId="0" fontId="248" fillId="72" borderId="551" xfId="0" applyFont="1" applyFill="1" applyBorder="1" applyAlignment="1">
      <alignment vertical="center"/>
    </xf>
    <xf numFmtId="0" fontId="261" fillId="72" borderId="548" xfId="0" applyFont="1" applyFill="1" applyBorder="1" applyAlignment="1">
      <alignment horizontal="left" vertical="center"/>
    </xf>
    <xf numFmtId="0" fontId="253" fillId="75" borderId="552" xfId="0" applyFont="1" applyFill="1" applyBorder="1" applyAlignment="1">
      <alignment vertical="center"/>
    </xf>
    <xf numFmtId="262" fontId="254" fillId="75" borderId="553" xfId="0" applyNumberFormat="1" applyFont="1" applyFill="1" applyBorder="1" applyAlignment="1">
      <alignment vertical="center"/>
    </xf>
    <xf numFmtId="265" fontId="253" fillId="75" borderId="554" xfId="0" applyNumberFormat="1" applyFont="1" applyFill="1" applyBorder="1" applyAlignment="1">
      <alignment vertical="center"/>
    </xf>
    <xf numFmtId="0" fontId="251" fillId="75" borderId="554" xfId="0" applyFont="1" applyFill="1" applyBorder="1" applyAlignment="1">
      <alignment vertical="center"/>
    </xf>
    <xf numFmtId="192" fontId="251" fillId="75" borderId="554" xfId="0" applyNumberFormat="1" applyFont="1" applyFill="1" applyBorder="1" applyAlignment="1">
      <alignment vertical="center"/>
    </xf>
    <xf numFmtId="41" fontId="251" fillId="75" borderId="555" xfId="0" applyNumberFormat="1" applyFont="1" applyFill="1" applyBorder="1" applyAlignment="1">
      <alignment vertical="center"/>
    </xf>
    <xf numFmtId="0" fontId="248" fillId="72" borderId="556" xfId="0" applyFont="1" applyFill="1" applyBorder="1" applyAlignment="1">
      <alignment vertical="center"/>
    </xf>
    <xf numFmtId="0" fontId="248" fillId="72" borderId="557" xfId="0" applyFont="1" applyFill="1" applyBorder="1" applyAlignment="1">
      <alignment vertical="center"/>
    </xf>
    <xf numFmtId="0" fontId="248" fillId="72" borderId="558" xfId="0" applyFont="1" applyFill="1" applyBorder="1" applyAlignment="1">
      <alignment vertical="center"/>
    </xf>
    <xf numFmtId="192" fontId="262" fillId="72" borderId="549" xfId="0" applyNumberFormat="1" applyFont="1" applyFill="1" applyBorder="1" applyAlignment="1">
      <alignment vertical="center"/>
    </xf>
    <xf numFmtId="0" fontId="248" fillId="72" borderId="559" xfId="0" applyFont="1" applyFill="1" applyBorder="1" applyAlignment="1">
      <alignment vertical="center"/>
    </xf>
    <xf numFmtId="0" fontId="248" fillId="72" borderId="560" xfId="0" applyFont="1" applyFill="1" applyBorder="1" applyAlignment="1">
      <alignment vertical="center"/>
    </xf>
    <xf numFmtId="0" fontId="248" fillId="72" borderId="561" xfId="0" applyFont="1" applyFill="1" applyBorder="1" applyAlignment="1">
      <alignment vertical="center"/>
    </xf>
    <xf numFmtId="0" fontId="248" fillId="72" borderId="562" xfId="0" applyFont="1" applyFill="1" applyBorder="1" applyAlignment="1">
      <alignment vertical="center"/>
    </xf>
    <xf numFmtId="0" fontId="248" fillId="72" borderId="563" xfId="0" applyFont="1" applyFill="1" applyBorder="1" applyAlignment="1">
      <alignment vertical="center"/>
    </xf>
    <xf numFmtId="192" fontId="265" fillId="72" borderId="549" xfId="0" applyNumberFormat="1" applyFont="1" applyFill="1" applyBorder="1" applyAlignment="1">
      <alignment vertical="center"/>
    </xf>
    <xf numFmtId="0" fontId="248" fillId="72" borderId="564" xfId="0" applyFont="1" applyFill="1" applyBorder="1" applyAlignment="1">
      <alignment vertical="center"/>
    </xf>
    <xf numFmtId="41" fontId="248" fillId="72" borderId="547" xfId="0" applyNumberFormat="1" applyFont="1" applyFill="1" applyBorder="1" applyAlignment="1">
      <alignment vertical="center"/>
    </xf>
    <xf numFmtId="41" fontId="248" fillId="72" borderId="549" xfId="0" applyNumberFormat="1" applyFont="1" applyFill="1" applyBorder="1" applyAlignment="1">
      <alignment vertical="center"/>
    </xf>
    <xf numFmtId="0" fontId="248" fillId="72" borderId="548" xfId="0" applyFont="1" applyFill="1" applyBorder="1" applyAlignment="1">
      <alignment horizontal="left" vertical="center"/>
    </xf>
    <xf numFmtId="41" fontId="248" fillId="72" borderId="544" xfId="0" applyNumberFormat="1" applyFont="1" applyFill="1" applyBorder="1" applyAlignment="1">
      <alignment vertical="center"/>
    </xf>
    <xf numFmtId="0" fontId="266" fillId="72" borderId="548" xfId="0" applyFont="1" applyFill="1" applyBorder="1" applyAlignment="1">
      <alignment vertical="center"/>
    </xf>
    <xf numFmtId="0" fontId="248" fillId="72" borderId="547" xfId="0" applyFont="1" applyFill="1" applyBorder="1" applyAlignment="1">
      <alignment horizontal="right" vertical="center"/>
    </xf>
    <xf numFmtId="192" fontId="248" fillId="72" borderId="548" xfId="0" applyNumberFormat="1" applyFont="1" applyFill="1" applyBorder="1" applyAlignment="1">
      <alignment horizontal="left" vertical="center"/>
    </xf>
    <xf numFmtId="202" fontId="267" fillId="72" borderId="544" xfId="0" applyNumberFormat="1" applyFont="1" applyFill="1" applyBorder="1" applyAlignment="1">
      <alignment vertical="center"/>
    </xf>
    <xf numFmtId="202" fontId="267" fillId="72" borderId="531" xfId="0" applyNumberFormat="1" applyFont="1" applyFill="1" applyBorder="1" applyAlignment="1">
      <alignment vertical="center"/>
    </xf>
    <xf numFmtId="202" fontId="267" fillId="72" borderId="545" xfId="0" applyNumberFormat="1" applyFont="1" applyFill="1" applyBorder="1" applyAlignment="1">
      <alignment vertical="center"/>
    </xf>
    <xf numFmtId="0" fontId="248" fillId="72" borderId="552" xfId="0" applyFont="1" applyFill="1" applyBorder="1" applyAlignment="1">
      <alignment vertical="center"/>
    </xf>
    <xf numFmtId="204" fontId="265" fillId="72" borderId="554" xfId="0" applyNumberFormat="1" applyFont="1" applyFill="1" applyBorder="1" applyAlignment="1">
      <alignment vertical="center"/>
    </xf>
    <xf numFmtId="0" fontId="248" fillId="72" borderId="554" xfId="0" applyFont="1" applyFill="1" applyBorder="1" applyAlignment="1">
      <alignment vertical="center"/>
    </xf>
    <xf numFmtId="0" fontId="253" fillId="75" borderId="554" xfId="0" applyFont="1" applyFill="1" applyBorder="1" applyAlignment="1">
      <alignment vertical="center"/>
    </xf>
    <xf numFmtId="262" fontId="254" fillId="75" borderId="554" xfId="0" applyNumberFormat="1" applyFont="1" applyFill="1" applyBorder="1" applyAlignment="1">
      <alignment vertical="center"/>
    </xf>
    <xf numFmtId="0" fontId="248" fillId="72" borderId="565" xfId="0" applyFont="1" applyFill="1" applyBorder="1" applyAlignment="1">
      <alignment vertical="center"/>
    </xf>
    <xf numFmtId="0" fontId="248" fillId="72" borderId="566" xfId="0" applyFont="1" applyFill="1" applyBorder="1" applyAlignment="1">
      <alignment vertical="center"/>
    </xf>
    <xf numFmtId="0" fontId="248" fillId="72" borderId="567" xfId="0" applyFont="1" applyFill="1" applyBorder="1" applyAlignment="1">
      <alignment vertical="center"/>
    </xf>
    <xf numFmtId="0" fontId="248" fillId="72" borderId="568" xfId="0" applyFont="1" applyFill="1" applyBorder="1" applyAlignment="1">
      <alignment vertical="center"/>
    </xf>
    <xf numFmtId="0" fontId="248" fillId="72" borderId="569" xfId="0" applyFont="1" applyFill="1" applyBorder="1" applyAlignment="1">
      <alignment vertical="center"/>
    </xf>
    <xf numFmtId="0" fontId="262" fillId="72" borderId="559" xfId="0" applyFont="1" applyFill="1" applyBorder="1" applyAlignment="1">
      <alignment vertical="center"/>
    </xf>
    <xf numFmtId="0" fontId="248" fillId="72" borderId="572" xfId="0" applyFont="1" applyFill="1" applyBorder="1" applyAlignment="1">
      <alignment vertical="center"/>
    </xf>
    <xf numFmtId="0" fontId="256" fillId="72" borderId="574" xfId="0" applyFont="1" applyFill="1" applyBorder="1" applyAlignment="1">
      <alignment horizontal="left" vertical="center"/>
    </xf>
    <xf numFmtId="0" fontId="248" fillId="72" borderId="575" xfId="0" applyFont="1" applyFill="1" applyBorder="1" applyAlignment="1">
      <alignment vertical="center"/>
    </xf>
    <xf numFmtId="0" fontId="248" fillId="72" borderId="576" xfId="0" applyFont="1" applyFill="1" applyBorder="1" applyAlignment="1">
      <alignment vertical="center"/>
    </xf>
    <xf numFmtId="0" fontId="248" fillId="72" borderId="577" xfId="0" applyFont="1" applyFill="1" applyBorder="1" applyAlignment="1">
      <alignment vertical="center"/>
    </xf>
    <xf numFmtId="0" fontId="248" fillId="72" borderId="549" xfId="0" applyFont="1" applyFill="1" applyBorder="1" applyAlignment="1">
      <alignment horizontal="center" vertical="center"/>
    </xf>
    <xf numFmtId="0" fontId="248" fillId="72" borderId="547" xfId="0" applyFont="1" applyFill="1" applyBorder="1" applyAlignment="1">
      <alignment horizontal="left" vertical="center" indent="1"/>
    </xf>
    <xf numFmtId="41" fontId="248" fillId="72" borderId="549" xfId="0" applyNumberFormat="1" applyFont="1" applyFill="1" applyBorder="1" applyAlignment="1">
      <alignment horizontal="right" vertical="center"/>
    </xf>
    <xf numFmtId="0" fontId="256" fillId="72" borderId="583" xfId="0" applyFont="1" applyFill="1" applyBorder="1" applyAlignment="1">
      <alignment horizontal="left" vertical="center"/>
    </xf>
    <xf numFmtId="0" fontId="248" fillId="72" borderId="584" xfId="0" applyFont="1" applyFill="1" applyBorder="1" applyAlignment="1">
      <alignment vertical="center"/>
    </xf>
    <xf numFmtId="0" fontId="248" fillId="72" borderId="585" xfId="0" applyFont="1" applyFill="1" applyBorder="1" applyAlignment="1">
      <alignment vertical="center"/>
    </xf>
    <xf numFmtId="0" fontId="263" fillId="72" borderId="583" xfId="0" applyFont="1" applyFill="1" applyBorder="1" applyAlignment="1">
      <alignment horizontal="left" vertical="center"/>
    </xf>
    <xf numFmtId="0" fontId="248" fillId="72" borderId="553" xfId="0" applyFont="1" applyFill="1" applyBorder="1" applyAlignment="1">
      <alignment vertical="center"/>
    </xf>
    <xf numFmtId="0" fontId="248" fillId="72" borderId="590" xfId="0" applyFont="1" applyFill="1" applyBorder="1" applyAlignment="1">
      <alignment vertical="center"/>
    </xf>
    <xf numFmtId="0" fontId="256" fillId="72" borderId="571" xfId="0" applyFont="1" applyFill="1" applyBorder="1" applyAlignment="1">
      <alignment horizontal="left" vertical="center"/>
    </xf>
    <xf numFmtId="0" fontId="256" fillId="72" borderId="539" xfId="0" applyFont="1" applyFill="1" applyBorder="1" applyAlignment="1">
      <alignment horizontal="left" vertical="center"/>
    </xf>
    <xf numFmtId="0" fontId="248" fillId="72" borderId="593" xfId="0" applyFont="1" applyFill="1" applyBorder="1" applyAlignment="1">
      <alignment vertical="center"/>
    </xf>
    <xf numFmtId="41" fontId="248" fillId="72" borderId="589" xfId="0" applyNumberFormat="1" applyFont="1" applyFill="1" applyBorder="1" applyAlignment="1">
      <alignment horizontal="right" vertical="center"/>
    </xf>
    <xf numFmtId="41" fontId="248" fillId="72" borderId="589" xfId="0" applyNumberFormat="1" applyFont="1" applyFill="1" applyBorder="1" applyAlignment="1">
      <alignment vertical="center"/>
    </xf>
    <xf numFmtId="0" fontId="248" fillId="72" borderId="595" xfId="0" applyFont="1" applyFill="1" applyBorder="1" applyAlignment="1">
      <alignment vertical="center"/>
    </xf>
    <xf numFmtId="0" fontId="248" fillId="72" borderId="601" xfId="0" applyFont="1" applyFill="1" applyBorder="1" applyAlignment="1">
      <alignment vertical="center"/>
    </xf>
    <xf numFmtId="0" fontId="248" fillId="72" borderId="602" xfId="0" applyFont="1" applyFill="1" applyBorder="1" applyAlignment="1">
      <alignment vertical="center"/>
    </xf>
    <xf numFmtId="0" fontId="248" fillId="72" borderId="603" xfId="0" applyFont="1" applyFill="1" applyBorder="1" applyAlignment="1">
      <alignment vertical="center"/>
    </xf>
    <xf numFmtId="0" fontId="248" fillId="72" borderId="605" xfId="0" applyFont="1" applyFill="1" applyBorder="1" applyAlignment="1">
      <alignment vertical="center"/>
    </xf>
    <xf numFmtId="0" fontId="248" fillId="72" borderId="609" xfId="0" applyFont="1" applyFill="1" applyBorder="1" applyAlignment="1">
      <alignment vertical="center"/>
    </xf>
    <xf numFmtId="235" fontId="261" fillId="72" borderId="549" xfId="0" applyNumberFormat="1" applyFont="1" applyFill="1" applyBorder="1" applyAlignment="1">
      <alignment horizontal="right" vertical="center"/>
    </xf>
    <xf numFmtId="0" fontId="248" fillId="72" borderId="548" xfId="0" applyFont="1" applyFill="1" applyBorder="1" applyAlignment="1">
      <alignment horizontal="left" vertical="center" indent="1"/>
    </xf>
    <xf numFmtId="192" fontId="256" fillId="72" borderId="583" xfId="0" applyNumberFormat="1" applyFont="1" applyFill="1" applyBorder="1" applyAlignment="1">
      <alignment horizontal="left" vertical="center"/>
    </xf>
    <xf numFmtId="10" fontId="248" fillId="72" borderId="549" xfId="0" applyNumberFormat="1" applyFont="1" applyFill="1" applyBorder="1" applyAlignment="1">
      <alignment vertical="center"/>
    </xf>
    <xf numFmtId="0" fontId="248" fillId="73" borderId="528" xfId="0" applyFont="1" applyFill="1" applyBorder="1" applyAlignment="1">
      <alignment vertical="center"/>
    </xf>
    <xf numFmtId="0" fontId="270" fillId="72" borderId="528" xfId="0" applyFont="1" applyFill="1" applyBorder="1" applyAlignment="1">
      <alignment vertical="center"/>
    </xf>
    <xf numFmtId="0" fontId="271" fillId="72" borderId="528" xfId="0" applyFont="1" applyFill="1" applyBorder="1" applyAlignment="1">
      <alignment vertical="center"/>
    </xf>
    <xf numFmtId="43" fontId="248" fillId="72" borderId="528" xfId="0" applyNumberFormat="1" applyFont="1" applyFill="1" applyBorder="1" applyAlignment="1">
      <alignment vertical="center"/>
    </xf>
    <xf numFmtId="0" fontId="254" fillId="72" borderId="528" xfId="0" applyFont="1" applyFill="1" applyBorder="1" applyAlignment="1">
      <alignment vertical="center"/>
    </xf>
    <xf numFmtId="0" fontId="254" fillId="72" borderId="528" xfId="0" applyFont="1" applyFill="1" applyBorder="1" applyAlignment="1">
      <alignment horizontal="right" vertical="center"/>
    </xf>
    <xf numFmtId="291" fontId="254" fillId="72" borderId="528" xfId="0" applyNumberFormat="1" applyFont="1" applyFill="1" applyBorder="1" applyAlignment="1">
      <alignment vertical="center"/>
    </xf>
    <xf numFmtId="0" fontId="253" fillId="72" borderId="529" xfId="0" applyFont="1" applyFill="1" applyBorder="1" applyAlignment="1">
      <alignment vertical="center"/>
    </xf>
    <xf numFmtId="0" fontId="254" fillId="72" borderId="529" xfId="0" applyFont="1" applyFill="1" applyBorder="1" applyAlignment="1">
      <alignment vertical="center"/>
    </xf>
    <xf numFmtId="0" fontId="254" fillId="72" borderId="529" xfId="0" applyFont="1" applyFill="1" applyBorder="1" applyAlignment="1">
      <alignment horizontal="right" vertical="center"/>
    </xf>
    <xf numFmtId="291" fontId="254" fillId="72" borderId="529" xfId="0" applyNumberFormat="1" applyFont="1" applyFill="1" applyBorder="1" applyAlignment="1">
      <alignment vertical="center"/>
    </xf>
    <xf numFmtId="41" fontId="248" fillId="72" borderId="529" xfId="0" applyNumberFormat="1" applyFont="1" applyFill="1" applyBorder="1" applyAlignment="1">
      <alignment vertical="center"/>
    </xf>
    <xf numFmtId="0" fontId="248" fillId="72" borderId="570" xfId="0" applyFont="1" applyFill="1" applyBorder="1" applyAlignment="1">
      <alignment vertical="center"/>
    </xf>
    <xf numFmtId="0" fontId="248" fillId="72" borderId="536" xfId="0" applyFont="1" applyFill="1" applyBorder="1" applyAlignment="1">
      <alignment vertical="center"/>
    </xf>
    <xf numFmtId="0" fontId="253" fillId="72" borderId="537" xfId="0" applyFont="1" applyFill="1" applyBorder="1" applyAlignment="1">
      <alignment vertical="center"/>
    </xf>
    <xf numFmtId="0" fontId="254" fillId="72" borderId="537" xfId="0" applyFont="1" applyFill="1" applyBorder="1" applyAlignment="1">
      <alignment vertical="center"/>
    </xf>
    <xf numFmtId="0" fontId="256" fillId="72" borderId="537" xfId="0" applyFont="1" applyFill="1" applyBorder="1" applyAlignment="1">
      <alignment vertical="center"/>
    </xf>
    <xf numFmtId="292" fontId="254" fillId="72" borderId="537" xfId="0" applyNumberFormat="1" applyFont="1" applyFill="1" applyBorder="1" applyAlignment="1">
      <alignment vertical="center"/>
    </xf>
    <xf numFmtId="0" fontId="248" fillId="72" borderId="538" xfId="0" applyFont="1" applyFill="1" applyBorder="1" applyAlignment="1">
      <alignment vertical="center"/>
    </xf>
    <xf numFmtId="265" fontId="259" fillId="76" borderId="543" xfId="0" applyNumberFormat="1" applyFont="1" applyFill="1" applyBorder="1" applyAlignment="1">
      <alignment horizontal="center" vertical="center"/>
    </xf>
    <xf numFmtId="0" fontId="260" fillId="76" borderId="542" xfId="0" applyFont="1" applyFill="1" applyBorder="1" applyAlignment="1">
      <alignment horizontal="center" vertical="center"/>
    </xf>
    <xf numFmtId="0" fontId="260" fillId="76" borderId="543" xfId="0" applyFont="1" applyFill="1" applyBorder="1" applyAlignment="1">
      <alignment horizontal="center" vertical="center"/>
    </xf>
    <xf numFmtId="289" fontId="258" fillId="76" borderId="549" xfId="0" quotePrefix="1" applyNumberFormat="1" applyFont="1" applyFill="1" applyBorder="1" applyAlignment="1">
      <alignment horizontal="center" vertical="center"/>
    </xf>
    <xf numFmtId="265" fontId="254" fillId="72" borderId="549" xfId="0" applyNumberFormat="1" applyFont="1" applyFill="1" applyBorder="1" applyAlignment="1">
      <alignment vertical="center"/>
    </xf>
    <xf numFmtId="265" fontId="261" fillId="72" borderId="549" xfId="0" applyNumberFormat="1" applyFont="1" applyFill="1" applyBorder="1" applyAlignment="1">
      <alignment vertical="center"/>
    </xf>
    <xf numFmtId="0" fontId="256" fillId="72" borderId="547" xfId="0" applyFont="1" applyFill="1" applyBorder="1" applyAlignment="1">
      <alignment horizontal="left" vertical="center" indent="1"/>
    </xf>
    <xf numFmtId="0" fontId="261" fillId="72" borderId="550" xfId="0" applyFont="1" applyFill="1" applyBorder="1" applyAlignment="1">
      <alignment horizontal="left" vertical="center" indent="1"/>
    </xf>
    <xf numFmtId="242" fontId="248" fillId="72" borderId="546" xfId="0" applyNumberFormat="1" applyFont="1" applyFill="1" applyBorder="1" applyAlignment="1">
      <alignment vertical="center"/>
    </xf>
    <xf numFmtId="293" fontId="248" fillId="72" borderId="528" xfId="0" applyNumberFormat="1" applyFont="1" applyFill="1" applyBorder="1" applyAlignment="1">
      <alignment vertical="center"/>
    </xf>
    <xf numFmtId="0" fontId="256" fillId="72" borderId="547" xfId="0" applyFont="1" applyFill="1" applyBorder="1" applyAlignment="1">
      <alignment vertical="center"/>
    </xf>
    <xf numFmtId="192" fontId="251" fillId="72" borderId="549" xfId="0" applyNumberFormat="1" applyFont="1" applyFill="1" applyBorder="1" applyAlignment="1">
      <alignment vertical="center"/>
    </xf>
    <xf numFmtId="0" fontId="261" fillId="72" borderId="549" xfId="0" applyFont="1" applyFill="1" applyBorder="1" applyAlignment="1">
      <alignment vertical="center"/>
    </xf>
    <xf numFmtId="262" fontId="254" fillId="72" borderId="548" xfId="0" applyNumberFormat="1" applyFont="1" applyFill="1" applyBorder="1" applyAlignment="1">
      <alignment vertical="center"/>
    </xf>
    <xf numFmtId="0" fontId="248" fillId="77" borderId="548" xfId="0" applyFont="1" applyFill="1" applyBorder="1" applyAlignment="1">
      <alignment vertical="center"/>
    </xf>
    <xf numFmtId="0" fontId="262" fillId="72" borderId="549" xfId="0" applyFont="1" applyFill="1" applyBorder="1" applyAlignment="1">
      <alignment vertical="center"/>
    </xf>
    <xf numFmtId="0" fontId="248" fillId="72" borderId="599" xfId="0" applyFont="1" applyFill="1" applyBorder="1" applyAlignment="1">
      <alignment vertical="center"/>
    </xf>
    <xf numFmtId="0" fontId="248" fillId="72" borderId="608" xfId="0" applyFont="1" applyFill="1" applyBorder="1" applyAlignment="1">
      <alignment vertical="center"/>
    </xf>
    <xf numFmtId="0" fontId="262" fillId="72" borderId="548" xfId="0" applyFont="1" applyFill="1" applyBorder="1" applyAlignment="1">
      <alignment vertical="center"/>
    </xf>
    <xf numFmtId="0" fontId="261" fillId="72" borderId="549" xfId="0" applyFont="1" applyFill="1" applyBorder="1" applyAlignment="1">
      <alignment horizontal="left" vertical="center"/>
    </xf>
    <xf numFmtId="0" fontId="248" fillId="72" borderId="613" xfId="0" applyFont="1" applyFill="1" applyBorder="1" applyAlignment="1">
      <alignment vertical="center"/>
    </xf>
    <xf numFmtId="0" fontId="248" fillId="72" borderId="614" xfId="0" applyFont="1" applyFill="1" applyBorder="1" applyAlignment="1">
      <alignment vertical="center"/>
    </xf>
    <xf numFmtId="293" fontId="248" fillId="72" borderId="539" xfId="0" applyNumberFormat="1" applyFont="1" applyFill="1" applyBorder="1" applyAlignment="1">
      <alignment vertical="center"/>
    </xf>
    <xf numFmtId="41" fontId="248" fillId="72" borderId="539" xfId="0" applyNumberFormat="1" applyFont="1" applyFill="1" applyBorder="1" applyAlignment="1">
      <alignment vertical="center"/>
    </xf>
    <xf numFmtId="192" fontId="248" fillId="72" borderId="528" xfId="0" applyNumberFormat="1" applyFont="1" applyFill="1" applyBorder="1" applyAlignment="1">
      <alignment vertical="center"/>
    </xf>
    <xf numFmtId="192" fontId="262" fillId="77" borderId="548" xfId="0" applyNumberFormat="1" applyFont="1" applyFill="1" applyBorder="1" applyAlignment="1">
      <alignment vertical="center"/>
    </xf>
    <xf numFmtId="0" fontId="261" fillId="72" borderId="527" xfId="0" applyFont="1" applyFill="1" applyBorder="1" applyAlignment="1">
      <alignment vertical="center"/>
    </xf>
    <xf numFmtId="235" fontId="248" fillId="72" borderId="528" xfId="0" applyNumberFormat="1" applyFont="1" applyFill="1" applyBorder="1" applyAlignment="1">
      <alignment vertical="center"/>
    </xf>
    <xf numFmtId="10" fontId="248" fillId="72" borderId="528" xfId="0" applyNumberFormat="1" applyFont="1" applyFill="1" applyBorder="1" applyAlignment="1">
      <alignment vertical="center"/>
    </xf>
    <xf numFmtId="0" fontId="248" fillId="72" borderId="610" xfId="0" applyFont="1" applyFill="1" applyBorder="1" applyAlignment="1">
      <alignment vertical="center"/>
    </xf>
    <xf numFmtId="0" fontId="268" fillId="76" borderId="573" xfId="0" applyFont="1" applyFill="1" applyBorder="1" applyAlignment="1">
      <alignment horizontal="center" vertical="center"/>
    </xf>
    <xf numFmtId="0" fontId="248" fillId="72" borderId="571" xfId="0" applyFont="1" applyFill="1" applyBorder="1" applyAlignment="1">
      <alignment vertical="center"/>
    </xf>
    <xf numFmtId="0" fontId="266" fillId="72" borderId="548" xfId="0" applyFont="1" applyFill="1" applyBorder="1" applyAlignment="1">
      <alignment horizontal="left" vertical="center" indent="1"/>
    </xf>
    <xf numFmtId="0" fontId="251" fillId="72" borderId="529" xfId="0" applyFont="1" applyFill="1" applyBorder="1" applyAlignment="1">
      <alignment horizontal="left" vertical="center"/>
    </xf>
    <xf numFmtId="0" fontId="248" fillId="72" borderId="581" xfId="0" applyFont="1" applyFill="1" applyBorder="1" applyAlignment="1">
      <alignment vertical="center"/>
    </xf>
    <xf numFmtId="0" fontId="248" fillId="72" borderId="582" xfId="0" applyFont="1" applyFill="1" applyBorder="1" applyAlignment="1">
      <alignment vertical="center"/>
    </xf>
    <xf numFmtId="0" fontId="268" fillId="76" borderId="586" xfId="0" applyFont="1" applyFill="1" applyBorder="1" applyAlignment="1">
      <alignment horizontal="center" vertical="center"/>
    </xf>
    <xf numFmtId="0" fontId="266" fillId="77" borderId="548" xfId="0" applyFont="1" applyFill="1" applyBorder="1" applyAlignment="1">
      <alignment vertical="center"/>
    </xf>
    <xf numFmtId="0" fontId="268" fillId="76" borderId="586" xfId="0" applyFont="1" applyFill="1" applyBorder="1" applyAlignment="1">
      <alignment horizontal="left" vertical="center"/>
    </xf>
    <xf numFmtId="0" fontId="261" fillId="72" borderId="553" xfId="0" applyFont="1" applyFill="1" applyBorder="1" applyAlignment="1">
      <alignment vertical="center"/>
    </xf>
    <xf numFmtId="0" fontId="248" fillId="72" borderId="588" xfId="0" applyFont="1" applyFill="1" applyBorder="1" applyAlignment="1">
      <alignment vertical="center"/>
    </xf>
    <xf numFmtId="0" fontId="248" fillId="72" borderId="589" xfId="0" applyFont="1" applyFill="1" applyBorder="1" applyAlignment="1">
      <alignment vertical="center"/>
    </xf>
    <xf numFmtId="0" fontId="268" fillId="76" borderId="591" xfId="0" applyFont="1" applyFill="1" applyBorder="1" applyAlignment="1">
      <alignment horizontal="left" vertical="top"/>
    </xf>
    <xf numFmtId="0" fontId="268" fillId="76" borderId="592" xfId="0" applyFont="1" applyFill="1" applyBorder="1" applyAlignment="1">
      <alignment vertical="top"/>
    </xf>
    <xf numFmtId="0" fontId="268" fillId="76" borderId="600" xfId="0" applyFont="1" applyFill="1" applyBorder="1" applyAlignment="1">
      <alignment vertical="top"/>
    </xf>
    <xf numFmtId="0" fontId="248" fillId="72" borderId="604" xfId="0" applyFont="1" applyFill="1" applyBorder="1" applyAlignment="1">
      <alignment vertical="center"/>
    </xf>
    <xf numFmtId="0" fontId="248" fillId="72" borderId="606" xfId="0" applyFont="1" applyFill="1" applyBorder="1" applyAlignment="1">
      <alignment vertical="center"/>
    </xf>
    <xf numFmtId="0" fontId="248" fillId="72" borderId="607" xfId="0" applyFont="1" applyFill="1" applyBorder="1" applyAlignment="1">
      <alignment vertical="center"/>
    </xf>
    <xf numFmtId="0" fontId="248" fillId="72" borderId="611" xfId="0" applyFont="1" applyFill="1" applyBorder="1" applyAlignment="1">
      <alignment vertical="center"/>
    </xf>
    <xf numFmtId="0" fontId="248" fillId="72" borderId="527" xfId="0" applyFont="1" applyFill="1" applyBorder="1" applyAlignment="1">
      <alignment vertical="center"/>
    </xf>
    <xf numFmtId="0" fontId="260" fillId="76" borderId="579" xfId="0" applyFont="1" applyFill="1" applyBorder="1" applyAlignment="1">
      <alignment horizontal="center" vertical="center"/>
    </xf>
    <xf numFmtId="192" fontId="248" fillId="72" borderId="550" xfId="0" applyNumberFormat="1" applyFont="1" applyFill="1" applyBorder="1" applyAlignment="1">
      <alignment vertical="center"/>
    </xf>
    <xf numFmtId="0" fontId="269" fillId="74" borderId="539" xfId="0" applyFont="1" applyFill="1" applyBorder="1" applyAlignment="1">
      <alignment vertical="center"/>
    </xf>
    <xf numFmtId="0" fontId="248" fillId="74" borderId="539" xfId="0" applyFont="1" applyFill="1" applyBorder="1" applyAlignment="1">
      <alignment vertical="center"/>
    </xf>
    <xf numFmtId="0" fontId="269" fillId="72" borderId="528" xfId="0" applyFont="1" applyFill="1" applyBorder="1" applyAlignment="1">
      <alignment vertical="center"/>
    </xf>
    <xf numFmtId="0" fontId="269" fillId="74" borderId="528" xfId="0" applyFont="1" applyFill="1" applyBorder="1" applyAlignment="1">
      <alignment vertical="center"/>
    </xf>
    <xf numFmtId="0" fontId="248" fillId="74" borderId="528" xfId="0" applyFont="1" applyFill="1" applyBorder="1" applyAlignment="1">
      <alignment vertical="center"/>
    </xf>
    <xf numFmtId="0" fontId="248" fillId="72" borderId="587" xfId="0" applyFont="1" applyFill="1" applyBorder="1" applyAlignment="1">
      <alignment horizontal="left" vertical="center" indent="1"/>
    </xf>
    <xf numFmtId="0" fontId="248" fillId="72" borderId="594" xfId="0" applyFont="1" applyFill="1" applyBorder="1" applyAlignment="1">
      <alignment vertical="center"/>
    </xf>
    <xf numFmtId="0" fontId="251" fillId="75" borderId="596" xfId="0" applyFont="1" applyFill="1" applyBorder="1" applyAlignment="1">
      <alignment vertical="center"/>
    </xf>
    <xf numFmtId="0" fontId="248" fillId="75" borderId="597" xfId="0" applyFont="1" applyFill="1" applyBorder="1" applyAlignment="1">
      <alignment vertical="center"/>
    </xf>
    <xf numFmtId="41" fontId="251" fillId="75" borderId="598" xfId="0" applyNumberFormat="1" applyFont="1" applyFill="1" applyBorder="1" applyAlignment="1">
      <alignment vertical="center"/>
    </xf>
    <xf numFmtId="0" fontId="248" fillId="72" borderId="612" xfId="0" applyFont="1" applyFill="1" applyBorder="1" applyAlignment="1">
      <alignment vertical="center"/>
    </xf>
    <xf numFmtId="10" fontId="261" fillId="72" borderId="549" xfId="0" applyNumberFormat="1" applyFont="1" applyFill="1" applyBorder="1" applyAlignment="1">
      <alignment vertical="center"/>
    </xf>
    <xf numFmtId="10" fontId="263" fillId="72" borderId="549" xfId="0" applyNumberFormat="1" applyFont="1" applyFill="1" applyBorder="1" applyAlignment="1">
      <alignment vertical="center"/>
    </xf>
    <xf numFmtId="4" fontId="256" fillId="72" borderId="574" xfId="0" applyNumberFormat="1" applyFont="1" applyFill="1" applyBorder="1" applyAlignment="1">
      <alignment horizontal="left" vertical="center"/>
    </xf>
    <xf numFmtId="268" fontId="256" fillId="72" borderId="574" xfId="0" applyNumberFormat="1" applyFont="1" applyFill="1" applyBorder="1" applyAlignment="1">
      <alignment horizontal="left" vertical="center"/>
    </xf>
    <xf numFmtId="3" fontId="266" fillId="72" borderId="566" xfId="0" applyNumberFormat="1" applyFont="1" applyFill="1" applyBorder="1" applyAlignment="1">
      <alignment vertical="center"/>
    </xf>
    <xf numFmtId="3" fontId="248" fillId="72" borderId="549" xfId="0" applyNumberFormat="1" applyFont="1" applyFill="1" applyBorder="1" applyAlignment="1">
      <alignment vertical="center"/>
    </xf>
    <xf numFmtId="3" fontId="248" fillId="72" borderId="589" xfId="0" applyNumberFormat="1" applyFont="1" applyFill="1" applyBorder="1" applyAlignment="1">
      <alignment vertical="center"/>
    </xf>
    <xf numFmtId="211" fontId="248" fillId="72" borderId="549" xfId="0" applyNumberFormat="1" applyFont="1" applyFill="1" applyBorder="1" applyAlignment="1">
      <alignment vertical="center"/>
    </xf>
    <xf numFmtId="200" fontId="248" fillId="72" borderId="549" xfId="0" applyNumberFormat="1" applyFont="1" applyFill="1" applyBorder="1" applyAlignment="1">
      <alignment vertical="center"/>
    </xf>
    <xf numFmtId="200" fontId="248" fillId="72" borderId="550" xfId="0" applyNumberFormat="1" applyFont="1" applyFill="1" applyBorder="1" applyAlignment="1">
      <alignment vertical="center"/>
    </xf>
    <xf numFmtId="196" fontId="248" fillId="72" borderId="549" xfId="0" applyNumberFormat="1" applyFont="1" applyFill="1" applyBorder="1" applyAlignment="1">
      <alignment vertical="center"/>
    </xf>
    <xf numFmtId="294" fontId="248" fillId="72" borderId="549" xfId="0" applyNumberFormat="1" applyFont="1" applyFill="1" applyBorder="1" applyAlignment="1">
      <alignment vertical="center"/>
    </xf>
    <xf numFmtId="0" fontId="11" fillId="0" borderId="527" xfId="0" applyFont="1" applyBorder="1">
      <alignment vertical="center"/>
    </xf>
    <xf numFmtId="10" fontId="57" fillId="15" borderId="527" xfId="0" applyNumberFormat="1" applyFont="1" applyFill="1" applyBorder="1">
      <alignment vertical="center"/>
    </xf>
    <xf numFmtId="219" fontId="57" fillId="15" borderId="527" xfId="0" applyNumberFormat="1" applyFont="1" applyFill="1" applyBorder="1">
      <alignment vertical="center"/>
    </xf>
    <xf numFmtId="10" fontId="14" fillId="0" borderId="527" xfId="0" applyNumberFormat="1" applyFont="1" applyBorder="1" applyAlignment="1">
      <alignment horizontal="right" vertical="center"/>
    </xf>
    <xf numFmtId="176" fontId="11" fillId="0" borderId="615" xfId="0" applyNumberFormat="1" applyFont="1" applyBorder="1">
      <alignment vertical="center"/>
    </xf>
    <xf numFmtId="0" fontId="10" fillId="10" borderId="0" xfId="0" applyFont="1" applyFill="1">
      <alignment vertical="center"/>
    </xf>
    <xf numFmtId="10" fontId="10" fillId="10" borderId="0" xfId="0" applyNumberFormat="1" applyFont="1" applyFill="1">
      <alignment vertical="center"/>
    </xf>
    <xf numFmtId="10" fontId="18" fillId="10" borderId="0" xfId="0" applyNumberFormat="1" applyFont="1" applyFill="1">
      <alignment vertical="center"/>
    </xf>
    <xf numFmtId="0" fontId="70" fillId="65" borderId="467" xfId="0" applyFont="1" applyFill="1" applyBorder="1" applyAlignment="1">
      <alignment horizontal="center" vertical="center" wrapText="1" readingOrder="1"/>
    </xf>
    <xf numFmtId="0" fontId="67" fillId="65" borderId="618" xfId="0" applyFont="1" applyFill="1" applyBorder="1" applyAlignment="1">
      <alignment horizontal="center" vertical="center" wrapText="1" readingOrder="1"/>
    </xf>
    <xf numFmtId="0" fontId="272" fillId="37" borderId="455" xfId="0" applyFont="1" applyFill="1" applyBorder="1" applyAlignment="1">
      <alignment horizontal="center" vertical="center" wrapText="1" readingOrder="1"/>
    </xf>
    <xf numFmtId="0" fontId="272" fillId="37" borderId="498" xfId="0" applyFont="1" applyFill="1" applyBorder="1" applyAlignment="1">
      <alignment horizontal="center" vertical="center" wrapText="1" readingOrder="1"/>
    </xf>
    <xf numFmtId="0" fontId="272" fillId="37" borderId="447" xfId="0" applyFont="1" applyFill="1" applyBorder="1" applyAlignment="1">
      <alignment horizontal="center" vertical="center" wrapText="1" readingOrder="1"/>
    </xf>
    <xf numFmtId="226" fontId="67" fillId="0" borderId="440" xfId="0" applyNumberFormat="1" applyFont="1" applyFill="1" applyBorder="1" applyAlignment="1">
      <alignment horizontal="center" vertical="center" wrapText="1" readingOrder="1"/>
    </xf>
    <xf numFmtId="226" fontId="67" fillId="0" borderId="619" xfId="0" applyNumberFormat="1" applyFont="1" applyFill="1" applyBorder="1" applyAlignment="1">
      <alignment horizontal="center" vertical="center" wrapText="1" readingOrder="1"/>
    </xf>
    <xf numFmtId="226" fontId="59" fillId="0" borderId="619" xfId="0" applyNumberFormat="1" applyFont="1" applyFill="1" applyBorder="1" applyAlignment="1">
      <alignment horizontal="center" vertical="center" wrapText="1"/>
    </xf>
    <xf numFmtId="0" fontId="23" fillId="0" borderId="0" xfId="0" quotePrefix="1" applyFont="1">
      <alignment vertical="center"/>
    </xf>
    <xf numFmtId="10" fontId="69" fillId="37" borderId="304" xfId="0" applyNumberFormat="1" applyFont="1" applyFill="1" applyBorder="1" applyAlignment="1">
      <alignment horizontal="right" vertical="center" wrapText="1"/>
    </xf>
    <xf numFmtId="176" fontId="73" fillId="0" borderId="0" xfId="0" applyNumberFormat="1" applyFont="1">
      <alignment vertical="center"/>
    </xf>
    <xf numFmtId="0" fontId="184" fillId="53" borderId="509" xfId="0" applyFont="1" applyFill="1" applyBorder="1" applyAlignment="1">
      <alignment horizontal="center" vertical="center" wrapText="1"/>
    </xf>
    <xf numFmtId="0" fontId="184" fillId="53" borderId="425" xfId="0" applyFont="1" applyFill="1" applyBorder="1" applyAlignment="1">
      <alignment horizontal="center" vertical="center" wrapText="1"/>
    </xf>
    <xf numFmtId="0" fontId="184" fillId="53" borderId="424" xfId="0" applyFont="1" applyFill="1" applyBorder="1" applyAlignment="1">
      <alignment horizontal="center" vertical="center" wrapText="1"/>
    </xf>
    <xf numFmtId="0" fontId="184" fillId="53" borderId="506" xfId="0" applyFont="1" applyFill="1" applyBorder="1" applyAlignment="1">
      <alignment horizontal="center" vertical="center" wrapText="1"/>
    </xf>
    <xf numFmtId="0" fontId="184" fillId="53" borderId="505" xfId="0" applyFont="1" applyFill="1" applyBorder="1" applyAlignment="1">
      <alignment horizontal="center" vertical="center" wrapText="1"/>
    </xf>
    <xf numFmtId="0" fontId="67" fillId="37" borderId="308" xfId="0" applyFont="1" applyFill="1" applyBorder="1" applyAlignment="1">
      <alignment horizontal="center" vertical="center" wrapText="1" readingOrder="1"/>
    </xf>
    <xf numFmtId="0" fontId="67" fillId="37" borderId="284" xfId="0" applyFont="1" applyFill="1" applyBorder="1" applyAlignment="1">
      <alignment horizontal="center" vertical="center" wrapText="1" readingOrder="1"/>
    </xf>
    <xf numFmtId="0" fontId="67" fillId="36" borderId="306" xfId="0" applyFont="1" applyFill="1" applyBorder="1" applyAlignment="1">
      <alignment horizontal="center" vertical="center" wrapText="1" readingOrder="1"/>
    </xf>
    <xf numFmtId="0" fontId="67" fillId="36" borderId="415" xfId="0" applyFont="1" applyFill="1" applyBorder="1" applyAlignment="1">
      <alignment horizontal="center" vertical="center" wrapText="1" readingOrder="1"/>
    </xf>
    <xf numFmtId="0" fontId="67" fillId="36" borderId="365" xfId="0" applyFont="1" applyFill="1" applyBorder="1" applyAlignment="1">
      <alignment horizontal="center" vertical="center" wrapText="1" readingOrder="1"/>
    </xf>
    <xf numFmtId="0" fontId="67" fillId="36" borderId="416" xfId="0" applyFont="1" applyFill="1" applyBorder="1" applyAlignment="1">
      <alignment horizontal="center" vertical="center" wrapText="1" readingOrder="1"/>
    </xf>
    <xf numFmtId="9" fontId="67" fillId="35" borderId="322" xfId="0" applyNumberFormat="1" applyFont="1" applyFill="1" applyBorder="1" applyAlignment="1">
      <alignment horizontal="center" vertical="center" wrapText="1" readingOrder="1"/>
    </xf>
    <xf numFmtId="9" fontId="67" fillId="35" borderId="282" xfId="0" applyNumberFormat="1" applyFont="1" applyFill="1" applyBorder="1" applyAlignment="1">
      <alignment horizontal="center" vertical="center" wrapText="1" readingOrder="1"/>
    </xf>
    <xf numFmtId="9" fontId="67" fillId="35" borderId="412" xfId="0" applyNumberFormat="1" applyFont="1" applyFill="1" applyBorder="1" applyAlignment="1">
      <alignment horizontal="center" vertical="center" wrapText="1" readingOrder="1"/>
    </xf>
    <xf numFmtId="9" fontId="67" fillId="35" borderId="413" xfId="0" applyNumberFormat="1" applyFont="1" applyFill="1" applyBorder="1" applyAlignment="1">
      <alignment horizontal="center" vertical="center" wrapText="1" readingOrder="1"/>
    </xf>
    <xf numFmtId="0" fontId="67" fillId="35" borderId="414" xfId="0" applyFont="1" applyFill="1" applyBorder="1" applyAlignment="1">
      <alignment horizontal="center" vertical="center" wrapText="1" readingOrder="1"/>
    </xf>
    <xf numFmtId="0" fontId="67" fillId="35" borderId="300" xfId="0" applyFont="1" applyFill="1" applyBorder="1" applyAlignment="1">
      <alignment horizontal="center" vertical="center" wrapText="1" readingOrder="1"/>
    </xf>
    <xf numFmtId="0" fontId="11" fillId="6" borderId="24" xfId="0" applyFont="1" applyFill="1" applyBorder="1">
      <alignment vertical="center"/>
    </xf>
    <xf numFmtId="0" fontId="11" fillId="6" borderId="29" xfId="0" applyFont="1" applyFill="1" applyBorder="1">
      <alignment vertical="center"/>
    </xf>
    <xf numFmtId="0" fontId="11" fillId="6" borderId="30" xfId="0" applyFont="1" applyFill="1" applyBorder="1">
      <alignment vertical="center"/>
    </xf>
    <xf numFmtId="0" fontId="11" fillId="6" borderId="32" xfId="0" applyFont="1" applyFill="1" applyBorder="1">
      <alignment vertical="center"/>
    </xf>
    <xf numFmtId="0" fontId="67" fillId="35" borderId="364" xfId="0" applyFont="1" applyFill="1" applyBorder="1" applyAlignment="1">
      <alignment horizontal="center" vertical="center" wrapText="1" readingOrder="1"/>
    </xf>
    <xf numFmtId="0" fontId="67" fillId="35" borderId="365" xfId="0" applyFont="1" applyFill="1" applyBorder="1" applyAlignment="1">
      <alignment horizontal="center" vertical="center" wrapText="1" readingOrder="1"/>
    </xf>
    <xf numFmtId="0" fontId="184" fillId="53" borderId="438" xfId="0" applyFont="1" applyFill="1" applyBorder="1" applyAlignment="1">
      <alignment horizontal="center" vertical="center" wrapText="1"/>
    </xf>
    <xf numFmtId="0" fontId="184" fillId="53" borderId="0" xfId="0" applyFont="1" applyFill="1" applyAlignment="1">
      <alignment horizontal="center" vertical="center" wrapText="1"/>
    </xf>
    <xf numFmtId="0" fontId="259" fillId="76" borderId="543" xfId="0" applyFont="1" applyFill="1" applyBorder="1" applyAlignment="1">
      <alignment horizontal="left" vertical="center"/>
    </xf>
    <xf numFmtId="0" fontId="247" fillId="72" borderId="542" xfId="0" applyFont="1" applyFill="1" applyBorder="1" applyAlignment="1"/>
    <xf numFmtId="0" fontId="257" fillId="76" borderId="549" xfId="0" applyFont="1" applyFill="1" applyBorder="1" applyAlignment="1">
      <alignment horizontal="center" vertical="center"/>
    </xf>
    <xf numFmtId="0" fontId="247" fillId="72" borderId="550" xfId="0" applyFont="1" applyFill="1" applyBorder="1" applyAlignment="1"/>
    <xf numFmtId="0" fontId="260" fillId="76" borderId="543" xfId="0" applyFont="1" applyFill="1" applyBorder="1" applyAlignment="1">
      <alignment horizontal="center" vertical="center"/>
    </xf>
    <xf numFmtId="0" fontId="260" fillId="76" borderId="541" xfId="0" applyFont="1" applyFill="1" applyBorder="1" applyAlignment="1">
      <alignment horizontal="center" vertical="center"/>
    </xf>
    <xf numFmtId="0" fontId="247" fillId="72" borderId="578" xfId="0" applyFont="1" applyFill="1" applyBorder="1" applyAlignment="1"/>
    <xf numFmtId="0" fontId="260" fillId="76" borderId="591" xfId="0" applyFont="1" applyFill="1" applyBorder="1" applyAlignment="1">
      <alignment horizontal="center" vertical="center"/>
    </xf>
    <xf numFmtId="0" fontId="247" fillId="72" borderId="580" xfId="0" applyFont="1" applyFill="1" applyBorder="1" applyAlignment="1"/>
    <xf numFmtId="0" fontId="177" fillId="55" borderId="142" xfId="0" applyFont="1" applyFill="1" applyBorder="1" applyAlignment="1">
      <alignment vertical="center" wrapText="1"/>
    </xf>
    <xf numFmtId="0" fontId="177" fillId="55" borderId="210" xfId="0" applyFont="1" applyFill="1" applyBorder="1" applyAlignment="1">
      <alignment vertical="center" wrapText="1"/>
    </xf>
    <xf numFmtId="0" fontId="177" fillId="55" borderId="159" xfId="0" applyFont="1" applyFill="1" applyBorder="1" applyAlignment="1">
      <alignment horizontal="left" vertical="center" wrapText="1"/>
    </xf>
    <xf numFmtId="0" fontId="177" fillId="37" borderId="159" xfId="0" applyFont="1" applyFill="1" applyBorder="1" applyAlignment="1">
      <alignment horizontal="justify" vertical="center" wrapText="1"/>
    </xf>
    <xf numFmtId="0" fontId="176" fillId="53" borderId="159" xfId="0" applyFont="1" applyFill="1" applyBorder="1" applyAlignment="1">
      <alignment horizontal="center" vertical="center" wrapText="1"/>
    </xf>
    <xf numFmtId="0" fontId="177" fillId="0" borderId="159" xfId="0" applyFont="1" applyBorder="1" applyAlignment="1">
      <alignment horizontal="justify" vertical="center" wrapText="1"/>
    </xf>
    <xf numFmtId="0" fontId="177" fillId="54" borderId="159" xfId="0" applyFont="1" applyFill="1" applyBorder="1" applyAlignment="1">
      <alignment horizontal="justify" vertical="center" wrapText="1"/>
    </xf>
    <xf numFmtId="0" fontId="177" fillId="37" borderId="159" xfId="0" applyFont="1" applyFill="1" applyBorder="1" applyAlignment="1">
      <alignment horizontal="left" vertical="center" wrapText="1"/>
    </xf>
    <xf numFmtId="0" fontId="177" fillId="37" borderId="142" xfId="0" applyFont="1" applyFill="1" applyBorder="1" applyAlignment="1">
      <alignment horizontal="justify" vertical="center" wrapText="1"/>
    </xf>
    <xf numFmtId="0" fontId="177" fillId="37" borderId="210" xfId="0" applyFont="1" applyFill="1" applyBorder="1" applyAlignment="1">
      <alignment horizontal="justify" vertical="center" wrapText="1"/>
    </xf>
    <xf numFmtId="0" fontId="218" fillId="64" borderId="449" xfId="25" applyFont="1" applyFill="1" applyBorder="1" applyAlignment="1">
      <alignment horizontal="center" vertical="center"/>
    </xf>
    <xf numFmtId="0" fontId="218" fillId="64" borderId="448" xfId="25" applyFont="1" applyFill="1" applyBorder="1" applyAlignment="1">
      <alignment horizontal="center" vertical="center"/>
    </xf>
    <xf numFmtId="0" fontId="215" fillId="63" borderId="449" xfId="25" applyFont="1" applyFill="1" applyBorder="1" applyAlignment="1">
      <alignment horizontal="center" vertical="center"/>
    </xf>
    <xf numFmtId="0" fontId="215" fillId="63" borderId="448" xfId="25" applyFont="1" applyFill="1" applyBorder="1" applyAlignment="1">
      <alignment horizontal="center" vertical="center"/>
    </xf>
    <xf numFmtId="0" fontId="215" fillId="63" borderId="442" xfId="25" applyFont="1" applyFill="1" applyBorder="1" applyAlignment="1">
      <alignment horizontal="center" vertical="center"/>
    </xf>
    <xf numFmtId="0" fontId="215" fillId="63" borderId="441" xfId="25" applyFont="1" applyFill="1" applyBorder="1" applyAlignment="1">
      <alignment horizontal="center" vertical="center"/>
    </xf>
    <xf numFmtId="0" fontId="215" fillId="63" borderId="493" xfId="26" applyBorder="1">
      <alignment horizontal="center" vertical="center"/>
    </xf>
    <xf numFmtId="0" fontId="215" fillId="63" borderId="494" xfId="26" applyBorder="1">
      <alignment horizontal="center" vertical="center"/>
    </xf>
    <xf numFmtId="0" fontId="216" fillId="64" borderId="445" xfId="25" applyFont="1" applyFill="1" applyBorder="1" applyAlignment="1">
      <alignment horizontal="justify" vertical="center"/>
    </xf>
    <xf numFmtId="0" fontId="216" fillId="64" borderId="446" xfId="25" applyFont="1" applyFill="1" applyBorder="1" applyAlignment="1">
      <alignment horizontal="justify" vertical="center"/>
    </xf>
    <xf numFmtId="0" fontId="216" fillId="64" borderId="443" xfId="25" applyFont="1" applyFill="1" applyBorder="1" applyAlignment="1">
      <alignment horizontal="justify" vertical="center"/>
    </xf>
    <xf numFmtId="0" fontId="216" fillId="64" borderId="442" xfId="25" applyFont="1" applyFill="1" applyBorder="1" applyAlignment="1">
      <alignment horizontal="left" vertical="center"/>
    </xf>
    <xf numFmtId="0" fontId="216" fillId="64" borderId="441" xfId="25" applyFont="1" applyFill="1" applyBorder="1" applyAlignment="1">
      <alignment horizontal="left" vertical="center"/>
    </xf>
    <xf numFmtId="0" fontId="218" fillId="64" borderId="442" xfId="25" applyFont="1" applyFill="1" applyBorder="1" applyAlignment="1">
      <alignment horizontal="left" vertical="center"/>
    </xf>
    <xf numFmtId="0" fontId="218" fillId="64" borderId="441" xfId="25" applyFont="1" applyFill="1" applyBorder="1" applyAlignment="1">
      <alignment horizontal="left" vertical="center"/>
    </xf>
    <xf numFmtId="0" fontId="215" fillId="63" borderId="457" xfId="25" applyFont="1" applyFill="1" applyBorder="1" applyAlignment="1">
      <alignment horizontal="center" vertical="center"/>
    </xf>
    <xf numFmtId="0" fontId="215" fillId="63" borderId="450" xfId="25" applyFont="1" applyFill="1" applyBorder="1" applyAlignment="1">
      <alignment horizontal="center" vertical="center"/>
    </xf>
    <xf numFmtId="0" fontId="215" fillId="63" borderId="465" xfId="25" applyFont="1" applyFill="1" applyBorder="1" applyAlignment="1">
      <alignment horizontal="center" vertical="center"/>
    </xf>
    <xf numFmtId="0" fontId="219" fillId="63" borderId="455" xfId="26" applyFont="1" applyBorder="1">
      <alignment horizontal="center" vertical="center"/>
    </xf>
    <xf numFmtId="0" fontId="219" fillId="63" borderId="456" xfId="26" applyFont="1" applyBorder="1">
      <alignment horizontal="center" vertical="center"/>
    </xf>
    <xf numFmtId="0" fontId="218" fillId="64" borderId="442" xfId="25" applyFont="1" applyFill="1" applyBorder="1" applyAlignment="1">
      <alignment horizontal="center" vertical="center"/>
    </xf>
    <xf numFmtId="0" fontId="218" fillId="64" borderId="441" xfId="25" applyFont="1" applyFill="1" applyBorder="1" applyAlignment="1">
      <alignment horizontal="center" vertical="center"/>
    </xf>
    <xf numFmtId="0" fontId="219" fillId="63" borderId="496" xfId="27" applyFont="1" applyBorder="1">
      <alignment horizontal="center" vertical="center"/>
    </xf>
    <xf numFmtId="0" fontId="219" fillId="63" borderId="497" xfId="27" applyFont="1" applyBorder="1">
      <alignment horizontal="center" vertical="center"/>
    </xf>
    <xf numFmtId="0" fontId="215" fillId="63" borderId="455" xfId="26" applyBorder="1">
      <alignment horizontal="center" vertical="center"/>
    </xf>
    <xf numFmtId="0" fontId="215" fillId="63" borderId="456" xfId="26" applyBorder="1">
      <alignment horizontal="center" vertical="center"/>
    </xf>
    <xf numFmtId="0" fontId="215" fillId="63" borderId="496" xfId="27" applyBorder="1">
      <alignment horizontal="center" vertical="center"/>
    </xf>
    <xf numFmtId="0" fontId="215" fillId="63" borderId="497" xfId="27" applyBorder="1">
      <alignment horizontal="center" vertical="center"/>
    </xf>
    <xf numFmtId="0" fontId="59" fillId="65" borderId="516" xfId="0" applyFont="1" applyFill="1" applyBorder="1" applyAlignment="1">
      <alignment horizontal="right" vertical="center" wrapText="1"/>
    </xf>
    <xf numFmtId="0" fontId="59" fillId="65" borderId="526" xfId="0" applyFont="1" applyFill="1" applyBorder="1" applyAlignment="1">
      <alignment horizontal="right" vertical="center" wrapText="1"/>
    </xf>
    <xf numFmtId="0" fontId="67" fillId="0" borderId="620" xfId="0" applyFont="1" applyFill="1" applyBorder="1" applyAlignment="1">
      <alignment horizontal="center" vertical="center" wrapText="1" readingOrder="1"/>
    </xf>
    <xf numFmtId="0" fontId="67" fillId="0" borderId="618" xfId="0" applyFont="1" applyFill="1" applyBorder="1" applyAlignment="1">
      <alignment horizontal="center" vertical="center" wrapText="1" readingOrder="1"/>
    </xf>
    <xf numFmtId="3" fontId="69" fillId="37" borderId="283" xfId="0" applyNumberFormat="1" applyFont="1" applyFill="1" applyBorder="1" applyAlignment="1">
      <alignment vertical="center" wrapText="1"/>
    </xf>
    <xf numFmtId="3" fontId="69" fillId="37" borderId="308" xfId="0" applyNumberFormat="1" applyFont="1" applyFill="1" applyBorder="1" applyAlignment="1">
      <alignment vertical="center" wrapText="1"/>
    </xf>
    <xf numFmtId="10" fontId="69" fillId="37" borderId="283" xfId="0" applyNumberFormat="1" applyFont="1" applyFill="1" applyBorder="1" applyAlignment="1">
      <alignment horizontal="right" vertical="center" wrapText="1"/>
    </xf>
    <xf numFmtId="10" fontId="69" fillId="37" borderId="308" xfId="0" applyNumberFormat="1" applyFont="1" applyFill="1" applyBorder="1" applyAlignment="1">
      <alignment horizontal="right" vertical="center" wrapText="1"/>
    </xf>
    <xf numFmtId="10" fontId="68" fillId="37" borderId="283" xfId="0" applyNumberFormat="1" applyFont="1" applyFill="1" applyBorder="1" applyAlignment="1">
      <alignment horizontal="right" vertical="center" wrapText="1" readingOrder="1"/>
    </xf>
    <xf numFmtId="10" fontId="68" fillId="37" borderId="308" xfId="0" applyNumberFormat="1" applyFont="1" applyFill="1" applyBorder="1" applyAlignment="1">
      <alignment horizontal="right" vertical="center" wrapText="1" readingOrder="1"/>
    </xf>
    <xf numFmtId="186" fontId="69" fillId="37" borderId="305" xfId="0" applyNumberFormat="1" applyFont="1" applyFill="1" applyBorder="1" applyAlignment="1">
      <alignment horizontal="right" vertical="center" wrapText="1"/>
    </xf>
    <xf numFmtId="186" fontId="69" fillId="37" borderId="309" xfId="0" applyNumberFormat="1" applyFont="1" applyFill="1" applyBorder="1" applyAlignment="1">
      <alignment horizontal="right" vertical="center" wrapText="1"/>
    </xf>
    <xf numFmtId="0" fontId="70" fillId="65" borderId="467" xfId="0" applyFont="1" applyFill="1" applyBorder="1" applyAlignment="1">
      <alignment horizontal="center" vertical="center" wrapText="1" readingOrder="1"/>
    </xf>
    <xf numFmtId="0" fontId="70" fillId="65" borderId="618" xfId="0" applyFont="1" applyFill="1" applyBorder="1" applyAlignment="1">
      <alignment horizontal="center" vertical="center" wrapText="1" readingOrder="1"/>
    </xf>
    <xf numFmtId="0" fontId="67" fillId="0" borderId="501" xfId="0" applyFont="1" applyFill="1" applyBorder="1" applyAlignment="1">
      <alignment horizontal="center" vertical="center" wrapText="1" readingOrder="1"/>
    </xf>
    <xf numFmtId="0" fontId="67" fillId="0" borderId="500" xfId="0" applyFont="1" applyFill="1" applyBorder="1" applyAlignment="1">
      <alignment horizontal="center" vertical="center" wrapText="1" readingOrder="1"/>
    </xf>
    <xf numFmtId="0" fontId="70" fillId="65" borderId="616" xfId="0" applyFont="1" applyFill="1" applyBorder="1" applyAlignment="1">
      <alignment horizontal="center" vertical="center" wrapText="1" readingOrder="1"/>
    </xf>
    <xf numFmtId="0" fontId="70" fillId="65" borderId="498" xfId="0" applyFont="1" applyFill="1" applyBorder="1" applyAlignment="1">
      <alignment horizontal="center" vertical="center" wrapText="1" readingOrder="1"/>
    </xf>
    <xf numFmtId="0" fontId="70" fillId="65" borderId="617" xfId="0" applyFont="1" applyFill="1" applyBorder="1" applyAlignment="1">
      <alignment horizontal="center" vertical="center" wrapText="1" readingOrder="1"/>
    </xf>
    <xf numFmtId="0" fontId="70" fillId="65" borderId="500" xfId="0" applyFont="1" applyFill="1" applyBorder="1" applyAlignment="1">
      <alignment horizontal="center" vertical="center" wrapText="1" readingOrder="1"/>
    </xf>
    <xf numFmtId="3" fontId="69" fillId="37" borderId="283" xfId="0" applyNumberFormat="1" applyFont="1" applyFill="1" applyBorder="1" applyAlignment="1">
      <alignment horizontal="right" vertical="center" wrapText="1"/>
    </xf>
    <xf numFmtId="3" fontId="69" fillId="37" borderId="308" xfId="0" applyNumberFormat="1" applyFont="1" applyFill="1" applyBorder="1" applyAlignment="1">
      <alignment horizontal="right" vertical="center" wrapText="1"/>
    </xf>
    <xf numFmtId="0" fontId="69" fillId="37" borderId="308" xfId="0" applyFont="1" applyFill="1" applyBorder="1" applyAlignment="1">
      <alignment horizontal="right" vertical="center" wrapText="1"/>
    </xf>
    <xf numFmtId="0" fontId="68" fillId="37" borderId="308" xfId="0" applyFont="1" applyFill="1" applyBorder="1" applyAlignment="1">
      <alignment horizontal="right" vertical="center" wrapText="1" readingOrder="1"/>
    </xf>
    <xf numFmtId="0" fontId="67" fillId="35" borderId="302" xfId="0" applyFont="1" applyFill="1" applyBorder="1" applyAlignment="1">
      <alignment horizontal="center" vertical="center" wrapText="1" readingOrder="1"/>
    </xf>
    <xf numFmtId="0" fontId="67" fillId="0" borderId="283" xfId="0" applyFont="1" applyBorder="1" applyAlignment="1">
      <alignment horizontal="center" vertical="center" wrapText="1" readingOrder="1"/>
    </xf>
    <xf numFmtId="0" fontId="67" fillId="0" borderId="284" xfId="0" applyFont="1" applyBorder="1" applyAlignment="1">
      <alignment horizontal="center" vertical="center" wrapText="1" readingOrder="1"/>
    </xf>
    <xf numFmtId="0" fontId="67" fillId="35" borderId="322" xfId="0" applyFont="1" applyFill="1" applyBorder="1" applyAlignment="1">
      <alignment horizontal="center" vertical="center" wrapText="1" readingOrder="1"/>
    </xf>
    <xf numFmtId="0" fontId="67" fillId="35" borderId="282" xfId="0" applyFont="1" applyFill="1" applyBorder="1" applyAlignment="1">
      <alignment horizontal="center" vertical="center" wrapText="1" readingOrder="1"/>
    </xf>
    <xf numFmtId="0" fontId="67" fillId="0" borderId="281" xfId="0" applyFont="1" applyBorder="1" applyAlignment="1">
      <alignment horizontal="center" vertical="center" wrapText="1" readingOrder="1"/>
    </xf>
    <xf numFmtId="0" fontId="67" fillId="0" borderId="282" xfId="0" applyFont="1" applyBorder="1" applyAlignment="1">
      <alignment horizontal="center" vertical="center" wrapText="1" readingOrder="1"/>
    </xf>
    <xf numFmtId="0" fontId="69" fillId="0" borderId="281" xfId="0" applyFont="1" applyBorder="1" applyAlignment="1">
      <alignment horizontal="center" vertical="center" wrapText="1"/>
    </xf>
    <xf numFmtId="0" fontId="69" fillId="0" borderId="282" xfId="0" applyFont="1" applyBorder="1" applyAlignment="1">
      <alignment horizontal="center" vertical="center" wrapText="1"/>
    </xf>
    <xf numFmtId="0" fontId="4" fillId="21" borderId="510" xfId="0" applyFont="1" applyFill="1" applyBorder="1" applyAlignment="1">
      <alignment horizontal="center" vertical="center"/>
    </xf>
    <xf numFmtId="0" fontId="226" fillId="65" borderId="466" xfId="25" applyFont="1" applyFill="1" applyBorder="1" applyAlignment="1">
      <alignment horizontal="left" vertical="center" wrapText="1" readingOrder="1"/>
    </xf>
    <xf numFmtId="0" fontId="226" fillId="62" borderId="466" xfId="25" applyFont="1" applyFill="1" applyBorder="1" applyAlignment="1">
      <alignment horizontal="left" vertical="center" wrapText="1" readingOrder="1"/>
    </xf>
    <xf numFmtId="0" fontId="226" fillId="65" borderId="467" xfId="25" applyFont="1" applyFill="1" applyBorder="1" applyAlignment="1">
      <alignment horizontal="left" vertical="center" wrapText="1" readingOrder="1"/>
    </xf>
    <xf numFmtId="0" fontId="229" fillId="0" borderId="476" xfId="25" applyFont="1" applyBorder="1" applyAlignment="1">
      <alignment horizontal="center" vertical="center"/>
    </xf>
    <xf numFmtId="0" fontId="229" fillId="0" borderId="477" xfId="25" applyFont="1" applyBorder="1" applyAlignment="1">
      <alignment horizontal="center" vertical="center"/>
    </xf>
    <xf numFmtId="0" fontId="229" fillId="0" borderId="474" xfId="25" applyFont="1" applyBorder="1" applyAlignment="1">
      <alignment horizontal="center" vertical="center"/>
    </xf>
    <xf numFmtId="0" fontId="65" fillId="0" borderId="482" xfId="25" applyFont="1" applyBorder="1" applyAlignment="1">
      <alignment horizontal="center" vertical="center"/>
    </xf>
    <xf numFmtId="0" fontId="65" fillId="0" borderId="31" xfId="25" applyFont="1" applyBorder="1" applyAlignment="1">
      <alignment horizontal="center" vertical="center"/>
    </xf>
    <xf numFmtId="0" fontId="229" fillId="0" borderId="482" xfId="25" applyFont="1" applyBorder="1" applyAlignment="1">
      <alignment horizontal="center" vertical="center"/>
    </xf>
    <xf numFmtId="0" fontId="229" fillId="0" borderId="31" xfId="25" applyFont="1" applyBorder="1" applyAlignment="1">
      <alignment horizontal="center" vertical="center"/>
    </xf>
    <xf numFmtId="0" fontId="93" fillId="61" borderId="440" xfId="0" applyFont="1" applyFill="1" applyBorder="1" applyAlignment="1">
      <alignment horizontal="left" vertical="center" wrapText="1"/>
    </xf>
    <xf numFmtId="0" fontId="199" fillId="56" borderId="0" xfId="0" applyFont="1" applyFill="1" applyAlignment="1">
      <alignment horizontal="left" vertical="center"/>
    </xf>
    <xf numFmtId="0" fontId="200" fillId="0" borderId="0" xfId="0" applyFont="1" applyAlignment="1"/>
    <xf numFmtId="0" fontId="201" fillId="57" borderId="0" xfId="0" applyFont="1" applyFill="1" applyAlignment="1"/>
    <xf numFmtId="0" fontId="203" fillId="58" borderId="0" xfId="0" applyFont="1" applyFill="1" applyAlignment="1">
      <alignment horizontal="left" vertical="center"/>
    </xf>
    <xf numFmtId="0" fontId="204" fillId="58" borderId="439" xfId="0" applyFont="1" applyFill="1" applyBorder="1" applyAlignment="1">
      <alignment horizontal="center" vertical="center"/>
    </xf>
    <xf numFmtId="0" fontId="28" fillId="0" borderId="440" xfId="0" applyFont="1" applyBorder="1" applyAlignment="1">
      <alignment horizontal="left" vertical="center" wrapText="1"/>
    </xf>
    <xf numFmtId="0" fontId="205" fillId="0" borderId="440" xfId="0" applyFont="1" applyBorder="1" applyAlignment="1">
      <alignment horizontal="left" vertical="center" wrapText="1"/>
    </xf>
    <xf numFmtId="0" fontId="93" fillId="59" borderId="440" xfId="0" applyFont="1" applyFill="1" applyBorder="1" applyAlignment="1">
      <alignment horizontal="center" vertical="center"/>
    </xf>
    <xf numFmtId="0" fontId="210" fillId="0" borderId="440" xfId="0" applyFont="1" applyBorder="1" applyAlignment="1">
      <alignment horizontal="left" vertical="center" wrapText="1"/>
    </xf>
    <xf numFmtId="0" fontId="210" fillId="0" borderId="0" xfId="0" applyFont="1" applyAlignment="1">
      <alignment horizontal="left" vertical="center"/>
    </xf>
    <xf numFmtId="0" fontId="211" fillId="0" borderId="0" xfId="0" applyFont="1" applyAlignment="1">
      <alignment horizontal="left" vertical="center"/>
    </xf>
    <xf numFmtId="0" fontId="0" fillId="0" borderId="0" xfId="0" applyAlignment="1"/>
    <xf numFmtId="0" fontId="211" fillId="0" borderId="440" xfId="0" applyFont="1" applyBorder="1" applyAlignment="1">
      <alignment horizontal="left" vertical="center" wrapText="1"/>
    </xf>
    <xf numFmtId="41" fontId="197" fillId="6" borderId="159" xfId="10" applyFont="1" applyFill="1" applyBorder="1" applyAlignment="1">
      <alignment horizontal="center" vertical="center"/>
    </xf>
    <xf numFmtId="253" fontId="186" fillId="22" borderId="159" xfId="22" applyFont="1" applyFill="1" applyBorder="1" applyAlignment="1">
      <alignment horizontal="center" vertical="center" wrapText="1"/>
    </xf>
    <xf numFmtId="253" fontId="188" fillId="22" borderId="159" xfId="22" applyFont="1" applyFill="1" applyBorder="1" applyAlignment="1">
      <alignment horizontal="center" vertical="center"/>
    </xf>
    <xf numFmtId="38" fontId="186" fillId="22" borderId="159" xfId="21" applyNumberFormat="1" applyFont="1" applyFill="1" applyBorder="1" applyAlignment="1">
      <alignment horizontal="center" vertical="center" wrapText="1"/>
    </xf>
    <xf numFmtId="38" fontId="188" fillId="22" borderId="159" xfId="21" applyNumberFormat="1" applyFont="1" applyFill="1" applyBorder="1" applyAlignment="1">
      <alignment horizontal="center" vertical="center"/>
    </xf>
    <xf numFmtId="253" fontId="189" fillId="22" borderId="159" xfId="22" applyFont="1" applyFill="1" applyBorder="1" applyAlignment="1">
      <alignment horizontal="center" vertical="center" wrapText="1"/>
    </xf>
    <xf numFmtId="253" fontId="191" fillId="22" borderId="159" xfId="22" applyFont="1" applyFill="1" applyBorder="1" applyAlignment="1">
      <alignment horizontal="center" vertical="center"/>
    </xf>
    <xf numFmtId="0" fontId="186" fillId="22" borderId="159" xfId="21" applyFont="1" applyFill="1" applyBorder="1" applyAlignment="1">
      <alignment horizontal="center" vertical="center" wrapText="1"/>
    </xf>
    <xf numFmtId="0" fontId="188" fillId="22" borderId="159" xfId="21" applyFont="1" applyFill="1" applyBorder="1" applyAlignment="1">
      <alignment horizontal="center" vertical="center"/>
    </xf>
    <xf numFmtId="38" fontId="186" fillId="13" borderId="159" xfId="21" applyNumberFormat="1" applyFont="1" applyFill="1" applyBorder="1" applyAlignment="1">
      <alignment horizontal="center" vertical="center" wrapText="1"/>
    </xf>
    <xf numFmtId="38" fontId="188" fillId="13" borderId="159" xfId="21" applyNumberFormat="1" applyFont="1" applyFill="1" applyBorder="1" applyAlignment="1">
      <alignment horizontal="center" vertical="center"/>
    </xf>
    <xf numFmtId="253" fontId="186" fillId="13" borderId="159" xfId="22" applyFont="1" applyFill="1" applyBorder="1" applyAlignment="1">
      <alignment horizontal="center" vertical="center" wrapText="1"/>
    </xf>
    <xf numFmtId="253" fontId="188" fillId="13" borderId="159" xfId="22" applyFont="1" applyFill="1" applyBorder="1" applyAlignment="1">
      <alignment horizontal="center" vertical="center"/>
    </xf>
    <xf numFmtId="253" fontId="156" fillId="22" borderId="159" xfId="22" applyFont="1" applyFill="1" applyBorder="1" applyAlignment="1">
      <alignment horizontal="center" vertical="center" wrapText="1"/>
    </xf>
    <xf numFmtId="253" fontId="158" fillId="22" borderId="159" xfId="22" applyFont="1" applyFill="1" applyBorder="1" applyAlignment="1">
      <alignment horizontal="center" vertical="center"/>
    </xf>
    <xf numFmtId="0" fontId="153" fillId="22" borderId="159" xfId="21" applyFont="1" applyFill="1" applyBorder="1" applyAlignment="1">
      <alignment horizontal="center" vertical="center" wrapText="1"/>
    </xf>
    <xf numFmtId="0" fontId="155" fillId="22" borderId="159" xfId="21" applyFont="1" applyFill="1" applyBorder="1" applyAlignment="1">
      <alignment horizontal="center" vertical="center"/>
    </xf>
    <xf numFmtId="253" fontId="153" fillId="22" borderId="159" xfId="22" applyFont="1" applyFill="1" applyBorder="1" applyAlignment="1">
      <alignment horizontal="center" vertical="center" wrapText="1"/>
    </xf>
    <xf numFmtId="253" fontId="155" fillId="22" borderId="159" xfId="22" applyFont="1" applyFill="1" applyBorder="1" applyAlignment="1">
      <alignment horizontal="center" vertical="center"/>
    </xf>
    <xf numFmtId="38" fontId="153" fillId="22" borderId="159" xfId="21" applyNumberFormat="1" applyFont="1" applyFill="1" applyBorder="1" applyAlignment="1">
      <alignment horizontal="center" vertical="center" wrapText="1"/>
    </xf>
    <xf numFmtId="38" fontId="155" fillId="22" borderId="159" xfId="21" applyNumberFormat="1" applyFont="1" applyFill="1" applyBorder="1" applyAlignment="1">
      <alignment horizontal="center" vertical="center"/>
    </xf>
    <xf numFmtId="41" fontId="174" fillId="6" borderId="159" xfId="10" applyFont="1" applyFill="1" applyBorder="1" applyAlignment="1">
      <alignment horizontal="center" vertical="center"/>
    </xf>
    <xf numFmtId="41" fontId="87" fillId="0" borderId="142" xfId="3" applyFont="1" applyBorder="1" applyAlignment="1">
      <alignment horizontal="center" vertical="center"/>
    </xf>
    <xf numFmtId="41" fontId="87" fillId="0" borderId="210" xfId="3" applyFont="1" applyBorder="1" applyAlignment="1">
      <alignment horizontal="center" vertical="center"/>
    </xf>
    <xf numFmtId="41" fontId="87" fillId="0" borderId="159" xfId="3" applyFont="1" applyBorder="1" applyAlignment="1">
      <alignment horizontal="center" vertical="center"/>
    </xf>
    <xf numFmtId="41" fontId="87" fillId="0" borderId="159" xfId="3" applyFont="1" applyBorder="1" applyAlignment="1">
      <alignment horizontal="center"/>
    </xf>
    <xf numFmtId="41" fontId="86" fillId="0" borderId="159" xfId="3" applyFont="1" applyBorder="1" applyAlignment="1">
      <alignment horizontal="center"/>
    </xf>
    <xf numFmtId="0" fontId="81" fillId="21" borderId="0" xfId="0" applyFont="1" applyFill="1" applyAlignment="1">
      <alignment horizontal="center" vertical="center"/>
    </xf>
    <xf numFmtId="0" fontId="91" fillId="40" borderId="142" xfId="0" applyFont="1" applyFill="1" applyBorder="1" applyAlignment="1">
      <alignment horizontal="center" vertical="center"/>
    </xf>
    <xf numFmtId="0" fontId="91" fillId="40" borderId="210" xfId="0" applyFont="1" applyFill="1" applyBorder="1" applyAlignment="1">
      <alignment horizontal="center" vertical="center"/>
    </xf>
    <xf numFmtId="0" fontId="91" fillId="40" borderId="159" xfId="0" applyFont="1" applyFill="1" applyBorder="1" applyAlignment="1">
      <alignment horizontal="center" vertical="center"/>
    </xf>
    <xf numFmtId="0" fontId="87" fillId="21" borderId="165" xfId="0" applyFont="1" applyFill="1" applyBorder="1" applyAlignment="1">
      <alignment horizontal="left" vertical="center"/>
    </xf>
    <xf numFmtId="0" fontId="87" fillId="21" borderId="77" xfId="0" applyFont="1" applyFill="1" applyBorder="1" applyAlignment="1">
      <alignment horizontal="left" vertical="center"/>
    </xf>
    <xf numFmtId="41" fontId="96" fillId="21" borderId="165" xfId="3" applyFont="1" applyFill="1" applyBorder="1" applyAlignment="1">
      <alignment horizontal="left" vertical="center"/>
    </xf>
    <xf numFmtId="41" fontId="96" fillId="21" borderId="77" xfId="3" applyFont="1" applyFill="1" applyBorder="1" applyAlignment="1">
      <alignment horizontal="left" vertical="center"/>
    </xf>
    <xf numFmtId="41" fontId="96" fillId="21" borderId="78" xfId="3" applyFont="1" applyFill="1" applyBorder="1" applyAlignment="1">
      <alignment horizontal="left" vertical="center"/>
    </xf>
    <xf numFmtId="0" fontId="87" fillId="21" borderId="25" xfId="0" applyFont="1" applyFill="1" applyBorder="1" applyAlignment="1">
      <alignment horizontal="left" vertical="center"/>
    </xf>
    <xf numFmtId="0" fontId="87" fillId="21" borderId="0" xfId="0" applyFont="1" applyFill="1" applyAlignment="1">
      <alignment horizontal="left" vertical="center"/>
    </xf>
    <xf numFmtId="0" fontId="91" fillId="40" borderId="159" xfId="0" applyFont="1" applyFill="1" applyBorder="1" applyAlignment="1">
      <alignment horizontal="left" vertical="center"/>
    </xf>
    <xf numFmtId="0" fontId="91" fillId="40" borderId="142" xfId="0" applyFont="1" applyFill="1" applyBorder="1" applyAlignment="1">
      <alignment horizontal="left" vertical="center"/>
    </xf>
    <xf numFmtId="41" fontId="91" fillId="40" borderId="159" xfId="3" applyFont="1" applyFill="1" applyBorder="1" applyAlignment="1">
      <alignment horizontal="center" vertical="center"/>
    </xf>
    <xf numFmtId="0" fontId="87" fillId="21" borderId="138" xfId="0" applyFont="1" applyFill="1" applyBorder="1" applyAlignment="1">
      <alignment horizontal="left" vertical="center"/>
    </xf>
    <xf numFmtId="41" fontId="87" fillId="21" borderId="138" xfId="3" applyFont="1" applyFill="1" applyBorder="1" applyAlignment="1">
      <alignment horizontal="left" vertical="center"/>
    </xf>
    <xf numFmtId="41" fontId="87" fillId="21" borderId="25" xfId="3" applyFont="1" applyFill="1" applyBorder="1" applyAlignment="1">
      <alignment horizontal="left" vertical="center"/>
    </xf>
    <xf numFmtId="41" fontId="87" fillId="21" borderId="137" xfId="3" applyFont="1" applyFill="1" applyBorder="1" applyAlignment="1">
      <alignment horizontal="left" vertical="center"/>
    </xf>
    <xf numFmtId="0" fontId="87" fillId="21" borderId="26" xfId="0" applyFont="1" applyFill="1" applyBorder="1" applyAlignment="1">
      <alignment horizontal="left" vertical="center"/>
    </xf>
    <xf numFmtId="41" fontId="87" fillId="21" borderId="26" xfId="3" applyFont="1" applyFill="1" applyBorder="1" applyAlignment="1">
      <alignment horizontal="left" vertical="center"/>
    </xf>
    <xf numFmtId="41" fontId="87" fillId="21" borderId="0" xfId="3" applyFont="1" applyFill="1" applyBorder="1" applyAlignment="1">
      <alignment horizontal="left" vertical="center"/>
    </xf>
    <xf numFmtId="41" fontId="87" fillId="21" borderId="107" xfId="3" applyFont="1" applyFill="1" applyBorder="1" applyAlignment="1">
      <alignment horizontal="left" vertical="center"/>
    </xf>
    <xf numFmtId="0" fontId="104" fillId="11" borderId="210" xfId="0" applyFont="1" applyFill="1" applyBorder="1" applyAlignment="1">
      <alignment horizontal="center" vertical="center"/>
    </xf>
    <xf numFmtId="0" fontId="104" fillId="11" borderId="159" xfId="0" applyFont="1" applyFill="1" applyBorder="1" applyAlignment="1">
      <alignment horizontal="center" vertical="center"/>
    </xf>
    <xf numFmtId="3" fontId="104" fillId="11" borderId="159" xfId="0" applyNumberFormat="1" applyFont="1" applyFill="1" applyBorder="1" applyAlignment="1">
      <alignment horizontal="center" vertical="center"/>
    </xf>
    <xf numFmtId="3" fontId="104" fillId="11" borderId="142" xfId="0" applyNumberFormat="1" applyFont="1" applyFill="1" applyBorder="1" applyAlignment="1">
      <alignment horizontal="center" vertical="center"/>
    </xf>
    <xf numFmtId="3" fontId="104" fillId="42" borderId="346" xfId="0" applyNumberFormat="1" applyFont="1" applyFill="1" applyBorder="1" applyAlignment="1">
      <alignment horizontal="center" vertical="center"/>
    </xf>
    <xf numFmtId="3" fontId="104" fillId="42" borderId="347" xfId="0" applyNumberFormat="1" applyFont="1" applyFill="1" applyBorder="1" applyAlignment="1">
      <alignment horizontal="center" vertical="center"/>
    </xf>
    <xf numFmtId="10" fontId="104" fillId="11" borderId="210" xfId="1" applyNumberFormat="1" applyFont="1" applyFill="1" applyBorder="1" applyAlignment="1">
      <alignment horizontal="center" vertical="center"/>
    </xf>
    <xf numFmtId="10" fontId="104" fillId="11" borderId="159" xfId="1" applyNumberFormat="1" applyFont="1" applyFill="1" applyBorder="1" applyAlignment="1">
      <alignment horizontal="center" vertical="center"/>
    </xf>
    <xf numFmtId="10" fontId="104" fillId="11" borderId="142" xfId="1" applyNumberFormat="1" applyFont="1" applyFill="1" applyBorder="1" applyAlignment="1">
      <alignment horizontal="center" vertical="center"/>
    </xf>
    <xf numFmtId="0" fontId="111" fillId="0" borderId="0" xfId="0" applyFont="1" applyAlignment="1">
      <alignment horizontal="right" vertical="center"/>
    </xf>
    <xf numFmtId="0" fontId="113" fillId="23" borderId="0" xfId="0" applyFont="1" applyFill="1" applyAlignment="1">
      <alignment horizontal="center" vertical="center"/>
    </xf>
    <xf numFmtId="0" fontId="113" fillId="23" borderId="107" xfId="0" applyFont="1" applyFill="1" applyBorder="1" applyAlignment="1">
      <alignment horizontal="center" vertical="center"/>
    </xf>
    <xf numFmtId="0" fontId="113" fillId="23" borderId="138" xfId="0" applyFont="1" applyFill="1" applyBorder="1" applyAlignment="1">
      <alignment horizontal="center" vertical="center"/>
    </xf>
    <xf numFmtId="0" fontId="113" fillId="23" borderId="25" xfId="0" applyFont="1" applyFill="1" applyBorder="1" applyAlignment="1">
      <alignment horizontal="center" vertical="center"/>
    </xf>
    <xf numFmtId="0" fontId="113" fillId="23" borderId="344" xfId="0" applyFont="1" applyFill="1" applyBorder="1" applyAlignment="1">
      <alignment horizontal="center" vertical="center"/>
    </xf>
    <xf numFmtId="0" fontId="113" fillId="23" borderId="345" xfId="0" applyFont="1" applyFill="1" applyBorder="1" applyAlignment="1">
      <alignment horizontal="center" vertical="center"/>
    </xf>
    <xf numFmtId="0" fontId="107" fillId="0" borderId="159" xfId="0" applyFont="1" applyBorder="1" applyAlignment="1">
      <alignment horizontal="center" vertical="center"/>
    </xf>
    <xf numFmtId="0" fontId="114" fillId="23" borderId="209" xfId="0" applyFont="1" applyFill="1" applyBorder="1" applyAlignment="1">
      <alignment horizontal="center" vertical="center"/>
    </xf>
    <xf numFmtId="0" fontId="114" fillId="23" borderId="210" xfId="0" applyFont="1" applyFill="1" applyBorder="1" applyAlignment="1">
      <alignment horizontal="center" vertical="center"/>
    </xf>
    <xf numFmtId="0" fontId="113" fillId="23" borderId="142" xfId="0" applyFont="1" applyFill="1" applyBorder="1" applyAlignment="1">
      <alignment horizontal="center" vertical="center"/>
    </xf>
    <xf numFmtId="0" fontId="113" fillId="23" borderId="209" xfId="0" applyFont="1" applyFill="1" applyBorder="1" applyAlignment="1">
      <alignment horizontal="center" vertical="center"/>
    </xf>
    <xf numFmtId="0" fontId="113" fillId="23" borderId="210" xfId="0" applyFont="1" applyFill="1" applyBorder="1" applyAlignment="1">
      <alignment horizontal="center" vertical="center"/>
    </xf>
    <xf numFmtId="0" fontId="109" fillId="0" borderId="159" xfId="0" applyFont="1" applyBorder="1" applyAlignment="1">
      <alignment horizontal="center" vertical="center"/>
    </xf>
    <xf numFmtId="0" fontId="115" fillId="11" borderId="209" xfId="0" applyFont="1" applyFill="1" applyBorder="1" applyAlignment="1">
      <alignment horizontal="center" vertical="center"/>
    </xf>
    <xf numFmtId="0" fontId="115" fillId="11" borderId="210" xfId="0" applyFont="1" applyFill="1" applyBorder="1" applyAlignment="1">
      <alignment horizontal="center" vertical="center"/>
    </xf>
    <xf numFmtId="41" fontId="104" fillId="6" borderId="142" xfId="10" applyFont="1" applyFill="1" applyBorder="1" applyAlignment="1">
      <alignment horizontal="right" vertical="center"/>
    </xf>
    <xf numFmtId="41" fontId="104" fillId="6" borderId="209" xfId="10" applyFont="1" applyFill="1" applyBorder="1" applyAlignment="1">
      <alignment horizontal="right" vertical="center"/>
    </xf>
    <xf numFmtId="41" fontId="104" fillId="6" borderId="210" xfId="10" applyFont="1" applyFill="1" applyBorder="1" applyAlignment="1">
      <alignment horizontal="right" vertical="center"/>
    </xf>
    <xf numFmtId="41" fontId="104" fillId="6" borderId="142" xfId="10" applyFont="1" applyFill="1" applyBorder="1" applyAlignment="1">
      <alignment horizontal="center" vertical="center"/>
    </xf>
    <xf numFmtId="41" fontId="104" fillId="6" borderId="210" xfId="10" applyFont="1" applyFill="1" applyBorder="1" applyAlignment="1">
      <alignment horizontal="center" vertical="center"/>
    </xf>
    <xf numFmtId="0" fontId="104" fillId="11" borderId="142" xfId="0" applyFont="1" applyFill="1" applyBorder="1" applyAlignment="1">
      <alignment horizontal="center" vertical="center"/>
    </xf>
    <xf numFmtId="0" fontId="104" fillId="11" borderId="209" xfId="0" applyFont="1" applyFill="1" applyBorder="1" applyAlignment="1">
      <alignment horizontal="center" vertical="center"/>
    </xf>
    <xf numFmtId="41" fontId="104" fillId="6" borderId="165" xfId="10" applyFont="1" applyFill="1" applyBorder="1" applyAlignment="1">
      <alignment horizontal="center" vertical="center"/>
    </xf>
    <xf numFmtId="41" fontId="104" fillId="6" borderId="78" xfId="10" applyFont="1" applyFill="1" applyBorder="1" applyAlignment="1">
      <alignment horizontal="center" vertical="center"/>
    </xf>
    <xf numFmtId="0" fontId="104" fillId="11" borderId="138" xfId="0" applyFont="1" applyFill="1" applyBorder="1" applyAlignment="1">
      <alignment horizontal="center" vertical="center"/>
    </xf>
    <xf numFmtId="0" fontId="104" fillId="11" borderId="25" xfId="0" applyFont="1" applyFill="1" applyBorder="1" applyAlignment="1">
      <alignment horizontal="center" vertical="center"/>
    </xf>
    <xf numFmtId="41" fontId="104" fillId="11" borderId="142" xfId="10" applyFont="1" applyFill="1" applyBorder="1" applyAlignment="1">
      <alignment horizontal="center" vertical="center"/>
    </xf>
    <xf numFmtId="41" fontId="104" fillId="11" borderId="209" xfId="10" applyFont="1" applyFill="1" applyBorder="1" applyAlignment="1">
      <alignment horizontal="center" vertical="center"/>
    </xf>
    <xf numFmtId="0" fontId="116" fillId="11" borderId="209" xfId="0" applyFont="1" applyFill="1" applyBorder="1" applyAlignment="1">
      <alignment horizontal="center" vertical="center"/>
    </xf>
    <xf numFmtId="0" fontId="116" fillId="11" borderId="210" xfId="0" applyFont="1" applyFill="1" applyBorder="1" applyAlignment="1">
      <alignment horizontal="center" vertical="center"/>
    </xf>
    <xf numFmtId="41" fontId="117" fillId="6" borderId="142" xfId="10" applyFont="1" applyFill="1" applyBorder="1" applyAlignment="1">
      <alignment horizontal="right" vertical="center"/>
    </xf>
    <xf numFmtId="41" fontId="117" fillId="6" borderId="209" xfId="10" applyFont="1" applyFill="1" applyBorder="1" applyAlignment="1">
      <alignment horizontal="right" vertical="center"/>
    </xf>
    <xf numFmtId="41" fontId="117" fillId="6" borderId="210" xfId="10" applyFont="1" applyFill="1" applyBorder="1" applyAlignment="1">
      <alignment horizontal="right" vertical="center"/>
    </xf>
    <xf numFmtId="41" fontId="117" fillId="6" borderId="159" xfId="10" applyFont="1" applyFill="1" applyBorder="1" applyAlignment="1">
      <alignment horizontal="right" vertical="center"/>
    </xf>
    <xf numFmtId="241" fontId="115" fillId="0" borderId="142" xfId="0" applyNumberFormat="1" applyFont="1" applyBorder="1" applyAlignment="1">
      <alignment horizontal="center" vertical="center"/>
    </xf>
    <xf numFmtId="241" fontId="115" fillId="0" borderId="209" xfId="0" applyNumberFormat="1" applyFont="1" applyBorder="1" applyAlignment="1">
      <alignment horizontal="center" vertical="center"/>
    </xf>
    <xf numFmtId="41" fontId="104" fillId="6" borderId="159" xfId="10" applyFont="1" applyFill="1" applyBorder="1" applyAlignment="1">
      <alignment horizontal="right" vertical="center"/>
    </xf>
    <xf numFmtId="0" fontId="113" fillId="23" borderId="159" xfId="0" applyFont="1" applyFill="1" applyBorder="1" applyAlignment="1">
      <alignment horizontal="center" vertical="center"/>
    </xf>
    <xf numFmtId="0" fontId="113" fillId="23" borderId="142" xfId="0" quotePrefix="1" applyFont="1" applyFill="1" applyBorder="1" applyAlignment="1">
      <alignment horizontal="center" vertical="center"/>
    </xf>
    <xf numFmtId="0" fontId="113" fillId="23" borderId="209" xfId="0" quotePrefix="1" applyFont="1" applyFill="1" applyBorder="1" applyAlignment="1">
      <alignment horizontal="center" vertical="center"/>
    </xf>
    <xf numFmtId="0" fontId="113" fillId="23" borderId="210" xfId="0" quotePrefix="1" applyFont="1" applyFill="1" applyBorder="1" applyAlignment="1">
      <alignment horizontal="center" vertical="center"/>
    </xf>
    <xf numFmtId="0" fontId="113" fillId="23" borderId="159" xfId="0" quotePrefix="1" applyFont="1" applyFill="1" applyBorder="1" applyAlignment="1">
      <alignment horizontal="center" vertical="center"/>
    </xf>
    <xf numFmtId="9" fontId="104" fillId="0" borderId="210" xfId="0" applyNumberFormat="1" applyFont="1" applyBorder="1" applyAlignment="1">
      <alignment horizontal="center" vertical="center"/>
    </xf>
    <xf numFmtId="0" fontId="104" fillId="0" borderId="159" xfId="0" applyFont="1" applyBorder="1" applyAlignment="1">
      <alignment horizontal="center" vertical="center"/>
    </xf>
    <xf numFmtId="0" fontId="104" fillId="0" borderId="142" xfId="0" applyFont="1" applyBorder="1" applyAlignment="1">
      <alignment horizontal="center" vertical="center"/>
    </xf>
    <xf numFmtId="0" fontId="104" fillId="0" borderId="210" xfId="0" applyFont="1" applyBorder="1" applyAlignment="1">
      <alignment horizontal="center" vertical="center"/>
    </xf>
    <xf numFmtId="0" fontId="104" fillId="0" borderId="209" xfId="0" applyFont="1" applyBorder="1" applyAlignment="1">
      <alignment horizontal="center" vertical="center"/>
    </xf>
    <xf numFmtId="41" fontId="104" fillId="44" borderId="142" xfId="10" applyFont="1" applyFill="1" applyBorder="1" applyAlignment="1">
      <alignment horizontal="center" vertical="center"/>
    </xf>
    <xf numFmtId="41" fontId="104" fillId="44" borderId="209" xfId="10" applyFont="1" applyFill="1" applyBorder="1" applyAlignment="1">
      <alignment horizontal="center" vertical="center"/>
    </xf>
    <xf numFmtId="41" fontId="104" fillId="44" borderId="210" xfId="10" applyFont="1" applyFill="1" applyBorder="1" applyAlignment="1">
      <alignment horizontal="center" vertical="center"/>
    </xf>
    <xf numFmtId="41" fontId="104" fillId="0" borderId="142" xfId="10" applyFont="1" applyBorder="1" applyAlignment="1">
      <alignment horizontal="right" vertical="center"/>
    </xf>
    <xf numFmtId="41" fontId="104" fillId="0" borderId="210" xfId="10" applyFont="1" applyBorder="1" applyAlignment="1">
      <alignment horizontal="right" vertical="center"/>
    </xf>
    <xf numFmtId="10" fontId="104" fillId="0" borderId="142" xfId="1" applyNumberFormat="1" applyFont="1" applyBorder="1" applyAlignment="1">
      <alignment horizontal="center" vertical="center"/>
    </xf>
    <xf numFmtId="10" fontId="104" fillId="0" borderId="210" xfId="1" applyNumberFormat="1" applyFont="1" applyBorder="1" applyAlignment="1">
      <alignment horizontal="center" vertical="center"/>
    </xf>
    <xf numFmtId="10" fontId="107" fillId="0" borderId="210" xfId="0" applyNumberFormat="1" applyFont="1" applyBorder="1" applyAlignment="1">
      <alignment horizontal="center" vertical="center"/>
    </xf>
    <xf numFmtId="10" fontId="107" fillId="0" borderId="159" xfId="0" applyNumberFormat="1" applyFont="1" applyBorder="1" applyAlignment="1">
      <alignment horizontal="center" vertical="center"/>
    </xf>
    <xf numFmtId="9" fontId="107" fillId="0" borderId="159" xfId="0" applyNumberFormat="1" applyFont="1" applyBorder="1" applyAlignment="1">
      <alignment horizontal="center" vertical="center"/>
    </xf>
    <xf numFmtId="41" fontId="112" fillId="21" borderId="142" xfId="17" applyFont="1" applyFill="1" applyBorder="1" applyAlignment="1">
      <alignment horizontal="center"/>
    </xf>
    <xf numFmtId="41" fontId="112" fillId="21" borderId="210" xfId="17" applyFont="1" applyFill="1" applyBorder="1" applyAlignment="1">
      <alignment horizontal="center"/>
    </xf>
    <xf numFmtId="0" fontId="114" fillId="23" borderId="142" xfId="0" applyFont="1" applyFill="1" applyBorder="1" applyAlignment="1">
      <alignment horizontal="center" vertical="center"/>
    </xf>
    <xf numFmtId="41" fontId="104" fillId="11" borderId="159" xfId="10" applyFont="1" applyFill="1" applyBorder="1" applyAlignment="1">
      <alignment horizontal="center" vertical="center"/>
    </xf>
    <xf numFmtId="41" fontId="104" fillId="11" borderId="349" xfId="10" applyFont="1" applyFill="1" applyBorder="1" applyAlignment="1">
      <alignment horizontal="center" vertical="center"/>
    </xf>
    <xf numFmtId="0" fontId="104" fillId="0" borderId="77" xfId="0" applyFont="1" applyBorder="1" applyAlignment="1">
      <alignment horizontal="center" vertical="center"/>
    </xf>
    <xf numFmtId="0" fontId="104" fillId="0" borderId="78" xfId="0" applyFont="1" applyBorder="1" applyAlignment="1">
      <alignment horizontal="center" vertical="center"/>
    </xf>
    <xf numFmtId="3" fontId="104" fillId="0" borderId="158" xfId="0" applyNumberFormat="1" applyFont="1" applyBorder="1" applyAlignment="1">
      <alignment horizontal="center" vertical="center"/>
    </xf>
    <xf numFmtId="0" fontId="128" fillId="0" borderId="77" xfId="18" applyFont="1" applyBorder="1" applyAlignment="1">
      <alignment horizontal="right"/>
    </xf>
    <xf numFmtId="0" fontId="114" fillId="23" borderId="142" xfId="16" applyFont="1" applyFill="1" applyBorder="1" applyAlignment="1">
      <alignment horizontal="center" vertical="center"/>
    </xf>
    <xf numFmtId="0" fontId="114" fillId="23" borderId="210" xfId="16" applyFont="1" applyFill="1" applyBorder="1" applyAlignment="1">
      <alignment horizontal="center" vertical="center"/>
    </xf>
    <xf numFmtId="41" fontId="129" fillId="21" borderId="142" xfId="19" applyFont="1" applyFill="1" applyBorder="1" applyAlignment="1">
      <alignment horizontal="center" vertical="center"/>
    </xf>
    <xf numFmtId="41" fontId="129" fillId="21" borderId="210" xfId="19" applyFont="1" applyFill="1" applyBorder="1" applyAlignment="1">
      <alignment horizontal="center" vertical="center"/>
    </xf>
    <xf numFmtId="0" fontId="113" fillId="23" borderId="137" xfId="0" applyFont="1" applyFill="1" applyBorder="1" applyAlignment="1">
      <alignment horizontal="center" vertical="center"/>
    </xf>
    <xf numFmtId="41" fontId="104" fillId="6" borderId="159" xfId="10" applyFont="1" applyFill="1" applyBorder="1" applyAlignment="1">
      <alignment horizontal="center" vertical="center"/>
    </xf>
    <xf numFmtId="0" fontId="104" fillId="11" borderId="165" xfId="0" applyFont="1" applyFill="1" applyBorder="1" applyAlignment="1">
      <alignment horizontal="center" vertical="center"/>
    </xf>
    <xf numFmtId="0" fontId="104" fillId="11" borderId="77" xfId="0" applyFont="1" applyFill="1" applyBorder="1" applyAlignment="1">
      <alignment horizontal="center" vertical="center"/>
    </xf>
    <xf numFmtId="41" fontId="117" fillId="6" borderId="158" xfId="10" applyFont="1" applyFill="1" applyBorder="1" applyAlignment="1">
      <alignment horizontal="right" vertical="center"/>
    </xf>
    <xf numFmtId="10" fontId="11" fillId="0" borderId="33" xfId="0" applyNumberFormat="1" applyFont="1" applyBorder="1">
      <alignment vertical="center"/>
    </xf>
    <xf numFmtId="3" fontId="14" fillId="0" borderId="0" xfId="0" applyNumberFormat="1" applyFont="1" applyAlignment="1">
      <alignment horizontal="right" vertical="center"/>
    </xf>
  </cellXfs>
  <cellStyles count="45">
    <cellStyle name="Comma [0]" xfId="22" xr:uid="{08C1A018-A6C5-4673-A125-21EEAD728B78}"/>
    <cellStyle name="EY1_BL" xfId="34" xr:uid="{E771BEF0-2D9A-48BF-B461-4FD0DC142EE7}"/>
    <cellStyle name="EY1_BM_T" xfId="29" xr:uid="{A35E25EE-04FC-4244-B926-65CB1655FA95}"/>
    <cellStyle name="EY1_BR_T" xfId="35" xr:uid="{C48F978F-8954-4039-AB10-ECB718A0DC74}"/>
    <cellStyle name="EY2_B" xfId="36" xr:uid="{1EE699B8-67E0-4AE7-8857-D375ED4A6DFC}"/>
    <cellStyle name="EY3_B" xfId="37" xr:uid="{C90D4391-18B2-4245-BA88-E8CD0928367F}"/>
    <cellStyle name="EY4_HL" xfId="38" xr:uid="{665CACAB-0DBE-4185-8A87-A7E96C6E5A85}"/>
    <cellStyle name="EY5_B" xfId="39" xr:uid="{7B1C3DF5-D9C5-4853-BD5A-3EEC57904444}"/>
    <cellStyle name="EY6_B" xfId="40" xr:uid="{B882B7E0-A4D5-4304-9053-F37A4D05EDB3}"/>
    <cellStyle name="KPMG_BL" xfId="41" xr:uid="{EE3FB8BB-5902-4C72-BCC4-5A8707CDE714}"/>
    <cellStyle name="KPMG_BL_T" xfId="28" xr:uid="{A8971D44-7D68-4ABB-9420-07F873848363}"/>
    <cellStyle name="KPMG_HL_T" xfId="26" xr:uid="{2EDC39C4-771A-4DDF-AB95-2581EAC624C8}"/>
    <cellStyle name="KPMG_HM_T" xfId="27" xr:uid="{D3DA58D8-65CD-4D91-AC06-7108FF84337E}"/>
    <cellStyle name="KPMG_HR_T" xfId="42" xr:uid="{75459B93-4BFB-4157-A60C-BA1CD100A94C}"/>
    <cellStyle name="KPMG2_BL" xfId="43" xr:uid="{C2E73375-9D75-486D-AE5E-AA33F36CA1C4}"/>
    <cellStyle name="KPMG3_B" xfId="44" xr:uid="{FFFA7592-B28A-49EB-A4E8-08CEF4775D9F}"/>
    <cellStyle name="Normal_Rev7-2007 04 12 M Tower Budget" xfId="21" xr:uid="{8946AEF1-8547-4506-BA34-8D50CB2A9258}"/>
    <cellStyle name="백분율" xfId="1" builtinId="5"/>
    <cellStyle name="백분율 10" xfId="4" xr:uid="{DE508B7B-2DD2-4E98-BA06-A17F0A1F97E6}"/>
    <cellStyle name="백분율 10 4" xfId="7" xr:uid="{E38B6EE3-05B3-4D24-9A07-06ED6B995B42}"/>
    <cellStyle name="백분율 4" xfId="14" xr:uid="{F52E8A67-D95C-4D7C-9ED6-C98635536F5E}"/>
    <cellStyle name="백분율 4 7" xfId="20" xr:uid="{D2FE8F57-2B04-4B70-920A-6A1562639968}"/>
    <cellStyle name="쉼표 [0]" xfId="10" builtinId="6"/>
    <cellStyle name="쉼표 [0] 10 2 2 13" xfId="3" xr:uid="{E2683F9F-19F6-4E28-9455-A0C4ED812CD3}"/>
    <cellStyle name="쉼표 [0] 17" xfId="17" xr:uid="{BED9C102-F2F9-416B-BE90-D2B2B29DAEE3}"/>
    <cellStyle name="쉼표 [0] 2" xfId="24" xr:uid="{9EA652F6-13D8-4A70-82E0-4DE80058DC4C}"/>
    <cellStyle name="쉼표 [0] 2 2 2" xfId="23" xr:uid="{E81FA0A2-9344-48E4-816D-F281487451DC}"/>
    <cellStyle name="쉼표 [0] 21 13" xfId="9" xr:uid="{2D41F467-B63F-45C3-98DA-359870919D7C}"/>
    <cellStyle name="쉼표 [0] 4" xfId="15" xr:uid="{9EDE41E2-B72B-4FA2-99B2-9A25F62E6F77}"/>
    <cellStyle name="쉼표 [0] 4 6" xfId="19" xr:uid="{786277BB-3C2B-4A04-B6FC-19EE9B684C05}"/>
    <cellStyle name="쉼표 [0]_11143814" xfId="13" xr:uid="{4B038CDF-15A8-4EF3-A840-8A31DBBE0F52}"/>
    <cellStyle name="쉼표 10" xfId="8" xr:uid="{F3DAD797-C16A-4E99-B211-E78D9519CDD5}"/>
    <cellStyle name="쉼표 4" xfId="6" xr:uid="{52C16D70-F9BC-400E-953A-09B44A834D5A}"/>
    <cellStyle name="열어 본 하이퍼링크" xfId="33" builtinId="9" customBuiltin="1"/>
    <cellStyle name="표준" xfId="0" builtinId="0" customBuiltin="1"/>
    <cellStyle name="표준 10 2 6 2" xfId="5" xr:uid="{32FDE38D-CD0E-4F3F-8AC5-9588BE794C59}"/>
    <cellStyle name="표준 193" xfId="2" xr:uid="{4F675657-8333-414B-8FF5-CC3A34F5117C}"/>
    <cellStyle name="표준 2" xfId="11" xr:uid="{17DE9E81-6944-4D0F-A5AC-4899F97BCDBD}"/>
    <cellStyle name="표준 293" xfId="16" xr:uid="{86D80C07-382F-4AFB-BE02-5EE5BE1635EF}"/>
    <cellStyle name="표준 3" xfId="25" xr:uid="{1AD5D889-F6F2-4395-A39B-D8B72A032EB3}"/>
    <cellStyle name="표준 4 2" xfId="30" xr:uid="{A3E9A22F-2BB2-4B10-8B12-8A96657841D1}"/>
    <cellStyle name="표준_11143814" xfId="12" xr:uid="{672052F6-ED98-4CDA-8F6B-375C77003FC0}"/>
    <cellStyle name="표준_2005년 교통유발내역" xfId="18" xr:uid="{FE8B838C-5F3D-428C-AF10-3DA3E763D0A4}"/>
    <cellStyle name="하이퍼링크" xfId="32" builtinId="8" customBuiltin="1"/>
    <cellStyle name="하이퍼링크 2" xfId="31" xr:uid="{87F11721-38C3-4BE0-A56D-67998AFC0E87}"/>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79998168889431442"/>
        </patternFill>
      </fill>
    </dxf>
    <dxf>
      <fill>
        <patternFill>
          <bgColor theme="5" tint="0.79998168889431442"/>
        </patternFill>
      </fill>
    </dxf>
  </dxfs>
  <tableStyles count="0" defaultTableStyle="TableStyleMedium2" defaultPivotStyle="PivotStyleLight16"/>
  <colors>
    <mruColors>
      <color rgb="FF0000FF"/>
      <color rgb="FFF4F4DC"/>
      <color rgb="FFD6DC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eetMetadata" Target="metadata.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2</xdr:col>
      <xdr:colOff>750794</xdr:colOff>
      <xdr:row>13</xdr:row>
      <xdr:rowOff>100854</xdr:rowOff>
    </xdr:from>
    <xdr:to>
      <xdr:col>5</xdr:col>
      <xdr:colOff>547686</xdr:colOff>
      <xdr:row>31</xdr:row>
      <xdr:rowOff>123265</xdr:rowOff>
    </xdr:to>
    <xdr:pic>
      <xdr:nvPicPr>
        <xdr:cNvPr id="2" name="그림 1">
          <a:extLst>
            <a:ext uri="{FF2B5EF4-FFF2-40B4-BE49-F238E27FC236}">
              <a16:creationId xmlns:a16="http://schemas.microsoft.com/office/drawing/2014/main" id="{B1835EF7-4994-367A-B8DB-CD5471891275}"/>
            </a:ext>
          </a:extLst>
        </xdr:cNvPr>
        <xdr:cNvPicPr>
          <a:picLocks noChangeAspect="1"/>
        </xdr:cNvPicPr>
      </xdr:nvPicPr>
      <xdr:blipFill>
        <a:blip xmlns:r="http://schemas.openxmlformats.org/officeDocument/2006/relationships" r:embed="rId1"/>
        <a:srcRect l="2944" t="4311" r="2944" b="2944"/>
        <a:stretch>
          <a:fillRect/>
        </a:stretch>
      </xdr:blipFill>
      <xdr:spPr>
        <a:xfrm>
          <a:off x="1298482" y="3077417"/>
          <a:ext cx="3487829" cy="3070411"/>
        </a:xfrm>
        <a:prstGeom prst="rect">
          <a:avLst/>
        </a:prstGeom>
        <a:ln w="6350">
          <a:solidFill>
            <a:schemeClr val="accent1">
              <a:shade val="15000"/>
            </a:schemeClr>
          </a:solidFill>
        </a:ln>
      </xdr:spPr>
    </xdr:pic>
    <xdr:clientData/>
  </xdr:twoCellAnchor>
  <xdr:twoCellAnchor editAs="oneCell">
    <xdr:from>
      <xdr:col>2</xdr:col>
      <xdr:colOff>571501</xdr:colOff>
      <xdr:row>36</xdr:row>
      <xdr:rowOff>0</xdr:rowOff>
    </xdr:from>
    <xdr:to>
      <xdr:col>5</xdr:col>
      <xdr:colOff>625254</xdr:colOff>
      <xdr:row>56</xdr:row>
      <xdr:rowOff>146181</xdr:rowOff>
    </xdr:to>
    <xdr:pic>
      <xdr:nvPicPr>
        <xdr:cNvPr id="20" name="그림 19">
          <a:extLst>
            <a:ext uri="{FF2B5EF4-FFF2-40B4-BE49-F238E27FC236}">
              <a16:creationId xmlns:a16="http://schemas.microsoft.com/office/drawing/2014/main" id="{7DECDF5E-F63A-8192-DC2A-44544C28AFCA}"/>
            </a:ext>
          </a:extLst>
        </xdr:cNvPr>
        <xdr:cNvPicPr>
          <a:picLocks noChangeAspect="1"/>
        </xdr:cNvPicPr>
      </xdr:nvPicPr>
      <xdr:blipFill>
        <a:blip xmlns:r="http://schemas.openxmlformats.org/officeDocument/2006/relationships" r:embed="rId2"/>
        <a:stretch>
          <a:fillRect/>
        </a:stretch>
      </xdr:blipFill>
      <xdr:spPr>
        <a:xfrm>
          <a:off x="1109383" y="6858000"/>
          <a:ext cx="3762900" cy="362000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39</xdr:col>
          <xdr:colOff>628650</xdr:colOff>
          <xdr:row>28</xdr:row>
          <xdr:rowOff>38100</xdr:rowOff>
        </xdr:from>
        <xdr:to>
          <xdr:col>42</xdr:col>
          <xdr:colOff>495300</xdr:colOff>
          <xdr:row>30</xdr:row>
          <xdr:rowOff>9525</xdr:rowOff>
        </xdr:to>
        <xdr:sp macro="" textlink="">
          <xdr:nvSpPr>
            <xdr:cNvPr id="14355" name="Button 19" hidden="1">
              <a:extLst>
                <a:ext uri="{63B3BB69-23CF-44E3-9099-C40C66FF867C}">
                  <a14:compatExt spid="_x0000_s14355"/>
                </a:ext>
                <a:ext uri="{FF2B5EF4-FFF2-40B4-BE49-F238E27FC236}">
                  <a16:creationId xmlns:a16="http://schemas.microsoft.com/office/drawing/2014/main" id="{00000000-0008-0000-0200-0000133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순환참조(해결)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857250</xdr:colOff>
          <xdr:row>31</xdr:row>
          <xdr:rowOff>95250</xdr:rowOff>
        </xdr:from>
        <xdr:to>
          <xdr:col>42</xdr:col>
          <xdr:colOff>247650</xdr:colOff>
          <xdr:row>33</xdr:row>
          <xdr:rowOff>19050</xdr:rowOff>
        </xdr:to>
        <xdr:sp macro="" textlink="">
          <xdr:nvSpPr>
            <xdr:cNvPr id="14358" name="Button 22" hidden="1">
              <a:extLst>
                <a:ext uri="{63B3BB69-23CF-44E3-9099-C40C66FF867C}">
                  <a14:compatExt spid="_x0000_s14358"/>
                </a:ext>
                <a:ext uri="{FF2B5EF4-FFF2-40B4-BE49-F238E27FC236}">
                  <a16:creationId xmlns:a16="http://schemas.microsoft.com/office/drawing/2014/main" id="{00000000-0008-0000-0200-0000163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민감도 분석</a:t>
              </a:r>
            </a:p>
          </xdr:txBody>
        </xdr:sp>
        <xdr:clientData fPrintsWithSheet="0"/>
      </xdr:twoCellAnchor>
    </mc:Choice>
    <mc:Fallback/>
  </mc:AlternateContent>
  <xdr:twoCellAnchor editAs="oneCell">
    <xdr:from>
      <xdr:col>4</xdr:col>
      <xdr:colOff>515494</xdr:colOff>
      <xdr:row>114</xdr:row>
      <xdr:rowOff>15426</xdr:rowOff>
    </xdr:from>
    <xdr:to>
      <xdr:col>10</xdr:col>
      <xdr:colOff>322277</xdr:colOff>
      <xdr:row>146</xdr:row>
      <xdr:rowOff>60953</xdr:rowOff>
    </xdr:to>
    <xdr:pic>
      <xdr:nvPicPr>
        <xdr:cNvPr id="3" name="그림 2">
          <a:extLst>
            <a:ext uri="{FF2B5EF4-FFF2-40B4-BE49-F238E27FC236}">
              <a16:creationId xmlns:a16="http://schemas.microsoft.com/office/drawing/2014/main" id="{252D0273-CCDF-1129-02BB-3290CAC9A530}"/>
            </a:ext>
          </a:extLst>
        </xdr:cNvPr>
        <xdr:cNvPicPr>
          <a:picLocks noChangeAspect="1"/>
        </xdr:cNvPicPr>
      </xdr:nvPicPr>
      <xdr:blipFill>
        <a:blip xmlns:r="http://schemas.openxmlformats.org/officeDocument/2006/relationships" r:embed="rId1"/>
        <a:stretch>
          <a:fillRect/>
        </a:stretch>
      </xdr:blipFill>
      <xdr:spPr>
        <a:xfrm>
          <a:off x="2801494" y="16689779"/>
          <a:ext cx="4692772" cy="4757713"/>
        </a:xfrm>
        <a:prstGeom prst="rect">
          <a:avLst/>
        </a:prstGeom>
        <a:ln>
          <a:solidFill>
            <a:schemeClr val="tx1"/>
          </a:solidFill>
        </a:ln>
      </xdr:spPr>
    </xdr:pic>
    <xdr:clientData/>
  </xdr:twoCellAnchor>
  <mc:AlternateContent xmlns:mc="http://schemas.openxmlformats.org/markup-compatibility/2006">
    <mc:Choice xmlns:a14="http://schemas.microsoft.com/office/drawing/2010/main" Requires="a14">
      <xdr:twoCellAnchor>
        <xdr:from>
          <xdr:col>47</xdr:col>
          <xdr:colOff>676275</xdr:colOff>
          <xdr:row>90</xdr:row>
          <xdr:rowOff>47625</xdr:rowOff>
        </xdr:from>
        <xdr:to>
          <xdr:col>49</xdr:col>
          <xdr:colOff>666750</xdr:colOff>
          <xdr:row>91</xdr:row>
          <xdr:rowOff>57150</xdr:rowOff>
        </xdr:to>
        <xdr:sp macro="" textlink="">
          <xdr:nvSpPr>
            <xdr:cNvPr id="14365" name="Button 29" hidden="1">
              <a:extLst>
                <a:ext uri="{63B3BB69-23CF-44E3-9099-C40C66FF867C}">
                  <a14:compatExt spid="_x0000_s14365"/>
                </a:ext>
                <a:ext uri="{FF2B5EF4-FFF2-40B4-BE49-F238E27FC236}">
                  <a16:creationId xmlns:a16="http://schemas.microsoft.com/office/drawing/2014/main" id="{00000000-0008-0000-0200-00001D3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데이터 표 작성</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teve Hi" id="{27042DA2-F350-4FF7-A9A6-375A792640E9}" userId="10b962b05197d8fc" providerId="Windows Live"/>
  <person displayName="안 용현(Yonghyeon,Ahn)" id="{78D5253A-7483-4317-B75F-90A845E49B3A}" userId="8b8453e97f026ad7" providerId="Windows Live"/>
</personList>
</file>

<file path=xl/theme/theme1.xml><?xml version="1.0" encoding="utf-8"?>
<a:theme xmlns:a="http://schemas.openxmlformats.org/drawingml/2006/main" name="Office 테마">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C6" dT="2026-04-16T08:42:01.19" personId="{78D5253A-7483-4317-B75F-90A845E49B3A}" id="{46086835-B0B6-4804-B8B8-8FA22DB0C6DE}">
    <text>업체 T/C 수령 예정</text>
  </threadedComment>
  <threadedComment ref="Q35" dT="2026-04-16T09:37:36.50" personId="{78D5253A-7483-4317-B75F-90A845E49B3A}" id="{A212A43E-8B1C-4684-BFB1-B9E7C8D154D1}">
    <text>우리은행 t/c반영</text>
  </threadedComment>
  <threadedComment ref="AO39" dT="2026-08-12T15:38:35.64" personId="{78D5253A-7483-4317-B75F-90A845E49B3A}" id="{600EE6EF-FD9F-4240-B66D-F43DE3E9AC71}">
    <text>우리은행 1안</text>
  </threadedComment>
  <threadedComment ref="H43" dT="2026-04-16T09:34:52.27" personId="{78D5253A-7483-4317-B75F-90A845E49B3A}" id="{12B08773-2B6E-44F5-8CA4-033CE81DFAAE}">
    <text>자본준비금 감액배당 구간</text>
  </threadedComment>
  <threadedComment ref="AN48" dT="2026-08-12T00:14:43.57" personId="{78D5253A-7483-4317-B75F-90A845E49B3A}" id="{3D1A676F-8F15-4111-B029-A51C5D698360}">
    <text>최초 24개월 대출에 대한 DSCR</text>
  </threadedComment>
  <threadedComment ref="H73" dT="2026-04-16T09:34:52.27" personId="{78D5253A-7483-4317-B75F-90A845E49B3A}" id="{1BC75A78-2209-4E43-8DEB-7987ACC76977}">
    <text>자본준비금 감액배당 구간</text>
  </threadedComment>
  <threadedComment ref="N73" dT="2026-04-10T08:27:06.61" personId="{27042DA2-F350-4FF7-A9A6-375A792640E9}" id="{C307A3C4-78CA-4F53-AB62-4F62498AD531}">
    <text>실제 치 반영</text>
  </threadedComment>
</ThreadedComment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 dockstate="right" visibility="0" width="350" row="4">
    <wetp:webextensionref xmlns:r="http://schemas.openxmlformats.org/officeDocument/2006/relationships" r:id="rId2"/>
  </wetp:taskpane>
</wetp:taskpanes>
</file>

<file path=xl/webextensions/webextension1.xml><?xml version="1.0" encoding="utf-8"?>
<we:webextension xmlns:we="http://schemas.microsoft.com/office/webextensions/webextension/2010/11" id="{E6A554A0-F97A-4ED5-9B6A-58B77950513F}">
  <we:reference id="wa200009404" version="1.0.0.8" store="ko-KR" storeType="OMEX"/>
  <we:alternateReferences>
    <we:reference id="WA200009404" version="1.0.0.8" store="" storeType="OMEX"/>
  </we:alternateReferences>
  <we:properties>
    <we:property name="claude.fileId" value="&quot;31d7746c-775b-404e-884f-ad86bb6f25ed&quot;"/>
  </we:properties>
  <we:bindings/>
  <we:snapshot xmlns:r="http://schemas.openxmlformats.org/officeDocument/2006/relationships"/>
</we:webextension>
</file>

<file path=xl/webextensions/webextension2.xml><?xml version="1.0" encoding="utf-8"?>
<we:webextension xmlns:we="http://schemas.microsoft.com/office/webextensions/webextension/2010/11" id="{BA175FCC-DC67-4F49-A155-716119E5B1C1}">
  <we:reference id="WA200010725" version="1.0.0.1" store="Omex" storeType="OMEX"/>
  <we:alternateReferences>
    <we:reference id="WA200010725" version="1.0.0.1" store="WA200010725" storeType="OMEX"/>
  </we:alternateReferences>
  <we:properties>
    <we:property name="claude.fileId" value="&quot;73344ec7-51e2-4156-85f8-3927ff7f3b2e&quot;"/>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7" Type="http://schemas.microsoft.com/office/2017/10/relationships/threadedComment" Target="../threadedComments/threadedComment1.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29.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32.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3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8FC08-9E9A-4A65-BCBD-4403C2635150}">
  <sheetPr codeName="Sheet23"/>
  <dimension ref="A1"/>
  <sheetViews>
    <sheetView workbookViewId="0">
      <selection activeCell="B2" sqref="B2"/>
    </sheetView>
  </sheetViews>
  <sheetFormatPr defaultRowHeight="16.5"/>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2:BI143"/>
  <sheetViews>
    <sheetView showGridLines="0" topLeftCell="A141" zoomScale="55" zoomScaleNormal="55" workbookViewId="0">
      <selection activeCell="A162" sqref="A162"/>
    </sheetView>
  </sheetViews>
  <sheetFormatPr defaultColWidth="8.625" defaultRowHeight="13.5"/>
  <cols>
    <col min="1" max="1" width="3.375" style="2802" customWidth="1"/>
    <col min="2" max="2" width="3.625" style="2802" customWidth="1"/>
    <col min="3" max="3" width="20.375" style="2802" customWidth="1"/>
    <col min="4" max="7" width="14.125" style="2802" customWidth="1"/>
    <col min="8" max="9" width="3.625" style="2802" customWidth="1"/>
    <col min="10" max="10" width="2.625" style="2802" customWidth="1"/>
    <col min="11" max="11" width="20.875" style="2802" bestFit="1" customWidth="1"/>
    <col min="12" max="12" width="3.625" style="2802" customWidth="1"/>
    <col min="13" max="13" width="9.75" style="2802" bestFit="1" customWidth="1"/>
    <col min="14" max="14" width="13.75" style="2802" bestFit="1" customWidth="1"/>
    <col min="15" max="15" width="12.625" style="2802" customWidth="1"/>
    <col min="16" max="16" width="22.5" style="2802" bestFit="1" customWidth="1"/>
    <col min="17" max="17" width="8.5" style="2802" bestFit="1" customWidth="1"/>
    <col min="18" max="18" width="12.625" style="2802" bestFit="1" customWidth="1"/>
    <col min="19" max="19" width="8.5" style="2802" bestFit="1" customWidth="1"/>
    <col min="20" max="20" width="8.375" style="2802" bestFit="1" customWidth="1"/>
    <col min="21" max="21" width="12.75" style="2802" bestFit="1" customWidth="1"/>
    <col min="22" max="22" width="3.625" style="2802" customWidth="1"/>
    <col min="23" max="24" width="2.75" style="2802" customWidth="1"/>
    <col min="25" max="25" width="17.625" style="2802" customWidth="1"/>
    <col min="26" max="26" width="34.125" style="2802" customWidth="1"/>
    <col min="27" max="27" width="9.875" style="2802" customWidth="1"/>
    <col min="28" max="34" width="10.625" style="2802" bestFit="1" customWidth="1"/>
    <col min="35" max="37" width="7.625" style="2802" bestFit="1" customWidth="1"/>
    <col min="38" max="38" width="2.125" style="2802" customWidth="1"/>
    <col min="39" max="41" width="8.625" style="2802" customWidth="1"/>
    <col min="42" max="42" width="13.75" style="2802" bestFit="1" customWidth="1"/>
    <col min="43" max="43" width="15.125" style="2802" customWidth="1"/>
    <col min="44" max="44" width="22.5" style="2802" bestFit="1" customWidth="1"/>
    <col min="45" max="45" width="8.5" style="2802" bestFit="1" customWidth="1"/>
    <col min="46" max="46" width="12.625" style="2802" bestFit="1" customWidth="1"/>
    <col min="47" max="47" width="8.5" style="2802" bestFit="1" customWidth="1"/>
    <col min="48" max="48" width="8.375" style="2802" bestFit="1" customWidth="1"/>
    <col min="49" max="49" width="12.75" style="2802" bestFit="1" customWidth="1"/>
    <col min="50" max="50" width="5.125" style="2802" customWidth="1"/>
    <col min="51" max="51" width="8.625" style="2802" customWidth="1"/>
    <col min="52" max="16384" width="8.625" style="2802"/>
  </cols>
  <sheetData>
    <row r="2" spans="1:61" ht="26.25" customHeight="1">
      <c r="B2" s="2803" t="s">
        <v>2443</v>
      </c>
      <c r="C2" s="2919"/>
      <c r="D2" s="2919"/>
      <c r="E2" s="2919"/>
      <c r="J2" s="2920" t="s">
        <v>2444</v>
      </c>
      <c r="X2" s="2920" t="s">
        <v>2445</v>
      </c>
    </row>
    <row r="3" spans="1:61" ht="20.25" customHeight="1">
      <c r="B3" s="2804" t="s">
        <v>2446</v>
      </c>
      <c r="J3" s="2921" t="s">
        <v>2447</v>
      </c>
      <c r="X3" s="2921" t="s">
        <v>2448</v>
      </c>
    </row>
    <row r="4" spans="1:61" ht="20.25" customHeight="1">
      <c r="B4" s="2804" t="s">
        <v>2449</v>
      </c>
      <c r="J4" s="2921" t="s">
        <v>2450</v>
      </c>
      <c r="X4" s="2921" t="s">
        <v>2451</v>
      </c>
    </row>
    <row r="5" spans="1:61" ht="20.25" customHeight="1">
      <c r="B5" s="2804" t="s">
        <v>2452</v>
      </c>
      <c r="J5" s="2921" t="s">
        <v>2453</v>
      </c>
      <c r="X5" s="2921" t="s">
        <v>2454</v>
      </c>
    </row>
    <row r="6" spans="1:61" ht="20.25" customHeight="1">
      <c r="B6" s="2804"/>
      <c r="X6" s="2921" t="s">
        <v>2455</v>
      </c>
    </row>
    <row r="7" spans="1:61" ht="20.25" customHeight="1">
      <c r="B7" s="2804"/>
      <c r="X7" s="2921" t="s">
        <v>2456</v>
      </c>
    </row>
    <row r="8" spans="1:61" ht="20.25" customHeight="1">
      <c r="B8" s="2804"/>
      <c r="X8" s="2921" t="s">
        <v>2457</v>
      </c>
    </row>
    <row r="9" spans="1:61">
      <c r="AB9" s="2922"/>
    </row>
    <row r="10" spans="1:61" ht="16.5" customHeight="1">
      <c r="B10" s="2805" t="s">
        <v>2458</v>
      </c>
      <c r="J10" s="2807" t="s">
        <v>2459</v>
      </c>
      <c r="L10" s="2923"/>
      <c r="M10" s="2924"/>
      <c r="N10" s="2925"/>
      <c r="X10" s="2806" t="s">
        <v>2460</v>
      </c>
      <c r="AH10" s="2834"/>
    </row>
    <row r="11" spans="1:61" ht="11.1" customHeight="1" thickBot="1">
      <c r="B11" s="2808"/>
      <c r="C11" s="2808"/>
      <c r="D11" s="2808"/>
      <c r="E11" s="2808"/>
      <c r="F11" s="2808"/>
      <c r="G11" s="2808"/>
      <c r="H11" s="2808"/>
      <c r="I11" s="2808"/>
      <c r="J11" s="2808"/>
      <c r="K11" s="2926"/>
      <c r="L11" s="2927"/>
      <c r="M11" s="2928"/>
      <c r="N11" s="2929"/>
      <c r="O11" s="2808"/>
      <c r="P11" s="2808"/>
      <c r="Q11" s="2808"/>
      <c r="R11" s="2808"/>
      <c r="S11" s="2808"/>
      <c r="T11" s="2808"/>
      <c r="V11" s="2810" t="s">
        <v>2461</v>
      </c>
      <c r="X11" s="2809"/>
      <c r="Y11" s="2808"/>
      <c r="Z11" s="2808"/>
      <c r="AA11" s="2808"/>
      <c r="AB11" s="2808"/>
      <c r="AC11" s="2808"/>
      <c r="AD11" s="2808"/>
      <c r="AE11" s="2808"/>
      <c r="AF11" s="2808"/>
      <c r="AG11" s="2808"/>
      <c r="AH11" s="2930"/>
      <c r="AI11" s="2808"/>
      <c r="AJ11" s="2808"/>
      <c r="AL11" s="2810" t="s">
        <v>2461</v>
      </c>
      <c r="AM11" s="2808"/>
    </row>
    <row r="12" spans="1:61">
      <c r="A12" s="2811"/>
      <c r="B12" s="2864"/>
      <c r="C12" s="2865"/>
      <c r="D12" s="2865"/>
      <c r="E12" s="2865"/>
      <c r="F12" s="2865"/>
      <c r="G12" s="2865"/>
      <c r="H12" s="2866"/>
      <c r="I12" s="2931"/>
      <c r="J12" s="2932"/>
      <c r="K12" s="2933" t="s">
        <v>2462</v>
      </c>
      <c r="L12" s="2934"/>
      <c r="M12" s="2935"/>
      <c r="N12" s="2935"/>
      <c r="O12" s="2936"/>
      <c r="P12" s="2818" t="s">
        <v>2463</v>
      </c>
      <c r="Q12" s="2819"/>
      <c r="R12" s="2819"/>
      <c r="S12" s="2819"/>
      <c r="T12" s="2819"/>
      <c r="U12" s="2819"/>
      <c r="V12" s="2937"/>
      <c r="W12" s="2812"/>
      <c r="X12" s="2813"/>
      <c r="Y12" s="2814"/>
      <c r="Z12" s="2814"/>
      <c r="AA12" s="2815">
        <f>'CF(Y)'!L5</f>
        <v>46326</v>
      </c>
      <c r="AB12" s="2815">
        <f>'CF(Y)'!M5</f>
        <v>46691</v>
      </c>
      <c r="AC12" s="2815">
        <f>'CF(Y)'!N5</f>
        <v>47057</v>
      </c>
      <c r="AD12" s="2815">
        <f>'CF(Y)'!O5</f>
        <v>47422</v>
      </c>
      <c r="AE12" s="2815">
        <f>'CF(Y)'!P5</f>
        <v>47787</v>
      </c>
      <c r="AF12" s="2815">
        <f>'CF(Y)'!Q5</f>
        <v>48152</v>
      </c>
      <c r="AG12" s="2815">
        <f>'CF(Y)'!R5</f>
        <v>48518</v>
      </c>
      <c r="AH12" s="2815">
        <f>'CF(Y)'!S5</f>
        <v>48883</v>
      </c>
      <c r="AI12" s="2815">
        <f>'CF(Y)'!T5</f>
        <v>49248</v>
      </c>
      <c r="AJ12" s="2815">
        <f>'CF(Y)'!U5</f>
        <v>49613</v>
      </c>
      <c r="AK12" s="2815">
        <f>'CF(Y)'!V5</f>
        <v>49979</v>
      </c>
      <c r="AL12" s="2816"/>
      <c r="AM12" s="2817"/>
      <c r="BA12" s="2820"/>
    </row>
    <row r="13" spans="1:61" ht="16.5">
      <c r="A13" s="2811"/>
      <c r="B13" s="2894"/>
      <c r="C13" s="2805" t="s">
        <v>2464</v>
      </c>
      <c r="H13" s="2868"/>
      <c r="I13" s="2812"/>
      <c r="J13" s="2823"/>
      <c r="K13" s="3057" t="s">
        <v>619</v>
      </c>
      <c r="L13" s="3058"/>
      <c r="M13" s="2938" t="s">
        <v>679</v>
      </c>
      <c r="N13" s="2939" t="s">
        <v>2465</v>
      </c>
      <c r="O13" s="2812"/>
      <c r="P13" s="2940" t="s">
        <v>619</v>
      </c>
      <c r="Q13" s="2940" t="s">
        <v>2466</v>
      </c>
      <c r="R13" s="2940" t="s">
        <v>2467</v>
      </c>
      <c r="S13" s="2940" t="s">
        <v>684</v>
      </c>
      <c r="T13" s="2940" t="s">
        <v>671</v>
      </c>
      <c r="U13" s="2939" t="s">
        <v>679</v>
      </c>
      <c r="V13" s="2824"/>
      <c r="W13" s="2812"/>
      <c r="X13" s="2821"/>
      <c r="Y13" s="3059" t="s">
        <v>619</v>
      </c>
      <c r="Z13" s="3060"/>
      <c r="AA13" s="2941" t="s">
        <v>2468</v>
      </c>
      <c r="AB13" s="2941" t="s">
        <v>2469</v>
      </c>
      <c r="AC13" s="2941" t="s">
        <v>2470</v>
      </c>
      <c r="AD13" s="2941" t="s">
        <v>2471</v>
      </c>
      <c r="AE13" s="2941" t="s">
        <v>2472</v>
      </c>
      <c r="AF13" s="2941" t="s">
        <v>2473</v>
      </c>
      <c r="AG13" s="2941" t="s">
        <v>2474</v>
      </c>
      <c r="AH13" s="2941" t="s">
        <v>2475</v>
      </c>
      <c r="AI13" s="2941" t="s">
        <v>2476</v>
      </c>
      <c r="AJ13" s="2941" t="s">
        <v>2477</v>
      </c>
      <c r="AK13" s="2941" t="s">
        <v>2478</v>
      </c>
      <c r="AL13" s="2822"/>
      <c r="AM13" s="2812"/>
      <c r="BA13" s="2820"/>
    </row>
    <row r="14" spans="1:61">
      <c r="A14" s="2811"/>
      <c r="B14" s="2894"/>
      <c r="H14" s="2868"/>
      <c r="I14" s="2812"/>
      <c r="J14" s="2823"/>
      <c r="K14" s="2828" t="s">
        <v>2479</v>
      </c>
      <c r="L14" s="2829"/>
      <c r="M14" s="2942">
        <f>'A&amp;R'!P8/1000</f>
        <v>270000</v>
      </c>
      <c r="N14" s="2833">
        <f t="shared" ref="N14:N31" si="0">(M14/$D$64)*100</f>
        <v>934.86862155791857</v>
      </c>
      <c r="O14" s="2812"/>
      <c r="P14" s="2830" t="s">
        <v>1125</v>
      </c>
      <c r="Q14" s="2831"/>
      <c r="R14" s="2832"/>
      <c r="S14" s="2832"/>
      <c r="T14" s="2832"/>
      <c r="U14" s="2833">
        <f>SUM(U15:U19)</f>
        <v>98800</v>
      </c>
      <c r="V14" s="2824"/>
      <c r="W14" s="2812"/>
      <c r="X14" s="2821"/>
      <c r="Y14" s="2825" t="s">
        <v>2480</v>
      </c>
      <c r="Z14" s="2826" t="s">
        <v>2481</v>
      </c>
      <c r="AA14" s="2943">
        <f>M43</f>
        <v>298899.99999999994</v>
      </c>
      <c r="AB14" s="2827"/>
      <c r="AC14" s="2827"/>
      <c r="AD14" s="2827"/>
      <c r="AE14" s="2827"/>
      <c r="AF14" s="2827"/>
      <c r="AG14" s="2827"/>
      <c r="AH14" s="2827"/>
      <c r="AI14" s="2827"/>
      <c r="AJ14" s="2827"/>
      <c r="AK14" s="2827"/>
      <c r="AL14" s="2822"/>
      <c r="AM14" s="2812"/>
      <c r="BA14" s="2820"/>
      <c r="BI14" s="2834"/>
    </row>
    <row r="15" spans="1:61">
      <c r="A15" s="2811"/>
      <c r="B15" s="2894"/>
      <c r="H15" s="2868"/>
      <c r="I15" s="2812"/>
      <c r="J15" s="2823"/>
      <c r="K15" s="2944" t="s">
        <v>2482</v>
      </c>
      <c r="L15" s="2829"/>
      <c r="M15" s="2942">
        <f>'A&amp;R'!P6/1000</f>
        <v>142236</v>
      </c>
      <c r="N15" s="2833">
        <f t="shared" si="0"/>
        <v>492.48878983671148</v>
      </c>
      <c r="O15" s="2812"/>
      <c r="P15" s="2836" t="s">
        <v>2483</v>
      </c>
      <c r="Q15" s="2831">
        <f>U15/$U$43</f>
        <v>8.0294412847106061E-2</v>
      </c>
      <c r="R15" s="2831">
        <f ca="1">'A&amp;R'!G65</f>
        <v>7.0000000000000021E-2</v>
      </c>
      <c r="S15" s="2832"/>
      <c r="T15" s="2832">
        <f>'A&amp;R'!O41</f>
        <v>120</v>
      </c>
      <c r="U15" s="2833">
        <f>'A&amp;R'!T18/1000</f>
        <v>24000</v>
      </c>
      <c r="V15" s="2824"/>
      <c r="W15" s="2812"/>
      <c r="X15" s="2821"/>
      <c r="Y15" s="2825"/>
      <c r="Z15" s="2945" t="s">
        <v>2484</v>
      </c>
      <c r="AA15" s="3001">
        <f>'A&amp;R'!O4</f>
        <v>4.8918868912827713E-2</v>
      </c>
      <c r="AB15" s="2827"/>
      <c r="AC15" s="2827"/>
      <c r="AD15" s="2827"/>
      <c r="AE15" s="2827"/>
      <c r="AF15" s="2827"/>
      <c r="AG15" s="2827"/>
      <c r="AH15" s="2827"/>
      <c r="AI15" s="2827"/>
      <c r="AJ15" s="2827"/>
      <c r="AK15" s="2827"/>
      <c r="AL15" s="2822"/>
      <c r="AM15" s="2812"/>
      <c r="BA15" s="2820"/>
      <c r="BI15" s="2834"/>
    </row>
    <row r="16" spans="1:61">
      <c r="A16" s="2811"/>
      <c r="B16" s="2894"/>
      <c r="H16" s="2868"/>
      <c r="I16" s="2812"/>
      <c r="J16" s="2823"/>
      <c r="K16" s="2944" t="s">
        <v>2485</v>
      </c>
      <c r="L16" s="2829"/>
      <c r="M16" s="2942">
        <v>0</v>
      </c>
      <c r="N16" s="2833">
        <f t="shared" si="0"/>
        <v>0</v>
      </c>
      <c r="O16" s="2812"/>
      <c r="P16" s="2836" t="s">
        <v>2486</v>
      </c>
      <c r="Q16" s="2831">
        <f>U16/$U$43</f>
        <v>0.16728002676480427</v>
      </c>
      <c r="R16" s="2831">
        <f ca="1">'A&amp;R'!K65</f>
        <v>7.5000000000000011E-2</v>
      </c>
      <c r="S16" s="2832"/>
      <c r="T16" s="2832">
        <f>'A&amp;R'!O42</f>
        <v>120</v>
      </c>
      <c r="U16" s="2833">
        <f>'A&amp;R'!T19/1000</f>
        <v>50000</v>
      </c>
      <c r="V16" s="2946"/>
      <c r="W16" s="2812"/>
      <c r="X16" s="2821"/>
      <c r="Y16" s="2825"/>
      <c r="Z16" s="2945" t="s">
        <v>2487</v>
      </c>
      <c r="AA16" s="2835">
        <f>M14/D64*100</f>
        <v>934.86862155791857</v>
      </c>
      <c r="AB16" s="2827"/>
      <c r="AC16" s="2827"/>
      <c r="AD16" s="2827"/>
      <c r="AE16" s="2827"/>
      <c r="AF16" s="2827"/>
      <c r="AG16" s="2827"/>
      <c r="AH16" s="2827"/>
      <c r="AI16" s="2827"/>
      <c r="AJ16" s="2827"/>
      <c r="AK16" s="2827"/>
      <c r="AL16" s="2822"/>
      <c r="AM16" s="2812"/>
      <c r="BA16" s="2820"/>
      <c r="BI16" s="2834"/>
    </row>
    <row r="17" spans="1:61">
      <c r="A17" s="2811"/>
      <c r="B17" s="2894"/>
      <c r="H17" s="2868"/>
      <c r="I17" s="2812"/>
      <c r="J17" s="2823"/>
      <c r="K17" s="2944" t="s">
        <v>2488</v>
      </c>
      <c r="L17" s="2829"/>
      <c r="M17" s="2942">
        <f>'A&amp;R'!P7/1000</f>
        <v>127763.99999999999</v>
      </c>
      <c r="N17" s="2833">
        <f t="shared" si="0"/>
        <v>442.37983172120704</v>
      </c>
      <c r="O17" s="2812"/>
      <c r="P17" s="2836" t="s">
        <v>2489</v>
      </c>
      <c r="Q17" s="2831">
        <f>U17/$U$43</f>
        <v>4.9514887922382067E-2</v>
      </c>
      <c r="R17" s="2831" t="s">
        <v>1580</v>
      </c>
      <c r="S17" s="2832"/>
      <c r="T17" s="2832">
        <f>'A&amp;R'!O44</f>
        <v>120</v>
      </c>
      <c r="U17" s="2833">
        <f>'A&amp;R'!T21/1000</f>
        <v>14800</v>
      </c>
      <c r="V17" s="2946"/>
      <c r="W17" s="2812"/>
      <c r="X17" s="2821"/>
      <c r="Y17" s="2825" t="s">
        <v>208</v>
      </c>
      <c r="Z17" s="2826" t="s">
        <v>2442</v>
      </c>
      <c r="AA17" s="2943">
        <f>U14</f>
        <v>98800</v>
      </c>
      <c r="AB17" s="2827"/>
      <c r="AC17" s="2827"/>
      <c r="AD17" s="2827"/>
      <c r="AE17" s="2827"/>
      <c r="AF17" s="2827"/>
      <c r="AG17" s="2827"/>
      <c r="AH17" s="2827"/>
      <c r="AI17" s="2827"/>
      <c r="AJ17" s="2827"/>
      <c r="AK17" s="2827"/>
      <c r="AL17" s="2822"/>
      <c r="AM17" s="2812"/>
      <c r="BA17" s="2820"/>
      <c r="BI17" s="2834"/>
    </row>
    <row r="18" spans="1:61">
      <c r="A18" s="2811"/>
      <c r="B18" s="2894"/>
      <c r="H18" s="2868"/>
      <c r="I18" s="2812"/>
      <c r="J18" s="2823"/>
      <c r="K18" s="2825"/>
      <c r="L18" s="2839"/>
      <c r="M18" s="2832"/>
      <c r="N18" s="2833">
        <f t="shared" si="0"/>
        <v>0</v>
      </c>
      <c r="O18" s="2812"/>
      <c r="P18" s="2836" t="s">
        <v>2490</v>
      </c>
      <c r="Q18" s="2831">
        <f>U18/$U$43</f>
        <v>0</v>
      </c>
      <c r="R18" s="2831"/>
      <c r="S18" s="2832"/>
      <c r="T18" s="2832"/>
      <c r="U18" s="2833">
        <v>0</v>
      </c>
      <c r="V18" s="2946"/>
      <c r="W18" s="2812"/>
      <c r="X18" s="2821"/>
      <c r="Y18" s="2825"/>
      <c r="Z18" s="2837" t="s">
        <v>2491</v>
      </c>
      <c r="AA18" s="2838">
        <f>U18</f>
        <v>0</v>
      </c>
      <c r="AB18" s="2827"/>
      <c r="AC18" s="2827"/>
      <c r="AD18" s="2827"/>
      <c r="AE18" s="2827"/>
      <c r="AF18" s="2827"/>
      <c r="AG18" s="2827"/>
      <c r="AH18" s="2827"/>
      <c r="AI18" s="2827"/>
      <c r="AJ18" s="2827"/>
      <c r="AK18" s="2827"/>
      <c r="AL18" s="2822"/>
      <c r="AM18" s="2812"/>
      <c r="BA18" s="2820"/>
      <c r="BI18" s="2834"/>
    </row>
    <row r="19" spans="1:61">
      <c r="A19" s="2811"/>
      <c r="B19" s="2894"/>
      <c r="H19" s="2868"/>
      <c r="I19" s="2812"/>
      <c r="J19" s="2823"/>
      <c r="K19" s="2825"/>
      <c r="L19" s="2839"/>
      <c r="M19" s="2832"/>
      <c r="N19" s="2833">
        <f t="shared" si="0"/>
        <v>0</v>
      </c>
      <c r="O19" s="2812"/>
      <c r="P19" s="2836" t="s">
        <v>2492</v>
      </c>
      <c r="Q19" s="2831">
        <f>U19/$U$43</f>
        <v>3.3456005352960859E-2</v>
      </c>
      <c r="R19" s="2831" t="s">
        <v>2493</v>
      </c>
      <c r="S19" s="2832"/>
      <c r="T19" s="2832">
        <f>'A&amp;R'!O43</f>
        <v>24</v>
      </c>
      <c r="U19" s="2833">
        <f>'A&amp;R'!T20/1000</f>
        <v>10000</v>
      </c>
      <c r="V19" s="2946"/>
      <c r="W19" s="2812"/>
      <c r="X19" s="2821"/>
      <c r="Y19" s="2825"/>
      <c r="Z19" s="2839" t="s">
        <v>2494</v>
      </c>
      <c r="AA19" s="2870">
        <f>U21</f>
        <v>198000</v>
      </c>
      <c r="AB19" s="2827"/>
      <c r="AC19" s="2827"/>
      <c r="AD19" s="2827"/>
      <c r="AE19" s="2827"/>
      <c r="AF19" s="2827"/>
      <c r="AG19" s="2827"/>
      <c r="AH19" s="2827"/>
      <c r="AI19" s="2827"/>
      <c r="AJ19" s="2827"/>
      <c r="AK19" s="2827"/>
      <c r="AL19" s="2822"/>
      <c r="AM19" s="2812"/>
      <c r="BA19" s="2820"/>
      <c r="BB19" s="2947"/>
    </row>
    <row r="20" spans="1:61">
      <c r="A20" s="2811"/>
      <c r="B20" s="2894"/>
      <c r="H20" s="2868"/>
      <c r="I20" s="2812"/>
      <c r="J20" s="2823"/>
      <c r="K20" s="2948"/>
      <c r="L20" s="2829"/>
      <c r="M20" s="2942"/>
      <c r="N20" s="2833">
        <f t="shared" si="0"/>
        <v>0</v>
      </c>
      <c r="O20" s="2812"/>
      <c r="P20" s="2832"/>
      <c r="Q20" s="2832"/>
      <c r="R20" s="2832"/>
      <c r="S20" s="2832"/>
      <c r="T20" s="2832"/>
      <c r="U20" s="2840"/>
      <c r="V20" s="2824"/>
      <c r="W20" s="2812"/>
      <c r="X20" s="2821"/>
      <c r="Y20" s="2825"/>
      <c r="Z20" s="2916" t="s">
        <v>2495</v>
      </c>
      <c r="AA20" s="2949">
        <f>AA19/AA14</f>
        <v>0.66242890598862514</v>
      </c>
      <c r="AB20" s="2827"/>
      <c r="AC20" s="2827"/>
      <c r="AD20" s="2827"/>
      <c r="AE20" s="2827"/>
      <c r="AF20" s="2827"/>
      <c r="AG20" s="2827"/>
      <c r="AH20" s="2827"/>
      <c r="AI20" s="2827"/>
      <c r="AJ20" s="2827"/>
      <c r="AK20" s="2827"/>
      <c r="AL20" s="2822"/>
      <c r="AM20" s="2812"/>
      <c r="BA20" s="2820"/>
    </row>
    <row r="21" spans="1:61">
      <c r="A21" s="2811"/>
      <c r="B21" s="2894"/>
      <c r="H21" s="2868"/>
      <c r="I21" s="2812"/>
      <c r="J21" s="2823"/>
      <c r="K21" s="2828" t="s">
        <v>2496</v>
      </c>
      <c r="L21" s="2829"/>
      <c r="M21" s="2942">
        <f>M22+M27+M28+M29+M30+M31</f>
        <v>28899.999999999956</v>
      </c>
      <c r="N21" s="2833">
        <f t="shared" si="0"/>
        <v>100.06556727045854</v>
      </c>
      <c r="O21" s="2812"/>
      <c r="P21" s="2842" t="s">
        <v>2497</v>
      </c>
      <c r="Q21" s="2831"/>
      <c r="R21" s="2832"/>
      <c r="S21" s="2832"/>
      <c r="T21" s="2832"/>
      <c r="U21" s="2833">
        <f>U22+U23+U27</f>
        <v>198000</v>
      </c>
      <c r="V21" s="2824"/>
      <c r="W21" s="2812"/>
      <c r="X21" s="2821"/>
      <c r="Y21" s="2825"/>
      <c r="Z21" s="2826" t="s">
        <v>642</v>
      </c>
      <c r="AA21" s="2838">
        <f>U33</f>
        <v>2100</v>
      </c>
      <c r="AB21" s="2827"/>
      <c r="AC21" s="2827"/>
      <c r="AD21" s="2827"/>
      <c r="AE21" s="2827"/>
      <c r="AF21" s="2827"/>
      <c r="AG21" s="2827"/>
      <c r="AH21" s="2827"/>
      <c r="AI21" s="2827"/>
      <c r="AJ21" s="2827"/>
      <c r="AK21" s="2827"/>
      <c r="AL21" s="2822"/>
      <c r="AM21" s="2812"/>
      <c r="BA21" s="2820"/>
    </row>
    <row r="22" spans="1:61">
      <c r="A22" s="2811"/>
      <c r="B22" s="2894"/>
      <c r="H22" s="2868"/>
      <c r="I22" s="2812"/>
      <c r="J22" s="2823"/>
      <c r="K22" s="2944" t="s">
        <v>2498</v>
      </c>
      <c r="L22" s="2843"/>
      <c r="M22" s="2844">
        <f>SUM(M23:M26)</f>
        <v>14274.615225132002</v>
      </c>
      <c r="N22" s="2833">
        <f t="shared" si="0"/>
        <v>49.425517995514198</v>
      </c>
      <c r="O22" s="2812"/>
      <c r="P22" s="2836" t="s">
        <v>2499</v>
      </c>
      <c r="Q22" s="2831"/>
      <c r="R22" s="2831">
        <f>'A&amp;R'!Q38</f>
        <v>4.4999999999999998E-2</v>
      </c>
      <c r="S22" s="2832"/>
      <c r="T22" s="2832">
        <f>'A&amp;R'!O38</f>
        <v>3</v>
      </c>
      <c r="U22" s="2833">
        <v>0</v>
      </c>
      <c r="V22" s="2824"/>
      <c r="W22" s="2812"/>
      <c r="X22" s="2821"/>
      <c r="Y22" s="2825" t="s">
        <v>2500</v>
      </c>
      <c r="Z22" s="2826" t="s">
        <v>2501</v>
      </c>
      <c r="AA22" s="2838"/>
      <c r="AB22" s="2841"/>
      <c r="AC22" s="2841"/>
      <c r="AD22" s="2841"/>
      <c r="AE22" s="2841"/>
      <c r="AF22" s="2841"/>
      <c r="AG22" s="2841"/>
      <c r="AH22" s="2841"/>
      <c r="AI22" s="2841"/>
      <c r="AJ22" s="2841"/>
      <c r="AK22" s="2841">
        <f>P60</f>
        <v>359621.82804531732</v>
      </c>
      <c r="AL22" s="2822"/>
      <c r="AM22" s="2812"/>
      <c r="BA22" s="2820"/>
    </row>
    <row r="23" spans="1:61">
      <c r="A23" s="2811"/>
      <c r="B23" s="2894"/>
      <c r="H23" s="2868"/>
      <c r="I23" s="2812"/>
      <c r="J23" s="2823"/>
      <c r="K23" s="2845" t="s">
        <v>249</v>
      </c>
      <c r="L23" s="2829"/>
      <c r="M23" s="2844">
        <f>'A&amp;R'!P9/1000</f>
        <v>1350</v>
      </c>
      <c r="N23" s="2833">
        <f t="shared" si="0"/>
        <v>4.6743431077895927</v>
      </c>
      <c r="O23" s="2812"/>
      <c r="P23" s="2836" t="s">
        <v>2502</v>
      </c>
      <c r="Q23" s="2831">
        <f>U23/$U$43</f>
        <v>0.53529608564737374</v>
      </c>
      <c r="R23" s="2831">
        <f>'A&amp;R'!Q32</f>
        <v>4.7750000000000001E-2</v>
      </c>
      <c r="S23" s="2831">
        <f>'A&amp;R'!R32</f>
        <v>1.4500000000000001E-2</v>
      </c>
      <c r="T23" s="2832">
        <f>'A&amp;R'!O32</f>
        <v>24</v>
      </c>
      <c r="U23" s="2833">
        <f>'A&amp;R'!P32/1000</f>
        <v>160000</v>
      </c>
      <c r="V23" s="2824"/>
      <c r="W23" s="2812"/>
      <c r="X23" s="2821"/>
      <c r="Y23" s="2825"/>
      <c r="Z23" s="2945" t="s">
        <v>2503</v>
      </c>
      <c r="AA23" s="3002">
        <f>P50</f>
        <v>4.8918868912827713E-2</v>
      </c>
      <c r="AB23" s="2841"/>
      <c r="AC23" s="2841"/>
      <c r="AD23" s="2841"/>
      <c r="AE23" s="2841"/>
      <c r="AF23" s="2841"/>
      <c r="AG23" s="2841"/>
      <c r="AH23" s="2841"/>
      <c r="AI23" s="2841"/>
      <c r="AJ23" s="2841"/>
      <c r="AK23" s="2841"/>
      <c r="AL23" s="2822"/>
      <c r="AM23" s="2812"/>
      <c r="BA23" s="2820"/>
    </row>
    <row r="24" spans="1:61">
      <c r="A24" s="2811"/>
      <c r="B24" s="2894"/>
      <c r="H24" s="2868"/>
      <c r="I24" s="2812"/>
      <c r="J24" s="2823"/>
      <c r="K24" s="2846" t="s">
        <v>2504</v>
      </c>
      <c r="L24" s="2839"/>
      <c r="M24" s="2844">
        <f>'A&amp;R'!P17/1000</f>
        <v>346.31509999999997</v>
      </c>
      <c r="N24" s="2833">
        <f t="shared" si="0"/>
        <v>1.1991078524507137</v>
      </c>
      <c r="O24" s="2812"/>
      <c r="P24" s="2836" t="s">
        <v>2505</v>
      </c>
      <c r="Q24" s="2831"/>
      <c r="R24" s="2831">
        <f>'A&amp;R'!Q33</f>
        <v>4.8000000000000001E-2</v>
      </c>
      <c r="S24" s="2831">
        <f>'A&amp;R'!R33</f>
        <v>0</v>
      </c>
      <c r="T24" s="2832">
        <f>'A&amp;R'!O33</f>
        <v>36</v>
      </c>
      <c r="U24" s="2833"/>
      <c r="V24" s="2824"/>
      <c r="W24" s="2812"/>
      <c r="X24" s="2821"/>
      <c r="Y24" s="2825"/>
      <c r="Z24" s="2945" t="s">
        <v>2506</v>
      </c>
      <c r="AA24" s="2835">
        <f>O52</f>
        <v>1301.4089960680983</v>
      </c>
      <c r="AB24" s="2841"/>
      <c r="AC24" s="2841"/>
      <c r="AD24" s="2841"/>
      <c r="AE24" s="2841"/>
      <c r="AF24" s="2841"/>
      <c r="AG24" s="2841"/>
      <c r="AH24" s="2841"/>
      <c r="AI24" s="2841"/>
      <c r="AJ24" s="2841"/>
      <c r="AK24" s="2841"/>
      <c r="AL24" s="2822"/>
      <c r="AM24" s="2812"/>
      <c r="BA24" s="2820"/>
    </row>
    <row r="25" spans="1:61" ht="16.5">
      <c r="A25" s="2811"/>
      <c r="B25" s="2894"/>
      <c r="H25" s="2868"/>
      <c r="I25" s="2812"/>
      <c r="J25" s="2823"/>
      <c r="K25" s="2846" t="s">
        <v>1439</v>
      </c>
      <c r="L25" s="2839"/>
      <c r="M25" s="2844">
        <v>0</v>
      </c>
      <c r="N25" s="2833">
        <f t="shared" si="0"/>
        <v>0</v>
      </c>
      <c r="O25" s="2812"/>
      <c r="P25" s="2836" t="s">
        <v>2507</v>
      </c>
      <c r="Q25" s="2831"/>
      <c r="R25" s="2831">
        <f>'A&amp;R'!Q34</f>
        <v>4.4999999999999998E-2</v>
      </c>
      <c r="S25" s="2831">
        <f>'A&amp;R'!R34</f>
        <v>0</v>
      </c>
      <c r="T25" s="2832">
        <f>'A&amp;R'!O34</f>
        <v>60</v>
      </c>
      <c r="U25" s="2833"/>
      <c r="V25" s="2824"/>
      <c r="W25" s="2812"/>
      <c r="X25" s="2821"/>
      <c r="Y25" s="3059" t="s">
        <v>619</v>
      </c>
      <c r="Z25" s="3060"/>
      <c r="AA25" s="2941" t="s">
        <v>2468</v>
      </c>
      <c r="AB25" s="2941" t="s">
        <v>2469</v>
      </c>
      <c r="AC25" s="2941" t="s">
        <v>2470</v>
      </c>
      <c r="AD25" s="2941" t="s">
        <v>2471</v>
      </c>
      <c r="AE25" s="2941" t="s">
        <v>2472</v>
      </c>
      <c r="AF25" s="2941" t="s">
        <v>2473</v>
      </c>
      <c r="AG25" s="2941" t="s">
        <v>2474</v>
      </c>
      <c r="AH25" s="2941" t="s">
        <v>2475</v>
      </c>
      <c r="AI25" s="2941" t="s">
        <v>2476</v>
      </c>
      <c r="AJ25" s="2941" t="s">
        <v>2477</v>
      </c>
      <c r="AK25" s="2941" t="s">
        <v>2478</v>
      </c>
      <c r="AL25" s="2822"/>
      <c r="AM25" s="2812"/>
      <c r="BA25" s="2820"/>
    </row>
    <row r="26" spans="1:61">
      <c r="A26" s="2811"/>
      <c r="B26" s="2894"/>
      <c r="H26" s="2868"/>
      <c r="I26" s="2812"/>
      <c r="J26" s="2823"/>
      <c r="K26" s="2846" t="s">
        <v>2508</v>
      </c>
      <c r="L26" s="2839"/>
      <c r="M26" s="2844">
        <f>'A&amp;R'!P22/1000</f>
        <v>12578.300125132002</v>
      </c>
      <c r="N26" s="2833">
        <f t="shared" si="0"/>
        <v>43.552067035273886</v>
      </c>
      <c r="O26" s="2812"/>
      <c r="P26" s="2836"/>
      <c r="Q26" s="2831"/>
      <c r="R26" s="2831"/>
      <c r="S26" s="2832"/>
      <c r="T26" s="2832"/>
      <c r="U26" s="2833"/>
      <c r="V26" s="2824"/>
      <c r="W26" s="2812"/>
      <c r="X26" s="2821"/>
      <c r="Y26" s="2825" t="s">
        <v>1503</v>
      </c>
      <c r="Z26" s="2826" t="s">
        <v>1846</v>
      </c>
      <c r="AA26" s="2950"/>
      <c r="AB26" s="2847">
        <f>IM!C4+IM!C5</f>
        <v>14414.80211658125</v>
      </c>
      <c r="AC26" s="2847">
        <f>IM!D4+IM!D5</f>
        <v>14743.044437495779</v>
      </c>
      <c r="AD26" s="2847">
        <f>IM!E4+IM!E5</f>
        <v>10408.902350742001</v>
      </c>
      <c r="AE26" s="2847">
        <f>IM!F4+IM!F5</f>
        <v>16506.597858833346</v>
      </c>
      <c r="AF26" s="2847">
        <f>IM!G4+IM!G5</f>
        <v>16929.15284616538</v>
      </c>
      <c r="AG26" s="2847">
        <f>IM!H4+IM!H5</f>
        <v>17352.381667319514</v>
      </c>
      <c r="AH26" s="2847">
        <f>IM!I4+IM!I5</f>
        <v>17786.1912090025</v>
      </c>
      <c r="AI26" s="2847">
        <f>IM!J4+IM!J5</f>
        <v>18009.90714862019</v>
      </c>
      <c r="AJ26" s="2847">
        <f>IM!K4+IM!K5</f>
        <v>18366.946594082259</v>
      </c>
      <c r="AK26" s="2847">
        <f>IM!L4+IM!L5</f>
        <v>18827.592251614664</v>
      </c>
      <c r="AL26" s="2822"/>
      <c r="AM26" s="2812"/>
      <c r="BA26" s="2820"/>
    </row>
    <row r="27" spans="1:61">
      <c r="A27" s="2811"/>
      <c r="B27" s="2894"/>
      <c r="H27" s="2868"/>
      <c r="I27" s="2812"/>
      <c r="J27" s="2823"/>
      <c r="K27" s="2944" t="s">
        <v>2509</v>
      </c>
      <c r="L27" s="2843"/>
      <c r="M27" s="2844">
        <f>'A&amp;R'!P24/1000</f>
        <v>4380</v>
      </c>
      <c r="N27" s="2833">
        <f t="shared" si="0"/>
        <v>15.165646527495124</v>
      </c>
      <c r="O27" s="2812"/>
      <c r="P27" s="2836" t="s">
        <v>2510</v>
      </c>
      <c r="Q27" s="2831">
        <f>U27/$U$43</f>
        <v>0.12713282034125126</v>
      </c>
      <c r="R27" s="2831">
        <f>'A&amp;R'!Q35</f>
        <v>0.06</v>
      </c>
      <c r="S27" s="2831">
        <f>'A&amp;R'!R35</f>
        <v>0.01</v>
      </c>
      <c r="T27" s="2832">
        <f>'A&amp;R'!O35</f>
        <v>24</v>
      </c>
      <c r="U27" s="2833">
        <f>'A&amp;R'!P35/1000</f>
        <v>38000</v>
      </c>
      <c r="V27" s="2824"/>
      <c r="W27" s="2812"/>
      <c r="X27" s="2821"/>
      <c r="Y27" s="2825"/>
      <c r="Z27" s="2826" t="s">
        <v>1847</v>
      </c>
      <c r="AA27" s="2950"/>
      <c r="AB27" s="2847">
        <f>IM!C6</f>
        <v>779.35488779109392</v>
      </c>
      <c r="AC27" s="2847">
        <f>IM!D6</f>
        <v>796.87175598587089</v>
      </c>
      <c r="AD27" s="2847">
        <f>IM!E6</f>
        <v>814.8265458855177</v>
      </c>
      <c r="AE27" s="2847">
        <f>IM!F6</f>
        <v>833.23020553265587</v>
      </c>
      <c r="AF27" s="2847">
        <f>IM!G6</f>
        <v>852.09395667097203</v>
      </c>
      <c r="AG27" s="2847">
        <f>IM!H6</f>
        <v>871.42930158774618</v>
      </c>
      <c r="AH27" s="2847">
        <f>IM!I6</f>
        <v>891.24803012743985</v>
      </c>
      <c r="AI27" s="2847">
        <f>IM!J6</f>
        <v>911.55111424284325</v>
      </c>
      <c r="AJ27" s="2847">
        <f>IM!K6</f>
        <v>932.35827674830807</v>
      </c>
      <c r="AK27" s="2847">
        <f>IM!L6</f>
        <v>953.70022966701572</v>
      </c>
      <c r="AL27" s="2822"/>
      <c r="AM27" s="2812"/>
      <c r="BA27" s="2820"/>
    </row>
    <row r="28" spans="1:61">
      <c r="A28" s="2811"/>
      <c r="B28" s="2894"/>
      <c r="H28" s="2868"/>
      <c r="I28" s="2812"/>
      <c r="J28" s="2823"/>
      <c r="K28" s="2944" t="s">
        <v>2511</v>
      </c>
      <c r="L28" s="2843"/>
      <c r="M28" s="2844">
        <v>0</v>
      </c>
      <c r="N28" s="2833">
        <f t="shared" si="0"/>
        <v>0</v>
      </c>
      <c r="O28" s="2812"/>
      <c r="P28" s="2836" t="s">
        <v>2512</v>
      </c>
      <c r="Q28" s="2831"/>
      <c r="R28" s="2831"/>
      <c r="S28" s="2832"/>
      <c r="T28" s="2832"/>
      <c r="U28" s="2833"/>
      <c r="V28" s="2824"/>
      <c r="W28" s="2812"/>
      <c r="X28" s="2821"/>
      <c r="Y28" s="2825"/>
      <c r="Z28" s="2826" t="s">
        <v>2513</v>
      </c>
      <c r="AA28" s="2950"/>
      <c r="AB28" s="2847">
        <f>IM!C7</f>
        <v>142.943214904</v>
      </c>
      <c r="AC28" s="2847">
        <f>IM!D7</f>
        <v>142.943214904</v>
      </c>
      <c r="AD28" s="2847">
        <f>IM!E7</f>
        <v>142.943214904</v>
      </c>
      <c r="AE28" s="2847">
        <f>IM!F7</f>
        <v>142.943214904</v>
      </c>
      <c r="AF28" s="2847">
        <f>IM!G7</f>
        <v>142.943214904</v>
      </c>
      <c r="AG28" s="2847">
        <f>IM!H7</f>
        <v>142.943214904</v>
      </c>
      <c r="AH28" s="2847">
        <f>IM!I7</f>
        <v>142.943214904</v>
      </c>
      <c r="AI28" s="2847">
        <f>IM!J7</f>
        <v>142.943214904</v>
      </c>
      <c r="AJ28" s="2847">
        <f>IM!K7</f>
        <v>142.943214904</v>
      </c>
      <c r="AK28" s="2847">
        <f>IM!L7</f>
        <v>142.943214904</v>
      </c>
      <c r="AL28" s="2822"/>
      <c r="AM28" s="2812"/>
      <c r="BA28" s="2820"/>
    </row>
    <row r="29" spans="1:61">
      <c r="A29" s="2811"/>
      <c r="B29" s="2894"/>
      <c r="H29" s="2868"/>
      <c r="I29" s="2812"/>
      <c r="J29" s="2823"/>
      <c r="K29" s="2944" t="s">
        <v>2514</v>
      </c>
      <c r="L29" s="2951"/>
      <c r="M29" s="2942">
        <f>'A&amp;R'!P20/1000</f>
        <v>0</v>
      </c>
      <c r="N29" s="2833">
        <f t="shared" si="0"/>
        <v>0</v>
      </c>
      <c r="O29" s="2812"/>
      <c r="P29" s="2836" t="s">
        <v>2515</v>
      </c>
      <c r="Q29" s="2832"/>
      <c r="R29" s="2831"/>
      <c r="S29" s="2832"/>
      <c r="T29" s="2832"/>
      <c r="U29" s="2833"/>
      <c r="V29" s="2824"/>
      <c r="W29" s="2812"/>
      <c r="X29" s="2821"/>
      <c r="Y29" s="2825" t="s">
        <v>1211</v>
      </c>
      <c r="Z29" s="2839" t="s">
        <v>2516</v>
      </c>
      <c r="AA29" s="2832"/>
      <c r="AB29" s="2847">
        <f>IM!C16</f>
        <v>2231.7352375297996</v>
      </c>
      <c r="AC29" s="2847">
        <f>IM!D16</f>
        <v>2221.0730225209518</v>
      </c>
      <c r="AD29" s="2847">
        <f>IM!E16</f>
        <v>2290.4830728595962</v>
      </c>
      <c r="AE29" s="2847">
        <f>IM!F16</f>
        <v>2267.6533000131235</v>
      </c>
      <c r="AF29" s="2847">
        <f>IM!G16</f>
        <v>2226.5136536508744</v>
      </c>
      <c r="AG29" s="2847">
        <f>IM!H16</f>
        <v>2229.9338001252654</v>
      </c>
      <c r="AH29" s="2847">
        <f>IM!I16</f>
        <v>2234.1601126608639</v>
      </c>
      <c r="AI29" s="2847">
        <f>IM!J16</f>
        <v>2916.7330396408911</v>
      </c>
      <c r="AJ29" s="2847">
        <f>IM!K16</f>
        <v>2336.7625702514897</v>
      </c>
      <c r="AK29" s="2847">
        <f>IM!L16</f>
        <v>2251.6993239376752</v>
      </c>
      <c r="AL29" s="2822"/>
      <c r="AM29" s="2812"/>
      <c r="BA29" s="2820"/>
    </row>
    <row r="30" spans="1:61">
      <c r="A30" s="2811"/>
      <c r="B30" s="2894"/>
      <c r="H30" s="2868"/>
      <c r="I30" s="2812"/>
      <c r="J30" s="2823"/>
      <c r="K30" s="2944" t="s">
        <v>78</v>
      </c>
      <c r="L30" s="2951"/>
      <c r="M30" s="2942">
        <v>0</v>
      </c>
      <c r="N30" s="2833">
        <f t="shared" si="0"/>
        <v>0</v>
      </c>
      <c r="O30" s="2812"/>
      <c r="P30" s="2836"/>
      <c r="Q30" s="2832"/>
      <c r="R30" s="2831"/>
      <c r="S30" s="2832"/>
      <c r="T30" s="2832"/>
      <c r="U30" s="2833"/>
      <c r="V30" s="2824"/>
      <c r="W30" s="2812"/>
      <c r="X30" s="2821"/>
      <c r="Y30" s="2825"/>
      <c r="Z30" s="2952" t="s">
        <v>2517</v>
      </c>
      <c r="AA30" s="2832"/>
      <c r="AB30" s="2847">
        <f>-'CF(Y)'!M29/1000</f>
        <v>800.58184087102188</v>
      </c>
      <c r="AC30" s="2847">
        <f>-'CF(Y)'!N29/1000</f>
        <v>802.50184087102184</v>
      </c>
      <c r="AD30" s="2847">
        <f>-'CF(Y)'!O29/1000</f>
        <v>804.46024087102182</v>
      </c>
      <c r="AE30" s="2847">
        <f>-'CF(Y)'!P29/1000</f>
        <v>806.45780887102183</v>
      </c>
      <c r="AF30" s="2847">
        <f>-'CF(Y)'!Q29/1000</f>
        <v>808.49532823102186</v>
      </c>
      <c r="AG30" s="2847">
        <f>-'CF(Y)'!R29/1000</f>
        <v>810.57359797822187</v>
      </c>
      <c r="AH30" s="2847">
        <f>-'CF(Y)'!S29/1000</f>
        <v>812.69343312036585</v>
      </c>
      <c r="AI30" s="2847">
        <f>-'CF(Y)'!T29/1000</f>
        <v>814.85566496535273</v>
      </c>
      <c r="AJ30" s="2847">
        <f>-'CF(Y)'!U29/1000</f>
        <v>817.06114144723938</v>
      </c>
      <c r="AK30" s="2847">
        <f>-'CF(Y)'!V29/1000</f>
        <v>819.31072745876361</v>
      </c>
      <c r="AL30" s="2822"/>
      <c r="AM30" s="2812"/>
      <c r="BA30" s="2820"/>
    </row>
    <row r="31" spans="1:61">
      <c r="A31" s="2811"/>
      <c r="B31" s="2894"/>
      <c r="H31" s="2868"/>
      <c r="I31" s="2812"/>
      <c r="J31" s="2823"/>
      <c r="K31" s="2944" t="s">
        <v>2518</v>
      </c>
      <c r="L31" s="2843"/>
      <c r="M31" s="2844">
        <f>('A&amp;R'!T11+'A&amp;R'!T12)/1000</f>
        <v>10245.384774867953</v>
      </c>
      <c r="N31" s="2833">
        <f t="shared" si="0"/>
        <v>35.474402747449219</v>
      </c>
      <c r="O31" s="2812"/>
      <c r="P31" s="2836"/>
      <c r="Q31" s="2832"/>
      <c r="R31" s="2831"/>
      <c r="S31" s="2832"/>
      <c r="T31" s="2832"/>
      <c r="U31" s="2833"/>
      <c r="V31" s="2824"/>
      <c r="W31" s="2812"/>
      <c r="X31" s="2821"/>
      <c r="Y31" s="2825"/>
      <c r="Z31" s="2839" t="s">
        <v>1213</v>
      </c>
      <c r="AA31" s="2832"/>
      <c r="AB31" s="2847">
        <f>('IS(FY)'!N20+'IS(FY)'!O20)/1000</f>
        <v>3417.6869999999999</v>
      </c>
      <c r="AC31" s="2847">
        <f>('IS(FY)'!P20+'IS(FY)'!Q20)/1000</f>
        <v>3417.6869999999999</v>
      </c>
      <c r="AD31" s="2847">
        <f>('IS(FY)'!R20+'IS(FY)'!S20)/1000</f>
        <v>3417.6869999999999</v>
      </c>
      <c r="AE31" s="2847">
        <f>('IS(FY)'!T20+'IS(FY)'!U20)/1000</f>
        <v>3417.6869999999999</v>
      </c>
      <c r="AF31" s="2847">
        <f>('IS(FY)'!V20+'IS(FY)'!W20)/1000</f>
        <v>3417.6869999999999</v>
      </c>
      <c r="AG31" s="2847">
        <f>('IS(FY)'!X20+'IS(FY)'!Y20)/1000</f>
        <v>3417.6869999999999</v>
      </c>
      <c r="AH31" s="2847">
        <f>('IS(FY)'!Z20+'IS(FY)'!AA20)/1000</f>
        <v>3417.6869999999999</v>
      </c>
      <c r="AI31" s="2847">
        <f>('IS(FY)'!AB20+'IS(FY)'!AC20)/1000</f>
        <v>3417.6869999999999</v>
      </c>
      <c r="AJ31" s="2847">
        <f>('IS(FY)'!AD20+'IS(FY)'!AE20)/1000</f>
        <v>3417.6869999999999</v>
      </c>
      <c r="AK31" s="2847">
        <f>('IS(FY)'!AF20+'IS(FY)'!AG20)/1000</f>
        <v>3417.6869999999999</v>
      </c>
      <c r="AL31" s="2822"/>
      <c r="AM31" s="2812"/>
      <c r="BA31" s="2820"/>
    </row>
    <row r="32" spans="1:61">
      <c r="A32" s="2811"/>
      <c r="B32" s="2894"/>
      <c r="H32" s="2868"/>
      <c r="I32" s="2812"/>
      <c r="J32" s="2823"/>
      <c r="K32" s="2825"/>
      <c r="L32" s="2839"/>
      <c r="M32" s="2832"/>
      <c r="N32" s="2833"/>
      <c r="O32" s="2812"/>
      <c r="P32" s="2836"/>
      <c r="Q32" s="2832"/>
      <c r="R32" s="2831"/>
      <c r="S32" s="2832"/>
      <c r="T32" s="2832"/>
      <c r="U32" s="2833"/>
      <c r="V32" s="2824"/>
      <c r="W32" s="2812"/>
      <c r="X32" s="2821"/>
      <c r="Y32" s="2825"/>
      <c r="Z32" s="2952" t="s">
        <v>659</v>
      </c>
      <c r="AA32" s="2832"/>
      <c r="AB32" s="2847">
        <f t="shared" ref="AB32:AK32" si="1">AB26+AB27+AB28-AB29</f>
        <v>13105.364981746545</v>
      </c>
      <c r="AC32" s="2847">
        <f t="shared" si="1"/>
        <v>13461.786385864698</v>
      </c>
      <c r="AD32" s="2847">
        <f t="shared" si="1"/>
        <v>9076.1890386719242</v>
      </c>
      <c r="AE32" s="2847">
        <f t="shared" si="1"/>
        <v>15215.117979256876</v>
      </c>
      <c r="AF32" s="2847">
        <f t="shared" si="1"/>
        <v>15697.676364089477</v>
      </c>
      <c r="AG32" s="2847">
        <f t="shared" si="1"/>
        <v>16136.820383685994</v>
      </c>
      <c r="AH32" s="2847">
        <f t="shared" si="1"/>
        <v>16586.222341373075</v>
      </c>
      <c r="AI32" s="2847">
        <f t="shared" si="1"/>
        <v>16147.668438126144</v>
      </c>
      <c r="AJ32" s="2847">
        <f t="shared" si="1"/>
        <v>17105.48551548308</v>
      </c>
      <c r="AK32" s="2847">
        <f t="shared" si="1"/>
        <v>17672.536372248003</v>
      </c>
      <c r="AL32" s="2822"/>
      <c r="AM32" s="2812"/>
      <c r="BA32" s="2820"/>
    </row>
    <row r="33" spans="1:53">
      <c r="A33" s="2811"/>
      <c r="B33" s="2894"/>
      <c r="H33" s="2868"/>
      <c r="I33" s="2812"/>
      <c r="J33" s="2823"/>
      <c r="K33" s="2825"/>
      <c r="L33" s="2839"/>
      <c r="M33" s="2832"/>
      <c r="N33" s="2833"/>
      <c r="O33" s="2812"/>
      <c r="P33" s="2842" t="s">
        <v>642</v>
      </c>
      <c r="Q33" s="2831">
        <f>U33/$U$43</f>
        <v>7.0257611241217799E-3</v>
      </c>
      <c r="R33" s="2832"/>
      <c r="S33" s="2832"/>
      <c r="T33" s="2832"/>
      <c r="U33" s="2833">
        <f>'A&amp;R'!P31/1000</f>
        <v>2100</v>
      </c>
      <c r="V33" s="2824"/>
      <c r="W33" s="2812"/>
      <c r="X33" s="2821"/>
      <c r="Y33" s="2825" t="s">
        <v>2519</v>
      </c>
      <c r="Z33" s="2826" t="s">
        <v>2520</v>
      </c>
      <c r="AA33" s="2953"/>
      <c r="AB33" s="2849">
        <f>'CF(Y)'!M15/1000</f>
        <v>0</v>
      </c>
      <c r="AC33" s="2849">
        <f>'CF(Y)'!N15/1000</f>
        <v>0</v>
      </c>
      <c r="AD33" s="2849">
        <f>'CF(Y)'!O15/1000</f>
        <v>0</v>
      </c>
      <c r="AE33" s="2849">
        <f>'CF(Y)'!P15/1000</f>
        <v>0</v>
      </c>
      <c r="AF33" s="2849">
        <f>'CF(Y)'!Q15/1000</f>
        <v>0</v>
      </c>
      <c r="AG33" s="2849">
        <f>'CF(Y)'!R15/1000</f>
        <v>0</v>
      </c>
      <c r="AH33" s="2849">
        <f>'CF(Y)'!S15/1000</f>
        <v>0</v>
      </c>
      <c r="AI33" s="2849">
        <f>'CF(Y)'!T15/1000</f>
        <v>0</v>
      </c>
      <c r="AJ33" s="2849">
        <f>'CF(Y)'!U15/1000</f>
        <v>0</v>
      </c>
      <c r="AK33" s="2849">
        <f>'CF(Y)'!V15/1000</f>
        <v>0</v>
      </c>
      <c r="AL33" s="2822"/>
      <c r="AM33" s="2812"/>
      <c r="BA33" s="2820"/>
    </row>
    <row r="34" spans="1:53">
      <c r="A34" s="2811"/>
      <c r="B34" s="2894"/>
      <c r="C34" s="2805" t="s">
        <v>2521</v>
      </c>
      <c r="H34" s="2868"/>
      <c r="I34" s="2812"/>
      <c r="J34" s="2823"/>
      <c r="K34" s="2825"/>
      <c r="L34" s="2839"/>
      <c r="M34" s="2832"/>
      <c r="N34" s="2833"/>
      <c r="O34" s="2812"/>
      <c r="P34" s="2836"/>
      <c r="Q34" s="2832"/>
      <c r="R34" s="2831"/>
      <c r="S34" s="2832"/>
      <c r="T34" s="2832"/>
      <c r="U34" s="2833"/>
      <c r="V34" s="2824"/>
      <c r="W34" s="2812"/>
      <c r="X34" s="2821"/>
      <c r="Y34" s="2825" t="s">
        <v>2522</v>
      </c>
      <c r="Z34" s="2826" t="s">
        <v>1476</v>
      </c>
      <c r="AA34" s="2950"/>
      <c r="AB34" s="2847">
        <f>-'CF(Y)'!M35/1000</f>
        <v>10064.637533343484</v>
      </c>
      <c r="AC34" s="2847">
        <f>-'CF(Y)'!N35/1000</f>
        <v>9920</v>
      </c>
      <c r="AD34" s="2847">
        <f>-'CF(Y)'!O35/1000</f>
        <v>10224</v>
      </c>
      <c r="AE34" s="2847">
        <f>-'CF(Y)'!P35/1000</f>
        <v>10224</v>
      </c>
      <c r="AF34" s="2847">
        <f>-'CF(Y)'!Q35/1000</f>
        <v>10224</v>
      </c>
      <c r="AG34" s="2847">
        <f>-'CF(Y)'!R35/1000</f>
        <v>9585</v>
      </c>
      <c r="AH34" s="2847">
        <f>-'CF(Y)'!S35/1000</f>
        <v>9585</v>
      </c>
      <c r="AI34" s="2847">
        <f>-'CF(Y)'!T35/1000</f>
        <v>9585</v>
      </c>
      <c r="AJ34" s="2847">
        <f>-'CF(Y)'!U35/1000</f>
        <v>9585</v>
      </c>
      <c r="AK34" s="2847">
        <f>-'CF(Y)'!V35/1000</f>
        <v>9585</v>
      </c>
      <c r="AL34" s="2822"/>
      <c r="AM34" s="2812"/>
      <c r="BA34" s="2820"/>
    </row>
    <row r="35" spans="1:53">
      <c r="A35" s="2811"/>
      <c r="B35" s="2894"/>
      <c r="C35" s="2805"/>
      <c r="H35" s="2868"/>
      <c r="I35" s="2812"/>
      <c r="J35" s="2954"/>
      <c r="K35" s="2825"/>
      <c r="L35" s="2839"/>
      <c r="M35" s="2832"/>
      <c r="N35" s="2833"/>
      <c r="O35" s="2812"/>
      <c r="P35" s="2836"/>
      <c r="Q35" s="2832"/>
      <c r="R35" s="2831"/>
      <c r="S35" s="2832"/>
      <c r="T35" s="2832"/>
      <c r="U35" s="2833"/>
      <c r="V35" s="2955"/>
      <c r="W35" s="2812"/>
      <c r="X35" s="2821"/>
      <c r="Y35" s="2825"/>
      <c r="Z35" s="2826" t="s">
        <v>2523</v>
      </c>
      <c r="AA35" s="2950"/>
      <c r="AB35" s="2847">
        <v>0</v>
      </c>
      <c r="AC35" s="2847">
        <v>0</v>
      </c>
      <c r="AD35" s="2847">
        <v>0</v>
      </c>
      <c r="AE35" s="2847">
        <v>0</v>
      </c>
      <c r="AF35" s="2847">
        <v>0</v>
      </c>
      <c r="AG35" s="2847">
        <v>0</v>
      </c>
      <c r="AH35" s="2847">
        <v>0</v>
      </c>
      <c r="AI35" s="2847">
        <v>0</v>
      </c>
      <c r="AJ35" s="2847">
        <v>0</v>
      </c>
      <c r="AK35" s="2847">
        <v>0</v>
      </c>
      <c r="AL35" s="2822"/>
      <c r="AM35" s="2812"/>
      <c r="BA35" s="2820"/>
    </row>
    <row r="36" spans="1:53">
      <c r="A36" s="2811"/>
      <c r="B36" s="2894"/>
      <c r="C36" s="2805"/>
      <c r="H36" s="2868"/>
      <c r="I36" s="2812"/>
      <c r="J36" s="2954"/>
      <c r="K36" s="2825"/>
      <c r="L36" s="2839"/>
      <c r="M36" s="2832"/>
      <c r="N36" s="2833"/>
      <c r="O36" s="2812"/>
      <c r="P36" s="2836"/>
      <c r="Q36" s="2832"/>
      <c r="R36" s="2831"/>
      <c r="S36" s="2832"/>
      <c r="T36" s="2832"/>
      <c r="U36" s="2833"/>
      <c r="V36" s="2955"/>
      <c r="W36" s="2812"/>
      <c r="X36" s="2821"/>
      <c r="Y36" s="2825"/>
      <c r="Z36" s="2956" t="s">
        <v>2524</v>
      </c>
      <c r="AA36" s="2953"/>
      <c r="AB36" s="2849">
        <f t="shared" ref="AB36:AK36" si="2">AB32/AB34</f>
        <v>1.3021199162244372</v>
      </c>
      <c r="AC36" s="2849">
        <f t="shared" si="2"/>
        <v>1.357034917929909</v>
      </c>
      <c r="AD36" s="2849">
        <f t="shared" si="2"/>
        <v>0.88773366966665923</v>
      </c>
      <c r="AE36" s="2849">
        <f t="shared" si="2"/>
        <v>1.4881766411636226</v>
      </c>
      <c r="AF36" s="2849">
        <f t="shared" si="2"/>
        <v>1.5353752312294089</v>
      </c>
      <c r="AG36" s="2849">
        <f t="shared" si="2"/>
        <v>1.6835493358044855</v>
      </c>
      <c r="AH36" s="2849">
        <f t="shared" si="2"/>
        <v>1.7304352990477909</v>
      </c>
      <c r="AI36" s="2849">
        <f t="shared" si="2"/>
        <v>1.6846811098723156</v>
      </c>
      <c r="AJ36" s="2849">
        <f t="shared" si="2"/>
        <v>1.7846098607702745</v>
      </c>
      <c r="AK36" s="2849">
        <f t="shared" si="2"/>
        <v>1.8437700962178407</v>
      </c>
      <c r="AL36" s="2822"/>
      <c r="AM36" s="2812"/>
      <c r="BA36" s="2820"/>
    </row>
    <row r="37" spans="1:53">
      <c r="A37" s="2811"/>
      <c r="B37" s="2894"/>
      <c r="H37" s="2868"/>
      <c r="I37" s="2812"/>
      <c r="J37" s="2954"/>
      <c r="K37" s="2825"/>
      <c r="L37" s="2839"/>
      <c r="M37" s="2832"/>
      <c r="N37" s="2833"/>
      <c r="O37" s="2812"/>
      <c r="P37" s="2836"/>
      <c r="Q37" s="2832"/>
      <c r="R37" s="2831"/>
      <c r="S37" s="2832"/>
      <c r="T37" s="2832"/>
      <c r="U37" s="2833"/>
      <c r="V37" s="2955"/>
      <c r="W37" s="2812"/>
      <c r="X37" s="2850"/>
      <c r="Y37" s="2825"/>
      <c r="Z37" s="2851" t="s">
        <v>1843</v>
      </c>
      <c r="AA37" s="2957"/>
      <c r="AB37" s="2847">
        <f>('IS(FY)'!N51+'IS(FY)'!O51)/1000</f>
        <v>-1177.5413924679599</v>
      </c>
      <c r="AC37" s="2847">
        <f>('IS(FY)'!P51+'IS(FY)'!Q51)/1000</f>
        <v>-678.40245500632602</v>
      </c>
      <c r="AD37" s="2847">
        <f>('IS(FY)'!R51+'IS(FY)'!S51)/1000</f>
        <v>-5369.9582021991</v>
      </c>
      <c r="AE37" s="2847">
        <f>('IS(FY)'!T51+'IS(FY)'!U51)/1000</f>
        <v>766.97317038585095</v>
      </c>
      <c r="AF37" s="2847">
        <f>('IS(FY)'!V51+'IS(FY)'!W51)/1000</f>
        <v>1247.4940358584499</v>
      </c>
      <c r="AG37" s="2847">
        <f>('IS(FY)'!X51+'IS(FY)'!Y51)/1000</f>
        <v>2323.5597857077701</v>
      </c>
      <c r="AH37" s="2847">
        <f>('IS(FY)'!Z51+'IS(FY)'!AA51)/1000</f>
        <v>2770.8419082527098</v>
      </c>
      <c r="AI37" s="2847">
        <f>('IS(FY)'!AB51+'IS(FY)'!AC51)/1000</f>
        <v>2330.1257731607898</v>
      </c>
      <c r="AJ37" s="2847">
        <f>('IS(FY)'!AD51+'IS(FY)'!AE51)/1000</f>
        <v>3285.7373740358298</v>
      </c>
      <c r="AK37" s="2847">
        <f>('IS(FY)'!AF51+'IS(FY)'!AG51)/1000</f>
        <v>108749.236690106</v>
      </c>
      <c r="AL37" s="2822"/>
      <c r="AM37" s="2812"/>
      <c r="BA37" s="2820"/>
    </row>
    <row r="38" spans="1:53">
      <c r="A38" s="2811"/>
      <c r="B38" s="2894"/>
      <c r="H38" s="2868"/>
      <c r="I38" s="2812"/>
      <c r="J38" s="2954"/>
      <c r="K38" s="2825"/>
      <c r="L38" s="2839"/>
      <c r="M38" s="2832"/>
      <c r="N38" s="2833"/>
      <c r="O38" s="2812"/>
      <c r="P38" s="2836"/>
      <c r="Q38" s="2832"/>
      <c r="R38" s="2831"/>
      <c r="S38" s="2832"/>
      <c r="T38" s="2832"/>
      <c r="U38" s="2833"/>
      <c r="V38" s="2955"/>
      <c r="W38" s="2812"/>
      <c r="X38" s="2850"/>
      <c r="Y38" s="2825"/>
      <c r="Z38" s="2851"/>
      <c r="AA38" s="2957"/>
      <c r="AB38" s="2847"/>
      <c r="AC38" s="2847"/>
      <c r="AD38" s="2847"/>
      <c r="AE38" s="2847"/>
      <c r="AF38" s="2847"/>
      <c r="AG38" s="2847"/>
      <c r="AH38" s="2847"/>
      <c r="AI38" s="2847"/>
      <c r="AJ38" s="2847"/>
      <c r="AK38" s="2847"/>
      <c r="AL38" s="2822"/>
      <c r="AM38" s="2812"/>
      <c r="BA38" s="2820"/>
    </row>
    <row r="39" spans="1:53">
      <c r="A39" s="2811"/>
      <c r="B39" s="2894"/>
      <c r="H39" s="2868"/>
      <c r="I39" s="2812"/>
      <c r="J39" s="2954"/>
      <c r="K39" s="2825"/>
      <c r="L39" s="2839"/>
      <c r="M39" s="2832"/>
      <c r="N39" s="2833"/>
      <c r="O39" s="2812"/>
      <c r="P39" s="2836"/>
      <c r="Q39" s="2832"/>
      <c r="R39" s="2831"/>
      <c r="S39" s="2832"/>
      <c r="T39" s="2832"/>
      <c r="U39" s="2833"/>
      <c r="V39" s="2955"/>
      <c r="W39" s="2812"/>
      <c r="X39" s="2850"/>
      <c r="Y39" s="2825" t="s">
        <v>2525</v>
      </c>
      <c r="Z39" s="2851" t="s">
        <v>2526</v>
      </c>
      <c r="AA39" s="2957"/>
      <c r="AB39" s="2847">
        <f t="shared" ref="AB39:AK39" si="3">AB37+AB31+AB35</f>
        <v>2240.1456075320402</v>
      </c>
      <c r="AC39" s="2847">
        <f t="shared" si="3"/>
        <v>2739.284544993674</v>
      </c>
      <c r="AD39" s="2847">
        <f t="shared" si="3"/>
        <v>-1952.2712021991001</v>
      </c>
      <c r="AE39" s="2847">
        <f t="shared" si="3"/>
        <v>4184.6601703858505</v>
      </c>
      <c r="AF39" s="2847">
        <f t="shared" si="3"/>
        <v>4665.1810358584498</v>
      </c>
      <c r="AG39" s="2847">
        <f t="shared" si="3"/>
        <v>5741.24678570777</v>
      </c>
      <c r="AH39" s="2847">
        <f t="shared" si="3"/>
        <v>6188.5289082527097</v>
      </c>
      <c r="AI39" s="2847">
        <f t="shared" si="3"/>
        <v>5747.8127731607892</v>
      </c>
      <c r="AJ39" s="2847">
        <f t="shared" si="3"/>
        <v>6703.4243740358297</v>
      </c>
      <c r="AK39" s="2847">
        <f t="shared" si="3"/>
        <v>112166.92369010601</v>
      </c>
      <c r="AL39" s="2822"/>
      <c r="AM39" s="2812"/>
      <c r="BA39" s="2820"/>
    </row>
    <row r="40" spans="1:53">
      <c r="A40" s="2811"/>
      <c r="B40" s="2894"/>
      <c r="H40" s="2868"/>
      <c r="I40" s="2812"/>
      <c r="J40" s="2954"/>
      <c r="K40" s="2825"/>
      <c r="L40" s="2839"/>
      <c r="M40" s="2832"/>
      <c r="N40" s="2833"/>
      <c r="O40" s="2812"/>
      <c r="P40" s="2836"/>
      <c r="Q40" s="2832"/>
      <c r="R40" s="2831"/>
      <c r="S40" s="2832"/>
      <c r="T40" s="2832"/>
      <c r="U40" s="2833"/>
      <c r="V40" s="2955"/>
      <c r="W40" s="2812"/>
      <c r="X40" s="2850"/>
      <c r="Y40" s="2825"/>
      <c r="Z40" s="2837" t="s">
        <v>2527</v>
      </c>
      <c r="AA40" s="2957"/>
      <c r="AB40" s="2847">
        <f t="shared" ref="AB40:AJ40" si="4">AB43+AB47+AB51</f>
        <v>6540</v>
      </c>
      <c r="AC40" s="2847">
        <f t="shared" si="4"/>
        <v>5430</v>
      </c>
      <c r="AD40" s="2847">
        <f t="shared" si="4"/>
        <v>5430</v>
      </c>
      <c r="AE40" s="2847">
        <f t="shared" si="4"/>
        <v>4955.7640118693098</v>
      </c>
      <c r="AF40" s="2847">
        <f t="shared" si="4"/>
        <v>4668.0199322713897</v>
      </c>
      <c r="AG40" s="2847">
        <f t="shared" si="4"/>
        <v>5744.1450865494498</v>
      </c>
      <c r="AH40" s="2847">
        <f t="shared" si="4"/>
        <v>6191.4878356066101</v>
      </c>
      <c r="AI40" s="2847">
        <f t="shared" si="4"/>
        <v>5590.5831337032496</v>
      </c>
      <c r="AJ40" s="2847">
        <f t="shared" si="4"/>
        <v>5430</v>
      </c>
      <c r="AK40" s="2847">
        <f>AK43+AK47+AK51-$U$15-$U$16-$U$17-$U$18</f>
        <v>64268.066687834507</v>
      </c>
      <c r="AL40" s="2822"/>
      <c r="AM40" s="2812"/>
      <c r="BA40" s="2820"/>
    </row>
    <row r="41" spans="1:53">
      <c r="A41" s="2811"/>
      <c r="B41" s="2894"/>
      <c r="H41" s="2868"/>
      <c r="I41" s="2812"/>
      <c r="J41" s="2954"/>
      <c r="K41" s="2825"/>
      <c r="L41" s="2839"/>
      <c r="M41" s="2832"/>
      <c r="N41" s="2833"/>
      <c r="O41" s="2812"/>
      <c r="P41" s="2836"/>
      <c r="Q41" s="2832"/>
      <c r="R41" s="2831"/>
      <c r="S41" s="2832"/>
      <c r="T41" s="2832"/>
      <c r="U41" s="2833"/>
      <c r="V41" s="2955"/>
      <c r="W41" s="2812"/>
      <c r="X41" s="2850"/>
      <c r="Y41" s="2825"/>
      <c r="Z41" s="2837" t="s">
        <v>2528</v>
      </c>
      <c r="AA41" s="2957"/>
      <c r="AB41" s="2847">
        <f t="shared" ref="AB41:AK41" si="5">AB39-AB40</f>
        <v>-4299.8543924679598</v>
      </c>
      <c r="AC41" s="2847">
        <f t="shared" si="5"/>
        <v>-2690.715455006326</v>
      </c>
      <c r="AD41" s="2847">
        <f t="shared" si="5"/>
        <v>-7382.2712021991001</v>
      </c>
      <c r="AE41" s="2847">
        <f t="shared" si="5"/>
        <v>-771.10384148345929</v>
      </c>
      <c r="AF41" s="2847">
        <f t="shared" si="5"/>
        <v>-2.8388964129399028</v>
      </c>
      <c r="AG41" s="2847">
        <f t="shared" si="5"/>
        <v>-2.8983008416798839</v>
      </c>
      <c r="AH41" s="2847">
        <f t="shared" si="5"/>
        <v>-2.9589273539004353</v>
      </c>
      <c r="AI41" s="2847">
        <f t="shared" si="5"/>
        <v>157.22963945753963</v>
      </c>
      <c r="AJ41" s="2847">
        <f t="shared" si="5"/>
        <v>1273.4243740358297</v>
      </c>
      <c r="AK41" s="2847">
        <f t="shared" si="5"/>
        <v>47898.857002271499</v>
      </c>
      <c r="AL41" s="2822"/>
      <c r="AM41" s="2812"/>
      <c r="BA41" s="2820"/>
    </row>
    <row r="42" spans="1:53">
      <c r="A42" s="2811"/>
      <c r="B42" s="2894"/>
      <c r="H42" s="2868"/>
      <c r="I42" s="2812"/>
      <c r="J42" s="2954"/>
      <c r="K42" s="2825"/>
      <c r="L42" s="2839"/>
      <c r="M42" s="2832"/>
      <c r="N42" s="2833"/>
      <c r="O42" s="2812"/>
      <c r="P42" s="2836"/>
      <c r="Q42" s="2832"/>
      <c r="R42" s="2831"/>
      <c r="S42" s="2832"/>
      <c r="T42" s="2832"/>
      <c r="U42" s="2833"/>
      <c r="V42" s="2955"/>
      <c r="W42" s="2812"/>
      <c r="X42" s="2850"/>
      <c r="Y42" s="2825"/>
      <c r="Z42" s="2837"/>
      <c r="AA42" s="2957"/>
      <c r="AB42" s="2847"/>
      <c r="AC42" s="2847"/>
      <c r="AD42" s="2847"/>
      <c r="AE42" s="2847"/>
      <c r="AF42" s="2847"/>
      <c r="AG42" s="2847"/>
      <c r="AH42" s="2847"/>
      <c r="AI42" s="2847"/>
      <c r="AJ42" s="2847"/>
      <c r="AK42" s="2847"/>
      <c r="AL42" s="2822"/>
      <c r="AM42" s="2812"/>
      <c r="BA42" s="2820"/>
    </row>
    <row r="43" spans="1:53">
      <c r="A43" s="2811"/>
      <c r="B43" s="2894"/>
      <c r="H43" s="2868"/>
      <c r="I43" s="2812"/>
      <c r="J43" s="2954"/>
      <c r="K43" s="2852" t="s">
        <v>2529</v>
      </c>
      <c r="L43" s="2853"/>
      <c r="M43" s="2854">
        <f>M14+M21</f>
        <v>298899.99999999994</v>
      </c>
      <c r="N43" s="2854">
        <f>(M43/$D$64)*100</f>
        <v>1034.934188828377</v>
      </c>
      <c r="O43" s="2812" t="b">
        <f>M43=U43</f>
        <v>1</v>
      </c>
      <c r="P43" s="2855" t="s">
        <v>2530</v>
      </c>
      <c r="Q43" s="2856">
        <f>SUM(Q15:Q33)</f>
        <v>1</v>
      </c>
      <c r="R43" s="2855"/>
      <c r="S43" s="2855"/>
      <c r="T43" s="2855"/>
      <c r="U43" s="2857">
        <f>U14+U21+U33</f>
        <v>298900</v>
      </c>
      <c r="V43" s="2955"/>
      <c r="W43" s="2812"/>
      <c r="X43" s="2850"/>
      <c r="Y43" s="2825"/>
      <c r="Z43" s="2851" t="s">
        <v>2531</v>
      </c>
      <c r="AA43" s="2915">
        <f>'CF(Y)'!L119/1000</f>
        <v>-24000</v>
      </c>
      <c r="AB43" s="2847">
        <f>'CF(Y)'!M119/1000</f>
        <v>1680</v>
      </c>
      <c r="AC43" s="2847">
        <f>'CF(Y)'!N119/1000</f>
        <v>1680</v>
      </c>
      <c r="AD43" s="2847">
        <f>'CF(Y)'!O119/1000</f>
        <v>1680</v>
      </c>
      <c r="AE43" s="2847">
        <f>'CF(Y)'!P119/1000</f>
        <v>1680</v>
      </c>
      <c r="AF43" s="2847">
        <f>'CF(Y)'!Q119/1000</f>
        <v>1680</v>
      </c>
      <c r="AG43" s="2847">
        <f>'CF(Y)'!R119/1000</f>
        <v>1680</v>
      </c>
      <c r="AH43" s="2847">
        <f>'CF(Y)'!S119/1000</f>
        <v>1680</v>
      </c>
      <c r="AI43" s="2847">
        <f>'CF(Y)'!T119/1000</f>
        <v>1680</v>
      </c>
      <c r="AJ43" s="2847">
        <f>'CF(Y)'!U119/1000</f>
        <v>1680</v>
      </c>
      <c r="AK43" s="2847">
        <f>'CF(Y)'!V119/1000</f>
        <v>25680</v>
      </c>
      <c r="AL43" s="2822"/>
      <c r="AM43" s="2812"/>
      <c r="BA43" s="2820"/>
    </row>
    <row r="44" spans="1:53" ht="14.25" customHeight="1" thickBot="1">
      <c r="A44" s="2811"/>
      <c r="B44" s="2894"/>
      <c r="H44" s="2868"/>
      <c r="I44" s="2812"/>
      <c r="J44" s="2858"/>
      <c r="K44" s="2859"/>
      <c r="L44" s="2859"/>
      <c r="M44" s="2859"/>
      <c r="N44" s="2859"/>
      <c r="O44" s="2859"/>
      <c r="P44" s="2859"/>
      <c r="Q44" s="2859"/>
      <c r="R44" s="2859"/>
      <c r="S44" s="2859"/>
      <c r="T44" s="2859"/>
      <c r="U44" s="2859"/>
      <c r="V44" s="2860"/>
      <c r="W44" s="2812"/>
      <c r="X44" s="2850"/>
      <c r="Y44" s="2825"/>
      <c r="Z44" s="2837" t="s">
        <v>2532</v>
      </c>
      <c r="AA44" s="2867">
        <f>XIRR(AA43:AK43,$AA$12:$AK$12)</f>
        <v>6.9942209124565127E-2</v>
      </c>
      <c r="AB44" s="2847"/>
      <c r="AC44" s="2847"/>
      <c r="AD44" s="2847"/>
      <c r="AE44" s="2847"/>
      <c r="AF44" s="2847"/>
      <c r="AG44" s="2847"/>
      <c r="AH44" s="2847"/>
      <c r="AI44" s="2847"/>
      <c r="AJ44" s="2847"/>
      <c r="AK44" s="2847"/>
      <c r="AL44" s="2822"/>
      <c r="AM44" s="2812"/>
      <c r="BA44" s="2820"/>
    </row>
    <row r="45" spans="1:53">
      <c r="A45" s="2811"/>
      <c r="B45" s="2894"/>
      <c r="H45" s="2868"/>
      <c r="I45" s="2812"/>
      <c r="J45" s="2862"/>
      <c r="K45" s="2862"/>
      <c r="L45" s="2862"/>
      <c r="M45" s="2862"/>
      <c r="N45" s="2862"/>
      <c r="O45" s="2862"/>
      <c r="P45" s="2862"/>
      <c r="Q45" s="2862"/>
      <c r="R45" s="2862"/>
      <c r="S45" s="2862"/>
      <c r="T45" s="2862"/>
      <c r="U45" s="2862"/>
      <c r="W45" s="2812"/>
      <c r="X45" s="2850"/>
      <c r="Y45" s="2825"/>
      <c r="Z45" s="2837" t="s">
        <v>2533</v>
      </c>
      <c r="AA45" s="2867">
        <f>(SUM(AB43:AK43)-U15)/U15/$D$67*12</f>
        <v>6.9999999999999993E-2</v>
      </c>
      <c r="AB45" s="2847"/>
      <c r="AC45" s="2847"/>
      <c r="AD45" s="2847"/>
      <c r="AE45" s="2847"/>
      <c r="AF45" s="2847"/>
      <c r="AG45" s="2847"/>
      <c r="AH45" s="2847"/>
      <c r="AI45" s="2847"/>
      <c r="AJ45" s="2847"/>
      <c r="AK45" s="2847"/>
      <c r="AL45" s="2822"/>
      <c r="AM45" s="2812"/>
    </row>
    <row r="46" spans="1:53" ht="14.25" customHeight="1" thickBot="1">
      <c r="A46" s="2811"/>
      <c r="B46" s="2894"/>
      <c r="H46" s="2868"/>
      <c r="I46" s="2812"/>
      <c r="J46" s="2809" t="s">
        <v>2534</v>
      </c>
      <c r="K46" s="2809"/>
      <c r="L46" s="2808"/>
      <c r="M46" s="2808"/>
      <c r="N46" s="2808"/>
      <c r="O46" s="2808"/>
      <c r="P46" s="2808"/>
      <c r="Q46" s="2808"/>
      <c r="R46" s="2808"/>
      <c r="S46" s="2808"/>
      <c r="T46" s="2808"/>
      <c r="V46" s="2810" t="s">
        <v>2461</v>
      </c>
      <c r="W46" s="2812"/>
      <c r="X46" s="2850"/>
      <c r="Y46" s="2825"/>
      <c r="Z46" s="2837"/>
      <c r="AA46" s="2867"/>
      <c r="AB46" s="2847"/>
      <c r="AC46" s="2847"/>
      <c r="AD46" s="2847"/>
      <c r="AE46" s="2847"/>
      <c r="AF46" s="2847"/>
      <c r="AG46" s="2847"/>
      <c r="AH46" s="2847"/>
      <c r="AI46" s="2847"/>
      <c r="AJ46" s="2847"/>
      <c r="AK46" s="2847"/>
      <c r="AL46" s="2822"/>
      <c r="AM46" s="2812"/>
    </row>
    <row r="47" spans="1:53">
      <c r="A47" s="2811"/>
      <c r="B47" s="2894"/>
      <c r="H47" s="2868"/>
      <c r="I47" s="2812"/>
      <c r="J47" s="2864"/>
      <c r="K47" s="2819"/>
      <c r="L47" s="2819"/>
      <c r="M47" s="2819"/>
      <c r="N47" s="2819"/>
      <c r="O47" s="2819"/>
      <c r="P47" s="2819"/>
      <c r="Q47" s="2865"/>
      <c r="R47" s="2865"/>
      <c r="S47" s="2865"/>
      <c r="T47" s="2865"/>
      <c r="U47" s="2958"/>
      <c r="V47" s="2959"/>
      <c r="W47" s="2812"/>
      <c r="X47" s="2850"/>
      <c r="Y47" s="2825"/>
      <c r="Z47" s="2851" t="s">
        <v>2535</v>
      </c>
      <c r="AA47" s="2915">
        <f>'CF(Y)'!L121/1000</f>
        <v>-50000</v>
      </c>
      <c r="AB47" s="2847">
        <f>'CF(Y)'!M121/1000</f>
        <v>3750</v>
      </c>
      <c r="AC47" s="2847">
        <f>'CF(Y)'!N121/1000</f>
        <v>3750</v>
      </c>
      <c r="AD47" s="2847">
        <f>'CF(Y)'!O121/1000</f>
        <v>3750</v>
      </c>
      <c r="AE47" s="2847">
        <f>'CF(Y)'!P121/1000</f>
        <v>3275.7640118693098</v>
      </c>
      <c r="AF47" s="2847">
        <f>'CF(Y)'!Q121/1000</f>
        <v>2988.0199322713802</v>
      </c>
      <c r="AG47" s="2847">
        <f>'CF(Y)'!R121/1000</f>
        <v>4064.1450865494498</v>
      </c>
      <c r="AH47" s="2847">
        <f>'CF(Y)'!S121/1000</f>
        <v>4511.4878356066101</v>
      </c>
      <c r="AI47" s="2847">
        <f>'CF(Y)'!T121/1000</f>
        <v>3910.58313370325</v>
      </c>
      <c r="AJ47" s="2847">
        <f>'CF(Y)'!U121/1000</f>
        <v>3750</v>
      </c>
      <c r="AK47" s="2847">
        <f>'CF(Y)'!V121/1000</f>
        <v>65517.613337566901</v>
      </c>
      <c r="AL47" s="2822"/>
      <c r="AM47" s="2812"/>
    </row>
    <row r="48" spans="1:53" ht="16.5">
      <c r="A48" s="2811"/>
      <c r="B48" s="2894"/>
      <c r="H48" s="2868"/>
      <c r="I48" s="2812"/>
      <c r="J48" s="2823"/>
      <c r="K48" s="3061" t="s">
        <v>619</v>
      </c>
      <c r="L48" s="3058"/>
      <c r="M48" s="3061" t="s">
        <v>2536</v>
      </c>
      <c r="N48" s="3058"/>
      <c r="O48" s="2940" t="s">
        <v>2465</v>
      </c>
      <c r="P48" s="2940" t="s">
        <v>679</v>
      </c>
      <c r="Q48" s="2820"/>
      <c r="U48" s="2811"/>
      <c r="V48" s="2824"/>
      <c r="W48" s="2812"/>
      <c r="X48" s="2850"/>
      <c r="Y48" s="2825"/>
      <c r="Z48" s="2837" t="s">
        <v>2532</v>
      </c>
      <c r="AA48" s="2867">
        <f>XIRR(AA47:AK47,$AA$12:$AK$12)</f>
        <v>8.9955845475196861E-2</v>
      </c>
      <c r="AB48" s="2847"/>
      <c r="AC48" s="2847"/>
      <c r="AD48" s="2847"/>
      <c r="AE48" s="2847"/>
      <c r="AF48" s="2847"/>
      <c r="AG48" s="2847"/>
      <c r="AH48" s="2847"/>
      <c r="AI48" s="2847"/>
      <c r="AJ48" s="2847"/>
      <c r="AK48" s="2847"/>
      <c r="AL48" s="2822"/>
      <c r="AM48" s="2812"/>
    </row>
    <row r="49" spans="1:39">
      <c r="A49" s="2811"/>
      <c r="B49" s="2894"/>
      <c r="H49" s="2868"/>
      <c r="I49" s="2812"/>
      <c r="J49" s="2823"/>
      <c r="K49" s="2825" t="s">
        <v>1498</v>
      </c>
      <c r="L49" s="2839"/>
      <c r="M49" s="2869"/>
      <c r="N49" s="2839"/>
      <c r="O49" s="2832"/>
      <c r="P49" s="2870">
        <f>IM!M17</f>
        <v>18283.953536308563</v>
      </c>
      <c r="Q49" s="2820"/>
      <c r="U49" s="2811"/>
      <c r="V49" s="2824"/>
      <c r="W49" s="2812"/>
      <c r="X49" s="2850"/>
      <c r="Y49" s="2825"/>
      <c r="Z49" s="2837" t="s">
        <v>2533</v>
      </c>
      <c r="AA49" s="2867">
        <f>(SUM(AB47:AK47)-U16)/U16/$D$67*12</f>
        <v>9.8535226675133814E-2</v>
      </c>
      <c r="AB49" s="2847"/>
      <c r="AC49" s="2847"/>
      <c r="AD49" s="2847"/>
      <c r="AE49" s="2847"/>
      <c r="AF49" s="2847"/>
      <c r="AG49" s="2847"/>
      <c r="AH49" s="2847"/>
      <c r="AI49" s="2847"/>
      <c r="AJ49" s="2847"/>
      <c r="AK49" s="2847"/>
      <c r="AL49" s="2822"/>
      <c r="AM49" s="2812"/>
    </row>
    <row r="50" spans="1:39">
      <c r="A50" s="2811"/>
      <c r="B50" s="2894"/>
      <c r="H50" s="2868"/>
      <c r="I50" s="2812"/>
      <c r="J50" s="2823"/>
      <c r="K50" s="2825" t="s">
        <v>1499</v>
      </c>
      <c r="L50" s="2839"/>
      <c r="M50" s="2825"/>
      <c r="N50" s="2839"/>
      <c r="O50" s="2832"/>
      <c r="P50" s="2831">
        <f>IM!M18</f>
        <v>4.8918868912827713E-2</v>
      </c>
      <c r="Q50" s="2960"/>
      <c r="U50" s="2811"/>
      <c r="V50" s="2824"/>
      <c r="W50" s="2812"/>
      <c r="X50" s="2850"/>
      <c r="Y50" s="2825"/>
      <c r="Z50" s="2851" t="s">
        <v>2537</v>
      </c>
      <c r="AA50" s="2915">
        <f>'CF(Y)'!L123/1000</f>
        <v>-10000</v>
      </c>
      <c r="AB50" s="2847">
        <f>'CF(Y)'!M123/1000</f>
        <v>0</v>
      </c>
      <c r="AC50" s="2847">
        <f>'CF(Y)'!N123/1000</f>
        <v>10000</v>
      </c>
      <c r="AD50" s="2847">
        <f>'CF(Y)'!O123/1000</f>
        <v>0</v>
      </c>
      <c r="AE50" s="2847">
        <f>'CF(Y)'!P123/1000</f>
        <v>0</v>
      </c>
      <c r="AF50" s="2847">
        <f>'CF(Y)'!Q123/1000</f>
        <v>0</v>
      </c>
      <c r="AG50" s="2847">
        <f>'CF(Y)'!R123/1000</f>
        <v>0</v>
      </c>
      <c r="AH50" s="2847">
        <f>'CF(Y)'!S123/1000</f>
        <v>0</v>
      </c>
      <c r="AI50" s="2847">
        <f>'CF(Y)'!T123/1000</f>
        <v>0</v>
      </c>
      <c r="AJ50" s="2847">
        <f>'CF(Y)'!U123/1000</f>
        <v>0</v>
      </c>
      <c r="AK50" s="2847">
        <f>'CF(Y)'!V123/1000</f>
        <v>0</v>
      </c>
      <c r="AL50" s="2822"/>
      <c r="AM50" s="2812"/>
    </row>
    <row r="51" spans="1:39">
      <c r="A51" s="2811"/>
      <c r="B51" s="2894"/>
      <c r="H51" s="2868"/>
      <c r="I51" s="2812"/>
      <c r="J51" s="2823"/>
      <c r="K51" s="2825" t="s">
        <v>1500</v>
      </c>
      <c r="L51" s="2839"/>
      <c r="M51" s="2825"/>
      <c r="N51" s="2839"/>
      <c r="O51" s="2832"/>
      <c r="P51" s="2870">
        <f>IM!M19</f>
        <v>2100</v>
      </c>
      <c r="Q51" s="2820"/>
      <c r="U51" s="2811"/>
      <c r="V51" s="2824"/>
      <c r="W51" s="2812"/>
      <c r="X51" s="2850"/>
      <c r="Y51" s="2825"/>
      <c r="Z51" s="2851" t="s">
        <v>2538</v>
      </c>
      <c r="AA51" s="2915">
        <f>'CF(Y)'!L125/1000</f>
        <v>-14799.9999999999</v>
      </c>
      <c r="AB51" s="2847">
        <f>'CF(Y)'!M125/1000</f>
        <v>1110</v>
      </c>
      <c r="AC51" s="2847">
        <f>'CF(Y)'!N125/1000</f>
        <v>0</v>
      </c>
      <c r="AD51" s="2847">
        <f>'CF(Y)'!O125/1000</f>
        <v>0</v>
      </c>
      <c r="AE51" s="2847">
        <f>'CF(Y)'!P125/1000</f>
        <v>0</v>
      </c>
      <c r="AF51" s="2847">
        <f>'CF(Y)'!Q125/1000</f>
        <v>0</v>
      </c>
      <c r="AG51" s="2847">
        <f>'CF(Y)'!R125/1000</f>
        <v>0</v>
      </c>
      <c r="AH51" s="2847">
        <f>'CF(Y)'!S125/1000</f>
        <v>0</v>
      </c>
      <c r="AI51" s="2847">
        <f>'CF(Y)'!T125/1000</f>
        <v>0</v>
      </c>
      <c r="AJ51" s="2847">
        <f>'CF(Y)'!U125/1000</f>
        <v>0</v>
      </c>
      <c r="AK51" s="2847">
        <f>'CF(Y)'!V125/1000</f>
        <v>61870.453350267599</v>
      </c>
      <c r="AL51" s="2822"/>
      <c r="AM51" s="2812"/>
    </row>
    <row r="52" spans="1:39">
      <c r="A52" s="2811"/>
      <c r="B52" s="2894"/>
      <c r="H52" s="2868"/>
      <c r="I52" s="2812"/>
      <c r="J52" s="2823"/>
      <c r="K52" s="2825" t="s">
        <v>1501</v>
      </c>
      <c r="L52" s="2839"/>
      <c r="M52" s="2869">
        <f>D64</f>
        <v>28881.063474999999</v>
      </c>
      <c r="N52" s="2871" t="s">
        <v>2539</v>
      </c>
      <c r="O52" s="2870">
        <f>P52/M52*100</f>
        <v>1301.4089960680983</v>
      </c>
      <c r="P52" s="2870">
        <f>IM!M20</f>
        <v>375860.75822378771</v>
      </c>
      <c r="Q52" s="2820"/>
      <c r="U52" s="2811"/>
      <c r="V52" s="2824"/>
      <c r="W52" s="2812"/>
      <c r="X52" s="2850"/>
      <c r="Y52" s="2825"/>
      <c r="Z52" s="2837" t="s">
        <v>2532</v>
      </c>
      <c r="AA52" s="2867">
        <f>XIRR(AA51:AK51,$AA$12:$AK$12)</f>
        <v>0.16136320233345039</v>
      </c>
      <c r="AB52" s="2847"/>
      <c r="AC52" s="2847"/>
      <c r="AD52" s="2847"/>
      <c r="AE52" s="2847"/>
      <c r="AF52" s="2847"/>
      <c r="AG52" s="2847"/>
      <c r="AH52" s="2847"/>
      <c r="AI52" s="2847"/>
      <c r="AJ52" s="2847"/>
      <c r="AK52" s="2847"/>
      <c r="AL52" s="2822"/>
      <c r="AM52" s="2812"/>
    </row>
    <row r="53" spans="1:39">
      <c r="A53" s="2811"/>
      <c r="B53" s="2894"/>
      <c r="H53" s="2868"/>
      <c r="I53" s="2812"/>
      <c r="J53" s="2823"/>
      <c r="K53" s="2825"/>
      <c r="L53" s="2839"/>
      <c r="M53" s="2869"/>
      <c r="N53" s="2871"/>
      <c r="O53" s="2870"/>
      <c r="P53" s="2870"/>
      <c r="Q53" s="2820"/>
      <c r="U53" s="2811"/>
      <c r="V53" s="2824"/>
      <c r="W53" s="2812"/>
      <c r="X53" s="2850"/>
      <c r="Y53" s="2825"/>
      <c r="Z53" s="2837" t="s">
        <v>2533</v>
      </c>
      <c r="AA53" s="2867">
        <f>(SUM(AB51:AK51)-U17-U18)/(U17+U18)/$D$67*12</f>
        <v>0.32554360371802432</v>
      </c>
      <c r="AB53" s="2841"/>
      <c r="AC53" s="2841"/>
      <c r="AD53" s="2841"/>
      <c r="AE53" s="2841"/>
      <c r="AF53" s="2841"/>
      <c r="AG53" s="2841"/>
      <c r="AH53" s="2841"/>
      <c r="AI53" s="2841"/>
      <c r="AJ53" s="2841"/>
      <c r="AK53" s="2841"/>
      <c r="AL53" s="2822"/>
      <c r="AM53" s="2812"/>
    </row>
    <row r="54" spans="1:39" ht="16.5">
      <c r="A54" s="2811"/>
      <c r="B54" s="2894"/>
      <c r="H54" s="2868"/>
      <c r="I54" s="2812"/>
      <c r="J54" s="2823"/>
      <c r="K54" s="2825"/>
      <c r="L54" s="2839"/>
      <c r="M54" s="2869"/>
      <c r="N54" s="2871"/>
      <c r="O54" s="2870"/>
      <c r="P54" s="2870"/>
      <c r="Q54" s="2961"/>
      <c r="R54" s="2962"/>
      <c r="U54" s="2811"/>
      <c r="V54" s="2824"/>
      <c r="W54" s="2812"/>
      <c r="X54" s="2863"/>
      <c r="Y54" s="3059" t="s">
        <v>619</v>
      </c>
      <c r="Z54" s="3060"/>
      <c r="AA54" s="2941" t="s">
        <v>2468</v>
      </c>
      <c r="AB54" s="2941" t="s">
        <v>2469</v>
      </c>
      <c r="AC54" s="2941" t="s">
        <v>2470</v>
      </c>
      <c r="AD54" s="2941" t="s">
        <v>2471</v>
      </c>
      <c r="AE54" s="2941" t="s">
        <v>2472</v>
      </c>
      <c r="AF54" s="2941" t="s">
        <v>2473</v>
      </c>
      <c r="AG54" s="2941" t="s">
        <v>2474</v>
      </c>
      <c r="AH54" s="2941" t="s">
        <v>2475</v>
      </c>
      <c r="AI54" s="2941" t="s">
        <v>2476</v>
      </c>
      <c r="AJ54" s="2941" t="s">
        <v>2477</v>
      </c>
      <c r="AK54" s="2941" t="s">
        <v>2478</v>
      </c>
      <c r="AL54" s="2822"/>
      <c r="AM54" s="2812"/>
    </row>
    <row r="55" spans="1:39">
      <c r="A55" s="2811"/>
      <c r="B55" s="2894"/>
      <c r="H55" s="2868"/>
      <c r="I55" s="2812"/>
      <c r="J55" s="2823"/>
      <c r="K55" s="2825"/>
      <c r="L55" s="2839"/>
      <c r="M55" s="2869"/>
      <c r="N55" s="2871"/>
      <c r="O55" s="2870"/>
      <c r="P55" s="2870"/>
      <c r="Q55" s="2961"/>
      <c r="U55" s="2811"/>
      <c r="V55" s="2824"/>
      <c r="W55" s="2812"/>
      <c r="X55" s="2850"/>
      <c r="Y55" s="2825" t="s">
        <v>693</v>
      </c>
      <c r="Z55" s="2963" t="s">
        <v>2540</v>
      </c>
      <c r="AA55" s="2847">
        <f t="shared" ref="AA55:AK55" si="6">AA43+AA47+AA50+AA51</f>
        <v>-98799.999999999898</v>
      </c>
      <c r="AB55" s="2847">
        <f t="shared" si="6"/>
        <v>6540</v>
      </c>
      <c r="AC55" s="2847">
        <f t="shared" si="6"/>
        <v>15430</v>
      </c>
      <c r="AD55" s="2847">
        <f t="shared" si="6"/>
        <v>5430</v>
      </c>
      <c r="AE55" s="2847">
        <f t="shared" si="6"/>
        <v>4955.7640118693098</v>
      </c>
      <c r="AF55" s="2847">
        <f t="shared" si="6"/>
        <v>4668.0199322713797</v>
      </c>
      <c r="AG55" s="2847">
        <f t="shared" si="6"/>
        <v>5744.1450865494498</v>
      </c>
      <c r="AH55" s="2847">
        <f t="shared" si="6"/>
        <v>6191.4878356066101</v>
      </c>
      <c r="AI55" s="2847">
        <f t="shared" si="6"/>
        <v>5590.5831337032505</v>
      </c>
      <c r="AJ55" s="2847">
        <f t="shared" si="6"/>
        <v>5430</v>
      </c>
      <c r="AK55" s="2847">
        <f t="shared" si="6"/>
        <v>153068.06668783451</v>
      </c>
      <c r="AL55" s="2822"/>
      <c r="AM55" s="2812"/>
    </row>
    <row r="56" spans="1:39">
      <c r="A56" s="2811"/>
      <c r="B56" s="2894"/>
      <c r="H56" s="2868"/>
      <c r="I56" s="2812"/>
      <c r="J56" s="2823"/>
      <c r="K56" s="2825"/>
      <c r="L56" s="2839"/>
      <c r="M56" s="2825"/>
      <c r="N56" s="2839"/>
      <c r="O56" s="2832"/>
      <c r="P56" s="2832"/>
      <c r="Q56" s="2820"/>
      <c r="U56" s="2811"/>
      <c r="V56" s="2824"/>
      <c r="W56" s="2812"/>
      <c r="X56" s="2850"/>
      <c r="Y56" s="2825"/>
      <c r="Z56" s="2964" t="s">
        <v>2541</v>
      </c>
      <c r="AA56" s="2867">
        <f>XIRR(AA55:AK55,$AA$12:$AK$12)</f>
        <v>0.10081071257591245</v>
      </c>
      <c r="AB56" s="2861"/>
      <c r="AC56" s="2861"/>
      <c r="AD56" s="2861"/>
      <c r="AE56" s="2861"/>
      <c r="AF56" s="2861"/>
      <c r="AG56" s="2861"/>
      <c r="AH56" s="2861"/>
      <c r="AI56" s="2861"/>
      <c r="AJ56" s="2861"/>
      <c r="AK56" s="2861"/>
      <c r="AL56" s="2822"/>
      <c r="AM56" s="2812"/>
    </row>
    <row r="57" spans="1:39">
      <c r="A57" s="2811"/>
      <c r="B57" s="2894"/>
      <c r="H57" s="2868"/>
      <c r="I57" s="2812"/>
      <c r="J57" s="2823"/>
      <c r="K57" s="2825" t="s">
        <v>2542</v>
      </c>
      <c r="L57" s="2839"/>
      <c r="M57" s="2874" t="s">
        <v>2543</v>
      </c>
      <c r="N57" s="2875">
        <v>5.0000000000000001E-3</v>
      </c>
      <c r="O57" s="2870"/>
      <c r="P57" s="2848">
        <f>'CF(Y)'!V53/1000</f>
        <v>-1879.3037911189385</v>
      </c>
      <c r="Q57" s="2820"/>
      <c r="U57" s="2811"/>
      <c r="V57" s="2824"/>
      <c r="W57" s="2812"/>
      <c r="X57" s="2850"/>
      <c r="Y57" s="2825"/>
      <c r="Z57" s="2964"/>
      <c r="AA57" s="2867"/>
      <c r="AB57" s="2832"/>
      <c r="AC57" s="2832"/>
      <c r="AD57" s="2832"/>
      <c r="AE57" s="2832"/>
      <c r="AF57" s="2832"/>
      <c r="AG57" s="2832"/>
      <c r="AH57" s="2832"/>
      <c r="AI57" s="2832"/>
      <c r="AJ57" s="2832"/>
      <c r="AK57" s="2832"/>
      <c r="AL57" s="2822"/>
      <c r="AM57" s="2812"/>
    </row>
    <row r="58" spans="1:39">
      <c r="A58" s="2811"/>
      <c r="B58" s="2894"/>
      <c r="H58" s="2868"/>
      <c r="I58" s="2812"/>
      <c r="J58" s="2878"/>
      <c r="K58" s="2825" t="s">
        <v>2544</v>
      </c>
      <c r="L58" s="2839"/>
      <c r="M58" s="2874" t="s">
        <v>2543</v>
      </c>
      <c r="N58" s="2875">
        <v>5.0000000000000001E-3</v>
      </c>
      <c r="O58" s="2870"/>
      <c r="P58" s="2848">
        <f>'CF(Y)'!V52/1000</f>
        <v>-1879.3037911189385</v>
      </c>
      <c r="Q58" s="2820"/>
      <c r="U58" s="2811"/>
      <c r="V58" s="2824"/>
      <c r="W58" s="2812"/>
      <c r="X58" s="2850"/>
      <c r="Y58" s="2825"/>
      <c r="Z58" s="2963" t="s">
        <v>2545</v>
      </c>
      <c r="AA58" s="2847">
        <f>AA55-('CF(Y)'!L66+'CF(Y)'!L69+'CF(Y)'!L72+'CF(Y)'!L75+'CF(Y)'!L87)/1000</f>
        <v>-309656.66963053192</v>
      </c>
      <c r="AB58" s="2847">
        <f>AB55+AB34+AB35-('CF(Y)'!M66+'CF(Y)'!M69+'CF(Y)'!M72+'CF(Y)'!M75+'CF(Y)'!M87)/1000</f>
        <v>29461.307163875485</v>
      </c>
      <c r="AC58" s="2847">
        <f>AC55+AC34+AC35-('CF(Y)'!N66+'CF(Y)'!N69+'CF(Y)'!N72+'CF(Y)'!N75+'CF(Y)'!N87)/1000</f>
        <v>10350</v>
      </c>
      <c r="AD58" s="2847">
        <f>AD55+AD34+AD35-('CF(Y)'!O66+'CF(Y)'!O69+'CF(Y)'!O72+'CF(Y)'!O75+'CF(Y)'!O87)/1000</f>
        <v>15654</v>
      </c>
      <c r="AE58" s="2847">
        <f>AE55+AE34+AE35-('CF(Y)'!P66+'CF(Y)'!P69+'CF(Y)'!P72+'CF(Y)'!P75+'CF(Y)'!P87)/1000</f>
        <v>15179.764011869309</v>
      </c>
      <c r="AF58" s="2847">
        <f>AF55+AF34+AF35-('CF(Y)'!Q66+'CF(Y)'!Q69+'CF(Y)'!Q72+'CF(Y)'!Q75+'CF(Y)'!Q87)/1000</f>
        <v>14892.01993227138</v>
      </c>
      <c r="AG58" s="2847">
        <f>AG55+AG34+AG35-('CF(Y)'!R66+'CF(Y)'!R69+'CF(Y)'!R72+'CF(Y)'!R75+'CF(Y)'!R87)/1000</f>
        <v>15329.14508654945</v>
      </c>
      <c r="AH58" s="2847">
        <f>AH55+AH34+AH35-('CF(Y)'!S66+'CF(Y)'!S69+'CF(Y)'!S72+'CF(Y)'!S75+'CF(Y)'!S87)/1000</f>
        <v>15776.487835606611</v>
      </c>
      <c r="AI58" s="2847">
        <f>AI55+AI34+AI35-('CF(Y)'!T66+'CF(Y)'!T69+'CF(Y)'!T72+'CF(Y)'!T75+'CF(Y)'!T87)/1000</f>
        <v>15175.58313370325</v>
      </c>
      <c r="AJ58" s="2847">
        <f>AJ55+AJ34+AJ35-('CF(Y)'!U66+'CF(Y)'!U69+'CF(Y)'!U72+'CF(Y)'!U75+'CF(Y)'!U87)/1000</f>
        <v>15015</v>
      </c>
      <c r="AK58" s="2847">
        <f>AK55+AK34+AK35-('CF(Y)'!V66+'CF(Y)'!V69+'CF(Y)'!V72+'CF(Y)'!V75+'CF(Y)'!V87)/1000</f>
        <v>375653.06668783451</v>
      </c>
      <c r="AL58" s="2822"/>
      <c r="AM58" s="2877"/>
    </row>
    <row r="59" spans="1:39">
      <c r="A59" s="2811"/>
      <c r="B59" s="2894"/>
      <c r="H59" s="2868"/>
      <c r="I59" s="2812"/>
      <c r="J59" s="2823"/>
      <c r="K59" s="2825" t="s">
        <v>202</v>
      </c>
      <c r="L59" s="2839"/>
      <c r="M59" s="2874" t="s">
        <v>2546</v>
      </c>
      <c r="N59" s="2875">
        <v>0.15</v>
      </c>
      <c r="O59" s="2870">
        <f>-P59/N59</f>
        <v>83202.150641549801</v>
      </c>
      <c r="P59" s="2848">
        <f>'CF(Y)'!V54/1000</f>
        <v>-12480.322596232469</v>
      </c>
      <c r="Q59" s="2820"/>
      <c r="S59" s="2965"/>
      <c r="T59" s="2966"/>
      <c r="U59" s="2811"/>
      <c r="V59" s="2824"/>
      <c r="W59" s="2812"/>
      <c r="X59" s="2850"/>
      <c r="Y59" s="2825"/>
      <c r="Z59" s="2964" t="s">
        <v>2547</v>
      </c>
      <c r="AA59" s="2867">
        <f>XIRR(AA58:AK58,$AA$12:$AK$12)</f>
        <v>6.5475639700889585E-2</v>
      </c>
      <c r="AB59" s="2832"/>
      <c r="AC59" s="2832"/>
      <c r="AD59" s="2832"/>
      <c r="AE59" s="2832"/>
      <c r="AF59" s="2832"/>
      <c r="AG59" s="2832"/>
      <c r="AH59" s="2832"/>
      <c r="AI59" s="2832"/>
      <c r="AJ59" s="2832"/>
      <c r="AK59" s="2832"/>
      <c r="AL59" s="2822"/>
      <c r="AM59" s="2812"/>
    </row>
    <row r="60" spans="1:39" ht="16.5" customHeight="1">
      <c r="A60" s="2811"/>
      <c r="B60" s="2894"/>
      <c r="H60" s="2868"/>
      <c r="I60" s="2812"/>
      <c r="J60" s="2823"/>
      <c r="K60" s="2852" t="s">
        <v>1502</v>
      </c>
      <c r="L60" s="2853"/>
      <c r="M60" s="2854"/>
      <c r="N60" s="2882"/>
      <c r="O60" s="2883"/>
      <c r="P60" s="2854">
        <f>P52+P57+P58+P59</f>
        <v>359621.82804531732</v>
      </c>
      <c r="Q60" s="2820"/>
      <c r="U60" s="2811"/>
      <c r="V60" s="2824"/>
      <c r="W60" s="2812"/>
      <c r="X60" s="2850"/>
      <c r="Y60" s="2825"/>
      <c r="Z60" s="2801"/>
      <c r="AA60" s="2867"/>
      <c r="AB60" s="2861"/>
      <c r="AC60" s="2861"/>
      <c r="AD60" s="2861"/>
      <c r="AE60" s="2861"/>
      <c r="AF60" s="2861"/>
      <c r="AG60" s="2861"/>
      <c r="AH60" s="2861"/>
      <c r="AI60" s="2861"/>
      <c r="AJ60" s="2861"/>
      <c r="AK60" s="2861"/>
      <c r="AL60" s="2822"/>
      <c r="AM60" s="2812"/>
    </row>
    <row r="61" spans="1:39" ht="14.25" customHeight="1" thickBot="1">
      <c r="A61" s="2811"/>
      <c r="B61" s="2894"/>
      <c r="H61" s="2868"/>
      <c r="I61" s="2812"/>
      <c r="J61" s="2858"/>
      <c r="K61" s="2887"/>
      <c r="L61" s="2859"/>
      <c r="M61" s="2859"/>
      <c r="N61" s="2859"/>
      <c r="O61" s="2859"/>
      <c r="P61" s="2859"/>
      <c r="Q61" s="2859"/>
      <c r="R61" s="2859"/>
      <c r="S61" s="2859"/>
      <c r="T61" s="2859"/>
      <c r="U61" s="2967"/>
      <c r="V61" s="2860"/>
      <c r="W61" s="2812"/>
      <c r="X61" s="2850"/>
      <c r="Y61" s="2825"/>
      <c r="Z61" s="2963" t="s">
        <v>2548</v>
      </c>
      <c r="AA61" s="2847">
        <f>AA55</f>
        <v>-98799.999999999898</v>
      </c>
      <c r="AB61" s="2847">
        <f t="shared" ref="AB61:AK61" si="7">AB55+AB30</f>
        <v>7340.581840871022</v>
      </c>
      <c r="AC61" s="2847">
        <f t="shared" si="7"/>
        <v>16232.501840871022</v>
      </c>
      <c r="AD61" s="2847">
        <f t="shared" si="7"/>
        <v>6234.4602408710216</v>
      </c>
      <c r="AE61" s="2847">
        <f t="shared" si="7"/>
        <v>5762.2218207403312</v>
      </c>
      <c r="AF61" s="2847">
        <f t="shared" si="7"/>
        <v>5476.5152605024014</v>
      </c>
      <c r="AG61" s="2847">
        <f t="shared" si="7"/>
        <v>6554.7186845276719</v>
      </c>
      <c r="AH61" s="2847">
        <f t="shared" si="7"/>
        <v>7004.1812687269758</v>
      </c>
      <c r="AI61" s="2847">
        <f t="shared" si="7"/>
        <v>6405.4387986686033</v>
      </c>
      <c r="AJ61" s="2847">
        <f t="shared" si="7"/>
        <v>6247.0611414472396</v>
      </c>
      <c r="AK61" s="2847">
        <f t="shared" si="7"/>
        <v>153887.37741529327</v>
      </c>
      <c r="AL61" s="2822"/>
      <c r="AM61" s="2812"/>
    </row>
    <row r="62" spans="1:39">
      <c r="A62" s="2811"/>
      <c r="B62" s="2894"/>
      <c r="C62" s="2968" t="s">
        <v>2549</v>
      </c>
      <c r="D62" s="2891" t="s">
        <v>2550</v>
      </c>
      <c r="E62" s="2892"/>
      <c r="F62" s="2892"/>
      <c r="G62" s="2893"/>
      <c r="H62" s="2868"/>
      <c r="I62" s="2812"/>
      <c r="J62" s="2969"/>
      <c r="K62" s="2969"/>
      <c r="L62" s="2862"/>
      <c r="M62" s="2862"/>
      <c r="N62" s="2862"/>
      <c r="O62" s="2862"/>
      <c r="P62" s="2862"/>
      <c r="Q62" s="2862"/>
      <c r="R62" s="2862"/>
      <c r="S62" s="2862"/>
      <c r="T62" s="2862"/>
      <c r="U62" s="2862"/>
      <c r="V62" s="2862"/>
      <c r="W62" s="2862"/>
      <c r="X62" s="2850"/>
      <c r="Y62" s="2825"/>
      <c r="Z62" s="2873" t="s">
        <v>2551</v>
      </c>
      <c r="AA62" s="2867">
        <f>XIRR(AA61:AK61,$AA$12:$AK$12)</f>
        <v>0.10818008780479432</v>
      </c>
      <c r="AB62" s="2861"/>
      <c r="AC62" s="2861"/>
      <c r="AD62" s="2861"/>
      <c r="AE62" s="2861"/>
      <c r="AF62" s="2861"/>
      <c r="AG62" s="2861"/>
      <c r="AH62" s="2861"/>
      <c r="AI62" s="2861"/>
      <c r="AJ62" s="2861"/>
      <c r="AK62" s="2861"/>
      <c r="AL62" s="2822"/>
    </row>
    <row r="63" spans="1:39">
      <c r="A63" s="2811"/>
      <c r="B63" s="2894"/>
      <c r="C63" s="2968" t="s">
        <v>2552</v>
      </c>
      <c r="D63" s="2891" t="str">
        <f>'A&amp;R'!K17</f>
        <v>경기도 안양시 동안구 관양동 934,934-1</v>
      </c>
      <c r="E63" s="2892"/>
      <c r="F63" s="2892"/>
      <c r="G63" s="2893"/>
      <c r="H63" s="2868"/>
      <c r="I63" s="2812"/>
      <c r="J63" s="2805" t="s">
        <v>2553</v>
      </c>
      <c r="K63" s="2862"/>
      <c r="L63" s="2889"/>
      <c r="M63" s="2889"/>
      <c r="N63" s="2862"/>
      <c r="O63" s="2862"/>
      <c r="P63" s="2862"/>
      <c r="Q63" s="2862"/>
      <c r="R63" s="2862"/>
      <c r="S63" s="2862"/>
      <c r="T63" s="2862"/>
      <c r="U63" s="2862"/>
      <c r="V63" s="2862"/>
      <c r="X63" s="2850"/>
      <c r="Y63" s="2825"/>
      <c r="Z63" s="2970"/>
      <c r="AA63" s="2867"/>
      <c r="AB63" s="2861"/>
      <c r="AC63" s="2861"/>
      <c r="AD63" s="2861"/>
      <c r="AE63" s="2861"/>
      <c r="AF63" s="2861"/>
      <c r="AG63" s="2861"/>
      <c r="AH63" s="2861"/>
      <c r="AI63" s="2861"/>
      <c r="AJ63" s="2861"/>
      <c r="AK63" s="2861"/>
      <c r="AL63" s="2822"/>
    </row>
    <row r="64" spans="1:39" ht="14.45" customHeight="1" thickBot="1">
      <c r="A64" s="2811"/>
      <c r="B64" s="2894"/>
      <c r="C64" s="2968" t="s">
        <v>2554</v>
      </c>
      <c r="D64" s="3003">
        <f>'A&amp;R'!K31</f>
        <v>28881.063474999999</v>
      </c>
      <c r="E64" s="2892"/>
      <c r="F64" s="2892"/>
      <c r="G64" s="2893"/>
      <c r="H64" s="2868"/>
      <c r="I64" s="2812"/>
      <c r="J64" s="2817"/>
      <c r="K64" s="2808"/>
      <c r="L64" s="2808"/>
      <c r="M64" s="2808"/>
      <c r="N64" s="2808"/>
      <c r="O64" s="2808"/>
      <c r="P64" s="2808"/>
      <c r="Q64" s="2808"/>
      <c r="R64" s="2808"/>
      <c r="S64" s="2808"/>
      <c r="T64" s="2808"/>
      <c r="U64" s="2808"/>
      <c r="V64" s="2810" t="s">
        <v>2461</v>
      </c>
      <c r="X64" s="2850"/>
      <c r="Y64" s="2825" t="s">
        <v>2555</v>
      </c>
      <c r="Z64" s="2851" t="s">
        <v>2556</v>
      </c>
      <c r="AA64" s="2841">
        <f>M23</f>
        <v>1350</v>
      </c>
      <c r="AB64" s="2861"/>
      <c r="AC64" s="2861"/>
      <c r="AD64" s="2861"/>
      <c r="AE64" s="2861"/>
      <c r="AF64" s="2861"/>
      <c r="AG64" s="2861"/>
      <c r="AH64" s="2861"/>
      <c r="AI64" s="2861"/>
      <c r="AJ64" s="2861"/>
      <c r="AK64" s="2861"/>
      <c r="AL64" s="2822"/>
    </row>
    <row r="65" spans="1:38">
      <c r="A65" s="2811"/>
      <c r="B65" s="2894"/>
      <c r="C65" s="2968" t="s">
        <v>2557</v>
      </c>
      <c r="D65" s="3004">
        <f>'A&amp;R'!D37</f>
        <v>46326</v>
      </c>
      <c r="E65" s="2892"/>
      <c r="F65" s="2892"/>
      <c r="G65" s="2893"/>
      <c r="H65" s="2868"/>
      <c r="I65" s="2812"/>
      <c r="J65" s="2890"/>
      <c r="K65" s="2865"/>
      <c r="L65" s="2865"/>
      <c r="M65" s="2865"/>
      <c r="N65" s="2865"/>
      <c r="O65" s="2865"/>
      <c r="P65" s="2865"/>
      <c r="Q65" s="2865"/>
      <c r="R65" s="2865"/>
      <c r="S65" s="2865"/>
      <c r="T65" s="2865"/>
      <c r="U65" s="2865"/>
      <c r="V65" s="2866"/>
      <c r="X65" s="2850"/>
      <c r="Y65" s="2825"/>
      <c r="Z65" s="2851" t="s">
        <v>2558</v>
      </c>
      <c r="AA65" s="2867"/>
      <c r="AB65" s="2841">
        <f>-'CF(Y)'!M31/1000</f>
        <v>666.54700000000014</v>
      </c>
      <c r="AC65" s="2841">
        <f>-'CF(Y)'!N31/1000</f>
        <v>666.54700000000014</v>
      </c>
      <c r="AD65" s="2841">
        <f>-'CF(Y)'!O31/1000</f>
        <v>666.54700000000014</v>
      </c>
      <c r="AE65" s="2841">
        <f>-'CF(Y)'!P31/1000</f>
        <v>666.54700000000014</v>
      </c>
      <c r="AF65" s="2841">
        <f>-'CF(Y)'!Q31/1000</f>
        <v>666.54700000000014</v>
      </c>
      <c r="AG65" s="2841">
        <f>-'CF(Y)'!R31/1000</f>
        <v>666.54700000000014</v>
      </c>
      <c r="AH65" s="2841">
        <f>-'CF(Y)'!S31/1000</f>
        <v>666.54700000000014</v>
      </c>
      <c r="AI65" s="2841">
        <f>-'CF(Y)'!T31/1000</f>
        <v>666.54700000000014</v>
      </c>
      <c r="AJ65" s="2841">
        <f>-'CF(Y)'!U31/1000</f>
        <v>666.54700000000014</v>
      </c>
      <c r="AK65" s="2841">
        <f>-'CF(Y)'!V31/1000</f>
        <v>666.54700000000014</v>
      </c>
      <c r="AL65" s="2872"/>
    </row>
    <row r="66" spans="1:38">
      <c r="A66" s="2811"/>
      <c r="B66" s="2894"/>
      <c r="C66" s="2968" t="s">
        <v>2559</v>
      </c>
      <c r="D66" s="3004">
        <f>'A&amp;R'!E37</f>
        <v>49979</v>
      </c>
      <c r="E66" s="2892"/>
      <c r="F66" s="2892"/>
      <c r="G66" s="2893"/>
      <c r="H66" s="2868"/>
      <c r="I66" s="2812"/>
      <c r="J66" s="2894"/>
      <c r="K66" s="2809" t="s">
        <v>2560</v>
      </c>
      <c r="L66" s="2808"/>
      <c r="M66" s="2808"/>
      <c r="N66" s="2808"/>
      <c r="O66" s="2808"/>
      <c r="P66" s="2808"/>
      <c r="Q66" s="2808"/>
      <c r="R66" s="2808"/>
      <c r="T66" s="2971" t="s">
        <v>2561</v>
      </c>
      <c r="U66" s="2808"/>
      <c r="V66" s="2868"/>
      <c r="X66" s="2850"/>
      <c r="Y66" s="2825"/>
      <c r="Z66" s="2851" t="s">
        <v>200</v>
      </c>
      <c r="AA66" s="2867"/>
      <c r="AB66" s="2861"/>
      <c r="AC66" s="2861"/>
      <c r="AD66" s="2861"/>
      <c r="AE66" s="2861"/>
      <c r="AF66" s="2861"/>
      <c r="AG66" s="2861"/>
      <c r="AH66" s="2841"/>
      <c r="AI66" s="2841"/>
      <c r="AJ66" s="2841"/>
      <c r="AK66" s="2841">
        <f>-P58-P59</f>
        <v>14359.626387351407</v>
      </c>
      <c r="AL66" s="2822"/>
    </row>
    <row r="67" spans="1:38" ht="16.5">
      <c r="A67" s="2811"/>
      <c r="B67" s="2894"/>
      <c r="C67" s="2968" t="s">
        <v>2562</v>
      </c>
      <c r="D67" s="2891">
        <f>'A&amp;R'!F37</f>
        <v>120</v>
      </c>
      <c r="E67" s="2892"/>
      <c r="F67" s="2892"/>
      <c r="G67" s="2893"/>
      <c r="H67" s="2868"/>
      <c r="I67" s="2812"/>
      <c r="J67" s="2823"/>
      <c r="K67" s="3064" t="s">
        <v>632</v>
      </c>
      <c r="L67" s="3065"/>
      <c r="M67" s="2940" t="s">
        <v>2563</v>
      </c>
      <c r="N67" s="2940" t="s">
        <v>2564</v>
      </c>
      <c r="O67" s="2940" t="s">
        <v>270</v>
      </c>
      <c r="P67" s="2940" t="s">
        <v>657</v>
      </c>
      <c r="Q67" s="2940" t="s">
        <v>686</v>
      </c>
      <c r="R67" s="2940" t="s">
        <v>236</v>
      </c>
      <c r="S67" s="2812"/>
      <c r="T67" s="2940" t="s">
        <v>2565</v>
      </c>
      <c r="U67" s="2940" t="s">
        <v>1239</v>
      </c>
      <c r="V67" s="2868"/>
      <c r="X67" s="2850"/>
      <c r="Y67" s="2825"/>
      <c r="Z67" s="2851"/>
      <c r="AA67" s="2867"/>
      <c r="AB67" s="2861"/>
      <c r="AC67" s="2861"/>
      <c r="AD67" s="2861"/>
      <c r="AE67" s="2861"/>
      <c r="AF67" s="2861"/>
      <c r="AG67" s="2861"/>
      <c r="AH67" s="2841"/>
      <c r="AI67" s="2841"/>
      <c r="AJ67" s="2841"/>
      <c r="AK67" s="2841"/>
      <c r="AL67" s="2822"/>
    </row>
    <row r="68" spans="1:38">
      <c r="A68" s="2811"/>
      <c r="B68" s="2894"/>
      <c r="C68" s="2968" t="s">
        <v>2566</v>
      </c>
      <c r="D68" s="2891">
        <v>6</v>
      </c>
      <c r="E68" s="2892"/>
      <c r="F68" s="2892"/>
      <c r="G68" s="2893"/>
      <c r="H68" s="2868"/>
      <c r="I68" s="2812"/>
      <c r="J68" s="2823"/>
      <c r="K68" s="2972" t="str">
        <f>IF(ISNUMBER('A&amp;R'!V7),'A&amp;R'!V7&amp;"F ",'A&amp;R'!V7&amp;" ")&amp;'A&amp;R'!W7</f>
        <v>8F 쿠팡</v>
      </c>
      <c r="L68" s="2973"/>
      <c r="M68" s="2832" t="str">
        <f>'A&amp;R'!X7</f>
        <v>근린생활시설</v>
      </c>
      <c r="N68" s="2870">
        <f>'A&amp;R'!Y7</f>
        <v>78.09</v>
      </c>
      <c r="O68" s="2870">
        <f>'A&amp;R'!AC7</f>
        <v>38300</v>
      </c>
      <c r="P68" s="2870">
        <f>'A&amp;R'!AD7</f>
        <v>2600</v>
      </c>
      <c r="Q68" s="2870">
        <f>'A&amp;R'!AE7</f>
        <v>229800</v>
      </c>
      <c r="R68" s="2831">
        <f>'A&amp;R'!AF7</f>
        <v>2.5000000000000001E-2</v>
      </c>
      <c r="S68" s="2812"/>
      <c r="T68" s="2895">
        <v>1</v>
      </c>
      <c r="U68" s="2918">
        <f>'A&amp;R'!$X$23</f>
        <v>6.7500938244372463E-3</v>
      </c>
      <c r="V68" s="2868"/>
      <c r="X68" s="2850"/>
      <c r="Y68" s="2825" t="s">
        <v>2567</v>
      </c>
      <c r="Z68" s="2873" t="s">
        <v>2568</v>
      </c>
      <c r="AA68" s="2847">
        <v>0</v>
      </c>
      <c r="AB68" s="2847">
        <v>0</v>
      </c>
      <c r="AC68" s="2847">
        <v>0</v>
      </c>
      <c r="AD68" s="2847">
        <v>0</v>
      </c>
      <c r="AE68" s="2847">
        <v>0</v>
      </c>
      <c r="AF68" s="2847">
        <v>0</v>
      </c>
      <c r="AG68" s="2847">
        <v>0</v>
      </c>
      <c r="AH68" s="2847">
        <v>0</v>
      </c>
      <c r="AI68" s="2847">
        <v>0</v>
      </c>
      <c r="AJ68" s="2847">
        <v>0</v>
      </c>
      <c r="AK68" s="2847">
        <v>0</v>
      </c>
      <c r="AL68" s="2822"/>
    </row>
    <row r="69" spans="1:38">
      <c r="A69" s="2811"/>
      <c r="B69" s="2894"/>
      <c r="C69" s="2974" t="s">
        <v>2569</v>
      </c>
      <c r="D69" s="2898" t="s">
        <v>2570</v>
      </c>
      <c r="E69" s="2892"/>
      <c r="F69" s="2892"/>
      <c r="G69" s="2893"/>
      <c r="H69" s="2868"/>
      <c r="I69" s="2812"/>
      <c r="J69" s="2823"/>
      <c r="K69" s="2972" t="str">
        <f>IF(ISNUMBER('A&amp;R'!V8),'A&amp;R'!V8&amp;"F ",'A&amp;R'!V8&amp;" ")&amp;'A&amp;R'!W8</f>
        <v>8F 쿠팡</v>
      </c>
      <c r="L69" s="2973"/>
      <c r="M69" s="2832" t="str">
        <f>'A&amp;R'!X8</f>
        <v>상온창고</v>
      </c>
      <c r="N69" s="2870">
        <f>'A&amp;R'!Y8</f>
        <v>63.86</v>
      </c>
      <c r="O69" s="2870">
        <f>'A&amp;R'!AC8</f>
        <v>38300</v>
      </c>
      <c r="P69" s="2870">
        <f>'A&amp;R'!AD8</f>
        <v>2600</v>
      </c>
      <c r="Q69" s="2870">
        <f>'A&amp;R'!AE8</f>
        <v>229800</v>
      </c>
      <c r="R69" s="2831">
        <f>'A&amp;R'!AF8</f>
        <v>2.5000000000000001E-2</v>
      </c>
      <c r="S69" s="2812"/>
      <c r="T69" s="2895">
        <v>2</v>
      </c>
      <c r="U69" s="2918">
        <f>'A&amp;R'!$X$23</f>
        <v>6.7500938244372463E-3</v>
      </c>
      <c r="V69" s="2868"/>
      <c r="X69" s="2850"/>
      <c r="Y69" s="2825"/>
      <c r="Z69" s="2970" t="s">
        <v>2571</v>
      </c>
      <c r="AA69" s="2867" t="s">
        <v>2572</v>
      </c>
      <c r="AB69" s="2832"/>
      <c r="AC69" s="2832"/>
      <c r="AD69" s="2832"/>
      <c r="AE69" s="2832"/>
      <c r="AF69" s="2832"/>
      <c r="AG69" s="2832"/>
      <c r="AH69" s="2832"/>
      <c r="AI69" s="2832"/>
      <c r="AJ69" s="2832"/>
      <c r="AK69" s="2832"/>
      <c r="AL69" s="2872"/>
    </row>
    <row r="70" spans="1:38">
      <c r="A70" s="2811"/>
      <c r="B70" s="2894"/>
      <c r="C70" s="2974"/>
      <c r="D70" s="2898"/>
      <c r="E70" s="2899"/>
      <c r="F70" s="2899"/>
      <c r="G70" s="2900"/>
      <c r="H70" s="2868"/>
      <c r="I70" s="2812"/>
      <c r="J70" s="2823"/>
      <c r="K70" s="2972" t="str">
        <f>IF(ISNUMBER('A&amp;R'!V9),'A&amp;R'!V9&amp;"F ",'A&amp;R'!V9&amp;" ")&amp;'A&amp;R'!W9</f>
        <v>8F 키즈밀</v>
      </c>
      <c r="L70" s="2973"/>
      <c r="M70" s="2832" t="str">
        <f>'A&amp;R'!X9</f>
        <v>근린생활시설</v>
      </c>
      <c r="N70" s="2870">
        <f>'A&amp;R'!Y9</f>
        <v>479.38</v>
      </c>
      <c r="O70" s="2870">
        <f>'A&amp;R'!AC9</f>
        <v>40000</v>
      </c>
      <c r="P70" s="2870">
        <f>'A&amp;R'!AD9</f>
        <v>3000</v>
      </c>
      <c r="Q70" s="2870">
        <f>'A&amp;R'!AE9</f>
        <v>208600</v>
      </c>
      <c r="R70" s="2831">
        <f>'A&amp;R'!AF9</f>
        <v>2.5000000000000001E-2</v>
      </c>
      <c r="S70" s="2812"/>
      <c r="T70" s="2895">
        <v>3</v>
      </c>
      <c r="U70" s="2918">
        <f>'A&amp;R'!$X$23</f>
        <v>6.7500938244372463E-3</v>
      </c>
      <c r="V70" s="2868"/>
      <c r="X70" s="2850"/>
      <c r="Y70" s="2825"/>
      <c r="Z70" s="2970"/>
      <c r="AA70" s="2867"/>
      <c r="AB70" s="2832"/>
      <c r="AC70" s="2832"/>
      <c r="AD70" s="2832"/>
      <c r="AE70" s="2832"/>
      <c r="AF70" s="2832"/>
      <c r="AG70" s="2832"/>
      <c r="AH70" s="2832"/>
      <c r="AI70" s="2832"/>
      <c r="AJ70" s="2832"/>
      <c r="AK70" s="2832"/>
      <c r="AL70" s="2872"/>
    </row>
    <row r="71" spans="1:38">
      <c r="A71" s="2811"/>
      <c r="B71" s="2894"/>
      <c r="C71" s="2901" t="s">
        <v>2573</v>
      </c>
      <c r="D71" s="2898"/>
      <c r="E71" s="2899"/>
      <c r="F71" s="2899"/>
      <c r="G71" s="2900"/>
      <c r="H71" s="2868"/>
      <c r="I71" s="2812"/>
      <c r="J71" s="2823"/>
      <c r="K71" s="2972" t="str">
        <f>IF(ISNUMBER('A&amp;R'!V10),'A&amp;R'!V10&amp;"F ",'A&amp;R'!V10&amp;" ")&amp;'A&amp;R'!W10</f>
        <v>8F 쿠팡</v>
      </c>
      <c r="L71" s="2973"/>
      <c r="M71" s="2832" t="str">
        <f>'A&amp;R'!X10</f>
        <v>상온창고</v>
      </c>
      <c r="N71" s="2870">
        <f>'A&amp;R'!Y10</f>
        <v>207.4</v>
      </c>
      <c r="O71" s="2870">
        <f>'A&amp;R'!AC10</f>
        <v>36500</v>
      </c>
      <c r="P71" s="2870">
        <f>'A&amp;R'!AD10</f>
        <v>2500</v>
      </c>
      <c r="Q71" s="2870">
        <f>'A&amp;R'!AE10</f>
        <v>219000</v>
      </c>
      <c r="R71" s="2831">
        <f>'A&amp;R'!AF10</f>
        <v>2.5000000000000001E-2</v>
      </c>
      <c r="S71" s="2812"/>
      <c r="T71" s="2895">
        <v>4</v>
      </c>
      <c r="U71" s="2918">
        <f>'A&amp;R'!$X$23</f>
        <v>6.7500938244372463E-3</v>
      </c>
      <c r="V71" s="2868"/>
      <c r="X71" s="2850"/>
      <c r="Y71" s="2825"/>
      <c r="Z71" s="2975" t="s">
        <v>2574</v>
      </c>
      <c r="AA71" s="2847">
        <f>-AA18+AA64</f>
        <v>1350</v>
      </c>
      <c r="AB71" s="2847">
        <f t="shared" ref="AB71:AK71" si="8">AB64+AB65+AB66+AB68</f>
        <v>666.54700000000014</v>
      </c>
      <c r="AC71" s="2847">
        <f t="shared" si="8"/>
        <v>666.54700000000014</v>
      </c>
      <c r="AD71" s="2847">
        <f t="shared" si="8"/>
        <v>666.54700000000014</v>
      </c>
      <c r="AE71" s="2847">
        <f t="shared" si="8"/>
        <v>666.54700000000014</v>
      </c>
      <c r="AF71" s="2847">
        <f t="shared" si="8"/>
        <v>666.54700000000014</v>
      </c>
      <c r="AG71" s="2847">
        <f t="shared" si="8"/>
        <v>666.54700000000014</v>
      </c>
      <c r="AH71" s="2847">
        <f t="shared" si="8"/>
        <v>666.54700000000014</v>
      </c>
      <c r="AI71" s="2847">
        <f t="shared" si="8"/>
        <v>666.54700000000014</v>
      </c>
      <c r="AJ71" s="2847">
        <f t="shared" si="8"/>
        <v>666.54700000000014</v>
      </c>
      <c r="AK71" s="2847">
        <f t="shared" si="8"/>
        <v>15026.173387351408</v>
      </c>
      <c r="AL71" s="2876"/>
    </row>
    <row r="72" spans="1:38">
      <c r="A72" s="2811"/>
      <c r="B72" s="2894"/>
      <c r="C72" s="2976" t="s">
        <v>2575</v>
      </c>
      <c r="D72" s="2898" t="s">
        <v>2576</v>
      </c>
      <c r="E72" s="2899"/>
      <c r="F72" s="2899"/>
      <c r="G72" s="2900"/>
      <c r="H72" s="2868"/>
      <c r="I72" s="2812"/>
      <c r="J72" s="2823"/>
      <c r="K72" s="2972" t="str">
        <f>IF(ISNUMBER('A&amp;R'!V11),'A&amp;R'!V11&amp;"F ",'A&amp;R'!V11&amp;" ")&amp;'A&amp;R'!W11</f>
        <v>7F 쿠팡</v>
      </c>
      <c r="L72" s="2973"/>
      <c r="M72" s="2832" t="str">
        <f>'A&amp;R'!X11</f>
        <v>상온창고</v>
      </c>
      <c r="N72" s="2870">
        <f>'A&amp;R'!Y11</f>
        <v>1550.42</v>
      </c>
      <c r="O72" s="2870">
        <f>'A&amp;R'!AC11</f>
        <v>60000</v>
      </c>
      <c r="P72" s="2870">
        <f>'A&amp;R'!AD11</f>
        <v>3000</v>
      </c>
      <c r="Q72" s="2870">
        <f>'A&amp;R'!AE11</f>
        <v>360000</v>
      </c>
      <c r="R72" s="2831">
        <f>'A&amp;R'!AF11</f>
        <v>2.5000000000000001E-2</v>
      </c>
      <c r="S72" s="2812"/>
      <c r="T72" s="2895">
        <v>5</v>
      </c>
      <c r="U72" s="2918">
        <f>'A&amp;R'!$X$23</f>
        <v>6.7500938244372463E-3</v>
      </c>
      <c r="V72" s="2868"/>
      <c r="X72" s="2850"/>
      <c r="Y72" s="2825"/>
      <c r="Z72" s="2970" t="s">
        <v>2577</v>
      </c>
      <c r="AA72" s="2867" t="s">
        <v>2578</v>
      </c>
      <c r="AB72" s="2832"/>
      <c r="AC72" s="2832"/>
      <c r="AD72" s="2832"/>
      <c r="AE72" s="2832"/>
      <c r="AF72" s="2832"/>
      <c r="AG72" s="2832"/>
      <c r="AH72" s="2832"/>
      <c r="AI72" s="2832"/>
      <c r="AJ72" s="2832"/>
      <c r="AK72" s="2832"/>
      <c r="AL72" s="2822"/>
    </row>
    <row r="73" spans="1:38">
      <c r="A73" s="2811"/>
      <c r="B73" s="2894"/>
      <c r="C73" s="2976" t="s">
        <v>2579</v>
      </c>
      <c r="D73" s="2917">
        <v>0</v>
      </c>
      <c r="E73" s="2899"/>
      <c r="F73" s="2899"/>
      <c r="G73" s="2900"/>
      <c r="H73" s="2868"/>
      <c r="I73" s="2812"/>
      <c r="J73" s="2823"/>
      <c r="K73" s="2972" t="str">
        <f>IF(ISNUMBER('A&amp;R'!V12),'A&amp;R'!V12&amp;"F ",'A&amp;R'!V12&amp;" ")&amp;'A&amp;R'!W12</f>
        <v>6F 쿠팡</v>
      </c>
      <c r="L73" s="2973"/>
      <c r="M73" s="2832" t="str">
        <f>'A&amp;R'!X12</f>
        <v>상온창고</v>
      </c>
      <c r="N73" s="2870">
        <f>'A&amp;R'!Y12</f>
        <v>2187.87</v>
      </c>
      <c r="O73" s="2870">
        <f>'A&amp;R'!AC12</f>
        <v>60000</v>
      </c>
      <c r="P73" s="2870">
        <f>'A&amp;R'!AD12</f>
        <v>3000</v>
      </c>
      <c r="Q73" s="2870">
        <f>'A&amp;R'!AE12</f>
        <v>360000</v>
      </c>
      <c r="R73" s="2831">
        <f>'A&amp;R'!AF12</f>
        <v>2.5000000000000001E-2</v>
      </c>
      <c r="S73" s="2812"/>
      <c r="T73" s="2895">
        <v>6</v>
      </c>
      <c r="U73" s="2918">
        <f>'A&amp;R'!$X$23</f>
        <v>6.7500938244372463E-3</v>
      </c>
      <c r="V73" s="2868"/>
      <c r="X73" s="2850"/>
      <c r="Y73" s="2879"/>
      <c r="Z73" s="2977" t="s">
        <v>2580</v>
      </c>
      <c r="AA73" s="2880" t="s">
        <v>2581</v>
      </c>
      <c r="AB73" s="2881"/>
      <c r="AC73" s="2881"/>
      <c r="AD73" s="2881"/>
      <c r="AE73" s="2881"/>
      <c r="AF73" s="2881"/>
      <c r="AG73" s="2881"/>
      <c r="AH73" s="2881"/>
      <c r="AI73" s="2881"/>
      <c r="AJ73" s="2881"/>
      <c r="AK73" s="2881"/>
      <c r="AL73" s="2822"/>
    </row>
    <row r="74" spans="1:38" ht="14.25" customHeight="1" thickBot="1">
      <c r="A74" s="2811"/>
      <c r="B74" s="2894"/>
      <c r="C74" s="2976" t="s">
        <v>2582</v>
      </c>
      <c r="D74" s="2917">
        <f>IM!C7/('A&amp;R'!AE23/1000000)</f>
        <v>1.9839130744578232E-2</v>
      </c>
      <c r="E74" s="2899"/>
      <c r="F74" s="2899"/>
      <c r="G74" s="2900"/>
      <c r="H74" s="2868"/>
      <c r="I74" s="2812"/>
      <c r="J74" s="2823"/>
      <c r="K74" s="2972" t="str">
        <f>IF(ISNUMBER('A&amp;R'!V13),'A&amp;R'!V13&amp;"F ",'A&amp;R'!V13&amp;" ")&amp;'A&amp;R'!W13</f>
        <v>5F 쿠팡</v>
      </c>
      <c r="L74" s="2973"/>
      <c r="M74" s="2832" t="str">
        <f>'A&amp;R'!X13</f>
        <v>상온창고</v>
      </c>
      <c r="N74" s="2870">
        <f>'A&amp;R'!Y13</f>
        <v>2185.56</v>
      </c>
      <c r="O74" s="2870">
        <f>'A&amp;R'!AC13</f>
        <v>60000</v>
      </c>
      <c r="P74" s="2870">
        <f>'A&amp;R'!AD13</f>
        <v>3000</v>
      </c>
      <c r="Q74" s="2870">
        <f>'A&amp;R'!AE13</f>
        <v>360000</v>
      </c>
      <c r="R74" s="2831">
        <f>'A&amp;R'!AF13</f>
        <v>2.5000000000000001E-2</v>
      </c>
      <c r="S74" s="2812"/>
      <c r="T74" s="2895">
        <v>7</v>
      </c>
      <c r="U74" s="2918">
        <f>'A&amp;R'!$X$23</f>
        <v>6.7500938244372463E-3</v>
      </c>
      <c r="V74" s="2868"/>
      <c r="X74" s="2884"/>
      <c r="Y74" s="2885"/>
      <c r="Z74" s="2885" t="s">
        <v>2583</v>
      </c>
      <c r="AA74" s="3005">
        <f>SUM(AA64:AK66)</f>
        <v>22375.096387351412</v>
      </c>
      <c r="AB74" s="2885"/>
      <c r="AC74" s="2885"/>
      <c r="AD74" s="2885"/>
      <c r="AE74" s="2885"/>
      <c r="AF74" s="2885"/>
      <c r="AG74" s="2885"/>
      <c r="AH74" s="2885"/>
      <c r="AI74" s="2885"/>
      <c r="AJ74" s="2885"/>
      <c r="AK74" s="2885"/>
      <c r="AL74" s="2886"/>
    </row>
    <row r="75" spans="1:38">
      <c r="A75" s="2811"/>
      <c r="B75" s="2894"/>
      <c r="C75" s="2976" t="s">
        <v>2584</v>
      </c>
      <c r="D75" s="2917">
        <f>'A&amp;R'!Q76</f>
        <v>0.02</v>
      </c>
      <c r="E75" s="2899"/>
      <c r="F75" s="2899"/>
      <c r="G75" s="2900"/>
      <c r="H75" s="2868"/>
      <c r="I75" s="2812"/>
      <c r="J75" s="2823"/>
      <c r="K75" s="2972" t="str">
        <f>IF(ISNUMBER('A&amp;R'!V14),'A&amp;R'!V14&amp;"F ",'A&amp;R'!V14&amp;" ")&amp;'A&amp;R'!W14</f>
        <v>4F 쿠팡</v>
      </c>
      <c r="L75" s="2973"/>
      <c r="M75" s="2832" t="str">
        <f>'A&amp;R'!X14</f>
        <v>상온창고</v>
      </c>
      <c r="N75" s="2870">
        <f>'A&amp;R'!Y14</f>
        <v>2185.56</v>
      </c>
      <c r="O75" s="2870">
        <f>'A&amp;R'!AC14</f>
        <v>60000</v>
      </c>
      <c r="P75" s="2870">
        <f>'A&amp;R'!AD14</f>
        <v>3000</v>
      </c>
      <c r="Q75" s="2870">
        <f>'A&amp;R'!AE14</f>
        <v>360000</v>
      </c>
      <c r="R75" s="2831">
        <f>'A&amp;R'!AF14</f>
        <v>2.5000000000000001E-2</v>
      </c>
      <c r="S75" s="2812"/>
      <c r="T75" s="2895">
        <v>8</v>
      </c>
      <c r="U75" s="2918">
        <f>'A&amp;R'!$X$23</f>
        <v>6.7500938244372463E-3</v>
      </c>
      <c r="V75" s="2868"/>
      <c r="X75" s="2862"/>
      <c r="Y75" s="2889"/>
      <c r="Z75" s="2862"/>
      <c r="AA75" s="2862"/>
      <c r="AB75" s="2862"/>
      <c r="AC75" s="2862"/>
      <c r="AD75" s="2862"/>
      <c r="AE75" s="2862"/>
      <c r="AF75" s="2862"/>
      <c r="AG75" s="2862"/>
      <c r="AH75" s="2862"/>
      <c r="AI75" s="2862"/>
      <c r="AJ75" s="2862"/>
      <c r="AK75" s="2862"/>
    </row>
    <row r="76" spans="1:38" ht="16.5">
      <c r="A76" s="2811"/>
      <c r="B76" s="2823"/>
      <c r="C76" s="2976" t="s">
        <v>2585</v>
      </c>
      <c r="D76" s="2898" t="s">
        <v>1248</v>
      </c>
      <c r="E76" s="2899"/>
      <c r="F76" s="2899"/>
      <c r="G76" s="2900"/>
      <c r="H76" s="2824"/>
      <c r="I76" s="2812"/>
      <c r="J76" s="2823"/>
      <c r="K76" s="2972" t="str">
        <f>IF(ISNUMBER('A&amp;R'!V15),'A&amp;R'!V15&amp;"F ",'A&amp;R'!V15&amp;" ")&amp;'A&amp;R'!W15</f>
        <v>3F 농심</v>
      </c>
      <c r="L76" s="2973"/>
      <c r="M76" s="2832" t="str">
        <f>'A&amp;R'!X15</f>
        <v>상온창고</v>
      </c>
      <c r="N76" s="2870">
        <f>'A&amp;R'!Y15</f>
        <v>2185.56</v>
      </c>
      <c r="O76" s="2870">
        <f>'A&amp;R'!AC15</f>
        <v>49000</v>
      </c>
      <c r="P76" s="2870">
        <f>'A&amp;R'!AD15</f>
        <v>3000</v>
      </c>
      <c r="Q76" s="2870">
        <f>'A&amp;R'!AE15</f>
        <v>294000</v>
      </c>
      <c r="R76" s="2831">
        <f>'A&amp;R'!AF15</f>
        <v>0</v>
      </c>
      <c r="S76" s="2812"/>
      <c r="T76" s="2895">
        <v>9</v>
      </c>
      <c r="U76" s="2918">
        <f>'A&amp;R'!$X$23</f>
        <v>6.7500938244372463E-3</v>
      </c>
      <c r="V76" s="2868"/>
      <c r="X76"/>
      <c r="AK76" s="2862"/>
    </row>
    <row r="77" spans="1:38">
      <c r="A77" s="2811"/>
      <c r="B77" s="2823"/>
      <c r="C77" s="2976" t="s">
        <v>2586</v>
      </c>
      <c r="D77" s="2917">
        <f>'A&amp;R'!Q73</f>
        <v>0.02</v>
      </c>
      <c r="E77" s="2899"/>
      <c r="F77" s="2899"/>
      <c r="G77" s="2900"/>
      <c r="H77" s="2824"/>
      <c r="I77" s="2812"/>
      <c r="J77" s="2823"/>
      <c r="K77" s="2972" t="str">
        <f>IF(ISNUMBER('A&amp;R'!V16),'A&amp;R'!V16&amp;"F ",'A&amp;R'!V16&amp;" ")&amp;'A&amp;R'!W16</f>
        <v>2F 쿠팡</v>
      </c>
      <c r="L77" s="2973"/>
      <c r="M77" s="2832" t="str">
        <f>'A&amp;R'!X16</f>
        <v>상온창고</v>
      </c>
      <c r="N77" s="2870">
        <f>'A&amp;R'!Y16</f>
        <v>2185.56</v>
      </c>
      <c r="O77" s="2870">
        <f>'A&amp;R'!AC16</f>
        <v>60000</v>
      </c>
      <c r="P77" s="2870">
        <f>'A&amp;R'!AD16</f>
        <v>3000</v>
      </c>
      <c r="Q77" s="2870">
        <f>'A&amp;R'!AE16</f>
        <v>360000</v>
      </c>
      <c r="R77" s="2831">
        <f>'A&amp;R'!AF16</f>
        <v>2.5000000000000001E-2</v>
      </c>
      <c r="S77" s="2812"/>
      <c r="T77" s="2895">
        <v>10</v>
      </c>
      <c r="U77" s="2918">
        <f>'A&amp;R'!$X$23</f>
        <v>6.7500938244372463E-3</v>
      </c>
      <c r="V77" s="2868"/>
    </row>
    <row r="78" spans="1:38">
      <c r="A78" s="2811"/>
      <c r="B78" s="2823"/>
      <c r="C78" s="2976" t="s">
        <v>2587</v>
      </c>
      <c r="D78" s="2917">
        <f>'A&amp;R'!Q75</f>
        <v>-1.4999999999999999E-2</v>
      </c>
      <c r="E78" s="2899"/>
      <c r="F78" s="2899"/>
      <c r="G78" s="2900"/>
      <c r="H78" s="2824"/>
      <c r="I78" s="2812"/>
      <c r="J78" s="2823"/>
      <c r="K78" s="2972" t="str">
        <f>IF(ISNUMBER('A&amp;R'!V17),'A&amp;R'!V17&amp;"F ",'A&amp;R'!V17&amp;" ")&amp;'A&amp;R'!W17</f>
        <v>1F 지오영</v>
      </c>
      <c r="L78" s="2973"/>
      <c r="M78" s="2832" t="str">
        <f>'A&amp;R'!X17</f>
        <v>상온창고</v>
      </c>
      <c r="N78" s="2870">
        <f>'A&amp;R'!Y17</f>
        <v>1092.94</v>
      </c>
      <c r="O78" s="2870">
        <f>'A&amp;R'!AC17</f>
        <v>60000</v>
      </c>
      <c r="P78" s="2870">
        <f>'A&amp;R'!AD17</f>
        <v>3000</v>
      </c>
      <c r="Q78" s="2870">
        <f>'A&amp;R'!AE17</f>
        <v>360000</v>
      </c>
      <c r="R78" s="2831">
        <f>'A&amp;R'!AF17</f>
        <v>2.5000000000000001E-2</v>
      </c>
      <c r="S78" s="2812"/>
      <c r="T78" s="2895"/>
      <c r="U78" s="2918"/>
      <c r="V78" s="2868"/>
      <c r="AI78" s="2820"/>
    </row>
    <row r="79" spans="1:38">
      <c r="A79" s="2811"/>
      <c r="B79" s="2823"/>
      <c r="C79" s="2976" t="s">
        <v>2588</v>
      </c>
      <c r="D79" s="2898" t="s">
        <v>1248</v>
      </c>
      <c r="E79" s="2899"/>
      <c r="F79" s="2899"/>
      <c r="G79" s="2900"/>
      <c r="H79" s="2824"/>
      <c r="I79" s="2812"/>
      <c r="J79" s="2823"/>
      <c r="K79" s="2972" t="str">
        <f>IF(ISNUMBER('A&amp;R'!V18),'A&amp;R'!V18&amp;"F ",'A&amp;R'!V18&amp;" ")&amp;'A&amp;R'!W18</f>
        <v>1F 용마로지스</v>
      </c>
      <c r="L79" s="2973"/>
      <c r="M79" s="2832" t="str">
        <f>'A&amp;R'!X18</f>
        <v>상온창고</v>
      </c>
      <c r="N79" s="2870">
        <f>'A&amp;R'!Y18</f>
        <v>856.05</v>
      </c>
      <c r="O79" s="2870">
        <f>'A&amp;R'!AC18</f>
        <v>60000</v>
      </c>
      <c r="P79" s="2870">
        <f>'A&amp;R'!AD18</f>
        <v>3000</v>
      </c>
      <c r="Q79" s="2870">
        <f>'A&amp;R'!AE18</f>
        <v>360000</v>
      </c>
      <c r="R79" s="2831">
        <f>'A&amp;R'!AF18</f>
        <v>2.5000000000000001E-2</v>
      </c>
      <c r="S79" s="2812"/>
      <c r="T79" s="2895"/>
      <c r="U79" s="2918"/>
      <c r="V79" s="2868"/>
      <c r="AI79" s="2812"/>
    </row>
    <row r="80" spans="1:38">
      <c r="A80" s="2811"/>
      <c r="B80" s="2823"/>
      <c r="C80" s="2976" t="s">
        <v>2589</v>
      </c>
      <c r="D80" s="2898" t="s">
        <v>2590</v>
      </c>
      <c r="E80" s="2899"/>
      <c r="F80" s="2899"/>
      <c r="G80" s="2900"/>
      <c r="H80" s="2824"/>
      <c r="I80" s="2812"/>
      <c r="J80" s="2823"/>
      <c r="K80" s="2972" t="str">
        <f>IF(ISNUMBER('A&amp;R'!V19),'A&amp;R'!V19&amp;"F ",'A&amp;R'!V19&amp;" ")&amp;'A&amp;R'!W19</f>
        <v>1F 아이팜</v>
      </c>
      <c r="L80" s="2973"/>
      <c r="M80" s="2832" t="str">
        <f>'A&amp;R'!X19</f>
        <v>근린생활시설</v>
      </c>
      <c r="N80" s="2870">
        <f>'A&amp;R'!Y19</f>
        <v>17.29</v>
      </c>
      <c r="O80" s="2870">
        <f>'A&amp;R'!AC19</f>
        <v>60000</v>
      </c>
      <c r="P80" s="2870">
        <f>'A&amp;R'!AD19</f>
        <v>3000</v>
      </c>
      <c r="Q80" s="2870">
        <f>'A&amp;R'!AE19</f>
        <v>360000</v>
      </c>
      <c r="R80" s="2831">
        <f>'A&amp;R'!AF19</f>
        <v>2.5000000000000001E-2</v>
      </c>
      <c r="S80" s="2812"/>
      <c r="T80" s="2895"/>
      <c r="U80" s="2918"/>
      <c r="V80" s="2868"/>
      <c r="AI80" s="2812"/>
    </row>
    <row r="81" spans="1:35">
      <c r="A81" s="2811"/>
      <c r="B81" s="2823"/>
      <c r="C81" s="2976" t="s">
        <v>2591</v>
      </c>
      <c r="D81" s="2898" t="s">
        <v>2592</v>
      </c>
      <c r="E81" s="2899"/>
      <c r="F81" s="2899"/>
      <c r="G81" s="2900"/>
      <c r="H81" s="2824"/>
      <c r="I81" s="2812"/>
      <c r="J81" s="2823"/>
      <c r="K81" s="2972" t="str">
        <f>IF(ISNUMBER('A&amp;R'!V20),'A&amp;R'!V20&amp;"F ",'A&amp;R'!V20&amp;" ")&amp;'A&amp;R'!W20</f>
        <v>1F 공실</v>
      </c>
      <c r="L81" s="2973"/>
      <c r="M81" s="2832" t="str">
        <f>'A&amp;R'!X20</f>
        <v>근린생활시설</v>
      </c>
      <c r="N81" s="2870">
        <f>'A&amp;R'!Y20</f>
        <v>141.01000000000002</v>
      </c>
      <c r="O81" s="2870">
        <f>'A&amp;R'!AC20</f>
        <v>0</v>
      </c>
      <c r="P81" s="2870">
        <f>'A&amp;R'!AD20</f>
        <v>0</v>
      </c>
      <c r="Q81" s="2870">
        <f>'A&amp;R'!AE20</f>
        <v>0</v>
      </c>
      <c r="R81" s="2831">
        <f>'A&amp;R'!AF20</f>
        <v>2.5000000000000001E-2</v>
      </c>
      <c r="S81" s="2812"/>
      <c r="T81" s="2895"/>
      <c r="U81" s="2918"/>
      <c r="V81" s="2868"/>
      <c r="AI81" s="2812"/>
    </row>
    <row r="82" spans="1:35">
      <c r="A82" s="2811"/>
      <c r="B82" s="2823"/>
      <c r="C82" s="2976" t="s">
        <v>2593</v>
      </c>
      <c r="D82" s="2898" t="s">
        <v>2594</v>
      </c>
      <c r="E82" s="2899"/>
      <c r="F82" s="2899"/>
      <c r="G82" s="2900"/>
      <c r="H82" s="2824"/>
      <c r="I82" s="2812"/>
      <c r="J82" s="2823"/>
      <c r="K82" s="2972" t="str">
        <f>IF(ISNUMBER('A&amp;R'!V21),'A&amp;R'!V21&amp;"F ",'A&amp;R'!V21&amp;" ")&amp;'A&amp;R'!W21</f>
        <v>B1 쿠팡</v>
      </c>
      <c r="L82" s="2973"/>
      <c r="M82" s="2832" t="str">
        <f>'A&amp;R'!X21</f>
        <v>상온창고</v>
      </c>
      <c r="N82" s="2870">
        <f>'A&amp;R'!Y21</f>
        <v>2745.32</v>
      </c>
      <c r="O82" s="2870">
        <f>'A&amp;R'!AC21</f>
        <v>60000</v>
      </c>
      <c r="P82" s="2870">
        <f>'A&amp;R'!AD21</f>
        <v>3000</v>
      </c>
      <c r="Q82" s="2870">
        <f>'A&amp;R'!AE21</f>
        <v>360000</v>
      </c>
      <c r="R82" s="2831">
        <f>'A&amp;R'!AF21</f>
        <v>2.5000000000000001E-2</v>
      </c>
      <c r="S82" s="2812"/>
      <c r="T82" s="2895"/>
      <c r="U82" s="2918"/>
      <c r="V82" s="2868"/>
      <c r="AI82" s="2812"/>
    </row>
    <row r="83" spans="1:35">
      <c r="A83" s="2811"/>
      <c r="B83" s="2823"/>
      <c r="C83" s="2974"/>
      <c r="D83" s="2898"/>
      <c r="E83" s="2899"/>
      <c r="F83" s="2899"/>
      <c r="G83" s="2900"/>
      <c r="H83" s="2824"/>
      <c r="I83" s="2812"/>
      <c r="J83" s="2823"/>
      <c r="K83" s="2972" t="str">
        <f>IF(ISNUMBER('A&amp;R'!V22),'A&amp;R'!V22&amp;"F ",'A&amp;R'!V22&amp;" ")&amp;'A&amp;R'!W22</f>
        <v>B2 쿠팡</v>
      </c>
      <c r="L83" s="2973"/>
      <c r="M83" s="2832" t="str">
        <f>'A&amp;R'!X22</f>
        <v>상온창고</v>
      </c>
      <c r="N83" s="2870">
        <f>'A&amp;R'!Y22</f>
        <v>2728.21</v>
      </c>
      <c r="O83" s="2870">
        <f>'A&amp;R'!AC22</f>
        <v>60000</v>
      </c>
      <c r="P83" s="2870">
        <f>'A&amp;R'!AD22</f>
        <v>3000</v>
      </c>
      <c r="Q83" s="2870">
        <f>'A&amp;R'!AE22</f>
        <v>360000</v>
      </c>
      <c r="R83" s="2831">
        <f>'A&amp;R'!AF22</f>
        <v>2.5000000000000001E-2</v>
      </c>
      <c r="S83" s="2817"/>
      <c r="T83" s="2979"/>
      <c r="U83" s="2979"/>
      <c r="V83" s="2868"/>
      <c r="AI83" s="2812"/>
    </row>
    <row r="84" spans="1:35">
      <c r="A84" s="2811"/>
      <c r="B84" s="2823"/>
      <c r="C84" s="2974"/>
      <c r="D84" s="2898"/>
      <c r="E84" s="2899"/>
      <c r="F84" s="2899"/>
      <c r="G84" s="2900"/>
      <c r="H84" s="2824"/>
      <c r="I84" s="2812"/>
      <c r="J84" s="2823"/>
      <c r="K84" s="2972" t="s">
        <v>2595</v>
      </c>
      <c r="L84" s="2973"/>
      <c r="M84" s="2832"/>
      <c r="N84" s="2870">
        <f>SUM(N68:N83)</f>
        <v>20890.079999999998</v>
      </c>
      <c r="O84" s="2870"/>
      <c r="P84" s="2870"/>
      <c r="Q84" s="2870"/>
      <c r="R84" s="2831"/>
      <c r="S84" s="2812"/>
      <c r="T84" s="2832"/>
      <c r="U84" s="2832"/>
      <c r="V84" s="2868"/>
      <c r="AI84" s="2812"/>
    </row>
    <row r="85" spans="1:35">
      <c r="A85" s="2811"/>
      <c r="B85" s="2823"/>
      <c r="C85" s="2974"/>
      <c r="D85" s="2898"/>
      <c r="E85" s="2899"/>
      <c r="F85" s="2899"/>
      <c r="G85" s="2900"/>
      <c r="H85" s="2824"/>
      <c r="I85" s="2812"/>
      <c r="J85" s="2823"/>
      <c r="K85" s="2879" t="s">
        <v>2596</v>
      </c>
      <c r="L85" s="2902"/>
      <c r="M85" s="2881"/>
      <c r="N85" s="2881"/>
      <c r="O85" s="2881"/>
      <c r="P85" s="2881"/>
      <c r="Q85" s="2881"/>
      <c r="R85" s="2881"/>
      <c r="S85" s="2812"/>
      <c r="T85" s="2881"/>
      <c r="U85" s="2881"/>
      <c r="V85" s="2868"/>
      <c r="AI85" s="2812"/>
    </row>
    <row r="86" spans="1:35">
      <c r="A86" s="2811"/>
      <c r="B86" s="2823"/>
      <c r="C86" s="2901" t="s">
        <v>2597</v>
      </c>
      <c r="D86" s="2898"/>
      <c r="E86" s="2899"/>
      <c r="F86" s="2899"/>
      <c r="G86" s="2900"/>
      <c r="H86" s="2824"/>
      <c r="I86" s="2812"/>
      <c r="J86" s="2894"/>
      <c r="K86" s="2862"/>
      <c r="L86" s="2862"/>
      <c r="M86" s="2862"/>
      <c r="N86" s="2862"/>
      <c r="O86" s="2862"/>
      <c r="P86" s="2862"/>
      <c r="Q86" s="2862"/>
      <c r="R86" s="2862"/>
      <c r="S86" s="2820"/>
      <c r="T86" s="2862"/>
      <c r="U86" s="2903"/>
      <c r="V86" s="2868"/>
      <c r="AI86" s="2812"/>
    </row>
    <row r="87" spans="1:35">
      <c r="A87" s="2811"/>
      <c r="B87" s="2823"/>
      <c r="C87" s="2980" t="s">
        <v>2598</v>
      </c>
      <c r="D87" s="2904" t="s">
        <v>2599</v>
      </c>
      <c r="F87" s="2808"/>
      <c r="G87" s="2840"/>
      <c r="H87" s="2824"/>
      <c r="I87" s="2812"/>
      <c r="J87" s="2894"/>
      <c r="K87" s="2809" t="s">
        <v>2600</v>
      </c>
      <c r="L87" s="2808"/>
      <c r="M87" s="2808"/>
      <c r="N87" s="2808"/>
      <c r="O87" s="2808"/>
      <c r="S87" s="2820"/>
      <c r="U87" s="2811"/>
      <c r="V87" s="2868"/>
      <c r="AI87" s="2812"/>
    </row>
    <row r="88" spans="1:35" ht="16.5">
      <c r="A88" s="2811"/>
      <c r="B88" s="2823"/>
      <c r="C88" s="2981"/>
      <c r="D88" s="2905" t="s">
        <v>2601</v>
      </c>
      <c r="G88" s="2840"/>
      <c r="H88" s="2824"/>
      <c r="I88" s="2812"/>
      <c r="J88" s="2823"/>
      <c r="K88" s="3061" t="s">
        <v>619</v>
      </c>
      <c r="L88" s="3058"/>
      <c r="M88" s="3061" t="s">
        <v>2602</v>
      </c>
      <c r="N88" s="3058"/>
      <c r="O88" s="2940" t="s">
        <v>656</v>
      </c>
      <c r="P88" s="3061" t="s">
        <v>2603</v>
      </c>
      <c r="Q88" s="3058"/>
      <c r="R88" s="2940" t="s">
        <v>2604</v>
      </c>
      <c r="S88" s="2820"/>
      <c r="U88" s="2811"/>
      <c r="V88" s="2868"/>
      <c r="AI88" s="2812"/>
    </row>
    <row r="89" spans="1:35">
      <c r="A89" s="2811"/>
      <c r="B89" s="2823"/>
      <c r="C89" s="2981"/>
      <c r="D89" s="2969" t="s">
        <v>2605</v>
      </c>
      <c r="F89" s="2903"/>
      <c r="G89" s="2839"/>
      <c r="H89" s="2824"/>
      <c r="I89" s="2812"/>
      <c r="J89" s="2823"/>
      <c r="K89" s="2972" t="s">
        <v>2606</v>
      </c>
      <c r="L89" s="2839"/>
      <c r="M89" s="2825" t="s">
        <v>1248</v>
      </c>
      <c r="N89" s="2840"/>
      <c r="O89" s="3006">
        <f>-SUM('CF(Y)'!M12:V12)/1000</f>
        <v>7537.3361067134283</v>
      </c>
      <c r="P89" s="2825" t="s">
        <v>1248</v>
      </c>
      <c r="Q89" s="2840"/>
      <c r="R89" s="2832" t="s">
        <v>1248</v>
      </c>
      <c r="S89" s="2820"/>
      <c r="U89" s="2811"/>
      <c r="V89" s="2868"/>
      <c r="AI89" s="2812"/>
    </row>
    <row r="90" spans="1:35">
      <c r="A90" s="2811"/>
      <c r="B90" s="2823"/>
      <c r="C90" s="2981"/>
      <c r="D90" s="2904" t="s">
        <v>2607</v>
      </c>
      <c r="F90" s="2903"/>
      <c r="G90" s="2839"/>
      <c r="H90" s="2824"/>
      <c r="I90" s="2812"/>
      <c r="J90" s="2823"/>
      <c r="K90" s="2825" t="s">
        <v>2608</v>
      </c>
      <c r="L90" s="2839"/>
      <c r="M90" s="2906"/>
      <c r="N90" s="2839"/>
      <c r="O90" s="3007">
        <f>-'CF(Y)'!O12/1000</f>
        <v>5526.0683946104436</v>
      </c>
      <c r="P90" s="2906"/>
      <c r="Q90" s="2839"/>
      <c r="R90" s="2979"/>
      <c r="S90" s="2820"/>
      <c r="U90" s="2811"/>
      <c r="V90" s="2868"/>
      <c r="AI90" s="2812"/>
    </row>
    <row r="91" spans="1:35">
      <c r="A91" s="2811"/>
      <c r="B91" s="2823"/>
      <c r="C91" s="2981"/>
      <c r="D91" s="2904" t="s">
        <v>2609</v>
      </c>
      <c r="F91" s="2903"/>
      <c r="G91" s="2839"/>
      <c r="H91" s="2824"/>
      <c r="I91" s="2812"/>
      <c r="J91" s="2823"/>
      <c r="K91" s="2825" t="s">
        <v>2610</v>
      </c>
      <c r="L91" s="2839"/>
      <c r="M91" s="2825"/>
      <c r="N91" s="2839"/>
      <c r="O91" s="2832"/>
      <c r="P91" s="2825"/>
      <c r="Q91" s="2839"/>
      <c r="R91" s="2832"/>
      <c r="S91" s="2820"/>
      <c r="U91" s="2811"/>
      <c r="V91" s="2868"/>
      <c r="AI91" s="2812"/>
    </row>
    <row r="92" spans="1:35">
      <c r="A92" s="2811"/>
      <c r="B92" s="2823"/>
      <c r="C92" s="2981"/>
      <c r="D92" s="2820"/>
      <c r="F92" s="2811"/>
      <c r="G92" s="2839"/>
      <c r="H92" s="2824"/>
      <c r="I92" s="2812"/>
      <c r="J92" s="2823"/>
      <c r="K92" s="2825"/>
      <c r="L92" s="2839"/>
      <c r="M92" s="2825"/>
      <c r="N92" s="2839"/>
      <c r="O92" s="2832"/>
      <c r="P92" s="2825"/>
      <c r="Q92" s="2839"/>
      <c r="R92" s="2832"/>
      <c r="S92" s="2820"/>
      <c r="U92" s="2811"/>
      <c r="V92" s="2868"/>
      <c r="AI92" s="2812"/>
    </row>
    <row r="93" spans="1:35">
      <c r="A93" s="2811"/>
      <c r="B93" s="2823"/>
      <c r="C93" s="2981" t="s">
        <v>2611</v>
      </c>
      <c r="D93" s="2820" t="s">
        <v>2612</v>
      </c>
      <c r="F93" s="2811"/>
      <c r="G93" s="2839"/>
      <c r="H93" s="2824"/>
      <c r="I93" s="2812"/>
      <c r="J93" s="2823"/>
      <c r="K93" s="2825"/>
      <c r="L93" s="2839"/>
      <c r="M93" s="2825"/>
      <c r="N93" s="2839"/>
      <c r="O93" s="2832"/>
      <c r="P93" s="2825"/>
      <c r="Q93" s="2839"/>
      <c r="R93" s="2832"/>
      <c r="S93" s="2820"/>
      <c r="U93" s="2811"/>
      <c r="V93" s="2868"/>
      <c r="AI93" s="2812"/>
    </row>
    <row r="94" spans="1:35">
      <c r="A94" s="2811"/>
      <c r="B94" s="2823"/>
      <c r="C94" s="2981"/>
      <c r="D94" s="2820"/>
      <c r="F94" s="2811"/>
      <c r="G94" s="2839"/>
      <c r="H94" s="2824"/>
      <c r="I94" s="2812"/>
      <c r="J94" s="2823"/>
      <c r="K94" s="2825"/>
      <c r="L94" s="2839"/>
      <c r="M94" s="2825"/>
      <c r="N94" s="2839"/>
      <c r="O94" s="2832"/>
      <c r="P94" s="2825"/>
      <c r="Q94" s="2839"/>
      <c r="R94" s="2832"/>
      <c r="S94" s="2820"/>
      <c r="U94" s="2811"/>
      <c r="V94" s="2868"/>
      <c r="AI94" s="2812"/>
    </row>
    <row r="95" spans="1:35">
      <c r="A95" s="2811"/>
      <c r="B95" s="2823"/>
      <c r="C95" s="2981"/>
      <c r="F95" s="2811"/>
      <c r="G95" s="2839"/>
      <c r="H95" s="2824"/>
      <c r="I95" s="2812"/>
      <c r="J95" s="2823"/>
      <c r="K95" s="2825"/>
      <c r="L95" s="2839"/>
      <c r="M95" s="2825"/>
      <c r="N95" s="2839"/>
      <c r="O95" s="2832"/>
      <c r="P95" s="2825"/>
      <c r="Q95" s="2839"/>
      <c r="R95" s="2832"/>
      <c r="S95" s="2820"/>
      <c r="U95" s="2811"/>
      <c r="V95" s="2868"/>
      <c r="AI95" s="2812"/>
    </row>
    <row r="96" spans="1:35">
      <c r="A96" s="2811"/>
      <c r="B96" s="2823"/>
      <c r="C96" s="2981"/>
      <c r="F96" s="2811"/>
      <c r="G96" s="2839"/>
      <c r="H96" s="2824"/>
      <c r="I96" s="2812"/>
      <c r="J96" s="2823"/>
      <c r="K96" s="2825"/>
      <c r="L96" s="2839"/>
      <c r="M96" s="2825"/>
      <c r="N96" s="2839"/>
      <c r="O96" s="2832"/>
      <c r="P96" s="2825"/>
      <c r="Q96" s="2839"/>
      <c r="R96" s="2832"/>
      <c r="S96" s="2820"/>
      <c r="U96" s="2811"/>
      <c r="V96" s="2868"/>
      <c r="AI96" s="2812"/>
    </row>
    <row r="97" spans="1:50">
      <c r="A97" s="2811"/>
      <c r="B97" s="2823"/>
      <c r="C97" s="2981" t="s">
        <v>2613</v>
      </c>
      <c r="D97" s="2820" t="s">
        <v>2614</v>
      </c>
      <c r="F97" s="2811"/>
      <c r="G97" s="2839"/>
      <c r="H97" s="2824"/>
      <c r="I97" s="2812"/>
      <c r="J97" s="2823"/>
      <c r="K97" s="2825"/>
      <c r="L97" s="2839"/>
      <c r="M97" s="2825"/>
      <c r="N97" s="2839"/>
      <c r="O97" s="2832"/>
      <c r="P97" s="2825"/>
      <c r="Q97" s="2839"/>
      <c r="R97" s="2832"/>
      <c r="S97" s="2820"/>
      <c r="U97" s="2811"/>
      <c r="V97" s="2868"/>
      <c r="AI97" s="2812"/>
    </row>
    <row r="98" spans="1:50">
      <c r="A98" s="2811"/>
      <c r="B98" s="2823"/>
      <c r="C98" s="2981"/>
      <c r="D98" s="2909"/>
      <c r="F98" s="2811"/>
      <c r="G98" s="2839"/>
      <c r="H98" s="2824"/>
      <c r="I98" s="2812"/>
      <c r="J98" s="2823"/>
      <c r="K98" s="2825"/>
      <c r="L98" s="2839"/>
      <c r="M98" s="2825"/>
      <c r="N98" s="2839"/>
      <c r="O98" s="2832"/>
      <c r="P98" s="2825"/>
      <c r="Q98" s="2839"/>
      <c r="R98" s="2832"/>
      <c r="S98" s="2820"/>
      <c r="U98" s="2811"/>
      <c r="V98" s="2868"/>
      <c r="AI98" s="2812"/>
    </row>
    <row r="99" spans="1:50">
      <c r="A99" s="2811"/>
      <c r="B99" s="2823"/>
      <c r="C99" s="2981"/>
      <c r="D99" s="2909"/>
      <c r="F99" s="2811"/>
      <c r="G99" s="2839"/>
      <c r="H99" s="2824"/>
      <c r="I99" s="2812"/>
      <c r="J99" s="2823"/>
      <c r="K99" s="2879"/>
      <c r="L99" s="2902"/>
      <c r="M99" s="2879"/>
      <c r="N99" s="2902"/>
      <c r="O99" s="2881"/>
      <c r="P99" s="2879"/>
      <c r="Q99" s="2902"/>
      <c r="R99" s="2881"/>
      <c r="S99" s="2820"/>
      <c r="U99" s="2811"/>
      <c r="V99" s="2868"/>
      <c r="AI99" s="2812"/>
    </row>
    <row r="100" spans="1:50">
      <c r="A100" s="2811"/>
      <c r="B100" s="2823"/>
      <c r="C100" s="2982"/>
      <c r="D100" s="2910"/>
      <c r="E100" s="2911"/>
      <c r="F100" s="2912"/>
      <c r="G100" s="2902"/>
      <c r="H100" s="2824"/>
      <c r="I100" s="2812"/>
      <c r="J100" s="2983"/>
      <c r="K100" s="2913"/>
      <c r="L100" s="2913"/>
      <c r="M100" s="2913"/>
      <c r="N100" s="2913"/>
      <c r="O100" s="2913"/>
      <c r="P100" s="2913"/>
      <c r="Q100" s="2913"/>
      <c r="R100" s="2913"/>
      <c r="S100" s="2909"/>
      <c r="T100" s="2808"/>
      <c r="U100" s="2984"/>
      <c r="V100" s="2985"/>
      <c r="AI100" s="2812"/>
    </row>
    <row r="101" spans="1:50" ht="14.25" customHeight="1" thickBot="1">
      <c r="A101" s="2811"/>
      <c r="B101" s="2986"/>
      <c r="C101" s="2859"/>
      <c r="D101" s="2859"/>
      <c r="E101" s="2859"/>
      <c r="F101" s="2859"/>
      <c r="G101" s="2859"/>
      <c r="H101" s="2860"/>
      <c r="I101" s="2812"/>
      <c r="J101" s="2858"/>
      <c r="K101" s="2859"/>
      <c r="L101" s="2859"/>
      <c r="M101" s="2859"/>
      <c r="N101" s="2859"/>
      <c r="O101" s="2859"/>
      <c r="P101" s="2859"/>
      <c r="Q101" s="2859"/>
      <c r="R101" s="2859"/>
      <c r="S101" s="2859"/>
      <c r="T101" s="2859"/>
      <c r="U101" s="2967"/>
      <c r="V101" s="2888"/>
      <c r="AI101" s="2812"/>
    </row>
    <row r="102" spans="1:50">
      <c r="A102" s="2811"/>
      <c r="B102" s="2862"/>
      <c r="C102" s="2862"/>
      <c r="D102" s="2862"/>
      <c r="E102" s="2862"/>
      <c r="F102" s="2862"/>
      <c r="G102" s="2862"/>
      <c r="H102" s="2862"/>
      <c r="I102" s="2817"/>
      <c r="J102" s="2987"/>
      <c r="K102" s="2987"/>
      <c r="L102" s="2987"/>
      <c r="M102" s="2987"/>
      <c r="N102" s="2987"/>
      <c r="O102" s="2987"/>
      <c r="P102" s="2987"/>
      <c r="Q102" s="2987"/>
      <c r="R102" s="2987"/>
      <c r="S102" s="2987"/>
      <c r="T102" s="2987"/>
      <c r="U102" s="2987"/>
      <c r="V102" s="2987"/>
      <c r="AI102" s="2812"/>
    </row>
    <row r="103" spans="1:50">
      <c r="A103" s="2811"/>
      <c r="I103" s="2931"/>
      <c r="J103" s="2805" t="s">
        <v>2615</v>
      </c>
      <c r="V103" s="2862"/>
      <c r="AI103" s="2812"/>
      <c r="AX103" s="2820"/>
    </row>
    <row r="104" spans="1:50" ht="14.25" customHeight="1" thickBot="1">
      <c r="J104" s="2808"/>
      <c r="K104" s="2809"/>
      <c r="L104" s="2808"/>
      <c r="M104" s="2808"/>
      <c r="N104" s="2808"/>
      <c r="O104" s="2808"/>
      <c r="P104" s="2808"/>
      <c r="Q104" s="2808"/>
      <c r="R104" s="2808"/>
      <c r="S104" s="2808"/>
      <c r="T104" s="2808"/>
      <c r="V104" s="2810" t="s">
        <v>2461</v>
      </c>
      <c r="AI104" s="2812"/>
    </row>
    <row r="105" spans="1:50">
      <c r="J105" s="2864"/>
      <c r="K105" s="2819"/>
      <c r="L105" s="2819"/>
      <c r="M105" s="2819"/>
      <c r="N105" s="2819"/>
      <c r="O105" s="2819"/>
      <c r="P105" s="2819"/>
      <c r="Q105" s="2819"/>
      <c r="R105" s="2819"/>
      <c r="S105" s="2819"/>
      <c r="T105" s="2819"/>
      <c r="U105" s="2958"/>
      <c r="V105" s="2959"/>
      <c r="W105" s="2820"/>
      <c r="AI105" s="2812"/>
    </row>
    <row r="106" spans="1:50" ht="16.5">
      <c r="J106" s="2823"/>
      <c r="K106" s="3062" t="s">
        <v>619</v>
      </c>
      <c r="L106" s="3063"/>
      <c r="M106" s="3063"/>
      <c r="N106" s="3063"/>
      <c r="O106" s="2988"/>
      <c r="P106" s="2940" t="s">
        <v>2616</v>
      </c>
      <c r="Q106" s="2940" t="s">
        <v>2617</v>
      </c>
      <c r="R106" s="2940" t="s">
        <v>2618</v>
      </c>
      <c r="S106" s="2939" t="s">
        <v>2619</v>
      </c>
      <c r="T106" s="2940" t="s">
        <v>679</v>
      </c>
      <c r="U106" s="2812"/>
      <c r="V106" s="2824"/>
      <c r="W106" s="2820"/>
      <c r="AI106" s="2812"/>
    </row>
    <row r="107" spans="1:50">
      <c r="J107" s="2823"/>
      <c r="K107" s="2825" t="s">
        <v>2620</v>
      </c>
      <c r="O107" s="2839"/>
      <c r="P107" s="2832"/>
      <c r="Q107" s="2832"/>
      <c r="R107" s="2832"/>
      <c r="S107" s="2840"/>
      <c r="T107" s="2832"/>
      <c r="U107" s="2812"/>
      <c r="V107" s="2824"/>
      <c r="W107" s="2820"/>
      <c r="AI107" s="2812"/>
    </row>
    <row r="108" spans="1:50">
      <c r="J108" s="2823"/>
      <c r="K108" s="2896" t="s">
        <v>73</v>
      </c>
      <c r="O108" s="2839"/>
      <c r="P108" s="2832" t="s">
        <v>2621</v>
      </c>
      <c r="Q108" s="2897">
        <f>'A&amp;R'!N68</f>
        <v>173.12381880702196</v>
      </c>
      <c r="R108" s="2897" t="s">
        <v>2622</v>
      </c>
      <c r="S108" s="2989">
        <f>'A&amp;R'!Q68</f>
        <v>1.4999999999999999E-2</v>
      </c>
      <c r="T108" s="2870">
        <f>IM!C9</f>
        <v>60</v>
      </c>
      <c r="U108" s="2812"/>
      <c r="V108" s="2824"/>
      <c r="W108" s="2820"/>
      <c r="AI108" s="2812"/>
    </row>
    <row r="109" spans="1:50">
      <c r="J109" s="2823"/>
      <c r="K109" s="2896" t="s">
        <v>75</v>
      </c>
      <c r="O109" s="2839"/>
      <c r="P109" s="2832" t="s">
        <v>2621</v>
      </c>
      <c r="Q109" s="2897">
        <f>'A&amp;R'!N69</f>
        <v>1838</v>
      </c>
      <c r="R109" s="2897" t="s">
        <v>2622</v>
      </c>
      <c r="S109" s="2989">
        <f>'A&amp;R'!Q69</f>
        <v>0.02</v>
      </c>
      <c r="T109" s="2870">
        <f>IM!C10</f>
        <v>637.00073600459996</v>
      </c>
      <c r="U109" s="2812"/>
      <c r="V109" s="2824"/>
      <c r="W109" s="2820"/>
      <c r="AI109" s="2812"/>
    </row>
    <row r="110" spans="1:50" ht="17.25" customHeight="1">
      <c r="J110" s="2823"/>
      <c r="K110" s="2896" t="s">
        <v>80</v>
      </c>
      <c r="O110" s="2839"/>
      <c r="P110" s="2832" t="s">
        <v>2621</v>
      </c>
      <c r="Q110" s="2897">
        <f>'A&amp;R'!N71</f>
        <v>0</v>
      </c>
      <c r="R110" s="2897" t="s">
        <v>2622</v>
      </c>
      <c r="S110" s="2989">
        <f>'A&amp;R'!Q71</f>
        <v>0.02</v>
      </c>
      <c r="T110" s="2870">
        <f>IM!C12</f>
        <v>0</v>
      </c>
      <c r="U110" s="2812"/>
      <c r="V110" s="2824"/>
      <c r="W110" s="2990"/>
      <c r="AI110" s="2812"/>
    </row>
    <row r="111" spans="1:50" ht="17.25" customHeight="1">
      <c r="J111" s="2823"/>
      <c r="K111" s="2896" t="s">
        <v>83</v>
      </c>
      <c r="O111" s="2839"/>
      <c r="P111" s="2832" t="s">
        <v>2621</v>
      </c>
      <c r="Q111" s="2897">
        <f>'A&amp;R'!N72</f>
        <v>2141.7860317670779</v>
      </c>
      <c r="R111" s="2897" t="s">
        <v>2623</v>
      </c>
      <c r="S111" s="2989">
        <f>'A&amp;R'!Q72</f>
        <v>-0.02</v>
      </c>
      <c r="T111" s="2870">
        <f>IM!C13</f>
        <v>742.28470000000004</v>
      </c>
      <c r="U111" s="2812"/>
      <c r="V111" s="2824"/>
      <c r="W111" s="2990"/>
      <c r="AI111" s="2812"/>
    </row>
    <row r="112" spans="1:50">
      <c r="J112" s="2823"/>
      <c r="K112" s="2896" t="s">
        <v>78</v>
      </c>
      <c r="O112" s="2839"/>
      <c r="P112" s="2832" t="s">
        <v>2621</v>
      </c>
      <c r="Q112" s="2897">
        <f>'A&amp;R'!N70</f>
        <v>90</v>
      </c>
      <c r="R112" s="2897" t="s">
        <v>2622</v>
      </c>
      <c r="S112" s="2989">
        <f>'A&amp;R'!Q70</f>
        <v>0.02</v>
      </c>
      <c r="T112" s="2870">
        <f>IM!C11</f>
        <v>31.191548553000004</v>
      </c>
      <c r="U112" s="2812"/>
      <c r="V112" s="2824"/>
      <c r="W112" s="2991"/>
      <c r="AI112" s="2812"/>
    </row>
    <row r="113" spans="10:35">
      <c r="J113" s="2823"/>
      <c r="K113" s="2896" t="s">
        <v>2514</v>
      </c>
      <c r="O113" s="2839"/>
      <c r="P113" s="2832" t="s">
        <v>2621</v>
      </c>
      <c r="Q113" s="2897">
        <v>0</v>
      </c>
      <c r="R113" s="2897" t="s">
        <v>2622</v>
      </c>
      <c r="S113" s="2989">
        <v>0</v>
      </c>
      <c r="T113" s="2870">
        <v>0</v>
      </c>
      <c r="U113" s="2812"/>
      <c r="V113" s="2824"/>
      <c r="W113" s="2991"/>
      <c r="AI113" s="2812"/>
    </row>
    <row r="114" spans="10:35">
      <c r="J114" s="2823"/>
      <c r="K114" s="2825" t="s">
        <v>658</v>
      </c>
      <c r="O114" s="2839"/>
      <c r="P114" s="2832"/>
      <c r="Q114" s="2897"/>
      <c r="R114" s="2897"/>
      <c r="S114" s="2989"/>
      <c r="T114" s="2870"/>
      <c r="U114" s="2812"/>
      <c r="V114" s="2824"/>
      <c r="W114" s="2991"/>
      <c r="AI114" s="2817"/>
    </row>
    <row r="115" spans="10:35">
      <c r="J115" s="2823"/>
      <c r="K115" s="2896" t="s">
        <v>1496</v>
      </c>
      <c r="O115" s="2839"/>
      <c r="P115" s="2832" t="s">
        <v>2621</v>
      </c>
      <c r="Q115" s="2897">
        <f>'A&amp;R'!N73</f>
        <v>595.11809003194378</v>
      </c>
      <c r="R115" s="2897" t="s">
        <v>1902</v>
      </c>
      <c r="S115" s="2989">
        <f>'A&amp;R'!Q73</f>
        <v>0.02</v>
      </c>
      <c r="T115" s="2870">
        <f>('IS(FY)'!N26+'IS(FY)'!O26)/1000</f>
        <v>206.25172000000003</v>
      </c>
      <c r="U115" s="2812"/>
      <c r="V115" s="2824"/>
      <c r="W115" s="2820"/>
      <c r="AI115" s="2817"/>
    </row>
    <row r="116" spans="10:35">
      <c r="J116" s="2823"/>
      <c r="K116" s="2896" t="s">
        <v>2624</v>
      </c>
      <c r="O116" s="2839"/>
      <c r="P116" s="2832" t="s">
        <v>2621</v>
      </c>
      <c r="Q116" s="2897">
        <f>'A&amp;R'!N74</f>
        <v>372.34348529589016</v>
      </c>
      <c r="R116" s="2897" t="s">
        <v>2625</v>
      </c>
      <c r="S116" s="2989">
        <f>'A&amp;R'!Q74</f>
        <v>0.02</v>
      </c>
      <c r="T116" s="2870">
        <f>('IS(FY)'!N27+'IS(FY)'!O27)/1000</f>
        <v>129.04410999999999</v>
      </c>
      <c r="U116" s="2812"/>
      <c r="V116" s="2824"/>
      <c r="W116" s="2820"/>
    </row>
    <row r="117" spans="10:35">
      <c r="J117" s="2823"/>
      <c r="K117" s="2896" t="s">
        <v>1497</v>
      </c>
      <c r="O117" s="2839"/>
      <c r="P117" s="2832" t="s">
        <v>2621</v>
      </c>
      <c r="Q117" s="2897">
        <f>'A&amp;R'!N75</f>
        <v>1137.4068119675892</v>
      </c>
      <c r="R117" s="2897" t="s">
        <v>2626</v>
      </c>
      <c r="S117" s="2989">
        <f>'A&amp;R'!Q75</f>
        <v>-1.4999999999999999E-2</v>
      </c>
      <c r="T117" s="2870">
        <f>('IS(FY)'!N28+'IS(FY)'!O28)/1000</f>
        <v>394.19422000000003</v>
      </c>
      <c r="U117" s="2812"/>
      <c r="V117" s="2824"/>
      <c r="W117" s="2820"/>
    </row>
    <row r="118" spans="10:35">
      <c r="J118" s="2823"/>
      <c r="K118" s="2896" t="s">
        <v>2627</v>
      </c>
      <c r="O118" s="2839"/>
      <c r="P118" s="2832" t="s">
        <v>2621</v>
      </c>
      <c r="Q118" s="2897">
        <v>0</v>
      </c>
      <c r="R118" s="2897" t="s">
        <v>2626</v>
      </c>
      <c r="S118" s="2989"/>
      <c r="T118" s="2870">
        <v>0</v>
      </c>
      <c r="U118" s="2812"/>
      <c r="V118" s="2824"/>
      <c r="W118" s="2820"/>
    </row>
    <row r="119" spans="10:35">
      <c r="J119" s="2823"/>
      <c r="K119" s="2896" t="s">
        <v>93</v>
      </c>
      <c r="O119" s="2839"/>
      <c r="P119" s="2832" t="s">
        <v>2621</v>
      </c>
      <c r="Q119" s="2897">
        <f>'A&amp;R'!N76</f>
        <v>0</v>
      </c>
      <c r="R119" s="2897" t="s">
        <v>2628</v>
      </c>
      <c r="S119" s="2989">
        <f>'A&amp;R'!Q76</f>
        <v>0.02</v>
      </c>
      <c r="T119" s="2870">
        <f>('IS(FY)'!N29+'IS(FY)'!O29)/1000</f>
        <v>0</v>
      </c>
      <c r="U119" s="2812"/>
      <c r="V119" s="2824"/>
      <c r="W119" s="2820"/>
    </row>
    <row r="120" spans="10:35" ht="17.25" customHeight="1">
      <c r="J120" s="2823"/>
      <c r="K120" s="2896" t="s">
        <v>2629</v>
      </c>
      <c r="O120" s="2839"/>
      <c r="P120" s="2832" t="s">
        <v>2621</v>
      </c>
      <c r="Q120" s="2897">
        <v>0</v>
      </c>
      <c r="R120" s="2897" t="s">
        <v>1900</v>
      </c>
      <c r="S120" s="2989">
        <v>0</v>
      </c>
      <c r="T120" s="2870">
        <v>0</v>
      </c>
      <c r="U120" s="2812"/>
      <c r="V120" s="2824"/>
      <c r="W120" s="2820"/>
      <c r="AA120" s="2992"/>
    </row>
    <row r="121" spans="10:35" ht="17.25" customHeight="1">
      <c r="J121" s="2823"/>
      <c r="K121" s="2896" t="s">
        <v>2630</v>
      </c>
      <c r="O121" s="2839"/>
      <c r="P121" s="2832" t="s">
        <v>2621</v>
      </c>
      <c r="Q121" s="2897">
        <v>0</v>
      </c>
      <c r="R121" s="2897" t="s">
        <v>2625</v>
      </c>
      <c r="S121" s="2989">
        <v>0</v>
      </c>
      <c r="T121" s="2870">
        <v>0</v>
      </c>
      <c r="U121" s="2812"/>
      <c r="V121" s="2824"/>
      <c r="W121" s="2820"/>
      <c r="AA121" s="2992"/>
    </row>
    <row r="122" spans="10:35" ht="17.25" customHeight="1">
      <c r="J122" s="2823"/>
      <c r="K122" s="2825" t="s">
        <v>2631</v>
      </c>
      <c r="O122" s="2839"/>
      <c r="P122" s="2832"/>
      <c r="Q122" s="2870"/>
      <c r="R122" s="2870"/>
      <c r="S122" s="2989"/>
      <c r="T122" s="2870"/>
      <c r="U122" s="2812"/>
      <c r="V122" s="2824"/>
      <c r="W122" s="2820"/>
      <c r="AA122" s="2992"/>
    </row>
    <row r="123" spans="10:35" ht="17.25" customHeight="1">
      <c r="J123" s="2823"/>
      <c r="K123" s="2896" t="s">
        <v>2632</v>
      </c>
      <c r="O123" s="2839"/>
      <c r="P123" s="2832" t="s">
        <v>2621</v>
      </c>
      <c r="Q123" s="2870">
        <v>0</v>
      </c>
      <c r="R123" s="2897" t="s">
        <v>2623</v>
      </c>
      <c r="S123" s="2989">
        <v>0</v>
      </c>
      <c r="T123" s="2870">
        <v>0</v>
      </c>
      <c r="U123" s="2812"/>
      <c r="V123" s="2824"/>
      <c r="W123" s="2820"/>
      <c r="X123" s="2993"/>
      <c r="Y123" s="2993"/>
      <c r="Z123" s="2993"/>
      <c r="AA123" s="2992"/>
    </row>
    <row r="124" spans="10:35" ht="17.25" customHeight="1">
      <c r="J124" s="2823"/>
      <c r="K124" s="2896" t="s">
        <v>2633</v>
      </c>
      <c r="O124" s="2839"/>
      <c r="P124" s="2832" t="s">
        <v>2621</v>
      </c>
      <c r="Q124" s="3008">
        <f>'A&amp;R'!N77</f>
        <v>64.447811265486436</v>
      </c>
      <c r="R124" s="2870"/>
      <c r="S124" s="2989">
        <f>'A&amp;R'!Q77</f>
        <v>0</v>
      </c>
      <c r="T124" s="2870">
        <f>('IS(FY)'!N30+'IS(FY)'!O30)/1000</f>
        <v>20.894832972200003</v>
      </c>
      <c r="U124" s="2812"/>
      <c r="V124" s="2824"/>
      <c r="W124" s="2820"/>
      <c r="X124" s="2993"/>
      <c r="Y124" s="2993"/>
      <c r="Z124" s="2993"/>
      <c r="AA124" s="2992"/>
    </row>
    <row r="125" spans="10:35">
      <c r="J125" s="2823"/>
      <c r="K125" s="2896" t="s">
        <v>2634</v>
      </c>
      <c r="O125" s="2839"/>
      <c r="P125" s="2832" t="s">
        <v>2635</v>
      </c>
      <c r="Q125" s="3009">
        <f>'A&amp;R'!U68</f>
        <v>0.5</v>
      </c>
      <c r="R125" s="2870" t="s">
        <v>2636</v>
      </c>
      <c r="S125" s="3010">
        <f>'A&amp;R'!U69</f>
        <v>2</v>
      </c>
      <c r="T125" s="2870">
        <f>IM!C15</f>
        <v>10.87337</v>
      </c>
      <c r="U125" s="2812"/>
      <c r="V125" s="2824"/>
      <c r="W125" s="2820"/>
      <c r="X125" s="2994"/>
      <c r="Y125" s="2994"/>
      <c r="Z125" s="2994"/>
    </row>
    <row r="126" spans="10:35">
      <c r="J126" s="2823"/>
      <c r="K126" s="2825"/>
      <c r="O126" s="2839"/>
      <c r="P126" s="2832"/>
      <c r="Q126" s="2831"/>
      <c r="R126" s="2870"/>
      <c r="S126" s="2989"/>
      <c r="T126" s="2870"/>
      <c r="U126" s="2812"/>
      <c r="V126" s="2824"/>
      <c r="W126" s="2820"/>
      <c r="X126" s="2994"/>
      <c r="Y126" s="2994"/>
      <c r="Z126" s="2994"/>
    </row>
    <row r="127" spans="10:35">
      <c r="J127" s="2823"/>
      <c r="K127" s="2896" t="s">
        <v>2637</v>
      </c>
      <c r="O127" s="2839"/>
      <c r="P127" s="2832" t="s">
        <v>2621</v>
      </c>
      <c r="Q127" s="2870">
        <v>0</v>
      </c>
      <c r="R127" s="2897" t="s">
        <v>2622</v>
      </c>
      <c r="S127" s="2989"/>
      <c r="T127" s="2870">
        <v>0</v>
      </c>
      <c r="U127" s="2812"/>
      <c r="V127" s="2824"/>
      <c r="W127" s="2820"/>
      <c r="X127" s="2994"/>
      <c r="Y127" s="2994"/>
      <c r="Z127" s="2994"/>
    </row>
    <row r="128" spans="10:35">
      <c r="J128" s="2823"/>
      <c r="K128" s="2825" t="s">
        <v>2638</v>
      </c>
      <c r="O128" s="2839"/>
      <c r="P128" s="2832"/>
      <c r="Q128" s="2832"/>
      <c r="R128" s="2870"/>
      <c r="S128" s="2989"/>
      <c r="T128" s="2870"/>
      <c r="U128" s="2812"/>
      <c r="V128" s="2824"/>
      <c r="W128" s="2820"/>
    </row>
    <row r="129" spans="10:23">
      <c r="J129" s="2823"/>
      <c r="K129" s="2896" t="s">
        <v>190</v>
      </c>
      <c r="O129" s="2839"/>
      <c r="P129" s="2832" t="s">
        <v>2639</v>
      </c>
      <c r="Q129" s="3011">
        <f>'A&amp;R'!P82</f>
        <v>2.2300000000000002E-3</v>
      </c>
      <c r="R129" s="2897" t="s">
        <v>2640</v>
      </c>
      <c r="S129" s="2840"/>
      <c r="T129" s="2870">
        <f>'A&amp;R'!R82/1000</f>
        <v>666.54700000000014</v>
      </c>
      <c r="U129" s="2812"/>
      <c r="V129" s="2824"/>
      <c r="W129" s="2820"/>
    </row>
    <row r="130" spans="10:23">
      <c r="J130" s="2823"/>
      <c r="K130" s="2896" t="s">
        <v>192</v>
      </c>
      <c r="O130" s="2839"/>
      <c r="P130" s="2832" t="s">
        <v>2639</v>
      </c>
      <c r="Q130" s="3012">
        <f>'A&amp;R'!P84</f>
        <v>8.7102177554438865E-5</v>
      </c>
      <c r="R130" s="2897" t="s">
        <v>2640</v>
      </c>
      <c r="S130" s="2840"/>
      <c r="T130" s="2870">
        <f>'A&amp;R'!R84/1000</f>
        <v>26.034840871021778</v>
      </c>
      <c r="U130" s="2812"/>
      <c r="V130" s="2824"/>
      <c r="W130" s="2820"/>
    </row>
    <row r="131" spans="10:23">
      <c r="J131" s="2823"/>
      <c r="K131" s="2896" t="s">
        <v>191</v>
      </c>
      <c r="O131" s="2839"/>
      <c r="P131" s="2832" t="s">
        <v>2641</v>
      </c>
      <c r="Q131" s="3006">
        <f>'A&amp;R'!Q83</f>
        <v>1000</v>
      </c>
      <c r="R131" s="2897" t="s">
        <v>2640</v>
      </c>
      <c r="S131" s="2840"/>
      <c r="T131" s="2870">
        <f>'A&amp;R'!R83/1000</f>
        <v>12</v>
      </c>
      <c r="U131" s="2812"/>
      <c r="V131" s="2824"/>
      <c r="W131" s="2820"/>
    </row>
    <row r="132" spans="10:23">
      <c r="J132" s="2823"/>
      <c r="K132" s="2896" t="s">
        <v>2642</v>
      </c>
      <c r="O132" s="2839"/>
      <c r="P132" s="2832" t="s">
        <v>526</v>
      </c>
      <c r="Q132" s="2918" t="s">
        <v>1248</v>
      </c>
      <c r="R132" s="2897" t="s">
        <v>2640</v>
      </c>
      <c r="S132" s="2840"/>
      <c r="T132" s="2870">
        <f>('A&amp;R'!R80+'A&amp;R'!R81)/1000</f>
        <v>96</v>
      </c>
      <c r="U132" s="2812"/>
      <c r="V132" s="2824"/>
      <c r="W132" s="2820"/>
    </row>
    <row r="133" spans="10:23">
      <c r="J133" s="2823"/>
      <c r="K133" s="2825" t="s">
        <v>2643</v>
      </c>
      <c r="O133" s="2839"/>
      <c r="P133" s="2832"/>
      <c r="Q133" s="2918"/>
      <c r="R133" s="2897"/>
      <c r="S133" s="2840"/>
      <c r="T133" s="2870"/>
      <c r="U133" s="2812"/>
      <c r="V133" s="2824"/>
      <c r="W133" s="2820"/>
    </row>
    <row r="134" spans="10:23">
      <c r="J134" s="2823"/>
      <c r="K134" s="2896" t="s">
        <v>2644</v>
      </c>
      <c r="O134" s="2839"/>
      <c r="P134" s="2832" t="s">
        <v>1570</v>
      </c>
      <c r="Q134" s="2918">
        <f>'A&amp;R'!Q38</f>
        <v>4.4999999999999998E-2</v>
      </c>
      <c r="R134" s="2897" t="s">
        <v>2645</v>
      </c>
      <c r="S134" s="2840"/>
      <c r="T134" s="2870">
        <f>-'CF(Y)'!M42/1000</f>
        <v>144.63753334348496</v>
      </c>
      <c r="U134" s="2812"/>
      <c r="V134" s="2824"/>
      <c r="W134" s="2820"/>
    </row>
    <row r="135" spans="10:23">
      <c r="J135" s="2823"/>
      <c r="K135" s="2896" t="s">
        <v>2646</v>
      </c>
      <c r="O135" s="2839"/>
      <c r="P135" s="2832" t="s">
        <v>1570</v>
      </c>
      <c r="Q135" s="2918">
        <f>'A&amp;R'!Q32</f>
        <v>4.7750000000000001E-2</v>
      </c>
      <c r="R135" s="2897" t="s">
        <v>2645</v>
      </c>
      <c r="S135" s="2840"/>
      <c r="T135" s="2870">
        <f>-'CF(Y)'!M36/1000</f>
        <v>7640</v>
      </c>
      <c r="U135" s="2812"/>
      <c r="V135" s="2824"/>
      <c r="W135" s="2820"/>
    </row>
    <row r="136" spans="10:23">
      <c r="J136" s="2823"/>
      <c r="K136" s="2896" t="s">
        <v>2647</v>
      </c>
      <c r="O136" s="2839"/>
      <c r="P136" s="2832" t="s">
        <v>1570</v>
      </c>
      <c r="Q136" s="2918">
        <f>'A&amp;R'!Q35</f>
        <v>0.06</v>
      </c>
      <c r="R136" s="2897" t="s">
        <v>2645</v>
      </c>
      <c r="S136" s="2840"/>
      <c r="T136" s="2870">
        <f>-'CF(Y)'!M39/1000</f>
        <v>2280</v>
      </c>
      <c r="U136" s="2812"/>
      <c r="V136" s="2824"/>
      <c r="W136" s="2820"/>
    </row>
    <row r="137" spans="10:23">
      <c r="J137" s="2823"/>
      <c r="K137" s="2896" t="s">
        <v>2648</v>
      </c>
      <c r="O137" s="2839"/>
      <c r="P137" s="2832" t="s">
        <v>1570</v>
      </c>
      <c r="Q137" s="2918">
        <v>0</v>
      </c>
      <c r="R137" s="2870"/>
      <c r="S137" s="2840"/>
      <c r="T137" s="2870">
        <v>0</v>
      </c>
      <c r="U137" s="2812"/>
      <c r="V137" s="2824"/>
      <c r="W137" s="2820"/>
    </row>
    <row r="138" spans="10:23">
      <c r="J138" s="2823"/>
      <c r="K138" s="2995" t="s">
        <v>1213</v>
      </c>
      <c r="L138" s="2808"/>
      <c r="M138" s="2808"/>
      <c r="N138" s="2808"/>
      <c r="O138" s="2978"/>
      <c r="P138" s="2979" t="s">
        <v>2649</v>
      </c>
      <c r="Q138" s="2979"/>
      <c r="R138" s="2907" t="s">
        <v>1248</v>
      </c>
      <c r="S138" s="2996"/>
      <c r="T138" s="2908">
        <f>('IS(FY)'!N20+'IS(FY)'!O20)/1000</f>
        <v>3417.6869999999999</v>
      </c>
      <c r="U138" s="2812"/>
      <c r="V138" s="2824"/>
      <c r="W138" s="2820"/>
    </row>
    <row r="139" spans="10:23">
      <c r="J139" s="2823"/>
      <c r="K139" s="2997" t="s">
        <v>2650</v>
      </c>
      <c r="L139" s="2998"/>
      <c r="M139" s="2998"/>
      <c r="N139" s="2998"/>
      <c r="O139" s="2998"/>
      <c r="P139" s="2998"/>
      <c r="Q139" s="2998"/>
      <c r="R139" s="2998"/>
      <c r="S139" s="2998"/>
      <c r="T139" s="2999">
        <f>SUM(T108:T127)</f>
        <v>2231.7352375298001</v>
      </c>
      <c r="U139" s="2812"/>
      <c r="V139" s="2824"/>
      <c r="W139" s="2820"/>
    </row>
    <row r="140" spans="10:23">
      <c r="J140" s="2954"/>
      <c r="K140" s="2997" t="s">
        <v>2651</v>
      </c>
      <c r="L140" s="2998"/>
      <c r="M140" s="2998"/>
      <c r="N140" s="2998"/>
      <c r="O140" s="2998"/>
      <c r="P140" s="2998"/>
      <c r="Q140" s="2998"/>
      <c r="R140" s="2998"/>
      <c r="S140" s="2998"/>
      <c r="T140" s="2999">
        <f>SUM(T129:T132)</f>
        <v>800.58184087102188</v>
      </c>
      <c r="U140" s="2812"/>
      <c r="V140" s="2824"/>
      <c r="W140" s="2820"/>
    </row>
    <row r="141" spans="10:23">
      <c r="J141" s="2954"/>
      <c r="K141" s="2997" t="s">
        <v>2652</v>
      </c>
      <c r="L141" s="2998"/>
      <c r="M141" s="2998"/>
      <c r="N141" s="2998"/>
      <c r="O141" s="2998"/>
      <c r="P141" s="2998"/>
      <c r="Q141" s="2998"/>
      <c r="R141" s="2998"/>
      <c r="S141" s="2998"/>
      <c r="T141" s="2999">
        <f>SUM(T134:T137)</f>
        <v>10064.637533343484</v>
      </c>
      <c r="U141" s="2817"/>
      <c r="V141" s="2824"/>
      <c r="W141" s="2820"/>
    </row>
    <row r="142" spans="10:23" ht="14.25" customHeight="1" thickBot="1">
      <c r="J142" s="2986"/>
      <c r="K142" s="2914"/>
      <c r="L142" s="2914"/>
      <c r="M142" s="2914"/>
      <c r="N142" s="2914"/>
      <c r="O142" s="2914"/>
      <c r="P142" s="2914"/>
      <c r="Q142" s="2914"/>
      <c r="R142" s="3000"/>
      <c r="S142" s="2914"/>
      <c r="T142" s="2914"/>
      <c r="U142" s="2967"/>
      <c r="V142" s="2860"/>
      <c r="W142" s="2820"/>
    </row>
    <row r="143" spans="10:23">
      <c r="V143" s="2862"/>
    </row>
  </sheetData>
  <mergeCells count="11">
    <mergeCell ref="P88:Q88"/>
    <mergeCell ref="K106:N106"/>
    <mergeCell ref="K67:L67"/>
    <mergeCell ref="M88:N88"/>
    <mergeCell ref="Y25:Z25"/>
    <mergeCell ref="K88:L88"/>
    <mergeCell ref="K13:L13"/>
    <mergeCell ref="Y13:Z13"/>
    <mergeCell ref="M48:N48"/>
    <mergeCell ref="K48:L48"/>
    <mergeCell ref="Y54:Z54"/>
  </mergeCells>
  <phoneticPr fontId="2" type="noConversion"/>
  <printOptions horizontalCentered="1"/>
  <pageMargins left="0.11811023622047249" right="0.11811023622047249" top="0.35433070866141742" bottom="0.35433070866141742" header="0.31496062992125978" footer="0.31496062992125978"/>
  <pageSetup paperSize="8" scale="35" orientation="landscape"/>
  <rowBreaks count="1" manualBreakCount="1">
    <brk id="105" max="37" man="1"/>
  </rowBreaks>
  <colBreaks count="1" manualBreakCount="1">
    <brk id="50" max="1048575" man="1"/>
  </colBreaks>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17095-D1BB-41C0-BAEE-D3DD080052EA}">
  <sheetPr codeName="Sheet1">
    <tabColor theme="4"/>
  </sheetPr>
  <dimension ref="A1:BN139"/>
  <sheetViews>
    <sheetView showGridLines="0" tabSelected="1" topLeftCell="E6" zoomScale="85" zoomScaleNormal="85" workbookViewId="0">
      <selection activeCell="E11" sqref="E11"/>
    </sheetView>
  </sheetViews>
  <sheetFormatPr defaultColWidth="9" defaultRowHeight="11.25" customHeight="1"/>
  <cols>
    <col min="1" max="1" width="2.125" style="1302" customWidth="1"/>
    <col min="2" max="2" width="1.75" style="259" customWidth="1"/>
    <col min="3" max="3" width="15.875" style="259" customWidth="1"/>
    <col min="4" max="4" width="10.25" style="259" bestFit="1" customWidth="1"/>
    <col min="5" max="5" width="9.75" style="259" bestFit="1" customWidth="1"/>
    <col min="6" max="7" width="10.25" style="259" bestFit="1" customWidth="1"/>
    <col min="8" max="8" width="13.375" style="259" bestFit="1" customWidth="1"/>
    <col min="9" max="9" width="10.25" style="259" bestFit="1" customWidth="1"/>
    <col min="10" max="10" width="10" style="259" bestFit="1" customWidth="1"/>
    <col min="11" max="11" width="11.25" style="259" bestFit="1" customWidth="1"/>
    <col min="12" max="12" width="12.125" style="259" customWidth="1"/>
    <col min="13" max="21" width="11.625" style="259" customWidth="1"/>
    <col min="22" max="22" width="15.5" style="259" customWidth="1"/>
    <col min="23" max="23" width="9.75" style="259" bestFit="1" customWidth="1"/>
    <col min="24" max="24" width="11.625" style="259" customWidth="1"/>
    <col min="25" max="36" width="11" style="259" customWidth="1"/>
    <col min="37" max="38" width="10.625" style="259" bestFit="1" customWidth="1"/>
    <col min="39" max="39" width="9" style="259"/>
    <col min="40" max="40" width="11.375" style="259" bestFit="1" customWidth="1"/>
    <col min="41" max="66" width="11" style="259" customWidth="1"/>
    <col min="67" max="16384" width="9" style="259"/>
  </cols>
  <sheetData>
    <row r="1" spans="1:59" s="258" customFormat="1" ht="11.25" customHeight="1">
      <c r="A1" s="1300" t="s">
        <v>250</v>
      </c>
    </row>
    <row r="2" spans="1:59" s="4" customFormat="1" ht="11.25" customHeight="1">
      <c r="A2" s="1301" t="s">
        <v>251</v>
      </c>
      <c r="P2" s="2703">
        <f>P8/U28-1</f>
        <v>-0.19282511210762332</v>
      </c>
      <c r="Y2" s="2674">
        <v>20874.59</v>
      </c>
      <c r="Z2" s="2675">
        <f>Y23-Y2</f>
        <v>15.489999999997963</v>
      </c>
      <c r="AE2" s="2488">
        <f>AE3-T14</f>
        <v>5105114.818</v>
      </c>
      <c r="AG2" s="4" t="s">
        <v>1034</v>
      </c>
      <c r="AH2" s="1676">
        <f>AH3+7</f>
        <v>86.965424258786953</v>
      </c>
      <c r="AI2" s="1677">
        <f>AH2/12</f>
        <v>7.2471186882322458</v>
      </c>
    </row>
    <row r="3" spans="1:59" ht="11.25" customHeight="1">
      <c r="O3" s="783"/>
      <c r="P3" s="1623"/>
      <c r="AE3" s="2487">
        <f>AE23/1000</f>
        <v>7205114.818</v>
      </c>
      <c r="AG3" s="259" t="s">
        <v>1035</v>
      </c>
      <c r="AH3" s="1105">
        <f>(SUMPRODUCT(Y9:Y19,AH9:AH19)+SUMPRODUCT(Y21:Y22,AH21:AH22))/Y23</f>
        <v>79.965424258786953</v>
      </c>
      <c r="AI3" s="1675">
        <f>AH3/12</f>
        <v>6.6637853548989128</v>
      </c>
    </row>
    <row r="4" spans="1:59" ht="11.25" customHeight="1">
      <c r="B4" s="6" t="s">
        <v>20</v>
      </c>
      <c r="C4" s="7"/>
      <c r="D4" s="8"/>
      <c r="E4" s="7"/>
      <c r="F4" s="7"/>
      <c r="G4" s="7"/>
      <c r="H4" s="7"/>
      <c r="I4" s="7"/>
      <c r="J4" s="7"/>
      <c r="K4" s="9"/>
      <c r="L4" s="6" t="s">
        <v>21</v>
      </c>
      <c r="M4" s="7"/>
      <c r="N4" s="1668" t="s">
        <v>1033</v>
      </c>
      <c r="O4" s="1622">
        <f>Y54/(P8-T14-P45)</f>
        <v>4.8918868912827713E-2</v>
      </c>
      <c r="P4" s="1745">
        <f>Y54/(P8-T14)</f>
        <v>4.8918868912827713E-2</v>
      </c>
      <c r="Q4" s="1746">
        <f>O5/U28-1</f>
        <v>-0.19282511210762332</v>
      </c>
      <c r="R4" s="1747"/>
      <c r="S4" s="1747"/>
      <c r="T4" s="7"/>
      <c r="U4" s="34"/>
      <c r="V4" s="6" t="s">
        <v>22</v>
      </c>
      <c r="W4" s="61"/>
      <c r="X4" s="61"/>
      <c r="Y4" s="61"/>
      <c r="Z4" s="61"/>
      <c r="AA4" s="61"/>
      <c r="AB4" s="61"/>
      <c r="AC4" s="61"/>
      <c r="AD4" s="61"/>
      <c r="AE4" s="61"/>
      <c r="AF4" s="61"/>
      <c r="AG4" s="685"/>
    </row>
    <row r="5" spans="1:59" ht="11.25" customHeight="1" thickBot="1">
      <c r="B5" s="12" t="s">
        <v>23</v>
      </c>
      <c r="C5" s="5"/>
      <c r="D5" s="5"/>
      <c r="E5" s="5"/>
      <c r="F5" s="5"/>
      <c r="G5" s="5"/>
      <c r="H5" s="5"/>
      <c r="I5" s="5"/>
      <c r="J5" s="5"/>
      <c r="K5" s="1013" t="b">
        <f>TIC!K38</f>
        <v>1</v>
      </c>
      <c r="L5" s="14" t="s">
        <v>24</v>
      </c>
      <c r="M5" s="15"/>
      <c r="N5" s="854" t="s">
        <v>38</v>
      </c>
      <c r="O5" s="855">
        <v>270000000</v>
      </c>
      <c r="P5" s="1131" t="s">
        <v>25</v>
      </c>
      <c r="Q5" s="1132" t="s">
        <v>26</v>
      </c>
      <c r="R5" s="16" t="s">
        <v>27</v>
      </c>
      <c r="S5" s="17"/>
      <c r="T5" s="18" t="s">
        <v>25</v>
      </c>
      <c r="U5" s="63" t="s">
        <v>28</v>
      </c>
      <c r="V5" s="19" t="s">
        <v>24</v>
      </c>
      <c r="W5" s="20" t="s">
        <v>427</v>
      </c>
      <c r="X5" s="20" t="s">
        <v>390</v>
      </c>
      <c r="Y5" s="1649" t="s">
        <v>29</v>
      </c>
      <c r="Z5" s="16" t="s">
        <v>30</v>
      </c>
      <c r="AA5" s="16" t="s">
        <v>31</v>
      </c>
      <c r="AB5" s="16" t="s">
        <v>32</v>
      </c>
      <c r="AC5" s="16" t="s">
        <v>33</v>
      </c>
      <c r="AD5" s="16" t="s">
        <v>34</v>
      </c>
      <c r="AE5" s="16" t="s">
        <v>35</v>
      </c>
      <c r="AF5" s="16" t="s">
        <v>36</v>
      </c>
      <c r="AG5" s="686" t="s">
        <v>446</v>
      </c>
    </row>
    <row r="6" spans="1:59" ht="11.25" customHeight="1" thickBot="1">
      <c r="B6" s="12" t="s">
        <v>37</v>
      </c>
      <c r="C6" s="5"/>
      <c r="D6" s="5"/>
      <c r="E6" s="5"/>
      <c r="F6" s="5"/>
      <c r="G6" s="5"/>
      <c r="H6" s="5"/>
      <c r="I6" s="5"/>
      <c r="J6" s="5"/>
      <c r="K6" s="259" t="b">
        <f>T13=T23</f>
        <v>1</v>
      </c>
      <c r="L6" s="3049" t="s">
        <v>38</v>
      </c>
      <c r="M6" s="21" t="s">
        <v>39</v>
      </c>
      <c r="N6" s="964" t="s">
        <v>552</v>
      </c>
      <c r="O6" s="965">
        <f>Y55</f>
        <v>4.8918868912827713E-2</v>
      </c>
      <c r="P6" s="1133">
        <f>TIC!J16</f>
        <v>142236000</v>
      </c>
      <c r="Q6" s="1134">
        <f>IFERROR(P6/$P$28,)</f>
        <v>0.49233644859813086</v>
      </c>
      <c r="R6" s="5" t="s">
        <v>38</v>
      </c>
      <c r="S6" s="22"/>
      <c r="T6" s="13">
        <f>P8</f>
        <v>270000000</v>
      </c>
      <c r="U6" s="81">
        <f t="shared" ref="U6:U12" si="0">IFERROR(T6/$T$13,)</f>
        <v>0.90331214452994313</v>
      </c>
      <c r="V6" s="1610" t="s">
        <v>849</v>
      </c>
      <c r="W6" s="1611"/>
      <c r="X6" s="1611" t="s">
        <v>851</v>
      </c>
      <c r="Y6" s="1650">
        <v>0</v>
      </c>
      <c r="Z6" s="1612">
        <f>D37</f>
        <v>46326</v>
      </c>
      <c r="AA6" s="1612">
        <f>E37</f>
        <v>49979</v>
      </c>
      <c r="AB6" s="1613">
        <f>DATEDIF(Z6-1,AA6+1,"m")</f>
        <v>120</v>
      </c>
      <c r="AC6" s="1821">
        <v>15000000</v>
      </c>
      <c r="AD6" s="1614"/>
      <c r="AE6" s="1614"/>
      <c r="AF6" s="1615">
        <v>2.5000000000000001E-2</v>
      </c>
      <c r="AG6" s="1616">
        <v>0</v>
      </c>
      <c r="AH6" s="783">
        <f t="shared" ref="AH6:AH22" si="1">DATEDIF($K$12-1,$AA6+1,"m")</f>
        <v>120</v>
      </c>
      <c r="AT6" s="1103" t="s">
        <v>631</v>
      </c>
      <c r="AU6" s="1103" t="s">
        <v>632</v>
      </c>
      <c r="AV6" s="1103" t="s">
        <v>619</v>
      </c>
      <c r="AW6" s="1102"/>
      <c r="AX6" s="1099"/>
      <c r="AY6" s="1102"/>
      <c r="AZ6" s="1099"/>
      <c r="BA6" s="1102"/>
      <c r="BB6" s="1099"/>
      <c r="BC6" s="1102"/>
      <c r="BD6" s="1099"/>
      <c r="BE6" s="1102"/>
      <c r="BF6" s="1103" t="s">
        <v>633</v>
      </c>
      <c r="BG6" s="1103" t="s">
        <v>264</v>
      </c>
    </row>
    <row r="7" spans="1:59" ht="11.25" customHeight="1">
      <c r="B7" s="12" t="s">
        <v>40</v>
      </c>
      <c r="C7" s="5"/>
      <c r="D7" s="5"/>
      <c r="E7" s="5"/>
      <c r="F7" s="5"/>
      <c r="G7" s="5"/>
      <c r="H7" s="5"/>
      <c r="I7" s="5"/>
      <c r="J7" s="5"/>
      <c r="K7" s="259" t="b">
        <f ca="1">'CF(M)'!J120&lt;1</f>
        <v>1</v>
      </c>
      <c r="L7" s="3050"/>
      <c r="M7" s="5" t="s">
        <v>41</v>
      </c>
      <c r="N7" s="691"/>
      <c r="O7" s="27">
        <f>P8/K31</f>
        <v>9348.686215579186</v>
      </c>
      <c r="P7" s="1135">
        <f>TIC!J17</f>
        <v>127763999.99999999</v>
      </c>
      <c r="Q7" s="1136">
        <f t="shared" ref="Q7:Q26" si="2">IFERROR(P7/$P$28,)</f>
        <v>0.44224299065420558</v>
      </c>
      <c r="R7" s="5" t="s">
        <v>42</v>
      </c>
      <c r="S7" s="22"/>
      <c r="T7" s="13">
        <f>P10</f>
        <v>1350000</v>
      </c>
      <c r="U7" s="81">
        <f t="shared" si="0"/>
        <v>4.5165607226497154E-3</v>
      </c>
      <c r="V7" s="684">
        <f>'A&amp;R'!L49</f>
        <v>8</v>
      </c>
      <c r="W7" s="689" t="s">
        <v>334</v>
      </c>
      <c r="X7" s="689" t="s">
        <v>433</v>
      </c>
      <c r="Y7" s="2065">
        <f>SUM('Rentroll(개시시점 기준)'!I39:I48)</f>
        <v>78.09</v>
      </c>
      <c r="Z7" s="24">
        <f>'A&amp;R'!$D$37</f>
        <v>46326</v>
      </c>
      <c r="AA7" s="24">
        <f>AA10</f>
        <v>49064</v>
      </c>
      <c r="AB7" s="680">
        <f t="shared" ref="AB7:AB22" si="3">DATEDIF(Z7-1,AA7+1,"m")</f>
        <v>90</v>
      </c>
      <c r="AC7" s="869">
        <v>38300</v>
      </c>
      <c r="AD7" s="869">
        <v>2600</v>
      </c>
      <c r="AE7" s="869">
        <v>229800</v>
      </c>
      <c r="AF7" s="25">
        <v>2.5000000000000001E-2</v>
      </c>
      <c r="AG7" s="1200">
        <f>'Rent-roll'!K90</f>
        <v>0</v>
      </c>
      <c r="AH7" s="259">
        <f t="shared" si="1"/>
        <v>90</v>
      </c>
      <c r="AT7" s="1104"/>
      <c r="AU7" s="1104"/>
      <c r="AV7" s="1104"/>
      <c r="AW7" s="1100" t="s">
        <v>634</v>
      </c>
      <c r="AX7" s="1100" t="s">
        <v>635</v>
      </c>
      <c r="AY7" s="1100" t="s">
        <v>636</v>
      </c>
      <c r="AZ7" s="1100" t="s">
        <v>635</v>
      </c>
      <c r="BA7" s="1100" t="s">
        <v>636</v>
      </c>
      <c r="BB7" s="1100" t="s">
        <v>635</v>
      </c>
      <c r="BC7" s="1100" t="s">
        <v>636</v>
      </c>
      <c r="BD7" s="1100" t="s">
        <v>637</v>
      </c>
      <c r="BE7" s="1100" t="s">
        <v>638</v>
      </c>
      <c r="BF7" s="1104"/>
      <c r="BG7" s="1104"/>
    </row>
    <row r="8" spans="1:59" ht="11.25" customHeight="1">
      <c r="B8" s="12" t="s">
        <v>43</v>
      </c>
      <c r="C8" s="5"/>
      <c r="D8" s="5"/>
      <c r="E8" s="5"/>
      <c r="F8" s="5"/>
      <c r="G8" s="5"/>
      <c r="H8" s="5"/>
      <c r="I8" s="5"/>
      <c r="J8" s="5"/>
      <c r="K8" s="259" t="b">
        <f ca="1">ABS('CF(M)'!J14+'CF(M)'!J54-'IS(M)'!K57)&lt;1</f>
        <v>1</v>
      </c>
      <c r="L8" s="3051"/>
      <c r="M8" s="29" t="s">
        <v>44</v>
      </c>
      <c r="N8" s="1043"/>
      <c r="O8" s="1043">
        <f>P8/$K$31</f>
        <v>9348.686215579186</v>
      </c>
      <c r="P8" s="1137">
        <f>SUM(P6:P7)</f>
        <v>270000000</v>
      </c>
      <c r="Q8" s="1138">
        <f>SUM(Q6:Q7)</f>
        <v>0.93457943925233644</v>
      </c>
      <c r="R8" s="5" t="s">
        <v>45</v>
      </c>
      <c r="S8" s="22"/>
      <c r="T8" s="13">
        <f>P17</f>
        <v>346315.1</v>
      </c>
      <c r="U8" s="81">
        <f t="shared" si="0"/>
        <v>1.1586319839411174E-3</v>
      </c>
      <c r="V8" s="684">
        <v>8</v>
      </c>
      <c r="W8" s="689" t="s">
        <v>334</v>
      </c>
      <c r="X8" s="689" t="s">
        <v>435</v>
      </c>
      <c r="Y8" s="2065">
        <f>'Rentroll(개시시점 기준)'!I60</f>
        <v>63.86</v>
      </c>
      <c r="Z8" s="24">
        <f>'A&amp;R'!$D$37</f>
        <v>46326</v>
      </c>
      <c r="AA8" s="24">
        <f>AA10</f>
        <v>49064</v>
      </c>
      <c r="AB8" s="680">
        <f t="shared" si="3"/>
        <v>90</v>
      </c>
      <c r="AC8" s="869">
        <v>38300</v>
      </c>
      <c r="AD8" s="869">
        <v>2600</v>
      </c>
      <c r="AE8" s="869">
        <v>229800</v>
      </c>
      <c r="AF8" s="25">
        <v>2.5000000000000001E-2</v>
      </c>
      <c r="AG8" s="1200">
        <f>'Rent-roll'!K91</f>
        <v>0</v>
      </c>
      <c r="AH8" s="259">
        <f t="shared" si="1"/>
        <v>90</v>
      </c>
      <c r="AT8" s="1106">
        <f t="shared" ref="AT8:AT23" si="4">V7</f>
        <v>8</v>
      </c>
      <c r="AU8" s="1112" t="str">
        <f t="shared" ref="AU8:AU23" si="5">W7</f>
        <v>쿠팡</v>
      </c>
      <c r="AV8" s="1113" t="str">
        <f t="shared" ref="AV8:AV23" si="6">X7</f>
        <v>근린생활시설</v>
      </c>
      <c r="AW8" s="2066">
        <f t="shared" ref="AW8:AW23" si="7">Y7</f>
        <v>78.09</v>
      </c>
      <c r="AX8" s="2067">
        <f t="shared" ref="AX8:AX23" si="8">AE7</f>
        <v>229800</v>
      </c>
      <c r="AY8" s="2068">
        <f>AX8*AW8</f>
        <v>17945082</v>
      </c>
      <c r="AZ8" s="2067">
        <f t="shared" ref="AZ8:AZ23" si="9">AC7</f>
        <v>38300</v>
      </c>
      <c r="BA8" s="2068">
        <f>AZ8*AW8</f>
        <v>2990847</v>
      </c>
      <c r="BB8" s="2067">
        <f t="shared" ref="BB8:BB23" si="10">AD7</f>
        <v>2600</v>
      </c>
      <c r="BC8" s="2068">
        <f>BB8*AW8</f>
        <v>203034</v>
      </c>
      <c r="BD8" s="2069">
        <f t="shared" ref="BD8:BD23" si="11">Z7</f>
        <v>46326</v>
      </c>
      <c r="BE8" s="2069">
        <f t="shared" ref="BE8:BE23" si="12">AA7</f>
        <v>49064</v>
      </c>
      <c r="BF8" s="2070">
        <f t="shared" ref="BF8:BF23" si="13">AF7</f>
        <v>2.5000000000000001E-2</v>
      </c>
      <c r="BG8" s="1114" t="s">
        <v>509</v>
      </c>
    </row>
    <row r="9" spans="1:59" ht="11.25" customHeight="1">
      <c r="B9" s="12" t="s">
        <v>570</v>
      </c>
      <c r="C9" s="5"/>
      <c r="D9" s="5"/>
      <c r="E9" s="5"/>
      <c r="F9" s="5"/>
      <c r="G9" s="5"/>
      <c r="H9" s="5"/>
      <c r="I9" s="5"/>
      <c r="J9" s="5"/>
      <c r="K9" s="1014" t="b">
        <f ca="1">ABS(SUM('BS(M)'!K14:EP14)-SUM('BS(M)'!K24:EP24)-SUM('BS(M)'!K34:EP34))&lt;1</f>
        <v>1</v>
      </c>
      <c r="L9" s="3052" t="s">
        <v>42</v>
      </c>
      <c r="M9" s="2733" t="s">
        <v>42</v>
      </c>
      <c r="N9" s="2734"/>
      <c r="O9" s="2734"/>
      <c r="P9" s="2736">
        <f>TIC!J19</f>
        <v>1350000</v>
      </c>
      <c r="Q9" s="2737">
        <f t="shared" si="2"/>
        <v>4.6728971962616819E-3</v>
      </c>
      <c r="R9" s="5" t="s">
        <v>47</v>
      </c>
      <c r="S9" s="22"/>
      <c r="T9" s="13">
        <f>P22</f>
        <v>12578300.125132002</v>
      </c>
      <c r="U9" s="81">
        <f t="shared" si="0"/>
        <v>4.2081967631756444E-2</v>
      </c>
      <c r="V9" s="684">
        <v>8</v>
      </c>
      <c r="W9" s="689" t="s">
        <v>430</v>
      </c>
      <c r="X9" s="689" t="s">
        <v>432</v>
      </c>
      <c r="Y9" s="23">
        <f>'Rentroll(개시시점 기준)'!I49</f>
        <v>479.38</v>
      </c>
      <c r="Z9" s="24">
        <f>'Rentroll(개시시점 기준)'!V49</f>
        <v>45658</v>
      </c>
      <c r="AA9" s="24">
        <f>'Rentroll(개시시점 기준)'!W49</f>
        <v>47483</v>
      </c>
      <c r="AB9" s="680">
        <f t="shared" si="3"/>
        <v>60</v>
      </c>
      <c r="AC9" s="868">
        <f>'Rentroll(개시시점 기준)'!P49</f>
        <v>40000</v>
      </c>
      <c r="AD9" s="868">
        <f>'Rentroll(개시시점 기준)'!S49</f>
        <v>3000</v>
      </c>
      <c r="AE9" s="868">
        <f>'Rentroll(개시시점 기준)'!N49</f>
        <v>208600</v>
      </c>
      <c r="AF9" s="25">
        <f>'Rentroll(개시시점 기준)'!AG49</f>
        <v>2.5000000000000001E-2</v>
      </c>
      <c r="AG9" s="1200">
        <f>'Rent-roll'!K92</f>
        <v>0.41666666666666669</v>
      </c>
      <c r="AH9" s="259">
        <f t="shared" si="1"/>
        <v>38</v>
      </c>
      <c r="AT9" s="1106">
        <f t="shared" si="4"/>
        <v>8</v>
      </c>
      <c r="AU9" s="1112" t="str">
        <f t="shared" si="5"/>
        <v>쿠팡</v>
      </c>
      <c r="AV9" s="1114" t="str">
        <f t="shared" si="6"/>
        <v>상온창고</v>
      </c>
      <c r="AW9" s="2066">
        <f t="shared" si="7"/>
        <v>63.86</v>
      </c>
      <c r="AX9" s="2067">
        <f t="shared" si="8"/>
        <v>229800</v>
      </c>
      <c r="AY9" s="2068">
        <f t="shared" ref="AY9:AY23" si="14">AX9*AW9</f>
        <v>14675028</v>
      </c>
      <c r="AZ9" s="2067">
        <f t="shared" si="9"/>
        <v>38300</v>
      </c>
      <c r="BA9" s="2068">
        <f t="shared" ref="BA9:BA23" si="15">AZ9*AW9</f>
        <v>2445838</v>
      </c>
      <c r="BB9" s="2067">
        <f t="shared" si="10"/>
        <v>2600</v>
      </c>
      <c r="BC9" s="2068">
        <f t="shared" ref="BC9:BC23" si="16">BB9*AW9</f>
        <v>166036</v>
      </c>
      <c r="BD9" s="2069">
        <f t="shared" si="11"/>
        <v>46326</v>
      </c>
      <c r="BE9" s="2069">
        <f t="shared" si="12"/>
        <v>49064</v>
      </c>
      <c r="BF9" s="2070">
        <f t="shared" si="13"/>
        <v>2.5000000000000001E-2</v>
      </c>
      <c r="BG9" s="1114" t="s">
        <v>509</v>
      </c>
    </row>
    <row r="10" spans="1:59" ht="11.25" customHeight="1">
      <c r="B10" s="12" t="s">
        <v>46</v>
      </c>
      <c r="C10" s="5"/>
      <c r="D10" s="5"/>
      <c r="E10" s="5"/>
      <c r="F10" s="5"/>
      <c r="G10" s="5"/>
      <c r="H10" s="5"/>
      <c r="I10" s="5"/>
      <c r="J10" s="5"/>
      <c r="K10" s="270" t="str">
        <f ca="1">IF(COUNTIF('CF(M)'!$L$122:$EQ$122,"&lt;-1")&gt;0,"Shortage","TRUE")</f>
        <v>TRUE</v>
      </c>
      <c r="L10" s="3051"/>
      <c r="M10" s="29" t="s">
        <v>44</v>
      </c>
      <c r="N10" s="29"/>
      <c r="O10" s="29"/>
      <c r="P10" s="1137">
        <f>P9</f>
        <v>1350000</v>
      </c>
      <c r="Q10" s="1138">
        <f>Q9</f>
        <v>4.6728971962616819E-3</v>
      </c>
      <c r="R10" s="5" t="s">
        <v>48</v>
      </c>
      <c r="S10" s="22"/>
      <c r="T10" s="13">
        <f>P24</f>
        <v>4380000</v>
      </c>
      <c r="U10" s="81">
        <f t="shared" si="0"/>
        <v>1.4653730344596855E-2</v>
      </c>
      <c r="V10" s="684">
        <v>8</v>
      </c>
      <c r="W10" s="689" t="s">
        <v>334</v>
      </c>
      <c r="X10" s="689" t="s">
        <v>434</v>
      </c>
      <c r="Y10" s="23">
        <f>'Rentroll(개시시점 기준)'!I61</f>
        <v>207.4</v>
      </c>
      <c r="Z10" s="24">
        <f>'Rentroll(개시시점 기준)'!V61</f>
        <v>45413</v>
      </c>
      <c r="AA10" s="24">
        <f>'Rentroll(개시시점 기준)'!W61</f>
        <v>49064</v>
      </c>
      <c r="AB10" s="680">
        <f t="shared" si="3"/>
        <v>120</v>
      </c>
      <c r="AC10" s="868">
        <f>'Rentroll(개시시점 기준)'!P61</f>
        <v>36500</v>
      </c>
      <c r="AD10" s="868">
        <f>'Rentroll(개시시점 기준)'!S61</f>
        <v>2500</v>
      </c>
      <c r="AE10" s="868">
        <f>'Rentroll(개시시점 기준)'!N61</f>
        <v>219000</v>
      </c>
      <c r="AF10" s="25">
        <f>'Rentroll(개시시점 기준)'!AG61</f>
        <v>2.5000000000000001E-2</v>
      </c>
      <c r="AG10" s="1200">
        <f>'Rent-roll'!K93</f>
        <v>0.41666666666666669</v>
      </c>
      <c r="AH10" s="259">
        <f t="shared" si="1"/>
        <v>90</v>
      </c>
      <c r="AT10" s="1107">
        <f t="shared" si="4"/>
        <v>8</v>
      </c>
      <c r="AU10" s="1115" t="str">
        <f t="shared" si="5"/>
        <v>키즈밀</v>
      </c>
      <c r="AV10" s="1116" t="str">
        <f t="shared" si="6"/>
        <v>근린생활시설</v>
      </c>
      <c r="AW10" s="2071">
        <f t="shared" si="7"/>
        <v>479.38</v>
      </c>
      <c r="AX10" s="2072">
        <f t="shared" si="8"/>
        <v>208600</v>
      </c>
      <c r="AY10" s="2073">
        <f t="shared" si="14"/>
        <v>99998668</v>
      </c>
      <c r="AZ10" s="2072">
        <f t="shared" si="9"/>
        <v>40000</v>
      </c>
      <c r="BA10" s="2073">
        <f t="shared" si="15"/>
        <v>19175200</v>
      </c>
      <c r="BB10" s="2072">
        <f t="shared" si="10"/>
        <v>3000</v>
      </c>
      <c r="BC10" s="2073">
        <f t="shared" si="16"/>
        <v>1438140</v>
      </c>
      <c r="BD10" s="2074">
        <f t="shared" si="11"/>
        <v>45658</v>
      </c>
      <c r="BE10" s="2074">
        <f t="shared" si="12"/>
        <v>47483</v>
      </c>
      <c r="BF10" s="2075">
        <f t="shared" si="13"/>
        <v>2.5000000000000001E-2</v>
      </c>
      <c r="BG10" s="1116" t="s">
        <v>509</v>
      </c>
    </row>
    <row r="11" spans="1:59" ht="11.25" customHeight="1">
      <c r="B11" s="6" t="s">
        <v>55</v>
      </c>
      <c r="C11" s="7"/>
      <c r="D11" s="7"/>
      <c r="E11" s="7"/>
      <c r="F11" s="7"/>
      <c r="G11" s="7"/>
      <c r="H11" s="7"/>
      <c r="I11" s="7"/>
      <c r="J11" s="7"/>
      <c r="K11" s="7"/>
      <c r="L11" s="31" t="s">
        <v>45</v>
      </c>
      <c r="M11" s="2733" t="s">
        <v>49</v>
      </c>
      <c r="N11" s="2734"/>
      <c r="O11" s="2735" t="s">
        <v>1742</v>
      </c>
      <c r="P11" s="2736">
        <f>TIC!J21</f>
        <v>85315.1</v>
      </c>
      <c r="Q11" s="2737">
        <f t="shared" si="2"/>
        <v>2.9531014191761857E-4</v>
      </c>
      <c r="R11" s="5" t="s">
        <v>68</v>
      </c>
      <c r="S11" s="22"/>
      <c r="T11" s="13">
        <f>P27</f>
        <v>245384.77486795187</v>
      </c>
      <c r="U11" s="81">
        <f t="shared" si="0"/>
        <v>8.2095943415172923E-4</v>
      </c>
      <c r="V11" s="684">
        <f>'A&amp;R'!L50</f>
        <v>7</v>
      </c>
      <c r="W11" s="689" t="s">
        <v>334</v>
      </c>
      <c r="X11" s="689" t="s">
        <v>434</v>
      </c>
      <c r="Y11" s="23">
        <f>'Rentroll(개시시점 기준)'!I62</f>
        <v>1550.42</v>
      </c>
      <c r="Z11" s="24">
        <f>'Rentroll(개시시점 기준)'!V62</f>
        <v>45323</v>
      </c>
      <c r="AA11" s="24">
        <f>'Rentroll(개시시점 기준)'!W62</f>
        <v>49064</v>
      </c>
      <c r="AB11" s="680">
        <f t="shared" si="3"/>
        <v>123</v>
      </c>
      <c r="AC11" s="868">
        <f>'Rentroll(개시시점 기준)'!P62</f>
        <v>60000</v>
      </c>
      <c r="AD11" s="868">
        <f>'Rentroll(개시시점 기준)'!S62</f>
        <v>3000</v>
      </c>
      <c r="AE11" s="868">
        <f>'Rentroll(개시시점 기준)'!N62</f>
        <v>360000</v>
      </c>
      <c r="AF11" s="25">
        <f>'Rentroll(개시시점 기준)'!AG62</f>
        <v>2.5000000000000001E-2</v>
      </c>
      <c r="AG11" s="1200">
        <f>'Rent-roll'!K94</f>
        <v>0.41666666666666669</v>
      </c>
      <c r="AH11" s="259">
        <f t="shared" si="1"/>
        <v>90</v>
      </c>
      <c r="AT11" s="1107">
        <f t="shared" si="4"/>
        <v>8</v>
      </c>
      <c r="AU11" s="1117" t="str">
        <f t="shared" si="5"/>
        <v>쿠팡</v>
      </c>
      <c r="AV11" s="1116" t="str">
        <f t="shared" si="6"/>
        <v>상온창고</v>
      </c>
      <c r="AW11" s="2071">
        <f t="shared" si="7"/>
        <v>207.4</v>
      </c>
      <c r="AX11" s="2072">
        <f t="shared" si="8"/>
        <v>219000</v>
      </c>
      <c r="AY11" s="2073">
        <f t="shared" si="14"/>
        <v>45420600</v>
      </c>
      <c r="AZ11" s="2072">
        <f t="shared" si="9"/>
        <v>36500</v>
      </c>
      <c r="BA11" s="2073">
        <f t="shared" si="15"/>
        <v>7570100</v>
      </c>
      <c r="BB11" s="2072">
        <f t="shared" si="10"/>
        <v>2500</v>
      </c>
      <c r="BC11" s="2073">
        <f t="shared" si="16"/>
        <v>518500</v>
      </c>
      <c r="BD11" s="2074">
        <f t="shared" si="11"/>
        <v>45413</v>
      </c>
      <c r="BE11" s="2074">
        <f t="shared" si="12"/>
        <v>49064</v>
      </c>
      <c r="BF11" s="2075">
        <f t="shared" si="13"/>
        <v>2.5000000000000001E-2</v>
      </c>
      <c r="BG11" s="1116" t="s">
        <v>509</v>
      </c>
    </row>
    <row r="12" spans="1:59" ht="11.25" customHeight="1">
      <c r="B12" s="37" t="s">
        <v>57</v>
      </c>
      <c r="C12" s="38"/>
      <c r="D12" s="38"/>
      <c r="E12" s="38"/>
      <c r="F12" s="38"/>
      <c r="G12" s="38"/>
      <c r="H12" s="38"/>
      <c r="I12" s="38"/>
      <c r="J12" s="1674">
        <v>46133</v>
      </c>
      <c r="K12" s="39">
        <v>46326</v>
      </c>
      <c r="L12" s="26"/>
      <c r="M12" s="912" t="s">
        <v>50</v>
      </c>
      <c r="N12" s="2738"/>
      <c r="O12" s="2739" t="s">
        <v>1743</v>
      </c>
      <c r="P12" s="2740">
        <f>TIC!J22</f>
        <v>80000</v>
      </c>
      <c r="Q12" s="2741">
        <f t="shared" si="2"/>
        <v>2.7691242644513672E-4</v>
      </c>
      <c r="R12" s="1130" t="s">
        <v>77</v>
      </c>
      <c r="S12" s="1348">
        <v>0</v>
      </c>
      <c r="T12" s="1008">
        <v>10000000</v>
      </c>
      <c r="U12" s="1009">
        <f t="shared" si="0"/>
        <v>3.3456005352960859E-2</v>
      </c>
      <c r="V12" s="684">
        <f>'A&amp;R'!L51</f>
        <v>6</v>
      </c>
      <c r="W12" s="689" t="s">
        <v>431</v>
      </c>
      <c r="X12" s="689" t="s">
        <v>434</v>
      </c>
      <c r="Y12" s="23">
        <f>'Rentroll(개시시점 기준)'!I63</f>
        <v>2187.87</v>
      </c>
      <c r="Z12" s="24">
        <f>'Rentroll(개시시점 기준)'!V63</f>
        <v>45323</v>
      </c>
      <c r="AA12" s="24">
        <f>'Rentroll(개시시점 기준)'!W63</f>
        <v>49064</v>
      </c>
      <c r="AB12" s="680">
        <f t="shared" si="3"/>
        <v>123</v>
      </c>
      <c r="AC12" s="868">
        <f>'Rentroll(개시시점 기준)'!P63</f>
        <v>60000</v>
      </c>
      <c r="AD12" s="868">
        <f>'Rentroll(개시시점 기준)'!S63</f>
        <v>3000</v>
      </c>
      <c r="AE12" s="868">
        <f>'Rentroll(개시시점 기준)'!N63</f>
        <v>360000</v>
      </c>
      <c r="AF12" s="25">
        <f>'Rentroll(개시시점 기준)'!AG63</f>
        <v>2.5000000000000001E-2</v>
      </c>
      <c r="AG12" s="1200">
        <f>'Rent-roll'!K95</f>
        <v>0.41666666666666669</v>
      </c>
      <c r="AH12" s="259">
        <f t="shared" si="1"/>
        <v>90</v>
      </c>
      <c r="AT12" s="1106">
        <f t="shared" si="4"/>
        <v>7</v>
      </c>
      <c r="AU12" s="1117" t="str">
        <f t="shared" si="5"/>
        <v>쿠팡</v>
      </c>
      <c r="AV12" s="1116" t="str">
        <f t="shared" si="6"/>
        <v>상온창고</v>
      </c>
      <c r="AW12" s="2071">
        <f t="shared" si="7"/>
        <v>1550.42</v>
      </c>
      <c r="AX12" s="2072">
        <f t="shared" si="8"/>
        <v>360000</v>
      </c>
      <c r="AY12" s="2073">
        <f t="shared" si="14"/>
        <v>558151200</v>
      </c>
      <c r="AZ12" s="2072">
        <f t="shared" si="9"/>
        <v>60000</v>
      </c>
      <c r="BA12" s="2073">
        <f t="shared" si="15"/>
        <v>93025200</v>
      </c>
      <c r="BB12" s="2072">
        <f t="shared" si="10"/>
        <v>3000</v>
      </c>
      <c r="BC12" s="2073">
        <f t="shared" si="16"/>
        <v>4651260</v>
      </c>
      <c r="BD12" s="2074">
        <f t="shared" si="11"/>
        <v>45323</v>
      </c>
      <c r="BE12" s="2074">
        <f t="shared" si="12"/>
        <v>49064</v>
      </c>
      <c r="BF12" s="2075">
        <f t="shared" si="13"/>
        <v>2.5000000000000001E-2</v>
      </c>
      <c r="BG12" s="1116" t="s">
        <v>509</v>
      </c>
    </row>
    <row r="13" spans="1:59" ht="11.25" customHeight="1">
      <c r="B13" s="37" t="s">
        <v>60</v>
      </c>
      <c r="C13" s="38"/>
      <c r="D13" s="38"/>
      <c r="E13" s="38"/>
      <c r="F13" s="38"/>
      <c r="G13" s="38"/>
      <c r="H13" s="38"/>
      <c r="I13" s="38"/>
      <c r="J13" s="38"/>
      <c r="K13" s="41">
        <v>1000</v>
      </c>
      <c r="L13" s="26"/>
      <c r="M13" s="912" t="s">
        <v>52</v>
      </c>
      <c r="N13" s="2738"/>
      <c r="O13" s="2739" t="s">
        <v>1744</v>
      </c>
      <c r="P13" s="2740">
        <f>TIC!J23</f>
        <v>40000</v>
      </c>
      <c r="Q13" s="2741">
        <f t="shared" si="2"/>
        <v>1.3845621322256836E-4</v>
      </c>
      <c r="R13" s="29" t="s">
        <v>51</v>
      </c>
      <c r="S13" s="1249">
        <f>T13/K31</f>
        <v>10349.341888283772</v>
      </c>
      <c r="T13" s="35">
        <f>SUM(T6:T12)</f>
        <v>298900000</v>
      </c>
      <c r="U13" s="286">
        <f>SUM(U6:U11)</f>
        <v>0.966543994647039</v>
      </c>
      <c r="V13" s="684">
        <f>'A&amp;R'!L52</f>
        <v>5</v>
      </c>
      <c r="W13" s="689" t="s">
        <v>431</v>
      </c>
      <c r="X13" s="689" t="s">
        <v>434</v>
      </c>
      <c r="Y13" s="23">
        <f>'Rentroll(개시시점 기준)'!I64</f>
        <v>2185.56</v>
      </c>
      <c r="Z13" s="24">
        <f>'Rentroll(개시시점 기준)'!V64</f>
        <v>45323</v>
      </c>
      <c r="AA13" s="24">
        <f>'Rentroll(개시시점 기준)'!W64</f>
        <v>49064</v>
      </c>
      <c r="AB13" s="680">
        <f t="shared" si="3"/>
        <v>123</v>
      </c>
      <c r="AC13" s="868">
        <f>'Rentroll(개시시점 기준)'!P64</f>
        <v>60000</v>
      </c>
      <c r="AD13" s="868">
        <f>'Rentroll(개시시점 기준)'!S64</f>
        <v>3000</v>
      </c>
      <c r="AE13" s="868">
        <f>'Rentroll(개시시점 기준)'!N64</f>
        <v>360000</v>
      </c>
      <c r="AF13" s="25">
        <f>'Rentroll(개시시점 기준)'!AG64</f>
        <v>2.5000000000000001E-2</v>
      </c>
      <c r="AG13" s="1200">
        <f>'Rent-roll'!K96</f>
        <v>0.41666666666666669</v>
      </c>
      <c r="AH13" s="259">
        <f t="shared" si="1"/>
        <v>90</v>
      </c>
      <c r="AT13" s="1106">
        <f t="shared" si="4"/>
        <v>6</v>
      </c>
      <c r="AU13" s="1118" t="str">
        <f t="shared" si="5"/>
        <v>쿠팡</v>
      </c>
      <c r="AV13" s="1116" t="str">
        <f t="shared" si="6"/>
        <v>상온창고</v>
      </c>
      <c r="AW13" s="2071">
        <f t="shared" si="7"/>
        <v>2187.87</v>
      </c>
      <c r="AX13" s="2072">
        <f t="shared" si="8"/>
        <v>360000</v>
      </c>
      <c r="AY13" s="2073">
        <f t="shared" si="14"/>
        <v>787633200</v>
      </c>
      <c r="AZ13" s="2072">
        <f t="shared" si="9"/>
        <v>60000</v>
      </c>
      <c r="BA13" s="2073">
        <f t="shared" si="15"/>
        <v>131272200</v>
      </c>
      <c r="BB13" s="2072">
        <f t="shared" si="10"/>
        <v>3000</v>
      </c>
      <c r="BC13" s="2073">
        <f t="shared" si="16"/>
        <v>6563610</v>
      </c>
      <c r="BD13" s="2074">
        <f t="shared" si="11"/>
        <v>45323</v>
      </c>
      <c r="BE13" s="2074">
        <f t="shared" si="12"/>
        <v>49064</v>
      </c>
      <c r="BF13" s="2075">
        <f t="shared" si="13"/>
        <v>2.5000000000000001E-2</v>
      </c>
      <c r="BG13" s="1116" t="s">
        <v>509</v>
      </c>
    </row>
    <row r="14" spans="1:59" ht="11.25" customHeight="1">
      <c r="B14" s="37" t="s">
        <v>61</v>
      </c>
      <c r="C14" s="38"/>
      <c r="D14" s="38"/>
      <c r="E14" s="38"/>
      <c r="F14" s="38"/>
      <c r="G14" s="38"/>
      <c r="H14" s="38"/>
      <c r="I14" s="38"/>
      <c r="J14" s="38"/>
      <c r="K14" s="42">
        <v>0.30249999999999999</v>
      </c>
      <c r="L14" s="26"/>
      <c r="M14" s="912" t="s">
        <v>53</v>
      </c>
      <c r="N14" s="2738"/>
      <c r="O14" s="2739" t="s">
        <v>1745</v>
      </c>
      <c r="P14" s="2740">
        <f>TIC!J24</f>
        <v>40000</v>
      </c>
      <c r="Q14" s="2741">
        <f t="shared" si="2"/>
        <v>1.3845621322256836E-4</v>
      </c>
      <c r="R14" s="5" t="s">
        <v>205</v>
      </c>
      <c r="S14" s="1382"/>
      <c r="T14" s="1346">
        <f>P31</f>
        <v>2100000</v>
      </c>
      <c r="U14" s="81">
        <f t="shared" ref="U14:U22" si="17">IFERROR(T14/$T$23,)</f>
        <v>7.0257611241217799E-3</v>
      </c>
      <c r="V14" s="684">
        <f>'A&amp;R'!L53</f>
        <v>4</v>
      </c>
      <c r="W14" s="689" t="s">
        <v>431</v>
      </c>
      <c r="X14" s="689" t="s">
        <v>434</v>
      </c>
      <c r="Y14" s="23">
        <f>'Rentroll(개시시점 기준)'!I65</f>
        <v>2185.56</v>
      </c>
      <c r="Z14" s="24">
        <f>'Rentroll(개시시점 기준)'!V65</f>
        <v>45413</v>
      </c>
      <c r="AA14" s="24">
        <f>'Rentroll(개시시점 기준)'!W65</f>
        <v>49064</v>
      </c>
      <c r="AB14" s="680">
        <f t="shared" si="3"/>
        <v>120</v>
      </c>
      <c r="AC14" s="868">
        <f>'Rentroll(개시시점 기준)'!P65</f>
        <v>60000</v>
      </c>
      <c r="AD14" s="868">
        <f>'Rentroll(개시시점 기준)'!S65</f>
        <v>3000</v>
      </c>
      <c r="AE14" s="868">
        <f>'Rentroll(개시시점 기준)'!N65</f>
        <v>360000</v>
      </c>
      <c r="AF14" s="25">
        <f>'Rentroll(개시시점 기준)'!AG65</f>
        <v>2.5000000000000001E-2</v>
      </c>
      <c r="AG14" s="1200">
        <f>'Rent-roll'!K97</f>
        <v>0.41666666666666669</v>
      </c>
      <c r="AH14" s="259">
        <f t="shared" si="1"/>
        <v>90</v>
      </c>
      <c r="AT14" s="1106">
        <f t="shared" si="4"/>
        <v>5</v>
      </c>
      <c r="AU14" s="1118" t="str">
        <f t="shared" si="5"/>
        <v>쿠팡</v>
      </c>
      <c r="AV14" s="1116" t="str">
        <f t="shared" si="6"/>
        <v>상온창고</v>
      </c>
      <c r="AW14" s="2071">
        <f t="shared" si="7"/>
        <v>2185.56</v>
      </c>
      <c r="AX14" s="2072">
        <f t="shared" si="8"/>
        <v>360000</v>
      </c>
      <c r="AY14" s="2073">
        <f t="shared" si="14"/>
        <v>786801600</v>
      </c>
      <c r="AZ14" s="2072">
        <f t="shared" si="9"/>
        <v>60000</v>
      </c>
      <c r="BA14" s="2073">
        <f t="shared" si="15"/>
        <v>131133600</v>
      </c>
      <c r="BB14" s="2072">
        <f t="shared" si="10"/>
        <v>3000</v>
      </c>
      <c r="BC14" s="2073">
        <f t="shared" si="16"/>
        <v>6556680</v>
      </c>
      <c r="BD14" s="2074">
        <f t="shared" si="11"/>
        <v>45323</v>
      </c>
      <c r="BE14" s="2074">
        <f t="shared" si="12"/>
        <v>49064</v>
      </c>
      <c r="BF14" s="2075">
        <f t="shared" si="13"/>
        <v>2.5000000000000001E-2</v>
      </c>
      <c r="BG14" s="1116" t="s">
        <v>509</v>
      </c>
    </row>
    <row r="15" spans="1:59" ht="11.25" customHeight="1">
      <c r="B15" s="43" t="s">
        <v>63</v>
      </c>
      <c r="C15" s="44"/>
      <c r="D15" s="44"/>
      <c r="E15" s="44"/>
      <c r="F15" s="44"/>
      <c r="G15" s="44"/>
      <c r="H15" s="44"/>
      <c r="I15" s="44"/>
      <c r="J15" s="44"/>
      <c r="K15" s="44"/>
      <c r="L15" s="26"/>
      <c r="M15" s="912" t="s">
        <v>54</v>
      </c>
      <c r="N15" s="2738"/>
      <c r="O15" s="2739" t="s">
        <v>1746</v>
      </c>
      <c r="P15" s="2740">
        <f>TIC!J25</f>
        <v>25000</v>
      </c>
      <c r="Q15" s="2741">
        <f t="shared" si="2"/>
        <v>8.6535133264105233E-5</v>
      </c>
      <c r="R15" s="5" t="s">
        <v>273</v>
      </c>
      <c r="S15" s="2713">
        <f>T15/K31</f>
        <v>5539.9622018247028</v>
      </c>
      <c r="T15" s="13">
        <f>P32</f>
        <v>160000000</v>
      </c>
      <c r="U15" s="81">
        <f t="shared" si="17"/>
        <v>0.53529608564737374</v>
      </c>
      <c r="V15" s="684">
        <f>'A&amp;R'!L54</f>
        <v>3</v>
      </c>
      <c r="W15" s="689" t="s">
        <v>341</v>
      </c>
      <c r="X15" s="689" t="s">
        <v>434</v>
      </c>
      <c r="Y15" s="23">
        <f>'Rentroll(개시시점 기준)'!I66</f>
        <v>2185.56</v>
      </c>
      <c r="Z15" s="24">
        <f>'Rentroll(개시시점 기준)'!V66</f>
        <v>45503</v>
      </c>
      <c r="AA15" s="24">
        <f>'Rentroll(개시시점 기준)'!W66</f>
        <v>47328</v>
      </c>
      <c r="AB15" s="680">
        <f t="shared" si="3"/>
        <v>60</v>
      </c>
      <c r="AC15" s="868">
        <f>'Rentroll(개시시점 기준)'!P66</f>
        <v>49000</v>
      </c>
      <c r="AD15" s="868">
        <f>'Rentroll(개시시점 기준)'!S66</f>
        <v>3000</v>
      </c>
      <c r="AE15" s="868">
        <f>'Rentroll(개시시점 기준)'!N66</f>
        <v>294000</v>
      </c>
      <c r="AF15" s="25">
        <f>'Rentroll(개시시점 기준)'!AG66</f>
        <v>0</v>
      </c>
      <c r="AG15" s="1200">
        <f>'Rent-roll'!K98</f>
        <v>0</v>
      </c>
      <c r="AH15" s="259">
        <f t="shared" si="1"/>
        <v>33</v>
      </c>
      <c r="AT15" s="1106">
        <f t="shared" si="4"/>
        <v>4</v>
      </c>
      <c r="AU15" s="1118" t="str">
        <f t="shared" si="5"/>
        <v>쿠팡</v>
      </c>
      <c r="AV15" s="1116" t="str">
        <f t="shared" si="6"/>
        <v>상온창고</v>
      </c>
      <c r="AW15" s="2071">
        <f t="shared" si="7"/>
        <v>2185.56</v>
      </c>
      <c r="AX15" s="2072">
        <f t="shared" si="8"/>
        <v>360000</v>
      </c>
      <c r="AY15" s="2073">
        <f t="shared" si="14"/>
        <v>786801600</v>
      </c>
      <c r="AZ15" s="2072">
        <f t="shared" si="9"/>
        <v>60000</v>
      </c>
      <c r="BA15" s="2073">
        <f t="shared" si="15"/>
        <v>131133600</v>
      </c>
      <c r="BB15" s="2072">
        <f t="shared" si="10"/>
        <v>3000</v>
      </c>
      <c r="BC15" s="2073">
        <f t="shared" si="16"/>
        <v>6556680</v>
      </c>
      <c r="BD15" s="2074">
        <f t="shared" si="11"/>
        <v>45413</v>
      </c>
      <c r="BE15" s="2074">
        <f t="shared" si="12"/>
        <v>49064</v>
      </c>
      <c r="BF15" s="2075">
        <f t="shared" si="13"/>
        <v>2.5000000000000001E-2</v>
      </c>
      <c r="BG15" s="1116" t="s">
        <v>509</v>
      </c>
    </row>
    <row r="16" spans="1:59" ht="11.25" customHeight="1">
      <c r="B16" s="281" t="s">
        <v>65</v>
      </c>
      <c r="C16" s="282"/>
      <c r="D16" s="282"/>
      <c r="E16" s="282"/>
      <c r="F16" s="282"/>
      <c r="G16" s="282"/>
      <c r="H16" s="282"/>
      <c r="I16" s="282"/>
      <c r="J16" s="282"/>
      <c r="K16" s="283" t="s">
        <v>422</v>
      </c>
      <c r="L16" s="26"/>
      <c r="M16" s="912" t="s">
        <v>245</v>
      </c>
      <c r="N16" s="2738"/>
      <c r="O16" s="2738"/>
      <c r="P16" s="2740">
        <f>TIC!J26</f>
        <v>76000</v>
      </c>
      <c r="Q16" s="2741">
        <f t="shared" si="2"/>
        <v>2.6306680512287988E-4</v>
      </c>
      <c r="R16" s="5" t="s">
        <v>644</v>
      </c>
      <c r="S16" s="2713">
        <f>SUM(T15:T16)/$K$31</f>
        <v>6855.7032247580701</v>
      </c>
      <c r="T16" s="13">
        <f>P35</f>
        <v>38000000</v>
      </c>
      <c r="U16" s="81">
        <f t="shared" si="17"/>
        <v>0.12713282034125126</v>
      </c>
      <c r="V16" s="684">
        <f>'A&amp;R'!L55</f>
        <v>2</v>
      </c>
      <c r="W16" s="689" t="s">
        <v>431</v>
      </c>
      <c r="X16" s="689" t="s">
        <v>434</v>
      </c>
      <c r="Y16" s="23">
        <f>'Rentroll(개시시점 기준)'!I67</f>
        <v>2185.56</v>
      </c>
      <c r="Z16" s="24">
        <f>'Rentroll(개시시점 기준)'!V67</f>
        <v>45658</v>
      </c>
      <c r="AA16" s="24">
        <f>'Rentroll(개시시점 기준)'!W67</f>
        <v>49064</v>
      </c>
      <c r="AB16" s="680">
        <f t="shared" si="3"/>
        <v>112</v>
      </c>
      <c r="AC16" s="868">
        <f>'Rentroll(개시시점 기준)'!P67</f>
        <v>60000</v>
      </c>
      <c r="AD16" s="868">
        <f>'Rentroll(개시시점 기준)'!S67</f>
        <v>3000</v>
      </c>
      <c r="AE16" s="868">
        <f>'Rentroll(개시시점 기준)'!N67</f>
        <v>360000</v>
      </c>
      <c r="AF16" s="25">
        <f>'Rentroll(개시시점 기준)'!AG67</f>
        <v>2.5000000000000001E-2</v>
      </c>
      <c r="AG16" s="1200">
        <f>'Rent-roll'!K99</f>
        <v>0.58333333333333337</v>
      </c>
      <c r="AH16" s="259">
        <f t="shared" si="1"/>
        <v>90</v>
      </c>
      <c r="AT16" s="1108">
        <f t="shared" si="4"/>
        <v>3</v>
      </c>
      <c r="AU16" s="1120" t="str">
        <f t="shared" si="5"/>
        <v>농심</v>
      </c>
      <c r="AV16" s="1114" t="str">
        <f t="shared" si="6"/>
        <v>상온창고</v>
      </c>
      <c r="AW16" s="2066">
        <f t="shared" si="7"/>
        <v>2185.56</v>
      </c>
      <c r="AX16" s="2067">
        <f t="shared" si="8"/>
        <v>294000</v>
      </c>
      <c r="AY16" s="2068">
        <f t="shared" si="14"/>
        <v>642554640</v>
      </c>
      <c r="AZ16" s="2067">
        <f t="shared" si="9"/>
        <v>49000</v>
      </c>
      <c r="BA16" s="2068">
        <f t="shared" si="15"/>
        <v>107092440</v>
      </c>
      <c r="BB16" s="2067">
        <f t="shared" si="10"/>
        <v>3000</v>
      </c>
      <c r="BC16" s="2068">
        <f t="shared" si="16"/>
        <v>6556680</v>
      </c>
      <c r="BD16" s="2069">
        <f t="shared" si="11"/>
        <v>45503</v>
      </c>
      <c r="BE16" s="2069">
        <f t="shared" si="12"/>
        <v>47328</v>
      </c>
      <c r="BF16" s="2070">
        <f t="shared" si="13"/>
        <v>0</v>
      </c>
      <c r="BG16" s="1114" t="s">
        <v>509</v>
      </c>
    </row>
    <row r="17" spans="1:59" ht="11.25" customHeight="1">
      <c r="B17" s="12" t="s">
        <v>67</v>
      </c>
      <c r="C17" s="5"/>
      <c r="D17" s="5"/>
      <c r="E17" s="5"/>
      <c r="F17" s="5"/>
      <c r="G17" s="5"/>
      <c r="H17" s="5"/>
      <c r="I17" s="5"/>
      <c r="J17" s="5"/>
      <c r="K17" s="284" t="s">
        <v>802</v>
      </c>
      <c r="L17" s="28"/>
      <c r="M17" s="29" t="s">
        <v>44</v>
      </c>
      <c r="N17" s="29"/>
      <c r="O17" s="29"/>
      <c r="P17" s="1137">
        <f>SUM(P11:P16)</f>
        <v>346315.1</v>
      </c>
      <c r="Q17" s="1138">
        <f>SUM(Q11:Q16)</f>
        <v>1.1987369331948774E-3</v>
      </c>
      <c r="R17" s="5" t="s">
        <v>605</v>
      </c>
      <c r="S17" s="22"/>
      <c r="T17" s="13">
        <f>P39</f>
        <v>0</v>
      </c>
      <c r="U17" s="81">
        <f t="shared" si="17"/>
        <v>0</v>
      </c>
      <c r="V17" s="684">
        <v>1</v>
      </c>
      <c r="W17" s="689" t="str">
        <f>'Rentroll(개시시점 기준)'!G68</f>
        <v>지오영</v>
      </c>
      <c r="X17" s="689" t="s">
        <v>435</v>
      </c>
      <c r="Y17" s="23">
        <f>'Rentroll(개시시점 기준)'!I68</f>
        <v>1092.94</v>
      </c>
      <c r="Z17" s="24">
        <f>'Rentroll(개시시점 기준)'!V68</f>
        <v>45689</v>
      </c>
      <c r="AA17" s="24">
        <f>'Rentroll(개시시점 기준)'!W68</f>
        <v>49340</v>
      </c>
      <c r="AB17" s="680">
        <f t="shared" si="3"/>
        <v>120</v>
      </c>
      <c r="AC17" s="868">
        <f>'Rentroll(개시시점 기준)'!P68</f>
        <v>60000</v>
      </c>
      <c r="AD17" s="868">
        <f>'Rentroll(개시시점 기준)'!S68</f>
        <v>3000</v>
      </c>
      <c r="AE17" s="868">
        <f>'Rentroll(개시시점 기준)'!N68</f>
        <v>360000</v>
      </c>
      <c r="AF17" s="25">
        <f>'Rentroll(개시시점 기준)'!AG68</f>
        <v>2.5000000000000001E-2</v>
      </c>
      <c r="AG17" s="1200">
        <f>'Rent-roll'!K100</f>
        <v>1</v>
      </c>
      <c r="AH17" s="259">
        <f t="shared" si="1"/>
        <v>99</v>
      </c>
      <c r="AT17" s="1106">
        <f t="shared" si="4"/>
        <v>2</v>
      </c>
      <c r="AU17" s="1117" t="str">
        <f t="shared" si="5"/>
        <v>쿠팡</v>
      </c>
      <c r="AV17" s="1116" t="str">
        <f t="shared" si="6"/>
        <v>상온창고</v>
      </c>
      <c r="AW17" s="2071">
        <f t="shared" si="7"/>
        <v>2185.56</v>
      </c>
      <c r="AX17" s="2072">
        <f t="shared" si="8"/>
        <v>360000</v>
      </c>
      <c r="AY17" s="2073">
        <f t="shared" si="14"/>
        <v>786801600</v>
      </c>
      <c r="AZ17" s="2072">
        <f t="shared" si="9"/>
        <v>60000</v>
      </c>
      <c r="BA17" s="2073">
        <f t="shared" si="15"/>
        <v>131133600</v>
      </c>
      <c r="BB17" s="2072">
        <f t="shared" si="10"/>
        <v>3000</v>
      </c>
      <c r="BC17" s="2073">
        <f t="shared" si="16"/>
        <v>6556680</v>
      </c>
      <c r="BD17" s="2074">
        <f t="shared" si="11"/>
        <v>45658</v>
      </c>
      <c r="BE17" s="2074">
        <f t="shared" si="12"/>
        <v>49064</v>
      </c>
      <c r="BF17" s="2075">
        <f t="shared" si="13"/>
        <v>2.5000000000000001E-2</v>
      </c>
      <c r="BG17" s="1116" t="s">
        <v>509</v>
      </c>
    </row>
    <row r="18" spans="1:59" ht="11.25" customHeight="1">
      <c r="B18" s="12" t="s">
        <v>70</v>
      </c>
      <c r="C18" s="5"/>
      <c r="D18" s="5"/>
      <c r="E18" s="5"/>
      <c r="F18" s="5"/>
      <c r="G18" s="5"/>
      <c r="H18" s="5"/>
      <c r="I18" s="5"/>
      <c r="J18" s="5"/>
      <c r="K18" s="674" t="s">
        <v>425</v>
      </c>
      <c r="L18" s="31" t="s">
        <v>47</v>
      </c>
      <c r="M18" s="2733" t="s">
        <v>837</v>
      </c>
      <c r="N18" s="2734"/>
      <c r="O18" s="2734"/>
      <c r="P18" s="2736">
        <f>TIC!J28</f>
        <v>12498030.494600002</v>
      </c>
      <c r="Q18" s="2737">
        <f t="shared" si="2"/>
        <v>4.3260749375562485E-2</v>
      </c>
      <c r="R18" s="5" t="s">
        <v>1081</v>
      </c>
      <c r="S18" s="2032">
        <f>Y54/(P8-T14-T21-T20-T19)</f>
        <v>6.7868280589055127E-2</v>
      </c>
      <c r="T18" s="13">
        <f>P41</f>
        <v>24000000</v>
      </c>
      <c r="U18" s="81">
        <f t="shared" si="17"/>
        <v>8.0294412847106061E-2</v>
      </c>
      <c r="V18" s="684">
        <v>1</v>
      </c>
      <c r="W18" s="689" t="str">
        <f>'Rentroll(개시시점 기준)'!G69</f>
        <v>용마로지스</v>
      </c>
      <c r="X18" s="689" t="s">
        <v>435</v>
      </c>
      <c r="Y18" s="23">
        <f>'Rentroll(개시시점 기준)'!I69</f>
        <v>856.05</v>
      </c>
      <c r="Z18" s="24">
        <f>'Rentroll(개시시점 기준)'!V69</f>
        <v>45612</v>
      </c>
      <c r="AA18" s="24">
        <f>'Rentroll(개시시점 기준)'!W69</f>
        <v>47514</v>
      </c>
      <c r="AB18" s="680">
        <f t="shared" si="3"/>
        <v>62</v>
      </c>
      <c r="AC18" s="868">
        <f>'Rentroll(개시시점 기준)'!P69</f>
        <v>60000</v>
      </c>
      <c r="AD18" s="868">
        <f>'Rentroll(개시시점 기준)'!S69</f>
        <v>3000</v>
      </c>
      <c r="AE18" s="868">
        <f>'Rentroll(개시시점 기준)'!N69</f>
        <v>360000</v>
      </c>
      <c r="AF18" s="25">
        <f>'Rentroll(개시시점 기준)'!AG69</f>
        <v>2.5000000000000001E-2</v>
      </c>
      <c r="AG18" s="1200">
        <f>'Rent-roll'!K101</f>
        <v>0.375</v>
      </c>
      <c r="AH18" s="259">
        <f t="shared" si="1"/>
        <v>39</v>
      </c>
      <c r="AK18" s="1681"/>
      <c r="AL18" s="1681"/>
      <c r="AM18" s="1681"/>
      <c r="AN18" s="1681"/>
      <c r="AO18" s="1681"/>
      <c r="AT18" s="1109">
        <f t="shared" si="4"/>
        <v>1</v>
      </c>
      <c r="AU18" s="1119" t="str">
        <f t="shared" si="5"/>
        <v>지오영</v>
      </c>
      <c r="AV18" s="1121" t="str">
        <f t="shared" si="6"/>
        <v>상온창고</v>
      </c>
      <c r="AW18" s="2076">
        <f t="shared" si="7"/>
        <v>1092.94</v>
      </c>
      <c r="AX18" s="2077">
        <f t="shared" si="8"/>
        <v>360000</v>
      </c>
      <c r="AY18" s="2078">
        <f t="shared" si="14"/>
        <v>393458400</v>
      </c>
      <c r="AZ18" s="2079">
        <f t="shared" si="9"/>
        <v>60000</v>
      </c>
      <c r="BA18" s="2078">
        <f t="shared" si="15"/>
        <v>65576400</v>
      </c>
      <c r="BB18" s="2077">
        <f t="shared" si="10"/>
        <v>3000</v>
      </c>
      <c r="BC18" s="2078">
        <f t="shared" si="16"/>
        <v>3278820</v>
      </c>
      <c r="BD18" s="2080">
        <f t="shared" si="11"/>
        <v>45689</v>
      </c>
      <c r="BE18" s="2080">
        <f t="shared" si="12"/>
        <v>49340</v>
      </c>
      <c r="BF18" s="2081">
        <f t="shared" si="13"/>
        <v>2.5000000000000001E-2</v>
      </c>
      <c r="BG18" s="1121" t="s">
        <v>509</v>
      </c>
    </row>
    <row r="19" spans="1:59" ht="11.25" customHeight="1">
      <c r="B19" s="272" t="s">
        <v>424</v>
      </c>
      <c r="C19" s="136"/>
      <c r="D19" s="136"/>
      <c r="E19" s="136"/>
      <c r="F19" s="136"/>
      <c r="G19" s="180"/>
      <c r="H19" s="675"/>
      <c r="I19" s="180"/>
      <c r="J19" s="672">
        <v>0.68049999999999999</v>
      </c>
      <c r="K19" s="672">
        <v>2.8365</v>
      </c>
      <c r="L19" s="26"/>
      <c r="M19" s="912" t="s">
        <v>252</v>
      </c>
      <c r="N19" s="2738"/>
      <c r="O19" s="2738"/>
      <c r="P19" s="2740">
        <f>TIC!J29</f>
        <v>80269.630531999996</v>
      </c>
      <c r="Q19" s="2741">
        <f t="shared" si="2"/>
        <v>2.7784572700588435E-4</v>
      </c>
      <c r="R19" s="5" t="s">
        <v>1082</v>
      </c>
      <c r="S19" s="2033">
        <f>Y54/(P8-T14-T21-T20)</f>
        <v>5.3909358213683853E-2</v>
      </c>
      <c r="T19" s="13">
        <f>P42</f>
        <v>50000000</v>
      </c>
      <c r="U19" s="81">
        <f t="shared" si="17"/>
        <v>0.16728002676480427</v>
      </c>
      <c r="V19" s="684" t="s">
        <v>436</v>
      </c>
      <c r="W19" s="689" t="s">
        <v>437</v>
      </c>
      <c r="X19" s="689" t="s">
        <v>433</v>
      </c>
      <c r="Y19" s="23">
        <v>17.29</v>
      </c>
      <c r="Z19" s="24">
        <v>45778</v>
      </c>
      <c r="AA19" s="24">
        <v>47603</v>
      </c>
      <c r="AB19" s="680">
        <f t="shared" si="3"/>
        <v>60</v>
      </c>
      <c r="AC19" s="868">
        <v>60000</v>
      </c>
      <c r="AD19" s="868">
        <v>3000</v>
      </c>
      <c r="AE19" s="868">
        <v>360000</v>
      </c>
      <c r="AF19" s="25">
        <v>2.5000000000000001E-2</v>
      </c>
      <c r="AG19" s="1200">
        <f>'Rent-roll'!K102</f>
        <v>0.375</v>
      </c>
      <c r="AH19" s="259">
        <f t="shared" si="1"/>
        <v>42</v>
      </c>
      <c r="AK19" s="1681"/>
      <c r="AL19" s="1681"/>
      <c r="AM19" s="1681"/>
      <c r="AN19" s="1681"/>
      <c r="AO19" s="1681"/>
      <c r="AT19" s="1108">
        <f t="shared" si="4"/>
        <v>1</v>
      </c>
      <c r="AU19" s="1120" t="str">
        <f t="shared" si="5"/>
        <v>용마로지스</v>
      </c>
      <c r="AV19" s="1114" t="str">
        <f t="shared" si="6"/>
        <v>상온창고</v>
      </c>
      <c r="AW19" s="2066">
        <f t="shared" si="7"/>
        <v>856.05</v>
      </c>
      <c r="AX19" s="2067">
        <f t="shared" si="8"/>
        <v>360000</v>
      </c>
      <c r="AY19" s="2068">
        <f t="shared" si="14"/>
        <v>308178000</v>
      </c>
      <c r="AZ19" s="2067">
        <f t="shared" si="9"/>
        <v>60000</v>
      </c>
      <c r="BA19" s="2068">
        <f t="shared" si="15"/>
        <v>51363000</v>
      </c>
      <c r="BB19" s="2067">
        <f t="shared" si="10"/>
        <v>3000</v>
      </c>
      <c r="BC19" s="2068">
        <f t="shared" si="16"/>
        <v>2568150</v>
      </c>
      <c r="BD19" s="2069">
        <f t="shared" si="11"/>
        <v>45612</v>
      </c>
      <c r="BE19" s="2069">
        <f t="shared" si="12"/>
        <v>47514</v>
      </c>
      <c r="BF19" s="2070">
        <f t="shared" si="13"/>
        <v>2.5000000000000001E-2</v>
      </c>
      <c r="BG19" s="1114" t="s">
        <v>509</v>
      </c>
    </row>
    <row r="20" spans="1:59" ht="11.25" customHeight="1">
      <c r="B20" s="12" t="s">
        <v>74</v>
      </c>
      <c r="C20" s="5"/>
      <c r="D20" s="5"/>
      <c r="E20" s="5"/>
      <c r="F20" s="5"/>
      <c r="G20" s="5"/>
      <c r="H20" s="5"/>
      <c r="I20" s="5"/>
      <c r="J20" s="5"/>
      <c r="K20" s="45" t="s">
        <v>423</v>
      </c>
      <c r="L20" s="26"/>
      <c r="M20" s="912" t="s">
        <v>244</v>
      </c>
      <c r="N20" s="2738"/>
      <c r="O20" s="2738"/>
      <c r="P20" s="2740">
        <f>TIC!J30</f>
        <v>0</v>
      </c>
      <c r="Q20" s="2741">
        <f t="shared" si="2"/>
        <v>0</v>
      </c>
      <c r="R20" s="5" t="s">
        <v>1086</v>
      </c>
      <c r="S20" s="2033">
        <f>Y54/(P8-T14-T21)</f>
        <v>5.1779395423731903E-2</v>
      </c>
      <c r="T20" s="13">
        <f>P43</f>
        <v>10000000</v>
      </c>
      <c r="U20" s="81">
        <f t="shared" si="17"/>
        <v>3.3456005352960859E-2</v>
      </c>
      <c r="V20" s="1861">
        <v>1</v>
      </c>
      <c r="W20" s="689" t="s">
        <v>428</v>
      </c>
      <c r="X20" s="689" t="s">
        <v>433</v>
      </c>
      <c r="Y20" s="23">
        <f>SUM('Rentroll(개시시점 기준)'!I70:I72)-Y19</f>
        <v>141.01000000000002</v>
      </c>
      <c r="Z20" s="24">
        <f>'A&amp;R'!$D$37</f>
        <v>46326</v>
      </c>
      <c r="AA20" s="24">
        <f>'A&amp;R'!$E$37</f>
        <v>49979</v>
      </c>
      <c r="AB20" s="680">
        <f t="shared" si="3"/>
        <v>120</v>
      </c>
      <c r="AC20" s="869"/>
      <c r="AD20" s="869"/>
      <c r="AE20" s="869"/>
      <c r="AF20" s="25">
        <v>2.5000000000000001E-2</v>
      </c>
      <c r="AG20" s="1200">
        <f>'Rent-roll'!K103</f>
        <v>0</v>
      </c>
      <c r="AH20" s="259">
        <f t="shared" si="1"/>
        <v>120</v>
      </c>
      <c r="AK20" s="1681"/>
      <c r="AL20" s="1681"/>
      <c r="AM20" s="1681"/>
      <c r="AN20" s="1681"/>
      <c r="AO20" s="1681"/>
      <c r="AT20" s="1108" t="str">
        <f t="shared" si="4"/>
        <v>1F</v>
      </c>
      <c r="AU20" s="1120" t="str">
        <f t="shared" si="5"/>
        <v>아이팜</v>
      </c>
      <c r="AV20" s="1114" t="str">
        <f t="shared" si="6"/>
        <v>근린생활시설</v>
      </c>
      <c r="AW20" s="2066">
        <f t="shared" si="7"/>
        <v>17.29</v>
      </c>
      <c r="AX20" s="2067">
        <f t="shared" si="8"/>
        <v>360000</v>
      </c>
      <c r="AY20" s="2068">
        <f t="shared" si="14"/>
        <v>6224400</v>
      </c>
      <c r="AZ20" s="2067">
        <f t="shared" si="9"/>
        <v>60000</v>
      </c>
      <c r="BA20" s="2068">
        <f t="shared" si="15"/>
        <v>1037400</v>
      </c>
      <c r="BB20" s="2067">
        <f t="shared" si="10"/>
        <v>3000</v>
      </c>
      <c r="BC20" s="2068">
        <f t="shared" si="16"/>
        <v>51870</v>
      </c>
      <c r="BD20" s="2069">
        <f t="shared" si="11"/>
        <v>45778</v>
      </c>
      <c r="BE20" s="2069">
        <f t="shared" si="12"/>
        <v>47603</v>
      </c>
      <c r="BF20" s="2070">
        <f t="shared" si="13"/>
        <v>2.5000000000000001E-2</v>
      </c>
      <c r="BG20" s="1114" t="s">
        <v>509</v>
      </c>
    </row>
    <row r="21" spans="1:59" ht="11.25" customHeight="1">
      <c r="B21" s="12" t="s">
        <v>76</v>
      </c>
      <c r="C21" s="5"/>
      <c r="D21" s="5"/>
      <c r="E21" s="5"/>
      <c r="F21" s="5"/>
      <c r="G21" s="5"/>
      <c r="H21" s="5"/>
      <c r="I21" s="5"/>
      <c r="J21" s="5"/>
      <c r="K21" s="45" t="s">
        <v>426</v>
      </c>
      <c r="L21" s="26"/>
      <c r="M21" s="912" t="s">
        <v>68</v>
      </c>
      <c r="N21" s="2738"/>
      <c r="O21" s="2738"/>
      <c r="P21" s="2740">
        <f>TIC!J31</f>
        <v>0</v>
      </c>
      <c r="Q21" s="2741">
        <f t="shared" si="2"/>
        <v>0</v>
      </c>
      <c r="R21" s="5" t="s">
        <v>19</v>
      </c>
      <c r="S21" s="2034">
        <f>Y54/(P8-T14)</f>
        <v>4.8918868912827713E-2</v>
      </c>
      <c r="T21" s="13">
        <f>P44</f>
        <v>14800000</v>
      </c>
      <c r="U21" s="81">
        <f t="shared" si="17"/>
        <v>4.9514887922382067E-2</v>
      </c>
      <c r="V21" s="1861" t="s">
        <v>368</v>
      </c>
      <c r="W21" s="689" t="s">
        <v>334</v>
      </c>
      <c r="X21" s="689" t="s">
        <v>435</v>
      </c>
      <c r="Y21" s="23">
        <f>'Rentroll(개시시점 기준)'!I73</f>
        <v>2745.32</v>
      </c>
      <c r="Z21" s="24">
        <f>'Rentroll(개시시점 기준)'!V73</f>
        <v>45748</v>
      </c>
      <c r="AA21" s="24">
        <f>'Rentroll(개시시점 기준)'!W73</f>
        <v>49064</v>
      </c>
      <c r="AB21" s="680">
        <f t="shared" si="3"/>
        <v>109</v>
      </c>
      <c r="AC21" s="868">
        <f>'Rentroll(개시시점 기준)'!P73</f>
        <v>60000</v>
      </c>
      <c r="AD21" s="868">
        <f>'Rentroll(개시시점 기준)'!S73</f>
        <v>3000</v>
      </c>
      <c r="AE21" s="868">
        <f>'Rentroll(개시시점 기준)'!N73</f>
        <v>360000</v>
      </c>
      <c r="AF21" s="25">
        <f>'Rentroll(개시시점 기준)'!AG73</f>
        <v>2.5000000000000001E-2</v>
      </c>
      <c r="AG21" s="1200">
        <f>'Rent-roll'!K104</f>
        <v>0.58333333333333337</v>
      </c>
      <c r="AH21" s="259">
        <f t="shared" si="1"/>
        <v>90</v>
      </c>
      <c r="AK21" s="1681"/>
      <c r="AL21" s="1681"/>
      <c r="AM21" s="1681"/>
      <c r="AN21" s="1681"/>
      <c r="AO21" s="1681"/>
      <c r="AT21" s="1108">
        <f t="shared" si="4"/>
        <v>1</v>
      </c>
      <c r="AU21" s="1120" t="str">
        <f t="shared" si="5"/>
        <v>공실</v>
      </c>
      <c r="AV21" s="1114" t="str">
        <f t="shared" si="6"/>
        <v>근린생활시설</v>
      </c>
      <c r="AW21" s="2066">
        <f t="shared" si="7"/>
        <v>141.01000000000002</v>
      </c>
      <c r="AX21" s="2067">
        <f t="shared" si="8"/>
        <v>0</v>
      </c>
      <c r="AY21" s="2068">
        <f t="shared" si="14"/>
        <v>0</v>
      </c>
      <c r="AZ21" s="2067">
        <f t="shared" si="9"/>
        <v>0</v>
      </c>
      <c r="BA21" s="2068">
        <f t="shared" si="15"/>
        <v>0</v>
      </c>
      <c r="BB21" s="2067">
        <f t="shared" si="10"/>
        <v>0</v>
      </c>
      <c r="BC21" s="2068">
        <f t="shared" si="16"/>
        <v>0</v>
      </c>
      <c r="BD21" s="2069">
        <f t="shared" si="11"/>
        <v>46326</v>
      </c>
      <c r="BE21" s="2069">
        <f t="shared" si="12"/>
        <v>49979</v>
      </c>
      <c r="BF21" s="2070">
        <f t="shared" si="13"/>
        <v>2.5000000000000001E-2</v>
      </c>
      <c r="BG21" s="1114" t="s">
        <v>509</v>
      </c>
    </row>
    <row r="22" spans="1:59" ht="11.25" customHeight="1" thickBot="1">
      <c r="B22" s="663" t="s">
        <v>79</v>
      </c>
      <c r="C22" s="664"/>
      <c r="D22" s="664"/>
      <c r="E22" s="664"/>
      <c r="F22" s="664"/>
      <c r="G22" s="664"/>
      <c r="H22" s="664"/>
      <c r="I22" s="664"/>
      <c r="J22" s="665">
        <v>15019.5</v>
      </c>
      <c r="K22" s="666">
        <f t="shared" ref="K22:K27" si="18">J22*py</f>
        <v>4543.3987500000003</v>
      </c>
      <c r="L22" s="28"/>
      <c r="M22" s="29" t="s">
        <v>44</v>
      </c>
      <c r="N22" s="46"/>
      <c r="O22" s="46"/>
      <c r="P22" s="1137">
        <f>SUM(P18:P21)</f>
        <v>12578300.125132002</v>
      </c>
      <c r="Q22" s="1138">
        <f>SUM(Q18:Q21)</f>
        <v>4.353859510256837E-2</v>
      </c>
      <c r="R22" s="5" t="s">
        <v>1032</v>
      </c>
      <c r="S22" s="1936"/>
      <c r="T22" s="13">
        <f>P45</f>
        <v>0</v>
      </c>
      <c r="U22" s="81">
        <f t="shared" si="17"/>
        <v>0</v>
      </c>
      <c r="V22" s="99" t="str">
        <f>'A&amp;R'!L58</f>
        <v>B2</v>
      </c>
      <c r="W22" s="689" t="s">
        <v>334</v>
      </c>
      <c r="X22" s="689" t="s">
        <v>435</v>
      </c>
      <c r="Y22" s="23">
        <f>'Rentroll(개시시점 기준)'!I74</f>
        <v>2728.21</v>
      </c>
      <c r="Z22" s="24">
        <v>45992</v>
      </c>
      <c r="AA22" s="24">
        <v>49064</v>
      </c>
      <c r="AB22" s="680">
        <f t="shared" si="3"/>
        <v>101</v>
      </c>
      <c r="AC22" s="868">
        <f>'Rentroll(개시시점 기준)'!P74</f>
        <v>60000</v>
      </c>
      <c r="AD22" s="868">
        <f>'Rentroll(개시시점 기준)'!S74</f>
        <v>3000</v>
      </c>
      <c r="AE22" s="868">
        <v>360000</v>
      </c>
      <c r="AF22" s="25">
        <v>2.5000000000000001E-2</v>
      </c>
      <c r="AG22" s="1200">
        <f>'Rent-roll'!K105</f>
        <v>0.58333333333333337</v>
      </c>
      <c r="AH22" s="259">
        <f t="shared" si="1"/>
        <v>90</v>
      </c>
      <c r="AK22" s="783">
        <f>($AI$24*12/(12-$AF26)-$AC26)</f>
        <v>57419.380255767581</v>
      </c>
      <c r="AL22" s="783">
        <f>AK22*(12-AF26)/12+AC26</f>
        <v>58425.651774664548</v>
      </c>
      <c r="AM22" s="1681"/>
      <c r="AN22" s="1681"/>
      <c r="AO22" s="1681"/>
      <c r="AT22" s="1101" t="str">
        <f t="shared" si="4"/>
        <v>B1</v>
      </c>
      <c r="AU22" s="1120" t="str">
        <f t="shared" si="5"/>
        <v>쿠팡</v>
      </c>
      <c r="AV22" s="1114" t="str">
        <f t="shared" si="6"/>
        <v>상온창고</v>
      </c>
      <c r="AW22" s="2066">
        <f t="shared" si="7"/>
        <v>2745.32</v>
      </c>
      <c r="AX22" s="2067">
        <f t="shared" si="8"/>
        <v>360000</v>
      </c>
      <c r="AY22" s="2068">
        <f t="shared" si="14"/>
        <v>988315200</v>
      </c>
      <c r="AZ22" s="2067">
        <f t="shared" si="9"/>
        <v>60000</v>
      </c>
      <c r="BA22" s="2068">
        <f t="shared" si="15"/>
        <v>164719200</v>
      </c>
      <c r="BB22" s="2067">
        <f t="shared" si="10"/>
        <v>3000</v>
      </c>
      <c r="BC22" s="2068">
        <f t="shared" si="16"/>
        <v>8235960.0000000009</v>
      </c>
      <c r="BD22" s="2069">
        <f t="shared" si="11"/>
        <v>45748</v>
      </c>
      <c r="BE22" s="2069">
        <f t="shared" si="12"/>
        <v>49064</v>
      </c>
      <c r="BF22" s="2070">
        <f t="shared" si="13"/>
        <v>2.5000000000000001E-2</v>
      </c>
      <c r="BG22" s="1114" t="s">
        <v>509</v>
      </c>
    </row>
    <row r="23" spans="1:59" ht="11.25" customHeight="1" thickBot="1">
      <c r="B23" s="12" t="s">
        <v>81</v>
      </c>
      <c r="C23" s="5"/>
      <c r="D23" s="5"/>
      <c r="E23" s="5"/>
      <c r="F23" s="5"/>
      <c r="G23" s="5"/>
      <c r="H23" s="5"/>
      <c r="I23" s="5"/>
      <c r="J23" s="55">
        <v>0</v>
      </c>
      <c r="K23" s="667">
        <f t="shared" si="18"/>
        <v>0</v>
      </c>
      <c r="L23" s="26" t="s">
        <v>48</v>
      </c>
      <c r="M23" s="5" t="s">
        <v>72</v>
      </c>
      <c r="N23" s="90">
        <f>TIC!G47</f>
        <v>4380000</v>
      </c>
      <c r="O23" s="90">
        <v>4380000</v>
      </c>
      <c r="P23" s="2616">
        <f>TIC!J33</f>
        <v>4380000</v>
      </c>
      <c r="Q23" s="1136">
        <f t="shared" si="2"/>
        <v>1.5160955347871236E-2</v>
      </c>
      <c r="R23" s="1125" t="s">
        <v>62</v>
      </c>
      <c r="S23" s="1126" t="b">
        <f>T23=SUM(T24:T27)</f>
        <v>1</v>
      </c>
      <c r="T23" s="1127">
        <f>SUM(T14:T22)</f>
        <v>298900000</v>
      </c>
      <c r="U23" s="1128">
        <f>SUM(U14:U22)</f>
        <v>1</v>
      </c>
      <c r="V23" s="1862" t="s">
        <v>59</v>
      </c>
      <c r="W23" s="1876" t="s">
        <v>428</v>
      </c>
      <c r="X23" s="1877" cm="1">
        <f t="array" ref="X23">SUMPRODUCT(($W23=$W$7:$W$22)*($Y$7:$Y$22))/Y23</f>
        <v>6.7500938244372463E-3</v>
      </c>
      <c r="Y23" s="687">
        <f>SUM(Y7:Y22)</f>
        <v>20890.079999999998</v>
      </c>
      <c r="Z23" s="1959">
        <f>1-X23</f>
        <v>0.99324990617556275</v>
      </c>
      <c r="AA23" s="1123">
        <f>AC23/Y23</f>
        <v>57604.4335397471</v>
      </c>
      <c r="AB23" s="1123">
        <f>AE23/Y23</f>
        <v>344906.0423894978</v>
      </c>
      <c r="AC23" s="690">
        <f>SUMPRODUCT($Y7:$Y22,AC7:AC22)</f>
        <v>1203361225</v>
      </c>
      <c r="AD23" s="690">
        <f>SUMPRODUCT($Y7:$Y22,AD7:AD22)</f>
        <v>62086730</v>
      </c>
      <c r="AE23" s="690">
        <f>SUMPRODUCT($Y7:$Y22,AE7:AE22)</f>
        <v>7205114818</v>
      </c>
      <c r="AF23" s="688"/>
      <c r="AG23" s="1201">
        <f>SUMPRODUCT(Y7:Y22,AG7:AG22)/Y23</f>
        <v>0.45731391007917005</v>
      </c>
      <c r="AH23" s="1865" t="s">
        <v>1111</v>
      </c>
      <c r="AI23" s="1882">
        <v>1</v>
      </c>
      <c r="AJ23" s="783">
        <f>$AJ$24*(1+$AN$37)</f>
        <v>58321.485107997876</v>
      </c>
      <c r="AK23" s="1681"/>
      <c r="AL23" s="1681"/>
      <c r="AM23" s="1681"/>
      <c r="AN23" s="1681"/>
      <c r="AO23" s="1681"/>
      <c r="AT23" s="1101" t="str">
        <f t="shared" si="4"/>
        <v>B2</v>
      </c>
      <c r="AU23" s="1120" t="str">
        <f t="shared" si="5"/>
        <v>쿠팡</v>
      </c>
      <c r="AV23" s="1114" t="str">
        <f t="shared" si="6"/>
        <v>상온창고</v>
      </c>
      <c r="AW23" s="2066">
        <f t="shared" si="7"/>
        <v>2728.21</v>
      </c>
      <c r="AX23" s="2067">
        <f t="shared" si="8"/>
        <v>360000</v>
      </c>
      <c r="AY23" s="2068">
        <f t="shared" si="14"/>
        <v>982155600</v>
      </c>
      <c r="AZ23" s="2067">
        <f t="shared" si="9"/>
        <v>60000</v>
      </c>
      <c r="BA23" s="2068">
        <f t="shared" si="15"/>
        <v>163692600</v>
      </c>
      <c r="BB23" s="2067">
        <f t="shared" si="10"/>
        <v>3000</v>
      </c>
      <c r="BC23" s="2068">
        <f t="shared" si="16"/>
        <v>8184630</v>
      </c>
      <c r="BD23" s="2069">
        <f t="shared" si="11"/>
        <v>45992</v>
      </c>
      <c r="BE23" s="2069">
        <f t="shared" si="12"/>
        <v>49064</v>
      </c>
      <c r="BF23" s="2070">
        <f t="shared" si="13"/>
        <v>2.5000000000000001E-2</v>
      </c>
      <c r="BG23" s="1114" t="s">
        <v>509</v>
      </c>
    </row>
    <row r="24" spans="1:59" ht="11.25" customHeight="1" thickBot="1">
      <c r="B24" s="668" t="s">
        <v>84</v>
      </c>
      <c r="C24" s="669"/>
      <c r="D24" s="669"/>
      <c r="E24" s="669"/>
      <c r="F24" s="669"/>
      <c r="G24" s="669"/>
      <c r="H24" s="669"/>
      <c r="I24" s="669"/>
      <c r="J24" s="670">
        <f>J22-J23</f>
        <v>15019.5</v>
      </c>
      <c r="K24" s="671">
        <f t="shared" si="18"/>
        <v>4543.3987500000003</v>
      </c>
      <c r="L24" s="50"/>
      <c r="M24" s="51" t="s">
        <v>44</v>
      </c>
      <c r="N24" s="52"/>
      <c r="O24" s="52"/>
      <c r="P24" s="1139">
        <f>P23</f>
        <v>4380000</v>
      </c>
      <c r="Q24" s="1140">
        <f>Q23</f>
        <v>1.5160955347871236E-2</v>
      </c>
      <c r="R24" s="21" t="s">
        <v>640</v>
      </c>
      <c r="S24" s="21"/>
      <c r="T24" s="1124">
        <f>SUM(P8)</f>
        <v>270000000</v>
      </c>
      <c r="U24" s="1858">
        <f>T24/$T$23</f>
        <v>0.90331214452994313</v>
      </c>
      <c r="V24" s="60" t="s">
        <v>472</v>
      </c>
      <c r="W24" s="697"/>
      <c r="X24" s="697"/>
      <c r="Y24" s="1733" t="s">
        <v>1204</v>
      </c>
      <c r="Z24" s="759"/>
      <c r="AA24" s="1734"/>
      <c r="AB24" s="1733" t="s">
        <v>1203</v>
      </c>
      <c r="AC24" s="759"/>
      <c r="AD24" s="1734"/>
      <c r="AE24" s="759" t="s">
        <v>90</v>
      </c>
      <c r="AF24" s="759"/>
      <c r="AG24" s="1658"/>
      <c r="AH24" s="1865" t="s">
        <v>1110</v>
      </c>
      <c r="AI24" s="1882">
        <f>$AJ$24*(1+$AN$37)</f>
        <v>58321.485107997876</v>
      </c>
      <c r="AJ24" s="783">
        <v>58321.485107997876</v>
      </c>
      <c r="AK24" s="1681">
        <f>$AJ$24*(1+$AN$37)</f>
        <v>58321.485107997876</v>
      </c>
      <c r="AL24" s="1681"/>
      <c r="AM24" s="1681"/>
      <c r="AN24" s="1681"/>
      <c r="AO24" s="1681"/>
      <c r="AT24" s="1110" t="s">
        <v>639</v>
      </c>
      <c r="AU24" s="1111"/>
      <c r="AV24" s="1122"/>
      <c r="AW24" s="2082">
        <f>SUM(AW8:AW23)</f>
        <v>20890.079999999998</v>
      </c>
      <c r="AX24" s="2083"/>
      <c r="AY24" s="2084">
        <f>SUM(AY8:AY23)</f>
        <v>7205114818</v>
      </c>
      <c r="AZ24" s="2083"/>
      <c r="BA24" s="2084">
        <f>SUM(BA8:BA23)</f>
        <v>1203361225</v>
      </c>
      <c r="BB24" s="2083"/>
      <c r="BC24" s="2084">
        <f>SUM(BC8:BC23)</f>
        <v>62086730</v>
      </c>
      <c r="BD24" s="2085"/>
      <c r="BE24" s="2085"/>
      <c r="BF24" s="2086"/>
      <c r="BG24" s="1122"/>
    </row>
    <row r="25" spans="1:59" ht="11.25" customHeight="1">
      <c r="B25" s="12" t="s">
        <v>87</v>
      </c>
      <c r="C25" s="5"/>
      <c r="D25" s="5"/>
      <c r="E25" s="5"/>
      <c r="F25" s="5"/>
      <c r="G25" s="5"/>
      <c r="H25" s="5"/>
      <c r="I25" s="5"/>
      <c r="J25" s="55">
        <f>J22*50.76%</f>
        <v>7623.8981999999987</v>
      </c>
      <c r="K25" s="23">
        <f t="shared" si="18"/>
        <v>2306.2292054999994</v>
      </c>
      <c r="L25" s="26" t="s">
        <v>68</v>
      </c>
      <c r="M25" s="5" t="s">
        <v>586</v>
      </c>
      <c r="N25" s="5"/>
      <c r="O25" s="13"/>
      <c r="P25" s="1135">
        <f>TIC!J35</f>
        <v>0</v>
      </c>
      <c r="Q25" s="1136">
        <f t="shared" si="2"/>
        <v>0</v>
      </c>
      <c r="R25" s="5" t="s">
        <v>641</v>
      </c>
      <c r="S25" s="5"/>
      <c r="T25" s="1082">
        <f>SUM(P10,P17,P22,P27,P24)</f>
        <v>18899999.999999955</v>
      </c>
      <c r="U25" s="1859">
        <f>T25/$T$23</f>
        <v>6.3231850117095867E-2</v>
      </c>
      <c r="V25" s="698" t="s">
        <v>24</v>
      </c>
      <c r="W25" s="20"/>
      <c r="X25" s="16" t="s">
        <v>482</v>
      </c>
      <c r="Y25" s="698" t="s">
        <v>478</v>
      </c>
      <c r="Z25" s="20" t="s">
        <v>479</v>
      </c>
      <c r="AA25" s="686" t="s">
        <v>480</v>
      </c>
      <c r="AB25" s="698" t="s">
        <v>478</v>
      </c>
      <c r="AC25" s="20" t="s">
        <v>838</v>
      </c>
      <c r="AD25" s="686" t="s">
        <v>480</v>
      </c>
      <c r="AE25" s="20"/>
      <c r="AF25" s="20"/>
      <c r="AG25" s="1659" t="s">
        <v>1026</v>
      </c>
      <c r="AH25" s="1659" t="s">
        <v>1041</v>
      </c>
      <c r="AI25" s="1864" t="s">
        <v>1106</v>
      </c>
      <c r="AW25" s="1402">
        <f>AW24/0.3025</f>
        <v>69058.115702479336</v>
      </c>
    </row>
    <row r="26" spans="1:59" ht="11.25" customHeight="1">
      <c r="B26" s="12"/>
      <c r="C26" s="5" t="s">
        <v>107</v>
      </c>
      <c r="D26" s="5"/>
      <c r="E26" s="5"/>
      <c r="F26" s="5"/>
      <c r="G26" s="5"/>
      <c r="H26" s="5"/>
      <c r="I26" s="5"/>
      <c r="J26" s="55">
        <f>J22*$K$19</f>
        <v>42602.811750000001</v>
      </c>
      <c r="K26" s="23">
        <f t="shared" si="18"/>
        <v>12887.350554375</v>
      </c>
      <c r="L26" s="50"/>
      <c r="M26" s="53" t="s">
        <v>68</v>
      </c>
      <c r="N26" s="53"/>
      <c r="O26" s="53"/>
      <c r="P26" s="1141">
        <f>TIC!J36</f>
        <v>245384.77486795187</v>
      </c>
      <c r="Q26" s="1142">
        <f t="shared" si="2"/>
        <v>8.4937616776722697E-4</v>
      </c>
      <c r="R26" s="5" t="s">
        <v>72</v>
      </c>
      <c r="S26" s="5"/>
      <c r="T26" s="1082"/>
      <c r="U26" s="1859">
        <f>T26/$T$23</f>
        <v>0</v>
      </c>
      <c r="V26" s="261" t="s">
        <v>429</v>
      </c>
      <c r="W26" s="783" cm="1">
        <f t="array" ref="W26">(SUMPRODUCT(($V26=$W$7:$W$22)*($Y$7:$Y$22)))</f>
        <v>479.38</v>
      </c>
      <c r="X26" s="760">
        <v>1</v>
      </c>
      <c r="Y26" s="1735" cm="1">
        <f t="array" ref="Y26">SUMPRODUCT(($V26=$W$7:$W$22)*($Y$7:$Y$22)*($AC$7:$AC$22))/(SUMPRODUCT(($V26=$W$7:$W$22)*($Y$7:$Y$22)))</f>
        <v>40000</v>
      </c>
      <c r="Z26" s="783" cm="1">
        <f t="array" ref="Z26">SUMPRODUCT(($V26=$W$7:$W$22)*($Y$7:$Y$22)*($AD$7:$AD$22))/(SUMPRODUCT(($V26=$W$7:$W$22)*($Y$7:$Y$22)))</f>
        <v>3000</v>
      </c>
      <c r="AA26" s="1736" cm="1">
        <f t="array" ref="AA26">SUMPRODUCT(($V26=$W$7:$W$22)*($Y$7:$Y$22)*($AE$7:$AE$22))/(SUMPRODUCT(($V26=$W$7:$W$22)*($Y$7:$Y$22)))</f>
        <v>208600</v>
      </c>
      <c r="AB26" s="1738">
        <f>(($AI$24-$AC26)*(12/(12-$AF26))*($AI$23=1)+($AI$23=0)*40000)</f>
        <v>57311.466586702838</v>
      </c>
      <c r="AC26" s="1732">
        <f t="shared" ref="AC26:AC31" si="19">Z26*($X26=1)</f>
        <v>3000</v>
      </c>
      <c r="AD26" s="1736">
        <f t="shared" ref="AD26:AD31" si="20">AA26*($X26=1)</f>
        <v>208600</v>
      </c>
      <c r="AE26" s="879" t="s">
        <v>493</v>
      </c>
      <c r="AF26" s="1863">
        <f>AG9</f>
        <v>0.41666666666666669</v>
      </c>
      <c r="AG26" s="1660" cm="1">
        <f t="array" ref="AG26">SUMPRODUCT(($V26=$W$7:$W$22)*($Y$7:$Y$22))/$Y$23</f>
        <v>2.2947734044101317E-2</v>
      </c>
      <c r="AH26" s="1683">
        <f>(Y26*(12-$AF26))/12+Z26</f>
        <v>41611.111111111117</v>
      </c>
      <c r="AI26" s="1683">
        <f>(AB26*(12-AF26))/12+AC26</f>
        <v>58321.485107997876</v>
      </c>
      <c r="AJ26" s="783">
        <v>61899.280575539553</v>
      </c>
      <c r="AK26" s="783">
        <v>40000</v>
      </c>
      <c r="AL26" s="259">
        <f t="shared" ref="AL26:AL31" si="21">($AI$24*12-$AC26)/(12-$AF26)</f>
        <v>60160.387450012189</v>
      </c>
      <c r="AM26" s="259" t="b">
        <f t="shared" ref="AM26:AM31" si="22">AL26=AJ26</f>
        <v>0</v>
      </c>
    </row>
    <row r="27" spans="1:59" ht="11.25" customHeight="1">
      <c r="B27" s="1717" t="s">
        <v>29</v>
      </c>
      <c r="C27" s="56"/>
      <c r="D27" s="56"/>
      <c r="E27" s="56"/>
      <c r="F27" s="56"/>
      <c r="G27" s="56"/>
      <c r="H27" s="56"/>
      <c r="I27" s="56"/>
      <c r="J27" s="1720">
        <f>'A&amp;R'!T59</f>
        <v>69058.085578024868</v>
      </c>
      <c r="K27" s="1721">
        <f t="shared" si="18"/>
        <v>20890.070887352522</v>
      </c>
      <c r="L27" s="26"/>
      <c r="M27" s="56" t="s">
        <v>44</v>
      </c>
      <c r="N27" s="57"/>
      <c r="O27" s="57"/>
      <c r="P27" s="1143">
        <f>SUM(P25:P26)</f>
        <v>245384.77486795187</v>
      </c>
      <c r="Q27" s="1144">
        <f>SUM(Q25:Q26)</f>
        <v>8.4937616776722697E-4</v>
      </c>
      <c r="R27" s="180" t="s">
        <v>77</v>
      </c>
      <c r="S27" s="884" t="s">
        <v>846</v>
      </c>
      <c r="T27" s="1129">
        <f>T12</f>
        <v>10000000</v>
      </c>
      <c r="U27" s="1860">
        <f>T27/$T$23</f>
        <v>3.3456005352960859E-2</v>
      </c>
      <c r="V27" s="261" t="s">
        <v>334</v>
      </c>
      <c r="W27" s="783" cm="1">
        <f t="array" ref="W27">(SUMPRODUCT(($V27=$W$7:$W$22)*($Y$7:$Y$22)))</f>
        <v>16117.849999999999</v>
      </c>
      <c r="X27" s="760">
        <v>1</v>
      </c>
      <c r="Y27" s="1735" cm="1">
        <f t="array" ref="Y27">SUMPRODUCT(($V27=$W$7:$W$22)*($Y$7:$Y$22)*($AC$7:$AC$22))/(SUMPRODUCT(($V27=$W$7:$W$22)*($Y$7:$Y$22)))</f>
        <v>59506.496524040122</v>
      </c>
      <c r="Z27" s="783" cm="1">
        <f t="array" ref="Z27">SUMPRODUCT(($V27=$W$7:$W$22)*($Y$7:$Y$22)*($AD$7:$AD$22))/(SUMPRODUCT(($V27=$W$7:$W$22)*($Y$7:$Y$22)))</f>
        <v>2990.0433370455739</v>
      </c>
      <c r="AA27" s="1736" cm="1">
        <f t="array" ref="AA27">SUMPRODUCT(($V27=$W$7:$W$22)*($Y$7:$Y$22)*($AE$7:$AE$22))/(SUMPRODUCT(($V27=$W$7:$W$22)*($Y$7:$Y$22)))</f>
        <v>357038.97914424073</v>
      </c>
      <c r="AB27" s="1738">
        <f>(($AI$24-$AC27)*(12/(12-$AF27))*($AI$23=1)+($AI$23=0)*60000)</f>
        <v>57698.001860542106</v>
      </c>
      <c r="AC27" s="1732">
        <f t="shared" si="19"/>
        <v>2990.0433370455739</v>
      </c>
      <c r="AD27" s="1736">
        <f t="shared" si="20"/>
        <v>357038.97914424073</v>
      </c>
      <c r="AE27" s="879" t="s">
        <v>492</v>
      </c>
      <c r="AF27" s="1863" cm="1">
        <f t="array" ref="AF27">SUMPRODUCT(($V27=$W$7:$W$22)*($Y$7:$Y$22)*($AG$7:$AG$22))/(SUMPRODUCT(($V27=$W$7:$W$22)*($Y$7:$Y$22)))</f>
        <v>0.4921959194309416</v>
      </c>
      <c r="AG27" s="1660" cm="1">
        <f t="array" ref="AG27">SUMPRODUCT(($V27=$W$7:$W$22)*($Y$7:$Y$22))/$Y$23</f>
        <v>0.77155520706478864</v>
      </c>
      <c r="AH27" s="1683">
        <f t="shared" ref="AH27:AH32" si="23">(Y27*(12-$AF27))/12+Z27</f>
        <v>60055.801963688697</v>
      </c>
      <c r="AI27" s="1683">
        <f t="shared" ref="AI27:AI32" si="24">(AB27*(12-AF27))/12+AC27</f>
        <v>58321.485107997876</v>
      </c>
      <c r="AJ27" s="783">
        <v>62663.707605006675</v>
      </c>
      <c r="AK27" s="783">
        <v>60000</v>
      </c>
      <c r="AL27" s="259">
        <f t="shared" si="21"/>
        <v>60556.103760542035</v>
      </c>
      <c r="AM27" s="259" t="b">
        <f t="shared" si="22"/>
        <v>0</v>
      </c>
    </row>
    <row r="28" spans="1:59" ht="11.25" customHeight="1">
      <c r="B28" s="663" t="s">
        <v>94</v>
      </c>
      <c r="C28" s="664"/>
      <c r="D28" s="664"/>
      <c r="E28" s="664"/>
      <c r="F28" s="664"/>
      <c r="G28" s="664"/>
      <c r="H28" s="664"/>
      <c r="I28" s="664"/>
      <c r="J28" s="665"/>
      <c r="K28" s="1711"/>
      <c r="L28" s="58" t="s">
        <v>1070</v>
      </c>
      <c r="M28" s="1967"/>
      <c r="N28" s="59">
        <f>P28/K31</f>
        <v>10003.094250669728</v>
      </c>
      <c r="O28" s="968">
        <f>Y54/(P28-T14)</f>
        <v>4.5695135919618358E-2</v>
      </c>
      <c r="P28" s="1145">
        <f>SUM(P8,P10,P17,P22,P24,P27)</f>
        <v>288900000</v>
      </c>
      <c r="Q28" s="1146">
        <f>SUM(Q8,Q10,Q17,Q22,Q24,Q27)</f>
        <v>0.99999999999999978</v>
      </c>
      <c r="R28" s="5" t="s">
        <v>584</v>
      </c>
      <c r="S28" s="1006">
        <v>45323</v>
      </c>
      <c r="T28" s="90">
        <v>273000000</v>
      </c>
      <c r="U28" s="1307">
        <v>334500000</v>
      </c>
      <c r="V28" s="261" t="s">
        <v>341</v>
      </c>
      <c r="W28" s="783" cm="1">
        <f t="array" ref="W28">(SUMPRODUCT(($V28=$W$7:$W$22)*($Y$7:$Y$22)))</f>
        <v>2185.56</v>
      </c>
      <c r="X28" s="270">
        <v>1</v>
      </c>
      <c r="Y28" s="1735" cm="1">
        <f t="array" ref="Y28">SUMPRODUCT(($V28=$W$7:$W$22)*($Y$7:$Y$22)*($AC$7:$AC$22))/(SUMPRODUCT(($V28=$W$7:$W$22)*($Y$7:$Y$22)))</f>
        <v>49000</v>
      </c>
      <c r="Z28" s="783" cm="1">
        <f t="array" ref="Z28">SUMPRODUCT(($V28=$W$7:$W$22)*($Y$7:$Y$22)*($AD$7:$AD$22))/(SUMPRODUCT(($V28=$W$7:$W$22)*($Y$7:$Y$22)))</f>
        <v>3000</v>
      </c>
      <c r="AA28" s="1736" cm="1">
        <f t="array" ref="AA28">SUMPRODUCT(($V28=$W$7:$W$22)*($Y$7:$Y$22)*($AE$7:$AE$22))/(SUMPRODUCT(($V28=$W$7:$W$22)*($Y$7:$Y$22)))</f>
        <v>294000</v>
      </c>
      <c r="AB28" s="1739">
        <f>(($AI$24-$AC28)*(12/(12-$AF28))*($AI$23=1)+($AI$23=0)*60000)</f>
        <v>55321.485107997876</v>
      </c>
      <c r="AC28" s="1732">
        <f t="shared" si="19"/>
        <v>3000</v>
      </c>
      <c r="AD28" s="1736">
        <f t="shared" si="20"/>
        <v>294000</v>
      </c>
      <c r="AE28" s="879" t="s">
        <v>492</v>
      </c>
      <c r="AF28" s="1863" cm="1">
        <f t="array" ref="AF28">SUMPRODUCT(($V28=$W$7:$W$22)*($Y$7:$Y$22)*($AG$7:$AG$22))/(SUMPRODUCT(($V28=$W$7:$W$22)*($Y$7:$Y$22)))</f>
        <v>0</v>
      </c>
      <c r="AG28" s="1660" cm="1">
        <f t="array" ref="AG28">SUMPRODUCT(($V28=$W$7:$W$22)*($Y$7:$Y$22))/$Y$23</f>
        <v>0.10462190666574758</v>
      </c>
      <c r="AH28" s="1683">
        <f t="shared" si="23"/>
        <v>52000</v>
      </c>
      <c r="AI28" s="1683">
        <f t="shared" si="24"/>
        <v>58321.485107997876</v>
      </c>
      <c r="AJ28" s="783">
        <v>59750</v>
      </c>
      <c r="AK28" s="783">
        <v>60000</v>
      </c>
      <c r="AL28" s="259">
        <f t="shared" si="21"/>
        <v>58071.485107997876</v>
      </c>
      <c r="AM28" s="259" t="b">
        <f t="shared" si="22"/>
        <v>0</v>
      </c>
    </row>
    <row r="29" spans="1:59" ht="11.25" customHeight="1">
      <c r="A29" s="1302" t="s">
        <v>1205</v>
      </c>
      <c r="B29" s="12"/>
      <c r="C29" s="1712" t="s">
        <v>100</v>
      </c>
      <c r="D29" s="664"/>
      <c r="E29" s="664"/>
      <c r="F29" s="664"/>
      <c r="G29" s="664"/>
      <c r="H29" s="664"/>
      <c r="I29" s="664"/>
      <c r="J29" s="665">
        <f>SUM('A&amp;R'!U49:U56)</f>
        <v>70802.16</v>
      </c>
      <c r="K29" s="1713">
        <f>J29*py</f>
        <v>21417.653399999999</v>
      </c>
      <c r="L29" s="60" t="s">
        <v>85</v>
      </c>
      <c r="M29" s="61"/>
      <c r="N29" s="61"/>
      <c r="O29" s="61"/>
      <c r="P29" s="1309">
        <f>P44/2</f>
        <v>7400000</v>
      </c>
      <c r="Q29" s="61"/>
      <c r="R29" s="7"/>
      <c r="S29" s="7"/>
      <c r="T29" s="7"/>
      <c r="U29" s="7"/>
      <c r="V29" s="261" t="s">
        <v>473</v>
      </c>
      <c r="W29" s="783" cm="1">
        <f t="array" ref="W29">(SUMPRODUCT(($V29=$W$7:$W$22)*($Y$7:$Y$22)))</f>
        <v>1092.94</v>
      </c>
      <c r="X29" s="270">
        <v>1</v>
      </c>
      <c r="Y29" s="1735" cm="1">
        <f t="array" ref="Y29">SUMPRODUCT(($V29=$W$7:$W$22)*($Y$7:$Y$22)*($AC$7:$AC$22))/(SUMPRODUCT(($V29=$W$7:$W$22)*($Y$7:$Y$22)))</f>
        <v>60000</v>
      </c>
      <c r="Z29" s="783" cm="1">
        <f t="array" ref="Z29">SUMPRODUCT(($V29=$W$7:$W$22)*($Y$7:$Y$22)*($AD$7:$AD$22))/(SUMPRODUCT(($V29=$W$7:$W$22)*($Y$7:$Y$22)))</f>
        <v>3000</v>
      </c>
      <c r="AA29" s="1736" cm="1">
        <f t="array" ref="AA29">SUMPRODUCT(($V29=$W$7:$W$22)*($Y$7:$Y$22)*($AE$7:$AE$22))/(SUMPRODUCT(($V29=$W$7:$W$22)*($Y$7:$Y$22)))</f>
        <v>360000</v>
      </c>
      <c r="AB29" s="1740">
        <f>(($AI$24-$AC29)*(12/(12-$AF29))*($AI$23=1)+($AI$23=0)*60000)</f>
        <v>60350.711026906771</v>
      </c>
      <c r="AC29" s="1732">
        <f t="shared" si="19"/>
        <v>3000</v>
      </c>
      <c r="AD29" s="1736">
        <f t="shared" si="20"/>
        <v>360000</v>
      </c>
      <c r="AE29" s="879" t="s">
        <v>492</v>
      </c>
      <c r="AF29" s="1863" cm="1">
        <f t="array" ref="AF29">SUMPRODUCT(($V29=$W$7:$W$22)*($Y$7:$Y$22)*($AG$7:$AG$22))/(SUMPRODUCT(($V29=$W$7:$W$22)*($Y$7:$Y$22)))</f>
        <v>1</v>
      </c>
      <c r="AG29" s="1660" cm="1">
        <f t="array" ref="AG29">SUMPRODUCT(($V29=$W$7:$W$22)*($Y$7:$Y$22))/$Y$23</f>
        <v>5.2318612470608067E-2</v>
      </c>
      <c r="AH29" s="1683">
        <f t="shared" si="23"/>
        <v>58000</v>
      </c>
      <c r="AI29" s="1683">
        <f t="shared" si="24"/>
        <v>58321.485107997869</v>
      </c>
      <c r="AJ29" s="783">
        <v>65181.818181818184</v>
      </c>
      <c r="AK29" s="783">
        <v>60000</v>
      </c>
      <c r="AL29" s="259">
        <f t="shared" si="21"/>
        <v>63350.711026906778</v>
      </c>
      <c r="AM29" s="259" t="b">
        <f t="shared" si="22"/>
        <v>0</v>
      </c>
    </row>
    <row r="30" spans="1:59" ht="11.25" customHeight="1">
      <c r="B30" s="12"/>
      <c r="C30" s="1714" t="s">
        <v>102</v>
      </c>
      <c r="D30" s="5"/>
      <c r="E30" s="5"/>
      <c r="F30" s="5"/>
      <c r="G30" s="5"/>
      <c r="H30" s="5"/>
      <c r="I30" s="5"/>
      <c r="J30" s="55">
        <f>SUM(U57:U58)</f>
        <v>24672.43</v>
      </c>
      <c r="K30" s="676">
        <f>J30*py</f>
        <v>7463.4100749999998</v>
      </c>
      <c r="L30" s="62" t="s">
        <v>95</v>
      </c>
      <c r="M30" s="63" t="s">
        <v>11</v>
      </c>
      <c r="N30" s="18" t="s">
        <v>18</v>
      </c>
      <c r="O30" s="18" t="s">
        <v>12</v>
      </c>
      <c r="P30" s="18" t="s">
        <v>89</v>
      </c>
      <c r="Q30" s="18" t="s">
        <v>97</v>
      </c>
      <c r="R30" s="18" t="s">
        <v>98</v>
      </c>
      <c r="S30" s="18" t="s">
        <v>275</v>
      </c>
      <c r="T30" s="64" t="s">
        <v>1012</v>
      </c>
      <c r="U30" s="16" t="s">
        <v>1011</v>
      </c>
      <c r="V30" s="261" t="s">
        <v>491</v>
      </c>
      <c r="W30" s="783" cm="1">
        <f t="array" ref="W30">(SUMPRODUCT(($V30=$W$7:$W$22)*($Y$7:$Y$22)))</f>
        <v>856.05</v>
      </c>
      <c r="X30" s="270">
        <v>1</v>
      </c>
      <c r="Y30" s="1735" cm="1">
        <f t="array" ref="Y30">SUMPRODUCT(($V30=$W$7:$W$22)*($Y$7:$Y$22)*($AC$7:$AC$22))/(SUMPRODUCT(($V30=$W$7:$W$22)*($Y$7:$Y$22)))</f>
        <v>60000</v>
      </c>
      <c r="Z30" s="783" cm="1">
        <f t="array" ref="Z30">SUMPRODUCT(($V30=$W$7:$W$22)*($Y$7:$Y$22)*($AD$7:$AD$22))/(SUMPRODUCT(($V30=$W$7:$W$22)*($Y$7:$Y$22)))</f>
        <v>3000</v>
      </c>
      <c r="AA30" s="1736" cm="1">
        <f t="array" ref="AA30">SUMPRODUCT(($V30=$W$7:$W$22)*($Y$7:$Y$22)*($AE$7:$AE$22))/(SUMPRODUCT(($V30=$W$7:$W$22)*($Y$7:$Y$22)))</f>
        <v>360000</v>
      </c>
      <c r="AB30" s="1740">
        <f>(($AI$24-$AC30)*(12/(12-$AF30))*($AI$23=1)+($AI$23=0)*60000)</f>
        <v>57106.049143739743</v>
      </c>
      <c r="AC30" s="1732">
        <f t="shared" si="19"/>
        <v>3000</v>
      </c>
      <c r="AD30" s="1736">
        <f t="shared" si="20"/>
        <v>360000</v>
      </c>
      <c r="AE30" s="879" t="s">
        <v>492</v>
      </c>
      <c r="AF30" s="1863" cm="1">
        <f t="array" ref="AF30">SUMPRODUCT(($V30=$W$7:$W$22)*($Y$7:$Y$22)*($AG$7:$AG$22))/(SUMPRODUCT(($V30=$W$7:$W$22)*($Y$7:$Y$22)))</f>
        <v>0.37499999999999994</v>
      </c>
      <c r="AG30" s="1660" cm="1">
        <f t="array" ref="AG30">SUMPRODUCT(($V30=$W$7:$W$22)*($Y$7:$Y$22))/$Y$23</f>
        <v>4.0978780358907195E-2</v>
      </c>
      <c r="AH30" s="1683">
        <f t="shared" si="23"/>
        <v>61125</v>
      </c>
      <c r="AI30" s="1683">
        <f t="shared" si="24"/>
        <v>58321.485107997876</v>
      </c>
      <c r="AJ30" s="783">
        <v>61677.419354838712</v>
      </c>
      <c r="AK30" s="783">
        <v>60000</v>
      </c>
      <c r="AL30" s="259">
        <f t="shared" si="21"/>
        <v>59944.758821159099</v>
      </c>
      <c r="AM30" s="259" t="b">
        <f t="shared" si="22"/>
        <v>0</v>
      </c>
    </row>
    <row r="31" spans="1:59" ht="11.25" customHeight="1">
      <c r="B31" s="668"/>
      <c r="C31" s="1718" t="s">
        <v>104</v>
      </c>
      <c r="D31" s="1719"/>
      <c r="E31" s="1719"/>
      <c r="F31" s="1719"/>
      <c r="G31" s="1719"/>
      <c r="H31" s="1719"/>
      <c r="I31" s="1719"/>
      <c r="J31" s="1722">
        <f>SUM(J29:J30)</f>
        <v>95474.59</v>
      </c>
      <c r="K31" s="1723">
        <f>J31*py</f>
        <v>28881.063474999999</v>
      </c>
      <c r="L31" s="66" t="s">
        <v>205</v>
      </c>
      <c r="M31" s="67">
        <f>D37</f>
        <v>46326</v>
      </c>
      <c r="N31" s="24">
        <f>$E$37</f>
        <v>49979</v>
      </c>
      <c r="O31" s="68">
        <f>DATEDIF(M31-1,N31+1,"m")</f>
        <v>120</v>
      </c>
      <c r="P31" s="2030">
        <f>AE33/1000</f>
        <v>2100000</v>
      </c>
      <c r="Q31" s="691"/>
      <c r="R31" s="69"/>
      <c r="S31" s="69"/>
      <c r="T31" s="25">
        <f>(P32*S32+P35*S35)/SUM(P32,P35)</f>
        <v>5.6919191919191918E-2</v>
      </c>
      <c r="U31" s="13"/>
      <c r="V31" s="261" t="s">
        <v>437</v>
      </c>
      <c r="W31" s="783" cm="1">
        <f t="array" ref="W31">(SUMPRODUCT(($V31=$W$7:$W$22)*($Y$7:$Y$22)))</f>
        <v>17.29</v>
      </c>
      <c r="X31" s="270">
        <v>1</v>
      </c>
      <c r="Y31" s="1735" cm="1">
        <f t="array" ref="Y31">SUMPRODUCT(($V31=$W$7:$W$22)*($Y$7:$Y$22)*($AC$7:$AC$22))/(SUMPRODUCT(($V31=$W$7:$W$22)*($Y$7:$Y$22)))</f>
        <v>60000</v>
      </c>
      <c r="Z31" s="783" cm="1">
        <f t="array" ref="Z31">SUMPRODUCT(($V31=$W$7:$W$22)*($Y$7:$Y$22)*($AD$7:$AD$22))/(SUMPRODUCT(($V31=$W$7:$W$22)*($Y$7:$Y$22)))</f>
        <v>3000</v>
      </c>
      <c r="AA31" s="1736" cm="1">
        <f t="array" ref="AA31">SUMPRODUCT(($V31=$W$7:$W$22)*($Y$7:$Y$22)*($AE$7:$AE$22))/(SUMPRODUCT(($V31=$W$7:$W$22)*($Y$7:$Y$22)))</f>
        <v>360000</v>
      </c>
      <c r="AB31" s="1740">
        <f>(($AI$24-$AC31)*(12/(12-$AF31))*($AI$23=1)+($AI$23=0)*60000)</f>
        <v>57106.049143739743</v>
      </c>
      <c r="AC31" s="1732">
        <f t="shared" si="19"/>
        <v>3000</v>
      </c>
      <c r="AD31" s="1736">
        <f t="shared" si="20"/>
        <v>360000</v>
      </c>
      <c r="AE31" s="879" t="s">
        <v>492</v>
      </c>
      <c r="AF31" s="1863" cm="1">
        <f t="array" ref="AF31">SUMPRODUCT(($V31=$W$7:$W$22)*($Y$7:$Y$22)*($AG$7:$AG$22))/(SUMPRODUCT(($V31=$W$7:$W$22)*($Y$7:$Y$22)))</f>
        <v>0.375</v>
      </c>
      <c r="AG31" s="1660" cm="1">
        <f t="array" ref="AG31">SUMPRODUCT(($V31=$W$7:$W$22)*($Y$7:$Y$22))/$Y$23</f>
        <v>8.2766557140997066E-4</v>
      </c>
      <c r="AH31" s="1683">
        <f t="shared" si="23"/>
        <v>61125</v>
      </c>
      <c r="AI31" s="1683">
        <f t="shared" si="24"/>
        <v>58321.485107997876</v>
      </c>
      <c r="AJ31" s="783">
        <v>61677.419354838712</v>
      </c>
      <c r="AK31" s="783">
        <v>60000</v>
      </c>
      <c r="AL31" s="259">
        <f t="shared" si="21"/>
        <v>59944.758821159099</v>
      </c>
      <c r="AM31" s="259" t="b">
        <f t="shared" si="22"/>
        <v>0</v>
      </c>
    </row>
    <row r="32" spans="1:59" ht="11.25" customHeight="1">
      <c r="B32" s="12" t="s">
        <v>116</v>
      </c>
      <c r="C32" s="5"/>
      <c r="D32" s="5"/>
      <c r="E32" s="5"/>
      <c r="F32" s="5"/>
      <c r="G32" s="5"/>
      <c r="H32" s="5"/>
      <c r="I32" s="5"/>
      <c r="J32" s="65"/>
      <c r="K32" s="677">
        <v>344</v>
      </c>
      <c r="L32" s="1625" t="s">
        <v>273</v>
      </c>
      <c r="M32" s="71">
        <f>D37</f>
        <v>46326</v>
      </c>
      <c r="N32" s="72">
        <f>EOMONTH(M32-1,O32)</f>
        <v>47057</v>
      </c>
      <c r="O32" s="1626">
        <v>24</v>
      </c>
      <c r="P32" s="1636">
        <v>160000000</v>
      </c>
      <c r="Q32" s="2063">
        <f>AO39</f>
        <v>4.7750000000000001E-2</v>
      </c>
      <c r="R32" s="2064">
        <f>T112</f>
        <v>1.4500000000000001E-2</v>
      </c>
      <c r="S32" s="1640">
        <f t="shared" ref="S32:S39" si="25">Q32+R32*(12/O32)</f>
        <v>5.5E-2</v>
      </c>
      <c r="T32" s="2711">
        <f>SUM(P32,P31)/$U$28</f>
        <v>0.48460388639760837</v>
      </c>
      <c r="U32" s="1645">
        <f>SUM(P32,P31)/$P$8</f>
        <v>0.60037037037037033</v>
      </c>
      <c r="V32" s="261" t="s">
        <v>428</v>
      </c>
      <c r="W32" s="783" cm="1">
        <f t="array" ref="W32">(SUMPRODUCT(($V32=$W$7:$W$22)*($Y$7:$Y$22)))</f>
        <v>141.01000000000002</v>
      </c>
      <c r="X32" s="760">
        <v>1</v>
      </c>
      <c r="Y32" s="1735" cm="1">
        <f t="array" ref="Y32">SUMPRODUCT(($V32=$W$7:$W$22)*($Y$7:$Y$22)*($AC$7:$AC$22))/(SUMPRODUCT(($V32=$W$7:$W$22)*($Y$7:$Y$22)))</f>
        <v>0</v>
      </c>
      <c r="Z32" s="783" cm="1">
        <f t="array" ref="Z32">SUMPRODUCT(($V32=$W$7:$W$22)*($Y$7:$Y$22)*($AD$7:$AD$22))/(SUMPRODUCT(($V32=$W$7:$W$22)*($Y$7:$Y$22)))</f>
        <v>0</v>
      </c>
      <c r="AA32" s="1736" cm="1">
        <f t="array" ref="AA32">SUMPRODUCT(($V32=$W$7:$W$22)*($Y$7:$Y$22)*($AE$7:$AE$22))/(SUMPRODUCT(($V32=$W$7:$W$22)*($Y$7:$Y$22)))</f>
        <v>0</v>
      </c>
      <c r="AB32" s="1740">
        <f>(($AI$24-$AC32)*(12/(12-$AF32))*($AI$23=1)+($AI$23=0)*0)</f>
        <v>55321.485107997876</v>
      </c>
      <c r="AC32" s="783">
        <f>3000*($AI$23=1)+0*($AI$23=0)</f>
        <v>3000</v>
      </c>
      <c r="AD32" s="1736">
        <f>AB32*6</f>
        <v>331928.91064798727</v>
      </c>
      <c r="AF32" s="1863" cm="1">
        <f t="array" ref="AF32">SUMPRODUCT(($V32=$W$7:$W$22)*($Y$7:$Y$22)*($AG$7:$AG$22))/(SUMPRODUCT(($V32=$W$7:$W$22)*($Y$7:$Y$22)))</f>
        <v>0</v>
      </c>
      <c r="AG32" s="1660" cm="1">
        <f t="array" ref="AG32">SUMPRODUCT(($V32=$W$7:$W$22)*($Y$7:$Y$22))/$Y$23</f>
        <v>6.7500938244372463E-3</v>
      </c>
      <c r="AH32" s="1683">
        <f t="shared" si="23"/>
        <v>0</v>
      </c>
      <c r="AI32" s="1683">
        <f t="shared" si="24"/>
        <v>58321.485107997876</v>
      </c>
      <c r="AJ32" s="259">
        <v>59750</v>
      </c>
    </row>
    <row r="33" spans="1:66" ht="11.25" customHeight="1" thickBot="1">
      <c r="B33" s="6" t="s">
        <v>117</v>
      </c>
      <c r="C33" s="7"/>
      <c r="D33" s="7"/>
      <c r="E33" s="7"/>
      <c r="F33" s="7"/>
      <c r="G33" s="7"/>
      <c r="H33" s="7"/>
      <c r="I33" s="7"/>
      <c r="J33" s="7"/>
      <c r="K33" s="7"/>
      <c r="L33" s="66" t="s">
        <v>1013</v>
      </c>
      <c r="M33" s="67">
        <f>N32</f>
        <v>47057</v>
      </c>
      <c r="N33" s="24">
        <f>EOMONTH(M33-1,O33)</f>
        <v>48152</v>
      </c>
      <c r="O33" s="278">
        <v>36</v>
      </c>
      <c r="P33" s="2031">
        <f>P32+$P$43+10000000+33000000</f>
        <v>213000000</v>
      </c>
      <c r="Q33" s="1627">
        <f>AN41</f>
        <v>4.8000000000000001E-2</v>
      </c>
      <c r="R33" s="1628">
        <v>0</v>
      </c>
      <c r="S33" s="1641">
        <f t="shared" si="25"/>
        <v>4.8000000000000001E-2</v>
      </c>
      <c r="T33" s="1629">
        <f>SUM(P33,$P$31)/($U$28*(1+2%)^(SUM(O$32:O32)/12))</f>
        <v>0.61807893824900051</v>
      </c>
      <c r="U33" s="1643">
        <f>SUM(P33,P31)/$P$8</f>
        <v>0.79666666666666663</v>
      </c>
      <c r="V33" s="757" t="s">
        <v>59</v>
      </c>
      <c r="W33" s="1867">
        <f>SUM(W26:W32)</f>
        <v>20890.079999999998</v>
      </c>
      <c r="X33" s="758"/>
      <c r="Y33" s="1874">
        <f>SUMPRODUCT($W$26:$W$32,$Y$26:$Y$32)/$W$33</f>
        <v>57604.4335397471</v>
      </c>
      <c r="Z33" s="1867">
        <f>SUMPRODUCT($W$26:$W$32,$Z$26:$Z$32)/$W$33</f>
        <v>2972.067603379212</v>
      </c>
      <c r="AA33" s="1737"/>
      <c r="AB33" s="2486"/>
      <c r="AC33" s="758"/>
      <c r="AD33" s="1737">
        <f>AB33*6</f>
        <v>0</v>
      </c>
      <c r="AE33" s="1330">
        <v>2100000000</v>
      </c>
      <c r="AF33" s="1869">
        <f>SUMPRODUCT($W$26:$W$32,$AF$26:$AF$32)/$W$33</f>
        <v>0.45731391007917005</v>
      </c>
      <c r="AG33" s="1661"/>
      <c r="AH33" s="1868">
        <f>SUMPRODUCT($W$26:$W$32,$AH$26:$AH$32)/$W$33</f>
        <v>58321.485107997876</v>
      </c>
      <c r="AI33" s="1868">
        <f>SUMPRODUCT($W$26:$W$32,$AI$26:$AI$32)/$W$33</f>
        <v>58321.485107997876</v>
      </c>
      <c r="AL33" s="1942" t="s">
        <v>1148</v>
      </c>
      <c r="AM33" s="259">
        <v>1</v>
      </c>
      <c r="BG33" s="270"/>
      <c r="BH33" s="270"/>
    </row>
    <row r="34" spans="1:66" ht="11.25" customHeight="1" thickBot="1">
      <c r="B34" s="92" t="s">
        <v>24</v>
      </c>
      <c r="C34" s="93"/>
      <c r="D34" s="18" t="s">
        <v>119</v>
      </c>
      <c r="E34" s="18" t="s">
        <v>120</v>
      </c>
      <c r="F34" s="18" t="s">
        <v>121</v>
      </c>
      <c r="G34" s="18" t="s">
        <v>172</v>
      </c>
      <c r="H34" s="18" t="s">
        <v>173</v>
      </c>
      <c r="I34" s="18"/>
      <c r="J34" s="18"/>
      <c r="K34" s="18"/>
      <c r="L34" s="1092" t="s">
        <v>1014</v>
      </c>
      <c r="M34" s="1630">
        <f>N33</f>
        <v>48152</v>
      </c>
      <c r="N34" s="1631">
        <f>E37</f>
        <v>49979</v>
      </c>
      <c r="O34" s="1632">
        <f t="shared" ref="O34:O39" si="26">DATEDIF(M34-1,N34+1,"m")</f>
        <v>60</v>
      </c>
      <c r="P34" s="1637">
        <f>P33</f>
        <v>213000000</v>
      </c>
      <c r="Q34" s="1633">
        <v>4.4999999999999998E-2</v>
      </c>
      <c r="R34" s="1634">
        <v>0</v>
      </c>
      <c r="S34" s="1642">
        <f t="shared" si="25"/>
        <v>4.4999999999999998E-2</v>
      </c>
      <c r="T34" s="1635">
        <f>SUM(P34,$P$31)/($U$28*(1+2%)^(SUM(O$32:O33)/12))</f>
        <v>0.58242958802515665</v>
      </c>
      <c r="U34" s="1644">
        <f>SUM(P34,P31)/$P$8</f>
        <v>0.79666666666666663</v>
      </c>
      <c r="V34" s="80" t="s">
        <v>56</v>
      </c>
      <c r="W34" s="10"/>
      <c r="X34" s="1870" t="s">
        <v>1113</v>
      </c>
      <c r="Y34" s="1881">
        <f>AN38</f>
        <v>0</v>
      </c>
      <c r="Z34" s="1747">
        <f>$Y$34</f>
        <v>0</v>
      </c>
      <c r="AA34" s="1747">
        <f t="shared" ref="AA34:AH34" si="27">$Y$34</f>
        <v>0</v>
      </c>
      <c r="AB34" s="1747">
        <f t="shared" si="27"/>
        <v>0</v>
      </c>
      <c r="AC34" s="1747">
        <f t="shared" si="27"/>
        <v>0</v>
      </c>
      <c r="AD34" s="1747">
        <f t="shared" si="27"/>
        <v>0</v>
      </c>
      <c r="AE34" s="1747">
        <f t="shared" si="27"/>
        <v>0</v>
      </c>
      <c r="AF34" s="1747">
        <f t="shared" si="27"/>
        <v>0</v>
      </c>
      <c r="AG34" s="1871">
        <f t="shared" si="27"/>
        <v>0</v>
      </c>
      <c r="AH34" s="1747">
        <f t="shared" si="27"/>
        <v>0</v>
      </c>
      <c r="AI34" s="10"/>
      <c r="AJ34" s="838"/>
      <c r="AL34" s="1942" t="s">
        <v>1149</v>
      </c>
      <c r="AM34" s="259">
        <v>26</v>
      </c>
    </row>
    <row r="35" spans="1:66" ht="11.25" customHeight="1" thickBot="1">
      <c r="B35" s="681" t="s">
        <v>122</v>
      </c>
      <c r="C35" s="257"/>
      <c r="D35" s="108">
        <f>EOMONTH(K12-1,0)</f>
        <v>46326</v>
      </c>
      <c r="E35" s="108">
        <f>EOMONTH(D35-1,F35)</f>
        <v>46326</v>
      </c>
      <c r="F35" s="682">
        <v>0</v>
      </c>
      <c r="G35" s="933">
        <v>0</v>
      </c>
      <c r="H35" s="931">
        <f>1-G35</f>
        <v>1</v>
      </c>
      <c r="I35" s="108"/>
      <c r="J35" s="683"/>
      <c r="K35" s="1715">
        <f>P41/SUM($P$41:$P$45)</f>
        <v>0.24291497975708501</v>
      </c>
      <c r="L35" s="1625" t="s">
        <v>644</v>
      </c>
      <c r="M35" s="71">
        <f t="shared" ref="M35:N37" si="28">M32</f>
        <v>46326</v>
      </c>
      <c r="N35" s="72">
        <f t="shared" si="28"/>
        <v>47057</v>
      </c>
      <c r="O35" s="73">
        <f t="shared" si="26"/>
        <v>24</v>
      </c>
      <c r="P35" s="1636">
        <v>38000000</v>
      </c>
      <c r="Q35" s="2063">
        <f>AN40</f>
        <v>0.06</v>
      </c>
      <c r="R35" s="2064">
        <v>0.01</v>
      </c>
      <c r="S35" s="1640">
        <f t="shared" si="25"/>
        <v>6.5000000000000002E-2</v>
      </c>
      <c r="T35" s="2712">
        <f>SUM($P$31,P32,P35)/($U$28)</f>
        <v>0.59820627802690585</v>
      </c>
      <c r="U35" s="1748">
        <f>SUM($P$31,P35,P32)/$P$8</f>
        <v>0.74111111111111116</v>
      </c>
      <c r="V35" s="19" t="s">
        <v>58</v>
      </c>
      <c r="W35" s="20"/>
      <c r="X35" s="839" t="s">
        <v>486</v>
      </c>
      <c r="Y35" s="1875">
        <v>1</v>
      </c>
      <c r="Z35" s="40">
        <f t="shared" ref="Z35:AE35" si="29">Y35+1</f>
        <v>2</v>
      </c>
      <c r="AA35" s="40">
        <f t="shared" si="29"/>
        <v>3</v>
      </c>
      <c r="AB35" s="40">
        <f t="shared" si="29"/>
        <v>4</v>
      </c>
      <c r="AC35" s="40">
        <f t="shared" si="29"/>
        <v>5</v>
      </c>
      <c r="AD35" s="40">
        <f t="shared" si="29"/>
        <v>6</v>
      </c>
      <c r="AE35" s="40">
        <f t="shared" si="29"/>
        <v>7</v>
      </c>
      <c r="AF35" s="40">
        <f>AE35+1</f>
        <v>8</v>
      </c>
      <c r="AG35" s="40">
        <f>AF35+1</f>
        <v>9</v>
      </c>
      <c r="AH35" s="40">
        <f>AG35+1</f>
        <v>10</v>
      </c>
      <c r="AI35" s="285" t="s">
        <v>59</v>
      </c>
      <c r="AJ35" s="839" t="s">
        <v>474</v>
      </c>
      <c r="AO35" s="2038" t="s">
        <v>1202</v>
      </c>
      <c r="AP35" s="2038"/>
      <c r="AQ35" s="2038"/>
      <c r="AR35" s="2038"/>
      <c r="AS35" s="2038"/>
      <c r="AT35" s="2038"/>
      <c r="AU35" s="2050"/>
      <c r="AV35" s="2192" t="s">
        <v>1237</v>
      </c>
      <c r="AW35" s="2037"/>
      <c r="AX35" s="2037"/>
      <c r="AY35" s="2037"/>
      <c r="AZ35" s="2037"/>
      <c r="BA35" s="2058"/>
      <c r="BB35" s="2036" t="s">
        <v>1201</v>
      </c>
      <c r="BC35" s="2035"/>
      <c r="BD35" s="2035"/>
      <c r="BE35" s="2035"/>
      <c r="BF35" s="2035"/>
      <c r="BG35" s="2035"/>
      <c r="BH35" s="2035"/>
      <c r="BI35" s="2677" t="s">
        <v>1883</v>
      </c>
      <c r="BJ35" s="258"/>
      <c r="BK35" s="258"/>
      <c r="BL35" s="258"/>
      <c r="BM35" s="258"/>
      <c r="BN35" s="258"/>
    </row>
    <row r="36" spans="1:66" ht="11.25" customHeight="1" thickBot="1">
      <c r="B36" s="119" t="s">
        <v>124</v>
      </c>
      <c r="C36" s="5"/>
      <c r="D36" s="24">
        <f>E35</f>
        <v>46326</v>
      </c>
      <c r="E36" s="24">
        <f>EOMONTH(D36-1,F36)</f>
        <v>46326</v>
      </c>
      <c r="F36" s="278">
        <v>0</v>
      </c>
      <c r="G36" s="134"/>
      <c r="H36" s="932"/>
      <c r="I36" s="24"/>
      <c r="K36" s="1308">
        <f>P44/SUM($P$41:$P$45)</f>
        <v>0.14979757085020243</v>
      </c>
      <c r="L36" s="66" t="s">
        <v>1015</v>
      </c>
      <c r="M36" s="67">
        <f t="shared" si="28"/>
        <v>47057</v>
      </c>
      <c r="N36" s="24">
        <f t="shared" si="28"/>
        <v>48152</v>
      </c>
      <c r="O36" s="68">
        <f t="shared" si="26"/>
        <v>36</v>
      </c>
      <c r="P36" s="1760">
        <v>0</v>
      </c>
      <c r="Q36" s="1627">
        <v>5.7000000000000002E-2</v>
      </c>
      <c r="R36" s="1628">
        <v>0</v>
      </c>
      <c r="S36" s="1641">
        <f t="shared" si="25"/>
        <v>5.7000000000000002E-2</v>
      </c>
      <c r="T36" s="1629">
        <f>SUM($P$31,P33,P36)/($U$28*(1+2%)^(SUM(O$35:O35)/12))</f>
        <v>0.61807893824900051</v>
      </c>
      <c r="U36" s="1638">
        <f>SUM($P$31,P36,P33)/$P$8</f>
        <v>0.79666666666666663</v>
      </c>
      <c r="V36" s="12" t="s">
        <v>269</v>
      </c>
      <c r="W36" s="5"/>
      <c r="X36" s="1250">
        <f>AI36/10</f>
        <v>17088285.458717033</v>
      </c>
      <c r="Y36" s="13">
        <f>SUMIF('NOI(M)'!$M$11:$ER$11,Y$35,'NOI(M)'!$M16:$ER16)</f>
        <v>15119141.967331251</v>
      </c>
      <c r="Z36" s="13">
        <f>SUMIF('NOI(M)'!$M$11:$ER$11,Z$35,'NOI(M)'!$M16:$ER16)</f>
        <v>15464992.784514528</v>
      </c>
      <c r="AA36" s="13">
        <f>SUMIF('NOI(M)'!$M$11:$ER$11,AA$35,'NOI(M)'!$M16:$ER16)</f>
        <v>15934970.745352445</v>
      </c>
      <c r="AB36" s="13">
        <f>SUMIF('NOI(M)'!$M$11:$ER$11,AB$35,'NOI(M)'!$M16:$ER16)</f>
        <v>16617888.375131045</v>
      </c>
      <c r="AC36" s="13">
        <f>SUMIF('NOI(M)'!$M$11:$ER$11,AC$35,'NOI(M)'!$M16:$ER16)</f>
        <v>17043225.625370525</v>
      </c>
      <c r="AD36" s="13">
        <f>SUMIF('NOI(M)'!$M$11:$ER$11,AD$35,'NOI(M)'!$M16:$ER16)</f>
        <v>17469306.266004786</v>
      </c>
      <c r="AE36" s="13">
        <f>SUMIF('NOI(M)'!$M$11:$ER$11,AE$35,'NOI(M)'!$M16:$ER16)</f>
        <v>17906038.922654904</v>
      </c>
      <c r="AF36" s="13">
        <f>SUMIF('NOI(M)'!$M$11:$ER$11,AF$35,'NOI(M)'!$M16:$ER16)</f>
        <v>18132751.055113904</v>
      </c>
      <c r="AG36" s="13">
        <f>SUMIF('NOI(M)'!$M$11:$ER$11,AG$35,'NOI(M)'!$M16:$ER16)</f>
        <v>18366946.594082259</v>
      </c>
      <c r="AH36" s="13">
        <f>SUMIF('NOI(M)'!$M$11:$ER$11,AH$35,'NOI(M)'!$M16:$ER16)</f>
        <v>18827592.251614664</v>
      </c>
      <c r="AI36" s="836">
        <f>SUM(Y36:AH36)</f>
        <v>170882854.58717033</v>
      </c>
      <c r="AJ36" s="840">
        <f>'NOI(M)'!K38</f>
        <v>19418111.529104855</v>
      </c>
      <c r="AL36" s="1943" t="s">
        <v>24</v>
      </c>
      <c r="AM36" s="1944"/>
      <c r="AN36" s="1941">
        <v>1</v>
      </c>
      <c r="AO36" s="1943">
        <v>1</v>
      </c>
      <c r="AP36" s="1944">
        <f>AO36+1</f>
        <v>2</v>
      </c>
      <c r="AQ36" s="1944">
        <f t="shared" ref="AQ36:AW36" si="30">AP36+1</f>
        <v>3</v>
      </c>
      <c r="AR36" s="1944">
        <f t="shared" si="30"/>
        <v>4</v>
      </c>
      <c r="AS36" s="1944">
        <f t="shared" si="30"/>
        <v>5</v>
      </c>
      <c r="AT36" s="1944">
        <f t="shared" si="30"/>
        <v>6</v>
      </c>
      <c r="AU36" s="2051">
        <f t="shared" si="30"/>
        <v>7</v>
      </c>
      <c r="AV36" s="1944">
        <f t="shared" si="30"/>
        <v>8</v>
      </c>
      <c r="AW36" s="1945">
        <f t="shared" si="30"/>
        <v>9</v>
      </c>
      <c r="AX36" s="1945">
        <f t="shared" ref="AX36:BF36" si="31">AW36+1</f>
        <v>10</v>
      </c>
      <c r="AY36" s="1945">
        <f t="shared" si="31"/>
        <v>11</v>
      </c>
      <c r="AZ36" s="1945">
        <f t="shared" si="31"/>
        <v>12</v>
      </c>
      <c r="BA36" s="2059">
        <f t="shared" si="31"/>
        <v>13</v>
      </c>
      <c r="BB36" s="1945">
        <f t="shared" si="31"/>
        <v>14</v>
      </c>
      <c r="BC36" s="1945">
        <f t="shared" si="31"/>
        <v>15</v>
      </c>
      <c r="BD36" s="1945">
        <f t="shared" si="31"/>
        <v>16</v>
      </c>
      <c r="BE36" s="1945">
        <f t="shared" si="31"/>
        <v>17</v>
      </c>
      <c r="BF36" s="1945">
        <f t="shared" si="31"/>
        <v>18</v>
      </c>
      <c r="BG36" s="1945">
        <v>19</v>
      </c>
      <c r="BH36" s="1946">
        <v>20</v>
      </c>
      <c r="BI36" s="1945">
        <f>BH36+1</f>
        <v>21</v>
      </c>
      <c r="BJ36" s="1945">
        <f t="shared" ref="BJ36:BM36" si="32">BI36+1</f>
        <v>22</v>
      </c>
      <c r="BK36" s="1945">
        <f t="shared" si="32"/>
        <v>23</v>
      </c>
      <c r="BL36" s="1945">
        <f t="shared" si="32"/>
        <v>24</v>
      </c>
      <c r="BM36" s="1945">
        <f t="shared" si="32"/>
        <v>25</v>
      </c>
      <c r="BN36" s="1946">
        <f t="shared" ref="BN36" si="33">BM36+1</f>
        <v>26</v>
      </c>
    </row>
    <row r="37" spans="1:66" ht="11.25" customHeight="1" thickBot="1">
      <c r="B37" s="119" t="s">
        <v>5</v>
      </c>
      <c r="C37" s="5"/>
      <c r="D37" s="24">
        <f>E36</f>
        <v>46326</v>
      </c>
      <c r="E37" s="24">
        <f>EOMONTH(D37-1,F37)</f>
        <v>49979</v>
      </c>
      <c r="F37" s="95">
        <v>120</v>
      </c>
      <c r="G37" s="134"/>
      <c r="H37" s="932"/>
      <c r="I37" s="24"/>
      <c r="K37" s="1308">
        <f>P45/SUM($P$41:$P$45)</f>
        <v>0</v>
      </c>
      <c r="L37" s="1092" t="s">
        <v>1016</v>
      </c>
      <c r="M37" s="1630">
        <f t="shared" si="28"/>
        <v>48152</v>
      </c>
      <c r="N37" s="1631">
        <f t="shared" si="28"/>
        <v>49979</v>
      </c>
      <c r="O37" s="1632">
        <f t="shared" si="26"/>
        <v>60</v>
      </c>
      <c r="P37" s="1637">
        <f>P36</f>
        <v>0</v>
      </c>
      <c r="Q37" s="1633">
        <v>5.7000000000000002E-2</v>
      </c>
      <c r="R37" s="1634">
        <v>0</v>
      </c>
      <c r="S37" s="1642">
        <f t="shared" si="25"/>
        <v>5.7000000000000002E-2</v>
      </c>
      <c r="T37" s="1635">
        <f>SUM($P$31,P34,P37)/($U$28*(1+2%)^(SUM(O$35:O36)/12))</f>
        <v>0.58242958802515665</v>
      </c>
      <c r="U37" s="1639">
        <f>SUM($P$31,P37,P34)/$P$8</f>
        <v>0.79666666666666663</v>
      </c>
      <c r="V37" s="12" t="s">
        <v>446</v>
      </c>
      <c r="W37" s="5"/>
      <c r="X37" s="1250">
        <f t="shared" ref="X37:X54" si="34">AI37/10</f>
        <v>-753733.61067134282</v>
      </c>
      <c r="Y37" s="13">
        <f>SUMIF('NOI(M)'!$M$11:$ER$11,Y$35,'NOI(M)'!$M17:$ER17)</f>
        <v>-704339.85074999987</v>
      </c>
      <c r="Z37" s="13">
        <f>SUMIF('NOI(M)'!$M$11:$ER$11,Z$35,'NOI(M)'!$M17:$ER17)</f>
        <v>-721948.34701875004</v>
      </c>
      <c r="AA37" s="13">
        <f>SUMIF('NOI(M)'!$M$11:$ER$11,AA$35,'NOI(M)'!$M17:$ER17)</f>
        <v>-5526068.3946104441</v>
      </c>
      <c r="AB37" s="13">
        <f>SUMIF('NOI(M)'!$M$11:$ER$11,AB$35,'NOI(M)'!$M17:$ER17)</f>
        <v>-111290.51629770116</v>
      </c>
      <c r="AC37" s="13">
        <f>SUMIF('NOI(M)'!$M$11:$ER$11,AC$35,'NOI(M)'!$M17:$ER17)</f>
        <v>-114072.77920514367</v>
      </c>
      <c r="AD37" s="13">
        <f>SUMIF('NOI(M)'!$M$11:$ER$11,AD$35,'NOI(M)'!$M17:$ER17)</f>
        <v>-116924.59868527227</v>
      </c>
      <c r="AE37" s="13">
        <f>SUMIF('NOI(M)'!$M$11:$ER$11,AE$35,'NOI(M)'!$M17:$ER17)</f>
        <v>-119847.71365240405</v>
      </c>
      <c r="AF37" s="13">
        <f>SUMIF('NOI(M)'!$M$11:$ER$11,AF$35,'NOI(M)'!$M17:$ER17)</f>
        <v>-122843.90649371414</v>
      </c>
      <c r="AG37" s="13">
        <f>SUMIF('NOI(M)'!$M$11:$ER$11,AG$35,'NOI(M)'!$M17:$ER17)</f>
        <v>0</v>
      </c>
      <c r="AH37" s="13">
        <f>SUMIF('NOI(M)'!$M$11:$ER$11,AH$35,'NOI(M)'!$M17:$ER17)</f>
        <v>0</v>
      </c>
      <c r="AI37" s="836">
        <f t="shared" ref="AI37:AI54" si="35">SUM(Y37:AH37)</f>
        <v>-7537336.1067134282</v>
      </c>
      <c r="AJ37" s="840">
        <f>'NOI(M)'!K39</f>
        <v>0</v>
      </c>
      <c r="AL37" s="1840" t="s">
        <v>1150</v>
      </c>
      <c r="AN37" s="1938" cm="1">
        <f t="array" ref="AN37">INDEX(AO37:BN37,1,$AN$36)</f>
        <v>0</v>
      </c>
      <c r="AO37" s="1953">
        <v>0</v>
      </c>
      <c r="AP37" s="1947">
        <v>-0.15</v>
      </c>
      <c r="AQ37" s="1947">
        <v>-0.1</v>
      </c>
      <c r="AR37" s="1947">
        <v>-0.05</v>
      </c>
      <c r="AS37" s="1947">
        <v>0.05</v>
      </c>
      <c r="AT37" s="1947">
        <v>0.1</v>
      </c>
      <c r="AU37" s="2052">
        <v>0.15</v>
      </c>
      <c r="AV37" s="1885">
        <f>$AO37</f>
        <v>0</v>
      </c>
      <c r="AW37" s="1903">
        <f t="shared" ref="AW37:BL38" si="36">$AO37</f>
        <v>0</v>
      </c>
      <c r="AX37" s="1903">
        <f t="shared" si="36"/>
        <v>0</v>
      </c>
      <c r="AY37" s="1903">
        <f t="shared" si="36"/>
        <v>0</v>
      </c>
      <c r="AZ37" s="1903">
        <f t="shared" si="36"/>
        <v>0</v>
      </c>
      <c r="BA37" s="2060">
        <f t="shared" si="36"/>
        <v>0</v>
      </c>
      <c r="BB37" s="1903">
        <f t="shared" si="36"/>
        <v>0</v>
      </c>
      <c r="BC37" s="1903">
        <f t="shared" si="36"/>
        <v>0</v>
      </c>
      <c r="BD37" s="1903">
        <f t="shared" si="36"/>
        <v>0</v>
      </c>
      <c r="BE37" s="1903">
        <f t="shared" si="36"/>
        <v>0</v>
      </c>
      <c r="BF37" s="1903">
        <f t="shared" si="36"/>
        <v>0</v>
      </c>
      <c r="BG37" s="1903">
        <f t="shared" si="36"/>
        <v>0</v>
      </c>
      <c r="BH37" s="1948">
        <f t="shared" si="36"/>
        <v>0</v>
      </c>
      <c r="BI37" s="2678">
        <f t="shared" si="36"/>
        <v>0</v>
      </c>
      <c r="BJ37" s="2678">
        <f t="shared" si="36"/>
        <v>0</v>
      </c>
      <c r="BK37" s="2678">
        <f t="shared" si="36"/>
        <v>0</v>
      </c>
      <c r="BL37" s="2678">
        <f t="shared" si="36"/>
        <v>0</v>
      </c>
      <c r="BM37" s="2678">
        <f t="shared" ref="BI37:BN40" si="37">$AO37</f>
        <v>0</v>
      </c>
      <c r="BN37" s="2679">
        <f t="shared" si="37"/>
        <v>0</v>
      </c>
    </row>
    <row r="38" spans="1:66" ht="11.25" customHeight="1">
      <c r="B38" s="119" t="s">
        <v>8</v>
      </c>
      <c r="C38" s="5"/>
      <c r="D38" s="24">
        <f>EOMONTH(E37-1,0)</f>
        <v>49979</v>
      </c>
      <c r="E38" s="24">
        <f>EOMONTH(D38-1,F38)</f>
        <v>49979</v>
      </c>
      <c r="F38" s="278">
        <v>0</v>
      </c>
      <c r="G38" s="134"/>
      <c r="H38" s="932"/>
      <c r="I38" s="932"/>
      <c r="K38" s="260"/>
      <c r="L38" s="66" t="s">
        <v>452</v>
      </c>
      <c r="M38" s="67">
        <f>M32</f>
        <v>46326</v>
      </c>
      <c r="N38" s="24">
        <v>46418</v>
      </c>
      <c r="O38" s="68">
        <f t="shared" si="26"/>
        <v>3</v>
      </c>
      <c r="P38" s="2031">
        <f>(P7+SUM(P9,P11:P16)*TIC!$H$17+'A&amp;R'!P20)*10%</f>
        <v>12856669.630531998</v>
      </c>
      <c r="Q38" s="857">
        <v>4.4999999999999998E-2</v>
      </c>
      <c r="R38" s="25">
        <v>0</v>
      </c>
      <c r="S38" s="25">
        <f t="shared" si="25"/>
        <v>4.4999999999999998E-2</v>
      </c>
      <c r="T38" s="1044" t="s">
        <v>608</v>
      </c>
      <c r="U38" s="1049">
        <v>5000</v>
      </c>
      <c r="V38" s="12" t="s">
        <v>64</v>
      </c>
      <c r="W38" s="5"/>
      <c r="X38" s="1250">
        <f t="shared" si="34"/>
        <v>863666.43042394635</v>
      </c>
      <c r="Y38" s="13">
        <f>SUMIF('NOI(M)'!$M$11:$ER$11,Y$35,'NOI(M)'!$M18:$ER18)</f>
        <v>779354.8877910939</v>
      </c>
      <c r="Z38" s="13">
        <f>SUMIF('NOI(M)'!$M$11:$ER$11,Z$35,'NOI(M)'!$M18:$ER18)</f>
        <v>796871.75598587084</v>
      </c>
      <c r="AA38" s="13">
        <f>SUMIF('NOI(M)'!$M$11:$ER$11,AA$35,'NOI(M)'!$M18:$ER18)</f>
        <v>814826.54588551773</v>
      </c>
      <c r="AB38" s="13">
        <f>SUMIF('NOI(M)'!$M$11:$ER$11,AB$35,'NOI(M)'!$M18:$ER18)</f>
        <v>833230.20553265582</v>
      </c>
      <c r="AC38" s="13">
        <f>SUMIF('NOI(M)'!$M$11:$ER$11,AC$35,'NOI(M)'!$M18:$ER18)</f>
        <v>852093.95667097205</v>
      </c>
      <c r="AD38" s="13">
        <f>SUMIF('NOI(M)'!$M$11:$ER$11,AD$35,'NOI(M)'!$M18:$ER18)</f>
        <v>871429.30158774613</v>
      </c>
      <c r="AE38" s="13">
        <f>SUMIF('NOI(M)'!$M$11:$ER$11,AE$35,'NOI(M)'!$M18:$ER18)</f>
        <v>891248.03012743988</v>
      </c>
      <c r="AF38" s="13">
        <f>SUMIF('NOI(M)'!$M$11:$ER$11,AF$35,'NOI(M)'!$M18:$ER18)</f>
        <v>911551.11424284324</v>
      </c>
      <c r="AG38" s="13">
        <f>SUMIF('NOI(M)'!$M$11:$ER$11,AG$35,'NOI(M)'!$M18:$ER18)</f>
        <v>932358.2767483081</v>
      </c>
      <c r="AH38" s="13">
        <f>SUMIF('NOI(M)'!$M$11:$ER$11,AH$35,'NOI(M)'!$M18:$ER18)</f>
        <v>953700.22966701572</v>
      </c>
      <c r="AI38" s="836">
        <f t="shared" si="35"/>
        <v>8636664.3042394631</v>
      </c>
      <c r="AJ38" s="840">
        <f>'NOI(M)'!K40</f>
        <v>982073.90138546797</v>
      </c>
      <c r="AL38" s="1840" t="s">
        <v>1147</v>
      </c>
      <c r="AN38" s="1938" cm="1">
        <f t="array" ref="AN38">INDEX(AO38:BN38,1,$AN$36)</f>
        <v>0</v>
      </c>
      <c r="AO38" s="2228">
        <v>0</v>
      </c>
      <c r="AP38" s="1885">
        <f>$AO38</f>
        <v>0</v>
      </c>
      <c r="AQ38" s="1885">
        <f t="shared" ref="AQ38:BA40" si="38">$AO38</f>
        <v>0</v>
      </c>
      <c r="AR38" s="1885">
        <f t="shared" si="38"/>
        <v>0</v>
      </c>
      <c r="AS38" s="1885">
        <f t="shared" si="38"/>
        <v>0</v>
      </c>
      <c r="AT38" s="1885">
        <f t="shared" si="38"/>
        <v>0</v>
      </c>
      <c r="AU38" s="2053">
        <f t="shared" si="38"/>
        <v>0</v>
      </c>
      <c r="AV38" s="1947">
        <v>0.02</v>
      </c>
      <c r="AW38" s="1949">
        <v>0.04</v>
      </c>
      <c r="AX38" s="1949">
        <v>0.06</v>
      </c>
      <c r="AY38" s="1949">
        <v>0.08</v>
      </c>
      <c r="AZ38" s="1949">
        <v>0.1</v>
      </c>
      <c r="BA38" s="2061">
        <v>0.12</v>
      </c>
      <c r="BB38" s="1903">
        <f t="shared" si="36"/>
        <v>0</v>
      </c>
      <c r="BC38" s="1903">
        <f t="shared" si="36"/>
        <v>0</v>
      </c>
      <c r="BD38" s="1903">
        <f t="shared" si="36"/>
        <v>0</v>
      </c>
      <c r="BE38" s="1903">
        <f t="shared" si="36"/>
        <v>0</v>
      </c>
      <c r="BF38" s="1903">
        <f t="shared" si="36"/>
        <v>0</v>
      </c>
      <c r="BG38" s="1903">
        <f t="shared" si="36"/>
        <v>0</v>
      </c>
      <c r="BH38" s="1948">
        <f t="shared" si="36"/>
        <v>0</v>
      </c>
      <c r="BI38" s="2678">
        <f t="shared" si="37"/>
        <v>0</v>
      </c>
      <c r="BJ38" s="2678">
        <f t="shared" si="37"/>
        <v>0</v>
      </c>
      <c r="BK38" s="2678">
        <f t="shared" si="37"/>
        <v>0</v>
      </c>
      <c r="BL38" s="2678">
        <f t="shared" si="37"/>
        <v>0</v>
      </c>
      <c r="BM38" s="2678">
        <f t="shared" si="37"/>
        <v>0</v>
      </c>
      <c r="BN38" s="2679">
        <f t="shared" si="37"/>
        <v>0</v>
      </c>
    </row>
    <row r="39" spans="1:66" ht="11.25" customHeight="1" thickBot="1">
      <c r="B39" s="119" t="s">
        <v>128</v>
      </c>
      <c r="C39" s="5"/>
      <c r="D39" s="24">
        <f>D35</f>
        <v>46326</v>
      </c>
      <c r="E39" s="24">
        <f>E38</f>
        <v>49979</v>
      </c>
      <c r="F39" s="680">
        <f>DATEDIF(D39-1,E39+1,"M")</f>
        <v>120</v>
      </c>
      <c r="G39" s="54"/>
      <c r="H39" s="24"/>
      <c r="I39" s="24"/>
      <c r="K39" s="1308">
        <v>4.1000000000000002E-2</v>
      </c>
      <c r="L39" s="66" t="s">
        <v>614</v>
      </c>
      <c r="M39" s="67">
        <f>D37</f>
        <v>46326</v>
      </c>
      <c r="N39" s="24">
        <f>N41</f>
        <v>49979</v>
      </c>
      <c r="O39" s="68">
        <f t="shared" si="26"/>
        <v>120</v>
      </c>
      <c r="P39" s="1760">
        <v>0</v>
      </c>
      <c r="Q39" s="857">
        <v>4.4999999999999998E-2</v>
      </c>
      <c r="R39" s="25">
        <v>1.4999999999999999E-2</v>
      </c>
      <c r="S39" s="25">
        <f t="shared" si="25"/>
        <v>4.65E-2</v>
      </c>
      <c r="T39" s="1044" t="s">
        <v>604</v>
      </c>
      <c r="U39" s="1050">
        <v>5000</v>
      </c>
      <c r="V39" s="12" t="s">
        <v>66</v>
      </c>
      <c r="W39" s="5"/>
      <c r="X39" s="1250">
        <f t="shared" si="34"/>
        <v>142943.21490400002</v>
      </c>
      <c r="Y39" s="13">
        <f>SUMIF('NOI(M)'!$M$11:$ER$11,Y$35,'NOI(M)'!$M19:$ER19)</f>
        <v>142943.21490399999</v>
      </c>
      <c r="Z39" s="13">
        <f>SUMIF('NOI(M)'!$M$11:$ER$11,Z$35,'NOI(M)'!$M19:$ER19)</f>
        <v>142943.21490399999</v>
      </c>
      <c r="AA39" s="13">
        <f>SUMIF('NOI(M)'!$M$11:$ER$11,AA$35,'NOI(M)'!$M19:$ER19)</f>
        <v>142943.21490399999</v>
      </c>
      <c r="AB39" s="13">
        <f>SUMIF('NOI(M)'!$M$11:$ER$11,AB$35,'NOI(M)'!$M19:$ER19)</f>
        <v>142943.21490399999</v>
      </c>
      <c r="AC39" s="13">
        <f>SUMIF('NOI(M)'!$M$11:$ER$11,AC$35,'NOI(M)'!$M19:$ER19)</f>
        <v>142943.21490399999</v>
      </c>
      <c r="AD39" s="13">
        <f>SUMIF('NOI(M)'!$M$11:$ER$11,AD$35,'NOI(M)'!$M19:$ER19)</f>
        <v>142943.21490399999</v>
      </c>
      <c r="AE39" s="13">
        <f>SUMIF('NOI(M)'!$M$11:$ER$11,AE$35,'NOI(M)'!$M19:$ER19)</f>
        <v>142943.21490399999</v>
      </c>
      <c r="AF39" s="13">
        <f>SUMIF('NOI(M)'!$M$11:$ER$11,AF$35,'NOI(M)'!$M19:$ER19)</f>
        <v>142943.21490399999</v>
      </c>
      <c r="AG39" s="13">
        <f>SUMIF('NOI(M)'!$M$11:$ER$11,AG$35,'NOI(M)'!$M19:$ER19)</f>
        <v>142943.21490399999</v>
      </c>
      <c r="AH39" s="13">
        <f>SUMIF('NOI(M)'!$M$11:$ER$11,AH$35,'NOI(M)'!$M19:$ER19)</f>
        <v>142943.21490399999</v>
      </c>
      <c r="AI39" s="836">
        <f t="shared" si="35"/>
        <v>1429432.1490400003</v>
      </c>
      <c r="AJ39" s="840">
        <f>'NOI(M)'!K41</f>
        <v>142943.21490399999</v>
      </c>
      <c r="AL39" s="1840" t="s">
        <v>1144</v>
      </c>
      <c r="AM39" s="259" t="s">
        <v>1145</v>
      </c>
      <c r="AN39" s="1938" cm="1">
        <f t="array" ref="AN39">INDEX(AO39:BN39,1,$AN$36)</f>
        <v>4.7750000000000001E-2</v>
      </c>
      <c r="AO39" s="2228">
        <f>S112</f>
        <v>4.7750000000000001E-2</v>
      </c>
      <c r="AP39" s="1885">
        <f>$AO39</f>
        <v>4.7750000000000001E-2</v>
      </c>
      <c r="AQ39" s="1885">
        <f t="shared" si="38"/>
        <v>4.7750000000000001E-2</v>
      </c>
      <c r="AR39" s="1885">
        <f t="shared" si="38"/>
        <v>4.7750000000000001E-2</v>
      </c>
      <c r="AS39" s="1885">
        <f t="shared" si="38"/>
        <v>4.7750000000000001E-2</v>
      </c>
      <c r="AT39" s="1885">
        <f t="shared" si="38"/>
        <v>4.7750000000000001E-2</v>
      </c>
      <c r="AU39" s="2053">
        <f t="shared" si="38"/>
        <v>4.7750000000000001E-2</v>
      </c>
      <c r="AV39" s="1885">
        <f t="shared" si="38"/>
        <v>4.7750000000000001E-2</v>
      </c>
      <c r="AW39" s="1903">
        <f t="shared" si="38"/>
        <v>4.7750000000000001E-2</v>
      </c>
      <c r="AX39" s="1903">
        <f t="shared" si="38"/>
        <v>4.7750000000000001E-2</v>
      </c>
      <c r="AY39" s="1903">
        <f t="shared" si="38"/>
        <v>4.7750000000000001E-2</v>
      </c>
      <c r="AZ39" s="1903">
        <f t="shared" si="38"/>
        <v>4.7750000000000001E-2</v>
      </c>
      <c r="BA39" s="2060">
        <f t="shared" si="38"/>
        <v>4.7750000000000001E-2</v>
      </c>
      <c r="BB39" s="1949">
        <f>$AO39+0.2%*(BB$36-13)</f>
        <v>4.9750000000000003E-2</v>
      </c>
      <c r="BC39" s="1949">
        <f t="shared" ref="BC39:BH39" si="39">$AO39+0.2%*(BC$36-13)</f>
        <v>5.1750000000000004E-2</v>
      </c>
      <c r="BD39" s="1949">
        <f t="shared" si="39"/>
        <v>5.3749999999999999E-2</v>
      </c>
      <c r="BE39" s="1949">
        <f t="shared" si="39"/>
        <v>5.5750000000000001E-2</v>
      </c>
      <c r="BF39" s="1949">
        <f t="shared" si="39"/>
        <v>5.7750000000000003E-2</v>
      </c>
      <c r="BG39" s="1949">
        <f t="shared" si="39"/>
        <v>5.9749999999999998E-2</v>
      </c>
      <c r="BH39" s="1950">
        <f t="shared" si="39"/>
        <v>6.1749999999999999E-2</v>
      </c>
      <c r="BI39" s="2678">
        <f t="shared" si="37"/>
        <v>4.7750000000000001E-2</v>
      </c>
      <c r="BJ39" s="2678">
        <f t="shared" si="37"/>
        <v>4.7750000000000001E-2</v>
      </c>
      <c r="BK39" s="2678">
        <f t="shared" si="37"/>
        <v>4.7750000000000001E-2</v>
      </c>
      <c r="BL39" s="2678">
        <f t="shared" si="37"/>
        <v>4.7750000000000001E-2</v>
      </c>
      <c r="BM39" s="2678">
        <f t="shared" si="37"/>
        <v>4.7750000000000001E-2</v>
      </c>
      <c r="BN39" s="2679">
        <f t="shared" si="37"/>
        <v>4.7750000000000001E-2</v>
      </c>
    </row>
    <row r="40" spans="1:66" ht="11.25" customHeight="1">
      <c r="B40" s="6" t="s">
        <v>274</v>
      </c>
      <c r="C40" s="1357"/>
      <c r="D40" s="1358" t="s">
        <v>1081</v>
      </c>
      <c r="E40" s="1358"/>
      <c r="F40" s="1358"/>
      <c r="G40" s="1358"/>
      <c r="H40" s="1808" t="s">
        <v>1082</v>
      </c>
      <c r="I40" s="1809"/>
      <c r="J40" s="1809"/>
      <c r="K40" s="1810"/>
      <c r="L40" s="62" t="s">
        <v>88</v>
      </c>
      <c r="M40" s="70" t="s">
        <v>11</v>
      </c>
      <c r="N40" s="18" t="s">
        <v>18</v>
      </c>
      <c r="O40" s="18" t="s">
        <v>12</v>
      </c>
      <c r="P40" s="18" t="s">
        <v>96</v>
      </c>
      <c r="Q40" s="18" t="s">
        <v>89</v>
      </c>
      <c r="R40" s="18" t="s">
        <v>28</v>
      </c>
      <c r="S40" s="18" t="s">
        <v>450</v>
      </c>
      <c r="T40" s="18" t="s">
        <v>451</v>
      </c>
      <c r="U40" s="18" t="s">
        <v>601</v>
      </c>
      <c r="V40" s="12" t="s">
        <v>69</v>
      </c>
      <c r="W40" s="5"/>
      <c r="X40" s="1250">
        <f t="shared" si="34"/>
        <v>0</v>
      </c>
      <c r="Y40" s="13">
        <f>SUMIF('NOI(M)'!$M$11:$ER$11,Y$35,'NOI(M)'!$M20:$ER20)</f>
        <v>0</v>
      </c>
      <c r="Z40" s="13">
        <f>SUMIF('NOI(M)'!$M$11:$ER$11,Z$35,'NOI(M)'!$M20:$ER20)</f>
        <v>0</v>
      </c>
      <c r="AA40" s="13">
        <f>SUMIF('NOI(M)'!$M$11:$ER$11,AA$35,'NOI(M)'!$M20:$ER20)</f>
        <v>0</v>
      </c>
      <c r="AB40" s="13">
        <f>SUMIF('NOI(M)'!$M$11:$ER$11,AB$35,'NOI(M)'!$M20:$ER20)</f>
        <v>0</v>
      </c>
      <c r="AC40" s="13">
        <f>SUMIF('NOI(M)'!$M$11:$ER$11,AC$35,'NOI(M)'!$M20:$ER20)</f>
        <v>0</v>
      </c>
      <c r="AD40" s="13">
        <f>SUMIF('NOI(M)'!$M$11:$ER$11,AD$35,'NOI(M)'!$M20:$ER20)</f>
        <v>0</v>
      </c>
      <c r="AE40" s="13">
        <f>SUMIF('NOI(M)'!$M$11:$ER$11,AE$35,'NOI(M)'!$M20:$ER20)</f>
        <v>0</v>
      </c>
      <c r="AF40" s="13">
        <f>SUMIF('NOI(M)'!$M$11:$ER$11,AF$35,'NOI(M)'!$M20:$ER20)</f>
        <v>0</v>
      </c>
      <c r="AG40" s="13">
        <f>SUMIF('NOI(M)'!$M$11:$ER$11,AG$35,'NOI(M)'!$M20:$ER20)</f>
        <v>0</v>
      </c>
      <c r="AH40" s="13">
        <f>SUMIF('NOI(M)'!$M$11:$ER$11,AH$35,'NOI(M)'!$M20:$ER20)</f>
        <v>0</v>
      </c>
      <c r="AI40" s="836">
        <f t="shared" si="35"/>
        <v>0</v>
      </c>
      <c r="AJ40" s="840">
        <f>'NOI(M)'!K42</f>
        <v>0</v>
      </c>
      <c r="AL40" s="2043"/>
      <c r="AM40" s="675" t="s">
        <v>1146</v>
      </c>
      <c r="AN40" s="2044" cm="1">
        <f t="array" ref="AN40">INDEX(AO40:BN40,1,$AN$36)</f>
        <v>0.06</v>
      </c>
      <c r="AO40" s="2045">
        <v>0.06</v>
      </c>
      <c r="AP40" s="2046">
        <f t="shared" ref="AP40:BE41" si="40">$AO40</f>
        <v>0.06</v>
      </c>
      <c r="AQ40" s="2046">
        <f t="shared" si="38"/>
        <v>0.06</v>
      </c>
      <c r="AR40" s="2046">
        <f t="shared" si="38"/>
        <v>0.06</v>
      </c>
      <c r="AS40" s="2046">
        <f t="shared" si="38"/>
        <v>0.06</v>
      </c>
      <c r="AT40" s="2046">
        <f t="shared" si="38"/>
        <v>0.06</v>
      </c>
      <c r="AU40" s="2054">
        <f t="shared" si="38"/>
        <v>0.06</v>
      </c>
      <c r="AV40" s="2046">
        <f t="shared" si="38"/>
        <v>0.06</v>
      </c>
      <c r="AW40" s="2047">
        <f t="shared" si="38"/>
        <v>0.06</v>
      </c>
      <c r="AX40" s="2047">
        <f t="shared" si="38"/>
        <v>0.06</v>
      </c>
      <c r="AY40" s="2047">
        <f t="shared" si="38"/>
        <v>0.06</v>
      </c>
      <c r="AZ40" s="2047">
        <f t="shared" si="38"/>
        <v>0.06</v>
      </c>
      <c r="BA40" s="2062">
        <f t="shared" si="38"/>
        <v>0.06</v>
      </c>
      <c r="BB40" s="2048">
        <f t="shared" ref="BB40:BH40" si="41">$AO40+0.2%*(BB$36-13)</f>
        <v>6.2E-2</v>
      </c>
      <c r="BC40" s="2048">
        <f t="shared" si="41"/>
        <v>6.4000000000000001E-2</v>
      </c>
      <c r="BD40" s="2048">
        <f t="shared" si="41"/>
        <v>6.6000000000000003E-2</v>
      </c>
      <c r="BE40" s="2048">
        <f t="shared" si="41"/>
        <v>6.8000000000000005E-2</v>
      </c>
      <c r="BF40" s="2048">
        <f t="shared" si="41"/>
        <v>6.9999999999999993E-2</v>
      </c>
      <c r="BG40" s="2048">
        <f t="shared" si="41"/>
        <v>7.1999999999999995E-2</v>
      </c>
      <c r="BH40" s="2049">
        <f t="shared" si="41"/>
        <v>7.3999999999999996E-2</v>
      </c>
      <c r="BI40" s="2680">
        <f t="shared" si="37"/>
        <v>0.06</v>
      </c>
      <c r="BJ40" s="2680">
        <f t="shared" si="37"/>
        <v>0.06</v>
      </c>
      <c r="BK40" s="2680">
        <f t="shared" si="37"/>
        <v>0.06</v>
      </c>
      <c r="BL40" s="2680">
        <f t="shared" si="37"/>
        <v>0.06</v>
      </c>
      <c r="BM40" s="2680">
        <f t="shared" si="37"/>
        <v>0.06</v>
      </c>
      <c r="BN40" s="2681">
        <f t="shared" si="37"/>
        <v>0.06</v>
      </c>
    </row>
    <row r="41" spans="1:66" ht="11.25" customHeight="1">
      <c r="B41" s="101" t="s">
        <v>24</v>
      </c>
      <c r="C41" s="1362"/>
      <c r="D41" s="285" t="s">
        <v>259</v>
      </c>
      <c r="E41" s="16" t="s">
        <v>261</v>
      </c>
      <c r="F41" s="16" t="s">
        <v>262</v>
      </c>
      <c r="G41" s="16" t="s">
        <v>263</v>
      </c>
      <c r="H41" s="945" t="s">
        <v>260</v>
      </c>
      <c r="I41" s="18" t="s">
        <v>261</v>
      </c>
      <c r="J41" s="18" t="s">
        <v>262</v>
      </c>
      <c r="K41" s="1363" t="s">
        <v>263</v>
      </c>
      <c r="L41" s="32" t="s">
        <v>1081</v>
      </c>
      <c r="M41" s="71">
        <f>$D$37</f>
        <v>46326</v>
      </c>
      <c r="N41" s="72">
        <f>$E$37</f>
        <v>49979</v>
      </c>
      <c r="O41" s="73">
        <f>DATEDIF(M41-1,N41+1,"m")</f>
        <v>120</v>
      </c>
      <c r="P41" s="1098">
        <v>24000000</v>
      </c>
      <c r="Q41" s="33">
        <f>P41</f>
        <v>24000000</v>
      </c>
      <c r="R41" s="1878">
        <f>P41/SUM($P$41:$P$44)</f>
        <v>0.24291497975708501</v>
      </c>
      <c r="S41" s="1383">
        <v>7.0000000000000007E-2</v>
      </c>
      <c r="T41" s="74">
        <v>0</v>
      </c>
      <c r="U41" s="273">
        <v>0.02</v>
      </c>
      <c r="V41" s="47" t="s">
        <v>71</v>
      </c>
      <c r="W41" s="36"/>
      <c r="X41" s="1251">
        <f>SUM(X36:X40)</f>
        <v>17341161.493373636</v>
      </c>
      <c r="Y41" s="49">
        <f>SUM(Y36:Y40)</f>
        <v>15337100.219276344</v>
      </c>
      <c r="Z41" s="49">
        <f t="shared" ref="Z41:AE41" si="42">SUM(Z36:Z40)</f>
        <v>15682859.408385647</v>
      </c>
      <c r="AA41" s="49">
        <f t="shared" si="42"/>
        <v>11366672.111531518</v>
      </c>
      <c r="AB41" s="49">
        <f t="shared" si="42"/>
        <v>17482771.279269997</v>
      </c>
      <c r="AC41" s="49">
        <f t="shared" si="42"/>
        <v>17924190.017740354</v>
      </c>
      <c r="AD41" s="49">
        <f t="shared" si="42"/>
        <v>18366754.183811259</v>
      </c>
      <c r="AE41" s="49">
        <f t="shared" si="42"/>
        <v>18820382.454033937</v>
      </c>
      <c r="AF41" s="49">
        <f>SUM(AF36:AF40)</f>
        <v>19064401.477767032</v>
      </c>
      <c r="AG41" s="49">
        <f>SUM(AG36:AG40)</f>
        <v>19442248.085734565</v>
      </c>
      <c r="AH41" s="49">
        <f>SUM(AH36:AH40)</f>
        <v>19924235.696185678</v>
      </c>
      <c r="AI41" s="837">
        <f>SUM(AI36:AI40)</f>
        <v>173411614.93373638</v>
      </c>
      <c r="AJ41" s="841">
        <f>SUM(AJ36:AJ40)</f>
        <v>20543128.645394322</v>
      </c>
      <c r="AL41" s="2043" t="s">
        <v>1884</v>
      </c>
      <c r="AM41" s="675"/>
      <c r="AN41" s="2044" cm="1">
        <f t="array" ref="AN41">INDEX(AO41:BN41,1,$AN$36)</f>
        <v>4.8000000000000001E-2</v>
      </c>
      <c r="AO41" s="2682">
        <v>4.8000000000000001E-2</v>
      </c>
      <c r="AP41" s="2683">
        <f t="shared" si="40"/>
        <v>4.8000000000000001E-2</v>
      </c>
      <c r="AQ41" s="2683">
        <f t="shared" si="40"/>
        <v>4.8000000000000001E-2</v>
      </c>
      <c r="AR41" s="2683">
        <f t="shared" si="40"/>
        <v>4.8000000000000001E-2</v>
      </c>
      <c r="AS41" s="2683">
        <f t="shared" si="40"/>
        <v>4.8000000000000001E-2</v>
      </c>
      <c r="AT41" s="2683">
        <f t="shared" si="40"/>
        <v>4.8000000000000001E-2</v>
      </c>
      <c r="AU41" s="2684">
        <f t="shared" si="40"/>
        <v>4.8000000000000001E-2</v>
      </c>
      <c r="AV41" s="2683">
        <f t="shared" si="40"/>
        <v>4.8000000000000001E-2</v>
      </c>
      <c r="AW41" s="2680">
        <f t="shared" si="40"/>
        <v>4.8000000000000001E-2</v>
      </c>
      <c r="AX41" s="2680">
        <f t="shared" si="40"/>
        <v>4.8000000000000001E-2</v>
      </c>
      <c r="AY41" s="2680">
        <f t="shared" si="40"/>
        <v>4.8000000000000001E-2</v>
      </c>
      <c r="AZ41" s="2680">
        <f t="shared" si="40"/>
        <v>4.8000000000000001E-2</v>
      </c>
      <c r="BA41" s="2685">
        <f t="shared" si="40"/>
        <v>4.8000000000000001E-2</v>
      </c>
      <c r="BB41" s="2680">
        <f t="shared" si="40"/>
        <v>4.8000000000000001E-2</v>
      </c>
      <c r="BC41" s="2680">
        <f t="shared" si="40"/>
        <v>4.8000000000000001E-2</v>
      </c>
      <c r="BD41" s="2680">
        <f t="shared" si="40"/>
        <v>4.8000000000000001E-2</v>
      </c>
      <c r="BE41" s="2680">
        <f t="shared" si="40"/>
        <v>4.8000000000000001E-2</v>
      </c>
      <c r="BF41" s="2680">
        <f t="shared" ref="BF41:BH41" si="43">$AO41</f>
        <v>4.8000000000000001E-2</v>
      </c>
      <c r="BG41" s="2680">
        <f t="shared" si="43"/>
        <v>4.8000000000000001E-2</v>
      </c>
      <c r="BH41" s="2681">
        <f t="shared" si="43"/>
        <v>4.8000000000000001E-2</v>
      </c>
      <c r="BI41" s="2048">
        <f>BH41+0.5%</f>
        <v>5.2999999999999999E-2</v>
      </c>
      <c r="BJ41" s="2048">
        <f t="shared" ref="BJ41:BN41" si="44">BI41+0.5%</f>
        <v>5.7999999999999996E-2</v>
      </c>
      <c r="BK41" s="2048">
        <f t="shared" si="44"/>
        <v>6.3E-2</v>
      </c>
      <c r="BL41" s="2048">
        <f t="shared" si="44"/>
        <v>6.8000000000000005E-2</v>
      </c>
      <c r="BM41" s="2048">
        <f t="shared" si="44"/>
        <v>7.3000000000000009E-2</v>
      </c>
      <c r="BN41" s="2049">
        <f t="shared" si="44"/>
        <v>7.8000000000000014E-2</v>
      </c>
    </row>
    <row r="42" spans="1:66" ht="11.25" customHeight="1" thickBot="1">
      <c r="A42" s="1767">
        <f>IFERROR(IFERROR(SUMIF('FS_Detail(M)'!$L$10:$EQ$10,$C42,'FS_Detail(M)'!$L$79:$EQ$79)/COUNTIF('FS_Detail(M)'!$L$10:$EQ$10,'A&amp;R'!$C42),)/H72,)</f>
        <v>0</v>
      </c>
      <c r="B42" s="105"/>
      <c r="C42" s="1364">
        <v>0</v>
      </c>
      <c r="D42" s="934">
        <f>IFERROR(SUMIF('FS_Detail(M)'!$L$10:$EQ$10,$C42,'FS_Detail(M)'!$L$61:$EQ$61)/COUNTIF('FS_Detail(M)'!$L$10:$EQ$10,'A&amp;R'!$C42),)</f>
        <v>0</v>
      </c>
      <c r="E42" s="935">
        <f ca="1">-SUMIF('CF(M)'!$L$10:$EQ$10,$C42,'CF(M)'!$L$98:$EQ$98)</f>
        <v>0</v>
      </c>
      <c r="F42" s="935">
        <f>-SUMIF('CF(M)'!$L$10:$EQ$10,$C42,'CF(M)'!$L$99:$EQ$99)</f>
        <v>0</v>
      </c>
      <c r="G42" s="930"/>
      <c r="H42" s="947">
        <f>IFERROR(SUMIF('FS_Detail(M)'!$L$10:$EQ$10,$C42,'FS_Detail(M)'!$L$66:$EQ$66)/COUNTIF('FS_Detail(M)'!$L$10:$EQ$10,'A&amp;R'!$C42),)</f>
        <v>0</v>
      </c>
      <c r="I42" s="935">
        <f ca="1">-SUMIF('CF(M)'!$L$10:$EQ$10,$C42,'CF(M)'!$L$103:$EQ$103)</f>
        <v>0</v>
      </c>
      <c r="J42" s="935">
        <f>-SUMIF('CF(M)'!$L$10:$EQ$10,$C42,'CF(M)'!$L$104:$EQ$104)</f>
        <v>0</v>
      </c>
      <c r="K42" s="1365"/>
      <c r="L42" s="5" t="s">
        <v>1084</v>
      </c>
      <c r="M42" s="67">
        <f>$D$37</f>
        <v>46326</v>
      </c>
      <c r="N42" s="24">
        <f>$E$37</f>
        <v>49979</v>
      </c>
      <c r="O42" s="68">
        <f>DATEDIF(M42-1,N42+1,"m")</f>
        <v>120</v>
      </c>
      <c r="P42" s="27">
        <v>50000000</v>
      </c>
      <c r="Q42" s="27">
        <f>P42</f>
        <v>50000000</v>
      </c>
      <c r="R42" s="1879">
        <f>P42/SUM($P$41:$P$44)</f>
        <v>0.50607287449392713</v>
      </c>
      <c r="S42" s="1811">
        <v>7.4999999999999997E-2</v>
      </c>
      <c r="T42" s="25">
        <v>0.2</v>
      </c>
      <c r="U42" s="793">
        <v>0.02</v>
      </c>
      <c r="V42" s="12" t="s">
        <v>73</v>
      </c>
      <c r="W42" s="5"/>
      <c r="X42" s="1250">
        <f t="shared" si="34"/>
        <v>64216.330010060003</v>
      </c>
      <c r="Y42" s="13">
        <f>SUMIF('NOI(M)'!$M$11:$ER$11,Y$35,'NOI(M)'!$M22:$ER22)</f>
        <v>60000</v>
      </c>
      <c r="Z42" s="13">
        <f>SUMIF('NOI(M)'!$M$11:$ER$11,Z$35,'NOI(M)'!$M22:$ER22)</f>
        <v>60899.999999999993</v>
      </c>
      <c r="AA42" s="13">
        <f>SUMIF('NOI(M)'!$M$11:$ER$11,AA$35,'NOI(M)'!$M22:$ER22)</f>
        <v>61813.499999999993</v>
      </c>
      <c r="AB42" s="13">
        <f>SUMIF('NOI(M)'!$M$11:$ER$11,AB$35,'NOI(M)'!$M22:$ER22)</f>
        <v>62740.702499999992</v>
      </c>
      <c r="AC42" s="13">
        <f>SUMIF('NOI(M)'!$M$11:$ER$11,AC$35,'NOI(M)'!$M22:$ER22)</f>
        <v>63681.813037499967</v>
      </c>
      <c r="AD42" s="13">
        <f>SUMIF('NOI(M)'!$M$11:$ER$11,AD$35,'NOI(M)'!$M22:$ER22)</f>
        <v>64637.040233062457</v>
      </c>
      <c r="AE42" s="13">
        <f>SUMIF('NOI(M)'!$M$11:$ER$11,AE$35,'NOI(M)'!$M22:$ER22)</f>
        <v>65606.595836558365</v>
      </c>
      <c r="AF42" s="13">
        <f>SUMIF('NOI(M)'!$M$11:$ER$11,AF$35,'NOI(M)'!$M22:$ER22)</f>
        <v>66590.694774106756</v>
      </c>
      <c r="AG42" s="13">
        <f>SUMIF('NOI(M)'!$M$11:$ER$11,AG$35,'NOI(M)'!$M22:$ER22)</f>
        <v>67589.555195718349</v>
      </c>
      <c r="AH42" s="13">
        <f>SUMIF('NOI(M)'!$M$11:$ER$11,AH$35,'NOI(M)'!$M22:$ER22)</f>
        <v>68603.398523654119</v>
      </c>
      <c r="AI42" s="836">
        <f t="shared" si="35"/>
        <v>642163.3001006</v>
      </c>
      <c r="AJ42" s="840">
        <f>'NOI(M)'!K44</f>
        <v>69632.449501508891</v>
      </c>
      <c r="AL42" s="1840" t="s">
        <v>271</v>
      </c>
      <c r="AN42" s="2039">
        <f>AI33/1000</f>
        <v>58.321485107997873</v>
      </c>
      <c r="AO42" s="2040">
        <v>58.321485107997873</v>
      </c>
      <c r="AP42" s="2041">
        <v>49.573262341798191</v>
      </c>
      <c r="AQ42" s="2041">
        <v>52.48933659719809</v>
      </c>
      <c r="AR42" s="2041">
        <v>55.405410852597988</v>
      </c>
      <c r="AS42" s="2041">
        <v>61.237559363397764</v>
      </c>
      <c r="AT42" s="2041">
        <v>64.15363361879767</v>
      </c>
      <c r="AU42" s="2055">
        <v>67.069707874197562</v>
      </c>
      <c r="AV42" s="2041">
        <v>58.321485107997873</v>
      </c>
      <c r="AW42" s="2041">
        <v>58.321485107997873</v>
      </c>
      <c r="AX42" s="2041">
        <v>58.321485107997873</v>
      </c>
      <c r="AY42" s="2041">
        <v>58.321485107997873</v>
      </c>
      <c r="AZ42" s="2041">
        <v>58.321485107997873</v>
      </c>
      <c r="BA42" s="2055">
        <v>58.321485107997873</v>
      </c>
      <c r="BB42" s="2041">
        <v>58.321485107997873</v>
      </c>
      <c r="BC42" s="2041">
        <v>58.321485107997873</v>
      </c>
      <c r="BD42" s="2041">
        <v>58.321485107997873</v>
      </c>
      <c r="BE42" s="2041">
        <v>58.321485107997873</v>
      </c>
      <c r="BF42" s="2041">
        <v>58.321485107997873</v>
      </c>
      <c r="BG42" s="2041">
        <v>58.321485107997873</v>
      </c>
      <c r="BH42" s="2042">
        <v>58.321485107997873</v>
      </c>
      <c r="BI42" s="2041">
        <v>58.321485107997873</v>
      </c>
      <c r="BJ42" s="2041">
        <v>58.321485107997873</v>
      </c>
      <c r="BK42" s="2041">
        <v>58.321485107997873</v>
      </c>
      <c r="BL42" s="2041">
        <v>58.321485107997873</v>
      </c>
      <c r="BM42" s="2041">
        <v>58.321485107997873</v>
      </c>
      <c r="BN42" s="2042">
        <v>58.321485107997873</v>
      </c>
    </row>
    <row r="43" spans="1:66" ht="11.25" customHeight="1">
      <c r="A43" s="1767">
        <f>IFERROR(IFERROR(SUMIF('FS_Detail(M)'!$L$10:$EQ$10,$C43,'FS_Detail(M)'!$L$79:$EQ$79)/COUNTIF('FS_Detail(M)'!$L$10:$EQ$10,'A&amp;R'!$C43),)/H73,)</f>
        <v>1</v>
      </c>
      <c r="B43" s="870"/>
      <c r="C43" s="1366">
        <f t="shared" ref="C43:C62" si="45">C42+1</f>
        <v>1</v>
      </c>
      <c r="D43" s="1726">
        <f>IFERROR(SUMIF('FS_Detail(M)'!$L$10:$EQ$10,$C43,'FS_Detail(M)'!$L$61:$EQ$61)/COUNTIF('FS_Detail(M)'!$L$10:$EQ$10,'A&amp;R'!$C43),)</f>
        <v>24000000</v>
      </c>
      <c r="E43" s="1727">
        <f ca="1">-SUMIF('CF(M)'!$L$10:$EQ$10,$C43,'CF(M)'!$L$98:$EQ$98)</f>
        <v>840000.00000000012</v>
      </c>
      <c r="F43" s="1727">
        <f>-SUMIF('CF(M)'!$L$10:$EQ$10,$C43,'CF(M)'!$L$99:$EQ$99)</f>
        <v>0</v>
      </c>
      <c r="G43" s="1728">
        <f ca="1">IFERROR(SUM(E43:F43)/D43*(12/6),)</f>
        <v>7.0000000000000007E-2</v>
      </c>
      <c r="H43" s="1669">
        <f>IFERROR(SUMIF('FS_Detail(M)'!$L$10:$EQ$10,$C43,'FS_Detail(M)'!$L$66:$EQ$66)/COUNTIF('FS_Detail(M)'!$L$10:$EQ$10,'A&amp;R'!$C43),)</f>
        <v>50000000</v>
      </c>
      <c r="I43" s="1669">
        <f ca="1">-SUMIF('CF(M)'!$L$10:$EQ$10,$C43,'CF(M)'!$L$103:$EQ$103)</f>
        <v>1875000</v>
      </c>
      <c r="J43" s="1669">
        <f>-SUMIF('CF(M)'!$L$10:$EQ$10,$C43,'CF(M)'!$L$104:$EQ$104)</f>
        <v>0</v>
      </c>
      <c r="K43" s="1724">
        <f ca="1">IFERROR(SUM(I43:J43)/H43*(12/6),)</f>
        <v>7.4999999999999997E-2</v>
      </c>
      <c r="L43" s="1791" t="s">
        <v>1083</v>
      </c>
      <c r="M43" s="67">
        <f>$D$37</f>
        <v>46326</v>
      </c>
      <c r="N43" s="24">
        <f>EOMONTH(M43-1,O43)</f>
        <v>47057</v>
      </c>
      <c r="O43" s="278">
        <v>24</v>
      </c>
      <c r="P43" s="27">
        <v>10000000</v>
      </c>
      <c r="Q43" s="27">
        <f>P43</f>
        <v>10000000</v>
      </c>
      <c r="R43" s="1879">
        <f>P43/SUM($P$41:$P$44)</f>
        <v>0.10121457489878542</v>
      </c>
      <c r="S43" s="25">
        <v>0</v>
      </c>
      <c r="T43" s="25">
        <v>0</v>
      </c>
      <c r="U43" s="1792">
        <v>0</v>
      </c>
      <c r="V43" s="12" t="s">
        <v>75</v>
      </c>
      <c r="W43" s="5"/>
      <c r="X43" s="1250">
        <f t="shared" si="34"/>
        <v>697498.03358780383</v>
      </c>
      <c r="Y43" s="13">
        <f>SUMIF('NOI(M)'!$M$11:$ER$11,Y$35,'NOI(M)'!$M23:$ER23)</f>
        <v>637000.73600459995</v>
      </c>
      <c r="Z43" s="13">
        <f>SUMIF('NOI(M)'!$M$11:$ER$11,Z$35,'NOI(M)'!$M23:$ER23)</f>
        <v>649740.7507246919</v>
      </c>
      <c r="AA43" s="13">
        <f>SUMIF('NOI(M)'!$M$11:$ER$11,AA$35,'NOI(M)'!$M23:$ER23)</f>
        <v>662735.5657391859</v>
      </c>
      <c r="AB43" s="13">
        <f>SUMIF('NOI(M)'!$M$11:$ER$11,AB$35,'NOI(M)'!$M23:$ER23)</f>
        <v>675990.27705396945</v>
      </c>
      <c r="AC43" s="13">
        <f>SUMIF('NOI(M)'!$M$11:$ER$11,AC$35,'NOI(M)'!$M23:$ER23)</f>
        <v>689510.08259504859</v>
      </c>
      <c r="AD43" s="13">
        <f>SUMIF('NOI(M)'!$M$11:$ER$11,AD$35,'NOI(M)'!$M23:$ER23)</f>
        <v>703300.28424694983</v>
      </c>
      <c r="AE43" s="13">
        <f>SUMIF('NOI(M)'!$M$11:$ER$11,AE$35,'NOI(M)'!$M23:$ER23)</f>
        <v>717366.28993188881</v>
      </c>
      <c r="AF43" s="13">
        <f>SUMIF('NOI(M)'!$M$11:$ER$11,AF$35,'NOI(M)'!$M23:$ER23)</f>
        <v>731713.61573052674</v>
      </c>
      <c r="AG43" s="13">
        <f>SUMIF('NOI(M)'!$M$11:$ER$11,AG$35,'NOI(M)'!$M23:$ER23)</f>
        <v>746347.88804513717</v>
      </c>
      <c r="AH43" s="13">
        <f>SUMIF('NOI(M)'!$M$11:$ER$11,AH$35,'NOI(M)'!$M23:$ER23)</f>
        <v>761274.84580603987</v>
      </c>
      <c r="AI43" s="836">
        <f t="shared" si="35"/>
        <v>6974980.3358780378</v>
      </c>
      <c r="AJ43" s="840">
        <f>'NOI(M)'!K45</f>
        <v>776500.34272216063</v>
      </c>
      <c r="AL43" s="1840" t="s">
        <v>693</v>
      </c>
      <c r="AM43" s="259" t="s">
        <v>1115</v>
      </c>
      <c r="AN43" s="1938">
        <f ca="1">BD81</f>
        <v>7.122499999999965E-2</v>
      </c>
      <c r="AO43" s="1953">
        <v>7.122499999999965E-2</v>
      </c>
      <c r="AP43" s="1885">
        <v>7.122499999999965E-2</v>
      </c>
      <c r="AQ43" s="1885">
        <v>7.122499999999965E-2</v>
      </c>
      <c r="AR43" s="1885">
        <v>7.122499999999965E-2</v>
      </c>
      <c r="AS43" s="1885">
        <v>7.122499999999965E-2</v>
      </c>
      <c r="AT43" s="1885">
        <v>7.122499999999965E-2</v>
      </c>
      <c r="AU43" s="2053">
        <v>7.122499999999965E-2</v>
      </c>
      <c r="AV43" s="1885">
        <v>7.122499999999965E-2</v>
      </c>
      <c r="AW43" s="1885">
        <v>7.122499999999965E-2</v>
      </c>
      <c r="AX43" s="1885">
        <v>7.122499999999965E-2</v>
      </c>
      <c r="AY43" s="1885">
        <v>7.122499999999965E-2</v>
      </c>
      <c r="AZ43" s="1885">
        <v>7.11046837308138E-2</v>
      </c>
      <c r="BA43" s="2053">
        <v>7.0654548640993298E-2</v>
      </c>
      <c r="BB43" s="1885">
        <v>7.122499999999965E-2</v>
      </c>
      <c r="BC43" s="1885">
        <v>7.122499999999965E-2</v>
      </c>
      <c r="BD43" s="1885">
        <v>7.122499999999965E-2</v>
      </c>
      <c r="BE43" s="1885">
        <v>7.122499999999965E-2</v>
      </c>
      <c r="BF43" s="1885">
        <v>7.122499999999965E-2</v>
      </c>
      <c r="BG43" s="1885">
        <v>7.122499999999965E-2</v>
      </c>
      <c r="BH43" s="1957">
        <v>7.122499999999965E-2</v>
      </c>
      <c r="BI43" s="1885">
        <v>7.122499999999965E-2</v>
      </c>
      <c r="BJ43" s="1885">
        <v>7.1214676483293715E-2</v>
      </c>
      <c r="BK43" s="1885">
        <v>7.031707809260479E-2</v>
      </c>
      <c r="BL43" s="1885">
        <v>6.8903403079730863E-2</v>
      </c>
      <c r="BM43" s="1885">
        <v>6.7999987337940437E-2</v>
      </c>
      <c r="BN43" s="1957">
        <v>6.7054081782075947E-2</v>
      </c>
    </row>
    <row r="44" spans="1:66" ht="11.25" customHeight="1" thickBot="1">
      <c r="A44" s="1767">
        <f>IFERROR(IFERROR(SUMIF('FS_Detail(M)'!$L$10:$EQ$10,$C44,'FS_Detail(M)'!$L$79:$EQ$79)/COUNTIF('FS_Detail(M)'!$L$10:$EQ$10,'A&amp;R'!$C44),)/H74,)</f>
        <v>1</v>
      </c>
      <c r="B44" s="99"/>
      <c r="C44" s="1366">
        <f t="shared" si="45"/>
        <v>2</v>
      </c>
      <c r="D44" s="1729">
        <f>IFERROR(SUMIF('FS_Detail(M)'!$L$10:$EQ$10,$C44,'FS_Detail(M)'!$L$61:$EQ$61)/COUNTIF('FS_Detail(M)'!$L$10:$EQ$10,'A&amp;R'!$C44),)</f>
        <v>24000000</v>
      </c>
      <c r="E44" s="1730">
        <f ca="1">-SUMIF('CF(M)'!$L$10:$EQ$10,$C44,'CF(M)'!$L$98:$EQ$98)</f>
        <v>840000.00000000012</v>
      </c>
      <c r="F44" s="1730">
        <f>-SUMIF('CF(M)'!$L$10:$EQ$10,$C44,'CF(M)'!$L$99:$EQ$99)</f>
        <v>0</v>
      </c>
      <c r="G44" s="1731">
        <f t="shared" ref="G44:G62" ca="1" si="46">IFERROR(SUM(E44:F44)/D44*(12/6),)</f>
        <v>7.0000000000000007E-2</v>
      </c>
      <c r="H44" s="1671">
        <f>IFERROR(SUMIF('FS_Detail(M)'!$L$10:$EQ$10,$C44,'FS_Detail(M)'!$L$66:$EQ$66)/COUNTIF('FS_Detail(M)'!$L$10:$EQ$10,'A&amp;R'!$C44),)</f>
        <v>50000000</v>
      </c>
      <c r="I44" s="1671">
        <f ca="1">-SUMIF('CF(M)'!$L$10:$EQ$10,$C44,'CF(M)'!$L$103:$EQ$103)</f>
        <v>1875000</v>
      </c>
      <c r="J44" s="1671">
        <f>-SUMIF('CF(M)'!$L$10:$EQ$10,$C44,'CF(M)'!$L$104:$EQ$104)</f>
        <v>0</v>
      </c>
      <c r="K44" s="1725">
        <f t="shared" ref="K44:K62" ca="1" si="47">IFERROR(SUM(I44:J44)/H44*(12/6),)</f>
        <v>7.4999999999999997E-2</v>
      </c>
      <c r="L44" s="1793" t="s">
        <v>1023</v>
      </c>
      <c r="M44" s="1794">
        <f>D39</f>
        <v>46326</v>
      </c>
      <c r="N44" s="1795">
        <f>E39</f>
        <v>49979</v>
      </c>
      <c r="O44" s="1796">
        <f>DATEDIF(M44-1,N44+1,"m")</f>
        <v>120</v>
      </c>
      <c r="P44" s="1797">
        <f>T13-P32-P41-P39-P35-P31-P45-P42-P43</f>
        <v>14800000</v>
      </c>
      <c r="Q44" s="1797">
        <f>P44</f>
        <v>14800000</v>
      </c>
      <c r="R44" s="1880">
        <f>P44/SUM($P$41:$P$44)</f>
        <v>0.14979757085020243</v>
      </c>
      <c r="S44" s="1799"/>
      <c r="T44" s="1798">
        <f>1-T41-T42-T43</f>
        <v>0.8</v>
      </c>
      <c r="U44" s="1800">
        <v>1.4E-2</v>
      </c>
      <c r="V44" s="12" t="s">
        <v>78</v>
      </c>
      <c r="W44" s="5"/>
      <c r="X44" s="1250">
        <f t="shared" si="34"/>
        <v>34153.875420512704</v>
      </c>
      <c r="Y44" s="13">
        <f>SUMIF('NOI(M)'!$M$11:$ER$11,Y$35,'NOI(M)'!$M24:$ER24)</f>
        <v>31191.548553000004</v>
      </c>
      <c r="Z44" s="13">
        <f>SUMIF('NOI(M)'!$M$11:$ER$11,Z$35,'NOI(M)'!$M24:$ER24)</f>
        <v>31815.37952405999</v>
      </c>
      <c r="AA44" s="13">
        <f>SUMIF('NOI(M)'!$M$11:$ER$11,AA$35,'NOI(M)'!$M24:$ER24)</f>
        <v>32451.687114541204</v>
      </c>
      <c r="AB44" s="13">
        <f>SUMIF('NOI(M)'!$M$11:$ER$11,AB$35,'NOI(M)'!$M24:$ER24)</f>
        <v>33100.72085683202</v>
      </c>
      <c r="AC44" s="13">
        <f>SUMIF('NOI(M)'!$M$11:$ER$11,AC$35,'NOI(M)'!$M24:$ER24)</f>
        <v>33762.735273968654</v>
      </c>
      <c r="AD44" s="13">
        <f>SUMIF('NOI(M)'!$M$11:$ER$11,AD$35,'NOI(M)'!$M24:$ER24)</f>
        <v>34437.989979448044</v>
      </c>
      <c r="AE44" s="13">
        <f>SUMIF('NOI(M)'!$M$11:$ER$11,AE$35,'NOI(M)'!$M24:$ER24)</f>
        <v>35126.749779036989</v>
      </c>
      <c r="AF44" s="13">
        <f>SUMIF('NOI(M)'!$M$11:$ER$11,AF$35,'NOI(M)'!$M24:$ER24)</f>
        <v>35829.284774617736</v>
      </c>
      <c r="AG44" s="13">
        <f>SUMIF('NOI(M)'!$M$11:$ER$11,AG$35,'NOI(M)'!$M24:$ER24)</f>
        <v>36545.870470110087</v>
      </c>
      <c r="AH44" s="13">
        <f>SUMIF('NOI(M)'!$M$11:$ER$11,AH$35,'NOI(M)'!$M24:$ER24)</f>
        <v>37276.787879512289</v>
      </c>
      <c r="AI44" s="836">
        <f t="shared" si="35"/>
        <v>341538.75420512701</v>
      </c>
      <c r="AJ44" s="840">
        <f>'NOI(M)'!K46</f>
        <v>38022.323637102549</v>
      </c>
      <c r="AL44" s="1840"/>
      <c r="AM44" s="259" t="s">
        <v>1116</v>
      </c>
      <c r="AN44" s="1938">
        <f ca="1">BD82</f>
        <v>9.1542830896573557E-2</v>
      </c>
      <c r="AO44" s="1953">
        <v>9.1542830896573557E-2</v>
      </c>
      <c r="AP44" s="1885">
        <v>7.3474651882736719E-2</v>
      </c>
      <c r="AQ44" s="1885">
        <v>7.9831310532255673E-2</v>
      </c>
      <c r="AR44" s="1885">
        <v>8.5935314452828759E-2</v>
      </c>
      <c r="AS44" s="1885">
        <v>9.6694400223311883E-2</v>
      </c>
      <c r="AT44" s="1885">
        <v>0.10159953485166318</v>
      </c>
      <c r="AU44" s="2053">
        <v>0.10592708926242222</v>
      </c>
      <c r="AV44" s="1885">
        <v>8.7720357585056474E-2</v>
      </c>
      <c r="AW44" s="1885">
        <v>8.3622158348574782E-2</v>
      </c>
      <c r="AX44" s="1885">
        <v>7.9525564952813488E-2</v>
      </c>
      <c r="AY44" s="1885">
        <v>7.5334435374988518E-2</v>
      </c>
      <c r="AZ44" s="1885">
        <v>7.1013425281808873E-2</v>
      </c>
      <c r="BA44" s="2053">
        <v>6.690449660704445E-2</v>
      </c>
      <c r="BB44" s="1885">
        <v>9.147521856232288E-2</v>
      </c>
      <c r="BC44" s="1885">
        <v>9.140766104526965E-2</v>
      </c>
      <c r="BD44" s="1885">
        <v>9.1335310646631473E-2</v>
      </c>
      <c r="BE44" s="1885">
        <v>9.1258128478671097E-2</v>
      </c>
      <c r="BF44" s="1885">
        <v>9.1181020426700732E-2</v>
      </c>
      <c r="BG44" s="1885">
        <v>9.1103986408822557E-2</v>
      </c>
      <c r="BH44" s="1957">
        <v>9.1027026343192707E-2</v>
      </c>
      <c r="BI44" s="1885">
        <v>8.8322153349316146E-2</v>
      </c>
      <c r="BJ44" s="1885">
        <v>8.4919564867721231E-2</v>
      </c>
      <c r="BK44" s="1885">
        <v>8.2094094419862262E-2</v>
      </c>
      <c r="BL44" s="1885">
        <v>7.9912429043504263E-2</v>
      </c>
      <c r="BM44" s="1885">
        <v>7.8055089595462146E-2</v>
      </c>
      <c r="BN44" s="1957">
        <v>7.6450520126735588E-2</v>
      </c>
    </row>
    <row r="45" spans="1:66" ht="11.25" customHeight="1">
      <c r="A45" s="1767">
        <f>IFERROR(IFERROR(SUMIF('FS_Detail(M)'!$L$10:$EQ$10,$C45,'FS_Detail(M)'!$L$79:$EQ$79)/COUNTIF('FS_Detail(M)'!$L$10:$EQ$10,'A&amp;R'!$C45),)/H75,)</f>
        <v>1</v>
      </c>
      <c r="B45" s="99"/>
      <c r="C45" s="1366">
        <f t="shared" si="45"/>
        <v>3</v>
      </c>
      <c r="D45" s="836">
        <f>IFERROR(SUMIF('FS_Detail(M)'!$L$10:$EQ$10,$C45,'FS_Detail(M)'!$L$61:$EQ$61)/COUNTIF('FS_Detail(M)'!$L$10:$EQ$10,'A&amp;R'!$C45),)</f>
        <v>24000000</v>
      </c>
      <c r="E45" s="13">
        <f ca="1">-SUMIF('CF(M)'!$L$10:$EQ$10,$C45,'CF(M)'!$L$98:$EQ$98)</f>
        <v>840000.00000000012</v>
      </c>
      <c r="F45" s="13">
        <f>-SUMIF('CF(M)'!$L$10:$EQ$10,$C45,'CF(M)'!$L$99:$EQ$99)</f>
        <v>0</v>
      </c>
      <c r="G45" s="1367">
        <f t="shared" ca="1" si="46"/>
        <v>7.0000000000000007E-2</v>
      </c>
      <c r="H45" s="1670">
        <f>IFERROR(SUMIF('FS_Detail(M)'!$L$10:$EQ$10,$C45,'FS_Detail(M)'!$L$66:$EQ$66)/COUNTIF('FS_Detail(M)'!$L$10:$EQ$10,'A&amp;R'!$C45),)</f>
        <v>50000000</v>
      </c>
      <c r="I45" s="1671">
        <f ca="1">-SUMIF('CF(M)'!$L$10:$EQ$10,$C45,'CF(M)'!$L$103:$EQ$103)</f>
        <v>1875000</v>
      </c>
      <c r="J45" s="1671">
        <f>-SUMIF('CF(M)'!$L$10:$EQ$10,$C45,'CF(M)'!$L$104:$EQ$104)</f>
        <v>0</v>
      </c>
      <c r="K45" s="1703">
        <f t="shared" ca="1" si="47"/>
        <v>7.4999999999999997E-2</v>
      </c>
      <c r="L45" s="1801" t="s">
        <v>1085</v>
      </c>
      <c r="M45" s="76">
        <f>M32</f>
        <v>46326</v>
      </c>
      <c r="N45" s="77">
        <f>EOMONTH(M45-1,O45)</f>
        <v>47057</v>
      </c>
      <c r="O45" s="78">
        <f>SUM(O32)</f>
        <v>24</v>
      </c>
      <c r="P45" s="1802">
        <v>0</v>
      </c>
      <c r="Q45" s="135">
        <f>P45</f>
        <v>0</v>
      </c>
      <c r="R45" s="856"/>
      <c r="S45" s="79">
        <v>0</v>
      </c>
      <c r="T45" s="856">
        <v>0</v>
      </c>
      <c r="U45" s="1803">
        <v>0</v>
      </c>
      <c r="V45" s="12" t="s">
        <v>80</v>
      </c>
      <c r="W45" s="5"/>
      <c r="X45" s="1250">
        <f t="shared" si="34"/>
        <v>0</v>
      </c>
      <c r="Y45" s="13">
        <f>SUMIF('NOI(M)'!$M$11:$ER$11,Y$35,'NOI(M)'!$M25:$ER25)</f>
        <v>0</v>
      </c>
      <c r="Z45" s="13">
        <f>SUMIF('NOI(M)'!$M$11:$ER$11,Z$35,'NOI(M)'!$M25:$ER25)</f>
        <v>0</v>
      </c>
      <c r="AA45" s="13">
        <f>SUMIF('NOI(M)'!$M$11:$ER$11,AA$35,'NOI(M)'!$M25:$ER25)</f>
        <v>0</v>
      </c>
      <c r="AB45" s="13">
        <f>SUMIF('NOI(M)'!$M$11:$ER$11,AB$35,'NOI(M)'!$M25:$ER25)</f>
        <v>0</v>
      </c>
      <c r="AC45" s="13">
        <f>SUMIF('NOI(M)'!$M$11:$ER$11,AC$35,'NOI(M)'!$M25:$ER25)</f>
        <v>0</v>
      </c>
      <c r="AD45" s="13">
        <f>SUMIF('NOI(M)'!$M$11:$ER$11,AD$35,'NOI(M)'!$M25:$ER25)</f>
        <v>0</v>
      </c>
      <c r="AE45" s="13">
        <f>SUMIF('NOI(M)'!$M$11:$ER$11,AE$35,'NOI(M)'!$M25:$ER25)</f>
        <v>0</v>
      </c>
      <c r="AF45" s="13">
        <f>SUMIF('NOI(M)'!$M$11:$ER$11,AF$35,'NOI(M)'!$M25:$ER25)</f>
        <v>0</v>
      </c>
      <c r="AG45" s="13">
        <f>SUMIF('NOI(M)'!$M$11:$ER$11,AG$35,'NOI(M)'!$M25:$ER25)</f>
        <v>0</v>
      </c>
      <c r="AH45" s="13">
        <f>SUMIF('NOI(M)'!$M$11:$ER$11,AH$35,'NOI(M)'!$M25:$ER25)</f>
        <v>0</v>
      </c>
      <c r="AI45" s="836">
        <f t="shared" si="35"/>
        <v>0</v>
      </c>
      <c r="AJ45" s="840">
        <f>'NOI(M)'!K47</f>
        <v>0</v>
      </c>
      <c r="AL45" s="1840"/>
      <c r="AM45" s="259" t="s">
        <v>1117</v>
      </c>
      <c r="AN45" s="1938">
        <f>BD83</f>
        <v>0</v>
      </c>
      <c r="AO45" s="1953">
        <v>0</v>
      </c>
      <c r="AP45" s="1885">
        <v>0</v>
      </c>
      <c r="AQ45" s="1885">
        <v>0</v>
      </c>
      <c r="AR45" s="1885">
        <v>0</v>
      </c>
      <c r="AS45" s="1885">
        <v>0</v>
      </c>
      <c r="AT45" s="1885">
        <v>0</v>
      </c>
      <c r="AU45" s="2053">
        <v>0</v>
      </c>
      <c r="AV45" s="1885">
        <v>0</v>
      </c>
      <c r="AW45" s="1885">
        <v>0</v>
      </c>
      <c r="AX45" s="1885">
        <v>0</v>
      </c>
      <c r="AY45" s="1885">
        <v>0</v>
      </c>
      <c r="AZ45" s="1885">
        <v>0</v>
      </c>
      <c r="BA45" s="2053">
        <v>0</v>
      </c>
      <c r="BB45" s="1885">
        <v>0</v>
      </c>
      <c r="BC45" s="1885">
        <v>0</v>
      </c>
      <c r="BD45" s="1885">
        <v>0</v>
      </c>
      <c r="BE45" s="1885">
        <v>0</v>
      </c>
      <c r="BF45" s="1885">
        <v>0</v>
      </c>
      <c r="BG45" s="1885">
        <v>0</v>
      </c>
      <c r="BH45" s="1957">
        <v>0</v>
      </c>
      <c r="BI45" s="1885">
        <v>0</v>
      </c>
      <c r="BJ45" s="1885">
        <v>0</v>
      </c>
      <c r="BK45" s="1885">
        <v>0</v>
      </c>
      <c r="BL45" s="1885">
        <v>0</v>
      </c>
      <c r="BM45" s="1885">
        <v>0</v>
      </c>
      <c r="BN45" s="1957">
        <v>0</v>
      </c>
    </row>
    <row r="46" spans="1:66" ht="11.25" customHeight="1">
      <c r="A46" s="1767">
        <f>IFERROR(IFERROR(SUMIF('FS_Detail(M)'!$L$10:$EQ$10,$C46,'FS_Detail(M)'!$L$79:$EQ$79)/COUNTIF('FS_Detail(M)'!$L$10:$EQ$10,'A&amp;R'!$C46),)/H76,)</f>
        <v>1</v>
      </c>
      <c r="B46" s="99"/>
      <c r="C46" s="1366">
        <f t="shared" si="45"/>
        <v>4</v>
      </c>
      <c r="D46" s="836">
        <f>IFERROR(SUMIF('FS_Detail(M)'!$L$10:$EQ$10,$C46,'FS_Detail(M)'!$L$61:$EQ$61)/COUNTIF('FS_Detail(M)'!$L$10:$EQ$10,'A&amp;R'!$C46),)</f>
        <v>24000000</v>
      </c>
      <c r="E46" s="13">
        <f ca="1">-SUMIF('CF(M)'!$L$10:$EQ$10,$C46,'CF(M)'!$L$98:$EQ$98)</f>
        <v>840000.00000000012</v>
      </c>
      <c r="F46" s="13">
        <f>-SUMIF('CF(M)'!$L$10:$EQ$10,$C46,'CF(M)'!$L$99:$EQ$99)</f>
        <v>0</v>
      </c>
      <c r="G46" s="1367">
        <f t="shared" ca="1" si="46"/>
        <v>7.0000000000000007E-2</v>
      </c>
      <c r="H46" s="1670">
        <f>IFERROR(SUMIF('FS_Detail(M)'!$L$10:$EQ$10,$C46,'FS_Detail(M)'!$L$66:$EQ$66)/COUNTIF('FS_Detail(M)'!$L$10:$EQ$10,'A&amp;R'!$C46),)</f>
        <v>50000000</v>
      </c>
      <c r="I46" s="1671">
        <f ca="1">-SUMIF('CF(M)'!$L$10:$EQ$10,$C46,'CF(M)'!$L$103:$EQ$103)</f>
        <v>1875000</v>
      </c>
      <c r="J46" s="1671">
        <f>-SUMIF('CF(M)'!$L$10:$EQ$10,$C46,'CF(M)'!$L$104:$EQ$104)</f>
        <v>0</v>
      </c>
      <c r="K46" s="1703">
        <f t="shared" ca="1" si="47"/>
        <v>7.4999999999999997E-2</v>
      </c>
      <c r="L46" s="7" t="s">
        <v>105</v>
      </c>
      <c r="M46" s="7"/>
      <c r="N46" s="7"/>
      <c r="O46" s="7"/>
      <c r="P46" s="7"/>
      <c r="Q46" s="7"/>
      <c r="R46" s="7"/>
      <c r="S46" s="7"/>
      <c r="T46" s="7"/>
      <c r="U46" s="7"/>
      <c r="V46" s="12" t="s">
        <v>83</v>
      </c>
      <c r="W46" s="5"/>
      <c r="X46" s="1250">
        <f t="shared" si="34"/>
        <v>678920.28330659657</v>
      </c>
      <c r="Y46" s="13">
        <f>SUMIF('NOI(M)'!$M$11:$ER$11,Y$35,'NOI(M)'!$M26:$ER26)</f>
        <v>742284.70000000007</v>
      </c>
      <c r="Z46" s="13">
        <f>SUMIF('NOI(M)'!$M$11:$ER$11,Z$35,'NOI(M)'!$M26:$ER26)</f>
        <v>727439.00600000017</v>
      </c>
      <c r="AA46" s="13">
        <f>SUMIF('NOI(M)'!$M$11:$ER$11,AA$35,'NOI(M)'!$M26:$ER26)</f>
        <v>712890.22587999993</v>
      </c>
      <c r="AB46" s="13">
        <f>SUMIF('NOI(M)'!$M$11:$ER$11,AB$35,'NOI(M)'!$M26:$ER26)</f>
        <v>698632.42136240005</v>
      </c>
      <c r="AC46" s="13">
        <f>SUMIF('NOI(M)'!$M$11:$ER$11,AC$35,'NOI(M)'!$M26:$ER26)</f>
        <v>684659.77293515205</v>
      </c>
      <c r="AD46" s="13">
        <f>SUMIF('NOI(M)'!$M$11:$ER$11,AD$35,'NOI(M)'!$M26:$ER26)</f>
        <v>670966.57747644885</v>
      </c>
      <c r="AE46" s="13">
        <f>SUMIF('NOI(M)'!$M$11:$ER$11,AE$35,'NOI(M)'!$M26:$ER26)</f>
        <v>657547.24592691998</v>
      </c>
      <c r="AF46" s="13">
        <f>SUMIF('NOI(M)'!$M$11:$ER$11,AF$35,'NOI(M)'!$M26:$ER26)</f>
        <v>644396.30100838176</v>
      </c>
      <c r="AG46" s="13">
        <f>SUMIF('NOI(M)'!$M$11:$ER$11,AG$35,'NOI(M)'!$M26:$ER26)</f>
        <v>631508.37498821388</v>
      </c>
      <c r="AH46" s="13">
        <f>SUMIF('NOI(M)'!$M$11:$ER$11,AH$35,'NOI(M)'!$M26:$ER26)</f>
        <v>618878.20748844964</v>
      </c>
      <c r="AI46" s="836">
        <f t="shared" si="35"/>
        <v>6789202.8330659661</v>
      </c>
      <c r="AJ46" s="840">
        <f>'NOI(M)'!K48</f>
        <v>606500.64333868062</v>
      </c>
      <c r="AL46" s="1840"/>
      <c r="AM46" s="259" t="s">
        <v>225</v>
      </c>
      <c r="AN46" s="1938">
        <f ca="1">BD84</f>
        <v>0.16181544839707418</v>
      </c>
      <c r="AO46" s="1953">
        <v>0.16181544839707418</v>
      </c>
      <c r="AP46" s="1885">
        <v>-1.0313179989359877E-2</v>
      </c>
      <c r="AQ46" s="1885">
        <v>7.6909349383381231E-2</v>
      </c>
      <c r="AR46" s="1885">
        <v>0.12648884564696283</v>
      </c>
      <c r="AS46" s="1885">
        <v>0.18947938141181409</v>
      </c>
      <c r="AT46" s="1885">
        <v>0.21231768558303021</v>
      </c>
      <c r="AU46" s="2053">
        <v>0.23215701868976479</v>
      </c>
      <c r="AV46" s="1885">
        <v>0.1434497346876682</v>
      </c>
      <c r="AW46" s="1885">
        <v>0.12278211544096584</v>
      </c>
      <c r="AX46" s="1885">
        <v>9.8944090844558685E-2</v>
      </c>
      <c r="AY46" s="1885">
        <v>7.0863433442560853E-2</v>
      </c>
      <c r="AZ46" s="1885">
        <v>3.5596147803817146E-2</v>
      </c>
      <c r="BA46" s="2053">
        <v>-1.5611677708360028E-2</v>
      </c>
      <c r="BB46" s="1885">
        <v>0.16113432483992063</v>
      </c>
      <c r="BC46" s="1885">
        <v>0.16045573998086549</v>
      </c>
      <c r="BD46" s="1885">
        <v>0.15977967227379031</v>
      </c>
      <c r="BE46" s="1885">
        <v>0.15910610041971673</v>
      </c>
      <c r="BF46" s="1885">
        <v>0.15843500336315919</v>
      </c>
      <c r="BG46" s="1885">
        <v>0.15776636028849866</v>
      </c>
      <c r="BH46" s="1957">
        <v>0.15710015061649729</v>
      </c>
      <c r="BI46" s="1885">
        <v>0.15695000442732798</v>
      </c>
      <c r="BJ46" s="1885">
        <v>0.15189205369341718</v>
      </c>
      <c r="BK46" s="1885">
        <v>0.1466247744367779</v>
      </c>
      <c r="BL46" s="1885">
        <v>0.14112899269466683</v>
      </c>
      <c r="BM46" s="1885">
        <v>0.1353827174570581</v>
      </c>
      <c r="BN46" s="1957">
        <v>0.1293605542149272</v>
      </c>
    </row>
    <row r="47" spans="1:66" ht="11.25" customHeight="1">
      <c r="A47" s="1767">
        <f>IFERROR(IFERROR(SUMIF('FS_Detail(M)'!$L$10:$EQ$10,$C47,'FS_Detail(M)'!$L$79:$EQ$79)/COUNTIF('FS_Detail(M)'!$L$10:$EQ$10,'A&amp;R'!$C47),)/H77,)</f>
        <v>1</v>
      </c>
      <c r="B47" s="99"/>
      <c r="C47" s="1366">
        <f t="shared" si="45"/>
        <v>5</v>
      </c>
      <c r="D47" s="836">
        <f>IFERROR(SUMIF('FS_Detail(M)'!$L$10:$EQ$10,$C47,'FS_Detail(M)'!$L$61:$EQ$61)/COUNTIF('FS_Detail(M)'!$L$10:$EQ$10,'A&amp;R'!$C47),)</f>
        <v>24000000</v>
      </c>
      <c r="E47" s="13">
        <f ca="1">-SUMIF('CF(M)'!$L$10:$EQ$10,$C47,'CF(M)'!$L$98:$EQ$98)</f>
        <v>840000.00000000012</v>
      </c>
      <c r="F47" s="13">
        <f>-SUMIF('CF(M)'!$L$10:$EQ$10,$C47,'CF(M)'!$L$99:$EQ$99)</f>
        <v>0</v>
      </c>
      <c r="G47" s="1367">
        <f t="shared" ca="1" si="46"/>
        <v>7.0000000000000007E-2</v>
      </c>
      <c r="H47" s="1670">
        <f>IFERROR(SUMIF('FS_Detail(M)'!$L$10:$EQ$10,$C47,'FS_Detail(M)'!$L$66:$EQ$66)/COUNTIF('FS_Detail(M)'!$L$10:$EQ$10,'A&amp;R'!$C47),)</f>
        <v>50000000</v>
      </c>
      <c r="I47" s="1671">
        <f ca="1">-SUMIF('CF(M)'!$L$10:$EQ$10,$C47,'CF(M)'!$L$103:$EQ$103)</f>
        <v>1875000</v>
      </c>
      <c r="J47" s="1671">
        <f>-SUMIF('CF(M)'!$L$10:$EQ$10,$C47,'CF(M)'!$L$104:$EQ$104)</f>
        <v>0</v>
      </c>
      <c r="K47" s="1703">
        <f t="shared" ca="1" si="47"/>
        <v>7.4999999999999997E-2</v>
      </c>
      <c r="L47" s="678" t="s">
        <v>24</v>
      </c>
      <c r="M47" s="82"/>
      <c r="N47" s="18" t="s">
        <v>108</v>
      </c>
      <c r="O47" s="18" t="s">
        <v>109</v>
      </c>
      <c r="P47" s="18" t="s">
        <v>421</v>
      </c>
      <c r="Q47" s="18" t="s">
        <v>110</v>
      </c>
      <c r="R47" s="18" t="s">
        <v>111</v>
      </c>
      <c r="S47" s="18" t="s">
        <v>112</v>
      </c>
      <c r="T47" s="63" t="s">
        <v>113</v>
      </c>
      <c r="U47" s="18" t="s">
        <v>94</v>
      </c>
      <c r="V47" s="12" t="s">
        <v>86</v>
      </c>
      <c r="W47" s="5"/>
      <c r="X47" s="1250">
        <f t="shared" si="34"/>
        <v>225839.87897160518</v>
      </c>
      <c r="Y47" s="13">
        <f>SUMIF('NOI(M)'!$M$11:$ER$11,Y$35,'NOI(M)'!$M27:$ER27)</f>
        <v>206251.72000000006</v>
      </c>
      <c r="Z47" s="13">
        <f>SUMIF('NOI(M)'!$M$11:$ER$11,Z$35,'NOI(M)'!$M27:$ER27)</f>
        <v>210376.75439999995</v>
      </c>
      <c r="AA47" s="13">
        <f>SUMIF('NOI(M)'!$M$11:$ER$11,AA$35,'NOI(M)'!$M27:$ER27)</f>
        <v>214584.28948799995</v>
      </c>
      <c r="AB47" s="13">
        <f>SUMIF('NOI(M)'!$M$11:$ER$11,AB$35,'NOI(M)'!$M27:$ER27)</f>
        <v>218875.97527775995</v>
      </c>
      <c r="AC47" s="13">
        <f>SUMIF('NOI(M)'!$M$11:$ER$11,AC$35,'NOI(M)'!$M27:$ER27)</f>
        <v>223253.4947833152</v>
      </c>
      <c r="AD47" s="13">
        <f>SUMIF('NOI(M)'!$M$11:$ER$11,AD$35,'NOI(M)'!$M27:$ER27)</f>
        <v>227718.56467898152</v>
      </c>
      <c r="AE47" s="13">
        <f>SUMIF('NOI(M)'!$M$11:$ER$11,AE$35,'NOI(M)'!$M27:$ER27)</f>
        <v>232272.93597256122</v>
      </c>
      <c r="AF47" s="13">
        <f>SUMIF('NOI(M)'!$M$11:$ER$11,AF$35,'NOI(M)'!$M27:$ER27)</f>
        <v>236918.39469201225</v>
      </c>
      <c r="AG47" s="13">
        <f>SUMIF('NOI(M)'!$M$11:$ER$11,AG$35,'NOI(M)'!$M27:$ER27)</f>
        <v>241656.76258585262</v>
      </c>
      <c r="AH47" s="13">
        <f>SUMIF('NOI(M)'!$M$11:$ER$11,AH$35,'NOI(M)'!$M27:$ER27)</f>
        <v>246489.89783756968</v>
      </c>
      <c r="AI47" s="836">
        <f t="shared" si="35"/>
        <v>2258398.7897160519</v>
      </c>
      <c r="AJ47" s="840">
        <f>'NOI(M)'!K49</f>
        <v>251419.69579432104</v>
      </c>
      <c r="AL47" s="1840"/>
      <c r="AM47" s="259" t="s">
        <v>1125</v>
      </c>
      <c r="AN47" s="1938">
        <f ca="1">BD85</f>
        <v>0.10214270785652579</v>
      </c>
      <c r="AO47" s="1953">
        <v>0.10214270785652579</v>
      </c>
      <c r="AP47" s="1885">
        <v>5.8427040911186667E-2</v>
      </c>
      <c r="AQ47" s="1885">
        <v>7.4971834787922464E-2</v>
      </c>
      <c r="AR47" s="1885">
        <v>8.9422610959577931E-2</v>
      </c>
      <c r="AS47" s="1885">
        <v>0.11348173483274215</v>
      </c>
      <c r="AT47" s="1885">
        <v>0.12378261086882292</v>
      </c>
      <c r="AU47" s="2053">
        <v>0.13321406713475148</v>
      </c>
      <c r="AV47" s="1885">
        <v>9.5062926506784162E-2</v>
      </c>
      <c r="AW47" s="1885">
        <v>8.7543381483190963E-2</v>
      </c>
      <c r="AX47" s="1885">
        <v>7.9697350257503574E-2</v>
      </c>
      <c r="AY47" s="1885">
        <v>7.1520024776501989E-2</v>
      </c>
      <c r="AZ47" s="1885">
        <v>6.2979332185794101E-2</v>
      </c>
      <c r="BA47" s="2053">
        <v>5.3992608684432897E-2</v>
      </c>
      <c r="BB47" s="1885">
        <v>0.10196571327005177</v>
      </c>
      <c r="BC47" s="1885">
        <v>0.10178888004397058</v>
      </c>
      <c r="BD47" s="1885">
        <v>0.10160966672769622</v>
      </c>
      <c r="BE47" s="1885">
        <v>0.10142804605249145</v>
      </c>
      <c r="BF47" s="1885">
        <v>0.10124660294964993</v>
      </c>
      <c r="BG47" s="1885">
        <v>0.10106533711243881</v>
      </c>
      <c r="BH47" s="1957">
        <v>0.10088424823473874</v>
      </c>
      <c r="BI47" s="1885">
        <v>9.8985172962264167E-2</v>
      </c>
      <c r="BJ47" s="1885">
        <v>9.5674562858574674E-2</v>
      </c>
      <c r="BK47" s="1885">
        <v>9.2389783076713083E-2</v>
      </c>
      <c r="BL47" s="1885">
        <v>8.9301264639945144E-2</v>
      </c>
      <c r="BM47" s="1885">
        <v>8.6519620232492711E-2</v>
      </c>
      <c r="BN47" s="1957">
        <v>8.3844718723706357E-2</v>
      </c>
    </row>
    <row r="48" spans="1:66" ht="11.25" customHeight="1" thickBot="1">
      <c r="A48" s="1767">
        <f>IFERROR(IFERROR(SUMIF('FS_Detail(M)'!$L$10:$EQ$10,$C48,'FS_Detail(M)'!$L$79:$EQ$79)/COUNTIF('FS_Detail(M)'!$L$10:$EQ$10,'A&amp;R'!$C48),)/H78,)</f>
        <v>1</v>
      </c>
      <c r="B48" s="99"/>
      <c r="C48" s="1366">
        <f t="shared" si="45"/>
        <v>6</v>
      </c>
      <c r="D48" s="836">
        <f>IFERROR(SUMIF('FS_Detail(M)'!$L$10:$EQ$10,$C48,'FS_Detail(M)'!$L$61:$EQ$61)/COUNTIF('FS_Detail(M)'!$L$10:$EQ$10,'A&amp;R'!$C48),)</f>
        <v>24000000</v>
      </c>
      <c r="E48" s="13">
        <f ca="1">-SUMIF('CF(M)'!$L$10:$EQ$10,$C48,'CF(M)'!$L$98:$EQ$98)</f>
        <v>840000.00000000012</v>
      </c>
      <c r="F48" s="13">
        <f>-SUMIF('CF(M)'!$L$10:$EQ$10,$C48,'CF(M)'!$L$99:$EQ$99)</f>
        <v>0</v>
      </c>
      <c r="G48" s="1367">
        <f t="shared" ca="1" si="46"/>
        <v>7.0000000000000007E-2</v>
      </c>
      <c r="H48" s="1672">
        <f>IFERROR(SUMIF('FS_Detail(M)'!$L$10:$EQ$10,$C48,'FS_Detail(M)'!$L$66:$EQ$66)/COUNTIF('FS_Detail(M)'!$L$10:$EQ$10,'A&amp;R'!$C48),)</f>
        <v>50000000</v>
      </c>
      <c r="I48" s="1673">
        <f ca="1">-SUMIF('CF(M)'!$L$10:$EQ$10,$C48,'CF(M)'!$L$103:$EQ$103)</f>
        <v>1875000</v>
      </c>
      <c r="J48" s="1673">
        <f>-SUMIF('CF(M)'!$L$10:$EQ$10,$C48,'CF(M)'!$L$104:$EQ$104)</f>
        <v>0</v>
      </c>
      <c r="K48" s="1704">
        <f t="shared" ca="1" si="47"/>
        <v>7.4999999999999997E-2</v>
      </c>
      <c r="L48" s="679" t="s">
        <v>114</v>
      </c>
      <c r="M48" s="85"/>
      <c r="N48" s="86">
        <v>1</v>
      </c>
      <c r="O48" s="86">
        <v>1</v>
      </c>
      <c r="P48" s="86">
        <v>1</v>
      </c>
      <c r="Q48" s="86">
        <v>1</v>
      </c>
      <c r="R48" s="86">
        <v>1</v>
      </c>
      <c r="S48" s="86">
        <v>0</v>
      </c>
      <c r="T48" s="87"/>
      <c r="U48" s="274"/>
      <c r="V48" s="12" t="s">
        <v>91</v>
      </c>
      <c r="W48" s="5"/>
      <c r="X48" s="1250">
        <f t="shared" si="34"/>
        <v>141299.70011594819</v>
      </c>
      <c r="Y48" s="13">
        <f>SUMIF('NOI(M)'!$M$11:$ER$11,Y$35,'NOI(M)'!$M28:$ER28)</f>
        <v>129044.10999999997</v>
      </c>
      <c r="Z48" s="13">
        <f>SUMIF('NOI(M)'!$M$11:$ER$11,Z$35,'NOI(M)'!$M28:$ER28)</f>
        <v>131624.99220000001</v>
      </c>
      <c r="AA48" s="13">
        <f>SUMIF('NOI(M)'!$M$11:$ER$11,AA$35,'NOI(M)'!$M28:$ER28)</f>
        <v>134257.49204399998</v>
      </c>
      <c r="AB48" s="13">
        <f>SUMIF('NOI(M)'!$M$11:$ER$11,AB$35,'NOI(M)'!$M28:$ER28)</f>
        <v>136942.64188487999</v>
      </c>
      <c r="AC48" s="13">
        <f>SUMIF('NOI(M)'!$M$11:$ER$11,AC$35,'NOI(M)'!$M28:$ER28)</f>
        <v>139681.4947225776</v>
      </c>
      <c r="AD48" s="13">
        <f>SUMIF('NOI(M)'!$M$11:$ER$11,AD$35,'NOI(M)'!$M28:$ER28)</f>
        <v>142475.12461702919</v>
      </c>
      <c r="AE48" s="13">
        <f>SUMIF('NOI(M)'!$M$11:$ER$11,AE$35,'NOI(M)'!$M28:$ER28)</f>
        <v>145324.62710936973</v>
      </c>
      <c r="AF48" s="13">
        <f>SUMIF('NOI(M)'!$M$11:$ER$11,AF$35,'NOI(M)'!$M28:$ER28)</f>
        <v>148231.11965155712</v>
      </c>
      <c r="AG48" s="13">
        <f>SUMIF('NOI(M)'!$M$11:$ER$11,AG$35,'NOI(M)'!$M28:$ER28)</f>
        <v>151195.74204458826</v>
      </c>
      <c r="AH48" s="13">
        <f>SUMIF('NOI(M)'!$M$11:$ER$11,AH$35,'NOI(M)'!$M28:$ER28)</f>
        <v>154219.65688548001</v>
      </c>
      <c r="AI48" s="836">
        <f t="shared" si="35"/>
        <v>1412997.0011594819</v>
      </c>
      <c r="AJ48" s="840">
        <f>'NOI(M)'!K50</f>
        <v>157304.05002318963</v>
      </c>
      <c r="AL48" s="2111" t="s">
        <v>1247</v>
      </c>
      <c r="AM48" s="2112" t="s">
        <v>1134</v>
      </c>
      <c r="AN48" s="2113">
        <f>MIN('DSCR(선,중)'!F33:M33)</f>
        <v>1.6366367583310473</v>
      </c>
      <c r="AO48" s="2114">
        <v>1.6366367583310473</v>
      </c>
      <c r="AP48" s="2115">
        <v>1.6366367583310473</v>
      </c>
      <c r="AQ48" s="2115">
        <v>1.6366367583310473</v>
      </c>
      <c r="AR48" s="2115">
        <v>1.6366367583310473</v>
      </c>
      <c r="AS48" s="2115">
        <v>1.6366367583310473</v>
      </c>
      <c r="AT48" s="2115">
        <v>1.6366367583310473</v>
      </c>
      <c r="AU48" s="2116">
        <v>1.6366367583310473</v>
      </c>
      <c r="AV48" s="2115">
        <v>1.5984644455397514</v>
      </c>
      <c r="AW48" s="2115">
        <v>1.5602921327484554</v>
      </c>
      <c r="AX48" s="2115">
        <v>1.5221198199571591</v>
      </c>
      <c r="AY48" s="2115">
        <v>1.4839475071658643</v>
      </c>
      <c r="AZ48" s="2115">
        <v>1.4457751943745685</v>
      </c>
      <c r="BA48" s="2116">
        <v>1.4076028815832722</v>
      </c>
      <c r="BB48" s="2115">
        <v>1.6366367583310473</v>
      </c>
      <c r="BC48" s="2115">
        <v>1.6366367583310473</v>
      </c>
      <c r="BD48" s="2115">
        <v>1.6366367583310473</v>
      </c>
      <c r="BE48" s="2115">
        <v>1.6366367583310473</v>
      </c>
      <c r="BF48" s="2115">
        <v>1.6366367583310473</v>
      </c>
      <c r="BG48" s="2115">
        <v>1.6366367583310473</v>
      </c>
      <c r="BH48" s="2117">
        <v>1.6366367583310473</v>
      </c>
      <c r="BI48" s="2115">
        <v>1.6366367583310473</v>
      </c>
      <c r="BJ48" s="2115">
        <v>1.6366367583310473</v>
      </c>
      <c r="BK48" s="2115">
        <v>1.6366367583310473</v>
      </c>
      <c r="BL48" s="2115">
        <v>1.6366367583310473</v>
      </c>
      <c r="BM48" s="2115">
        <v>1.6366367583310473</v>
      </c>
      <c r="BN48" s="2117">
        <v>1.6366367583310473</v>
      </c>
    </row>
    <row r="49" spans="1:66" ht="11.25" customHeight="1">
      <c r="A49" s="1767">
        <f>IFERROR(IFERROR(SUMIF('FS_Detail(M)'!$L$10:$EQ$10,$C49,'FS_Detail(M)'!$L$79:$EQ$79)/COUNTIF('FS_Detail(M)'!$L$10:$EQ$10,'A&amp;R'!$C49),)/H79,)</f>
        <v>1</v>
      </c>
      <c r="B49" s="99"/>
      <c r="C49" s="1366">
        <f t="shared" si="45"/>
        <v>7</v>
      </c>
      <c r="D49" s="836">
        <f>IFERROR(SUMIF('FS_Detail(M)'!$L$10:$EQ$10,$C49,'FS_Detail(M)'!$L$61:$EQ$61)/COUNTIF('FS_Detail(M)'!$L$10:$EQ$10,'A&amp;R'!$C49),)</f>
        <v>24000000</v>
      </c>
      <c r="E49" s="13">
        <f ca="1">-SUMIF('CF(M)'!$L$10:$EQ$10,$C49,'CF(M)'!$L$98:$EQ$98)</f>
        <v>840000.00000000012</v>
      </c>
      <c r="F49" s="13">
        <f>-SUMIF('CF(M)'!$L$10:$EQ$10,$C49,'CF(M)'!$L$99:$EQ$99)</f>
        <v>0</v>
      </c>
      <c r="G49" s="1367">
        <f t="shared" ca="1" si="46"/>
        <v>7.0000000000000007E-2</v>
      </c>
      <c r="H49" s="948">
        <f>IFERROR(SUMIF('FS_Detail(M)'!$L$10:$EQ$10,$C49,'FS_Detail(M)'!$L$66:$EQ$66)/COUNTIF('FS_Detail(M)'!$L$10:$EQ$10,'A&amp;R'!$C49),)</f>
        <v>50000000</v>
      </c>
      <c r="I49" s="13">
        <f ca="1">-SUMIF('CF(M)'!$L$10:$EQ$10,$C49,'CF(M)'!$L$103:$EQ$103)</f>
        <v>1762472.0129412687</v>
      </c>
      <c r="J49" s="13">
        <f>-SUMIF('CF(M)'!$L$10:$EQ$10,$C49,'CF(M)'!$L$104:$EQ$104)</f>
        <v>0</v>
      </c>
      <c r="K49" s="1705">
        <f t="shared" ca="1" si="47"/>
        <v>7.0498880517650755E-2</v>
      </c>
      <c r="L49" s="110">
        <v>8</v>
      </c>
      <c r="M49" s="88"/>
      <c r="N49" s="287">
        <f>SUM('Rentroll(개시시점 기준)'!H60:H61)</f>
        <v>896.72051054977646</v>
      </c>
      <c r="O49" s="287">
        <v>0</v>
      </c>
      <c r="P49" s="287">
        <f>SUM('Rentroll(개시시점 기준)'!H39:H56)</f>
        <v>1842.8629646009845</v>
      </c>
      <c r="Q49" s="287">
        <v>0</v>
      </c>
      <c r="R49" s="287">
        <v>0</v>
      </c>
      <c r="S49" s="287">
        <f>'Rentroll(개시시점 기준)'!L39-SUM(N49:R49)</f>
        <v>1349.3165248492392</v>
      </c>
      <c r="T49" s="288">
        <f t="shared" ref="T49:T58" si="48">SUMPRODUCT(N$48:S$48,$N49:$S49)</f>
        <v>2739.5834751507609</v>
      </c>
      <c r="U49" s="287">
        <f t="shared" ref="U49:U58" si="49">SUM(N49:S49)</f>
        <v>4088.9</v>
      </c>
      <c r="V49" s="12" t="s">
        <v>92</v>
      </c>
      <c r="W49" s="5"/>
      <c r="X49" s="1250">
        <f t="shared" si="34"/>
        <v>368622.99268934707</v>
      </c>
      <c r="Y49" s="13">
        <f>SUMIF('NOI(M)'!$M$11:$ER$11,Y$35,'NOI(M)'!$M29:$ER29)</f>
        <v>394194.21999999991</v>
      </c>
      <c r="Z49" s="13">
        <f>SUMIF('NOI(M)'!$M$11:$ER$11,Z$35,'NOI(M)'!$M29:$ER29)</f>
        <v>388281.3066999999</v>
      </c>
      <c r="AA49" s="13">
        <f>SUMIF('NOI(M)'!$M$11:$ER$11,AA$35,'NOI(M)'!$M29:$ER29)</f>
        <v>382457.0870995</v>
      </c>
      <c r="AB49" s="13">
        <f>SUMIF('NOI(M)'!$M$11:$ER$11,AB$35,'NOI(M)'!$M29:$ER29)</f>
        <v>376720.23079300747</v>
      </c>
      <c r="AC49" s="13">
        <f>SUMIF('NOI(M)'!$M$11:$ER$11,AC$35,'NOI(M)'!$M29:$ER29)</f>
        <v>371069.42733111233</v>
      </c>
      <c r="AD49" s="13">
        <f>SUMIF('NOI(M)'!$M$11:$ER$11,AD$35,'NOI(M)'!$M29:$ER29)</f>
        <v>365503.38592114579</v>
      </c>
      <c r="AE49" s="13">
        <f>SUMIF('NOI(M)'!$M$11:$ER$11,AE$35,'NOI(M)'!$M29:$ER29)</f>
        <v>360020.83513232856</v>
      </c>
      <c r="AF49" s="13">
        <f>SUMIF('NOI(M)'!$M$11:$ER$11,AF$35,'NOI(M)'!$M29:$ER29)</f>
        <v>354620.52260534366</v>
      </c>
      <c r="AG49" s="13">
        <f>SUMIF('NOI(M)'!$M$11:$ER$11,AG$35,'NOI(M)'!$M29:$ER29)</f>
        <v>349301.21476626344</v>
      </c>
      <c r="AH49" s="13">
        <f>SUMIF('NOI(M)'!$M$11:$ER$11,AH$35,'NOI(M)'!$M29:$ER29)</f>
        <v>344061.69654476951</v>
      </c>
      <c r="AI49" s="836">
        <f t="shared" si="35"/>
        <v>3686229.9268934708</v>
      </c>
      <c r="AJ49" s="840">
        <f>'NOI(M)'!K51</f>
        <v>338900.77109659807</v>
      </c>
      <c r="AL49" s="1840" t="s">
        <v>1244</v>
      </c>
      <c r="AM49" s="259" t="s">
        <v>1135</v>
      </c>
      <c r="AN49" s="1939">
        <f>MIN('DSCR(선,중)'!F35:M35)</f>
        <v>1.260474277585605</v>
      </c>
      <c r="AO49" s="1954">
        <v>1.260474277585605</v>
      </c>
      <c r="AP49" s="1402">
        <v>1.260474277585605</v>
      </c>
      <c r="AQ49" s="1402">
        <v>1.260474277585605</v>
      </c>
      <c r="AR49" s="1402">
        <v>1.260474277585605</v>
      </c>
      <c r="AS49" s="1402">
        <v>1.260474277585605</v>
      </c>
      <c r="AT49" s="1402">
        <v>1.260474277585605</v>
      </c>
      <c r="AU49" s="2056">
        <v>1.260474277585605</v>
      </c>
      <c r="AV49" s="1402">
        <v>1.2310754399116632</v>
      </c>
      <c r="AW49" s="1402">
        <v>1.2016766022377217</v>
      </c>
      <c r="AX49" s="1402">
        <v>1.1722777645637799</v>
      </c>
      <c r="AY49" s="1402">
        <v>1.1428789268898392</v>
      </c>
      <c r="AZ49" s="1402">
        <v>1.1134800892158974</v>
      </c>
      <c r="BA49" s="2056">
        <v>1.0840812515419556</v>
      </c>
      <c r="BB49" s="1402">
        <v>1.2508908397008005</v>
      </c>
      <c r="BC49" s="1402">
        <v>1.2414520287578634</v>
      </c>
      <c r="BD49" s="1402">
        <v>1.2321545953536857</v>
      </c>
      <c r="BE49" s="1402">
        <v>1.2229953867027779</v>
      </c>
      <c r="BF49" s="1402">
        <v>1.2139713430727379</v>
      </c>
      <c r="BG49" s="1402">
        <v>1.2050794943763687</v>
      </c>
      <c r="BH49" s="1843">
        <v>1.1963169569124763</v>
      </c>
      <c r="BI49" s="1402">
        <v>1.260474277585605</v>
      </c>
      <c r="BJ49" s="1402">
        <v>1.260474277585605</v>
      </c>
      <c r="BK49" s="1402">
        <v>1.260474277585605</v>
      </c>
      <c r="BL49" s="1402">
        <v>1.260474277585605</v>
      </c>
      <c r="BM49" s="1402">
        <v>1.260474277585605</v>
      </c>
      <c r="BN49" s="1843">
        <v>1.260474277585605</v>
      </c>
    </row>
    <row r="50" spans="1:66" ht="11.25" customHeight="1">
      <c r="A50" s="1767">
        <f>IFERROR(IFERROR(SUMIF('FS_Detail(M)'!$L$10:$EQ$10,$C50,'FS_Detail(M)'!$L$79:$EQ$79)/COUNTIF('FS_Detail(M)'!$L$10:$EQ$10,'A&amp;R'!$C50),)/H80,)</f>
        <v>1</v>
      </c>
      <c r="B50" s="99"/>
      <c r="C50" s="1366">
        <f t="shared" si="45"/>
        <v>8</v>
      </c>
      <c r="D50" s="836">
        <f>IFERROR(SUMIF('FS_Detail(M)'!$L$10:$EQ$10,$C50,'FS_Detail(M)'!$L$61:$EQ$61)/COUNTIF('FS_Detail(M)'!$L$10:$EQ$10,'A&amp;R'!$C50),)</f>
        <v>24000000</v>
      </c>
      <c r="E50" s="13">
        <f ca="1">-SUMIF('CF(M)'!$L$10:$EQ$10,$C50,'CF(M)'!$L$98:$EQ$98)</f>
        <v>840000.00000000012</v>
      </c>
      <c r="F50" s="13">
        <f>-SUMIF('CF(M)'!$L$10:$EQ$10,$C50,'CF(M)'!$L$99:$EQ$99)</f>
        <v>0</v>
      </c>
      <c r="G50" s="1367">
        <f t="shared" ca="1" si="46"/>
        <v>7.0000000000000007E-2</v>
      </c>
      <c r="H50" s="948">
        <f>IFERROR(SUMIF('FS_Detail(M)'!$L$10:$EQ$10,$C50,'FS_Detail(M)'!$L$66:$EQ$66)/COUNTIF('FS_Detail(M)'!$L$10:$EQ$10,'A&amp;R'!$C50),)</f>
        <v>50000000</v>
      </c>
      <c r="I50" s="13">
        <f ca="1">-SUMIF('CF(M)'!$L$10:$EQ$10,$C50,'CF(M)'!$L$103:$EQ$103)</f>
        <v>1513291.9989280105</v>
      </c>
      <c r="J50" s="13">
        <f>-SUMIF('CF(M)'!$L$10:$EQ$10,$C50,'CF(M)'!$L$104:$EQ$104)</f>
        <v>0</v>
      </c>
      <c r="K50" s="1705">
        <f t="shared" ca="1" si="47"/>
        <v>6.0531679957120416E-2</v>
      </c>
      <c r="L50" s="110">
        <v>7</v>
      </c>
      <c r="M50" s="88"/>
      <c r="N50" s="287">
        <f>SUM('Rentroll(개시시점 기준)'!H62)</f>
        <v>5125.3489047433195</v>
      </c>
      <c r="O50" s="287">
        <v>0</v>
      </c>
      <c r="P50" s="287">
        <v>0</v>
      </c>
      <c r="Q50" s="287">
        <v>0</v>
      </c>
      <c r="R50" s="287">
        <v>0</v>
      </c>
      <c r="S50" s="287">
        <f>'Rentroll(개시시점 기준)'!L62-N50</f>
        <v>2990.9010952566805</v>
      </c>
      <c r="T50" s="288">
        <f t="shared" si="48"/>
        <v>5125.3489047433195</v>
      </c>
      <c r="U50" s="287">
        <f t="shared" si="49"/>
        <v>8116.25</v>
      </c>
      <c r="V50" s="12" t="s">
        <v>93</v>
      </c>
      <c r="W50" s="5"/>
      <c r="X50" s="1250">
        <f t="shared" si="34"/>
        <v>0</v>
      </c>
      <c r="Y50" s="13">
        <f>SUMIF('NOI(M)'!$M$11:$ER$11,Y$35,'NOI(M)'!$M30:$ER30)</f>
        <v>0</v>
      </c>
      <c r="Z50" s="13">
        <f>SUMIF('NOI(M)'!$M$11:$ER$11,Z$35,'NOI(M)'!$M30:$ER30)</f>
        <v>0</v>
      </c>
      <c r="AA50" s="13">
        <f>SUMIF('NOI(M)'!$M$11:$ER$11,AA$35,'NOI(M)'!$M30:$ER30)</f>
        <v>0</v>
      </c>
      <c r="AB50" s="13">
        <f>SUMIF('NOI(M)'!$M$11:$ER$11,AB$35,'NOI(M)'!$M30:$ER30)</f>
        <v>0</v>
      </c>
      <c r="AC50" s="13">
        <f>SUMIF('NOI(M)'!$M$11:$ER$11,AC$35,'NOI(M)'!$M30:$ER30)</f>
        <v>0</v>
      </c>
      <c r="AD50" s="13">
        <f>SUMIF('NOI(M)'!$M$11:$ER$11,AD$35,'NOI(M)'!$M30:$ER30)</f>
        <v>0</v>
      </c>
      <c r="AE50" s="13">
        <f>SUMIF('NOI(M)'!$M$11:$ER$11,AE$35,'NOI(M)'!$M30:$ER30)</f>
        <v>0</v>
      </c>
      <c r="AF50" s="13">
        <f>SUMIF('NOI(M)'!$M$11:$ER$11,AF$35,'NOI(M)'!$M30:$ER30)</f>
        <v>0</v>
      </c>
      <c r="AG50" s="13">
        <f>SUMIF('NOI(M)'!$M$11:$ER$11,AG$35,'NOI(M)'!$M30:$ER30)</f>
        <v>0</v>
      </c>
      <c r="AH50" s="13">
        <f>SUMIF('NOI(M)'!$M$11:$ER$11,AH$35,'NOI(M)'!$M30:$ER30)</f>
        <v>0</v>
      </c>
      <c r="AI50" s="836">
        <f t="shared" si="35"/>
        <v>0</v>
      </c>
      <c r="AJ50" s="840">
        <f>'NOI(M)'!K52</f>
        <v>0</v>
      </c>
      <c r="AL50" s="2111" t="s">
        <v>1247</v>
      </c>
      <c r="AM50" s="2112" t="s">
        <v>1134</v>
      </c>
      <c r="AN50" s="2113">
        <f>'DSCR(선,중)'!E33</f>
        <v>1.7386879167284843</v>
      </c>
      <c r="AO50" s="2114">
        <v>1.7386879167284843</v>
      </c>
      <c r="AP50" s="2115">
        <v>1.7386879167284843</v>
      </c>
      <c r="AQ50" s="2115">
        <v>1.7386879167284843</v>
      </c>
      <c r="AR50" s="2115">
        <v>1.7386879167284843</v>
      </c>
      <c r="AS50" s="2115">
        <v>1.7386879167284843</v>
      </c>
      <c r="AT50" s="2115">
        <v>1.7386879167284843</v>
      </c>
      <c r="AU50" s="2116">
        <v>1.7386879167284843</v>
      </c>
      <c r="AV50" s="2115">
        <v>1.6984743043883617</v>
      </c>
      <c r="AW50" s="2115">
        <v>1.6582606920482377</v>
      </c>
      <c r="AX50" s="2115">
        <v>1.6180470797081152</v>
      </c>
      <c r="AY50" s="2115">
        <v>1.5778334673679923</v>
      </c>
      <c r="AZ50" s="2115">
        <v>1.5376198550278692</v>
      </c>
      <c r="BA50" s="2116">
        <v>1.4974062426877464</v>
      </c>
      <c r="BB50" s="2115">
        <v>1.7386879167284843</v>
      </c>
      <c r="BC50" s="2115">
        <v>1.7386879167284843</v>
      </c>
      <c r="BD50" s="2115">
        <v>1.7386879167284843</v>
      </c>
      <c r="BE50" s="2115">
        <v>1.7386879167284843</v>
      </c>
      <c r="BF50" s="2115">
        <v>1.7386879167284843</v>
      </c>
      <c r="BG50" s="2115">
        <v>1.7386879167284843</v>
      </c>
      <c r="BH50" s="2117">
        <v>1.7386879167284843</v>
      </c>
      <c r="BI50" s="2115">
        <v>1.7386879167284843</v>
      </c>
      <c r="BJ50" s="2115">
        <v>1.7386879167284843</v>
      </c>
      <c r="BK50" s="2115">
        <v>1.7386879167284843</v>
      </c>
      <c r="BL50" s="2115">
        <v>1.7386879167284843</v>
      </c>
      <c r="BM50" s="2115">
        <v>1.7386879167284843</v>
      </c>
      <c r="BN50" s="2117">
        <v>1.7386879167284843</v>
      </c>
    </row>
    <row r="51" spans="1:66" ht="11.25" customHeight="1">
      <c r="A51" s="1767">
        <f>IFERROR(IFERROR(SUMIF('FS_Detail(M)'!$L$10:$EQ$10,$C51,'FS_Detail(M)'!$L$79:$EQ$79)/COUNTIF('FS_Detail(M)'!$L$10:$EQ$10,'A&amp;R'!$C51),)/H81,)</f>
        <v>1</v>
      </c>
      <c r="B51" s="66"/>
      <c r="C51" s="1366">
        <f t="shared" si="45"/>
        <v>9</v>
      </c>
      <c r="D51" s="836">
        <f>IFERROR(SUMIF('FS_Detail(M)'!$L$10:$EQ$10,$C51,'FS_Detail(M)'!$L$61:$EQ$61)/COUNTIF('FS_Detail(M)'!$L$10:$EQ$10,'A&amp;R'!$C51),)</f>
        <v>24000000</v>
      </c>
      <c r="E51" s="13">
        <f ca="1">-SUMIF('CF(M)'!$L$10:$EQ$10,$C51,'CF(M)'!$L$98:$EQ$98)</f>
        <v>840000.00000000012</v>
      </c>
      <c r="F51" s="13">
        <f>-SUMIF('CF(M)'!$L$10:$EQ$10,$C51,'CF(M)'!$L$99:$EQ$99)</f>
        <v>0</v>
      </c>
      <c r="G51" s="1367">
        <f t="shared" ca="1" si="46"/>
        <v>7.0000000000000007E-2</v>
      </c>
      <c r="H51" s="948">
        <f>IFERROR(SUMIF('FS_Detail(M)'!$L$10:$EQ$10,$C51,'FS_Detail(M)'!$L$66:$EQ$66)/COUNTIF('FS_Detail(M)'!$L$10:$EQ$10,'A&amp;R'!$C51),)</f>
        <v>50000000</v>
      </c>
      <c r="I51" s="13">
        <f ca="1">-SUMIF('CF(M)'!$L$10:$EQ$10,$C51,'CF(M)'!$L$103:$EQ$103)</f>
        <v>1265541.4966859473</v>
      </c>
      <c r="J51" s="13">
        <f>-SUMIF('CF(M)'!$L$10:$EQ$10,$C51,'CF(M)'!$L$104:$EQ$104)</f>
        <v>0</v>
      </c>
      <c r="K51" s="1705">
        <f t="shared" ca="1" si="47"/>
        <v>5.0621659867437892E-2</v>
      </c>
      <c r="L51" s="110">
        <v>6</v>
      </c>
      <c r="M51" s="88"/>
      <c r="N51" s="287">
        <f>'Rentroll(개시시점 기준)'!H63</f>
        <v>7232.6196497370329</v>
      </c>
      <c r="O51" s="287">
        <v>0</v>
      </c>
      <c r="P51" s="287">
        <v>0</v>
      </c>
      <c r="Q51" s="287">
        <v>0</v>
      </c>
      <c r="R51" s="287">
        <v>0</v>
      </c>
      <c r="S51" s="287">
        <f>'Rentroll(개시시점 기준)'!L63-N51</f>
        <v>2981.1403502629673</v>
      </c>
      <c r="T51" s="288">
        <f t="shared" si="48"/>
        <v>7232.6196497370329</v>
      </c>
      <c r="U51" s="287">
        <f t="shared" si="49"/>
        <v>10213.76</v>
      </c>
      <c r="V51" s="12" t="s">
        <v>99</v>
      </c>
      <c r="W51" s="5"/>
      <c r="X51" s="1250">
        <f t="shared" si="34"/>
        <v>20894.832972200005</v>
      </c>
      <c r="Y51" s="13">
        <f>SUMIF('NOI(M)'!$M$11:$ER$11,Y$35,'NOI(M)'!$M31:$ER31)</f>
        <v>20894.832972200005</v>
      </c>
      <c r="Z51" s="13">
        <f>SUMIF('NOI(M)'!$M$11:$ER$11,Z$35,'NOI(M)'!$M31:$ER31)</f>
        <v>20894.832972200005</v>
      </c>
      <c r="AA51" s="13">
        <f>SUMIF('NOI(M)'!$M$11:$ER$11,AA$35,'NOI(M)'!$M31:$ER31)</f>
        <v>20894.832972200005</v>
      </c>
      <c r="AB51" s="13">
        <f>SUMIF('NOI(M)'!$M$11:$ER$11,AB$35,'NOI(M)'!$M31:$ER31)</f>
        <v>20894.832972200005</v>
      </c>
      <c r="AC51" s="13">
        <f>SUMIF('NOI(M)'!$M$11:$ER$11,AC$35,'NOI(M)'!$M31:$ER31)</f>
        <v>20894.832972200005</v>
      </c>
      <c r="AD51" s="13">
        <f>SUMIF('NOI(M)'!$M$11:$ER$11,AD$35,'NOI(M)'!$M31:$ER31)</f>
        <v>20894.832972200005</v>
      </c>
      <c r="AE51" s="13">
        <f>SUMIF('NOI(M)'!$M$11:$ER$11,AE$35,'NOI(M)'!$M31:$ER31)</f>
        <v>20894.832972200005</v>
      </c>
      <c r="AF51" s="13">
        <f>SUMIF('NOI(M)'!$M$11:$ER$11,AF$35,'NOI(M)'!$M31:$ER31)</f>
        <v>20894.832972200005</v>
      </c>
      <c r="AG51" s="13">
        <f>SUMIF('NOI(M)'!$M$11:$ER$11,AG$35,'NOI(M)'!$M31:$ER31)</f>
        <v>20894.832972200005</v>
      </c>
      <c r="AH51" s="13">
        <f>SUMIF('NOI(M)'!$M$11:$ER$11,AH$35,'NOI(M)'!$M31:$ER31)</f>
        <v>20894.832972200005</v>
      </c>
      <c r="AI51" s="836">
        <f t="shared" si="35"/>
        <v>208948.32972200005</v>
      </c>
      <c r="AJ51" s="840">
        <f>'NOI(M)'!K53</f>
        <v>20894.832972200005</v>
      </c>
      <c r="AL51" s="2118" t="s">
        <v>1246</v>
      </c>
      <c r="AM51" s="2119" t="s">
        <v>1135</v>
      </c>
      <c r="AN51" s="2120">
        <f>'DSCR(선,중)'!E35</f>
        <v>1.3390701294158891</v>
      </c>
      <c r="AO51" s="2121">
        <v>1.3390701294158891</v>
      </c>
      <c r="AP51" s="2122">
        <v>1.3390701294158891</v>
      </c>
      <c r="AQ51" s="2122">
        <v>1.3390701294158891</v>
      </c>
      <c r="AR51" s="2122">
        <v>1.3390701294158891</v>
      </c>
      <c r="AS51" s="2122">
        <v>1.3390701294158891</v>
      </c>
      <c r="AT51" s="2122">
        <v>1.3390701294158891</v>
      </c>
      <c r="AU51" s="2123">
        <v>1.3390701294158891</v>
      </c>
      <c r="AV51" s="2122">
        <v>1.308099161847488</v>
      </c>
      <c r="AW51" s="2122">
        <v>1.2771281942790864</v>
      </c>
      <c r="AX51" s="2122">
        <v>1.2461572267106855</v>
      </c>
      <c r="AY51" s="2122">
        <v>1.2151862591422844</v>
      </c>
      <c r="AZ51" s="2122">
        <v>1.1842152915738833</v>
      </c>
      <c r="BA51" s="2123">
        <v>1.1532443240054819</v>
      </c>
      <c r="BB51" s="2122">
        <v>1.3288891240301743</v>
      </c>
      <c r="BC51" s="2122">
        <v>1.3188617636820514</v>
      </c>
      <c r="BD51" s="2122">
        <v>1.3089845963545155</v>
      </c>
      <c r="BE51" s="2122">
        <v>1.2992542726726937</v>
      </c>
      <c r="BF51" s="2122">
        <v>1.2896675421170505</v>
      </c>
      <c r="BG51" s="2122">
        <v>1.280221249403009</v>
      </c>
      <c r="BH51" s="2124">
        <v>1.2709123310185246</v>
      </c>
      <c r="BI51" s="2122">
        <v>1.3390701294158891</v>
      </c>
      <c r="BJ51" s="2122">
        <v>1.3390701294158891</v>
      </c>
      <c r="BK51" s="2122">
        <v>1.3390701294158891</v>
      </c>
      <c r="BL51" s="2122">
        <v>1.3390701294158891</v>
      </c>
      <c r="BM51" s="2122">
        <v>1.3390701294158891</v>
      </c>
      <c r="BN51" s="2124">
        <v>1.3390701294158891</v>
      </c>
    </row>
    <row r="52" spans="1:66" ht="11.25" customHeight="1">
      <c r="A52" s="1767">
        <f>IFERROR(IFERROR(SUMIF('FS_Detail(M)'!$L$10:$EQ$10,$C52,'FS_Detail(M)'!$L$79:$EQ$79)/COUNTIF('FS_Detail(M)'!$L$10:$EQ$10,'A&amp;R'!$C52),)/H82,)</f>
        <v>1</v>
      </c>
      <c r="B52" s="66"/>
      <c r="C52" s="1366">
        <f t="shared" si="45"/>
        <v>10</v>
      </c>
      <c r="D52" s="836">
        <f>IFERROR(SUMIF('FS_Detail(M)'!$L$10:$EQ$10,$C52,'FS_Detail(M)'!$L$61:$EQ$61)/COUNTIF('FS_Detail(M)'!$L$10:$EQ$10,'A&amp;R'!$C52),)</f>
        <v>24000000</v>
      </c>
      <c r="E52" s="13">
        <f ca="1">-SUMIF('CF(M)'!$L$10:$EQ$10,$C52,'CF(M)'!$L$98:$EQ$98)</f>
        <v>840000.00000000012</v>
      </c>
      <c r="F52" s="13">
        <f>-SUMIF('CF(M)'!$L$10:$EQ$10,$C52,'CF(M)'!$L$99:$EQ$99)</f>
        <v>0</v>
      </c>
      <c r="G52" s="1367">
        <f t="shared" ca="1" si="46"/>
        <v>7.0000000000000007E-2</v>
      </c>
      <c r="H52" s="948">
        <f>IFERROR(SUMIF('FS_Detail(M)'!$L$10:$EQ$10,$C52,'FS_Detail(M)'!$L$66:$EQ$66)/COUNTIF('FS_Detail(M)'!$L$10:$EQ$10,'A&amp;R'!$C52),)</f>
        <v>50000000</v>
      </c>
      <c r="I52" s="13">
        <f ca="1">-SUMIF('CF(M)'!$L$10:$EQ$10,$C52,'CF(M)'!$L$103:$EQ$103)</f>
        <v>1722478.4355854392</v>
      </c>
      <c r="J52" s="13">
        <f>-SUMIF('CF(M)'!$L$10:$EQ$10,$C52,'CF(M)'!$L$104:$EQ$104)</f>
        <v>0</v>
      </c>
      <c r="K52" s="1705">
        <f t="shared" ca="1" si="47"/>
        <v>6.8899137423417564E-2</v>
      </c>
      <c r="L52" s="110">
        <v>5</v>
      </c>
      <c r="M52" s="88"/>
      <c r="N52" s="287">
        <f>'Rentroll(개시시점 기준)'!H64</f>
        <v>7224.9899694741771</v>
      </c>
      <c r="O52" s="287">
        <v>0</v>
      </c>
      <c r="P52" s="287">
        <v>0</v>
      </c>
      <c r="Q52" s="287">
        <v>0</v>
      </c>
      <c r="R52" s="287">
        <v>0</v>
      </c>
      <c r="S52" s="287">
        <f>'Rentroll(개시시점 기준)'!L64-N52</f>
        <v>2988.6900305258232</v>
      </c>
      <c r="T52" s="288">
        <f t="shared" si="48"/>
        <v>7224.9899694741771</v>
      </c>
      <c r="U52" s="287">
        <f t="shared" si="49"/>
        <v>10213.68</v>
      </c>
      <c r="V52" s="12" t="s">
        <v>468</v>
      </c>
      <c r="W52" s="5"/>
      <c r="X52" s="1250">
        <f t="shared" si="34"/>
        <v>89228.78624497939</v>
      </c>
      <c r="Y52" s="13">
        <f>SUMIF('NOI(M)'!$M$11:$ER$11,Y$35,'NOI(M)'!$M32:$ER32)</f>
        <v>10873.369999999999</v>
      </c>
      <c r="Z52" s="13">
        <f>SUMIF('NOI(M)'!$M$11:$ER$11,Z$35,'NOI(M)'!$M32:$ER32)</f>
        <v>0</v>
      </c>
      <c r="AA52" s="13">
        <f>SUMIF('NOI(M)'!$M$11:$ER$11,AA$35,'NOI(M)'!$M32:$ER32)</f>
        <v>68398.392522169117</v>
      </c>
      <c r="AB52" s="13">
        <f>SUMIF('NOI(M)'!$M$11:$ER$11,AB$35,'NOI(M)'!$M32:$ER32)</f>
        <v>43755.497312074367</v>
      </c>
      <c r="AC52" s="13">
        <f>SUMIF('NOI(M)'!$M$11:$ER$11,AC$35,'NOI(M)'!$M32:$ER32)</f>
        <v>0</v>
      </c>
      <c r="AD52" s="13">
        <f>SUMIF('NOI(M)'!$M$11:$ER$11,AD$35,'NOI(M)'!$M32:$ER32)</f>
        <v>0</v>
      </c>
      <c r="AE52" s="13">
        <f>SUMIF('NOI(M)'!$M$11:$ER$11,AE$35,'NOI(M)'!$M32:$ER32)</f>
        <v>0</v>
      </c>
      <c r="AF52" s="13">
        <f>SUMIF('NOI(M)'!$M$11:$ER$11,AF$35,'NOI(M)'!$M32:$ER32)</f>
        <v>677538.27343214501</v>
      </c>
      <c r="AG52" s="13">
        <f>SUMIF('NOI(M)'!$M$11:$ER$11,AG$35,'NOI(M)'!$M32:$ER32)</f>
        <v>91722.329183405498</v>
      </c>
      <c r="AH52" s="13">
        <f>SUMIF('NOI(M)'!$M$11:$ER$11,AH$35,'NOI(M)'!$M32:$ER32)</f>
        <v>0</v>
      </c>
      <c r="AI52" s="836">
        <f t="shared" si="35"/>
        <v>892287.86244979396</v>
      </c>
      <c r="AJ52" s="840">
        <f>'NOI(M)'!K54</f>
        <v>0</v>
      </c>
      <c r="AL52" s="1840" t="s">
        <v>1274</v>
      </c>
      <c r="AM52" s="259" t="s">
        <v>1134</v>
      </c>
      <c r="AN52" s="1939">
        <f ca="1">MIN('DSCR(선,중)'!F34:M34)</f>
        <v>5.3430432619684121</v>
      </c>
      <c r="AO52" s="1954">
        <v>5.3430432619684121</v>
      </c>
      <c r="AP52" s="1402">
        <v>5.3430432619684121</v>
      </c>
      <c r="AQ52" s="1402">
        <v>5.3430432619684121</v>
      </c>
      <c r="AR52" s="1402">
        <v>5.3430432619684121</v>
      </c>
      <c r="AS52" s="1402">
        <v>5.3430432619684121</v>
      </c>
      <c r="AT52" s="1402">
        <v>5.3430432619684121</v>
      </c>
      <c r="AU52" s="2056">
        <v>5.3430432619684121</v>
      </c>
      <c r="AV52" s="1402">
        <v>5.1935806404783973</v>
      </c>
      <c r="AW52" s="1402">
        <v>5.0441180189883781</v>
      </c>
      <c r="AX52" s="1402">
        <v>4.8946553974983624</v>
      </c>
      <c r="AY52" s="1402">
        <v>4.6903955557204995</v>
      </c>
      <c r="AZ52" s="1402">
        <v>4.3819456710433355</v>
      </c>
      <c r="BA52" s="2056">
        <v>4.0734957863661752</v>
      </c>
      <c r="BB52" s="1402">
        <v>5.3231479740102969</v>
      </c>
      <c r="BC52" s="1402">
        <v>5.3032526860521818</v>
      </c>
      <c r="BD52" s="1402">
        <v>5.2833573980940667</v>
      </c>
      <c r="BE52" s="1402">
        <v>5.2634621101359516</v>
      </c>
      <c r="BF52" s="1402">
        <v>5.2435668221778364</v>
      </c>
      <c r="BG52" s="1402">
        <v>5.2236715342197213</v>
      </c>
      <c r="BH52" s="1843">
        <v>5.2037762462616053</v>
      </c>
      <c r="BI52" s="1402">
        <v>5.3430432619684121</v>
      </c>
      <c r="BJ52" s="1402">
        <v>5.3430432619684121</v>
      </c>
      <c r="BK52" s="1402">
        <v>5.3430432619684121</v>
      </c>
      <c r="BL52" s="1402">
        <v>5.3430432619684121</v>
      </c>
      <c r="BM52" s="1402">
        <v>5.3430432619684121</v>
      </c>
      <c r="BN52" s="1843">
        <v>5.3430432619684121</v>
      </c>
    </row>
    <row r="53" spans="1:66" ht="11.25" customHeight="1">
      <c r="A53" s="1767">
        <f>IFERROR(IFERROR(SUMIF('FS_Detail(M)'!$L$10:$EQ$10,$C53,'FS_Detail(M)'!$L$79:$EQ$79)/COUNTIF('FS_Detail(M)'!$L$10:$EQ$10,'A&amp;R'!$C53),)/H83,)</f>
        <v>1</v>
      </c>
      <c r="B53" s="66"/>
      <c r="C53" s="1366">
        <f t="shared" si="45"/>
        <v>11</v>
      </c>
      <c r="D53" s="836">
        <f>IFERROR(SUMIF('FS_Detail(M)'!$L$10:$EQ$10,$C53,'FS_Detail(M)'!$L$61:$EQ$61)/COUNTIF('FS_Detail(M)'!$L$10:$EQ$10,'A&amp;R'!$C53),)</f>
        <v>24000000</v>
      </c>
      <c r="E53" s="13">
        <f ca="1">-SUMIF('CF(M)'!$L$10:$EQ$10,$C53,'CF(M)'!$L$98:$EQ$98)</f>
        <v>840000.00000000012</v>
      </c>
      <c r="F53" s="13">
        <f>-SUMIF('CF(M)'!$L$10:$EQ$10,$C53,'CF(M)'!$L$99:$EQ$99)</f>
        <v>0</v>
      </c>
      <c r="G53" s="1367">
        <f t="shared" ca="1" si="46"/>
        <v>7.0000000000000007E-2</v>
      </c>
      <c r="H53" s="948">
        <f>IFERROR(SUMIF('FS_Detail(M)'!$L$10:$EQ$10,$C53,'FS_Detail(M)'!$L$66:$EQ$66)/COUNTIF('FS_Detail(M)'!$L$10:$EQ$10,'A&amp;R'!$C53),)</f>
        <v>50000000</v>
      </c>
      <c r="I53" s="13">
        <f ca="1">-SUMIF('CF(M)'!$L$10:$EQ$10,$C53,'CF(M)'!$L$103:$EQ$103)</f>
        <v>1805647.7403300544</v>
      </c>
      <c r="J53" s="13">
        <f>-SUMIF('CF(M)'!$L$10:$EQ$10,$C53,'CF(M)'!$L$104:$EQ$104)</f>
        <v>0</v>
      </c>
      <c r="K53" s="1705">
        <f t="shared" ca="1" si="47"/>
        <v>7.2225909613202174E-2</v>
      </c>
      <c r="L53" s="110">
        <v>4</v>
      </c>
      <c r="M53" s="88"/>
      <c r="N53" s="287">
        <f>'Rentroll(개시시점 기준)'!H65</f>
        <v>7224.9899694741771</v>
      </c>
      <c r="O53" s="287">
        <v>0</v>
      </c>
      <c r="P53" s="287">
        <v>0</v>
      </c>
      <c r="Q53" s="287">
        <v>0</v>
      </c>
      <c r="R53" s="287">
        <v>0</v>
      </c>
      <c r="S53" s="287">
        <f>'Rentroll(개시시점 기준)'!L65-N53</f>
        <v>2988.6900305258232</v>
      </c>
      <c r="T53" s="288">
        <f t="shared" si="48"/>
        <v>7224.9899694741771</v>
      </c>
      <c r="U53" s="287">
        <f t="shared" si="49"/>
        <v>10213.68</v>
      </c>
      <c r="V53" s="47" t="s">
        <v>101</v>
      </c>
      <c r="W53" s="36"/>
      <c r="X53" s="1251">
        <f t="shared" ref="X53:AE53" si="50">SUM(X42:X52)</f>
        <v>2320674.7133190534</v>
      </c>
      <c r="Y53" s="49">
        <f t="shared" si="50"/>
        <v>2231735.2375297998</v>
      </c>
      <c r="Z53" s="49">
        <f t="shared" si="50"/>
        <v>2221073.0225209519</v>
      </c>
      <c r="AA53" s="49">
        <f t="shared" si="50"/>
        <v>2290483.072859596</v>
      </c>
      <c r="AB53" s="49">
        <f t="shared" si="50"/>
        <v>2267653.3000131235</v>
      </c>
      <c r="AC53" s="49">
        <f t="shared" si="50"/>
        <v>2226513.6536508743</v>
      </c>
      <c r="AD53" s="49">
        <f t="shared" si="50"/>
        <v>2229933.800125266</v>
      </c>
      <c r="AE53" s="49">
        <f t="shared" si="50"/>
        <v>2234160.1126608639</v>
      </c>
      <c r="AF53" s="49">
        <f>SUM(AF42:AF52)</f>
        <v>2916733.0396408914</v>
      </c>
      <c r="AG53" s="49">
        <f>SUM(AG42:AG52)</f>
        <v>2336762.5702514891</v>
      </c>
      <c r="AH53" s="49">
        <f>SUM(AH42:AH52)</f>
        <v>2251699.3239376754</v>
      </c>
      <c r="AI53" s="837">
        <f>SUM(AI42:AI52)</f>
        <v>23206747.133190531</v>
      </c>
      <c r="AJ53" s="841">
        <f>SUM(AJ42:AJ52)</f>
        <v>2259175.1090857615</v>
      </c>
      <c r="AL53" s="1840" t="s">
        <v>1245</v>
      </c>
      <c r="AM53" s="259" t="s">
        <v>1135</v>
      </c>
      <c r="AN53" s="1939">
        <f ca="1">MIN('DSCR(선,중)'!F36:M36)</f>
        <v>4.1150050928869621</v>
      </c>
      <c r="AO53" s="1954">
        <v>4.1150050928869621</v>
      </c>
      <c r="AP53" s="1402">
        <v>4.1150050928869621</v>
      </c>
      <c r="AQ53" s="1402">
        <v>4.1150050928869621</v>
      </c>
      <c r="AR53" s="1402">
        <v>4.1150050928869621</v>
      </c>
      <c r="AS53" s="1402">
        <v>4.1150050928869621</v>
      </c>
      <c r="AT53" s="1402">
        <v>4.1150050928869621</v>
      </c>
      <c r="AU53" s="2056">
        <v>4.1150050928869621</v>
      </c>
      <c r="AV53" s="1402">
        <v>3.9998947674652174</v>
      </c>
      <c r="AW53" s="1402">
        <v>3.8847844420434687</v>
      </c>
      <c r="AX53" s="1402">
        <v>3.7696741166217222</v>
      </c>
      <c r="AY53" s="1402">
        <v>3.6123610933169976</v>
      </c>
      <c r="AZ53" s="1402">
        <v>3.374804932134182</v>
      </c>
      <c r="BA53" s="2056">
        <v>3.137248770951369</v>
      </c>
      <c r="BB53" s="1402">
        <v>4.0685124571267171</v>
      </c>
      <c r="BC53" s="1402">
        <v>4.0227214576487951</v>
      </c>
      <c r="BD53" s="1402">
        <v>3.9776163304531602</v>
      </c>
      <c r="BE53" s="1402">
        <v>3.9331817802659104</v>
      </c>
      <c r="BF53" s="1402">
        <v>3.8894029632464724</v>
      </c>
      <c r="BG53" s="1402">
        <v>3.8462654704547674</v>
      </c>
      <c r="BH53" s="1843">
        <v>3.8037553120396734</v>
      </c>
      <c r="BI53" s="1402">
        <v>4.1150050928869621</v>
      </c>
      <c r="BJ53" s="1402">
        <v>4.1150050928869621</v>
      </c>
      <c r="BK53" s="1402">
        <v>4.1150050928869621</v>
      </c>
      <c r="BL53" s="1402">
        <v>4.1150050928869621</v>
      </c>
      <c r="BM53" s="1402">
        <v>4.1150050928869621</v>
      </c>
      <c r="BN53" s="1843">
        <v>4.1150050928869621</v>
      </c>
    </row>
    <row r="54" spans="1:66" ht="11.25" customHeight="1" thickBot="1">
      <c r="A54" s="1767">
        <f>IFERROR(IFERROR(SUMIF('FS_Detail(M)'!$L$10:$EQ$10,$C54,'FS_Detail(M)'!$L$79:$EQ$79)/COUNTIF('FS_Detail(M)'!$L$10:$EQ$10,'A&amp;R'!$C54),)/H84,)</f>
        <v>1</v>
      </c>
      <c r="B54" s="66"/>
      <c r="C54" s="1366">
        <f t="shared" si="45"/>
        <v>12</v>
      </c>
      <c r="D54" s="836">
        <f>IFERROR(SUMIF('FS_Detail(M)'!$L$10:$EQ$10,$C54,'FS_Detail(M)'!$L$61:$EQ$61)/COUNTIF('FS_Detail(M)'!$L$10:$EQ$10,'A&amp;R'!$C54),)</f>
        <v>24000000</v>
      </c>
      <c r="E54" s="13">
        <f ca="1">-SUMIF('CF(M)'!$L$10:$EQ$10,$C54,'CF(M)'!$L$98:$EQ$98)</f>
        <v>840000.00000000012</v>
      </c>
      <c r="F54" s="13">
        <f>-SUMIF('CF(M)'!$L$10:$EQ$10,$C54,'CF(M)'!$L$99:$EQ$99)</f>
        <v>0</v>
      </c>
      <c r="G54" s="1367">
        <f t="shared" ca="1" si="46"/>
        <v>7.0000000000000007E-2</v>
      </c>
      <c r="H54" s="948">
        <f>IFERROR(SUMIF('FS_Detail(M)'!$L$10:$EQ$10,$C54,'FS_Detail(M)'!$L$66:$EQ$66)/COUNTIF('FS_Detail(M)'!$L$10:$EQ$10,'A&amp;R'!$C54),)</f>
        <v>50000000</v>
      </c>
      <c r="I54" s="13">
        <f ca="1">-SUMIF('CF(M)'!$L$10:$EQ$10,$C54,'CF(M)'!$L$103:$EQ$103)</f>
        <v>2258497.3462193981</v>
      </c>
      <c r="J54" s="13">
        <f>-SUMIF('CF(M)'!$L$10:$EQ$10,$C54,'CF(M)'!$L$104:$EQ$104)</f>
        <v>0</v>
      </c>
      <c r="K54" s="1705">
        <f t="shared" ca="1" si="47"/>
        <v>9.0339893848775929E-2</v>
      </c>
      <c r="L54" s="110">
        <v>3</v>
      </c>
      <c r="M54" s="88"/>
      <c r="N54" s="287">
        <f>'Rentroll(개시시점 기준)'!H66</f>
        <v>7224.9899694741771</v>
      </c>
      <c r="O54" s="287">
        <v>0</v>
      </c>
      <c r="P54" s="287">
        <v>0</v>
      </c>
      <c r="Q54" s="287">
        <v>0</v>
      </c>
      <c r="R54" s="287">
        <v>0</v>
      </c>
      <c r="S54" s="287">
        <f>'Rentroll(개시시점 기준)'!L66-N54</f>
        <v>2988.6900305258232</v>
      </c>
      <c r="T54" s="288">
        <f t="shared" si="48"/>
        <v>7224.9899694741771</v>
      </c>
      <c r="U54" s="287">
        <f t="shared" si="49"/>
        <v>10213.68</v>
      </c>
      <c r="V54" s="12" t="s">
        <v>103</v>
      </c>
      <c r="W54" s="5"/>
      <c r="X54" s="1252">
        <f t="shared" si="34"/>
        <v>15020486.78005458</v>
      </c>
      <c r="Y54" s="13">
        <f t="shared" ref="Y54:AE54" si="51">Y41-Y53</f>
        <v>13105364.981746545</v>
      </c>
      <c r="Z54" s="13">
        <f t="shared" si="51"/>
        <v>13461786.385864696</v>
      </c>
      <c r="AA54" s="13">
        <f t="shared" si="51"/>
        <v>9076189.0386719219</v>
      </c>
      <c r="AB54" s="13">
        <f t="shared" si="51"/>
        <v>15215117.979256874</v>
      </c>
      <c r="AC54" s="13">
        <f t="shared" si="51"/>
        <v>15697676.36408948</v>
      </c>
      <c r="AD54" s="13">
        <f t="shared" si="51"/>
        <v>16136820.383685993</v>
      </c>
      <c r="AE54" s="13">
        <f t="shared" si="51"/>
        <v>16586222.341373073</v>
      </c>
      <c r="AF54" s="13">
        <f>AF41-AF53</f>
        <v>16147668.438126139</v>
      </c>
      <c r="AG54" s="13">
        <f>AG41-AG53</f>
        <v>17105485.515483074</v>
      </c>
      <c r="AH54" s="13">
        <f>AH41-AH53</f>
        <v>17672536.372248001</v>
      </c>
      <c r="AI54" s="836">
        <f t="shared" si="35"/>
        <v>150204867.80054581</v>
      </c>
      <c r="AJ54" s="840">
        <f>AJ41-AJ53</f>
        <v>18283953.536308561</v>
      </c>
      <c r="AL54" s="2111" t="s">
        <v>1274</v>
      </c>
      <c r="AM54" s="2112" t="s">
        <v>1134</v>
      </c>
      <c r="AN54" s="2113">
        <f ca="1">'DSCR(선,중)'!E34</f>
        <v>6.7118843830184707</v>
      </c>
      <c r="AO54" s="2114">
        <v>6.7118843830184707</v>
      </c>
      <c r="AP54" s="2115">
        <v>6.7118843830184707</v>
      </c>
      <c r="AQ54" s="2115">
        <v>6.7118843830184707</v>
      </c>
      <c r="AR54" s="2115">
        <v>6.7118843830184707</v>
      </c>
      <c r="AS54" s="2115">
        <v>6.7118843830184707</v>
      </c>
      <c r="AT54" s="2115">
        <v>6.7118843830184707</v>
      </c>
      <c r="AU54" s="2116">
        <v>6.7118843830184707</v>
      </c>
      <c r="AV54" s="2115">
        <v>6.6025044481913699</v>
      </c>
      <c r="AW54" s="2115">
        <v>6.4931245133642657</v>
      </c>
      <c r="AX54" s="2115">
        <v>6.3837445785371623</v>
      </c>
      <c r="AY54" s="2115">
        <v>6.2423118206628567</v>
      </c>
      <c r="AZ54" s="2115">
        <v>6.0341137062519614</v>
      </c>
      <c r="BA54" s="2116">
        <v>5.8259155918410688</v>
      </c>
      <c r="BB54" s="2115">
        <v>6.7019367390394127</v>
      </c>
      <c r="BC54" s="2115">
        <v>6.6919890950603556</v>
      </c>
      <c r="BD54" s="2115">
        <v>6.6820414510812975</v>
      </c>
      <c r="BE54" s="2115">
        <v>6.6720938071022413</v>
      </c>
      <c r="BF54" s="2115">
        <v>6.6621461631231824</v>
      </c>
      <c r="BG54" s="2115">
        <v>6.6521985191441253</v>
      </c>
      <c r="BH54" s="2117">
        <v>6.6422508751650673</v>
      </c>
      <c r="BI54" s="2115">
        <v>6.7118843830184707</v>
      </c>
      <c r="BJ54" s="2115">
        <v>6.7118843830184707</v>
      </c>
      <c r="BK54" s="2115">
        <v>6.7118843830184707</v>
      </c>
      <c r="BL54" s="2115">
        <v>6.7118843830184707</v>
      </c>
      <c r="BM54" s="2115">
        <v>6.7118843830184707</v>
      </c>
      <c r="BN54" s="2117">
        <v>6.7118843830184707</v>
      </c>
    </row>
    <row r="55" spans="1:66" ht="11.25" customHeight="1">
      <c r="A55" s="1767">
        <f>IFERROR(IFERROR(SUMIF('FS_Detail(M)'!$L$10:$EQ$10,$C55,'FS_Detail(M)'!$L$79:$EQ$79)/COUNTIF('FS_Detail(M)'!$L$10:$EQ$10,'A&amp;R'!$C55),)/H85,)</f>
        <v>1</v>
      </c>
      <c r="B55" s="66"/>
      <c r="C55" s="1366">
        <f t="shared" si="45"/>
        <v>13</v>
      </c>
      <c r="D55" s="836">
        <f>IFERROR(SUMIF('FS_Detail(M)'!$L$10:$EQ$10,$C55,'FS_Detail(M)'!$L$61:$EQ$61)/COUNTIF('FS_Detail(M)'!$L$10:$EQ$10,'A&amp;R'!$C55),)</f>
        <v>24000000</v>
      </c>
      <c r="E55" s="13">
        <f ca="1">-SUMIF('CF(M)'!$L$10:$EQ$10,$C55,'CF(M)'!$L$98:$EQ$98)</f>
        <v>840000.00000000012</v>
      </c>
      <c r="F55" s="13">
        <f>-SUMIF('CF(M)'!$L$10:$EQ$10,$C55,'CF(M)'!$L$99:$EQ$99)</f>
        <v>0</v>
      </c>
      <c r="G55" s="1367">
        <f t="shared" ca="1" si="46"/>
        <v>7.0000000000000007E-2</v>
      </c>
      <c r="H55" s="948">
        <f>IFERROR(SUMIF('FS_Detail(M)'!$L$10:$EQ$10,$C55,'FS_Detail(M)'!$L$66:$EQ$66)/COUNTIF('FS_Detail(M)'!$L$10:$EQ$10,'A&amp;R'!$C55),)</f>
        <v>50000000</v>
      </c>
      <c r="I55" s="13">
        <f ca="1">-SUMIF('CF(M)'!$L$10:$EQ$10,$C55,'CF(M)'!$L$103:$EQ$103)</f>
        <v>2031213.1788212531</v>
      </c>
      <c r="J55" s="13">
        <f>-SUMIF('CF(M)'!$L$10:$EQ$10,$C55,'CF(M)'!$L$104:$EQ$104)</f>
        <v>0</v>
      </c>
      <c r="K55" s="1705">
        <f t="shared" ca="1" si="47"/>
        <v>8.1248527152850122E-2</v>
      </c>
      <c r="L55" s="110">
        <v>2</v>
      </c>
      <c r="M55" s="88"/>
      <c r="N55" s="287">
        <f>'Rentroll(개시시점 기준)'!H67</f>
        <v>7224.9899694741771</v>
      </c>
      <c r="O55" s="287">
        <v>0</v>
      </c>
      <c r="P55" s="287">
        <v>0</v>
      </c>
      <c r="Q55" s="287">
        <v>0</v>
      </c>
      <c r="R55" s="287">
        <v>0</v>
      </c>
      <c r="S55" s="287">
        <f>'Rentroll(개시시점 기준)'!L67-N55</f>
        <v>2988.6900305258232</v>
      </c>
      <c r="T55" s="288">
        <f t="shared" si="48"/>
        <v>7224.9899694741771</v>
      </c>
      <c r="U55" s="287">
        <f t="shared" si="49"/>
        <v>10213.68</v>
      </c>
      <c r="V55" s="808" t="s">
        <v>106</v>
      </c>
      <c r="W55" s="809"/>
      <c r="X55" s="1620">
        <f>X54/$P$8</f>
        <v>5.5631432518720665E-2</v>
      </c>
      <c r="Y55" s="1621">
        <f t="shared" ref="Y55:AH55" si="52">(Y54)/($P$8-$T$14)</f>
        <v>4.8918868912827713E-2</v>
      </c>
      <c r="Z55" s="810">
        <f t="shared" si="52"/>
        <v>5.0249295953209018E-2</v>
      </c>
      <c r="AA55" s="810">
        <f t="shared" si="52"/>
        <v>3.3879018434758948E-2</v>
      </c>
      <c r="AB55" s="810">
        <f t="shared" si="52"/>
        <v>5.6794020079346301E-2</v>
      </c>
      <c r="AC55" s="810">
        <f t="shared" si="52"/>
        <v>5.8595283180625159E-2</v>
      </c>
      <c r="AD55" s="810">
        <f t="shared" si="52"/>
        <v>6.0234491913721509E-2</v>
      </c>
      <c r="AE55" s="811">
        <f t="shared" si="52"/>
        <v>6.1911990822594527E-2</v>
      </c>
      <c r="AF55" s="811">
        <f t="shared" si="52"/>
        <v>6.0274984838096825E-2</v>
      </c>
      <c r="AG55" s="811">
        <f t="shared" si="52"/>
        <v>6.3850263215688971E-2</v>
      </c>
      <c r="AH55" s="811">
        <f t="shared" si="52"/>
        <v>6.5966914416752523E-2</v>
      </c>
      <c r="AI55" s="811"/>
      <c r="AJ55" s="842">
        <v>4.8918868912827713E-2</v>
      </c>
      <c r="AL55" s="1840" t="s">
        <v>486</v>
      </c>
      <c r="AM55" s="259" t="s">
        <v>1135</v>
      </c>
      <c r="AN55" s="1939">
        <f ca="1">'DSCR(선,중)'!E36</f>
        <v>5.1692335369214835</v>
      </c>
      <c r="AO55" s="1954">
        <v>5.1692335369214835</v>
      </c>
      <c r="AP55" s="1402">
        <v>5.1692335369214835</v>
      </c>
      <c r="AQ55" s="1402">
        <v>5.1692335369214835</v>
      </c>
      <c r="AR55" s="1402">
        <v>5.1692335369214835</v>
      </c>
      <c r="AS55" s="1402">
        <v>5.1692335369214835</v>
      </c>
      <c r="AT55" s="1402">
        <v>5.1692335369214835</v>
      </c>
      <c r="AU55" s="2056">
        <v>5.1692335369214835</v>
      </c>
      <c r="AV55" s="1402">
        <v>5.0849933451796439</v>
      </c>
      <c r="AW55" s="1402">
        <v>5.0007531534378007</v>
      </c>
      <c r="AX55" s="1402">
        <v>4.9165129616959593</v>
      </c>
      <c r="AY55" s="1402">
        <v>4.8075869263976037</v>
      </c>
      <c r="AZ55" s="1402">
        <v>4.6472407979601806</v>
      </c>
      <c r="BA55" s="2056">
        <v>4.4868946695227585</v>
      </c>
      <c r="BB55" s="1402">
        <v>5.1223286000661377</v>
      </c>
      <c r="BC55" s="1402">
        <v>5.076131521670086</v>
      </c>
      <c r="BD55" s="1402">
        <v>5.0306263979366497</v>
      </c>
      <c r="BE55" s="1402">
        <v>4.985797797951987</v>
      </c>
      <c r="BF55" s="1402">
        <v>4.9416307462389426</v>
      </c>
      <c r="BG55" s="1402">
        <v>4.8981107060775937</v>
      </c>
      <c r="BH55" s="1843">
        <v>4.8552235635534942</v>
      </c>
      <c r="BI55" s="1402">
        <v>5.1692335369214835</v>
      </c>
      <c r="BJ55" s="1402">
        <v>5.1692335369214835</v>
      </c>
      <c r="BK55" s="1402">
        <v>5.1692335369214835</v>
      </c>
      <c r="BL55" s="1402">
        <v>5.1692335369214835</v>
      </c>
      <c r="BM55" s="1402">
        <v>5.1692335369214835</v>
      </c>
      <c r="BN55" s="1843">
        <v>5.1692335369214835</v>
      </c>
    </row>
    <row r="56" spans="1:66" ht="13.5" customHeight="1">
      <c r="A56" s="1767">
        <f>IFERROR(IFERROR(SUMIF('FS_Detail(M)'!$L$10:$EQ$10,$C56,'FS_Detail(M)'!$L$79:$EQ$79)/COUNTIF('FS_Detail(M)'!$L$10:$EQ$10,'A&amp;R'!$C56),)/H86,)</f>
        <v>1</v>
      </c>
      <c r="B56" s="66"/>
      <c r="C56" s="1366">
        <f t="shared" si="45"/>
        <v>14</v>
      </c>
      <c r="D56" s="836">
        <f>IFERROR(SUMIF('FS_Detail(M)'!$L$10:$EQ$10,$C56,'FS_Detail(M)'!$L$61:$EQ$61)/COUNTIF('FS_Detail(M)'!$L$10:$EQ$10,'A&amp;R'!$C56),)</f>
        <v>24000000</v>
      </c>
      <c r="E56" s="13">
        <f ca="1">-SUMIF('CF(M)'!$L$10:$EQ$10,$C56,'CF(M)'!$L$98:$EQ$98)</f>
        <v>840000.00000000012</v>
      </c>
      <c r="F56" s="13">
        <f>-SUMIF('CF(M)'!$L$10:$EQ$10,$C56,'CF(M)'!$L$99:$EQ$99)</f>
        <v>0</v>
      </c>
      <c r="G56" s="1367">
        <f t="shared" ca="1" si="46"/>
        <v>7.0000000000000007E-2</v>
      </c>
      <c r="H56" s="948">
        <f>IFERROR(SUMIF('FS_Detail(M)'!$L$10:$EQ$10,$C56,'FS_Detail(M)'!$L$66:$EQ$66)/COUNTIF('FS_Detail(M)'!$L$10:$EQ$10,'A&amp;R'!$C56),)</f>
        <v>50000000</v>
      </c>
      <c r="I56" s="13">
        <f ca="1">-SUMIF('CF(M)'!$L$10:$EQ$10,$C56,'CF(M)'!$L$103:$EQ$103)</f>
        <v>2480274.6567853596</v>
      </c>
      <c r="J56" s="13">
        <f>-SUMIF('CF(M)'!$L$10:$EQ$10,$C56,'CF(M)'!$L$104:$EQ$104)</f>
        <v>0</v>
      </c>
      <c r="K56" s="1705">
        <f t="shared" ca="1" si="47"/>
        <v>9.9210986271414378E-2</v>
      </c>
      <c r="L56" s="110">
        <v>1</v>
      </c>
      <c r="M56" s="88"/>
      <c r="N56" s="287">
        <f>SUM('Rentroll(개시시점 기준)'!H68:H69)</f>
        <v>6442.9400000000005</v>
      </c>
      <c r="O56" s="287">
        <v>0</v>
      </c>
      <c r="P56" s="287">
        <f>SUM('Rentroll(개시시점 기준)'!H70:H72)</f>
        <v>523.29419780996113</v>
      </c>
      <c r="Q56" s="287">
        <v>0</v>
      </c>
      <c r="R56" s="287">
        <v>0</v>
      </c>
      <c r="S56" s="287">
        <f>'Rentroll(개시시점 기준)'!L68-SUM(N56:R56)</f>
        <v>562.29580219003856</v>
      </c>
      <c r="T56" s="288">
        <f t="shared" si="48"/>
        <v>6966.2341978099612</v>
      </c>
      <c r="U56" s="287">
        <f t="shared" si="49"/>
        <v>7528.53</v>
      </c>
      <c r="V56" s="83" t="s">
        <v>481</v>
      </c>
      <c r="W56" s="1866">
        <v>2.5000000000000001E-2</v>
      </c>
      <c r="X56" s="1686" t="s">
        <v>1040</v>
      </c>
      <c r="Y56" s="1684">
        <f>(((Y41-Y$39)/$Y$23*1000)/12)/(1+$W$56)^Y$35</f>
        <v>59133.201856031475</v>
      </c>
      <c r="Z56" s="1685">
        <f t="shared" ref="Z56:AH56" si="53">(((Z41-Z$39)/$Y$23*1000)/12)/(1+$W$56)^Z$35</f>
        <v>59003.747028033387</v>
      </c>
      <c r="AA56" s="1685">
        <f t="shared" si="53"/>
        <v>41576.145399041379</v>
      </c>
      <c r="AB56" s="1685">
        <f t="shared" si="53"/>
        <v>62665.423076524297</v>
      </c>
      <c r="AC56" s="1685">
        <f t="shared" si="53"/>
        <v>62693.358226049284</v>
      </c>
      <c r="AD56" s="1685">
        <f t="shared" si="53"/>
        <v>62686.592090382124</v>
      </c>
      <c r="AE56" s="1685">
        <f t="shared" si="53"/>
        <v>62679.990982414158</v>
      </c>
      <c r="AF56" s="1685">
        <f t="shared" si="53"/>
        <v>61950.145651380459</v>
      </c>
      <c r="AG56" s="1685">
        <f t="shared" si="53"/>
        <v>61646.089006911978</v>
      </c>
      <c r="AH56" s="1685">
        <f t="shared" si="53"/>
        <v>61644.546400517982</v>
      </c>
      <c r="AI56" s="84"/>
      <c r="AJ56" s="843"/>
      <c r="AL56" s="1840"/>
      <c r="AM56" s="259" t="s">
        <v>1430</v>
      </c>
      <c r="AN56" s="1939">
        <f ca="1">'DSCR(선,중)'!E47</f>
        <v>4.4935124721824842</v>
      </c>
      <c r="AO56" s="1954">
        <v>4.4935124721824842</v>
      </c>
      <c r="AP56" s="1402">
        <v>4.4935124721824842</v>
      </c>
      <c r="AQ56" s="1402">
        <v>4.4935124721824842</v>
      </c>
      <c r="AR56" s="1402">
        <v>4.4935124721824842</v>
      </c>
      <c r="AS56" s="1402">
        <v>4.4935124721824842</v>
      </c>
      <c r="AT56" s="1402">
        <v>4.4935124721824842</v>
      </c>
      <c r="AU56" s="2056">
        <v>4.4935124721824842</v>
      </c>
      <c r="AV56" s="1402">
        <v>4.4219352064397706</v>
      </c>
      <c r="AW56" s="1402">
        <v>4.3503579406970569</v>
      </c>
      <c r="AX56" s="1402">
        <v>4.2787806749543416</v>
      </c>
      <c r="AY56" s="1402">
        <v>4.1856404735749129</v>
      </c>
      <c r="AZ56" s="1402">
        <v>4.0475851305981072</v>
      </c>
      <c r="BA56" s="2056">
        <v>3.909529787621302</v>
      </c>
      <c r="BB56" s="1402">
        <v>4.4569954457040604</v>
      </c>
      <c r="BC56" s="1402">
        <v>4.4209705438864209</v>
      </c>
      <c r="BD56" s="1402">
        <v>4.3854276977593827</v>
      </c>
      <c r="BE56" s="1402">
        <v>4.3503571158004934</v>
      </c>
      <c r="BF56" s="1402">
        <v>4.315749274305011</v>
      </c>
      <c r="BG56" s="1402">
        <v>4.281594908159116</v>
      </c>
      <c r="BH56" s="1843">
        <v>4.2478850019966199</v>
      </c>
      <c r="BI56" s="1402">
        <v>4.4935124721824842</v>
      </c>
      <c r="BJ56" s="1402">
        <v>4.4935124721824842</v>
      </c>
      <c r="BK56" s="1402">
        <v>4.4935124721824842</v>
      </c>
      <c r="BL56" s="1402">
        <v>4.4935124721824842</v>
      </c>
      <c r="BM56" s="1402">
        <v>4.4935124721824842</v>
      </c>
      <c r="BN56" s="1843">
        <v>4.4935124721824842</v>
      </c>
    </row>
    <row r="57" spans="1:66" ht="11.25" customHeight="1" thickBot="1">
      <c r="A57" s="1767">
        <f>IFERROR(IFERROR(SUMIF('FS_Detail(M)'!$L$10:$EQ$10,$C57,'FS_Detail(M)'!$L$79:$EQ$79)/COUNTIF('FS_Detail(M)'!$L$10:$EQ$10,'A&amp;R'!$C57),)/H87,)</f>
        <v>1</v>
      </c>
      <c r="B57" s="66"/>
      <c r="C57" s="1366">
        <f t="shared" si="45"/>
        <v>15</v>
      </c>
      <c r="D57" s="836">
        <f>IFERROR(SUMIF('FS_Detail(M)'!$L$10:$EQ$10,$C57,'FS_Detail(M)'!$L$61:$EQ$61)/COUNTIF('FS_Detail(M)'!$L$10:$EQ$10,'A&amp;R'!$C57),)</f>
        <v>24000000</v>
      </c>
      <c r="E57" s="13">
        <f ca="1">-SUMIF('CF(M)'!$L$10:$EQ$10,$C57,'CF(M)'!$L$98:$EQ$98)</f>
        <v>840000.00000000012</v>
      </c>
      <c r="F57" s="13">
        <f>-SUMIF('CF(M)'!$L$10:$EQ$10,$C57,'CF(M)'!$L$99:$EQ$99)</f>
        <v>0</v>
      </c>
      <c r="G57" s="1367">
        <f t="shared" ca="1" si="46"/>
        <v>7.0000000000000007E-2</v>
      </c>
      <c r="H57" s="948">
        <f>IFERROR(SUMIF('FS_Detail(M)'!$L$10:$EQ$10,$C57,'FS_Detail(M)'!$L$66:$EQ$66)/COUNTIF('FS_Detail(M)'!$L$10:$EQ$10,'A&amp;R'!$C57),)</f>
        <v>50000000</v>
      </c>
      <c r="I57" s="13">
        <f ca="1">-SUMIF('CF(M)'!$L$10:$EQ$10,$C57,'CF(M)'!$L$103:$EQ$103)</f>
        <v>2035583.1337032691</v>
      </c>
      <c r="J57" s="13">
        <f>-SUMIF('CF(M)'!$L$10:$EQ$10,$C57,'CF(M)'!$L$104:$EQ$104)</f>
        <v>0</v>
      </c>
      <c r="K57" s="1705">
        <f t="shared" ca="1" si="47"/>
        <v>8.1423325348130765E-2</v>
      </c>
      <c r="L57" s="110" t="s">
        <v>368</v>
      </c>
      <c r="M57" s="88"/>
      <c r="N57" s="287">
        <f>'Rentroll(개시시점 기준)'!H73</f>
        <v>9075.4522996857431</v>
      </c>
      <c r="O57" s="287"/>
      <c r="P57" s="287"/>
      <c r="Q57" s="287"/>
      <c r="R57" s="287"/>
      <c r="S57" s="287">
        <f>'Rentroll(개시시점 기준)'!L73-SUM(N57:R57)</f>
        <v>3171.2977003142569</v>
      </c>
      <c r="T57" s="288">
        <f t="shared" si="48"/>
        <v>9075.4522996857431</v>
      </c>
      <c r="U57" s="287">
        <f t="shared" si="49"/>
        <v>12246.75</v>
      </c>
      <c r="V57" s="47" t="s">
        <v>115</v>
      </c>
      <c r="W57" s="36"/>
      <c r="X57" s="36"/>
      <c r="Y57" s="48"/>
      <c r="Z57" s="49"/>
      <c r="AA57" s="49"/>
      <c r="AB57" s="49"/>
      <c r="AC57" s="49"/>
      <c r="AD57" s="49"/>
      <c r="AE57" s="49"/>
      <c r="AF57" s="49"/>
      <c r="AG57" s="49"/>
      <c r="AH57" s="49"/>
      <c r="AI57" s="835">
        <f>AJ57/K31</f>
        <v>13014.089960680982</v>
      </c>
      <c r="AJ57" s="844">
        <f>AJ54/AJ55+P31</f>
        <v>375860758.22378767</v>
      </c>
      <c r="AL57" s="1951"/>
      <c r="AM57" s="1952" t="s">
        <v>1431</v>
      </c>
      <c r="AN57" s="1940">
        <f ca="1">'DSCR(선,중)'!E48</f>
        <v>3.7734742140046702</v>
      </c>
      <c r="AO57" s="1955">
        <v>3.7734742140046702</v>
      </c>
      <c r="AP57" s="1956">
        <v>3.7734742140046702</v>
      </c>
      <c r="AQ57" s="1956">
        <v>3.7734742140046702</v>
      </c>
      <c r="AR57" s="1956">
        <v>3.7734742140046702</v>
      </c>
      <c r="AS57" s="1956">
        <v>3.7734742140046702</v>
      </c>
      <c r="AT57" s="1956">
        <v>3.7734742140046702</v>
      </c>
      <c r="AU57" s="2057">
        <v>3.7734742140046702</v>
      </c>
      <c r="AV57" s="1956">
        <v>3.7153903727763575</v>
      </c>
      <c r="AW57" s="1956">
        <v>3.6573065315480431</v>
      </c>
      <c r="AX57" s="1956">
        <v>3.5992226903197295</v>
      </c>
      <c r="AY57" s="1956">
        <v>3.5229036374170901</v>
      </c>
      <c r="AZ57" s="1956">
        <v>3.4086010219694707</v>
      </c>
      <c r="BA57" s="2057">
        <v>3.2942984065218526</v>
      </c>
      <c r="BB57" s="1956">
        <v>3.745198072923861</v>
      </c>
      <c r="BC57" s="1956">
        <v>3.7172908813143914</v>
      </c>
      <c r="BD57" s="1956">
        <v>3.6897449721524178</v>
      </c>
      <c r="BE57" s="1956">
        <v>3.6625528974785357</v>
      </c>
      <c r="BF57" s="1956">
        <v>3.6357074204745548</v>
      </c>
      <c r="BG57" s="1956">
        <v>3.6092015078850994</v>
      </c>
      <c r="BH57" s="1958">
        <v>3.5830283227665634</v>
      </c>
      <c r="BI57" s="1956">
        <v>3.7734742140046702</v>
      </c>
      <c r="BJ57" s="1956">
        <v>3.7734742140046702</v>
      </c>
      <c r="BK57" s="1956">
        <v>3.7734742140046702</v>
      </c>
      <c r="BL57" s="1956">
        <v>3.7734742140046702</v>
      </c>
      <c r="BM57" s="1956">
        <v>3.7734742140046702</v>
      </c>
      <c r="BN57" s="1958">
        <v>3.7734742140046702</v>
      </c>
    </row>
    <row r="58" spans="1:66" ht="11.25" customHeight="1" thickBot="1">
      <c r="A58" s="1767">
        <f>IFERROR(IFERROR(SUMIF('FS_Detail(M)'!$L$10:$EQ$10,$C58,'FS_Detail(M)'!$L$79:$EQ$79)/COUNTIF('FS_Detail(M)'!$L$10:$EQ$10,'A&amp;R'!$C58),)/H88,)</f>
        <v>1</v>
      </c>
      <c r="B58" s="66"/>
      <c r="C58" s="1366">
        <f t="shared" si="45"/>
        <v>16</v>
      </c>
      <c r="D58" s="836">
        <f>IFERROR(SUMIF('FS_Detail(M)'!$L$10:$EQ$10,$C58,'FS_Detail(M)'!$L$61:$EQ$61)/COUNTIF('FS_Detail(M)'!$L$10:$EQ$10,'A&amp;R'!$C58),)</f>
        <v>24000000</v>
      </c>
      <c r="E58" s="13">
        <f ca="1">-SUMIF('CF(M)'!$L$10:$EQ$10,$C58,'CF(M)'!$L$98:$EQ$98)</f>
        <v>840000.00000000012</v>
      </c>
      <c r="F58" s="13">
        <f>-SUMIF('CF(M)'!$L$10:$EQ$10,$C58,'CF(M)'!$L$99:$EQ$99)</f>
        <v>0</v>
      </c>
      <c r="G58" s="1367">
        <f t="shared" ca="1" si="46"/>
        <v>7.0000000000000007E-2</v>
      </c>
      <c r="H58" s="948">
        <f>IFERROR(SUMIF('FS_Detail(M)'!$L$10:$EQ$10,$C58,'FS_Detail(M)'!$L$66:$EQ$66)/COUNTIF('FS_Detail(M)'!$L$10:$EQ$10,'A&amp;R'!$C58),)</f>
        <v>50000000</v>
      </c>
      <c r="I58" s="13">
        <f ca="1">-SUMIF('CF(M)'!$L$10:$EQ$10,$C58,'CF(M)'!$L$103:$EQ$103)</f>
        <v>1875000</v>
      </c>
      <c r="J58" s="13">
        <f>-SUMIF('CF(M)'!$L$10:$EQ$10,$C58,'CF(M)'!$L$104:$EQ$104)</f>
        <v>0</v>
      </c>
      <c r="K58" s="1705">
        <f t="shared" ca="1" si="47"/>
        <v>7.4999999999999997E-2</v>
      </c>
      <c r="L58" s="118" t="s">
        <v>373</v>
      </c>
      <c r="M58" s="100"/>
      <c r="N58" s="287">
        <f>'Rentroll(개시시점 기준)'!H74</f>
        <v>9018.8871730013507</v>
      </c>
      <c r="O58" s="287">
        <v>0</v>
      </c>
      <c r="P58" s="287">
        <v>0</v>
      </c>
      <c r="Q58" s="287">
        <v>0</v>
      </c>
      <c r="R58" s="287">
        <v>0</v>
      </c>
      <c r="S58" s="287">
        <f>'Rentroll(개시시점 기준)'!L74-SUM(N58:R58)</f>
        <v>3406.7928269986496</v>
      </c>
      <c r="T58" s="288">
        <f t="shared" si="48"/>
        <v>9018.8871730013507</v>
      </c>
      <c r="U58" s="287">
        <f t="shared" si="49"/>
        <v>12425.68</v>
      </c>
      <c r="V58" s="12" t="s">
        <v>501</v>
      </c>
      <c r="W58" s="5"/>
      <c r="X58" s="5"/>
      <c r="Y58" s="89"/>
      <c r="Z58" s="65"/>
      <c r="AA58" s="5"/>
      <c r="AB58" s="5"/>
      <c r="AC58" s="5"/>
      <c r="AD58" s="90"/>
      <c r="AE58" s="90"/>
      <c r="AF58" s="90"/>
      <c r="AG58" s="90"/>
      <c r="AH58" s="90"/>
      <c r="AI58" s="279">
        <f>AJ58/K31</f>
        <v>13014.089960680982</v>
      </c>
      <c r="AJ58" s="91">
        <f>AJ57</f>
        <v>375860758.22378767</v>
      </c>
    </row>
    <row r="59" spans="1:66" ht="11.25" customHeight="1" thickBot="1">
      <c r="A59" s="1767">
        <f>IFERROR(IFERROR(SUMIF('FS_Detail(M)'!$L$10:$EQ$10,$C59,'FS_Detail(M)'!$L$79:$EQ$79)/COUNTIF('FS_Detail(M)'!$L$10:$EQ$10,'A&amp;R'!$C59),)/H89,)</f>
        <v>1</v>
      </c>
      <c r="B59" s="66"/>
      <c r="C59" s="1366">
        <f t="shared" si="45"/>
        <v>17</v>
      </c>
      <c r="D59" s="836">
        <f>IFERROR(SUMIF('FS_Detail(M)'!$L$10:$EQ$10,$C59,'FS_Detail(M)'!$L$61:$EQ$61)/COUNTIF('FS_Detail(M)'!$L$10:$EQ$10,'A&amp;R'!$C59),)</f>
        <v>24000000</v>
      </c>
      <c r="E59" s="13">
        <f ca="1">-SUMIF('CF(M)'!$L$10:$EQ$10,$C59,'CF(M)'!$L$98:$EQ$98)</f>
        <v>840000.00000000012</v>
      </c>
      <c r="F59" s="13">
        <f>-SUMIF('CF(M)'!$L$10:$EQ$10,$C59,'CF(M)'!$L$99:$EQ$99)</f>
        <v>0</v>
      </c>
      <c r="G59" s="1367">
        <f t="shared" ca="1" si="46"/>
        <v>7.0000000000000007E-2</v>
      </c>
      <c r="H59" s="948">
        <f>IFERROR(SUMIF('FS_Detail(M)'!$L$10:$EQ$10,$C59,'FS_Detail(M)'!$L$66:$EQ$66)/COUNTIF('FS_Detail(M)'!$L$10:$EQ$10,'A&amp;R'!$C59),)</f>
        <v>50000000</v>
      </c>
      <c r="I59" s="13">
        <f ca="1">-SUMIF('CF(M)'!$L$10:$EQ$10,$C59,'CF(M)'!$L$103:$EQ$103)</f>
        <v>1875000</v>
      </c>
      <c r="J59" s="13">
        <f>-SUMIF('CF(M)'!$L$10:$EQ$10,$C59,'CF(M)'!$L$104:$EQ$104)</f>
        <v>0</v>
      </c>
      <c r="K59" s="1705">
        <f t="shared" ca="1" si="47"/>
        <v>7.4999999999999997E-2</v>
      </c>
      <c r="L59" s="939" t="s">
        <v>59</v>
      </c>
      <c r="M59" s="102"/>
      <c r="N59" s="103">
        <f t="shared" ref="N59:U59" si="54">SUM(N49:N58)</f>
        <v>66691.928415613933</v>
      </c>
      <c r="O59" s="103">
        <f t="shared" si="54"/>
        <v>0</v>
      </c>
      <c r="P59" s="103">
        <f t="shared" si="54"/>
        <v>2366.1571624109456</v>
      </c>
      <c r="Q59" s="103">
        <f t="shared" si="54"/>
        <v>0</v>
      </c>
      <c r="R59" s="103">
        <f t="shared" si="54"/>
        <v>0</v>
      </c>
      <c r="S59" s="103">
        <f t="shared" si="54"/>
        <v>26416.504421975129</v>
      </c>
      <c r="T59" s="103">
        <f t="shared" si="54"/>
        <v>69058.085578024868</v>
      </c>
      <c r="U59" s="103">
        <f t="shared" si="54"/>
        <v>95474.59</v>
      </c>
      <c r="V59" s="12" t="s">
        <v>118</v>
      </c>
      <c r="W59" s="5"/>
      <c r="X59" s="5"/>
      <c r="Y59" s="89"/>
      <c r="Z59" s="65"/>
      <c r="AA59" s="90"/>
      <c r="AB59" s="13">
        <f>SUM(T14:T20)</f>
        <v>284100000</v>
      </c>
      <c r="AC59" s="65">
        <f>AC54/AB59</f>
        <v>5.525405267190947E-2</v>
      </c>
      <c r="AD59" s="5"/>
      <c r="AE59" s="5"/>
      <c r="AF59" s="5"/>
      <c r="AG59" s="5"/>
      <c r="AH59" s="5"/>
      <c r="AI59" s="5"/>
      <c r="AJ59" s="840">
        <f>P28</f>
        <v>288900000</v>
      </c>
    </row>
    <row r="60" spans="1:66" ht="11.25" customHeight="1">
      <c r="A60" s="1767">
        <f>IFERROR(IFERROR(SUMIF('FS_Detail(M)'!$L$10:$EQ$10,$C60,'FS_Detail(M)'!$L$79:$EQ$79)/COUNTIF('FS_Detail(M)'!$L$10:$EQ$10,'A&amp;R'!$C60),)/H90,)</f>
        <v>1</v>
      </c>
      <c r="B60" s="66"/>
      <c r="C60" s="1366">
        <f t="shared" si="45"/>
        <v>18</v>
      </c>
      <c r="D60" s="836">
        <f>IFERROR(SUMIF('FS_Detail(M)'!$L$10:$EQ$10,$C60,'FS_Detail(M)'!$L$61:$EQ$61)/COUNTIF('FS_Detail(M)'!$L$10:$EQ$10,'A&amp;R'!$C60),)</f>
        <v>24000000</v>
      </c>
      <c r="E60" s="13">
        <f ca="1">-SUMIF('CF(M)'!$L$10:$EQ$10,$C60,'CF(M)'!$L$98:$EQ$98)</f>
        <v>840000.00000000012</v>
      </c>
      <c r="F60" s="13">
        <f>-SUMIF('CF(M)'!$L$10:$EQ$10,$C60,'CF(M)'!$L$99:$EQ$99)</f>
        <v>0</v>
      </c>
      <c r="G60" s="1367">
        <f t="shared" ca="1" si="46"/>
        <v>7.0000000000000007E-2</v>
      </c>
      <c r="H60" s="948">
        <f>IFERROR(SUMIF('FS_Detail(M)'!$L$10:$EQ$10,$C60,'FS_Detail(M)'!$L$66:$EQ$66)/COUNTIF('FS_Detail(M)'!$L$10:$EQ$10,'A&amp;R'!$C60),)</f>
        <v>50000000</v>
      </c>
      <c r="I60" s="13">
        <f ca="1">-SUMIF('CF(M)'!$L$10:$EQ$10,$C60,'CF(M)'!$L$103:$EQ$103)</f>
        <v>1875000</v>
      </c>
      <c r="J60" s="13">
        <f>-SUMIF('CF(M)'!$L$10:$EQ$10,$C60,'CF(M)'!$L$104:$EQ$104)</f>
        <v>0</v>
      </c>
      <c r="K60" s="1705">
        <f t="shared" ca="1" si="47"/>
        <v>7.4999999999999997E-2</v>
      </c>
      <c r="L60" s="939" t="s">
        <v>131</v>
      </c>
      <c r="M60" s="102"/>
      <c r="N60" s="107">
        <f t="shared" ref="N60:S60" si="55">N59*N48/$T$59</f>
        <v>0.96573671073262601</v>
      </c>
      <c r="O60" s="107">
        <f t="shared" si="55"/>
        <v>0</v>
      </c>
      <c r="P60" s="107">
        <f t="shared" si="55"/>
        <v>3.426328926737416E-2</v>
      </c>
      <c r="Q60" s="107">
        <f t="shared" si="55"/>
        <v>0</v>
      </c>
      <c r="R60" s="107">
        <f t="shared" si="55"/>
        <v>0</v>
      </c>
      <c r="S60" s="107">
        <f t="shared" si="55"/>
        <v>0</v>
      </c>
      <c r="T60" s="107">
        <f>SUM(N60:S60)</f>
        <v>1.0000000000000002</v>
      </c>
      <c r="U60" s="275"/>
      <c r="V60" s="12" t="s">
        <v>244</v>
      </c>
      <c r="W60" s="5"/>
      <c r="X60" s="5"/>
      <c r="Y60" s="89"/>
      <c r="Z60" s="65"/>
      <c r="AA60" s="90"/>
      <c r="AB60" s="5"/>
      <c r="AC60" s="5"/>
      <c r="AD60" s="5"/>
      <c r="AE60" s="5"/>
      <c r="AF60" s="5"/>
      <c r="AG60" s="5"/>
      <c r="AH60" s="5"/>
      <c r="AI60" s="13">
        <f>AJ62</f>
        <v>1879303.7911189385</v>
      </c>
      <c r="AJ60" s="840">
        <v>0</v>
      </c>
      <c r="AV60" s="1175" t="s">
        <v>619</v>
      </c>
      <c r="AW60" s="1886">
        <v>-0.15</v>
      </c>
      <c r="AX60" s="1886">
        <v>-0.1</v>
      </c>
      <c r="AY60" s="1886">
        <v>-0.05</v>
      </c>
      <c r="AZ60" s="1176" t="s">
        <v>1123</v>
      </c>
      <c r="BA60" s="1886">
        <v>0.05</v>
      </c>
      <c r="BB60" s="1886">
        <v>0.1</v>
      </c>
      <c r="BC60" s="1887">
        <v>0.15</v>
      </c>
      <c r="BD60" s="1888"/>
    </row>
    <row r="61" spans="1:66" ht="11.25" customHeight="1">
      <c r="A61" s="1767">
        <f>IFERROR(IFERROR(SUMIF('FS_Detail(M)'!$L$10:$EQ$10,$C61,'FS_Detail(M)'!$L$79:$EQ$79)/COUNTIF('FS_Detail(M)'!$L$10:$EQ$10,'A&amp;R'!$C61),)/H91,)</f>
        <v>1</v>
      </c>
      <c r="B61" s="66"/>
      <c r="C61" s="1366">
        <f t="shared" si="45"/>
        <v>19</v>
      </c>
      <c r="D61" s="836">
        <f>IFERROR(SUMIF('FS_Detail(M)'!$L$10:$EQ$10,$C61,'FS_Detail(M)'!$L$61:$EQ$61)/COUNTIF('FS_Detail(M)'!$L$10:$EQ$10,'A&amp;R'!$C61),)</f>
        <v>24000000</v>
      </c>
      <c r="E61" s="13">
        <f ca="1">-SUMIF('CF(M)'!$L$10:$EQ$10,$C61,'CF(M)'!$L$98:$EQ$98)</f>
        <v>840000.00000000012</v>
      </c>
      <c r="F61" s="13">
        <f>-SUMIF('CF(M)'!$L$10:$EQ$10,$C61,'CF(M)'!$L$99:$EQ$99)</f>
        <v>0</v>
      </c>
      <c r="G61" s="1367">
        <f t="shared" ca="1" si="46"/>
        <v>7.0000000000000007E-2</v>
      </c>
      <c r="H61" s="948">
        <f>IFERROR(SUMIF('FS_Detail(M)'!$L$10:$EQ$10,$C61,'FS_Detail(M)'!$L$66:$EQ$66)/COUNTIF('FS_Detail(M)'!$L$10:$EQ$10,'A&amp;R'!$C61),)</f>
        <v>50000000</v>
      </c>
      <c r="I61" s="13">
        <f ca="1">-SUMIF('CF(M)'!$L$10:$EQ$10,$C61,'CF(M)'!$L$103:$EQ$103)</f>
        <v>1875000</v>
      </c>
      <c r="J61" s="13">
        <f>-SUMIF('CF(M)'!$L$10:$EQ$10,$C61,'CF(M)'!$L$104:$EQ$104)</f>
        <v>0</v>
      </c>
      <c r="K61" s="1705">
        <f t="shared" ca="1" si="47"/>
        <v>7.4999999999999997E-2</v>
      </c>
      <c r="L61" s="940" t="s">
        <v>132</v>
      </c>
      <c r="M61" s="111"/>
      <c r="N61" s="112">
        <f t="shared" ref="N61:S61" si="56">N59/$U$59</f>
        <v>0.69853066052039536</v>
      </c>
      <c r="O61" s="112">
        <f t="shared" si="56"/>
        <v>0</v>
      </c>
      <c r="P61" s="112">
        <f t="shared" si="56"/>
        <v>2.4783108913177272E-2</v>
      </c>
      <c r="Q61" s="112">
        <f t="shared" si="56"/>
        <v>0</v>
      </c>
      <c r="R61" s="112">
        <f t="shared" si="56"/>
        <v>0</v>
      </c>
      <c r="S61" s="112">
        <f t="shared" si="56"/>
        <v>0.27668623056642744</v>
      </c>
      <c r="T61" s="113"/>
      <c r="U61" s="112">
        <f>SUM(N61:S61)</f>
        <v>1</v>
      </c>
      <c r="V61" s="47" t="s">
        <v>123</v>
      </c>
      <c r="W61" s="36"/>
      <c r="X61" s="36"/>
      <c r="Y61" s="94"/>
      <c r="Z61" s="36"/>
      <c r="AA61" s="36"/>
      <c r="AB61" s="36"/>
      <c r="AC61" s="36"/>
      <c r="AD61" s="36"/>
      <c r="AE61" s="36"/>
      <c r="AF61" s="36"/>
      <c r="AG61" s="36"/>
      <c r="AH61" s="36"/>
      <c r="AI61" s="36"/>
      <c r="AJ61" s="841">
        <f>AJ58-AJ59-AJ60</f>
        <v>86960758.223787665</v>
      </c>
      <c r="AV61" s="1689" t="s">
        <v>1124</v>
      </c>
      <c r="AW61" s="1890">
        <f>$AZ$61*(1+AW$60)</f>
        <v>50.500285812824913</v>
      </c>
      <c r="AX61" s="1891">
        <f>$AZ$61*(1+AX$60)</f>
        <v>53.470890860638143</v>
      </c>
      <c r="AY61" s="1890">
        <f>$AZ$61*(1+AY$60)</f>
        <v>56.441495908451373</v>
      </c>
      <c r="AZ61" s="1890">
        <f>59412.1009562646/1000</f>
        <v>59.412100956264602</v>
      </c>
      <c r="BA61" s="1890">
        <f>$AZ$61*(1+BA$60)</f>
        <v>62.382706004077832</v>
      </c>
      <c r="BB61" s="1890">
        <f>$AZ$61*(1+BB$60)</f>
        <v>65.353311051891069</v>
      </c>
      <c r="BC61" s="1892">
        <f>$AZ$61*(1+BC$60)</f>
        <v>68.323916099704292</v>
      </c>
      <c r="BD61" s="1895">
        <v>59.412100956264602</v>
      </c>
    </row>
    <row r="62" spans="1:66" ht="11.25" customHeight="1">
      <c r="A62" s="1767">
        <f>IFERROR(IFERROR(SUMIF('FS_Detail(M)'!$L$10:$EQ$10,$C62,'FS_Detail(M)'!$L$79:$EQ$79)/COUNTIF('FS_Detail(M)'!$L$10:$EQ$10,'A&amp;R'!$C62),)/H92,)</f>
        <v>0.83333333333333337</v>
      </c>
      <c r="B62" s="871"/>
      <c r="C62" s="1368">
        <f t="shared" si="45"/>
        <v>20</v>
      </c>
      <c r="D62" s="836">
        <f>IFERROR(SUMIF('FS_Detail(M)'!$L$10:$EQ$10,$C62,'FS_Detail(M)'!$L$61:$EQ$61)/COUNTIF('FS_Detail(M)'!$L$10:$EQ$10,'A&amp;R'!$C62),)</f>
        <v>24000000</v>
      </c>
      <c r="E62" s="13">
        <f ca="1">-SUMIF('CF(M)'!$L$10:$EQ$10,$C62,'CF(M)'!$L$98:$EQ$98)</f>
        <v>840000.00000000012</v>
      </c>
      <c r="F62" s="13">
        <f>-SUMIF('CF(M)'!$L$10:$EQ$10,$C62,'CF(M)'!$L$99:$EQ$99)</f>
        <v>0</v>
      </c>
      <c r="G62" s="1367">
        <f t="shared" ca="1" si="46"/>
        <v>7.0000000000000007E-2</v>
      </c>
      <c r="H62" s="948">
        <f>IFERROR(SUMIF('FS_Detail(M)'!$L$10:$EQ$10,$C62,'FS_Detail(M)'!$L$66:$EQ$66)/COUNTIF('FS_Detail(M)'!$L$10:$EQ$10,'A&amp;R'!$C62),)</f>
        <v>50000000</v>
      </c>
      <c r="I62" s="13">
        <f ca="1">-SUMIF('CF(M)'!$L$10:$EQ$10,$C62,'CF(M)'!$L$103:$EQ$103)</f>
        <v>1875000</v>
      </c>
      <c r="J62" s="13">
        <f>-SUMIF('CF(M)'!$L$10:$EQ$10,$C62,'CF(M)'!$L$104:$EQ$104)</f>
        <v>11767613.337566935</v>
      </c>
      <c r="K62" s="1705">
        <f t="shared" ca="1" si="47"/>
        <v>0.54570453350267734</v>
      </c>
      <c r="L62" s="941" t="s">
        <v>24</v>
      </c>
      <c r="M62" s="784"/>
      <c r="N62" s="785" t="s">
        <v>494</v>
      </c>
      <c r="O62" s="785" t="s">
        <v>248</v>
      </c>
      <c r="P62" s="785" t="s">
        <v>497</v>
      </c>
      <c r="Q62" s="785" t="s">
        <v>236</v>
      </c>
      <c r="R62" s="785"/>
      <c r="S62" s="785"/>
      <c r="T62" s="786"/>
      <c r="U62" s="787"/>
      <c r="V62" s="12" t="s">
        <v>125</v>
      </c>
      <c r="W62" s="5"/>
      <c r="X62" s="5"/>
      <c r="Y62" s="89"/>
      <c r="Z62" s="5"/>
      <c r="AA62" s="5"/>
      <c r="AB62" s="5"/>
      <c r="AC62" s="5"/>
      <c r="AD62" s="5"/>
      <c r="AE62" s="5"/>
      <c r="AF62" s="5"/>
      <c r="AG62" s="5"/>
      <c r="AH62" s="5"/>
      <c r="AI62" s="280">
        <v>5.0000000000000001E-3</v>
      </c>
      <c r="AJ62" s="845">
        <f>$AJ$58*$AI62</f>
        <v>1879303.7911189385</v>
      </c>
      <c r="AV62" s="1690" t="s">
        <v>1115</v>
      </c>
      <c r="AW62" s="1214">
        <f t="shared" ref="AW62:AY66" si="57">AP43</f>
        <v>7.122499999999965E-2</v>
      </c>
      <c r="AX62" s="1203">
        <f t="shared" si="57"/>
        <v>7.122499999999965E-2</v>
      </c>
      <c r="AY62" s="1214">
        <f t="shared" si="57"/>
        <v>7.122499999999965E-2</v>
      </c>
      <c r="AZ62" s="1214">
        <f>AO43</f>
        <v>7.122499999999965E-2</v>
      </c>
      <c r="BA62" s="1214">
        <f t="shared" ref="BA62:BC66" si="58">AS43</f>
        <v>7.122499999999965E-2</v>
      </c>
      <c r="BB62" s="1214">
        <f t="shared" si="58"/>
        <v>7.122499999999965E-2</v>
      </c>
      <c r="BC62" s="1896">
        <f t="shared" si="58"/>
        <v>7.122499999999965E-2</v>
      </c>
      <c r="BD62" s="1893">
        <f ca="1">G68</f>
        <v>7.122499999999965E-2</v>
      </c>
    </row>
    <row r="63" spans="1:66" ht="11.25" customHeight="1" thickBot="1">
      <c r="B63" s="261"/>
      <c r="C63" s="1369" t="s">
        <v>59</v>
      </c>
      <c r="D63" s="1266">
        <f>SUM(D42:D62)/(O41/6)</f>
        <v>24000000</v>
      </c>
      <c r="E63" s="1090">
        <f ca="1">SUM(E42:E62)</f>
        <v>16800000.000000004</v>
      </c>
      <c r="F63" s="1090">
        <f>SUM(F42:F62)</f>
        <v>0</v>
      </c>
      <c r="G63" s="1267"/>
      <c r="H63" s="1090">
        <f>SUM(H42:H62)/(O44/6)</f>
        <v>50000000</v>
      </c>
      <c r="I63" s="1090">
        <f ca="1">SUM(I42:I62)</f>
        <v>37500000</v>
      </c>
      <c r="J63" s="1090">
        <f>SUM(J42:J62)</f>
        <v>11767613.337566935</v>
      </c>
      <c r="K63" s="1370"/>
      <c r="L63" s="118" t="s">
        <v>271</v>
      </c>
      <c r="M63" s="858" t="s">
        <v>511</v>
      </c>
      <c r="N63" s="867">
        <f>AC23/$K$31</f>
        <v>41666.098135259199</v>
      </c>
      <c r="O63" s="865">
        <f>N63*$K$31/1000</f>
        <v>1203361.2250000001</v>
      </c>
      <c r="P63" s="865">
        <f>O63*12</f>
        <v>14440334.700000001</v>
      </c>
      <c r="Q63" s="866">
        <v>2.5000000000000001E-2</v>
      </c>
      <c r="R63" s="114"/>
      <c r="S63" s="116"/>
      <c r="T63" s="5"/>
      <c r="U63" s="54"/>
      <c r="V63" s="12" t="s">
        <v>126</v>
      </c>
      <c r="W63" s="5"/>
      <c r="X63" s="5"/>
      <c r="Y63" s="89"/>
      <c r="Z63" s="5"/>
      <c r="AA63" s="5"/>
      <c r="AB63" s="5"/>
      <c r="AC63" s="5"/>
      <c r="AD63" s="5"/>
      <c r="AE63" s="5"/>
      <c r="AF63" s="5"/>
      <c r="AG63" s="5"/>
      <c r="AH63" s="5"/>
      <c r="AI63" s="280">
        <v>5.0000000000000001E-3</v>
      </c>
      <c r="AJ63" s="845">
        <f>$AJ$58*$AI63</f>
        <v>1879303.7911189385</v>
      </c>
      <c r="AL63" s="3033" t="s">
        <v>1238</v>
      </c>
      <c r="AM63" s="3055" t="s">
        <v>1239</v>
      </c>
      <c r="AN63" s="3056"/>
      <c r="AO63" s="3056"/>
      <c r="AP63" s="3056"/>
      <c r="AQ63" s="3056"/>
      <c r="AR63" s="3056"/>
      <c r="AS63" s="3033"/>
      <c r="AV63" s="1690" t="s">
        <v>1116</v>
      </c>
      <c r="AW63" s="1214">
        <f t="shared" si="57"/>
        <v>7.3474651882736719E-2</v>
      </c>
      <c r="AX63" s="1203">
        <f t="shared" si="57"/>
        <v>7.9831310532255673E-2</v>
      </c>
      <c r="AY63" s="1214">
        <f t="shared" si="57"/>
        <v>8.5935314452828759E-2</v>
      </c>
      <c r="AZ63" s="1214">
        <f>AO44</f>
        <v>9.1542830896573557E-2</v>
      </c>
      <c r="BA63" s="1214">
        <f t="shared" si="58"/>
        <v>9.6694400223311883E-2</v>
      </c>
      <c r="BB63" s="1214">
        <f t="shared" si="58"/>
        <v>0.10159953485166318</v>
      </c>
      <c r="BC63" s="1896">
        <f t="shared" si="58"/>
        <v>0.10592708926242222</v>
      </c>
      <c r="BD63" s="1893">
        <f ca="1">K68</f>
        <v>9.1542830896573557E-2</v>
      </c>
    </row>
    <row r="64" spans="1:66" ht="11.25" customHeight="1" thickBot="1">
      <c r="B64" s="261"/>
      <c r="C64" s="1371" t="s">
        <v>260</v>
      </c>
      <c r="D64" s="119"/>
      <c r="E64" s="5"/>
      <c r="F64" s="5"/>
      <c r="G64" s="952">
        <f>P41</f>
        <v>24000000</v>
      </c>
      <c r="H64" s="5"/>
      <c r="I64" s="5"/>
      <c r="J64" s="5"/>
      <c r="K64" s="1372">
        <f>P42+'FS_Detail(M)'!J84</f>
        <v>50000000</v>
      </c>
      <c r="L64" s="118" t="s">
        <v>272</v>
      </c>
      <c r="M64" s="858" t="s">
        <v>510</v>
      </c>
      <c r="N64" s="867">
        <f>AD23/K31</f>
        <v>2149.738358968099</v>
      </c>
      <c r="O64" s="865">
        <f>N64*$K$31/1000</f>
        <v>62086.73</v>
      </c>
      <c r="P64" s="865">
        <f>O64*12</f>
        <v>745040.76</v>
      </c>
      <c r="Q64" s="866">
        <v>2.5000000000000001E-2</v>
      </c>
      <c r="R64" s="114"/>
      <c r="S64" s="116"/>
      <c r="T64" s="5"/>
      <c r="U64" s="54"/>
      <c r="V64" s="12" t="s">
        <v>127</v>
      </c>
      <c r="W64" s="5"/>
      <c r="X64" s="5"/>
      <c r="Y64" s="96"/>
      <c r="Z64" s="5"/>
      <c r="AA64" s="5"/>
      <c r="AB64" s="5"/>
      <c r="AC64" s="5"/>
      <c r="AD64" s="5"/>
      <c r="AE64" s="5"/>
      <c r="AF64" s="5"/>
      <c r="AG64" s="5"/>
      <c r="AH64" s="13">
        <f>AJ62+AJ64</f>
        <v>14359626.387351407</v>
      </c>
      <c r="AI64" s="97">
        <v>0.15</v>
      </c>
      <c r="AJ64" s="845">
        <f>MAX((AJ61-AJ62-AJ63)*AI64,0)</f>
        <v>12480322.596232468</v>
      </c>
      <c r="AL64" s="3034"/>
      <c r="AM64" s="2108" t="s">
        <v>646</v>
      </c>
      <c r="AN64" s="2108">
        <v>0.02</v>
      </c>
      <c r="AO64" s="2108">
        <v>0.04</v>
      </c>
      <c r="AP64" s="2108">
        <v>0.06</v>
      </c>
      <c r="AQ64" s="2108">
        <v>0.08</v>
      </c>
      <c r="AR64" s="2108">
        <v>0.1</v>
      </c>
      <c r="AS64" s="2109">
        <v>0.12</v>
      </c>
      <c r="AV64" s="1690" t="s">
        <v>1117</v>
      </c>
      <c r="AW64" s="1897">
        <f t="shared" si="57"/>
        <v>0</v>
      </c>
      <c r="AX64" s="1898">
        <f t="shared" si="57"/>
        <v>0</v>
      </c>
      <c r="AY64" s="1897">
        <f t="shared" si="57"/>
        <v>0</v>
      </c>
      <c r="AZ64" s="1897">
        <f>AO45</f>
        <v>0</v>
      </c>
      <c r="BA64" s="1897">
        <f t="shared" si="58"/>
        <v>0</v>
      </c>
      <c r="BB64" s="1897">
        <f t="shared" si="58"/>
        <v>0</v>
      </c>
      <c r="BC64" s="1899">
        <f t="shared" si="58"/>
        <v>0</v>
      </c>
      <c r="BD64" s="1893">
        <f>G98</f>
        <v>0</v>
      </c>
    </row>
    <row r="65" spans="2:56" ht="11.25" customHeight="1" thickBot="1">
      <c r="B65" s="1964"/>
      <c r="C65" s="1373" t="s">
        <v>265</v>
      </c>
      <c r="D65" s="1354"/>
      <c r="E65" s="1353"/>
      <c r="F65" s="1353"/>
      <c r="G65" s="1355">
        <f ca="1">IFERROR((-'CF(M)'!J98/G64)*(12/O41),)</f>
        <v>7.0000000000000021E-2</v>
      </c>
      <c r="H65" s="1353"/>
      <c r="I65" s="1356"/>
      <c r="J65" s="1353"/>
      <c r="K65" s="1374">
        <f ca="1">(I63/H63)*(12/O41)</f>
        <v>7.5000000000000011E-2</v>
      </c>
      <c r="L65" s="118" t="s">
        <v>69</v>
      </c>
      <c r="M65" s="858" t="s">
        <v>510</v>
      </c>
      <c r="N65" s="791">
        <v>0</v>
      </c>
      <c r="O65" s="865">
        <f>N65*$K$31/1000</f>
        <v>0</v>
      </c>
      <c r="P65" s="865">
        <f>O65*12</f>
        <v>0</v>
      </c>
      <c r="Q65" s="866">
        <v>2.5000000000000001E-2</v>
      </c>
      <c r="R65" s="114"/>
      <c r="S65" s="116"/>
      <c r="T65" s="5"/>
      <c r="U65" s="54"/>
      <c r="V65" s="1825" t="s">
        <v>129</v>
      </c>
      <c r="W65" s="124"/>
      <c r="X65" s="124"/>
      <c r="Y65" s="1826"/>
      <c r="Z65" s="124"/>
      <c r="AA65" s="124"/>
      <c r="AB65" s="124"/>
      <c r="AC65" s="124"/>
      <c r="AD65" s="124"/>
      <c r="AE65" s="124"/>
      <c r="AF65" s="124"/>
      <c r="AG65" s="124"/>
      <c r="AH65" s="124"/>
      <c r="AI65" s="124"/>
      <c r="AJ65" s="846">
        <f>AJ61-SUM(AJ62:AJ64)</f>
        <v>70721828.045317322</v>
      </c>
      <c r="AL65" s="2110" t="s">
        <v>1240</v>
      </c>
      <c r="AM65" s="2193">
        <f>AO48</f>
        <v>1.6366367583310473</v>
      </c>
      <c r="AN65" s="2193">
        <f t="shared" ref="AN65:AS65" si="59">AV48</f>
        <v>1.5984644455397514</v>
      </c>
      <c r="AO65" s="2193">
        <f t="shared" si="59"/>
        <v>1.5602921327484554</v>
      </c>
      <c r="AP65" s="2193">
        <f t="shared" si="59"/>
        <v>1.5221198199571591</v>
      </c>
      <c r="AQ65" s="2193">
        <f t="shared" si="59"/>
        <v>1.4839475071658643</v>
      </c>
      <c r="AR65" s="2193">
        <f t="shared" si="59"/>
        <v>1.4457751943745685</v>
      </c>
      <c r="AS65" s="2195">
        <f t="shared" si="59"/>
        <v>1.4076028815832722</v>
      </c>
      <c r="AV65" s="1690" t="s">
        <v>225</v>
      </c>
      <c r="AW65" s="1897">
        <f t="shared" si="57"/>
        <v>-1.0313179989359877E-2</v>
      </c>
      <c r="AX65" s="1898">
        <f t="shared" si="57"/>
        <v>7.6909349383381231E-2</v>
      </c>
      <c r="AY65" s="1897">
        <f t="shared" si="57"/>
        <v>0.12648884564696283</v>
      </c>
      <c r="AZ65" s="1897">
        <f>AO46</f>
        <v>0.16181544839707418</v>
      </c>
      <c r="BA65" s="1897">
        <f t="shared" si="58"/>
        <v>0.18947938141181409</v>
      </c>
      <c r="BB65" s="1897">
        <f t="shared" si="58"/>
        <v>0.21231768558303021</v>
      </c>
      <c r="BC65" s="1899">
        <f t="shared" si="58"/>
        <v>0.23215701868976479</v>
      </c>
      <c r="BD65" s="1893">
        <f ca="1">K98</f>
        <v>0.16181544839707418</v>
      </c>
    </row>
    <row r="66" spans="2:56" ht="11.25" customHeight="1" thickBot="1">
      <c r="B66" s="1817"/>
      <c r="C66" s="1371" t="s">
        <v>266</v>
      </c>
      <c r="D66" s="119"/>
      <c r="E66" s="5"/>
      <c r="F66" s="5"/>
      <c r="G66" s="938">
        <f ca="1">IFERROR((-SUM('CF(M)'!J98:J99)/G64)*(12/O41),)</f>
        <v>7.0000000000000021E-2</v>
      </c>
      <c r="H66" s="5"/>
      <c r="I66" s="1375"/>
      <c r="J66" s="5"/>
      <c r="K66" s="1377">
        <f ca="1">(SUM(I63:J63)/H63)*(12/$O$41)</f>
        <v>9.8535226675133869E-2</v>
      </c>
      <c r="L66" s="939" t="s">
        <v>133</v>
      </c>
      <c r="M66" s="102"/>
      <c r="N66" s="49">
        <f>SUM(N63:N65)</f>
        <v>43815.836494227296</v>
      </c>
      <c r="O66" s="49">
        <f>SUM(O63:O65)</f>
        <v>1265447.9550000001</v>
      </c>
      <c r="P66" s="49">
        <f>SUM(P63:P65)</f>
        <v>15185375.460000001</v>
      </c>
      <c r="Q66" s="49"/>
      <c r="R66" s="49"/>
      <c r="S66" s="115"/>
      <c r="T66" s="36"/>
      <c r="U66" s="276"/>
      <c r="V66" s="1357" t="s">
        <v>483</v>
      </c>
      <c r="W66" s="1827"/>
      <c r="X66" s="1855" t="s">
        <v>1107</v>
      </c>
      <c r="Y66" s="1855"/>
      <c r="Z66" s="1827"/>
      <c r="AA66" s="1827"/>
      <c r="AB66" s="1827"/>
      <c r="AC66" s="1827"/>
      <c r="AD66" s="1827"/>
      <c r="AE66" s="1827"/>
      <c r="AF66" s="1827"/>
      <c r="AG66" s="1827"/>
      <c r="AH66" s="1827"/>
      <c r="AI66" s="1828"/>
      <c r="AJ66" s="11"/>
      <c r="AL66" s="2110" t="s">
        <v>1241</v>
      </c>
      <c r="AM66" s="2193">
        <f>AO50</f>
        <v>1.7386879167284843</v>
      </c>
      <c r="AN66" s="2193">
        <f t="shared" ref="AN66:AS66" si="60">AV50</f>
        <v>1.6984743043883617</v>
      </c>
      <c r="AO66" s="2193">
        <f t="shared" si="60"/>
        <v>1.6582606920482377</v>
      </c>
      <c r="AP66" s="2193">
        <f t="shared" si="60"/>
        <v>1.6180470797081152</v>
      </c>
      <c r="AQ66" s="2193">
        <f t="shared" si="60"/>
        <v>1.5778334673679923</v>
      </c>
      <c r="AR66" s="2193">
        <f t="shared" si="60"/>
        <v>1.5376198550278692</v>
      </c>
      <c r="AS66" s="2195">
        <f t="shared" si="60"/>
        <v>1.4974062426877464</v>
      </c>
      <c r="AV66" s="1883" t="s">
        <v>1125</v>
      </c>
      <c r="AW66" s="1900">
        <f t="shared" si="57"/>
        <v>5.8427040911186667E-2</v>
      </c>
      <c r="AX66" s="1901">
        <f t="shared" si="57"/>
        <v>7.4971834787922464E-2</v>
      </c>
      <c r="AY66" s="1900">
        <f t="shared" si="57"/>
        <v>8.9422610959577931E-2</v>
      </c>
      <c r="AZ66" s="1900">
        <f>AO47</f>
        <v>0.10214270785652579</v>
      </c>
      <c r="BA66" s="1900">
        <f t="shared" si="58"/>
        <v>0.11348173483274215</v>
      </c>
      <c r="BB66" s="1900">
        <f t="shared" si="58"/>
        <v>0.12378261086882292</v>
      </c>
      <c r="BC66" s="1902">
        <f t="shared" si="58"/>
        <v>0.13321406713475148</v>
      </c>
      <c r="BD66" s="1893">
        <f ca="1">'CF(M)'!I134</f>
        <v>0.10214270785652579</v>
      </c>
    </row>
    <row r="67" spans="2:56" ht="11.25" customHeight="1" thickBot="1">
      <c r="B67" s="1817"/>
      <c r="C67" s="1371" t="s">
        <v>630</v>
      </c>
      <c r="D67" s="119">
        <f>COUNTIF('FS_Detail(M)'!$L$10:$EQ$10,'A&amp;R'!$C62)</f>
        <v>6</v>
      </c>
      <c r="E67" s="5"/>
      <c r="F67" s="5"/>
      <c r="G67" s="938">
        <f ca="1">'CF(M)'!I125</f>
        <v>7.122499999999965E-2</v>
      </c>
      <c r="H67" s="5"/>
      <c r="I67" s="1375"/>
      <c r="J67" s="5"/>
      <c r="K67" s="1377">
        <f ca="1">'CF(M)'!I127</f>
        <v>7.5965190732597998E-2</v>
      </c>
      <c r="L67" s="941" t="s">
        <v>24</v>
      </c>
      <c r="M67" s="784"/>
      <c r="N67" s="785" t="s">
        <v>495</v>
      </c>
      <c r="O67" s="785" t="s">
        <v>496</v>
      </c>
      <c r="P67" s="785" t="s">
        <v>498</v>
      </c>
      <c r="Q67" s="785" t="s">
        <v>235</v>
      </c>
      <c r="R67" s="785" t="s">
        <v>499</v>
      </c>
      <c r="S67" s="785" t="s">
        <v>90</v>
      </c>
      <c r="T67" s="786" t="s">
        <v>468</v>
      </c>
      <c r="U67" s="785"/>
      <c r="V67" s="1829" t="s">
        <v>24</v>
      </c>
      <c r="W67" s="104"/>
      <c r="X67" s="961" t="s">
        <v>485</v>
      </c>
      <c r="Y67" s="962" t="s">
        <v>486</v>
      </c>
      <c r="Z67" s="761">
        <v>1</v>
      </c>
      <c r="AA67" s="761">
        <f t="shared" ref="AA67:AJ67" si="61">Z67+1</f>
        <v>2</v>
      </c>
      <c r="AB67" s="761">
        <f t="shared" si="61"/>
        <v>3</v>
      </c>
      <c r="AC67" s="761">
        <f t="shared" si="61"/>
        <v>4</v>
      </c>
      <c r="AD67" s="761">
        <f t="shared" si="61"/>
        <v>5</v>
      </c>
      <c r="AE67" s="761">
        <f t="shared" si="61"/>
        <v>6</v>
      </c>
      <c r="AF67" s="761">
        <f t="shared" si="61"/>
        <v>7</v>
      </c>
      <c r="AG67" s="761">
        <f t="shared" si="61"/>
        <v>8</v>
      </c>
      <c r="AH67" s="761">
        <f t="shared" si="61"/>
        <v>9</v>
      </c>
      <c r="AI67" s="1830">
        <f t="shared" si="61"/>
        <v>10</v>
      </c>
      <c r="AJ67" s="762">
        <f t="shared" si="61"/>
        <v>11</v>
      </c>
      <c r="AL67" s="2110" t="s">
        <v>1242</v>
      </c>
      <c r="AM67" s="2193">
        <f>AO49</f>
        <v>1.260474277585605</v>
      </c>
      <c r="AN67" s="2193">
        <f t="shared" ref="AN67:AS67" si="62">AV49</f>
        <v>1.2310754399116632</v>
      </c>
      <c r="AO67" s="2193">
        <f t="shared" si="62"/>
        <v>1.2016766022377217</v>
      </c>
      <c r="AP67" s="2193">
        <f t="shared" si="62"/>
        <v>1.1722777645637799</v>
      </c>
      <c r="AQ67" s="2193">
        <f t="shared" si="62"/>
        <v>1.1428789268898392</v>
      </c>
      <c r="AR67" s="2193">
        <f t="shared" si="62"/>
        <v>1.1134800892158974</v>
      </c>
      <c r="AS67" s="2195">
        <f t="shared" si="62"/>
        <v>1.0840812515419556</v>
      </c>
      <c r="AV67" s="1889"/>
      <c r="AW67" s="1889"/>
      <c r="AX67" s="1889"/>
      <c r="AY67" s="1889"/>
      <c r="AZ67" s="1889"/>
      <c r="BA67" s="1889"/>
    </row>
    <row r="68" spans="2:56" ht="11.25" customHeight="1" thickBot="1">
      <c r="B68" s="1965"/>
      <c r="C68" s="1378" t="s">
        <v>267</v>
      </c>
      <c r="D68" s="1350"/>
      <c r="E68" s="1379"/>
      <c r="F68" s="1379"/>
      <c r="G68" s="1351">
        <f ca="1">'CF(M)'!I126</f>
        <v>7.122499999999965E-2</v>
      </c>
      <c r="H68" s="1379"/>
      <c r="I68" s="1380">
        <v>0.105</v>
      </c>
      <c r="J68" s="1379"/>
      <c r="K68" s="1381">
        <f ca="1">'CF(M)'!I128</f>
        <v>9.1542830896573557E-2</v>
      </c>
      <c r="L68" s="118" t="s">
        <v>134</v>
      </c>
      <c r="M68" s="858" t="s">
        <v>510</v>
      </c>
      <c r="N68" s="1004">
        <f>5000/K31*10^3</f>
        <v>173.12381880702196</v>
      </c>
      <c r="O68" s="792">
        <f>$N68*$K$31/1000</f>
        <v>5000</v>
      </c>
      <c r="P68" s="792">
        <f t="shared" ref="P68:P76" si="63">O68*12</f>
        <v>60000</v>
      </c>
      <c r="Q68" s="793">
        <v>1.4999999999999999E-2</v>
      </c>
      <c r="R68" s="794">
        <f t="shared" ref="R68:R77" si="64">EOMONTH($D$37,12)</f>
        <v>46691</v>
      </c>
      <c r="S68" s="116"/>
      <c r="T68" s="789" t="s">
        <v>477</v>
      </c>
      <c r="U68" s="1268">
        <v>0.5</v>
      </c>
      <c r="V68" s="1831" t="s">
        <v>484</v>
      </c>
      <c r="W68" s="109"/>
      <c r="X68" s="963">
        <f>MIN(Z68:AA68)</f>
        <v>13105.364981746541</v>
      </c>
      <c r="Y68" s="790">
        <f>AVERAGE(Z68:AA68)</f>
        <v>13283.57568380562</v>
      </c>
      <c r="Z68" s="935">
        <f>SUMIF('NOI(M)'!$M$11:$ER$11,Z$67,'NOI(M)'!$M$33:$ER$33)/1000</f>
        <v>13105.364981746541</v>
      </c>
      <c r="AA68" s="935">
        <f>SUMIF('NOI(M)'!$M$11:$ER$11,AA$67,'NOI(M)'!$M$33:$ER$33)/1000</f>
        <v>13461.7863858647</v>
      </c>
      <c r="AB68" s="935">
        <f>SUMIF('NOI(M)'!$M$11:$ER$11,AB$67,'NOI(M)'!$M$33:$ER$33)/1000</f>
        <v>9076.1890386719206</v>
      </c>
      <c r="AC68" s="935">
        <f>SUMIF('NOI(M)'!$M$11:$ER$11,AC$67,'NOI(M)'!$M$33:$ER$33)/1000</f>
        <v>15215.117979256875</v>
      </c>
      <c r="AD68" s="935">
        <f>SUMIF('NOI(M)'!$M$11:$ER$11,AD$67,'NOI(M)'!$M$33:$ER$33)/1000</f>
        <v>15697.676364089473</v>
      </c>
      <c r="AE68" s="935">
        <f>SUMIF('NOI(M)'!$M$11:$ER$11,AE$67,'NOI(M)'!$M$33:$ER$33)/1000</f>
        <v>16136.820383685998</v>
      </c>
      <c r="AF68" s="935">
        <f>SUMIF('NOI(M)'!$M$11:$ER$11,AF$67,'NOI(M)'!$M$33:$ER$33)/1000</f>
        <v>16586.222341373079</v>
      </c>
      <c r="AG68" s="935">
        <f>SUMIF('NOI(M)'!$M$11:$ER$11,AG$67,'NOI(M)'!$M$33:$ER$33)/1000</f>
        <v>16147.668438126142</v>
      </c>
      <c r="AH68" s="935">
        <f>SUMIF('NOI(M)'!$M$11:$ER$11,AH$67,'NOI(M)'!$M$33:$ER$33)/1000</f>
        <v>17105.485515483077</v>
      </c>
      <c r="AI68" s="1832">
        <f>SUMIF('NOI(M)'!$M$11:$ER$11,AI$67,'NOI(M)'!$M$33:$ER$33)/1000</f>
        <v>17672.536372248</v>
      </c>
      <c r="AJ68" s="960">
        <f>SUMIF('NOI(M)'!$M$11:$ER$11,AJ$67,'NOI(M)'!$M$33:$ER$33)</f>
        <v>0</v>
      </c>
      <c r="AL68" s="2110" t="s">
        <v>1243</v>
      </c>
      <c r="AM68" s="2194">
        <f>AO51</f>
        <v>1.3390701294158891</v>
      </c>
      <c r="AN68" s="2194">
        <f t="shared" ref="AN68:AS68" si="65">AV51</f>
        <v>1.308099161847488</v>
      </c>
      <c r="AO68" s="2194">
        <f t="shared" si="65"/>
        <v>1.2771281942790864</v>
      </c>
      <c r="AP68" s="2194">
        <f t="shared" si="65"/>
        <v>1.2461572267106855</v>
      </c>
      <c r="AQ68" s="2194">
        <f t="shared" si="65"/>
        <v>1.2151862591422844</v>
      </c>
      <c r="AR68" s="2194">
        <f t="shared" si="65"/>
        <v>1.1842152915738833</v>
      </c>
      <c r="AS68" s="2195">
        <f t="shared" si="65"/>
        <v>1.1532443240054819</v>
      </c>
      <c r="AV68" s="1889"/>
      <c r="AW68" s="1889"/>
      <c r="AX68" s="1889"/>
      <c r="AY68" s="1889"/>
      <c r="AZ68" s="1889"/>
      <c r="BA68" s="1889"/>
    </row>
    <row r="69" spans="2:56" ht="11.25" customHeight="1" thickBot="1">
      <c r="B69" s="1966"/>
      <c r="C69" s="1371" t="s">
        <v>268</v>
      </c>
      <c r="D69" s="119"/>
      <c r="E69" s="5"/>
      <c r="F69" s="5"/>
      <c r="G69" s="1653">
        <f ca="1">IFERROR((SUM(E63:F63)+G64)/G64,)</f>
        <v>1.7</v>
      </c>
      <c r="H69" s="5"/>
      <c r="I69" s="5"/>
      <c r="J69" s="5"/>
      <c r="K69" s="1654">
        <f ca="1">(SUM(I63:J63)+K64)/K64</f>
        <v>1.9853522667513388</v>
      </c>
      <c r="L69" s="118" t="s">
        <v>135</v>
      </c>
      <c r="M69" s="858" t="s">
        <v>510</v>
      </c>
      <c r="N69" s="1004">
        <v>1838</v>
      </c>
      <c r="O69" s="792">
        <f>$N69*$K$31/1000</f>
        <v>53083.394667049994</v>
      </c>
      <c r="P69" s="792">
        <f t="shared" si="63"/>
        <v>637000.73600459995</v>
      </c>
      <c r="Q69" s="793">
        <v>0.02</v>
      </c>
      <c r="R69" s="794">
        <f t="shared" si="64"/>
        <v>46691</v>
      </c>
      <c r="S69" s="116"/>
      <c r="T69" s="789" t="s">
        <v>500</v>
      </c>
      <c r="U69" s="1268">
        <v>2</v>
      </c>
      <c r="V69" s="1833" t="s">
        <v>1075</v>
      </c>
      <c r="W69" s="1771"/>
      <c r="X69" s="1772"/>
      <c r="Y69" s="1773"/>
      <c r="Z69" s="1925">
        <f ca="1">('CF(Y)'!M116-'CF(Y)'!M35 +'CF(Y)'!M9+'CF(Y)'!M49)/1000</f>
        <v>35297.225507438474</v>
      </c>
      <c r="AA69" s="1925">
        <f ca="1">('CF(Y)'!N116-'CF(Y)'!N35 +'CF(Y)'!N9+'CF(Y)'!N49)/1000</f>
        <v>18497.870685756054</v>
      </c>
      <c r="AB69" s="1925">
        <f ca="1">('CF(Y)'!O116-'CF(Y)'!O35 +'CF(Y)'!O9+'CF(Y)'!O49)/1000</f>
        <v>16415.483310251238</v>
      </c>
      <c r="AC69" s="1925">
        <f ca="1">('CF(Y)'!P116-'CF(Y)'!P35 +'CF(Y)'!P9+'CF(Y)'!P49)/1000</f>
        <v>15179.764011869287</v>
      </c>
      <c r="AD69" s="1925">
        <f ca="1">('CF(Y)'!Q116-'CF(Y)'!Q35 +'CF(Y)'!Q9+'CF(Y)'!Q49)/1000</f>
        <v>14892.019932271398</v>
      </c>
      <c r="AE69" s="1925">
        <f ca="1">('CF(Y)'!R116-'CF(Y)'!R35 +'CF(Y)'!R9+'CF(Y)'!R49)/1000</f>
        <v>15329.145086549457</v>
      </c>
      <c r="AF69" s="1925">
        <f ca="1">('CF(Y)'!S116-'CF(Y)'!S35 +'CF(Y)'!S9+'CF(Y)'!S49)/1000</f>
        <v>15776.487835606616</v>
      </c>
      <c r="AG69" s="1925">
        <f ca="1">('CF(Y)'!T116-'CF(Y)'!T35 +'CF(Y)'!T9+'CF(Y)'!T49)/1000</f>
        <v>15328.094921393</v>
      </c>
      <c r="AH69" s="1925">
        <f ca="1">('CF(Y)'!U116-'CF(Y)'!U35 +'CF(Y)'!U9+'CF(Y)'!U49)/1000</f>
        <v>16451.758749517114</v>
      </c>
      <c r="AI69" s="1926">
        <f ca="1">('CF(Y)'!V116-'CF(Y)'!V35 +'CF(Y)'!V9+'CF(Y)'!V49)/1000</f>
        <v>377753.06668783462</v>
      </c>
      <c r="AJ69" s="1774"/>
      <c r="AV69" s="3053" t="s">
        <v>619</v>
      </c>
      <c r="AW69" s="1289" t="s">
        <v>1123</v>
      </c>
      <c r="AX69" s="3043">
        <v>0.02</v>
      </c>
      <c r="AY69" s="3043">
        <v>0.04</v>
      </c>
      <c r="AZ69" s="3043">
        <v>0.06</v>
      </c>
      <c r="BA69" s="3043">
        <v>0.08</v>
      </c>
      <c r="BB69" s="3043">
        <v>0.1</v>
      </c>
      <c r="BC69" s="3045">
        <v>0.12</v>
      </c>
      <c r="BD69" s="1937" t="s">
        <v>1113</v>
      </c>
    </row>
    <row r="70" spans="2:56" ht="11.25" customHeight="1" thickBot="1">
      <c r="B70" s="6" t="s">
        <v>274</v>
      </c>
      <c r="C70" s="1357"/>
      <c r="D70" s="1358" t="s">
        <v>1086</v>
      </c>
      <c r="E70" s="1358"/>
      <c r="F70" s="1358"/>
      <c r="G70" s="1358"/>
      <c r="H70" s="1359" t="s">
        <v>19</v>
      </c>
      <c r="I70" s="1360"/>
      <c r="J70" s="1360"/>
      <c r="K70" s="1361"/>
      <c r="L70" s="2705" t="s">
        <v>78</v>
      </c>
      <c r="M70" s="2706" t="s">
        <v>510</v>
      </c>
      <c r="N70" s="2707">
        <v>90</v>
      </c>
      <c r="O70" s="2708">
        <f>$N70*$K$31/1000</f>
        <v>2599.2957127499999</v>
      </c>
      <c r="P70" s="2708">
        <f t="shared" si="63"/>
        <v>31191.548553000001</v>
      </c>
      <c r="Q70" s="2709">
        <v>0.02</v>
      </c>
      <c r="R70" s="2710">
        <f t="shared" si="64"/>
        <v>46691</v>
      </c>
      <c r="S70" s="116"/>
      <c r="U70" s="54"/>
      <c r="V70" s="1834" t="s">
        <v>795</v>
      </c>
      <c r="W70" s="1835"/>
      <c r="X70" s="1768">
        <f>MIN(Z70:AA70)</f>
        <v>7640</v>
      </c>
      <c r="Y70" s="1769">
        <f>AVERAGE(Z70:AA70)</f>
        <v>7640</v>
      </c>
      <c r="Z70" s="13">
        <f>(-SUMIF('CF(M)'!$L$11:$EQ$11,Z$67,'CF(M)'!$L$41:$EQ$41)-SUMIF('CF(M)'!$L$11:$EQ$11,Z$67,'CF(M)'!$L$42:$EQ$42)-SUMIF('CF(M)'!$L$11:$EQ$11,Z$67,'CF(M)'!$L$43:$EQ$43)-SUMIF('CF(M)'!$L$11:$EQ$11,Z$67,'CF(M)'!$L$79:$EQ$79))/1000</f>
        <v>7640</v>
      </c>
      <c r="AA70" s="13">
        <f>(-SUMIF('CF(M)'!$L$11:$EQ$11,AA$67,'CF(M)'!$L$41:$EQ$41)-SUMIF('CF(M)'!$L$11:$EQ$11,AA$67,'CF(M)'!$L$42:$EQ$42)-SUMIF('CF(M)'!$L$11:$EQ$11,AA$67,'CF(M)'!$L$43:$EQ$43)-SUMIF('CF(M)'!$L$11:$EQ$11,AA$67,'CF(M)'!$L$79:$EQ$79))/1000</f>
        <v>7640</v>
      </c>
      <c r="AB70" s="13">
        <f>(-SUMIF('CF(M)'!$L$11:$EQ$11,AB$67,'CF(M)'!$L$41:$EQ$41)-SUMIF('CF(M)'!$L$11:$EQ$11,AB$67,'CF(M)'!$L$42:$EQ$42)-SUMIF('CF(M)'!$L$11:$EQ$11,AB$67,'CF(M)'!$L$43:$EQ$43)-SUMIF('CF(M)'!$L$11:$EQ$11,AB$67,'CF(M)'!$L$79:$EQ$79))/1000</f>
        <v>10224</v>
      </c>
      <c r="AC70" s="13">
        <f>(-SUMIF('CF(M)'!$L$11:$EQ$11,AC$67,'CF(M)'!$L$41:$EQ$41)-SUMIF('CF(M)'!$L$11:$EQ$11,AC$67,'CF(M)'!$L$42:$EQ$42)-SUMIF('CF(M)'!$L$11:$EQ$11,AC$67,'CF(M)'!$L$43:$EQ$43)-SUMIF('CF(M)'!$L$11:$EQ$11,AC$67,'CF(M)'!$L$79:$EQ$79))/1000</f>
        <v>10224</v>
      </c>
      <c r="AD70" s="13">
        <f>(-SUMIF('CF(M)'!$L$11:$EQ$11,AD$67,'CF(M)'!$L$41:$EQ$41)-SUMIF('CF(M)'!$L$11:$EQ$11,AD$67,'CF(M)'!$L$42:$EQ$42)-SUMIF('CF(M)'!$L$11:$EQ$11,AD$67,'CF(M)'!$L$43:$EQ$43)-SUMIF('CF(M)'!$L$11:$EQ$11,AD$67,'CF(M)'!$L$79:$EQ$79))/1000</f>
        <v>10224</v>
      </c>
      <c r="AE70" s="13">
        <f>(-SUMIF('CF(M)'!$L$11:$EQ$11,AE$67,'CF(M)'!$L$41:$EQ$41)-SUMIF('CF(M)'!$L$11:$EQ$11,AE$67,'CF(M)'!$L$42:$EQ$42)-SUMIF('CF(M)'!$L$11:$EQ$11,AE$67,'CF(M)'!$L$43:$EQ$43)-SUMIF('CF(M)'!$L$11:$EQ$11,AE$67,'CF(M)'!$L$79:$EQ$79))/1000</f>
        <v>9585</v>
      </c>
      <c r="AF70" s="13">
        <f>(-SUMIF('CF(M)'!$L$11:$EQ$11,AF$67,'CF(M)'!$L$41:$EQ$41)-SUMIF('CF(M)'!$L$11:$EQ$11,AF$67,'CF(M)'!$L$42:$EQ$42)-SUMIF('CF(M)'!$L$11:$EQ$11,AF$67,'CF(M)'!$L$43:$EQ$43)-SUMIF('CF(M)'!$L$11:$EQ$11,AF$67,'CF(M)'!$L$79:$EQ$79))/1000</f>
        <v>9585</v>
      </c>
      <c r="AG70" s="13">
        <f>(-SUMIF('CF(M)'!$L$11:$EQ$11,AG$67,'CF(M)'!$L$41:$EQ$41)-SUMIF('CF(M)'!$L$11:$EQ$11,AG$67,'CF(M)'!$L$42:$EQ$42)-SUMIF('CF(M)'!$L$11:$EQ$11,AG$67,'CF(M)'!$L$43:$EQ$43)-SUMIF('CF(M)'!$L$11:$EQ$11,AG$67,'CF(M)'!$L$79:$EQ$79))/1000</f>
        <v>9585</v>
      </c>
      <c r="AH70" s="13">
        <f>(-SUMIF('CF(M)'!$L$11:$EQ$11,AH$67,'CF(M)'!$L$41:$EQ$41)-SUMIF('CF(M)'!$L$11:$EQ$11,AH$67,'CF(M)'!$L$42:$EQ$42)-SUMIF('CF(M)'!$L$11:$EQ$11,AH$67,'CF(M)'!$L$43:$EQ$43)-SUMIF('CF(M)'!$L$11:$EQ$11,AH$67,'CF(M)'!$L$79:$EQ$79))/1000</f>
        <v>9585</v>
      </c>
      <c r="AI70" s="1372">
        <f>(-SUMIF('CF(M)'!$L$11:$EQ$11,AI$67,'CF(M)'!$L$41:$EQ$41)-SUMIF('CF(M)'!$L$11:$EQ$11,AI$67,'CF(M)'!$L$42:$EQ$42)-SUMIF('CF(M)'!$L$11:$EQ$11,AI$67,'CF(M)'!$L$43:$EQ$43)-SUMIF('CF(M)'!$L$11:$EQ$11,AI$67,'CF(M)'!$L$79:$EQ$79))/1000</f>
        <v>222585</v>
      </c>
      <c r="AJ70" s="1770">
        <f>-SUMIF('CF(M)'!$L$11:$EQ$11,AJ$67,'CF(M)'!$L$41:$EQ$41)-SUMIF('CF(M)'!$L$11:$EQ$11,AJ$67,'CF(M)'!$L$42:$EQ$42)-SUMIF('CF(M)'!$L$11:$EQ$11,AJ$67,'CF(M)'!$L$43:$EQ$43)</f>
        <v>0</v>
      </c>
      <c r="AV70" s="3054"/>
      <c r="AW70" s="1894">
        <f>X23</f>
        <v>6.7500938244372463E-3</v>
      </c>
      <c r="AX70" s="3044"/>
      <c r="AY70" s="3044"/>
      <c r="AZ70" s="3044"/>
      <c r="BA70" s="3044"/>
      <c r="BB70" s="3044"/>
      <c r="BC70" s="3046"/>
      <c r="BD70" s="1881">
        <v>0</v>
      </c>
    </row>
    <row r="71" spans="2:56" ht="11.25" customHeight="1">
      <c r="B71" s="101" t="s">
        <v>24</v>
      </c>
      <c r="C71" s="1362"/>
      <c r="D71" s="285" t="s">
        <v>259</v>
      </c>
      <c r="E71" s="16" t="s">
        <v>261</v>
      </c>
      <c r="F71" s="16" t="s">
        <v>262</v>
      </c>
      <c r="G71" s="16" t="s">
        <v>263</v>
      </c>
      <c r="H71" s="945" t="s">
        <v>260</v>
      </c>
      <c r="I71" s="18" t="s">
        <v>261</v>
      </c>
      <c r="J71" s="18" t="s">
        <v>262</v>
      </c>
      <c r="K71" s="1363" t="s">
        <v>263</v>
      </c>
      <c r="L71" s="118" t="s">
        <v>136</v>
      </c>
      <c r="M71" s="858" t="s">
        <v>510</v>
      </c>
      <c r="N71" s="791">
        <v>0</v>
      </c>
      <c r="O71" s="792">
        <f>$N71*$K$31/1000</f>
        <v>0</v>
      </c>
      <c r="P71" s="792">
        <f t="shared" si="63"/>
        <v>0</v>
      </c>
      <c r="Q71" s="793">
        <v>0.02</v>
      </c>
      <c r="R71" s="794">
        <f t="shared" si="64"/>
        <v>46691</v>
      </c>
      <c r="S71" s="116"/>
      <c r="T71" s="117"/>
      <c r="U71" s="54"/>
      <c r="V71" s="1834" t="s">
        <v>798</v>
      </c>
      <c r="W71" s="1836" t="s">
        <v>1078</v>
      </c>
      <c r="X71" s="1775">
        <f t="shared" ref="X70:X81" si="66">MIN(Z71:AA71)</f>
        <v>1.7153619086055683</v>
      </c>
      <c r="Y71" s="1776">
        <f>AVERAGE(Z71:AA71)</f>
        <v>1.7386879167284843</v>
      </c>
      <c r="Z71" s="1930">
        <f t="shared" ref="Z71:AJ71" si="67">IFERROR(Z68/Z70,)</f>
        <v>1.7153619086055683</v>
      </c>
      <c r="AA71" s="1930">
        <f t="shared" si="67"/>
        <v>1.7620139248514004</v>
      </c>
      <c r="AB71" s="1931">
        <f t="shared" si="67"/>
        <v>0.8877336696666589</v>
      </c>
      <c r="AC71" s="1931">
        <f t="shared" si="67"/>
        <v>1.4881766411636224</v>
      </c>
      <c r="AD71" s="1931">
        <f t="shared" si="67"/>
        <v>1.5353752312294087</v>
      </c>
      <c r="AE71" s="1931">
        <f t="shared" si="67"/>
        <v>1.683549335804486</v>
      </c>
      <c r="AF71" s="1931">
        <f t="shared" si="67"/>
        <v>1.7304352990477911</v>
      </c>
      <c r="AG71" s="1931">
        <f t="shared" si="67"/>
        <v>1.6846811098723153</v>
      </c>
      <c r="AH71" s="1931">
        <f t="shared" si="67"/>
        <v>1.7846098607702741</v>
      </c>
      <c r="AI71" s="1932">
        <f t="shared" si="67"/>
        <v>7.9396798401725185E-2</v>
      </c>
      <c r="AJ71" s="1777">
        <f t="shared" si="67"/>
        <v>0</v>
      </c>
      <c r="AV71" s="1690" t="s">
        <v>1115</v>
      </c>
      <c r="AW71" s="1214">
        <f>AZ62</f>
        <v>7.122499999999965E-2</v>
      </c>
      <c r="AX71" s="1203">
        <f t="shared" ref="AX71:BC75" si="68">AV43</f>
        <v>7.122499999999965E-2</v>
      </c>
      <c r="AY71" s="1214">
        <f t="shared" si="68"/>
        <v>7.122499999999965E-2</v>
      </c>
      <c r="AZ71" s="1214">
        <f t="shared" si="68"/>
        <v>7.122499999999965E-2</v>
      </c>
      <c r="BA71" s="1214">
        <f t="shared" si="68"/>
        <v>7.122499999999965E-2</v>
      </c>
      <c r="BB71" s="1214">
        <f t="shared" si="68"/>
        <v>7.11046837308138E-2</v>
      </c>
      <c r="BC71" s="1896">
        <f t="shared" si="68"/>
        <v>7.0654548640993298E-2</v>
      </c>
      <c r="BD71" s="1903">
        <f ca="1">BD62</f>
        <v>7.122499999999965E-2</v>
      </c>
    </row>
    <row r="72" spans="2:56" ht="11.25" customHeight="1" thickBot="1">
      <c r="B72" s="105"/>
      <c r="C72" s="1364">
        <v>0</v>
      </c>
      <c r="D72" s="934">
        <f>IFERROR(SUMIF('FS_Detail(M)'!$L$10:$EQ$10,$C42,'FS_Detail(M)'!$L$71:$EQ$71)/COUNTIF('FS_Detail(M)'!$L$10:$EQ$10,'A&amp;R'!$C42),)</f>
        <v>0</v>
      </c>
      <c r="E72" s="935">
        <f ca="1">-SUMIF('CF(M)'!$L$10:$EQ$10,$C72,'CF(M)'!$L$98:$EQ$98)</f>
        <v>0</v>
      </c>
      <c r="F72" s="935">
        <f>-SUMIF('CF(M)'!$L$10:$EQ$10,$C72,'CF(M)'!$L$99:$EQ$99)</f>
        <v>0</v>
      </c>
      <c r="G72" s="930"/>
      <c r="H72" s="947">
        <f>IFERROR(SUMIF('FS_Detail(M)'!$L$10:$EQ$10,$C72,'FS_Detail(M)'!$L$76:$EQ$76)/COUNTIF('FS_Detail(M)'!$L$10:$EQ$10,'A&amp;R'!$C72),)+IFERROR(SUMIF('FS_Detail(M)'!$L$10:$EQ$10,$C72,'FS_Detail(M)'!$L$83:$EQ$83)/COUNTIF('FS_Detail(M)'!$L$10:$EQ$10,'A&amp;R'!$C72),)</f>
        <v>0</v>
      </c>
      <c r="I72" s="935">
        <f ca="1">-SUMIF('CF(M)'!$L$10:$EQ$10,$C72,'CF(M)'!$L$113:$EQ$113)</f>
        <v>0</v>
      </c>
      <c r="J72" s="935">
        <f>-SUMIF('CF(M)'!$L$10:$EQ$10,$C72,'CF(M)'!$L$114:$EQ$114)</f>
        <v>0</v>
      </c>
      <c r="K72" s="1365"/>
      <c r="L72" s="118" t="s">
        <v>137</v>
      </c>
      <c r="M72" s="858" t="s">
        <v>510</v>
      </c>
      <c r="N72" s="791">
        <v>2141.7860317670779</v>
      </c>
      <c r="O72" s="792">
        <f>$N72*$K$31/1000</f>
        <v>61857.058333333342</v>
      </c>
      <c r="P72" s="792">
        <f t="shared" si="63"/>
        <v>742284.70000000007</v>
      </c>
      <c r="Q72" s="1005">
        <v>-0.02</v>
      </c>
      <c r="R72" s="794">
        <f t="shared" si="64"/>
        <v>46691</v>
      </c>
      <c r="S72" s="116"/>
      <c r="T72" s="117"/>
      <c r="U72" s="277"/>
      <c r="V72" s="1837" t="s">
        <v>798</v>
      </c>
      <c r="W72" s="1779" t="s">
        <v>1080</v>
      </c>
      <c r="X72" s="1780">
        <f t="shared" ca="1" si="66"/>
        <v>2.4211872625335147</v>
      </c>
      <c r="Y72" s="1781">
        <f ca="1">AVERAGE(Z72:AA72)</f>
        <v>3.5206214786122074</v>
      </c>
      <c r="Z72" s="1933">
        <f t="shared" ref="Z72:AI72" ca="1" si="69">Z69/Z70</f>
        <v>4.6200556946909002</v>
      </c>
      <c r="AA72" s="1933">
        <f t="shared" ca="1" si="69"/>
        <v>2.4211872625335147</v>
      </c>
      <c r="AB72" s="1934">
        <f t="shared" ca="1" si="69"/>
        <v>1.6055832658696438</v>
      </c>
      <c r="AC72" s="1934">
        <f t="shared" ca="1" si="69"/>
        <v>1.4847187022563857</v>
      </c>
      <c r="AD72" s="1934">
        <f t="shared" ca="1" si="69"/>
        <v>1.4565747195101133</v>
      </c>
      <c r="AE72" s="1934">
        <f t="shared" ca="1" si="69"/>
        <v>1.5992848290609762</v>
      </c>
      <c r="AF72" s="1934">
        <f t="shared" ca="1" si="69"/>
        <v>1.6459559557231733</v>
      </c>
      <c r="AG72" s="1934">
        <f t="shared" ca="1" si="69"/>
        <v>1.5991752656643714</v>
      </c>
      <c r="AH72" s="1934">
        <f t="shared" ca="1" si="69"/>
        <v>1.7164067552965168</v>
      </c>
      <c r="AI72" s="1935">
        <f t="shared" ca="1" si="69"/>
        <v>1.6971182545447117</v>
      </c>
      <c r="AJ72" s="1782"/>
      <c r="AV72" s="1690" t="s">
        <v>1116</v>
      </c>
      <c r="AW72" s="1214">
        <f t="shared" ref="AW72:AW75" si="70">AZ63</f>
        <v>9.1542830896573557E-2</v>
      </c>
      <c r="AX72" s="1203">
        <f t="shared" si="68"/>
        <v>8.7720357585056474E-2</v>
      </c>
      <c r="AY72" s="1214">
        <f t="shared" si="68"/>
        <v>8.3622158348574782E-2</v>
      </c>
      <c r="AZ72" s="1214">
        <f t="shared" si="68"/>
        <v>7.9525564952813488E-2</v>
      </c>
      <c r="BA72" s="1214">
        <f t="shared" si="68"/>
        <v>7.5334435374988518E-2</v>
      </c>
      <c r="BB72" s="1214">
        <f t="shared" si="68"/>
        <v>7.1013425281808873E-2</v>
      </c>
      <c r="BC72" s="1896">
        <f t="shared" si="68"/>
        <v>6.690449660704445E-2</v>
      </c>
      <c r="BD72" s="1903">
        <f ca="1">BD63</f>
        <v>9.1542830896573557E-2</v>
      </c>
    </row>
    <row r="73" spans="2:56" ht="11.25" customHeight="1" thickBot="1">
      <c r="B73" s="870"/>
      <c r="C73" s="1366">
        <f t="shared" ref="C73:C92" si="71">C72+1</f>
        <v>1</v>
      </c>
      <c r="D73" s="1726">
        <f>IFERROR(SUMIF('FS_Detail(M)'!$L$10:$EQ$10,$C43,'FS_Detail(M)'!$L$71:$EQ$71)/COUNTIF('FS_Detail(M)'!$L$10:$EQ$10,'A&amp;R'!$C43),)</f>
        <v>10000000</v>
      </c>
      <c r="E73" s="1727">
        <f>-SUMIF('CF(M)'!$L$10:$EQ$10,$C73,'CF(M)'!$L$108:$EQ$108)</f>
        <v>0</v>
      </c>
      <c r="F73" s="1727">
        <f>-SUMIF('CF(M)'!$L$10:$EQ$10,$C73,'CF(M)'!$L$99:$EQ$99)</f>
        <v>0</v>
      </c>
      <c r="G73" s="1728">
        <f>IFERROR(SUM(E73:F73)/D73*(12/6),)</f>
        <v>0</v>
      </c>
      <c r="H73" s="1669">
        <f>IFERROR(SUMIF('FS_Detail(M)'!$L$10:$EQ$10,$C73,'FS_Detail(M)'!$L$76:$EQ$76)/COUNTIF('FS_Detail(M)'!$L$10:$EQ$10,'A&amp;R'!$C73),)+IFERROR(SUMIF('FS_Detail(M)'!$L$10:$EQ$10,$C73,'FS_Detail(M)'!$L$83:$EQ$83)/COUNTIF('FS_Detail(M)'!$L$10:$EQ$10,'A&amp;R'!$C73),)</f>
        <v>14800000</v>
      </c>
      <c r="I73" s="1669">
        <f ca="1">-SUMIF('CF(M)'!$L$10:$EQ$10,$C73,'CF(M)'!$L$113:$EQ$113)</f>
        <v>555000</v>
      </c>
      <c r="J73" s="1669">
        <f>-SUMIF('CF(M)'!$L$10:$EQ$10,$C73,'CF(M)'!$L$114:$EQ$114)</f>
        <v>0</v>
      </c>
      <c r="K73" s="1856">
        <f t="shared" ref="K73:K92" ca="1" si="72">IFERROR(SUM(I73:J73)/H73*(12/6),)</f>
        <v>7.4999999999999997E-2</v>
      </c>
      <c r="L73" s="118" t="s">
        <v>86</v>
      </c>
      <c r="M73" s="858" t="s">
        <v>510</v>
      </c>
      <c r="N73" s="1609">
        <f>O73/$K$31*1000</f>
        <v>595.11809003194378</v>
      </c>
      <c r="O73" s="792">
        <f>P73/12</f>
        <v>17187.643333333333</v>
      </c>
      <c r="P73" s="792">
        <f>토지분재산세!I7/1000*($U$73=0)+('A&amp;R'!$U$73=1)*토지분재산세!J42/1000</f>
        <v>206251.72</v>
      </c>
      <c r="Q73" s="793">
        <v>0.02</v>
      </c>
      <c r="R73" s="794">
        <f t="shared" si="64"/>
        <v>46691</v>
      </c>
      <c r="S73" s="116"/>
      <c r="T73" s="1619" t="s">
        <v>1022</v>
      </c>
      <c r="U73" s="1741">
        <v>0</v>
      </c>
      <c r="V73" s="1838" t="s">
        <v>796</v>
      </c>
      <c r="W73" s="1254"/>
      <c r="X73" s="1255">
        <f t="shared" si="66"/>
        <v>9920</v>
      </c>
      <c r="Y73" s="1256">
        <f>AVERAGE(Z73:AA73)</f>
        <v>9920</v>
      </c>
      <c r="Z73" s="1257">
        <f>Z70+(-SUMIF('CF(M)'!$L$11:$EQ$11,Z$67,'CF(M)'!$L$44:$EQ$44)-SUMIF('CF(M)'!$L$11:$EQ$11,Z$67,'CF(M)'!$L$45:$EQ$45)-SUMIF('CF(M)'!$L$11:$EQ$11,Z$67,'CF(M)'!$L$46:$EQ$46)-SUMIF('CF(M)'!$L$11:$EQ$11,Z$67,'CF(M)'!$L$88:$EQ$88))/1000</f>
        <v>9920</v>
      </c>
      <c r="AA73" s="1257">
        <f>AA70+(-SUMIF('CF(M)'!$L$11:$EQ$11,AA$67,'CF(M)'!$L$44:$EQ$44)-SUMIF('CF(M)'!$L$11:$EQ$11,AA$67,'CF(M)'!$L$45:$EQ$45)-SUMIF('CF(M)'!$L$11:$EQ$11,AA$67,'CF(M)'!$L$46:$EQ$46)-SUMIF('CF(M)'!$L$11:$EQ$11,AA$67,'CF(M)'!$L$88:$EQ$88))/1000</f>
        <v>9920</v>
      </c>
      <c r="AB73" s="1257">
        <f>AB70+(-SUMIF('CF(M)'!$L$11:$EQ$11,AB$67,'CF(M)'!$L$44:$EQ$44)-SUMIF('CF(M)'!$L$11:$EQ$11,AB$67,'CF(M)'!$L$45:$EQ$45)-SUMIF('CF(M)'!$L$11:$EQ$11,AB$67,'CF(M)'!$L$46:$EQ$46)-SUMIF('CF(M)'!$L$11:$EQ$11,AB$67,'CF(M)'!$L$88:$EQ$88))/1000</f>
        <v>10224</v>
      </c>
      <c r="AC73" s="1257">
        <f>AC70+(-SUMIF('CF(M)'!$L$11:$EQ$11,AC$67,'CF(M)'!$L$44:$EQ$44)-SUMIF('CF(M)'!$L$11:$EQ$11,AC$67,'CF(M)'!$L$45:$EQ$45)-SUMIF('CF(M)'!$L$11:$EQ$11,AC$67,'CF(M)'!$L$46:$EQ$46)-SUMIF('CF(M)'!$L$11:$EQ$11,AC$67,'CF(M)'!$L$88:$EQ$88))/1000</f>
        <v>10224</v>
      </c>
      <c r="AD73" s="1257">
        <f>AD70+(-SUMIF('CF(M)'!$L$11:$EQ$11,AD$67,'CF(M)'!$L$44:$EQ$44)-SUMIF('CF(M)'!$L$11:$EQ$11,AD$67,'CF(M)'!$L$45:$EQ$45)-SUMIF('CF(M)'!$L$11:$EQ$11,AD$67,'CF(M)'!$L$46:$EQ$46)-SUMIF('CF(M)'!$L$11:$EQ$11,AD$67,'CF(M)'!$L$88:$EQ$88))/1000</f>
        <v>10224</v>
      </c>
      <c r="AE73" s="1257">
        <f>AE70+(-SUMIF('CF(M)'!$L$11:$EQ$11,AE$67,'CF(M)'!$L$44:$EQ$44)-SUMIF('CF(M)'!$L$11:$EQ$11,AE$67,'CF(M)'!$L$45:$EQ$45)-SUMIF('CF(M)'!$L$11:$EQ$11,AE$67,'CF(M)'!$L$46:$EQ$46)-SUMIF('CF(M)'!$L$11:$EQ$11,AE$67,'CF(M)'!$L$88:$EQ$88))/1000</f>
        <v>9585</v>
      </c>
      <c r="AF73" s="1257">
        <f>AF70+(-SUMIF('CF(M)'!$L$11:$EQ$11,AF$67,'CF(M)'!$L$44:$EQ$44)-SUMIF('CF(M)'!$L$11:$EQ$11,AF$67,'CF(M)'!$L$45:$EQ$45)-SUMIF('CF(M)'!$L$11:$EQ$11,AF$67,'CF(M)'!$L$46:$EQ$46)-SUMIF('CF(M)'!$L$11:$EQ$11,AF$67,'CF(M)'!$L$88:$EQ$88))/1000</f>
        <v>9585</v>
      </c>
      <c r="AG73" s="1257">
        <f>AG70+(-SUMIF('CF(M)'!$L$11:$EQ$11,AG$67,'CF(M)'!$L$44:$EQ$44)-SUMIF('CF(M)'!$L$11:$EQ$11,AG$67,'CF(M)'!$L$45:$EQ$45)-SUMIF('CF(M)'!$L$11:$EQ$11,AG$67,'CF(M)'!$L$46:$EQ$46)-SUMIF('CF(M)'!$L$11:$EQ$11,AG$67,'CF(M)'!$L$88:$EQ$88))/1000</f>
        <v>9585</v>
      </c>
      <c r="AH73" s="1257">
        <f>AH70+(-SUMIF('CF(M)'!$L$11:$EQ$11,AH$67,'CF(M)'!$L$44:$EQ$44)-SUMIF('CF(M)'!$L$11:$EQ$11,AH$67,'CF(M)'!$L$45:$EQ$45)-SUMIF('CF(M)'!$L$11:$EQ$11,AH$67,'CF(M)'!$L$46:$EQ$46)-SUMIF('CF(M)'!$L$11:$EQ$11,AH$67,'CF(M)'!$L$88:$EQ$88))/1000</f>
        <v>9585</v>
      </c>
      <c r="AI73" s="1839">
        <f>AI70+(-SUMIF('CF(M)'!$L$11:$EQ$11,AI$67,'CF(M)'!$L$44:$EQ$44)-SUMIF('CF(M)'!$L$11:$EQ$11,AI$67,'CF(M)'!$L$45:$EQ$45)-SUMIF('CF(M)'!$L$11:$EQ$11,AI$67,'CF(M)'!$L$46:$EQ$46)-SUMIF('CF(M)'!$L$11:$EQ$11,AI$67,'CF(M)'!$L$88:$EQ$88))/1000</f>
        <v>222585</v>
      </c>
      <c r="AJ73" s="1258"/>
      <c r="AV73" s="1690" t="s">
        <v>1117</v>
      </c>
      <c r="AW73" s="1897">
        <f t="shared" si="70"/>
        <v>0</v>
      </c>
      <c r="AX73" s="1898">
        <f t="shared" si="68"/>
        <v>0</v>
      </c>
      <c r="AY73" s="1897">
        <f t="shared" si="68"/>
        <v>0</v>
      </c>
      <c r="AZ73" s="1897">
        <f t="shared" si="68"/>
        <v>0</v>
      </c>
      <c r="BA73" s="1897">
        <f t="shared" si="68"/>
        <v>0</v>
      </c>
      <c r="BB73" s="1897">
        <f t="shared" si="68"/>
        <v>0</v>
      </c>
      <c r="BC73" s="1899">
        <f t="shared" si="68"/>
        <v>0</v>
      </c>
      <c r="BD73" s="1903">
        <f>BD64</f>
        <v>0</v>
      </c>
    </row>
    <row r="74" spans="2:56" ht="11.25" customHeight="1" thickBot="1">
      <c r="B74" s="99"/>
      <c r="C74" s="1366">
        <f t="shared" si="71"/>
        <v>2</v>
      </c>
      <c r="D74" s="1729">
        <f>IFERROR(SUMIF('FS_Detail(M)'!$L$10:$EQ$10,$C44,'FS_Detail(M)'!$L$71:$EQ$71)/COUNTIF('FS_Detail(M)'!$L$10:$EQ$10,'A&amp;R'!$C44),)</f>
        <v>10000000</v>
      </c>
      <c r="E74" s="1730">
        <f>-SUMIF('CF(M)'!$L$10:$EQ$10,$C74,'CF(M)'!$L$108:$EQ$108)</f>
        <v>0</v>
      </c>
      <c r="F74" s="1730">
        <f>-SUMIF('CF(M)'!$L$10:$EQ$10,$C74,'CF(M)'!$L$99:$EQ$99)</f>
        <v>0</v>
      </c>
      <c r="G74" s="1731">
        <f t="shared" ref="G74:G92" si="73">IFERROR(SUM(E74:F74)/D74*(12/6),)</f>
        <v>0</v>
      </c>
      <c r="H74" s="1671">
        <f>IFERROR(SUMIF('FS_Detail(M)'!$L$10:$EQ$10,$C74,'FS_Detail(M)'!$L$76:$EQ$76)/COUNTIF('FS_Detail(M)'!$L$10:$EQ$10,'A&amp;R'!$C74),)+IFERROR(SUMIF('FS_Detail(M)'!$L$10:$EQ$10,$C74,'FS_Detail(M)'!$L$83:$EQ$83)/COUNTIF('FS_Detail(M)'!$L$10:$EQ$10,'A&amp;R'!$C74),)</f>
        <v>14800000</v>
      </c>
      <c r="I74" s="1671">
        <f ca="1">-SUMIF('CF(M)'!$L$10:$EQ$10,$C74,'CF(M)'!$L$113:$EQ$113)</f>
        <v>555000</v>
      </c>
      <c r="J74" s="1671">
        <f>-SUMIF('CF(M)'!$L$10:$EQ$10,$C74,'CF(M)'!$L$114:$EQ$114)</f>
        <v>0</v>
      </c>
      <c r="K74" s="1857">
        <f t="shared" ca="1" si="72"/>
        <v>7.4999999999999997E-2</v>
      </c>
      <c r="L74" s="118" t="s">
        <v>138</v>
      </c>
      <c r="M74" s="858" t="s">
        <v>510</v>
      </c>
      <c r="N74" s="1609">
        <f>O74/$K$31*1000</f>
        <v>372.34348529589016</v>
      </c>
      <c r="O74" s="792">
        <f>P74/12</f>
        <v>10753.675833333333</v>
      </c>
      <c r="P74" s="792">
        <f>종합부동산세!N56/1000*($U$73=0)+($U$73=1)*0</f>
        <v>129044.11</v>
      </c>
      <c r="Q74" s="793">
        <v>0.02</v>
      </c>
      <c r="R74" s="794">
        <f t="shared" si="64"/>
        <v>46691</v>
      </c>
      <c r="S74" s="116"/>
      <c r="T74" s="117"/>
      <c r="U74" s="277"/>
      <c r="V74" s="1840" t="s">
        <v>797</v>
      </c>
      <c r="W74" s="1841" t="s">
        <v>1077</v>
      </c>
      <c r="X74" s="1778">
        <f>MIN(Z74:AA74)</f>
        <v>1.3211053409018692</v>
      </c>
      <c r="Y74" s="1710">
        <f>AVERAGE(Z74:AA74)</f>
        <v>1.3390701294158891</v>
      </c>
      <c r="Z74" s="1842">
        <f t="shared" ref="Z74:AI74" si="74">Z68/Z73</f>
        <v>1.3211053409018692</v>
      </c>
      <c r="AA74" s="1842">
        <f t="shared" si="74"/>
        <v>1.3570349179299093</v>
      </c>
      <c r="AB74" s="1402">
        <f t="shared" si="74"/>
        <v>0.8877336696666589</v>
      </c>
      <c r="AC74" s="1402">
        <f t="shared" si="74"/>
        <v>1.4881766411636224</v>
      </c>
      <c r="AD74" s="1402">
        <f t="shared" si="74"/>
        <v>1.5353752312294087</v>
      </c>
      <c r="AE74" s="1402">
        <f t="shared" si="74"/>
        <v>1.683549335804486</v>
      </c>
      <c r="AF74" s="1402">
        <f t="shared" si="74"/>
        <v>1.7304352990477911</v>
      </c>
      <c r="AG74" s="1402">
        <f t="shared" si="74"/>
        <v>1.6846811098723153</v>
      </c>
      <c r="AH74" s="1402">
        <f t="shared" si="74"/>
        <v>1.7846098607702741</v>
      </c>
      <c r="AI74" s="1843">
        <f t="shared" si="74"/>
        <v>7.9396798401725185E-2</v>
      </c>
      <c r="AJ74" s="262"/>
      <c r="AV74" s="1690" t="s">
        <v>225</v>
      </c>
      <c r="AW74" s="1897">
        <f t="shared" si="70"/>
        <v>0.16181544839707418</v>
      </c>
      <c r="AX74" s="1898">
        <f t="shared" si="68"/>
        <v>0.1434497346876682</v>
      </c>
      <c r="AY74" s="1897">
        <f t="shared" si="68"/>
        <v>0.12278211544096584</v>
      </c>
      <c r="AZ74" s="1897">
        <f t="shared" si="68"/>
        <v>9.8944090844558685E-2</v>
      </c>
      <c r="BA74" s="1897">
        <f t="shared" si="68"/>
        <v>7.0863433442560853E-2</v>
      </c>
      <c r="BB74" s="1897">
        <f t="shared" si="68"/>
        <v>3.5596147803817146E-2</v>
      </c>
      <c r="BC74" s="1899">
        <f t="shared" si="68"/>
        <v>-1.5611677708360028E-2</v>
      </c>
      <c r="BD74" s="1903">
        <f ca="1">BD65</f>
        <v>0.16181544839707418</v>
      </c>
    </row>
    <row r="75" spans="2:56" ht="11.25" customHeight="1">
      <c r="B75" s="99"/>
      <c r="C75" s="1366">
        <f t="shared" si="71"/>
        <v>3</v>
      </c>
      <c r="D75" s="836">
        <f>IFERROR(SUMIF('FS_Detail(M)'!$L$10:$EQ$10,$C45,'FS_Detail(M)'!$L$71:$EQ$71)/COUNTIF('FS_Detail(M)'!$L$10:$EQ$10,'A&amp;R'!$C45),)</f>
        <v>10000000</v>
      </c>
      <c r="E75" s="13">
        <f>-SUMIF('CF(M)'!$L$10:$EQ$10,$C75,'CF(M)'!$L$108:$EQ$108)</f>
        <v>0</v>
      </c>
      <c r="F75" s="13">
        <f>-SUMIF('CF(M)'!$L$10:$EQ$10,$C75,'CF(M)'!$L$99:$EQ$99)</f>
        <v>0</v>
      </c>
      <c r="G75" s="1367">
        <f t="shared" si="73"/>
        <v>0</v>
      </c>
      <c r="H75" s="1670">
        <f>IFERROR(SUMIF('FS_Detail(M)'!$L$10:$EQ$10,$C75,'FS_Detail(M)'!$L$76:$EQ$76)/COUNTIF('FS_Detail(M)'!$L$10:$EQ$10,'A&amp;R'!$C75),)+IFERROR(SUMIF('FS_Detail(M)'!$L$10:$EQ$10,$C75,'FS_Detail(M)'!$L$83:$EQ$83)/COUNTIF('FS_Detail(M)'!$L$10:$EQ$10,'A&amp;R'!$C75),)</f>
        <v>14800000</v>
      </c>
      <c r="I75" s="1671">
        <f ca="1">-SUMIF('CF(M)'!$L$10:$EQ$10,$C75,'CF(M)'!$L$113:$EQ$113)</f>
        <v>0</v>
      </c>
      <c r="J75" s="1671">
        <f>-SUMIF('CF(M)'!$L$10:$EQ$10,$C75,'CF(M)'!$L$114:$EQ$114)</f>
        <v>0</v>
      </c>
      <c r="K75" s="1703">
        <f t="shared" ca="1" si="72"/>
        <v>0</v>
      </c>
      <c r="L75" s="118" t="s">
        <v>92</v>
      </c>
      <c r="M75" s="858" t="s">
        <v>510</v>
      </c>
      <c r="N75" s="1609">
        <f>O75/$K$31*1000</f>
        <v>1137.4068119675892</v>
      </c>
      <c r="O75" s="792">
        <f>P75/12</f>
        <v>32849.518333333333</v>
      </c>
      <c r="P75" s="792">
        <f>402239*0.98</f>
        <v>394194.22</v>
      </c>
      <c r="Q75" s="793">
        <v>-1.4999999999999999E-2</v>
      </c>
      <c r="R75" s="794">
        <f t="shared" si="64"/>
        <v>46691</v>
      </c>
      <c r="S75" s="116"/>
      <c r="T75" s="117"/>
      <c r="U75" s="277"/>
      <c r="V75" s="1844" t="s">
        <v>797</v>
      </c>
      <c r="W75" s="1783" t="s">
        <v>1079</v>
      </c>
      <c r="X75" s="1784">
        <f t="shared" ca="1" si="66"/>
        <v>1.8647047062254087</v>
      </c>
      <c r="Y75" s="1785">
        <f ca="1">AVERAGE(Z75:AA75)</f>
        <v>2.7114463807053695</v>
      </c>
      <c r="Z75" s="1786">
        <f t="shared" ref="Z75:AI75" ca="1" si="75">Z69/Z73</f>
        <v>3.55818805518533</v>
      </c>
      <c r="AA75" s="1786">
        <f t="shared" ca="1" si="75"/>
        <v>1.8647047062254087</v>
      </c>
      <c r="AB75" s="1786">
        <f t="shared" ca="1" si="75"/>
        <v>1.6055832658696438</v>
      </c>
      <c r="AC75" s="1786">
        <f t="shared" ca="1" si="75"/>
        <v>1.4847187022563857</v>
      </c>
      <c r="AD75" s="1786">
        <f t="shared" ca="1" si="75"/>
        <v>1.4565747195101133</v>
      </c>
      <c r="AE75" s="1786">
        <f t="shared" ca="1" si="75"/>
        <v>1.5992848290609762</v>
      </c>
      <c r="AF75" s="1786">
        <f t="shared" ca="1" si="75"/>
        <v>1.6459559557231733</v>
      </c>
      <c r="AG75" s="1786">
        <f t="shared" ca="1" si="75"/>
        <v>1.5991752656643714</v>
      </c>
      <c r="AH75" s="1786">
        <f t="shared" ca="1" si="75"/>
        <v>1.7164067552965168</v>
      </c>
      <c r="AI75" s="1845">
        <f t="shared" ca="1" si="75"/>
        <v>1.6971182545447117</v>
      </c>
      <c r="AJ75" s="1787"/>
      <c r="AV75" s="1883" t="s">
        <v>1125</v>
      </c>
      <c r="AW75" s="1900">
        <f t="shared" si="70"/>
        <v>0.10214270785652579</v>
      </c>
      <c r="AX75" s="1901">
        <f t="shared" si="68"/>
        <v>9.5062926506784162E-2</v>
      </c>
      <c r="AY75" s="1900">
        <f t="shared" si="68"/>
        <v>8.7543381483190963E-2</v>
      </c>
      <c r="AZ75" s="1900">
        <f t="shared" si="68"/>
        <v>7.9697350257503574E-2</v>
      </c>
      <c r="BA75" s="1900">
        <f t="shared" si="68"/>
        <v>7.1520024776501989E-2</v>
      </c>
      <c r="BB75" s="1900">
        <f t="shared" si="68"/>
        <v>6.2979332185794101E-2</v>
      </c>
      <c r="BC75" s="1902">
        <f t="shared" si="68"/>
        <v>5.3992608684432897E-2</v>
      </c>
      <c r="BD75" s="1903">
        <f ca="1">BD66</f>
        <v>0.10214270785652579</v>
      </c>
    </row>
    <row r="76" spans="2:56" ht="11.25" customHeight="1">
      <c r="B76" s="99"/>
      <c r="C76" s="1366">
        <f t="shared" si="71"/>
        <v>4</v>
      </c>
      <c r="D76" s="836">
        <f>IFERROR(SUMIF('FS_Detail(M)'!$L$10:$EQ$10,$C46,'FS_Detail(M)'!$L$71:$EQ$71)/COUNTIF('FS_Detail(M)'!$L$10:$EQ$10,'A&amp;R'!$C46),)</f>
        <v>10000000</v>
      </c>
      <c r="E76" s="13">
        <f>-SUMIF('CF(M)'!$L$10:$EQ$10,$C76,'CF(M)'!$L$108:$EQ$108)</f>
        <v>0</v>
      </c>
      <c r="F76" s="13">
        <f>-SUMIF('CF(M)'!$L$10:$EQ$10,$C76,'CF(M)'!$L$99:$EQ$99)</f>
        <v>0</v>
      </c>
      <c r="G76" s="1367">
        <f t="shared" si="73"/>
        <v>0</v>
      </c>
      <c r="H76" s="1670">
        <f>IFERROR(SUMIF('FS_Detail(M)'!$L$10:$EQ$10,$C76,'FS_Detail(M)'!$L$76:$EQ$76)/COUNTIF('FS_Detail(M)'!$L$10:$EQ$10,'A&amp;R'!$C76),)+IFERROR(SUMIF('FS_Detail(M)'!$L$10:$EQ$10,$C76,'FS_Detail(M)'!$L$83:$EQ$83)/COUNTIF('FS_Detail(M)'!$L$10:$EQ$10,'A&amp;R'!$C76),)</f>
        <v>14800000</v>
      </c>
      <c r="I76" s="1671">
        <f ca="1">-SUMIF('CF(M)'!$L$10:$EQ$10,$C76,'CF(M)'!$L$113:$EQ$113)</f>
        <v>0</v>
      </c>
      <c r="J76" s="1671">
        <f>-SUMIF('CF(M)'!$L$10:$EQ$10,$C76,'CF(M)'!$L$114:$EQ$114)</f>
        <v>0</v>
      </c>
      <c r="K76" s="1703">
        <f t="shared" ca="1" si="72"/>
        <v>0</v>
      </c>
      <c r="L76" s="118" t="s">
        <v>93</v>
      </c>
      <c r="M76" s="858" t="s">
        <v>510</v>
      </c>
      <c r="N76" s="791">
        <v>0</v>
      </c>
      <c r="O76" s="792">
        <f>$N76*$K$31/1000</f>
        <v>0</v>
      </c>
      <c r="P76" s="792">
        <f t="shared" si="63"/>
        <v>0</v>
      </c>
      <c r="Q76" s="793">
        <v>0.02</v>
      </c>
      <c r="R76" s="794">
        <f t="shared" si="64"/>
        <v>46691</v>
      </c>
      <c r="S76" s="116"/>
      <c r="T76" s="117"/>
      <c r="U76" s="277"/>
      <c r="V76" s="1838" t="s">
        <v>1024</v>
      </c>
      <c r="W76" s="1254"/>
      <c r="X76" s="1255">
        <f t="shared" ca="1" si="66"/>
        <v>11600</v>
      </c>
      <c r="Y76" s="1256">
        <f ca="1">AVERAGE(Z76:AA76)</f>
        <v>11600</v>
      </c>
      <c r="Z76" s="1257">
        <f ca="1">Z73+(-SUMIF('CF(M)'!$L$11:$EQ$11,Z$67,'CF(M)'!$L$98:$EQ$98)-SUMIF('CF(M)'!$L$11:$EQ$11,Z$67,'CF(M)'!$L$97:$EQ$97))/1000</f>
        <v>11600</v>
      </c>
      <c r="AA76" s="1257">
        <f ca="1">AA73+(-SUMIF('CF(M)'!$L$11:$EQ$11,AA$67,'CF(M)'!$L$98:$EQ$98)-SUMIF('CF(M)'!$L$11:$EQ$11,AA$67,'CF(M)'!$L$97:$EQ$97))/1000</f>
        <v>11600</v>
      </c>
      <c r="AB76" s="1257">
        <f ca="1">AB73+(-SUMIF('CF(M)'!$L$11:$EQ$11,AB$67,'CF(M)'!$L$98:$EQ$98)-SUMIF('CF(M)'!$L$11:$EQ$11,AB$67,'CF(M)'!$L$97:$EQ$97))/1000</f>
        <v>11904</v>
      </c>
      <c r="AC76" s="1257">
        <f ca="1">AC73+(-SUMIF('CF(M)'!$L$11:$EQ$11,AC$67,'CF(M)'!$L$98:$EQ$98)-SUMIF('CF(M)'!$L$11:$EQ$11,AC$67,'CF(M)'!$L$97:$EQ$97))/1000</f>
        <v>11904</v>
      </c>
      <c r="AD76" s="1257">
        <f ca="1">AD73+(-SUMIF('CF(M)'!$L$11:$EQ$11,AD$67,'CF(M)'!$L$98:$EQ$98)-SUMIF('CF(M)'!$L$11:$EQ$11,AD$67,'CF(M)'!$L$97:$EQ$97))/1000</f>
        <v>11904</v>
      </c>
      <c r="AE76" s="1257">
        <f ca="1">AE73+(-SUMIF('CF(M)'!$L$11:$EQ$11,AE$67,'CF(M)'!$L$98:$EQ$98)-SUMIF('CF(M)'!$L$11:$EQ$11,AE$67,'CF(M)'!$L$97:$EQ$97))/1000</f>
        <v>11265</v>
      </c>
      <c r="AF76" s="1257">
        <f ca="1">AF73+(-SUMIF('CF(M)'!$L$11:$EQ$11,AF$67,'CF(M)'!$L$98:$EQ$98)-SUMIF('CF(M)'!$L$11:$EQ$11,AF$67,'CF(M)'!$L$97:$EQ$97))/1000</f>
        <v>11265</v>
      </c>
      <c r="AG76" s="1257">
        <f ca="1">AG73+(-SUMIF('CF(M)'!$L$11:$EQ$11,AG$67,'CF(M)'!$L$98:$EQ$98)-SUMIF('CF(M)'!$L$11:$EQ$11,AG$67,'CF(M)'!$L$97:$EQ$97))/1000</f>
        <v>11265</v>
      </c>
      <c r="AH76" s="1257">
        <f ca="1">AH73+(-SUMIF('CF(M)'!$L$11:$EQ$11,AH$67,'CF(M)'!$L$98:$EQ$98)-SUMIF('CF(M)'!$L$11:$EQ$11,AH$67,'CF(M)'!$L$97:$EQ$97))/1000</f>
        <v>11265</v>
      </c>
      <c r="AI76" s="1839">
        <f ca="1">AI73+(-SUMIF('CF(M)'!$L$11:$EQ$11,AI$67,'CF(M)'!$L$98:$EQ$98)-SUMIF('CF(M)'!$L$11:$EQ$11,AI$67,'CF(M)'!$L$97:$EQ$97))/1000</f>
        <v>248265</v>
      </c>
      <c r="AJ76" s="1258"/>
    </row>
    <row r="77" spans="2:56" ht="11.25" customHeight="1" thickBot="1">
      <c r="B77" s="99"/>
      <c r="C77" s="1366">
        <f t="shared" si="71"/>
        <v>5</v>
      </c>
      <c r="D77" s="836">
        <f>IFERROR(SUMIF('FS_Detail(M)'!$L$10:$EQ$10,$C47,'FS_Detail(M)'!$L$71:$EQ$71)/COUNTIF('FS_Detail(M)'!$L$10:$EQ$10,'A&amp;R'!$C47),)</f>
        <v>0</v>
      </c>
      <c r="E77" s="13">
        <f>-SUMIF('CF(M)'!$L$10:$EQ$10,$C77,'CF(M)'!$L$108:$EQ$108)</f>
        <v>0</v>
      </c>
      <c r="F77" s="13">
        <f>-SUMIF('CF(M)'!$L$10:$EQ$10,$C77,'CF(M)'!$L$99:$EQ$99)</f>
        <v>0</v>
      </c>
      <c r="G77" s="1367">
        <f t="shared" si="73"/>
        <v>0</v>
      </c>
      <c r="H77" s="1670">
        <f>IFERROR(SUMIF('FS_Detail(M)'!$L$10:$EQ$10,$C77,'FS_Detail(M)'!$L$76:$EQ$76)/COUNTIF('FS_Detail(M)'!$L$10:$EQ$10,'A&amp;R'!$C77),)+IFERROR(SUMIF('FS_Detail(M)'!$L$10:$EQ$10,$C77,'FS_Detail(M)'!$L$83:$EQ$83)/COUNTIF('FS_Detail(M)'!$L$10:$EQ$10,'A&amp;R'!$C77),)</f>
        <v>14800000</v>
      </c>
      <c r="I77" s="1671">
        <f ca="1">-SUMIF('CF(M)'!$L$10:$EQ$10,$C77,'CF(M)'!$L$113:$EQ$113)</f>
        <v>0</v>
      </c>
      <c r="J77" s="1671">
        <f>-SUMIF('CF(M)'!$L$10:$EQ$10,$C77,'CF(M)'!$L$114:$EQ$114)</f>
        <v>0</v>
      </c>
      <c r="K77" s="1703">
        <f t="shared" ca="1" si="72"/>
        <v>0</v>
      </c>
      <c r="L77" s="118" t="s">
        <v>99</v>
      </c>
      <c r="M77" s="858" t="s">
        <v>510</v>
      </c>
      <c r="N77" s="867">
        <f>O77/$K$31*1000</f>
        <v>64.447811265486436</v>
      </c>
      <c r="O77" s="792">
        <f>P77/12</f>
        <v>1861.3213279833335</v>
      </c>
      <c r="P77" s="792">
        <f>AE23/1000*3.1%*10%</f>
        <v>22335.855935800002</v>
      </c>
      <c r="Q77" s="793">
        <v>0</v>
      </c>
      <c r="R77" s="794">
        <f t="shared" si="64"/>
        <v>46691</v>
      </c>
      <c r="S77" s="116"/>
      <c r="T77" s="117"/>
      <c r="U77" s="277"/>
      <c r="V77" s="1840" t="s">
        <v>1025</v>
      </c>
      <c r="W77" s="883" t="s">
        <v>1077</v>
      </c>
      <c r="X77" s="1778">
        <f t="shared" ca="1" si="66"/>
        <v>1.1297728432540122</v>
      </c>
      <c r="Y77" s="1710">
        <f ca="1">AVERAGE(Z77:AA77)</f>
        <v>1.1451358348108294</v>
      </c>
      <c r="Z77" s="1402">
        <f t="shared" ref="Z77:AI77" ca="1" si="76">Z68/Z76</f>
        <v>1.1297728432540122</v>
      </c>
      <c r="AA77" s="1402">
        <f t="shared" ca="1" si="76"/>
        <v>1.1604988263676466</v>
      </c>
      <c r="AB77" s="1402">
        <f t="shared" ca="1" si="76"/>
        <v>0.76244867596370303</v>
      </c>
      <c r="AC77" s="1402">
        <f t="shared" ca="1" si="76"/>
        <v>1.2781517119671433</v>
      </c>
      <c r="AD77" s="1402">
        <f t="shared" ca="1" si="76"/>
        <v>1.3186892106930002</v>
      </c>
      <c r="AE77" s="1402">
        <f t="shared" ca="1" si="76"/>
        <v>1.4324740686805146</v>
      </c>
      <c r="AF77" s="1402">
        <f t="shared" ca="1" si="76"/>
        <v>1.4723677178316092</v>
      </c>
      <c r="AG77" s="1402">
        <f t="shared" ca="1" si="76"/>
        <v>1.4334370562029419</v>
      </c>
      <c r="AH77" s="1402">
        <f t="shared" ca="1" si="76"/>
        <v>1.5184629840641879</v>
      </c>
      <c r="AI77" s="1843">
        <f t="shared" ca="1" si="76"/>
        <v>7.118416358426681E-2</v>
      </c>
      <c r="AJ77" s="262"/>
    </row>
    <row r="78" spans="2:56" ht="11.25" customHeight="1" thickBot="1">
      <c r="B78" s="99"/>
      <c r="C78" s="1366">
        <f t="shared" si="71"/>
        <v>6</v>
      </c>
      <c r="D78" s="836">
        <f>IFERROR(SUMIF('FS_Detail(M)'!$L$10:$EQ$10,$C48,'FS_Detail(M)'!$L$71:$EQ$71)/COUNTIF('FS_Detail(M)'!$L$10:$EQ$10,'A&amp;R'!$C48),)</f>
        <v>0</v>
      </c>
      <c r="E78" s="13">
        <f>-SUMIF('CF(M)'!$L$10:$EQ$10,$C78,'CF(M)'!$L$108:$EQ$108)</f>
        <v>0</v>
      </c>
      <c r="F78" s="13">
        <f>-SUMIF('CF(M)'!$L$10:$EQ$10,$C78,'CF(M)'!$L$99:$EQ$99)</f>
        <v>0</v>
      </c>
      <c r="G78" s="1367">
        <f t="shared" si="73"/>
        <v>0</v>
      </c>
      <c r="H78" s="1672">
        <f>IFERROR(SUMIF('FS_Detail(M)'!$L$10:$EQ$10,$C78,'FS_Detail(M)'!$L$76:$EQ$76)/COUNTIF('FS_Detail(M)'!$L$10:$EQ$10,'A&amp;R'!$C78),)+IFERROR(SUMIF('FS_Detail(M)'!$L$10:$EQ$10,$C78,'FS_Detail(M)'!$L$83:$EQ$83)/COUNTIF('FS_Detail(M)'!$L$10:$EQ$10,'A&amp;R'!$C78),)</f>
        <v>14800000</v>
      </c>
      <c r="I78" s="1673">
        <f ca="1">-SUMIF('CF(M)'!$L$10:$EQ$10,$C78,'CF(M)'!$L$113:$EQ$113)</f>
        <v>0</v>
      </c>
      <c r="J78" s="1673">
        <f>-SUMIF('CF(M)'!$L$10:$EQ$10,$C78,'CF(M)'!$L$114:$EQ$114)</f>
        <v>0</v>
      </c>
      <c r="K78" s="1704">
        <f t="shared" ca="1" si="72"/>
        <v>0</v>
      </c>
      <c r="L78" s="1651" t="s">
        <v>139</v>
      </c>
      <c r="M78" s="121"/>
      <c r="N78" s="122">
        <f t="shared" ref="N78:S78" si="77">SUM(N68:N77)</f>
        <v>6412.2260491350098</v>
      </c>
      <c r="O78" s="122">
        <f t="shared" si="77"/>
        <v>185191.9075411167</v>
      </c>
      <c r="P78" s="122">
        <f t="shared" si="77"/>
        <v>2222302.8904933999</v>
      </c>
      <c r="Q78" s="122">
        <f t="shared" si="77"/>
        <v>0.10000000000000002</v>
      </c>
      <c r="R78" s="122">
        <f t="shared" si="77"/>
        <v>466910</v>
      </c>
      <c r="S78" s="123">
        <f t="shared" si="77"/>
        <v>0</v>
      </c>
      <c r="T78" s="124"/>
      <c r="U78" s="1742"/>
      <c r="V78" s="1844" t="s">
        <v>1025</v>
      </c>
      <c r="W78" s="1852" t="s">
        <v>1079</v>
      </c>
      <c r="X78" s="1788">
        <f ca="1">MIN(Z78:AA78)</f>
        <v>1.5946440246341425</v>
      </c>
      <c r="Y78" s="1789">
        <f ca="1">AVERAGE(Z78:AA78)</f>
        <v>2.3187541462583847</v>
      </c>
      <c r="Z78" s="1853">
        <f t="shared" ref="Z78:AI78" ca="1" si="78">Z69/Z76</f>
        <v>3.042864267882627</v>
      </c>
      <c r="AA78" s="1853">
        <f t="shared" ca="1" si="78"/>
        <v>1.5946440246341425</v>
      </c>
      <c r="AB78" s="1853">
        <f t="shared" ca="1" si="78"/>
        <v>1.3789888533477184</v>
      </c>
      <c r="AC78" s="1853">
        <f t="shared" ca="1" si="78"/>
        <v>1.2751817886314925</v>
      </c>
      <c r="AD78" s="1853">
        <f t="shared" ca="1" si="78"/>
        <v>1.2510097389340893</v>
      </c>
      <c r="AE78" s="1853">
        <f t="shared" ca="1" si="78"/>
        <v>1.3607763059520157</v>
      </c>
      <c r="AF78" s="1853">
        <f t="shared" ca="1" si="78"/>
        <v>1.4004871580653899</v>
      </c>
      <c r="AG78" s="1853">
        <f t="shared" ca="1" si="78"/>
        <v>1.360683082236396</v>
      </c>
      <c r="AH78" s="1853">
        <f t="shared" ca="1" si="78"/>
        <v>1.460431313760951</v>
      </c>
      <c r="AI78" s="1854">
        <f t="shared" ca="1" si="78"/>
        <v>1.5215719762666289</v>
      </c>
      <c r="AJ78" s="1790"/>
      <c r="AV78" s="3047" t="s">
        <v>619</v>
      </c>
      <c r="AW78" s="3048"/>
      <c r="AX78" s="1176" t="s">
        <v>1123</v>
      </c>
      <c r="AY78" s="1176" t="s">
        <v>1126</v>
      </c>
      <c r="AZ78" s="1176" t="s">
        <v>1127</v>
      </c>
      <c r="BA78" s="1176" t="s">
        <v>1128</v>
      </c>
      <c r="BB78" s="1176" t="s">
        <v>1129</v>
      </c>
      <c r="BC78" s="1177" t="s">
        <v>1130</v>
      </c>
    </row>
    <row r="79" spans="2:56" ht="11.25" customHeight="1" thickBot="1">
      <c r="B79" s="99"/>
      <c r="C79" s="1366">
        <f t="shared" si="71"/>
        <v>7</v>
      </c>
      <c r="D79" s="836">
        <f>IFERROR(SUMIF('FS_Detail(M)'!$L$10:$EQ$10,$C49,'FS_Detail(M)'!$L$71:$EQ$71)/COUNTIF('FS_Detail(M)'!$L$10:$EQ$10,'A&amp;R'!$C49),)</f>
        <v>0</v>
      </c>
      <c r="E79" s="13">
        <f>-SUMIF('CF(M)'!$L$10:$EQ$10,$C79,'CF(M)'!$L$108:$EQ$108)</f>
        <v>0</v>
      </c>
      <c r="F79" s="13">
        <f>-SUMIF('CF(M)'!$L$10:$EQ$10,$C79,'CF(M)'!$L$99:$EQ$99)</f>
        <v>0</v>
      </c>
      <c r="G79" s="1367">
        <f t="shared" si="73"/>
        <v>0</v>
      </c>
      <c r="H79" s="948">
        <f>IFERROR(SUMIF('FS_Detail(M)'!$L$10:$EQ$10,$C79,'FS_Detail(M)'!$L$76:$EQ$76)/COUNTIF('FS_Detail(M)'!$L$10:$EQ$10,'A&amp;R'!$C79),)+IFERROR(SUMIF('FS_Detail(M)'!$L$10:$EQ$10,$C79,'FS_Detail(M)'!$L$83:$EQ$83)/COUNTIF('FS_Detail(M)'!$L$10:$EQ$10,'A&amp;R'!$C79),)</f>
        <v>14800000</v>
      </c>
      <c r="I79" s="13">
        <f ca="1">-SUMIF('CF(M)'!$L$10:$EQ$10,$C79,'CF(M)'!$L$113:$EQ$113)</f>
        <v>0</v>
      </c>
      <c r="J79" s="13">
        <f>-SUMIF('CF(M)'!$L$10:$EQ$10,$C79,'CF(M)'!$L$114:$EQ$114)</f>
        <v>0</v>
      </c>
      <c r="K79" s="1705">
        <f t="shared" ca="1" si="72"/>
        <v>0</v>
      </c>
      <c r="L79" s="1652" t="s">
        <v>140</v>
      </c>
      <c r="M79" s="125"/>
      <c r="N79" s="44" t="s">
        <v>141</v>
      </c>
      <c r="O79" s="44" t="s">
        <v>142</v>
      </c>
      <c r="P79" s="44" t="s">
        <v>143</v>
      </c>
      <c r="Q79" s="44" t="s">
        <v>144</v>
      </c>
      <c r="R79" s="44" t="s">
        <v>145</v>
      </c>
      <c r="S79" s="44" t="s">
        <v>146</v>
      </c>
      <c r="T79" s="44" t="s">
        <v>147</v>
      </c>
      <c r="U79" s="44" t="s">
        <v>499</v>
      </c>
      <c r="V79" s="1838" t="s">
        <v>1108</v>
      </c>
      <c r="W79" s="1254"/>
      <c r="X79" s="1255">
        <f t="shared" ca="1" si="66"/>
        <v>15350</v>
      </c>
      <c r="Y79" s="1256">
        <f ca="1">AVERAGE(Z79:AA79)</f>
        <v>15350</v>
      </c>
      <c r="Z79" s="1257">
        <f ca="1">Z76+(-SUMIF('CF(M)'!$L$11:$EQ$11,Z$67,'CF(M)'!$L$103:$EQ$103)-SUMIF('CF(M)'!$L$11:$EQ$11,Z$67,'CF(M)'!$L$102:$EQ$102))/1000</f>
        <v>15350</v>
      </c>
      <c r="AA79" s="1257">
        <f ca="1">AA76+(-SUMIF('CF(M)'!$L$11:$EQ$11,AA$67,'CF(M)'!$L$103:$EQ$103)-SUMIF('CF(M)'!$L$11:$EQ$11,AA$67,'CF(M)'!$L$102:$EQ$102))/1000</f>
        <v>15350</v>
      </c>
      <c r="AB79" s="1257">
        <f ca="1">AB76+(-SUMIF('CF(M)'!$L$11:$EQ$11,AB$67,'CF(M)'!$L$103:$EQ$103)-SUMIF('CF(M)'!$L$11:$EQ$11,AB$67,'CF(M)'!$L$102:$EQ$102))/1000</f>
        <v>15654</v>
      </c>
      <c r="AC79" s="1257">
        <f ca="1">AC76+(-SUMIF('CF(M)'!$L$11:$EQ$11,AC$67,'CF(M)'!$L$103:$EQ$103)-SUMIF('CF(M)'!$L$11:$EQ$11,AC$67,'CF(M)'!$L$102:$EQ$102))/1000</f>
        <v>15179.76401186928</v>
      </c>
      <c r="AD79" s="1257">
        <f ca="1">AD76+(-SUMIF('CF(M)'!$L$11:$EQ$11,AD$67,'CF(M)'!$L$103:$EQ$103)-SUMIF('CF(M)'!$L$11:$EQ$11,AD$67,'CF(M)'!$L$102:$EQ$102))/1000</f>
        <v>14892.019932271387</v>
      </c>
      <c r="AE79" s="1257">
        <f ca="1">AE76+(-SUMIF('CF(M)'!$L$11:$EQ$11,AE$67,'CF(M)'!$L$103:$EQ$103)-SUMIF('CF(M)'!$L$11:$EQ$11,AE$67,'CF(M)'!$L$102:$EQ$102))/1000</f>
        <v>15329.145086549452</v>
      </c>
      <c r="AF79" s="1257">
        <f ca="1">AF76+(-SUMIF('CF(M)'!$L$11:$EQ$11,AF$67,'CF(M)'!$L$103:$EQ$103)-SUMIF('CF(M)'!$L$11:$EQ$11,AF$67,'CF(M)'!$L$102:$EQ$102))/1000</f>
        <v>15776.487835606611</v>
      </c>
      <c r="AG79" s="1257">
        <f ca="1">AG76+(-SUMIF('CF(M)'!$L$11:$EQ$11,AG$67,'CF(M)'!$L$103:$EQ$103)-SUMIF('CF(M)'!$L$11:$EQ$11,AG$67,'CF(M)'!$L$102:$EQ$102))/1000</f>
        <v>15175.583133703269</v>
      </c>
      <c r="AH79" s="1257">
        <f ca="1">AH76+(-SUMIF('CF(M)'!$L$11:$EQ$11,AH$67,'CF(M)'!$L$103:$EQ$103)-SUMIF('CF(M)'!$L$11:$EQ$11,AH$67,'CF(M)'!$L$102:$EQ$102))/1000</f>
        <v>15015</v>
      </c>
      <c r="AI79" s="1839">
        <f ca="1">AI76+(-SUMIF('CF(M)'!$L$11:$EQ$11,AI$67,'CF(M)'!$L$103:$EQ$103)-SUMIF('CF(M)'!$L$11:$EQ$11,AI$67,'CF(M)'!$L$102:$EQ$102))/1000</f>
        <v>302015</v>
      </c>
      <c r="AJ79" s="699"/>
      <c r="AV79" s="3037" t="s">
        <v>1131</v>
      </c>
      <c r="AW79" s="3038"/>
      <c r="AX79" s="1702">
        <f>BA39</f>
        <v>4.7750000000000001E-2</v>
      </c>
      <c r="AY79" s="1904">
        <f t="shared" ref="AY79:BC80" si="79">BB39</f>
        <v>4.9750000000000003E-2</v>
      </c>
      <c r="AZ79" s="1904">
        <f t="shared" si="79"/>
        <v>5.1750000000000004E-2</v>
      </c>
      <c r="BA79" s="1904">
        <f t="shared" si="79"/>
        <v>5.3749999999999999E-2</v>
      </c>
      <c r="BB79" s="1904">
        <f t="shared" si="79"/>
        <v>5.5750000000000001E-2</v>
      </c>
      <c r="BC79" s="1905">
        <f t="shared" si="79"/>
        <v>5.7750000000000003E-2</v>
      </c>
      <c r="BD79" s="1881">
        <v>4.8000000000000001E-2</v>
      </c>
    </row>
    <row r="80" spans="2:56" ht="11.25" customHeight="1" thickBot="1">
      <c r="B80" s="99"/>
      <c r="C80" s="1366">
        <f t="shared" si="71"/>
        <v>8</v>
      </c>
      <c r="D80" s="836">
        <f>IFERROR(SUMIF('FS_Detail(M)'!$L$10:$EQ$10,$C50,'FS_Detail(M)'!$L$71:$EQ$71)/COUNTIF('FS_Detail(M)'!$L$10:$EQ$10,'A&amp;R'!$C50),)</f>
        <v>0</v>
      </c>
      <c r="E80" s="13">
        <f>-SUMIF('CF(M)'!$L$10:$EQ$10,$C80,'CF(M)'!$L$108:$EQ$108)</f>
        <v>0</v>
      </c>
      <c r="F80" s="13">
        <f>-SUMIF('CF(M)'!$L$10:$EQ$10,$C80,'CF(M)'!$L$99:$EQ$99)</f>
        <v>0</v>
      </c>
      <c r="G80" s="1367">
        <f t="shared" si="73"/>
        <v>0</v>
      </c>
      <c r="H80" s="948">
        <f>IFERROR(SUMIF('FS_Detail(M)'!$L$10:$EQ$10,$C80,'FS_Detail(M)'!$L$76:$EQ$76)/COUNTIF('FS_Detail(M)'!$L$10:$EQ$10,'A&amp;R'!$C80),)+IFERROR(SUMIF('FS_Detail(M)'!$L$10:$EQ$10,$C80,'FS_Detail(M)'!$L$83:$EQ$83)/COUNTIF('FS_Detail(M)'!$L$10:$EQ$10,'A&amp;R'!$C80),)</f>
        <v>14800000</v>
      </c>
      <c r="I80" s="13">
        <f ca="1">-SUMIF('CF(M)'!$L$10:$EQ$10,$C80,'CF(M)'!$L$113:$EQ$113)</f>
        <v>0</v>
      </c>
      <c r="J80" s="13">
        <f>-SUMIF('CF(M)'!$L$10:$EQ$10,$C80,'CF(M)'!$L$114:$EQ$114)</f>
        <v>0</v>
      </c>
      <c r="K80" s="1705">
        <f t="shared" ca="1" si="72"/>
        <v>0</v>
      </c>
      <c r="L80" s="126" t="s">
        <v>463</v>
      </c>
      <c r="M80" s="127"/>
      <c r="N80" s="882" t="s">
        <v>527</v>
      </c>
      <c r="O80" s="265"/>
      <c r="P80" s="129"/>
      <c r="Q80" s="130">
        <v>2000</v>
      </c>
      <c r="R80" s="130">
        <f>Q80*12</f>
        <v>24000</v>
      </c>
      <c r="S80" s="131">
        <v>1</v>
      </c>
      <c r="T80" s="788">
        <v>0.02</v>
      </c>
      <c r="U80" s="795">
        <f>EOMONTH($D$37,12)</f>
        <v>46691</v>
      </c>
      <c r="V80" s="1840" t="s">
        <v>1109</v>
      </c>
      <c r="W80" s="883" t="s">
        <v>1077</v>
      </c>
      <c r="X80" s="1778">
        <f t="shared" ca="1" si="66"/>
        <v>0.85376970565124044</v>
      </c>
      <c r="Y80" s="1710">
        <f ca="1">AVERAGE(Z80:AA80)</f>
        <v>0.86537952337495905</v>
      </c>
      <c r="Z80" s="1402">
        <f ca="1">Z68/Z79</f>
        <v>0.85376970565124044</v>
      </c>
      <c r="AA80" s="1402">
        <f t="shared" ref="AA80:AI80" ca="1" si="80">AA68/AA79</f>
        <v>0.87698934109867754</v>
      </c>
      <c r="AB80" s="1402">
        <f t="shared" ca="1" si="80"/>
        <v>0.5797999896941306</v>
      </c>
      <c r="AC80" s="1402">
        <f t="shared" ca="1" si="80"/>
        <v>1.0023290195657819</v>
      </c>
      <c r="AD80" s="1402">
        <f t="shared" ca="1" si="80"/>
        <v>1.0540998760062232</v>
      </c>
      <c r="AE80" s="1402">
        <f t="shared" ca="1" si="80"/>
        <v>1.0526888676815538</v>
      </c>
      <c r="AF80" s="1402">
        <f t="shared" ca="1" si="80"/>
        <v>1.0513253972749843</v>
      </c>
      <c r="AG80" s="1402">
        <f t="shared" ca="1" si="80"/>
        <v>1.0640558781734049</v>
      </c>
      <c r="AH80" s="1402">
        <f t="shared" ca="1" si="80"/>
        <v>1.1392264745576475</v>
      </c>
      <c r="AI80" s="1843">
        <f t="shared" ca="1" si="80"/>
        <v>5.8515425963107791E-2</v>
      </c>
      <c r="AV80" s="3037" t="s">
        <v>1132</v>
      </c>
      <c r="AW80" s="3038"/>
      <c r="AX80" s="1702">
        <v>0.06</v>
      </c>
      <c r="AY80" s="1904">
        <f t="shared" si="79"/>
        <v>6.2E-2</v>
      </c>
      <c r="AZ80" s="1904">
        <f t="shared" si="79"/>
        <v>6.4000000000000001E-2</v>
      </c>
      <c r="BA80" s="1904">
        <f t="shared" si="79"/>
        <v>6.6000000000000003E-2</v>
      </c>
      <c r="BB80" s="1904">
        <f t="shared" si="79"/>
        <v>6.8000000000000005E-2</v>
      </c>
      <c r="BC80" s="1905">
        <f t="shared" si="79"/>
        <v>6.9999999999999993E-2</v>
      </c>
      <c r="BD80" s="1881">
        <v>0.06</v>
      </c>
    </row>
    <row r="81" spans="1:56" ht="11.25" customHeight="1" thickBot="1">
      <c r="B81" s="66"/>
      <c r="C81" s="1366">
        <f t="shared" si="71"/>
        <v>9</v>
      </c>
      <c r="D81" s="836">
        <f>IFERROR(SUMIF('FS_Detail(M)'!$L$10:$EQ$10,$C51,'FS_Detail(M)'!$L$71:$EQ$71)/COUNTIF('FS_Detail(M)'!$L$10:$EQ$10,'A&amp;R'!$C51),)</f>
        <v>0</v>
      </c>
      <c r="E81" s="13">
        <f>-SUMIF('CF(M)'!$L$10:$EQ$10,$C81,'CF(M)'!$L$108:$EQ$108)</f>
        <v>0</v>
      </c>
      <c r="F81" s="13">
        <f>-SUMIF('CF(M)'!$L$10:$EQ$10,$C81,'CF(M)'!$L$99:$EQ$99)</f>
        <v>0</v>
      </c>
      <c r="G81" s="1367">
        <f t="shared" si="73"/>
        <v>0</v>
      </c>
      <c r="H81" s="948">
        <f>IFERROR(SUMIF('FS_Detail(M)'!$L$10:$EQ$10,$C81,'FS_Detail(M)'!$L$76:$EQ$76)/COUNTIF('FS_Detail(M)'!$L$10:$EQ$10,'A&amp;R'!$C81),)+IFERROR(SUMIF('FS_Detail(M)'!$L$10:$EQ$10,$C81,'FS_Detail(M)'!$L$83:$EQ$83)/COUNTIF('FS_Detail(M)'!$L$10:$EQ$10,'A&amp;R'!$C81),)</f>
        <v>14800000</v>
      </c>
      <c r="I81" s="13">
        <f ca="1">-SUMIF('CF(M)'!$L$10:$EQ$10,$C81,'CF(M)'!$L$113:$EQ$113)</f>
        <v>0</v>
      </c>
      <c r="J81" s="13">
        <f>-SUMIF('CF(M)'!$L$10:$EQ$10,$C81,'CF(M)'!$L$114:$EQ$114)</f>
        <v>0</v>
      </c>
      <c r="K81" s="1705">
        <f t="shared" ca="1" si="72"/>
        <v>0</v>
      </c>
      <c r="L81" s="75" t="s">
        <v>533</v>
      </c>
      <c r="M81" s="139"/>
      <c r="N81" s="895" t="s">
        <v>526</v>
      </c>
      <c r="O81" s="266"/>
      <c r="P81" s="140"/>
      <c r="Q81" s="271">
        <v>6000</v>
      </c>
      <c r="R81" s="271">
        <f>Q81*12</f>
        <v>72000</v>
      </c>
      <c r="S81" s="141">
        <v>6</v>
      </c>
      <c r="T81" s="673">
        <v>0.02</v>
      </c>
      <c r="U81" s="797">
        <f>EOMONTH($D$37,12)</f>
        <v>46691</v>
      </c>
      <c r="V81" s="1846" t="s">
        <v>1109</v>
      </c>
      <c r="W81" s="1847" t="s">
        <v>1079</v>
      </c>
      <c r="X81" s="1848">
        <f t="shared" ca="1" si="66"/>
        <v>1.2050730088440427</v>
      </c>
      <c r="Y81" s="1849">
        <f ca="1">AVERAGE(Z81:AA81)</f>
        <v>1.7522832636219716</v>
      </c>
      <c r="Z81" s="1850">
        <f ca="1">Z69/Z79</f>
        <v>2.2994935183999008</v>
      </c>
      <c r="AA81" s="1850">
        <f t="shared" ref="AA81:AI81" ca="1" si="81">AA69/AA79</f>
        <v>1.2050730088440427</v>
      </c>
      <c r="AB81" s="1850">
        <f t="shared" ca="1" si="81"/>
        <v>1.0486446473905224</v>
      </c>
      <c r="AC81" s="1850">
        <f t="shared" ca="1" si="81"/>
        <v>1.0000000000000004</v>
      </c>
      <c r="AD81" s="1850">
        <f t="shared" ca="1" si="81"/>
        <v>1.0000000000000007</v>
      </c>
      <c r="AE81" s="1850">
        <f t="shared" ca="1" si="81"/>
        <v>1.0000000000000004</v>
      </c>
      <c r="AF81" s="1850">
        <f t="shared" ca="1" si="81"/>
        <v>1.0000000000000004</v>
      </c>
      <c r="AG81" s="1850">
        <f t="shared" ca="1" si="81"/>
        <v>1.0100498139904106</v>
      </c>
      <c r="AH81" s="1850">
        <f t="shared" ca="1" si="81"/>
        <v>1.0956882284060683</v>
      </c>
      <c r="AI81" s="1851">
        <f t="shared" ca="1" si="81"/>
        <v>1.2507758445369754</v>
      </c>
      <c r="AV81" s="3039" t="s">
        <v>693</v>
      </c>
      <c r="AW81" s="1284" t="s">
        <v>1115</v>
      </c>
      <c r="AX81" s="1928">
        <f>AO43</f>
        <v>7.122499999999965E-2</v>
      </c>
      <c r="AY81" s="1928">
        <f t="shared" ref="AY81:BC85" si="82">BB43</f>
        <v>7.122499999999965E-2</v>
      </c>
      <c r="AZ81" s="1928">
        <f t="shared" si="82"/>
        <v>7.122499999999965E-2</v>
      </c>
      <c r="BA81" s="1928">
        <f t="shared" si="82"/>
        <v>7.122499999999965E-2</v>
      </c>
      <c r="BB81" s="1928">
        <f t="shared" si="82"/>
        <v>7.122499999999965E-2</v>
      </c>
      <c r="BC81" s="1928">
        <f t="shared" si="82"/>
        <v>7.122499999999965E-2</v>
      </c>
      <c r="BD81" s="1885">
        <f ca="1">BD62</f>
        <v>7.122499999999965E-2</v>
      </c>
    </row>
    <row r="82" spans="1:56" ht="11.25" customHeight="1">
      <c r="B82" s="66"/>
      <c r="C82" s="1366">
        <f t="shared" si="71"/>
        <v>10</v>
      </c>
      <c r="D82" s="836">
        <f>IFERROR(SUMIF('FS_Detail(M)'!$L$10:$EQ$10,$C52,'FS_Detail(M)'!$L$71:$EQ$71)/COUNTIF('FS_Detail(M)'!$L$10:$EQ$10,'A&amp;R'!$C52),)</f>
        <v>0</v>
      </c>
      <c r="E82" s="13">
        <f>-SUMIF('CF(M)'!$L$10:$EQ$10,$C82,'CF(M)'!$L$108:$EQ$108)</f>
        <v>0</v>
      </c>
      <c r="F82" s="13">
        <f>-SUMIF('CF(M)'!$L$10:$EQ$10,$C82,'CF(M)'!$L$99:$EQ$99)</f>
        <v>0</v>
      </c>
      <c r="G82" s="1367">
        <f t="shared" si="73"/>
        <v>0</v>
      </c>
      <c r="H82" s="948">
        <f>IFERROR(SUMIF('FS_Detail(M)'!$L$10:$EQ$10,$C82,'FS_Detail(M)'!$L$76:$EQ$76)/COUNTIF('FS_Detail(M)'!$L$10:$EQ$10,'A&amp;R'!$C82),)+IFERROR(SUMIF('FS_Detail(M)'!$L$10:$EQ$10,$C82,'FS_Detail(M)'!$L$83:$EQ$83)/COUNTIF('FS_Detail(M)'!$L$10:$EQ$10,'A&amp;R'!$C82),)</f>
        <v>14800000</v>
      </c>
      <c r="I82" s="13">
        <f ca="1">-SUMIF('CF(M)'!$L$10:$EQ$10,$C82,'CF(M)'!$L$113:$EQ$113)</f>
        <v>0</v>
      </c>
      <c r="J82" s="13">
        <f>-SUMIF('CF(M)'!$L$10:$EQ$10,$C82,'CF(M)'!$L$114:$EQ$114)</f>
        <v>0</v>
      </c>
      <c r="K82" s="1705">
        <f t="shared" ca="1" si="72"/>
        <v>0</v>
      </c>
      <c r="L82" s="126" t="s">
        <v>148</v>
      </c>
      <c r="M82" s="127"/>
      <c r="N82" s="882" t="s">
        <v>149</v>
      </c>
      <c r="O82" s="128">
        <f>$T$23</f>
        <v>298900000</v>
      </c>
      <c r="P82" s="129">
        <v>2.2300000000000002E-3</v>
      </c>
      <c r="Q82" s="130">
        <f>R82/12</f>
        <v>55545.583333333343</v>
      </c>
      <c r="R82" s="130">
        <f>O82*P82</f>
        <v>666547.00000000012</v>
      </c>
      <c r="S82" s="131">
        <v>6</v>
      </c>
      <c r="T82" s="788">
        <v>0</v>
      </c>
      <c r="U82" s="795">
        <f>EOMONTH($D$37,12)</f>
        <v>46691</v>
      </c>
      <c r="AB82" s="1335">
        <f ca="1">E48/(D48+H48)</f>
        <v>1.1351351351351353E-2</v>
      </c>
      <c r="AV82" s="3040"/>
      <c r="AW82" s="1884" t="s">
        <v>1116</v>
      </c>
      <c r="AX82" s="1929">
        <f>AO44</f>
        <v>9.1542830896573557E-2</v>
      </c>
      <c r="AY82" s="1929">
        <f t="shared" si="82"/>
        <v>9.147521856232288E-2</v>
      </c>
      <c r="AZ82" s="1929">
        <f t="shared" si="82"/>
        <v>9.140766104526965E-2</v>
      </c>
      <c r="BA82" s="1929">
        <f t="shared" si="82"/>
        <v>9.1335310646631473E-2</v>
      </c>
      <c r="BB82" s="1929">
        <f t="shared" si="82"/>
        <v>9.1258128478671097E-2</v>
      </c>
      <c r="BC82" s="1929">
        <f t="shared" si="82"/>
        <v>9.1181020426700732E-2</v>
      </c>
      <c r="BD82" s="1885">
        <f ca="1">BD63</f>
        <v>9.1542830896573557E-2</v>
      </c>
    </row>
    <row r="83" spans="1:56" ht="11.25" customHeight="1">
      <c r="B83" s="66"/>
      <c r="C83" s="1366">
        <f t="shared" si="71"/>
        <v>11</v>
      </c>
      <c r="D83" s="836">
        <f>IFERROR(SUMIF('FS_Detail(M)'!$L$10:$EQ$10,$C53,'FS_Detail(M)'!$L$71:$EQ$71)/COUNTIF('FS_Detail(M)'!$L$10:$EQ$10,'A&amp;R'!$C53),)</f>
        <v>0</v>
      </c>
      <c r="E83" s="13">
        <f>-SUMIF('CF(M)'!$L$10:$EQ$10,$C83,'CF(M)'!$L$108:$EQ$108)</f>
        <v>0</v>
      </c>
      <c r="F83" s="13">
        <f>-SUMIF('CF(M)'!$L$10:$EQ$10,$C83,'CF(M)'!$L$99:$EQ$99)</f>
        <v>0</v>
      </c>
      <c r="G83" s="1367">
        <f t="shared" si="73"/>
        <v>0</v>
      </c>
      <c r="H83" s="948">
        <f>IFERROR(SUMIF('FS_Detail(M)'!$L$10:$EQ$10,$C83,'FS_Detail(M)'!$L$76:$EQ$76)/COUNTIF('FS_Detail(M)'!$L$10:$EQ$10,'A&amp;R'!$C83),)+IFERROR(SUMIF('FS_Detail(M)'!$L$10:$EQ$10,$C83,'FS_Detail(M)'!$L$83:$EQ$83)/COUNTIF('FS_Detail(M)'!$L$10:$EQ$10,'A&amp;R'!$C83),)</f>
        <v>14800000</v>
      </c>
      <c r="I83" s="13">
        <f ca="1">-SUMIF('CF(M)'!$L$10:$EQ$10,$C83,'CF(M)'!$L$113:$EQ$113)</f>
        <v>0</v>
      </c>
      <c r="J83" s="13">
        <f>-SUMIF('CF(M)'!$L$10:$EQ$10,$C83,'CF(M)'!$L$114:$EQ$114)</f>
        <v>0</v>
      </c>
      <c r="K83" s="1705">
        <f t="shared" ca="1" si="72"/>
        <v>0</v>
      </c>
      <c r="L83" s="99" t="s">
        <v>150</v>
      </c>
      <c r="M83" s="2604" t="s">
        <v>1751</v>
      </c>
      <c r="N83" s="883" t="s">
        <v>151</v>
      </c>
      <c r="O83" s="13">
        <f>O82</f>
        <v>298900000</v>
      </c>
      <c r="P83" s="132">
        <f>12000/O83</f>
        <v>4.0147206423553029E-5</v>
      </c>
      <c r="Q83" s="13">
        <f>R83/12</f>
        <v>1000</v>
      </c>
      <c r="R83" s="13">
        <f>O83*P83</f>
        <v>12000</v>
      </c>
      <c r="S83" s="133">
        <v>6</v>
      </c>
      <c r="T83" s="248">
        <v>0</v>
      </c>
      <c r="U83" s="796">
        <f>EOMONTH($D$37,12)</f>
        <v>46691</v>
      </c>
      <c r="AV83" s="3040"/>
      <c r="AW83" s="1884" t="s">
        <v>1117</v>
      </c>
      <c r="AX83" s="1929">
        <f>AO45</f>
        <v>0</v>
      </c>
      <c r="AY83" s="1929">
        <f t="shared" si="82"/>
        <v>0</v>
      </c>
      <c r="AZ83" s="1929">
        <f t="shared" si="82"/>
        <v>0</v>
      </c>
      <c r="BA83" s="1929">
        <f t="shared" si="82"/>
        <v>0</v>
      </c>
      <c r="BB83" s="1929">
        <f t="shared" si="82"/>
        <v>0</v>
      </c>
      <c r="BC83" s="1929">
        <f t="shared" si="82"/>
        <v>0</v>
      </c>
      <c r="BD83" s="1885">
        <f>BD64</f>
        <v>0</v>
      </c>
    </row>
    <row r="84" spans="1:56" s="1071" customFormat="1" ht="11.25" customHeight="1">
      <c r="A84" s="1303"/>
      <c r="B84" s="66"/>
      <c r="C84" s="1366">
        <f t="shared" si="71"/>
        <v>12</v>
      </c>
      <c r="D84" s="836">
        <f>IFERROR(SUMIF('FS_Detail(M)'!$L$10:$EQ$10,$C54,'FS_Detail(M)'!$L$71:$EQ$71)/COUNTIF('FS_Detail(M)'!$L$10:$EQ$10,'A&amp;R'!$C54),)</f>
        <v>0</v>
      </c>
      <c r="E84" s="13">
        <f>-SUMIF('CF(M)'!$L$10:$EQ$10,$C84,'CF(M)'!$L$108:$EQ$108)</f>
        <v>0</v>
      </c>
      <c r="F84" s="13">
        <f>-SUMIF('CF(M)'!$L$10:$EQ$10,$C84,'CF(M)'!$L$99:$EQ$99)</f>
        <v>0</v>
      </c>
      <c r="G84" s="1367">
        <f t="shared" si="73"/>
        <v>0</v>
      </c>
      <c r="H84" s="948">
        <f>IFERROR(SUMIF('FS_Detail(M)'!$L$10:$EQ$10,$C84,'FS_Detail(M)'!$L$76:$EQ$76)/COUNTIF('FS_Detail(M)'!$L$10:$EQ$10,'A&amp;R'!$C84),)+IFERROR(SUMIF('FS_Detail(M)'!$L$10:$EQ$10,$C84,'FS_Detail(M)'!$L$83:$EQ$83)/COUNTIF('FS_Detail(M)'!$L$10:$EQ$10,'A&amp;R'!$C84),)</f>
        <v>14800000</v>
      </c>
      <c r="I84" s="13">
        <f ca="1">-SUMIF('CF(M)'!$L$10:$EQ$10,$C84,'CF(M)'!$L$113:$EQ$113)</f>
        <v>0</v>
      </c>
      <c r="J84" s="13">
        <f>-SUMIF('CF(M)'!$L$10:$EQ$10,$C84,'CF(M)'!$L$114:$EQ$114)</f>
        <v>0</v>
      </c>
      <c r="K84" s="1705">
        <f t="shared" ca="1" si="72"/>
        <v>0</v>
      </c>
      <c r="L84" s="859" t="s">
        <v>152</v>
      </c>
      <c r="M84" s="2605" t="s">
        <v>1741</v>
      </c>
      <c r="N84" s="884" t="s">
        <v>151</v>
      </c>
      <c r="O84" s="860">
        <f>O83</f>
        <v>298900000</v>
      </c>
      <c r="P84" s="861">
        <v>8.7102177554438865E-5</v>
      </c>
      <c r="Q84" s="860">
        <f>R84/12</f>
        <v>2169.570072585148</v>
      </c>
      <c r="R84" s="860">
        <f>O84*P84</f>
        <v>26034.840871021777</v>
      </c>
      <c r="S84" s="862">
        <v>6</v>
      </c>
      <c r="T84" s="863">
        <v>0</v>
      </c>
      <c r="U84" s="864">
        <f>EOMONTH($D$37,12)</f>
        <v>46691</v>
      </c>
      <c r="V84" s="259"/>
      <c r="W84" s="259"/>
      <c r="AC84" s="259"/>
      <c r="AD84" s="259"/>
      <c r="AE84" s="259"/>
      <c r="AF84" s="259"/>
      <c r="AG84" s="259"/>
      <c r="AH84" s="259"/>
      <c r="AI84" s="259"/>
      <c r="AJ84" s="259"/>
      <c r="AK84" s="259"/>
      <c r="AU84" s="259"/>
      <c r="AV84" s="3040"/>
      <c r="AW84" s="1884" t="s">
        <v>225</v>
      </c>
      <c r="AX84" s="1928">
        <f>AO46</f>
        <v>0.16181544839707418</v>
      </c>
      <c r="AY84" s="1928">
        <f t="shared" si="82"/>
        <v>0.16113432483992063</v>
      </c>
      <c r="AZ84" s="1928">
        <f t="shared" si="82"/>
        <v>0.16045573998086549</v>
      </c>
      <c r="BA84" s="1928">
        <f t="shared" si="82"/>
        <v>0.15977967227379031</v>
      </c>
      <c r="BB84" s="1928">
        <f t="shared" si="82"/>
        <v>0.15910610041971673</v>
      </c>
      <c r="BC84" s="1928">
        <f t="shared" si="82"/>
        <v>0.15843500336315919</v>
      </c>
      <c r="BD84" s="1885">
        <f ca="1">BD65</f>
        <v>0.16181544839707418</v>
      </c>
    </row>
    <row r="85" spans="1:56" ht="11.25" customHeight="1">
      <c r="B85" s="66"/>
      <c r="C85" s="1366">
        <f t="shared" si="71"/>
        <v>13</v>
      </c>
      <c r="D85" s="836">
        <f>IFERROR(SUMIF('FS_Detail(M)'!$L$10:$EQ$10,$C55,'FS_Detail(M)'!$L$71:$EQ$71)/COUNTIF('FS_Detail(M)'!$L$10:$EQ$10,'A&amp;R'!$C55),)</f>
        <v>0</v>
      </c>
      <c r="E85" s="13">
        <f>-SUMIF('CF(M)'!$L$10:$EQ$10,$C85,'CF(M)'!$L$108:$EQ$108)</f>
        <v>0</v>
      </c>
      <c r="F85" s="13">
        <f>-SUMIF('CF(M)'!$L$10:$EQ$10,$C85,'CF(M)'!$L$99:$EQ$99)</f>
        <v>0</v>
      </c>
      <c r="G85" s="1367">
        <f t="shared" si="73"/>
        <v>0</v>
      </c>
      <c r="H85" s="948">
        <f>IFERROR(SUMIF('FS_Detail(M)'!$L$10:$EQ$10,$C85,'FS_Detail(M)'!$L$76:$EQ$76)/COUNTIF('FS_Detail(M)'!$L$10:$EQ$10,'A&amp;R'!$C85),)+IFERROR(SUMIF('FS_Detail(M)'!$L$10:$EQ$10,$C85,'FS_Detail(M)'!$L$83:$EQ$83)/COUNTIF('FS_Detail(M)'!$L$10:$EQ$10,'A&amp;R'!$C85),)</f>
        <v>14800000</v>
      </c>
      <c r="I85" s="13">
        <f ca="1">-SUMIF('CF(M)'!$L$10:$EQ$10,$C85,'CF(M)'!$L$113:$EQ$113)</f>
        <v>0</v>
      </c>
      <c r="J85" s="13">
        <f>-SUMIF('CF(M)'!$L$10:$EQ$10,$C85,'CF(M)'!$L$114:$EQ$114)</f>
        <v>0</v>
      </c>
      <c r="K85" s="1705">
        <f t="shared" ca="1" si="72"/>
        <v>0</v>
      </c>
      <c r="AK85" s="1071"/>
      <c r="AL85" s="1071"/>
      <c r="AM85" s="1071"/>
      <c r="AN85" s="1071"/>
      <c r="AO85" s="1071"/>
      <c r="AP85" s="1071"/>
      <c r="AQ85" s="1071"/>
      <c r="AR85" s="1071"/>
      <c r="AS85" s="1071"/>
      <c r="AT85" s="1071"/>
      <c r="AU85" s="1071"/>
      <c r="AV85" s="3041"/>
      <c r="AW85" s="1884" t="s">
        <v>1125</v>
      </c>
      <c r="AX85" s="1929">
        <f>AO47</f>
        <v>0.10214270785652579</v>
      </c>
      <c r="AY85" s="1929">
        <f t="shared" si="82"/>
        <v>0.10196571327005177</v>
      </c>
      <c r="AZ85" s="1929">
        <f t="shared" si="82"/>
        <v>0.10178888004397058</v>
      </c>
      <c r="BA85" s="1929">
        <f t="shared" si="82"/>
        <v>0.10160966672769622</v>
      </c>
      <c r="BB85" s="1929">
        <f t="shared" si="82"/>
        <v>0.10142804605249145</v>
      </c>
      <c r="BC85" s="1929">
        <f t="shared" si="82"/>
        <v>0.10124660294964993</v>
      </c>
      <c r="BD85" s="1885">
        <f ca="1">BD66</f>
        <v>0.10214270785652579</v>
      </c>
    </row>
    <row r="86" spans="1:56" ht="11.25" customHeight="1">
      <c r="B86" s="66"/>
      <c r="C86" s="1366">
        <f t="shared" si="71"/>
        <v>14</v>
      </c>
      <c r="D86" s="836">
        <f>IFERROR(SUMIF('FS_Detail(M)'!$L$10:$EQ$10,$C56,'FS_Detail(M)'!$L$71:$EQ$71)/COUNTIF('FS_Detail(M)'!$L$10:$EQ$10,'A&amp;R'!$C56),)</f>
        <v>0</v>
      </c>
      <c r="E86" s="13">
        <f>-SUMIF('CF(M)'!$L$10:$EQ$10,$C86,'CF(M)'!$L$108:$EQ$108)</f>
        <v>0</v>
      </c>
      <c r="F86" s="13">
        <f>-SUMIF('CF(M)'!$L$10:$EQ$10,$C86,'CF(M)'!$L$99:$EQ$99)</f>
        <v>0</v>
      </c>
      <c r="G86" s="1367">
        <f t="shared" si="73"/>
        <v>0</v>
      </c>
      <c r="H86" s="948">
        <f>IFERROR(SUMIF('FS_Detail(M)'!$L$10:$EQ$10,$C86,'FS_Detail(M)'!$L$76:$EQ$76)/COUNTIF('FS_Detail(M)'!$L$10:$EQ$10,'A&amp;R'!$C86),)+IFERROR(SUMIF('FS_Detail(M)'!$L$10:$EQ$10,$C86,'FS_Detail(M)'!$L$83:$EQ$83)/COUNTIF('FS_Detail(M)'!$L$10:$EQ$10,'A&amp;R'!$C86),)</f>
        <v>14800000</v>
      </c>
      <c r="I86" s="13">
        <f ca="1">-SUMIF('CF(M)'!$L$10:$EQ$10,$C86,'CF(M)'!$L$113:$EQ$113)</f>
        <v>0</v>
      </c>
      <c r="J86" s="13">
        <f>-SUMIF('CF(M)'!$L$10:$EQ$10,$C86,'CF(M)'!$L$114:$EQ$114)</f>
        <v>0</v>
      </c>
      <c r="K86" s="1705">
        <f t="shared" ca="1" si="72"/>
        <v>0</v>
      </c>
      <c r="L86" s="5"/>
      <c r="M86" s="5"/>
      <c r="N86" s="883"/>
      <c r="O86" s="13"/>
      <c r="P86" s="132"/>
      <c r="Q86" s="13"/>
      <c r="R86" s="13"/>
      <c r="S86" s="133"/>
      <c r="T86" s="248"/>
      <c r="U86" s="146"/>
      <c r="V86" s="13"/>
      <c r="AK86" s="1071"/>
      <c r="AL86" s="1071"/>
      <c r="AM86" s="1071"/>
      <c r="AN86" s="1071"/>
      <c r="AO86" s="1071"/>
      <c r="AP86" s="1071"/>
      <c r="AQ86" s="1071"/>
      <c r="AR86" s="1071"/>
      <c r="AS86" s="1071"/>
      <c r="AT86" s="1071"/>
      <c r="AU86" s="1071"/>
      <c r="AV86" s="3039" t="s">
        <v>1133</v>
      </c>
      <c r="AW86" s="1884" t="s">
        <v>1134</v>
      </c>
      <c r="AX86" s="1907">
        <f>AO54</f>
        <v>6.7118843830184707</v>
      </c>
      <c r="AY86" s="1907">
        <f t="shared" ref="AY86:BC89" si="83">BB54</f>
        <v>6.7019367390394127</v>
      </c>
      <c r="AZ86" s="1907">
        <f t="shared" si="83"/>
        <v>6.6919890950603556</v>
      </c>
      <c r="BA86" s="1907">
        <f t="shared" si="83"/>
        <v>6.6820414510812975</v>
      </c>
      <c r="BB86" s="1907">
        <f t="shared" si="83"/>
        <v>6.6720938071022413</v>
      </c>
      <c r="BC86" s="1907">
        <f t="shared" si="83"/>
        <v>6.6621461631231824</v>
      </c>
      <c r="BD86" s="1402"/>
    </row>
    <row r="87" spans="1:56" ht="11.25" customHeight="1">
      <c r="B87" s="66"/>
      <c r="C87" s="1366">
        <f t="shared" si="71"/>
        <v>15</v>
      </c>
      <c r="D87" s="836">
        <f>IFERROR(SUMIF('FS_Detail(M)'!$L$10:$EQ$10,$C57,'FS_Detail(M)'!$L$71:$EQ$71)/COUNTIF('FS_Detail(M)'!$L$10:$EQ$10,'A&amp;R'!$C57),)</f>
        <v>0</v>
      </c>
      <c r="E87" s="13">
        <f>-SUMIF('CF(M)'!$L$10:$EQ$10,$C87,'CF(M)'!$L$108:$EQ$108)</f>
        <v>0</v>
      </c>
      <c r="F87" s="13">
        <f>-SUMIF('CF(M)'!$L$10:$EQ$10,$C87,'CF(M)'!$L$99:$EQ$99)</f>
        <v>0</v>
      </c>
      <c r="G87" s="1367">
        <f t="shared" si="73"/>
        <v>0</v>
      </c>
      <c r="H87" s="948">
        <f>IFERROR(SUMIF('FS_Detail(M)'!$L$10:$EQ$10,$C87,'FS_Detail(M)'!$L$76:$EQ$76)/COUNTIF('FS_Detail(M)'!$L$10:$EQ$10,'A&amp;R'!$C87),)+IFERROR(SUMIF('FS_Detail(M)'!$L$10:$EQ$10,$C87,'FS_Detail(M)'!$L$83:$EQ$83)/COUNTIF('FS_Detail(M)'!$L$10:$EQ$10,'A&amp;R'!$C87),)</f>
        <v>14800000</v>
      </c>
      <c r="I87" s="13">
        <f ca="1">-SUMIF('CF(M)'!$L$10:$EQ$10,$C87,'CF(M)'!$L$113:$EQ$113)</f>
        <v>0</v>
      </c>
      <c r="J87" s="13">
        <f>-SUMIF('CF(M)'!$L$10:$EQ$10,$C87,'CF(M)'!$L$114:$EQ$114)</f>
        <v>0</v>
      </c>
      <c r="K87" s="1705">
        <f t="shared" ca="1" si="72"/>
        <v>0</v>
      </c>
      <c r="L87" s="2686" t="s">
        <v>1885</v>
      </c>
      <c r="M87" s="883"/>
      <c r="N87" s="13"/>
      <c r="O87" s="132"/>
      <c r="P87" s="13"/>
      <c r="Q87" s="13"/>
      <c r="R87" s="133"/>
      <c r="S87" s="248"/>
      <c r="T87" s="146"/>
      <c r="AC87" s="1071"/>
      <c r="AD87" s="1071"/>
      <c r="AE87" s="1071"/>
      <c r="AF87" s="1071"/>
      <c r="AG87" s="1071"/>
      <c r="AH87" s="1071"/>
      <c r="AI87" s="1071"/>
      <c r="AK87" s="1071"/>
      <c r="AL87" s="1071"/>
      <c r="AM87" s="1071"/>
      <c r="AN87" s="1071"/>
      <c r="AO87" s="1071"/>
      <c r="AP87" s="1071"/>
      <c r="AQ87" s="1071"/>
      <c r="AR87" s="1071"/>
      <c r="AS87" s="1071"/>
      <c r="AT87" s="1071"/>
      <c r="AU87" s="1071"/>
      <c r="AV87" s="3040"/>
      <c r="AW87" s="1884" t="s">
        <v>1135</v>
      </c>
      <c r="AX87" s="1908">
        <f>AO55</f>
        <v>5.1692335369214835</v>
      </c>
      <c r="AY87" s="1908">
        <f t="shared" si="83"/>
        <v>5.1223286000661377</v>
      </c>
      <c r="AZ87" s="1908">
        <f t="shared" si="83"/>
        <v>5.076131521670086</v>
      </c>
      <c r="BA87" s="1908">
        <f t="shared" si="83"/>
        <v>5.0306263979366497</v>
      </c>
      <c r="BB87" s="1908">
        <f t="shared" si="83"/>
        <v>4.985797797951987</v>
      </c>
      <c r="BC87" s="1908">
        <f t="shared" si="83"/>
        <v>4.9416307462389426</v>
      </c>
      <c r="BD87" s="1402"/>
    </row>
    <row r="88" spans="1:56" ht="11.25" customHeight="1">
      <c r="B88" s="66"/>
      <c r="C88" s="1366">
        <f t="shared" si="71"/>
        <v>16</v>
      </c>
      <c r="D88" s="836">
        <f>IFERROR(SUMIF('FS_Detail(M)'!$L$10:$EQ$10,$C58,'FS_Detail(M)'!$L$71:$EQ$71)/COUNTIF('FS_Detail(M)'!$L$10:$EQ$10,'A&amp;R'!$C58),)</f>
        <v>0</v>
      </c>
      <c r="E88" s="13">
        <f>-SUMIF('CF(M)'!$L$10:$EQ$10,$C88,'CF(M)'!$L$108:$EQ$108)</f>
        <v>0</v>
      </c>
      <c r="F88" s="13">
        <f>-SUMIF('CF(M)'!$L$10:$EQ$10,$C88,'CF(M)'!$L$99:$EQ$99)</f>
        <v>0</v>
      </c>
      <c r="G88" s="1367">
        <f t="shared" si="73"/>
        <v>0</v>
      </c>
      <c r="H88" s="948">
        <f>IFERROR(SUMIF('FS_Detail(M)'!$L$10:$EQ$10,$C88,'FS_Detail(M)'!$L$76:$EQ$76)/COUNTIF('FS_Detail(M)'!$L$10:$EQ$10,'A&amp;R'!$C88),)+IFERROR(SUMIF('FS_Detail(M)'!$L$10:$EQ$10,$C88,'FS_Detail(M)'!$L$83:$EQ$83)/COUNTIF('FS_Detail(M)'!$L$10:$EQ$10,'A&amp;R'!$C88),)</f>
        <v>14800000</v>
      </c>
      <c r="I88" s="13">
        <f ca="1">-SUMIF('CF(M)'!$L$10:$EQ$10,$C88,'CF(M)'!$L$113:$EQ$113)</f>
        <v>0</v>
      </c>
      <c r="J88" s="13">
        <f>-SUMIF('CF(M)'!$L$10:$EQ$10,$C88,'CF(M)'!$L$114:$EQ$114)</f>
        <v>0</v>
      </c>
      <c r="K88" s="1705">
        <f t="shared" ca="1" si="72"/>
        <v>0</v>
      </c>
      <c r="L88" s="5"/>
      <c r="M88" s="883"/>
      <c r="N88" s="13"/>
      <c r="O88" s="132"/>
      <c r="P88" s="13"/>
      <c r="Q88" s="13"/>
      <c r="R88" s="133"/>
      <c r="S88" s="248"/>
      <c r="T88" s="146"/>
      <c r="W88" s="1071"/>
      <c r="AC88" s="1071"/>
      <c r="AD88" s="1071"/>
      <c r="AE88" s="1071"/>
      <c r="AF88" s="1071"/>
      <c r="AG88" s="1071"/>
      <c r="AH88" s="1071"/>
      <c r="AI88" s="1071"/>
      <c r="AK88" s="1071"/>
      <c r="AL88" s="1071"/>
      <c r="AM88" s="1071"/>
      <c r="AN88" s="1071"/>
      <c r="AO88" s="1071"/>
      <c r="AP88" s="1071"/>
      <c r="AQ88" s="1071"/>
      <c r="AR88" s="1071"/>
      <c r="AS88" s="1071"/>
      <c r="AT88" s="1071"/>
      <c r="AU88" s="1071"/>
      <c r="AV88" s="3040"/>
      <c r="AW88" s="1884" t="s">
        <v>1115</v>
      </c>
      <c r="AX88" s="1907">
        <f>AO56</f>
        <v>4.4935124721824842</v>
      </c>
      <c r="AY88" s="1907">
        <f t="shared" si="83"/>
        <v>4.4569954457040604</v>
      </c>
      <c r="AZ88" s="1907">
        <f t="shared" si="83"/>
        <v>4.4209705438864209</v>
      </c>
      <c r="BA88" s="1907">
        <f t="shared" si="83"/>
        <v>4.3854276977593827</v>
      </c>
      <c r="BB88" s="1907">
        <f t="shared" si="83"/>
        <v>4.3503571158004934</v>
      </c>
      <c r="BC88" s="1907">
        <f t="shared" si="83"/>
        <v>4.315749274305011</v>
      </c>
      <c r="BD88" s="1402"/>
    </row>
    <row r="89" spans="1:56" ht="11.25" customHeight="1">
      <c r="B89" s="66"/>
      <c r="C89" s="1366">
        <f t="shared" si="71"/>
        <v>17</v>
      </c>
      <c r="D89" s="836">
        <f>IFERROR(SUMIF('FS_Detail(M)'!$L$10:$EQ$10,$C59,'FS_Detail(M)'!$L$71:$EQ$71)/COUNTIF('FS_Detail(M)'!$L$10:$EQ$10,'A&amp;R'!$C59),)</f>
        <v>0</v>
      </c>
      <c r="E89" s="13">
        <f>-SUMIF('CF(M)'!$L$10:$EQ$10,$C89,'CF(M)'!$L$108:$EQ$108)</f>
        <v>0</v>
      </c>
      <c r="F89" s="13">
        <f>-SUMIF('CF(M)'!$L$10:$EQ$10,$C89,'CF(M)'!$L$99:$EQ$99)</f>
        <v>0</v>
      </c>
      <c r="G89" s="1367">
        <f t="shared" si="73"/>
        <v>0</v>
      </c>
      <c r="H89" s="948">
        <f>IFERROR(SUMIF('FS_Detail(M)'!$L$10:$EQ$10,$C89,'FS_Detail(M)'!$L$76:$EQ$76)/COUNTIF('FS_Detail(M)'!$L$10:$EQ$10,'A&amp;R'!$C89),)+IFERROR(SUMIF('FS_Detail(M)'!$L$10:$EQ$10,$C89,'FS_Detail(M)'!$L$83:$EQ$83)/COUNTIF('FS_Detail(M)'!$L$10:$EQ$10,'A&amp;R'!$C89),)</f>
        <v>14800000</v>
      </c>
      <c r="I89" s="13">
        <f ca="1">-SUMIF('CF(M)'!$L$10:$EQ$10,$C89,'CF(M)'!$L$113:$EQ$113)</f>
        <v>0</v>
      </c>
      <c r="J89" s="13">
        <f>-SUMIF('CF(M)'!$L$10:$EQ$10,$C89,'CF(M)'!$L$114:$EQ$114)</f>
        <v>0</v>
      </c>
      <c r="K89" s="1705">
        <f t="shared" ca="1" si="72"/>
        <v>0</v>
      </c>
      <c r="L89" s="259" t="s">
        <v>24</v>
      </c>
      <c r="M89" s="270" t="s">
        <v>1737</v>
      </c>
      <c r="N89" s="270" t="s">
        <v>25</v>
      </c>
      <c r="O89" s="270" t="s">
        <v>28</v>
      </c>
      <c r="P89" s="270" t="s">
        <v>1705</v>
      </c>
      <c r="Q89" s="270" t="s">
        <v>1697</v>
      </c>
      <c r="R89" s="270" t="s">
        <v>610</v>
      </c>
      <c r="S89" s="270" t="s">
        <v>543</v>
      </c>
      <c r="T89" s="270" t="s">
        <v>545</v>
      </c>
      <c r="U89" s="270" t="s">
        <v>1738</v>
      </c>
      <c r="AF89" s="132"/>
      <c r="AG89" s="13"/>
      <c r="AH89" s="13"/>
      <c r="AI89" s="133"/>
      <c r="AJ89" s="248"/>
      <c r="AK89" s="146"/>
      <c r="AQ89" s="1071"/>
      <c r="AR89" s="1071"/>
      <c r="AS89" s="1071"/>
      <c r="AT89" s="1071"/>
      <c r="AU89" s="1071"/>
      <c r="AV89" s="3042"/>
      <c r="AW89" s="1906" t="s">
        <v>1116</v>
      </c>
      <c r="AX89" s="1909">
        <f>AO57</f>
        <v>3.7734742140046702</v>
      </c>
      <c r="AY89" s="1909">
        <f t="shared" si="83"/>
        <v>3.745198072923861</v>
      </c>
      <c r="AZ89" s="1909">
        <f t="shared" si="83"/>
        <v>3.7172908813143914</v>
      </c>
      <c r="BA89" s="1909">
        <f t="shared" si="83"/>
        <v>3.6897449721524178</v>
      </c>
      <c r="BB89" s="1909">
        <f t="shared" si="83"/>
        <v>3.6625528974785357</v>
      </c>
      <c r="BC89" s="1909">
        <f t="shared" si="83"/>
        <v>3.6357074204745548</v>
      </c>
      <c r="BD89" s="1402"/>
    </row>
    <row r="90" spans="1:56" ht="11.25" customHeight="1">
      <c r="B90" s="66"/>
      <c r="C90" s="1366">
        <f t="shared" si="71"/>
        <v>18</v>
      </c>
      <c r="D90" s="836">
        <f>IFERROR(SUMIF('FS_Detail(M)'!$L$10:$EQ$10,$C60,'FS_Detail(M)'!$L$71:$EQ$71)/COUNTIF('FS_Detail(M)'!$L$10:$EQ$10,'A&amp;R'!$C60),)</f>
        <v>0</v>
      </c>
      <c r="E90" s="13">
        <f>-SUMIF('CF(M)'!$L$10:$EQ$10,$C90,'CF(M)'!$L$108:$EQ$108)</f>
        <v>0</v>
      </c>
      <c r="F90" s="13">
        <f>-SUMIF('CF(M)'!$L$10:$EQ$10,$C90,'CF(M)'!$L$99:$EQ$99)</f>
        <v>0</v>
      </c>
      <c r="G90" s="1367">
        <f t="shared" si="73"/>
        <v>0</v>
      </c>
      <c r="H90" s="948">
        <f>IFERROR(SUMIF('FS_Detail(M)'!$L$10:$EQ$10,$C90,'FS_Detail(M)'!$L$76:$EQ$76)/COUNTIF('FS_Detail(M)'!$L$10:$EQ$10,'A&amp;R'!$C90),)+IFERROR(SUMIF('FS_Detail(M)'!$L$10:$EQ$10,$C90,'FS_Detail(M)'!$L$83:$EQ$83)/COUNTIF('FS_Detail(M)'!$L$10:$EQ$10,'A&amp;R'!$C90),)</f>
        <v>14800000</v>
      </c>
      <c r="I90" s="13">
        <f ca="1">-SUMIF('CF(M)'!$L$10:$EQ$10,$C90,'CF(M)'!$L$113:$EQ$113)</f>
        <v>0</v>
      </c>
      <c r="J90" s="13">
        <f>-SUMIF('CF(M)'!$L$10:$EQ$10,$C90,'CF(M)'!$L$114:$EQ$114)</f>
        <v>0</v>
      </c>
      <c r="K90" s="1705">
        <f t="shared" ca="1" si="72"/>
        <v>0</v>
      </c>
      <c r="L90" s="2588">
        <v>1</v>
      </c>
      <c r="M90" s="1074">
        <v>1</v>
      </c>
      <c r="N90" s="1960">
        <f>P41</f>
        <v>24000000</v>
      </c>
      <c r="O90" s="1961">
        <f t="shared" ref="O90:O95" si="84">N90/SUM($N$90:$N$95)</f>
        <v>0.24291497975708501</v>
      </c>
      <c r="P90" s="2591">
        <f>간주취득세!F13/1000</f>
        <v>25</v>
      </c>
      <c r="Q90" s="2591">
        <v>1</v>
      </c>
      <c r="R90" s="2594">
        <f>N90/P90</f>
        <v>960000</v>
      </c>
      <c r="S90" s="1960">
        <f>Q90*R90</f>
        <v>960000</v>
      </c>
      <c r="T90" s="1960">
        <f>N90-S90</f>
        <v>23040000</v>
      </c>
      <c r="U90" s="2598">
        <f>R90/SUM($R$90,$R$91,$R$95)</f>
        <v>0.21052631578947367</v>
      </c>
      <c r="AF90" s="132"/>
      <c r="AG90" s="13"/>
      <c r="AH90" s="13"/>
      <c r="AI90" s="133"/>
      <c r="AJ90" s="248"/>
      <c r="AK90" s="146"/>
      <c r="AQ90" s="1071"/>
      <c r="AR90" s="1071"/>
      <c r="AS90" s="1071"/>
      <c r="AT90" s="1071"/>
      <c r="AU90" s="1071"/>
      <c r="AV90" s="1071"/>
      <c r="AW90" s="1071"/>
    </row>
    <row r="91" spans="1:56" ht="11.25" customHeight="1">
      <c r="B91" s="66"/>
      <c r="C91" s="1366">
        <f t="shared" si="71"/>
        <v>19</v>
      </c>
      <c r="D91" s="836">
        <f>IFERROR(SUMIF('FS_Detail(M)'!$L$10:$EQ$10,$C61,'FS_Detail(M)'!$L$71:$EQ$71)/COUNTIF('FS_Detail(M)'!$L$10:$EQ$10,'A&amp;R'!$C61),)</f>
        <v>0</v>
      </c>
      <c r="E91" s="13">
        <f>-SUMIF('CF(M)'!$L$10:$EQ$10,$C91,'CF(M)'!$L$108:$EQ$108)</f>
        <v>0</v>
      </c>
      <c r="F91" s="13">
        <f>-SUMIF('CF(M)'!$L$10:$EQ$10,$C91,'CF(M)'!$L$99:$EQ$99)</f>
        <v>0</v>
      </c>
      <c r="G91" s="1367">
        <f t="shared" si="73"/>
        <v>0</v>
      </c>
      <c r="H91" s="948">
        <f>IFERROR(SUMIF('FS_Detail(M)'!$L$10:$EQ$10,$C91,'FS_Detail(M)'!$L$76:$EQ$76)/COUNTIF('FS_Detail(M)'!$L$10:$EQ$10,'A&amp;R'!$C91),)+IFERROR(SUMIF('FS_Detail(M)'!$L$10:$EQ$10,$C91,'FS_Detail(M)'!$L$83:$EQ$83)/COUNTIF('FS_Detail(M)'!$L$10:$EQ$10,'A&amp;R'!$C91),)</f>
        <v>14800000</v>
      </c>
      <c r="I91" s="13">
        <f ca="1">-SUMIF('CF(M)'!$L$10:$EQ$10,$C91,'CF(M)'!$L$113:$EQ$113)</f>
        <v>0</v>
      </c>
      <c r="J91" s="13">
        <f>-SUMIF('CF(M)'!$L$10:$EQ$10,$C91,'CF(M)'!$L$114:$EQ$114)</f>
        <v>0</v>
      </c>
      <c r="K91" s="1705">
        <f t="shared" ca="1" si="72"/>
        <v>0</v>
      </c>
      <c r="L91" s="2589" t="s">
        <v>2674</v>
      </c>
      <c r="M91" s="259">
        <v>1</v>
      </c>
      <c r="N91" s="1732">
        <f>간주취득세!D15*1000</f>
        <v>16000000</v>
      </c>
      <c r="O91" s="1681">
        <f t="shared" si="84"/>
        <v>0.16194331983805668</v>
      </c>
      <c r="P91" s="2592">
        <f>간주취득세!F14/1000</f>
        <v>25</v>
      </c>
      <c r="Q91" s="2592">
        <v>1</v>
      </c>
      <c r="R91" s="2595">
        <f t="shared" ref="R91:R92" si="85">N91/P91</f>
        <v>640000</v>
      </c>
      <c r="S91" s="2597">
        <f t="shared" ref="S91:S92" si="86">Q91*R91</f>
        <v>640000</v>
      </c>
      <c r="T91" s="2597">
        <f t="shared" ref="T91:T92" si="87">N91-S91</f>
        <v>15360000</v>
      </c>
      <c r="U91" s="2599">
        <f>R91/SUM($R$90,$R$91,$R$95)</f>
        <v>0.14035087719298245</v>
      </c>
      <c r="AH91" s="1012" t="s">
        <v>606</v>
      </c>
      <c r="AI91" s="883"/>
      <c r="AJ91" s="13"/>
      <c r="AK91" s="132"/>
      <c r="AQ91" s="1071"/>
      <c r="AR91" s="1071"/>
    </row>
    <row r="92" spans="1:56" ht="11.25" customHeight="1">
      <c r="B92" s="871"/>
      <c r="C92" s="1368">
        <f t="shared" si="71"/>
        <v>20</v>
      </c>
      <c r="D92" s="836">
        <f>IFERROR(SUMIF('FS_Detail(M)'!$L$10:$EQ$10,$C62,'FS_Detail(M)'!$L$71:$EQ$71)/COUNTIF('FS_Detail(M)'!$L$10:$EQ$10,'A&amp;R'!$C62),)</f>
        <v>0</v>
      </c>
      <c r="E92" s="13">
        <f>-SUMIF('CF(M)'!$L$10:$EQ$10,$C92,'CF(M)'!$L$108:$EQ$108)</f>
        <v>0</v>
      </c>
      <c r="F92" s="13">
        <f>-SUMIF('CF(M)'!$L$10:$EQ$10,$C92,'CF(M)'!$L$99:$EQ$99)</f>
        <v>0</v>
      </c>
      <c r="G92" s="1367">
        <f t="shared" si="73"/>
        <v>0</v>
      </c>
      <c r="H92" s="948">
        <f>IFERROR(SUMIF('FS_Detail(M)'!$L$10:$EQ$10,$C92,'FS_Detail(M)'!$L$76:$EQ$76)/COUNTIF('FS_Detail(M)'!$L$10:$EQ$10,'A&amp;R'!$C92),)+IFERROR(SUMIF('FS_Detail(M)'!$L$10:$EQ$10,$C92,'FS_Detail(M)'!$L$83:$EQ$83)/COUNTIF('FS_Detail(M)'!$L$10:$EQ$10,'A&amp;R'!$C92),)</f>
        <v>14800000</v>
      </c>
      <c r="I92" s="13">
        <f ca="1">-SUMIF('CF(M)'!$L$10:$EQ$10,$C92,'CF(M)'!$L$113:$EQ$113)</f>
        <v>0</v>
      </c>
      <c r="J92" s="13">
        <f>-SUMIF('CF(M)'!$L$10:$EQ$10,$C92,'CF(M)'!$L$114:$EQ$114)</f>
        <v>47070453.350267738</v>
      </c>
      <c r="K92" s="1705">
        <f t="shared" ca="1" si="72"/>
        <v>6.3608720743605049</v>
      </c>
      <c r="L92" s="2589" t="s">
        <v>2676</v>
      </c>
      <c r="M92" s="259">
        <v>1</v>
      </c>
      <c r="N92" s="783">
        <f>P42-N91-N93</f>
        <v>16000000</v>
      </c>
      <c r="O92" s="1681">
        <f t="shared" si="84"/>
        <v>0.16194331983805668</v>
      </c>
      <c r="P92" s="2592">
        <f>간주취득세!F15/1000</f>
        <v>25</v>
      </c>
      <c r="Q92" s="2592">
        <v>1</v>
      </c>
      <c r="R92" s="2595">
        <f t="shared" si="85"/>
        <v>640000</v>
      </c>
      <c r="S92" s="2597">
        <f t="shared" si="86"/>
        <v>640000</v>
      </c>
      <c r="T92" s="2597">
        <f t="shared" si="87"/>
        <v>15360000</v>
      </c>
      <c r="U92" s="2599">
        <v>0</v>
      </c>
      <c r="AF92" s="1071"/>
      <c r="AG92" s="1071"/>
      <c r="AH92" s="1045" t="s">
        <v>605</v>
      </c>
      <c r="AI92" s="1046"/>
      <c r="AJ92" s="1047"/>
      <c r="AK92" s="1047"/>
      <c r="AL92" s="1047"/>
      <c r="AM92" s="1047"/>
      <c r="AN92" s="1047"/>
      <c r="AO92" s="1047"/>
      <c r="AP92" s="1047"/>
      <c r="AQ92" s="1047"/>
      <c r="AR92" s="1048"/>
      <c r="AU92" s="259" t="s">
        <v>1691</v>
      </c>
    </row>
    <row r="93" spans="1:56" ht="11.25" customHeight="1">
      <c r="B93" s="261"/>
      <c r="C93" s="1369" t="s">
        <v>59</v>
      </c>
      <c r="D93" s="1266">
        <f>SUM(D72:D92)/(O43/6)</f>
        <v>10000000</v>
      </c>
      <c r="E93" s="1090">
        <f ca="1">SUM(E72:E92)</f>
        <v>0</v>
      </c>
      <c r="F93" s="1090">
        <f>SUM(F72:F92)</f>
        <v>0</v>
      </c>
      <c r="G93" s="1267"/>
      <c r="H93" s="1090">
        <f>SUM(H72:H92)/(O44/6)</f>
        <v>14800000</v>
      </c>
      <c r="I93" s="1090">
        <f ca="1">SUM(I72:I92)</f>
        <v>1110000</v>
      </c>
      <c r="J93" s="1090">
        <f>SUM(J72:J92)</f>
        <v>47070453.350267738</v>
      </c>
      <c r="K93" s="1370"/>
      <c r="L93" s="2589" t="s">
        <v>2675</v>
      </c>
      <c r="M93" s="259">
        <v>0</v>
      </c>
      <c r="N93" s="783">
        <v>18000000</v>
      </c>
      <c r="O93" s="1681">
        <f t="shared" si="84"/>
        <v>0.18218623481781376</v>
      </c>
      <c r="P93" s="2592">
        <v>25</v>
      </c>
      <c r="Q93" s="2592">
        <f>Q92</f>
        <v>1</v>
      </c>
      <c r="R93" s="2595">
        <f t="shared" ref="R93" si="88">N93/P93</f>
        <v>720000</v>
      </c>
      <c r="S93" s="2597">
        <f t="shared" ref="S93" si="89">Q93*R93</f>
        <v>720000</v>
      </c>
      <c r="T93" s="2597">
        <f t="shared" ref="T93" si="90">N93-S93</f>
        <v>17280000</v>
      </c>
      <c r="U93" s="2599">
        <v>0</v>
      </c>
      <c r="AH93" s="101" t="s">
        <v>24</v>
      </c>
      <c r="AI93" s="18"/>
      <c r="AJ93" s="945" t="s">
        <v>607</v>
      </c>
      <c r="AK93" s="945" t="s">
        <v>612</v>
      </c>
      <c r="AL93" s="945" t="s">
        <v>625</v>
      </c>
      <c r="AM93" s="945" t="s">
        <v>626</v>
      </c>
      <c r="AN93" s="1080" t="s">
        <v>627</v>
      </c>
      <c r="AO93" s="1080" t="s">
        <v>239</v>
      </c>
      <c r="AP93" s="1080" t="s">
        <v>624</v>
      </c>
      <c r="AQ93" s="1080" t="s">
        <v>59</v>
      </c>
      <c r="AR93" s="1080" t="s">
        <v>263</v>
      </c>
    </row>
    <row r="94" spans="1:56" ht="13.5" customHeight="1" thickBot="1">
      <c r="A94" s="1304">
        <f>E35</f>
        <v>46326</v>
      </c>
      <c r="B94" s="261"/>
      <c r="C94" s="1371" t="s">
        <v>260</v>
      </c>
      <c r="D94" s="119"/>
      <c r="E94" s="5"/>
      <c r="F94" s="5"/>
      <c r="G94" s="952">
        <f>P71</f>
        <v>0</v>
      </c>
      <c r="H94" s="5"/>
      <c r="I94" s="5"/>
      <c r="J94" s="5"/>
      <c r="K94" s="1372">
        <f>P44+'FS_Detail(M)'!J114</f>
        <v>14800000</v>
      </c>
      <c r="L94" s="2589" t="s">
        <v>1736</v>
      </c>
      <c r="M94" s="259">
        <v>0</v>
      </c>
      <c r="N94" s="783">
        <f>P43</f>
        <v>10000000</v>
      </c>
      <c r="O94" s="1681">
        <f t="shared" si="84"/>
        <v>0.10121457489878542</v>
      </c>
      <c r="P94" s="2592">
        <f>간주취득세!F16/1000</f>
        <v>23</v>
      </c>
      <c r="Q94" s="2592">
        <v>1</v>
      </c>
      <c r="R94" s="2595">
        <f>N94/P94</f>
        <v>434782.60869565216</v>
      </c>
      <c r="S94" s="2597">
        <f>Q94*R94</f>
        <v>434782.60869565216</v>
      </c>
      <c r="T94" s="2597">
        <f>N94-S94</f>
        <v>9565217.3913043477</v>
      </c>
      <c r="U94" s="2599">
        <v>0</v>
      </c>
      <c r="AH94" s="1059">
        <f>E35</f>
        <v>46326</v>
      </c>
      <c r="AI94" s="267">
        <v>0</v>
      </c>
      <c r="AJ94" s="1066">
        <v>0.1</v>
      </c>
      <c r="AK94" s="1067">
        <f>SUM(AJ$94:AJ94)</f>
        <v>0.1</v>
      </c>
      <c r="AL94" s="947">
        <v>0</v>
      </c>
      <c r="AM94" s="947"/>
      <c r="AN94" s="1081">
        <f>SUM(AL94:AM94)</f>
        <v>0</v>
      </c>
      <c r="AO94" s="1081">
        <f>SUMIF('FS_Detail(M)'!$L$10:$EQ$10,$AI94,'FS_Detail(M)'!$L$136:$EQ$136)+SUMIF('FS_Detail(M)'!$L$10:$EQ$10,$AI94,'FS_Detail(M)'!$L$141:$EQ$141)</f>
        <v>0</v>
      </c>
      <c r="AP94" s="1081">
        <f ca="1">SUMIF('IS(M)'!$M$11:$ER$11,$AI94,'IS(M)'!$M$100:$ER$100)+SUMIF('IS(M)'!$M$11:$ER$11,$AI94,'IS(M)'!$M$110:$ER$110)</f>
        <v>0</v>
      </c>
      <c r="AQ94" s="1081">
        <f ca="1">SUM(AO94:AP94)</f>
        <v>0</v>
      </c>
      <c r="AR94" s="1088">
        <f ca="1">IFERROR(AQ94/AN94*(12/6),)</f>
        <v>0</v>
      </c>
      <c r="AU94" s="2573"/>
      <c r="AV94" s="2574"/>
      <c r="AW94" s="3035" t="s">
        <v>683</v>
      </c>
      <c r="AX94" s="3036"/>
      <c r="AY94" s="3036"/>
      <c r="AZ94" s="3036"/>
      <c r="BA94" s="3034"/>
    </row>
    <row r="95" spans="1:56" ht="11.25" customHeight="1" thickBot="1">
      <c r="B95" s="1352"/>
      <c r="C95" s="1373" t="s">
        <v>265</v>
      </c>
      <c r="D95" s="1354"/>
      <c r="E95" s="1353"/>
      <c r="F95" s="1353"/>
      <c r="G95" s="1355">
        <f>IFERROR((-'CF(M)'!J136/G94)*(12/O43),)</f>
        <v>0</v>
      </c>
      <c r="H95" s="1353"/>
      <c r="I95" s="1356">
        <v>5.7500000000000002E-2</v>
      </c>
      <c r="J95" s="1353"/>
      <c r="K95" s="1374">
        <f ca="1">(I93/H93)*(12/O44)</f>
        <v>7.4999999999999997E-3</v>
      </c>
      <c r="L95" s="2590" t="s">
        <v>19</v>
      </c>
      <c r="M95" s="675">
        <v>1</v>
      </c>
      <c r="N95" s="1962">
        <f>P44</f>
        <v>14800000</v>
      </c>
      <c r="O95" s="1963">
        <f t="shared" si="84"/>
        <v>0.14979757085020243</v>
      </c>
      <c r="P95" s="2593">
        <f>간주취득세!F17/1000</f>
        <v>5</v>
      </c>
      <c r="Q95" s="2593">
        <v>1</v>
      </c>
      <c r="R95" s="2596">
        <f>N95/P95</f>
        <v>2960000</v>
      </c>
      <c r="S95" s="1962">
        <f>Q95*R95</f>
        <v>2960000</v>
      </c>
      <c r="T95" s="1962">
        <f>N95-S95</f>
        <v>11840000</v>
      </c>
      <c r="U95" s="2600">
        <f>R95/SUM($R$90,$R$91,$R$95)</f>
        <v>0.64912280701754388</v>
      </c>
      <c r="AH95" s="1060">
        <f>EOMONTH(AH94-1,6)</f>
        <v>46507</v>
      </c>
      <c r="AI95" s="268">
        <f t="shared" ref="AI95:AI108" si="91">AI94+1</f>
        <v>1</v>
      </c>
      <c r="AJ95" s="1068">
        <v>0.1</v>
      </c>
      <c r="AK95" s="1069">
        <f>SUM(AJ$94:AJ95)</f>
        <v>0.2</v>
      </c>
      <c r="AL95" s="948">
        <f>IFERROR(SUMIF('FS_Detail(M)'!$L$10:$EQ$10,$AI95,'FS_Detail(M)'!$L$56:$EQ$56)/COUNTIF('FS_Detail(M)'!$L$10:$EQ$10,'A&amp;R'!$AI95),)</f>
        <v>0</v>
      </c>
      <c r="AM95" s="948">
        <f>IFERROR(SUMIF('FS_Detail(M)'!$L$10:$EQ$10,$AI95,'FS_Detail(M)'!$L$83:$EQ$83)/COUNTIF('FS_Detail(M)'!$L$10:$EQ$10,'A&amp;R'!$AI95),)</f>
        <v>0</v>
      </c>
      <c r="AN95" s="1082">
        <f>SUM(AL95:AM95)</f>
        <v>0</v>
      </c>
      <c r="AO95" s="1082">
        <f>SUMIF('FS_Detail(M)'!$L$10:$EQ$10,$AI95,'FS_Detail(M)'!$L$136:$EQ$136)+SUMIF('FS_Detail(M)'!$L$10:$EQ$10,$AI95,'FS_Detail(M)'!$L$141:$EQ$141)</f>
        <v>0</v>
      </c>
      <c r="AP95" s="1082">
        <f ca="1">SUMIF('IS(M)'!$M$11:$ER$11,$AI95,'IS(M)'!$M$100:$ER$100)+SUMIF('IS(M)'!$M$11:$ER$11,$AI95,'IS(M)'!$M$110:$ER$110)</f>
        <v>0</v>
      </c>
      <c r="AQ95" s="1082">
        <f t="shared" ref="AQ95:AQ114" ca="1" si="92">SUM(AO95:AP95)</f>
        <v>0</v>
      </c>
      <c r="AR95" s="1084">
        <f t="shared" ref="AR95:AR114" ca="1" si="93">IFERROR(AQ95/AN95*(12/6),)</f>
        <v>0</v>
      </c>
      <c r="AU95" s="2575"/>
      <c r="AV95" s="2576">
        <f>AN50</f>
        <v>1.7386879167284843</v>
      </c>
      <c r="AW95" s="2569">
        <v>5.1999999999999998E-2</v>
      </c>
      <c r="AX95" s="2569">
        <v>5.3999999999999999E-2</v>
      </c>
      <c r="AY95" s="2569">
        <v>5.6000000000000001E-2</v>
      </c>
      <c r="AZ95" s="2569">
        <v>5.8000000000000003E-2</v>
      </c>
      <c r="BA95" s="2570">
        <v>0.06</v>
      </c>
    </row>
    <row r="96" spans="1:56" ht="11.25" customHeight="1" thickBot="1">
      <c r="B96" s="261"/>
      <c r="C96" s="1371" t="s">
        <v>266</v>
      </c>
      <c r="D96" s="119"/>
      <c r="E96" s="5"/>
      <c r="F96" s="5"/>
      <c r="G96" s="938">
        <f>IFERROR((-SUM('CF(M)'!J136:J145)/G94)*(12/O43),)</f>
        <v>0</v>
      </c>
      <c r="H96" s="5"/>
      <c r="I96" s="1375"/>
      <c r="J96" s="5"/>
      <c r="K96" s="1376">
        <f ca="1">(SUM(I93:J93)/H93)*(12/$O$41)</f>
        <v>0.32554360371802527</v>
      </c>
      <c r="N96" s="783">
        <f>SUM(N90:N95)</f>
        <v>98800000</v>
      </c>
      <c r="O96" s="1681">
        <f>SUM(O90:O95)</f>
        <v>1</v>
      </c>
      <c r="R96" s="2595">
        <f>SUM(R90:R95)</f>
        <v>6354782.6086956523</v>
      </c>
      <c r="S96" s="783">
        <f>SUM(S90:S95)</f>
        <v>6354782.6086956523</v>
      </c>
      <c r="T96" s="783">
        <f>SUM(T90:T95)</f>
        <v>92445217.391304344</v>
      </c>
      <c r="U96" s="2601">
        <f>SUM(U90:U95)</f>
        <v>1</v>
      </c>
      <c r="AH96" s="1060">
        <f t="shared" ref="AH96:AH108" si="94">EOMONTH(AH95-1,6)</f>
        <v>46691</v>
      </c>
      <c r="AI96" s="268">
        <f t="shared" si="91"/>
        <v>2</v>
      </c>
      <c r="AJ96" s="1068">
        <v>0.1</v>
      </c>
      <c r="AK96" s="1069">
        <f>SUM(AJ$94:AJ96)</f>
        <v>0.30000000000000004</v>
      </c>
      <c r="AL96" s="948">
        <f>IFERROR(SUMIF('FS_Detail(M)'!$L$10:$EQ$10,$AI96,'FS_Detail(M)'!$L$56:$EQ$56)/COUNTIF('FS_Detail(M)'!$L$10:$EQ$10,'A&amp;R'!$AI96),)</f>
        <v>0</v>
      </c>
      <c r="AM96" s="948">
        <f>IFERROR(SUMIF('FS_Detail(M)'!$L$10:$EQ$10,$AI96,'FS_Detail(M)'!$L$83:$EQ$83)/COUNTIF('FS_Detail(M)'!$L$10:$EQ$10,'A&amp;R'!$AI96),)</f>
        <v>0</v>
      </c>
      <c r="AN96" s="1082">
        <f t="shared" ref="AN96:AN108" si="95">SUM(AL96:AM96)</f>
        <v>0</v>
      </c>
      <c r="AO96" s="1082">
        <f>SUMIF('FS_Detail(M)'!$L$10:$EQ$10,$AI96,'FS_Detail(M)'!$L$136:$EQ$136)+SUMIF('FS_Detail(M)'!$L$10:$EQ$10,$AI96,'FS_Detail(M)'!$L$141:$EQ$141)</f>
        <v>0</v>
      </c>
      <c r="AP96" s="1082">
        <f ca="1">SUMIF('IS(M)'!$M$11:$ER$11,$AI96,'IS(M)'!$M$100:$ER$100)+SUMIF('IS(M)'!$M$11:$ER$11,$AI96,'IS(M)'!$M$110:$ER$110)</f>
        <v>0</v>
      </c>
      <c r="AQ96" s="1082">
        <f t="shared" ca="1" si="92"/>
        <v>0</v>
      </c>
      <c r="AR96" s="1084">
        <f t="shared" ca="1" si="93"/>
        <v>0</v>
      </c>
      <c r="AU96" s="3032" t="s">
        <v>1239</v>
      </c>
      <c r="AV96" s="2571">
        <v>0.02</v>
      </c>
      <c r="AW96" s="2579">
        <v>1.5582143852796975</v>
      </c>
      <c r="AX96" s="2577">
        <v>1.5005027413804495</v>
      </c>
      <c r="AY96" s="2577">
        <v>1.4469133577597191</v>
      </c>
      <c r="AZ96" s="2577">
        <v>1.3970197936990392</v>
      </c>
      <c r="BA96" s="2578">
        <v>1.3504524672424045</v>
      </c>
    </row>
    <row r="97" spans="2:53" ht="11.25" customHeight="1" thickBot="1">
      <c r="B97" s="261"/>
      <c r="C97" s="1371" t="s">
        <v>630</v>
      </c>
      <c r="D97" s="119"/>
      <c r="E97" s="5"/>
      <c r="F97" s="5"/>
      <c r="G97" s="938">
        <f>'CF(M)'!I129</f>
        <v>0</v>
      </c>
      <c r="H97" s="5"/>
      <c r="I97" s="1375"/>
      <c r="J97" s="5"/>
      <c r="K97" s="1377">
        <f ca="1">'CF(M)'!I131</f>
        <v>7.7792962088110151E-3</v>
      </c>
      <c r="S97" s="883" t="b">
        <f>S96='BS(M)'!K36</f>
        <v>1</v>
      </c>
      <c r="T97" s="883" t="b">
        <f>T96='BS(M)'!K37</f>
        <v>1</v>
      </c>
      <c r="AH97" s="1060">
        <f t="shared" si="94"/>
        <v>46873</v>
      </c>
      <c r="AI97" s="268">
        <f t="shared" si="91"/>
        <v>3</v>
      </c>
      <c r="AJ97" s="1068">
        <v>0.1</v>
      </c>
      <c r="AK97" s="1069">
        <f>SUM(AJ$94:AJ97)</f>
        <v>0.4</v>
      </c>
      <c r="AL97" s="948">
        <f>IFERROR(SUMIF('FS_Detail(M)'!$L$10:$EQ$10,$AI97,'FS_Detail(M)'!$L$56:$EQ$56)/COUNTIF('FS_Detail(M)'!$L$10:$EQ$10,'A&amp;R'!$AI97),)</f>
        <v>0</v>
      </c>
      <c r="AM97" s="948">
        <f>IFERROR(SUMIF('FS_Detail(M)'!$L$10:$EQ$10,$AI97,'FS_Detail(M)'!$L$83:$EQ$83)/COUNTIF('FS_Detail(M)'!$L$10:$EQ$10,'A&amp;R'!$AI97),)</f>
        <v>0</v>
      </c>
      <c r="AN97" s="1082">
        <f t="shared" si="95"/>
        <v>0</v>
      </c>
      <c r="AO97" s="1082">
        <f>SUMIF('FS_Detail(M)'!$L$10:$EQ$10,$AI97,'FS_Detail(M)'!$L$136:$EQ$136)+SUMIF('FS_Detail(M)'!$L$10:$EQ$10,$AI97,'FS_Detail(M)'!$L$141:$EQ$141)</f>
        <v>0</v>
      </c>
      <c r="AP97" s="1082">
        <f ca="1">SUMIF('IS(M)'!$M$11:$ER$11,$AI97,'IS(M)'!$M$100:$ER$100)+SUMIF('IS(M)'!$M$11:$ER$11,$AI97,'IS(M)'!$M$110:$ER$110)</f>
        <v>0</v>
      </c>
      <c r="AQ97" s="1082">
        <f t="shared" ca="1" si="92"/>
        <v>0</v>
      </c>
      <c r="AR97" s="1084">
        <f t="shared" ca="1" si="93"/>
        <v>0</v>
      </c>
      <c r="AU97" s="3033"/>
      <c r="AV97" s="2571">
        <v>0.04</v>
      </c>
      <c r="AW97" s="2577">
        <v>1.5212874624096799</v>
      </c>
      <c r="AX97" s="2577">
        <v>1.4649434823204324</v>
      </c>
      <c r="AY97" s="2577">
        <v>1.4126240722375598</v>
      </c>
      <c r="AZ97" s="2577">
        <v>1.3639128973328165</v>
      </c>
      <c r="BA97" s="2578">
        <v>1.3184491340883893</v>
      </c>
    </row>
    <row r="98" spans="2:53" ht="11.25" customHeight="1" thickBot="1">
      <c r="B98" s="1349"/>
      <c r="C98" s="1378" t="s">
        <v>267</v>
      </c>
      <c r="D98" s="1350"/>
      <c r="E98" s="1379"/>
      <c r="F98" s="1379"/>
      <c r="G98" s="1351">
        <f>'CF(M)'!I130</f>
        <v>0</v>
      </c>
      <c r="H98" s="1379"/>
      <c r="I98" s="1380">
        <v>0.105</v>
      </c>
      <c r="J98" s="1379"/>
      <c r="K98" s="1381">
        <f ca="1">'CF(M)'!I132</f>
        <v>0.16181544839707418</v>
      </c>
      <c r="S98" s="3029">
        <f>'BS(M)'!K36</f>
        <v>6354782.6086956523</v>
      </c>
      <c r="AH98" s="1060">
        <f t="shared" si="94"/>
        <v>47057</v>
      </c>
      <c r="AI98" s="268">
        <f t="shared" si="91"/>
        <v>4</v>
      </c>
      <c r="AJ98" s="1068">
        <v>0.1</v>
      </c>
      <c r="AK98" s="1069">
        <f>SUM(AJ$94:AJ98)</f>
        <v>0.5</v>
      </c>
      <c r="AL98" s="948">
        <f>IFERROR(SUMIF('FS_Detail(M)'!$L$10:$EQ$10,$AI98,'FS_Detail(M)'!$L$56:$EQ$56)/COUNTIF('FS_Detail(M)'!$L$10:$EQ$10,'A&amp;R'!$AI98),)</f>
        <v>0</v>
      </c>
      <c r="AM98" s="948">
        <f>IFERROR(SUMIF('FS_Detail(M)'!$L$10:$EQ$10,$AI98,'FS_Detail(M)'!$L$83:$EQ$83)/COUNTIF('FS_Detail(M)'!$L$10:$EQ$10,'A&amp;R'!$AI98),)</f>
        <v>0</v>
      </c>
      <c r="AN98" s="1082">
        <f t="shared" si="95"/>
        <v>0</v>
      </c>
      <c r="AO98" s="1082">
        <f>SUMIF('FS_Detail(M)'!$L$10:$EQ$10,$AI98,'FS_Detail(M)'!$L$136:$EQ$136)+SUMIF('FS_Detail(M)'!$L$10:$EQ$10,$AI98,'FS_Detail(M)'!$L$141:$EQ$141)</f>
        <v>0</v>
      </c>
      <c r="AP98" s="1082">
        <f ca="1">SUMIF('IS(M)'!$M$11:$ER$11,$AI98,'IS(M)'!$M$100:$ER$100)+SUMIF('IS(M)'!$M$11:$ER$11,$AI98,'IS(M)'!$M$110:$ER$110)</f>
        <v>0</v>
      </c>
      <c r="AQ98" s="1082">
        <f t="shared" ca="1" si="92"/>
        <v>0</v>
      </c>
      <c r="AR98" s="1084">
        <f t="shared" ca="1" si="93"/>
        <v>0</v>
      </c>
      <c r="AU98" s="3033"/>
      <c r="AV98" s="2571">
        <v>0.06</v>
      </c>
      <c r="AW98" s="2577">
        <v>1.4843605395396635</v>
      </c>
      <c r="AX98" s="2577">
        <v>1.4293842232604168</v>
      </c>
      <c r="AY98" s="2577">
        <v>1.3783347867154019</v>
      </c>
      <c r="AZ98" s="2577">
        <v>1.330806000966595</v>
      </c>
      <c r="BA98" s="2578">
        <v>1.2864458009343751</v>
      </c>
    </row>
    <row r="99" spans="2:53" ht="11.25" customHeight="1" thickBot="1">
      <c r="B99" s="859"/>
      <c r="C99" s="1804" t="s">
        <v>268</v>
      </c>
      <c r="D99" s="1805"/>
      <c r="E99" s="180"/>
      <c r="F99" s="180"/>
      <c r="G99" s="1806">
        <f ca="1">IFERROR((SUM(E93:F93)+G94)/G94,)</f>
        <v>0</v>
      </c>
      <c r="H99" s="180"/>
      <c r="I99" s="180"/>
      <c r="J99" s="180"/>
      <c r="K99" s="1807">
        <f ca="1">(SUM(I93:J93)+K94)/K94</f>
        <v>4.2554360371802522</v>
      </c>
      <c r="S99" s="259" t="s">
        <v>1748</v>
      </c>
      <c r="AH99" s="1060">
        <f t="shared" si="94"/>
        <v>47238</v>
      </c>
      <c r="AI99" s="268">
        <f t="shared" si="91"/>
        <v>5</v>
      </c>
      <c r="AJ99" s="1068">
        <v>0.1</v>
      </c>
      <c r="AK99" s="1069">
        <f>SUM(AJ$94:AJ99)</f>
        <v>0.6</v>
      </c>
      <c r="AL99" s="948">
        <f>IFERROR(SUMIF('FS_Detail(M)'!$L$10:$EQ$10,$AI99,'FS_Detail(M)'!$L$56:$EQ$56)/COUNTIF('FS_Detail(M)'!$L$10:$EQ$10,'A&amp;R'!$AI99),)</f>
        <v>0</v>
      </c>
      <c r="AM99" s="948">
        <f>IFERROR(SUMIF('FS_Detail(M)'!$L$10:$EQ$10,$AI99,'FS_Detail(M)'!$L$83:$EQ$83)/COUNTIF('FS_Detail(M)'!$L$10:$EQ$10,'A&amp;R'!$AI99),)</f>
        <v>0</v>
      </c>
      <c r="AN99" s="1082">
        <f t="shared" si="95"/>
        <v>0</v>
      </c>
      <c r="AO99" s="1082">
        <f>SUMIF('FS_Detail(M)'!$L$10:$EQ$10,$AI99,'FS_Detail(M)'!$L$136:$EQ$136)+SUMIF('FS_Detail(M)'!$L$10:$EQ$10,$AI99,'FS_Detail(M)'!$L$141:$EQ$141)</f>
        <v>0</v>
      </c>
      <c r="AP99" s="1082">
        <f ca="1">SUMIF('IS(M)'!$M$11:$ER$11,$AI99,'IS(M)'!$M$100:$ER$100)+SUMIF('IS(M)'!$M$11:$ER$11,$AI99,'IS(M)'!$M$110:$ER$110)</f>
        <v>0</v>
      </c>
      <c r="AQ99" s="1082">
        <f t="shared" ca="1" si="92"/>
        <v>0</v>
      </c>
      <c r="AR99" s="1084">
        <f t="shared" ca="1" si="93"/>
        <v>0</v>
      </c>
      <c r="AU99" s="3033"/>
      <c r="AV99" s="2571">
        <v>0.08</v>
      </c>
      <c r="AW99" s="2577">
        <v>1.4474336166696469</v>
      </c>
      <c r="AX99" s="2577">
        <v>1.3938249642004006</v>
      </c>
      <c r="AY99" s="2577">
        <v>1.3440455011932435</v>
      </c>
      <c r="AZ99" s="2577">
        <v>1.297699104600373</v>
      </c>
      <c r="BA99" s="2578">
        <v>1.2544424677803605</v>
      </c>
    </row>
    <row r="100" spans="2:53" ht="11.25" customHeight="1" thickBot="1">
      <c r="B100" s="3018" t="s">
        <v>843</v>
      </c>
      <c r="C100" s="3018"/>
      <c r="D100" s="3018"/>
      <c r="E100" s="3018"/>
      <c r="F100" s="3018"/>
      <c r="G100" s="3019">
        <f ca="1">SUM(E63,I63,I93,F63,J63,J93)/SUM(D63,H63,H93)*(12/$F$37)</f>
        <v>0.12865773275657058</v>
      </c>
      <c r="H100" s="3018" t="s">
        <v>603</v>
      </c>
      <c r="I100" s="3020">
        <f ca="1">SUM(E63,I63,I93)/SUM(D63,H63,H93)*(12/$F$37)</f>
        <v>6.239864864864865E-2</v>
      </c>
      <c r="J100" s="3018" t="s">
        <v>2654</v>
      </c>
      <c r="K100" s="3020">
        <f ca="1">'CF(M)'!I134</f>
        <v>0.10214270785652579</v>
      </c>
      <c r="Q100" s="259" t="s">
        <v>1749</v>
      </c>
      <c r="R100" s="2607">
        <f>SUM(R92:R94)</f>
        <v>1794782.6086956521</v>
      </c>
      <c r="S100" s="2608">
        <f>R100/$R$101</f>
        <v>0.28243021346469621</v>
      </c>
      <c r="AH100" s="1060">
        <f t="shared" si="94"/>
        <v>47422</v>
      </c>
      <c r="AI100" s="268">
        <f t="shared" si="91"/>
        <v>6</v>
      </c>
      <c r="AJ100" s="1068">
        <v>0.1</v>
      </c>
      <c r="AK100" s="1069">
        <f>SUM(AJ$94:AJ100)</f>
        <v>0.7</v>
      </c>
      <c r="AL100" s="948">
        <f>IFERROR(SUMIF('FS_Detail(M)'!$L$10:$EQ$10,$AI100,'FS_Detail(M)'!$L$56:$EQ$56)/COUNTIF('FS_Detail(M)'!$L$10:$EQ$10,'A&amp;R'!$AI100),)</f>
        <v>0</v>
      </c>
      <c r="AM100" s="948">
        <f>IFERROR(SUMIF('FS_Detail(M)'!$L$10:$EQ$10,$AI100,'FS_Detail(M)'!$L$83:$EQ$83)/COUNTIF('FS_Detail(M)'!$L$10:$EQ$10,'A&amp;R'!$AI100),)</f>
        <v>0</v>
      </c>
      <c r="AN100" s="1082">
        <f t="shared" si="95"/>
        <v>0</v>
      </c>
      <c r="AO100" s="1082">
        <f>SUMIF('FS_Detail(M)'!$L$10:$EQ$10,$AI100,'FS_Detail(M)'!$L$136:$EQ$136)+SUMIF('FS_Detail(M)'!$L$10:$EQ$10,$AI100,'FS_Detail(M)'!$L$141:$EQ$141)</f>
        <v>0</v>
      </c>
      <c r="AP100" s="1082">
        <f ca="1">SUMIF('IS(M)'!$M$11:$ER$11,$AI100,'IS(M)'!$M$100:$ER$100)+SUMIF('IS(M)'!$M$11:$ER$11,$AI100,'IS(M)'!$M$110:$ER$110)</f>
        <v>0</v>
      </c>
      <c r="AQ100" s="1082">
        <f t="shared" ca="1" si="92"/>
        <v>0</v>
      </c>
      <c r="AR100" s="1084">
        <f t="shared" ca="1" si="93"/>
        <v>0</v>
      </c>
      <c r="AU100" s="3033"/>
      <c r="AV100" s="2571">
        <v>0.1</v>
      </c>
      <c r="AW100" s="2577">
        <v>1.4105066937996298</v>
      </c>
      <c r="AX100" s="2577">
        <v>1.3582657051403844</v>
      </c>
      <c r="AY100" s="2577">
        <v>1.3097562156710849</v>
      </c>
      <c r="AZ100" s="2577">
        <v>1.264592208234151</v>
      </c>
      <c r="BA100" s="2578">
        <v>1.2224391346263459</v>
      </c>
    </row>
    <row r="101" spans="2:53" ht="11.25" customHeight="1" thickBot="1">
      <c r="B101" s="3018" t="s">
        <v>2655</v>
      </c>
      <c r="C101" s="3018"/>
      <c r="D101" s="3018"/>
      <c r="E101" s="3018"/>
      <c r="F101" s="3018"/>
      <c r="G101" s="3018"/>
      <c r="H101" s="3018" t="s">
        <v>602</v>
      </c>
      <c r="I101" s="3020">
        <f ca="1">'Sell-down'!AC100</f>
        <v>6.0923863968145635E-2</v>
      </c>
      <c r="J101" s="3018" t="s">
        <v>2654</v>
      </c>
      <c r="K101" s="3020">
        <f ca="1">'Sell-down'!AC102</f>
        <v>0.10707040486475727</v>
      </c>
      <c r="Q101" s="259" t="s">
        <v>1750</v>
      </c>
      <c r="R101" s="2607">
        <f>SUM(R90:R95)</f>
        <v>6354782.6086956523</v>
      </c>
      <c r="S101" s="2601" t="b">
        <f>R100/R101&lt;25%</f>
        <v>0</v>
      </c>
      <c r="AH101" s="1060">
        <f t="shared" si="94"/>
        <v>47603</v>
      </c>
      <c r="AI101" s="268">
        <f t="shared" si="91"/>
        <v>7</v>
      </c>
      <c r="AJ101" s="1068">
        <v>0.1</v>
      </c>
      <c r="AK101" s="1069">
        <f>SUM(AJ$94:AJ101)</f>
        <v>0.79999999999999993</v>
      </c>
      <c r="AL101" s="948">
        <f>IFERROR(SUMIF('FS_Detail(M)'!$L$10:$EQ$10,$AI101,'FS_Detail(M)'!$L$56:$EQ$56)/COUNTIF('FS_Detail(M)'!$L$10:$EQ$10,'A&amp;R'!$AI101),)</f>
        <v>0</v>
      </c>
      <c r="AM101" s="948">
        <f>IFERROR(SUMIF('FS_Detail(M)'!$L$10:$EQ$10,$AI101,'FS_Detail(M)'!$L$83:$EQ$83)/COUNTIF('FS_Detail(M)'!$L$10:$EQ$10,'A&amp;R'!$AI101),)</f>
        <v>0</v>
      </c>
      <c r="AN101" s="1082">
        <f t="shared" si="95"/>
        <v>0</v>
      </c>
      <c r="AO101" s="1082">
        <f>SUMIF('FS_Detail(M)'!$L$10:$EQ$10,$AI101,'FS_Detail(M)'!$L$136:$EQ$136)+SUMIF('FS_Detail(M)'!$L$10:$EQ$10,$AI101,'FS_Detail(M)'!$L$141:$EQ$141)</f>
        <v>0</v>
      </c>
      <c r="AP101" s="1082">
        <f ca="1">SUMIF('IS(M)'!$M$11:$ER$11,$AI101,'IS(M)'!$M$100:$ER$100)+SUMIF('IS(M)'!$M$11:$ER$11,$AI101,'IS(M)'!$M$110:$ER$110)</f>
        <v>0</v>
      </c>
      <c r="AQ101" s="1082">
        <f t="shared" ca="1" si="92"/>
        <v>0</v>
      </c>
      <c r="AR101" s="1084">
        <f t="shared" ca="1" si="93"/>
        <v>0</v>
      </c>
      <c r="AU101" s="3034"/>
      <c r="AV101" s="2572">
        <v>0.12</v>
      </c>
      <c r="AW101" s="2577">
        <v>1.3735797709296134</v>
      </c>
      <c r="AX101" s="2577">
        <v>1.3227064460803684</v>
      </c>
      <c r="AY101" s="2577">
        <v>1.2754669301489265</v>
      </c>
      <c r="AZ101" s="2577">
        <v>1.2314853118679292</v>
      </c>
      <c r="BA101" s="2578">
        <v>1.1904358014723315</v>
      </c>
    </row>
    <row r="102" spans="2:53" ht="11.25" customHeight="1">
      <c r="B102" s="1655" t="s">
        <v>512</v>
      </c>
      <c r="C102" s="1074"/>
      <c r="D102" s="1074"/>
      <c r="E102" s="1074"/>
      <c r="F102" s="1074"/>
      <c r="G102" s="1074"/>
      <c r="H102" s="1074"/>
      <c r="I102" s="1074"/>
      <c r="J102" s="1074"/>
      <c r="K102" s="1656"/>
      <c r="N102" s="13"/>
      <c r="O102" s="132"/>
      <c r="P102" s="2229"/>
      <c r="AH102" s="1060">
        <f t="shared" si="94"/>
        <v>47787</v>
      </c>
      <c r="AI102" s="268">
        <f t="shared" si="91"/>
        <v>8</v>
      </c>
      <c r="AJ102" s="1068">
        <v>0.1</v>
      </c>
      <c r="AK102" s="1069">
        <f>SUM(AJ$94:AJ102)</f>
        <v>0.89999999999999991</v>
      </c>
      <c r="AL102" s="948">
        <f>IFERROR(SUMIF('FS_Detail(M)'!$L$10:$EQ$10,$AI102,'FS_Detail(M)'!$L$56:$EQ$56)/COUNTIF('FS_Detail(M)'!$L$10:$EQ$10,'A&amp;R'!$AI102),)</f>
        <v>0</v>
      </c>
      <c r="AM102" s="948">
        <f>IFERROR(SUMIF('FS_Detail(M)'!$L$10:$EQ$10,$AI102,'FS_Detail(M)'!$L$83:$EQ$83)/COUNTIF('FS_Detail(M)'!$L$10:$EQ$10,'A&amp;R'!$AI102),)</f>
        <v>0</v>
      </c>
      <c r="AN102" s="1082">
        <f t="shared" si="95"/>
        <v>0</v>
      </c>
      <c r="AO102" s="1082">
        <f>SUMIF('FS_Detail(M)'!$L$10:$EQ$10,$AI102,'FS_Detail(M)'!$L$136:$EQ$136)+SUMIF('FS_Detail(M)'!$L$10:$EQ$10,$AI102,'FS_Detail(M)'!$L$141:$EQ$141)</f>
        <v>0</v>
      </c>
      <c r="AP102" s="1082">
        <f ca="1">SUMIF('IS(M)'!$M$11:$ER$11,$AI102,'IS(M)'!$M$100:$ER$100)+SUMIF('IS(M)'!$M$11:$ER$11,$AI102,'IS(M)'!$M$110:$ER$110)</f>
        <v>0</v>
      </c>
      <c r="AQ102" s="1082">
        <f t="shared" ca="1" si="92"/>
        <v>0</v>
      </c>
      <c r="AR102" s="1084">
        <f t="shared" ca="1" si="93"/>
        <v>0</v>
      </c>
    </row>
    <row r="103" spans="2:53" ht="11.25" customHeight="1">
      <c r="B103" s="261" t="s">
        <v>571</v>
      </c>
      <c r="K103" s="264"/>
      <c r="R103" s="1681">
        <f>R95/R96</f>
        <v>0.46579091406677614</v>
      </c>
      <c r="AH103" s="1060">
        <f t="shared" si="94"/>
        <v>47968</v>
      </c>
      <c r="AI103" s="268">
        <f t="shared" si="91"/>
        <v>9</v>
      </c>
      <c r="AJ103" s="1068">
        <v>0.1</v>
      </c>
      <c r="AK103" s="1069">
        <f>SUM(AJ$94:AJ103)</f>
        <v>0.99999999999999989</v>
      </c>
      <c r="AL103" s="948">
        <f>IFERROR(SUMIF('FS_Detail(M)'!$L$10:$EQ$10,$AI103,'FS_Detail(M)'!$L$56:$EQ$56)/COUNTIF('FS_Detail(M)'!$L$10:$EQ$10,'A&amp;R'!$AI103),)</f>
        <v>0</v>
      </c>
      <c r="AM103" s="948">
        <f>IFERROR(SUMIF('FS_Detail(M)'!$L$10:$EQ$10,$AI103,'FS_Detail(M)'!$L$83:$EQ$83)/COUNTIF('FS_Detail(M)'!$L$10:$EQ$10,'A&amp;R'!$AI103),)</f>
        <v>0</v>
      </c>
      <c r="AN103" s="1082">
        <f t="shared" si="95"/>
        <v>0</v>
      </c>
      <c r="AO103" s="1082">
        <f>SUMIF('FS_Detail(M)'!$L$10:$EQ$10,$AI103,'FS_Detail(M)'!$L$136:$EQ$136)+SUMIF('FS_Detail(M)'!$L$10:$EQ$10,$AI103,'FS_Detail(M)'!$L$141:$EQ$141)</f>
        <v>0</v>
      </c>
      <c r="AP103" s="1082">
        <f ca="1">SUMIF('IS(M)'!$M$11:$ER$11,$AI103,'IS(M)'!$M$100:$ER$100)+SUMIF('IS(M)'!$M$11:$ER$11,$AI103,'IS(M)'!$M$110:$ER$110)</f>
        <v>0</v>
      </c>
      <c r="AQ103" s="1082">
        <f t="shared" ca="1" si="92"/>
        <v>0</v>
      </c>
      <c r="AR103" s="1084">
        <f t="shared" ca="1" si="93"/>
        <v>0</v>
      </c>
    </row>
    <row r="104" spans="2:53" ht="11.25" customHeight="1">
      <c r="B104" s="261"/>
      <c r="C104" s="1012" t="s">
        <v>587</v>
      </c>
      <c r="E104" s="1657" t="s">
        <v>591</v>
      </c>
      <c r="F104" s="1011">
        <v>1</v>
      </c>
      <c r="G104" s="259" t="s">
        <v>592</v>
      </c>
      <c r="J104" s="270" t="s">
        <v>1073</v>
      </c>
      <c r="K104" s="264"/>
      <c r="AH104" s="1060">
        <f t="shared" si="94"/>
        <v>48152</v>
      </c>
      <c r="AI104" s="268">
        <f t="shared" si="91"/>
        <v>10</v>
      </c>
      <c r="AJ104" s="1085"/>
      <c r="AK104" s="1069">
        <f>SUM(AJ$94:AJ104)</f>
        <v>0.99999999999999989</v>
      </c>
      <c r="AL104" s="948">
        <f>IFERROR(SUMIF('FS_Detail(M)'!$L$10:$EQ$10,$AI104,'FS_Detail(M)'!$L$56:$EQ$56)/COUNTIF('FS_Detail(M)'!$L$10:$EQ$10,'A&amp;R'!$AI104),)</f>
        <v>0</v>
      </c>
      <c r="AM104" s="948">
        <f>IFERROR(SUMIF('FS_Detail(M)'!$L$10:$EQ$10,$AI104,'FS_Detail(M)'!$L$83:$EQ$83)/COUNTIF('FS_Detail(M)'!$L$10:$EQ$10,'A&amp;R'!$AI104),)</f>
        <v>0</v>
      </c>
      <c r="AN104" s="1082">
        <f t="shared" si="95"/>
        <v>0</v>
      </c>
      <c r="AO104" s="1082">
        <f>SUMIF('FS_Detail(M)'!$L$10:$EQ$10,$AI104,'FS_Detail(M)'!$L$136:$EQ$136)+SUMIF('FS_Detail(M)'!$L$10:$EQ$10,$AI104,'FS_Detail(M)'!$L$141:$EQ$141)</f>
        <v>0</v>
      </c>
      <c r="AP104" s="1082">
        <f ca="1">SUMIF('IS(M)'!$M$11:$ER$11,$AI104,'IS(M)'!$M$100:$ER$100)+SUMIF('IS(M)'!$M$11:$ER$11,$AI104,'IS(M)'!$M$110:$ER$110)</f>
        <v>0</v>
      </c>
      <c r="AQ104" s="1082">
        <f t="shared" ca="1" si="92"/>
        <v>0</v>
      </c>
      <c r="AR104" s="1084">
        <f t="shared" ca="1" si="93"/>
        <v>0</v>
      </c>
    </row>
    <row r="105" spans="2:53" ht="11.25" customHeight="1">
      <c r="B105" s="261"/>
      <c r="C105" s="1012" t="s">
        <v>588</v>
      </c>
      <c r="E105" s="1657" t="s">
        <v>590</v>
      </c>
      <c r="F105" s="1010">
        <v>7.4999999999999997E-2</v>
      </c>
      <c r="G105" s="259" t="s">
        <v>593</v>
      </c>
      <c r="H105" s="259" t="s">
        <v>1071</v>
      </c>
      <c r="J105" s="1744">
        <v>12</v>
      </c>
      <c r="K105" s="1743">
        <f>EOMONTH($D$37,$J$105)</f>
        <v>46691</v>
      </c>
      <c r="P105" s="783"/>
      <c r="AH105" s="1060">
        <f t="shared" si="94"/>
        <v>48334</v>
      </c>
      <c r="AI105" s="268">
        <f t="shared" si="91"/>
        <v>11</v>
      </c>
      <c r="AJ105" s="1085"/>
      <c r="AK105" s="1069">
        <f>SUM(AJ$94:AJ105)</f>
        <v>0.99999999999999989</v>
      </c>
      <c r="AL105" s="948">
        <f>IFERROR(SUMIF('FS_Detail(M)'!$L$10:$EQ$10,$AI105,'FS_Detail(M)'!$L$56:$EQ$56)/COUNTIF('FS_Detail(M)'!$L$10:$EQ$10,'A&amp;R'!$AI105),)</f>
        <v>0</v>
      </c>
      <c r="AM105" s="948">
        <f>IFERROR(SUMIF('FS_Detail(M)'!$L$10:$EQ$10,$AI105,'FS_Detail(M)'!$L$83:$EQ$83)/COUNTIF('FS_Detail(M)'!$L$10:$EQ$10,'A&amp;R'!$AI105),)</f>
        <v>0</v>
      </c>
      <c r="AN105" s="1082">
        <f t="shared" si="95"/>
        <v>0</v>
      </c>
      <c r="AO105" s="1082">
        <f>SUMIF('FS_Detail(M)'!$L$10:$EQ$10,$AI105,'FS_Detail(M)'!$L$136:$EQ$136)+SUMIF('FS_Detail(M)'!$L$10:$EQ$10,$AI105,'FS_Detail(M)'!$L$141:$EQ$141)</f>
        <v>0</v>
      </c>
      <c r="AP105" s="1082">
        <f ca="1">SUMIF('IS(M)'!$M$11:$ER$11,$AI105,'IS(M)'!$M$100:$ER$100)+SUMIF('IS(M)'!$M$11:$ER$11,$AI105,'IS(M)'!$M$110:$ER$110)</f>
        <v>0</v>
      </c>
      <c r="AQ105" s="1082">
        <f t="shared" ca="1" si="92"/>
        <v>0</v>
      </c>
      <c r="AR105" s="1084">
        <f t="shared" ca="1" si="93"/>
        <v>0</v>
      </c>
    </row>
    <row r="106" spans="2:53" ht="11.25" customHeight="1">
      <c r="B106" s="261"/>
      <c r="C106" s="1012" t="s">
        <v>589</v>
      </c>
      <c r="K106" s="264"/>
      <c r="N106" s="2686" t="s">
        <v>1886</v>
      </c>
      <c r="Q106" s="783"/>
      <c r="AH106" s="1060">
        <f t="shared" si="94"/>
        <v>48518</v>
      </c>
      <c r="AI106" s="268">
        <f t="shared" si="91"/>
        <v>12</v>
      </c>
      <c r="AJ106" s="1085"/>
      <c r="AK106" s="1069">
        <f>SUM(AJ$94:AJ106)</f>
        <v>0.99999999999999989</v>
      </c>
      <c r="AL106" s="948">
        <f>IFERROR(SUMIF('FS_Detail(M)'!$L$10:$EQ$10,$AI106,'FS_Detail(M)'!$L$56:$EQ$56)/COUNTIF('FS_Detail(M)'!$L$10:$EQ$10,'A&amp;R'!$AI106),)</f>
        <v>0</v>
      </c>
      <c r="AM106" s="948">
        <f>IFERROR(SUMIF('FS_Detail(M)'!$L$10:$EQ$10,$AI106,'FS_Detail(M)'!$L$83:$EQ$83)/COUNTIF('FS_Detail(M)'!$L$10:$EQ$10,'A&amp;R'!$AI106),)</f>
        <v>0</v>
      </c>
      <c r="AN106" s="1082">
        <f t="shared" si="95"/>
        <v>0</v>
      </c>
      <c r="AO106" s="1082">
        <f>SUMIF('FS_Detail(M)'!$L$10:$EQ$10,$AI106,'FS_Detail(M)'!$L$136:$EQ$136)+SUMIF('FS_Detail(M)'!$L$10:$EQ$10,$AI106,'FS_Detail(M)'!$L$141:$EQ$141)</f>
        <v>0</v>
      </c>
      <c r="AP106" s="1082">
        <f ca="1">SUMIF('IS(M)'!$M$11:$ER$11,$AI106,'IS(M)'!$M$100:$ER$100)+SUMIF('IS(M)'!$M$11:$ER$11,$AI106,'IS(M)'!$M$110:$ER$110)</f>
        <v>0</v>
      </c>
      <c r="AQ106" s="1082">
        <f t="shared" ca="1" si="92"/>
        <v>0</v>
      </c>
      <c r="AR106" s="1084">
        <f t="shared" ca="1" si="93"/>
        <v>0</v>
      </c>
      <c r="AU106" s="259" t="s">
        <v>1692</v>
      </c>
    </row>
    <row r="107" spans="2:53" ht="11.25" customHeight="1">
      <c r="B107" s="261"/>
      <c r="C107" s="1012"/>
      <c r="J107" s="270"/>
      <c r="K107" s="966"/>
      <c r="N107" s="2463"/>
      <c r="Q107" s="2595"/>
      <c r="AH107" s="1060">
        <f t="shared" si="94"/>
        <v>48699</v>
      </c>
      <c r="AI107" s="268">
        <f t="shared" si="91"/>
        <v>13</v>
      </c>
      <c r="AJ107" s="1085"/>
      <c r="AK107" s="1069">
        <f>SUM(AJ$94:AJ107)</f>
        <v>0.99999999999999989</v>
      </c>
      <c r="AL107" s="948">
        <f>IFERROR(SUMIF('FS_Detail(M)'!$L$10:$EQ$10,$AI107,'FS_Detail(M)'!$L$56:$EQ$56)/COUNTIF('FS_Detail(M)'!$L$10:$EQ$10,'A&amp;R'!$AI107),)</f>
        <v>0</v>
      </c>
      <c r="AM107" s="948">
        <f>IFERROR(SUMIF('FS_Detail(M)'!$L$10:$EQ$10,$AI107,'FS_Detail(M)'!$L$83:$EQ$83)/COUNTIF('FS_Detail(M)'!$L$10:$EQ$10,'A&amp;R'!$AI107),)</f>
        <v>0</v>
      </c>
      <c r="AN107" s="1082">
        <f t="shared" si="95"/>
        <v>0</v>
      </c>
      <c r="AO107" s="1082">
        <f>SUMIF('FS_Detail(M)'!$L$10:$EQ$10,$AI107,'FS_Detail(M)'!$L$136:$EQ$136)+SUMIF('FS_Detail(M)'!$L$10:$EQ$10,$AI107,'FS_Detail(M)'!$L$141:$EQ$141)</f>
        <v>0</v>
      </c>
      <c r="AP107" s="1082">
        <f ca="1">SUMIF('IS(M)'!$M$11:$ER$11,$AI107,'IS(M)'!$M$100:$ER$100)+SUMIF('IS(M)'!$M$11:$ER$11,$AI107,'IS(M)'!$M$110:$ER$110)</f>
        <v>0</v>
      </c>
      <c r="AQ107" s="1082">
        <f t="shared" ca="1" si="92"/>
        <v>0</v>
      </c>
      <c r="AR107" s="1084">
        <f t="shared" ca="1" si="93"/>
        <v>0</v>
      </c>
    </row>
    <row r="108" spans="2:53" ht="13.5" customHeight="1" thickBot="1">
      <c r="B108" s="261"/>
      <c r="C108" s="1012"/>
      <c r="H108" s="259" t="s">
        <v>847</v>
      </c>
      <c r="I108" s="259" t="s">
        <v>247</v>
      </c>
      <c r="J108" s="270" t="s">
        <v>553</v>
      </c>
      <c r="K108" s="1624">
        <f>ROUNDUP('IS(FY)'!K83,-5)</f>
        <v>4300000</v>
      </c>
      <c r="N108" s="2463"/>
      <c r="P108" s="2611"/>
      <c r="Q108" s="2592"/>
      <c r="AH108" s="1060">
        <f t="shared" si="94"/>
        <v>48883</v>
      </c>
      <c r="AI108" s="268">
        <f t="shared" si="91"/>
        <v>14</v>
      </c>
      <c r="AJ108" s="1085"/>
      <c r="AK108" s="1069">
        <f>SUM(AJ$94:AJ108)</f>
        <v>0.99999999999999989</v>
      </c>
      <c r="AL108" s="948">
        <f>IFERROR(SUMIF('FS_Detail(M)'!$L$10:$EQ$10,$AI108,'FS_Detail(M)'!$L$56:$EQ$56)/COUNTIF('FS_Detail(M)'!$L$10:$EQ$10,'A&amp;R'!$AI108),)</f>
        <v>0</v>
      </c>
      <c r="AM108" s="948">
        <f>IFERROR(SUMIF('FS_Detail(M)'!$L$10:$EQ$10,$AI108,'FS_Detail(M)'!$L$83:$EQ$83)/COUNTIF('FS_Detail(M)'!$L$10:$EQ$10,'A&amp;R'!$AI108),)</f>
        <v>0</v>
      </c>
      <c r="AN108" s="1082">
        <f t="shared" si="95"/>
        <v>0</v>
      </c>
      <c r="AO108" s="1082">
        <f>SUMIF('FS_Detail(M)'!$L$10:$EQ$10,$AI108,'FS_Detail(M)'!$L$136:$EQ$136)+SUMIF('FS_Detail(M)'!$L$10:$EQ$10,$AI108,'FS_Detail(M)'!$L$141:$EQ$141)</f>
        <v>0</v>
      </c>
      <c r="AP108" s="1082">
        <f ca="1">SUMIF('IS(M)'!$M$11:$ER$11,$AI108,'IS(M)'!$M$100:$ER$100)+SUMIF('IS(M)'!$M$11:$ER$11,$AI108,'IS(M)'!$M$110:$ER$110)</f>
        <v>0</v>
      </c>
      <c r="AQ108" s="1082">
        <f t="shared" ca="1" si="92"/>
        <v>0</v>
      </c>
      <c r="AR108" s="1084">
        <f t="shared" ca="1" si="93"/>
        <v>0</v>
      </c>
      <c r="AU108" s="2573" t="s">
        <v>619</v>
      </c>
      <c r="AV108" s="2574"/>
      <c r="AW108" s="3035" t="s">
        <v>683</v>
      </c>
      <c r="AX108" s="3036"/>
      <c r="AY108" s="3036"/>
      <c r="AZ108" s="3036"/>
      <c r="BA108" s="3034"/>
    </row>
    <row r="109" spans="2:53" ht="11.25" customHeight="1" thickBot="1">
      <c r="B109" s="873"/>
      <c r="C109" s="675"/>
      <c r="D109" s="675"/>
      <c r="E109" s="675"/>
      <c r="F109" s="675"/>
      <c r="G109" s="675"/>
      <c r="H109" s="675"/>
      <c r="I109" s="675"/>
      <c r="J109" s="675"/>
      <c r="K109" s="874"/>
      <c r="N109" s="259" t="s">
        <v>24</v>
      </c>
      <c r="P109" s="270" t="s">
        <v>25</v>
      </c>
      <c r="Q109" s="270" t="s">
        <v>646</v>
      </c>
      <c r="R109" s="270" t="s">
        <v>1893</v>
      </c>
      <c r="S109" s="270" t="s">
        <v>1144</v>
      </c>
      <c r="T109" s="270" t="s">
        <v>1891</v>
      </c>
      <c r="U109" s="270" t="s">
        <v>1892</v>
      </c>
      <c r="AH109" s="1060">
        <f t="shared" ref="AH109:AH114" si="96">EOMONTH(AH108-1,6)</f>
        <v>49064</v>
      </c>
      <c r="AI109" s="268">
        <f t="shared" ref="AI109:AI114" si="97">AI108+1</f>
        <v>15</v>
      </c>
      <c r="AJ109" s="1085"/>
      <c r="AK109" s="1069">
        <f>SUM(AJ$94:AJ109)</f>
        <v>0.99999999999999989</v>
      </c>
      <c r="AL109" s="948">
        <f>IFERROR(SUMIF('FS_Detail(M)'!$L$10:$EQ$10,$AI109,'FS_Detail(M)'!$L$56:$EQ$56)/COUNTIF('FS_Detail(M)'!$L$10:$EQ$10,'A&amp;R'!$AI109),)</f>
        <v>0</v>
      </c>
      <c r="AM109" s="948">
        <f>IFERROR(SUMIF('FS_Detail(M)'!$L$10:$EQ$10,$AI109,'FS_Detail(M)'!$L$83:$EQ$83)/COUNTIF('FS_Detail(M)'!$L$10:$EQ$10,'A&amp;R'!$AI109),)</f>
        <v>0</v>
      </c>
      <c r="AN109" s="1082">
        <f t="shared" ref="AN109:AN114" si="98">SUM(AL109:AM109)</f>
        <v>0</v>
      </c>
      <c r="AO109" s="1082">
        <f>SUMIF('FS_Detail(M)'!$L$10:$EQ$10,$AI109,'FS_Detail(M)'!$L$136:$EQ$136)+SUMIF('FS_Detail(M)'!$L$10:$EQ$10,$AI109,'FS_Detail(M)'!$L$141:$EQ$141)</f>
        <v>0</v>
      </c>
      <c r="AP109" s="1082">
        <f ca="1">SUMIF('IS(M)'!$M$11:$ER$11,$AI109,'IS(M)'!$M$100:$ER$100)+SUMIF('IS(M)'!$M$11:$ER$11,$AI109,'IS(M)'!$M$110:$ER$110)</f>
        <v>0</v>
      </c>
      <c r="AQ109" s="1082">
        <f t="shared" ca="1" si="92"/>
        <v>0</v>
      </c>
      <c r="AR109" s="1084">
        <f t="shared" ca="1" si="93"/>
        <v>0</v>
      </c>
      <c r="AU109" s="2575"/>
      <c r="AV109" s="2576">
        <f>AN51</f>
        <v>1.3390701294158891</v>
      </c>
      <c r="AW109" s="2569">
        <v>5.1999999999999998E-2</v>
      </c>
      <c r="AX109" s="2569">
        <v>5.3999999999999999E-2</v>
      </c>
      <c r="AY109" s="2569">
        <v>5.6000000000000001E-2</v>
      </c>
      <c r="AZ109" s="2569">
        <v>5.8000000000000003E-2</v>
      </c>
      <c r="BA109" s="2570">
        <v>0.06</v>
      </c>
    </row>
    <row r="110" spans="2:53" ht="11.25" customHeight="1" thickBot="1">
      <c r="B110" s="1820" t="s">
        <v>1104</v>
      </c>
      <c r="C110" s="258"/>
      <c r="D110" s="258"/>
      <c r="E110" s="1814"/>
      <c r="F110" s="1815"/>
      <c r="G110" s="258"/>
      <c r="H110" s="258"/>
      <c r="I110" s="258"/>
      <c r="J110" s="258"/>
      <c r="K110" s="1816"/>
      <c r="M110" s="2700">
        <v>0.5</v>
      </c>
      <c r="N110" s="2588" t="s">
        <v>1887</v>
      </c>
      <c r="O110" s="1960" t="s">
        <v>1889</v>
      </c>
      <c r="P110" s="1960">
        <f>ROUNDUP($P$112*$M110,-5)</f>
        <v>80000000</v>
      </c>
      <c r="Q110" s="2691">
        <v>3.1199999999999999E-2</v>
      </c>
      <c r="R110" s="2701">
        <v>1.43E-2</v>
      </c>
      <c r="S110" s="2691">
        <f>SUM(Q110:R110)</f>
        <v>4.5499999999999999E-2</v>
      </c>
      <c r="T110" s="2691">
        <v>1.2E-2</v>
      </c>
      <c r="U110" s="2691">
        <f>T110/2+S110</f>
        <v>5.1499999999999997E-2</v>
      </c>
      <c r="AH110" s="1060">
        <f t="shared" si="96"/>
        <v>49248</v>
      </c>
      <c r="AI110" s="268">
        <f t="shared" si="97"/>
        <v>16</v>
      </c>
      <c r="AJ110" s="1085"/>
      <c r="AK110" s="1069">
        <f>SUM(AJ$94:AJ110)</f>
        <v>0.99999999999999989</v>
      </c>
      <c r="AL110" s="948">
        <f>IFERROR(SUMIF('FS_Detail(M)'!$L$10:$EQ$10,$AI110,'FS_Detail(M)'!$L$56:$EQ$56)/COUNTIF('FS_Detail(M)'!$L$10:$EQ$10,'A&amp;R'!$AI110),)</f>
        <v>0</v>
      </c>
      <c r="AM110" s="948">
        <f>IFERROR(SUMIF('FS_Detail(M)'!$L$10:$EQ$10,$AI110,'FS_Detail(M)'!$L$83:$EQ$83)/COUNTIF('FS_Detail(M)'!$L$10:$EQ$10,'A&amp;R'!$AI110),)</f>
        <v>0</v>
      </c>
      <c r="AN110" s="1082">
        <f t="shared" si="98"/>
        <v>0</v>
      </c>
      <c r="AO110" s="1082">
        <f>SUMIF('FS_Detail(M)'!$L$10:$EQ$10,$AI110,'FS_Detail(M)'!$L$136:$EQ$136)+SUMIF('FS_Detail(M)'!$L$10:$EQ$10,$AI110,'FS_Detail(M)'!$L$141:$EQ$141)</f>
        <v>0</v>
      </c>
      <c r="AP110" s="1082">
        <f ca="1">SUMIF('IS(M)'!$M$11:$ER$11,$AI110,'IS(M)'!$M$100:$ER$100)+SUMIF('IS(M)'!$M$11:$ER$11,$AI110,'IS(M)'!$M$110:$ER$110)</f>
        <v>0</v>
      </c>
      <c r="AQ110" s="1082">
        <f t="shared" ca="1" si="92"/>
        <v>0</v>
      </c>
      <c r="AR110" s="1084">
        <f t="shared" ca="1" si="93"/>
        <v>0</v>
      </c>
      <c r="AU110" s="3032" t="s">
        <v>1239</v>
      </c>
      <c r="AV110" s="2571">
        <v>0.02</v>
      </c>
      <c r="AW110" s="2579">
        <v>1.2230512910874607</v>
      </c>
      <c r="AX110" s="2577">
        <v>1.1872109602131029</v>
      </c>
      <c r="AY110" s="2577">
        <v>1.1534113599223383</v>
      </c>
      <c r="AZ110" s="2577">
        <v>1.1214830177791595</v>
      </c>
      <c r="BA110" s="2578">
        <v>1.0912747210039633</v>
      </c>
    </row>
    <row r="111" spans="2:53" ht="11.25" customHeight="1" thickBot="1">
      <c r="B111" s="1817"/>
      <c r="C111" s="1071"/>
      <c r="D111" s="1071"/>
      <c r="E111" s="1818"/>
      <c r="F111" s="1041"/>
      <c r="G111" s="1071"/>
      <c r="H111" s="1071"/>
      <c r="I111" s="1071"/>
      <c r="J111" s="1071"/>
      <c r="K111" s="1819"/>
      <c r="M111" s="2699">
        <f>1-M110</f>
        <v>0.5</v>
      </c>
      <c r="N111" s="2590" t="s">
        <v>1888</v>
      </c>
      <c r="O111" s="1962" t="s">
        <v>1890</v>
      </c>
      <c r="P111" s="1962">
        <f>P112-P110</f>
        <v>80000000</v>
      </c>
      <c r="Q111" s="2046">
        <f>O118</f>
        <v>4.061E-2</v>
      </c>
      <c r="R111" s="2046">
        <f>S111-Q111</f>
        <v>9.3900000000000025E-3</v>
      </c>
      <c r="S111" s="2046">
        <v>0.05</v>
      </c>
      <c r="T111" s="2046">
        <v>1.7000000000000001E-2</v>
      </c>
      <c r="U111" s="2046">
        <f>S111+T111/2</f>
        <v>5.8500000000000003E-2</v>
      </c>
      <c r="AH111" s="1060">
        <f t="shared" si="96"/>
        <v>49429</v>
      </c>
      <c r="AI111" s="268">
        <f t="shared" si="97"/>
        <v>17</v>
      </c>
      <c r="AJ111" s="1085"/>
      <c r="AK111" s="1069">
        <f>SUM(AJ$94:AJ111)</f>
        <v>0.99999999999999989</v>
      </c>
      <c r="AL111" s="948">
        <f>IFERROR(SUMIF('FS_Detail(M)'!$L$10:$EQ$10,$AI111,'FS_Detail(M)'!$L$56:$EQ$56)/COUNTIF('FS_Detail(M)'!$L$10:$EQ$10,'A&amp;R'!$AI111),)</f>
        <v>0</v>
      </c>
      <c r="AM111" s="948">
        <f>IFERROR(SUMIF('FS_Detail(M)'!$L$10:$EQ$10,$AI111,'FS_Detail(M)'!$L$83:$EQ$83)/COUNTIF('FS_Detail(M)'!$L$10:$EQ$10,'A&amp;R'!$AI111),)</f>
        <v>0</v>
      </c>
      <c r="AN111" s="1082">
        <f t="shared" si="98"/>
        <v>0</v>
      </c>
      <c r="AO111" s="1082">
        <f>SUMIF('FS_Detail(M)'!$L$10:$EQ$10,$AI111,'FS_Detail(M)'!$L$136:$EQ$136)+SUMIF('FS_Detail(M)'!$L$10:$EQ$10,$AI111,'FS_Detail(M)'!$L$141:$EQ$141)</f>
        <v>0</v>
      </c>
      <c r="AP111" s="1082">
        <f ca="1">SUMIF('IS(M)'!$M$11:$ER$11,$AI111,'IS(M)'!$M$100:$ER$100)+SUMIF('IS(M)'!$M$11:$ER$11,$AI111,'IS(M)'!$M$110:$ER$110)</f>
        <v>0</v>
      </c>
      <c r="AQ111" s="1082">
        <f t="shared" ca="1" si="92"/>
        <v>0</v>
      </c>
      <c r="AR111" s="1084">
        <f t="shared" ca="1" si="93"/>
        <v>0</v>
      </c>
      <c r="AU111" s="3033"/>
      <c r="AV111" s="2571">
        <v>0.04</v>
      </c>
      <c r="AW111" s="2577">
        <v>1.194067140306466</v>
      </c>
      <c r="AX111" s="2577">
        <v>1.1590761618359466</v>
      </c>
      <c r="AY111" s="2577">
        <v>1.1260775522463111</v>
      </c>
      <c r="AZ111" s="2577">
        <v>1.0949058552983164</v>
      </c>
      <c r="BA111" s="2578">
        <v>1.0654134416875873</v>
      </c>
    </row>
    <row r="112" spans="2:53" ht="11.25" customHeight="1" thickBot="1">
      <c r="B112" s="261"/>
      <c r="C112" s="259" t="s">
        <v>24</v>
      </c>
      <c r="E112" s="270" t="s">
        <v>601</v>
      </c>
      <c r="F112" s="270" t="s">
        <v>1102</v>
      </c>
      <c r="G112" s="270" t="s">
        <v>1103</v>
      </c>
      <c r="H112" s="270" t="s">
        <v>1105</v>
      </c>
      <c r="K112" s="264"/>
      <c r="N112" s="2589"/>
      <c r="P112" s="783">
        <f>P32</f>
        <v>160000000</v>
      </c>
      <c r="Q112" s="1681"/>
      <c r="R112" s="2592"/>
      <c r="S112" s="2702">
        <f>SUMPRODUCT($P$110:$P$111,S110:S111)/$P$112</f>
        <v>4.7750000000000001E-2</v>
      </c>
      <c r="T112" s="2702">
        <f>SUMPRODUCT($P$110:$P$111,T110:T111)/$P$112</f>
        <v>1.4500000000000001E-2</v>
      </c>
      <c r="U112" s="2702">
        <f>SUMPRODUCT($P$110:$P$111,U110:U111)/$P$112</f>
        <v>5.5E-2</v>
      </c>
      <c r="AH112" s="1060">
        <f t="shared" si="96"/>
        <v>49613</v>
      </c>
      <c r="AI112" s="268">
        <f t="shared" si="97"/>
        <v>18</v>
      </c>
      <c r="AJ112" s="1085"/>
      <c r="AK112" s="1069">
        <f>SUM(AJ$94:AJ112)</f>
        <v>0.99999999999999989</v>
      </c>
      <c r="AL112" s="948">
        <f>IFERROR(SUMIF('FS_Detail(M)'!$L$10:$EQ$10,$AI112,'FS_Detail(M)'!$L$56:$EQ$56)/COUNTIF('FS_Detail(M)'!$L$10:$EQ$10,'A&amp;R'!$AI112),)</f>
        <v>0</v>
      </c>
      <c r="AM112" s="948">
        <f>IFERROR(SUMIF('FS_Detail(M)'!$L$10:$EQ$10,$AI112,'FS_Detail(M)'!$L$83:$EQ$83)/COUNTIF('FS_Detail(M)'!$L$10:$EQ$10,'A&amp;R'!$AI112),)</f>
        <v>0</v>
      </c>
      <c r="AN112" s="1082">
        <f t="shared" si="98"/>
        <v>0</v>
      </c>
      <c r="AO112" s="1082">
        <f>SUMIF('FS_Detail(M)'!$L$10:$EQ$10,$AI112,'FS_Detail(M)'!$L$136:$EQ$136)+SUMIF('FS_Detail(M)'!$L$10:$EQ$10,$AI112,'FS_Detail(M)'!$L$141:$EQ$141)</f>
        <v>0</v>
      </c>
      <c r="AP112" s="1082">
        <f ca="1">SUMIF('IS(M)'!$M$11:$ER$11,$AI112,'IS(M)'!$M$100:$ER$100)+SUMIF('IS(M)'!$M$11:$ER$11,$AI112,'IS(M)'!$M$110:$ER$110)</f>
        <v>0</v>
      </c>
      <c r="AQ112" s="1082">
        <f t="shared" ca="1" si="92"/>
        <v>0</v>
      </c>
      <c r="AR112" s="1084">
        <f t="shared" ca="1" si="93"/>
        <v>0</v>
      </c>
      <c r="AU112" s="3033"/>
      <c r="AV112" s="2571">
        <v>0.06</v>
      </c>
      <c r="AW112" s="2577">
        <v>1.1650829895254717</v>
      </c>
      <c r="AX112" s="2577">
        <v>1.1309413634587913</v>
      </c>
      <c r="AY112" s="2577">
        <v>1.0987437445702848</v>
      </c>
      <c r="AZ112" s="2577">
        <v>1.0683286928174742</v>
      </c>
      <c r="BA112" s="2578">
        <v>1.0395521623712123</v>
      </c>
    </row>
    <row r="113" spans="2:53" ht="11.25" customHeight="1" thickBot="1">
      <c r="B113" s="261"/>
      <c r="C113" s="1074" t="s">
        <v>1081</v>
      </c>
      <c r="D113" s="1074"/>
      <c r="E113" s="1075">
        <v>0.02</v>
      </c>
      <c r="F113" s="1076">
        <v>24</v>
      </c>
      <c r="G113" s="1078">
        <f>EOMONTH(D37,F113)</f>
        <v>47057</v>
      </c>
      <c r="H113" s="1822">
        <f>S41</f>
        <v>7.0000000000000007E-2</v>
      </c>
      <c r="J113" s="270"/>
      <c r="K113" s="966"/>
      <c r="P113" s="1681"/>
      <c r="Q113" s="2592"/>
      <c r="R113" s="2592"/>
      <c r="AH113" s="1060">
        <f t="shared" si="96"/>
        <v>49795</v>
      </c>
      <c r="AI113" s="268">
        <f t="shared" si="97"/>
        <v>19</v>
      </c>
      <c r="AJ113" s="1085"/>
      <c r="AK113" s="1069">
        <f>SUM(AJ$94:AJ113)</f>
        <v>0.99999999999999989</v>
      </c>
      <c r="AL113" s="948">
        <f>IFERROR(SUMIF('FS_Detail(M)'!$L$10:$EQ$10,$AI113,'FS_Detail(M)'!$L$56:$EQ$56)/COUNTIF('FS_Detail(M)'!$L$10:$EQ$10,'A&amp;R'!$AI113),)</f>
        <v>0</v>
      </c>
      <c r="AM113" s="948">
        <f>IFERROR(SUMIF('FS_Detail(M)'!$L$10:$EQ$10,$AI113,'FS_Detail(M)'!$L$83:$EQ$83)/COUNTIF('FS_Detail(M)'!$L$10:$EQ$10,'A&amp;R'!$AI113),)</f>
        <v>0</v>
      </c>
      <c r="AN113" s="1082">
        <f t="shared" si="98"/>
        <v>0</v>
      </c>
      <c r="AO113" s="1082">
        <f>SUMIF('FS_Detail(M)'!$L$10:$EQ$10,$AI113,'FS_Detail(M)'!$L$136:$EQ$136)+SUMIF('FS_Detail(M)'!$L$10:$EQ$10,$AI113,'FS_Detail(M)'!$L$141:$EQ$141)</f>
        <v>0</v>
      </c>
      <c r="AP113" s="1082">
        <f ca="1">SUMIF('IS(M)'!$M$11:$ER$11,$AI113,'IS(M)'!$M$100:$ER$100)+SUMIF('IS(M)'!$M$11:$ER$11,$AI113,'IS(M)'!$M$110:$ER$110)</f>
        <v>0</v>
      </c>
      <c r="AQ113" s="1082">
        <f t="shared" ca="1" si="92"/>
        <v>0</v>
      </c>
      <c r="AR113" s="1084">
        <f t="shared" ca="1" si="93"/>
        <v>0</v>
      </c>
      <c r="AU113" s="3033"/>
      <c r="AV113" s="2571">
        <v>0.08</v>
      </c>
      <c r="AW113" s="2577">
        <v>1.1360988387444777</v>
      </c>
      <c r="AX113" s="2577">
        <v>1.1028065650816357</v>
      </c>
      <c r="AY113" s="2577">
        <v>1.0714099368942582</v>
      </c>
      <c r="AZ113" s="2577">
        <v>1.0417515303366316</v>
      </c>
      <c r="BA113" s="2578">
        <v>1.0136908830548368</v>
      </c>
    </row>
    <row r="114" spans="2:53" ht="11.25" customHeight="1" thickBot="1">
      <c r="B114" s="261"/>
      <c r="C114" s="259" t="s">
        <v>1082</v>
      </c>
      <c r="E114" s="1040">
        <v>0.02</v>
      </c>
      <c r="F114" s="1025">
        <v>12</v>
      </c>
      <c r="G114" s="1077">
        <f>EOMONTH(D37,F114)</f>
        <v>46691</v>
      </c>
      <c r="H114" s="1823">
        <v>7.4999999999999997E-2</v>
      </c>
      <c r="J114" s="270"/>
      <c r="K114" s="1624"/>
      <c r="P114" s="2689"/>
      <c r="Q114" s="2690"/>
      <c r="R114" s="2690"/>
      <c r="AH114" s="1061">
        <f t="shared" si="96"/>
        <v>49979</v>
      </c>
      <c r="AI114" s="269">
        <f t="shared" si="97"/>
        <v>20</v>
      </c>
      <c r="AJ114" s="1086"/>
      <c r="AK114" s="1070">
        <f>SUM(AJ$94:AJ114)</f>
        <v>0.99999999999999989</v>
      </c>
      <c r="AL114" s="950">
        <f>IFERROR(SUMIF('FS_Detail(M)'!$L$10:$EQ$10,$AI114,'FS_Detail(M)'!$L$56:$EQ$56)/COUNTIF('FS_Detail(M)'!$L$10:$EQ$10,'A&amp;R'!$AI114),)</f>
        <v>0</v>
      </c>
      <c r="AM114" s="950">
        <f>IFERROR(SUMIF('FS_Detail(M)'!$L$10:$EQ$10,$AI114,'FS_Detail(M)'!$L$83:$EQ$83)/COUNTIF('FS_Detail(M)'!$L$10:$EQ$10,'A&amp;R'!$AI114),)</f>
        <v>0</v>
      </c>
      <c r="AN114" s="1083">
        <f t="shared" si="98"/>
        <v>0</v>
      </c>
      <c r="AO114" s="1083">
        <f>SUMIF('FS_Detail(M)'!$L$10:$EQ$10,$AI114,'FS_Detail(M)'!$L$136:$EQ$136)+SUMIF('FS_Detail(M)'!$L$10:$EQ$10,$AI114,'FS_Detail(M)'!$L$141:$EQ$141)</f>
        <v>0</v>
      </c>
      <c r="AP114" s="1083">
        <f ca="1">SUMIF('IS(M)'!$M$11:$ER$11,$AI114,'IS(M)'!$M$100:$ER$100)+SUMIF('IS(M)'!$M$11:$ER$11,$AI114,'IS(M)'!$M$110:$ER$110)</f>
        <v>0</v>
      </c>
      <c r="AQ114" s="1083">
        <f t="shared" ca="1" si="92"/>
        <v>0</v>
      </c>
      <c r="AR114" s="1087">
        <f t="shared" ca="1" si="93"/>
        <v>0</v>
      </c>
      <c r="AU114" s="3033"/>
      <c r="AV114" s="2571">
        <v>0.1</v>
      </c>
      <c r="AW114" s="2577">
        <v>1.1071146879634832</v>
      </c>
      <c r="AX114" s="2577">
        <v>1.0746717667044798</v>
      </c>
      <c r="AY114" s="2577">
        <v>1.0440761292182312</v>
      </c>
      <c r="AZ114" s="2577">
        <v>1.015174367855789</v>
      </c>
      <c r="BA114" s="2578">
        <v>0.98782960373846129</v>
      </c>
    </row>
    <row r="115" spans="2:53" ht="11.25" customHeight="1" thickBot="1">
      <c r="B115" s="873"/>
      <c r="C115" s="675"/>
      <c r="D115" s="675"/>
      <c r="E115" s="675"/>
      <c r="F115" s="675"/>
      <c r="G115" s="675"/>
      <c r="H115" s="675"/>
      <c r="I115" s="675"/>
      <c r="J115" s="675"/>
      <c r="K115" s="874"/>
      <c r="M115" s="2589" t="s">
        <v>2430</v>
      </c>
      <c r="O115" s="1077">
        <f>채권금리!B1</f>
        <v>46274</v>
      </c>
      <c r="P115" s="2688"/>
      <c r="Q115" s="2688"/>
      <c r="R115" s="2688"/>
      <c r="AH115" s="261"/>
      <c r="AI115" s="118" t="s">
        <v>59</v>
      </c>
      <c r="AJ115" s="1089"/>
      <c r="AK115" s="1090"/>
      <c r="AL115" s="1090">
        <f>AVERAGE(AL95:AL104)</f>
        <v>0</v>
      </c>
      <c r="AM115" s="1090">
        <f>AVERAGE(AM95:AM104)</f>
        <v>0</v>
      </c>
      <c r="AN115" s="1090">
        <f>AVERAGE(AN95:AN104)</f>
        <v>0</v>
      </c>
      <c r="AO115" s="1090">
        <f>SUM(AO94:AO114)</f>
        <v>0</v>
      </c>
      <c r="AP115" s="1090">
        <f ca="1">SUM(AP94:AP114)</f>
        <v>0</v>
      </c>
      <c r="AQ115" s="1090">
        <f ca="1">SUM(AQ94:AQ114)</f>
        <v>0</v>
      </c>
      <c r="AR115" s="1091"/>
      <c r="AU115" s="3034"/>
      <c r="AV115" s="2572">
        <v>0.12</v>
      </c>
      <c r="AW115" s="2577">
        <v>1.078130537182489</v>
      </c>
      <c r="AX115" s="2577">
        <v>1.0465369683273245</v>
      </c>
      <c r="AY115" s="2577">
        <v>1.0167423215422047</v>
      </c>
      <c r="AZ115" s="2577">
        <v>0.98859720537494677</v>
      </c>
      <c r="BA115" s="2578">
        <v>0.96196832442208602</v>
      </c>
    </row>
    <row r="116" spans="2:53" ht="11.25" customHeight="1">
      <c r="M116" s="2687"/>
      <c r="N116" s="2688"/>
      <c r="O116" s="2597"/>
      <c r="AH116" s="261"/>
      <c r="AI116" s="5" t="s">
        <v>260</v>
      </c>
      <c r="AJ116" s="1092"/>
      <c r="AK116" s="1093"/>
      <c r="AL116" s="1093"/>
      <c r="AM116" s="1093"/>
      <c r="AN116" s="1093"/>
      <c r="AO116" s="1093"/>
      <c r="AP116" s="1093"/>
      <c r="AQ116" s="1093"/>
      <c r="AR116" s="1094">
        <f>AVERAGE(AN95:AN104)</f>
        <v>0</v>
      </c>
    </row>
    <row r="117" spans="2:53" ht="11.25" customHeight="1">
      <c r="M117" s="2688" t="s">
        <v>1894</v>
      </c>
      <c r="N117" s="2688"/>
      <c r="O117" s="2697">
        <v>3.1300000000000001E-2</v>
      </c>
      <c r="AH117" s="263"/>
      <c r="AI117" s="32" t="s">
        <v>265</v>
      </c>
      <c r="AJ117" s="66"/>
      <c r="AK117" s="5"/>
      <c r="AL117" s="5"/>
      <c r="AM117" s="5"/>
      <c r="AN117" s="5"/>
      <c r="AO117" s="65"/>
      <c r="AP117" s="5"/>
      <c r="AQ117" s="5"/>
      <c r="AR117" s="958" t="e">
        <f ca="1">((AQ115-'Sell-down'!J65)/AR116)*(12/O39)</f>
        <v>#DIV/0!</v>
      </c>
    </row>
    <row r="118" spans="2:53" ht="11.25" customHeight="1">
      <c r="M118" s="259" t="s">
        <v>1895</v>
      </c>
      <c r="O118" s="2696">
        <f>채권금리!J18/100</f>
        <v>4.061E-2</v>
      </c>
      <c r="AH118" s="261"/>
      <c r="AI118" s="5" t="s">
        <v>630</v>
      </c>
      <c r="AJ118" s="66"/>
      <c r="AK118" s="5"/>
      <c r="AL118" s="5"/>
      <c r="AM118" s="5"/>
      <c r="AN118" s="5"/>
      <c r="AO118" s="5"/>
      <c r="AP118" s="5"/>
      <c r="AQ118" s="5"/>
      <c r="AR118" s="958">
        <f ca="1">'Sell-down'!I66</f>
        <v>0</v>
      </c>
      <c r="AU118" s="259" t="s">
        <v>1693</v>
      </c>
    </row>
    <row r="119" spans="2:53" ht="11.25" customHeight="1">
      <c r="AH119" s="261"/>
      <c r="AI119" s="5" t="s">
        <v>267</v>
      </c>
      <c r="AJ119" s="66"/>
      <c r="AK119" s="5"/>
      <c r="AL119" s="5"/>
      <c r="AM119" s="5"/>
      <c r="AN119" s="5"/>
      <c r="AO119" s="5"/>
      <c r="AP119" s="5"/>
      <c r="AQ119" s="5"/>
      <c r="AR119" s="958">
        <f ca="1">'Sell-down'!I67</f>
        <v>0</v>
      </c>
    </row>
    <row r="120" spans="2:53" ht="13.5" customHeight="1" thickBot="1">
      <c r="AH120" s="872"/>
      <c r="AI120" s="138" t="s">
        <v>268</v>
      </c>
      <c r="AJ120" s="859"/>
      <c r="AK120" s="180"/>
      <c r="AL120" s="180"/>
      <c r="AM120" s="180"/>
      <c r="AN120" s="180"/>
      <c r="AO120" s="180"/>
      <c r="AP120" s="180"/>
      <c r="AQ120" s="180"/>
      <c r="AR120" s="1097" t="e">
        <f ca="1">(AQ115+AR116)/AR116</f>
        <v>#DIV/0!</v>
      </c>
      <c r="AU120" s="2573" t="s">
        <v>619</v>
      </c>
      <c r="AV120" s="2574"/>
      <c r="AW120" s="3035" t="s">
        <v>683</v>
      </c>
      <c r="AX120" s="3036"/>
      <c r="AY120" s="3036"/>
      <c r="AZ120" s="3036"/>
      <c r="BA120" s="3034"/>
    </row>
    <row r="121" spans="2:53" ht="11.25" customHeight="1" thickBot="1">
      <c r="AU121" s="2575"/>
      <c r="AV121" s="2576">
        <f>AN48</f>
        <v>1.6366367583310473</v>
      </c>
      <c r="AW121" s="2569">
        <v>5.1999999999999998E-2</v>
      </c>
      <c r="AX121" s="2569">
        <v>5.3999999999999999E-2</v>
      </c>
      <c r="AY121" s="2569">
        <v>5.6000000000000001E-2</v>
      </c>
      <c r="AZ121" s="2569">
        <v>5.8000000000000003E-2</v>
      </c>
      <c r="BA121" s="2570">
        <v>0.06</v>
      </c>
    </row>
    <row r="122" spans="2:53" ht="11.25" customHeight="1" thickBot="1">
      <c r="AU122" s="3032" t="s">
        <v>1239</v>
      </c>
      <c r="AV122" s="2571">
        <v>0.02</v>
      </c>
      <c r="AW122" s="2579">
        <v>1.4663784091254448</v>
      </c>
      <c r="AX122" s="2577">
        <v>1.4120680976763542</v>
      </c>
      <c r="AY122" s="2577">
        <v>1.361637094187913</v>
      </c>
      <c r="AZ122" s="2577">
        <v>1.3146840909400539</v>
      </c>
      <c r="BA122" s="2578">
        <v>1.2708612879087189</v>
      </c>
    </row>
    <row r="123" spans="2:53" ht="11.25" customHeight="1" thickBot="1">
      <c r="AU123" s="3033"/>
      <c r="AV123" s="2571">
        <v>0.04</v>
      </c>
      <c r="AW123" s="2577">
        <v>1.431325948821899</v>
      </c>
      <c r="AX123" s="2577">
        <v>1.3783138766433101</v>
      </c>
      <c r="AY123" s="2577">
        <v>1.329088381048906</v>
      </c>
      <c r="AZ123" s="2577">
        <v>1.2832577472196336</v>
      </c>
      <c r="BA123" s="2578">
        <v>1.2404824889789792</v>
      </c>
    </row>
    <row r="124" spans="2:53" ht="11.25" customHeight="1" thickBot="1">
      <c r="AU124" s="3033"/>
      <c r="AV124" s="2571">
        <v>0.06</v>
      </c>
      <c r="AW124" s="2577">
        <v>1.396273488518353</v>
      </c>
      <c r="AX124" s="2577">
        <v>1.3445596556102657</v>
      </c>
      <c r="AY124" s="2577">
        <v>1.2965396679098991</v>
      </c>
      <c r="AZ124" s="2577">
        <v>1.2518314034992128</v>
      </c>
      <c r="BA124" s="2578">
        <v>1.2101036900492392</v>
      </c>
    </row>
    <row r="125" spans="2:53" ht="11.25" customHeight="1" thickBot="1">
      <c r="AU125" s="3033"/>
      <c r="AV125" s="2571">
        <v>0.08</v>
      </c>
      <c r="AW125" s="2577">
        <v>1.3612210282148081</v>
      </c>
      <c r="AX125" s="2577">
        <v>1.3108054345772227</v>
      </c>
      <c r="AY125" s="2577">
        <v>1.2639909547708932</v>
      </c>
      <c r="AZ125" s="2577">
        <v>1.2204050597787934</v>
      </c>
      <c r="BA125" s="2578">
        <v>1.1797248911195004</v>
      </c>
    </row>
    <row r="126" spans="2:53" ht="11.25" customHeight="1" thickBot="1">
      <c r="AU126" s="3033"/>
      <c r="AV126" s="2571">
        <v>0.1</v>
      </c>
      <c r="AW126" s="2577">
        <v>1.3261685679112623</v>
      </c>
      <c r="AX126" s="2577">
        <v>1.2770512135441785</v>
      </c>
      <c r="AY126" s="2577">
        <v>1.2314422416318864</v>
      </c>
      <c r="AZ126" s="2577">
        <v>1.1889787160583731</v>
      </c>
      <c r="BA126" s="2578">
        <v>1.1493460921897607</v>
      </c>
    </row>
    <row r="127" spans="2:53" ht="11.25" customHeight="1" thickBot="1">
      <c r="AU127" s="3034"/>
      <c r="AV127" s="2572">
        <v>0.12</v>
      </c>
      <c r="AW127" s="2577">
        <v>1.2911161076077162</v>
      </c>
      <c r="AX127" s="2577">
        <v>1.2432969925111341</v>
      </c>
      <c r="AY127" s="2577">
        <v>1.1988935284928794</v>
      </c>
      <c r="AZ127" s="2577">
        <v>1.1575523723379526</v>
      </c>
      <c r="BA127" s="2578">
        <v>1.1189672932600208</v>
      </c>
    </row>
    <row r="130" spans="47:53" ht="11.25" customHeight="1">
      <c r="AU130" s="259" t="s">
        <v>1694</v>
      </c>
    </row>
    <row r="132" spans="47:53" ht="13.5" customHeight="1" thickBot="1">
      <c r="AU132" s="2573" t="s">
        <v>619</v>
      </c>
      <c r="AV132" s="2574"/>
      <c r="AW132" s="3035" t="s">
        <v>683</v>
      </c>
      <c r="AX132" s="3036"/>
      <c r="AY132" s="3036"/>
      <c r="AZ132" s="3036"/>
      <c r="BA132" s="3034"/>
    </row>
    <row r="133" spans="47:53" ht="11.25" customHeight="1" thickBot="1">
      <c r="AU133" s="2575"/>
      <c r="AV133" s="2576">
        <f>AN49</f>
        <v>1.260474277585605</v>
      </c>
      <c r="AW133" s="2569">
        <v>5.1999999999999998E-2</v>
      </c>
      <c r="AX133" s="2569">
        <v>5.3999999999999999E-2</v>
      </c>
      <c r="AY133" s="2569">
        <v>5.6000000000000001E-2</v>
      </c>
      <c r="AZ133" s="2569">
        <v>5.8000000000000003E-2</v>
      </c>
      <c r="BA133" s="2570">
        <v>0.06</v>
      </c>
    </row>
    <row r="134" spans="47:53" ht="11.25" customHeight="1" thickBot="1">
      <c r="AU134" s="3032" t="s">
        <v>1239</v>
      </c>
      <c r="AV134" s="2571">
        <v>0.02</v>
      </c>
      <c r="AW134" s="2579">
        <v>1.1509687135777076</v>
      </c>
      <c r="AX134" s="2577">
        <v>1.1172406926670055</v>
      </c>
      <c r="AY134" s="2577">
        <v>1.0854331284629626</v>
      </c>
      <c r="AZ134" s="2577">
        <v>1.0553865366716004</v>
      </c>
      <c r="BA134" s="2578">
        <v>1.026958616491894</v>
      </c>
    </row>
    <row r="135" spans="47:53" ht="11.25" customHeight="1" thickBot="1">
      <c r="AU135" s="3033"/>
      <c r="AV135" s="2571">
        <v>0.04</v>
      </c>
      <c r="AW135" s="2577">
        <v>1.1234558390753018</v>
      </c>
      <c r="AX135" s="2577">
        <v>1.0905340562452563</v>
      </c>
      <c r="AY135" s="2577">
        <v>1.0594868233272419</v>
      </c>
      <c r="AZ135" s="2577">
        <v>1.0301584683562457</v>
      </c>
      <c r="BA135" s="2578">
        <v>1.0024100921042256</v>
      </c>
    </row>
    <row r="136" spans="47:53" ht="11.25" customHeight="1" thickBot="1">
      <c r="AU136" s="3033"/>
      <c r="AV136" s="2571">
        <v>0.06</v>
      </c>
      <c r="AW136" s="2577">
        <v>1.0959429645728958</v>
      </c>
      <c r="AX136" s="2577">
        <v>1.0638274198235069</v>
      </c>
      <c r="AY136" s="2577">
        <v>1.0335405181915209</v>
      </c>
      <c r="AZ136" s="2577">
        <v>1.0049304000408907</v>
      </c>
      <c r="BA136" s="2578">
        <v>0.97786156771655686</v>
      </c>
    </row>
    <row r="137" spans="47:53" ht="11.25" customHeight="1" thickBot="1">
      <c r="AU137" s="3033"/>
      <c r="AV137" s="2571">
        <v>0.08</v>
      </c>
      <c r="AW137" s="2577">
        <v>1.0684300900704908</v>
      </c>
      <c r="AX137" s="2577">
        <v>1.0371207834017586</v>
      </c>
      <c r="AY137" s="2577">
        <v>1.0075942130558011</v>
      </c>
      <c r="AZ137" s="2577">
        <v>0.97970233172553667</v>
      </c>
      <c r="BA137" s="2578">
        <v>0.95331304332888922</v>
      </c>
    </row>
    <row r="138" spans="47:53" ht="11.25" customHeight="1" thickBot="1">
      <c r="AU138" s="3033"/>
      <c r="AV138" s="2571">
        <v>0.1</v>
      </c>
      <c r="AW138" s="2577">
        <v>1.0409172155680853</v>
      </c>
      <c r="AX138" s="2577">
        <v>1.0104141469800094</v>
      </c>
      <c r="AY138" s="2577">
        <v>0.98164790792008028</v>
      </c>
      <c r="AZ138" s="2577">
        <v>0.95447426341018193</v>
      </c>
      <c r="BA138" s="2578">
        <v>0.92876451894122081</v>
      </c>
    </row>
    <row r="139" spans="47:53" ht="11.25" customHeight="1" thickBot="1">
      <c r="AU139" s="3034"/>
      <c r="AV139" s="2572">
        <v>0.12</v>
      </c>
      <c r="AW139" s="2577">
        <v>1.0134043410656792</v>
      </c>
      <c r="AX139" s="2577">
        <v>0.98370751055826</v>
      </c>
      <c r="AY139" s="2577">
        <v>0.95570160278435934</v>
      </c>
      <c r="AZ139" s="2577">
        <v>0.92924619509482698</v>
      </c>
      <c r="BA139" s="2578">
        <v>0.90421599455355217</v>
      </c>
    </row>
  </sheetData>
  <mergeCells count="24">
    <mergeCell ref="L6:L8"/>
    <mergeCell ref="L9:L10"/>
    <mergeCell ref="AV69:AV70"/>
    <mergeCell ref="AX69:AX70"/>
    <mergeCell ref="AY69:AY70"/>
    <mergeCell ref="AL63:AL64"/>
    <mergeCell ref="AM63:AS63"/>
    <mergeCell ref="AZ69:AZ70"/>
    <mergeCell ref="BA69:BA70"/>
    <mergeCell ref="BB69:BB70"/>
    <mergeCell ref="BC69:BC70"/>
    <mergeCell ref="AV78:AW78"/>
    <mergeCell ref="AW94:BA94"/>
    <mergeCell ref="AU96:AU101"/>
    <mergeCell ref="AW108:BA108"/>
    <mergeCell ref="AV79:AW79"/>
    <mergeCell ref="AV80:AW80"/>
    <mergeCell ref="AV81:AV85"/>
    <mergeCell ref="AV86:AV89"/>
    <mergeCell ref="AU134:AU139"/>
    <mergeCell ref="AU110:AU115"/>
    <mergeCell ref="AW120:BA120"/>
    <mergeCell ref="AU122:AU127"/>
    <mergeCell ref="AW132:BA132"/>
  </mergeCells>
  <phoneticPr fontId="2" type="noConversion"/>
  <conditionalFormatting sqref="K43:K61">
    <cfRule type="cellIs" dxfId="5" priority="2" operator="lessThan">
      <formula>$K$39</formula>
    </cfRule>
  </conditionalFormatting>
  <conditionalFormatting sqref="K73:K91">
    <cfRule type="cellIs" dxfId="4" priority="1" operator="lessThan">
      <formula>$K$39</formula>
    </cfRule>
  </conditionalFormatting>
  <dataValidations disablePrompts="1" count="2">
    <dataValidation type="list" allowBlank="1" showInputMessage="1" showErrorMessage="1" sqref="F104 U73 Y6 AI23" xr:uid="{BEF3C076-890B-4512-AEEF-3FC003C759DF}">
      <formula1>"0,1"</formula1>
    </dataValidation>
    <dataValidation type="list" allowBlank="1" showInputMessage="1" showErrorMessage="1" sqref="AN36" xr:uid="{E49B7B10-34B3-4929-8707-93F08CB923B8}">
      <formula1>$AO$36:$BN$36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55" r:id="rId3" name="Button 19">
              <controlPr defaultSize="0" print="0" autoFill="0" autoPict="0" macro="[0]!단추13_Click">
                <anchor moveWithCells="1" sizeWithCells="1">
                  <from>
                    <xdr:col>39</xdr:col>
                    <xdr:colOff>628650</xdr:colOff>
                    <xdr:row>28</xdr:row>
                    <xdr:rowOff>38100</xdr:rowOff>
                  </from>
                  <to>
                    <xdr:col>42</xdr:col>
                    <xdr:colOff>495300</xdr:colOff>
                    <xdr:row>30</xdr:row>
                    <xdr:rowOff>9525</xdr:rowOff>
                  </to>
                </anchor>
              </controlPr>
            </control>
          </mc:Choice>
        </mc:AlternateContent>
        <mc:AlternateContent xmlns:mc="http://schemas.openxmlformats.org/markup-compatibility/2006">
          <mc:Choice Requires="x14">
            <control shapeId="14358" r:id="rId4" name="Button 22">
              <controlPr defaultSize="0" print="0" autoFill="0" autoPict="0" macro="[0]!민감도분석">
                <anchor moveWithCells="1" sizeWithCells="1">
                  <from>
                    <xdr:col>39</xdr:col>
                    <xdr:colOff>857250</xdr:colOff>
                    <xdr:row>31</xdr:row>
                    <xdr:rowOff>95250</xdr:rowOff>
                  </from>
                  <to>
                    <xdr:col>42</xdr:col>
                    <xdr:colOff>247650</xdr:colOff>
                    <xdr:row>33</xdr:row>
                    <xdr:rowOff>19050</xdr:rowOff>
                  </to>
                </anchor>
              </controlPr>
            </control>
          </mc:Choice>
        </mc:AlternateContent>
        <mc:AlternateContent xmlns:mc="http://schemas.openxmlformats.org/markup-compatibility/2006">
          <mc:Choice Requires="x14">
            <control shapeId="14365" r:id="rId5" name="Button 29">
              <controlPr defaultSize="0" print="0" autoFill="0" autoPict="0" macro="[0]!민감도표">
                <anchor moveWithCells="1" sizeWithCells="1">
                  <from>
                    <xdr:col>47</xdr:col>
                    <xdr:colOff>676275</xdr:colOff>
                    <xdr:row>90</xdr:row>
                    <xdr:rowOff>47625</xdr:rowOff>
                  </from>
                  <to>
                    <xdr:col>49</xdr:col>
                    <xdr:colOff>666750</xdr:colOff>
                    <xdr:row>91</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CB1E0-4B07-42BA-B60D-281EFEC6604E}">
  <sheetPr codeName="Sheet11">
    <tabColor theme="7" tint="-0.499984740745262"/>
  </sheetPr>
  <dimension ref="A1:EU309"/>
  <sheetViews>
    <sheetView showGridLines="0" zoomScale="85" zoomScaleNormal="85" workbookViewId="0">
      <pane xSplit="10" ySplit="12" topLeftCell="K228" activePane="bottomRight" state="frozen"/>
      <selection activeCell="M268" sqref="M268"/>
      <selection pane="topRight" activeCell="M268" sqref="M268"/>
      <selection pane="bottomLeft" activeCell="M268" sqref="M268"/>
      <selection pane="bottomRight" activeCell="I245" sqref="I245"/>
    </sheetView>
  </sheetViews>
  <sheetFormatPr defaultColWidth="9" defaultRowHeight="12"/>
  <cols>
    <col min="1" max="2" width="2.625" style="5" customWidth="1"/>
    <col min="3" max="3" width="1.875" style="5" customWidth="1"/>
    <col min="4" max="4" width="2.125" style="5" customWidth="1"/>
    <col min="5" max="5" width="9" style="5"/>
    <col min="6" max="6" width="9.75" style="5" bestFit="1" customWidth="1"/>
    <col min="7" max="7" width="11.625" style="5" bestFit="1" customWidth="1"/>
    <col min="8" max="8" width="9.75" style="146" bestFit="1" customWidth="1"/>
    <col min="9" max="9" width="11" style="13" customWidth="1"/>
    <col min="10" max="10" width="11" style="5" customWidth="1"/>
    <col min="11" max="11" width="2.625" style="5" customWidth="1"/>
    <col min="12" max="133" width="11" style="5" customWidth="1"/>
    <col min="134" max="134" width="11" style="1310" customWidth="1"/>
    <col min="135" max="147" width="11" style="5" customWidth="1"/>
    <col min="148" max="16384" width="9" style="5"/>
  </cols>
  <sheetData>
    <row r="1" spans="1:151" s="3" customFormat="1" ht="11.25" customHeight="1">
      <c r="A1" s="2" t="s">
        <v>250</v>
      </c>
      <c r="ED1" s="1310"/>
    </row>
    <row r="2" spans="1:151" s="4" customFormat="1" ht="11.25" customHeight="1">
      <c r="A2" s="4" t="s">
        <v>255</v>
      </c>
      <c r="ED2" s="1311"/>
    </row>
    <row r="4" spans="1:151" ht="11.25" customHeight="1">
      <c r="C4" s="187" t="s">
        <v>0</v>
      </c>
      <c r="D4" s="143"/>
      <c r="E4" s="143"/>
      <c r="F4" s="143"/>
      <c r="G4" s="143"/>
      <c r="H4" s="208"/>
      <c r="I4" s="188"/>
      <c r="J4" s="144"/>
      <c r="L4" s="145">
        <f>'CF(M)'!L4</f>
        <v>46326</v>
      </c>
      <c r="M4" s="145">
        <f>'CF(M)'!M4</f>
        <v>46327</v>
      </c>
      <c r="N4" s="145">
        <f>'CF(M)'!N4</f>
        <v>46357</v>
      </c>
      <c r="O4" s="145">
        <f>'CF(M)'!O4</f>
        <v>46388</v>
      </c>
      <c r="P4" s="145">
        <f>'CF(M)'!P4</f>
        <v>46419</v>
      </c>
      <c r="Q4" s="145">
        <f>'CF(M)'!Q4</f>
        <v>46447</v>
      </c>
      <c r="R4" s="145">
        <f>'CF(M)'!R4</f>
        <v>46478</v>
      </c>
      <c r="S4" s="145">
        <f>'CF(M)'!S4</f>
        <v>46508</v>
      </c>
      <c r="T4" s="145">
        <f>'CF(M)'!T4</f>
        <v>46539</v>
      </c>
      <c r="U4" s="145">
        <f>'CF(M)'!U4</f>
        <v>46569</v>
      </c>
      <c r="V4" s="145">
        <f>'CF(M)'!V4</f>
        <v>46600</v>
      </c>
      <c r="W4" s="145">
        <f>'CF(M)'!W4</f>
        <v>46631</v>
      </c>
      <c r="X4" s="145">
        <f>'CF(M)'!X4</f>
        <v>46661</v>
      </c>
      <c r="Y4" s="145">
        <f>'CF(M)'!Y4</f>
        <v>46692</v>
      </c>
      <c r="Z4" s="145">
        <f>'CF(M)'!Z4</f>
        <v>46722</v>
      </c>
      <c r="AA4" s="145">
        <f>'CF(M)'!AA4</f>
        <v>46753</v>
      </c>
      <c r="AB4" s="145">
        <f>'CF(M)'!AB4</f>
        <v>46784</v>
      </c>
      <c r="AC4" s="145">
        <f>'CF(M)'!AC4</f>
        <v>46813</v>
      </c>
      <c r="AD4" s="145">
        <f>'CF(M)'!AD4</f>
        <v>46844</v>
      </c>
      <c r="AE4" s="145">
        <f>'CF(M)'!AE4</f>
        <v>46874</v>
      </c>
      <c r="AF4" s="145">
        <f>'CF(M)'!AF4</f>
        <v>46905</v>
      </c>
      <c r="AG4" s="145">
        <f>'CF(M)'!AG4</f>
        <v>46935</v>
      </c>
      <c r="AH4" s="145">
        <f>'CF(M)'!AH4</f>
        <v>46966</v>
      </c>
      <c r="AI4" s="145">
        <f>'CF(M)'!AI4</f>
        <v>46997</v>
      </c>
      <c r="AJ4" s="145">
        <f>'CF(M)'!AJ4</f>
        <v>47027</v>
      </c>
      <c r="AK4" s="145">
        <f>'CF(M)'!AK4</f>
        <v>47058</v>
      </c>
      <c r="AL4" s="145">
        <f>'CF(M)'!AL4</f>
        <v>47088</v>
      </c>
      <c r="AM4" s="145">
        <f>'CF(M)'!AM4</f>
        <v>47119</v>
      </c>
      <c r="AN4" s="145">
        <f>'CF(M)'!AN4</f>
        <v>47150</v>
      </c>
      <c r="AO4" s="145">
        <f>'CF(M)'!AO4</f>
        <v>47178</v>
      </c>
      <c r="AP4" s="145">
        <f>'CF(M)'!AP4</f>
        <v>47209</v>
      </c>
      <c r="AQ4" s="145">
        <f>'CF(M)'!AQ4</f>
        <v>47239</v>
      </c>
      <c r="AR4" s="145">
        <f>'CF(M)'!AR4</f>
        <v>47270</v>
      </c>
      <c r="AS4" s="145">
        <f>'CF(M)'!AS4</f>
        <v>47300</v>
      </c>
      <c r="AT4" s="145">
        <f>'CF(M)'!AT4</f>
        <v>47331</v>
      </c>
      <c r="AU4" s="145">
        <f>'CF(M)'!AU4</f>
        <v>47362</v>
      </c>
      <c r="AV4" s="145">
        <f>'CF(M)'!AV4</f>
        <v>47392</v>
      </c>
      <c r="AW4" s="145">
        <f>'CF(M)'!AW4</f>
        <v>47423</v>
      </c>
      <c r="AX4" s="145">
        <f>'CF(M)'!AX4</f>
        <v>47453</v>
      </c>
      <c r="AY4" s="145">
        <f>'CF(M)'!AY4</f>
        <v>47484</v>
      </c>
      <c r="AZ4" s="145">
        <f>'CF(M)'!AZ4</f>
        <v>47515</v>
      </c>
      <c r="BA4" s="145">
        <f>'CF(M)'!BA4</f>
        <v>47543</v>
      </c>
      <c r="BB4" s="145">
        <f>'CF(M)'!BB4</f>
        <v>47574</v>
      </c>
      <c r="BC4" s="145">
        <f>'CF(M)'!BC4</f>
        <v>47604</v>
      </c>
      <c r="BD4" s="145">
        <f>'CF(M)'!BD4</f>
        <v>47635</v>
      </c>
      <c r="BE4" s="145">
        <f>'CF(M)'!BE4</f>
        <v>47665</v>
      </c>
      <c r="BF4" s="145">
        <f>'CF(M)'!BF4</f>
        <v>47696</v>
      </c>
      <c r="BG4" s="145">
        <f>'CF(M)'!BG4</f>
        <v>47727</v>
      </c>
      <c r="BH4" s="145">
        <f>'CF(M)'!BH4</f>
        <v>47757</v>
      </c>
      <c r="BI4" s="145">
        <f>'CF(M)'!BI4</f>
        <v>47788</v>
      </c>
      <c r="BJ4" s="145">
        <f>'CF(M)'!BJ4</f>
        <v>47818</v>
      </c>
      <c r="BK4" s="145">
        <f>'CF(M)'!BK4</f>
        <v>47849</v>
      </c>
      <c r="BL4" s="145">
        <f>'CF(M)'!BL4</f>
        <v>47880</v>
      </c>
      <c r="BM4" s="145">
        <f>'CF(M)'!BM4</f>
        <v>47908</v>
      </c>
      <c r="BN4" s="145">
        <f>'CF(M)'!BN4</f>
        <v>47939</v>
      </c>
      <c r="BO4" s="145">
        <f>'CF(M)'!BO4</f>
        <v>47969</v>
      </c>
      <c r="BP4" s="145">
        <f>'CF(M)'!BP4</f>
        <v>48000</v>
      </c>
      <c r="BQ4" s="145">
        <f>'CF(M)'!BQ4</f>
        <v>48030</v>
      </c>
      <c r="BR4" s="145">
        <f>'CF(M)'!BR4</f>
        <v>48061</v>
      </c>
      <c r="BS4" s="145">
        <f>'CF(M)'!BS4</f>
        <v>48092</v>
      </c>
      <c r="BT4" s="145">
        <f>'CF(M)'!BT4</f>
        <v>48122</v>
      </c>
      <c r="BU4" s="145">
        <f>'CF(M)'!BU4</f>
        <v>48153</v>
      </c>
      <c r="BV4" s="145">
        <f>'CF(M)'!BV4</f>
        <v>48183</v>
      </c>
      <c r="BW4" s="145">
        <f>'CF(M)'!BW4</f>
        <v>48214</v>
      </c>
      <c r="BX4" s="145">
        <f>'CF(M)'!BX4</f>
        <v>48245</v>
      </c>
      <c r="BY4" s="145">
        <f>'CF(M)'!BY4</f>
        <v>48274</v>
      </c>
      <c r="BZ4" s="145">
        <f>'CF(M)'!BZ4</f>
        <v>48305</v>
      </c>
      <c r="CA4" s="145">
        <f>'CF(M)'!CA4</f>
        <v>48335</v>
      </c>
      <c r="CB4" s="145">
        <f>'CF(M)'!CB4</f>
        <v>48366</v>
      </c>
      <c r="CC4" s="145">
        <f>'CF(M)'!CC4</f>
        <v>48396</v>
      </c>
      <c r="CD4" s="145">
        <f>'CF(M)'!CD4</f>
        <v>48427</v>
      </c>
      <c r="CE4" s="145">
        <f>'CF(M)'!CE4</f>
        <v>48458</v>
      </c>
      <c r="CF4" s="145">
        <f>'CF(M)'!CF4</f>
        <v>48488</v>
      </c>
      <c r="CG4" s="145">
        <f>'CF(M)'!CG4</f>
        <v>48519</v>
      </c>
      <c r="CH4" s="145">
        <f>'CF(M)'!CH4</f>
        <v>48549</v>
      </c>
      <c r="CI4" s="145">
        <f>'CF(M)'!CI4</f>
        <v>48580</v>
      </c>
      <c r="CJ4" s="145">
        <f>'CF(M)'!CJ4</f>
        <v>48611</v>
      </c>
      <c r="CK4" s="145">
        <f>'CF(M)'!CK4</f>
        <v>48639</v>
      </c>
      <c r="CL4" s="145">
        <f>'CF(M)'!CL4</f>
        <v>48670</v>
      </c>
      <c r="CM4" s="145">
        <f>'CF(M)'!CM4</f>
        <v>48700</v>
      </c>
      <c r="CN4" s="145">
        <f>'CF(M)'!CN4</f>
        <v>48731</v>
      </c>
      <c r="CO4" s="145">
        <f>'CF(M)'!CO4</f>
        <v>48761</v>
      </c>
      <c r="CP4" s="145">
        <f>'CF(M)'!CP4</f>
        <v>48792</v>
      </c>
      <c r="CQ4" s="145">
        <f>'CF(M)'!CQ4</f>
        <v>48823</v>
      </c>
      <c r="CR4" s="145">
        <f>'CF(M)'!CR4</f>
        <v>48853</v>
      </c>
      <c r="CS4" s="145">
        <f>'CF(M)'!CS4</f>
        <v>48884</v>
      </c>
      <c r="CT4" s="145">
        <f>'CF(M)'!CT4</f>
        <v>48914</v>
      </c>
      <c r="CU4" s="145">
        <f>'CF(M)'!CU4</f>
        <v>48945</v>
      </c>
      <c r="CV4" s="145">
        <f>'CF(M)'!CV4</f>
        <v>48976</v>
      </c>
      <c r="CW4" s="145">
        <f>'CF(M)'!CW4</f>
        <v>49004</v>
      </c>
      <c r="CX4" s="145">
        <f>'CF(M)'!CX4</f>
        <v>49035</v>
      </c>
      <c r="CY4" s="145">
        <f>'CF(M)'!CY4</f>
        <v>49065</v>
      </c>
      <c r="CZ4" s="145">
        <f>'CF(M)'!CZ4</f>
        <v>49096</v>
      </c>
      <c r="DA4" s="145">
        <f>'CF(M)'!DA4</f>
        <v>49126</v>
      </c>
      <c r="DB4" s="145">
        <f>'CF(M)'!DB4</f>
        <v>49157</v>
      </c>
      <c r="DC4" s="145">
        <f>'CF(M)'!DC4</f>
        <v>49188</v>
      </c>
      <c r="DD4" s="145">
        <f>'CF(M)'!DD4</f>
        <v>49218</v>
      </c>
      <c r="DE4" s="145">
        <f>'CF(M)'!DE4</f>
        <v>49249</v>
      </c>
      <c r="DF4" s="145">
        <f>'CF(M)'!DF4</f>
        <v>49279</v>
      </c>
      <c r="DG4" s="145">
        <f>'CF(M)'!DG4</f>
        <v>49310</v>
      </c>
      <c r="DH4" s="145">
        <f>'CF(M)'!DH4</f>
        <v>49341</v>
      </c>
      <c r="DI4" s="145">
        <f>'CF(M)'!DI4</f>
        <v>49369</v>
      </c>
      <c r="DJ4" s="145">
        <f>'CF(M)'!DJ4</f>
        <v>49400</v>
      </c>
      <c r="DK4" s="145">
        <f>'CF(M)'!DK4</f>
        <v>49430</v>
      </c>
      <c r="DL4" s="145">
        <f>'CF(M)'!DL4</f>
        <v>49461</v>
      </c>
      <c r="DM4" s="145">
        <f>'CF(M)'!DM4</f>
        <v>49491</v>
      </c>
      <c r="DN4" s="145">
        <f>'CF(M)'!DN4</f>
        <v>49522</v>
      </c>
      <c r="DO4" s="145">
        <f>'CF(M)'!DO4</f>
        <v>49553</v>
      </c>
      <c r="DP4" s="145">
        <f>'CF(M)'!DP4</f>
        <v>49583</v>
      </c>
      <c r="DQ4" s="145">
        <f>'CF(M)'!DQ4</f>
        <v>49614</v>
      </c>
      <c r="DR4" s="145">
        <f>'CF(M)'!DR4</f>
        <v>49644</v>
      </c>
      <c r="DS4" s="145">
        <f>'CF(M)'!DS4</f>
        <v>49675</v>
      </c>
      <c r="DT4" s="145">
        <f>'CF(M)'!DT4</f>
        <v>49706</v>
      </c>
      <c r="DU4" s="145">
        <f>'CF(M)'!DU4</f>
        <v>49735</v>
      </c>
      <c r="DV4" s="145">
        <f>'CF(M)'!DV4</f>
        <v>49766</v>
      </c>
      <c r="DW4" s="145">
        <f>'CF(M)'!DW4</f>
        <v>49796</v>
      </c>
      <c r="DX4" s="145">
        <f>'CF(M)'!DX4</f>
        <v>49827</v>
      </c>
      <c r="DY4" s="145">
        <f>'CF(M)'!DY4</f>
        <v>49857</v>
      </c>
      <c r="DZ4" s="145">
        <f>'CF(M)'!DZ4</f>
        <v>49888</v>
      </c>
      <c r="EA4" s="145">
        <f>'CF(M)'!EA4</f>
        <v>49919</v>
      </c>
      <c r="EB4" s="145">
        <f>'CF(M)'!EB4</f>
        <v>49949</v>
      </c>
      <c r="EC4" s="145">
        <f>'CF(M)'!EC4</f>
        <v>49980</v>
      </c>
      <c r="ED4" s="1312">
        <f>'CF(M)'!ED4</f>
        <v>50010</v>
      </c>
      <c r="EE4" s="145">
        <f>'CF(M)'!EE4</f>
        <v>50041</v>
      </c>
      <c r="EF4" s="145">
        <f>'CF(M)'!EF4</f>
        <v>50072</v>
      </c>
      <c r="EG4" s="145">
        <f>'CF(M)'!EG4</f>
        <v>50100</v>
      </c>
      <c r="EH4" s="145">
        <f>'CF(M)'!EH4</f>
        <v>50131</v>
      </c>
      <c r="EI4" s="145">
        <f>'CF(M)'!EI4</f>
        <v>50161</v>
      </c>
      <c r="EJ4" s="145">
        <f>'CF(M)'!EJ4</f>
        <v>50192</v>
      </c>
      <c r="EK4" s="145">
        <f>'CF(M)'!EK4</f>
        <v>50222</v>
      </c>
      <c r="EL4" s="145">
        <f>'CF(M)'!EL4</f>
        <v>50253</v>
      </c>
      <c r="EM4" s="145">
        <f>'CF(M)'!EM4</f>
        <v>50284</v>
      </c>
      <c r="EN4" s="145">
        <f>'CF(M)'!EN4</f>
        <v>50314</v>
      </c>
      <c r="EO4" s="145">
        <f>'CF(M)'!EO4</f>
        <v>50345</v>
      </c>
      <c r="EP4" s="145">
        <f>'CF(M)'!EP4</f>
        <v>50375</v>
      </c>
      <c r="EQ4" s="145">
        <f>'CF(M)'!EQ4</f>
        <v>50406</v>
      </c>
      <c r="ER4" s="146"/>
      <c r="ES4" s="146"/>
      <c r="ET4" s="146"/>
      <c r="EU4" s="146"/>
    </row>
    <row r="5" spans="1:151" ht="11.25" customHeight="1">
      <c r="C5" s="187" t="s">
        <v>1</v>
      </c>
      <c r="D5" s="143"/>
      <c r="E5" s="143"/>
      <c r="F5" s="143"/>
      <c r="G5" s="143"/>
      <c r="H5" s="208"/>
      <c r="I5" s="188"/>
      <c r="J5" s="143"/>
      <c r="L5" s="145">
        <f>'CF(M)'!L5</f>
        <v>46326</v>
      </c>
      <c r="M5" s="145">
        <f>'CF(M)'!M5</f>
        <v>46356</v>
      </c>
      <c r="N5" s="145">
        <f>'CF(M)'!N5</f>
        <v>46387</v>
      </c>
      <c r="O5" s="145">
        <f>'CF(M)'!O5</f>
        <v>46418</v>
      </c>
      <c r="P5" s="145">
        <f>'CF(M)'!P5</f>
        <v>46446</v>
      </c>
      <c r="Q5" s="145">
        <f>'CF(M)'!Q5</f>
        <v>46477</v>
      </c>
      <c r="R5" s="145">
        <f>'CF(M)'!R5</f>
        <v>46507</v>
      </c>
      <c r="S5" s="145">
        <f>'CF(M)'!S5</f>
        <v>46538</v>
      </c>
      <c r="T5" s="145">
        <f>'CF(M)'!T5</f>
        <v>46568</v>
      </c>
      <c r="U5" s="145">
        <f>'CF(M)'!U5</f>
        <v>46599</v>
      </c>
      <c r="V5" s="145">
        <f>'CF(M)'!V5</f>
        <v>46630</v>
      </c>
      <c r="W5" s="145">
        <f>'CF(M)'!W5</f>
        <v>46660</v>
      </c>
      <c r="X5" s="145">
        <f>'CF(M)'!X5</f>
        <v>46691</v>
      </c>
      <c r="Y5" s="145">
        <f>'CF(M)'!Y5</f>
        <v>46721</v>
      </c>
      <c r="Z5" s="145">
        <f>'CF(M)'!Z5</f>
        <v>46752</v>
      </c>
      <c r="AA5" s="145">
        <f>'CF(M)'!AA5</f>
        <v>46783</v>
      </c>
      <c r="AB5" s="145">
        <f>'CF(M)'!AB5</f>
        <v>46812</v>
      </c>
      <c r="AC5" s="145">
        <f>'CF(M)'!AC5</f>
        <v>46843</v>
      </c>
      <c r="AD5" s="145">
        <f>'CF(M)'!AD5</f>
        <v>46873</v>
      </c>
      <c r="AE5" s="145">
        <f>'CF(M)'!AE5</f>
        <v>46904</v>
      </c>
      <c r="AF5" s="145">
        <f>'CF(M)'!AF5</f>
        <v>46934</v>
      </c>
      <c r="AG5" s="145">
        <f>'CF(M)'!AG5</f>
        <v>46965</v>
      </c>
      <c r="AH5" s="145">
        <f>'CF(M)'!AH5</f>
        <v>46996</v>
      </c>
      <c r="AI5" s="145">
        <f>'CF(M)'!AI5</f>
        <v>47026</v>
      </c>
      <c r="AJ5" s="145">
        <f>'CF(M)'!AJ5</f>
        <v>47057</v>
      </c>
      <c r="AK5" s="145">
        <f>'CF(M)'!AK5</f>
        <v>47087</v>
      </c>
      <c r="AL5" s="145">
        <f>'CF(M)'!AL5</f>
        <v>47118</v>
      </c>
      <c r="AM5" s="145">
        <f>'CF(M)'!AM5</f>
        <v>47149</v>
      </c>
      <c r="AN5" s="145">
        <f>'CF(M)'!AN5</f>
        <v>47177</v>
      </c>
      <c r="AO5" s="145">
        <f>'CF(M)'!AO5</f>
        <v>47208</v>
      </c>
      <c r="AP5" s="145">
        <f>'CF(M)'!AP5</f>
        <v>47238</v>
      </c>
      <c r="AQ5" s="145">
        <f>'CF(M)'!AQ5</f>
        <v>47269</v>
      </c>
      <c r="AR5" s="145">
        <f>'CF(M)'!AR5</f>
        <v>47299</v>
      </c>
      <c r="AS5" s="145">
        <f>'CF(M)'!AS5</f>
        <v>47330</v>
      </c>
      <c r="AT5" s="145">
        <f>'CF(M)'!AT5</f>
        <v>47361</v>
      </c>
      <c r="AU5" s="145">
        <f>'CF(M)'!AU5</f>
        <v>47391</v>
      </c>
      <c r="AV5" s="145">
        <f>'CF(M)'!AV5</f>
        <v>47422</v>
      </c>
      <c r="AW5" s="145">
        <f>'CF(M)'!AW5</f>
        <v>47452</v>
      </c>
      <c r="AX5" s="145">
        <f>'CF(M)'!AX5</f>
        <v>47483</v>
      </c>
      <c r="AY5" s="145">
        <f>'CF(M)'!AY5</f>
        <v>47514</v>
      </c>
      <c r="AZ5" s="145">
        <f>'CF(M)'!AZ5</f>
        <v>47542</v>
      </c>
      <c r="BA5" s="145">
        <f>'CF(M)'!BA5</f>
        <v>47573</v>
      </c>
      <c r="BB5" s="145">
        <f>'CF(M)'!BB5</f>
        <v>47603</v>
      </c>
      <c r="BC5" s="145">
        <f>'CF(M)'!BC5</f>
        <v>47634</v>
      </c>
      <c r="BD5" s="145">
        <f>'CF(M)'!BD5</f>
        <v>47664</v>
      </c>
      <c r="BE5" s="145">
        <f>'CF(M)'!BE5</f>
        <v>47695</v>
      </c>
      <c r="BF5" s="145">
        <f>'CF(M)'!BF5</f>
        <v>47726</v>
      </c>
      <c r="BG5" s="145">
        <f>'CF(M)'!BG5</f>
        <v>47756</v>
      </c>
      <c r="BH5" s="145">
        <f>'CF(M)'!BH5</f>
        <v>47787</v>
      </c>
      <c r="BI5" s="145">
        <f>'CF(M)'!BI5</f>
        <v>47817</v>
      </c>
      <c r="BJ5" s="145">
        <f>'CF(M)'!BJ5</f>
        <v>47848</v>
      </c>
      <c r="BK5" s="145">
        <f>'CF(M)'!BK5</f>
        <v>47879</v>
      </c>
      <c r="BL5" s="145">
        <f>'CF(M)'!BL5</f>
        <v>47907</v>
      </c>
      <c r="BM5" s="145">
        <f>'CF(M)'!BM5</f>
        <v>47938</v>
      </c>
      <c r="BN5" s="145">
        <f>'CF(M)'!BN5</f>
        <v>47968</v>
      </c>
      <c r="BO5" s="145">
        <f>'CF(M)'!BO5</f>
        <v>47999</v>
      </c>
      <c r="BP5" s="145">
        <f>'CF(M)'!BP5</f>
        <v>48029</v>
      </c>
      <c r="BQ5" s="145">
        <f>'CF(M)'!BQ5</f>
        <v>48060</v>
      </c>
      <c r="BR5" s="145">
        <f>'CF(M)'!BR5</f>
        <v>48091</v>
      </c>
      <c r="BS5" s="145">
        <f>'CF(M)'!BS5</f>
        <v>48121</v>
      </c>
      <c r="BT5" s="145">
        <f>'CF(M)'!BT5</f>
        <v>48152</v>
      </c>
      <c r="BU5" s="145">
        <f>'CF(M)'!BU5</f>
        <v>48182</v>
      </c>
      <c r="BV5" s="145">
        <f>'CF(M)'!BV5</f>
        <v>48213</v>
      </c>
      <c r="BW5" s="145">
        <f>'CF(M)'!BW5</f>
        <v>48244</v>
      </c>
      <c r="BX5" s="145">
        <f>'CF(M)'!BX5</f>
        <v>48273</v>
      </c>
      <c r="BY5" s="145">
        <f>'CF(M)'!BY5</f>
        <v>48304</v>
      </c>
      <c r="BZ5" s="145">
        <f>'CF(M)'!BZ5</f>
        <v>48334</v>
      </c>
      <c r="CA5" s="145">
        <f>'CF(M)'!CA5</f>
        <v>48365</v>
      </c>
      <c r="CB5" s="145">
        <f>'CF(M)'!CB5</f>
        <v>48395</v>
      </c>
      <c r="CC5" s="145">
        <f>'CF(M)'!CC5</f>
        <v>48426</v>
      </c>
      <c r="CD5" s="145">
        <f>'CF(M)'!CD5</f>
        <v>48457</v>
      </c>
      <c r="CE5" s="145">
        <f>'CF(M)'!CE5</f>
        <v>48487</v>
      </c>
      <c r="CF5" s="145">
        <f>'CF(M)'!CF5</f>
        <v>48518</v>
      </c>
      <c r="CG5" s="145">
        <f>'CF(M)'!CG5</f>
        <v>48548</v>
      </c>
      <c r="CH5" s="145">
        <f>'CF(M)'!CH5</f>
        <v>48579</v>
      </c>
      <c r="CI5" s="145">
        <f>'CF(M)'!CI5</f>
        <v>48610</v>
      </c>
      <c r="CJ5" s="145">
        <f>'CF(M)'!CJ5</f>
        <v>48638</v>
      </c>
      <c r="CK5" s="145">
        <f>'CF(M)'!CK5</f>
        <v>48669</v>
      </c>
      <c r="CL5" s="145">
        <f>'CF(M)'!CL5</f>
        <v>48699</v>
      </c>
      <c r="CM5" s="145">
        <f>'CF(M)'!CM5</f>
        <v>48730</v>
      </c>
      <c r="CN5" s="145">
        <f>'CF(M)'!CN5</f>
        <v>48760</v>
      </c>
      <c r="CO5" s="145">
        <f>'CF(M)'!CO5</f>
        <v>48791</v>
      </c>
      <c r="CP5" s="145">
        <f>'CF(M)'!CP5</f>
        <v>48822</v>
      </c>
      <c r="CQ5" s="145">
        <f>'CF(M)'!CQ5</f>
        <v>48852</v>
      </c>
      <c r="CR5" s="145">
        <f>'CF(M)'!CR5</f>
        <v>48883</v>
      </c>
      <c r="CS5" s="145">
        <f>'CF(M)'!CS5</f>
        <v>48913</v>
      </c>
      <c r="CT5" s="145">
        <f>'CF(M)'!CT5</f>
        <v>48944</v>
      </c>
      <c r="CU5" s="145">
        <f>'CF(M)'!CU5</f>
        <v>48975</v>
      </c>
      <c r="CV5" s="145">
        <f>'CF(M)'!CV5</f>
        <v>49003</v>
      </c>
      <c r="CW5" s="145">
        <f>'CF(M)'!CW5</f>
        <v>49034</v>
      </c>
      <c r="CX5" s="145">
        <f>'CF(M)'!CX5</f>
        <v>49064</v>
      </c>
      <c r="CY5" s="145">
        <f>'CF(M)'!CY5</f>
        <v>49095</v>
      </c>
      <c r="CZ5" s="145">
        <f>'CF(M)'!CZ5</f>
        <v>49125</v>
      </c>
      <c r="DA5" s="145">
        <f>'CF(M)'!DA5</f>
        <v>49156</v>
      </c>
      <c r="DB5" s="145">
        <f>'CF(M)'!DB5</f>
        <v>49187</v>
      </c>
      <c r="DC5" s="145">
        <f>'CF(M)'!DC5</f>
        <v>49217</v>
      </c>
      <c r="DD5" s="145">
        <f>'CF(M)'!DD5</f>
        <v>49248</v>
      </c>
      <c r="DE5" s="145">
        <f>'CF(M)'!DE5</f>
        <v>49278</v>
      </c>
      <c r="DF5" s="145">
        <f>'CF(M)'!DF5</f>
        <v>49309</v>
      </c>
      <c r="DG5" s="145">
        <f>'CF(M)'!DG5</f>
        <v>49340</v>
      </c>
      <c r="DH5" s="145">
        <f>'CF(M)'!DH5</f>
        <v>49368</v>
      </c>
      <c r="DI5" s="145">
        <f>'CF(M)'!DI5</f>
        <v>49399</v>
      </c>
      <c r="DJ5" s="145">
        <f>'CF(M)'!DJ5</f>
        <v>49429</v>
      </c>
      <c r="DK5" s="145">
        <f>'CF(M)'!DK5</f>
        <v>49460</v>
      </c>
      <c r="DL5" s="145">
        <f>'CF(M)'!DL5</f>
        <v>49490</v>
      </c>
      <c r="DM5" s="145">
        <f>'CF(M)'!DM5</f>
        <v>49521</v>
      </c>
      <c r="DN5" s="145">
        <f>'CF(M)'!DN5</f>
        <v>49552</v>
      </c>
      <c r="DO5" s="145">
        <f>'CF(M)'!DO5</f>
        <v>49582</v>
      </c>
      <c r="DP5" s="145">
        <f>'CF(M)'!DP5</f>
        <v>49613</v>
      </c>
      <c r="DQ5" s="145">
        <f>'CF(M)'!DQ5</f>
        <v>49643</v>
      </c>
      <c r="DR5" s="145">
        <f>'CF(M)'!DR5</f>
        <v>49674</v>
      </c>
      <c r="DS5" s="145">
        <f>'CF(M)'!DS5</f>
        <v>49705</v>
      </c>
      <c r="DT5" s="145">
        <f>'CF(M)'!DT5</f>
        <v>49734</v>
      </c>
      <c r="DU5" s="145">
        <f>'CF(M)'!DU5</f>
        <v>49765</v>
      </c>
      <c r="DV5" s="145">
        <f>'CF(M)'!DV5</f>
        <v>49795</v>
      </c>
      <c r="DW5" s="145">
        <f>'CF(M)'!DW5</f>
        <v>49826</v>
      </c>
      <c r="DX5" s="145">
        <f>'CF(M)'!DX5</f>
        <v>49856</v>
      </c>
      <c r="DY5" s="145">
        <f>'CF(M)'!DY5</f>
        <v>49887</v>
      </c>
      <c r="DZ5" s="145">
        <f>'CF(M)'!DZ5</f>
        <v>49918</v>
      </c>
      <c r="EA5" s="145">
        <f>'CF(M)'!EA5</f>
        <v>49948</v>
      </c>
      <c r="EB5" s="145">
        <f>'CF(M)'!EB5</f>
        <v>49979</v>
      </c>
      <c r="EC5" s="145">
        <f>'CF(M)'!EC5</f>
        <v>50009</v>
      </c>
      <c r="ED5" s="1312">
        <f>'CF(M)'!ED5</f>
        <v>50040</v>
      </c>
      <c r="EE5" s="145">
        <f>'CF(M)'!EE5</f>
        <v>50071</v>
      </c>
      <c r="EF5" s="145">
        <f>'CF(M)'!EF5</f>
        <v>50099</v>
      </c>
      <c r="EG5" s="145">
        <f>'CF(M)'!EG5</f>
        <v>50130</v>
      </c>
      <c r="EH5" s="145">
        <f>'CF(M)'!EH5</f>
        <v>50160</v>
      </c>
      <c r="EI5" s="145">
        <f>'CF(M)'!EI5</f>
        <v>50191</v>
      </c>
      <c r="EJ5" s="145">
        <f>'CF(M)'!EJ5</f>
        <v>50221</v>
      </c>
      <c r="EK5" s="145">
        <f>'CF(M)'!EK5</f>
        <v>50252</v>
      </c>
      <c r="EL5" s="145">
        <f>'CF(M)'!EL5</f>
        <v>50283</v>
      </c>
      <c r="EM5" s="145">
        <f>'CF(M)'!EM5</f>
        <v>50313</v>
      </c>
      <c r="EN5" s="145">
        <f>'CF(M)'!EN5</f>
        <v>50344</v>
      </c>
      <c r="EO5" s="145">
        <f>'CF(M)'!EO5</f>
        <v>50374</v>
      </c>
      <c r="EP5" s="145">
        <f>'CF(M)'!EP5</f>
        <v>50405</v>
      </c>
      <c r="EQ5" s="145">
        <f>'CF(M)'!EQ5</f>
        <v>50436</v>
      </c>
      <c r="ER5" s="146"/>
      <c r="ES5" s="146"/>
      <c r="ET5" s="146"/>
      <c r="EU5" s="146"/>
    </row>
    <row r="6" spans="1:151" ht="11.25" customHeight="1">
      <c r="C6" s="189" t="s">
        <v>2</v>
      </c>
      <c r="D6" s="148"/>
      <c r="E6" s="148"/>
      <c r="F6" s="148"/>
      <c r="G6" s="148"/>
      <c r="H6" s="209"/>
      <c r="I6" s="190"/>
      <c r="J6" s="148"/>
      <c r="L6" s="149">
        <f>'CF(M)'!L6</f>
        <v>2026</v>
      </c>
      <c r="M6" s="149">
        <f>'CF(M)'!M6</f>
        <v>2026</v>
      </c>
      <c r="N6" s="149">
        <f>'CF(M)'!N6</f>
        <v>2026</v>
      </c>
      <c r="O6" s="149">
        <f>'CF(M)'!O6</f>
        <v>2027</v>
      </c>
      <c r="P6" s="149">
        <f>'CF(M)'!P6</f>
        <v>2027</v>
      </c>
      <c r="Q6" s="149">
        <f>'CF(M)'!Q6</f>
        <v>2027</v>
      </c>
      <c r="R6" s="149">
        <f>'CF(M)'!R6</f>
        <v>2027</v>
      </c>
      <c r="S6" s="149">
        <f>'CF(M)'!S6</f>
        <v>2027</v>
      </c>
      <c r="T6" s="149">
        <f>'CF(M)'!T6</f>
        <v>2027</v>
      </c>
      <c r="U6" s="149">
        <f>'CF(M)'!U6</f>
        <v>2027</v>
      </c>
      <c r="V6" s="149">
        <f>'CF(M)'!V6</f>
        <v>2027</v>
      </c>
      <c r="W6" s="149">
        <f>'CF(M)'!W6</f>
        <v>2027</v>
      </c>
      <c r="X6" s="149">
        <f>'CF(M)'!X6</f>
        <v>2027</v>
      </c>
      <c r="Y6" s="149">
        <f>'CF(M)'!Y6</f>
        <v>2027</v>
      </c>
      <c r="Z6" s="149">
        <f>'CF(M)'!Z6</f>
        <v>2027</v>
      </c>
      <c r="AA6" s="149">
        <f>'CF(M)'!AA6</f>
        <v>2028</v>
      </c>
      <c r="AB6" s="149">
        <f>'CF(M)'!AB6</f>
        <v>2028</v>
      </c>
      <c r="AC6" s="149">
        <f>'CF(M)'!AC6</f>
        <v>2028</v>
      </c>
      <c r="AD6" s="149">
        <f>'CF(M)'!AD6</f>
        <v>2028</v>
      </c>
      <c r="AE6" s="149">
        <f>'CF(M)'!AE6</f>
        <v>2028</v>
      </c>
      <c r="AF6" s="149">
        <f>'CF(M)'!AF6</f>
        <v>2028</v>
      </c>
      <c r="AG6" s="149">
        <f>'CF(M)'!AG6</f>
        <v>2028</v>
      </c>
      <c r="AH6" s="149">
        <f>'CF(M)'!AH6</f>
        <v>2028</v>
      </c>
      <c r="AI6" s="149">
        <f>'CF(M)'!AI6</f>
        <v>2028</v>
      </c>
      <c r="AJ6" s="149">
        <f>'CF(M)'!AJ6</f>
        <v>2028</v>
      </c>
      <c r="AK6" s="149">
        <f>'CF(M)'!AK6</f>
        <v>2028</v>
      </c>
      <c r="AL6" s="149">
        <f>'CF(M)'!AL6</f>
        <v>2028</v>
      </c>
      <c r="AM6" s="149">
        <f>'CF(M)'!AM6</f>
        <v>2029</v>
      </c>
      <c r="AN6" s="149">
        <f>'CF(M)'!AN6</f>
        <v>2029</v>
      </c>
      <c r="AO6" s="149">
        <f>'CF(M)'!AO6</f>
        <v>2029</v>
      </c>
      <c r="AP6" s="149">
        <f>'CF(M)'!AP6</f>
        <v>2029</v>
      </c>
      <c r="AQ6" s="149">
        <f>'CF(M)'!AQ6</f>
        <v>2029</v>
      </c>
      <c r="AR6" s="149">
        <f>'CF(M)'!AR6</f>
        <v>2029</v>
      </c>
      <c r="AS6" s="149">
        <f>'CF(M)'!AS6</f>
        <v>2029</v>
      </c>
      <c r="AT6" s="149">
        <f>'CF(M)'!AT6</f>
        <v>2029</v>
      </c>
      <c r="AU6" s="149">
        <f>'CF(M)'!AU6</f>
        <v>2029</v>
      </c>
      <c r="AV6" s="149">
        <f>'CF(M)'!AV6</f>
        <v>2029</v>
      </c>
      <c r="AW6" s="149">
        <f>'CF(M)'!AW6</f>
        <v>2029</v>
      </c>
      <c r="AX6" s="149">
        <f>'CF(M)'!AX6</f>
        <v>2029</v>
      </c>
      <c r="AY6" s="149">
        <f>'CF(M)'!AY6</f>
        <v>2030</v>
      </c>
      <c r="AZ6" s="149">
        <f>'CF(M)'!AZ6</f>
        <v>2030</v>
      </c>
      <c r="BA6" s="149">
        <f>'CF(M)'!BA6</f>
        <v>2030</v>
      </c>
      <c r="BB6" s="149">
        <f>'CF(M)'!BB6</f>
        <v>2030</v>
      </c>
      <c r="BC6" s="149">
        <f>'CF(M)'!BC6</f>
        <v>2030</v>
      </c>
      <c r="BD6" s="149">
        <f>'CF(M)'!BD6</f>
        <v>2030</v>
      </c>
      <c r="BE6" s="149">
        <f>'CF(M)'!BE6</f>
        <v>2030</v>
      </c>
      <c r="BF6" s="149">
        <f>'CF(M)'!BF6</f>
        <v>2030</v>
      </c>
      <c r="BG6" s="149">
        <f>'CF(M)'!BG6</f>
        <v>2030</v>
      </c>
      <c r="BH6" s="149">
        <f>'CF(M)'!BH6</f>
        <v>2030</v>
      </c>
      <c r="BI6" s="149">
        <f>'CF(M)'!BI6</f>
        <v>2030</v>
      </c>
      <c r="BJ6" s="149">
        <f>'CF(M)'!BJ6</f>
        <v>2030</v>
      </c>
      <c r="BK6" s="149">
        <f>'CF(M)'!BK6</f>
        <v>2031</v>
      </c>
      <c r="BL6" s="149">
        <f>'CF(M)'!BL6</f>
        <v>2031</v>
      </c>
      <c r="BM6" s="149">
        <f>'CF(M)'!BM6</f>
        <v>2031</v>
      </c>
      <c r="BN6" s="149">
        <f>'CF(M)'!BN6</f>
        <v>2031</v>
      </c>
      <c r="BO6" s="149">
        <f>'CF(M)'!BO6</f>
        <v>2031</v>
      </c>
      <c r="BP6" s="149">
        <f>'CF(M)'!BP6</f>
        <v>2031</v>
      </c>
      <c r="BQ6" s="149">
        <f>'CF(M)'!BQ6</f>
        <v>2031</v>
      </c>
      <c r="BR6" s="149">
        <f>'CF(M)'!BR6</f>
        <v>2031</v>
      </c>
      <c r="BS6" s="149">
        <f>'CF(M)'!BS6</f>
        <v>2031</v>
      </c>
      <c r="BT6" s="149">
        <f>'CF(M)'!BT6</f>
        <v>2031</v>
      </c>
      <c r="BU6" s="149">
        <f>'CF(M)'!BU6</f>
        <v>2031</v>
      </c>
      <c r="BV6" s="149">
        <f>'CF(M)'!BV6</f>
        <v>2031</v>
      </c>
      <c r="BW6" s="149">
        <f>'CF(M)'!BW6</f>
        <v>2032</v>
      </c>
      <c r="BX6" s="149">
        <f>'CF(M)'!BX6</f>
        <v>2032</v>
      </c>
      <c r="BY6" s="149">
        <f>'CF(M)'!BY6</f>
        <v>2032</v>
      </c>
      <c r="BZ6" s="149">
        <f>'CF(M)'!BZ6</f>
        <v>2032</v>
      </c>
      <c r="CA6" s="149">
        <f>'CF(M)'!CA6</f>
        <v>2032</v>
      </c>
      <c r="CB6" s="149">
        <f>'CF(M)'!CB6</f>
        <v>2032</v>
      </c>
      <c r="CC6" s="149">
        <f>'CF(M)'!CC6</f>
        <v>2032</v>
      </c>
      <c r="CD6" s="149">
        <f>'CF(M)'!CD6</f>
        <v>2032</v>
      </c>
      <c r="CE6" s="149">
        <f>'CF(M)'!CE6</f>
        <v>2032</v>
      </c>
      <c r="CF6" s="149">
        <f>'CF(M)'!CF6</f>
        <v>2032</v>
      </c>
      <c r="CG6" s="149">
        <f>'CF(M)'!CG6</f>
        <v>2032</v>
      </c>
      <c r="CH6" s="149">
        <f>'CF(M)'!CH6</f>
        <v>2032</v>
      </c>
      <c r="CI6" s="149">
        <f>'CF(M)'!CI6</f>
        <v>2033</v>
      </c>
      <c r="CJ6" s="149">
        <f>'CF(M)'!CJ6</f>
        <v>2033</v>
      </c>
      <c r="CK6" s="149">
        <f>'CF(M)'!CK6</f>
        <v>2033</v>
      </c>
      <c r="CL6" s="149">
        <f>'CF(M)'!CL6</f>
        <v>2033</v>
      </c>
      <c r="CM6" s="149">
        <f>'CF(M)'!CM6</f>
        <v>2033</v>
      </c>
      <c r="CN6" s="149">
        <f>'CF(M)'!CN6</f>
        <v>2033</v>
      </c>
      <c r="CO6" s="149">
        <f>'CF(M)'!CO6</f>
        <v>2033</v>
      </c>
      <c r="CP6" s="149">
        <f>'CF(M)'!CP6</f>
        <v>2033</v>
      </c>
      <c r="CQ6" s="149">
        <f>'CF(M)'!CQ6</f>
        <v>2033</v>
      </c>
      <c r="CR6" s="149">
        <f>'CF(M)'!CR6</f>
        <v>2033</v>
      </c>
      <c r="CS6" s="149">
        <f>'CF(M)'!CS6</f>
        <v>2033</v>
      </c>
      <c r="CT6" s="149">
        <f>'CF(M)'!CT6</f>
        <v>2033</v>
      </c>
      <c r="CU6" s="149">
        <f>'CF(M)'!CU6</f>
        <v>2034</v>
      </c>
      <c r="CV6" s="149">
        <f>'CF(M)'!CV6</f>
        <v>2034</v>
      </c>
      <c r="CW6" s="149">
        <f>'CF(M)'!CW6</f>
        <v>2034</v>
      </c>
      <c r="CX6" s="149">
        <f>'CF(M)'!CX6</f>
        <v>2034</v>
      </c>
      <c r="CY6" s="149">
        <f>'CF(M)'!CY6</f>
        <v>2034</v>
      </c>
      <c r="CZ6" s="149">
        <f>'CF(M)'!CZ6</f>
        <v>2034</v>
      </c>
      <c r="DA6" s="149">
        <f>'CF(M)'!DA6</f>
        <v>2034</v>
      </c>
      <c r="DB6" s="149">
        <f>'CF(M)'!DB6</f>
        <v>2034</v>
      </c>
      <c r="DC6" s="149">
        <f>'CF(M)'!DC6</f>
        <v>2034</v>
      </c>
      <c r="DD6" s="149">
        <f>'CF(M)'!DD6</f>
        <v>2034</v>
      </c>
      <c r="DE6" s="149">
        <f>'CF(M)'!DE6</f>
        <v>2034</v>
      </c>
      <c r="DF6" s="149">
        <f>'CF(M)'!DF6</f>
        <v>2034</v>
      </c>
      <c r="DG6" s="149">
        <f>'CF(M)'!DG6</f>
        <v>2035</v>
      </c>
      <c r="DH6" s="149">
        <f>'CF(M)'!DH6</f>
        <v>2035</v>
      </c>
      <c r="DI6" s="149">
        <f>'CF(M)'!DI6</f>
        <v>2035</v>
      </c>
      <c r="DJ6" s="149">
        <f>'CF(M)'!DJ6</f>
        <v>2035</v>
      </c>
      <c r="DK6" s="149">
        <f>'CF(M)'!DK6</f>
        <v>2035</v>
      </c>
      <c r="DL6" s="149">
        <f>'CF(M)'!DL6</f>
        <v>2035</v>
      </c>
      <c r="DM6" s="149">
        <f>'CF(M)'!DM6</f>
        <v>2035</v>
      </c>
      <c r="DN6" s="149">
        <f>'CF(M)'!DN6</f>
        <v>2035</v>
      </c>
      <c r="DO6" s="149">
        <f>'CF(M)'!DO6</f>
        <v>2035</v>
      </c>
      <c r="DP6" s="149">
        <f>'CF(M)'!DP6</f>
        <v>2035</v>
      </c>
      <c r="DQ6" s="149">
        <f>'CF(M)'!DQ6</f>
        <v>2035</v>
      </c>
      <c r="DR6" s="149">
        <f>'CF(M)'!DR6</f>
        <v>2035</v>
      </c>
      <c r="DS6" s="149">
        <f>'CF(M)'!DS6</f>
        <v>2036</v>
      </c>
      <c r="DT6" s="149">
        <f>'CF(M)'!DT6</f>
        <v>2036</v>
      </c>
      <c r="DU6" s="149">
        <f>'CF(M)'!DU6</f>
        <v>2036</v>
      </c>
      <c r="DV6" s="149">
        <f>'CF(M)'!DV6</f>
        <v>2036</v>
      </c>
      <c r="DW6" s="149">
        <f>'CF(M)'!DW6</f>
        <v>2036</v>
      </c>
      <c r="DX6" s="149">
        <f>'CF(M)'!DX6</f>
        <v>2036</v>
      </c>
      <c r="DY6" s="149">
        <f>'CF(M)'!DY6</f>
        <v>2036</v>
      </c>
      <c r="DZ6" s="149">
        <f>'CF(M)'!DZ6</f>
        <v>2036</v>
      </c>
      <c r="EA6" s="149">
        <f>'CF(M)'!EA6</f>
        <v>2036</v>
      </c>
      <c r="EB6" s="149">
        <f>'CF(M)'!EB6</f>
        <v>2036</v>
      </c>
      <c r="EC6" s="149">
        <f>'CF(M)'!EC6</f>
        <v>2036</v>
      </c>
      <c r="ED6" s="1313">
        <f>'CF(M)'!ED6</f>
        <v>2036</v>
      </c>
      <c r="EE6" s="149">
        <f>'CF(M)'!EE6</f>
        <v>2037</v>
      </c>
      <c r="EF6" s="149">
        <f>'CF(M)'!EF6</f>
        <v>2037</v>
      </c>
      <c r="EG6" s="149">
        <f>'CF(M)'!EG6</f>
        <v>2037</v>
      </c>
      <c r="EH6" s="149">
        <f>'CF(M)'!EH6</f>
        <v>2037</v>
      </c>
      <c r="EI6" s="149">
        <f>'CF(M)'!EI6</f>
        <v>2037</v>
      </c>
      <c r="EJ6" s="149">
        <f>'CF(M)'!EJ6</f>
        <v>2037</v>
      </c>
      <c r="EK6" s="149">
        <f>'CF(M)'!EK6</f>
        <v>2037</v>
      </c>
      <c r="EL6" s="149">
        <f>'CF(M)'!EL6</f>
        <v>2037</v>
      </c>
      <c r="EM6" s="149">
        <f>'CF(M)'!EM6</f>
        <v>2037</v>
      </c>
      <c r="EN6" s="149">
        <f>'CF(M)'!EN6</f>
        <v>2037</v>
      </c>
      <c r="EO6" s="149">
        <f>'CF(M)'!EO6</f>
        <v>2037</v>
      </c>
      <c r="EP6" s="149">
        <f>'CF(M)'!EP6</f>
        <v>2037</v>
      </c>
      <c r="EQ6" s="149">
        <f>'CF(M)'!EQ6</f>
        <v>2038</v>
      </c>
      <c r="ER6" s="146"/>
      <c r="ES6" s="146"/>
      <c r="ET6" s="146"/>
      <c r="EU6" s="146"/>
    </row>
    <row r="7" spans="1:151" ht="11.25" customHeight="1">
      <c r="C7" s="189" t="s">
        <v>3</v>
      </c>
      <c r="D7" s="148"/>
      <c r="E7" s="148"/>
      <c r="F7" s="148"/>
      <c r="G7" s="148"/>
      <c r="H7" s="209"/>
      <c r="I7" s="190"/>
      <c r="J7" s="148"/>
      <c r="L7" s="149">
        <f>'CF(M)'!L7</f>
        <v>10</v>
      </c>
      <c r="M7" s="149">
        <f>'CF(M)'!M7</f>
        <v>11</v>
      </c>
      <c r="N7" s="149">
        <f>'CF(M)'!N7</f>
        <v>12</v>
      </c>
      <c r="O7" s="149">
        <f>'CF(M)'!O7</f>
        <v>1</v>
      </c>
      <c r="P7" s="149">
        <f>'CF(M)'!P7</f>
        <v>2</v>
      </c>
      <c r="Q7" s="149">
        <f>'CF(M)'!Q7</f>
        <v>3</v>
      </c>
      <c r="R7" s="149">
        <f>'CF(M)'!R7</f>
        <v>4</v>
      </c>
      <c r="S7" s="149">
        <f>'CF(M)'!S7</f>
        <v>5</v>
      </c>
      <c r="T7" s="149">
        <f>'CF(M)'!T7</f>
        <v>6</v>
      </c>
      <c r="U7" s="149">
        <f>'CF(M)'!U7</f>
        <v>7</v>
      </c>
      <c r="V7" s="149">
        <f>'CF(M)'!V7</f>
        <v>8</v>
      </c>
      <c r="W7" s="149">
        <f>'CF(M)'!W7</f>
        <v>9</v>
      </c>
      <c r="X7" s="149">
        <f>'CF(M)'!X7</f>
        <v>10</v>
      </c>
      <c r="Y7" s="149">
        <f>'CF(M)'!Y7</f>
        <v>11</v>
      </c>
      <c r="Z7" s="149">
        <f>'CF(M)'!Z7</f>
        <v>12</v>
      </c>
      <c r="AA7" s="149">
        <f>'CF(M)'!AA7</f>
        <v>1</v>
      </c>
      <c r="AB7" s="149">
        <f>'CF(M)'!AB7</f>
        <v>2</v>
      </c>
      <c r="AC7" s="149">
        <f>'CF(M)'!AC7</f>
        <v>3</v>
      </c>
      <c r="AD7" s="149">
        <f>'CF(M)'!AD7</f>
        <v>4</v>
      </c>
      <c r="AE7" s="149">
        <f>'CF(M)'!AE7</f>
        <v>5</v>
      </c>
      <c r="AF7" s="149">
        <f>'CF(M)'!AF7</f>
        <v>6</v>
      </c>
      <c r="AG7" s="149">
        <f>'CF(M)'!AG7</f>
        <v>7</v>
      </c>
      <c r="AH7" s="149">
        <f>'CF(M)'!AH7</f>
        <v>8</v>
      </c>
      <c r="AI7" s="149">
        <f>'CF(M)'!AI7</f>
        <v>9</v>
      </c>
      <c r="AJ7" s="149">
        <f>'CF(M)'!AJ7</f>
        <v>10</v>
      </c>
      <c r="AK7" s="149">
        <f>'CF(M)'!AK7</f>
        <v>11</v>
      </c>
      <c r="AL7" s="149">
        <f>'CF(M)'!AL7</f>
        <v>12</v>
      </c>
      <c r="AM7" s="149">
        <f>'CF(M)'!AM7</f>
        <v>1</v>
      </c>
      <c r="AN7" s="149">
        <f>'CF(M)'!AN7</f>
        <v>2</v>
      </c>
      <c r="AO7" s="149">
        <f>'CF(M)'!AO7</f>
        <v>3</v>
      </c>
      <c r="AP7" s="149">
        <f>'CF(M)'!AP7</f>
        <v>4</v>
      </c>
      <c r="AQ7" s="149">
        <f>'CF(M)'!AQ7</f>
        <v>5</v>
      </c>
      <c r="AR7" s="149">
        <f>'CF(M)'!AR7</f>
        <v>6</v>
      </c>
      <c r="AS7" s="149">
        <f>'CF(M)'!AS7</f>
        <v>7</v>
      </c>
      <c r="AT7" s="149">
        <f>'CF(M)'!AT7</f>
        <v>8</v>
      </c>
      <c r="AU7" s="149">
        <f>'CF(M)'!AU7</f>
        <v>9</v>
      </c>
      <c r="AV7" s="149">
        <f>'CF(M)'!AV7</f>
        <v>10</v>
      </c>
      <c r="AW7" s="149">
        <f>'CF(M)'!AW7</f>
        <v>11</v>
      </c>
      <c r="AX7" s="149">
        <f>'CF(M)'!AX7</f>
        <v>12</v>
      </c>
      <c r="AY7" s="149">
        <f>'CF(M)'!AY7</f>
        <v>1</v>
      </c>
      <c r="AZ7" s="149">
        <f>'CF(M)'!AZ7</f>
        <v>2</v>
      </c>
      <c r="BA7" s="149">
        <f>'CF(M)'!BA7</f>
        <v>3</v>
      </c>
      <c r="BB7" s="149">
        <f>'CF(M)'!BB7</f>
        <v>4</v>
      </c>
      <c r="BC7" s="149">
        <f>'CF(M)'!BC7</f>
        <v>5</v>
      </c>
      <c r="BD7" s="149">
        <f>'CF(M)'!BD7</f>
        <v>6</v>
      </c>
      <c r="BE7" s="149">
        <f>'CF(M)'!BE7</f>
        <v>7</v>
      </c>
      <c r="BF7" s="149">
        <f>'CF(M)'!BF7</f>
        <v>8</v>
      </c>
      <c r="BG7" s="149">
        <f>'CF(M)'!BG7</f>
        <v>9</v>
      </c>
      <c r="BH7" s="149">
        <f>'CF(M)'!BH7</f>
        <v>10</v>
      </c>
      <c r="BI7" s="149">
        <f>'CF(M)'!BI7</f>
        <v>11</v>
      </c>
      <c r="BJ7" s="149">
        <f>'CF(M)'!BJ7</f>
        <v>12</v>
      </c>
      <c r="BK7" s="149">
        <f>'CF(M)'!BK7</f>
        <v>1</v>
      </c>
      <c r="BL7" s="149">
        <f>'CF(M)'!BL7</f>
        <v>2</v>
      </c>
      <c r="BM7" s="149">
        <f>'CF(M)'!BM7</f>
        <v>3</v>
      </c>
      <c r="BN7" s="149">
        <f>'CF(M)'!BN7</f>
        <v>4</v>
      </c>
      <c r="BO7" s="149">
        <f>'CF(M)'!BO7</f>
        <v>5</v>
      </c>
      <c r="BP7" s="149">
        <f>'CF(M)'!BP7</f>
        <v>6</v>
      </c>
      <c r="BQ7" s="149">
        <f>'CF(M)'!BQ7</f>
        <v>7</v>
      </c>
      <c r="BR7" s="149">
        <f>'CF(M)'!BR7</f>
        <v>8</v>
      </c>
      <c r="BS7" s="149">
        <f>'CF(M)'!BS7</f>
        <v>9</v>
      </c>
      <c r="BT7" s="149">
        <f>'CF(M)'!BT7</f>
        <v>10</v>
      </c>
      <c r="BU7" s="149">
        <f>'CF(M)'!BU7</f>
        <v>11</v>
      </c>
      <c r="BV7" s="149">
        <f>'CF(M)'!BV7</f>
        <v>12</v>
      </c>
      <c r="BW7" s="149">
        <f>'CF(M)'!BW7</f>
        <v>1</v>
      </c>
      <c r="BX7" s="149">
        <f>'CF(M)'!BX7</f>
        <v>2</v>
      </c>
      <c r="BY7" s="149">
        <f>'CF(M)'!BY7</f>
        <v>3</v>
      </c>
      <c r="BZ7" s="149">
        <f>'CF(M)'!BZ7</f>
        <v>4</v>
      </c>
      <c r="CA7" s="149">
        <f>'CF(M)'!CA7</f>
        <v>5</v>
      </c>
      <c r="CB7" s="149">
        <f>'CF(M)'!CB7</f>
        <v>6</v>
      </c>
      <c r="CC7" s="149">
        <f>'CF(M)'!CC7</f>
        <v>7</v>
      </c>
      <c r="CD7" s="149">
        <f>'CF(M)'!CD7</f>
        <v>8</v>
      </c>
      <c r="CE7" s="149">
        <f>'CF(M)'!CE7</f>
        <v>9</v>
      </c>
      <c r="CF7" s="149">
        <f>'CF(M)'!CF7</f>
        <v>10</v>
      </c>
      <c r="CG7" s="149">
        <f>'CF(M)'!CG7</f>
        <v>11</v>
      </c>
      <c r="CH7" s="149">
        <f>'CF(M)'!CH7</f>
        <v>12</v>
      </c>
      <c r="CI7" s="149">
        <f>'CF(M)'!CI7</f>
        <v>1</v>
      </c>
      <c r="CJ7" s="149">
        <f>'CF(M)'!CJ7</f>
        <v>2</v>
      </c>
      <c r="CK7" s="149">
        <f>'CF(M)'!CK7</f>
        <v>3</v>
      </c>
      <c r="CL7" s="149">
        <f>'CF(M)'!CL7</f>
        <v>4</v>
      </c>
      <c r="CM7" s="149">
        <f>'CF(M)'!CM7</f>
        <v>5</v>
      </c>
      <c r="CN7" s="149">
        <f>'CF(M)'!CN7</f>
        <v>6</v>
      </c>
      <c r="CO7" s="149">
        <f>'CF(M)'!CO7</f>
        <v>7</v>
      </c>
      <c r="CP7" s="149">
        <f>'CF(M)'!CP7</f>
        <v>8</v>
      </c>
      <c r="CQ7" s="149">
        <f>'CF(M)'!CQ7</f>
        <v>9</v>
      </c>
      <c r="CR7" s="149">
        <f>'CF(M)'!CR7</f>
        <v>10</v>
      </c>
      <c r="CS7" s="149">
        <f>'CF(M)'!CS7</f>
        <v>11</v>
      </c>
      <c r="CT7" s="149">
        <f>'CF(M)'!CT7</f>
        <v>12</v>
      </c>
      <c r="CU7" s="149">
        <f>'CF(M)'!CU7</f>
        <v>1</v>
      </c>
      <c r="CV7" s="149">
        <f>'CF(M)'!CV7</f>
        <v>2</v>
      </c>
      <c r="CW7" s="149">
        <f>'CF(M)'!CW7</f>
        <v>3</v>
      </c>
      <c r="CX7" s="149">
        <f>'CF(M)'!CX7</f>
        <v>4</v>
      </c>
      <c r="CY7" s="149">
        <f>'CF(M)'!CY7</f>
        <v>5</v>
      </c>
      <c r="CZ7" s="149">
        <f>'CF(M)'!CZ7</f>
        <v>6</v>
      </c>
      <c r="DA7" s="149">
        <f>'CF(M)'!DA7</f>
        <v>7</v>
      </c>
      <c r="DB7" s="149">
        <f>'CF(M)'!DB7</f>
        <v>8</v>
      </c>
      <c r="DC7" s="149">
        <f>'CF(M)'!DC7</f>
        <v>9</v>
      </c>
      <c r="DD7" s="149">
        <f>'CF(M)'!DD7</f>
        <v>10</v>
      </c>
      <c r="DE7" s="149">
        <f>'CF(M)'!DE7</f>
        <v>11</v>
      </c>
      <c r="DF7" s="149">
        <f>'CF(M)'!DF7</f>
        <v>12</v>
      </c>
      <c r="DG7" s="149">
        <f>'CF(M)'!DG7</f>
        <v>1</v>
      </c>
      <c r="DH7" s="149">
        <f>'CF(M)'!DH7</f>
        <v>2</v>
      </c>
      <c r="DI7" s="149">
        <f>'CF(M)'!DI7</f>
        <v>3</v>
      </c>
      <c r="DJ7" s="149">
        <f>'CF(M)'!DJ7</f>
        <v>4</v>
      </c>
      <c r="DK7" s="149">
        <f>'CF(M)'!DK7</f>
        <v>5</v>
      </c>
      <c r="DL7" s="149">
        <f>'CF(M)'!DL7</f>
        <v>6</v>
      </c>
      <c r="DM7" s="149">
        <f>'CF(M)'!DM7</f>
        <v>7</v>
      </c>
      <c r="DN7" s="149">
        <f>'CF(M)'!DN7</f>
        <v>8</v>
      </c>
      <c r="DO7" s="149">
        <f>'CF(M)'!DO7</f>
        <v>9</v>
      </c>
      <c r="DP7" s="149">
        <f>'CF(M)'!DP7</f>
        <v>10</v>
      </c>
      <c r="DQ7" s="149">
        <f>'CF(M)'!DQ7</f>
        <v>11</v>
      </c>
      <c r="DR7" s="149">
        <f>'CF(M)'!DR7</f>
        <v>12</v>
      </c>
      <c r="DS7" s="149">
        <f>'CF(M)'!DS7</f>
        <v>1</v>
      </c>
      <c r="DT7" s="149">
        <f>'CF(M)'!DT7</f>
        <v>2</v>
      </c>
      <c r="DU7" s="149">
        <f>'CF(M)'!DU7</f>
        <v>3</v>
      </c>
      <c r="DV7" s="149">
        <f>'CF(M)'!DV7</f>
        <v>4</v>
      </c>
      <c r="DW7" s="149">
        <f>'CF(M)'!DW7</f>
        <v>5</v>
      </c>
      <c r="DX7" s="149">
        <f>'CF(M)'!DX7</f>
        <v>6</v>
      </c>
      <c r="DY7" s="149">
        <f>'CF(M)'!DY7</f>
        <v>7</v>
      </c>
      <c r="DZ7" s="149">
        <f>'CF(M)'!DZ7</f>
        <v>8</v>
      </c>
      <c r="EA7" s="149">
        <f>'CF(M)'!EA7</f>
        <v>9</v>
      </c>
      <c r="EB7" s="149">
        <f>'CF(M)'!EB7</f>
        <v>10</v>
      </c>
      <c r="EC7" s="149">
        <f>'CF(M)'!EC7</f>
        <v>11</v>
      </c>
      <c r="ED7" s="1313">
        <f>'CF(M)'!ED7</f>
        <v>12</v>
      </c>
      <c r="EE7" s="149">
        <f>'CF(M)'!EE7</f>
        <v>1</v>
      </c>
      <c r="EF7" s="149">
        <f>'CF(M)'!EF7</f>
        <v>2</v>
      </c>
      <c r="EG7" s="149">
        <f>'CF(M)'!EG7</f>
        <v>3</v>
      </c>
      <c r="EH7" s="149">
        <f>'CF(M)'!EH7</f>
        <v>4</v>
      </c>
      <c r="EI7" s="149">
        <f>'CF(M)'!EI7</f>
        <v>5</v>
      </c>
      <c r="EJ7" s="149">
        <f>'CF(M)'!EJ7</f>
        <v>6</v>
      </c>
      <c r="EK7" s="149">
        <f>'CF(M)'!EK7</f>
        <v>7</v>
      </c>
      <c r="EL7" s="149">
        <f>'CF(M)'!EL7</f>
        <v>8</v>
      </c>
      <c r="EM7" s="149">
        <f>'CF(M)'!EM7</f>
        <v>9</v>
      </c>
      <c r="EN7" s="149">
        <f>'CF(M)'!EN7</f>
        <v>10</v>
      </c>
      <c r="EO7" s="149">
        <f>'CF(M)'!EO7</f>
        <v>11</v>
      </c>
      <c r="EP7" s="149">
        <f>'CF(M)'!EP7</f>
        <v>12</v>
      </c>
      <c r="EQ7" s="149">
        <f>'CF(M)'!EQ7</f>
        <v>1</v>
      </c>
      <c r="ER7" s="146"/>
      <c r="ES7" s="146"/>
      <c r="ET7" s="146"/>
      <c r="EU7" s="146"/>
    </row>
    <row r="8" spans="1:151" ht="11.25" customHeight="1">
      <c r="C8" s="189" t="s">
        <v>153</v>
      </c>
      <c r="D8" s="148"/>
      <c r="E8" s="148"/>
      <c r="F8" s="148"/>
      <c r="G8" s="148"/>
      <c r="H8" s="209"/>
      <c r="I8" s="190"/>
      <c r="J8" s="148"/>
      <c r="L8" s="150">
        <f>'CF(M)'!L8</f>
        <v>0</v>
      </c>
      <c r="M8" s="150">
        <f>'CF(M)'!M8</f>
        <v>1</v>
      </c>
      <c r="N8" s="150">
        <f>'CF(M)'!N8</f>
        <v>2</v>
      </c>
      <c r="O8" s="150">
        <f>'CF(M)'!O8</f>
        <v>3</v>
      </c>
      <c r="P8" s="150">
        <f>'CF(M)'!P8</f>
        <v>4</v>
      </c>
      <c r="Q8" s="150">
        <f>'CF(M)'!Q8</f>
        <v>5</v>
      </c>
      <c r="R8" s="150">
        <f>'CF(M)'!R8</f>
        <v>6</v>
      </c>
      <c r="S8" s="150">
        <f>'CF(M)'!S8</f>
        <v>7</v>
      </c>
      <c r="T8" s="150">
        <f>'CF(M)'!T8</f>
        <v>8</v>
      </c>
      <c r="U8" s="150">
        <f>'CF(M)'!U8</f>
        <v>9</v>
      </c>
      <c r="V8" s="150">
        <f>'CF(M)'!V8</f>
        <v>10</v>
      </c>
      <c r="W8" s="150">
        <f>'CF(M)'!W8</f>
        <v>11</v>
      </c>
      <c r="X8" s="150">
        <f>'CF(M)'!X8</f>
        <v>12</v>
      </c>
      <c r="Y8" s="150">
        <f>'CF(M)'!Y8</f>
        <v>13</v>
      </c>
      <c r="Z8" s="150">
        <f>'CF(M)'!Z8</f>
        <v>14</v>
      </c>
      <c r="AA8" s="150">
        <f>'CF(M)'!AA8</f>
        <v>15</v>
      </c>
      <c r="AB8" s="150">
        <f>'CF(M)'!AB8</f>
        <v>16</v>
      </c>
      <c r="AC8" s="150">
        <f>'CF(M)'!AC8</f>
        <v>17</v>
      </c>
      <c r="AD8" s="150">
        <f>'CF(M)'!AD8</f>
        <v>18</v>
      </c>
      <c r="AE8" s="150">
        <f>'CF(M)'!AE8</f>
        <v>19</v>
      </c>
      <c r="AF8" s="150">
        <f>'CF(M)'!AF8</f>
        <v>20</v>
      </c>
      <c r="AG8" s="150">
        <f>'CF(M)'!AG8</f>
        <v>21</v>
      </c>
      <c r="AH8" s="150">
        <f>'CF(M)'!AH8</f>
        <v>22</v>
      </c>
      <c r="AI8" s="150">
        <f>'CF(M)'!AI8</f>
        <v>23</v>
      </c>
      <c r="AJ8" s="150">
        <f>'CF(M)'!AJ8</f>
        <v>24</v>
      </c>
      <c r="AK8" s="150">
        <f>'CF(M)'!AK8</f>
        <v>25</v>
      </c>
      <c r="AL8" s="150">
        <f>'CF(M)'!AL8</f>
        <v>26</v>
      </c>
      <c r="AM8" s="150">
        <f>'CF(M)'!AM8</f>
        <v>27</v>
      </c>
      <c r="AN8" s="150">
        <f>'CF(M)'!AN8</f>
        <v>28</v>
      </c>
      <c r="AO8" s="150">
        <f>'CF(M)'!AO8</f>
        <v>29</v>
      </c>
      <c r="AP8" s="150">
        <f>'CF(M)'!AP8</f>
        <v>30</v>
      </c>
      <c r="AQ8" s="150">
        <f>'CF(M)'!AQ8</f>
        <v>31</v>
      </c>
      <c r="AR8" s="150">
        <f>'CF(M)'!AR8</f>
        <v>32</v>
      </c>
      <c r="AS8" s="150">
        <f>'CF(M)'!AS8</f>
        <v>33</v>
      </c>
      <c r="AT8" s="150">
        <f>'CF(M)'!AT8</f>
        <v>34</v>
      </c>
      <c r="AU8" s="150">
        <f>'CF(M)'!AU8</f>
        <v>35</v>
      </c>
      <c r="AV8" s="150">
        <f>'CF(M)'!AV8</f>
        <v>36</v>
      </c>
      <c r="AW8" s="150">
        <f>'CF(M)'!AW8</f>
        <v>37</v>
      </c>
      <c r="AX8" s="150">
        <f>'CF(M)'!AX8</f>
        <v>38</v>
      </c>
      <c r="AY8" s="150">
        <f>'CF(M)'!AY8</f>
        <v>39</v>
      </c>
      <c r="AZ8" s="150">
        <f>'CF(M)'!AZ8</f>
        <v>40</v>
      </c>
      <c r="BA8" s="150">
        <f>'CF(M)'!BA8</f>
        <v>41</v>
      </c>
      <c r="BB8" s="150">
        <f>'CF(M)'!BB8</f>
        <v>42</v>
      </c>
      <c r="BC8" s="150">
        <f>'CF(M)'!BC8</f>
        <v>43</v>
      </c>
      <c r="BD8" s="150">
        <f>'CF(M)'!BD8</f>
        <v>44</v>
      </c>
      <c r="BE8" s="150">
        <f>'CF(M)'!BE8</f>
        <v>45</v>
      </c>
      <c r="BF8" s="150">
        <f>'CF(M)'!BF8</f>
        <v>46</v>
      </c>
      <c r="BG8" s="150">
        <f>'CF(M)'!BG8</f>
        <v>47</v>
      </c>
      <c r="BH8" s="150">
        <f>'CF(M)'!BH8</f>
        <v>48</v>
      </c>
      <c r="BI8" s="150">
        <f>'CF(M)'!BI8</f>
        <v>49</v>
      </c>
      <c r="BJ8" s="150">
        <f>'CF(M)'!BJ8</f>
        <v>50</v>
      </c>
      <c r="BK8" s="150">
        <f>'CF(M)'!BK8</f>
        <v>51</v>
      </c>
      <c r="BL8" s="150">
        <f>'CF(M)'!BL8</f>
        <v>52</v>
      </c>
      <c r="BM8" s="150">
        <f>'CF(M)'!BM8</f>
        <v>53</v>
      </c>
      <c r="BN8" s="150">
        <f>'CF(M)'!BN8</f>
        <v>54</v>
      </c>
      <c r="BO8" s="150">
        <f>'CF(M)'!BO8</f>
        <v>55</v>
      </c>
      <c r="BP8" s="150">
        <f>'CF(M)'!BP8</f>
        <v>56</v>
      </c>
      <c r="BQ8" s="150">
        <f>'CF(M)'!BQ8</f>
        <v>57</v>
      </c>
      <c r="BR8" s="150">
        <f>'CF(M)'!BR8</f>
        <v>58</v>
      </c>
      <c r="BS8" s="150">
        <f>'CF(M)'!BS8</f>
        <v>59</v>
      </c>
      <c r="BT8" s="150">
        <f>'CF(M)'!BT8</f>
        <v>60</v>
      </c>
      <c r="BU8" s="150">
        <f>'CF(M)'!BU8</f>
        <v>61</v>
      </c>
      <c r="BV8" s="150">
        <f>'CF(M)'!BV8</f>
        <v>62</v>
      </c>
      <c r="BW8" s="150">
        <f>'CF(M)'!BW8</f>
        <v>63</v>
      </c>
      <c r="BX8" s="150">
        <f>'CF(M)'!BX8</f>
        <v>64</v>
      </c>
      <c r="BY8" s="150">
        <f>'CF(M)'!BY8</f>
        <v>65</v>
      </c>
      <c r="BZ8" s="150">
        <f>'CF(M)'!BZ8</f>
        <v>66</v>
      </c>
      <c r="CA8" s="150">
        <f>'CF(M)'!CA8</f>
        <v>67</v>
      </c>
      <c r="CB8" s="150">
        <f>'CF(M)'!CB8</f>
        <v>68</v>
      </c>
      <c r="CC8" s="150">
        <f>'CF(M)'!CC8</f>
        <v>69</v>
      </c>
      <c r="CD8" s="150">
        <f>'CF(M)'!CD8</f>
        <v>70</v>
      </c>
      <c r="CE8" s="150">
        <f>'CF(M)'!CE8</f>
        <v>71</v>
      </c>
      <c r="CF8" s="150">
        <f>'CF(M)'!CF8</f>
        <v>72</v>
      </c>
      <c r="CG8" s="150">
        <f>'CF(M)'!CG8</f>
        <v>73</v>
      </c>
      <c r="CH8" s="150">
        <f>'CF(M)'!CH8</f>
        <v>74</v>
      </c>
      <c r="CI8" s="150">
        <f>'CF(M)'!CI8</f>
        <v>75</v>
      </c>
      <c r="CJ8" s="150">
        <f>'CF(M)'!CJ8</f>
        <v>76</v>
      </c>
      <c r="CK8" s="150">
        <f>'CF(M)'!CK8</f>
        <v>77</v>
      </c>
      <c r="CL8" s="150">
        <f>'CF(M)'!CL8</f>
        <v>78</v>
      </c>
      <c r="CM8" s="150">
        <f>'CF(M)'!CM8</f>
        <v>79</v>
      </c>
      <c r="CN8" s="150">
        <f>'CF(M)'!CN8</f>
        <v>80</v>
      </c>
      <c r="CO8" s="150">
        <f>'CF(M)'!CO8</f>
        <v>81</v>
      </c>
      <c r="CP8" s="150">
        <f>'CF(M)'!CP8</f>
        <v>82</v>
      </c>
      <c r="CQ8" s="150">
        <f>'CF(M)'!CQ8</f>
        <v>83</v>
      </c>
      <c r="CR8" s="150">
        <f>'CF(M)'!CR8</f>
        <v>84</v>
      </c>
      <c r="CS8" s="150">
        <f>'CF(M)'!CS8</f>
        <v>85</v>
      </c>
      <c r="CT8" s="150">
        <f>'CF(M)'!CT8</f>
        <v>86</v>
      </c>
      <c r="CU8" s="150">
        <f>'CF(M)'!CU8</f>
        <v>87</v>
      </c>
      <c r="CV8" s="150">
        <f>'CF(M)'!CV8</f>
        <v>88</v>
      </c>
      <c r="CW8" s="150">
        <f>'CF(M)'!CW8</f>
        <v>89</v>
      </c>
      <c r="CX8" s="150">
        <f>'CF(M)'!CX8</f>
        <v>90</v>
      </c>
      <c r="CY8" s="150">
        <f>'CF(M)'!CY8</f>
        <v>91</v>
      </c>
      <c r="CZ8" s="150">
        <f>'CF(M)'!CZ8</f>
        <v>92</v>
      </c>
      <c r="DA8" s="150">
        <f>'CF(M)'!DA8</f>
        <v>93</v>
      </c>
      <c r="DB8" s="150">
        <f>'CF(M)'!DB8</f>
        <v>94</v>
      </c>
      <c r="DC8" s="150">
        <f>'CF(M)'!DC8</f>
        <v>95</v>
      </c>
      <c r="DD8" s="150">
        <f>'CF(M)'!DD8</f>
        <v>96</v>
      </c>
      <c r="DE8" s="150">
        <f>'CF(M)'!DE8</f>
        <v>97</v>
      </c>
      <c r="DF8" s="150">
        <f>'CF(M)'!DF8</f>
        <v>98</v>
      </c>
      <c r="DG8" s="150">
        <f>'CF(M)'!DG8</f>
        <v>99</v>
      </c>
      <c r="DH8" s="150">
        <f>'CF(M)'!DH8</f>
        <v>100</v>
      </c>
      <c r="DI8" s="150">
        <f>'CF(M)'!DI8</f>
        <v>101</v>
      </c>
      <c r="DJ8" s="150">
        <f>'CF(M)'!DJ8</f>
        <v>102</v>
      </c>
      <c r="DK8" s="150">
        <f>'CF(M)'!DK8</f>
        <v>103</v>
      </c>
      <c r="DL8" s="150">
        <f>'CF(M)'!DL8</f>
        <v>104</v>
      </c>
      <c r="DM8" s="150">
        <f>'CF(M)'!DM8</f>
        <v>105</v>
      </c>
      <c r="DN8" s="150">
        <f>'CF(M)'!DN8</f>
        <v>106</v>
      </c>
      <c r="DO8" s="150">
        <f>'CF(M)'!DO8</f>
        <v>107</v>
      </c>
      <c r="DP8" s="150">
        <f>'CF(M)'!DP8</f>
        <v>108</v>
      </c>
      <c r="DQ8" s="150">
        <f>'CF(M)'!DQ8</f>
        <v>109</v>
      </c>
      <c r="DR8" s="150">
        <f>'CF(M)'!DR8</f>
        <v>110</v>
      </c>
      <c r="DS8" s="150">
        <f>'CF(M)'!DS8</f>
        <v>111</v>
      </c>
      <c r="DT8" s="150">
        <f>'CF(M)'!DT8</f>
        <v>112</v>
      </c>
      <c r="DU8" s="150">
        <f>'CF(M)'!DU8</f>
        <v>113</v>
      </c>
      <c r="DV8" s="150">
        <f>'CF(M)'!DV8</f>
        <v>114</v>
      </c>
      <c r="DW8" s="150">
        <f>'CF(M)'!DW8</f>
        <v>115</v>
      </c>
      <c r="DX8" s="150">
        <f>'CF(M)'!DX8</f>
        <v>116</v>
      </c>
      <c r="DY8" s="150">
        <f>'CF(M)'!DY8</f>
        <v>117</v>
      </c>
      <c r="DZ8" s="150">
        <f>'CF(M)'!DZ8</f>
        <v>118</v>
      </c>
      <c r="EA8" s="150">
        <f>'CF(M)'!EA8</f>
        <v>119</v>
      </c>
      <c r="EB8" s="150">
        <f>'CF(M)'!EB8</f>
        <v>120</v>
      </c>
      <c r="EC8" s="150">
        <f>'CF(M)'!EC8</f>
        <v>121</v>
      </c>
      <c r="ED8" s="1314">
        <f>'CF(M)'!ED8</f>
        <v>122</v>
      </c>
      <c r="EE8" s="150">
        <f>'CF(M)'!EE8</f>
        <v>123</v>
      </c>
      <c r="EF8" s="150">
        <f>'CF(M)'!EF8</f>
        <v>124</v>
      </c>
      <c r="EG8" s="150">
        <f>'CF(M)'!EG8</f>
        <v>125</v>
      </c>
      <c r="EH8" s="150">
        <f>'CF(M)'!EH8</f>
        <v>126</v>
      </c>
      <c r="EI8" s="150">
        <f>'CF(M)'!EI8</f>
        <v>127</v>
      </c>
      <c r="EJ8" s="150">
        <f>'CF(M)'!EJ8</f>
        <v>128</v>
      </c>
      <c r="EK8" s="150">
        <f>'CF(M)'!EK8</f>
        <v>129</v>
      </c>
      <c r="EL8" s="150">
        <f>'CF(M)'!EL8</f>
        <v>130</v>
      </c>
      <c r="EM8" s="150">
        <f>'CF(M)'!EM8</f>
        <v>131</v>
      </c>
      <c r="EN8" s="150">
        <f>'CF(M)'!EN8</f>
        <v>132</v>
      </c>
      <c r="EO8" s="150">
        <f>'CF(M)'!EO8</f>
        <v>133</v>
      </c>
      <c r="EP8" s="150">
        <f>'CF(M)'!EP8</f>
        <v>134</v>
      </c>
      <c r="EQ8" s="150">
        <f>'CF(M)'!EQ8</f>
        <v>135</v>
      </c>
    </row>
    <row r="9" spans="1:151" ht="11.25" customHeight="1">
      <c r="C9" s="189" t="s">
        <v>154</v>
      </c>
      <c r="D9" s="148"/>
      <c r="E9" s="148"/>
      <c r="F9" s="148"/>
      <c r="G9" s="148"/>
      <c r="H9" s="209"/>
      <c r="I9" s="190"/>
      <c r="J9" s="148"/>
      <c r="L9" s="151">
        <f>'CF(M)'!L9</f>
        <v>0</v>
      </c>
      <c r="M9" s="151">
        <f>'CF(M)'!M9</f>
        <v>1</v>
      </c>
      <c r="N9" s="151">
        <f>'CF(M)'!N9</f>
        <v>1</v>
      </c>
      <c r="O9" s="151">
        <f>'CF(M)'!O9</f>
        <v>1</v>
      </c>
      <c r="P9" s="151">
        <f>'CF(M)'!P9</f>
        <v>2</v>
      </c>
      <c r="Q9" s="151">
        <f>'CF(M)'!Q9</f>
        <v>2</v>
      </c>
      <c r="R9" s="151">
        <f>'CF(M)'!R9</f>
        <v>2</v>
      </c>
      <c r="S9" s="151">
        <f>'CF(M)'!S9</f>
        <v>3</v>
      </c>
      <c r="T9" s="151">
        <f>'CF(M)'!T9</f>
        <v>3</v>
      </c>
      <c r="U9" s="151">
        <f>'CF(M)'!U9</f>
        <v>3</v>
      </c>
      <c r="V9" s="151">
        <f>'CF(M)'!V9</f>
        <v>4</v>
      </c>
      <c r="W9" s="151">
        <f>'CF(M)'!W9</f>
        <v>4</v>
      </c>
      <c r="X9" s="151">
        <f>'CF(M)'!X9</f>
        <v>4</v>
      </c>
      <c r="Y9" s="151">
        <f>'CF(M)'!Y9</f>
        <v>5</v>
      </c>
      <c r="Z9" s="151">
        <f>'CF(M)'!Z9</f>
        <v>5</v>
      </c>
      <c r="AA9" s="151">
        <f>'CF(M)'!AA9</f>
        <v>5</v>
      </c>
      <c r="AB9" s="151">
        <f>'CF(M)'!AB9</f>
        <v>6</v>
      </c>
      <c r="AC9" s="151">
        <f>'CF(M)'!AC9</f>
        <v>6</v>
      </c>
      <c r="AD9" s="151">
        <f>'CF(M)'!AD9</f>
        <v>6</v>
      </c>
      <c r="AE9" s="151">
        <f>'CF(M)'!AE9</f>
        <v>7</v>
      </c>
      <c r="AF9" s="151">
        <f>'CF(M)'!AF9</f>
        <v>7</v>
      </c>
      <c r="AG9" s="151">
        <f>'CF(M)'!AG9</f>
        <v>7</v>
      </c>
      <c r="AH9" s="151">
        <f>'CF(M)'!AH9</f>
        <v>8</v>
      </c>
      <c r="AI9" s="151">
        <f>'CF(M)'!AI9</f>
        <v>8</v>
      </c>
      <c r="AJ9" s="151">
        <f>'CF(M)'!AJ9</f>
        <v>8</v>
      </c>
      <c r="AK9" s="151">
        <f>'CF(M)'!AK9</f>
        <v>9</v>
      </c>
      <c r="AL9" s="151">
        <f>'CF(M)'!AL9</f>
        <v>9</v>
      </c>
      <c r="AM9" s="151">
        <f>'CF(M)'!AM9</f>
        <v>9</v>
      </c>
      <c r="AN9" s="151">
        <f>'CF(M)'!AN9</f>
        <v>10</v>
      </c>
      <c r="AO9" s="151">
        <f>'CF(M)'!AO9</f>
        <v>10</v>
      </c>
      <c r="AP9" s="151">
        <f>'CF(M)'!AP9</f>
        <v>10</v>
      </c>
      <c r="AQ9" s="151">
        <f>'CF(M)'!AQ9</f>
        <v>11</v>
      </c>
      <c r="AR9" s="151">
        <f>'CF(M)'!AR9</f>
        <v>11</v>
      </c>
      <c r="AS9" s="151">
        <f>'CF(M)'!AS9</f>
        <v>11</v>
      </c>
      <c r="AT9" s="151">
        <f>'CF(M)'!AT9</f>
        <v>12</v>
      </c>
      <c r="AU9" s="151">
        <f>'CF(M)'!AU9</f>
        <v>12</v>
      </c>
      <c r="AV9" s="151">
        <f>'CF(M)'!AV9</f>
        <v>12</v>
      </c>
      <c r="AW9" s="151">
        <f>'CF(M)'!AW9</f>
        <v>13</v>
      </c>
      <c r="AX9" s="151">
        <f>'CF(M)'!AX9</f>
        <v>13</v>
      </c>
      <c r="AY9" s="151">
        <f>'CF(M)'!AY9</f>
        <v>13</v>
      </c>
      <c r="AZ9" s="151">
        <f>'CF(M)'!AZ9</f>
        <v>14</v>
      </c>
      <c r="BA9" s="151">
        <f>'CF(M)'!BA9</f>
        <v>14</v>
      </c>
      <c r="BB9" s="151">
        <f>'CF(M)'!BB9</f>
        <v>14</v>
      </c>
      <c r="BC9" s="151">
        <f>'CF(M)'!BC9</f>
        <v>15</v>
      </c>
      <c r="BD9" s="151">
        <f>'CF(M)'!BD9</f>
        <v>15</v>
      </c>
      <c r="BE9" s="151">
        <f>'CF(M)'!BE9</f>
        <v>15</v>
      </c>
      <c r="BF9" s="151">
        <f>'CF(M)'!BF9</f>
        <v>16</v>
      </c>
      <c r="BG9" s="151">
        <f>'CF(M)'!BG9</f>
        <v>16</v>
      </c>
      <c r="BH9" s="151">
        <f>'CF(M)'!BH9</f>
        <v>16</v>
      </c>
      <c r="BI9" s="151">
        <f>'CF(M)'!BI9</f>
        <v>17</v>
      </c>
      <c r="BJ9" s="151">
        <f>'CF(M)'!BJ9</f>
        <v>17</v>
      </c>
      <c r="BK9" s="151">
        <f>'CF(M)'!BK9</f>
        <v>17</v>
      </c>
      <c r="BL9" s="151">
        <f>'CF(M)'!BL9</f>
        <v>18</v>
      </c>
      <c r="BM9" s="151">
        <f>'CF(M)'!BM9</f>
        <v>18</v>
      </c>
      <c r="BN9" s="151">
        <f>'CF(M)'!BN9</f>
        <v>18</v>
      </c>
      <c r="BO9" s="151">
        <f>'CF(M)'!BO9</f>
        <v>19</v>
      </c>
      <c r="BP9" s="151">
        <f>'CF(M)'!BP9</f>
        <v>19</v>
      </c>
      <c r="BQ9" s="151">
        <f>'CF(M)'!BQ9</f>
        <v>19</v>
      </c>
      <c r="BR9" s="151">
        <f>'CF(M)'!BR9</f>
        <v>20</v>
      </c>
      <c r="BS9" s="151">
        <f>'CF(M)'!BS9</f>
        <v>20</v>
      </c>
      <c r="BT9" s="151">
        <f>'CF(M)'!BT9</f>
        <v>20</v>
      </c>
      <c r="BU9" s="151">
        <f>'CF(M)'!BU9</f>
        <v>21</v>
      </c>
      <c r="BV9" s="151">
        <f>'CF(M)'!BV9</f>
        <v>21</v>
      </c>
      <c r="BW9" s="151">
        <f>'CF(M)'!BW9</f>
        <v>21</v>
      </c>
      <c r="BX9" s="151">
        <f>'CF(M)'!BX9</f>
        <v>22</v>
      </c>
      <c r="BY9" s="151">
        <f>'CF(M)'!BY9</f>
        <v>22</v>
      </c>
      <c r="BZ9" s="151">
        <f>'CF(M)'!BZ9</f>
        <v>22</v>
      </c>
      <c r="CA9" s="151">
        <f>'CF(M)'!CA9</f>
        <v>23</v>
      </c>
      <c r="CB9" s="151">
        <f>'CF(M)'!CB9</f>
        <v>23</v>
      </c>
      <c r="CC9" s="151">
        <f>'CF(M)'!CC9</f>
        <v>23</v>
      </c>
      <c r="CD9" s="151">
        <f>'CF(M)'!CD9</f>
        <v>24</v>
      </c>
      <c r="CE9" s="151">
        <f>'CF(M)'!CE9</f>
        <v>24</v>
      </c>
      <c r="CF9" s="151">
        <f>'CF(M)'!CF9</f>
        <v>24</v>
      </c>
      <c r="CG9" s="151">
        <f>'CF(M)'!CG9</f>
        <v>25</v>
      </c>
      <c r="CH9" s="151">
        <f>'CF(M)'!CH9</f>
        <v>25</v>
      </c>
      <c r="CI9" s="151">
        <f>'CF(M)'!CI9</f>
        <v>25</v>
      </c>
      <c r="CJ9" s="151">
        <f>'CF(M)'!CJ9</f>
        <v>26</v>
      </c>
      <c r="CK9" s="151">
        <f>'CF(M)'!CK9</f>
        <v>26</v>
      </c>
      <c r="CL9" s="151">
        <f>'CF(M)'!CL9</f>
        <v>26</v>
      </c>
      <c r="CM9" s="151">
        <f>'CF(M)'!CM9</f>
        <v>27</v>
      </c>
      <c r="CN9" s="151">
        <f>'CF(M)'!CN9</f>
        <v>27</v>
      </c>
      <c r="CO9" s="151">
        <f>'CF(M)'!CO9</f>
        <v>27</v>
      </c>
      <c r="CP9" s="151">
        <f>'CF(M)'!CP9</f>
        <v>28</v>
      </c>
      <c r="CQ9" s="151">
        <f>'CF(M)'!CQ9</f>
        <v>28</v>
      </c>
      <c r="CR9" s="151">
        <f>'CF(M)'!CR9</f>
        <v>28</v>
      </c>
      <c r="CS9" s="151">
        <f>'CF(M)'!CS9</f>
        <v>29</v>
      </c>
      <c r="CT9" s="151">
        <f>'CF(M)'!CT9</f>
        <v>29</v>
      </c>
      <c r="CU9" s="151">
        <f>'CF(M)'!CU9</f>
        <v>29</v>
      </c>
      <c r="CV9" s="151">
        <f>'CF(M)'!CV9</f>
        <v>30</v>
      </c>
      <c r="CW9" s="151">
        <f>'CF(M)'!CW9</f>
        <v>30</v>
      </c>
      <c r="CX9" s="151">
        <f>'CF(M)'!CX9</f>
        <v>30</v>
      </c>
      <c r="CY9" s="151">
        <f>'CF(M)'!CY9</f>
        <v>31</v>
      </c>
      <c r="CZ9" s="151">
        <f>'CF(M)'!CZ9</f>
        <v>31</v>
      </c>
      <c r="DA9" s="151">
        <f>'CF(M)'!DA9</f>
        <v>31</v>
      </c>
      <c r="DB9" s="151">
        <f>'CF(M)'!DB9</f>
        <v>32</v>
      </c>
      <c r="DC9" s="151">
        <f>'CF(M)'!DC9</f>
        <v>32</v>
      </c>
      <c r="DD9" s="151">
        <f>'CF(M)'!DD9</f>
        <v>32</v>
      </c>
      <c r="DE9" s="151">
        <f>'CF(M)'!DE9</f>
        <v>33</v>
      </c>
      <c r="DF9" s="151">
        <f>'CF(M)'!DF9</f>
        <v>33</v>
      </c>
      <c r="DG9" s="151">
        <f>'CF(M)'!DG9</f>
        <v>33</v>
      </c>
      <c r="DH9" s="151">
        <f>'CF(M)'!DH9</f>
        <v>34</v>
      </c>
      <c r="DI9" s="151">
        <f>'CF(M)'!DI9</f>
        <v>34</v>
      </c>
      <c r="DJ9" s="151">
        <f>'CF(M)'!DJ9</f>
        <v>34</v>
      </c>
      <c r="DK9" s="151">
        <f>'CF(M)'!DK9</f>
        <v>35</v>
      </c>
      <c r="DL9" s="151">
        <f>'CF(M)'!DL9</f>
        <v>35</v>
      </c>
      <c r="DM9" s="151">
        <f>'CF(M)'!DM9</f>
        <v>35</v>
      </c>
      <c r="DN9" s="151">
        <f>'CF(M)'!DN9</f>
        <v>36</v>
      </c>
      <c r="DO9" s="151">
        <f>'CF(M)'!DO9</f>
        <v>36</v>
      </c>
      <c r="DP9" s="151">
        <f>'CF(M)'!DP9</f>
        <v>36</v>
      </c>
      <c r="DQ9" s="151">
        <f>'CF(M)'!DQ9</f>
        <v>37</v>
      </c>
      <c r="DR9" s="151">
        <f>'CF(M)'!DR9</f>
        <v>37</v>
      </c>
      <c r="DS9" s="151">
        <f>'CF(M)'!DS9</f>
        <v>37</v>
      </c>
      <c r="DT9" s="151">
        <f>'CF(M)'!DT9</f>
        <v>38</v>
      </c>
      <c r="DU9" s="151">
        <f>'CF(M)'!DU9</f>
        <v>38</v>
      </c>
      <c r="DV9" s="151">
        <f>'CF(M)'!DV9</f>
        <v>38</v>
      </c>
      <c r="DW9" s="151">
        <f>'CF(M)'!DW9</f>
        <v>39</v>
      </c>
      <c r="DX9" s="151">
        <f>'CF(M)'!DX9</f>
        <v>39</v>
      </c>
      <c r="DY9" s="151">
        <f>'CF(M)'!DY9</f>
        <v>39</v>
      </c>
      <c r="DZ9" s="151">
        <f>'CF(M)'!DZ9</f>
        <v>40</v>
      </c>
      <c r="EA9" s="151">
        <f>'CF(M)'!EA9</f>
        <v>40</v>
      </c>
      <c r="EB9" s="151">
        <f>'CF(M)'!EB9</f>
        <v>40</v>
      </c>
      <c r="EC9" s="151">
        <f>'CF(M)'!EC9</f>
        <v>41</v>
      </c>
      <c r="ED9" s="1315">
        <f>'CF(M)'!ED9</f>
        <v>41</v>
      </c>
      <c r="EE9" s="151">
        <f>'CF(M)'!EE9</f>
        <v>41</v>
      </c>
      <c r="EF9" s="151">
        <f>'CF(M)'!EF9</f>
        <v>42</v>
      </c>
      <c r="EG9" s="151">
        <f>'CF(M)'!EG9</f>
        <v>42</v>
      </c>
      <c r="EH9" s="151">
        <f>'CF(M)'!EH9</f>
        <v>42</v>
      </c>
      <c r="EI9" s="151">
        <f>'CF(M)'!EI9</f>
        <v>43</v>
      </c>
      <c r="EJ9" s="151">
        <f>'CF(M)'!EJ9</f>
        <v>43</v>
      </c>
      <c r="EK9" s="151">
        <f>'CF(M)'!EK9</f>
        <v>43</v>
      </c>
      <c r="EL9" s="151">
        <f>'CF(M)'!EL9</f>
        <v>44</v>
      </c>
      <c r="EM9" s="151">
        <f>'CF(M)'!EM9</f>
        <v>44</v>
      </c>
      <c r="EN9" s="151">
        <f>'CF(M)'!EN9</f>
        <v>44</v>
      </c>
      <c r="EO9" s="151">
        <f>'CF(M)'!EO9</f>
        <v>45</v>
      </c>
      <c r="EP9" s="151">
        <f>'CF(M)'!EP9</f>
        <v>45</v>
      </c>
      <c r="EQ9" s="151">
        <f>'CF(M)'!EQ9</f>
        <v>45</v>
      </c>
    </row>
    <row r="10" spans="1:151" ht="11.25" customHeight="1">
      <c r="C10" s="189" t="s">
        <v>155</v>
      </c>
      <c r="D10" s="148"/>
      <c r="E10" s="148"/>
      <c r="F10" s="148"/>
      <c r="G10" s="148"/>
      <c r="H10" s="209"/>
      <c r="I10" s="190"/>
      <c r="J10" s="148"/>
      <c r="L10" s="152">
        <f>'CF(M)'!L10</f>
        <v>0</v>
      </c>
      <c r="M10" s="152">
        <f>'CF(M)'!M10</f>
        <v>1</v>
      </c>
      <c r="N10" s="152">
        <f>'CF(M)'!N10</f>
        <v>1</v>
      </c>
      <c r="O10" s="152">
        <f>'CF(M)'!O10</f>
        <v>1</v>
      </c>
      <c r="P10" s="152">
        <f>'CF(M)'!P10</f>
        <v>1</v>
      </c>
      <c r="Q10" s="152">
        <f>'CF(M)'!Q10</f>
        <v>1</v>
      </c>
      <c r="R10" s="152">
        <f>'CF(M)'!R10</f>
        <v>1</v>
      </c>
      <c r="S10" s="152">
        <f>'CF(M)'!S10</f>
        <v>2</v>
      </c>
      <c r="T10" s="152">
        <f>'CF(M)'!T10</f>
        <v>2</v>
      </c>
      <c r="U10" s="152">
        <f>'CF(M)'!U10</f>
        <v>2</v>
      </c>
      <c r="V10" s="152">
        <f>'CF(M)'!V10</f>
        <v>2</v>
      </c>
      <c r="W10" s="152">
        <f>'CF(M)'!W10</f>
        <v>2</v>
      </c>
      <c r="X10" s="152">
        <f>'CF(M)'!X10</f>
        <v>2</v>
      </c>
      <c r="Y10" s="152">
        <f>'CF(M)'!Y10</f>
        <v>3</v>
      </c>
      <c r="Z10" s="152">
        <f>'CF(M)'!Z10</f>
        <v>3</v>
      </c>
      <c r="AA10" s="152">
        <f>'CF(M)'!AA10</f>
        <v>3</v>
      </c>
      <c r="AB10" s="152">
        <f>'CF(M)'!AB10</f>
        <v>3</v>
      </c>
      <c r="AC10" s="152">
        <f>'CF(M)'!AC10</f>
        <v>3</v>
      </c>
      <c r="AD10" s="152">
        <f>'CF(M)'!AD10</f>
        <v>3</v>
      </c>
      <c r="AE10" s="152">
        <f>'CF(M)'!AE10</f>
        <v>4</v>
      </c>
      <c r="AF10" s="152">
        <f>'CF(M)'!AF10</f>
        <v>4</v>
      </c>
      <c r="AG10" s="152">
        <f>'CF(M)'!AG10</f>
        <v>4</v>
      </c>
      <c r="AH10" s="152">
        <f>'CF(M)'!AH10</f>
        <v>4</v>
      </c>
      <c r="AI10" s="152">
        <f>'CF(M)'!AI10</f>
        <v>4</v>
      </c>
      <c r="AJ10" s="152">
        <f>'CF(M)'!AJ10</f>
        <v>4</v>
      </c>
      <c r="AK10" s="152">
        <f>'CF(M)'!AK10</f>
        <v>5</v>
      </c>
      <c r="AL10" s="152">
        <f>'CF(M)'!AL10</f>
        <v>5</v>
      </c>
      <c r="AM10" s="152">
        <f>'CF(M)'!AM10</f>
        <v>5</v>
      </c>
      <c r="AN10" s="152">
        <f>'CF(M)'!AN10</f>
        <v>5</v>
      </c>
      <c r="AO10" s="152">
        <f>'CF(M)'!AO10</f>
        <v>5</v>
      </c>
      <c r="AP10" s="152">
        <f>'CF(M)'!AP10</f>
        <v>5</v>
      </c>
      <c r="AQ10" s="152">
        <f>'CF(M)'!AQ10</f>
        <v>6</v>
      </c>
      <c r="AR10" s="152">
        <f>'CF(M)'!AR10</f>
        <v>6</v>
      </c>
      <c r="AS10" s="152">
        <f>'CF(M)'!AS10</f>
        <v>6</v>
      </c>
      <c r="AT10" s="152">
        <f>'CF(M)'!AT10</f>
        <v>6</v>
      </c>
      <c r="AU10" s="152">
        <f>'CF(M)'!AU10</f>
        <v>6</v>
      </c>
      <c r="AV10" s="152">
        <f>'CF(M)'!AV10</f>
        <v>6</v>
      </c>
      <c r="AW10" s="152">
        <f>'CF(M)'!AW10</f>
        <v>7</v>
      </c>
      <c r="AX10" s="152">
        <f>'CF(M)'!AX10</f>
        <v>7</v>
      </c>
      <c r="AY10" s="152">
        <f>'CF(M)'!AY10</f>
        <v>7</v>
      </c>
      <c r="AZ10" s="152">
        <f>'CF(M)'!AZ10</f>
        <v>7</v>
      </c>
      <c r="BA10" s="152">
        <f>'CF(M)'!BA10</f>
        <v>7</v>
      </c>
      <c r="BB10" s="152">
        <f>'CF(M)'!BB10</f>
        <v>7</v>
      </c>
      <c r="BC10" s="152">
        <f>'CF(M)'!BC10</f>
        <v>8</v>
      </c>
      <c r="BD10" s="152">
        <f>'CF(M)'!BD10</f>
        <v>8</v>
      </c>
      <c r="BE10" s="152">
        <f>'CF(M)'!BE10</f>
        <v>8</v>
      </c>
      <c r="BF10" s="152">
        <f>'CF(M)'!BF10</f>
        <v>8</v>
      </c>
      <c r="BG10" s="152">
        <f>'CF(M)'!BG10</f>
        <v>8</v>
      </c>
      <c r="BH10" s="152">
        <f>'CF(M)'!BH10</f>
        <v>8</v>
      </c>
      <c r="BI10" s="152">
        <f>'CF(M)'!BI10</f>
        <v>9</v>
      </c>
      <c r="BJ10" s="152">
        <f>'CF(M)'!BJ10</f>
        <v>9</v>
      </c>
      <c r="BK10" s="152">
        <f>'CF(M)'!BK10</f>
        <v>9</v>
      </c>
      <c r="BL10" s="152">
        <f>'CF(M)'!BL10</f>
        <v>9</v>
      </c>
      <c r="BM10" s="152">
        <f>'CF(M)'!BM10</f>
        <v>9</v>
      </c>
      <c r="BN10" s="152">
        <f>'CF(M)'!BN10</f>
        <v>9</v>
      </c>
      <c r="BO10" s="152">
        <f>'CF(M)'!BO10</f>
        <v>10</v>
      </c>
      <c r="BP10" s="152">
        <f>'CF(M)'!BP10</f>
        <v>10</v>
      </c>
      <c r="BQ10" s="152">
        <f>'CF(M)'!BQ10</f>
        <v>10</v>
      </c>
      <c r="BR10" s="152">
        <f>'CF(M)'!BR10</f>
        <v>10</v>
      </c>
      <c r="BS10" s="152">
        <f>'CF(M)'!BS10</f>
        <v>10</v>
      </c>
      <c r="BT10" s="152">
        <f>'CF(M)'!BT10</f>
        <v>10</v>
      </c>
      <c r="BU10" s="152">
        <f>'CF(M)'!BU10</f>
        <v>11</v>
      </c>
      <c r="BV10" s="152">
        <f>'CF(M)'!BV10</f>
        <v>11</v>
      </c>
      <c r="BW10" s="152">
        <f>'CF(M)'!BW10</f>
        <v>11</v>
      </c>
      <c r="BX10" s="152">
        <f>'CF(M)'!BX10</f>
        <v>11</v>
      </c>
      <c r="BY10" s="152">
        <f>'CF(M)'!BY10</f>
        <v>11</v>
      </c>
      <c r="BZ10" s="152">
        <f>'CF(M)'!BZ10</f>
        <v>11</v>
      </c>
      <c r="CA10" s="152">
        <f>'CF(M)'!CA10</f>
        <v>12</v>
      </c>
      <c r="CB10" s="152">
        <f>'CF(M)'!CB10</f>
        <v>12</v>
      </c>
      <c r="CC10" s="152">
        <f>'CF(M)'!CC10</f>
        <v>12</v>
      </c>
      <c r="CD10" s="152">
        <f>'CF(M)'!CD10</f>
        <v>12</v>
      </c>
      <c r="CE10" s="152">
        <f>'CF(M)'!CE10</f>
        <v>12</v>
      </c>
      <c r="CF10" s="152">
        <f>'CF(M)'!CF10</f>
        <v>12</v>
      </c>
      <c r="CG10" s="152">
        <f>'CF(M)'!CG10</f>
        <v>13</v>
      </c>
      <c r="CH10" s="152">
        <f>'CF(M)'!CH10</f>
        <v>13</v>
      </c>
      <c r="CI10" s="152">
        <f>'CF(M)'!CI10</f>
        <v>13</v>
      </c>
      <c r="CJ10" s="152">
        <f>'CF(M)'!CJ10</f>
        <v>13</v>
      </c>
      <c r="CK10" s="152">
        <f>'CF(M)'!CK10</f>
        <v>13</v>
      </c>
      <c r="CL10" s="152">
        <f>'CF(M)'!CL10</f>
        <v>13</v>
      </c>
      <c r="CM10" s="152">
        <f>'CF(M)'!CM10</f>
        <v>14</v>
      </c>
      <c r="CN10" s="152">
        <f>'CF(M)'!CN10</f>
        <v>14</v>
      </c>
      <c r="CO10" s="152">
        <f>'CF(M)'!CO10</f>
        <v>14</v>
      </c>
      <c r="CP10" s="152">
        <f>'CF(M)'!CP10</f>
        <v>14</v>
      </c>
      <c r="CQ10" s="152">
        <f>'CF(M)'!CQ10</f>
        <v>14</v>
      </c>
      <c r="CR10" s="152">
        <f>'CF(M)'!CR10</f>
        <v>14</v>
      </c>
      <c r="CS10" s="152">
        <f>'CF(M)'!CS10</f>
        <v>15</v>
      </c>
      <c r="CT10" s="152">
        <f>'CF(M)'!CT10</f>
        <v>15</v>
      </c>
      <c r="CU10" s="152">
        <f>'CF(M)'!CU10</f>
        <v>15</v>
      </c>
      <c r="CV10" s="152">
        <f>'CF(M)'!CV10</f>
        <v>15</v>
      </c>
      <c r="CW10" s="152">
        <f>'CF(M)'!CW10</f>
        <v>15</v>
      </c>
      <c r="CX10" s="152">
        <f>'CF(M)'!CX10</f>
        <v>15</v>
      </c>
      <c r="CY10" s="152">
        <f>'CF(M)'!CY10</f>
        <v>16</v>
      </c>
      <c r="CZ10" s="152">
        <f>'CF(M)'!CZ10</f>
        <v>16</v>
      </c>
      <c r="DA10" s="152">
        <f>'CF(M)'!DA10</f>
        <v>16</v>
      </c>
      <c r="DB10" s="152">
        <f>'CF(M)'!DB10</f>
        <v>16</v>
      </c>
      <c r="DC10" s="152">
        <f>'CF(M)'!DC10</f>
        <v>16</v>
      </c>
      <c r="DD10" s="152">
        <f>'CF(M)'!DD10</f>
        <v>16</v>
      </c>
      <c r="DE10" s="152">
        <f>'CF(M)'!DE10</f>
        <v>17</v>
      </c>
      <c r="DF10" s="152">
        <f>'CF(M)'!DF10</f>
        <v>17</v>
      </c>
      <c r="DG10" s="152">
        <f>'CF(M)'!DG10</f>
        <v>17</v>
      </c>
      <c r="DH10" s="152">
        <f>'CF(M)'!DH10</f>
        <v>17</v>
      </c>
      <c r="DI10" s="152">
        <f>'CF(M)'!DI10</f>
        <v>17</v>
      </c>
      <c r="DJ10" s="152">
        <f>'CF(M)'!DJ10</f>
        <v>17</v>
      </c>
      <c r="DK10" s="152">
        <f>'CF(M)'!DK10</f>
        <v>18</v>
      </c>
      <c r="DL10" s="152">
        <f>'CF(M)'!DL10</f>
        <v>18</v>
      </c>
      <c r="DM10" s="152">
        <f>'CF(M)'!DM10</f>
        <v>18</v>
      </c>
      <c r="DN10" s="152">
        <f>'CF(M)'!DN10</f>
        <v>18</v>
      </c>
      <c r="DO10" s="152">
        <f>'CF(M)'!DO10</f>
        <v>18</v>
      </c>
      <c r="DP10" s="152">
        <f>'CF(M)'!DP10</f>
        <v>18</v>
      </c>
      <c r="DQ10" s="152">
        <f>'CF(M)'!DQ10</f>
        <v>19</v>
      </c>
      <c r="DR10" s="152">
        <f>'CF(M)'!DR10</f>
        <v>19</v>
      </c>
      <c r="DS10" s="152">
        <f>'CF(M)'!DS10</f>
        <v>19</v>
      </c>
      <c r="DT10" s="152">
        <f>'CF(M)'!DT10</f>
        <v>19</v>
      </c>
      <c r="DU10" s="152">
        <f>'CF(M)'!DU10</f>
        <v>19</v>
      </c>
      <c r="DV10" s="152">
        <f>'CF(M)'!DV10</f>
        <v>19</v>
      </c>
      <c r="DW10" s="152">
        <f>'CF(M)'!DW10</f>
        <v>20</v>
      </c>
      <c r="DX10" s="152">
        <f>'CF(M)'!DX10</f>
        <v>20</v>
      </c>
      <c r="DY10" s="152">
        <f>'CF(M)'!DY10</f>
        <v>20</v>
      </c>
      <c r="DZ10" s="152">
        <f>'CF(M)'!DZ10</f>
        <v>20</v>
      </c>
      <c r="EA10" s="152">
        <f>'CF(M)'!EA10</f>
        <v>20</v>
      </c>
      <c r="EB10" s="152">
        <f>'CF(M)'!EB10</f>
        <v>20</v>
      </c>
      <c r="EC10" s="152">
        <f>'CF(M)'!EC10</f>
        <v>21</v>
      </c>
      <c r="ED10" s="1316">
        <f>'CF(M)'!ED10</f>
        <v>21</v>
      </c>
      <c r="EE10" s="152">
        <f>'CF(M)'!EE10</f>
        <v>21</v>
      </c>
      <c r="EF10" s="152">
        <f>'CF(M)'!EF10</f>
        <v>21</v>
      </c>
      <c r="EG10" s="152">
        <f>'CF(M)'!EG10</f>
        <v>21</v>
      </c>
      <c r="EH10" s="152">
        <f>'CF(M)'!EH10</f>
        <v>21</v>
      </c>
      <c r="EI10" s="152">
        <f>'CF(M)'!EI10</f>
        <v>22</v>
      </c>
      <c r="EJ10" s="152">
        <f>'CF(M)'!EJ10</f>
        <v>22</v>
      </c>
      <c r="EK10" s="152">
        <f>'CF(M)'!EK10</f>
        <v>22</v>
      </c>
      <c r="EL10" s="152">
        <f>'CF(M)'!EL10</f>
        <v>22</v>
      </c>
      <c r="EM10" s="152">
        <f>'CF(M)'!EM10</f>
        <v>22</v>
      </c>
      <c r="EN10" s="152">
        <f>'CF(M)'!EN10</f>
        <v>22</v>
      </c>
      <c r="EO10" s="152">
        <f>'CF(M)'!EO10</f>
        <v>23</v>
      </c>
      <c r="EP10" s="152">
        <f>'CF(M)'!EP10</f>
        <v>23</v>
      </c>
      <c r="EQ10" s="152">
        <f>'CF(M)'!EQ10</f>
        <v>23</v>
      </c>
    </row>
    <row r="11" spans="1:151" ht="11.25" customHeight="1">
      <c r="C11" s="189" t="s">
        <v>156</v>
      </c>
      <c r="D11" s="148"/>
      <c r="E11" s="148"/>
      <c r="F11" s="148"/>
      <c r="G11" s="148"/>
      <c r="H11" s="209"/>
      <c r="I11" s="190"/>
      <c r="J11" s="148"/>
      <c r="L11" s="153">
        <f>'CF(M)'!L11</f>
        <v>0</v>
      </c>
      <c r="M11" s="153">
        <f>'CF(M)'!M11</f>
        <v>1</v>
      </c>
      <c r="N11" s="153">
        <f>'CF(M)'!N11</f>
        <v>1</v>
      </c>
      <c r="O11" s="153">
        <f>'CF(M)'!O11</f>
        <v>1</v>
      </c>
      <c r="P11" s="153">
        <f>'CF(M)'!P11</f>
        <v>1</v>
      </c>
      <c r="Q11" s="153">
        <f>'CF(M)'!Q11</f>
        <v>1</v>
      </c>
      <c r="R11" s="153">
        <f>'CF(M)'!R11</f>
        <v>1</v>
      </c>
      <c r="S11" s="153">
        <f>'CF(M)'!S11</f>
        <v>1</v>
      </c>
      <c r="T11" s="153">
        <f>'CF(M)'!T11</f>
        <v>1</v>
      </c>
      <c r="U11" s="153">
        <f>'CF(M)'!U11</f>
        <v>1</v>
      </c>
      <c r="V11" s="153">
        <f>'CF(M)'!V11</f>
        <v>1</v>
      </c>
      <c r="W11" s="153">
        <f>'CF(M)'!W11</f>
        <v>1</v>
      </c>
      <c r="X11" s="153">
        <f>'CF(M)'!X11</f>
        <v>1</v>
      </c>
      <c r="Y11" s="153">
        <f>'CF(M)'!Y11</f>
        <v>2</v>
      </c>
      <c r="Z11" s="153">
        <f>'CF(M)'!Z11</f>
        <v>2</v>
      </c>
      <c r="AA11" s="153">
        <f>'CF(M)'!AA11</f>
        <v>2</v>
      </c>
      <c r="AB11" s="153">
        <f>'CF(M)'!AB11</f>
        <v>2</v>
      </c>
      <c r="AC11" s="153">
        <f>'CF(M)'!AC11</f>
        <v>2</v>
      </c>
      <c r="AD11" s="153">
        <f>'CF(M)'!AD11</f>
        <v>2</v>
      </c>
      <c r="AE11" s="153">
        <f>'CF(M)'!AE11</f>
        <v>2</v>
      </c>
      <c r="AF11" s="153">
        <f>'CF(M)'!AF11</f>
        <v>2</v>
      </c>
      <c r="AG11" s="153">
        <f>'CF(M)'!AG11</f>
        <v>2</v>
      </c>
      <c r="AH11" s="153">
        <f>'CF(M)'!AH11</f>
        <v>2</v>
      </c>
      <c r="AI11" s="153">
        <f>'CF(M)'!AI11</f>
        <v>2</v>
      </c>
      <c r="AJ11" s="153">
        <f>'CF(M)'!AJ11</f>
        <v>2</v>
      </c>
      <c r="AK11" s="153">
        <f>'CF(M)'!AK11</f>
        <v>3</v>
      </c>
      <c r="AL11" s="153">
        <f>'CF(M)'!AL11</f>
        <v>3</v>
      </c>
      <c r="AM11" s="153">
        <f>'CF(M)'!AM11</f>
        <v>3</v>
      </c>
      <c r="AN11" s="153">
        <f>'CF(M)'!AN11</f>
        <v>3</v>
      </c>
      <c r="AO11" s="153">
        <f>'CF(M)'!AO11</f>
        <v>3</v>
      </c>
      <c r="AP11" s="153">
        <f>'CF(M)'!AP11</f>
        <v>3</v>
      </c>
      <c r="AQ11" s="153">
        <f>'CF(M)'!AQ11</f>
        <v>3</v>
      </c>
      <c r="AR11" s="153">
        <f>'CF(M)'!AR11</f>
        <v>3</v>
      </c>
      <c r="AS11" s="153">
        <f>'CF(M)'!AS11</f>
        <v>3</v>
      </c>
      <c r="AT11" s="153">
        <f>'CF(M)'!AT11</f>
        <v>3</v>
      </c>
      <c r="AU11" s="153">
        <f>'CF(M)'!AU11</f>
        <v>3</v>
      </c>
      <c r="AV11" s="153">
        <f>'CF(M)'!AV11</f>
        <v>3</v>
      </c>
      <c r="AW11" s="153">
        <f>'CF(M)'!AW11</f>
        <v>4</v>
      </c>
      <c r="AX11" s="153">
        <f>'CF(M)'!AX11</f>
        <v>4</v>
      </c>
      <c r="AY11" s="153">
        <f>'CF(M)'!AY11</f>
        <v>4</v>
      </c>
      <c r="AZ11" s="153">
        <f>'CF(M)'!AZ11</f>
        <v>4</v>
      </c>
      <c r="BA11" s="153">
        <f>'CF(M)'!BA11</f>
        <v>4</v>
      </c>
      <c r="BB11" s="153">
        <f>'CF(M)'!BB11</f>
        <v>4</v>
      </c>
      <c r="BC11" s="153">
        <f>'CF(M)'!BC11</f>
        <v>4</v>
      </c>
      <c r="BD11" s="153">
        <f>'CF(M)'!BD11</f>
        <v>4</v>
      </c>
      <c r="BE11" s="153">
        <f>'CF(M)'!BE11</f>
        <v>4</v>
      </c>
      <c r="BF11" s="153">
        <f>'CF(M)'!BF11</f>
        <v>4</v>
      </c>
      <c r="BG11" s="153">
        <f>'CF(M)'!BG11</f>
        <v>4</v>
      </c>
      <c r="BH11" s="153">
        <f>'CF(M)'!BH11</f>
        <v>4</v>
      </c>
      <c r="BI11" s="153">
        <f>'CF(M)'!BI11</f>
        <v>5</v>
      </c>
      <c r="BJ11" s="153">
        <f>'CF(M)'!BJ11</f>
        <v>5</v>
      </c>
      <c r="BK11" s="153">
        <f>'CF(M)'!BK11</f>
        <v>5</v>
      </c>
      <c r="BL11" s="153">
        <f>'CF(M)'!BL11</f>
        <v>5</v>
      </c>
      <c r="BM11" s="153">
        <f>'CF(M)'!BM11</f>
        <v>5</v>
      </c>
      <c r="BN11" s="153">
        <f>'CF(M)'!BN11</f>
        <v>5</v>
      </c>
      <c r="BO11" s="153">
        <f>'CF(M)'!BO11</f>
        <v>5</v>
      </c>
      <c r="BP11" s="153">
        <f>'CF(M)'!BP11</f>
        <v>5</v>
      </c>
      <c r="BQ11" s="153">
        <f>'CF(M)'!BQ11</f>
        <v>5</v>
      </c>
      <c r="BR11" s="153">
        <f>'CF(M)'!BR11</f>
        <v>5</v>
      </c>
      <c r="BS11" s="153">
        <f>'CF(M)'!BS11</f>
        <v>5</v>
      </c>
      <c r="BT11" s="153">
        <f>'CF(M)'!BT11</f>
        <v>5</v>
      </c>
      <c r="BU11" s="153">
        <f>'CF(M)'!BU11</f>
        <v>6</v>
      </c>
      <c r="BV11" s="153">
        <f>'CF(M)'!BV11</f>
        <v>6</v>
      </c>
      <c r="BW11" s="153">
        <f>'CF(M)'!BW11</f>
        <v>6</v>
      </c>
      <c r="BX11" s="153">
        <f>'CF(M)'!BX11</f>
        <v>6</v>
      </c>
      <c r="BY11" s="153">
        <f>'CF(M)'!BY11</f>
        <v>6</v>
      </c>
      <c r="BZ11" s="153">
        <f>'CF(M)'!BZ11</f>
        <v>6</v>
      </c>
      <c r="CA11" s="153">
        <f>'CF(M)'!CA11</f>
        <v>6</v>
      </c>
      <c r="CB11" s="153">
        <f>'CF(M)'!CB11</f>
        <v>6</v>
      </c>
      <c r="CC11" s="153">
        <f>'CF(M)'!CC11</f>
        <v>6</v>
      </c>
      <c r="CD11" s="153">
        <f>'CF(M)'!CD11</f>
        <v>6</v>
      </c>
      <c r="CE11" s="153">
        <f>'CF(M)'!CE11</f>
        <v>6</v>
      </c>
      <c r="CF11" s="153">
        <f>'CF(M)'!CF11</f>
        <v>6</v>
      </c>
      <c r="CG11" s="153">
        <f>'CF(M)'!CG11</f>
        <v>7</v>
      </c>
      <c r="CH11" s="153">
        <f>'CF(M)'!CH11</f>
        <v>7</v>
      </c>
      <c r="CI11" s="153">
        <f>'CF(M)'!CI11</f>
        <v>7</v>
      </c>
      <c r="CJ11" s="153">
        <f>'CF(M)'!CJ11</f>
        <v>7</v>
      </c>
      <c r="CK11" s="153">
        <f>'CF(M)'!CK11</f>
        <v>7</v>
      </c>
      <c r="CL11" s="153">
        <f>'CF(M)'!CL11</f>
        <v>7</v>
      </c>
      <c r="CM11" s="153">
        <f>'CF(M)'!CM11</f>
        <v>7</v>
      </c>
      <c r="CN11" s="153">
        <f>'CF(M)'!CN11</f>
        <v>7</v>
      </c>
      <c r="CO11" s="153">
        <f>'CF(M)'!CO11</f>
        <v>7</v>
      </c>
      <c r="CP11" s="153">
        <f>'CF(M)'!CP11</f>
        <v>7</v>
      </c>
      <c r="CQ11" s="153">
        <f>'CF(M)'!CQ11</f>
        <v>7</v>
      </c>
      <c r="CR11" s="153">
        <f>'CF(M)'!CR11</f>
        <v>7</v>
      </c>
      <c r="CS11" s="153">
        <f>'CF(M)'!CS11</f>
        <v>8</v>
      </c>
      <c r="CT11" s="153">
        <f>'CF(M)'!CT11</f>
        <v>8</v>
      </c>
      <c r="CU11" s="153">
        <f>'CF(M)'!CU11</f>
        <v>8</v>
      </c>
      <c r="CV11" s="153">
        <f>'CF(M)'!CV11</f>
        <v>8</v>
      </c>
      <c r="CW11" s="153">
        <f>'CF(M)'!CW11</f>
        <v>8</v>
      </c>
      <c r="CX11" s="153">
        <f>'CF(M)'!CX11</f>
        <v>8</v>
      </c>
      <c r="CY11" s="153">
        <f>'CF(M)'!CY11</f>
        <v>8</v>
      </c>
      <c r="CZ11" s="153">
        <f>'CF(M)'!CZ11</f>
        <v>8</v>
      </c>
      <c r="DA11" s="153">
        <f>'CF(M)'!DA11</f>
        <v>8</v>
      </c>
      <c r="DB11" s="153">
        <f>'CF(M)'!DB11</f>
        <v>8</v>
      </c>
      <c r="DC11" s="153">
        <f>'CF(M)'!DC11</f>
        <v>8</v>
      </c>
      <c r="DD11" s="153">
        <f>'CF(M)'!DD11</f>
        <v>8</v>
      </c>
      <c r="DE11" s="153">
        <f>'CF(M)'!DE11</f>
        <v>9</v>
      </c>
      <c r="DF11" s="153">
        <f>'CF(M)'!DF11</f>
        <v>9</v>
      </c>
      <c r="DG11" s="153">
        <f>'CF(M)'!DG11</f>
        <v>9</v>
      </c>
      <c r="DH11" s="153">
        <f>'CF(M)'!DH11</f>
        <v>9</v>
      </c>
      <c r="DI11" s="153">
        <f>'CF(M)'!DI11</f>
        <v>9</v>
      </c>
      <c r="DJ11" s="153">
        <f>'CF(M)'!DJ11</f>
        <v>9</v>
      </c>
      <c r="DK11" s="153">
        <f>'CF(M)'!DK11</f>
        <v>9</v>
      </c>
      <c r="DL11" s="153">
        <f>'CF(M)'!DL11</f>
        <v>9</v>
      </c>
      <c r="DM11" s="153">
        <f>'CF(M)'!DM11</f>
        <v>9</v>
      </c>
      <c r="DN11" s="153">
        <f>'CF(M)'!DN11</f>
        <v>9</v>
      </c>
      <c r="DO11" s="153">
        <f>'CF(M)'!DO11</f>
        <v>9</v>
      </c>
      <c r="DP11" s="153">
        <f>'CF(M)'!DP11</f>
        <v>9</v>
      </c>
      <c r="DQ11" s="153">
        <f>'CF(M)'!DQ11</f>
        <v>10</v>
      </c>
      <c r="DR11" s="153">
        <f>'CF(M)'!DR11</f>
        <v>10</v>
      </c>
      <c r="DS11" s="153">
        <f>'CF(M)'!DS11</f>
        <v>10</v>
      </c>
      <c r="DT11" s="153">
        <f>'CF(M)'!DT11</f>
        <v>10</v>
      </c>
      <c r="DU11" s="153">
        <f>'CF(M)'!DU11</f>
        <v>10</v>
      </c>
      <c r="DV11" s="153">
        <f>'CF(M)'!DV11</f>
        <v>10</v>
      </c>
      <c r="DW11" s="153">
        <f>'CF(M)'!DW11</f>
        <v>10</v>
      </c>
      <c r="DX11" s="153">
        <f>'CF(M)'!DX11</f>
        <v>10</v>
      </c>
      <c r="DY11" s="153">
        <f>'CF(M)'!DY11</f>
        <v>10</v>
      </c>
      <c r="DZ11" s="153">
        <f>'CF(M)'!DZ11</f>
        <v>10</v>
      </c>
      <c r="EA11" s="153">
        <f>'CF(M)'!EA11</f>
        <v>10</v>
      </c>
      <c r="EB11" s="153">
        <f>'CF(M)'!EB11</f>
        <v>10</v>
      </c>
      <c r="EC11" s="153">
        <f>'CF(M)'!EC11</f>
        <v>11</v>
      </c>
      <c r="ED11" s="1317">
        <f>'CF(M)'!ED11</f>
        <v>11</v>
      </c>
      <c r="EE11" s="153">
        <f>'CF(M)'!EE11</f>
        <v>11</v>
      </c>
      <c r="EF11" s="153">
        <f>'CF(M)'!EF11</f>
        <v>11</v>
      </c>
      <c r="EG11" s="153">
        <f>'CF(M)'!EG11</f>
        <v>11</v>
      </c>
      <c r="EH11" s="153">
        <f>'CF(M)'!EH11</f>
        <v>11</v>
      </c>
      <c r="EI11" s="153">
        <f>'CF(M)'!EI11</f>
        <v>11</v>
      </c>
      <c r="EJ11" s="153">
        <f>'CF(M)'!EJ11</f>
        <v>11</v>
      </c>
      <c r="EK11" s="153">
        <f>'CF(M)'!EK11</f>
        <v>11</v>
      </c>
      <c r="EL11" s="153">
        <f>'CF(M)'!EL11</f>
        <v>11</v>
      </c>
      <c r="EM11" s="153">
        <f>'CF(M)'!EM11</f>
        <v>11</v>
      </c>
      <c r="EN11" s="153">
        <f>'CF(M)'!EN11</f>
        <v>11</v>
      </c>
      <c r="EO11" s="153">
        <f>'CF(M)'!EO11</f>
        <v>12</v>
      </c>
      <c r="EP11" s="153">
        <f>'CF(M)'!EP11</f>
        <v>12</v>
      </c>
      <c r="EQ11" s="153">
        <f>'CF(M)'!EQ11</f>
        <v>12</v>
      </c>
    </row>
    <row r="12" spans="1:151" ht="11.25" customHeight="1"/>
    <row r="13" spans="1:151" ht="11.25" customHeight="1">
      <c r="C13" s="154"/>
    </row>
    <row r="14" spans="1:151" ht="11.25" customHeight="1">
      <c r="C14" s="155" t="s">
        <v>224</v>
      </c>
      <c r="D14" s="155"/>
      <c r="E14" s="155"/>
      <c r="F14" s="155"/>
      <c r="G14" s="155"/>
      <c r="H14" s="191"/>
      <c r="I14" s="192"/>
      <c r="J14" s="156"/>
      <c r="L14" s="157">
        <f>L5</f>
        <v>46326</v>
      </c>
      <c r="M14" s="157">
        <f t="shared" ref="M14:BX14" si="0">M5</f>
        <v>46356</v>
      </c>
      <c r="N14" s="157">
        <f t="shared" si="0"/>
        <v>46387</v>
      </c>
      <c r="O14" s="157">
        <f t="shared" si="0"/>
        <v>46418</v>
      </c>
      <c r="P14" s="157">
        <f t="shared" si="0"/>
        <v>46446</v>
      </c>
      <c r="Q14" s="157">
        <f t="shared" si="0"/>
        <v>46477</v>
      </c>
      <c r="R14" s="157">
        <f t="shared" si="0"/>
        <v>46507</v>
      </c>
      <c r="S14" s="157">
        <f t="shared" si="0"/>
        <v>46538</v>
      </c>
      <c r="T14" s="157">
        <f t="shared" si="0"/>
        <v>46568</v>
      </c>
      <c r="U14" s="157">
        <f t="shared" si="0"/>
        <v>46599</v>
      </c>
      <c r="V14" s="157">
        <f t="shared" si="0"/>
        <v>46630</v>
      </c>
      <c r="W14" s="157">
        <f t="shared" si="0"/>
        <v>46660</v>
      </c>
      <c r="X14" s="157">
        <f t="shared" si="0"/>
        <v>46691</v>
      </c>
      <c r="Y14" s="157">
        <f t="shared" si="0"/>
        <v>46721</v>
      </c>
      <c r="Z14" s="157">
        <f t="shared" si="0"/>
        <v>46752</v>
      </c>
      <c r="AA14" s="157">
        <f t="shared" si="0"/>
        <v>46783</v>
      </c>
      <c r="AB14" s="157">
        <f t="shared" si="0"/>
        <v>46812</v>
      </c>
      <c r="AC14" s="157">
        <f t="shared" si="0"/>
        <v>46843</v>
      </c>
      <c r="AD14" s="157">
        <f t="shared" si="0"/>
        <v>46873</v>
      </c>
      <c r="AE14" s="157">
        <f t="shared" si="0"/>
        <v>46904</v>
      </c>
      <c r="AF14" s="157">
        <f t="shared" si="0"/>
        <v>46934</v>
      </c>
      <c r="AG14" s="157">
        <f t="shared" si="0"/>
        <v>46965</v>
      </c>
      <c r="AH14" s="157">
        <f t="shared" si="0"/>
        <v>46996</v>
      </c>
      <c r="AI14" s="157">
        <f t="shared" si="0"/>
        <v>47026</v>
      </c>
      <c r="AJ14" s="157">
        <f t="shared" si="0"/>
        <v>47057</v>
      </c>
      <c r="AK14" s="157">
        <f t="shared" si="0"/>
        <v>47087</v>
      </c>
      <c r="AL14" s="157">
        <f t="shared" si="0"/>
        <v>47118</v>
      </c>
      <c r="AM14" s="157">
        <f t="shared" si="0"/>
        <v>47149</v>
      </c>
      <c r="AN14" s="157">
        <f t="shared" si="0"/>
        <v>47177</v>
      </c>
      <c r="AO14" s="157">
        <f t="shared" si="0"/>
        <v>47208</v>
      </c>
      <c r="AP14" s="157">
        <f t="shared" si="0"/>
        <v>47238</v>
      </c>
      <c r="AQ14" s="157">
        <f t="shared" si="0"/>
        <v>47269</v>
      </c>
      <c r="AR14" s="157">
        <f t="shared" si="0"/>
        <v>47299</v>
      </c>
      <c r="AS14" s="157">
        <f t="shared" si="0"/>
        <v>47330</v>
      </c>
      <c r="AT14" s="157">
        <f t="shared" si="0"/>
        <v>47361</v>
      </c>
      <c r="AU14" s="157">
        <f t="shared" si="0"/>
        <v>47391</v>
      </c>
      <c r="AV14" s="157">
        <f t="shared" si="0"/>
        <v>47422</v>
      </c>
      <c r="AW14" s="157">
        <f t="shared" si="0"/>
        <v>47452</v>
      </c>
      <c r="AX14" s="157">
        <f t="shared" si="0"/>
        <v>47483</v>
      </c>
      <c r="AY14" s="157">
        <f t="shared" si="0"/>
        <v>47514</v>
      </c>
      <c r="AZ14" s="157">
        <f t="shared" si="0"/>
        <v>47542</v>
      </c>
      <c r="BA14" s="157">
        <f t="shared" si="0"/>
        <v>47573</v>
      </c>
      <c r="BB14" s="157">
        <f t="shared" si="0"/>
        <v>47603</v>
      </c>
      <c r="BC14" s="157">
        <f t="shared" si="0"/>
        <v>47634</v>
      </c>
      <c r="BD14" s="157">
        <f t="shared" si="0"/>
        <v>47664</v>
      </c>
      <c r="BE14" s="157">
        <f t="shared" si="0"/>
        <v>47695</v>
      </c>
      <c r="BF14" s="157">
        <f t="shared" si="0"/>
        <v>47726</v>
      </c>
      <c r="BG14" s="157">
        <f t="shared" si="0"/>
        <v>47756</v>
      </c>
      <c r="BH14" s="157">
        <f t="shared" si="0"/>
        <v>47787</v>
      </c>
      <c r="BI14" s="157">
        <f t="shared" si="0"/>
        <v>47817</v>
      </c>
      <c r="BJ14" s="157">
        <f t="shared" si="0"/>
        <v>47848</v>
      </c>
      <c r="BK14" s="157">
        <f t="shared" si="0"/>
        <v>47879</v>
      </c>
      <c r="BL14" s="157">
        <f t="shared" si="0"/>
        <v>47907</v>
      </c>
      <c r="BM14" s="157">
        <f t="shared" si="0"/>
        <v>47938</v>
      </c>
      <c r="BN14" s="157">
        <f t="shared" si="0"/>
        <v>47968</v>
      </c>
      <c r="BO14" s="157">
        <f t="shared" si="0"/>
        <v>47999</v>
      </c>
      <c r="BP14" s="157">
        <f t="shared" si="0"/>
        <v>48029</v>
      </c>
      <c r="BQ14" s="157">
        <f t="shared" si="0"/>
        <v>48060</v>
      </c>
      <c r="BR14" s="157">
        <f t="shared" si="0"/>
        <v>48091</v>
      </c>
      <c r="BS14" s="157">
        <f t="shared" si="0"/>
        <v>48121</v>
      </c>
      <c r="BT14" s="157">
        <f t="shared" si="0"/>
        <v>48152</v>
      </c>
      <c r="BU14" s="157">
        <f t="shared" si="0"/>
        <v>48182</v>
      </c>
      <c r="BV14" s="157">
        <f t="shared" si="0"/>
        <v>48213</v>
      </c>
      <c r="BW14" s="157">
        <f t="shared" si="0"/>
        <v>48244</v>
      </c>
      <c r="BX14" s="157">
        <f t="shared" si="0"/>
        <v>48273</v>
      </c>
      <c r="BY14" s="157">
        <f t="shared" ref="BY14:DT14" si="1">BY5</f>
        <v>48304</v>
      </c>
      <c r="BZ14" s="157">
        <f t="shared" si="1"/>
        <v>48334</v>
      </c>
      <c r="CA14" s="157">
        <f t="shared" si="1"/>
        <v>48365</v>
      </c>
      <c r="CB14" s="157">
        <f t="shared" si="1"/>
        <v>48395</v>
      </c>
      <c r="CC14" s="157">
        <f t="shared" si="1"/>
        <v>48426</v>
      </c>
      <c r="CD14" s="157">
        <f t="shared" si="1"/>
        <v>48457</v>
      </c>
      <c r="CE14" s="157">
        <f t="shared" si="1"/>
        <v>48487</v>
      </c>
      <c r="CF14" s="157">
        <f t="shared" si="1"/>
        <v>48518</v>
      </c>
      <c r="CG14" s="157">
        <f t="shared" si="1"/>
        <v>48548</v>
      </c>
      <c r="CH14" s="157">
        <f t="shared" si="1"/>
        <v>48579</v>
      </c>
      <c r="CI14" s="157">
        <f t="shared" si="1"/>
        <v>48610</v>
      </c>
      <c r="CJ14" s="157">
        <f t="shared" si="1"/>
        <v>48638</v>
      </c>
      <c r="CK14" s="157">
        <f t="shared" si="1"/>
        <v>48669</v>
      </c>
      <c r="CL14" s="157">
        <f t="shared" si="1"/>
        <v>48699</v>
      </c>
      <c r="CM14" s="157">
        <f t="shared" si="1"/>
        <v>48730</v>
      </c>
      <c r="CN14" s="157">
        <f t="shared" si="1"/>
        <v>48760</v>
      </c>
      <c r="CO14" s="157">
        <f t="shared" si="1"/>
        <v>48791</v>
      </c>
      <c r="CP14" s="157">
        <f t="shared" si="1"/>
        <v>48822</v>
      </c>
      <c r="CQ14" s="157">
        <f t="shared" si="1"/>
        <v>48852</v>
      </c>
      <c r="CR14" s="157">
        <f t="shared" si="1"/>
        <v>48883</v>
      </c>
      <c r="CS14" s="157">
        <f t="shared" si="1"/>
        <v>48913</v>
      </c>
      <c r="CT14" s="157">
        <f t="shared" si="1"/>
        <v>48944</v>
      </c>
      <c r="CU14" s="157">
        <f t="shared" si="1"/>
        <v>48975</v>
      </c>
      <c r="CV14" s="157">
        <f t="shared" si="1"/>
        <v>49003</v>
      </c>
      <c r="CW14" s="157">
        <f t="shared" si="1"/>
        <v>49034</v>
      </c>
      <c r="CX14" s="157">
        <f t="shared" si="1"/>
        <v>49064</v>
      </c>
      <c r="CY14" s="157">
        <f t="shared" si="1"/>
        <v>49095</v>
      </c>
      <c r="CZ14" s="157">
        <f t="shared" si="1"/>
        <v>49125</v>
      </c>
      <c r="DA14" s="157">
        <f t="shared" si="1"/>
        <v>49156</v>
      </c>
      <c r="DB14" s="157">
        <f t="shared" si="1"/>
        <v>49187</v>
      </c>
      <c r="DC14" s="157">
        <f t="shared" si="1"/>
        <v>49217</v>
      </c>
      <c r="DD14" s="157">
        <f t="shared" si="1"/>
        <v>49248</v>
      </c>
      <c r="DE14" s="157">
        <f t="shared" si="1"/>
        <v>49278</v>
      </c>
      <c r="DF14" s="157">
        <f t="shared" si="1"/>
        <v>49309</v>
      </c>
      <c r="DG14" s="157">
        <f t="shared" si="1"/>
        <v>49340</v>
      </c>
      <c r="DH14" s="157">
        <f t="shared" si="1"/>
        <v>49368</v>
      </c>
      <c r="DI14" s="157">
        <f t="shared" si="1"/>
        <v>49399</v>
      </c>
      <c r="DJ14" s="157">
        <f t="shared" si="1"/>
        <v>49429</v>
      </c>
      <c r="DK14" s="157">
        <f t="shared" si="1"/>
        <v>49460</v>
      </c>
      <c r="DL14" s="157">
        <f t="shared" si="1"/>
        <v>49490</v>
      </c>
      <c r="DM14" s="157">
        <f t="shared" si="1"/>
        <v>49521</v>
      </c>
      <c r="DN14" s="157">
        <f t="shared" si="1"/>
        <v>49552</v>
      </c>
      <c r="DO14" s="157">
        <f t="shared" si="1"/>
        <v>49582</v>
      </c>
      <c r="DP14" s="157">
        <f t="shared" si="1"/>
        <v>49613</v>
      </c>
      <c r="DQ14" s="157">
        <f t="shared" si="1"/>
        <v>49643</v>
      </c>
      <c r="DR14" s="157">
        <f t="shared" si="1"/>
        <v>49674</v>
      </c>
      <c r="DS14" s="157">
        <f t="shared" si="1"/>
        <v>49705</v>
      </c>
      <c r="DT14" s="157">
        <f t="shared" si="1"/>
        <v>49734</v>
      </c>
      <c r="DU14" s="157">
        <f t="shared" ref="DU14:EA14" si="2">DU5</f>
        <v>49765</v>
      </c>
      <c r="DV14" s="157">
        <f t="shared" si="2"/>
        <v>49795</v>
      </c>
      <c r="DW14" s="157">
        <f t="shared" si="2"/>
        <v>49826</v>
      </c>
      <c r="DX14" s="157">
        <f t="shared" si="2"/>
        <v>49856</v>
      </c>
      <c r="DY14" s="157">
        <f t="shared" si="2"/>
        <v>49887</v>
      </c>
      <c r="DZ14" s="157">
        <f t="shared" si="2"/>
        <v>49918</v>
      </c>
      <c r="EA14" s="157">
        <f t="shared" si="2"/>
        <v>49948</v>
      </c>
      <c r="EB14" s="157">
        <f t="shared" ref="EB14:EQ14" si="3">EB5</f>
        <v>49979</v>
      </c>
      <c r="EC14" s="157">
        <f t="shared" si="3"/>
        <v>50009</v>
      </c>
      <c r="ED14" s="1318">
        <f t="shared" si="3"/>
        <v>50040</v>
      </c>
      <c r="EE14" s="157">
        <f t="shared" si="3"/>
        <v>50071</v>
      </c>
      <c r="EF14" s="157">
        <f t="shared" si="3"/>
        <v>50099</v>
      </c>
      <c r="EG14" s="157">
        <f t="shared" si="3"/>
        <v>50130</v>
      </c>
      <c r="EH14" s="157">
        <f t="shared" si="3"/>
        <v>50160</v>
      </c>
      <c r="EI14" s="157">
        <f t="shared" si="3"/>
        <v>50191</v>
      </c>
      <c r="EJ14" s="157">
        <f t="shared" si="3"/>
        <v>50221</v>
      </c>
      <c r="EK14" s="157">
        <f t="shared" si="3"/>
        <v>50252</v>
      </c>
      <c r="EL14" s="157">
        <f t="shared" si="3"/>
        <v>50283</v>
      </c>
      <c r="EM14" s="157">
        <f t="shared" si="3"/>
        <v>50313</v>
      </c>
      <c r="EN14" s="157">
        <f t="shared" si="3"/>
        <v>50344</v>
      </c>
      <c r="EO14" s="157">
        <f t="shared" si="3"/>
        <v>50374</v>
      </c>
      <c r="EP14" s="157">
        <f t="shared" si="3"/>
        <v>50405</v>
      </c>
      <c r="EQ14" s="157">
        <f t="shared" si="3"/>
        <v>50436</v>
      </c>
    </row>
    <row r="15" spans="1:151" ht="11.25" customHeight="1">
      <c r="C15" s="158" t="str">
        <f>'A&amp;R'!L31</f>
        <v>임대보증금</v>
      </c>
      <c r="D15" s="159"/>
      <c r="E15" s="159"/>
      <c r="F15" s="159"/>
      <c r="G15" s="159"/>
      <c r="H15" s="160"/>
      <c r="I15" s="219"/>
      <c r="J15" s="161"/>
      <c r="K15" s="98"/>
      <c r="L15" s="162"/>
      <c r="M15" s="162"/>
      <c r="N15" s="162"/>
      <c r="O15" s="162"/>
      <c r="P15" s="162"/>
      <c r="Q15" s="162"/>
      <c r="R15" s="162"/>
      <c r="S15" s="162"/>
      <c r="T15" s="162"/>
      <c r="U15" s="162"/>
      <c r="V15" s="162"/>
      <c r="W15" s="162"/>
      <c r="X15" s="162"/>
      <c r="Y15" s="162"/>
      <c r="Z15" s="162"/>
      <c r="AA15" s="162"/>
      <c r="AB15" s="162"/>
      <c r="AC15" s="162"/>
      <c r="AD15" s="162"/>
      <c r="AE15" s="162"/>
      <c r="AF15" s="162"/>
      <c r="AG15" s="162"/>
      <c r="AH15" s="162"/>
      <c r="AI15" s="162"/>
      <c r="AJ15" s="162"/>
      <c r="AK15" s="162"/>
      <c r="AL15" s="162"/>
      <c r="AM15" s="162"/>
      <c r="AN15" s="162"/>
      <c r="AO15" s="162"/>
      <c r="AP15" s="162"/>
      <c r="AQ15" s="162"/>
      <c r="AR15" s="162"/>
      <c r="AS15" s="162"/>
      <c r="AT15" s="162"/>
      <c r="AU15" s="162"/>
      <c r="AV15" s="162"/>
      <c r="AW15" s="162"/>
      <c r="AX15" s="162"/>
      <c r="AY15" s="162"/>
      <c r="AZ15" s="162"/>
      <c r="BA15" s="162"/>
      <c r="BB15" s="162"/>
      <c r="BC15" s="162"/>
      <c r="BD15" s="162"/>
      <c r="BE15" s="162"/>
      <c r="BF15" s="162"/>
      <c r="BG15" s="162"/>
      <c r="BH15" s="162"/>
      <c r="BI15" s="162"/>
      <c r="BJ15" s="162"/>
      <c r="BK15" s="162"/>
      <c r="BL15" s="162"/>
      <c r="BM15" s="162"/>
      <c r="BN15" s="162"/>
      <c r="BO15" s="162"/>
      <c r="BP15" s="162"/>
      <c r="BQ15" s="162"/>
      <c r="BR15" s="162"/>
      <c r="BS15" s="162"/>
      <c r="BT15" s="162"/>
      <c r="BU15" s="162"/>
      <c r="BV15" s="162"/>
      <c r="BW15" s="162"/>
      <c r="BX15" s="162"/>
      <c r="BY15" s="162"/>
      <c r="BZ15" s="162"/>
      <c r="CA15" s="162"/>
      <c r="CB15" s="162"/>
      <c r="CC15" s="162"/>
      <c r="CD15" s="162"/>
      <c r="CE15" s="162"/>
      <c r="CF15" s="162"/>
      <c r="CG15" s="162"/>
      <c r="CH15" s="162"/>
      <c r="CI15" s="162"/>
      <c r="CJ15" s="162"/>
      <c r="CK15" s="162"/>
      <c r="CL15" s="162"/>
      <c r="CM15" s="162"/>
      <c r="CN15" s="162"/>
      <c r="CO15" s="162"/>
      <c r="CP15" s="162"/>
      <c r="CQ15" s="162"/>
      <c r="CR15" s="162"/>
      <c r="CS15" s="162"/>
      <c r="CT15" s="162"/>
      <c r="CU15" s="162"/>
      <c r="CV15" s="162"/>
      <c r="CW15" s="162"/>
      <c r="CX15" s="162"/>
      <c r="CY15" s="162"/>
      <c r="CZ15" s="162"/>
      <c r="DA15" s="162"/>
      <c r="DB15" s="162"/>
      <c r="DC15" s="162"/>
      <c r="DD15" s="162"/>
      <c r="DE15" s="162"/>
      <c r="DF15" s="162"/>
      <c r="DG15" s="162"/>
      <c r="DH15" s="162"/>
      <c r="DI15" s="162"/>
      <c r="DJ15" s="162"/>
      <c r="DK15" s="162"/>
      <c r="DL15" s="162"/>
      <c r="DM15" s="162"/>
      <c r="DN15" s="162"/>
      <c r="DO15" s="162"/>
      <c r="DP15" s="162"/>
      <c r="DQ15" s="162"/>
      <c r="DR15" s="162"/>
      <c r="DS15" s="162"/>
      <c r="DT15" s="162"/>
      <c r="DU15" s="162"/>
      <c r="DV15" s="162"/>
      <c r="DW15" s="162"/>
      <c r="DX15" s="162"/>
      <c r="DY15" s="162"/>
      <c r="DZ15" s="162"/>
      <c r="EA15" s="162"/>
      <c r="EB15" s="162"/>
      <c r="EC15" s="162"/>
      <c r="ED15" s="1319"/>
      <c r="EE15" s="162"/>
      <c r="EF15" s="162"/>
      <c r="EG15" s="162"/>
      <c r="EH15" s="162"/>
      <c r="EI15" s="162"/>
      <c r="EJ15" s="162"/>
      <c r="EK15" s="162"/>
      <c r="EL15" s="162"/>
      <c r="EM15" s="162"/>
      <c r="EN15" s="162"/>
      <c r="EO15" s="162"/>
      <c r="EP15" s="162"/>
      <c r="EQ15" s="162"/>
    </row>
    <row r="16" spans="1:151" ht="11.25" customHeight="1">
      <c r="C16" s="163"/>
      <c r="D16" s="164" t="s">
        <v>217</v>
      </c>
      <c r="E16" s="165"/>
      <c r="F16" s="165"/>
      <c r="G16" s="165"/>
      <c r="H16" s="166"/>
      <c r="I16" s="221"/>
      <c r="J16" s="167"/>
      <c r="K16" s="98"/>
      <c r="L16" s="168">
        <f>K19</f>
        <v>0</v>
      </c>
      <c r="M16" s="168">
        <f t="shared" ref="M16:BX16" si="4">L19</f>
        <v>2100000</v>
      </c>
      <c r="N16" s="168">
        <f t="shared" si="4"/>
        <v>2100000</v>
      </c>
      <c r="O16" s="168">
        <f t="shared" si="4"/>
        <v>2100000</v>
      </c>
      <c r="P16" s="168">
        <f t="shared" si="4"/>
        <v>2100000</v>
      </c>
      <c r="Q16" s="168">
        <f t="shared" si="4"/>
        <v>2100000</v>
      </c>
      <c r="R16" s="168">
        <f t="shared" si="4"/>
        <v>2100000</v>
      </c>
      <c r="S16" s="168">
        <f t="shared" si="4"/>
        <v>2100000</v>
      </c>
      <c r="T16" s="168">
        <f t="shared" si="4"/>
        <v>2100000</v>
      </c>
      <c r="U16" s="168">
        <f t="shared" si="4"/>
        <v>2100000</v>
      </c>
      <c r="V16" s="168">
        <f t="shared" si="4"/>
        <v>2100000</v>
      </c>
      <c r="W16" s="168">
        <f t="shared" si="4"/>
        <v>2100000</v>
      </c>
      <c r="X16" s="168">
        <f t="shared" si="4"/>
        <v>2100000</v>
      </c>
      <c r="Y16" s="168">
        <f t="shared" si="4"/>
        <v>2100000</v>
      </c>
      <c r="Z16" s="168">
        <f t="shared" si="4"/>
        <v>2100000</v>
      </c>
      <c r="AA16" s="168">
        <f t="shared" si="4"/>
        <v>2100000</v>
      </c>
      <c r="AB16" s="168">
        <f t="shared" si="4"/>
        <v>2100000</v>
      </c>
      <c r="AC16" s="168">
        <f t="shared" si="4"/>
        <v>2100000</v>
      </c>
      <c r="AD16" s="168">
        <f t="shared" si="4"/>
        <v>2100000</v>
      </c>
      <c r="AE16" s="168">
        <f t="shared" si="4"/>
        <v>2100000</v>
      </c>
      <c r="AF16" s="168">
        <f t="shared" si="4"/>
        <v>2100000</v>
      </c>
      <c r="AG16" s="168">
        <f t="shared" si="4"/>
        <v>2100000</v>
      </c>
      <c r="AH16" s="168">
        <f t="shared" si="4"/>
        <v>2100000</v>
      </c>
      <c r="AI16" s="168">
        <f t="shared" si="4"/>
        <v>2100000</v>
      </c>
      <c r="AJ16" s="168">
        <f t="shared" si="4"/>
        <v>2100000</v>
      </c>
      <c r="AK16" s="168">
        <f t="shared" si="4"/>
        <v>2100000</v>
      </c>
      <c r="AL16" s="168">
        <f t="shared" si="4"/>
        <v>2100000</v>
      </c>
      <c r="AM16" s="168">
        <f t="shared" si="4"/>
        <v>2100000</v>
      </c>
      <c r="AN16" s="168">
        <f t="shared" si="4"/>
        <v>2100000</v>
      </c>
      <c r="AO16" s="168">
        <f t="shared" si="4"/>
        <v>2100000</v>
      </c>
      <c r="AP16" s="168">
        <f t="shared" si="4"/>
        <v>2100000</v>
      </c>
      <c r="AQ16" s="168">
        <f t="shared" si="4"/>
        <v>2100000</v>
      </c>
      <c r="AR16" s="168">
        <f t="shared" si="4"/>
        <v>2100000</v>
      </c>
      <c r="AS16" s="168">
        <f t="shared" si="4"/>
        <v>2100000</v>
      </c>
      <c r="AT16" s="168">
        <f t="shared" si="4"/>
        <v>2100000</v>
      </c>
      <c r="AU16" s="168">
        <f t="shared" si="4"/>
        <v>2100000</v>
      </c>
      <c r="AV16" s="168">
        <f t="shared" si="4"/>
        <v>2100000</v>
      </c>
      <c r="AW16" s="168">
        <f t="shared" si="4"/>
        <v>2100000</v>
      </c>
      <c r="AX16" s="168">
        <f t="shared" si="4"/>
        <v>2100000</v>
      </c>
      <c r="AY16" s="168">
        <f t="shared" si="4"/>
        <v>2100000</v>
      </c>
      <c r="AZ16" s="168">
        <f t="shared" si="4"/>
        <v>2100000</v>
      </c>
      <c r="BA16" s="168">
        <f t="shared" si="4"/>
        <v>2100000</v>
      </c>
      <c r="BB16" s="168">
        <f t="shared" si="4"/>
        <v>2100000</v>
      </c>
      <c r="BC16" s="168">
        <f t="shared" si="4"/>
        <v>2100000</v>
      </c>
      <c r="BD16" s="168">
        <f t="shared" si="4"/>
        <v>2100000</v>
      </c>
      <c r="BE16" s="168">
        <f t="shared" si="4"/>
        <v>2100000</v>
      </c>
      <c r="BF16" s="168">
        <f t="shared" si="4"/>
        <v>2100000</v>
      </c>
      <c r="BG16" s="168">
        <f t="shared" si="4"/>
        <v>2100000</v>
      </c>
      <c r="BH16" s="168">
        <f t="shared" si="4"/>
        <v>2100000</v>
      </c>
      <c r="BI16" s="168">
        <f t="shared" si="4"/>
        <v>2100000</v>
      </c>
      <c r="BJ16" s="168">
        <f t="shared" si="4"/>
        <v>2100000</v>
      </c>
      <c r="BK16" s="168">
        <f t="shared" si="4"/>
        <v>2100000</v>
      </c>
      <c r="BL16" s="168">
        <f t="shared" si="4"/>
        <v>2100000</v>
      </c>
      <c r="BM16" s="168">
        <f t="shared" si="4"/>
        <v>2100000</v>
      </c>
      <c r="BN16" s="168">
        <f t="shared" si="4"/>
        <v>2100000</v>
      </c>
      <c r="BO16" s="168">
        <f t="shared" si="4"/>
        <v>2100000</v>
      </c>
      <c r="BP16" s="168">
        <f t="shared" si="4"/>
        <v>2100000</v>
      </c>
      <c r="BQ16" s="168">
        <f t="shared" si="4"/>
        <v>2100000</v>
      </c>
      <c r="BR16" s="168">
        <f t="shared" si="4"/>
        <v>2100000</v>
      </c>
      <c r="BS16" s="168">
        <f t="shared" si="4"/>
        <v>2100000</v>
      </c>
      <c r="BT16" s="168">
        <f t="shared" si="4"/>
        <v>2100000</v>
      </c>
      <c r="BU16" s="168">
        <f t="shared" si="4"/>
        <v>2100000</v>
      </c>
      <c r="BV16" s="168">
        <f t="shared" si="4"/>
        <v>2100000</v>
      </c>
      <c r="BW16" s="168">
        <f t="shared" si="4"/>
        <v>2100000</v>
      </c>
      <c r="BX16" s="168">
        <f t="shared" si="4"/>
        <v>2100000</v>
      </c>
      <c r="BY16" s="168">
        <f t="shared" ref="BY16:DT16" si="5">BX19</f>
        <v>2100000</v>
      </c>
      <c r="BZ16" s="168">
        <f t="shared" si="5"/>
        <v>2100000</v>
      </c>
      <c r="CA16" s="168">
        <f t="shared" si="5"/>
        <v>2100000</v>
      </c>
      <c r="CB16" s="168">
        <f t="shared" si="5"/>
        <v>2100000</v>
      </c>
      <c r="CC16" s="168">
        <f t="shared" si="5"/>
        <v>2100000</v>
      </c>
      <c r="CD16" s="168">
        <f t="shared" si="5"/>
        <v>2100000</v>
      </c>
      <c r="CE16" s="168">
        <f t="shared" si="5"/>
        <v>2100000</v>
      </c>
      <c r="CF16" s="168">
        <f t="shared" si="5"/>
        <v>2100000</v>
      </c>
      <c r="CG16" s="168">
        <f t="shared" si="5"/>
        <v>2100000</v>
      </c>
      <c r="CH16" s="168">
        <f t="shared" si="5"/>
        <v>2100000</v>
      </c>
      <c r="CI16" s="168">
        <f t="shared" si="5"/>
        <v>2100000</v>
      </c>
      <c r="CJ16" s="168">
        <f t="shared" si="5"/>
        <v>2100000</v>
      </c>
      <c r="CK16" s="168">
        <f t="shared" si="5"/>
        <v>2100000</v>
      </c>
      <c r="CL16" s="168">
        <f t="shared" si="5"/>
        <v>2100000</v>
      </c>
      <c r="CM16" s="168">
        <f t="shared" si="5"/>
        <v>2100000</v>
      </c>
      <c r="CN16" s="168">
        <f t="shared" si="5"/>
        <v>2100000</v>
      </c>
      <c r="CO16" s="168">
        <f t="shared" si="5"/>
        <v>2100000</v>
      </c>
      <c r="CP16" s="168">
        <f t="shared" si="5"/>
        <v>2100000</v>
      </c>
      <c r="CQ16" s="168">
        <f t="shared" si="5"/>
        <v>2100000</v>
      </c>
      <c r="CR16" s="168">
        <f t="shared" si="5"/>
        <v>2100000</v>
      </c>
      <c r="CS16" s="168">
        <f t="shared" si="5"/>
        <v>2100000</v>
      </c>
      <c r="CT16" s="168">
        <f t="shared" si="5"/>
        <v>2100000</v>
      </c>
      <c r="CU16" s="168">
        <f t="shared" si="5"/>
        <v>2100000</v>
      </c>
      <c r="CV16" s="168">
        <f t="shared" si="5"/>
        <v>2100000</v>
      </c>
      <c r="CW16" s="168">
        <f t="shared" si="5"/>
        <v>2100000</v>
      </c>
      <c r="CX16" s="168">
        <f t="shared" si="5"/>
        <v>2100000</v>
      </c>
      <c r="CY16" s="168">
        <f t="shared" si="5"/>
        <v>2100000</v>
      </c>
      <c r="CZ16" s="168">
        <f t="shared" si="5"/>
        <v>2100000</v>
      </c>
      <c r="DA16" s="168">
        <f t="shared" si="5"/>
        <v>2100000</v>
      </c>
      <c r="DB16" s="168">
        <f t="shared" si="5"/>
        <v>2100000</v>
      </c>
      <c r="DC16" s="168">
        <f t="shared" si="5"/>
        <v>2100000</v>
      </c>
      <c r="DD16" s="168">
        <f t="shared" si="5"/>
        <v>2100000</v>
      </c>
      <c r="DE16" s="168">
        <f t="shared" si="5"/>
        <v>2100000</v>
      </c>
      <c r="DF16" s="168">
        <f t="shared" si="5"/>
        <v>2100000</v>
      </c>
      <c r="DG16" s="168">
        <f t="shared" si="5"/>
        <v>2100000</v>
      </c>
      <c r="DH16" s="168">
        <f t="shared" si="5"/>
        <v>2100000</v>
      </c>
      <c r="DI16" s="168">
        <f t="shared" si="5"/>
        <v>2100000</v>
      </c>
      <c r="DJ16" s="168">
        <f t="shared" si="5"/>
        <v>2100000</v>
      </c>
      <c r="DK16" s="168">
        <f t="shared" si="5"/>
        <v>2100000</v>
      </c>
      <c r="DL16" s="168">
        <f t="shared" si="5"/>
        <v>2100000</v>
      </c>
      <c r="DM16" s="168">
        <f t="shared" si="5"/>
        <v>2100000</v>
      </c>
      <c r="DN16" s="168">
        <f t="shared" si="5"/>
        <v>2100000</v>
      </c>
      <c r="DO16" s="168">
        <f t="shared" si="5"/>
        <v>2100000</v>
      </c>
      <c r="DP16" s="168">
        <f t="shared" si="5"/>
        <v>2100000</v>
      </c>
      <c r="DQ16" s="168">
        <f t="shared" si="5"/>
        <v>2100000</v>
      </c>
      <c r="DR16" s="168">
        <f t="shared" si="5"/>
        <v>2100000</v>
      </c>
      <c r="DS16" s="168">
        <f t="shared" si="5"/>
        <v>2100000</v>
      </c>
      <c r="DT16" s="168">
        <f t="shared" si="5"/>
        <v>2100000</v>
      </c>
      <c r="DU16" s="168">
        <f t="shared" ref="DU16:EQ16" si="6">DT19</f>
        <v>2100000</v>
      </c>
      <c r="DV16" s="168">
        <f t="shared" si="6"/>
        <v>2100000</v>
      </c>
      <c r="DW16" s="168">
        <f t="shared" si="6"/>
        <v>2100000</v>
      </c>
      <c r="DX16" s="168">
        <f t="shared" si="6"/>
        <v>2100000</v>
      </c>
      <c r="DY16" s="168">
        <f t="shared" si="6"/>
        <v>2100000</v>
      </c>
      <c r="DZ16" s="168">
        <f t="shared" si="6"/>
        <v>2100000</v>
      </c>
      <c r="EA16" s="168">
        <f t="shared" si="6"/>
        <v>2100000</v>
      </c>
      <c r="EB16" s="168">
        <f t="shared" si="6"/>
        <v>2100000</v>
      </c>
      <c r="EC16" s="168">
        <f t="shared" si="6"/>
        <v>0</v>
      </c>
      <c r="ED16" s="1320">
        <f t="shared" si="6"/>
        <v>0</v>
      </c>
      <c r="EE16" s="168">
        <f t="shared" si="6"/>
        <v>0</v>
      </c>
      <c r="EF16" s="168">
        <f t="shared" si="6"/>
        <v>0</v>
      </c>
      <c r="EG16" s="168">
        <f t="shared" si="6"/>
        <v>0</v>
      </c>
      <c r="EH16" s="168">
        <f t="shared" si="6"/>
        <v>0</v>
      </c>
      <c r="EI16" s="168">
        <f t="shared" si="6"/>
        <v>0</v>
      </c>
      <c r="EJ16" s="168">
        <f t="shared" si="6"/>
        <v>0</v>
      </c>
      <c r="EK16" s="168">
        <f t="shared" si="6"/>
        <v>0</v>
      </c>
      <c r="EL16" s="168">
        <f t="shared" si="6"/>
        <v>0</v>
      </c>
      <c r="EM16" s="168">
        <f t="shared" si="6"/>
        <v>0</v>
      </c>
      <c r="EN16" s="168">
        <f t="shared" si="6"/>
        <v>0</v>
      </c>
      <c r="EO16" s="168">
        <f t="shared" si="6"/>
        <v>0</v>
      </c>
      <c r="EP16" s="168">
        <f t="shared" si="6"/>
        <v>0</v>
      </c>
      <c r="EQ16" s="168">
        <f t="shared" si="6"/>
        <v>0</v>
      </c>
    </row>
    <row r="17" spans="3:147" ht="11.25" customHeight="1">
      <c r="C17" s="163"/>
      <c r="D17" s="169" t="s">
        <v>218</v>
      </c>
      <c r="G17" s="90">
        <f>'A&amp;R'!AE23-'A&amp;R'!AE33</f>
        <v>5105114818</v>
      </c>
      <c r="H17" s="146">
        <f>'A&amp;R'!M31</f>
        <v>46326</v>
      </c>
      <c r="I17" s="1346">
        <f>'A&amp;R'!T14</f>
        <v>2100000</v>
      </c>
      <c r="J17" s="170">
        <f>SUM(L17:EQ17)</f>
        <v>2100000</v>
      </c>
      <c r="K17" s="98"/>
      <c r="L17" s="171">
        <f>(L$14=$H17)*$I17</f>
        <v>2100000</v>
      </c>
      <c r="M17" s="171">
        <f t="shared" ref="M17:BX17" si="7">(M$14=$H17)*$I17</f>
        <v>0</v>
      </c>
      <c r="N17" s="171">
        <f t="shared" si="7"/>
        <v>0</v>
      </c>
      <c r="O17" s="171">
        <f t="shared" si="7"/>
        <v>0</v>
      </c>
      <c r="P17" s="171">
        <f t="shared" si="7"/>
        <v>0</v>
      </c>
      <c r="Q17" s="171">
        <f t="shared" si="7"/>
        <v>0</v>
      </c>
      <c r="R17" s="171">
        <f t="shared" si="7"/>
        <v>0</v>
      </c>
      <c r="S17" s="171">
        <f t="shared" si="7"/>
        <v>0</v>
      </c>
      <c r="T17" s="171">
        <f t="shared" si="7"/>
        <v>0</v>
      </c>
      <c r="U17" s="171">
        <f t="shared" si="7"/>
        <v>0</v>
      </c>
      <c r="V17" s="171">
        <f t="shared" si="7"/>
        <v>0</v>
      </c>
      <c r="W17" s="171">
        <f t="shared" si="7"/>
        <v>0</v>
      </c>
      <c r="X17" s="171">
        <f t="shared" si="7"/>
        <v>0</v>
      </c>
      <c r="Y17" s="171">
        <f t="shared" si="7"/>
        <v>0</v>
      </c>
      <c r="Z17" s="171">
        <f t="shared" si="7"/>
        <v>0</v>
      </c>
      <c r="AA17" s="171">
        <f t="shared" si="7"/>
        <v>0</v>
      </c>
      <c r="AB17" s="171">
        <f t="shared" si="7"/>
        <v>0</v>
      </c>
      <c r="AC17" s="171">
        <f t="shared" si="7"/>
        <v>0</v>
      </c>
      <c r="AD17" s="171">
        <f t="shared" si="7"/>
        <v>0</v>
      </c>
      <c r="AE17" s="171">
        <f t="shared" si="7"/>
        <v>0</v>
      </c>
      <c r="AF17" s="171">
        <f t="shared" si="7"/>
        <v>0</v>
      </c>
      <c r="AG17" s="171">
        <f t="shared" si="7"/>
        <v>0</v>
      </c>
      <c r="AH17" s="171">
        <f t="shared" si="7"/>
        <v>0</v>
      </c>
      <c r="AI17" s="171">
        <f t="shared" si="7"/>
        <v>0</v>
      </c>
      <c r="AJ17" s="171">
        <f t="shared" si="7"/>
        <v>0</v>
      </c>
      <c r="AK17" s="171">
        <f t="shared" si="7"/>
        <v>0</v>
      </c>
      <c r="AL17" s="171">
        <f t="shared" si="7"/>
        <v>0</v>
      </c>
      <c r="AM17" s="171">
        <f t="shared" si="7"/>
        <v>0</v>
      </c>
      <c r="AN17" s="171">
        <f t="shared" si="7"/>
        <v>0</v>
      </c>
      <c r="AO17" s="171">
        <f t="shared" si="7"/>
        <v>0</v>
      </c>
      <c r="AP17" s="171">
        <f t="shared" si="7"/>
        <v>0</v>
      </c>
      <c r="AQ17" s="171">
        <f t="shared" si="7"/>
        <v>0</v>
      </c>
      <c r="AR17" s="171">
        <f t="shared" si="7"/>
        <v>0</v>
      </c>
      <c r="AS17" s="171">
        <f t="shared" si="7"/>
        <v>0</v>
      </c>
      <c r="AT17" s="171">
        <f t="shared" si="7"/>
        <v>0</v>
      </c>
      <c r="AU17" s="171">
        <f t="shared" si="7"/>
        <v>0</v>
      </c>
      <c r="AV17" s="171">
        <f t="shared" si="7"/>
        <v>0</v>
      </c>
      <c r="AW17" s="171">
        <f t="shared" si="7"/>
        <v>0</v>
      </c>
      <c r="AX17" s="171">
        <f t="shared" si="7"/>
        <v>0</v>
      </c>
      <c r="AY17" s="171">
        <f t="shared" si="7"/>
        <v>0</v>
      </c>
      <c r="AZ17" s="171">
        <f t="shared" si="7"/>
        <v>0</v>
      </c>
      <c r="BA17" s="171">
        <f t="shared" si="7"/>
        <v>0</v>
      </c>
      <c r="BB17" s="171">
        <f t="shared" si="7"/>
        <v>0</v>
      </c>
      <c r="BC17" s="171">
        <f t="shared" si="7"/>
        <v>0</v>
      </c>
      <c r="BD17" s="171">
        <f t="shared" si="7"/>
        <v>0</v>
      </c>
      <c r="BE17" s="171">
        <f t="shared" si="7"/>
        <v>0</v>
      </c>
      <c r="BF17" s="171">
        <f t="shared" si="7"/>
        <v>0</v>
      </c>
      <c r="BG17" s="171">
        <f t="shared" si="7"/>
        <v>0</v>
      </c>
      <c r="BH17" s="171">
        <f t="shared" si="7"/>
        <v>0</v>
      </c>
      <c r="BI17" s="171">
        <f t="shared" si="7"/>
        <v>0</v>
      </c>
      <c r="BJ17" s="171">
        <f t="shared" si="7"/>
        <v>0</v>
      </c>
      <c r="BK17" s="171">
        <f t="shared" si="7"/>
        <v>0</v>
      </c>
      <c r="BL17" s="171">
        <f t="shared" si="7"/>
        <v>0</v>
      </c>
      <c r="BM17" s="171">
        <f t="shared" si="7"/>
        <v>0</v>
      </c>
      <c r="BN17" s="171">
        <f t="shared" si="7"/>
        <v>0</v>
      </c>
      <c r="BO17" s="171">
        <f t="shared" si="7"/>
        <v>0</v>
      </c>
      <c r="BP17" s="171">
        <f t="shared" si="7"/>
        <v>0</v>
      </c>
      <c r="BQ17" s="171">
        <f t="shared" si="7"/>
        <v>0</v>
      </c>
      <c r="BR17" s="171">
        <f t="shared" si="7"/>
        <v>0</v>
      </c>
      <c r="BS17" s="171">
        <f t="shared" si="7"/>
        <v>0</v>
      </c>
      <c r="BT17" s="171">
        <f t="shared" si="7"/>
        <v>0</v>
      </c>
      <c r="BU17" s="171">
        <f t="shared" si="7"/>
        <v>0</v>
      </c>
      <c r="BV17" s="171">
        <f t="shared" si="7"/>
        <v>0</v>
      </c>
      <c r="BW17" s="171">
        <f t="shared" si="7"/>
        <v>0</v>
      </c>
      <c r="BX17" s="171">
        <f t="shared" si="7"/>
        <v>0</v>
      </c>
      <c r="BY17" s="171">
        <f t="shared" ref="BY17:EQ17" si="8">(BY$14=$H17)*$I17</f>
        <v>0</v>
      </c>
      <c r="BZ17" s="171">
        <f t="shared" si="8"/>
        <v>0</v>
      </c>
      <c r="CA17" s="171">
        <f t="shared" si="8"/>
        <v>0</v>
      </c>
      <c r="CB17" s="171">
        <f t="shared" si="8"/>
        <v>0</v>
      </c>
      <c r="CC17" s="171">
        <f t="shared" si="8"/>
        <v>0</v>
      </c>
      <c r="CD17" s="171">
        <f t="shared" si="8"/>
        <v>0</v>
      </c>
      <c r="CE17" s="171">
        <f t="shared" si="8"/>
        <v>0</v>
      </c>
      <c r="CF17" s="171">
        <f t="shared" si="8"/>
        <v>0</v>
      </c>
      <c r="CG17" s="171">
        <f t="shared" si="8"/>
        <v>0</v>
      </c>
      <c r="CH17" s="171">
        <f t="shared" si="8"/>
        <v>0</v>
      </c>
      <c r="CI17" s="171">
        <f t="shared" si="8"/>
        <v>0</v>
      </c>
      <c r="CJ17" s="171">
        <f t="shared" si="8"/>
        <v>0</v>
      </c>
      <c r="CK17" s="171">
        <f t="shared" si="8"/>
        <v>0</v>
      </c>
      <c r="CL17" s="171">
        <f t="shared" si="8"/>
        <v>0</v>
      </c>
      <c r="CM17" s="171">
        <f t="shared" si="8"/>
        <v>0</v>
      </c>
      <c r="CN17" s="171">
        <f t="shared" si="8"/>
        <v>0</v>
      </c>
      <c r="CO17" s="171">
        <f t="shared" si="8"/>
        <v>0</v>
      </c>
      <c r="CP17" s="171">
        <f t="shared" si="8"/>
        <v>0</v>
      </c>
      <c r="CQ17" s="171">
        <f t="shared" si="8"/>
        <v>0</v>
      </c>
      <c r="CR17" s="171">
        <f t="shared" si="8"/>
        <v>0</v>
      </c>
      <c r="CS17" s="171">
        <f t="shared" si="8"/>
        <v>0</v>
      </c>
      <c r="CT17" s="171">
        <f t="shared" si="8"/>
        <v>0</v>
      </c>
      <c r="CU17" s="171">
        <f t="shared" si="8"/>
        <v>0</v>
      </c>
      <c r="CV17" s="171">
        <f t="shared" si="8"/>
        <v>0</v>
      </c>
      <c r="CW17" s="171">
        <f t="shared" si="8"/>
        <v>0</v>
      </c>
      <c r="CX17" s="171">
        <f t="shared" si="8"/>
        <v>0</v>
      </c>
      <c r="CY17" s="171">
        <f t="shared" si="8"/>
        <v>0</v>
      </c>
      <c r="CZ17" s="171">
        <f t="shared" si="8"/>
        <v>0</v>
      </c>
      <c r="DA17" s="171">
        <f t="shared" si="8"/>
        <v>0</v>
      </c>
      <c r="DB17" s="171">
        <f t="shared" si="8"/>
        <v>0</v>
      </c>
      <c r="DC17" s="171">
        <f t="shared" si="8"/>
        <v>0</v>
      </c>
      <c r="DD17" s="171">
        <f t="shared" si="8"/>
        <v>0</v>
      </c>
      <c r="DE17" s="171">
        <f t="shared" si="8"/>
        <v>0</v>
      </c>
      <c r="DF17" s="171">
        <f t="shared" si="8"/>
        <v>0</v>
      </c>
      <c r="DG17" s="171">
        <f t="shared" si="8"/>
        <v>0</v>
      </c>
      <c r="DH17" s="171">
        <f t="shared" si="8"/>
        <v>0</v>
      </c>
      <c r="DI17" s="171">
        <f t="shared" si="8"/>
        <v>0</v>
      </c>
      <c r="DJ17" s="171">
        <f t="shared" si="8"/>
        <v>0</v>
      </c>
      <c r="DK17" s="171">
        <f t="shared" si="8"/>
        <v>0</v>
      </c>
      <c r="DL17" s="171">
        <f t="shared" si="8"/>
        <v>0</v>
      </c>
      <c r="DM17" s="171">
        <f t="shared" si="8"/>
        <v>0</v>
      </c>
      <c r="DN17" s="171">
        <f t="shared" si="8"/>
        <v>0</v>
      </c>
      <c r="DO17" s="171">
        <f t="shared" si="8"/>
        <v>0</v>
      </c>
      <c r="DP17" s="171">
        <f t="shared" si="8"/>
        <v>0</v>
      </c>
      <c r="DQ17" s="171">
        <f t="shared" si="8"/>
        <v>0</v>
      </c>
      <c r="DR17" s="171">
        <f t="shared" si="8"/>
        <v>0</v>
      </c>
      <c r="DS17" s="171">
        <f t="shared" si="8"/>
        <v>0</v>
      </c>
      <c r="DT17" s="171">
        <f t="shared" si="8"/>
        <v>0</v>
      </c>
      <c r="DU17" s="171">
        <f t="shared" si="8"/>
        <v>0</v>
      </c>
      <c r="DV17" s="171">
        <f t="shared" si="8"/>
        <v>0</v>
      </c>
      <c r="DW17" s="171">
        <f t="shared" si="8"/>
        <v>0</v>
      </c>
      <c r="DX17" s="171">
        <f t="shared" si="8"/>
        <v>0</v>
      </c>
      <c r="DY17" s="171">
        <f t="shared" si="8"/>
        <v>0</v>
      </c>
      <c r="DZ17" s="171">
        <f t="shared" si="8"/>
        <v>0</v>
      </c>
      <c r="EA17" s="171">
        <f t="shared" si="8"/>
        <v>0</v>
      </c>
      <c r="EB17" s="171">
        <f t="shared" si="8"/>
        <v>0</v>
      </c>
      <c r="EC17" s="171">
        <f t="shared" si="8"/>
        <v>0</v>
      </c>
      <c r="ED17" s="1321">
        <f t="shared" si="8"/>
        <v>0</v>
      </c>
      <c r="EE17" s="171">
        <f t="shared" si="8"/>
        <v>0</v>
      </c>
      <c r="EF17" s="171">
        <f t="shared" si="8"/>
        <v>0</v>
      </c>
      <c r="EG17" s="171">
        <f t="shared" si="8"/>
        <v>0</v>
      </c>
      <c r="EH17" s="171">
        <f t="shared" si="8"/>
        <v>0</v>
      </c>
      <c r="EI17" s="171">
        <f t="shared" si="8"/>
        <v>0</v>
      </c>
      <c r="EJ17" s="171">
        <f t="shared" si="8"/>
        <v>0</v>
      </c>
      <c r="EK17" s="171">
        <f t="shared" si="8"/>
        <v>0</v>
      </c>
      <c r="EL17" s="171">
        <f t="shared" si="8"/>
        <v>0</v>
      </c>
      <c r="EM17" s="171">
        <f t="shared" si="8"/>
        <v>0</v>
      </c>
      <c r="EN17" s="171">
        <f t="shared" si="8"/>
        <v>0</v>
      </c>
      <c r="EO17" s="171">
        <f t="shared" si="8"/>
        <v>0</v>
      </c>
      <c r="EP17" s="171">
        <f t="shared" si="8"/>
        <v>0</v>
      </c>
      <c r="EQ17" s="171">
        <f t="shared" si="8"/>
        <v>0</v>
      </c>
    </row>
    <row r="18" spans="3:147" ht="11.25" customHeight="1">
      <c r="C18" s="163"/>
      <c r="D18" s="169" t="s">
        <v>219</v>
      </c>
      <c r="H18" s="146">
        <f>'A&amp;R'!N31</f>
        <v>49979</v>
      </c>
      <c r="J18" s="170">
        <f>SUM(L18:EQ18)</f>
        <v>2100000</v>
      </c>
      <c r="K18" s="98"/>
      <c r="L18" s="171">
        <f>SUM(L16:L17)*(L$14=$H18)</f>
        <v>0</v>
      </c>
      <c r="M18" s="171">
        <f t="shared" ref="M18:BX18" si="9">SUM(M16:M17)*(M$14=$H18)</f>
        <v>0</v>
      </c>
      <c r="N18" s="171">
        <f t="shared" si="9"/>
        <v>0</v>
      </c>
      <c r="O18" s="171">
        <f t="shared" si="9"/>
        <v>0</v>
      </c>
      <c r="P18" s="171">
        <f t="shared" si="9"/>
        <v>0</v>
      </c>
      <c r="Q18" s="171">
        <f t="shared" si="9"/>
        <v>0</v>
      </c>
      <c r="R18" s="171">
        <f t="shared" si="9"/>
        <v>0</v>
      </c>
      <c r="S18" s="171">
        <f t="shared" si="9"/>
        <v>0</v>
      </c>
      <c r="T18" s="171">
        <f t="shared" si="9"/>
        <v>0</v>
      </c>
      <c r="U18" s="171">
        <f t="shared" si="9"/>
        <v>0</v>
      </c>
      <c r="V18" s="171">
        <f t="shared" si="9"/>
        <v>0</v>
      </c>
      <c r="W18" s="171">
        <f t="shared" si="9"/>
        <v>0</v>
      </c>
      <c r="X18" s="171">
        <f t="shared" si="9"/>
        <v>0</v>
      </c>
      <c r="Y18" s="171">
        <f t="shared" si="9"/>
        <v>0</v>
      </c>
      <c r="Z18" s="171">
        <f t="shared" si="9"/>
        <v>0</v>
      </c>
      <c r="AA18" s="171">
        <f t="shared" si="9"/>
        <v>0</v>
      </c>
      <c r="AB18" s="171">
        <f t="shared" si="9"/>
        <v>0</v>
      </c>
      <c r="AC18" s="171">
        <f t="shared" si="9"/>
        <v>0</v>
      </c>
      <c r="AD18" s="171">
        <f t="shared" si="9"/>
        <v>0</v>
      </c>
      <c r="AE18" s="171">
        <f t="shared" si="9"/>
        <v>0</v>
      </c>
      <c r="AF18" s="171">
        <f t="shared" si="9"/>
        <v>0</v>
      </c>
      <c r="AG18" s="171">
        <f t="shared" si="9"/>
        <v>0</v>
      </c>
      <c r="AH18" s="171">
        <f t="shared" si="9"/>
        <v>0</v>
      </c>
      <c r="AI18" s="171">
        <f t="shared" si="9"/>
        <v>0</v>
      </c>
      <c r="AJ18" s="171">
        <f t="shared" si="9"/>
        <v>0</v>
      </c>
      <c r="AK18" s="171">
        <f t="shared" si="9"/>
        <v>0</v>
      </c>
      <c r="AL18" s="171">
        <f t="shared" si="9"/>
        <v>0</v>
      </c>
      <c r="AM18" s="171">
        <f t="shared" si="9"/>
        <v>0</v>
      </c>
      <c r="AN18" s="171">
        <f t="shared" si="9"/>
        <v>0</v>
      </c>
      <c r="AO18" s="171">
        <f t="shared" si="9"/>
        <v>0</v>
      </c>
      <c r="AP18" s="171">
        <f t="shared" si="9"/>
        <v>0</v>
      </c>
      <c r="AQ18" s="171">
        <f t="shared" si="9"/>
        <v>0</v>
      </c>
      <c r="AR18" s="171">
        <f t="shared" si="9"/>
        <v>0</v>
      </c>
      <c r="AS18" s="171">
        <f t="shared" si="9"/>
        <v>0</v>
      </c>
      <c r="AT18" s="171">
        <f t="shared" si="9"/>
        <v>0</v>
      </c>
      <c r="AU18" s="171">
        <f t="shared" si="9"/>
        <v>0</v>
      </c>
      <c r="AV18" s="171">
        <f t="shared" si="9"/>
        <v>0</v>
      </c>
      <c r="AW18" s="171">
        <f t="shared" si="9"/>
        <v>0</v>
      </c>
      <c r="AX18" s="171">
        <f t="shared" si="9"/>
        <v>0</v>
      </c>
      <c r="AY18" s="171">
        <f t="shared" si="9"/>
        <v>0</v>
      </c>
      <c r="AZ18" s="171">
        <f t="shared" si="9"/>
        <v>0</v>
      </c>
      <c r="BA18" s="171">
        <f t="shared" si="9"/>
        <v>0</v>
      </c>
      <c r="BB18" s="171">
        <f t="shared" si="9"/>
        <v>0</v>
      </c>
      <c r="BC18" s="171">
        <f t="shared" si="9"/>
        <v>0</v>
      </c>
      <c r="BD18" s="171">
        <f t="shared" si="9"/>
        <v>0</v>
      </c>
      <c r="BE18" s="171">
        <f t="shared" si="9"/>
        <v>0</v>
      </c>
      <c r="BF18" s="171">
        <f t="shared" si="9"/>
        <v>0</v>
      </c>
      <c r="BG18" s="171">
        <f t="shared" si="9"/>
        <v>0</v>
      </c>
      <c r="BH18" s="171">
        <f t="shared" si="9"/>
        <v>0</v>
      </c>
      <c r="BI18" s="171">
        <f t="shared" si="9"/>
        <v>0</v>
      </c>
      <c r="BJ18" s="171">
        <f t="shared" si="9"/>
        <v>0</v>
      </c>
      <c r="BK18" s="171">
        <f t="shared" si="9"/>
        <v>0</v>
      </c>
      <c r="BL18" s="171">
        <f t="shared" si="9"/>
        <v>0</v>
      </c>
      <c r="BM18" s="171">
        <f t="shared" si="9"/>
        <v>0</v>
      </c>
      <c r="BN18" s="171">
        <f t="shared" si="9"/>
        <v>0</v>
      </c>
      <c r="BO18" s="171">
        <f t="shared" si="9"/>
        <v>0</v>
      </c>
      <c r="BP18" s="171">
        <f t="shared" si="9"/>
        <v>0</v>
      </c>
      <c r="BQ18" s="171">
        <f t="shared" si="9"/>
        <v>0</v>
      </c>
      <c r="BR18" s="171">
        <f t="shared" si="9"/>
        <v>0</v>
      </c>
      <c r="BS18" s="171">
        <f t="shared" si="9"/>
        <v>0</v>
      </c>
      <c r="BT18" s="171">
        <f t="shared" si="9"/>
        <v>0</v>
      </c>
      <c r="BU18" s="171">
        <f t="shared" si="9"/>
        <v>0</v>
      </c>
      <c r="BV18" s="171">
        <f t="shared" si="9"/>
        <v>0</v>
      </c>
      <c r="BW18" s="171">
        <f t="shared" si="9"/>
        <v>0</v>
      </c>
      <c r="BX18" s="171">
        <f t="shared" si="9"/>
        <v>0</v>
      </c>
      <c r="BY18" s="171">
        <f t="shared" ref="BY18:DT18" si="10">SUM(BY16:BY17)*(BY$14=$H18)</f>
        <v>0</v>
      </c>
      <c r="BZ18" s="171">
        <f t="shared" si="10"/>
        <v>0</v>
      </c>
      <c r="CA18" s="171">
        <f t="shared" si="10"/>
        <v>0</v>
      </c>
      <c r="CB18" s="171">
        <f t="shared" si="10"/>
        <v>0</v>
      </c>
      <c r="CC18" s="171">
        <f t="shared" si="10"/>
        <v>0</v>
      </c>
      <c r="CD18" s="171">
        <f t="shared" si="10"/>
        <v>0</v>
      </c>
      <c r="CE18" s="171">
        <f t="shared" si="10"/>
        <v>0</v>
      </c>
      <c r="CF18" s="171">
        <f t="shared" si="10"/>
        <v>0</v>
      </c>
      <c r="CG18" s="171">
        <f t="shared" si="10"/>
        <v>0</v>
      </c>
      <c r="CH18" s="171">
        <f t="shared" si="10"/>
        <v>0</v>
      </c>
      <c r="CI18" s="171">
        <f t="shared" si="10"/>
        <v>0</v>
      </c>
      <c r="CJ18" s="171">
        <f t="shared" si="10"/>
        <v>0</v>
      </c>
      <c r="CK18" s="171">
        <f t="shared" si="10"/>
        <v>0</v>
      </c>
      <c r="CL18" s="171">
        <f t="shared" si="10"/>
        <v>0</v>
      </c>
      <c r="CM18" s="171">
        <f t="shared" si="10"/>
        <v>0</v>
      </c>
      <c r="CN18" s="171">
        <f t="shared" si="10"/>
        <v>0</v>
      </c>
      <c r="CO18" s="171">
        <f t="shared" si="10"/>
        <v>0</v>
      </c>
      <c r="CP18" s="171">
        <f t="shared" si="10"/>
        <v>0</v>
      </c>
      <c r="CQ18" s="171">
        <f t="shared" si="10"/>
        <v>0</v>
      </c>
      <c r="CR18" s="171">
        <f t="shared" si="10"/>
        <v>0</v>
      </c>
      <c r="CS18" s="171">
        <f t="shared" si="10"/>
        <v>0</v>
      </c>
      <c r="CT18" s="171">
        <f t="shared" si="10"/>
        <v>0</v>
      </c>
      <c r="CU18" s="171">
        <f t="shared" si="10"/>
        <v>0</v>
      </c>
      <c r="CV18" s="171">
        <f t="shared" si="10"/>
        <v>0</v>
      </c>
      <c r="CW18" s="171">
        <f t="shared" si="10"/>
        <v>0</v>
      </c>
      <c r="CX18" s="171">
        <f t="shared" si="10"/>
        <v>0</v>
      </c>
      <c r="CY18" s="171">
        <f t="shared" si="10"/>
        <v>0</v>
      </c>
      <c r="CZ18" s="171">
        <f t="shared" si="10"/>
        <v>0</v>
      </c>
      <c r="DA18" s="171">
        <f t="shared" si="10"/>
        <v>0</v>
      </c>
      <c r="DB18" s="171">
        <f t="shared" si="10"/>
        <v>0</v>
      </c>
      <c r="DC18" s="171">
        <f t="shared" si="10"/>
        <v>0</v>
      </c>
      <c r="DD18" s="171">
        <f t="shared" si="10"/>
        <v>0</v>
      </c>
      <c r="DE18" s="171">
        <f t="shared" si="10"/>
        <v>0</v>
      </c>
      <c r="DF18" s="171">
        <f t="shared" si="10"/>
        <v>0</v>
      </c>
      <c r="DG18" s="171">
        <f t="shared" si="10"/>
        <v>0</v>
      </c>
      <c r="DH18" s="171">
        <f t="shared" si="10"/>
        <v>0</v>
      </c>
      <c r="DI18" s="171">
        <f t="shared" si="10"/>
        <v>0</v>
      </c>
      <c r="DJ18" s="171">
        <f t="shared" si="10"/>
        <v>0</v>
      </c>
      <c r="DK18" s="171">
        <f t="shared" si="10"/>
        <v>0</v>
      </c>
      <c r="DL18" s="171">
        <f t="shared" si="10"/>
        <v>0</v>
      </c>
      <c r="DM18" s="171">
        <f t="shared" si="10"/>
        <v>0</v>
      </c>
      <c r="DN18" s="171">
        <f t="shared" si="10"/>
        <v>0</v>
      </c>
      <c r="DO18" s="171">
        <f t="shared" si="10"/>
        <v>0</v>
      </c>
      <c r="DP18" s="171">
        <f t="shared" si="10"/>
        <v>0</v>
      </c>
      <c r="DQ18" s="171">
        <f t="shared" si="10"/>
        <v>0</v>
      </c>
      <c r="DR18" s="171">
        <f t="shared" si="10"/>
        <v>0</v>
      </c>
      <c r="DS18" s="171">
        <f t="shared" si="10"/>
        <v>0</v>
      </c>
      <c r="DT18" s="171">
        <f t="shared" si="10"/>
        <v>0</v>
      </c>
      <c r="DU18" s="171">
        <f t="shared" ref="DU18:EA18" si="11">SUM(DU16:DU17)*(DU$14=$H18)</f>
        <v>0</v>
      </c>
      <c r="DV18" s="171">
        <f t="shared" si="11"/>
        <v>0</v>
      </c>
      <c r="DW18" s="171">
        <f t="shared" si="11"/>
        <v>0</v>
      </c>
      <c r="DX18" s="171">
        <f t="shared" si="11"/>
        <v>0</v>
      </c>
      <c r="DY18" s="171">
        <f t="shared" si="11"/>
        <v>0</v>
      </c>
      <c r="DZ18" s="171">
        <f t="shared" si="11"/>
        <v>0</v>
      </c>
      <c r="EA18" s="171">
        <f t="shared" si="11"/>
        <v>0</v>
      </c>
      <c r="EB18" s="171">
        <f t="shared" ref="EB18:EQ18" si="12">SUM(EB16:EB17)*(EB$14=$H18)</f>
        <v>2100000</v>
      </c>
      <c r="EC18" s="171">
        <f t="shared" si="12"/>
        <v>0</v>
      </c>
      <c r="ED18" s="1321">
        <f t="shared" si="12"/>
        <v>0</v>
      </c>
      <c r="EE18" s="171">
        <f t="shared" si="12"/>
        <v>0</v>
      </c>
      <c r="EF18" s="171">
        <f t="shared" si="12"/>
        <v>0</v>
      </c>
      <c r="EG18" s="171">
        <f t="shared" si="12"/>
        <v>0</v>
      </c>
      <c r="EH18" s="171">
        <f t="shared" si="12"/>
        <v>0</v>
      </c>
      <c r="EI18" s="171">
        <f t="shared" si="12"/>
        <v>0</v>
      </c>
      <c r="EJ18" s="171">
        <f t="shared" si="12"/>
        <v>0</v>
      </c>
      <c r="EK18" s="171">
        <f t="shared" si="12"/>
        <v>0</v>
      </c>
      <c r="EL18" s="171">
        <f t="shared" si="12"/>
        <v>0</v>
      </c>
      <c r="EM18" s="171">
        <f t="shared" si="12"/>
        <v>0</v>
      </c>
      <c r="EN18" s="171">
        <f t="shared" si="12"/>
        <v>0</v>
      </c>
      <c r="EO18" s="171">
        <f t="shared" si="12"/>
        <v>0</v>
      </c>
      <c r="EP18" s="171">
        <f t="shared" si="12"/>
        <v>0</v>
      </c>
      <c r="EQ18" s="171">
        <f t="shared" si="12"/>
        <v>0</v>
      </c>
    </row>
    <row r="19" spans="3:147" ht="11.25" customHeight="1">
      <c r="C19" s="163"/>
      <c r="D19" s="169" t="s">
        <v>220</v>
      </c>
      <c r="J19" s="170"/>
      <c r="K19" s="98"/>
      <c r="L19" s="171">
        <f>L16+L17-L18</f>
        <v>2100000</v>
      </c>
      <c r="M19" s="171">
        <f t="shared" ref="M19:BX19" si="13">M16+M17-M18</f>
        <v>2100000</v>
      </c>
      <c r="N19" s="171">
        <f t="shared" si="13"/>
        <v>2100000</v>
      </c>
      <c r="O19" s="171">
        <f t="shared" si="13"/>
        <v>2100000</v>
      </c>
      <c r="P19" s="171">
        <f t="shared" si="13"/>
        <v>2100000</v>
      </c>
      <c r="Q19" s="171">
        <f t="shared" si="13"/>
        <v>2100000</v>
      </c>
      <c r="R19" s="171">
        <f t="shared" si="13"/>
        <v>2100000</v>
      </c>
      <c r="S19" s="171">
        <f t="shared" si="13"/>
        <v>2100000</v>
      </c>
      <c r="T19" s="171">
        <f t="shared" si="13"/>
        <v>2100000</v>
      </c>
      <c r="U19" s="171">
        <f t="shared" si="13"/>
        <v>2100000</v>
      </c>
      <c r="V19" s="171">
        <f t="shared" si="13"/>
        <v>2100000</v>
      </c>
      <c r="W19" s="171">
        <f t="shared" si="13"/>
        <v>2100000</v>
      </c>
      <c r="X19" s="171">
        <f t="shared" si="13"/>
        <v>2100000</v>
      </c>
      <c r="Y19" s="171">
        <f t="shared" si="13"/>
        <v>2100000</v>
      </c>
      <c r="Z19" s="171">
        <f t="shared" si="13"/>
        <v>2100000</v>
      </c>
      <c r="AA19" s="171">
        <f t="shared" si="13"/>
        <v>2100000</v>
      </c>
      <c r="AB19" s="171">
        <f t="shared" si="13"/>
        <v>2100000</v>
      </c>
      <c r="AC19" s="171">
        <f t="shared" si="13"/>
        <v>2100000</v>
      </c>
      <c r="AD19" s="171">
        <f t="shared" si="13"/>
        <v>2100000</v>
      </c>
      <c r="AE19" s="171">
        <f t="shared" si="13"/>
        <v>2100000</v>
      </c>
      <c r="AF19" s="171">
        <f t="shared" si="13"/>
        <v>2100000</v>
      </c>
      <c r="AG19" s="171">
        <f t="shared" si="13"/>
        <v>2100000</v>
      </c>
      <c r="AH19" s="171">
        <f t="shared" si="13"/>
        <v>2100000</v>
      </c>
      <c r="AI19" s="171">
        <f t="shared" si="13"/>
        <v>2100000</v>
      </c>
      <c r="AJ19" s="171">
        <f t="shared" si="13"/>
        <v>2100000</v>
      </c>
      <c r="AK19" s="171">
        <f t="shared" si="13"/>
        <v>2100000</v>
      </c>
      <c r="AL19" s="171">
        <f t="shared" si="13"/>
        <v>2100000</v>
      </c>
      <c r="AM19" s="171">
        <f t="shared" si="13"/>
        <v>2100000</v>
      </c>
      <c r="AN19" s="171">
        <f t="shared" si="13"/>
        <v>2100000</v>
      </c>
      <c r="AO19" s="171">
        <f t="shared" si="13"/>
        <v>2100000</v>
      </c>
      <c r="AP19" s="171">
        <f t="shared" si="13"/>
        <v>2100000</v>
      </c>
      <c r="AQ19" s="171">
        <f t="shared" si="13"/>
        <v>2100000</v>
      </c>
      <c r="AR19" s="171">
        <f t="shared" si="13"/>
        <v>2100000</v>
      </c>
      <c r="AS19" s="171">
        <f t="shared" si="13"/>
        <v>2100000</v>
      </c>
      <c r="AT19" s="171">
        <f t="shared" si="13"/>
        <v>2100000</v>
      </c>
      <c r="AU19" s="171">
        <f t="shared" si="13"/>
        <v>2100000</v>
      </c>
      <c r="AV19" s="171">
        <f t="shared" si="13"/>
        <v>2100000</v>
      </c>
      <c r="AW19" s="171">
        <f t="shared" si="13"/>
        <v>2100000</v>
      </c>
      <c r="AX19" s="171">
        <f t="shared" si="13"/>
        <v>2100000</v>
      </c>
      <c r="AY19" s="171">
        <f t="shared" si="13"/>
        <v>2100000</v>
      </c>
      <c r="AZ19" s="171">
        <f t="shared" si="13"/>
        <v>2100000</v>
      </c>
      <c r="BA19" s="171">
        <f t="shared" si="13"/>
        <v>2100000</v>
      </c>
      <c r="BB19" s="171">
        <f t="shared" si="13"/>
        <v>2100000</v>
      </c>
      <c r="BC19" s="171">
        <f t="shared" si="13"/>
        <v>2100000</v>
      </c>
      <c r="BD19" s="171">
        <f t="shared" si="13"/>
        <v>2100000</v>
      </c>
      <c r="BE19" s="171">
        <f t="shared" si="13"/>
        <v>2100000</v>
      </c>
      <c r="BF19" s="171">
        <f t="shared" si="13"/>
        <v>2100000</v>
      </c>
      <c r="BG19" s="171">
        <f t="shared" si="13"/>
        <v>2100000</v>
      </c>
      <c r="BH19" s="171">
        <f t="shared" si="13"/>
        <v>2100000</v>
      </c>
      <c r="BI19" s="171">
        <f t="shared" si="13"/>
        <v>2100000</v>
      </c>
      <c r="BJ19" s="171">
        <f t="shared" si="13"/>
        <v>2100000</v>
      </c>
      <c r="BK19" s="171">
        <f t="shared" si="13"/>
        <v>2100000</v>
      </c>
      <c r="BL19" s="171">
        <f t="shared" si="13"/>
        <v>2100000</v>
      </c>
      <c r="BM19" s="171">
        <f t="shared" si="13"/>
        <v>2100000</v>
      </c>
      <c r="BN19" s="171">
        <f t="shared" si="13"/>
        <v>2100000</v>
      </c>
      <c r="BO19" s="171">
        <f t="shared" si="13"/>
        <v>2100000</v>
      </c>
      <c r="BP19" s="171">
        <f t="shared" si="13"/>
        <v>2100000</v>
      </c>
      <c r="BQ19" s="171">
        <f t="shared" si="13"/>
        <v>2100000</v>
      </c>
      <c r="BR19" s="171">
        <f t="shared" si="13"/>
        <v>2100000</v>
      </c>
      <c r="BS19" s="171">
        <f t="shared" si="13"/>
        <v>2100000</v>
      </c>
      <c r="BT19" s="171">
        <f t="shared" si="13"/>
        <v>2100000</v>
      </c>
      <c r="BU19" s="171">
        <f t="shared" si="13"/>
        <v>2100000</v>
      </c>
      <c r="BV19" s="171">
        <f t="shared" si="13"/>
        <v>2100000</v>
      </c>
      <c r="BW19" s="171">
        <f t="shared" si="13"/>
        <v>2100000</v>
      </c>
      <c r="BX19" s="171">
        <f t="shared" si="13"/>
        <v>2100000</v>
      </c>
      <c r="BY19" s="171">
        <f t="shared" ref="BY19:DT19" si="14">BY16+BY17-BY18</f>
        <v>2100000</v>
      </c>
      <c r="BZ19" s="171">
        <f t="shared" si="14"/>
        <v>2100000</v>
      </c>
      <c r="CA19" s="171">
        <f t="shared" si="14"/>
        <v>2100000</v>
      </c>
      <c r="CB19" s="171">
        <f t="shared" si="14"/>
        <v>2100000</v>
      </c>
      <c r="CC19" s="171">
        <f t="shared" si="14"/>
        <v>2100000</v>
      </c>
      <c r="CD19" s="171">
        <f t="shared" si="14"/>
        <v>2100000</v>
      </c>
      <c r="CE19" s="171">
        <f t="shared" si="14"/>
        <v>2100000</v>
      </c>
      <c r="CF19" s="171">
        <f t="shared" si="14"/>
        <v>2100000</v>
      </c>
      <c r="CG19" s="171">
        <f t="shared" si="14"/>
        <v>2100000</v>
      </c>
      <c r="CH19" s="171">
        <f t="shared" si="14"/>
        <v>2100000</v>
      </c>
      <c r="CI19" s="171">
        <f t="shared" si="14"/>
        <v>2100000</v>
      </c>
      <c r="CJ19" s="171">
        <f t="shared" si="14"/>
        <v>2100000</v>
      </c>
      <c r="CK19" s="171">
        <f t="shared" si="14"/>
        <v>2100000</v>
      </c>
      <c r="CL19" s="171">
        <f t="shared" si="14"/>
        <v>2100000</v>
      </c>
      <c r="CM19" s="171">
        <f t="shared" si="14"/>
        <v>2100000</v>
      </c>
      <c r="CN19" s="171">
        <f t="shared" si="14"/>
        <v>2100000</v>
      </c>
      <c r="CO19" s="171">
        <f t="shared" si="14"/>
        <v>2100000</v>
      </c>
      <c r="CP19" s="171">
        <f t="shared" si="14"/>
        <v>2100000</v>
      </c>
      <c r="CQ19" s="171">
        <f t="shared" si="14"/>
        <v>2100000</v>
      </c>
      <c r="CR19" s="171">
        <f t="shared" si="14"/>
        <v>2100000</v>
      </c>
      <c r="CS19" s="171">
        <f t="shared" si="14"/>
        <v>2100000</v>
      </c>
      <c r="CT19" s="171">
        <f t="shared" si="14"/>
        <v>2100000</v>
      </c>
      <c r="CU19" s="171">
        <f t="shared" si="14"/>
        <v>2100000</v>
      </c>
      <c r="CV19" s="171">
        <f t="shared" si="14"/>
        <v>2100000</v>
      </c>
      <c r="CW19" s="171">
        <f t="shared" si="14"/>
        <v>2100000</v>
      </c>
      <c r="CX19" s="171">
        <f t="shared" si="14"/>
        <v>2100000</v>
      </c>
      <c r="CY19" s="171">
        <f t="shared" si="14"/>
        <v>2100000</v>
      </c>
      <c r="CZ19" s="171">
        <f t="shared" si="14"/>
        <v>2100000</v>
      </c>
      <c r="DA19" s="171">
        <f t="shared" si="14"/>
        <v>2100000</v>
      </c>
      <c r="DB19" s="171">
        <f t="shared" si="14"/>
        <v>2100000</v>
      </c>
      <c r="DC19" s="171">
        <f t="shared" si="14"/>
        <v>2100000</v>
      </c>
      <c r="DD19" s="171">
        <f t="shared" si="14"/>
        <v>2100000</v>
      </c>
      <c r="DE19" s="171">
        <f t="shared" si="14"/>
        <v>2100000</v>
      </c>
      <c r="DF19" s="171">
        <f t="shared" si="14"/>
        <v>2100000</v>
      </c>
      <c r="DG19" s="171">
        <f t="shared" si="14"/>
        <v>2100000</v>
      </c>
      <c r="DH19" s="171">
        <f t="shared" si="14"/>
        <v>2100000</v>
      </c>
      <c r="DI19" s="171">
        <f t="shared" si="14"/>
        <v>2100000</v>
      </c>
      <c r="DJ19" s="171">
        <f t="shared" si="14"/>
        <v>2100000</v>
      </c>
      <c r="DK19" s="171">
        <f t="shared" si="14"/>
        <v>2100000</v>
      </c>
      <c r="DL19" s="171">
        <f t="shared" si="14"/>
        <v>2100000</v>
      </c>
      <c r="DM19" s="171">
        <f t="shared" si="14"/>
        <v>2100000</v>
      </c>
      <c r="DN19" s="171">
        <f t="shared" si="14"/>
        <v>2100000</v>
      </c>
      <c r="DO19" s="171">
        <f t="shared" si="14"/>
        <v>2100000</v>
      </c>
      <c r="DP19" s="171">
        <f t="shared" si="14"/>
        <v>2100000</v>
      </c>
      <c r="DQ19" s="171">
        <f t="shared" si="14"/>
        <v>2100000</v>
      </c>
      <c r="DR19" s="171">
        <f t="shared" si="14"/>
        <v>2100000</v>
      </c>
      <c r="DS19" s="171">
        <f t="shared" si="14"/>
        <v>2100000</v>
      </c>
      <c r="DT19" s="171">
        <f t="shared" si="14"/>
        <v>2100000</v>
      </c>
      <c r="DU19" s="171">
        <f t="shared" ref="DU19:EA19" si="15">DU16+DU17-DU18</f>
        <v>2100000</v>
      </c>
      <c r="DV19" s="171">
        <f t="shared" si="15"/>
        <v>2100000</v>
      </c>
      <c r="DW19" s="171">
        <f t="shared" si="15"/>
        <v>2100000</v>
      </c>
      <c r="DX19" s="171">
        <f t="shared" si="15"/>
        <v>2100000</v>
      </c>
      <c r="DY19" s="171">
        <f t="shared" si="15"/>
        <v>2100000</v>
      </c>
      <c r="DZ19" s="171">
        <f t="shared" si="15"/>
        <v>2100000</v>
      </c>
      <c r="EA19" s="171">
        <f t="shared" si="15"/>
        <v>2100000</v>
      </c>
      <c r="EB19" s="171">
        <f t="shared" ref="EB19:EQ19" si="16">EB16+EB17-EB18</f>
        <v>0</v>
      </c>
      <c r="EC19" s="171">
        <f t="shared" si="16"/>
        <v>0</v>
      </c>
      <c r="ED19" s="1321">
        <f t="shared" si="16"/>
        <v>0</v>
      </c>
      <c r="EE19" s="171">
        <f t="shared" si="16"/>
        <v>0</v>
      </c>
      <c r="EF19" s="171">
        <f t="shared" si="16"/>
        <v>0</v>
      </c>
      <c r="EG19" s="171">
        <f t="shared" si="16"/>
        <v>0</v>
      </c>
      <c r="EH19" s="171">
        <f t="shared" si="16"/>
        <v>0</v>
      </c>
      <c r="EI19" s="171">
        <f t="shared" si="16"/>
        <v>0</v>
      </c>
      <c r="EJ19" s="171">
        <f t="shared" si="16"/>
        <v>0</v>
      </c>
      <c r="EK19" s="171">
        <f t="shared" si="16"/>
        <v>0</v>
      </c>
      <c r="EL19" s="171">
        <f t="shared" si="16"/>
        <v>0</v>
      </c>
      <c r="EM19" s="171">
        <f t="shared" si="16"/>
        <v>0</v>
      </c>
      <c r="EN19" s="171">
        <f t="shared" si="16"/>
        <v>0</v>
      </c>
      <c r="EO19" s="171">
        <f t="shared" si="16"/>
        <v>0</v>
      </c>
      <c r="EP19" s="171">
        <f t="shared" si="16"/>
        <v>0</v>
      </c>
      <c r="EQ19" s="171">
        <f t="shared" si="16"/>
        <v>0</v>
      </c>
    </row>
    <row r="20" spans="3:147" ht="11.25" customHeight="1">
      <c r="C20" s="158" t="str">
        <f>'A&amp;R'!L32</f>
        <v>담보대출</v>
      </c>
      <c r="D20" s="159"/>
      <c r="E20" s="159"/>
      <c r="F20" s="159"/>
      <c r="G20" s="159"/>
      <c r="H20" s="160"/>
      <c r="I20" s="219"/>
      <c r="J20" s="161"/>
      <c r="K20" s="98"/>
      <c r="L20" s="162"/>
      <c r="M20" s="162"/>
      <c r="N20" s="162"/>
      <c r="O20" s="162"/>
      <c r="P20" s="162"/>
      <c r="Q20" s="162"/>
      <c r="R20" s="162"/>
      <c r="S20" s="162"/>
      <c r="T20" s="162"/>
      <c r="U20" s="162"/>
      <c r="V20" s="162"/>
      <c r="W20" s="162"/>
      <c r="X20" s="162"/>
      <c r="Y20" s="162"/>
      <c r="Z20" s="162"/>
      <c r="AA20" s="162"/>
      <c r="AB20" s="162"/>
      <c r="AC20" s="162"/>
      <c r="AD20" s="162"/>
      <c r="AE20" s="162"/>
      <c r="AF20" s="162"/>
      <c r="AG20" s="162"/>
      <c r="AH20" s="162"/>
      <c r="AI20" s="162"/>
      <c r="AJ20" s="162"/>
      <c r="AK20" s="162"/>
      <c r="AL20" s="162"/>
      <c r="AM20" s="162"/>
      <c r="AN20" s="162"/>
      <c r="AO20" s="162"/>
      <c r="AP20" s="162"/>
      <c r="AQ20" s="162"/>
      <c r="AR20" s="162"/>
      <c r="AS20" s="162"/>
      <c r="AT20" s="162"/>
      <c r="AU20" s="162"/>
      <c r="AV20" s="162"/>
      <c r="AW20" s="162"/>
      <c r="AX20" s="162"/>
      <c r="AY20" s="162"/>
      <c r="AZ20" s="162"/>
      <c r="BA20" s="162"/>
      <c r="BB20" s="162"/>
      <c r="BC20" s="162"/>
      <c r="BD20" s="162"/>
      <c r="BE20" s="162"/>
      <c r="BF20" s="162"/>
      <c r="BG20" s="162"/>
      <c r="BH20" s="162"/>
      <c r="BI20" s="162"/>
      <c r="BJ20" s="162"/>
      <c r="BK20" s="162"/>
      <c r="BL20" s="162"/>
      <c r="BM20" s="162"/>
      <c r="BN20" s="162"/>
      <c r="BO20" s="162"/>
      <c r="BP20" s="162"/>
      <c r="BQ20" s="162"/>
      <c r="BR20" s="162"/>
      <c r="BS20" s="162"/>
      <c r="BT20" s="162"/>
      <c r="BU20" s="162"/>
      <c r="BV20" s="162"/>
      <c r="BW20" s="162"/>
      <c r="BX20" s="162"/>
      <c r="BY20" s="162"/>
      <c r="BZ20" s="162"/>
      <c r="CA20" s="162"/>
      <c r="CB20" s="162"/>
      <c r="CC20" s="162"/>
      <c r="CD20" s="162"/>
      <c r="CE20" s="162"/>
      <c r="CF20" s="162"/>
      <c r="CG20" s="162"/>
      <c r="CH20" s="162"/>
      <c r="CI20" s="162"/>
      <c r="CJ20" s="162"/>
      <c r="CK20" s="162"/>
      <c r="CL20" s="162"/>
      <c r="CM20" s="162"/>
      <c r="CN20" s="162"/>
      <c r="CO20" s="162"/>
      <c r="CP20" s="162"/>
      <c r="CQ20" s="162"/>
      <c r="CR20" s="162"/>
      <c r="CS20" s="162"/>
      <c r="CT20" s="162"/>
      <c r="CU20" s="162"/>
      <c r="CV20" s="162"/>
      <c r="CW20" s="162"/>
      <c r="CX20" s="162"/>
      <c r="CY20" s="162"/>
      <c r="CZ20" s="162"/>
      <c r="DA20" s="162"/>
      <c r="DB20" s="162"/>
      <c r="DC20" s="162"/>
      <c r="DD20" s="162"/>
      <c r="DE20" s="162"/>
      <c r="DF20" s="162"/>
      <c r="DG20" s="162"/>
      <c r="DH20" s="162"/>
      <c r="DI20" s="162"/>
      <c r="DJ20" s="162"/>
      <c r="DK20" s="162"/>
      <c r="DL20" s="162"/>
      <c r="DM20" s="162"/>
      <c r="DN20" s="162"/>
      <c r="DO20" s="162"/>
      <c r="DP20" s="162"/>
      <c r="DQ20" s="162"/>
      <c r="DR20" s="162"/>
      <c r="DS20" s="162"/>
      <c r="DT20" s="162"/>
      <c r="DU20" s="162"/>
      <c r="DV20" s="162"/>
      <c r="DW20" s="162"/>
      <c r="DX20" s="162"/>
      <c r="DY20" s="162"/>
      <c r="DZ20" s="162"/>
      <c r="EA20" s="162"/>
      <c r="EB20" s="162"/>
      <c r="EC20" s="162"/>
      <c r="ED20" s="1319"/>
      <c r="EE20" s="162"/>
      <c r="EF20" s="162"/>
      <c r="EG20" s="162"/>
      <c r="EH20" s="162"/>
      <c r="EI20" s="162"/>
      <c r="EJ20" s="162"/>
      <c r="EK20" s="162"/>
      <c r="EL20" s="162"/>
      <c r="EM20" s="162"/>
      <c r="EN20" s="162"/>
      <c r="EO20" s="162"/>
      <c r="EP20" s="162"/>
      <c r="EQ20" s="162"/>
    </row>
    <row r="21" spans="3:147" ht="11.25" customHeight="1">
      <c r="C21" s="163"/>
      <c r="D21" s="164" t="s">
        <v>217</v>
      </c>
      <c r="E21" s="165"/>
      <c r="F21" s="165"/>
      <c r="G21" s="165"/>
      <c r="H21" s="166"/>
      <c r="I21" s="221"/>
      <c r="J21" s="167"/>
      <c r="K21" s="98"/>
      <c r="L21" s="168">
        <f>K24</f>
        <v>0</v>
      </c>
      <c r="M21" s="168">
        <f t="shared" ref="M21:BX21" si="17">L24</f>
        <v>160000000</v>
      </c>
      <c r="N21" s="168">
        <f t="shared" si="17"/>
        <v>160000000</v>
      </c>
      <c r="O21" s="168">
        <f t="shared" si="17"/>
        <v>160000000</v>
      </c>
      <c r="P21" s="168">
        <f t="shared" si="17"/>
        <v>160000000</v>
      </c>
      <c r="Q21" s="168">
        <f t="shared" si="17"/>
        <v>160000000</v>
      </c>
      <c r="R21" s="168">
        <f t="shared" si="17"/>
        <v>160000000</v>
      </c>
      <c r="S21" s="168">
        <f t="shared" si="17"/>
        <v>160000000</v>
      </c>
      <c r="T21" s="168">
        <f t="shared" si="17"/>
        <v>160000000</v>
      </c>
      <c r="U21" s="168">
        <f t="shared" si="17"/>
        <v>160000000</v>
      </c>
      <c r="V21" s="168">
        <f t="shared" si="17"/>
        <v>160000000</v>
      </c>
      <c r="W21" s="168">
        <f t="shared" si="17"/>
        <v>160000000</v>
      </c>
      <c r="X21" s="168">
        <f t="shared" si="17"/>
        <v>160000000</v>
      </c>
      <c r="Y21" s="168">
        <f t="shared" si="17"/>
        <v>160000000</v>
      </c>
      <c r="Z21" s="168">
        <f t="shared" si="17"/>
        <v>160000000</v>
      </c>
      <c r="AA21" s="168">
        <f t="shared" si="17"/>
        <v>160000000</v>
      </c>
      <c r="AB21" s="168">
        <f t="shared" si="17"/>
        <v>160000000</v>
      </c>
      <c r="AC21" s="168">
        <f t="shared" si="17"/>
        <v>160000000</v>
      </c>
      <c r="AD21" s="168">
        <f t="shared" si="17"/>
        <v>160000000</v>
      </c>
      <c r="AE21" s="168">
        <f t="shared" si="17"/>
        <v>160000000</v>
      </c>
      <c r="AF21" s="168">
        <f t="shared" si="17"/>
        <v>160000000</v>
      </c>
      <c r="AG21" s="168">
        <f t="shared" si="17"/>
        <v>160000000</v>
      </c>
      <c r="AH21" s="168">
        <f t="shared" si="17"/>
        <v>160000000</v>
      </c>
      <c r="AI21" s="168">
        <f t="shared" si="17"/>
        <v>160000000</v>
      </c>
      <c r="AJ21" s="168">
        <f t="shared" si="17"/>
        <v>160000000</v>
      </c>
      <c r="AK21" s="168">
        <f t="shared" si="17"/>
        <v>0</v>
      </c>
      <c r="AL21" s="168">
        <f t="shared" si="17"/>
        <v>0</v>
      </c>
      <c r="AM21" s="168">
        <f t="shared" si="17"/>
        <v>0</v>
      </c>
      <c r="AN21" s="168">
        <f t="shared" si="17"/>
        <v>0</v>
      </c>
      <c r="AO21" s="168">
        <f t="shared" si="17"/>
        <v>0</v>
      </c>
      <c r="AP21" s="168">
        <f t="shared" si="17"/>
        <v>0</v>
      </c>
      <c r="AQ21" s="168">
        <f t="shared" si="17"/>
        <v>0</v>
      </c>
      <c r="AR21" s="168">
        <f t="shared" si="17"/>
        <v>0</v>
      </c>
      <c r="AS21" s="168">
        <f t="shared" si="17"/>
        <v>0</v>
      </c>
      <c r="AT21" s="168">
        <f t="shared" si="17"/>
        <v>0</v>
      </c>
      <c r="AU21" s="168">
        <f t="shared" si="17"/>
        <v>0</v>
      </c>
      <c r="AV21" s="168">
        <f t="shared" si="17"/>
        <v>0</v>
      </c>
      <c r="AW21" s="168">
        <f t="shared" si="17"/>
        <v>0</v>
      </c>
      <c r="AX21" s="168">
        <f t="shared" si="17"/>
        <v>0</v>
      </c>
      <c r="AY21" s="168">
        <f t="shared" si="17"/>
        <v>0</v>
      </c>
      <c r="AZ21" s="168">
        <f t="shared" si="17"/>
        <v>0</v>
      </c>
      <c r="BA21" s="168">
        <f t="shared" si="17"/>
        <v>0</v>
      </c>
      <c r="BB21" s="168">
        <f t="shared" si="17"/>
        <v>0</v>
      </c>
      <c r="BC21" s="168">
        <f t="shared" si="17"/>
        <v>0</v>
      </c>
      <c r="BD21" s="168">
        <f t="shared" si="17"/>
        <v>0</v>
      </c>
      <c r="BE21" s="168">
        <f t="shared" si="17"/>
        <v>0</v>
      </c>
      <c r="BF21" s="168">
        <f t="shared" si="17"/>
        <v>0</v>
      </c>
      <c r="BG21" s="168">
        <f t="shared" si="17"/>
        <v>0</v>
      </c>
      <c r="BH21" s="168">
        <f t="shared" si="17"/>
        <v>0</v>
      </c>
      <c r="BI21" s="168">
        <f t="shared" si="17"/>
        <v>0</v>
      </c>
      <c r="BJ21" s="168">
        <f t="shared" si="17"/>
        <v>0</v>
      </c>
      <c r="BK21" s="168">
        <f t="shared" si="17"/>
        <v>0</v>
      </c>
      <c r="BL21" s="168">
        <f t="shared" si="17"/>
        <v>0</v>
      </c>
      <c r="BM21" s="168">
        <f t="shared" si="17"/>
        <v>0</v>
      </c>
      <c r="BN21" s="168">
        <f t="shared" si="17"/>
        <v>0</v>
      </c>
      <c r="BO21" s="168">
        <f t="shared" si="17"/>
        <v>0</v>
      </c>
      <c r="BP21" s="168">
        <f t="shared" si="17"/>
        <v>0</v>
      </c>
      <c r="BQ21" s="168">
        <f t="shared" si="17"/>
        <v>0</v>
      </c>
      <c r="BR21" s="168">
        <f t="shared" si="17"/>
        <v>0</v>
      </c>
      <c r="BS21" s="168">
        <f t="shared" si="17"/>
        <v>0</v>
      </c>
      <c r="BT21" s="168">
        <f t="shared" si="17"/>
        <v>0</v>
      </c>
      <c r="BU21" s="168">
        <f t="shared" si="17"/>
        <v>0</v>
      </c>
      <c r="BV21" s="168">
        <f t="shared" si="17"/>
        <v>0</v>
      </c>
      <c r="BW21" s="168">
        <f t="shared" si="17"/>
        <v>0</v>
      </c>
      <c r="BX21" s="168">
        <f t="shared" si="17"/>
        <v>0</v>
      </c>
      <c r="BY21" s="168">
        <f t="shared" ref="BY21:DT21" si="18">BX24</f>
        <v>0</v>
      </c>
      <c r="BZ21" s="168">
        <f t="shared" si="18"/>
        <v>0</v>
      </c>
      <c r="CA21" s="168">
        <f t="shared" si="18"/>
        <v>0</v>
      </c>
      <c r="CB21" s="168">
        <f t="shared" si="18"/>
        <v>0</v>
      </c>
      <c r="CC21" s="168">
        <f t="shared" si="18"/>
        <v>0</v>
      </c>
      <c r="CD21" s="168">
        <f t="shared" si="18"/>
        <v>0</v>
      </c>
      <c r="CE21" s="168">
        <f t="shared" si="18"/>
        <v>0</v>
      </c>
      <c r="CF21" s="168">
        <f t="shared" si="18"/>
        <v>0</v>
      </c>
      <c r="CG21" s="168">
        <f t="shared" si="18"/>
        <v>0</v>
      </c>
      <c r="CH21" s="168">
        <f t="shared" si="18"/>
        <v>0</v>
      </c>
      <c r="CI21" s="168">
        <f t="shared" si="18"/>
        <v>0</v>
      </c>
      <c r="CJ21" s="168">
        <f t="shared" si="18"/>
        <v>0</v>
      </c>
      <c r="CK21" s="168">
        <f t="shared" si="18"/>
        <v>0</v>
      </c>
      <c r="CL21" s="168">
        <f t="shared" si="18"/>
        <v>0</v>
      </c>
      <c r="CM21" s="168">
        <f t="shared" si="18"/>
        <v>0</v>
      </c>
      <c r="CN21" s="168">
        <f t="shared" si="18"/>
        <v>0</v>
      </c>
      <c r="CO21" s="168">
        <f t="shared" si="18"/>
        <v>0</v>
      </c>
      <c r="CP21" s="168">
        <f t="shared" si="18"/>
        <v>0</v>
      </c>
      <c r="CQ21" s="168">
        <f t="shared" si="18"/>
        <v>0</v>
      </c>
      <c r="CR21" s="168">
        <f t="shared" si="18"/>
        <v>0</v>
      </c>
      <c r="CS21" s="168">
        <f t="shared" si="18"/>
        <v>0</v>
      </c>
      <c r="CT21" s="168">
        <f t="shared" si="18"/>
        <v>0</v>
      </c>
      <c r="CU21" s="168">
        <f t="shared" si="18"/>
        <v>0</v>
      </c>
      <c r="CV21" s="168">
        <f t="shared" si="18"/>
        <v>0</v>
      </c>
      <c r="CW21" s="168">
        <f t="shared" si="18"/>
        <v>0</v>
      </c>
      <c r="CX21" s="168">
        <f t="shared" si="18"/>
        <v>0</v>
      </c>
      <c r="CY21" s="168">
        <f t="shared" si="18"/>
        <v>0</v>
      </c>
      <c r="CZ21" s="168">
        <f t="shared" si="18"/>
        <v>0</v>
      </c>
      <c r="DA21" s="168">
        <f t="shared" si="18"/>
        <v>0</v>
      </c>
      <c r="DB21" s="168">
        <f t="shared" si="18"/>
        <v>0</v>
      </c>
      <c r="DC21" s="168">
        <f t="shared" si="18"/>
        <v>0</v>
      </c>
      <c r="DD21" s="168">
        <f t="shared" si="18"/>
        <v>0</v>
      </c>
      <c r="DE21" s="168">
        <f t="shared" si="18"/>
        <v>0</v>
      </c>
      <c r="DF21" s="168">
        <f t="shared" si="18"/>
        <v>0</v>
      </c>
      <c r="DG21" s="168">
        <f t="shared" si="18"/>
        <v>0</v>
      </c>
      <c r="DH21" s="168">
        <f t="shared" si="18"/>
        <v>0</v>
      </c>
      <c r="DI21" s="168">
        <f t="shared" si="18"/>
        <v>0</v>
      </c>
      <c r="DJ21" s="168">
        <f t="shared" si="18"/>
        <v>0</v>
      </c>
      <c r="DK21" s="168">
        <f t="shared" si="18"/>
        <v>0</v>
      </c>
      <c r="DL21" s="168">
        <f t="shared" si="18"/>
        <v>0</v>
      </c>
      <c r="DM21" s="168">
        <f t="shared" si="18"/>
        <v>0</v>
      </c>
      <c r="DN21" s="168">
        <f t="shared" si="18"/>
        <v>0</v>
      </c>
      <c r="DO21" s="168">
        <f t="shared" si="18"/>
        <v>0</v>
      </c>
      <c r="DP21" s="168">
        <f t="shared" si="18"/>
        <v>0</v>
      </c>
      <c r="DQ21" s="168">
        <f t="shared" si="18"/>
        <v>0</v>
      </c>
      <c r="DR21" s="168">
        <f t="shared" si="18"/>
        <v>0</v>
      </c>
      <c r="DS21" s="168">
        <f t="shared" si="18"/>
        <v>0</v>
      </c>
      <c r="DT21" s="168">
        <f t="shared" si="18"/>
        <v>0</v>
      </c>
      <c r="DU21" s="168">
        <f t="shared" ref="DU21:EQ21" si="19">DT24</f>
        <v>0</v>
      </c>
      <c r="DV21" s="168">
        <f t="shared" si="19"/>
        <v>0</v>
      </c>
      <c r="DW21" s="168">
        <f t="shared" si="19"/>
        <v>0</v>
      </c>
      <c r="DX21" s="168">
        <f t="shared" si="19"/>
        <v>0</v>
      </c>
      <c r="DY21" s="168">
        <f t="shared" si="19"/>
        <v>0</v>
      </c>
      <c r="DZ21" s="168">
        <f t="shared" si="19"/>
        <v>0</v>
      </c>
      <c r="EA21" s="168">
        <f t="shared" si="19"/>
        <v>0</v>
      </c>
      <c r="EB21" s="168">
        <f t="shared" si="19"/>
        <v>0</v>
      </c>
      <c r="EC21" s="168">
        <f t="shared" si="19"/>
        <v>0</v>
      </c>
      <c r="ED21" s="1320">
        <f t="shared" si="19"/>
        <v>0</v>
      </c>
      <c r="EE21" s="168">
        <f t="shared" si="19"/>
        <v>0</v>
      </c>
      <c r="EF21" s="168">
        <f t="shared" si="19"/>
        <v>0</v>
      </c>
      <c r="EG21" s="168">
        <f t="shared" si="19"/>
        <v>0</v>
      </c>
      <c r="EH21" s="168">
        <f t="shared" si="19"/>
        <v>0</v>
      </c>
      <c r="EI21" s="168">
        <f t="shared" si="19"/>
        <v>0</v>
      </c>
      <c r="EJ21" s="168">
        <f t="shared" si="19"/>
        <v>0</v>
      </c>
      <c r="EK21" s="168">
        <f t="shared" si="19"/>
        <v>0</v>
      </c>
      <c r="EL21" s="168">
        <f t="shared" si="19"/>
        <v>0</v>
      </c>
      <c r="EM21" s="168">
        <f t="shared" si="19"/>
        <v>0</v>
      </c>
      <c r="EN21" s="168">
        <f t="shared" si="19"/>
        <v>0</v>
      </c>
      <c r="EO21" s="168">
        <f t="shared" si="19"/>
        <v>0</v>
      </c>
      <c r="EP21" s="168">
        <f t="shared" si="19"/>
        <v>0</v>
      </c>
      <c r="EQ21" s="168">
        <f t="shared" si="19"/>
        <v>0</v>
      </c>
    </row>
    <row r="22" spans="3:147" ht="11.25" customHeight="1">
      <c r="C22" s="163"/>
      <c r="D22" s="169" t="s">
        <v>218</v>
      </c>
      <c r="H22" s="146">
        <f>'A&amp;R'!M32</f>
        <v>46326</v>
      </c>
      <c r="I22" s="13">
        <f>'A&amp;R'!P32</f>
        <v>160000000</v>
      </c>
      <c r="J22" s="170">
        <f>SUM(L22:EQ22)</f>
        <v>160000000</v>
      </c>
      <c r="K22" s="98"/>
      <c r="L22" s="171">
        <f>(L$14=$H22)*$I22</f>
        <v>160000000</v>
      </c>
      <c r="M22" s="171">
        <f t="shared" ref="M22:BX22" si="20">(M$14=$H22)*$I22</f>
        <v>0</v>
      </c>
      <c r="N22" s="171">
        <f t="shared" si="20"/>
        <v>0</v>
      </c>
      <c r="O22" s="171">
        <f t="shared" si="20"/>
        <v>0</v>
      </c>
      <c r="P22" s="171">
        <f t="shared" si="20"/>
        <v>0</v>
      </c>
      <c r="Q22" s="171">
        <f t="shared" si="20"/>
        <v>0</v>
      </c>
      <c r="R22" s="171">
        <f t="shared" si="20"/>
        <v>0</v>
      </c>
      <c r="S22" s="171">
        <f t="shared" si="20"/>
        <v>0</v>
      </c>
      <c r="T22" s="171">
        <f t="shared" si="20"/>
        <v>0</v>
      </c>
      <c r="U22" s="171">
        <f t="shared" si="20"/>
        <v>0</v>
      </c>
      <c r="V22" s="171">
        <f t="shared" si="20"/>
        <v>0</v>
      </c>
      <c r="W22" s="171">
        <f t="shared" si="20"/>
        <v>0</v>
      </c>
      <c r="X22" s="171">
        <f t="shared" si="20"/>
        <v>0</v>
      </c>
      <c r="Y22" s="171">
        <f t="shared" si="20"/>
        <v>0</v>
      </c>
      <c r="Z22" s="171">
        <f t="shared" si="20"/>
        <v>0</v>
      </c>
      <c r="AA22" s="171">
        <f t="shared" si="20"/>
        <v>0</v>
      </c>
      <c r="AB22" s="171">
        <f t="shared" si="20"/>
        <v>0</v>
      </c>
      <c r="AC22" s="171">
        <f t="shared" si="20"/>
        <v>0</v>
      </c>
      <c r="AD22" s="171">
        <f t="shared" si="20"/>
        <v>0</v>
      </c>
      <c r="AE22" s="171">
        <f t="shared" si="20"/>
        <v>0</v>
      </c>
      <c r="AF22" s="171">
        <f t="shared" si="20"/>
        <v>0</v>
      </c>
      <c r="AG22" s="171">
        <f t="shared" si="20"/>
        <v>0</v>
      </c>
      <c r="AH22" s="171">
        <f t="shared" si="20"/>
        <v>0</v>
      </c>
      <c r="AI22" s="171">
        <f t="shared" si="20"/>
        <v>0</v>
      </c>
      <c r="AJ22" s="171">
        <f t="shared" si="20"/>
        <v>0</v>
      </c>
      <c r="AK22" s="171">
        <f t="shared" si="20"/>
        <v>0</v>
      </c>
      <c r="AL22" s="171">
        <f t="shared" si="20"/>
        <v>0</v>
      </c>
      <c r="AM22" s="171">
        <f t="shared" si="20"/>
        <v>0</v>
      </c>
      <c r="AN22" s="171">
        <f t="shared" si="20"/>
        <v>0</v>
      </c>
      <c r="AO22" s="171">
        <f t="shared" si="20"/>
        <v>0</v>
      </c>
      <c r="AP22" s="171">
        <f t="shared" si="20"/>
        <v>0</v>
      </c>
      <c r="AQ22" s="171">
        <f t="shared" si="20"/>
        <v>0</v>
      </c>
      <c r="AR22" s="171">
        <f t="shared" si="20"/>
        <v>0</v>
      </c>
      <c r="AS22" s="171">
        <f t="shared" si="20"/>
        <v>0</v>
      </c>
      <c r="AT22" s="171">
        <f t="shared" si="20"/>
        <v>0</v>
      </c>
      <c r="AU22" s="171">
        <f t="shared" si="20"/>
        <v>0</v>
      </c>
      <c r="AV22" s="171">
        <f t="shared" si="20"/>
        <v>0</v>
      </c>
      <c r="AW22" s="171">
        <f t="shared" si="20"/>
        <v>0</v>
      </c>
      <c r="AX22" s="171">
        <f t="shared" si="20"/>
        <v>0</v>
      </c>
      <c r="AY22" s="171">
        <f t="shared" si="20"/>
        <v>0</v>
      </c>
      <c r="AZ22" s="171">
        <f t="shared" si="20"/>
        <v>0</v>
      </c>
      <c r="BA22" s="171">
        <f t="shared" si="20"/>
        <v>0</v>
      </c>
      <c r="BB22" s="171">
        <f t="shared" si="20"/>
        <v>0</v>
      </c>
      <c r="BC22" s="171">
        <f t="shared" si="20"/>
        <v>0</v>
      </c>
      <c r="BD22" s="171">
        <f t="shared" si="20"/>
        <v>0</v>
      </c>
      <c r="BE22" s="171">
        <f t="shared" si="20"/>
        <v>0</v>
      </c>
      <c r="BF22" s="171">
        <f t="shared" si="20"/>
        <v>0</v>
      </c>
      <c r="BG22" s="171">
        <f t="shared" si="20"/>
        <v>0</v>
      </c>
      <c r="BH22" s="171">
        <f t="shared" si="20"/>
        <v>0</v>
      </c>
      <c r="BI22" s="171">
        <f t="shared" si="20"/>
        <v>0</v>
      </c>
      <c r="BJ22" s="171">
        <f t="shared" si="20"/>
        <v>0</v>
      </c>
      <c r="BK22" s="171">
        <f t="shared" si="20"/>
        <v>0</v>
      </c>
      <c r="BL22" s="171">
        <f t="shared" si="20"/>
        <v>0</v>
      </c>
      <c r="BM22" s="171">
        <f t="shared" si="20"/>
        <v>0</v>
      </c>
      <c r="BN22" s="171">
        <f t="shared" si="20"/>
        <v>0</v>
      </c>
      <c r="BO22" s="171">
        <f t="shared" si="20"/>
        <v>0</v>
      </c>
      <c r="BP22" s="171">
        <f t="shared" si="20"/>
        <v>0</v>
      </c>
      <c r="BQ22" s="171">
        <f t="shared" si="20"/>
        <v>0</v>
      </c>
      <c r="BR22" s="171">
        <f t="shared" si="20"/>
        <v>0</v>
      </c>
      <c r="BS22" s="171">
        <f t="shared" si="20"/>
        <v>0</v>
      </c>
      <c r="BT22" s="171">
        <f t="shared" si="20"/>
        <v>0</v>
      </c>
      <c r="BU22" s="171">
        <f t="shared" si="20"/>
        <v>0</v>
      </c>
      <c r="BV22" s="171">
        <f t="shared" si="20"/>
        <v>0</v>
      </c>
      <c r="BW22" s="171">
        <f t="shared" si="20"/>
        <v>0</v>
      </c>
      <c r="BX22" s="171">
        <f t="shared" si="20"/>
        <v>0</v>
      </c>
      <c r="BY22" s="171">
        <f t="shared" ref="BY22:EQ22" si="21">(BY$14=$H22)*$I22</f>
        <v>0</v>
      </c>
      <c r="BZ22" s="171">
        <f t="shared" si="21"/>
        <v>0</v>
      </c>
      <c r="CA22" s="171">
        <f t="shared" si="21"/>
        <v>0</v>
      </c>
      <c r="CB22" s="171">
        <f t="shared" si="21"/>
        <v>0</v>
      </c>
      <c r="CC22" s="171">
        <f t="shared" si="21"/>
        <v>0</v>
      </c>
      <c r="CD22" s="171">
        <f t="shared" si="21"/>
        <v>0</v>
      </c>
      <c r="CE22" s="171">
        <f t="shared" si="21"/>
        <v>0</v>
      </c>
      <c r="CF22" s="171">
        <f t="shared" si="21"/>
        <v>0</v>
      </c>
      <c r="CG22" s="171">
        <f t="shared" si="21"/>
        <v>0</v>
      </c>
      <c r="CH22" s="171">
        <f t="shared" si="21"/>
        <v>0</v>
      </c>
      <c r="CI22" s="171">
        <f t="shared" si="21"/>
        <v>0</v>
      </c>
      <c r="CJ22" s="171">
        <f t="shared" si="21"/>
        <v>0</v>
      </c>
      <c r="CK22" s="171">
        <f t="shared" si="21"/>
        <v>0</v>
      </c>
      <c r="CL22" s="171">
        <f t="shared" si="21"/>
        <v>0</v>
      </c>
      <c r="CM22" s="171">
        <f t="shared" si="21"/>
        <v>0</v>
      </c>
      <c r="CN22" s="171">
        <f t="shared" si="21"/>
        <v>0</v>
      </c>
      <c r="CO22" s="171">
        <f t="shared" si="21"/>
        <v>0</v>
      </c>
      <c r="CP22" s="171">
        <f t="shared" si="21"/>
        <v>0</v>
      </c>
      <c r="CQ22" s="171">
        <f t="shared" si="21"/>
        <v>0</v>
      </c>
      <c r="CR22" s="171">
        <f t="shared" si="21"/>
        <v>0</v>
      </c>
      <c r="CS22" s="171">
        <f t="shared" si="21"/>
        <v>0</v>
      </c>
      <c r="CT22" s="171">
        <f t="shared" si="21"/>
        <v>0</v>
      </c>
      <c r="CU22" s="171">
        <f t="shared" si="21"/>
        <v>0</v>
      </c>
      <c r="CV22" s="171">
        <f t="shared" si="21"/>
        <v>0</v>
      </c>
      <c r="CW22" s="171">
        <f t="shared" si="21"/>
        <v>0</v>
      </c>
      <c r="CX22" s="171">
        <f t="shared" si="21"/>
        <v>0</v>
      </c>
      <c r="CY22" s="171">
        <f t="shared" si="21"/>
        <v>0</v>
      </c>
      <c r="CZ22" s="171">
        <f t="shared" si="21"/>
        <v>0</v>
      </c>
      <c r="DA22" s="171">
        <f t="shared" si="21"/>
        <v>0</v>
      </c>
      <c r="DB22" s="171">
        <f t="shared" si="21"/>
        <v>0</v>
      </c>
      <c r="DC22" s="171">
        <f t="shared" si="21"/>
        <v>0</v>
      </c>
      <c r="DD22" s="171">
        <f t="shared" si="21"/>
        <v>0</v>
      </c>
      <c r="DE22" s="171">
        <f t="shared" si="21"/>
        <v>0</v>
      </c>
      <c r="DF22" s="171">
        <f t="shared" si="21"/>
        <v>0</v>
      </c>
      <c r="DG22" s="171">
        <f t="shared" si="21"/>
        <v>0</v>
      </c>
      <c r="DH22" s="171">
        <f t="shared" si="21"/>
        <v>0</v>
      </c>
      <c r="DI22" s="171">
        <f t="shared" si="21"/>
        <v>0</v>
      </c>
      <c r="DJ22" s="171">
        <f t="shared" si="21"/>
        <v>0</v>
      </c>
      <c r="DK22" s="171">
        <f t="shared" si="21"/>
        <v>0</v>
      </c>
      <c r="DL22" s="171">
        <f t="shared" si="21"/>
        <v>0</v>
      </c>
      <c r="DM22" s="171">
        <f t="shared" si="21"/>
        <v>0</v>
      </c>
      <c r="DN22" s="171">
        <f t="shared" si="21"/>
        <v>0</v>
      </c>
      <c r="DO22" s="171">
        <f t="shared" si="21"/>
        <v>0</v>
      </c>
      <c r="DP22" s="171">
        <f t="shared" si="21"/>
        <v>0</v>
      </c>
      <c r="DQ22" s="171">
        <f t="shared" si="21"/>
        <v>0</v>
      </c>
      <c r="DR22" s="171">
        <f t="shared" si="21"/>
        <v>0</v>
      </c>
      <c r="DS22" s="171">
        <f t="shared" si="21"/>
        <v>0</v>
      </c>
      <c r="DT22" s="171">
        <f t="shared" si="21"/>
        <v>0</v>
      </c>
      <c r="DU22" s="171">
        <f t="shared" si="21"/>
        <v>0</v>
      </c>
      <c r="DV22" s="171">
        <f t="shared" si="21"/>
        <v>0</v>
      </c>
      <c r="DW22" s="171">
        <f t="shared" si="21"/>
        <v>0</v>
      </c>
      <c r="DX22" s="171">
        <f t="shared" si="21"/>
        <v>0</v>
      </c>
      <c r="DY22" s="171">
        <f t="shared" si="21"/>
        <v>0</v>
      </c>
      <c r="DZ22" s="171">
        <f t="shared" si="21"/>
        <v>0</v>
      </c>
      <c r="EA22" s="171">
        <f t="shared" si="21"/>
        <v>0</v>
      </c>
      <c r="EB22" s="171">
        <f t="shared" si="21"/>
        <v>0</v>
      </c>
      <c r="EC22" s="171">
        <f t="shared" si="21"/>
        <v>0</v>
      </c>
      <c r="ED22" s="1321">
        <f t="shared" si="21"/>
        <v>0</v>
      </c>
      <c r="EE22" s="171">
        <f t="shared" si="21"/>
        <v>0</v>
      </c>
      <c r="EF22" s="171">
        <f t="shared" si="21"/>
        <v>0</v>
      </c>
      <c r="EG22" s="171">
        <f t="shared" si="21"/>
        <v>0</v>
      </c>
      <c r="EH22" s="171">
        <f t="shared" si="21"/>
        <v>0</v>
      </c>
      <c r="EI22" s="171">
        <f t="shared" si="21"/>
        <v>0</v>
      </c>
      <c r="EJ22" s="171">
        <f t="shared" si="21"/>
        <v>0</v>
      </c>
      <c r="EK22" s="171">
        <f t="shared" si="21"/>
        <v>0</v>
      </c>
      <c r="EL22" s="171">
        <f t="shared" si="21"/>
        <v>0</v>
      </c>
      <c r="EM22" s="171">
        <f t="shared" si="21"/>
        <v>0</v>
      </c>
      <c r="EN22" s="171">
        <f t="shared" si="21"/>
        <v>0</v>
      </c>
      <c r="EO22" s="171">
        <f t="shared" si="21"/>
        <v>0</v>
      </c>
      <c r="EP22" s="171">
        <f t="shared" si="21"/>
        <v>0</v>
      </c>
      <c r="EQ22" s="171">
        <f t="shared" si="21"/>
        <v>0</v>
      </c>
    </row>
    <row r="23" spans="3:147" ht="11.25" customHeight="1">
      <c r="C23" s="163"/>
      <c r="D23" s="169" t="s">
        <v>219</v>
      </c>
      <c r="H23" s="146">
        <f>'A&amp;R'!N32</f>
        <v>47057</v>
      </c>
      <c r="J23" s="170">
        <f>SUM(L23:EQ23)</f>
        <v>160000000</v>
      </c>
      <c r="K23" s="98"/>
      <c r="L23" s="171">
        <f>SUM(L21:L22)*(L$14=$H23)</f>
        <v>0</v>
      </c>
      <c r="M23" s="171">
        <f t="shared" ref="M23:BX23" si="22">SUM(M21:M22)*(M$14=$H23)</f>
        <v>0</v>
      </c>
      <c r="N23" s="171">
        <f t="shared" si="22"/>
        <v>0</v>
      </c>
      <c r="O23" s="171">
        <f t="shared" si="22"/>
        <v>0</v>
      </c>
      <c r="P23" s="171">
        <f t="shared" si="22"/>
        <v>0</v>
      </c>
      <c r="Q23" s="171">
        <f t="shared" si="22"/>
        <v>0</v>
      </c>
      <c r="R23" s="171">
        <f t="shared" si="22"/>
        <v>0</v>
      </c>
      <c r="S23" s="171">
        <f t="shared" si="22"/>
        <v>0</v>
      </c>
      <c r="T23" s="171">
        <f t="shared" si="22"/>
        <v>0</v>
      </c>
      <c r="U23" s="171">
        <f t="shared" si="22"/>
        <v>0</v>
      </c>
      <c r="V23" s="171">
        <f t="shared" si="22"/>
        <v>0</v>
      </c>
      <c r="W23" s="171">
        <f t="shared" si="22"/>
        <v>0</v>
      </c>
      <c r="X23" s="171">
        <f t="shared" si="22"/>
        <v>0</v>
      </c>
      <c r="Y23" s="171">
        <f t="shared" si="22"/>
        <v>0</v>
      </c>
      <c r="Z23" s="171">
        <f t="shared" si="22"/>
        <v>0</v>
      </c>
      <c r="AA23" s="171">
        <f t="shared" si="22"/>
        <v>0</v>
      </c>
      <c r="AB23" s="171">
        <f t="shared" si="22"/>
        <v>0</v>
      </c>
      <c r="AC23" s="171">
        <f t="shared" si="22"/>
        <v>0</v>
      </c>
      <c r="AD23" s="171">
        <f t="shared" si="22"/>
        <v>0</v>
      </c>
      <c r="AE23" s="171">
        <f t="shared" si="22"/>
        <v>0</v>
      </c>
      <c r="AF23" s="171">
        <f t="shared" si="22"/>
        <v>0</v>
      </c>
      <c r="AG23" s="171">
        <f t="shared" si="22"/>
        <v>0</v>
      </c>
      <c r="AH23" s="171">
        <f t="shared" si="22"/>
        <v>0</v>
      </c>
      <c r="AI23" s="171">
        <f t="shared" si="22"/>
        <v>0</v>
      </c>
      <c r="AJ23" s="171">
        <f t="shared" si="22"/>
        <v>160000000</v>
      </c>
      <c r="AK23" s="171">
        <f t="shared" si="22"/>
        <v>0</v>
      </c>
      <c r="AL23" s="171">
        <f t="shared" si="22"/>
        <v>0</v>
      </c>
      <c r="AM23" s="171">
        <f t="shared" si="22"/>
        <v>0</v>
      </c>
      <c r="AN23" s="171">
        <f t="shared" si="22"/>
        <v>0</v>
      </c>
      <c r="AO23" s="171">
        <f t="shared" si="22"/>
        <v>0</v>
      </c>
      <c r="AP23" s="171">
        <f t="shared" si="22"/>
        <v>0</v>
      </c>
      <c r="AQ23" s="171">
        <f t="shared" si="22"/>
        <v>0</v>
      </c>
      <c r="AR23" s="171">
        <f t="shared" si="22"/>
        <v>0</v>
      </c>
      <c r="AS23" s="171">
        <f t="shared" si="22"/>
        <v>0</v>
      </c>
      <c r="AT23" s="171">
        <f t="shared" si="22"/>
        <v>0</v>
      </c>
      <c r="AU23" s="171">
        <f t="shared" si="22"/>
        <v>0</v>
      </c>
      <c r="AV23" s="171">
        <f t="shared" si="22"/>
        <v>0</v>
      </c>
      <c r="AW23" s="171">
        <f t="shared" si="22"/>
        <v>0</v>
      </c>
      <c r="AX23" s="171">
        <f t="shared" si="22"/>
        <v>0</v>
      </c>
      <c r="AY23" s="171">
        <f t="shared" si="22"/>
        <v>0</v>
      </c>
      <c r="AZ23" s="171">
        <f t="shared" si="22"/>
        <v>0</v>
      </c>
      <c r="BA23" s="171">
        <f t="shared" si="22"/>
        <v>0</v>
      </c>
      <c r="BB23" s="171">
        <f t="shared" si="22"/>
        <v>0</v>
      </c>
      <c r="BC23" s="171">
        <f t="shared" si="22"/>
        <v>0</v>
      </c>
      <c r="BD23" s="171">
        <f t="shared" si="22"/>
        <v>0</v>
      </c>
      <c r="BE23" s="171">
        <f t="shared" si="22"/>
        <v>0</v>
      </c>
      <c r="BF23" s="171">
        <f t="shared" si="22"/>
        <v>0</v>
      </c>
      <c r="BG23" s="171">
        <f t="shared" si="22"/>
        <v>0</v>
      </c>
      <c r="BH23" s="171">
        <f t="shared" si="22"/>
        <v>0</v>
      </c>
      <c r="BI23" s="171">
        <f t="shared" si="22"/>
        <v>0</v>
      </c>
      <c r="BJ23" s="171">
        <f t="shared" si="22"/>
        <v>0</v>
      </c>
      <c r="BK23" s="171">
        <f t="shared" si="22"/>
        <v>0</v>
      </c>
      <c r="BL23" s="171">
        <f t="shared" si="22"/>
        <v>0</v>
      </c>
      <c r="BM23" s="171">
        <f t="shared" si="22"/>
        <v>0</v>
      </c>
      <c r="BN23" s="171">
        <f t="shared" si="22"/>
        <v>0</v>
      </c>
      <c r="BO23" s="171">
        <f t="shared" si="22"/>
        <v>0</v>
      </c>
      <c r="BP23" s="171">
        <f t="shared" si="22"/>
        <v>0</v>
      </c>
      <c r="BQ23" s="171">
        <f t="shared" si="22"/>
        <v>0</v>
      </c>
      <c r="BR23" s="171">
        <f t="shared" si="22"/>
        <v>0</v>
      </c>
      <c r="BS23" s="171">
        <f t="shared" si="22"/>
        <v>0</v>
      </c>
      <c r="BT23" s="171">
        <f t="shared" si="22"/>
        <v>0</v>
      </c>
      <c r="BU23" s="171">
        <f t="shared" si="22"/>
        <v>0</v>
      </c>
      <c r="BV23" s="171">
        <f t="shared" si="22"/>
        <v>0</v>
      </c>
      <c r="BW23" s="171">
        <f t="shared" si="22"/>
        <v>0</v>
      </c>
      <c r="BX23" s="171">
        <f t="shared" si="22"/>
        <v>0</v>
      </c>
      <c r="BY23" s="171">
        <f t="shared" ref="BY23:DT23" si="23">SUM(BY21:BY22)*(BY$14=$H23)</f>
        <v>0</v>
      </c>
      <c r="BZ23" s="171">
        <f t="shared" si="23"/>
        <v>0</v>
      </c>
      <c r="CA23" s="171">
        <f t="shared" si="23"/>
        <v>0</v>
      </c>
      <c r="CB23" s="171">
        <f t="shared" si="23"/>
        <v>0</v>
      </c>
      <c r="CC23" s="171">
        <f t="shared" si="23"/>
        <v>0</v>
      </c>
      <c r="CD23" s="171">
        <f t="shared" si="23"/>
        <v>0</v>
      </c>
      <c r="CE23" s="171">
        <f t="shared" si="23"/>
        <v>0</v>
      </c>
      <c r="CF23" s="171">
        <f t="shared" si="23"/>
        <v>0</v>
      </c>
      <c r="CG23" s="171">
        <f t="shared" si="23"/>
        <v>0</v>
      </c>
      <c r="CH23" s="171">
        <f t="shared" si="23"/>
        <v>0</v>
      </c>
      <c r="CI23" s="171">
        <f t="shared" si="23"/>
        <v>0</v>
      </c>
      <c r="CJ23" s="171">
        <f t="shared" si="23"/>
        <v>0</v>
      </c>
      <c r="CK23" s="171">
        <f t="shared" si="23"/>
        <v>0</v>
      </c>
      <c r="CL23" s="171">
        <f t="shared" si="23"/>
        <v>0</v>
      </c>
      <c r="CM23" s="171">
        <f t="shared" si="23"/>
        <v>0</v>
      </c>
      <c r="CN23" s="171">
        <f t="shared" si="23"/>
        <v>0</v>
      </c>
      <c r="CO23" s="171">
        <f t="shared" si="23"/>
        <v>0</v>
      </c>
      <c r="CP23" s="171">
        <f t="shared" si="23"/>
        <v>0</v>
      </c>
      <c r="CQ23" s="171">
        <f t="shared" si="23"/>
        <v>0</v>
      </c>
      <c r="CR23" s="171">
        <f t="shared" si="23"/>
        <v>0</v>
      </c>
      <c r="CS23" s="171">
        <f t="shared" si="23"/>
        <v>0</v>
      </c>
      <c r="CT23" s="171">
        <f t="shared" si="23"/>
        <v>0</v>
      </c>
      <c r="CU23" s="171">
        <f t="shared" si="23"/>
        <v>0</v>
      </c>
      <c r="CV23" s="171">
        <f t="shared" si="23"/>
        <v>0</v>
      </c>
      <c r="CW23" s="171">
        <f t="shared" si="23"/>
        <v>0</v>
      </c>
      <c r="CX23" s="171">
        <f t="shared" si="23"/>
        <v>0</v>
      </c>
      <c r="CY23" s="171">
        <f t="shared" si="23"/>
        <v>0</v>
      </c>
      <c r="CZ23" s="171">
        <f t="shared" si="23"/>
        <v>0</v>
      </c>
      <c r="DA23" s="171">
        <f t="shared" si="23"/>
        <v>0</v>
      </c>
      <c r="DB23" s="171">
        <f t="shared" si="23"/>
        <v>0</v>
      </c>
      <c r="DC23" s="171">
        <f t="shared" si="23"/>
        <v>0</v>
      </c>
      <c r="DD23" s="171">
        <f t="shared" si="23"/>
        <v>0</v>
      </c>
      <c r="DE23" s="171">
        <f t="shared" si="23"/>
        <v>0</v>
      </c>
      <c r="DF23" s="171">
        <f t="shared" si="23"/>
        <v>0</v>
      </c>
      <c r="DG23" s="171">
        <f t="shared" si="23"/>
        <v>0</v>
      </c>
      <c r="DH23" s="171">
        <f t="shared" si="23"/>
        <v>0</v>
      </c>
      <c r="DI23" s="171">
        <f t="shared" si="23"/>
        <v>0</v>
      </c>
      <c r="DJ23" s="171">
        <f t="shared" si="23"/>
        <v>0</v>
      </c>
      <c r="DK23" s="171">
        <f t="shared" si="23"/>
        <v>0</v>
      </c>
      <c r="DL23" s="171">
        <f t="shared" si="23"/>
        <v>0</v>
      </c>
      <c r="DM23" s="171">
        <f t="shared" si="23"/>
        <v>0</v>
      </c>
      <c r="DN23" s="171">
        <f t="shared" si="23"/>
        <v>0</v>
      </c>
      <c r="DO23" s="171">
        <f t="shared" si="23"/>
        <v>0</v>
      </c>
      <c r="DP23" s="171">
        <f t="shared" si="23"/>
        <v>0</v>
      </c>
      <c r="DQ23" s="171">
        <f t="shared" si="23"/>
        <v>0</v>
      </c>
      <c r="DR23" s="171">
        <f t="shared" si="23"/>
        <v>0</v>
      </c>
      <c r="DS23" s="171">
        <f t="shared" si="23"/>
        <v>0</v>
      </c>
      <c r="DT23" s="171">
        <f t="shared" si="23"/>
        <v>0</v>
      </c>
      <c r="DU23" s="171">
        <f t="shared" ref="DU23:EA23" si="24">SUM(DU21:DU22)*(DU$14=$H23)</f>
        <v>0</v>
      </c>
      <c r="DV23" s="171">
        <f t="shared" si="24"/>
        <v>0</v>
      </c>
      <c r="DW23" s="171">
        <f t="shared" si="24"/>
        <v>0</v>
      </c>
      <c r="DX23" s="171">
        <f t="shared" si="24"/>
        <v>0</v>
      </c>
      <c r="DY23" s="171">
        <f t="shared" si="24"/>
        <v>0</v>
      </c>
      <c r="DZ23" s="171">
        <f t="shared" si="24"/>
        <v>0</v>
      </c>
      <c r="EA23" s="171">
        <f t="shared" si="24"/>
        <v>0</v>
      </c>
      <c r="EB23" s="171">
        <f t="shared" ref="EB23:EQ23" si="25">SUM(EB21:EB22)*(EB$14=$H23)</f>
        <v>0</v>
      </c>
      <c r="EC23" s="171">
        <f t="shared" si="25"/>
        <v>0</v>
      </c>
      <c r="ED23" s="1321">
        <f t="shared" si="25"/>
        <v>0</v>
      </c>
      <c r="EE23" s="171">
        <f t="shared" si="25"/>
        <v>0</v>
      </c>
      <c r="EF23" s="171">
        <f t="shared" si="25"/>
        <v>0</v>
      </c>
      <c r="EG23" s="171">
        <f t="shared" si="25"/>
        <v>0</v>
      </c>
      <c r="EH23" s="171">
        <f t="shared" si="25"/>
        <v>0</v>
      </c>
      <c r="EI23" s="171">
        <f t="shared" si="25"/>
        <v>0</v>
      </c>
      <c r="EJ23" s="171">
        <f t="shared" si="25"/>
        <v>0</v>
      </c>
      <c r="EK23" s="171">
        <f t="shared" si="25"/>
        <v>0</v>
      </c>
      <c r="EL23" s="171">
        <f t="shared" si="25"/>
        <v>0</v>
      </c>
      <c r="EM23" s="171">
        <f t="shared" si="25"/>
        <v>0</v>
      </c>
      <c r="EN23" s="171">
        <f t="shared" si="25"/>
        <v>0</v>
      </c>
      <c r="EO23" s="171">
        <f t="shared" si="25"/>
        <v>0</v>
      </c>
      <c r="EP23" s="171">
        <f t="shared" si="25"/>
        <v>0</v>
      </c>
      <c r="EQ23" s="171">
        <f t="shared" si="25"/>
        <v>0</v>
      </c>
    </row>
    <row r="24" spans="3:147" ht="11.25" customHeight="1">
      <c r="C24" s="163"/>
      <c r="D24" s="169" t="s">
        <v>220</v>
      </c>
      <c r="J24" s="170"/>
      <c r="K24" s="98"/>
      <c r="L24" s="171">
        <f>L21+L22-L23</f>
        <v>160000000</v>
      </c>
      <c r="M24" s="171">
        <f t="shared" ref="M24:BX24" si="26">M21+M22-M23</f>
        <v>160000000</v>
      </c>
      <c r="N24" s="171">
        <f t="shared" si="26"/>
        <v>160000000</v>
      </c>
      <c r="O24" s="171">
        <f t="shared" si="26"/>
        <v>160000000</v>
      </c>
      <c r="P24" s="171">
        <f t="shared" si="26"/>
        <v>160000000</v>
      </c>
      <c r="Q24" s="171">
        <f t="shared" si="26"/>
        <v>160000000</v>
      </c>
      <c r="R24" s="171">
        <f t="shared" si="26"/>
        <v>160000000</v>
      </c>
      <c r="S24" s="171">
        <f t="shared" si="26"/>
        <v>160000000</v>
      </c>
      <c r="T24" s="171">
        <f t="shared" si="26"/>
        <v>160000000</v>
      </c>
      <c r="U24" s="171">
        <f t="shared" si="26"/>
        <v>160000000</v>
      </c>
      <c r="V24" s="171">
        <f t="shared" si="26"/>
        <v>160000000</v>
      </c>
      <c r="W24" s="171">
        <f t="shared" si="26"/>
        <v>160000000</v>
      </c>
      <c r="X24" s="171">
        <f t="shared" si="26"/>
        <v>160000000</v>
      </c>
      <c r="Y24" s="171">
        <f t="shared" si="26"/>
        <v>160000000</v>
      </c>
      <c r="Z24" s="171">
        <f t="shared" si="26"/>
        <v>160000000</v>
      </c>
      <c r="AA24" s="171">
        <f t="shared" si="26"/>
        <v>160000000</v>
      </c>
      <c r="AB24" s="171">
        <f t="shared" si="26"/>
        <v>160000000</v>
      </c>
      <c r="AC24" s="171">
        <f t="shared" si="26"/>
        <v>160000000</v>
      </c>
      <c r="AD24" s="171">
        <f t="shared" si="26"/>
        <v>160000000</v>
      </c>
      <c r="AE24" s="171">
        <f t="shared" si="26"/>
        <v>160000000</v>
      </c>
      <c r="AF24" s="171">
        <f t="shared" si="26"/>
        <v>160000000</v>
      </c>
      <c r="AG24" s="171">
        <f t="shared" si="26"/>
        <v>160000000</v>
      </c>
      <c r="AH24" s="171">
        <f t="shared" si="26"/>
        <v>160000000</v>
      </c>
      <c r="AI24" s="171">
        <f t="shared" si="26"/>
        <v>160000000</v>
      </c>
      <c r="AJ24" s="171">
        <f t="shared" si="26"/>
        <v>0</v>
      </c>
      <c r="AK24" s="171">
        <f t="shared" si="26"/>
        <v>0</v>
      </c>
      <c r="AL24" s="171">
        <f t="shared" si="26"/>
        <v>0</v>
      </c>
      <c r="AM24" s="171">
        <f t="shared" si="26"/>
        <v>0</v>
      </c>
      <c r="AN24" s="171">
        <f t="shared" si="26"/>
        <v>0</v>
      </c>
      <c r="AO24" s="171">
        <f t="shared" si="26"/>
        <v>0</v>
      </c>
      <c r="AP24" s="171">
        <f t="shared" si="26"/>
        <v>0</v>
      </c>
      <c r="AQ24" s="171">
        <f t="shared" si="26"/>
        <v>0</v>
      </c>
      <c r="AR24" s="171">
        <f t="shared" si="26"/>
        <v>0</v>
      </c>
      <c r="AS24" s="171">
        <f t="shared" si="26"/>
        <v>0</v>
      </c>
      <c r="AT24" s="171">
        <f t="shared" si="26"/>
        <v>0</v>
      </c>
      <c r="AU24" s="171">
        <f t="shared" si="26"/>
        <v>0</v>
      </c>
      <c r="AV24" s="171">
        <f t="shared" si="26"/>
        <v>0</v>
      </c>
      <c r="AW24" s="171">
        <f t="shared" si="26"/>
        <v>0</v>
      </c>
      <c r="AX24" s="171">
        <f t="shared" si="26"/>
        <v>0</v>
      </c>
      <c r="AY24" s="171">
        <f t="shared" si="26"/>
        <v>0</v>
      </c>
      <c r="AZ24" s="171">
        <f t="shared" si="26"/>
        <v>0</v>
      </c>
      <c r="BA24" s="171">
        <f t="shared" si="26"/>
        <v>0</v>
      </c>
      <c r="BB24" s="171">
        <f t="shared" si="26"/>
        <v>0</v>
      </c>
      <c r="BC24" s="171">
        <f t="shared" si="26"/>
        <v>0</v>
      </c>
      <c r="BD24" s="171">
        <f t="shared" si="26"/>
        <v>0</v>
      </c>
      <c r="BE24" s="171">
        <f t="shared" si="26"/>
        <v>0</v>
      </c>
      <c r="BF24" s="171">
        <f t="shared" si="26"/>
        <v>0</v>
      </c>
      <c r="BG24" s="171">
        <f t="shared" si="26"/>
        <v>0</v>
      </c>
      <c r="BH24" s="171">
        <f t="shared" si="26"/>
        <v>0</v>
      </c>
      <c r="BI24" s="171">
        <f t="shared" si="26"/>
        <v>0</v>
      </c>
      <c r="BJ24" s="171">
        <f t="shared" si="26"/>
        <v>0</v>
      </c>
      <c r="BK24" s="171">
        <f t="shared" si="26"/>
        <v>0</v>
      </c>
      <c r="BL24" s="171">
        <f t="shared" si="26"/>
        <v>0</v>
      </c>
      <c r="BM24" s="171">
        <f t="shared" si="26"/>
        <v>0</v>
      </c>
      <c r="BN24" s="171">
        <f t="shared" si="26"/>
        <v>0</v>
      </c>
      <c r="BO24" s="171">
        <f t="shared" si="26"/>
        <v>0</v>
      </c>
      <c r="BP24" s="171">
        <f t="shared" si="26"/>
        <v>0</v>
      </c>
      <c r="BQ24" s="171">
        <f t="shared" si="26"/>
        <v>0</v>
      </c>
      <c r="BR24" s="171">
        <f t="shared" si="26"/>
        <v>0</v>
      </c>
      <c r="BS24" s="171">
        <f t="shared" si="26"/>
        <v>0</v>
      </c>
      <c r="BT24" s="171">
        <f t="shared" si="26"/>
        <v>0</v>
      </c>
      <c r="BU24" s="171">
        <f t="shared" si="26"/>
        <v>0</v>
      </c>
      <c r="BV24" s="171">
        <f t="shared" si="26"/>
        <v>0</v>
      </c>
      <c r="BW24" s="171">
        <f t="shared" si="26"/>
        <v>0</v>
      </c>
      <c r="BX24" s="171">
        <f t="shared" si="26"/>
        <v>0</v>
      </c>
      <c r="BY24" s="171">
        <f t="shared" ref="BY24:DT24" si="27">BY21+BY22-BY23</f>
        <v>0</v>
      </c>
      <c r="BZ24" s="171">
        <f t="shared" si="27"/>
        <v>0</v>
      </c>
      <c r="CA24" s="171">
        <f t="shared" si="27"/>
        <v>0</v>
      </c>
      <c r="CB24" s="171">
        <f t="shared" si="27"/>
        <v>0</v>
      </c>
      <c r="CC24" s="171">
        <f t="shared" si="27"/>
        <v>0</v>
      </c>
      <c r="CD24" s="171">
        <f t="shared" si="27"/>
        <v>0</v>
      </c>
      <c r="CE24" s="171">
        <f t="shared" si="27"/>
        <v>0</v>
      </c>
      <c r="CF24" s="171">
        <f t="shared" si="27"/>
        <v>0</v>
      </c>
      <c r="CG24" s="171">
        <f t="shared" si="27"/>
        <v>0</v>
      </c>
      <c r="CH24" s="171">
        <f t="shared" si="27"/>
        <v>0</v>
      </c>
      <c r="CI24" s="171">
        <f t="shared" si="27"/>
        <v>0</v>
      </c>
      <c r="CJ24" s="171">
        <f t="shared" si="27"/>
        <v>0</v>
      </c>
      <c r="CK24" s="171">
        <f t="shared" si="27"/>
        <v>0</v>
      </c>
      <c r="CL24" s="171">
        <f t="shared" si="27"/>
        <v>0</v>
      </c>
      <c r="CM24" s="171">
        <f t="shared" si="27"/>
        <v>0</v>
      </c>
      <c r="CN24" s="171">
        <f t="shared" si="27"/>
        <v>0</v>
      </c>
      <c r="CO24" s="171">
        <f t="shared" si="27"/>
        <v>0</v>
      </c>
      <c r="CP24" s="171">
        <f t="shared" si="27"/>
        <v>0</v>
      </c>
      <c r="CQ24" s="171">
        <f t="shared" si="27"/>
        <v>0</v>
      </c>
      <c r="CR24" s="171">
        <f t="shared" si="27"/>
        <v>0</v>
      </c>
      <c r="CS24" s="171">
        <f t="shared" si="27"/>
        <v>0</v>
      </c>
      <c r="CT24" s="171">
        <f t="shared" si="27"/>
        <v>0</v>
      </c>
      <c r="CU24" s="171">
        <f t="shared" si="27"/>
        <v>0</v>
      </c>
      <c r="CV24" s="171">
        <f t="shared" si="27"/>
        <v>0</v>
      </c>
      <c r="CW24" s="171">
        <f t="shared" si="27"/>
        <v>0</v>
      </c>
      <c r="CX24" s="171">
        <f t="shared" si="27"/>
        <v>0</v>
      </c>
      <c r="CY24" s="171">
        <f t="shared" si="27"/>
        <v>0</v>
      </c>
      <c r="CZ24" s="171">
        <f t="shared" si="27"/>
        <v>0</v>
      </c>
      <c r="DA24" s="171">
        <f t="shared" si="27"/>
        <v>0</v>
      </c>
      <c r="DB24" s="171">
        <f t="shared" si="27"/>
        <v>0</v>
      </c>
      <c r="DC24" s="171">
        <f t="shared" si="27"/>
        <v>0</v>
      </c>
      <c r="DD24" s="171">
        <f t="shared" si="27"/>
        <v>0</v>
      </c>
      <c r="DE24" s="171">
        <f t="shared" si="27"/>
        <v>0</v>
      </c>
      <c r="DF24" s="171">
        <f t="shared" si="27"/>
        <v>0</v>
      </c>
      <c r="DG24" s="171">
        <f t="shared" si="27"/>
        <v>0</v>
      </c>
      <c r="DH24" s="171">
        <f t="shared" si="27"/>
        <v>0</v>
      </c>
      <c r="DI24" s="171">
        <f t="shared" si="27"/>
        <v>0</v>
      </c>
      <c r="DJ24" s="171">
        <f t="shared" si="27"/>
        <v>0</v>
      </c>
      <c r="DK24" s="171">
        <f t="shared" si="27"/>
        <v>0</v>
      </c>
      <c r="DL24" s="171">
        <f t="shared" si="27"/>
        <v>0</v>
      </c>
      <c r="DM24" s="171">
        <f t="shared" si="27"/>
        <v>0</v>
      </c>
      <c r="DN24" s="171">
        <f t="shared" si="27"/>
        <v>0</v>
      </c>
      <c r="DO24" s="171">
        <f t="shared" si="27"/>
        <v>0</v>
      </c>
      <c r="DP24" s="171">
        <f t="shared" si="27"/>
        <v>0</v>
      </c>
      <c r="DQ24" s="171">
        <f t="shared" si="27"/>
        <v>0</v>
      </c>
      <c r="DR24" s="171">
        <f t="shared" si="27"/>
        <v>0</v>
      </c>
      <c r="DS24" s="171">
        <f t="shared" si="27"/>
        <v>0</v>
      </c>
      <c r="DT24" s="171">
        <f t="shared" si="27"/>
        <v>0</v>
      </c>
      <c r="DU24" s="171">
        <f t="shared" ref="DU24:EA24" si="28">DU21+DU22-DU23</f>
        <v>0</v>
      </c>
      <c r="DV24" s="171">
        <f t="shared" si="28"/>
        <v>0</v>
      </c>
      <c r="DW24" s="171">
        <f t="shared" si="28"/>
        <v>0</v>
      </c>
      <c r="DX24" s="171">
        <f t="shared" si="28"/>
        <v>0</v>
      </c>
      <c r="DY24" s="171">
        <f t="shared" si="28"/>
        <v>0</v>
      </c>
      <c r="DZ24" s="171">
        <f t="shared" si="28"/>
        <v>0</v>
      </c>
      <c r="EA24" s="171">
        <f t="shared" si="28"/>
        <v>0</v>
      </c>
      <c r="EB24" s="171">
        <f t="shared" ref="EB24:EQ24" si="29">EB21+EB22-EB23</f>
        <v>0</v>
      </c>
      <c r="EC24" s="171">
        <f t="shared" si="29"/>
        <v>0</v>
      </c>
      <c r="ED24" s="1321">
        <f t="shared" si="29"/>
        <v>0</v>
      </c>
      <c r="EE24" s="171">
        <f t="shared" si="29"/>
        <v>0</v>
      </c>
      <c r="EF24" s="171">
        <f t="shared" si="29"/>
        <v>0</v>
      </c>
      <c r="EG24" s="171">
        <f t="shared" si="29"/>
        <v>0</v>
      </c>
      <c r="EH24" s="171">
        <f t="shared" si="29"/>
        <v>0</v>
      </c>
      <c r="EI24" s="171">
        <f t="shared" si="29"/>
        <v>0</v>
      </c>
      <c r="EJ24" s="171">
        <f t="shared" si="29"/>
        <v>0</v>
      </c>
      <c r="EK24" s="171">
        <f t="shared" si="29"/>
        <v>0</v>
      </c>
      <c r="EL24" s="171">
        <f t="shared" si="29"/>
        <v>0</v>
      </c>
      <c r="EM24" s="171">
        <f t="shared" si="29"/>
        <v>0</v>
      </c>
      <c r="EN24" s="171">
        <f t="shared" si="29"/>
        <v>0</v>
      </c>
      <c r="EO24" s="171">
        <f t="shared" si="29"/>
        <v>0</v>
      </c>
      <c r="EP24" s="171">
        <f t="shared" si="29"/>
        <v>0</v>
      </c>
      <c r="EQ24" s="171">
        <f t="shared" si="29"/>
        <v>0</v>
      </c>
    </row>
    <row r="25" spans="3:147" ht="11.25" customHeight="1">
      <c r="C25" s="158" t="str">
        <f>'A&amp;R'!L33</f>
        <v>담보대출(2nd)</v>
      </c>
      <c r="D25" s="159"/>
      <c r="E25" s="159"/>
      <c r="F25" s="159"/>
      <c r="G25" s="159"/>
      <c r="H25" s="160"/>
      <c r="I25" s="219"/>
      <c r="J25" s="161"/>
      <c r="K25" s="98"/>
      <c r="L25" s="162"/>
      <c r="M25" s="162"/>
      <c r="N25" s="162"/>
      <c r="O25" s="162"/>
      <c r="P25" s="162"/>
      <c r="Q25" s="162"/>
      <c r="R25" s="162"/>
      <c r="S25" s="162"/>
      <c r="T25" s="162"/>
      <c r="U25" s="162"/>
      <c r="V25" s="162"/>
      <c r="W25" s="162"/>
      <c r="X25" s="162"/>
      <c r="Y25" s="162"/>
      <c r="Z25" s="162"/>
      <c r="AA25" s="162"/>
      <c r="AB25" s="162"/>
      <c r="AC25" s="162"/>
      <c r="AD25" s="162"/>
      <c r="AE25" s="162"/>
      <c r="AF25" s="162"/>
      <c r="AG25" s="162"/>
      <c r="AH25" s="162"/>
      <c r="AI25" s="162"/>
      <c r="AJ25" s="162"/>
      <c r="AK25" s="162"/>
      <c r="AL25" s="162"/>
      <c r="AM25" s="162"/>
      <c r="AN25" s="162"/>
      <c r="AO25" s="162"/>
      <c r="AP25" s="162"/>
      <c r="AQ25" s="162"/>
      <c r="AR25" s="162"/>
      <c r="AS25" s="162"/>
      <c r="AT25" s="162"/>
      <c r="AU25" s="162"/>
      <c r="AV25" s="162"/>
      <c r="AW25" s="162"/>
      <c r="AX25" s="162"/>
      <c r="AY25" s="162"/>
      <c r="AZ25" s="162"/>
      <c r="BA25" s="162"/>
      <c r="BB25" s="162"/>
      <c r="BC25" s="162"/>
      <c r="BD25" s="162"/>
      <c r="BE25" s="162"/>
      <c r="BF25" s="162"/>
      <c r="BG25" s="162"/>
      <c r="BH25" s="162"/>
      <c r="BI25" s="162"/>
      <c r="BJ25" s="162"/>
      <c r="BK25" s="162"/>
      <c r="BL25" s="162"/>
      <c r="BM25" s="162"/>
      <c r="BN25" s="162"/>
      <c r="BO25" s="162"/>
      <c r="BP25" s="162"/>
      <c r="BQ25" s="162"/>
      <c r="BR25" s="162"/>
      <c r="BS25" s="162"/>
      <c r="BT25" s="162"/>
      <c r="BU25" s="162"/>
      <c r="BV25" s="162"/>
      <c r="BW25" s="162"/>
      <c r="BX25" s="162"/>
      <c r="BY25" s="162"/>
      <c r="BZ25" s="162"/>
      <c r="CA25" s="162"/>
      <c r="CB25" s="162"/>
      <c r="CC25" s="162"/>
      <c r="CD25" s="162"/>
      <c r="CE25" s="162"/>
      <c r="CF25" s="162"/>
      <c r="CG25" s="162"/>
      <c r="CH25" s="162"/>
      <c r="CI25" s="162"/>
      <c r="CJ25" s="162"/>
      <c r="CK25" s="162"/>
      <c r="CL25" s="162"/>
      <c r="CM25" s="162"/>
      <c r="CN25" s="162"/>
      <c r="CO25" s="162"/>
      <c r="CP25" s="162"/>
      <c r="CQ25" s="162"/>
      <c r="CR25" s="162"/>
      <c r="CS25" s="162"/>
      <c r="CT25" s="162"/>
      <c r="CU25" s="162"/>
      <c r="CV25" s="162"/>
      <c r="CW25" s="162"/>
      <c r="CX25" s="162"/>
      <c r="CY25" s="162"/>
      <c r="CZ25" s="162"/>
      <c r="DA25" s="162"/>
      <c r="DB25" s="162"/>
      <c r="DC25" s="162"/>
      <c r="DD25" s="162"/>
      <c r="DE25" s="162"/>
      <c r="DF25" s="162"/>
      <c r="DG25" s="162"/>
      <c r="DH25" s="162"/>
      <c r="DI25" s="162"/>
      <c r="DJ25" s="162"/>
      <c r="DK25" s="162"/>
      <c r="DL25" s="162"/>
      <c r="DM25" s="162"/>
      <c r="DN25" s="162"/>
      <c r="DO25" s="162"/>
      <c r="DP25" s="162"/>
      <c r="DQ25" s="162"/>
      <c r="DR25" s="162"/>
      <c r="DS25" s="162"/>
      <c r="DT25" s="162"/>
      <c r="DU25" s="162"/>
      <c r="DV25" s="162"/>
      <c r="DW25" s="162"/>
      <c r="DX25" s="162"/>
      <c r="DY25" s="162"/>
      <c r="DZ25" s="162"/>
      <c r="EA25" s="162"/>
      <c r="EB25" s="162"/>
      <c r="EC25" s="162"/>
      <c r="ED25" s="1319"/>
      <c r="EE25" s="162"/>
      <c r="EF25" s="162"/>
      <c r="EG25" s="162"/>
      <c r="EH25" s="162"/>
      <c r="EI25" s="162"/>
      <c r="EJ25" s="162"/>
      <c r="EK25" s="162"/>
      <c r="EL25" s="162"/>
      <c r="EM25" s="162"/>
      <c r="EN25" s="162"/>
      <c r="EO25" s="162"/>
      <c r="EP25" s="162"/>
      <c r="EQ25" s="162"/>
    </row>
    <row r="26" spans="3:147" ht="11.25" customHeight="1">
      <c r="C26" s="163"/>
      <c r="D26" s="164" t="s">
        <v>230</v>
      </c>
      <c r="E26" s="165"/>
      <c r="F26" s="165"/>
      <c r="G26" s="165"/>
      <c r="H26" s="166"/>
      <c r="I26" s="221"/>
      <c r="J26" s="167"/>
      <c r="K26" s="98"/>
      <c r="L26" s="168">
        <f t="shared" ref="L26:AQ26" si="30">K29</f>
        <v>0</v>
      </c>
      <c r="M26" s="168">
        <f t="shared" si="30"/>
        <v>0</v>
      </c>
      <c r="N26" s="168">
        <f t="shared" si="30"/>
        <v>0</v>
      </c>
      <c r="O26" s="168">
        <f t="shared" si="30"/>
        <v>0</v>
      </c>
      <c r="P26" s="168">
        <f t="shared" si="30"/>
        <v>0</v>
      </c>
      <c r="Q26" s="168">
        <f t="shared" si="30"/>
        <v>0</v>
      </c>
      <c r="R26" s="168">
        <f t="shared" si="30"/>
        <v>0</v>
      </c>
      <c r="S26" s="168">
        <f t="shared" si="30"/>
        <v>0</v>
      </c>
      <c r="T26" s="168">
        <f t="shared" si="30"/>
        <v>0</v>
      </c>
      <c r="U26" s="168">
        <f t="shared" si="30"/>
        <v>0</v>
      </c>
      <c r="V26" s="168">
        <f t="shared" si="30"/>
        <v>0</v>
      </c>
      <c r="W26" s="168">
        <f t="shared" si="30"/>
        <v>0</v>
      </c>
      <c r="X26" s="168">
        <f t="shared" si="30"/>
        <v>0</v>
      </c>
      <c r="Y26" s="168">
        <f t="shared" si="30"/>
        <v>0</v>
      </c>
      <c r="Z26" s="168">
        <f t="shared" si="30"/>
        <v>0</v>
      </c>
      <c r="AA26" s="168">
        <f t="shared" si="30"/>
        <v>0</v>
      </c>
      <c r="AB26" s="168">
        <f t="shared" si="30"/>
        <v>0</v>
      </c>
      <c r="AC26" s="168">
        <f t="shared" si="30"/>
        <v>0</v>
      </c>
      <c r="AD26" s="168">
        <f t="shared" si="30"/>
        <v>0</v>
      </c>
      <c r="AE26" s="168">
        <f t="shared" si="30"/>
        <v>0</v>
      </c>
      <c r="AF26" s="168">
        <f t="shared" si="30"/>
        <v>0</v>
      </c>
      <c r="AG26" s="168">
        <f t="shared" si="30"/>
        <v>0</v>
      </c>
      <c r="AH26" s="168">
        <f t="shared" si="30"/>
        <v>0</v>
      </c>
      <c r="AI26" s="168">
        <f t="shared" si="30"/>
        <v>0</v>
      </c>
      <c r="AJ26" s="168">
        <f t="shared" si="30"/>
        <v>0</v>
      </c>
      <c r="AK26" s="168">
        <f t="shared" si="30"/>
        <v>213000000</v>
      </c>
      <c r="AL26" s="168">
        <f t="shared" si="30"/>
        <v>213000000</v>
      </c>
      <c r="AM26" s="168">
        <f t="shared" si="30"/>
        <v>213000000</v>
      </c>
      <c r="AN26" s="168">
        <f t="shared" si="30"/>
        <v>213000000</v>
      </c>
      <c r="AO26" s="168">
        <f t="shared" si="30"/>
        <v>213000000</v>
      </c>
      <c r="AP26" s="168">
        <f t="shared" si="30"/>
        <v>213000000</v>
      </c>
      <c r="AQ26" s="168">
        <f t="shared" si="30"/>
        <v>213000000</v>
      </c>
      <c r="AR26" s="168">
        <f t="shared" ref="AR26:BW26" si="31">AQ29</f>
        <v>213000000</v>
      </c>
      <c r="AS26" s="168">
        <f t="shared" si="31"/>
        <v>213000000</v>
      </c>
      <c r="AT26" s="168">
        <f t="shared" si="31"/>
        <v>213000000</v>
      </c>
      <c r="AU26" s="168">
        <f t="shared" si="31"/>
        <v>213000000</v>
      </c>
      <c r="AV26" s="168">
        <f t="shared" si="31"/>
        <v>213000000</v>
      </c>
      <c r="AW26" s="168">
        <f t="shared" si="31"/>
        <v>213000000</v>
      </c>
      <c r="AX26" s="168">
        <f t="shared" si="31"/>
        <v>213000000</v>
      </c>
      <c r="AY26" s="168">
        <f t="shared" si="31"/>
        <v>213000000</v>
      </c>
      <c r="AZ26" s="168">
        <f t="shared" si="31"/>
        <v>213000000</v>
      </c>
      <c r="BA26" s="168">
        <f t="shared" si="31"/>
        <v>213000000</v>
      </c>
      <c r="BB26" s="168">
        <f t="shared" si="31"/>
        <v>213000000</v>
      </c>
      <c r="BC26" s="168">
        <f t="shared" si="31"/>
        <v>213000000</v>
      </c>
      <c r="BD26" s="168">
        <f t="shared" si="31"/>
        <v>213000000</v>
      </c>
      <c r="BE26" s="168">
        <f t="shared" si="31"/>
        <v>213000000</v>
      </c>
      <c r="BF26" s="168">
        <f t="shared" si="31"/>
        <v>213000000</v>
      </c>
      <c r="BG26" s="168">
        <f t="shared" si="31"/>
        <v>213000000</v>
      </c>
      <c r="BH26" s="168">
        <f t="shared" si="31"/>
        <v>213000000</v>
      </c>
      <c r="BI26" s="168">
        <f t="shared" si="31"/>
        <v>213000000</v>
      </c>
      <c r="BJ26" s="168">
        <f t="shared" si="31"/>
        <v>213000000</v>
      </c>
      <c r="BK26" s="168">
        <f t="shared" si="31"/>
        <v>213000000</v>
      </c>
      <c r="BL26" s="168">
        <f t="shared" si="31"/>
        <v>213000000</v>
      </c>
      <c r="BM26" s="168">
        <f t="shared" si="31"/>
        <v>213000000</v>
      </c>
      <c r="BN26" s="168">
        <f t="shared" si="31"/>
        <v>213000000</v>
      </c>
      <c r="BO26" s="168">
        <f t="shared" si="31"/>
        <v>213000000</v>
      </c>
      <c r="BP26" s="168">
        <f t="shared" si="31"/>
        <v>213000000</v>
      </c>
      <c r="BQ26" s="168">
        <f t="shared" si="31"/>
        <v>213000000</v>
      </c>
      <c r="BR26" s="168">
        <f t="shared" si="31"/>
        <v>213000000</v>
      </c>
      <c r="BS26" s="168">
        <f t="shared" si="31"/>
        <v>213000000</v>
      </c>
      <c r="BT26" s="168">
        <f t="shared" si="31"/>
        <v>213000000</v>
      </c>
      <c r="BU26" s="168">
        <f t="shared" si="31"/>
        <v>0</v>
      </c>
      <c r="BV26" s="168">
        <f t="shared" si="31"/>
        <v>0</v>
      </c>
      <c r="BW26" s="168">
        <f t="shared" si="31"/>
        <v>0</v>
      </c>
      <c r="BX26" s="168">
        <f t="shared" ref="BX26:DC26" si="32">BW29</f>
        <v>0</v>
      </c>
      <c r="BY26" s="168">
        <f t="shared" si="32"/>
        <v>0</v>
      </c>
      <c r="BZ26" s="168">
        <f t="shared" si="32"/>
        <v>0</v>
      </c>
      <c r="CA26" s="168">
        <f t="shared" si="32"/>
        <v>0</v>
      </c>
      <c r="CB26" s="168">
        <f t="shared" si="32"/>
        <v>0</v>
      </c>
      <c r="CC26" s="168">
        <f t="shared" si="32"/>
        <v>0</v>
      </c>
      <c r="CD26" s="168">
        <f t="shared" si="32"/>
        <v>0</v>
      </c>
      <c r="CE26" s="168">
        <f t="shared" si="32"/>
        <v>0</v>
      </c>
      <c r="CF26" s="168">
        <f t="shared" si="32"/>
        <v>0</v>
      </c>
      <c r="CG26" s="168">
        <f t="shared" si="32"/>
        <v>0</v>
      </c>
      <c r="CH26" s="168">
        <f t="shared" si="32"/>
        <v>0</v>
      </c>
      <c r="CI26" s="168">
        <f t="shared" si="32"/>
        <v>0</v>
      </c>
      <c r="CJ26" s="168">
        <f t="shared" si="32"/>
        <v>0</v>
      </c>
      <c r="CK26" s="168">
        <f t="shared" si="32"/>
        <v>0</v>
      </c>
      <c r="CL26" s="168">
        <f t="shared" si="32"/>
        <v>0</v>
      </c>
      <c r="CM26" s="168">
        <f t="shared" si="32"/>
        <v>0</v>
      </c>
      <c r="CN26" s="168">
        <f t="shared" si="32"/>
        <v>0</v>
      </c>
      <c r="CO26" s="168">
        <f t="shared" si="32"/>
        <v>0</v>
      </c>
      <c r="CP26" s="168">
        <f t="shared" si="32"/>
        <v>0</v>
      </c>
      <c r="CQ26" s="168">
        <f t="shared" si="32"/>
        <v>0</v>
      </c>
      <c r="CR26" s="168">
        <f t="shared" si="32"/>
        <v>0</v>
      </c>
      <c r="CS26" s="168">
        <f t="shared" si="32"/>
        <v>0</v>
      </c>
      <c r="CT26" s="168">
        <f t="shared" si="32"/>
        <v>0</v>
      </c>
      <c r="CU26" s="168">
        <f t="shared" si="32"/>
        <v>0</v>
      </c>
      <c r="CV26" s="168">
        <f t="shared" si="32"/>
        <v>0</v>
      </c>
      <c r="CW26" s="168">
        <f t="shared" si="32"/>
        <v>0</v>
      </c>
      <c r="CX26" s="168">
        <f t="shared" si="32"/>
        <v>0</v>
      </c>
      <c r="CY26" s="168">
        <f t="shared" si="32"/>
        <v>0</v>
      </c>
      <c r="CZ26" s="168">
        <f t="shared" si="32"/>
        <v>0</v>
      </c>
      <c r="DA26" s="168">
        <f t="shared" si="32"/>
        <v>0</v>
      </c>
      <c r="DB26" s="168">
        <f t="shared" si="32"/>
        <v>0</v>
      </c>
      <c r="DC26" s="168">
        <f t="shared" si="32"/>
        <v>0</v>
      </c>
      <c r="DD26" s="168">
        <f t="shared" ref="DD26:EI26" si="33">DC29</f>
        <v>0</v>
      </c>
      <c r="DE26" s="168">
        <f t="shared" si="33"/>
        <v>0</v>
      </c>
      <c r="DF26" s="168">
        <f t="shared" si="33"/>
        <v>0</v>
      </c>
      <c r="DG26" s="168">
        <f t="shared" si="33"/>
        <v>0</v>
      </c>
      <c r="DH26" s="168">
        <f t="shared" si="33"/>
        <v>0</v>
      </c>
      <c r="DI26" s="168">
        <f t="shared" si="33"/>
        <v>0</v>
      </c>
      <c r="DJ26" s="168">
        <f t="shared" si="33"/>
        <v>0</v>
      </c>
      <c r="DK26" s="168">
        <f t="shared" si="33"/>
        <v>0</v>
      </c>
      <c r="DL26" s="168">
        <f t="shared" si="33"/>
        <v>0</v>
      </c>
      <c r="DM26" s="168">
        <f t="shared" si="33"/>
        <v>0</v>
      </c>
      <c r="DN26" s="168">
        <f t="shared" si="33"/>
        <v>0</v>
      </c>
      <c r="DO26" s="168">
        <f t="shared" si="33"/>
        <v>0</v>
      </c>
      <c r="DP26" s="168">
        <f t="shared" si="33"/>
        <v>0</v>
      </c>
      <c r="DQ26" s="168">
        <f t="shared" si="33"/>
        <v>0</v>
      </c>
      <c r="DR26" s="168">
        <f t="shared" si="33"/>
        <v>0</v>
      </c>
      <c r="DS26" s="168">
        <f t="shared" si="33"/>
        <v>0</v>
      </c>
      <c r="DT26" s="168">
        <f t="shared" si="33"/>
        <v>0</v>
      </c>
      <c r="DU26" s="168">
        <f t="shared" si="33"/>
        <v>0</v>
      </c>
      <c r="DV26" s="168">
        <f t="shared" si="33"/>
        <v>0</v>
      </c>
      <c r="DW26" s="168">
        <f t="shared" si="33"/>
        <v>0</v>
      </c>
      <c r="DX26" s="168">
        <f t="shared" si="33"/>
        <v>0</v>
      </c>
      <c r="DY26" s="168">
        <f t="shared" si="33"/>
        <v>0</v>
      </c>
      <c r="DZ26" s="168">
        <f t="shared" si="33"/>
        <v>0</v>
      </c>
      <c r="EA26" s="168">
        <f t="shared" si="33"/>
        <v>0</v>
      </c>
      <c r="EB26" s="168">
        <f t="shared" si="33"/>
        <v>0</v>
      </c>
      <c r="EC26" s="168">
        <f t="shared" si="33"/>
        <v>0</v>
      </c>
      <c r="ED26" s="1320">
        <f t="shared" si="33"/>
        <v>0</v>
      </c>
      <c r="EE26" s="168">
        <f t="shared" si="33"/>
        <v>0</v>
      </c>
      <c r="EF26" s="168">
        <f t="shared" si="33"/>
        <v>0</v>
      </c>
      <c r="EG26" s="168">
        <f t="shared" si="33"/>
        <v>0</v>
      </c>
      <c r="EH26" s="168">
        <f t="shared" si="33"/>
        <v>0</v>
      </c>
      <c r="EI26" s="168">
        <f t="shared" si="33"/>
        <v>0</v>
      </c>
      <c r="EJ26" s="168">
        <f t="shared" ref="EJ26:EQ26" si="34">EI29</f>
        <v>0</v>
      </c>
      <c r="EK26" s="168">
        <f t="shared" si="34"/>
        <v>0</v>
      </c>
      <c r="EL26" s="168">
        <f t="shared" si="34"/>
        <v>0</v>
      </c>
      <c r="EM26" s="168">
        <f t="shared" si="34"/>
        <v>0</v>
      </c>
      <c r="EN26" s="168">
        <f t="shared" si="34"/>
        <v>0</v>
      </c>
      <c r="EO26" s="168">
        <f t="shared" si="34"/>
        <v>0</v>
      </c>
      <c r="EP26" s="168">
        <f t="shared" si="34"/>
        <v>0</v>
      </c>
      <c r="EQ26" s="168">
        <f t="shared" si="34"/>
        <v>0</v>
      </c>
    </row>
    <row r="27" spans="3:147" ht="11.25" customHeight="1">
      <c r="C27" s="163"/>
      <c r="D27" s="169" t="s">
        <v>231</v>
      </c>
      <c r="H27" s="146">
        <f>'A&amp;R'!M33</f>
        <v>47057</v>
      </c>
      <c r="I27" s="13">
        <f>'A&amp;R'!P33</f>
        <v>213000000</v>
      </c>
      <c r="J27" s="170">
        <f>SUM(L27:EQ27)</f>
        <v>213000000</v>
      </c>
      <c r="K27" s="98"/>
      <c r="L27" s="171">
        <f>(L$14=$H27)*$I27</f>
        <v>0</v>
      </c>
      <c r="M27" s="171">
        <f t="shared" ref="M27:BX27" si="35">(M$14=$H27)*$I27</f>
        <v>0</v>
      </c>
      <c r="N27" s="171">
        <f t="shared" si="35"/>
        <v>0</v>
      </c>
      <c r="O27" s="171">
        <f t="shared" si="35"/>
        <v>0</v>
      </c>
      <c r="P27" s="171">
        <f t="shared" si="35"/>
        <v>0</v>
      </c>
      <c r="Q27" s="171">
        <f t="shared" si="35"/>
        <v>0</v>
      </c>
      <c r="R27" s="171">
        <f t="shared" si="35"/>
        <v>0</v>
      </c>
      <c r="S27" s="171">
        <f t="shared" si="35"/>
        <v>0</v>
      </c>
      <c r="T27" s="171">
        <f t="shared" si="35"/>
        <v>0</v>
      </c>
      <c r="U27" s="171">
        <f t="shared" si="35"/>
        <v>0</v>
      </c>
      <c r="V27" s="171">
        <f t="shared" si="35"/>
        <v>0</v>
      </c>
      <c r="W27" s="171">
        <f t="shared" si="35"/>
        <v>0</v>
      </c>
      <c r="X27" s="171">
        <f t="shared" si="35"/>
        <v>0</v>
      </c>
      <c r="Y27" s="171">
        <f t="shared" si="35"/>
        <v>0</v>
      </c>
      <c r="Z27" s="171">
        <f t="shared" si="35"/>
        <v>0</v>
      </c>
      <c r="AA27" s="171">
        <f t="shared" si="35"/>
        <v>0</v>
      </c>
      <c r="AB27" s="171">
        <f t="shared" si="35"/>
        <v>0</v>
      </c>
      <c r="AC27" s="171">
        <f t="shared" si="35"/>
        <v>0</v>
      </c>
      <c r="AD27" s="171">
        <f t="shared" si="35"/>
        <v>0</v>
      </c>
      <c r="AE27" s="171">
        <f t="shared" si="35"/>
        <v>0</v>
      </c>
      <c r="AF27" s="171">
        <f t="shared" si="35"/>
        <v>0</v>
      </c>
      <c r="AG27" s="171">
        <f t="shared" si="35"/>
        <v>0</v>
      </c>
      <c r="AH27" s="171">
        <f t="shared" si="35"/>
        <v>0</v>
      </c>
      <c r="AI27" s="171">
        <f t="shared" si="35"/>
        <v>0</v>
      </c>
      <c r="AJ27" s="171">
        <f t="shared" si="35"/>
        <v>213000000</v>
      </c>
      <c r="AK27" s="171">
        <f t="shared" si="35"/>
        <v>0</v>
      </c>
      <c r="AL27" s="171">
        <f t="shared" si="35"/>
        <v>0</v>
      </c>
      <c r="AM27" s="171">
        <f t="shared" si="35"/>
        <v>0</v>
      </c>
      <c r="AN27" s="171">
        <f t="shared" si="35"/>
        <v>0</v>
      </c>
      <c r="AO27" s="171">
        <f t="shared" si="35"/>
        <v>0</v>
      </c>
      <c r="AP27" s="171">
        <f t="shared" si="35"/>
        <v>0</v>
      </c>
      <c r="AQ27" s="171">
        <f t="shared" si="35"/>
        <v>0</v>
      </c>
      <c r="AR27" s="171">
        <f t="shared" si="35"/>
        <v>0</v>
      </c>
      <c r="AS27" s="171">
        <f t="shared" si="35"/>
        <v>0</v>
      </c>
      <c r="AT27" s="171">
        <f t="shared" si="35"/>
        <v>0</v>
      </c>
      <c r="AU27" s="171">
        <f t="shared" si="35"/>
        <v>0</v>
      </c>
      <c r="AV27" s="171">
        <f t="shared" si="35"/>
        <v>0</v>
      </c>
      <c r="AW27" s="171">
        <f t="shared" si="35"/>
        <v>0</v>
      </c>
      <c r="AX27" s="171">
        <f t="shared" si="35"/>
        <v>0</v>
      </c>
      <c r="AY27" s="171">
        <f t="shared" si="35"/>
        <v>0</v>
      </c>
      <c r="AZ27" s="171">
        <f t="shared" si="35"/>
        <v>0</v>
      </c>
      <c r="BA27" s="171">
        <f t="shared" si="35"/>
        <v>0</v>
      </c>
      <c r="BB27" s="171">
        <f t="shared" si="35"/>
        <v>0</v>
      </c>
      <c r="BC27" s="171">
        <f t="shared" si="35"/>
        <v>0</v>
      </c>
      <c r="BD27" s="171">
        <f t="shared" si="35"/>
        <v>0</v>
      </c>
      <c r="BE27" s="171">
        <f t="shared" si="35"/>
        <v>0</v>
      </c>
      <c r="BF27" s="171">
        <f t="shared" si="35"/>
        <v>0</v>
      </c>
      <c r="BG27" s="171">
        <f t="shared" si="35"/>
        <v>0</v>
      </c>
      <c r="BH27" s="171">
        <f t="shared" si="35"/>
        <v>0</v>
      </c>
      <c r="BI27" s="171">
        <f t="shared" si="35"/>
        <v>0</v>
      </c>
      <c r="BJ27" s="171">
        <f t="shared" si="35"/>
        <v>0</v>
      </c>
      <c r="BK27" s="171">
        <f t="shared" si="35"/>
        <v>0</v>
      </c>
      <c r="BL27" s="171">
        <f t="shared" si="35"/>
        <v>0</v>
      </c>
      <c r="BM27" s="171">
        <f t="shared" si="35"/>
        <v>0</v>
      </c>
      <c r="BN27" s="171">
        <f t="shared" si="35"/>
        <v>0</v>
      </c>
      <c r="BO27" s="171">
        <f t="shared" si="35"/>
        <v>0</v>
      </c>
      <c r="BP27" s="171">
        <f t="shared" si="35"/>
        <v>0</v>
      </c>
      <c r="BQ27" s="171">
        <f t="shared" si="35"/>
        <v>0</v>
      </c>
      <c r="BR27" s="171">
        <f t="shared" si="35"/>
        <v>0</v>
      </c>
      <c r="BS27" s="171">
        <f t="shared" si="35"/>
        <v>0</v>
      </c>
      <c r="BT27" s="171">
        <f t="shared" si="35"/>
        <v>0</v>
      </c>
      <c r="BU27" s="171">
        <f t="shared" si="35"/>
        <v>0</v>
      </c>
      <c r="BV27" s="171">
        <f t="shared" si="35"/>
        <v>0</v>
      </c>
      <c r="BW27" s="171">
        <f t="shared" si="35"/>
        <v>0</v>
      </c>
      <c r="BX27" s="171">
        <f t="shared" si="35"/>
        <v>0</v>
      </c>
      <c r="BY27" s="171">
        <f t="shared" ref="BY27:EQ27" si="36">(BY$14=$H27)*$I27</f>
        <v>0</v>
      </c>
      <c r="BZ27" s="171">
        <f t="shared" si="36"/>
        <v>0</v>
      </c>
      <c r="CA27" s="171">
        <f t="shared" si="36"/>
        <v>0</v>
      </c>
      <c r="CB27" s="171">
        <f t="shared" si="36"/>
        <v>0</v>
      </c>
      <c r="CC27" s="171">
        <f t="shared" si="36"/>
        <v>0</v>
      </c>
      <c r="CD27" s="171">
        <f t="shared" si="36"/>
        <v>0</v>
      </c>
      <c r="CE27" s="171">
        <f t="shared" si="36"/>
        <v>0</v>
      </c>
      <c r="CF27" s="171">
        <f t="shared" si="36"/>
        <v>0</v>
      </c>
      <c r="CG27" s="171">
        <f t="shared" si="36"/>
        <v>0</v>
      </c>
      <c r="CH27" s="171">
        <f t="shared" si="36"/>
        <v>0</v>
      </c>
      <c r="CI27" s="171">
        <f t="shared" si="36"/>
        <v>0</v>
      </c>
      <c r="CJ27" s="171">
        <f t="shared" si="36"/>
        <v>0</v>
      </c>
      <c r="CK27" s="171">
        <f t="shared" si="36"/>
        <v>0</v>
      </c>
      <c r="CL27" s="171">
        <f t="shared" si="36"/>
        <v>0</v>
      </c>
      <c r="CM27" s="171">
        <f t="shared" si="36"/>
        <v>0</v>
      </c>
      <c r="CN27" s="171">
        <f t="shared" si="36"/>
        <v>0</v>
      </c>
      <c r="CO27" s="171">
        <f t="shared" si="36"/>
        <v>0</v>
      </c>
      <c r="CP27" s="171">
        <f t="shared" si="36"/>
        <v>0</v>
      </c>
      <c r="CQ27" s="171">
        <f t="shared" si="36"/>
        <v>0</v>
      </c>
      <c r="CR27" s="171">
        <f t="shared" si="36"/>
        <v>0</v>
      </c>
      <c r="CS27" s="171">
        <f t="shared" si="36"/>
        <v>0</v>
      </c>
      <c r="CT27" s="171">
        <f t="shared" si="36"/>
        <v>0</v>
      </c>
      <c r="CU27" s="171">
        <f t="shared" si="36"/>
        <v>0</v>
      </c>
      <c r="CV27" s="171">
        <f t="shared" si="36"/>
        <v>0</v>
      </c>
      <c r="CW27" s="171">
        <f t="shared" si="36"/>
        <v>0</v>
      </c>
      <c r="CX27" s="171">
        <f t="shared" si="36"/>
        <v>0</v>
      </c>
      <c r="CY27" s="171">
        <f t="shared" si="36"/>
        <v>0</v>
      </c>
      <c r="CZ27" s="171">
        <f t="shared" si="36"/>
        <v>0</v>
      </c>
      <c r="DA27" s="171">
        <f t="shared" si="36"/>
        <v>0</v>
      </c>
      <c r="DB27" s="171">
        <f t="shared" si="36"/>
        <v>0</v>
      </c>
      <c r="DC27" s="171">
        <f t="shared" si="36"/>
        <v>0</v>
      </c>
      <c r="DD27" s="171">
        <f t="shared" si="36"/>
        <v>0</v>
      </c>
      <c r="DE27" s="171">
        <f t="shared" si="36"/>
        <v>0</v>
      </c>
      <c r="DF27" s="171">
        <f t="shared" si="36"/>
        <v>0</v>
      </c>
      <c r="DG27" s="171">
        <f t="shared" si="36"/>
        <v>0</v>
      </c>
      <c r="DH27" s="171">
        <f t="shared" si="36"/>
        <v>0</v>
      </c>
      <c r="DI27" s="171">
        <f t="shared" si="36"/>
        <v>0</v>
      </c>
      <c r="DJ27" s="171">
        <f t="shared" si="36"/>
        <v>0</v>
      </c>
      <c r="DK27" s="171">
        <f t="shared" si="36"/>
        <v>0</v>
      </c>
      <c r="DL27" s="171">
        <f t="shared" si="36"/>
        <v>0</v>
      </c>
      <c r="DM27" s="171">
        <f t="shared" si="36"/>
        <v>0</v>
      </c>
      <c r="DN27" s="171">
        <f t="shared" si="36"/>
        <v>0</v>
      </c>
      <c r="DO27" s="171">
        <f t="shared" si="36"/>
        <v>0</v>
      </c>
      <c r="DP27" s="171">
        <f t="shared" si="36"/>
        <v>0</v>
      </c>
      <c r="DQ27" s="171">
        <f t="shared" si="36"/>
        <v>0</v>
      </c>
      <c r="DR27" s="171">
        <f t="shared" si="36"/>
        <v>0</v>
      </c>
      <c r="DS27" s="171">
        <f t="shared" si="36"/>
        <v>0</v>
      </c>
      <c r="DT27" s="171">
        <f t="shared" si="36"/>
        <v>0</v>
      </c>
      <c r="DU27" s="171">
        <f t="shared" si="36"/>
        <v>0</v>
      </c>
      <c r="DV27" s="171">
        <f t="shared" si="36"/>
        <v>0</v>
      </c>
      <c r="DW27" s="171">
        <f t="shared" si="36"/>
        <v>0</v>
      </c>
      <c r="DX27" s="171">
        <f t="shared" si="36"/>
        <v>0</v>
      </c>
      <c r="DY27" s="171">
        <f t="shared" si="36"/>
        <v>0</v>
      </c>
      <c r="DZ27" s="171">
        <f t="shared" si="36"/>
        <v>0</v>
      </c>
      <c r="EA27" s="171">
        <f t="shared" si="36"/>
        <v>0</v>
      </c>
      <c r="EB27" s="171">
        <f t="shared" si="36"/>
        <v>0</v>
      </c>
      <c r="EC27" s="171">
        <f t="shared" si="36"/>
        <v>0</v>
      </c>
      <c r="ED27" s="1321">
        <f t="shared" si="36"/>
        <v>0</v>
      </c>
      <c r="EE27" s="171">
        <f t="shared" si="36"/>
        <v>0</v>
      </c>
      <c r="EF27" s="171">
        <f t="shared" si="36"/>
        <v>0</v>
      </c>
      <c r="EG27" s="171">
        <f t="shared" si="36"/>
        <v>0</v>
      </c>
      <c r="EH27" s="171">
        <f t="shared" si="36"/>
        <v>0</v>
      </c>
      <c r="EI27" s="171">
        <f t="shared" si="36"/>
        <v>0</v>
      </c>
      <c r="EJ27" s="171">
        <f t="shared" si="36"/>
        <v>0</v>
      </c>
      <c r="EK27" s="171">
        <f t="shared" si="36"/>
        <v>0</v>
      </c>
      <c r="EL27" s="171">
        <f t="shared" si="36"/>
        <v>0</v>
      </c>
      <c r="EM27" s="171">
        <f t="shared" si="36"/>
        <v>0</v>
      </c>
      <c r="EN27" s="171">
        <f t="shared" si="36"/>
        <v>0</v>
      </c>
      <c r="EO27" s="171">
        <f t="shared" si="36"/>
        <v>0</v>
      </c>
      <c r="EP27" s="171">
        <f t="shared" si="36"/>
        <v>0</v>
      </c>
      <c r="EQ27" s="171">
        <f t="shared" si="36"/>
        <v>0</v>
      </c>
    </row>
    <row r="28" spans="3:147" ht="11.25" customHeight="1">
      <c r="C28" s="163"/>
      <c r="D28" s="169" t="s">
        <v>232</v>
      </c>
      <c r="H28" s="146">
        <f>'A&amp;R'!N33</f>
        <v>48152</v>
      </c>
      <c r="J28" s="170">
        <f>SUM(L28:EQ28)</f>
        <v>213000000</v>
      </c>
      <c r="K28" s="98"/>
      <c r="L28" s="171">
        <f>SUM(L26:L27)*(L$14=$H28)</f>
        <v>0</v>
      </c>
      <c r="M28" s="171">
        <f t="shared" ref="M28:BX28" si="37">SUM(M26:M27)*(M$14=$H28)</f>
        <v>0</v>
      </c>
      <c r="N28" s="171">
        <f t="shared" si="37"/>
        <v>0</v>
      </c>
      <c r="O28" s="171">
        <f t="shared" si="37"/>
        <v>0</v>
      </c>
      <c r="P28" s="171">
        <f t="shared" si="37"/>
        <v>0</v>
      </c>
      <c r="Q28" s="171">
        <f t="shared" si="37"/>
        <v>0</v>
      </c>
      <c r="R28" s="171">
        <f t="shared" si="37"/>
        <v>0</v>
      </c>
      <c r="S28" s="171">
        <f t="shared" si="37"/>
        <v>0</v>
      </c>
      <c r="T28" s="171">
        <f t="shared" si="37"/>
        <v>0</v>
      </c>
      <c r="U28" s="171">
        <f t="shared" si="37"/>
        <v>0</v>
      </c>
      <c r="V28" s="171">
        <f t="shared" si="37"/>
        <v>0</v>
      </c>
      <c r="W28" s="171">
        <f t="shared" si="37"/>
        <v>0</v>
      </c>
      <c r="X28" s="171">
        <f t="shared" si="37"/>
        <v>0</v>
      </c>
      <c r="Y28" s="171">
        <f t="shared" si="37"/>
        <v>0</v>
      </c>
      <c r="Z28" s="171">
        <f t="shared" si="37"/>
        <v>0</v>
      </c>
      <c r="AA28" s="171">
        <f t="shared" si="37"/>
        <v>0</v>
      </c>
      <c r="AB28" s="171">
        <f t="shared" si="37"/>
        <v>0</v>
      </c>
      <c r="AC28" s="171">
        <f t="shared" si="37"/>
        <v>0</v>
      </c>
      <c r="AD28" s="171">
        <f t="shared" si="37"/>
        <v>0</v>
      </c>
      <c r="AE28" s="171">
        <f t="shared" si="37"/>
        <v>0</v>
      </c>
      <c r="AF28" s="171">
        <f t="shared" si="37"/>
        <v>0</v>
      </c>
      <c r="AG28" s="171">
        <f t="shared" si="37"/>
        <v>0</v>
      </c>
      <c r="AH28" s="171">
        <f t="shared" si="37"/>
        <v>0</v>
      </c>
      <c r="AI28" s="171">
        <f t="shared" si="37"/>
        <v>0</v>
      </c>
      <c r="AJ28" s="171">
        <f t="shared" si="37"/>
        <v>0</v>
      </c>
      <c r="AK28" s="171">
        <f t="shared" si="37"/>
        <v>0</v>
      </c>
      <c r="AL28" s="171">
        <f t="shared" si="37"/>
        <v>0</v>
      </c>
      <c r="AM28" s="171">
        <f t="shared" si="37"/>
        <v>0</v>
      </c>
      <c r="AN28" s="171">
        <f t="shared" si="37"/>
        <v>0</v>
      </c>
      <c r="AO28" s="171">
        <f t="shared" si="37"/>
        <v>0</v>
      </c>
      <c r="AP28" s="171">
        <f t="shared" si="37"/>
        <v>0</v>
      </c>
      <c r="AQ28" s="171">
        <f t="shared" si="37"/>
        <v>0</v>
      </c>
      <c r="AR28" s="171">
        <f t="shared" si="37"/>
        <v>0</v>
      </c>
      <c r="AS28" s="171">
        <f t="shared" si="37"/>
        <v>0</v>
      </c>
      <c r="AT28" s="171">
        <f t="shared" si="37"/>
        <v>0</v>
      </c>
      <c r="AU28" s="171">
        <f t="shared" si="37"/>
        <v>0</v>
      </c>
      <c r="AV28" s="171">
        <f t="shared" si="37"/>
        <v>0</v>
      </c>
      <c r="AW28" s="171">
        <f t="shared" si="37"/>
        <v>0</v>
      </c>
      <c r="AX28" s="171">
        <f t="shared" si="37"/>
        <v>0</v>
      </c>
      <c r="AY28" s="171">
        <f t="shared" si="37"/>
        <v>0</v>
      </c>
      <c r="AZ28" s="171">
        <f t="shared" si="37"/>
        <v>0</v>
      </c>
      <c r="BA28" s="171">
        <f t="shared" si="37"/>
        <v>0</v>
      </c>
      <c r="BB28" s="171">
        <f t="shared" si="37"/>
        <v>0</v>
      </c>
      <c r="BC28" s="171">
        <f t="shared" si="37"/>
        <v>0</v>
      </c>
      <c r="BD28" s="171">
        <f t="shared" si="37"/>
        <v>0</v>
      </c>
      <c r="BE28" s="171">
        <f t="shared" si="37"/>
        <v>0</v>
      </c>
      <c r="BF28" s="171">
        <f t="shared" si="37"/>
        <v>0</v>
      </c>
      <c r="BG28" s="171">
        <f t="shared" si="37"/>
        <v>0</v>
      </c>
      <c r="BH28" s="171">
        <f t="shared" si="37"/>
        <v>0</v>
      </c>
      <c r="BI28" s="171">
        <f t="shared" si="37"/>
        <v>0</v>
      </c>
      <c r="BJ28" s="171">
        <f t="shared" si="37"/>
        <v>0</v>
      </c>
      <c r="BK28" s="171">
        <f t="shared" si="37"/>
        <v>0</v>
      </c>
      <c r="BL28" s="171">
        <f t="shared" si="37"/>
        <v>0</v>
      </c>
      <c r="BM28" s="171">
        <f t="shared" si="37"/>
        <v>0</v>
      </c>
      <c r="BN28" s="171">
        <f t="shared" si="37"/>
        <v>0</v>
      </c>
      <c r="BO28" s="171">
        <f t="shared" si="37"/>
        <v>0</v>
      </c>
      <c r="BP28" s="171">
        <f t="shared" si="37"/>
        <v>0</v>
      </c>
      <c r="BQ28" s="171">
        <f t="shared" si="37"/>
        <v>0</v>
      </c>
      <c r="BR28" s="171">
        <f t="shared" si="37"/>
        <v>0</v>
      </c>
      <c r="BS28" s="171">
        <f t="shared" si="37"/>
        <v>0</v>
      </c>
      <c r="BT28" s="171">
        <f t="shared" si="37"/>
        <v>213000000</v>
      </c>
      <c r="BU28" s="171">
        <f t="shared" si="37"/>
        <v>0</v>
      </c>
      <c r="BV28" s="171">
        <f t="shared" si="37"/>
        <v>0</v>
      </c>
      <c r="BW28" s="171">
        <f t="shared" si="37"/>
        <v>0</v>
      </c>
      <c r="BX28" s="171">
        <f t="shared" si="37"/>
        <v>0</v>
      </c>
      <c r="BY28" s="171">
        <f t="shared" ref="BY28:EJ28" si="38">SUM(BY26:BY27)*(BY$14=$H28)</f>
        <v>0</v>
      </c>
      <c r="BZ28" s="171">
        <f t="shared" si="38"/>
        <v>0</v>
      </c>
      <c r="CA28" s="171">
        <f t="shared" si="38"/>
        <v>0</v>
      </c>
      <c r="CB28" s="171">
        <f t="shared" si="38"/>
        <v>0</v>
      </c>
      <c r="CC28" s="171">
        <f t="shared" si="38"/>
        <v>0</v>
      </c>
      <c r="CD28" s="171">
        <f t="shared" si="38"/>
        <v>0</v>
      </c>
      <c r="CE28" s="171">
        <f t="shared" si="38"/>
        <v>0</v>
      </c>
      <c r="CF28" s="171">
        <f t="shared" si="38"/>
        <v>0</v>
      </c>
      <c r="CG28" s="171">
        <f t="shared" si="38"/>
        <v>0</v>
      </c>
      <c r="CH28" s="171">
        <f t="shared" si="38"/>
        <v>0</v>
      </c>
      <c r="CI28" s="171">
        <f t="shared" si="38"/>
        <v>0</v>
      </c>
      <c r="CJ28" s="171">
        <f t="shared" si="38"/>
        <v>0</v>
      </c>
      <c r="CK28" s="171">
        <f t="shared" si="38"/>
        <v>0</v>
      </c>
      <c r="CL28" s="171">
        <f t="shared" si="38"/>
        <v>0</v>
      </c>
      <c r="CM28" s="171">
        <f t="shared" si="38"/>
        <v>0</v>
      </c>
      <c r="CN28" s="171">
        <f t="shared" si="38"/>
        <v>0</v>
      </c>
      <c r="CO28" s="171">
        <f t="shared" si="38"/>
        <v>0</v>
      </c>
      <c r="CP28" s="171">
        <f t="shared" si="38"/>
        <v>0</v>
      </c>
      <c r="CQ28" s="171">
        <f t="shared" si="38"/>
        <v>0</v>
      </c>
      <c r="CR28" s="171">
        <f t="shared" si="38"/>
        <v>0</v>
      </c>
      <c r="CS28" s="171">
        <f t="shared" si="38"/>
        <v>0</v>
      </c>
      <c r="CT28" s="171">
        <f t="shared" si="38"/>
        <v>0</v>
      </c>
      <c r="CU28" s="171">
        <f t="shared" si="38"/>
        <v>0</v>
      </c>
      <c r="CV28" s="171">
        <f t="shared" si="38"/>
        <v>0</v>
      </c>
      <c r="CW28" s="171">
        <f t="shared" si="38"/>
        <v>0</v>
      </c>
      <c r="CX28" s="171">
        <f t="shared" si="38"/>
        <v>0</v>
      </c>
      <c r="CY28" s="171">
        <f t="shared" si="38"/>
        <v>0</v>
      </c>
      <c r="CZ28" s="171">
        <f t="shared" si="38"/>
        <v>0</v>
      </c>
      <c r="DA28" s="171">
        <f t="shared" si="38"/>
        <v>0</v>
      </c>
      <c r="DB28" s="171">
        <f t="shared" si="38"/>
        <v>0</v>
      </c>
      <c r="DC28" s="171">
        <f t="shared" si="38"/>
        <v>0</v>
      </c>
      <c r="DD28" s="171">
        <f t="shared" si="38"/>
        <v>0</v>
      </c>
      <c r="DE28" s="171">
        <f t="shared" si="38"/>
        <v>0</v>
      </c>
      <c r="DF28" s="171">
        <f t="shared" si="38"/>
        <v>0</v>
      </c>
      <c r="DG28" s="171">
        <f t="shared" si="38"/>
        <v>0</v>
      </c>
      <c r="DH28" s="171">
        <f t="shared" si="38"/>
        <v>0</v>
      </c>
      <c r="DI28" s="171">
        <f t="shared" si="38"/>
        <v>0</v>
      </c>
      <c r="DJ28" s="171">
        <f t="shared" si="38"/>
        <v>0</v>
      </c>
      <c r="DK28" s="171">
        <f t="shared" si="38"/>
        <v>0</v>
      </c>
      <c r="DL28" s="171">
        <f t="shared" si="38"/>
        <v>0</v>
      </c>
      <c r="DM28" s="171">
        <f t="shared" si="38"/>
        <v>0</v>
      </c>
      <c r="DN28" s="171">
        <f t="shared" si="38"/>
        <v>0</v>
      </c>
      <c r="DO28" s="171">
        <f t="shared" si="38"/>
        <v>0</v>
      </c>
      <c r="DP28" s="171">
        <f t="shared" si="38"/>
        <v>0</v>
      </c>
      <c r="DQ28" s="171">
        <f t="shared" si="38"/>
        <v>0</v>
      </c>
      <c r="DR28" s="171">
        <f t="shared" si="38"/>
        <v>0</v>
      </c>
      <c r="DS28" s="171">
        <f t="shared" si="38"/>
        <v>0</v>
      </c>
      <c r="DT28" s="171">
        <f t="shared" si="38"/>
        <v>0</v>
      </c>
      <c r="DU28" s="171">
        <f t="shared" si="38"/>
        <v>0</v>
      </c>
      <c r="DV28" s="171">
        <f t="shared" si="38"/>
        <v>0</v>
      </c>
      <c r="DW28" s="171">
        <f t="shared" si="38"/>
        <v>0</v>
      </c>
      <c r="DX28" s="171">
        <f t="shared" si="38"/>
        <v>0</v>
      </c>
      <c r="DY28" s="171">
        <f t="shared" si="38"/>
        <v>0</v>
      </c>
      <c r="DZ28" s="171">
        <f t="shared" si="38"/>
        <v>0</v>
      </c>
      <c r="EA28" s="171">
        <f t="shared" si="38"/>
        <v>0</v>
      </c>
      <c r="EB28" s="171">
        <f t="shared" si="38"/>
        <v>0</v>
      </c>
      <c r="EC28" s="171">
        <f t="shared" si="38"/>
        <v>0</v>
      </c>
      <c r="ED28" s="1321">
        <f t="shared" si="38"/>
        <v>0</v>
      </c>
      <c r="EE28" s="171">
        <f t="shared" si="38"/>
        <v>0</v>
      </c>
      <c r="EF28" s="171">
        <f t="shared" si="38"/>
        <v>0</v>
      </c>
      <c r="EG28" s="171">
        <f t="shared" si="38"/>
        <v>0</v>
      </c>
      <c r="EH28" s="171">
        <f t="shared" si="38"/>
        <v>0</v>
      </c>
      <c r="EI28" s="171">
        <f t="shared" si="38"/>
        <v>0</v>
      </c>
      <c r="EJ28" s="171">
        <f t="shared" si="38"/>
        <v>0</v>
      </c>
      <c r="EK28" s="171">
        <f t="shared" ref="EK28:EQ28" si="39">SUM(EK26:EK27)*(EK$14=$H28)</f>
        <v>0</v>
      </c>
      <c r="EL28" s="171">
        <f t="shared" si="39"/>
        <v>0</v>
      </c>
      <c r="EM28" s="171">
        <f t="shared" si="39"/>
        <v>0</v>
      </c>
      <c r="EN28" s="171">
        <f t="shared" si="39"/>
        <v>0</v>
      </c>
      <c r="EO28" s="171">
        <f t="shared" si="39"/>
        <v>0</v>
      </c>
      <c r="EP28" s="171">
        <f t="shared" si="39"/>
        <v>0</v>
      </c>
      <c r="EQ28" s="171">
        <f t="shared" si="39"/>
        <v>0</v>
      </c>
    </row>
    <row r="29" spans="3:147" ht="11.25" customHeight="1">
      <c r="C29" s="163"/>
      <c r="D29" s="169" t="s">
        <v>233</v>
      </c>
      <c r="J29" s="170"/>
      <c r="K29" s="98"/>
      <c r="L29" s="171">
        <f>L26+L27-L28</f>
        <v>0</v>
      </c>
      <c r="M29" s="171">
        <f t="shared" ref="M29:BX29" si="40">M26+M27-M28</f>
        <v>0</v>
      </c>
      <c r="N29" s="171">
        <f t="shared" si="40"/>
        <v>0</v>
      </c>
      <c r="O29" s="171">
        <f t="shared" si="40"/>
        <v>0</v>
      </c>
      <c r="P29" s="171">
        <f t="shared" si="40"/>
        <v>0</v>
      </c>
      <c r="Q29" s="171">
        <f t="shared" si="40"/>
        <v>0</v>
      </c>
      <c r="R29" s="171">
        <f t="shared" si="40"/>
        <v>0</v>
      </c>
      <c r="S29" s="171">
        <f t="shared" si="40"/>
        <v>0</v>
      </c>
      <c r="T29" s="171">
        <f t="shared" si="40"/>
        <v>0</v>
      </c>
      <c r="U29" s="171">
        <f t="shared" si="40"/>
        <v>0</v>
      </c>
      <c r="V29" s="171">
        <f t="shared" si="40"/>
        <v>0</v>
      </c>
      <c r="W29" s="171">
        <f t="shared" si="40"/>
        <v>0</v>
      </c>
      <c r="X29" s="171">
        <f t="shared" si="40"/>
        <v>0</v>
      </c>
      <c r="Y29" s="171">
        <f t="shared" si="40"/>
        <v>0</v>
      </c>
      <c r="Z29" s="171">
        <f t="shared" si="40"/>
        <v>0</v>
      </c>
      <c r="AA29" s="171">
        <f t="shared" si="40"/>
        <v>0</v>
      </c>
      <c r="AB29" s="171">
        <f t="shared" si="40"/>
        <v>0</v>
      </c>
      <c r="AC29" s="171">
        <f t="shared" si="40"/>
        <v>0</v>
      </c>
      <c r="AD29" s="171">
        <f t="shared" si="40"/>
        <v>0</v>
      </c>
      <c r="AE29" s="171">
        <f t="shared" si="40"/>
        <v>0</v>
      </c>
      <c r="AF29" s="171">
        <f t="shared" si="40"/>
        <v>0</v>
      </c>
      <c r="AG29" s="171">
        <f t="shared" si="40"/>
        <v>0</v>
      </c>
      <c r="AH29" s="171">
        <f t="shared" si="40"/>
        <v>0</v>
      </c>
      <c r="AI29" s="171">
        <f t="shared" si="40"/>
        <v>0</v>
      </c>
      <c r="AJ29" s="171">
        <f t="shared" si="40"/>
        <v>213000000</v>
      </c>
      <c r="AK29" s="171">
        <f t="shared" si="40"/>
        <v>213000000</v>
      </c>
      <c r="AL29" s="171">
        <f t="shared" si="40"/>
        <v>213000000</v>
      </c>
      <c r="AM29" s="171">
        <f t="shared" si="40"/>
        <v>213000000</v>
      </c>
      <c r="AN29" s="171">
        <f t="shared" si="40"/>
        <v>213000000</v>
      </c>
      <c r="AO29" s="171">
        <f t="shared" si="40"/>
        <v>213000000</v>
      </c>
      <c r="AP29" s="171">
        <f t="shared" si="40"/>
        <v>213000000</v>
      </c>
      <c r="AQ29" s="171">
        <f t="shared" si="40"/>
        <v>213000000</v>
      </c>
      <c r="AR29" s="171">
        <f t="shared" si="40"/>
        <v>213000000</v>
      </c>
      <c r="AS29" s="171">
        <f t="shared" si="40"/>
        <v>213000000</v>
      </c>
      <c r="AT29" s="171">
        <f t="shared" si="40"/>
        <v>213000000</v>
      </c>
      <c r="AU29" s="171">
        <f t="shared" si="40"/>
        <v>213000000</v>
      </c>
      <c r="AV29" s="171">
        <f t="shared" si="40"/>
        <v>213000000</v>
      </c>
      <c r="AW29" s="171">
        <f t="shared" si="40"/>
        <v>213000000</v>
      </c>
      <c r="AX29" s="171">
        <f t="shared" si="40"/>
        <v>213000000</v>
      </c>
      <c r="AY29" s="171">
        <f t="shared" si="40"/>
        <v>213000000</v>
      </c>
      <c r="AZ29" s="171">
        <f t="shared" si="40"/>
        <v>213000000</v>
      </c>
      <c r="BA29" s="171">
        <f t="shared" si="40"/>
        <v>213000000</v>
      </c>
      <c r="BB29" s="171">
        <f t="shared" si="40"/>
        <v>213000000</v>
      </c>
      <c r="BC29" s="171">
        <f t="shared" si="40"/>
        <v>213000000</v>
      </c>
      <c r="BD29" s="171">
        <f t="shared" si="40"/>
        <v>213000000</v>
      </c>
      <c r="BE29" s="171">
        <f t="shared" si="40"/>
        <v>213000000</v>
      </c>
      <c r="BF29" s="171">
        <f t="shared" si="40"/>
        <v>213000000</v>
      </c>
      <c r="BG29" s="171">
        <f t="shared" si="40"/>
        <v>213000000</v>
      </c>
      <c r="BH29" s="171">
        <f t="shared" si="40"/>
        <v>213000000</v>
      </c>
      <c r="BI29" s="171">
        <f t="shared" si="40"/>
        <v>213000000</v>
      </c>
      <c r="BJ29" s="171">
        <f t="shared" si="40"/>
        <v>213000000</v>
      </c>
      <c r="BK29" s="171">
        <f t="shared" si="40"/>
        <v>213000000</v>
      </c>
      <c r="BL29" s="171">
        <f t="shared" si="40"/>
        <v>213000000</v>
      </c>
      <c r="BM29" s="171">
        <f t="shared" si="40"/>
        <v>213000000</v>
      </c>
      <c r="BN29" s="171">
        <f t="shared" si="40"/>
        <v>213000000</v>
      </c>
      <c r="BO29" s="171">
        <f t="shared" si="40"/>
        <v>213000000</v>
      </c>
      <c r="BP29" s="171">
        <f t="shared" si="40"/>
        <v>213000000</v>
      </c>
      <c r="BQ29" s="171">
        <f t="shared" si="40"/>
        <v>213000000</v>
      </c>
      <c r="BR29" s="171">
        <f t="shared" si="40"/>
        <v>213000000</v>
      </c>
      <c r="BS29" s="171">
        <f t="shared" si="40"/>
        <v>213000000</v>
      </c>
      <c r="BT29" s="171">
        <f t="shared" si="40"/>
        <v>0</v>
      </c>
      <c r="BU29" s="171">
        <f t="shared" si="40"/>
        <v>0</v>
      </c>
      <c r="BV29" s="171">
        <f t="shared" si="40"/>
        <v>0</v>
      </c>
      <c r="BW29" s="171">
        <f t="shared" si="40"/>
        <v>0</v>
      </c>
      <c r="BX29" s="171">
        <f t="shared" si="40"/>
        <v>0</v>
      </c>
      <c r="BY29" s="171">
        <f t="shared" ref="BY29:EJ29" si="41">BY26+BY27-BY28</f>
        <v>0</v>
      </c>
      <c r="BZ29" s="171">
        <f t="shared" si="41"/>
        <v>0</v>
      </c>
      <c r="CA29" s="171">
        <f t="shared" si="41"/>
        <v>0</v>
      </c>
      <c r="CB29" s="171">
        <f t="shared" si="41"/>
        <v>0</v>
      </c>
      <c r="CC29" s="171">
        <f t="shared" si="41"/>
        <v>0</v>
      </c>
      <c r="CD29" s="171">
        <f t="shared" si="41"/>
        <v>0</v>
      </c>
      <c r="CE29" s="171">
        <f t="shared" si="41"/>
        <v>0</v>
      </c>
      <c r="CF29" s="171">
        <f t="shared" si="41"/>
        <v>0</v>
      </c>
      <c r="CG29" s="171">
        <f t="shared" si="41"/>
        <v>0</v>
      </c>
      <c r="CH29" s="171">
        <f t="shared" si="41"/>
        <v>0</v>
      </c>
      <c r="CI29" s="171">
        <f t="shared" si="41"/>
        <v>0</v>
      </c>
      <c r="CJ29" s="171">
        <f t="shared" si="41"/>
        <v>0</v>
      </c>
      <c r="CK29" s="171">
        <f t="shared" si="41"/>
        <v>0</v>
      </c>
      <c r="CL29" s="171">
        <f t="shared" si="41"/>
        <v>0</v>
      </c>
      <c r="CM29" s="171">
        <f t="shared" si="41"/>
        <v>0</v>
      </c>
      <c r="CN29" s="171">
        <f t="shared" si="41"/>
        <v>0</v>
      </c>
      <c r="CO29" s="171">
        <f t="shared" si="41"/>
        <v>0</v>
      </c>
      <c r="CP29" s="171">
        <f t="shared" si="41"/>
        <v>0</v>
      </c>
      <c r="CQ29" s="171">
        <f t="shared" si="41"/>
        <v>0</v>
      </c>
      <c r="CR29" s="171">
        <f t="shared" si="41"/>
        <v>0</v>
      </c>
      <c r="CS29" s="171">
        <f t="shared" si="41"/>
        <v>0</v>
      </c>
      <c r="CT29" s="171">
        <f t="shared" si="41"/>
        <v>0</v>
      </c>
      <c r="CU29" s="171">
        <f t="shared" si="41"/>
        <v>0</v>
      </c>
      <c r="CV29" s="171">
        <f t="shared" si="41"/>
        <v>0</v>
      </c>
      <c r="CW29" s="171">
        <f t="shared" si="41"/>
        <v>0</v>
      </c>
      <c r="CX29" s="171">
        <f t="shared" si="41"/>
        <v>0</v>
      </c>
      <c r="CY29" s="171">
        <f t="shared" si="41"/>
        <v>0</v>
      </c>
      <c r="CZ29" s="171">
        <f t="shared" si="41"/>
        <v>0</v>
      </c>
      <c r="DA29" s="171">
        <f t="shared" si="41"/>
        <v>0</v>
      </c>
      <c r="DB29" s="171">
        <f t="shared" si="41"/>
        <v>0</v>
      </c>
      <c r="DC29" s="171">
        <f t="shared" si="41"/>
        <v>0</v>
      </c>
      <c r="DD29" s="171">
        <f t="shared" si="41"/>
        <v>0</v>
      </c>
      <c r="DE29" s="171">
        <f t="shared" si="41"/>
        <v>0</v>
      </c>
      <c r="DF29" s="171">
        <f t="shared" si="41"/>
        <v>0</v>
      </c>
      <c r="DG29" s="171">
        <f t="shared" si="41"/>
        <v>0</v>
      </c>
      <c r="DH29" s="171">
        <f t="shared" si="41"/>
        <v>0</v>
      </c>
      <c r="DI29" s="171">
        <f t="shared" si="41"/>
        <v>0</v>
      </c>
      <c r="DJ29" s="171">
        <f t="shared" si="41"/>
        <v>0</v>
      </c>
      <c r="DK29" s="171">
        <f t="shared" si="41"/>
        <v>0</v>
      </c>
      <c r="DL29" s="171">
        <f t="shared" si="41"/>
        <v>0</v>
      </c>
      <c r="DM29" s="171">
        <f t="shared" si="41"/>
        <v>0</v>
      </c>
      <c r="DN29" s="171">
        <f t="shared" si="41"/>
        <v>0</v>
      </c>
      <c r="DO29" s="171">
        <f t="shared" si="41"/>
        <v>0</v>
      </c>
      <c r="DP29" s="171">
        <f t="shared" si="41"/>
        <v>0</v>
      </c>
      <c r="DQ29" s="171">
        <f t="shared" si="41"/>
        <v>0</v>
      </c>
      <c r="DR29" s="171">
        <f t="shared" si="41"/>
        <v>0</v>
      </c>
      <c r="DS29" s="171">
        <f t="shared" si="41"/>
        <v>0</v>
      </c>
      <c r="DT29" s="171">
        <f t="shared" si="41"/>
        <v>0</v>
      </c>
      <c r="DU29" s="171">
        <f t="shared" si="41"/>
        <v>0</v>
      </c>
      <c r="DV29" s="171">
        <f t="shared" si="41"/>
        <v>0</v>
      </c>
      <c r="DW29" s="171">
        <f t="shared" si="41"/>
        <v>0</v>
      </c>
      <c r="DX29" s="171">
        <f t="shared" si="41"/>
        <v>0</v>
      </c>
      <c r="DY29" s="171">
        <f t="shared" si="41"/>
        <v>0</v>
      </c>
      <c r="DZ29" s="171">
        <f t="shared" si="41"/>
        <v>0</v>
      </c>
      <c r="EA29" s="171">
        <f t="shared" si="41"/>
        <v>0</v>
      </c>
      <c r="EB29" s="171">
        <f t="shared" si="41"/>
        <v>0</v>
      </c>
      <c r="EC29" s="171">
        <f t="shared" si="41"/>
        <v>0</v>
      </c>
      <c r="ED29" s="1321">
        <f t="shared" si="41"/>
        <v>0</v>
      </c>
      <c r="EE29" s="171">
        <f t="shared" si="41"/>
        <v>0</v>
      </c>
      <c r="EF29" s="171">
        <f t="shared" si="41"/>
        <v>0</v>
      </c>
      <c r="EG29" s="171">
        <f t="shared" si="41"/>
        <v>0</v>
      </c>
      <c r="EH29" s="171">
        <f t="shared" si="41"/>
        <v>0</v>
      </c>
      <c r="EI29" s="171">
        <f t="shared" si="41"/>
        <v>0</v>
      </c>
      <c r="EJ29" s="171">
        <f t="shared" si="41"/>
        <v>0</v>
      </c>
      <c r="EK29" s="171">
        <f t="shared" ref="EK29:EQ29" si="42">EK26+EK27-EK28</f>
        <v>0</v>
      </c>
      <c r="EL29" s="171">
        <f t="shared" si="42"/>
        <v>0</v>
      </c>
      <c r="EM29" s="171">
        <f t="shared" si="42"/>
        <v>0</v>
      </c>
      <c r="EN29" s="171">
        <f t="shared" si="42"/>
        <v>0</v>
      </c>
      <c r="EO29" s="171">
        <f t="shared" si="42"/>
        <v>0</v>
      </c>
      <c r="EP29" s="171">
        <f t="shared" si="42"/>
        <v>0</v>
      </c>
      <c r="EQ29" s="171">
        <f t="shared" si="42"/>
        <v>0</v>
      </c>
    </row>
    <row r="30" spans="3:147" ht="11.25" customHeight="1">
      <c r="C30" s="158" t="str">
        <f>'A&amp;R'!L34</f>
        <v>담보대출(3rd)</v>
      </c>
      <c r="D30" s="159"/>
      <c r="E30" s="159"/>
      <c r="F30" s="159"/>
      <c r="G30" s="159"/>
      <c r="H30" s="160"/>
      <c r="I30" s="219"/>
      <c r="J30" s="161"/>
      <c r="K30" s="98"/>
      <c r="L30" s="162"/>
      <c r="M30" s="162"/>
      <c r="N30" s="162"/>
      <c r="O30" s="162"/>
      <c r="P30" s="162"/>
      <c r="Q30" s="162"/>
      <c r="R30" s="162"/>
      <c r="S30" s="162"/>
      <c r="T30" s="162"/>
      <c r="U30" s="162"/>
      <c r="V30" s="162"/>
      <c r="W30" s="162"/>
      <c r="X30" s="162"/>
      <c r="Y30" s="162"/>
      <c r="Z30" s="162"/>
      <c r="AA30" s="162"/>
      <c r="AB30" s="162"/>
      <c r="AC30" s="162"/>
      <c r="AD30" s="162"/>
      <c r="AE30" s="162"/>
      <c r="AF30" s="162"/>
      <c r="AG30" s="162"/>
      <c r="AH30" s="162"/>
      <c r="AI30" s="162"/>
      <c r="AJ30" s="162"/>
      <c r="AK30" s="162"/>
      <c r="AL30" s="162"/>
      <c r="AM30" s="162"/>
      <c r="AN30" s="162"/>
      <c r="AO30" s="162"/>
      <c r="AP30" s="162"/>
      <c r="AQ30" s="162"/>
      <c r="AR30" s="162"/>
      <c r="AS30" s="162"/>
      <c r="AT30" s="162"/>
      <c r="AU30" s="162"/>
      <c r="AV30" s="162"/>
      <c r="AW30" s="162"/>
      <c r="AX30" s="162"/>
      <c r="AY30" s="162"/>
      <c r="AZ30" s="162"/>
      <c r="BA30" s="162"/>
      <c r="BB30" s="162"/>
      <c r="BC30" s="162"/>
      <c r="BD30" s="162"/>
      <c r="BE30" s="162"/>
      <c r="BF30" s="162"/>
      <c r="BG30" s="162"/>
      <c r="BH30" s="162"/>
      <c r="BI30" s="162"/>
      <c r="BJ30" s="162"/>
      <c r="BK30" s="162"/>
      <c r="BL30" s="162"/>
      <c r="BM30" s="162"/>
      <c r="BN30" s="162"/>
      <c r="BO30" s="162"/>
      <c r="BP30" s="162"/>
      <c r="BQ30" s="162"/>
      <c r="BR30" s="162"/>
      <c r="BS30" s="162"/>
      <c r="BT30" s="162"/>
      <c r="BU30" s="162"/>
      <c r="BV30" s="162"/>
      <c r="BW30" s="162"/>
      <c r="BX30" s="162"/>
      <c r="BY30" s="162"/>
      <c r="BZ30" s="162"/>
      <c r="CA30" s="162"/>
      <c r="CB30" s="162"/>
      <c r="CC30" s="162"/>
      <c r="CD30" s="162"/>
      <c r="CE30" s="162"/>
      <c r="CF30" s="162"/>
      <c r="CG30" s="162"/>
      <c r="CH30" s="162"/>
      <c r="CI30" s="162"/>
      <c r="CJ30" s="162"/>
      <c r="CK30" s="162"/>
      <c r="CL30" s="162"/>
      <c r="CM30" s="162"/>
      <c r="CN30" s="162"/>
      <c r="CO30" s="162"/>
      <c r="CP30" s="162"/>
      <c r="CQ30" s="162"/>
      <c r="CR30" s="162"/>
      <c r="CS30" s="162"/>
      <c r="CT30" s="162"/>
      <c r="CU30" s="162"/>
      <c r="CV30" s="162"/>
      <c r="CW30" s="162"/>
      <c r="CX30" s="162"/>
      <c r="CY30" s="162"/>
      <c r="CZ30" s="162"/>
      <c r="DA30" s="162"/>
      <c r="DB30" s="162"/>
      <c r="DC30" s="162"/>
      <c r="DD30" s="162"/>
      <c r="DE30" s="162"/>
      <c r="DF30" s="162"/>
      <c r="DG30" s="162"/>
      <c r="DH30" s="162"/>
      <c r="DI30" s="162"/>
      <c r="DJ30" s="162"/>
      <c r="DK30" s="162"/>
      <c r="DL30" s="162"/>
      <c r="DM30" s="162"/>
      <c r="DN30" s="162"/>
      <c r="DO30" s="162"/>
      <c r="DP30" s="162"/>
      <c r="DQ30" s="162"/>
      <c r="DR30" s="162"/>
      <c r="DS30" s="162"/>
      <c r="DT30" s="162"/>
      <c r="DU30" s="162"/>
      <c r="DV30" s="162"/>
      <c r="DW30" s="162"/>
      <c r="DX30" s="162"/>
      <c r="DY30" s="162"/>
      <c r="DZ30" s="162"/>
      <c r="EA30" s="162"/>
      <c r="EB30" s="162"/>
      <c r="EC30" s="162"/>
      <c r="ED30" s="1319"/>
      <c r="EE30" s="162"/>
      <c r="EF30" s="162"/>
      <c r="EG30" s="162"/>
      <c r="EH30" s="162"/>
      <c r="EI30" s="162"/>
      <c r="EJ30" s="162"/>
      <c r="EK30" s="162"/>
      <c r="EL30" s="162"/>
      <c r="EM30" s="162"/>
      <c r="EN30" s="162"/>
      <c r="EO30" s="162"/>
      <c r="EP30" s="162"/>
      <c r="EQ30" s="162"/>
    </row>
    <row r="31" spans="3:147" ht="11.25" customHeight="1">
      <c r="C31" s="163"/>
      <c r="D31" s="164" t="s">
        <v>230</v>
      </c>
      <c r="E31" s="165"/>
      <c r="F31" s="165"/>
      <c r="G31" s="165"/>
      <c r="H31" s="166"/>
      <c r="I31" s="221"/>
      <c r="J31" s="167"/>
      <c r="K31" s="98"/>
      <c r="L31" s="168">
        <f t="shared" ref="L31:AQ31" si="43">K34</f>
        <v>0</v>
      </c>
      <c r="M31" s="168">
        <f t="shared" si="43"/>
        <v>0</v>
      </c>
      <c r="N31" s="168">
        <f t="shared" si="43"/>
        <v>0</v>
      </c>
      <c r="O31" s="168">
        <f t="shared" si="43"/>
        <v>0</v>
      </c>
      <c r="P31" s="168">
        <f t="shared" si="43"/>
        <v>0</v>
      </c>
      <c r="Q31" s="168">
        <f t="shared" si="43"/>
        <v>0</v>
      </c>
      <c r="R31" s="168">
        <f t="shared" si="43"/>
        <v>0</v>
      </c>
      <c r="S31" s="168">
        <f t="shared" si="43"/>
        <v>0</v>
      </c>
      <c r="T31" s="168">
        <f t="shared" si="43"/>
        <v>0</v>
      </c>
      <c r="U31" s="168">
        <f t="shared" si="43"/>
        <v>0</v>
      </c>
      <c r="V31" s="168">
        <f t="shared" si="43"/>
        <v>0</v>
      </c>
      <c r="W31" s="168">
        <f t="shared" si="43"/>
        <v>0</v>
      </c>
      <c r="X31" s="168">
        <f t="shared" si="43"/>
        <v>0</v>
      </c>
      <c r="Y31" s="168">
        <f t="shared" si="43"/>
        <v>0</v>
      </c>
      <c r="Z31" s="168">
        <f t="shared" si="43"/>
        <v>0</v>
      </c>
      <c r="AA31" s="168">
        <f t="shared" si="43"/>
        <v>0</v>
      </c>
      <c r="AB31" s="168">
        <f t="shared" si="43"/>
        <v>0</v>
      </c>
      <c r="AC31" s="168">
        <f t="shared" si="43"/>
        <v>0</v>
      </c>
      <c r="AD31" s="168">
        <f t="shared" si="43"/>
        <v>0</v>
      </c>
      <c r="AE31" s="168">
        <f t="shared" si="43"/>
        <v>0</v>
      </c>
      <c r="AF31" s="168">
        <f t="shared" si="43"/>
        <v>0</v>
      </c>
      <c r="AG31" s="168">
        <f t="shared" si="43"/>
        <v>0</v>
      </c>
      <c r="AH31" s="168">
        <f t="shared" si="43"/>
        <v>0</v>
      </c>
      <c r="AI31" s="168">
        <f t="shared" si="43"/>
        <v>0</v>
      </c>
      <c r="AJ31" s="168">
        <f t="shared" si="43"/>
        <v>0</v>
      </c>
      <c r="AK31" s="168">
        <f t="shared" si="43"/>
        <v>0</v>
      </c>
      <c r="AL31" s="168">
        <f t="shared" si="43"/>
        <v>0</v>
      </c>
      <c r="AM31" s="168">
        <f t="shared" si="43"/>
        <v>0</v>
      </c>
      <c r="AN31" s="168">
        <f t="shared" si="43"/>
        <v>0</v>
      </c>
      <c r="AO31" s="168">
        <f t="shared" si="43"/>
        <v>0</v>
      </c>
      <c r="AP31" s="168">
        <f t="shared" si="43"/>
        <v>0</v>
      </c>
      <c r="AQ31" s="168">
        <f t="shared" si="43"/>
        <v>0</v>
      </c>
      <c r="AR31" s="168">
        <f t="shared" ref="AR31:BW31" si="44">AQ34</f>
        <v>0</v>
      </c>
      <c r="AS31" s="168">
        <f t="shared" si="44"/>
        <v>0</v>
      </c>
      <c r="AT31" s="168">
        <f t="shared" si="44"/>
        <v>0</v>
      </c>
      <c r="AU31" s="168">
        <f t="shared" si="44"/>
        <v>0</v>
      </c>
      <c r="AV31" s="168">
        <f t="shared" si="44"/>
        <v>0</v>
      </c>
      <c r="AW31" s="168">
        <f t="shared" si="44"/>
        <v>0</v>
      </c>
      <c r="AX31" s="168">
        <f t="shared" si="44"/>
        <v>0</v>
      </c>
      <c r="AY31" s="168">
        <f t="shared" si="44"/>
        <v>0</v>
      </c>
      <c r="AZ31" s="168">
        <f t="shared" si="44"/>
        <v>0</v>
      </c>
      <c r="BA31" s="168">
        <f t="shared" si="44"/>
        <v>0</v>
      </c>
      <c r="BB31" s="168">
        <f t="shared" si="44"/>
        <v>0</v>
      </c>
      <c r="BC31" s="168">
        <f t="shared" si="44"/>
        <v>0</v>
      </c>
      <c r="BD31" s="168">
        <f t="shared" si="44"/>
        <v>0</v>
      </c>
      <c r="BE31" s="168">
        <f t="shared" si="44"/>
        <v>0</v>
      </c>
      <c r="BF31" s="168">
        <f t="shared" si="44"/>
        <v>0</v>
      </c>
      <c r="BG31" s="168">
        <f t="shared" si="44"/>
        <v>0</v>
      </c>
      <c r="BH31" s="168">
        <f t="shared" si="44"/>
        <v>0</v>
      </c>
      <c r="BI31" s="168">
        <f t="shared" si="44"/>
        <v>0</v>
      </c>
      <c r="BJ31" s="168">
        <f t="shared" si="44"/>
        <v>0</v>
      </c>
      <c r="BK31" s="168">
        <f t="shared" si="44"/>
        <v>0</v>
      </c>
      <c r="BL31" s="168">
        <f t="shared" si="44"/>
        <v>0</v>
      </c>
      <c r="BM31" s="168">
        <f t="shared" si="44"/>
        <v>0</v>
      </c>
      <c r="BN31" s="168">
        <f t="shared" si="44"/>
        <v>0</v>
      </c>
      <c r="BO31" s="168">
        <f t="shared" si="44"/>
        <v>0</v>
      </c>
      <c r="BP31" s="168">
        <f t="shared" si="44"/>
        <v>0</v>
      </c>
      <c r="BQ31" s="168">
        <f t="shared" si="44"/>
        <v>0</v>
      </c>
      <c r="BR31" s="168">
        <f t="shared" si="44"/>
        <v>0</v>
      </c>
      <c r="BS31" s="168">
        <f t="shared" si="44"/>
        <v>0</v>
      </c>
      <c r="BT31" s="168">
        <f t="shared" si="44"/>
        <v>0</v>
      </c>
      <c r="BU31" s="168">
        <f t="shared" si="44"/>
        <v>213000000</v>
      </c>
      <c r="BV31" s="168">
        <f t="shared" si="44"/>
        <v>213000000</v>
      </c>
      <c r="BW31" s="168">
        <f t="shared" si="44"/>
        <v>213000000</v>
      </c>
      <c r="BX31" s="168">
        <f t="shared" ref="BX31:DC31" si="45">BW34</f>
        <v>213000000</v>
      </c>
      <c r="BY31" s="168">
        <f t="shared" si="45"/>
        <v>213000000</v>
      </c>
      <c r="BZ31" s="168">
        <f t="shared" si="45"/>
        <v>213000000</v>
      </c>
      <c r="CA31" s="168">
        <f t="shared" si="45"/>
        <v>213000000</v>
      </c>
      <c r="CB31" s="168">
        <f t="shared" si="45"/>
        <v>213000000</v>
      </c>
      <c r="CC31" s="168">
        <f t="shared" si="45"/>
        <v>213000000</v>
      </c>
      <c r="CD31" s="168">
        <f t="shared" si="45"/>
        <v>213000000</v>
      </c>
      <c r="CE31" s="168">
        <f t="shared" si="45"/>
        <v>213000000</v>
      </c>
      <c r="CF31" s="168">
        <f t="shared" si="45"/>
        <v>213000000</v>
      </c>
      <c r="CG31" s="168">
        <f t="shared" si="45"/>
        <v>213000000</v>
      </c>
      <c r="CH31" s="168">
        <f t="shared" si="45"/>
        <v>213000000</v>
      </c>
      <c r="CI31" s="168">
        <f t="shared" si="45"/>
        <v>213000000</v>
      </c>
      <c r="CJ31" s="168">
        <f t="shared" si="45"/>
        <v>213000000</v>
      </c>
      <c r="CK31" s="168">
        <f t="shared" si="45"/>
        <v>213000000</v>
      </c>
      <c r="CL31" s="168">
        <f t="shared" si="45"/>
        <v>213000000</v>
      </c>
      <c r="CM31" s="168">
        <f t="shared" si="45"/>
        <v>213000000</v>
      </c>
      <c r="CN31" s="168">
        <f t="shared" si="45"/>
        <v>213000000</v>
      </c>
      <c r="CO31" s="168">
        <f t="shared" si="45"/>
        <v>213000000</v>
      </c>
      <c r="CP31" s="168">
        <f t="shared" si="45"/>
        <v>213000000</v>
      </c>
      <c r="CQ31" s="168">
        <f t="shared" si="45"/>
        <v>213000000</v>
      </c>
      <c r="CR31" s="168">
        <f t="shared" si="45"/>
        <v>213000000</v>
      </c>
      <c r="CS31" s="168">
        <f t="shared" si="45"/>
        <v>213000000</v>
      </c>
      <c r="CT31" s="168">
        <f t="shared" si="45"/>
        <v>213000000</v>
      </c>
      <c r="CU31" s="168">
        <f t="shared" si="45"/>
        <v>213000000</v>
      </c>
      <c r="CV31" s="168">
        <f t="shared" si="45"/>
        <v>213000000</v>
      </c>
      <c r="CW31" s="168">
        <f t="shared" si="45"/>
        <v>213000000</v>
      </c>
      <c r="CX31" s="168">
        <f t="shared" si="45"/>
        <v>213000000</v>
      </c>
      <c r="CY31" s="168">
        <f t="shared" si="45"/>
        <v>213000000</v>
      </c>
      <c r="CZ31" s="168">
        <f t="shared" si="45"/>
        <v>213000000</v>
      </c>
      <c r="DA31" s="168">
        <f t="shared" si="45"/>
        <v>213000000</v>
      </c>
      <c r="DB31" s="168">
        <f t="shared" si="45"/>
        <v>213000000</v>
      </c>
      <c r="DC31" s="168">
        <f t="shared" si="45"/>
        <v>213000000</v>
      </c>
      <c r="DD31" s="168">
        <f t="shared" ref="DD31:EI31" si="46">DC34</f>
        <v>213000000</v>
      </c>
      <c r="DE31" s="168">
        <f t="shared" si="46"/>
        <v>213000000</v>
      </c>
      <c r="DF31" s="168">
        <f t="shared" si="46"/>
        <v>213000000</v>
      </c>
      <c r="DG31" s="168">
        <f t="shared" si="46"/>
        <v>213000000</v>
      </c>
      <c r="DH31" s="168">
        <f t="shared" si="46"/>
        <v>213000000</v>
      </c>
      <c r="DI31" s="168">
        <f t="shared" si="46"/>
        <v>213000000</v>
      </c>
      <c r="DJ31" s="168">
        <f t="shared" si="46"/>
        <v>213000000</v>
      </c>
      <c r="DK31" s="168">
        <f t="shared" si="46"/>
        <v>213000000</v>
      </c>
      <c r="DL31" s="168">
        <f t="shared" si="46"/>
        <v>213000000</v>
      </c>
      <c r="DM31" s="168">
        <f t="shared" si="46"/>
        <v>213000000</v>
      </c>
      <c r="DN31" s="168">
        <f t="shared" si="46"/>
        <v>213000000</v>
      </c>
      <c r="DO31" s="168">
        <f t="shared" si="46"/>
        <v>213000000</v>
      </c>
      <c r="DP31" s="168">
        <f t="shared" si="46"/>
        <v>213000000</v>
      </c>
      <c r="DQ31" s="168">
        <f t="shared" si="46"/>
        <v>213000000</v>
      </c>
      <c r="DR31" s="168">
        <f t="shared" si="46"/>
        <v>213000000</v>
      </c>
      <c r="DS31" s="168">
        <f t="shared" si="46"/>
        <v>213000000</v>
      </c>
      <c r="DT31" s="168">
        <f t="shared" si="46"/>
        <v>213000000</v>
      </c>
      <c r="DU31" s="168">
        <f t="shared" si="46"/>
        <v>213000000</v>
      </c>
      <c r="DV31" s="168">
        <f t="shared" si="46"/>
        <v>213000000</v>
      </c>
      <c r="DW31" s="168">
        <f t="shared" si="46"/>
        <v>213000000</v>
      </c>
      <c r="DX31" s="168">
        <f t="shared" si="46"/>
        <v>213000000</v>
      </c>
      <c r="DY31" s="168">
        <f t="shared" si="46"/>
        <v>213000000</v>
      </c>
      <c r="DZ31" s="168">
        <f t="shared" si="46"/>
        <v>213000000</v>
      </c>
      <c r="EA31" s="168">
        <f t="shared" si="46"/>
        <v>213000000</v>
      </c>
      <c r="EB31" s="168">
        <f t="shared" si="46"/>
        <v>213000000</v>
      </c>
      <c r="EC31" s="168">
        <f t="shared" si="46"/>
        <v>0</v>
      </c>
      <c r="ED31" s="1320">
        <f t="shared" si="46"/>
        <v>0</v>
      </c>
      <c r="EE31" s="168">
        <f t="shared" si="46"/>
        <v>0</v>
      </c>
      <c r="EF31" s="168">
        <f t="shared" si="46"/>
        <v>0</v>
      </c>
      <c r="EG31" s="168">
        <f t="shared" si="46"/>
        <v>0</v>
      </c>
      <c r="EH31" s="168">
        <f t="shared" si="46"/>
        <v>0</v>
      </c>
      <c r="EI31" s="168">
        <f t="shared" si="46"/>
        <v>0</v>
      </c>
      <c r="EJ31" s="168">
        <f t="shared" ref="EJ31:EQ31" si="47">EI34</f>
        <v>0</v>
      </c>
      <c r="EK31" s="168">
        <f t="shared" si="47"/>
        <v>0</v>
      </c>
      <c r="EL31" s="168">
        <f t="shared" si="47"/>
        <v>0</v>
      </c>
      <c r="EM31" s="168">
        <f t="shared" si="47"/>
        <v>0</v>
      </c>
      <c r="EN31" s="168">
        <f t="shared" si="47"/>
        <v>0</v>
      </c>
      <c r="EO31" s="168">
        <f t="shared" si="47"/>
        <v>0</v>
      </c>
      <c r="EP31" s="168">
        <f t="shared" si="47"/>
        <v>0</v>
      </c>
      <c r="EQ31" s="168">
        <f t="shared" si="47"/>
        <v>0</v>
      </c>
    </row>
    <row r="32" spans="3:147" ht="11.25" customHeight="1">
      <c r="C32" s="163"/>
      <c r="D32" s="169" t="s">
        <v>231</v>
      </c>
      <c r="H32" s="146">
        <f>'A&amp;R'!M34</f>
        <v>48152</v>
      </c>
      <c r="I32" s="13">
        <f>'A&amp;R'!P34</f>
        <v>213000000</v>
      </c>
      <c r="J32" s="170">
        <f>SUM(L32:EQ32)</f>
        <v>213000000</v>
      </c>
      <c r="K32" s="98"/>
      <c r="L32" s="171">
        <f>(L$14=$H32)*$I32</f>
        <v>0</v>
      </c>
      <c r="M32" s="171">
        <f t="shared" ref="M32:BX32" si="48">(M$14=$H32)*$I32</f>
        <v>0</v>
      </c>
      <c r="N32" s="171">
        <f t="shared" si="48"/>
        <v>0</v>
      </c>
      <c r="O32" s="171">
        <f t="shared" si="48"/>
        <v>0</v>
      </c>
      <c r="P32" s="171">
        <f t="shared" si="48"/>
        <v>0</v>
      </c>
      <c r="Q32" s="171">
        <f t="shared" si="48"/>
        <v>0</v>
      </c>
      <c r="R32" s="171">
        <f t="shared" si="48"/>
        <v>0</v>
      </c>
      <c r="S32" s="171">
        <f t="shared" si="48"/>
        <v>0</v>
      </c>
      <c r="T32" s="171">
        <f t="shared" si="48"/>
        <v>0</v>
      </c>
      <c r="U32" s="171">
        <f t="shared" si="48"/>
        <v>0</v>
      </c>
      <c r="V32" s="171">
        <f t="shared" si="48"/>
        <v>0</v>
      </c>
      <c r="W32" s="171">
        <f t="shared" si="48"/>
        <v>0</v>
      </c>
      <c r="X32" s="171">
        <f t="shared" si="48"/>
        <v>0</v>
      </c>
      <c r="Y32" s="171">
        <f t="shared" si="48"/>
        <v>0</v>
      </c>
      <c r="Z32" s="171">
        <f t="shared" si="48"/>
        <v>0</v>
      </c>
      <c r="AA32" s="171">
        <f t="shared" si="48"/>
        <v>0</v>
      </c>
      <c r="AB32" s="171">
        <f t="shared" si="48"/>
        <v>0</v>
      </c>
      <c r="AC32" s="171">
        <f t="shared" si="48"/>
        <v>0</v>
      </c>
      <c r="AD32" s="171">
        <f t="shared" si="48"/>
        <v>0</v>
      </c>
      <c r="AE32" s="171">
        <f t="shared" si="48"/>
        <v>0</v>
      </c>
      <c r="AF32" s="171">
        <f t="shared" si="48"/>
        <v>0</v>
      </c>
      <c r="AG32" s="171">
        <f t="shared" si="48"/>
        <v>0</v>
      </c>
      <c r="AH32" s="171">
        <f t="shared" si="48"/>
        <v>0</v>
      </c>
      <c r="AI32" s="171">
        <f t="shared" si="48"/>
        <v>0</v>
      </c>
      <c r="AJ32" s="171">
        <f t="shared" si="48"/>
        <v>0</v>
      </c>
      <c r="AK32" s="171">
        <f t="shared" si="48"/>
        <v>0</v>
      </c>
      <c r="AL32" s="171">
        <f t="shared" si="48"/>
        <v>0</v>
      </c>
      <c r="AM32" s="171">
        <f t="shared" si="48"/>
        <v>0</v>
      </c>
      <c r="AN32" s="171">
        <f t="shared" si="48"/>
        <v>0</v>
      </c>
      <c r="AO32" s="171">
        <f t="shared" si="48"/>
        <v>0</v>
      </c>
      <c r="AP32" s="171">
        <f t="shared" si="48"/>
        <v>0</v>
      </c>
      <c r="AQ32" s="171">
        <f t="shared" si="48"/>
        <v>0</v>
      </c>
      <c r="AR32" s="171">
        <f t="shared" si="48"/>
        <v>0</v>
      </c>
      <c r="AS32" s="171">
        <f t="shared" si="48"/>
        <v>0</v>
      </c>
      <c r="AT32" s="171">
        <f t="shared" si="48"/>
        <v>0</v>
      </c>
      <c r="AU32" s="171">
        <f t="shared" si="48"/>
        <v>0</v>
      </c>
      <c r="AV32" s="171">
        <f t="shared" si="48"/>
        <v>0</v>
      </c>
      <c r="AW32" s="171">
        <f t="shared" si="48"/>
        <v>0</v>
      </c>
      <c r="AX32" s="171">
        <f t="shared" si="48"/>
        <v>0</v>
      </c>
      <c r="AY32" s="171">
        <f t="shared" si="48"/>
        <v>0</v>
      </c>
      <c r="AZ32" s="171">
        <f t="shared" si="48"/>
        <v>0</v>
      </c>
      <c r="BA32" s="171">
        <f t="shared" si="48"/>
        <v>0</v>
      </c>
      <c r="BB32" s="171">
        <f t="shared" si="48"/>
        <v>0</v>
      </c>
      <c r="BC32" s="171">
        <f t="shared" si="48"/>
        <v>0</v>
      </c>
      <c r="BD32" s="171">
        <f t="shared" si="48"/>
        <v>0</v>
      </c>
      <c r="BE32" s="171">
        <f t="shared" si="48"/>
        <v>0</v>
      </c>
      <c r="BF32" s="171">
        <f t="shared" si="48"/>
        <v>0</v>
      </c>
      <c r="BG32" s="171">
        <f t="shared" si="48"/>
        <v>0</v>
      </c>
      <c r="BH32" s="171">
        <f t="shared" si="48"/>
        <v>0</v>
      </c>
      <c r="BI32" s="171">
        <f t="shared" si="48"/>
        <v>0</v>
      </c>
      <c r="BJ32" s="171">
        <f t="shared" si="48"/>
        <v>0</v>
      </c>
      <c r="BK32" s="171">
        <f t="shared" si="48"/>
        <v>0</v>
      </c>
      <c r="BL32" s="171">
        <f t="shared" si="48"/>
        <v>0</v>
      </c>
      <c r="BM32" s="171">
        <f t="shared" si="48"/>
        <v>0</v>
      </c>
      <c r="BN32" s="171">
        <f t="shared" si="48"/>
        <v>0</v>
      </c>
      <c r="BO32" s="171">
        <f t="shared" si="48"/>
        <v>0</v>
      </c>
      <c r="BP32" s="171">
        <f t="shared" si="48"/>
        <v>0</v>
      </c>
      <c r="BQ32" s="171">
        <f t="shared" si="48"/>
        <v>0</v>
      </c>
      <c r="BR32" s="171">
        <f t="shared" si="48"/>
        <v>0</v>
      </c>
      <c r="BS32" s="171">
        <f t="shared" si="48"/>
        <v>0</v>
      </c>
      <c r="BT32" s="171">
        <f t="shared" si="48"/>
        <v>213000000</v>
      </c>
      <c r="BU32" s="171">
        <f t="shared" si="48"/>
        <v>0</v>
      </c>
      <c r="BV32" s="171">
        <f t="shared" si="48"/>
        <v>0</v>
      </c>
      <c r="BW32" s="171">
        <f t="shared" si="48"/>
        <v>0</v>
      </c>
      <c r="BX32" s="171">
        <f t="shared" si="48"/>
        <v>0</v>
      </c>
      <c r="BY32" s="171">
        <f t="shared" ref="BY32:EQ32" si="49">(BY$14=$H32)*$I32</f>
        <v>0</v>
      </c>
      <c r="BZ32" s="171">
        <f t="shared" si="49"/>
        <v>0</v>
      </c>
      <c r="CA32" s="171">
        <f t="shared" si="49"/>
        <v>0</v>
      </c>
      <c r="CB32" s="171">
        <f t="shared" si="49"/>
        <v>0</v>
      </c>
      <c r="CC32" s="171">
        <f t="shared" si="49"/>
        <v>0</v>
      </c>
      <c r="CD32" s="171">
        <f t="shared" si="49"/>
        <v>0</v>
      </c>
      <c r="CE32" s="171">
        <f t="shared" si="49"/>
        <v>0</v>
      </c>
      <c r="CF32" s="171">
        <f t="shared" si="49"/>
        <v>0</v>
      </c>
      <c r="CG32" s="171">
        <f t="shared" si="49"/>
        <v>0</v>
      </c>
      <c r="CH32" s="171">
        <f t="shared" si="49"/>
        <v>0</v>
      </c>
      <c r="CI32" s="171">
        <f t="shared" si="49"/>
        <v>0</v>
      </c>
      <c r="CJ32" s="171">
        <f t="shared" si="49"/>
        <v>0</v>
      </c>
      <c r="CK32" s="171">
        <f t="shared" si="49"/>
        <v>0</v>
      </c>
      <c r="CL32" s="171">
        <f t="shared" si="49"/>
        <v>0</v>
      </c>
      <c r="CM32" s="171">
        <f t="shared" si="49"/>
        <v>0</v>
      </c>
      <c r="CN32" s="171">
        <f t="shared" si="49"/>
        <v>0</v>
      </c>
      <c r="CO32" s="171">
        <f t="shared" si="49"/>
        <v>0</v>
      </c>
      <c r="CP32" s="171">
        <f t="shared" si="49"/>
        <v>0</v>
      </c>
      <c r="CQ32" s="171">
        <f t="shared" si="49"/>
        <v>0</v>
      </c>
      <c r="CR32" s="171">
        <f t="shared" si="49"/>
        <v>0</v>
      </c>
      <c r="CS32" s="171">
        <f t="shared" si="49"/>
        <v>0</v>
      </c>
      <c r="CT32" s="171">
        <f t="shared" si="49"/>
        <v>0</v>
      </c>
      <c r="CU32" s="171">
        <f t="shared" si="49"/>
        <v>0</v>
      </c>
      <c r="CV32" s="171">
        <f t="shared" si="49"/>
        <v>0</v>
      </c>
      <c r="CW32" s="171">
        <f t="shared" si="49"/>
        <v>0</v>
      </c>
      <c r="CX32" s="171">
        <f t="shared" si="49"/>
        <v>0</v>
      </c>
      <c r="CY32" s="171">
        <f t="shared" si="49"/>
        <v>0</v>
      </c>
      <c r="CZ32" s="171">
        <f t="shared" si="49"/>
        <v>0</v>
      </c>
      <c r="DA32" s="171">
        <f t="shared" si="49"/>
        <v>0</v>
      </c>
      <c r="DB32" s="171">
        <f t="shared" si="49"/>
        <v>0</v>
      </c>
      <c r="DC32" s="171">
        <f t="shared" si="49"/>
        <v>0</v>
      </c>
      <c r="DD32" s="171">
        <f t="shared" si="49"/>
        <v>0</v>
      </c>
      <c r="DE32" s="171">
        <f t="shared" si="49"/>
        <v>0</v>
      </c>
      <c r="DF32" s="171">
        <f t="shared" si="49"/>
        <v>0</v>
      </c>
      <c r="DG32" s="171">
        <f t="shared" si="49"/>
        <v>0</v>
      </c>
      <c r="DH32" s="171">
        <f t="shared" si="49"/>
        <v>0</v>
      </c>
      <c r="DI32" s="171">
        <f t="shared" si="49"/>
        <v>0</v>
      </c>
      <c r="DJ32" s="171">
        <f t="shared" si="49"/>
        <v>0</v>
      </c>
      <c r="DK32" s="171">
        <f t="shared" si="49"/>
        <v>0</v>
      </c>
      <c r="DL32" s="171">
        <f t="shared" si="49"/>
        <v>0</v>
      </c>
      <c r="DM32" s="171">
        <f t="shared" si="49"/>
        <v>0</v>
      </c>
      <c r="DN32" s="171">
        <f t="shared" si="49"/>
        <v>0</v>
      </c>
      <c r="DO32" s="171">
        <f t="shared" si="49"/>
        <v>0</v>
      </c>
      <c r="DP32" s="171">
        <f t="shared" si="49"/>
        <v>0</v>
      </c>
      <c r="DQ32" s="171">
        <f t="shared" si="49"/>
        <v>0</v>
      </c>
      <c r="DR32" s="171">
        <f t="shared" si="49"/>
        <v>0</v>
      </c>
      <c r="DS32" s="171">
        <f t="shared" si="49"/>
        <v>0</v>
      </c>
      <c r="DT32" s="171">
        <f t="shared" si="49"/>
        <v>0</v>
      </c>
      <c r="DU32" s="171">
        <f t="shared" si="49"/>
        <v>0</v>
      </c>
      <c r="DV32" s="171">
        <f t="shared" si="49"/>
        <v>0</v>
      </c>
      <c r="DW32" s="171">
        <f t="shared" si="49"/>
        <v>0</v>
      </c>
      <c r="DX32" s="171">
        <f t="shared" si="49"/>
        <v>0</v>
      </c>
      <c r="DY32" s="171">
        <f t="shared" si="49"/>
        <v>0</v>
      </c>
      <c r="DZ32" s="171">
        <f t="shared" si="49"/>
        <v>0</v>
      </c>
      <c r="EA32" s="171">
        <f t="shared" si="49"/>
        <v>0</v>
      </c>
      <c r="EB32" s="171">
        <f t="shared" si="49"/>
        <v>0</v>
      </c>
      <c r="EC32" s="171">
        <f t="shared" si="49"/>
        <v>0</v>
      </c>
      <c r="ED32" s="1321">
        <f t="shared" si="49"/>
        <v>0</v>
      </c>
      <c r="EE32" s="171">
        <f t="shared" si="49"/>
        <v>0</v>
      </c>
      <c r="EF32" s="171">
        <f t="shared" si="49"/>
        <v>0</v>
      </c>
      <c r="EG32" s="171">
        <f t="shared" si="49"/>
        <v>0</v>
      </c>
      <c r="EH32" s="171">
        <f t="shared" si="49"/>
        <v>0</v>
      </c>
      <c r="EI32" s="171">
        <f t="shared" si="49"/>
        <v>0</v>
      </c>
      <c r="EJ32" s="171">
        <f t="shared" si="49"/>
        <v>0</v>
      </c>
      <c r="EK32" s="171">
        <f t="shared" si="49"/>
        <v>0</v>
      </c>
      <c r="EL32" s="171">
        <f t="shared" si="49"/>
        <v>0</v>
      </c>
      <c r="EM32" s="171">
        <f t="shared" si="49"/>
        <v>0</v>
      </c>
      <c r="EN32" s="171">
        <f t="shared" si="49"/>
        <v>0</v>
      </c>
      <c r="EO32" s="171">
        <f t="shared" si="49"/>
        <v>0</v>
      </c>
      <c r="EP32" s="171">
        <f t="shared" si="49"/>
        <v>0</v>
      </c>
      <c r="EQ32" s="171">
        <f t="shared" si="49"/>
        <v>0</v>
      </c>
    </row>
    <row r="33" spans="3:147" ht="11.25" customHeight="1">
      <c r="C33" s="163"/>
      <c r="D33" s="169" t="s">
        <v>232</v>
      </c>
      <c r="H33" s="146">
        <f>'A&amp;R'!N34</f>
        <v>49979</v>
      </c>
      <c r="J33" s="170">
        <f>SUM(L33:EQ33)</f>
        <v>213000000</v>
      </c>
      <c r="K33" s="98"/>
      <c r="L33" s="171">
        <f>SUM(L31:L32)*(L$14=$H33)</f>
        <v>0</v>
      </c>
      <c r="M33" s="171">
        <f t="shared" ref="M33:BX33" si="50">SUM(M31:M32)*(M$14=$H33)</f>
        <v>0</v>
      </c>
      <c r="N33" s="171">
        <f t="shared" si="50"/>
        <v>0</v>
      </c>
      <c r="O33" s="171">
        <f t="shared" si="50"/>
        <v>0</v>
      </c>
      <c r="P33" s="171">
        <f t="shared" si="50"/>
        <v>0</v>
      </c>
      <c r="Q33" s="171">
        <f t="shared" si="50"/>
        <v>0</v>
      </c>
      <c r="R33" s="171">
        <f t="shared" si="50"/>
        <v>0</v>
      </c>
      <c r="S33" s="171">
        <f t="shared" si="50"/>
        <v>0</v>
      </c>
      <c r="T33" s="171">
        <f t="shared" si="50"/>
        <v>0</v>
      </c>
      <c r="U33" s="171">
        <f t="shared" si="50"/>
        <v>0</v>
      </c>
      <c r="V33" s="171">
        <f t="shared" si="50"/>
        <v>0</v>
      </c>
      <c r="W33" s="171">
        <f t="shared" si="50"/>
        <v>0</v>
      </c>
      <c r="X33" s="171">
        <f t="shared" si="50"/>
        <v>0</v>
      </c>
      <c r="Y33" s="171">
        <f t="shared" si="50"/>
        <v>0</v>
      </c>
      <c r="Z33" s="171">
        <f t="shared" si="50"/>
        <v>0</v>
      </c>
      <c r="AA33" s="171">
        <f t="shared" si="50"/>
        <v>0</v>
      </c>
      <c r="AB33" s="171">
        <f t="shared" si="50"/>
        <v>0</v>
      </c>
      <c r="AC33" s="171">
        <f t="shared" si="50"/>
        <v>0</v>
      </c>
      <c r="AD33" s="171">
        <f t="shared" si="50"/>
        <v>0</v>
      </c>
      <c r="AE33" s="171">
        <f t="shared" si="50"/>
        <v>0</v>
      </c>
      <c r="AF33" s="171">
        <f t="shared" si="50"/>
        <v>0</v>
      </c>
      <c r="AG33" s="171">
        <f t="shared" si="50"/>
        <v>0</v>
      </c>
      <c r="AH33" s="171">
        <f t="shared" si="50"/>
        <v>0</v>
      </c>
      <c r="AI33" s="171">
        <f t="shared" si="50"/>
        <v>0</v>
      </c>
      <c r="AJ33" s="171">
        <f t="shared" si="50"/>
        <v>0</v>
      </c>
      <c r="AK33" s="171">
        <f t="shared" si="50"/>
        <v>0</v>
      </c>
      <c r="AL33" s="171">
        <f t="shared" si="50"/>
        <v>0</v>
      </c>
      <c r="AM33" s="171">
        <f t="shared" si="50"/>
        <v>0</v>
      </c>
      <c r="AN33" s="171">
        <f t="shared" si="50"/>
        <v>0</v>
      </c>
      <c r="AO33" s="171">
        <f t="shared" si="50"/>
        <v>0</v>
      </c>
      <c r="AP33" s="171">
        <f t="shared" si="50"/>
        <v>0</v>
      </c>
      <c r="AQ33" s="171">
        <f t="shared" si="50"/>
        <v>0</v>
      </c>
      <c r="AR33" s="171">
        <f t="shared" si="50"/>
        <v>0</v>
      </c>
      <c r="AS33" s="171">
        <f t="shared" si="50"/>
        <v>0</v>
      </c>
      <c r="AT33" s="171">
        <f t="shared" si="50"/>
        <v>0</v>
      </c>
      <c r="AU33" s="171">
        <f t="shared" si="50"/>
        <v>0</v>
      </c>
      <c r="AV33" s="171">
        <f t="shared" si="50"/>
        <v>0</v>
      </c>
      <c r="AW33" s="171">
        <f t="shared" si="50"/>
        <v>0</v>
      </c>
      <c r="AX33" s="171">
        <f t="shared" si="50"/>
        <v>0</v>
      </c>
      <c r="AY33" s="171">
        <f t="shared" si="50"/>
        <v>0</v>
      </c>
      <c r="AZ33" s="171">
        <f t="shared" si="50"/>
        <v>0</v>
      </c>
      <c r="BA33" s="171">
        <f t="shared" si="50"/>
        <v>0</v>
      </c>
      <c r="BB33" s="171">
        <f t="shared" si="50"/>
        <v>0</v>
      </c>
      <c r="BC33" s="171">
        <f t="shared" si="50"/>
        <v>0</v>
      </c>
      <c r="BD33" s="171">
        <f t="shared" si="50"/>
        <v>0</v>
      </c>
      <c r="BE33" s="171">
        <f t="shared" si="50"/>
        <v>0</v>
      </c>
      <c r="BF33" s="171">
        <f t="shared" si="50"/>
        <v>0</v>
      </c>
      <c r="BG33" s="171">
        <f t="shared" si="50"/>
        <v>0</v>
      </c>
      <c r="BH33" s="171">
        <f t="shared" si="50"/>
        <v>0</v>
      </c>
      <c r="BI33" s="171">
        <f t="shared" si="50"/>
        <v>0</v>
      </c>
      <c r="BJ33" s="171">
        <f t="shared" si="50"/>
        <v>0</v>
      </c>
      <c r="BK33" s="171">
        <f t="shared" si="50"/>
        <v>0</v>
      </c>
      <c r="BL33" s="171">
        <f t="shared" si="50"/>
        <v>0</v>
      </c>
      <c r="BM33" s="171">
        <f t="shared" si="50"/>
        <v>0</v>
      </c>
      <c r="BN33" s="171">
        <f t="shared" si="50"/>
        <v>0</v>
      </c>
      <c r="BO33" s="171">
        <f t="shared" si="50"/>
        <v>0</v>
      </c>
      <c r="BP33" s="171">
        <f t="shared" si="50"/>
        <v>0</v>
      </c>
      <c r="BQ33" s="171">
        <f t="shared" si="50"/>
        <v>0</v>
      </c>
      <c r="BR33" s="171">
        <f t="shared" si="50"/>
        <v>0</v>
      </c>
      <c r="BS33" s="171">
        <f t="shared" si="50"/>
        <v>0</v>
      </c>
      <c r="BT33" s="171">
        <f t="shared" si="50"/>
        <v>0</v>
      </c>
      <c r="BU33" s="171">
        <f t="shared" si="50"/>
        <v>0</v>
      </c>
      <c r="BV33" s="171">
        <f t="shared" si="50"/>
        <v>0</v>
      </c>
      <c r="BW33" s="171">
        <f t="shared" si="50"/>
        <v>0</v>
      </c>
      <c r="BX33" s="171">
        <f t="shared" si="50"/>
        <v>0</v>
      </c>
      <c r="BY33" s="171">
        <f t="shared" ref="BY33:EJ33" si="51">SUM(BY31:BY32)*(BY$14=$H33)</f>
        <v>0</v>
      </c>
      <c r="BZ33" s="171">
        <f t="shared" si="51"/>
        <v>0</v>
      </c>
      <c r="CA33" s="171">
        <f t="shared" si="51"/>
        <v>0</v>
      </c>
      <c r="CB33" s="171">
        <f t="shared" si="51"/>
        <v>0</v>
      </c>
      <c r="CC33" s="171">
        <f t="shared" si="51"/>
        <v>0</v>
      </c>
      <c r="CD33" s="171">
        <f t="shared" si="51"/>
        <v>0</v>
      </c>
      <c r="CE33" s="171">
        <f t="shared" si="51"/>
        <v>0</v>
      </c>
      <c r="CF33" s="171">
        <f t="shared" si="51"/>
        <v>0</v>
      </c>
      <c r="CG33" s="171">
        <f t="shared" si="51"/>
        <v>0</v>
      </c>
      <c r="CH33" s="171">
        <f t="shared" si="51"/>
        <v>0</v>
      </c>
      <c r="CI33" s="171">
        <f t="shared" si="51"/>
        <v>0</v>
      </c>
      <c r="CJ33" s="171">
        <f t="shared" si="51"/>
        <v>0</v>
      </c>
      <c r="CK33" s="171">
        <f t="shared" si="51"/>
        <v>0</v>
      </c>
      <c r="CL33" s="171">
        <f t="shared" si="51"/>
        <v>0</v>
      </c>
      <c r="CM33" s="171">
        <f t="shared" si="51"/>
        <v>0</v>
      </c>
      <c r="CN33" s="171">
        <f t="shared" si="51"/>
        <v>0</v>
      </c>
      <c r="CO33" s="171">
        <f t="shared" si="51"/>
        <v>0</v>
      </c>
      <c r="CP33" s="171">
        <f t="shared" si="51"/>
        <v>0</v>
      </c>
      <c r="CQ33" s="171">
        <f t="shared" si="51"/>
        <v>0</v>
      </c>
      <c r="CR33" s="171">
        <f t="shared" si="51"/>
        <v>0</v>
      </c>
      <c r="CS33" s="171">
        <f t="shared" si="51"/>
        <v>0</v>
      </c>
      <c r="CT33" s="171">
        <f t="shared" si="51"/>
        <v>0</v>
      </c>
      <c r="CU33" s="171">
        <f t="shared" si="51"/>
        <v>0</v>
      </c>
      <c r="CV33" s="171">
        <f t="shared" si="51"/>
        <v>0</v>
      </c>
      <c r="CW33" s="171">
        <f t="shared" si="51"/>
        <v>0</v>
      </c>
      <c r="CX33" s="171">
        <f t="shared" si="51"/>
        <v>0</v>
      </c>
      <c r="CY33" s="171">
        <f t="shared" si="51"/>
        <v>0</v>
      </c>
      <c r="CZ33" s="171">
        <f t="shared" si="51"/>
        <v>0</v>
      </c>
      <c r="DA33" s="171">
        <f t="shared" si="51"/>
        <v>0</v>
      </c>
      <c r="DB33" s="171">
        <f t="shared" si="51"/>
        <v>0</v>
      </c>
      <c r="DC33" s="171">
        <f t="shared" si="51"/>
        <v>0</v>
      </c>
      <c r="DD33" s="171">
        <f t="shared" si="51"/>
        <v>0</v>
      </c>
      <c r="DE33" s="171">
        <f t="shared" si="51"/>
        <v>0</v>
      </c>
      <c r="DF33" s="171">
        <f t="shared" si="51"/>
        <v>0</v>
      </c>
      <c r="DG33" s="171">
        <f t="shared" si="51"/>
        <v>0</v>
      </c>
      <c r="DH33" s="171">
        <f t="shared" si="51"/>
        <v>0</v>
      </c>
      <c r="DI33" s="171">
        <f t="shared" si="51"/>
        <v>0</v>
      </c>
      <c r="DJ33" s="171">
        <f t="shared" si="51"/>
        <v>0</v>
      </c>
      <c r="DK33" s="171">
        <f t="shared" si="51"/>
        <v>0</v>
      </c>
      <c r="DL33" s="171">
        <f t="shared" si="51"/>
        <v>0</v>
      </c>
      <c r="DM33" s="171">
        <f t="shared" si="51"/>
        <v>0</v>
      </c>
      <c r="DN33" s="171">
        <f t="shared" si="51"/>
        <v>0</v>
      </c>
      <c r="DO33" s="171">
        <f t="shared" si="51"/>
        <v>0</v>
      </c>
      <c r="DP33" s="171">
        <f t="shared" si="51"/>
        <v>0</v>
      </c>
      <c r="DQ33" s="171">
        <f t="shared" si="51"/>
        <v>0</v>
      </c>
      <c r="DR33" s="171">
        <f t="shared" si="51"/>
        <v>0</v>
      </c>
      <c r="DS33" s="171">
        <f t="shared" si="51"/>
        <v>0</v>
      </c>
      <c r="DT33" s="171">
        <f t="shared" si="51"/>
        <v>0</v>
      </c>
      <c r="DU33" s="171">
        <f t="shared" si="51"/>
        <v>0</v>
      </c>
      <c r="DV33" s="171">
        <f t="shared" si="51"/>
        <v>0</v>
      </c>
      <c r="DW33" s="171">
        <f t="shared" si="51"/>
        <v>0</v>
      </c>
      <c r="DX33" s="171">
        <f t="shared" si="51"/>
        <v>0</v>
      </c>
      <c r="DY33" s="171">
        <f t="shared" si="51"/>
        <v>0</v>
      </c>
      <c r="DZ33" s="171">
        <f t="shared" si="51"/>
        <v>0</v>
      </c>
      <c r="EA33" s="171">
        <f t="shared" si="51"/>
        <v>0</v>
      </c>
      <c r="EB33" s="171">
        <f t="shared" si="51"/>
        <v>213000000</v>
      </c>
      <c r="EC33" s="171">
        <f t="shared" si="51"/>
        <v>0</v>
      </c>
      <c r="ED33" s="1321">
        <f t="shared" si="51"/>
        <v>0</v>
      </c>
      <c r="EE33" s="171">
        <f t="shared" si="51"/>
        <v>0</v>
      </c>
      <c r="EF33" s="171">
        <f t="shared" si="51"/>
        <v>0</v>
      </c>
      <c r="EG33" s="171">
        <f t="shared" si="51"/>
        <v>0</v>
      </c>
      <c r="EH33" s="171">
        <f t="shared" si="51"/>
        <v>0</v>
      </c>
      <c r="EI33" s="171">
        <f t="shared" si="51"/>
        <v>0</v>
      </c>
      <c r="EJ33" s="171">
        <f t="shared" si="51"/>
        <v>0</v>
      </c>
      <c r="EK33" s="171">
        <f t="shared" ref="EK33:EQ33" si="52">SUM(EK31:EK32)*(EK$14=$H33)</f>
        <v>0</v>
      </c>
      <c r="EL33" s="171">
        <f t="shared" si="52"/>
        <v>0</v>
      </c>
      <c r="EM33" s="171">
        <f t="shared" si="52"/>
        <v>0</v>
      </c>
      <c r="EN33" s="171">
        <f t="shared" si="52"/>
        <v>0</v>
      </c>
      <c r="EO33" s="171">
        <f t="shared" si="52"/>
        <v>0</v>
      </c>
      <c r="EP33" s="171">
        <f t="shared" si="52"/>
        <v>0</v>
      </c>
      <c r="EQ33" s="171">
        <f t="shared" si="52"/>
        <v>0</v>
      </c>
    </row>
    <row r="34" spans="3:147" ht="11.25" customHeight="1">
      <c r="C34" s="163"/>
      <c r="D34" s="169" t="s">
        <v>233</v>
      </c>
      <c r="J34" s="170"/>
      <c r="K34" s="98"/>
      <c r="L34" s="171">
        <f>L31+L32-L33</f>
        <v>0</v>
      </c>
      <c r="M34" s="171">
        <f t="shared" ref="M34:BX34" si="53">M31+M32-M33</f>
        <v>0</v>
      </c>
      <c r="N34" s="171">
        <f t="shared" si="53"/>
        <v>0</v>
      </c>
      <c r="O34" s="171">
        <f t="shared" si="53"/>
        <v>0</v>
      </c>
      <c r="P34" s="171">
        <f t="shared" si="53"/>
        <v>0</v>
      </c>
      <c r="Q34" s="171">
        <f t="shared" si="53"/>
        <v>0</v>
      </c>
      <c r="R34" s="171">
        <f t="shared" si="53"/>
        <v>0</v>
      </c>
      <c r="S34" s="171">
        <f t="shared" si="53"/>
        <v>0</v>
      </c>
      <c r="T34" s="171">
        <f t="shared" si="53"/>
        <v>0</v>
      </c>
      <c r="U34" s="171">
        <f t="shared" si="53"/>
        <v>0</v>
      </c>
      <c r="V34" s="171">
        <f t="shared" si="53"/>
        <v>0</v>
      </c>
      <c r="W34" s="171">
        <f t="shared" si="53"/>
        <v>0</v>
      </c>
      <c r="X34" s="171">
        <f t="shared" si="53"/>
        <v>0</v>
      </c>
      <c r="Y34" s="171">
        <f t="shared" si="53"/>
        <v>0</v>
      </c>
      <c r="Z34" s="171">
        <f t="shared" si="53"/>
        <v>0</v>
      </c>
      <c r="AA34" s="171">
        <f t="shared" si="53"/>
        <v>0</v>
      </c>
      <c r="AB34" s="171">
        <f t="shared" si="53"/>
        <v>0</v>
      </c>
      <c r="AC34" s="171">
        <f t="shared" si="53"/>
        <v>0</v>
      </c>
      <c r="AD34" s="171">
        <f t="shared" si="53"/>
        <v>0</v>
      </c>
      <c r="AE34" s="171">
        <f t="shared" si="53"/>
        <v>0</v>
      </c>
      <c r="AF34" s="171">
        <f t="shared" si="53"/>
        <v>0</v>
      </c>
      <c r="AG34" s="171">
        <f t="shared" si="53"/>
        <v>0</v>
      </c>
      <c r="AH34" s="171">
        <f t="shared" si="53"/>
        <v>0</v>
      </c>
      <c r="AI34" s="171">
        <f t="shared" si="53"/>
        <v>0</v>
      </c>
      <c r="AJ34" s="171">
        <f t="shared" si="53"/>
        <v>0</v>
      </c>
      <c r="AK34" s="171">
        <f t="shared" si="53"/>
        <v>0</v>
      </c>
      <c r="AL34" s="171">
        <f t="shared" si="53"/>
        <v>0</v>
      </c>
      <c r="AM34" s="171">
        <f t="shared" si="53"/>
        <v>0</v>
      </c>
      <c r="AN34" s="171">
        <f t="shared" si="53"/>
        <v>0</v>
      </c>
      <c r="AO34" s="171">
        <f t="shared" si="53"/>
        <v>0</v>
      </c>
      <c r="AP34" s="171">
        <f t="shared" si="53"/>
        <v>0</v>
      </c>
      <c r="AQ34" s="171">
        <f t="shared" si="53"/>
        <v>0</v>
      </c>
      <c r="AR34" s="171">
        <f t="shared" si="53"/>
        <v>0</v>
      </c>
      <c r="AS34" s="171">
        <f t="shared" si="53"/>
        <v>0</v>
      </c>
      <c r="AT34" s="171">
        <f t="shared" si="53"/>
        <v>0</v>
      </c>
      <c r="AU34" s="171">
        <f t="shared" si="53"/>
        <v>0</v>
      </c>
      <c r="AV34" s="171">
        <f t="shared" si="53"/>
        <v>0</v>
      </c>
      <c r="AW34" s="171">
        <f t="shared" si="53"/>
        <v>0</v>
      </c>
      <c r="AX34" s="171">
        <f t="shared" si="53"/>
        <v>0</v>
      </c>
      <c r="AY34" s="171">
        <f t="shared" si="53"/>
        <v>0</v>
      </c>
      <c r="AZ34" s="171">
        <f t="shared" si="53"/>
        <v>0</v>
      </c>
      <c r="BA34" s="171">
        <f t="shared" si="53"/>
        <v>0</v>
      </c>
      <c r="BB34" s="171">
        <f t="shared" si="53"/>
        <v>0</v>
      </c>
      <c r="BC34" s="171">
        <f t="shared" si="53"/>
        <v>0</v>
      </c>
      <c r="BD34" s="171">
        <f t="shared" si="53"/>
        <v>0</v>
      </c>
      <c r="BE34" s="171">
        <f t="shared" si="53"/>
        <v>0</v>
      </c>
      <c r="BF34" s="171">
        <f t="shared" si="53"/>
        <v>0</v>
      </c>
      <c r="BG34" s="171">
        <f t="shared" si="53"/>
        <v>0</v>
      </c>
      <c r="BH34" s="171">
        <f t="shared" si="53"/>
        <v>0</v>
      </c>
      <c r="BI34" s="171">
        <f t="shared" si="53"/>
        <v>0</v>
      </c>
      <c r="BJ34" s="171">
        <f t="shared" si="53"/>
        <v>0</v>
      </c>
      <c r="BK34" s="171">
        <f t="shared" si="53"/>
        <v>0</v>
      </c>
      <c r="BL34" s="171">
        <f t="shared" si="53"/>
        <v>0</v>
      </c>
      <c r="BM34" s="171">
        <f t="shared" si="53"/>
        <v>0</v>
      </c>
      <c r="BN34" s="171">
        <f t="shared" si="53"/>
        <v>0</v>
      </c>
      <c r="BO34" s="171">
        <f t="shared" si="53"/>
        <v>0</v>
      </c>
      <c r="BP34" s="171">
        <f t="shared" si="53"/>
        <v>0</v>
      </c>
      <c r="BQ34" s="171">
        <f t="shared" si="53"/>
        <v>0</v>
      </c>
      <c r="BR34" s="171">
        <f t="shared" si="53"/>
        <v>0</v>
      </c>
      <c r="BS34" s="171">
        <f t="shared" si="53"/>
        <v>0</v>
      </c>
      <c r="BT34" s="171">
        <f t="shared" si="53"/>
        <v>213000000</v>
      </c>
      <c r="BU34" s="171">
        <f t="shared" si="53"/>
        <v>213000000</v>
      </c>
      <c r="BV34" s="171">
        <f t="shared" si="53"/>
        <v>213000000</v>
      </c>
      <c r="BW34" s="171">
        <f t="shared" si="53"/>
        <v>213000000</v>
      </c>
      <c r="BX34" s="171">
        <f t="shared" si="53"/>
        <v>213000000</v>
      </c>
      <c r="BY34" s="171">
        <f t="shared" ref="BY34:EJ34" si="54">BY31+BY32-BY33</f>
        <v>213000000</v>
      </c>
      <c r="BZ34" s="171">
        <f t="shared" si="54"/>
        <v>213000000</v>
      </c>
      <c r="CA34" s="171">
        <f t="shared" si="54"/>
        <v>213000000</v>
      </c>
      <c r="CB34" s="171">
        <f t="shared" si="54"/>
        <v>213000000</v>
      </c>
      <c r="CC34" s="171">
        <f t="shared" si="54"/>
        <v>213000000</v>
      </c>
      <c r="CD34" s="171">
        <f t="shared" si="54"/>
        <v>213000000</v>
      </c>
      <c r="CE34" s="171">
        <f t="shared" si="54"/>
        <v>213000000</v>
      </c>
      <c r="CF34" s="171">
        <f t="shared" si="54"/>
        <v>213000000</v>
      </c>
      <c r="CG34" s="171">
        <f t="shared" si="54"/>
        <v>213000000</v>
      </c>
      <c r="CH34" s="171">
        <f t="shared" si="54"/>
        <v>213000000</v>
      </c>
      <c r="CI34" s="171">
        <f t="shared" si="54"/>
        <v>213000000</v>
      </c>
      <c r="CJ34" s="171">
        <f t="shared" si="54"/>
        <v>213000000</v>
      </c>
      <c r="CK34" s="171">
        <f t="shared" si="54"/>
        <v>213000000</v>
      </c>
      <c r="CL34" s="171">
        <f t="shared" si="54"/>
        <v>213000000</v>
      </c>
      <c r="CM34" s="171">
        <f t="shared" si="54"/>
        <v>213000000</v>
      </c>
      <c r="CN34" s="171">
        <f t="shared" si="54"/>
        <v>213000000</v>
      </c>
      <c r="CO34" s="171">
        <f t="shared" si="54"/>
        <v>213000000</v>
      </c>
      <c r="CP34" s="171">
        <f t="shared" si="54"/>
        <v>213000000</v>
      </c>
      <c r="CQ34" s="171">
        <f t="shared" si="54"/>
        <v>213000000</v>
      </c>
      <c r="CR34" s="171">
        <f t="shared" si="54"/>
        <v>213000000</v>
      </c>
      <c r="CS34" s="171">
        <f t="shared" si="54"/>
        <v>213000000</v>
      </c>
      <c r="CT34" s="171">
        <f t="shared" si="54"/>
        <v>213000000</v>
      </c>
      <c r="CU34" s="171">
        <f t="shared" si="54"/>
        <v>213000000</v>
      </c>
      <c r="CV34" s="171">
        <f t="shared" si="54"/>
        <v>213000000</v>
      </c>
      <c r="CW34" s="171">
        <f t="shared" si="54"/>
        <v>213000000</v>
      </c>
      <c r="CX34" s="171">
        <f t="shared" si="54"/>
        <v>213000000</v>
      </c>
      <c r="CY34" s="171">
        <f t="shared" si="54"/>
        <v>213000000</v>
      </c>
      <c r="CZ34" s="171">
        <f t="shared" si="54"/>
        <v>213000000</v>
      </c>
      <c r="DA34" s="171">
        <f t="shared" si="54"/>
        <v>213000000</v>
      </c>
      <c r="DB34" s="171">
        <f t="shared" si="54"/>
        <v>213000000</v>
      </c>
      <c r="DC34" s="171">
        <f t="shared" si="54"/>
        <v>213000000</v>
      </c>
      <c r="DD34" s="171">
        <f t="shared" si="54"/>
        <v>213000000</v>
      </c>
      <c r="DE34" s="171">
        <f t="shared" si="54"/>
        <v>213000000</v>
      </c>
      <c r="DF34" s="171">
        <f t="shared" si="54"/>
        <v>213000000</v>
      </c>
      <c r="DG34" s="171">
        <f t="shared" si="54"/>
        <v>213000000</v>
      </c>
      <c r="DH34" s="171">
        <f t="shared" si="54"/>
        <v>213000000</v>
      </c>
      <c r="DI34" s="171">
        <f t="shared" si="54"/>
        <v>213000000</v>
      </c>
      <c r="DJ34" s="171">
        <f t="shared" si="54"/>
        <v>213000000</v>
      </c>
      <c r="DK34" s="171">
        <f t="shared" si="54"/>
        <v>213000000</v>
      </c>
      <c r="DL34" s="171">
        <f t="shared" si="54"/>
        <v>213000000</v>
      </c>
      <c r="DM34" s="171">
        <f t="shared" si="54"/>
        <v>213000000</v>
      </c>
      <c r="DN34" s="171">
        <f t="shared" si="54"/>
        <v>213000000</v>
      </c>
      <c r="DO34" s="171">
        <f t="shared" si="54"/>
        <v>213000000</v>
      </c>
      <c r="DP34" s="171">
        <f t="shared" si="54"/>
        <v>213000000</v>
      </c>
      <c r="DQ34" s="171">
        <f t="shared" si="54"/>
        <v>213000000</v>
      </c>
      <c r="DR34" s="171">
        <f t="shared" si="54"/>
        <v>213000000</v>
      </c>
      <c r="DS34" s="171">
        <f t="shared" si="54"/>
        <v>213000000</v>
      </c>
      <c r="DT34" s="171">
        <f t="shared" si="54"/>
        <v>213000000</v>
      </c>
      <c r="DU34" s="171">
        <f t="shared" si="54"/>
        <v>213000000</v>
      </c>
      <c r="DV34" s="171">
        <f t="shared" si="54"/>
        <v>213000000</v>
      </c>
      <c r="DW34" s="171">
        <f t="shared" si="54"/>
        <v>213000000</v>
      </c>
      <c r="DX34" s="171">
        <f t="shared" si="54"/>
        <v>213000000</v>
      </c>
      <c r="DY34" s="171">
        <f t="shared" si="54"/>
        <v>213000000</v>
      </c>
      <c r="DZ34" s="171">
        <f t="shared" si="54"/>
        <v>213000000</v>
      </c>
      <c r="EA34" s="171">
        <f t="shared" si="54"/>
        <v>213000000</v>
      </c>
      <c r="EB34" s="171">
        <f t="shared" si="54"/>
        <v>0</v>
      </c>
      <c r="EC34" s="171">
        <f t="shared" si="54"/>
        <v>0</v>
      </c>
      <c r="ED34" s="1321">
        <f t="shared" si="54"/>
        <v>0</v>
      </c>
      <c r="EE34" s="171">
        <f t="shared" si="54"/>
        <v>0</v>
      </c>
      <c r="EF34" s="171">
        <f t="shared" si="54"/>
        <v>0</v>
      </c>
      <c r="EG34" s="171">
        <f t="shared" si="54"/>
        <v>0</v>
      </c>
      <c r="EH34" s="171">
        <f t="shared" si="54"/>
        <v>0</v>
      </c>
      <c r="EI34" s="171">
        <f t="shared" si="54"/>
        <v>0</v>
      </c>
      <c r="EJ34" s="171">
        <f t="shared" si="54"/>
        <v>0</v>
      </c>
      <c r="EK34" s="171">
        <f t="shared" ref="EK34:EQ34" si="55">EK31+EK32-EK33</f>
        <v>0</v>
      </c>
      <c r="EL34" s="171">
        <f t="shared" si="55"/>
        <v>0</v>
      </c>
      <c r="EM34" s="171">
        <f t="shared" si="55"/>
        <v>0</v>
      </c>
      <c r="EN34" s="171">
        <f t="shared" si="55"/>
        <v>0</v>
      </c>
      <c r="EO34" s="171">
        <f t="shared" si="55"/>
        <v>0</v>
      </c>
      <c r="EP34" s="171">
        <f t="shared" si="55"/>
        <v>0</v>
      </c>
      <c r="EQ34" s="171">
        <f t="shared" si="55"/>
        <v>0</v>
      </c>
    </row>
    <row r="35" spans="3:147" ht="11.25" customHeight="1">
      <c r="C35" s="158" t="s">
        <v>644</v>
      </c>
      <c r="D35" s="159"/>
      <c r="E35" s="159"/>
      <c r="F35" s="159"/>
      <c r="G35" s="159"/>
      <c r="H35" s="160"/>
      <c r="I35" s="219"/>
      <c r="J35" s="161"/>
      <c r="K35" s="98"/>
      <c r="L35" s="162"/>
      <c r="M35" s="162"/>
      <c r="N35" s="162"/>
      <c r="O35" s="162"/>
      <c r="P35" s="162"/>
      <c r="Q35" s="162"/>
      <c r="R35" s="162"/>
      <c r="S35" s="162"/>
      <c r="T35" s="162"/>
      <c r="U35" s="162"/>
      <c r="V35" s="162"/>
      <c r="W35" s="162"/>
      <c r="X35" s="162"/>
      <c r="Y35" s="162"/>
      <c r="Z35" s="162"/>
      <c r="AA35" s="162"/>
      <c r="AB35" s="162"/>
      <c r="AC35" s="162"/>
      <c r="AD35" s="162"/>
      <c r="AE35" s="162"/>
      <c r="AF35" s="162"/>
      <c r="AG35" s="162"/>
      <c r="AH35" s="162"/>
      <c r="AI35" s="162"/>
      <c r="AJ35" s="162"/>
      <c r="AK35" s="162"/>
      <c r="AL35" s="162"/>
      <c r="AM35" s="162"/>
      <c r="AN35" s="162"/>
      <c r="AO35" s="162"/>
      <c r="AP35" s="162"/>
      <c r="AQ35" s="162"/>
      <c r="AR35" s="162"/>
      <c r="AS35" s="162"/>
      <c r="AT35" s="162"/>
      <c r="AU35" s="162"/>
      <c r="AV35" s="162"/>
      <c r="AW35" s="162"/>
      <c r="AX35" s="162"/>
      <c r="AY35" s="162"/>
      <c r="AZ35" s="162"/>
      <c r="BA35" s="162"/>
      <c r="BB35" s="162"/>
      <c r="BC35" s="162"/>
      <c r="BD35" s="162"/>
      <c r="BE35" s="162"/>
      <c r="BF35" s="162"/>
      <c r="BG35" s="162"/>
      <c r="BH35" s="162"/>
      <c r="BI35" s="162"/>
      <c r="BJ35" s="162"/>
      <c r="BK35" s="162"/>
      <c r="BL35" s="162"/>
      <c r="BM35" s="162"/>
      <c r="BN35" s="162"/>
      <c r="BO35" s="162"/>
      <c r="BP35" s="162"/>
      <c r="BQ35" s="162"/>
      <c r="BR35" s="162"/>
      <c r="BS35" s="162"/>
      <c r="BT35" s="162"/>
      <c r="BU35" s="162"/>
      <c r="BV35" s="162"/>
      <c r="BW35" s="162"/>
      <c r="BX35" s="162"/>
      <c r="BY35" s="162"/>
      <c r="BZ35" s="162"/>
      <c r="CA35" s="162"/>
      <c r="CB35" s="162"/>
      <c r="CC35" s="162"/>
      <c r="CD35" s="162"/>
      <c r="CE35" s="162"/>
      <c r="CF35" s="162"/>
      <c r="CG35" s="162"/>
      <c r="CH35" s="162"/>
      <c r="CI35" s="162"/>
      <c r="CJ35" s="162"/>
      <c r="CK35" s="162"/>
      <c r="CL35" s="162"/>
      <c r="CM35" s="162"/>
      <c r="CN35" s="162"/>
      <c r="CO35" s="162"/>
      <c r="CP35" s="162"/>
      <c r="CQ35" s="162"/>
      <c r="CR35" s="162"/>
      <c r="CS35" s="162"/>
      <c r="CT35" s="162"/>
      <c r="CU35" s="162"/>
      <c r="CV35" s="162"/>
      <c r="CW35" s="162"/>
      <c r="CX35" s="162"/>
      <c r="CY35" s="162"/>
      <c r="CZ35" s="162"/>
      <c r="DA35" s="162"/>
      <c r="DB35" s="162"/>
      <c r="DC35" s="162"/>
      <c r="DD35" s="162"/>
      <c r="DE35" s="162"/>
      <c r="DF35" s="162"/>
      <c r="DG35" s="162"/>
      <c r="DH35" s="162"/>
      <c r="DI35" s="162"/>
      <c r="DJ35" s="162"/>
      <c r="DK35" s="162"/>
      <c r="DL35" s="162"/>
      <c r="DM35" s="162"/>
      <c r="DN35" s="162"/>
      <c r="DO35" s="162"/>
      <c r="DP35" s="162"/>
      <c r="DQ35" s="162"/>
      <c r="DR35" s="162"/>
      <c r="DS35" s="162"/>
      <c r="DT35" s="162"/>
      <c r="DU35" s="162"/>
      <c r="DV35" s="162"/>
      <c r="DW35" s="162"/>
      <c r="DX35" s="162"/>
      <c r="DY35" s="162"/>
      <c r="DZ35" s="162"/>
      <c r="EA35" s="162"/>
      <c r="EB35" s="162"/>
      <c r="EC35" s="162"/>
      <c r="ED35" s="1319"/>
      <c r="EE35" s="162"/>
      <c r="EF35" s="162"/>
      <c r="EG35" s="162"/>
      <c r="EH35" s="162"/>
      <c r="EI35" s="162"/>
      <c r="EJ35" s="162"/>
      <c r="EK35" s="162"/>
      <c r="EL35" s="162"/>
      <c r="EM35" s="162"/>
      <c r="EN35" s="162"/>
      <c r="EO35" s="162"/>
      <c r="EP35" s="162"/>
      <c r="EQ35" s="162"/>
    </row>
    <row r="36" spans="3:147" ht="11.25" customHeight="1">
      <c r="C36" s="163"/>
      <c r="D36" s="164" t="str">
        <f>D21</f>
        <v>기초</v>
      </c>
      <c r="E36" s="165"/>
      <c r="F36" s="165"/>
      <c r="G36" s="165"/>
      <c r="H36" s="166"/>
      <c r="I36" s="221"/>
      <c r="J36" s="167"/>
      <c r="K36" s="98"/>
      <c r="L36" s="168">
        <f>K39</f>
        <v>0</v>
      </c>
      <c r="M36" s="168">
        <f t="shared" ref="M36:BX36" si="56">L39</f>
        <v>38000000</v>
      </c>
      <c r="N36" s="168">
        <f t="shared" si="56"/>
        <v>38000000</v>
      </c>
      <c r="O36" s="168">
        <f t="shared" si="56"/>
        <v>38000000</v>
      </c>
      <c r="P36" s="168">
        <f t="shared" si="56"/>
        <v>38000000</v>
      </c>
      <c r="Q36" s="168">
        <f t="shared" si="56"/>
        <v>38000000</v>
      </c>
      <c r="R36" s="168">
        <f t="shared" si="56"/>
        <v>38000000</v>
      </c>
      <c r="S36" s="168">
        <f t="shared" si="56"/>
        <v>38000000</v>
      </c>
      <c r="T36" s="168">
        <f t="shared" si="56"/>
        <v>38000000</v>
      </c>
      <c r="U36" s="168">
        <f t="shared" si="56"/>
        <v>38000000</v>
      </c>
      <c r="V36" s="168">
        <f t="shared" si="56"/>
        <v>38000000</v>
      </c>
      <c r="W36" s="168">
        <f t="shared" si="56"/>
        <v>38000000</v>
      </c>
      <c r="X36" s="168">
        <f t="shared" si="56"/>
        <v>38000000</v>
      </c>
      <c r="Y36" s="168">
        <f t="shared" si="56"/>
        <v>38000000</v>
      </c>
      <c r="Z36" s="168">
        <f t="shared" si="56"/>
        <v>38000000</v>
      </c>
      <c r="AA36" s="168">
        <f t="shared" si="56"/>
        <v>38000000</v>
      </c>
      <c r="AB36" s="168">
        <f t="shared" si="56"/>
        <v>38000000</v>
      </c>
      <c r="AC36" s="168">
        <f t="shared" si="56"/>
        <v>38000000</v>
      </c>
      <c r="AD36" s="168">
        <f t="shared" si="56"/>
        <v>38000000</v>
      </c>
      <c r="AE36" s="168">
        <f t="shared" si="56"/>
        <v>38000000</v>
      </c>
      <c r="AF36" s="168">
        <f t="shared" si="56"/>
        <v>38000000</v>
      </c>
      <c r="AG36" s="168">
        <f t="shared" si="56"/>
        <v>38000000</v>
      </c>
      <c r="AH36" s="168">
        <f t="shared" si="56"/>
        <v>38000000</v>
      </c>
      <c r="AI36" s="168">
        <f t="shared" si="56"/>
        <v>38000000</v>
      </c>
      <c r="AJ36" s="168">
        <f t="shared" si="56"/>
        <v>38000000</v>
      </c>
      <c r="AK36" s="168">
        <f t="shared" si="56"/>
        <v>0</v>
      </c>
      <c r="AL36" s="168">
        <f t="shared" si="56"/>
        <v>0</v>
      </c>
      <c r="AM36" s="168">
        <f t="shared" si="56"/>
        <v>0</v>
      </c>
      <c r="AN36" s="168">
        <f t="shared" si="56"/>
        <v>0</v>
      </c>
      <c r="AO36" s="168">
        <f t="shared" si="56"/>
        <v>0</v>
      </c>
      <c r="AP36" s="168">
        <f t="shared" si="56"/>
        <v>0</v>
      </c>
      <c r="AQ36" s="168">
        <f t="shared" si="56"/>
        <v>0</v>
      </c>
      <c r="AR36" s="168">
        <f t="shared" si="56"/>
        <v>0</v>
      </c>
      <c r="AS36" s="168">
        <f t="shared" si="56"/>
        <v>0</v>
      </c>
      <c r="AT36" s="168">
        <f t="shared" si="56"/>
        <v>0</v>
      </c>
      <c r="AU36" s="168">
        <f t="shared" si="56"/>
        <v>0</v>
      </c>
      <c r="AV36" s="168">
        <f t="shared" si="56"/>
        <v>0</v>
      </c>
      <c r="AW36" s="168">
        <f t="shared" si="56"/>
        <v>0</v>
      </c>
      <c r="AX36" s="168">
        <f t="shared" si="56"/>
        <v>0</v>
      </c>
      <c r="AY36" s="168">
        <f t="shared" si="56"/>
        <v>0</v>
      </c>
      <c r="AZ36" s="168">
        <f t="shared" si="56"/>
        <v>0</v>
      </c>
      <c r="BA36" s="168">
        <f t="shared" si="56"/>
        <v>0</v>
      </c>
      <c r="BB36" s="168">
        <f t="shared" si="56"/>
        <v>0</v>
      </c>
      <c r="BC36" s="168">
        <f t="shared" si="56"/>
        <v>0</v>
      </c>
      <c r="BD36" s="168">
        <f t="shared" si="56"/>
        <v>0</v>
      </c>
      <c r="BE36" s="168">
        <f t="shared" si="56"/>
        <v>0</v>
      </c>
      <c r="BF36" s="168">
        <f t="shared" si="56"/>
        <v>0</v>
      </c>
      <c r="BG36" s="168">
        <f t="shared" si="56"/>
        <v>0</v>
      </c>
      <c r="BH36" s="168">
        <f t="shared" si="56"/>
        <v>0</v>
      </c>
      <c r="BI36" s="168">
        <f t="shared" si="56"/>
        <v>0</v>
      </c>
      <c r="BJ36" s="168">
        <f t="shared" si="56"/>
        <v>0</v>
      </c>
      <c r="BK36" s="168">
        <f t="shared" si="56"/>
        <v>0</v>
      </c>
      <c r="BL36" s="168">
        <f t="shared" si="56"/>
        <v>0</v>
      </c>
      <c r="BM36" s="168">
        <f t="shared" si="56"/>
        <v>0</v>
      </c>
      <c r="BN36" s="168">
        <f t="shared" si="56"/>
        <v>0</v>
      </c>
      <c r="BO36" s="168">
        <f t="shared" si="56"/>
        <v>0</v>
      </c>
      <c r="BP36" s="168">
        <f t="shared" si="56"/>
        <v>0</v>
      </c>
      <c r="BQ36" s="168">
        <f t="shared" si="56"/>
        <v>0</v>
      </c>
      <c r="BR36" s="168">
        <f t="shared" si="56"/>
        <v>0</v>
      </c>
      <c r="BS36" s="168">
        <f t="shared" si="56"/>
        <v>0</v>
      </c>
      <c r="BT36" s="168">
        <f t="shared" si="56"/>
        <v>0</v>
      </c>
      <c r="BU36" s="168">
        <f t="shared" si="56"/>
        <v>0</v>
      </c>
      <c r="BV36" s="168">
        <f t="shared" si="56"/>
        <v>0</v>
      </c>
      <c r="BW36" s="168">
        <f t="shared" si="56"/>
        <v>0</v>
      </c>
      <c r="BX36" s="168">
        <f t="shared" si="56"/>
        <v>0</v>
      </c>
      <c r="BY36" s="168">
        <f t="shared" ref="BY36:DT36" si="57">BX39</f>
        <v>0</v>
      </c>
      <c r="BZ36" s="168">
        <f t="shared" si="57"/>
        <v>0</v>
      </c>
      <c r="CA36" s="168">
        <f t="shared" si="57"/>
        <v>0</v>
      </c>
      <c r="CB36" s="168">
        <f t="shared" si="57"/>
        <v>0</v>
      </c>
      <c r="CC36" s="168">
        <f t="shared" si="57"/>
        <v>0</v>
      </c>
      <c r="CD36" s="168">
        <f t="shared" si="57"/>
        <v>0</v>
      </c>
      <c r="CE36" s="168">
        <f t="shared" si="57"/>
        <v>0</v>
      </c>
      <c r="CF36" s="168">
        <f t="shared" si="57"/>
        <v>0</v>
      </c>
      <c r="CG36" s="168">
        <f t="shared" si="57"/>
        <v>0</v>
      </c>
      <c r="CH36" s="168">
        <f t="shared" si="57"/>
        <v>0</v>
      </c>
      <c r="CI36" s="168">
        <f t="shared" si="57"/>
        <v>0</v>
      </c>
      <c r="CJ36" s="168">
        <f t="shared" si="57"/>
        <v>0</v>
      </c>
      <c r="CK36" s="168">
        <f t="shared" si="57"/>
        <v>0</v>
      </c>
      <c r="CL36" s="168">
        <f t="shared" si="57"/>
        <v>0</v>
      </c>
      <c r="CM36" s="168">
        <f t="shared" si="57"/>
        <v>0</v>
      </c>
      <c r="CN36" s="168">
        <f t="shared" si="57"/>
        <v>0</v>
      </c>
      <c r="CO36" s="168">
        <f t="shared" si="57"/>
        <v>0</v>
      </c>
      <c r="CP36" s="168">
        <f t="shared" si="57"/>
        <v>0</v>
      </c>
      <c r="CQ36" s="168">
        <f t="shared" si="57"/>
        <v>0</v>
      </c>
      <c r="CR36" s="168">
        <f t="shared" si="57"/>
        <v>0</v>
      </c>
      <c r="CS36" s="168">
        <f t="shared" si="57"/>
        <v>0</v>
      </c>
      <c r="CT36" s="168">
        <f t="shared" si="57"/>
        <v>0</v>
      </c>
      <c r="CU36" s="168">
        <f t="shared" si="57"/>
        <v>0</v>
      </c>
      <c r="CV36" s="168">
        <f t="shared" si="57"/>
        <v>0</v>
      </c>
      <c r="CW36" s="168">
        <f t="shared" si="57"/>
        <v>0</v>
      </c>
      <c r="CX36" s="168">
        <f t="shared" si="57"/>
        <v>0</v>
      </c>
      <c r="CY36" s="168">
        <f t="shared" si="57"/>
        <v>0</v>
      </c>
      <c r="CZ36" s="168">
        <f t="shared" si="57"/>
        <v>0</v>
      </c>
      <c r="DA36" s="168">
        <f t="shared" si="57"/>
        <v>0</v>
      </c>
      <c r="DB36" s="168">
        <f t="shared" si="57"/>
        <v>0</v>
      </c>
      <c r="DC36" s="168">
        <f t="shared" si="57"/>
        <v>0</v>
      </c>
      <c r="DD36" s="168">
        <f t="shared" si="57"/>
        <v>0</v>
      </c>
      <c r="DE36" s="168">
        <f t="shared" si="57"/>
        <v>0</v>
      </c>
      <c r="DF36" s="168">
        <f t="shared" si="57"/>
        <v>0</v>
      </c>
      <c r="DG36" s="168">
        <f t="shared" si="57"/>
        <v>0</v>
      </c>
      <c r="DH36" s="168">
        <f t="shared" si="57"/>
        <v>0</v>
      </c>
      <c r="DI36" s="168">
        <f t="shared" si="57"/>
        <v>0</v>
      </c>
      <c r="DJ36" s="168">
        <f t="shared" si="57"/>
        <v>0</v>
      </c>
      <c r="DK36" s="168">
        <f t="shared" si="57"/>
        <v>0</v>
      </c>
      <c r="DL36" s="168">
        <f t="shared" si="57"/>
        <v>0</v>
      </c>
      <c r="DM36" s="168">
        <f t="shared" si="57"/>
        <v>0</v>
      </c>
      <c r="DN36" s="168">
        <f t="shared" si="57"/>
        <v>0</v>
      </c>
      <c r="DO36" s="168">
        <f t="shared" si="57"/>
        <v>0</v>
      </c>
      <c r="DP36" s="168">
        <f t="shared" si="57"/>
        <v>0</v>
      </c>
      <c r="DQ36" s="168">
        <f t="shared" si="57"/>
        <v>0</v>
      </c>
      <c r="DR36" s="168">
        <f t="shared" si="57"/>
        <v>0</v>
      </c>
      <c r="DS36" s="168">
        <f t="shared" si="57"/>
        <v>0</v>
      </c>
      <c r="DT36" s="168">
        <f t="shared" si="57"/>
        <v>0</v>
      </c>
      <c r="DU36" s="168">
        <f t="shared" ref="DU36:EA36" si="58">DT39</f>
        <v>0</v>
      </c>
      <c r="DV36" s="168">
        <f t="shared" si="58"/>
        <v>0</v>
      </c>
      <c r="DW36" s="168">
        <f t="shared" si="58"/>
        <v>0</v>
      </c>
      <c r="DX36" s="168">
        <f t="shared" si="58"/>
        <v>0</v>
      </c>
      <c r="DY36" s="168">
        <f t="shared" si="58"/>
        <v>0</v>
      </c>
      <c r="DZ36" s="168">
        <f t="shared" si="58"/>
        <v>0</v>
      </c>
      <c r="EA36" s="168">
        <f t="shared" si="58"/>
        <v>0</v>
      </c>
      <c r="EB36" s="168">
        <f t="shared" ref="EB36:EQ36" si="59">EA39</f>
        <v>0</v>
      </c>
      <c r="EC36" s="168">
        <f t="shared" si="59"/>
        <v>0</v>
      </c>
      <c r="ED36" s="1320">
        <f t="shared" si="59"/>
        <v>0</v>
      </c>
      <c r="EE36" s="168">
        <f t="shared" si="59"/>
        <v>0</v>
      </c>
      <c r="EF36" s="168">
        <f t="shared" si="59"/>
        <v>0</v>
      </c>
      <c r="EG36" s="168">
        <f t="shared" si="59"/>
        <v>0</v>
      </c>
      <c r="EH36" s="168">
        <f t="shared" si="59"/>
        <v>0</v>
      </c>
      <c r="EI36" s="168">
        <f t="shared" si="59"/>
        <v>0</v>
      </c>
      <c r="EJ36" s="168">
        <f t="shared" si="59"/>
        <v>0</v>
      </c>
      <c r="EK36" s="168">
        <f t="shared" si="59"/>
        <v>0</v>
      </c>
      <c r="EL36" s="168">
        <f t="shared" si="59"/>
        <v>0</v>
      </c>
      <c r="EM36" s="168">
        <f t="shared" si="59"/>
        <v>0</v>
      </c>
      <c r="EN36" s="168">
        <f t="shared" si="59"/>
        <v>0</v>
      </c>
      <c r="EO36" s="168">
        <f t="shared" si="59"/>
        <v>0</v>
      </c>
      <c r="EP36" s="168">
        <f t="shared" si="59"/>
        <v>0</v>
      </c>
      <c r="EQ36" s="168">
        <f t="shared" si="59"/>
        <v>0</v>
      </c>
    </row>
    <row r="37" spans="3:147" ht="11.25" customHeight="1">
      <c r="C37" s="163"/>
      <c r="D37" s="169" t="str">
        <f>D22</f>
        <v>증가</v>
      </c>
      <c r="H37" s="146">
        <f>'A&amp;R'!M35</f>
        <v>46326</v>
      </c>
      <c r="I37" s="13">
        <f>'A&amp;R'!P35</f>
        <v>38000000</v>
      </c>
      <c r="J37" s="170">
        <f>SUM(L37:EQ37)</f>
        <v>38000000</v>
      </c>
      <c r="K37" s="98"/>
      <c r="L37" s="171">
        <f>(L$14=$H37)*$I37</f>
        <v>38000000</v>
      </c>
      <c r="M37" s="171">
        <f t="shared" ref="M37:BX37" si="60">(M$14=$H37)*$I37</f>
        <v>0</v>
      </c>
      <c r="N37" s="171">
        <f t="shared" si="60"/>
        <v>0</v>
      </c>
      <c r="O37" s="171">
        <f t="shared" si="60"/>
        <v>0</v>
      </c>
      <c r="P37" s="171">
        <f t="shared" si="60"/>
        <v>0</v>
      </c>
      <c r="Q37" s="171">
        <f t="shared" si="60"/>
        <v>0</v>
      </c>
      <c r="R37" s="171">
        <f t="shared" si="60"/>
        <v>0</v>
      </c>
      <c r="S37" s="171">
        <f t="shared" si="60"/>
        <v>0</v>
      </c>
      <c r="T37" s="171">
        <f t="shared" si="60"/>
        <v>0</v>
      </c>
      <c r="U37" s="171">
        <f t="shared" si="60"/>
        <v>0</v>
      </c>
      <c r="V37" s="171">
        <f t="shared" si="60"/>
        <v>0</v>
      </c>
      <c r="W37" s="171">
        <f t="shared" si="60"/>
        <v>0</v>
      </c>
      <c r="X37" s="171">
        <f t="shared" si="60"/>
        <v>0</v>
      </c>
      <c r="Y37" s="171">
        <f t="shared" si="60"/>
        <v>0</v>
      </c>
      <c r="Z37" s="171">
        <f t="shared" si="60"/>
        <v>0</v>
      </c>
      <c r="AA37" s="171">
        <f t="shared" si="60"/>
        <v>0</v>
      </c>
      <c r="AB37" s="171">
        <f t="shared" si="60"/>
        <v>0</v>
      </c>
      <c r="AC37" s="171">
        <f t="shared" si="60"/>
        <v>0</v>
      </c>
      <c r="AD37" s="171">
        <f t="shared" si="60"/>
        <v>0</v>
      </c>
      <c r="AE37" s="171">
        <f t="shared" si="60"/>
        <v>0</v>
      </c>
      <c r="AF37" s="171">
        <f t="shared" si="60"/>
        <v>0</v>
      </c>
      <c r="AG37" s="171">
        <f t="shared" si="60"/>
        <v>0</v>
      </c>
      <c r="AH37" s="171">
        <f t="shared" si="60"/>
        <v>0</v>
      </c>
      <c r="AI37" s="171">
        <f t="shared" si="60"/>
        <v>0</v>
      </c>
      <c r="AJ37" s="171">
        <f t="shared" si="60"/>
        <v>0</v>
      </c>
      <c r="AK37" s="171">
        <f t="shared" si="60"/>
        <v>0</v>
      </c>
      <c r="AL37" s="171">
        <f t="shared" si="60"/>
        <v>0</v>
      </c>
      <c r="AM37" s="171">
        <f t="shared" si="60"/>
        <v>0</v>
      </c>
      <c r="AN37" s="171">
        <f t="shared" si="60"/>
        <v>0</v>
      </c>
      <c r="AO37" s="171">
        <f t="shared" si="60"/>
        <v>0</v>
      </c>
      <c r="AP37" s="171">
        <f t="shared" si="60"/>
        <v>0</v>
      </c>
      <c r="AQ37" s="171">
        <f t="shared" si="60"/>
        <v>0</v>
      </c>
      <c r="AR37" s="171">
        <f t="shared" si="60"/>
        <v>0</v>
      </c>
      <c r="AS37" s="171">
        <f t="shared" si="60"/>
        <v>0</v>
      </c>
      <c r="AT37" s="171">
        <f t="shared" si="60"/>
        <v>0</v>
      </c>
      <c r="AU37" s="171">
        <f t="shared" si="60"/>
        <v>0</v>
      </c>
      <c r="AV37" s="171">
        <f t="shared" si="60"/>
        <v>0</v>
      </c>
      <c r="AW37" s="171">
        <f t="shared" si="60"/>
        <v>0</v>
      </c>
      <c r="AX37" s="171">
        <f t="shared" si="60"/>
        <v>0</v>
      </c>
      <c r="AY37" s="171">
        <f t="shared" si="60"/>
        <v>0</v>
      </c>
      <c r="AZ37" s="171">
        <f t="shared" si="60"/>
        <v>0</v>
      </c>
      <c r="BA37" s="171">
        <f t="shared" si="60"/>
        <v>0</v>
      </c>
      <c r="BB37" s="171">
        <f t="shared" si="60"/>
        <v>0</v>
      </c>
      <c r="BC37" s="171">
        <f t="shared" si="60"/>
        <v>0</v>
      </c>
      <c r="BD37" s="171">
        <f t="shared" si="60"/>
        <v>0</v>
      </c>
      <c r="BE37" s="171">
        <f t="shared" si="60"/>
        <v>0</v>
      </c>
      <c r="BF37" s="171">
        <f t="shared" si="60"/>
        <v>0</v>
      </c>
      <c r="BG37" s="171">
        <f t="shared" si="60"/>
        <v>0</v>
      </c>
      <c r="BH37" s="171">
        <f t="shared" si="60"/>
        <v>0</v>
      </c>
      <c r="BI37" s="171">
        <f t="shared" si="60"/>
        <v>0</v>
      </c>
      <c r="BJ37" s="171">
        <f t="shared" si="60"/>
        <v>0</v>
      </c>
      <c r="BK37" s="171">
        <f t="shared" si="60"/>
        <v>0</v>
      </c>
      <c r="BL37" s="171">
        <f t="shared" si="60"/>
        <v>0</v>
      </c>
      <c r="BM37" s="171">
        <f t="shared" si="60"/>
        <v>0</v>
      </c>
      <c r="BN37" s="171">
        <f t="shared" si="60"/>
        <v>0</v>
      </c>
      <c r="BO37" s="171">
        <f t="shared" si="60"/>
        <v>0</v>
      </c>
      <c r="BP37" s="171">
        <f t="shared" si="60"/>
        <v>0</v>
      </c>
      <c r="BQ37" s="171">
        <f t="shared" si="60"/>
        <v>0</v>
      </c>
      <c r="BR37" s="171">
        <f t="shared" si="60"/>
        <v>0</v>
      </c>
      <c r="BS37" s="171">
        <f t="shared" si="60"/>
        <v>0</v>
      </c>
      <c r="BT37" s="171">
        <f t="shared" si="60"/>
        <v>0</v>
      </c>
      <c r="BU37" s="171">
        <f t="shared" si="60"/>
        <v>0</v>
      </c>
      <c r="BV37" s="171">
        <f t="shared" si="60"/>
        <v>0</v>
      </c>
      <c r="BW37" s="171">
        <f t="shared" si="60"/>
        <v>0</v>
      </c>
      <c r="BX37" s="171">
        <f t="shared" si="60"/>
        <v>0</v>
      </c>
      <c r="BY37" s="171">
        <f t="shared" ref="BY37:EQ37" si="61">(BY$14=$H37)*$I37</f>
        <v>0</v>
      </c>
      <c r="BZ37" s="171">
        <f t="shared" si="61"/>
        <v>0</v>
      </c>
      <c r="CA37" s="171">
        <f t="shared" si="61"/>
        <v>0</v>
      </c>
      <c r="CB37" s="171">
        <f t="shared" si="61"/>
        <v>0</v>
      </c>
      <c r="CC37" s="171">
        <f t="shared" si="61"/>
        <v>0</v>
      </c>
      <c r="CD37" s="171">
        <f t="shared" si="61"/>
        <v>0</v>
      </c>
      <c r="CE37" s="171">
        <f t="shared" si="61"/>
        <v>0</v>
      </c>
      <c r="CF37" s="171">
        <f t="shared" si="61"/>
        <v>0</v>
      </c>
      <c r="CG37" s="171">
        <f t="shared" si="61"/>
        <v>0</v>
      </c>
      <c r="CH37" s="171">
        <f t="shared" si="61"/>
        <v>0</v>
      </c>
      <c r="CI37" s="171">
        <f t="shared" si="61"/>
        <v>0</v>
      </c>
      <c r="CJ37" s="171">
        <f t="shared" si="61"/>
        <v>0</v>
      </c>
      <c r="CK37" s="171">
        <f t="shared" si="61"/>
        <v>0</v>
      </c>
      <c r="CL37" s="171">
        <f t="shared" si="61"/>
        <v>0</v>
      </c>
      <c r="CM37" s="171">
        <f t="shared" si="61"/>
        <v>0</v>
      </c>
      <c r="CN37" s="171">
        <f t="shared" si="61"/>
        <v>0</v>
      </c>
      <c r="CO37" s="171">
        <f t="shared" si="61"/>
        <v>0</v>
      </c>
      <c r="CP37" s="171">
        <f t="shared" si="61"/>
        <v>0</v>
      </c>
      <c r="CQ37" s="171">
        <f t="shared" si="61"/>
        <v>0</v>
      </c>
      <c r="CR37" s="171">
        <f t="shared" si="61"/>
        <v>0</v>
      </c>
      <c r="CS37" s="171">
        <f t="shared" si="61"/>
        <v>0</v>
      </c>
      <c r="CT37" s="171">
        <f t="shared" si="61"/>
        <v>0</v>
      </c>
      <c r="CU37" s="171">
        <f t="shared" si="61"/>
        <v>0</v>
      </c>
      <c r="CV37" s="171">
        <f t="shared" si="61"/>
        <v>0</v>
      </c>
      <c r="CW37" s="171">
        <f t="shared" si="61"/>
        <v>0</v>
      </c>
      <c r="CX37" s="171">
        <f t="shared" si="61"/>
        <v>0</v>
      </c>
      <c r="CY37" s="171">
        <f t="shared" si="61"/>
        <v>0</v>
      </c>
      <c r="CZ37" s="171">
        <f t="shared" si="61"/>
        <v>0</v>
      </c>
      <c r="DA37" s="171">
        <f t="shared" si="61"/>
        <v>0</v>
      </c>
      <c r="DB37" s="171">
        <f t="shared" si="61"/>
        <v>0</v>
      </c>
      <c r="DC37" s="171">
        <f t="shared" si="61"/>
        <v>0</v>
      </c>
      <c r="DD37" s="171">
        <f t="shared" si="61"/>
        <v>0</v>
      </c>
      <c r="DE37" s="171">
        <f t="shared" si="61"/>
        <v>0</v>
      </c>
      <c r="DF37" s="171">
        <f t="shared" si="61"/>
        <v>0</v>
      </c>
      <c r="DG37" s="171">
        <f t="shared" si="61"/>
        <v>0</v>
      </c>
      <c r="DH37" s="171">
        <f t="shared" si="61"/>
        <v>0</v>
      </c>
      <c r="DI37" s="171">
        <f t="shared" si="61"/>
        <v>0</v>
      </c>
      <c r="DJ37" s="171">
        <f t="shared" si="61"/>
        <v>0</v>
      </c>
      <c r="DK37" s="171">
        <f t="shared" si="61"/>
        <v>0</v>
      </c>
      <c r="DL37" s="171">
        <f t="shared" si="61"/>
        <v>0</v>
      </c>
      <c r="DM37" s="171">
        <f t="shared" si="61"/>
        <v>0</v>
      </c>
      <c r="DN37" s="171">
        <f t="shared" si="61"/>
        <v>0</v>
      </c>
      <c r="DO37" s="171">
        <f t="shared" si="61"/>
        <v>0</v>
      </c>
      <c r="DP37" s="171">
        <f t="shared" si="61"/>
        <v>0</v>
      </c>
      <c r="DQ37" s="171">
        <f t="shared" si="61"/>
        <v>0</v>
      </c>
      <c r="DR37" s="171">
        <f t="shared" si="61"/>
        <v>0</v>
      </c>
      <c r="DS37" s="171">
        <f t="shared" si="61"/>
        <v>0</v>
      </c>
      <c r="DT37" s="171">
        <f t="shared" si="61"/>
        <v>0</v>
      </c>
      <c r="DU37" s="171">
        <f t="shared" si="61"/>
        <v>0</v>
      </c>
      <c r="DV37" s="171">
        <f t="shared" si="61"/>
        <v>0</v>
      </c>
      <c r="DW37" s="171">
        <f t="shared" si="61"/>
        <v>0</v>
      </c>
      <c r="DX37" s="171">
        <f t="shared" si="61"/>
        <v>0</v>
      </c>
      <c r="DY37" s="171">
        <f t="shared" si="61"/>
        <v>0</v>
      </c>
      <c r="DZ37" s="171">
        <f t="shared" si="61"/>
        <v>0</v>
      </c>
      <c r="EA37" s="171">
        <f t="shared" si="61"/>
        <v>0</v>
      </c>
      <c r="EB37" s="171">
        <f t="shared" si="61"/>
        <v>0</v>
      </c>
      <c r="EC37" s="171">
        <f t="shared" si="61"/>
        <v>0</v>
      </c>
      <c r="ED37" s="1321">
        <f t="shared" si="61"/>
        <v>0</v>
      </c>
      <c r="EE37" s="171">
        <f t="shared" si="61"/>
        <v>0</v>
      </c>
      <c r="EF37" s="171">
        <f t="shared" si="61"/>
        <v>0</v>
      </c>
      <c r="EG37" s="171">
        <f t="shared" si="61"/>
        <v>0</v>
      </c>
      <c r="EH37" s="171">
        <f t="shared" si="61"/>
        <v>0</v>
      </c>
      <c r="EI37" s="171">
        <f t="shared" si="61"/>
        <v>0</v>
      </c>
      <c r="EJ37" s="171">
        <f t="shared" si="61"/>
        <v>0</v>
      </c>
      <c r="EK37" s="171">
        <f t="shared" si="61"/>
        <v>0</v>
      </c>
      <c r="EL37" s="171">
        <f t="shared" si="61"/>
        <v>0</v>
      </c>
      <c r="EM37" s="171">
        <f t="shared" si="61"/>
        <v>0</v>
      </c>
      <c r="EN37" s="171">
        <f t="shared" si="61"/>
        <v>0</v>
      </c>
      <c r="EO37" s="171">
        <f t="shared" si="61"/>
        <v>0</v>
      </c>
      <c r="EP37" s="171">
        <f t="shared" si="61"/>
        <v>0</v>
      </c>
      <c r="EQ37" s="171">
        <f t="shared" si="61"/>
        <v>0</v>
      </c>
    </row>
    <row r="38" spans="3:147" ht="11.25" customHeight="1">
      <c r="C38" s="163"/>
      <c r="D38" s="169" t="str">
        <f>D23</f>
        <v>감소</v>
      </c>
      <c r="H38" s="146">
        <f>'A&amp;R'!N35</f>
        <v>47057</v>
      </c>
      <c r="J38" s="170">
        <f>SUM(L38:EQ38)</f>
        <v>38000000</v>
      </c>
      <c r="K38" s="98"/>
      <c r="L38" s="171">
        <f>SUM(L36:L37)*(L$14=$H38)</f>
        <v>0</v>
      </c>
      <c r="M38" s="171">
        <f t="shared" ref="M38:BX38" si="62">SUM(M36:M37)*(M$14=$H38)</f>
        <v>0</v>
      </c>
      <c r="N38" s="171">
        <f t="shared" si="62"/>
        <v>0</v>
      </c>
      <c r="O38" s="171">
        <f t="shared" si="62"/>
        <v>0</v>
      </c>
      <c r="P38" s="171">
        <f t="shared" si="62"/>
        <v>0</v>
      </c>
      <c r="Q38" s="171">
        <f t="shared" si="62"/>
        <v>0</v>
      </c>
      <c r="R38" s="171">
        <f t="shared" si="62"/>
        <v>0</v>
      </c>
      <c r="S38" s="171">
        <f t="shared" si="62"/>
        <v>0</v>
      </c>
      <c r="T38" s="171">
        <f t="shared" si="62"/>
        <v>0</v>
      </c>
      <c r="U38" s="171">
        <f t="shared" si="62"/>
        <v>0</v>
      </c>
      <c r="V38" s="171">
        <f t="shared" si="62"/>
        <v>0</v>
      </c>
      <c r="W38" s="171">
        <f t="shared" si="62"/>
        <v>0</v>
      </c>
      <c r="X38" s="171">
        <f t="shared" si="62"/>
        <v>0</v>
      </c>
      <c r="Y38" s="171">
        <f t="shared" si="62"/>
        <v>0</v>
      </c>
      <c r="Z38" s="171">
        <f t="shared" si="62"/>
        <v>0</v>
      </c>
      <c r="AA38" s="171">
        <f t="shared" si="62"/>
        <v>0</v>
      </c>
      <c r="AB38" s="171">
        <f t="shared" si="62"/>
        <v>0</v>
      </c>
      <c r="AC38" s="171">
        <f t="shared" si="62"/>
        <v>0</v>
      </c>
      <c r="AD38" s="171">
        <f t="shared" si="62"/>
        <v>0</v>
      </c>
      <c r="AE38" s="171">
        <f t="shared" si="62"/>
        <v>0</v>
      </c>
      <c r="AF38" s="171">
        <f t="shared" si="62"/>
        <v>0</v>
      </c>
      <c r="AG38" s="171">
        <f t="shared" si="62"/>
        <v>0</v>
      </c>
      <c r="AH38" s="171">
        <f t="shared" si="62"/>
        <v>0</v>
      </c>
      <c r="AI38" s="171">
        <f t="shared" si="62"/>
        <v>0</v>
      </c>
      <c r="AJ38" s="171">
        <f t="shared" si="62"/>
        <v>38000000</v>
      </c>
      <c r="AK38" s="171">
        <f t="shared" si="62"/>
        <v>0</v>
      </c>
      <c r="AL38" s="171">
        <f t="shared" si="62"/>
        <v>0</v>
      </c>
      <c r="AM38" s="171">
        <f t="shared" si="62"/>
        <v>0</v>
      </c>
      <c r="AN38" s="171">
        <f t="shared" si="62"/>
        <v>0</v>
      </c>
      <c r="AO38" s="171">
        <f t="shared" si="62"/>
        <v>0</v>
      </c>
      <c r="AP38" s="171">
        <f t="shared" si="62"/>
        <v>0</v>
      </c>
      <c r="AQ38" s="171">
        <f t="shared" si="62"/>
        <v>0</v>
      </c>
      <c r="AR38" s="171">
        <f t="shared" si="62"/>
        <v>0</v>
      </c>
      <c r="AS38" s="171">
        <f t="shared" si="62"/>
        <v>0</v>
      </c>
      <c r="AT38" s="171">
        <f t="shared" si="62"/>
        <v>0</v>
      </c>
      <c r="AU38" s="171">
        <f t="shared" si="62"/>
        <v>0</v>
      </c>
      <c r="AV38" s="171">
        <f t="shared" si="62"/>
        <v>0</v>
      </c>
      <c r="AW38" s="171">
        <f t="shared" si="62"/>
        <v>0</v>
      </c>
      <c r="AX38" s="171">
        <f t="shared" si="62"/>
        <v>0</v>
      </c>
      <c r="AY38" s="171">
        <f t="shared" si="62"/>
        <v>0</v>
      </c>
      <c r="AZ38" s="171">
        <f t="shared" si="62"/>
        <v>0</v>
      </c>
      <c r="BA38" s="171">
        <f t="shared" si="62"/>
        <v>0</v>
      </c>
      <c r="BB38" s="171">
        <f t="shared" si="62"/>
        <v>0</v>
      </c>
      <c r="BC38" s="171">
        <f t="shared" si="62"/>
        <v>0</v>
      </c>
      <c r="BD38" s="171">
        <f t="shared" si="62"/>
        <v>0</v>
      </c>
      <c r="BE38" s="171">
        <f t="shared" si="62"/>
        <v>0</v>
      </c>
      <c r="BF38" s="171">
        <f t="shared" si="62"/>
        <v>0</v>
      </c>
      <c r="BG38" s="171">
        <f t="shared" si="62"/>
        <v>0</v>
      </c>
      <c r="BH38" s="171">
        <f t="shared" si="62"/>
        <v>0</v>
      </c>
      <c r="BI38" s="171">
        <f t="shared" si="62"/>
        <v>0</v>
      </c>
      <c r="BJ38" s="171">
        <f t="shared" si="62"/>
        <v>0</v>
      </c>
      <c r="BK38" s="171">
        <f t="shared" si="62"/>
        <v>0</v>
      </c>
      <c r="BL38" s="171">
        <f t="shared" si="62"/>
        <v>0</v>
      </c>
      <c r="BM38" s="171">
        <f t="shared" si="62"/>
        <v>0</v>
      </c>
      <c r="BN38" s="171">
        <f t="shared" si="62"/>
        <v>0</v>
      </c>
      <c r="BO38" s="171">
        <f t="shared" si="62"/>
        <v>0</v>
      </c>
      <c r="BP38" s="171">
        <f t="shared" si="62"/>
        <v>0</v>
      </c>
      <c r="BQ38" s="171">
        <f t="shared" si="62"/>
        <v>0</v>
      </c>
      <c r="BR38" s="171">
        <f t="shared" si="62"/>
        <v>0</v>
      </c>
      <c r="BS38" s="171">
        <f t="shared" si="62"/>
        <v>0</v>
      </c>
      <c r="BT38" s="171">
        <f t="shared" si="62"/>
        <v>0</v>
      </c>
      <c r="BU38" s="171">
        <f t="shared" si="62"/>
        <v>0</v>
      </c>
      <c r="BV38" s="171">
        <f t="shared" si="62"/>
        <v>0</v>
      </c>
      <c r="BW38" s="171">
        <f t="shared" si="62"/>
        <v>0</v>
      </c>
      <c r="BX38" s="171">
        <f t="shared" si="62"/>
        <v>0</v>
      </c>
      <c r="BY38" s="171">
        <f t="shared" ref="BY38:DT38" si="63">SUM(BY36:BY37)*(BY$14=$H38)</f>
        <v>0</v>
      </c>
      <c r="BZ38" s="171">
        <f t="shared" si="63"/>
        <v>0</v>
      </c>
      <c r="CA38" s="171">
        <f t="shared" si="63"/>
        <v>0</v>
      </c>
      <c r="CB38" s="171">
        <f t="shared" si="63"/>
        <v>0</v>
      </c>
      <c r="CC38" s="171">
        <f t="shared" si="63"/>
        <v>0</v>
      </c>
      <c r="CD38" s="171">
        <f t="shared" si="63"/>
        <v>0</v>
      </c>
      <c r="CE38" s="171">
        <f t="shared" si="63"/>
        <v>0</v>
      </c>
      <c r="CF38" s="171">
        <f t="shared" si="63"/>
        <v>0</v>
      </c>
      <c r="CG38" s="171">
        <f t="shared" si="63"/>
        <v>0</v>
      </c>
      <c r="CH38" s="171">
        <f t="shared" si="63"/>
        <v>0</v>
      </c>
      <c r="CI38" s="171">
        <f t="shared" si="63"/>
        <v>0</v>
      </c>
      <c r="CJ38" s="171">
        <f t="shared" si="63"/>
        <v>0</v>
      </c>
      <c r="CK38" s="171">
        <f t="shared" si="63"/>
        <v>0</v>
      </c>
      <c r="CL38" s="171">
        <f t="shared" si="63"/>
        <v>0</v>
      </c>
      <c r="CM38" s="171">
        <f t="shared" si="63"/>
        <v>0</v>
      </c>
      <c r="CN38" s="171">
        <f t="shared" si="63"/>
        <v>0</v>
      </c>
      <c r="CO38" s="171">
        <f t="shared" si="63"/>
        <v>0</v>
      </c>
      <c r="CP38" s="171">
        <f t="shared" si="63"/>
        <v>0</v>
      </c>
      <c r="CQ38" s="171">
        <f t="shared" si="63"/>
        <v>0</v>
      </c>
      <c r="CR38" s="171">
        <f t="shared" si="63"/>
        <v>0</v>
      </c>
      <c r="CS38" s="171">
        <f t="shared" si="63"/>
        <v>0</v>
      </c>
      <c r="CT38" s="171">
        <f t="shared" si="63"/>
        <v>0</v>
      </c>
      <c r="CU38" s="171">
        <f t="shared" si="63"/>
        <v>0</v>
      </c>
      <c r="CV38" s="171">
        <f t="shared" si="63"/>
        <v>0</v>
      </c>
      <c r="CW38" s="171">
        <f t="shared" si="63"/>
        <v>0</v>
      </c>
      <c r="CX38" s="171">
        <f t="shared" si="63"/>
        <v>0</v>
      </c>
      <c r="CY38" s="171">
        <f t="shared" si="63"/>
        <v>0</v>
      </c>
      <c r="CZ38" s="171">
        <f t="shared" si="63"/>
        <v>0</v>
      </c>
      <c r="DA38" s="171">
        <f t="shared" si="63"/>
        <v>0</v>
      </c>
      <c r="DB38" s="171">
        <f t="shared" si="63"/>
        <v>0</v>
      </c>
      <c r="DC38" s="171">
        <f t="shared" si="63"/>
        <v>0</v>
      </c>
      <c r="DD38" s="171">
        <f t="shared" si="63"/>
        <v>0</v>
      </c>
      <c r="DE38" s="171">
        <f t="shared" si="63"/>
        <v>0</v>
      </c>
      <c r="DF38" s="171">
        <f t="shared" si="63"/>
        <v>0</v>
      </c>
      <c r="DG38" s="171">
        <f t="shared" si="63"/>
        <v>0</v>
      </c>
      <c r="DH38" s="171">
        <f t="shared" si="63"/>
        <v>0</v>
      </c>
      <c r="DI38" s="171">
        <f t="shared" si="63"/>
        <v>0</v>
      </c>
      <c r="DJ38" s="171">
        <f t="shared" si="63"/>
        <v>0</v>
      </c>
      <c r="DK38" s="171">
        <f t="shared" si="63"/>
        <v>0</v>
      </c>
      <c r="DL38" s="171">
        <f t="shared" si="63"/>
        <v>0</v>
      </c>
      <c r="DM38" s="171">
        <f t="shared" si="63"/>
        <v>0</v>
      </c>
      <c r="DN38" s="171">
        <f t="shared" si="63"/>
        <v>0</v>
      </c>
      <c r="DO38" s="171">
        <f t="shared" si="63"/>
        <v>0</v>
      </c>
      <c r="DP38" s="171">
        <f t="shared" si="63"/>
        <v>0</v>
      </c>
      <c r="DQ38" s="171">
        <f t="shared" si="63"/>
        <v>0</v>
      </c>
      <c r="DR38" s="171">
        <f t="shared" si="63"/>
        <v>0</v>
      </c>
      <c r="DS38" s="171">
        <f t="shared" si="63"/>
        <v>0</v>
      </c>
      <c r="DT38" s="171">
        <f t="shared" si="63"/>
        <v>0</v>
      </c>
      <c r="DU38" s="171">
        <f t="shared" ref="DU38:EQ38" si="64">SUM(DU36:DU37)*(DU$14=$H38)</f>
        <v>0</v>
      </c>
      <c r="DV38" s="171">
        <f t="shared" si="64"/>
        <v>0</v>
      </c>
      <c r="DW38" s="171">
        <f t="shared" si="64"/>
        <v>0</v>
      </c>
      <c r="DX38" s="171">
        <f t="shared" si="64"/>
        <v>0</v>
      </c>
      <c r="DY38" s="171">
        <f t="shared" si="64"/>
        <v>0</v>
      </c>
      <c r="DZ38" s="171">
        <f t="shared" si="64"/>
        <v>0</v>
      </c>
      <c r="EA38" s="171">
        <f t="shared" si="64"/>
        <v>0</v>
      </c>
      <c r="EB38" s="171">
        <f t="shared" si="64"/>
        <v>0</v>
      </c>
      <c r="EC38" s="171">
        <f t="shared" si="64"/>
        <v>0</v>
      </c>
      <c r="ED38" s="1321">
        <f t="shared" si="64"/>
        <v>0</v>
      </c>
      <c r="EE38" s="171">
        <f t="shared" si="64"/>
        <v>0</v>
      </c>
      <c r="EF38" s="171">
        <f t="shared" si="64"/>
        <v>0</v>
      </c>
      <c r="EG38" s="171">
        <f t="shared" si="64"/>
        <v>0</v>
      </c>
      <c r="EH38" s="171">
        <f t="shared" si="64"/>
        <v>0</v>
      </c>
      <c r="EI38" s="171">
        <f t="shared" si="64"/>
        <v>0</v>
      </c>
      <c r="EJ38" s="171">
        <f t="shared" si="64"/>
        <v>0</v>
      </c>
      <c r="EK38" s="171">
        <f t="shared" si="64"/>
        <v>0</v>
      </c>
      <c r="EL38" s="171">
        <f t="shared" si="64"/>
        <v>0</v>
      </c>
      <c r="EM38" s="171">
        <f t="shared" si="64"/>
        <v>0</v>
      </c>
      <c r="EN38" s="171">
        <f t="shared" si="64"/>
        <v>0</v>
      </c>
      <c r="EO38" s="171">
        <f t="shared" si="64"/>
        <v>0</v>
      </c>
      <c r="EP38" s="171">
        <f t="shared" si="64"/>
        <v>0</v>
      </c>
      <c r="EQ38" s="171">
        <f t="shared" si="64"/>
        <v>0</v>
      </c>
    </row>
    <row r="39" spans="3:147" ht="11.25" customHeight="1">
      <c r="C39" s="163"/>
      <c r="D39" s="169" t="str">
        <f>D24</f>
        <v>기말</v>
      </c>
      <c r="J39" s="170"/>
      <c r="K39" s="98"/>
      <c r="L39" s="171">
        <f>L36+L37-L38</f>
        <v>38000000</v>
      </c>
      <c r="M39" s="171">
        <f t="shared" ref="M39:BX39" si="65">M36+M37-M38</f>
        <v>38000000</v>
      </c>
      <c r="N39" s="171">
        <f t="shared" si="65"/>
        <v>38000000</v>
      </c>
      <c r="O39" s="171">
        <f t="shared" si="65"/>
        <v>38000000</v>
      </c>
      <c r="P39" s="171">
        <f t="shared" si="65"/>
        <v>38000000</v>
      </c>
      <c r="Q39" s="171">
        <f t="shared" si="65"/>
        <v>38000000</v>
      </c>
      <c r="R39" s="171">
        <f t="shared" si="65"/>
        <v>38000000</v>
      </c>
      <c r="S39" s="171">
        <f t="shared" si="65"/>
        <v>38000000</v>
      </c>
      <c r="T39" s="171">
        <f t="shared" si="65"/>
        <v>38000000</v>
      </c>
      <c r="U39" s="171">
        <f t="shared" si="65"/>
        <v>38000000</v>
      </c>
      <c r="V39" s="171">
        <f t="shared" si="65"/>
        <v>38000000</v>
      </c>
      <c r="W39" s="171">
        <f t="shared" si="65"/>
        <v>38000000</v>
      </c>
      <c r="X39" s="171">
        <f t="shared" si="65"/>
        <v>38000000</v>
      </c>
      <c r="Y39" s="171">
        <f t="shared" si="65"/>
        <v>38000000</v>
      </c>
      <c r="Z39" s="171">
        <f t="shared" si="65"/>
        <v>38000000</v>
      </c>
      <c r="AA39" s="171">
        <f t="shared" si="65"/>
        <v>38000000</v>
      </c>
      <c r="AB39" s="171">
        <f t="shared" si="65"/>
        <v>38000000</v>
      </c>
      <c r="AC39" s="171">
        <f t="shared" si="65"/>
        <v>38000000</v>
      </c>
      <c r="AD39" s="171">
        <f t="shared" si="65"/>
        <v>38000000</v>
      </c>
      <c r="AE39" s="171">
        <f t="shared" si="65"/>
        <v>38000000</v>
      </c>
      <c r="AF39" s="171">
        <f t="shared" si="65"/>
        <v>38000000</v>
      </c>
      <c r="AG39" s="171">
        <f t="shared" si="65"/>
        <v>38000000</v>
      </c>
      <c r="AH39" s="171">
        <f t="shared" si="65"/>
        <v>38000000</v>
      </c>
      <c r="AI39" s="171">
        <f t="shared" si="65"/>
        <v>38000000</v>
      </c>
      <c r="AJ39" s="171">
        <f t="shared" si="65"/>
        <v>0</v>
      </c>
      <c r="AK39" s="171">
        <f t="shared" si="65"/>
        <v>0</v>
      </c>
      <c r="AL39" s="171">
        <f t="shared" si="65"/>
        <v>0</v>
      </c>
      <c r="AM39" s="171">
        <f t="shared" si="65"/>
        <v>0</v>
      </c>
      <c r="AN39" s="171">
        <f t="shared" si="65"/>
        <v>0</v>
      </c>
      <c r="AO39" s="171">
        <f t="shared" si="65"/>
        <v>0</v>
      </c>
      <c r="AP39" s="171">
        <f t="shared" si="65"/>
        <v>0</v>
      </c>
      <c r="AQ39" s="171">
        <f t="shared" si="65"/>
        <v>0</v>
      </c>
      <c r="AR39" s="171">
        <f t="shared" si="65"/>
        <v>0</v>
      </c>
      <c r="AS39" s="171">
        <f t="shared" si="65"/>
        <v>0</v>
      </c>
      <c r="AT39" s="171">
        <f t="shared" si="65"/>
        <v>0</v>
      </c>
      <c r="AU39" s="171">
        <f t="shared" si="65"/>
        <v>0</v>
      </c>
      <c r="AV39" s="171">
        <f t="shared" si="65"/>
        <v>0</v>
      </c>
      <c r="AW39" s="171">
        <f t="shared" si="65"/>
        <v>0</v>
      </c>
      <c r="AX39" s="171">
        <f t="shared" si="65"/>
        <v>0</v>
      </c>
      <c r="AY39" s="171">
        <f t="shared" si="65"/>
        <v>0</v>
      </c>
      <c r="AZ39" s="171">
        <f t="shared" si="65"/>
        <v>0</v>
      </c>
      <c r="BA39" s="171">
        <f t="shared" si="65"/>
        <v>0</v>
      </c>
      <c r="BB39" s="171">
        <f t="shared" si="65"/>
        <v>0</v>
      </c>
      <c r="BC39" s="171">
        <f t="shared" si="65"/>
        <v>0</v>
      </c>
      <c r="BD39" s="171">
        <f t="shared" si="65"/>
        <v>0</v>
      </c>
      <c r="BE39" s="171">
        <f t="shared" si="65"/>
        <v>0</v>
      </c>
      <c r="BF39" s="171">
        <f t="shared" si="65"/>
        <v>0</v>
      </c>
      <c r="BG39" s="171">
        <f t="shared" si="65"/>
        <v>0</v>
      </c>
      <c r="BH39" s="171">
        <f t="shared" si="65"/>
        <v>0</v>
      </c>
      <c r="BI39" s="171">
        <f t="shared" si="65"/>
        <v>0</v>
      </c>
      <c r="BJ39" s="171">
        <f t="shared" si="65"/>
        <v>0</v>
      </c>
      <c r="BK39" s="171">
        <f t="shared" si="65"/>
        <v>0</v>
      </c>
      <c r="BL39" s="171">
        <f t="shared" si="65"/>
        <v>0</v>
      </c>
      <c r="BM39" s="171">
        <f t="shared" si="65"/>
        <v>0</v>
      </c>
      <c r="BN39" s="171">
        <f t="shared" si="65"/>
        <v>0</v>
      </c>
      <c r="BO39" s="171">
        <f t="shared" si="65"/>
        <v>0</v>
      </c>
      <c r="BP39" s="171">
        <f t="shared" si="65"/>
        <v>0</v>
      </c>
      <c r="BQ39" s="171">
        <f t="shared" si="65"/>
        <v>0</v>
      </c>
      <c r="BR39" s="171">
        <f t="shared" si="65"/>
        <v>0</v>
      </c>
      <c r="BS39" s="171">
        <f t="shared" si="65"/>
        <v>0</v>
      </c>
      <c r="BT39" s="171">
        <f t="shared" si="65"/>
        <v>0</v>
      </c>
      <c r="BU39" s="171">
        <f t="shared" si="65"/>
        <v>0</v>
      </c>
      <c r="BV39" s="171">
        <f t="shared" si="65"/>
        <v>0</v>
      </c>
      <c r="BW39" s="171">
        <f t="shared" si="65"/>
        <v>0</v>
      </c>
      <c r="BX39" s="171">
        <f t="shared" si="65"/>
        <v>0</v>
      </c>
      <c r="BY39" s="171">
        <f t="shared" ref="BY39:DT39" si="66">BY36+BY37-BY38</f>
        <v>0</v>
      </c>
      <c r="BZ39" s="171">
        <f t="shared" si="66"/>
        <v>0</v>
      </c>
      <c r="CA39" s="171">
        <f t="shared" si="66"/>
        <v>0</v>
      </c>
      <c r="CB39" s="171">
        <f t="shared" si="66"/>
        <v>0</v>
      </c>
      <c r="CC39" s="171">
        <f t="shared" si="66"/>
        <v>0</v>
      </c>
      <c r="CD39" s="171">
        <f t="shared" si="66"/>
        <v>0</v>
      </c>
      <c r="CE39" s="171">
        <f t="shared" si="66"/>
        <v>0</v>
      </c>
      <c r="CF39" s="171">
        <f t="shared" si="66"/>
        <v>0</v>
      </c>
      <c r="CG39" s="171">
        <f t="shared" si="66"/>
        <v>0</v>
      </c>
      <c r="CH39" s="171">
        <f t="shared" si="66"/>
        <v>0</v>
      </c>
      <c r="CI39" s="171">
        <f t="shared" si="66"/>
        <v>0</v>
      </c>
      <c r="CJ39" s="171">
        <f t="shared" si="66"/>
        <v>0</v>
      </c>
      <c r="CK39" s="171">
        <f t="shared" si="66"/>
        <v>0</v>
      </c>
      <c r="CL39" s="171">
        <f t="shared" si="66"/>
        <v>0</v>
      </c>
      <c r="CM39" s="171">
        <f t="shared" si="66"/>
        <v>0</v>
      </c>
      <c r="CN39" s="171">
        <f t="shared" si="66"/>
        <v>0</v>
      </c>
      <c r="CO39" s="171">
        <f t="shared" si="66"/>
        <v>0</v>
      </c>
      <c r="CP39" s="171">
        <f t="shared" si="66"/>
        <v>0</v>
      </c>
      <c r="CQ39" s="171">
        <f t="shared" si="66"/>
        <v>0</v>
      </c>
      <c r="CR39" s="171">
        <f t="shared" si="66"/>
        <v>0</v>
      </c>
      <c r="CS39" s="171">
        <f t="shared" si="66"/>
        <v>0</v>
      </c>
      <c r="CT39" s="171">
        <f t="shared" si="66"/>
        <v>0</v>
      </c>
      <c r="CU39" s="171">
        <f t="shared" si="66"/>
        <v>0</v>
      </c>
      <c r="CV39" s="171">
        <f t="shared" si="66"/>
        <v>0</v>
      </c>
      <c r="CW39" s="171">
        <f t="shared" si="66"/>
        <v>0</v>
      </c>
      <c r="CX39" s="171">
        <f t="shared" si="66"/>
        <v>0</v>
      </c>
      <c r="CY39" s="171">
        <f t="shared" si="66"/>
        <v>0</v>
      </c>
      <c r="CZ39" s="171">
        <f t="shared" si="66"/>
        <v>0</v>
      </c>
      <c r="DA39" s="171">
        <f t="shared" si="66"/>
        <v>0</v>
      </c>
      <c r="DB39" s="171">
        <f t="shared" si="66"/>
        <v>0</v>
      </c>
      <c r="DC39" s="171">
        <f t="shared" si="66"/>
        <v>0</v>
      </c>
      <c r="DD39" s="171">
        <f t="shared" si="66"/>
        <v>0</v>
      </c>
      <c r="DE39" s="171">
        <f t="shared" si="66"/>
        <v>0</v>
      </c>
      <c r="DF39" s="171">
        <f t="shared" si="66"/>
        <v>0</v>
      </c>
      <c r="DG39" s="171">
        <f t="shared" si="66"/>
        <v>0</v>
      </c>
      <c r="DH39" s="171">
        <f t="shared" si="66"/>
        <v>0</v>
      </c>
      <c r="DI39" s="171">
        <f t="shared" si="66"/>
        <v>0</v>
      </c>
      <c r="DJ39" s="171">
        <f t="shared" si="66"/>
        <v>0</v>
      </c>
      <c r="DK39" s="171">
        <f t="shared" si="66"/>
        <v>0</v>
      </c>
      <c r="DL39" s="171">
        <f t="shared" si="66"/>
        <v>0</v>
      </c>
      <c r="DM39" s="171">
        <f t="shared" si="66"/>
        <v>0</v>
      </c>
      <c r="DN39" s="171">
        <f t="shared" si="66"/>
        <v>0</v>
      </c>
      <c r="DO39" s="171">
        <f t="shared" si="66"/>
        <v>0</v>
      </c>
      <c r="DP39" s="171">
        <f t="shared" si="66"/>
        <v>0</v>
      </c>
      <c r="DQ39" s="171">
        <f t="shared" si="66"/>
        <v>0</v>
      </c>
      <c r="DR39" s="171">
        <f t="shared" si="66"/>
        <v>0</v>
      </c>
      <c r="DS39" s="171">
        <f t="shared" si="66"/>
        <v>0</v>
      </c>
      <c r="DT39" s="171">
        <f t="shared" si="66"/>
        <v>0</v>
      </c>
      <c r="DU39" s="171">
        <f t="shared" ref="DU39:EQ39" si="67">DU36+DU37-DU38</f>
        <v>0</v>
      </c>
      <c r="DV39" s="171">
        <f t="shared" si="67"/>
        <v>0</v>
      </c>
      <c r="DW39" s="171">
        <f t="shared" si="67"/>
        <v>0</v>
      </c>
      <c r="DX39" s="171">
        <f t="shared" si="67"/>
        <v>0</v>
      </c>
      <c r="DY39" s="171">
        <f t="shared" si="67"/>
        <v>0</v>
      </c>
      <c r="DZ39" s="171">
        <f t="shared" si="67"/>
        <v>0</v>
      </c>
      <c r="EA39" s="171">
        <f t="shared" si="67"/>
        <v>0</v>
      </c>
      <c r="EB39" s="171">
        <f t="shared" si="67"/>
        <v>0</v>
      </c>
      <c r="EC39" s="171">
        <f t="shared" si="67"/>
        <v>0</v>
      </c>
      <c r="ED39" s="1321">
        <f t="shared" si="67"/>
        <v>0</v>
      </c>
      <c r="EE39" s="171">
        <f t="shared" si="67"/>
        <v>0</v>
      </c>
      <c r="EF39" s="171">
        <f t="shared" si="67"/>
        <v>0</v>
      </c>
      <c r="EG39" s="171">
        <f t="shared" si="67"/>
        <v>0</v>
      </c>
      <c r="EH39" s="171">
        <f t="shared" si="67"/>
        <v>0</v>
      </c>
      <c r="EI39" s="171">
        <f t="shared" si="67"/>
        <v>0</v>
      </c>
      <c r="EJ39" s="171">
        <f t="shared" si="67"/>
        <v>0</v>
      </c>
      <c r="EK39" s="171">
        <f t="shared" si="67"/>
        <v>0</v>
      </c>
      <c r="EL39" s="171">
        <f t="shared" si="67"/>
        <v>0</v>
      </c>
      <c r="EM39" s="171">
        <f t="shared" si="67"/>
        <v>0</v>
      </c>
      <c r="EN39" s="171">
        <f t="shared" si="67"/>
        <v>0</v>
      </c>
      <c r="EO39" s="171">
        <f t="shared" si="67"/>
        <v>0</v>
      </c>
      <c r="EP39" s="171">
        <f t="shared" si="67"/>
        <v>0</v>
      </c>
      <c r="EQ39" s="171">
        <f t="shared" si="67"/>
        <v>0</v>
      </c>
    </row>
    <row r="40" spans="3:147" ht="11.25" customHeight="1">
      <c r="C40" s="158" t="str">
        <f>'A&amp;R'!L36</f>
        <v>중순위대출(2nd)</v>
      </c>
      <c r="D40" s="159"/>
      <c r="E40" s="159"/>
      <c r="F40" s="159"/>
      <c r="G40" s="159"/>
      <c r="H40" s="160"/>
      <c r="I40" s="219"/>
      <c r="J40" s="161"/>
      <c r="K40" s="98"/>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162"/>
      <c r="AJ40" s="162"/>
      <c r="AK40" s="162"/>
      <c r="AL40" s="162"/>
      <c r="AM40" s="162"/>
      <c r="AN40" s="162"/>
      <c r="AO40" s="162"/>
      <c r="AP40" s="162"/>
      <c r="AQ40" s="162"/>
      <c r="AR40" s="162"/>
      <c r="AS40" s="162"/>
      <c r="AT40" s="162"/>
      <c r="AU40" s="162"/>
      <c r="AV40" s="162"/>
      <c r="AW40" s="162"/>
      <c r="AX40" s="162"/>
      <c r="AY40" s="162"/>
      <c r="AZ40" s="162"/>
      <c r="BA40" s="162"/>
      <c r="BB40" s="162"/>
      <c r="BC40" s="162"/>
      <c r="BD40" s="162"/>
      <c r="BE40" s="162"/>
      <c r="BF40" s="162"/>
      <c r="BG40" s="162"/>
      <c r="BH40" s="162"/>
      <c r="BI40" s="162"/>
      <c r="BJ40" s="162"/>
      <c r="BK40" s="162"/>
      <c r="BL40" s="162"/>
      <c r="BM40" s="162"/>
      <c r="BN40" s="162"/>
      <c r="BO40" s="162"/>
      <c r="BP40" s="162"/>
      <c r="BQ40" s="162"/>
      <c r="BR40" s="162"/>
      <c r="BS40" s="162"/>
      <c r="BT40" s="162"/>
      <c r="BU40" s="162"/>
      <c r="BV40" s="162"/>
      <c r="BW40" s="162"/>
      <c r="BX40" s="162"/>
      <c r="BY40" s="162"/>
      <c r="BZ40" s="162"/>
      <c r="CA40" s="162"/>
      <c r="CB40" s="162"/>
      <c r="CC40" s="162"/>
      <c r="CD40" s="162"/>
      <c r="CE40" s="162"/>
      <c r="CF40" s="162"/>
      <c r="CG40" s="162"/>
      <c r="CH40" s="162"/>
      <c r="CI40" s="162"/>
      <c r="CJ40" s="162"/>
      <c r="CK40" s="162"/>
      <c r="CL40" s="162"/>
      <c r="CM40" s="162"/>
      <c r="CN40" s="162"/>
      <c r="CO40" s="162"/>
      <c r="CP40" s="162"/>
      <c r="CQ40" s="162"/>
      <c r="CR40" s="162"/>
      <c r="CS40" s="162"/>
      <c r="CT40" s="162"/>
      <c r="CU40" s="162"/>
      <c r="CV40" s="162"/>
      <c r="CW40" s="162"/>
      <c r="CX40" s="162"/>
      <c r="CY40" s="162"/>
      <c r="CZ40" s="162"/>
      <c r="DA40" s="162"/>
      <c r="DB40" s="162"/>
      <c r="DC40" s="162"/>
      <c r="DD40" s="162"/>
      <c r="DE40" s="162"/>
      <c r="DF40" s="162"/>
      <c r="DG40" s="162"/>
      <c r="DH40" s="162"/>
      <c r="DI40" s="162"/>
      <c r="DJ40" s="162"/>
      <c r="DK40" s="162"/>
      <c r="DL40" s="162"/>
      <c r="DM40" s="162"/>
      <c r="DN40" s="162"/>
      <c r="DO40" s="162"/>
      <c r="DP40" s="162"/>
      <c r="DQ40" s="162"/>
      <c r="DR40" s="162"/>
      <c r="DS40" s="162"/>
      <c r="DT40" s="162"/>
      <c r="DU40" s="162"/>
      <c r="DV40" s="162"/>
      <c r="DW40" s="162"/>
      <c r="DX40" s="162"/>
      <c r="DY40" s="162"/>
      <c r="DZ40" s="162"/>
      <c r="EA40" s="162"/>
      <c r="EB40" s="162"/>
      <c r="EC40" s="162"/>
      <c r="ED40" s="1319"/>
      <c r="EE40" s="162"/>
      <c r="EF40" s="162"/>
      <c r="EG40" s="162"/>
      <c r="EH40" s="162"/>
      <c r="EI40" s="162"/>
      <c r="EJ40" s="162"/>
      <c r="EK40" s="162"/>
      <c r="EL40" s="162"/>
      <c r="EM40" s="162"/>
      <c r="EN40" s="162"/>
      <c r="EO40" s="162"/>
      <c r="EP40" s="162"/>
      <c r="EQ40" s="162"/>
    </row>
    <row r="41" spans="3:147" ht="11.25" customHeight="1">
      <c r="C41" s="163"/>
      <c r="D41" s="164" t="s">
        <v>230</v>
      </c>
      <c r="E41" s="165"/>
      <c r="F41" s="165"/>
      <c r="G41" s="165"/>
      <c r="H41" s="166"/>
      <c r="I41" s="221"/>
      <c r="J41" s="167"/>
      <c r="K41" s="98"/>
      <c r="L41" s="168">
        <f t="shared" ref="L41:AQ41" si="68">K44</f>
        <v>0</v>
      </c>
      <c r="M41" s="168">
        <f t="shared" si="68"/>
        <v>0</v>
      </c>
      <c r="N41" s="168">
        <f t="shared" si="68"/>
        <v>0</v>
      </c>
      <c r="O41" s="168">
        <f t="shared" si="68"/>
        <v>0</v>
      </c>
      <c r="P41" s="168">
        <f t="shared" si="68"/>
        <v>0</v>
      </c>
      <c r="Q41" s="168">
        <f t="shared" si="68"/>
        <v>0</v>
      </c>
      <c r="R41" s="168">
        <f t="shared" si="68"/>
        <v>0</v>
      </c>
      <c r="S41" s="168">
        <f t="shared" si="68"/>
        <v>0</v>
      </c>
      <c r="T41" s="168">
        <f t="shared" si="68"/>
        <v>0</v>
      </c>
      <c r="U41" s="168">
        <f t="shared" si="68"/>
        <v>0</v>
      </c>
      <c r="V41" s="168">
        <f t="shared" si="68"/>
        <v>0</v>
      </c>
      <c r="W41" s="168">
        <f t="shared" si="68"/>
        <v>0</v>
      </c>
      <c r="X41" s="168">
        <f t="shared" si="68"/>
        <v>0</v>
      </c>
      <c r="Y41" s="168">
        <f t="shared" si="68"/>
        <v>0</v>
      </c>
      <c r="Z41" s="168">
        <f t="shared" si="68"/>
        <v>0</v>
      </c>
      <c r="AA41" s="168">
        <f t="shared" si="68"/>
        <v>0</v>
      </c>
      <c r="AB41" s="168">
        <f t="shared" si="68"/>
        <v>0</v>
      </c>
      <c r="AC41" s="168">
        <f t="shared" si="68"/>
        <v>0</v>
      </c>
      <c r="AD41" s="168">
        <f t="shared" si="68"/>
        <v>0</v>
      </c>
      <c r="AE41" s="168">
        <f t="shared" si="68"/>
        <v>0</v>
      </c>
      <c r="AF41" s="168">
        <f t="shared" si="68"/>
        <v>0</v>
      </c>
      <c r="AG41" s="168">
        <f t="shared" si="68"/>
        <v>0</v>
      </c>
      <c r="AH41" s="168">
        <f t="shared" si="68"/>
        <v>0</v>
      </c>
      <c r="AI41" s="168">
        <f t="shared" si="68"/>
        <v>0</v>
      </c>
      <c r="AJ41" s="168">
        <f t="shared" si="68"/>
        <v>0</v>
      </c>
      <c r="AK41" s="168">
        <f t="shared" si="68"/>
        <v>0</v>
      </c>
      <c r="AL41" s="168">
        <f t="shared" si="68"/>
        <v>0</v>
      </c>
      <c r="AM41" s="168">
        <f t="shared" si="68"/>
        <v>0</v>
      </c>
      <c r="AN41" s="168">
        <f t="shared" si="68"/>
        <v>0</v>
      </c>
      <c r="AO41" s="168">
        <f t="shared" si="68"/>
        <v>0</v>
      </c>
      <c r="AP41" s="168">
        <f t="shared" si="68"/>
        <v>0</v>
      </c>
      <c r="AQ41" s="168">
        <f t="shared" si="68"/>
        <v>0</v>
      </c>
      <c r="AR41" s="168">
        <f t="shared" ref="AR41:BW41" si="69">AQ44</f>
        <v>0</v>
      </c>
      <c r="AS41" s="168">
        <f t="shared" si="69"/>
        <v>0</v>
      </c>
      <c r="AT41" s="168">
        <f t="shared" si="69"/>
        <v>0</v>
      </c>
      <c r="AU41" s="168">
        <f t="shared" si="69"/>
        <v>0</v>
      </c>
      <c r="AV41" s="168">
        <f t="shared" si="69"/>
        <v>0</v>
      </c>
      <c r="AW41" s="168">
        <f t="shared" si="69"/>
        <v>0</v>
      </c>
      <c r="AX41" s="168">
        <f t="shared" si="69"/>
        <v>0</v>
      </c>
      <c r="AY41" s="168">
        <f t="shared" si="69"/>
        <v>0</v>
      </c>
      <c r="AZ41" s="168">
        <f t="shared" si="69"/>
        <v>0</v>
      </c>
      <c r="BA41" s="168">
        <f t="shared" si="69"/>
        <v>0</v>
      </c>
      <c r="BB41" s="168">
        <f t="shared" si="69"/>
        <v>0</v>
      </c>
      <c r="BC41" s="168">
        <f t="shared" si="69"/>
        <v>0</v>
      </c>
      <c r="BD41" s="168">
        <f t="shared" si="69"/>
        <v>0</v>
      </c>
      <c r="BE41" s="168">
        <f t="shared" si="69"/>
        <v>0</v>
      </c>
      <c r="BF41" s="168">
        <f t="shared" si="69"/>
        <v>0</v>
      </c>
      <c r="BG41" s="168">
        <f t="shared" si="69"/>
        <v>0</v>
      </c>
      <c r="BH41" s="168">
        <f t="shared" si="69"/>
        <v>0</v>
      </c>
      <c r="BI41" s="168">
        <f t="shared" si="69"/>
        <v>0</v>
      </c>
      <c r="BJ41" s="168">
        <f t="shared" si="69"/>
        <v>0</v>
      </c>
      <c r="BK41" s="168">
        <f t="shared" si="69"/>
        <v>0</v>
      </c>
      <c r="BL41" s="168">
        <f t="shared" si="69"/>
        <v>0</v>
      </c>
      <c r="BM41" s="168">
        <f t="shared" si="69"/>
        <v>0</v>
      </c>
      <c r="BN41" s="168">
        <f t="shared" si="69"/>
        <v>0</v>
      </c>
      <c r="BO41" s="168">
        <f t="shared" si="69"/>
        <v>0</v>
      </c>
      <c r="BP41" s="168">
        <f t="shared" si="69"/>
        <v>0</v>
      </c>
      <c r="BQ41" s="168">
        <f t="shared" si="69"/>
        <v>0</v>
      </c>
      <c r="BR41" s="168">
        <f t="shared" si="69"/>
        <v>0</v>
      </c>
      <c r="BS41" s="168">
        <f t="shared" si="69"/>
        <v>0</v>
      </c>
      <c r="BT41" s="168">
        <f t="shared" si="69"/>
        <v>0</v>
      </c>
      <c r="BU41" s="168">
        <f t="shared" si="69"/>
        <v>0</v>
      </c>
      <c r="BV41" s="168">
        <f t="shared" si="69"/>
        <v>0</v>
      </c>
      <c r="BW41" s="168">
        <f t="shared" si="69"/>
        <v>0</v>
      </c>
      <c r="BX41" s="168">
        <f t="shared" ref="BX41:DC41" si="70">BW44</f>
        <v>0</v>
      </c>
      <c r="BY41" s="168">
        <f t="shared" si="70"/>
        <v>0</v>
      </c>
      <c r="BZ41" s="168">
        <f t="shared" si="70"/>
        <v>0</v>
      </c>
      <c r="CA41" s="168">
        <f t="shared" si="70"/>
        <v>0</v>
      </c>
      <c r="CB41" s="168">
        <f t="shared" si="70"/>
        <v>0</v>
      </c>
      <c r="CC41" s="168">
        <f t="shared" si="70"/>
        <v>0</v>
      </c>
      <c r="CD41" s="168">
        <f t="shared" si="70"/>
        <v>0</v>
      </c>
      <c r="CE41" s="168">
        <f t="shared" si="70"/>
        <v>0</v>
      </c>
      <c r="CF41" s="168">
        <f t="shared" si="70"/>
        <v>0</v>
      </c>
      <c r="CG41" s="168">
        <f t="shared" si="70"/>
        <v>0</v>
      </c>
      <c r="CH41" s="168">
        <f t="shared" si="70"/>
        <v>0</v>
      </c>
      <c r="CI41" s="168">
        <f t="shared" si="70"/>
        <v>0</v>
      </c>
      <c r="CJ41" s="168">
        <f t="shared" si="70"/>
        <v>0</v>
      </c>
      <c r="CK41" s="168">
        <f t="shared" si="70"/>
        <v>0</v>
      </c>
      <c r="CL41" s="168">
        <f t="shared" si="70"/>
        <v>0</v>
      </c>
      <c r="CM41" s="168">
        <f t="shared" si="70"/>
        <v>0</v>
      </c>
      <c r="CN41" s="168">
        <f t="shared" si="70"/>
        <v>0</v>
      </c>
      <c r="CO41" s="168">
        <f t="shared" si="70"/>
        <v>0</v>
      </c>
      <c r="CP41" s="168">
        <f t="shared" si="70"/>
        <v>0</v>
      </c>
      <c r="CQ41" s="168">
        <f t="shared" si="70"/>
        <v>0</v>
      </c>
      <c r="CR41" s="168">
        <f t="shared" si="70"/>
        <v>0</v>
      </c>
      <c r="CS41" s="168">
        <f t="shared" si="70"/>
        <v>0</v>
      </c>
      <c r="CT41" s="168">
        <f t="shared" si="70"/>
        <v>0</v>
      </c>
      <c r="CU41" s="168">
        <f t="shared" si="70"/>
        <v>0</v>
      </c>
      <c r="CV41" s="168">
        <f t="shared" si="70"/>
        <v>0</v>
      </c>
      <c r="CW41" s="168">
        <f t="shared" si="70"/>
        <v>0</v>
      </c>
      <c r="CX41" s="168">
        <f t="shared" si="70"/>
        <v>0</v>
      </c>
      <c r="CY41" s="168">
        <f t="shared" si="70"/>
        <v>0</v>
      </c>
      <c r="CZ41" s="168">
        <f t="shared" si="70"/>
        <v>0</v>
      </c>
      <c r="DA41" s="168">
        <f t="shared" si="70"/>
        <v>0</v>
      </c>
      <c r="DB41" s="168">
        <f t="shared" si="70"/>
        <v>0</v>
      </c>
      <c r="DC41" s="168">
        <f t="shared" si="70"/>
        <v>0</v>
      </c>
      <c r="DD41" s="168">
        <f t="shared" ref="DD41:EI41" si="71">DC44</f>
        <v>0</v>
      </c>
      <c r="DE41" s="168">
        <f t="shared" si="71"/>
        <v>0</v>
      </c>
      <c r="DF41" s="168">
        <f t="shared" si="71"/>
        <v>0</v>
      </c>
      <c r="DG41" s="168">
        <f t="shared" si="71"/>
        <v>0</v>
      </c>
      <c r="DH41" s="168">
        <f t="shared" si="71"/>
        <v>0</v>
      </c>
      <c r="DI41" s="168">
        <f t="shared" si="71"/>
        <v>0</v>
      </c>
      <c r="DJ41" s="168">
        <f t="shared" si="71"/>
        <v>0</v>
      </c>
      <c r="DK41" s="168">
        <f t="shared" si="71"/>
        <v>0</v>
      </c>
      <c r="DL41" s="168">
        <f t="shared" si="71"/>
        <v>0</v>
      </c>
      <c r="DM41" s="168">
        <f t="shared" si="71"/>
        <v>0</v>
      </c>
      <c r="DN41" s="168">
        <f t="shared" si="71"/>
        <v>0</v>
      </c>
      <c r="DO41" s="168">
        <f t="shared" si="71"/>
        <v>0</v>
      </c>
      <c r="DP41" s="168">
        <f t="shared" si="71"/>
        <v>0</v>
      </c>
      <c r="DQ41" s="168">
        <f t="shared" si="71"/>
        <v>0</v>
      </c>
      <c r="DR41" s="168">
        <f t="shared" si="71"/>
        <v>0</v>
      </c>
      <c r="DS41" s="168">
        <f t="shared" si="71"/>
        <v>0</v>
      </c>
      <c r="DT41" s="168">
        <f t="shared" si="71"/>
        <v>0</v>
      </c>
      <c r="DU41" s="168">
        <f t="shared" si="71"/>
        <v>0</v>
      </c>
      <c r="DV41" s="168">
        <f t="shared" si="71"/>
        <v>0</v>
      </c>
      <c r="DW41" s="168">
        <f t="shared" si="71"/>
        <v>0</v>
      </c>
      <c r="DX41" s="168">
        <f t="shared" si="71"/>
        <v>0</v>
      </c>
      <c r="DY41" s="168">
        <f t="shared" si="71"/>
        <v>0</v>
      </c>
      <c r="DZ41" s="168">
        <f t="shared" si="71"/>
        <v>0</v>
      </c>
      <c r="EA41" s="168">
        <f t="shared" si="71"/>
        <v>0</v>
      </c>
      <c r="EB41" s="168">
        <f t="shared" si="71"/>
        <v>0</v>
      </c>
      <c r="EC41" s="168">
        <f t="shared" si="71"/>
        <v>0</v>
      </c>
      <c r="ED41" s="1320">
        <f t="shared" si="71"/>
        <v>0</v>
      </c>
      <c r="EE41" s="168">
        <f t="shared" si="71"/>
        <v>0</v>
      </c>
      <c r="EF41" s="168">
        <f t="shared" si="71"/>
        <v>0</v>
      </c>
      <c r="EG41" s="168">
        <f t="shared" si="71"/>
        <v>0</v>
      </c>
      <c r="EH41" s="168">
        <f t="shared" si="71"/>
        <v>0</v>
      </c>
      <c r="EI41" s="168">
        <f t="shared" si="71"/>
        <v>0</v>
      </c>
      <c r="EJ41" s="168">
        <f t="shared" ref="EJ41:EQ41" si="72">EI44</f>
        <v>0</v>
      </c>
      <c r="EK41" s="168">
        <f t="shared" si="72"/>
        <v>0</v>
      </c>
      <c r="EL41" s="168">
        <f t="shared" si="72"/>
        <v>0</v>
      </c>
      <c r="EM41" s="168">
        <f t="shared" si="72"/>
        <v>0</v>
      </c>
      <c r="EN41" s="168">
        <f t="shared" si="72"/>
        <v>0</v>
      </c>
      <c r="EO41" s="168">
        <f t="shared" si="72"/>
        <v>0</v>
      </c>
      <c r="EP41" s="168">
        <f t="shared" si="72"/>
        <v>0</v>
      </c>
      <c r="EQ41" s="168">
        <f t="shared" si="72"/>
        <v>0</v>
      </c>
    </row>
    <row r="42" spans="3:147" ht="11.25" customHeight="1">
      <c r="C42" s="163"/>
      <c r="D42" s="169" t="s">
        <v>231</v>
      </c>
      <c r="H42" s="146">
        <f>'A&amp;R'!M36</f>
        <v>47057</v>
      </c>
      <c r="I42" s="13">
        <f>'A&amp;R'!P36</f>
        <v>0</v>
      </c>
      <c r="J42" s="170">
        <f>SUM(L42:EQ42)</f>
        <v>0</v>
      </c>
      <c r="K42" s="98"/>
      <c r="L42" s="171">
        <f>(L$14=$H42)*$I42</f>
        <v>0</v>
      </c>
      <c r="M42" s="171">
        <f t="shared" ref="M42:BX42" si="73">(M$14=$H42)*$I42</f>
        <v>0</v>
      </c>
      <c r="N42" s="171">
        <f t="shared" si="73"/>
        <v>0</v>
      </c>
      <c r="O42" s="171">
        <f t="shared" si="73"/>
        <v>0</v>
      </c>
      <c r="P42" s="171">
        <f t="shared" si="73"/>
        <v>0</v>
      </c>
      <c r="Q42" s="171">
        <f t="shared" si="73"/>
        <v>0</v>
      </c>
      <c r="R42" s="171">
        <f t="shared" si="73"/>
        <v>0</v>
      </c>
      <c r="S42" s="171">
        <f t="shared" si="73"/>
        <v>0</v>
      </c>
      <c r="T42" s="171">
        <f t="shared" si="73"/>
        <v>0</v>
      </c>
      <c r="U42" s="171">
        <f t="shared" si="73"/>
        <v>0</v>
      </c>
      <c r="V42" s="171">
        <f t="shared" si="73"/>
        <v>0</v>
      </c>
      <c r="W42" s="171">
        <f t="shared" si="73"/>
        <v>0</v>
      </c>
      <c r="X42" s="171">
        <f t="shared" si="73"/>
        <v>0</v>
      </c>
      <c r="Y42" s="171">
        <f t="shared" si="73"/>
        <v>0</v>
      </c>
      <c r="Z42" s="171">
        <f t="shared" si="73"/>
        <v>0</v>
      </c>
      <c r="AA42" s="171">
        <f t="shared" si="73"/>
        <v>0</v>
      </c>
      <c r="AB42" s="171">
        <f t="shared" si="73"/>
        <v>0</v>
      </c>
      <c r="AC42" s="171">
        <f t="shared" si="73"/>
        <v>0</v>
      </c>
      <c r="AD42" s="171">
        <f t="shared" si="73"/>
        <v>0</v>
      </c>
      <c r="AE42" s="171">
        <f t="shared" si="73"/>
        <v>0</v>
      </c>
      <c r="AF42" s="171">
        <f t="shared" si="73"/>
        <v>0</v>
      </c>
      <c r="AG42" s="171">
        <f t="shared" si="73"/>
        <v>0</v>
      </c>
      <c r="AH42" s="171">
        <f t="shared" si="73"/>
        <v>0</v>
      </c>
      <c r="AI42" s="171">
        <f t="shared" si="73"/>
        <v>0</v>
      </c>
      <c r="AJ42" s="171">
        <f t="shared" si="73"/>
        <v>0</v>
      </c>
      <c r="AK42" s="171">
        <f t="shared" si="73"/>
        <v>0</v>
      </c>
      <c r="AL42" s="171">
        <f t="shared" si="73"/>
        <v>0</v>
      </c>
      <c r="AM42" s="171">
        <f t="shared" si="73"/>
        <v>0</v>
      </c>
      <c r="AN42" s="171">
        <f t="shared" si="73"/>
        <v>0</v>
      </c>
      <c r="AO42" s="171">
        <f t="shared" si="73"/>
        <v>0</v>
      </c>
      <c r="AP42" s="171">
        <f t="shared" si="73"/>
        <v>0</v>
      </c>
      <c r="AQ42" s="171">
        <f t="shared" si="73"/>
        <v>0</v>
      </c>
      <c r="AR42" s="171">
        <f t="shared" si="73"/>
        <v>0</v>
      </c>
      <c r="AS42" s="171">
        <f t="shared" si="73"/>
        <v>0</v>
      </c>
      <c r="AT42" s="171">
        <f t="shared" si="73"/>
        <v>0</v>
      </c>
      <c r="AU42" s="171">
        <f t="shared" si="73"/>
        <v>0</v>
      </c>
      <c r="AV42" s="171">
        <f t="shared" si="73"/>
        <v>0</v>
      </c>
      <c r="AW42" s="171">
        <f t="shared" si="73"/>
        <v>0</v>
      </c>
      <c r="AX42" s="171">
        <f t="shared" si="73"/>
        <v>0</v>
      </c>
      <c r="AY42" s="171">
        <f t="shared" si="73"/>
        <v>0</v>
      </c>
      <c r="AZ42" s="171">
        <f t="shared" si="73"/>
        <v>0</v>
      </c>
      <c r="BA42" s="171">
        <f t="shared" si="73"/>
        <v>0</v>
      </c>
      <c r="BB42" s="171">
        <f t="shared" si="73"/>
        <v>0</v>
      </c>
      <c r="BC42" s="171">
        <f t="shared" si="73"/>
        <v>0</v>
      </c>
      <c r="BD42" s="171">
        <f t="shared" si="73"/>
        <v>0</v>
      </c>
      <c r="BE42" s="171">
        <f t="shared" si="73"/>
        <v>0</v>
      </c>
      <c r="BF42" s="171">
        <f t="shared" si="73"/>
        <v>0</v>
      </c>
      <c r="BG42" s="171">
        <f t="shared" si="73"/>
        <v>0</v>
      </c>
      <c r="BH42" s="171">
        <f t="shared" si="73"/>
        <v>0</v>
      </c>
      <c r="BI42" s="171">
        <f t="shared" si="73"/>
        <v>0</v>
      </c>
      <c r="BJ42" s="171">
        <f t="shared" si="73"/>
        <v>0</v>
      </c>
      <c r="BK42" s="171">
        <f t="shared" si="73"/>
        <v>0</v>
      </c>
      <c r="BL42" s="171">
        <f t="shared" si="73"/>
        <v>0</v>
      </c>
      <c r="BM42" s="171">
        <f t="shared" si="73"/>
        <v>0</v>
      </c>
      <c r="BN42" s="171">
        <f t="shared" si="73"/>
        <v>0</v>
      </c>
      <c r="BO42" s="171">
        <f t="shared" si="73"/>
        <v>0</v>
      </c>
      <c r="BP42" s="171">
        <f t="shared" si="73"/>
        <v>0</v>
      </c>
      <c r="BQ42" s="171">
        <f t="shared" si="73"/>
        <v>0</v>
      </c>
      <c r="BR42" s="171">
        <f t="shared" si="73"/>
        <v>0</v>
      </c>
      <c r="BS42" s="171">
        <f t="shared" si="73"/>
        <v>0</v>
      </c>
      <c r="BT42" s="171">
        <f t="shared" si="73"/>
        <v>0</v>
      </c>
      <c r="BU42" s="171">
        <f t="shared" si="73"/>
        <v>0</v>
      </c>
      <c r="BV42" s="171">
        <f t="shared" si="73"/>
        <v>0</v>
      </c>
      <c r="BW42" s="171">
        <f t="shared" si="73"/>
        <v>0</v>
      </c>
      <c r="BX42" s="171">
        <f t="shared" si="73"/>
        <v>0</v>
      </c>
      <c r="BY42" s="171">
        <f t="shared" ref="BY42:EQ42" si="74">(BY$14=$H42)*$I42</f>
        <v>0</v>
      </c>
      <c r="BZ42" s="171">
        <f t="shared" si="74"/>
        <v>0</v>
      </c>
      <c r="CA42" s="171">
        <f t="shared" si="74"/>
        <v>0</v>
      </c>
      <c r="CB42" s="171">
        <f t="shared" si="74"/>
        <v>0</v>
      </c>
      <c r="CC42" s="171">
        <f t="shared" si="74"/>
        <v>0</v>
      </c>
      <c r="CD42" s="171">
        <f t="shared" si="74"/>
        <v>0</v>
      </c>
      <c r="CE42" s="171">
        <f t="shared" si="74"/>
        <v>0</v>
      </c>
      <c r="CF42" s="171">
        <f t="shared" si="74"/>
        <v>0</v>
      </c>
      <c r="CG42" s="171">
        <f t="shared" si="74"/>
        <v>0</v>
      </c>
      <c r="CH42" s="171">
        <f t="shared" si="74"/>
        <v>0</v>
      </c>
      <c r="CI42" s="171">
        <f t="shared" si="74"/>
        <v>0</v>
      </c>
      <c r="CJ42" s="171">
        <f t="shared" si="74"/>
        <v>0</v>
      </c>
      <c r="CK42" s="171">
        <f t="shared" si="74"/>
        <v>0</v>
      </c>
      <c r="CL42" s="171">
        <f t="shared" si="74"/>
        <v>0</v>
      </c>
      <c r="CM42" s="171">
        <f t="shared" si="74"/>
        <v>0</v>
      </c>
      <c r="CN42" s="171">
        <f t="shared" si="74"/>
        <v>0</v>
      </c>
      <c r="CO42" s="171">
        <f t="shared" si="74"/>
        <v>0</v>
      </c>
      <c r="CP42" s="171">
        <f t="shared" si="74"/>
        <v>0</v>
      </c>
      <c r="CQ42" s="171">
        <f t="shared" si="74"/>
        <v>0</v>
      </c>
      <c r="CR42" s="171">
        <f t="shared" si="74"/>
        <v>0</v>
      </c>
      <c r="CS42" s="171">
        <f t="shared" si="74"/>
        <v>0</v>
      </c>
      <c r="CT42" s="171">
        <f t="shared" si="74"/>
        <v>0</v>
      </c>
      <c r="CU42" s="171">
        <f t="shared" si="74"/>
        <v>0</v>
      </c>
      <c r="CV42" s="171">
        <f t="shared" si="74"/>
        <v>0</v>
      </c>
      <c r="CW42" s="171">
        <f t="shared" si="74"/>
        <v>0</v>
      </c>
      <c r="CX42" s="171">
        <f t="shared" si="74"/>
        <v>0</v>
      </c>
      <c r="CY42" s="171">
        <f t="shared" si="74"/>
        <v>0</v>
      </c>
      <c r="CZ42" s="171">
        <f t="shared" si="74"/>
        <v>0</v>
      </c>
      <c r="DA42" s="171">
        <f t="shared" si="74"/>
        <v>0</v>
      </c>
      <c r="DB42" s="171">
        <f t="shared" si="74"/>
        <v>0</v>
      </c>
      <c r="DC42" s="171">
        <f t="shared" si="74"/>
        <v>0</v>
      </c>
      <c r="DD42" s="171">
        <f t="shared" si="74"/>
        <v>0</v>
      </c>
      <c r="DE42" s="171">
        <f t="shared" si="74"/>
        <v>0</v>
      </c>
      <c r="DF42" s="171">
        <f t="shared" si="74"/>
        <v>0</v>
      </c>
      <c r="DG42" s="171">
        <f t="shared" si="74"/>
        <v>0</v>
      </c>
      <c r="DH42" s="171">
        <f t="shared" si="74"/>
        <v>0</v>
      </c>
      <c r="DI42" s="171">
        <f t="shared" si="74"/>
        <v>0</v>
      </c>
      <c r="DJ42" s="171">
        <f t="shared" si="74"/>
        <v>0</v>
      </c>
      <c r="DK42" s="171">
        <f t="shared" si="74"/>
        <v>0</v>
      </c>
      <c r="DL42" s="171">
        <f t="shared" si="74"/>
        <v>0</v>
      </c>
      <c r="DM42" s="171">
        <f t="shared" si="74"/>
        <v>0</v>
      </c>
      <c r="DN42" s="171">
        <f t="shared" si="74"/>
        <v>0</v>
      </c>
      <c r="DO42" s="171">
        <f t="shared" si="74"/>
        <v>0</v>
      </c>
      <c r="DP42" s="171">
        <f t="shared" si="74"/>
        <v>0</v>
      </c>
      <c r="DQ42" s="171">
        <f t="shared" si="74"/>
        <v>0</v>
      </c>
      <c r="DR42" s="171">
        <f t="shared" si="74"/>
        <v>0</v>
      </c>
      <c r="DS42" s="171">
        <f t="shared" si="74"/>
        <v>0</v>
      </c>
      <c r="DT42" s="171">
        <f t="shared" si="74"/>
        <v>0</v>
      </c>
      <c r="DU42" s="171">
        <f t="shared" si="74"/>
        <v>0</v>
      </c>
      <c r="DV42" s="171">
        <f t="shared" si="74"/>
        <v>0</v>
      </c>
      <c r="DW42" s="171">
        <f t="shared" si="74"/>
        <v>0</v>
      </c>
      <c r="DX42" s="171">
        <f t="shared" si="74"/>
        <v>0</v>
      </c>
      <c r="DY42" s="171">
        <f t="shared" si="74"/>
        <v>0</v>
      </c>
      <c r="DZ42" s="171">
        <f t="shared" si="74"/>
        <v>0</v>
      </c>
      <c r="EA42" s="171">
        <f t="shared" si="74"/>
        <v>0</v>
      </c>
      <c r="EB42" s="171">
        <f t="shared" si="74"/>
        <v>0</v>
      </c>
      <c r="EC42" s="171">
        <f t="shared" si="74"/>
        <v>0</v>
      </c>
      <c r="ED42" s="1321">
        <f t="shared" si="74"/>
        <v>0</v>
      </c>
      <c r="EE42" s="171">
        <f t="shared" si="74"/>
        <v>0</v>
      </c>
      <c r="EF42" s="171">
        <f t="shared" si="74"/>
        <v>0</v>
      </c>
      <c r="EG42" s="171">
        <f t="shared" si="74"/>
        <v>0</v>
      </c>
      <c r="EH42" s="171">
        <f t="shared" si="74"/>
        <v>0</v>
      </c>
      <c r="EI42" s="171">
        <f t="shared" si="74"/>
        <v>0</v>
      </c>
      <c r="EJ42" s="171">
        <f t="shared" si="74"/>
        <v>0</v>
      </c>
      <c r="EK42" s="171">
        <f t="shared" si="74"/>
        <v>0</v>
      </c>
      <c r="EL42" s="171">
        <f t="shared" si="74"/>
        <v>0</v>
      </c>
      <c r="EM42" s="171">
        <f t="shared" si="74"/>
        <v>0</v>
      </c>
      <c r="EN42" s="171">
        <f t="shared" si="74"/>
        <v>0</v>
      </c>
      <c r="EO42" s="171">
        <f t="shared" si="74"/>
        <v>0</v>
      </c>
      <c r="EP42" s="171">
        <f t="shared" si="74"/>
        <v>0</v>
      </c>
      <c r="EQ42" s="171">
        <f t="shared" si="74"/>
        <v>0</v>
      </c>
    </row>
    <row r="43" spans="3:147" ht="11.25" customHeight="1">
      <c r="C43" s="163"/>
      <c r="D43" s="169" t="s">
        <v>232</v>
      </c>
      <c r="H43" s="146">
        <f>'A&amp;R'!N36</f>
        <v>48152</v>
      </c>
      <c r="J43" s="170">
        <f>SUM(L43:EQ43)</f>
        <v>0</v>
      </c>
      <c r="K43" s="98"/>
      <c r="L43" s="171">
        <f>SUM(L41:L42)*(L$14=$H43)</f>
        <v>0</v>
      </c>
      <c r="M43" s="171">
        <f t="shared" ref="M43:BX43" si="75">SUM(M41:M42)*(M$14=$H43)</f>
        <v>0</v>
      </c>
      <c r="N43" s="171">
        <f t="shared" si="75"/>
        <v>0</v>
      </c>
      <c r="O43" s="171">
        <f t="shared" si="75"/>
        <v>0</v>
      </c>
      <c r="P43" s="171">
        <f t="shared" si="75"/>
        <v>0</v>
      </c>
      <c r="Q43" s="171">
        <f t="shared" si="75"/>
        <v>0</v>
      </c>
      <c r="R43" s="171">
        <f t="shared" si="75"/>
        <v>0</v>
      </c>
      <c r="S43" s="171">
        <f t="shared" si="75"/>
        <v>0</v>
      </c>
      <c r="T43" s="171">
        <f t="shared" si="75"/>
        <v>0</v>
      </c>
      <c r="U43" s="171">
        <f t="shared" si="75"/>
        <v>0</v>
      </c>
      <c r="V43" s="171">
        <f t="shared" si="75"/>
        <v>0</v>
      </c>
      <c r="W43" s="171">
        <f t="shared" si="75"/>
        <v>0</v>
      </c>
      <c r="X43" s="171">
        <f t="shared" si="75"/>
        <v>0</v>
      </c>
      <c r="Y43" s="171">
        <f t="shared" si="75"/>
        <v>0</v>
      </c>
      <c r="Z43" s="171">
        <f t="shared" si="75"/>
        <v>0</v>
      </c>
      <c r="AA43" s="171">
        <f t="shared" si="75"/>
        <v>0</v>
      </c>
      <c r="AB43" s="171">
        <f t="shared" si="75"/>
        <v>0</v>
      </c>
      <c r="AC43" s="171">
        <f t="shared" si="75"/>
        <v>0</v>
      </c>
      <c r="AD43" s="171">
        <f t="shared" si="75"/>
        <v>0</v>
      </c>
      <c r="AE43" s="171">
        <f t="shared" si="75"/>
        <v>0</v>
      </c>
      <c r="AF43" s="171">
        <f t="shared" si="75"/>
        <v>0</v>
      </c>
      <c r="AG43" s="171">
        <f t="shared" si="75"/>
        <v>0</v>
      </c>
      <c r="AH43" s="171">
        <f t="shared" si="75"/>
        <v>0</v>
      </c>
      <c r="AI43" s="171">
        <f t="shared" si="75"/>
        <v>0</v>
      </c>
      <c r="AJ43" s="171">
        <f t="shared" si="75"/>
        <v>0</v>
      </c>
      <c r="AK43" s="171">
        <f t="shared" si="75"/>
        <v>0</v>
      </c>
      <c r="AL43" s="171">
        <f t="shared" si="75"/>
        <v>0</v>
      </c>
      <c r="AM43" s="171">
        <f t="shared" si="75"/>
        <v>0</v>
      </c>
      <c r="AN43" s="171">
        <f t="shared" si="75"/>
        <v>0</v>
      </c>
      <c r="AO43" s="171">
        <f t="shared" si="75"/>
        <v>0</v>
      </c>
      <c r="AP43" s="171">
        <f t="shared" si="75"/>
        <v>0</v>
      </c>
      <c r="AQ43" s="171">
        <f t="shared" si="75"/>
        <v>0</v>
      </c>
      <c r="AR43" s="171">
        <f t="shared" si="75"/>
        <v>0</v>
      </c>
      <c r="AS43" s="171">
        <f t="shared" si="75"/>
        <v>0</v>
      </c>
      <c r="AT43" s="171">
        <f t="shared" si="75"/>
        <v>0</v>
      </c>
      <c r="AU43" s="171">
        <f t="shared" si="75"/>
        <v>0</v>
      </c>
      <c r="AV43" s="171">
        <f t="shared" si="75"/>
        <v>0</v>
      </c>
      <c r="AW43" s="171">
        <f t="shared" si="75"/>
        <v>0</v>
      </c>
      <c r="AX43" s="171">
        <f t="shared" si="75"/>
        <v>0</v>
      </c>
      <c r="AY43" s="171">
        <f t="shared" si="75"/>
        <v>0</v>
      </c>
      <c r="AZ43" s="171">
        <f t="shared" si="75"/>
        <v>0</v>
      </c>
      <c r="BA43" s="171">
        <f t="shared" si="75"/>
        <v>0</v>
      </c>
      <c r="BB43" s="171">
        <f t="shared" si="75"/>
        <v>0</v>
      </c>
      <c r="BC43" s="171">
        <f t="shared" si="75"/>
        <v>0</v>
      </c>
      <c r="BD43" s="171">
        <f t="shared" si="75"/>
        <v>0</v>
      </c>
      <c r="BE43" s="171">
        <f t="shared" si="75"/>
        <v>0</v>
      </c>
      <c r="BF43" s="171">
        <f t="shared" si="75"/>
        <v>0</v>
      </c>
      <c r="BG43" s="171">
        <f t="shared" si="75"/>
        <v>0</v>
      </c>
      <c r="BH43" s="171">
        <f t="shared" si="75"/>
        <v>0</v>
      </c>
      <c r="BI43" s="171">
        <f t="shared" si="75"/>
        <v>0</v>
      </c>
      <c r="BJ43" s="171">
        <f t="shared" si="75"/>
        <v>0</v>
      </c>
      <c r="BK43" s="171">
        <f t="shared" si="75"/>
        <v>0</v>
      </c>
      <c r="BL43" s="171">
        <f t="shared" si="75"/>
        <v>0</v>
      </c>
      <c r="BM43" s="171">
        <f t="shared" si="75"/>
        <v>0</v>
      </c>
      <c r="BN43" s="171">
        <f t="shared" si="75"/>
        <v>0</v>
      </c>
      <c r="BO43" s="171">
        <f t="shared" si="75"/>
        <v>0</v>
      </c>
      <c r="BP43" s="171">
        <f t="shared" si="75"/>
        <v>0</v>
      </c>
      <c r="BQ43" s="171">
        <f t="shared" si="75"/>
        <v>0</v>
      </c>
      <c r="BR43" s="171">
        <f t="shared" si="75"/>
        <v>0</v>
      </c>
      <c r="BS43" s="171">
        <f t="shared" si="75"/>
        <v>0</v>
      </c>
      <c r="BT43" s="171">
        <f t="shared" si="75"/>
        <v>0</v>
      </c>
      <c r="BU43" s="171">
        <f t="shared" si="75"/>
        <v>0</v>
      </c>
      <c r="BV43" s="171">
        <f t="shared" si="75"/>
        <v>0</v>
      </c>
      <c r="BW43" s="171">
        <f t="shared" si="75"/>
        <v>0</v>
      </c>
      <c r="BX43" s="171">
        <f t="shared" si="75"/>
        <v>0</v>
      </c>
      <c r="BY43" s="171">
        <f t="shared" ref="BY43:EJ43" si="76">SUM(BY41:BY42)*(BY$14=$H43)</f>
        <v>0</v>
      </c>
      <c r="BZ43" s="171">
        <f t="shared" si="76"/>
        <v>0</v>
      </c>
      <c r="CA43" s="171">
        <f t="shared" si="76"/>
        <v>0</v>
      </c>
      <c r="CB43" s="171">
        <f t="shared" si="76"/>
        <v>0</v>
      </c>
      <c r="CC43" s="171">
        <f t="shared" si="76"/>
        <v>0</v>
      </c>
      <c r="CD43" s="171">
        <f t="shared" si="76"/>
        <v>0</v>
      </c>
      <c r="CE43" s="171">
        <f t="shared" si="76"/>
        <v>0</v>
      </c>
      <c r="CF43" s="171">
        <f t="shared" si="76"/>
        <v>0</v>
      </c>
      <c r="CG43" s="171">
        <f t="shared" si="76"/>
        <v>0</v>
      </c>
      <c r="CH43" s="171">
        <f t="shared" si="76"/>
        <v>0</v>
      </c>
      <c r="CI43" s="171">
        <f t="shared" si="76"/>
        <v>0</v>
      </c>
      <c r="CJ43" s="171">
        <f t="shared" si="76"/>
        <v>0</v>
      </c>
      <c r="CK43" s="171">
        <f t="shared" si="76"/>
        <v>0</v>
      </c>
      <c r="CL43" s="171">
        <f t="shared" si="76"/>
        <v>0</v>
      </c>
      <c r="CM43" s="171">
        <f t="shared" si="76"/>
        <v>0</v>
      </c>
      <c r="CN43" s="171">
        <f t="shared" si="76"/>
        <v>0</v>
      </c>
      <c r="CO43" s="171">
        <f t="shared" si="76"/>
        <v>0</v>
      </c>
      <c r="CP43" s="171">
        <f t="shared" si="76"/>
        <v>0</v>
      </c>
      <c r="CQ43" s="171">
        <f t="shared" si="76"/>
        <v>0</v>
      </c>
      <c r="CR43" s="171">
        <f t="shared" si="76"/>
        <v>0</v>
      </c>
      <c r="CS43" s="171">
        <f t="shared" si="76"/>
        <v>0</v>
      </c>
      <c r="CT43" s="171">
        <f t="shared" si="76"/>
        <v>0</v>
      </c>
      <c r="CU43" s="171">
        <f t="shared" si="76"/>
        <v>0</v>
      </c>
      <c r="CV43" s="171">
        <f t="shared" si="76"/>
        <v>0</v>
      </c>
      <c r="CW43" s="171">
        <f t="shared" si="76"/>
        <v>0</v>
      </c>
      <c r="CX43" s="171">
        <f t="shared" si="76"/>
        <v>0</v>
      </c>
      <c r="CY43" s="171">
        <f t="shared" si="76"/>
        <v>0</v>
      </c>
      <c r="CZ43" s="171">
        <f t="shared" si="76"/>
        <v>0</v>
      </c>
      <c r="DA43" s="171">
        <f t="shared" si="76"/>
        <v>0</v>
      </c>
      <c r="DB43" s="171">
        <f t="shared" si="76"/>
        <v>0</v>
      </c>
      <c r="DC43" s="171">
        <f t="shared" si="76"/>
        <v>0</v>
      </c>
      <c r="DD43" s="171">
        <f t="shared" si="76"/>
        <v>0</v>
      </c>
      <c r="DE43" s="171">
        <f t="shared" si="76"/>
        <v>0</v>
      </c>
      <c r="DF43" s="171">
        <f t="shared" si="76"/>
        <v>0</v>
      </c>
      <c r="DG43" s="171">
        <f t="shared" si="76"/>
        <v>0</v>
      </c>
      <c r="DH43" s="171">
        <f t="shared" si="76"/>
        <v>0</v>
      </c>
      <c r="DI43" s="171">
        <f t="shared" si="76"/>
        <v>0</v>
      </c>
      <c r="DJ43" s="171">
        <f t="shared" si="76"/>
        <v>0</v>
      </c>
      <c r="DK43" s="171">
        <f t="shared" si="76"/>
        <v>0</v>
      </c>
      <c r="DL43" s="171">
        <f t="shared" si="76"/>
        <v>0</v>
      </c>
      <c r="DM43" s="171">
        <f t="shared" si="76"/>
        <v>0</v>
      </c>
      <c r="DN43" s="171">
        <f t="shared" si="76"/>
        <v>0</v>
      </c>
      <c r="DO43" s="171">
        <f t="shared" si="76"/>
        <v>0</v>
      </c>
      <c r="DP43" s="171">
        <f t="shared" si="76"/>
        <v>0</v>
      </c>
      <c r="DQ43" s="171">
        <f t="shared" si="76"/>
        <v>0</v>
      </c>
      <c r="DR43" s="171">
        <f t="shared" si="76"/>
        <v>0</v>
      </c>
      <c r="DS43" s="171">
        <f t="shared" si="76"/>
        <v>0</v>
      </c>
      <c r="DT43" s="171">
        <f t="shared" si="76"/>
        <v>0</v>
      </c>
      <c r="DU43" s="171">
        <f t="shared" si="76"/>
        <v>0</v>
      </c>
      <c r="DV43" s="171">
        <f t="shared" si="76"/>
        <v>0</v>
      </c>
      <c r="DW43" s="171">
        <f t="shared" si="76"/>
        <v>0</v>
      </c>
      <c r="DX43" s="171">
        <f t="shared" si="76"/>
        <v>0</v>
      </c>
      <c r="DY43" s="171">
        <f t="shared" si="76"/>
        <v>0</v>
      </c>
      <c r="DZ43" s="171">
        <f t="shared" si="76"/>
        <v>0</v>
      </c>
      <c r="EA43" s="171">
        <f t="shared" si="76"/>
        <v>0</v>
      </c>
      <c r="EB43" s="171">
        <f t="shared" si="76"/>
        <v>0</v>
      </c>
      <c r="EC43" s="171">
        <f t="shared" si="76"/>
        <v>0</v>
      </c>
      <c r="ED43" s="1321">
        <f t="shared" si="76"/>
        <v>0</v>
      </c>
      <c r="EE43" s="171">
        <f t="shared" si="76"/>
        <v>0</v>
      </c>
      <c r="EF43" s="171">
        <f t="shared" si="76"/>
        <v>0</v>
      </c>
      <c r="EG43" s="171">
        <f t="shared" si="76"/>
        <v>0</v>
      </c>
      <c r="EH43" s="171">
        <f t="shared" si="76"/>
        <v>0</v>
      </c>
      <c r="EI43" s="171">
        <f t="shared" si="76"/>
        <v>0</v>
      </c>
      <c r="EJ43" s="171">
        <f t="shared" si="76"/>
        <v>0</v>
      </c>
      <c r="EK43" s="171">
        <f t="shared" ref="EK43:EQ43" si="77">SUM(EK41:EK42)*(EK$14=$H43)</f>
        <v>0</v>
      </c>
      <c r="EL43" s="171">
        <f t="shared" si="77"/>
        <v>0</v>
      </c>
      <c r="EM43" s="171">
        <f t="shared" si="77"/>
        <v>0</v>
      </c>
      <c r="EN43" s="171">
        <f t="shared" si="77"/>
        <v>0</v>
      </c>
      <c r="EO43" s="171">
        <f t="shared" si="77"/>
        <v>0</v>
      </c>
      <c r="EP43" s="171">
        <f t="shared" si="77"/>
        <v>0</v>
      </c>
      <c r="EQ43" s="171">
        <f t="shared" si="77"/>
        <v>0</v>
      </c>
    </row>
    <row r="44" spans="3:147" ht="11.25" customHeight="1">
      <c r="C44" s="163"/>
      <c r="D44" s="169" t="s">
        <v>233</v>
      </c>
      <c r="J44" s="170"/>
      <c r="K44" s="98"/>
      <c r="L44" s="171">
        <f>L41+L42-L43</f>
        <v>0</v>
      </c>
      <c r="M44" s="171">
        <f t="shared" ref="M44:BX44" si="78">M41+M42-M43</f>
        <v>0</v>
      </c>
      <c r="N44" s="171">
        <f t="shared" si="78"/>
        <v>0</v>
      </c>
      <c r="O44" s="171">
        <f t="shared" si="78"/>
        <v>0</v>
      </c>
      <c r="P44" s="171">
        <f t="shared" si="78"/>
        <v>0</v>
      </c>
      <c r="Q44" s="171">
        <f t="shared" si="78"/>
        <v>0</v>
      </c>
      <c r="R44" s="171">
        <f t="shared" si="78"/>
        <v>0</v>
      </c>
      <c r="S44" s="171">
        <f t="shared" si="78"/>
        <v>0</v>
      </c>
      <c r="T44" s="171">
        <f t="shared" si="78"/>
        <v>0</v>
      </c>
      <c r="U44" s="171">
        <f t="shared" si="78"/>
        <v>0</v>
      </c>
      <c r="V44" s="171">
        <f t="shared" si="78"/>
        <v>0</v>
      </c>
      <c r="W44" s="171">
        <f t="shared" si="78"/>
        <v>0</v>
      </c>
      <c r="X44" s="171">
        <f t="shared" si="78"/>
        <v>0</v>
      </c>
      <c r="Y44" s="171">
        <f t="shared" si="78"/>
        <v>0</v>
      </c>
      <c r="Z44" s="171">
        <f t="shared" si="78"/>
        <v>0</v>
      </c>
      <c r="AA44" s="171">
        <f t="shared" si="78"/>
        <v>0</v>
      </c>
      <c r="AB44" s="171">
        <f t="shared" si="78"/>
        <v>0</v>
      </c>
      <c r="AC44" s="171">
        <f t="shared" si="78"/>
        <v>0</v>
      </c>
      <c r="AD44" s="171">
        <f t="shared" si="78"/>
        <v>0</v>
      </c>
      <c r="AE44" s="171">
        <f t="shared" si="78"/>
        <v>0</v>
      </c>
      <c r="AF44" s="171">
        <f t="shared" si="78"/>
        <v>0</v>
      </c>
      <c r="AG44" s="171">
        <f t="shared" si="78"/>
        <v>0</v>
      </c>
      <c r="AH44" s="171">
        <f t="shared" si="78"/>
        <v>0</v>
      </c>
      <c r="AI44" s="171">
        <f t="shared" si="78"/>
        <v>0</v>
      </c>
      <c r="AJ44" s="171">
        <f t="shared" si="78"/>
        <v>0</v>
      </c>
      <c r="AK44" s="171">
        <f t="shared" si="78"/>
        <v>0</v>
      </c>
      <c r="AL44" s="171">
        <f t="shared" si="78"/>
        <v>0</v>
      </c>
      <c r="AM44" s="171">
        <f t="shared" si="78"/>
        <v>0</v>
      </c>
      <c r="AN44" s="171">
        <f t="shared" si="78"/>
        <v>0</v>
      </c>
      <c r="AO44" s="171">
        <f t="shared" si="78"/>
        <v>0</v>
      </c>
      <c r="AP44" s="171">
        <f t="shared" si="78"/>
        <v>0</v>
      </c>
      <c r="AQ44" s="171">
        <f t="shared" si="78"/>
        <v>0</v>
      </c>
      <c r="AR44" s="171">
        <f t="shared" si="78"/>
        <v>0</v>
      </c>
      <c r="AS44" s="171">
        <f t="shared" si="78"/>
        <v>0</v>
      </c>
      <c r="AT44" s="171">
        <f t="shared" si="78"/>
        <v>0</v>
      </c>
      <c r="AU44" s="171">
        <f t="shared" si="78"/>
        <v>0</v>
      </c>
      <c r="AV44" s="171">
        <f t="shared" si="78"/>
        <v>0</v>
      </c>
      <c r="AW44" s="171">
        <f t="shared" si="78"/>
        <v>0</v>
      </c>
      <c r="AX44" s="171">
        <f t="shared" si="78"/>
        <v>0</v>
      </c>
      <c r="AY44" s="171">
        <f t="shared" si="78"/>
        <v>0</v>
      </c>
      <c r="AZ44" s="171">
        <f t="shared" si="78"/>
        <v>0</v>
      </c>
      <c r="BA44" s="171">
        <f t="shared" si="78"/>
        <v>0</v>
      </c>
      <c r="BB44" s="171">
        <f t="shared" si="78"/>
        <v>0</v>
      </c>
      <c r="BC44" s="171">
        <f t="shared" si="78"/>
        <v>0</v>
      </c>
      <c r="BD44" s="171">
        <f t="shared" si="78"/>
        <v>0</v>
      </c>
      <c r="BE44" s="171">
        <f t="shared" si="78"/>
        <v>0</v>
      </c>
      <c r="BF44" s="171">
        <f t="shared" si="78"/>
        <v>0</v>
      </c>
      <c r="BG44" s="171">
        <f t="shared" si="78"/>
        <v>0</v>
      </c>
      <c r="BH44" s="171">
        <f t="shared" si="78"/>
        <v>0</v>
      </c>
      <c r="BI44" s="171">
        <f t="shared" si="78"/>
        <v>0</v>
      </c>
      <c r="BJ44" s="171">
        <f t="shared" si="78"/>
        <v>0</v>
      </c>
      <c r="BK44" s="171">
        <f t="shared" si="78"/>
        <v>0</v>
      </c>
      <c r="BL44" s="171">
        <f t="shared" si="78"/>
        <v>0</v>
      </c>
      <c r="BM44" s="171">
        <f t="shared" si="78"/>
        <v>0</v>
      </c>
      <c r="BN44" s="171">
        <f t="shared" si="78"/>
        <v>0</v>
      </c>
      <c r="BO44" s="171">
        <f t="shared" si="78"/>
        <v>0</v>
      </c>
      <c r="BP44" s="171">
        <f t="shared" si="78"/>
        <v>0</v>
      </c>
      <c r="BQ44" s="171">
        <f t="shared" si="78"/>
        <v>0</v>
      </c>
      <c r="BR44" s="171">
        <f t="shared" si="78"/>
        <v>0</v>
      </c>
      <c r="BS44" s="171">
        <f t="shared" si="78"/>
        <v>0</v>
      </c>
      <c r="BT44" s="171">
        <f t="shared" si="78"/>
        <v>0</v>
      </c>
      <c r="BU44" s="171">
        <f t="shared" si="78"/>
        <v>0</v>
      </c>
      <c r="BV44" s="171">
        <f t="shared" si="78"/>
        <v>0</v>
      </c>
      <c r="BW44" s="171">
        <f t="shared" si="78"/>
        <v>0</v>
      </c>
      <c r="BX44" s="171">
        <f t="shared" si="78"/>
        <v>0</v>
      </c>
      <c r="BY44" s="171">
        <f t="shared" ref="BY44:EJ44" si="79">BY41+BY42-BY43</f>
        <v>0</v>
      </c>
      <c r="BZ44" s="171">
        <f t="shared" si="79"/>
        <v>0</v>
      </c>
      <c r="CA44" s="171">
        <f t="shared" si="79"/>
        <v>0</v>
      </c>
      <c r="CB44" s="171">
        <f t="shared" si="79"/>
        <v>0</v>
      </c>
      <c r="CC44" s="171">
        <f t="shared" si="79"/>
        <v>0</v>
      </c>
      <c r="CD44" s="171">
        <f t="shared" si="79"/>
        <v>0</v>
      </c>
      <c r="CE44" s="171">
        <f t="shared" si="79"/>
        <v>0</v>
      </c>
      <c r="CF44" s="171">
        <f t="shared" si="79"/>
        <v>0</v>
      </c>
      <c r="CG44" s="171">
        <f t="shared" si="79"/>
        <v>0</v>
      </c>
      <c r="CH44" s="171">
        <f t="shared" si="79"/>
        <v>0</v>
      </c>
      <c r="CI44" s="171">
        <f t="shared" si="79"/>
        <v>0</v>
      </c>
      <c r="CJ44" s="171">
        <f t="shared" si="79"/>
        <v>0</v>
      </c>
      <c r="CK44" s="171">
        <f t="shared" si="79"/>
        <v>0</v>
      </c>
      <c r="CL44" s="171">
        <f t="shared" si="79"/>
        <v>0</v>
      </c>
      <c r="CM44" s="171">
        <f t="shared" si="79"/>
        <v>0</v>
      </c>
      <c r="CN44" s="171">
        <f t="shared" si="79"/>
        <v>0</v>
      </c>
      <c r="CO44" s="171">
        <f t="shared" si="79"/>
        <v>0</v>
      </c>
      <c r="CP44" s="171">
        <f t="shared" si="79"/>
        <v>0</v>
      </c>
      <c r="CQ44" s="171">
        <f t="shared" si="79"/>
        <v>0</v>
      </c>
      <c r="CR44" s="171">
        <f t="shared" si="79"/>
        <v>0</v>
      </c>
      <c r="CS44" s="171">
        <f t="shared" si="79"/>
        <v>0</v>
      </c>
      <c r="CT44" s="171">
        <f t="shared" si="79"/>
        <v>0</v>
      </c>
      <c r="CU44" s="171">
        <f t="shared" si="79"/>
        <v>0</v>
      </c>
      <c r="CV44" s="171">
        <f t="shared" si="79"/>
        <v>0</v>
      </c>
      <c r="CW44" s="171">
        <f t="shared" si="79"/>
        <v>0</v>
      </c>
      <c r="CX44" s="171">
        <f t="shared" si="79"/>
        <v>0</v>
      </c>
      <c r="CY44" s="171">
        <f t="shared" si="79"/>
        <v>0</v>
      </c>
      <c r="CZ44" s="171">
        <f t="shared" si="79"/>
        <v>0</v>
      </c>
      <c r="DA44" s="171">
        <f t="shared" si="79"/>
        <v>0</v>
      </c>
      <c r="DB44" s="171">
        <f t="shared" si="79"/>
        <v>0</v>
      </c>
      <c r="DC44" s="171">
        <f t="shared" si="79"/>
        <v>0</v>
      </c>
      <c r="DD44" s="171">
        <f t="shared" si="79"/>
        <v>0</v>
      </c>
      <c r="DE44" s="171">
        <f t="shared" si="79"/>
        <v>0</v>
      </c>
      <c r="DF44" s="171">
        <f t="shared" si="79"/>
        <v>0</v>
      </c>
      <c r="DG44" s="171">
        <f t="shared" si="79"/>
        <v>0</v>
      </c>
      <c r="DH44" s="171">
        <f t="shared" si="79"/>
        <v>0</v>
      </c>
      <c r="DI44" s="171">
        <f t="shared" si="79"/>
        <v>0</v>
      </c>
      <c r="DJ44" s="171">
        <f t="shared" si="79"/>
        <v>0</v>
      </c>
      <c r="DK44" s="171">
        <f t="shared" si="79"/>
        <v>0</v>
      </c>
      <c r="DL44" s="171">
        <f t="shared" si="79"/>
        <v>0</v>
      </c>
      <c r="DM44" s="171">
        <f t="shared" si="79"/>
        <v>0</v>
      </c>
      <c r="DN44" s="171">
        <f t="shared" si="79"/>
        <v>0</v>
      </c>
      <c r="DO44" s="171">
        <f t="shared" si="79"/>
        <v>0</v>
      </c>
      <c r="DP44" s="171">
        <f t="shared" si="79"/>
        <v>0</v>
      </c>
      <c r="DQ44" s="171">
        <f t="shared" si="79"/>
        <v>0</v>
      </c>
      <c r="DR44" s="171">
        <f t="shared" si="79"/>
        <v>0</v>
      </c>
      <c r="DS44" s="171">
        <f t="shared" si="79"/>
        <v>0</v>
      </c>
      <c r="DT44" s="171">
        <f t="shared" si="79"/>
        <v>0</v>
      </c>
      <c r="DU44" s="171">
        <f t="shared" si="79"/>
        <v>0</v>
      </c>
      <c r="DV44" s="171">
        <f t="shared" si="79"/>
        <v>0</v>
      </c>
      <c r="DW44" s="171">
        <f t="shared" si="79"/>
        <v>0</v>
      </c>
      <c r="DX44" s="171">
        <f t="shared" si="79"/>
        <v>0</v>
      </c>
      <c r="DY44" s="171">
        <f t="shared" si="79"/>
        <v>0</v>
      </c>
      <c r="DZ44" s="171">
        <f t="shared" si="79"/>
        <v>0</v>
      </c>
      <c r="EA44" s="171">
        <f t="shared" si="79"/>
        <v>0</v>
      </c>
      <c r="EB44" s="171">
        <f t="shared" si="79"/>
        <v>0</v>
      </c>
      <c r="EC44" s="171">
        <f t="shared" si="79"/>
        <v>0</v>
      </c>
      <c r="ED44" s="1321">
        <f t="shared" si="79"/>
        <v>0</v>
      </c>
      <c r="EE44" s="171">
        <f t="shared" si="79"/>
        <v>0</v>
      </c>
      <c r="EF44" s="171">
        <f t="shared" si="79"/>
        <v>0</v>
      </c>
      <c r="EG44" s="171">
        <f t="shared" si="79"/>
        <v>0</v>
      </c>
      <c r="EH44" s="171">
        <f t="shared" si="79"/>
        <v>0</v>
      </c>
      <c r="EI44" s="171">
        <f t="shared" si="79"/>
        <v>0</v>
      </c>
      <c r="EJ44" s="171">
        <f t="shared" si="79"/>
        <v>0</v>
      </c>
      <c r="EK44" s="171">
        <f t="shared" ref="EK44:EQ44" si="80">EK41+EK42-EK43</f>
        <v>0</v>
      </c>
      <c r="EL44" s="171">
        <f t="shared" si="80"/>
        <v>0</v>
      </c>
      <c r="EM44" s="171">
        <f t="shared" si="80"/>
        <v>0</v>
      </c>
      <c r="EN44" s="171">
        <f t="shared" si="80"/>
        <v>0</v>
      </c>
      <c r="EO44" s="171">
        <f t="shared" si="80"/>
        <v>0</v>
      </c>
      <c r="EP44" s="171">
        <f t="shared" si="80"/>
        <v>0</v>
      </c>
      <c r="EQ44" s="171">
        <f t="shared" si="80"/>
        <v>0</v>
      </c>
    </row>
    <row r="45" spans="3:147" ht="11.25" customHeight="1">
      <c r="C45" s="158" t="str">
        <f>'A&amp;R'!L37</f>
        <v>중순위대출(3rd)</v>
      </c>
      <c r="D45" s="159"/>
      <c r="E45" s="159"/>
      <c r="F45" s="159"/>
      <c r="G45" s="159"/>
      <c r="H45" s="160"/>
      <c r="I45" s="219"/>
      <c r="J45" s="161"/>
      <c r="K45" s="98"/>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162"/>
      <c r="AJ45" s="162"/>
      <c r="AK45" s="162"/>
      <c r="AL45" s="162"/>
      <c r="AM45" s="162"/>
      <c r="AN45" s="162"/>
      <c r="AO45" s="162"/>
      <c r="AP45" s="162"/>
      <c r="AQ45" s="162"/>
      <c r="AR45" s="162"/>
      <c r="AS45" s="162"/>
      <c r="AT45" s="162"/>
      <c r="AU45" s="162"/>
      <c r="AV45" s="162"/>
      <c r="AW45" s="162"/>
      <c r="AX45" s="162"/>
      <c r="AY45" s="162"/>
      <c r="AZ45" s="162"/>
      <c r="BA45" s="162"/>
      <c r="BB45" s="162"/>
      <c r="BC45" s="162"/>
      <c r="BD45" s="162"/>
      <c r="BE45" s="162"/>
      <c r="BF45" s="162"/>
      <c r="BG45" s="162"/>
      <c r="BH45" s="162"/>
      <c r="BI45" s="162"/>
      <c r="BJ45" s="162"/>
      <c r="BK45" s="162"/>
      <c r="BL45" s="162"/>
      <c r="BM45" s="162"/>
      <c r="BN45" s="162"/>
      <c r="BO45" s="162"/>
      <c r="BP45" s="162"/>
      <c r="BQ45" s="162"/>
      <c r="BR45" s="162"/>
      <c r="BS45" s="162"/>
      <c r="BT45" s="162"/>
      <c r="BU45" s="162"/>
      <c r="BV45" s="162"/>
      <c r="BW45" s="162"/>
      <c r="BX45" s="162"/>
      <c r="BY45" s="162"/>
      <c r="BZ45" s="162"/>
      <c r="CA45" s="162"/>
      <c r="CB45" s="162"/>
      <c r="CC45" s="162"/>
      <c r="CD45" s="162"/>
      <c r="CE45" s="162"/>
      <c r="CF45" s="162"/>
      <c r="CG45" s="162"/>
      <c r="CH45" s="162"/>
      <c r="CI45" s="162"/>
      <c r="CJ45" s="162"/>
      <c r="CK45" s="162"/>
      <c r="CL45" s="162"/>
      <c r="CM45" s="162"/>
      <c r="CN45" s="162"/>
      <c r="CO45" s="162"/>
      <c r="CP45" s="162"/>
      <c r="CQ45" s="162"/>
      <c r="CR45" s="162"/>
      <c r="CS45" s="162"/>
      <c r="CT45" s="162"/>
      <c r="CU45" s="162"/>
      <c r="CV45" s="162"/>
      <c r="CW45" s="162"/>
      <c r="CX45" s="162"/>
      <c r="CY45" s="162"/>
      <c r="CZ45" s="162"/>
      <c r="DA45" s="162"/>
      <c r="DB45" s="162"/>
      <c r="DC45" s="162"/>
      <c r="DD45" s="162"/>
      <c r="DE45" s="162"/>
      <c r="DF45" s="162"/>
      <c r="DG45" s="162"/>
      <c r="DH45" s="162"/>
      <c r="DI45" s="162"/>
      <c r="DJ45" s="162"/>
      <c r="DK45" s="162"/>
      <c r="DL45" s="162"/>
      <c r="DM45" s="162"/>
      <c r="DN45" s="162"/>
      <c r="DO45" s="162"/>
      <c r="DP45" s="162"/>
      <c r="DQ45" s="162"/>
      <c r="DR45" s="162"/>
      <c r="DS45" s="162"/>
      <c r="DT45" s="162"/>
      <c r="DU45" s="162"/>
      <c r="DV45" s="162"/>
      <c r="DW45" s="162"/>
      <c r="DX45" s="162"/>
      <c r="DY45" s="162"/>
      <c r="DZ45" s="162"/>
      <c r="EA45" s="162"/>
      <c r="EB45" s="162"/>
      <c r="EC45" s="162"/>
      <c r="ED45" s="1319"/>
      <c r="EE45" s="162"/>
      <c r="EF45" s="162"/>
      <c r="EG45" s="162"/>
      <c r="EH45" s="162"/>
      <c r="EI45" s="162"/>
      <c r="EJ45" s="162"/>
      <c r="EK45" s="162"/>
      <c r="EL45" s="162"/>
      <c r="EM45" s="162"/>
      <c r="EN45" s="162"/>
      <c r="EO45" s="162"/>
      <c r="EP45" s="162"/>
      <c r="EQ45" s="162"/>
    </row>
    <row r="46" spans="3:147" ht="11.25" customHeight="1">
      <c r="C46" s="163"/>
      <c r="D46" s="164" t="s">
        <v>230</v>
      </c>
      <c r="E46" s="165"/>
      <c r="F46" s="165"/>
      <c r="G46" s="165"/>
      <c r="H46" s="166"/>
      <c r="I46" s="221"/>
      <c r="J46" s="167"/>
      <c r="K46" s="98"/>
      <c r="L46" s="168">
        <f t="shared" ref="L46:AQ46" si="81">K49</f>
        <v>0</v>
      </c>
      <c r="M46" s="168">
        <f t="shared" si="81"/>
        <v>0</v>
      </c>
      <c r="N46" s="168">
        <f t="shared" si="81"/>
        <v>0</v>
      </c>
      <c r="O46" s="168">
        <f t="shared" si="81"/>
        <v>0</v>
      </c>
      <c r="P46" s="168">
        <f t="shared" si="81"/>
        <v>0</v>
      </c>
      <c r="Q46" s="168">
        <f t="shared" si="81"/>
        <v>0</v>
      </c>
      <c r="R46" s="168">
        <f t="shared" si="81"/>
        <v>0</v>
      </c>
      <c r="S46" s="168">
        <f t="shared" si="81"/>
        <v>0</v>
      </c>
      <c r="T46" s="168">
        <f t="shared" si="81"/>
        <v>0</v>
      </c>
      <c r="U46" s="168">
        <f t="shared" si="81"/>
        <v>0</v>
      </c>
      <c r="V46" s="168">
        <f t="shared" si="81"/>
        <v>0</v>
      </c>
      <c r="W46" s="168">
        <f t="shared" si="81"/>
        <v>0</v>
      </c>
      <c r="X46" s="168">
        <f t="shared" si="81"/>
        <v>0</v>
      </c>
      <c r="Y46" s="168">
        <f t="shared" si="81"/>
        <v>0</v>
      </c>
      <c r="Z46" s="168">
        <f t="shared" si="81"/>
        <v>0</v>
      </c>
      <c r="AA46" s="168">
        <f t="shared" si="81"/>
        <v>0</v>
      </c>
      <c r="AB46" s="168">
        <f t="shared" si="81"/>
        <v>0</v>
      </c>
      <c r="AC46" s="168">
        <f t="shared" si="81"/>
        <v>0</v>
      </c>
      <c r="AD46" s="168">
        <f t="shared" si="81"/>
        <v>0</v>
      </c>
      <c r="AE46" s="168">
        <f t="shared" si="81"/>
        <v>0</v>
      </c>
      <c r="AF46" s="168">
        <f t="shared" si="81"/>
        <v>0</v>
      </c>
      <c r="AG46" s="168">
        <f t="shared" si="81"/>
        <v>0</v>
      </c>
      <c r="AH46" s="168">
        <f t="shared" si="81"/>
        <v>0</v>
      </c>
      <c r="AI46" s="168">
        <f t="shared" si="81"/>
        <v>0</v>
      </c>
      <c r="AJ46" s="168">
        <f t="shared" si="81"/>
        <v>0</v>
      </c>
      <c r="AK46" s="168">
        <f t="shared" si="81"/>
        <v>0</v>
      </c>
      <c r="AL46" s="168">
        <f t="shared" si="81"/>
        <v>0</v>
      </c>
      <c r="AM46" s="168">
        <f t="shared" si="81"/>
        <v>0</v>
      </c>
      <c r="AN46" s="168">
        <f t="shared" si="81"/>
        <v>0</v>
      </c>
      <c r="AO46" s="168">
        <f t="shared" si="81"/>
        <v>0</v>
      </c>
      <c r="AP46" s="168">
        <f t="shared" si="81"/>
        <v>0</v>
      </c>
      <c r="AQ46" s="168">
        <f t="shared" si="81"/>
        <v>0</v>
      </c>
      <c r="AR46" s="168">
        <f t="shared" ref="AR46:BW46" si="82">AQ49</f>
        <v>0</v>
      </c>
      <c r="AS46" s="168">
        <f t="shared" si="82"/>
        <v>0</v>
      </c>
      <c r="AT46" s="168">
        <f t="shared" si="82"/>
        <v>0</v>
      </c>
      <c r="AU46" s="168">
        <f t="shared" si="82"/>
        <v>0</v>
      </c>
      <c r="AV46" s="168">
        <f t="shared" si="82"/>
        <v>0</v>
      </c>
      <c r="AW46" s="168">
        <f t="shared" si="82"/>
        <v>0</v>
      </c>
      <c r="AX46" s="168">
        <f t="shared" si="82"/>
        <v>0</v>
      </c>
      <c r="AY46" s="168">
        <f t="shared" si="82"/>
        <v>0</v>
      </c>
      <c r="AZ46" s="168">
        <f t="shared" si="82"/>
        <v>0</v>
      </c>
      <c r="BA46" s="168">
        <f t="shared" si="82"/>
        <v>0</v>
      </c>
      <c r="BB46" s="168">
        <f t="shared" si="82"/>
        <v>0</v>
      </c>
      <c r="BC46" s="168">
        <f t="shared" si="82"/>
        <v>0</v>
      </c>
      <c r="BD46" s="168">
        <f t="shared" si="82"/>
        <v>0</v>
      </c>
      <c r="BE46" s="168">
        <f t="shared" si="82"/>
        <v>0</v>
      </c>
      <c r="BF46" s="168">
        <f t="shared" si="82"/>
        <v>0</v>
      </c>
      <c r="BG46" s="168">
        <f t="shared" si="82"/>
        <v>0</v>
      </c>
      <c r="BH46" s="168">
        <f t="shared" si="82"/>
        <v>0</v>
      </c>
      <c r="BI46" s="168">
        <f t="shared" si="82"/>
        <v>0</v>
      </c>
      <c r="BJ46" s="168">
        <f t="shared" si="82"/>
        <v>0</v>
      </c>
      <c r="BK46" s="168">
        <f t="shared" si="82"/>
        <v>0</v>
      </c>
      <c r="BL46" s="168">
        <f t="shared" si="82"/>
        <v>0</v>
      </c>
      <c r="BM46" s="168">
        <f t="shared" si="82"/>
        <v>0</v>
      </c>
      <c r="BN46" s="168">
        <f t="shared" si="82"/>
        <v>0</v>
      </c>
      <c r="BO46" s="168">
        <f t="shared" si="82"/>
        <v>0</v>
      </c>
      <c r="BP46" s="168">
        <f t="shared" si="82"/>
        <v>0</v>
      </c>
      <c r="BQ46" s="168">
        <f t="shared" si="82"/>
        <v>0</v>
      </c>
      <c r="BR46" s="168">
        <f t="shared" si="82"/>
        <v>0</v>
      </c>
      <c r="BS46" s="168">
        <f t="shared" si="82"/>
        <v>0</v>
      </c>
      <c r="BT46" s="168">
        <f t="shared" si="82"/>
        <v>0</v>
      </c>
      <c r="BU46" s="168">
        <f t="shared" si="82"/>
        <v>0</v>
      </c>
      <c r="BV46" s="168">
        <f t="shared" si="82"/>
        <v>0</v>
      </c>
      <c r="BW46" s="168">
        <f t="shared" si="82"/>
        <v>0</v>
      </c>
      <c r="BX46" s="168">
        <f t="shared" ref="BX46:DC46" si="83">BW49</f>
        <v>0</v>
      </c>
      <c r="BY46" s="168">
        <f t="shared" si="83"/>
        <v>0</v>
      </c>
      <c r="BZ46" s="168">
        <f t="shared" si="83"/>
        <v>0</v>
      </c>
      <c r="CA46" s="168">
        <f t="shared" si="83"/>
        <v>0</v>
      </c>
      <c r="CB46" s="168">
        <f t="shared" si="83"/>
        <v>0</v>
      </c>
      <c r="CC46" s="168">
        <f t="shared" si="83"/>
        <v>0</v>
      </c>
      <c r="CD46" s="168">
        <f t="shared" si="83"/>
        <v>0</v>
      </c>
      <c r="CE46" s="168">
        <f t="shared" si="83"/>
        <v>0</v>
      </c>
      <c r="CF46" s="168">
        <f t="shared" si="83"/>
        <v>0</v>
      </c>
      <c r="CG46" s="168">
        <f t="shared" si="83"/>
        <v>0</v>
      </c>
      <c r="CH46" s="168">
        <f t="shared" si="83"/>
        <v>0</v>
      </c>
      <c r="CI46" s="168">
        <f t="shared" si="83"/>
        <v>0</v>
      </c>
      <c r="CJ46" s="168">
        <f t="shared" si="83"/>
        <v>0</v>
      </c>
      <c r="CK46" s="168">
        <f t="shared" si="83"/>
        <v>0</v>
      </c>
      <c r="CL46" s="168">
        <f t="shared" si="83"/>
        <v>0</v>
      </c>
      <c r="CM46" s="168">
        <f t="shared" si="83"/>
        <v>0</v>
      </c>
      <c r="CN46" s="168">
        <f t="shared" si="83"/>
        <v>0</v>
      </c>
      <c r="CO46" s="168">
        <f t="shared" si="83"/>
        <v>0</v>
      </c>
      <c r="CP46" s="168">
        <f t="shared" si="83"/>
        <v>0</v>
      </c>
      <c r="CQ46" s="168">
        <f t="shared" si="83"/>
        <v>0</v>
      </c>
      <c r="CR46" s="168">
        <f t="shared" si="83"/>
        <v>0</v>
      </c>
      <c r="CS46" s="168">
        <f t="shared" si="83"/>
        <v>0</v>
      </c>
      <c r="CT46" s="168">
        <f t="shared" si="83"/>
        <v>0</v>
      </c>
      <c r="CU46" s="168">
        <f t="shared" si="83"/>
        <v>0</v>
      </c>
      <c r="CV46" s="168">
        <f t="shared" si="83"/>
        <v>0</v>
      </c>
      <c r="CW46" s="168">
        <f t="shared" si="83"/>
        <v>0</v>
      </c>
      <c r="CX46" s="168">
        <f t="shared" si="83"/>
        <v>0</v>
      </c>
      <c r="CY46" s="168">
        <f t="shared" si="83"/>
        <v>0</v>
      </c>
      <c r="CZ46" s="168">
        <f t="shared" si="83"/>
        <v>0</v>
      </c>
      <c r="DA46" s="168">
        <f t="shared" si="83"/>
        <v>0</v>
      </c>
      <c r="DB46" s="168">
        <f t="shared" si="83"/>
        <v>0</v>
      </c>
      <c r="DC46" s="168">
        <f t="shared" si="83"/>
        <v>0</v>
      </c>
      <c r="DD46" s="168">
        <f t="shared" ref="DD46:EI46" si="84">DC49</f>
        <v>0</v>
      </c>
      <c r="DE46" s="168">
        <f t="shared" si="84"/>
        <v>0</v>
      </c>
      <c r="DF46" s="168">
        <f t="shared" si="84"/>
        <v>0</v>
      </c>
      <c r="DG46" s="168">
        <f t="shared" si="84"/>
        <v>0</v>
      </c>
      <c r="DH46" s="168">
        <f t="shared" si="84"/>
        <v>0</v>
      </c>
      <c r="DI46" s="168">
        <f t="shared" si="84"/>
        <v>0</v>
      </c>
      <c r="DJ46" s="168">
        <f t="shared" si="84"/>
        <v>0</v>
      </c>
      <c r="DK46" s="168">
        <f t="shared" si="84"/>
        <v>0</v>
      </c>
      <c r="DL46" s="168">
        <f t="shared" si="84"/>
        <v>0</v>
      </c>
      <c r="DM46" s="168">
        <f t="shared" si="84"/>
        <v>0</v>
      </c>
      <c r="DN46" s="168">
        <f t="shared" si="84"/>
        <v>0</v>
      </c>
      <c r="DO46" s="168">
        <f t="shared" si="84"/>
        <v>0</v>
      </c>
      <c r="DP46" s="168">
        <f t="shared" si="84"/>
        <v>0</v>
      </c>
      <c r="DQ46" s="168">
        <f t="shared" si="84"/>
        <v>0</v>
      </c>
      <c r="DR46" s="168">
        <f t="shared" si="84"/>
        <v>0</v>
      </c>
      <c r="DS46" s="168">
        <f t="shared" si="84"/>
        <v>0</v>
      </c>
      <c r="DT46" s="168">
        <f t="shared" si="84"/>
        <v>0</v>
      </c>
      <c r="DU46" s="168">
        <f t="shared" si="84"/>
        <v>0</v>
      </c>
      <c r="DV46" s="168">
        <f t="shared" si="84"/>
        <v>0</v>
      </c>
      <c r="DW46" s="168">
        <f t="shared" si="84"/>
        <v>0</v>
      </c>
      <c r="DX46" s="168">
        <f t="shared" si="84"/>
        <v>0</v>
      </c>
      <c r="DY46" s="168">
        <f t="shared" si="84"/>
        <v>0</v>
      </c>
      <c r="DZ46" s="168">
        <f t="shared" si="84"/>
        <v>0</v>
      </c>
      <c r="EA46" s="168">
        <f t="shared" si="84"/>
        <v>0</v>
      </c>
      <c r="EB46" s="168">
        <f t="shared" si="84"/>
        <v>0</v>
      </c>
      <c r="EC46" s="168">
        <f t="shared" si="84"/>
        <v>0</v>
      </c>
      <c r="ED46" s="1320">
        <f t="shared" si="84"/>
        <v>0</v>
      </c>
      <c r="EE46" s="168">
        <f t="shared" si="84"/>
        <v>0</v>
      </c>
      <c r="EF46" s="168">
        <f t="shared" si="84"/>
        <v>0</v>
      </c>
      <c r="EG46" s="168">
        <f t="shared" si="84"/>
        <v>0</v>
      </c>
      <c r="EH46" s="168">
        <f t="shared" si="84"/>
        <v>0</v>
      </c>
      <c r="EI46" s="168">
        <f t="shared" si="84"/>
        <v>0</v>
      </c>
      <c r="EJ46" s="168">
        <f t="shared" ref="EJ46:EQ46" si="85">EI49</f>
        <v>0</v>
      </c>
      <c r="EK46" s="168">
        <f t="shared" si="85"/>
        <v>0</v>
      </c>
      <c r="EL46" s="168">
        <f t="shared" si="85"/>
        <v>0</v>
      </c>
      <c r="EM46" s="168">
        <f t="shared" si="85"/>
        <v>0</v>
      </c>
      <c r="EN46" s="168">
        <f t="shared" si="85"/>
        <v>0</v>
      </c>
      <c r="EO46" s="168">
        <f t="shared" si="85"/>
        <v>0</v>
      </c>
      <c r="EP46" s="168">
        <f t="shared" si="85"/>
        <v>0</v>
      </c>
      <c r="EQ46" s="168">
        <f t="shared" si="85"/>
        <v>0</v>
      </c>
    </row>
    <row r="47" spans="3:147" ht="11.25" customHeight="1">
      <c r="C47" s="163"/>
      <c r="D47" s="169" t="s">
        <v>231</v>
      </c>
      <c r="H47" s="146">
        <f>'A&amp;R'!M37</f>
        <v>48152</v>
      </c>
      <c r="I47" s="13">
        <f>'A&amp;R'!P37</f>
        <v>0</v>
      </c>
      <c r="J47" s="170">
        <f>SUM(L47:EQ47)</f>
        <v>0</v>
      </c>
      <c r="K47" s="98"/>
      <c r="L47" s="171">
        <f>(L$14=$H47)*$I47</f>
        <v>0</v>
      </c>
      <c r="M47" s="171">
        <f t="shared" ref="M47:BX47" si="86">(M$14=$H47)*$I47</f>
        <v>0</v>
      </c>
      <c r="N47" s="171">
        <f t="shared" si="86"/>
        <v>0</v>
      </c>
      <c r="O47" s="171">
        <f t="shared" si="86"/>
        <v>0</v>
      </c>
      <c r="P47" s="171">
        <f t="shared" si="86"/>
        <v>0</v>
      </c>
      <c r="Q47" s="171">
        <f t="shared" si="86"/>
        <v>0</v>
      </c>
      <c r="R47" s="171">
        <f t="shared" si="86"/>
        <v>0</v>
      </c>
      <c r="S47" s="171">
        <f t="shared" si="86"/>
        <v>0</v>
      </c>
      <c r="T47" s="171">
        <f t="shared" si="86"/>
        <v>0</v>
      </c>
      <c r="U47" s="171">
        <f t="shared" si="86"/>
        <v>0</v>
      </c>
      <c r="V47" s="171">
        <f t="shared" si="86"/>
        <v>0</v>
      </c>
      <c r="W47" s="171">
        <f t="shared" si="86"/>
        <v>0</v>
      </c>
      <c r="X47" s="171">
        <f t="shared" si="86"/>
        <v>0</v>
      </c>
      <c r="Y47" s="171">
        <f t="shared" si="86"/>
        <v>0</v>
      </c>
      <c r="Z47" s="171">
        <f t="shared" si="86"/>
        <v>0</v>
      </c>
      <c r="AA47" s="171">
        <f t="shared" si="86"/>
        <v>0</v>
      </c>
      <c r="AB47" s="171">
        <f t="shared" si="86"/>
        <v>0</v>
      </c>
      <c r="AC47" s="171">
        <f t="shared" si="86"/>
        <v>0</v>
      </c>
      <c r="AD47" s="171">
        <f t="shared" si="86"/>
        <v>0</v>
      </c>
      <c r="AE47" s="171">
        <f t="shared" si="86"/>
        <v>0</v>
      </c>
      <c r="AF47" s="171">
        <f t="shared" si="86"/>
        <v>0</v>
      </c>
      <c r="AG47" s="171">
        <f t="shared" si="86"/>
        <v>0</v>
      </c>
      <c r="AH47" s="171">
        <f t="shared" si="86"/>
        <v>0</v>
      </c>
      <c r="AI47" s="171">
        <f t="shared" si="86"/>
        <v>0</v>
      </c>
      <c r="AJ47" s="171">
        <f t="shared" si="86"/>
        <v>0</v>
      </c>
      <c r="AK47" s="171">
        <f t="shared" si="86"/>
        <v>0</v>
      </c>
      <c r="AL47" s="171">
        <f t="shared" si="86"/>
        <v>0</v>
      </c>
      <c r="AM47" s="171">
        <f t="shared" si="86"/>
        <v>0</v>
      </c>
      <c r="AN47" s="171">
        <f t="shared" si="86"/>
        <v>0</v>
      </c>
      <c r="AO47" s="171">
        <f t="shared" si="86"/>
        <v>0</v>
      </c>
      <c r="AP47" s="171">
        <f t="shared" si="86"/>
        <v>0</v>
      </c>
      <c r="AQ47" s="171">
        <f t="shared" si="86"/>
        <v>0</v>
      </c>
      <c r="AR47" s="171">
        <f t="shared" si="86"/>
        <v>0</v>
      </c>
      <c r="AS47" s="171">
        <f t="shared" si="86"/>
        <v>0</v>
      </c>
      <c r="AT47" s="171">
        <f t="shared" si="86"/>
        <v>0</v>
      </c>
      <c r="AU47" s="171">
        <f t="shared" si="86"/>
        <v>0</v>
      </c>
      <c r="AV47" s="171">
        <f t="shared" si="86"/>
        <v>0</v>
      </c>
      <c r="AW47" s="171">
        <f t="shared" si="86"/>
        <v>0</v>
      </c>
      <c r="AX47" s="171">
        <f t="shared" si="86"/>
        <v>0</v>
      </c>
      <c r="AY47" s="171">
        <f t="shared" si="86"/>
        <v>0</v>
      </c>
      <c r="AZ47" s="171">
        <f t="shared" si="86"/>
        <v>0</v>
      </c>
      <c r="BA47" s="171">
        <f t="shared" si="86"/>
        <v>0</v>
      </c>
      <c r="BB47" s="171">
        <f t="shared" si="86"/>
        <v>0</v>
      </c>
      <c r="BC47" s="171">
        <f t="shared" si="86"/>
        <v>0</v>
      </c>
      <c r="BD47" s="171">
        <f t="shared" si="86"/>
        <v>0</v>
      </c>
      <c r="BE47" s="171">
        <f t="shared" si="86"/>
        <v>0</v>
      </c>
      <c r="BF47" s="171">
        <f t="shared" si="86"/>
        <v>0</v>
      </c>
      <c r="BG47" s="171">
        <f t="shared" si="86"/>
        <v>0</v>
      </c>
      <c r="BH47" s="171">
        <f t="shared" si="86"/>
        <v>0</v>
      </c>
      <c r="BI47" s="171">
        <f t="shared" si="86"/>
        <v>0</v>
      </c>
      <c r="BJ47" s="171">
        <f t="shared" si="86"/>
        <v>0</v>
      </c>
      <c r="BK47" s="171">
        <f t="shared" si="86"/>
        <v>0</v>
      </c>
      <c r="BL47" s="171">
        <f t="shared" si="86"/>
        <v>0</v>
      </c>
      <c r="BM47" s="171">
        <f t="shared" si="86"/>
        <v>0</v>
      </c>
      <c r="BN47" s="171">
        <f t="shared" si="86"/>
        <v>0</v>
      </c>
      <c r="BO47" s="171">
        <f t="shared" si="86"/>
        <v>0</v>
      </c>
      <c r="BP47" s="171">
        <f t="shared" si="86"/>
        <v>0</v>
      </c>
      <c r="BQ47" s="171">
        <f t="shared" si="86"/>
        <v>0</v>
      </c>
      <c r="BR47" s="171">
        <f t="shared" si="86"/>
        <v>0</v>
      </c>
      <c r="BS47" s="171">
        <f t="shared" si="86"/>
        <v>0</v>
      </c>
      <c r="BT47" s="171">
        <f t="shared" si="86"/>
        <v>0</v>
      </c>
      <c r="BU47" s="171">
        <f t="shared" si="86"/>
        <v>0</v>
      </c>
      <c r="BV47" s="171">
        <f t="shared" si="86"/>
        <v>0</v>
      </c>
      <c r="BW47" s="171">
        <f t="shared" si="86"/>
        <v>0</v>
      </c>
      <c r="BX47" s="171">
        <f t="shared" si="86"/>
        <v>0</v>
      </c>
      <c r="BY47" s="171">
        <f t="shared" ref="BY47:EQ47" si="87">(BY$14=$H47)*$I47</f>
        <v>0</v>
      </c>
      <c r="BZ47" s="171">
        <f t="shared" si="87"/>
        <v>0</v>
      </c>
      <c r="CA47" s="171">
        <f t="shared" si="87"/>
        <v>0</v>
      </c>
      <c r="CB47" s="171">
        <f t="shared" si="87"/>
        <v>0</v>
      </c>
      <c r="CC47" s="171">
        <f t="shared" si="87"/>
        <v>0</v>
      </c>
      <c r="CD47" s="171">
        <f t="shared" si="87"/>
        <v>0</v>
      </c>
      <c r="CE47" s="171">
        <f t="shared" si="87"/>
        <v>0</v>
      </c>
      <c r="CF47" s="171">
        <f t="shared" si="87"/>
        <v>0</v>
      </c>
      <c r="CG47" s="171">
        <f t="shared" si="87"/>
        <v>0</v>
      </c>
      <c r="CH47" s="171">
        <f t="shared" si="87"/>
        <v>0</v>
      </c>
      <c r="CI47" s="171">
        <f t="shared" si="87"/>
        <v>0</v>
      </c>
      <c r="CJ47" s="171">
        <f t="shared" si="87"/>
        <v>0</v>
      </c>
      <c r="CK47" s="171">
        <f t="shared" si="87"/>
        <v>0</v>
      </c>
      <c r="CL47" s="171">
        <f t="shared" si="87"/>
        <v>0</v>
      </c>
      <c r="CM47" s="171">
        <f t="shared" si="87"/>
        <v>0</v>
      </c>
      <c r="CN47" s="171">
        <f t="shared" si="87"/>
        <v>0</v>
      </c>
      <c r="CO47" s="171">
        <f t="shared" si="87"/>
        <v>0</v>
      </c>
      <c r="CP47" s="171">
        <f t="shared" si="87"/>
        <v>0</v>
      </c>
      <c r="CQ47" s="171">
        <f t="shared" si="87"/>
        <v>0</v>
      </c>
      <c r="CR47" s="171">
        <f t="shared" si="87"/>
        <v>0</v>
      </c>
      <c r="CS47" s="171">
        <f t="shared" si="87"/>
        <v>0</v>
      </c>
      <c r="CT47" s="171">
        <f t="shared" si="87"/>
        <v>0</v>
      </c>
      <c r="CU47" s="171">
        <f t="shared" si="87"/>
        <v>0</v>
      </c>
      <c r="CV47" s="171">
        <f t="shared" si="87"/>
        <v>0</v>
      </c>
      <c r="CW47" s="171">
        <f t="shared" si="87"/>
        <v>0</v>
      </c>
      <c r="CX47" s="171">
        <f t="shared" si="87"/>
        <v>0</v>
      </c>
      <c r="CY47" s="171">
        <f t="shared" si="87"/>
        <v>0</v>
      </c>
      <c r="CZ47" s="171">
        <f t="shared" si="87"/>
        <v>0</v>
      </c>
      <c r="DA47" s="171">
        <f t="shared" si="87"/>
        <v>0</v>
      </c>
      <c r="DB47" s="171">
        <f t="shared" si="87"/>
        <v>0</v>
      </c>
      <c r="DC47" s="171">
        <f t="shared" si="87"/>
        <v>0</v>
      </c>
      <c r="DD47" s="171">
        <f t="shared" si="87"/>
        <v>0</v>
      </c>
      <c r="DE47" s="171">
        <f t="shared" si="87"/>
        <v>0</v>
      </c>
      <c r="DF47" s="171">
        <f t="shared" si="87"/>
        <v>0</v>
      </c>
      <c r="DG47" s="171">
        <f t="shared" si="87"/>
        <v>0</v>
      </c>
      <c r="DH47" s="171">
        <f t="shared" si="87"/>
        <v>0</v>
      </c>
      <c r="DI47" s="171">
        <f t="shared" si="87"/>
        <v>0</v>
      </c>
      <c r="DJ47" s="171">
        <f t="shared" si="87"/>
        <v>0</v>
      </c>
      <c r="DK47" s="171">
        <f t="shared" si="87"/>
        <v>0</v>
      </c>
      <c r="DL47" s="171">
        <f t="shared" si="87"/>
        <v>0</v>
      </c>
      <c r="DM47" s="171">
        <f t="shared" si="87"/>
        <v>0</v>
      </c>
      <c r="DN47" s="171">
        <f t="shared" si="87"/>
        <v>0</v>
      </c>
      <c r="DO47" s="171">
        <f t="shared" si="87"/>
        <v>0</v>
      </c>
      <c r="DP47" s="171">
        <f t="shared" si="87"/>
        <v>0</v>
      </c>
      <c r="DQ47" s="171">
        <f t="shared" si="87"/>
        <v>0</v>
      </c>
      <c r="DR47" s="171">
        <f t="shared" si="87"/>
        <v>0</v>
      </c>
      <c r="DS47" s="171">
        <f t="shared" si="87"/>
        <v>0</v>
      </c>
      <c r="DT47" s="171">
        <f t="shared" si="87"/>
        <v>0</v>
      </c>
      <c r="DU47" s="171">
        <f t="shared" si="87"/>
        <v>0</v>
      </c>
      <c r="DV47" s="171">
        <f t="shared" si="87"/>
        <v>0</v>
      </c>
      <c r="DW47" s="171">
        <f t="shared" si="87"/>
        <v>0</v>
      </c>
      <c r="DX47" s="171">
        <f t="shared" si="87"/>
        <v>0</v>
      </c>
      <c r="DY47" s="171">
        <f t="shared" si="87"/>
        <v>0</v>
      </c>
      <c r="DZ47" s="171">
        <f t="shared" si="87"/>
        <v>0</v>
      </c>
      <c r="EA47" s="171">
        <f t="shared" si="87"/>
        <v>0</v>
      </c>
      <c r="EB47" s="171">
        <f t="shared" si="87"/>
        <v>0</v>
      </c>
      <c r="EC47" s="171">
        <f t="shared" si="87"/>
        <v>0</v>
      </c>
      <c r="ED47" s="1321">
        <f t="shared" si="87"/>
        <v>0</v>
      </c>
      <c r="EE47" s="171">
        <f t="shared" si="87"/>
        <v>0</v>
      </c>
      <c r="EF47" s="171">
        <f t="shared" si="87"/>
        <v>0</v>
      </c>
      <c r="EG47" s="171">
        <f t="shared" si="87"/>
        <v>0</v>
      </c>
      <c r="EH47" s="171">
        <f t="shared" si="87"/>
        <v>0</v>
      </c>
      <c r="EI47" s="171">
        <f t="shared" si="87"/>
        <v>0</v>
      </c>
      <c r="EJ47" s="171">
        <f t="shared" si="87"/>
        <v>0</v>
      </c>
      <c r="EK47" s="171">
        <f t="shared" si="87"/>
        <v>0</v>
      </c>
      <c r="EL47" s="171">
        <f t="shared" si="87"/>
        <v>0</v>
      </c>
      <c r="EM47" s="171">
        <f t="shared" si="87"/>
        <v>0</v>
      </c>
      <c r="EN47" s="171">
        <f t="shared" si="87"/>
        <v>0</v>
      </c>
      <c r="EO47" s="171">
        <f t="shared" si="87"/>
        <v>0</v>
      </c>
      <c r="EP47" s="171">
        <f t="shared" si="87"/>
        <v>0</v>
      </c>
      <c r="EQ47" s="171">
        <f t="shared" si="87"/>
        <v>0</v>
      </c>
    </row>
    <row r="48" spans="3:147" ht="11.25" customHeight="1">
      <c r="C48" s="163"/>
      <c r="D48" s="169" t="s">
        <v>232</v>
      </c>
      <c r="H48" s="146">
        <f>'A&amp;R'!N37</f>
        <v>49979</v>
      </c>
      <c r="J48" s="170">
        <f>SUM(L48:EQ48)</f>
        <v>0</v>
      </c>
      <c r="K48" s="98"/>
      <c r="L48" s="171">
        <f>SUM(L46:L47)*(L$14=$H48)</f>
        <v>0</v>
      </c>
      <c r="M48" s="171">
        <f t="shared" ref="M48:BX48" si="88">SUM(M46:M47)*(M$14=$H48)</f>
        <v>0</v>
      </c>
      <c r="N48" s="171">
        <f t="shared" si="88"/>
        <v>0</v>
      </c>
      <c r="O48" s="171">
        <f t="shared" si="88"/>
        <v>0</v>
      </c>
      <c r="P48" s="171">
        <f t="shared" si="88"/>
        <v>0</v>
      </c>
      <c r="Q48" s="171">
        <f t="shared" si="88"/>
        <v>0</v>
      </c>
      <c r="R48" s="171">
        <f t="shared" si="88"/>
        <v>0</v>
      </c>
      <c r="S48" s="171">
        <f t="shared" si="88"/>
        <v>0</v>
      </c>
      <c r="T48" s="171">
        <f t="shared" si="88"/>
        <v>0</v>
      </c>
      <c r="U48" s="171">
        <f t="shared" si="88"/>
        <v>0</v>
      </c>
      <c r="V48" s="171">
        <f t="shared" si="88"/>
        <v>0</v>
      </c>
      <c r="W48" s="171">
        <f t="shared" si="88"/>
        <v>0</v>
      </c>
      <c r="X48" s="171">
        <f t="shared" si="88"/>
        <v>0</v>
      </c>
      <c r="Y48" s="171">
        <f t="shared" si="88"/>
        <v>0</v>
      </c>
      <c r="Z48" s="171">
        <f t="shared" si="88"/>
        <v>0</v>
      </c>
      <c r="AA48" s="171">
        <f t="shared" si="88"/>
        <v>0</v>
      </c>
      <c r="AB48" s="171">
        <f t="shared" si="88"/>
        <v>0</v>
      </c>
      <c r="AC48" s="171">
        <f t="shared" si="88"/>
        <v>0</v>
      </c>
      <c r="AD48" s="171">
        <f t="shared" si="88"/>
        <v>0</v>
      </c>
      <c r="AE48" s="171">
        <f t="shared" si="88"/>
        <v>0</v>
      </c>
      <c r="AF48" s="171">
        <f t="shared" si="88"/>
        <v>0</v>
      </c>
      <c r="AG48" s="171">
        <f t="shared" si="88"/>
        <v>0</v>
      </c>
      <c r="AH48" s="171">
        <f t="shared" si="88"/>
        <v>0</v>
      </c>
      <c r="AI48" s="171">
        <f t="shared" si="88"/>
        <v>0</v>
      </c>
      <c r="AJ48" s="171">
        <f t="shared" si="88"/>
        <v>0</v>
      </c>
      <c r="AK48" s="171">
        <f t="shared" si="88"/>
        <v>0</v>
      </c>
      <c r="AL48" s="171">
        <f t="shared" si="88"/>
        <v>0</v>
      </c>
      <c r="AM48" s="171">
        <f t="shared" si="88"/>
        <v>0</v>
      </c>
      <c r="AN48" s="171">
        <f t="shared" si="88"/>
        <v>0</v>
      </c>
      <c r="AO48" s="171">
        <f t="shared" si="88"/>
        <v>0</v>
      </c>
      <c r="AP48" s="171">
        <f t="shared" si="88"/>
        <v>0</v>
      </c>
      <c r="AQ48" s="171">
        <f t="shared" si="88"/>
        <v>0</v>
      </c>
      <c r="AR48" s="171">
        <f t="shared" si="88"/>
        <v>0</v>
      </c>
      <c r="AS48" s="171">
        <f t="shared" si="88"/>
        <v>0</v>
      </c>
      <c r="AT48" s="171">
        <f t="shared" si="88"/>
        <v>0</v>
      </c>
      <c r="AU48" s="171">
        <f t="shared" si="88"/>
        <v>0</v>
      </c>
      <c r="AV48" s="171">
        <f t="shared" si="88"/>
        <v>0</v>
      </c>
      <c r="AW48" s="171">
        <f t="shared" si="88"/>
        <v>0</v>
      </c>
      <c r="AX48" s="171">
        <f t="shared" si="88"/>
        <v>0</v>
      </c>
      <c r="AY48" s="171">
        <f t="shared" si="88"/>
        <v>0</v>
      </c>
      <c r="AZ48" s="171">
        <f t="shared" si="88"/>
        <v>0</v>
      </c>
      <c r="BA48" s="171">
        <f t="shared" si="88"/>
        <v>0</v>
      </c>
      <c r="BB48" s="171">
        <f t="shared" si="88"/>
        <v>0</v>
      </c>
      <c r="BC48" s="171">
        <f t="shared" si="88"/>
        <v>0</v>
      </c>
      <c r="BD48" s="171">
        <f t="shared" si="88"/>
        <v>0</v>
      </c>
      <c r="BE48" s="171">
        <f t="shared" si="88"/>
        <v>0</v>
      </c>
      <c r="BF48" s="171">
        <f t="shared" si="88"/>
        <v>0</v>
      </c>
      <c r="BG48" s="171">
        <f t="shared" si="88"/>
        <v>0</v>
      </c>
      <c r="BH48" s="171">
        <f t="shared" si="88"/>
        <v>0</v>
      </c>
      <c r="BI48" s="171">
        <f t="shared" si="88"/>
        <v>0</v>
      </c>
      <c r="BJ48" s="171">
        <f t="shared" si="88"/>
        <v>0</v>
      </c>
      <c r="BK48" s="171">
        <f t="shared" si="88"/>
        <v>0</v>
      </c>
      <c r="BL48" s="171">
        <f t="shared" si="88"/>
        <v>0</v>
      </c>
      <c r="BM48" s="171">
        <f t="shared" si="88"/>
        <v>0</v>
      </c>
      <c r="BN48" s="171">
        <f t="shared" si="88"/>
        <v>0</v>
      </c>
      <c r="BO48" s="171">
        <f t="shared" si="88"/>
        <v>0</v>
      </c>
      <c r="BP48" s="171">
        <f t="shared" si="88"/>
        <v>0</v>
      </c>
      <c r="BQ48" s="171">
        <f t="shared" si="88"/>
        <v>0</v>
      </c>
      <c r="BR48" s="171">
        <f t="shared" si="88"/>
        <v>0</v>
      </c>
      <c r="BS48" s="171">
        <f t="shared" si="88"/>
        <v>0</v>
      </c>
      <c r="BT48" s="171">
        <f t="shared" si="88"/>
        <v>0</v>
      </c>
      <c r="BU48" s="171">
        <f t="shared" si="88"/>
        <v>0</v>
      </c>
      <c r="BV48" s="171">
        <f t="shared" si="88"/>
        <v>0</v>
      </c>
      <c r="BW48" s="171">
        <f t="shared" si="88"/>
        <v>0</v>
      </c>
      <c r="BX48" s="171">
        <f t="shared" si="88"/>
        <v>0</v>
      </c>
      <c r="BY48" s="171">
        <f t="shared" ref="BY48:EJ48" si="89">SUM(BY46:BY47)*(BY$14=$H48)</f>
        <v>0</v>
      </c>
      <c r="BZ48" s="171">
        <f t="shared" si="89"/>
        <v>0</v>
      </c>
      <c r="CA48" s="171">
        <f t="shared" si="89"/>
        <v>0</v>
      </c>
      <c r="CB48" s="171">
        <f t="shared" si="89"/>
        <v>0</v>
      </c>
      <c r="CC48" s="171">
        <f t="shared" si="89"/>
        <v>0</v>
      </c>
      <c r="CD48" s="171">
        <f t="shared" si="89"/>
        <v>0</v>
      </c>
      <c r="CE48" s="171">
        <f t="shared" si="89"/>
        <v>0</v>
      </c>
      <c r="CF48" s="171">
        <f t="shared" si="89"/>
        <v>0</v>
      </c>
      <c r="CG48" s="171">
        <f t="shared" si="89"/>
        <v>0</v>
      </c>
      <c r="CH48" s="171">
        <f t="shared" si="89"/>
        <v>0</v>
      </c>
      <c r="CI48" s="171">
        <f t="shared" si="89"/>
        <v>0</v>
      </c>
      <c r="CJ48" s="171">
        <f t="shared" si="89"/>
        <v>0</v>
      </c>
      <c r="CK48" s="171">
        <f t="shared" si="89"/>
        <v>0</v>
      </c>
      <c r="CL48" s="171">
        <f t="shared" si="89"/>
        <v>0</v>
      </c>
      <c r="CM48" s="171">
        <f t="shared" si="89"/>
        <v>0</v>
      </c>
      <c r="CN48" s="171">
        <f t="shared" si="89"/>
        <v>0</v>
      </c>
      <c r="CO48" s="171">
        <f t="shared" si="89"/>
        <v>0</v>
      </c>
      <c r="CP48" s="171">
        <f t="shared" si="89"/>
        <v>0</v>
      </c>
      <c r="CQ48" s="171">
        <f t="shared" si="89"/>
        <v>0</v>
      </c>
      <c r="CR48" s="171">
        <f t="shared" si="89"/>
        <v>0</v>
      </c>
      <c r="CS48" s="171">
        <f t="shared" si="89"/>
        <v>0</v>
      </c>
      <c r="CT48" s="171">
        <f t="shared" si="89"/>
        <v>0</v>
      </c>
      <c r="CU48" s="171">
        <f t="shared" si="89"/>
        <v>0</v>
      </c>
      <c r="CV48" s="171">
        <f t="shared" si="89"/>
        <v>0</v>
      </c>
      <c r="CW48" s="171">
        <f t="shared" si="89"/>
        <v>0</v>
      </c>
      <c r="CX48" s="171">
        <f t="shared" si="89"/>
        <v>0</v>
      </c>
      <c r="CY48" s="171">
        <f t="shared" si="89"/>
        <v>0</v>
      </c>
      <c r="CZ48" s="171">
        <f t="shared" si="89"/>
        <v>0</v>
      </c>
      <c r="DA48" s="171">
        <f t="shared" si="89"/>
        <v>0</v>
      </c>
      <c r="DB48" s="171">
        <f t="shared" si="89"/>
        <v>0</v>
      </c>
      <c r="DC48" s="171">
        <f t="shared" si="89"/>
        <v>0</v>
      </c>
      <c r="DD48" s="171">
        <f t="shared" si="89"/>
        <v>0</v>
      </c>
      <c r="DE48" s="171">
        <f t="shared" si="89"/>
        <v>0</v>
      </c>
      <c r="DF48" s="171">
        <f t="shared" si="89"/>
        <v>0</v>
      </c>
      <c r="DG48" s="171">
        <f t="shared" si="89"/>
        <v>0</v>
      </c>
      <c r="DH48" s="171">
        <f t="shared" si="89"/>
        <v>0</v>
      </c>
      <c r="DI48" s="171">
        <f t="shared" si="89"/>
        <v>0</v>
      </c>
      <c r="DJ48" s="171">
        <f t="shared" si="89"/>
        <v>0</v>
      </c>
      <c r="DK48" s="171">
        <f t="shared" si="89"/>
        <v>0</v>
      </c>
      <c r="DL48" s="171">
        <f t="shared" si="89"/>
        <v>0</v>
      </c>
      <c r="DM48" s="171">
        <f t="shared" si="89"/>
        <v>0</v>
      </c>
      <c r="DN48" s="171">
        <f t="shared" si="89"/>
        <v>0</v>
      </c>
      <c r="DO48" s="171">
        <f t="shared" si="89"/>
        <v>0</v>
      </c>
      <c r="DP48" s="171">
        <f t="shared" si="89"/>
        <v>0</v>
      </c>
      <c r="DQ48" s="171">
        <f t="shared" si="89"/>
        <v>0</v>
      </c>
      <c r="DR48" s="171">
        <f t="shared" si="89"/>
        <v>0</v>
      </c>
      <c r="DS48" s="171">
        <f t="shared" si="89"/>
        <v>0</v>
      </c>
      <c r="DT48" s="171">
        <f t="shared" si="89"/>
        <v>0</v>
      </c>
      <c r="DU48" s="171">
        <f t="shared" si="89"/>
        <v>0</v>
      </c>
      <c r="DV48" s="171">
        <f t="shared" si="89"/>
        <v>0</v>
      </c>
      <c r="DW48" s="171">
        <f t="shared" si="89"/>
        <v>0</v>
      </c>
      <c r="DX48" s="171">
        <f t="shared" si="89"/>
        <v>0</v>
      </c>
      <c r="DY48" s="171">
        <f t="shared" si="89"/>
        <v>0</v>
      </c>
      <c r="DZ48" s="171">
        <f t="shared" si="89"/>
        <v>0</v>
      </c>
      <c r="EA48" s="171">
        <f t="shared" si="89"/>
        <v>0</v>
      </c>
      <c r="EB48" s="171">
        <f t="shared" si="89"/>
        <v>0</v>
      </c>
      <c r="EC48" s="171">
        <f t="shared" si="89"/>
        <v>0</v>
      </c>
      <c r="ED48" s="1321">
        <f t="shared" si="89"/>
        <v>0</v>
      </c>
      <c r="EE48" s="171">
        <f t="shared" si="89"/>
        <v>0</v>
      </c>
      <c r="EF48" s="171">
        <f t="shared" si="89"/>
        <v>0</v>
      </c>
      <c r="EG48" s="171">
        <f t="shared" si="89"/>
        <v>0</v>
      </c>
      <c r="EH48" s="171">
        <f t="shared" si="89"/>
        <v>0</v>
      </c>
      <c r="EI48" s="171">
        <f t="shared" si="89"/>
        <v>0</v>
      </c>
      <c r="EJ48" s="171">
        <f t="shared" si="89"/>
        <v>0</v>
      </c>
      <c r="EK48" s="171">
        <f t="shared" ref="EK48:EQ48" si="90">SUM(EK46:EK47)*(EK$14=$H48)</f>
        <v>0</v>
      </c>
      <c r="EL48" s="171">
        <f t="shared" si="90"/>
        <v>0</v>
      </c>
      <c r="EM48" s="171">
        <f t="shared" si="90"/>
        <v>0</v>
      </c>
      <c r="EN48" s="171">
        <f t="shared" si="90"/>
        <v>0</v>
      </c>
      <c r="EO48" s="171">
        <f t="shared" si="90"/>
        <v>0</v>
      </c>
      <c r="EP48" s="171">
        <f t="shared" si="90"/>
        <v>0</v>
      </c>
      <c r="EQ48" s="171">
        <f t="shared" si="90"/>
        <v>0</v>
      </c>
    </row>
    <row r="49" spans="3:147" ht="11.25" customHeight="1">
      <c r="C49" s="163"/>
      <c r="D49" s="169" t="s">
        <v>233</v>
      </c>
      <c r="J49" s="170"/>
      <c r="K49" s="98"/>
      <c r="L49" s="171">
        <f>L46+L47-L48</f>
        <v>0</v>
      </c>
      <c r="M49" s="171">
        <f t="shared" ref="M49:BX49" si="91">M46+M47-M48</f>
        <v>0</v>
      </c>
      <c r="N49" s="171">
        <f t="shared" si="91"/>
        <v>0</v>
      </c>
      <c r="O49" s="171">
        <f t="shared" si="91"/>
        <v>0</v>
      </c>
      <c r="P49" s="171">
        <f t="shared" si="91"/>
        <v>0</v>
      </c>
      <c r="Q49" s="171">
        <f t="shared" si="91"/>
        <v>0</v>
      </c>
      <c r="R49" s="171">
        <f t="shared" si="91"/>
        <v>0</v>
      </c>
      <c r="S49" s="171">
        <f t="shared" si="91"/>
        <v>0</v>
      </c>
      <c r="T49" s="171">
        <f t="shared" si="91"/>
        <v>0</v>
      </c>
      <c r="U49" s="171">
        <f t="shared" si="91"/>
        <v>0</v>
      </c>
      <c r="V49" s="171">
        <f t="shared" si="91"/>
        <v>0</v>
      </c>
      <c r="W49" s="171">
        <f t="shared" si="91"/>
        <v>0</v>
      </c>
      <c r="X49" s="171">
        <f t="shared" si="91"/>
        <v>0</v>
      </c>
      <c r="Y49" s="171">
        <f t="shared" si="91"/>
        <v>0</v>
      </c>
      <c r="Z49" s="171">
        <f t="shared" si="91"/>
        <v>0</v>
      </c>
      <c r="AA49" s="171">
        <f t="shared" si="91"/>
        <v>0</v>
      </c>
      <c r="AB49" s="171">
        <f t="shared" si="91"/>
        <v>0</v>
      </c>
      <c r="AC49" s="171">
        <f t="shared" si="91"/>
        <v>0</v>
      </c>
      <c r="AD49" s="171">
        <f t="shared" si="91"/>
        <v>0</v>
      </c>
      <c r="AE49" s="171">
        <f t="shared" si="91"/>
        <v>0</v>
      </c>
      <c r="AF49" s="171">
        <f t="shared" si="91"/>
        <v>0</v>
      </c>
      <c r="AG49" s="171">
        <f t="shared" si="91"/>
        <v>0</v>
      </c>
      <c r="AH49" s="171">
        <f t="shared" si="91"/>
        <v>0</v>
      </c>
      <c r="AI49" s="171">
        <f t="shared" si="91"/>
        <v>0</v>
      </c>
      <c r="AJ49" s="171">
        <f t="shared" si="91"/>
        <v>0</v>
      </c>
      <c r="AK49" s="171">
        <f t="shared" si="91"/>
        <v>0</v>
      </c>
      <c r="AL49" s="171">
        <f t="shared" si="91"/>
        <v>0</v>
      </c>
      <c r="AM49" s="171">
        <f t="shared" si="91"/>
        <v>0</v>
      </c>
      <c r="AN49" s="171">
        <f t="shared" si="91"/>
        <v>0</v>
      </c>
      <c r="AO49" s="171">
        <f t="shared" si="91"/>
        <v>0</v>
      </c>
      <c r="AP49" s="171">
        <f t="shared" si="91"/>
        <v>0</v>
      </c>
      <c r="AQ49" s="171">
        <f t="shared" si="91"/>
        <v>0</v>
      </c>
      <c r="AR49" s="171">
        <f t="shared" si="91"/>
        <v>0</v>
      </c>
      <c r="AS49" s="171">
        <f t="shared" si="91"/>
        <v>0</v>
      </c>
      <c r="AT49" s="171">
        <f t="shared" si="91"/>
        <v>0</v>
      </c>
      <c r="AU49" s="171">
        <f t="shared" si="91"/>
        <v>0</v>
      </c>
      <c r="AV49" s="171">
        <f t="shared" si="91"/>
        <v>0</v>
      </c>
      <c r="AW49" s="171">
        <f t="shared" si="91"/>
        <v>0</v>
      </c>
      <c r="AX49" s="171">
        <f t="shared" si="91"/>
        <v>0</v>
      </c>
      <c r="AY49" s="171">
        <f t="shared" si="91"/>
        <v>0</v>
      </c>
      <c r="AZ49" s="171">
        <f t="shared" si="91"/>
        <v>0</v>
      </c>
      <c r="BA49" s="171">
        <f t="shared" si="91"/>
        <v>0</v>
      </c>
      <c r="BB49" s="171">
        <f t="shared" si="91"/>
        <v>0</v>
      </c>
      <c r="BC49" s="171">
        <f t="shared" si="91"/>
        <v>0</v>
      </c>
      <c r="BD49" s="171">
        <f t="shared" si="91"/>
        <v>0</v>
      </c>
      <c r="BE49" s="171">
        <f t="shared" si="91"/>
        <v>0</v>
      </c>
      <c r="BF49" s="171">
        <f t="shared" si="91"/>
        <v>0</v>
      </c>
      <c r="BG49" s="171">
        <f t="shared" si="91"/>
        <v>0</v>
      </c>
      <c r="BH49" s="171">
        <f t="shared" si="91"/>
        <v>0</v>
      </c>
      <c r="BI49" s="171">
        <f t="shared" si="91"/>
        <v>0</v>
      </c>
      <c r="BJ49" s="171">
        <f t="shared" si="91"/>
        <v>0</v>
      </c>
      <c r="BK49" s="171">
        <f t="shared" si="91"/>
        <v>0</v>
      </c>
      <c r="BL49" s="171">
        <f t="shared" si="91"/>
        <v>0</v>
      </c>
      <c r="BM49" s="171">
        <f t="shared" si="91"/>
        <v>0</v>
      </c>
      <c r="BN49" s="171">
        <f t="shared" si="91"/>
        <v>0</v>
      </c>
      <c r="BO49" s="171">
        <f t="shared" si="91"/>
        <v>0</v>
      </c>
      <c r="BP49" s="171">
        <f t="shared" si="91"/>
        <v>0</v>
      </c>
      <c r="BQ49" s="171">
        <f t="shared" si="91"/>
        <v>0</v>
      </c>
      <c r="BR49" s="171">
        <f t="shared" si="91"/>
        <v>0</v>
      </c>
      <c r="BS49" s="171">
        <f t="shared" si="91"/>
        <v>0</v>
      </c>
      <c r="BT49" s="171">
        <f t="shared" si="91"/>
        <v>0</v>
      </c>
      <c r="BU49" s="171">
        <f t="shared" si="91"/>
        <v>0</v>
      </c>
      <c r="BV49" s="171">
        <f t="shared" si="91"/>
        <v>0</v>
      </c>
      <c r="BW49" s="171">
        <f t="shared" si="91"/>
        <v>0</v>
      </c>
      <c r="BX49" s="171">
        <f t="shared" si="91"/>
        <v>0</v>
      </c>
      <c r="BY49" s="171">
        <f t="shared" ref="BY49:EJ49" si="92">BY46+BY47-BY48</f>
        <v>0</v>
      </c>
      <c r="BZ49" s="171">
        <f t="shared" si="92"/>
        <v>0</v>
      </c>
      <c r="CA49" s="171">
        <f t="shared" si="92"/>
        <v>0</v>
      </c>
      <c r="CB49" s="171">
        <f t="shared" si="92"/>
        <v>0</v>
      </c>
      <c r="CC49" s="171">
        <f t="shared" si="92"/>
        <v>0</v>
      </c>
      <c r="CD49" s="171">
        <f t="shared" si="92"/>
        <v>0</v>
      </c>
      <c r="CE49" s="171">
        <f t="shared" si="92"/>
        <v>0</v>
      </c>
      <c r="CF49" s="171">
        <f t="shared" si="92"/>
        <v>0</v>
      </c>
      <c r="CG49" s="171">
        <f t="shared" si="92"/>
        <v>0</v>
      </c>
      <c r="CH49" s="171">
        <f t="shared" si="92"/>
        <v>0</v>
      </c>
      <c r="CI49" s="171">
        <f t="shared" si="92"/>
        <v>0</v>
      </c>
      <c r="CJ49" s="171">
        <f t="shared" si="92"/>
        <v>0</v>
      </c>
      <c r="CK49" s="171">
        <f t="shared" si="92"/>
        <v>0</v>
      </c>
      <c r="CL49" s="171">
        <f t="shared" si="92"/>
        <v>0</v>
      </c>
      <c r="CM49" s="171">
        <f t="shared" si="92"/>
        <v>0</v>
      </c>
      <c r="CN49" s="171">
        <f t="shared" si="92"/>
        <v>0</v>
      </c>
      <c r="CO49" s="171">
        <f t="shared" si="92"/>
        <v>0</v>
      </c>
      <c r="CP49" s="171">
        <f t="shared" si="92"/>
        <v>0</v>
      </c>
      <c r="CQ49" s="171">
        <f t="shared" si="92"/>
        <v>0</v>
      </c>
      <c r="CR49" s="171">
        <f t="shared" si="92"/>
        <v>0</v>
      </c>
      <c r="CS49" s="171">
        <f t="shared" si="92"/>
        <v>0</v>
      </c>
      <c r="CT49" s="171">
        <f t="shared" si="92"/>
        <v>0</v>
      </c>
      <c r="CU49" s="171">
        <f t="shared" si="92"/>
        <v>0</v>
      </c>
      <c r="CV49" s="171">
        <f t="shared" si="92"/>
        <v>0</v>
      </c>
      <c r="CW49" s="171">
        <f t="shared" si="92"/>
        <v>0</v>
      </c>
      <c r="CX49" s="171">
        <f t="shared" si="92"/>
        <v>0</v>
      </c>
      <c r="CY49" s="171">
        <f t="shared" si="92"/>
        <v>0</v>
      </c>
      <c r="CZ49" s="171">
        <f t="shared" si="92"/>
        <v>0</v>
      </c>
      <c r="DA49" s="171">
        <f t="shared" si="92"/>
        <v>0</v>
      </c>
      <c r="DB49" s="171">
        <f t="shared" si="92"/>
        <v>0</v>
      </c>
      <c r="DC49" s="171">
        <f t="shared" si="92"/>
        <v>0</v>
      </c>
      <c r="DD49" s="171">
        <f t="shared" si="92"/>
        <v>0</v>
      </c>
      <c r="DE49" s="171">
        <f t="shared" si="92"/>
        <v>0</v>
      </c>
      <c r="DF49" s="171">
        <f t="shared" si="92"/>
        <v>0</v>
      </c>
      <c r="DG49" s="171">
        <f t="shared" si="92"/>
        <v>0</v>
      </c>
      <c r="DH49" s="171">
        <f t="shared" si="92"/>
        <v>0</v>
      </c>
      <c r="DI49" s="171">
        <f t="shared" si="92"/>
        <v>0</v>
      </c>
      <c r="DJ49" s="171">
        <f t="shared" si="92"/>
        <v>0</v>
      </c>
      <c r="DK49" s="171">
        <f t="shared" si="92"/>
        <v>0</v>
      </c>
      <c r="DL49" s="171">
        <f t="shared" si="92"/>
        <v>0</v>
      </c>
      <c r="DM49" s="171">
        <f t="shared" si="92"/>
        <v>0</v>
      </c>
      <c r="DN49" s="171">
        <f t="shared" si="92"/>
        <v>0</v>
      </c>
      <c r="DO49" s="171">
        <f t="shared" si="92"/>
        <v>0</v>
      </c>
      <c r="DP49" s="171">
        <f t="shared" si="92"/>
        <v>0</v>
      </c>
      <c r="DQ49" s="171">
        <f t="shared" si="92"/>
        <v>0</v>
      </c>
      <c r="DR49" s="171">
        <f t="shared" si="92"/>
        <v>0</v>
      </c>
      <c r="DS49" s="171">
        <f t="shared" si="92"/>
        <v>0</v>
      </c>
      <c r="DT49" s="171">
        <f t="shared" si="92"/>
        <v>0</v>
      </c>
      <c r="DU49" s="171">
        <f t="shared" si="92"/>
        <v>0</v>
      </c>
      <c r="DV49" s="171">
        <f t="shared" si="92"/>
        <v>0</v>
      </c>
      <c r="DW49" s="171">
        <f t="shared" si="92"/>
        <v>0</v>
      </c>
      <c r="DX49" s="171">
        <f t="shared" si="92"/>
        <v>0</v>
      </c>
      <c r="DY49" s="171">
        <f t="shared" si="92"/>
        <v>0</v>
      </c>
      <c r="DZ49" s="171">
        <f t="shared" si="92"/>
        <v>0</v>
      </c>
      <c r="EA49" s="171">
        <f t="shared" si="92"/>
        <v>0</v>
      </c>
      <c r="EB49" s="171">
        <f t="shared" si="92"/>
        <v>0</v>
      </c>
      <c r="EC49" s="171">
        <f t="shared" si="92"/>
        <v>0</v>
      </c>
      <c r="ED49" s="1321">
        <f t="shared" si="92"/>
        <v>0</v>
      </c>
      <c r="EE49" s="171">
        <f t="shared" si="92"/>
        <v>0</v>
      </c>
      <c r="EF49" s="171">
        <f t="shared" si="92"/>
        <v>0</v>
      </c>
      <c r="EG49" s="171">
        <f t="shared" si="92"/>
        <v>0</v>
      </c>
      <c r="EH49" s="171">
        <f t="shared" si="92"/>
        <v>0</v>
      </c>
      <c r="EI49" s="171">
        <f t="shared" si="92"/>
        <v>0</v>
      </c>
      <c r="EJ49" s="171">
        <f t="shared" si="92"/>
        <v>0</v>
      </c>
      <c r="EK49" s="171">
        <f t="shared" ref="EK49:EQ49" si="93">EK46+EK47-EK48</f>
        <v>0</v>
      </c>
      <c r="EL49" s="171">
        <f t="shared" si="93"/>
        <v>0</v>
      </c>
      <c r="EM49" s="171">
        <f t="shared" si="93"/>
        <v>0</v>
      </c>
      <c r="EN49" s="171">
        <f t="shared" si="93"/>
        <v>0</v>
      </c>
      <c r="EO49" s="171">
        <f t="shared" si="93"/>
        <v>0</v>
      </c>
      <c r="EP49" s="171">
        <f t="shared" si="93"/>
        <v>0</v>
      </c>
      <c r="EQ49" s="171">
        <f t="shared" si="93"/>
        <v>0</v>
      </c>
    </row>
    <row r="50" spans="3:147" ht="11.25" customHeight="1">
      <c r="C50" s="158" t="str">
        <f>'A&amp;R'!L38</f>
        <v>V.A.T 대출</v>
      </c>
      <c r="D50" s="159"/>
      <c r="E50" s="159"/>
      <c r="F50" s="159"/>
      <c r="G50" s="159"/>
      <c r="H50" s="160"/>
      <c r="I50" s="219"/>
      <c r="J50" s="161"/>
      <c r="K50" s="98"/>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c r="AY50" s="162"/>
      <c r="AZ50" s="162"/>
      <c r="BA50" s="162"/>
      <c r="BB50" s="162"/>
      <c r="BC50" s="162"/>
      <c r="BD50" s="162"/>
      <c r="BE50" s="162"/>
      <c r="BF50" s="162"/>
      <c r="BG50" s="162"/>
      <c r="BH50" s="162"/>
      <c r="BI50" s="162"/>
      <c r="BJ50" s="162"/>
      <c r="BK50" s="162"/>
      <c r="BL50" s="162"/>
      <c r="BM50" s="162"/>
      <c r="BN50" s="162"/>
      <c r="BO50" s="162"/>
      <c r="BP50" s="162"/>
      <c r="BQ50" s="162"/>
      <c r="BR50" s="162"/>
      <c r="BS50" s="162"/>
      <c r="BT50" s="162"/>
      <c r="BU50" s="162"/>
      <c r="BV50" s="162"/>
      <c r="BW50" s="162"/>
      <c r="BX50" s="162"/>
      <c r="BY50" s="162"/>
      <c r="BZ50" s="162"/>
      <c r="CA50" s="162"/>
      <c r="CB50" s="162"/>
      <c r="CC50" s="162"/>
      <c r="CD50" s="162"/>
      <c r="CE50" s="162"/>
      <c r="CF50" s="162"/>
      <c r="CG50" s="162"/>
      <c r="CH50" s="162"/>
      <c r="CI50" s="162"/>
      <c r="CJ50" s="162"/>
      <c r="CK50" s="162"/>
      <c r="CL50" s="162"/>
      <c r="CM50" s="162"/>
      <c r="CN50" s="162"/>
      <c r="CO50" s="162"/>
      <c r="CP50" s="162"/>
      <c r="CQ50" s="162"/>
      <c r="CR50" s="162"/>
      <c r="CS50" s="162"/>
      <c r="CT50" s="162"/>
      <c r="CU50" s="162"/>
      <c r="CV50" s="162"/>
      <c r="CW50" s="162"/>
      <c r="CX50" s="162"/>
      <c r="CY50" s="162"/>
      <c r="CZ50" s="162"/>
      <c r="DA50" s="162"/>
      <c r="DB50" s="162"/>
      <c r="DC50" s="162"/>
      <c r="DD50" s="162"/>
      <c r="DE50" s="162"/>
      <c r="DF50" s="162"/>
      <c r="DG50" s="162"/>
      <c r="DH50" s="162"/>
      <c r="DI50" s="162"/>
      <c r="DJ50" s="162"/>
      <c r="DK50" s="162"/>
      <c r="DL50" s="162"/>
      <c r="DM50" s="162"/>
      <c r="DN50" s="162"/>
      <c r="DO50" s="162"/>
      <c r="DP50" s="162"/>
      <c r="DQ50" s="162"/>
      <c r="DR50" s="162"/>
      <c r="DS50" s="162"/>
      <c r="DT50" s="162"/>
      <c r="DU50" s="162"/>
      <c r="DV50" s="162"/>
      <c r="DW50" s="162"/>
      <c r="DX50" s="162"/>
      <c r="DY50" s="162"/>
      <c r="DZ50" s="162"/>
      <c r="EA50" s="162"/>
      <c r="EB50" s="162"/>
      <c r="EC50" s="162"/>
      <c r="ED50" s="1319"/>
      <c r="EE50" s="162"/>
      <c r="EF50" s="162"/>
      <c r="EG50" s="162"/>
      <c r="EH50" s="162"/>
      <c r="EI50" s="162"/>
      <c r="EJ50" s="162"/>
      <c r="EK50" s="162"/>
      <c r="EL50" s="162"/>
      <c r="EM50" s="162"/>
      <c r="EN50" s="162"/>
      <c r="EO50" s="162"/>
      <c r="EP50" s="162"/>
      <c r="EQ50" s="162"/>
    </row>
    <row r="51" spans="3:147" ht="11.25" customHeight="1">
      <c r="C51" s="163"/>
      <c r="D51" s="164" t="s">
        <v>217</v>
      </c>
      <c r="E51" s="165"/>
      <c r="F51" s="165"/>
      <c r="G51" s="165"/>
      <c r="H51" s="166"/>
      <c r="I51" s="221"/>
      <c r="J51" s="167"/>
      <c r="K51" s="98"/>
      <c r="L51" s="168">
        <f t="shared" ref="L51:AQ51" si="94">K54</f>
        <v>0</v>
      </c>
      <c r="M51" s="168">
        <f t="shared" si="94"/>
        <v>12856669.630531998</v>
      </c>
      <c r="N51" s="168">
        <f t="shared" si="94"/>
        <v>12856669.630531998</v>
      </c>
      <c r="O51" s="168">
        <f t="shared" si="94"/>
        <v>12856669.630531998</v>
      </c>
      <c r="P51" s="168">
        <f t="shared" si="94"/>
        <v>0</v>
      </c>
      <c r="Q51" s="168">
        <f t="shared" si="94"/>
        <v>0</v>
      </c>
      <c r="R51" s="168">
        <f t="shared" si="94"/>
        <v>0</v>
      </c>
      <c r="S51" s="168">
        <f t="shared" si="94"/>
        <v>0</v>
      </c>
      <c r="T51" s="168">
        <f t="shared" si="94"/>
        <v>0</v>
      </c>
      <c r="U51" s="168">
        <f t="shared" si="94"/>
        <v>0</v>
      </c>
      <c r="V51" s="168">
        <f t="shared" si="94"/>
        <v>0</v>
      </c>
      <c r="W51" s="168">
        <f t="shared" si="94"/>
        <v>0</v>
      </c>
      <c r="X51" s="168">
        <f t="shared" si="94"/>
        <v>0</v>
      </c>
      <c r="Y51" s="168">
        <f t="shared" si="94"/>
        <v>0</v>
      </c>
      <c r="Z51" s="168">
        <f t="shared" si="94"/>
        <v>0</v>
      </c>
      <c r="AA51" s="168">
        <f t="shared" si="94"/>
        <v>0</v>
      </c>
      <c r="AB51" s="168">
        <f t="shared" si="94"/>
        <v>0</v>
      </c>
      <c r="AC51" s="168">
        <f t="shared" si="94"/>
        <v>0</v>
      </c>
      <c r="AD51" s="168">
        <f t="shared" si="94"/>
        <v>0</v>
      </c>
      <c r="AE51" s="168">
        <f t="shared" si="94"/>
        <v>0</v>
      </c>
      <c r="AF51" s="168">
        <f t="shared" si="94"/>
        <v>0</v>
      </c>
      <c r="AG51" s="168">
        <f t="shared" si="94"/>
        <v>0</v>
      </c>
      <c r="AH51" s="168">
        <f t="shared" si="94"/>
        <v>0</v>
      </c>
      <c r="AI51" s="168">
        <f t="shared" si="94"/>
        <v>0</v>
      </c>
      <c r="AJ51" s="168">
        <f t="shared" si="94"/>
        <v>0</v>
      </c>
      <c r="AK51" s="168">
        <f t="shared" si="94"/>
        <v>0</v>
      </c>
      <c r="AL51" s="168">
        <f t="shared" si="94"/>
        <v>0</v>
      </c>
      <c r="AM51" s="168">
        <f t="shared" si="94"/>
        <v>0</v>
      </c>
      <c r="AN51" s="168">
        <f t="shared" si="94"/>
        <v>0</v>
      </c>
      <c r="AO51" s="168">
        <f t="shared" si="94"/>
        <v>0</v>
      </c>
      <c r="AP51" s="168">
        <f t="shared" si="94"/>
        <v>0</v>
      </c>
      <c r="AQ51" s="168">
        <f t="shared" si="94"/>
        <v>0</v>
      </c>
      <c r="AR51" s="168">
        <f t="shared" ref="AR51:BW51" si="95">AQ54</f>
        <v>0</v>
      </c>
      <c r="AS51" s="168">
        <f t="shared" si="95"/>
        <v>0</v>
      </c>
      <c r="AT51" s="168">
        <f t="shared" si="95"/>
        <v>0</v>
      </c>
      <c r="AU51" s="168">
        <f t="shared" si="95"/>
        <v>0</v>
      </c>
      <c r="AV51" s="168">
        <f t="shared" si="95"/>
        <v>0</v>
      </c>
      <c r="AW51" s="168">
        <f t="shared" si="95"/>
        <v>0</v>
      </c>
      <c r="AX51" s="168">
        <f t="shared" si="95"/>
        <v>0</v>
      </c>
      <c r="AY51" s="168">
        <f t="shared" si="95"/>
        <v>0</v>
      </c>
      <c r="AZ51" s="168">
        <f t="shared" si="95"/>
        <v>0</v>
      </c>
      <c r="BA51" s="168">
        <f t="shared" si="95"/>
        <v>0</v>
      </c>
      <c r="BB51" s="168">
        <f t="shared" si="95"/>
        <v>0</v>
      </c>
      <c r="BC51" s="168">
        <f t="shared" si="95"/>
        <v>0</v>
      </c>
      <c r="BD51" s="168">
        <f t="shared" si="95"/>
        <v>0</v>
      </c>
      <c r="BE51" s="168">
        <f t="shared" si="95"/>
        <v>0</v>
      </c>
      <c r="BF51" s="168">
        <f t="shared" si="95"/>
        <v>0</v>
      </c>
      <c r="BG51" s="168">
        <f t="shared" si="95"/>
        <v>0</v>
      </c>
      <c r="BH51" s="168">
        <f t="shared" si="95"/>
        <v>0</v>
      </c>
      <c r="BI51" s="168">
        <f t="shared" si="95"/>
        <v>0</v>
      </c>
      <c r="BJ51" s="168">
        <f t="shared" si="95"/>
        <v>0</v>
      </c>
      <c r="BK51" s="168">
        <f t="shared" si="95"/>
        <v>0</v>
      </c>
      <c r="BL51" s="168">
        <f t="shared" si="95"/>
        <v>0</v>
      </c>
      <c r="BM51" s="168">
        <f t="shared" si="95"/>
        <v>0</v>
      </c>
      <c r="BN51" s="168">
        <f t="shared" si="95"/>
        <v>0</v>
      </c>
      <c r="BO51" s="168">
        <f t="shared" si="95"/>
        <v>0</v>
      </c>
      <c r="BP51" s="168">
        <f t="shared" si="95"/>
        <v>0</v>
      </c>
      <c r="BQ51" s="168">
        <f t="shared" si="95"/>
        <v>0</v>
      </c>
      <c r="BR51" s="168">
        <f t="shared" si="95"/>
        <v>0</v>
      </c>
      <c r="BS51" s="168">
        <f t="shared" si="95"/>
        <v>0</v>
      </c>
      <c r="BT51" s="168">
        <f t="shared" si="95"/>
        <v>0</v>
      </c>
      <c r="BU51" s="168">
        <f t="shared" si="95"/>
        <v>0</v>
      </c>
      <c r="BV51" s="168">
        <f t="shared" si="95"/>
        <v>0</v>
      </c>
      <c r="BW51" s="168">
        <f t="shared" si="95"/>
        <v>0</v>
      </c>
      <c r="BX51" s="168">
        <f t="shared" ref="BX51:DC51" si="96">BW54</f>
        <v>0</v>
      </c>
      <c r="BY51" s="168">
        <f t="shared" si="96"/>
        <v>0</v>
      </c>
      <c r="BZ51" s="168">
        <f t="shared" si="96"/>
        <v>0</v>
      </c>
      <c r="CA51" s="168">
        <f t="shared" si="96"/>
        <v>0</v>
      </c>
      <c r="CB51" s="168">
        <f t="shared" si="96"/>
        <v>0</v>
      </c>
      <c r="CC51" s="168">
        <f t="shared" si="96"/>
        <v>0</v>
      </c>
      <c r="CD51" s="168">
        <f t="shared" si="96"/>
        <v>0</v>
      </c>
      <c r="CE51" s="168">
        <f t="shared" si="96"/>
        <v>0</v>
      </c>
      <c r="CF51" s="168">
        <f t="shared" si="96"/>
        <v>0</v>
      </c>
      <c r="CG51" s="168">
        <f t="shared" si="96"/>
        <v>0</v>
      </c>
      <c r="CH51" s="168">
        <f t="shared" si="96"/>
        <v>0</v>
      </c>
      <c r="CI51" s="168">
        <f t="shared" si="96"/>
        <v>0</v>
      </c>
      <c r="CJ51" s="168">
        <f t="shared" si="96"/>
        <v>0</v>
      </c>
      <c r="CK51" s="168">
        <f t="shared" si="96"/>
        <v>0</v>
      </c>
      <c r="CL51" s="168">
        <f t="shared" si="96"/>
        <v>0</v>
      </c>
      <c r="CM51" s="168">
        <f t="shared" si="96"/>
        <v>0</v>
      </c>
      <c r="CN51" s="168">
        <f t="shared" si="96"/>
        <v>0</v>
      </c>
      <c r="CO51" s="168">
        <f t="shared" si="96"/>
        <v>0</v>
      </c>
      <c r="CP51" s="168">
        <f t="shared" si="96"/>
        <v>0</v>
      </c>
      <c r="CQ51" s="168">
        <f t="shared" si="96"/>
        <v>0</v>
      </c>
      <c r="CR51" s="168">
        <f t="shared" si="96"/>
        <v>0</v>
      </c>
      <c r="CS51" s="168">
        <f t="shared" si="96"/>
        <v>0</v>
      </c>
      <c r="CT51" s="168">
        <f t="shared" si="96"/>
        <v>0</v>
      </c>
      <c r="CU51" s="168">
        <f t="shared" si="96"/>
        <v>0</v>
      </c>
      <c r="CV51" s="168">
        <f t="shared" si="96"/>
        <v>0</v>
      </c>
      <c r="CW51" s="168">
        <f t="shared" si="96"/>
        <v>0</v>
      </c>
      <c r="CX51" s="168">
        <f t="shared" si="96"/>
        <v>0</v>
      </c>
      <c r="CY51" s="168">
        <f t="shared" si="96"/>
        <v>0</v>
      </c>
      <c r="CZ51" s="168">
        <f t="shared" si="96"/>
        <v>0</v>
      </c>
      <c r="DA51" s="168">
        <f t="shared" si="96"/>
        <v>0</v>
      </c>
      <c r="DB51" s="168">
        <f t="shared" si="96"/>
        <v>0</v>
      </c>
      <c r="DC51" s="168">
        <f t="shared" si="96"/>
        <v>0</v>
      </c>
      <c r="DD51" s="168">
        <f t="shared" ref="DD51:DT51" si="97">DC54</f>
        <v>0</v>
      </c>
      <c r="DE51" s="168">
        <f t="shared" si="97"/>
        <v>0</v>
      </c>
      <c r="DF51" s="168">
        <f t="shared" si="97"/>
        <v>0</v>
      </c>
      <c r="DG51" s="168">
        <f t="shared" si="97"/>
        <v>0</v>
      </c>
      <c r="DH51" s="168">
        <f t="shared" si="97"/>
        <v>0</v>
      </c>
      <c r="DI51" s="168">
        <f t="shared" si="97"/>
        <v>0</v>
      </c>
      <c r="DJ51" s="168">
        <f t="shared" si="97"/>
        <v>0</v>
      </c>
      <c r="DK51" s="168">
        <f t="shared" si="97"/>
        <v>0</v>
      </c>
      <c r="DL51" s="168">
        <f t="shared" si="97"/>
        <v>0</v>
      </c>
      <c r="DM51" s="168">
        <f t="shared" si="97"/>
        <v>0</v>
      </c>
      <c r="DN51" s="168">
        <f t="shared" si="97"/>
        <v>0</v>
      </c>
      <c r="DO51" s="168">
        <f t="shared" si="97"/>
        <v>0</v>
      </c>
      <c r="DP51" s="168">
        <f t="shared" si="97"/>
        <v>0</v>
      </c>
      <c r="DQ51" s="168">
        <f t="shared" si="97"/>
        <v>0</v>
      </c>
      <c r="DR51" s="168">
        <f t="shared" si="97"/>
        <v>0</v>
      </c>
      <c r="DS51" s="168">
        <f t="shared" si="97"/>
        <v>0</v>
      </c>
      <c r="DT51" s="168">
        <f t="shared" si="97"/>
        <v>0</v>
      </c>
      <c r="DU51" s="168">
        <f t="shared" ref="DU51:EQ51" si="98">DT54</f>
        <v>0</v>
      </c>
      <c r="DV51" s="168">
        <f t="shared" si="98"/>
        <v>0</v>
      </c>
      <c r="DW51" s="168">
        <f t="shared" si="98"/>
        <v>0</v>
      </c>
      <c r="DX51" s="168">
        <f t="shared" si="98"/>
        <v>0</v>
      </c>
      <c r="DY51" s="168">
        <f t="shared" si="98"/>
        <v>0</v>
      </c>
      <c r="DZ51" s="168">
        <f t="shared" si="98"/>
        <v>0</v>
      </c>
      <c r="EA51" s="168">
        <f t="shared" si="98"/>
        <v>0</v>
      </c>
      <c r="EB51" s="168">
        <f t="shared" si="98"/>
        <v>0</v>
      </c>
      <c r="EC51" s="168">
        <f t="shared" si="98"/>
        <v>0</v>
      </c>
      <c r="ED51" s="1320">
        <f t="shared" si="98"/>
        <v>0</v>
      </c>
      <c r="EE51" s="168">
        <f t="shared" si="98"/>
        <v>0</v>
      </c>
      <c r="EF51" s="168">
        <f t="shared" si="98"/>
        <v>0</v>
      </c>
      <c r="EG51" s="168">
        <f t="shared" si="98"/>
        <v>0</v>
      </c>
      <c r="EH51" s="168">
        <f t="shared" si="98"/>
        <v>0</v>
      </c>
      <c r="EI51" s="168">
        <f t="shared" si="98"/>
        <v>0</v>
      </c>
      <c r="EJ51" s="168">
        <f t="shared" si="98"/>
        <v>0</v>
      </c>
      <c r="EK51" s="168">
        <f t="shared" si="98"/>
        <v>0</v>
      </c>
      <c r="EL51" s="168">
        <f t="shared" si="98"/>
        <v>0</v>
      </c>
      <c r="EM51" s="168">
        <f t="shared" si="98"/>
        <v>0</v>
      </c>
      <c r="EN51" s="168">
        <f t="shared" si="98"/>
        <v>0</v>
      </c>
      <c r="EO51" s="168">
        <f t="shared" si="98"/>
        <v>0</v>
      </c>
      <c r="EP51" s="168">
        <f t="shared" si="98"/>
        <v>0</v>
      </c>
      <c r="EQ51" s="168">
        <f t="shared" si="98"/>
        <v>0</v>
      </c>
    </row>
    <row r="52" spans="3:147" ht="11.25" customHeight="1">
      <c r="C52" s="163"/>
      <c r="D52" s="169" t="s">
        <v>218</v>
      </c>
      <c r="H52" s="146">
        <f>'A&amp;R'!M38</f>
        <v>46326</v>
      </c>
      <c r="I52" s="13">
        <f>'A&amp;R'!P38</f>
        <v>12856669.630531998</v>
      </c>
      <c r="J52" s="170">
        <f>SUM(L52:EQ52)</f>
        <v>12856669.630531998</v>
      </c>
      <c r="K52" s="98"/>
      <c r="L52" s="171">
        <f>(L$14=$H52)*$I52</f>
        <v>12856669.630531998</v>
      </c>
      <c r="M52" s="171">
        <f t="shared" ref="M52:BX52" si="99">(M$14=$H52)*$I52</f>
        <v>0</v>
      </c>
      <c r="N52" s="171">
        <f t="shared" si="99"/>
        <v>0</v>
      </c>
      <c r="O52" s="171">
        <f t="shared" si="99"/>
        <v>0</v>
      </c>
      <c r="P52" s="171">
        <f t="shared" si="99"/>
        <v>0</v>
      </c>
      <c r="Q52" s="171">
        <f t="shared" si="99"/>
        <v>0</v>
      </c>
      <c r="R52" s="171">
        <f t="shared" si="99"/>
        <v>0</v>
      </c>
      <c r="S52" s="171">
        <f t="shared" si="99"/>
        <v>0</v>
      </c>
      <c r="T52" s="171">
        <f t="shared" si="99"/>
        <v>0</v>
      </c>
      <c r="U52" s="171">
        <f t="shared" si="99"/>
        <v>0</v>
      </c>
      <c r="V52" s="171">
        <f t="shared" si="99"/>
        <v>0</v>
      </c>
      <c r="W52" s="171">
        <f t="shared" si="99"/>
        <v>0</v>
      </c>
      <c r="X52" s="171">
        <f t="shared" si="99"/>
        <v>0</v>
      </c>
      <c r="Y52" s="171">
        <f t="shared" si="99"/>
        <v>0</v>
      </c>
      <c r="Z52" s="171">
        <f t="shared" si="99"/>
        <v>0</v>
      </c>
      <c r="AA52" s="171">
        <f t="shared" si="99"/>
        <v>0</v>
      </c>
      <c r="AB52" s="171">
        <f t="shared" si="99"/>
        <v>0</v>
      </c>
      <c r="AC52" s="171">
        <f t="shared" si="99"/>
        <v>0</v>
      </c>
      <c r="AD52" s="171">
        <f t="shared" si="99"/>
        <v>0</v>
      </c>
      <c r="AE52" s="171">
        <f t="shared" si="99"/>
        <v>0</v>
      </c>
      <c r="AF52" s="171">
        <f t="shared" si="99"/>
        <v>0</v>
      </c>
      <c r="AG52" s="171">
        <f t="shared" si="99"/>
        <v>0</v>
      </c>
      <c r="AH52" s="171">
        <f t="shared" si="99"/>
        <v>0</v>
      </c>
      <c r="AI52" s="171">
        <f t="shared" si="99"/>
        <v>0</v>
      </c>
      <c r="AJ52" s="171">
        <f t="shared" si="99"/>
        <v>0</v>
      </c>
      <c r="AK52" s="171">
        <f t="shared" si="99"/>
        <v>0</v>
      </c>
      <c r="AL52" s="171">
        <f t="shared" si="99"/>
        <v>0</v>
      </c>
      <c r="AM52" s="171">
        <f t="shared" si="99"/>
        <v>0</v>
      </c>
      <c r="AN52" s="171">
        <f t="shared" si="99"/>
        <v>0</v>
      </c>
      <c r="AO52" s="171">
        <f t="shared" si="99"/>
        <v>0</v>
      </c>
      <c r="AP52" s="171">
        <f t="shared" si="99"/>
        <v>0</v>
      </c>
      <c r="AQ52" s="171">
        <f t="shared" si="99"/>
        <v>0</v>
      </c>
      <c r="AR52" s="171">
        <f t="shared" si="99"/>
        <v>0</v>
      </c>
      <c r="AS52" s="171">
        <f t="shared" si="99"/>
        <v>0</v>
      </c>
      <c r="AT52" s="171">
        <f t="shared" si="99"/>
        <v>0</v>
      </c>
      <c r="AU52" s="171">
        <f t="shared" si="99"/>
        <v>0</v>
      </c>
      <c r="AV52" s="171">
        <f t="shared" si="99"/>
        <v>0</v>
      </c>
      <c r="AW52" s="171">
        <f t="shared" si="99"/>
        <v>0</v>
      </c>
      <c r="AX52" s="171">
        <f t="shared" si="99"/>
        <v>0</v>
      </c>
      <c r="AY52" s="171">
        <f t="shared" si="99"/>
        <v>0</v>
      </c>
      <c r="AZ52" s="171">
        <f t="shared" si="99"/>
        <v>0</v>
      </c>
      <c r="BA52" s="171">
        <f t="shared" si="99"/>
        <v>0</v>
      </c>
      <c r="BB52" s="171">
        <f t="shared" si="99"/>
        <v>0</v>
      </c>
      <c r="BC52" s="171">
        <f t="shared" si="99"/>
        <v>0</v>
      </c>
      <c r="BD52" s="171">
        <f t="shared" si="99"/>
        <v>0</v>
      </c>
      <c r="BE52" s="171">
        <f t="shared" si="99"/>
        <v>0</v>
      </c>
      <c r="BF52" s="171">
        <f t="shared" si="99"/>
        <v>0</v>
      </c>
      <c r="BG52" s="171">
        <f t="shared" si="99"/>
        <v>0</v>
      </c>
      <c r="BH52" s="171">
        <f t="shared" si="99"/>
        <v>0</v>
      </c>
      <c r="BI52" s="171">
        <f t="shared" si="99"/>
        <v>0</v>
      </c>
      <c r="BJ52" s="171">
        <f t="shared" si="99"/>
        <v>0</v>
      </c>
      <c r="BK52" s="171">
        <f t="shared" si="99"/>
        <v>0</v>
      </c>
      <c r="BL52" s="171">
        <f t="shared" si="99"/>
        <v>0</v>
      </c>
      <c r="BM52" s="171">
        <f t="shared" si="99"/>
        <v>0</v>
      </c>
      <c r="BN52" s="171">
        <f t="shared" si="99"/>
        <v>0</v>
      </c>
      <c r="BO52" s="171">
        <f t="shared" si="99"/>
        <v>0</v>
      </c>
      <c r="BP52" s="171">
        <f t="shared" si="99"/>
        <v>0</v>
      </c>
      <c r="BQ52" s="171">
        <f t="shared" si="99"/>
        <v>0</v>
      </c>
      <c r="BR52" s="171">
        <f t="shared" si="99"/>
        <v>0</v>
      </c>
      <c r="BS52" s="171">
        <f t="shared" si="99"/>
        <v>0</v>
      </c>
      <c r="BT52" s="171">
        <f t="shared" si="99"/>
        <v>0</v>
      </c>
      <c r="BU52" s="171">
        <f t="shared" si="99"/>
        <v>0</v>
      </c>
      <c r="BV52" s="171">
        <f t="shared" si="99"/>
        <v>0</v>
      </c>
      <c r="BW52" s="171">
        <f t="shared" si="99"/>
        <v>0</v>
      </c>
      <c r="BX52" s="171">
        <f t="shared" si="99"/>
        <v>0</v>
      </c>
      <c r="BY52" s="171">
        <f t="shared" ref="BY52:EQ52" si="100">(BY$14=$H52)*$I52</f>
        <v>0</v>
      </c>
      <c r="BZ52" s="171">
        <f t="shared" si="100"/>
        <v>0</v>
      </c>
      <c r="CA52" s="171">
        <f t="shared" si="100"/>
        <v>0</v>
      </c>
      <c r="CB52" s="171">
        <f t="shared" si="100"/>
        <v>0</v>
      </c>
      <c r="CC52" s="171">
        <f t="shared" si="100"/>
        <v>0</v>
      </c>
      <c r="CD52" s="171">
        <f t="shared" si="100"/>
        <v>0</v>
      </c>
      <c r="CE52" s="171">
        <f t="shared" si="100"/>
        <v>0</v>
      </c>
      <c r="CF52" s="171">
        <f t="shared" si="100"/>
        <v>0</v>
      </c>
      <c r="CG52" s="171">
        <f t="shared" si="100"/>
        <v>0</v>
      </c>
      <c r="CH52" s="171">
        <f t="shared" si="100"/>
        <v>0</v>
      </c>
      <c r="CI52" s="171">
        <f t="shared" si="100"/>
        <v>0</v>
      </c>
      <c r="CJ52" s="171">
        <f t="shared" si="100"/>
        <v>0</v>
      </c>
      <c r="CK52" s="171">
        <f t="shared" si="100"/>
        <v>0</v>
      </c>
      <c r="CL52" s="171">
        <f t="shared" si="100"/>
        <v>0</v>
      </c>
      <c r="CM52" s="171">
        <f t="shared" si="100"/>
        <v>0</v>
      </c>
      <c r="CN52" s="171">
        <f t="shared" si="100"/>
        <v>0</v>
      </c>
      <c r="CO52" s="171">
        <f t="shared" si="100"/>
        <v>0</v>
      </c>
      <c r="CP52" s="171">
        <f t="shared" si="100"/>
        <v>0</v>
      </c>
      <c r="CQ52" s="171">
        <f t="shared" si="100"/>
        <v>0</v>
      </c>
      <c r="CR52" s="171">
        <f t="shared" si="100"/>
        <v>0</v>
      </c>
      <c r="CS52" s="171">
        <f t="shared" si="100"/>
        <v>0</v>
      </c>
      <c r="CT52" s="171">
        <f t="shared" si="100"/>
        <v>0</v>
      </c>
      <c r="CU52" s="171">
        <f t="shared" si="100"/>
        <v>0</v>
      </c>
      <c r="CV52" s="171">
        <f t="shared" si="100"/>
        <v>0</v>
      </c>
      <c r="CW52" s="171">
        <f t="shared" si="100"/>
        <v>0</v>
      </c>
      <c r="CX52" s="171">
        <f t="shared" si="100"/>
        <v>0</v>
      </c>
      <c r="CY52" s="171">
        <f t="shared" si="100"/>
        <v>0</v>
      </c>
      <c r="CZ52" s="171">
        <f t="shared" si="100"/>
        <v>0</v>
      </c>
      <c r="DA52" s="171">
        <f t="shared" si="100"/>
        <v>0</v>
      </c>
      <c r="DB52" s="171">
        <f t="shared" si="100"/>
        <v>0</v>
      </c>
      <c r="DC52" s="171">
        <f t="shared" si="100"/>
        <v>0</v>
      </c>
      <c r="DD52" s="171">
        <f t="shared" si="100"/>
        <v>0</v>
      </c>
      <c r="DE52" s="171">
        <f t="shared" si="100"/>
        <v>0</v>
      </c>
      <c r="DF52" s="171">
        <f t="shared" si="100"/>
        <v>0</v>
      </c>
      <c r="DG52" s="171">
        <f t="shared" si="100"/>
        <v>0</v>
      </c>
      <c r="DH52" s="171">
        <f t="shared" si="100"/>
        <v>0</v>
      </c>
      <c r="DI52" s="171">
        <f t="shared" si="100"/>
        <v>0</v>
      </c>
      <c r="DJ52" s="171">
        <f t="shared" si="100"/>
        <v>0</v>
      </c>
      <c r="DK52" s="171">
        <f t="shared" si="100"/>
        <v>0</v>
      </c>
      <c r="DL52" s="171">
        <f t="shared" si="100"/>
        <v>0</v>
      </c>
      <c r="DM52" s="171">
        <f t="shared" si="100"/>
        <v>0</v>
      </c>
      <c r="DN52" s="171">
        <f t="shared" si="100"/>
        <v>0</v>
      </c>
      <c r="DO52" s="171">
        <f t="shared" si="100"/>
        <v>0</v>
      </c>
      <c r="DP52" s="171">
        <f t="shared" si="100"/>
        <v>0</v>
      </c>
      <c r="DQ52" s="171">
        <f t="shared" si="100"/>
        <v>0</v>
      </c>
      <c r="DR52" s="171">
        <f t="shared" si="100"/>
        <v>0</v>
      </c>
      <c r="DS52" s="171">
        <f t="shared" si="100"/>
        <v>0</v>
      </c>
      <c r="DT52" s="171">
        <f t="shared" si="100"/>
        <v>0</v>
      </c>
      <c r="DU52" s="171">
        <f t="shared" si="100"/>
        <v>0</v>
      </c>
      <c r="DV52" s="171">
        <f t="shared" si="100"/>
        <v>0</v>
      </c>
      <c r="DW52" s="171">
        <f t="shared" si="100"/>
        <v>0</v>
      </c>
      <c r="DX52" s="171">
        <f t="shared" si="100"/>
        <v>0</v>
      </c>
      <c r="DY52" s="171">
        <f t="shared" si="100"/>
        <v>0</v>
      </c>
      <c r="DZ52" s="171">
        <f t="shared" si="100"/>
        <v>0</v>
      </c>
      <c r="EA52" s="171">
        <f t="shared" si="100"/>
        <v>0</v>
      </c>
      <c r="EB52" s="171">
        <f t="shared" si="100"/>
        <v>0</v>
      </c>
      <c r="EC52" s="171">
        <f t="shared" si="100"/>
        <v>0</v>
      </c>
      <c r="ED52" s="1321">
        <f t="shared" si="100"/>
        <v>0</v>
      </c>
      <c r="EE52" s="171">
        <f t="shared" si="100"/>
        <v>0</v>
      </c>
      <c r="EF52" s="171">
        <f t="shared" si="100"/>
        <v>0</v>
      </c>
      <c r="EG52" s="171">
        <f t="shared" si="100"/>
        <v>0</v>
      </c>
      <c r="EH52" s="171">
        <f t="shared" si="100"/>
        <v>0</v>
      </c>
      <c r="EI52" s="171">
        <f t="shared" si="100"/>
        <v>0</v>
      </c>
      <c r="EJ52" s="171">
        <f t="shared" si="100"/>
        <v>0</v>
      </c>
      <c r="EK52" s="171">
        <f t="shared" si="100"/>
        <v>0</v>
      </c>
      <c r="EL52" s="171">
        <f t="shared" si="100"/>
        <v>0</v>
      </c>
      <c r="EM52" s="171">
        <f t="shared" si="100"/>
        <v>0</v>
      </c>
      <c r="EN52" s="171">
        <f t="shared" si="100"/>
        <v>0</v>
      </c>
      <c r="EO52" s="171">
        <f t="shared" si="100"/>
        <v>0</v>
      </c>
      <c r="EP52" s="171">
        <f t="shared" si="100"/>
        <v>0</v>
      </c>
      <c r="EQ52" s="171">
        <f t="shared" si="100"/>
        <v>0</v>
      </c>
    </row>
    <row r="53" spans="3:147" ht="11.25" customHeight="1">
      <c r="C53" s="163"/>
      <c r="D53" s="169" t="s">
        <v>219</v>
      </c>
      <c r="H53" s="146">
        <f>'A&amp;R'!N38</f>
        <v>46418</v>
      </c>
      <c r="J53" s="170">
        <f>SUM(L53:EQ53)</f>
        <v>12856669.630531998</v>
      </c>
      <c r="K53" s="98"/>
      <c r="L53" s="171">
        <f>SUM(L51:L52)*(L$14=$H53)</f>
        <v>0</v>
      </c>
      <c r="M53" s="171">
        <f t="shared" ref="M53:BX53" si="101">SUM(M51:M52)*(M$14=$H53)</f>
        <v>0</v>
      </c>
      <c r="N53" s="171">
        <f t="shared" si="101"/>
        <v>0</v>
      </c>
      <c r="O53" s="171">
        <f t="shared" si="101"/>
        <v>12856669.630531998</v>
      </c>
      <c r="P53" s="171">
        <f t="shared" si="101"/>
        <v>0</v>
      </c>
      <c r="Q53" s="171">
        <f t="shared" si="101"/>
        <v>0</v>
      </c>
      <c r="R53" s="171">
        <f t="shared" si="101"/>
        <v>0</v>
      </c>
      <c r="S53" s="171">
        <f t="shared" si="101"/>
        <v>0</v>
      </c>
      <c r="T53" s="171">
        <f t="shared" si="101"/>
        <v>0</v>
      </c>
      <c r="U53" s="171">
        <f t="shared" si="101"/>
        <v>0</v>
      </c>
      <c r="V53" s="171">
        <f t="shared" si="101"/>
        <v>0</v>
      </c>
      <c r="W53" s="171">
        <f t="shared" si="101"/>
        <v>0</v>
      </c>
      <c r="X53" s="171">
        <f t="shared" si="101"/>
        <v>0</v>
      </c>
      <c r="Y53" s="171">
        <f t="shared" si="101"/>
        <v>0</v>
      </c>
      <c r="Z53" s="171">
        <f t="shared" si="101"/>
        <v>0</v>
      </c>
      <c r="AA53" s="171">
        <f t="shared" si="101"/>
        <v>0</v>
      </c>
      <c r="AB53" s="171">
        <f t="shared" si="101"/>
        <v>0</v>
      </c>
      <c r="AC53" s="171">
        <f t="shared" si="101"/>
        <v>0</v>
      </c>
      <c r="AD53" s="171">
        <f t="shared" si="101"/>
        <v>0</v>
      </c>
      <c r="AE53" s="171">
        <f t="shared" si="101"/>
        <v>0</v>
      </c>
      <c r="AF53" s="171">
        <f t="shared" si="101"/>
        <v>0</v>
      </c>
      <c r="AG53" s="171">
        <f t="shared" si="101"/>
        <v>0</v>
      </c>
      <c r="AH53" s="171">
        <f t="shared" si="101"/>
        <v>0</v>
      </c>
      <c r="AI53" s="171">
        <f t="shared" si="101"/>
        <v>0</v>
      </c>
      <c r="AJ53" s="171">
        <f t="shared" si="101"/>
        <v>0</v>
      </c>
      <c r="AK53" s="171">
        <f t="shared" si="101"/>
        <v>0</v>
      </c>
      <c r="AL53" s="171">
        <f t="shared" si="101"/>
        <v>0</v>
      </c>
      <c r="AM53" s="171">
        <f t="shared" si="101"/>
        <v>0</v>
      </c>
      <c r="AN53" s="171">
        <f t="shared" si="101"/>
        <v>0</v>
      </c>
      <c r="AO53" s="171">
        <f t="shared" si="101"/>
        <v>0</v>
      </c>
      <c r="AP53" s="171">
        <f t="shared" si="101"/>
        <v>0</v>
      </c>
      <c r="AQ53" s="171">
        <f t="shared" si="101"/>
        <v>0</v>
      </c>
      <c r="AR53" s="171">
        <f t="shared" si="101"/>
        <v>0</v>
      </c>
      <c r="AS53" s="171">
        <f t="shared" si="101"/>
        <v>0</v>
      </c>
      <c r="AT53" s="171">
        <f t="shared" si="101"/>
        <v>0</v>
      </c>
      <c r="AU53" s="171">
        <f t="shared" si="101"/>
        <v>0</v>
      </c>
      <c r="AV53" s="171">
        <f t="shared" si="101"/>
        <v>0</v>
      </c>
      <c r="AW53" s="171">
        <f t="shared" si="101"/>
        <v>0</v>
      </c>
      <c r="AX53" s="171">
        <f t="shared" si="101"/>
        <v>0</v>
      </c>
      <c r="AY53" s="171">
        <f t="shared" si="101"/>
        <v>0</v>
      </c>
      <c r="AZ53" s="171">
        <f t="shared" si="101"/>
        <v>0</v>
      </c>
      <c r="BA53" s="171">
        <f t="shared" si="101"/>
        <v>0</v>
      </c>
      <c r="BB53" s="171">
        <f t="shared" si="101"/>
        <v>0</v>
      </c>
      <c r="BC53" s="171">
        <f t="shared" si="101"/>
        <v>0</v>
      </c>
      <c r="BD53" s="171">
        <f t="shared" si="101"/>
        <v>0</v>
      </c>
      <c r="BE53" s="171">
        <f t="shared" si="101"/>
        <v>0</v>
      </c>
      <c r="BF53" s="171">
        <f t="shared" si="101"/>
        <v>0</v>
      </c>
      <c r="BG53" s="171">
        <f t="shared" si="101"/>
        <v>0</v>
      </c>
      <c r="BH53" s="171">
        <f t="shared" si="101"/>
        <v>0</v>
      </c>
      <c r="BI53" s="171">
        <f t="shared" si="101"/>
        <v>0</v>
      </c>
      <c r="BJ53" s="171">
        <f t="shared" si="101"/>
        <v>0</v>
      </c>
      <c r="BK53" s="171">
        <f t="shared" si="101"/>
        <v>0</v>
      </c>
      <c r="BL53" s="171">
        <f t="shared" si="101"/>
        <v>0</v>
      </c>
      <c r="BM53" s="171">
        <f t="shared" si="101"/>
        <v>0</v>
      </c>
      <c r="BN53" s="171">
        <f t="shared" si="101"/>
        <v>0</v>
      </c>
      <c r="BO53" s="171">
        <f t="shared" si="101"/>
        <v>0</v>
      </c>
      <c r="BP53" s="171">
        <f t="shared" si="101"/>
        <v>0</v>
      </c>
      <c r="BQ53" s="171">
        <f t="shared" si="101"/>
        <v>0</v>
      </c>
      <c r="BR53" s="171">
        <f t="shared" si="101"/>
        <v>0</v>
      </c>
      <c r="BS53" s="171">
        <f t="shared" si="101"/>
        <v>0</v>
      </c>
      <c r="BT53" s="171">
        <f t="shared" si="101"/>
        <v>0</v>
      </c>
      <c r="BU53" s="171">
        <f t="shared" si="101"/>
        <v>0</v>
      </c>
      <c r="BV53" s="171">
        <f t="shared" si="101"/>
        <v>0</v>
      </c>
      <c r="BW53" s="171">
        <f t="shared" si="101"/>
        <v>0</v>
      </c>
      <c r="BX53" s="171">
        <f t="shared" si="101"/>
        <v>0</v>
      </c>
      <c r="BY53" s="171">
        <f t="shared" ref="BY53:DT53" si="102">SUM(BY51:BY52)*(BY$14=$H53)</f>
        <v>0</v>
      </c>
      <c r="BZ53" s="171">
        <f t="shared" si="102"/>
        <v>0</v>
      </c>
      <c r="CA53" s="171">
        <f t="shared" si="102"/>
        <v>0</v>
      </c>
      <c r="CB53" s="171">
        <f t="shared" si="102"/>
        <v>0</v>
      </c>
      <c r="CC53" s="171">
        <f t="shared" si="102"/>
        <v>0</v>
      </c>
      <c r="CD53" s="171">
        <f t="shared" si="102"/>
        <v>0</v>
      </c>
      <c r="CE53" s="171">
        <f t="shared" si="102"/>
        <v>0</v>
      </c>
      <c r="CF53" s="171">
        <f t="shared" si="102"/>
        <v>0</v>
      </c>
      <c r="CG53" s="171">
        <f t="shared" si="102"/>
        <v>0</v>
      </c>
      <c r="CH53" s="171">
        <f t="shared" si="102"/>
        <v>0</v>
      </c>
      <c r="CI53" s="171">
        <f t="shared" si="102"/>
        <v>0</v>
      </c>
      <c r="CJ53" s="171">
        <f t="shared" si="102"/>
        <v>0</v>
      </c>
      <c r="CK53" s="171">
        <f t="shared" si="102"/>
        <v>0</v>
      </c>
      <c r="CL53" s="171">
        <f t="shared" si="102"/>
        <v>0</v>
      </c>
      <c r="CM53" s="171">
        <f t="shared" si="102"/>
        <v>0</v>
      </c>
      <c r="CN53" s="171">
        <f t="shared" si="102"/>
        <v>0</v>
      </c>
      <c r="CO53" s="171">
        <f t="shared" si="102"/>
        <v>0</v>
      </c>
      <c r="CP53" s="171">
        <f t="shared" si="102"/>
        <v>0</v>
      </c>
      <c r="CQ53" s="171">
        <f t="shared" si="102"/>
        <v>0</v>
      </c>
      <c r="CR53" s="171">
        <f t="shared" si="102"/>
        <v>0</v>
      </c>
      <c r="CS53" s="171">
        <f t="shared" si="102"/>
        <v>0</v>
      </c>
      <c r="CT53" s="171">
        <f t="shared" si="102"/>
        <v>0</v>
      </c>
      <c r="CU53" s="171">
        <f t="shared" si="102"/>
        <v>0</v>
      </c>
      <c r="CV53" s="171">
        <f t="shared" si="102"/>
        <v>0</v>
      </c>
      <c r="CW53" s="171">
        <f t="shared" si="102"/>
        <v>0</v>
      </c>
      <c r="CX53" s="171">
        <f t="shared" si="102"/>
        <v>0</v>
      </c>
      <c r="CY53" s="171">
        <f t="shared" si="102"/>
        <v>0</v>
      </c>
      <c r="CZ53" s="171">
        <f t="shared" si="102"/>
        <v>0</v>
      </c>
      <c r="DA53" s="171">
        <f t="shared" si="102"/>
        <v>0</v>
      </c>
      <c r="DB53" s="171">
        <f t="shared" si="102"/>
        <v>0</v>
      </c>
      <c r="DC53" s="171">
        <f t="shared" si="102"/>
        <v>0</v>
      </c>
      <c r="DD53" s="171">
        <f t="shared" si="102"/>
        <v>0</v>
      </c>
      <c r="DE53" s="171">
        <f t="shared" si="102"/>
        <v>0</v>
      </c>
      <c r="DF53" s="171">
        <f t="shared" si="102"/>
        <v>0</v>
      </c>
      <c r="DG53" s="171">
        <f t="shared" si="102"/>
        <v>0</v>
      </c>
      <c r="DH53" s="171">
        <f t="shared" si="102"/>
        <v>0</v>
      </c>
      <c r="DI53" s="171">
        <f t="shared" si="102"/>
        <v>0</v>
      </c>
      <c r="DJ53" s="171">
        <f t="shared" si="102"/>
        <v>0</v>
      </c>
      <c r="DK53" s="171">
        <f t="shared" si="102"/>
        <v>0</v>
      </c>
      <c r="DL53" s="171">
        <f t="shared" si="102"/>
        <v>0</v>
      </c>
      <c r="DM53" s="171">
        <f t="shared" si="102"/>
        <v>0</v>
      </c>
      <c r="DN53" s="171">
        <f t="shared" si="102"/>
        <v>0</v>
      </c>
      <c r="DO53" s="171">
        <f t="shared" si="102"/>
        <v>0</v>
      </c>
      <c r="DP53" s="171">
        <f t="shared" si="102"/>
        <v>0</v>
      </c>
      <c r="DQ53" s="171">
        <f t="shared" si="102"/>
        <v>0</v>
      </c>
      <c r="DR53" s="171">
        <f t="shared" si="102"/>
        <v>0</v>
      </c>
      <c r="DS53" s="171">
        <f t="shared" si="102"/>
        <v>0</v>
      </c>
      <c r="DT53" s="171">
        <f t="shared" si="102"/>
        <v>0</v>
      </c>
      <c r="DU53" s="171">
        <f t="shared" ref="DU53:EA53" si="103">SUM(DU51:DU52)*(DU$14=$H53)</f>
        <v>0</v>
      </c>
      <c r="DV53" s="171">
        <f t="shared" si="103"/>
        <v>0</v>
      </c>
      <c r="DW53" s="171">
        <f t="shared" si="103"/>
        <v>0</v>
      </c>
      <c r="DX53" s="171">
        <f t="shared" si="103"/>
        <v>0</v>
      </c>
      <c r="DY53" s="171">
        <f t="shared" si="103"/>
        <v>0</v>
      </c>
      <c r="DZ53" s="171">
        <f t="shared" si="103"/>
        <v>0</v>
      </c>
      <c r="EA53" s="171">
        <f t="shared" si="103"/>
        <v>0</v>
      </c>
      <c r="EB53" s="171">
        <f t="shared" ref="EB53:EQ53" si="104">SUM(EB51:EB52)*(EB$14=$H53)</f>
        <v>0</v>
      </c>
      <c r="EC53" s="171">
        <f t="shared" si="104"/>
        <v>0</v>
      </c>
      <c r="ED53" s="1321">
        <f t="shared" si="104"/>
        <v>0</v>
      </c>
      <c r="EE53" s="171">
        <f t="shared" si="104"/>
        <v>0</v>
      </c>
      <c r="EF53" s="171">
        <f t="shared" si="104"/>
        <v>0</v>
      </c>
      <c r="EG53" s="171">
        <f t="shared" si="104"/>
        <v>0</v>
      </c>
      <c r="EH53" s="171">
        <f t="shared" si="104"/>
        <v>0</v>
      </c>
      <c r="EI53" s="171">
        <f t="shared" si="104"/>
        <v>0</v>
      </c>
      <c r="EJ53" s="171">
        <f t="shared" si="104"/>
        <v>0</v>
      </c>
      <c r="EK53" s="171">
        <f t="shared" si="104"/>
        <v>0</v>
      </c>
      <c r="EL53" s="171">
        <f t="shared" si="104"/>
        <v>0</v>
      </c>
      <c r="EM53" s="171">
        <f t="shared" si="104"/>
        <v>0</v>
      </c>
      <c r="EN53" s="171">
        <f t="shared" si="104"/>
        <v>0</v>
      </c>
      <c r="EO53" s="171">
        <f t="shared" si="104"/>
        <v>0</v>
      </c>
      <c r="EP53" s="171">
        <f t="shared" si="104"/>
        <v>0</v>
      </c>
      <c r="EQ53" s="171">
        <f t="shared" si="104"/>
        <v>0</v>
      </c>
    </row>
    <row r="54" spans="3:147" ht="11.25" customHeight="1">
      <c r="C54" s="163"/>
      <c r="D54" s="169" t="s">
        <v>220</v>
      </c>
      <c r="J54" s="170"/>
      <c r="K54" s="98"/>
      <c r="L54" s="171">
        <f>L51+L52-L53</f>
        <v>12856669.630531998</v>
      </c>
      <c r="M54" s="171">
        <f t="shared" ref="M54:BX54" si="105">M51+M52-M53</f>
        <v>12856669.630531998</v>
      </c>
      <c r="N54" s="171">
        <f t="shared" si="105"/>
        <v>12856669.630531998</v>
      </c>
      <c r="O54" s="171">
        <f t="shared" si="105"/>
        <v>0</v>
      </c>
      <c r="P54" s="171">
        <f t="shared" si="105"/>
        <v>0</v>
      </c>
      <c r="Q54" s="171">
        <f t="shared" si="105"/>
        <v>0</v>
      </c>
      <c r="R54" s="171">
        <f t="shared" si="105"/>
        <v>0</v>
      </c>
      <c r="S54" s="171">
        <f t="shared" si="105"/>
        <v>0</v>
      </c>
      <c r="T54" s="171">
        <f t="shared" si="105"/>
        <v>0</v>
      </c>
      <c r="U54" s="171">
        <f t="shared" si="105"/>
        <v>0</v>
      </c>
      <c r="V54" s="171">
        <f t="shared" si="105"/>
        <v>0</v>
      </c>
      <c r="W54" s="171">
        <f t="shared" si="105"/>
        <v>0</v>
      </c>
      <c r="X54" s="171">
        <f t="shared" si="105"/>
        <v>0</v>
      </c>
      <c r="Y54" s="171">
        <f t="shared" si="105"/>
        <v>0</v>
      </c>
      <c r="Z54" s="171">
        <f t="shared" si="105"/>
        <v>0</v>
      </c>
      <c r="AA54" s="171">
        <f t="shared" si="105"/>
        <v>0</v>
      </c>
      <c r="AB54" s="171">
        <f t="shared" si="105"/>
        <v>0</v>
      </c>
      <c r="AC54" s="171">
        <f t="shared" si="105"/>
        <v>0</v>
      </c>
      <c r="AD54" s="171">
        <f t="shared" si="105"/>
        <v>0</v>
      </c>
      <c r="AE54" s="171">
        <f t="shared" si="105"/>
        <v>0</v>
      </c>
      <c r="AF54" s="171">
        <f t="shared" si="105"/>
        <v>0</v>
      </c>
      <c r="AG54" s="171">
        <f t="shared" si="105"/>
        <v>0</v>
      </c>
      <c r="AH54" s="171">
        <f t="shared" si="105"/>
        <v>0</v>
      </c>
      <c r="AI54" s="171">
        <f t="shared" si="105"/>
        <v>0</v>
      </c>
      <c r="AJ54" s="171">
        <f t="shared" si="105"/>
        <v>0</v>
      </c>
      <c r="AK54" s="171">
        <f t="shared" si="105"/>
        <v>0</v>
      </c>
      <c r="AL54" s="171">
        <f t="shared" si="105"/>
        <v>0</v>
      </c>
      <c r="AM54" s="171">
        <f t="shared" si="105"/>
        <v>0</v>
      </c>
      <c r="AN54" s="171">
        <f t="shared" si="105"/>
        <v>0</v>
      </c>
      <c r="AO54" s="171">
        <f t="shared" si="105"/>
        <v>0</v>
      </c>
      <c r="AP54" s="171">
        <f t="shared" si="105"/>
        <v>0</v>
      </c>
      <c r="AQ54" s="171">
        <f t="shared" si="105"/>
        <v>0</v>
      </c>
      <c r="AR54" s="171">
        <f t="shared" si="105"/>
        <v>0</v>
      </c>
      <c r="AS54" s="171">
        <f t="shared" si="105"/>
        <v>0</v>
      </c>
      <c r="AT54" s="171">
        <f t="shared" si="105"/>
        <v>0</v>
      </c>
      <c r="AU54" s="171">
        <f t="shared" si="105"/>
        <v>0</v>
      </c>
      <c r="AV54" s="171">
        <f t="shared" si="105"/>
        <v>0</v>
      </c>
      <c r="AW54" s="171">
        <f t="shared" si="105"/>
        <v>0</v>
      </c>
      <c r="AX54" s="171">
        <f t="shared" si="105"/>
        <v>0</v>
      </c>
      <c r="AY54" s="171">
        <f t="shared" si="105"/>
        <v>0</v>
      </c>
      <c r="AZ54" s="171">
        <f t="shared" si="105"/>
        <v>0</v>
      </c>
      <c r="BA54" s="171">
        <f t="shared" si="105"/>
        <v>0</v>
      </c>
      <c r="BB54" s="171">
        <f t="shared" si="105"/>
        <v>0</v>
      </c>
      <c r="BC54" s="171">
        <f t="shared" si="105"/>
        <v>0</v>
      </c>
      <c r="BD54" s="171">
        <f t="shared" si="105"/>
        <v>0</v>
      </c>
      <c r="BE54" s="171">
        <f t="shared" si="105"/>
        <v>0</v>
      </c>
      <c r="BF54" s="171">
        <f t="shared" si="105"/>
        <v>0</v>
      </c>
      <c r="BG54" s="171">
        <f t="shared" si="105"/>
        <v>0</v>
      </c>
      <c r="BH54" s="171">
        <f t="shared" si="105"/>
        <v>0</v>
      </c>
      <c r="BI54" s="171">
        <f t="shared" si="105"/>
        <v>0</v>
      </c>
      <c r="BJ54" s="171">
        <f t="shared" si="105"/>
        <v>0</v>
      </c>
      <c r="BK54" s="171">
        <f t="shared" si="105"/>
        <v>0</v>
      </c>
      <c r="BL54" s="171">
        <f t="shared" si="105"/>
        <v>0</v>
      </c>
      <c r="BM54" s="171">
        <f t="shared" si="105"/>
        <v>0</v>
      </c>
      <c r="BN54" s="171">
        <f t="shared" si="105"/>
        <v>0</v>
      </c>
      <c r="BO54" s="171">
        <f t="shared" si="105"/>
        <v>0</v>
      </c>
      <c r="BP54" s="171">
        <f t="shared" si="105"/>
        <v>0</v>
      </c>
      <c r="BQ54" s="171">
        <f t="shared" si="105"/>
        <v>0</v>
      </c>
      <c r="BR54" s="171">
        <f t="shared" si="105"/>
        <v>0</v>
      </c>
      <c r="BS54" s="171">
        <f t="shared" si="105"/>
        <v>0</v>
      </c>
      <c r="BT54" s="171">
        <f t="shared" si="105"/>
        <v>0</v>
      </c>
      <c r="BU54" s="171">
        <f t="shared" si="105"/>
        <v>0</v>
      </c>
      <c r="BV54" s="171">
        <f t="shared" si="105"/>
        <v>0</v>
      </c>
      <c r="BW54" s="171">
        <f t="shared" si="105"/>
        <v>0</v>
      </c>
      <c r="BX54" s="171">
        <f t="shared" si="105"/>
        <v>0</v>
      </c>
      <c r="BY54" s="171">
        <f t="shared" ref="BY54:DT54" si="106">BY51+BY52-BY53</f>
        <v>0</v>
      </c>
      <c r="BZ54" s="171">
        <f t="shared" si="106"/>
        <v>0</v>
      </c>
      <c r="CA54" s="171">
        <f t="shared" si="106"/>
        <v>0</v>
      </c>
      <c r="CB54" s="171">
        <f t="shared" si="106"/>
        <v>0</v>
      </c>
      <c r="CC54" s="171">
        <f t="shared" si="106"/>
        <v>0</v>
      </c>
      <c r="CD54" s="171">
        <f t="shared" si="106"/>
        <v>0</v>
      </c>
      <c r="CE54" s="171">
        <f t="shared" si="106"/>
        <v>0</v>
      </c>
      <c r="CF54" s="171">
        <f t="shared" si="106"/>
        <v>0</v>
      </c>
      <c r="CG54" s="171">
        <f t="shared" si="106"/>
        <v>0</v>
      </c>
      <c r="CH54" s="171">
        <f t="shared" si="106"/>
        <v>0</v>
      </c>
      <c r="CI54" s="171">
        <f t="shared" si="106"/>
        <v>0</v>
      </c>
      <c r="CJ54" s="171">
        <f t="shared" si="106"/>
        <v>0</v>
      </c>
      <c r="CK54" s="171">
        <f t="shared" si="106"/>
        <v>0</v>
      </c>
      <c r="CL54" s="171">
        <f t="shared" si="106"/>
        <v>0</v>
      </c>
      <c r="CM54" s="171">
        <f t="shared" si="106"/>
        <v>0</v>
      </c>
      <c r="CN54" s="171">
        <f t="shared" si="106"/>
        <v>0</v>
      </c>
      <c r="CO54" s="171">
        <f t="shared" si="106"/>
        <v>0</v>
      </c>
      <c r="CP54" s="171">
        <f t="shared" si="106"/>
        <v>0</v>
      </c>
      <c r="CQ54" s="171">
        <f t="shared" si="106"/>
        <v>0</v>
      </c>
      <c r="CR54" s="171">
        <f t="shared" si="106"/>
        <v>0</v>
      </c>
      <c r="CS54" s="171">
        <f t="shared" si="106"/>
        <v>0</v>
      </c>
      <c r="CT54" s="171">
        <f t="shared" si="106"/>
        <v>0</v>
      </c>
      <c r="CU54" s="171">
        <f t="shared" si="106"/>
        <v>0</v>
      </c>
      <c r="CV54" s="171">
        <f t="shared" si="106"/>
        <v>0</v>
      </c>
      <c r="CW54" s="171">
        <f t="shared" si="106"/>
        <v>0</v>
      </c>
      <c r="CX54" s="171">
        <f t="shared" si="106"/>
        <v>0</v>
      </c>
      <c r="CY54" s="171">
        <f t="shared" si="106"/>
        <v>0</v>
      </c>
      <c r="CZ54" s="171">
        <f t="shared" si="106"/>
        <v>0</v>
      </c>
      <c r="DA54" s="171">
        <f t="shared" si="106"/>
        <v>0</v>
      </c>
      <c r="DB54" s="171">
        <f t="shared" si="106"/>
        <v>0</v>
      </c>
      <c r="DC54" s="171">
        <f t="shared" si="106"/>
        <v>0</v>
      </c>
      <c r="DD54" s="171">
        <f t="shared" si="106"/>
        <v>0</v>
      </c>
      <c r="DE54" s="171">
        <f t="shared" si="106"/>
        <v>0</v>
      </c>
      <c r="DF54" s="171">
        <f t="shared" si="106"/>
        <v>0</v>
      </c>
      <c r="DG54" s="171">
        <f t="shared" si="106"/>
        <v>0</v>
      </c>
      <c r="DH54" s="171">
        <f t="shared" si="106"/>
        <v>0</v>
      </c>
      <c r="DI54" s="171">
        <f t="shared" si="106"/>
        <v>0</v>
      </c>
      <c r="DJ54" s="171">
        <f t="shared" si="106"/>
        <v>0</v>
      </c>
      <c r="DK54" s="171">
        <f t="shared" si="106"/>
        <v>0</v>
      </c>
      <c r="DL54" s="171">
        <f t="shared" si="106"/>
        <v>0</v>
      </c>
      <c r="DM54" s="171">
        <f t="shared" si="106"/>
        <v>0</v>
      </c>
      <c r="DN54" s="171">
        <f t="shared" si="106"/>
        <v>0</v>
      </c>
      <c r="DO54" s="171">
        <f t="shared" si="106"/>
        <v>0</v>
      </c>
      <c r="DP54" s="171">
        <f t="shared" si="106"/>
        <v>0</v>
      </c>
      <c r="DQ54" s="171">
        <f t="shared" si="106"/>
        <v>0</v>
      </c>
      <c r="DR54" s="171">
        <f t="shared" si="106"/>
        <v>0</v>
      </c>
      <c r="DS54" s="171">
        <f t="shared" si="106"/>
        <v>0</v>
      </c>
      <c r="DT54" s="171">
        <f t="shared" si="106"/>
        <v>0</v>
      </c>
      <c r="DU54" s="171">
        <f t="shared" ref="DU54:EA54" si="107">DU51+DU52-DU53</f>
        <v>0</v>
      </c>
      <c r="DV54" s="171">
        <f t="shared" si="107"/>
        <v>0</v>
      </c>
      <c r="DW54" s="171">
        <f t="shared" si="107"/>
        <v>0</v>
      </c>
      <c r="DX54" s="171">
        <f t="shared" si="107"/>
        <v>0</v>
      </c>
      <c r="DY54" s="171">
        <f t="shared" si="107"/>
        <v>0</v>
      </c>
      <c r="DZ54" s="171">
        <f t="shared" si="107"/>
        <v>0</v>
      </c>
      <c r="EA54" s="171">
        <f t="shared" si="107"/>
        <v>0</v>
      </c>
      <c r="EB54" s="171">
        <f t="shared" ref="EB54:EQ54" si="108">EB51+EB52-EB53</f>
        <v>0</v>
      </c>
      <c r="EC54" s="171">
        <f t="shared" si="108"/>
        <v>0</v>
      </c>
      <c r="ED54" s="1321">
        <f t="shared" si="108"/>
        <v>0</v>
      </c>
      <c r="EE54" s="171">
        <f t="shared" si="108"/>
        <v>0</v>
      </c>
      <c r="EF54" s="171">
        <f t="shared" si="108"/>
        <v>0</v>
      </c>
      <c r="EG54" s="171">
        <f t="shared" si="108"/>
        <v>0</v>
      </c>
      <c r="EH54" s="171">
        <f t="shared" si="108"/>
        <v>0</v>
      </c>
      <c r="EI54" s="171">
        <f t="shared" si="108"/>
        <v>0</v>
      </c>
      <c r="EJ54" s="171">
        <f t="shared" si="108"/>
        <v>0</v>
      </c>
      <c r="EK54" s="171">
        <f t="shared" si="108"/>
        <v>0</v>
      </c>
      <c r="EL54" s="171">
        <f t="shared" si="108"/>
        <v>0</v>
      </c>
      <c r="EM54" s="171">
        <f t="shared" si="108"/>
        <v>0</v>
      </c>
      <c r="EN54" s="171">
        <f t="shared" si="108"/>
        <v>0</v>
      </c>
      <c r="EO54" s="171">
        <f t="shared" si="108"/>
        <v>0</v>
      </c>
      <c r="EP54" s="171">
        <f t="shared" si="108"/>
        <v>0</v>
      </c>
      <c r="EQ54" s="171">
        <f t="shared" si="108"/>
        <v>0</v>
      </c>
    </row>
    <row r="55" spans="3:147" ht="11.25" customHeight="1">
      <c r="C55" s="1051" t="s">
        <v>605</v>
      </c>
      <c r="D55" s="1053"/>
      <c r="E55" s="1053"/>
      <c r="F55" s="1053"/>
      <c r="G55" s="1053"/>
      <c r="H55" s="1054"/>
      <c r="I55" s="1055"/>
      <c r="J55" s="1056"/>
      <c r="K55" s="98"/>
      <c r="L55" s="1057"/>
      <c r="M55" s="1057"/>
      <c r="N55" s="1057"/>
      <c r="O55" s="1057"/>
      <c r="P55" s="1057"/>
      <c r="Q55" s="1057"/>
      <c r="R55" s="1057"/>
      <c r="S55" s="1057"/>
      <c r="T55" s="1057"/>
      <c r="U55" s="1057"/>
      <c r="V55" s="1057"/>
      <c r="W55" s="1057"/>
      <c r="X55" s="1057"/>
      <c r="Y55" s="1057"/>
      <c r="Z55" s="1057"/>
      <c r="AA55" s="1057"/>
      <c r="AB55" s="1057"/>
      <c r="AC55" s="1057"/>
      <c r="AD55" s="1057"/>
      <c r="AE55" s="1057"/>
      <c r="AF55" s="1057"/>
      <c r="AG55" s="1057"/>
      <c r="AH55" s="1057"/>
      <c r="AI55" s="1057"/>
      <c r="AJ55" s="1057"/>
      <c r="AK55" s="1057"/>
      <c r="AL55" s="1057"/>
      <c r="AM55" s="1057"/>
      <c r="AN55" s="1057"/>
      <c r="AO55" s="1057"/>
      <c r="AP55" s="1057"/>
      <c r="AQ55" s="1057"/>
      <c r="AR55" s="1057"/>
      <c r="AS55" s="1057"/>
      <c r="AT55" s="1057"/>
      <c r="AU55" s="1057"/>
      <c r="AV55" s="1057"/>
      <c r="AW55" s="1057"/>
      <c r="AX55" s="1057"/>
      <c r="AY55" s="1057"/>
      <c r="AZ55" s="1057"/>
      <c r="BA55" s="1057"/>
      <c r="BB55" s="1057"/>
      <c r="BC55" s="1057"/>
      <c r="BD55" s="1057"/>
      <c r="BE55" s="1057"/>
      <c r="BF55" s="1057"/>
      <c r="BG55" s="1057"/>
      <c r="BH55" s="1057"/>
      <c r="BI55" s="1057"/>
      <c r="BJ55" s="1057"/>
      <c r="BK55" s="1057"/>
      <c r="BL55" s="1057"/>
      <c r="BM55" s="1057"/>
      <c r="BN55" s="1057"/>
      <c r="BO55" s="1057"/>
      <c r="BP55" s="1057"/>
      <c r="BQ55" s="1057"/>
      <c r="BR55" s="1057"/>
      <c r="BS55" s="1057"/>
      <c r="BT55" s="1057"/>
      <c r="BU55" s="1057"/>
      <c r="BV55" s="1057"/>
      <c r="BW55" s="1057"/>
      <c r="BX55" s="1057"/>
      <c r="BY55" s="1057"/>
      <c r="BZ55" s="1057"/>
      <c r="CA55" s="1057"/>
      <c r="CB55" s="1057"/>
      <c r="CC55" s="1057"/>
      <c r="CD55" s="1057"/>
      <c r="CE55" s="1057"/>
      <c r="CF55" s="1057"/>
      <c r="CG55" s="1057"/>
      <c r="CH55" s="1057"/>
      <c r="CI55" s="1057"/>
      <c r="CJ55" s="1057"/>
      <c r="CK55" s="1057"/>
      <c r="CL55" s="1057"/>
      <c r="CM55" s="1057"/>
      <c r="CN55" s="1057"/>
      <c r="CO55" s="1057"/>
      <c r="CP55" s="1057"/>
      <c r="CQ55" s="1057"/>
      <c r="CR55" s="1057"/>
      <c r="CS55" s="1057"/>
      <c r="CT55" s="1057"/>
      <c r="CU55" s="1057"/>
      <c r="CV55" s="1057"/>
      <c r="CW55" s="1057"/>
      <c r="CX55" s="1057"/>
      <c r="CY55" s="1057"/>
      <c r="CZ55" s="1057"/>
      <c r="DA55" s="1057"/>
      <c r="DB55" s="1057"/>
      <c r="DC55" s="1057"/>
      <c r="DD55" s="1057"/>
      <c r="DE55" s="1057"/>
      <c r="DF55" s="1057"/>
      <c r="DG55" s="1057"/>
      <c r="DH55" s="1057"/>
      <c r="DI55" s="1057"/>
      <c r="DJ55" s="1057"/>
      <c r="DK55" s="1057"/>
      <c r="DL55" s="1057"/>
      <c r="DM55" s="1057"/>
      <c r="DN55" s="1057"/>
      <c r="DO55" s="1057"/>
      <c r="DP55" s="1057"/>
      <c r="DQ55" s="1057"/>
      <c r="DR55" s="1057"/>
      <c r="DS55" s="1057"/>
      <c r="DT55" s="1057"/>
      <c r="DU55" s="1057"/>
      <c r="DV55" s="1057"/>
      <c r="DW55" s="1057"/>
      <c r="DX55" s="1057"/>
      <c r="DY55" s="1057"/>
      <c r="DZ55" s="1057"/>
      <c r="EA55" s="1057"/>
      <c r="EB55" s="1057"/>
      <c r="EC55" s="1057"/>
      <c r="ED55" s="1319"/>
      <c r="EE55" s="1057"/>
      <c r="EF55" s="1057"/>
      <c r="EG55" s="1057"/>
      <c r="EH55" s="1057"/>
      <c r="EI55" s="1057"/>
      <c r="EJ55" s="1057"/>
      <c r="EK55" s="1057"/>
      <c r="EL55" s="1057"/>
      <c r="EM55" s="1057"/>
      <c r="EN55" s="1057"/>
      <c r="EO55" s="1057"/>
      <c r="EP55" s="1057"/>
      <c r="EQ55" s="1057"/>
    </row>
    <row r="56" spans="3:147" ht="11.25" customHeight="1">
      <c r="C56" s="1052"/>
      <c r="D56" s="164" t="s">
        <v>230</v>
      </c>
      <c r="E56" s="165"/>
      <c r="F56" s="165"/>
      <c r="G56" s="165"/>
      <c r="H56" s="166"/>
      <c r="I56" s="221"/>
      <c r="J56" s="167"/>
      <c r="K56" s="98"/>
      <c r="L56" s="168">
        <f>K59</f>
        <v>0</v>
      </c>
      <c r="M56" s="168">
        <f t="shared" ref="M56:BX56" si="109">L59</f>
        <v>0</v>
      </c>
      <c r="N56" s="168">
        <f t="shared" si="109"/>
        <v>0</v>
      </c>
      <c r="O56" s="168">
        <f t="shared" si="109"/>
        <v>0</v>
      </c>
      <c r="P56" s="168">
        <f t="shared" si="109"/>
        <v>0</v>
      </c>
      <c r="Q56" s="168">
        <f t="shared" si="109"/>
        <v>0</v>
      </c>
      <c r="R56" s="168">
        <f t="shared" si="109"/>
        <v>0</v>
      </c>
      <c r="S56" s="168">
        <f t="shared" si="109"/>
        <v>0</v>
      </c>
      <c r="T56" s="168">
        <f t="shared" si="109"/>
        <v>0</v>
      </c>
      <c r="U56" s="168">
        <f t="shared" si="109"/>
        <v>0</v>
      </c>
      <c r="V56" s="168">
        <f t="shared" si="109"/>
        <v>0</v>
      </c>
      <c r="W56" s="168">
        <f t="shared" si="109"/>
        <v>0</v>
      </c>
      <c r="X56" s="168">
        <f t="shared" si="109"/>
        <v>0</v>
      </c>
      <c r="Y56" s="168">
        <f t="shared" si="109"/>
        <v>0</v>
      </c>
      <c r="Z56" s="168">
        <f t="shared" si="109"/>
        <v>0</v>
      </c>
      <c r="AA56" s="168">
        <f t="shared" si="109"/>
        <v>0</v>
      </c>
      <c r="AB56" s="168">
        <f t="shared" si="109"/>
        <v>0</v>
      </c>
      <c r="AC56" s="168">
        <f t="shared" si="109"/>
        <v>0</v>
      </c>
      <c r="AD56" s="168">
        <f t="shared" si="109"/>
        <v>0</v>
      </c>
      <c r="AE56" s="168">
        <f t="shared" si="109"/>
        <v>0</v>
      </c>
      <c r="AF56" s="168">
        <f t="shared" si="109"/>
        <v>0</v>
      </c>
      <c r="AG56" s="168">
        <f t="shared" si="109"/>
        <v>0</v>
      </c>
      <c r="AH56" s="168">
        <f t="shared" si="109"/>
        <v>0</v>
      </c>
      <c r="AI56" s="168">
        <f t="shared" si="109"/>
        <v>0</v>
      </c>
      <c r="AJ56" s="168">
        <f t="shared" si="109"/>
        <v>0</v>
      </c>
      <c r="AK56" s="168">
        <f t="shared" si="109"/>
        <v>0</v>
      </c>
      <c r="AL56" s="168">
        <f t="shared" si="109"/>
        <v>0</v>
      </c>
      <c r="AM56" s="168">
        <f t="shared" si="109"/>
        <v>0</v>
      </c>
      <c r="AN56" s="168">
        <f t="shared" si="109"/>
        <v>0</v>
      </c>
      <c r="AO56" s="168">
        <f t="shared" si="109"/>
        <v>0</v>
      </c>
      <c r="AP56" s="168">
        <f t="shared" si="109"/>
        <v>0</v>
      </c>
      <c r="AQ56" s="168">
        <f t="shared" si="109"/>
        <v>0</v>
      </c>
      <c r="AR56" s="168">
        <f t="shared" si="109"/>
        <v>0</v>
      </c>
      <c r="AS56" s="168">
        <f t="shared" si="109"/>
        <v>0</v>
      </c>
      <c r="AT56" s="168">
        <f t="shared" si="109"/>
        <v>0</v>
      </c>
      <c r="AU56" s="168">
        <f t="shared" si="109"/>
        <v>0</v>
      </c>
      <c r="AV56" s="168">
        <f t="shared" si="109"/>
        <v>0</v>
      </c>
      <c r="AW56" s="168">
        <f t="shared" si="109"/>
        <v>0</v>
      </c>
      <c r="AX56" s="168">
        <f t="shared" si="109"/>
        <v>0</v>
      </c>
      <c r="AY56" s="168">
        <f t="shared" si="109"/>
        <v>0</v>
      </c>
      <c r="AZ56" s="168">
        <f t="shared" si="109"/>
        <v>0</v>
      </c>
      <c r="BA56" s="168">
        <f t="shared" si="109"/>
        <v>0</v>
      </c>
      <c r="BB56" s="168">
        <f t="shared" si="109"/>
        <v>0</v>
      </c>
      <c r="BC56" s="168">
        <f t="shared" si="109"/>
        <v>0</v>
      </c>
      <c r="BD56" s="168">
        <f t="shared" si="109"/>
        <v>0</v>
      </c>
      <c r="BE56" s="168">
        <f t="shared" si="109"/>
        <v>0</v>
      </c>
      <c r="BF56" s="168">
        <f t="shared" si="109"/>
        <v>0</v>
      </c>
      <c r="BG56" s="168">
        <f t="shared" si="109"/>
        <v>0</v>
      </c>
      <c r="BH56" s="168">
        <f t="shared" si="109"/>
        <v>0</v>
      </c>
      <c r="BI56" s="168">
        <f t="shared" si="109"/>
        <v>0</v>
      </c>
      <c r="BJ56" s="168">
        <f t="shared" si="109"/>
        <v>0</v>
      </c>
      <c r="BK56" s="168">
        <f t="shared" si="109"/>
        <v>0</v>
      </c>
      <c r="BL56" s="168">
        <f t="shared" si="109"/>
        <v>0</v>
      </c>
      <c r="BM56" s="168">
        <f t="shared" si="109"/>
        <v>0</v>
      </c>
      <c r="BN56" s="168">
        <f t="shared" si="109"/>
        <v>0</v>
      </c>
      <c r="BO56" s="168">
        <f t="shared" si="109"/>
        <v>0</v>
      </c>
      <c r="BP56" s="168">
        <f t="shared" si="109"/>
        <v>0</v>
      </c>
      <c r="BQ56" s="168">
        <f t="shared" si="109"/>
        <v>0</v>
      </c>
      <c r="BR56" s="168">
        <f t="shared" si="109"/>
        <v>0</v>
      </c>
      <c r="BS56" s="168">
        <f t="shared" si="109"/>
        <v>0</v>
      </c>
      <c r="BT56" s="168">
        <f t="shared" si="109"/>
        <v>0</v>
      </c>
      <c r="BU56" s="168">
        <f t="shared" si="109"/>
        <v>0</v>
      </c>
      <c r="BV56" s="168">
        <f t="shared" si="109"/>
        <v>0</v>
      </c>
      <c r="BW56" s="168">
        <f t="shared" si="109"/>
        <v>0</v>
      </c>
      <c r="BX56" s="168">
        <f t="shared" si="109"/>
        <v>0</v>
      </c>
      <c r="BY56" s="168">
        <f t="shared" ref="BY56:DT56" si="110">BX59</f>
        <v>0</v>
      </c>
      <c r="BZ56" s="168">
        <f t="shared" si="110"/>
        <v>0</v>
      </c>
      <c r="CA56" s="168">
        <f t="shared" si="110"/>
        <v>0</v>
      </c>
      <c r="CB56" s="168">
        <f t="shared" si="110"/>
        <v>0</v>
      </c>
      <c r="CC56" s="168">
        <f t="shared" si="110"/>
        <v>0</v>
      </c>
      <c r="CD56" s="168">
        <f t="shared" si="110"/>
        <v>0</v>
      </c>
      <c r="CE56" s="168">
        <f t="shared" si="110"/>
        <v>0</v>
      </c>
      <c r="CF56" s="168">
        <f t="shared" si="110"/>
        <v>0</v>
      </c>
      <c r="CG56" s="168">
        <f t="shared" si="110"/>
        <v>0</v>
      </c>
      <c r="CH56" s="168">
        <f t="shared" si="110"/>
        <v>0</v>
      </c>
      <c r="CI56" s="168">
        <f t="shared" si="110"/>
        <v>0</v>
      </c>
      <c r="CJ56" s="168">
        <f t="shared" si="110"/>
        <v>0</v>
      </c>
      <c r="CK56" s="168">
        <f t="shared" si="110"/>
        <v>0</v>
      </c>
      <c r="CL56" s="168">
        <f t="shared" si="110"/>
        <v>0</v>
      </c>
      <c r="CM56" s="168">
        <f t="shared" si="110"/>
        <v>0</v>
      </c>
      <c r="CN56" s="168">
        <f t="shared" si="110"/>
        <v>0</v>
      </c>
      <c r="CO56" s="168">
        <f t="shared" si="110"/>
        <v>0</v>
      </c>
      <c r="CP56" s="168">
        <f t="shared" si="110"/>
        <v>0</v>
      </c>
      <c r="CQ56" s="168">
        <f t="shared" si="110"/>
        <v>0</v>
      </c>
      <c r="CR56" s="168">
        <f t="shared" si="110"/>
        <v>0</v>
      </c>
      <c r="CS56" s="168">
        <f t="shared" si="110"/>
        <v>0</v>
      </c>
      <c r="CT56" s="168">
        <f t="shared" si="110"/>
        <v>0</v>
      </c>
      <c r="CU56" s="168">
        <f t="shared" si="110"/>
        <v>0</v>
      </c>
      <c r="CV56" s="168">
        <f t="shared" si="110"/>
        <v>0</v>
      </c>
      <c r="CW56" s="168">
        <f t="shared" si="110"/>
        <v>0</v>
      </c>
      <c r="CX56" s="168">
        <f t="shared" si="110"/>
        <v>0</v>
      </c>
      <c r="CY56" s="168">
        <f t="shared" si="110"/>
        <v>0</v>
      </c>
      <c r="CZ56" s="168">
        <f t="shared" si="110"/>
        <v>0</v>
      </c>
      <c r="DA56" s="168">
        <f t="shared" si="110"/>
        <v>0</v>
      </c>
      <c r="DB56" s="168">
        <f t="shared" si="110"/>
        <v>0</v>
      </c>
      <c r="DC56" s="168">
        <f t="shared" si="110"/>
        <v>0</v>
      </c>
      <c r="DD56" s="168">
        <f t="shared" si="110"/>
        <v>0</v>
      </c>
      <c r="DE56" s="168">
        <f t="shared" si="110"/>
        <v>0</v>
      </c>
      <c r="DF56" s="168">
        <f t="shared" si="110"/>
        <v>0</v>
      </c>
      <c r="DG56" s="168">
        <f t="shared" si="110"/>
        <v>0</v>
      </c>
      <c r="DH56" s="168">
        <f t="shared" si="110"/>
        <v>0</v>
      </c>
      <c r="DI56" s="168">
        <f t="shared" si="110"/>
        <v>0</v>
      </c>
      <c r="DJ56" s="168">
        <f t="shared" si="110"/>
        <v>0</v>
      </c>
      <c r="DK56" s="168">
        <f t="shared" si="110"/>
        <v>0</v>
      </c>
      <c r="DL56" s="168">
        <f t="shared" si="110"/>
        <v>0</v>
      </c>
      <c r="DM56" s="168">
        <f t="shared" si="110"/>
        <v>0</v>
      </c>
      <c r="DN56" s="168">
        <f t="shared" si="110"/>
        <v>0</v>
      </c>
      <c r="DO56" s="168">
        <f t="shared" si="110"/>
        <v>0</v>
      </c>
      <c r="DP56" s="168">
        <f t="shared" si="110"/>
        <v>0</v>
      </c>
      <c r="DQ56" s="168">
        <f t="shared" si="110"/>
        <v>0</v>
      </c>
      <c r="DR56" s="168">
        <f t="shared" si="110"/>
        <v>0</v>
      </c>
      <c r="DS56" s="168">
        <f t="shared" si="110"/>
        <v>0</v>
      </c>
      <c r="DT56" s="168">
        <f t="shared" si="110"/>
        <v>0</v>
      </c>
      <c r="DU56" s="168">
        <f t="shared" ref="DU56:EQ56" si="111">DT59</f>
        <v>0</v>
      </c>
      <c r="DV56" s="168">
        <f t="shared" si="111"/>
        <v>0</v>
      </c>
      <c r="DW56" s="168">
        <f t="shared" si="111"/>
        <v>0</v>
      </c>
      <c r="DX56" s="168">
        <f t="shared" si="111"/>
        <v>0</v>
      </c>
      <c r="DY56" s="168">
        <f t="shared" si="111"/>
        <v>0</v>
      </c>
      <c r="DZ56" s="168">
        <f t="shared" si="111"/>
        <v>0</v>
      </c>
      <c r="EA56" s="168">
        <f t="shared" si="111"/>
        <v>0</v>
      </c>
      <c r="EB56" s="168">
        <f t="shared" si="111"/>
        <v>0</v>
      </c>
      <c r="EC56" s="168">
        <f t="shared" si="111"/>
        <v>0</v>
      </c>
      <c r="ED56" s="1320">
        <f t="shared" si="111"/>
        <v>0</v>
      </c>
      <c r="EE56" s="168">
        <f t="shared" si="111"/>
        <v>0</v>
      </c>
      <c r="EF56" s="168">
        <f t="shared" si="111"/>
        <v>0</v>
      </c>
      <c r="EG56" s="168">
        <f t="shared" si="111"/>
        <v>0</v>
      </c>
      <c r="EH56" s="168">
        <f t="shared" si="111"/>
        <v>0</v>
      </c>
      <c r="EI56" s="168">
        <f t="shared" si="111"/>
        <v>0</v>
      </c>
      <c r="EJ56" s="168">
        <f t="shared" si="111"/>
        <v>0</v>
      </c>
      <c r="EK56" s="168">
        <f t="shared" si="111"/>
        <v>0</v>
      </c>
      <c r="EL56" s="168">
        <f t="shared" si="111"/>
        <v>0</v>
      </c>
      <c r="EM56" s="168">
        <f t="shared" si="111"/>
        <v>0</v>
      </c>
      <c r="EN56" s="168">
        <f t="shared" si="111"/>
        <v>0</v>
      </c>
      <c r="EO56" s="168">
        <f t="shared" si="111"/>
        <v>0</v>
      </c>
      <c r="EP56" s="168">
        <f t="shared" si="111"/>
        <v>0</v>
      </c>
      <c r="EQ56" s="168">
        <f t="shared" si="111"/>
        <v>0</v>
      </c>
    </row>
    <row r="57" spans="3:147" ht="11.25" customHeight="1">
      <c r="C57" s="1052"/>
      <c r="D57" s="169" t="s">
        <v>231</v>
      </c>
      <c r="H57" s="146">
        <f>'A&amp;R'!M39</f>
        <v>46326</v>
      </c>
      <c r="I57" s="13">
        <f>'A&amp;R'!P39</f>
        <v>0</v>
      </c>
      <c r="J57" s="170">
        <f>SUM(L57:EQ57)</f>
        <v>0</v>
      </c>
      <c r="K57" s="98"/>
      <c r="L57" s="171">
        <f>(L$14=$H57)*$I57</f>
        <v>0</v>
      </c>
      <c r="M57" s="171">
        <f t="shared" ref="M57:BX57" si="112">(M$14=$H57)*$I57</f>
        <v>0</v>
      </c>
      <c r="N57" s="171">
        <f t="shared" si="112"/>
        <v>0</v>
      </c>
      <c r="O57" s="171">
        <f t="shared" si="112"/>
        <v>0</v>
      </c>
      <c r="P57" s="171">
        <f t="shared" si="112"/>
        <v>0</v>
      </c>
      <c r="Q57" s="171">
        <f t="shared" si="112"/>
        <v>0</v>
      </c>
      <c r="R57" s="171">
        <f t="shared" si="112"/>
        <v>0</v>
      </c>
      <c r="S57" s="171">
        <f t="shared" si="112"/>
        <v>0</v>
      </c>
      <c r="T57" s="171">
        <f t="shared" si="112"/>
        <v>0</v>
      </c>
      <c r="U57" s="171">
        <f t="shared" si="112"/>
        <v>0</v>
      </c>
      <c r="V57" s="171">
        <f t="shared" si="112"/>
        <v>0</v>
      </c>
      <c r="W57" s="171">
        <f t="shared" si="112"/>
        <v>0</v>
      </c>
      <c r="X57" s="171">
        <f t="shared" si="112"/>
        <v>0</v>
      </c>
      <c r="Y57" s="171">
        <f t="shared" si="112"/>
        <v>0</v>
      </c>
      <c r="Z57" s="171">
        <f t="shared" si="112"/>
        <v>0</v>
      </c>
      <c r="AA57" s="171">
        <f t="shared" si="112"/>
        <v>0</v>
      </c>
      <c r="AB57" s="171">
        <f t="shared" si="112"/>
        <v>0</v>
      </c>
      <c r="AC57" s="171">
        <f t="shared" si="112"/>
        <v>0</v>
      </c>
      <c r="AD57" s="171">
        <f t="shared" si="112"/>
        <v>0</v>
      </c>
      <c r="AE57" s="171">
        <f t="shared" si="112"/>
        <v>0</v>
      </c>
      <c r="AF57" s="171">
        <f t="shared" si="112"/>
        <v>0</v>
      </c>
      <c r="AG57" s="171">
        <f t="shared" si="112"/>
        <v>0</v>
      </c>
      <c r="AH57" s="171">
        <f t="shared" si="112"/>
        <v>0</v>
      </c>
      <c r="AI57" s="171">
        <f t="shared" si="112"/>
        <v>0</v>
      </c>
      <c r="AJ57" s="171">
        <f t="shared" si="112"/>
        <v>0</v>
      </c>
      <c r="AK57" s="171">
        <f t="shared" si="112"/>
        <v>0</v>
      </c>
      <c r="AL57" s="171">
        <f t="shared" si="112"/>
        <v>0</v>
      </c>
      <c r="AM57" s="171">
        <f t="shared" si="112"/>
        <v>0</v>
      </c>
      <c r="AN57" s="171">
        <f t="shared" si="112"/>
        <v>0</v>
      </c>
      <c r="AO57" s="171">
        <f t="shared" si="112"/>
        <v>0</v>
      </c>
      <c r="AP57" s="171">
        <f t="shared" si="112"/>
        <v>0</v>
      </c>
      <c r="AQ57" s="171">
        <f t="shared" si="112"/>
        <v>0</v>
      </c>
      <c r="AR57" s="171">
        <f t="shared" si="112"/>
        <v>0</v>
      </c>
      <c r="AS57" s="171">
        <f t="shared" si="112"/>
        <v>0</v>
      </c>
      <c r="AT57" s="171">
        <f t="shared" si="112"/>
        <v>0</v>
      </c>
      <c r="AU57" s="171">
        <f t="shared" si="112"/>
        <v>0</v>
      </c>
      <c r="AV57" s="171">
        <f t="shared" si="112"/>
        <v>0</v>
      </c>
      <c r="AW57" s="171">
        <f t="shared" si="112"/>
        <v>0</v>
      </c>
      <c r="AX57" s="171">
        <f t="shared" si="112"/>
        <v>0</v>
      </c>
      <c r="AY57" s="171">
        <f t="shared" si="112"/>
        <v>0</v>
      </c>
      <c r="AZ57" s="171">
        <f t="shared" si="112"/>
        <v>0</v>
      </c>
      <c r="BA57" s="171">
        <f t="shared" si="112"/>
        <v>0</v>
      </c>
      <c r="BB57" s="171">
        <f t="shared" si="112"/>
        <v>0</v>
      </c>
      <c r="BC57" s="171">
        <f t="shared" si="112"/>
        <v>0</v>
      </c>
      <c r="BD57" s="171">
        <f t="shared" si="112"/>
        <v>0</v>
      </c>
      <c r="BE57" s="171">
        <f t="shared" si="112"/>
        <v>0</v>
      </c>
      <c r="BF57" s="171">
        <f t="shared" si="112"/>
        <v>0</v>
      </c>
      <c r="BG57" s="171">
        <f t="shared" si="112"/>
        <v>0</v>
      </c>
      <c r="BH57" s="171">
        <f t="shared" si="112"/>
        <v>0</v>
      </c>
      <c r="BI57" s="171">
        <f t="shared" si="112"/>
        <v>0</v>
      </c>
      <c r="BJ57" s="171">
        <f t="shared" si="112"/>
        <v>0</v>
      </c>
      <c r="BK57" s="171">
        <f t="shared" si="112"/>
        <v>0</v>
      </c>
      <c r="BL57" s="171">
        <f t="shared" si="112"/>
        <v>0</v>
      </c>
      <c r="BM57" s="171">
        <f t="shared" si="112"/>
        <v>0</v>
      </c>
      <c r="BN57" s="171">
        <f t="shared" si="112"/>
        <v>0</v>
      </c>
      <c r="BO57" s="171">
        <f t="shared" si="112"/>
        <v>0</v>
      </c>
      <c r="BP57" s="171">
        <f t="shared" si="112"/>
        <v>0</v>
      </c>
      <c r="BQ57" s="171">
        <f t="shared" si="112"/>
        <v>0</v>
      </c>
      <c r="BR57" s="171">
        <f t="shared" si="112"/>
        <v>0</v>
      </c>
      <c r="BS57" s="171">
        <f t="shared" si="112"/>
        <v>0</v>
      </c>
      <c r="BT57" s="171">
        <f t="shared" si="112"/>
        <v>0</v>
      </c>
      <c r="BU57" s="171">
        <f t="shared" si="112"/>
        <v>0</v>
      </c>
      <c r="BV57" s="171">
        <f t="shared" si="112"/>
        <v>0</v>
      </c>
      <c r="BW57" s="171">
        <f t="shared" si="112"/>
        <v>0</v>
      </c>
      <c r="BX57" s="171">
        <f t="shared" si="112"/>
        <v>0</v>
      </c>
      <c r="BY57" s="171">
        <f t="shared" ref="BY57:EQ57" si="113">(BY$14=$H57)*$I57</f>
        <v>0</v>
      </c>
      <c r="BZ57" s="171">
        <f t="shared" si="113"/>
        <v>0</v>
      </c>
      <c r="CA57" s="171">
        <f t="shared" si="113"/>
        <v>0</v>
      </c>
      <c r="CB57" s="171">
        <f t="shared" si="113"/>
        <v>0</v>
      </c>
      <c r="CC57" s="171">
        <f t="shared" si="113"/>
        <v>0</v>
      </c>
      <c r="CD57" s="171">
        <f t="shared" si="113"/>
        <v>0</v>
      </c>
      <c r="CE57" s="171">
        <f t="shared" si="113"/>
        <v>0</v>
      </c>
      <c r="CF57" s="171">
        <f t="shared" si="113"/>
        <v>0</v>
      </c>
      <c r="CG57" s="171">
        <f t="shared" si="113"/>
        <v>0</v>
      </c>
      <c r="CH57" s="171">
        <f t="shared" si="113"/>
        <v>0</v>
      </c>
      <c r="CI57" s="171">
        <f t="shared" si="113"/>
        <v>0</v>
      </c>
      <c r="CJ57" s="171">
        <f t="shared" si="113"/>
        <v>0</v>
      </c>
      <c r="CK57" s="171">
        <f t="shared" si="113"/>
        <v>0</v>
      </c>
      <c r="CL57" s="171">
        <f t="shared" si="113"/>
        <v>0</v>
      </c>
      <c r="CM57" s="171">
        <f t="shared" si="113"/>
        <v>0</v>
      </c>
      <c r="CN57" s="171">
        <f t="shared" si="113"/>
        <v>0</v>
      </c>
      <c r="CO57" s="171">
        <f t="shared" si="113"/>
        <v>0</v>
      </c>
      <c r="CP57" s="171">
        <f t="shared" si="113"/>
        <v>0</v>
      </c>
      <c r="CQ57" s="171">
        <f t="shared" si="113"/>
        <v>0</v>
      </c>
      <c r="CR57" s="171">
        <f t="shared" si="113"/>
        <v>0</v>
      </c>
      <c r="CS57" s="171">
        <f t="shared" si="113"/>
        <v>0</v>
      </c>
      <c r="CT57" s="171">
        <f t="shared" si="113"/>
        <v>0</v>
      </c>
      <c r="CU57" s="171">
        <f t="shared" si="113"/>
        <v>0</v>
      </c>
      <c r="CV57" s="171">
        <f t="shared" si="113"/>
        <v>0</v>
      </c>
      <c r="CW57" s="171">
        <f t="shared" si="113"/>
        <v>0</v>
      </c>
      <c r="CX57" s="171">
        <f t="shared" si="113"/>
        <v>0</v>
      </c>
      <c r="CY57" s="171">
        <f t="shared" si="113"/>
        <v>0</v>
      </c>
      <c r="CZ57" s="171">
        <f t="shared" si="113"/>
        <v>0</v>
      </c>
      <c r="DA57" s="171">
        <f t="shared" si="113"/>
        <v>0</v>
      </c>
      <c r="DB57" s="171">
        <f t="shared" si="113"/>
        <v>0</v>
      </c>
      <c r="DC57" s="171">
        <f t="shared" si="113"/>
        <v>0</v>
      </c>
      <c r="DD57" s="171">
        <f t="shared" si="113"/>
        <v>0</v>
      </c>
      <c r="DE57" s="171">
        <f t="shared" si="113"/>
        <v>0</v>
      </c>
      <c r="DF57" s="171">
        <f t="shared" si="113"/>
        <v>0</v>
      </c>
      <c r="DG57" s="171">
        <f t="shared" si="113"/>
        <v>0</v>
      </c>
      <c r="DH57" s="171">
        <f t="shared" si="113"/>
        <v>0</v>
      </c>
      <c r="DI57" s="171">
        <f t="shared" si="113"/>
        <v>0</v>
      </c>
      <c r="DJ57" s="171">
        <f t="shared" si="113"/>
        <v>0</v>
      </c>
      <c r="DK57" s="171">
        <f t="shared" si="113"/>
        <v>0</v>
      </c>
      <c r="DL57" s="171">
        <f t="shared" si="113"/>
        <v>0</v>
      </c>
      <c r="DM57" s="171">
        <f t="shared" si="113"/>
        <v>0</v>
      </c>
      <c r="DN57" s="171">
        <f t="shared" si="113"/>
        <v>0</v>
      </c>
      <c r="DO57" s="171">
        <f t="shared" si="113"/>
        <v>0</v>
      </c>
      <c r="DP57" s="171">
        <f t="shared" si="113"/>
        <v>0</v>
      </c>
      <c r="DQ57" s="171">
        <f t="shared" si="113"/>
        <v>0</v>
      </c>
      <c r="DR57" s="171">
        <f t="shared" si="113"/>
        <v>0</v>
      </c>
      <c r="DS57" s="171">
        <f t="shared" si="113"/>
        <v>0</v>
      </c>
      <c r="DT57" s="171">
        <f t="shared" si="113"/>
        <v>0</v>
      </c>
      <c r="DU57" s="171">
        <f t="shared" si="113"/>
        <v>0</v>
      </c>
      <c r="DV57" s="171">
        <f t="shared" si="113"/>
        <v>0</v>
      </c>
      <c r="DW57" s="171">
        <f t="shared" si="113"/>
        <v>0</v>
      </c>
      <c r="DX57" s="171">
        <f t="shared" si="113"/>
        <v>0</v>
      </c>
      <c r="DY57" s="171">
        <f t="shared" si="113"/>
        <v>0</v>
      </c>
      <c r="DZ57" s="171">
        <f t="shared" si="113"/>
        <v>0</v>
      </c>
      <c r="EA57" s="171">
        <f t="shared" si="113"/>
        <v>0</v>
      </c>
      <c r="EB57" s="171">
        <f t="shared" si="113"/>
        <v>0</v>
      </c>
      <c r="EC57" s="171">
        <f t="shared" si="113"/>
        <v>0</v>
      </c>
      <c r="ED57" s="1321">
        <f t="shared" si="113"/>
        <v>0</v>
      </c>
      <c r="EE57" s="171">
        <f t="shared" si="113"/>
        <v>0</v>
      </c>
      <c r="EF57" s="171">
        <f t="shared" si="113"/>
        <v>0</v>
      </c>
      <c r="EG57" s="171">
        <f t="shared" si="113"/>
        <v>0</v>
      </c>
      <c r="EH57" s="171">
        <f t="shared" si="113"/>
        <v>0</v>
      </c>
      <c r="EI57" s="171">
        <f t="shared" si="113"/>
        <v>0</v>
      </c>
      <c r="EJ57" s="171">
        <f t="shared" si="113"/>
        <v>0</v>
      </c>
      <c r="EK57" s="171">
        <f t="shared" si="113"/>
        <v>0</v>
      </c>
      <c r="EL57" s="171">
        <f t="shared" si="113"/>
        <v>0</v>
      </c>
      <c r="EM57" s="171">
        <f t="shared" si="113"/>
        <v>0</v>
      </c>
      <c r="EN57" s="171">
        <f t="shared" si="113"/>
        <v>0</v>
      </c>
      <c r="EO57" s="171">
        <f t="shared" si="113"/>
        <v>0</v>
      </c>
      <c r="EP57" s="171">
        <f t="shared" si="113"/>
        <v>0</v>
      </c>
      <c r="EQ57" s="171">
        <f t="shared" si="113"/>
        <v>0</v>
      </c>
    </row>
    <row r="58" spans="3:147" ht="11.25" customHeight="1">
      <c r="C58" s="1052"/>
      <c r="D58" s="169" t="s">
        <v>232</v>
      </c>
      <c r="H58" s="146">
        <f>'A&amp;R'!N39</f>
        <v>49979</v>
      </c>
      <c r="J58" s="170">
        <f>SUM(L58:EQ58)</f>
        <v>0</v>
      </c>
      <c r="K58" s="98"/>
      <c r="L58" s="171">
        <f>SUMIF('A&amp;R'!$AH$94:$AH$114,L$14,'A&amp;R'!$AJ$94:$AJ$114)*$I$57*(L$14&lt;$H$58)+(L$14=$H$58)*SUM(L56:L57)</f>
        <v>0</v>
      </c>
      <c r="M58" s="171">
        <f>SUMIF('A&amp;R'!$AH$94:$AH$114,M$14,'A&amp;R'!$AJ$94:$AJ$114)*$I$57*(M$14&lt;$H$58)+(M$14=$H$58)*SUM(M56:M57)</f>
        <v>0</v>
      </c>
      <c r="N58" s="171">
        <f>SUMIF('A&amp;R'!$AH$94:$AH$114,N$14,'A&amp;R'!$AJ$94:$AJ$114)*$I$57*(N$14&lt;$H$58)+(N$14=$H$58)*SUM(N56:N57)</f>
        <v>0</v>
      </c>
      <c r="O58" s="171">
        <f>SUMIF('A&amp;R'!$AH$94:$AH$114,O$14,'A&amp;R'!$AJ$94:$AJ$114)*$I$57*(O$14&lt;$H$58)+(O$14=$H$58)*SUM(O56:O57)</f>
        <v>0</v>
      </c>
      <c r="P58" s="171">
        <f>SUMIF('A&amp;R'!$AH$94:$AH$114,P$14,'A&amp;R'!$AJ$94:$AJ$114)*$I$57*(P$14&lt;$H$58)+(P$14=$H$58)*SUM(P56:P57)</f>
        <v>0</v>
      </c>
      <c r="Q58" s="171">
        <f>SUMIF('A&amp;R'!$AH$94:$AH$114,Q$14,'A&amp;R'!$AJ$94:$AJ$114)*$I$57*(Q$14&lt;$H$58)+(Q$14=$H$58)*SUM(Q56:Q57)</f>
        <v>0</v>
      </c>
      <c r="R58" s="171">
        <f>SUMIF('A&amp;R'!$AH$94:$AH$114,R$14,'A&amp;R'!$AJ$94:$AJ$114)*$I$57*(R$14&lt;$H$58)+(R$14=$H$58)*SUM(R56:R57)</f>
        <v>0</v>
      </c>
      <c r="S58" s="171">
        <f>SUMIF('A&amp;R'!$AH$94:$AH$114,S$14,'A&amp;R'!$AJ$94:$AJ$114)*$I$57*(S$14&lt;$H$58)+(S$14=$H$58)*SUM(S56:S57)</f>
        <v>0</v>
      </c>
      <c r="T58" s="171">
        <f>SUMIF('A&amp;R'!$AH$94:$AH$114,T$14,'A&amp;R'!$AJ$94:$AJ$114)*$I$57*(T$14&lt;$H$58)+(T$14=$H$58)*SUM(T56:T57)</f>
        <v>0</v>
      </c>
      <c r="U58" s="171">
        <f>SUMIF('A&amp;R'!$AH$94:$AH$114,U$14,'A&amp;R'!$AJ$94:$AJ$114)*$I$57*(U$14&lt;$H$58)+(U$14=$H$58)*SUM(U56:U57)</f>
        <v>0</v>
      </c>
      <c r="V58" s="171">
        <f>SUMIF('A&amp;R'!$AH$94:$AH$114,V$14,'A&amp;R'!$AJ$94:$AJ$114)*$I$57*(V$14&lt;$H$58)+(V$14=$H$58)*SUM(V56:V57)</f>
        <v>0</v>
      </c>
      <c r="W58" s="171">
        <f>SUMIF('A&amp;R'!$AH$94:$AH$114,W$14,'A&amp;R'!$AJ$94:$AJ$114)*$I$57*(W$14&lt;$H$58)+(W$14=$H$58)*SUM(W56:W57)</f>
        <v>0</v>
      </c>
      <c r="X58" s="171">
        <f>SUMIF('A&amp;R'!$AH$94:$AH$114,X$14,'A&amp;R'!$AJ$94:$AJ$114)*$I$57*(X$14&lt;$H$58)+(X$14=$H$58)*SUM(X56:X57)</f>
        <v>0</v>
      </c>
      <c r="Y58" s="171">
        <f>SUMIF('A&amp;R'!$AH$94:$AH$114,Y$14,'A&amp;R'!$AJ$94:$AJ$114)*$I$57*(Y$14&lt;$H$58)+(Y$14=$H$58)*SUM(Y56:Y57)</f>
        <v>0</v>
      </c>
      <c r="Z58" s="171">
        <f>SUMIF('A&amp;R'!$AH$94:$AH$114,Z$14,'A&amp;R'!$AJ$94:$AJ$114)*$I$57*(Z$14&lt;$H$58)+(Z$14=$H$58)*SUM(Z56:Z57)</f>
        <v>0</v>
      </c>
      <c r="AA58" s="171">
        <f>SUMIF('A&amp;R'!$AH$94:$AH$114,AA$14,'A&amp;R'!$AJ$94:$AJ$114)*$I$57*(AA$14&lt;$H$58)+(AA$14=$H$58)*SUM(AA56:AA57)</f>
        <v>0</v>
      </c>
      <c r="AB58" s="171">
        <f>SUMIF('A&amp;R'!$AH$94:$AH$114,AB$14,'A&amp;R'!$AJ$94:$AJ$114)*$I$57*(AB$14&lt;$H$58)+(AB$14=$H$58)*SUM(AB56:AB57)</f>
        <v>0</v>
      </c>
      <c r="AC58" s="171">
        <f>SUMIF('A&amp;R'!$AH$94:$AH$114,AC$14,'A&amp;R'!$AJ$94:$AJ$114)*$I$57*(AC$14&lt;$H$58)+(AC$14=$H$58)*SUM(AC56:AC57)</f>
        <v>0</v>
      </c>
      <c r="AD58" s="171">
        <f>SUMIF('A&amp;R'!$AH$94:$AH$114,AD$14,'A&amp;R'!$AJ$94:$AJ$114)*$I$57*(AD$14&lt;$H$58)+(AD$14=$H$58)*SUM(AD56:AD57)</f>
        <v>0</v>
      </c>
      <c r="AE58" s="171">
        <f>SUMIF('A&amp;R'!$AH$94:$AH$114,AE$14,'A&amp;R'!$AJ$94:$AJ$114)*$I$57*(AE$14&lt;$H$58)+(AE$14=$H$58)*SUM(AE56:AE57)</f>
        <v>0</v>
      </c>
      <c r="AF58" s="171">
        <f>SUMIF('A&amp;R'!$AH$94:$AH$114,AF$14,'A&amp;R'!$AJ$94:$AJ$114)*$I$57*(AF$14&lt;$H$58)+(AF$14=$H$58)*SUM(AF56:AF57)</f>
        <v>0</v>
      </c>
      <c r="AG58" s="171">
        <f>SUMIF('A&amp;R'!$AH$94:$AH$114,AG$14,'A&amp;R'!$AJ$94:$AJ$114)*$I$57*(AG$14&lt;$H$58)+(AG$14=$H$58)*SUM(AG56:AG57)</f>
        <v>0</v>
      </c>
      <c r="AH58" s="171">
        <f>SUMIF('A&amp;R'!$AH$94:$AH$114,AH$14,'A&amp;R'!$AJ$94:$AJ$114)*$I$57*(AH$14&lt;$H$58)+(AH$14=$H$58)*SUM(AH56:AH57)</f>
        <v>0</v>
      </c>
      <c r="AI58" s="171">
        <f>SUMIF('A&amp;R'!$AH$94:$AH$114,AI$14,'A&amp;R'!$AJ$94:$AJ$114)*$I$57*(AI$14&lt;$H$58)+(AI$14=$H$58)*SUM(AI56:AI57)</f>
        <v>0</v>
      </c>
      <c r="AJ58" s="171">
        <f>SUMIF('A&amp;R'!$AH$94:$AH$114,AJ$14,'A&amp;R'!$AJ$94:$AJ$114)*$I$57*(AJ$14&lt;$H$58)+(AJ$14=$H$58)*SUM(AJ56:AJ57)</f>
        <v>0</v>
      </c>
      <c r="AK58" s="171">
        <f>SUMIF('A&amp;R'!$AH$94:$AH$114,AK$14,'A&amp;R'!$AJ$94:$AJ$114)*$I$57*(AK$14&lt;$H$58)+(AK$14=$H$58)*SUM(AK56:AK57)</f>
        <v>0</v>
      </c>
      <c r="AL58" s="171">
        <f>SUMIF('A&amp;R'!$AH$94:$AH$114,AL$14,'A&amp;R'!$AJ$94:$AJ$114)*$I$57*(AL$14&lt;$H$58)+(AL$14=$H$58)*SUM(AL56:AL57)</f>
        <v>0</v>
      </c>
      <c r="AM58" s="171">
        <f>SUMIF('A&amp;R'!$AH$94:$AH$114,AM$14,'A&amp;R'!$AJ$94:$AJ$114)*$I$57*(AM$14&lt;$H$58)+(AM$14=$H$58)*SUM(AM56:AM57)</f>
        <v>0</v>
      </c>
      <c r="AN58" s="171">
        <f>SUMIF('A&amp;R'!$AH$94:$AH$114,AN$14,'A&amp;R'!$AJ$94:$AJ$114)*$I$57*(AN$14&lt;$H$58)+(AN$14=$H$58)*SUM(AN56:AN57)</f>
        <v>0</v>
      </c>
      <c r="AO58" s="171">
        <f>SUMIF('A&amp;R'!$AH$94:$AH$114,AO$14,'A&amp;R'!$AJ$94:$AJ$114)*$I$57*(AO$14&lt;$H$58)+(AO$14=$H$58)*SUM(AO56:AO57)</f>
        <v>0</v>
      </c>
      <c r="AP58" s="171">
        <f>SUMIF('A&amp;R'!$AH$94:$AH$114,AP$14,'A&amp;R'!$AJ$94:$AJ$114)*$I$57*(AP$14&lt;$H$58)+(AP$14=$H$58)*SUM(AP56:AP57)</f>
        <v>0</v>
      </c>
      <c r="AQ58" s="171">
        <f>SUMIF('A&amp;R'!$AH$94:$AH$114,AQ$14,'A&amp;R'!$AJ$94:$AJ$114)*$I$57*(AQ$14&lt;$H$58)+(AQ$14=$H$58)*SUM(AQ56:AQ57)</f>
        <v>0</v>
      </c>
      <c r="AR58" s="171">
        <f>SUMIF('A&amp;R'!$AH$94:$AH$114,AR$14,'A&amp;R'!$AJ$94:$AJ$114)*$I$57*(AR$14&lt;$H$58)+(AR$14=$H$58)*SUM(AR56:AR57)</f>
        <v>0</v>
      </c>
      <c r="AS58" s="171">
        <f>SUMIF('A&amp;R'!$AH$94:$AH$114,AS$14,'A&amp;R'!$AJ$94:$AJ$114)*$I$57*(AS$14&lt;$H$58)+(AS$14=$H$58)*SUM(AS56:AS57)</f>
        <v>0</v>
      </c>
      <c r="AT58" s="171">
        <f>SUMIF('A&amp;R'!$AH$94:$AH$114,AT$14,'A&amp;R'!$AJ$94:$AJ$114)*$I$57*(AT$14&lt;$H$58)+(AT$14=$H$58)*SUM(AT56:AT57)</f>
        <v>0</v>
      </c>
      <c r="AU58" s="171">
        <f>SUMIF('A&amp;R'!$AH$94:$AH$114,AU$14,'A&amp;R'!$AJ$94:$AJ$114)*$I$57*(AU$14&lt;$H$58)+(AU$14=$H$58)*SUM(AU56:AU57)</f>
        <v>0</v>
      </c>
      <c r="AV58" s="171">
        <f>SUMIF('A&amp;R'!$AH$94:$AH$114,AV$14,'A&amp;R'!$AJ$94:$AJ$114)*$I$57*(AV$14&lt;$H$58)+(AV$14=$H$58)*SUM(AV56:AV57)</f>
        <v>0</v>
      </c>
      <c r="AW58" s="171">
        <f>SUMIF('A&amp;R'!$AH$94:$AH$114,AW$14,'A&amp;R'!$AJ$94:$AJ$114)*$I$57*(AW$14&lt;$H$58)+(AW$14=$H$58)*SUM(AW56:AW57)</f>
        <v>0</v>
      </c>
      <c r="AX58" s="171">
        <f>SUMIF('A&amp;R'!$AH$94:$AH$114,AX$14,'A&amp;R'!$AJ$94:$AJ$114)*$I$57*(AX$14&lt;$H$58)+(AX$14=$H$58)*SUM(AX56:AX57)</f>
        <v>0</v>
      </c>
      <c r="AY58" s="171">
        <f>SUMIF('A&amp;R'!$AH$94:$AH$114,AY$14,'A&amp;R'!$AJ$94:$AJ$114)*$I$57*(AY$14&lt;$H$58)+(AY$14=$H$58)*SUM(AY56:AY57)</f>
        <v>0</v>
      </c>
      <c r="AZ58" s="171">
        <f>SUMIF('A&amp;R'!$AH$94:$AH$114,AZ$14,'A&amp;R'!$AJ$94:$AJ$114)*$I$57*(AZ$14&lt;$H$58)+(AZ$14=$H$58)*SUM(AZ56:AZ57)</f>
        <v>0</v>
      </c>
      <c r="BA58" s="171">
        <f>SUMIF('A&amp;R'!$AH$94:$AH$114,BA$14,'A&amp;R'!$AJ$94:$AJ$114)*$I$57*(BA$14&lt;$H$58)+(BA$14=$H$58)*SUM(BA56:BA57)</f>
        <v>0</v>
      </c>
      <c r="BB58" s="171">
        <f>SUMIF('A&amp;R'!$AH$94:$AH$114,BB$14,'A&amp;R'!$AJ$94:$AJ$114)*$I$57*(BB$14&lt;$H$58)+(BB$14=$H$58)*SUM(BB56:BB57)</f>
        <v>0</v>
      </c>
      <c r="BC58" s="171">
        <f>SUMIF('A&amp;R'!$AH$94:$AH$114,BC$14,'A&amp;R'!$AJ$94:$AJ$114)*$I$57*(BC$14&lt;$H$58)+(BC$14=$H$58)*SUM(BC56:BC57)</f>
        <v>0</v>
      </c>
      <c r="BD58" s="171">
        <f>SUMIF('A&amp;R'!$AH$94:$AH$114,BD$14,'A&amp;R'!$AJ$94:$AJ$114)*$I$57*(BD$14&lt;$H$58)+(BD$14=$H$58)*SUM(BD56:BD57)</f>
        <v>0</v>
      </c>
      <c r="BE58" s="171">
        <f>SUMIF('A&amp;R'!$AH$94:$AH$114,BE$14,'A&amp;R'!$AJ$94:$AJ$114)*$I$57*(BE$14&lt;$H$58)+(BE$14=$H$58)*SUM(BE56:BE57)</f>
        <v>0</v>
      </c>
      <c r="BF58" s="171">
        <f>SUMIF('A&amp;R'!$AH$94:$AH$114,BF$14,'A&amp;R'!$AJ$94:$AJ$114)*$I$57*(BF$14&lt;$H$58)+(BF$14=$H$58)*SUM(BF56:BF57)</f>
        <v>0</v>
      </c>
      <c r="BG58" s="171">
        <f>SUMIF('A&amp;R'!$AH$94:$AH$114,BG$14,'A&amp;R'!$AJ$94:$AJ$114)*$I$57*(BG$14&lt;$H$58)+(BG$14=$H$58)*SUM(BG56:BG57)</f>
        <v>0</v>
      </c>
      <c r="BH58" s="171">
        <f>SUMIF('A&amp;R'!$AH$94:$AH$114,BH$14,'A&amp;R'!$AJ$94:$AJ$114)*$I$57*(BH$14&lt;$H$58)+(BH$14=$H$58)*SUM(BH56:BH57)</f>
        <v>0</v>
      </c>
      <c r="BI58" s="171">
        <f>SUMIF('A&amp;R'!$AH$94:$AH$114,BI$14,'A&amp;R'!$AJ$94:$AJ$114)*$I$57*(BI$14&lt;$H$58)+(BI$14=$H$58)*SUM(BI56:BI57)</f>
        <v>0</v>
      </c>
      <c r="BJ58" s="171">
        <f>SUMIF('A&amp;R'!$AH$94:$AH$114,BJ$14,'A&amp;R'!$AJ$94:$AJ$114)*$I$57*(BJ$14&lt;$H$58)+(BJ$14=$H$58)*SUM(BJ56:BJ57)</f>
        <v>0</v>
      </c>
      <c r="BK58" s="171">
        <f>SUMIF('A&amp;R'!$AH$94:$AH$114,BK$14,'A&amp;R'!$AJ$94:$AJ$114)*$I$57*(BK$14&lt;$H$58)+(BK$14=$H$58)*SUM(BK56:BK57)</f>
        <v>0</v>
      </c>
      <c r="BL58" s="171">
        <f>SUMIF('A&amp;R'!$AH$94:$AH$114,BL$14,'A&amp;R'!$AJ$94:$AJ$114)*$I$57*(BL$14&lt;$H$58)+(BL$14=$H$58)*SUM(BL56:BL57)</f>
        <v>0</v>
      </c>
      <c r="BM58" s="171">
        <f>SUMIF('A&amp;R'!$AH$94:$AH$114,BM$14,'A&amp;R'!$AJ$94:$AJ$114)*$I$57*(BM$14&lt;$H$58)+(BM$14=$H$58)*SUM(BM56:BM57)</f>
        <v>0</v>
      </c>
      <c r="BN58" s="171">
        <f>SUMIF('A&amp;R'!$AH$94:$AH$114,BN$14,'A&amp;R'!$AJ$94:$AJ$114)*$I$57*(BN$14&lt;$H$58)+(BN$14=$H$58)*SUM(BN56:BN57)</f>
        <v>0</v>
      </c>
      <c r="BO58" s="171">
        <f>SUMIF('A&amp;R'!$AH$94:$AH$114,BO$14,'A&amp;R'!$AJ$94:$AJ$114)*$I$57*(BO$14&lt;$H$58)+(BO$14=$H$58)*SUM(BO56:BO57)</f>
        <v>0</v>
      </c>
      <c r="BP58" s="171">
        <f>SUMIF('A&amp;R'!$AH$94:$AH$114,BP$14,'A&amp;R'!$AJ$94:$AJ$114)*$I$57*(BP$14&lt;$H$58)+(BP$14=$H$58)*SUM(BP56:BP57)</f>
        <v>0</v>
      </c>
      <c r="BQ58" s="171">
        <f>SUMIF('A&amp;R'!$AH$94:$AH$114,BQ$14,'A&amp;R'!$AJ$94:$AJ$114)*$I$57*(BQ$14&lt;$H$58)+(BQ$14=$H$58)*SUM(BQ56:BQ57)</f>
        <v>0</v>
      </c>
      <c r="BR58" s="171">
        <f>SUMIF('A&amp;R'!$AH$94:$AH$114,BR$14,'A&amp;R'!$AJ$94:$AJ$114)*$I$57*(BR$14&lt;$H$58)+(BR$14=$H$58)*SUM(BR56:BR57)</f>
        <v>0</v>
      </c>
      <c r="BS58" s="171">
        <f>SUMIF('A&amp;R'!$AH$94:$AH$114,BS$14,'A&amp;R'!$AJ$94:$AJ$114)*$I$57*(BS$14&lt;$H$58)+(BS$14=$H$58)*SUM(BS56:BS57)</f>
        <v>0</v>
      </c>
      <c r="BT58" s="171">
        <f>SUMIF('A&amp;R'!$AH$94:$AH$114,BT$14,'A&amp;R'!$AJ$94:$AJ$114)*$I$57*(BT$14&lt;$H$58)+(BT$14=$H$58)*SUM(BT56:BT57)</f>
        <v>0</v>
      </c>
      <c r="BU58" s="171">
        <f>SUMIF('A&amp;R'!$AH$94:$AH$114,BU$14,'A&amp;R'!$AJ$94:$AJ$114)*$I$57*(BU$14&lt;$H$58)+(BU$14=$H$58)*SUM(BU56:BU57)</f>
        <v>0</v>
      </c>
      <c r="BV58" s="171">
        <f>SUMIF('A&amp;R'!$AH$94:$AH$114,BV$14,'A&amp;R'!$AJ$94:$AJ$114)*$I$57*(BV$14&lt;$H$58)+(BV$14=$H$58)*SUM(BV56:BV57)</f>
        <v>0</v>
      </c>
      <c r="BW58" s="171">
        <f>SUMIF('A&amp;R'!$AH$94:$AH$114,BW$14,'A&amp;R'!$AJ$94:$AJ$114)*$I$57*(BW$14&lt;$H$58)+(BW$14=$H$58)*SUM(BW56:BW57)</f>
        <v>0</v>
      </c>
      <c r="BX58" s="171">
        <f>SUMIF('A&amp;R'!$AH$94:$AH$114,BX$14,'A&amp;R'!$AJ$94:$AJ$114)*$I$57*(BX$14&lt;$H$58)+(BX$14=$H$58)*SUM(BX56:BX57)</f>
        <v>0</v>
      </c>
      <c r="BY58" s="171">
        <f>SUMIF('A&amp;R'!$AH$94:$AH$114,BY$14,'A&amp;R'!$AJ$94:$AJ$114)*$I$57*(BY$14&lt;$H$58)+(BY$14=$H$58)*SUM(BY56:BY57)</f>
        <v>0</v>
      </c>
      <c r="BZ58" s="171">
        <f>SUMIF('A&amp;R'!$AH$94:$AH$114,BZ$14,'A&amp;R'!$AJ$94:$AJ$114)*$I$57*(BZ$14&lt;$H$58)+(BZ$14=$H$58)*SUM(BZ56:BZ57)</f>
        <v>0</v>
      </c>
      <c r="CA58" s="171">
        <f>SUMIF('A&amp;R'!$AH$94:$AH$114,CA$14,'A&amp;R'!$AJ$94:$AJ$114)*$I$57*(CA$14&lt;$H$58)+(CA$14=$H$58)*SUM(CA56:CA57)</f>
        <v>0</v>
      </c>
      <c r="CB58" s="171">
        <f>SUMIF('A&amp;R'!$AH$94:$AH$114,CB$14,'A&amp;R'!$AJ$94:$AJ$114)*$I$57*(CB$14&lt;$H$58)+(CB$14=$H$58)*SUM(CB56:CB57)</f>
        <v>0</v>
      </c>
      <c r="CC58" s="171">
        <f>SUMIF('A&amp;R'!$AH$94:$AH$114,CC$14,'A&amp;R'!$AJ$94:$AJ$114)*$I$57*(CC$14&lt;$H$58)+(CC$14=$H$58)*SUM(CC56:CC57)</f>
        <v>0</v>
      </c>
      <c r="CD58" s="171">
        <f>SUMIF('A&amp;R'!$AH$94:$AH$114,CD$14,'A&amp;R'!$AJ$94:$AJ$114)*$I$57*(CD$14&lt;$H$58)+(CD$14=$H$58)*SUM(CD56:CD57)</f>
        <v>0</v>
      </c>
      <c r="CE58" s="171">
        <f>SUMIF('A&amp;R'!$AH$94:$AH$114,CE$14,'A&amp;R'!$AJ$94:$AJ$114)*$I$57*(CE$14&lt;$H$58)+(CE$14=$H$58)*SUM(CE56:CE57)</f>
        <v>0</v>
      </c>
      <c r="CF58" s="171">
        <f>SUMIF('A&amp;R'!$AH$94:$AH$114,CF$14,'A&amp;R'!$AJ$94:$AJ$114)*$I$57*(CF$14&lt;$H$58)+(CF$14=$H$58)*SUM(CF56:CF57)</f>
        <v>0</v>
      </c>
      <c r="CG58" s="171">
        <f>SUMIF('A&amp;R'!$AH$94:$AH$114,CG$14,'A&amp;R'!$AJ$94:$AJ$114)*$I$57*(CG$14&lt;$H$58)+(CG$14=$H$58)*SUM(CG56:CG57)</f>
        <v>0</v>
      </c>
      <c r="CH58" s="171">
        <f>SUMIF('A&amp;R'!$AH$94:$AH$114,CH$14,'A&amp;R'!$AJ$94:$AJ$114)*$I$57*(CH$14&lt;$H$58)+(CH$14=$H$58)*SUM(CH56:CH57)</f>
        <v>0</v>
      </c>
      <c r="CI58" s="171">
        <f>SUMIF('A&amp;R'!$AH$94:$AH$114,CI$14,'A&amp;R'!$AJ$94:$AJ$114)*$I$57*(CI$14&lt;$H$58)+(CI$14=$H$58)*SUM(CI56:CI57)</f>
        <v>0</v>
      </c>
      <c r="CJ58" s="171">
        <f>SUMIF('A&amp;R'!$AH$94:$AH$114,CJ$14,'A&amp;R'!$AJ$94:$AJ$114)*$I$57*(CJ$14&lt;$H$58)+(CJ$14=$H$58)*SUM(CJ56:CJ57)</f>
        <v>0</v>
      </c>
      <c r="CK58" s="171">
        <f>SUMIF('A&amp;R'!$AH$94:$AH$114,CK$14,'A&amp;R'!$AJ$94:$AJ$114)*$I$57*(CK$14&lt;$H$58)+(CK$14=$H$58)*SUM(CK56:CK57)</f>
        <v>0</v>
      </c>
      <c r="CL58" s="171">
        <f>SUMIF('A&amp;R'!$AH$94:$AH$114,CL$14,'A&amp;R'!$AJ$94:$AJ$114)*$I$57*(CL$14&lt;$H$58)+(CL$14=$H$58)*SUM(CL56:CL57)</f>
        <v>0</v>
      </c>
      <c r="CM58" s="171">
        <f>SUMIF('A&amp;R'!$AH$94:$AH$114,CM$14,'A&amp;R'!$AJ$94:$AJ$114)*$I$57*(CM$14&lt;$H$58)+(CM$14=$H$58)*SUM(CM56:CM57)</f>
        <v>0</v>
      </c>
      <c r="CN58" s="171">
        <f>SUMIF('A&amp;R'!$AH$94:$AH$114,CN$14,'A&amp;R'!$AJ$94:$AJ$114)*$I$57*(CN$14&lt;$H$58)+(CN$14=$H$58)*SUM(CN56:CN57)</f>
        <v>0</v>
      </c>
      <c r="CO58" s="171">
        <f>SUMIF('A&amp;R'!$AH$94:$AH$114,CO$14,'A&amp;R'!$AJ$94:$AJ$114)*$I$57*(CO$14&lt;$H$58)+(CO$14=$H$58)*SUM(CO56:CO57)</f>
        <v>0</v>
      </c>
      <c r="CP58" s="171">
        <f>SUMIF('A&amp;R'!$AH$94:$AH$114,CP$14,'A&amp;R'!$AJ$94:$AJ$114)*$I$57*(CP$14&lt;$H$58)+(CP$14=$H$58)*SUM(CP56:CP57)</f>
        <v>0</v>
      </c>
      <c r="CQ58" s="171">
        <f>SUMIF('A&amp;R'!$AH$94:$AH$114,CQ$14,'A&amp;R'!$AJ$94:$AJ$114)*$I$57*(CQ$14&lt;$H$58)+(CQ$14=$H$58)*SUM(CQ56:CQ57)</f>
        <v>0</v>
      </c>
      <c r="CR58" s="171">
        <f>SUMIF('A&amp;R'!$AH$94:$AH$114,CR$14,'A&amp;R'!$AJ$94:$AJ$114)*$I$57*(CR$14&lt;$H$58)+(CR$14=$H$58)*SUM(CR56:CR57)</f>
        <v>0</v>
      </c>
      <c r="CS58" s="171">
        <f>SUMIF('A&amp;R'!$AH$94:$AH$114,CS$14,'A&amp;R'!$AJ$94:$AJ$114)*$I$57*(CS$14&lt;$H$58)+(CS$14=$H$58)*SUM(CS56:CS57)</f>
        <v>0</v>
      </c>
      <c r="CT58" s="171">
        <f>SUMIF('A&amp;R'!$AH$94:$AH$114,CT$14,'A&amp;R'!$AJ$94:$AJ$114)*$I$57*(CT$14&lt;$H$58)+(CT$14=$H$58)*SUM(CT56:CT57)</f>
        <v>0</v>
      </c>
      <c r="CU58" s="171">
        <f>SUMIF('A&amp;R'!$AH$94:$AH$114,CU$14,'A&amp;R'!$AJ$94:$AJ$114)*$I$57*(CU$14&lt;$H$58)+(CU$14=$H$58)*SUM(CU56:CU57)</f>
        <v>0</v>
      </c>
      <c r="CV58" s="171">
        <f>SUMIF('A&amp;R'!$AH$94:$AH$114,CV$14,'A&amp;R'!$AJ$94:$AJ$114)*$I$57*(CV$14&lt;$H$58)+(CV$14=$H$58)*SUM(CV56:CV57)</f>
        <v>0</v>
      </c>
      <c r="CW58" s="171">
        <f>SUMIF('A&amp;R'!$AH$94:$AH$114,CW$14,'A&amp;R'!$AJ$94:$AJ$114)*$I$57*(CW$14&lt;$H$58)+(CW$14=$H$58)*SUM(CW56:CW57)</f>
        <v>0</v>
      </c>
      <c r="CX58" s="171">
        <f>SUMIF('A&amp;R'!$AH$94:$AH$114,CX$14,'A&amp;R'!$AJ$94:$AJ$114)*$I$57*(CX$14&lt;$H$58)+(CX$14=$H$58)*SUM(CX56:CX57)</f>
        <v>0</v>
      </c>
      <c r="CY58" s="171">
        <f>SUMIF('A&amp;R'!$AH$94:$AH$114,CY$14,'A&amp;R'!$AJ$94:$AJ$114)*$I$57*(CY$14&lt;$H$58)+(CY$14=$H$58)*SUM(CY56:CY57)</f>
        <v>0</v>
      </c>
      <c r="CZ58" s="171">
        <f>SUMIF('A&amp;R'!$AH$94:$AH$114,CZ$14,'A&amp;R'!$AJ$94:$AJ$114)*$I$57*(CZ$14&lt;$H$58)+(CZ$14=$H$58)*SUM(CZ56:CZ57)</f>
        <v>0</v>
      </c>
      <c r="DA58" s="171">
        <f>SUMIF('A&amp;R'!$AH$94:$AH$114,DA$14,'A&amp;R'!$AJ$94:$AJ$114)*$I$57*(DA$14&lt;$H$58)+(DA$14=$H$58)*SUM(DA56:DA57)</f>
        <v>0</v>
      </c>
      <c r="DB58" s="171">
        <f>SUMIF('A&amp;R'!$AH$94:$AH$114,DB$14,'A&amp;R'!$AJ$94:$AJ$114)*$I$57*(DB$14&lt;$H$58)+(DB$14=$H$58)*SUM(DB56:DB57)</f>
        <v>0</v>
      </c>
      <c r="DC58" s="171">
        <f>SUMIF('A&amp;R'!$AH$94:$AH$114,DC$14,'A&amp;R'!$AJ$94:$AJ$114)*$I$57*(DC$14&lt;$H$58)+(DC$14=$H$58)*SUM(DC56:DC57)</f>
        <v>0</v>
      </c>
      <c r="DD58" s="171">
        <f>SUMIF('A&amp;R'!$AH$94:$AH$114,DD$14,'A&amp;R'!$AJ$94:$AJ$114)*$I$57*(DD$14&lt;$H$58)+(DD$14=$H$58)*SUM(DD56:DD57)</f>
        <v>0</v>
      </c>
      <c r="DE58" s="171">
        <f>SUMIF('A&amp;R'!$AH$94:$AH$114,DE$14,'A&amp;R'!$AJ$94:$AJ$114)*$I$57*(DE$14&lt;$H$58)+(DE$14=$H$58)*SUM(DE56:DE57)</f>
        <v>0</v>
      </c>
      <c r="DF58" s="171">
        <f>SUMIF('A&amp;R'!$AH$94:$AH$114,DF$14,'A&amp;R'!$AJ$94:$AJ$114)*$I$57*(DF$14&lt;$H$58)+(DF$14=$H$58)*SUM(DF56:DF57)</f>
        <v>0</v>
      </c>
      <c r="DG58" s="171">
        <f>SUMIF('A&amp;R'!$AH$94:$AH$114,DG$14,'A&amp;R'!$AJ$94:$AJ$114)*$I$57*(DG$14&lt;$H$58)+(DG$14=$H$58)*SUM(DG56:DG57)</f>
        <v>0</v>
      </c>
      <c r="DH58" s="171">
        <f>SUMIF('A&amp;R'!$AH$94:$AH$114,DH$14,'A&amp;R'!$AJ$94:$AJ$114)*$I$57*(DH$14&lt;$H$58)+(DH$14=$H$58)*SUM(DH56:DH57)</f>
        <v>0</v>
      </c>
      <c r="DI58" s="171">
        <f>SUMIF('A&amp;R'!$AH$94:$AH$114,DI$14,'A&amp;R'!$AJ$94:$AJ$114)*$I$57*(DI$14&lt;$H$58)+(DI$14=$H$58)*SUM(DI56:DI57)</f>
        <v>0</v>
      </c>
      <c r="DJ58" s="171">
        <f>SUMIF('A&amp;R'!$AH$94:$AH$114,DJ$14,'A&amp;R'!$AJ$94:$AJ$114)*$I$57*(DJ$14&lt;$H$58)+(DJ$14=$H$58)*SUM(DJ56:DJ57)</f>
        <v>0</v>
      </c>
      <c r="DK58" s="171">
        <f>SUMIF('A&amp;R'!$AH$94:$AH$114,DK$14,'A&amp;R'!$AJ$94:$AJ$114)*$I$57*(DK$14&lt;$H$58)+(DK$14=$H$58)*SUM(DK56:DK57)</f>
        <v>0</v>
      </c>
      <c r="DL58" s="171">
        <f>SUMIF('A&amp;R'!$AH$94:$AH$114,DL$14,'A&amp;R'!$AJ$94:$AJ$114)*$I$57*(DL$14&lt;$H$58)+(DL$14=$H$58)*SUM(DL56:DL57)</f>
        <v>0</v>
      </c>
      <c r="DM58" s="171">
        <f>SUMIF('A&amp;R'!$AH$94:$AH$114,DM$14,'A&amp;R'!$AJ$94:$AJ$114)*$I$57*(DM$14&lt;$H$58)+(DM$14=$H$58)*SUM(DM56:DM57)</f>
        <v>0</v>
      </c>
      <c r="DN58" s="171">
        <f>SUMIF('A&amp;R'!$AH$94:$AH$114,DN$14,'A&amp;R'!$AJ$94:$AJ$114)*$I$57*(DN$14&lt;$H$58)+(DN$14=$H$58)*SUM(DN56:DN57)</f>
        <v>0</v>
      </c>
      <c r="DO58" s="171">
        <f>SUMIF('A&amp;R'!$AH$94:$AH$114,DO$14,'A&amp;R'!$AJ$94:$AJ$114)*$I$57*(DO$14&lt;$H$58)+(DO$14=$H$58)*SUM(DO56:DO57)</f>
        <v>0</v>
      </c>
      <c r="DP58" s="171">
        <f>SUMIF('A&amp;R'!$AH$94:$AH$114,DP$14,'A&amp;R'!$AJ$94:$AJ$114)*$I$57*(DP$14&lt;$H$58)+(DP$14=$H$58)*SUM(DP56:DP57)</f>
        <v>0</v>
      </c>
      <c r="DQ58" s="171">
        <f>SUMIF('A&amp;R'!$AH$94:$AH$114,DQ$14,'A&amp;R'!$AJ$94:$AJ$114)*$I$57*(DQ$14&lt;$H$58)+(DQ$14=$H$58)*SUM(DQ56:DQ57)</f>
        <v>0</v>
      </c>
      <c r="DR58" s="171">
        <f>SUMIF('A&amp;R'!$AH$94:$AH$114,DR$14,'A&amp;R'!$AJ$94:$AJ$114)*$I$57*(DR$14&lt;$H$58)+(DR$14=$H$58)*SUM(DR56:DR57)</f>
        <v>0</v>
      </c>
      <c r="DS58" s="171">
        <f>SUMIF('A&amp;R'!$AH$94:$AH$114,DS$14,'A&amp;R'!$AJ$94:$AJ$114)*$I$57*(DS$14&lt;$H$58)+(DS$14=$H$58)*SUM(DS56:DS57)</f>
        <v>0</v>
      </c>
      <c r="DT58" s="171">
        <f>SUMIF('A&amp;R'!$AH$94:$AH$114,DT$14,'A&amp;R'!$AJ$94:$AJ$114)*$I$57*(DT$14&lt;$H$58)+(DT$14=$H$58)*SUM(DT56:DT57)</f>
        <v>0</v>
      </c>
      <c r="DU58" s="171">
        <f>SUMIF('A&amp;R'!$AH$94:$AH$114,DU$14,'A&amp;R'!$AJ$94:$AJ$114)*$I$57*(DU$14&lt;$H$58)+(DU$14=$H$58)*SUM(DU56:DU57)</f>
        <v>0</v>
      </c>
      <c r="DV58" s="171">
        <f>SUMIF('A&amp;R'!$AH$94:$AH$114,DV$14,'A&amp;R'!$AJ$94:$AJ$114)*$I$57*(DV$14&lt;$H$58)+(DV$14=$H$58)*SUM(DV56:DV57)</f>
        <v>0</v>
      </c>
      <c r="DW58" s="171">
        <f>SUMIF('A&amp;R'!$AH$94:$AH$114,DW$14,'A&amp;R'!$AJ$94:$AJ$114)*$I$57*(DW$14&lt;$H$58)+(DW$14=$H$58)*SUM(DW56:DW57)</f>
        <v>0</v>
      </c>
      <c r="DX58" s="171">
        <f>SUMIF('A&amp;R'!$AH$94:$AH$114,DX$14,'A&amp;R'!$AJ$94:$AJ$114)*$I$57*(DX$14&lt;$H$58)+(DX$14=$H$58)*SUM(DX56:DX57)</f>
        <v>0</v>
      </c>
      <c r="DY58" s="171">
        <f>SUMIF('A&amp;R'!$AH$94:$AH$114,DY$14,'A&amp;R'!$AJ$94:$AJ$114)*$I$57*(DY$14&lt;$H$58)+(DY$14=$H$58)*SUM(DY56:DY57)</f>
        <v>0</v>
      </c>
      <c r="DZ58" s="171">
        <f>SUMIF('A&amp;R'!$AH$94:$AH$114,DZ$14,'A&amp;R'!$AJ$94:$AJ$114)*$I$57*(DZ$14&lt;$H$58)+(DZ$14=$H$58)*SUM(DZ56:DZ57)</f>
        <v>0</v>
      </c>
      <c r="EA58" s="171">
        <f>SUMIF('A&amp;R'!$AH$94:$AH$114,EA$14,'A&amp;R'!$AJ$94:$AJ$114)*$I$57*(EA$14&lt;$H$58)+(EA$14=$H$58)*SUM(EA56:EA57)</f>
        <v>0</v>
      </c>
      <c r="EB58" s="171">
        <f>SUMIF('A&amp;R'!$AH$94:$AH$114,EB$14,'A&amp;R'!$AJ$94:$AJ$114)*$I$57*(EB$14&lt;$H$58)+(EB$14=$H$58)*SUM(EB56:EB57)</f>
        <v>0</v>
      </c>
      <c r="EC58" s="171">
        <f>SUMIF('A&amp;R'!$AH$94:$AH$114,EC$14,'A&amp;R'!$AJ$94:$AJ$114)*$I$57*(EC$14&lt;$H$58)+(EC$14=$H$58)*SUM(EC56:EC57)</f>
        <v>0</v>
      </c>
      <c r="ED58" s="1321">
        <f>SUMIF('A&amp;R'!$AH$94:$AH$114,ED$14,'A&amp;R'!$AJ$94:$AJ$114)*$I$57*(ED$14&lt;$H$58)+(ED$14=$H$58)*SUM(ED56:ED57)</f>
        <v>0</v>
      </c>
      <c r="EE58" s="171">
        <f>SUMIF('A&amp;R'!$AH$94:$AH$114,EE$14,'A&amp;R'!$AJ$94:$AJ$114)*$I$57*(EE$14&lt;$H$58)+(EE$14=$H$58)*SUM(EE56:EE57)</f>
        <v>0</v>
      </c>
      <c r="EF58" s="171">
        <f>SUMIF('A&amp;R'!$AH$94:$AH$114,EF$14,'A&amp;R'!$AJ$94:$AJ$114)*$I$57*(EF$14&lt;$H$58)+(EF$14=$H$58)*SUM(EF56:EF57)</f>
        <v>0</v>
      </c>
      <c r="EG58" s="171">
        <f>SUMIF('A&amp;R'!$AH$94:$AH$114,EG$14,'A&amp;R'!$AJ$94:$AJ$114)*$I$57*(EG$14&lt;$H$58)+(EG$14=$H$58)*SUM(EG56:EG57)</f>
        <v>0</v>
      </c>
      <c r="EH58" s="171">
        <f>SUMIF('A&amp;R'!$AH$94:$AH$114,EH$14,'A&amp;R'!$AJ$94:$AJ$114)*$I$57*(EH$14&lt;$H$58)+(EH$14=$H$58)*SUM(EH56:EH57)</f>
        <v>0</v>
      </c>
      <c r="EI58" s="171">
        <f>SUMIF('A&amp;R'!$AH$94:$AH$114,EI$14,'A&amp;R'!$AJ$94:$AJ$114)*$I$57*(EI$14&lt;$H$58)+(EI$14=$H$58)*SUM(EI56:EI57)</f>
        <v>0</v>
      </c>
      <c r="EJ58" s="171">
        <f>SUMIF('A&amp;R'!$AH$94:$AH$114,EJ$14,'A&amp;R'!$AJ$94:$AJ$114)*$I$57*(EJ$14&lt;$H$58)+(EJ$14=$H$58)*SUM(EJ56:EJ57)</f>
        <v>0</v>
      </c>
      <c r="EK58" s="171">
        <f>SUMIF('A&amp;R'!$AH$94:$AH$114,EK$14,'A&amp;R'!$AJ$94:$AJ$114)*$I$57*(EK$14&lt;$H$58)+(EK$14=$H$58)*SUM(EK56:EK57)</f>
        <v>0</v>
      </c>
      <c r="EL58" s="171">
        <f>SUMIF('A&amp;R'!$AH$94:$AH$114,EL$14,'A&amp;R'!$AJ$94:$AJ$114)*$I$57*(EL$14&lt;$H$58)+(EL$14=$H$58)*SUM(EL56:EL57)</f>
        <v>0</v>
      </c>
      <c r="EM58" s="171">
        <f>SUMIF('A&amp;R'!$AH$94:$AH$114,EM$14,'A&amp;R'!$AJ$94:$AJ$114)*$I$57*(EM$14&lt;$H$58)+(EM$14=$H$58)*SUM(EM56:EM57)</f>
        <v>0</v>
      </c>
      <c r="EN58" s="171">
        <f>SUMIF('A&amp;R'!$AH$94:$AH$114,EN$14,'A&amp;R'!$AJ$94:$AJ$114)*$I$57*(EN$14&lt;$H$58)+(EN$14=$H$58)*SUM(EN56:EN57)</f>
        <v>0</v>
      </c>
      <c r="EO58" s="171">
        <f>SUMIF('A&amp;R'!$AH$94:$AH$114,EO$14,'A&amp;R'!$AJ$94:$AJ$114)*$I$57*(EO$14&lt;$H$58)+(EO$14=$H$58)*SUM(EO56:EO57)</f>
        <v>0</v>
      </c>
      <c r="EP58" s="171">
        <f>SUMIF('A&amp;R'!$AH$94:$AH$114,EP$14,'A&amp;R'!$AJ$94:$AJ$114)*$I$57*(EP$14&lt;$H$58)+(EP$14=$H$58)*SUM(EP56:EP57)</f>
        <v>0</v>
      </c>
      <c r="EQ58" s="171">
        <f>SUMIF('A&amp;R'!$AH$94:$AH$114,EQ$14,'A&amp;R'!$AJ$94:$AJ$114)*$I$57*(EQ$14&lt;$H$58)+(EQ$14=$H$58)*SUM(EQ56:EQ57)</f>
        <v>0</v>
      </c>
    </row>
    <row r="59" spans="3:147" ht="11.25" customHeight="1">
      <c r="C59" s="1052"/>
      <c r="D59" s="169" t="s">
        <v>233</v>
      </c>
      <c r="J59" s="170"/>
      <c r="K59" s="98"/>
      <c r="L59" s="171">
        <f>L56+L57-L58</f>
        <v>0</v>
      </c>
      <c r="M59" s="171">
        <f t="shared" ref="M59:BX59" si="114">M56+M57-M58</f>
        <v>0</v>
      </c>
      <c r="N59" s="171">
        <f t="shared" si="114"/>
        <v>0</v>
      </c>
      <c r="O59" s="171">
        <f t="shared" si="114"/>
        <v>0</v>
      </c>
      <c r="P59" s="171">
        <f t="shared" si="114"/>
        <v>0</v>
      </c>
      <c r="Q59" s="171">
        <f t="shared" si="114"/>
        <v>0</v>
      </c>
      <c r="R59" s="171">
        <f t="shared" si="114"/>
        <v>0</v>
      </c>
      <c r="S59" s="171">
        <f t="shared" si="114"/>
        <v>0</v>
      </c>
      <c r="T59" s="171">
        <f t="shared" si="114"/>
        <v>0</v>
      </c>
      <c r="U59" s="171">
        <f t="shared" si="114"/>
        <v>0</v>
      </c>
      <c r="V59" s="171">
        <f t="shared" si="114"/>
        <v>0</v>
      </c>
      <c r="W59" s="171">
        <f t="shared" si="114"/>
        <v>0</v>
      </c>
      <c r="X59" s="171">
        <f t="shared" si="114"/>
        <v>0</v>
      </c>
      <c r="Y59" s="171">
        <f t="shared" si="114"/>
        <v>0</v>
      </c>
      <c r="Z59" s="171">
        <f t="shared" si="114"/>
        <v>0</v>
      </c>
      <c r="AA59" s="171">
        <f t="shared" si="114"/>
        <v>0</v>
      </c>
      <c r="AB59" s="171">
        <f t="shared" si="114"/>
        <v>0</v>
      </c>
      <c r="AC59" s="171">
        <f t="shared" si="114"/>
        <v>0</v>
      </c>
      <c r="AD59" s="171">
        <f t="shared" si="114"/>
        <v>0</v>
      </c>
      <c r="AE59" s="171">
        <f t="shared" si="114"/>
        <v>0</v>
      </c>
      <c r="AF59" s="171">
        <f t="shared" si="114"/>
        <v>0</v>
      </c>
      <c r="AG59" s="171">
        <f t="shared" si="114"/>
        <v>0</v>
      </c>
      <c r="AH59" s="171">
        <f t="shared" si="114"/>
        <v>0</v>
      </c>
      <c r="AI59" s="171">
        <f t="shared" si="114"/>
        <v>0</v>
      </c>
      <c r="AJ59" s="171">
        <f t="shared" si="114"/>
        <v>0</v>
      </c>
      <c r="AK59" s="171">
        <f t="shared" si="114"/>
        <v>0</v>
      </c>
      <c r="AL59" s="171">
        <f t="shared" si="114"/>
        <v>0</v>
      </c>
      <c r="AM59" s="171">
        <f t="shared" si="114"/>
        <v>0</v>
      </c>
      <c r="AN59" s="171">
        <f t="shared" si="114"/>
        <v>0</v>
      </c>
      <c r="AO59" s="171">
        <f t="shared" si="114"/>
        <v>0</v>
      </c>
      <c r="AP59" s="171">
        <f t="shared" si="114"/>
        <v>0</v>
      </c>
      <c r="AQ59" s="171">
        <f t="shared" si="114"/>
        <v>0</v>
      </c>
      <c r="AR59" s="171">
        <f t="shared" si="114"/>
        <v>0</v>
      </c>
      <c r="AS59" s="171">
        <f t="shared" si="114"/>
        <v>0</v>
      </c>
      <c r="AT59" s="171">
        <f t="shared" si="114"/>
        <v>0</v>
      </c>
      <c r="AU59" s="171">
        <f t="shared" si="114"/>
        <v>0</v>
      </c>
      <c r="AV59" s="171">
        <f t="shared" si="114"/>
        <v>0</v>
      </c>
      <c r="AW59" s="171">
        <f t="shared" si="114"/>
        <v>0</v>
      </c>
      <c r="AX59" s="171">
        <f t="shared" si="114"/>
        <v>0</v>
      </c>
      <c r="AY59" s="171">
        <f t="shared" si="114"/>
        <v>0</v>
      </c>
      <c r="AZ59" s="171">
        <f t="shared" si="114"/>
        <v>0</v>
      </c>
      <c r="BA59" s="171">
        <f t="shared" si="114"/>
        <v>0</v>
      </c>
      <c r="BB59" s="171">
        <f t="shared" si="114"/>
        <v>0</v>
      </c>
      <c r="BC59" s="171">
        <f t="shared" si="114"/>
        <v>0</v>
      </c>
      <c r="BD59" s="171">
        <f t="shared" si="114"/>
        <v>0</v>
      </c>
      <c r="BE59" s="171">
        <f t="shared" si="114"/>
        <v>0</v>
      </c>
      <c r="BF59" s="171">
        <f t="shared" si="114"/>
        <v>0</v>
      </c>
      <c r="BG59" s="171">
        <f t="shared" si="114"/>
        <v>0</v>
      </c>
      <c r="BH59" s="171">
        <f t="shared" si="114"/>
        <v>0</v>
      </c>
      <c r="BI59" s="171">
        <f t="shared" si="114"/>
        <v>0</v>
      </c>
      <c r="BJ59" s="171">
        <f t="shared" si="114"/>
        <v>0</v>
      </c>
      <c r="BK59" s="171">
        <f t="shared" si="114"/>
        <v>0</v>
      </c>
      <c r="BL59" s="171">
        <f t="shared" si="114"/>
        <v>0</v>
      </c>
      <c r="BM59" s="171">
        <f t="shared" si="114"/>
        <v>0</v>
      </c>
      <c r="BN59" s="171">
        <f t="shared" si="114"/>
        <v>0</v>
      </c>
      <c r="BO59" s="171">
        <f t="shared" si="114"/>
        <v>0</v>
      </c>
      <c r="BP59" s="171">
        <f t="shared" si="114"/>
        <v>0</v>
      </c>
      <c r="BQ59" s="171">
        <f t="shared" si="114"/>
        <v>0</v>
      </c>
      <c r="BR59" s="171">
        <f t="shared" si="114"/>
        <v>0</v>
      </c>
      <c r="BS59" s="171">
        <f t="shared" si="114"/>
        <v>0</v>
      </c>
      <c r="BT59" s="171">
        <f t="shared" si="114"/>
        <v>0</v>
      </c>
      <c r="BU59" s="171">
        <f t="shared" si="114"/>
        <v>0</v>
      </c>
      <c r="BV59" s="171">
        <f t="shared" si="114"/>
        <v>0</v>
      </c>
      <c r="BW59" s="171">
        <f t="shared" si="114"/>
        <v>0</v>
      </c>
      <c r="BX59" s="171">
        <f t="shared" si="114"/>
        <v>0</v>
      </c>
      <c r="BY59" s="171">
        <f t="shared" ref="BY59:DT59" si="115">BY56+BY57-BY58</f>
        <v>0</v>
      </c>
      <c r="BZ59" s="171">
        <f t="shared" si="115"/>
        <v>0</v>
      </c>
      <c r="CA59" s="171">
        <f t="shared" si="115"/>
        <v>0</v>
      </c>
      <c r="CB59" s="171">
        <f t="shared" si="115"/>
        <v>0</v>
      </c>
      <c r="CC59" s="171">
        <f t="shared" si="115"/>
        <v>0</v>
      </c>
      <c r="CD59" s="171">
        <f t="shared" si="115"/>
        <v>0</v>
      </c>
      <c r="CE59" s="171">
        <f t="shared" si="115"/>
        <v>0</v>
      </c>
      <c r="CF59" s="171">
        <f t="shared" si="115"/>
        <v>0</v>
      </c>
      <c r="CG59" s="171">
        <f t="shared" si="115"/>
        <v>0</v>
      </c>
      <c r="CH59" s="171">
        <f t="shared" si="115"/>
        <v>0</v>
      </c>
      <c r="CI59" s="171">
        <f t="shared" si="115"/>
        <v>0</v>
      </c>
      <c r="CJ59" s="171">
        <f t="shared" si="115"/>
        <v>0</v>
      </c>
      <c r="CK59" s="171">
        <f t="shared" si="115"/>
        <v>0</v>
      </c>
      <c r="CL59" s="171">
        <f t="shared" si="115"/>
        <v>0</v>
      </c>
      <c r="CM59" s="171">
        <f t="shared" si="115"/>
        <v>0</v>
      </c>
      <c r="CN59" s="171">
        <f t="shared" si="115"/>
        <v>0</v>
      </c>
      <c r="CO59" s="171">
        <f t="shared" si="115"/>
        <v>0</v>
      </c>
      <c r="CP59" s="171">
        <f t="shared" si="115"/>
        <v>0</v>
      </c>
      <c r="CQ59" s="171">
        <f t="shared" si="115"/>
        <v>0</v>
      </c>
      <c r="CR59" s="171">
        <f t="shared" si="115"/>
        <v>0</v>
      </c>
      <c r="CS59" s="171">
        <f t="shared" si="115"/>
        <v>0</v>
      </c>
      <c r="CT59" s="171">
        <f t="shared" si="115"/>
        <v>0</v>
      </c>
      <c r="CU59" s="171">
        <f t="shared" si="115"/>
        <v>0</v>
      </c>
      <c r="CV59" s="171">
        <f t="shared" si="115"/>
        <v>0</v>
      </c>
      <c r="CW59" s="171">
        <f t="shared" si="115"/>
        <v>0</v>
      </c>
      <c r="CX59" s="171">
        <f t="shared" si="115"/>
        <v>0</v>
      </c>
      <c r="CY59" s="171">
        <f t="shared" si="115"/>
        <v>0</v>
      </c>
      <c r="CZ59" s="171">
        <f t="shared" si="115"/>
        <v>0</v>
      </c>
      <c r="DA59" s="171">
        <f t="shared" si="115"/>
        <v>0</v>
      </c>
      <c r="DB59" s="171">
        <f t="shared" si="115"/>
        <v>0</v>
      </c>
      <c r="DC59" s="171">
        <f t="shared" si="115"/>
        <v>0</v>
      </c>
      <c r="DD59" s="171">
        <f t="shared" si="115"/>
        <v>0</v>
      </c>
      <c r="DE59" s="171">
        <f t="shared" si="115"/>
        <v>0</v>
      </c>
      <c r="DF59" s="171">
        <f t="shared" si="115"/>
        <v>0</v>
      </c>
      <c r="DG59" s="171">
        <f t="shared" si="115"/>
        <v>0</v>
      </c>
      <c r="DH59" s="171">
        <f t="shared" si="115"/>
        <v>0</v>
      </c>
      <c r="DI59" s="171">
        <f t="shared" si="115"/>
        <v>0</v>
      </c>
      <c r="DJ59" s="171">
        <f t="shared" si="115"/>
        <v>0</v>
      </c>
      <c r="DK59" s="171">
        <f t="shared" si="115"/>
        <v>0</v>
      </c>
      <c r="DL59" s="171">
        <f t="shared" si="115"/>
        <v>0</v>
      </c>
      <c r="DM59" s="171">
        <f t="shared" si="115"/>
        <v>0</v>
      </c>
      <c r="DN59" s="171">
        <f t="shared" si="115"/>
        <v>0</v>
      </c>
      <c r="DO59" s="171">
        <f t="shared" si="115"/>
        <v>0</v>
      </c>
      <c r="DP59" s="171">
        <f t="shared" si="115"/>
        <v>0</v>
      </c>
      <c r="DQ59" s="171">
        <f t="shared" si="115"/>
        <v>0</v>
      </c>
      <c r="DR59" s="171">
        <f t="shared" si="115"/>
        <v>0</v>
      </c>
      <c r="DS59" s="171">
        <f t="shared" si="115"/>
        <v>0</v>
      </c>
      <c r="DT59" s="171">
        <f t="shared" si="115"/>
        <v>0</v>
      </c>
      <c r="DU59" s="171">
        <f t="shared" ref="DU59:EA59" si="116">DU56+DU57-DU58</f>
        <v>0</v>
      </c>
      <c r="DV59" s="171">
        <f t="shared" si="116"/>
        <v>0</v>
      </c>
      <c r="DW59" s="171">
        <f t="shared" si="116"/>
        <v>0</v>
      </c>
      <c r="DX59" s="171">
        <f t="shared" si="116"/>
        <v>0</v>
      </c>
      <c r="DY59" s="171">
        <f t="shared" si="116"/>
        <v>0</v>
      </c>
      <c r="DZ59" s="171">
        <f t="shared" si="116"/>
        <v>0</v>
      </c>
      <c r="EA59" s="171">
        <f t="shared" si="116"/>
        <v>0</v>
      </c>
      <c r="EB59" s="171">
        <f t="shared" ref="EB59:EQ59" si="117">EB56+EB57-EB58</f>
        <v>0</v>
      </c>
      <c r="EC59" s="171">
        <f t="shared" si="117"/>
        <v>0</v>
      </c>
      <c r="ED59" s="1321">
        <f t="shared" si="117"/>
        <v>0</v>
      </c>
      <c r="EE59" s="171">
        <f t="shared" si="117"/>
        <v>0</v>
      </c>
      <c r="EF59" s="171">
        <f t="shared" si="117"/>
        <v>0</v>
      </c>
      <c r="EG59" s="171">
        <f t="shared" si="117"/>
        <v>0</v>
      </c>
      <c r="EH59" s="171">
        <f t="shared" si="117"/>
        <v>0</v>
      </c>
      <c r="EI59" s="171">
        <f t="shared" si="117"/>
        <v>0</v>
      </c>
      <c r="EJ59" s="171">
        <f t="shared" si="117"/>
        <v>0</v>
      </c>
      <c r="EK59" s="171">
        <f t="shared" si="117"/>
        <v>0</v>
      </c>
      <c r="EL59" s="171">
        <f t="shared" si="117"/>
        <v>0</v>
      </c>
      <c r="EM59" s="171">
        <f t="shared" si="117"/>
        <v>0</v>
      </c>
      <c r="EN59" s="171">
        <f t="shared" si="117"/>
        <v>0</v>
      </c>
      <c r="EO59" s="171">
        <f t="shared" si="117"/>
        <v>0</v>
      </c>
      <c r="EP59" s="171">
        <f t="shared" si="117"/>
        <v>0</v>
      </c>
      <c r="EQ59" s="171">
        <f t="shared" si="117"/>
        <v>0</v>
      </c>
    </row>
    <row r="60" spans="3:147" ht="11.25" customHeight="1">
      <c r="C60" s="158" t="s">
        <v>1081</v>
      </c>
      <c r="D60" s="159"/>
      <c r="E60" s="159"/>
      <c r="F60" s="159"/>
      <c r="G60" s="159"/>
      <c r="H60" s="160"/>
      <c r="I60" s="219"/>
      <c r="J60" s="161"/>
      <c r="K60" s="98"/>
      <c r="L60" s="162"/>
      <c r="M60" s="162"/>
      <c r="N60" s="162"/>
      <c r="O60" s="162"/>
      <c r="P60" s="162"/>
      <c r="Q60" s="162"/>
      <c r="R60" s="162"/>
      <c r="S60" s="162"/>
      <c r="T60" s="162"/>
      <c r="U60" s="162"/>
      <c r="V60" s="162"/>
      <c r="W60" s="162"/>
      <c r="X60" s="162"/>
      <c r="Y60" s="162"/>
      <c r="Z60" s="162"/>
      <c r="AA60" s="162"/>
      <c r="AB60" s="162"/>
      <c r="AC60" s="162"/>
      <c r="AD60" s="162"/>
      <c r="AE60" s="162"/>
      <c r="AF60" s="162"/>
      <c r="AG60" s="162"/>
      <c r="AH60" s="162"/>
      <c r="AI60" s="162"/>
      <c r="AJ60" s="162"/>
      <c r="AK60" s="162"/>
      <c r="AL60" s="162"/>
      <c r="AM60" s="162"/>
      <c r="AN60" s="162"/>
      <c r="AO60" s="162"/>
      <c r="AP60" s="162"/>
      <c r="AQ60" s="162"/>
      <c r="AR60" s="162"/>
      <c r="AS60" s="162"/>
      <c r="AT60" s="162"/>
      <c r="AU60" s="162"/>
      <c r="AV60" s="162"/>
      <c r="AW60" s="162"/>
      <c r="AX60" s="162"/>
      <c r="AY60" s="162"/>
      <c r="AZ60" s="162"/>
      <c r="BA60" s="162"/>
      <c r="BB60" s="162"/>
      <c r="BC60" s="162"/>
      <c r="BD60" s="162"/>
      <c r="BE60" s="162"/>
      <c r="BF60" s="162"/>
      <c r="BG60" s="162"/>
      <c r="BH60" s="162"/>
      <c r="BI60" s="162"/>
      <c r="BJ60" s="162"/>
      <c r="BK60" s="162"/>
      <c r="BL60" s="162"/>
      <c r="BM60" s="162"/>
      <c r="BN60" s="162"/>
      <c r="BO60" s="162"/>
      <c r="BP60" s="162"/>
      <c r="BQ60" s="162"/>
      <c r="BR60" s="162"/>
      <c r="BS60" s="162"/>
      <c r="BT60" s="162"/>
      <c r="BU60" s="162"/>
      <c r="BV60" s="162"/>
      <c r="BW60" s="162"/>
      <c r="BX60" s="162"/>
      <c r="BY60" s="162"/>
      <c r="BZ60" s="162"/>
      <c r="CA60" s="162"/>
      <c r="CB60" s="162"/>
      <c r="CC60" s="162"/>
      <c r="CD60" s="162"/>
      <c r="CE60" s="162"/>
      <c r="CF60" s="162"/>
      <c r="CG60" s="162"/>
      <c r="CH60" s="162"/>
      <c r="CI60" s="162"/>
      <c r="CJ60" s="162"/>
      <c r="CK60" s="162"/>
      <c r="CL60" s="162"/>
      <c r="CM60" s="162"/>
      <c r="CN60" s="162"/>
      <c r="CO60" s="162"/>
      <c r="CP60" s="162"/>
      <c r="CQ60" s="162"/>
      <c r="CR60" s="162"/>
      <c r="CS60" s="162"/>
      <c r="CT60" s="162"/>
      <c r="CU60" s="162"/>
      <c r="CV60" s="162"/>
      <c r="CW60" s="162"/>
      <c r="CX60" s="162"/>
      <c r="CY60" s="162"/>
      <c r="CZ60" s="162"/>
      <c r="DA60" s="162"/>
      <c r="DB60" s="162"/>
      <c r="DC60" s="162"/>
      <c r="DD60" s="162"/>
      <c r="DE60" s="162"/>
      <c r="DF60" s="162"/>
      <c r="DG60" s="162"/>
      <c r="DH60" s="162"/>
      <c r="DI60" s="162"/>
      <c r="DJ60" s="162"/>
      <c r="DK60" s="162"/>
      <c r="DL60" s="162"/>
      <c r="DM60" s="162"/>
      <c r="DN60" s="162"/>
      <c r="DO60" s="162"/>
      <c r="DP60" s="162"/>
      <c r="DQ60" s="162"/>
      <c r="DR60" s="162"/>
      <c r="DS60" s="162"/>
      <c r="DT60" s="162"/>
      <c r="DU60" s="162"/>
      <c r="DV60" s="162"/>
      <c r="DW60" s="162"/>
      <c r="DX60" s="162"/>
      <c r="DY60" s="162"/>
      <c r="DZ60" s="162"/>
      <c r="EA60" s="162"/>
      <c r="EB60" s="162"/>
      <c r="EC60" s="162"/>
      <c r="ED60" s="1319"/>
      <c r="EE60" s="162"/>
      <c r="EF60" s="162"/>
      <c r="EG60" s="162"/>
      <c r="EH60" s="162"/>
      <c r="EI60" s="162"/>
      <c r="EJ60" s="162"/>
      <c r="EK60" s="162"/>
      <c r="EL60" s="162"/>
      <c r="EM60" s="162"/>
      <c r="EN60" s="162"/>
      <c r="EO60" s="162"/>
      <c r="EP60" s="162"/>
      <c r="EQ60" s="162"/>
    </row>
    <row r="61" spans="3:147" ht="11.25" customHeight="1">
      <c r="C61" s="163"/>
      <c r="D61" s="164" t="s">
        <v>217</v>
      </c>
      <c r="E61" s="165"/>
      <c r="F61" s="165"/>
      <c r="G61" s="165"/>
      <c r="H61" s="166"/>
      <c r="I61" s="221"/>
      <c r="J61" s="167"/>
      <c r="K61" s="98"/>
      <c r="L61" s="168">
        <f>K64</f>
        <v>0</v>
      </c>
      <c r="M61" s="168">
        <f t="shared" ref="M61:BX61" si="118">L64</f>
        <v>24000000</v>
      </c>
      <c r="N61" s="168">
        <f t="shared" si="118"/>
        <v>24000000</v>
      </c>
      <c r="O61" s="168">
        <f t="shared" si="118"/>
        <v>24000000</v>
      </c>
      <c r="P61" s="168">
        <f t="shared" si="118"/>
        <v>24000000</v>
      </c>
      <c r="Q61" s="168">
        <f t="shared" si="118"/>
        <v>24000000</v>
      </c>
      <c r="R61" s="168">
        <f t="shared" si="118"/>
        <v>24000000</v>
      </c>
      <c r="S61" s="168">
        <f t="shared" si="118"/>
        <v>24000000</v>
      </c>
      <c r="T61" s="168">
        <f t="shared" si="118"/>
        <v>24000000</v>
      </c>
      <c r="U61" s="168">
        <f t="shared" si="118"/>
        <v>24000000</v>
      </c>
      <c r="V61" s="168">
        <f t="shared" si="118"/>
        <v>24000000</v>
      </c>
      <c r="W61" s="168">
        <f t="shared" si="118"/>
        <v>24000000</v>
      </c>
      <c r="X61" s="168">
        <f t="shared" si="118"/>
        <v>24000000</v>
      </c>
      <c r="Y61" s="168">
        <f t="shared" si="118"/>
        <v>24000000</v>
      </c>
      <c r="Z61" s="168">
        <f t="shared" si="118"/>
        <v>24000000</v>
      </c>
      <c r="AA61" s="168">
        <f t="shared" si="118"/>
        <v>24000000</v>
      </c>
      <c r="AB61" s="168">
        <f t="shared" si="118"/>
        <v>24000000</v>
      </c>
      <c r="AC61" s="168">
        <f t="shared" si="118"/>
        <v>24000000</v>
      </c>
      <c r="AD61" s="168">
        <f t="shared" si="118"/>
        <v>24000000</v>
      </c>
      <c r="AE61" s="168">
        <f t="shared" si="118"/>
        <v>24000000</v>
      </c>
      <c r="AF61" s="168">
        <f t="shared" si="118"/>
        <v>24000000</v>
      </c>
      <c r="AG61" s="168">
        <f t="shared" si="118"/>
        <v>24000000</v>
      </c>
      <c r="AH61" s="168">
        <f t="shared" si="118"/>
        <v>24000000</v>
      </c>
      <c r="AI61" s="168">
        <f t="shared" si="118"/>
        <v>24000000</v>
      </c>
      <c r="AJ61" s="168">
        <f t="shared" si="118"/>
        <v>24000000</v>
      </c>
      <c r="AK61" s="168">
        <f t="shared" si="118"/>
        <v>24000000</v>
      </c>
      <c r="AL61" s="168">
        <f t="shared" si="118"/>
        <v>24000000</v>
      </c>
      <c r="AM61" s="168">
        <f t="shared" si="118"/>
        <v>24000000</v>
      </c>
      <c r="AN61" s="168">
        <f t="shared" si="118"/>
        <v>24000000</v>
      </c>
      <c r="AO61" s="168">
        <f t="shared" si="118"/>
        <v>24000000</v>
      </c>
      <c r="AP61" s="168">
        <f t="shared" si="118"/>
        <v>24000000</v>
      </c>
      <c r="AQ61" s="168">
        <f t="shared" si="118"/>
        <v>24000000</v>
      </c>
      <c r="AR61" s="168">
        <f t="shared" si="118"/>
        <v>24000000</v>
      </c>
      <c r="AS61" s="168">
        <f t="shared" si="118"/>
        <v>24000000</v>
      </c>
      <c r="AT61" s="168">
        <f t="shared" si="118"/>
        <v>24000000</v>
      </c>
      <c r="AU61" s="168">
        <f t="shared" si="118"/>
        <v>24000000</v>
      </c>
      <c r="AV61" s="168">
        <f t="shared" si="118"/>
        <v>24000000</v>
      </c>
      <c r="AW61" s="168">
        <f t="shared" si="118"/>
        <v>24000000</v>
      </c>
      <c r="AX61" s="168">
        <f t="shared" si="118"/>
        <v>24000000</v>
      </c>
      <c r="AY61" s="168">
        <f t="shared" si="118"/>
        <v>24000000</v>
      </c>
      <c r="AZ61" s="168">
        <f t="shared" si="118"/>
        <v>24000000</v>
      </c>
      <c r="BA61" s="168">
        <f t="shared" si="118"/>
        <v>24000000</v>
      </c>
      <c r="BB61" s="168">
        <f t="shared" si="118"/>
        <v>24000000</v>
      </c>
      <c r="BC61" s="168">
        <f t="shared" si="118"/>
        <v>24000000</v>
      </c>
      <c r="BD61" s="168">
        <f t="shared" si="118"/>
        <v>24000000</v>
      </c>
      <c r="BE61" s="168">
        <f t="shared" si="118"/>
        <v>24000000</v>
      </c>
      <c r="BF61" s="168">
        <f t="shared" si="118"/>
        <v>24000000</v>
      </c>
      <c r="BG61" s="168">
        <f t="shared" si="118"/>
        <v>24000000</v>
      </c>
      <c r="BH61" s="168">
        <f t="shared" si="118"/>
        <v>24000000</v>
      </c>
      <c r="BI61" s="168">
        <f t="shared" si="118"/>
        <v>24000000</v>
      </c>
      <c r="BJ61" s="168">
        <f t="shared" si="118"/>
        <v>24000000</v>
      </c>
      <c r="BK61" s="168">
        <f t="shared" si="118"/>
        <v>24000000</v>
      </c>
      <c r="BL61" s="168">
        <f t="shared" si="118"/>
        <v>24000000</v>
      </c>
      <c r="BM61" s="168">
        <f t="shared" si="118"/>
        <v>24000000</v>
      </c>
      <c r="BN61" s="168">
        <f t="shared" si="118"/>
        <v>24000000</v>
      </c>
      <c r="BO61" s="168">
        <f t="shared" si="118"/>
        <v>24000000</v>
      </c>
      <c r="BP61" s="168">
        <f t="shared" si="118"/>
        <v>24000000</v>
      </c>
      <c r="BQ61" s="168">
        <f t="shared" si="118"/>
        <v>24000000</v>
      </c>
      <c r="BR61" s="168">
        <f t="shared" si="118"/>
        <v>24000000</v>
      </c>
      <c r="BS61" s="168">
        <f t="shared" si="118"/>
        <v>24000000</v>
      </c>
      <c r="BT61" s="168">
        <f t="shared" si="118"/>
        <v>24000000</v>
      </c>
      <c r="BU61" s="168">
        <f t="shared" si="118"/>
        <v>24000000</v>
      </c>
      <c r="BV61" s="168">
        <f t="shared" si="118"/>
        <v>24000000</v>
      </c>
      <c r="BW61" s="168">
        <f t="shared" si="118"/>
        <v>24000000</v>
      </c>
      <c r="BX61" s="168">
        <f t="shared" si="118"/>
        <v>24000000</v>
      </c>
      <c r="BY61" s="168">
        <f t="shared" ref="BY61:DT61" si="119">BX64</f>
        <v>24000000</v>
      </c>
      <c r="BZ61" s="168">
        <f t="shared" si="119"/>
        <v>24000000</v>
      </c>
      <c r="CA61" s="168">
        <f t="shared" si="119"/>
        <v>24000000</v>
      </c>
      <c r="CB61" s="168">
        <f t="shared" si="119"/>
        <v>24000000</v>
      </c>
      <c r="CC61" s="168">
        <f t="shared" si="119"/>
        <v>24000000</v>
      </c>
      <c r="CD61" s="168">
        <f t="shared" si="119"/>
        <v>24000000</v>
      </c>
      <c r="CE61" s="168">
        <f t="shared" si="119"/>
        <v>24000000</v>
      </c>
      <c r="CF61" s="168">
        <f t="shared" si="119"/>
        <v>24000000</v>
      </c>
      <c r="CG61" s="168">
        <f t="shared" si="119"/>
        <v>24000000</v>
      </c>
      <c r="CH61" s="168">
        <f t="shared" si="119"/>
        <v>24000000</v>
      </c>
      <c r="CI61" s="168">
        <f t="shared" si="119"/>
        <v>24000000</v>
      </c>
      <c r="CJ61" s="168">
        <f t="shared" si="119"/>
        <v>24000000</v>
      </c>
      <c r="CK61" s="168">
        <f t="shared" si="119"/>
        <v>24000000</v>
      </c>
      <c r="CL61" s="168">
        <f t="shared" si="119"/>
        <v>24000000</v>
      </c>
      <c r="CM61" s="168">
        <f t="shared" si="119"/>
        <v>24000000</v>
      </c>
      <c r="CN61" s="168">
        <f t="shared" si="119"/>
        <v>24000000</v>
      </c>
      <c r="CO61" s="168">
        <f t="shared" si="119"/>
        <v>24000000</v>
      </c>
      <c r="CP61" s="168">
        <f t="shared" si="119"/>
        <v>24000000</v>
      </c>
      <c r="CQ61" s="168">
        <f t="shared" si="119"/>
        <v>24000000</v>
      </c>
      <c r="CR61" s="168">
        <f t="shared" si="119"/>
        <v>24000000</v>
      </c>
      <c r="CS61" s="168">
        <f t="shared" si="119"/>
        <v>24000000</v>
      </c>
      <c r="CT61" s="168">
        <f t="shared" si="119"/>
        <v>24000000</v>
      </c>
      <c r="CU61" s="168">
        <f t="shared" si="119"/>
        <v>24000000</v>
      </c>
      <c r="CV61" s="168">
        <f t="shared" si="119"/>
        <v>24000000</v>
      </c>
      <c r="CW61" s="168">
        <f t="shared" si="119"/>
        <v>24000000</v>
      </c>
      <c r="CX61" s="168">
        <f t="shared" si="119"/>
        <v>24000000</v>
      </c>
      <c r="CY61" s="168">
        <f t="shared" si="119"/>
        <v>24000000</v>
      </c>
      <c r="CZ61" s="168">
        <f t="shared" si="119"/>
        <v>24000000</v>
      </c>
      <c r="DA61" s="168">
        <f t="shared" si="119"/>
        <v>24000000</v>
      </c>
      <c r="DB61" s="168">
        <f t="shared" si="119"/>
        <v>24000000</v>
      </c>
      <c r="DC61" s="168">
        <f t="shared" si="119"/>
        <v>24000000</v>
      </c>
      <c r="DD61" s="168">
        <f t="shared" si="119"/>
        <v>24000000</v>
      </c>
      <c r="DE61" s="168">
        <f t="shared" si="119"/>
        <v>24000000</v>
      </c>
      <c r="DF61" s="168">
        <f t="shared" si="119"/>
        <v>24000000</v>
      </c>
      <c r="DG61" s="168">
        <f t="shared" si="119"/>
        <v>24000000</v>
      </c>
      <c r="DH61" s="168">
        <f t="shared" si="119"/>
        <v>24000000</v>
      </c>
      <c r="DI61" s="168">
        <f t="shared" si="119"/>
        <v>24000000</v>
      </c>
      <c r="DJ61" s="168">
        <f t="shared" si="119"/>
        <v>24000000</v>
      </c>
      <c r="DK61" s="168">
        <f t="shared" si="119"/>
        <v>24000000</v>
      </c>
      <c r="DL61" s="168">
        <f t="shared" si="119"/>
        <v>24000000</v>
      </c>
      <c r="DM61" s="168">
        <f t="shared" si="119"/>
        <v>24000000</v>
      </c>
      <c r="DN61" s="168">
        <f t="shared" si="119"/>
        <v>24000000</v>
      </c>
      <c r="DO61" s="168">
        <f t="shared" si="119"/>
        <v>24000000</v>
      </c>
      <c r="DP61" s="168">
        <f t="shared" si="119"/>
        <v>24000000</v>
      </c>
      <c r="DQ61" s="168">
        <f t="shared" si="119"/>
        <v>24000000</v>
      </c>
      <c r="DR61" s="168">
        <f t="shared" si="119"/>
        <v>24000000</v>
      </c>
      <c r="DS61" s="168">
        <f t="shared" si="119"/>
        <v>24000000</v>
      </c>
      <c r="DT61" s="168">
        <f t="shared" si="119"/>
        <v>24000000</v>
      </c>
      <c r="DU61" s="168">
        <f t="shared" ref="DU61:EQ61" si="120">DT64</f>
        <v>24000000</v>
      </c>
      <c r="DV61" s="168">
        <f t="shared" si="120"/>
        <v>24000000</v>
      </c>
      <c r="DW61" s="168">
        <f t="shared" si="120"/>
        <v>24000000</v>
      </c>
      <c r="DX61" s="168">
        <f t="shared" si="120"/>
        <v>24000000</v>
      </c>
      <c r="DY61" s="168">
        <f t="shared" si="120"/>
        <v>24000000</v>
      </c>
      <c r="DZ61" s="168">
        <f t="shared" si="120"/>
        <v>24000000</v>
      </c>
      <c r="EA61" s="168">
        <f t="shared" si="120"/>
        <v>24000000</v>
      </c>
      <c r="EB61" s="168">
        <f t="shared" si="120"/>
        <v>24000000</v>
      </c>
      <c r="EC61" s="168">
        <f t="shared" si="120"/>
        <v>0</v>
      </c>
      <c r="ED61" s="1320">
        <f t="shared" si="120"/>
        <v>0</v>
      </c>
      <c r="EE61" s="168">
        <f t="shared" si="120"/>
        <v>0</v>
      </c>
      <c r="EF61" s="168">
        <f t="shared" si="120"/>
        <v>0</v>
      </c>
      <c r="EG61" s="168">
        <f t="shared" si="120"/>
        <v>0</v>
      </c>
      <c r="EH61" s="168">
        <f t="shared" si="120"/>
        <v>0</v>
      </c>
      <c r="EI61" s="168">
        <f t="shared" si="120"/>
        <v>0</v>
      </c>
      <c r="EJ61" s="168">
        <f t="shared" si="120"/>
        <v>0</v>
      </c>
      <c r="EK61" s="168">
        <f t="shared" si="120"/>
        <v>0</v>
      </c>
      <c r="EL61" s="168">
        <f t="shared" si="120"/>
        <v>0</v>
      </c>
      <c r="EM61" s="168">
        <f t="shared" si="120"/>
        <v>0</v>
      </c>
      <c r="EN61" s="168">
        <f t="shared" si="120"/>
        <v>0</v>
      </c>
      <c r="EO61" s="168">
        <f t="shared" si="120"/>
        <v>0</v>
      </c>
      <c r="EP61" s="168">
        <f t="shared" si="120"/>
        <v>0</v>
      </c>
      <c r="EQ61" s="168">
        <f t="shared" si="120"/>
        <v>0</v>
      </c>
    </row>
    <row r="62" spans="3:147" ht="11.25" customHeight="1">
      <c r="C62" s="163"/>
      <c r="D62" s="169" t="s">
        <v>218</v>
      </c>
      <c r="H62" s="146">
        <f>'A&amp;R'!M41</f>
        <v>46326</v>
      </c>
      <c r="I62" s="13">
        <f>'A&amp;R'!P41</f>
        <v>24000000</v>
      </c>
      <c r="J62" s="170">
        <f>SUM(L62:EQ62)</f>
        <v>24000000</v>
      </c>
      <c r="K62" s="98"/>
      <c r="L62" s="171">
        <f>(L$14=$H62)*$I62</f>
        <v>24000000</v>
      </c>
      <c r="M62" s="171">
        <f t="shared" ref="M62:BX62" si="121">(M$14=$H62)*$I62</f>
        <v>0</v>
      </c>
      <c r="N62" s="171">
        <f t="shared" si="121"/>
        <v>0</v>
      </c>
      <c r="O62" s="171">
        <f t="shared" si="121"/>
        <v>0</v>
      </c>
      <c r="P62" s="171">
        <f t="shared" si="121"/>
        <v>0</v>
      </c>
      <c r="Q62" s="171">
        <f t="shared" si="121"/>
        <v>0</v>
      </c>
      <c r="R62" s="171">
        <f t="shared" si="121"/>
        <v>0</v>
      </c>
      <c r="S62" s="171">
        <f t="shared" si="121"/>
        <v>0</v>
      </c>
      <c r="T62" s="171">
        <f t="shared" si="121"/>
        <v>0</v>
      </c>
      <c r="U62" s="171">
        <f t="shared" si="121"/>
        <v>0</v>
      </c>
      <c r="V62" s="171">
        <f t="shared" si="121"/>
        <v>0</v>
      </c>
      <c r="W62" s="171">
        <f t="shared" si="121"/>
        <v>0</v>
      </c>
      <c r="X62" s="171">
        <f t="shared" si="121"/>
        <v>0</v>
      </c>
      <c r="Y62" s="171">
        <f t="shared" si="121"/>
        <v>0</v>
      </c>
      <c r="Z62" s="171">
        <f t="shared" si="121"/>
        <v>0</v>
      </c>
      <c r="AA62" s="171">
        <f t="shared" si="121"/>
        <v>0</v>
      </c>
      <c r="AB62" s="171">
        <f t="shared" si="121"/>
        <v>0</v>
      </c>
      <c r="AC62" s="171">
        <f t="shared" si="121"/>
        <v>0</v>
      </c>
      <c r="AD62" s="171">
        <f t="shared" si="121"/>
        <v>0</v>
      </c>
      <c r="AE62" s="171">
        <f t="shared" si="121"/>
        <v>0</v>
      </c>
      <c r="AF62" s="171">
        <f t="shared" si="121"/>
        <v>0</v>
      </c>
      <c r="AG62" s="171">
        <f t="shared" si="121"/>
        <v>0</v>
      </c>
      <c r="AH62" s="171">
        <f t="shared" si="121"/>
        <v>0</v>
      </c>
      <c r="AI62" s="171">
        <f t="shared" si="121"/>
        <v>0</v>
      </c>
      <c r="AJ62" s="171">
        <f t="shared" si="121"/>
        <v>0</v>
      </c>
      <c r="AK62" s="171">
        <f t="shared" si="121"/>
        <v>0</v>
      </c>
      <c r="AL62" s="171">
        <f t="shared" si="121"/>
        <v>0</v>
      </c>
      <c r="AM62" s="171">
        <f t="shared" si="121"/>
        <v>0</v>
      </c>
      <c r="AN62" s="171">
        <f t="shared" si="121"/>
        <v>0</v>
      </c>
      <c r="AO62" s="171">
        <f t="shared" si="121"/>
        <v>0</v>
      </c>
      <c r="AP62" s="171">
        <f t="shared" si="121"/>
        <v>0</v>
      </c>
      <c r="AQ62" s="171">
        <f t="shared" si="121"/>
        <v>0</v>
      </c>
      <c r="AR62" s="171">
        <f t="shared" si="121"/>
        <v>0</v>
      </c>
      <c r="AS62" s="171">
        <f t="shared" si="121"/>
        <v>0</v>
      </c>
      <c r="AT62" s="171">
        <f t="shared" si="121"/>
        <v>0</v>
      </c>
      <c r="AU62" s="171">
        <f t="shared" si="121"/>
        <v>0</v>
      </c>
      <c r="AV62" s="171">
        <f t="shared" si="121"/>
        <v>0</v>
      </c>
      <c r="AW62" s="171">
        <f t="shared" si="121"/>
        <v>0</v>
      </c>
      <c r="AX62" s="171">
        <f t="shared" si="121"/>
        <v>0</v>
      </c>
      <c r="AY62" s="171">
        <f t="shared" si="121"/>
        <v>0</v>
      </c>
      <c r="AZ62" s="171">
        <f t="shared" si="121"/>
        <v>0</v>
      </c>
      <c r="BA62" s="171">
        <f t="shared" si="121"/>
        <v>0</v>
      </c>
      <c r="BB62" s="171">
        <f t="shared" si="121"/>
        <v>0</v>
      </c>
      <c r="BC62" s="171">
        <f t="shared" si="121"/>
        <v>0</v>
      </c>
      <c r="BD62" s="171">
        <f t="shared" si="121"/>
        <v>0</v>
      </c>
      <c r="BE62" s="171">
        <f t="shared" si="121"/>
        <v>0</v>
      </c>
      <c r="BF62" s="171">
        <f t="shared" si="121"/>
        <v>0</v>
      </c>
      <c r="BG62" s="171">
        <f t="shared" si="121"/>
        <v>0</v>
      </c>
      <c r="BH62" s="171">
        <f t="shared" si="121"/>
        <v>0</v>
      </c>
      <c r="BI62" s="171">
        <f t="shared" si="121"/>
        <v>0</v>
      </c>
      <c r="BJ62" s="171">
        <f t="shared" si="121"/>
        <v>0</v>
      </c>
      <c r="BK62" s="171">
        <f t="shared" si="121"/>
        <v>0</v>
      </c>
      <c r="BL62" s="171">
        <f t="shared" si="121"/>
        <v>0</v>
      </c>
      <c r="BM62" s="171">
        <f t="shared" si="121"/>
        <v>0</v>
      </c>
      <c r="BN62" s="171">
        <f t="shared" si="121"/>
        <v>0</v>
      </c>
      <c r="BO62" s="171">
        <f t="shared" si="121"/>
        <v>0</v>
      </c>
      <c r="BP62" s="171">
        <f t="shared" si="121"/>
        <v>0</v>
      </c>
      <c r="BQ62" s="171">
        <f t="shared" si="121"/>
        <v>0</v>
      </c>
      <c r="BR62" s="171">
        <f t="shared" si="121"/>
        <v>0</v>
      </c>
      <c r="BS62" s="171">
        <f t="shared" si="121"/>
        <v>0</v>
      </c>
      <c r="BT62" s="171">
        <f t="shared" si="121"/>
        <v>0</v>
      </c>
      <c r="BU62" s="171">
        <f t="shared" si="121"/>
        <v>0</v>
      </c>
      <c r="BV62" s="171">
        <f t="shared" si="121"/>
        <v>0</v>
      </c>
      <c r="BW62" s="171">
        <f t="shared" si="121"/>
        <v>0</v>
      </c>
      <c r="BX62" s="171">
        <f t="shared" si="121"/>
        <v>0</v>
      </c>
      <c r="BY62" s="171">
        <f t="shared" ref="BY62:EQ62" si="122">(BY$14=$H62)*$I62</f>
        <v>0</v>
      </c>
      <c r="BZ62" s="171">
        <f t="shared" si="122"/>
        <v>0</v>
      </c>
      <c r="CA62" s="171">
        <f t="shared" si="122"/>
        <v>0</v>
      </c>
      <c r="CB62" s="171">
        <f t="shared" si="122"/>
        <v>0</v>
      </c>
      <c r="CC62" s="171">
        <f t="shared" si="122"/>
        <v>0</v>
      </c>
      <c r="CD62" s="171">
        <f t="shared" si="122"/>
        <v>0</v>
      </c>
      <c r="CE62" s="171">
        <f t="shared" si="122"/>
        <v>0</v>
      </c>
      <c r="CF62" s="171">
        <f t="shared" si="122"/>
        <v>0</v>
      </c>
      <c r="CG62" s="171">
        <f t="shared" si="122"/>
        <v>0</v>
      </c>
      <c r="CH62" s="171">
        <f t="shared" si="122"/>
        <v>0</v>
      </c>
      <c r="CI62" s="171">
        <f t="shared" si="122"/>
        <v>0</v>
      </c>
      <c r="CJ62" s="171">
        <f t="shared" si="122"/>
        <v>0</v>
      </c>
      <c r="CK62" s="171">
        <f t="shared" si="122"/>
        <v>0</v>
      </c>
      <c r="CL62" s="171">
        <f t="shared" si="122"/>
        <v>0</v>
      </c>
      <c r="CM62" s="171">
        <f t="shared" si="122"/>
        <v>0</v>
      </c>
      <c r="CN62" s="171">
        <f t="shared" si="122"/>
        <v>0</v>
      </c>
      <c r="CO62" s="171">
        <f t="shared" si="122"/>
        <v>0</v>
      </c>
      <c r="CP62" s="171">
        <f t="shared" si="122"/>
        <v>0</v>
      </c>
      <c r="CQ62" s="171">
        <f t="shared" si="122"/>
        <v>0</v>
      </c>
      <c r="CR62" s="171">
        <f t="shared" si="122"/>
        <v>0</v>
      </c>
      <c r="CS62" s="171">
        <f t="shared" si="122"/>
        <v>0</v>
      </c>
      <c r="CT62" s="171">
        <f t="shared" si="122"/>
        <v>0</v>
      </c>
      <c r="CU62" s="171">
        <f t="shared" si="122"/>
        <v>0</v>
      </c>
      <c r="CV62" s="171">
        <f t="shared" si="122"/>
        <v>0</v>
      </c>
      <c r="CW62" s="171">
        <f t="shared" si="122"/>
        <v>0</v>
      </c>
      <c r="CX62" s="171">
        <f t="shared" si="122"/>
        <v>0</v>
      </c>
      <c r="CY62" s="171">
        <f t="shared" si="122"/>
        <v>0</v>
      </c>
      <c r="CZ62" s="171">
        <f t="shared" si="122"/>
        <v>0</v>
      </c>
      <c r="DA62" s="171">
        <f t="shared" si="122"/>
        <v>0</v>
      </c>
      <c r="DB62" s="171">
        <f t="shared" si="122"/>
        <v>0</v>
      </c>
      <c r="DC62" s="171">
        <f t="shared" si="122"/>
        <v>0</v>
      </c>
      <c r="DD62" s="171">
        <f t="shared" si="122"/>
        <v>0</v>
      </c>
      <c r="DE62" s="171">
        <f t="shared" si="122"/>
        <v>0</v>
      </c>
      <c r="DF62" s="171">
        <f t="shared" si="122"/>
        <v>0</v>
      </c>
      <c r="DG62" s="171">
        <f t="shared" si="122"/>
        <v>0</v>
      </c>
      <c r="DH62" s="171">
        <f t="shared" si="122"/>
        <v>0</v>
      </c>
      <c r="DI62" s="171">
        <f t="shared" si="122"/>
        <v>0</v>
      </c>
      <c r="DJ62" s="171">
        <f t="shared" si="122"/>
        <v>0</v>
      </c>
      <c r="DK62" s="171">
        <f t="shared" si="122"/>
        <v>0</v>
      </c>
      <c r="DL62" s="171">
        <f t="shared" si="122"/>
        <v>0</v>
      </c>
      <c r="DM62" s="171">
        <f t="shared" si="122"/>
        <v>0</v>
      </c>
      <c r="DN62" s="171">
        <f t="shared" si="122"/>
        <v>0</v>
      </c>
      <c r="DO62" s="171">
        <f t="shared" si="122"/>
        <v>0</v>
      </c>
      <c r="DP62" s="171">
        <f t="shared" si="122"/>
        <v>0</v>
      </c>
      <c r="DQ62" s="171">
        <f t="shared" si="122"/>
        <v>0</v>
      </c>
      <c r="DR62" s="171">
        <f t="shared" si="122"/>
        <v>0</v>
      </c>
      <c r="DS62" s="171">
        <f t="shared" si="122"/>
        <v>0</v>
      </c>
      <c r="DT62" s="171">
        <f t="shared" si="122"/>
        <v>0</v>
      </c>
      <c r="DU62" s="171">
        <f t="shared" si="122"/>
        <v>0</v>
      </c>
      <c r="DV62" s="171">
        <f t="shared" si="122"/>
        <v>0</v>
      </c>
      <c r="DW62" s="171">
        <f t="shared" si="122"/>
        <v>0</v>
      </c>
      <c r="DX62" s="171">
        <f t="shared" si="122"/>
        <v>0</v>
      </c>
      <c r="DY62" s="171">
        <f t="shared" si="122"/>
        <v>0</v>
      </c>
      <c r="DZ62" s="171">
        <f t="shared" si="122"/>
        <v>0</v>
      </c>
      <c r="EA62" s="171">
        <f t="shared" si="122"/>
        <v>0</v>
      </c>
      <c r="EB62" s="171">
        <f t="shared" si="122"/>
        <v>0</v>
      </c>
      <c r="EC62" s="171">
        <f t="shared" si="122"/>
        <v>0</v>
      </c>
      <c r="ED62" s="1321">
        <f t="shared" si="122"/>
        <v>0</v>
      </c>
      <c r="EE62" s="171">
        <f t="shared" si="122"/>
        <v>0</v>
      </c>
      <c r="EF62" s="171">
        <f t="shared" si="122"/>
        <v>0</v>
      </c>
      <c r="EG62" s="171">
        <f t="shared" si="122"/>
        <v>0</v>
      </c>
      <c r="EH62" s="171">
        <f t="shared" si="122"/>
        <v>0</v>
      </c>
      <c r="EI62" s="171">
        <f t="shared" si="122"/>
        <v>0</v>
      </c>
      <c r="EJ62" s="171">
        <f t="shared" si="122"/>
        <v>0</v>
      </c>
      <c r="EK62" s="171">
        <f t="shared" si="122"/>
        <v>0</v>
      </c>
      <c r="EL62" s="171">
        <f t="shared" si="122"/>
        <v>0</v>
      </c>
      <c r="EM62" s="171">
        <f t="shared" si="122"/>
        <v>0</v>
      </c>
      <c r="EN62" s="171">
        <f t="shared" si="122"/>
        <v>0</v>
      </c>
      <c r="EO62" s="171">
        <f t="shared" si="122"/>
        <v>0</v>
      </c>
      <c r="EP62" s="171">
        <f t="shared" si="122"/>
        <v>0</v>
      </c>
      <c r="EQ62" s="171">
        <f t="shared" si="122"/>
        <v>0</v>
      </c>
    </row>
    <row r="63" spans="3:147" ht="11.25" customHeight="1">
      <c r="C63" s="163"/>
      <c r="D63" s="169" t="s">
        <v>219</v>
      </c>
      <c r="H63" s="146">
        <f>'A&amp;R'!N41</f>
        <v>49979</v>
      </c>
      <c r="J63" s="170">
        <f>SUM(L63:EQ63)</f>
        <v>24000000</v>
      </c>
      <c r="K63" s="98"/>
      <c r="L63" s="171">
        <f>SUM(L236,L241)</f>
        <v>0</v>
      </c>
      <c r="M63" s="171">
        <f t="shared" ref="M63:BX63" si="123">SUM(M236,M241)</f>
        <v>0</v>
      </c>
      <c r="N63" s="171">
        <f t="shared" si="123"/>
        <v>0</v>
      </c>
      <c r="O63" s="171">
        <f t="shared" si="123"/>
        <v>0</v>
      </c>
      <c r="P63" s="171">
        <f t="shared" si="123"/>
        <v>0</v>
      </c>
      <c r="Q63" s="171">
        <f t="shared" si="123"/>
        <v>0</v>
      </c>
      <c r="R63" s="171">
        <f t="shared" si="123"/>
        <v>0</v>
      </c>
      <c r="S63" s="171">
        <f t="shared" si="123"/>
        <v>0</v>
      </c>
      <c r="T63" s="171">
        <f t="shared" si="123"/>
        <v>0</v>
      </c>
      <c r="U63" s="171">
        <f t="shared" si="123"/>
        <v>0</v>
      </c>
      <c r="V63" s="171">
        <f t="shared" si="123"/>
        <v>0</v>
      </c>
      <c r="W63" s="171">
        <f t="shared" si="123"/>
        <v>0</v>
      </c>
      <c r="X63" s="171">
        <f t="shared" si="123"/>
        <v>0</v>
      </c>
      <c r="Y63" s="171">
        <f t="shared" si="123"/>
        <v>0</v>
      </c>
      <c r="Z63" s="171">
        <f t="shared" si="123"/>
        <v>0</v>
      </c>
      <c r="AA63" s="171">
        <f t="shared" si="123"/>
        <v>0</v>
      </c>
      <c r="AB63" s="171">
        <f t="shared" si="123"/>
        <v>0</v>
      </c>
      <c r="AC63" s="171">
        <f t="shared" si="123"/>
        <v>0</v>
      </c>
      <c r="AD63" s="171">
        <f t="shared" si="123"/>
        <v>0</v>
      </c>
      <c r="AE63" s="171">
        <f t="shared" si="123"/>
        <v>0</v>
      </c>
      <c r="AF63" s="171">
        <f t="shared" si="123"/>
        <v>0</v>
      </c>
      <c r="AG63" s="171">
        <f t="shared" si="123"/>
        <v>0</v>
      </c>
      <c r="AH63" s="171">
        <f t="shared" si="123"/>
        <v>0</v>
      </c>
      <c r="AI63" s="171">
        <f t="shared" si="123"/>
        <v>0</v>
      </c>
      <c r="AJ63" s="171">
        <f t="shared" si="123"/>
        <v>0</v>
      </c>
      <c r="AK63" s="171">
        <f t="shared" si="123"/>
        <v>0</v>
      </c>
      <c r="AL63" s="171">
        <f t="shared" si="123"/>
        <v>0</v>
      </c>
      <c r="AM63" s="171">
        <f t="shared" si="123"/>
        <v>0</v>
      </c>
      <c r="AN63" s="171">
        <f t="shared" si="123"/>
        <v>0</v>
      </c>
      <c r="AO63" s="171">
        <f t="shared" si="123"/>
        <v>0</v>
      </c>
      <c r="AP63" s="171">
        <f t="shared" si="123"/>
        <v>0</v>
      </c>
      <c r="AQ63" s="171">
        <f t="shared" si="123"/>
        <v>0</v>
      </c>
      <c r="AR63" s="171">
        <f t="shared" si="123"/>
        <v>0</v>
      </c>
      <c r="AS63" s="171">
        <f t="shared" si="123"/>
        <v>0</v>
      </c>
      <c r="AT63" s="171">
        <f t="shared" si="123"/>
        <v>0</v>
      </c>
      <c r="AU63" s="171">
        <f t="shared" si="123"/>
        <v>0</v>
      </c>
      <c r="AV63" s="171">
        <f t="shared" si="123"/>
        <v>0</v>
      </c>
      <c r="AW63" s="171">
        <f t="shared" si="123"/>
        <v>0</v>
      </c>
      <c r="AX63" s="171">
        <f t="shared" si="123"/>
        <v>0</v>
      </c>
      <c r="AY63" s="171">
        <f t="shared" si="123"/>
        <v>0</v>
      </c>
      <c r="AZ63" s="171">
        <f t="shared" si="123"/>
        <v>0</v>
      </c>
      <c r="BA63" s="171">
        <f t="shared" si="123"/>
        <v>0</v>
      </c>
      <c r="BB63" s="171">
        <f t="shared" si="123"/>
        <v>0</v>
      </c>
      <c r="BC63" s="171">
        <f t="shared" si="123"/>
        <v>0</v>
      </c>
      <c r="BD63" s="171">
        <f t="shared" si="123"/>
        <v>0</v>
      </c>
      <c r="BE63" s="171">
        <f t="shared" si="123"/>
        <v>0</v>
      </c>
      <c r="BF63" s="171">
        <f t="shared" si="123"/>
        <v>0</v>
      </c>
      <c r="BG63" s="171">
        <f t="shared" si="123"/>
        <v>0</v>
      </c>
      <c r="BH63" s="171">
        <f t="shared" si="123"/>
        <v>0</v>
      </c>
      <c r="BI63" s="171">
        <f t="shared" si="123"/>
        <v>0</v>
      </c>
      <c r="BJ63" s="171">
        <f t="shared" si="123"/>
        <v>0</v>
      </c>
      <c r="BK63" s="171">
        <f t="shared" si="123"/>
        <v>0</v>
      </c>
      <c r="BL63" s="171">
        <f t="shared" si="123"/>
        <v>0</v>
      </c>
      <c r="BM63" s="171">
        <f t="shared" si="123"/>
        <v>0</v>
      </c>
      <c r="BN63" s="171">
        <f t="shared" si="123"/>
        <v>0</v>
      </c>
      <c r="BO63" s="171">
        <f t="shared" si="123"/>
        <v>0</v>
      </c>
      <c r="BP63" s="171">
        <f t="shared" si="123"/>
        <v>0</v>
      </c>
      <c r="BQ63" s="171">
        <f t="shared" si="123"/>
        <v>0</v>
      </c>
      <c r="BR63" s="171">
        <f t="shared" si="123"/>
        <v>0</v>
      </c>
      <c r="BS63" s="171">
        <f t="shared" si="123"/>
        <v>0</v>
      </c>
      <c r="BT63" s="171">
        <f t="shared" si="123"/>
        <v>0</v>
      </c>
      <c r="BU63" s="171">
        <f t="shared" si="123"/>
        <v>0</v>
      </c>
      <c r="BV63" s="171">
        <f t="shared" si="123"/>
        <v>0</v>
      </c>
      <c r="BW63" s="171">
        <f t="shared" si="123"/>
        <v>0</v>
      </c>
      <c r="BX63" s="171">
        <f t="shared" si="123"/>
        <v>0</v>
      </c>
      <c r="BY63" s="171">
        <f t="shared" ref="BY63:DT63" si="124">SUM(BY236,BY241)</f>
        <v>0</v>
      </c>
      <c r="BZ63" s="171">
        <f t="shared" si="124"/>
        <v>0</v>
      </c>
      <c r="CA63" s="171">
        <f t="shared" si="124"/>
        <v>0</v>
      </c>
      <c r="CB63" s="171">
        <f t="shared" si="124"/>
        <v>0</v>
      </c>
      <c r="CC63" s="171">
        <f t="shared" si="124"/>
        <v>0</v>
      </c>
      <c r="CD63" s="171">
        <f t="shared" si="124"/>
        <v>0</v>
      </c>
      <c r="CE63" s="171">
        <f t="shared" si="124"/>
        <v>0</v>
      </c>
      <c r="CF63" s="171">
        <f t="shared" si="124"/>
        <v>0</v>
      </c>
      <c r="CG63" s="171">
        <f t="shared" si="124"/>
        <v>0</v>
      </c>
      <c r="CH63" s="171">
        <f t="shared" si="124"/>
        <v>0</v>
      </c>
      <c r="CI63" s="171">
        <f t="shared" si="124"/>
        <v>0</v>
      </c>
      <c r="CJ63" s="171">
        <f t="shared" si="124"/>
        <v>0</v>
      </c>
      <c r="CK63" s="171">
        <f t="shared" si="124"/>
        <v>0</v>
      </c>
      <c r="CL63" s="171">
        <f t="shared" si="124"/>
        <v>0</v>
      </c>
      <c r="CM63" s="171">
        <f t="shared" si="124"/>
        <v>0</v>
      </c>
      <c r="CN63" s="171">
        <f t="shared" si="124"/>
        <v>0</v>
      </c>
      <c r="CO63" s="171">
        <f t="shared" si="124"/>
        <v>0</v>
      </c>
      <c r="CP63" s="171">
        <f t="shared" si="124"/>
        <v>0</v>
      </c>
      <c r="CQ63" s="171">
        <f t="shared" si="124"/>
        <v>0</v>
      </c>
      <c r="CR63" s="171">
        <f t="shared" si="124"/>
        <v>0</v>
      </c>
      <c r="CS63" s="171">
        <f t="shared" si="124"/>
        <v>0</v>
      </c>
      <c r="CT63" s="171">
        <f t="shared" si="124"/>
        <v>0</v>
      </c>
      <c r="CU63" s="171">
        <f t="shared" si="124"/>
        <v>0</v>
      </c>
      <c r="CV63" s="171">
        <f t="shared" si="124"/>
        <v>0</v>
      </c>
      <c r="CW63" s="171">
        <f t="shared" si="124"/>
        <v>0</v>
      </c>
      <c r="CX63" s="171">
        <f t="shared" si="124"/>
        <v>0</v>
      </c>
      <c r="CY63" s="171">
        <f t="shared" si="124"/>
        <v>0</v>
      </c>
      <c r="CZ63" s="171">
        <f t="shared" si="124"/>
        <v>0</v>
      </c>
      <c r="DA63" s="171">
        <f t="shared" si="124"/>
        <v>0</v>
      </c>
      <c r="DB63" s="171">
        <f t="shared" si="124"/>
        <v>0</v>
      </c>
      <c r="DC63" s="171">
        <f t="shared" si="124"/>
        <v>0</v>
      </c>
      <c r="DD63" s="171">
        <f t="shared" si="124"/>
        <v>0</v>
      </c>
      <c r="DE63" s="171">
        <f t="shared" si="124"/>
        <v>0</v>
      </c>
      <c r="DF63" s="171">
        <f t="shared" si="124"/>
        <v>0</v>
      </c>
      <c r="DG63" s="171">
        <f t="shared" si="124"/>
        <v>0</v>
      </c>
      <c r="DH63" s="171">
        <f t="shared" si="124"/>
        <v>0</v>
      </c>
      <c r="DI63" s="171">
        <f t="shared" si="124"/>
        <v>0</v>
      </c>
      <c r="DJ63" s="171">
        <f t="shared" si="124"/>
        <v>0</v>
      </c>
      <c r="DK63" s="171">
        <f t="shared" si="124"/>
        <v>0</v>
      </c>
      <c r="DL63" s="171">
        <f t="shared" si="124"/>
        <v>0</v>
      </c>
      <c r="DM63" s="171">
        <f t="shared" si="124"/>
        <v>0</v>
      </c>
      <c r="DN63" s="171">
        <f t="shared" si="124"/>
        <v>0</v>
      </c>
      <c r="DO63" s="171">
        <f t="shared" si="124"/>
        <v>0</v>
      </c>
      <c r="DP63" s="171">
        <f t="shared" si="124"/>
        <v>0</v>
      </c>
      <c r="DQ63" s="171">
        <f t="shared" si="124"/>
        <v>0</v>
      </c>
      <c r="DR63" s="171">
        <f t="shared" si="124"/>
        <v>0</v>
      </c>
      <c r="DS63" s="171">
        <f t="shared" si="124"/>
        <v>0</v>
      </c>
      <c r="DT63" s="171">
        <f t="shared" si="124"/>
        <v>0</v>
      </c>
      <c r="DU63" s="171">
        <f t="shared" ref="DU63:EA63" si="125">SUM(DU236,DU241)</f>
        <v>0</v>
      </c>
      <c r="DV63" s="171">
        <f t="shared" si="125"/>
        <v>0</v>
      </c>
      <c r="DW63" s="171">
        <f t="shared" si="125"/>
        <v>0</v>
      </c>
      <c r="DX63" s="171">
        <f t="shared" si="125"/>
        <v>0</v>
      </c>
      <c r="DY63" s="171">
        <f t="shared" si="125"/>
        <v>0</v>
      </c>
      <c r="DZ63" s="171">
        <f t="shared" si="125"/>
        <v>0</v>
      </c>
      <c r="EA63" s="171">
        <f t="shared" si="125"/>
        <v>0</v>
      </c>
      <c r="EB63" s="171">
        <f t="shared" ref="EB63:EQ63" si="126">SUM(EB236,EB241)</f>
        <v>24000000</v>
      </c>
      <c r="EC63" s="171">
        <f t="shared" si="126"/>
        <v>0</v>
      </c>
      <c r="ED63" s="1321">
        <f t="shared" si="126"/>
        <v>0</v>
      </c>
      <c r="EE63" s="171">
        <f t="shared" si="126"/>
        <v>0</v>
      </c>
      <c r="EF63" s="171">
        <f t="shared" si="126"/>
        <v>0</v>
      </c>
      <c r="EG63" s="171">
        <f t="shared" si="126"/>
        <v>0</v>
      </c>
      <c r="EH63" s="171">
        <f t="shared" si="126"/>
        <v>0</v>
      </c>
      <c r="EI63" s="171">
        <f t="shared" si="126"/>
        <v>0</v>
      </c>
      <c r="EJ63" s="171">
        <f t="shared" si="126"/>
        <v>0</v>
      </c>
      <c r="EK63" s="171">
        <f t="shared" si="126"/>
        <v>0</v>
      </c>
      <c r="EL63" s="171">
        <f t="shared" si="126"/>
        <v>0</v>
      </c>
      <c r="EM63" s="171">
        <f t="shared" si="126"/>
        <v>0</v>
      </c>
      <c r="EN63" s="171">
        <f t="shared" si="126"/>
        <v>0</v>
      </c>
      <c r="EO63" s="171">
        <f t="shared" si="126"/>
        <v>0</v>
      </c>
      <c r="EP63" s="171">
        <f t="shared" si="126"/>
        <v>0</v>
      </c>
      <c r="EQ63" s="171">
        <f t="shared" si="126"/>
        <v>0</v>
      </c>
    </row>
    <row r="64" spans="3:147" ht="11.25" customHeight="1">
      <c r="C64" s="163"/>
      <c r="D64" s="169" t="s">
        <v>220</v>
      </c>
      <c r="J64" s="170"/>
      <c r="K64" s="98"/>
      <c r="L64" s="171">
        <f>L61+L62-L63</f>
        <v>24000000</v>
      </c>
      <c r="M64" s="171">
        <f t="shared" ref="M64:BX64" si="127">M61+M62-M63</f>
        <v>24000000</v>
      </c>
      <c r="N64" s="171">
        <f t="shared" si="127"/>
        <v>24000000</v>
      </c>
      <c r="O64" s="171">
        <f t="shared" si="127"/>
        <v>24000000</v>
      </c>
      <c r="P64" s="171">
        <f t="shared" si="127"/>
        <v>24000000</v>
      </c>
      <c r="Q64" s="171">
        <f t="shared" si="127"/>
        <v>24000000</v>
      </c>
      <c r="R64" s="171">
        <f t="shared" si="127"/>
        <v>24000000</v>
      </c>
      <c r="S64" s="171">
        <f t="shared" si="127"/>
        <v>24000000</v>
      </c>
      <c r="T64" s="171">
        <f t="shared" si="127"/>
        <v>24000000</v>
      </c>
      <c r="U64" s="171">
        <f t="shared" si="127"/>
        <v>24000000</v>
      </c>
      <c r="V64" s="171">
        <f t="shared" si="127"/>
        <v>24000000</v>
      </c>
      <c r="W64" s="171">
        <f t="shared" si="127"/>
        <v>24000000</v>
      </c>
      <c r="X64" s="171">
        <f t="shared" si="127"/>
        <v>24000000</v>
      </c>
      <c r="Y64" s="171">
        <f t="shared" si="127"/>
        <v>24000000</v>
      </c>
      <c r="Z64" s="171">
        <f t="shared" si="127"/>
        <v>24000000</v>
      </c>
      <c r="AA64" s="171">
        <f t="shared" si="127"/>
        <v>24000000</v>
      </c>
      <c r="AB64" s="171">
        <f t="shared" si="127"/>
        <v>24000000</v>
      </c>
      <c r="AC64" s="171">
        <f t="shared" si="127"/>
        <v>24000000</v>
      </c>
      <c r="AD64" s="171">
        <f t="shared" si="127"/>
        <v>24000000</v>
      </c>
      <c r="AE64" s="171">
        <f t="shared" si="127"/>
        <v>24000000</v>
      </c>
      <c r="AF64" s="171">
        <f t="shared" si="127"/>
        <v>24000000</v>
      </c>
      <c r="AG64" s="171">
        <f t="shared" si="127"/>
        <v>24000000</v>
      </c>
      <c r="AH64" s="171">
        <f t="shared" si="127"/>
        <v>24000000</v>
      </c>
      <c r="AI64" s="171">
        <f t="shared" si="127"/>
        <v>24000000</v>
      </c>
      <c r="AJ64" s="171">
        <f t="shared" si="127"/>
        <v>24000000</v>
      </c>
      <c r="AK64" s="171">
        <f t="shared" si="127"/>
        <v>24000000</v>
      </c>
      <c r="AL64" s="171">
        <f t="shared" si="127"/>
        <v>24000000</v>
      </c>
      <c r="AM64" s="171">
        <f t="shared" si="127"/>
        <v>24000000</v>
      </c>
      <c r="AN64" s="171">
        <f t="shared" si="127"/>
        <v>24000000</v>
      </c>
      <c r="AO64" s="171">
        <f t="shared" si="127"/>
        <v>24000000</v>
      </c>
      <c r="AP64" s="171">
        <f t="shared" si="127"/>
        <v>24000000</v>
      </c>
      <c r="AQ64" s="171">
        <f t="shared" si="127"/>
        <v>24000000</v>
      </c>
      <c r="AR64" s="171">
        <f t="shared" si="127"/>
        <v>24000000</v>
      </c>
      <c r="AS64" s="171">
        <f t="shared" si="127"/>
        <v>24000000</v>
      </c>
      <c r="AT64" s="171">
        <f t="shared" si="127"/>
        <v>24000000</v>
      </c>
      <c r="AU64" s="171">
        <f t="shared" si="127"/>
        <v>24000000</v>
      </c>
      <c r="AV64" s="171">
        <f t="shared" si="127"/>
        <v>24000000</v>
      </c>
      <c r="AW64" s="171">
        <f t="shared" si="127"/>
        <v>24000000</v>
      </c>
      <c r="AX64" s="171">
        <f t="shared" si="127"/>
        <v>24000000</v>
      </c>
      <c r="AY64" s="171">
        <f t="shared" si="127"/>
        <v>24000000</v>
      </c>
      <c r="AZ64" s="171">
        <f t="shared" si="127"/>
        <v>24000000</v>
      </c>
      <c r="BA64" s="171">
        <f t="shared" si="127"/>
        <v>24000000</v>
      </c>
      <c r="BB64" s="171">
        <f t="shared" si="127"/>
        <v>24000000</v>
      </c>
      <c r="BC64" s="171">
        <f t="shared" si="127"/>
        <v>24000000</v>
      </c>
      <c r="BD64" s="171">
        <f t="shared" si="127"/>
        <v>24000000</v>
      </c>
      <c r="BE64" s="171">
        <f t="shared" si="127"/>
        <v>24000000</v>
      </c>
      <c r="BF64" s="171">
        <f t="shared" si="127"/>
        <v>24000000</v>
      </c>
      <c r="BG64" s="171">
        <f t="shared" si="127"/>
        <v>24000000</v>
      </c>
      <c r="BH64" s="171">
        <f t="shared" si="127"/>
        <v>24000000</v>
      </c>
      <c r="BI64" s="171">
        <f t="shared" si="127"/>
        <v>24000000</v>
      </c>
      <c r="BJ64" s="171">
        <f t="shared" si="127"/>
        <v>24000000</v>
      </c>
      <c r="BK64" s="171">
        <f t="shared" si="127"/>
        <v>24000000</v>
      </c>
      <c r="BL64" s="171">
        <f t="shared" si="127"/>
        <v>24000000</v>
      </c>
      <c r="BM64" s="171">
        <f t="shared" si="127"/>
        <v>24000000</v>
      </c>
      <c r="BN64" s="171">
        <f t="shared" si="127"/>
        <v>24000000</v>
      </c>
      <c r="BO64" s="171">
        <f t="shared" si="127"/>
        <v>24000000</v>
      </c>
      <c r="BP64" s="171">
        <f t="shared" si="127"/>
        <v>24000000</v>
      </c>
      <c r="BQ64" s="171">
        <f t="shared" si="127"/>
        <v>24000000</v>
      </c>
      <c r="BR64" s="171">
        <f t="shared" si="127"/>
        <v>24000000</v>
      </c>
      <c r="BS64" s="171">
        <f t="shared" si="127"/>
        <v>24000000</v>
      </c>
      <c r="BT64" s="171">
        <f t="shared" si="127"/>
        <v>24000000</v>
      </c>
      <c r="BU64" s="171">
        <f t="shared" si="127"/>
        <v>24000000</v>
      </c>
      <c r="BV64" s="171">
        <f t="shared" si="127"/>
        <v>24000000</v>
      </c>
      <c r="BW64" s="171">
        <f t="shared" si="127"/>
        <v>24000000</v>
      </c>
      <c r="BX64" s="171">
        <f t="shared" si="127"/>
        <v>24000000</v>
      </c>
      <c r="BY64" s="171">
        <f t="shared" ref="BY64:DT64" si="128">BY61+BY62-BY63</f>
        <v>24000000</v>
      </c>
      <c r="BZ64" s="171">
        <f t="shared" si="128"/>
        <v>24000000</v>
      </c>
      <c r="CA64" s="171">
        <f t="shared" si="128"/>
        <v>24000000</v>
      </c>
      <c r="CB64" s="171">
        <f t="shared" si="128"/>
        <v>24000000</v>
      </c>
      <c r="CC64" s="171">
        <f t="shared" si="128"/>
        <v>24000000</v>
      </c>
      <c r="CD64" s="171">
        <f t="shared" si="128"/>
        <v>24000000</v>
      </c>
      <c r="CE64" s="171">
        <f t="shared" si="128"/>
        <v>24000000</v>
      </c>
      <c r="CF64" s="171">
        <f t="shared" si="128"/>
        <v>24000000</v>
      </c>
      <c r="CG64" s="171">
        <f t="shared" si="128"/>
        <v>24000000</v>
      </c>
      <c r="CH64" s="171">
        <f t="shared" si="128"/>
        <v>24000000</v>
      </c>
      <c r="CI64" s="171">
        <f t="shared" si="128"/>
        <v>24000000</v>
      </c>
      <c r="CJ64" s="171">
        <f t="shared" si="128"/>
        <v>24000000</v>
      </c>
      <c r="CK64" s="171">
        <f t="shared" si="128"/>
        <v>24000000</v>
      </c>
      <c r="CL64" s="171">
        <f t="shared" si="128"/>
        <v>24000000</v>
      </c>
      <c r="CM64" s="171">
        <f t="shared" si="128"/>
        <v>24000000</v>
      </c>
      <c r="CN64" s="171">
        <f t="shared" si="128"/>
        <v>24000000</v>
      </c>
      <c r="CO64" s="171">
        <f t="shared" si="128"/>
        <v>24000000</v>
      </c>
      <c r="CP64" s="171">
        <f t="shared" si="128"/>
        <v>24000000</v>
      </c>
      <c r="CQ64" s="171">
        <f t="shared" si="128"/>
        <v>24000000</v>
      </c>
      <c r="CR64" s="171">
        <f t="shared" si="128"/>
        <v>24000000</v>
      </c>
      <c r="CS64" s="171">
        <f t="shared" si="128"/>
        <v>24000000</v>
      </c>
      <c r="CT64" s="171">
        <f t="shared" si="128"/>
        <v>24000000</v>
      </c>
      <c r="CU64" s="171">
        <f t="shared" si="128"/>
        <v>24000000</v>
      </c>
      <c r="CV64" s="171">
        <f t="shared" si="128"/>
        <v>24000000</v>
      </c>
      <c r="CW64" s="171">
        <f t="shared" si="128"/>
        <v>24000000</v>
      </c>
      <c r="CX64" s="171">
        <f t="shared" si="128"/>
        <v>24000000</v>
      </c>
      <c r="CY64" s="171">
        <f t="shared" si="128"/>
        <v>24000000</v>
      </c>
      <c r="CZ64" s="171">
        <f t="shared" si="128"/>
        <v>24000000</v>
      </c>
      <c r="DA64" s="171">
        <f t="shared" si="128"/>
        <v>24000000</v>
      </c>
      <c r="DB64" s="171">
        <f t="shared" si="128"/>
        <v>24000000</v>
      </c>
      <c r="DC64" s="171">
        <f t="shared" si="128"/>
        <v>24000000</v>
      </c>
      <c r="DD64" s="171">
        <f t="shared" si="128"/>
        <v>24000000</v>
      </c>
      <c r="DE64" s="171">
        <f t="shared" si="128"/>
        <v>24000000</v>
      </c>
      <c r="DF64" s="171">
        <f t="shared" si="128"/>
        <v>24000000</v>
      </c>
      <c r="DG64" s="171">
        <f t="shared" si="128"/>
        <v>24000000</v>
      </c>
      <c r="DH64" s="171">
        <f t="shared" si="128"/>
        <v>24000000</v>
      </c>
      <c r="DI64" s="171">
        <f t="shared" si="128"/>
        <v>24000000</v>
      </c>
      <c r="DJ64" s="171">
        <f t="shared" si="128"/>
        <v>24000000</v>
      </c>
      <c r="DK64" s="171">
        <f t="shared" si="128"/>
        <v>24000000</v>
      </c>
      <c r="DL64" s="171">
        <f t="shared" si="128"/>
        <v>24000000</v>
      </c>
      <c r="DM64" s="171">
        <f t="shared" si="128"/>
        <v>24000000</v>
      </c>
      <c r="DN64" s="171">
        <f t="shared" si="128"/>
        <v>24000000</v>
      </c>
      <c r="DO64" s="171">
        <f t="shared" si="128"/>
        <v>24000000</v>
      </c>
      <c r="DP64" s="171">
        <f t="shared" si="128"/>
        <v>24000000</v>
      </c>
      <c r="DQ64" s="171">
        <f t="shared" si="128"/>
        <v>24000000</v>
      </c>
      <c r="DR64" s="171">
        <f t="shared" si="128"/>
        <v>24000000</v>
      </c>
      <c r="DS64" s="171">
        <f t="shared" si="128"/>
        <v>24000000</v>
      </c>
      <c r="DT64" s="171">
        <f t="shared" si="128"/>
        <v>24000000</v>
      </c>
      <c r="DU64" s="171">
        <f t="shared" ref="DU64:EA64" si="129">DU61+DU62-DU63</f>
        <v>24000000</v>
      </c>
      <c r="DV64" s="171">
        <f t="shared" si="129"/>
        <v>24000000</v>
      </c>
      <c r="DW64" s="171">
        <f t="shared" si="129"/>
        <v>24000000</v>
      </c>
      <c r="DX64" s="171">
        <f t="shared" si="129"/>
        <v>24000000</v>
      </c>
      <c r="DY64" s="171">
        <f t="shared" si="129"/>
        <v>24000000</v>
      </c>
      <c r="DZ64" s="171">
        <f t="shared" si="129"/>
        <v>24000000</v>
      </c>
      <c r="EA64" s="171">
        <f t="shared" si="129"/>
        <v>24000000</v>
      </c>
      <c r="EB64" s="171">
        <f t="shared" ref="EB64:EQ64" si="130">EB61+EB62-EB63</f>
        <v>0</v>
      </c>
      <c r="EC64" s="171">
        <f t="shared" si="130"/>
        <v>0</v>
      </c>
      <c r="ED64" s="1321">
        <f t="shared" si="130"/>
        <v>0</v>
      </c>
      <c r="EE64" s="171">
        <f t="shared" si="130"/>
        <v>0</v>
      </c>
      <c r="EF64" s="171">
        <f t="shared" si="130"/>
        <v>0</v>
      </c>
      <c r="EG64" s="171">
        <f t="shared" si="130"/>
        <v>0</v>
      </c>
      <c r="EH64" s="171">
        <f t="shared" si="130"/>
        <v>0</v>
      </c>
      <c r="EI64" s="171">
        <f t="shared" si="130"/>
        <v>0</v>
      </c>
      <c r="EJ64" s="171">
        <f t="shared" si="130"/>
        <v>0</v>
      </c>
      <c r="EK64" s="171">
        <f t="shared" si="130"/>
        <v>0</v>
      </c>
      <c r="EL64" s="171">
        <f t="shared" si="130"/>
        <v>0</v>
      </c>
      <c r="EM64" s="171">
        <f t="shared" si="130"/>
        <v>0</v>
      </c>
      <c r="EN64" s="171">
        <f t="shared" si="130"/>
        <v>0</v>
      </c>
      <c r="EO64" s="171">
        <f t="shared" si="130"/>
        <v>0</v>
      </c>
      <c r="EP64" s="171">
        <f t="shared" si="130"/>
        <v>0</v>
      </c>
      <c r="EQ64" s="171">
        <f t="shared" si="130"/>
        <v>0</v>
      </c>
    </row>
    <row r="65" spans="3:147" ht="11.25" customHeight="1">
      <c r="C65" s="158" t="s">
        <v>1082</v>
      </c>
      <c r="D65" s="159"/>
      <c r="E65" s="159"/>
      <c r="F65" s="159"/>
      <c r="G65" s="159"/>
      <c r="H65" s="160"/>
      <c r="I65" s="219"/>
      <c r="J65" s="161"/>
      <c r="K65" s="98"/>
      <c r="L65" s="162"/>
      <c r="M65" s="162"/>
      <c r="N65" s="162"/>
      <c r="O65" s="162"/>
      <c r="P65" s="162"/>
      <c r="Q65" s="162"/>
      <c r="R65" s="162"/>
      <c r="S65" s="162"/>
      <c r="T65" s="162"/>
      <c r="U65" s="162"/>
      <c r="V65" s="162"/>
      <c r="W65" s="162"/>
      <c r="X65" s="162"/>
      <c r="Y65" s="162"/>
      <c r="Z65" s="162"/>
      <c r="AA65" s="162"/>
      <c r="AB65" s="162"/>
      <c r="AC65" s="162"/>
      <c r="AD65" s="162"/>
      <c r="AE65" s="162"/>
      <c r="AF65" s="162"/>
      <c r="AG65" s="162"/>
      <c r="AH65" s="162"/>
      <c r="AI65" s="162"/>
      <c r="AJ65" s="162"/>
      <c r="AK65" s="162"/>
      <c r="AL65" s="162"/>
      <c r="AM65" s="162"/>
      <c r="AN65" s="162"/>
      <c r="AO65" s="162"/>
      <c r="AP65" s="162"/>
      <c r="AQ65" s="162"/>
      <c r="AR65" s="162"/>
      <c r="AS65" s="162"/>
      <c r="AT65" s="162"/>
      <c r="AU65" s="162"/>
      <c r="AV65" s="162"/>
      <c r="AW65" s="162"/>
      <c r="AX65" s="162"/>
      <c r="AY65" s="162"/>
      <c r="AZ65" s="162"/>
      <c r="BA65" s="162"/>
      <c r="BB65" s="162"/>
      <c r="BC65" s="162"/>
      <c r="BD65" s="162"/>
      <c r="BE65" s="162"/>
      <c r="BF65" s="162"/>
      <c r="BG65" s="162"/>
      <c r="BH65" s="162"/>
      <c r="BI65" s="162"/>
      <c r="BJ65" s="162"/>
      <c r="BK65" s="162"/>
      <c r="BL65" s="162"/>
      <c r="BM65" s="162"/>
      <c r="BN65" s="162"/>
      <c r="BO65" s="162"/>
      <c r="BP65" s="162"/>
      <c r="BQ65" s="162"/>
      <c r="BR65" s="162"/>
      <c r="BS65" s="162"/>
      <c r="BT65" s="162"/>
      <c r="BU65" s="162"/>
      <c r="BV65" s="162"/>
      <c r="BW65" s="162"/>
      <c r="BX65" s="162"/>
      <c r="BY65" s="162"/>
      <c r="BZ65" s="162"/>
      <c r="CA65" s="162"/>
      <c r="CB65" s="162"/>
      <c r="CC65" s="162"/>
      <c r="CD65" s="162"/>
      <c r="CE65" s="162"/>
      <c r="CF65" s="162"/>
      <c r="CG65" s="162"/>
      <c r="CH65" s="162"/>
      <c r="CI65" s="162"/>
      <c r="CJ65" s="162"/>
      <c r="CK65" s="162"/>
      <c r="CL65" s="162"/>
      <c r="CM65" s="162"/>
      <c r="CN65" s="162"/>
      <c r="CO65" s="162"/>
      <c r="CP65" s="162"/>
      <c r="CQ65" s="162"/>
      <c r="CR65" s="162"/>
      <c r="CS65" s="162"/>
      <c r="CT65" s="162"/>
      <c r="CU65" s="162"/>
      <c r="CV65" s="162"/>
      <c r="CW65" s="162"/>
      <c r="CX65" s="162"/>
      <c r="CY65" s="162"/>
      <c r="CZ65" s="162"/>
      <c r="DA65" s="162"/>
      <c r="DB65" s="162"/>
      <c r="DC65" s="162"/>
      <c r="DD65" s="162"/>
      <c r="DE65" s="162"/>
      <c r="DF65" s="162"/>
      <c r="DG65" s="162"/>
      <c r="DH65" s="162"/>
      <c r="DI65" s="162"/>
      <c r="DJ65" s="162"/>
      <c r="DK65" s="162"/>
      <c r="DL65" s="162"/>
      <c r="DM65" s="162"/>
      <c r="DN65" s="162"/>
      <c r="DO65" s="162"/>
      <c r="DP65" s="162"/>
      <c r="DQ65" s="162"/>
      <c r="DR65" s="162"/>
      <c r="DS65" s="162"/>
      <c r="DT65" s="162"/>
      <c r="DU65" s="162"/>
      <c r="DV65" s="162"/>
      <c r="DW65" s="162"/>
      <c r="DX65" s="162"/>
      <c r="DY65" s="162"/>
      <c r="DZ65" s="162"/>
      <c r="EA65" s="162"/>
      <c r="EB65" s="162"/>
      <c r="EC65" s="162"/>
      <c r="ED65" s="1319"/>
      <c r="EE65" s="162"/>
      <c r="EF65" s="162"/>
      <c r="EG65" s="162"/>
      <c r="EH65" s="162"/>
      <c r="EI65" s="162"/>
      <c r="EJ65" s="162"/>
      <c r="EK65" s="162"/>
      <c r="EL65" s="162"/>
      <c r="EM65" s="162"/>
      <c r="EN65" s="162"/>
      <c r="EO65" s="162"/>
      <c r="EP65" s="162"/>
      <c r="EQ65" s="162"/>
    </row>
    <row r="66" spans="3:147" ht="11.25" customHeight="1">
      <c r="C66" s="163"/>
      <c r="D66" s="164" t="s">
        <v>217</v>
      </c>
      <c r="E66" s="165"/>
      <c r="F66" s="165"/>
      <c r="G66" s="165"/>
      <c r="H66" s="166"/>
      <c r="I66" s="221"/>
      <c r="J66" s="167"/>
      <c r="K66" s="98"/>
      <c r="L66" s="168">
        <f t="shared" ref="L66:AQ66" si="131">K69</f>
        <v>0</v>
      </c>
      <c r="M66" s="168">
        <f t="shared" si="131"/>
        <v>50000000</v>
      </c>
      <c r="N66" s="168">
        <f t="shared" si="131"/>
        <v>50000000</v>
      </c>
      <c r="O66" s="168">
        <f t="shared" si="131"/>
        <v>50000000</v>
      </c>
      <c r="P66" s="168">
        <f t="shared" si="131"/>
        <v>50000000</v>
      </c>
      <c r="Q66" s="168">
        <f t="shared" si="131"/>
        <v>50000000</v>
      </c>
      <c r="R66" s="168">
        <f t="shared" si="131"/>
        <v>50000000</v>
      </c>
      <c r="S66" s="168">
        <f t="shared" si="131"/>
        <v>50000000</v>
      </c>
      <c r="T66" s="168">
        <f t="shared" si="131"/>
        <v>50000000</v>
      </c>
      <c r="U66" s="168">
        <f t="shared" si="131"/>
        <v>50000000</v>
      </c>
      <c r="V66" s="168">
        <f t="shared" si="131"/>
        <v>50000000</v>
      </c>
      <c r="W66" s="168">
        <f t="shared" si="131"/>
        <v>50000000</v>
      </c>
      <c r="X66" s="168">
        <f t="shared" si="131"/>
        <v>50000000</v>
      </c>
      <c r="Y66" s="168">
        <f t="shared" si="131"/>
        <v>50000000</v>
      </c>
      <c r="Z66" s="168">
        <f t="shared" si="131"/>
        <v>50000000</v>
      </c>
      <c r="AA66" s="168">
        <f t="shared" si="131"/>
        <v>50000000</v>
      </c>
      <c r="AB66" s="168">
        <f t="shared" si="131"/>
        <v>50000000</v>
      </c>
      <c r="AC66" s="168">
        <f t="shared" si="131"/>
        <v>50000000</v>
      </c>
      <c r="AD66" s="168">
        <f t="shared" si="131"/>
        <v>50000000</v>
      </c>
      <c r="AE66" s="168">
        <f t="shared" si="131"/>
        <v>50000000</v>
      </c>
      <c r="AF66" s="168">
        <f t="shared" si="131"/>
        <v>50000000</v>
      </c>
      <c r="AG66" s="168">
        <f t="shared" si="131"/>
        <v>50000000</v>
      </c>
      <c r="AH66" s="168">
        <f t="shared" si="131"/>
        <v>50000000</v>
      </c>
      <c r="AI66" s="168">
        <f t="shared" si="131"/>
        <v>50000000</v>
      </c>
      <c r="AJ66" s="168">
        <f t="shared" si="131"/>
        <v>50000000</v>
      </c>
      <c r="AK66" s="168">
        <f t="shared" si="131"/>
        <v>50000000</v>
      </c>
      <c r="AL66" s="168">
        <f t="shared" si="131"/>
        <v>50000000</v>
      </c>
      <c r="AM66" s="168">
        <f t="shared" si="131"/>
        <v>50000000</v>
      </c>
      <c r="AN66" s="168">
        <f t="shared" si="131"/>
        <v>50000000</v>
      </c>
      <c r="AO66" s="168">
        <f t="shared" si="131"/>
        <v>50000000</v>
      </c>
      <c r="AP66" s="168">
        <f t="shared" si="131"/>
        <v>50000000</v>
      </c>
      <c r="AQ66" s="168">
        <f t="shared" si="131"/>
        <v>50000000</v>
      </c>
      <c r="AR66" s="168">
        <f t="shared" ref="AR66:BW66" si="132">AQ69</f>
        <v>50000000</v>
      </c>
      <c r="AS66" s="168">
        <f t="shared" si="132"/>
        <v>50000000</v>
      </c>
      <c r="AT66" s="168">
        <f t="shared" si="132"/>
        <v>50000000</v>
      </c>
      <c r="AU66" s="168">
        <f t="shared" si="132"/>
        <v>50000000</v>
      </c>
      <c r="AV66" s="168">
        <f t="shared" si="132"/>
        <v>50000000</v>
      </c>
      <c r="AW66" s="168">
        <f t="shared" si="132"/>
        <v>50000000</v>
      </c>
      <c r="AX66" s="168">
        <f t="shared" si="132"/>
        <v>50000000</v>
      </c>
      <c r="AY66" s="168">
        <f t="shared" si="132"/>
        <v>50000000</v>
      </c>
      <c r="AZ66" s="168">
        <f t="shared" si="132"/>
        <v>50000000</v>
      </c>
      <c r="BA66" s="168">
        <f t="shared" si="132"/>
        <v>50000000</v>
      </c>
      <c r="BB66" s="168">
        <f t="shared" si="132"/>
        <v>50000000</v>
      </c>
      <c r="BC66" s="168">
        <f t="shared" si="132"/>
        <v>50000000</v>
      </c>
      <c r="BD66" s="168">
        <f t="shared" si="132"/>
        <v>50000000</v>
      </c>
      <c r="BE66" s="168">
        <f t="shared" si="132"/>
        <v>50000000</v>
      </c>
      <c r="BF66" s="168">
        <f t="shared" si="132"/>
        <v>50000000</v>
      </c>
      <c r="BG66" s="168">
        <f t="shared" si="132"/>
        <v>50000000</v>
      </c>
      <c r="BH66" s="168">
        <f t="shared" si="132"/>
        <v>50000000</v>
      </c>
      <c r="BI66" s="168">
        <f t="shared" si="132"/>
        <v>50000000</v>
      </c>
      <c r="BJ66" s="168">
        <f t="shared" si="132"/>
        <v>50000000</v>
      </c>
      <c r="BK66" s="168">
        <f t="shared" si="132"/>
        <v>50000000</v>
      </c>
      <c r="BL66" s="168">
        <f t="shared" si="132"/>
        <v>50000000</v>
      </c>
      <c r="BM66" s="168">
        <f t="shared" si="132"/>
        <v>50000000</v>
      </c>
      <c r="BN66" s="168">
        <f t="shared" si="132"/>
        <v>50000000</v>
      </c>
      <c r="BO66" s="168">
        <f t="shared" si="132"/>
        <v>50000000</v>
      </c>
      <c r="BP66" s="168">
        <f t="shared" si="132"/>
        <v>50000000</v>
      </c>
      <c r="BQ66" s="168">
        <f t="shared" si="132"/>
        <v>50000000</v>
      </c>
      <c r="BR66" s="168">
        <f t="shared" si="132"/>
        <v>50000000</v>
      </c>
      <c r="BS66" s="168">
        <f t="shared" si="132"/>
        <v>50000000</v>
      </c>
      <c r="BT66" s="168">
        <f t="shared" si="132"/>
        <v>50000000</v>
      </c>
      <c r="BU66" s="168">
        <f t="shared" si="132"/>
        <v>50000000</v>
      </c>
      <c r="BV66" s="168">
        <f t="shared" si="132"/>
        <v>50000000</v>
      </c>
      <c r="BW66" s="168">
        <f t="shared" si="132"/>
        <v>50000000</v>
      </c>
      <c r="BX66" s="168">
        <f t="shared" ref="BX66:DC66" si="133">BW69</f>
        <v>50000000</v>
      </c>
      <c r="BY66" s="168">
        <f t="shared" si="133"/>
        <v>50000000</v>
      </c>
      <c r="BZ66" s="168">
        <f t="shared" si="133"/>
        <v>50000000</v>
      </c>
      <c r="CA66" s="168">
        <f t="shared" si="133"/>
        <v>50000000</v>
      </c>
      <c r="CB66" s="168">
        <f t="shared" si="133"/>
        <v>50000000</v>
      </c>
      <c r="CC66" s="168">
        <f t="shared" si="133"/>
        <v>50000000</v>
      </c>
      <c r="CD66" s="168">
        <f t="shared" si="133"/>
        <v>50000000</v>
      </c>
      <c r="CE66" s="168">
        <f t="shared" si="133"/>
        <v>50000000</v>
      </c>
      <c r="CF66" s="168">
        <f t="shared" si="133"/>
        <v>50000000</v>
      </c>
      <c r="CG66" s="168">
        <f t="shared" si="133"/>
        <v>50000000</v>
      </c>
      <c r="CH66" s="168">
        <f t="shared" si="133"/>
        <v>50000000</v>
      </c>
      <c r="CI66" s="168">
        <f t="shared" si="133"/>
        <v>50000000</v>
      </c>
      <c r="CJ66" s="168">
        <f t="shared" si="133"/>
        <v>50000000</v>
      </c>
      <c r="CK66" s="168">
        <f t="shared" si="133"/>
        <v>50000000</v>
      </c>
      <c r="CL66" s="168">
        <f t="shared" si="133"/>
        <v>50000000</v>
      </c>
      <c r="CM66" s="168">
        <f t="shared" si="133"/>
        <v>50000000</v>
      </c>
      <c r="CN66" s="168">
        <f t="shared" si="133"/>
        <v>50000000</v>
      </c>
      <c r="CO66" s="168">
        <f t="shared" si="133"/>
        <v>50000000</v>
      </c>
      <c r="CP66" s="168">
        <f t="shared" si="133"/>
        <v>50000000</v>
      </c>
      <c r="CQ66" s="168">
        <f t="shared" si="133"/>
        <v>50000000</v>
      </c>
      <c r="CR66" s="168">
        <f t="shared" si="133"/>
        <v>50000000</v>
      </c>
      <c r="CS66" s="168">
        <f t="shared" si="133"/>
        <v>50000000</v>
      </c>
      <c r="CT66" s="168">
        <f t="shared" si="133"/>
        <v>50000000</v>
      </c>
      <c r="CU66" s="168">
        <f t="shared" si="133"/>
        <v>50000000</v>
      </c>
      <c r="CV66" s="168">
        <f t="shared" si="133"/>
        <v>50000000</v>
      </c>
      <c r="CW66" s="168">
        <f t="shared" si="133"/>
        <v>50000000</v>
      </c>
      <c r="CX66" s="168">
        <f t="shared" si="133"/>
        <v>50000000</v>
      </c>
      <c r="CY66" s="168">
        <f t="shared" si="133"/>
        <v>50000000</v>
      </c>
      <c r="CZ66" s="168">
        <f t="shared" si="133"/>
        <v>50000000</v>
      </c>
      <c r="DA66" s="168">
        <f t="shared" si="133"/>
        <v>50000000</v>
      </c>
      <c r="DB66" s="168">
        <f t="shared" si="133"/>
        <v>50000000</v>
      </c>
      <c r="DC66" s="168">
        <f t="shared" si="133"/>
        <v>50000000</v>
      </c>
      <c r="DD66" s="168">
        <f t="shared" ref="DD66:EI66" si="134">DC69</f>
        <v>50000000</v>
      </c>
      <c r="DE66" s="168">
        <f t="shared" si="134"/>
        <v>50000000</v>
      </c>
      <c r="DF66" s="168">
        <f t="shared" si="134"/>
        <v>50000000</v>
      </c>
      <c r="DG66" s="168">
        <f t="shared" si="134"/>
        <v>50000000</v>
      </c>
      <c r="DH66" s="168">
        <f t="shared" si="134"/>
        <v>50000000</v>
      </c>
      <c r="DI66" s="168">
        <f t="shared" si="134"/>
        <v>50000000</v>
      </c>
      <c r="DJ66" s="168">
        <f t="shared" si="134"/>
        <v>50000000</v>
      </c>
      <c r="DK66" s="168">
        <f t="shared" si="134"/>
        <v>50000000</v>
      </c>
      <c r="DL66" s="168">
        <f t="shared" si="134"/>
        <v>50000000</v>
      </c>
      <c r="DM66" s="168">
        <f t="shared" si="134"/>
        <v>50000000</v>
      </c>
      <c r="DN66" s="168">
        <f t="shared" si="134"/>
        <v>50000000</v>
      </c>
      <c r="DO66" s="168">
        <f t="shared" si="134"/>
        <v>50000000</v>
      </c>
      <c r="DP66" s="168">
        <f t="shared" si="134"/>
        <v>50000000</v>
      </c>
      <c r="DQ66" s="168">
        <f t="shared" si="134"/>
        <v>50000000</v>
      </c>
      <c r="DR66" s="168">
        <f t="shared" si="134"/>
        <v>50000000</v>
      </c>
      <c r="DS66" s="168">
        <f t="shared" si="134"/>
        <v>50000000</v>
      </c>
      <c r="DT66" s="168">
        <f t="shared" si="134"/>
        <v>50000000</v>
      </c>
      <c r="DU66" s="168">
        <f t="shared" si="134"/>
        <v>50000000</v>
      </c>
      <c r="DV66" s="168">
        <f t="shared" si="134"/>
        <v>50000000</v>
      </c>
      <c r="DW66" s="168">
        <f t="shared" si="134"/>
        <v>50000000</v>
      </c>
      <c r="DX66" s="168">
        <f t="shared" si="134"/>
        <v>50000000</v>
      </c>
      <c r="DY66" s="168">
        <f t="shared" si="134"/>
        <v>50000000</v>
      </c>
      <c r="DZ66" s="168">
        <f t="shared" si="134"/>
        <v>50000000</v>
      </c>
      <c r="EA66" s="168">
        <f t="shared" si="134"/>
        <v>50000000</v>
      </c>
      <c r="EB66" s="168">
        <f t="shared" si="134"/>
        <v>50000000</v>
      </c>
      <c r="EC66" s="168">
        <f t="shared" si="134"/>
        <v>0</v>
      </c>
      <c r="ED66" s="1320">
        <f t="shared" si="134"/>
        <v>0</v>
      </c>
      <c r="EE66" s="168">
        <f t="shared" si="134"/>
        <v>0</v>
      </c>
      <c r="EF66" s="168">
        <f t="shared" si="134"/>
        <v>0</v>
      </c>
      <c r="EG66" s="168">
        <f t="shared" si="134"/>
        <v>0</v>
      </c>
      <c r="EH66" s="168">
        <f t="shared" si="134"/>
        <v>0</v>
      </c>
      <c r="EI66" s="168">
        <f t="shared" si="134"/>
        <v>0</v>
      </c>
      <c r="EJ66" s="168">
        <f t="shared" ref="EJ66:EQ66" si="135">EI69</f>
        <v>0</v>
      </c>
      <c r="EK66" s="168">
        <f t="shared" si="135"/>
        <v>0</v>
      </c>
      <c r="EL66" s="168">
        <f t="shared" si="135"/>
        <v>0</v>
      </c>
      <c r="EM66" s="168">
        <f t="shared" si="135"/>
        <v>0</v>
      </c>
      <c r="EN66" s="168">
        <f t="shared" si="135"/>
        <v>0</v>
      </c>
      <c r="EO66" s="168">
        <f t="shared" si="135"/>
        <v>0</v>
      </c>
      <c r="EP66" s="168">
        <f t="shared" si="135"/>
        <v>0</v>
      </c>
      <c r="EQ66" s="168">
        <f t="shared" si="135"/>
        <v>0</v>
      </c>
    </row>
    <row r="67" spans="3:147" ht="11.25" customHeight="1">
      <c r="C67" s="163"/>
      <c r="D67" s="169" t="s">
        <v>218</v>
      </c>
      <c r="H67" s="146">
        <f>'A&amp;R'!M42</f>
        <v>46326</v>
      </c>
      <c r="I67" s="13">
        <f>'A&amp;R'!Q42</f>
        <v>50000000</v>
      </c>
      <c r="J67" s="170">
        <f>SUM(L67:EQ67)</f>
        <v>50000000</v>
      </c>
      <c r="K67" s="98"/>
      <c r="L67" s="171">
        <f>(L$14=$H67)*$I67</f>
        <v>50000000</v>
      </c>
      <c r="M67" s="171">
        <f t="shared" ref="M67:BX67" si="136">(M$14=$H67)*$I67</f>
        <v>0</v>
      </c>
      <c r="N67" s="171">
        <f t="shared" si="136"/>
        <v>0</v>
      </c>
      <c r="O67" s="171">
        <f t="shared" si="136"/>
        <v>0</v>
      </c>
      <c r="P67" s="171">
        <f t="shared" si="136"/>
        <v>0</v>
      </c>
      <c r="Q67" s="171">
        <f t="shared" si="136"/>
        <v>0</v>
      </c>
      <c r="R67" s="171">
        <f t="shared" si="136"/>
        <v>0</v>
      </c>
      <c r="S67" s="171">
        <f t="shared" si="136"/>
        <v>0</v>
      </c>
      <c r="T67" s="171">
        <f t="shared" si="136"/>
        <v>0</v>
      </c>
      <c r="U67" s="171">
        <f t="shared" si="136"/>
        <v>0</v>
      </c>
      <c r="V67" s="171">
        <f t="shared" si="136"/>
        <v>0</v>
      </c>
      <c r="W67" s="171">
        <f t="shared" si="136"/>
        <v>0</v>
      </c>
      <c r="X67" s="171">
        <f t="shared" si="136"/>
        <v>0</v>
      </c>
      <c r="Y67" s="171">
        <f t="shared" si="136"/>
        <v>0</v>
      </c>
      <c r="Z67" s="171">
        <f t="shared" si="136"/>
        <v>0</v>
      </c>
      <c r="AA67" s="171">
        <f t="shared" si="136"/>
        <v>0</v>
      </c>
      <c r="AB67" s="171">
        <f t="shared" si="136"/>
        <v>0</v>
      </c>
      <c r="AC67" s="171">
        <f t="shared" si="136"/>
        <v>0</v>
      </c>
      <c r="AD67" s="171">
        <f t="shared" si="136"/>
        <v>0</v>
      </c>
      <c r="AE67" s="171">
        <f t="shared" si="136"/>
        <v>0</v>
      </c>
      <c r="AF67" s="171">
        <f t="shared" si="136"/>
        <v>0</v>
      </c>
      <c r="AG67" s="171">
        <f t="shared" si="136"/>
        <v>0</v>
      </c>
      <c r="AH67" s="171">
        <f t="shared" si="136"/>
        <v>0</v>
      </c>
      <c r="AI67" s="171">
        <f t="shared" si="136"/>
        <v>0</v>
      </c>
      <c r="AJ67" s="171">
        <f t="shared" si="136"/>
        <v>0</v>
      </c>
      <c r="AK67" s="171">
        <f t="shared" si="136"/>
        <v>0</v>
      </c>
      <c r="AL67" s="171">
        <f t="shared" si="136"/>
        <v>0</v>
      </c>
      <c r="AM67" s="171">
        <f t="shared" si="136"/>
        <v>0</v>
      </c>
      <c r="AN67" s="171">
        <f t="shared" si="136"/>
        <v>0</v>
      </c>
      <c r="AO67" s="171">
        <f t="shared" si="136"/>
        <v>0</v>
      </c>
      <c r="AP67" s="171">
        <f t="shared" si="136"/>
        <v>0</v>
      </c>
      <c r="AQ67" s="171">
        <f t="shared" si="136"/>
        <v>0</v>
      </c>
      <c r="AR67" s="171">
        <f t="shared" si="136"/>
        <v>0</v>
      </c>
      <c r="AS67" s="171">
        <f t="shared" si="136"/>
        <v>0</v>
      </c>
      <c r="AT67" s="171">
        <f t="shared" si="136"/>
        <v>0</v>
      </c>
      <c r="AU67" s="171">
        <f t="shared" si="136"/>
        <v>0</v>
      </c>
      <c r="AV67" s="171">
        <f t="shared" si="136"/>
        <v>0</v>
      </c>
      <c r="AW67" s="171">
        <f t="shared" si="136"/>
        <v>0</v>
      </c>
      <c r="AX67" s="171">
        <f t="shared" si="136"/>
        <v>0</v>
      </c>
      <c r="AY67" s="171">
        <f t="shared" si="136"/>
        <v>0</v>
      </c>
      <c r="AZ67" s="171">
        <f t="shared" si="136"/>
        <v>0</v>
      </c>
      <c r="BA67" s="171">
        <f t="shared" si="136"/>
        <v>0</v>
      </c>
      <c r="BB67" s="171">
        <f t="shared" si="136"/>
        <v>0</v>
      </c>
      <c r="BC67" s="171">
        <f t="shared" si="136"/>
        <v>0</v>
      </c>
      <c r="BD67" s="171">
        <f t="shared" si="136"/>
        <v>0</v>
      </c>
      <c r="BE67" s="171">
        <f t="shared" si="136"/>
        <v>0</v>
      </c>
      <c r="BF67" s="171">
        <f t="shared" si="136"/>
        <v>0</v>
      </c>
      <c r="BG67" s="171">
        <f t="shared" si="136"/>
        <v>0</v>
      </c>
      <c r="BH67" s="171">
        <f t="shared" si="136"/>
        <v>0</v>
      </c>
      <c r="BI67" s="171">
        <f t="shared" si="136"/>
        <v>0</v>
      </c>
      <c r="BJ67" s="171">
        <f t="shared" si="136"/>
        <v>0</v>
      </c>
      <c r="BK67" s="171">
        <f t="shared" si="136"/>
        <v>0</v>
      </c>
      <c r="BL67" s="171">
        <f t="shared" si="136"/>
        <v>0</v>
      </c>
      <c r="BM67" s="171">
        <f t="shared" si="136"/>
        <v>0</v>
      </c>
      <c r="BN67" s="171">
        <f t="shared" si="136"/>
        <v>0</v>
      </c>
      <c r="BO67" s="171">
        <f t="shared" si="136"/>
        <v>0</v>
      </c>
      <c r="BP67" s="171">
        <f t="shared" si="136"/>
        <v>0</v>
      </c>
      <c r="BQ67" s="171">
        <f t="shared" si="136"/>
        <v>0</v>
      </c>
      <c r="BR67" s="171">
        <f t="shared" si="136"/>
        <v>0</v>
      </c>
      <c r="BS67" s="171">
        <f t="shared" si="136"/>
        <v>0</v>
      </c>
      <c r="BT67" s="171">
        <f t="shared" si="136"/>
        <v>0</v>
      </c>
      <c r="BU67" s="171">
        <f t="shared" si="136"/>
        <v>0</v>
      </c>
      <c r="BV67" s="171">
        <f t="shared" si="136"/>
        <v>0</v>
      </c>
      <c r="BW67" s="171">
        <f t="shared" si="136"/>
        <v>0</v>
      </c>
      <c r="BX67" s="171">
        <f t="shared" si="136"/>
        <v>0</v>
      </c>
      <c r="BY67" s="171">
        <f t="shared" ref="BY67:EQ67" si="137">(BY$14=$H67)*$I67</f>
        <v>0</v>
      </c>
      <c r="BZ67" s="171">
        <f t="shared" si="137"/>
        <v>0</v>
      </c>
      <c r="CA67" s="171">
        <f t="shared" si="137"/>
        <v>0</v>
      </c>
      <c r="CB67" s="171">
        <f t="shared" si="137"/>
        <v>0</v>
      </c>
      <c r="CC67" s="171">
        <f t="shared" si="137"/>
        <v>0</v>
      </c>
      <c r="CD67" s="171">
        <f t="shared" si="137"/>
        <v>0</v>
      </c>
      <c r="CE67" s="171">
        <f t="shared" si="137"/>
        <v>0</v>
      </c>
      <c r="CF67" s="171">
        <f t="shared" si="137"/>
        <v>0</v>
      </c>
      <c r="CG67" s="171">
        <f t="shared" si="137"/>
        <v>0</v>
      </c>
      <c r="CH67" s="171">
        <f t="shared" si="137"/>
        <v>0</v>
      </c>
      <c r="CI67" s="171">
        <f t="shared" si="137"/>
        <v>0</v>
      </c>
      <c r="CJ67" s="171">
        <f t="shared" si="137"/>
        <v>0</v>
      </c>
      <c r="CK67" s="171">
        <f t="shared" si="137"/>
        <v>0</v>
      </c>
      <c r="CL67" s="171">
        <f t="shared" si="137"/>
        <v>0</v>
      </c>
      <c r="CM67" s="171">
        <f t="shared" si="137"/>
        <v>0</v>
      </c>
      <c r="CN67" s="171">
        <f t="shared" si="137"/>
        <v>0</v>
      </c>
      <c r="CO67" s="171">
        <f t="shared" si="137"/>
        <v>0</v>
      </c>
      <c r="CP67" s="171">
        <f t="shared" si="137"/>
        <v>0</v>
      </c>
      <c r="CQ67" s="171">
        <f t="shared" si="137"/>
        <v>0</v>
      </c>
      <c r="CR67" s="171">
        <f t="shared" si="137"/>
        <v>0</v>
      </c>
      <c r="CS67" s="171">
        <f t="shared" si="137"/>
        <v>0</v>
      </c>
      <c r="CT67" s="171">
        <f t="shared" si="137"/>
        <v>0</v>
      </c>
      <c r="CU67" s="171">
        <f t="shared" si="137"/>
        <v>0</v>
      </c>
      <c r="CV67" s="171">
        <f t="shared" si="137"/>
        <v>0</v>
      </c>
      <c r="CW67" s="171">
        <f t="shared" si="137"/>
        <v>0</v>
      </c>
      <c r="CX67" s="171">
        <f t="shared" si="137"/>
        <v>0</v>
      </c>
      <c r="CY67" s="171">
        <f t="shared" si="137"/>
        <v>0</v>
      </c>
      <c r="CZ67" s="171">
        <f t="shared" si="137"/>
        <v>0</v>
      </c>
      <c r="DA67" s="171">
        <f t="shared" si="137"/>
        <v>0</v>
      </c>
      <c r="DB67" s="171">
        <f t="shared" si="137"/>
        <v>0</v>
      </c>
      <c r="DC67" s="171">
        <f t="shared" si="137"/>
        <v>0</v>
      </c>
      <c r="DD67" s="171">
        <f t="shared" si="137"/>
        <v>0</v>
      </c>
      <c r="DE67" s="171">
        <f t="shared" si="137"/>
        <v>0</v>
      </c>
      <c r="DF67" s="171">
        <f t="shared" si="137"/>
        <v>0</v>
      </c>
      <c r="DG67" s="171">
        <f t="shared" si="137"/>
        <v>0</v>
      </c>
      <c r="DH67" s="171">
        <f t="shared" si="137"/>
        <v>0</v>
      </c>
      <c r="DI67" s="171">
        <f t="shared" si="137"/>
        <v>0</v>
      </c>
      <c r="DJ67" s="171">
        <f t="shared" si="137"/>
        <v>0</v>
      </c>
      <c r="DK67" s="171">
        <f t="shared" si="137"/>
        <v>0</v>
      </c>
      <c r="DL67" s="171">
        <f t="shared" si="137"/>
        <v>0</v>
      </c>
      <c r="DM67" s="171">
        <f t="shared" si="137"/>
        <v>0</v>
      </c>
      <c r="DN67" s="171">
        <f t="shared" si="137"/>
        <v>0</v>
      </c>
      <c r="DO67" s="171">
        <f t="shared" si="137"/>
        <v>0</v>
      </c>
      <c r="DP67" s="171">
        <f t="shared" si="137"/>
        <v>0</v>
      </c>
      <c r="DQ67" s="171">
        <f t="shared" si="137"/>
        <v>0</v>
      </c>
      <c r="DR67" s="171">
        <f t="shared" si="137"/>
        <v>0</v>
      </c>
      <c r="DS67" s="171">
        <f t="shared" si="137"/>
        <v>0</v>
      </c>
      <c r="DT67" s="171">
        <f t="shared" si="137"/>
        <v>0</v>
      </c>
      <c r="DU67" s="171">
        <f t="shared" si="137"/>
        <v>0</v>
      </c>
      <c r="DV67" s="171">
        <f t="shared" si="137"/>
        <v>0</v>
      </c>
      <c r="DW67" s="171">
        <f t="shared" si="137"/>
        <v>0</v>
      </c>
      <c r="DX67" s="171">
        <f t="shared" si="137"/>
        <v>0</v>
      </c>
      <c r="DY67" s="171">
        <f t="shared" si="137"/>
        <v>0</v>
      </c>
      <c r="DZ67" s="171">
        <f t="shared" si="137"/>
        <v>0</v>
      </c>
      <c r="EA67" s="171">
        <f t="shared" si="137"/>
        <v>0</v>
      </c>
      <c r="EB67" s="171">
        <f t="shared" si="137"/>
        <v>0</v>
      </c>
      <c r="EC67" s="171">
        <f t="shared" si="137"/>
        <v>0</v>
      </c>
      <c r="ED67" s="1321">
        <f t="shared" si="137"/>
        <v>0</v>
      </c>
      <c r="EE67" s="171">
        <f t="shared" si="137"/>
        <v>0</v>
      </c>
      <c r="EF67" s="171">
        <f t="shared" si="137"/>
        <v>0</v>
      </c>
      <c r="EG67" s="171">
        <f t="shared" si="137"/>
        <v>0</v>
      </c>
      <c r="EH67" s="171">
        <f t="shared" si="137"/>
        <v>0</v>
      </c>
      <c r="EI67" s="171">
        <f t="shared" si="137"/>
        <v>0</v>
      </c>
      <c r="EJ67" s="171">
        <f t="shared" si="137"/>
        <v>0</v>
      </c>
      <c r="EK67" s="171">
        <f t="shared" si="137"/>
        <v>0</v>
      </c>
      <c r="EL67" s="171">
        <f t="shared" si="137"/>
        <v>0</v>
      </c>
      <c r="EM67" s="171">
        <f t="shared" si="137"/>
        <v>0</v>
      </c>
      <c r="EN67" s="171">
        <f t="shared" si="137"/>
        <v>0</v>
      </c>
      <c r="EO67" s="171">
        <f t="shared" si="137"/>
        <v>0</v>
      </c>
      <c r="EP67" s="171">
        <f t="shared" si="137"/>
        <v>0</v>
      </c>
      <c r="EQ67" s="171">
        <f t="shared" si="137"/>
        <v>0</v>
      </c>
    </row>
    <row r="68" spans="3:147" ht="11.25" customHeight="1">
      <c r="C68" s="163"/>
      <c r="D68" s="169" t="s">
        <v>219</v>
      </c>
      <c r="H68" s="146">
        <f>'A&amp;R'!N42</f>
        <v>49979</v>
      </c>
      <c r="J68" s="170">
        <f>SUM(L68:EQ68)</f>
        <v>50000000</v>
      </c>
      <c r="K68" s="98"/>
      <c r="L68" s="171">
        <f>SUM(L246,L251)</f>
        <v>0</v>
      </c>
      <c r="M68" s="171">
        <f t="shared" ref="M68:BX68" si="138">SUM(M246,M251)</f>
        <v>0</v>
      </c>
      <c r="N68" s="171">
        <f t="shared" si="138"/>
        <v>0</v>
      </c>
      <c r="O68" s="171">
        <f t="shared" si="138"/>
        <v>0</v>
      </c>
      <c r="P68" s="171">
        <f t="shared" si="138"/>
        <v>0</v>
      </c>
      <c r="Q68" s="171">
        <f t="shared" si="138"/>
        <v>0</v>
      </c>
      <c r="R68" s="171">
        <f t="shared" si="138"/>
        <v>0</v>
      </c>
      <c r="S68" s="171">
        <f t="shared" si="138"/>
        <v>0</v>
      </c>
      <c r="T68" s="171">
        <f t="shared" si="138"/>
        <v>0</v>
      </c>
      <c r="U68" s="171">
        <f t="shared" si="138"/>
        <v>0</v>
      </c>
      <c r="V68" s="171">
        <f t="shared" si="138"/>
        <v>0</v>
      </c>
      <c r="W68" s="171">
        <f t="shared" si="138"/>
        <v>0</v>
      </c>
      <c r="X68" s="171">
        <f t="shared" si="138"/>
        <v>0</v>
      </c>
      <c r="Y68" s="171">
        <f t="shared" si="138"/>
        <v>0</v>
      </c>
      <c r="Z68" s="171">
        <f t="shared" si="138"/>
        <v>0</v>
      </c>
      <c r="AA68" s="171">
        <f t="shared" si="138"/>
        <v>0</v>
      </c>
      <c r="AB68" s="171">
        <f t="shared" si="138"/>
        <v>0</v>
      </c>
      <c r="AC68" s="171">
        <f t="shared" si="138"/>
        <v>0</v>
      </c>
      <c r="AD68" s="171">
        <f t="shared" si="138"/>
        <v>0</v>
      </c>
      <c r="AE68" s="171">
        <f t="shared" si="138"/>
        <v>0</v>
      </c>
      <c r="AF68" s="171">
        <f t="shared" si="138"/>
        <v>0</v>
      </c>
      <c r="AG68" s="171">
        <f t="shared" si="138"/>
        <v>0</v>
      </c>
      <c r="AH68" s="171">
        <f t="shared" si="138"/>
        <v>0</v>
      </c>
      <c r="AI68" s="171">
        <f t="shared" si="138"/>
        <v>0</v>
      </c>
      <c r="AJ68" s="171">
        <f t="shared" si="138"/>
        <v>0</v>
      </c>
      <c r="AK68" s="171">
        <f t="shared" si="138"/>
        <v>0</v>
      </c>
      <c r="AL68" s="171">
        <f t="shared" si="138"/>
        <v>0</v>
      </c>
      <c r="AM68" s="171">
        <f t="shared" si="138"/>
        <v>0</v>
      </c>
      <c r="AN68" s="171">
        <f t="shared" si="138"/>
        <v>0</v>
      </c>
      <c r="AO68" s="171">
        <f t="shared" si="138"/>
        <v>0</v>
      </c>
      <c r="AP68" s="171">
        <f t="shared" si="138"/>
        <v>0</v>
      </c>
      <c r="AQ68" s="171">
        <f t="shared" si="138"/>
        <v>0</v>
      </c>
      <c r="AR68" s="171">
        <f t="shared" si="138"/>
        <v>0</v>
      </c>
      <c r="AS68" s="171">
        <f t="shared" si="138"/>
        <v>0</v>
      </c>
      <c r="AT68" s="171">
        <f t="shared" si="138"/>
        <v>0</v>
      </c>
      <c r="AU68" s="171">
        <f t="shared" si="138"/>
        <v>0</v>
      </c>
      <c r="AV68" s="171">
        <f t="shared" si="138"/>
        <v>0</v>
      </c>
      <c r="AW68" s="171">
        <f t="shared" si="138"/>
        <v>0</v>
      </c>
      <c r="AX68" s="171">
        <f t="shared" si="138"/>
        <v>0</v>
      </c>
      <c r="AY68" s="171">
        <f t="shared" si="138"/>
        <v>0</v>
      </c>
      <c r="AZ68" s="171">
        <f t="shared" si="138"/>
        <v>0</v>
      </c>
      <c r="BA68" s="171">
        <f t="shared" si="138"/>
        <v>0</v>
      </c>
      <c r="BB68" s="171">
        <f t="shared" si="138"/>
        <v>0</v>
      </c>
      <c r="BC68" s="171">
        <f t="shared" si="138"/>
        <v>0</v>
      </c>
      <c r="BD68" s="171">
        <f t="shared" si="138"/>
        <v>0</v>
      </c>
      <c r="BE68" s="171">
        <f t="shared" si="138"/>
        <v>0</v>
      </c>
      <c r="BF68" s="171">
        <f t="shared" si="138"/>
        <v>0</v>
      </c>
      <c r="BG68" s="171">
        <f t="shared" si="138"/>
        <v>0</v>
      </c>
      <c r="BH68" s="171">
        <f t="shared" si="138"/>
        <v>0</v>
      </c>
      <c r="BI68" s="171">
        <f t="shared" si="138"/>
        <v>0</v>
      </c>
      <c r="BJ68" s="171">
        <f t="shared" si="138"/>
        <v>0</v>
      </c>
      <c r="BK68" s="171">
        <f t="shared" si="138"/>
        <v>0</v>
      </c>
      <c r="BL68" s="171">
        <f t="shared" si="138"/>
        <v>0</v>
      </c>
      <c r="BM68" s="171">
        <f t="shared" si="138"/>
        <v>0</v>
      </c>
      <c r="BN68" s="171">
        <f t="shared" si="138"/>
        <v>0</v>
      </c>
      <c r="BO68" s="171">
        <f t="shared" si="138"/>
        <v>0</v>
      </c>
      <c r="BP68" s="171">
        <f t="shared" si="138"/>
        <v>0</v>
      </c>
      <c r="BQ68" s="171">
        <f t="shared" si="138"/>
        <v>0</v>
      </c>
      <c r="BR68" s="171">
        <f t="shared" si="138"/>
        <v>0</v>
      </c>
      <c r="BS68" s="171">
        <f t="shared" si="138"/>
        <v>0</v>
      </c>
      <c r="BT68" s="171">
        <f t="shared" si="138"/>
        <v>0</v>
      </c>
      <c r="BU68" s="171">
        <f t="shared" si="138"/>
        <v>0</v>
      </c>
      <c r="BV68" s="171">
        <f t="shared" si="138"/>
        <v>0</v>
      </c>
      <c r="BW68" s="171">
        <f t="shared" si="138"/>
        <v>0</v>
      </c>
      <c r="BX68" s="171">
        <f t="shared" si="138"/>
        <v>0</v>
      </c>
      <c r="BY68" s="171">
        <f t="shared" ref="BY68:EJ68" si="139">SUM(BY246,BY251)</f>
        <v>0</v>
      </c>
      <c r="BZ68" s="171">
        <f t="shared" si="139"/>
        <v>0</v>
      </c>
      <c r="CA68" s="171">
        <f t="shared" si="139"/>
        <v>0</v>
      </c>
      <c r="CB68" s="171">
        <f t="shared" si="139"/>
        <v>0</v>
      </c>
      <c r="CC68" s="171">
        <f t="shared" si="139"/>
        <v>0</v>
      </c>
      <c r="CD68" s="171">
        <f t="shared" si="139"/>
        <v>0</v>
      </c>
      <c r="CE68" s="171">
        <f t="shared" si="139"/>
        <v>0</v>
      </c>
      <c r="CF68" s="171">
        <f t="shared" si="139"/>
        <v>0</v>
      </c>
      <c r="CG68" s="171">
        <f t="shared" si="139"/>
        <v>0</v>
      </c>
      <c r="CH68" s="171">
        <f t="shared" si="139"/>
        <v>0</v>
      </c>
      <c r="CI68" s="171">
        <f t="shared" si="139"/>
        <v>0</v>
      </c>
      <c r="CJ68" s="171">
        <f t="shared" si="139"/>
        <v>0</v>
      </c>
      <c r="CK68" s="171">
        <f t="shared" si="139"/>
        <v>0</v>
      </c>
      <c r="CL68" s="171">
        <f t="shared" si="139"/>
        <v>0</v>
      </c>
      <c r="CM68" s="171">
        <f t="shared" si="139"/>
        <v>0</v>
      </c>
      <c r="CN68" s="171">
        <f t="shared" si="139"/>
        <v>0</v>
      </c>
      <c r="CO68" s="171">
        <f t="shared" si="139"/>
        <v>0</v>
      </c>
      <c r="CP68" s="171">
        <f t="shared" si="139"/>
        <v>0</v>
      </c>
      <c r="CQ68" s="171">
        <f t="shared" si="139"/>
        <v>0</v>
      </c>
      <c r="CR68" s="171">
        <f t="shared" si="139"/>
        <v>0</v>
      </c>
      <c r="CS68" s="171">
        <f t="shared" si="139"/>
        <v>0</v>
      </c>
      <c r="CT68" s="171">
        <f t="shared" si="139"/>
        <v>0</v>
      </c>
      <c r="CU68" s="171">
        <f t="shared" si="139"/>
        <v>0</v>
      </c>
      <c r="CV68" s="171">
        <f t="shared" si="139"/>
        <v>0</v>
      </c>
      <c r="CW68" s="171">
        <f t="shared" si="139"/>
        <v>0</v>
      </c>
      <c r="CX68" s="171">
        <f t="shared" si="139"/>
        <v>0</v>
      </c>
      <c r="CY68" s="171">
        <f t="shared" si="139"/>
        <v>0</v>
      </c>
      <c r="CZ68" s="171">
        <f t="shared" si="139"/>
        <v>0</v>
      </c>
      <c r="DA68" s="171">
        <f t="shared" si="139"/>
        <v>0</v>
      </c>
      <c r="DB68" s="171">
        <f t="shared" si="139"/>
        <v>0</v>
      </c>
      <c r="DC68" s="171">
        <f t="shared" si="139"/>
        <v>0</v>
      </c>
      <c r="DD68" s="171">
        <f t="shared" si="139"/>
        <v>0</v>
      </c>
      <c r="DE68" s="171">
        <f t="shared" si="139"/>
        <v>0</v>
      </c>
      <c r="DF68" s="171">
        <f t="shared" si="139"/>
        <v>0</v>
      </c>
      <c r="DG68" s="171">
        <f t="shared" si="139"/>
        <v>0</v>
      </c>
      <c r="DH68" s="171">
        <f t="shared" si="139"/>
        <v>0</v>
      </c>
      <c r="DI68" s="171">
        <f t="shared" si="139"/>
        <v>0</v>
      </c>
      <c r="DJ68" s="171">
        <f t="shared" si="139"/>
        <v>0</v>
      </c>
      <c r="DK68" s="171">
        <f t="shared" si="139"/>
        <v>0</v>
      </c>
      <c r="DL68" s="171">
        <f t="shared" si="139"/>
        <v>0</v>
      </c>
      <c r="DM68" s="171">
        <f t="shared" si="139"/>
        <v>0</v>
      </c>
      <c r="DN68" s="171">
        <f t="shared" si="139"/>
        <v>0</v>
      </c>
      <c r="DO68" s="171">
        <f t="shared" si="139"/>
        <v>0</v>
      </c>
      <c r="DP68" s="171">
        <f t="shared" si="139"/>
        <v>0</v>
      </c>
      <c r="DQ68" s="171">
        <f t="shared" si="139"/>
        <v>0</v>
      </c>
      <c r="DR68" s="171">
        <f t="shared" si="139"/>
        <v>0</v>
      </c>
      <c r="DS68" s="171">
        <f t="shared" si="139"/>
        <v>0</v>
      </c>
      <c r="DT68" s="171">
        <f t="shared" si="139"/>
        <v>0</v>
      </c>
      <c r="DU68" s="171">
        <f t="shared" si="139"/>
        <v>0</v>
      </c>
      <c r="DV68" s="171">
        <f t="shared" si="139"/>
        <v>0</v>
      </c>
      <c r="DW68" s="171">
        <f t="shared" si="139"/>
        <v>0</v>
      </c>
      <c r="DX68" s="171">
        <f t="shared" si="139"/>
        <v>0</v>
      </c>
      <c r="DY68" s="171">
        <f t="shared" si="139"/>
        <v>0</v>
      </c>
      <c r="DZ68" s="171">
        <f t="shared" si="139"/>
        <v>0</v>
      </c>
      <c r="EA68" s="171">
        <f t="shared" si="139"/>
        <v>0</v>
      </c>
      <c r="EB68" s="171">
        <f t="shared" si="139"/>
        <v>50000000</v>
      </c>
      <c r="EC68" s="171">
        <f t="shared" si="139"/>
        <v>0</v>
      </c>
      <c r="ED68" s="1321">
        <f t="shared" si="139"/>
        <v>0</v>
      </c>
      <c r="EE68" s="171">
        <f t="shared" si="139"/>
        <v>0</v>
      </c>
      <c r="EF68" s="171">
        <f t="shared" si="139"/>
        <v>0</v>
      </c>
      <c r="EG68" s="171">
        <f t="shared" si="139"/>
        <v>0</v>
      </c>
      <c r="EH68" s="171">
        <f t="shared" si="139"/>
        <v>0</v>
      </c>
      <c r="EI68" s="171">
        <f t="shared" si="139"/>
        <v>0</v>
      </c>
      <c r="EJ68" s="171">
        <f t="shared" si="139"/>
        <v>0</v>
      </c>
      <c r="EK68" s="171">
        <f t="shared" ref="EK68:EQ68" si="140">SUM(EK246,EK251)</f>
        <v>0</v>
      </c>
      <c r="EL68" s="171">
        <f t="shared" si="140"/>
        <v>0</v>
      </c>
      <c r="EM68" s="171">
        <f t="shared" si="140"/>
        <v>0</v>
      </c>
      <c r="EN68" s="171">
        <f t="shared" si="140"/>
        <v>0</v>
      </c>
      <c r="EO68" s="171">
        <f t="shared" si="140"/>
        <v>0</v>
      </c>
      <c r="EP68" s="171">
        <f t="shared" si="140"/>
        <v>0</v>
      </c>
      <c r="EQ68" s="171">
        <f t="shared" si="140"/>
        <v>0</v>
      </c>
    </row>
    <row r="69" spans="3:147" ht="11.25" customHeight="1">
      <c r="C69" s="163"/>
      <c r="D69" s="169" t="s">
        <v>220</v>
      </c>
      <c r="J69" s="170"/>
      <c r="K69" s="98"/>
      <c r="L69" s="171">
        <f>L66+L67-L68</f>
        <v>50000000</v>
      </c>
      <c r="M69" s="171">
        <f t="shared" ref="M69:BX69" si="141">M66+M67-M68</f>
        <v>50000000</v>
      </c>
      <c r="N69" s="171">
        <f t="shared" si="141"/>
        <v>50000000</v>
      </c>
      <c r="O69" s="171">
        <f t="shared" si="141"/>
        <v>50000000</v>
      </c>
      <c r="P69" s="171">
        <f t="shared" si="141"/>
        <v>50000000</v>
      </c>
      <c r="Q69" s="171">
        <f t="shared" si="141"/>
        <v>50000000</v>
      </c>
      <c r="R69" s="171">
        <f t="shared" si="141"/>
        <v>50000000</v>
      </c>
      <c r="S69" s="171">
        <f t="shared" si="141"/>
        <v>50000000</v>
      </c>
      <c r="T69" s="171">
        <f t="shared" si="141"/>
        <v>50000000</v>
      </c>
      <c r="U69" s="171">
        <f t="shared" si="141"/>
        <v>50000000</v>
      </c>
      <c r="V69" s="171">
        <f t="shared" si="141"/>
        <v>50000000</v>
      </c>
      <c r="W69" s="171">
        <f t="shared" si="141"/>
        <v>50000000</v>
      </c>
      <c r="X69" s="171">
        <f t="shared" si="141"/>
        <v>50000000</v>
      </c>
      <c r="Y69" s="171">
        <f t="shared" si="141"/>
        <v>50000000</v>
      </c>
      <c r="Z69" s="171">
        <f t="shared" si="141"/>
        <v>50000000</v>
      </c>
      <c r="AA69" s="171">
        <f t="shared" si="141"/>
        <v>50000000</v>
      </c>
      <c r="AB69" s="171">
        <f t="shared" si="141"/>
        <v>50000000</v>
      </c>
      <c r="AC69" s="171">
        <f t="shared" si="141"/>
        <v>50000000</v>
      </c>
      <c r="AD69" s="171">
        <f t="shared" si="141"/>
        <v>50000000</v>
      </c>
      <c r="AE69" s="171">
        <f t="shared" si="141"/>
        <v>50000000</v>
      </c>
      <c r="AF69" s="171">
        <f t="shared" si="141"/>
        <v>50000000</v>
      </c>
      <c r="AG69" s="171">
        <f t="shared" si="141"/>
        <v>50000000</v>
      </c>
      <c r="AH69" s="171">
        <f t="shared" si="141"/>
        <v>50000000</v>
      </c>
      <c r="AI69" s="171">
        <f t="shared" si="141"/>
        <v>50000000</v>
      </c>
      <c r="AJ69" s="171">
        <f t="shared" si="141"/>
        <v>50000000</v>
      </c>
      <c r="AK69" s="171">
        <f t="shared" si="141"/>
        <v>50000000</v>
      </c>
      <c r="AL69" s="171">
        <f t="shared" si="141"/>
        <v>50000000</v>
      </c>
      <c r="AM69" s="171">
        <f t="shared" si="141"/>
        <v>50000000</v>
      </c>
      <c r="AN69" s="171">
        <f t="shared" si="141"/>
        <v>50000000</v>
      </c>
      <c r="AO69" s="171">
        <f t="shared" si="141"/>
        <v>50000000</v>
      </c>
      <c r="AP69" s="171">
        <f t="shared" si="141"/>
        <v>50000000</v>
      </c>
      <c r="AQ69" s="171">
        <f t="shared" si="141"/>
        <v>50000000</v>
      </c>
      <c r="AR69" s="171">
        <f t="shared" si="141"/>
        <v>50000000</v>
      </c>
      <c r="AS69" s="171">
        <f t="shared" si="141"/>
        <v>50000000</v>
      </c>
      <c r="AT69" s="171">
        <f t="shared" si="141"/>
        <v>50000000</v>
      </c>
      <c r="AU69" s="171">
        <f t="shared" si="141"/>
        <v>50000000</v>
      </c>
      <c r="AV69" s="171">
        <f t="shared" si="141"/>
        <v>50000000</v>
      </c>
      <c r="AW69" s="171">
        <f t="shared" si="141"/>
        <v>50000000</v>
      </c>
      <c r="AX69" s="171">
        <f t="shared" si="141"/>
        <v>50000000</v>
      </c>
      <c r="AY69" s="171">
        <f t="shared" si="141"/>
        <v>50000000</v>
      </c>
      <c r="AZ69" s="171">
        <f t="shared" si="141"/>
        <v>50000000</v>
      </c>
      <c r="BA69" s="171">
        <f t="shared" si="141"/>
        <v>50000000</v>
      </c>
      <c r="BB69" s="171">
        <f t="shared" si="141"/>
        <v>50000000</v>
      </c>
      <c r="BC69" s="171">
        <f t="shared" si="141"/>
        <v>50000000</v>
      </c>
      <c r="BD69" s="171">
        <f t="shared" si="141"/>
        <v>50000000</v>
      </c>
      <c r="BE69" s="171">
        <f t="shared" si="141"/>
        <v>50000000</v>
      </c>
      <c r="BF69" s="171">
        <f t="shared" si="141"/>
        <v>50000000</v>
      </c>
      <c r="BG69" s="171">
        <f t="shared" si="141"/>
        <v>50000000</v>
      </c>
      <c r="BH69" s="171">
        <f t="shared" si="141"/>
        <v>50000000</v>
      </c>
      <c r="BI69" s="171">
        <f t="shared" si="141"/>
        <v>50000000</v>
      </c>
      <c r="BJ69" s="171">
        <f t="shared" si="141"/>
        <v>50000000</v>
      </c>
      <c r="BK69" s="171">
        <f t="shared" si="141"/>
        <v>50000000</v>
      </c>
      <c r="BL69" s="171">
        <f t="shared" si="141"/>
        <v>50000000</v>
      </c>
      <c r="BM69" s="171">
        <f t="shared" si="141"/>
        <v>50000000</v>
      </c>
      <c r="BN69" s="171">
        <f t="shared" si="141"/>
        <v>50000000</v>
      </c>
      <c r="BO69" s="171">
        <f t="shared" si="141"/>
        <v>50000000</v>
      </c>
      <c r="BP69" s="171">
        <f t="shared" si="141"/>
        <v>50000000</v>
      </c>
      <c r="BQ69" s="171">
        <f t="shared" si="141"/>
        <v>50000000</v>
      </c>
      <c r="BR69" s="171">
        <f t="shared" si="141"/>
        <v>50000000</v>
      </c>
      <c r="BS69" s="171">
        <f t="shared" si="141"/>
        <v>50000000</v>
      </c>
      <c r="BT69" s="171">
        <f t="shared" si="141"/>
        <v>50000000</v>
      </c>
      <c r="BU69" s="171">
        <f t="shared" si="141"/>
        <v>50000000</v>
      </c>
      <c r="BV69" s="171">
        <f t="shared" si="141"/>
        <v>50000000</v>
      </c>
      <c r="BW69" s="171">
        <f t="shared" si="141"/>
        <v>50000000</v>
      </c>
      <c r="BX69" s="171">
        <f t="shared" si="141"/>
        <v>50000000</v>
      </c>
      <c r="BY69" s="171">
        <f t="shared" ref="BY69:EJ69" si="142">BY66+BY67-BY68</f>
        <v>50000000</v>
      </c>
      <c r="BZ69" s="171">
        <f t="shared" si="142"/>
        <v>50000000</v>
      </c>
      <c r="CA69" s="171">
        <f t="shared" si="142"/>
        <v>50000000</v>
      </c>
      <c r="CB69" s="171">
        <f t="shared" si="142"/>
        <v>50000000</v>
      </c>
      <c r="CC69" s="171">
        <f t="shared" si="142"/>
        <v>50000000</v>
      </c>
      <c r="CD69" s="171">
        <f t="shared" si="142"/>
        <v>50000000</v>
      </c>
      <c r="CE69" s="171">
        <f t="shared" si="142"/>
        <v>50000000</v>
      </c>
      <c r="CF69" s="171">
        <f t="shared" si="142"/>
        <v>50000000</v>
      </c>
      <c r="CG69" s="171">
        <f t="shared" si="142"/>
        <v>50000000</v>
      </c>
      <c r="CH69" s="171">
        <f t="shared" si="142"/>
        <v>50000000</v>
      </c>
      <c r="CI69" s="171">
        <f t="shared" si="142"/>
        <v>50000000</v>
      </c>
      <c r="CJ69" s="171">
        <f t="shared" si="142"/>
        <v>50000000</v>
      </c>
      <c r="CK69" s="171">
        <f t="shared" si="142"/>
        <v>50000000</v>
      </c>
      <c r="CL69" s="171">
        <f t="shared" si="142"/>
        <v>50000000</v>
      </c>
      <c r="CM69" s="171">
        <f t="shared" si="142"/>
        <v>50000000</v>
      </c>
      <c r="CN69" s="171">
        <f t="shared" si="142"/>
        <v>50000000</v>
      </c>
      <c r="CO69" s="171">
        <f t="shared" si="142"/>
        <v>50000000</v>
      </c>
      <c r="CP69" s="171">
        <f t="shared" si="142"/>
        <v>50000000</v>
      </c>
      <c r="CQ69" s="171">
        <f t="shared" si="142"/>
        <v>50000000</v>
      </c>
      <c r="CR69" s="171">
        <f t="shared" si="142"/>
        <v>50000000</v>
      </c>
      <c r="CS69" s="171">
        <f t="shared" si="142"/>
        <v>50000000</v>
      </c>
      <c r="CT69" s="171">
        <f t="shared" si="142"/>
        <v>50000000</v>
      </c>
      <c r="CU69" s="171">
        <f t="shared" si="142"/>
        <v>50000000</v>
      </c>
      <c r="CV69" s="171">
        <f t="shared" si="142"/>
        <v>50000000</v>
      </c>
      <c r="CW69" s="171">
        <f t="shared" si="142"/>
        <v>50000000</v>
      </c>
      <c r="CX69" s="171">
        <f t="shared" si="142"/>
        <v>50000000</v>
      </c>
      <c r="CY69" s="171">
        <f t="shared" si="142"/>
        <v>50000000</v>
      </c>
      <c r="CZ69" s="171">
        <f t="shared" si="142"/>
        <v>50000000</v>
      </c>
      <c r="DA69" s="171">
        <f t="shared" si="142"/>
        <v>50000000</v>
      </c>
      <c r="DB69" s="171">
        <f t="shared" si="142"/>
        <v>50000000</v>
      </c>
      <c r="DC69" s="171">
        <f t="shared" si="142"/>
        <v>50000000</v>
      </c>
      <c r="DD69" s="171">
        <f t="shared" si="142"/>
        <v>50000000</v>
      </c>
      <c r="DE69" s="171">
        <f t="shared" si="142"/>
        <v>50000000</v>
      </c>
      <c r="DF69" s="171">
        <f t="shared" si="142"/>
        <v>50000000</v>
      </c>
      <c r="DG69" s="171">
        <f t="shared" si="142"/>
        <v>50000000</v>
      </c>
      <c r="DH69" s="171">
        <f t="shared" si="142"/>
        <v>50000000</v>
      </c>
      <c r="DI69" s="171">
        <f t="shared" si="142"/>
        <v>50000000</v>
      </c>
      <c r="DJ69" s="171">
        <f t="shared" si="142"/>
        <v>50000000</v>
      </c>
      <c r="DK69" s="171">
        <f t="shared" si="142"/>
        <v>50000000</v>
      </c>
      <c r="DL69" s="171">
        <f t="shared" si="142"/>
        <v>50000000</v>
      </c>
      <c r="DM69" s="171">
        <f t="shared" si="142"/>
        <v>50000000</v>
      </c>
      <c r="DN69" s="171">
        <f t="shared" si="142"/>
        <v>50000000</v>
      </c>
      <c r="DO69" s="171">
        <f t="shared" si="142"/>
        <v>50000000</v>
      </c>
      <c r="DP69" s="171">
        <f t="shared" si="142"/>
        <v>50000000</v>
      </c>
      <c r="DQ69" s="171">
        <f t="shared" si="142"/>
        <v>50000000</v>
      </c>
      <c r="DR69" s="171">
        <f t="shared" si="142"/>
        <v>50000000</v>
      </c>
      <c r="DS69" s="171">
        <f t="shared" si="142"/>
        <v>50000000</v>
      </c>
      <c r="DT69" s="171">
        <f t="shared" si="142"/>
        <v>50000000</v>
      </c>
      <c r="DU69" s="171">
        <f t="shared" si="142"/>
        <v>50000000</v>
      </c>
      <c r="DV69" s="171">
        <f t="shared" si="142"/>
        <v>50000000</v>
      </c>
      <c r="DW69" s="171">
        <f t="shared" si="142"/>
        <v>50000000</v>
      </c>
      <c r="DX69" s="171">
        <f t="shared" si="142"/>
        <v>50000000</v>
      </c>
      <c r="DY69" s="171">
        <f t="shared" si="142"/>
        <v>50000000</v>
      </c>
      <c r="DZ69" s="171">
        <f t="shared" si="142"/>
        <v>50000000</v>
      </c>
      <c r="EA69" s="171">
        <f t="shared" si="142"/>
        <v>50000000</v>
      </c>
      <c r="EB69" s="171">
        <f t="shared" si="142"/>
        <v>0</v>
      </c>
      <c r="EC69" s="171">
        <f t="shared" si="142"/>
        <v>0</v>
      </c>
      <c r="ED69" s="1321">
        <f t="shared" si="142"/>
        <v>0</v>
      </c>
      <c r="EE69" s="171">
        <f t="shared" si="142"/>
        <v>0</v>
      </c>
      <c r="EF69" s="171">
        <f t="shared" si="142"/>
        <v>0</v>
      </c>
      <c r="EG69" s="171">
        <f t="shared" si="142"/>
        <v>0</v>
      </c>
      <c r="EH69" s="171">
        <f t="shared" si="142"/>
        <v>0</v>
      </c>
      <c r="EI69" s="171">
        <f t="shared" si="142"/>
        <v>0</v>
      </c>
      <c r="EJ69" s="171">
        <f t="shared" si="142"/>
        <v>0</v>
      </c>
      <c r="EK69" s="171">
        <f t="shared" ref="EK69:EQ69" si="143">EK66+EK67-EK68</f>
        <v>0</v>
      </c>
      <c r="EL69" s="171">
        <f t="shared" si="143"/>
        <v>0</v>
      </c>
      <c r="EM69" s="171">
        <f t="shared" si="143"/>
        <v>0</v>
      </c>
      <c r="EN69" s="171">
        <f t="shared" si="143"/>
        <v>0</v>
      </c>
      <c r="EO69" s="171">
        <f t="shared" si="143"/>
        <v>0</v>
      </c>
      <c r="EP69" s="171">
        <f t="shared" si="143"/>
        <v>0</v>
      </c>
      <c r="EQ69" s="171">
        <f t="shared" si="143"/>
        <v>0</v>
      </c>
    </row>
    <row r="70" spans="3:147" ht="11.25" customHeight="1">
      <c r="C70" s="158" t="s">
        <v>1086</v>
      </c>
      <c r="D70" s="159"/>
      <c r="E70" s="159"/>
      <c r="F70" s="159"/>
      <c r="G70" s="159"/>
      <c r="H70" s="160"/>
      <c r="I70" s="219"/>
      <c r="J70" s="161"/>
      <c r="K70" s="98"/>
      <c r="L70" s="162"/>
      <c r="M70" s="162"/>
      <c r="N70" s="162"/>
      <c r="O70" s="162"/>
      <c r="P70" s="162"/>
      <c r="Q70" s="162"/>
      <c r="R70" s="162"/>
      <c r="S70" s="162"/>
      <c r="T70" s="162"/>
      <c r="U70" s="162"/>
      <c r="V70" s="162"/>
      <c r="W70" s="162"/>
      <c r="X70" s="162"/>
      <c r="Y70" s="162"/>
      <c r="Z70" s="162"/>
      <c r="AA70" s="162"/>
      <c r="AB70" s="162"/>
      <c r="AC70" s="162"/>
      <c r="AD70" s="162"/>
      <c r="AE70" s="162"/>
      <c r="AF70" s="162"/>
      <c r="AG70" s="162"/>
      <c r="AH70" s="162"/>
      <c r="AI70" s="162"/>
      <c r="AJ70" s="162"/>
      <c r="AK70" s="162"/>
      <c r="AL70" s="162"/>
      <c r="AM70" s="162"/>
      <c r="AN70" s="162"/>
      <c r="AO70" s="162"/>
      <c r="AP70" s="162"/>
      <c r="AQ70" s="162"/>
      <c r="AR70" s="162"/>
      <c r="AS70" s="162"/>
      <c r="AT70" s="162"/>
      <c r="AU70" s="162"/>
      <c r="AV70" s="162"/>
      <c r="AW70" s="162"/>
      <c r="AX70" s="162"/>
      <c r="AY70" s="162"/>
      <c r="AZ70" s="162"/>
      <c r="BA70" s="162"/>
      <c r="BB70" s="162"/>
      <c r="BC70" s="162"/>
      <c r="BD70" s="162"/>
      <c r="BE70" s="162"/>
      <c r="BF70" s="162"/>
      <c r="BG70" s="162"/>
      <c r="BH70" s="162"/>
      <c r="BI70" s="162"/>
      <c r="BJ70" s="162"/>
      <c r="BK70" s="162"/>
      <c r="BL70" s="162"/>
      <c r="BM70" s="162"/>
      <c r="BN70" s="162"/>
      <c r="BO70" s="162"/>
      <c r="BP70" s="162"/>
      <c r="BQ70" s="162"/>
      <c r="BR70" s="162"/>
      <c r="BS70" s="162"/>
      <c r="BT70" s="162"/>
      <c r="BU70" s="162"/>
      <c r="BV70" s="162"/>
      <c r="BW70" s="162"/>
      <c r="BX70" s="162"/>
      <c r="BY70" s="162"/>
      <c r="BZ70" s="162"/>
      <c r="CA70" s="162"/>
      <c r="CB70" s="162"/>
      <c r="CC70" s="162"/>
      <c r="CD70" s="162"/>
      <c r="CE70" s="162"/>
      <c r="CF70" s="162"/>
      <c r="CG70" s="162"/>
      <c r="CH70" s="162"/>
      <c r="CI70" s="162"/>
      <c r="CJ70" s="162"/>
      <c r="CK70" s="162"/>
      <c r="CL70" s="162"/>
      <c r="CM70" s="162"/>
      <c r="CN70" s="162"/>
      <c r="CO70" s="162"/>
      <c r="CP70" s="162"/>
      <c r="CQ70" s="162"/>
      <c r="CR70" s="162"/>
      <c r="CS70" s="162"/>
      <c r="CT70" s="162"/>
      <c r="CU70" s="162"/>
      <c r="CV70" s="162"/>
      <c r="CW70" s="162"/>
      <c r="CX70" s="162"/>
      <c r="CY70" s="162"/>
      <c r="CZ70" s="162"/>
      <c r="DA70" s="162"/>
      <c r="DB70" s="162"/>
      <c r="DC70" s="162"/>
      <c r="DD70" s="162"/>
      <c r="DE70" s="162"/>
      <c r="DF70" s="162"/>
      <c r="DG70" s="162"/>
      <c r="DH70" s="162"/>
      <c r="DI70" s="162"/>
      <c r="DJ70" s="162"/>
      <c r="DK70" s="162"/>
      <c r="DL70" s="162"/>
      <c r="DM70" s="162"/>
      <c r="DN70" s="162"/>
      <c r="DO70" s="162"/>
      <c r="DP70" s="162"/>
      <c r="DQ70" s="162"/>
      <c r="DR70" s="162"/>
      <c r="DS70" s="162"/>
      <c r="DT70" s="162"/>
      <c r="DU70" s="162"/>
      <c r="DV70" s="162"/>
      <c r="DW70" s="162"/>
      <c r="DX70" s="162"/>
      <c r="DY70" s="162"/>
      <c r="DZ70" s="162"/>
      <c r="EA70" s="162"/>
      <c r="EB70" s="162"/>
      <c r="EC70" s="162"/>
      <c r="ED70" s="1319"/>
      <c r="EE70" s="162"/>
      <c r="EF70" s="162"/>
      <c r="EG70" s="162"/>
      <c r="EH70" s="162"/>
      <c r="EI70" s="162"/>
      <c r="EJ70" s="162"/>
      <c r="EK70" s="162"/>
      <c r="EL70" s="162"/>
      <c r="EM70" s="162"/>
      <c r="EN70" s="162"/>
      <c r="EO70" s="162"/>
      <c r="EP70" s="162"/>
      <c r="EQ70" s="162"/>
    </row>
    <row r="71" spans="3:147" ht="11.25" customHeight="1">
      <c r="C71" s="163"/>
      <c r="D71" s="164" t="s">
        <v>217</v>
      </c>
      <c r="E71" s="165"/>
      <c r="F71" s="165"/>
      <c r="G71" s="165"/>
      <c r="H71" s="166"/>
      <c r="I71" s="221"/>
      <c r="J71" s="167"/>
      <c r="K71" s="98"/>
      <c r="L71" s="168">
        <f t="shared" ref="L71:AQ71" si="144">K74</f>
        <v>0</v>
      </c>
      <c r="M71" s="168">
        <f t="shared" si="144"/>
        <v>10000000</v>
      </c>
      <c r="N71" s="168">
        <f t="shared" si="144"/>
        <v>10000000</v>
      </c>
      <c r="O71" s="168">
        <f t="shared" si="144"/>
        <v>10000000</v>
      </c>
      <c r="P71" s="168">
        <f t="shared" si="144"/>
        <v>10000000</v>
      </c>
      <c r="Q71" s="168">
        <f t="shared" si="144"/>
        <v>10000000</v>
      </c>
      <c r="R71" s="168">
        <f t="shared" si="144"/>
        <v>10000000</v>
      </c>
      <c r="S71" s="168">
        <f t="shared" si="144"/>
        <v>10000000</v>
      </c>
      <c r="T71" s="168">
        <f t="shared" si="144"/>
        <v>10000000</v>
      </c>
      <c r="U71" s="168">
        <f t="shared" si="144"/>
        <v>10000000</v>
      </c>
      <c r="V71" s="168">
        <f t="shared" si="144"/>
        <v>10000000</v>
      </c>
      <c r="W71" s="168">
        <f t="shared" si="144"/>
        <v>10000000</v>
      </c>
      <c r="X71" s="168">
        <f t="shared" si="144"/>
        <v>10000000</v>
      </c>
      <c r="Y71" s="168">
        <f t="shared" si="144"/>
        <v>10000000</v>
      </c>
      <c r="Z71" s="168">
        <f t="shared" si="144"/>
        <v>10000000</v>
      </c>
      <c r="AA71" s="168">
        <f t="shared" si="144"/>
        <v>10000000</v>
      </c>
      <c r="AB71" s="168">
        <f t="shared" si="144"/>
        <v>10000000</v>
      </c>
      <c r="AC71" s="168">
        <f t="shared" si="144"/>
        <v>10000000</v>
      </c>
      <c r="AD71" s="168">
        <f t="shared" si="144"/>
        <v>10000000</v>
      </c>
      <c r="AE71" s="168">
        <f t="shared" si="144"/>
        <v>10000000</v>
      </c>
      <c r="AF71" s="168">
        <f t="shared" si="144"/>
        <v>10000000</v>
      </c>
      <c r="AG71" s="168">
        <f t="shared" si="144"/>
        <v>10000000</v>
      </c>
      <c r="AH71" s="168">
        <f t="shared" si="144"/>
        <v>10000000</v>
      </c>
      <c r="AI71" s="168">
        <f t="shared" si="144"/>
        <v>10000000</v>
      </c>
      <c r="AJ71" s="168">
        <f t="shared" si="144"/>
        <v>10000000</v>
      </c>
      <c r="AK71" s="168">
        <f t="shared" si="144"/>
        <v>0</v>
      </c>
      <c r="AL71" s="168">
        <f t="shared" si="144"/>
        <v>0</v>
      </c>
      <c r="AM71" s="168">
        <f t="shared" si="144"/>
        <v>0</v>
      </c>
      <c r="AN71" s="168">
        <f t="shared" si="144"/>
        <v>0</v>
      </c>
      <c r="AO71" s="168">
        <f t="shared" si="144"/>
        <v>0</v>
      </c>
      <c r="AP71" s="168">
        <f t="shared" si="144"/>
        <v>0</v>
      </c>
      <c r="AQ71" s="168">
        <f t="shared" si="144"/>
        <v>0</v>
      </c>
      <c r="AR71" s="168">
        <f t="shared" ref="AR71:BW71" si="145">AQ74</f>
        <v>0</v>
      </c>
      <c r="AS71" s="168">
        <f t="shared" si="145"/>
        <v>0</v>
      </c>
      <c r="AT71" s="168">
        <f t="shared" si="145"/>
        <v>0</v>
      </c>
      <c r="AU71" s="168">
        <f t="shared" si="145"/>
        <v>0</v>
      </c>
      <c r="AV71" s="168">
        <f t="shared" si="145"/>
        <v>0</v>
      </c>
      <c r="AW71" s="168">
        <f t="shared" si="145"/>
        <v>0</v>
      </c>
      <c r="AX71" s="168">
        <f t="shared" si="145"/>
        <v>0</v>
      </c>
      <c r="AY71" s="168">
        <f t="shared" si="145"/>
        <v>0</v>
      </c>
      <c r="AZ71" s="168">
        <f t="shared" si="145"/>
        <v>0</v>
      </c>
      <c r="BA71" s="168">
        <f t="shared" si="145"/>
        <v>0</v>
      </c>
      <c r="BB71" s="168">
        <f t="shared" si="145"/>
        <v>0</v>
      </c>
      <c r="BC71" s="168">
        <f t="shared" si="145"/>
        <v>0</v>
      </c>
      <c r="BD71" s="168">
        <f t="shared" si="145"/>
        <v>0</v>
      </c>
      <c r="BE71" s="168">
        <f t="shared" si="145"/>
        <v>0</v>
      </c>
      <c r="BF71" s="168">
        <f t="shared" si="145"/>
        <v>0</v>
      </c>
      <c r="BG71" s="168">
        <f t="shared" si="145"/>
        <v>0</v>
      </c>
      <c r="BH71" s="168">
        <f t="shared" si="145"/>
        <v>0</v>
      </c>
      <c r="BI71" s="168">
        <f t="shared" si="145"/>
        <v>0</v>
      </c>
      <c r="BJ71" s="168">
        <f t="shared" si="145"/>
        <v>0</v>
      </c>
      <c r="BK71" s="168">
        <f t="shared" si="145"/>
        <v>0</v>
      </c>
      <c r="BL71" s="168">
        <f t="shared" si="145"/>
        <v>0</v>
      </c>
      <c r="BM71" s="168">
        <f t="shared" si="145"/>
        <v>0</v>
      </c>
      <c r="BN71" s="168">
        <f t="shared" si="145"/>
        <v>0</v>
      </c>
      <c r="BO71" s="168">
        <f t="shared" si="145"/>
        <v>0</v>
      </c>
      <c r="BP71" s="168">
        <f t="shared" si="145"/>
        <v>0</v>
      </c>
      <c r="BQ71" s="168">
        <f t="shared" si="145"/>
        <v>0</v>
      </c>
      <c r="BR71" s="168">
        <f t="shared" si="145"/>
        <v>0</v>
      </c>
      <c r="BS71" s="168">
        <f t="shared" si="145"/>
        <v>0</v>
      </c>
      <c r="BT71" s="168">
        <f t="shared" si="145"/>
        <v>0</v>
      </c>
      <c r="BU71" s="168">
        <f t="shared" si="145"/>
        <v>0</v>
      </c>
      <c r="BV71" s="168">
        <f t="shared" si="145"/>
        <v>0</v>
      </c>
      <c r="BW71" s="168">
        <f t="shared" si="145"/>
        <v>0</v>
      </c>
      <c r="BX71" s="168">
        <f t="shared" ref="BX71:DC71" si="146">BW74</f>
        <v>0</v>
      </c>
      <c r="BY71" s="168">
        <f t="shared" si="146"/>
        <v>0</v>
      </c>
      <c r="BZ71" s="168">
        <f t="shared" si="146"/>
        <v>0</v>
      </c>
      <c r="CA71" s="168">
        <f t="shared" si="146"/>
        <v>0</v>
      </c>
      <c r="CB71" s="168">
        <f t="shared" si="146"/>
        <v>0</v>
      </c>
      <c r="CC71" s="168">
        <f t="shared" si="146"/>
        <v>0</v>
      </c>
      <c r="CD71" s="168">
        <f t="shared" si="146"/>
        <v>0</v>
      </c>
      <c r="CE71" s="168">
        <f t="shared" si="146"/>
        <v>0</v>
      </c>
      <c r="CF71" s="168">
        <f t="shared" si="146"/>
        <v>0</v>
      </c>
      <c r="CG71" s="168">
        <f t="shared" si="146"/>
        <v>0</v>
      </c>
      <c r="CH71" s="168">
        <f t="shared" si="146"/>
        <v>0</v>
      </c>
      <c r="CI71" s="168">
        <f t="shared" si="146"/>
        <v>0</v>
      </c>
      <c r="CJ71" s="168">
        <f t="shared" si="146"/>
        <v>0</v>
      </c>
      <c r="CK71" s="168">
        <f t="shared" si="146"/>
        <v>0</v>
      </c>
      <c r="CL71" s="168">
        <f t="shared" si="146"/>
        <v>0</v>
      </c>
      <c r="CM71" s="168">
        <f t="shared" si="146"/>
        <v>0</v>
      </c>
      <c r="CN71" s="168">
        <f t="shared" si="146"/>
        <v>0</v>
      </c>
      <c r="CO71" s="168">
        <f t="shared" si="146"/>
        <v>0</v>
      </c>
      <c r="CP71" s="168">
        <f t="shared" si="146"/>
        <v>0</v>
      </c>
      <c r="CQ71" s="168">
        <f t="shared" si="146"/>
        <v>0</v>
      </c>
      <c r="CR71" s="168">
        <f t="shared" si="146"/>
        <v>0</v>
      </c>
      <c r="CS71" s="168">
        <f t="shared" si="146"/>
        <v>0</v>
      </c>
      <c r="CT71" s="168">
        <f t="shared" si="146"/>
        <v>0</v>
      </c>
      <c r="CU71" s="168">
        <f t="shared" si="146"/>
        <v>0</v>
      </c>
      <c r="CV71" s="168">
        <f t="shared" si="146"/>
        <v>0</v>
      </c>
      <c r="CW71" s="168">
        <f t="shared" si="146"/>
        <v>0</v>
      </c>
      <c r="CX71" s="168">
        <f t="shared" si="146"/>
        <v>0</v>
      </c>
      <c r="CY71" s="168">
        <f t="shared" si="146"/>
        <v>0</v>
      </c>
      <c r="CZ71" s="168">
        <f t="shared" si="146"/>
        <v>0</v>
      </c>
      <c r="DA71" s="168">
        <f t="shared" si="146"/>
        <v>0</v>
      </c>
      <c r="DB71" s="168">
        <f t="shared" si="146"/>
        <v>0</v>
      </c>
      <c r="DC71" s="168">
        <f t="shared" si="146"/>
        <v>0</v>
      </c>
      <c r="DD71" s="168">
        <f t="shared" ref="DD71:EI71" si="147">DC74</f>
        <v>0</v>
      </c>
      <c r="DE71" s="168">
        <f t="shared" si="147"/>
        <v>0</v>
      </c>
      <c r="DF71" s="168">
        <f t="shared" si="147"/>
        <v>0</v>
      </c>
      <c r="DG71" s="168">
        <f t="shared" si="147"/>
        <v>0</v>
      </c>
      <c r="DH71" s="168">
        <f t="shared" si="147"/>
        <v>0</v>
      </c>
      <c r="DI71" s="168">
        <f t="shared" si="147"/>
        <v>0</v>
      </c>
      <c r="DJ71" s="168">
        <f t="shared" si="147"/>
        <v>0</v>
      </c>
      <c r="DK71" s="168">
        <f t="shared" si="147"/>
        <v>0</v>
      </c>
      <c r="DL71" s="168">
        <f t="shared" si="147"/>
        <v>0</v>
      </c>
      <c r="DM71" s="168">
        <f t="shared" si="147"/>
        <v>0</v>
      </c>
      <c r="DN71" s="168">
        <f t="shared" si="147"/>
        <v>0</v>
      </c>
      <c r="DO71" s="168">
        <f t="shared" si="147"/>
        <v>0</v>
      </c>
      <c r="DP71" s="168">
        <f t="shared" si="147"/>
        <v>0</v>
      </c>
      <c r="DQ71" s="168">
        <f t="shared" si="147"/>
        <v>0</v>
      </c>
      <c r="DR71" s="168">
        <f t="shared" si="147"/>
        <v>0</v>
      </c>
      <c r="DS71" s="168">
        <f t="shared" si="147"/>
        <v>0</v>
      </c>
      <c r="DT71" s="168">
        <f t="shared" si="147"/>
        <v>0</v>
      </c>
      <c r="DU71" s="168">
        <f t="shared" si="147"/>
        <v>0</v>
      </c>
      <c r="DV71" s="168">
        <f t="shared" si="147"/>
        <v>0</v>
      </c>
      <c r="DW71" s="168">
        <f t="shared" si="147"/>
        <v>0</v>
      </c>
      <c r="DX71" s="168">
        <f t="shared" si="147"/>
        <v>0</v>
      </c>
      <c r="DY71" s="168">
        <f t="shared" si="147"/>
        <v>0</v>
      </c>
      <c r="DZ71" s="168">
        <f t="shared" si="147"/>
        <v>0</v>
      </c>
      <c r="EA71" s="168">
        <f t="shared" si="147"/>
        <v>0</v>
      </c>
      <c r="EB71" s="168">
        <f t="shared" si="147"/>
        <v>0</v>
      </c>
      <c r="EC71" s="168">
        <f t="shared" si="147"/>
        <v>0</v>
      </c>
      <c r="ED71" s="1320">
        <f t="shared" si="147"/>
        <v>0</v>
      </c>
      <c r="EE71" s="168">
        <f t="shared" si="147"/>
        <v>0</v>
      </c>
      <c r="EF71" s="168">
        <f t="shared" si="147"/>
        <v>0</v>
      </c>
      <c r="EG71" s="168">
        <f t="shared" si="147"/>
        <v>0</v>
      </c>
      <c r="EH71" s="168">
        <f t="shared" si="147"/>
        <v>0</v>
      </c>
      <c r="EI71" s="168">
        <f t="shared" si="147"/>
        <v>0</v>
      </c>
      <c r="EJ71" s="168">
        <f t="shared" ref="EJ71:EQ71" si="148">EI74</f>
        <v>0</v>
      </c>
      <c r="EK71" s="168">
        <f t="shared" si="148"/>
        <v>0</v>
      </c>
      <c r="EL71" s="168">
        <f t="shared" si="148"/>
        <v>0</v>
      </c>
      <c r="EM71" s="168">
        <f t="shared" si="148"/>
        <v>0</v>
      </c>
      <c r="EN71" s="168">
        <f t="shared" si="148"/>
        <v>0</v>
      </c>
      <c r="EO71" s="168">
        <f t="shared" si="148"/>
        <v>0</v>
      </c>
      <c r="EP71" s="168">
        <f t="shared" si="148"/>
        <v>0</v>
      </c>
      <c r="EQ71" s="168">
        <f t="shared" si="148"/>
        <v>0</v>
      </c>
    </row>
    <row r="72" spans="3:147" ht="11.25" customHeight="1">
      <c r="C72" s="163"/>
      <c r="D72" s="169" t="s">
        <v>218</v>
      </c>
      <c r="H72" s="146">
        <f>'A&amp;R'!M43</f>
        <v>46326</v>
      </c>
      <c r="I72" s="13">
        <f>'A&amp;R'!Q43</f>
        <v>10000000</v>
      </c>
      <c r="J72" s="170">
        <f>SUM(L72:EQ72)</f>
        <v>10000000</v>
      </c>
      <c r="K72" s="98"/>
      <c r="L72" s="171">
        <f>(L$14=$H72)*$I72</f>
        <v>10000000</v>
      </c>
      <c r="M72" s="171">
        <f t="shared" ref="M72:BX72" si="149">(M$14=$H72)*$I72</f>
        <v>0</v>
      </c>
      <c r="N72" s="171">
        <f t="shared" si="149"/>
        <v>0</v>
      </c>
      <c r="O72" s="171">
        <f t="shared" si="149"/>
        <v>0</v>
      </c>
      <c r="P72" s="171">
        <f t="shared" si="149"/>
        <v>0</v>
      </c>
      <c r="Q72" s="171">
        <f t="shared" si="149"/>
        <v>0</v>
      </c>
      <c r="R72" s="171">
        <f t="shared" si="149"/>
        <v>0</v>
      </c>
      <c r="S72" s="171">
        <f t="shared" si="149"/>
        <v>0</v>
      </c>
      <c r="T72" s="171">
        <f t="shared" si="149"/>
        <v>0</v>
      </c>
      <c r="U72" s="171">
        <f t="shared" si="149"/>
        <v>0</v>
      </c>
      <c r="V72" s="171">
        <f t="shared" si="149"/>
        <v>0</v>
      </c>
      <c r="W72" s="171">
        <f t="shared" si="149"/>
        <v>0</v>
      </c>
      <c r="X72" s="171">
        <f t="shared" si="149"/>
        <v>0</v>
      </c>
      <c r="Y72" s="171">
        <f t="shared" si="149"/>
        <v>0</v>
      </c>
      <c r="Z72" s="171">
        <f t="shared" si="149"/>
        <v>0</v>
      </c>
      <c r="AA72" s="171">
        <f t="shared" si="149"/>
        <v>0</v>
      </c>
      <c r="AB72" s="171">
        <f t="shared" si="149"/>
        <v>0</v>
      </c>
      <c r="AC72" s="171">
        <f t="shared" si="149"/>
        <v>0</v>
      </c>
      <c r="AD72" s="171">
        <f t="shared" si="149"/>
        <v>0</v>
      </c>
      <c r="AE72" s="171">
        <f t="shared" si="149"/>
        <v>0</v>
      </c>
      <c r="AF72" s="171">
        <f t="shared" si="149"/>
        <v>0</v>
      </c>
      <c r="AG72" s="171">
        <f t="shared" si="149"/>
        <v>0</v>
      </c>
      <c r="AH72" s="171">
        <f t="shared" si="149"/>
        <v>0</v>
      </c>
      <c r="AI72" s="171">
        <f t="shared" si="149"/>
        <v>0</v>
      </c>
      <c r="AJ72" s="171">
        <f t="shared" si="149"/>
        <v>0</v>
      </c>
      <c r="AK72" s="171">
        <f t="shared" si="149"/>
        <v>0</v>
      </c>
      <c r="AL72" s="171">
        <f t="shared" si="149"/>
        <v>0</v>
      </c>
      <c r="AM72" s="171">
        <f t="shared" si="149"/>
        <v>0</v>
      </c>
      <c r="AN72" s="171">
        <f t="shared" si="149"/>
        <v>0</v>
      </c>
      <c r="AO72" s="171">
        <f t="shared" si="149"/>
        <v>0</v>
      </c>
      <c r="AP72" s="171">
        <f t="shared" si="149"/>
        <v>0</v>
      </c>
      <c r="AQ72" s="171">
        <f t="shared" si="149"/>
        <v>0</v>
      </c>
      <c r="AR72" s="171">
        <f t="shared" si="149"/>
        <v>0</v>
      </c>
      <c r="AS72" s="171">
        <f t="shared" si="149"/>
        <v>0</v>
      </c>
      <c r="AT72" s="171">
        <f t="shared" si="149"/>
        <v>0</v>
      </c>
      <c r="AU72" s="171">
        <f t="shared" si="149"/>
        <v>0</v>
      </c>
      <c r="AV72" s="171">
        <f t="shared" si="149"/>
        <v>0</v>
      </c>
      <c r="AW72" s="171">
        <f t="shared" si="149"/>
        <v>0</v>
      </c>
      <c r="AX72" s="171">
        <f t="shared" si="149"/>
        <v>0</v>
      </c>
      <c r="AY72" s="171">
        <f t="shared" si="149"/>
        <v>0</v>
      </c>
      <c r="AZ72" s="171">
        <f t="shared" si="149"/>
        <v>0</v>
      </c>
      <c r="BA72" s="171">
        <f t="shared" si="149"/>
        <v>0</v>
      </c>
      <c r="BB72" s="171">
        <f t="shared" si="149"/>
        <v>0</v>
      </c>
      <c r="BC72" s="171">
        <f t="shared" si="149"/>
        <v>0</v>
      </c>
      <c r="BD72" s="171">
        <f t="shared" si="149"/>
        <v>0</v>
      </c>
      <c r="BE72" s="171">
        <f t="shared" si="149"/>
        <v>0</v>
      </c>
      <c r="BF72" s="171">
        <f t="shared" si="149"/>
        <v>0</v>
      </c>
      <c r="BG72" s="171">
        <f t="shared" si="149"/>
        <v>0</v>
      </c>
      <c r="BH72" s="171">
        <f t="shared" si="149"/>
        <v>0</v>
      </c>
      <c r="BI72" s="171">
        <f t="shared" si="149"/>
        <v>0</v>
      </c>
      <c r="BJ72" s="171">
        <f t="shared" si="149"/>
        <v>0</v>
      </c>
      <c r="BK72" s="171">
        <f t="shared" si="149"/>
        <v>0</v>
      </c>
      <c r="BL72" s="171">
        <f t="shared" si="149"/>
        <v>0</v>
      </c>
      <c r="BM72" s="171">
        <f t="shared" si="149"/>
        <v>0</v>
      </c>
      <c r="BN72" s="171">
        <f t="shared" si="149"/>
        <v>0</v>
      </c>
      <c r="BO72" s="171">
        <f t="shared" si="149"/>
        <v>0</v>
      </c>
      <c r="BP72" s="171">
        <f t="shared" si="149"/>
        <v>0</v>
      </c>
      <c r="BQ72" s="171">
        <f t="shared" si="149"/>
        <v>0</v>
      </c>
      <c r="BR72" s="171">
        <f t="shared" si="149"/>
        <v>0</v>
      </c>
      <c r="BS72" s="171">
        <f t="shared" si="149"/>
        <v>0</v>
      </c>
      <c r="BT72" s="171">
        <f t="shared" si="149"/>
        <v>0</v>
      </c>
      <c r="BU72" s="171">
        <f t="shared" si="149"/>
        <v>0</v>
      </c>
      <c r="BV72" s="171">
        <f t="shared" si="149"/>
        <v>0</v>
      </c>
      <c r="BW72" s="171">
        <f t="shared" si="149"/>
        <v>0</v>
      </c>
      <c r="BX72" s="171">
        <f t="shared" si="149"/>
        <v>0</v>
      </c>
      <c r="BY72" s="171">
        <f t="shared" ref="BY72:EQ72" si="150">(BY$14=$H72)*$I72</f>
        <v>0</v>
      </c>
      <c r="BZ72" s="171">
        <f t="shared" si="150"/>
        <v>0</v>
      </c>
      <c r="CA72" s="171">
        <f t="shared" si="150"/>
        <v>0</v>
      </c>
      <c r="CB72" s="171">
        <f t="shared" si="150"/>
        <v>0</v>
      </c>
      <c r="CC72" s="171">
        <f t="shared" si="150"/>
        <v>0</v>
      </c>
      <c r="CD72" s="171">
        <f t="shared" si="150"/>
        <v>0</v>
      </c>
      <c r="CE72" s="171">
        <f t="shared" si="150"/>
        <v>0</v>
      </c>
      <c r="CF72" s="171">
        <f t="shared" si="150"/>
        <v>0</v>
      </c>
      <c r="CG72" s="171">
        <f t="shared" si="150"/>
        <v>0</v>
      </c>
      <c r="CH72" s="171">
        <f t="shared" si="150"/>
        <v>0</v>
      </c>
      <c r="CI72" s="171">
        <f t="shared" si="150"/>
        <v>0</v>
      </c>
      <c r="CJ72" s="171">
        <f t="shared" si="150"/>
        <v>0</v>
      </c>
      <c r="CK72" s="171">
        <f t="shared" si="150"/>
        <v>0</v>
      </c>
      <c r="CL72" s="171">
        <f t="shared" si="150"/>
        <v>0</v>
      </c>
      <c r="CM72" s="171">
        <f t="shared" si="150"/>
        <v>0</v>
      </c>
      <c r="CN72" s="171">
        <f t="shared" si="150"/>
        <v>0</v>
      </c>
      <c r="CO72" s="171">
        <f t="shared" si="150"/>
        <v>0</v>
      </c>
      <c r="CP72" s="171">
        <f t="shared" si="150"/>
        <v>0</v>
      </c>
      <c r="CQ72" s="171">
        <f t="shared" si="150"/>
        <v>0</v>
      </c>
      <c r="CR72" s="171">
        <f t="shared" si="150"/>
        <v>0</v>
      </c>
      <c r="CS72" s="171">
        <f t="shared" si="150"/>
        <v>0</v>
      </c>
      <c r="CT72" s="171">
        <f t="shared" si="150"/>
        <v>0</v>
      </c>
      <c r="CU72" s="171">
        <f t="shared" si="150"/>
        <v>0</v>
      </c>
      <c r="CV72" s="171">
        <f t="shared" si="150"/>
        <v>0</v>
      </c>
      <c r="CW72" s="171">
        <f t="shared" si="150"/>
        <v>0</v>
      </c>
      <c r="CX72" s="171">
        <f t="shared" si="150"/>
        <v>0</v>
      </c>
      <c r="CY72" s="171">
        <f t="shared" si="150"/>
        <v>0</v>
      </c>
      <c r="CZ72" s="171">
        <f t="shared" si="150"/>
        <v>0</v>
      </c>
      <c r="DA72" s="171">
        <f t="shared" si="150"/>
        <v>0</v>
      </c>
      <c r="DB72" s="171">
        <f t="shared" si="150"/>
        <v>0</v>
      </c>
      <c r="DC72" s="171">
        <f t="shared" si="150"/>
        <v>0</v>
      </c>
      <c r="DD72" s="171">
        <f t="shared" si="150"/>
        <v>0</v>
      </c>
      <c r="DE72" s="171">
        <f t="shared" si="150"/>
        <v>0</v>
      </c>
      <c r="DF72" s="171">
        <f t="shared" si="150"/>
        <v>0</v>
      </c>
      <c r="DG72" s="171">
        <f t="shared" si="150"/>
        <v>0</v>
      </c>
      <c r="DH72" s="171">
        <f t="shared" si="150"/>
        <v>0</v>
      </c>
      <c r="DI72" s="171">
        <f t="shared" si="150"/>
        <v>0</v>
      </c>
      <c r="DJ72" s="171">
        <f t="shared" si="150"/>
        <v>0</v>
      </c>
      <c r="DK72" s="171">
        <f t="shared" si="150"/>
        <v>0</v>
      </c>
      <c r="DL72" s="171">
        <f t="shared" si="150"/>
        <v>0</v>
      </c>
      <c r="DM72" s="171">
        <f t="shared" si="150"/>
        <v>0</v>
      </c>
      <c r="DN72" s="171">
        <f t="shared" si="150"/>
        <v>0</v>
      </c>
      <c r="DO72" s="171">
        <f t="shared" si="150"/>
        <v>0</v>
      </c>
      <c r="DP72" s="171">
        <f t="shared" si="150"/>
        <v>0</v>
      </c>
      <c r="DQ72" s="171">
        <f t="shared" si="150"/>
        <v>0</v>
      </c>
      <c r="DR72" s="171">
        <f t="shared" si="150"/>
        <v>0</v>
      </c>
      <c r="DS72" s="171">
        <f t="shared" si="150"/>
        <v>0</v>
      </c>
      <c r="DT72" s="171">
        <f t="shared" si="150"/>
        <v>0</v>
      </c>
      <c r="DU72" s="171">
        <f t="shared" si="150"/>
        <v>0</v>
      </c>
      <c r="DV72" s="171">
        <f t="shared" si="150"/>
        <v>0</v>
      </c>
      <c r="DW72" s="171">
        <f t="shared" si="150"/>
        <v>0</v>
      </c>
      <c r="DX72" s="171">
        <f t="shared" si="150"/>
        <v>0</v>
      </c>
      <c r="DY72" s="171">
        <f t="shared" si="150"/>
        <v>0</v>
      </c>
      <c r="DZ72" s="171">
        <f t="shared" si="150"/>
        <v>0</v>
      </c>
      <c r="EA72" s="171">
        <f t="shared" si="150"/>
        <v>0</v>
      </c>
      <c r="EB72" s="171">
        <f t="shared" si="150"/>
        <v>0</v>
      </c>
      <c r="EC72" s="171">
        <f t="shared" si="150"/>
        <v>0</v>
      </c>
      <c r="ED72" s="1321">
        <f t="shared" si="150"/>
        <v>0</v>
      </c>
      <c r="EE72" s="171">
        <f t="shared" si="150"/>
        <v>0</v>
      </c>
      <c r="EF72" s="171">
        <f t="shared" si="150"/>
        <v>0</v>
      </c>
      <c r="EG72" s="171">
        <f t="shared" si="150"/>
        <v>0</v>
      </c>
      <c r="EH72" s="171">
        <f t="shared" si="150"/>
        <v>0</v>
      </c>
      <c r="EI72" s="171">
        <f t="shared" si="150"/>
        <v>0</v>
      </c>
      <c r="EJ72" s="171">
        <f t="shared" si="150"/>
        <v>0</v>
      </c>
      <c r="EK72" s="171">
        <f t="shared" si="150"/>
        <v>0</v>
      </c>
      <c r="EL72" s="171">
        <f t="shared" si="150"/>
        <v>0</v>
      </c>
      <c r="EM72" s="171">
        <f t="shared" si="150"/>
        <v>0</v>
      </c>
      <c r="EN72" s="171">
        <f t="shared" si="150"/>
        <v>0</v>
      </c>
      <c r="EO72" s="171">
        <f t="shared" si="150"/>
        <v>0</v>
      </c>
      <c r="EP72" s="171">
        <f t="shared" si="150"/>
        <v>0</v>
      </c>
      <c r="EQ72" s="171">
        <f t="shared" si="150"/>
        <v>0</v>
      </c>
    </row>
    <row r="73" spans="3:147" ht="11.25" customHeight="1">
      <c r="C73" s="163"/>
      <c r="D73" s="169" t="s">
        <v>219</v>
      </c>
      <c r="H73" s="146">
        <f>'A&amp;R'!N43</f>
        <v>47057</v>
      </c>
      <c r="J73" s="170">
        <f>SUM(L73:EQ73)</f>
        <v>10000000</v>
      </c>
      <c r="K73" s="98"/>
      <c r="L73" s="171">
        <f>SUM(L256,L261)</f>
        <v>0</v>
      </c>
      <c r="M73" s="171">
        <f t="shared" ref="M73:BX73" si="151">SUM(M256,M261)</f>
        <v>0</v>
      </c>
      <c r="N73" s="171">
        <f t="shared" si="151"/>
        <v>0</v>
      </c>
      <c r="O73" s="171">
        <f t="shared" si="151"/>
        <v>0</v>
      </c>
      <c r="P73" s="171">
        <f t="shared" si="151"/>
        <v>0</v>
      </c>
      <c r="Q73" s="171">
        <f t="shared" si="151"/>
        <v>0</v>
      </c>
      <c r="R73" s="171">
        <f t="shared" si="151"/>
        <v>0</v>
      </c>
      <c r="S73" s="171">
        <f t="shared" si="151"/>
        <v>0</v>
      </c>
      <c r="T73" s="171">
        <f t="shared" si="151"/>
        <v>0</v>
      </c>
      <c r="U73" s="171">
        <f t="shared" si="151"/>
        <v>0</v>
      </c>
      <c r="V73" s="171">
        <f t="shared" si="151"/>
        <v>0</v>
      </c>
      <c r="W73" s="171">
        <f t="shared" si="151"/>
        <v>0</v>
      </c>
      <c r="X73" s="171">
        <f t="shared" si="151"/>
        <v>0</v>
      </c>
      <c r="Y73" s="171">
        <f t="shared" si="151"/>
        <v>0</v>
      </c>
      <c r="Z73" s="171">
        <f t="shared" si="151"/>
        <v>0</v>
      </c>
      <c r="AA73" s="171">
        <f t="shared" si="151"/>
        <v>0</v>
      </c>
      <c r="AB73" s="171">
        <f t="shared" si="151"/>
        <v>0</v>
      </c>
      <c r="AC73" s="171">
        <f t="shared" si="151"/>
        <v>0</v>
      </c>
      <c r="AD73" s="171">
        <f t="shared" si="151"/>
        <v>0</v>
      </c>
      <c r="AE73" s="171">
        <f t="shared" si="151"/>
        <v>0</v>
      </c>
      <c r="AF73" s="171">
        <f t="shared" si="151"/>
        <v>0</v>
      </c>
      <c r="AG73" s="171">
        <f t="shared" si="151"/>
        <v>0</v>
      </c>
      <c r="AH73" s="171">
        <f t="shared" si="151"/>
        <v>0</v>
      </c>
      <c r="AI73" s="171">
        <f t="shared" si="151"/>
        <v>0</v>
      </c>
      <c r="AJ73" s="171">
        <f t="shared" si="151"/>
        <v>10000000</v>
      </c>
      <c r="AK73" s="171">
        <f t="shared" si="151"/>
        <v>0</v>
      </c>
      <c r="AL73" s="171">
        <f t="shared" si="151"/>
        <v>0</v>
      </c>
      <c r="AM73" s="171">
        <f t="shared" si="151"/>
        <v>0</v>
      </c>
      <c r="AN73" s="171">
        <f t="shared" si="151"/>
        <v>0</v>
      </c>
      <c r="AO73" s="171">
        <f t="shared" si="151"/>
        <v>0</v>
      </c>
      <c r="AP73" s="171">
        <f t="shared" si="151"/>
        <v>0</v>
      </c>
      <c r="AQ73" s="171">
        <f t="shared" si="151"/>
        <v>0</v>
      </c>
      <c r="AR73" s="171">
        <f t="shared" si="151"/>
        <v>0</v>
      </c>
      <c r="AS73" s="171">
        <f t="shared" si="151"/>
        <v>0</v>
      </c>
      <c r="AT73" s="171">
        <f t="shared" si="151"/>
        <v>0</v>
      </c>
      <c r="AU73" s="171">
        <f t="shared" si="151"/>
        <v>0</v>
      </c>
      <c r="AV73" s="171">
        <f t="shared" si="151"/>
        <v>0</v>
      </c>
      <c r="AW73" s="171">
        <f t="shared" si="151"/>
        <v>0</v>
      </c>
      <c r="AX73" s="171">
        <f t="shared" si="151"/>
        <v>0</v>
      </c>
      <c r="AY73" s="171">
        <f t="shared" si="151"/>
        <v>0</v>
      </c>
      <c r="AZ73" s="171">
        <f t="shared" si="151"/>
        <v>0</v>
      </c>
      <c r="BA73" s="171">
        <f t="shared" si="151"/>
        <v>0</v>
      </c>
      <c r="BB73" s="171">
        <f t="shared" si="151"/>
        <v>0</v>
      </c>
      <c r="BC73" s="171">
        <f t="shared" si="151"/>
        <v>0</v>
      </c>
      <c r="BD73" s="171">
        <f t="shared" si="151"/>
        <v>0</v>
      </c>
      <c r="BE73" s="171">
        <f t="shared" si="151"/>
        <v>0</v>
      </c>
      <c r="BF73" s="171">
        <f t="shared" si="151"/>
        <v>0</v>
      </c>
      <c r="BG73" s="171">
        <f t="shared" si="151"/>
        <v>0</v>
      </c>
      <c r="BH73" s="171">
        <f t="shared" si="151"/>
        <v>0</v>
      </c>
      <c r="BI73" s="171">
        <f t="shared" si="151"/>
        <v>0</v>
      </c>
      <c r="BJ73" s="171">
        <f t="shared" si="151"/>
        <v>0</v>
      </c>
      <c r="BK73" s="171">
        <f t="shared" si="151"/>
        <v>0</v>
      </c>
      <c r="BL73" s="171">
        <f t="shared" si="151"/>
        <v>0</v>
      </c>
      <c r="BM73" s="171">
        <f t="shared" si="151"/>
        <v>0</v>
      </c>
      <c r="BN73" s="171">
        <f t="shared" si="151"/>
        <v>0</v>
      </c>
      <c r="BO73" s="171">
        <f t="shared" si="151"/>
        <v>0</v>
      </c>
      <c r="BP73" s="171">
        <f t="shared" si="151"/>
        <v>0</v>
      </c>
      <c r="BQ73" s="171">
        <f t="shared" si="151"/>
        <v>0</v>
      </c>
      <c r="BR73" s="171">
        <f t="shared" si="151"/>
        <v>0</v>
      </c>
      <c r="BS73" s="171">
        <f t="shared" si="151"/>
        <v>0</v>
      </c>
      <c r="BT73" s="171">
        <f t="shared" si="151"/>
        <v>0</v>
      </c>
      <c r="BU73" s="171">
        <f t="shared" si="151"/>
        <v>0</v>
      </c>
      <c r="BV73" s="171">
        <f t="shared" si="151"/>
        <v>0</v>
      </c>
      <c r="BW73" s="171">
        <f t="shared" si="151"/>
        <v>0</v>
      </c>
      <c r="BX73" s="171">
        <f t="shared" si="151"/>
        <v>0</v>
      </c>
      <c r="BY73" s="171">
        <f t="shared" ref="BY73:EJ73" si="152">SUM(BY256,BY261)</f>
        <v>0</v>
      </c>
      <c r="BZ73" s="171">
        <f t="shared" si="152"/>
        <v>0</v>
      </c>
      <c r="CA73" s="171">
        <f t="shared" si="152"/>
        <v>0</v>
      </c>
      <c r="CB73" s="171">
        <f t="shared" si="152"/>
        <v>0</v>
      </c>
      <c r="CC73" s="171">
        <f t="shared" si="152"/>
        <v>0</v>
      </c>
      <c r="CD73" s="171">
        <f t="shared" si="152"/>
        <v>0</v>
      </c>
      <c r="CE73" s="171">
        <f t="shared" si="152"/>
        <v>0</v>
      </c>
      <c r="CF73" s="171">
        <f t="shared" si="152"/>
        <v>0</v>
      </c>
      <c r="CG73" s="171">
        <f t="shared" si="152"/>
        <v>0</v>
      </c>
      <c r="CH73" s="171">
        <f t="shared" si="152"/>
        <v>0</v>
      </c>
      <c r="CI73" s="171">
        <f t="shared" si="152"/>
        <v>0</v>
      </c>
      <c r="CJ73" s="171">
        <f t="shared" si="152"/>
        <v>0</v>
      </c>
      <c r="CK73" s="171">
        <f t="shared" si="152"/>
        <v>0</v>
      </c>
      <c r="CL73" s="171">
        <f t="shared" si="152"/>
        <v>0</v>
      </c>
      <c r="CM73" s="171">
        <f t="shared" si="152"/>
        <v>0</v>
      </c>
      <c r="CN73" s="171">
        <f t="shared" si="152"/>
        <v>0</v>
      </c>
      <c r="CO73" s="171">
        <f t="shared" si="152"/>
        <v>0</v>
      </c>
      <c r="CP73" s="171">
        <f t="shared" si="152"/>
        <v>0</v>
      </c>
      <c r="CQ73" s="171">
        <f t="shared" si="152"/>
        <v>0</v>
      </c>
      <c r="CR73" s="171">
        <f t="shared" si="152"/>
        <v>0</v>
      </c>
      <c r="CS73" s="171">
        <f t="shared" si="152"/>
        <v>0</v>
      </c>
      <c r="CT73" s="171">
        <f t="shared" si="152"/>
        <v>0</v>
      </c>
      <c r="CU73" s="171">
        <f t="shared" si="152"/>
        <v>0</v>
      </c>
      <c r="CV73" s="171">
        <f t="shared" si="152"/>
        <v>0</v>
      </c>
      <c r="CW73" s="171">
        <f t="shared" si="152"/>
        <v>0</v>
      </c>
      <c r="CX73" s="171">
        <f t="shared" si="152"/>
        <v>0</v>
      </c>
      <c r="CY73" s="171">
        <f t="shared" si="152"/>
        <v>0</v>
      </c>
      <c r="CZ73" s="171">
        <f t="shared" si="152"/>
        <v>0</v>
      </c>
      <c r="DA73" s="171">
        <f t="shared" si="152"/>
        <v>0</v>
      </c>
      <c r="DB73" s="171">
        <f t="shared" si="152"/>
        <v>0</v>
      </c>
      <c r="DC73" s="171">
        <f t="shared" si="152"/>
        <v>0</v>
      </c>
      <c r="DD73" s="171">
        <f t="shared" si="152"/>
        <v>0</v>
      </c>
      <c r="DE73" s="171">
        <f t="shared" si="152"/>
        <v>0</v>
      </c>
      <c r="DF73" s="171">
        <f t="shared" si="152"/>
        <v>0</v>
      </c>
      <c r="DG73" s="171">
        <f t="shared" si="152"/>
        <v>0</v>
      </c>
      <c r="DH73" s="171">
        <f t="shared" si="152"/>
        <v>0</v>
      </c>
      <c r="DI73" s="171">
        <f t="shared" si="152"/>
        <v>0</v>
      </c>
      <c r="DJ73" s="171">
        <f t="shared" si="152"/>
        <v>0</v>
      </c>
      <c r="DK73" s="171">
        <f t="shared" si="152"/>
        <v>0</v>
      </c>
      <c r="DL73" s="171">
        <f t="shared" si="152"/>
        <v>0</v>
      </c>
      <c r="DM73" s="171">
        <f t="shared" si="152"/>
        <v>0</v>
      </c>
      <c r="DN73" s="171">
        <f t="shared" si="152"/>
        <v>0</v>
      </c>
      <c r="DO73" s="171">
        <f t="shared" si="152"/>
        <v>0</v>
      </c>
      <c r="DP73" s="171">
        <f t="shared" si="152"/>
        <v>0</v>
      </c>
      <c r="DQ73" s="171">
        <f t="shared" si="152"/>
        <v>0</v>
      </c>
      <c r="DR73" s="171">
        <f t="shared" si="152"/>
        <v>0</v>
      </c>
      <c r="DS73" s="171">
        <f t="shared" si="152"/>
        <v>0</v>
      </c>
      <c r="DT73" s="171">
        <f t="shared" si="152"/>
        <v>0</v>
      </c>
      <c r="DU73" s="171">
        <f t="shared" si="152"/>
        <v>0</v>
      </c>
      <c r="DV73" s="171">
        <f t="shared" si="152"/>
        <v>0</v>
      </c>
      <c r="DW73" s="171">
        <f t="shared" si="152"/>
        <v>0</v>
      </c>
      <c r="DX73" s="171">
        <f t="shared" si="152"/>
        <v>0</v>
      </c>
      <c r="DY73" s="171">
        <f t="shared" si="152"/>
        <v>0</v>
      </c>
      <c r="DZ73" s="171">
        <f t="shared" si="152"/>
        <v>0</v>
      </c>
      <c r="EA73" s="171">
        <f t="shared" si="152"/>
        <v>0</v>
      </c>
      <c r="EB73" s="171">
        <f t="shared" si="152"/>
        <v>0</v>
      </c>
      <c r="EC73" s="171">
        <f t="shared" si="152"/>
        <v>0</v>
      </c>
      <c r="ED73" s="1321">
        <f t="shared" si="152"/>
        <v>0</v>
      </c>
      <c r="EE73" s="171">
        <f t="shared" si="152"/>
        <v>0</v>
      </c>
      <c r="EF73" s="171">
        <f t="shared" si="152"/>
        <v>0</v>
      </c>
      <c r="EG73" s="171">
        <f t="shared" si="152"/>
        <v>0</v>
      </c>
      <c r="EH73" s="171">
        <f t="shared" si="152"/>
        <v>0</v>
      </c>
      <c r="EI73" s="171">
        <f t="shared" si="152"/>
        <v>0</v>
      </c>
      <c r="EJ73" s="171">
        <f t="shared" si="152"/>
        <v>0</v>
      </c>
      <c r="EK73" s="171">
        <f t="shared" ref="EK73:EQ73" si="153">SUM(EK256,EK261)</f>
        <v>0</v>
      </c>
      <c r="EL73" s="171">
        <f t="shared" si="153"/>
        <v>0</v>
      </c>
      <c r="EM73" s="171">
        <f t="shared" si="153"/>
        <v>0</v>
      </c>
      <c r="EN73" s="171">
        <f t="shared" si="153"/>
        <v>0</v>
      </c>
      <c r="EO73" s="171">
        <f t="shared" si="153"/>
        <v>0</v>
      </c>
      <c r="EP73" s="171">
        <f t="shared" si="153"/>
        <v>0</v>
      </c>
      <c r="EQ73" s="171">
        <f t="shared" si="153"/>
        <v>0</v>
      </c>
    </row>
    <row r="74" spans="3:147" ht="11.25" customHeight="1">
      <c r="C74" s="163"/>
      <c r="D74" s="169" t="s">
        <v>220</v>
      </c>
      <c r="J74" s="170"/>
      <c r="K74" s="98"/>
      <c r="L74" s="171">
        <f>L71+L72-L73</f>
        <v>10000000</v>
      </c>
      <c r="M74" s="171">
        <f t="shared" ref="M74:BX74" si="154">M71+M72-M73</f>
        <v>10000000</v>
      </c>
      <c r="N74" s="171">
        <f t="shared" si="154"/>
        <v>10000000</v>
      </c>
      <c r="O74" s="171">
        <f t="shared" si="154"/>
        <v>10000000</v>
      </c>
      <c r="P74" s="171">
        <f t="shared" si="154"/>
        <v>10000000</v>
      </c>
      <c r="Q74" s="171">
        <f t="shared" si="154"/>
        <v>10000000</v>
      </c>
      <c r="R74" s="171">
        <f t="shared" si="154"/>
        <v>10000000</v>
      </c>
      <c r="S74" s="171">
        <f t="shared" si="154"/>
        <v>10000000</v>
      </c>
      <c r="T74" s="171">
        <f t="shared" si="154"/>
        <v>10000000</v>
      </c>
      <c r="U74" s="171">
        <f t="shared" si="154"/>
        <v>10000000</v>
      </c>
      <c r="V74" s="171">
        <f t="shared" si="154"/>
        <v>10000000</v>
      </c>
      <c r="W74" s="171">
        <f t="shared" si="154"/>
        <v>10000000</v>
      </c>
      <c r="X74" s="171">
        <f t="shared" si="154"/>
        <v>10000000</v>
      </c>
      <c r="Y74" s="171">
        <f t="shared" si="154"/>
        <v>10000000</v>
      </c>
      <c r="Z74" s="171">
        <f t="shared" si="154"/>
        <v>10000000</v>
      </c>
      <c r="AA74" s="171">
        <f t="shared" si="154"/>
        <v>10000000</v>
      </c>
      <c r="AB74" s="171">
        <f t="shared" si="154"/>
        <v>10000000</v>
      </c>
      <c r="AC74" s="171">
        <f t="shared" si="154"/>
        <v>10000000</v>
      </c>
      <c r="AD74" s="171">
        <f t="shared" si="154"/>
        <v>10000000</v>
      </c>
      <c r="AE74" s="171">
        <f t="shared" si="154"/>
        <v>10000000</v>
      </c>
      <c r="AF74" s="171">
        <f t="shared" si="154"/>
        <v>10000000</v>
      </c>
      <c r="AG74" s="171">
        <f t="shared" si="154"/>
        <v>10000000</v>
      </c>
      <c r="AH74" s="171">
        <f t="shared" si="154"/>
        <v>10000000</v>
      </c>
      <c r="AI74" s="171">
        <f t="shared" si="154"/>
        <v>10000000</v>
      </c>
      <c r="AJ74" s="171">
        <f t="shared" si="154"/>
        <v>0</v>
      </c>
      <c r="AK74" s="171">
        <f t="shared" si="154"/>
        <v>0</v>
      </c>
      <c r="AL74" s="171">
        <f t="shared" si="154"/>
        <v>0</v>
      </c>
      <c r="AM74" s="171">
        <f t="shared" si="154"/>
        <v>0</v>
      </c>
      <c r="AN74" s="171">
        <f t="shared" si="154"/>
        <v>0</v>
      </c>
      <c r="AO74" s="171">
        <f t="shared" si="154"/>
        <v>0</v>
      </c>
      <c r="AP74" s="171">
        <f t="shared" si="154"/>
        <v>0</v>
      </c>
      <c r="AQ74" s="171">
        <f t="shared" si="154"/>
        <v>0</v>
      </c>
      <c r="AR74" s="171">
        <f t="shared" si="154"/>
        <v>0</v>
      </c>
      <c r="AS74" s="171">
        <f t="shared" si="154"/>
        <v>0</v>
      </c>
      <c r="AT74" s="171">
        <f t="shared" si="154"/>
        <v>0</v>
      </c>
      <c r="AU74" s="171">
        <f t="shared" si="154"/>
        <v>0</v>
      </c>
      <c r="AV74" s="171">
        <f t="shared" si="154"/>
        <v>0</v>
      </c>
      <c r="AW74" s="171">
        <f t="shared" si="154"/>
        <v>0</v>
      </c>
      <c r="AX74" s="171">
        <f t="shared" si="154"/>
        <v>0</v>
      </c>
      <c r="AY74" s="171">
        <f t="shared" si="154"/>
        <v>0</v>
      </c>
      <c r="AZ74" s="171">
        <f t="shared" si="154"/>
        <v>0</v>
      </c>
      <c r="BA74" s="171">
        <f t="shared" si="154"/>
        <v>0</v>
      </c>
      <c r="BB74" s="171">
        <f t="shared" si="154"/>
        <v>0</v>
      </c>
      <c r="BC74" s="171">
        <f t="shared" si="154"/>
        <v>0</v>
      </c>
      <c r="BD74" s="171">
        <f t="shared" si="154"/>
        <v>0</v>
      </c>
      <c r="BE74" s="171">
        <f t="shared" si="154"/>
        <v>0</v>
      </c>
      <c r="BF74" s="171">
        <f t="shared" si="154"/>
        <v>0</v>
      </c>
      <c r="BG74" s="171">
        <f t="shared" si="154"/>
        <v>0</v>
      </c>
      <c r="BH74" s="171">
        <f t="shared" si="154"/>
        <v>0</v>
      </c>
      <c r="BI74" s="171">
        <f t="shared" si="154"/>
        <v>0</v>
      </c>
      <c r="BJ74" s="171">
        <f t="shared" si="154"/>
        <v>0</v>
      </c>
      <c r="BK74" s="171">
        <f t="shared" si="154"/>
        <v>0</v>
      </c>
      <c r="BL74" s="171">
        <f t="shared" si="154"/>
        <v>0</v>
      </c>
      <c r="BM74" s="171">
        <f t="shared" si="154"/>
        <v>0</v>
      </c>
      <c r="BN74" s="171">
        <f t="shared" si="154"/>
        <v>0</v>
      </c>
      <c r="BO74" s="171">
        <f t="shared" si="154"/>
        <v>0</v>
      </c>
      <c r="BP74" s="171">
        <f t="shared" si="154"/>
        <v>0</v>
      </c>
      <c r="BQ74" s="171">
        <f t="shared" si="154"/>
        <v>0</v>
      </c>
      <c r="BR74" s="171">
        <f t="shared" si="154"/>
        <v>0</v>
      </c>
      <c r="BS74" s="171">
        <f t="shared" si="154"/>
        <v>0</v>
      </c>
      <c r="BT74" s="171">
        <f t="shared" si="154"/>
        <v>0</v>
      </c>
      <c r="BU74" s="171">
        <f t="shared" si="154"/>
        <v>0</v>
      </c>
      <c r="BV74" s="171">
        <f t="shared" si="154"/>
        <v>0</v>
      </c>
      <c r="BW74" s="171">
        <f t="shared" si="154"/>
        <v>0</v>
      </c>
      <c r="BX74" s="171">
        <f t="shared" si="154"/>
        <v>0</v>
      </c>
      <c r="BY74" s="171">
        <f t="shared" ref="BY74:EJ74" si="155">BY71+BY72-BY73</f>
        <v>0</v>
      </c>
      <c r="BZ74" s="171">
        <f t="shared" si="155"/>
        <v>0</v>
      </c>
      <c r="CA74" s="171">
        <f t="shared" si="155"/>
        <v>0</v>
      </c>
      <c r="CB74" s="171">
        <f t="shared" si="155"/>
        <v>0</v>
      </c>
      <c r="CC74" s="171">
        <f t="shared" si="155"/>
        <v>0</v>
      </c>
      <c r="CD74" s="171">
        <f t="shared" si="155"/>
        <v>0</v>
      </c>
      <c r="CE74" s="171">
        <f t="shared" si="155"/>
        <v>0</v>
      </c>
      <c r="CF74" s="171">
        <f t="shared" si="155"/>
        <v>0</v>
      </c>
      <c r="CG74" s="171">
        <f t="shared" si="155"/>
        <v>0</v>
      </c>
      <c r="CH74" s="171">
        <f t="shared" si="155"/>
        <v>0</v>
      </c>
      <c r="CI74" s="171">
        <f t="shared" si="155"/>
        <v>0</v>
      </c>
      <c r="CJ74" s="171">
        <f t="shared" si="155"/>
        <v>0</v>
      </c>
      <c r="CK74" s="171">
        <f t="shared" si="155"/>
        <v>0</v>
      </c>
      <c r="CL74" s="171">
        <f t="shared" si="155"/>
        <v>0</v>
      </c>
      <c r="CM74" s="171">
        <f t="shared" si="155"/>
        <v>0</v>
      </c>
      <c r="CN74" s="171">
        <f t="shared" si="155"/>
        <v>0</v>
      </c>
      <c r="CO74" s="171">
        <f t="shared" si="155"/>
        <v>0</v>
      </c>
      <c r="CP74" s="171">
        <f t="shared" si="155"/>
        <v>0</v>
      </c>
      <c r="CQ74" s="171">
        <f t="shared" si="155"/>
        <v>0</v>
      </c>
      <c r="CR74" s="171">
        <f t="shared" si="155"/>
        <v>0</v>
      </c>
      <c r="CS74" s="171">
        <f t="shared" si="155"/>
        <v>0</v>
      </c>
      <c r="CT74" s="171">
        <f t="shared" si="155"/>
        <v>0</v>
      </c>
      <c r="CU74" s="171">
        <f t="shared" si="155"/>
        <v>0</v>
      </c>
      <c r="CV74" s="171">
        <f t="shared" si="155"/>
        <v>0</v>
      </c>
      <c r="CW74" s="171">
        <f t="shared" si="155"/>
        <v>0</v>
      </c>
      <c r="CX74" s="171">
        <f t="shared" si="155"/>
        <v>0</v>
      </c>
      <c r="CY74" s="171">
        <f t="shared" si="155"/>
        <v>0</v>
      </c>
      <c r="CZ74" s="171">
        <f t="shared" si="155"/>
        <v>0</v>
      </c>
      <c r="DA74" s="171">
        <f t="shared" si="155"/>
        <v>0</v>
      </c>
      <c r="DB74" s="171">
        <f t="shared" si="155"/>
        <v>0</v>
      </c>
      <c r="DC74" s="171">
        <f t="shared" si="155"/>
        <v>0</v>
      </c>
      <c r="DD74" s="171">
        <f t="shared" si="155"/>
        <v>0</v>
      </c>
      <c r="DE74" s="171">
        <f t="shared" si="155"/>
        <v>0</v>
      </c>
      <c r="DF74" s="171">
        <f t="shared" si="155"/>
        <v>0</v>
      </c>
      <c r="DG74" s="171">
        <f t="shared" si="155"/>
        <v>0</v>
      </c>
      <c r="DH74" s="171">
        <f t="shared" si="155"/>
        <v>0</v>
      </c>
      <c r="DI74" s="171">
        <f t="shared" si="155"/>
        <v>0</v>
      </c>
      <c r="DJ74" s="171">
        <f t="shared" si="155"/>
        <v>0</v>
      </c>
      <c r="DK74" s="171">
        <f t="shared" si="155"/>
        <v>0</v>
      </c>
      <c r="DL74" s="171">
        <f t="shared" si="155"/>
        <v>0</v>
      </c>
      <c r="DM74" s="171">
        <f t="shared" si="155"/>
        <v>0</v>
      </c>
      <c r="DN74" s="171">
        <f t="shared" si="155"/>
        <v>0</v>
      </c>
      <c r="DO74" s="171">
        <f t="shared" si="155"/>
        <v>0</v>
      </c>
      <c r="DP74" s="171">
        <f t="shared" si="155"/>
        <v>0</v>
      </c>
      <c r="DQ74" s="171">
        <f t="shared" si="155"/>
        <v>0</v>
      </c>
      <c r="DR74" s="171">
        <f t="shared" si="155"/>
        <v>0</v>
      </c>
      <c r="DS74" s="171">
        <f t="shared" si="155"/>
        <v>0</v>
      </c>
      <c r="DT74" s="171">
        <f t="shared" si="155"/>
        <v>0</v>
      </c>
      <c r="DU74" s="171">
        <f t="shared" si="155"/>
        <v>0</v>
      </c>
      <c r="DV74" s="171">
        <f t="shared" si="155"/>
        <v>0</v>
      </c>
      <c r="DW74" s="171">
        <f t="shared" si="155"/>
        <v>0</v>
      </c>
      <c r="DX74" s="171">
        <f t="shared" si="155"/>
        <v>0</v>
      </c>
      <c r="DY74" s="171">
        <f t="shared" si="155"/>
        <v>0</v>
      </c>
      <c r="DZ74" s="171">
        <f t="shared" si="155"/>
        <v>0</v>
      </c>
      <c r="EA74" s="171">
        <f t="shared" si="155"/>
        <v>0</v>
      </c>
      <c r="EB74" s="171">
        <f t="shared" si="155"/>
        <v>0</v>
      </c>
      <c r="EC74" s="171">
        <f t="shared" si="155"/>
        <v>0</v>
      </c>
      <c r="ED74" s="1321">
        <f t="shared" si="155"/>
        <v>0</v>
      </c>
      <c r="EE74" s="171">
        <f t="shared" si="155"/>
        <v>0</v>
      </c>
      <c r="EF74" s="171">
        <f t="shared" si="155"/>
        <v>0</v>
      </c>
      <c r="EG74" s="171">
        <f t="shared" si="155"/>
        <v>0</v>
      </c>
      <c r="EH74" s="171">
        <f t="shared" si="155"/>
        <v>0</v>
      </c>
      <c r="EI74" s="171">
        <f t="shared" si="155"/>
        <v>0</v>
      </c>
      <c r="EJ74" s="171">
        <f t="shared" si="155"/>
        <v>0</v>
      </c>
      <c r="EK74" s="171">
        <f t="shared" ref="EK74:EQ74" si="156">EK71+EK72-EK73</f>
        <v>0</v>
      </c>
      <c r="EL74" s="171">
        <f t="shared" si="156"/>
        <v>0</v>
      </c>
      <c r="EM74" s="171">
        <f t="shared" si="156"/>
        <v>0</v>
      </c>
      <c r="EN74" s="171">
        <f t="shared" si="156"/>
        <v>0</v>
      </c>
      <c r="EO74" s="171">
        <f t="shared" si="156"/>
        <v>0</v>
      </c>
      <c r="EP74" s="171">
        <f t="shared" si="156"/>
        <v>0</v>
      </c>
      <c r="EQ74" s="171">
        <f t="shared" si="156"/>
        <v>0</v>
      </c>
    </row>
    <row r="75" spans="3:147" ht="11.25" customHeight="1">
      <c r="C75" s="158" t="str">
        <f>'A&amp;R'!L44</f>
        <v>보통주(KLI)</v>
      </c>
      <c r="D75" s="159"/>
      <c r="E75" s="159"/>
      <c r="F75" s="159"/>
      <c r="G75" s="159"/>
      <c r="H75" s="160"/>
      <c r="I75" s="219"/>
      <c r="J75" s="161"/>
      <c r="K75" s="98"/>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162"/>
      <c r="AK75" s="162"/>
      <c r="AL75" s="162"/>
      <c r="AM75" s="162"/>
      <c r="AN75" s="162"/>
      <c r="AO75" s="162"/>
      <c r="AP75" s="162"/>
      <c r="AQ75" s="162"/>
      <c r="AR75" s="162"/>
      <c r="AS75" s="162"/>
      <c r="AT75" s="162"/>
      <c r="AU75" s="162"/>
      <c r="AV75" s="162"/>
      <c r="AW75" s="162"/>
      <c r="AX75" s="162"/>
      <c r="AY75" s="162"/>
      <c r="AZ75" s="162"/>
      <c r="BA75" s="162"/>
      <c r="BB75" s="162"/>
      <c r="BC75" s="162"/>
      <c r="BD75" s="162"/>
      <c r="BE75" s="162"/>
      <c r="BF75" s="162"/>
      <c r="BG75" s="162"/>
      <c r="BH75" s="162"/>
      <c r="BI75" s="162"/>
      <c r="BJ75" s="162"/>
      <c r="BK75" s="162"/>
      <c r="BL75" s="162"/>
      <c r="BM75" s="162"/>
      <c r="BN75" s="162"/>
      <c r="BO75" s="162"/>
      <c r="BP75" s="162"/>
      <c r="BQ75" s="162"/>
      <c r="BR75" s="162"/>
      <c r="BS75" s="162"/>
      <c r="BT75" s="162"/>
      <c r="BU75" s="162"/>
      <c r="BV75" s="162"/>
      <c r="BW75" s="162"/>
      <c r="BX75" s="162"/>
      <c r="BY75" s="162"/>
      <c r="BZ75" s="162"/>
      <c r="CA75" s="162"/>
      <c r="CB75" s="162"/>
      <c r="CC75" s="162"/>
      <c r="CD75" s="162"/>
      <c r="CE75" s="162"/>
      <c r="CF75" s="162"/>
      <c r="CG75" s="162"/>
      <c r="CH75" s="162"/>
      <c r="CI75" s="162"/>
      <c r="CJ75" s="162"/>
      <c r="CK75" s="162"/>
      <c r="CL75" s="162"/>
      <c r="CM75" s="162"/>
      <c r="CN75" s="162"/>
      <c r="CO75" s="162"/>
      <c r="CP75" s="162"/>
      <c r="CQ75" s="162"/>
      <c r="CR75" s="162"/>
      <c r="CS75" s="162"/>
      <c r="CT75" s="162"/>
      <c r="CU75" s="162"/>
      <c r="CV75" s="162"/>
      <c r="CW75" s="162"/>
      <c r="CX75" s="162"/>
      <c r="CY75" s="162"/>
      <c r="CZ75" s="162"/>
      <c r="DA75" s="162"/>
      <c r="DB75" s="162"/>
      <c r="DC75" s="162"/>
      <c r="DD75" s="162"/>
      <c r="DE75" s="162"/>
      <c r="DF75" s="162"/>
      <c r="DG75" s="162"/>
      <c r="DH75" s="162"/>
      <c r="DI75" s="162"/>
      <c r="DJ75" s="162"/>
      <c r="DK75" s="162"/>
      <c r="DL75" s="162"/>
      <c r="DM75" s="162"/>
      <c r="DN75" s="162"/>
      <c r="DO75" s="162"/>
      <c r="DP75" s="162"/>
      <c r="DQ75" s="162"/>
      <c r="DR75" s="162"/>
      <c r="DS75" s="162"/>
      <c r="DT75" s="162"/>
      <c r="DU75" s="162"/>
      <c r="DV75" s="162"/>
      <c r="DW75" s="162"/>
      <c r="DX75" s="162"/>
      <c r="DY75" s="162"/>
      <c r="DZ75" s="162"/>
      <c r="EA75" s="162"/>
      <c r="EB75" s="162"/>
      <c r="EC75" s="162"/>
      <c r="ED75" s="1319"/>
      <c r="EE75" s="162"/>
      <c r="EF75" s="162"/>
      <c r="EG75" s="162"/>
      <c r="EH75" s="162"/>
      <c r="EI75" s="162"/>
      <c r="EJ75" s="162"/>
      <c r="EK75" s="162"/>
      <c r="EL75" s="162"/>
      <c r="EM75" s="162"/>
      <c r="EN75" s="162"/>
      <c r="EO75" s="162"/>
      <c r="EP75" s="162"/>
      <c r="EQ75" s="162"/>
    </row>
    <row r="76" spans="3:147" ht="11.25" customHeight="1">
      <c r="C76" s="163"/>
      <c r="D76" s="164" t="s">
        <v>217</v>
      </c>
      <c r="E76" s="165"/>
      <c r="F76" s="165"/>
      <c r="G76" s="165"/>
      <c r="H76" s="166"/>
      <c r="I76" s="221"/>
      <c r="J76" s="167"/>
      <c r="K76" s="98"/>
      <c r="L76" s="168">
        <f>K79</f>
        <v>0</v>
      </c>
      <c r="M76" s="168">
        <f t="shared" ref="M76:BX76" si="157">L79</f>
        <v>14800000</v>
      </c>
      <c r="N76" s="168">
        <f t="shared" si="157"/>
        <v>14800000</v>
      </c>
      <c r="O76" s="168">
        <f t="shared" si="157"/>
        <v>14800000</v>
      </c>
      <c r="P76" s="168">
        <f t="shared" si="157"/>
        <v>14800000</v>
      </c>
      <c r="Q76" s="168">
        <f t="shared" si="157"/>
        <v>14800000</v>
      </c>
      <c r="R76" s="168">
        <f t="shared" si="157"/>
        <v>14800000</v>
      </c>
      <c r="S76" s="168">
        <f t="shared" si="157"/>
        <v>14800000</v>
      </c>
      <c r="T76" s="168">
        <f t="shared" si="157"/>
        <v>14800000</v>
      </c>
      <c r="U76" s="168">
        <f t="shared" si="157"/>
        <v>14800000</v>
      </c>
      <c r="V76" s="168">
        <f t="shared" si="157"/>
        <v>14800000</v>
      </c>
      <c r="W76" s="168">
        <f t="shared" si="157"/>
        <v>14800000</v>
      </c>
      <c r="X76" s="168">
        <f t="shared" si="157"/>
        <v>14800000</v>
      </c>
      <c r="Y76" s="168">
        <f t="shared" si="157"/>
        <v>14800000</v>
      </c>
      <c r="Z76" s="168">
        <f t="shared" si="157"/>
        <v>14800000</v>
      </c>
      <c r="AA76" s="168">
        <f t="shared" si="157"/>
        <v>14800000</v>
      </c>
      <c r="AB76" s="168">
        <f t="shared" si="157"/>
        <v>14800000</v>
      </c>
      <c r="AC76" s="168">
        <f t="shared" si="157"/>
        <v>14800000</v>
      </c>
      <c r="AD76" s="168">
        <f t="shared" si="157"/>
        <v>14800000</v>
      </c>
      <c r="AE76" s="168">
        <f t="shared" si="157"/>
        <v>14800000</v>
      </c>
      <c r="AF76" s="168">
        <f t="shared" si="157"/>
        <v>14800000</v>
      </c>
      <c r="AG76" s="168">
        <f t="shared" si="157"/>
        <v>14800000</v>
      </c>
      <c r="AH76" s="168">
        <f t="shared" si="157"/>
        <v>14800000</v>
      </c>
      <c r="AI76" s="168">
        <f t="shared" si="157"/>
        <v>14800000</v>
      </c>
      <c r="AJ76" s="168">
        <f t="shared" si="157"/>
        <v>14800000</v>
      </c>
      <c r="AK76" s="168">
        <f t="shared" si="157"/>
        <v>14800000</v>
      </c>
      <c r="AL76" s="168">
        <f t="shared" si="157"/>
        <v>14800000</v>
      </c>
      <c r="AM76" s="168">
        <f t="shared" si="157"/>
        <v>14800000</v>
      </c>
      <c r="AN76" s="168">
        <f t="shared" si="157"/>
        <v>14800000</v>
      </c>
      <c r="AO76" s="168">
        <f t="shared" si="157"/>
        <v>14800000</v>
      </c>
      <c r="AP76" s="168">
        <f t="shared" si="157"/>
        <v>14800000</v>
      </c>
      <c r="AQ76" s="168">
        <f t="shared" si="157"/>
        <v>14800000</v>
      </c>
      <c r="AR76" s="168">
        <f t="shared" si="157"/>
        <v>14800000</v>
      </c>
      <c r="AS76" s="168">
        <f t="shared" si="157"/>
        <v>14800000</v>
      </c>
      <c r="AT76" s="168">
        <f t="shared" si="157"/>
        <v>14800000</v>
      </c>
      <c r="AU76" s="168">
        <f t="shared" si="157"/>
        <v>14800000</v>
      </c>
      <c r="AV76" s="168">
        <f t="shared" si="157"/>
        <v>14800000</v>
      </c>
      <c r="AW76" s="168">
        <f t="shared" si="157"/>
        <v>14800000</v>
      </c>
      <c r="AX76" s="168">
        <f t="shared" si="157"/>
        <v>14800000</v>
      </c>
      <c r="AY76" s="168">
        <f t="shared" si="157"/>
        <v>14800000</v>
      </c>
      <c r="AZ76" s="168">
        <f t="shared" si="157"/>
        <v>14800000</v>
      </c>
      <c r="BA76" s="168">
        <f t="shared" si="157"/>
        <v>14800000</v>
      </c>
      <c r="BB76" s="168">
        <f t="shared" si="157"/>
        <v>14800000</v>
      </c>
      <c r="BC76" s="168">
        <f t="shared" si="157"/>
        <v>14800000</v>
      </c>
      <c r="BD76" s="168">
        <f t="shared" si="157"/>
        <v>14800000</v>
      </c>
      <c r="BE76" s="168">
        <f t="shared" si="157"/>
        <v>14800000</v>
      </c>
      <c r="BF76" s="168">
        <f t="shared" si="157"/>
        <v>14800000</v>
      </c>
      <c r="BG76" s="168">
        <f t="shared" si="157"/>
        <v>14800000</v>
      </c>
      <c r="BH76" s="168">
        <f t="shared" si="157"/>
        <v>14800000</v>
      </c>
      <c r="BI76" s="168">
        <f t="shared" si="157"/>
        <v>14800000</v>
      </c>
      <c r="BJ76" s="168">
        <f t="shared" si="157"/>
        <v>14800000</v>
      </c>
      <c r="BK76" s="168">
        <f t="shared" si="157"/>
        <v>14800000</v>
      </c>
      <c r="BL76" s="168">
        <f t="shared" si="157"/>
        <v>14800000</v>
      </c>
      <c r="BM76" s="168">
        <f t="shared" si="157"/>
        <v>14800000</v>
      </c>
      <c r="BN76" s="168">
        <f t="shared" si="157"/>
        <v>14800000</v>
      </c>
      <c r="BO76" s="168">
        <f t="shared" si="157"/>
        <v>14800000</v>
      </c>
      <c r="BP76" s="168">
        <f t="shared" si="157"/>
        <v>14800000</v>
      </c>
      <c r="BQ76" s="168">
        <f t="shared" si="157"/>
        <v>14800000</v>
      </c>
      <c r="BR76" s="168">
        <f t="shared" si="157"/>
        <v>14800000</v>
      </c>
      <c r="BS76" s="168">
        <f t="shared" si="157"/>
        <v>14800000</v>
      </c>
      <c r="BT76" s="168">
        <f t="shared" si="157"/>
        <v>14800000</v>
      </c>
      <c r="BU76" s="168">
        <f t="shared" si="157"/>
        <v>14800000</v>
      </c>
      <c r="BV76" s="168">
        <f t="shared" si="157"/>
        <v>14800000</v>
      </c>
      <c r="BW76" s="168">
        <f t="shared" si="157"/>
        <v>14800000</v>
      </c>
      <c r="BX76" s="168">
        <f t="shared" si="157"/>
        <v>14800000</v>
      </c>
      <c r="BY76" s="168">
        <f t="shared" ref="BY76:DT76" si="158">BX79</f>
        <v>14800000</v>
      </c>
      <c r="BZ76" s="168">
        <f t="shared" si="158"/>
        <v>14800000</v>
      </c>
      <c r="CA76" s="168">
        <f t="shared" si="158"/>
        <v>14800000</v>
      </c>
      <c r="CB76" s="168">
        <f t="shared" si="158"/>
        <v>14800000</v>
      </c>
      <c r="CC76" s="168">
        <f t="shared" si="158"/>
        <v>14800000</v>
      </c>
      <c r="CD76" s="168">
        <f t="shared" si="158"/>
        <v>14800000</v>
      </c>
      <c r="CE76" s="168">
        <f t="shared" si="158"/>
        <v>14800000</v>
      </c>
      <c r="CF76" s="168">
        <f t="shared" si="158"/>
        <v>14800000</v>
      </c>
      <c r="CG76" s="168">
        <f t="shared" si="158"/>
        <v>14800000</v>
      </c>
      <c r="CH76" s="168">
        <f t="shared" si="158"/>
        <v>14800000</v>
      </c>
      <c r="CI76" s="168">
        <f t="shared" si="158"/>
        <v>14800000</v>
      </c>
      <c r="CJ76" s="168">
        <f t="shared" si="158"/>
        <v>14800000</v>
      </c>
      <c r="CK76" s="168">
        <f t="shared" si="158"/>
        <v>14800000</v>
      </c>
      <c r="CL76" s="168">
        <f t="shared" si="158"/>
        <v>14800000</v>
      </c>
      <c r="CM76" s="168">
        <f t="shared" si="158"/>
        <v>14800000</v>
      </c>
      <c r="CN76" s="168">
        <f t="shared" si="158"/>
        <v>14800000</v>
      </c>
      <c r="CO76" s="168">
        <f t="shared" si="158"/>
        <v>14800000</v>
      </c>
      <c r="CP76" s="168">
        <f t="shared" si="158"/>
        <v>14800000</v>
      </c>
      <c r="CQ76" s="168">
        <f t="shared" si="158"/>
        <v>14800000</v>
      </c>
      <c r="CR76" s="168">
        <f t="shared" si="158"/>
        <v>14800000</v>
      </c>
      <c r="CS76" s="168">
        <f t="shared" si="158"/>
        <v>14800000</v>
      </c>
      <c r="CT76" s="168">
        <f t="shared" si="158"/>
        <v>14800000</v>
      </c>
      <c r="CU76" s="168">
        <f t="shared" si="158"/>
        <v>14800000</v>
      </c>
      <c r="CV76" s="168">
        <f t="shared" si="158"/>
        <v>14800000</v>
      </c>
      <c r="CW76" s="168">
        <f t="shared" si="158"/>
        <v>14800000</v>
      </c>
      <c r="CX76" s="168">
        <f t="shared" si="158"/>
        <v>14800000</v>
      </c>
      <c r="CY76" s="168">
        <f t="shared" si="158"/>
        <v>14800000</v>
      </c>
      <c r="CZ76" s="168">
        <f t="shared" si="158"/>
        <v>14800000</v>
      </c>
      <c r="DA76" s="168">
        <f t="shared" si="158"/>
        <v>14800000</v>
      </c>
      <c r="DB76" s="168">
        <f t="shared" si="158"/>
        <v>14800000</v>
      </c>
      <c r="DC76" s="168">
        <f t="shared" si="158"/>
        <v>14800000</v>
      </c>
      <c r="DD76" s="168">
        <f t="shared" si="158"/>
        <v>14800000</v>
      </c>
      <c r="DE76" s="168">
        <f t="shared" si="158"/>
        <v>14800000</v>
      </c>
      <c r="DF76" s="168">
        <f t="shared" si="158"/>
        <v>14800000</v>
      </c>
      <c r="DG76" s="168">
        <f t="shared" si="158"/>
        <v>14800000</v>
      </c>
      <c r="DH76" s="168">
        <f t="shared" si="158"/>
        <v>14800000</v>
      </c>
      <c r="DI76" s="168">
        <f t="shared" si="158"/>
        <v>14800000</v>
      </c>
      <c r="DJ76" s="168">
        <f t="shared" si="158"/>
        <v>14800000</v>
      </c>
      <c r="DK76" s="168">
        <f t="shared" si="158"/>
        <v>14800000</v>
      </c>
      <c r="DL76" s="168">
        <f t="shared" si="158"/>
        <v>14800000</v>
      </c>
      <c r="DM76" s="168">
        <f t="shared" si="158"/>
        <v>14800000</v>
      </c>
      <c r="DN76" s="168">
        <f t="shared" si="158"/>
        <v>14800000</v>
      </c>
      <c r="DO76" s="168">
        <f t="shared" si="158"/>
        <v>14800000</v>
      </c>
      <c r="DP76" s="168">
        <f t="shared" si="158"/>
        <v>14800000</v>
      </c>
      <c r="DQ76" s="168">
        <f t="shared" si="158"/>
        <v>14800000</v>
      </c>
      <c r="DR76" s="168">
        <f t="shared" si="158"/>
        <v>14800000</v>
      </c>
      <c r="DS76" s="168">
        <f t="shared" si="158"/>
        <v>14800000</v>
      </c>
      <c r="DT76" s="168">
        <f t="shared" si="158"/>
        <v>14800000</v>
      </c>
      <c r="DU76" s="168">
        <f t="shared" ref="DU76:EQ76" si="159">DT79</f>
        <v>14800000</v>
      </c>
      <c r="DV76" s="168">
        <f t="shared" si="159"/>
        <v>14800000</v>
      </c>
      <c r="DW76" s="168">
        <f t="shared" si="159"/>
        <v>14800000</v>
      </c>
      <c r="DX76" s="168">
        <f t="shared" si="159"/>
        <v>14800000</v>
      </c>
      <c r="DY76" s="168">
        <f t="shared" si="159"/>
        <v>14800000</v>
      </c>
      <c r="DZ76" s="168">
        <f t="shared" si="159"/>
        <v>14800000</v>
      </c>
      <c r="EA76" s="168">
        <f t="shared" si="159"/>
        <v>14800000</v>
      </c>
      <c r="EB76" s="168">
        <f t="shared" si="159"/>
        <v>14800000</v>
      </c>
      <c r="EC76" s="168">
        <f t="shared" si="159"/>
        <v>0</v>
      </c>
      <c r="ED76" s="1320">
        <f t="shared" si="159"/>
        <v>0</v>
      </c>
      <c r="EE76" s="168">
        <f t="shared" si="159"/>
        <v>0</v>
      </c>
      <c r="EF76" s="168">
        <f t="shared" si="159"/>
        <v>0</v>
      </c>
      <c r="EG76" s="168">
        <f t="shared" si="159"/>
        <v>0</v>
      </c>
      <c r="EH76" s="168">
        <f t="shared" si="159"/>
        <v>0</v>
      </c>
      <c r="EI76" s="168">
        <f t="shared" si="159"/>
        <v>0</v>
      </c>
      <c r="EJ76" s="168">
        <f t="shared" si="159"/>
        <v>0</v>
      </c>
      <c r="EK76" s="168">
        <f t="shared" si="159"/>
        <v>0</v>
      </c>
      <c r="EL76" s="168">
        <f t="shared" si="159"/>
        <v>0</v>
      </c>
      <c r="EM76" s="168">
        <f t="shared" si="159"/>
        <v>0</v>
      </c>
      <c r="EN76" s="168">
        <f t="shared" si="159"/>
        <v>0</v>
      </c>
      <c r="EO76" s="168">
        <f t="shared" si="159"/>
        <v>0</v>
      </c>
      <c r="EP76" s="168">
        <f t="shared" si="159"/>
        <v>0</v>
      </c>
      <c r="EQ76" s="168">
        <f t="shared" si="159"/>
        <v>0</v>
      </c>
    </row>
    <row r="77" spans="3:147" ht="11.25" customHeight="1">
      <c r="C77" s="163"/>
      <c r="D77" s="169" t="s">
        <v>218</v>
      </c>
      <c r="F77" s="146">
        <f>'A&amp;R'!M44</f>
        <v>46326</v>
      </c>
      <c r="G77" s="90">
        <f>TIC!J15*'A&amp;R'!G35</f>
        <v>0</v>
      </c>
      <c r="H77" s="146">
        <f>'A&amp;R'!M41</f>
        <v>46326</v>
      </c>
      <c r="I77" s="13">
        <f>'A&amp;R'!$P$44-'FS_Detail(M)'!G77</f>
        <v>14800000</v>
      </c>
      <c r="J77" s="170">
        <f>SUM(L77:EQ77)</f>
        <v>14800000</v>
      </c>
      <c r="K77" s="98"/>
      <c r="L77" s="171">
        <f>(L$14=$H77)*$I77+(L$14=$F77)*$G77</f>
        <v>14800000</v>
      </c>
      <c r="M77" s="171">
        <f t="shared" ref="M77:BX77" si="160">(M$14=$H77)*$I77+(M$14=$F77)*$G77</f>
        <v>0</v>
      </c>
      <c r="N77" s="171">
        <f t="shared" si="160"/>
        <v>0</v>
      </c>
      <c r="O77" s="171">
        <f t="shared" si="160"/>
        <v>0</v>
      </c>
      <c r="P77" s="171">
        <f t="shared" si="160"/>
        <v>0</v>
      </c>
      <c r="Q77" s="171">
        <f t="shared" si="160"/>
        <v>0</v>
      </c>
      <c r="R77" s="171">
        <f t="shared" si="160"/>
        <v>0</v>
      </c>
      <c r="S77" s="171">
        <f t="shared" si="160"/>
        <v>0</v>
      </c>
      <c r="T77" s="171">
        <f t="shared" si="160"/>
        <v>0</v>
      </c>
      <c r="U77" s="171">
        <f t="shared" si="160"/>
        <v>0</v>
      </c>
      <c r="V77" s="171">
        <f t="shared" si="160"/>
        <v>0</v>
      </c>
      <c r="W77" s="171">
        <f t="shared" si="160"/>
        <v>0</v>
      </c>
      <c r="X77" s="171">
        <f t="shared" si="160"/>
        <v>0</v>
      </c>
      <c r="Y77" s="171">
        <f t="shared" si="160"/>
        <v>0</v>
      </c>
      <c r="Z77" s="171">
        <f t="shared" si="160"/>
        <v>0</v>
      </c>
      <c r="AA77" s="171">
        <f t="shared" si="160"/>
        <v>0</v>
      </c>
      <c r="AB77" s="171">
        <f t="shared" si="160"/>
        <v>0</v>
      </c>
      <c r="AC77" s="171">
        <f t="shared" si="160"/>
        <v>0</v>
      </c>
      <c r="AD77" s="171">
        <f t="shared" si="160"/>
        <v>0</v>
      </c>
      <c r="AE77" s="171">
        <f t="shared" si="160"/>
        <v>0</v>
      </c>
      <c r="AF77" s="171">
        <f t="shared" si="160"/>
        <v>0</v>
      </c>
      <c r="AG77" s="171">
        <f t="shared" si="160"/>
        <v>0</v>
      </c>
      <c r="AH77" s="171">
        <f t="shared" si="160"/>
        <v>0</v>
      </c>
      <c r="AI77" s="171">
        <f t="shared" si="160"/>
        <v>0</v>
      </c>
      <c r="AJ77" s="171">
        <f t="shared" si="160"/>
        <v>0</v>
      </c>
      <c r="AK77" s="171">
        <f t="shared" si="160"/>
        <v>0</v>
      </c>
      <c r="AL77" s="171">
        <f t="shared" si="160"/>
        <v>0</v>
      </c>
      <c r="AM77" s="171">
        <f t="shared" si="160"/>
        <v>0</v>
      </c>
      <c r="AN77" s="171">
        <f t="shared" si="160"/>
        <v>0</v>
      </c>
      <c r="AO77" s="171">
        <f t="shared" si="160"/>
        <v>0</v>
      </c>
      <c r="AP77" s="171">
        <f t="shared" si="160"/>
        <v>0</v>
      </c>
      <c r="AQ77" s="171">
        <f t="shared" si="160"/>
        <v>0</v>
      </c>
      <c r="AR77" s="171">
        <f t="shared" si="160"/>
        <v>0</v>
      </c>
      <c r="AS77" s="171">
        <f t="shared" si="160"/>
        <v>0</v>
      </c>
      <c r="AT77" s="171">
        <f t="shared" si="160"/>
        <v>0</v>
      </c>
      <c r="AU77" s="171">
        <f t="shared" si="160"/>
        <v>0</v>
      </c>
      <c r="AV77" s="171">
        <f t="shared" si="160"/>
        <v>0</v>
      </c>
      <c r="AW77" s="171">
        <f t="shared" si="160"/>
        <v>0</v>
      </c>
      <c r="AX77" s="171">
        <f t="shared" si="160"/>
        <v>0</v>
      </c>
      <c r="AY77" s="171">
        <f t="shared" si="160"/>
        <v>0</v>
      </c>
      <c r="AZ77" s="171">
        <f t="shared" si="160"/>
        <v>0</v>
      </c>
      <c r="BA77" s="171">
        <f t="shared" si="160"/>
        <v>0</v>
      </c>
      <c r="BB77" s="171">
        <f t="shared" si="160"/>
        <v>0</v>
      </c>
      <c r="BC77" s="171">
        <f t="shared" si="160"/>
        <v>0</v>
      </c>
      <c r="BD77" s="171">
        <f t="shared" si="160"/>
        <v>0</v>
      </c>
      <c r="BE77" s="171">
        <f t="shared" si="160"/>
        <v>0</v>
      </c>
      <c r="BF77" s="171">
        <f t="shared" si="160"/>
        <v>0</v>
      </c>
      <c r="BG77" s="171">
        <f t="shared" si="160"/>
        <v>0</v>
      </c>
      <c r="BH77" s="171">
        <f t="shared" si="160"/>
        <v>0</v>
      </c>
      <c r="BI77" s="171">
        <f t="shared" si="160"/>
        <v>0</v>
      </c>
      <c r="BJ77" s="171">
        <f t="shared" si="160"/>
        <v>0</v>
      </c>
      <c r="BK77" s="171">
        <f t="shared" si="160"/>
        <v>0</v>
      </c>
      <c r="BL77" s="171">
        <f t="shared" si="160"/>
        <v>0</v>
      </c>
      <c r="BM77" s="171">
        <f t="shared" si="160"/>
        <v>0</v>
      </c>
      <c r="BN77" s="171">
        <f t="shared" si="160"/>
        <v>0</v>
      </c>
      <c r="BO77" s="171">
        <f t="shared" si="160"/>
        <v>0</v>
      </c>
      <c r="BP77" s="171">
        <f t="shared" si="160"/>
        <v>0</v>
      </c>
      <c r="BQ77" s="171">
        <f t="shared" si="160"/>
        <v>0</v>
      </c>
      <c r="BR77" s="171">
        <f t="shared" si="160"/>
        <v>0</v>
      </c>
      <c r="BS77" s="171">
        <f t="shared" si="160"/>
        <v>0</v>
      </c>
      <c r="BT77" s="171">
        <f t="shared" si="160"/>
        <v>0</v>
      </c>
      <c r="BU77" s="171">
        <f t="shared" si="160"/>
        <v>0</v>
      </c>
      <c r="BV77" s="171">
        <f t="shared" si="160"/>
        <v>0</v>
      </c>
      <c r="BW77" s="171">
        <f t="shared" si="160"/>
        <v>0</v>
      </c>
      <c r="BX77" s="171">
        <f t="shared" si="160"/>
        <v>0</v>
      </c>
      <c r="BY77" s="171">
        <f t="shared" ref="BY77:EQ77" si="161">(BY$14=$H77)*$I77+(BY$14=$F77)*$G77</f>
        <v>0</v>
      </c>
      <c r="BZ77" s="171">
        <f t="shared" si="161"/>
        <v>0</v>
      </c>
      <c r="CA77" s="171">
        <f t="shared" si="161"/>
        <v>0</v>
      </c>
      <c r="CB77" s="171">
        <f t="shared" si="161"/>
        <v>0</v>
      </c>
      <c r="CC77" s="171">
        <f t="shared" si="161"/>
        <v>0</v>
      </c>
      <c r="CD77" s="171">
        <f t="shared" si="161"/>
        <v>0</v>
      </c>
      <c r="CE77" s="171">
        <f t="shared" si="161"/>
        <v>0</v>
      </c>
      <c r="CF77" s="171">
        <f t="shared" si="161"/>
        <v>0</v>
      </c>
      <c r="CG77" s="171">
        <f t="shared" si="161"/>
        <v>0</v>
      </c>
      <c r="CH77" s="171">
        <f t="shared" si="161"/>
        <v>0</v>
      </c>
      <c r="CI77" s="171">
        <f t="shared" si="161"/>
        <v>0</v>
      </c>
      <c r="CJ77" s="171">
        <f t="shared" si="161"/>
        <v>0</v>
      </c>
      <c r="CK77" s="171">
        <f t="shared" si="161"/>
        <v>0</v>
      </c>
      <c r="CL77" s="171">
        <f t="shared" si="161"/>
        <v>0</v>
      </c>
      <c r="CM77" s="171">
        <f t="shared" si="161"/>
        <v>0</v>
      </c>
      <c r="CN77" s="171">
        <f t="shared" si="161"/>
        <v>0</v>
      </c>
      <c r="CO77" s="171">
        <f t="shared" si="161"/>
        <v>0</v>
      </c>
      <c r="CP77" s="171">
        <f t="shared" si="161"/>
        <v>0</v>
      </c>
      <c r="CQ77" s="171">
        <f t="shared" si="161"/>
        <v>0</v>
      </c>
      <c r="CR77" s="171">
        <f t="shared" si="161"/>
        <v>0</v>
      </c>
      <c r="CS77" s="171">
        <f t="shared" si="161"/>
        <v>0</v>
      </c>
      <c r="CT77" s="171">
        <f t="shared" si="161"/>
        <v>0</v>
      </c>
      <c r="CU77" s="171">
        <f t="shared" si="161"/>
        <v>0</v>
      </c>
      <c r="CV77" s="171">
        <f t="shared" si="161"/>
        <v>0</v>
      </c>
      <c r="CW77" s="171">
        <f t="shared" si="161"/>
        <v>0</v>
      </c>
      <c r="CX77" s="171">
        <f t="shared" si="161"/>
        <v>0</v>
      </c>
      <c r="CY77" s="171">
        <f t="shared" si="161"/>
        <v>0</v>
      </c>
      <c r="CZ77" s="171">
        <f t="shared" si="161"/>
        <v>0</v>
      </c>
      <c r="DA77" s="171">
        <f t="shared" si="161"/>
        <v>0</v>
      </c>
      <c r="DB77" s="171">
        <f t="shared" si="161"/>
        <v>0</v>
      </c>
      <c r="DC77" s="171">
        <f t="shared" si="161"/>
        <v>0</v>
      </c>
      <c r="DD77" s="171">
        <f t="shared" si="161"/>
        <v>0</v>
      </c>
      <c r="DE77" s="171">
        <f t="shared" si="161"/>
        <v>0</v>
      </c>
      <c r="DF77" s="171">
        <f t="shared" si="161"/>
        <v>0</v>
      </c>
      <c r="DG77" s="171">
        <f t="shared" si="161"/>
        <v>0</v>
      </c>
      <c r="DH77" s="171">
        <f t="shared" si="161"/>
        <v>0</v>
      </c>
      <c r="DI77" s="171">
        <f t="shared" si="161"/>
        <v>0</v>
      </c>
      <c r="DJ77" s="171">
        <f t="shared" si="161"/>
        <v>0</v>
      </c>
      <c r="DK77" s="171">
        <f t="shared" si="161"/>
        <v>0</v>
      </c>
      <c r="DL77" s="171">
        <f t="shared" si="161"/>
        <v>0</v>
      </c>
      <c r="DM77" s="171">
        <f t="shared" si="161"/>
        <v>0</v>
      </c>
      <c r="DN77" s="171">
        <f t="shared" si="161"/>
        <v>0</v>
      </c>
      <c r="DO77" s="171">
        <f t="shared" si="161"/>
        <v>0</v>
      </c>
      <c r="DP77" s="171">
        <f t="shared" si="161"/>
        <v>0</v>
      </c>
      <c r="DQ77" s="171">
        <f t="shared" si="161"/>
        <v>0</v>
      </c>
      <c r="DR77" s="171">
        <f t="shared" si="161"/>
        <v>0</v>
      </c>
      <c r="DS77" s="171">
        <f t="shared" si="161"/>
        <v>0</v>
      </c>
      <c r="DT77" s="171">
        <f t="shared" si="161"/>
        <v>0</v>
      </c>
      <c r="DU77" s="171">
        <f t="shared" si="161"/>
        <v>0</v>
      </c>
      <c r="DV77" s="171">
        <f t="shared" si="161"/>
        <v>0</v>
      </c>
      <c r="DW77" s="171">
        <f t="shared" si="161"/>
        <v>0</v>
      </c>
      <c r="DX77" s="171">
        <f t="shared" si="161"/>
        <v>0</v>
      </c>
      <c r="DY77" s="171">
        <f t="shared" si="161"/>
        <v>0</v>
      </c>
      <c r="DZ77" s="171">
        <f t="shared" si="161"/>
        <v>0</v>
      </c>
      <c r="EA77" s="171">
        <f t="shared" si="161"/>
        <v>0</v>
      </c>
      <c r="EB77" s="171">
        <f t="shared" si="161"/>
        <v>0</v>
      </c>
      <c r="EC77" s="171">
        <f t="shared" si="161"/>
        <v>0</v>
      </c>
      <c r="ED77" s="1321">
        <f t="shared" si="161"/>
        <v>0</v>
      </c>
      <c r="EE77" s="171">
        <f t="shared" si="161"/>
        <v>0</v>
      </c>
      <c r="EF77" s="171">
        <f t="shared" si="161"/>
        <v>0</v>
      </c>
      <c r="EG77" s="171">
        <f t="shared" si="161"/>
        <v>0</v>
      </c>
      <c r="EH77" s="171">
        <f t="shared" si="161"/>
        <v>0</v>
      </c>
      <c r="EI77" s="171">
        <f t="shared" si="161"/>
        <v>0</v>
      </c>
      <c r="EJ77" s="171">
        <f t="shared" si="161"/>
        <v>0</v>
      </c>
      <c r="EK77" s="171">
        <f t="shared" si="161"/>
        <v>0</v>
      </c>
      <c r="EL77" s="171">
        <f t="shared" si="161"/>
        <v>0</v>
      </c>
      <c r="EM77" s="171">
        <f t="shared" si="161"/>
        <v>0</v>
      </c>
      <c r="EN77" s="171">
        <f t="shared" si="161"/>
        <v>0</v>
      </c>
      <c r="EO77" s="171">
        <f t="shared" si="161"/>
        <v>0</v>
      </c>
      <c r="EP77" s="171">
        <f t="shared" si="161"/>
        <v>0</v>
      </c>
      <c r="EQ77" s="171">
        <f t="shared" si="161"/>
        <v>0</v>
      </c>
    </row>
    <row r="78" spans="3:147" ht="11.25" customHeight="1">
      <c r="C78" s="163"/>
      <c r="D78" s="169" t="s">
        <v>219</v>
      </c>
      <c r="H78" s="146">
        <f>'A&amp;R'!N44</f>
        <v>49979</v>
      </c>
      <c r="J78" s="170">
        <f>SUM(L78:EQ78)</f>
        <v>14800000</v>
      </c>
      <c r="K78" s="98"/>
      <c r="L78" s="171">
        <f>SUM(L76:L77)*(L$14=$H78)</f>
        <v>0</v>
      </c>
      <c r="M78" s="171">
        <f t="shared" ref="M78:BX78" si="162">SUM(M76:M77)*(M$14=$H78)</f>
        <v>0</v>
      </c>
      <c r="N78" s="171">
        <f t="shared" si="162"/>
        <v>0</v>
      </c>
      <c r="O78" s="171">
        <f t="shared" si="162"/>
        <v>0</v>
      </c>
      <c r="P78" s="171">
        <f t="shared" si="162"/>
        <v>0</v>
      </c>
      <c r="Q78" s="171">
        <f t="shared" si="162"/>
        <v>0</v>
      </c>
      <c r="R78" s="171">
        <f t="shared" si="162"/>
        <v>0</v>
      </c>
      <c r="S78" s="171">
        <f t="shared" si="162"/>
        <v>0</v>
      </c>
      <c r="T78" s="171">
        <f t="shared" si="162"/>
        <v>0</v>
      </c>
      <c r="U78" s="171">
        <f t="shared" si="162"/>
        <v>0</v>
      </c>
      <c r="V78" s="171">
        <f t="shared" si="162"/>
        <v>0</v>
      </c>
      <c r="W78" s="171">
        <f t="shared" si="162"/>
        <v>0</v>
      </c>
      <c r="X78" s="171">
        <f t="shared" si="162"/>
        <v>0</v>
      </c>
      <c r="Y78" s="171">
        <f t="shared" si="162"/>
        <v>0</v>
      </c>
      <c r="Z78" s="171">
        <f t="shared" si="162"/>
        <v>0</v>
      </c>
      <c r="AA78" s="171">
        <f t="shared" si="162"/>
        <v>0</v>
      </c>
      <c r="AB78" s="171">
        <f t="shared" si="162"/>
        <v>0</v>
      </c>
      <c r="AC78" s="171">
        <f t="shared" si="162"/>
        <v>0</v>
      </c>
      <c r="AD78" s="171">
        <f t="shared" si="162"/>
        <v>0</v>
      </c>
      <c r="AE78" s="171">
        <f t="shared" si="162"/>
        <v>0</v>
      </c>
      <c r="AF78" s="171">
        <f t="shared" si="162"/>
        <v>0</v>
      </c>
      <c r="AG78" s="171">
        <f t="shared" si="162"/>
        <v>0</v>
      </c>
      <c r="AH78" s="171">
        <f t="shared" si="162"/>
        <v>0</v>
      </c>
      <c r="AI78" s="171">
        <f t="shared" si="162"/>
        <v>0</v>
      </c>
      <c r="AJ78" s="171">
        <f t="shared" si="162"/>
        <v>0</v>
      </c>
      <c r="AK78" s="171">
        <f t="shared" si="162"/>
        <v>0</v>
      </c>
      <c r="AL78" s="171">
        <f t="shared" si="162"/>
        <v>0</v>
      </c>
      <c r="AM78" s="171">
        <f t="shared" si="162"/>
        <v>0</v>
      </c>
      <c r="AN78" s="171">
        <f t="shared" si="162"/>
        <v>0</v>
      </c>
      <c r="AO78" s="171">
        <f t="shared" si="162"/>
        <v>0</v>
      </c>
      <c r="AP78" s="171">
        <f t="shared" si="162"/>
        <v>0</v>
      </c>
      <c r="AQ78" s="171">
        <f t="shared" si="162"/>
        <v>0</v>
      </c>
      <c r="AR78" s="171">
        <f t="shared" si="162"/>
        <v>0</v>
      </c>
      <c r="AS78" s="171">
        <f t="shared" si="162"/>
        <v>0</v>
      </c>
      <c r="AT78" s="171">
        <f t="shared" si="162"/>
        <v>0</v>
      </c>
      <c r="AU78" s="171">
        <f t="shared" si="162"/>
        <v>0</v>
      </c>
      <c r="AV78" s="171">
        <f t="shared" si="162"/>
        <v>0</v>
      </c>
      <c r="AW78" s="171">
        <f t="shared" si="162"/>
        <v>0</v>
      </c>
      <c r="AX78" s="171">
        <f t="shared" si="162"/>
        <v>0</v>
      </c>
      <c r="AY78" s="171">
        <f t="shared" si="162"/>
        <v>0</v>
      </c>
      <c r="AZ78" s="171">
        <f t="shared" si="162"/>
        <v>0</v>
      </c>
      <c r="BA78" s="171">
        <f t="shared" si="162"/>
        <v>0</v>
      </c>
      <c r="BB78" s="171">
        <f t="shared" si="162"/>
        <v>0</v>
      </c>
      <c r="BC78" s="171">
        <f t="shared" si="162"/>
        <v>0</v>
      </c>
      <c r="BD78" s="171">
        <f t="shared" si="162"/>
        <v>0</v>
      </c>
      <c r="BE78" s="171">
        <f t="shared" si="162"/>
        <v>0</v>
      </c>
      <c r="BF78" s="171">
        <f t="shared" si="162"/>
        <v>0</v>
      </c>
      <c r="BG78" s="171">
        <f t="shared" si="162"/>
        <v>0</v>
      </c>
      <c r="BH78" s="171">
        <f t="shared" si="162"/>
        <v>0</v>
      </c>
      <c r="BI78" s="171">
        <f t="shared" si="162"/>
        <v>0</v>
      </c>
      <c r="BJ78" s="171">
        <f t="shared" si="162"/>
        <v>0</v>
      </c>
      <c r="BK78" s="171">
        <f t="shared" si="162"/>
        <v>0</v>
      </c>
      <c r="BL78" s="171">
        <f t="shared" si="162"/>
        <v>0</v>
      </c>
      <c r="BM78" s="171">
        <f t="shared" si="162"/>
        <v>0</v>
      </c>
      <c r="BN78" s="171">
        <f t="shared" si="162"/>
        <v>0</v>
      </c>
      <c r="BO78" s="171">
        <f t="shared" si="162"/>
        <v>0</v>
      </c>
      <c r="BP78" s="171">
        <f t="shared" si="162"/>
        <v>0</v>
      </c>
      <c r="BQ78" s="171">
        <f t="shared" si="162"/>
        <v>0</v>
      </c>
      <c r="BR78" s="171">
        <f t="shared" si="162"/>
        <v>0</v>
      </c>
      <c r="BS78" s="171">
        <f t="shared" si="162"/>
        <v>0</v>
      </c>
      <c r="BT78" s="171">
        <f t="shared" si="162"/>
        <v>0</v>
      </c>
      <c r="BU78" s="171">
        <f t="shared" si="162"/>
        <v>0</v>
      </c>
      <c r="BV78" s="171">
        <f t="shared" si="162"/>
        <v>0</v>
      </c>
      <c r="BW78" s="171">
        <f t="shared" si="162"/>
        <v>0</v>
      </c>
      <c r="BX78" s="171">
        <f t="shared" si="162"/>
        <v>0</v>
      </c>
      <c r="BY78" s="171">
        <f t="shared" ref="BY78:DT78" si="163">SUM(BY76:BY77)*(BY$14=$H78)</f>
        <v>0</v>
      </c>
      <c r="BZ78" s="171">
        <f t="shared" si="163"/>
        <v>0</v>
      </c>
      <c r="CA78" s="171">
        <f t="shared" si="163"/>
        <v>0</v>
      </c>
      <c r="CB78" s="171">
        <f t="shared" si="163"/>
        <v>0</v>
      </c>
      <c r="CC78" s="171">
        <f t="shared" si="163"/>
        <v>0</v>
      </c>
      <c r="CD78" s="171">
        <f t="shared" si="163"/>
        <v>0</v>
      </c>
      <c r="CE78" s="171">
        <f t="shared" si="163"/>
        <v>0</v>
      </c>
      <c r="CF78" s="171">
        <f t="shared" si="163"/>
        <v>0</v>
      </c>
      <c r="CG78" s="171">
        <f t="shared" si="163"/>
        <v>0</v>
      </c>
      <c r="CH78" s="171">
        <f t="shared" si="163"/>
        <v>0</v>
      </c>
      <c r="CI78" s="171">
        <f t="shared" si="163"/>
        <v>0</v>
      </c>
      <c r="CJ78" s="171">
        <f t="shared" si="163"/>
        <v>0</v>
      </c>
      <c r="CK78" s="171">
        <f t="shared" si="163"/>
        <v>0</v>
      </c>
      <c r="CL78" s="171">
        <f t="shared" si="163"/>
        <v>0</v>
      </c>
      <c r="CM78" s="171">
        <f t="shared" si="163"/>
        <v>0</v>
      </c>
      <c r="CN78" s="171">
        <f t="shared" si="163"/>
        <v>0</v>
      </c>
      <c r="CO78" s="171">
        <f t="shared" si="163"/>
        <v>0</v>
      </c>
      <c r="CP78" s="171">
        <f t="shared" si="163"/>
        <v>0</v>
      </c>
      <c r="CQ78" s="171">
        <f t="shared" si="163"/>
        <v>0</v>
      </c>
      <c r="CR78" s="171">
        <f t="shared" si="163"/>
        <v>0</v>
      </c>
      <c r="CS78" s="171">
        <f t="shared" si="163"/>
        <v>0</v>
      </c>
      <c r="CT78" s="171">
        <f t="shared" si="163"/>
        <v>0</v>
      </c>
      <c r="CU78" s="171">
        <f t="shared" si="163"/>
        <v>0</v>
      </c>
      <c r="CV78" s="171">
        <f t="shared" si="163"/>
        <v>0</v>
      </c>
      <c r="CW78" s="171">
        <f t="shared" si="163"/>
        <v>0</v>
      </c>
      <c r="CX78" s="171">
        <f t="shared" si="163"/>
        <v>0</v>
      </c>
      <c r="CY78" s="171">
        <f t="shared" si="163"/>
        <v>0</v>
      </c>
      <c r="CZ78" s="171">
        <f t="shared" si="163"/>
        <v>0</v>
      </c>
      <c r="DA78" s="171">
        <f t="shared" si="163"/>
        <v>0</v>
      </c>
      <c r="DB78" s="171">
        <f t="shared" si="163"/>
        <v>0</v>
      </c>
      <c r="DC78" s="171">
        <f t="shared" si="163"/>
        <v>0</v>
      </c>
      <c r="DD78" s="171">
        <f t="shared" si="163"/>
        <v>0</v>
      </c>
      <c r="DE78" s="171">
        <f t="shared" si="163"/>
        <v>0</v>
      </c>
      <c r="DF78" s="171">
        <f t="shared" si="163"/>
        <v>0</v>
      </c>
      <c r="DG78" s="171">
        <f t="shared" si="163"/>
        <v>0</v>
      </c>
      <c r="DH78" s="171">
        <f t="shared" si="163"/>
        <v>0</v>
      </c>
      <c r="DI78" s="171">
        <f t="shared" si="163"/>
        <v>0</v>
      </c>
      <c r="DJ78" s="171">
        <f t="shared" si="163"/>
        <v>0</v>
      </c>
      <c r="DK78" s="171">
        <f t="shared" si="163"/>
        <v>0</v>
      </c>
      <c r="DL78" s="171">
        <f t="shared" si="163"/>
        <v>0</v>
      </c>
      <c r="DM78" s="171">
        <f t="shared" si="163"/>
        <v>0</v>
      </c>
      <c r="DN78" s="171">
        <f t="shared" si="163"/>
        <v>0</v>
      </c>
      <c r="DO78" s="171">
        <f t="shared" si="163"/>
        <v>0</v>
      </c>
      <c r="DP78" s="171">
        <f t="shared" si="163"/>
        <v>0</v>
      </c>
      <c r="DQ78" s="171">
        <f t="shared" si="163"/>
        <v>0</v>
      </c>
      <c r="DR78" s="171">
        <f t="shared" si="163"/>
        <v>0</v>
      </c>
      <c r="DS78" s="171">
        <f t="shared" si="163"/>
        <v>0</v>
      </c>
      <c r="DT78" s="171">
        <f t="shared" si="163"/>
        <v>0</v>
      </c>
      <c r="DU78" s="171">
        <f t="shared" ref="DU78:EA78" si="164">SUM(DU76:DU77)*(DU$14=$H78)</f>
        <v>0</v>
      </c>
      <c r="DV78" s="171">
        <f t="shared" si="164"/>
        <v>0</v>
      </c>
      <c r="DW78" s="171">
        <f t="shared" si="164"/>
        <v>0</v>
      </c>
      <c r="DX78" s="171">
        <f t="shared" si="164"/>
        <v>0</v>
      </c>
      <c r="DY78" s="171">
        <f t="shared" si="164"/>
        <v>0</v>
      </c>
      <c r="DZ78" s="171">
        <f t="shared" si="164"/>
        <v>0</v>
      </c>
      <c r="EA78" s="171">
        <f t="shared" si="164"/>
        <v>0</v>
      </c>
      <c r="EB78" s="171">
        <f t="shared" ref="EB78:EQ78" si="165">SUM(EB76:EB77)*(EB$14=$H78)</f>
        <v>14800000</v>
      </c>
      <c r="EC78" s="171">
        <f t="shared" si="165"/>
        <v>0</v>
      </c>
      <c r="ED78" s="1321">
        <f t="shared" si="165"/>
        <v>0</v>
      </c>
      <c r="EE78" s="171">
        <f t="shared" si="165"/>
        <v>0</v>
      </c>
      <c r="EF78" s="171">
        <f t="shared" si="165"/>
        <v>0</v>
      </c>
      <c r="EG78" s="171">
        <f t="shared" si="165"/>
        <v>0</v>
      </c>
      <c r="EH78" s="171">
        <f t="shared" si="165"/>
        <v>0</v>
      </c>
      <c r="EI78" s="171">
        <f t="shared" si="165"/>
        <v>0</v>
      </c>
      <c r="EJ78" s="171">
        <f t="shared" si="165"/>
        <v>0</v>
      </c>
      <c r="EK78" s="171">
        <f t="shared" si="165"/>
        <v>0</v>
      </c>
      <c r="EL78" s="171">
        <f t="shared" si="165"/>
        <v>0</v>
      </c>
      <c r="EM78" s="171">
        <f t="shared" si="165"/>
        <v>0</v>
      </c>
      <c r="EN78" s="171">
        <f t="shared" si="165"/>
        <v>0</v>
      </c>
      <c r="EO78" s="171">
        <f t="shared" si="165"/>
        <v>0</v>
      </c>
      <c r="EP78" s="171">
        <f t="shared" si="165"/>
        <v>0</v>
      </c>
      <c r="EQ78" s="171">
        <f t="shared" si="165"/>
        <v>0</v>
      </c>
    </row>
    <row r="79" spans="3:147" ht="11.25" customHeight="1">
      <c r="C79" s="173"/>
      <c r="D79" s="174" t="s">
        <v>220</v>
      </c>
      <c r="E79" s="175"/>
      <c r="F79" s="175"/>
      <c r="G79" s="175"/>
      <c r="H79" s="197"/>
      <c r="I79" s="196"/>
      <c r="J79" s="176"/>
      <c r="K79" s="98"/>
      <c r="L79" s="177">
        <f>L76+L77-L78</f>
        <v>14800000</v>
      </c>
      <c r="M79" s="177">
        <f>M76+M77-M78</f>
        <v>14800000</v>
      </c>
      <c r="N79" s="177">
        <f t="shared" ref="N79:BY79" si="166">N76+N77-N78</f>
        <v>14800000</v>
      </c>
      <c r="O79" s="177">
        <f t="shared" si="166"/>
        <v>14800000</v>
      </c>
      <c r="P79" s="177">
        <f t="shared" si="166"/>
        <v>14800000</v>
      </c>
      <c r="Q79" s="177">
        <f t="shared" si="166"/>
        <v>14800000</v>
      </c>
      <c r="R79" s="177">
        <f t="shared" si="166"/>
        <v>14800000</v>
      </c>
      <c r="S79" s="177">
        <f t="shared" si="166"/>
        <v>14800000</v>
      </c>
      <c r="T79" s="177">
        <f t="shared" si="166"/>
        <v>14800000</v>
      </c>
      <c r="U79" s="177">
        <f t="shared" si="166"/>
        <v>14800000</v>
      </c>
      <c r="V79" s="177">
        <f t="shared" si="166"/>
        <v>14800000</v>
      </c>
      <c r="W79" s="177">
        <f t="shared" si="166"/>
        <v>14800000</v>
      </c>
      <c r="X79" s="177">
        <f t="shared" si="166"/>
        <v>14800000</v>
      </c>
      <c r="Y79" s="177">
        <f t="shared" si="166"/>
        <v>14800000</v>
      </c>
      <c r="Z79" s="177">
        <f t="shared" si="166"/>
        <v>14800000</v>
      </c>
      <c r="AA79" s="177">
        <f t="shared" si="166"/>
        <v>14800000</v>
      </c>
      <c r="AB79" s="177">
        <f t="shared" si="166"/>
        <v>14800000</v>
      </c>
      <c r="AC79" s="177">
        <f t="shared" si="166"/>
        <v>14800000</v>
      </c>
      <c r="AD79" s="177">
        <f t="shared" si="166"/>
        <v>14800000</v>
      </c>
      <c r="AE79" s="177">
        <f t="shared" si="166"/>
        <v>14800000</v>
      </c>
      <c r="AF79" s="177">
        <f t="shared" si="166"/>
        <v>14800000</v>
      </c>
      <c r="AG79" s="177">
        <f t="shared" si="166"/>
        <v>14800000</v>
      </c>
      <c r="AH79" s="177">
        <f t="shared" si="166"/>
        <v>14800000</v>
      </c>
      <c r="AI79" s="177">
        <f t="shared" si="166"/>
        <v>14800000</v>
      </c>
      <c r="AJ79" s="177">
        <f t="shared" si="166"/>
        <v>14800000</v>
      </c>
      <c r="AK79" s="177">
        <f t="shared" si="166"/>
        <v>14800000</v>
      </c>
      <c r="AL79" s="177">
        <f t="shared" si="166"/>
        <v>14800000</v>
      </c>
      <c r="AM79" s="177">
        <f t="shared" si="166"/>
        <v>14800000</v>
      </c>
      <c r="AN79" s="177">
        <f t="shared" si="166"/>
        <v>14800000</v>
      </c>
      <c r="AO79" s="177">
        <f t="shared" si="166"/>
        <v>14800000</v>
      </c>
      <c r="AP79" s="177">
        <f t="shared" si="166"/>
        <v>14800000</v>
      </c>
      <c r="AQ79" s="177">
        <f t="shared" si="166"/>
        <v>14800000</v>
      </c>
      <c r="AR79" s="177">
        <f t="shared" si="166"/>
        <v>14800000</v>
      </c>
      <c r="AS79" s="177">
        <f t="shared" si="166"/>
        <v>14800000</v>
      </c>
      <c r="AT79" s="177">
        <f t="shared" si="166"/>
        <v>14800000</v>
      </c>
      <c r="AU79" s="177">
        <f t="shared" si="166"/>
        <v>14800000</v>
      </c>
      <c r="AV79" s="177">
        <f t="shared" si="166"/>
        <v>14800000</v>
      </c>
      <c r="AW79" s="177">
        <f t="shared" si="166"/>
        <v>14800000</v>
      </c>
      <c r="AX79" s="177">
        <f t="shared" si="166"/>
        <v>14800000</v>
      </c>
      <c r="AY79" s="177">
        <f t="shared" si="166"/>
        <v>14800000</v>
      </c>
      <c r="AZ79" s="177">
        <f t="shared" si="166"/>
        <v>14800000</v>
      </c>
      <c r="BA79" s="177">
        <f t="shared" si="166"/>
        <v>14800000</v>
      </c>
      <c r="BB79" s="177">
        <f t="shared" si="166"/>
        <v>14800000</v>
      </c>
      <c r="BC79" s="177">
        <f t="shared" si="166"/>
        <v>14800000</v>
      </c>
      <c r="BD79" s="177">
        <f t="shared" si="166"/>
        <v>14800000</v>
      </c>
      <c r="BE79" s="177">
        <f t="shared" si="166"/>
        <v>14800000</v>
      </c>
      <c r="BF79" s="177">
        <f t="shared" si="166"/>
        <v>14800000</v>
      </c>
      <c r="BG79" s="177">
        <f t="shared" si="166"/>
        <v>14800000</v>
      </c>
      <c r="BH79" s="177">
        <f t="shared" si="166"/>
        <v>14800000</v>
      </c>
      <c r="BI79" s="177">
        <f t="shared" si="166"/>
        <v>14800000</v>
      </c>
      <c r="BJ79" s="177">
        <f t="shared" si="166"/>
        <v>14800000</v>
      </c>
      <c r="BK79" s="177">
        <f t="shared" si="166"/>
        <v>14800000</v>
      </c>
      <c r="BL79" s="177">
        <f t="shared" si="166"/>
        <v>14800000</v>
      </c>
      <c r="BM79" s="177">
        <f t="shared" si="166"/>
        <v>14800000</v>
      </c>
      <c r="BN79" s="177">
        <f t="shared" si="166"/>
        <v>14800000</v>
      </c>
      <c r="BO79" s="177">
        <f t="shared" si="166"/>
        <v>14800000</v>
      </c>
      <c r="BP79" s="177">
        <f t="shared" si="166"/>
        <v>14800000</v>
      </c>
      <c r="BQ79" s="177">
        <f t="shared" si="166"/>
        <v>14800000</v>
      </c>
      <c r="BR79" s="177">
        <f t="shared" si="166"/>
        <v>14800000</v>
      </c>
      <c r="BS79" s="177">
        <f t="shared" si="166"/>
        <v>14800000</v>
      </c>
      <c r="BT79" s="177">
        <f t="shared" si="166"/>
        <v>14800000</v>
      </c>
      <c r="BU79" s="177">
        <f t="shared" si="166"/>
        <v>14800000</v>
      </c>
      <c r="BV79" s="177">
        <f t="shared" si="166"/>
        <v>14800000</v>
      </c>
      <c r="BW79" s="177">
        <f t="shared" si="166"/>
        <v>14800000</v>
      </c>
      <c r="BX79" s="177">
        <f t="shared" si="166"/>
        <v>14800000</v>
      </c>
      <c r="BY79" s="177">
        <f t="shared" si="166"/>
        <v>14800000</v>
      </c>
      <c r="BZ79" s="177">
        <f t="shared" ref="BZ79:DT79" si="167">BZ76+BZ77-BZ78</f>
        <v>14800000</v>
      </c>
      <c r="CA79" s="177">
        <f t="shared" si="167"/>
        <v>14800000</v>
      </c>
      <c r="CB79" s="177">
        <f t="shared" si="167"/>
        <v>14800000</v>
      </c>
      <c r="CC79" s="177">
        <f t="shared" si="167"/>
        <v>14800000</v>
      </c>
      <c r="CD79" s="177">
        <f t="shared" si="167"/>
        <v>14800000</v>
      </c>
      <c r="CE79" s="177">
        <f t="shared" si="167"/>
        <v>14800000</v>
      </c>
      <c r="CF79" s="177">
        <f t="shared" si="167"/>
        <v>14800000</v>
      </c>
      <c r="CG79" s="177">
        <f t="shared" si="167"/>
        <v>14800000</v>
      </c>
      <c r="CH79" s="177">
        <f t="shared" si="167"/>
        <v>14800000</v>
      </c>
      <c r="CI79" s="177">
        <f t="shared" si="167"/>
        <v>14800000</v>
      </c>
      <c r="CJ79" s="177">
        <f t="shared" si="167"/>
        <v>14800000</v>
      </c>
      <c r="CK79" s="177">
        <f t="shared" si="167"/>
        <v>14800000</v>
      </c>
      <c r="CL79" s="177">
        <f t="shared" si="167"/>
        <v>14800000</v>
      </c>
      <c r="CM79" s="177">
        <f t="shared" si="167"/>
        <v>14800000</v>
      </c>
      <c r="CN79" s="177">
        <f t="shared" si="167"/>
        <v>14800000</v>
      </c>
      <c r="CO79" s="177">
        <f t="shared" si="167"/>
        <v>14800000</v>
      </c>
      <c r="CP79" s="177">
        <f t="shared" si="167"/>
        <v>14800000</v>
      </c>
      <c r="CQ79" s="177">
        <f t="shared" si="167"/>
        <v>14800000</v>
      </c>
      <c r="CR79" s="177">
        <f t="shared" si="167"/>
        <v>14800000</v>
      </c>
      <c r="CS79" s="177">
        <f t="shared" si="167"/>
        <v>14800000</v>
      </c>
      <c r="CT79" s="177">
        <f t="shared" si="167"/>
        <v>14800000</v>
      </c>
      <c r="CU79" s="177">
        <f t="shared" si="167"/>
        <v>14800000</v>
      </c>
      <c r="CV79" s="177">
        <f t="shared" si="167"/>
        <v>14800000</v>
      </c>
      <c r="CW79" s="177">
        <f t="shared" si="167"/>
        <v>14800000</v>
      </c>
      <c r="CX79" s="177">
        <f t="shared" si="167"/>
        <v>14800000</v>
      </c>
      <c r="CY79" s="177">
        <f t="shared" si="167"/>
        <v>14800000</v>
      </c>
      <c r="CZ79" s="177">
        <f t="shared" si="167"/>
        <v>14800000</v>
      </c>
      <c r="DA79" s="177">
        <f t="shared" si="167"/>
        <v>14800000</v>
      </c>
      <c r="DB79" s="177">
        <f t="shared" si="167"/>
        <v>14800000</v>
      </c>
      <c r="DC79" s="177">
        <f t="shared" si="167"/>
        <v>14800000</v>
      </c>
      <c r="DD79" s="177">
        <f t="shared" si="167"/>
        <v>14800000</v>
      </c>
      <c r="DE79" s="177">
        <f t="shared" si="167"/>
        <v>14800000</v>
      </c>
      <c r="DF79" s="177">
        <f t="shared" si="167"/>
        <v>14800000</v>
      </c>
      <c r="DG79" s="177">
        <f t="shared" si="167"/>
        <v>14800000</v>
      </c>
      <c r="DH79" s="177">
        <f t="shared" si="167"/>
        <v>14800000</v>
      </c>
      <c r="DI79" s="177">
        <f t="shared" si="167"/>
        <v>14800000</v>
      </c>
      <c r="DJ79" s="177">
        <f t="shared" si="167"/>
        <v>14800000</v>
      </c>
      <c r="DK79" s="177">
        <f t="shared" si="167"/>
        <v>14800000</v>
      </c>
      <c r="DL79" s="177">
        <f t="shared" si="167"/>
        <v>14800000</v>
      </c>
      <c r="DM79" s="177">
        <f t="shared" si="167"/>
        <v>14800000</v>
      </c>
      <c r="DN79" s="177">
        <f t="shared" si="167"/>
        <v>14800000</v>
      </c>
      <c r="DO79" s="177">
        <f t="shared" si="167"/>
        <v>14800000</v>
      </c>
      <c r="DP79" s="177">
        <f t="shared" si="167"/>
        <v>14800000</v>
      </c>
      <c r="DQ79" s="177">
        <f t="shared" si="167"/>
        <v>14800000</v>
      </c>
      <c r="DR79" s="177">
        <f t="shared" si="167"/>
        <v>14800000</v>
      </c>
      <c r="DS79" s="177">
        <f t="shared" si="167"/>
        <v>14800000</v>
      </c>
      <c r="DT79" s="177">
        <f t="shared" si="167"/>
        <v>14800000</v>
      </c>
      <c r="DU79" s="177">
        <f t="shared" ref="DU79:EA79" si="168">DU76+DU77-DU78</f>
        <v>14800000</v>
      </c>
      <c r="DV79" s="177">
        <f t="shared" si="168"/>
        <v>14800000</v>
      </c>
      <c r="DW79" s="177">
        <f t="shared" si="168"/>
        <v>14800000</v>
      </c>
      <c r="DX79" s="177">
        <f t="shared" si="168"/>
        <v>14800000</v>
      </c>
      <c r="DY79" s="177">
        <f t="shared" si="168"/>
        <v>14800000</v>
      </c>
      <c r="DZ79" s="177">
        <f t="shared" si="168"/>
        <v>14800000</v>
      </c>
      <c r="EA79" s="177">
        <f t="shared" si="168"/>
        <v>14800000</v>
      </c>
      <c r="EB79" s="177">
        <f t="shared" ref="EB79:EQ79" si="169">EB76+EB77-EB78</f>
        <v>0</v>
      </c>
      <c r="EC79" s="177">
        <f t="shared" si="169"/>
        <v>0</v>
      </c>
      <c r="ED79" s="1322">
        <f t="shared" si="169"/>
        <v>0</v>
      </c>
      <c r="EE79" s="177">
        <f t="shared" si="169"/>
        <v>0</v>
      </c>
      <c r="EF79" s="177">
        <f t="shared" si="169"/>
        <v>0</v>
      </c>
      <c r="EG79" s="177">
        <f t="shared" si="169"/>
        <v>0</v>
      </c>
      <c r="EH79" s="177">
        <f t="shared" si="169"/>
        <v>0</v>
      </c>
      <c r="EI79" s="177">
        <f t="shared" si="169"/>
        <v>0</v>
      </c>
      <c r="EJ79" s="177">
        <f t="shared" si="169"/>
        <v>0</v>
      </c>
      <c r="EK79" s="177">
        <f t="shared" si="169"/>
        <v>0</v>
      </c>
      <c r="EL79" s="177">
        <f t="shared" si="169"/>
        <v>0</v>
      </c>
      <c r="EM79" s="177">
        <f t="shared" si="169"/>
        <v>0</v>
      </c>
      <c r="EN79" s="177">
        <f t="shared" si="169"/>
        <v>0</v>
      </c>
      <c r="EO79" s="177">
        <f t="shared" si="169"/>
        <v>0</v>
      </c>
      <c r="EP79" s="177">
        <f t="shared" si="169"/>
        <v>0</v>
      </c>
      <c r="EQ79" s="177">
        <f t="shared" si="169"/>
        <v>0</v>
      </c>
    </row>
    <row r="80" spans="3:147" ht="11.25" customHeight="1">
      <c r="C80" s="163"/>
      <c r="D80" s="5" t="s">
        <v>610</v>
      </c>
      <c r="H80" s="146" t="s">
        <v>608</v>
      </c>
      <c r="I80" s="13">
        <f>'A&amp;R'!U38</f>
        <v>5000</v>
      </c>
      <c r="J80" s="170"/>
      <c r="K80" s="98"/>
      <c r="L80" s="168">
        <f>L76*1000/$I80</f>
        <v>0</v>
      </c>
      <c r="M80" s="168">
        <f t="shared" ref="M80:BX80" si="170">M76*1000/$I80</f>
        <v>2960000</v>
      </c>
      <c r="N80" s="168">
        <f t="shared" si="170"/>
        <v>2960000</v>
      </c>
      <c r="O80" s="168">
        <f t="shared" si="170"/>
        <v>2960000</v>
      </c>
      <c r="P80" s="168">
        <f t="shared" si="170"/>
        <v>2960000</v>
      </c>
      <c r="Q80" s="168">
        <f t="shared" si="170"/>
        <v>2960000</v>
      </c>
      <c r="R80" s="168">
        <f t="shared" si="170"/>
        <v>2960000</v>
      </c>
      <c r="S80" s="168">
        <f t="shared" si="170"/>
        <v>2960000</v>
      </c>
      <c r="T80" s="168">
        <f t="shared" si="170"/>
        <v>2960000</v>
      </c>
      <c r="U80" s="168">
        <f t="shared" si="170"/>
        <v>2960000</v>
      </c>
      <c r="V80" s="168">
        <f t="shared" si="170"/>
        <v>2960000</v>
      </c>
      <c r="W80" s="168">
        <f t="shared" si="170"/>
        <v>2960000</v>
      </c>
      <c r="X80" s="168">
        <f t="shared" si="170"/>
        <v>2960000</v>
      </c>
      <c r="Y80" s="168">
        <f t="shared" si="170"/>
        <v>2960000</v>
      </c>
      <c r="Z80" s="168">
        <f t="shared" si="170"/>
        <v>2960000</v>
      </c>
      <c r="AA80" s="168">
        <f t="shared" si="170"/>
        <v>2960000</v>
      </c>
      <c r="AB80" s="168">
        <f t="shared" si="170"/>
        <v>2960000</v>
      </c>
      <c r="AC80" s="168">
        <f t="shared" si="170"/>
        <v>2960000</v>
      </c>
      <c r="AD80" s="168">
        <f t="shared" si="170"/>
        <v>2960000</v>
      </c>
      <c r="AE80" s="168">
        <f t="shared" si="170"/>
        <v>2960000</v>
      </c>
      <c r="AF80" s="168">
        <f t="shared" si="170"/>
        <v>2960000</v>
      </c>
      <c r="AG80" s="168">
        <f t="shared" si="170"/>
        <v>2960000</v>
      </c>
      <c r="AH80" s="168">
        <f t="shared" si="170"/>
        <v>2960000</v>
      </c>
      <c r="AI80" s="168">
        <f t="shared" si="170"/>
        <v>2960000</v>
      </c>
      <c r="AJ80" s="168">
        <f t="shared" si="170"/>
        <v>2960000</v>
      </c>
      <c r="AK80" s="168">
        <f t="shared" si="170"/>
        <v>2960000</v>
      </c>
      <c r="AL80" s="168">
        <f t="shared" si="170"/>
        <v>2960000</v>
      </c>
      <c r="AM80" s="168">
        <f t="shared" si="170"/>
        <v>2960000</v>
      </c>
      <c r="AN80" s="168">
        <f t="shared" si="170"/>
        <v>2960000</v>
      </c>
      <c r="AO80" s="168">
        <f t="shared" si="170"/>
        <v>2960000</v>
      </c>
      <c r="AP80" s="168">
        <f t="shared" si="170"/>
        <v>2960000</v>
      </c>
      <c r="AQ80" s="168">
        <f t="shared" si="170"/>
        <v>2960000</v>
      </c>
      <c r="AR80" s="168">
        <f t="shared" si="170"/>
        <v>2960000</v>
      </c>
      <c r="AS80" s="168">
        <f t="shared" si="170"/>
        <v>2960000</v>
      </c>
      <c r="AT80" s="168">
        <f t="shared" si="170"/>
        <v>2960000</v>
      </c>
      <c r="AU80" s="168">
        <f t="shared" si="170"/>
        <v>2960000</v>
      </c>
      <c r="AV80" s="168">
        <f t="shared" si="170"/>
        <v>2960000</v>
      </c>
      <c r="AW80" s="168">
        <f t="shared" si="170"/>
        <v>2960000</v>
      </c>
      <c r="AX80" s="168">
        <f t="shared" si="170"/>
        <v>2960000</v>
      </c>
      <c r="AY80" s="168">
        <f t="shared" si="170"/>
        <v>2960000</v>
      </c>
      <c r="AZ80" s="168">
        <f t="shared" si="170"/>
        <v>2960000</v>
      </c>
      <c r="BA80" s="168">
        <f t="shared" si="170"/>
        <v>2960000</v>
      </c>
      <c r="BB80" s="168">
        <f t="shared" si="170"/>
        <v>2960000</v>
      </c>
      <c r="BC80" s="168">
        <f t="shared" si="170"/>
        <v>2960000</v>
      </c>
      <c r="BD80" s="168">
        <f t="shared" si="170"/>
        <v>2960000</v>
      </c>
      <c r="BE80" s="168">
        <f t="shared" si="170"/>
        <v>2960000</v>
      </c>
      <c r="BF80" s="168">
        <f t="shared" si="170"/>
        <v>2960000</v>
      </c>
      <c r="BG80" s="168">
        <f t="shared" si="170"/>
        <v>2960000</v>
      </c>
      <c r="BH80" s="168">
        <f t="shared" si="170"/>
        <v>2960000</v>
      </c>
      <c r="BI80" s="168">
        <f t="shared" si="170"/>
        <v>2960000</v>
      </c>
      <c r="BJ80" s="168">
        <f t="shared" si="170"/>
        <v>2960000</v>
      </c>
      <c r="BK80" s="168">
        <f t="shared" si="170"/>
        <v>2960000</v>
      </c>
      <c r="BL80" s="168">
        <f t="shared" si="170"/>
        <v>2960000</v>
      </c>
      <c r="BM80" s="168">
        <f t="shared" si="170"/>
        <v>2960000</v>
      </c>
      <c r="BN80" s="168">
        <f t="shared" si="170"/>
        <v>2960000</v>
      </c>
      <c r="BO80" s="168">
        <f t="shared" si="170"/>
        <v>2960000</v>
      </c>
      <c r="BP80" s="168">
        <f t="shared" si="170"/>
        <v>2960000</v>
      </c>
      <c r="BQ80" s="168">
        <f t="shared" si="170"/>
        <v>2960000</v>
      </c>
      <c r="BR80" s="168">
        <f t="shared" si="170"/>
        <v>2960000</v>
      </c>
      <c r="BS80" s="168">
        <f t="shared" si="170"/>
        <v>2960000</v>
      </c>
      <c r="BT80" s="168">
        <f t="shared" si="170"/>
        <v>2960000</v>
      </c>
      <c r="BU80" s="168">
        <f t="shared" si="170"/>
        <v>2960000</v>
      </c>
      <c r="BV80" s="168">
        <f t="shared" si="170"/>
        <v>2960000</v>
      </c>
      <c r="BW80" s="168">
        <f t="shared" si="170"/>
        <v>2960000</v>
      </c>
      <c r="BX80" s="168">
        <f t="shared" si="170"/>
        <v>2960000</v>
      </c>
      <c r="BY80" s="168">
        <f t="shared" ref="BY80:DT80" si="171">BY76*1000/$I80</f>
        <v>2960000</v>
      </c>
      <c r="BZ80" s="168">
        <f t="shared" si="171"/>
        <v>2960000</v>
      </c>
      <c r="CA80" s="168">
        <f t="shared" si="171"/>
        <v>2960000</v>
      </c>
      <c r="CB80" s="168">
        <f t="shared" si="171"/>
        <v>2960000</v>
      </c>
      <c r="CC80" s="168">
        <f t="shared" si="171"/>
        <v>2960000</v>
      </c>
      <c r="CD80" s="168">
        <f t="shared" si="171"/>
        <v>2960000</v>
      </c>
      <c r="CE80" s="168">
        <f t="shared" si="171"/>
        <v>2960000</v>
      </c>
      <c r="CF80" s="168">
        <f t="shared" si="171"/>
        <v>2960000</v>
      </c>
      <c r="CG80" s="168">
        <f t="shared" si="171"/>
        <v>2960000</v>
      </c>
      <c r="CH80" s="168">
        <f t="shared" si="171"/>
        <v>2960000</v>
      </c>
      <c r="CI80" s="168">
        <f t="shared" si="171"/>
        <v>2960000</v>
      </c>
      <c r="CJ80" s="168">
        <f t="shared" si="171"/>
        <v>2960000</v>
      </c>
      <c r="CK80" s="168">
        <f t="shared" si="171"/>
        <v>2960000</v>
      </c>
      <c r="CL80" s="168">
        <f t="shared" si="171"/>
        <v>2960000</v>
      </c>
      <c r="CM80" s="168">
        <f t="shared" si="171"/>
        <v>2960000</v>
      </c>
      <c r="CN80" s="168">
        <f t="shared" si="171"/>
        <v>2960000</v>
      </c>
      <c r="CO80" s="168">
        <f t="shared" si="171"/>
        <v>2960000</v>
      </c>
      <c r="CP80" s="168">
        <f t="shared" si="171"/>
        <v>2960000</v>
      </c>
      <c r="CQ80" s="168">
        <f t="shared" si="171"/>
        <v>2960000</v>
      </c>
      <c r="CR80" s="168">
        <f t="shared" si="171"/>
        <v>2960000</v>
      </c>
      <c r="CS80" s="168">
        <f t="shared" si="171"/>
        <v>2960000</v>
      </c>
      <c r="CT80" s="168">
        <f t="shared" si="171"/>
        <v>2960000</v>
      </c>
      <c r="CU80" s="168">
        <f t="shared" si="171"/>
        <v>2960000</v>
      </c>
      <c r="CV80" s="168">
        <f t="shared" si="171"/>
        <v>2960000</v>
      </c>
      <c r="CW80" s="168">
        <f t="shared" si="171"/>
        <v>2960000</v>
      </c>
      <c r="CX80" s="168">
        <f t="shared" si="171"/>
        <v>2960000</v>
      </c>
      <c r="CY80" s="168">
        <f t="shared" si="171"/>
        <v>2960000</v>
      </c>
      <c r="CZ80" s="168">
        <f t="shared" si="171"/>
        <v>2960000</v>
      </c>
      <c r="DA80" s="168">
        <f t="shared" si="171"/>
        <v>2960000</v>
      </c>
      <c r="DB80" s="168">
        <f t="shared" si="171"/>
        <v>2960000</v>
      </c>
      <c r="DC80" s="168">
        <f t="shared" si="171"/>
        <v>2960000</v>
      </c>
      <c r="DD80" s="168">
        <f t="shared" si="171"/>
        <v>2960000</v>
      </c>
      <c r="DE80" s="168">
        <f t="shared" si="171"/>
        <v>2960000</v>
      </c>
      <c r="DF80" s="168">
        <f t="shared" si="171"/>
        <v>2960000</v>
      </c>
      <c r="DG80" s="168">
        <f t="shared" si="171"/>
        <v>2960000</v>
      </c>
      <c r="DH80" s="168">
        <f t="shared" si="171"/>
        <v>2960000</v>
      </c>
      <c r="DI80" s="168">
        <f t="shared" si="171"/>
        <v>2960000</v>
      </c>
      <c r="DJ80" s="168">
        <f t="shared" si="171"/>
        <v>2960000</v>
      </c>
      <c r="DK80" s="168">
        <f t="shared" si="171"/>
        <v>2960000</v>
      </c>
      <c r="DL80" s="168">
        <f t="shared" si="171"/>
        <v>2960000</v>
      </c>
      <c r="DM80" s="168">
        <f t="shared" si="171"/>
        <v>2960000</v>
      </c>
      <c r="DN80" s="168">
        <f t="shared" si="171"/>
        <v>2960000</v>
      </c>
      <c r="DO80" s="168">
        <f t="shared" si="171"/>
        <v>2960000</v>
      </c>
      <c r="DP80" s="168">
        <f t="shared" si="171"/>
        <v>2960000</v>
      </c>
      <c r="DQ80" s="168">
        <f t="shared" si="171"/>
        <v>2960000</v>
      </c>
      <c r="DR80" s="168">
        <f t="shared" si="171"/>
        <v>2960000</v>
      </c>
      <c r="DS80" s="168">
        <f t="shared" si="171"/>
        <v>2960000</v>
      </c>
      <c r="DT80" s="168">
        <f t="shared" si="171"/>
        <v>2960000</v>
      </c>
      <c r="DU80" s="168">
        <f t="shared" ref="DU80:EA80" si="172">DU76*1000/$I80</f>
        <v>2960000</v>
      </c>
      <c r="DV80" s="168">
        <f t="shared" si="172"/>
        <v>2960000</v>
      </c>
      <c r="DW80" s="168">
        <f t="shared" si="172"/>
        <v>2960000</v>
      </c>
      <c r="DX80" s="168">
        <f t="shared" si="172"/>
        <v>2960000</v>
      </c>
      <c r="DY80" s="168">
        <f t="shared" si="172"/>
        <v>2960000</v>
      </c>
      <c r="DZ80" s="168">
        <f t="shared" si="172"/>
        <v>2960000</v>
      </c>
      <c r="EA80" s="168">
        <f t="shared" si="172"/>
        <v>2960000</v>
      </c>
      <c r="EB80" s="168">
        <f t="shared" ref="EB80:EQ80" si="173">EB76*1000/$I80</f>
        <v>2960000</v>
      </c>
      <c r="EC80" s="168">
        <f t="shared" si="173"/>
        <v>0</v>
      </c>
      <c r="ED80" s="1320">
        <f t="shared" si="173"/>
        <v>0</v>
      </c>
      <c r="EE80" s="168">
        <f t="shared" si="173"/>
        <v>0</v>
      </c>
      <c r="EF80" s="168">
        <f t="shared" si="173"/>
        <v>0</v>
      </c>
      <c r="EG80" s="168">
        <f t="shared" si="173"/>
        <v>0</v>
      </c>
      <c r="EH80" s="168">
        <f t="shared" si="173"/>
        <v>0</v>
      </c>
      <c r="EI80" s="168">
        <f t="shared" si="173"/>
        <v>0</v>
      </c>
      <c r="EJ80" s="168">
        <f t="shared" si="173"/>
        <v>0</v>
      </c>
      <c r="EK80" s="168">
        <f t="shared" si="173"/>
        <v>0</v>
      </c>
      <c r="EL80" s="168">
        <f t="shared" si="173"/>
        <v>0</v>
      </c>
      <c r="EM80" s="168">
        <f t="shared" si="173"/>
        <v>0</v>
      </c>
      <c r="EN80" s="168">
        <f t="shared" si="173"/>
        <v>0</v>
      </c>
      <c r="EO80" s="168">
        <f t="shared" si="173"/>
        <v>0</v>
      </c>
      <c r="EP80" s="168">
        <f t="shared" si="173"/>
        <v>0</v>
      </c>
      <c r="EQ80" s="168">
        <f t="shared" si="173"/>
        <v>0</v>
      </c>
    </row>
    <row r="81" spans="3:147" ht="11.25" customHeight="1">
      <c r="C81" s="163"/>
      <c r="D81" s="5" t="s">
        <v>243</v>
      </c>
      <c r="J81" s="170"/>
      <c r="K81" s="98"/>
      <c r="L81" s="1063">
        <f>IFERROR(L80/SUM(L$80,L$89),)</f>
        <v>0</v>
      </c>
      <c r="M81" s="1063">
        <f t="shared" ref="M81:BX81" si="174">IFERROR(M80/SUM(M$80,M$89),)</f>
        <v>1</v>
      </c>
      <c r="N81" s="1063">
        <f t="shared" si="174"/>
        <v>1</v>
      </c>
      <c r="O81" s="1063">
        <f t="shared" si="174"/>
        <v>1</v>
      </c>
      <c r="P81" s="1063">
        <f t="shared" si="174"/>
        <v>1</v>
      </c>
      <c r="Q81" s="1063">
        <f t="shared" si="174"/>
        <v>1</v>
      </c>
      <c r="R81" s="1063">
        <f t="shared" si="174"/>
        <v>1</v>
      </c>
      <c r="S81" s="1063">
        <f t="shared" si="174"/>
        <v>1</v>
      </c>
      <c r="T81" s="1063">
        <f t="shared" si="174"/>
        <v>1</v>
      </c>
      <c r="U81" s="1063">
        <f t="shared" si="174"/>
        <v>1</v>
      </c>
      <c r="V81" s="1063">
        <f t="shared" si="174"/>
        <v>1</v>
      </c>
      <c r="W81" s="1063">
        <f t="shared" si="174"/>
        <v>1</v>
      </c>
      <c r="X81" s="1063">
        <f t="shared" si="174"/>
        <v>1</v>
      </c>
      <c r="Y81" s="1063">
        <f t="shared" si="174"/>
        <v>1</v>
      </c>
      <c r="Z81" s="1063">
        <f t="shared" si="174"/>
        <v>1</v>
      </c>
      <c r="AA81" s="1063">
        <f t="shared" si="174"/>
        <v>1</v>
      </c>
      <c r="AB81" s="1063">
        <f t="shared" si="174"/>
        <v>1</v>
      </c>
      <c r="AC81" s="1063">
        <f t="shared" si="174"/>
        <v>1</v>
      </c>
      <c r="AD81" s="1063">
        <f t="shared" si="174"/>
        <v>1</v>
      </c>
      <c r="AE81" s="1063">
        <f t="shared" si="174"/>
        <v>1</v>
      </c>
      <c r="AF81" s="1063">
        <f t="shared" si="174"/>
        <v>1</v>
      </c>
      <c r="AG81" s="1063">
        <f t="shared" si="174"/>
        <v>1</v>
      </c>
      <c r="AH81" s="1063">
        <f t="shared" si="174"/>
        <v>1</v>
      </c>
      <c r="AI81" s="1063">
        <f t="shared" si="174"/>
        <v>1</v>
      </c>
      <c r="AJ81" s="1063">
        <f t="shared" si="174"/>
        <v>1</v>
      </c>
      <c r="AK81" s="1063">
        <f t="shared" si="174"/>
        <v>1</v>
      </c>
      <c r="AL81" s="1063">
        <f t="shared" si="174"/>
        <v>1</v>
      </c>
      <c r="AM81" s="1063">
        <f t="shared" si="174"/>
        <v>1</v>
      </c>
      <c r="AN81" s="1063">
        <f t="shared" si="174"/>
        <v>1</v>
      </c>
      <c r="AO81" s="1063">
        <f t="shared" si="174"/>
        <v>1</v>
      </c>
      <c r="AP81" s="1063">
        <f t="shared" si="174"/>
        <v>1</v>
      </c>
      <c r="AQ81" s="1063">
        <f t="shared" si="174"/>
        <v>1</v>
      </c>
      <c r="AR81" s="1063">
        <f t="shared" si="174"/>
        <v>1</v>
      </c>
      <c r="AS81" s="1063">
        <f t="shared" si="174"/>
        <v>1</v>
      </c>
      <c r="AT81" s="1063">
        <f t="shared" si="174"/>
        <v>1</v>
      </c>
      <c r="AU81" s="1063">
        <f t="shared" si="174"/>
        <v>1</v>
      </c>
      <c r="AV81" s="1063">
        <f t="shared" si="174"/>
        <v>1</v>
      </c>
      <c r="AW81" s="1063">
        <f t="shared" si="174"/>
        <v>1</v>
      </c>
      <c r="AX81" s="1063">
        <f t="shared" si="174"/>
        <v>1</v>
      </c>
      <c r="AY81" s="1063">
        <f t="shared" si="174"/>
        <v>1</v>
      </c>
      <c r="AZ81" s="1063">
        <f t="shared" si="174"/>
        <v>1</v>
      </c>
      <c r="BA81" s="1063">
        <f t="shared" si="174"/>
        <v>1</v>
      </c>
      <c r="BB81" s="1063">
        <f t="shared" si="174"/>
        <v>1</v>
      </c>
      <c r="BC81" s="1063">
        <f t="shared" si="174"/>
        <v>1</v>
      </c>
      <c r="BD81" s="1063">
        <f t="shared" si="174"/>
        <v>1</v>
      </c>
      <c r="BE81" s="1063">
        <f t="shared" si="174"/>
        <v>1</v>
      </c>
      <c r="BF81" s="1063">
        <f t="shared" si="174"/>
        <v>1</v>
      </c>
      <c r="BG81" s="1063">
        <f t="shared" si="174"/>
        <v>1</v>
      </c>
      <c r="BH81" s="1063">
        <f t="shared" si="174"/>
        <v>1</v>
      </c>
      <c r="BI81" s="1063">
        <f t="shared" si="174"/>
        <v>1</v>
      </c>
      <c r="BJ81" s="1063">
        <f t="shared" si="174"/>
        <v>1</v>
      </c>
      <c r="BK81" s="1063">
        <f t="shared" si="174"/>
        <v>1</v>
      </c>
      <c r="BL81" s="1063">
        <f t="shared" si="174"/>
        <v>1</v>
      </c>
      <c r="BM81" s="1063">
        <f t="shared" si="174"/>
        <v>1</v>
      </c>
      <c r="BN81" s="1063">
        <f t="shared" si="174"/>
        <v>1</v>
      </c>
      <c r="BO81" s="1063">
        <f t="shared" si="174"/>
        <v>1</v>
      </c>
      <c r="BP81" s="1063">
        <f t="shared" si="174"/>
        <v>1</v>
      </c>
      <c r="BQ81" s="1063">
        <f t="shared" si="174"/>
        <v>1</v>
      </c>
      <c r="BR81" s="1063">
        <f t="shared" si="174"/>
        <v>1</v>
      </c>
      <c r="BS81" s="1063">
        <f t="shared" si="174"/>
        <v>1</v>
      </c>
      <c r="BT81" s="1063">
        <f t="shared" si="174"/>
        <v>1</v>
      </c>
      <c r="BU81" s="1063">
        <f t="shared" si="174"/>
        <v>1</v>
      </c>
      <c r="BV81" s="1063">
        <f t="shared" si="174"/>
        <v>1</v>
      </c>
      <c r="BW81" s="1063">
        <f t="shared" si="174"/>
        <v>1</v>
      </c>
      <c r="BX81" s="1063">
        <f t="shared" si="174"/>
        <v>1</v>
      </c>
      <c r="BY81" s="1063">
        <f t="shared" ref="BY81:DT81" si="175">IFERROR(BY80/SUM(BY$80,BY$89),)</f>
        <v>1</v>
      </c>
      <c r="BZ81" s="1063">
        <f t="shared" si="175"/>
        <v>1</v>
      </c>
      <c r="CA81" s="1063">
        <f t="shared" si="175"/>
        <v>1</v>
      </c>
      <c r="CB81" s="1063">
        <f t="shared" si="175"/>
        <v>1</v>
      </c>
      <c r="CC81" s="1063">
        <f t="shared" si="175"/>
        <v>1</v>
      </c>
      <c r="CD81" s="1063">
        <f t="shared" si="175"/>
        <v>1</v>
      </c>
      <c r="CE81" s="1063">
        <f t="shared" si="175"/>
        <v>1</v>
      </c>
      <c r="CF81" s="1063">
        <f t="shared" si="175"/>
        <v>1</v>
      </c>
      <c r="CG81" s="1063">
        <f t="shared" si="175"/>
        <v>1</v>
      </c>
      <c r="CH81" s="1063">
        <f t="shared" si="175"/>
        <v>1</v>
      </c>
      <c r="CI81" s="1063">
        <f t="shared" si="175"/>
        <v>1</v>
      </c>
      <c r="CJ81" s="1063">
        <f t="shared" si="175"/>
        <v>1</v>
      </c>
      <c r="CK81" s="1063">
        <f t="shared" si="175"/>
        <v>1</v>
      </c>
      <c r="CL81" s="1063">
        <f t="shared" si="175"/>
        <v>1</v>
      </c>
      <c r="CM81" s="1063">
        <f t="shared" si="175"/>
        <v>1</v>
      </c>
      <c r="CN81" s="1063">
        <f t="shared" si="175"/>
        <v>1</v>
      </c>
      <c r="CO81" s="1063">
        <f t="shared" si="175"/>
        <v>1</v>
      </c>
      <c r="CP81" s="1063">
        <f t="shared" si="175"/>
        <v>1</v>
      </c>
      <c r="CQ81" s="1063">
        <f t="shared" si="175"/>
        <v>1</v>
      </c>
      <c r="CR81" s="1063">
        <f t="shared" si="175"/>
        <v>1</v>
      </c>
      <c r="CS81" s="1063">
        <f t="shared" si="175"/>
        <v>1</v>
      </c>
      <c r="CT81" s="1063">
        <f t="shared" si="175"/>
        <v>1</v>
      </c>
      <c r="CU81" s="1063">
        <f t="shared" si="175"/>
        <v>1</v>
      </c>
      <c r="CV81" s="1063">
        <f t="shared" si="175"/>
        <v>1</v>
      </c>
      <c r="CW81" s="1063">
        <f t="shared" si="175"/>
        <v>1</v>
      </c>
      <c r="CX81" s="1063">
        <f t="shared" si="175"/>
        <v>1</v>
      </c>
      <c r="CY81" s="1063">
        <f t="shared" si="175"/>
        <v>1</v>
      </c>
      <c r="CZ81" s="1063">
        <f t="shared" si="175"/>
        <v>1</v>
      </c>
      <c r="DA81" s="1063">
        <f t="shared" si="175"/>
        <v>1</v>
      </c>
      <c r="DB81" s="1063">
        <f t="shared" si="175"/>
        <v>1</v>
      </c>
      <c r="DC81" s="1063">
        <f t="shared" si="175"/>
        <v>1</v>
      </c>
      <c r="DD81" s="1063">
        <f t="shared" si="175"/>
        <v>1</v>
      </c>
      <c r="DE81" s="1063">
        <f t="shared" si="175"/>
        <v>1</v>
      </c>
      <c r="DF81" s="1063">
        <f t="shared" si="175"/>
        <v>1</v>
      </c>
      <c r="DG81" s="1063">
        <f t="shared" si="175"/>
        <v>1</v>
      </c>
      <c r="DH81" s="1063">
        <f t="shared" si="175"/>
        <v>1</v>
      </c>
      <c r="DI81" s="1063">
        <f t="shared" si="175"/>
        <v>1</v>
      </c>
      <c r="DJ81" s="1063">
        <f t="shared" si="175"/>
        <v>1</v>
      </c>
      <c r="DK81" s="1063">
        <f t="shared" si="175"/>
        <v>1</v>
      </c>
      <c r="DL81" s="1063">
        <f t="shared" si="175"/>
        <v>1</v>
      </c>
      <c r="DM81" s="1063">
        <f t="shared" si="175"/>
        <v>1</v>
      </c>
      <c r="DN81" s="1063">
        <f t="shared" si="175"/>
        <v>1</v>
      </c>
      <c r="DO81" s="1063">
        <f t="shared" si="175"/>
        <v>1</v>
      </c>
      <c r="DP81" s="1063">
        <f t="shared" si="175"/>
        <v>1</v>
      </c>
      <c r="DQ81" s="1063">
        <f t="shared" si="175"/>
        <v>1</v>
      </c>
      <c r="DR81" s="1063">
        <f t="shared" si="175"/>
        <v>1</v>
      </c>
      <c r="DS81" s="1063">
        <f t="shared" si="175"/>
        <v>1</v>
      </c>
      <c r="DT81" s="1063">
        <f t="shared" si="175"/>
        <v>1</v>
      </c>
      <c r="DU81" s="1063">
        <f t="shared" ref="DU81:EA81" si="176">IFERROR(DU80/SUM(DU$80,DU$89),)</f>
        <v>1</v>
      </c>
      <c r="DV81" s="1063">
        <f t="shared" si="176"/>
        <v>1</v>
      </c>
      <c r="DW81" s="1063">
        <f t="shared" si="176"/>
        <v>1</v>
      </c>
      <c r="DX81" s="1063">
        <f t="shared" si="176"/>
        <v>1</v>
      </c>
      <c r="DY81" s="1063">
        <f t="shared" si="176"/>
        <v>1</v>
      </c>
      <c r="DZ81" s="1063">
        <f t="shared" si="176"/>
        <v>1</v>
      </c>
      <c r="EA81" s="1063">
        <f t="shared" si="176"/>
        <v>1</v>
      </c>
      <c r="EB81" s="1063">
        <f t="shared" ref="EB81:EQ81" si="177">IFERROR(EB80/SUM(EB$80,EB$89),)</f>
        <v>1</v>
      </c>
      <c r="EC81" s="1063">
        <f t="shared" si="177"/>
        <v>0</v>
      </c>
      <c r="ED81" s="1323">
        <f t="shared" si="177"/>
        <v>0</v>
      </c>
      <c r="EE81" s="1063">
        <f t="shared" si="177"/>
        <v>0</v>
      </c>
      <c r="EF81" s="1063">
        <f t="shared" si="177"/>
        <v>0</v>
      </c>
      <c r="EG81" s="1063">
        <f t="shared" si="177"/>
        <v>0</v>
      </c>
      <c r="EH81" s="1063">
        <f t="shared" si="177"/>
        <v>0</v>
      </c>
      <c r="EI81" s="1063">
        <f t="shared" si="177"/>
        <v>0</v>
      </c>
      <c r="EJ81" s="1063">
        <f t="shared" si="177"/>
        <v>0</v>
      </c>
      <c r="EK81" s="1063">
        <f t="shared" si="177"/>
        <v>0</v>
      </c>
      <c r="EL81" s="1063">
        <f t="shared" si="177"/>
        <v>0</v>
      </c>
      <c r="EM81" s="1063">
        <f t="shared" si="177"/>
        <v>0</v>
      </c>
      <c r="EN81" s="1063">
        <f t="shared" si="177"/>
        <v>0</v>
      </c>
      <c r="EO81" s="1063">
        <f t="shared" si="177"/>
        <v>0</v>
      </c>
      <c r="EP81" s="1063">
        <f t="shared" si="177"/>
        <v>0</v>
      </c>
      <c r="EQ81" s="1063">
        <f t="shared" si="177"/>
        <v>0</v>
      </c>
    </row>
    <row r="82" spans="3:147" ht="11.25" customHeight="1">
      <c r="C82" s="1051" t="s">
        <v>609</v>
      </c>
      <c r="D82" s="1053"/>
      <c r="E82" s="1053"/>
      <c r="F82" s="1053"/>
      <c r="G82" s="1053"/>
      <c r="H82" s="1054"/>
      <c r="I82" s="1055"/>
      <c r="J82" s="1056"/>
      <c r="K82" s="98"/>
      <c r="L82" s="1057"/>
      <c r="M82" s="1057"/>
      <c r="N82" s="1057"/>
      <c r="O82" s="1057"/>
      <c r="P82" s="1057"/>
      <c r="Q82" s="1057"/>
      <c r="R82" s="1057"/>
      <c r="S82" s="1057"/>
      <c r="T82" s="1057"/>
      <c r="U82" s="1057"/>
      <c r="V82" s="1057"/>
      <c r="W82" s="1057"/>
      <c r="X82" s="1057"/>
      <c r="Y82" s="1057"/>
      <c r="Z82" s="1057"/>
      <c r="AA82" s="1057"/>
      <c r="AB82" s="1057"/>
      <c r="AC82" s="1057"/>
      <c r="AD82" s="1057"/>
      <c r="AE82" s="1057"/>
      <c r="AF82" s="1057"/>
      <c r="AG82" s="1057"/>
      <c r="AH82" s="1057"/>
      <c r="AI82" s="1057"/>
      <c r="AJ82" s="1057"/>
      <c r="AK82" s="1057"/>
      <c r="AL82" s="1057"/>
      <c r="AM82" s="1057"/>
      <c r="AN82" s="1057"/>
      <c r="AO82" s="1057"/>
      <c r="AP82" s="1057"/>
      <c r="AQ82" s="1057"/>
      <c r="AR82" s="1057"/>
      <c r="AS82" s="1057"/>
      <c r="AT82" s="1057"/>
      <c r="AU82" s="1057"/>
      <c r="AV82" s="1057"/>
      <c r="AW82" s="1057"/>
      <c r="AX82" s="1057"/>
      <c r="AY82" s="1057"/>
      <c r="AZ82" s="1057"/>
      <c r="BA82" s="1057"/>
      <c r="BB82" s="1057"/>
      <c r="BC82" s="1057"/>
      <c r="BD82" s="1057"/>
      <c r="BE82" s="1057"/>
      <c r="BF82" s="1057"/>
      <c r="BG82" s="1057"/>
      <c r="BH82" s="1057"/>
      <c r="BI82" s="1057"/>
      <c r="BJ82" s="1057"/>
      <c r="BK82" s="1057"/>
      <c r="BL82" s="1057"/>
      <c r="BM82" s="1057"/>
      <c r="BN82" s="1057"/>
      <c r="BO82" s="1057"/>
      <c r="BP82" s="1057"/>
      <c r="BQ82" s="1057"/>
      <c r="BR82" s="1057"/>
      <c r="BS82" s="1057"/>
      <c r="BT82" s="1057"/>
      <c r="BU82" s="1057"/>
      <c r="BV82" s="1057"/>
      <c r="BW82" s="1057"/>
      <c r="BX82" s="1057"/>
      <c r="BY82" s="1057"/>
      <c r="BZ82" s="1057"/>
      <c r="CA82" s="1057"/>
      <c r="CB82" s="1057"/>
      <c r="CC82" s="1057"/>
      <c r="CD82" s="1057"/>
      <c r="CE82" s="1057"/>
      <c r="CF82" s="1057"/>
      <c r="CG82" s="1057"/>
      <c r="CH82" s="1057"/>
      <c r="CI82" s="1057"/>
      <c r="CJ82" s="1057"/>
      <c r="CK82" s="1057"/>
      <c r="CL82" s="1057"/>
      <c r="CM82" s="1057"/>
      <c r="CN82" s="1057"/>
      <c r="CO82" s="1057"/>
      <c r="CP82" s="1057"/>
      <c r="CQ82" s="1057"/>
      <c r="CR82" s="1057"/>
      <c r="CS82" s="1057"/>
      <c r="CT82" s="1057"/>
      <c r="CU82" s="1057"/>
      <c r="CV82" s="1057"/>
      <c r="CW82" s="1057"/>
      <c r="CX82" s="1057"/>
      <c r="CY82" s="1057"/>
      <c r="CZ82" s="1057"/>
      <c r="DA82" s="1057"/>
      <c r="DB82" s="1057"/>
      <c r="DC82" s="1057"/>
      <c r="DD82" s="1057"/>
      <c r="DE82" s="1057"/>
      <c r="DF82" s="1057"/>
      <c r="DG82" s="1057"/>
      <c r="DH82" s="1057"/>
      <c r="DI82" s="1057"/>
      <c r="DJ82" s="1057"/>
      <c r="DK82" s="1057"/>
      <c r="DL82" s="1057"/>
      <c r="DM82" s="1057"/>
      <c r="DN82" s="1057"/>
      <c r="DO82" s="1057"/>
      <c r="DP82" s="1057"/>
      <c r="DQ82" s="1057"/>
      <c r="DR82" s="1057"/>
      <c r="DS82" s="1057"/>
      <c r="DT82" s="1057"/>
      <c r="DU82" s="1057"/>
      <c r="DV82" s="1057"/>
      <c r="DW82" s="1057"/>
      <c r="DX82" s="1057"/>
      <c r="DY82" s="1057"/>
      <c r="DZ82" s="1057"/>
      <c r="EA82" s="1057"/>
      <c r="EB82" s="1057"/>
      <c r="EC82" s="1057"/>
      <c r="ED82" s="1319"/>
      <c r="EE82" s="1057"/>
      <c r="EF82" s="1057"/>
      <c r="EG82" s="1057"/>
      <c r="EH82" s="1057"/>
      <c r="EI82" s="1057"/>
      <c r="EJ82" s="1057"/>
      <c r="EK82" s="1057"/>
      <c r="EL82" s="1057"/>
      <c r="EM82" s="1057"/>
      <c r="EN82" s="1057"/>
      <c r="EO82" s="1057"/>
      <c r="EP82" s="1057"/>
      <c r="EQ82" s="1057"/>
    </row>
    <row r="83" spans="3:147" ht="11.25" customHeight="1">
      <c r="C83" s="1052"/>
      <c r="D83" s="164" t="s">
        <v>230</v>
      </c>
      <c r="E83" s="165"/>
      <c r="F83" s="165"/>
      <c r="G83" s="165"/>
      <c r="H83" s="166"/>
      <c r="I83" s="221"/>
      <c r="J83" s="167"/>
      <c r="K83" s="98"/>
      <c r="L83" s="168">
        <f>K86</f>
        <v>0</v>
      </c>
      <c r="M83" s="168">
        <f>L86</f>
        <v>0</v>
      </c>
      <c r="N83" s="168">
        <f t="shared" ref="N83:BY83" si="178">M86</f>
        <v>0</v>
      </c>
      <c r="O83" s="168">
        <f t="shared" si="178"/>
        <v>0</v>
      </c>
      <c r="P83" s="168">
        <f t="shared" si="178"/>
        <v>0</v>
      </c>
      <c r="Q83" s="168">
        <f t="shared" si="178"/>
        <v>0</v>
      </c>
      <c r="R83" s="168">
        <f t="shared" si="178"/>
        <v>0</v>
      </c>
      <c r="S83" s="168">
        <f t="shared" si="178"/>
        <v>0</v>
      </c>
      <c r="T83" s="168">
        <f t="shared" si="178"/>
        <v>0</v>
      </c>
      <c r="U83" s="168">
        <f t="shared" si="178"/>
        <v>0</v>
      </c>
      <c r="V83" s="168">
        <f t="shared" si="178"/>
        <v>0</v>
      </c>
      <c r="W83" s="168">
        <f t="shared" si="178"/>
        <v>0</v>
      </c>
      <c r="X83" s="168">
        <f t="shared" si="178"/>
        <v>0</v>
      </c>
      <c r="Y83" s="168">
        <f t="shared" si="178"/>
        <v>0</v>
      </c>
      <c r="Z83" s="168">
        <f t="shared" si="178"/>
        <v>0</v>
      </c>
      <c r="AA83" s="168">
        <f t="shared" si="178"/>
        <v>0</v>
      </c>
      <c r="AB83" s="168">
        <f t="shared" si="178"/>
        <v>0</v>
      </c>
      <c r="AC83" s="168">
        <f t="shared" si="178"/>
        <v>0</v>
      </c>
      <c r="AD83" s="168">
        <f t="shared" si="178"/>
        <v>0</v>
      </c>
      <c r="AE83" s="168">
        <f t="shared" si="178"/>
        <v>0</v>
      </c>
      <c r="AF83" s="168">
        <f t="shared" si="178"/>
        <v>0</v>
      </c>
      <c r="AG83" s="168">
        <f t="shared" si="178"/>
        <v>0</v>
      </c>
      <c r="AH83" s="168">
        <f t="shared" si="178"/>
        <v>0</v>
      </c>
      <c r="AI83" s="168">
        <f t="shared" si="178"/>
        <v>0</v>
      </c>
      <c r="AJ83" s="168">
        <f t="shared" si="178"/>
        <v>0</v>
      </c>
      <c r="AK83" s="168">
        <f t="shared" si="178"/>
        <v>0</v>
      </c>
      <c r="AL83" s="168">
        <f t="shared" si="178"/>
        <v>0</v>
      </c>
      <c r="AM83" s="168">
        <f t="shared" si="178"/>
        <v>0</v>
      </c>
      <c r="AN83" s="168">
        <f t="shared" si="178"/>
        <v>0</v>
      </c>
      <c r="AO83" s="168">
        <f t="shared" si="178"/>
        <v>0</v>
      </c>
      <c r="AP83" s="168">
        <f t="shared" si="178"/>
        <v>0</v>
      </c>
      <c r="AQ83" s="168">
        <f t="shared" si="178"/>
        <v>0</v>
      </c>
      <c r="AR83" s="168">
        <f t="shared" si="178"/>
        <v>0</v>
      </c>
      <c r="AS83" s="168">
        <f t="shared" si="178"/>
        <v>0</v>
      </c>
      <c r="AT83" s="168">
        <f t="shared" si="178"/>
        <v>0</v>
      </c>
      <c r="AU83" s="168">
        <f t="shared" si="178"/>
        <v>0</v>
      </c>
      <c r="AV83" s="168">
        <f t="shared" si="178"/>
        <v>0</v>
      </c>
      <c r="AW83" s="168">
        <f t="shared" si="178"/>
        <v>0</v>
      </c>
      <c r="AX83" s="168">
        <f t="shared" si="178"/>
        <v>0</v>
      </c>
      <c r="AY83" s="168">
        <f t="shared" si="178"/>
        <v>0</v>
      </c>
      <c r="AZ83" s="168">
        <f t="shared" si="178"/>
        <v>0</v>
      </c>
      <c r="BA83" s="168">
        <f t="shared" si="178"/>
        <v>0</v>
      </c>
      <c r="BB83" s="168">
        <f t="shared" si="178"/>
        <v>0</v>
      </c>
      <c r="BC83" s="168">
        <f t="shared" si="178"/>
        <v>0</v>
      </c>
      <c r="BD83" s="168">
        <f t="shared" si="178"/>
        <v>0</v>
      </c>
      <c r="BE83" s="168">
        <f t="shared" si="178"/>
        <v>0</v>
      </c>
      <c r="BF83" s="168">
        <f t="shared" si="178"/>
        <v>0</v>
      </c>
      <c r="BG83" s="168">
        <f t="shared" si="178"/>
        <v>0</v>
      </c>
      <c r="BH83" s="168">
        <f t="shared" si="178"/>
        <v>0</v>
      </c>
      <c r="BI83" s="168">
        <f t="shared" si="178"/>
        <v>0</v>
      </c>
      <c r="BJ83" s="168">
        <f t="shared" si="178"/>
        <v>0</v>
      </c>
      <c r="BK83" s="168">
        <f t="shared" si="178"/>
        <v>0</v>
      </c>
      <c r="BL83" s="168">
        <f t="shared" si="178"/>
        <v>0</v>
      </c>
      <c r="BM83" s="168">
        <f t="shared" si="178"/>
        <v>0</v>
      </c>
      <c r="BN83" s="168">
        <f t="shared" si="178"/>
        <v>0</v>
      </c>
      <c r="BO83" s="168">
        <f t="shared" si="178"/>
        <v>0</v>
      </c>
      <c r="BP83" s="168">
        <f t="shared" si="178"/>
        <v>0</v>
      </c>
      <c r="BQ83" s="168">
        <f t="shared" si="178"/>
        <v>0</v>
      </c>
      <c r="BR83" s="168">
        <f t="shared" si="178"/>
        <v>0</v>
      </c>
      <c r="BS83" s="168">
        <f t="shared" si="178"/>
        <v>0</v>
      </c>
      <c r="BT83" s="168">
        <f t="shared" si="178"/>
        <v>0</v>
      </c>
      <c r="BU83" s="168">
        <f t="shared" si="178"/>
        <v>0</v>
      </c>
      <c r="BV83" s="168">
        <f t="shared" si="178"/>
        <v>0</v>
      </c>
      <c r="BW83" s="168">
        <f t="shared" si="178"/>
        <v>0</v>
      </c>
      <c r="BX83" s="168">
        <f t="shared" si="178"/>
        <v>0</v>
      </c>
      <c r="BY83" s="168">
        <f t="shared" si="178"/>
        <v>0</v>
      </c>
      <c r="BZ83" s="168">
        <f t="shared" ref="BZ83:DT83" si="179">BY86</f>
        <v>0</v>
      </c>
      <c r="CA83" s="168">
        <f t="shared" si="179"/>
        <v>0</v>
      </c>
      <c r="CB83" s="168">
        <f t="shared" si="179"/>
        <v>0</v>
      </c>
      <c r="CC83" s="168">
        <f t="shared" si="179"/>
        <v>0</v>
      </c>
      <c r="CD83" s="168">
        <f t="shared" si="179"/>
        <v>0</v>
      </c>
      <c r="CE83" s="168">
        <f t="shared" si="179"/>
        <v>0</v>
      </c>
      <c r="CF83" s="168">
        <f t="shared" si="179"/>
        <v>0</v>
      </c>
      <c r="CG83" s="168">
        <f t="shared" si="179"/>
        <v>0</v>
      </c>
      <c r="CH83" s="168">
        <f t="shared" si="179"/>
        <v>0</v>
      </c>
      <c r="CI83" s="168">
        <f t="shared" si="179"/>
        <v>0</v>
      </c>
      <c r="CJ83" s="168">
        <f t="shared" si="179"/>
        <v>0</v>
      </c>
      <c r="CK83" s="168">
        <f t="shared" si="179"/>
        <v>0</v>
      </c>
      <c r="CL83" s="168">
        <f t="shared" si="179"/>
        <v>0</v>
      </c>
      <c r="CM83" s="168">
        <f t="shared" si="179"/>
        <v>0</v>
      </c>
      <c r="CN83" s="168">
        <f t="shared" si="179"/>
        <v>0</v>
      </c>
      <c r="CO83" s="168">
        <f t="shared" si="179"/>
        <v>0</v>
      </c>
      <c r="CP83" s="168">
        <f t="shared" si="179"/>
        <v>0</v>
      </c>
      <c r="CQ83" s="168">
        <f t="shared" si="179"/>
        <v>0</v>
      </c>
      <c r="CR83" s="168">
        <f t="shared" si="179"/>
        <v>0</v>
      </c>
      <c r="CS83" s="168">
        <f t="shared" si="179"/>
        <v>0</v>
      </c>
      <c r="CT83" s="168">
        <f t="shared" si="179"/>
        <v>0</v>
      </c>
      <c r="CU83" s="168">
        <f t="shared" si="179"/>
        <v>0</v>
      </c>
      <c r="CV83" s="168">
        <f t="shared" si="179"/>
        <v>0</v>
      </c>
      <c r="CW83" s="168">
        <f t="shared" si="179"/>
        <v>0</v>
      </c>
      <c r="CX83" s="168">
        <f t="shared" si="179"/>
        <v>0</v>
      </c>
      <c r="CY83" s="168">
        <f t="shared" si="179"/>
        <v>0</v>
      </c>
      <c r="CZ83" s="168">
        <f t="shared" si="179"/>
        <v>0</v>
      </c>
      <c r="DA83" s="168">
        <f t="shared" si="179"/>
        <v>0</v>
      </c>
      <c r="DB83" s="168">
        <f t="shared" si="179"/>
        <v>0</v>
      </c>
      <c r="DC83" s="168">
        <f t="shared" si="179"/>
        <v>0</v>
      </c>
      <c r="DD83" s="168">
        <f t="shared" si="179"/>
        <v>0</v>
      </c>
      <c r="DE83" s="168">
        <f t="shared" si="179"/>
        <v>0</v>
      </c>
      <c r="DF83" s="168">
        <f t="shared" si="179"/>
        <v>0</v>
      </c>
      <c r="DG83" s="168">
        <f t="shared" si="179"/>
        <v>0</v>
      </c>
      <c r="DH83" s="168">
        <f t="shared" si="179"/>
        <v>0</v>
      </c>
      <c r="DI83" s="168">
        <f t="shared" si="179"/>
        <v>0</v>
      </c>
      <c r="DJ83" s="168">
        <f t="shared" si="179"/>
        <v>0</v>
      </c>
      <c r="DK83" s="168">
        <f t="shared" si="179"/>
        <v>0</v>
      </c>
      <c r="DL83" s="168">
        <f t="shared" si="179"/>
        <v>0</v>
      </c>
      <c r="DM83" s="168">
        <f t="shared" si="179"/>
        <v>0</v>
      </c>
      <c r="DN83" s="168">
        <f t="shared" si="179"/>
        <v>0</v>
      </c>
      <c r="DO83" s="168">
        <f t="shared" si="179"/>
        <v>0</v>
      </c>
      <c r="DP83" s="168">
        <f t="shared" si="179"/>
        <v>0</v>
      </c>
      <c r="DQ83" s="168">
        <f t="shared" si="179"/>
        <v>0</v>
      </c>
      <c r="DR83" s="168">
        <f t="shared" si="179"/>
        <v>0</v>
      </c>
      <c r="DS83" s="168">
        <f t="shared" si="179"/>
        <v>0</v>
      </c>
      <c r="DT83" s="168">
        <f t="shared" si="179"/>
        <v>0</v>
      </c>
      <c r="DU83" s="168">
        <f t="shared" ref="DU83:EQ83" si="180">DT86</f>
        <v>0</v>
      </c>
      <c r="DV83" s="168">
        <f t="shared" si="180"/>
        <v>0</v>
      </c>
      <c r="DW83" s="168">
        <f t="shared" si="180"/>
        <v>0</v>
      </c>
      <c r="DX83" s="168">
        <f t="shared" si="180"/>
        <v>0</v>
      </c>
      <c r="DY83" s="168">
        <f t="shared" si="180"/>
        <v>0</v>
      </c>
      <c r="DZ83" s="168">
        <f t="shared" si="180"/>
        <v>0</v>
      </c>
      <c r="EA83" s="168">
        <f t="shared" si="180"/>
        <v>0</v>
      </c>
      <c r="EB83" s="168">
        <f t="shared" si="180"/>
        <v>0</v>
      </c>
      <c r="EC83" s="168">
        <f t="shared" si="180"/>
        <v>0</v>
      </c>
      <c r="ED83" s="1320">
        <f t="shared" si="180"/>
        <v>0</v>
      </c>
      <c r="EE83" s="168">
        <f t="shared" si="180"/>
        <v>0</v>
      </c>
      <c r="EF83" s="168">
        <f t="shared" si="180"/>
        <v>0</v>
      </c>
      <c r="EG83" s="168">
        <f t="shared" si="180"/>
        <v>0</v>
      </c>
      <c r="EH83" s="168">
        <f t="shared" si="180"/>
        <v>0</v>
      </c>
      <c r="EI83" s="168">
        <f t="shared" si="180"/>
        <v>0</v>
      </c>
      <c r="EJ83" s="168">
        <f t="shared" si="180"/>
        <v>0</v>
      </c>
      <c r="EK83" s="168">
        <f t="shared" si="180"/>
        <v>0</v>
      </c>
      <c r="EL83" s="168">
        <f t="shared" si="180"/>
        <v>0</v>
      </c>
      <c r="EM83" s="168">
        <f t="shared" si="180"/>
        <v>0</v>
      </c>
      <c r="EN83" s="168">
        <f t="shared" si="180"/>
        <v>0</v>
      </c>
      <c r="EO83" s="168">
        <f t="shared" si="180"/>
        <v>0</v>
      </c>
      <c r="EP83" s="168">
        <f t="shared" si="180"/>
        <v>0</v>
      </c>
      <c r="EQ83" s="168">
        <f t="shared" si="180"/>
        <v>0</v>
      </c>
    </row>
    <row r="84" spans="3:147" ht="11.25" customHeight="1">
      <c r="C84" s="1052"/>
      <c r="D84" s="169" t="s">
        <v>231</v>
      </c>
      <c r="H84" s="146">
        <f>'A&amp;R'!M39</f>
        <v>46326</v>
      </c>
      <c r="J84" s="170">
        <f>SUM(L84:EQ84)</f>
        <v>0</v>
      </c>
      <c r="K84" s="98"/>
      <c r="L84" s="171">
        <f>L58*(L$14&lt;$H$58)</f>
        <v>0</v>
      </c>
      <c r="M84" s="171">
        <f t="shared" ref="M84:BX84" si="181">M58*(M$14&lt;$H$58)</f>
        <v>0</v>
      </c>
      <c r="N84" s="171">
        <f t="shared" si="181"/>
        <v>0</v>
      </c>
      <c r="O84" s="171">
        <f t="shared" si="181"/>
        <v>0</v>
      </c>
      <c r="P84" s="171">
        <f t="shared" si="181"/>
        <v>0</v>
      </c>
      <c r="Q84" s="171">
        <f t="shared" si="181"/>
        <v>0</v>
      </c>
      <c r="R84" s="171">
        <f t="shared" si="181"/>
        <v>0</v>
      </c>
      <c r="S84" s="171">
        <f t="shared" si="181"/>
        <v>0</v>
      </c>
      <c r="T84" s="171">
        <f t="shared" si="181"/>
        <v>0</v>
      </c>
      <c r="U84" s="171">
        <f t="shared" si="181"/>
        <v>0</v>
      </c>
      <c r="V84" s="171">
        <f t="shared" si="181"/>
        <v>0</v>
      </c>
      <c r="W84" s="171">
        <f t="shared" si="181"/>
        <v>0</v>
      </c>
      <c r="X84" s="171">
        <f t="shared" si="181"/>
        <v>0</v>
      </c>
      <c r="Y84" s="171">
        <f t="shared" si="181"/>
        <v>0</v>
      </c>
      <c r="Z84" s="171">
        <f t="shared" si="181"/>
        <v>0</v>
      </c>
      <c r="AA84" s="171">
        <f t="shared" si="181"/>
        <v>0</v>
      </c>
      <c r="AB84" s="171">
        <f t="shared" si="181"/>
        <v>0</v>
      </c>
      <c r="AC84" s="171">
        <f t="shared" si="181"/>
        <v>0</v>
      </c>
      <c r="AD84" s="171">
        <f t="shared" si="181"/>
        <v>0</v>
      </c>
      <c r="AE84" s="171">
        <f t="shared" si="181"/>
        <v>0</v>
      </c>
      <c r="AF84" s="171">
        <f t="shared" si="181"/>
        <v>0</v>
      </c>
      <c r="AG84" s="171">
        <f t="shared" si="181"/>
        <v>0</v>
      </c>
      <c r="AH84" s="171">
        <f t="shared" si="181"/>
        <v>0</v>
      </c>
      <c r="AI84" s="171">
        <f t="shared" si="181"/>
        <v>0</v>
      </c>
      <c r="AJ84" s="171">
        <f t="shared" si="181"/>
        <v>0</v>
      </c>
      <c r="AK84" s="171">
        <f t="shared" si="181"/>
        <v>0</v>
      </c>
      <c r="AL84" s="171">
        <f t="shared" si="181"/>
        <v>0</v>
      </c>
      <c r="AM84" s="171">
        <f t="shared" si="181"/>
        <v>0</v>
      </c>
      <c r="AN84" s="171">
        <f t="shared" si="181"/>
        <v>0</v>
      </c>
      <c r="AO84" s="171">
        <f t="shared" si="181"/>
        <v>0</v>
      </c>
      <c r="AP84" s="171">
        <f t="shared" si="181"/>
        <v>0</v>
      </c>
      <c r="AQ84" s="171">
        <f t="shared" si="181"/>
        <v>0</v>
      </c>
      <c r="AR84" s="171">
        <f t="shared" si="181"/>
        <v>0</v>
      </c>
      <c r="AS84" s="171">
        <f t="shared" si="181"/>
        <v>0</v>
      </c>
      <c r="AT84" s="171">
        <f t="shared" si="181"/>
        <v>0</v>
      </c>
      <c r="AU84" s="171">
        <f t="shared" si="181"/>
        <v>0</v>
      </c>
      <c r="AV84" s="171">
        <f t="shared" si="181"/>
        <v>0</v>
      </c>
      <c r="AW84" s="171">
        <f t="shared" si="181"/>
        <v>0</v>
      </c>
      <c r="AX84" s="171">
        <f t="shared" si="181"/>
        <v>0</v>
      </c>
      <c r="AY84" s="171">
        <f t="shared" si="181"/>
        <v>0</v>
      </c>
      <c r="AZ84" s="171">
        <f t="shared" si="181"/>
        <v>0</v>
      </c>
      <c r="BA84" s="171">
        <f t="shared" si="181"/>
        <v>0</v>
      </c>
      <c r="BB84" s="171">
        <f t="shared" si="181"/>
        <v>0</v>
      </c>
      <c r="BC84" s="171">
        <f t="shared" si="181"/>
        <v>0</v>
      </c>
      <c r="BD84" s="171">
        <f t="shared" si="181"/>
        <v>0</v>
      </c>
      <c r="BE84" s="171">
        <f t="shared" si="181"/>
        <v>0</v>
      </c>
      <c r="BF84" s="171">
        <f t="shared" si="181"/>
        <v>0</v>
      </c>
      <c r="BG84" s="171">
        <f t="shared" si="181"/>
        <v>0</v>
      </c>
      <c r="BH84" s="171">
        <f t="shared" si="181"/>
        <v>0</v>
      </c>
      <c r="BI84" s="171">
        <f t="shared" si="181"/>
        <v>0</v>
      </c>
      <c r="BJ84" s="171">
        <f t="shared" si="181"/>
        <v>0</v>
      </c>
      <c r="BK84" s="171">
        <f t="shared" si="181"/>
        <v>0</v>
      </c>
      <c r="BL84" s="171">
        <f t="shared" si="181"/>
        <v>0</v>
      </c>
      <c r="BM84" s="171">
        <f t="shared" si="181"/>
        <v>0</v>
      </c>
      <c r="BN84" s="171">
        <f t="shared" si="181"/>
        <v>0</v>
      </c>
      <c r="BO84" s="171">
        <f t="shared" si="181"/>
        <v>0</v>
      </c>
      <c r="BP84" s="171">
        <f t="shared" si="181"/>
        <v>0</v>
      </c>
      <c r="BQ84" s="171">
        <f t="shared" si="181"/>
        <v>0</v>
      </c>
      <c r="BR84" s="171">
        <f t="shared" si="181"/>
        <v>0</v>
      </c>
      <c r="BS84" s="171">
        <f t="shared" si="181"/>
        <v>0</v>
      </c>
      <c r="BT84" s="171">
        <f t="shared" si="181"/>
        <v>0</v>
      </c>
      <c r="BU84" s="171">
        <f t="shared" si="181"/>
        <v>0</v>
      </c>
      <c r="BV84" s="171">
        <f t="shared" si="181"/>
        <v>0</v>
      </c>
      <c r="BW84" s="171">
        <f t="shared" si="181"/>
        <v>0</v>
      </c>
      <c r="BX84" s="171">
        <f t="shared" si="181"/>
        <v>0</v>
      </c>
      <c r="BY84" s="171">
        <f t="shared" ref="BY84:DT84" si="182">BY58*(BY$14&lt;$H$58)</f>
        <v>0</v>
      </c>
      <c r="BZ84" s="171">
        <f t="shared" si="182"/>
        <v>0</v>
      </c>
      <c r="CA84" s="171">
        <f t="shared" si="182"/>
        <v>0</v>
      </c>
      <c r="CB84" s="171">
        <f t="shared" si="182"/>
        <v>0</v>
      </c>
      <c r="CC84" s="171">
        <f t="shared" si="182"/>
        <v>0</v>
      </c>
      <c r="CD84" s="171">
        <f t="shared" si="182"/>
        <v>0</v>
      </c>
      <c r="CE84" s="171">
        <f t="shared" si="182"/>
        <v>0</v>
      </c>
      <c r="CF84" s="171">
        <f t="shared" si="182"/>
        <v>0</v>
      </c>
      <c r="CG84" s="171">
        <f t="shared" si="182"/>
        <v>0</v>
      </c>
      <c r="CH84" s="171">
        <f t="shared" si="182"/>
        <v>0</v>
      </c>
      <c r="CI84" s="171">
        <f t="shared" si="182"/>
        <v>0</v>
      </c>
      <c r="CJ84" s="171">
        <f t="shared" si="182"/>
        <v>0</v>
      </c>
      <c r="CK84" s="171">
        <f t="shared" si="182"/>
        <v>0</v>
      </c>
      <c r="CL84" s="171">
        <f t="shared" si="182"/>
        <v>0</v>
      </c>
      <c r="CM84" s="171">
        <f t="shared" si="182"/>
        <v>0</v>
      </c>
      <c r="CN84" s="171">
        <f t="shared" si="182"/>
        <v>0</v>
      </c>
      <c r="CO84" s="171">
        <f t="shared" si="182"/>
        <v>0</v>
      </c>
      <c r="CP84" s="171">
        <f t="shared" si="182"/>
        <v>0</v>
      </c>
      <c r="CQ84" s="171">
        <f t="shared" si="182"/>
        <v>0</v>
      </c>
      <c r="CR84" s="171">
        <f t="shared" si="182"/>
        <v>0</v>
      </c>
      <c r="CS84" s="171">
        <f t="shared" si="182"/>
        <v>0</v>
      </c>
      <c r="CT84" s="171">
        <f t="shared" si="182"/>
        <v>0</v>
      </c>
      <c r="CU84" s="171">
        <f t="shared" si="182"/>
        <v>0</v>
      </c>
      <c r="CV84" s="171">
        <f t="shared" si="182"/>
        <v>0</v>
      </c>
      <c r="CW84" s="171">
        <f t="shared" si="182"/>
        <v>0</v>
      </c>
      <c r="CX84" s="171">
        <f t="shared" si="182"/>
        <v>0</v>
      </c>
      <c r="CY84" s="171">
        <f t="shared" si="182"/>
        <v>0</v>
      </c>
      <c r="CZ84" s="171">
        <f t="shared" si="182"/>
        <v>0</v>
      </c>
      <c r="DA84" s="171">
        <f t="shared" si="182"/>
        <v>0</v>
      </c>
      <c r="DB84" s="171">
        <f t="shared" si="182"/>
        <v>0</v>
      </c>
      <c r="DC84" s="171">
        <f t="shared" si="182"/>
        <v>0</v>
      </c>
      <c r="DD84" s="171">
        <f t="shared" si="182"/>
        <v>0</v>
      </c>
      <c r="DE84" s="171">
        <f t="shared" si="182"/>
        <v>0</v>
      </c>
      <c r="DF84" s="171">
        <f t="shared" si="182"/>
        <v>0</v>
      </c>
      <c r="DG84" s="171">
        <f t="shared" si="182"/>
        <v>0</v>
      </c>
      <c r="DH84" s="171">
        <f t="shared" si="182"/>
        <v>0</v>
      </c>
      <c r="DI84" s="171">
        <f t="shared" si="182"/>
        <v>0</v>
      </c>
      <c r="DJ84" s="171">
        <f t="shared" si="182"/>
        <v>0</v>
      </c>
      <c r="DK84" s="171">
        <f t="shared" si="182"/>
        <v>0</v>
      </c>
      <c r="DL84" s="171">
        <f t="shared" si="182"/>
        <v>0</v>
      </c>
      <c r="DM84" s="171">
        <f t="shared" si="182"/>
        <v>0</v>
      </c>
      <c r="DN84" s="171">
        <f t="shared" si="182"/>
        <v>0</v>
      </c>
      <c r="DO84" s="171">
        <f t="shared" si="182"/>
        <v>0</v>
      </c>
      <c r="DP84" s="171">
        <f t="shared" si="182"/>
        <v>0</v>
      </c>
      <c r="DQ84" s="171">
        <f t="shared" si="182"/>
        <v>0</v>
      </c>
      <c r="DR84" s="171">
        <f t="shared" si="182"/>
        <v>0</v>
      </c>
      <c r="DS84" s="171">
        <f t="shared" si="182"/>
        <v>0</v>
      </c>
      <c r="DT84" s="171">
        <f t="shared" si="182"/>
        <v>0</v>
      </c>
      <c r="DU84" s="171">
        <f t="shared" ref="DU84:EA84" si="183">DU58*(DU$14&lt;$H$58)</f>
        <v>0</v>
      </c>
      <c r="DV84" s="171">
        <f t="shared" si="183"/>
        <v>0</v>
      </c>
      <c r="DW84" s="171">
        <f t="shared" si="183"/>
        <v>0</v>
      </c>
      <c r="DX84" s="171">
        <f t="shared" si="183"/>
        <v>0</v>
      </c>
      <c r="DY84" s="171">
        <f t="shared" si="183"/>
        <v>0</v>
      </c>
      <c r="DZ84" s="171">
        <f t="shared" si="183"/>
        <v>0</v>
      </c>
      <c r="EA84" s="171">
        <f t="shared" si="183"/>
        <v>0</v>
      </c>
      <c r="EB84" s="171">
        <f t="shared" ref="EB84:EQ84" si="184">EB58*(EB$14&lt;$H$58)</f>
        <v>0</v>
      </c>
      <c r="EC84" s="171">
        <f t="shared" si="184"/>
        <v>0</v>
      </c>
      <c r="ED84" s="1321">
        <f t="shared" si="184"/>
        <v>0</v>
      </c>
      <c r="EE84" s="171">
        <f t="shared" si="184"/>
        <v>0</v>
      </c>
      <c r="EF84" s="171">
        <f t="shared" si="184"/>
        <v>0</v>
      </c>
      <c r="EG84" s="171">
        <f t="shared" si="184"/>
        <v>0</v>
      </c>
      <c r="EH84" s="171">
        <f t="shared" si="184"/>
        <v>0</v>
      </c>
      <c r="EI84" s="171">
        <f t="shared" si="184"/>
        <v>0</v>
      </c>
      <c r="EJ84" s="171">
        <f t="shared" si="184"/>
        <v>0</v>
      </c>
      <c r="EK84" s="171">
        <f t="shared" si="184"/>
        <v>0</v>
      </c>
      <c r="EL84" s="171">
        <f t="shared" si="184"/>
        <v>0</v>
      </c>
      <c r="EM84" s="171">
        <f t="shared" si="184"/>
        <v>0</v>
      </c>
      <c r="EN84" s="171">
        <f t="shared" si="184"/>
        <v>0</v>
      </c>
      <c r="EO84" s="171">
        <f t="shared" si="184"/>
        <v>0</v>
      </c>
      <c r="EP84" s="171">
        <f t="shared" si="184"/>
        <v>0</v>
      </c>
      <c r="EQ84" s="171">
        <f t="shared" si="184"/>
        <v>0</v>
      </c>
    </row>
    <row r="85" spans="3:147" ht="11.25" customHeight="1">
      <c r="C85" s="1052"/>
      <c r="D85" s="169" t="s">
        <v>232</v>
      </c>
      <c r="H85" s="146">
        <f>'A&amp;R'!N39</f>
        <v>49979</v>
      </c>
      <c r="J85" s="170">
        <f>SUM(L85:EQ85)</f>
        <v>0</v>
      </c>
      <c r="K85" s="98"/>
      <c r="L85" s="171">
        <f>SUM(L83:L84)*(L$14=$H85)</f>
        <v>0</v>
      </c>
      <c r="M85" s="171">
        <f>SUM(M83:M84)*(M$14=$H85)</f>
        <v>0</v>
      </c>
      <c r="N85" s="171">
        <f t="shared" ref="N85:BY85" si="185">SUM(N83:N84)*(N$14=$H85)</f>
        <v>0</v>
      </c>
      <c r="O85" s="171">
        <f t="shared" si="185"/>
        <v>0</v>
      </c>
      <c r="P85" s="171">
        <f t="shared" si="185"/>
        <v>0</v>
      </c>
      <c r="Q85" s="171">
        <f t="shared" si="185"/>
        <v>0</v>
      </c>
      <c r="R85" s="171">
        <f t="shared" si="185"/>
        <v>0</v>
      </c>
      <c r="S85" s="171">
        <f t="shared" si="185"/>
        <v>0</v>
      </c>
      <c r="T85" s="171">
        <f t="shared" si="185"/>
        <v>0</v>
      </c>
      <c r="U85" s="171">
        <f t="shared" si="185"/>
        <v>0</v>
      </c>
      <c r="V85" s="171">
        <f t="shared" si="185"/>
        <v>0</v>
      </c>
      <c r="W85" s="171">
        <f t="shared" si="185"/>
        <v>0</v>
      </c>
      <c r="X85" s="171">
        <f t="shared" si="185"/>
        <v>0</v>
      </c>
      <c r="Y85" s="171">
        <f t="shared" si="185"/>
        <v>0</v>
      </c>
      <c r="Z85" s="171">
        <f t="shared" si="185"/>
        <v>0</v>
      </c>
      <c r="AA85" s="171">
        <f t="shared" si="185"/>
        <v>0</v>
      </c>
      <c r="AB85" s="171">
        <f t="shared" si="185"/>
        <v>0</v>
      </c>
      <c r="AC85" s="171">
        <f t="shared" si="185"/>
        <v>0</v>
      </c>
      <c r="AD85" s="171">
        <f t="shared" si="185"/>
        <v>0</v>
      </c>
      <c r="AE85" s="171">
        <f t="shared" si="185"/>
        <v>0</v>
      </c>
      <c r="AF85" s="171">
        <f t="shared" si="185"/>
        <v>0</v>
      </c>
      <c r="AG85" s="171">
        <f t="shared" si="185"/>
        <v>0</v>
      </c>
      <c r="AH85" s="171">
        <f t="shared" si="185"/>
        <v>0</v>
      </c>
      <c r="AI85" s="171">
        <f t="shared" si="185"/>
        <v>0</v>
      </c>
      <c r="AJ85" s="171">
        <f t="shared" si="185"/>
        <v>0</v>
      </c>
      <c r="AK85" s="171">
        <f t="shared" si="185"/>
        <v>0</v>
      </c>
      <c r="AL85" s="171">
        <f t="shared" si="185"/>
        <v>0</v>
      </c>
      <c r="AM85" s="171">
        <f t="shared" si="185"/>
        <v>0</v>
      </c>
      <c r="AN85" s="171">
        <f t="shared" si="185"/>
        <v>0</v>
      </c>
      <c r="AO85" s="171">
        <f t="shared" si="185"/>
        <v>0</v>
      </c>
      <c r="AP85" s="171">
        <f t="shared" si="185"/>
        <v>0</v>
      </c>
      <c r="AQ85" s="171">
        <f t="shared" si="185"/>
        <v>0</v>
      </c>
      <c r="AR85" s="171">
        <f t="shared" si="185"/>
        <v>0</v>
      </c>
      <c r="AS85" s="171">
        <f t="shared" si="185"/>
        <v>0</v>
      </c>
      <c r="AT85" s="171">
        <f t="shared" si="185"/>
        <v>0</v>
      </c>
      <c r="AU85" s="171">
        <f t="shared" si="185"/>
        <v>0</v>
      </c>
      <c r="AV85" s="171">
        <f t="shared" si="185"/>
        <v>0</v>
      </c>
      <c r="AW85" s="171">
        <f t="shared" si="185"/>
        <v>0</v>
      </c>
      <c r="AX85" s="171">
        <f t="shared" si="185"/>
        <v>0</v>
      </c>
      <c r="AY85" s="171">
        <f t="shared" si="185"/>
        <v>0</v>
      </c>
      <c r="AZ85" s="171">
        <f t="shared" si="185"/>
        <v>0</v>
      </c>
      <c r="BA85" s="171">
        <f t="shared" si="185"/>
        <v>0</v>
      </c>
      <c r="BB85" s="171">
        <f t="shared" si="185"/>
        <v>0</v>
      </c>
      <c r="BC85" s="171">
        <f t="shared" si="185"/>
        <v>0</v>
      </c>
      <c r="BD85" s="171">
        <f t="shared" si="185"/>
        <v>0</v>
      </c>
      <c r="BE85" s="171">
        <f t="shared" si="185"/>
        <v>0</v>
      </c>
      <c r="BF85" s="171">
        <f t="shared" si="185"/>
        <v>0</v>
      </c>
      <c r="BG85" s="171">
        <f t="shared" si="185"/>
        <v>0</v>
      </c>
      <c r="BH85" s="171">
        <f t="shared" si="185"/>
        <v>0</v>
      </c>
      <c r="BI85" s="171">
        <f t="shared" si="185"/>
        <v>0</v>
      </c>
      <c r="BJ85" s="171">
        <f t="shared" si="185"/>
        <v>0</v>
      </c>
      <c r="BK85" s="171">
        <f t="shared" si="185"/>
        <v>0</v>
      </c>
      <c r="BL85" s="171">
        <f t="shared" si="185"/>
        <v>0</v>
      </c>
      <c r="BM85" s="171">
        <f t="shared" si="185"/>
        <v>0</v>
      </c>
      <c r="BN85" s="171">
        <f t="shared" si="185"/>
        <v>0</v>
      </c>
      <c r="BO85" s="171">
        <f t="shared" si="185"/>
        <v>0</v>
      </c>
      <c r="BP85" s="171">
        <f t="shared" si="185"/>
        <v>0</v>
      </c>
      <c r="BQ85" s="171">
        <f t="shared" si="185"/>
        <v>0</v>
      </c>
      <c r="BR85" s="171">
        <f t="shared" si="185"/>
        <v>0</v>
      </c>
      <c r="BS85" s="171">
        <f t="shared" si="185"/>
        <v>0</v>
      </c>
      <c r="BT85" s="171">
        <f t="shared" si="185"/>
        <v>0</v>
      </c>
      <c r="BU85" s="171">
        <f t="shared" si="185"/>
        <v>0</v>
      </c>
      <c r="BV85" s="171">
        <f t="shared" si="185"/>
        <v>0</v>
      </c>
      <c r="BW85" s="171">
        <f t="shared" si="185"/>
        <v>0</v>
      </c>
      <c r="BX85" s="171">
        <f t="shared" si="185"/>
        <v>0</v>
      </c>
      <c r="BY85" s="171">
        <f t="shared" si="185"/>
        <v>0</v>
      </c>
      <c r="BZ85" s="171">
        <f t="shared" ref="BZ85:DT85" si="186">SUM(BZ83:BZ84)*(BZ$14=$H85)</f>
        <v>0</v>
      </c>
      <c r="CA85" s="171">
        <f t="shared" si="186"/>
        <v>0</v>
      </c>
      <c r="CB85" s="171">
        <f t="shared" si="186"/>
        <v>0</v>
      </c>
      <c r="CC85" s="171">
        <f t="shared" si="186"/>
        <v>0</v>
      </c>
      <c r="CD85" s="171">
        <f t="shared" si="186"/>
        <v>0</v>
      </c>
      <c r="CE85" s="171">
        <f t="shared" si="186"/>
        <v>0</v>
      </c>
      <c r="CF85" s="171">
        <f t="shared" si="186"/>
        <v>0</v>
      </c>
      <c r="CG85" s="171">
        <f t="shared" si="186"/>
        <v>0</v>
      </c>
      <c r="CH85" s="171">
        <f t="shared" si="186"/>
        <v>0</v>
      </c>
      <c r="CI85" s="171">
        <f t="shared" si="186"/>
        <v>0</v>
      </c>
      <c r="CJ85" s="171">
        <f t="shared" si="186"/>
        <v>0</v>
      </c>
      <c r="CK85" s="171">
        <f t="shared" si="186"/>
        <v>0</v>
      </c>
      <c r="CL85" s="171">
        <f t="shared" si="186"/>
        <v>0</v>
      </c>
      <c r="CM85" s="171">
        <f t="shared" si="186"/>
        <v>0</v>
      </c>
      <c r="CN85" s="171">
        <f t="shared" si="186"/>
        <v>0</v>
      </c>
      <c r="CO85" s="171">
        <f t="shared" si="186"/>
        <v>0</v>
      </c>
      <c r="CP85" s="171">
        <f t="shared" si="186"/>
        <v>0</v>
      </c>
      <c r="CQ85" s="171">
        <f t="shared" si="186"/>
        <v>0</v>
      </c>
      <c r="CR85" s="171">
        <f t="shared" si="186"/>
        <v>0</v>
      </c>
      <c r="CS85" s="171">
        <f t="shared" si="186"/>
        <v>0</v>
      </c>
      <c r="CT85" s="171">
        <f t="shared" si="186"/>
        <v>0</v>
      </c>
      <c r="CU85" s="171">
        <f t="shared" si="186"/>
        <v>0</v>
      </c>
      <c r="CV85" s="171">
        <f t="shared" si="186"/>
        <v>0</v>
      </c>
      <c r="CW85" s="171">
        <f t="shared" si="186"/>
        <v>0</v>
      </c>
      <c r="CX85" s="171">
        <f t="shared" si="186"/>
        <v>0</v>
      </c>
      <c r="CY85" s="171">
        <f t="shared" si="186"/>
        <v>0</v>
      </c>
      <c r="CZ85" s="171">
        <f t="shared" si="186"/>
        <v>0</v>
      </c>
      <c r="DA85" s="171">
        <f t="shared" si="186"/>
        <v>0</v>
      </c>
      <c r="DB85" s="171">
        <f t="shared" si="186"/>
        <v>0</v>
      </c>
      <c r="DC85" s="171">
        <f t="shared" si="186"/>
        <v>0</v>
      </c>
      <c r="DD85" s="171">
        <f t="shared" si="186"/>
        <v>0</v>
      </c>
      <c r="DE85" s="171">
        <f t="shared" si="186"/>
        <v>0</v>
      </c>
      <c r="DF85" s="171">
        <f t="shared" si="186"/>
        <v>0</v>
      </c>
      <c r="DG85" s="171">
        <f t="shared" si="186"/>
        <v>0</v>
      </c>
      <c r="DH85" s="171">
        <f t="shared" si="186"/>
        <v>0</v>
      </c>
      <c r="DI85" s="171">
        <f t="shared" si="186"/>
        <v>0</v>
      </c>
      <c r="DJ85" s="171">
        <f t="shared" si="186"/>
        <v>0</v>
      </c>
      <c r="DK85" s="171">
        <f t="shared" si="186"/>
        <v>0</v>
      </c>
      <c r="DL85" s="171">
        <f t="shared" si="186"/>
        <v>0</v>
      </c>
      <c r="DM85" s="171">
        <f t="shared" si="186"/>
        <v>0</v>
      </c>
      <c r="DN85" s="171">
        <f t="shared" si="186"/>
        <v>0</v>
      </c>
      <c r="DO85" s="171">
        <f t="shared" si="186"/>
        <v>0</v>
      </c>
      <c r="DP85" s="171">
        <f t="shared" si="186"/>
        <v>0</v>
      </c>
      <c r="DQ85" s="171">
        <f t="shared" si="186"/>
        <v>0</v>
      </c>
      <c r="DR85" s="171">
        <f t="shared" si="186"/>
        <v>0</v>
      </c>
      <c r="DS85" s="171">
        <f t="shared" si="186"/>
        <v>0</v>
      </c>
      <c r="DT85" s="171">
        <f t="shared" si="186"/>
        <v>0</v>
      </c>
      <c r="DU85" s="171">
        <f t="shared" ref="DU85:EA85" si="187">SUM(DU83:DU84)*(DU$14=$H85)</f>
        <v>0</v>
      </c>
      <c r="DV85" s="171">
        <f t="shared" si="187"/>
        <v>0</v>
      </c>
      <c r="DW85" s="171">
        <f t="shared" si="187"/>
        <v>0</v>
      </c>
      <c r="DX85" s="171">
        <f t="shared" si="187"/>
        <v>0</v>
      </c>
      <c r="DY85" s="171">
        <f t="shared" si="187"/>
        <v>0</v>
      </c>
      <c r="DZ85" s="171">
        <f t="shared" si="187"/>
        <v>0</v>
      </c>
      <c r="EA85" s="171">
        <f t="shared" si="187"/>
        <v>0</v>
      </c>
      <c r="EB85" s="171">
        <f t="shared" ref="EB85:EQ85" si="188">SUM(EB83:EB84)*(EB$14=$H85)</f>
        <v>0</v>
      </c>
      <c r="EC85" s="171">
        <f t="shared" si="188"/>
        <v>0</v>
      </c>
      <c r="ED85" s="1321">
        <f t="shared" si="188"/>
        <v>0</v>
      </c>
      <c r="EE85" s="171">
        <f t="shared" si="188"/>
        <v>0</v>
      </c>
      <c r="EF85" s="171">
        <f t="shared" si="188"/>
        <v>0</v>
      </c>
      <c r="EG85" s="171">
        <f t="shared" si="188"/>
        <v>0</v>
      </c>
      <c r="EH85" s="171">
        <f t="shared" si="188"/>
        <v>0</v>
      </c>
      <c r="EI85" s="171">
        <f t="shared" si="188"/>
        <v>0</v>
      </c>
      <c r="EJ85" s="171">
        <f t="shared" si="188"/>
        <v>0</v>
      </c>
      <c r="EK85" s="171">
        <f t="shared" si="188"/>
        <v>0</v>
      </c>
      <c r="EL85" s="171">
        <f t="shared" si="188"/>
        <v>0</v>
      </c>
      <c r="EM85" s="171">
        <f t="shared" si="188"/>
        <v>0</v>
      </c>
      <c r="EN85" s="171">
        <f t="shared" si="188"/>
        <v>0</v>
      </c>
      <c r="EO85" s="171">
        <f t="shared" si="188"/>
        <v>0</v>
      </c>
      <c r="EP85" s="171">
        <f t="shared" si="188"/>
        <v>0</v>
      </c>
      <c r="EQ85" s="171">
        <f t="shared" si="188"/>
        <v>0</v>
      </c>
    </row>
    <row r="86" spans="3:147" ht="11.25" customHeight="1">
      <c r="C86" s="1058"/>
      <c r="D86" s="179" t="s">
        <v>233</v>
      </c>
      <c r="E86" s="180"/>
      <c r="F86" s="180"/>
      <c r="G86" s="180"/>
      <c r="H86" s="181"/>
      <c r="I86" s="860"/>
      <c r="J86" s="183"/>
      <c r="K86" s="98"/>
      <c r="L86" s="184">
        <f>L83+L84-L85</f>
        <v>0</v>
      </c>
      <c r="M86" s="184">
        <f t="shared" ref="M86:BX86" si="189">M83+M84-M85</f>
        <v>0</v>
      </c>
      <c r="N86" s="184">
        <f t="shared" si="189"/>
        <v>0</v>
      </c>
      <c r="O86" s="184">
        <f t="shared" si="189"/>
        <v>0</v>
      </c>
      <c r="P86" s="184">
        <f t="shared" si="189"/>
        <v>0</v>
      </c>
      <c r="Q86" s="184">
        <f t="shared" si="189"/>
        <v>0</v>
      </c>
      <c r="R86" s="184">
        <f t="shared" si="189"/>
        <v>0</v>
      </c>
      <c r="S86" s="184">
        <f t="shared" si="189"/>
        <v>0</v>
      </c>
      <c r="T86" s="184">
        <f t="shared" si="189"/>
        <v>0</v>
      </c>
      <c r="U86" s="184">
        <f t="shared" si="189"/>
        <v>0</v>
      </c>
      <c r="V86" s="184">
        <f t="shared" si="189"/>
        <v>0</v>
      </c>
      <c r="W86" s="184">
        <f t="shared" si="189"/>
        <v>0</v>
      </c>
      <c r="X86" s="184">
        <f t="shared" si="189"/>
        <v>0</v>
      </c>
      <c r="Y86" s="184">
        <f t="shared" si="189"/>
        <v>0</v>
      </c>
      <c r="Z86" s="184">
        <f t="shared" si="189"/>
        <v>0</v>
      </c>
      <c r="AA86" s="184">
        <f t="shared" si="189"/>
        <v>0</v>
      </c>
      <c r="AB86" s="184">
        <f t="shared" si="189"/>
        <v>0</v>
      </c>
      <c r="AC86" s="184">
        <f t="shared" si="189"/>
        <v>0</v>
      </c>
      <c r="AD86" s="184">
        <f t="shared" si="189"/>
        <v>0</v>
      </c>
      <c r="AE86" s="184">
        <f t="shared" si="189"/>
        <v>0</v>
      </c>
      <c r="AF86" s="184">
        <f t="shared" si="189"/>
        <v>0</v>
      </c>
      <c r="AG86" s="184">
        <f t="shared" si="189"/>
        <v>0</v>
      </c>
      <c r="AH86" s="184">
        <f t="shared" si="189"/>
        <v>0</v>
      </c>
      <c r="AI86" s="184">
        <f t="shared" si="189"/>
        <v>0</v>
      </c>
      <c r="AJ86" s="184">
        <f t="shared" si="189"/>
        <v>0</v>
      </c>
      <c r="AK86" s="184">
        <f t="shared" si="189"/>
        <v>0</v>
      </c>
      <c r="AL86" s="184">
        <f t="shared" si="189"/>
        <v>0</v>
      </c>
      <c r="AM86" s="184">
        <f t="shared" si="189"/>
        <v>0</v>
      </c>
      <c r="AN86" s="184">
        <f t="shared" si="189"/>
        <v>0</v>
      </c>
      <c r="AO86" s="184">
        <f t="shared" si="189"/>
        <v>0</v>
      </c>
      <c r="AP86" s="184">
        <f t="shared" si="189"/>
        <v>0</v>
      </c>
      <c r="AQ86" s="184">
        <f t="shared" si="189"/>
        <v>0</v>
      </c>
      <c r="AR86" s="184">
        <f t="shared" si="189"/>
        <v>0</v>
      </c>
      <c r="AS86" s="184">
        <f t="shared" si="189"/>
        <v>0</v>
      </c>
      <c r="AT86" s="184">
        <f t="shared" si="189"/>
        <v>0</v>
      </c>
      <c r="AU86" s="184">
        <f t="shared" si="189"/>
        <v>0</v>
      </c>
      <c r="AV86" s="184">
        <f t="shared" si="189"/>
        <v>0</v>
      </c>
      <c r="AW86" s="184">
        <f t="shared" si="189"/>
        <v>0</v>
      </c>
      <c r="AX86" s="184">
        <f t="shared" si="189"/>
        <v>0</v>
      </c>
      <c r="AY86" s="184">
        <f t="shared" si="189"/>
        <v>0</v>
      </c>
      <c r="AZ86" s="184">
        <f t="shared" si="189"/>
        <v>0</v>
      </c>
      <c r="BA86" s="184">
        <f t="shared" si="189"/>
        <v>0</v>
      </c>
      <c r="BB86" s="184">
        <f t="shared" si="189"/>
        <v>0</v>
      </c>
      <c r="BC86" s="184">
        <f t="shared" si="189"/>
        <v>0</v>
      </c>
      <c r="BD86" s="184">
        <f t="shared" si="189"/>
        <v>0</v>
      </c>
      <c r="BE86" s="184">
        <f t="shared" si="189"/>
        <v>0</v>
      </c>
      <c r="BF86" s="184">
        <f t="shared" si="189"/>
        <v>0</v>
      </c>
      <c r="BG86" s="184">
        <f t="shared" si="189"/>
        <v>0</v>
      </c>
      <c r="BH86" s="184">
        <f t="shared" si="189"/>
        <v>0</v>
      </c>
      <c r="BI86" s="184">
        <f t="shared" si="189"/>
        <v>0</v>
      </c>
      <c r="BJ86" s="184">
        <f t="shared" si="189"/>
        <v>0</v>
      </c>
      <c r="BK86" s="184">
        <f t="shared" si="189"/>
        <v>0</v>
      </c>
      <c r="BL86" s="184">
        <f t="shared" si="189"/>
        <v>0</v>
      </c>
      <c r="BM86" s="184">
        <f t="shared" si="189"/>
        <v>0</v>
      </c>
      <c r="BN86" s="184">
        <f t="shared" si="189"/>
        <v>0</v>
      </c>
      <c r="BO86" s="184">
        <f t="shared" si="189"/>
        <v>0</v>
      </c>
      <c r="BP86" s="184">
        <f t="shared" si="189"/>
        <v>0</v>
      </c>
      <c r="BQ86" s="184">
        <f t="shared" si="189"/>
        <v>0</v>
      </c>
      <c r="BR86" s="184">
        <f t="shared" si="189"/>
        <v>0</v>
      </c>
      <c r="BS86" s="184">
        <f t="shared" si="189"/>
        <v>0</v>
      </c>
      <c r="BT86" s="184">
        <f t="shared" si="189"/>
        <v>0</v>
      </c>
      <c r="BU86" s="184">
        <f t="shared" si="189"/>
        <v>0</v>
      </c>
      <c r="BV86" s="184">
        <f t="shared" si="189"/>
        <v>0</v>
      </c>
      <c r="BW86" s="184">
        <f t="shared" si="189"/>
        <v>0</v>
      </c>
      <c r="BX86" s="184">
        <f t="shared" si="189"/>
        <v>0</v>
      </c>
      <c r="BY86" s="184">
        <f t="shared" ref="BY86:DT86" si="190">BY83+BY84-BY85</f>
        <v>0</v>
      </c>
      <c r="BZ86" s="184">
        <f t="shared" si="190"/>
        <v>0</v>
      </c>
      <c r="CA86" s="184">
        <f t="shared" si="190"/>
        <v>0</v>
      </c>
      <c r="CB86" s="184">
        <f t="shared" si="190"/>
        <v>0</v>
      </c>
      <c r="CC86" s="184">
        <f t="shared" si="190"/>
        <v>0</v>
      </c>
      <c r="CD86" s="184">
        <f t="shared" si="190"/>
        <v>0</v>
      </c>
      <c r="CE86" s="184">
        <f t="shared" si="190"/>
        <v>0</v>
      </c>
      <c r="CF86" s="184">
        <f t="shared" si="190"/>
        <v>0</v>
      </c>
      <c r="CG86" s="184">
        <f t="shared" si="190"/>
        <v>0</v>
      </c>
      <c r="CH86" s="184">
        <f t="shared" si="190"/>
        <v>0</v>
      </c>
      <c r="CI86" s="184">
        <f t="shared" si="190"/>
        <v>0</v>
      </c>
      <c r="CJ86" s="184">
        <f t="shared" si="190"/>
        <v>0</v>
      </c>
      <c r="CK86" s="184">
        <f t="shared" si="190"/>
        <v>0</v>
      </c>
      <c r="CL86" s="184">
        <f t="shared" si="190"/>
        <v>0</v>
      </c>
      <c r="CM86" s="184">
        <f t="shared" si="190"/>
        <v>0</v>
      </c>
      <c r="CN86" s="184">
        <f t="shared" si="190"/>
        <v>0</v>
      </c>
      <c r="CO86" s="184">
        <f t="shared" si="190"/>
        <v>0</v>
      </c>
      <c r="CP86" s="184">
        <f t="shared" si="190"/>
        <v>0</v>
      </c>
      <c r="CQ86" s="184">
        <f t="shared" si="190"/>
        <v>0</v>
      </c>
      <c r="CR86" s="184">
        <f t="shared" si="190"/>
        <v>0</v>
      </c>
      <c r="CS86" s="184">
        <f t="shared" si="190"/>
        <v>0</v>
      </c>
      <c r="CT86" s="184">
        <f t="shared" si="190"/>
        <v>0</v>
      </c>
      <c r="CU86" s="184">
        <f t="shared" si="190"/>
        <v>0</v>
      </c>
      <c r="CV86" s="184">
        <f t="shared" si="190"/>
        <v>0</v>
      </c>
      <c r="CW86" s="184">
        <f t="shared" si="190"/>
        <v>0</v>
      </c>
      <c r="CX86" s="184">
        <f t="shared" si="190"/>
        <v>0</v>
      </c>
      <c r="CY86" s="184">
        <f t="shared" si="190"/>
        <v>0</v>
      </c>
      <c r="CZ86" s="184">
        <f t="shared" si="190"/>
        <v>0</v>
      </c>
      <c r="DA86" s="184">
        <f t="shared" si="190"/>
        <v>0</v>
      </c>
      <c r="DB86" s="184">
        <f t="shared" si="190"/>
        <v>0</v>
      </c>
      <c r="DC86" s="184">
        <f t="shared" si="190"/>
        <v>0</v>
      </c>
      <c r="DD86" s="184">
        <f t="shared" si="190"/>
        <v>0</v>
      </c>
      <c r="DE86" s="184">
        <f t="shared" si="190"/>
        <v>0</v>
      </c>
      <c r="DF86" s="184">
        <f t="shared" si="190"/>
        <v>0</v>
      </c>
      <c r="DG86" s="184">
        <f t="shared" si="190"/>
        <v>0</v>
      </c>
      <c r="DH86" s="184">
        <f t="shared" si="190"/>
        <v>0</v>
      </c>
      <c r="DI86" s="184">
        <f t="shared" si="190"/>
        <v>0</v>
      </c>
      <c r="DJ86" s="184">
        <f t="shared" si="190"/>
        <v>0</v>
      </c>
      <c r="DK86" s="184">
        <f t="shared" si="190"/>
        <v>0</v>
      </c>
      <c r="DL86" s="184">
        <f t="shared" si="190"/>
        <v>0</v>
      </c>
      <c r="DM86" s="184">
        <f t="shared" si="190"/>
        <v>0</v>
      </c>
      <c r="DN86" s="184">
        <f t="shared" si="190"/>
        <v>0</v>
      </c>
      <c r="DO86" s="184">
        <f t="shared" si="190"/>
        <v>0</v>
      </c>
      <c r="DP86" s="184">
        <f t="shared" si="190"/>
        <v>0</v>
      </c>
      <c r="DQ86" s="184">
        <f t="shared" si="190"/>
        <v>0</v>
      </c>
      <c r="DR86" s="184">
        <f t="shared" si="190"/>
        <v>0</v>
      </c>
      <c r="DS86" s="184">
        <f t="shared" si="190"/>
        <v>0</v>
      </c>
      <c r="DT86" s="184">
        <f t="shared" si="190"/>
        <v>0</v>
      </c>
      <c r="DU86" s="184">
        <f t="shared" ref="DU86:EA86" si="191">DU83+DU84-DU85</f>
        <v>0</v>
      </c>
      <c r="DV86" s="184">
        <f t="shared" si="191"/>
        <v>0</v>
      </c>
      <c r="DW86" s="184">
        <f t="shared" si="191"/>
        <v>0</v>
      </c>
      <c r="DX86" s="184">
        <f t="shared" si="191"/>
        <v>0</v>
      </c>
      <c r="DY86" s="184">
        <f t="shared" si="191"/>
        <v>0</v>
      </c>
      <c r="DZ86" s="184">
        <f t="shared" si="191"/>
        <v>0</v>
      </c>
      <c r="EA86" s="184">
        <f t="shared" si="191"/>
        <v>0</v>
      </c>
      <c r="EB86" s="184">
        <f t="shared" ref="EB86:EQ86" si="192">EB83+EB84-EB85</f>
        <v>0</v>
      </c>
      <c r="EC86" s="184">
        <f t="shared" si="192"/>
        <v>0</v>
      </c>
      <c r="ED86" s="1324">
        <f t="shared" si="192"/>
        <v>0</v>
      </c>
      <c r="EE86" s="184">
        <f t="shared" si="192"/>
        <v>0</v>
      </c>
      <c r="EF86" s="184">
        <f t="shared" si="192"/>
        <v>0</v>
      </c>
      <c r="EG86" s="184">
        <f t="shared" si="192"/>
        <v>0</v>
      </c>
      <c r="EH86" s="184">
        <f t="shared" si="192"/>
        <v>0</v>
      </c>
      <c r="EI86" s="184">
        <f t="shared" si="192"/>
        <v>0</v>
      </c>
      <c r="EJ86" s="184">
        <f t="shared" si="192"/>
        <v>0</v>
      </c>
      <c r="EK86" s="184">
        <f t="shared" si="192"/>
        <v>0</v>
      </c>
      <c r="EL86" s="184">
        <f t="shared" si="192"/>
        <v>0</v>
      </c>
      <c r="EM86" s="184">
        <f t="shared" si="192"/>
        <v>0</v>
      </c>
      <c r="EN86" s="184">
        <f t="shared" si="192"/>
        <v>0</v>
      </c>
      <c r="EO86" s="184">
        <f t="shared" si="192"/>
        <v>0</v>
      </c>
      <c r="EP86" s="184">
        <f t="shared" si="192"/>
        <v>0</v>
      </c>
      <c r="EQ86" s="184">
        <f t="shared" si="192"/>
        <v>0</v>
      </c>
    </row>
    <row r="87" spans="3:147" ht="11.25" customHeight="1">
      <c r="C87" s="1052"/>
      <c r="D87" s="169" t="s">
        <v>607</v>
      </c>
      <c r="J87" s="170"/>
      <c r="K87" s="98"/>
      <c r="L87" s="1062">
        <f>SUMIF('A&amp;R'!$AH$94:$AH$114,L$14,'A&amp;R'!$AJ$94:$AJ$114)</f>
        <v>0.1</v>
      </c>
      <c r="M87" s="1062">
        <f>SUMIF('A&amp;R'!$AH$94:$AH$114,M$14,'A&amp;R'!$AJ$94:$AJ$114)</f>
        <v>0</v>
      </c>
      <c r="N87" s="1062">
        <f>SUMIF('A&amp;R'!$AH$94:$AH$114,N$14,'A&amp;R'!$AJ$94:$AJ$114)</f>
        <v>0</v>
      </c>
      <c r="O87" s="1062">
        <f>SUMIF('A&amp;R'!$AH$94:$AH$114,O$14,'A&amp;R'!$AJ$94:$AJ$114)</f>
        <v>0</v>
      </c>
      <c r="P87" s="1062">
        <f>SUMIF('A&amp;R'!$AH$94:$AH$114,P$14,'A&amp;R'!$AJ$94:$AJ$114)</f>
        <v>0</v>
      </c>
      <c r="Q87" s="1062">
        <f>SUMIF('A&amp;R'!$AH$94:$AH$114,Q$14,'A&amp;R'!$AJ$94:$AJ$114)</f>
        <v>0</v>
      </c>
      <c r="R87" s="1062">
        <f>SUMIF('A&amp;R'!$AH$94:$AH$114,R$14,'A&amp;R'!$AJ$94:$AJ$114)</f>
        <v>0.1</v>
      </c>
      <c r="S87" s="1062">
        <f>SUMIF('A&amp;R'!$AH$94:$AH$114,S$14,'A&amp;R'!$AJ$94:$AJ$114)</f>
        <v>0</v>
      </c>
      <c r="T87" s="1062">
        <f>SUMIF('A&amp;R'!$AH$94:$AH$114,T$14,'A&amp;R'!$AJ$94:$AJ$114)</f>
        <v>0</v>
      </c>
      <c r="U87" s="1062">
        <f>SUMIF('A&amp;R'!$AH$94:$AH$114,U$14,'A&amp;R'!$AJ$94:$AJ$114)</f>
        <v>0</v>
      </c>
      <c r="V87" s="1062">
        <f>SUMIF('A&amp;R'!$AH$94:$AH$114,V$14,'A&amp;R'!$AJ$94:$AJ$114)</f>
        <v>0</v>
      </c>
      <c r="W87" s="1062">
        <f>SUMIF('A&amp;R'!$AH$94:$AH$114,W$14,'A&amp;R'!$AJ$94:$AJ$114)</f>
        <v>0</v>
      </c>
      <c r="X87" s="1062">
        <f>SUMIF('A&amp;R'!$AH$94:$AH$114,X$14,'A&amp;R'!$AJ$94:$AJ$114)</f>
        <v>0.1</v>
      </c>
      <c r="Y87" s="1062">
        <f>SUMIF('A&amp;R'!$AH$94:$AH$114,Y$14,'A&amp;R'!$AJ$94:$AJ$114)</f>
        <v>0</v>
      </c>
      <c r="Z87" s="1062">
        <f>SUMIF('A&amp;R'!$AH$94:$AH$114,Z$14,'A&amp;R'!$AJ$94:$AJ$114)</f>
        <v>0</v>
      </c>
      <c r="AA87" s="1062">
        <f>SUMIF('A&amp;R'!$AH$94:$AH$114,AA$14,'A&amp;R'!$AJ$94:$AJ$114)</f>
        <v>0</v>
      </c>
      <c r="AB87" s="1062">
        <f>SUMIF('A&amp;R'!$AH$94:$AH$114,AB$14,'A&amp;R'!$AJ$94:$AJ$114)</f>
        <v>0</v>
      </c>
      <c r="AC87" s="1062">
        <f>SUMIF('A&amp;R'!$AH$94:$AH$114,AC$14,'A&amp;R'!$AJ$94:$AJ$114)</f>
        <v>0</v>
      </c>
      <c r="AD87" s="1062">
        <f>SUMIF('A&amp;R'!$AH$94:$AH$114,AD$14,'A&amp;R'!$AJ$94:$AJ$114)</f>
        <v>0.1</v>
      </c>
      <c r="AE87" s="1062">
        <f>SUMIF('A&amp;R'!$AH$94:$AH$114,AE$14,'A&amp;R'!$AJ$94:$AJ$114)</f>
        <v>0</v>
      </c>
      <c r="AF87" s="1062">
        <f>SUMIF('A&amp;R'!$AH$94:$AH$114,AF$14,'A&amp;R'!$AJ$94:$AJ$114)</f>
        <v>0</v>
      </c>
      <c r="AG87" s="1062">
        <f>SUMIF('A&amp;R'!$AH$94:$AH$114,AG$14,'A&amp;R'!$AJ$94:$AJ$114)</f>
        <v>0</v>
      </c>
      <c r="AH87" s="1062">
        <f>SUMIF('A&amp;R'!$AH$94:$AH$114,AH$14,'A&amp;R'!$AJ$94:$AJ$114)</f>
        <v>0</v>
      </c>
      <c r="AI87" s="1062">
        <f>SUMIF('A&amp;R'!$AH$94:$AH$114,AI$14,'A&amp;R'!$AJ$94:$AJ$114)</f>
        <v>0</v>
      </c>
      <c r="AJ87" s="1062">
        <f>SUMIF('A&amp;R'!$AH$94:$AH$114,AJ$14,'A&amp;R'!$AJ$94:$AJ$114)</f>
        <v>0.1</v>
      </c>
      <c r="AK87" s="1062">
        <f>SUMIF('A&amp;R'!$AH$94:$AH$114,AK$14,'A&amp;R'!$AJ$94:$AJ$114)</f>
        <v>0</v>
      </c>
      <c r="AL87" s="1062">
        <f>SUMIF('A&amp;R'!$AH$94:$AH$114,AL$14,'A&amp;R'!$AJ$94:$AJ$114)</f>
        <v>0</v>
      </c>
      <c r="AM87" s="1062">
        <f>SUMIF('A&amp;R'!$AH$94:$AH$114,AM$14,'A&amp;R'!$AJ$94:$AJ$114)</f>
        <v>0</v>
      </c>
      <c r="AN87" s="1062">
        <f>SUMIF('A&amp;R'!$AH$94:$AH$114,AN$14,'A&amp;R'!$AJ$94:$AJ$114)</f>
        <v>0</v>
      </c>
      <c r="AO87" s="1062">
        <f>SUMIF('A&amp;R'!$AH$94:$AH$114,AO$14,'A&amp;R'!$AJ$94:$AJ$114)</f>
        <v>0</v>
      </c>
      <c r="AP87" s="1062">
        <f>SUMIF('A&amp;R'!$AH$94:$AH$114,AP$14,'A&amp;R'!$AJ$94:$AJ$114)</f>
        <v>0.1</v>
      </c>
      <c r="AQ87" s="1062">
        <f>SUMIF('A&amp;R'!$AH$94:$AH$114,AQ$14,'A&amp;R'!$AJ$94:$AJ$114)</f>
        <v>0</v>
      </c>
      <c r="AR87" s="1062">
        <f>SUMIF('A&amp;R'!$AH$94:$AH$114,AR$14,'A&amp;R'!$AJ$94:$AJ$114)</f>
        <v>0</v>
      </c>
      <c r="AS87" s="1062">
        <f>SUMIF('A&amp;R'!$AH$94:$AH$114,AS$14,'A&amp;R'!$AJ$94:$AJ$114)</f>
        <v>0</v>
      </c>
      <c r="AT87" s="1062">
        <f>SUMIF('A&amp;R'!$AH$94:$AH$114,AT$14,'A&amp;R'!$AJ$94:$AJ$114)</f>
        <v>0</v>
      </c>
      <c r="AU87" s="1062">
        <f>SUMIF('A&amp;R'!$AH$94:$AH$114,AU$14,'A&amp;R'!$AJ$94:$AJ$114)</f>
        <v>0</v>
      </c>
      <c r="AV87" s="1062">
        <f>SUMIF('A&amp;R'!$AH$94:$AH$114,AV$14,'A&amp;R'!$AJ$94:$AJ$114)</f>
        <v>0.1</v>
      </c>
      <c r="AW87" s="1062">
        <f>SUMIF('A&amp;R'!$AH$94:$AH$114,AW$14,'A&amp;R'!$AJ$94:$AJ$114)</f>
        <v>0</v>
      </c>
      <c r="AX87" s="1062">
        <f>SUMIF('A&amp;R'!$AH$94:$AH$114,AX$14,'A&amp;R'!$AJ$94:$AJ$114)</f>
        <v>0</v>
      </c>
      <c r="AY87" s="1062">
        <f>SUMIF('A&amp;R'!$AH$94:$AH$114,AY$14,'A&amp;R'!$AJ$94:$AJ$114)</f>
        <v>0</v>
      </c>
      <c r="AZ87" s="1062">
        <f>SUMIF('A&amp;R'!$AH$94:$AH$114,AZ$14,'A&amp;R'!$AJ$94:$AJ$114)</f>
        <v>0</v>
      </c>
      <c r="BA87" s="1062">
        <f>SUMIF('A&amp;R'!$AH$94:$AH$114,BA$14,'A&amp;R'!$AJ$94:$AJ$114)</f>
        <v>0</v>
      </c>
      <c r="BB87" s="1062">
        <f>SUMIF('A&amp;R'!$AH$94:$AH$114,BB$14,'A&amp;R'!$AJ$94:$AJ$114)</f>
        <v>0.1</v>
      </c>
      <c r="BC87" s="1062">
        <f>SUMIF('A&amp;R'!$AH$94:$AH$114,BC$14,'A&amp;R'!$AJ$94:$AJ$114)</f>
        <v>0</v>
      </c>
      <c r="BD87" s="1062">
        <f>SUMIF('A&amp;R'!$AH$94:$AH$114,BD$14,'A&amp;R'!$AJ$94:$AJ$114)</f>
        <v>0</v>
      </c>
      <c r="BE87" s="1062">
        <f>SUMIF('A&amp;R'!$AH$94:$AH$114,BE$14,'A&amp;R'!$AJ$94:$AJ$114)</f>
        <v>0</v>
      </c>
      <c r="BF87" s="1062">
        <f>SUMIF('A&amp;R'!$AH$94:$AH$114,BF$14,'A&amp;R'!$AJ$94:$AJ$114)</f>
        <v>0</v>
      </c>
      <c r="BG87" s="1062">
        <f>SUMIF('A&amp;R'!$AH$94:$AH$114,BG$14,'A&amp;R'!$AJ$94:$AJ$114)</f>
        <v>0</v>
      </c>
      <c r="BH87" s="1062">
        <f>SUMIF('A&amp;R'!$AH$94:$AH$114,BH$14,'A&amp;R'!$AJ$94:$AJ$114)</f>
        <v>0.1</v>
      </c>
      <c r="BI87" s="1062">
        <f>SUMIF('A&amp;R'!$AH$94:$AH$114,BI$14,'A&amp;R'!$AJ$94:$AJ$114)</f>
        <v>0</v>
      </c>
      <c r="BJ87" s="1062">
        <f>SUMIF('A&amp;R'!$AH$94:$AH$114,BJ$14,'A&amp;R'!$AJ$94:$AJ$114)</f>
        <v>0</v>
      </c>
      <c r="BK87" s="1062">
        <f>SUMIF('A&amp;R'!$AH$94:$AH$114,BK$14,'A&amp;R'!$AJ$94:$AJ$114)</f>
        <v>0</v>
      </c>
      <c r="BL87" s="1062">
        <f>SUMIF('A&amp;R'!$AH$94:$AH$114,BL$14,'A&amp;R'!$AJ$94:$AJ$114)</f>
        <v>0</v>
      </c>
      <c r="BM87" s="1062">
        <f>SUMIF('A&amp;R'!$AH$94:$AH$114,BM$14,'A&amp;R'!$AJ$94:$AJ$114)</f>
        <v>0</v>
      </c>
      <c r="BN87" s="1062">
        <f>SUMIF('A&amp;R'!$AH$94:$AH$114,BN$14,'A&amp;R'!$AJ$94:$AJ$114)</f>
        <v>0.1</v>
      </c>
      <c r="BO87" s="1062">
        <f>SUMIF('A&amp;R'!$AH$94:$AH$114,BO$14,'A&amp;R'!$AJ$94:$AJ$114)</f>
        <v>0</v>
      </c>
      <c r="BP87" s="1062">
        <f>SUMIF('A&amp;R'!$AH$94:$AH$114,BP$14,'A&amp;R'!$AJ$94:$AJ$114)</f>
        <v>0</v>
      </c>
      <c r="BQ87" s="1062">
        <f>SUMIF('A&amp;R'!$AH$94:$AH$114,BQ$14,'A&amp;R'!$AJ$94:$AJ$114)</f>
        <v>0</v>
      </c>
      <c r="BR87" s="1062">
        <f>SUMIF('A&amp;R'!$AH$94:$AH$114,BR$14,'A&amp;R'!$AJ$94:$AJ$114)</f>
        <v>0</v>
      </c>
      <c r="BS87" s="1062">
        <f>SUMIF('A&amp;R'!$AH$94:$AH$114,BS$14,'A&amp;R'!$AJ$94:$AJ$114)</f>
        <v>0</v>
      </c>
      <c r="BT87" s="1062">
        <f>SUMIF('A&amp;R'!$AH$94:$AH$114,BT$14,'A&amp;R'!$AJ$94:$AJ$114)</f>
        <v>0</v>
      </c>
      <c r="BU87" s="1062">
        <f>SUMIF('A&amp;R'!$AH$94:$AH$114,BU$14,'A&amp;R'!$AJ$94:$AJ$114)</f>
        <v>0</v>
      </c>
      <c r="BV87" s="1062">
        <f>SUMIF('A&amp;R'!$AH$94:$AH$114,BV$14,'A&amp;R'!$AJ$94:$AJ$114)</f>
        <v>0</v>
      </c>
      <c r="BW87" s="1062">
        <f>SUMIF('A&amp;R'!$AH$94:$AH$114,BW$14,'A&amp;R'!$AJ$94:$AJ$114)</f>
        <v>0</v>
      </c>
      <c r="BX87" s="1062">
        <f>SUMIF('A&amp;R'!$AH$94:$AH$114,BX$14,'A&amp;R'!$AJ$94:$AJ$114)</f>
        <v>0</v>
      </c>
      <c r="BY87" s="1062">
        <f>SUMIF('A&amp;R'!$AH$94:$AH$114,BY$14,'A&amp;R'!$AJ$94:$AJ$114)</f>
        <v>0</v>
      </c>
      <c r="BZ87" s="1062">
        <f>SUMIF('A&amp;R'!$AH$94:$AH$114,BZ$14,'A&amp;R'!$AJ$94:$AJ$114)</f>
        <v>0</v>
      </c>
      <c r="CA87" s="1062">
        <f>SUMIF('A&amp;R'!$AH$94:$AH$114,CA$14,'A&amp;R'!$AJ$94:$AJ$114)</f>
        <v>0</v>
      </c>
      <c r="CB87" s="1062">
        <f>SUMIF('A&amp;R'!$AH$94:$AH$114,CB$14,'A&amp;R'!$AJ$94:$AJ$114)</f>
        <v>0</v>
      </c>
      <c r="CC87" s="1062">
        <f>SUMIF('A&amp;R'!$AH$94:$AH$114,CC$14,'A&amp;R'!$AJ$94:$AJ$114)</f>
        <v>0</v>
      </c>
      <c r="CD87" s="1062">
        <f>SUMIF('A&amp;R'!$AH$94:$AH$114,CD$14,'A&amp;R'!$AJ$94:$AJ$114)</f>
        <v>0</v>
      </c>
      <c r="CE87" s="1062">
        <f>SUMIF('A&amp;R'!$AH$94:$AH$114,CE$14,'A&amp;R'!$AJ$94:$AJ$114)</f>
        <v>0</v>
      </c>
      <c r="CF87" s="1062">
        <f>SUMIF('A&amp;R'!$AH$94:$AH$114,CF$14,'A&amp;R'!$AJ$94:$AJ$114)</f>
        <v>0</v>
      </c>
      <c r="CG87" s="1062">
        <f>SUMIF('A&amp;R'!$AH$94:$AH$114,CG$14,'A&amp;R'!$AJ$94:$AJ$114)</f>
        <v>0</v>
      </c>
      <c r="CH87" s="1062">
        <f>SUMIF('A&amp;R'!$AH$94:$AH$114,CH$14,'A&amp;R'!$AJ$94:$AJ$114)</f>
        <v>0</v>
      </c>
      <c r="CI87" s="1062">
        <f>SUMIF('A&amp;R'!$AH$94:$AH$114,CI$14,'A&amp;R'!$AJ$94:$AJ$114)</f>
        <v>0</v>
      </c>
      <c r="CJ87" s="1062">
        <f>SUMIF('A&amp;R'!$AH$94:$AH$114,CJ$14,'A&amp;R'!$AJ$94:$AJ$114)</f>
        <v>0</v>
      </c>
      <c r="CK87" s="1062">
        <f>SUMIF('A&amp;R'!$AH$94:$AH$114,CK$14,'A&amp;R'!$AJ$94:$AJ$114)</f>
        <v>0</v>
      </c>
      <c r="CL87" s="1062">
        <f>SUMIF('A&amp;R'!$AH$94:$AH$114,CL$14,'A&amp;R'!$AJ$94:$AJ$114)</f>
        <v>0</v>
      </c>
      <c r="CM87" s="1062">
        <f>SUMIF('A&amp;R'!$AH$94:$AH$114,CM$14,'A&amp;R'!$AJ$94:$AJ$114)</f>
        <v>0</v>
      </c>
      <c r="CN87" s="1062">
        <f>SUMIF('A&amp;R'!$AH$94:$AH$114,CN$14,'A&amp;R'!$AJ$94:$AJ$114)</f>
        <v>0</v>
      </c>
      <c r="CO87" s="1062">
        <f>SUMIF('A&amp;R'!$AH$94:$AH$114,CO$14,'A&amp;R'!$AJ$94:$AJ$114)</f>
        <v>0</v>
      </c>
      <c r="CP87" s="1062">
        <f>SUMIF('A&amp;R'!$AH$94:$AH$114,CP$14,'A&amp;R'!$AJ$94:$AJ$114)</f>
        <v>0</v>
      </c>
      <c r="CQ87" s="1062">
        <f>SUMIF('A&amp;R'!$AH$94:$AH$114,CQ$14,'A&amp;R'!$AJ$94:$AJ$114)</f>
        <v>0</v>
      </c>
      <c r="CR87" s="1062">
        <f>SUMIF('A&amp;R'!$AH$94:$AH$114,CR$14,'A&amp;R'!$AJ$94:$AJ$114)</f>
        <v>0</v>
      </c>
      <c r="CS87" s="1062">
        <f>SUMIF('A&amp;R'!$AH$94:$AH$114,CS$14,'A&amp;R'!$AJ$94:$AJ$114)</f>
        <v>0</v>
      </c>
      <c r="CT87" s="1062">
        <f>SUMIF('A&amp;R'!$AH$94:$AH$114,CT$14,'A&amp;R'!$AJ$94:$AJ$114)</f>
        <v>0</v>
      </c>
      <c r="CU87" s="1062">
        <f>SUMIF('A&amp;R'!$AH$94:$AH$114,CU$14,'A&amp;R'!$AJ$94:$AJ$114)</f>
        <v>0</v>
      </c>
      <c r="CV87" s="1062">
        <f>SUMIF('A&amp;R'!$AH$94:$AH$114,CV$14,'A&amp;R'!$AJ$94:$AJ$114)</f>
        <v>0</v>
      </c>
      <c r="CW87" s="1062">
        <f>SUMIF('A&amp;R'!$AH$94:$AH$114,CW$14,'A&amp;R'!$AJ$94:$AJ$114)</f>
        <v>0</v>
      </c>
      <c r="CX87" s="1062">
        <f>SUMIF('A&amp;R'!$AH$94:$AH$114,CX$14,'A&amp;R'!$AJ$94:$AJ$114)</f>
        <v>0</v>
      </c>
      <c r="CY87" s="1062">
        <f>SUMIF('A&amp;R'!$AH$94:$AH$114,CY$14,'A&amp;R'!$AJ$94:$AJ$114)</f>
        <v>0</v>
      </c>
      <c r="CZ87" s="1062">
        <f>SUMIF('A&amp;R'!$AH$94:$AH$114,CZ$14,'A&amp;R'!$AJ$94:$AJ$114)</f>
        <v>0</v>
      </c>
      <c r="DA87" s="1062">
        <f>SUMIF('A&amp;R'!$AH$94:$AH$114,DA$14,'A&amp;R'!$AJ$94:$AJ$114)</f>
        <v>0</v>
      </c>
      <c r="DB87" s="1062">
        <f>SUMIF('A&amp;R'!$AH$94:$AH$114,DB$14,'A&amp;R'!$AJ$94:$AJ$114)</f>
        <v>0</v>
      </c>
      <c r="DC87" s="1062">
        <f>SUMIF('A&amp;R'!$AH$94:$AH$114,DC$14,'A&amp;R'!$AJ$94:$AJ$114)</f>
        <v>0</v>
      </c>
      <c r="DD87" s="1062">
        <f>SUMIF('A&amp;R'!$AH$94:$AH$114,DD$14,'A&amp;R'!$AJ$94:$AJ$114)</f>
        <v>0</v>
      </c>
      <c r="DE87" s="1062">
        <f>SUMIF('A&amp;R'!$AH$94:$AH$114,DE$14,'A&amp;R'!$AJ$94:$AJ$114)</f>
        <v>0</v>
      </c>
      <c r="DF87" s="1062">
        <f>SUMIF('A&amp;R'!$AH$94:$AH$114,DF$14,'A&amp;R'!$AJ$94:$AJ$114)</f>
        <v>0</v>
      </c>
      <c r="DG87" s="1062">
        <f>SUMIF('A&amp;R'!$AH$94:$AH$114,DG$14,'A&amp;R'!$AJ$94:$AJ$114)</f>
        <v>0</v>
      </c>
      <c r="DH87" s="1062">
        <f>SUMIF('A&amp;R'!$AH$94:$AH$114,DH$14,'A&amp;R'!$AJ$94:$AJ$114)</f>
        <v>0</v>
      </c>
      <c r="DI87" s="1062">
        <f>SUMIF('A&amp;R'!$AH$94:$AH$114,DI$14,'A&amp;R'!$AJ$94:$AJ$114)</f>
        <v>0</v>
      </c>
      <c r="DJ87" s="1062">
        <f>SUMIF('A&amp;R'!$AH$94:$AH$114,DJ$14,'A&amp;R'!$AJ$94:$AJ$114)</f>
        <v>0</v>
      </c>
      <c r="DK87" s="1062">
        <f>SUMIF('A&amp;R'!$AH$94:$AH$114,DK$14,'A&amp;R'!$AJ$94:$AJ$114)</f>
        <v>0</v>
      </c>
      <c r="DL87" s="1062">
        <f>SUMIF('A&amp;R'!$AH$94:$AH$114,DL$14,'A&amp;R'!$AJ$94:$AJ$114)</f>
        <v>0</v>
      </c>
      <c r="DM87" s="1062">
        <f>SUMIF('A&amp;R'!$AH$94:$AH$114,DM$14,'A&amp;R'!$AJ$94:$AJ$114)</f>
        <v>0</v>
      </c>
      <c r="DN87" s="1062">
        <f>SUMIF('A&amp;R'!$AH$94:$AH$114,DN$14,'A&amp;R'!$AJ$94:$AJ$114)</f>
        <v>0</v>
      </c>
      <c r="DO87" s="1062">
        <f>SUMIF('A&amp;R'!$AH$94:$AH$114,DO$14,'A&amp;R'!$AJ$94:$AJ$114)</f>
        <v>0</v>
      </c>
      <c r="DP87" s="1062">
        <f>SUMIF('A&amp;R'!$AH$94:$AH$114,DP$14,'A&amp;R'!$AJ$94:$AJ$114)</f>
        <v>0</v>
      </c>
      <c r="DQ87" s="1062">
        <f>SUMIF('A&amp;R'!$AH$94:$AH$114,DQ$14,'A&amp;R'!$AJ$94:$AJ$114)</f>
        <v>0</v>
      </c>
      <c r="DR87" s="1062">
        <f>SUMIF('A&amp;R'!$AH$94:$AH$114,DR$14,'A&amp;R'!$AJ$94:$AJ$114)</f>
        <v>0</v>
      </c>
      <c r="DS87" s="1062">
        <f>SUMIF('A&amp;R'!$AH$94:$AH$114,DS$14,'A&amp;R'!$AJ$94:$AJ$114)</f>
        <v>0</v>
      </c>
      <c r="DT87" s="1062">
        <f>SUMIF('A&amp;R'!$AH$94:$AH$114,DT$14,'A&amp;R'!$AJ$94:$AJ$114)</f>
        <v>0</v>
      </c>
      <c r="DU87" s="1062">
        <f>SUMIF('A&amp;R'!$AH$94:$AH$114,DU$14,'A&amp;R'!$AJ$94:$AJ$114)</f>
        <v>0</v>
      </c>
      <c r="DV87" s="1062">
        <f>SUMIF('A&amp;R'!$AH$94:$AH$114,DV$14,'A&amp;R'!$AJ$94:$AJ$114)</f>
        <v>0</v>
      </c>
      <c r="DW87" s="1062">
        <f>SUMIF('A&amp;R'!$AH$94:$AH$114,DW$14,'A&amp;R'!$AJ$94:$AJ$114)</f>
        <v>0</v>
      </c>
      <c r="DX87" s="1062">
        <f>SUMIF('A&amp;R'!$AH$94:$AH$114,DX$14,'A&amp;R'!$AJ$94:$AJ$114)</f>
        <v>0</v>
      </c>
      <c r="DY87" s="1062">
        <f>SUMIF('A&amp;R'!$AH$94:$AH$114,DY$14,'A&amp;R'!$AJ$94:$AJ$114)</f>
        <v>0</v>
      </c>
      <c r="DZ87" s="1062">
        <f>SUMIF('A&amp;R'!$AH$94:$AH$114,DZ$14,'A&amp;R'!$AJ$94:$AJ$114)</f>
        <v>0</v>
      </c>
      <c r="EA87" s="1062">
        <f>SUMIF('A&amp;R'!$AH$94:$AH$114,EA$14,'A&amp;R'!$AJ$94:$AJ$114)</f>
        <v>0</v>
      </c>
      <c r="EB87" s="1062">
        <f>SUMIF('A&amp;R'!$AH$94:$AH$114,EB$14,'A&amp;R'!$AJ$94:$AJ$114)</f>
        <v>0</v>
      </c>
      <c r="EC87" s="1062">
        <f>SUMIF('A&amp;R'!$AH$94:$AH$114,EC$14,'A&amp;R'!$AJ$94:$AJ$114)</f>
        <v>0</v>
      </c>
      <c r="ED87" s="1325">
        <f>SUMIF('A&amp;R'!$AH$94:$AH$114,ED$14,'A&amp;R'!$AJ$94:$AJ$114)</f>
        <v>0</v>
      </c>
      <c r="EE87" s="1062">
        <f>SUMIF('A&amp;R'!$AH$94:$AH$114,EE$14,'A&amp;R'!$AJ$94:$AJ$114)</f>
        <v>0</v>
      </c>
      <c r="EF87" s="1062">
        <f>SUMIF('A&amp;R'!$AH$94:$AH$114,EF$14,'A&amp;R'!$AJ$94:$AJ$114)</f>
        <v>0</v>
      </c>
      <c r="EG87" s="1062">
        <f>SUMIF('A&amp;R'!$AH$94:$AH$114,EG$14,'A&amp;R'!$AJ$94:$AJ$114)</f>
        <v>0</v>
      </c>
      <c r="EH87" s="1062">
        <f>SUMIF('A&amp;R'!$AH$94:$AH$114,EH$14,'A&amp;R'!$AJ$94:$AJ$114)</f>
        <v>0</v>
      </c>
      <c r="EI87" s="1062">
        <f>SUMIF('A&amp;R'!$AH$94:$AH$114,EI$14,'A&amp;R'!$AJ$94:$AJ$114)</f>
        <v>0</v>
      </c>
      <c r="EJ87" s="1062">
        <f>SUMIF('A&amp;R'!$AH$94:$AH$114,EJ$14,'A&amp;R'!$AJ$94:$AJ$114)</f>
        <v>0</v>
      </c>
      <c r="EK87" s="1062">
        <f>SUMIF('A&amp;R'!$AH$94:$AH$114,EK$14,'A&amp;R'!$AJ$94:$AJ$114)</f>
        <v>0</v>
      </c>
      <c r="EL87" s="1062">
        <f>SUMIF('A&amp;R'!$AH$94:$AH$114,EL$14,'A&amp;R'!$AJ$94:$AJ$114)</f>
        <v>0</v>
      </c>
      <c r="EM87" s="1062">
        <f>SUMIF('A&amp;R'!$AH$94:$AH$114,EM$14,'A&amp;R'!$AJ$94:$AJ$114)</f>
        <v>0</v>
      </c>
      <c r="EN87" s="1062">
        <f>SUMIF('A&amp;R'!$AH$94:$AH$114,EN$14,'A&amp;R'!$AJ$94:$AJ$114)</f>
        <v>0</v>
      </c>
      <c r="EO87" s="1062">
        <f>SUMIF('A&amp;R'!$AH$94:$AH$114,EO$14,'A&amp;R'!$AJ$94:$AJ$114)</f>
        <v>0</v>
      </c>
      <c r="EP87" s="1062">
        <f>SUMIF('A&amp;R'!$AH$94:$AH$114,EP$14,'A&amp;R'!$AJ$94:$AJ$114)</f>
        <v>0</v>
      </c>
      <c r="EQ87" s="1062">
        <f>SUMIF('A&amp;R'!$AH$94:$AH$114,EQ$14,'A&amp;R'!$AJ$94:$AJ$114)</f>
        <v>0</v>
      </c>
    </row>
    <row r="88" spans="3:147" ht="11.25" customHeight="1">
      <c r="C88" s="1052"/>
      <c r="D88" s="169" t="s">
        <v>612</v>
      </c>
      <c r="J88" s="170"/>
      <c r="K88" s="98"/>
      <c r="L88" s="1062">
        <f>SUM($L87:L87)</f>
        <v>0.1</v>
      </c>
      <c r="M88" s="1062">
        <f>SUM($L87:M87)</f>
        <v>0.1</v>
      </c>
      <c r="N88" s="1062">
        <f>SUM($L87:N87)</f>
        <v>0.1</v>
      </c>
      <c r="O88" s="1062">
        <f>SUM($L87:O87)</f>
        <v>0.1</v>
      </c>
      <c r="P88" s="1062">
        <f>SUM($L87:P87)</f>
        <v>0.1</v>
      </c>
      <c r="Q88" s="1062">
        <f>SUM($L87:Q87)</f>
        <v>0.1</v>
      </c>
      <c r="R88" s="1062">
        <f>SUM($L87:R87)</f>
        <v>0.2</v>
      </c>
      <c r="S88" s="1062">
        <f>SUM($L87:S87)</f>
        <v>0.2</v>
      </c>
      <c r="T88" s="1062">
        <f>SUM($L87:T87)</f>
        <v>0.2</v>
      </c>
      <c r="U88" s="1062">
        <f>SUM($L87:U87)</f>
        <v>0.2</v>
      </c>
      <c r="V88" s="1062">
        <f>SUM($L87:V87)</f>
        <v>0.2</v>
      </c>
      <c r="W88" s="1062">
        <f>SUM($L87:W87)</f>
        <v>0.2</v>
      </c>
      <c r="X88" s="1062">
        <f>SUM($L87:X87)</f>
        <v>0.30000000000000004</v>
      </c>
      <c r="Y88" s="1062">
        <f>SUM($L87:Y87)</f>
        <v>0.30000000000000004</v>
      </c>
      <c r="Z88" s="1062">
        <f>SUM($L87:Z87)</f>
        <v>0.30000000000000004</v>
      </c>
      <c r="AA88" s="1062">
        <f>SUM($L87:AA87)</f>
        <v>0.30000000000000004</v>
      </c>
      <c r="AB88" s="1062">
        <f>SUM($L87:AB87)</f>
        <v>0.30000000000000004</v>
      </c>
      <c r="AC88" s="1062">
        <f>SUM($L87:AC87)</f>
        <v>0.30000000000000004</v>
      </c>
      <c r="AD88" s="1062">
        <f>SUM($L87:AD87)</f>
        <v>0.4</v>
      </c>
      <c r="AE88" s="1062">
        <f>SUM($L87:AE87)</f>
        <v>0.4</v>
      </c>
      <c r="AF88" s="1062">
        <f>SUM($L87:AF87)</f>
        <v>0.4</v>
      </c>
      <c r="AG88" s="1062">
        <f>SUM($L87:AG87)</f>
        <v>0.4</v>
      </c>
      <c r="AH88" s="1062">
        <f>SUM($L87:AH87)</f>
        <v>0.4</v>
      </c>
      <c r="AI88" s="1062">
        <f>SUM($L87:AI87)</f>
        <v>0.4</v>
      </c>
      <c r="AJ88" s="1062">
        <f>SUM($L87:AJ87)</f>
        <v>0.5</v>
      </c>
      <c r="AK88" s="1062">
        <f>SUM($L87:AK87)</f>
        <v>0.5</v>
      </c>
      <c r="AL88" s="1062">
        <f>SUM($L87:AL87)</f>
        <v>0.5</v>
      </c>
      <c r="AM88" s="1062">
        <f>SUM($L87:AM87)</f>
        <v>0.5</v>
      </c>
      <c r="AN88" s="1062">
        <f>SUM($L87:AN87)</f>
        <v>0.5</v>
      </c>
      <c r="AO88" s="1062">
        <f>SUM($L87:AO87)</f>
        <v>0.5</v>
      </c>
      <c r="AP88" s="1062">
        <f>SUM($L87:AP87)</f>
        <v>0.6</v>
      </c>
      <c r="AQ88" s="1062">
        <f>SUM($L87:AQ87)</f>
        <v>0.6</v>
      </c>
      <c r="AR88" s="1062">
        <f>SUM($L87:AR87)</f>
        <v>0.6</v>
      </c>
      <c r="AS88" s="1062">
        <f>SUM($L87:AS87)</f>
        <v>0.6</v>
      </c>
      <c r="AT88" s="1062">
        <f>SUM($L87:AT87)</f>
        <v>0.6</v>
      </c>
      <c r="AU88" s="1062">
        <f>SUM($L87:AU87)</f>
        <v>0.6</v>
      </c>
      <c r="AV88" s="1062">
        <f>SUM($L87:AV87)</f>
        <v>0.7</v>
      </c>
      <c r="AW88" s="1062">
        <f>SUM($L87:AW87)</f>
        <v>0.7</v>
      </c>
      <c r="AX88" s="1062">
        <f>SUM($L87:AX87)</f>
        <v>0.7</v>
      </c>
      <c r="AY88" s="1062">
        <f>SUM($L87:AY87)</f>
        <v>0.7</v>
      </c>
      <c r="AZ88" s="1062">
        <f>SUM($L87:AZ87)</f>
        <v>0.7</v>
      </c>
      <c r="BA88" s="1062">
        <f>SUM($L87:BA87)</f>
        <v>0.7</v>
      </c>
      <c r="BB88" s="1062">
        <f>SUM($L87:BB87)</f>
        <v>0.79999999999999993</v>
      </c>
      <c r="BC88" s="1062">
        <f>SUM($L87:BC87)</f>
        <v>0.79999999999999993</v>
      </c>
      <c r="BD88" s="1062">
        <f>SUM($L87:BD87)</f>
        <v>0.79999999999999993</v>
      </c>
      <c r="BE88" s="1062">
        <f>SUM($L87:BE87)</f>
        <v>0.79999999999999993</v>
      </c>
      <c r="BF88" s="1062">
        <f>SUM($L87:BF87)</f>
        <v>0.79999999999999993</v>
      </c>
      <c r="BG88" s="1062">
        <f>SUM($L87:BG87)</f>
        <v>0.79999999999999993</v>
      </c>
      <c r="BH88" s="1062">
        <f>SUM($L87:BH87)</f>
        <v>0.89999999999999991</v>
      </c>
      <c r="BI88" s="1062">
        <f>SUM($L87:BI87)</f>
        <v>0.89999999999999991</v>
      </c>
      <c r="BJ88" s="1062">
        <f>SUM($L87:BJ87)</f>
        <v>0.89999999999999991</v>
      </c>
      <c r="BK88" s="1062">
        <f>SUM($L87:BK87)</f>
        <v>0.89999999999999991</v>
      </c>
      <c r="BL88" s="1062">
        <f>SUM($L87:BL87)</f>
        <v>0.89999999999999991</v>
      </c>
      <c r="BM88" s="1062">
        <f>SUM($L87:BM87)</f>
        <v>0.89999999999999991</v>
      </c>
      <c r="BN88" s="1062">
        <f>SUM($L87:BN87)</f>
        <v>0.99999999999999989</v>
      </c>
      <c r="BO88" s="1062">
        <f>SUM($L87:BO87)</f>
        <v>0.99999999999999989</v>
      </c>
      <c r="BP88" s="1062">
        <f>SUM($L87:BP87)</f>
        <v>0.99999999999999989</v>
      </c>
      <c r="BQ88" s="1062">
        <f>SUM($L87:BQ87)</f>
        <v>0.99999999999999989</v>
      </c>
      <c r="BR88" s="1062">
        <f>SUM($L87:BR87)</f>
        <v>0.99999999999999989</v>
      </c>
      <c r="BS88" s="1062">
        <f>SUM($L87:BS87)</f>
        <v>0.99999999999999989</v>
      </c>
      <c r="BT88" s="1062">
        <f>SUM($L87:BT87)</f>
        <v>0.99999999999999989</v>
      </c>
      <c r="BU88" s="1062">
        <f>SUM($L87:BU87)</f>
        <v>0.99999999999999989</v>
      </c>
      <c r="BV88" s="1062">
        <f>SUM($L87:BV87)</f>
        <v>0.99999999999999989</v>
      </c>
      <c r="BW88" s="1062">
        <f>SUM($L87:BW87)</f>
        <v>0.99999999999999989</v>
      </c>
      <c r="BX88" s="1062">
        <f>SUM($L87:BX87)</f>
        <v>0.99999999999999989</v>
      </c>
      <c r="BY88" s="1062">
        <f>SUM($L87:BY87)</f>
        <v>0.99999999999999989</v>
      </c>
      <c r="BZ88" s="1062">
        <f>SUM($L87:BZ87)</f>
        <v>0.99999999999999989</v>
      </c>
      <c r="CA88" s="1062">
        <f>SUM($L87:CA87)</f>
        <v>0.99999999999999989</v>
      </c>
      <c r="CB88" s="1062">
        <f>SUM($L87:CB87)</f>
        <v>0.99999999999999989</v>
      </c>
      <c r="CC88" s="1062">
        <f>SUM($L87:CC87)</f>
        <v>0.99999999999999989</v>
      </c>
      <c r="CD88" s="1062">
        <f>SUM($L87:CD87)</f>
        <v>0.99999999999999989</v>
      </c>
      <c r="CE88" s="1062">
        <f>SUM($L87:CE87)</f>
        <v>0.99999999999999989</v>
      </c>
      <c r="CF88" s="1062">
        <f>SUM($L87:CF87)</f>
        <v>0.99999999999999989</v>
      </c>
      <c r="CG88" s="1062">
        <f>SUM($L87:CG87)</f>
        <v>0.99999999999999989</v>
      </c>
      <c r="CH88" s="1062">
        <f>SUM($L87:CH87)</f>
        <v>0.99999999999999989</v>
      </c>
      <c r="CI88" s="1062">
        <f>SUM($L87:CI87)</f>
        <v>0.99999999999999989</v>
      </c>
      <c r="CJ88" s="1062">
        <f>SUM($L87:CJ87)</f>
        <v>0.99999999999999989</v>
      </c>
      <c r="CK88" s="1062">
        <f>SUM($L87:CK87)</f>
        <v>0.99999999999999989</v>
      </c>
      <c r="CL88" s="1062">
        <f>SUM($L87:CL87)</f>
        <v>0.99999999999999989</v>
      </c>
      <c r="CM88" s="1062">
        <f>SUM($L87:CM87)</f>
        <v>0.99999999999999989</v>
      </c>
      <c r="CN88" s="1062">
        <f>SUM($L87:CN87)</f>
        <v>0.99999999999999989</v>
      </c>
      <c r="CO88" s="1062">
        <f>SUM($L87:CO87)</f>
        <v>0.99999999999999989</v>
      </c>
      <c r="CP88" s="1062">
        <f>SUM($L87:CP87)</f>
        <v>0.99999999999999989</v>
      </c>
      <c r="CQ88" s="1062">
        <f>SUM($L87:CQ87)</f>
        <v>0.99999999999999989</v>
      </c>
      <c r="CR88" s="1062">
        <f>SUM($L87:CR87)</f>
        <v>0.99999999999999989</v>
      </c>
      <c r="CS88" s="1062">
        <f>SUM($L87:CS87)</f>
        <v>0.99999999999999989</v>
      </c>
      <c r="CT88" s="1062">
        <f>SUM($L87:CT87)</f>
        <v>0.99999999999999989</v>
      </c>
      <c r="CU88" s="1062">
        <f>SUM($L87:CU87)</f>
        <v>0.99999999999999989</v>
      </c>
      <c r="CV88" s="1062">
        <f>SUM($L87:CV87)</f>
        <v>0.99999999999999989</v>
      </c>
      <c r="CW88" s="1062">
        <f>SUM($L87:CW87)</f>
        <v>0.99999999999999989</v>
      </c>
      <c r="CX88" s="1062">
        <f>SUM($L87:CX87)</f>
        <v>0.99999999999999989</v>
      </c>
      <c r="CY88" s="1062">
        <f>SUM($L87:CY87)</f>
        <v>0.99999999999999989</v>
      </c>
      <c r="CZ88" s="1062">
        <f>SUM($L87:CZ87)</f>
        <v>0.99999999999999989</v>
      </c>
      <c r="DA88" s="1062">
        <f>SUM($L87:DA87)</f>
        <v>0.99999999999999989</v>
      </c>
      <c r="DB88" s="1062">
        <f>SUM($L87:DB87)</f>
        <v>0.99999999999999989</v>
      </c>
      <c r="DC88" s="1062">
        <f>SUM($L87:DC87)</f>
        <v>0.99999999999999989</v>
      </c>
      <c r="DD88" s="1062">
        <f>SUM($L87:DD87)</f>
        <v>0.99999999999999989</v>
      </c>
      <c r="DE88" s="1062">
        <f>SUM($L87:DE87)</f>
        <v>0.99999999999999989</v>
      </c>
      <c r="DF88" s="1062">
        <f>SUM($L87:DF87)</f>
        <v>0.99999999999999989</v>
      </c>
      <c r="DG88" s="1062">
        <f>SUM($L87:DG87)</f>
        <v>0.99999999999999989</v>
      </c>
      <c r="DH88" s="1062">
        <f>SUM($L87:DH87)</f>
        <v>0.99999999999999989</v>
      </c>
      <c r="DI88" s="1062">
        <f>SUM($L87:DI87)</f>
        <v>0.99999999999999989</v>
      </c>
      <c r="DJ88" s="1062">
        <f>SUM($L87:DJ87)</f>
        <v>0.99999999999999989</v>
      </c>
      <c r="DK88" s="1062">
        <f>SUM($L87:DK87)</f>
        <v>0.99999999999999989</v>
      </c>
      <c r="DL88" s="1062">
        <f>SUM($L87:DL87)</f>
        <v>0.99999999999999989</v>
      </c>
      <c r="DM88" s="1062">
        <f>SUM($L87:DM87)</f>
        <v>0.99999999999999989</v>
      </c>
      <c r="DN88" s="1062">
        <f>SUM($L87:DN87)</f>
        <v>0.99999999999999989</v>
      </c>
      <c r="DO88" s="1062">
        <f>SUM($L87:DO87)</f>
        <v>0.99999999999999989</v>
      </c>
      <c r="DP88" s="1062">
        <f>SUM($L87:DP87)</f>
        <v>0.99999999999999989</v>
      </c>
      <c r="DQ88" s="1062">
        <f>SUM($L87:DQ87)</f>
        <v>0.99999999999999989</v>
      </c>
      <c r="DR88" s="1062">
        <f>SUM($L87:DR87)</f>
        <v>0.99999999999999989</v>
      </c>
      <c r="DS88" s="1062">
        <f>SUM($L87:DS87)</f>
        <v>0.99999999999999989</v>
      </c>
      <c r="DT88" s="1062">
        <f>SUM($L87:DT87)</f>
        <v>0.99999999999999989</v>
      </c>
      <c r="DU88" s="1062">
        <f>SUM($L87:DU87)</f>
        <v>0.99999999999999989</v>
      </c>
      <c r="DV88" s="1062">
        <f>SUM($L87:DV87)</f>
        <v>0.99999999999999989</v>
      </c>
      <c r="DW88" s="1062">
        <f>SUM($L87:DW87)</f>
        <v>0.99999999999999989</v>
      </c>
      <c r="DX88" s="1062">
        <f>SUM($L87:DX87)</f>
        <v>0.99999999999999989</v>
      </c>
      <c r="DY88" s="1062">
        <f>SUM($L87:DY87)</f>
        <v>0.99999999999999989</v>
      </c>
      <c r="DZ88" s="1062">
        <f>SUM($L87:DZ87)</f>
        <v>0.99999999999999989</v>
      </c>
      <c r="EA88" s="1062">
        <f>SUM($L87:EA87)</f>
        <v>0.99999999999999989</v>
      </c>
      <c r="EB88" s="1062">
        <f>SUM($L87:EB87)</f>
        <v>0.99999999999999989</v>
      </c>
      <c r="EC88" s="1062">
        <f>SUM($L87:EC87)</f>
        <v>0.99999999999999989</v>
      </c>
      <c r="ED88" s="1325">
        <f>SUM($L87:ED87)</f>
        <v>0.99999999999999989</v>
      </c>
      <c r="EE88" s="1062">
        <f>SUM($L87:EE87)</f>
        <v>0.99999999999999989</v>
      </c>
      <c r="EF88" s="1062">
        <f>SUM($L87:EF87)</f>
        <v>0.99999999999999989</v>
      </c>
      <c r="EG88" s="1062">
        <f>SUM($L87:EG87)</f>
        <v>0.99999999999999989</v>
      </c>
      <c r="EH88" s="1062">
        <f>SUM($L87:EH87)</f>
        <v>0.99999999999999989</v>
      </c>
      <c r="EI88" s="1062">
        <f>SUM($L87:EI87)</f>
        <v>0.99999999999999989</v>
      </c>
      <c r="EJ88" s="1062">
        <f>SUM($L87:EJ87)</f>
        <v>0.99999999999999989</v>
      </c>
      <c r="EK88" s="1062">
        <f>SUM($L87:EK87)</f>
        <v>0.99999999999999989</v>
      </c>
      <c r="EL88" s="1062">
        <f>SUM($L87:EL87)</f>
        <v>0.99999999999999989</v>
      </c>
      <c r="EM88" s="1062">
        <f>SUM($L87:EM87)</f>
        <v>0.99999999999999989</v>
      </c>
      <c r="EN88" s="1062">
        <f>SUM($L87:EN87)</f>
        <v>0.99999999999999989</v>
      </c>
      <c r="EO88" s="1062">
        <f>SUM($L87:EO87)</f>
        <v>0.99999999999999989</v>
      </c>
      <c r="EP88" s="1062">
        <f>SUM($L87:EP87)</f>
        <v>0.99999999999999989</v>
      </c>
      <c r="EQ88" s="1062">
        <f>SUM($L87:EQ87)</f>
        <v>0.99999999999999989</v>
      </c>
    </row>
    <row r="89" spans="3:147" ht="11.25" customHeight="1">
      <c r="C89" s="1052"/>
      <c r="D89" s="169" t="s">
        <v>610</v>
      </c>
      <c r="H89" s="146" t="s">
        <v>608</v>
      </c>
      <c r="I89" s="13">
        <f>'A&amp;R'!U39</f>
        <v>5000</v>
      </c>
      <c r="J89" s="170"/>
      <c r="K89" s="98"/>
      <c r="L89" s="171">
        <f>L83*1000/$I89</f>
        <v>0</v>
      </c>
      <c r="M89" s="171">
        <f t="shared" ref="M89:BX89" si="193">M83*1000/$I89</f>
        <v>0</v>
      </c>
      <c r="N89" s="171">
        <f t="shared" si="193"/>
        <v>0</v>
      </c>
      <c r="O89" s="171">
        <f t="shared" si="193"/>
        <v>0</v>
      </c>
      <c r="P89" s="171">
        <f t="shared" si="193"/>
        <v>0</v>
      </c>
      <c r="Q89" s="171">
        <f t="shared" si="193"/>
        <v>0</v>
      </c>
      <c r="R89" s="171">
        <f t="shared" si="193"/>
        <v>0</v>
      </c>
      <c r="S89" s="171">
        <f t="shared" si="193"/>
        <v>0</v>
      </c>
      <c r="T89" s="171">
        <f t="shared" si="193"/>
        <v>0</v>
      </c>
      <c r="U89" s="171">
        <f t="shared" si="193"/>
        <v>0</v>
      </c>
      <c r="V89" s="171">
        <f t="shared" si="193"/>
        <v>0</v>
      </c>
      <c r="W89" s="171">
        <f t="shared" si="193"/>
        <v>0</v>
      </c>
      <c r="X89" s="171">
        <f t="shared" si="193"/>
        <v>0</v>
      </c>
      <c r="Y89" s="171">
        <f t="shared" si="193"/>
        <v>0</v>
      </c>
      <c r="Z89" s="171">
        <f t="shared" si="193"/>
        <v>0</v>
      </c>
      <c r="AA89" s="171">
        <f t="shared" si="193"/>
        <v>0</v>
      </c>
      <c r="AB89" s="171">
        <f t="shared" si="193"/>
        <v>0</v>
      </c>
      <c r="AC89" s="171">
        <f t="shared" si="193"/>
        <v>0</v>
      </c>
      <c r="AD89" s="171">
        <f t="shared" si="193"/>
        <v>0</v>
      </c>
      <c r="AE89" s="171">
        <f t="shared" si="193"/>
        <v>0</v>
      </c>
      <c r="AF89" s="171">
        <f t="shared" si="193"/>
        <v>0</v>
      </c>
      <c r="AG89" s="171">
        <f t="shared" si="193"/>
        <v>0</v>
      </c>
      <c r="AH89" s="171">
        <f t="shared" si="193"/>
        <v>0</v>
      </c>
      <c r="AI89" s="171">
        <f t="shared" si="193"/>
        <v>0</v>
      </c>
      <c r="AJ89" s="171">
        <f t="shared" si="193"/>
        <v>0</v>
      </c>
      <c r="AK89" s="171">
        <f t="shared" si="193"/>
        <v>0</v>
      </c>
      <c r="AL89" s="171">
        <f t="shared" si="193"/>
        <v>0</v>
      </c>
      <c r="AM89" s="171">
        <f t="shared" si="193"/>
        <v>0</v>
      </c>
      <c r="AN89" s="171">
        <f t="shared" si="193"/>
        <v>0</v>
      </c>
      <c r="AO89" s="171">
        <f t="shared" si="193"/>
        <v>0</v>
      </c>
      <c r="AP89" s="171">
        <f t="shared" si="193"/>
        <v>0</v>
      </c>
      <c r="AQ89" s="171">
        <f t="shared" si="193"/>
        <v>0</v>
      </c>
      <c r="AR89" s="171">
        <f t="shared" si="193"/>
        <v>0</v>
      </c>
      <c r="AS89" s="171">
        <f t="shared" si="193"/>
        <v>0</v>
      </c>
      <c r="AT89" s="171">
        <f t="shared" si="193"/>
        <v>0</v>
      </c>
      <c r="AU89" s="171">
        <f t="shared" si="193"/>
        <v>0</v>
      </c>
      <c r="AV89" s="171">
        <f t="shared" si="193"/>
        <v>0</v>
      </c>
      <c r="AW89" s="171">
        <f t="shared" si="193"/>
        <v>0</v>
      </c>
      <c r="AX89" s="171">
        <f t="shared" si="193"/>
        <v>0</v>
      </c>
      <c r="AY89" s="171">
        <f t="shared" si="193"/>
        <v>0</v>
      </c>
      <c r="AZ89" s="171">
        <f t="shared" si="193"/>
        <v>0</v>
      </c>
      <c r="BA89" s="171">
        <f t="shared" si="193"/>
        <v>0</v>
      </c>
      <c r="BB89" s="171">
        <f t="shared" si="193"/>
        <v>0</v>
      </c>
      <c r="BC89" s="171">
        <f t="shared" si="193"/>
        <v>0</v>
      </c>
      <c r="BD89" s="171">
        <f>BD86*1000/$I89</f>
        <v>0</v>
      </c>
      <c r="BE89" s="171">
        <f t="shared" si="193"/>
        <v>0</v>
      </c>
      <c r="BF89" s="171">
        <f t="shared" si="193"/>
        <v>0</v>
      </c>
      <c r="BG89" s="171">
        <f t="shared" si="193"/>
        <v>0</v>
      </c>
      <c r="BH89" s="171">
        <f t="shared" si="193"/>
        <v>0</v>
      </c>
      <c r="BI89" s="171">
        <f t="shared" si="193"/>
        <v>0</v>
      </c>
      <c r="BJ89" s="171">
        <f t="shared" si="193"/>
        <v>0</v>
      </c>
      <c r="BK89" s="171">
        <f t="shared" si="193"/>
        <v>0</v>
      </c>
      <c r="BL89" s="171">
        <f t="shared" si="193"/>
        <v>0</v>
      </c>
      <c r="BM89" s="171">
        <f t="shared" si="193"/>
        <v>0</v>
      </c>
      <c r="BN89" s="171">
        <f t="shared" si="193"/>
        <v>0</v>
      </c>
      <c r="BO89" s="171">
        <f t="shared" si="193"/>
        <v>0</v>
      </c>
      <c r="BP89" s="171">
        <f t="shared" si="193"/>
        <v>0</v>
      </c>
      <c r="BQ89" s="171">
        <f t="shared" si="193"/>
        <v>0</v>
      </c>
      <c r="BR89" s="171">
        <f t="shared" si="193"/>
        <v>0</v>
      </c>
      <c r="BS89" s="171">
        <f t="shared" si="193"/>
        <v>0</v>
      </c>
      <c r="BT89" s="171">
        <f t="shared" si="193"/>
        <v>0</v>
      </c>
      <c r="BU89" s="171">
        <f t="shared" si="193"/>
        <v>0</v>
      </c>
      <c r="BV89" s="171">
        <f t="shared" si="193"/>
        <v>0</v>
      </c>
      <c r="BW89" s="171">
        <f t="shared" si="193"/>
        <v>0</v>
      </c>
      <c r="BX89" s="171">
        <f t="shared" si="193"/>
        <v>0</v>
      </c>
      <c r="BY89" s="171">
        <f t="shared" ref="BY89:DT89" si="194">BY83*1000/$I89</f>
        <v>0</v>
      </c>
      <c r="BZ89" s="171">
        <f t="shared" si="194"/>
        <v>0</v>
      </c>
      <c r="CA89" s="171">
        <f t="shared" si="194"/>
        <v>0</v>
      </c>
      <c r="CB89" s="171">
        <f t="shared" si="194"/>
        <v>0</v>
      </c>
      <c r="CC89" s="171">
        <f t="shared" si="194"/>
        <v>0</v>
      </c>
      <c r="CD89" s="171">
        <f t="shared" si="194"/>
        <v>0</v>
      </c>
      <c r="CE89" s="171">
        <f t="shared" si="194"/>
        <v>0</v>
      </c>
      <c r="CF89" s="171">
        <f t="shared" si="194"/>
        <v>0</v>
      </c>
      <c r="CG89" s="171">
        <f t="shared" si="194"/>
        <v>0</v>
      </c>
      <c r="CH89" s="171">
        <f t="shared" si="194"/>
        <v>0</v>
      </c>
      <c r="CI89" s="171">
        <f t="shared" si="194"/>
        <v>0</v>
      </c>
      <c r="CJ89" s="171">
        <f t="shared" si="194"/>
        <v>0</v>
      </c>
      <c r="CK89" s="171">
        <f t="shared" si="194"/>
        <v>0</v>
      </c>
      <c r="CL89" s="171">
        <f t="shared" si="194"/>
        <v>0</v>
      </c>
      <c r="CM89" s="171">
        <f t="shared" si="194"/>
        <v>0</v>
      </c>
      <c r="CN89" s="171">
        <f t="shared" si="194"/>
        <v>0</v>
      </c>
      <c r="CO89" s="171">
        <f t="shared" si="194"/>
        <v>0</v>
      </c>
      <c r="CP89" s="171">
        <f t="shared" si="194"/>
        <v>0</v>
      </c>
      <c r="CQ89" s="171">
        <f t="shared" si="194"/>
        <v>0</v>
      </c>
      <c r="CR89" s="171">
        <f t="shared" si="194"/>
        <v>0</v>
      </c>
      <c r="CS89" s="171">
        <f t="shared" si="194"/>
        <v>0</v>
      </c>
      <c r="CT89" s="171">
        <f t="shared" si="194"/>
        <v>0</v>
      </c>
      <c r="CU89" s="171">
        <f t="shared" si="194"/>
        <v>0</v>
      </c>
      <c r="CV89" s="171">
        <f t="shared" si="194"/>
        <v>0</v>
      </c>
      <c r="CW89" s="171">
        <f t="shared" si="194"/>
        <v>0</v>
      </c>
      <c r="CX89" s="171">
        <f t="shared" si="194"/>
        <v>0</v>
      </c>
      <c r="CY89" s="171">
        <f t="shared" si="194"/>
        <v>0</v>
      </c>
      <c r="CZ89" s="171">
        <f t="shared" si="194"/>
        <v>0</v>
      </c>
      <c r="DA89" s="171">
        <f t="shared" si="194"/>
        <v>0</v>
      </c>
      <c r="DB89" s="171">
        <f t="shared" si="194"/>
        <v>0</v>
      </c>
      <c r="DC89" s="171">
        <f t="shared" si="194"/>
        <v>0</v>
      </c>
      <c r="DD89" s="171">
        <f t="shared" si="194"/>
        <v>0</v>
      </c>
      <c r="DE89" s="171">
        <f t="shared" si="194"/>
        <v>0</v>
      </c>
      <c r="DF89" s="171">
        <f t="shared" si="194"/>
        <v>0</v>
      </c>
      <c r="DG89" s="171">
        <f t="shared" si="194"/>
        <v>0</v>
      </c>
      <c r="DH89" s="171">
        <f t="shared" si="194"/>
        <v>0</v>
      </c>
      <c r="DI89" s="171">
        <f t="shared" si="194"/>
        <v>0</v>
      </c>
      <c r="DJ89" s="171">
        <f t="shared" si="194"/>
        <v>0</v>
      </c>
      <c r="DK89" s="171">
        <f t="shared" si="194"/>
        <v>0</v>
      </c>
      <c r="DL89" s="171">
        <f t="shared" si="194"/>
        <v>0</v>
      </c>
      <c r="DM89" s="171">
        <f t="shared" si="194"/>
        <v>0</v>
      </c>
      <c r="DN89" s="171">
        <f t="shared" si="194"/>
        <v>0</v>
      </c>
      <c r="DO89" s="171">
        <f t="shared" si="194"/>
        <v>0</v>
      </c>
      <c r="DP89" s="171">
        <f t="shared" si="194"/>
        <v>0</v>
      </c>
      <c r="DQ89" s="171">
        <f t="shared" si="194"/>
        <v>0</v>
      </c>
      <c r="DR89" s="171">
        <f t="shared" si="194"/>
        <v>0</v>
      </c>
      <c r="DS89" s="171">
        <f t="shared" si="194"/>
        <v>0</v>
      </c>
      <c r="DT89" s="171">
        <f t="shared" si="194"/>
        <v>0</v>
      </c>
      <c r="DU89" s="171">
        <f t="shared" ref="DU89:EA89" si="195">DU83*1000/$I89</f>
        <v>0</v>
      </c>
      <c r="DV89" s="171">
        <f t="shared" si="195"/>
        <v>0</v>
      </c>
      <c r="DW89" s="171">
        <f t="shared" si="195"/>
        <v>0</v>
      </c>
      <c r="DX89" s="171">
        <f t="shared" si="195"/>
        <v>0</v>
      </c>
      <c r="DY89" s="171">
        <f t="shared" si="195"/>
        <v>0</v>
      </c>
      <c r="DZ89" s="171">
        <f t="shared" si="195"/>
        <v>0</v>
      </c>
      <c r="EA89" s="171">
        <f t="shared" si="195"/>
        <v>0</v>
      </c>
      <c r="EB89" s="171">
        <f t="shared" ref="EB89:EQ89" si="196">EB83*1000/$I89</f>
        <v>0</v>
      </c>
      <c r="EC89" s="171">
        <f t="shared" si="196"/>
        <v>0</v>
      </c>
      <c r="ED89" s="1321">
        <f t="shared" si="196"/>
        <v>0</v>
      </c>
      <c r="EE89" s="171">
        <f t="shared" si="196"/>
        <v>0</v>
      </c>
      <c r="EF89" s="171">
        <f t="shared" si="196"/>
        <v>0</v>
      </c>
      <c r="EG89" s="171">
        <f t="shared" si="196"/>
        <v>0</v>
      </c>
      <c r="EH89" s="171">
        <f t="shared" si="196"/>
        <v>0</v>
      </c>
      <c r="EI89" s="171">
        <f t="shared" si="196"/>
        <v>0</v>
      </c>
      <c r="EJ89" s="171">
        <f t="shared" si="196"/>
        <v>0</v>
      </c>
      <c r="EK89" s="171">
        <f t="shared" si="196"/>
        <v>0</v>
      </c>
      <c r="EL89" s="171">
        <f t="shared" si="196"/>
        <v>0</v>
      </c>
      <c r="EM89" s="171">
        <f t="shared" si="196"/>
        <v>0</v>
      </c>
      <c r="EN89" s="171">
        <f t="shared" si="196"/>
        <v>0</v>
      </c>
      <c r="EO89" s="171">
        <f t="shared" si="196"/>
        <v>0</v>
      </c>
      <c r="EP89" s="171">
        <f t="shared" si="196"/>
        <v>0</v>
      </c>
      <c r="EQ89" s="171">
        <f t="shared" si="196"/>
        <v>0</v>
      </c>
    </row>
    <row r="90" spans="3:147" ht="11.25" customHeight="1">
      <c r="C90" s="1058"/>
      <c r="D90" s="179" t="s">
        <v>243</v>
      </c>
      <c r="E90" s="180"/>
      <c r="F90" s="180"/>
      <c r="G90" s="180"/>
      <c r="H90" s="181"/>
      <c r="I90" s="860"/>
      <c r="J90" s="183"/>
      <c r="K90" s="98"/>
      <c r="L90" s="1064">
        <f>IFERROR(L89/SUM(L$80,L$89),)</f>
        <v>0</v>
      </c>
      <c r="M90" s="1064">
        <f t="shared" ref="M90:BX90" si="197">IFERROR(M89/SUM(M$80,M$89),)</f>
        <v>0</v>
      </c>
      <c r="N90" s="1064">
        <f t="shared" si="197"/>
        <v>0</v>
      </c>
      <c r="O90" s="1064">
        <f t="shared" si="197"/>
        <v>0</v>
      </c>
      <c r="P90" s="1064">
        <f t="shared" si="197"/>
        <v>0</v>
      </c>
      <c r="Q90" s="1064">
        <f t="shared" si="197"/>
        <v>0</v>
      </c>
      <c r="R90" s="1064">
        <f t="shared" si="197"/>
        <v>0</v>
      </c>
      <c r="S90" s="1064">
        <f t="shared" si="197"/>
        <v>0</v>
      </c>
      <c r="T90" s="1064">
        <f t="shared" si="197"/>
        <v>0</v>
      </c>
      <c r="U90" s="1064">
        <f t="shared" si="197"/>
        <v>0</v>
      </c>
      <c r="V90" s="1064">
        <f t="shared" si="197"/>
        <v>0</v>
      </c>
      <c r="W90" s="1064">
        <f t="shared" si="197"/>
        <v>0</v>
      </c>
      <c r="X90" s="1064">
        <f t="shared" si="197"/>
        <v>0</v>
      </c>
      <c r="Y90" s="1064">
        <f t="shared" si="197"/>
        <v>0</v>
      </c>
      <c r="Z90" s="1064">
        <f t="shared" si="197"/>
        <v>0</v>
      </c>
      <c r="AA90" s="1064">
        <f t="shared" si="197"/>
        <v>0</v>
      </c>
      <c r="AB90" s="1064">
        <f t="shared" si="197"/>
        <v>0</v>
      </c>
      <c r="AC90" s="1064">
        <f t="shared" si="197"/>
        <v>0</v>
      </c>
      <c r="AD90" s="1064">
        <f t="shared" si="197"/>
        <v>0</v>
      </c>
      <c r="AE90" s="1064">
        <f t="shared" si="197"/>
        <v>0</v>
      </c>
      <c r="AF90" s="1064">
        <f t="shared" si="197"/>
        <v>0</v>
      </c>
      <c r="AG90" s="1064">
        <f t="shared" si="197"/>
        <v>0</v>
      </c>
      <c r="AH90" s="1064">
        <f t="shared" si="197"/>
        <v>0</v>
      </c>
      <c r="AI90" s="1064">
        <f t="shared" si="197"/>
        <v>0</v>
      </c>
      <c r="AJ90" s="1064">
        <f t="shared" si="197"/>
        <v>0</v>
      </c>
      <c r="AK90" s="1064">
        <f t="shared" si="197"/>
        <v>0</v>
      </c>
      <c r="AL90" s="1064">
        <f t="shared" si="197"/>
        <v>0</v>
      </c>
      <c r="AM90" s="1064">
        <f t="shared" si="197"/>
        <v>0</v>
      </c>
      <c r="AN90" s="1064">
        <f t="shared" si="197"/>
        <v>0</v>
      </c>
      <c r="AO90" s="1064">
        <f t="shared" si="197"/>
        <v>0</v>
      </c>
      <c r="AP90" s="1064">
        <f t="shared" si="197"/>
        <v>0</v>
      </c>
      <c r="AQ90" s="1064">
        <f t="shared" si="197"/>
        <v>0</v>
      </c>
      <c r="AR90" s="1064">
        <f t="shared" si="197"/>
        <v>0</v>
      </c>
      <c r="AS90" s="1064">
        <f t="shared" si="197"/>
        <v>0</v>
      </c>
      <c r="AT90" s="1064">
        <f t="shared" si="197"/>
        <v>0</v>
      </c>
      <c r="AU90" s="1064">
        <f t="shared" si="197"/>
        <v>0</v>
      </c>
      <c r="AV90" s="1064">
        <f t="shared" si="197"/>
        <v>0</v>
      </c>
      <c r="AW90" s="1064">
        <f t="shared" si="197"/>
        <v>0</v>
      </c>
      <c r="AX90" s="1064">
        <f t="shared" si="197"/>
        <v>0</v>
      </c>
      <c r="AY90" s="1064">
        <f t="shared" si="197"/>
        <v>0</v>
      </c>
      <c r="AZ90" s="1064">
        <f t="shared" si="197"/>
        <v>0</v>
      </c>
      <c r="BA90" s="1064">
        <f t="shared" si="197"/>
        <v>0</v>
      </c>
      <c r="BB90" s="1064">
        <f t="shared" si="197"/>
        <v>0</v>
      </c>
      <c r="BC90" s="1064">
        <f t="shared" si="197"/>
        <v>0</v>
      </c>
      <c r="BD90" s="1064">
        <f t="shared" si="197"/>
        <v>0</v>
      </c>
      <c r="BE90" s="1064">
        <f t="shared" si="197"/>
        <v>0</v>
      </c>
      <c r="BF90" s="1064">
        <f t="shared" si="197"/>
        <v>0</v>
      </c>
      <c r="BG90" s="1064">
        <f t="shared" si="197"/>
        <v>0</v>
      </c>
      <c r="BH90" s="1064">
        <f t="shared" si="197"/>
        <v>0</v>
      </c>
      <c r="BI90" s="1064">
        <f t="shared" si="197"/>
        <v>0</v>
      </c>
      <c r="BJ90" s="1064">
        <f t="shared" si="197"/>
        <v>0</v>
      </c>
      <c r="BK90" s="1064">
        <f t="shared" si="197"/>
        <v>0</v>
      </c>
      <c r="BL90" s="1064">
        <f t="shared" si="197"/>
        <v>0</v>
      </c>
      <c r="BM90" s="1064">
        <f t="shared" si="197"/>
        <v>0</v>
      </c>
      <c r="BN90" s="1064">
        <f t="shared" si="197"/>
        <v>0</v>
      </c>
      <c r="BO90" s="1064">
        <f t="shared" si="197"/>
        <v>0</v>
      </c>
      <c r="BP90" s="1064">
        <f t="shared" si="197"/>
        <v>0</v>
      </c>
      <c r="BQ90" s="1064">
        <f t="shared" si="197"/>
        <v>0</v>
      </c>
      <c r="BR90" s="1064">
        <f t="shared" si="197"/>
        <v>0</v>
      </c>
      <c r="BS90" s="1064">
        <f t="shared" si="197"/>
        <v>0</v>
      </c>
      <c r="BT90" s="1064">
        <f t="shared" si="197"/>
        <v>0</v>
      </c>
      <c r="BU90" s="1064">
        <f t="shared" si="197"/>
        <v>0</v>
      </c>
      <c r="BV90" s="1064">
        <f t="shared" si="197"/>
        <v>0</v>
      </c>
      <c r="BW90" s="1064">
        <f t="shared" si="197"/>
        <v>0</v>
      </c>
      <c r="BX90" s="1064">
        <f t="shared" si="197"/>
        <v>0</v>
      </c>
      <c r="BY90" s="1064">
        <f t="shared" ref="BY90:DT90" si="198">IFERROR(BY89/SUM(BY$80,BY$89),)</f>
        <v>0</v>
      </c>
      <c r="BZ90" s="1064">
        <f t="shared" si="198"/>
        <v>0</v>
      </c>
      <c r="CA90" s="1064">
        <f t="shared" si="198"/>
        <v>0</v>
      </c>
      <c r="CB90" s="1064">
        <f t="shared" si="198"/>
        <v>0</v>
      </c>
      <c r="CC90" s="1064">
        <f t="shared" si="198"/>
        <v>0</v>
      </c>
      <c r="CD90" s="1064">
        <f t="shared" si="198"/>
        <v>0</v>
      </c>
      <c r="CE90" s="1064">
        <f t="shared" si="198"/>
        <v>0</v>
      </c>
      <c r="CF90" s="1064">
        <f t="shared" si="198"/>
        <v>0</v>
      </c>
      <c r="CG90" s="1064">
        <f t="shared" si="198"/>
        <v>0</v>
      </c>
      <c r="CH90" s="1064">
        <f t="shared" si="198"/>
        <v>0</v>
      </c>
      <c r="CI90" s="1064">
        <f t="shared" si="198"/>
        <v>0</v>
      </c>
      <c r="CJ90" s="1064">
        <f t="shared" si="198"/>
        <v>0</v>
      </c>
      <c r="CK90" s="1064">
        <f t="shared" si="198"/>
        <v>0</v>
      </c>
      <c r="CL90" s="1064">
        <f t="shared" si="198"/>
        <v>0</v>
      </c>
      <c r="CM90" s="1064">
        <f t="shared" si="198"/>
        <v>0</v>
      </c>
      <c r="CN90" s="1064">
        <f t="shared" si="198"/>
        <v>0</v>
      </c>
      <c r="CO90" s="1064">
        <f t="shared" si="198"/>
        <v>0</v>
      </c>
      <c r="CP90" s="1064">
        <f t="shared" si="198"/>
        <v>0</v>
      </c>
      <c r="CQ90" s="1064">
        <f t="shared" si="198"/>
        <v>0</v>
      </c>
      <c r="CR90" s="1064">
        <f t="shared" si="198"/>
        <v>0</v>
      </c>
      <c r="CS90" s="1064">
        <f t="shared" si="198"/>
        <v>0</v>
      </c>
      <c r="CT90" s="1064">
        <f t="shared" si="198"/>
        <v>0</v>
      </c>
      <c r="CU90" s="1064">
        <f t="shared" si="198"/>
        <v>0</v>
      </c>
      <c r="CV90" s="1064">
        <f t="shared" si="198"/>
        <v>0</v>
      </c>
      <c r="CW90" s="1064">
        <f t="shared" si="198"/>
        <v>0</v>
      </c>
      <c r="CX90" s="1064">
        <f t="shared" si="198"/>
        <v>0</v>
      </c>
      <c r="CY90" s="1064">
        <f t="shared" si="198"/>
        <v>0</v>
      </c>
      <c r="CZ90" s="1064">
        <f t="shared" si="198"/>
        <v>0</v>
      </c>
      <c r="DA90" s="1064">
        <f t="shared" si="198"/>
        <v>0</v>
      </c>
      <c r="DB90" s="1064">
        <f t="shared" si="198"/>
        <v>0</v>
      </c>
      <c r="DC90" s="1064">
        <f t="shared" si="198"/>
        <v>0</v>
      </c>
      <c r="DD90" s="1064">
        <f t="shared" si="198"/>
        <v>0</v>
      </c>
      <c r="DE90" s="1064">
        <f t="shared" si="198"/>
        <v>0</v>
      </c>
      <c r="DF90" s="1064">
        <f t="shared" si="198"/>
        <v>0</v>
      </c>
      <c r="DG90" s="1064">
        <f t="shared" si="198"/>
        <v>0</v>
      </c>
      <c r="DH90" s="1064">
        <f t="shared" si="198"/>
        <v>0</v>
      </c>
      <c r="DI90" s="1064">
        <f t="shared" si="198"/>
        <v>0</v>
      </c>
      <c r="DJ90" s="1064">
        <f t="shared" si="198"/>
        <v>0</v>
      </c>
      <c r="DK90" s="1064">
        <f t="shared" si="198"/>
        <v>0</v>
      </c>
      <c r="DL90" s="1064">
        <f t="shared" si="198"/>
        <v>0</v>
      </c>
      <c r="DM90" s="1064">
        <f t="shared" si="198"/>
        <v>0</v>
      </c>
      <c r="DN90" s="1064">
        <f t="shared" si="198"/>
        <v>0</v>
      </c>
      <c r="DO90" s="1064">
        <f t="shared" si="198"/>
        <v>0</v>
      </c>
      <c r="DP90" s="1064">
        <f t="shared" si="198"/>
        <v>0</v>
      </c>
      <c r="DQ90" s="1064">
        <f t="shared" si="198"/>
        <v>0</v>
      </c>
      <c r="DR90" s="1064">
        <f t="shared" si="198"/>
        <v>0</v>
      </c>
      <c r="DS90" s="1064">
        <f t="shared" si="198"/>
        <v>0</v>
      </c>
      <c r="DT90" s="1064">
        <f t="shared" si="198"/>
        <v>0</v>
      </c>
      <c r="DU90" s="1064">
        <f t="shared" ref="DU90:EA90" si="199">IFERROR(DU89/SUM(DU$80,DU$89),)</f>
        <v>0</v>
      </c>
      <c r="DV90" s="1064">
        <f t="shared" si="199"/>
        <v>0</v>
      </c>
      <c r="DW90" s="1064">
        <f t="shared" si="199"/>
        <v>0</v>
      </c>
      <c r="DX90" s="1064">
        <f t="shared" si="199"/>
        <v>0</v>
      </c>
      <c r="DY90" s="1064">
        <f t="shared" si="199"/>
        <v>0</v>
      </c>
      <c r="DZ90" s="1064">
        <f t="shared" si="199"/>
        <v>0</v>
      </c>
      <c r="EA90" s="1064">
        <f t="shared" si="199"/>
        <v>0</v>
      </c>
      <c r="EB90" s="1064">
        <f t="shared" ref="EB90:EQ90" si="200">IFERROR(EB89/SUM(EB$80,EB$89),)</f>
        <v>0</v>
      </c>
      <c r="EC90" s="1064">
        <f t="shared" si="200"/>
        <v>0</v>
      </c>
      <c r="ED90" s="1326">
        <f t="shared" si="200"/>
        <v>0</v>
      </c>
      <c r="EE90" s="1064">
        <f t="shared" si="200"/>
        <v>0</v>
      </c>
      <c r="EF90" s="1064">
        <f t="shared" si="200"/>
        <v>0</v>
      </c>
      <c r="EG90" s="1064">
        <f t="shared" si="200"/>
        <v>0</v>
      </c>
      <c r="EH90" s="1064">
        <f t="shared" si="200"/>
        <v>0</v>
      </c>
      <c r="EI90" s="1064">
        <f t="shared" si="200"/>
        <v>0</v>
      </c>
      <c r="EJ90" s="1064">
        <f t="shared" si="200"/>
        <v>0</v>
      </c>
      <c r="EK90" s="1064">
        <f t="shared" si="200"/>
        <v>0</v>
      </c>
      <c r="EL90" s="1064">
        <f t="shared" si="200"/>
        <v>0</v>
      </c>
      <c r="EM90" s="1064">
        <f t="shared" si="200"/>
        <v>0</v>
      </c>
      <c r="EN90" s="1064">
        <f t="shared" si="200"/>
        <v>0</v>
      </c>
      <c r="EO90" s="1064">
        <f t="shared" si="200"/>
        <v>0</v>
      </c>
      <c r="EP90" s="1064">
        <f t="shared" si="200"/>
        <v>0</v>
      </c>
      <c r="EQ90" s="1064">
        <f t="shared" si="200"/>
        <v>0</v>
      </c>
    </row>
    <row r="91" spans="3:147" ht="11.25" customHeight="1">
      <c r="C91" s="158" t="str">
        <f>'A&amp;R'!L45</f>
        <v>열후주</v>
      </c>
      <c r="D91" s="159"/>
      <c r="E91" s="159"/>
      <c r="F91" s="159"/>
      <c r="G91" s="159"/>
      <c r="H91" s="160"/>
      <c r="I91" s="219"/>
      <c r="J91" s="161"/>
      <c r="K91" s="98"/>
      <c r="L91" s="162"/>
      <c r="M91" s="162"/>
      <c r="N91" s="162"/>
      <c r="O91" s="162"/>
      <c r="P91" s="162"/>
      <c r="Q91" s="162"/>
      <c r="R91" s="162"/>
      <c r="S91" s="162"/>
      <c r="T91" s="162"/>
      <c r="U91" s="162"/>
      <c r="V91" s="162"/>
      <c r="W91" s="162"/>
      <c r="X91" s="162"/>
      <c r="Y91" s="162"/>
      <c r="Z91" s="162"/>
      <c r="AA91" s="162"/>
      <c r="AB91" s="162"/>
      <c r="AC91" s="162"/>
      <c r="AD91" s="162"/>
      <c r="AE91" s="162"/>
      <c r="AF91" s="162"/>
      <c r="AG91" s="162"/>
      <c r="AH91" s="162"/>
      <c r="AI91" s="162"/>
      <c r="AJ91" s="162"/>
      <c r="AK91" s="162"/>
      <c r="AL91" s="162"/>
      <c r="AM91" s="162"/>
      <c r="AN91" s="162"/>
      <c r="AO91" s="162"/>
      <c r="AP91" s="162"/>
      <c r="AQ91" s="162"/>
      <c r="AR91" s="162"/>
      <c r="AS91" s="162"/>
      <c r="AT91" s="162"/>
      <c r="AU91" s="162"/>
      <c r="AV91" s="162"/>
      <c r="AW91" s="162"/>
      <c r="AX91" s="162"/>
      <c r="AY91" s="162"/>
      <c r="AZ91" s="162"/>
      <c r="BA91" s="162"/>
      <c r="BB91" s="162"/>
      <c r="BC91" s="162"/>
      <c r="BD91" s="162"/>
      <c r="BE91" s="162"/>
      <c r="BF91" s="162"/>
      <c r="BG91" s="162"/>
      <c r="BH91" s="162"/>
      <c r="BI91" s="162"/>
      <c r="BJ91" s="162"/>
      <c r="BK91" s="162"/>
      <c r="BL91" s="162"/>
      <c r="BM91" s="162"/>
      <c r="BN91" s="162"/>
      <c r="BO91" s="162"/>
      <c r="BP91" s="162"/>
      <c r="BQ91" s="162"/>
      <c r="BR91" s="162"/>
      <c r="BS91" s="162"/>
      <c r="BT91" s="162"/>
      <c r="BU91" s="162"/>
      <c r="BV91" s="162"/>
      <c r="BW91" s="162"/>
      <c r="BX91" s="162"/>
      <c r="BY91" s="162"/>
      <c r="BZ91" s="162"/>
      <c r="CA91" s="162"/>
      <c r="CB91" s="162"/>
      <c r="CC91" s="162"/>
      <c r="CD91" s="162"/>
      <c r="CE91" s="162"/>
      <c r="CF91" s="162"/>
      <c r="CG91" s="162"/>
      <c r="CH91" s="162"/>
      <c r="CI91" s="162"/>
      <c r="CJ91" s="162"/>
      <c r="CK91" s="162"/>
      <c r="CL91" s="162"/>
      <c r="CM91" s="162"/>
      <c r="CN91" s="162"/>
      <c r="CO91" s="162"/>
      <c r="CP91" s="162"/>
      <c r="CQ91" s="162"/>
      <c r="CR91" s="162"/>
      <c r="CS91" s="162"/>
      <c r="CT91" s="162"/>
      <c r="CU91" s="162"/>
      <c r="CV91" s="162"/>
      <c r="CW91" s="162"/>
      <c r="CX91" s="162"/>
      <c r="CY91" s="162"/>
      <c r="CZ91" s="162"/>
      <c r="DA91" s="162"/>
      <c r="DB91" s="162"/>
      <c r="DC91" s="162"/>
      <c r="DD91" s="162"/>
      <c r="DE91" s="162"/>
      <c r="DF91" s="162"/>
      <c r="DG91" s="162"/>
      <c r="DH91" s="162"/>
      <c r="DI91" s="162"/>
      <c r="DJ91" s="162"/>
      <c r="DK91" s="162"/>
      <c r="DL91" s="162"/>
      <c r="DM91" s="162"/>
      <c r="DN91" s="162"/>
      <c r="DO91" s="162"/>
      <c r="DP91" s="162"/>
      <c r="DQ91" s="162"/>
      <c r="DR91" s="162"/>
      <c r="DS91" s="162"/>
      <c r="DT91" s="162"/>
      <c r="DU91" s="162"/>
      <c r="DV91" s="162"/>
      <c r="DW91" s="162"/>
      <c r="DX91" s="162"/>
      <c r="DY91" s="162"/>
      <c r="DZ91" s="162"/>
      <c r="EA91" s="162"/>
      <c r="EB91" s="162"/>
      <c r="EC91" s="162"/>
      <c r="ED91" s="1319"/>
      <c r="EE91" s="162"/>
      <c r="EF91" s="162"/>
      <c r="EG91" s="162"/>
      <c r="EH91" s="162"/>
      <c r="EI91" s="162"/>
      <c r="EJ91" s="162"/>
      <c r="EK91" s="162"/>
      <c r="EL91" s="162"/>
      <c r="EM91" s="162"/>
      <c r="EN91" s="162"/>
      <c r="EO91" s="162"/>
      <c r="EP91" s="162"/>
      <c r="EQ91" s="162"/>
    </row>
    <row r="92" spans="3:147" ht="11.25" customHeight="1">
      <c r="C92" s="163"/>
      <c r="D92" s="164" t="s">
        <v>217</v>
      </c>
      <c r="E92" s="165"/>
      <c r="F92" s="165"/>
      <c r="G92" s="165"/>
      <c r="H92" s="166"/>
      <c r="I92" s="221"/>
      <c r="J92" s="167"/>
      <c r="K92" s="98"/>
      <c r="L92" s="168">
        <f t="shared" ref="L92:AQ92" si="201">K95</f>
        <v>0</v>
      </c>
      <c r="M92" s="168">
        <f t="shared" si="201"/>
        <v>0</v>
      </c>
      <c r="N92" s="168">
        <f t="shared" si="201"/>
        <v>0</v>
      </c>
      <c r="O92" s="168">
        <f t="shared" si="201"/>
        <v>0</v>
      </c>
      <c r="P92" s="168">
        <f t="shared" si="201"/>
        <v>0</v>
      </c>
      <c r="Q92" s="168">
        <f t="shared" si="201"/>
        <v>0</v>
      </c>
      <c r="R92" s="168">
        <f t="shared" si="201"/>
        <v>0</v>
      </c>
      <c r="S92" s="168">
        <f t="shared" si="201"/>
        <v>0</v>
      </c>
      <c r="T92" s="168">
        <f t="shared" si="201"/>
        <v>0</v>
      </c>
      <c r="U92" s="168">
        <f t="shared" si="201"/>
        <v>0</v>
      </c>
      <c r="V92" s="168">
        <f t="shared" si="201"/>
        <v>0</v>
      </c>
      <c r="W92" s="168">
        <f t="shared" si="201"/>
        <v>0</v>
      </c>
      <c r="X92" s="168">
        <f t="shared" si="201"/>
        <v>0</v>
      </c>
      <c r="Y92" s="168">
        <f t="shared" si="201"/>
        <v>0</v>
      </c>
      <c r="Z92" s="168">
        <f t="shared" si="201"/>
        <v>0</v>
      </c>
      <c r="AA92" s="168">
        <f t="shared" si="201"/>
        <v>0</v>
      </c>
      <c r="AB92" s="168">
        <f t="shared" si="201"/>
        <v>0</v>
      </c>
      <c r="AC92" s="168">
        <f t="shared" si="201"/>
        <v>0</v>
      </c>
      <c r="AD92" s="168">
        <f t="shared" si="201"/>
        <v>0</v>
      </c>
      <c r="AE92" s="168">
        <f t="shared" si="201"/>
        <v>0</v>
      </c>
      <c r="AF92" s="168">
        <f t="shared" si="201"/>
        <v>0</v>
      </c>
      <c r="AG92" s="168">
        <f t="shared" si="201"/>
        <v>0</v>
      </c>
      <c r="AH92" s="168">
        <f t="shared" si="201"/>
        <v>0</v>
      </c>
      <c r="AI92" s="168">
        <f t="shared" si="201"/>
        <v>0</v>
      </c>
      <c r="AJ92" s="168">
        <f t="shared" si="201"/>
        <v>0</v>
      </c>
      <c r="AK92" s="168">
        <f t="shared" si="201"/>
        <v>0</v>
      </c>
      <c r="AL92" s="168">
        <f t="shared" si="201"/>
        <v>0</v>
      </c>
      <c r="AM92" s="168">
        <f t="shared" si="201"/>
        <v>0</v>
      </c>
      <c r="AN92" s="168">
        <f t="shared" si="201"/>
        <v>0</v>
      </c>
      <c r="AO92" s="168">
        <f t="shared" si="201"/>
        <v>0</v>
      </c>
      <c r="AP92" s="168">
        <f t="shared" si="201"/>
        <v>0</v>
      </c>
      <c r="AQ92" s="168">
        <f t="shared" si="201"/>
        <v>0</v>
      </c>
      <c r="AR92" s="168">
        <f t="shared" ref="AR92:BW92" si="202">AQ95</f>
        <v>0</v>
      </c>
      <c r="AS92" s="168">
        <f t="shared" si="202"/>
        <v>0</v>
      </c>
      <c r="AT92" s="168">
        <f t="shared" si="202"/>
        <v>0</v>
      </c>
      <c r="AU92" s="168">
        <f t="shared" si="202"/>
        <v>0</v>
      </c>
      <c r="AV92" s="168">
        <f t="shared" si="202"/>
        <v>0</v>
      </c>
      <c r="AW92" s="168">
        <f t="shared" si="202"/>
        <v>0</v>
      </c>
      <c r="AX92" s="168">
        <f t="shared" si="202"/>
        <v>0</v>
      </c>
      <c r="AY92" s="168">
        <f t="shared" si="202"/>
        <v>0</v>
      </c>
      <c r="AZ92" s="168">
        <f t="shared" si="202"/>
        <v>0</v>
      </c>
      <c r="BA92" s="168">
        <f t="shared" si="202"/>
        <v>0</v>
      </c>
      <c r="BB92" s="168">
        <f t="shared" si="202"/>
        <v>0</v>
      </c>
      <c r="BC92" s="168">
        <f t="shared" si="202"/>
        <v>0</v>
      </c>
      <c r="BD92" s="168">
        <f t="shared" si="202"/>
        <v>0</v>
      </c>
      <c r="BE92" s="168">
        <f t="shared" si="202"/>
        <v>0</v>
      </c>
      <c r="BF92" s="168">
        <f t="shared" si="202"/>
        <v>0</v>
      </c>
      <c r="BG92" s="168">
        <f t="shared" si="202"/>
        <v>0</v>
      </c>
      <c r="BH92" s="168">
        <f t="shared" si="202"/>
        <v>0</v>
      </c>
      <c r="BI92" s="168">
        <f t="shared" si="202"/>
        <v>0</v>
      </c>
      <c r="BJ92" s="168">
        <f t="shared" si="202"/>
        <v>0</v>
      </c>
      <c r="BK92" s="168">
        <f t="shared" si="202"/>
        <v>0</v>
      </c>
      <c r="BL92" s="168">
        <f t="shared" si="202"/>
        <v>0</v>
      </c>
      <c r="BM92" s="168">
        <f t="shared" si="202"/>
        <v>0</v>
      </c>
      <c r="BN92" s="168">
        <f t="shared" si="202"/>
        <v>0</v>
      </c>
      <c r="BO92" s="168">
        <f t="shared" si="202"/>
        <v>0</v>
      </c>
      <c r="BP92" s="168">
        <f t="shared" si="202"/>
        <v>0</v>
      </c>
      <c r="BQ92" s="168">
        <f t="shared" si="202"/>
        <v>0</v>
      </c>
      <c r="BR92" s="168">
        <f t="shared" si="202"/>
        <v>0</v>
      </c>
      <c r="BS92" s="168">
        <f t="shared" si="202"/>
        <v>0</v>
      </c>
      <c r="BT92" s="168">
        <f t="shared" si="202"/>
        <v>0</v>
      </c>
      <c r="BU92" s="168">
        <f t="shared" si="202"/>
        <v>0</v>
      </c>
      <c r="BV92" s="168">
        <f t="shared" si="202"/>
        <v>0</v>
      </c>
      <c r="BW92" s="168">
        <f t="shared" si="202"/>
        <v>0</v>
      </c>
      <c r="BX92" s="168">
        <f t="shared" ref="BX92:DC92" si="203">BW95</f>
        <v>0</v>
      </c>
      <c r="BY92" s="168">
        <f t="shared" si="203"/>
        <v>0</v>
      </c>
      <c r="BZ92" s="168">
        <f t="shared" si="203"/>
        <v>0</v>
      </c>
      <c r="CA92" s="168">
        <f t="shared" si="203"/>
        <v>0</v>
      </c>
      <c r="CB92" s="168">
        <f t="shared" si="203"/>
        <v>0</v>
      </c>
      <c r="CC92" s="168">
        <f t="shared" si="203"/>
        <v>0</v>
      </c>
      <c r="CD92" s="168">
        <f t="shared" si="203"/>
        <v>0</v>
      </c>
      <c r="CE92" s="168">
        <f t="shared" si="203"/>
        <v>0</v>
      </c>
      <c r="CF92" s="168">
        <f t="shared" si="203"/>
        <v>0</v>
      </c>
      <c r="CG92" s="168">
        <f t="shared" si="203"/>
        <v>0</v>
      </c>
      <c r="CH92" s="168">
        <f t="shared" si="203"/>
        <v>0</v>
      </c>
      <c r="CI92" s="168">
        <f t="shared" si="203"/>
        <v>0</v>
      </c>
      <c r="CJ92" s="168">
        <f t="shared" si="203"/>
        <v>0</v>
      </c>
      <c r="CK92" s="168">
        <f t="shared" si="203"/>
        <v>0</v>
      </c>
      <c r="CL92" s="168">
        <f t="shared" si="203"/>
        <v>0</v>
      </c>
      <c r="CM92" s="168">
        <f t="shared" si="203"/>
        <v>0</v>
      </c>
      <c r="CN92" s="168">
        <f t="shared" si="203"/>
        <v>0</v>
      </c>
      <c r="CO92" s="168">
        <f t="shared" si="203"/>
        <v>0</v>
      </c>
      <c r="CP92" s="168">
        <f t="shared" si="203"/>
        <v>0</v>
      </c>
      <c r="CQ92" s="168">
        <f t="shared" si="203"/>
        <v>0</v>
      </c>
      <c r="CR92" s="168">
        <f t="shared" si="203"/>
        <v>0</v>
      </c>
      <c r="CS92" s="168">
        <f t="shared" si="203"/>
        <v>0</v>
      </c>
      <c r="CT92" s="168">
        <f t="shared" si="203"/>
        <v>0</v>
      </c>
      <c r="CU92" s="168">
        <f t="shared" si="203"/>
        <v>0</v>
      </c>
      <c r="CV92" s="168">
        <f t="shared" si="203"/>
        <v>0</v>
      </c>
      <c r="CW92" s="168">
        <f t="shared" si="203"/>
        <v>0</v>
      </c>
      <c r="CX92" s="168">
        <f t="shared" si="203"/>
        <v>0</v>
      </c>
      <c r="CY92" s="168">
        <f t="shared" si="203"/>
        <v>0</v>
      </c>
      <c r="CZ92" s="168">
        <f t="shared" si="203"/>
        <v>0</v>
      </c>
      <c r="DA92" s="168">
        <f t="shared" si="203"/>
        <v>0</v>
      </c>
      <c r="DB92" s="168">
        <f t="shared" si="203"/>
        <v>0</v>
      </c>
      <c r="DC92" s="168">
        <f t="shared" si="203"/>
        <v>0</v>
      </c>
      <c r="DD92" s="168">
        <f t="shared" ref="DD92:EI92" si="204">DC95</f>
        <v>0</v>
      </c>
      <c r="DE92" s="168">
        <f t="shared" si="204"/>
        <v>0</v>
      </c>
      <c r="DF92" s="168">
        <f t="shared" si="204"/>
        <v>0</v>
      </c>
      <c r="DG92" s="168">
        <f t="shared" si="204"/>
        <v>0</v>
      </c>
      <c r="DH92" s="168">
        <f t="shared" si="204"/>
        <v>0</v>
      </c>
      <c r="DI92" s="168">
        <f t="shared" si="204"/>
        <v>0</v>
      </c>
      <c r="DJ92" s="168">
        <f t="shared" si="204"/>
        <v>0</v>
      </c>
      <c r="DK92" s="168">
        <f t="shared" si="204"/>
        <v>0</v>
      </c>
      <c r="DL92" s="168">
        <f t="shared" si="204"/>
        <v>0</v>
      </c>
      <c r="DM92" s="168">
        <f t="shared" si="204"/>
        <v>0</v>
      </c>
      <c r="DN92" s="168">
        <f t="shared" si="204"/>
        <v>0</v>
      </c>
      <c r="DO92" s="168">
        <f t="shared" si="204"/>
        <v>0</v>
      </c>
      <c r="DP92" s="168">
        <f t="shared" si="204"/>
        <v>0</v>
      </c>
      <c r="DQ92" s="168">
        <f t="shared" si="204"/>
        <v>0</v>
      </c>
      <c r="DR92" s="168">
        <f t="shared" si="204"/>
        <v>0</v>
      </c>
      <c r="DS92" s="168">
        <f t="shared" si="204"/>
        <v>0</v>
      </c>
      <c r="DT92" s="168">
        <f t="shared" si="204"/>
        <v>0</v>
      </c>
      <c r="DU92" s="168">
        <f t="shared" si="204"/>
        <v>0</v>
      </c>
      <c r="DV92" s="168">
        <f t="shared" si="204"/>
        <v>0</v>
      </c>
      <c r="DW92" s="168">
        <f t="shared" si="204"/>
        <v>0</v>
      </c>
      <c r="DX92" s="168">
        <f t="shared" si="204"/>
        <v>0</v>
      </c>
      <c r="DY92" s="168">
        <f t="shared" si="204"/>
        <v>0</v>
      </c>
      <c r="DZ92" s="168">
        <f t="shared" si="204"/>
        <v>0</v>
      </c>
      <c r="EA92" s="168">
        <f t="shared" si="204"/>
        <v>0</v>
      </c>
      <c r="EB92" s="168">
        <f t="shared" si="204"/>
        <v>0</v>
      </c>
      <c r="EC92" s="168">
        <f t="shared" si="204"/>
        <v>0</v>
      </c>
      <c r="ED92" s="1320">
        <f t="shared" si="204"/>
        <v>0</v>
      </c>
      <c r="EE92" s="168">
        <f t="shared" si="204"/>
        <v>0</v>
      </c>
      <c r="EF92" s="168">
        <f t="shared" si="204"/>
        <v>0</v>
      </c>
      <c r="EG92" s="168">
        <f t="shared" si="204"/>
        <v>0</v>
      </c>
      <c r="EH92" s="168">
        <f t="shared" si="204"/>
        <v>0</v>
      </c>
      <c r="EI92" s="168">
        <f t="shared" si="204"/>
        <v>0</v>
      </c>
      <c r="EJ92" s="168">
        <f t="shared" ref="EJ92:EQ92" si="205">EI95</f>
        <v>0</v>
      </c>
      <c r="EK92" s="168">
        <f t="shared" si="205"/>
        <v>0</v>
      </c>
      <c r="EL92" s="168">
        <f t="shared" si="205"/>
        <v>0</v>
      </c>
      <c r="EM92" s="168">
        <f t="shared" si="205"/>
        <v>0</v>
      </c>
      <c r="EN92" s="168">
        <f t="shared" si="205"/>
        <v>0</v>
      </c>
      <c r="EO92" s="168">
        <f t="shared" si="205"/>
        <v>0</v>
      </c>
      <c r="EP92" s="168">
        <f t="shared" si="205"/>
        <v>0</v>
      </c>
      <c r="EQ92" s="168">
        <f t="shared" si="205"/>
        <v>0</v>
      </c>
    </row>
    <row r="93" spans="3:147" ht="11.25" customHeight="1">
      <c r="C93" s="163"/>
      <c r="D93" s="169" t="s">
        <v>218</v>
      </c>
      <c r="F93" s="146"/>
      <c r="G93" s="90"/>
      <c r="H93" s="146">
        <f>'A&amp;R'!M45</f>
        <v>46326</v>
      </c>
      <c r="I93" s="13">
        <f>'A&amp;R'!P45</f>
        <v>0</v>
      </c>
      <c r="J93" s="170">
        <f>SUM(L93:EQ93)</f>
        <v>0</v>
      </c>
      <c r="K93" s="98"/>
      <c r="L93" s="171">
        <f>(L$14=$H93)*$I93+(L$14=$F93)*$G93</f>
        <v>0</v>
      </c>
      <c r="M93" s="171">
        <f t="shared" ref="M93:BX93" si="206">(M$14=$H93)*$I93+(M$14=$F93)*$G93</f>
        <v>0</v>
      </c>
      <c r="N93" s="171">
        <f t="shared" si="206"/>
        <v>0</v>
      </c>
      <c r="O93" s="171">
        <f t="shared" si="206"/>
        <v>0</v>
      </c>
      <c r="P93" s="171">
        <f t="shared" si="206"/>
        <v>0</v>
      </c>
      <c r="Q93" s="171">
        <f t="shared" si="206"/>
        <v>0</v>
      </c>
      <c r="R93" s="171">
        <f t="shared" si="206"/>
        <v>0</v>
      </c>
      <c r="S93" s="171">
        <f t="shared" si="206"/>
        <v>0</v>
      </c>
      <c r="T93" s="171">
        <f t="shared" si="206"/>
        <v>0</v>
      </c>
      <c r="U93" s="171">
        <f t="shared" si="206"/>
        <v>0</v>
      </c>
      <c r="V93" s="171">
        <f t="shared" si="206"/>
        <v>0</v>
      </c>
      <c r="W93" s="171">
        <f t="shared" si="206"/>
        <v>0</v>
      </c>
      <c r="X93" s="171">
        <f t="shared" si="206"/>
        <v>0</v>
      </c>
      <c r="Y93" s="171">
        <f t="shared" si="206"/>
        <v>0</v>
      </c>
      <c r="Z93" s="171">
        <f t="shared" si="206"/>
        <v>0</v>
      </c>
      <c r="AA93" s="171">
        <f t="shared" si="206"/>
        <v>0</v>
      </c>
      <c r="AB93" s="171">
        <f t="shared" si="206"/>
        <v>0</v>
      </c>
      <c r="AC93" s="171">
        <f t="shared" si="206"/>
        <v>0</v>
      </c>
      <c r="AD93" s="171">
        <f t="shared" si="206"/>
        <v>0</v>
      </c>
      <c r="AE93" s="171">
        <f t="shared" si="206"/>
        <v>0</v>
      </c>
      <c r="AF93" s="171">
        <f t="shared" si="206"/>
        <v>0</v>
      </c>
      <c r="AG93" s="171">
        <f t="shared" si="206"/>
        <v>0</v>
      </c>
      <c r="AH93" s="171">
        <f t="shared" si="206"/>
        <v>0</v>
      </c>
      <c r="AI93" s="171">
        <f t="shared" si="206"/>
        <v>0</v>
      </c>
      <c r="AJ93" s="171">
        <f t="shared" si="206"/>
        <v>0</v>
      </c>
      <c r="AK93" s="171">
        <f t="shared" si="206"/>
        <v>0</v>
      </c>
      <c r="AL93" s="171">
        <f t="shared" si="206"/>
        <v>0</v>
      </c>
      <c r="AM93" s="171">
        <f t="shared" si="206"/>
        <v>0</v>
      </c>
      <c r="AN93" s="171">
        <f t="shared" si="206"/>
        <v>0</v>
      </c>
      <c r="AO93" s="171">
        <f t="shared" si="206"/>
        <v>0</v>
      </c>
      <c r="AP93" s="171">
        <f t="shared" si="206"/>
        <v>0</v>
      </c>
      <c r="AQ93" s="171">
        <f t="shared" si="206"/>
        <v>0</v>
      </c>
      <c r="AR93" s="171">
        <f t="shared" si="206"/>
        <v>0</v>
      </c>
      <c r="AS93" s="171">
        <f t="shared" si="206"/>
        <v>0</v>
      </c>
      <c r="AT93" s="171">
        <f t="shared" si="206"/>
        <v>0</v>
      </c>
      <c r="AU93" s="171">
        <f t="shared" si="206"/>
        <v>0</v>
      </c>
      <c r="AV93" s="171">
        <f t="shared" si="206"/>
        <v>0</v>
      </c>
      <c r="AW93" s="171">
        <f t="shared" si="206"/>
        <v>0</v>
      </c>
      <c r="AX93" s="171">
        <f t="shared" si="206"/>
        <v>0</v>
      </c>
      <c r="AY93" s="171">
        <f t="shared" si="206"/>
        <v>0</v>
      </c>
      <c r="AZ93" s="171">
        <f t="shared" si="206"/>
        <v>0</v>
      </c>
      <c r="BA93" s="171">
        <f t="shared" si="206"/>
        <v>0</v>
      </c>
      <c r="BB93" s="171">
        <f t="shared" si="206"/>
        <v>0</v>
      </c>
      <c r="BC93" s="171">
        <f t="shared" si="206"/>
        <v>0</v>
      </c>
      <c r="BD93" s="171">
        <f t="shared" si="206"/>
        <v>0</v>
      </c>
      <c r="BE93" s="171">
        <f t="shared" si="206"/>
        <v>0</v>
      </c>
      <c r="BF93" s="171">
        <f t="shared" si="206"/>
        <v>0</v>
      </c>
      <c r="BG93" s="171">
        <f t="shared" si="206"/>
        <v>0</v>
      </c>
      <c r="BH93" s="171">
        <f t="shared" si="206"/>
        <v>0</v>
      </c>
      <c r="BI93" s="171">
        <f t="shared" si="206"/>
        <v>0</v>
      </c>
      <c r="BJ93" s="171">
        <f t="shared" si="206"/>
        <v>0</v>
      </c>
      <c r="BK93" s="171">
        <f t="shared" si="206"/>
        <v>0</v>
      </c>
      <c r="BL93" s="171">
        <f t="shared" si="206"/>
        <v>0</v>
      </c>
      <c r="BM93" s="171">
        <f t="shared" si="206"/>
        <v>0</v>
      </c>
      <c r="BN93" s="171">
        <f t="shared" si="206"/>
        <v>0</v>
      </c>
      <c r="BO93" s="171">
        <f t="shared" si="206"/>
        <v>0</v>
      </c>
      <c r="BP93" s="171">
        <f t="shared" si="206"/>
        <v>0</v>
      </c>
      <c r="BQ93" s="171">
        <f t="shared" si="206"/>
        <v>0</v>
      </c>
      <c r="BR93" s="171">
        <f t="shared" si="206"/>
        <v>0</v>
      </c>
      <c r="BS93" s="171">
        <f t="shared" si="206"/>
        <v>0</v>
      </c>
      <c r="BT93" s="171">
        <f t="shared" si="206"/>
        <v>0</v>
      </c>
      <c r="BU93" s="171">
        <f t="shared" si="206"/>
        <v>0</v>
      </c>
      <c r="BV93" s="171">
        <f t="shared" si="206"/>
        <v>0</v>
      </c>
      <c r="BW93" s="171">
        <f t="shared" si="206"/>
        <v>0</v>
      </c>
      <c r="BX93" s="171">
        <f t="shared" si="206"/>
        <v>0</v>
      </c>
      <c r="BY93" s="171">
        <f t="shared" ref="BY93:EQ93" si="207">(BY$14=$H93)*$I93+(BY$14=$F93)*$G93</f>
        <v>0</v>
      </c>
      <c r="BZ93" s="171">
        <f t="shared" si="207"/>
        <v>0</v>
      </c>
      <c r="CA93" s="171">
        <f t="shared" si="207"/>
        <v>0</v>
      </c>
      <c r="CB93" s="171">
        <f t="shared" si="207"/>
        <v>0</v>
      </c>
      <c r="CC93" s="171">
        <f t="shared" si="207"/>
        <v>0</v>
      </c>
      <c r="CD93" s="171">
        <f t="shared" si="207"/>
        <v>0</v>
      </c>
      <c r="CE93" s="171">
        <f t="shared" si="207"/>
        <v>0</v>
      </c>
      <c r="CF93" s="171">
        <f t="shared" si="207"/>
        <v>0</v>
      </c>
      <c r="CG93" s="171">
        <f t="shared" si="207"/>
        <v>0</v>
      </c>
      <c r="CH93" s="171">
        <f t="shared" si="207"/>
        <v>0</v>
      </c>
      <c r="CI93" s="171">
        <f t="shared" si="207"/>
        <v>0</v>
      </c>
      <c r="CJ93" s="171">
        <f t="shared" si="207"/>
        <v>0</v>
      </c>
      <c r="CK93" s="171">
        <f t="shared" si="207"/>
        <v>0</v>
      </c>
      <c r="CL93" s="171">
        <f t="shared" si="207"/>
        <v>0</v>
      </c>
      <c r="CM93" s="171">
        <f t="shared" si="207"/>
        <v>0</v>
      </c>
      <c r="CN93" s="171">
        <f t="shared" si="207"/>
        <v>0</v>
      </c>
      <c r="CO93" s="171">
        <f t="shared" si="207"/>
        <v>0</v>
      </c>
      <c r="CP93" s="171">
        <f t="shared" si="207"/>
        <v>0</v>
      </c>
      <c r="CQ93" s="171">
        <f t="shared" si="207"/>
        <v>0</v>
      </c>
      <c r="CR93" s="171">
        <f t="shared" si="207"/>
        <v>0</v>
      </c>
      <c r="CS93" s="171">
        <f t="shared" si="207"/>
        <v>0</v>
      </c>
      <c r="CT93" s="171">
        <f t="shared" si="207"/>
        <v>0</v>
      </c>
      <c r="CU93" s="171">
        <f t="shared" si="207"/>
        <v>0</v>
      </c>
      <c r="CV93" s="171">
        <f t="shared" si="207"/>
        <v>0</v>
      </c>
      <c r="CW93" s="171">
        <f t="shared" si="207"/>
        <v>0</v>
      </c>
      <c r="CX93" s="171">
        <f t="shared" si="207"/>
        <v>0</v>
      </c>
      <c r="CY93" s="171">
        <f t="shared" si="207"/>
        <v>0</v>
      </c>
      <c r="CZ93" s="171">
        <f t="shared" si="207"/>
        <v>0</v>
      </c>
      <c r="DA93" s="171">
        <f t="shared" si="207"/>
        <v>0</v>
      </c>
      <c r="DB93" s="171">
        <f t="shared" si="207"/>
        <v>0</v>
      </c>
      <c r="DC93" s="171">
        <f t="shared" si="207"/>
        <v>0</v>
      </c>
      <c r="DD93" s="171">
        <f t="shared" si="207"/>
        <v>0</v>
      </c>
      <c r="DE93" s="171">
        <f t="shared" si="207"/>
        <v>0</v>
      </c>
      <c r="DF93" s="171">
        <f t="shared" si="207"/>
        <v>0</v>
      </c>
      <c r="DG93" s="171">
        <f t="shared" si="207"/>
        <v>0</v>
      </c>
      <c r="DH93" s="171">
        <f t="shared" si="207"/>
        <v>0</v>
      </c>
      <c r="DI93" s="171">
        <f t="shared" si="207"/>
        <v>0</v>
      </c>
      <c r="DJ93" s="171">
        <f t="shared" si="207"/>
        <v>0</v>
      </c>
      <c r="DK93" s="171">
        <f t="shared" si="207"/>
        <v>0</v>
      </c>
      <c r="DL93" s="171">
        <f t="shared" si="207"/>
        <v>0</v>
      </c>
      <c r="DM93" s="171">
        <f t="shared" si="207"/>
        <v>0</v>
      </c>
      <c r="DN93" s="171">
        <f t="shared" si="207"/>
        <v>0</v>
      </c>
      <c r="DO93" s="171">
        <f t="shared" si="207"/>
        <v>0</v>
      </c>
      <c r="DP93" s="171">
        <f t="shared" si="207"/>
        <v>0</v>
      </c>
      <c r="DQ93" s="171">
        <f t="shared" si="207"/>
        <v>0</v>
      </c>
      <c r="DR93" s="171">
        <f t="shared" si="207"/>
        <v>0</v>
      </c>
      <c r="DS93" s="171">
        <f t="shared" si="207"/>
        <v>0</v>
      </c>
      <c r="DT93" s="171">
        <f t="shared" si="207"/>
        <v>0</v>
      </c>
      <c r="DU93" s="171">
        <f t="shared" si="207"/>
        <v>0</v>
      </c>
      <c r="DV93" s="171">
        <f t="shared" si="207"/>
        <v>0</v>
      </c>
      <c r="DW93" s="171">
        <f t="shared" si="207"/>
        <v>0</v>
      </c>
      <c r="DX93" s="171">
        <f t="shared" si="207"/>
        <v>0</v>
      </c>
      <c r="DY93" s="171">
        <f t="shared" si="207"/>
        <v>0</v>
      </c>
      <c r="DZ93" s="171">
        <f t="shared" si="207"/>
        <v>0</v>
      </c>
      <c r="EA93" s="171">
        <f t="shared" si="207"/>
        <v>0</v>
      </c>
      <c r="EB93" s="171">
        <f t="shared" si="207"/>
        <v>0</v>
      </c>
      <c r="EC93" s="171">
        <f t="shared" si="207"/>
        <v>0</v>
      </c>
      <c r="ED93" s="1321">
        <f t="shared" si="207"/>
        <v>0</v>
      </c>
      <c r="EE93" s="171">
        <f t="shared" si="207"/>
        <v>0</v>
      </c>
      <c r="EF93" s="171">
        <f t="shared" si="207"/>
        <v>0</v>
      </c>
      <c r="EG93" s="171">
        <f t="shared" si="207"/>
        <v>0</v>
      </c>
      <c r="EH93" s="171">
        <f t="shared" si="207"/>
        <v>0</v>
      </c>
      <c r="EI93" s="171">
        <f t="shared" si="207"/>
        <v>0</v>
      </c>
      <c r="EJ93" s="171">
        <f t="shared" si="207"/>
        <v>0</v>
      </c>
      <c r="EK93" s="171">
        <f t="shared" si="207"/>
        <v>0</v>
      </c>
      <c r="EL93" s="171">
        <f t="shared" si="207"/>
        <v>0</v>
      </c>
      <c r="EM93" s="171">
        <f t="shared" si="207"/>
        <v>0</v>
      </c>
      <c r="EN93" s="171">
        <f t="shared" si="207"/>
        <v>0</v>
      </c>
      <c r="EO93" s="171">
        <f t="shared" si="207"/>
        <v>0</v>
      </c>
      <c r="EP93" s="171">
        <f t="shared" si="207"/>
        <v>0</v>
      </c>
      <c r="EQ93" s="171">
        <f t="shared" si="207"/>
        <v>0</v>
      </c>
    </row>
    <row r="94" spans="3:147" ht="11.25" customHeight="1">
      <c r="C94" s="163"/>
      <c r="D94" s="169" t="s">
        <v>219</v>
      </c>
      <c r="H94" s="146">
        <f>'A&amp;R'!N45</f>
        <v>47057</v>
      </c>
      <c r="J94" s="170">
        <f>SUM(L94:EQ94)</f>
        <v>0</v>
      </c>
      <c r="K94" s="98"/>
      <c r="L94" s="171">
        <f>SUM(L92:L93)*(L$14=$H94)</f>
        <v>0</v>
      </c>
      <c r="M94" s="171">
        <f t="shared" ref="M94:BX94" si="208">SUM(M92:M93)*(M$14=$H94)</f>
        <v>0</v>
      </c>
      <c r="N94" s="171">
        <f t="shared" si="208"/>
        <v>0</v>
      </c>
      <c r="O94" s="171">
        <f t="shared" si="208"/>
        <v>0</v>
      </c>
      <c r="P94" s="171">
        <f t="shared" si="208"/>
        <v>0</v>
      </c>
      <c r="Q94" s="171">
        <f t="shared" si="208"/>
        <v>0</v>
      </c>
      <c r="R94" s="171">
        <f t="shared" si="208"/>
        <v>0</v>
      </c>
      <c r="S94" s="171">
        <f t="shared" si="208"/>
        <v>0</v>
      </c>
      <c r="T94" s="171">
        <f t="shared" si="208"/>
        <v>0</v>
      </c>
      <c r="U94" s="171">
        <f t="shared" si="208"/>
        <v>0</v>
      </c>
      <c r="V94" s="171">
        <f t="shared" si="208"/>
        <v>0</v>
      </c>
      <c r="W94" s="171">
        <f t="shared" si="208"/>
        <v>0</v>
      </c>
      <c r="X94" s="171">
        <f t="shared" si="208"/>
        <v>0</v>
      </c>
      <c r="Y94" s="171">
        <f t="shared" si="208"/>
        <v>0</v>
      </c>
      <c r="Z94" s="171">
        <f t="shared" si="208"/>
        <v>0</v>
      </c>
      <c r="AA94" s="171">
        <f t="shared" si="208"/>
        <v>0</v>
      </c>
      <c r="AB94" s="171">
        <f t="shared" si="208"/>
        <v>0</v>
      </c>
      <c r="AC94" s="171">
        <f t="shared" si="208"/>
        <v>0</v>
      </c>
      <c r="AD94" s="171">
        <f t="shared" si="208"/>
        <v>0</v>
      </c>
      <c r="AE94" s="171">
        <f t="shared" si="208"/>
        <v>0</v>
      </c>
      <c r="AF94" s="171">
        <f t="shared" si="208"/>
        <v>0</v>
      </c>
      <c r="AG94" s="171">
        <f t="shared" si="208"/>
        <v>0</v>
      </c>
      <c r="AH94" s="171">
        <f t="shared" si="208"/>
        <v>0</v>
      </c>
      <c r="AI94" s="171">
        <f t="shared" si="208"/>
        <v>0</v>
      </c>
      <c r="AJ94" s="171">
        <f t="shared" si="208"/>
        <v>0</v>
      </c>
      <c r="AK94" s="171">
        <f t="shared" si="208"/>
        <v>0</v>
      </c>
      <c r="AL94" s="171">
        <f t="shared" si="208"/>
        <v>0</v>
      </c>
      <c r="AM94" s="171">
        <f t="shared" si="208"/>
        <v>0</v>
      </c>
      <c r="AN94" s="171">
        <f t="shared" si="208"/>
        <v>0</v>
      </c>
      <c r="AO94" s="171">
        <f t="shared" si="208"/>
        <v>0</v>
      </c>
      <c r="AP94" s="171">
        <f t="shared" si="208"/>
        <v>0</v>
      </c>
      <c r="AQ94" s="171">
        <f t="shared" si="208"/>
        <v>0</v>
      </c>
      <c r="AR94" s="171">
        <f t="shared" si="208"/>
        <v>0</v>
      </c>
      <c r="AS94" s="171">
        <f t="shared" si="208"/>
        <v>0</v>
      </c>
      <c r="AT94" s="171">
        <f t="shared" si="208"/>
        <v>0</v>
      </c>
      <c r="AU94" s="171">
        <f t="shared" si="208"/>
        <v>0</v>
      </c>
      <c r="AV94" s="171">
        <f t="shared" si="208"/>
        <v>0</v>
      </c>
      <c r="AW94" s="171">
        <f t="shared" si="208"/>
        <v>0</v>
      </c>
      <c r="AX94" s="171">
        <f t="shared" si="208"/>
        <v>0</v>
      </c>
      <c r="AY94" s="171">
        <f t="shared" si="208"/>
        <v>0</v>
      </c>
      <c r="AZ94" s="171">
        <f t="shared" si="208"/>
        <v>0</v>
      </c>
      <c r="BA94" s="171">
        <f t="shared" si="208"/>
        <v>0</v>
      </c>
      <c r="BB94" s="171">
        <f t="shared" si="208"/>
        <v>0</v>
      </c>
      <c r="BC94" s="171">
        <f t="shared" si="208"/>
        <v>0</v>
      </c>
      <c r="BD94" s="171">
        <f t="shared" si="208"/>
        <v>0</v>
      </c>
      <c r="BE94" s="171">
        <f t="shared" si="208"/>
        <v>0</v>
      </c>
      <c r="BF94" s="171">
        <f t="shared" si="208"/>
        <v>0</v>
      </c>
      <c r="BG94" s="171">
        <f t="shared" si="208"/>
        <v>0</v>
      </c>
      <c r="BH94" s="171">
        <f t="shared" si="208"/>
        <v>0</v>
      </c>
      <c r="BI94" s="171">
        <f t="shared" si="208"/>
        <v>0</v>
      </c>
      <c r="BJ94" s="171">
        <f t="shared" si="208"/>
        <v>0</v>
      </c>
      <c r="BK94" s="171">
        <f t="shared" si="208"/>
        <v>0</v>
      </c>
      <c r="BL94" s="171">
        <f t="shared" si="208"/>
        <v>0</v>
      </c>
      <c r="BM94" s="171">
        <f t="shared" si="208"/>
        <v>0</v>
      </c>
      <c r="BN94" s="171">
        <f t="shared" si="208"/>
        <v>0</v>
      </c>
      <c r="BO94" s="171">
        <f t="shared" si="208"/>
        <v>0</v>
      </c>
      <c r="BP94" s="171">
        <f t="shared" si="208"/>
        <v>0</v>
      </c>
      <c r="BQ94" s="171">
        <f t="shared" si="208"/>
        <v>0</v>
      </c>
      <c r="BR94" s="171">
        <f t="shared" si="208"/>
        <v>0</v>
      </c>
      <c r="BS94" s="171">
        <f t="shared" si="208"/>
        <v>0</v>
      </c>
      <c r="BT94" s="171">
        <f t="shared" si="208"/>
        <v>0</v>
      </c>
      <c r="BU94" s="171">
        <f t="shared" si="208"/>
        <v>0</v>
      </c>
      <c r="BV94" s="171">
        <f t="shared" si="208"/>
        <v>0</v>
      </c>
      <c r="BW94" s="171">
        <f t="shared" si="208"/>
        <v>0</v>
      </c>
      <c r="BX94" s="171">
        <f t="shared" si="208"/>
        <v>0</v>
      </c>
      <c r="BY94" s="171">
        <f t="shared" ref="BY94:EJ94" si="209">SUM(BY92:BY93)*(BY$14=$H94)</f>
        <v>0</v>
      </c>
      <c r="BZ94" s="171">
        <f t="shared" si="209"/>
        <v>0</v>
      </c>
      <c r="CA94" s="171">
        <f t="shared" si="209"/>
        <v>0</v>
      </c>
      <c r="CB94" s="171">
        <f t="shared" si="209"/>
        <v>0</v>
      </c>
      <c r="CC94" s="171">
        <f t="shared" si="209"/>
        <v>0</v>
      </c>
      <c r="CD94" s="171">
        <f t="shared" si="209"/>
        <v>0</v>
      </c>
      <c r="CE94" s="171">
        <f t="shared" si="209"/>
        <v>0</v>
      </c>
      <c r="CF94" s="171">
        <f t="shared" si="209"/>
        <v>0</v>
      </c>
      <c r="CG94" s="171">
        <f t="shared" si="209"/>
        <v>0</v>
      </c>
      <c r="CH94" s="171">
        <f t="shared" si="209"/>
        <v>0</v>
      </c>
      <c r="CI94" s="171">
        <f t="shared" si="209"/>
        <v>0</v>
      </c>
      <c r="CJ94" s="171">
        <f t="shared" si="209"/>
        <v>0</v>
      </c>
      <c r="CK94" s="171">
        <f t="shared" si="209"/>
        <v>0</v>
      </c>
      <c r="CL94" s="171">
        <f t="shared" si="209"/>
        <v>0</v>
      </c>
      <c r="CM94" s="171">
        <f t="shared" si="209"/>
        <v>0</v>
      </c>
      <c r="CN94" s="171">
        <f t="shared" si="209"/>
        <v>0</v>
      </c>
      <c r="CO94" s="171">
        <f t="shared" si="209"/>
        <v>0</v>
      </c>
      <c r="CP94" s="171">
        <f t="shared" si="209"/>
        <v>0</v>
      </c>
      <c r="CQ94" s="171">
        <f t="shared" si="209"/>
        <v>0</v>
      </c>
      <c r="CR94" s="171">
        <f t="shared" si="209"/>
        <v>0</v>
      </c>
      <c r="CS94" s="171">
        <f t="shared" si="209"/>
        <v>0</v>
      </c>
      <c r="CT94" s="171">
        <f t="shared" si="209"/>
        <v>0</v>
      </c>
      <c r="CU94" s="171">
        <f t="shared" si="209"/>
        <v>0</v>
      </c>
      <c r="CV94" s="171">
        <f t="shared" si="209"/>
        <v>0</v>
      </c>
      <c r="CW94" s="171">
        <f t="shared" si="209"/>
        <v>0</v>
      </c>
      <c r="CX94" s="171">
        <f t="shared" si="209"/>
        <v>0</v>
      </c>
      <c r="CY94" s="171">
        <f t="shared" si="209"/>
        <v>0</v>
      </c>
      <c r="CZ94" s="171">
        <f t="shared" si="209"/>
        <v>0</v>
      </c>
      <c r="DA94" s="171">
        <f t="shared" si="209"/>
        <v>0</v>
      </c>
      <c r="DB94" s="171">
        <f t="shared" si="209"/>
        <v>0</v>
      </c>
      <c r="DC94" s="171">
        <f t="shared" si="209"/>
        <v>0</v>
      </c>
      <c r="DD94" s="171">
        <f t="shared" si="209"/>
        <v>0</v>
      </c>
      <c r="DE94" s="171">
        <f t="shared" si="209"/>
        <v>0</v>
      </c>
      <c r="DF94" s="171">
        <f t="shared" si="209"/>
        <v>0</v>
      </c>
      <c r="DG94" s="171">
        <f t="shared" si="209"/>
        <v>0</v>
      </c>
      <c r="DH94" s="171">
        <f t="shared" si="209"/>
        <v>0</v>
      </c>
      <c r="DI94" s="171">
        <f t="shared" si="209"/>
        <v>0</v>
      </c>
      <c r="DJ94" s="171">
        <f t="shared" si="209"/>
        <v>0</v>
      </c>
      <c r="DK94" s="171">
        <f t="shared" si="209"/>
        <v>0</v>
      </c>
      <c r="DL94" s="171">
        <f t="shared" si="209"/>
        <v>0</v>
      </c>
      <c r="DM94" s="171">
        <f t="shared" si="209"/>
        <v>0</v>
      </c>
      <c r="DN94" s="171">
        <f t="shared" si="209"/>
        <v>0</v>
      </c>
      <c r="DO94" s="171">
        <f t="shared" si="209"/>
        <v>0</v>
      </c>
      <c r="DP94" s="171">
        <f t="shared" si="209"/>
        <v>0</v>
      </c>
      <c r="DQ94" s="171">
        <f t="shared" si="209"/>
        <v>0</v>
      </c>
      <c r="DR94" s="171">
        <f t="shared" si="209"/>
        <v>0</v>
      </c>
      <c r="DS94" s="171">
        <f t="shared" si="209"/>
        <v>0</v>
      </c>
      <c r="DT94" s="171">
        <f t="shared" si="209"/>
        <v>0</v>
      </c>
      <c r="DU94" s="171">
        <f t="shared" si="209"/>
        <v>0</v>
      </c>
      <c r="DV94" s="171">
        <f t="shared" si="209"/>
        <v>0</v>
      </c>
      <c r="DW94" s="171">
        <f t="shared" si="209"/>
        <v>0</v>
      </c>
      <c r="DX94" s="171">
        <f t="shared" si="209"/>
        <v>0</v>
      </c>
      <c r="DY94" s="171">
        <f t="shared" si="209"/>
        <v>0</v>
      </c>
      <c r="DZ94" s="171">
        <f t="shared" si="209"/>
        <v>0</v>
      </c>
      <c r="EA94" s="171">
        <f t="shared" si="209"/>
        <v>0</v>
      </c>
      <c r="EB94" s="171">
        <f t="shared" si="209"/>
        <v>0</v>
      </c>
      <c r="EC94" s="171">
        <f t="shared" si="209"/>
        <v>0</v>
      </c>
      <c r="ED94" s="1321">
        <f t="shared" si="209"/>
        <v>0</v>
      </c>
      <c r="EE94" s="171">
        <f t="shared" si="209"/>
        <v>0</v>
      </c>
      <c r="EF94" s="171">
        <f t="shared" si="209"/>
        <v>0</v>
      </c>
      <c r="EG94" s="171">
        <f t="shared" si="209"/>
        <v>0</v>
      </c>
      <c r="EH94" s="171">
        <f t="shared" si="209"/>
        <v>0</v>
      </c>
      <c r="EI94" s="171">
        <f t="shared" si="209"/>
        <v>0</v>
      </c>
      <c r="EJ94" s="171">
        <f t="shared" si="209"/>
        <v>0</v>
      </c>
      <c r="EK94" s="171">
        <f t="shared" ref="EK94:EQ94" si="210">SUM(EK92:EK93)*(EK$14=$H94)</f>
        <v>0</v>
      </c>
      <c r="EL94" s="171">
        <f t="shared" si="210"/>
        <v>0</v>
      </c>
      <c r="EM94" s="171">
        <f t="shared" si="210"/>
        <v>0</v>
      </c>
      <c r="EN94" s="171">
        <f t="shared" si="210"/>
        <v>0</v>
      </c>
      <c r="EO94" s="171">
        <f t="shared" si="210"/>
        <v>0</v>
      </c>
      <c r="EP94" s="171">
        <f t="shared" si="210"/>
        <v>0</v>
      </c>
      <c r="EQ94" s="171">
        <f t="shared" si="210"/>
        <v>0</v>
      </c>
    </row>
    <row r="95" spans="3:147" ht="11.25" customHeight="1">
      <c r="C95" s="173"/>
      <c r="D95" s="174" t="s">
        <v>220</v>
      </c>
      <c r="E95" s="175"/>
      <c r="F95" s="175"/>
      <c r="G95" s="175"/>
      <c r="H95" s="197"/>
      <c r="I95" s="196"/>
      <c r="J95" s="176"/>
      <c r="K95" s="98"/>
      <c r="L95" s="177">
        <f>L92+L93-L94</f>
        <v>0</v>
      </c>
      <c r="M95" s="177">
        <f>M92+M93-M94</f>
        <v>0</v>
      </c>
      <c r="N95" s="177">
        <f t="shared" ref="N95:BY95" si="211">N92+N93-N94</f>
        <v>0</v>
      </c>
      <c r="O95" s="177">
        <f t="shared" si="211"/>
        <v>0</v>
      </c>
      <c r="P95" s="177">
        <f t="shared" si="211"/>
        <v>0</v>
      </c>
      <c r="Q95" s="177">
        <f t="shared" si="211"/>
        <v>0</v>
      </c>
      <c r="R95" s="177">
        <f t="shared" si="211"/>
        <v>0</v>
      </c>
      <c r="S95" s="177">
        <f t="shared" si="211"/>
        <v>0</v>
      </c>
      <c r="T95" s="177">
        <f t="shared" si="211"/>
        <v>0</v>
      </c>
      <c r="U95" s="177">
        <f t="shared" si="211"/>
        <v>0</v>
      </c>
      <c r="V95" s="177">
        <f t="shared" si="211"/>
        <v>0</v>
      </c>
      <c r="W95" s="177">
        <f t="shared" si="211"/>
        <v>0</v>
      </c>
      <c r="X95" s="177">
        <f t="shared" si="211"/>
        <v>0</v>
      </c>
      <c r="Y95" s="177">
        <f t="shared" si="211"/>
        <v>0</v>
      </c>
      <c r="Z95" s="177">
        <f t="shared" si="211"/>
        <v>0</v>
      </c>
      <c r="AA95" s="177">
        <f t="shared" si="211"/>
        <v>0</v>
      </c>
      <c r="AB95" s="177">
        <f t="shared" si="211"/>
        <v>0</v>
      </c>
      <c r="AC95" s="177">
        <f t="shared" si="211"/>
        <v>0</v>
      </c>
      <c r="AD95" s="177">
        <f t="shared" si="211"/>
        <v>0</v>
      </c>
      <c r="AE95" s="177">
        <f t="shared" si="211"/>
        <v>0</v>
      </c>
      <c r="AF95" s="177">
        <f t="shared" si="211"/>
        <v>0</v>
      </c>
      <c r="AG95" s="177">
        <f t="shared" si="211"/>
        <v>0</v>
      </c>
      <c r="AH95" s="177">
        <f t="shared" si="211"/>
        <v>0</v>
      </c>
      <c r="AI95" s="177">
        <f t="shared" si="211"/>
        <v>0</v>
      </c>
      <c r="AJ95" s="177">
        <f t="shared" si="211"/>
        <v>0</v>
      </c>
      <c r="AK95" s="177">
        <f t="shared" si="211"/>
        <v>0</v>
      </c>
      <c r="AL95" s="177">
        <f t="shared" si="211"/>
        <v>0</v>
      </c>
      <c r="AM95" s="177">
        <f t="shared" si="211"/>
        <v>0</v>
      </c>
      <c r="AN95" s="177">
        <f t="shared" si="211"/>
        <v>0</v>
      </c>
      <c r="AO95" s="177">
        <f t="shared" si="211"/>
        <v>0</v>
      </c>
      <c r="AP95" s="177">
        <f t="shared" si="211"/>
        <v>0</v>
      </c>
      <c r="AQ95" s="177">
        <f t="shared" si="211"/>
        <v>0</v>
      </c>
      <c r="AR95" s="177">
        <f t="shared" si="211"/>
        <v>0</v>
      </c>
      <c r="AS95" s="177">
        <f t="shared" si="211"/>
        <v>0</v>
      </c>
      <c r="AT95" s="177">
        <f t="shared" si="211"/>
        <v>0</v>
      </c>
      <c r="AU95" s="177">
        <f t="shared" si="211"/>
        <v>0</v>
      </c>
      <c r="AV95" s="177">
        <f t="shared" si="211"/>
        <v>0</v>
      </c>
      <c r="AW95" s="177">
        <f t="shared" si="211"/>
        <v>0</v>
      </c>
      <c r="AX95" s="177">
        <f t="shared" si="211"/>
        <v>0</v>
      </c>
      <c r="AY95" s="177">
        <f t="shared" si="211"/>
        <v>0</v>
      </c>
      <c r="AZ95" s="177">
        <f t="shared" si="211"/>
        <v>0</v>
      </c>
      <c r="BA95" s="177">
        <f t="shared" si="211"/>
        <v>0</v>
      </c>
      <c r="BB95" s="177">
        <f t="shared" si="211"/>
        <v>0</v>
      </c>
      <c r="BC95" s="177">
        <f t="shared" si="211"/>
        <v>0</v>
      </c>
      <c r="BD95" s="177">
        <f t="shared" si="211"/>
        <v>0</v>
      </c>
      <c r="BE95" s="177">
        <f t="shared" si="211"/>
        <v>0</v>
      </c>
      <c r="BF95" s="177">
        <f t="shared" si="211"/>
        <v>0</v>
      </c>
      <c r="BG95" s="177">
        <f t="shared" si="211"/>
        <v>0</v>
      </c>
      <c r="BH95" s="177">
        <f t="shared" si="211"/>
        <v>0</v>
      </c>
      <c r="BI95" s="177">
        <f t="shared" si="211"/>
        <v>0</v>
      </c>
      <c r="BJ95" s="177">
        <f t="shared" si="211"/>
        <v>0</v>
      </c>
      <c r="BK95" s="177">
        <f t="shared" si="211"/>
        <v>0</v>
      </c>
      <c r="BL95" s="177">
        <f t="shared" si="211"/>
        <v>0</v>
      </c>
      <c r="BM95" s="177">
        <f t="shared" si="211"/>
        <v>0</v>
      </c>
      <c r="BN95" s="177">
        <f t="shared" si="211"/>
        <v>0</v>
      </c>
      <c r="BO95" s="177">
        <f t="shared" si="211"/>
        <v>0</v>
      </c>
      <c r="BP95" s="177">
        <f t="shared" si="211"/>
        <v>0</v>
      </c>
      <c r="BQ95" s="177">
        <f t="shared" si="211"/>
        <v>0</v>
      </c>
      <c r="BR95" s="177">
        <f t="shared" si="211"/>
        <v>0</v>
      </c>
      <c r="BS95" s="177">
        <f t="shared" si="211"/>
        <v>0</v>
      </c>
      <c r="BT95" s="177">
        <f t="shared" si="211"/>
        <v>0</v>
      </c>
      <c r="BU95" s="177">
        <f t="shared" si="211"/>
        <v>0</v>
      </c>
      <c r="BV95" s="177">
        <f t="shared" si="211"/>
        <v>0</v>
      </c>
      <c r="BW95" s="177">
        <f t="shared" si="211"/>
        <v>0</v>
      </c>
      <c r="BX95" s="177">
        <f t="shared" si="211"/>
        <v>0</v>
      </c>
      <c r="BY95" s="177">
        <f t="shared" si="211"/>
        <v>0</v>
      </c>
      <c r="BZ95" s="177">
        <f t="shared" ref="BZ95:EK95" si="212">BZ92+BZ93-BZ94</f>
        <v>0</v>
      </c>
      <c r="CA95" s="177">
        <f t="shared" si="212"/>
        <v>0</v>
      </c>
      <c r="CB95" s="177">
        <f t="shared" si="212"/>
        <v>0</v>
      </c>
      <c r="CC95" s="177">
        <f t="shared" si="212"/>
        <v>0</v>
      </c>
      <c r="CD95" s="177">
        <f t="shared" si="212"/>
        <v>0</v>
      </c>
      <c r="CE95" s="177">
        <f t="shared" si="212"/>
        <v>0</v>
      </c>
      <c r="CF95" s="177">
        <f t="shared" si="212"/>
        <v>0</v>
      </c>
      <c r="CG95" s="177">
        <f t="shared" si="212"/>
        <v>0</v>
      </c>
      <c r="CH95" s="177">
        <f t="shared" si="212"/>
        <v>0</v>
      </c>
      <c r="CI95" s="177">
        <f t="shared" si="212"/>
        <v>0</v>
      </c>
      <c r="CJ95" s="177">
        <f t="shared" si="212"/>
        <v>0</v>
      </c>
      <c r="CK95" s="177">
        <f t="shared" si="212"/>
        <v>0</v>
      </c>
      <c r="CL95" s="177">
        <f t="shared" si="212"/>
        <v>0</v>
      </c>
      <c r="CM95" s="177">
        <f t="shared" si="212"/>
        <v>0</v>
      </c>
      <c r="CN95" s="177">
        <f t="shared" si="212"/>
        <v>0</v>
      </c>
      <c r="CO95" s="177">
        <f t="shared" si="212"/>
        <v>0</v>
      </c>
      <c r="CP95" s="177">
        <f t="shared" si="212"/>
        <v>0</v>
      </c>
      <c r="CQ95" s="177">
        <f t="shared" si="212"/>
        <v>0</v>
      </c>
      <c r="CR95" s="177">
        <f t="shared" si="212"/>
        <v>0</v>
      </c>
      <c r="CS95" s="177">
        <f t="shared" si="212"/>
        <v>0</v>
      </c>
      <c r="CT95" s="177">
        <f t="shared" si="212"/>
        <v>0</v>
      </c>
      <c r="CU95" s="177">
        <f t="shared" si="212"/>
        <v>0</v>
      </c>
      <c r="CV95" s="177">
        <f t="shared" si="212"/>
        <v>0</v>
      </c>
      <c r="CW95" s="177">
        <f t="shared" si="212"/>
        <v>0</v>
      </c>
      <c r="CX95" s="177">
        <f t="shared" si="212"/>
        <v>0</v>
      </c>
      <c r="CY95" s="177">
        <f t="shared" si="212"/>
        <v>0</v>
      </c>
      <c r="CZ95" s="177">
        <f t="shared" si="212"/>
        <v>0</v>
      </c>
      <c r="DA95" s="177">
        <f t="shared" si="212"/>
        <v>0</v>
      </c>
      <c r="DB95" s="177">
        <f t="shared" si="212"/>
        <v>0</v>
      </c>
      <c r="DC95" s="177">
        <f t="shared" si="212"/>
        <v>0</v>
      </c>
      <c r="DD95" s="177">
        <f t="shared" si="212"/>
        <v>0</v>
      </c>
      <c r="DE95" s="177">
        <f t="shared" si="212"/>
        <v>0</v>
      </c>
      <c r="DF95" s="177">
        <f t="shared" si="212"/>
        <v>0</v>
      </c>
      <c r="DG95" s="177">
        <f t="shared" si="212"/>
        <v>0</v>
      </c>
      <c r="DH95" s="177">
        <f t="shared" si="212"/>
        <v>0</v>
      </c>
      <c r="DI95" s="177">
        <f t="shared" si="212"/>
        <v>0</v>
      </c>
      <c r="DJ95" s="177">
        <f t="shared" si="212"/>
        <v>0</v>
      </c>
      <c r="DK95" s="177">
        <f t="shared" si="212"/>
        <v>0</v>
      </c>
      <c r="DL95" s="177">
        <f t="shared" si="212"/>
        <v>0</v>
      </c>
      <c r="DM95" s="177">
        <f t="shared" si="212"/>
        <v>0</v>
      </c>
      <c r="DN95" s="177">
        <f t="shared" si="212"/>
        <v>0</v>
      </c>
      <c r="DO95" s="177">
        <f t="shared" si="212"/>
        <v>0</v>
      </c>
      <c r="DP95" s="177">
        <f t="shared" si="212"/>
        <v>0</v>
      </c>
      <c r="DQ95" s="177">
        <f t="shared" si="212"/>
        <v>0</v>
      </c>
      <c r="DR95" s="177">
        <f t="shared" si="212"/>
        <v>0</v>
      </c>
      <c r="DS95" s="177">
        <f t="shared" si="212"/>
        <v>0</v>
      </c>
      <c r="DT95" s="177">
        <f t="shared" si="212"/>
        <v>0</v>
      </c>
      <c r="DU95" s="177">
        <f t="shared" si="212"/>
        <v>0</v>
      </c>
      <c r="DV95" s="177">
        <f t="shared" si="212"/>
        <v>0</v>
      </c>
      <c r="DW95" s="177">
        <f t="shared" si="212"/>
        <v>0</v>
      </c>
      <c r="DX95" s="177">
        <f t="shared" si="212"/>
        <v>0</v>
      </c>
      <c r="DY95" s="177">
        <f t="shared" si="212"/>
        <v>0</v>
      </c>
      <c r="DZ95" s="177">
        <f t="shared" si="212"/>
        <v>0</v>
      </c>
      <c r="EA95" s="177">
        <f t="shared" si="212"/>
        <v>0</v>
      </c>
      <c r="EB95" s="177">
        <f t="shared" si="212"/>
        <v>0</v>
      </c>
      <c r="EC95" s="177">
        <f t="shared" si="212"/>
        <v>0</v>
      </c>
      <c r="ED95" s="1322">
        <f t="shared" si="212"/>
        <v>0</v>
      </c>
      <c r="EE95" s="177">
        <f t="shared" si="212"/>
        <v>0</v>
      </c>
      <c r="EF95" s="177">
        <f t="shared" si="212"/>
        <v>0</v>
      </c>
      <c r="EG95" s="177">
        <f t="shared" si="212"/>
        <v>0</v>
      </c>
      <c r="EH95" s="177">
        <f t="shared" si="212"/>
        <v>0</v>
      </c>
      <c r="EI95" s="177">
        <f t="shared" si="212"/>
        <v>0</v>
      </c>
      <c r="EJ95" s="177">
        <f t="shared" si="212"/>
        <v>0</v>
      </c>
      <c r="EK95" s="177">
        <f t="shared" si="212"/>
        <v>0</v>
      </c>
      <c r="EL95" s="177">
        <f t="shared" ref="EL95:EQ95" si="213">EL92+EL93-EL94</f>
        <v>0</v>
      </c>
      <c r="EM95" s="177">
        <f t="shared" si="213"/>
        <v>0</v>
      </c>
      <c r="EN95" s="177">
        <f t="shared" si="213"/>
        <v>0</v>
      </c>
      <c r="EO95" s="177">
        <f t="shared" si="213"/>
        <v>0</v>
      </c>
      <c r="EP95" s="177">
        <f t="shared" si="213"/>
        <v>0</v>
      </c>
      <c r="EQ95" s="177">
        <f t="shared" si="213"/>
        <v>0</v>
      </c>
    </row>
    <row r="97" spans="3:147" ht="11.25" customHeight="1">
      <c r="C97" s="155" t="s">
        <v>226</v>
      </c>
      <c r="D97" s="155"/>
      <c r="E97" s="155"/>
      <c r="F97" s="155"/>
      <c r="G97" s="155"/>
      <c r="H97" s="191"/>
      <c r="I97" s="192"/>
      <c r="J97" s="156"/>
      <c r="L97" s="157">
        <f>L$14</f>
        <v>46326</v>
      </c>
      <c r="M97" s="157">
        <f t="shared" ref="M97:BX97" si="214">M$14</f>
        <v>46356</v>
      </c>
      <c r="N97" s="157">
        <f t="shared" si="214"/>
        <v>46387</v>
      </c>
      <c r="O97" s="157">
        <f t="shared" si="214"/>
        <v>46418</v>
      </c>
      <c r="P97" s="157">
        <f t="shared" si="214"/>
        <v>46446</v>
      </c>
      <c r="Q97" s="157">
        <f t="shared" si="214"/>
        <v>46477</v>
      </c>
      <c r="R97" s="157">
        <f t="shared" si="214"/>
        <v>46507</v>
      </c>
      <c r="S97" s="157">
        <f t="shared" si="214"/>
        <v>46538</v>
      </c>
      <c r="T97" s="157">
        <f t="shared" si="214"/>
        <v>46568</v>
      </c>
      <c r="U97" s="157">
        <f t="shared" si="214"/>
        <v>46599</v>
      </c>
      <c r="V97" s="157">
        <f t="shared" si="214"/>
        <v>46630</v>
      </c>
      <c r="W97" s="157">
        <f t="shared" si="214"/>
        <v>46660</v>
      </c>
      <c r="X97" s="157">
        <f t="shared" si="214"/>
        <v>46691</v>
      </c>
      <c r="Y97" s="157">
        <f t="shared" si="214"/>
        <v>46721</v>
      </c>
      <c r="Z97" s="157">
        <f t="shared" si="214"/>
        <v>46752</v>
      </c>
      <c r="AA97" s="157">
        <f t="shared" si="214"/>
        <v>46783</v>
      </c>
      <c r="AB97" s="157">
        <f t="shared" si="214"/>
        <v>46812</v>
      </c>
      <c r="AC97" s="157">
        <f t="shared" si="214"/>
        <v>46843</v>
      </c>
      <c r="AD97" s="157">
        <f t="shared" si="214"/>
        <v>46873</v>
      </c>
      <c r="AE97" s="157">
        <f t="shared" si="214"/>
        <v>46904</v>
      </c>
      <c r="AF97" s="157">
        <f t="shared" si="214"/>
        <v>46934</v>
      </c>
      <c r="AG97" s="157">
        <f t="shared" si="214"/>
        <v>46965</v>
      </c>
      <c r="AH97" s="157">
        <f t="shared" si="214"/>
        <v>46996</v>
      </c>
      <c r="AI97" s="157">
        <f t="shared" si="214"/>
        <v>47026</v>
      </c>
      <c r="AJ97" s="157">
        <f t="shared" si="214"/>
        <v>47057</v>
      </c>
      <c r="AK97" s="157">
        <f t="shared" si="214"/>
        <v>47087</v>
      </c>
      <c r="AL97" s="157">
        <f t="shared" si="214"/>
        <v>47118</v>
      </c>
      <c r="AM97" s="157">
        <f t="shared" si="214"/>
        <v>47149</v>
      </c>
      <c r="AN97" s="157">
        <f t="shared" si="214"/>
        <v>47177</v>
      </c>
      <c r="AO97" s="157">
        <f t="shared" si="214"/>
        <v>47208</v>
      </c>
      <c r="AP97" s="157">
        <f t="shared" si="214"/>
        <v>47238</v>
      </c>
      <c r="AQ97" s="157">
        <f t="shared" si="214"/>
        <v>47269</v>
      </c>
      <c r="AR97" s="157">
        <f t="shared" si="214"/>
        <v>47299</v>
      </c>
      <c r="AS97" s="157">
        <f t="shared" si="214"/>
        <v>47330</v>
      </c>
      <c r="AT97" s="157">
        <f t="shared" si="214"/>
        <v>47361</v>
      </c>
      <c r="AU97" s="157">
        <f t="shared" si="214"/>
        <v>47391</v>
      </c>
      <c r="AV97" s="157">
        <f t="shared" si="214"/>
        <v>47422</v>
      </c>
      <c r="AW97" s="157">
        <f t="shared" si="214"/>
        <v>47452</v>
      </c>
      <c r="AX97" s="157">
        <f t="shared" si="214"/>
        <v>47483</v>
      </c>
      <c r="AY97" s="157">
        <f t="shared" si="214"/>
        <v>47514</v>
      </c>
      <c r="AZ97" s="157">
        <f t="shared" si="214"/>
        <v>47542</v>
      </c>
      <c r="BA97" s="157">
        <f t="shared" si="214"/>
        <v>47573</v>
      </c>
      <c r="BB97" s="157">
        <f t="shared" si="214"/>
        <v>47603</v>
      </c>
      <c r="BC97" s="157">
        <f t="shared" si="214"/>
        <v>47634</v>
      </c>
      <c r="BD97" s="157">
        <f t="shared" si="214"/>
        <v>47664</v>
      </c>
      <c r="BE97" s="157">
        <f t="shared" si="214"/>
        <v>47695</v>
      </c>
      <c r="BF97" s="157">
        <f t="shared" si="214"/>
        <v>47726</v>
      </c>
      <c r="BG97" s="157">
        <f t="shared" si="214"/>
        <v>47756</v>
      </c>
      <c r="BH97" s="157">
        <f t="shared" si="214"/>
        <v>47787</v>
      </c>
      <c r="BI97" s="157">
        <f t="shared" si="214"/>
        <v>47817</v>
      </c>
      <c r="BJ97" s="157">
        <f t="shared" si="214"/>
        <v>47848</v>
      </c>
      <c r="BK97" s="157">
        <f t="shared" si="214"/>
        <v>47879</v>
      </c>
      <c r="BL97" s="157">
        <f t="shared" si="214"/>
        <v>47907</v>
      </c>
      <c r="BM97" s="157">
        <f t="shared" si="214"/>
        <v>47938</v>
      </c>
      <c r="BN97" s="157">
        <f t="shared" si="214"/>
        <v>47968</v>
      </c>
      <c r="BO97" s="157">
        <f t="shared" si="214"/>
        <v>47999</v>
      </c>
      <c r="BP97" s="157">
        <f t="shared" si="214"/>
        <v>48029</v>
      </c>
      <c r="BQ97" s="157">
        <f t="shared" si="214"/>
        <v>48060</v>
      </c>
      <c r="BR97" s="157">
        <f t="shared" si="214"/>
        <v>48091</v>
      </c>
      <c r="BS97" s="157">
        <f t="shared" si="214"/>
        <v>48121</v>
      </c>
      <c r="BT97" s="157">
        <f t="shared" si="214"/>
        <v>48152</v>
      </c>
      <c r="BU97" s="157">
        <f t="shared" si="214"/>
        <v>48182</v>
      </c>
      <c r="BV97" s="157">
        <f t="shared" si="214"/>
        <v>48213</v>
      </c>
      <c r="BW97" s="157">
        <f t="shared" si="214"/>
        <v>48244</v>
      </c>
      <c r="BX97" s="157">
        <f t="shared" si="214"/>
        <v>48273</v>
      </c>
      <c r="BY97" s="157">
        <f t="shared" ref="BY97:EQ97" si="215">BY$14</f>
        <v>48304</v>
      </c>
      <c r="BZ97" s="157">
        <f t="shared" si="215"/>
        <v>48334</v>
      </c>
      <c r="CA97" s="157">
        <f t="shared" si="215"/>
        <v>48365</v>
      </c>
      <c r="CB97" s="157">
        <f t="shared" si="215"/>
        <v>48395</v>
      </c>
      <c r="CC97" s="157">
        <f t="shared" si="215"/>
        <v>48426</v>
      </c>
      <c r="CD97" s="157">
        <f t="shared" si="215"/>
        <v>48457</v>
      </c>
      <c r="CE97" s="157">
        <f t="shared" si="215"/>
        <v>48487</v>
      </c>
      <c r="CF97" s="157">
        <f t="shared" si="215"/>
        <v>48518</v>
      </c>
      <c r="CG97" s="157">
        <f t="shared" si="215"/>
        <v>48548</v>
      </c>
      <c r="CH97" s="157">
        <f t="shared" si="215"/>
        <v>48579</v>
      </c>
      <c r="CI97" s="157">
        <f t="shared" si="215"/>
        <v>48610</v>
      </c>
      <c r="CJ97" s="157">
        <f t="shared" si="215"/>
        <v>48638</v>
      </c>
      <c r="CK97" s="157">
        <f t="shared" si="215"/>
        <v>48669</v>
      </c>
      <c r="CL97" s="157">
        <f t="shared" si="215"/>
        <v>48699</v>
      </c>
      <c r="CM97" s="157">
        <f t="shared" si="215"/>
        <v>48730</v>
      </c>
      <c r="CN97" s="157">
        <f t="shared" si="215"/>
        <v>48760</v>
      </c>
      <c r="CO97" s="157">
        <f t="shared" si="215"/>
        <v>48791</v>
      </c>
      <c r="CP97" s="157">
        <f t="shared" si="215"/>
        <v>48822</v>
      </c>
      <c r="CQ97" s="157">
        <f t="shared" si="215"/>
        <v>48852</v>
      </c>
      <c r="CR97" s="157">
        <f t="shared" si="215"/>
        <v>48883</v>
      </c>
      <c r="CS97" s="157">
        <f t="shared" si="215"/>
        <v>48913</v>
      </c>
      <c r="CT97" s="157">
        <f t="shared" si="215"/>
        <v>48944</v>
      </c>
      <c r="CU97" s="157">
        <f t="shared" si="215"/>
        <v>48975</v>
      </c>
      <c r="CV97" s="157">
        <f t="shared" si="215"/>
        <v>49003</v>
      </c>
      <c r="CW97" s="157">
        <f t="shared" si="215"/>
        <v>49034</v>
      </c>
      <c r="CX97" s="157">
        <f t="shared" si="215"/>
        <v>49064</v>
      </c>
      <c r="CY97" s="157">
        <f t="shared" si="215"/>
        <v>49095</v>
      </c>
      <c r="CZ97" s="157">
        <f t="shared" si="215"/>
        <v>49125</v>
      </c>
      <c r="DA97" s="157">
        <f t="shared" si="215"/>
        <v>49156</v>
      </c>
      <c r="DB97" s="157">
        <f t="shared" si="215"/>
        <v>49187</v>
      </c>
      <c r="DC97" s="157">
        <f t="shared" si="215"/>
        <v>49217</v>
      </c>
      <c r="DD97" s="157">
        <f t="shared" si="215"/>
        <v>49248</v>
      </c>
      <c r="DE97" s="157">
        <f t="shared" si="215"/>
        <v>49278</v>
      </c>
      <c r="DF97" s="157">
        <f t="shared" si="215"/>
        <v>49309</v>
      </c>
      <c r="DG97" s="157">
        <f t="shared" si="215"/>
        <v>49340</v>
      </c>
      <c r="DH97" s="157">
        <f t="shared" si="215"/>
        <v>49368</v>
      </c>
      <c r="DI97" s="157">
        <f t="shared" si="215"/>
        <v>49399</v>
      </c>
      <c r="DJ97" s="157">
        <f t="shared" si="215"/>
        <v>49429</v>
      </c>
      <c r="DK97" s="157">
        <f t="shared" si="215"/>
        <v>49460</v>
      </c>
      <c r="DL97" s="157">
        <f t="shared" si="215"/>
        <v>49490</v>
      </c>
      <c r="DM97" s="157">
        <f t="shared" si="215"/>
        <v>49521</v>
      </c>
      <c r="DN97" s="157">
        <f t="shared" si="215"/>
        <v>49552</v>
      </c>
      <c r="DO97" s="157">
        <f t="shared" si="215"/>
        <v>49582</v>
      </c>
      <c r="DP97" s="157">
        <f t="shared" si="215"/>
        <v>49613</v>
      </c>
      <c r="DQ97" s="157">
        <f t="shared" si="215"/>
        <v>49643</v>
      </c>
      <c r="DR97" s="157">
        <f t="shared" si="215"/>
        <v>49674</v>
      </c>
      <c r="DS97" s="157">
        <f t="shared" si="215"/>
        <v>49705</v>
      </c>
      <c r="DT97" s="157">
        <f t="shared" si="215"/>
        <v>49734</v>
      </c>
      <c r="DU97" s="157">
        <f t="shared" si="215"/>
        <v>49765</v>
      </c>
      <c r="DV97" s="157">
        <f t="shared" si="215"/>
        <v>49795</v>
      </c>
      <c r="DW97" s="157">
        <f t="shared" si="215"/>
        <v>49826</v>
      </c>
      <c r="DX97" s="157">
        <f t="shared" si="215"/>
        <v>49856</v>
      </c>
      <c r="DY97" s="157">
        <f t="shared" si="215"/>
        <v>49887</v>
      </c>
      <c r="DZ97" s="157">
        <f t="shared" si="215"/>
        <v>49918</v>
      </c>
      <c r="EA97" s="157">
        <f t="shared" si="215"/>
        <v>49948</v>
      </c>
      <c r="EB97" s="157">
        <f t="shared" si="215"/>
        <v>49979</v>
      </c>
      <c r="EC97" s="157">
        <f t="shared" si="215"/>
        <v>50009</v>
      </c>
      <c r="ED97" s="1318">
        <f t="shared" si="215"/>
        <v>50040</v>
      </c>
      <c r="EE97" s="157">
        <f t="shared" si="215"/>
        <v>50071</v>
      </c>
      <c r="EF97" s="157">
        <f t="shared" si="215"/>
        <v>50099</v>
      </c>
      <c r="EG97" s="157">
        <f t="shared" si="215"/>
        <v>50130</v>
      </c>
      <c r="EH97" s="157">
        <f t="shared" si="215"/>
        <v>50160</v>
      </c>
      <c r="EI97" s="157">
        <f t="shared" si="215"/>
        <v>50191</v>
      </c>
      <c r="EJ97" s="157">
        <f t="shared" si="215"/>
        <v>50221</v>
      </c>
      <c r="EK97" s="157">
        <f t="shared" si="215"/>
        <v>50252</v>
      </c>
      <c r="EL97" s="157">
        <f t="shared" si="215"/>
        <v>50283</v>
      </c>
      <c r="EM97" s="157">
        <f t="shared" si="215"/>
        <v>50313</v>
      </c>
      <c r="EN97" s="157">
        <f t="shared" si="215"/>
        <v>50344</v>
      </c>
      <c r="EO97" s="157">
        <f t="shared" si="215"/>
        <v>50374</v>
      </c>
      <c r="EP97" s="157">
        <f t="shared" si="215"/>
        <v>50405</v>
      </c>
      <c r="EQ97" s="157">
        <f t="shared" si="215"/>
        <v>50436</v>
      </c>
    </row>
    <row r="98" spans="3:147" ht="11.25" customHeight="1">
      <c r="C98" s="158" t="str">
        <f>'A&amp;R'!L32</f>
        <v>담보대출</v>
      </c>
      <c r="D98" s="159"/>
      <c r="E98" s="159"/>
      <c r="F98" s="159"/>
      <c r="G98" s="159"/>
      <c r="H98" s="160"/>
      <c r="I98" s="246"/>
      <c r="J98" s="161"/>
      <c r="K98" s="98"/>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162"/>
      <c r="AK98" s="162"/>
      <c r="AL98" s="162"/>
      <c r="AM98" s="162"/>
      <c r="AN98" s="162"/>
      <c r="AO98" s="162"/>
      <c r="AP98" s="162"/>
      <c r="AQ98" s="162"/>
      <c r="AR98" s="162"/>
      <c r="AS98" s="162"/>
      <c r="AT98" s="162"/>
      <c r="AU98" s="162"/>
      <c r="AV98" s="162"/>
      <c r="AW98" s="162"/>
      <c r="AX98" s="162"/>
      <c r="AY98" s="162"/>
      <c r="AZ98" s="162"/>
      <c r="BA98" s="162"/>
      <c r="BB98" s="162"/>
      <c r="BC98" s="162"/>
      <c r="BD98" s="162"/>
      <c r="BE98" s="162"/>
      <c r="BF98" s="162"/>
      <c r="BG98" s="162"/>
      <c r="BH98" s="162"/>
      <c r="BI98" s="162"/>
      <c r="BJ98" s="162"/>
      <c r="BK98" s="162"/>
      <c r="BL98" s="162"/>
      <c r="BM98" s="162"/>
      <c r="BN98" s="162"/>
      <c r="BO98" s="162"/>
      <c r="BP98" s="162"/>
      <c r="BQ98" s="162"/>
      <c r="BR98" s="162"/>
      <c r="BS98" s="162"/>
      <c r="BT98" s="162"/>
      <c r="BU98" s="162"/>
      <c r="BV98" s="162"/>
      <c r="BW98" s="162"/>
      <c r="BX98" s="162"/>
      <c r="BY98" s="162"/>
      <c r="BZ98" s="162"/>
      <c r="CA98" s="162"/>
      <c r="CB98" s="162"/>
      <c r="CC98" s="162"/>
      <c r="CD98" s="162"/>
      <c r="CE98" s="162"/>
      <c r="CF98" s="162"/>
      <c r="CG98" s="162"/>
      <c r="CH98" s="162"/>
      <c r="CI98" s="162"/>
      <c r="CJ98" s="162"/>
      <c r="CK98" s="162"/>
      <c r="CL98" s="162"/>
      <c r="CM98" s="162"/>
      <c r="CN98" s="162"/>
      <c r="CO98" s="162"/>
      <c r="CP98" s="162"/>
      <c r="CQ98" s="162"/>
      <c r="CR98" s="162"/>
      <c r="CS98" s="162"/>
      <c r="CT98" s="162"/>
      <c r="CU98" s="162"/>
      <c r="CV98" s="162"/>
      <c r="CW98" s="162"/>
      <c r="CX98" s="162"/>
      <c r="CY98" s="162"/>
      <c r="CZ98" s="162"/>
      <c r="DA98" s="162"/>
      <c r="DB98" s="162"/>
      <c r="DC98" s="162"/>
      <c r="DD98" s="162"/>
      <c r="DE98" s="162"/>
      <c r="DF98" s="162"/>
      <c r="DG98" s="162"/>
      <c r="DH98" s="162"/>
      <c r="DI98" s="162"/>
      <c r="DJ98" s="162"/>
      <c r="DK98" s="162"/>
      <c r="DL98" s="162"/>
      <c r="DM98" s="162"/>
      <c r="DN98" s="162"/>
      <c r="DO98" s="162"/>
      <c r="DP98" s="162"/>
      <c r="DQ98" s="162"/>
      <c r="DR98" s="162"/>
      <c r="DS98" s="162"/>
      <c r="DT98" s="162"/>
      <c r="DU98" s="162"/>
      <c r="DV98" s="162"/>
      <c r="DW98" s="162"/>
      <c r="DX98" s="162"/>
      <c r="DY98" s="162"/>
      <c r="DZ98" s="162"/>
      <c r="EA98" s="162"/>
      <c r="EB98" s="162"/>
      <c r="EC98" s="162"/>
      <c r="ED98" s="1319"/>
      <c r="EE98" s="162"/>
      <c r="EF98" s="162"/>
      <c r="EG98" s="162"/>
      <c r="EH98" s="162"/>
      <c r="EI98" s="162"/>
      <c r="EJ98" s="162"/>
      <c r="EK98" s="162"/>
      <c r="EL98" s="162"/>
      <c r="EM98" s="162"/>
      <c r="EN98" s="162"/>
      <c r="EO98" s="162"/>
      <c r="EP98" s="162"/>
      <c r="EQ98" s="162"/>
    </row>
    <row r="99" spans="3:147" ht="11.25" customHeight="1">
      <c r="C99" s="163"/>
      <c r="D99" s="164" t="s">
        <v>217</v>
      </c>
      <c r="E99" s="165"/>
      <c r="F99" s="165"/>
      <c r="G99" s="165"/>
      <c r="H99" s="166"/>
      <c r="I99" s="247"/>
      <c r="J99" s="167"/>
      <c r="K99" s="98"/>
      <c r="L99" s="168">
        <f>K102</f>
        <v>0</v>
      </c>
      <c r="M99" s="168">
        <f t="shared" ref="M99:BX99" si="216">L102</f>
        <v>0</v>
      </c>
      <c r="N99" s="168">
        <f t="shared" si="216"/>
        <v>636666.66666666663</v>
      </c>
      <c r="O99" s="168">
        <f t="shared" si="216"/>
        <v>1273333.3333333333</v>
      </c>
      <c r="P99" s="168">
        <f t="shared" si="216"/>
        <v>0</v>
      </c>
      <c r="Q99" s="168">
        <f t="shared" si="216"/>
        <v>636666.66666666663</v>
      </c>
      <c r="R99" s="168">
        <f t="shared" si="216"/>
        <v>1273333.3333333333</v>
      </c>
      <c r="S99" s="168">
        <f t="shared" si="216"/>
        <v>0</v>
      </c>
      <c r="T99" s="168">
        <f t="shared" si="216"/>
        <v>636666.66666666663</v>
      </c>
      <c r="U99" s="168">
        <f t="shared" si="216"/>
        <v>1273333.3333333333</v>
      </c>
      <c r="V99" s="168">
        <f t="shared" si="216"/>
        <v>0</v>
      </c>
      <c r="W99" s="168">
        <f t="shared" si="216"/>
        <v>636666.66666666663</v>
      </c>
      <c r="X99" s="168">
        <f t="shared" si="216"/>
        <v>1273333.3333333333</v>
      </c>
      <c r="Y99" s="168">
        <f t="shared" si="216"/>
        <v>0</v>
      </c>
      <c r="Z99" s="168">
        <f t="shared" si="216"/>
        <v>636666.66666666663</v>
      </c>
      <c r="AA99" s="168">
        <f t="shared" si="216"/>
        <v>1273333.3333333333</v>
      </c>
      <c r="AB99" s="168">
        <f t="shared" si="216"/>
        <v>0</v>
      </c>
      <c r="AC99" s="168">
        <f t="shared" si="216"/>
        <v>636666.66666666663</v>
      </c>
      <c r="AD99" s="168">
        <f t="shared" si="216"/>
        <v>1273333.3333333333</v>
      </c>
      <c r="AE99" s="168">
        <f t="shared" si="216"/>
        <v>0</v>
      </c>
      <c r="AF99" s="168">
        <f t="shared" si="216"/>
        <v>636666.66666666663</v>
      </c>
      <c r="AG99" s="168">
        <f t="shared" si="216"/>
        <v>1273333.3333333333</v>
      </c>
      <c r="AH99" s="168">
        <f t="shared" si="216"/>
        <v>0</v>
      </c>
      <c r="AI99" s="168">
        <f t="shared" si="216"/>
        <v>636666.66666666663</v>
      </c>
      <c r="AJ99" s="168">
        <f t="shared" si="216"/>
        <v>1273333.3333333333</v>
      </c>
      <c r="AK99" s="168">
        <f t="shared" si="216"/>
        <v>0</v>
      </c>
      <c r="AL99" s="168">
        <f t="shared" si="216"/>
        <v>0</v>
      </c>
      <c r="AM99" s="168">
        <f t="shared" si="216"/>
        <v>0</v>
      </c>
      <c r="AN99" s="168">
        <f t="shared" si="216"/>
        <v>0</v>
      </c>
      <c r="AO99" s="168">
        <f t="shared" si="216"/>
        <v>0</v>
      </c>
      <c r="AP99" s="168">
        <f t="shared" si="216"/>
        <v>0</v>
      </c>
      <c r="AQ99" s="168">
        <f t="shared" si="216"/>
        <v>0</v>
      </c>
      <c r="AR99" s="168">
        <f t="shared" si="216"/>
        <v>0</v>
      </c>
      <c r="AS99" s="168">
        <f t="shared" si="216"/>
        <v>0</v>
      </c>
      <c r="AT99" s="168">
        <f t="shared" si="216"/>
        <v>0</v>
      </c>
      <c r="AU99" s="168">
        <f t="shared" si="216"/>
        <v>0</v>
      </c>
      <c r="AV99" s="168">
        <f t="shared" si="216"/>
        <v>0</v>
      </c>
      <c r="AW99" s="168">
        <f t="shared" si="216"/>
        <v>0</v>
      </c>
      <c r="AX99" s="168">
        <f t="shared" si="216"/>
        <v>0</v>
      </c>
      <c r="AY99" s="168">
        <f t="shared" si="216"/>
        <v>0</v>
      </c>
      <c r="AZ99" s="168">
        <f t="shared" si="216"/>
        <v>0</v>
      </c>
      <c r="BA99" s="168">
        <f t="shared" si="216"/>
        <v>0</v>
      </c>
      <c r="BB99" s="168">
        <f t="shared" si="216"/>
        <v>0</v>
      </c>
      <c r="BC99" s="168">
        <f t="shared" si="216"/>
        <v>0</v>
      </c>
      <c r="BD99" s="168">
        <f t="shared" si="216"/>
        <v>0</v>
      </c>
      <c r="BE99" s="168">
        <f t="shared" si="216"/>
        <v>0</v>
      </c>
      <c r="BF99" s="168">
        <f t="shared" si="216"/>
        <v>0</v>
      </c>
      <c r="BG99" s="168">
        <f t="shared" si="216"/>
        <v>0</v>
      </c>
      <c r="BH99" s="168">
        <f t="shared" si="216"/>
        <v>0</v>
      </c>
      <c r="BI99" s="168">
        <f t="shared" si="216"/>
        <v>0</v>
      </c>
      <c r="BJ99" s="168">
        <f t="shared" si="216"/>
        <v>0</v>
      </c>
      <c r="BK99" s="168">
        <f t="shared" si="216"/>
        <v>0</v>
      </c>
      <c r="BL99" s="168">
        <f t="shared" si="216"/>
        <v>0</v>
      </c>
      <c r="BM99" s="168">
        <f t="shared" si="216"/>
        <v>0</v>
      </c>
      <c r="BN99" s="168">
        <f t="shared" si="216"/>
        <v>0</v>
      </c>
      <c r="BO99" s="168">
        <f t="shared" si="216"/>
        <v>0</v>
      </c>
      <c r="BP99" s="168">
        <f t="shared" si="216"/>
        <v>0</v>
      </c>
      <c r="BQ99" s="168">
        <f t="shared" si="216"/>
        <v>0</v>
      </c>
      <c r="BR99" s="168">
        <f t="shared" si="216"/>
        <v>0</v>
      </c>
      <c r="BS99" s="168">
        <f t="shared" si="216"/>
        <v>0</v>
      </c>
      <c r="BT99" s="168">
        <f t="shared" si="216"/>
        <v>0</v>
      </c>
      <c r="BU99" s="168">
        <f t="shared" si="216"/>
        <v>0</v>
      </c>
      <c r="BV99" s="168">
        <f t="shared" si="216"/>
        <v>0</v>
      </c>
      <c r="BW99" s="168">
        <f t="shared" si="216"/>
        <v>0</v>
      </c>
      <c r="BX99" s="168">
        <f t="shared" si="216"/>
        <v>0</v>
      </c>
      <c r="BY99" s="168">
        <f t="shared" ref="BY99:DT99" si="217">BX102</f>
        <v>0</v>
      </c>
      <c r="BZ99" s="168">
        <f t="shared" si="217"/>
        <v>0</v>
      </c>
      <c r="CA99" s="168">
        <f t="shared" si="217"/>
        <v>0</v>
      </c>
      <c r="CB99" s="168">
        <f t="shared" si="217"/>
        <v>0</v>
      </c>
      <c r="CC99" s="168">
        <f t="shared" si="217"/>
        <v>0</v>
      </c>
      <c r="CD99" s="168">
        <f t="shared" si="217"/>
        <v>0</v>
      </c>
      <c r="CE99" s="168">
        <f t="shared" si="217"/>
        <v>0</v>
      </c>
      <c r="CF99" s="168">
        <f t="shared" si="217"/>
        <v>0</v>
      </c>
      <c r="CG99" s="168">
        <f t="shared" si="217"/>
        <v>0</v>
      </c>
      <c r="CH99" s="168">
        <f t="shared" si="217"/>
        <v>0</v>
      </c>
      <c r="CI99" s="168">
        <f t="shared" si="217"/>
        <v>0</v>
      </c>
      <c r="CJ99" s="168">
        <f t="shared" si="217"/>
        <v>0</v>
      </c>
      <c r="CK99" s="168">
        <f t="shared" si="217"/>
        <v>0</v>
      </c>
      <c r="CL99" s="168">
        <f t="shared" si="217"/>
        <v>0</v>
      </c>
      <c r="CM99" s="168">
        <f t="shared" si="217"/>
        <v>0</v>
      </c>
      <c r="CN99" s="168">
        <f t="shared" si="217"/>
        <v>0</v>
      </c>
      <c r="CO99" s="168">
        <f t="shared" si="217"/>
        <v>0</v>
      </c>
      <c r="CP99" s="168">
        <f t="shared" si="217"/>
        <v>0</v>
      </c>
      <c r="CQ99" s="168">
        <f t="shared" si="217"/>
        <v>0</v>
      </c>
      <c r="CR99" s="168">
        <f t="shared" si="217"/>
        <v>0</v>
      </c>
      <c r="CS99" s="168">
        <f t="shared" si="217"/>
        <v>0</v>
      </c>
      <c r="CT99" s="168">
        <f t="shared" si="217"/>
        <v>0</v>
      </c>
      <c r="CU99" s="168">
        <f t="shared" si="217"/>
        <v>0</v>
      </c>
      <c r="CV99" s="168">
        <f t="shared" si="217"/>
        <v>0</v>
      </c>
      <c r="CW99" s="168">
        <f t="shared" si="217"/>
        <v>0</v>
      </c>
      <c r="CX99" s="168">
        <f t="shared" si="217"/>
        <v>0</v>
      </c>
      <c r="CY99" s="168">
        <f t="shared" si="217"/>
        <v>0</v>
      </c>
      <c r="CZ99" s="168">
        <f t="shared" si="217"/>
        <v>0</v>
      </c>
      <c r="DA99" s="168">
        <f t="shared" si="217"/>
        <v>0</v>
      </c>
      <c r="DB99" s="168">
        <f t="shared" si="217"/>
        <v>0</v>
      </c>
      <c r="DC99" s="168">
        <f t="shared" si="217"/>
        <v>0</v>
      </c>
      <c r="DD99" s="168">
        <f t="shared" si="217"/>
        <v>0</v>
      </c>
      <c r="DE99" s="168">
        <f t="shared" si="217"/>
        <v>0</v>
      </c>
      <c r="DF99" s="168">
        <f t="shared" si="217"/>
        <v>0</v>
      </c>
      <c r="DG99" s="168">
        <f t="shared" si="217"/>
        <v>0</v>
      </c>
      <c r="DH99" s="168">
        <f t="shared" si="217"/>
        <v>0</v>
      </c>
      <c r="DI99" s="168">
        <f t="shared" si="217"/>
        <v>0</v>
      </c>
      <c r="DJ99" s="168">
        <f t="shared" si="217"/>
        <v>0</v>
      </c>
      <c r="DK99" s="168">
        <f t="shared" si="217"/>
        <v>0</v>
      </c>
      <c r="DL99" s="168">
        <f t="shared" si="217"/>
        <v>0</v>
      </c>
      <c r="DM99" s="168">
        <f t="shared" si="217"/>
        <v>0</v>
      </c>
      <c r="DN99" s="168">
        <f t="shared" si="217"/>
        <v>0</v>
      </c>
      <c r="DO99" s="168">
        <f t="shared" si="217"/>
        <v>0</v>
      </c>
      <c r="DP99" s="168">
        <f t="shared" si="217"/>
        <v>0</v>
      </c>
      <c r="DQ99" s="168">
        <f t="shared" si="217"/>
        <v>0</v>
      </c>
      <c r="DR99" s="168">
        <f t="shared" si="217"/>
        <v>0</v>
      </c>
      <c r="DS99" s="168">
        <f t="shared" si="217"/>
        <v>0</v>
      </c>
      <c r="DT99" s="168">
        <f t="shared" si="217"/>
        <v>0</v>
      </c>
      <c r="DU99" s="168">
        <f t="shared" ref="DU99:EQ99" si="218">DT102</f>
        <v>0</v>
      </c>
      <c r="DV99" s="168">
        <f t="shared" si="218"/>
        <v>0</v>
      </c>
      <c r="DW99" s="168">
        <f t="shared" si="218"/>
        <v>0</v>
      </c>
      <c r="DX99" s="168">
        <f t="shared" si="218"/>
        <v>0</v>
      </c>
      <c r="DY99" s="168">
        <f t="shared" si="218"/>
        <v>0</v>
      </c>
      <c r="DZ99" s="168">
        <f t="shared" si="218"/>
        <v>0</v>
      </c>
      <c r="EA99" s="168">
        <f t="shared" si="218"/>
        <v>0</v>
      </c>
      <c r="EB99" s="168">
        <f t="shared" si="218"/>
        <v>0</v>
      </c>
      <c r="EC99" s="168">
        <f t="shared" si="218"/>
        <v>0</v>
      </c>
      <c r="ED99" s="1320">
        <f t="shared" si="218"/>
        <v>0</v>
      </c>
      <c r="EE99" s="168">
        <f t="shared" si="218"/>
        <v>0</v>
      </c>
      <c r="EF99" s="168">
        <f t="shared" si="218"/>
        <v>0</v>
      </c>
      <c r="EG99" s="168">
        <f t="shared" si="218"/>
        <v>0</v>
      </c>
      <c r="EH99" s="168">
        <f t="shared" si="218"/>
        <v>0</v>
      </c>
      <c r="EI99" s="168">
        <f t="shared" si="218"/>
        <v>0</v>
      </c>
      <c r="EJ99" s="168">
        <f t="shared" si="218"/>
        <v>0</v>
      </c>
      <c r="EK99" s="168">
        <f t="shared" si="218"/>
        <v>0</v>
      </c>
      <c r="EL99" s="168">
        <f t="shared" si="218"/>
        <v>0</v>
      </c>
      <c r="EM99" s="168">
        <f t="shared" si="218"/>
        <v>0</v>
      </c>
      <c r="EN99" s="168">
        <f t="shared" si="218"/>
        <v>0</v>
      </c>
      <c r="EO99" s="168">
        <f t="shared" si="218"/>
        <v>0</v>
      </c>
      <c r="EP99" s="168">
        <f t="shared" si="218"/>
        <v>0</v>
      </c>
      <c r="EQ99" s="168">
        <f t="shared" si="218"/>
        <v>0</v>
      </c>
    </row>
    <row r="100" spans="3:147" ht="11.25" customHeight="1">
      <c r="C100" s="163"/>
      <c r="D100" s="169" t="s">
        <v>218</v>
      </c>
      <c r="H100" s="146">
        <f>'A&amp;R'!M32</f>
        <v>46326</v>
      </c>
      <c r="I100" s="65">
        <f>'A&amp;R'!Q32</f>
        <v>4.7750000000000001E-2</v>
      </c>
      <c r="J100" s="170">
        <f>SUM(L100:EQ100)</f>
        <v>15279999.999999994</v>
      </c>
      <c r="K100" s="98"/>
      <c r="L100" s="171">
        <f>L21*$I100/12</f>
        <v>0</v>
      </c>
      <c r="M100" s="171">
        <f t="shared" ref="M100:BX100" si="219">M21*$I100/12</f>
        <v>636666.66666666663</v>
      </c>
      <c r="N100" s="171">
        <f t="shared" si="219"/>
        <v>636666.66666666663</v>
      </c>
      <c r="O100" s="171">
        <f t="shared" si="219"/>
        <v>636666.66666666663</v>
      </c>
      <c r="P100" s="171">
        <f t="shared" si="219"/>
        <v>636666.66666666663</v>
      </c>
      <c r="Q100" s="171">
        <f t="shared" si="219"/>
        <v>636666.66666666663</v>
      </c>
      <c r="R100" s="171">
        <f t="shared" si="219"/>
        <v>636666.66666666663</v>
      </c>
      <c r="S100" s="171">
        <f t="shared" si="219"/>
        <v>636666.66666666663</v>
      </c>
      <c r="T100" s="171">
        <f t="shared" si="219"/>
        <v>636666.66666666663</v>
      </c>
      <c r="U100" s="171">
        <f t="shared" si="219"/>
        <v>636666.66666666663</v>
      </c>
      <c r="V100" s="171">
        <f t="shared" si="219"/>
        <v>636666.66666666663</v>
      </c>
      <c r="W100" s="171">
        <f t="shared" si="219"/>
        <v>636666.66666666663</v>
      </c>
      <c r="X100" s="171">
        <f t="shared" si="219"/>
        <v>636666.66666666663</v>
      </c>
      <c r="Y100" s="171">
        <f t="shared" si="219"/>
        <v>636666.66666666663</v>
      </c>
      <c r="Z100" s="171">
        <f t="shared" si="219"/>
        <v>636666.66666666663</v>
      </c>
      <c r="AA100" s="171">
        <f t="shared" si="219"/>
        <v>636666.66666666663</v>
      </c>
      <c r="AB100" s="171">
        <f t="shared" si="219"/>
        <v>636666.66666666663</v>
      </c>
      <c r="AC100" s="171">
        <f t="shared" si="219"/>
        <v>636666.66666666663</v>
      </c>
      <c r="AD100" s="171">
        <f t="shared" si="219"/>
        <v>636666.66666666663</v>
      </c>
      <c r="AE100" s="171">
        <f t="shared" si="219"/>
        <v>636666.66666666663</v>
      </c>
      <c r="AF100" s="171">
        <f t="shared" si="219"/>
        <v>636666.66666666663</v>
      </c>
      <c r="AG100" s="171">
        <f t="shared" si="219"/>
        <v>636666.66666666663</v>
      </c>
      <c r="AH100" s="171">
        <f t="shared" si="219"/>
        <v>636666.66666666663</v>
      </c>
      <c r="AI100" s="171">
        <f t="shared" si="219"/>
        <v>636666.66666666663</v>
      </c>
      <c r="AJ100" s="171">
        <f t="shared" si="219"/>
        <v>636666.66666666663</v>
      </c>
      <c r="AK100" s="171">
        <f t="shared" si="219"/>
        <v>0</v>
      </c>
      <c r="AL100" s="171">
        <f t="shared" si="219"/>
        <v>0</v>
      </c>
      <c r="AM100" s="171">
        <f t="shared" si="219"/>
        <v>0</v>
      </c>
      <c r="AN100" s="171">
        <f t="shared" si="219"/>
        <v>0</v>
      </c>
      <c r="AO100" s="171">
        <f t="shared" si="219"/>
        <v>0</v>
      </c>
      <c r="AP100" s="171">
        <f t="shared" si="219"/>
        <v>0</v>
      </c>
      <c r="AQ100" s="171">
        <f t="shared" si="219"/>
        <v>0</v>
      </c>
      <c r="AR100" s="171">
        <f t="shared" si="219"/>
        <v>0</v>
      </c>
      <c r="AS100" s="171">
        <f t="shared" si="219"/>
        <v>0</v>
      </c>
      <c r="AT100" s="171">
        <f t="shared" si="219"/>
        <v>0</v>
      </c>
      <c r="AU100" s="171">
        <f t="shared" si="219"/>
        <v>0</v>
      </c>
      <c r="AV100" s="171">
        <f t="shared" si="219"/>
        <v>0</v>
      </c>
      <c r="AW100" s="171">
        <f t="shared" si="219"/>
        <v>0</v>
      </c>
      <c r="AX100" s="171">
        <f t="shared" si="219"/>
        <v>0</v>
      </c>
      <c r="AY100" s="171">
        <f t="shared" si="219"/>
        <v>0</v>
      </c>
      <c r="AZ100" s="171">
        <f t="shared" si="219"/>
        <v>0</v>
      </c>
      <c r="BA100" s="171">
        <f t="shared" si="219"/>
        <v>0</v>
      </c>
      <c r="BB100" s="171">
        <f t="shared" si="219"/>
        <v>0</v>
      </c>
      <c r="BC100" s="171">
        <f t="shared" si="219"/>
        <v>0</v>
      </c>
      <c r="BD100" s="171">
        <f t="shared" si="219"/>
        <v>0</v>
      </c>
      <c r="BE100" s="171">
        <f t="shared" si="219"/>
        <v>0</v>
      </c>
      <c r="BF100" s="171">
        <f t="shared" si="219"/>
        <v>0</v>
      </c>
      <c r="BG100" s="171">
        <f t="shared" si="219"/>
        <v>0</v>
      </c>
      <c r="BH100" s="171">
        <f t="shared" si="219"/>
        <v>0</v>
      </c>
      <c r="BI100" s="171">
        <f t="shared" si="219"/>
        <v>0</v>
      </c>
      <c r="BJ100" s="171">
        <f t="shared" si="219"/>
        <v>0</v>
      </c>
      <c r="BK100" s="171">
        <f t="shared" si="219"/>
        <v>0</v>
      </c>
      <c r="BL100" s="171">
        <f t="shared" si="219"/>
        <v>0</v>
      </c>
      <c r="BM100" s="171">
        <f t="shared" si="219"/>
        <v>0</v>
      </c>
      <c r="BN100" s="171">
        <f t="shared" si="219"/>
        <v>0</v>
      </c>
      <c r="BO100" s="171">
        <f t="shared" si="219"/>
        <v>0</v>
      </c>
      <c r="BP100" s="171">
        <f t="shared" si="219"/>
        <v>0</v>
      </c>
      <c r="BQ100" s="171">
        <f t="shared" si="219"/>
        <v>0</v>
      </c>
      <c r="BR100" s="171">
        <f t="shared" si="219"/>
        <v>0</v>
      </c>
      <c r="BS100" s="171">
        <f t="shared" si="219"/>
        <v>0</v>
      </c>
      <c r="BT100" s="171">
        <f t="shared" si="219"/>
        <v>0</v>
      </c>
      <c r="BU100" s="171">
        <f t="shared" si="219"/>
        <v>0</v>
      </c>
      <c r="BV100" s="171">
        <f t="shared" si="219"/>
        <v>0</v>
      </c>
      <c r="BW100" s="171">
        <f t="shared" si="219"/>
        <v>0</v>
      </c>
      <c r="BX100" s="171">
        <f t="shared" si="219"/>
        <v>0</v>
      </c>
      <c r="BY100" s="171">
        <f t="shared" ref="BY100:EJ100" si="220">BY21*$I100/12</f>
        <v>0</v>
      </c>
      <c r="BZ100" s="171">
        <f t="shared" si="220"/>
        <v>0</v>
      </c>
      <c r="CA100" s="171">
        <f t="shared" si="220"/>
        <v>0</v>
      </c>
      <c r="CB100" s="171">
        <f t="shared" si="220"/>
        <v>0</v>
      </c>
      <c r="CC100" s="171">
        <f t="shared" si="220"/>
        <v>0</v>
      </c>
      <c r="CD100" s="171">
        <f t="shared" si="220"/>
        <v>0</v>
      </c>
      <c r="CE100" s="171">
        <f t="shared" si="220"/>
        <v>0</v>
      </c>
      <c r="CF100" s="171">
        <f t="shared" si="220"/>
        <v>0</v>
      </c>
      <c r="CG100" s="171">
        <f t="shared" si="220"/>
        <v>0</v>
      </c>
      <c r="CH100" s="171">
        <f t="shared" si="220"/>
        <v>0</v>
      </c>
      <c r="CI100" s="171">
        <f t="shared" si="220"/>
        <v>0</v>
      </c>
      <c r="CJ100" s="171">
        <f t="shared" si="220"/>
        <v>0</v>
      </c>
      <c r="CK100" s="171">
        <f t="shared" si="220"/>
        <v>0</v>
      </c>
      <c r="CL100" s="171">
        <f t="shared" si="220"/>
        <v>0</v>
      </c>
      <c r="CM100" s="171">
        <f t="shared" si="220"/>
        <v>0</v>
      </c>
      <c r="CN100" s="171">
        <f t="shared" si="220"/>
        <v>0</v>
      </c>
      <c r="CO100" s="171">
        <f t="shared" si="220"/>
        <v>0</v>
      </c>
      <c r="CP100" s="171">
        <f t="shared" si="220"/>
        <v>0</v>
      </c>
      <c r="CQ100" s="171">
        <f t="shared" si="220"/>
        <v>0</v>
      </c>
      <c r="CR100" s="171">
        <f t="shared" si="220"/>
        <v>0</v>
      </c>
      <c r="CS100" s="171">
        <f t="shared" si="220"/>
        <v>0</v>
      </c>
      <c r="CT100" s="171">
        <f t="shared" si="220"/>
        <v>0</v>
      </c>
      <c r="CU100" s="171">
        <f t="shared" si="220"/>
        <v>0</v>
      </c>
      <c r="CV100" s="171">
        <f t="shared" si="220"/>
        <v>0</v>
      </c>
      <c r="CW100" s="171">
        <f t="shared" si="220"/>
        <v>0</v>
      </c>
      <c r="CX100" s="171">
        <f t="shared" si="220"/>
        <v>0</v>
      </c>
      <c r="CY100" s="171">
        <f t="shared" si="220"/>
        <v>0</v>
      </c>
      <c r="CZ100" s="171">
        <f t="shared" si="220"/>
        <v>0</v>
      </c>
      <c r="DA100" s="171">
        <f t="shared" si="220"/>
        <v>0</v>
      </c>
      <c r="DB100" s="171">
        <f t="shared" si="220"/>
        <v>0</v>
      </c>
      <c r="DC100" s="171">
        <f t="shared" si="220"/>
        <v>0</v>
      </c>
      <c r="DD100" s="171">
        <f t="shared" si="220"/>
        <v>0</v>
      </c>
      <c r="DE100" s="171">
        <f t="shared" si="220"/>
        <v>0</v>
      </c>
      <c r="DF100" s="171">
        <f t="shared" si="220"/>
        <v>0</v>
      </c>
      <c r="DG100" s="171">
        <f t="shared" si="220"/>
        <v>0</v>
      </c>
      <c r="DH100" s="171">
        <f t="shared" si="220"/>
        <v>0</v>
      </c>
      <c r="DI100" s="171">
        <f t="shared" si="220"/>
        <v>0</v>
      </c>
      <c r="DJ100" s="171">
        <f t="shared" si="220"/>
        <v>0</v>
      </c>
      <c r="DK100" s="171">
        <f t="shared" si="220"/>
        <v>0</v>
      </c>
      <c r="DL100" s="171">
        <f t="shared" si="220"/>
        <v>0</v>
      </c>
      <c r="DM100" s="171">
        <f t="shared" si="220"/>
        <v>0</v>
      </c>
      <c r="DN100" s="171">
        <f t="shared" si="220"/>
        <v>0</v>
      </c>
      <c r="DO100" s="171">
        <f t="shared" si="220"/>
        <v>0</v>
      </c>
      <c r="DP100" s="171">
        <f t="shared" si="220"/>
        <v>0</v>
      </c>
      <c r="DQ100" s="171">
        <f t="shared" si="220"/>
        <v>0</v>
      </c>
      <c r="DR100" s="171">
        <f t="shared" si="220"/>
        <v>0</v>
      </c>
      <c r="DS100" s="171">
        <f t="shared" si="220"/>
        <v>0</v>
      </c>
      <c r="DT100" s="171">
        <f t="shared" si="220"/>
        <v>0</v>
      </c>
      <c r="DU100" s="171">
        <f t="shared" si="220"/>
        <v>0</v>
      </c>
      <c r="DV100" s="171">
        <f t="shared" si="220"/>
        <v>0</v>
      </c>
      <c r="DW100" s="171">
        <f t="shared" si="220"/>
        <v>0</v>
      </c>
      <c r="DX100" s="171">
        <f t="shared" si="220"/>
        <v>0</v>
      </c>
      <c r="DY100" s="171">
        <f t="shared" si="220"/>
        <v>0</v>
      </c>
      <c r="DZ100" s="171">
        <f t="shared" si="220"/>
        <v>0</v>
      </c>
      <c r="EA100" s="171">
        <f t="shared" si="220"/>
        <v>0</v>
      </c>
      <c r="EB100" s="171">
        <f t="shared" si="220"/>
        <v>0</v>
      </c>
      <c r="EC100" s="171">
        <f t="shared" si="220"/>
        <v>0</v>
      </c>
      <c r="ED100" s="1321">
        <f t="shared" si="220"/>
        <v>0</v>
      </c>
      <c r="EE100" s="171">
        <f t="shared" si="220"/>
        <v>0</v>
      </c>
      <c r="EF100" s="171">
        <f t="shared" si="220"/>
        <v>0</v>
      </c>
      <c r="EG100" s="171">
        <f t="shared" si="220"/>
        <v>0</v>
      </c>
      <c r="EH100" s="171">
        <f t="shared" si="220"/>
        <v>0</v>
      </c>
      <c r="EI100" s="171">
        <f t="shared" si="220"/>
        <v>0</v>
      </c>
      <c r="EJ100" s="171">
        <f t="shared" si="220"/>
        <v>0</v>
      </c>
      <c r="EK100" s="171">
        <f t="shared" ref="EK100:EQ100" si="221">EK21*$I100/12</f>
        <v>0</v>
      </c>
      <c r="EL100" s="171">
        <f t="shared" si="221"/>
        <v>0</v>
      </c>
      <c r="EM100" s="171">
        <f t="shared" si="221"/>
        <v>0</v>
      </c>
      <c r="EN100" s="171">
        <f t="shared" si="221"/>
        <v>0</v>
      </c>
      <c r="EO100" s="171">
        <f t="shared" si="221"/>
        <v>0</v>
      </c>
      <c r="EP100" s="171">
        <f t="shared" si="221"/>
        <v>0</v>
      </c>
      <c r="EQ100" s="171">
        <f t="shared" si="221"/>
        <v>0</v>
      </c>
    </row>
    <row r="101" spans="3:147" ht="11.25" customHeight="1">
      <c r="C101" s="163"/>
      <c r="D101" s="169" t="s">
        <v>219</v>
      </c>
      <c r="H101" s="146">
        <f>'A&amp;R'!N32</f>
        <v>47057</v>
      </c>
      <c r="I101" s="1646">
        <v>3</v>
      </c>
      <c r="J101" s="170">
        <f>SUM(L101:EQ101)</f>
        <v>15280000</v>
      </c>
      <c r="K101" s="98"/>
      <c r="L101" s="171">
        <f>(MOD(DATEDIF($H100-1,L$97+1,"m"),$I$101)=0)*1*(L$97&gt;$H100)*(L$97&lt;=$H101)*SUM(L99:L100)</f>
        <v>0</v>
      </c>
      <c r="M101" s="171">
        <f t="shared" ref="M101:BX101" si="222">(MOD(DATEDIF($H100-1,M$97+1,"m"),$I$101)=0)*1*(M$97&gt;$H100)*(M$97&lt;=$H101)*SUM(M99:M100)</f>
        <v>0</v>
      </c>
      <c r="N101" s="171">
        <f t="shared" si="222"/>
        <v>0</v>
      </c>
      <c r="O101" s="171">
        <f t="shared" si="222"/>
        <v>1910000</v>
      </c>
      <c r="P101" s="171">
        <f t="shared" si="222"/>
        <v>0</v>
      </c>
      <c r="Q101" s="171">
        <f t="shared" si="222"/>
        <v>0</v>
      </c>
      <c r="R101" s="171">
        <f t="shared" si="222"/>
        <v>1910000</v>
      </c>
      <c r="S101" s="171">
        <f t="shared" si="222"/>
        <v>0</v>
      </c>
      <c r="T101" s="171">
        <f t="shared" si="222"/>
        <v>0</v>
      </c>
      <c r="U101" s="171">
        <f t="shared" si="222"/>
        <v>1910000</v>
      </c>
      <c r="V101" s="171">
        <f t="shared" si="222"/>
        <v>0</v>
      </c>
      <c r="W101" s="171">
        <f t="shared" si="222"/>
        <v>0</v>
      </c>
      <c r="X101" s="171">
        <f t="shared" si="222"/>
        <v>1910000</v>
      </c>
      <c r="Y101" s="171">
        <f t="shared" si="222"/>
        <v>0</v>
      </c>
      <c r="Z101" s="171">
        <f t="shared" si="222"/>
        <v>0</v>
      </c>
      <c r="AA101" s="171">
        <f t="shared" si="222"/>
        <v>1910000</v>
      </c>
      <c r="AB101" s="171">
        <f t="shared" si="222"/>
        <v>0</v>
      </c>
      <c r="AC101" s="171">
        <f t="shared" si="222"/>
        <v>0</v>
      </c>
      <c r="AD101" s="171">
        <f t="shared" si="222"/>
        <v>1910000</v>
      </c>
      <c r="AE101" s="171">
        <f t="shared" si="222"/>
        <v>0</v>
      </c>
      <c r="AF101" s="171">
        <f t="shared" si="222"/>
        <v>0</v>
      </c>
      <c r="AG101" s="171">
        <f t="shared" si="222"/>
        <v>1910000</v>
      </c>
      <c r="AH101" s="171">
        <f t="shared" si="222"/>
        <v>0</v>
      </c>
      <c r="AI101" s="171">
        <f t="shared" si="222"/>
        <v>0</v>
      </c>
      <c r="AJ101" s="171">
        <f t="shared" si="222"/>
        <v>1910000</v>
      </c>
      <c r="AK101" s="171">
        <f t="shared" si="222"/>
        <v>0</v>
      </c>
      <c r="AL101" s="171">
        <f t="shared" si="222"/>
        <v>0</v>
      </c>
      <c r="AM101" s="171">
        <f t="shared" si="222"/>
        <v>0</v>
      </c>
      <c r="AN101" s="171">
        <f t="shared" si="222"/>
        <v>0</v>
      </c>
      <c r="AO101" s="171">
        <f t="shared" si="222"/>
        <v>0</v>
      </c>
      <c r="AP101" s="171">
        <f t="shared" si="222"/>
        <v>0</v>
      </c>
      <c r="AQ101" s="171">
        <f t="shared" si="222"/>
        <v>0</v>
      </c>
      <c r="AR101" s="171">
        <f t="shared" si="222"/>
        <v>0</v>
      </c>
      <c r="AS101" s="171">
        <f t="shared" si="222"/>
        <v>0</v>
      </c>
      <c r="AT101" s="171">
        <f t="shared" si="222"/>
        <v>0</v>
      </c>
      <c r="AU101" s="171">
        <f t="shared" si="222"/>
        <v>0</v>
      </c>
      <c r="AV101" s="171">
        <f t="shared" si="222"/>
        <v>0</v>
      </c>
      <c r="AW101" s="171">
        <f t="shared" si="222"/>
        <v>0</v>
      </c>
      <c r="AX101" s="171">
        <f t="shared" si="222"/>
        <v>0</v>
      </c>
      <c r="AY101" s="171">
        <f t="shared" si="222"/>
        <v>0</v>
      </c>
      <c r="AZ101" s="171">
        <f t="shared" si="222"/>
        <v>0</v>
      </c>
      <c r="BA101" s="171">
        <f t="shared" si="222"/>
        <v>0</v>
      </c>
      <c r="BB101" s="171">
        <f t="shared" si="222"/>
        <v>0</v>
      </c>
      <c r="BC101" s="171">
        <f t="shared" si="222"/>
        <v>0</v>
      </c>
      <c r="BD101" s="171">
        <f t="shared" si="222"/>
        <v>0</v>
      </c>
      <c r="BE101" s="171">
        <f t="shared" si="222"/>
        <v>0</v>
      </c>
      <c r="BF101" s="171">
        <f t="shared" si="222"/>
        <v>0</v>
      </c>
      <c r="BG101" s="171">
        <f t="shared" si="222"/>
        <v>0</v>
      </c>
      <c r="BH101" s="171">
        <f t="shared" si="222"/>
        <v>0</v>
      </c>
      <c r="BI101" s="171">
        <f t="shared" si="222"/>
        <v>0</v>
      </c>
      <c r="BJ101" s="171">
        <f t="shared" si="222"/>
        <v>0</v>
      </c>
      <c r="BK101" s="171">
        <f t="shared" si="222"/>
        <v>0</v>
      </c>
      <c r="BL101" s="171">
        <f t="shared" si="222"/>
        <v>0</v>
      </c>
      <c r="BM101" s="171">
        <f t="shared" si="222"/>
        <v>0</v>
      </c>
      <c r="BN101" s="171">
        <f t="shared" si="222"/>
        <v>0</v>
      </c>
      <c r="BO101" s="171">
        <f t="shared" si="222"/>
        <v>0</v>
      </c>
      <c r="BP101" s="171">
        <f t="shared" si="222"/>
        <v>0</v>
      </c>
      <c r="BQ101" s="171">
        <f t="shared" si="222"/>
        <v>0</v>
      </c>
      <c r="BR101" s="171">
        <f t="shared" si="222"/>
        <v>0</v>
      </c>
      <c r="BS101" s="171">
        <f t="shared" si="222"/>
        <v>0</v>
      </c>
      <c r="BT101" s="171">
        <f t="shared" si="222"/>
        <v>0</v>
      </c>
      <c r="BU101" s="171">
        <f t="shared" si="222"/>
        <v>0</v>
      </c>
      <c r="BV101" s="171">
        <f t="shared" si="222"/>
        <v>0</v>
      </c>
      <c r="BW101" s="171">
        <f t="shared" si="222"/>
        <v>0</v>
      </c>
      <c r="BX101" s="171">
        <f t="shared" si="222"/>
        <v>0</v>
      </c>
      <c r="BY101" s="171">
        <f t="shared" ref="BY101:EJ101" si="223">(MOD(DATEDIF($H100-1,BY$97+1,"m"),$I$101)=0)*1*(BY$97&gt;$H100)*(BY$97&lt;=$H101)*SUM(BY99:BY100)</f>
        <v>0</v>
      </c>
      <c r="BZ101" s="171">
        <f t="shared" si="223"/>
        <v>0</v>
      </c>
      <c r="CA101" s="171">
        <f t="shared" si="223"/>
        <v>0</v>
      </c>
      <c r="CB101" s="171">
        <f t="shared" si="223"/>
        <v>0</v>
      </c>
      <c r="CC101" s="171">
        <f t="shared" si="223"/>
        <v>0</v>
      </c>
      <c r="CD101" s="171">
        <f t="shared" si="223"/>
        <v>0</v>
      </c>
      <c r="CE101" s="171">
        <f t="shared" si="223"/>
        <v>0</v>
      </c>
      <c r="CF101" s="171">
        <f t="shared" si="223"/>
        <v>0</v>
      </c>
      <c r="CG101" s="171">
        <f t="shared" si="223"/>
        <v>0</v>
      </c>
      <c r="CH101" s="171">
        <f t="shared" si="223"/>
        <v>0</v>
      </c>
      <c r="CI101" s="171">
        <f t="shared" si="223"/>
        <v>0</v>
      </c>
      <c r="CJ101" s="171">
        <f t="shared" si="223"/>
        <v>0</v>
      </c>
      <c r="CK101" s="171">
        <f t="shared" si="223"/>
        <v>0</v>
      </c>
      <c r="CL101" s="171">
        <f t="shared" si="223"/>
        <v>0</v>
      </c>
      <c r="CM101" s="171">
        <f t="shared" si="223"/>
        <v>0</v>
      </c>
      <c r="CN101" s="171">
        <f t="shared" si="223"/>
        <v>0</v>
      </c>
      <c r="CO101" s="171">
        <f t="shared" si="223"/>
        <v>0</v>
      </c>
      <c r="CP101" s="171">
        <f t="shared" si="223"/>
        <v>0</v>
      </c>
      <c r="CQ101" s="171">
        <f t="shared" si="223"/>
        <v>0</v>
      </c>
      <c r="CR101" s="171">
        <f t="shared" si="223"/>
        <v>0</v>
      </c>
      <c r="CS101" s="171">
        <f t="shared" si="223"/>
        <v>0</v>
      </c>
      <c r="CT101" s="171">
        <f t="shared" si="223"/>
        <v>0</v>
      </c>
      <c r="CU101" s="171">
        <f t="shared" si="223"/>
        <v>0</v>
      </c>
      <c r="CV101" s="171">
        <f t="shared" si="223"/>
        <v>0</v>
      </c>
      <c r="CW101" s="171">
        <f t="shared" si="223"/>
        <v>0</v>
      </c>
      <c r="CX101" s="171">
        <f t="shared" si="223"/>
        <v>0</v>
      </c>
      <c r="CY101" s="171">
        <f t="shared" si="223"/>
        <v>0</v>
      </c>
      <c r="CZ101" s="171">
        <f t="shared" si="223"/>
        <v>0</v>
      </c>
      <c r="DA101" s="171">
        <f t="shared" si="223"/>
        <v>0</v>
      </c>
      <c r="DB101" s="171">
        <f t="shared" si="223"/>
        <v>0</v>
      </c>
      <c r="DC101" s="171">
        <f t="shared" si="223"/>
        <v>0</v>
      </c>
      <c r="DD101" s="171">
        <f t="shared" si="223"/>
        <v>0</v>
      </c>
      <c r="DE101" s="171">
        <f t="shared" si="223"/>
        <v>0</v>
      </c>
      <c r="DF101" s="171">
        <f t="shared" si="223"/>
        <v>0</v>
      </c>
      <c r="DG101" s="171">
        <f t="shared" si="223"/>
        <v>0</v>
      </c>
      <c r="DH101" s="171">
        <f t="shared" si="223"/>
        <v>0</v>
      </c>
      <c r="DI101" s="171">
        <f t="shared" si="223"/>
        <v>0</v>
      </c>
      <c r="DJ101" s="171">
        <f t="shared" si="223"/>
        <v>0</v>
      </c>
      <c r="DK101" s="171">
        <f t="shared" si="223"/>
        <v>0</v>
      </c>
      <c r="DL101" s="171">
        <f t="shared" si="223"/>
        <v>0</v>
      </c>
      <c r="DM101" s="171">
        <f t="shared" si="223"/>
        <v>0</v>
      </c>
      <c r="DN101" s="171">
        <f t="shared" si="223"/>
        <v>0</v>
      </c>
      <c r="DO101" s="171">
        <f t="shared" si="223"/>
        <v>0</v>
      </c>
      <c r="DP101" s="171">
        <f t="shared" si="223"/>
        <v>0</v>
      </c>
      <c r="DQ101" s="171">
        <f t="shared" si="223"/>
        <v>0</v>
      </c>
      <c r="DR101" s="171">
        <f t="shared" si="223"/>
        <v>0</v>
      </c>
      <c r="DS101" s="171">
        <f t="shared" si="223"/>
        <v>0</v>
      </c>
      <c r="DT101" s="171">
        <f t="shared" si="223"/>
        <v>0</v>
      </c>
      <c r="DU101" s="171">
        <f t="shared" si="223"/>
        <v>0</v>
      </c>
      <c r="DV101" s="171">
        <f t="shared" si="223"/>
        <v>0</v>
      </c>
      <c r="DW101" s="171">
        <f t="shared" si="223"/>
        <v>0</v>
      </c>
      <c r="DX101" s="171">
        <f t="shared" si="223"/>
        <v>0</v>
      </c>
      <c r="DY101" s="171">
        <f t="shared" si="223"/>
        <v>0</v>
      </c>
      <c r="DZ101" s="171">
        <f t="shared" si="223"/>
        <v>0</v>
      </c>
      <c r="EA101" s="171">
        <f t="shared" si="223"/>
        <v>0</v>
      </c>
      <c r="EB101" s="171">
        <f t="shared" si="223"/>
        <v>0</v>
      </c>
      <c r="EC101" s="171">
        <f t="shared" si="223"/>
        <v>0</v>
      </c>
      <c r="ED101" s="1321">
        <f t="shared" si="223"/>
        <v>0</v>
      </c>
      <c r="EE101" s="171">
        <f t="shared" si="223"/>
        <v>0</v>
      </c>
      <c r="EF101" s="171">
        <f t="shared" si="223"/>
        <v>0</v>
      </c>
      <c r="EG101" s="171">
        <f t="shared" si="223"/>
        <v>0</v>
      </c>
      <c r="EH101" s="171">
        <f t="shared" si="223"/>
        <v>0</v>
      </c>
      <c r="EI101" s="171">
        <f t="shared" si="223"/>
        <v>0</v>
      </c>
      <c r="EJ101" s="171">
        <f t="shared" si="223"/>
        <v>0</v>
      </c>
      <c r="EK101" s="171">
        <f t="shared" ref="EK101:EQ101" si="224">(MOD(DATEDIF($H100-1,EK$97+1,"m"),$I$101)=0)*1*(EK$97&gt;$H100)*(EK$97&lt;=$H101)*SUM(EK99:EK100)</f>
        <v>0</v>
      </c>
      <c r="EL101" s="171">
        <f t="shared" si="224"/>
        <v>0</v>
      </c>
      <c r="EM101" s="171">
        <f t="shared" si="224"/>
        <v>0</v>
      </c>
      <c r="EN101" s="171">
        <f t="shared" si="224"/>
        <v>0</v>
      </c>
      <c r="EO101" s="171">
        <f t="shared" si="224"/>
        <v>0</v>
      </c>
      <c r="EP101" s="171">
        <f t="shared" si="224"/>
        <v>0</v>
      </c>
      <c r="EQ101" s="171">
        <f t="shared" si="224"/>
        <v>0</v>
      </c>
    </row>
    <row r="102" spans="3:147" ht="11.25" customHeight="1">
      <c r="C102" s="163"/>
      <c r="D102" s="169" t="s">
        <v>220</v>
      </c>
      <c r="I102" s="65"/>
      <c r="J102" s="170"/>
      <c r="K102" s="98"/>
      <c r="L102" s="171">
        <f>L99+L100-L101</f>
        <v>0</v>
      </c>
      <c r="M102" s="171">
        <f t="shared" ref="M102:BX102" si="225">M99+M100-M101</f>
        <v>636666.66666666663</v>
      </c>
      <c r="N102" s="171">
        <f t="shared" si="225"/>
        <v>1273333.3333333333</v>
      </c>
      <c r="O102" s="171">
        <f t="shared" si="225"/>
        <v>0</v>
      </c>
      <c r="P102" s="171">
        <f t="shared" si="225"/>
        <v>636666.66666666663</v>
      </c>
      <c r="Q102" s="171">
        <f t="shared" si="225"/>
        <v>1273333.3333333333</v>
      </c>
      <c r="R102" s="171">
        <f t="shared" si="225"/>
        <v>0</v>
      </c>
      <c r="S102" s="171">
        <f t="shared" si="225"/>
        <v>636666.66666666663</v>
      </c>
      <c r="T102" s="171">
        <f t="shared" si="225"/>
        <v>1273333.3333333333</v>
      </c>
      <c r="U102" s="171">
        <f t="shared" si="225"/>
        <v>0</v>
      </c>
      <c r="V102" s="171">
        <f t="shared" si="225"/>
        <v>636666.66666666663</v>
      </c>
      <c r="W102" s="171">
        <f t="shared" si="225"/>
        <v>1273333.3333333333</v>
      </c>
      <c r="X102" s="171">
        <f t="shared" si="225"/>
        <v>0</v>
      </c>
      <c r="Y102" s="171">
        <f t="shared" si="225"/>
        <v>636666.66666666663</v>
      </c>
      <c r="Z102" s="171">
        <f t="shared" si="225"/>
        <v>1273333.3333333333</v>
      </c>
      <c r="AA102" s="171">
        <f t="shared" si="225"/>
        <v>0</v>
      </c>
      <c r="AB102" s="171">
        <f t="shared" si="225"/>
        <v>636666.66666666663</v>
      </c>
      <c r="AC102" s="171">
        <f t="shared" si="225"/>
        <v>1273333.3333333333</v>
      </c>
      <c r="AD102" s="171">
        <f t="shared" si="225"/>
        <v>0</v>
      </c>
      <c r="AE102" s="171">
        <f t="shared" si="225"/>
        <v>636666.66666666663</v>
      </c>
      <c r="AF102" s="171">
        <f t="shared" si="225"/>
        <v>1273333.3333333333</v>
      </c>
      <c r="AG102" s="171">
        <f t="shared" si="225"/>
        <v>0</v>
      </c>
      <c r="AH102" s="171">
        <f t="shared" si="225"/>
        <v>636666.66666666663</v>
      </c>
      <c r="AI102" s="171">
        <f t="shared" si="225"/>
        <v>1273333.3333333333</v>
      </c>
      <c r="AJ102" s="171">
        <f t="shared" si="225"/>
        <v>0</v>
      </c>
      <c r="AK102" s="171">
        <f t="shared" si="225"/>
        <v>0</v>
      </c>
      <c r="AL102" s="171">
        <f t="shared" si="225"/>
        <v>0</v>
      </c>
      <c r="AM102" s="171">
        <f t="shared" si="225"/>
        <v>0</v>
      </c>
      <c r="AN102" s="171">
        <f t="shared" si="225"/>
        <v>0</v>
      </c>
      <c r="AO102" s="171">
        <f t="shared" si="225"/>
        <v>0</v>
      </c>
      <c r="AP102" s="171">
        <f t="shared" si="225"/>
        <v>0</v>
      </c>
      <c r="AQ102" s="171">
        <f t="shared" si="225"/>
        <v>0</v>
      </c>
      <c r="AR102" s="171">
        <f t="shared" si="225"/>
        <v>0</v>
      </c>
      <c r="AS102" s="171">
        <f t="shared" si="225"/>
        <v>0</v>
      </c>
      <c r="AT102" s="171">
        <f t="shared" si="225"/>
        <v>0</v>
      </c>
      <c r="AU102" s="171">
        <f t="shared" si="225"/>
        <v>0</v>
      </c>
      <c r="AV102" s="171">
        <f t="shared" si="225"/>
        <v>0</v>
      </c>
      <c r="AW102" s="171">
        <f t="shared" si="225"/>
        <v>0</v>
      </c>
      <c r="AX102" s="171">
        <f t="shared" si="225"/>
        <v>0</v>
      </c>
      <c r="AY102" s="171">
        <f t="shared" si="225"/>
        <v>0</v>
      </c>
      <c r="AZ102" s="171">
        <f t="shared" si="225"/>
        <v>0</v>
      </c>
      <c r="BA102" s="171">
        <f t="shared" si="225"/>
        <v>0</v>
      </c>
      <c r="BB102" s="171">
        <f t="shared" si="225"/>
        <v>0</v>
      </c>
      <c r="BC102" s="171">
        <f t="shared" si="225"/>
        <v>0</v>
      </c>
      <c r="BD102" s="171">
        <f t="shared" si="225"/>
        <v>0</v>
      </c>
      <c r="BE102" s="171">
        <f t="shared" si="225"/>
        <v>0</v>
      </c>
      <c r="BF102" s="171">
        <f t="shared" si="225"/>
        <v>0</v>
      </c>
      <c r="BG102" s="171">
        <f t="shared" si="225"/>
        <v>0</v>
      </c>
      <c r="BH102" s="171">
        <f t="shared" si="225"/>
        <v>0</v>
      </c>
      <c r="BI102" s="171">
        <f t="shared" si="225"/>
        <v>0</v>
      </c>
      <c r="BJ102" s="171">
        <f t="shared" si="225"/>
        <v>0</v>
      </c>
      <c r="BK102" s="171">
        <f t="shared" si="225"/>
        <v>0</v>
      </c>
      <c r="BL102" s="171">
        <f t="shared" si="225"/>
        <v>0</v>
      </c>
      <c r="BM102" s="171">
        <f t="shared" si="225"/>
        <v>0</v>
      </c>
      <c r="BN102" s="171">
        <f t="shared" si="225"/>
        <v>0</v>
      </c>
      <c r="BO102" s="171">
        <f t="shared" si="225"/>
        <v>0</v>
      </c>
      <c r="BP102" s="171">
        <f t="shared" si="225"/>
        <v>0</v>
      </c>
      <c r="BQ102" s="171">
        <f t="shared" si="225"/>
        <v>0</v>
      </c>
      <c r="BR102" s="171">
        <f t="shared" si="225"/>
        <v>0</v>
      </c>
      <c r="BS102" s="171">
        <f t="shared" si="225"/>
        <v>0</v>
      </c>
      <c r="BT102" s="171">
        <f t="shared" si="225"/>
        <v>0</v>
      </c>
      <c r="BU102" s="171">
        <f t="shared" si="225"/>
        <v>0</v>
      </c>
      <c r="BV102" s="171">
        <f t="shared" si="225"/>
        <v>0</v>
      </c>
      <c r="BW102" s="171">
        <f t="shared" si="225"/>
        <v>0</v>
      </c>
      <c r="BX102" s="171">
        <f t="shared" si="225"/>
        <v>0</v>
      </c>
      <c r="BY102" s="171">
        <f t="shared" ref="BY102:DT102" si="226">BY99+BY100-BY101</f>
        <v>0</v>
      </c>
      <c r="BZ102" s="171">
        <f t="shared" si="226"/>
        <v>0</v>
      </c>
      <c r="CA102" s="171">
        <f t="shared" si="226"/>
        <v>0</v>
      </c>
      <c r="CB102" s="171">
        <f t="shared" si="226"/>
        <v>0</v>
      </c>
      <c r="CC102" s="171">
        <f t="shared" si="226"/>
        <v>0</v>
      </c>
      <c r="CD102" s="171">
        <f t="shared" si="226"/>
        <v>0</v>
      </c>
      <c r="CE102" s="171">
        <f t="shared" si="226"/>
        <v>0</v>
      </c>
      <c r="CF102" s="171">
        <f t="shared" si="226"/>
        <v>0</v>
      </c>
      <c r="CG102" s="171">
        <f t="shared" si="226"/>
        <v>0</v>
      </c>
      <c r="CH102" s="171">
        <f t="shared" si="226"/>
        <v>0</v>
      </c>
      <c r="CI102" s="171">
        <f t="shared" si="226"/>
        <v>0</v>
      </c>
      <c r="CJ102" s="171">
        <f t="shared" si="226"/>
        <v>0</v>
      </c>
      <c r="CK102" s="171">
        <f t="shared" si="226"/>
        <v>0</v>
      </c>
      <c r="CL102" s="171">
        <f t="shared" si="226"/>
        <v>0</v>
      </c>
      <c r="CM102" s="171">
        <f t="shared" si="226"/>
        <v>0</v>
      </c>
      <c r="CN102" s="171">
        <f t="shared" si="226"/>
        <v>0</v>
      </c>
      <c r="CO102" s="171">
        <f t="shared" si="226"/>
        <v>0</v>
      </c>
      <c r="CP102" s="171">
        <f t="shared" si="226"/>
        <v>0</v>
      </c>
      <c r="CQ102" s="171">
        <f t="shared" si="226"/>
        <v>0</v>
      </c>
      <c r="CR102" s="171">
        <f t="shared" si="226"/>
        <v>0</v>
      </c>
      <c r="CS102" s="171">
        <f t="shared" si="226"/>
        <v>0</v>
      </c>
      <c r="CT102" s="171">
        <f t="shared" si="226"/>
        <v>0</v>
      </c>
      <c r="CU102" s="171">
        <f t="shared" si="226"/>
        <v>0</v>
      </c>
      <c r="CV102" s="171">
        <f t="shared" si="226"/>
        <v>0</v>
      </c>
      <c r="CW102" s="171">
        <f t="shared" si="226"/>
        <v>0</v>
      </c>
      <c r="CX102" s="171">
        <f t="shared" si="226"/>
        <v>0</v>
      </c>
      <c r="CY102" s="171">
        <f t="shared" si="226"/>
        <v>0</v>
      </c>
      <c r="CZ102" s="171">
        <f t="shared" si="226"/>
        <v>0</v>
      </c>
      <c r="DA102" s="171">
        <f t="shared" si="226"/>
        <v>0</v>
      </c>
      <c r="DB102" s="171">
        <f t="shared" si="226"/>
        <v>0</v>
      </c>
      <c r="DC102" s="171">
        <f t="shared" si="226"/>
        <v>0</v>
      </c>
      <c r="DD102" s="171">
        <f t="shared" si="226"/>
        <v>0</v>
      </c>
      <c r="DE102" s="171">
        <f t="shared" si="226"/>
        <v>0</v>
      </c>
      <c r="DF102" s="171">
        <f t="shared" si="226"/>
        <v>0</v>
      </c>
      <c r="DG102" s="171">
        <f t="shared" si="226"/>
        <v>0</v>
      </c>
      <c r="DH102" s="171">
        <f t="shared" si="226"/>
        <v>0</v>
      </c>
      <c r="DI102" s="171">
        <f t="shared" si="226"/>
        <v>0</v>
      </c>
      <c r="DJ102" s="171">
        <f t="shared" si="226"/>
        <v>0</v>
      </c>
      <c r="DK102" s="171">
        <f t="shared" si="226"/>
        <v>0</v>
      </c>
      <c r="DL102" s="171">
        <f t="shared" si="226"/>
        <v>0</v>
      </c>
      <c r="DM102" s="171">
        <f t="shared" si="226"/>
        <v>0</v>
      </c>
      <c r="DN102" s="171">
        <f t="shared" si="226"/>
        <v>0</v>
      </c>
      <c r="DO102" s="171">
        <f t="shared" si="226"/>
        <v>0</v>
      </c>
      <c r="DP102" s="171">
        <f t="shared" si="226"/>
        <v>0</v>
      </c>
      <c r="DQ102" s="171">
        <f t="shared" si="226"/>
        <v>0</v>
      </c>
      <c r="DR102" s="171">
        <f t="shared" si="226"/>
        <v>0</v>
      </c>
      <c r="DS102" s="171">
        <f t="shared" si="226"/>
        <v>0</v>
      </c>
      <c r="DT102" s="171">
        <f t="shared" si="226"/>
        <v>0</v>
      </c>
      <c r="DU102" s="171">
        <f t="shared" ref="DU102:EA102" si="227">DU99+DU100-DU101</f>
        <v>0</v>
      </c>
      <c r="DV102" s="171">
        <f t="shared" si="227"/>
        <v>0</v>
      </c>
      <c r="DW102" s="171">
        <f t="shared" si="227"/>
        <v>0</v>
      </c>
      <c r="DX102" s="171">
        <f t="shared" si="227"/>
        <v>0</v>
      </c>
      <c r="DY102" s="171">
        <f t="shared" si="227"/>
        <v>0</v>
      </c>
      <c r="DZ102" s="171">
        <f t="shared" si="227"/>
        <v>0</v>
      </c>
      <c r="EA102" s="171">
        <f t="shared" si="227"/>
        <v>0</v>
      </c>
      <c r="EB102" s="171">
        <f t="shared" ref="EB102:EQ102" si="228">EB99+EB100-EB101</f>
        <v>0</v>
      </c>
      <c r="EC102" s="171">
        <f t="shared" si="228"/>
        <v>0</v>
      </c>
      <c r="ED102" s="1321">
        <f t="shared" si="228"/>
        <v>0</v>
      </c>
      <c r="EE102" s="171">
        <f t="shared" si="228"/>
        <v>0</v>
      </c>
      <c r="EF102" s="171">
        <f t="shared" si="228"/>
        <v>0</v>
      </c>
      <c r="EG102" s="171">
        <f t="shared" si="228"/>
        <v>0</v>
      </c>
      <c r="EH102" s="171">
        <f t="shared" si="228"/>
        <v>0</v>
      </c>
      <c r="EI102" s="171">
        <f t="shared" si="228"/>
        <v>0</v>
      </c>
      <c r="EJ102" s="171">
        <f t="shared" si="228"/>
        <v>0</v>
      </c>
      <c r="EK102" s="171">
        <f t="shared" si="228"/>
        <v>0</v>
      </c>
      <c r="EL102" s="171">
        <f t="shared" si="228"/>
        <v>0</v>
      </c>
      <c r="EM102" s="171">
        <f t="shared" si="228"/>
        <v>0</v>
      </c>
      <c r="EN102" s="171">
        <f t="shared" si="228"/>
        <v>0</v>
      </c>
      <c r="EO102" s="171">
        <f t="shared" si="228"/>
        <v>0</v>
      </c>
      <c r="EP102" s="171">
        <f t="shared" si="228"/>
        <v>0</v>
      </c>
      <c r="EQ102" s="171">
        <f t="shared" si="228"/>
        <v>0</v>
      </c>
    </row>
    <row r="103" spans="3:147" ht="11.25" customHeight="1">
      <c r="C103" s="158" t="str">
        <f>'A&amp;R'!L33</f>
        <v>담보대출(2nd)</v>
      </c>
      <c r="D103" s="159"/>
      <c r="E103" s="159"/>
      <c r="F103" s="159"/>
      <c r="G103" s="159"/>
      <c r="H103" s="160"/>
      <c r="I103" s="246"/>
      <c r="J103" s="161"/>
      <c r="K103" s="98"/>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162"/>
      <c r="AK103" s="162"/>
      <c r="AL103" s="162"/>
      <c r="AM103" s="162"/>
      <c r="AN103" s="162"/>
      <c r="AO103" s="162"/>
      <c r="AP103" s="162"/>
      <c r="AQ103" s="162"/>
      <c r="AR103" s="162"/>
      <c r="AS103" s="162"/>
      <c r="AT103" s="162"/>
      <c r="AU103" s="162"/>
      <c r="AV103" s="162"/>
      <c r="AW103" s="162"/>
      <c r="AX103" s="162"/>
      <c r="AY103" s="162"/>
      <c r="AZ103" s="162"/>
      <c r="BA103" s="162"/>
      <c r="BB103" s="162"/>
      <c r="BC103" s="162"/>
      <c r="BD103" s="162"/>
      <c r="BE103" s="162"/>
      <c r="BF103" s="162"/>
      <c r="BG103" s="162"/>
      <c r="BH103" s="162"/>
      <c r="BI103" s="162"/>
      <c r="BJ103" s="162"/>
      <c r="BK103" s="162"/>
      <c r="BL103" s="162"/>
      <c r="BM103" s="162"/>
      <c r="BN103" s="162"/>
      <c r="BO103" s="162"/>
      <c r="BP103" s="162"/>
      <c r="BQ103" s="162"/>
      <c r="BR103" s="162"/>
      <c r="BS103" s="162"/>
      <c r="BT103" s="162"/>
      <c r="BU103" s="162"/>
      <c r="BV103" s="162"/>
      <c r="BW103" s="162"/>
      <c r="BX103" s="162"/>
      <c r="BY103" s="162"/>
      <c r="BZ103" s="162"/>
      <c r="CA103" s="162"/>
      <c r="CB103" s="162"/>
      <c r="CC103" s="162"/>
      <c r="CD103" s="162"/>
      <c r="CE103" s="162"/>
      <c r="CF103" s="162"/>
      <c r="CG103" s="162"/>
      <c r="CH103" s="162"/>
      <c r="CI103" s="162"/>
      <c r="CJ103" s="162"/>
      <c r="CK103" s="162"/>
      <c r="CL103" s="162"/>
      <c r="CM103" s="162"/>
      <c r="CN103" s="162"/>
      <c r="CO103" s="162"/>
      <c r="CP103" s="162"/>
      <c r="CQ103" s="162"/>
      <c r="CR103" s="162"/>
      <c r="CS103" s="162"/>
      <c r="CT103" s="162"/>
      <c r="CU103" s="162"/>
      <c r="CV103" s="162"/>
      <c r="CW103" s="162"/>
      <c r="CX103" s="162"/>
      <c r="CY103" s="162"/>
      <c r="CZ103" s="162"/>
      <c r="DA103" s="162"/>
      <c r="DB103" s="162"/>
      <c r="DC103" s="162"/>
      <c r="DD103" s="162"/>
      <c r="DE103" s="162"/>
      <c r="DF103" s="162"/>
      <c r="DG103" s="162"/>
      <c r="DH103" s="162"/>
      <c r="DI103" s="162"/>
      <c r="DJ103" s="162"/>
      <c r="DK103" s="162"/>
      <c r="DL103" s="162"/>
      <c r="DM103" s="162"/>
      <c r="DN103" s="162"/>
      <c r="DO103" s="162"/>
      <c r="DP103" s="162"/>
      <c r="DQ103" s="162"/>
      <c r="DR103" s="162"/>
      <c r="DS103" s="162"/>
      <c r="DT103" s="162"/>
      <c r="DU103" s="162"/>
      <c r="DV103" s="162"/>
      <c r="DW103" s="162"/>
      <c r="DX103" s="162"/>
      <c r="DY103" s="162"/>
      <c r="DZ103" s="162"/>
      <c r="EA103" s="162"/>
      <c r="EB103" s="162"/>
      <c r="EC103" s="162"/>
      <c r="ED103" s="1319"/>
      <c r="EE103" s="162"/>
      <c r="EF103" s="162"/>
      <c r="EG103" s="162"/>
      <c r="EH103" s="162"/>
      <c r="EI103" s="162"/>
      <c r="EJ103" s="162"/>
      <c r="EK103" s="162"/>
      <c r="EL103" s="162"/>
      <c r="EM103" s="162"/>
      <c r="EN103" s="162"/>
      <c r="EO103" s="162"/>
      <c r="EP103" s="162"/>
      <c r="EQ103" s="162"/>
    </row>
    <row r="104" spans="3:147" ht="11.25" customHeight="1">
      <c r="C104" s="163"/>
      <c r="D104" s="164" t="s">
        <v>230</v>
      </c>
      <c r="E104" s="165"/>
      <c r="F104" s="165"/>
      <c r="G104" s="165"/>
      <c r="H104" s="166"/>
      <c r="I104" s="247"/>
      <c r="J104" s="167"/>
      <c r="K104" s="98"/>
      <c r="L104" s="168">
        <f t="shared" ref="L104:AQ104" si="229">K107</f>
        <v>0</v>
      </c>
      <c r="M104" s="168">
        <f t="shared" si="229"/>
        <v>0</v>
      </c>
      <c r="N104" s="168">
        <f t="shared" si="229"/>
        <v>0</v>
      </c>
      <c r="O104" s="168">
        <f t="shared" si="229"/>
        <v>0</v>
      </c>
      <c r="P104" s="168">
        <f t="shared" si="229"/>
        <v>0</v>
      </c>
      <c r="Q104" s="168">
        <f t="shared" si="229"/>
        <v>0</v>
      </c>
      <c r="R104" s="168">
        <f t="shared" si="229"/>
        <v>0</v>
      </c>
      <c r="S104" s="168">
        <f t="shared" si="229"/>
        <v>0</v>
      </c>
      <c r="T104" s="168">
        <f t="shared" si="229"/>
        <v>0</v>
      </c>
      <c r="U104" s="168">
        <f t="shared" si="229"/>
        <v>0</v>
      </c>
      <c r="V104" s="168">
        <f t="shared" si="229"/>
        <v>0</v>
      </c>
      <c r="W104" s="168">
        <f t="shared" si="229"/>
        <v>0</v>
      </c>
      <c r="X104" s="168">
        <f t="shared" si="229"/>
        <v>0</v>
      </c>
      <c r="Y104" s="168">
        <f t="shared" si="229"/>
        <v>0</v>
      </c>
      <c r="Z104" s="168">
        <f t="shared" si="229"/>
        <v>0</v>
      </c>
      <c r="AA104" s="168">
        <f t="shared" si="229"/>
        <v>0</v>
      </c>
      <c r="AB104" s="168">
        <f t="shared" si="229"/>
        <v>0</v>
      </c>
      <c r="AC104" s="168">
        <f t="shared" si="229"/>
        <v>0</v>
      </c>
      <c r="AD104" s="168">
        <f t="shared" si="229"/>
        <v>0</v>
      </c>
      <c r="AE104" s="168">
        <f t="shared" si="229"/>
        <v>0</v>
      </c>
      <c r="AF104" s="168">
        <f t="shared" si="229"/>
        <v>0</v>
      </c>
      <c r="AG104" s="168">
        <f t="shared" si="229"/>
        <v>0</v>
      </c>
      <c r="AH104" s="168">
        <f t="shared" si="229"/>
        <v>0</v>
      </c>
      <c r="AI104" s="168">
        <f t="shared" si="229"/>
        <v>0</v>
      </c>
      <c r="AJ104" s="168">
        <f t="shared" si="229"/>
        <v>0</v>
      </c>
      <c r="AK104" s="168">
        <f t="shared" si="229"/>
        <v>0</v>
      </c>
      <c r="AL104" s="168">
        <f t="shared" si="229"/>
        <v>852000</v>
      </c>
      <c r="AM104" s="168">
        <f t="shared" si="229"/>
        <v>1704000</v>
      </c>
      <c r="AN104" s="168">
        <f t="shared" si="229"/>
        <v>0</v>
      </c>
      <c r="AO104" s="168">
        <f t="shared" si="229"/>
        <v>852000</v>
      </c>
      <c r="AP104" s="168">
        <f t="shared" si="229"/>
        <v>1704000</v>
      </c>
      <c r="AQ104" s="168">
        <f t="shared" si="229"/>
        <v>0</v>
      </c>
      <c r="AR104" s="168">
        <f t="shared" ref="AR104:BW104" si="230">AQ107</f>
        <v>852000</v>
      </c>
      <c r="AS104" s="168">
        <f t="shared" si="230"/>
        <v>1704000</v>
      </c>
      <c r="AT104" s="168">
        <f t="shared" si="230"/>
        <v>0</v>
      </c>
      <c r="AU104" s="168">
        <f t="shared" si="230"/>
        <v>852000</v>
      </c>
      <c r="AV104" s="168">
        <f t="shared" si="230"/>
        <v>1704000</v>
      </c>
      <c r="AW104" s="168">
        <f t="shared" si="230"/>
        <v>0</v>
      </c>
      <c r="AX104" s="168">
        <f t="shared" si="230"/>
        <v>852000</v>
      </c>
      <c r="AY104" s="168">
        <f t="shared" si="230"/>
        <v>1704000</v>
      </c>
      <c r="AZ104" s="168">
        <f t="shared" si="230"/>
        <v>0</v>
      </c>
      <c r="BA104" s="168">
        <f t="shared" si="230"/>
        <v>852000</v>
      </c>
      <c r="BB104" s="168">
        <f t="shared" si="230"/>
        <v>1704000</v>
      </c>
      <c r="BC104" s="168">
        <f t="shared" si="230"/>
        <v>0</v>
      </c>
      <c r="BD104" s="168">
        <f t="shared" si="230"/>
        <v>852000</v>
      </c>
      <c r="BE104" s="168">
        <f t="shared" si="230"/>
        <v>1704000</v>
      </c>
      <c r="BF104" s="168">
        <f t="shared" si="230"/>
        <v>0</v>
      </c>
      <c r="BG104" s="168">
        <f t="shared" si="230"/>
        <v>852000</v>
      </c>
      <c r="BH104" s="168">
        <f t="shared" si="230"/>
        <v>1704000</v>
      </c>
      <c r="BI104" s="168">
        <f t="shared" si="230"/>
        <v>0</v>
      </c>
      <c r="BJ104" s="168">
        <f t="shared" si="230"/>
        <v>852000</v>
      </c>
      <c r="BK104" s="168">
        <f t="shared" si="230"/>
        <v>1704000</v>
      </c>
      <c r="BL104" s="168">
        <f t="shared" si="230"/>
        <v>0</v>
      </c>
      <c r="BM104" s="168">
        <f t="shared" si="230"/>
        <v>852000</v>
      </c>
      <c r="BN104" s="168">
        <f t="shared" si="230"/>
        <v>1704000</v>
      </c>
      <c r="BO104" s="168">
        <f t="shared" si="230"/>
        <v>0</v>
      </c>
      <c r="BP104" s="168">
        <f t="shared" si="230"/>
        <v>852000</v>
      </c>
      <c r="BQ104" s="168">
        <f t="shared" si="230"/>
        <v>1704000</v>
      </c>
      <c r="BR104" s="168">
        <f t="shared" si="230"/>
        <v>0</v>
      </c>
      <c r="BS104" s="168">
        <f t="shared" si="230"/>
        <v>852000</v>
      </c>
      <c r="BT104" s="168">
        <f t="shared" si="230"/>
        <v>1704000</v>
      </c>
      <c r="BU104" s="168">
        <f t="shared" si="230"/>
        <v>0</v>
      </c>
      <c r="BV104" s="168">
        <f t="shared" si="230"/>
        <v>0</v>
      </c>
      <c r="BW104" s="168">
        <f t="shared" si="230"/>
        <v>0</v>
      </c>
      <c r="BX104" s="168">
        <f t="shared" ref="BX104:DC104" si="231">BW107</f>
        <v>0</v>
      </c>
      <c r="BY104" s="168">
        <f t="shared" si="231"/>
        <v>0</v>
      </c>
      <c r="BZ104" s="168">
        <f t="shared" si="231"/>
        <v>0</v>
      </c>
      <c r="CA104" s="168">
        <f t="shared" si="231"/>
        <v>0</v>
      </c>
      <c r="CB104" s="168">
        <f t="shared" si="231"/>
        <v>0</v>
      </c>
      <c r="CC104" s="168">
        <f t="shared" si="231"/>
        <v>0</v>
      </c>
      <c r="CD104" s="168">
        <f t="shared" si="231"/>
        <v>0</v>
      </c>
      <c r="CE104" s="168">
        <f t="shared" si="231"/>
        <v>0</v>
      </c>
      <c r="CF104" s="168">
        <f t="shared" si="231"/>
        <v>0</v>
      </c>
      <c r="CG104" s="168">
        <f t="shared" si="231"/>
        <v>0</v>
      </c>
      <c r="CH104" s="168">
        <f t="shared" si="231"/>
        <v>0</v>
      </c>
      <c r="CI104" s="168">
        <f t="shared" si="231"/>
        <v>0</v>
      </c>
      <c r="CJ104" s="168">
        <f t="shared" si="231"/>
        <v>0</v>
      </c>
      <c r="CK104" s="168">
        <f t="shared" si="231"/>
        <v>0</v>
      </c>
      <c r="CL104" s="168">
        <f t="shared" si="231"/>
        <v>0</v>
      </c>
      <c r="CM104" s="168">
        <f t="shared" si="231"/>
        <v>0</v>
      </c>
      <c r="CN104" s="168">
        <f t="shared" si="231"/>
        <v>0</v>
      </c>
      <c r="CO104" s="168">
        <f t="shared" si="231"/>
        <v>0</v>
      </c>
      <c r="CP104" s="168">
        <f t="shared" si="231"/>
        <v>0</v>
      </c>
      <c r="CQ104" s="168">
        <f t="shared" si="231"/>
        <v>0</v>
      </c>
      <c r="CR104" s="168">
        <f t="shared" si="231"/>
        <v>0</v>
      </c>
      <c r="CS104" s="168">
        <f t="shared" si="231"/>
        <v>0</v>
      </c>
      <c r="CT104" s="168">
        <f t="shared" si="231"/>
        <v>0</v>
      </c>
      <c r="CU104" s="168">
        <f t="shared" si="231"/>
        <v>0</v>
      </c>
      <c r="CV104" s="168">
        <f t="shared" si="231"/>
        <v>0</v>
      </c>
      <c r="CW104" s="168">
        <f t="shared" si="231"/>
        <v>0</v>
      </c>
      <c r="CX104" s="168">
        <f t="shared" si="231"/>
        <v>0</v>
      </c>
      <c r="CY104" s="168">
        <f t="shared" si="231"/>
        <v>0</v>
      </c>
      <c r="CZ104" s="168">
        <f t="shared" si="231"/>
        <v>0</v>
      </c>
      <c r="DA104" s="168">
        <f t="shared" si="231"/>
        <v>0</v>
      </c>
      <c r="DB104" s="168">
        <f t="shared" si="231"/>
        <v>0</v>
      </c>
      <c r="DC104" s="168">
        <f t="shared" si="231"/>
        <v>0</v>
      </c>
      <c r="DD104" s="168">
        <f t="shared" ref="DD104:EI104" si="232">DC107</f>
        <v>0</v>
      </c>
      <c r="DE104" s="168">
        <f t="shared" si="232"/>
        <v>0</v>
      </c>
      <c r="DF104" s="168">
        <f t="shared" si="232"/>
        <v>0</v>
      </c>
      <c r="DG104" s="168">
        <f t="shared" si="232"/>
        <v>0</v>
      </c>
      <c r="DH104" s="168">
        <f t="shared" si="232"/>
        <v>0</v>
      </c>
      <c r="DI104" s="168">
        <f t="shared" si="232"/>
        <v>0</v>
      </c>
      <c r="DJ104" s="168">
        <f t="shared" si="232"/>
        <v>0</v>
      </c>
      <c r="DK104" s="168">
        <f t="shared" si="232"/>
        <v>0</v>
      </c>
      <c r="DL104" s="168">
        <f t="shared" si="232"/>
        <v>0</v>
      </c>
      <c r="DM104" s="168">
        <f t="shared" si="232"/>
        <v>0</v>
      </c>
      <c r="DN104" s="168">
        <f t="shared" si="232"/>
        <v>0</v>
      </c>
      <c r="DO104" s="168">
        <f t="shared" si="232"/>
        <v>0</v>
      </c>
      <c r="DP104" s="168">
        <f t="shared" si="232"/>
        <v>0</v>
      </c>
      <c r="DQ104" s="168">
        <f t="shared" si="232"/>
        <v>0</v>
      </c>
      <c r="DR104" s="168">
        <f t="shared" si="232"/>
        <v>0</v>
      </c>
      <c r="DS104" s="168">
        <f t="shared" si="232"/>
        <v>0</v>
      </c>
      <c r="DT104" s="168">
        <f t="shared" si="232"/>
        <v>0</v>
      </c>
      <c r="DU104" s="168">
        <f t="shared" si="232"/>
        <v>0</v>
      </c>
      <c r="DV104" s="168">
        <f t="shared" si="232"/>
        <v>0</v>
      </c>
      <c r="DW104" s="168">
        <f t="shared" si="232"/>
        <v>0</v>
      </c>
      <c r="DX104" s="168">
        <f t="shared" si="232"/>
        <v>0</v>
      </c>
      <c r="DY104" s="168">
        <f t="shared" si="232"/>
        <v>0</v>
      </c>
      <c r="DZ104" s="168">
        <f t="shared" si="232"/>
        <v>0</v>
      </c>
      <c r="EA104" s="168">
        <f t="shared" si="232"/>
        <v>0</v>
      </c>
      <c r="EB104" s="168">
        <f t="shared" si="232"/>
        <v>0</v>
      </c>
      <c r="EC104" s="168">
        <f t="shared" si="232"/>
        <v>0</v>
      </c>
      <c r="ED104" s="1320">
        <f t="shared" si="232"/>
        <v>0</v>
      </c>
      <c r="EE104" s="168">
        <f t="shared" si="232"/>
        <v>0</v>
      </c>
      <c r="EF104" s="168">
        <f t="shared" si="232"/>
        <v>0</v>
      </c>
      <c r="EG104" s="168">
        <f t="shared" si="232"/>
        <v>0</v>
      </c>
      <c r="EH104" s="168">
        <f t="shared" si="232"/>
        <v>0</v>
      </c>
      <c r="EI104" s="168">
        <f t="shared" si="232"/>
        <v>0</v>
      </c>
      <c r="EJ104" s="168">
        <f t="shared" ref="EJ104:EQ104" si="233">EI107</f>
        <v>0</v>
      </c>
      <c r="EK104" s="168">
        <f t="shared" si="233"/>
        <v>0</v>
      </c>
      <c r="EL104" s="168">
        <f t="shared" si="233"/>
        <v>0</v>
      </c>
      <c r="EM104" s="168">
        <f t="shared" si="233"/>
        <v>0</v>
      </c>
      <c r="EN104" s="168">
        <f t="shared" si="233"/>
        <v>0</v>
      </c>
      <c r="EO104" s="168">
        <f t="shared" si="233"/>
        <v>0</v>
      </c>
      <c r="EP104" s="168">
        <f t="shared" si="233"/>
        <v>0</v>
      </c>
      <c r="EQ104" s="168">
        <f t="shared" si="233"/>
        <v>0</v>
      </c>
    </row>
    <row r="105" spans="3:147" ht="11.25" customHeight="1">
      <c r="C105" s="163"/>
      <c r="D105" s="169" t="s">
        <v>231</v>
      </c>
      <c r="H105" s="146">
        <f>'A&amp;R'!M33</f>
        <v>47057</v>
      </c>
      <c r="I105" s="65">
        <f>'A&amp;R'!Q33</f>
        <v>4.8000000000000001E-2</v>
      </c>
      <c r="J105" s="170">
        <f>SUM(L105:EQ105)</f>
        <v>30672000</v>
      </c>
      <c r="K105" s="98"/>
      <c r="L105" s="171">
        <f>L26*$I105/12</f>
        <v>0</v>
      </c>
      <c r="M105" s="171">
        <f t="shared" ref="M105:BX105" si="234">M26*$I105/12</f>
        <v>0</v>
      </c>
      <c r="N105" s="171">
        <f t="shared" si="234"/>
        <v>0</v>
      </c>
      <c r="O105" s="171">
        <f t="shared" si="234"/>
        <v>0</v>
      </c>
      <c r="P105" s="171">
        <f t="shared" si="234"/>
        <v>0</v>
      </c>
      <c r="Q105" s="171">
        <f t="shared" si="234"/>
        <v>0</v>
      </c>
      <c r="R105" s="171">
        <f t="shared" si="234"/>
        <v>0</v>
      </c>
      <c r="S105" s="171">
        <f t="shared" si="234"/>
        <v>0</v>
      </c>
      <c r="T105" s="171">
        <f t="shared" si="234"/>
        <v>0</v>
      </c>
      <c r="U105" s="171">
        <f t="shared" si="234"/>
        <v>0</v>
      </c>
      <c r="V105" s="171">
        <f t="shared" si="234"/>
        <v>0</v>
      </c>
      <c r="W105" s="171">
        <f t="shared" si="234"/>
        <v>0</v>
      </c>
      <c r="X105" s="171">
        <f t="shared" si="234"/>
        <v>0</v>
      </c>
      <c r="Y105" s="171">
        <f t="shared" si="234"/>
        <v>0</v>
      </c>
      <c r="Z105" s="171">
        <f t="shared" si="234"/>
        <v>0</v>
      </c>
      <c r="AA105" s="171">
        <f t="shared" si="234"/>
        <v>0</v>
      </c>
      <c r="AB105" s="171">
        <f t="shared" si="234"/>
        <v>0</v>
      </c>
      <c r="AC105" s="171">
        <f t="shared" si="234"/>
        <v>0</v>
      </c>
      <c r="AD105" s="171">
        <f t="shared" si="234"/>
        <v>0</v>
      </c>
      <c r="AE105" s="171">
        <f t="shared" si="234"/>
        <v>0</v>
      </c>
      <c r="AF105" s="171">
        <f t="shared" si="234"/>
        <v>0</v>
      </c>
      <c r="AG105" s="171">
        <f t="shared" si="234"/>
        <v>0</v>
      </c>
      <c r="AH105" s="171">
        <f t="shared" si="234"/>
        <v>0</v>
      </c>
      <c r="AI105" s="171">
        <f t="shared" si="234"/>
        <v>0</v>
      </c>
      <c r="AJ105" s="171">
        <f t="shared" si="234"/>
        <v>0</v>
      </c>
      <c r="AK105" s="171">
        <f t="shared" si="234"/>
        <v>852000</v>
      </c>
      <c r="AL105" s="171">
        <f t="shared" si="234"/>
        <v>852000</v>
      </c>
      <c r="AM105" s="171">
        <f t="shared" si="234"/>
        <v>852000</v>
      </c>
      <c r="AN105" s="171">
        <f t="shared" si="234"/>
        <v>852000</v>
      </c>
      <c r="AO105" s="171">
        <f t="shared" si="234"/>
        <v>852000</v>
      </c>
      <c r="AP105" s="171">
        <f t="shared" si="234"/>
        <v>852000</v>
      </c>
      <c r="AQ105" s="171">
        <f t="shared" si="234"/>
        <v>852000</v>
      </c>
      <c r="AR105" s="171">
        <f t="shared" si="234"/>
        <v>852000</v>
      </c>
      <c r="AS105" s="171">
        <f t="shared" si="234"/>
        <v>852000</v>
      </c>
      <c r="AT105" s="171">
        <f t="shared" si="234"/>
        <v>852000</v>
      </c>
      <c r="AU105" s="171">
        <f t="shared" si="234"/>
        <v>852000</v>
      </c>
      <c r="AV105" s="171">
        <f t="shared" si="234"/>
        <v>852000</v>
      </c>
      <c r="AW105" s="171">
        <f t="shared" si="234"/>
        <v>852000</v>
      </c>
      <c r="AX105" s="171">
        <f t="shared" si="234"/>
        <v>852000</v>
      </c>
      <c r="AY105" s="171">
        <f t="shared" si="234"/>
        <v>852000</v>
      </c>
      <c r="AZ105" s="171">
        <f t="shared" si="234"/>
        <v>852000</v>
      </c>
      <c r="BA105" s="171">
        <f t="shared" si="234"/>
        <v>852000</v>
      </c>
      <c r="BB105" s="171">
        <f t="shared" si="234"/>
        <v>852000</v>
      </c>
      <c r="BC105" s="171">
        <f t="shared" si="234"/>
        <v>852000</v>
      </c>
      <c r="BD105" s="171">
        <f t="shared" si="234"/>
        <v>852000</v>
      </c>
      <c r="BE105" s="171">
        <f t="shared" si="234"/>
        <v>852000</v>
      </c>
      <c r="BF105" s="171">
        <f t="shared" si="234"/>
        <v>852000</v>
      </c>
      <c r="BG105" s="171">
        <f t="shared" si="234"/>
        <v>852000</v>
      </c>
      <c r="BH105" s="171">
        <f t="shared" si="234"/>
        <v>852000</v>
      </c>
      <c r="BI105" s="171">
        <f t="shared" si="234"/>
        <v>852000</v>
      </c>
      <c r="BJ105" s="171">
        <f t="shared" si="234"/>
        <v>852000</v>
      </c>
      <c r="BK105" s="171">
        <f t="shared" si="234"/>
        <v>852000</v>
      </c>
      <c r="BL105" s="171">
        <f t="shared" si="234"/>
        <v>852000</v>
      </c>
      <c r="BM105" s="171">
        <f t="shared" si="234"/>
        <v>852000</v>
      </c>
      <c r="BN105" s="171">
        <f t="shared" si="234"/>
        <v>852000</v>
      </c>
      <c r="BO105" s="171">
        <f t="shared" si="234"/>
        <v>852000</v>
      </c>
      <c r="BP105" s="171">
        <f t="shared" si="234"/>
        <v>852000</v>
      </c>
      <c r="BQ105" s="171">
        <f t="shared" si="234"/>
        <v>852000</v>
      </c>
      <c r="BR105" s="171">
        <f t="shared" si="234"/>
        <v>852000</v>
      </c>
      <c r="BS105" s="171">
        <f t="shared" si="234"/>
        <v>852000</v>
      </c>
      <c r="BT105" s="171">
        <f t="shared" si="234"/>
        <v>852000</v>
      </c>
      <c r="BU105" s="171">
        <f t="shared" si="234"/>
        <v>0</v>
      </c>
      <c r="BV105" s="171">
        <f t="shared" si="234"/>
        <v>0</v>
      </c>
      <c r="BW105" s="171">
        <f t="shared" si="234"/>
        <v>0</v>
      </c>
      <c r="BX105" s="171">
        <f t="shared" si="234"/>
        <v>0</v>
      </c>
      <c r="BY105" s="171">
        <f t="shared" ref="BY105:EJ105" si="235">BY26*$I105/12</f>
        <v>0</v>
      </c>
      <c r="BZ105" s="171">
        <f t="shared" si="235"/>
        <v>0</v>
      </c>
      <c r="CA105" s="171">
        <f t="shared" si="235"/>
        <v>0</v>
      </c>
      <c r="CB105" s="171">
        <f t="shared" si="235"/>
        <v>0</v>
      </c>
      <c r="CC105" s="171">
        <f t="shared" si="235"/>
        <v>0</v>
      </c>
      <c r="CD105" s="171">
        <f t="shared" si="235"/>
        <v>0</v>
      </c>
      <c r="CE105" s="171">
        <f t="shared" si="235"/>
        <v>0</v>
      </c>
      <c r="CF105" s="171">
        <f t="shared" si="235"/>
        <v>0</v>
      </c>
      <c r="CG105" s="171">
        <f t="shared" si="235"/>
        <v>0</v>
      </c>
      <c r="CH105" s="171">
        <f t="shared" si="235"/>
        <v>0</v>
      </c>
      <c r="CI105" s="171">
        <f t="shared" si="235"/>
        <v>0</v>
      </c>
      <c r="CJ105" s="171">
        <f t="shared" si="235"/>
        <v>0</v>
      </c>
      <c r="CK105" s="171">
        <f t="shared" si="235"/>
        <v>0</v>
      </c>
      <c r="CL105" s="171">
        <f t="shared" si="235"/>
        <v>0</v>
      </c>
      <c r="CM105" s="171">
        <f t="shared" si="235"/>
        <v>0</v>
      </c>
      <c r="CN105" s="171">
        <f t="shared" si="235"/>
        <v>0</v>
      </c>
      <c r="CO105" s="171">
        <f t="shared" si="235"/>
        <v>0</v>
      </c>
      <c r="CP105" s="171">
        <f t="shared" si="235"/>
        <v>0</v>
      </c>
      <c r="CQ105" s="171">
        <f t="shared" si="235"/>
        <v>0</v>
      </c>
      <c r="CR105" s="171">
        <f t="shared" si="235"/>
        <v>0</v>
      </c>
      <c r="CS105" s="171">
        <f t="shared" si="235"/>
        <v>0</v>
      </c>
      <c r="CT105" s="171">
        <f t="shared" si="235"/>
        <v>0</v>
      </c>
      <c r="CU105" s="171">
        <f t="shared" si="235"/>
        <v>0</v>
      </c>
      <c r="CV105" s="171">
        <f t="shared" si="235"/>
        <v>0</v>
      </c>
      <c r="CW105" s="171">
        <f t="shared" si="235"/>
        <v>0</v>
      </c>
      <c r="CX105" s="171">
        <f t="shared" si="235"/>
        <v>0</v>
      </c>
      <c r="CY105" s="171">
        <f t="shared" si="235"/>
        <v>0</v>
      </c>
      <c r="CZ105" s="171">
        <f t="shared" si="235"/>
        <v>0</v>
      </c>
      <c r="DA105" s="171">
        <f t="shared" si="235"/>
        <v>0</v>
      </c>
      <c r="DB105" s="171">
        <f t="shared" si="235"/>
        <v>0</v>
      </c>
      <c r="DC105" s="171">
        <f t="shared" si="235"/>
        <v>0</v>
      </c>
      <c r="DD105" s="171">
        <f t="shared" si="235"/>
        <v>0</v>
      </c>
      <c r="DE105" s="171">
        <f t="shared" si="235"/>
        <v>0</v>
      </c>
      <c r="DF105" s="171">
        <f t="shared" si="235"/>
        <v>0</v>
      </c>
      <c r="DG105" s="171">
        <f t="shared" si="235"/>
        <v>0</v>
      </c>
      <c r="DH105" s="171">
        <f t="shared" si="235"/>
        <v>0</v>
      </c>
      <c r="DI105" s="171">
        <f t="shared" si="235"/>
        <v>0</v>
      </c>
      <c r="DJ105" s="171">
        <f t="shared" si="235"/>
        <v>0</v>
      </c>
      <c r="DK105" s="171">
        <f t="shared" si="235"/>
        <v>0</v>
      </c>
      <c r="DL105" s="171">
        <f t="shared" si="235"/>
        <v>0</v>
      </c>
      <c r="DM105" s="171">
        <f t="shared" si="235"/>
        <v>0</v>
      </c>
      <c r="DN105" s="171">
        <f t="shared" si="235"/>
        <v>0</v>
      </c>
      <c r="DO105" s="171">
        <f t="shared" si="235"/>
        <v>0</v>
      </c>
      <c r="DP105" s="171">
        <f t="shared" si="235"/>
        <v>0</v>
      </c>
      <c r="DQ105" s="171">
        <f t="shared" si="235"/>
        <v>0</v>
      </c>
      <c r="DR105" s="171">
        <f t="shared" si="235"/>
        <v>0</v>
      </c>
      <c r="DS105" s="171">
        <f t="shared" si="235"/>
        <v>0</v>
      </c>
      <c r="DT105" s="171">
        <f t="shared" si="235"/>
        <v>0</v>
      </c>
      <c r="DU105" s="171">
        <f t="shared" si="235"/>
        <v>0</v>
      </c>
      <c r="DV105" s="171">
        <f t="shared" si="235"/>
        <v>0</v>
      </c>
      <c r="DW105" s="171">
        <f t="shared" si="235"/>
        <v>0</v>
      </c>
      <c r="DX105" s="171">
        <f t="shared" si="235"/>
        <v>0</v>
      </c>
      <c r="DY105" s="171">
        <f t="shared" si="235"/>
        <v>0</v>
      </c>
      <c r="DZ105" s="171">
        <f t="shared" si="235"/>
        <v>0</v>
      </c>
      <c r="EA105" s="171">
        <f t="shared" si="235"/>
        <v>0</v>
      </c>
      <c r="EB105" s="171">
        <f t="shared" si="235"/>
        <v>0</v>
      </c>
      <c r="EC105" s="171">
        <f t="shared" si="235"/>
        <v>0</v>
      </c>
      <c r="ED105" s="1321">
        <f t="shared" si="235"/>
        <v>0</v>
      </c>
      <c r="EE105" s="171">
        <f t="shared" si="235"/>
        <v>0</v>
      </c>
      <c r="EF105" s="171">
        <f t="shared" si="235"/>
        <v>0</v>
      </c>
      <c r="EG105" s="171">
        <f t="shared" si="235"/>
        <v>0</v>
      </c>
      <c r="EH105" s="171">
        <f t="shared" si="235"/>
        <v>0</v>
      </c>
      <c r="EI105" s="171">
        <f t="shared" si="235"/>
        <v>0</v>
      </c>
      <c r="EJ105" s="171">
        <f t="shared" si="235"/>
        <v>0</v>
      </c>
      <c r="EK105" s="171">
        <f t="shared" ref="EK105:EQ105" si="236">EK26*$I105/12</f>
        <v>0</v>
      </c>
      <c r="EL105" s="171">
        <f t="shared" si="236"/>
        <v>0</v>
      </c>
      <c r="EM105" s="171">
        <f t="shared" si="236"/>
        <v>0</v>
      </c>
      <c r="EN105" s="171">
        <f t="shared" si="236"/>
        <v>0</v>
      </c>
      <c r="EO105" s="171">
        <f t="shared" si="236"/>
        <v>0</v>
      </c>
      <c r="EP105" s="171">
        <f t="shared" si="236"/>
        <v>0</v>
      </c>
      <c r="EQ105" s="171">
        <f t="shared" si="236"/>
        <v>0</v>
      </c>
    </row>
    <row r="106" spans="3:147" ht="11.25" customHeight="1">
      <c r="C106" s="163"/>
      <c r="D106" s="169" t="s">
        <v>232</v>
      </c>
      <c r="H106" s="146">
        <f>'A&amp;R'!N33</f>
        <v>48152</v>
      </c>
      <c r="I106" s="1646">
        <v>3</v>
      </c>
      <c r="J106" s="170">
        <f>SUM(L106:EQ106)</f>
        <v>30672000</v>
      </c>
      <c r="K106" s="98"/>
      <c r="L106" s="171">
        <f>(MOD(IFERROR(DATEDIF($H105-1,L$97+1,"m"),),$I$101)=0)*1*(L$97&gt;$H105)*(L$97&lt;=$H106)*SUM(L104:L105)</f>
        <v>0</v>
      </c>
      <c r="M106" s="171">
        <f t="shared" ref="M106:BX106" si="237">(MOD(IFERROR(DATEDIF($H105-1,M$97+1,"m"),),$I$101)=0)*1*(M$97&gt;$H105)*(M$97&lt;=$H106)*SUM(M104:M105)</f>
        <v>0</v>
      </c>
      <c r="N106" s="171">
        <f t="shared" si="237"/>
        <v>0</v>
      </c>
      <c r="O106" s="171">
        <f t="shared" si="237"/>
        <v>0</v>
      </c>
      <c r="P106" s="171">
        <f t="shared" si="237"/>
        <v>0</v>
      </c>
      <c r="Q106" s="171">
        <f t="shared" si="237"/>
        <v>0</v>
      </c>
      <c r="R106" s="171">
        <f t="shared" si="237"/>
        <v>0</v>
      </c>
      <c r="S106" s="171">
        <f t="shared" si="237"/>
        <v>0</v>
      </c>
      <c r="T106" s="171">
        <f t="shared" si="237"/>
        <v>0</v>
      </c>
      <c r="U106" s="171">
        <f t="shared" si="237"/>
        <v>0</v>
      </c>
      <c r="V106" s="171">
        <f t="shared" si="237"/>
        <v>0</v>
      </c>
      <c r="W106" s="171">
        <f t="shared" si="237"/>
        <v>0</v>
      </c>
      <c r="X106" s="171">
        <f t="shared" si="237"/>
        <v>0</v>
      </c>
      <c r="Y106" s="171">
        <f t="shared" si="237"/>
        <v>0</v>
      </c>
      <c r="Z106" s="171">
        <f t="shared" si="237"/>
        <v>0</v>
      </c>
      <c r="AA106" s="171">
        <f t="shared" si="237"/>
        <v>0</v>
      </c>
      <c r="AB106" s="171">
        <f t="shared" si="237"/>
        <v>0</v>
      </c>
      <c r="AC106" s="171">
        <f t="shared" si="237"/>
        <v>0</v>
      </c>
      <c r="AD106" s="171">
        <f t="shared" si="237"/>
        <v>0</v>
      </c>
      <c r="AE106" s="171">
        <f t="shared" si="237"/>
        <v>0</v>
      </c>
      <c r="AF106" s="171">
        <f t="shared" si="237"/>
        <v>0</v>
      </c>
      <c r="AG106" s="171">
        <f t="shared" si="237"/>
        <v>0</v>
      </c>
      <c r="AH106" s="171">
        <f t="shared" si="237"/>
        <v>0</v>
      </c>
      <c r="AI106" s="171">
        <f t="shared" si="237"/>
        <v>0</v>
      </c>
      <c r="AJ106" s="171">
        <f t="shared" si="237"/>
        <v>0</v>
      </c>
      <c r="AK106" s="171">
        <f t="shared" si="237"/>
        <v>0</v>
      </c>
      <c r="AL106" s="171">
        <f t="shared" si="237"/>
        <v>0</v>
      </c>
      <c r="AM106" s="171">
        <f t="shared" si="237"/>
        <v>2556000</v>
      </c>
      <c r="AN106" s="171">
        <f t="shared" si="237"/>
        <v>0</v>
      </c>
      <c r="AO106" s="171">
        <f t="shared" si="237"/>
        <v>0</v>
      </c>
      <c r="AP106" s="171">
        <f t="shared" si="237"/>
        <v>2556000</v>
      </c>
      <c r="AQ106" s="171">
        <f t="shared" si="237"/>
        <v>0</v>
      </c>
      <c r="AR106" s="171">
        <f t="shared" si="237"/>
        <v>0</v>
      </c>
      <c r="AS106" s="171">
        <f t="shared" si="237"/>
        <v>2556000</v>
      </c>
      <c r="AT106" s="171">
        <f t="shared" si="237"/>
        <v>0</v>
      </c>
      <c r="AU106" s="171">
        <f t="shared" si="237"/>
        <v>0</v>
      </c>
      <c r="AV106" s="171">
        <f t="shared" si="237"/>
        <v>2556000</v>
      </c>
      <c r="AW106" s="171">
        <f t="shared" si="237"/>
        <v>0</v>
      </c>
      <c r="AX106" s="171">
        <f t="shared" si="237"/>
        <v>0</v>
      </c>
      <c r="AY106" s="171">
        <f t="shared" si="237"/>
        <v>2556000</v>
      </c>
      <c r="AZ106" s="171">
        <f t="shared" si="237"/>
        <v>0</v>
      </c>
      <c r="BA106" s="171">
        <f t="shared" si="237"/>
        <v>0</v>
      </c>
      <c r="BB106" s="171">
        <f t="shared" si="237"/>
        <v>2556000</v>
      </c>
      <c r="BC106" s="171">
        <f t="shared" si="237"/>
        <v>0</v>
      </c>
      <c r="BD106" s="171">
        <f t="shared" si="237"/>
        <v>0</v>
      </c>
      <c r="BE106" s="171">
        <f t="shared" si="237"/>
        <v>2556000</v>
      </c>
      <c r="BF106" s="171">
        <f t="shared" si="237"/>
        <v>0</v>
      </c>
      <c r="BG106" s="171">
        <f t="shared" si="237"/>
        <v>0</v>
      </c>
      <c r="BH106" s="171">
        <f t="shared" si="237"/>
        <v>2556000</v>
      </c>
      <c r="BI106" s="171">
        <f t="shared" si="237"/>
        <v>0</v>
      </c>
      <c r="BJ106" s="171">
        <f t="shared" si="237"/>
        <v>0</v>
      </c>
      <c r="BK106" s="171">
        <f t="shared" si="237"/>
        <v>2556000</v>
      </c>
      <c r="BL106" s="171">
        <f t="shared" si="237"/>
        <v>0</v>
      </c>
      <c r="BM106" s="171">
        <f t="shared" si="237"/>
        <v>0</v>
      </c>
      <c r="BN106" s="171">
        <f t="shared" si="237"/>
        <v>2556000</v>
      </c>
      <c r="BO106" s="171">
        <f t="shared" si="237"/>
        <v>0</v>
      </c>
      <c r="BP106" s="171">
        <f t="shared" si="237"/>
        <v>0</v>
      </c>
      <c r="BQ106" s="171">
        <f t="shared" si="237"/>
        <v>2556000</v>
      </c>
      <c r="BR106" s="171">
        <f t="shared" si="237"/>
        <v>0</v>
      </c>
      <c r="BS106" s="171">
        <f t="shared" si="237"/>
        <v>0</v>
      </c>
      <c r="BT106" s="171">
        <f t="shared" si="237"/>
        <v>2556000</v>
      </c>
      <c r="BU106" s="171">
        <f t="shared" si="237"/>
        <v>0</v>
      </c>
      <c r="BV106" s="171">
        <f t="shared" si="237"/>
        <v>0</v>
      </c>
      <c r="BW106" s="171">
        <f t="shared" si="237"/>
        <v>0</v>
      </c>
      <c r="BX106" s="171">
        <f t="shared" si="237"/>
        <v>0</v>
      </c>
      <c r="BY106" s="171">
        <f t="shared" ref="BY106:EJ106" si="238">(MOD(IFERROR(DATEDIF($H105-1,BY$97+1,"m"),),$I$101)=0)*1*(BY$97&gt;$H105)*(BY$97&lt;=$H106)*SUM(BY104:BY105)</f>
        <v>0</v>
      </c>
      <c r="BZ106" s="171">
        <f t="shared" si="238"/>
        <v>0</v>
      </c>
      <c r="CA106" s="171">
        <f t="shared" si="238"/>
        <v>0</v>
      </c>
      <c r="CB106" s="171">
        <f t="shared" si="238"/>
        <v>0</v>
      </c>
      <c r="CC106" s="171">
        <f t="shared" si="238"/>
        <v>0</v>
      </c>
      <c r="CD106" s="171">
        <f t="shared" si="238"/>
        <v>0</v>
      </c>
      <c r="CE106" s="171">
        <f t="shared" si="238"/>
        <v>0</v>
      </c>
      <c r="CF106" s="171">
        <f t="shared" si="238"/>
        <v>0</v>
      </c>
      <c r="CG106" s="171">
        <f t="shared" si="238"/>
        <v>0</v>
      </c>
      <c r="CH106" s="171">
        <f t="shared" si="238"/>
        <v>0</v>
      </c>
      <c r="CI106" s="171">
        <f t="shared" si="238"/>
        <v>0</v>
      </c>
      <c r="CJ106" s="171">
        <f t="shared" si="238"/>
        <v>0</v>
      </c>
      <c r="CK106" s="171">
        <f t="shared" si="238"/>
        <v>0</v>
      </c>
      <c r="CL106" s="171">
        <f t="shared" si="238"/>
        <v>0</v>
      </c>
      <c r="CM106" s="171">
        <f t="shared" si="238"/>
        <v>0</v>
      </c>
      <c r="CN106" s="171">
        <f t="shared" si="238"/>
        <v>0</v>
      </c>
      <c r="CO106" s="171">
        <f t="shared" si="238"/>
        <v>0</v>
      </c>
      <c r="CP106" s="171">
        <f t="shared" si="238"/>
        <v>0</v>
      </c>
      <c r="CQ106" s="171">
        <f t="shared" si="238"/>
        <v>0</v>
      </c>
      <c r="CR106" s="171">
        <f t="shared" si="238"/>
        <v>0</v>
      </c>
      <c r="CS106" s="171">
        <f t="shared" si="238"/>
        <v>0</v>
      </c>
      <c r="CT106" s="171">
        <f t="shared" si="238"/>
        <v>0</v>
      </c>
      <c r="CU106" s="171">
        <f t="shared" si="238"/>
        <v>0</v>
      </c>
      <c r="CV106" s="171">
        <f t="shared" si="238"/>
        <v>0</v>
      </c>
      <c r="CW106" s="171">
        <f t="shared" si="238"/>
        <v>0</v>
      </c>
      <c r="CX106" s="171">
        <f t="shared" si="238"/>
        <v>0</v>
      </c>
      <c r="CY106" s="171">
        <f t="shared" si="238"/>
        <v>0</v>
      </c>
      <c r="CZ106" s="171">
        <f t="shared" si="238"/>
        <v>0</v>
      </c>
      <c r="DA106" s="171">
        <f t="shared" si="238"/>
        <v>0</v>
      </c>
      <c r="DB106" s="171">
        <f t="shared" si="238"/>
        <v>0</v>
      </c>
      <c r="DC106" s="171">
        <f t="shared" si="238"/>
        <v>0</v>
      </c>
      <c r="DD106" s="171">
        <f t="shared" si="238"/>
        <v>0</v>
      </c>
      <c r="DE106" s="171">
        <f t="shared" si="238"/>
        <v>0</v>
      </c>
      <c r="DF106" s="171">
        <f t="shared" si="238"/>
        <v>0</v>
      </c>
      <c r="DG106" s="171">
        <f t="shared" si="238"/>
        <v>0</v>
      </c>
      <c r="DH106" s="171">
        <f t="shared" si="238"/>
        <v>0</v>
      </c>
      <c r="DI106" s="171">
        <f t="shared" si="238"/>
        <v>0</v>
      </c>
      <c r="DJ106" s="171">
        <f t="shared" si="238"/>
        <v>0</v>
      </c>
      <c r="DK106" s="171">
        <f t="shared" si="238"/>
        <v>0</v>
      </c>
      <c r="DL106" s="171">
        <f t="shared" si="238"/>
        <v>0</v>
      </c>
      <c r="DM106" s="171">
        <f t="shared" si="238"/>
        <v>0</v>
      </c>
      <c r="DN106" s="171">
        <f t="shared" si="238"/>
        <v>0</v>
      </c>
      <c r="DO106" s="171">
        <f t="shared" si="238"/>
        <v>0</v>
      </c>
      <c r="DP106" s="171">
        <f t="shared" si="238"/>
        <v>0</v>
      </c>
      <c r="DQ106" s="171">
        <f t="shared" si="238"/>
        <v>0</v>
      </c>
      <c r="DR106" s="171">
        <f t="shared" si="238"/>
        <v>0</v>
      </c>
      <c r="DS106" s="171">
        <f t="shared" si="238"/>
        <v>0</v>
      </c>
      <c r="DT106" s="171">
        <f t="shared" si="238"/>
        <v>0</v>
      </c>
      <c r="DU106" s="171">
        <f t="shared" si="238"/>
        <v>0</v>
      </c>
      <c r="DV106" s="171">
        <f t="shared" si="238"/>
        <v>0</v>
      </c>
      <c r="DW106" s="171">
        <f t="shared" si="238"/>
        <v>0</v>
      </c>
      <c r="DX106" s="171">
        <f t="shared" si="238"/>
        <v>0</v>
      </c>
      <c r="DY106" s="171">
        <f t="shared" si="238"/>
        <v>0</v>
      </c>
      <c r="DZ106" s="171">
        <f t="shared" si="238"/>
        <v>0</v>
      </c>
      <c r="EA106" s="171">
        <f t="shared" si="238"/>
        <v>0</v>
      </c>
      <c r="EB106" s="171">
        <f t="shared" si="238"/>
        <v>0</v>
      </c>
      <c r="EC106" s="171">
        <f t="shared" si="238"/>
        <v>0</v>
      </c>
      <c r="ED106" s="1321">
        <f t="shared" si="238"/>
        <v>0</v>
      </c>
      <c r="EE106" s="171">
        <f t="shared" si="238"/>
        <v>0</v>
      </c>
      <c r="EF106" s="171">
        <f t="shared" si="238"/>
        <v>0</v>
      </c>
      <c r="EG106" s="171">
        <f t="shared" si="238"/>
        <v>0</v>
      </c>
      <c r="EH106" s="171">
        <f t="shared" si="238"/>
        <v>0</v>
      </c>
      <c r="EI106" s="171">
        <f t="shared" si="238"/>
        <v>0</v>
      </c>
      <c r="EJ106" s="171">
        <f t="shared" si="238"/>
        <v>0</v>
      </c>
      <c r="EK106" s="171">
        <f t="shared" ref="EK106:EQ106" si="239">(MOD(IFERROR(DATEDIF($H105-1,EK$97+1,"m"),),$I$101)=0)*1*(EK$97&gt;$H105)*(EK$97&lt;=$H106)*SUM(EK104:EK105)</f>
        <v>0</v>
      </c>
      <c r="EL106" s="171">
        <f t="shared" si="239"/>
        <v>0</v>
      </c>
      <c r="EM106" s="171">
        <f t="shared" si="239"/>
        <v>0</v>
      </c>
      <c r="EN106" s="171">
        <f t="shared" si="239"/>
        <v>0</v>
      </c>
      <c r="EO106" s="171">
        <f t="shared" si="239"/>
        <v>0</v>
      </c>
      <c r="EP106" s="171">
        <f t="shared" si="239"/>
        <v>0</v>
      </c>
      <c r="EQ106" s="171">
        <f t="shared" si="239"/>
        <v>0</v>
      </c>
    </row>
    <row r="107" spans="3:147" ht="11.25" customHeight="1">
      <c r="C107" s="163"/>
      <c r="D107" s="169" t="s">
        <v>233</v>
      </c>
      <c r="I107" s="65"/>
      <c r="J107" s="170"/>
      <c r="K107" s="98"/>
      <c r="L107" s="171">
        <f>L104+L105-L106</f>
        <v>0</v>
      </c>
      <c r="M107" s="171">
        <f t="shared" ref="M107:BX107" si="240">M104+M105-M106</f>
        <v>0</v>
      </c>
      <c r="N107" s="171">
        <f t="shared" si="240"/>
        <v>0</v>
      </c>
      <c r="O107" s="171">
        <f t="shared" si="240"/>
        <v>0</v>
      </c>
      <c r="P107" s="171">
        <f t="shared" si="240"/>
        <v>0</v>
      </c>
      <c r="Q107" s="171">
        <f t="shared" si="240"/>
        <v>0</v>
      </c>
      <c r="R107" s="171">
        <f t="shared" si="240"/>
        <v>0</v>
      </c>
      <c r="S107" s="171">
        <f t="shared" si="240"/>
        <v>0</v>
      </c>
      <c r="T107" s="171">
        <f t="shared" si="240"/>
        <v>0</v>
      </c>
      <c r="U107" s="171">
        <f t="shared" si="240"/>
        <v>0</v>
      </c>
      <c r="V107" s="171">
        <f t="shared" si="240"/>
        <v>0</v>
      </c>
      <c r="W107" s="171">
        <f t="shared" si="240"/>
        <v>0</v>
      </c>
      <c r="X107" s="171">
        <f t="shared" si="240"/>
        <v>0</v>
      </c>
      <c r="Y107" s="171">
        <f t="shared" si="240"/>
        <v>0</v>
      </c>
      <c r="Z107" s="171">
        <f t="shared" si="240"/>
        <v>0</v>
      </c>
      <c r="AA107" s="171">
        <f t="shared" si="240"/>
        <v>0</v>
      </c>
      <c r="AB107" s="171">
        <f t="shared" si="240"/>
        <v>0</v>
      </c>
      <c r="AC107" s="171">
        <f t="shared" si="240"/>
        <v>0</v>
      </c>
      <c r="AD107" s="171">
        <f t="shared" si="240"/>
        <v>0</v>
      </c>
      <c r="AE107" s="171">
        <f t="shared" si="240"/>
        <v>0</v>
      </c>
      <c r="AF107" s="171">
        <f t="shared" si="240"/>
        <v>0</v>
      </c>
      <c r="AG107" s="171">
        <f t="shared" si="240"/>
        <v>0</v>
      </c>
      <c r="AH107" s="171">
        <f t="shared" si="240"/>
        <v>0</v>
      </c>
      <c r="AI107" s="171">
        <f t="shared" si="240"/>
        <v>0</v>
      </c>
      <c r="AJ107" s="171">
        <f t="shared" si="240"/>
        <v>0</v>
      </c>
      <c r="AK107" s="171">
        <f t="shared" si="240"/>
        <v>852000</v>
      </c>
      <c r="AL107" s="171">
        <f t="shared" si="240"/>
        <v>1704000</v>
      </c>
      <c r="AM107" s="171">
        <f t="shared" si="240"/>
        <v>0</v>
      </c>
      <c r="AN107" s="171">
        <f t="shared" si="240"/>
        <v>852000</v>
      </c>
      <c r="AO107" s="171">
        <f t="shared" si="240"/>
        <v>1704000</v>
      </c>
      <c r="AP107" s="171">
        <f t="shared" si="240"/>
        <v>0</v>
      </c>
      <c r="AQ107" s="171">
        <f t="shared" si="240"/>
        <v>852000</v>
      </c>
      <c r="AR107" s="171">
        <f t="shared" si="240"/>
        <v>1704000</v>
      </c>
      <c r="AS107" s="171">
        <f t="shared" si="240"/>
        <v>0</v>
      </c>
      <c r="AT107" s="171">
        <f t="shared" si="240"/>
        <v>852000</v>
      </c>
      <c r="AU107" s="171">
        <f t="shared" si="240"/>
        <v>1704000</v>
      </c>
      <c r="AV107" s="171">
        <f t="shared" si="240"/>
        <v>0</v>
      </c>
      <c r="AW107" s="171">
        <f t="shared" si="240"/>
        <v>852000</v>
      </c>
      <c r="AX107" s="171">
        <f t="shared" si="240"/>
        <v>1704000</v>
      </c>
      <c r="AY107" s="171">
        <f t="shared" si="240"/>
        <v>0</v>
      </c>
      <c r="AZ107" s="171">
        <f t="shared" si="240"/>
        <v>852000</v>
      </c>
      <c r="BA107" s="171">
        <f t="shared" si="240"/>
        <v>1704000</v>
      </c>
      <c r="BB107" s="171">
        <f t="shared" si="240"/>
        <v>0</v>
      </c>
      <c r="BC107" s="171">
        <f t="shared" si="240"/>
        <v>852000</v>
      </c>
      <c r="BD107" s="171">
        <f t="shared" si="240"/>
        <v>1704000</v>
      </c>
      <c r="BE107" s="171">
        <f t="shared" si="240"/>
        <v>0</v>
      </c>
      <c r="BF107" s="171">
        <f t="shared" si="240"/>
        <v>852000</v>
      </c>
      <c r="BG107" s="171">
        <f t="shared" si="240"/>
        <v>1704000</v>
      </c>
      <c r="BH107" s="171">
        <f t="shared" si="240"/>
        <v>0</v>
      </c>
      <c r="BI107" s="171">
        <f t="shared" si="240"/>
        <v>852000</v>
      </c>
      <c r="BJ107" s="171">
        <f t="shared" si="240"/>
        <v>1704000</v>
      </c>
      <c r="BK107" s="171">
        <f t="shared" si="240"/>
        <v>0</v>
      </c>
      <c r="BL107" s="171">
        <f t="shared" si="240"/>
        <v>852000</v>
      </c>
      <c r="BM107" s="171">
        <f t="shared" si="240"/>
        <v>1704000</v>
      </c>
      <c r="BN107" s="171">
        <f t="shared" si="240"/>
        <v>0</v>
      </c>
      <c r="BO107" s="171">
        <f t="shared" si="240"/>
        <v>852000</v>
      </c>
      <c r="BP107" s="171">
        <f t="shared" si="240"/>
        <v>1704000</v>
      </c>
      <c r="BQ107" s="171">
        <f t="shared" si="240"/>
        <v>0</v>
      </c>
      <c r="BR107" s="171">
        <f t="shared" si="240"/>
        <v>852000</v>
      </c>
      <c r="BS107" s="171">
        <f t="shared" si="240"/>
        <v>1704000</v>
      </c>
      <c r="BT107" s="171">
        <f t="shared" si="240"/>
        <v>0</v>
      </c>
      <c r="BU107" s="171">
        <f t="shared" si="240"/>
        <v>0</v>
      </c>
      <c r="BV107" s="171">
        <f t="shared" si="240"/>
        <v>0</v>
      </c>
      <c r="BW107" s="171">
        <f t="shared" si="240"/>
        <v>0</v>
      </c>
      <c r="BX107" s="171">
        <f t="shared" si="240"/>
        <v>0</v>
      </c>
      <c r="BY107" s="171">
        <f t="shared" ref="BY107:EJ107" si="241">BY104+BY105-BY106</f>
        <v>0</v>
      </c>
      <c r="BZ107" s="171">
        <f t="shared" si="241"/>
        <v>0</v>
      </c>
      <c r="CA107" s="171">
        <f t="shared" si="241"/>
        <v>0</v>
      </c>
      <c r="CB107" s="171">
        <f t="shared" si="241"/>
        <v>0</v>
      </c>
      <c r="CC107" s="171">
        <f t="shared" si="241"/>
        <v>0</v>
      </c>
      <c r="CD107" s="171">
        <f t="shared" si="241"/>
        <v>0</v>
      </c>
      <c r="CE107" s="171">
        <f t="shared" si="241"/>
        <v>0</v>
      </c>
      <c r="CF107" s="171">
        <f t="shared" si="241"/>
        <v>0</v>
      </c>
      <c r="CG107" s="171">
        <f t="shared" si="241"/>
        <v>0</v>
      </c>
      <c r="CH107" s="171">
        <f t="shared" si="241"/>
        <v>0</v>
      </c>
      <c r="CI107" s="171">
        <f t="shared" si="241"/>
        <v>0</v>
      </c>
      <c r="CJ107" s="171">
        <f t="shared" si="241"/>
        <v>0</v>
      </c>
      <c r="CK107" s="171">
        <f t="shared" si="241"/>
        <v>0</v>
      </c>
      <c r="CL107" s="171">
        <f t="shared" si="241"/>
        <v>0</v>
      </c>
      <c r="CM107" s="171">
        <f t="shared" si="241"/>
        <v>0</v>
      </c>
      <c r="CN107" s="171">
        <f t="shared" si="241"/>
        <v>0</v>
      </c>
      <c r="CO107" s="171">
        <f t="shared" si="241"/>
        <v>0</v>
      </c>
      <c r="CP107" s="171">
        <f t="shared" si="241"/>
        <v>0</v>
      </c>
      <c r="CQ107" s="171">
        <f t="shared" si="241"/>
        <v>0</v>
      </c>
      <c r="CR107" s="171">
        <f t="shared" si="241"/>
        <v>0</v>
      </c>
      <c r="CS107" s="171">
        <f t="shared" si="241"/>
        <v>0</v>
      </c>
      <c r="CT107" s="171">
        <f t="shared" si="241"/>
        <v>0</v>
      </c>
      <c r="CU107" s="171">
        <f t="shared" si="241"/>
        <v>0</v>
      </c>
      <c r="CV107" s="171">
        <f t="shared" si="241"/>
        <v>0</v>
      </c>
      <c r="CW107" s="171">
        <f t="shared" si="241"/>
        <v>0</v>
      </c>
      <c r="CX107" s="171">
        <f t="shared" si="241"/>
        <v>0</v>
      </c>
      <c r="CY107" s="171">
        <f t="shared" si="241"/>
        <v>0</v>
      </c>
      <c r="CZ107" s="171">
        <f t="shared" si="241"/>
        <v>0</v>
      </c>
      <c r="DA107" s="171">
        <f t="shared" si="241"/>
        <v>0</v>
      </c>
      <c r="DB107" s="171">
        <f t="shared" si="241"/>
        <v>0</v>
      </c>
      <c r="DC107" s="171">
        <f t="shared" si="241"/>
        <v>0</v>
      </c>
      <c r="DD107" s="171">
        <f t="shared" si="241"/>
        <v>0</v>
      </c>
      <c r="DE107" s="171">
        <f t="shared" si="241"/>
        <v>0</v>
      </c>
      <c r="DF107" s="171">
        <f t="shared" si="241"/>
        <v>0</v>
      </c>
      <c r="DG107" s="171">
        <f t="shared" si="241"/>
        <v>0</v>
      </c>
      <c r="DH107" s="171">
        <f t="shared" si="241"/>
        <v>0</v>
      </c>
      <c r="DI107" s="171">
        <f t="shared" si="241"/>
        <v>0</v>
      </c>
      <c r="DJ107" s="171">
        <f t="shared" si="241"/>
        <v>0</v>
      </c>
      <c r="DK107" s="171">
        <f t="shared" si="241"/>
        <v>0</v>
      </c>
      <c r="DL107" s="171">
        <f t="shared" si="241"/>
        <v>0</v>
      </c>
      <c r="DM107" s="171">
        <f t="shared" si="241"/>
        <v>0</v>
      </c>
      <c r="DN107" s="171">
        <f t="shared" si="241"/>
        <v>0</v>
      </c>
      <c r="DO107" s="171">
        <f t="shared" si="241"/>
        <v>0</v>
      </c>
      <c r="DP107" s="171">
        <f t="shared" si="241"/>
        <v>0</v>
      </c>
      <c r="DQ107" s="171">
        <f t="shared" si="241"/>
        <v>0</v>
      </c>
      <c r="DR107" s="171">
        <f t="shared" si="241"/>
        <v>0</v>
      </c>
      <c r="DS107" s="171">
        <f t="shared" si="241"/>
        <v>0</v>
      </c>
      <c r="DT107" s="171">
        <f t="shared" si="241"/>
        <v>0</v>
      </c>
      <c r="DU107" s="171">
        <f t="shared" si="241"/>
        <v>0</v>
      </c>
      <c r="DV107" s="171">
        <f t="shared" si="241"/>
        <v>0</v>
      </c>
      <c r="DW107" s="171">
        <f t="shared" si="241"/>
        <v>0</v>
      </c>
      <c r="DX107" s="171">
        <f t="shared" si="241"/>
        <v>0</v>
      </c>
      <c r="DY107" s="171">
        <f t="shared" si="241"/>
        <v>0</v>
      </c>
      <c r="DZ107" s="171">
        <f t="shared" si="241"/>
        <v>0</v>
      </c>
      <c r="EA107" s="171">
        <f t="shared" si="241"/>
        <v>0</v>
      </c>
      <c r="EB107" s="171">
        <f t="shared" si="241"/>
        <v>0</v>
      </c>
      <c r="EC107" s="171">
        <f t="shared" si="241"/>
        <v>0</v>
      </c>
      <c r="ED107" s="1321">
        <f t="shared" si="241"/>
        <v>0</v>
      </c>
      <c r="EE107" s="171">
        <f t="shared" si="241"/>
        <v>0</v>
      </c>
      <c r="EF107" s="171">
        <f t="shared" si="241"/>
        <v>0</v>
      </c>
      <c r="EG107" s="171">
        <f t="shared" si="241"/>
        <v>0</v>
      </c>
      <c r="EH107" s="171">
        <f t="shared" si="241"/>
        <v>0</v>
      </c>
      <c r="EI107" s="171">
        <f t="shared" si="241"/>
        <v>0</v>
      </c>
      <c r="EJ107" s="171">
        <f t="shared" si="241"/>
        <v>0</v>
      </c>
      <c r="EK107" s="171">
        <f t="shared" ref="EK107:EQ107" si="242">EK104+EK105-EK106</f>
        <v>0</v>
      </c>
      <c r="EL107" s="171">
        <f t="shared" si="242"/>
        <v>0</v>
      </c>
      <c r="EM107" s="171">
        <f t="shared" si="242"/>
        <v>0</v>
      </c>
      <c r="EN107" s="171">
        <f t="shared" si="242"/>
        <v>0</v>
      </c>
      <c r="EO107" s="171">
        <f t="shared" si="242"/>
        <v>0</v>
      </c>
      <c r="EP107" s="171">
        <f t="shared" si="242"/>
        <v>0</v>
      </c>
      <c r="EQ107" s="171">
        <f t="shared" si="242"/>
        <v>0</v>
      </c>
    </row>
    <row r="108" spans="3:147" ht="11.25" customHeight="1">
      <c r="C108" s="158" t="str">
        <f>'A&amp;R'!L34</f>
        <v>담보대출(3rd)</v>
      </c>
      <c r="D108" s="159"/>
      <c r="E108" s="159"/>
      <c r="F108" s="159"/>
      <c r="G108" s="159"/>
      <c r="H108" s="160"/>
      <c r="I108" s="246"/>
      <c r="J108" s="161"/>
      <c r="K108" s="98"/>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162"/>
      <c r="AK108" s="162"/>
      <c r="AL108" s="162"/>
      <c r="AM108" s="162"/>
      <c r="AN108" s="162"/>
      <c r="AO108" s="162"/>
      <c r="AP108" s="162"/>
      <c r="AQ108" s="162"/>
      <c r="AR108" s="162"/>
      <c r="AS108" s="162"/>
      <c r="AT108" s="162"/>
      <c r="AU108" s="162"/>
      <c r="AV108" s="162"/>
      <c r="AW108" s="162"/>
      <c r="AX108" s="162"/>
      <c r="AY108" s="162"/>
      <c r="AZ108" s="162"/>
      <c r="BA108" s="162"/>
      <c r="BB108" s="162"/>
      <c r="BC108" s="162"/>
      <c r="BD108" s="162"/>
      <c r="BE108" s="162"/>
      <c r="BF108" s="162"/>
      <c r="BG108" s="162"/>
      <c r="BH108" s="162"/>
      <c r="BI108" s="162"/>
      <c r="BJ108" s="162"/>
      <c r="BK108" s="162"/>
      <c r="BL108" s="162"/>
      <c r="BM108" s="162"/>
      <c r="BN108" s="162"/>
      <c r="BO108" s="162"/>
      <c r="BP108" s="162"/>
      <c r="BQ108" s="162"/>
      <c r="BR108" s="162"/>
      <c r="BS108" s="162"/>
      <c r="BT108" s="162"/>
      <c r="BU108" s="162"/>
      <c r="BV108" s="162"/>
      <c r="BW108" s="162"/>
      <c r="BX108" s="162"/>
      <c r="BY108" s="162"/>
      <c r="BZ108" s="162"/>
      <c r="CA108" s="162"/>
      <c r="CB108" s="162"/>
      <c r="CC108" s="162"/>
      <c r="CD108" s="162"/>
      <c r="CE108" s="162"/>
      <c r="CF108" s="162"/>
      <c r="CG108" s="162"/>
      <c r="CH108" s="162"/>
      <c r="CI108" s="162"/>
      <c r="CJ108" s="162"/>
      <c r="CK108" s="162"/>
      <c r="CL108" s="162"/>
      <c r="CM108" s="162"/>
      <c r="CN108" s="162"/>
      <c r="CO108" s="162"/>
      <c r="CP108" s="162"/>
      <c r="CQ108" s="162"/>
      <c r="CR108" s="162"/>
      <c r="CS108" s="162"/>
      <c r="CT108" s="162"/>
      <c r="CU108" s="162"/>
      <c r="CV108" s="162"/>
      <c r="CW108" s="162"/>
      <c r="CX108" s="162"/>
      <c r="CY108" s="162"/>
      <c r="CZ108" s="162"/>
      <c r="DA108" s="162"/>
      <c r="DB108" s="162"/>
      <c r="DC108" s="162"/>
      <c r="DD108" s="162"/>
      <c r="DE108" s="162"/>
      <c r="DF108" s="162"/>
      <c r="DG108" s="162"/>
      <c r="DH108" s="162"/>
      <c r="DI108" s="162"/>
      <c r="DJ108" s="162"/>
      <c r="DK108" s="162"/>
      <c r="DL108" s="162"/>
      <c r="DM108" s="162"/>
      <c r="DN108" s="162"/>
      <c r="DO108" s="162"/>
      <c r="DP108" s="162"/>
      <c r="DQ108" s="162"/>
      <c r="DR108" s="162"/>
      <c r="DS108" s="162"/>
      <c r="DT108" s="162"/>
      <c r="DU108" s="162"/>
      <c r="DV108" s="162"/>
      <c r="DW108" s="162"/>
      <c r="DX108" s="162"/>
      <c r="DY108" s="162"/>
      <c r="DZ108" s="162"/>
      <c r="EA108" s="162"/>
      <c r="EB108" s="162"/>
      <c r="EC108" s="162"/>
      <c r="ED108" s="1319"/>
      <c r="EE108" s="162"/>
      <c r="EF108" s="162"/>
      <c r="EG108" s="162"/>
      <c r="EH108" s="162"/>
      <c r="EI108" s="162"/>
      <c r="EJ108" s="162"/>
      <c r="EK108" s="162"/>
      <c r="EL108" s="162"/>
      <c r="EM108" s="162"/>
      <c r="EN108" s="162"/>
      <c r="EO108" s="162"/>
      <c r="EP108" s="162"/>
      <c r="EQ108" s="162"/>
    </row>
    <row r="109" spans="3:147" ht="11.25" customHeight="1">
      <c r="C109" s="163"/>
      <c r="D109" s="164" t="s">
        <v>230</v>
      </c>
      <c r="E109" s="165"/>
      <c r="F109" s="165"/>
      <c r="G109" s="165"/>
      <c r="H109" s="166"/>
      <c r="I109" s="247"/>
      <c r="J109" s="167"/>
      <c r="K109" s="98"/>
      <c r="L109" s="168">
        <f t="shared" ref="L109:AQ109" si="243">K112</f>
        <v>0</v>
      </c>
      <c r="M109" s="168">
        <f t="shared" si="243"/>
        <v>0</v>
      </c>
      <c r="N109" s="168">
        <f t="shared" si="243"/>
        <v>0</v>
      </c>
      <c r="O109" s="168">
        <f t="shared" si="243"/>
        <v>0</v>
      </c>
      <c r="P109" s="168">
        <f t="shared" si="243"/>
        <v>0</v>
      </c>
      <c r="Q109" s="168">
        <f t="shared" si="243"/>
        <v>0</v>
      </c>
      <c r="R109" s="168">
        <f t="shared" si="243"/>
        <v>0</v>
      </c>
      <c r="S109" s="168">
        <f t="shared" si="243"/>
        <v>0</v>
      </c>
      <c r="T109" s="168">
        <f t="shared" si="243"/>
        <v>0</v>
      </c>
      <c r="U109" s="168">
        <f t="shared" si="243"/>
        <v>0</v>
      </c>
      <c r="V109" s="168">
        <f t="shared" si="243"/>
        <v>0</v>
      </c>
      <c r="W109" s="168">
        <f t="shared" si="243"/>
        <v>0</v>
      </c>
      <c r="X109" s="168">
        <f t="shared" si="243"/>
        <v>0</v>
      </c>
      <c r="Y109" s="168">
        <f t="shared" si="243"/>
        <v>0</v>
      </c>
      <c r="Z109" s="168">
        <f t="shared" si="243"/>
        <v>0</v>
      </c>
      <c r="AA109" s="168">
        <f t="shared" si="243"/>
        <v>0</v>
      </c>
      <c r="AB109" s="168">
        <f t="shared" si="243"/>
        <v>0</v>
      </c>
      <c r="AC109" s="168">
        <f t="shared" si="243"/>
        <v>0</v>
      </c>
      <c r="AD109" s="168">
        <f t="shared" si="243"/>
        <v>0</v>
      </c>
      <c r="AE109" s="168">
        <f t="shared" si="243"/>
        <v>0</v>
      </c>
      <c r="AF109" s="168">
        <f t="shared" si="243"/>
        <v>0</v>
      </c>
      <c r="AG109" s="168">
        <f t="shared" si="243"/>
        <v>0</v>
      </c>
      <c r="AH109" s="168">
        <f t="shared" si="243"/>
        <v>0</v>
      </c>
      <c r="AI109" s="168">
        <f t="shared" si="243"/>
        <v>0</v>
      </c>
      <c r="AJ109" s="168">
        <f t="shared" si="243"/>
        <v>0</v>
      </c>
      <c r="AK109" s="168">
        <f t="shared" si="243"/>
        <v>0</v>
      </c>
      <c r="AL109" s="168">
        <f t="shared" si="243"/>
        <v>0</v>
      </c>
      <c r="AM109" s="168">
        <f t="shared" si="243"/>
        <v>0</v>
      </c>
      <c r="AN109" s="168">
        <f t="shared" si="243"/>
        <v>0</v>
      </c>
      <c r="AO109" s="168">
        <f t="shared" si="243"/>
        <v>0</v>
      </c>
      <c r="AP109" s="168">
        <f t="shared" si="243"/>
        <v>0</v>
      </c>
      <c r="AQ109" s="168">
        <f t="shared" si="243"/>
        <v>0</v>
      </c>
      <c r="AR109" s="168">
        <f t="shared" ref="AR109:BW109" si="244">AQ112</f>
        <v>0</v>
      </c>
      <c r="AS109" s="168">
        <f t="shared" si="244"/>
        <v>0</v>
      </c>
      <c r="AT109" s="168">
        <f t="shared" si="244"/>
        <v>0</v>
      </c>
      <c r="AU109" s="168">
        <f t="shared" si="244"/>
        <v>0</v>
      </c>
      <c r="AV109" s="168">
        <f t="shared" si="244"/>
        <v>0</v>
      </c>
      <c r="AW109" s="168">
        <f t="shared" si="244"/>
        <v>0</v>
      </c>
      <c r="AX109" s="168">
        <f t="shared" si="244"/>
        <v>0</v>
      </c>
      <c r="AY109" s="168">
        <f t="shared" si="244"/>
        <v>0</v>
      </c>
      <c r="AZ109" s="168">
        <f t="shared" si="244"/>
        <v>0</v>
      </c>
      <c r="BA109" s="168">
        <f t="shared" si="244"/>
        <v>0</v>
      </c>
      <c r="BB109" s="168">
        <f t="shared" si="244"/>
        <v>0</v>
      </c>
      <c r="BC109" s="168">
        <f t="shared" si="244"/>
        <v>0</v>
      </c>
      <c r="BD109" s="168">
        <f t="shared" si="244"/>
        <v>0</v>
      </c>
      <c r="BE109" s="168">
        <f t="shared" si="244"/>
        <v>0</v>
      </c>
      <c r="BF109" s="168">
        <f t="shared" si="244"/>
        <v>0</v>
      </c>
      <c r="BG109" s="168">
        <f t="shared" si="244"/>
        <v>0</v>
      </c>
      <c r="BH109" s="168">
        <f t="shared" si="244"/>
        <v>0</v>
      </c>
      <c r="BI109" s="168">
        <f t="shared" si="244"/>
        <v>0</v>
      </c>
      <c r="BJ109" s="168">
        <f t="shared" si="244"/>
        <v>0</v>
      </c>
      <c r="BK109" s="168">
        <f t="shared" si="244"/>
        <v>0</v>
      </c>
      <c r="BL109" s="168">
        <f t="shared" si="244"/>
        <v>0</v>
      </c>
      <c r="BM109" s="168">
        <f t="shared" si="244"/>
        <v>0</v>
      </c>
      <c r="BN109" s="168">
        <f t="shared" si="244"/>
        <v>0</v>
      </c>
      <c r="BO109" s="168">
        <f t="shared" si="244"/>
        <v>0</v>
      </c>
      <c r="BP109" s="168">
        <f t="shared" si="244"/>
        <v>0</v>
      </c>
      <c r="BQ109" s="168">
        <f t="shared" si="244"/>
        <v>0</v>
      </c>
      <c r="BR109" s="168">
        <f t="shared" si="244"/>
        <v>0</v>
      </c>
      <c r="BS109" s="168">
        <f t="shared" si="244"/>
        <v>0</v>
      </c>
      <c r="BT109" s="168">
        <f t="shared" si="244"/>
        <v>0</v>
      </c>
      <c r="BU109" s="168">
        <f t="shared" si="244"/>
        <v>0</v>
      </c>
      <c r="BV109" s="168">
        <f t="shared" si="244"/>
        <v>798750</v>
      </c>
      <c r="BW109" s="168">
        <f t="shared" si="244"/>
        <v>1597500</v>
      </c>
      <c r="BX109" s="168">
        <f t="shared" ref="BX109:DC109" si="245">BW112</f>
        <v>0</v>
      </c>
      <c r="BY109" s="168">
        <f t="shared" si="245"/>
        <v>798750</v>
      </c>
      <c r="BZ109" s="168">
        <f t="shared" si="245"/>
        <v>1597500</v>
      </c>
      <c r="CA109" s="168">
        <f t="shared" si="245"/>
        <v>0</v>
      </c>
      <c r="CB109" s="168">
        <f t="shared" si="245"/>
        <v>798750</v>
      </c>
      <c r="CC109" s="168">
        <f t="shared" si="245"/>
        <v>1597500</v>
      </c>
      <c r="CD109" s="168">
        <f t="shared" si="245"/>
        <v>0</v>
      </c>
      <c r="CE109" s="168">
        <f t="shared" si="245"/>
        <v>798750</v>
      </c>
      <c r="CF109" s="168">
        <f t="shared" si="245"/>
        <v>1597500</v>
      </c>
      <c r="CG109" s="168">
        <f t="shared" si="245"/>
        <v>0</v>
      </c>
      <c r="CH109" s="168">
        <f t="shared" si="245"/>
        <v>798750</v>
      </c>
      <c r="CI109" s="168">
        <f t="shared" si="245"/>
        <v>1597500</v>
      </c>
      <c r="CJ109" s="168">
        <f t="shared" si="245"/>
        <v>0</v>
      </c>
      <c r="CK109" s="168">
        <f t="shared" si="245"/>
        <v>798750</v>
      </c>
      <c r="CL109" s="168">
        <f t="shared" si="245"/>
        <v>1597500</v>
      </c>
      <c r="CM109" s="168">
        <f t="shared" si="245"/>
        <v>0</v>
      </c>
      <c r="CN109" s="168">
        <f t="shared" si="245"/>
        <v>798750</v>
      </c>
      <c r="CO109" s="168">
        <f t="shared" si="245"/>
        <v>1597500</v>
      </c>
      <c r="CP109" s="168">
        <f t="shared" si="245"/>
        <v>0</v>
      </c>
      <c r="CQ109" s="168">
        <f t="shared" si="245"/>
        <v>798750</v>
      </c>
      <c r="CR109" s="168">
        <f t="shared" si="245"/>
        <v>1597500</v>
      </c>
      <c r="CS109" s="168">
        <f t="shared" si="245"/>
        <v>0</v>
      </c>
      <c r="CT109" s="168">
        <f t="shared" si="245"/>
        <v>798750</v>
      </c>
      <c r="CU109" s="168">
        <f t="shared" si="245"/>
        <v>1597500</v>
      </c>
      <c r="CV109" s="168">
        <f t="shared" si="245"/>
        <v>0</v>
      </c>
      <c r="CW109" s="168">
        <f t="shared" si="245"/>
        <v>798750</v>
      </c>
      <c r="CX109" s="168">
        <f t="shared" si="245"/>
        <v>1597500</v>
      </c>
      <c r="CY109" s="168">
        <f t="shared" si="245"/>
        <v>0</v>
      </c>
      <c r="CZ109" s="168">
        <f t="shared" si="245"/>
        <v>798750</v>
      </c>
      <c r="DA109" s="168">
        <f t="shared" si="245"/>
        <v>1597500</v>
      </c>
      <c r="DB109" s="168">
        <f t="shared" si="245"/>
        <v>0</v>
      </c>
      <c r="DC109" s="168">
        <f t="shared" si="245"/>
        <v>798750</v>
      </c>
      <c r="DD109" s="168">
        <f t="shared" ref="DD109:EI109" si="246">DC112</f>
        <v>1597500</v>
      </c>
      <c r="DE109" s="168">
        <f t="shared" si="246"/>
        <v>0</v>
      </c>
      <c r="DF109" s="168">
        <f t="shared" si="246"/>
        <v>798750</v>
      </c>
      <c r="DG109" s="168">
        <f t="shared" si="246"/>
        <v>1597500</v>
      </c>
      <c r="DH109" s="168">
        <f t="shared" si="246"/>
        <v>0</v>
      </c>
      <c r="DI109" s="168">
        <f t="shared" si="246"/>
        <v>798750</v>
      </c>
      <c r="DJ109" s="168">
        <f t="shared" si="246"/>
        <v>1597500</v>
      </c>
      <c r="DK109" s="168">
        <f t="shared" si="246"/>
        <v>0</v>
      </c>
      <c r="DL109" s="168">
        <f t="shared" si="246"/>
        <v>798750</v>
      </c>
      <c r="DM109" s="168">
        <f t="shared" si="246"/>
        <v>1597500</v>
      </c>
      <c r="DN109" s="168">
        <f t="shared" si="246"/>
        <v>0</v>
      </c>
      <c r="DO109" s="168">
        <f t="shared" si="246"/>
        <v>798750</v>
      </c>
      <c r="DP109" s="168">
        <f t="shared" si="246"/>
        <v>1597500</v>
      </c>
      <c r="DQ109" s="168">
        <f t="shared" si="246"/>
        <v>0</v>
      </c>
      <c r="DR109" s="168">
        <f t="shared" si="246"/>
        <v>798750</v>
      </c>
      <c r="DS109" s="168">
        <f t="shared" si="246"/>
        <v>1597500</v>
      </c>
      <c r="DT109" s="168">
        <f t="shared" si="246"/>
        <v>0</v>
      </c>
      <c r="DU109" s="168">
        <f t="shared" si="246"/>
        <v>798750</v>
      </c>
      <c r="DV109" s="168">
        <f t="shared" si="246"/>
        <v>1597500</v>
      </c>
      <c r="DW109" s="168">
        <f t="shared" si="246"/>
        <v>0</v>
      </c>
      <c r="DX109" s="168">
        <f t="shared" si="246"/>
        <v>798750</v>
      </c>
      <c r="DY109" s="168">
        <f t="shared" si="246"/>
        <v>1597500</v>
      </c>
      <c r="DZ109" s="168">
        <f t="shared" si="246"/>
        <v>0</v>
      </c>
      <c r="EA109" s="168">
        <f t="shared" si="246"/>
        <v>798750</v>
      </c>
      <c r="EB109" s="168">
        <f t="shared" si="246"/>
        <v>1597500</v>
      </c>
      <c r="EC109" s="168">
        <f t="shared" si="246"/>
        <v>0</v>
      </c>
      <c r="ED109" s="1320">
        <f t="shared" si="246"/>
        <v>0</v>
      </c>
      <c r="EE109" s="168">
        <f t="shared" si="246"/>
        <v>0</v>
      </c>
      <c r="EF109" s="168">
        <f t="shared" si="246"/>
        <v>0</v>
      </c>
      <c r="EG109" s="168">
        <f t="shared" si="246"/>
        <v>0</v>
      </c>
      <c r="EH109" s="168">
        <f t="shared" si="246"/>
        <v>0</v>
      </c>
      <c r="EI109" s="168">
        <f t="shared" si="246"/>
        <v>0</v>
      </c>
      <c r="EJ109" s="168">
        <f t="shared" ref="EJ109:EQ109" si="247">EI112</f>
        <v>0</v>
      </c>
      <c r="EK109" s="168">
        <f t="shared" si="247"/>
        <v>0</v>
      </c>
      <c r="EL109" s="168">
        <f t="shared" si="247"/>
        <v>0</v>
      </c>
      <c r="EM109" s="168">
        <f t="shared" si="247"/>
        <v>0</v>
      </c>
      <c r="EN109" s="168">
        <f t="shared" si="247"/>
        <v>0</v>
      </c>
      <c r="EO109" s="168">
        <f t="shared" si="247"/>
        <v>0</v>
      </c>
      <c r="EP109" s="168">
        <f t="shared" si="247"/>
        <v>0</v>
      </c>
      <c r="EQ109" s="168">
        <f t="shared" si="247"/>
        <v>0</v>
      </c>
    </row>
    <row r="110" spans="3:147" ht="11.25" customHeight="1">
      <c r="C110" s="163"/>
      <c r="D110" s="169" t="s">
        <v>231</v>
      </c>
      <c r="H110" s="146">
        <f>'A&amp;R'!M34</f>
        <v>48152</v>
      </c>
      <c r="I110" s="65">
        <f>'A&amp;R'!Q34</f>
        <v>4.4999999999999998E-2</v>
      </c>
      <c r="J110" s="170">
        <f>SUM(L110:EQ110)</f>
        <v>47925000</v>
      </c>
      <c r="K110" s="98"/>
      <c r="L110" s="171">
        <f>L31*$I110/12</f>
        <v>0</v>
      </c>
      <c r="M110" s="171">
        <f t="shared" ref="M110:BX110" si="248">M31*$I110/12</f>
        <v>0</v>
      </c>
      <c r="N110" s="171">
        <f t="shared" si="248"/>
        <v>0</v>
      </c>
      <c r="O110" s="171">
        <f t="shared" si="248"/>
        <v>0</v>
      </c>
      <c r="P110" s="171">
        <f t="shared" si="248"/>
        <v>0</v>
      </c>
      <c r="Q110" s="171">
        <f t="shared" si="248"/>
        <v>0</v>
      </c>
      <c r="R110" s="171">
        <f t="shared" si="248"/>
        <v>0</v>
      </c>
      <c r="S110" s="171">
        <f t="shared" si="248"/>
        <v>0</v>
      </c>
      <c r="T110" s="171">
        <f t="shared" si="248"/>
        <v>0</v>
      </c>
      <c r="U110" s="171">
        <f t="shared" si="248"/>
        <v>0</v>
      </c>
      <c r="V110" s="171">
        <f t="shared" si="248"/>
        <v>0</v>
      </c>
      <c r="W110" s="171">
        <f t="shared" si="248"/>
        <v>0</v>
      </c>
      <c r="X110" s="171">
        <f t="shared" si="248"/>
        <v>0</v>
      </c>
      <c r="Y110" s="171">
        <f t="shared" si="248"/>
        <v>0</v>
      </c>
      <c r="Z110" s="171">
        <f t="shared" si="248"/>
        <v>0</v>
      </c>
      <c r="AA110" s="171">
        <f t="shared" si="248"/>
        <v>0</v>
      </c>
      <c r="AB110" s="171">
        <f t="shared" si="248"/>
        <v>0</v>
      </c>
      <c r="AC110" s="171">
        <f t="shared" si="248"/>
        <v>0</v>
      </c>
      <c r="AD110" s="171">
        <f t="shared" si="248"/>
        <v>0</v>
      </c>
      <c r="AE110" s="171">
        <f t="shared" si="248"/>
        <v>0</v>
      </c>
      <c r="AF110" s="171">
        <f t="shared" si="248"/>
        <v>0</v>
      </c>
      <c r="AG110" s="171">
        <f t="shared" si="248"/>
        <v>0</v>
      </c>
      <c r="AH110" s="171">
        <f t="shared" si="248"/>
        <v>0</v>
      </c>
      <c r="AI110" s="171">
        <f t="shared" si="248"/>
        <v>0</v>
      </c>
      <c r="AJ110" s="171">
        <f t="shared" si="248"/>
        <v>0</v>
      </c>
      <c r="AK110" s="171">
        <f t="shared" si="248"/>
        <v>0</v>
      </c>
      <c r="AL110" s="171">
        <f t="shared" si="248"/>
        <v>0</v>
      </c>
      <c r="AM110" s="171">
        <f t="shared" si="248"/>
        <v>0</v>
      </c>
      <c r="AN110" s="171">
        <f t="shared" si="248"/>
        <v>0</v>
      </c>
      <c r="AO110" s="171">
        <f t="shared" si="248"/>
        <v>0</v>
      </c>
      <c r="AP110" s="171">
        <f t="shared" si="248"/>
        <v>0</v>
      </c>
      <c r="AQ110" s="171">
        <f t="shared" si="248"/>
        <v>0</v>
      </c>
      <c r="AR110" s="171">
        <f t="shared" si="248"/>
        <v>0</v>
      </c>
      <c r="AS110" s="171">
        <f t="shared" si="248"/>
        <v>0</v>
      </c>
      <c r="AT110" s="171">
        <f t="shared" si="248"/>
        <v>0</v>
      </c>
      <c r="AU110" s="171">
        <f t="shared" si="248"/>
        <v>0</v>
      </c>
      <c r="AV110" s="171">
        <f t="shared" si="248"/>
        <v>0</v>
      </c>
      <c r="AW110" s="171">
        <f t="shared" si="248"/>
        <v>0</v>
      </c>
      <c r="AX110" s="171">
        <f t="shared" si="248"/>
        <v>0</v>
      </c>
      <c r="AY110" s="171">
        <f t="shared" si="248"/>
        <v>0</v>
      </c>
      <c r="AZ110" s="171">
        <f t="shared" si="248"/>
        <v>0</v>
      </c>
      <c r="BA110" s="171">
        <f t="shared" si="248"/>
        <v>0</v>
      </c>
      <c r="BB110" s="171">
        <f t="shared" si="248"/>
        <v>0</v>
      </c>
      <c r="BC110" s="171">
        <f t="shared" si="248"/>
        <v>0</v>
      </c>
      <c r="BD110" s="171">
        <f t="shared" si="248"/>
        <v>0</v>
      </c>
      <c r="BE110" s="171">
        <f t="shared" si="248"/>
        <v>0</v>
      </c>
      <c r="BF110" s="171">
        <f t="shared" si="248"/>
        <v>0</v>
      </c>
      <c r="BG110" s="171">
        <f t="shared" si="248"/>
        <v>0</v>
      </c>
      <c r="BH110" s="171">
        <f t="shared" si="248"/>
        <v>0</v>
      </c>
      <c r="BI110" s="171">
        <f t="shared" si="248"/>
        <v>0</v>
      </c>
      <c r="BJ110" s="171">
        <f t="shared" si="248"/>
        <v>0</v>
      </c>
      <c r="BK110" s="171">
        <f t="shared" si="248"/>
        <v>0</v>
      </c>
      <c r="BL110" s="171">
        <f t="shared" si="248"/>
        <v>0</v>
      </c>
      <c r="BM110" s="171">
        <f t="shared" si="248"/>
        <v>0</v>
      </c>
      <c r="BN110" s="171">
        <f t="shared" si="248"/>
        <v>0</v>
      </c>
      <c r="BO110" s="171">
        <f t="shared" si="248"/>
        <v>0</v>
      </c>
      <c r="BP110" s="171">
        <f t="shared" si="248"/>
        <v>0</v>
      </c>
      <c r="BQ110" s="171">
        <f t="shared" si="248"/>
        <v>0</v>
      </c>
      <c r="BR110" s="171">
        <f t="shared" si="248"/>
        <v>0</v>
      </c>
      <c r="BS110" s="171">
        <f t="shared" si="248"/>
        <v>0</v>
      </c>
      <c r="BT110" s="171">
        <f t="shared" si="248"/>
        <v>0</v>
      </c>
      <c r="BU110" s="171">
        <f t="shared" si="248"/>
        <v>798750</v>
      </c>
      <c r="BV110" s="171">
        <f t="shared" si="248"/>
        <v>798750</v>
      </c>
      <c r="BW110" s="171">
        <f t="shared" si="248"/>
        <v>798750</v>
      </c>
      <c r="BX110" s="171">
        <f t="shared" si="248"/>
        <v>798750</v>
      </c>
      <c r="BY110" s="171">
        <f t="shared" ref="BY110:EJ110" si="249">BY31*$I110/12</f>
        <v>798750</v>
      </c>
      <c r="BZ110" s="171">
        <f t="shared" si="249"/>
        <v>798750</v>
      </c>
      <c r="CA110" s="171">
        <f t="shared" si="249"/>
        <v>798750</v>
      </c>
      <c r="CB110" s="171">
        <f t="shared" si="249"/>
        <v>798750</v>
      </c>
      <c r="CC110" s="171">
        <f t="shared" si="249"/>
        <v>798750</v>
      </c>
      <c r="CD110" s="171">
        <f t="shared" si="249"/>
        <v>798750</v>
      </c>
      <c r="CE110" s="171">
        <f t="shared" si="249"/>
        <v>798750</v>
      </c>
      <c r="CF110" s="171">
        <f t="shared" si="249"/>
        <v>798750</v>
      </c>
      <c r="CG110" s="171">
        <f t="shared" si="249"/>
        <v>798750</v>
      </c>
      <c r="CH110" s="171">
        <f t="shared" si="249"/>
        <v>798750</v>
      </c>
      <c r="CI110" s="171">
        <f t="shared" si="249"/>
        <v>798750</v>
      </c>
      <c r="CJ110" s="171">
        <f t="shared" si="249"/>
        <v>798750</v>
      </c>
      <c r="CK110" s="171">
        <f t="shared" si="249"/>
        <v>798750</v>
      </c>
      <c r="CL110" s="171">
        <f t="shared" si="249"/>
        <v>798750</v>
      </c>
      <c r="CM110" s="171">
        <f t="shared" si="249"/>
        <v>798750</v>
      </c>
      <c r="CN110" s="171">
        <f t="shared" si="249"/>
        <v>798750</v>
      </c>
      <c r="CO110" s="171">
        <f t="shared" si="249"/>
        <v>798750</v>
      </c>
      <c r="CP110" s="171">
        <f t="shared" si="249"/>
        <v>798750</v>
      </c>
      <c r="CQ110" s="171">
        <f t="shared" si="249"/>
        <v>798750</v>
      </c>
      <c r="CR110" s="171">
        <f t="shared" si="249"/>
        <v>798750</v>
      </c>
      <c r="CS110" s="171">
        <f t="shared" si="249"/>
        <v>798750</v>
      </c>
      <c r="CT110" s="171">
        <f t="shared" si="249"/>
        <v>798750</v>
      </c>
      <c r="CU110" s="171">
        <f t="shared" si="249"/>
        <v>798750</v>
      </c>
      <c r="CV110" s="171">
        <f t="shared" si="249"/>
        <v>798750</v>
      </c>
      <c r="CW110" s="171">
        <f t="shared" si="249"/>
        <v>798750</v>
      </c>
      <c r="CX110" s="171">
        <f t="shared" si="249"/>
        <v>798750</v>
      </c>
      <c r="CY110" s="171">
        <f t="shared" si="249"/>
        <v>798750</v>
      </c>
      <c r="CZ110" s="171">
        <f t="shared" si="249"/>
        <v>798750</v>
      </c>
      <c r="DA110" s="171">
        <f t="shared" si="249"/>
        <v>798750</v>
      </c>
      <c r="DB110" s="171">
        <f t="shared" si="249"/>
        <v>798750</v>
      </c>
      <c r="DC110" s="171">
        <f t="shared" si="249"/>
        <v>798750</v>
      </c>
      <c r="DD110" s="171">
        <f t="shared" si="249"/>
        <v>798750</v>
      </c>
      <c r="DE110" s="171">
        <f t="shared" si="249"/>
        <v>798750</v>
      </c>
      <c r="DF110" s="171">
        <f t="shared" si="249"/>
        <v>798750</v>
      </c>
      <c r="DG110" s="171">
        <f t="shared" si="249"/>
        <v>798750</v>
      </c>
      <c r="DH110" s="171">
        <f t="shared" si="249"/>
        <v>798750</v>
      </c>
      <c r="DI110" s="171">
        <f t="shared" si="249"/>
        <v>798750</v>
      </c>
      <c r="DJ110" s="171">
        <f t="shared" si="249"/>
        <v>798750</v>
      </c>
      <c r="DK110" s="171">
        <f t="shared" si="249"/>
        <v>798750</v>
      </c>
      <c r="DL110" s="171">
        <f t="shared" si="249"/>
        <v>798750</v>
      </c>
      <c r="DM110" s="171">
        <f t="shared" si="249"/>
        <v>798750</v>
      </c>
      <c r="DN110" s="171">
        <f t="shared" si="249"/>
        <v>798750</v>
      </c>
      <c r="DO110" s="171">
        <f t="shared" si="249"/>
        <v>798750</v>
      </c>
      <c r="DP110" s="171">
        <f t="shared" si="249"/>
        <v>798750</v>
      </c>
      <c r="DQ110" s="171">
        <f t="shared" si="249"/>
        <v>798750</v>
      </c>
      <c r="DR110" s="171">
        <f t="shared" si="249"/>
        <v>798750</v>
      </c>
      <c r="DS110" s="171">
        <f t="shared" si="249"/>
        <v>798750</v>
      </c>
      <c r="DT110" s="171">
        <f t="shared" si="249"/>
        <v>798750</v>
      </c>
      <c r="DU110" s="171">
        <f t="shared" si="249"/>
        <v>798750</v>
      </c>
      <c r="DV110" s="171">
        <f t="shared" si="249"/>
        <v>798750</v>
      </c>
      <c r="DW110" s="171">
        <f t="shared" si="249"/>
        <v>798750</v>
      </c>
      <c r="DX110" s="171">
        <f t="shared" si="249"/>
        <v>798750</v>
      </c>
      <c r="DY110" s="171">
        <f t="shared" si="249"/>
        <v>798750</v>
      </c>
      <c r="DZ110" s="171">
        <f t="shared" si="249"/>
        <v>798750</v>
      </c>
      <c r="EA110" s="171">
        <f t="shared" si="249"/>
        <v>798750</v>
      </c>
      <c r="EB110" s="171">
        <f t="shared" si="249"/>
        <v>798750</v>
      </c>
      <c r="EC110" s="171">
        <f t="shared" si="249"/>
        <v>0</v>
      </c>
      <c r="ED110" s="1321">
        <f t="shared" si="249"/>
        <v>0</v>
      </c>
      <c r="EE110" s="171">
        <f t="shared" si="249"/>
        <v>0</v>
      </c>
      <c r="EF110" s="171">
        <f t="shared" si="249"/>
        <v>0</v>
      </c>
      <c r="EG110" s="171">
        <f t="shared" si="249"/>
        <v>0</v>
      </c>
      <c r="EH110" s="171">
        <f t="shared" si="249"/>
        <v>0</v>
      </c>
      <c r="EI110" s="171">
        <f t="shared" si="249"/>
        <v>0</v>
      </c>
      <c r="EJ110" s="171">
        <f t="shared" si="249"/>
        <v>0</v>
      </c>
      <c r="EK110" s="171">
        <f t="shared" ref="EK110:EQ110" si="250">EK31*$I110/12</f>
        <v>0</v>
      </c>
      <c r="EL110" s="171">
        <f t="shared" si="250"/>
        <v>0</v>
      </c>
      <c r="EM110" s="171">
        <f t="shared" si="250"/>
        <v>0</v>
      </c>
      <c r="EN110" s="171">
        <f t="shared" si="250"/>
        <v>0</v>
      </c>
      <c r="EO110" s="171">
        <f t="shared" si="250"/>
        <v>0</v>
      </c>
      <c r="EP110" s="171">
        <f t="shared" si="250"/>
        <v>0</v>
      </c>
      <c r="EQ110" s="171">
        <f t="shared" si="250"/>
        <v>0</v>
      </c>
    </row>
    <row r="111" spans="3:147" ht="11.25" customHeight="1">
      <c r="C111" s="163"/>
      <c r="D111" s="169" t="s">
        <v>232</v>
      </c>
      <c r="H111" s="146">
        <f>'A&amp;R'!N34</f>
        <v>49979</v>
      </c>
      <c r="I111" s="1646">
        <v>3</v>
      </c>
      <c r="J111" s="170">
        <f>SUM(L111:EQ111)</f>
        <v>47925000</v>
      </c>
      <c r="K111" s="98"/>
      <c r="L111" s="171">
        <f t="shared" ref="L111:AQ111" si="251">(MOD(IFERROR(DATEDIF($H110-1,L$97+1,"m"),),$I$101)=0)*1*(L$97&gt;$H110)*(L$97&lt;=$H111)*SUM(L109:L110)</f>
        <v>0</v>
      </c>
      <c r="M111" s="171">
        <f t="shared" si="251"/>
        <v>0</v>
      </c>
      <c r="N111" s="171">
        <f t="shared" si="251"/>
        <v>0</v>
      </c>
      <c r="O111" s="171">
        <f t="shared" si="251"/>
        <v>0</v>
      </c>
      <c r="P111" s="171">
        <f t="shared" si="251"/>
        <v>0</v>
      </c>
      <c r="Q111" s="171">
        <f t="shared" si="251"/>
        <v>0</v>
      </c>
      <c r="R111" s="171">
        <f t="shared" si="251"/>
        <v>0</v>
      </c>
      <c r="S111" s="171">
        <f t="shared" si="251"/>
        <v>0</v>
      </c>
      <c r="T111" s="171">
        <f t="shared" si="251"/>
        <v>0</v>
      </c>
      <c r="U111" s="171">
        <f t="shared" si="251"/>
        <v>0</v>
      </c>
      <c r="V111" s="171">
        <f t="shared" si="251"/>
        <v>0</v>
      </c>
      <c r="W111" s="171">
        <f t="shared" si="251"/>
        <v>0</v>
      </c>
      <c r="X111" s="171">
        <f t="shared" si="251"/>
        <v>0</v>
      </c>
      <c r="Y111" s="171">
        <f t="shared" si="251"/>
        <v>0</v>
      </c>
      <c r="Z111" s="171">
        <f t="shared" si="251"/>
        <v>0</v>
      </c>
      <c r="AA111" s="171">
        <f t="shared" si="251"/>
        <v>0</v>
      </c>
      <c r="AB111" s="171">
        <f t="shared" si="251"/>
        <v>0</v>
      </c>
      <c r="AC111" s="171">
        <f t="shared" si="251"/>
        <v>0</v>
      </c>
      <c r="AD111" s="171">
        <f t="shared" si="251"/>
        <v>0</v>
      </c>
      <c r="AE111" s="171">
        <f t="shared" si="251"/>
        <v>0</v>
      </c>
      <c r="AF111" s="171">
        <f t="shared" si="251"/>
        <v>0</v>
      </c>
      <c r="AG111" s="171">
        <f t="shared" si="251"/>
        <v>0</v>
      </c>
      <c r="AH111" s="171">
        <f t="shared" si="251"/>
        <v>0</v>
      </c>
      <c r="AI111" s="171">
        <f t="shared" si="251"/>
        <v>0</v>
      </c>
      <c r="AJ111" s="171">
        <f t="shared" si="251"/>
        <v>0</v>
      </c>
      <c r="AK111" s="171">
        <f t="shared" si="251"/>
        <v>0</v>
      </c>
      <c r="AL111" s="171">
        <f t="shared" si="251"/>
        <v>0</v>
      </c>
      <c r="AM111" s="171">
        <f t="shared" si="251"/>
        <v>0</v>
      </c>
      <c r="AN111" s="171">
        <f t="shared" si="251"/>
        <v>0</v>
      </c>
      <c r="AO111" s="171">
        <f t="shared" si="251"/>
        <v>0</v>
      </c>
      <c r="AP111" s="171">
        <f t="shared" si="251"/>
        <v>0</v>
      </c>
      <c r="AQ111" s="171">
        <f t="shared" si="251"/>
        <v>0</v>
      </c>
      <c r="AR111" s="171">
        <f t="shared" ref="AR111:BW111" si="252">(MOD(IFERROR(DATEDIF($H110-1,AR$97+1,"m"),),$I$101)=0)*1*(AR$97&gt;$H110)*(AR$97&lt;=$H111)*SUM(AR109:AR110)</f>
        <v>0</v>
      </c>
      <c r="AS111" s="171">
        <f t="shared" si="252"/>
        <v>0</v>
      </c>
      <c r="AT111" s="171">
        <f t="shared" si="252"/>
        <v>0</v>
      </c>
      <c r="AU111" s="171">
        <f t="shared" si="252"/>
        <v>0</v>
      </c>
      <c r="AV111" s="171">
        <f t="shared" si="252"/>
        <v>0</v>
      </c>
      <c r="AW111" s="171">
        <f t="shared" si="252"/>
        <v>0</v>
      </c>
      <c r="AX111" s="171">
        <f t="shared" si="252"/>
        <v>0</v>
      </c>
      <c r="AY111" s="171">
        <f t="shared" si="252"/>
        <v>0</v>
      </c>
      <c r="AZ111" s="171">
        <f t="shared" si="252"/>
        <v>0</v>
      </c>
      <c r="BA111" s="171">
        <f t="shared" si="252"/>
        <v>0</v>
      </c>
      <c r="BB111" s="171">
        <f t="shared" si="252"/>
        <v>0</v>
      </c>
      <c r="BC111" s="171">
        <f t="shared" si="252"/>
        <v>0</v>
      </c>
      <c r="BD111" s="171">
        <f t="shared" si="252"/>
        <v>0</v>
      </c>
      <c r="BE111" s="171">
        <f t="shared" si="252"/>
        <v>0</v>
      </c>
      <c r="BF111" s="171">
        <f t="shared" si="252"/>
        <v>0</v>
      </c>
      <c r="BG111" s="171">
        <f t="shared" si="252"/>
        <v>0</v>
      </c>
      <c r="BH111" s="171">
        <f t="shared" si="252"/>
        <v>0</v>
      </c>
      <c r="BI111" s="171">
        <f t="shared" si="252"/>
        <v>0</v>
      </c>
      <c r="BJ111" s="171">
        <f t="shared" si="252"/>
        <v>0</v>
      </c>
      <c r="BK111" s="171">
        <f t="shared" si="252"/>
        <v>0</v>
      </c>
      <c r="BL111" s="171">
        <f t="shared" si="252"/>
        <v>0</v>
      </c>
      <c r="BM111" s="171">
        <f t="shared" si="252"/>
        <v>0</v>
      </c>
      <c r="BN111" s="171">
        <f t="shared" si="252"/>
        <v>0</v>
      </c>
      <c r="BO111" s="171">
        <f t="shared" si="252"/>
        <v>0</v>
      </c>
      <c r="BP111" s="171">
        <f t="shared" si="252"/>
        <v>0</v>
      </c>
      <c r="BQ111" s="171">
        <f t="shared" si="252"/>
        <v>0</v>
      </c>
      <c r="BR111" s="171">
        <f t="shared" si="252"/>
        <v>0</v>
      </c>
      <c r="BS111" s="171">
        <f t="shared" si="252"/>
        <v>0</v>
      </c>
      <c r="BT111" s="171">
        <f t="shared" si="252"/>
        <v>0</v>
      </c>
      <c r="BU111" s="171">
        <f t="shared" si="252"/>
        <v>0</v>
      </c>
      <c r="BV111" s="171">
        <f t="shared" si="252"/>
        <v>0</v>
      </c>
      <c r="BW111" s="171">
        <f t="shared" si="252"/>
        <v>2396250</v>
      </c>
      <c r="BX111" s="171">
        <f t="shared" ref="BX111:DC111" si="253">(MOD(IFERROR(DATEDIF($H110-1,BX$97+1,"m"),),$I$101)=0)*1*(BX$97&gt;$H110)*(BX$97&lt;=$H111)*SUM(BX109:BX110)</f>
        <v>0</v>
      </c>
      <c r="BY111" s="171">
        <f t="shared" si="253"/>
        <v>0</v>
      </c>
      <c r="BZ111" s="171">
        <f t="shared" si="253"/>
        <v>2396250</v>
      </c>
      <c r="CA111" s="171">
        <f t="shared" si="253"/>
        <v>0</v>
      </c>
      <c r="CB111" s="171">
        <f t="shared" si="253"/>
        <v>0</v>
      </c>
      <c r="CC111" s="171">
        <f t="shared" si="253"/>
        <v>2396250</v>
      </c>
      <c r="CD111" s="171">
        <f t="shared" si="253"/>
        <v>0</v>
      </c>
      <c r="CE111" s="171">
        <f t="shared" si="253"/>
        <v>0</v>
      </c>
      <c r="CF111" s="171">
        <f t="shared" si="253"/>
        <v>2396250</v>
      </c>
      <c r="CG111" s="171">
        <f t="shared" si="253"/>
        <v>0</v>
      </c>
      <c r="CH111" s="171">
        <f t="shared" si="253"/>
        <v>0</v>
      </c>
      <c r="CI111" s="171">
        <f t="shared" si="253"/>
        <v>2396250</v>
      </c>
      <c r="CJ111" s="171">
        <f t="shared" si="253"/>
        <v>0</v>
      </c>
      <c r="CK111" s="171">
        <f t="shared" si="253"/>
        <v>0</v>
      </c>
      <c r="CL111" s="171">
        <f t="shared" si="253"/>
        <v>2396250</v>
      </c>
      <c r="CM111" s="171">
        <f t="shared" si="253"/>
        <v>0</v>
      </c>
      <c r="CN111" s="171">
        <f t="shared" si="253"/>
        <v>0</v>
      </c>
      <c r="CO111" s="171">
        <f t="shared" si="253"/>
        <v>2396250</v>
      </c>
      <c r="CP111" s="171">
        <f t="shared" si="253"/>
        <v>0</v>
      </c>
      <c r="CQ111" s="171">
        <f t="shared" si="253"/>
        <v>0</v>
      </c>
      <c r="CR111" s="171">
        <f t="shared" si="253"/>
        <v>2396250</v>
      </c>
      <c r="CS111" s="171">
        <f t="shared" si="253"/>
        <v>0</v>
      </c>
      <c r="CT111" s="171">
        <f t="shared" si="253"/>
        <v>0</v>
      </c>
      <c r="CU111" s="171">
        <f t="shared" si="253"/>
        <v>2396250</v>
      </c>
      <c r="CV111" s="171">
        <f t="shared" si="253"/>
        <v>0</v>
      </c>
      <c r="CW111" s="171">
        <f t="shared" si="253"/>
        <v>0</v>
      </c>
      <c r="CX111" s="171">
        <f t="shared" si="253"/>
        <v>2396250</v>
      </c>
      <c r="CY111" s="171">
        <f t="shared" si="253"/>
        <v>0</v>
      </c>
      <c r="CZ111" s="171">
        <f t="shared" si="253"/>
        <v>0</v>
      </c>
      <c r="DA111" s="171">
        <f t="shared" si="253"/>
        <v>2396250</v>
      </c>
      <c r="DB111" s="171">
        <f t="shared" si="253"/>
        <v>0</v>
      </c>
      <c r="DC111" s="171">
        <f t="shared" si="253"/>
        <v>0</v>
      </c>
      <c r="DD111" s="171">
        <f t="shared" ref="DD111:EI111" si="254">(MOD(IFERROR(DATEDIF($H110-1,DD$97+1,"m"),),$I$101)=0)*1*(DD$97&gt;$H110)*(DD$97&lt;=$H111)*SUM(DD109:DD110)</f>
        <v>2396250</v>
      </c>
      <c r="DE111" s="171">
        <f t="shared" si="254"/>
        <v>0</v>
      </c>
      <c r="DF111" s="171">
        <f t="shared" si="254"/>
        <v>0</v>
      </c>
      <c r="DG111" s="171">
        <f t="shared" si="254"/>
        <v>2396250</v>
      </c>
      <c r="DH111" s="171">
        <f t="shared" si="254"/>
        <v>0</v>
      </c>
      <c r="DI111" s="171">
        <f t="shared" si="254"/>
        <v>0</v>
      </c>
      <c r="DJ111" s="171">
        <f t="shared" si="254"/>
        <v>2396250</v>
      </c>
      <c r="DK111" s="171">
        <f t="shared" si="254"/>
        <v>0</v>
      </c>
      <c r="DL111" s="171">
        <f t="shared" si="254"/>
        <v>0</v>
      </c>
      <c r="DM111" s="171">
        <f t="shared" si="254"/>
        <v>2396250</v>
      </c>
      <c r="DN111" s="171">
        <f t="shared" si="254"/>
        <v>0</v>
      </c>
      <c r="DO111" s="171">
        <f t="shared" si="254"/>
        <v>0</v>
      </c>
      <c r="DP111" s="171">
        <f t="shared" si="254"/>
        <v>2396250</v>
      </c>
      <c r="DQ111" s="171">
        <f t="shared" si="254"/>
        <v>0</v>
      </c>
      <c r="DR111" s="171">
        <f t="shared" si="254"/>
        <v>0</v>
      </c>
      <c r="DS111" s="171">
        <f t="shared" si="254"/>
        <v>2396250</v>
      </c>
      <c r="DT111" s="171">
        <f t="shared" si="254"/>
        <v>0</v>
      </c>
      <c r="DU111" s="171">
        <f t="shared" si="254"/>
        <v>0</v>
      </c>
      <c r="DV111" s="171">
        <f t="shared" si="254"/>
        <v>2396250</v>
      </c>
      <c r="DW111" s="171">
        <f t="shared" si="254"/>
        <v>0</v>
      </c>
      <c r="DX111" s="171">
        <f t="shared" si="254"/>
        <v>0</v>
      </c>
      <c r="DY111" s="171">
        <f t="shared" si="254"/>
        <v>2396250</v>
      </c>
      <c r="DZ111" s="171">
        <f t="shared" si="254"/>
        <v>0</v>
      </c>
      <c r="EA111" s="171">
        <f t="shared" si="254"/>
        <v>0</v>
      </c>
      <c r="EB111" s="171">
        <f t="shared" si="254"/>
        <v>2396250</v>
      </c>
      <c r="EC111" s="171">
        <f t="shared" si="254"/>
        <v>0</v>
      </c>
      <c r="ED111" s="1321">
        <f t="shared" si="254"/>
        <v>0</v>
      </c>
      <c r="EE111" s="171">
        <f t="shared" si="254"/>
        <v>0</v>
      </c>
      <c r="EF111" s="171">
        <f t="shared" si="254"/>
        <v>0</v>
      </c>
      <c r="EG111" s="171">
        <f t="shared" si="254"/>
        <v>0</v>
      </c>
      <c r="EH111" s="171">
        <f t="shared" si="254"/>
        <v>0</v>
      </c>
      <c r="EI111" s="171">
        <f t="shared" si="254"/>
        <v>0</v>
      </c>
      <c r="EJ111" s="171">
        <f t="shared" ref="EJ111:EQ111" si="255">(MOD(IFERROR(DATEDIF($H110-1,EJ$97+1,"m"),),$I$101)=0)*1*(EJ$97&gt;$H110)*(EJ$97&lt;=$H111)*SUM(EJ109:EJ110)</f>
        <v>0</v>
      </c>
      <c r="EK111" s="171">
        <f t="shared" si="255"/>
        <v>0</v>
      </c>
      <c r="EL111" s="171">
        <f t="shared" si="255"/>
        <v>0</v>
      </c>
      <c r="EM111" s="171">
        <f t="shared" si="255"/>
        <v>0</v>
      </c>
      <c r="EN111" s="171">
        <f t="shared" si="255"/>
        <v>0</v>
      </c>
      <c r="EO111" s="171">
        <f t="shared" si="255"/>
        <v>0</v>
      </c>
      <c r="EP111" s="171">
        <f t="shared" si="255"/>
        <v>0</v>
      </c>
      <c r="EQ111" s="171">
        <f t="shared" si="255"/>
        <v>0</v>
      </c>
    </row>
    <row r="112" spans="3:147" ht="11.25" customHeight="1">
      <c r="C112" s="163"/>
      <c r="D112" s="169" t="s">
        <v>233</v>
      </c>
      <c r="I112" s="65"/>
      <c r="J112" s="170"/>
      <c r="K112" s="98"/>
      <c r="L112" s="171">
        <f>L109+L110-L111</f>
        <v>0</v>
      </c>
      <c r="M112" s="171">
        <f t="shared" ref="M112:BX112" si="256">M109+M110-M111</f>
        <v>0</v>
      </c>
      <c r="N112" s="171">
        <f t="shared" si="256"/>
        <v>0</v>
      </c>
      <c r="O112" s="171">
        <f t="shared" si="256"/>
        <v>0</v>
      </c>
      <c r="P112" s="171">
        <f t="shared" si="256"/>
        <v>0</v>
      </c>
      <c r="Q112" s="171">
        <f t="shared" si="256"/>
        <v>0</v>
      </c>
      <c r="R112" s="171">
        <f t="shared" si="256"/>
        <v>0</v>
      </c>
      <c r="S112" s="171">
        <f t="shared" si="256"/>
        <v>0</v>
      </c>
      <c r="T112" s="171">
        <f t="shared" si="256"/>
        <v>0</v>
      </c>
      <c r="U112" s="171">
        <f t="shared" si="256"/>
        <v>0</v>
      </c>
      <c r="V112" s="171">
        <f t="shared" si="256"/>
        <v>0</v>
      </c>
      <c r="W112" s="171">
        <f t="shared" si="256"/>
        <v>0</v>
      </c>
      <c r="X112" s="171">
        <f t="shared" si="256"/>
        <v>0</v>
      </c>
      <c r="Y112" s="171">
        <f t="shared" si="256"/>
        <v>0</v>
      </c>
      <c r="Z112" s="171">
        <f t="shared" si="256"/>
        <v>0</v>
      </c>
      <c r="AA112" s="171">
        <f t="shared" si="256"/>
        <v>0</v>
      </c>
      <c r="AB112" s="171">
        <f t="shared" si="256"/>
        <v>0</v>
      </c>
      <c r="AC112" s="171">
        <f t="shared" si="256"/>
        <v>0</v>
      </c>
      <c r="AD112" s="171">
        <f t="shared" si="256"/>
        <v>0</v>
      </c>
      <c r="AE112" s="171">
        <f t="shared" si="256"/>
        <v>0</v>
      </c>
      <c r="AF112" s="171">
        <f t="shared" si="256"/>
        <v>0</v>
      </c>
      <c r="AG112" s="171">
        <f t="shared" si="256"/>
        <v>0</v>
      </c>
      <c r="AH112" s="171">
        <f t="shared" si="256"/>
        <v>0</v>
      </c>
      <c r="AI112" s="171">
        <f t="shared" si="256"/>
        <v>0</v>
      </c>
      <c r="AJ112" s="171">
        <f t="shared" si="256"/>
        <v>0</v>
      </c>
      <c r="AK112" s="171">
        <f t="shared" si="256"/>
        <v>0</v>
      </c>
      <c r="AL112" s="171">
        <f t="shared" si="256"/>
        <v>0</v>
      </c>
      <c r="AM112" s="171">
        <f t="shared" si="256"/>
        <v>0</v>
      </c>
      <c r="AN112" s="171">
        <f t="shared" si="256"/>
        <v>0</v>
      </c>
      <c r="AO112" s="171">
        <f t="shared" si="256"/>
        <v>0</v>
      </c>
      <c r="AP112" s="171">
        <f t="shared" si="256"/>
        <v>0</v>
      </c>
      <c r="AQ112" s="171">
        <f t="shared" si="256"/>
        <v>0</v>
      </c>
      <c r="AR112" s="171">
        <f t="shared" si="256"/>
        <v>0</v>
      </c>
      <c r="AS112" s="171">
        <f t="shared" si="256"/>
        <v>0</v>
      </c>
      <c r="AT112" s="171">
        <f t="shared" si="256"/>
        <v>0</v>
      </c>
      <c r="AU112" s="171">
        <f t="shared" si="256"/>
        <v>0</v>
      </c>
      <c r="AV112" s="171">
        <f t="shared" si="256"/>
        <v>0</v>
      </c>
      <c r="AW112" s="171">
        <f t="shared" si="256"/>
        <v>0</v>
      </c>
      <c r="AX112" s="171">
        <f t="shared" si="256"/>
        <v>0</v>
      </c>
      <c r="AY112" s="171">
        <f t="shared" si="256"/>
        <v>0</v>
      </c>
      <c r="AZ112" s="171">
        <f t="shared" si="256"/>
        <v>0</v>
      </c>
      <c r="BA112" s="171">
        <f t="shared" si="256"/>
        <v>0</v>
      </c>
      <c r="BB112" s="171">
        <f t="shared" si="256"/>
        <v>0</v>
      </c>
      <c r="BC112" s="171">
        <f t="shared" si="256"/>
        <v>0</v>
      </c>
      <c r="BD112" s="171">
        <f t="shared" si="256"/>
        <v>0</v>
      </c>
      <c r="BE112" s="171">
        <f t="shared" si="256"/>
        <v>0</v>
      </c>
      <c r="BF112" s="171">
        <f t="shared" si="256"/>
        <v>0</v>
      </c>
      <c r="BG112" s="171">
        <f t="shared" si="256"/>
        <v>0</v>
      </c>
      <c r="BH112" s="171">
        <f t="shared" si="256"/>
        <v>0</v>
      </c>
      <c r="BI112" s="171">
        <f t="shared" si="256"/>
        <v>0</v>
      </c>
      <c r="BJ112" s="171">
        <f t="shared" si="256"/>
        <v>0</v>
      </c>
      <c r="BK112" s="171">
        <f t="shared" si="256"/>
        <v>0</v>
      </c>
      <c r="BL112" s="171">
        <f t="shared" si="256"/>
        <v>0</v>
      </c>
      <c r="BM112" s="171">
        <f t="shared" si="256"/>
        <v>0</v>
      </c>
      <c r="BN112" s="171">
        <f t="shared" si="256"/>
        <v>0</v>
      </c>
      <c r="BO112" s="171">
        <f t="shared" si="256"/>
        <v>0</v>
      </c>
      <c r="BP112" s="171">
        <f t="shared" si="256"/>
        <v>0</v>
      </c>
      <c r="BQ112" s="171">
        <f t="shared" si="256"/>
        <v>0</v>
      </c>
      <c r="BR112" s="171">
        <f t="shared" si="256"/>
        <v>0</v>
      </c>
      <c r="BS112" s="171">
        <f t="shared" si="256"/>
        <v>0</v>
      </c>
      <c r="BT112" s="171">
        <f t="shared" si="256"/>
        <v>0</v>
      </c>
      <c r="BU112" s="171">
        <f t="shared" si="256"/>
        <v>798750</v>
      </c>
      <c r="BV112" s="171">
        <f t="shared" si="256"/>
        <v>1597500</v>
      </c>
      <c r="BW112" s="171">
        <f t="shared" si="256"/>
        <v>0</v>
      </c>
      <c r="BX112" s="171">
        <f t="shared" si="256"/>
        <v>798750</v>
      </c>
      <c r="BY112" s="171">
        <f t="shared" ref="BY112:EJ112" si="257">BY109+BY110-BY111</f>
        <v>1597500</v>
      </c>
      <c r="BZ112" s="171">
        <f t="shared" si="257"/>
        <v>0</v>
      </c>
      <c r="CA112" s="171">
        <f t="shared" si="257"/>
        <v>798750</v>
      </c>
      <c r="CB112" s="171">
        <f t="shared" si="257"/>
        <v>1597500</v>
      </c>
      <c r="CC112" s="171">
        <f t="shared" si="257"/>
        <v>0</v>
      </c>
      <c r="CD112" s="171">
        <f t="shared" si="257"/>
        <v>798750</v>
      </c>
      <c r="CE112" s="171">
        <f t="shared" si="257"/>
        <v>1597500</v>
      </c>
      <c r="CF112" s="171">
        <f t="shared" si="257"/>
        <v>0</v>
      </c>
      <c r="CG112" s="171">
        <f t="shared" si="257"/>
        <v>798750</v>
      </c>
      <c r="CH112" s="171">
        <f t="shared" si="257"/>
        <v>1597500</v>
      </c>
      <c r="CI112" s="171">
        <f t="shared" si="257"/>
        <v>0</v>
      </c>
      <c r="CJ112" s="171">
        <f t="shared" si="257"/>
        <v>798750</v>
      </c>
      <c r="CK112" s="171">
        <f t="shared" si="257"/>
        <v>1597500</v>
      </c>
      <c r="CL112" s="171">
        <f t="shared" si="257"/>
        <v>0</v>
      </c>
      <c r="CM112" s="171">
        <f t="shared" si="257"/>
        <v>798750</v>
      </c>
      <c r="CN112" s="171">
        <f t="shared" si="257"/>
        <v>1597500</v>
      </c>
      <c r="CO112" s="171">
        <f t="shared" si="257"/>
        <v>0</v>
      </c>
      <c r="CP112" s="171">
        <f t="shared" si="257"/>
        <v>798750</v>
      </c>
      <c r="CQ112" s="171">
        <f t="shared" si="257"/>
        <v>1597500</v>
      </c>
      <c r="CR112" s="171">
        <f t="shared" si="257"/>
        <v>0</v>
      </c>
      <c r="CS112" s="171">
        <f t="shared" si="257"/>
        <v>798750</v>
      </c>
      <c r="CT112" s="171">
        <f t="shared" si="257"/>
        <v>1597500</v>
      </c>
      <c r="CU112" s="171">
        <f t="shared" si="257"/>
        <v>0</v>
      </c>
      <c r="CV112" s="171">
        <f t="shared" si="257"/>
        <v>798750</v>
      </c>
      <c r="CW112" s="171">
        <f t="shared" si="257"/>
        <v>1597500</v>
      </c>
      <c r="CX112" s="171">
        <f t="shared" si="257"/>
        <v>0</v>
      </c>
      <c r="CY112" s="171">
        <f t="shared" si="257"/>
        <v>798750</v>
      </c>
      <c r="CZ112" s="171">
        <f t="shared" si="257"/>
        <v>1597500</v>
      </c>
      <c r="DA112" s="171">
        <f t="shared" si="257"/>
        <v>0</v>
      </c>
      <c r="DB112" s="171">
        <f t="shared" si="257"/>
        <v>798750</v>
      </c>
      <c r="DC112" s="171">
        <f t="shared" si="257"/>
        <v>1597500</v>
      </c>
      <c r="DD112" s="171">
        <f t="shared" si="257"/>
        <v>0</v>
      </c>
      <c r="DE112" s="171">
        <f t="shared" si="257"/>
        <v>798750</v>
      </c>
      <c r="DF112" s="171">
        <f t="shared" si="257"/>
        <v>1597500</v>
      </c>
      <c r="DG112" s="171">
        <f t="shared" si="257"/>
        <v>0</v>
      </c>
      <c r="DH112" s="171">
        <f t="shared" si="257"/>
        <v>798750</v>
      </c>
      <c r="DI112" s="171">
        <f t="shared" si="257"/>
        <v>1597500</v>
      </c>
      <c r="DJ112" s="171">
        <f t="shared" si="257"/>
        <v>0</v>
      </c>
      <c r="DK112" s="171">
        <f t="shared" si="257"/>
        <v>798750</v>
      </c>
      <c r="DL112" s="171">
        <f t="shared" si="257"/>
        <v>1597500</v>
      </c>
      <c r="DM112" s="171">
        <f t="shared" si="257"/>
        <v>0</v>
      </c>
      <c r="DN112" s="171">
        <f t="shared" si="257"/>
        <v>798750</v>
      </c>
      <c r="DO112" s="171">
        <f t="shared" si="257"/>
        <v>1597500</v>
      </c>
      <c r="DP112" s="171">
        <f t="shared" si="257"/>
        <v>0</v>
      </c>
      <c r="DQ112" s="171">
        <f t="shared" si="257"/>
        <v>798750</v>
      </c>
      <c r="DR112" s="171">
        <f t="shared" si="257"/>
        <v>1597500</v>
      </c>
      <c r="DS112" s="171">
        <f t="shared" si="257"/>
        <v>0</v>
      </c>
      <c r="DT112" s="171">
        <f t="shared" si="257"/>
        <v>798750</v>
      </c>
      <c r="DU112" s="171">
        <f t="shared" si="257"/>
        <v>1597500</v>
      </c>
      <c r="DV112" s="171">
        <f t="shared" si="257"/>
        <v>0</v>
      </c>
      <c r="DW112" s="171">
        <f t="shared" si="257"/>
        <v>798750</v>
      </c>
      <c r="DX112" s="171">
        <f t="shared" si="257"/>
        <v>1597500</v>
      </c>
      <c r="DY112" s="171">
        <f t="shared" si="257"/>
        <v>0</v>
      </c>
      <c r="DZ112" s="171">
        <f t="shared" si="257"/>
        <v>798750</v>
      </c>
      <c r="EA112" s="171">
        <f t="shared" si="257"/>
        <v>1597500</v>
      </c>
      <c r="EB112" s="171">
        <f t="shared" si="257"/>
        <v>0</v>
      </c>
      <c r="EC112" s="171">
        <f t="shared" si="257"/>
        <v>0</v>
      </c>
      <c r="ED112" s="1321">
        <f t="shared" si="257"/>
        <v>0</v>
      </c>
      <c r="EE112" s="171">
        <f t="shared" si="257"/>
        <v>0</v>
      </c>
      <c r="EF112" s="171">
        <f t="shared" si="257"/>
        <v>0</v>
      </c>
      <c r="EG112" s="171">
        <f t="shared" si="257"/>
        <v>0</v>
      </c>
      <c r="EH112" s="171">
        <f t="shared" si="257"/>
        <v>0</v>
      </c>
      <c r="EI112" s="171">
        <f t="shared" si="257"/>
        <v>0</v>
      </c>
      <c r="EJ112" s="171">
        <f t="shared" si="257"/>
        <v>0</v>
      </c>
      <c r="EK112" s="171">
        <f t="shared" ref="EK112:EQ112" si="258">EK109+EK110-EK111</f>
        <v>0</v>
      </c>
      <c r="EL112" s="171">
        <f t="shared" si="258"/>
        <v>0</v>
      </c>
      <c r="EM112" s="171">
        <f t="shared" si="258"/>
        <v>0</v>
      </c>
      <c r="EN112" s="171">
        <f t="shared" si="258"/>
        <v>0</v>
      </c>
      <c r="EO112" s="171">
        <f t="shared" si="258"/>
        <v>0</v>
      </c>
      <c r="EP112" s="171">
        <f t="shared" si="258"/>
        <v>0</v>
      </c>
      <c r="EQ112" s="171">
        <f t="shared" si="258"/>
        <v>0</v>
      </c>
    </row>
    <row r="113" spans="3:147" ht="11.25" customHeight="1">
      <c r="C113" s="158" t="str">
        <f>'A&amp;R'!L35</f>
        <v>중순위대출</v>
      </c>
      <c r="D113" s="159"/>
      <c r="E113" s="159"/>
      <c r="F113" s="159"/>
      <c r="G113" s="159"/>
      <c r="H113" s="160"/>
      <c r="I113" s="246"/>
      <c r="J113" s="161"/>
      <c r="K113" s="98"/>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162"/>
      <c r="AK113" s="162"/>
      <c r="AL113" s="162"/>
      <c r="AM113" s="162"/>
      <c r="AN113" s="162"/>
      <c r="AO113" s="162"/>
      <c r="AP113" s="162"/>
      <c r="AQ113" s="162"/>
      <c r="AR113" s="162"/>
      <c r="AS113" s="162"/>
      <c r="AT113" s="162"/>
      <c r="AU113" s="162"/>
      <c r="AV113" s="162"/>
      <c r="AW113" s="162"/>
      <c r="AX113" s="162"/>
      <c r="AY113" s="162"/>
      <c r="AZ113" s="162"/>
      <c r="BA113" s="162"/>
      <c r="BB113" s="162"/>
      <c r="BC113" s="162"/>
      <c r="BD113" s="162"/>
      <c r="BE113" s="162"/>
      <c r="BF113" s="162"/>
      <c r="BG113" s="162"/>
      <c r="BH113" s="162"/>
      <c r="BI113" s="162"/>
      <c r="BJ113" s="162"/>
      <c r="BK113" s="162"/>
      <c r="BL113" s="162"/>
      <c r="BM113" s="162"/>
      <c r="BN113" s="162"/>
      <c r="BO113" s="162"/>
      <c r="BP113" s="162"/>
      <c r="BQ113" s="162"/>
      <c r="BR113" s="162"/>
      <c r="BS113" s="162"/>
      <c r="BT113" s="162"/>
      <c r="BU113" s="162"/>
      <c r="BV113" s="162"/>
      <c r="BW113" s="162"/>
      <c r="BX113" s="162"/>
      <c r="BY113" s="162"/>
      <c r="BZ113" s="162"/>
      <c r="CA113" s="162"/>
      <c r="CB113" s="162"/>
      <c r="CC113" s="162"/>
      <c r="CD113" s="162"/>
      <c r="CE113" s="162"/>
      <c r="CF113" s="162"/>
      <c r="CG113" s="162"/>
      <c r="CH113" s="162"/>
      <c r="CI113" s="162"/>
      <c r="CJ113" s="162"/>
      <c r="CK113" s="162"/>
      <c r="CL113" s="162"/>
      <c r="CM113" s="162"/>
      <c r="CN113" s="162"/>
      <c r="CO113" s="162"/>
      <c r="CP113" s="162"/>
      <c r="CQ113" s="162"/>
      <c r="CR113" s="162"/>
      <c r="CS113" s="162"/>
      <c r="CT113" s="162"/>
      <c r="CU113" s="162"/>
      <c r="CV113" s="162"/>
      <c r="CW113" s="162"/>
      <c r="CX113" s="162"/>
      <c r="CY113" s="162"/>
      <c r="CZ113" s="162"/>
      <c r="DA113" s="162"/>
      <c r="DB113" s="162"/>
      <c r="DC113" s="162"/>
      <c r="DD113" s="162"/>
      <c r="DE113" s="162"/>
      <c r="DF113" s="162"/>
      <c r="DG113" s="162"/>
      <c r="DH113" s="162"/>
      <c r="DI113" s="162"/>
      <c r="DJ113" s="162"/>
      <c r="DK113" s="162"/>
      <c r="DL113" s="162"/>
      <c r="DM113" s="162"/>
      <c r="DN113" s="162"/>
      <c r="DO113" s="162"/>
      <c r="DP113" s="162"/>
      <c r="DQ113" s="162"/>
      <c r="DR113" s="162"/>
      <c r="DS113" s="162"/>
      <c r="DT113" s="162"/>
      <c r="DU113" s="162"/>
      <c r="DV113" s="162"/>
      <c r="DW113" s="162"/>
      <c r="DX113" s="162"/>
      <c r="DY113" s="162"/>
      <c r="DZ113" s="162"/>
      <c r="EA113" s="162"/>
      <c r="EB113" s="162"/>
      <c r="EC113" s="162"/>
      <c r="ED113" s="1319"/>
      <c r="EE113" s="162"/>
      <c r="EF113" s="162"/>
      <c r="EG113" s="162"/>
      <c r="EH113" s="162"/>
      <c r="EI113" s="162"/>
      <c r="EJ113" s="162"/>
      <c r="EK113" s="162"/>
      <c r="EL113" s="162"/>
      <c r="EM113" s="162"/>
      <c r="EN113" s="162"/>
      <c r="EO113" s="162"/>
      <c r="EP113" s="162"/>
      <c r="EQ113" s="162"/>
    </row>
    <row r="114" spans="3:147" ht="11.25" customHeight="1">
      <c r="C114" s="163"/>
      <c r="D114" s="164" t="s">
        <v>230</v>
      </c>
      <c r="E114" s="165"/>
      <c r="F114" s="165"/>
      <c r="G114" s="165"/>
      <c r="H114" s="166"/>
      <c r="I114" s="247"/>
      <c r="J114" s="167"/>
      <c r="K114" s="98"/>
      <c r="L114" s="168">
        <f t="shared" ref="L114:AQ114" si="259">K117</f>
        <v>0</v>
      </c>
      <c r="M114" s="168">
        <f t="shared" si="259"/>
        <v>0</v>
      </c>
      <c r="N114" s="168">
        <f t="shared" si="259"/>
        <v>190000</v>
      </c>
      <c r="O114" s="168">
        <f t="shared" si="259"/>
        <v>380000</v>
      </c>
      <c r="P114" s="168">
        <f t="shared" si="259"/>
        <v>0</v>
      </c>
      <c r="Q114" s="168">
        <f t="shared" si="259"/>
        <v>190000</v>
      </c>
      <c r="R114" s="168">
        <f t="shared" si="259"/>
        <v>380000</v>
      </c>
      <c r="S114" s="168">
        <f t="shared" si="259"/>
        <v>0</v>
      </c>
      <c r="T114" s="168">
        <f t="shared" si="259"/>
        <v>190000</v>
      </c>
      <c r="U114" s="168">
        <f t="shared" si="259"/>
        <v>380000</v>
      </c>
      <c r="V114" s="168">
        <f t="shared" si="259"/>
        <v>0</v>
      </c>
      <c r="W114" s="168">
        <f t="shared" si="259"/>
        <v>190000</v>
      </c>
      <c r="X114" s="168">
        <f t="shared" si="259"/>
        <v>380000</v>
      </c>
      <c r="Y114" s="168">
        <f t="shared" si="259"/>
        <v>0</v>
      </c>
      <c r="Z114" s="168">
        <f t="shared" si="259"/>
        <v>190000</v>
      </c>
      <c r="AA114" s="168">
        <f t="shared" si="259"/>
        <v>380000</v>
      </c>
      <c r="AB114" s="168">
        <f t="shared" si="259"/>
        <v>0</v>
      </c>
      <c r="AC114" s="168">
        <f t="shared" si="259"/>
        <v>190000</v>
      </c>
      <c r="AD114" s="168">
        <f t="shared" si="259"/>
        <v>380000</v>
      </c>
      <c r="AE114" s="168">
        <f t="shared" si="259"/>
        <v>0</v>
      </c>
      <c r="AF114" s="168">
        <f t="shared" si="259"/>
        <v>190000</v>
      </c>
      <c r="AG114" s="168">
        <f t="shared" si="259"/>
        <v>380000</v>
      </c>
      <c r="AH114" s="168">
        <f t="shared" si="259"/>
        <v>0</v>
      </c>
      <c r="AI114" s="168">
        <f t="shared" si="259"/>
        <v>190000</v>
      </c>
      <c r="AJ114" s="168">
        <f t="shared" si="259"/>
        <v>380000</v>
      </c>
      <c r="AK114" s="168">
        <f t="shared" si="259"/>
        <v>0</v>
      </c>
      <c r="AL114" s="168">
        <f t="shared" si="259"/>
        <v>0</v>
      </c>
      <c r="AM114" s="168">
        <f t="shared" si="259"/>
        <v>0</v>
      </c>
      <c r="AN114" s="168">
        <f t="shared" si="259"/>
        <v>0</v>
      </c>
      <c r="AO114" s="168">
        <f t="shared" si="259"/>
        <v>0</v>
      </c>
      <c r="AP114" s="168">
        <f t="shared" si="259"/>
        <v>0</v>
      </c>
      <c r="AQ114" s="168">
        <f t="shared" si="259"/>
        <v>0</v>
      </c>
      <c r="AR114" s="168">
        <f t="shared" ref="AR114:BW114" si="260">AQ117</f>
        <v>0</v>
      </c>
      <c r="AS114" s="168">
        <f t="shared" si="260"/>
        <v>0</v>
      </c>
      <c r="AT114" s="168">
        <f t="shared" si="260"/>
        <v>0</v>
      </c>
      <c r="AU114" s="168">
        <f t="shared" si="260"/>
        <v>0</v>
      </c>
      <c r="AV114" s="168">
        <f t="shared" si="260"/>
        <v>0</v>
      </c>
      <c r="AW114" s="168">
        <f t="shared" si="260"/>
        <v>0</v>
      </c>
      <c r="AX114" s="168">
        <f t="shared" si="260"/>
        <v>0</v>
      </c>
      <c r="AY114" s="168">
        <f t="shared" si="260"/>
        <v>0</v>
      </c>
      <c r="AZ114" s="168">
        <f t="shared" si="260"/>
        <v>0</v>
      </c>
      <c r="BA114" s="168">
        <f t="shared" si="260"/>
        <v>0</v>
      </c>
      <c r="BB114" s="168">
        <f t="shared" si="260"/>
        <v>0</v>
      </c>
      <c r="BC114" s="168">
        <f t="shared" si="260"/>
        <v>0</v>
      </c>
      <c r="BD114" s="168">
        <f t="shared" si="260"/>
        <v>0</v>
      </c>
      <c r="BE114" s="168">
        <f t="shared" si="260"/>
        <v>0</v>
      </c>
      <c r="BF114" s="168">
        <f t="shared" si="260"/>
        <v>0</v>
      </c>
      <c r="BG114" s="168">
        <f t="shared" si="260"/>
        <v>0</v>
      </c>
      <c r="BH114" s="168">
        <f t="shared" si="260"/>
        <v>0</v>
      </c>
      <c r="BI114" s="168">
        <f t="shared" si="260"/>
        <v>0</v>
      </c>
      <c r="BJ114" s="168">
        <f t="shared" si="260"/>
        <v>0</v>
      </c>
      <c r="BK114" s="168">
        <f t="shared" si="260"/>
        <v>0</v>
      </c>
      <c r="BL114" s="168">
        <f t="shared" si="260"/>
        <v>0</v>
      </c>
      <c r="BM114" s="168">
        <f t="shared" si="260"/>
        <v>0</v>
      </c>
      <c r="BN114" s="168">
        <f t="shared" si="260"/>
        <v>0</v>
      </c>
      <c r="BO114" s="168">
        <f t="shared" si="260"/>
        <v>0</v>
      </c>
      <c r="BP114" s="168">
        <f t="shared" si="260"/>
        <v>0</v>
      </c>
      <c r="BQ114" s="168">
        <f t="shared" si="260"/>
        <v>0</v>
      </c>
      <c r="BR114" s="168">
        <f t="shared" si="260"/>
        <v>0</v>
      </c>
      <c r="BS114" s="168">
        <f t="shared" si="260"/>
        <v>0</v>
      </c>
      <c r="BT114" s="168">
        <f t="shared" si="260"/>
        <v>0</v>
      </c>
      <c r="BU114" s="168">
        <f t="shared" si="260"/>
        <v>0</v>
      </c>
      <c r="BV114" s="168">
        <f t="shared" si="260"/>
        <v>0</v>
      </c>
      <c r="BW114" s="168">
        <f t="shared" si="260"/>
        <v>0</v>
      </c>
      <c r="BX114" s="168">
        <f t="shared" ref="BX114:DC114" si="261">BW117</f>
        <v>0</v>
      </c>
      <c r="BY114" s="168">
        <f t="shared" si="261"/>
        <v>0</v>
      </c>
      <c r="BZ114" s="168">
        <f t="shared" si="261"/>
        <v>0</v>
      </c>
      <c r="CA114" s="168">
        <f t="shared" si="261"/>
        <v>0</v>
      </c>
      <c r="CB114" s="168">
        <f t="shared" si="261"/>
        <v>0</v>
      </c>
      <c r="CC114" s="168">
        <f t="shared" si="261"/>
        <v>0</v>
      </c>
      <c r="CD114" s="168">
        <f t="shared" si="261"/>
        <v>0</v>
      </c>
      <c r="CE114" s="168">
        <f t="shared" si="261"/>
        <v>0</v>
      </c>
      <c r="CF114" s="168">
        <f t="shared" si="261"/>
        <v>0</v>
      </c>
      <c r="CG114" s="168">
        <f t="shared" si="261"/>
        <v>0</v>
      </c>
      <c r="CH114" s="168">
        <f t="shared" si="261"/>
        <v>0</v>
      </c>
      <c r="CI114" s="168">
        <f t="shared" si="261"/>
        <v>0</v>
      </c>
      <c r="CJ114" s="168">
        <f t="shared" si="261"/>
        <v>0</v>
      </c>
      <c r="CK114" s="168">
        <f t="shared" si="261"/>
        <v>0</v>
      </c>
      <c r="CL114" s="168">
        <f t="shared" si="261"/>
        <v>0</v>
      </c>
      <c r="CM114" s="168">
        <f t="shared" si="261"/>
        <v>0</v>
      </c>
      <c r="CN114" s="168">
        <f t="shared" si="261"/>
        <v>0</v>
      </c>
      <c r="CO114" s="168">
        <f t="shared" si="261"/>
        <v>0</v>
      </c>
      <c r="CP114" s="168">
        <f t="shared" si="261"/>
        <v>0</v>
      </c>
      <c r="CQ114" s="168">
        <f t="shared" si="261"/>
        <v>0</v>
      </c>
      <c r="CR114" s="168">
        <f t="shared" si="261"/>
        <v>0</v>
      </c>
      <c r="CS114" s="168">
        <f t="shared" si="261"/>
        <v>0</v>
      </c>
      <c r="CT114" s="168">
        <f t="shared" si="261"/>
        <v>0</v>
      </c>
      <c r="CU114" s="168">
        <f t="shared" si="261"/>
        <v>0</v>
      </c>
      <c r="CV114" s="168">
        <f t="shared" si="261"/>
        <v>0</v>
      </c>
      <c r="CW114" s="168">
        <f t="shared" si="261"/>
        <v>0</v>
      </c>
      <c r="CX114" s="168">
        <f t="shared" si="261"/>
        <v>0</v>
      </c>
      <c r="CY114" s="168">
        <f t="shared" si="261"/>
        <v>0</v>
      </c>
      <c r="CZ114" s="168">
        <f t="shared" si="261"/>
        <v>0</v>
      </c>
      <c r="DA114" s="168">
        <f t="shared" si="261"/>
        <v>0</v>
      </c>
      <c r="DB114" s="168">
        <f t="shared" si="261"/>
        <v>0</v>
      </c>
      <c r="DC114" s="168">
        <f t="shared" si="261"/>
        <v>0</v>
      </c>
      <c r="DD114" s="168">
        <f t="shared" ref="DD114:EI114" si="262">DC117</f>
        <v>0</v>
      </c>
      <c r="DE114" s="168">
        <f t="shared" si="262"/>
        <v>0</v>
      </c>
      <c r="DF114" s="168">
        <f t="shared" si="262"/>
        <v>0</v>
      </c>
      <c r="DG114" s="168">
        <f t="shared" si="262"/>
        <v>0</v>
      </c>
      <c r="DH114" s="168">
        <f t="shared" si="262"/>
        <v>0</v>
      </c>
      <c r="DI114" s="168">
        <f t="shared" si="262"/>
        <v>0</v>
      </c>
      <c r="DJ114" s="168">
        <f t="shared" si="262"/>
        <v>0</v>
      </c>
      <c r="DK114" s="168">
        <f t="shared" si="262"/>
        <v>0</v>
      </c>
      <c r="DL114" s="168">
        <f t="shared" si="262"/>
        <v>0</v>
      </c>
      <c r="DM114" s="168">
        <f t="shared" si="262"/>
        <v>0</v>
      </c>
      <c r="DN114" s="168">
        <f t="shared" si="262"/>
        <v>0</v>
      </c>
      <c r="DO114" s="168">
        <f t="shared" si="262"/>
        <v>0</v>
      </c>
      <c r="DP114" s="168">
        <f t="shared" si="262"/>
        <v>0</v>
      </c>
      <c r="DQ114" s="168">
        <f t="shared" si="262"/>
        <v>0</v>
      </c>
      <c r="DR114" s="168">
        <f t="shared" si="262"/>
        <v>0</v>
      </c>
      <c r="DS114" s="168">
        <f t="shared" si="262"/>
        <v>0</v>
      </c>
      <c r="DT114" s="168">
        <f t="shared" si="262"/>
        <v>0</v>
      </c>
      <c r="DU114" s="168">
        <f t="shared" si="262"/>
        <v>0</v>
      </c>
      <c r="DV114" s="168">
        <f t="shared" si="262"/>
        <v>0</v>
      </c>
      <c r="DW114" s="168">
        <f t="shared" si="262"/>
        <v>0</v>
      </c>
      <c r="DX114" s="168">
        <f t="shared" si="262"/>
        <v>0</v>
      </c>
      <c r="DY114" s="168">
        <f t="shared" si="262"/>
        <v>0</v>
      </c>
      <c r="DZ114" s="168">
        <f t="shared" si="262"/>
        <v>0</v>
      </c>
      <c r="EA114" s="168">
        <f t="shared" si="262"/>
        <v>0</v>
      </c>
      <c r="EB114" s="168">
        <f t="shared" si="262"/>
        <v>0</v>
      </c>
      <c r="EC114" s="168">
        <f t="shared" si="262"/>
        <v>0</v>
      </c>
      <c r="ED114" s="1320">
        <f t="shared" si="262"/>
        <v>0</v>
      </c>
      <c r="EE114" s="168">
        <f t="shared" si="262"/>
        <v>0</v>
      </c>
      <c r="EF114" s="168">
        <f t="shared" si="262"/>
        <v>0</v>
      </c>
      <c r="EG114" s="168">
        <f t="shared" si="262"/>
        <v>0</v>
      </c>
      <c r="EH114" s="168">
        <f t="shared" si="262"/>
        <v>0</v>
      </c>
      <c r="EI114" s="168">
        <f t="shared" si="262"/>
        <v>0</v>
      </c>
      <c r="EJ114" s="168">
        <f t="shared" ref="EJ114:EQ114" si="263">EI117</f>
        <v>0</v>
      </c>
      <c r="EK114" s="168">
        <f t="shared" si="263"/>
        <v>0</v>
      </c>
      <c r="EL114" s="168">
        <f t="shared" si="263"/>
        <v>0</v>
      </c>
      <c r="EM114" s="168">
        <f t="shared" si="263"/>
        <v>0</v>
      </c>
      <c r="EN114" s="168">
        <f t="shared" si="263"/>
        <v>0</v>
      </c>
      <c r="EO114" s="168">
        <f t="shared" si="263"/>
        <v>0</v>
      </c>
      <c r="EP114" s="168">
        <f t="shared" si="263"/>
        <v>0</v>
      </c>
      <c r="EQ114" s="168">
        <f t="shared" si="263"/>
        <v>0</v>
      </c>
    </row>
    <row r="115" spans="3:147" ht="11.25" customHeight="1">
      <c r="C115" s="163"/>
      <c r="D115" s="169" t="s">
        <v>231</v>
      </c>
      <c r="H115" s="146">
        <f>'A&amp;R'!M35</f>
        <v>46326</v>
      </c>
      <c r="I115" s="65">
        <f>'A&amp;R'!Q35</f>
        <v>0.06</v>
      </c>
      <c r="J115" s="170">
        <f>SUM(L115:EQ115)</f>
        <v>4560000</v>
      </c>
      <c r="K115" s="98"/>
      <c r="L115" s="171">
        <f>L36*$I115/12</f>
        <v>0</v>
      </c>
      <c r="M115" s="171">
        <f t="shared" ref="M115:BX115" si="264">M36*$I115/12</f>
        <v>190000</v>
      </c>
      <c r="N115" s="171">
        <f t="shared" si="264"/>
        <v>190000</v>
      </c>
      <c r="O115" s="171">
        <f t="shared" si="264"/>
        <v>190000</v>
      </c>
      <c r="P115" s="171">
        <f t="shared" si="264"/>
        <v>190000</v>
      </c>
      <c r="Q115" s="171">
        <f t="shared" si="264"/>
        <v>190000</v>
      </c>
      <c r="R115" s="171">
        <f t="shared" si="264"/>
        <v>190000</v>
      </c>
      <c r="S115" s="171">
        <f t="shared" si="264"/>
        <v>190000</v>
      </c>
      <c r="T115" s="171">
        <f t="shared" si="264"/>
        <v>190000</v>
      </c>
      <c r="U115" s="171">
        <f t="shared" si="264"/>
        <v>190000</v>
      </c>
      <c r="V115" s="171">
        <f t="shared" si="264"/>
        <v>190000</v>
      </c>
      <c r="W115" s="171">
        <f t="shared" si="264"/>
        <v>190000</v>
      </c>
      <c r="X115" s="171">
        <f t="shared" si="264"/>
        <v>190000</v>
      </c>
      <c r="Y115" s="171">
        <f t="shared" si="264"/>
        <v>190000</v>
      </c>
      <c r="Z115" s="171">
        <f t="shared" si="264"/>
        <v>190000</v>
      </c>
      <c r="AA115" s="171">
        <f t="shared" si="264"/>
        <v>190000</v>
      </c>
      <c r="AB115" s="171">
        <f t="shared" si="264"/>
        <v>190000</v>
      </c>
      <c r="AC115" s="171">
        <f t="shared" si="264"/>
        <v>190000</v>
      </c>
      <c r="AD115" s="171">
        <f t="shared" si="264"/>
        <v>190000</v>
      </c>
      <c r="AE115" s="171">
        <f t="shared" si="264"/>
        <v>190000</v>
      </c>
      <c r="AF115" s="171">
        <f t="shared" si="264"/>
        <v>190000</v>
      </c>
      <c r="AG115" s="171">
        <f t="shared" si="264"/>
        <v>190000</v>
      </c>
      <c r="AH115" s="171">
        <f t="shared" si="264"/>
        <v>190000</v>
      </c>
      <c r="AI115" s="171">
        <f t="shared" si="264"/>
        <v>190000</v>
      </c>
      <c r="AJ115" s="171">
        <f t="shared" si="264"/>
        <v>190000</v>
      </c>
      <c r="AK115" s="171">
        <f t="shared" si="264"/>
        <v>0</v>
      </c>
      <c r="AL115" s="171">
        <f t="shared" si="264"/>
        <v>0</v>
      </c>
      <c r="AM115" s="171">
        <f t="shared" si="264"/>
        <v>0</v>
      </c>
      <c r="AN115" s="171">
        <f t="shared" si="264"/>
        <v>0</v>
      </c>
      <c r="AO115" s="171">
        <f t="shared" si="264"/>
        <v>0</v>
      </c>
      <c r="AP115" s="171">
        <f t="shared" si="264"/>
        <v>0</v>
      </c>
      <c r="AQ115" s="171">
        <f t="shared" si="264"/>
        <v>0</v>
      </c>
      <c r="AR115" s="171">
        <f t="shared" si="264"/>
        <v>0</v>
      </c>
      <c r="AS115" s="171">
        <f t="shared" si="264"/>
        <v>0</v>
      </c>
      <c r="AT115" s="171">
        <f t="shared" si="264"/>
        <v>0</v>
      </c>
      <c r="AU115" s="171">
        <f t="shared" si="264"/>
        <v>0</v>
      </c>
      <c r="AV115" s="171">
        <f t="shared" si="264"/>
        <v>0</v>
      </c>
      <c r="AW115" s="171">
        <f t="shared" si="264"/>
        <v>0</v>
      </c>
      <c r="AX115" s="171">
        <f t="shared" si="264"/>
        <v>0</v>
      </c>
      <c r="AY115" s="171">
        <f t="shared" si="264"/>
        <v>0</v>
      </c>
      <c r="AZ115" s="171">
        <f t="shared" si="264"/>
        <v>0</v>
      </c>
      <c r="BA115" s="171">
        <f t="shared" si="264"/>
        <v>0</v>
      </c>
      <c r="BB115" s="171">
        <f t="shared" si="264"/>
        <v>0</v>
      </c>
      <c r="BC115" s="171">
        <f t="shared" si="264"/>
        <v>0</v>
      </c>
      <c r="BD115" s="171">
        <f t="shared" si="264"/>
        <v>0</v>
      </c>
      <c r="BE115" s="171">
        <f t="shared" si="264"/>
        <v>0</v>
      </c>
      <c r="BF115" s="171">
        <f t="shared" si="264"/>
        <v>0</v>
      </c>
      <c r="BG115" s="171">
        <f t="shared" si="264"/>
        <v>0</v>
      </c>
      <c r="BH115" s="171">
        <f t="shared" si="264"/>
        <v>0</v>
      </c>
      <c r="BI115" s="171">
        <f t="shared" si="264"/>
        <v>0</v>
      </c>
      <c r="BJ115" s="171">
        <f t="shared" si="264"/>
        <v>0</v>
      </c>
      <c r="BK115" s="171">
        <f t="shared" si="264"/>
        <v>0</v>
      </c>
      <c r="BL115" s="171">
        <f t="shared" si="264"/>
        <v>0</v>
      </c>
      <c r="BM115" s="171">
        <f t="shared" si="264"/>
        <v>0</v>
      </c>
      <c r="BN115" s="171">
        <f t="shared" si="264"/>
        <v>0</v>
      </c>
      <c r="BO115" s="171">
        <f t="shared" si="264"/>
        <v>0</v>
      </c>
      <c r="BP115" s="171">
        <f t="shared" si="264"/>
        <v>0</v>
      </c>
      <c r="BQ115" s="171">
        <f t="shared" si="264"/>
        <v>0</v>
      </c>
      <c r="BR115" s="171">
        <f t="shared" si="264"/>
        <v>0</v>
      </c>
      <c r="BS115" s="171">
        <f t="shared" si="264"/>
        <v>0</v>
      </c>
      <c r="BT115" s="171">
        <f t="shared" si="264"/>
        <v>0</v>
      </c>
      <c r="BU115" s="171">
        <f t="shared" si="264"/>
        <v>0</v>
      </c>
      <c r="BV115" s="171">
        <f t="shared" si="264"/>
        <v>0</v>
      </c>
      <c r="BW115" s="171">
        <f t="shared" si="264"/>
        <v>0</v>
      </c>
      <c r="BX115" s="171">
        <f t="shared" si="264"/>
        <v>0</v>
      </c>
      <c r="BY115" s="171">
        <f t="shared" ref="BY115:EJ115" si="265">BY36*$I115/12</f>
        <v>0</v>
      </c>
      <c r="BZ115" s="171">
        <f t="shared" si="265"/>
        <v>0</v>
      </c>
      <c r="CA115" s="171">
        <f t="shared" si="265"/>
        <v>0</v>
      </c>
      <c r="CB115" s="171">
        <f t="shared" si="265"/>
        <v>0</v>
      </c>
      <c r="CC115" s="171">
        <f t="shared" si="265"/>
        <v>0</v>
      </c>
      <c r="CD115" s="171">
        <f t="shared" si="265"/>
        <v>0</v>
      </c>
      <c r="CE115" s="171">
        <f t="shared" si="265"/>
        <v>0</v>
      </c>
      <c r="CF115" s="171">
        <f t="shared" si="265"/>
        <v>0</v>
      </c>
      <c r="CG115" s="171">
        <f t="shared" si="265"/>
        <v>0</v>
      </c>
      <c r="CH115" s="171">
        <f t="shared" si="265"/>
        <v>0</v>
      </c>
      <c r="CI115" s="171">
        <f t="shared" si="265"/>
        <v>0</v>
      </c>
      <c r="CJ115" s="171">
        <f t="shared" si="265"/>
        <v>0</v>
      </c>
      <c r="CK115" s="171">
        <f t="shared" si="265"/>
        <v>0</v>
      </c>
      <c r="CL115" s="171">
        <f t="shared" si="265"/>
        <v>0</v>
      </c>
      <c r="CM115" s="171">
        <f t="shared" si="265"/>
        <v>0</v>
      </c>
      <c r="CN115" s="171">
        <f t="shared" si="265"/>
        <v>0</v>
      </c>
      <c r="CO115" s="171">
        <f t="shared" si="265"/>
        <v>0</v>
      </c>
      <c r="CP115" s="171">
        <f t="shared" si="265"/>
        <v>0</v>
      </c>
      <c r="CQ115" s="171">
        <f t="shared" si="265"/>
        <v>0</v>
      </c>
      <c r="CR115" s="171">
        <f t="shared" si="265"/>
        <v>0</v>
      </c>
      <c r="CS115" s="171">
        <f t="shared" si="265"/>
        <v>0</v>
      </c>
      <c r="CT115" s="171">
        <f t="shared" si="265"/>
        <v>0</v>
      </c>
      <c r="CU115" s="171">
        <f t="shared" si="265"/>
        <v>0</v>
      </c>
      <c r="CV115" s="171">
        <f t="shared" si="265"/>
        <v>0</v>
      </c>
      <c r="CW115" s="171">
        <f t="shared" si="265"/>
        <v>0</v>
      </c>
      <c r="CX115" s="171">
        <f t="shared" si="265"/>
        <v>0</v>
      </c>
      <c r="CY115" s="171">
        <f t="shared" si="265"/>
        <v>0</v>
      </c>
      <c r="CZ115" s="171">
        <f t="shared" si="265"/>
        <v>0</v>
      </c>
      <c r="DA115" s="171">
        <f t="shared" si="265"/>
        <v>0</v>
      </c>
      <c r="DB115" s="171">
        <f t="shared" si="265"/>
        <v>0</v>
      </c>
      <c r="DC115" s="171">
        <f t="shared" si="265"/>
        <v>0</v>
      </c>
      <c r="DD115" s="171">
        <f t="shared" si="265"/>
        <v>0</v>
      </c>
      <c r="DE115" s="171">
        <f t="shared" si="265"/>
        <v>0</v>
      </c>
      <c r="DF115" s="171">
        <f t="shared" si="265"/>
        <v>0</v>
      </c>
      <c r="DG115" s="171">
        <f t="shared" si="265"/>
        <v>0</v>
      </c>
      <c r="DH115" s="171">
        <f t="shared" si="265"/>
        <v>0</v>
      </c>
      <c r="DI115" s="171">
        <f t="shared" si="265"/>
        <v>0</v>
      </c>
      <c r="DJ115" s="171">
        <f t="shared" si="265"/>
        <v>0</v>
      </c>
      <c r="DK115" s="171">
        <f t="shared" si="265"/>
        <v>0</v>
      </c>
      <c r="DL115" s="171">
        <f t="shared" si="265"/>
        <v>0</v>
      </c>
      <c r="DM115" s="171">
        <f t="shared" si="265"/>
        <v>0</v>
      </c>
      <c r="DN115" s="171">
        <f t="shared" si="265"/>
        <v>0</v>
      </c>
      <c r="DO115" s="171">
        <f t="shared" si="265"/>
        <v>0</v>
      </c>
      <c r="DP115" s="171">
        <f t="shared" si="265"/>
        <v>0</v>
      </c>
      <c r="DQ115" s="171">
        <f t="shared" si="265"/>
        <v>0</v>
      </c>
      <c r="DR115" s="171">
        <f t="shared" si="265"/>
        <v>0</v>
      </c>
      <c r="DS115" s="171">
        <f t="shared" si="265"/>
        <v>0</v>
      </c>
      <c r="DT115" s="171">
        <f t="shared" si="265"/>
        <v>0</v>
      </c>
      <c r="DU115" s="171">
        <f t="shared" si="265"/>
        <v>0</v>
      </c>
      <c r="DV115" s="171">
        <f t="shared" si="265"/>
        <v>0</v>
      </c>
      <c r="DW115" s="171">
        <f t="shared" si="265"/>
        <v>0</v>
      </c>
      <c r="DX115" s="171">
        <f t="shared" si="265"/>
        <v>0</v>
      </c>
      <c r="DY115" s="171">
        <f t="shared" si="265"/>
        <v>0</v>
      </c>
      <c r="DZ115" s="171">
        <f t="shared" si="265"/>
        <v>0</v>
      </c>
      <c r="EA115" s="171">
        <f t="shared" si="265"/>
        <v>0</v>
      </c>
      <c r="EB115" s="171">
        <f t="shared" si="265"/>
        <v>0</v>
      </c>
      <c r="EC115" s="171">
        <f t="shared" si="265"/>
        <v>0</v>
      </c>
      <c r="ED115" s="1321">
        <f t="shared" si="265"/>
        <v>0</v>
      </c>
      <c r="EE115" s="171">
        <f t="shared" si="265"/>
        <v>0</v>
      </c>
      <c r="EF115" s="171">
        <f t="shared" si="265"/>
        <v>0</v>
      </c>
      <c r="EG115" s="171">
        <f t="shared" si="265"/>
        <v>0</v>
      </c>
      <c r="EH115" s="171">
        <f t="shared" si="265"/>
        <v>0</v>
      </c>
      <c r="EI115" s="171">
        <f t="shared" si="265"/>
        <v>0</v>
      </c>
      <c r="EJ115" s="171">
        <f t="shared" si="265"/>
        <v>0</v>
      </c>
      <c r="EK115" s="171">
        <f t="shared" ref="EK115:EQ115" si="266">EK36*$I115/12</f>
        <v>0</v>
      </c>
      <c r="EL115" s="171">
        <f t="shared" si="266"/>
        <v>0</v>
      </c>
      <c r="EM115" s="171">
        <f t="shared" si="266"/>
        <v>0</v>
      </c>
      <c r="EN115" s="171">
        <f t="shared" si="266"/>
        <v>0</v>
      </c>
      <c r="EO115" s="171">
        <f t="shared" si="266"/>
        <v>0</v>
      </c>
      <c r="EP115" s="171">
        <f t="shared" si="266"/>
        <v>0</v>
      </c>
      <c r="EQ115" s="171">
        <f t="shared" si="266"/>
        <v>0</v>
      </c>
    </row>
    <row r="116" spans="3:147" ht="11.25" customHeight="1">
      <c r="C116" s="163"/>
      <c r="D116" s="169" t="s">
        <v>232</v>
      </c>
      <c r="H116" s="146">
        <f>'A&amp;R'!N35</f>
        <v>47057</v>
      </c>
      <c r="I116" s="1646">
        <v>3</v>
      </c>
      <c r="J116" s="170">
        <f>SUM(L116:EQ116)</f>
        <v>4560000</v>
      </c>
      <c r="K116" s="98"/>
      <c r="L116" s="171">
        <f t="shared" ref="L116:AQ116" si="267">(MOD(IFERROR(DATEDIF($H115-1,L$97+1,"m"),),$I$101)=0)*1*(L$97&gt;$H115)*(L$97&lt;=$H116)*SUM(L114:L115)</f>
        <v>0</v>
      </c>
      <c r="M116" s="171">
        <f t="shared" si="267"/>
        <v>0</v>
      </c>
      <c r="N116" s="171">
        <f t="shared" si="267"/>
        <v>0</v>
      </c>
      <c r="O116" s="171">
        <f t="shared" si="267"/>
        <v>570000</v>
      </c>
      <c r="P116" s="171">
        <f t="shared" si="267"/>
        <v>0</v>
      </c>
      <c r="Q116" s="171">
        <f t="shared" si="267"/>
        <v>0</v>
      </c>
      <c r="R116" s="171">
        <f t="shared" si="267"/>
        <v>570000</v>
      </c>
      <c r="S116" s="171">
        <f t="shared" si="267"/>
        <v>0</v>
      </c>
      <c r="T116" s="171">
        <f t="shared" si="267"/>
        <v>0</v>
      </c>
      <c r="U116" s="171">
        <f t="shared" si="267"/>
        <v>570000</v>
      </c>
      <c r="V116" s="171">
        <f t="shared" si="267"/>
        <v>0</v>
      </c>
      <c r="W116" s="171">
        <f t="shared" si="267"/>
        <v>0</v>
      </c>
      <c r="X116" s="171">
        <f t="shared" si="267"/>
        <v>570000</v>
      </c>
      <c r="Y116" s="171">
        <f t="shared" si="267"/>
        <v>0</v>
      </c>
      <c r="Z116" s="171">
        <f t="shared" si="267"/>
        <v>0</v>
      </c>
      <c r="AA116" s="171">
        <f t="shared" si="267"/>
        <v>570000</v>
      </c>
      <c r="AB116" s="171">
        <f t="shared" si="267"/>
        <v>0</v>
      </c>
      <c r="AC116" s="171">
        <f t="shared" si="267"/>
        <v>0</v>
      </c>
      <c r="AD116" s="171">
        <f t="shared" si="267"/>
        <v>570000</v>
      </c>
      <c r="AE116" s="171">
        <f t="shared" si="267"/>
        <v>0</v>
      </c>
      <c r="AF116" s="171">
        <f t="shared" si="267"/>
        <v>0</v>
      </c>
      <c r="AG116" s="171">
        <f t="shared" si="267"/>
        <v>570000</v>
      </c>
      <c r="AH116" s="171">
        <f t="shared" si="267"/>
        <v>0</v>
      </c>
      <c r="AI116" s="171">
        <f t="shared" si="267"/>
        <v>0</v>
      </c>
      <c r="AJ116" s="171">
        <f t="shared" si="267"/>
        <v>570000</v>
      </c>
      <c r="AK116" s="171">
        <f t="shared" si="267"/>
        <v>0</v>
      </c>
      <c r="AL116" s="171">
        <f t="shared" si="267"/>
        <v>0</v>
      </c>
      <c r="AM116" s="171">
        <f t="shared" si="267"/>
        <v>0</v>
      </c>
      <c r="AN116" s="171">
        <f t="shared" si="267"/>
        <v>0</v>
      </c>
      <c r="AO116" s="171">
        <f t="shared" si="267"/>
        <v>0</v>
      </c>
      <c r="AP116" s="171">
        <f t="shared" si="267"/>
        <v>0</v>
      </c>
      <c r="AQ116" s="171">
        <f t="shared" si="267"/>
        <v>0</v>
      </c>
      <c r="AR116" s="171">
        <f t="shared" ref="AR116:BW116" si="268">(MOD(IFERROR(DATEDIF($H115-1,AR$97+1,"m"),),$I$101)=0)*1*(AR$97&gt;$H115)*(AR$97&lt;=$H116)*SUM(AR114:AR115)</f>
        <v>0</v>
      </c>
      <c r="AS116" s="171">
        <f t="shared" si="268"/>
        <v>0</v>
      </c>
      <c r="AT116" s="171">
        <f t="shared" si="268"/>
        <v>0</v>
      </c>
      <c r="AU116" s="171">
        <f t="shared" si="268"/>
        <v>0</v>
      </c>
      <c r="AV116" s="171">
        <f t="shared" si="268"/>
        <v>0</v>
      </c>
      <c r="AW116" s="171">
        <f t="shared" si="268"/>
        <v>0</v>
      </c>
      <c r="AX116" s="171">
        <f t="shared" si="268"/>
        <v>0</v>
      </c>
      <c r="AY116" s="171">
        <f t="shared" si="268"/>
        <v>0</v>
      </c>
      <c r="AZ116" s="171">
        <f t="shared" si="268"/>
        <v>0</v>
      </c>
      <c r="BA116" s="171">
        <f t="shared" si="268"/>
        <v>0</v>
      </c>
      <c r="BB116" s="171">
        <f t="shared" si="268"/>
        <v>0</v>
      </c>
      <c r="BC116" s="171">
        <f t="shared" si="268"/>
        <v>0</v>
      </c>
      <c r="BD116" s="171">
        <f t="shared" si="268"/>
        <v>0</v>
      </c>
      <c r="BE116" s="171">
        <f t="shared" si="268"/>
        <v>0</v>
      </c>
      <c r="BF116" s="171">
        <f t="shared" si="268"/>
        <v>0</v>
      </c>
      <c r="BG116" s="171">
        <f t="shared" si="268"/>
        <v>0</v>
      </c>
      <c r="BH116" s="171">
        <f t="shared" si="268"/>
        <v>0</v>
      </c>
      <c r="BI116" s="171">
        <f t="shared" si="268"/>
        <v>0</v>
      </c>
      <c r="BJ116" s="171">
        <f t="shared" si="268"/>
        <v>0</v>
      </c>
      <c r="BK116" s="171">
        <f t="shared" si="268"/>
        <v>0</v>
      </c>
      <c r="BL116" s="171">
        <f t="shared" si="268"/>
        <v>0</v>
      </c>
      <c r="BM116" s="171">
        <f t="shared" si="268"/>
        <v>0</v>
      </c>
      <c r="BN116" s="171">
        <f t="shared" si="268"/>
        <v>0</v>
      </c>
      <c r="BO116" s="171">
        <f t="shared" si="268"/>
        <v>0</v>
      </c>
      <c r="BP116" s="171">
        <f t="shared" si="268"/>
        <v>0</v>
      </c>
      <c r="BQ116" s="171">
        <f t="shared" si="268"/>
        <v>0</v>
      </c>
      <c r="BR116" s="171">
        <f t="shared" si="268"/>
        <v>0</v>
      </c>
      <c r="BS116" s="171">
        <f t="shared" si="268"/>
        <v>0</v>
      </c>
      <c r="BT116" s="171">
        <f t="shared" si="268"/>
        <v>0</v>
      </c>
      <c r="BU116" s="171">
        <f t="shared" si="268"/>
        <v>0</v>
      </c>
      <c r="BV116" s="171">
        <f t="shared" si="268"/>
        <v>0</v>
      </c>
      <c r="BW116" s="171">
        <f t="shared" si="268"/>
        <v>0</v>
      </c>
      <c r="BX116" s="171">
        <f t="shared" ref="BX116:DC116" si="269">(MOD(IFERROR(DATEDIF($H115-1,BX$97+1,"m"),),$I$101)=0)*1*(BX$97&gt;$H115)*(BX$97&lt;=$H116)*SUM(BX114:BX115)</f>
        <v>0</v>
      </c>
      <c r="BY116" s="171">
        <f t="shared" si="269"/>
        <v>0</v>
      </c>
      <c r="BZ116" s="171">
        <f t="shared" si="269"/>
        <v>0</v>
      </c>
      <c r="CA116" s="171">
        <f t="shared" si="269"/>
        <v>0</v>
      </c>
      <c r="CB116" s="171">
        <f t="shared" si="269"/>
        <v>0</v>
      </c>
      <c r="CC116" s="171">
        <f t="shared" si="269"/>
        <v>0</v>
      </c>
      <c r="CD116" s="171">
        <f t="shared" si="269"/>
        <v>0</v>
      </c>
      <c r="CE116" s="171">
        <f t="shared" si="269"/>
        <v>0</v>
      </c>
      <c r="CF116" s="171">
        <f t="shared" si="269"/>
        <v>0</v>
      </c>
      <c r="CG116" s="171">
        <f t="shared" si="269"/>
        <v>0</v>
      </c>
      <c r="CH116" s="171">
        <f t="shared" si="269"/>
        <v>0</v>
      </c>
      <c r="CI116" s="171">
        <f t="shared" si="269"/>
        <v>0</v>
      </c>
      <c r="CJ116" s="171">
        <f t="shared" si="269"/>
        <v>0</v>
      </c>
      <c r="CK116" s="171">
        <f t="shared" si="269"/>
        <v>0</v>
      </c>
      <c r="CL116" s="171">
        <f t="shared" si="269"/>
        <v>0</v>
      </c>
      <c r="CM116" s="171">
        <f t="shared" si="269"/>
        <v>0</v>
      </c>
      <c r="CN116" s="171">
        <f t="shared" si="269"/>
        <v>0</v>
      </c>
      <c r="CO116" s="171">
        <f t="shared" si="269"/>
        <v>0</v>
      </c>
      <c r="CP116" s="171">
        <f t="shared" si="269"/>
        <v>0</v>
      </c>
      <c r="CQ116" s="171">
        <f t="shared" si="269"/>
        <v>0</v>
      </c>
      <c r="CR116" s="171">
        <f t="shared" si="269"/>
        <v>0</v>
      </c>
      <c r="CS116" s="171">
        <f t="shared" si="269"/>
        <v>0</v>
      </c>
      <c r="CT116" s="171">
        <f t="shared" si="269"/>
        <v>0</v>
      </c>
      <c r="CU116" s="171">
        <f t="shared" si="269"/>
        <v>0</v>
      </c>
      <c r="CV116" s="171">
        <f t="shared" si="269"/>
        <v>0</v>
      </c>
      <c r="CW116" s="171">
        <f t="shared" si="269"/>
        <v>0</v>
      </c>
      <c r="CX116" s="171">
        <f t="shared" si="269"/>
        <v>0</v>
      </c>
      <c r="CY116" s="171">
        <f t="shared" si="269"/>
        <v>0</v>
      </c>
      <c r="CZ116" s="171">
        <f t="shared" si="269"/>
        <v>0</v>
      </c>
      <c r="DA116" s="171">
        <f t="shared" si="269"/>
        <v>0</v>
      </c>
      <c r="DB116" s="171">
        <f t="shared" si="269"/>
        <v>0</v>
      </c>
      <c r="DC116" s="171">
        <f t="shared" si="269"/>
        <v>0</v>
      </c>
      <c r="DD116" s="171">
        <f t="shared" ref="DD116:EI116" si="270">(MOD(IFERROR(DATEDIF($H115-1,DD$97+1,"m"),),$I$101)=0)*1*(DD$97&gt;$H115)*(DD$97&lt;=$H116)*SUM(DD114:DD115)</f>
        <v>0</v>
      </c>
      <c r="DE116" s="171">
        <f t="shared" si="270"/>
        <v>0</v>
      </c>
      <c r="DF116" s="171">
        <f t="shared" si="270"/>
        <v>0</v>
      </c>
      <c r="DG116" s="171">
        <f t="shared" si="270"/>
        <v>0</v>
      </c>
      <c r="DH116" s="171">
        <f t="shared" si="270"/>
        <v>0</v>
      </c>
      <c r="DI116" s="171">
        <f t="shared" si="270"/>
        <v>0</v>
      </c>
      <c r="DJ116" s="171">
        <f t="shared" si="270"/>
        <v>0</v>
      </c>
      <c r="DK116" s="171">
        <f t="shared" si="270"/>
        <v>0</v>
      </c>
      <c r="DL116" s="171">
        <f t="shared" si="270"/>
        <v>0</v>
      </c>
      <c r="DM116" s="171">
        <f t="shared" si="270"/>
        <v>0</v>
      </c>
      <c r="DN116" s="171">
        <f t="shared" si="270"/>
        <v>0</v>
      </c>
      <c r="DO116" s="171">
        <f t="shared" si="270"/>
        <v>0</v>
      </c>
      <c r="DP116" s="171">
        <f t="shared" si="270"/>
        <v>0</v>
      </c>
      <c r="DQ116" s="171">
        <f t="shared" si="270"/>
        <v>0</v>
      </c>
      <c r="DR116" s="171">
        <f t="shared" si="270"/>
        <v>0</v>
      </c>
      <c r="DS116" s="171">
        <f t="shared" si="270"/>
        <v>0</v>
      </c>
      <c r="DT116" s="171">
        <f t="shared" si="270"/>
        <v>0</v>
      </c>
      <c r="DU116" s="171">
        <f t="shared" si="270"/>
        <v>0</v>
      </c>
      <c r="DV116" s="171">
        <f t="shared" si="270"/>
        <v>0</v>
      </c>
      <c r="DW116" s="171">
        <f t="shared" si="270"/>
        <v>0</v>
      </c>
      <c r="DX116" s="171">
        <f t="shared" si="270"/>
        <v>0</v>
      </c>
      <c r="DY116" s="171">
        <f t="shared" si="270"/>
        <v>0</v>
      </c>
      <c r="DZ116" s="171">
        <f t="shared" si="270"/>
        <v>0</v>
      </c>
      <c r="EA116" s="171">
        <f t="shared" si="270"/>
        <v>0</v>
      </c>
      <c r="EB116" s="171">
        <f t="shared" si="270"/>
        <v>0</v>
      </c>
      <c r="EC116" s="171">
        <f t="shared" si="270"/>
        <v>0</v>
      </c>
      <c r="ED116" s="1321">
        <f t="shared" si="270"/>
        <v>0</v>
      </c>
      <c r="EE116" s="171">
        <f t="shared" si="270"/>
        <v>0</v>
      </c>
      <c r="EF116" s="171">
        <f t="shared" si="270"/>
        <v>0</v>
      </c>
      <c r="EG116" s="171">
        <f t="shared" si="270"/>
        <v>0</v>
      </c>
      <c r="EH116" s="171">
        <f t="shared" si="270"/>
        <v>0</v>
      </c>
      <c r="EI116" s="171">
        <f t="shared" si="270"/>
        <v>0</v>
      </c>
      <c r="EJ116" s="171">
        <f t="shared" ref="EJ116:EQ116" si="271">(MOD(IFERROR(DATEDIF($H115-1,EJ$97+1,"m"),),$I$101)=0)*1*(EJ$97&gt;$H115)*(EJ$97&lt;=$H116)*SUM(EJ114:EJ115)</f>
        <v>0</v>
      </c>
      <c r="EK116" s="171">
        <f t="shared" si="271"/>
        <v>0</v>
      </c>
      <c r="EL116" s="171">
        <f t="shared" si="271"/>
        <v>0</v>
      </c>
      <c r="EM116" s="171">
        <f t="shared" si="271"/>
        <v>0</v>
      </c>
      <c r="EN116" s="171">
        <f t="shared" si="271"/>
        <v>0</v>
      </c>
      <c r="EO116" s="171">
        <f t="shared" si="271"/>
        <v>0</v>
      </c>
      <c r="EP116" s="171">
        <f t="shared" si="271"/>
        <v>0</v>
      </c>
      <c r="EQ116" s="171">
        <f t="shared" si="271"/>
        <v>0</v>
      </c>
    </row>
    <row r="117" spans="3:147" ht="11.25" customHeight="1">
      <c r="C117" s="163"/>
      <c r="D117" s="169" t="s">
        <v>233</v>
      </c>
      <c r="I117" s="65"/>
      <c r="J117" s="170"/>
      <c r="K117" s="98"/>
      <c r="L117" s="171">
        <f>L114+L115-L116</f>
        <v>0</v>
      </c>
      <c r="M117" s="171">
        <f t="shared" ref="M117:BX117" si="272">M114+M115-M116</f>
        <v>190000</v>
      </c>
      <c r="N117" s="171">
        <f t="shared" si="272"/>
        <v>380000</v>
      </c>
      <c r="O117" s="171">
        <f t="shared" si="272"/>
        <v>0</v>
      </c>
      <c r="P117" s="171">
        <f t="shared" si="272"/>
        <v>190000</v>
      </c>
      <c r="Q117" s="171">
        <f t="shared" si="272"/>
        <v>380000</v>
      </c>
      <c r="R117" s="171">
        <f t="shared" si="272"/>
        <v>0</v>
      </c>
      <c r="S117" s="171">
        <f t="shared" si="272"/>
        <v>190000</v>
      </c>
      <c r="T117" s="171">
        <f t="shared" si="272"/>
        <v>380000</v>
      </c>
      <c r="U117" s="171">
        <f t="shared" si="272"/>
        <v>0</v>
      </c>
      <c r="V117" s="171">
        <f t="shared" si="272"/>
        <v>190000</v>
      </c>
      <c r="W117" s="171">
        <f t="shared" si="272"/>
        <v>380000</v>
      </c>
      <c r="X117" s="171">
        <f t="shared" si="272"/>
        <v>0</v>
      </c>
      <c r="Y117" s="171">
        <f t="shared" si="272"/>
        <v>190000</v>
      </c>
      <c r="Z117" s="171">
        <f t="shared" si="272"/>
        <v>380000</v>
      </c>
      <c r="AA117" s="171">
        <f t="shared" si="272"/>
        <v>0</v>
      </c>
      <c r="AB117" s="171">
        <f t="shared" si="272"/>
        <v>190000</v>
      </c>
      <c r="AC117" s="171">
        <f t="shared" si="272"/>
        <v>380000</v>
      </c>
      <c r="AD117" s="171">
        <f t="shared" si="272"/>
        <v>0</v>
      </c>
      <c r="AE117" s="171">
        <f t="shared" si="272"/>
        <v>190000</v>
      </c>
      <c r="AF117" s="171">
        <f t="shared" si="272"/>
        <v>380000</v>
      </c>
      <c r="AG117" s="171">
        <f t="shared" si="272"/>
        <v>0</v>
      </c>
      <c r="AH117" s="171">
        <f t="shared" si="272"/>
        <v>190000</v>
      </c>
      <c r="AI117" s="171">
        <f t="shared" si="272"/>
        <v>380000</v>
      </c>
      <c r="AJ117" s="171">
        <f t="shared" si="272"/>
        <v>0</v>
      </c>
      <c r="AK117" s="171">
        <f t="shared" si="272"/>
        <v>0</v>
      </c>
      <c r="AL117" s="171">
        <f t="shared" si="272"/>
        <v>0</v>
      </c>
      <c r="AM117" s="171">
        <f t="shared" si="272"/>
        <v>0</v>
      </c>
      <c r="AN117" s="171">
        <f t="shared" si="272"/>
        <v>0</v>
      </c>
      <c r="AO117" s="171">
        <f t="shared" si="272"/>
        <v>0</v>
      </c>
      <c r="AP117" s="171">
        <f t="shared" si="272"/>
        <v>0</v>
      </c>
      <c r="AQ117" s="171">
        <f t="shared" si="272"/>
        <v>0</v>
      </c>
      <c r="AR117" s="171">
        <f t="shared" si="272"/>
        <v>0</v>
      </c>
      <c r="AS117" s="171">
        <f t="shared" si="272"/>
        <v>0</v>
      </c>
      <c r="AT117" s="171">
        <f t="shared" si="272"/>
        <v>0</v>
      </c>
      <c r="AU117" s="171">
        <f t="shared" si="272"/>
        <v>0</v>
      </c>
      <c r="AV117" s="171">
        <f t="shared" si="272"/>
        <v>0</v>
      </c>
      <c r="AW117" s="171">
        <f t="shared" si="272"/>
        <v>0</v>
      </c>
      <c r="AX117" s="171">
        <f t="shared" si="272"/>
        <v>0</v>
      </c>
      <c r="AY117" s="171">
        <f t="shared" si="272"/>
        <v>0</v>
      </c>
      <c r="AZ117" s="171">
        <f t="shared" si="272"/>
        <v>0</v>
      </c>
      <c r="BA117" s="171">
        <f t="shared" si="272"/>
        <v>0</v>
      </c>
      <c r="BB117" s="171">
        <f t="shared" si="272"/>
        <v>0</v>
      </c>
      <c r="BC117" s="171">
        <f t="shared" si="272"/>
        <v>0</v>
      </c>
      <c r="BD117" s="171">
        <f t="shared" si="272"/>
        <v>0</v>
      </c>
      <c r="BE117" s="171">
        <f t="shared" si="272"/>
        <v>0</v>
      </c>
      <c r="BF117" s="171">
        <f t="shared" si="272"/>
        <v>0</v>
      </c>
      <c r="BG117" s="171">
        <f t="shared" si="272"/>
        <v>0</v>
      </c>
      <c r="BH117" s="171">
        <f t="shared" si="272"/>
        <v>0</v>
      </c>
      <c r="BI117" s="171">
        <f t="shared" si="272"/>
        <v>0</v>
      </c>
      <c r="BJ117" s="171">
        <f t="shared" si="272"/>
        <v>0</v>
      </c>
      <c r="BK117" s="171">
        <f t="shared" si="272"/>
        <v>0</v>
      </c>
      <c r="BL117" s="171">
        <f t="shared" si="272"/>
        <v>0</v>
      </c>
      <c r="BM117" s="171">
        <f t="shared" si="272"/>
        <v>0</v>
      </c>
      <c r="BN117" s="171">
        <f t="shared" si="272"/>
        <v>0</v>
      </c>
      <c r="BO117" s="171">
        <f t="shared" si="272"/>
        <v>0</v>
      </c>
      <c r="BP117" s="171">
        <f t="shared" si="272"/>
        <v>0</v>
      </c>
      <c r="BQ117" s="171">
        <f t="shared" si="272"/>
        <v>0</v>
      </c>
      <c r="BR117" s="171">
        <f t="shared" si="272"/>
        <v>0</v>
      </c>
      <c r="BS117" s="171">
        <f t="shared" si="272"/>
        <v>0</v>
      </c>
      <c r="BT117" s="171">
        <f t="shared" si="272"/>
        <v>0</v>
      </c>
      <c r="BU117" s="171">
        <f t="shared" si="272"/>
        <v>0</v>
      </c>
      <c r="BV117" s="171">
        <f t="shared" si="272"/>
        <v>0</v>
      </c>
      <c r="BW117" s="171">
        <f t="shared" si="272"/>
        <v>0</v>
      </c>
      <c r="BX117" s="171">
        <f t="shared" si="272"/>
        <v>0</v>
      </c>
      <c r="BY117" s="171">
        <f t="shared" ref="BY117:EJ117" si="273">BY114+BY115-BY116</f>
        <v>0</v>
      </c>
      <c r="BZ117" s="171">
        <f t="shared" si="273"/>
        <v>0</v>
      </c>
      <c r="CA117" s="171">
        <f t="shared" si="273"/>
        <v>0</v>
      </c>
      <c r="CB117" s="171">
        <f t="shared" si="273"/>
        <v>0</v>
      </c>
      <c r="CC117" s="171">
        <f t="shared" si="273"/>
        <v>0</v>
      </c>
      <c r="CD117" s="171">
        <f t="shared" si="273"/>
        <v>0</v>
      </c>
      <c r="CE117" s="171">
        <f t="shared" si="273"/>
        <v>0</v>
      </c>
      <c r="CF117" s="171">
        <f t="shared" si="273"/>
        <v>0</v>
      </c>
      <c r="CG117" s="171">
        <f t="shared" si="273"/>
        <v>0</v>
      </c>
      <c r="CH117" s="171">
        <f t="shared" si="273"/>
        <v>0</v>
      </c>
      <c r="CI117" s="171">
        <f t="shared" si="273"/>
        <v>0</v>
      </c>
      <c r="CJ117" s="171">
        <f t="shared" si="273"/>
        <v>0</v>
      </c>
      <c r="CK117" s="171">
        <f t="shared" si="273"/>
        <v>0</v>
      </c>
      <c r="CL117" s="171">
        <f t="shared" si="273"/>
        <v>0</v>
      </c>
      <c r="CM117" s="171">
        <f t="shared" si="273"/>
        <v>0</v>
      </c>
      <c r="CN117" s="171">
        <f t="shared" si="273"/>
        <v>0</v>
      </c>
      <c r="CO117" s="171">
        <f t="shared" si="273"/>
        <v>0</v>
      </c>
      <c r="CP117" s="171">
        <f t="shared" si="273"/>
        <v>0</v>
      </c>
      <c r="CQ117" s="171">
        <f t="shared" si="273"/>
        <v>0</v>
      </c>
      <c r="CR117" s="171">
        <f t="shared" si="273"/>
        <v>0</v>
      </c>
      <c r="CS117" s="171">
        <f t="shared" si="273"/>
        <v>0</v>
      </c>
      <c r="CT117" s="171">
        <f t="shared" si="273"/>
        <v>0</v>
      </c>
      <c r="CU117" s="171">
        <f t="shared" si="273"/>
        <v>0</v>
      </c>
      <c r="CV117" s="171">
        <f t="shared" si="273"/>
        <v>0</v>
      </c>
      <c r="CW117" s="171">
        <f t="shared" si="273"/>
        <v>0</v>
      </c>
      <c r="CX117" s="171">
        <f t="shared" si="273"/>
        <v>0</v>
      </c>
      <c r="CY117" s="171">
        <f t="shared" si="273"/>
        <v>0</v>
      </c>
      <c r="CZ117" s="171">
        <f t="shared" si="273"/>
        <v>0</v>
      </c>
      <c r="DA117" s="171">
        <f t="shared" si="273"/>
        <v>0</v>
      </c>
      <c r="DB117" s="171">
        <f t="shared" si="273"/>
        <v>0</v>
      </c>
      <c r="DC117" s="171">
        <f t="shared" si="273"/>
        <v>0</v>
      </c>
      <c r="DD117" s="171">
        <f t="shared" si="273"/>
        <v>0</v>
      </c>
      <c r="DE117" s="171">
        <f t="shared" si="273"/>
        <v>0</v>
      </c>
      <c r="DF117" s="171">
        <f t="shared" si="273"/>
        <v>0</v>
      </c>
      <c r="DG117" s="171">
        <f t="shared" si="273"/>
        <v>0</v>
      </c>
      <c r="DH117" s="171">
        <f t="shared" si="273"/>
        <v>0</v>
      </c>
      <c r="DI117" s="171">
        <f t="shared" si="273"/>
        <v>0</v>
      </c>
      <c r="DJ117" s="171">
        <f t="shared" si="273"/>
        <v>0</v>
      </c>
      <c r="DK117" s="171">
        <f t="shared" si="273"/>
        <v>0</v>
      </c>
      <c r="DL117" s="171">
        <f t="shared" si="273"/>
        <v>0</v>
      </c>
      <c r="DM117" s="171">
        <f t="shared" si="273"/>
        <v>0</v>
      </c>
      <c r="DN117" s="171">
        <f t="shared" si="273"/>
        <v>0</v>
      </c>
      <c r="DO117" s="171">
        <f t="shared" si="273"/>
        <v>0</v>
      </c>
      <c r="DP117" s="171">
        <f t="shared" si="273"/>
        <v>0</v>
      </c>
      <c r="DQ117" s="171">
        <f t="shared" si="273"/>
        <v>0</v>
      </c>
      <c r="DR117" s="171">
        <f t="shared" si="273"/>
        <v>0</v>
      </c>
      <c r="DS117" s="171">
        <f t="shared" si="273"/>
        <v>0</v>
      </c>
      <c r="DT117" s="171">
        <f t="shared" si="273"/>
        <v>0</v>
      </c>
      <c r="DU117" s="171">
        <f t="shared" si="273"/>
        <v>0</v>
      </c>
      <c r="DV117" s="171">
        <f t="shared" si="273"/>
        <v>0</v>
      </c>
      <c r="DW117" s="171">
        <f t="shared" si="273"/>
        <v>0</v>
      </c>
      <c r="DX117" s="171">
        <f t="shared" si="273"/>
        <v>0</v>
      </c>
      <c r="DY117" s="171">
        <f t="shared" si="273"/>
        <v>0</v>
      </c>
      <c r="DZ117" s="171">
        <f t="shared" si="273"/>
        <v>0</v>
      </c>
      <c r="EA117" s="171">
        <f t="shared" si="273"/>
        <v>0</v>
      </c>
      <c r="EB117" s="171">
        <f t="shared" si="273"/>
        <v>0</v>
      </c>
      <c r="EC117" s="171">
        <f t="shared" si="273"/>
        <v>0</v>
      </c>
      <c r="ED117" s="1321">
        <f t="shared" si="273"/>
        <v>0</v>
      </c>
      <c r="EE117" s="171">
        <f t="shared" si="273"/>
        <v>0</v>
      </c>
      <c r="EF117" s="171">
        <f t="shared" si="273"/>
        <v>0</v>
      </c>
      <c r="EG117" s="171">
        <f t="shared" si="273"/>
        <v>0</v>
      </c>
      <c r="EH117" s="171">
        <f t="shared" si="273"/>
        <v>0</v>
      </c>
      <c r="EI117" s="171">
        <f t="shared" si="273"/>
        <v>0</v>
      </c>
      <c r="EJ117" s="171">
        <f t="shared" si="273"/>
        <v>0</v>
      </c>
      <c r="EK117" s="171">
        <f t="shared" ref="EK117:EQ117" si="274">EK114+EK115-EK116</f>
        <v>0</v>
      </c>
      <c r="EL117" s="171">
        <f t="shared" si="274"/>
        <v>0</v>
      </c>
      <c r="EM117" s="171">
        <f t="shared" si="274"/>
        <v>0</v>
      </c>
      <c r="EN117" s="171">
        <f t="shared" si="274"/>
        <v>0</v>
      </c>
      <c r="EO117" s="171">
        <f t="shared" si="274"/>
        <v>0</v>
      </c>
      <c r="EP117" s="171">
        <f t="shared" si="274"/>
        <v>0</v>
      </c>
      <c r="EQ117" s="171">
        <f t="shared" si="274"/>
        <v>0</v>
      </c>
    </row>
    <row r="118" spans="3:147" ht="11.25" customHeight="1">
      <c r="C118" s="158" t="str">
        <f>'A&amp;R'!L36</f>
        <v>중순위대출(2nd)</v>
      </c>
      <c r="D118" s="159"/>
      <c r="E118" s="159"/>
      <c r="F118" s="159"/>
      <c r="G118" s="159"/>
      <c r="H118" s="160"/>
      <c r="I118" s="246"/>
      <c r="J118" s="161"/>
      <c r="K118" s="98"/>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162"/>
      <c r="AK118" s="162"/>
      <c r="AL118" s="162"/>
      <c r="AM118" s="162"/>
      <c r="AN118" s="162"/>
      <c r="AO118" s="162"/>
      <c r="AP118" s="162"/>
      <c r="AQ118" s="162"/>
      <c r="AR118" s="162"/>
      <c r="AS118" s="162"/>
      <c r="AT118" s="162"/>
      <c r="AU118" s="162"/>
      <c r="AV118" s="162"/>
      <c r="AW118" s="162"/>
      <c r="AX118" s="162"/>
      <c r="AY118" s="162"/>
      <c r="AZ118" s="162"/>
      <c r="BA118" s="162"/>
      <c r="BB118" s="162"/>
      <c r="BC118" s="162"/>
      <c r="BD118" s="162"/>
      <c r="BE118" s="162"/>
      <c r="BF118" s="162"/>
      <c r="BG118" s="162"/>
      <c r="BH118" s="162"/>
      <c r="BI118" s="162"/>
      <c r="BJ118" s="162"/>
      <c r="BK118" s="162"/>
      <c r="BL118" s="162"/>
      <c r="BM118" s="162"/>
      <c r="BN118" s="162"/>
      <c r="BO118" s="162"/>
      <c r="BP118" s="162"/>
      <c r="BQ118" s="162"/>
      <c r="BR118" s="162"/>
      <c r="BS118" s="162"/>
      <c r="BT118" s="162"/>
      <c r="BU118" s="162"/>
      <c r="BV118" s="162"/>
      <c r="BW118" s="162"/>
      <c r="BX118" s="162"/>
      <c r="BY118" s="162"/>
      <c r="BZ118" s="162"/>
      <c r="CA118" s="162"/>
      <c r="CB118" s="162"/>
      <c r="CC118" s="162"/>
      <c r="CD118" s="162"/>
      <c r="CE118" s="162"/>
      <c r="CF118" s="162"/>
      <c r="CG118" s="162"/>
      <c r="CH118" s="162"/>
      <c r="CI118" s="162"/>
      <c r="CJ118" s="162"/>
      <c r="CK118" s="162"/>
      <c r="CL118" s="162"/>
      <c r="CM118" s="162"/>
      <c r="CN118" s="162"/>
      <c r="CO118" s="162"/>
      <c r="CP118" s="162"/>
      <c r="CQ118" s="162"/>
      <c r="CR118" s="162"/>
      <c r="CS118" s="162"/>
      <c r="CT118" s="162"/>
      <c r="CU118" s="162"/>
      <c r="CV118" s="162"/>
      <c r="CW118" s="162"/>
      <c r="CX118" s="162"/>
      <c r="CY118" s="162"/>
      <c r="CZ118" s="162"/>
      <c r="DA118" s="162"/>
      <c r="DB118" s="162"/>
      <c r="DC118" s="162"/>
      <c r="DD118" s="162"/>
      <c r="DE118" s="162"/>
      <c r="DF118" s="162"/>
      <c r="DG118" s="162"/>
      <c r="DH118" s="162"/>
      <c r="DI118" s="162"/>
      <c r="DJ118" s="162"/>
      <c r="DK118" s="162"/>
      <c r="DL118" s="162"/>
      <c r="DM118" s="162"/>
      <c r="DN118" s="162"/>
      <c r="DO118" s="162"/>
      <c r="DP118" s="162"/>
      <c r="DQ118" s="162"/>
      <c r="DR118" s="162"/>
      <c r="DS118" s="162"/>
      <c r="DT118" s="162"/>
      <c r="DU118" s="162"/>
      <c r="DV118" s="162"/>
      <c r="DW118" s="162"/>
      <c r="DX118" s="162"/>
      <c r="DY118" s="162"/>
      <c r="DZ118" s="162"/>
      <c r="EA118" s="162"/>
      <c r="EB118" s="162"/>
      <c r="EC118" s="162"/>
      <c r="ED118" s="1319"/>
      <c r="EE118" s="162"/>
      <c r="EF118" s="162"/>
      <c r="EG118" s="162"/>
      <c r="EH118" s="162"/>
      <c r="EI118" s="162"/>
      <c r="EJ118" s="162"/>
      <c r="EK118" s="162"/>
      <c r="EL118" s="162"/>
      <c r="EM118" s="162"/>
      <c r="EN118" s="162"/>
      <c r="EO118" s="162"/>
      <c r="EP118" s="162"/>
      <c r="EQ118" s="162"/>
    </row>
    <row r="119" spans="3:147" ht="11.25" customHeight="1">
      <c r="C119" s="163"/>
      <c r="D119" s="164" t="s">
        <v>230</v>
      </c>
      <c r="E119" s="165"/>
      <c r="F119" s="165"/>
      <c r="G119" s="165"/>
      <c r="H119" s="166"/>
      <c r="I119" s="247"/>
      <c r="J119" s="167"/>
      <c r="K119" s="98"/>
      <c r="L119" s="168">
        <f t="shared" ref="L119:AQ119" si="275">K122</f>
        <v>0</v>
      </c>
      <c r="M119" s="168">
        <f t="shared" si="275"/>
        <v>0</v>
      </c>
      <c r="N119" s="168">
        <f t="shared" si="275"/>
        <v>0</v>
      </c>
      <c r="O119" s="168">
        <f t="shared" si="275"/>
        <v>0</v>
      </c>
      <c r="P119" s="168">
        <f t="shared" si="275"/>
        <v>0</v>
      </c>
      <c r="Q119" s="168">
        <f t="shared" si="275"/>
        <v>0</v>
      </c>
      <c r="R119" s="168">
        <f t="shared" si="275"/>
        <v>0</v>
      </c>
      <c r="S119" s="168">
        <f t="shared" si="275"/>
        <v>0</v>
      </c>
      <c r="T119" s="168">
        <f t="shared" si="275"/>
        <v>0</v>
      </c>
      <c r="U119" s="168">
        <f t="shared" si="275"/>
        <v>0</v>
      </c>
      <c r="V119" s="168">
        <f t="shared" si="275"/>
        <v>0</v>
      </c>
      <c r="W119" s="168">
        <f t="shared" si="275"/>
        <v>0</v>
      </c>
      <c r="X119" s="168">
        <f t="shared" si="275"/>
        <v>0</v>
      </c>
      <c r="Y119" s="168">
        <f t="shared" si="275"/>
        <v>0</v>
      </c>
      <c r="Z119" s="168">
        <f t="shared" si="275"/>
        <v>0</v>
      </c>
      <c r="AA119" s="168">
        <f t="shared" si="275"/>
        <v>0</v>
      </c>
      <c r="AB119" s="168">
        <f t="shared" si="275"/>
        <v>0</v>
      </c>
      <c r="AC119" s="168">
        <f t="shared" si="275"/>
        <v>0</v>
      </c>
      <c r="AD119" s="168">
        <f t="shared" si="275"/>
        <v>0</v>
      </c>
      <c r="AE119" s="168">
        <f t="shared" si="275"/>
        <v>0</v>
      </c>
      <c r="AF119" s="168">
        <f t="shared" si="275"/>
        <v>0</v>
      </c>
      <c r="AG119" s="168">
        <f t="shared" si="275"/>
        <v>0</v>
      </c>
      <c r="AH119" s="168">
        <f t="shared" si="275"/>
        <v>0</v>
      </c>
      <c r="AI119" s="168">
        <f t="shared" si="275"/>
        <v>0</v>
      </c>
      <c r="AJ119" s="168">
        <f t="shared" si="275"/>
        <v>0</v>
      </c>
      <c r="AK119" s="168">
        <f t="shared" si="275"/>
        <v>0</v>
      </c>
      <c r="AL119" s="168">
        <f t="shared" si="275"/>
        <v>0</v>
      </c>
      <c r="AM119" s="168">
        <f t="shared" si="275"/>
        <v>0</v>
      </c>
      <c r="AN119" s="168">
        <f t="shared" si="275"/>
        <v>0</v>
      </c>
      <c r="AO119" s="168">
        <f t="shared" si="275"/>
        <v>0</v>
      </c>
      <c r="AP119" s="168">
        <f t="shared" si="275"/>
        <v>0</v>
      </c>
      <c r="AQ119" s="168">
        <f t="shared" si="275"/>
        <v>0</v>
      </c>
      <c r="AR119" s="168">
        <f t="shared" ref="AR119:BW119" si="276">AQ122</f>
        <v>0</v>
      </c>
      <c r="AS119" s="168">
        <f t="shared" si="276"/>
        <v>0</v>
      </c>
      <c r="AT119" s="168">
        <f t="shared" si="276"/>
        <v>0</v>
      </c>
      <c r="AU119" s="168">
        <f t="shared" si="276"/>
        <v>0</v>
      </c>
      <c r="AV119" s="168">
        <f t="shared" si="276"/>
        <v>0</v>
      </c>
      <c r="AW119" s="168">
        <f t="shared" si="276"/>
        <v>0</v>
      </c>
      <c r="AX119" s="168">
        <f t="shared" si="276"/>
        <v>0</v>
      </c>
      <c r="AY119" s="168">
        <f t="shared" si="276"/>
        <v>0</v>
      </c>
      <c r="AZ119" s="168">
        <f t="shared" si="276"/>
        <v>0</v>
      </c>
      <c r="BA119" s="168">
        <f t="shared" si="276"/>
        <v>0</v>
      </c>
      <c r="BB119" s="168">
        <f t="shared" si="276"/>
        <v>0</v>
      </c>
      <c r="BC119" s="168">
        <f t="shared" si="276"/>
        <v>0</v>
      </c>
      <c r="BD119" s="168">
        <f t="shared" si="276"/>
        <v>0</v>
      </c>
      <c r="BE119" s="168">
        <f t="shared" si="276"/>
        <v>0</v>
      </c>
      <c r="BF119" s="168">
        <f t="shared" si="276"/>
        <v>0</v>
      </c>
      <c r="BG119" s="168">
        <f t="shared" si="276"/>
        <v>0</v>
      </c>
      <c r="BH119" s="168">
        <f t="shared" si="276"/>
        <v>0</v>
      </c>
      <c r="BI119" s="168">
        <f t="shared" si="276"/>
        <v>0</v>
      </c>
      <c r="BJ119" s="168">
        <f t="shared" si="276"/>
        <v>0</v>
      </c>
      <c r="BK119" s="168">
        <f t="shared" si="276"/>
        <v>0</v>
      </c>
      <c r="BL119" s="168">
        <f t="shared" si="276"/>
        <v>0</v>
      </c>
      <c r="BM119" s="168">
        <f t="shared" si="276"/>
        <v>0</v>
      </c>
      <c r="BN119" s="168">
        <f t="shared" si="276"/>
        <v>0</v>
      </c>
      <c r="BO119" s="168">
        <f t="shared" si="276"/>
        <v>0</v>
      </c>
      <c r="BP119" s="168">
        <f t="shared" si="276"/>
        <v>0</v>
      </c>
      <c r="BQ119" s="168">
        <f t="shared" si="276"/>
        <v>0</v>
      </c>
      <c r="BR119" s="168">
        <f t="shared" si="276"/>
        <v>0</v>
      </c>
      <c r="BS119" s="168">
        <f t="shared" si="276"/>
        <v>0</v>
      </c>
      <c r="BT119" s="168">
        <f t="shared" si="276"/>
        <v>0</v>
      </c>
      <c r="BU119" s="168">
        <f t="shared" si="276"/>
        <v>0</v>
      </c>
      <c r="BV119" s="168">
        <f t="shared" si="276"/>
        <v>0</v>
      </c>
      <c r="BW119" s="168">
        <f t="shared" si="276"/>
        <v>0</v>
      </c>
      <c r="BX119" s="168">
        <f t="shared" ref="BX119:DC119" si="277">BW122</f>
        <v>0</v>
      </c>
      <c r="BY119" s="168">
        <f t="shared" si="277"/>
        <v>0</v>
      </c>
      <c r="BZ119" s="168">
        <f t="shared" si="277"/>
        <v>0</v>
      </c>
      <c r="CA119" s="168">
        <f t="shared" si="277"/>
        <v>0</v>
      </c>
      <c r="CB119" s="168">
        <f t="shared" si="277"/>
        <v>0</v>
      </c>
      <c r="CC119" s="168">
        <f t="shared" si="277"/>
        <v>0</v>
      </c>
      <c r="CD119" s="168">
        <f t="shared" si="277"/>
        <v>0</v>
      </c>
      <c r="CE119" s="168">
        <f t="shared" si="277"/>
        <v>0</v>
      </c>
      <c r="CF119" s="168">
        <f t="shared" si="277"/>
        <v>0</v>
      </c>
      <c r="CG119" s="168">
        <f t="shared" si="277"/>
        <v>0</v>
      </c>
      <c r="CH119" s="168">
        <f t="shared" si="277"/>
        <v>0</v>
      </c>
      <c r="CI119" s="168">
        <f t="shared" si="277"/>
        <v>0</v>
      </c>
      <c r="CJ119" s="168">
        <f t="shared" si="277"/>
        <v>0</v>
      </c>
      <c r="CK119" s="168">
        <f t="shared" si="277"/>
        <v>0</v>
      </c>
      <c r="CL119" s="168">
        <f t="shared" si="277"/>
        <v>0</v>
      </c>
      <c r="CM119" s="168">
        <f t="shared" si="277"/>
        <v>0</v>
      </c>
      <c r="CN119" s="168">
        <f t="shared" si="277"/>
        <v>0</v>
      </c>
      <c r="CO119" s="168">
        <f t="shared" si="277"/>
        <v>0</v>
      </c>
      <c r="CP119" s="168">
        <f t="shared" si="277"/>
        <v>0</v>
      </c>
      <c r="CQ119" s="168">
        <f t="shared" si="277"/>
        <v>0</v>
      </c>
      <c r="CR119" s="168">
        <f t="shared" si="277"/>
        <v>0</v>
      </c>
      <c r="CS119" s="168">
        <f t="shared" si="277"/>
        <v>0</v>
      </c>
      <c r="CT119" s="168">
        <f t="shared" si="277"/>
        <v>0</v>
      </c>
      <c r="CU119" s="168">
        <f t="shared" si="277"/>
        <v>0</v>
      </c>
      <c r="CV119" s="168">
        <f t="shared" si="277"/>
        <v>0</v>
      </c>
      <c r="CW119" s="168">
        <f t="shared" si="277"/>
        <v>0</v>
      </c>
      <c r="CX119" s="168">
        <f t="shared" si="277"/>
        <v>0</v>
      </c>
      <c r="CY119" s="168">
        <f t="shared" si="277"/>
        <v>0</v>
      </c>
      <c r="CZ119" s="168">
        <f t="shared" si="277"/>
        <v>0</v>
      </c>
      <c r="DA119" s="168">
        <f t="shared" si="277"/>
        <v>0</v>
      </c>
      <c r="DB119" s="168">
        <f t="shared" si="277"/>
        <v>0</v>
      </c>
      <c r="DC119" s="168">
        <f t="shared" si="277"/>
        <v>0</v>
      </c>
      <c r="DD119" s="168">
        <f t="shared" ref="DD119:EI119" si="278">DC122</f>
        <v>0</v>
      </c>
      <c r="DE119" s="168">
        <f t="shared" si="278"/>
        <v>0</v>
      </c>
      <c r="DF119" s="168">
        <f t="shared" si="278"/>
        <v>0</v>
      </c>
      <c r="DG119" s="168">
        <f t="shared" si="278"/>
        <v>0</v>
      </c>
      <c r="DH119" s="168">
        <f t="shared" si="278"/>
        <v>0</v>
      </c>
      <c r="DI119" s="168">
        <f t="shared" si="278"/>
        <v>0</v>
      </c>
      <c r="DJ119" s="168">
        <f t="shared" si="278"/>
        <v>0</v>
      </c>
      <c r="DK119" s="168">
        <f t="shared" si="278"/>
        <v>0</v>
      </c>
      <c r="DL119" s="168">
        <f t="shared" si="278"/>
        <v>0</v>
      </c>
      <c r="DM119" s="168">
        <f t="shared" si="278"/>
        <v>0</v>
      </c>
      <c r="DN119" s="168">
        <f t="shared" si="278"/>
        <v>0</v>
      </c>
      <c r="DO119" s="168">
        <f t="shared" si="278"/>
        <v>0</v>
      </c>
      <c r="DP119" s="168">
        <f t="shared" si="278"/>
        <v>0</v>
      </c>
      <c r="DQ119" s="168">
        <f t="shared" si="278"/>
        <v>0</v>
      </c>
      <c r="DR119" s="168">
        <f t="shared" si="278"/>
        <v>0</v>
      </c>
      <c r="DS119" s="168">
        <f t="shared" si="278"/>
        <v>0</v>
      </c>
      <c r="DT119" s="168">
        <f t="shared" si="278"/>
        <v>0</v>
      </c>
      <c r="DU119" s="168">
        <f t="shared" si="278"/>
        <v>0</v>
      </c>
      <c r="DV119" s="168">
        <f t="shared" si="278"/>
        <v>0</v>
      </c>
      <c r="DW119" s="168">
        <f t="shared" si="278"/>
        <v>0</v>
      </c>
      <c r="DX119" s="168">
        <f t="shared" si="278"/>
        <v>0</v>
      </c>
      <c r="DY119" s="168">
        <f t="shared" si="278"/>
        <v>0</v>
      </c>
      <c r="DZ119" s="168">
        <f t="shared" si="278"/>
        <v>0</v>
      </c>
      <c r="EA119" s="168">
        <f t="shared" si="278"/>
        <v>0</v>
      </c>
      <c r="EB119" s="168">
        <f t="shared" si="278"/>
        <v>0</v>
      </c>
      <c r="EC119" s="168">
        <f t="shared" si="278"/>
        <v>0</v>
      </c>
      <c r="ED119" s="1320">
        <f t="shared" si="278"/>
        <v>0</v>
      </c>
      <c r="EE119" s="168">
        <f t="shared" si="278"/>
        <v>0</v>
      </c>
      <c r="EF119" s="168">
        <f t="shared" si="278"/>
        <v>0</v>
      </c>
      <c r="EG119" s="168">
        <f t="shared" si="278"/>
        <v>0</v>
      </c>
      <c r="EH119" s="168">
        <f t="shared" si="278"/>
        <v>0</v>
      </c>
      <c r="EI119" s="168">
        <f t="shared" si="278"/>
        <v>0</v>
      </c>
      <c r="EJ119" s="168">
        <f t="shared" ref="EJ119:EQ119" si="279">EI122</f>
        <v>0</v>
      </c>
      <c r="EK119" s="168">
        <f t="shared" si="279"/>
        <v>0</v>
      </c>
      <c r="EL119" s="168">
        <f t="shared" si="279"/>
        <v>0</v>
      </c>
      <c r="EM119" s="168">
        <f t="shared" si="279"/>
        <v>0</v>
      </c>
      <c r="EN119" s="168">
        <f t="shared" si="279"/>
        <v>0</v>
      </c>
      <c r="EO119" s="168">
        <f t="shared" si="279"/>
        <v>0</v>
      </c>
      <c r="EP119" s="168">
        <f t="shared" si="279"/>
        <v>0</v>
      </c>
      <c r="EQ119" s="168">
        <f t="shared" si="279"/>
        <v>0</v>
      </c>
    </row>
    <row r="120" spans="3:147" ht="11.25" customHeight="1">
      <c r="C120" s="163"/>
      <c r="D120" s="169" t="s">
        <v>231</v>
      </c>
      <c r="H120" s="146">
        <f>'A&amp;R'!M36</f>
        <v>47057</v>
      </c>
      <c r="I120" s="65">
        <f>'A&amp;R'!Q36</f>
        <v>5.7000000000000002E-2</v>
      </c>
      <c r="J120" s="170">
        <f>SUM(L120:EQ120)</f>
        <v>0</v>
      </c>
      <c r="K120" s="98"/>
      <c r="L120" s="171">
        <f>L41*$I120/12</f>
        <v>0</v>
      </c>
      <c r="M120" s="171">
        <f t="shared" ref="M120:BX120" si="280">M41*$I120/12</f>
        <v>0</v>
      </c>
      <c r="N120" s="171">
        <f t="shared" si="280"/>
        <v>0</v>
      </c>
      <c r="O120" s="171">
        <f t="shared" si="280"/>
        <v>0</v>
      </c>
      <c r="P120" s="171">
        <f t="shared" si="280"/>
        <v>0</v>
      </c>
      <c r="Q120" s="171">
        <f t="shared" si="280"/>
        <v>0</v>
      </c>
      <c r="R120" s="171">
        <f t="shared" si="280"/>
        <v>0</v>
      </c>
      <c r="S120" s="171">
        <f t="shared" si="280"/>
        <v>0</v>
      </c>
      <c r="T120" s="171">
        <f t="shared" si="280"/>
        <v>0</v>
      </c>
      <c r="U120" s="171">
        <f t="shared" si="280"/>
        <v>0</v>
      </c>
      <c r="V120" s="171">
        <f t="shared" si="280"/>
        <v>0</v>
      </c>
      <c r="W120" s="171">
        <f t="shared" si="280"/>
        <v>0</v>
      </c>
      <c r="X120" s="171">
        <f t="shared" si="280"/>
        <v>0</v>
      </c>
      <c r="Y120" s="171">
        <f t="shared" si="280"/>
        <v>0</v>
      </c>
      <c r="Z120" s="171">
        <f t="shared" si="280"/>
        <v>0</v>
      </c>
      <c r="AA120" s="171">
        <f t="shared" si="280"/>
        <v>0</v>
      </c>
      <c r="AB120" s="171">
        <f t="shared" si="280"/>
        <v>0</v>
      </c>
      <c r="AC120" s="171">
        <f t="shared" si="280"/>
        <v>0</v>
      </c>
      <c r="AD120" s="171">
        <f t="shared" si="280"/>
        <v>0</v>
      </c>
      <c r="AE120" s="171">
        <f t="shared" si="280"/>
        <v>0</v>
      </c>
      <c r="AF120" s="171">
        <f t="shared" si="280"/>
        <v>0</v>
      </c>
      <c r="AG120" s="171">
        <f t="shared" si="280"/>
        <v>0</v>
      </c>
      <c r="AH120" s="171">
        <f t="shared" si="280"/>
        <v>0</v>
      </c>
      <c r="AI120" s="171">
        <f t="shared" si="280"/>
        <v>0</v>
      </c>
      <c r="AJ120" s="171">
        <f t="shared" si="280"/>
        <v>0</v>
      </c>
      <c r="AK120" s="171">
        <f t="shared" si="280"/>
        <v>0</v>
      </c>
      <c r="AL120" s="171">
        <f t="shared" si="280"/>
        <v>0</v>
      </c>
      <c r="AM120" s="171">
        <f t="shared" si="280"/>
        <v>0</v>
      </c>
      <c r="AN120" s="171">
        <f t="shared" si="280"/>
        <v>0</v>
      </c>
      <c r="AO120" s="171">
        <f t="shared" si="280"/>
        <v>0</v>
      </c>
      <c r="AP120" s="171">
        <f t="shared" si="280"/>
        <v>0</v>
      </c>
      <c r="AQ120" s="171">
        <f t="shared" si="280"/>
        <v>0</v>
      </c>
      <c r="AR120" s="171">
        <f t="shared" si="280"/>
        <v>0</v>
      </c>
      <c r="AS120" s="171">
        <f t="shared" si="280"/>
        <v>0</v>
      </c>
      <c r="AT120" s="171">
        <f t="shared" si="280"/>
        <v>0</v>
      </c>
      <c r="AU120" s="171">
        <f t="shared" si="280"/>
        <v>0</v>
      </c>
      <c r="AV120" s="171">
        <f t="shared" si="280"/>
        <v>0</v>
      </c>
      <c r="AW120" s="171">
        <f t="shared" si="280"/>
        <v>0</v>
      </c>
      <c r="AX120" s="171">
        <f t="shared" si="280"/>
        <v>0</v>
      </c>
      <c r="AY120" s="171">
        <f t="shared" si="280"/>
        <v>0</v>
      </c>
      <c r="AZ120" s="171">
        <f t="shared" si="280"/>
        <v>0</v>
      </c>
      <c r="BA120" s="171">
        <f t="shared" si="280"/>
        <v>0</v>
      </c>
      <c r="BB120" s="171">
        <f t="shared" si="280"/>
        <v>0</v>
      </c>
      <c r="BC120" s="171">
        <f t="shared" si="280"/>
        <v>0</v>
      </c>
      <c r="BD120" s="171">
        <f t="shared" si="280"/>
        <v>0</v>
      </c>
      <c r="BE120" s="171">
        <f t="shared" si="280"/>
        <v>0</v>
      </c>
      <c r="BF120" s="171">
        <f t="shared" si="280"/>
        <v>0</v>
      </c>
      <c r="BG120" s="171">
        <f t="shared" si="280"/>
        <v>0</v>
      </c>
      <c r="BH120" s="171">
        <f t="shared" si="280"/>
        <v>0</v>
      </c>
      <c r="BI120" s="171">
        <f t="shared" si="280"/>
        <v>0</v>
      </c>
      <c r="BJ120" s="171">
        <f t="shared" si="280"/>
        <v>0</v>
      </c>
      <c r="BK120" s="171">
        <f t="shared" si="280"/>
        <v>0</v>
      </c>
      <c r="BL120" s="171">
        <f t="shared" si="280"/>
        <v>0</v>
      </c>
      <c r="BM120" s="171">
        <f t="shared" si="280"/>
        <v>0</v>
      </c>
      <c r="BN120" s="171">
        <f t="shared" si="280"/>
        <v>0</v>
      </c>
      <c r="BO120" s="171">
        <f t="shared" si="280"/>
        <v>0</v>
      </c>
      <c r="BP120" s="171">
        <f t="shared" si="280"/>
        <v>0</v>
      </c>
      <c r="BQ120" s="171">
        <f t="shared" si="280"/>
        <v>0</v>
      </c>
      <c r="BR120" s="171">
        <f t="shared" si="280"/>
        <v>0</v>
      </c>
      <c r="BS120" s="171">
        <f t="shared" si="280"/>
        <v>0</v>
      </c>
      <c r="BT120" s="171">
        <f t="shared" si="280"/>
        <v>0</v>
      </c>
      <c r="BU120" s="171">
        <f t="shared" si="280"/>
        <v>0</v>
      </c>
      <c r="BV120" s="171">
        <f t="shared" si="280"/>
        <v>0</v>
      </c>
      <c r="BW120" s="171">
        <f t="shared" si="280"/>
        <v>0</v>
      </c>
      <c r="BX120" s="171">
        <f t="shared" si="280"/>
        <v>0</v>
      </c>
      <c r="BY120" s="171">
        <f t="shared" ref="BY120:EJ120" si="281">BY41*$I120/12</f>
        <v>0</v>
      </c>
      <c r="BZ120" s="171">
        <f t="shared" si="281"/>
        <v>0</v>
      </c>
      <c r="CA120" s="171">
        <f t="shared" si="281"/>
        <v>0</v>
      </c>
      <c r="CB120" s="171">
        <f t="shared" si="281"/>
        <v>0</v>
      </c>
      <c r="CC120" s="171">
        <f t="shared" si="281"/>
        <v>0</v>
      </c>
      <c r="CD120" s="171">
        <f t="shared" si="281"/>
        <v>0</v>
      </c>
      <c r="CE120" s="171">
        <f t="shared" si="281"/>
        <v>0</v>
      </c>
      <c r="CF120" s="171">
        <f t="shared" si="281"/>
        <v>0</v>
      </c>
      <c r="CG120" s="171">
        <f t="shared" si="281"/>
        <v>0</v>
      </c>
      <c r="CH120" s="171">
        <f t="shared" si="281"/>
        <v>0</v>
      </c>
      <c r="CI120" s="171">
        <f t="shared" si="281"/>
        <v>0</v>
      </c>
      <c r="CJ120" s="171">
        <f t="shared" si="281"/>
        <v>0</v>
      </c>
      <c r="CK120" s="171">
        <f t="shared" si="281"/>
        <v>0</v>
      </c>
      <c r="CL120" s="171">
        <f t="shared" si="281"/>
        <v>0</v>
      </c>
      <c r="CM120" s="171">
        <f t="shared" si="281"/>
        <v>0</v>
      </c>
      <c r="CN120" s="171">
        <f t="shared" si="281"/>
        <v>0</v>
      </c>
      <c r="CO120" s="171">
        <f t="shared" si="281"/>
        <v>0</v>
      </c>
      <c r="CP120" s="171">
        <f t="shared" si="281"/>
        <v>0</v>
      </c>
      <c r="CQ120" s="171">
        <f t="shared" si="281"/>
        <v>0</v>
      </c>
      <c r="CR120" s="171">
        <f t="shared" si="281"/>
        <v>0</v>
      </c>
      <c r="CS120" s="171">
        <f t="shared" si="281"/>
        <v>0</v>
      </c>
      <c r="CT120" s="171">
        <f t="shared" si="281"/>
        <v>0</v>
      </c>
      <c r="CU120" s="171">
        <f t="shared" si="281"/>
        <v>0</v>
      </c>
      <c r="CV120" s="171">
        <f t="shared" si="281"/>
        <v>0</v>
      </c>
      <c r="CW120" s="171">
        <f t="shared" si="281"/>
        <v>0</v>
      </c>
      <c r="CX120" s="171">
        <f t="shared" si="281"/>
        <v>0</v>
      </c>
      <c r="CY120" s="171">
        <f t="shared" si="281"/>
        <v>0</v>
      </c>
      <c r="CZ120" s="171">
        <f t="shared" si="281"/>
        <v>0</v>
      </c>
      <c r="DA120" s="171">
        <f t="shared" si="281"/>
        <v>0</v>
      </c>
      <c r="DB120" s="171">
        <f t="shared" si="281"/>
        <v>0</v>
      </c>
      <c r="DC120" s="171">
        <f t="shared" si="281"/>
        <v>0</v>
      </c>
      <c r="DD120" s="171">
        <f t="shared" si="281"/>
        <v>0</v>
      </c>
      <c r="DE120" s="171">
        <f t="shared" si="281"/>
        <v>0</v>
      </c>
      <c r="DF120" s="171">
        <f t="shared" si="281"/>
        <v>0</v>
      </c>
      <c r="DG120" s="171">
        <f t="shared" si="281"/>
        <v>0</v>
      </c>
      <c r="DH120" s="171">
        <f t="shared" si="281"/>
        <v>0</v>
      </c>
      <c r="DI120" s="171">
        <f t="shared" si="281"/>
        <v>0</v>
      </c>
      <c r="DJ120" s="171">
        <f t="shared" si="281"/>
        <v>0</v>
      </c>
      <c r="DK120" s="171">
        <f t="shared" si="281"/>
        <v>0</v>
      </c>
      <c r="DL120" s="171">
        <f t="shared" si="281"/>
        <v>0</v>
      </c>
      <c r="DM120" s="171">
        <f t="shared" si="281"/>
        <v>0</v>
      </c>
      <c r="DN120" s="171">
        <f t="shared" si="281"/>
        <v>0</v>
      </c>
      <c r="DO120" s="171">
        <f t="shared" si="281"/>
        <v>0</v>
      </c>
      <c r="DP120" s="171">
        <f t="shared" si="281"/>
        <v>0</v>
      </c>
      <c r="DQ120" s="171">
        <f t="shared" si="281"/>
        <v>0</v>
      </c>
      <c r="DR120" s="171">
        <f t="shared" si="281"/>
        <v>0</v>
      </c>
      <c r="DS120" s="171">
        <f t="shared" si="281"/>
        <v>0</v>
      </c>
      <c r="DT120" s="171">
        <f t="shared" si="281"/>
        <v>0</v>
      </c>
      <c r="DU120" s="171">
        <f t="shared" si="281"/>
        <v>0</v>
      </c>
      <c r="DV120" s="171">
        <f t="shared" si="281"/>
        <v>0</v>
      </c>
      <c r="DW120" s="171">
        <f t="shared" si="281"/>
        <v>0</v>
      </c>
      <c r="DX120" s="171">
        <f t="shared" si="281"/>
        <v>0</v>
      </c>
      <c r="DY120" s="171">
        <f t="shared" si="281"/>
        <v>0</v>
      </c>
      <c r="DZ120" s="171">
        <f t="shared" si="281"/>
        <v>0</v>
      </c>
      <c r="EA120" s="171">
        <f t="shared" si="281"/>
        <v>0</v>
      </c>
      <c r="EB120" s="171">
        <f t="shared" si="281"/>
        <v>0</v>
      </c>
      <c r="EC120" s="171">
        <f t="shared" si="281"/>
        <v>0</v>
      </c>
      <c r="ED120" s="1321">
        <f t="shared" si="281"/>
        <v>0</v>
      </c>
      <c r="EE120" s="171">
        <f t="shared" si="281"/>
        <v>0</v>
      </c>
      <c r="EF120" s="171">
        <f t="shared" si="281"/>
        <v>0</v>
      </c>
      <c r="EG120" s="171">
        <f t="shared" si="281"/>
        <v>0</v>
      </c>
      <c r="EH120" s="171">
        <f t="shared" si="281"/>
        <v>0</v>
      </c>
      <c r="EI120" s="171">
        <f t="shared" si="281"/>
        <v>0</v>
      </c>
      <c r="EJ120" s="171">
        <f t="shared" si="281"/>
        <v>0</v>
      </c>
      <c r="EK120" s="171">
        <f t="shared" ref="EK120:EQ120" si="282">EK41*$I120/12</f>
        <v>0</v>
      </c>
      <c r="EL120" s="171">
        <f t="shared" si="282"/>
        <v>0</v>
      </c>
      <c r="EM120" s="171">
        <f t="shared" si="282"/>
        <v>0</v>
      </c>
      <c r="EN120" s="171">
        <f t="shared" si="282"/>
        <v>0</v>
      </c>
      <c r="EO120" s="171">
        <f t="shared" si="282"/>
        <v>0</v>
      </c>
      <c r="EP120" s="171">
        <f t="shared" si="282"/>
        <v>0</v>
      </c>
      <c r="EQ120" s="171">
        <f t="shared" si="282"/>
        <v>0</v>
      </c>
    </row>
    <row r="121" spans="3:147" ht="11.25" customHeight="1">
      <c r="C121" s="163"/>
      <c r="D121" s="169" t="s">
        <v>232</v>
      </c>
      <c r="H121" s="146">
        <f>'A&amp;R'!N36</f>
        <v>48152</v>
      </c>
      <c r="I121" s="1646">
        <v>3</v>
      </c>
      <c r="J121" s="170">
        <f>SUM(L121:EQ121)</f>
        <v>0</v>
      </c>
      <c r="K121" s="98"/>
      <c r="L121" s="171">
        <f t="shared" ref="L121:AQ121" si="283">(MOD(IFERROR(DATEDIF($H120-1,L$97+1,"m"),),$I$101)=0)*1*(L$97&gt;$H120)*(L$97&lt;=$H121)*SUM(L119:L120)</f>
        <v>0</v>
      </c>
      <c r="M121" s="171">
        <f t="shared" si="283"/>
        <v>0</v>
      </c>
      <c r="N121" s="171">
        <f t="shared" si="283"/>
        <v>0</v>
      </c>
      <c r="O121" s="171">
        <f t="shared" si="283"/>
        <v>0</v>
      </c>
      <c r="P121" s="171">
        <f t="shared" si="283"/>
        <v>0</v>
      </c>
      <c r="Q121" s="171">
        <f t="shared" si="283"/>
        <v>0</v>
      </c>
      <c r="R121" s="171">
        <f t="shared" si="283"/>
        <v>0</v>
      </c>
      <c r="S121" s="171">
        <f t="shared" si="283"/>
        <v>0</v>
      </c>
      <c r="T121" s="171">
        <f t="shared" si="283"/>
        <v>0</v>
      </c>
      <c r="U121" s="171">
        <f t="shared" si="283"/>
        <v>0</v>
      </c>
      <c r="V121" s="171">
        <f t="shared" si="283"/>
        <v>0</v>
      </c>
      <c r="W121" s="171">
        <f t="shared" si="283"/>
        <v>0</v>
      </c>
      <c r="X121" s="171">
        <f t="shared" si="283"/>
        <v>0</v>
      </c>
      <c r="Y121" s="171">
        <f t="shared" si="283"/>
        <v>0</v>
      </c>
      <c r="Z121" s="171">
        <f t="shared" si="283"/>
        <v>0</v>
      </c>
      <c r="AA121" s="171">
        <f t="shared" si="283"/>
        <v>0</v>
      </c>
      <c r="AB121" s="171">
        <f t="shared" si="283"/>
        <v>0</v>
      </c>
      <c r="AC121" s="171">
        <f t="shared" si="283"/>
        <v>0</v>
      </c>
      <c r="AD121" s="171">
        <f t="shared" si="283"/>
        <v>0</v>
      </c>
      <c r="AE121" s="171">
        <f t="shared" si="283"/>
        <v>0</v>
      </c>
      <c r="AF121" s="171">
        <f t="shared" si="283"/>
        <v>0</v>
      </c>
      <c r="AG121" s="171">
        <f t="shared" si="283"/>
        <v>0</v>
      </c>
      <c r="AH121" s="171">
        <f t="shared" si="283"/>
        <v>0</v>
      </c>
      <c r="AI121" s="171">
        <f t="shared" si="283"/>
        <v>0</v>
      </c>
      <c r="AJ121" s="171">
        <f t="shared" si="283"/>
        <v>0</v>
      </c>
      <c r="AK121" s="171">
        <f t="shared" si="283"/>
        <v>0</v>
      </c>
      <c r="AL121" s="171">
        <f t="shared" si="283"/>
        <v>0</v>
      </c>
      <c r="AM121" s="171">
        <f t="shared" si="283"/>
        <v>0</v>
      </c>
      <c r="AN121" s="171">
        <f t="shared" si="283"/>
        <v>0</v>
      </c>
      <c r="AO121" s="171">
        <f t="shared" si="283"/>
        <v>0</v>
      </c>
      <c r="AP121" s="171">
        <f t="shared" si="283"/>
        <v>0</v>
      </c>
      <c r="AQ121" s="171">
        <f t="shared" si="283"/>
        <v>0</v>
      </c>
      <c r="AR121" s="171">
        <f t="shared" ref="AR121:BW121" si="284">(MOD(IFERROR(DATEDIF($H120-1,AR$97+1,"m"),),$I$101)=0)*1*(AR$97&gt;$H120)*(AR$97&lt;=$H121)*SUM(AR119:AR120)</f>
        <v>0</v>
      </c>
      <c r="AS121" s="171">
        <f t="shared" si="284"/>
        <v>0</v>
      </c>
      <c r="AT121" s="171">
        <f t="shared" si="284"/>
        <v>0</v>
      </c>
      <c r="AU121" s="171">
        <f t="shared" si="284"/>
        <v>0</v>
      </c>
      <c r="AV121" s="171">
        <f t="shared" si="284"/>
        <v>0</v>
      </c>
      <c r="AW121" s="171">
        <f t="shared" si="284"/>
        <v>0</v>
      </c>
      <c r="AX121" s="171">
        <f t="shared" si="284"/>
        <v>0</v>
      </c>
      <c r="AY121" s="171">
        <f t="shared" si="284"/>
        <v>0</v>
      </c>
      <c r="AZ121" s="171">
        <f t="shared" si="284"/>
        <v>0</v>
      </c>
      <c r="BA121" s="171">
        <f t="shared" si="284"/>
        <v>0</v>
      </c>
      <c r="BB121" s="171">
        <f t="shared" si="284"/>
        <v>0</v>
      </c>
      <c r="BC121" s="171">
        <f t="shared" si="284"/>
        <v>0</v>
      </c>
      <c r="BD121" s="171">
        <f t="shared" si="284"/>
        <v>0</v>
      </c>
      <c r="BE121" s="171">
        <f t="shared" si="284"/>
        <v>0</v>
      </c>
      <c r="BF121" s="171">
        <f t="shared" si="284"/>
        <v>0</v>
      </c>
      <c r="BG121" s="171">
        <f t="shared" si="284"/>
        <v>0</v>
      </c>
      <c r="BH121" s="171">
        <f t="shared" si="284"/>
        <v>0</v>
      </c>
      <c r="BI121" s="171">
        <f t="shared" si="284"/>
        <v>0</v>
      </c>
      <c r="BJ121" s="171">
        <f t="shared" si="284"/>
        <v>0</v>
      </c>
      <c r="BK121" s="171">
        <f t="shared" si="284"/>
        <v>0</v>
      </c>
      <c r="BL121" s="171">
        <f t="shared" si="284"/>
        <v>0</v>
      </c>
      <c r="BM121" s="171">
        <f t="shared" si="284"/>
        <v>0</v>
      </c>
      <c r="BN121" s="171">
        <f t="shared" si="284"/>
        <v>0</v>
      </c>
      <c r="BO121" s="171">
        <f t="shared" si="284"/>
        <v>0</v>
      </c>
      <c r="BP121" s="171">
        <f t="shared" si="284"/>
        <v>0</v>
      </c>
      <c r="BQ121" s="171">
        <f t="shared" si="284"/>
        <v>0</v>
      </c>
      <c r="BR121" s="171">
        <f t="shared" si="284"/>
        <v>0</v>
      </c>
      <c r="BS121" s="171">
        <f t="shared" si="284"/>
        <v>0</v>
      </c>
      <c r="BT121" s="171">
        <f t="shared" si="284"/>
        <v>0</v>
      </c>
      <c r="BU121" s="171">
        <f t="shared" si="284"/>
        <v>0</v>
      </c>
      <c r="BV121" s="171">
        <f t="shared" si="284"/>
        <v>0</v>
      </c>
      <c r="BW121" s="171">
        <f t="shared" si="284"/>
        <v>0</v>
      </c>
      <c r="BX121" s="171">
        <f t="shared" ref="BX121:DC121" si="285">(MOD(IFERROR(DATEDIF($H120-1,BX$97+1,"m"),),$I$101)=0)*1*(BX$97&gt;$H120)*(BX$97&lt;=$H121)*SUM(BX119:BX120)</f>
        <v>0</v>
      </c>
      <c r="BY121" s="171">
        <f t="shared" si="285"/>
        <v>0</v>
      </c>
      <c r="BZ121" s="171">
        <f t="shared" si="285"/>
        <v>0</v>
      </c>
      <c r="CA121" s="171">
        <f t="shared" si="285"/>
        <v>0</v>
      </c>
      <c r="CB121" s="171">
        <f t="shared" si="285"/>
        <v>0</v>
      </c>
      <c r="CC121" s="171">
        <f t="shared" si="285"/>
        <v>0</v>
      </c>
      <c r="CD121" s="171">
        <f t="shared" si="285"/>
        <v>0</v>
      </c>
      <c r="CE121" s="171">
        <f t="shared" si="285"/>
        <v>0</v>
      </c>
      <c r="CF121" s="171">
        <f t="shared" si="285"/>
        <v>0</v>
      </c>
      <c r="CG121" s="171">
        <f t="shared" si="285"/>
        <v>0</v>
      </c>
      <c r="CH121" s="171">
        <f t="shared" si="285"/>
        <v>0</v>
      </c>
      <c r="CI121" s="171">
        <f t="shared" si="285"/>
        <v>0</v>
      </c>
      <c r="CJ121" s="171">
        <f t="shared" si="285"/>
        <v>0</v>
      </c>
      <c r="CK121" s="171">
        <f t="shared" si="285"/>
        <v>0</v>
      </c>
      <c r="CL121" s="171">
        <f t="shared" si="285"/>
        <v>0</v>
      </c>
      <c r="CM121" s="171">
        <f t="shared" si="285"/>
        <v>0</v>
      </c>
      <c r="CN121" s="171">
        <f t="shared" si="285"/>
        <v>0</v>
      </c>
      <c r="CO121" s="171">
        <f t="shared" si="285"/>
        <v>0</v>
      </c>
      <c r="CP121" s="171">
        <f t="shared" si="285"/>
        <v>0</v>
      </c>
      <c r="CQ121" s="171">
        <f t="shared" si="285"/>
        <v>0</v>
      </c>
      <c r="CR121" s="171">
        <f t="shared" si="285"/>
        <v>0</v>
      </c>
      <c r="CS121" s="171">
        <f t="shared" si="285"/>
        <v>0</v>
      </c>
      <c r="CT121" s="171">
        <f t="shared" si="285"/>
        <v>0</v>
      </c>
      <c r="CU121" s="171">
        <f t="shared" si="285"/>
        <v>0</v>
      </c>
      <c r="CV121" s="171">
        <f t="shared" si="285"/>
        <v>0</v>
      </c>
      <c r="CW121" s="171">
        <f t="shared" si="285"/>
        <v>0</v>
      </c>
      <c r="CX121" s="171">
        <f t="shared" si="285"/>
        <v>0</v>
      </c>
      <c r="CY121" s="171">
        <f t="shared" si="285"/>
        <v>0</v>
      </c>
      <c r="CZ121" s="171">
        <f t="shared" si="285"/>
        <v>0</v>
      </c>
      <c r="DA121" s="171">
        <f t="shared" si="285"/>
        <v>0</v>
      </c>
      <c r="DB121" s="171">
        <f t="shared" si="285"/>
        <v>0</v>
      </c>
      <c r="DC121" s="171">
        <f t="shared" si="285"/>
        <v>0</v>
      </c>
      <c r="DD121" s="171">
        <f t="shared" ref="DD121:EI121" si="286">(MOD(IFERROR(DATEDIF($H120-1,DD$97+1,"m"),),$I$101)=0)*1*(DD$97&gt;$H120)*(DD$97&lt;=$H121)*SUM(DD119:DD120)</f>
        <v>0</v>
      </c>
      <c r="DE121" s="171">
        <f t="shared" si="286"/>
        <v>0</v>
      </c>
      <c r="DF121" s="171">
        <f t="shared" si="286"/>
        <v>0</v>
      </c>
      <c r="DG121" s="171">
        <f t="shared" si="286"/>
        <v>0</v>
      </c>
      <c r="DH121" s="171">
        <f t="shared" si="286"/>
        <v>0</v>
      </c>
      <c r="DI121" s="171">
        <f t="shared" si="286"/>
        <v>0</v>
      </c>
      <c r="DJ121" s="171">
        <f t="shared" si="286"/>
        <v>0</v>
      </c>
      <c r="DK121" s="171">
        <f t="shared" si="286"/>
        <v>0</v>
      </c>
      <c r="DL121" s="171">
        <f t="shared" si="286"/>
        <v>0</v>
      </c>
      <c r="DM121" s="171">
        <f t="shared" si="286"/>
        <v>0</v>
      </c>
      <c r="DN121" s="171">
        <f t="shared" si="286"/>
        <v>0</v>
      </c>
      <c r="DO121" s="171">
        <f t="shared" si="286"/>
        <v>0</v>
      </c>
      <c r="DP121" s="171">
        <f t="shared" si="286"/>
        <v>0</v>
      </c>
      <c r="DQ121" s="171">
        <f t="shared" si="286"/>
        <v>0</v>
      </c>
      <c r="DR121" s="171">
        <f t="shared" si="286"/>
        <v>0</v>
      </c>
      <c r="DS121" s="171">
        <f t="shared" si="286"/>
        <v>0</v>
      </c>
      <c r="DT121" s="171">
        <f t="shared" si="286"/>
        <v>0</v>
      </c>
      <c r="DU121" s="171">
        <f t="shared" si="286"/>
        <v>0</v>
      </c>
      <c r="DV121" s="171">
        <f t="shared" si="286"/>
        <v>0</v>
      </c>
      <c r="DW121" s="171">
        <f t="shared" si="286"/>
        <v>0</v>
      </c>
      <c r="DX121" s="171">
        <f t="shared" si="286"/>
        <v>0</v>
      </c>
      <c r="DY121" s="171">
        <f t="shared" si="286"/>
        <v>0</v>
      </c>
      <c r="DZ121" s="171">
        <f t="shared" si="286"/>
        <v>0</v>
      </c>
      <c r="EA121" s="171">
        <f t="shared" si="286"/>
        <v>0</v>
      </c>
      <c r="EB121" s="171">
        <f t="shared" si="286"/>
        <v>0</v>
      </c>
      <c r="EC121" s="171">
        <f t="shared" si="286"/>
        <v>0</v>
      </c>
      <c r="ED121" s="1321">
        <f t="shared" si="286"/>
        <v>0</v>
      </c>
      <c r="EE121" s="171">
        <f t="shared" si="286"/>
        <v>0</v>
      </c>
      <c r="EF121" s="171">
        <f t="shared" si="286"/>
        <v>0</v>
      </c>
      <c r="EG121" s="171">
        <f t="shared" si="286"/>
        <v>0</v>
      </c>
      <c r="EH121" s="171">
        <f t="shared" si="286"/>
        <v>0</v>
      </c>
      <c r="EI121" s="171">
        <f t="shared" si="286"/>
        <v>0</v>
      </c>
      <c r="EJ121" s="171">
        <f t="shared" ref="EJ121:EQ121" si="287">(MOD(IFERROR(DATEDIF($H120-1,EJ$97+1,"m"),),$I$101)=0)*1*(EJ$97&gt;$H120)*(EJ$97&lt;=$H121)*SUM(EJ119:EJ120)</f>
        <v>0</v>
      </c>
      <c r="EK121" s="171">
        <f t="shared" si="287"/>
        <v>0</v>
      </c>
      <c r="EL121" s="171">
        <f t="shared" si="287"/>
        <v>0</v>
      </c>
      <c r="EM121" s="171">
        <f t="shared" si="287"/>
        <v>0</v>
      </c>
      <c r="EN121" s="171">
        <f t="shared" si="287"/>
        <v>0</v>
      </c>
      <c r="EO121" s="171">
        <f t="shared" si="287"/>
        <v>0</v>
      </c>
      <c r="EP121" s="171">
        <f t="shared" si="287"/>
        <v>0</v>
      </c>
      <c r="EQ121" s="171">
        <f t="shared" si="287"/>
        <v>0</v>
      </c>
    </row>
    <row r="122" spans="3:147" ht="11.25" customHeight="1">
      <c r="C122" s="163"/>
      <c r="D122" s="169" t="s">
        <v>233</v>
      </c>
      <c r="I122" s="65"/>
      <c r="J122" s="170"/>
      <c r="K122" s="98"/>
      <c r="L122" s="171">
        <f>L119+L120-L121</f>
        <v>0</v>
      </c>
      <c r="M122" s="171">
        <f t="shared" ref="M122:BX122" si="288">M119+M120-M121</f>
        <v>0</v>
      </c>
      <c r="N122" s="171">
        <f t="shared" si="288"/>
        <v>0</v>
      </c>
      <c r="O122" s="171">
        <f t="shared" si="288"/>
        <v>0</v>
      </c>
      <c r="P122" s="171">
        <f t="shared" si="288"/>
        <v>0</v>
      </c>
      <c r="Q122" s="171">
        <f t="shared" si="288"/>
        <v>0</v>
      </c>
      <c r="R122" s="171">
        <f t="shared" si="288"/>
        <v>0</v>
      </c>
      <c r="S122" s="171">
        <f t="shared" si="288"/>
        <v>0</v>
      </c>
      <c r="T122" s="171">
        <f t="shared" si="288"/>
        <v>0</v>
      </c>
      <c r="U122" s="171">
        <f t="shared" si="288"/>
        <v>0</v>
      </c>
      <c r="V122" s="171">
        <f t="shared" si="288"/>
        <v>0</v>
      </c>
      <c r="W122" s="171">
        <f t="shared" si="288"/>
        <v>0</v>
      </c>
      <c r="X122" s="171">
        <f t="shared" si="288"/>
        <v>0</v>
      </c>
      <c r="Y122" s="171">
        <f t="shared" si="288"/>
        <v>0</v>
      </c>
      <c r="Z122" s="171">
        <f t="shared" si="288"/>
        <v>0</v>
      </c>
      <c r="AA122" s="171">
        <f t="shared" si="288"/>
        <v>0</v>
      </c>
      <c r="AB122" s="171">
        <f t="shared" si="288"/>
        <v>0</v>
      </c>
      <c r="AC122" s="171">
        <f t="shared" si="288"/>
        <v>0</v>
      </c>
      <c r="AD122" s="171">
        <f t="shared" si="288"/>
        <v>0</v>
      </c>
      <c r="AE122" s="171">
        <f t="shared" si="288"/>
        <v>0</v>
      </c>
      <c r="AF122" s="171">
        <f t="shared" si="288"/>
        <v>0</v>
      </c>
      <c r="AG122" s="171">
        <f t="shared" si="288"/>
        <v>0</v>
      </c>
      <c r="AH122" s="171">
        <f t="shared" si="288"/>
        <v>0</v>
      </c>
      <c r="AI122" s="171">
        <f t="shared" si="288"/>
        <v>0</v>
      </c>
      <c r="AJ122" s="171">
        <f t="shared" si="288"/>
        <v>0</v>
      </c>
      <c r="AK122" s="171">
        <f t="shared" si="288"/>
        <v>0</v>
      </c>
      <c r="AL122" s="171">
        <f t="shared" si="288"/>
        <v>0</v>
      </c>
      <c r="AM122" s="171">
        <f t="shared" si="288"/>
        <v>0</v>
      </c>
      <c r="AN122" s="171">
        <f t="shared" si="288"/>
        <v>0</v>
      </c>
      <c r="AO122" s="171">
        <f t="shared" si="288"/>
        <v>0</v>
      </c>
      <c r="AP122" s="171">
        <f t="shared" si="288"/>
        <v>0</v>
      </c>
      <c r="AQ122" s="171">
        <f t="shared" si="288"/>
        <v>0</v>
      </c>
      <c r="AR122" s="171">
        <f t="shared" si="288"/>
        <v>0</v>
      </c>
      <c r="AS122" s="171">
        <f t="shared" si="288"/>
        <v>0</v>
      </c>
      <c r="AT122" s="171">
        <f t="shared" si="288"/>
        <v>0</v>
      </c>
      <c r="AU122" s="171">
        <f t="shared" si="288"/>
        <v>0</v>
      </c>
      <c r="AV122" s="171">
        <f t="shared" si="288"/>
        <v>0</v>
      </c>
      <c r="AW122" s="171">
        <f t="shared" si="288"/>
        <v>0</v>
      </c>
      <c r="AX122" s="171">
        <f t="shared" si="288"/>
        <v>0</v>
      </c>
      <c r="AY122" s="171">
        <f t="shared" si="288"/>
        <v>0</v>
      </c>
      <c r="AZ122" s="171">
        <f t="shared" si="288"/>
        <v>0</v>
      </c>
      <c r="BA122" s="171">
        <f t="shared" si="288"/>
        <v>0</v>
      </c>
      <c r="BB122" s="171">
        <f t="shared" si="288"/>
        <v>0</v>
      </c>
      <c r="BC122" s="171">
        <f t="shared" si="288"/>
        <v>0</v>
      </c>
      <c r="BD122" s="171">
        <f t="shared" si="288"/>
        <v>0</v>
      </c>
      <c r="BE122" s="171">
        <f t="shared" si="288"/>
        <v>0</v>
      </c>
      <c r="BF122" s="171">
        <f t="shared" si="288"/>
        <v>0</v>
      </c>
      <c r="BG122" s="171">
        <f t="shared" si="288"/>
        <v>0</v>
      </c>
      <c r="BH122" s="171">
        <f t="shared" si="288"/>
        <v>0</v>
      </c>
      <c r="BI122" s="171">
        <f t="shared" si="288"/>
        <v>0</v>
      </c>
      <c r="BJ122" s="171">
        <f t="shared" si="288"/>
        <v>0</v>
      </c>
      <c r="BK122" s="171">
        <f t="shared" si="288"/>
        <v>0</v>
      </c>
      <c r="BL122" s="171">
        <f t="shared" si="288"/>
        <v>0</v>
      </c>
      <c r="BM122" s="171">
        <f t="shared" si="288"/>
        <v>0</v>
      </c>
      <c r="BN122" s="171">
        <f t="shared" si="288"/>
        <v>0</v>
      </c>
      <c r="BO122" s="171">
        <f t="shared" si="288"/>
        <v>0</v>
      </c>
      <c r="BP122" s="171">
        <f t="shared" si="288"/>
        <v>0</v>
      </c>
      <c r="BQ122" s="171">
        <f t="shared" si="288"/>
        <v>0</v>
      </c>
      <c r="BR122" s="171">
        <f t="shared" si="288"/>
        <v>0</v>
      </c>
      <c r="BS122" s="171">
        <f t="shared" si="288"/>
        <v>0</v>
      </c>
      <c r="BT122" s="171">
        <f t="shared" si="288"/>
        <v>0</v>
      </c>
      <c r="BU122" s="171">
        <f t="shared" si="288"/>
        <v>0</v>
      </c>
      <c r="BV122" s="171">
        <f t="shared" si="288"/>
        <v>0</v>
      </c>
      <c r="BW122" s="171">
        <f t="shared" si="288"/>
        <v>0</v>
      </c>
      <c r="BX122" s="171">
        <f t="shared" si="288"/>
        <v>0</v>
      </c>
      <c r="BY122" s="171">
        <f t="shared" ref="BY122:EJ122" si="289">BY119+BY120-BY121</f>
        <v>0</v>
      </c>
      <c r="BZ122" s="171">
        <f t="shared" si="289"/>
        <v>0</v>
      </c>
      <c r="CA122" s="171">
        <f t="shared" si="289"/>
        <v>0</v>
      </c>
      <c r="CB122" s="171">
        <f t="shared" si="289"/>
        <v>0</v>
      </c>
      <c r="CC122" s="171">
        <f t="shared" si="289"/>
        <v>0</v>
      </c>
      <c r="CD122" s="171">
        <f t="shared" si="289"/>
        <v>0</v>
      </c>
      <c r="CE122" s="171">
        <f t="shared" si="289"/>
        <v>0</v>
      </c>
      <c r="CF122" s="171">
        <f t="shared" si="289"/>
        <v>0</v>
      </c>
      <c r="CG122" s="171">
        <f t="shared" si="289"/>
        <v>0</v>
      </c>
      <c r="CH122" s="171">
        <f t="shared" si="289"/>
        <v>0</v>
      </c>
      <c r="CI122" s="171">
        <f t="shared" si="289"/>
        <v>0</v>
      </c>
      <c r="CJ122" s="171">
        <f t="shared" si="289"/>
        <v>0</v>
      </c>
      <c r="CK122" s="171">
        <f t="shared" si="289"/>
        <v>0</v>
      </c>
      <c r="CL122" s="171">
        <f t="shared" si="289"/>
        <v>0</v>
      </c>
      <c r="CM122" s="171">
        <f t="shared" si="289"/>
        <v>0</v>
      </c>
      <c r="CN122" s="171">
        <f t="shared" si="289"/>
        <v>0</v>
      </c>
      <c r="CO122" s="171">
        <f t="shared" si="289"/>
        <v>0</v>
      </c>
      <c r="CP122" s="171">
        <f t="shared" si="289"/>
        <v>0</v>
      </c>
      <c r="CQ122" s="171">
        <f t="shared" si="289"/>
        <v>0</v>
      </c>
      <c r="CR122" s="171">
        <f t="shared" si="289"/>
        <v>0</v>
      </c>
      <c r="CS122" s="171">
        <f t="shared" si="289"/>
        <v>0</v>
      </c>
      <c r="CT122" s="171">
        <f t="shared" si="289"/>
        <v>0</v>
      </c>
      <c r="CU122" s="171">
        <f t="shared" si="289"/>
        <v>0</v>
      </c>
      <c r="CV122" s="171">
        <f t="shared" si="289"/>
        <v>0</v>
      </c>
      <c r="CW122" s="171">
        <f t="shared" si="289"/>
        <v>0</v>
      </c>
      <c r="CX122" s="171">
        <f t="shared" si="289"/>
        <v>0</v>
      </c>
      <c r="CY122" s="171">
        <f t="shared" si="289"/>
        <v>0</v>
      </c>
      <c r="CZ122" s="171">
        <f t="shared" si="289"/>
        <v>0</v>
      </c>
      <c r="DA122" s="171">
        <f t="shared" si="289"/>
        <v>0</v>
      </c>
      <c r="DB122" s="171">
        <f t="shared" si="289"/>
        <v>0</v>
      </c>
      <c r="DC122" s="171">
        <f t="shared" si="289"/>
        <v>0</v>
      </c>
      <c r="DD122" s="171">
        <f t="shared" si="289"/>
        <v>0</v>
      </c>
      <c r="DE122" s="171">
        <f t="shared" si="289"/>
        <v>0</v>
      </c>
      <c r="DF122" s="171">
        <f t="shared" si="289"/>
        <v>0</v>
      </c>
      <c r="DG122" s="171">
        <f t="shared" si="289"/>
        <v>0</v>
      </c>
      <c r="DH122" s="171">
        <f t="shared" si="289"/>
        <v>0</v>
      </c>
      <c r="DI122" s="171">
        <f t="shared" si="289"/>
        <v>0</v>
      </c>
      <c r="DJ122" s="171">
        <f t="shared" si="289"/>
        <v>0</v>
      </c>
      <c r="DK122" s="171">
        <f t="shared" si="289"/>
        <v>0</v>
      </c>
      <c r="DL122" s="171">
        <f t="shared" si="289"/>
        <v>0</v>
      </c>
      <c r="DM122" s="171">
        <f t="shared" si="289"/>
        <v>0</v>
      </c>
      <c r="DN122" s="171">
        <f t="shared" si="289"/>
        <v>0</v>
      </c>
      <c r="DO122" s="171">
        <f t="shared" si="289"/>
        <v>0</v>
      </c>
      <c r="DP122" s="171">
        <f t="shared" si="289"/>
        <v>0</v>
      </c>
      <c r="DQ122" s="171">
        <f t="shared" si="289"/>
        <v>0</v>
      </c>
      <c r="DR122" s="171">
        <f t="shared" si="289"/>
        <v>0</v>
      </c>
      <c r="DS122" s="171">
        <f t="shared" si="289"/>
        <v>0</v>
      </c>
      <c r="DT122" s="171">
        <f t="shared" si="289"/>
        <v>0</v>
      </c>
      <c r="DU122" s="171">
        <f t="shared" si="289"/>
        <v>0</v>
      </c>
      <c r="DV122" s="171">
        <f t="shared" si="289"/>
        <v>0</v>
      </c>
      <c r="DW122" s="171">
        <f t="shared" si="289"/>
        <v>0</v>
      </c>
      <c r="DX122" s="171">
        <f t="shared" si="289"/>
        <v>0</v>
      </c>
      <c r="DY122" s="171">
        <f t="shared" si="289"/>
        <v>0</v>
      </c>
      <c r="DZ122" s="171">
        <f t="shared" si="289"/>
        <v>0</v>
      </c>
      <c r="EA122" s="171">
        <f t="shared" si="289"/>
        <v>0</v>
      </c>
      <c r="EB122" s="171">
        <f t="shared" si="289"/>
        <v>0</v>
      </c>
      <c r="EC122" s="171">
        <f t="shared" si="289"/>
        <v>0</v>
      </c>
      <c r="ED122" s="1321">
        <f t="shared" si="289"/>
        <v>0</v>
      </c>
      <c r="EE122" s="171">
        <f t="shared" si="289"/>
        <v>0</v>
      </c>
      <c r="EF122" s="171">
        <f t="shared" si="289"/>
        <v>0</v>
      </c>
      <c r="EG122" s="171">
        <f t="shared" si="289"/>
        <v>0</v>
      </c>
      <c r="EH122" s="171">
        <f t="shared" si="289"/>
        <v>0</v>
      </c>
      <c r="EI122" s="171">
        <f t="shared" si="289"/>
        <v>0</v>
      </c>
      <c r="EJ122" s="171">
        <f t="shared" si="289"/>
        <v>0</v>
      </c>
      <c r="EK122" s="171">
        <f t="shared" ref="EK122:EQ122" si="290">EK119+EK120-EK121</f>
        <v>0</v>
      </c>
      <c r="EL122" s="171">
        <f t="shared" si="290"/>
        <v>0</v>
      </c>
      <c r="EM122" s="171">
        <f t="shared" si="290"/>
        <v>0</v>
      </c>
      <c r="EN122" s="171">
        <f t="shared" si="290"/>
        <v>0</v>
      </c>
      <c r="EO122" s="171">
        <f t="shared" si="290"/>
        <v>0</v>
      </c>
      <c r="EP122" s="171">
        <f t="shared" si="290"/>
        <v>0</v>
      </c>
      <c r="EQ122" s="171">
        <f t="shared" si="290"/>
        <v>0</v>
      </c>
    </row>
    <row r="123" spans="3:147" ht="11.25" customHeight="1">
      <c r="C123" s="158" t="str">
        <f>'A&amp;R'!L37</f>
        <v>중순위대출(3rd)</v>
      </c>
      <c r="D123" s="159"/>
      <c r="E123" s="159"/>
      <c r="F123" s="159"/>
      <c r="G123" s="159"/>
      <c r="H123" s="160"/>
      <c r="I123" s="246"/>
      <c r="J123" s="161"/>
      <c r="K123" s="98"/>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162"/>
      <c r="AK123" s="162"/>
      <c r="AL123" s="162"/>
      <c r="AM123" s="162"/>
      <c r="AN123" s="162"/>
      <c r="AO123" s="162"/>
      <c r="AP123" s="162"/>
      <c r="AQ123" s="162"/>
      <c r="AR123" s="162"/>
      <c r="AS123" s="162"/>
      <c r="AT123" s="162"/>
      <c r="AU123" s="162"/>
      <c r="AV123" s="162"/>
      <c r="AW123" s="162"/>
      <c r="AX123" s="162"/>
      <c r="AY123" s="162"/>
      <c r="AZ123" s="162"/>
      <c r="BA123" s="162"/>
      <c r="BB123" s="162"/>
      <c r="BC123" s="162"/>
      <c r="BD123" s="162"/>
      <c r="BE123" s="162"/>
      <c r="BF123" s="162"/>
      <c r="BG123" s="162"/>
      <c r="BH123" s="162"/>
      <c r="BI123" s="162"/>
      <c r="BJ123" s="162"/>
      <c r="BK123" s="162"/>
      <c r="BL123" s="162"/>
      <c r="BM123" s="162"/>
      <c r="BN123" s="162"/>
      <c r="BO123" s="162"/>
      <c r="BP123" s="162"/>
      <c r="BQ123" s="162"/>
      <c r="BR123" s="162"/>
      <c r="BS123" s="162"/>
      <c r="BT123" s="162"/>
      <c r="BU123" s="162"/>
      <c r="BV123" s="162"/>
      <c r="BW123" s="162"/>
      <c r="BX123" s="162"/>
      <c r="BY123" s="162"/>
      <c r="BZ123" s="162"/>
      <c r="CA123" s="162"/>
      <c r="CB123" s="162"/>
      <c r="CC123" s="162"/>
      <c r="CD123" s="162"/>
      <c r="CE123" s="162"/>
      <c r="CF123" s="162"/>
      <c r="CG123" s="162"/>
      <c r="CH123" s="162"/>
      <c r="CI123" s="162"/>
      <c r="CJ123" s="162"/>
      <c r="CK123" s="162"/>
      <c r="CL123" s="162"/>
      <c r="CM123" s="162"/>
      <c r="CN123" s="162"/>
      <c r="CO123" s="162"/>
      <c r="CP123" s="162"/>
      <c r="CQ123" s="162"/>
      <c r="CR123" s="162"/>
      <c r="CS123" s="162"/>
      <c r="CT123" s="162"/>
      <c r="CU123" s="162"/>
      <c r="CV123" s="162"/>
      <c r="CW123" s="162"/>
      <c r="CX123" s="162"/>
      <c r="CY123" s="162"/>
      <c r="CZ123" s="162"/>
      <c r="DA123" s="162"/>
      <c r="DB123" s="162"/>
      <c r="DC123" s="162"/>
      <c r="DD123" s="162"/>
      <c r="DE123" s="162"/>
      <c r="DF123" s="162"/>
      <c r="DG123" s="162"/>
      <c r="DH123" s="162"/>
      <c r="DI123" s="162"/>
      <c r="DJ123" s="162"/>
      <c r="DK123" s="162"/>
      <c r="DL123" s="162"/>
      <c r="DM123" s="162"/>
      <c r="DN123" s="162"/>
      <c r="DO123" s="162"/>
      <c r="DP123" s="162"/>
      <c r="DQ123" s="162"/>
      <c r="DR123" s="162"/>
      <c r="DS123" s="162"/>
      <c r="DT123" s="162"/>
      <c r="DU123" s="162"/>
      <c r="DV123" s="162"/>
      <c r="DW123" s="162"/>
      <c r="DX123" s="162"/>
      <c r="DY123" s="162"/>
      <c r="DZ123" s="162"/>
      <c r="EA123" s="162"/>
      <c r="EB123" s="162"/>
      <c r="EC123" s="162"/>
      <c r="ED123" s="1319"/>
      <c r="EE123" s="162"/>
      <c r="EF123" s="162"/>
      <c r="EG123" s="162"/>
      <c r="EH123" s="162"/>
      <c r="EI123" s="162"/>
      <c r="EJ123" s="162"/>
      <c r="EK123" s="162"/>
      <c r="EL123" s="162"/>
      <c r="EM123" s="162"/>
      <c r="EN123" s="162"/>
      <c r="EO123" s="162"/>
      <c r="EP123" s="162"/>
      <c r="EQ123" s="162"/>
    </row>
    <row r="124" spans="3:147" ht="11.25" customHeight="1">
      <c r="C124" s="163"/>
      <c r="D124" s="164" t="s">
        <v>230</v>
      </c>
      <c r="E124" s="165"/>
      <c r="F124" s="165"/>
      <c r="G124" s="165"/>
      <c r="H124" s="166"/>
      <c r="I124" s="247"/>
      <c r="J124" s="167"/>
      <c r="K124" s="98"/>
      <c r="L124" s="168">
        <f t="shared" ref="L124:AQ124" si="291">K127</f>
        <v>0</v>
      </c>
      <c r="M124" s="168">
        <f t="shared" si="291"/>
        <v>0</v>
      </c>
      <c r="N124" s="168">
        <f t="shared" si="291"/>
        <v>0</v>
      </c>
      <c r="O124" s="168">
        <f t="shared" si="291"/>
        <v>0</v>
      </c>
      <c r="P124" s="168">
        <f t="shared" si="291"/>
        <v>0</v>
      </c>
      <c r="Q124" s="168">
        <f t="shared" si="291"/>
        <v>0</v>
      </c>
      <c r="R124" s="168">
        <f t="shared" si="291"/>
        <v>0</v>
      </c>
      <c r="S124" s="168">
        <f t="shared" si="291"/>
        <v>0</v>
      </c>
      <c r="T124" s="168">
        <f t="shared" si="291"/>
        <v>0</v>
      </c>
      <c r="U124" s="168">
        <f t="shared" si="291"/>
        <v>0</v>
      </c>
      <c r="V124" s="168">
        <f t="shared" si="291"/>
        <v>0</v>
      </c>
      <c r="W124" s="168">
        <f t="shared" si="291"/>
        <v>0</v>
      </c>
      <c r="X124" s="168">
        <f t="shared" si="291"/>
        <v>0</v>
      </c>
      <c r="Y124" s="168">
        <f t="shared" si="291"/>
        <v>0</v>
      </c>
      <c r="Z124" s="168">
        <f t="shared" si="291"/>
        <v>0</v>
      </c>
      <c r="AA124" s="168">
        <f t="shared" si="291"/>
        <v>0</v>
      </c>
      <c r="AB124" s="168">
        <f t="shared" si="291"/>
        <v>0</v>
      </c>
      <c r="AC124" s="168">
        <f t="shared" si="291"/>
        <v>0</v>
      </c>
      <c r="AD124" s="168">
        <f t="shared" si="291"/>
        <v>0</v>
      </c>
      <c r="AE124" s="168">
        <f t="shared" si="291"/>
        <v>0</v>
      </c>
      <c r="AF124" s="168">
        <f t="shared" si="291"/>
        <v>0</v>
      </c>
      <c r="AG124" s="168">
        <f t="shared" si="291"/>
        <v>0</v>
      </c>
      <c r="AH124" s="168">
        <f t="shared" si="291"/>
        <v>0</v>
      </c>
      <c r="AI124" s="168">
        <f t="shared" si="291"/>
        <v>0</v>
      </c>
      <c r="AJ124" s="168">
        <f t="shared" si="291"/>
        <v>0</v>
      </c>
      <c r="AK124" s="168">
        <f t="shared" si="291"/>
        <v>0</v>
      </c>
      <c r="AL124" s="168">
        <f t="shared" si="291"/>
        <v>0</v>
      </c>
      <c r="AM124" s="168">
        <f t="shared" si="291"/>
        <v>0</v>
      </c>
      <c r="AN124" s="168">
        <f t="shared" si="291"/>
        <v>0</v>
      </c>
      <c r="AO124" s="168">
        <f t="shared" si="291"/>
        <v>0</v>
      </c>
      <c r="AP124" s="168">
        <f t="shared" si="291"/>
        <v>0</v>
      </c>
      <c r="AQ124" s="168">
        <f t="shared" si="291"/>
        <v>0</v>
      </c>
      <c r="AR124" s="168">
        <f t="shared" ref="AR124:BW124" si="292">AQ127</f>
        <v>0</v>
      </c>
      <c r="AS124" s="168">
        <f t="shared" si="292"/>
        <v>0</v>
      </c>
      <c r="AT124" s="168">
        <f t="shared" si="292"/>
        <v>0</v>
      </c>
      <c r="AU124" s="168">
        <f t="shared" si="292"/>
        <v>0</v>
      </c>
      <c r="AV124" s="168">
        <f t="shared" si="292"/>
        <v>0</v>
      </c>
      <c r="AW124" s="168">
        <f t="shared" si="292"/>
        <v>0</v>
      </c>
      <c r="AX124" s="168">
        <f t="shared" si="292"/>
        <v>0</v>
      </c>
      <c r="AY124" s="168">
        <f t="shared" si="292"/>
        <v>0</v>
      </c>
      <c r="AZ124" s="168">
        <f t="shared" si="292"/>
        <v>0</v>
      </c>
      <c r="BA124" s="168">
        <f t="shared" si="292"/>
        <v>0</v>
      </c>
      <c r="BB124" s="168">
        <f t="shared" si="292"/>
        <v>0</v>
      </c>
      <c r="BC124" s="168">
        <f t="shared" si="292"/>
        <v>0</v>
      </c>
      <c r="BD124" s="168">
        <f t="shared" si="292"/>
        <v>0</v>
      </c>
      <c r="BE124" s="168">
        <f t="shared" si="292"/>
        <v>0</v>
      </c>
      <c r="BF124" s="168">
        <f t="shared" si="292"/>
        <v>0</v>
      </c>
      <c r="BG124" s="168">
        <f t="shared" si="292"/>
        <v>0</v>
      </c>
      <c r="BH124" s="168">
        <f t="shared" si="292"/>
        <v>0</v>
      </c>
      <c r="BI124" s="168">
        <f t="shared" si="292"/>
        <v>0</v>
      </c>
      <c r="BJ124" s="168">
        <f t="shared" si="292"/>
        <v>0</v>
      </c>
      <c r="BK124" s="168">
        <f t="shared" si="292"/>
        <v>0</v>
      </c>
      <c r="BL124" s="168">
        <f t="shared" si="292"/>
        <v>0</v>
      </c>
      <c r="BM124" s="168">
        <f t="shared" si="292"/>
        <v>0</v>
      </c>
      <c r="BN124" s="168">
        <f t="shared" si="292"/>
        <v>0</v>
      </c>
      <c r="BO124" s="168">
        <f t="shared" si="292"/>
        <v>0</v>
      </c>
      <c r="BP124" s="168">
        <f t="shared" si="292"/>
        <v>0</v>
      </c>
      <c r="BQ124" s="168">
        <f t="shared" si="292"/>
        <v>0</v>
      </c>
      <c r="BR124" s="168">
        <f t="shared" si="292"/>
        <v>0</v>
      </c>
      <c r="BS124" s="168">
        <f t="shared" si="292"/>
        <v>0</v>
      </c>
      <c r="BT124" s="168">
        <f t="shared" si="292"/>
        <v>0</v>
      </c>
      <c r="BU124" s="168">
        <f t="shared" si="292"/>
        <v>0</v>
      </c>
      <c r="BV124" s="168">
        <f t="shared" si="292"/>
        <v>0</v>
      </c>
      <c r="BW124" s="168">
        <f t="shared" si="292"/>
        <v>0</v>
      </c>
      <c r="BX124" s="168">
        <f t="shared" ref="BX124:DC124" si="293">BW127</f>
        <v>0</v>
      </c>
      <c r="BY124" s="168">
        <f t="shared" si="293"/>
        <v>0</v>
      </c>
      <c r="BZ124" s="168">
        <f t="shared" si="293"/>
        <v>0</v>
      </c>
      <c r="CA124" s="168">
        <f t="shared" si="293"/>
        <v>0</v>
      </c>
      <c r="CB124" s="168">
        <f t="shared" si="293"/>
        <v>0</v>
      </c>
      <c r="CC124" s="168">
        <f t="shared" si="293"/>
        <v>0</v>
      </c>
      <c r="CD124" s="168">
        <f t="shared" si="293"/>
        <v>0</v>
      </c>
      <c r="CE124" s="168">
        <f t="shared" si="293"/>
        <v>0</v>
      </c>
      <c r="CF124" s="168">
        <f t="shared" si="293"/>
        <v>0</v>
      </c>
      <c r="CG124" s="168">
        <f t="shared" si="293"/>
        <v>0</v>
      </c>
      <c r="CH124" s="168">
        <f t="shared" si="293"/>
        <v>0</v>
      </c>
      <c r="CI124" s="168">
        <f t="shared" si="293"/>
        <v>0</v>
      </c>
      <c r="CJ124" s="168">
        <f t="shared" si="293"/>
        <v>0</v>
      </c>
      <c r="CK124" s="168">
        <f t="shared" si="293"/>
        <v>0</v>
      </c>
      <c r="CL124" s="168">
        <f t="shared" si="293"/>
        <v>0</v>
      </c>
      <c r="CM124" s="168">
        <f t="shared" si="293"/>
        <v>0</v>
      </c>
      <c r="CN124" s="168">
        <f t="shared" si="293"/>
        <v>0</v>
      </c>
      <c r="CO124" s="168">
        <f t="shared" si="293"/>
        <v>0</v>
      </c>
      <c r="CP124" s="168">
        <f t="shared" si="293"/>
        <v>0</v>
      </c>
      <c r="CQ124" s="168">
        <f t="shared" si="293"/>
        <v>0</v>
      </c>
      <c r="CR124" s="168">
        <f t="shared" si="293"/>
        <v>0</v>
      </c>
      <c r="CS124" s="168">
        <f t="shared" si="293"/>
        <v>0</v>
      </c>
      <c r="CT124" s="168">
        <f t="shared" si="293"/>
        <v>0</v>
      </c>
      <c r="CU124" s="168">
        <f t="shared" si="293"/>
        <v>0</v>
      </c>
      <c r="CV124" s="168">
        <f t="shared" si="293"/>
        <v>0</v>
      </c>
      <c r="CW124" s="168">
        <f t="shared" si="293"/>
        <v>0</v>
      </c>
      <c r="CX124" s="168">
        <f t="shared" si="293"/>
        <v>0</v>
      </c>
      <c r="CY124" s="168">
        <f t="shared" si="293"/>
        <v>0</v>
      </c>
      <c r="CZ124" s="168">
        <f t="shared" si="293"/>
        <v>0</v>
      </c>
      <c r="DA124" s="168">
        <f t="shared" si="293"/>
        <v>0</v>
      </c>
      <c r="DB124" s="168">
        <f t="shared" si="293"/>
        <v>0</v>
      </c>
      <c r="DC124" s="168">
        <f t="shared" si="293"/>
        <v>0</v>
      </c>
      <c r="DD124" s="168">
        <f t="shared" ref="DD124:EI124" si="294">DC127</f>
        <v>0</v>
      </c>
      <c r="DE124" s="168">
        <f t="shared" si="294"/>
        <v>0</v>
      </c>
      <c r="DF124" s="168">
        <f t="shared" si="294"/>
        <v>0</v>
      </c>
      <c r="DG124" s="168">
        <f t="shared" si="294"/>
        <v>0</v>
      </c>
      <c r="DH124" s="168">
        <f t="shared" si="294"/>
        <v>0</v>
      </c>
      <c r="DI124" s="168">
        <f t="shared" si="294"/>
        <v>0</v>
      </c>
      <c r="DJ124" s="168">
        <f t="shared" si="294"/>
        <v>0</v>
      </c>
      <c r="DK124" s="168">
        <f t="shared" si="294"/>
        <v>0</v>
      </c>
      <c r="DL124" s="168">
        <f t="shared" si="294"/>
        <v>0</v>
      </c>
      <c r="DM124" s="168">
        <f t="shared" si="294"/>
        <v>0</v>
      </c>
      <c r="DN124" s="168">
        <f t="shared" si="294"/>
        <v>0</v>
      </c>
      <c r="DO124" s="168">
        <f t="shared" si="294"/>
        <v>0</v>
      </c>
      <c r="DP124" s="168">
        <f t="shared" si="294"/>
        <v>0</v>
      </c>
      <c r="DQ124" s="168">
        <f t="shared" si="294"/>
        <v>0</v>
      </c>
      <c r="DR124" s="168">
        <f t="shared" si="294"/>
        <v>0</v>
      </c>
      <c r="DS124" s="168">
        <f t="shared" si="294"/>
        <v>0</v>
      </c>
      <c r="DT124" s="168">
        <f t="shared" si="294"/>
        <v>0</v>
      </c>
      <c r="DU124" s="168">
        <f t="shared" si="294"/>
        <v>0</v>
      </c>
      <c r="DV124" s="168">
        <f t="shared" si="294"/>
        <v>0</v>
      </c>
      <c r="DW124" s="168">
        <f t="shared" si="294"/>
        <v>0</v>
      </c>
      <c r="DX124" s="168">
        <f t="shared" si="294"/>
        <v>0</v>
      </c>
      <c r="DY124" s="168">
        <f t="shared" si="294"/>
        <v>0</v>
      </c>
      <c r="DZ124" s="168">
        <f t="shared" si="294"/>
        <v>0</v>
      </c>
      <c r="EA124" s="168">
        <f t="shared" si="294"/>
        <v>0</v>
      </c>
      <c r="EB124" s="168">
        <f t="shared" si="294"/>
        <v>0</v>
      </c>
      <c r="EC124" s="168">
        <f t="shared" si="294"/>
        <v>0</v>
      </c>
      <c r="ED124" s="1320">
        <f t="shared" si="294"/>
        <v>0</v>
      </c>
      <c r="EE124" s="168">
        <f t="shared" si="294"/>
        <v>0</v>
      </c>
      <c r="EF124" s="168">
        <f t="shared" si="294"/>
        <v>0</v>
      </c>
      <c r="EG124" s="168">
        <f t="shared" si="294"/>
        <v>0</v>
      </c>
      <c r="EH124" s="168">
        <f t="shared" si="294"/>
        <v>0</v>
      </c>
      <c r="EI124" s="168">
        <f t="shared" si="294"/>
        <v>0</v>
      </c>
      <c r="EJ124" s="168">
        <f t="shared" ref="EJ124:EQ124" si="295">EI127</f>
        <v>0</v>
      </c>
      <c r="EK124" s="168">
        <f t="shared" si="295"/>
        <v>0</v>
      </c>
      <c r="EL124" s="168">
        <f t="shared" si="295"/>
        <v>0</v>
      </c>
      <c r="EM124" s="168">
        <f t="shared" si="295"/>
        <v>0</v>
      </c>
      <c r="EN124" s="168">
        <f t="shared" si="295"/>
        <v>0</v>
      </c>
      <c r="EO124" s="168">
        <f t="shared" si="295"/>
        <v>0</v>
      </c>
      <c r="EP124" s="168">
        <f t="shared" si="295"/>
        <v>0</v>
      </c>
      <c r="EQ124" s="168">
        <f t="shared" si="295"/>
        <v>0</v>
      </c>
    </row>
    <row r="125" spans="3:147" ht="11.25" customHeight="1">
      <c r="C125" s="163"/>
      <c r="D125" s="169" t="s">
        <v>231</v>
      </c>
      <c r="H125" s="146">
        <f>'A&amp;R'!M37</f>
        <v>48152</v>
      </c>
      <c r="I125" s="65">
        <f>'A&amp;R'!Q37</f>
        <v>5.7000000000000002E-2</v>
      </c>
      <c r="J125" s="170">
        <f>SUM(L125:EQ125)</f>
        <v>0</v>
      </c>
      <c r="K125" s="98"/>
      <c r="L125" s="171">
        <f>L46*$I125/12</f>
        <v>0</v>
      </c>
      <c r="M125" s="171">
        <f t="shared" ref="M125:BX125" si="296">M46*$I125/12</f>
        <v>0</v>
      </c>
      <c r="N125" s="171">
        <f t="shared" si="296"/>
        <v>0</v>
      </c>
      <c r="O125" s="171">
        <f t="shared" si="296"/>
        <v>0</v>
      </c>
      <c r="P125" s="171">
        <f t="shared" si="296"/>
        <v>0</v>
      </c>
      <c r="Q125" s="171">
        <f t="shared" si="296"/>
        <v>0</v>
      </c>
      <c r="R125" s="171">
        <f t="shared" si="296"/>
        <v>0</v>
      </c>
      <c r="S125" s="171">
        <f t="shared" si="296"/>
        <v>0</v>
      </c>
      <c r="T125" s="171">
        <f t="shared" si="296"/>
        <v>0</v>
      </c>
      <c r="U125" s="171">
        <f t="shared" si="296"/>
        <v>0</v>
      </c>
      <c r="V125" s="171">
        <f t="shared" si="296"/>
        <v>0</v>
      </c>
      <c r="W125" s="171">
        <f t="shared" si="296"/>
        <v>0</v>
      </c>
      <c r="X125" s="171">
        <f t="shared" si="296"/>
        <v>0</v>
      </c>
      <c r="Y125" s="171">
        <f t="shared" si="296"/>
        <v>0</v>
      </c>
      <c r="Z125" s="171">
        <f t="shared" si="296"/>
        <v>0</v>
      </c>
      <c r="AA125" s="171">
        <f t="shared" si="296"/>
        <v>0</v>
      </c>
      <c r="AB125" s="171">
        <f t="shared" si="296"/>
        <v>0</v>
      </c>
      <c r="AC125" s="171">
        <f t="shared" si="296"/>
        <v>0</v>
      </c>
      <c r="AD125" s="171">
        <f t="shared" si="296"/>
        <v>0</v>
      </c>
      <c r="AE125" s="171">
        <f t="shared" si="296"/>
        <v>0</v>
      </c>
      <c r="AF125" s="171">
        <f t="shared" si="296"/>
        <v>0</v>
      </c>
      <c r="AG125" s="171">
        <f t="shared" si="296"/>
        <v>0</v>
      </c>
      <c r="AH125" s="171">
        <f t="shared" si="296"/>
        <v>0</v>
      </c>
      <c r="AI125" s="171">
        <f t="shared" si="296"/>
        <v>0</v>
      </c>
      <c r="AJ125" s="171">
        <f t="shared" si="296"/>
        <v>0</v>
      </c>
      <c r="AK125" s="171">
        <f t="shared" si="296"/>
        <v>0</v>
      </c>
      <c r="AL125" s="171">
        <f t="shared" si="296"/>
        <v>0</v>
      </c>
      <c r="AM125" s="171">
        <f t="shared" si="296"/>
        <v>0</v>
      </c>
      <c r="AN125" s="171">
        <f t="shared" si="296"/>
        <v>0</v>
      </c>
      <c r="AO125" s="171">
        <f t="shared" si="296"/>
        <v>0</v>
      </c>
      <c r="AP125" s="171">
        <f t="shared" si="296"/>
        <v>0</v>
      </c>
      <c r="AQ125" s="171">
        <f t="shared" si="296"/>
        <v>0</v>
      </c>
      <c r="AR125" s="171">
        <f t="shared" si="296"/>
        <v>0</v>
      </c>
      <c r="AS125" s="171">
        <f t="shared" si="296"/>
        <v>0</v>
      </c>
      <c r="AT125" s="171">
        <f t="shared" si="296"/>
        <v>0</v>
      </c>
      <c r="AU125" s="171">
        <f t="shared" si="296"/>
        <v>0</v>
      </c>
      <c r="AV125" s="171">
        <f t="shared" si="296"/>
        <v>0</v>
      </c>
      <c r="AW125" s="171">
        <f t="shared" si="296"/>
        <v>0</v>
      </c>
      <c r="AX125" s="171">
        <f t="shared" si="296"/>
        <v>0</v>
      </c>
      <c r="AY125" s="171">
        <f t="shared" si="296"/>
        <v>0</v>
      </c>
      <c r="AZ125" s="171">
        <f t="shared" si="296"/>
        <v>0</v>
      </c>
      <c r="BA125" s="171">
        <f t="shared" si="296"/>
        <v>0</v>
      </c>
      <c r="BB125" s="171">
        <f t="shared" si="296"/>
        <v>0</v>
      </c>
      <c r="BC125" s="171">
        <f t="shared" si="296"/>
        <v>0</v>
      </c>
      <c r="BD125" s="171">
        <f t="shared" si="296"/>
        <v>0</v>
      </c>
      <c r="BE125" s="171">
        <f t="shared" si="296"/>
        <v>0</v>
      </c>
      <c r="BF125" s="171">
        <f t="shared" si="296"/>
        <v>0</v>
      </c>
      <c r="BG125" s="171">
        <f t="shared" si="296"/>
        <v>0</v>
      </c>
      <c r="BH125" s="171">
        <f t="shared" si="296"/>
        <v>0</v>
      </c>
      <c r="BI125" s="171">
        <f t="shared" si="296"/>
        <v>0</v>
      </c>
      <c r="BJ125" s="171">
        <f t="shared" si="296"/>
        <v>0</v>
      </c>
      <c r="BK125" s="171">
        <f t="shared" si="296"/>
        <v>0</v>
      </c>
      <c r="BL125" s="171">
        <f t="shared" si="296"/>
        <v>0</v>
      </c>
      <c r="BM125" s="171">
        <f t="shared" si="296"/>
        <v>0</v>
      </c>
      <c r="BN125" s="171">
        <f t="shared" si="296"/>
        <v>0</v>
      </c>
      <c r="BO125" s="171">
        <f t="shared" si="296"/>
        <v>0</v>
      </c>
      <c r="BP125" s="171">
        <f t="shared" si="296"/>
        <v>0</v>
      </c>
      <c r="BQ125" s="171">
        <f t="shared" si="296"/>
        <v>0</v>
      </c>
      <c r="BR125" s="171">
        <f t="shared" si="296"/>
        <v>0</v>
      </c>
      <c r="BS125" s="171">
        <f t="shared" si="296"/>
        <v>0</v>
      </c>
      <c r="BT125" s="171">
        <f t="shared" si="296"/>
        <v>0</v>
      </c>
      <c r="BU125" s="171">
        <f t="shared" si="296"/>
        <v>0</v>
      </c>
      <c r="BV125" s="171">
        <f t="shared" si="296"/>
        <v>0</v>
      </c>
      <c r="BW125" s="171">
        <f t="shared" si="296"/>
        <v>0</v>
      </c>
      <c r="BX125" s="171">
        <f t="shared" si="296"/>
        <v>0</v>
      </c>
      <c r="BY125" s="171">
        <f t="shared" ref="BY125:EJ125" si="297">BY46*$I125/12</f>
        <v>0</v>
      </c>
      <c r="BZ125" s="171">
        <f t="shared" si="297"/>
        <v>0</v>
      </c>
      <c r="CA125" s="171">
        <f t="shared" si="297"/>
        <v>0</v>
      </c>
      <c r="CB125" s="171">
        <f t="shared" si="297"/>
        <v>0</v>
      </c>
      <c r="CC125" s="171">
        <f t="shared" si="297"/>
        <v>0</v>
      </c>
      <c r="CD125" s="171">
        <f t="shared" si="297"/>
        <v>0</v>
      </c>
      <c r="CE125" s="171">
        <f t="shared" si="297"/>
        <v>0</v>
      </c>
      <c r="CF125" s="171">
        <f t="shared" si="297"/>
        <v>0</v>
      </c>
      <c r="CG125" s="171">
        <f t="shared" si="297"/>
        <v>0</v>
      </c>
      <c r="CH125" s="171">
        <f t="shared" si="297"/>
        <v>0</v>
      </c>
      <c r="CI125" s="171">
        <f t="shared" si="297"/>
        <v>0</v>
      </c>
      <c r="CJ125" s="171">
        <f t="shared" si="297"/>
        <v>0</v>
      </c>
      <c r="CK125" s="171">
        <f t="shared" si="297"/>
        <v>0</v>
      </c>
      <c r="CL125" s="171">
        <f t="shared" si="297"/>
        <v>0</v>
      </c>
      <c r="CM125" s="171">
        <f t="shared" si="297"/>
        <v>0</v>
      </c>
      <c r="CN125" s="171">
        <f t="shared" si="297"/>
        <v>0</v>
      </c>
      <c r="CO125" s="171">
        <f t="shared" si="297"/>
        <v>0</v>
      </c>
      <c r="CP125" s="171">
        <f t="shared" si="297"/>
        <v>0</v>
      </c>
      <c r="CQ125" s="171">
        <f t="shared" si="297"/>
        <v>0</v>
      </c>
      <c r="CR125" s="171">
        <f t="shared" si="297"/>
        <v>0</v>
      </c>
      <c r="CS125" s="171">
        <f t="shared" si="297"/>
        <v>0</v>
      </c>
      <c r="CT125" s="171">
        <f t="shared" si="297"/>
        <v>0</v>
      </c>
      <c r="CU125" s="171">
        <f t="shared" si="297"/>
        <v>0</v>
      </c>
      <c r="CV125" s="171">
        <f t="shared" si="297"/>
        <v>0</v>
      </c>
      <c r="CW125" s="171">
        <f t="shared" si="297"/>
        <v>0</v>
      </c>
      <c r="CX125" s="171">
        <f t="shared" si="297"/>
        <v>0</v>
      </c>
      <c r="CY125" s="171">
        <f t="shared" si="297"/>
        <v>0</v>
      </c>
      <c r="CZ125" s="171">
        <f t="shared" si="297"/>
        <v>0</v>
      </c>
      <c r="DA125" s="171">
        <f t="shared" si="297"/>
        <v>0</v>
      </c>
      <c r="DB125" s="171">
        <f t="shared" si="297"/>
        <v>0</v>
      </c>
      <c r="DC125" s="171">
        <f t="shared" si="297"/>
        <v>0</v>
      </c>
      <c r="DD125" s="171">
        <f t="shared" si="297"/>
        <v>0</v>
      </c>
      <c r="DE125" s="171">
        <f t="shared" si="297"/>
        <v>0</v>
      </c>
      <c r="DF125" s="171">
        <f t="shared" si="297"/>
        <v>0</v>
      </c>
      <c r="DG125" s="171">
        <f t="shared" si="297"/>
        <v>0</v>
      </c>
      <c r="DH125" s="171">
        <f t="shared" si="297"/>
        <v>0</v>
      </c>
      <c r="DI125" s="171">
        <f t="shared" si="297"/>
        <v>0</v>
      </c>
      <c r="DJ125" s="171">
        <f t="shared" si="297"/>
        <v>0</v>
      </c>
      <c r="DK125" s="171">
        <f t="shared" si="297"/>
        <v>0</v>
      </c>
      <c r="DL125" s="171">
        <f t="shared" si="297"/>
        <v>0</v>
      </c>
      <c r="DM125" s="171">
        <f t="shared" si="297"/>
        <v>0</v>
      </c>
      <c r="DN125" s="171">
        <f t="shared" si="297"/>
        <v>0</v>
      </c>
      <c r="DO125" s="171">
        <f t="shared" si="297"/>
        <v>0</v>
      </c>
      <c r="DP125" s="171">
        <f t="shared" si="297"/>
        <v>0</v>
      </c>
      <c r="DQ125" s="171">
        <f t="shared" si="297"/>
        <v>0</v>
      </c>
      <c r="DR125" s="171">
        <f t="shared" si="297"/>
        <v>0</v>
      </c>
      <c r="DS125" s="171">
        <f t="shared" si="297"/>
        <v>0</v>
      </c>
      <c r="DT125" s="171">
        <f t="shared" si="297"/>
        <v>0</v>
      </c>
      <c r="DU125" s="171">
        <f t="shared" si="297"/>
        <v>0</v>
      </c>
      <c r="DV125" s="171">
        <f t="shared" si="297"/>
        <v>0</v>
      </c>
      <c r="DW125" s="171">
        <f t="shared" si="297"/>
        <v>0</v>
      </c>
      <c r="DX125" s="171">
        <f t="shared" si="297"/>
        <v>0</v>
      </c>
      <c r="DY125" s="171">
        <f t="shared" si="297"/>
        <v>0</v>
      </c>
      <c r="DZ125" s="171">
        <f t="shared" si="297"/>
        <v>0</v>
      </c>
      <c r="EA125" s="171">
        <f t="shared" si="297"/>
        <v>0</v>
      </c>
      <c r="EB125" s="171">
        <f t="shared" si="297"/>
        <v>0</v>
      </c>
      <c r="EC125" s="171">
        <f t="shared" si="297"/>
        <v>0</v>
      </c>
      <c r="ED125" s="1321">
        <f t="shared" si="297"/>
        <v>0</v>
      </c>
      <c r="EE125" s="171">
        <f t="shared" si="297"/>
        <v>0</v>
      </c>
      <c r="EF125" s="171">
        <f t="shared" si="297"/>
        <v>0</v>
      </c>
      <c r="EG125" s="171">
        <f t="shared" si="297"/>
        <v>0</v>
      </c>
      <c r="EH125" s="171">
        <f t="shared" si="297"/>
        <v>0</v>
      </c>
      <c r="EI125" s="171">
        <f t="shared" si="297"/>
        <v>0</v>
      </c>
      <c r="EJ125" s="171">
        <f t="shared" si="297"/>
        <v>0</v>
      </c>
      <c r="EK125" s="171">
        <f t="shared" ref="EK125:EQ125" si="298">EK46*$I125/12</f>
        <v>0</v>
      </c>
      <c r="EL125" s="171">
        <f t="shared" si="298"/>
        <v>0</v>
      </c>
      <c r="EM125" s="171">
        <f t="shared" si="298"/>
        <v>0</v>
      </c>
      <c r="EN125" s="171">
        <f t="shared" si="298"/>
        <v>0</v>
      </c>
      <c r="EO125" s="171">
        <f t="shared" si="298"/>
        <v>0</v>
      </c>
      <c r="EP125" s="171">
        <f t="shared" si="298"/>
        <v>0</v>
      </c>
      <c r="EQ125" s="171">
        <f t="shared" si="298"/>
        <v>0</v>
      </c>
    </row>
    <row r="126" spans="3:147" ht="11.25" customHeight="1">
      <c r="C126" s="163"/>
      <c r="D126" s="169" t="s">
        <v>232</v>
      </c>
      <c r="H126" s="146">
        <f>'A&amp;R'!N37</f>
        <v>49979</v>
      </c>
      <c r="I126" s="1646">
        <v>3</v>
      </c>
      <c r="J126" s="170">
        <f>SUM(L126:EQ126)</f>
        <v>0</v>
      </c>
      <c r="K126" s="98"/>
      <c r="L126" s="171">
        <f t="shared" ref="L126:AQ126" si="299">(MOD(IFERROR(DATEDIF($H125-1,L$97+1,"m"),),$I$101)=0)*1*(L$97&gt;$H125)*(L$97&lt;=$H126)*SUM(L124:L125)</f>
        <v>0</v>
      </c>
      <c r="M126" s="171">
        <f t="shared" si="299"/>
        <v>0</v>
      </c>
      <c r="N126" s="171">
        <f t="shared" si="299"/>
        <v>0</v>
      </c>
      <c r="O126" s="171">
        <f t="shared" si="299"/>
        <v>0</v>
      </c>
      <c r="P126" s="171">
        <f t="shared" si="299"/>
        <v>0</v>
      </c>
      <c r="Q126" s="171">
        <f t="shared" si="299"/>
        <v>0</v>
      </c>
      <c r="R126" s="171">
        <f t="shared" si="299"/>
        <v>0</v>
      </c>
      <c r="S126" s="171">
        <f t="shared" si="299"/>
        <v>0</v>
      </c>
      <c r="T126" s="171">
        <f t="shared" si="299"/>
        <v>0</v>
      </c>
      <c r="U126" s="171">
        <f t="shared" si="299"/>
        <v>0</v>
      </c>
      <c r="V126" s="171">
        <f t="shared" si="299"/>
        <v>0</v>
      </c>
      <c r="W126" s="171">
        <f t="shared" si="299"/>
        <v>0</v>
      </c>
      <c r="X126" s="171">
        <f t="shared" si="299"/>
        <v>0</v>
      </c>
      <c r="Y126" s="171">
        <f t="shared" si="299"/>
        <v>0</v>
      </c>
      <c r="Z126" s="171">
        <f t="shared" si="299"/>
        <v>0</v>
      </c>
      <c r="AA126" s="171">
        <f t="shared" si="299"/>
        <v>0</v>
      </c>
      <c r="AB126" s="171">
        <f t="shared" si="299"/>
        <v>0</v>
      </c>
      <c r="AC126" s="171">
        <f t="shared" si="299"/>
        <v>0</v>
      </c>
      <c r="AD126" s="171">
        <f t="shared" si="299"/>
        <v>0</v>
      </c>
      <c r="AE126" s="171">
        <f t="shared" si="299"/>
        <v>0</v>
      </c>
      <c r="AF126" s="171">
        <f t="shared" si="299"/>
        <v>0</v>
      </c>
      <c r="AG126" s="171">
        <f t="shared" si="299"/>
        <v>0</v>
      </c>
      <c r="AH126" s="171">
        <f t="shared" si="299"/>
        <v>0</v>
      </c>
      <c r="AI126" s="171">
        <f t="shared" si="299"/>
        <v>0</v>
      </c>
      <c r="AJ126" s="171">
        <f t="shared" si="299"/>
        <v>0</v>
      </c>
      <c r="AK126" s="171">
        <f t="shared" si="299"/>
        <v>0</v>
      </c>
      <c r="AL126" s="171">
        <f t="shared" si="299"/>
        <v>0</v>
      </c>
      <c r="AM126" s="171">
        <f t="shared" si="299"/>
        <v>0</v>
      </c>
      <c r="AN126" s="171">
        <f t="shared" si="299"/>
        <v>0</v>
      </c>
      <c r="AO126" s="171">
        <f t="shared" si="299"/>
        <v>0</v>
      </c>
      <c r="AP126" s="171">
        <f t="shared" si="299"/>
        <v>0</v>
      </c>
      <c r="AQ126" s="171">
        <f t="shared" si="299"/>
        <v>0</v>
      </c>
      <c r="AR126" s="171">
        <f t="shared" ref="AR126:BW126" si="300">(MOD(IFERROR(DATEDIF($H125-1,AR$97+1,"m"),),$I$101)=0)*1*(AR$97&gt;$H125)*(AR$97&lt;=$H126)*SUM(AR124:AR125)</f>
        <v>0</v>
      </c>
      <c r="AS126" s="171">
        <f t="shared" si="300"/>
        <v>0</v>
      </c>
      <c r="AT126" s="171">
        <f t="shared" si="300"/>
        <v>0</v>
      </c>
      <c r="AU126" s="171">
        <f t="shared" si="300"/>
        <v>0</v>
      </c>
      <c r="AV126" s="171">
        <f t="shared" si="300"/>
        <v>0</v>
      </c>
      <c r="AW126" s="171">
        <f t="shared" si="300"/>
        <v>0</v>
      </c>
      <c r="AX126" s="171">
        <f t="shared" si="300"/>
        <v>0</v>
      </c>
      <c r="AY126" s="171">
        <f t="shared" si="300"/>
        <v>0</v>
      </c>
      <c r="AZ126" s="171">
        <f t="shared" si="300"/>
        <v>0</v>
      </c>
      <c r="BA126" s="171">
        <f t="shared" si="300"/>
        <v>0</v>
      </c>
      <c r="BB126" s="171">
        <f t="shared" si="300"/>
        <v>0</v>
      </c>
      <c r="BC126" s="171">
        <f t="shared" si="300"/>
        <v>0</v>
      </c>
      <c r="BD126" s="171">
        <f t="shared" si="300"/>
        <v>0</v>
      </c>
      <c r="BE126" s="171">
        <f t="shared" si="300"/>
        <v>0</v>
      </c>
      <c r="BF126" s="171">
        <f t="shared" si="300"/>
        <v>0</v>
      </c>
      <c r="BG126" s="171">
        <f t="shared" si="300"/>
        <v>0</v>
      </c>
      <c r="BH126" s="171">
        <f t="shared" si="300"/>
        <v>0</v>
      </c>
      <c r="BI126" s="171">
        <f t="shared" si="300"/>
        <v>0</v>
      </c>
      <c r="BJ126" s="171">
        <f t="shared" si="300"/>
        <v>0</v>
      </c>
      <c r="BK126" s="171">
        <f t="shared" si="300"/>
        <v>0</v>
      </c>
      <c r="BL126" s="171">
        <f t="shared" si="300"/>
        <v>0</v>
      </c>
      <c r="BM126" s="171">
        <f t="shared" si="300"/>
        <v>0</v>
      </c>
      <c r="BN126" s="171">
        <f t="shared" si="300"/>
        <v>0</v>
      </c>
      <c r="BO126" s="171">
        <f t="shared" si="300"/>
        <v>0</v>
      </c>
      <c r="BP126" s="171">
        <f t="shared" si="300"/>
        <v>0</v>
      </c>
      <c r="BQ126" s="171">
        <f t="shared" si="300"/>
        <v>0</v>
      </c>
      <c r="BR126" s="171">
        <f t="shared" si="300"/>
        <v>0</v>
      </c>
      <c r="BS126" s="171">
        <f t="shared" si="300"/>
        <v>0</v>
      </c>
      <c r="BT126" s="171">
        <f t="shared" si="300"/>
        <v>0</v>
      </c>
      <c r="BU126" s="171">
        <f t="shared" si="300"/>
        <v>0</v>
      </c>
      <c r="BV126" s="171">
        <f t="shared" si="300"/>
        <v>0</v>
      </c>
      <c r="BW126" s="171">
        <f t="shared" si="300"/>
        <v>0</v>
      </c>
      <c r="BX126" s="171">
        <f t="shared" ref="BX126:DC126" si="301">(MOD(IFERROR(DATEDIF($H125-1,BX$97+1,"m"),),$I$101)=0)*1*(BX$97&gt;$H125)*(BX$97&lt;=$H126)*SUM(BX124:BX125)</f>
        <v>0</v>
      </c>
      <c r="BY126" s="171">
        <f t="shared" si="301"/>
        <v>0</v>
      </c>
      <c r="BZ126" s="171">
        <f t="shared" si="301"/>
        <v>0</v>
      </c>
      <c r="CA126" s="171">
        <f t="shared" si="301"/>
        <v>0</v>
      </c>
      <c r="CB126" s="171">
        <f t="shared" si="301"/>
        <v>0</v>
      </c>
      <c r="CC126" s="171">
        <f t="shared" si="301"/>
        <v>0</v>
      </c>
      <c r="CD126" s="171">
        <f t="shared" si="301"/>
        <v>0</v>
      </c>
      <c r="CE126" s="171">
        <f t="shared" si="301"/>
        <v>0</v>
      </c>
      <c r="CF126" s="171">
        <f t="shared" si="301"/>
        <v>0</v>
      </c>
      <c r="CG126" s="171">
        <f t="shared" si="301"/>
        <v>0</v>
      </c>
      <c r="CH126" s="171">
        <f t="shared" si="301"/>
        <v>0</v>
      </c>
      <c r="CI126" s="171">
        <f t="shared" si="301"/>
        <v>0</v>
      </c>
      <c r="CJ126" s="171">
        <f t="shared" si="301"/>
        <v>0</v>
      </c>
      <c r="CK126" s="171">
        <f t="shared" si="301"/>
        <v>0</v>
      </c>
      <c r="CL126" s="171">
        <f t="shared" si="301"/>
        <v>0</v>
      </c>
      <c r="CM126" s="171">
        <f t="shared" si="301"/>
        <v>0</v>
      </c>
      <c r="CN126" s="171">
        <f t="shared" si="301"/>
        <v>0</v>
      </c>
      <c r="CO126" s="171">
        <f t="shared" si="301"/>
        <v>0</v>
      </c>
      <c r="CP126" s="171">
        <f t="shared" si="301"/>
        <v>0</v>
      </c>
      <c r="CQ126" s="171">
        <f t="shared" si="301"/>
        <v>0</v>
      </c>
      <c r="CR126" s="171">
        <f t="shared" si="301"/>
        <v>0</v>
      </c>
      <c r="CS126" s="171">
        <f t="shared" si="301"/>
        <v>0</v>
      </c>
      <c r="CT126" s="171">
        <f t="shared" si="301"/>
        <v>0</v>
      </c>
      <c r="CU126" s="171">
        <f t="shared" si="301"/>
        <v>0</v>
      </c>
      <c r="CV126" s="171">
        <f t="shared" si="301"/>
        <v>0</v>
      </c>
      <c r="CW126" s="171">
        <f t="shared" si="301"/>
        <v>0</v>
      </c>
      <c r="CX126" s="171">
        <f t="shared" si="301"/>
        <v>0</v>
      </c>
      <c r="CY126" s="171">
        <f t="shared" si="301"/>
        <v>0</v>
      </c>
      <c r="CZ126" s="171">
        <f t="shared" si="301"/>
        <v>0</v>
      </c>
      <c r="DA126" s="171">
        <f t="shared" si="301"/>
        <v>0</v>
      </c>
      <c r="DB126" s="171">
        <f t="shared" si="301"/>
        <v>0</v>
      </c>
      <c r="DC126" s="171">
        <f t="shared" si="301"/>
        <v>0</v>
      </c>
      <c r="DD126" s="171">
        <f t="shared" ref="DD126:EI126" si="302">(MOD(IFERROR(DATEDIF($H125-1,DD$97+1,"m"),),$I$101)=0)*1*(DD$97&gt;$H125)*(DD$97&lt;=$H126)*SUM(DD124:DD125)</f>
        <v>0</v>
      </c>
      <c r="DE126" s="171">
        <f t="shared" si="302"/>
        <v>0</v>
      </c>
      <c r="DF126" s="171">
        <f t="shared" si="302"/>
        <v>0</v>
      </c>
      <c r="DG126" s="171">
        <f t="shared" si="302"/>
        <v>0</v>
      </c>
      <c r="DH126" s="171">
        <f t="shared" si="302"/>
        <v>0</v>
      </c>
      <c r="DI126" s="171">
        <f t="shared" si="302"/>
        <v>0</v>
      </c>
      <c r="DJ126" s="171">
        <f t="shared" si="302"/>
        <v>0</v>
      </c>
      <c r="DK126" s="171">
        <f t="shared" si="302"/>
        <v>0</v>
      </c>
      <c r="DL126" s="171">
        <f t="shared" si="302"/>
        <v>0</v>
      </c>
      <c r="DM126" s="171">
        <f t="shared" si="302"/>
        <v>0</v>
      </c>
      <c r="DN126" s="171">
        <f t="shared" si="302"/>
        <v>0</v>
      </c>
      <c r="DO126" s="171">
        <f t="shared" si="302"/>
        <v>0</v>
      </c>
      <c r="DP126" s="171">
        <f t="shared" si="302"/>
        <v>0</v>
      </c>
      <c r="DQ126" s="171">
        <f t="shared" si="302"/>
        <v>0</v>
      </c>
      <c r="DR126" s="171">
        <f t="shared" si="302"/>
        <v>0</v>
      </c>
      <c r="DS126" s="171">
        <f t="shared" si="302"/>
        <v>0</v>
      </c>
      <c r="DT126" s="171">
        <f t="shared" si="302"/>
        <v>0</v>
      </c>
      <c r="DU126" s="171">
        <f t="shared" si="302"/>
        <v>0</v>
      </c>
      <c r="DV126" s="171">
        <f t="shared" si="302"/>
        <v>0</v>
      </c>
      <c r="DW126" s="171">
        <f t="shared" si="302"/>
        <v>0</v>
      </c>
      <c r="DX126" s="171">
        <f t="shared" si="302"/>
        <v>0</v>
      </c>
      <c r="DY126" s="171">
        <f t="shared" si="302"/>
        <v>0</v>
      </c>
      <c r="DZ126" s="171">
        <f t="shared" si="302"/>
        <v>0</v>
      </c>
      <c r="EA126" s="171">
        <f t="shared" si="302"/>
        <v>0</v>
      </c>
      <c r="EB126" s="171">
        <f t="shared" si="302"/>
        <v>0</v>
      </c>
      <c r="EC126" s="171">
        <f t="shared" si="302"/>
        <v>0</v>
      </c>
      <c r="ED126" s="1321">
        <f t="shared" si="302"/>
        <v>0</v>
      </c>
      <c r="EE126" s="171">
        <f t="shared" si="302"/>
        <v>0</v>
      </c>
      <c r="EF126" s="171">
        <f t="shared" si="302"/>
        <v>0</v>
      </c>
      <c r="EG126" s="171">
        <f t="shared" si="302"/>
        <v>0</v>
      </c>
      <c r="EH126" s="171">
        <f t="shared" si="302"/>
        <v>0</v>
      </c>
      <c r="EI126" s="171">
        <f t="shared" si="302"/>
        <v>0</v>
      </c>
      <c r="EJ126" s="171">
        <f t="shared" ref="EJ126:EQ126" si="303">(MOD(IFERROR(DATEDIF($H125-1,EJ$97+1,"m"),),$I$101)=0)*1*(EJ$97&gt;$H125)*(EJ$97&lt;=$H126)*SUM(EJ124:EJ125)</f>
        <v>0</v>
      </c>
      <c r="EK126" s="171">
        <f t="shared" si="303"/>
        <v>0</v>
      </c>
      <c r="EL126" s="171">
        <f t="shared" si="303"/>
        <v>0</v>
      </c>
      <c r="EM126" s="171">
        <f t="shared" si="303"/>
        <v>0</v>
      </c>
      <c r="EN126" s="171">
        <f t="shared" si="303"/>
        <v>0</v>
      </c>
      <c r="EO126" s="171">
        <f t="shared" si="303"/>
        <v>0</v>
      </c>
      <c r="EP126" s="171">
        <f t="shared" si="303"/>
        <v>0</v>
      </c>
      <c r="EQ126" s="171">
        <f t="shared" si="303"/>
        <v>0</v>
      </c>
    </row>
    <row r="127" spans="3:147" ht="11.25" customHeight="1">
      <c r="C127" s="163"/>
      <c r="D127" s="169" t="s">
        <v>233</v>
      </c>
      <c r="I127" s="65"/>
      <c r="J127" s="170"/>
      <c r="K127" s="98"/>
      <c r="L127" s="171">
        <f>L124+L125-L126</f>
        <v>0</v>
      </c>
      <c r="M127" s="171">
        <f t="shared" ref="M127:BX127" si="304">M124+M125-M126</f>
        <v>0</v>
      </c>
      <c r="N127" s="171">
        <f t="shared" si="304"/>
        <v>0</v>
      </c>
      <c r="O127" s="171">
        <f t="shared" si="304"/>
        <v>0</v>
      </c>
      <c r="P127" s="171">
        <f t="shared" si="304"/>
        <v>0</v>
      </c>
      <c r="Q127" s="171">
        <f t="shared" si="304"/>
        <v>0</v>
      </c>
      <c r="R127" s="171">
        <f t="shared" si="304"/>
        <v>0</v>
      </c>
      <c r="S127" s="171">
        <f t="shared" si="304"/>
        <v>0</v>
      </c>
      <c r="T127" s="171">
        <f t="shared" si="304"/>
        <v>0</v>
      </c>
      <c r="U127" s="171">
        <f t="shared" si="304"/>
        <v>0</v>
      </c>
      <c r="V127" s="171">
        <f t="shared" si="304"/>
        <v>0</v>
      </c>
      <c r="W127" s="171">
        <f t="shared" si="304"/>
        <v>0</v>
      </c>
      <c r="X127" s="171">
        <f t="shared" si="304"/>
        <v>0</v>
      </c>
      <c r="Y127" s="171">
        <f t="shared" si="304"/>
        <v>0</v>
      </c>
      <c r="Z127" s="171">
        <f t="shared" si="304"/>
        <v>0</v>
      </c>
      <c r="AA127" s="171">
        <f t="shared" si="304"/>
        <v>0</v>
      </c>
      <c r="AB127" s="171">
        <f t="shared" si="304"/>
        <v>0</v>
      </c>
      <c r="AC127" s="171">
        <f t="shared" si="304"/>
        <v>0</v>
      </c>
      <c r="AD127" s="171">
        <f t="shared" si="304"/>
        <v>0</v>
      </c>
      <c r="AE127" s="171">
        <f t="shared" si="304"/>
        <v>0</v>
      </c>
      <c r="AF127" s="171">
        <f t="shared" si="304"/>
        <v>0</v>
      </c>
      <c r="AG127" s="171">
        <f t="shared" si="304"/>
        <v>0</v>
      </c>
      <c r="AH127" s="171">
        <f t="shared" si="304"/>
        <v>0</v>
      </c>
      <c r="AI127" s="171">
        <f t="shared" si="304"/>
        <v>0</v>
      </c>
      <c r="AJ127" s="171">
        <f t="shared" si="304"/>
        <v>0</v>
      </c>
      <c r="AK127" s="171">
        <f t="shared" si="304"/>
        <v>0</v>
      </c>
      <c r="AL127" s="171">
        <f t="shared" si="304"/>
        <v>0</v>
      </c>
      <c r="AM127" s="171">
        <f t="shared" si="304"/>
        <v>0</v>
      </c>
      <c r="AN127" s="171">
        <f t="shared" si="304"/>
        <v>0</v>
      </c>
      <c r="AO127" s="171">
        <f t="shared" si="304"/>
        <v>0</v>
      </c>
      <c r="AP127" s="171">
        <f t="shared" si="304"/>
        <v>0</v>
      </c>
      <c r="AQ127" s="171">
        <f t="shared" si="304"/>
        <v>0</v>
      </c>
      <c r="AR127" s="171">
        <f t="shared" si="304"/>
        <v>0</v>
      </c>
      <c r="AS127" s="171">
        <f t="shared" si="304"/>
        <v>0</v>
      </c>
      <c r="AT127" s="171">
        <f t="shared" si="304"/>
        <v>0</v>
      </c>
      <c r="AU127" s="171">
        <f t="shared" si="304"/>
        <v>0</v>
      </c>
      <c r="AV127" s="171">
        <f t="shared" si="304"/>
        <v>0</v>
      </c>
      <c r="AW127" s="171">
        <f t="shared" si="304"/>
        <v>0</v>
      </c>
      <c r="AX127" s="171">
        <f t="shared" si="304"/>
        <v>0</v>
      </c>
      <c r="AY127" s="171">
        <f t="shared" si="304"/>
        <v>0</v>
      </c>
      <c r="AZ127" s="171">
        <f t="shared" si="304"/>
        <v>0</v>
      </c>
      <c r="BA127" s="171">
        <f t="shared" si="304"/>
        <v>0</v>
      </c>
      <c r="BB127" s="171">
        <f t="shared" si="304"/>
        <v>0</v>
      </c>
      <c r="BC127" s="171">
        <f t="shared" si="304"/>
        <v>0</v>
      </c>
      <c r="BD127" s="171">
        <f t="shared" si="304"/>
        <v>0</v>
      </c>
      <c r="BE127" s="171">
        <f t="shared" si="304"/>
        <v>0</v>
      </c>
      <c r="BF127" s="171">
        <f t="shared" si="304"/>
        <v>0</v>
      </c>
      <c r="BG127" s="171">
        <f t="shared" si="304"/>
        <v>0</v>
      </c>
      <c r="BH127" s="171">
        <f t="shared" si="304"/>
        <v>0</v>
      </c>
      <c r="BI127" s="171">
        <f t="shared" si="304"/>
        <v>0</v>
      </c>
      <c r="BJ127" s="171">
        <f t="shared" si="304"/>
        <v>0</v>
      </c>
      <c r="BK127" s="171">
        <f t="shared" si="304"/>
        <v>0</v>
      </c>
      <c r="BL127" s="171">
        <f t="shared" si="304"/>
        <v>0</v>
      </c>
      <c r="BM127" s="171">
        <f t="shared" si="304"/>
        <v>0</v>
      </c>
      <c r="BN127" s="171">
        <f t="shared" si="304"/>
        <v>0</v>
      </c>
      <c r="BO127" s="171">
        <f t="shared" si="304"/>
        <v>0</v>
      </c>
      <c r="BP127" s="171">
        <f t="shared" si="304"/>
        <v>0</v>
      </c>
      <c r="BQ127" s="171">
        <f t="shared" si="304"/>
        <v>0</v>
      </c>
      <c r="BR127" s="171">
        <f t="shared" si="304"/>
        <v>0</v>
      </c>
      <c r="BS127" s="171">
        <f t="shared" si="304"/>
        <v>0</v>
      </c>
      <c r="BT127" s="171">
        <f t="shared" si="304"/>
        <v>0</v>
      </c>
      <c r="BU127" s="171">
        <f t="shared" si="304"/>
        <v>0</v>
      </c>
      <c r="BV127" s="171">
        <f t="shared" si="304"/>
        <v>0</v>
      </c>
      <c r="BW127" s="171">
        <f t="shared" si="304"/>
        <v>0</v>
      </c>
      <c r="BX127" s="171">
        <f t="shared" si="304"/>
        <v>0</v>
      </c>
      <c r="BY127" s="171">
        <f t="shared" ref="BY127:EJ127" si="305">BY124+BY125-BY126</f>
        <v>0</v>
      </c>
      <c r="BZ127" s="171">
        <f t="shared" si="305"/>
        <v>0</v>
      </c>
      <c r="CA127" s="171">
        <f t="shared" si="305"/>
        <v>0</v>
      </c>
      <c r="CB127" s="171">
        <f t="shared" si="305"/>
        <v>0</v>
      </c>
      <c r="CC127" s="171">
        <f t="shared" si="305"/>
        <v>0</v>
      </c>
      <c r="CD127" s="171">
        <f t="shared" si="305"/>
        <v>0</v>
      </c>
      <c r="CE127" s="171">
        <f t="shared" si="305"/>
        <v>0</v>
      </c>
      <c r="CF127" s="171">
        <f t="shared" si="305"/>
        <v>0</v>
      </c>
      <c r="CG127" s="171">
        <f t="shared" si="305"/>
        <v>0</v>
      </c>
      <c r="CH127" s="171">
        <f t="shared" si="305"/>
        <v>0</v>
      </c>
      <c r="CI127" s="171">
        <f t="shared" si="305"/>
        <v>0</v>
      </c>
      <c r="CJ127" s="171">
        <f t="shared" si="305"/>
        <v>0</v>
      </c>
      <c r="CK127" s="171">
        <f t="shared" si="305"/>
        <v>0</v>
      </c>
      <c r="CL127" s="171">
        <f t="shared" si="305"/>
        <v>0</v>
      </c>
      <c r="CM127" s="171">
        <f t="shared" si="305"/>
        <v>0</v>
      </c>
      <c r="CN127" s="171">
        <f t="shared" si="305"/>
        <v>0</v>
      </c>
      <c r="CO127" s="171">
        <f t="shared" si="305"/>
        <v>0</v>
      </c>
      <c r="CP127" s="171">
        <f t="shared" si="305"/>
        <v>0</v>
      </c>
      <c r="CQ127" s="171">
        <f t="shared" si="305"/>
        <v>0</v>
      </c>
      <c r="CR127" s="171">
        <f t="shared" si="305"/>
        <v>0</v>
      </c>
      <c r="CS127" s="171">
        <f t="shared" si="305"/>
        <v>0</v>
      </c>
      <c r="CT127" s="171">
        <f t="shared" si="305"/>
        <v>0</v>
      </c>
      <c r="CU127" s="171">
        <f t="shared" si="305"/>
        <v>0</v>
      </c>
      <c r="CV127" s="171">
        <f t="shared" si="305"/>
        <v>0</v>
      </c>
      <c r="CW127" s="171">
        <f t="shared" si="305"/>
        <v>0</v>
      </c>
      <c r="CX127" s="171">
        <f t="shared" si="305"/>
        <v>0</v>
      </c>
      <c r="CY127" s="171">
        <f t="shared" si="305"/>
        <v>0</v>
      </c>
      <c r="CZ127" s="171">
        <f t="shared" si="305"/>
        <v>0</v>
      </c>
      <c r="DA127" s="171">
        <f t="shared" si="305"/>
        <v>0</v>
      </c>
      <c r="DB127" s="171">
        <f t="shared" si="305"/>
        <v>0</v>
      </c>
      <c r="DC127" s="171">
        <f t="shared" si="305"/>
        <v>0</v>
      </c>
      <c r="DD127" s="171">
        <f t="shared" si="305"/>
        <v>0</v>
      </c>
      <c r="DE127" s="171">
        <f t="shared" si="305"/>
        <v>0</v>
      </c>
      <c r="DF127" s="171">
        <f t="shared" si="305"/>
        <v>0</v>
      </c>
      <c r="DG127" s="171">
        <f t="shared" si="305"/>
        <v>0</v>
      </c>
      <c r="DH127" s="171">
        <f t="shared" si="305"/>
        <v>0</v>
      </c>
      <c r="DI127" s="171">
        <f t="shared" si="305"/>
        <v>0</v>
      </c>
      <c r="DJ127" s="171">
        <f t="shared" si="305"/>
        <v>0</v>
      </c>
      <c r="DK127" s="171">
        <f t="shared" si="305"/>
        <v>0</v>
      </c>
      <c r="DL127" s="171">
        <f t="shared" si="305"/>
        <v>0</v>
      </c>
      <c r="DM127" s="171">
        <f t="shared" si="305"/>
        <v>0</v>
      </c>
      <c r="DN127" s="171">
        <f t="shared" si="305"/>
        <v>0</v>
      </c>
      <c r="DO127" s="171">
        <f t="shared" si="305"/>
        <v>0</v>
      </c>
      <c r="DP127" s="171">
        <f t="shared" si="305"/>
        <v>0</v>
      </c>
      <c r="DQ127" s="171">
        <f t="shared" si="305"/>
        <v>0</v>
      </c>
      <c r="DR127" s="171">
        <f t="shared" si="305"/>
        <v>0</v>
      </c>
      <c r="DS127" s="171">
        <f t="shared" si="305"/>
        <v>0</v>
      </c>
      <c r="DT127" s="171">
        <f t="shared" si="305"/>
        <v>0</v>
      </c>
      <c r="DU127" s="171">
        <f t="shared" si="305"/>
        <v>0</v>
      </c>
      <c r="DV127" s="171">
        <f t="shared" si="305"/>
        <v>0</v>
      </c>
      <c r="DW127" s="171">
        <f t="shared" si="305"/>
        <v>0</v>
      </c>
      <c r="DX127" s="171">
        <f t="shared" si="305"/>
        <v>0</v>
      </c>
      <c r="DY127" s="171">
        <f t="shared" si="305"/>
        <v>0</v>
      </c>
      <c r="DZ127" s="171">
        <f t="shared" si="305"/>
        <v>0</v>
      </c>
      <c r="EA127" s="171">
        <f t="shared" si="305"/>
        <v>0</v>
      </c>
      <c r="EB127" s="171">
        <f t="shared" si="305"/>
        <v>0</v>
      </c>
      <c r="EC127" s="171">
        <f t="shared" si="305"/>
        <v>0</v>
      </c>
      <c r="ED127" s="1321">
        <f t="shared" si="305"/>
        <v>0</v>
      </c>
      <c r="EE127" s="171">
        <f t="shared" si="305"/>
        <v>0</v>
      </c>
      <c r="EF127" s="171">
        <f t="shared" si="305"/>
        <v>0</v>
      </c>
      <c r="EG127" s="171">
        <f t="shared" si="305"/>
        <v>0</v>
      </c>
      <c r="EH127" s="171">
        <f t="shared" si="305"/>
        <v>0</v>
      </c>
      <c r="EI127" s="171">
        <f t="shared" si="305"/>
        <v>0</v>
      </c>
      <c r="EJ127" s="171">
        <f t="shared" si="305"/>
        <v>0</v>
      </c>
      <c r="EK127" s="171">
        <f t="shared" ref="EK127:EQ127" si="306">EK124+EK125-EK126</f>
        <v>0</v>
      </c>
      <c r="EL127" s="171">
        <f t="shared" si="306"/>
        <v>0</v>
      </c>
      <c r="EM127" s="171">
        <f t="shared" si="306"/>
        <v>0</v>
      </c>
      <c r="EN127" s="171">
        <f t="shared" si="306"/>
        <v>0</v>
      </c>
      <c r="EO127" s="171">
        <f t="shared" si="306"/>
        <v>0</v>
      </c>
      <c r="EP127" s="171">
        <f t="shared" si="306"/>
        <v>0</v>
      </c>
      <c r="EQ127" s="171">
        <f t="shared" si="306"/>
        <v>0</v>
      </c>
    </row>
    <row r="128" spans="3:147" ht="11.25" customHeight="1">
      <c r="C128" s="158" t="s">
        <v>534</v>
      </c>
      <c r="D128" s="159"/>
      <c r="E128" s="159"/>
      <c r="F128" s="159"/>
      <c r="G128" s="159"/>
      <c r="H128" s="160"/>
      <c r="I128" s="880"/>
      <c r="J128" s="161"/>
      <c r="K128" s="98"/>
      <c r="L128" s="162"/>
      <c r="M128" s="162"/>
      <c r="N128" s="162"/>
      <c r="O128" s="162"/>
      <c r="P128" s="162"/>
      <c r="Q128" s="162"/>
      <c r="R128" s="162"/>
      <c r="S128" s="162"/>
      <c r="T128" s="162"/>
      <c r="U128" s="162"/>
      <c r="V128" s="162"/>
      <c r="W128" s="162"/>
      <c r="X128" s="162"/>
      <c r="Y128" s="162"/>
      <c r="Z128" s="162"/>
      <c r="AA128" s="162"/>
      <c r="AB128" s="162"/>
      <c r="AC128" s="162"/>
      <c r="AD128" s="162"/>
      <c r="AE128" s="162"/>
      <c r="AF128" s="162"/>
      <c r="AG128" s="162"/>
      <c r="AH128" s="162"/>
      <c r="AI128" s="162"/>
      <c r="AJ128" s="162"/>
      <c r="AK128" s="162"/>
      <c r="AL128" s="162"/>
      <c r="AM128" s="162"/>
      <c r="AN128" s="162"/>
      <c r="AO128" s="162"/>
      <c r="AP128" s="162"/>
      <c r="AQ128" s="162"/>
      <c r="AR128" s="162"/>
      <c r="AS128" s="162"/>
      <c r="AT128" s="162"/>
      <c r="AU128" s="162"/>
      <c r="AV128" s="162"/>
      <c r="AW128" s="162"/>
      <c r="AX128" s="162"/>
      <c r="AY128" s="162"/>
      <c r="AZ128" s="162"/>
      <c r="BA128" s="162"/>
      <c r="BB128" s="162"/>
      <c r="BC128" s="162"/>
      <c r="BD128" s="162"/>
      <c r="BE128" s="162"/>
      <c r="BF128" s="162"/>
      <c r="BG128" s="162"/>
      <c r="BH128" s="162"/>
      <c r="BI128" s="162"/>
      <c r="BJ128" s="162"/>
      <c r="BK128" s="162"/>
      <c r="BL128" s="162"/>
      <c r="BM128" s="162"/>
      <c r="BN128" s="162"/>
      <c r="BO128" s="162"/>
      <c r="BP128" s="162"/>
      <c r="BQ128" s="162"/>
      <c r="BR128" s="162"/>
      <c r="BS128" s="162"/>
      <c r="BT128" s="162"/>
      <c r="BU128" s="162"/>
      <c r="BV128" s="162"/>
      <c r="BW128" s="162"/>
      <c r="BX128" s="162"/>
      <c r="BY128" s="162"/>
      <c r="BZ128" s="162"/>
      <c r="CA128" s="162"/>
      <c r="CB128" s="162"/>
      <c r="CC128" s="162"/>
      <c r="CD128" s="162"/>
      <c r="CE128" s="162"/>
      <c r="CF128" s="162"/>
      <c r="CG128" s="162"/>
      <c r="CH128" s="162"/>
      <c r="CI128" s="162"/>
      <c r="CJ128" s="162"/>
      <c r="CK128" s="162"/>
      <c r="CL128" s="162"/>
      <c r="CM128" s="162"/>
      <c r="CN128" s="162"/>
      <c r="CO128" s="162"/>
      <c r="CP128" s="162"/>
      <c r="CQ128" s="162"/>
      <c r="CR128" s="162"/>
      <c r="CS128" s="162"/>
      <c r="CT128" s="162"/>
      <c r="CU128" s="162"/>
      <c r="CV128" s="162"/>
      <c r="CW128" s="162"/>
      <c r="CX128" s="162"/>
      <c r="CY128" s="162"/>
      <c r="CZ128" s="162"/>
      <c r="DA128" s="162"/>
      <c r="DB128" s="162"/>
      <c r="DC128" s="162"/>
      <c r="DD128" s="162"/>
      <c r="DE128" s="162"/>
      <c r="DF128" s="162"/>
      <c r="DG128" s="162"/>
      <c r="DH128" s="162"/>
      <c r="DI128" s="162"/>
      <c r="DJ128" s="162"/>
      <c r="DK128" s="162"/>
      <c r="DL128" s="162"/>
      <c r="DM128" s="162"/>
      <c r="DN128" s="162"/>
      <c r="DO128" s="162"/>
      <c r="DP128" s="162"/>
      <c r="DQ128" s="162"/>
      <c r="DR128" s="162"/>
      <c r="DS128" s="162"/>
      <c r="DT128" s="162"/>
      <c r="DU128" s="162"/>
      <c r="DV128" s="162"/>
      <c r="DW128" s="162"/>
      <c r="DX128" s="162"/>
      <c r="DY128" s="162"/>
      <c r="DZ128" s="162"/>
      <c r="EA128" s="162"/>
      <c r="EB128" s="162"/>
      <c r="EC128" s="162"/>
      <c r="ED128" s="1319"/>
      <c r="EE128" s="162"/>
      <c r="EF128" s="162"/>
      <c r="EG128" s="162"/>
      <c r="EH128" s="162"/>
      <c r="EI128" s="162"/>
      <c r="EJ128" s="162"/>
      <c r="EK128" s="162"/>
      <c r="EL128" s="162"/>
      <c r="EM128" s="162"/>
      <c r="EN128" s="162"/>
      <c r="EO128" s="162"/>
      <c r="EP128" s="162"/>
      <c r="EQ128" s="162"/>
    </row>
    <row r="129" spans="3:147" ht="11.25" customHeight="1">
      <c r="C129" s="163"/>
      <c r="D129" s="164" t="s">
        <v>217</v>
      </c>
      <c r="E129" s="165"/>
      <c r="F129" s="165"/>
      <c r="G129" s="165"/>
      <c r="H129" s="166"/>
      <c r="I129" s="194"/>
      <c r="J129" s="167"/>
      <c r="K129" s="98"/>
      <c r="L129" s="168">
        <f>K132</f>
        <v>0</v>
      </c>
      <c r="M129" s="168">
        <f t="shared" ref="M129:BX129" si="307">L132</f>
        <v>0</v>
      </c>
      <c r="N129" s="168">
        <f t="shared" si="307"/>
        <v>48212.511114494991</v>
      </c>
      <c r="O129" s="168">
        <f t="shared" si="307"/>
        <v>96425.022228989983</v>
      </c>
      <c r="P129" s="168">
        <f t="shared" si="307"/>
        <v>0</v>
      </c>
      <c r="Q129" s="168">
        <f t="shared" si="307"/>
        <v>0</v>
      </c>
      <c r="R129" s="168">
        <f t="shared" si="307"/>
        <v>0</v>
      </c>
      <c r="S129" s="168">
        <f t="shared" si="307"/>
        <v>0</v>
      </c>
      <c r="T129" s="168">
        <f t="shared" si="307"/>
        <v>0</v>
      </c>
      <c r="U129" s="168">
        <f t="shared" si="307"/>
        <v>0</v>
      </c>
      <c r="V129" s="168">
        <f t="shared" si="307"/>
        <v>0</v>
      </c>
      <c r="W129" s="168">
        <f t="shared" si="307"/>
        <v>0</v>
      </c>
      <c r="X129" s="168">
        <f t="shared" si="307"/>
        <v>0</v>
      </c>
      <c r="Y129" s="168">
        <f t="shared" si="307"/>
        <v>0</v>
      </c>
      <c r="Z129" s="168">
        <f t="shared" si="307"/>
        <v>0</v>
      </c>
      <c r="AA129" s="168">
        <f t="shared" si="307"/>
        <v>0</v>
      </c>
      <c r="AB129" s="168">
        <f t="shared" si="307"/>
        <v>0</v>
      </c>
      <c r="AC129" s="168">
        <f t="shared" si="307"/>
        <v>0</v>
      </c>
      <c r="AD129" s="168">
        <f t="shared" si="307"/>
        <v>0</v>
      </c>
      <c r="AE129" s="168">
        <f t="shared" si="307"/>
        <v>0</v>
      </c>
      <c r="AF129" s="168">
        <f t="shared" si="307"/>
        <v>0</v>
      </c>
      <c r="AG129" s="168">
        <f t="shared" si="307"/>
        <v>0</v>
      </c>
      <c r="AH129" s="168">
        <f t="shared" si="307"/>
        <v>0</v>
      </c>
      <c r="AI129" s="168">
        <f t="shared" si="307"/>
        <v>0</v>
      </c>
      <c r="AJ129" s="168">
        <f t="shared" si="307"/>
        <v>0</v>
      </c>
      <c r="AK129" s="168">
        <f t="shared" si="307"/>
        <v>0</v>
      </c>
      <c r="AL129" s="168">
        <f t="shared" si="307"/>
        <v>0</v>
      </c>
      <c r="AM129" s="168">
        <f t="shared" si="307"/>
        <v>0</v>
      </c>
      <c r="AN129" s="168">
        <f t="shared" si="307"/>
        <v>0</v>
      </c>
      <c r="AO129" s="168">
        <f t="shared" si="307"/>
        <v>0</v>
      </c>
      <c r="AP129" s="168">
        <f t="shared" si="307"/>
        <v>0</v>
      </c>
      <c r="AQ129" s="168">
        <f t="shared" si="307"/>
        <v>0</v>
      </c>
      <c r="AR129" s="168">
        <f t="shared" si="307"/>
        <v>0</v>
      </c>
      <c r="AS129" s="168">
        <f t="shared" si="307"/>
        <v>0</v>
      </c>
      <c r="AT129" s="168">
        <f t="shared" si="307"/>
        <v>0</v>
      </c>
      <c r="AU129" s="168">
        <f t="shared" si="307"/>
        <v>0</v>
      </c>
      <c r="AV129" s="168">
        <f t="shared" si="307"/>
        <v>0</v>
      </c>
      <c r="AW129" s="168">
        <f t="shared" si="307"/>
        <v>0</v>
      </c>
      <c r="AX129" s="168">
        <f t="shared" si="307"/>
        <v>0</v>
      </c>
      <c r="AY129" s="168">
        <f t="shared" si="307"/>
        <v>0</v>
      </c>
      <c r="AZ129" s="168">
        <f t="shared" si="307"/>
        <v>0</v>
      </c>
      <c r="BA129" s="168">
        <f t="shared" si="307"/>
        <v>0</v>
      </c>
      <c r="BB129" s="168">
        <f t="shared" si="307"/>
        <v>0</v>
      </c>
      <c r="BC129" s="168">
        <f t="shared" si="307"/>
        <v>0</v>
      </c>
      <c r="BD129" s="168">
        <f t="shared" si="307"/>
        <v>0</v>
      </c>
      <c r="BE129" s="168">
        <f t="shared" si="307"/>
        <v>0</v>
      </c>
      <c r="BF129" s="168">
        <f t="shared" si="307"/>
        <v>0</v>
      </c>
      <c r="BG129" s="168">
        <f t="shared" si="307"/>
        <v>0</v>
      </c>
      <c r="BH129" s="168">
        <f t="shared" si="307"/>
        <v>0</v>
      </c>
      <c r="BI129" s="168">
        <f t="shared" si="307"/>
        <v>0</v>
      </c>
      <c r="BJ129" s="168">
        <f t="shared" si="307"/>
        <v>0</v>
      </c>
      <c r="BK129" s="168">
        <f t="shared" si="307"/>
        <v>0</v>
      </c>
      <c r="BL129" s="168">
        <f t="shared" si="307"/>
        <v>0</v>
      </c>
      <c r="BM129" s="168">
        <f t="shared" si="307"/>
        <v>0</v>
      </c>
      <c r="BN129" s="168">
        <f t="shared" si="307"/>
        <v>0</v>
      </c>
      <c r="BO129" s="168">
        <f t="shared" si="307"/>
        <v>0</v>
      </c>
      <c r="BP129" s="168">
        <f t="shared" si="307"/>
        <v>0</v>
      </c>
      <c r="BQ129" s="168">
        <f t="shared" si="307"/>
        <v>0</v>
      </c>
      <c r="BR129" s="168">
        <f t="shared" si="307"/>
        <v>0</v>
      </c>
      <c r="BS129" s="168">
        <f t="shared" si="307"/>
        <v>0</v>
      </c>
      <c r="BT129" s="168">
        <f t="shared" si="307"/>
        <v>0</v>
      </c>
      <c r="BU129" s="168">
        <f t="shared" si="307"/>
        <v>0</v>
      </c>
      <c r="BV129" s="168">
        <f t="shared" si="307"/>
        <v>0</v>
      </c>
      <c r="BW129" s="168">
        <f t="shared" si="307"/>
        <v>0</v>
      </c>
      <c r="BX129" s="168">
        <f t="shared" si="307"/>
        <v>0</v>
      </c>
      <c r="BY129" s="168">
        <f t="shared" ref="BY129:DT129" si="308">BX132</f>
        <v>0</v>
      </c>
      <c r="BZ129" s="168">
        <f t="shared" si="308"/>
        <v>0</v>
      </c>
      <c r="CA129" s="168">
        <f t="shared" si="308"/>
        <v>0</v>
      </c>
      <c r="CB129" s="168">
        <f t="shared" si="308"/>
        <v>0</v>
      </c>
      <c r="CC129" s="168">
        <f t="shared" si="308"/>
        <v>0</v>
      </c>
      <c r="CD129" s="168">
        <f t="shared" si="308"/>
        <v>0</v>
      </c>
      <c r="CE129" s="168">
        <f t="shared" si="308"/>
        <v>0</v>
      </c>
      <c r="CF129" s="168">
        <f t="shared" si="308"/>
        <v>0</v>
      </c>
      <c r="CG129" s="168">
        <f t="shared" si="308"/>
        <v>0</v>
      </c>
      <c r="CH129" s="168">
        <f t="shared" si="308"/>
        <v>0</v>
      </c>
      <c r="CI129" s="168">
        <f t="shared" si="308"/>
        <v>0</v>
      </c>
      <c r="CJ129" s="168">
        <f t="shared" si="308"/>
        <v>0</v>
      </c>
      <c r="CK129" s="168">
        <f t="shared" si="308"/>
        <v>0</v>
      </c>
      <c r="CL129" s="168">
        <f t="shared" si="308"/>
        <v>0</v>
      </c>
      <c r="CM129" s="168">
        <f t="shared" si="308"/>
        <v>0</v>
      </c>
      <c r="CN129" s="168">
        <f t="shared" si="308"/>
        <v>0</v>
      </c>
      <c r="CO129" s="168">
        <f t="shared" si="308"/>
        <v>0</v>
      </c>
      <c r="CP129" s="168">
        <f t="shared" si="308"/>
        <v>0</v>
      </c>
      <c r="CQ129" s="168">
        <f t="shared" si="308"/>
        <v>0</v>
      </c>
      <c r="CR129" s="168">
        <f t="shared" si="308"/>
        <v>0</v>
      </c>
      <c r="CS129" s="168">
        <f t="shared" si="308"/>
        <v>0</v>
      </c>
      <c r="CT129" s="168">
        <f t="shared" si="308"/>
        <v>0</v>
      </c>
      <c r="CU129" s="168">
        <f t="shared" si="308"/>
        <v>0</v>
      </c>
      <c r="CV129" s="168">
        <f t="shared" si="308"/>
        <v>0</v>
      </c>
      <c r="CW129" s="168">
        <f t="shared" si="308"/>
        <v>0</v>
      </c>
      <c r="CX129" s="168">
        <f t="shared" si="308"/>
        <v>0</v>
      </c>
      <c r="CY129" s="168">
        <f t="shared" si="308"/>
        <v>0</v>
      </c>
      <c r="CZ129" s="168">
        <f t="shared" si="308"/>
        <v>0</v>
      </c>
      <c r="DA129" s="168">
        <f t="shared" si="308"/>
        <v>0</v>
      </c>
      <c r="DB129" s="168">
        <f t="shared" si="308"/>
        <v>0</v>
      </c>
      <c r="DC129" s="168">
        <f t="shared" si="308"/>
        <v>0</v>
      </c>
      <c r="DD129" s="168">
        <f t="shared" si="308"/>
        <v>0</v>
      </c>
      <c r="DE129" s="168">
        <f t="shared" si="308"/>
        <v>0</v>
      </c>
      <c r="DF129" s="168">
        <f t="shared" si="308"/>
        <v>0</v>
      </c>
      <c r="DG129" s="168">
        <f t="shared" si="308"/>
        <v>0</v>
      </c>
      <c r="DH129" s="168">
        <f t="shared" si="308"/>
        <v>0</v>
      </c>
      <c r="DI129" s="168">
        <f t="shared" si="308"/>
        <v>0</v>
      </c>
      <c r="DJ129" s="168">
        <f t="shared" si="308"/>
        <v>0</v>
      </c>
      <c r="DK129" s="168">
        <f t="shared" si="308"/>
        <v>0</v>
      </c>
      <c r="DL129" s="168">
        <f t="shared" si="308"/>
        <v>0</v>
      </c>
      <c r="DM129" s="168">
        <f t="shared" si="308"/>
        <v>0</v>
      </c>
      <c r="DN129" s="168">
        <f t="shared" si="308"/>
        <v>0</v>
      </c>
      <c r="DO129" s="168">
        <f t="shared" si="308"/>
        <v>0</v>
      </c>
      <c r="DP129" s="168">
        <f t="shared" si="308"/>
        <v>0</v>
      </c>
      <c r="DQ129" s="168">
        <f t="shared" si="308"/>
        <v>0</v>
      </c>
      <c r="DR129" s="168">
        <f t="shared" si="308"/>
        <v>0</v>
      </c>
      <c r="DS129" s="168">
        <f t="shared" si="308"/>
        <v>0</v>
      </c>
      <c r="DT129" s="168">
        <f t="shared" si="308"/>
        <v>0</v>
      </c>
      <c r="DU129" s="168">
        <f t="shared" ref="DU129:EQ129" si="309">DT132</f>
        <v>0</v>
      </c>
      <c r="DV129" s="168">
        <f t="shared" si="309"/>
        <v>0</v>
      </c>
      <c r="DW129" s="168">
        <f t="shared" si="309"/>
        <v>0</v>
      </c>
      <c r="DX129" s="168">
        <f t="shared" si="309"/>
        <v>0</v>
      </c>
      <c r="DY129" s="168">
        <f t="shared" si="309"/>
        <v>0</v>
      </c>
      <c r="DZ129" s="168">
        <f t="shared" si="309"/>
        <v>0</v>
      </c>
      <c r="EA129" s="168">
        <f t="shared" si="309"/>
        <v>0</v>
      </c>
      <c r="EB129" s="168">
        <f t="shared" si="309"/>
        <v>0</v>
      </c>
      <c r="EC129" s="168">
        <f t="shared" si="309"/>
        <v>0</v>
      </c>
      <c r="ED129" s="1320">
        <f t="shared" si="309"/>
        <v>0</v>
      </c>
      <c r="EE129" s="168">
        <f t="shared" si="309"/>
        <v>0</v>
      </c>
      <c r="EF129" s="168">
        <f t="shared" si="309"/>
        <v>0</v>
      </c>
      <c r="EG129" s="168">
        <f t="shared" si="309"/>
        <v>0</v>
      </c>
      <c r="EH129" s="168">
        <f t="shared" si="309"/>
        <v>0</v>
      </c>
      <c r="EI129" s="168">
        <f t="shared" si="309"/>
        <v>0</v>
      </c>
      <c r="EJ129" s="168">
        <f t="shared" si="309"/>
        <v>0</v>
      </c>
      <c r="EK129" s="168">
        <f t="shared" si="309"/>
        <v>0</v>
      </c>
      <c r="EL129" s="168">
        <f t="shared" si="309"/>
        <v>0</v>
      </c>
      <c r="EM129" s="168">
        <f t="shared" si="309"/>
        <v>0</v>
      </c>
      <c r="EN129" s="168">
        <f t="shared" si="309"/>
        <v>0</v>
      </c>
      <c r="EO129" s="168">
        <f t="shared" si="309"/>
        <v>0</v>
      </c>
      <c r="EP129" s="168">
        <f t="shared" si="309"/>
        <v>0</v>
      </c>
      <c r="EQ129" s="168">
        <f t="shared" si="309"/>
        <v>0</v>
      </c>
    </row>
    <row r="130" spans="3:147" ht="11.25" customHeight="1">
      <c r="C130" s="163"/>
      <c r="D130" s="169" t="s">
        <v>218</v>
      </c>
      <c r="I130" s="65">
        <f>'A&amp;R'!Q38</f>
        <v>4.4999999999999998E-2</v>
      </c>
      <c r="J130" s="170">
        <f>SUM(L130:EQ130)</f>
        <v>144637.53334348497</v>
      </c>
      <c r="K130" s="98"/>
      <c r="L130" s="171">
        <f t="shared" ref="L130:AQ130" si="310">L51*$I130/12</f>
        <v>0</v>
      </c>
      <c r="M130" s="171">
        <f t="shared" si="310"/>
        <v>48212.511114494991</v>
      </c>
      <c r="N130" s="171">
        <f t="shared" si="310"/>
        <v>48212.511114494991</v>
      </c>
      <c r="O130" s="171">
        <f t="shared" si="310"/>
        <v>48212.511114494991</v>
      </c>
      <c r="P130" s="171">
        <f t="shared" si="310"/>
        <v>0</v>
      </c>
      <c r="Q130" s="171">
        <f t="shared" si="310"/>
        <v>0</v>
      </c>
      <c r="R130" s="171">
        <f t="shared" si="310"/>
        <v>0</v>
      </c>
      <c r="S130" s="171">
        <f t="shared" si="310"/>
        <v>0</v>
      </c>
      <c r="T130" s="171">
        <f t="shared" si="310"/>
        <v>0</v>
      </c>
      <c r="U130" s="171">
        <f t="shared" si="310"/>
        <v>0</v>
      </c>
      <c r="V130" s="171">
        <f t="shared" si="310"/>
        <v>0</v>
      </c>
      <c r="W130" s="171">
        <f t="shared" si="310"/>
        <v>0</v>
      </c>
      <c r="X130" s="171">
        <f t="shared" si="310"/>
        <v>0</v>
      </c>
      <c r="Y130" s="171">
        <f t="shared" si="310"/>
        <v>0</v>
      </c>
      <c r="Z130" s="171">
        <f t="shared" si="310"/>
        <v>0</v>
      </c>
      <c r="AA130" s="171">
        <f t="shared" si="310"/>
        <v>0</v>
      </c>
      <c r="AB130" s="171">
        <f t="shared" si="310"/>
        <v>0</v>
      </c>
      <c r="AC130" s="171">
        <f t="shared" si="310"/>
        <v>0</v>
      </c>
      <c r="AD130" s="171">
        <f t="shared" si="310"/>
        <v>0</v>
      </c>
      <c r="AE130" s="171">
        <f t="shared" si="310"/>
        <v>0</v>
      </c>
      <c r="AF130" s="171">
        <f t="shared" si="310"/>
        <v>0</v>
      </c>
      <c r="AG130" s="171">
        <f t="shared" si="310"/>
        <v>0</v>
      </c>
      <c r="AH130" s="171">
        <f t="shared" si="310"/>
        <v>0</v>
      </c>
      <c r="AI130" s="171">
        <f t="shared" si="310"/>
        <v>0</v>
      </c>
      <c r="AJ130" s="171">
        <f t="shared" si="310"/>
        <v>0</v>
      </c>
      <c r="AK130" s="171">
        <f t="shared" si="310"/>
        <v>0</v>
      </c>
      <c r="AL130" s="171">
        <f t="shared" si="310"/>
        <v>0</v>
      </c>
      <c r="AM130" s="171">
        <f t="shared" si="310"/>
        <v>0</v>
      </c>
      <c r="AN130" s="171">
        <f t="shared" si="310"/>
        <v>0</v>
      </c>
      <c r="AO130" s="171">
        <f t="shared" si="310"/>
        <v>0</v>
      </c>
      <c r="AP130" s="171">
        <f t="shared" si="310"/>
        <v>0</v>
      </c>
      <c r="AQ130" s="171">
        <f t="shared" si="310"/>
        <v>0</v>
      </c>
      <c r="AR130" s="171">
        <f t="shared" ref="AR130:BW130" si="311">AR51*$I130/12</f>
        <v>0</v>
      </c>
      <c r="AS130" s="171">
        <f t="shared" si="311"/>
        <v>0</v>
      </c>
      <c r="AT130" s="171">
        <f t="shared" si="311"/>
        <v>0</v>
      </c>
      <c r="AU130" s="171">
        <f t="shared" si="311"/>
        <v>0</v>
      </c>
      <c r="AV130" s="171">
        <f t="shared" si="311"/>
        <v>0</v>
      </c>
      <c r="AW130" s="171">
        <f t="shared" si="311"/>
        <v>0</v>
      </c>
      <c r="AX130" s="171">
        <f t="shared" si="311"/>
        <v>0</v>
      </c>
      <c r="AY130" s="171">
        <f t="shared" si="311"/>
        <v>0</v>
      </c>
      <c r="AZ130" s="171">
        <f t="shared" si="311"/>
        <v>0</v>
      </c>
      <c r="BA130" s="171">
        <f t="shared" si="311"/>
        <v>0</v>
      </c>
      <c r="BB130" s="171">
        <f t="shared" si="311"/>
        <v>0</v>
      </c>
      <c r="BC130" s="171">
        <f t="shared" si="311"/>
        <v>0</v>
      </c>
      <c r="BD130" s="171">
        <f t="shared" si="311"/>
        <v>0</v>
      </c>
      <c r="BE130" s="171">
        <f t="shared" si="311"/>
        <v>0</v>
      </c>
      <c r="BF130" s="171">
        <f t="shared" si="311"/>
        <v>0</v>
      </c>
      <c r="BG130" s="171">
        <f t="shared" si="311"/>
        <v>0</v>
      </c>
      <c r="BH130" s="171">
        <f t="shared" si="311"/>
        <v>0</v>
      </c>
      <c r="BI130" s="171">
        <f t="shared" si="311"/>
        <v>0</v>
      </c>
      <c r="BJ130" s="171">
        <f t="shared" si="311"/>
        <v>0</v>
      </c>
      <c r="BK130" s="171">
        <f t="shared" si="311"/>
        <v>0</v>
      </c>
      <c r="BL130" s="171">
        <f t="shared" si="311"/>
        <v>0</v>
      </c>
      <c r="BM130" s="171">
        <f t="shared" si="311"/>
        <v>0</v>
      </c>
      <c r="BN130" s="171">
        <f t="shared" si="311"/>
        <v>0</v>
      </c>
      <c r="BO130" s="171">
        <f t="shared" si="311"/>
        <v>0</v>
      </c>
      <c r="BP130" s="171">
        <f t="shared" si="311"/>
        <v>0</v>
      </c>
      <c r="BQ130" s="171">
        <f t="shared" si="311"/>
        <v>0</v>
      </c>
      <c r="BR130" s="171">
        <f t="shared" si="311"/>
        <v>0</v>
      </c>
      <c r="BS130" s="171">
        <f t="shared" si="311"/>
        <v>0</v>
      </c>
      <c r="BT130" s="171">
        <f t="shared" si="311"/>
        <v>0</v>
      </c>
      <c r="BU130" s="171">
        <f t="shared" si="311"/>
        <v>0</v>
      </c>
      <c r="BV130" s="171">
        <f t="shared" si="311"/>
        <v>0</v>
      </c>
      <c r="BW130" s="171">
        <f t="shared" si="311"/>
        <v>0</v>
      </c>
      <c r="BX130" s="171">
        <f t="shared" ref="BX130:DC130" si="312">BX51*$I130/12</f>
        <v>0</v>
      </c>
      <c r="BY130" s="171">
        <f t="shared" si="312"/>
        <v>0</v>
      </c>
      <c r="BZ130" s="171">
        <f t="shared" si="312"/>
        <v>0</v>
      </c>
      <c r="CA130" s="171">
        <f t="shared" si="312"/>
        <v>0</v>
      </c>
      <c r="CB130" s="171">
        <f t="shared" si="312"/>
        <v>0</v>
      </c>
      <c r="CC130" s="171">
        <f t="shared" si="312"/>
        <v>0</v>
      </c>
      <c r="CD130" s="171">
        <f t="shared" si="312"/>
        <v>0</v>
      </c>
      <c r="CE130" s="171">
        <f t="shared" si="312"/>
        <v>0</v>
      </c>
      <c r="CF130" s="171">
        <f t="shared" si="312"/>
        <v>0</v>
      </c>
      <c r="CG130" s="171">
        <f t="shared" si="312"/>
        <v>0</v>
      </c>
      <c r="CH130" s="171">
        <f t="shared" si="312"/>
        <v>0</v>
      </c>
      <c r="CI130" s="171">
        <f t="shared" si="312"/>
        <v>0</v>
      </c>
      <c r="CJ130" s="171">
        <f t="shared" si="312"/>
        <v>0</v>
      </c>
      <c r="CK130" s="171">
        <f t="shared" si="312"/>
        <v>0</v>
      </c>
      <c r="CL130" s="171">
        <f t="shared" si="312"/>
        <v>0</v>
      </c>
      <c r="CM130" s="171">
        <f t="shared" si="312"/>
        <v>0</v>
      </c>
      <c r="CN130" s="171">
        <f t="shared" si="312"/>
        <v>0</v>
      </c>
      <c r="CO130" s="171">
        <f t="shared" si="312"/>
        <v>0</v>
      </c>
      <c r="CP130" s="171">
        <f t="shared" si="312"/>
        <v>0</v>
      </c>
      <c r="CQ130" s="171">
        <f t="shared" si="312"/>
        <v>0</v>
      </c>
      <c r="CR130" s="171">
        <f t="shared" si="312"/>
        <v>0</v>
      </c>
      <c r="CS130" s="171">
        <f t="shared" si="312"/>
        <v>0</v>
      </c>
      <c r="CT130" s="171">
        <f t="shared" si="312"/>
        <v>0</v>
      </c>
      <c r="CU130" s="171">
        <f t="shared" si="312"/>
        <v>0</v>
      </c>
      <c r="CV130" s="171">
        <f t="shared" si="312"/>
        <v>0</v>
      </c>
      <c r="CW130" s="171">
        <f t="shared" si="312"/>
        <v>0</v>
      </c>
      <c r="CX130" s="171">
        <f t="shared" si="312"/>
        <v>0</v>
      </c>
      <c r="CY130" s="171">
        <f t="shared" si="312"/>
        <v>0</v>
      </c>
      <c r="CZ130" s="171">
        <f t="shared" si="312"/>
        <v>0</v>
      </c>
      <c r="DA130" s="171">
        <f t="shared" si="312"/>
        <v>0</v>
      </c>
      <c r="DB130" s="171">
        <f t="shared" si="312"/>
        <v>0</v>
      </c>
      <c r="DC130" s="171">
        <f t="shared" si="312"/>
        <v>0</v>
      </c>
      <c r="DD130" s="171">
        <f t="shared" ref="DD130:DT130" si="313">DD51*$I130/12</f>
        <v>0</v>
      </c>
      <c r="DE130" s="171">
        <f t="shared" si="313"/>
        <v>0</v>
      </c>
      <c r="DF130" s="171">
        <f t="shared" si="313"/>
        <v>0</v>
      </c>
      <c r="DG130" s="171">
        <f t="shared" si="313"/>
        <v>0</v>
      </c>
      <c r="DH130" s="171">
        <f t="shared" si="313"/>
        <v>0</v>
      </c>
      <c r="DI130" s="171">
        <f t="shared" si="313"/>
        <v>0</v>
      </c>
      <c r="DJ130" s="171">
        <f t="shared" si="313"/>
        <v>0</v>
      </c>
      <c r="DK130" s="171">
        <f t="shared" si="313"/>
        <v>0</v>
      </c>
      <c r="DL130" s="171">
        <f t="shared" si="313"/>
        <v>0</v>
      </c>
      <c r="DM130" s="171">
        <f t="shared" si="313"/>
        <v>0</v>
      </c>
      <c r="DN130" s="171">
        <f t="shared" si="313"/>
        <v>0</v>
      </c>
      <c r="DO130" s="171">
        <f t="shared" si="313"/>
        <v>0</v>
      </c>
      <c r="DP130" s="171">
        <f t="shared" si="313"/>
        <v>0</v>
      </c>
      <c r="DQ130" s="171">
        <f t="shared" si="313"/>
        <v>0</v>
      </c>
      <c r="DR130" s="171">
        <f t="shared" si="313"/>
        <v>0</v>
      </c>
      <c r="DS130" s="171">
        <f t="shared" si="313"/>
        <v>0</v>
      </c>
      <c r="DT130" s="171">
        <f t="shared" si="313"/>
        <v>0</v>
      </c>
      <c r="DU130" s="171">
        <f t="shared" ref="DU130:EA130" si="314">DU51*$I130/12</f>
        <v>0</v>
      </c>
      <c r="DV130" s="171">
        <f t="shared" si="314"/>
        <v>0</v>
      </c>
      <c r="DW130" s="171">
        <f t="shared" si="314"/>
        <v>0</v>
      </c>
      <c r="DX130" s="171">
        <f t="shared" si="314"/>
        <v>0</v>
      </c>
      <c r="DY130" s="171">
        <f t="shared" si="314"/>
        <v>0</v>
      </c>
      <c r="DZ130" s="171">
        <f t="shared" si="314"/>
        <v>0</v>
      </c>
      <c r="EA130" s="171">
        <f t="shared" si="314"/>
        <v>0</v>
      </c>
      <c r="EB130" s="171">
        <f t="shared" ref="EB130:EQ130" si="315">EB51*$I130/12</f>
        <v>0</v>
      </c>
      <c r="EC130" s="171">
        <f t="shared" si="315"/>
        <v>0</v>
      </c>
      <c r="ED130" s="1321">
        <f t="shared" si="315"/>
        <v>0</v>
      </c>
      <c r="EE130" s="171">
        <f t="shared" si="315"/>
        <v>0</v>
      </c>
      <c r="EF130" s="171">
        <f t="shared" si="315"/>
        <v>0</v>
      </c>
      <c r="EG130" s="171">
        <f t="shared" si="315"/>
        <v>0</v>
      </c>
      <c r="EH130" s="171">
        <f t="shared" si="315"/>
        <v>0</v>
      </c>
      <c r="EI130" s="171">
        <f t="shared" si="315"/>
        <v>0</v>
      </c>
      <c r="EJ130" s="171">
        <f t="shared" si="315"/>
        <v>0</v>
      </c>
      <c r="EK130" s="171">
        <f t="shared" si="315"/>
        <v>0</v>
      </c>
      <c r="EL130" s="171">
        <f t="shared" si="315"/>
        <v>0</v>
      </c>
      <c r="EM130" s="171">
        <f t="shared" si="315"/>
        <v>0</v>
      </c>
      <c r="EN130" s="171">
        <f t="shared" si="315"/>
        <v>0</v>
      </c>
      <c r="EO130" s="171">
        <f t="shared" si="315"/>
        <v>0</v>
      </c>
      <c r="EP130" s="171">
        <f t="shared" si="315"/>
        <v>0</v>
      </c>
      <c r="EQ130" s="171">
        <f t="shared" si="315"/>
        <v>0</v>
      </c>
    </row>
    <row r="131" spans="3:147" ht="11.25" customHeight="1">
      <c r="C131" s="163"/>
      <c r="D131" s="169" t="s">
        <v>219</v>
      </c>
      <c r="I131" s="248"/>
      <c r="J131" s="170">
        <f>SUM(L131:EQ131)</f>
        <v>144637.53334348497</v>
      </c>
      <c r="K131" s="98"/>
      <c r="L131" s="171">
        <f>SUM(L129:L130)*Index!L$39</f>
        <v>0</v>
      </c>
      <c r="M131" s="171">
        <f>SUM(M129:M130)*Index!M$39</f>
        <v>0</v>
      </c>
      <c r="N131" s="171">
        <f>SUM(N129:N130)*Index!N$39</f>
        <v>0</v>
      </c>
      <c r="O131" s="171">
        <f>SUM(O129:O130)*Index!O$39</f>
        <v>144637.53334348497</v>
      </c>
      <c r="P131" s="171">
        <f>SUM(P129:P130)*Index!P$39</f>
        <v>0</v>
      </c>
      <c r="Q131" s="171">
        <f>SUM(Q129:Q130)*Index!Q$39</f>
        <v>0</v>
      </c>
      <c r="R131" s="171">
        <f>SUM(R129:R130)*Index!R$39</f>
        <v>0</v>
      </c>
      <c r="S131" s="171">
        <f>SUM(S129:S130)*Index!S$39</f>
        <v>0</v>
      </c>
      <c r="T131" s="171">
        <f>SUM(T129:T130)*Index!T$39</f>
        <v>0</v>
      </c>
      <c r="U131" s="171">
        <f>SUM(U129:U130)*Index!U$39</f>
        <v>0</v>
      </c>
      <c r="V131" s="171">
        <f>SUM(V129:V130)*Index!V$39</f>
        <v>0</v>
      </c>
      <c r="W131" s="171">
        <f>SUM(W129:W130)*Index!W$39</f>
        <v>0</v>
      </c>
      <c r="X131" s="171">
        <f>SUM(X129:X130)*Index!X$39</f>
        <v>0</v>
      </c>
      <c r="Y131" s="171">
        <f>SUM(Y129:Y130)*Index!Y$39</f>
        <v>0</v>
      </c>
      <c r="Z131" s="171">
        <f>SUM(Z129:Z130)*Index!Z$39</f>
        <v>0</v>
      </c>
      <c r="AA131" s="171">
        <f>SUM(AA129:AA130)*Index!AA$39</f>
        <v>0</v>
      </c>
      <c r="AB131" s="171">
        <f>SUM(AB129:AB130)*Index!AB$39</f>
        <v>0</v>
      </c>
      <c r="AC131" s="171">
        <f>SUM(AC129:AC130)*Index!AC$39</f>
        <v>0</v>
      </c>
      <c r="AD131" s="171">
        <f>SUM(AD129:AD130)*Index!AD$39</f>
        <v>0</v>
      </c>
      <c r="AE131" s="171">
        <f>SUM(AE129:AE130)*Index!AE$39</f>
        <v>0</v>
      </c>
      <c r="AF131" s="171">
        <f>SUM(AF129:AF130)*Index!AF$39</f>
        <v>0</v>
      </c>
      <c r="AG131" s="171">
        <f>SUM(AG129:AG130)*Index!AG$39</f>
        <v>0</v>
      </c>
      <c r="AH131" s="171">
        <f>SUM(AH129:AH130)*Index!AH$39</f>
        <v>0</v>
      </c>
      <c r="AI131" s="171">
        <f>SUM(AI129:AI130)*Index!AI$39</f>
        <v>0</v>
      </c>
      <c r="AJ131" s="171">
        <f>SUM(AJ129:AJ130)*Index!AJ$39</f>
        <v>0</v>
      </c>
      <c r="AK131" s="171">
        <f>SUM(AK129:AK130)*Index!AK$39</f>
        <v>0</v>
      </c>
      <c r="AL131" s="171">
        <f>SUM(AL129:AL130)*Index!AL$39</f>
        <v>0</v>
      </c>
      <c r="AM131" s="171">
        <f>SUM(AM129:AM130)*Index!AM$39</f>
        <v>0</v>
      </c>
      <c r="AN131" s="171">
        <f>SUM(AN129:AN130)*Index!AN$39</f>
        <v>0</v>
      </c>
      <c r="AO131" s="171">
        <f>SUM(AO129:AO130)*Index!AO$39</f>
        <v>0</v>
      </c>
      <c r="AP131" s="171">
        <f>SUM(AP129:AP130)*Index!AP$39</f>
        <v>0</v>
      </c>
      <c r="AQ131" s="171">
        <f>SUM(AQ129:AQ130)*Index!AQ$39</f>
        <v>0</v>
      </c>
      <c r="AR131" s="171">
        <f>SUM(AR129:AR130)*Index!AR$39</f>
        <v>0</v>
      </c>
      <c r="AS131" s="171">
        <f>SUM(AS129:AS130)*Index!AS$39</f>
        <v>0</v>
      </c>
      <c r="AT131" s="171">
        <f>SUM(AT129:AT130)*Index!AT$39</f>
        <v>0</v>
      </c>
      <c r="AU131" s="171">
        <f>SUM(AU129:AU130)*Index!AU$39</f>
        <v>0</v>
      </c>
      <c r="AV131" s="171">
        <f>SUM(AV129:AV130)*Index!AV$39</f>
        <v>0</v>
      </c>
      <c r="AW131" s="171">
        <f>SUM(AW129:AW130)*Index!AW$39</f>
        <v>0</v>
      </c>
      <c r="AX131" s="171">
        <f>SUM(AX129:AX130)*Index!AX$39</f>
        <v>0</v>
      </c>
      <c r="AY131" s="171">
        <f>SUM(AY129:AY130)*Index!AY$39</f>
        <v>0</v>
      </c>
      <c r="AZ131" s="171">
        <f>SUM(AZ129:AZ130)*Index!AZ$39</f>
        <v>0</v>
      </c>
      <c r="BA131" s="171">
        <f>SUM(BA129:BA130)*Index!BA$39</f>
        <v>0</v>
      </c>
      <c r="BB131" s="171">
        <f>SUM(BB129:BB130)*Index!BB$39</f>
        <v>0</v>
      </c>
      <c r="BC131" s="171">
        <f>SUM(BC129:BC130)*Index!BC$39</f>
        <v>0</v>
      </c>
      <c r="BD131" s="171">
        <f>SUM(BD129:BD130)*Index!BD$39</f>
        <v>0</v>
      </c>
      <c r="BE131" s="171">
        <f>SUM(BE129:BE130)*Index!BE$39</f>
        <v>0</v>
      </c>
      <c r="BF131" s="171">
        <f>SUM(BF129:BF130)*Index!BF$39</f>
        <v>0</v>
      </c>
      <c r="BG131" s="171">
        <f>SUM(BG129:BG130)*Index!BG$39</f>
        <v>0</v>
      </c>
      <c r="BH131" s="171">
        <f>SUM(BH129:BH130)*Index!BH$39</f>
        <v>0</v>
      </c>
      <c r="BI131" s="171">
        <f>SUM(BI129:BI130)*Index!BI$39</f>
        <v>0</v>
      </c>
      <c r="BJ131" s="171">
        <f>SUM(BJ129:BJ130)*Index!BJ$39</f>
        <v>0</v>
      </c>
      <c r="BK131" s="171">
        <f>SUM(BK129:BK130)*Index!BK$39</f>
        <v>0</v>
      </c>
      <c r="BL131" s="171">
        <f>SUM(BL129:BL130)*Index!BL$39</f>
        <v>0</v>
      </c>
      <c r="BM131" s="171">
        <f>SUM(BM129:BM130)*Index!BM$39</f>
        <v>0</v>
      </c>
      <c r="BN131" s="171">
        <f>SUM(BN129:BN130)*Index!BN$39</f>
        <v>0</v>
      </c>
      <c r="BO131" s="171">
        <f>SUM(BO129:BO130)*Index!BO$39</f>
        <v>0</v>
      </c>
      <c r="BP131" s="171">
        <f>SUM(BP129:BP130)*Index!BP$39</f>
        <v>0</v>
      </c>
      <c r="BQ131" s="171">
        <f>SUM(BQ129:BQ130)*Index!BQ$39</f>
        <v>0</v>
      </c>
      <c r="BR131" s="171">
        <f>SUM(BR129:BR130)*Index!BR$39</f>
        <v>0</v>
      </c>
      <c r="BS131" s="171">
        <f>SUM(BS129:BS130)*Index!BS$39</f>
        <v>0</v>
      </c>
      <c r="BT131" s="171">
        <f>SUM(BT129:BT130)*Index!BT$39</f>
        <v>0</v>
      </c>
      <c r="BU131" s="171">
        <f>SUM(BU129:BU130)*Index!BU$39</f>
        <v>0</v>
      </c>
      <c r="BV131" s="171">
        <f>SUM(BV129:BV130)*Index!BV$39</f>
        <v>0</v>
      </c>
      <c r="BW131" s="171">
        <f>SUM(BW129:BW130)*Index!BW$39</f>
        <v>0</v>
      </c>
      <c r="BX131" s="171">
        <f>SUM(BX129:BX130)*Index!BX$39</f>
        <v>0</v>
      </c>
      <c r="BY131" s="171">
        <f>SUM(BY129:BY130)*Index!BY$39</f>
        <v>0</v>
      </c>
      <c r="BZ131" s="171">
        <f>SUM(BZ129:BZ130)*Index!BZ$39</f>
        <v>0</v>
      </c>
      <c r="CA131" s="171">
        <f>SUM(CA129:CA130)*Index!CA$39</f>
        <v>0</v>
      </c>
      <c r="CB131" s="171">
        <f>SUM(CB129:CB130)*Index!CB$39</f>
        <v>0</v>
      </c>
      <c r="CC131" s="171">
        <f>SUM(CC129:CC130)*Index!CC$39</f>
        <v>0</v>
      </c>
      <c r="CD131" s="171">
        <f>SUM(CD129:CD130)*Index!CD$39</f>
        <v>0</v>
      </c>
      <c r="CE131" s="171">
        <f>SUM(CE129:CE130)*Index!CE$39</f>
        <v>0</v>
      </c>
      <c r="CF131" s="171">
        <f>SUM(CF129:CF130)*Index!CF$39</f>
        <v>0</v>
      </c>
      <c r="CG131" s="171">
        <f>SUM(CG129:CG130)*Index!CG$39</f>
        <v>0</v>
      </c>
      <c r="CH131" s="171">
        <f>SUM(CH129:CH130)*Index!CH$39</f>
        <v>0</v>
      </c>
      <c r="CI131" s="171">
        <f>SUM(CI129:CI130)*Index!CI$39</f>
        <v>0</v>
      </c>
      <c r="CJ131" s="171">
        <f>SUM(CJ129:CJ130)*Index!CJ$39</f>
        <v>0</v>
      </c>
      <c r="CK131" s="171">
        <f>SUM(CK129:CK130)*Index!CK$39</f>
        <v>0</v>
      </c>
      <c r="CL131" s="171">
        <f>SUM(CL129:CL130)*Index!CL$39</f>
        <v>0</v>
      </c>
      <c r="CM131" s="171">
        <f>SUM(CM129:CM130)*Index!CM$39</f>
        <v>0</v>
      </c>
      <c r="CN131" s="171">
        <f>SUM(CN129:CN130)*Index!CN$39</f>
        <v>0</v>
      </c>
      <c r="CO131" s="171">
        <f>SUM(CO129:CO130)*Index!CO$39</f>
        <v>0</v>
      </c>
      <c r="CP131" s="171">
        <f>SUM(CP129:CP130)*Index!CP$39</f>
        <v>0</v>
      </c>
      <c r="CQ131" s="171">
        <f>SUM(CQ129:CQ130)*Index!CQ$39</f>
        <v>0</v>
      </c>
      <c r="CR131" s="171">
        <f>SUM(CR129:CR130)*Index!CR$39</f>
        <v>0</v>
      </c>
      <c r="CS131" s="171">
        <f>SUM(CS129:CS130)*Index!CS$39</f>
        <v>0</v>
      </c>
      <c r="CT131" s="171">
        <f>SUM(CT129:CT130)*Index!CT$39</f>
        <v>0</v>
      </c>
      <c r="CU131" s="171">
        <f>SUM(CU129:CU130)*Index!CU$39</f>
        <v>0</v>
      </c>
      <c r="CV131" s="171">
        <f>SUM(CV129:CV130)*Index!CV$39</f>
        <v>0</v>
      </c>
      <c r="CW131" s="171">
        <f>SUM(CW129:CW130)*Index!CW$39</f>
        <v>0</v>
      </c>
      <c r="CX131" s="171">
        <f>SUM(CX129:CX130)*Index!CX$39</f>
        <v>0</v>
      </c>
      <c r="CY131" s="171">
        <f>SUM(CY129:CY130)*Index!CY$39</f>
        <v>0</v>
      </c>
      <c r="CZ131" s="171">
        <f>SUM(CZ129:CZ130)*Index!CZ$39</f>
        <v>0</v>
      </c>
      <c r="DA131" s="171">
        <f>SUM(DA129:DA130)*Index!DA$39</f>
        <v>0</v>
      </c>
      <c r="DB131" s="171">
        <f>SUM(DB129:DB130)*Index!DB$39</f>
        <v>0</v>
      </c>
      <c r="DC131" s="171">
        <f>SUM(DC129:DC130)*Index!DC$39</f>
        <v>0</v>
      </c>
      <c r="DD131" s="171">
        <f>SUM(DD129:DD130)*Index!DD$39</f>
        <v>0</v>
      </c>
      <c r="DE131" s="171">
        <f>SUM(DE129:DE130)*Index!DE$39</f>
        <v>0</v>
      </c>
      <c r="DF131" s="171">
        <f>SUM(DF129:DF130)*Index!DF$39</f>
        <v>0</v>
      </c>
      <c r="DG131" s="171">
        <f>SUM(DG129:DG130)*Index!DG$39</f>
        <v>0</v>
      </c>
      <c r="DH131" s="171">
        <f>SUM(DH129:DH130)*Index!DH$39</f>
        <v>0</v>
      </c>
      <c r="DI131" s="171">
        <f>SUM(DI129:DI130)*Index!DI$39</f>
        <v>0</v>
      </c>
      <c r="DJ131" s="171">
        <f>SUM(DJ129:DJ130)*Index!DJ$39</f>
        <v>0</v>
      </c>
      <c r="DK131" s="171">
        <f>SUM(DK129:DK130)*Index!DK$39</f>
        <v>0</v>
      </c>
      <c r="DL131" s="171">
        <f>SUM(DL129:DL130)*Index!DL$39</f>
        <v>0</v>
      </c>
      <c r="DM131" s="171">
        <f>SUM(DM129:DM130)*Index!DM$39</f>
        <v>0</v>
      </c>
      <c r="DN131" s="171">
        <f>SUM(DN129:DN130)*Index!DN$39</f>
        <v>0</v>
      </c>
      <c r="DO131" s="171">
        <f>SUM(DO129:DO130)*Index!DO$39</f>
        <v>0</v>
      </c>
      <c r="DP131" s="171">
        <f>SUM(DP129:DP130)*Index!DP$39</f>
        <v>0</v>
      </c>
      <c r="DQ131" s="171">
        <f>SUM(DQ129:DQ130)*Index!DQ$39</f>
        <v>0</v>
      </c>
      <c r="DR131" s="171">
        <f>SUM(DR129:DR130)*Index!DR$39</f>
        <v>0</v>
      </c>
      <c r="DS131" s="171">
        <f>SUM(DS129:DS130)*Index!DS$39</f>
        <v>0</v>
      </c>
      <c r="DT131" s="171">
        <f>SUM(DT129:DT130)*Index!DT$39</f>
        <v>0</v>
      </c>
      <c r="DU131" s="171">
        <f>SUM(DU129:DU130)*Index!DU$39</f>
        <v>0</v>
      </c>
      <c r="DV131" s="171">
        <f>SUM(DV129:DV130)*Index!DV$39</f>
        <v>0</v>
      </c>
      <c r="DW131" s="171">
        <f>SUM(DW129:DW130)*Index!DW$39</f>
        <v>0</v>
      </c>
      <c r="DX131" s="171">
        <f>SUM(DX129:DX130)*Index!DX$39</f>
        <v>0</v>
      </c>
      <c r="DY131" s="171">
        <f>SUM(DY129:DY130)*Index!DY$39</f>
        <v>0</v>
      </c>
      <c r="DZ131" s="171">
        <f>SUM(DZ129:DZ130)*Index!DZ$39</f>
        <v>0</v>
      </c>
      <c r="EA131" s="171">
        <f>SUM(EA129:EA130)*Index!EA$39</f>
        <v>0</v>
      </c>
      <c r="EB131" s="171">
        <f>SUM(EB129:EB130)*Index!EB$39</f>
        <v>0</v>
      </c>
      <c r="EC131" s="171">
        <f>SUM(EC129:EC130)*Index!EC$39</f>
        <v>0</v>
      </c>
      <c r="ED131" s="1321">
        <f>SUM(ED129:ED130)*Index!ED$39</f>
        <v>0</v>
      </c>
      <c r="EE131" s="171">
        <f>SUM(EE129:EE130)*Index!EE$39</f>
        <v>0</v>
      </c>
      <c r="EF131" s="171">
        <f>SUM(EF129:EF130)*Index!EF$39</f>
        <v>0</v>
      </c>
      <c r="EG131" s="171">
        <f>SUM(EG129:EG130)*Index!EG$39</f>
        <v>0</v>
      </c>
      <c r="EH131" s="171">
        <f>SUM(EH129:EH130)*Index!EH$39</f>
        <v>0</v>
      </c>
      <c r="EI131" s="171">
        <f>SUM(EI129:EI130)*Index!EI$39</f>
        <v>0</v>
      </c>
      <c r="EJ131" s="171">
        <f>SUM(EJ129:EJ130)*Index!EJ$39</f>
        <v>0</v>
      </c>
      <c r="EK131" s="171">
        <f>SUM(EK129:EK130)*Index!EK$39</f>
        <v>0</v>
      </c>
      <c r="EL131" s="171">
        <f>SUM(EL129:EL130)*Index!EL$39</f>
        <v>0</v>
      </c>
      <c r="EM131" s="171">
        <f>SUM(EM129:EM130)*Index!EM$39</f>
        <v>0</v>
      </c>
      <c r="EN131" s="171">
        <f>SUM(EN129:EN130)*Index!EN$39</f>
        <v>0</v>
      </c>
      <c r="EO131" s="171">
        <f>SUM(EO129:EO130)*Index!EO$39</f>
        <v>0</v>
      </c>
      <c r="EP131" s="171">
        <f>SUM(EP129:EP130)*Index!EP$39</f>
        <v>0</v>
      </c>
      <c r="EQ131" s="171">
        <f>SUM(EQ129:EQ130)*Index!EQ$39</f>
        <v>0</v>
      </c>
    </row>
    <row r="132" spans="3:147" ht="11.25" customHeight="1">
      <c r="C132" s="173"/>
      <c r="D132" s="174" t="s">
        <v>220</v>
      </c>
      <c r="E132" s="175"/>
      <c r="F132" s="175"/>
      <c r="G132" s="175"/>
      <c r="H132" s="197"/>
      <c r="I132" s="249"/>
      <c r="J132" s="176"/>
      <c r="K132" s="98"/>
      <c r="L132" s="177">
        <f>L129+L130-L131</f>
        <v>0</v>
      </c>
      <c r="M132" s="177">
        <f t="shared" ref="M132:BX132" si="316">M129+M130-M131</f>
        <v>48212.511114494991</v>
      </c>
      <c r="N132" s="177">
        <f t="shared" si="316"/>
        <v>96425.022228989983</v>
      </c>
      <c r="O132" s="177">
        <f t="shared" si="316"/>
        <v>0</v>
      </c>
      <c r="P132" s="177">
        <f t="shared" si="316"/>
        <v>0</v>
      </c>
      <c r="Q132" s="177">
        <f t="shared" si="316"/>
        <v>0</v>
      </c>
      <c r="R132" s="177">
        <f t="shared" si="316"/>
        <v>0</v>
      </c>
      <c r="S132" s="177">
        <f t="shared" si="316"/>
        <v>0</v>
      </c>
      <c r="T132" s="177">
        <f t="shared" si="316"/>
        <v>0</v>
      </c>
      <c r="U132" s="177">
        <f t="shared" si="316"/>
        <v>0</v>
      </c>
      <c r="V132" s="177">
        <f t="shared" si="316"/>
        <v>0</v>
      </c>
      <c r="W132" s="177">
        <f t="shared" si="316"/>
        <v>0</v>
      </c>
      <c r="X132" s="177">
        <f t="shared" si="316"/>
        <v>0</v>
      </c>
      <c r="Y132" s="177">
        <f t="shared" si="316"/>
        <v>0</v>
      </c>
      <c r="Z132" s="177">
        <f t="shared" si="316"/>
        <v>0</v>
      </c>
      <c r="AA132" s="177">
        <f t="shared" si="316"/>
        <v>0</v>
      </c>
      <c r="AB132" s="177">
        <f t="shared" si="316"/>
        <v>0</v>
      </c>
      <c r="AC132" s="177">
        <f t="shared" si="316"/>
        <v>0</v>
      </c>
      <c r="AD132" s="177">
        <f t="shared" si="316"/>
        <v>0</v>
      </c>
      <c r="AE132" s="177">
        <f t="shared" si="316"/>
        <v>0</v>
      </c>
      <c r="AF132" s="177">
        <f t="shared" si="316"/>
        <v>0</v>
      </c>
      <c r="AG132" s="177">
        <f t="shared" si="316"/>
        <v>0</v>
      </c>
      <c r="AH132" s="177">
        <f t="shared" si="316"/>
        <v>0</v>
      </c>
      <c r="AI132" s="177">
        <f t="shared" si="316"/>
        <v>0</v>
      </c>
      <c r="AJ132" s="177">
        <f t="shared" si="316"/>
        <v>0</v>
      </c>
      <c r="AK132" s="177">
        <f t="shared" si="316"/>
        <v>0</v>
      </c>
      <c r="AL132" s="177">
        <f t="shared" si="316"/>
        <v>0</v>
      </c>
      <c r="AM132" s="177">
        <f t="shared" si="316"/>
        <v>0</v>
      </c>
      <c r="AN132" s="177">
        <f t="shared" si="316"/>
        <v>0</v>
      </c>
      <c r="AO132" s="177">
        <f t="shared" si="316"/>
        <v>0</v>
      </c>
      <c r="AP132" s="177">
        <f t="shared" si="316"/>
        <v>0</v>
      </c>
      <c r="AQ132" s="177">
        <f t="shared" si="316"/>
        <v>0</v>
      </c>
      <c r="AR132" s="177">
        <f t="shared" si="316"/>
        <v>0</v>
      </c>
      <c r="AS132" s="177">
        <f t="shared" si="316"/>
        <v>0</v>
      </c>
      <c r="AT132" s="177">
        <f t="shared" si="316"/>
        <v>0</v>
      </c>
      <c r="AU132" s="177">
        <f t="shared" si="316"/>
        <v>0</v>
      </c>
      <c r="AV132" s="177">
        <f t="shared" si="316"/>
        <v>0</v>
      </c>
      <c r="AW132" s="177">
        <f t="shared" si="316"/>
        <v>0</v>
      </c>
      <c r="AX132" s="177">
        <f t="shared" si="316"/>
        <v>0</v>
      </c>
      <c r="AY132" s="177">
        <f t="shared" si="316"/>
        <v>0</v>
      </c>
      <c r="AZ132" s="177">
        <f t="shared" si="316"/>
        <v>0</v>
      </c>
      <c r="BA132" s="177">
        <f t="shared" si="316"/>
        <v>0</v>
      </c>
      <c r="BB132" s="177">
        <f t="shared" si="316"/>
        <v>0</v>
      </c>
      <c r="BC132" s="177">
        <f t="shared" si="316"/>
        <v>0</v>
      </c>
      <c r="BD132" s="177">
        <f t="shared" si="316"/>
        <v>0</v>
      </c>
      <c r="BE132" s="177">
        <f t="shared" si="316"/>
        <v>0</v>
      </c>
      <c r="BF132" s="177">
        <f t="shared" si="316"/>
        <v>0</v>
      </c>
      <c r="BG132" s="177">
        <f t="shared" si="316"/>
        <v>0</v>
      </c>
      <c r="BH132" s="177">
        <f t="shared" si="316"/>
        <v>0</v>
      </c>
      <c r="BI132" s="177">
        <f t="shared" si="316"/>
        <v>0</v>
      </c>
      <c r="BJ132" s="177">
        <f t="shared" si="316"/>
        <v>0</v>
      </c>
      <c r="BK132" s="177">
        <f t="shared" si="316"/>
        <v>0</v>
      </c>
      <c r="BL132" s="177">
        <f t="shared" si="316"/>
        <v>0</v>
      </c>
      <c r="BM132" s="177">
        <f t="shared" si="316"/>
        <v>0</v>
      </c>
      <c r="BN132" s="177">
        <f t="shared" si="316"/>
        <v>0</v>
      </c>
      <c r="BO132" s="177">
        <f t="shared" si="316"/>
        <v>0</v>
      </c>
      <c r="BP132" s="177">
        <f t="shared" si="316"/>
        <v>0</v>
      </c>
      <c r="BQ132" s="177">
        <f t="shared" si="316"/>
        <v>0</v>
      </c>
      <c r="BR132" s="177">
        <f t="shared" si="316"/>
        <v>0</v>
      </c>
      <c r="BS132" s="177">
        <f t="shared" si="316"/>
        <v>0</v>
      </c>
      <c r="BT132" s="177">
        <f t="shared" si="316"/>
        <v>0</v>
      </c>
      <c r="BU132" s="177">
        <f t="shared" si="316"/>
        <v>0</v>
      </c>
      <c r="BV132" s="177">
        <f t="shared" si="316"/>
        <v>0</v>
      </c>
      <c r="BW132" s="177">
        <f t="shared" si="316"/>
        <v>0</v>
      </c>
      <c r="BX132" s="177">
        <f t="shared" si="316"/>
        <v>0</v>
      </c>
      <c r="BY132" s="177">
        <f t="shared" ref="BY132:DT132" si="317">BY129+BY130-BY131</f>
        <v>0</v>
      </c>
      <c r="BZ132" s="177">
        <f t="shared" si="317"/>
        <v>0</v>
      </c>
      <c r="CA132" s="177">
        <f t="shared" si="317"/>
        <v>0</v>
      </c>
      <c r="CB132" s="177">
        <f t="shared" si="317"/>
        <v>0</v>
      </c>
      <c r="CC132" s="177">
        <f t="shared" si="317"/>
        <v>0</v>
      </c>
      <c r="CD132" s="177">
        <f t="shared" si="317"/>
        <v>0</v>
      </c>
      <c r="CE132" s="177">
        <f t="shared" si="317"/>
        <v>0</v>
      </c>
      <c r="CF132" s="177">
        <f t="shared" si="317"/>
        <v>0</v>
      </c>
      <c r="CG132" s="177">
        <f t="shared" si="317"/>
        <v>0</v>
      </c>
      <c r="CH132" s="177">
        <f t="shared" si="317"/>
        <v>0</v>
      </c>
      <c r="CI132" s="177">
        <f t="shared" si="317"/>
        <v>0</v>
      </c>
      <c r="CJ132" s="177">
        <f t="shared" si="317"/>
        <v>0</v>
      </c>
      <c r="CK132" s="177">
        <f t="shared" si="317"/>
        <v>0</v>
      </c>
      <c r="CL132" s="177">
        <f t="shared" si="317"/>
        <v>0</v>
      </c>
      <c r="CM132" s="177">
        <f t="shared" si="317"/>
        <v>0</v>
      </c>
      <c r="CN132" s="177">
        <f t="shared" si="317"/>
        <v>0</v>
      </c>
      <c r="CO132" s="177">
        <f t="shared" si="317"/>
        <v>0</v>
      </c>
      <c r="CP132" s="177">
        <f t="shared" si="317"/>
        <v>0</v>
      </c>
      <c r="CQ132" s="177">
        <f t="shared" si="317"/>
        <v>0</v>
      </c>
      <c r="CR132" s="177">
        <f t="shared" si="317"/>
        <v>0</v>
      </c>
      <c r="CS132" s="177">
        <f t="shared" si="317"/>
        <v>0</v>
      </c>
      <c r="CT132" s="177">
        <f t="shared" si="317"/>
        <v>0</v>
      </c>
      <c r="CU132" s="177">
        <f t="shared" si="317"/>
        <v>0</v>
      </c>
      <c r="CV132" s="177">
        <f t="shared" si="317"/>
        <v>0</v>
      </c>
      <c r="CW132" s="177">
        <f t="shared" si="317"/>
        <v>0</v>
      </c>
      <c r="CX132" s="177">
        <f t="shared" si="317"/>
        <v>0</v>
      </c>
      <c r="CY132" s="177">
        <f t="shared" si="317"/>
        <v>0</v>
      </c>
      <c r="CZ132" s="177">
        <f t="shared" si="317"/>
        <v>0</v>
      </c>
      <c r="DA132" s="177">
        <f t="shared" si="317"/>
        <v>0</v>
      </c>
      <c r="DB132" s="177">
        <f t="shared" si="317"/>
        <v>0</v>
      </c>
      <c r="DC132" s="177">
        <f t="shared" si="317"/>
        <v>0</v>
      </c>
      <c r="DD132" s="177">
        <f t="shared" si="317"/>
        <v>0</v>
      </c>
      <c r="DE132" s="177">
        <f t="shared" si="317"/>
        <v>0</v>
      </c>
      <c r="DF132" s="177">
        <f t="shared" si="317"/>
        <v>0</v>
      </c>
      <c r="DG132" s="177">
        <f t="shared" si="317"/>
        <v>0</v>
      </c>
      <c r="DH132" s="177">
        <f t="shared" si="317"/>
        <v>0</v>
      </c>
      <c r="DI132" s="177">
        <f t="shared" si="317"/>
        <v>0</v>
      </c>
      <c r="DJ132" s="177">
        <f t="shared" si="317"/>
        <v>0</v>
      </c>
      <c r="DK132" s="177">
        <f t="shared" si="317"/>
        <v>0</v>
      </c>
      <c r="DL132" s="177">
        <f t="shared" si="317"/>
        <v>0</v>
      </c>
      <c r="DM132" s="177">
        <f t="shared" si="317"/>
        <v>0</v>
      </c>
      <c r="DN132" s="177">
        <f t="shared" si="317"/>
        <v>0</v>
      </c>
      <c r="DO132" s="177">
        <f t="shared" si="317"/>
        <v>0</v>
      </c>
      <c r="DP132" s="177">
        <f t="shared" si="317"/>
        <v>0</v>
      </c>
      <c r="DQ132" s="177">
        <f t="shared" si="317"/>
        <v>0</v>
      </c>
      <c r="DR132" s="177">
        <f t="shared" si="317"/>
        <v>0</v>
      </c>
      <c r="DS132" s="177">
        <f t="shared" si="317"/>
        <v>0</v>
      </c>
      <c r="DT132" s="177">
        <f t="shared" si="317"/>
        <v>0</v>
      </c>
      <c r="DU132" s="177">
        <f t="shared" ref="DU132:EA132" si="318">DU129+DU130-DU131</f>
        <v>0</v>
      </c>
      <c r="DV132" s="177">
        <f t="shared" si="318"/>
        <v>0</v>
      </c>
      <c r="DW132" s="177">
        <f t="shared" si="318"/>
        <v>0</v>
      </c>
      <c r="DX132" s="177">
        <f t="shared" si="318"/>
        <v>0</v>
      </c>
      <c r="DY132" s="177">
        <f t="shared" si="318"/>
        <v>0</v>
      </c>
      <c r="DZ132" s="177">
        <f t="shared" si="318"/>
        <v>0</v>
      </c>
      <c r="EA132" s="177">
        <f t="shared" si="318"/>
        <v>0</v>
      </c>
      <c r="EB132" s="177">
        <f t="shared" ref="EB132:EQ132" si="319">EB129+EB130-EB131</f>
        <v>0</v>
      </c>
      <c r="EC132" s="177">
        <f t="shared" si="319"/>
        <v>0</v>
      </c>
      <c r="ED132" s="1322">
        <f t="shared" si="319"/>
        <v>0</v>
      </c>
      <c r="EE132" s="177">
        <f t="shared" si="319"/>
        <v>0</v>
      </c>
      <c r="EF132" s="177">
        <f t="shared" si="319"/>
        <v>0</v>
      </c>
      <c r="EG132" s="177">
        <f t="shared" si="319"/>
        <v>0</v>
      </c>
      <c r="EH132" s="177">
        <f t="shared" si="319"/>
        <v>0</v>
      </c>
      <c r="EI132" s="177">
        <f t="shared" si="319"/>
        <v>0</v>
      </c>
      <c r="EJ132" s="177">
        <f t="shared" si="319"/>
        <v>0</v>
      </c>
      <c r="EK132" s="177">
        <f t="shared" si="319"/>
        <v>0</v>
      </c>
      <c r="EL132" s="177">
        <f t="shared" si="319"/>
        <v>0</v>
      </c>
      <c r="EM132" s="177">
        <f t="shared" si="319"/>
        <v>0</v>
      </c>
      <c r="EN132" s="177">
        <f t="shared" si="319"/>
        <v>0</v>
      </c>
      <c r="EO132" s="177">
        <f t="shared" si="319"/>
        <v>0</v>
      </c>
      <c r="EP132" s="177">
        <f t="shared" si="319"/>
        <v>0</v>
      </c>
      <c r="EQ132" s="177">
        <f t="shared" si="319"/>
        <v>0</v>
      </c>
    </row>
    <row r="133" spans="3:147" ht="11.25" customHeight="1">
      <c r="C133" s="1051" t="s">
        <v>611</v>
      </c>
      <c r="D133" s="1053"/>
      <c r="E133" s="1053"/>
      <c r="F133" s="1053"/>
      <c r="G133" s="1053"/>
      <c r="H133" s="1054"/>
      <c r="I133" s="1055"/>
      <c r="J133" s="1056"/>
      <c r="K133" s="98"/>
      <c r="L133" s="1057"/>
      <c r="M133" s="1057"/>
      <c r="N133" s="1057"/>
      <c r="O133" s="1057"/>
      <c r="P133" s="1057"/>
      <c r="Q133" s="1057"/>
      <c r="R133" s="1057"/>
      <c r="S133" s="1057"/>
      <c r="T133" s="1057"/>
      <c r="U133" s="1057"/>
      <c r="V133" s="1057"/>
      <c r="W133" s="1057"/>
      <c r="X133" s="1057"/>
      <c r="Y133" s="1057"/>
      <c r="Z133" s="1057"/>
      <c r="AA133" s="1057"/>
      <c r="AB133" s="1057"/>
      <c r="AC133" s="1057"/>
      <c r="AD133" s="1057"/>
      <c r="AE133" s="1057"/>
      <c r="AF133" s="1057"/>
      <c r="AG133" s="1057"/>
      <c r="AH133" s="1057"/>
      <c r="AI133" s="1057"/>
      <c r="AJ133" s="1057"/>
      <c r="AK133" s="1057"/>
      <c r="AL133" s="1057"/>
      <c r="AM133" s="1057"/>
      <c r="AN133" s="1057"/>
      <c r="AO133" s="1057"/>
      <c r="AP133" s="1057"/>
      <c r="AQ133" s="1057"/>
      <c r="AR133" s="1057"/>
      <c r="AS133" s="1057"/>
      <c r="AT133" s="1057"/>
      <c r="AU133" s="1057"/>
      <c r="AV133" s="1057"/>
      <c r="AW133" s="1057"/>
      <c r="AX133" s="1057"/>
      <c r="AY133" s="1057"/>
      <c r="AZ133" s="1057"/>
      <c r="BA133" s="1057"/>
      <c r="BB133" s="1057"/>
      <c r="BC133" s="1057"/>
      <c r="BD133" s="1057"/>
      <c r="BE133" s="1057"/>
      <c r="BF133" s="1057"/>
      <c r="BG133" s="1057"/>
      <c r="BH133" s="1057"/>
      <c r="BI133" s="1057"/>
      <c r="BJ133" s="1057"/>
      <c r="BK133" s="1057"/>
      <c r="BL133" s="1057"/>
      <c r="BM133" s="1057"/>
      <c r="BN133" s="1057"/>
      <c r="BO133" s="1057"/>
      <c r="BP133" s="1057"/>
      <c r="BQ133" s="1057"/>
      <c r="BR133" s="1057"/>
      <c r="BS133" s="1057"/>
      <c r="BT133" s="1057"/>
      <c r="BU133" s="1057"/>
      <c r="BV133" s="1057"/>
      <c r="BW133" s="1057"/>
      <c r="BX133" s="1057"/>
      <c r="BY133" s="1057"/>
      <c r="BZ133" s="1057"/>
      <c r="CA133" s="1057"/>
      <c r="CB133" s="1057"/>
      <c r="CC133" s="1057"/>
      <c r="CD133" s="1057"/>
      <c r="CE133" s="1057"/>
      <c r="CF133" s="1057"/>
      <c r="CG133" s="1057"/>
      <c r="CH133" s="1057"/>
      <c r="CI133" s="1057"/>
      <c r="CJ133" s="1057"/>
      <c r="CK133" s="1057"/>
      <c r="CL133" s="1057"/>
      <c r="CM133" s="1057"/>
      <c r="CN133" s="1057"/>
      <c r="CO133" s="1057"/>
      <c r="CP133" s="1057"/>
      <c r="CQ133" s="1057"/>
      <c r="CR133" s="1057"/>
      <c r="CS133" s="1057"/>
      <c r="CT133" s="1057"/>
      <c r="CU133" s="1057"/>
      <c r="CV133" s="1057"/>
      <c r="CW133" s="1057"/>
      <c r="CX133" s="1057"/>
      <c r="CY133" s="1057"/>
      <c r="CZ133" s="1057"/>
      <c r="DA133" s="1057"/>
      <c r="DB133" s="1057"/>
      <c r="DC133" s="1057"/>
      <c r="DD133" s="1057"/>
      <c r="DE133" s="1057"/>
      <c r="DF133" s="1057"/>
      <c r="DG133" s="1057"/>
      <c r="DH133" s="1057"/>
      <c r="DI133" s="1057"/>
      <c r="DJ133" s="1057"/>
      <c r="DK133" s="1057"/>
      <c r="DL133" s="1057"/>
      <c r="DM133" s="1057"/>
      <c r="DN133" s="1057"/>
      <c r="DO133" s="1057"/>
      <c r="DP133" s="1057"/>
      <c r="DQ133" s="1057"/>
      <c r="DR133" s="1057"/>
      <c r="DS133" s="1057"/>
      <c r="DT133" s="1057"/>
      <c r="DU133" s="1057"/>
      <c r="DV133" s="1057"/>
      <c r="DW133" s="1057"/>
      <c r="DX133" s="1057"/>
      <c r="DY133" s="1057"/>
      <c r="DZ133" s="1057"/>
      <c r="EA133" s="1057"/>
      <c r="EB133" s="1057"/>
      <c r="EC133" s="1057"/>
      <c r="ED133" s="1319"/>
      <c r="EE133" s="1057"/>
      <c r="EF133" s="1057"/>
      <c r="EG133" s="1057"/>
      <c r="EH133" s="1057"/>
      <c r="EI133" s="1057"/>
      <c r="EJ133" s="1057"/>
      <c r="EK133" s="1057"/>
      <c r="EL133" s="1057"/>
      <c r="EM133" s="1057"/>
      <c r="EN133" s="1057"/>
      <c r="EO133" s="1057"/>
      <c r="EP133" s="1057"/>
      <c r="EQ133" s="1057"/>
    </row>
    <row r="134" spans="3:147" ht="11.25" customHeight="1">
      <c r="C134" s="1052"/>
      <c r="D134" s="164" t="s">
        <v>230</v>
      </c>
      <c r="E134" s="165"/>
      <c r="F134" s="165"/>
      <c r="G134" s="165"/>
      <c r="H134" s="166"/>
      <c r="I134" s="221"/>
      <c r="J134" s="167"/>
      <c r="K134" s="98"/>
      <c r="L134" s="168">
        <f>K137</f>
        <v>0</v>
      </c>
      <c r="M134" s="168">
        <f t="shared" ref="M134:BX134" si="320">L137</f>
        <v>0</v>
      </c>
      <c r="N134" s="168">
        <f t="shared" si="320"/>
        <v>0</v>
      </c>
      <c r="O134" s="168">
        <f t="shared" si="320"/>
        <v>0</v>
      </c>
      <c r="P134" s="168">
        <f t="shared" si="320"/>
        <v>0</v>
      </c>
      <c r="Q134" s="168">
        <f t="shared" si="320"/>
        <v>0</v>
      </c>
      <c r="R134" s="168">
        <f t="shared" si="320"/>
        <v>0</v>
      </c>
      <c r="S134" s="168">
        <f t="shared" si="320"/>
        <v>0</v>
      </c>
      <c r="T134" s="168">
        <f t="shared" si="320"/>
        <v>0</v>
      </c>
      <c r="U134" s="168">
        <f t="shared" si="320"/>
        <v>0</v>
      </c>
      <c r="V134" s="168">
        <f t="shared" si="320"/>
        <v>0</v>
      </c>
      <c r="W134" s="168">
        <f t="shared" si="320"/>
        <v>0</v>
      </c>
      <c r="X134" s="168">
        <f t="shared" si="320"/>
        <v>0</v>
      </c>
      <c r="Y134" s="168">
        <f t="shared" si="320"/>
        <v>0</v>
      </c>
      <c r="Z134" s="168">
        <f t="shared" si="320"/>
        <v>0</v>
      </c>
      <c r="AA134" s="168">
        <f t="shared" si="320"/>
        <v>0</v>
      </c>
      <c r="AB134" s="168">
        <f t="shared" si="320"/>
        <v>0</v>
      </c>
      <c r="AC134" s="168">
        <f t="shared" si="320"/>
        <v>0</v>
      </c>
      <c r="AD134" s="168">
        <f t="shared" si="320"/>
        <v>0</v>
      </c>
      <c r="AE134" s="168">
        <f t="shared" si="320"/>
        <v>0</v>
      </c>
      <c r="AF134" s="168">
        <f t="shared" si="320"/>
        <v>0</v>
      </c>
      <c r="AG134" s="168">
        <f t="shared" si="320"/>
        <v>0</v>
      </c>
      <c r="AH134" s="168">
        <f t="shared" si="320"/>
        <v>0</v>
      </c>
      <c r="AI134" s="168">
        <f t="shared" si="320"/>
        <v>0</v>
      </c>
      <c r="AJ134" s="168">
        <f t="shared" si="320"/>
        <v>0</v>
      </c>
      <c r="AK134" s="168">
        <f t="shared" si="320"/>
        <v>0</v>
      </c>
      <c r="AL134" s="168">
        <f t="shared" si="320"/>
        <v>0</v>
      </c>
      <c r="AM134" s="168">
        <f t="shared" si="320"/>
        <v>0</v>
      </c>
      <c r="AN134" s="168">
        <f t="shared" si="320"/>
        <v>0</v>
      </c>
      <c r="AO134" s="168">
        <f t="shared" si="320"/>
        <v>0</v>
      </c>
      <c r="AP134" s="168">
        <f t="shared" si="320"/>
        <v>0</v>
      </c>
      <c r="AQ134" s="168">
        <f t="shared" si="320"/>
        <v>0</v>
      </c>
      <c r="AR134" s="168">
        <f t="shared" si="320"/>
        <v>0</v>
      </c>
      <c r="AS134" s="168">
        <f t="shared" si="320"/>
        <v>0</v>
      </c>
      <c r="AT134" s="168">
        <f t="shared" si="320"/>
        <v>0</v>
      </c>
      <c r="AU134" s="168">
        <f t="shared" si="320"/>
        <v>0</v>
      </c>
      <c r="AV134" s="168">
        <f t="shared" si="320"/>
        <v>0</v>
      </c>
      <c r="AW134" s="168">
        <f t="shared" si="320"/>
        <v>0</v>
      </c>
      <c r="AX134" s="168">
        <f t="shared" si="320"/>
        <v>0</v>
      </c>
      <c r="AY134" s="168">
        <f t="shared" si="320"/>
        <v>0</v>
      </c>
      <c r="AZ134" s="168">
        <f t="shared" si="320"/>
        <v>0</v>
      </c>
      <c r="BA134" s="168">
        <f t="shared" si="320"/>
        <v>0</v>
      </c>
      <c r="BB134" s="168">
        <f t="shared" si="320"/>
        <v>0</v>
      </c>
      <c r="BC134" s="168">
        <f t="shared" si="320"/>
        <v>0</v>
      </c>
      <c r="BD134" s="168">
        <f t="shared" si="320"/>
        <v>0</v>
      </c>
      <c r="BE134" s="168">
        <f t="shared" si="320"/>
        <v>0</v>
      </c>
      <c r="BF134" s="168">
        <f t="shared" si="320"/>
        <v>0</v>
      </c>
      <c r="BG134" s="168">
        <f t="shared" si="320"/>
        <v>0</v>
      </c>
      <c r="BH134" s="168">
        <f t="shared" si="320"/>
        <v>0</v>
      </c>
      <c r="BI134" s="168">
        <f t="shared" si="320"/>
        <v>0</v>
      </c>
      <c r="BJ134" s="168">
        <f t="shared" si="320"/>
        <v>0</v>
      </c>
      <c r="BK134" s="168">
        <f t="shared" si="320"/>
        <v>0</v>
      </c>
      <c r="BL134" s="168">
        <f t="shared" si="320"/>
        <v>0</v>
      </c>
      <c r="BM134" s="168">
        <f t="shared" si="320"/>
        <v>0</v>
      </c>
      <c r="BN134" s="168">
        <f t="shared" si="320"/>
        <v>0</v>
      </c>
      <c r="BO134" s="168">
        <f t="shared" si="320"/>
        <v>0</v>
      </c>
      <c r="BP134" s="168">
        <f t="shared" si="320"/>
        <v>0</v>
      </c>
      <c r="BQ134" s="168">
        <f t="shared" si="320"/>
        <v>0</v>
      </c>
      <c r="BR134" s="168">
        <f t="shared" si="320"/>
        <v>0</v>
      </c>
      <c r="BS134" s="168">
        <f t="shared" si="320"/>
        <v>0</v>
      </c>
      <c r="BT134" s="168">
        <f t="shared" si="320"/>
        <v>0</v>
      </c>
      <c r="BU134" s="168">
        <f t="shared" si="320"/>
        <v>0</v>
      </c>
      <c r="BV134" s="168">
        <f t="shared" si="320"/>
        <v>0</v>
      </c>
      <c r="BW134" s="168">
        <f t="shared" si="320"/>
        <v>0</v>
      </c>
      <c r="BX134" s="168">
        <f t="shared" si="320"/>
        <v>0</v>
      </c>
      <c r="BY134" s="168">
        <f t="shared" ref="BY134:DT134" si="321">BX137</f>
        <v>0</v>
      </c>
      <c r="BZ134" s="168">
        <f t="shared" si="321"/>
        <v>0</v>
      </c>
      <c r="CA134" s="168">
        <f t="shared" si="321"/>
        <v>0</v>
      </c>
      <c r="CB134" s="168">
        <f t="shared" si="321"/>
        <v>0</v>
      </c>
      <c r="CC134" s="168">
        <f t="shared" si="321"/>
        <v>0</v>
      </c>
      <c r="CD134" s="168">
        <f t="shared" si="321"/>
        <v>0</v>
      </c>
      <c r="CE134" s="168">
        <f t="shared" si="321"/>
        <v>0</v>
      </c>
      <c r="CF134" s="168">
        <f t="shared" si="321"/>
        <v>0</v>
      </c>
      <c r="CG134" s="168">
        <f t="shared" si="321"/>
        <v>0</v>
      </c>
      <c r="CH134" s="168">
        <f t="shared" si="321"/>
        <v>0</v>
      </c>
      <c r="CI134" s="168">
        <f t="shared" si="321"/>
        <v>0</v>
      </c>
      <c r="CJ134" s="168">
        <f t="shared" si="321"/>
        <v>0</v>
      </c>
      <c r="CK134" s="168">
        <f t="shared" si="321"/>
        <v>0</v>
      </c>
      <c r="CL134" s="168">
        <f t="shared" si="321"/>
        <v>0</v>
      </c>
      <c r="CM134" s="168">
        <f t="shared" si="321"/>
        <v>0</v>
      </c>
      <c r="CN134" s="168">
        <f t="shared" si="321"/>
        <v>0</v>
      </c>
      <c r="CO134" s="168">
        <f t="shared" si="321"/>
        <v>0</v>
      </c>
      <c r="CP134" s="168">
        <f t="shared" si="321"/>
        <v>0</v>
      </c>
      <c r="CQ134" s="168">
        <f t="shared" si="321"/>
        <v>0</v>
      </c>
      <c r="CR134" s="168">
        <f t="shared" si="321"/>
        <v>0</v>
      </c>
      <c r="CS134" s="168">
        <f t="shared" si="321"/>
        <v>0</v>
      </c>
      <c r="CT134" s="168">
        <f t="shared" si="321"/>
        <v>0</v>
      </c>
      <c r="CU134" s="168">
        <f t="shared" si="321"/>
        <v>0</v>
      </c>
      <c r="CV134" s="168">
        <f t="shared" si="321"/>
        <v>0</v>
      </c>
      <c r="CW134" s="168">
        <f t="shared" si="321"/>
        <v>0</v>
      </c>
      <c r="CX134" s="168">
        <f t="shared" si="321"/>
        <v>0</v>
      </c>
      <c r="CY134" s="168">
        <f t="shared" si="321"/>
        <v>0</v>
      </c>
      <c r="CZ134" s="168">
        <f t="shared" si="321"/>
        <v>0</v>
      </c>
      <c r="DA134" s="168">
        <f t="shared" si="321"/>
        <v>0</v>
      </c>
      <c r="DB134" s="168">
        <f t="shared" si="321"/>
        <v>0</v>
      </c>
      <c r="DC134" s="168">
        <f t="shared" si="321"/>
        <v>0</v>
      </c>
      <c r="DD134" s="168">
        <f t="shared" si="321"/>
        <v>0</v>
      </c>
      <c r="DE134" s="168">
        <f t="shared" si="321"/>
        <v>0</v>
      </c>
      <c r="DF134" s="168">
        <f t="shared" si="321"/>
        <v>0</v>
      </c>
      <c r="DG134" s="168">
        <f t="shared" si="321"/>
        <v>0</v>
      </c>
      <c r="DH134" s="168">
        <f t="shared" si="321"/>
        <v>0</v>
      </c>
      <c r="DI134" s="168">
        <f t="shared" si="321"/>
        <v>0</v>
      </c>
      <c r="DJ134" s="168">
        <f t="shared" si="321"/>
        <v>0</v>
      </c>
      <c r="DK134" s="168">
        <f t="shared" si="321"/>
        <v>0</v>
      </c>
      <c r="DL134" s="168">
        <f t="shared" si="321"/>
        <v>0</v>
      </c>
      <c r="DM134" s="168">
        <f t="shared" si="321"/>
        <v>0</v>
      </c>
      <c r="DN134" s="168">
        <f t="shared" si="321"/>
        <v>0</v>
      </c>
      <c r="DO134" s="168">
        <f t="shared" si="321"/>
        <v>0</v>
      </c>
      <c r="DP134" s="168">
        <f t="shared" si="321"/>
        <v>0</v>
      </c>
      <c r="DQ134" s="168">
        <f t="shared" si="321"/>
        <v>0</v>
      </c>
      <c r="DR134" s="168">
        <f t="shared" si="321"/>
        <v>0</v>
      </c>
      <c r="DS134" s="168">
        <f t="shared" si="321"/>
        <v>0</v>
      </c>
      <c r="DT134" s="168">
        <f t="shared" si="321"/>
        <v>0</v>
      </c>
      <c r="DU134" s="168">
        <f t="shared" ref="DU134:EQ134" si="322">DT137</f>
        <v>0</v>
      </c>
      <c r="DV134" s="168">
        <f t="shared" si="322"/>
        <v>0</v>
      </c>
      <c r="DW134" s="168">
        <f t="shared" si="322"/>
        <v>0</v>
      </c>
      <c r="DX134" s="168">
        <f t="shared" si="322"/>
        <v>0</v>
      </c>
      <c r="DY134" s="168">
        <f t="shared" si="322"/>
        <v>0</v>
      </c>
      <c r="DZ134" s="168">
        <f t="shared" si="322"/>
        <v>0</v>
      </c>
      <c r="EA134" s="168">
        <f t="shared" si="322"/>
        <v>0</v>
      </c>
      <c r="EB134" s="168">
        <f t="shared" si="322"/>
        <v>0</v>
      </c>
      <c r="EC134" s="168">
        <f t="shared" si="322"/>
        <v>0</v>
      </c>
      <c r="ED134" s="1320">
        <f t="shared" si="322"/>
        <v>0</v>
      </c>
      <c r="EE134" s="168">
        <f t="shared" si="322"/>
        <v>0</v>
      </c>
      <c r="EF134" s="168">
        <f t="shared" si="322"/>
        <v>0</v>
      </c>
      <c r="EG134" s="168">
        <f t="shared" si="322"/>
        <v>0</v>
      </c>
      <c r="EH134" s="168">
        <f t="shared" si="322"/>
        <v>0</v>
      </c>
      <c r="EI134" s="168">
        <f t="shared" si="322"/>
        <v>0</v>
      </c>
      <c r="EJ134" s="168">
        <f t="shared" si="322"/>
        <v>0</v>
      </c>
      <c r="EK134" s="168">
        <f t="shared" si="322"/>
        <v>0</v>
      </c>
      <c r="EL134" s="168">
        <f t="shared" si="322"/>
        <v>0</v>
      </c>
      <c r="EM134" s="168">
        <f t="shared" si="322"/>
        <v>0</v>
      </c>
      <c r="EN134" s="168">
        <f t="shared" si="322"/>
        <v>0</v>
      </c>
      <c r="EO134" s="168">
        <f t="shared" si="322"/>
        <v>0</v>
      </c>
      <c r="EP134" s="168">
        <f t="shared" si="322"/>
        <v>0</v>
      </c>
      <c r="EQ134" s="168">
        <f t="shared" si="322"/>
        <v>0</v>
      </c>
    </row>
    <row r="135" spans="3:147" ht="11.25" customHeight="1">
      <c r="C135" s="1052"/>
      <c r="D135" s="169" t="s">
        <v>231</v>
      </c>
      <c r="I135" s="65">
        <f>'A&amp;R'!Q39</f>
        <v>4.4999999999999998E-2</v>
      </c>
      <c r="J135" s="170">
        <f>SUM(L135:EQ135)</f>
        <v>0</v>
      </c>
      <c r="K135" s="98"/>
      <c r="L135" s="171">
        <f t="shared" ref="L135:BW135" si="323">L56*$I135/12</f>
        <v>0</v>
      </c>
      <c r="M135" s="171">
        <f t="shared" si="323"/>
        <v>0</v>
      </c>
      <c r="N135" s="171">
        <f t="shared" si="323"/>
        <v>0</v>
      </c>
      <c r="O135" s="171">
        <f t="shared" si="323"/>
        <v>0</v>
      </c>
      <c r="P135" s="171">
        <f t="shared" si="323"/>
        <v>0</v>
      </c>
      <c r="Q135" s="171">
        <f t="shared" si="323"/>
        <v>0</v>
      </c>
      <c r="R135" s="171">
        <f t="shared" si="323"/>
        <v>0</v>
      </c>
      <c r="S135" s="171">
        <f t="shared" si="323"/>
        <v>0</v>
      </c>
      <c r="T135" s="171">
        <f t="shared" si="323"/>
        <v>0</v>
      </c>
      <c r="U135" s="171">
        <f t="shared" si="323"/>
        <v>0</v>
      </c>
      <c r="V135" s="171">
        <f t="shared" si="323"/>
        <v>0</v>
      </c>
      <c r="W135" s="171">
        <f t="shared" si="323"/>
        <v>0</v>
      </c>
      <c r="X135" s="171">
        <f t="shared" si="323"/>
        <v>0</v>
      </c>
      <c r="Y135" s="171">
        <f t="shared" si="323"/>
        <v>0</v>
      </c>
      <c r="Z135" s="171">
        <f t="shared" si="323"/>
        <v>0</v>
      </c>
      <c r="AA135" s="171">
        <f t="shared" si="323"/>
        <v>0</v>
      </c>
      <c r="AB135" s="171">
        <f t="shared" si="323"/>
        <v>0</v>
      </c>
      <c r="AC135" s="171">
        <f t="shared" si="323"/>
        <v>0</v>
      </c>
      <c r="AD135" s="171">
        <f t="shared" si="323"/>
        <v>0</v>
      </c>
      <c r="AE135" s="171">
        <f t="shared" si="323"/>
        <v>0</v>
      </c>
      <c r="AF135" s="171">
        <f t="shared" si="323"/>
        <v>0</v>
      </c>
      <c r="AG135" s="171">
        <f t="shared" si="323"/>
        <v>0</v>
      </c>
      <c r="AH135" s="171">
        <f t="shared" si="323"/>
        <v>0</v>
      </c>
      <c r="AI135" s="171">
        <f t="shared" si="323"/>
        <v>0</v>
      </c>
      <c r="AJ135" s="171">
        <f t="shared" si="323"/>
        <v>0</v>
      </c>
      <c r="AK135" s="171">
        <f t="shared" si="323"/>
        <v>0</v>
      </c>
      <c r="AL135" s="171">
        <f t="shared" si="323"/>
        <v>0</v>
      </c>
      <c r="AM135" s="171">
        <f t="shared" si="323"/>
        <v>0</v>
      </c>
      <c r="AN135" s="171">
        <f t="shared" si="323"/>
        <v>0</v>
      </c>
      <c r="AO135" s="171">
        <f t="shared" si="323"/>
        <v>0</v>
      </c>
      <c r="AP135" s="171">
        <f t="shared" si="323"/>
        <v>0</v>
      </c>
      <c r="AQ135" s="171">
        <f t="shared" si="323"/>
        <v>0</v>
      </c>
      <c r="AR135" s="171">
        <f t="shared" si="323"/>
        <v>0</v>
      </c>
      <c r="AS135" s="171">
        <f t="shared" si="323"/>
        <v>0</v>
      </c>
      <c r="AT135" s="171">
        <f t="shared" si="323"/>
        <v>0</v>
      </c>
      <c r="AU135" s="171">
        <f t="shared" si="323"/>
        <v>0</v>
      </c>
      <c r="AV135" s="171">
        <f t="shared" si="323"/>
        <v>0</v>
      </c>
      <c r="AW135" s="171">
        <f t="shared" si="323"/>
        <v>0</v>
      </c>
      <c r="AX135" s="171">
        <f t="shared" si="323"/>
        <v>0</v>
      </c>
      <c r="AY135" s="171">
        <f t="shared" si="323"/>
        <v>0</v>
      </c>
      <c r="AZ135" s="171">
        <f t="shared" si="323"/>
        <v>0</v>
      </c>
      <c r="BA135" s="171">
        <f t="shared" si="323"/>
        <v>0</v>
      </c>
      <c r="BB135" s="171">
        <f t="shared" si="323"/>
        <v>0</v>
      </c>
      <c r="BC135" s="171">
        <f t="shared" si="323"/>
        <v>0</v>
      </c>
      <c r="BD135" s="171">
        <f t="shared" si="323"/>
        <v>0</v>
      </c>
      <c r="BE135" s="171">
        <f t="shared" si="323"/>
        <v>0</v>
      </c>
      <c r="BF135" s="171">
        <f t="shared" si="323"/>
        <v>0</v>
      </c>
      <c r="BG135" s="171">
        <f t="shared" si="323"/>
        <v>0</v>
      </c>
      <c r="BH135" s="171">
        <f t="shared" si="323"/>
        <v>0</v>
      </c>
      <c r="BI135" s="171">
        <f t="shared" si="323"/>
        <v>0</v>
      </c>
      <c r="BJ135" s="171">
        <f t="shared" si="323"/>
        <v>0</v>
      </c>
      <c r="BK135" s="171">
        <f t="shared" si="323"/>
        <v>0</v>
      </c>
      <c r="BL135" s="171">
        <f t="shared" si="323"/>
        <v>0</v>
      </c>
      <c r="BM135" s="171">
        <f t="shared" si="323"/>
        <v>0</v>
      </c>
      <c r="BN135" s="171">
        <f t="shared" si="323"/>
        <v>0</v>
      </c>
      <c r="BO135" s="171">
        <f t="shared" si="323"/>
        <v>0</v>
      </c>
      <c r="BP135" s="171">
        <f t="shared" si="323"/>
        <v>0</v>
      </c>
      <c r="BQ135" s="171">
        <f t="shared" si="323"/>
        <v>0</v>
      </c>
      <c r="BR135" s="171">
        <f t="shared" si="323"/>
        <v>0</v>
      </c>
      <c r="BS135" s="171">
        <f t="shared" si="323"/>
        <v>0</v>
      </c>
      <c r="BT135" s="171">
        <f t="shared" si="323"/>
        <v>0</v>
      </c>
      <c r="BU135" s="171">
        <f t="shared" si="323"/>
        <v>0</v>
      </c>
      <c r="BV135" s="171">
        <f t="shared" si="323"/>
        <v>0</v>
      </c>
      <c r="BW135" s="171">
        <f t="shared" si="323"/>
        <v>0</v>
      </c>
      <c r="BX135" s="171">
        <f t="shared" ref="BX135:DT135" si="324">BX56*$I135/12</f>
        <v>0</v>
      </c>
      <c r="BY135" s="171">
        <f t="shared" si="324"/>
        <v>0</v>
      </c>
      <c r="BZ135" s="171">
        <f t="shared" si="324"/>
        <v>0</v>
      </c>
      <c r="CA135" s="171">
        <f t="shared" si="324"/>
        <v>0</v>
      </c>
      <c r="CB135" s="171">
        <f t="shared" si="324"/>
        <v>0</v>
      </c>
      <c r="CC135" s="171">
        <f t="shared" si="324"/>
        <v>0</v>
      </c>
      <c r="CD135" s="171">
        <f t="shared" si="324"/>
        <v>0</v>
      </c>
      <c r="CE135" s="171">
        <f t="shared" si="324"/>
        <v>0</v>
      </c>
      <c r="CF135" s="171">
        <f t="shared" si="324"/>
        <v>0</v>
      </c>
      <c r="CG135" s="171">
        <f t="shared" si="324"/>
        <v>0</v>
      </c>
      <c r="CH135" s="171">
        <f t="shared" si="324"/>
        <v>0</v>
      </c>
      <c r="CI135" s="171">
        <f t="shared" si="324"/>
        <v>0</v>
      </c>
      <c r="CJ135" s="171">
        <f t="shared" si="324"/>
        <v>0</v>
      </c>
      <c r="CK135" s="171">
        <f t="shared" si="324"/>
        <v>0</v>
      </c>
      <c r="CL135" s="171">
        <f t="shared" si="324"/>
        <v>0</v>
      </c>
      <c r="CM135" s="171">
        <f t="shared" si="324"/>
        <v>0</v>
      </c>
      <c r="CN135" s="171">
        <f t="shared" si="324"/>
        <v>0</v>
      </c>
      <c r="CO135" s="171">
        <f t="shared" si="324"/>
        <v>0</v>
      </c>
      <c r="CP135" s="171">
        <f t="shared" si="324"/>
        <v>0</v>
      </c>
      <c r="CQ135" s="171">
        <f t="shared" si="324"/>
        <v>0</v>
      </c>
      <c r="CR135" s="171">
        <f t="shared" si="324"/>
        <v>0</v>
      </c>
      <c r="CS135" s="171">
        <f t="shared" si="324"/>
        <v>0</v>
      </c>
      <c r="CT135" s="171">
        <f t="shared" si="324"/>
        <v>0</v>
      </c>
      <c r="CU135" s="171">
        <f t="shared" si="324"/>
        <v>0</v>
      </c>
      <c r="CV135" s="171">
        <f t="shared" si="324"/>
        <v>0</v>
      </c>
      <c r="CW135" s="171">
        <f t="shared" si="324"/>
        <v>0</v>
      </c>
      <c r="CX135" s="171">
        <f t="shared" si="324"/>
        <v>0</v>
      </c>
      <c r="CY135" s="171">
        <f t="shared" si="324"/>
        <v>0</v>
      </c>
      <c r="CZ135" s="171">
        <f t="shared" si="324"/>
        <v>0</v>
      </c>
      <c r="DA135" s="171">
        <f t="shared" si="324"/>
        <v>0</v>
      </c>
      <c r="DB135" s="171">
        <f t="shared" si="324"/>
        <v>0</v>
      </c>
      <c r="DC135" s="171">
        <f t="shared" si="324"/>
        <v>0</v>
      </c>
      <c r="DD135" s="171">
        <f t="shared" si="324"/>
        <v>0</v>
      </c>
      <c r="DE135" s="171">
        <f t="shared" si="324"/>
        <v>0</v>
      </c>
      <c r="DF135" s="171">
        <f t="shared" si="324"/>
        <v>0</v>
      </c>
      <c r="DG135" s="171">
        <f t="shared" si="324"/>
        <v>0</v>
      </c>
      <c r="DH135" s="171">
        <f t="shared" si="324"/>
        <v>0</v>
      </c>
      <c r="DI135" s="171">
        <f t="shared" si="324"/>
        <v>0</v>
      </c>
      <c r="DJ135" s="171">
        <f t="shared" si="324"/>
        <v>0</v>
      </c>
      <c r="DK135" s="171">
        <f t="shared" si="324"/>
        <v>0</v>
      </c>
      <c r="DL135" s="171">
        <f t="shared" si="324"/>
        <v>0</v>
      </c>
      <c r="DM135" s="171">
        <f t="shared" si="324"/>
        <v>0</v>
      </c>
      <c r="DN135" s="171">
        <f t="shared" si="324"/>
        <v>0</v>
      </c>
      <c r="DO135" s="171">
        <f t="shared" si="324"/>
        <v>0</v>
      </c>
      <c r="DP135" s="171">
        <f t="shared" si="324"/>
        <v>0</v>
      </c>
      <c r="DQ135" s="171">
        <f t="shared" si="324"/>
        <v>0</v>
      </c>
      <c r="DR135" s="171">
        <f t="shared" si="324"/>
        <v>0</v>
      </c>
      <c r="DS135" s="171">
        <f t="shared" si="324"/>
        <v>0</v>
      </c>
      <c r="DT135" s="171">
        <f t="shared" si="324"/>
        <v>0</v>
      </c>
      <c r="DU135" s="171">
        <f t="shared" ref="DU135:EA135" si="325">DU56*$I135/12</f>
        <v>0</v>
      </c>
      <c r="DV135" s="171">
        <f t="shared" si="325"/>
        <v>0</v>
      </c>
      <c r="DW135" s="171">
        <f t="shared" si="325"/>
        <v>0</v>
      </c>
      <c r="DX135" s="171">
        <f t="shared" si="325"/>
        <v>0</v>
      </c>
      <c r="DY135" s="171">
        <f t="shared" si="325"/>
        <v>0</v>
      </c>
      <c r="DZ135" s="171">
        <f t="shared" si="325"/>
        <v>0</v>
      </c>
      <c r="EA135" s="171">
        <f t="shared" si="325"/>
        <v>0</v>
      </c>
      <c r="EB135" s="171">
        <f t="shared" ref="EB135:EQ135" si="326">EB56*$I135/12</f>
        <v>0</v>
      </c>
      <c r="EC135" s="171">
        <f t="shared" si="326"/>
        <v>0</v>
      </c>
      <c r="ED135" s="1321">
        <f t="shared" si="326"/>
        <v>0</v>
      </c>
      <c r="EE135" s="171">
        <f t="shared" si="326"/>
        <v>0</v>
      </c>
      <c r="EF135" s="171">
        <f t="shared" si="326"/>
        <v>0</v>
      </c>
      <c r="EG135" s="171">
        <f t="shared" si="326"/>
        <v>0</v>
      </c>
      <c r="EH135" s="171">
        <f t="shared" si="326"/>
        <v>0</v>
      </c>
      <c r="EI135" s="171">
        <f t="shared" si="326"/>
        <v>0</v>
      </c>
      <c r="EJ135" s="171">
        <f t="shared" si="326"/>
        <v>0</v>
      </c>
      <c r="EK135" s="171">
        <f t="shared" si="326"/>
        <v>0</v>
      </c>
      <c r="EL135" s="171">
        <f t="shared" si="326"/>
        <v>0</v>
      </c>
      <c r="EM135" s="171">
        <f t="shared" si="326"/>
        <v>0</v>
      </c>
      <c r="EN135" s="171">
        <f t="shared" si="326"/>
        <v>0</v>
      </c>
      <c r="EO135" s="171">
        <f t="shared" si="326"/>
        <v>0</v>
      </c>
      <c r="EP135" s="171">
        <f t="shared" si="326"/>
        <v>0</v>
      </c>
      <c r="EQ135" s="171">
        <f t="shared" si="326"/>
        <v>0</v>
      </c>
    </row>
    <row r="136" spans="3:147" ht="11.25" customHeight="1">
      <c r="C136" s="1052"/>
      <c r="D136" s="169" t="s">
        <v>232</v>
      </c>
      <c r="J136" s="170">
        <f>SUM(L136:EQ136)</f>
        <v>0</v>
      </c>
      <c r="K136" s="98"/>
      <c r="L136" s="171">
        <f>L135</f>
        <v>0</v>
      </c>
      <c r="M136" s="171">
        <f t="shared" ref="M136:BX136" si="327">M135</f>
        <v>0</v>
      </c>
      <c r="N136" s="171">
        <f t="shared" si="327"/>
        <v>0</v>
      </c>
      <c r="O136" s="171">
        <f t="shared" si="327"/>
        <v>0</v>
      </c>
      <c r="P136" s="171">
        <f t="shared" si="327"/>
        <v>0</v>
      </c>
      <c r="Q136" s="171">
        <f t="shared" si="327"/>
        <v>0</v>
      </c>
      <c r="R136" s="171">
        <f t="shared" si="327"/>
        <v>0</v>
      </c>
      <c r="S136" s="171">
        <f t="shared" si="327"/>
        <v>0</v>
      </c>
      <c r="T136" s="171">
        <f t="shared" si="327"/>
        <v>0</v>
      </c>
      <c r="U136" s="171">
        <f t="shared" si="327"/>
        <v>0</v>
      </c>
      <c r="V136" s="171">
        <f t="shared" si="327"/>
        <v>0</v>
      </c>
      <c r="W136" s="171">
        <f t="shared" si="327"/>
        <v>0</v>
      </c>
      <c r="X136" s="171">
        <f t="shared" si="327"/>
        <v>0</v>
      </c>
      <c r="Y136" s="171">
        <f t="shared" si="327"/>
        <v>0</v>
      </c>
      <c r="Z136" s="171">
        <f t="shared" si="327"/>
        <v>0</v>
      </c>
      <c r="AA136" s="171">
        <f t="shared" si="327"/>
        <v>0</v>
      </c>
      <c r="AB136" s="171">
        <f t="shared" si="327"/>
        <v>0</v>
      </c>
      <c r="AC136" s="171">
        <f t="shared" si="327"/>
        <v>0</v>
      </c>
      <c r="AD136" s="171">
        <f t="shared" si="327"/>
        <v>0</v>
      </c>
      <c r="AE136" s="171">
        <f t="shared" si="327"/>
        <v>0</v>
      </c>
      <c r="AF136" s="171">
        <f t="shared" si="327"/>
        <v>0</v>
      </c>
      <c r="AG136" s="171">
        <f t="shared" si="327"/>
        <v>0</v>
      </c>
      <c r="AH136" s="171">
        <f t="shared" si="327"/>
        <v>0</v>
      </c>
      <c r="AI136" s="171">
        <f t="shared" si="327"/>
        <v>0</v>
      </c>
      <c r="AJ136" s="171">
        <f t="shared" si="327"/>
        <v>0</v>
      </c>
      <c r="AK136" s="171">
        <f t="shared" si="327"/>
        <v>0</v>
      </c>
      <c r="AL136" s="171">
        <f t="shared" si="327"/>
        <v>0</v>
      </c>
      <c r="AM136" s="171">
        <f t="shared" si="327"/>
        <v>0</v>
      </c>
      <c r="AN136" s="171">
        <f t="shared" si="327"/>
        <v>0</v>
      </c>
      <c r="AO136" s="171">
        <f t="shared" si="327"/>
        <v>0</v>
      </c>
      <c r="AP136" s="171">
        <f t="shared" si="327"/>
        <v>0</v>
      </c>
      <c r="AQ136" s="171">
        <f t="shared" si="327"/>
        <v>0</v>
      </c>
      <c r="AR136" s="171">
        <f t="shared" si="327"/>
        <v>0</v>
      </c>
      <c r="AS136" s="171">
        <f t="shared" si="327"/>
        <v>0</v>
      </c>
      <c r="AT136" s="171">
        <f t="shared" si="327"/>
        <v>0</v>
      </c>
      <c r="AU136" s="171">
        <f t="shared" si="327"/>
        <v>0</v>
      </c>
      <c r="AV136" s="171">
        <f t="shared" si="327"/>
        <v>0</v>
      </c>
      <c r="AW136" s="171">
        <f t="shared" si="327"/>
        <v>0</v>
      </c>
      <c r="AX136" s="171">
        <f t="shared" si="327"/>
        <v>0</v>
      </c>
      <c r="AY136" s="171">
        <f t="shared" si="327"/>
        <v>0</v>
      </c>
      <c r="AZ136" s="171">
        <f t="shared" si="327"/>
        <v>0</v>
      </c>
      <c r="BA136" s="171">
        <f t="shared" si="327"/>
        <v>0</v>
      </c>
      <c r="BB136" s="171">
        <f t="shared" si="327"/>
        <v>0</v>
      </c>
      <c r="BC136" s="171">
        <f t="shared" si="327"/>
        <v>0</v>
      </c>
      <c r="BD136" s="171">
        <f t="shared" si="327"/>
        <v>0</v>
      </c>
      <c r="BE136" s="171">
        <f t="shared" si="327"/>
        <v>0</v>
      </c>
      <c r="BF136" s="171">
        <f t="shared" si="327"/>
        <v>0</v>
      </c>
      <c r="BG136" s="171">
        <f t="shared" si="327"/>
        <v>0</v>
      </c>
      <c r="BH136" s="171">
        <f t="shared" si="327"/>
        <v>0</v>
      </c>
      <c r="BI136" s="171">
        <f t="shared" si="327"/>
        <v>0</v>
      </c>
      <c r="BJ136" s="171">
        <f t="shared" si="327"/>
        <v>0</v>
      </c>
      <c r="BK136" s="171">
        <f t="shared" si="327"/>
        <v>0</v>
      </c>
      <c r="BL136" s="171">
        <f t="shared" si="327"/>
        <v>0</v>
      </c>
      <c r="BM136" s="171">
        <f t="shared" si="327"/>
        <v>0</v>
      </c>
      <c r="BN136" s="171">
        <f t="shared" si="327"/>
        <v>0</v>
      </c>
      <c r="BO136" s="171">
        <f t="shared" si="327"/>
        <v>0</v>
      </c>
      <c r="BP136" s="171">
        <f t="shared" si="327"/>
        <v>0</v>
      </c>
      <c r="BQ136" s="171">
        <f t="shared" si="327"/>
        <v>0</v>
      </c>
      <c r="BR136" s="171">
        <f t="shared" si="327"/>
        <v>0</v>
      </c>
      <c r="BS136" s="171">
        <f t="shared" si="327"/>
        <v>0</v>
      </c>
      <c r="BT136" s="171">
        <f t="shared" si="327"/>
        <v>0</v>
      </c>
      <c r="BU136" s="171">
        <f t="shared" si="327"/>
        <v>0</v>
      </c>
      <c r="BV136" s="171">
        <f t="shared" si="327"/>
        <v>0</v>
      </c>
      <c r="BW136" s="171">
        <f t="shared" si="327"/>
        <v>0</v>
      </c>
      <c r="BX136" s="171">
        <f t="shared" si="327"/>
        <v>0</v>
      </c>
      <c r="BY136" s="171">
        <f t="shared" ref="BY136:DT136" si="328">BY135</f>
        <v>0</v>
      </c>
      <c r="BZ136" s="171">
        <f t="shared" si="328"/>
        <v>0</v>
      </c>
      <c r="CA136" s="171">
        <f t="shared" si="328"/>
        <v>0</v>
      </c>
      <c r="CB136" s="171">
        <f t="shared" si="328"/>
        <v>0</v>
      </c>
      <c r="CC136" s="171">
        <f t="shared" si="328"/>
        <v>0</v>
      </c>
      <c r="CD136" s="171">
        <f t="shared" si="328"/>
        <v>0</v>
      </c>
      <c r="CE136" s="171">
        <f t="shared" si="328"/>
        <v>0</v>
      </c>
      <c r="CF136" s="171">
        <f t="shared" si="328"/>
        <v>0</v>
      </c>
      <c r="CG136" s="171">
        <f t="shared" si="328"/>
        <v>0</v>
      </c>
      <c r="CH136" s="171">
        <f t="shared" si="328"/>
        <v>0</v>
      </c>
      <c r="CI136" s="171">
        <f t="shared" si="328"/>
        <v>0</v>
      </c>
      <c r="CJ136" s="171">
        <f t="shared" si="328"/>
        <v>0</v>
      </c>
      <c r="CK136" s="171">
        <f t="shared" si="328"/>
        <v>0</v>
      </c>
      <c r="CL136" s="171">
        <f t="shared" si="328"/>
        <v>0</v>
      </c>
      <c r="CM136" s="171">
        <f t="shared" si="328"/>
        <v>0</v>
      </c>
      <c r="CN136" s="171">
        <f t="shared" si="328"/>
        <v>0</v>
      </c>
      <c r="CO136" s="171">
        <f t="shared" si="328"/>
        <v>0</v>
      </c>
      <c r="CP136" s="171">
        <f t="shared" si="328"/>
        <v>0</v>
      </c>
      <c r="CQ136" s="171">
        <f t="shared" si="328"/>
        <v>0</v>
      </c>
      <c r="CR136" s="171">
        <f t="shared" si="328"/>
        <v>0</v>
      </c>
      <c r="CS136" s="171">
        <f t="shared" si="328"/>
        <v>0</v>
      </c>
      <c r="CT136" s="171">
        <f t="shared" si="328"/>
        <v>0</v>
      </c>
      <c r="CU136" s="171">
        <f t="shared" si="328"/>
        <v>0</v>
      </c>
      <c r="CV136" s="171">
        <f t="shared" si="328"/>
        <v>0</v>
      </c>
      <c r="CW136" s="171">
        <f t="shared" si="328"/>
        <v>0</v>
      </c>
      <c r="CX136" s="171">
        <f t="shared" si="328"/>
        <v>0</v>
      </c>
      <c r="CY136" s="171">
        <f t="shared" si="328"/>
        <v>0</v>
      </c>
      <c r="CZ136" s="171">
        <f t="shared" si="328"/>
        <v>0</v>
      </c>
      <c r="DA136" s="171">
        <f t="shared" si="328"/>
        <v>0</v>
      </c>
      <c r="DB136" s="171">
        <f t="shared" si="328"/>
        <v>0</v>
      </c>
      <c r="DC136" s="171">
        <f t="shared" si="328"/>
        <v>0</v>
      </c>
      <c r="DD136" s="171">
        <f t="shared" si="328"/>
        <v>0</v>
      </c>
      <c r="DE136" s="171">
        <f t="shared" si="328"/>
        <v>0</v>
      </c>
      <c r="DF136" s="171">
        <f t="shared" si="328"/>
        <v>0</v>
      </c>
      <c r="DG136" s="171">
        <f t="shared" si="328"/>
        <v>0</v>
      </c>
      <c r="DH136" s="171">
        <f t="shared" si="328"/>
        <v>0</v>
      </c>
      <c r="DI136" s="171">
        <f t="shared" si="328"/>
        <v>0</v>
      </c>
      <c r="DJ136" s="171">
        <f t="shared" si="328"/>
        <v>0</v>
      </c>
      <c r="DK136" s="171">
        <f t="shared" si="328"/>
        <v>0</v>
      </c>
      <c r="DL136" s="171">
        <f t="shared" si="328"/>
        <v>0</v>
      </c>
      <c r="DM136" s="171">
        <f t="shared" si="328"/>
        <v>0</v>
      </c>
      <c r="DN136" s="171">
        <f t="shared" si="328"/>
        <v>0</v>
      </c>
      <c r="DO136" s="171">
        <f t="shared" si="328"/>
        <v>0</v>
      </c>
      <c r="DP136" s="171">
        <f t="shared" si="328"/>
        <v>0</v>
      </c>
      <c r="DQ136" s="171">
        <f t="shared" si="328"/>
        <v>0</v>
      </c>
      <c r="DR136" s="171">
        <f t="shared" si="328"/>
        <v>0</v>
      </c>
      <c r="DS136" s="171">
        <f t="shared" si="328"/>
        <v>0</v>
      </c>
      <c r="DT136" s="171">
        <f t="shared" si="328"/>
        <v>0</v>
      </c>
      <c r="DU136" s="171">
        <f t="shared" ref="DU136:EA136" si="329">DU135</f>
        <v>0</v>
      </c>
      <c r="DV136" s="171">
        <f t="shared" si="329"/>
        <v>0</v>
      </c>
      <c r="DW136" s="171">
        <f t="shared" si="329"/>
        <v>0</v>
      </c>
      <c r="DX136" s="171">
        <f t="shared" si="329"/>
        <v>0</v>
      </c>
      <c r="DY136" s="171">
        <f t="shared" si="329"/>
        <v>0</v>
      </c>
      <c r="DZ136" s="171">
        <f t="shared" si="329"/>
        <v>0</v>
      </c>
      <c r="EA136" s="171">
        <f t="shared" si="329"/>
        <v>0</v>
      </c>
      <c r="EB136" s="171">
        <f t="shared" ref="EB136:EQ136" si="330">EB135</f>
        <v>0</v>
      </c>
      <c r="EC136" s="171">
        <f t="shared" si="330"/>
        <v>0</v>
      </c>
      <c r="ED136" s="1321">
        <f t="shared" si="330"/>
        <v>0</v>
      </c>
      <c r="EE136" s="171">
        <f t="shared" si="330"/>
        <v>0</v>
      </c>
      <c r="EF136" s="171">
        <f t="shared" si="330"/>
        <v>0</v>
      </c>
      <c r="EG136" s="171">
        <f t="shared" si="330"/>
        <v>0</v>
      </c>
      <c r="EH136" s="171">
        <f t="shared" si="330"/>
        <v>0</v>
      </c>
      <c r="EI136" s="171">
        <f t="shared" si="330"/>
        <v>0</v>
      </c>
      <c r="EJ136" s="171">
        <f t="shared" si="330"/>
        <v>0</v>
      </c>
      <c r="EK136" s="171">
        <f t="shared" si="330"/>
        <v>0</v>
      </c>
      <c r="EL136" s="171">
        <f t="shared" si="330"/>
        <v>0</v>
      </c>
      <c r="EM136" s="171">
        <f t="shared" si="330"/>
        <v>0</v>
      </c>
      <c r="EN136" s="171">
        <f t="shared" si="330"/>
        <v>0</v>
      </c>
      <c r="EO136" s="171">
        <f t="shared" si="330"/>
        <v>0</v>
      </c>
      <c r="EP136" s="171">
        <f t="shared" si="330"/>
        <v>0</v>
      </c>
      <c r="EQ136" s="171">
        <f t="shared" si="330"/>
        <v>0</v>
      </c>
    </row>
    <row r="137" spans="3:147" ht="11.25" customHeight="1">
      <c r="C137" s="1058"/>
      <c r="D137" s="179" t="s">
        <v>233</v>
      </c>
      <c r="E137" s="180"/>
      <c r="F137" s="180"/>
      <c r="G137" s="180"/>
      <c r="H137" s="181"/>
      <c r="I137" s="860"/>
      <c r="J137" s="183"/>
      <c r="K137" s="98"/>
      <c r="L137" s="184">
        <f>L134+L135-L136</f>
        <v>0</v>
      </c>
      <c r="M137" s="184">
        <f t="shared" ref="M137:BX137" si="331">M134+M135-M136</f>
        <v>0</v>
      </c>
      <c r="N137" s="184">
        <f t="shared" si="331"/>
        <v>0</v>
      </c>
      <c r="O137" s="184">
        <f t="shared" si="331"/>
        <v>0</v>
      </c>
      <c r="P137" s="184">
        <f t="shared" si="331"/>
        <v>0</v>
      </c>
      <c r="Q137" s="184">
        <f t="shared" si="331"/>
        <v>0</v>
      </c>
      <c r="R137" s="184">
        <f t="shared" si="331"/>
        <v>0</v>
      </c>
      <c r="S137" s="184">
        <f t="shared" si="331"/>
        <v>0</v>
      </c>
      <c r="T137" s="184">
        <f t="shared" si="331"/>
        <v>0</v>
      </c>
      <c r="U137" s="184">
        <f t="shared" si="331"/>
        <v>0</v>
      </c>
      <c r="V137" s="184">
        <f t="shared" si="331"/>
        <v>0</v>
      </c>
      <c r="W137" s="184">
        <f t="shared" si="331"/>
        <v>0</v>
      </c>
      <c r="X137" s="184">
        <f t="shared" si="331"/>
        <v>0</v>
      </c>
      <c r="Y137" s="184">
        <f t="shared" si="331"/>
        <v>0</v>
      </c>
      <c r="Z137" s="184">
        <f t="shared" si="331"/>
        <v>0</v>
      </c>
      <c r="AA137" s="184">
        <f t="shared" si="331"/>
        <v>0</v>
      </c>
      <c r="AB137" s="184">
        <f t="shared" si="331"/>
        <v>0</v>
      </c>
      <c r="AC137" s="184">
        <f t="shared" si="331"/>
        <v>0</v>
      </c>
      <c r="AD137" s="184">
        <f t="shared" si="331"/>
        <v>0</v>
      </c>
      <c r="AE137" s="184">
        <f t="shared" si="331"/>
        <v>0</v>
      </c>
      <c r="AF137" s="184">
        <f t="shared" si="331"/>
        <v>0</v>
      </c>
      <c r="AG137" s="184">
        <f t="shared" si="331"/>
        <v>0</v>
      </c>
      <c r="AH137" s="184">
        <f t="shared" si="331"/>
        <v>0</v>
      </c>
      <c r="AI137" s="184">
        <f t="shared" si="331"/>
        <v>0</v>
      </c>
      <c r="AJ137" s="184">
        <f t="shared" si="331"/>
        <v>0</v>
      </c>
      <c r="AK137" s="184">
        <f t="shared" si="331"/>
        <v>0</v>
      </c>
      <c r="AL137" s="184">
        <f t="shared" si="331"/>
        <v>0</v>
      </c>
      <c r="AM137" s="184">
        <f t="shared" si="331"/>
        <v>0</v>
      </c>
      <c r="AN137" s="184">
        <f t="shared" si="331"/>
        <v>0</v>
      </c>
      <c r="AO137" s="184">
        <f t="shared" si="331"/>
        <v>0</v>
      </c>
      <c r="AP137" s="184">
        <f t="shared" si="331"/>
        <v>0</v>
      </c>
      <c r="AQ137" s="184">
        <f t="shared" si="331"/>
        <v>0</v>
      </c>
      <c r="AR137" s="184">
        <f t="shared" si="331"/>
        <v>0</v>
      </c>
      <c r="AS137" s="184">
        <f t="shared" si="331"/>
        <v>0</v>
      </c>
      <c r="AT137" s="184">
        <f t="shared" si="331"/>
        <v>0</v>
      </c>
      <c r="AU137" s="184">
        <f t="shared" si="331"/>
        <v>0</v>
      </c>
      <c r="AV137" s="184">
        <f t="shared" si="331"/>
        <v>0</v>
      </c>
      <c r="AW137" s="184">
        <f t="shared" si="331"/>
        <v>0</v>
      </c>
      <c r="AX137" s="184">
        <f t="shared" si="331"/>
        <v>0</v>
      </c>
      <c r="AY137" s="184">
        <f t="shared" si="331"/>
        <v>0</v>
      </c>
      <c r="AZ137" s="184">
        <f t="shared" si="331"/>
        <v>0</v>
      </c>
      <c r="BA137" s="184">
        <f t="shared" si="331"/>
        <v>0</v>
      </c>
      <c r="BB137" s="184">
        <f t="shared" si="331"/>
        <v>0</v>
      </c>
      <c r="BC137" s="184">
        <f t="shared" si="331"/>
        <v>0</v>
      </c>
      <c r="BD137" s="184">
        <f t="shared" si="331"/>
        <v>0</v>
      </c>
      <c r="BE137" s="184">
        <f t="shared" si="331"/>
        <v>0</v>
      </c>
      <c r="BF137" s="184">
        <f t="shared" si="331"/>
        <v>0</v>
      </c>
      <c r="BG137" s="184">
        <f t="shared" si="331"/>
        <v>0</v>
      </c>
      <c r="BH137" s="184">
        <f t="shared" si="331"/>
        <v>0</v>
      </c>
      <c r="BI137" s="184">
        <f t="shared" si="331"/>
        <v>0</v>
      </c>
      <c r="BJ137" s="184">
        <f t="shared" si="331"/>
        <v>0</v>
      </c>
      <c r="BK137" s="184">
        <f t="shared" si="331"/>
        <v>0</v>
      </c>
      <c r="BL137" s="184">
        <f t="shared" si="331"/>
        <v>0</v>
      </c>
      <c r="BM137" s="184">
        <f t="shared" si="331"/>
        <v>0</v>
      </c>
      <c r="BN137" s="184">
        <f t="shared" si="331"/>
        <v>0</v>
      </c>
      <c r="BO137" s="184">
        <f t="shared" si="331"/>
        <v>0</v>
      </c>
      <c r="BP137" s="184">
        <f t="shared" si="331"/>
        <v>0</v>
      </c>
      <c r="BQ137" s="184">
        <f t="shared" si="331"/>
        <v>0</v>
      </c>
      <c r="BR137" s="184">
        <f t="shared" si="331"/>
        <v>0</v>
      </c>
      <c r="BS137" s="184">
        <f t="shared" si="331"/>
        <v>0</v>
      </c>
      <c r="BT137" s="184">
        <f t="shared" si="331"/>
        <v>0</v>
      </c>
      <c r="BU137" s="184">
        <f t="shared" si="331"/>
        <v>0</v>
      </c>
      <c r="BV137" s="184">
        <f t="shared" si="331"/>
        <v>0</v>
      </c>
      <c r="BW137" s="184">
        <f t="shared" si="331"/>
        <v>0</v>
      </c>
      <c r="BX137" s="184">
        <f t="shared" si="331"/>
        <v>0</v>
      </c>
      <c r="BY137" s="184">
        <f t="shared" ref="BY137:DT137" si="332">BY134+BY135-BY136</f>
        <v>0</v>
      </c>
      <c r="BZ137" s="184">
        <f t="shared" si="332"/>
        <v>0</v>
      </c>
      <c r="CA137" s="184">
        <f t="shared" si="332"/>
        <v>0</v>
      </c>
      <c r="CB137" s="184">
        <f t="shared" si="332"/>
        <v>0</v>
      </c>
      <c r="CC137" s="184">
        <f t="shared" si="332"/>
        <v>0</v>
      </c>
      <c r="CD137" s="184">
        <f t="shared" si="332"/>
        <v>0</v>
      </c>
      <c r="CE137" s="184">
        <f t="shared" si="332"/>
        <v>0</v>
      </c>
      <c r="CF137" s="184">
        <f t="shared" si="332"/>
        <v>0</v>
      </c>
      <c r="CG137" s="184">
        <f t="shared" si="332"/>
        <v>0</v>
      </c>
      <c r="CH137" s="184">
        <f t="shared" si="332"/>
        <v>0</v>
      </c>
      <c r="CI137" s="184">
        <f t="shared" si="332"/>
        <v>0</v>
      </c>
      <c r="CJ137" s="184">
        <f t="shared" si="332"/>
        <v>0</v>
      </c>
      <c r="CK137" s="184">
        <f t="shared" si="332"/>
        <v>0</v>
      </c>
      <c r="CL137" s="184">
        <f t="shared" si="332"/>
        <v>0</v>
      </c>
      <c r="CM137" s="184">
        <f t="shared" si="332"/>
        <v>0</v>
      </c>
      <c r="CN137" s="184">
        <f t="shared" si="332"/>
        <v>0</v>
      </c>
      <c r="CO137" s="184">
        <f t="shared" si="332"/>
        <v>0</v>
      </c>
      <c r="CP137" s="184">
        <f t="shared" si="332"/>
        <v>0</v>
      </c>
      <c r="CQ137" s="184">
        <f t="shared" si="332"/>
        <v>0</v>
      </c>
      <c r="CR137" s="184">
        <f t="shared" si="332"/>
        <v>0</v>
      </c>
      <c r="CS137" s="184">
        <f t="shared" si="332"/>
        <v>0</v>
      </c>
      <c r="CT137" s="184">
        <f t="shared" si="332"/>
        <v>0</v>
      </c>
      <c r="CU137" s="184">
        <f t="shared" si="332"/>
        <v>0</v>
      </c>
      <c r="CV137" s="184">
        <f t="shared" si="332"/>
        <v>0</v>
      </c>
      <c r="CW137" s="184">
        <f t="shared" si="332"/>
        <v>0</v>
      </c>
      <c r="CX137" s="184">
        <f t="shared" si="332"/>
        <v>0</v>
      </c>
      <c r="CY137" s="184">
        <f t="shared" si="332"/>
        <v>0</v>
      </c>
      <c r="CZ137" s="184">
        <f t="shared" si="332"/>
        <v>0</v>
      </c>
      <c r="DA137" s="184">
        <f t="shared" si="332"/>
        <v>0</v>
      </c>
      <c r="DB137" s="184">
        <f t="shared" si="332"/>
        <v>0</v>
      </c>
      <c r="DC137" s="184">
        <f t="shared" si="332"/>
        <v>0</v>
      </c>
      <c r="DD137" s="184">
        <f t="shared" si="332"/>
        <v>0</v>
      </c>
      <c r="DE137" s="184">
        <f t="shared" si="332"/>
        <v>0</v>
      </c>
      <c r="DF137" s="184">
        <f t="shared" si="332"/>
        <v>0</v>
      </c>
      <c r="DG137" s="184">
        <f t="shared" si="332"/>
        <v>0</v>
      </c>
      <c r="DH137" s="184">
        <f t="shared" si="332"/>
        <v>0</v>
      </c>
      <c r="DI137" s="184">
        <f t="shared" si="332"/>
        <v>0</v>
      </c>
      <c r="DJ137" s="184">
        <f t="shared" si="332"/>
        <v>0</v>
      </c>
      <c r="DK137" s="184">
        <f t="shared" si="332"/>
        <v>0</v>
      </c>
      <c r="DL137" s="184">
        <f t="shared" si="332"/>
        <v>0</v>
      </c>
      <c r="DM137" s="184">
        <f t="shared" si="332"/>
        <v>0</v>
      </c>
      <c r="DN137" s="184">
        <f t="shared" si="332"/>
        <v>0</v>
      </c>
      <c r="DO137" s="184">
        <f t="shared" si="332"/>
        <v>0</v>
      </c>
      <c r="DP137" s="184">
        <f t="shared" si="332"/>
        <v>0</v>
      </c>
      <c r="DQ137" s="184">
        <f t="shared" si="332"/>
        <v>0</v>
      </c>
      <c r="DR137" s="184">
        <f t="shared" si="332"/>
        <v>0</v>
      </c>
      <c r="DS137" s="184">
        <f t="shared" si="332"/>
        <v>0</v>
      </c>
      <c r="DT137" s="184">
        <f t="shared" si="332"/>
        <v>0</v>
      </c>
      <c r="DU137" s="184">
        <f t="shared" ref="DU137:EA137" si="333">DU134+DU135-DU136</f>
        <v>0</v>
      </c>
      <c r="DV137" s="184">
        <f t="shared" si="333"/>
        <v>0</v>
      </c>
      <c r="DW137" s="184">
        <f t="shared" si="333"/>
        <v>0</v>
      </c>
      <c r="DX137" s="184">
        <f t="shared" si="333"/>
        <v>0</v>
      </c>
      <c r="DY137" s="184">
        <f t="shared" si="333"/>
        <v>0</v>
      </c>
      <c r="DZ137" s="184">
        <f t="shared" si="333"/>
        <v>0</v>
      </c>
      <c r="EA137" s="184">
        <f t="shared" si="333"/>
        <v>0</v>
      </c>
      <c r="EB137" s="184">
        <f t="shared" ref="EB137:EQ137" si="334">EB134+EB135-EB136</f>
        <v>0</v>
      </c>
      <c r="EC137" s="184">
        <f t="shared" si="334"/>
        <v>0</v>
      </c>
      <c r="ED137" s="1324">
        <f t="shared" si="334"/>
        <v>0</v>
      </c>
      <c r="EE137" s="184">
        <f t="shared" si="334"/>
        <v>0</v>
      </c>
      <c r="EF137" s="184">
        <f t="shared" si="334"/>
        <v>0</v>
      </c>
      <c r="EG137" s="184">
        <f t="shared" si="334"/>
        <v>0</v>
      </c>
      <c r="EH137" s="184">
        <f t="shared" si="334"/>
        <v>0</v>
      </c>
      <c r="EI137" s="184">
        <f t="shared" si="334"/>
        <v>0</v>
      </c>
      <c r="EJ137" s="184">
        <f t="shared" si="334"/>
        <v>0</v>
      </c>
      <c r="EK137" s="184">
        <f t="shared" si="334"/>
        <v>0</v>
      </c>
      <c r="EL137" s="184">
        <f t="shared" si="334"/>
        <v>0</v>
      </c>
      <c r="EM137" s="184">
        <f t="shared" si="334"/>
        <v>0</v>
      </c>
      <c r="EN137" s="184">
        <f t="shared" si="334"/>
        <v>0</v>
      </c>
      <c r="EO137" s="184">
        <f t="shared" si="334"/>
        <v>0</v>
      </c>
      <c r="EP137" s="184">
        <f t="shared" si="334"/>
        <v>0</v>
      </c>
      <c r="EQ137" s="184">
        <f t="shared" si="334"/>
        <v>0</v>
      </c>
    </row>
    <row r="138" spans="3:147" ht="11.25" customHeight="1">
      <c r="C138" s="1051" t="s">
        <v>613</v>
      </c>
      <c r="D138" s="1053"/>
      <c r="E138" s="1053"/>
      <c r="F138" s="1053"/>
      <c r="G138" s="1053"/>
      <c r="H138" s="1054"/>
      <c r="I138" s="1055"/>
      <c r="J138" s="1056"/>
      <c r="K138" s="98"/>
      <c r="L138" s="1057"/>
      <c r="M138" s="1057"/>
      <c r="N138" s="1057"/>
      <c r="O138" s="1057"/>
      <c r="P138" s="1057"/>
      <c r="Q138" s="1057"/>
      <c r="R138" s="1057"/>
      <c r="S138" s="1057"/>
      <c r="T138" s="1057"/>
      <c r="U138" s="1057"/>
      <c r="V138" s="1057"/>
      <c r="W138" s="1057"/>
      <c r="X138" s="1057"/>
      <c r="Y138" s="1057"/>
      <c r="Z138" s="1057"/>
      <c r="AA138" s="1057"/>
      <c r="AB138" s="1057"/>
      <c r="AC138" s="1057"/>
      <c r="AD138" s="1057"/>
      <c r="AE138" s="1057"/>
      <c r="AF138" s="1057"/>
      <c r="AG138" s="1057"/>
      <c r="AH138" s="1057"/>
      <c r="AI138" s="1057"/>
      <c r="AJ138" s="1057"/>
      <c r="AK138" s="1057"/>
      <c r="AL138" s="1057"/>
      <c r="AM138" s="1057"/>
      <c r="AN138" s="1057"/>
      <c r="AO138" s="1057"/>
      <c r="AP138" s="1057"/>
      <c r="AQ138" s="1057"/>
      <c r="AR138" s="1057"/>
      <c r="AS138" s="1057"/>
      <c r="AT138" s="1057"/>
      <c r="AU138" s="1057"/>
      <c r="AV138" s="1057"/>
      <c r="AW138" s="1057"/>
      <c r="AX138" s="1057"/>
      <c r="AY138" s="1057"/>
      <c r="AZ138" s="1057"/>
      <c r="BA138" s="1057"/>
      <c r="BB138" s="1057"/>
      <c r="BC138" s="1057"/>
      <c r="BD138" s="1057"/>
      <c r="BE138" s="1057"/>
      <c r="BF138" s="1057"/>
      <c r="BG138" s="1057"/>
      <c r="BH138" s="1057"/>
      <c r="BI138" s="1057"/>
      <c r="BJ138" s="1057"/>
      <c r="BK138" s="1057"/>
      <c r="BL138" s="1057"/>
      <c r="BM138" s="1057"/>
      <c r="BN138" s="1057"/>
      <c r="BO138" s="1057"/>
      <c r="BP138" s="1057"/>
      <c r="BQ138" s="1057"/>
      <c r="BR138" s="1057"/>
      <c r="BS138" s="1057"/>
      <c r="BT138" s="1057"/>
      <c r="BU138" s="1057"/>
      <c r="BV138" s="1057"/>
      <c r="BW138" s="1057"/>
      <c r="BX138" s="1057"/>
      <c r="BY138" s="1057"/>
      <c r="BZ138" s="1057"/>
      <c r="CA138" s="1057"/>
      <c r="CB138" s="1057"/>
      <c r="CC138" s="1057"/>
      <c r="CD138" s="1057"/>
      <c r="CE138" s="1057"/>
      <c r="CF138" s="1057"/>
      <c r="CG138" s="1057"/>
      <c r="CH138" s="1057"/>
      <c r="CI138" s="1057"/>
      <c r="CJ138" s="1057"/>
      <c r="CK138" s="1057"/>
      <c r="CL138" s="1057"/>
      <c r="CM138" s="1057"/>
      <c r="CN138" s="1057"/>
      <c r="CO138" s="1057"/>
      <c r="CP138" s="1057"/>
      <c r="CQ138" s="1057"/>
      <c r="CR138" s="1057"/>
      <c r="CS138" s="1057"/>
      <c r="CT138" s="1057"/>
      <c r="CU138" s="1057"/>
      <c r="CV138" s="1057"/>
      <c r="CW138" s="1057"/>
      <c r="CX138" s="1057"/>
      <c r="CY138" s="1057"/>
      <c r="CZ138" s="1057"/>
      <c r="DA138" s="1057"/>
      <c r="DB138" s="1057"/>
      <c r="DC138" s="1057"/>
      <c r="DD138" s="1057"/>
      <c r="DE138" s="1057"/>
      <c r="DF138" s="1057"/>
      <c r="DG138" s="1057"/>
      <c r="DH138" s="1057"/>
      <c r="DI138" s="1057"/>
      <c r="DJ138" s="1057"/>
      <c r="DK138" s="1057"/>
      <c r="DL138" s="1057"/>
      <c r="DM138" s="1057"/>
      <c r="DN138" s="1057"/>
      <c r="DO138" s="1057"/>
      <c r="DP138" s="1057"/>
      <c r="DQ138" s="1057"/>
      <c r="DR138" s="1057"/>
      <c r="DS138" s="1057"/>
      <c r="DT138" s="1057"/>
      <c r="DU138" s="1057"/>
      <c r="DV138" s="1057"/>
      <c r="DW138" s="1057"/>
      <c r="DX138" s="1057"/>
      <c r="DY138" s="1057"/>
      <c r="DZ138" s="1057"/>
      <c r="EA138" s="1057"/>
      <c r="EB138" s="1057"/>
      <c r="EC138" s="1057"/>
      <c r="ED138" s="1319"/>
      <c r="EE138" s="1057"/>
      <c r="EF138" s="1057"/>
      <c r="EG138" s="1057"/>
      <c r="EH138" s="1057"/>
      <c r="EI138" s="1057"/>
      <c r="EJ138" s="1057"/>
      <c r="EK138" s="1057"/>
      <c r="EL138" s="1057"/>
      <c r="EM138" s="1057"/>
      <c r="EN138" s="1057"/>
      <c r="EO138" s="1057"/>
      <c r="EP138" s="1057"/>
      <c r="EQ138" s="1057"/>
    </row>
    <row r="139" spans="3:147" ht="11.25" customHeight="1">
      <c r="C139" s="1052"/>
      <c r="D139" s="164" t="s">
        <v>230</v>
      </c>
      <c r="E139" s="165"/>
      <c r="F139" s="165"/>
      <c r="G139" s="165"/>
      <c r="H139" s="166"/>
      <c r="I139" s="221"/>
      <c r="J139" s="167"/>
      <c r="K139" s="98"/>
      <c r="L139" s="168">
        <f>K142</f>
        <v>0</v>
      </c>
      <c r="M139" s="168">
        <f t="shared" ref="M139:BX139" si="335">L142</f>
        <v>0</v>
      </c>
      <c r="N139" s="168">
        <f t="shared" si="335"/>
        <v>0</v>
      </c>
      <c r="O139" s="168">
        <f t="shared" si="335"/>
        <v>0</v>
      </c>
      <c r="P139" s="168">
        <f t="shared" si="335"/>
        <v>0</v>
      </c>
      <c r="Q139" s="168">
        <f t="shared" si="335"/>
        <v>0</v>
      </c>
      <c r="R139" s="168">
        <f t="shared" si="335"/>
        <v>0</v>
      </c>
      <c r="S139" s="168">
        <f t="shared" si="335"/>
        <v>0</v>
      </c>
      <c r="T139" s="168">
        <f t="shared" si="335"/>
        <v>0</v>
      </c>
      <c r="U139" s="168">
        <f t="shared" si="335"/>
        <v>0</v>
      </c>
      <c r="V139" s="168">
        <f t="shared" si="335"/>
        <v>0</v>
      </c>
      <c r="W139" s="168">
        <f t="shared" si="335"/>
        <v>0</v>
      </c>
      <c r="X139" s="168">
        <f t="shared" si="335"/>
        <v>0</v>
      </c>
      <c r="Y139" s="168">
        <f t="shared" si="335"/>
        <v>0</v>
      </c>
      <c r="Z139" s="168">
        <f t="shared" si="335"/>
        <v>0</v>
      </c>
      <c r="AA139" s="168">
        <f t="shared" si="335"/>
        <v>0</v>
      </c>
      <c r="AB139" s="168">
        <f t="shared" si="335"/>
        <v>0</v>
      </c>
      <c r="AC139" s="168">
        <f t="shared" si="335"/>
        <v>0</v>
      </c>
      <c r="AD139" s="168">
        <f t="shared" si="335"/>
        <v>0</v>
      </c>
      <c r="AE139" s="168">
        <f t="shared" si="335"/>
        <v>0</v>
      </c>
      <c r="AF139" s="168">
        <f t="shared" si="335"/>
        <v>0</v>
      </c>
      <c r="AG139" s="168">
        <f t="shared" si="335"/>
        <v>0</v>
      </c>
      <c r="AH139" s="168">
        <f t="shared" si="335"/>
        <v>0</v>
      </c>
      <c r="AI139" s="168">
        <f t="shared" si="335"/>
        <v>0</v>
      </c>
      <c r="AJ139" s="168">
        <f t="shared" si="335"/>
        <v>0</v>
      </c>
      <c r="AK139" s="168">
        <f t="shared" si="335"/>
        <v>0</v>
      </c>
      <c r="AL139" s="168">
        <f t="shared" si="335"/>
        <v>0</v>
      </c>
      <c r="AM139" s="168">
        <f t="shared" si="335"/>
        <v>0</v>
      </c>
      <c r="AN139" s="168">
        <f t="shared" si="335"/>
        <v>0</v>
      </c>
      <c r="AO139" s="168">
        <f t="shared" si="335"/>
        <v>0</v>
      </c>
      <c r="AP139" s="168">
        <f t="shared" si="335"/>
        <v>0</v>
      </c>
      <c r="AQ139" s="168">
        <f t="shared" si="335"/>
        <v>0</v>
      </c>
      <c r="AR139" s="168">
        <f t="shared" si="335"/>
        <v>0</v>
      </c>
      <c r="AS139" s="168">
        <f t="shared" si="335"/>
        <v>0</v>
      </c>
      <c r="AT139" s="168">
        <f t="shared" si="335"/>
        <v>0</v>
      </c>
      <c r="AU139" s="168">
        <f t="shared" si="335"/>
        <v>0</v>
      </c>
      <c r="AV139" s="168">
        <f t="shared" si="335"/>
        <v>0</v>
      </c>
      <c r="AW139" s="168">
        <f t="shared" si="335"/>
        <v>0</v>
      </c>
      <c r="AX139" s="168">
        <f t="shared" si="335"/>
        <v>0</v>
      </c>
      <c r="AY139" s="168">
        <f t="shared" si="335"/>
        <v>0</v>
      </c>
      <c r="AZ139" s="168">
        <f t="shared" si="335"/>
        <v>0</v>
      </c>
      <c r="BA139" s="168">
        <f t="shared" si="335"/>
        <v>0</v>
      </c>
      <c r="BB139" s="168">
        <f t="shared" si="335"/>
        <v>0</v>
      </c>
      <c r="BC139" s="168">
        <f t="shared" si="335"/>
        <v>0</v>
      </c>
      <c r="BD139" s="168">
        <f t="shared" si="335"/>
        <v>0</v>
      </c>
      <c r="BE139" s="168">
        <f t="shared" si="335"/>
        <v>0</v>
      </c>
      <c r="BF139" s="168">
        <f t="shared" si="335"/>
        <v>0</v>
      </c>
      <c r="BG139" s="168">
        <f t="shared" si="335"/>
        <v>0</v>
      </c>
      <c r="BH139" s="168">
        <f t="shared" si="335"/>
        <v>0</v>
      </c>
      <c r="BI139" s="168">
        <f t="shared" si="335"/>
        <v>0</v>
      </c>
      <c r="BJ139" s="168">
        <f t="shared" si="335"/>
        <v>0</v>
      </c>
      <c r="BK139" s="168">
        <f t="shared" si="335"/>
        <v>0</v>
      </c>
      <c r="BL139" s="168">
        <f t="shared" si="335"/>
        <v>0</v>
      </c>
      <c r="BM139" s="168">
        <f t="shared" si="335"/>
        <v>0</v>
      </c>
      <c r="BN139" s="168">
        <f t="shared" si="335"/>
        <v>0</v>
      </c>
      <c r="BO139" s="168">
        <f t="shared" si="335"/>
        <v>0</v>
      </c>
      <c r="BP139" s="168">
        <f t="shared" si="335"/>
        <v>0</v>
      </c>
      <c r="BQ139" s="168">
        <f t="shared" si="335"/>
        <v>0</v>
      </c>
      <c r="BR139" s="168">
        <f t="shared" si="335"/>
        <v>0</v>
      </c>
      <c r="BS139" s="168">
        <f t="shared" si="335"/>
        <v>0</v>
      </c>
      <c r="BT139" s="168">
        <f t="shared" si="335"/>
        <v>0</v>
      </c>
      <c r="BU139" s="168">
        <f t="shared" si="335"/>
        <v>0</v>
      </c>
      <c r="BV139" s="168">
        <f t="shared" si="335"/>
        <v>0</v>
      </c>
      <c r="BW139" s="168">
        <f t="shared" si="335"/>
        <v>0</v>
      </c>
      <c r="BX139" s="168">
        <f t="shared" si="335"/>
        <v>0</v>
      </c>
      <c r="BY139" s="168">
        <f t="shared" ref="BY139:DT139" si="336">BX142</f>
        <v>0</v>
      </c>
      <c r="BZ139" s="168">
        <f t="shared" si="336"/>
        <v>0</v>
      </c>
      <c r="CA139" s="168">
        <f t="shared" si="336"/>
        <v>0</v>
      </c>
      <c r="CB139" s="168">
        <f t="shared" si="336"/>
        <v>0</v>
      </c>
      <c r="CC139" s="168">
        <f t="shared" si="336"/>
        <v>0</v>
      </c>
      <c r="CD139" s="168">
        <f t="shared" si="336"/>
        <v>0</v>
      </c>
      <c r="CE139" s="168">
        <f t="shared" si="336"/>
        <v>0</v>
      </c>
      <c r="CF139" s="168">
        <f t="shared" si="336"/>
        <v>0</v>
      </c>
      <c r="CG139" s="168">
        <f t="shared" si="336"/>
        <v>0</v>
      </c>
      <c r="CH139" s="168">
        <f t="shared" si="336"/>
        <v>0</v>
      </c>
      <c r="CI139" s="168">
        <f t="shared" si="336"/>
        <v>0</v>
      </c>
      <c r="CJ139" s="168">
        <f t="shared" si="336"/>
        <v>0</v>
      </c>
      <c r="CK139" s="168">
        <f t="shared" si="336"/>
        <v>0</v>
      </c>
      <c r="CL139" s="168">
        <f t="shared" si="336"/>
        <v>0</v>
      </c>
      <c r="CM139" s="168">
        <f t="shared" si="336"/>
        <v>0</v>
      </c>
      <c r="CN139" s="168">
        <f t="shared" si="336"/>
        <v>0</v>
      </c>
      <c r="CO139" s="168">
        <f t="shared" si="336"/>
        <v>0</v>
      </c>
      <c r="CP139" s="168">
        <f t="shared" si="336"/>
        <v>0</v>
      </c>
      <c r="CQ139" s="168">
        <f t="shared" si="336"/>
        <v>0</v>
      </c>
      <c r="CR139" s="168">
        <f t="shared" si="336"/>
        <v>0</v>
      </c>
      <c r="CS139" s="168">
        <f t="shared" si="336"/>
        <v>0</v>
      </c>
      <c r="CT139" s="168">
        <f t="shared" si="336"/>
        <v>0</v>
      </c>
      <c r="CU139" s="168">
        <f t="shared" si="336"/>
        <v>0</v>
      </c>
      <c r="CV139" s="168">
        <f t="shared" si="336"/>
        <v>0</v>
      </c>
      <c r="CW139" s="168">
        <f t="shared" si="336"/>
        <v>0</v>
      </c>
      <c r="CX139" s="168">
        <f t="shared" si="336"/>
        <v>0</v>
      </c>
      <c r="CY139" s="168">
        <f t="shared" si="336"/>
        <v>0</v>
      </c>
      <c r="CZ139" s="168">
        <f t="shared" si="336"/>
        <v>0</v>
      </c>
      <c r="DA139" s="168">
        <f t="shared" si="336"/>
        <v>0</v>
      </c>
      <c r="DB139" s="168">
        <f t="shared" si="336"/>
        <v>0</v>
      </c>
      <c r="DC139" s="168">
        <f t="shared" si="336"/>
        <v>0</v>
      </c>
      <c r="DD139" s="168">
        <f t="shared" si="336"/>
        <v>0</v>
      </c>
      <c r="DE139" s="168">
        <f t="shared" si="336"/>
        <v>0</v>
      </c>
      <c r="DF139" s="168">
        <f t="shared" si="336"/>
        <v>0</v>
      </c>
      <c r="DG139" s="168">
        <f t="shared" si="336"/>
        <v>0</v>
      </c>
      <c r="DH139" s="168">
        <f t="shared" si="336"/>
        <v>0</v>
      </c>
      <c r="DI139" s="168">
        <f t="shared" si="336"/>
        <v>0</v>
      </c>
      <c r="DJ139" s="168">
        <f t="shared" si="336"/>
        <v>0</v>
      </c>
      <c r="DK139" s="168">
        <f t="shared" si="336"/>
        <v>0</v>
      </c>
      <c r="DL139" s="168">
        <f t="shared" si="336"/>
        <v>0</v>
      </c>
      <c r="DM139" s="168">
        <f t="shared" si="336"/>
        <v>0</v>
      </c>
      <c r="DN139" s="168">
        <f t="shared" si="336"/>
        <v>0</v>
      </c>
      <c r="DO139" s="168">
        <f t="shared" si="336"/>
        <v>0</v>
      </c>
      <c r="DP139" s="168">
        <f t="shared" si="336"/>
        <v>0</v>
      </c>
      <c r="DQ139" s="168">
        <f t="shared" si="336"/>
        <v>0</v>
      </c>
      <c r="DR139" s="168">
        <f t="shared" si="336"/>
        <v>0</v>
      </c>
      <c r="DS139" s="168">
        <f t="shared" si="336"/>
        <v>0</v>
      </c>
      <c r="DT139" s="168">
        <f t="shared" si="336"/>
        <v>0</v>
      </c>
      <c r="DU139" s="168">
        <f t="shared" ref="DU139:EQ139" si="337">DT142</f>
        <v>0</v>
      </c>
      <c r="DV139" s="168">
        <f t="shared" si="337"/>
        <v>0</v>
      </c>
      <c r="DW139" s="168">
        <f t="shared" si="337"/>
        <v>0</v>
      </c>
      <c r="DX139" s="168">
        <f t="shared" si="337"/>
        <v>0</v>
      </c>
      <c r="DY139" s="168">
        <f t="shared" si="337"/>
        <v>0</v>
      </c>
      <c r="DZ139" s="168">
        <f t="shared" si="337"/>
        <v>0</v>
      </c>
      <c r="EA139" s="168">
        <f t="shared" si="337"/>
        <v>0</v>
      </c>
      <c r="EB139" s="168">
        <f t="shared" si="337"/>
        <v>0</v>
      </c>
      <c r="EC139" s="168">
        <f t="shared" si="337"/>
        <v>0</v>
      </c>
      <c r="ED139" s="1320">
        <f t="shared" si="337"/>
        <v>0</v>
      </c>
      <c r="EE139" s="168">
        <f t="shared" si="337"/>
        <v>0</v>
      </c>
      <c r="EF139" s="168">
        <f t="shared" si="337"/>
        <v>0</v>
      </c>
      <c r="EG139" s="168">
        <f t="shared" si="337"/>
        <v>0</v>
      </c>
      <c r="EH139" s="168">
        <f t="shared" si="337"/>
        <v>0</v>
      </c>
      <c r="EI139" s="168">
        <f t="shared" si="337"/>
        <v>0</v>
      </c>
      <c r="EJ139" s="168">
        <f t="shared" si="337"/>
        <v>0</v>
      </c>
      <c r="EK139" s="168">
        <f t="shared" si="337"/>
        <v>0</v>
      </c>
      <c r="EL139" s="168">
        <f t="shared" si="337"/>
        <v>0</v>
      </c>
      <c r="EM139" s="168">
        <f t="shared" si="337"/>
        <v>0</v>
      </c>
      <c r="EN139" s="168">
        <f t="shared" si="337"/>
        <v>0</v>
      </c>
      <c r="EO139" s="168">
        <f t="shared" si="337"/>
        <v>0</v>
      </c>
      <c r="EP139" s="168">
        <f t="shared" si="337"/>
        <v>0</v>
      </c>
      <c r="EQ139" s="168">
        <f t="shared" si="337"/>
        <v>0</v>
      </c>
    </row>
    <row r="140" spans="3:147" ht="11.25" customHeight="1">
      <c r="C140" s="1052"/>
      <c r="D140" s="169" t="s">
        <v>231</v>
      </c>
      <c r="I140" s="90">
        <f>'A&amp;R'!$P$39*(1+'A&amp;R'!$S$39)^('A&amp;R'!$O$39/12)-'A&amp;R'!$P$39*(1+$I$135)^('A&amp;R'!$O$39/12)</f>
        <v>0</v>
      </c>
      <c r="J140" s="170">
        <f>SUM(L140:EQ140)</f>
        <v>0</v>
      </c>
      <c r="K140" s="98"/>
      <c r="L140" s="171">
        <f>$I140*(L$97=EOMONTH($H$57,1))</f>
        <v>0</v>
      </c>
      <c r="M140" s="171">
        <f t="shared" ref="M140:BX140" si="338">$I140*(M$97=EOMONTH($H$57,1))</f>
        <v>0</v>
      </c>
      <c r="N140" s="171">
        <f t="shared" si="338"/>
        <v>0</v>
      </c>
      <c r="O140" s="171">
        <f t="shared" si="338"/>
        <v>0</v>
      </c>
      <c r="P140" s="171">
        <f t="shared" si="338"/>
        <v>0</v>
      </c>
      <c r="Q140" s="171">
        <f t="shared" si="338"/>
        <v>0</v>
      </c>
      <c r="R140" s="171">
        <f t="shared" si="338"/>
        <v>0</v>
      </c>
      <c r="S140" s="171">
        <f t="shared" si="338"/>
        <v>0</v>
      </c>
      <c r="T140" s="171">
        <f t="shared" si="338"/>
        <v>0</v>
      </c>
      <c r="U140" s="171">
        <f t="shared" si="338"/>
        <v>0</v>
      </c>
      <c r="V140" s="171">
        <f t="shared" si="338"/>
        <v>0</v>
      </c>
      <c r="W140" s="171">
        <f t="shared" si="338"/>
        <v>0</v>
      </c>
      <c r="X140" s="171">
        <f t="shared" si="338"/>
        <v>0</v>
      </c>
      <c r="Y140" s="171">
        <f t="shared" si="338"/>
        <v>0</v>
      </c>
      <c r="Z140" s="171">
        <f t="shared" si="338"/>
        <v>0</v>
      </c>
      <c r="AA140" s="171">
        <f t="shared" si="338"/>
        <v>0</v>
      </c>
      <c r="AB140" s="171">
        <f t="shared" si="338"/>
        <v>0</v>
      </c>
      <c r="AC140" s="171">
        <f t="shared" si="338"/>
        <v>0</v>
      </c>
      <c r="AD140" s="171">
        <f t="shared" si="338"/>
        <v>0</v>
      </c>
      <c r="AE140" s="171">
        <f t="shared" si="338"/>
        <v>0</v>
      </c>
      <c r="AF140" s="171">
        <f t="shared" si="338"/>
        <v>0</v>
      </c>
      <c r="AG140" s="171">
        <f t="shared" si="338"/>
        <v>0</v>
      </c>
      <c r="AH140" s="171">
        <f t="shared" si="338"/>
        <v>0</v>
      </c>
      <c r="AI140" s="171">
        <f t="shared" si="338"/>
        <v>0</v>
      </c>
      <c r="AJ140" s="171">
        <f t="shared" si="338"/>
        <v>0</v>
      </c>
      <c r="AK140" s="171">
        <f t="shared" si="338"/>
        <v>0</v>
      </c>
      <c r="AL140" s="171">
        <f t="shared" si="338"/>
        <v>0</v>
      </c>
      <c r="AM140" s="171">
        <f t="shared" si="338"/>
        <v>0</v>
      </c>
      <c r="AN140" s="171">
        <f t="shared" si="338"/>
        <v>0</v>
      </c>
      <c r="AO140" s="171">
        <f t="shared" si="338"/>
        <v>0</v>
      </c>
      <c r="AP140" s="171">
        <f t="shared" si="338"/>
        <v>0</v>
      </c>
      <c r="AQ140" s="171">
        <f t="shared" si="338"/>
        <v>0</v>
      </c>
      <c r="AR140" s="171">
        <f t="shared" si="338"/>
        <v>0</v>
      </c>
      <c r="AS140" s="171">
        <f t="shared" si="338"/>
        <v>0</v>
      </c>
      <c r="AT140" s="171">
        <f t="shared" si="338"/>
        <v>0</v>
      </c>
      <c r="AU140" s="171">
        <f t="shared" si="338"/>
        <v>0</v>
      </c>
      <c r="AV140" s="171">
        <f t="shared" si="338"/>
        <v>0</v>
      </c>
      <c r="AW140" s="171">
        <f t="shared" si="338"/>
        <v>0</v>
      </c>
      <c r="AX140" s="171">
        <f t="shared" si="338"/>
        <v>0</v>
      </c>
      <c r="AY140" s="171">
        <f t="shared" si="338"/>
        <v>0</v>
      </c>
      <c r="AZ140" s="171">
        <f t="shared" si="338"/>
        <v>0</v>
      </c>
      <c r="BA140" s="171">
        <f t="shared" si="338"/>
        <v>0</v>
      </c>
      <c r="BB140" s="171">
        <f t="shared" si="338"/>
        <v>0</v>
      </c>
      <c r="BC140" s="171">
        <f t="shared" si="338"/>
        <v>0</v>
      </c>
      <c r="BD140" s="171">
        <f t="shared" si="338"/>
        <v>0</v>
      </c>
      <c r="BE140" s="171">
        <f t="shared" si="338"/>
        <v>0</v>
      </c>
      <c r="BF140" s="171">
        <f t="shared" si="338"/>
        <v>0</v>
      </c>
      <c r="BG140" s="171">
        <f t="shared" si="338"/>
        <v>0</v>
      </c>
      <c r="BH140" s="171">
        <f t="shared" si="338"/>
        <v>0</v>
      </c>
      <c r="BI140" s="171">
        <f t="shared" si="338"/>
        <v>0</v>
      </c>
      <c r="BJ140" s="171">
        <f t="shared" si="338"/>
        <v>0</v>
      </c>
      <c r="BK140" s="171">
        <f t="shared" si="338"/>
        <v>0</v>
      </c>
      <c r="BL140" s="171">
        <f t="shared" si="338"/>
        <v>0</v>
      </c>
      <c r="BM140" s="171">
        <f t="shared" si="338"/>
        <v>0</v>
      </c>
      <c r="BN140" s="171">
        <f t="shared" si="338"/>
        <v>0</v>
      </c>
      <c r="BO140" s="171">
        <f t="shared" si="338"/>
        <v>0</v>
      </c>
      <c r="BP140" s="171">
        <f t="shared" si="338"/>
        <v>0</v>
      </c>
      <c r="BQ140" s="171">
        <f t="shared" si="338"/>
        <v>0</v>
      </c>
      <c r="BR140" s="171">
        <f t="shared" si="338"/>
        <v>0</v>
      </c>
      <c r="BS140" s="171">
        <f t="shared" si="338"/>
        <v>0</v>
      </c>
      <c r="BT140" s="171">
        <f t="shared" si="338"/>
        <v>0</v>
      </c>
      <c r="BU140" s="171">
        <f t="shared" si="338"/>
        <v>0</v>
      </c>
      <c r="BV140" s="171">
        <f t="shared" si="338"/>
        <v>0</v>
      </c>
      <c r="BW140" s="171">
        <f t="shared" si="338"/>
        <v>0</v>
      </c>
      <c r="BX140" s="171">
        <f t="shared" si="338"/>
        <v>0</v>
      </c>
      <c r="BY140" s="171">
        <f t="shared" ref="BY140:EQ140" si="339">$I140*(BY$97=EOMONTH($H$57,1))</f>
        <v>0</v>
      </c>
      <c r="BZ140" s="171">
        <f t="shared" si="339"/>
        <v>0</v>
      </c>
      <c r="CA140" s="171">
        <f t="shared" si="339"/>
        <v>0</v>
      </c>
      <c r="CB140" s="171">
        <f t="shared" si="339"/>
        <v>0</v>
      </c>
      <c r="CC140" s="171">
        <f t="shared" si="339"/>
        <v>0</v>
      </c>
      <c r="CD140" s="171">
        <f t="shared" si="339"/>
        <v>0</v>
      </c>
      <c r="CE140" s="171">
        <f t="shared" si="339"/>
        <v>0</v>
      </c>
      <c r="CF140" s="171">
        <f t="shared" si="339"/>
        <v>0</v>
      </c>
      <c r="CG140" s="171">
        <f t="shared" si="339"/>
        <v>0</v>
      </c>
      <c r="CH140" s="171">
        <f t="shared" si="339"/>
        <v>0</v>
      </c>
      <c r="CI140" s="171">
        <f t="shared" si="339"/>
        <v>0</v>
      </c>
      <c r="CJ140" s="171">
        <f t="shared" si="339"/>
        <v>0</v>
      </c>
      <c r="CK140" s="171">
        <f t="shared" si="339"/>
        <v>0</v>
      </c>
      <c r="CL140" s="171">
        <f t="shared" si="339"/>
        <v>0</v>
      </c>
      <c r="CM140" s="171">
        <f t="shared" si="339"/>
        <v>0</v>
      </c>
      <c r="CN140" s="171">
        <f t="shared" si="339"/>
        <v>0</v>
      </c>
      <c r="CO140" s="171">
        <f t="shared" si="339"/>
        <v>0</v>
      </c>
      <c r="CP140" s="171">
        <f t="shared" si="339"/>
        <v>0</v>
      </c>
      <c r="CQ140" s="171">
        <f t="shared" si="339"/>
        <v>0</v>
      </c>
      <c r="CR140" s="171">
        <f t="shared" si="339"/>
        <v>0</v>
      </c>
      <c r="CS140" s="171">
        <f t="shared" si="339"/>
        <v>0</v>
      </c>
      <c r="CT140" s="171">
        <f t="shared" si="339"/>
        <v>0</v>
      </c>
      <c r="CU140" s="171">
        <f t="shared" si="339"/>
        <v>0</v>
      </c>
      <c r="CV140" s="171">
        <f t="shared" si="339"/>
        <v>0</v>
      </c>
      <c r="CW140" s="171">
        <f t="shared" si="339"/>
        <v>0</v>
      </c>
      <c r="CX140" s="171">
        <f t="shared" si="339"/>
        <v>0</v>
      </c>
      <c r="CY140" s="171">
        <f t="shared" si="339"/>
        <v>0</v>
      </c>
      <c r="CZ140" s="171">
        <f t="shared" si="339"/>
        <v>0</v>
      </c>
      <c r="DA140" s="171">
        <f t="shared" si="339"/>
        <v>0</v>
      </c>
      <c r="DB140" s="171">
        <f t="shared" si="339"/>
        <v>0</v>
      </c>
      <c r="DC140" s="171">
        <f t="shared" si="339"/>
        <v>0</v>
      </c>
      <c r="DD140" s="171">
        <f t="shared" si="339"/>
        <v>0</v>
      </c>
      <c r="DE140" s="171">
        <f t="shared" si="339"/>
        <v>0</v>
      </c>
      <c r="DF140" s="171">
        <f t="shared" si="339"/>
        <v>0</v>
      </c>
      <c r="DG140" s="171">
        <f t="shared" si="339"/>
        <v>0</v>
      </c>
      <c r="DH140" s="171">
        <f t="shared" si="339"/>
        <v>0</v>
      </c>
      <c r="DI140" s="171">
        <f t="shared" si="339"/>
        <v>0</v>
      </c>
      <c r="DJ140" s="171">
        <f t="shared" si="339"/>
        <v>0</v>
      </c>
      <c r="DK140" s="171">
        <f t="shared" si="339"/>
        <v>0</v>
      </c>
      <c r="DL140" s="171">
        <f t="shared" si="339"/>
        <v>0</v>
      </c>
      <c r="DM140" s="171">
        <f t="shared" si="339"/>
        <v>0</v>
      </c>
      <c r="DN140" s="171">
        <f t="shared" si="339"/>
        <v>0</v>
      </c>
      <c r="DO140" s="171">
        <f t="shared" si="339"/>
        <v>0</v>
      </c>
      <c r="DP140" s="171">
        <f t="shared" si="339"/>
        <v>0</v>
      </c>
      <c r="DQ140" s="171">
        <f t="shared" si="339"/>
        <v>0</v>
      </c>
      <c r="DR140" s="171">
        <f t="shared" si="339"/>
        <v>0</v>
      </c>
      <c r="DS140" s="171">
        <f t="shared" si="339"/>
        <v>0</v>
      </c>
      <c r="DT140" s="171">
        <f t="shared" si="339"/>
        <v>0</v>
      </c>
      <c r="DU140" s="171">
        <f t="shared" si="339"/>
        <v>0</v>
      </c>
      <c r="DV140" s="171">
        <f t="shared" si="339"/>
        <v>0</v>
      </c>
      <c r="DW140" s="171">
        <f t="shared" si="339"/>
        <v>0</v>
      </c>
      <c r="DX140" s="171">
        <f t="shared" si="339"/>
        <v>0</v>
      </c>
      <c r="DY140" s="171">
        <f t="shared" si="339"/>
        <v>0</v>
      </c>
      <c r="DZ140" s="171">
        <f t="shared" si="339"/>
        <v>0</v>
      </c>
      <c r="EA140" s="171">
        <f t="shared" si="339"/>
        <v>0</v>
      </c>
      <c r="EB140" s="171">
        <f t="shared" si="339"/>
        <v>0</v>
      </c>
      <c r="EC140" s="171">
        <f t="shared" si="339"/>
        <v>0</v>
      </c>
      <c r="ED140" s="1321">
        <f t="shared" si="339"/>
        <v>0</v>
      </c>
      <c r="EE140" s="171">
        <f t="shared" si="339"/>
        <v>0</v>
      </c>
      <c r="EF140" s="171">
        <f t="shared" si="339"/>
        <v>0</v>
      </c>
      <c r="EG140" s="171">
        <f t="shared" si="339"/>
        <v>0</v>
      </c>
      <c r="EH140" s="171">
        <f t="shared" si="339"/>
        <v>0</v>
      </c>
      <c r="EI140" s="171">
        <f t="shared" si="339"/>
        <v>0</v>
      </c>
      <c r="EJ140" s="171">
        <f t="shared" si="339"/>
        <v>0</v>
      </c>
      <c r="EK140" s="171">
        <f t="shared" si="339"/>
        <v>0</v>
      </c>
      <c r="EL140" s="171">
        <f t="shared" si="339"/>
        <v>0</v>
      </c>
      <c r="EM140" s="171">
        <f t="shared" si="339"/>
        <v>0</v>
      </c>
      <c r="EN140" s="171">
        <f t="shared" si="339"/>
        <v>0</v>
      </c>
      <c r="EO140" s="171">
        <f t="shared" si="339"/>
        <v>0</v>
      </c>
      <c r="EP140" s="171">
        <f t="shared" si="339"/>
        <v>0</v>
      </c>
      <c r="EQ140" s="171">
        <f t="shared" si="339"/>
        <v>0</v>
      </c>
    </row>
    <row r="141" spans="3:147" ht="11.25" customHeight="1">
      <c r="C141" s="1052"/>
      <c r="D141" s="169" t="s">
        <v>232</v>
      </c>
      <c r="J141" s="170">
        <f>SUM(L141:EQ141)</f>
        <v>0</v>
      </c>
      <c r="K141" s="98"/>
      <c r="L141" s="171">
        <f>$I$140*IFERROR((L58/$I$57),)</f>
        <v>0</v>
      </c>
      <c r="M141" s="171">
        <f t="shared" ref="M141:BX141" si="340">$I$140*IFERROR((M58/$I$57),)</f>
        <v>0</v>
      </c>
      <c r="N141" s="171">
        <f t="shared" si="340"/>
        <v>0</v>
      </c>
      <c r="O141" s="171">
        <f t="shared" si="340"/>
        <v>0</v>
      </c>
      <c r="P141" s="171">
        <f t="shared" si="340"/>
        <v>0</v>
      </c>
      <c r="Q141" s="171">
        <f t="shared" si="340"/>
        <v>0</v>
      </c>
      <c r="R141" s="171">
        <f t="shared" si="340"/>
        <v>0</v>
      </c>
      <c r="S141" s="171">
        <f t="shared" si="340"/>
        <v>0</v>
      </c>
      <c r="T141" s="171">
        <f t="shared" si="340"/>
        <v>0</v>
      </c>
      <c r="U141" s="171">
        <f t="shared" si="340"/>
        <v>0</v>
      </c>
      <c r="V141" s="171">
        <f t="shared" si="340"/>
        <v>0</v>
      </c>
      <c r="W141" s="171">
        <f t="shared" si="340"/>
        <v>0</v>
      </c>
      <c r="X141" s="171">
        <f t="shared" si="340"/>
        <v>0</v>
      </c>
      <c r="Y141" s="171">
        <f t="shared" si="340"/>
        <v>0</v>
      </c>
      <c r="Z141" s="171">
        <f t="shared" si="340"/>
        <v>0</v>
      </c>
      <c r="AA141" s="171">
        <f t="shared" si="340"/>
        <v>0</v>
      </c>
      <c r="AB141" s="171">
        <f t="shared" si="340"/>
        <v>0</v>
      </c>
      <c r="AC141" s="171">
        <f t="shared" si="340"/>
        <v>0</v>
      </c>
      <c r="AD141" s="171">
        <f t="shared" si="340"/>
        <v>0</v>
      </c>
      <c r="AE141" s="171">
        <f t="shared" si="340"/>
        <v>0</v>
      </c>
      <c r="AF141" s="171">
        <f t="shared" si="340"/>
        <v>0</v>
      </c>
      <c r="AG141" s="171">
        <f t="shared" si="340"/>
        <v>0</v>
      </c>
      <c r="AH141" s="171">
        <f t="shared" si="340"/>
        <v>0</v>
      </c>
      <c r="AI141" s="171">
        <f t="shared" si="340"/>
        <v>0</v>
      </c>
      <c r="AJ141" s="171">
        <f t="shared" si="340"/>
        <v>0</v>
      </c>
      <c r="AK141" s="171">
        <f t="shared" si="340"/>
        <v>0</v>
      </c>
      <c r="AL141" s="171">
        <f t="shared" si="340"/>
        <v>0</v>
      </c>
      <c r="AM141" s="171">
        <f t="shared" si="340"/>
        <v>0</v>
      </c>
      <c r="AN141" s="171">
        <f t="shared" si="340"/>
        <v>0</v>
      </c>
      <c r="AO141" s="171">
        <f t="shared" si="340"/>
        <v>0</v>
      </c>
      <c r="AP141" s="171">
        <f t="shared" si="340"/>
        <v>0</v>
      </c>
      <c r="AQ141" s="171">
        <f t="shared" si="340"/>
        <v>0</v>
      </c>
      <c r="AR141" s="171">
        <f t="shared" si="340"/>
        <v>0</v>
      </c>
      <c r="AS141" s="171">
        <f t="shared" si="340"/>
        <v>0</v>
      </c>
      <c r="AT141" s="171">
        <f t="shared" si="340"/>
        <v>0</v>
      </c>
      <c r="AU141" s="171">
        <f t="shared" si="340"/>
        <v>0</v>
      </c>
      <c r="AV141" s="171">
        <f t="shared" si="340"/>
        <v>0</v>
      </c>
      <c r="AW141" s="171">
        <f t="shared" si="340"/>
        <v>0</v>
      </c>
      <c r="AX141" s="171">
        <f t="shared" si="340"/>
        <v>0</v>
      </c>
      <c r="AY141" s="171">
        <f t="shared" si="340"/>
        <v>0</v>
      </c>
      <c r="AZ141" s="171">
        <f t="shared" si="340"/>
        <v>0</v>
      </c>
      <c r="BA141" s="171">
        <f t="shared" si="340"/>
        <v>0</v>
      </c>
      <c r="BB141" s="171">
        <f t="shared" si="340"/>
        <v>0</v>
      </c>
      <c r="BC141" s="171">
        <f t="shared" si="340"/>
        <v>0</v>
      </c>
      <c r="BD141" s="171">
        <f t="shared" si="340"/>
        <v>0</v>
      </c>
      <c r="BE141" s="171">
        <f t="shared" si="340"/>
        <v>0</v>
      </c>
      <c r="BF141" s="171">
        <f t="shared" si="340"/>
        <v>0</v>
      </c>
      <c r="BG141" s="171">
        <f t="shared" si="340"/>
        <v>0</v>
      </c>
      <c r="BH141" s="171">
        <f t="shared" si="340"/>
        <v>0</v>
      </c>
      <c r="BI141" s="171">
        <f t="shared" si="340"/>
        <v>0</v>
      </c>
      <c r="BJ141" s="171">
        <f t="shared" si="340"/>
        <v>0</v>
      </c>
      <c r="BK141" s="171">
        <f t="shared" si="340"/>
        <v>0</v>
      </c>
      <c r="BL141" s="171">
        <f t="shared" si="340"/>
        <v>0</v>
      </c>
      <c r="BM141" s="171">
        <f t="shared" si="340"/>
        <v>0</v>
      </c>
      <c r="BN141" s="171">
        <f t="shared" si="340"/>
        <v>0</v>
      </c>
      <c r="BO141" s="171">
        <f t="shared" si="340"/>
        <v>0</v>
      </c>
      <c r="BP141" s="171">
        <f t="shared" si="340"/>
        <v>0</v>
      </c>
      <c r="BQ141" s="171">
        <f t="shared" si="340"/>
        <v>0</v>
      </c>
      <c r="BR141" s="171">
        <f t="shared" si="340"/>
        <v>0</v>
      </c>
      <c r="BS141" s="171">
        <f t="shared" si="340"/>
        <v>0</v>
      </c>
      <c r="BT141" s="171">
        <f t="shared" si="340"/>
        <v>0</v>
      </c>
      <c r="BU141" s="171">
        <f t="shared" si="340"/>
        <v>0</v>
      </c>
      <c r="BV141" s="171">
        <f t="shared" si="340"/>
        <v>0</v>
      </c>
      <c r="BW141" s="171">
        <f t="shared" si="340"/>
        <v>0</v>
      </c>
      <c r="BX141" s="171">
        <f t="shared" si="340"/>
        <v>0</v>
      </c>
      <c r="BY141" s="171">
        <f t="shared" ref="BY141:DT141" si="341">$I$140*IFERROR((BY58/$I$57),)</f>
        <v>0</v>
      </c>
      <c r="BZ141" s="171">
        <f t="shared" si="341"/>
        <v>0</v>
      </c>
      <c r="CA141" s="171">
        <f t="shared" si="341"/>
        <v>0</v>
      </c>
      <c r="CB141" s="171">
        <f t="shared" si="341"/>
        <v>0</v>
      </c>
      <c r="CC141" s="171">
        <f t="shared" si="341"/>
        <v>0</v>
      </c>
      <c r="CD141" s="171">
        <f t="shared" si="341"/>
        <v>0</v>
      </c>
      <c r="CE141" s="171">
        <f t="shared" si="341"/>
        <v>0</v>
      </c>
      <c r="CF141" s="171">
        <f t="shared" si="341"/>
        <v>0</v>
      </c>
      <c r="CG141" s="171">
        <f t="shared" si="341"/>
        <v>0</v>
      </c>
      <c r="CH141" s="171">
        <f t="shared" si="341"/>
        <v>0</v>
      </c>
      <c r="CI141" s="171">
        <f t="shared" si="341"/>
        <v>0</v>
      </c>
      <c r="CJ141" s="171">
        <f t="shared" si="341"/>
        <v>0</v>
      </c>
      <c r="CK141" s="171">
        <f t="shared" si="341"/>
        <v>0</v>
      </c>
      <c r="CL141" s="171">
        <f t="shared" si="341"/>
        <v>0</v>
      </c>
      <c r="CM141" s="171">
        <f t="shared" si="341"/>
        <v>0</v>
      </c>
      <c r="CN141" s="171">
        <f t="shared" si="341"/>
        <v>0</v>
      </c>
      <c r="CO141" s="171">
        <f t="shared" si="341"/>
        <v>0</v>
      </c>
      <c r="CP141" s="171">
        <f t="shared" si="341"/>
        <v>0</v>
      </c>
      <c r="CQ141" s="171">
        <f t="shared" si="341"/>
        <v>0</v>
      </c>
      <c r="CR141" s="171">
        <f t="shared" si="341"/>
        <v>0</v>
      </c>
      <c r="CS141" s="171">
        <f t="shared" si="341"/>
        <v>0</v>
      </c>
      <c r="CT141" s="171">
        <f t="shared" si="341"/>
        <v>0</v>
      </c>
      <c r="CU141" s="171">
        <f t="shared" si="341"/>
        <v>0</v>
      </c>
      <c r="CV141" s="171">
        <f t="shared" si="341"/>
        <v>0</v>
      </c>
      <c r="CW141" s="171">
        <f t="shared" si="341"/>
        <v>0</v>
      </c>
      <c r="CX141" s="171">
        <f t="shared" si="341"/>
        <v>0</v>
      </c>
      <c r="CY141" s="171">
        <f t="shared" si="341"/>
        <v>0</v>
      </c>
      <c r="CZ141" s="171">
        <f t="shared" si="341"/>
        <v>0</v>
      </c>
      <c r="DA141" s="171">
        <f t="shared" si="341"/>
        <v>0</v>
      </c>
      <c r="DB141" s="171">
        <f t="shared" si="341"/>
        <v>0</v>
      </c>
      <c r="DC141" s="171">
        <f t="shared" si="341"/>
        <v>0</v>
      </c>
      <c r="DD141" s="171">
        <f t="shared" si="341"/>
        <v>0</v>
      </c>
      <c r="DE141" s="171">
        <f t="shared" si="341"/>
        <v>0</v>
      </c>
      <c r="DF141" s="171">
        <f t="shared" si="341"/>
        <v>0</v>
      </c>
      <c r="DG141" s="171">
        <f t="shared" si="341"/>
        <v>0</v>
      </c>
      <c r="DH141" s="171">
        <f t="shared" si="341"/>
        <v>0</v>
      </c>
      <c r="DI141" s="171">
        <f t="shared" si="341"/>
        <v>0</v>
      </c>
      <c r="DJ141" s="171">
        <f t="shared" si="341"/>
        <v>0</v>
      </c>
      <c r="DK141" s="171">
        <f t="shared" si="341"/>
        <v>0</v>
      </c>
      <c r="DL141" s="171">
        <f t="shared" si="341"/>
        <v>0</v>
      </c>
      <c r="DM141" s="171">
        <f t="shared" si="341"/>
        <v>0</v>
      </c>
      <c r="DN141" s="171">
        <f t="shared" si="341"/>
        <v>0</v>
      </c>
      <c r="DO141" s="171">
        <f t="shared" si="341"/>
        <v>0</v>
      </c>
      <c r="DP141" s="171">
        <f t="shared" si="341"/>
        <v>0</v>
      </c>
      <c r="DQ141" s="171">
        <f t="shared" si="341"/>
        <v>0</v>
      </c>
      <c r="DR141" s="171">
        <f t="shared" si="341"/>
        <v>0</v>
      </c>
      <c r="DS141" s="171">
        <f t="shared" si="341"/>
        <v>0</v>
      </c>
      <c r="DT141" s="171">
        <f t="shared" si="341"/>
        <v>0</v>
      </c>
      <c r="DU141" s="171">
        <f t="shared" ref="DU141:EA141" si="342">$I$140*IFERROR((DU58/$I$57),)</f>
        <v>0</v>
      </c>
      <c r="DV141" s="171">
        <f t="shared" si="342"/>
        <v>0</v>
      </c>
      <c r="DW141" s="171">
        <f t="shared" si="342"/>
        <v>0</v>
      </c>
      <c r="DX141" s="171">
        <f t="shared" si="342"/>
        <v>0</v>
      </c>
      <c r="DY141" s="171">
        <f t="shared" si="342"/>
        <v>0</v>
      </c>
      <c r="DZ141" s="171">
        <f t="shared" si="342"/>
        <v>0</v>
      </c>
      <c r="EA141" s="171">
        <f t="shared" si="342"/>
        <v>0</v>
      </c>
      <c r="EB141" s="171">
        <f t="shared" ref="EB141:EQ141" si="343">$I$140*IFERROR((EB58/$I$57),)</f>
        <v>0</v>
      </c>
      <c r="EC141" s="171">
        <f t="shared" si="343"/>
        <v>0</v>
      </c>
      <c r="ED141" s="1321">
        <f t="shared" si="343"/>
        <v>0</v>
      </c>
      <c r="EE141" s="171">
        <f t="shared" si="343"/>
        <v>0</v>
      </c>
      <c r="EF141" s="171">
        <f t="shared" si="343"/>
        <v>0</v>
      </c>
      <c r="EG141" s="171">
        <f t="shared" si="343"/>
        <v>0</v>
      </c>
      <c r="EH141" s="171">
        <f t="shared" si="343"/>
        <v>0</v>
      </c>
      <c r="EI141" s="171">
        <f t="shared" si="343"/>
        <v>0</v>
      </c>
      <c r="EJ141" s="171">
        <f t="shared" si="343"/>
        <v>0</v>
      </c>
      <c r="EK141" s="171">
        <f t="shared" si="343"/>
        <v>0</v>
      </c>
      <c r="EL141" s="171">
        <f t="shared" si="343"/>
        <v>0</v>
      </c>
      <c r="EM141" s="171">
        <f t="shared" si="343"/>
        <v>0</v>
      </c>
      <c r="EN141" s="171">
        <f t="shared" si="343"/>
        <v>0</v>
      </c>
      <c r="EO141" s="171">
        <f t="shared" si="343"/>
        <v>0</v>
      </c>
      <c r="EP141" s="171">
        <f t="shared" si="343"/>
        <v>0</v>
      </c>
      <c r="EQ141" s="171">
        <f t="shared" si="343"/>
        <v>0</v>
      </c>
    </row>
    <row r="142" spans="3:147" ht="11.25" customHeight="1">
      <c r="C142" s="1058"/>
      <c r="D142" s="179" t="s">
        <v>233</v>
      </c>
      <c r="E142" s="180"/>
      <c r="F142" s="180"/>
      <c r="G142" s="180"/>
      <c r="H142" s="181"/>
      <c r="I142" s="860"/>
      <c r="J142" s="183"/>
      <c r="K142" s="98"/>
      <c r="L142" s="184">
        <f>L139+L140-L141</f>
        <v>0</v>
      </c>
      <c r="M142" s="184">
        <f t="shared" ref="M142:BX142" si="344">M139+M140-M141</f>
        <v>0</v>
      </c>
      <c r="N142" s="184">
        <f t="shared" si="344"/>
        <v>0</v>
      </c>
      <c r="O142" s="184">
        <f t="shared" si="344"/>
        <v>0</v>
      </c>
      <c r="P142" s="184">
        <f t="shared" si="344"/>
        <v>0</v>
      </c>
      <c r="Q142" s="184">
        <f t="shared" si="344"/>
        <v>0</v>
      </c>
      <c r="R142" s="184">
        <f t="shared" si="344"/>
        <v>0</v>
      </c>
      <c r="S142" s="184">
        <f t="shared" si="344"/>
        <v>0</v>
      </c>
      <c r="T142" s="184">
        <f t="shared" si="344"/>
        <v>0</v>
      </c>
      <c r="U142" s="184">
        <f t="shared" si="344"/>
        <v>0</v>
      </c>
      <c r="V142" s="184">
        <f t="shared" si="344"/>
        <v>0</v>
      </c>
      <c r="W142" s="184">
        <f t="shared" si="344"/>
        <v>0</v>
      </c>
      <c r="X142" s="184">
        <f t="shared" si="344"/>
        <v>0</v>
      </c>
      <c r="Y142" s="184">
        <f t="shared" si="344"/>
        <v>0</v>
      </c>
      <c r="Z142" s="184">
        <f t="shared" si="344"/>
        <v>0</v>
      </c>
      <c r="AA142" s="184">
        <f t="shared" si="344"/>
        <v>0</v>
      </c>
      <c r="AB142" s="184">
        <f t="shared" si="344"/>
        <v>0</v>
      </c>
      <c r="AC142" s="184">
        <f t="shared" si="344"/>
        <v>0</v>
      </c>
      <c r="AD142" s="184">
        <f t="shared" si="344"/>
        <v>0</v>
      </c>
      <c r="AE142" s="184">
        <f t="shared" si="344"/>
        <v>0</v>
      </c>
      <c r="AF142" s="184">
        <f t="shared" si="344"/>
        <v>0</v>
      </c>
      <c r="AG142" s="184">
        <f t="shared" si="344"/>
        <v>0</v>
      </c>
      <c r="AH142" s="184">
        <f t="shared" si="344"/>
        <v>0</v>
      </c>
      <c r="AI142" s="184">
        <f t="shared" si="344"/>
        <v>0</v>
      </c>
      <c r="AJ142" s="184">
        <f t="shared" si="344"/>
        <v>0</v>
      </c>
      <c r="AK142" s="184">
        <f t="shared" si="344"/>
        <v>0</v>
      </c>
      <c r="AL142" s="184">
        <f t="shared" si="344"/>
        <v>0</v>
      </c>
      <c r="AM142" s="184">
        <f t="shared" si="344"/>
        <v>0</v>
      </c>
      <c r="AN142" s="184">
        <f t="shared" si="344"/>
        <v>0</v>
      </c>
      <c r="AO142" s="184">
        <f t="shared" si="344"/>
        <v>0</v>
      </c>
      <c r="AP142" s="184">
        <f t="shared" si="344"/>
        <v>0</v>
      </c>
      <c r="AQ142" s="184">
        <f t="shared" si="344"/>
        <v>0</v>
      </c>
      <c r="AR142" s="184">
        <f t="shared" si="344"/>
        <v>0</v>
      </c>
      <c r="AS142" s="184">
        <f t="shared" si="344"/>
        <v>0</v>
      </c>
      <c r="AT142" s="184">
        <f t="shared" si="344"/>
        <v>0</v>
      </c>
      <c r="AU142" s="184">
        <f t="shared" si="344"/>
        <v>0</v>
      </c>
      <c r="AV142" s="184">
        <f t="shared" si="344"/>
        <v>0</v>
      </c>
      <c r="AW142" s="184">
        <f t="shared" si="344"/>
        <v>0</v>
      </c>
      <c r="AX142" s="184">
        <f t="shared" si="344"/>
        <v>0</v>
      </c>
      <c r="AY142" s="184">
        <f t="shared" si="344"/>
        <v>0</v>
      </c>
      <c r="AZ142" s="184">
        <f t="shared" si="344"/>
        <v>0</v>
      </c>
      <c r="BA142" s="184">
        <f t="shared" si="344"/>
        <v>0</v>
      </c>
      <c r="BB142" s="184">
        <f t="shared" si="344"/>
        <v>0</v>
      </c>
      <c r="BC142" s="184">
        <f t="shared" si="344"/>
        <v>0</v>
      </c>
      <c r="BD142" s="184">
        <f t="shared" si="344"/>
        <v>0</v>
      </c>
      <c r="BE142" s="184">
        <f t="shared" si="344"/>
        <v>0</v>
      </c>
      <c r="BF142" s="184">
        <f t="shared" si="344"/>
        <v>0</v>
      </c>
      <c r="BG142" s="184">
        <f t="shared" si="344"/>
        <v>0</v>
      </c>
      <c r="BH142" s="184">
        <f t="shared" si="344"/>
        <v>0</v>
      </c>
      <c r="BI142" s="184">
        <f t="shared" si="344"/>
        <v>0</v>
      </c>
      <c r="BJ142" s="184">
        <f t="shared" si="344"/>
        <v>0</v>
      </c>
      <c r="BK142" s="184">
        <f t="shared" si="344"/>
        <v>0</v>
      </c>
      <c r="BL142" s="184">
        <f t="shared" si="344"/>
        <v>0</v>
      </c>
      <c r="BM142" s="184">
        <f t="shared" si="344"/>
        <v>0</v>
      </c>
      <c r="BN142" s="184">
        <f t="shared" si="344"/>
        <v>0</v>
      </c>
      <c r="BO142" s="184">
        <f t="shared" si="344"/>
        <v>0</v>
      </c>
      <c r="BP142" s="184">
        <f t="shared" si="344"/>
        <v>0</v>
      </c>
      <c r="BQ142" s="184">
        <f t="shared" si="344"/>
        <v>0</v>
      </c>
      <c r="BR142" s="184">
        <f t="shared" si="344"/>
        <v>0</v>
      </c>
      <c r="BS142" s="184">
        <f t="shared" si="344"/>
        <v>0</v>
      </c>
      <c r="BT142" s="184">
        <f t="shared" si="344"/>
        <v>0</v>
      </c>
      <c r="BU142" s="184">
        <f t="shared" si="344"/>
        <v>0</v>
      </c>
      <c r="BV142" s="184">
        <f t="shared" si="344"/>
        <v>0</v>
      </c>
      <c r="BW142" s="184">
        <f t="shared" si="344"/>
        <v>0</v>
      </c>
      <c r="BX142" s="184">
        <f t="shared" si="344"/>
        <v>0</v>
      </c>
      <c r="BY142" s="184">
        <f t="shared" ref="BY142:DT142" si="345">BY139+BY140-BY141</f>
        <v>0</v>
      </c>
      <c r="BZ142" s="184">
        <f t="shared" si="345"/>
        <v>0</v>
      </c>
      <c r="CA142" s="184">
        <f t="shared" si="345"/>
        <v>0</v>
      </c>
      <c r="CB142" s="184">
        <f t="shared" si="345"/>
        <v>0</v>
      </c>
      <c r="CC142" s="184">
        <f t="shared" si="345"/>
        <v>0</v>
      </c>
      <c r="CD142" s="184">
        <f t="shared" si="345"/>
        <v>0</v>
      </c>
      <c r="CE142" s="184">
        <f t="shared" si="345"/>
        <v>0</v>
      </c>
      <c r="CF142" s="184">
        <f t="shared" si="345"/>
        <v>0</v>
      </c>
      <c r="CG142" s="184">
        <f t="shared" si="345"/>
        <v>0</v>
      </c>
      <c r="CH142" s="184">
        <f t="shared" si="345"/>
        <v>0</v>
      </c>
      <c r="CI142" s="184">
        <f t="shared" si="345"/>
        <v>0</v>
      </c>
      <c r="CJ142" s="184">
        <f t="shared" si="345"/>
        <v>0</v>
      </c>
      <c r="CK142" s="184">
        <f t="shared" si="345"/>
        <v>0</v>
      </c>
      <c r="CL142" s="184">
        <f t="shared" si="345"/>
        <v>0</v>
      </c>
      <c r="CM142" s="184">
        <f t="shared" si="345"/>
        <v>0</v>
      </c>
      <c r="CN142" s="184">
        <f t="shared" si="345"/>
        <v>0</v>
      </c>
      <c r="CO142" s="184">
        <f t="shared" si="345"/>
        <v>0</v>
      </c>
      <c r="CP142" s="184">
        <f t="shared" si="345"/>
        <v>0</v>
      </c>
      <c r="CQ142" s="184">
        <f t="shared" si="345"/>
        <v>0</v>
      </c>
      <c r="CR142" s="184">
        <f t="shared" si="345"/>
        <v>0</v>
      </c>
      <c r="CS142" s="184">
        <f t="shared" si="345"/>
        <v>0</v>
      </c>
      <c r="CT142" s="184">
        <f t="shared" si="345"/>
        <v>0</v>
      </c>
      <c r="CU142" s="184">
        <f t="shared" si="345"/>
        <v>0</v>
      </c>
      <c r="CV142" s="184">
        <f t="shared" si="345"/>
        <v>0</v>
      </c>
      <c r="CW142" s="184">
        <f t="shared" si="345"/>
        <v>0</v>
      </c>
      <c r="CX142" s="184">
        <f t="shared" si="345"/>
        <v>0</v>
      </c>
      <c r="CY142" s="184">
        <f t="shared" si="345"/>
        <v>0</v>
      </c>
      <c r="CZ142" s="184">
        <f t="shared" si="345"/>
        <v>0</v>
      </c>
      <c r="DA142" s="184">
        <f t="shared" si="345"/>
        <v>0</v>
      </c>
      <c r="DB142" s="184">
        <f t="shared" si="345"/>
        <v>0</v>
      </c>
      <c r="DC142" s="184">
        <f t="shared" si="345"/>
        <v>0</v>
      </c>
      <c r="DD142" s="184">
        <f t="shared" si="345"/>
        <v>0</v>
      </c>
      <c r="DE142" s="184">
        <f t="shared" si="345"/>
        <v>0</v>
      </c>
      <c r="DF142" s="184">
        <f t="shared" si="345"/>
        <v>0</v>
      </c>
      <c r="DG142" s="184">
        <f t="shared" si="345"/>
        <v>0</v>
      </c>
      <c r="DH142" s="184">
        <f t="shared" si="345"/>
        <v>0</v>
      </c>
      <c r="DI142" s="184">
        <f t="shared" si="345"/>
        <v>0</v>
      </c>
      <c r="DJ142" s="184">
        <f t="shared" si="345"/>
        <v>0</v>
      </c>
      <c r="DK142" s="184">
        <f t="shared" si="345"/>
        <v>0</v>
      </c>
      <c r="DL142" s="184">
        <f t="shared" si="345"/>
        <v>0</v>
      </c>
      <c r="DM142" s="184">
        <f t="shared" si="345"/>
        <v>0</v>
      </c>
      <c r="DN142" s="184">
        <f t="shared" si="345"/>
        <v>0</v>
      </c>
      <c r="DO142" s="184">
        <f t="shared" si="345"/>
        <v>0</v>
      </c>
      <c r="DP142" s="184">
        <f t="shared" si="345"/>
        <v>0</v>
      </c>
      <c r="DQ142" s="184">
        <f t="shared" si="345"/>
        <v>0</v>
      </c>
      <c r="DR142" s="184">
        <f t="shared" si="345"/>
        <v>0</v>
      </c>
      <c r="DS142" s="184">
        <f t="shared" si="345"/>
        <v>0</v>
      </c>
      <c r="DT142" s="184">
        <f t="shared" si="345"/>
        <v>0</v>
      </c>
      <c r="DU142" s="184">
        <f t="shared" ref="DU142:EA142" si="346">DU139+DU140-DU141</f>
        <v>0</v>
      </c>
      <c r="DV142" s="184">
        <f t="shared" si="346"/>
        <v>0</v>
      </c>
      <c r="DW142" s="184">
        <f t="shared" si="346"/>
        <v>0</v>
      </c>
      <c r="DX142" s="184">
        <f t="shared" si="346"/>
        <v>0</v>
      </c>
      <c r="DY142" s="184">
        <f t="shared" si="346"/>
        <v>0</v>
      </c>
      <c r="DZ142" s="184">
        <f t="shared" si="346"/>
        <v>0</v>
      </c>
      <c r="EA142" s="184">
        <f t="shared" si="346"/>
        <v>0</v>
      </c>
      <c r="EB142" s="184">
        <f t="shared" ref="EB142:EQ142" si="347">EB139+EB140-EB141</f>
        <v>0</v>
      </c>
      <c r="EC142" s="184">
        <f t="shared" si="347"/>
        <v>0</v>
      </c>
      <c r="ED142" s="1324">
        <f t="shared" si="347"/>
        <v>0</v>
      </c>
      <c r="EE142" s="184">
        <f t="shared" si="347"/>
        <v>0</v>
      </c>
      <c r="EF142" s="184">
        <f t="shared" si="347"/>
        <v>0</v>
      </c>
      <c r="EG142" s="184">
        <f t="shared" si="347"/>
        <v>0</v>
      </c>
      <c r="EH142" s="184">
        <f t="shared" si="347"/>
        <v>0</v>
      </c>
      <c r="EI142" s="184">
        <f t="shared" si="347"/>
        <v>0</v>
      </c>
      <c r="EJ142" s="184">
        <f t="shared" si="347"/>
        <v>0</v>
      </c>
      <c r="EK142" s="184">
        <f t="shared" si="347"/>
        <v>0</v>
      </c>
      <c r="EL142" s="184">
        <f t="shared" si="347"/>
        <v>0</v>
      </c>
      <c r="EM142" s="184">
        <f t="shared" si="347"/>
        <v>0</v>
      </c>
      <c r="EN142" s="184">
        <f t="shared" si="347"/>
        <v>0</v>
      </c>
      <c r="EO142" s="184">
        <f t="shared" si="347"/>
        <v>0</v>
      </c>
      <c r="EP142" s="184">
        <f t="shared" si="347"/>
        <v>0</v>
      </c>
      <c r="EQ142" s="184">
        <f t="shared" si="347"/>
        <v>0</v>
      </c>
    </row>
    <row r="143" spans="3:147" s="912" customFormat="1" ht="11.25" customHeight="1">
      <c r="H143" s="913"/>
      <c r="I143" s="1065"/>
      <c r="J143" s="909"/>
      <c r="K143" s="909"/>
      <c r="L143" s="914"/>
      <c r="M143" s="914"/>
      <c r="N143" s="914"/>
      <c r="O143" s="914"/>
      <c r="P143" s="914"/>
      <c r="Q143" s="914"/>
      <c r="R143" s="914"/>
      <c r="S143" s="914"/>
      <c r="T143" s="914"/>
      <c r="U143" s="914"/>
      <c r="V143" s="914"/>
      <c r="W143" s="914"/>
      <c r="X143" s="914"/>
      <c r="Y143" s="914"/>
      <c r="Z143" s="914"/>
      <c r="AA143" s="914"/>
      <c r="AB143" s="914"/>
      <c r="AC143" s="914"/>
      <c r="AD143" s="914"/>
      <c r="AE143" s="914"/>
      <c r="AF143" s="914"/>
      <c r="AG143" s="914"/>
      <c r="AH143" s="914"/>
      <c r="AI143" s="914"/>
      <c r="AJ143" s="914"/>
      <c r="AK143" s="914"/>
      <c r="AL143" s="914"/>
      <c r="AM143" s="914"/>
      <c r="AN143" s="914"/>
      <c r="AO143" s="914"/>
      <c r="AP143" s="914"/>
      <c r="AQ143" s="914"/>
      <c r="AR143" s="914"/>
      <c r="AS143" s="914"/>
      <c r="AT143" s="914"/>
      <c r="AU143" s="914"/>
      <c r="AV143" s="914"/>
      <c r="AW143" s="914"/>
      <c r="AX143" s="914"/>
      <c r="AY143" s="914"/>
      <c r="AZ143" s="914"/>
      <c r="BA143" s="914"/>
      <c r="BB143" s="914"/>
      <c r="BC143" s="914"/>
      <c r="BD143" s="914"/>
      <c r="BE143" s="914"/>
      <c r="BF143" s="914"/>
      <c r="BG143" s="914"/>
      <c r="BH143" s="914"/>
      <c r="BI143" s="914"/>
      <c r="BJ143" s="914"/>
      <c r="BK143" s="914"/>
      <c r="BL143" s="914"/>
      <c r="BM143" s="914"/>
      <c r="BN143" s="914"/>
      <c r="BO143" s="914"/>
      <c r="BP143" s="914"/>
      <c r="BQ143" s="914"/>
      <c r="BR143" s="914"/>
      <c r="BS143" s="914"/>
      <c r="BT143" s="914"/>
      <c r="BU143" s="914"/>
      <c r="BV143" s="914"/>
      <c r="BW143" s="914"/>
      <c r="BX143" s="914"/>
      <c r="BY143" s="914"/>
      <c r="BZ143" s="914"/>
      <c r="CA143" s="914"/>
      <c r="CB143" s="914"/>
      <c r="CC143" s="914"/>
      <c r="CD143" s="914"/>
      <c r="CE143" s="914"/>
      <c r="CF143" s="914"/>
      <c r="CG143" s="914"/>
      <c r="CH143" s="914"/>
      <c r="CI143" s="914"/>
      <c r="CJ143" s="914"/>
      <c r="CK143" s="914"/>
      <c r="CL143" s="914"/>
      <c r="CM143" s="914"/>
      <c r="CN143" s="914"/>
      <c r="CO143" s="914"/>
      <c r="CP143" s="914"/>
      <c r="CQ143" s="914"/>
      <c r="CR143" s="914"/>
      <c r="CS143" s="914"/>
      <c r="CT143" s="914"/>
      <c r="CU143" s="914"/>
      <c r="CV143" s="914"/>
      <c r="CW143" s="914"/>
      <c r="CX143" s="914"/>
      <c r="CY143" s="914"/>
      <c r="CZ143" s="914"/>
      <c r="DA143" s="914"/>
      <c r="DB143" s="914"/>
      <c r="DC143" s="914"/>
      <c r="DD143" s="914"/>
      <c r="DE143" s="914"/>
      <c r="DF143" s="914"/>
      <c r="DG143" s="914"/>
      <c r="DH143" s="914"/>
      <c r="DI143" s="914"/>
      <c r="DJ143" s="914"/>
      <c r="DK143" s="914"/>
      <c r="DL143" s="914"/>
      <c r="DM143" s="914"/>
      <c r="DN143" s="914"/>
      <c r="DO143" s="914"/>
      <c r="DP143" s="914"/>
      <c r="DQ143" s="914"/>
      <c r="DR143" s="914"/>
      <c r="DS143" s="914"/>
      <c r="DT143" s="914"/>
      <c r="DU143" s="914"/>
      <c r="DV143" s="914"/>
      <c r="DW143" s="914"/>
      <c r="DX143" s="914"/>
      <c r="DY143" s="914"/>
      <c r="DZ143" s="914"/>
      <c r="EA143" s="914"/>
      <c r="EB143" s="914"/>
      <c r="EC143" s="914"/>
      <c r="ED143" s="1327"/>
      <c r="EE143" s="914"/>
      <c r="EF143" s="914"/>
      <c r="EG143" s="914"/>
      <c r="EH143" s="914"/>
      <c r="EI143" s="914"/>
      <c r="EJ143" s="914"/>
      <c r="EK143" s="914"/>
      <c r="EL143" s="914"/>
      <c r="EM143" s="914"/>
      <c r="EN143" s="914"/>
      <c r="EO143" s="914"/>
      <c r="EP143" s="914"/>
      <c r="EQ143" s="914"/>
    </row>
    <row r="145" spans="3:147" ht="11.25" customHeight="1">
      <c r="C145" s="155" t="s">
        <v>227</v>
      </c>
      <c r="D145" s="155"/>
      <c r="E145" s="155"/>
      <c r="F145" s="155"/>
      <c r="G145" s="155"/>
      <c r="H145" s="191"/>
      <c r="I145" s="192"/>
      <c r="J145" s="156"/>
      <c r="L145" s="157">
        <f>L$97</f>
        <v>46326</v>
      </c>
      <c r="M145" s="157">
        <f t="shared" ref="M145:BX145" si="348">M$97</f>
        <v>46356</v>
      </c>
      <c r="N145" s="157">
        <f t="shared" si="348"/>
        <v>46387</v>
      </c>
      <c r="O145" s="157">
        <f t="shared" si="348"/>
        <v>46418</v>
      </c>
      <c r="P145" s="157">
        <f t="shared" si="348"/>
        <v>46446</v>
      </c>
      <c r="Q145" s="157">
        <f t="shared" si="348"/>
        <v>46477</v>
      </c>
      <c r="R145" s="157">
        <f t="shared" si="348"/>
        <v>46507</v>
      </c>
      <c r="S145" s="157">
        <f t="shared" si="348"/>
        <v>46538</v>
      </c>
      <c r="T145" s="157">
        <f t="shared" si="348"/>
        <v>46568</v>
      </c>
      <c r="U145" s="157">
        <f t="shared" si="348"/>
        <v>46599</v>
      </c>
      <c r="V145" s="157">
        <f t="shared" si="348"/>
        <v>46630</v>
      </c>
      <c r="W145" s="157">
        <f t="shared" si="348"/>
        <v>46660</v>
      </c>
      <c r="X145" s="157">
        <f t="shared" si="348"/>
        <v>46691</v>
      </c>
      <c r="Y145" s="157">
        <f t="shared" si="348"/>
        <v>46721</v>
      </c>
      <c r="Z145" s="157">
        <f t="shared" si="348"/>
        <v>46752</v>
      </c>
      <c r="AA145" s="157">
        <f t="shared" si="348"/>
        <v>46783</v>
      </c>
      <c r="AB145" s="157">
        <f t="shared" si="348"/>
        <v>46812</v>
      </c>
      <c r="AC145" s="157">
        <f t="shared" si="348"/>
        <v>46843</v>
      </c>
      <c r="AD145" s="157">
        <f t="shared" si="348"/>
        <v>46873</v>
      </c>
      <c r="AE145" s="157">
        <f t="shared" si="348"/>
        <v>46904</v>
      </c>
      <c r="AF145" s="157">
        <f t="shared" si="348"/>
        <v>46934</v>
      </c>
      <c r="AG145" s="157">
        <f t="shared" si="348"/>
        <v>46965</v>
      </c>
      <c r="AH145" s="157">
        <f t="shared" si="348"/>
        <v>46996</v>
      </c>
      <c r="AI145" s="157">
        <f t="shared" si="348"/>
        <v>47026</v>
      </c>
      <c r="AJ145" s="157">
        <f t="shared" si="348"/>
        <v>47057</v>
      </c>
      <c r="AK145" s="157">
        <f t="shared" si="348"/>
        <v>47087</v>
      </c>
      <c r="AL145" s="157">
        <f t="shared" si="348"/>
        <v>47118</v>
      </c>
      <c r="AM145" s="157">
        <f t="shared" si="348"/>
        <v>47149</v>
      </c>
      <c r="AN145" s="157">
        <f t="shared" si="348"/>
        <v>47177</v>
      </c>
      <c r="AO145" s="157">
        <f t="shared" si="348"/>
        <v>47208</v>
      </c>
      <c r="AP145" s="157">
        <f t="shared" si="348"/>
        <v>47238</v>
      </c>
      <c r="AQ145" s="157">
        <f t="shared" si="348"/>
        <v>47269</v>
      </c>
      <c r="AR145" s="157">
        <f t="shared" si="348"/>
        <v>47299</v>
      </c>
      <c r="AS145" s="157">
        <f t="shared" si="348"/>
        <v>47330</v>
      </c>
      <c r="AT145" s="157">
        <f t="shared" si="348"/>
        <v>47361</v>
      </c>
      <c r="AU145" s="157">
        <f t="shared" si="348"/>
        <v>47391</v>
      </c>
      <c r="AV145" s="157">
        <f t="shared" si="348"/>
        <v>47422</v>
      </c>
      <c r="AW145" s="157">
        <f t="shared" si="348"/>
        <v>47452</v>
      </c>
      <c r="AX145" s="157">
        <f t="shared" si="348"/>
        <v>47483</v>
      </c>
      <c r="AY145" s="157">
        <f t="shared" si="348"/>
        <v>47514</v>
      </c>
      <c r="AZ145" s="157">
        <f t="shared" si="348"/>
        <v>47542</v>
      </c>
      <c r="BA145" s="157">
        <f t="shared" si="348"/>
        <v>47573</v>
      </c>
      <c r="BB145" s="157">
        <f t="shared" si="348"/>
        <v>47603</v>
      </c>
      <c r="BC145" s="157">
        <f t="shared" si="348"/>
        <v>47634</v>
      </c>
      <c r="BD145" s="157">
        <f t="shared" si="348"/>
        <v>47664</v>
      </c>
      <c r="BE145" s="157">
        <f t="shared" si="348"/>
        <v>47695</v>
      </c>
      <c r="BF145" s="157">
        <f t="shared" si="348"/>
        <v>47726</v>
      </c>
      <c r="BG145" s="157">
        <f t="shared" si="348"/>
        <v>47756</v>
      </c>
      <c r="BH145" s="157">
        <f t="shared" si="348"/>
        <v>47787</v>
      </c>
      <c r="BI145" s="157">
        <f t="shared" si="348"/>
        <v>47817</v>
      </c>
      <c r="BJ145" s="157">
        <f t="shared" si="348"/>
        <v>47848</v>
      </c>
      <c r="BK145" s="157">
        <f t="shared" si="348"/>
        <v>47879</v>
      </c>
      <c r="BL145" s="157">
        <f t="shared" si="348"/>
        <v>47907</v>
      </c>
      <c r="BM145" s="157">
        <f t="shared" si="348"/>
        <v>47938</v>
      </c>
      <c r="BN145" s="157">
        <f t="shared" si="348"/>
        <v>47968</v>
      </c>
      <c r="BO145" s="157">
        <f t="shared" si="348"/>
        <v>47999</v>
      </c>
      <c r="BP145" s="157">
        <f t="shared" si="348"/>
        <v>48029</v>
      </c>
      <c r="BQ145" s="157">
        <f t="shared" si="348"/>
        <v>48060</v>
      </c>
      <c r="BR145" s="157">
        <f t="shared" si="348"/>
        <v>48091</v>
      </c>
      <c r="BS145" s="157">
        <f t="shared" si="348"/>
        <v>48121</v>
      </c>
      <c r="BT145" s="157">
        <f t="shared" si="348"/>
        <v>48152</v>
      </c>
      <c r="BU145" s="157">
        <f t="shared" si="348"/>
        <v>48182</v>
      </c>
      <c r="BV145" s="157">
        <f t="shared" si="348"/>
        <v>48213</v>
      </c>
      <c r="BW145" s="157">
        <f t="shared" si="348"/>
        <v>48244</v>
      </c>
      <c r="BX145" s="157">
        <f t="shared" si="348"/>
        <v>48273</v>
      </c>
      <c r="BY145" s="157">
        <f t="shared" ref="BY145:EQ145" si="349">BY$97</f>
        <v>48304</v>
      </c>
      <c r="BZ145" s="157">
        <f t="shared" si="349"/>
        <v>48334</v>
      </c>
      <c r="CA145" s="157">
        <f t="shared" si="349"/>
        <v>48365</v>
      </c>
      <c r="CB145" s="157">
        <f t="shared" si="349"/>
        <v>48395</v>
      </c>
      <c r="CC145" s="157">
        <f t="shared" si="349"/>
        <v>48426</v>
      </c>
      <c r="CD145" s="157">
        <f t="shared" si="349"/>
        <v>48457</v>
      </c>
      <c r="CE145" s="157">
        <f t="shared" si="349"/>
        <v>48487</v>
      </c>
      <c r="CF145" s="157">
        <f t="shared" si="349"/>
        <v>48518</v>
      </c>
      <c r="CG145" s="157">
        <f t="shared" si="349"/>
        <v>48548</v>
      </c>
      <c r="CH145" s="157">
        <f t="shared" si="349"/>
        <v>48579</v>
      </c>
      <c r="CI145" s="157">
        <f t="shared" si="349"/>
        <v>48610</v>
      </c>
      <c r="CJ145" s="157">
        <f t="shared" si="349"/>
        <v>48638</v>
      </c>
      <c r="CK145" s="157">
        <f t="shared" si="349"/>
        <v>48669</v>
      </c>
      <c r="CL145" s="157">
        <f t="shared" si="349"/>
        <v>48699</v>
      </c>
      <c r="CM145" s="157">
        <f t="shared" si="349"/>
        <v>48730</v>
      </c>
      <c r="CN145" s="157">
        <f t="shared" si="349"/>
        <v>48760</v>
      </c>
      <c r="CO145" s="157">
        <f t="shared" si="349"/>
        <v>48791</v>
      </c>
      <c r="CP145" s="157">
        <f t="shared" si="349"/>
        <v>48822</v>
      </c>
      <c r="CQ145" s="157">
        <f t="shared" si="349"/>
        <v>48852</v>
      </c>
      <c r="CR145" s="157">
        <f t="shared" si="349"/>
        <v>48883</v>
      </c>
      <c r="CS145" s="157">
        <f t="shared" si="349"/>
        <v>48913</v>
      </c>
      <c r="CT145" s="157">
        <f t="shared" si="349"/>
        <v>48944</v>
      </c>
      <c r="CU145" s="157">
        <f t="shared" si="349"/>
        <v>48975</v>
      </c>
      <c r="CV145" s="157">
        <f t="shared" si="349"/>
        <v>49003</v>
      </c>
      <c r="CW145" s="157">
        <f t="shared" si="349"/>
        <v>49034</v>
      </c>
      <c r="CX145" s="157">
        <f t="shared" si="349"/>
        <v>49064</v>
      </c>
      <c r="CY145" s="157">
        <f t="shared" si="349"/>
        <v>49095</v>
      </c>
      <c r="CZ145" s="157">
        <f t="shared" si="349"/>
        <v>49125</v>
      </c>
      <c r="DA145" s="157">
        <f t="shared" si="349"/>
        <v>49156</v>
      </c>
      <c r="DB145" s="157">
        <f t="shared" si="349"/>
        <v>49187</v>
      </c>
      <c r="DC145" s="157">
        <f t="shared" si="349"/>
        <v>49217</v>
      </c>
      <c r="DD145" s="157">
        <f t="shared" si="349"/>
        <v>49248</v>
      </c>
      <c r="DE145" s="157">
        <f t="shared" si="349"/>
        <v>49278</v>
      </c>
      <c r="DF145" s="157">
        <f t="shared" si="349"/>
        <v>49309</v>
      </c>
      <c r="DG145" s="157">
        <f t="shared" si="349"/>
        <v>49340</v>
      </c>
      <c r="DH145" s="157">
        <f t="shared" si="349"/>
        <v>49368</v>
      </c>
      <c r="DI145" s="157">
        <f t="shared" si="349"/>
        <v>49399</v>
      </c>
      <c r="DJ145" s="157">
        <f t="shared" si="349"/>
        <v>49429</v>
      </c>
      <c r="DK145" s="157">
        <f t="shared" si="349"/>
        <v>49460</v>
      </c>
      <c r="DL145" s="157">
        <f t="shared" si="349"/>
        <v>49490</v>
      </c>
      <c r="DM145" s="157">
        <f t="shared" si="349"/>
        <v>49521</v>
      </c>
      <c r="DN145" s="157">
        <f t="shared" si="349"/>
        <v>49552</v>
      </c>
      <c r="DO145" s="157">
        <f t="shared" si="349"/>
        <v>49582</v>
      </c>
      <c r="DP145" s="157">
        <f t="shared" si="349"/>
        <v>49613</v>
      </c>
      <c r="DQ145" s="157">
        <f t="shared" si="349"/>
        <v>49643</v>
      </c>
      <c r="DR145" s="157">
        <f t="shared" si="349"/>
        <v>49674</v>
      </c>
      <c r="DS145" s="157">
        <f t="shared" si="349"/>
        <v>49705</v>
      </c>
      <c r="DT145" s="157">
        <f t="shared" si="349"/>
        <v>49734</v>
      </c>
      <c r="DU145" s="157">
        <f t="shared" si="349"/>
        <v>49765</v>
      </c>
      <c r="DV145" s="157">
        <f t="shared" si="349"/>
        <v>49795</v>
      </c>
      <c r="DW145" s="157">
        <f t="shared" si="349"/>
        <v>49826</v>
      </c>
      <c r="DX145" s="157">
        <f t="shared" si="349"/>
        <v>49856</v>
      </c>
      <c r="DY145" s="157">
        <f t="shared" si="349"/>
        <v>49887</v>
      </c>
      <c r="DZ145" s="157">
        <f t="shared" si="349"/>
        <v>49918</v>
      </c>
      <c r="EA145" s="157">
        <f t="shared" si="349"/>
        <v>49948</v>
      </c>
      <c r="EB145" s="157">
        <f t="shared" si="349"/>
        <v>49979</v>
      </c>
      <c r="EC145" s="157">
        <f t="shared" si="349"/>
        <v>50009</v>
      </c>
      <c r="ED145" s="1318">
        <f t="shared" si="349"/>
        <v>50040</v>
      </c>
      <c r="EE145" s="157">
        <f t="shared" si="349"/>
        <v>50071</v>
      </c>
      <c r="EF145" s="157">
        <f t="shared" si="349"/>
        <v>50099</v>
      </c>
      <c r="EG145" s="157">
        <f t="shared" si="349"/>
        <v>50130</v>
      </c>
      <c r="EH145" s="157">
        <f t="shared" si="349"/>
        <v>50160</v>
      </c>
      <c r="EI145" s="157">
        <f t="shared" si="349"/>
        <v>50191</v>
      </c>
      <c r="EJ145" s="157">
        <f t="shared" si="349"/>
        <v>50221</v>
      </c>
      <c r="EK145" s="157">
        <f t="shared" si="349"/>
        <v>50252</v>
      </c>
      <c r="EL145" s="157">
        <f t="shared" si="349"/>
        <v>50283</v>
      </c>
      <c r="EM145" s="157">
        <f t="shared" si="349"/>
        <v>50313</v>
      </c>
      <c r="EN145" s="157">
        <f t="shared" si="349"/>
        <v>50344</v>
      </c>
      <c r="EO145" s="157">
        <f t="shared" si="349"/>
        <v>50374</v>
      </c>
      <c r="EP145" s="157">
        <f t="shared" si="349"/>
        <v>50405</v>
      </c>
      <c r="EQ145" s="157">
        <f t="shared" si="349"/>
        <v>50436</v>
      </c>
    </row>
    <row r="146" spans="3:147" ht="11.25" customHeight="1">
      <c r="C146" s="158" t="s">
        <v>228</v>
      </c>
      <c r="D146" s="159"/>
      <c r="E146" s="159"/>
      <c r="F146" s="159"/>
      <c r="G146" s="159"/>
      <c r="H146" s="160"/>
      <c r="I146" s="219"/>
      <c r="J146" s="161"/>
      <c r="K146" s="98"/>
      <c r="L146" s="162"/>
      <c r="M146" s="162"/>
      <c r="N146" s="162"/>
      <c r="O146" s="162"/>
      <c r="P146" s="162"/>
      <c r="Q146" s="162"/>
      <c r="R146" s="162"/>
      <c r="S146" s="162"/>
      <c r="T146" s="162"/>
      <c r="U146" s="162"/>
      <c r="V146" s="162"/>
      <c r="W146" s="162"/>
      <c r="X146" s="162"/>
      <c r="Y146" s="162"/>
      <c r="Z146" s="162"/>
      <c r="AA146" s="162"/>
      <c r="AB146" s="162"/>
      <c r="AC146" s="162"/>
      <c r="AD146" s="162"/>
      <c r="AE146" s="162"/>
      <c r="AF146" s="162"/>
      <c r="AG146" s="162"/>
      <c r="AH146" s="162"/>
      <c r="AI146" s="162"/>
      <c r="AJ146" s="162"/>
      <c r="AK146" s="162"/>
      <c r="AL146" s="162"/>
      <c r="AM146" s="162"/>
      <c r="AN146" s="162"/>
      <c r="AO146" s="162"/>
      <c r="AP146" s="162"/>
      <c r="AQ146" s="162"/>
      <c r="AR146" s="162"/>
      <c r="AS146" s="162"/>
      <c r="AT146" s="162"/>
      <c r="AU146" s="162"/>
      <c r="AV146" s="162"/>
      <c r="AW146" s="162"/>
      <c r="AX146" s="162"/>
      <c r="AY146" s="162"/>
      <c r="AZ146" s="162"/>
      <c r="BA146" s="162"/>
      <c r="BB146" s="162"/>
      <c r="BC146" s="162"/>
      <c r="BD146" s="162"/>
      <c r="BE146" s="162"/>
      <c r="BF146" s="162"/>
      <c r="BG146" s="162"/>
      <c r="BH146" s="162"/>
      <c r="BI146" s="162"/>
      <c r="BJ146" s="162"/>
      <c r="BK146" s="162"/>
      <c r="BL146" s="162"/>
      <c r="BM146" s="162"/>
      <c r="BN146" s="162"/>
      <c r="BO146" s="162"/>
      <c r="BP146" s="162"/>
      <c r="BQ146" s="162"/>
      <c r="BR146" s="162"/>
      <c r="BS146" s="162"/>
      <c r="BT146" s="162"/>
      <c r="BU146" s="162"/>
      <c r="BV146" s="162"/>
      <c r="BW146" s="162"/>
      <c r="BX146" s="162"/>
      <c r="BY146" s="162"/>
      <c r="BZ146" s="162"/>
      <c r="CA146" s="162"/>
      <c r="CB146" s="162"/>
      <c r="CC146" s="162"/>
      <c r="CD146" s="162"/>
      <c r="CE146" s="162"/>
      <c r="CF146" s="162"/>
      <c r="CG146" s="162"/>
      <c r="CH146" s="162"/>
      <c r="CI146" s="162"/>
      <c r="CJ146" s="162"/>
      <c r="CK146" s="162"/>
      <c r="CL146" s="162"/>
      <c r="CM146" s="162"/>
      <c r="CN146" s="162"/>
      <c r="CO146" s="162"/>
      <c r="CP146" s="162"/>
      <c r="CQ146" s="162"/>
      <c r="CR146" s="162"/>
      <c r="CS146" s="162"/>
      <c r="CT146" s="162"/>
      <c r="CU146" s="162"/>
      <c r="CV146" s="162"/>
      <c r="CW146" s="162"/>
      <c r="CX146" s="162"/>
      <c r="CY146" s="162"/>
      <c r="CZ146" s="162"/>
      <c r="DA146" s="162"/>
      <c r="DB146" s="162"/>
      <c r="DC146" s="162"/>
      <c r="DD146" s="162"/>
      <c r="DE146" s="162"/>
      <c r="DF146" s="162"/>
      <c r="DG146" s="162"/>
      <c r="DH146" s="162"/>
      <c r="DI146" s="162"/>
      <c r="DJ146" s="162"/>
      <c r="DK146" s="162"/>
      <c r="DL146" s="162"/>
      <c r="DM146" s="162"/>
      <c r="DN146" s="162"/>
      <c r="DO146" s="162"/>
      <c r="DP146" s="162"/>
      <c r="DQ146" s="162"/>
      <c r="DR146" s="162"/>
      <c r="DS146" s="162"/>
      <c r="DT146" s="162"/>
      <c r="DU146" s="162"/>
      <c r="DV146" s="162"/>
      <c r="DW146" s="162"/>
      <c r="DX146" s="162"/>
      <c r="DY146" s="162"/>
      <c r="DZ146" s="162"/>
      <c r="EA146" s="162"/>
      <c r="EB146" s="162"/>
      <c r="EC146" s="162"/>
      <c r="ED146" s="1319"/>
      <c r="EE146" s="162"/>
      <c r="EF146" s="162"/>
      <c r="EG146" s="162"/>
      <c r="EH146" s="162"/>
      <c r="EI146" s="162"/>
      <c r="EJ146" s="162"/>
      <c r="EK146" s="162"/>
      <c r="EL146" s="162"/>
      <c r="EM146" s="162"/>
      <c r="EN146" s="162"/>
      <c r="EO146" s="162"/>
      <c r="EP146" s="162"/>
      <c r="EQ146" s="162"/>
    </row>
    <row r="147" spans="3:147" ht="11.25" customHeight="1">
      <c r="C147" s="163"/>
      <c r="D147" s="164" t="s">
        <v>217</v>
      </c>
      <c r="E147" s="165"/>
      <c r="F147" s="165"/>
      <c r="G147" s="165"/>
      <c r="H147" s="166"/>
      <c r="I147" s="221"/>
      <c r="J147" s="167"/>
      <c r="K147" s="98"/>
      <c r="L147" s="168">
        <f>K150</f>
        <v>0</v>
      </c>
      <c r="M147" s="168">
        <f t="shared" ref="M147:BX147" si="350">L150</f>
        <v>0</v>
      </c>
      <c r="N147" s="168">
        <f t="shared" si="350"/>
        <v>128344.51703937497</v>
      </c>
      <c r="O147" s="168">
        <f t="shared" si="350"/>
        <v>256524.22113187495</v>
      </c>
      <c r="P147" s="168">
        <f t="shared" si="350"/>
        <v>0</v>
      </c>
      <c r="Q147" s="168">
        <f t="shared" si="350"/>
        <v>118662.97718648436</v>
      </c>
      <c r="R147" s="168">
        <f t="shared" si="350"/>
        <v>244213.55769796873</v>
      </c>
      <c r="S147" s="168">
        <f t="shared" si="350"/>
        <v>0</v>
      </c>
      <c r="T147" s="168">
        <f t="shared" si="350"/>
        <v>115963.27627785938</v>
      </c>
      <c r="U147" s="168">
        <f t="shared" si="350"/>
        <v>249123.37166821875</v>
      </c>
      <c r="V147" s="168">
        <f t="shared" si="350"/>
        <v>0</v>
      </c>
      <c r="W147" s="168">
        <f t="shared" si="350"/>
        <v>133269.08722785939</v>
      </c>
      <c r="X147" s="168">
        <f t="shared" si="350"/>
        <v>266538.17445571878</v>
      </c>
      <c r="Y147" s="168">
        <f t="shared" si="350"/>
        <v>0</v>
      </c>
      <c r="Z147" s="168">
        <f t="shared" si="350"/>
        <v>131269.00716535936</v>
      </c>
      <c r="AA147" s="168">
        <f t="shared" si="350"/>
        <v>262369.08106017183</v>
      </c>
      <c r="AB147" s="168">
        <f t="shared" si="350"/>
        <v>0</v>
      </c>
      <c r="AC147" s="168">
        <f t="shared" si="350"/>
        <v>121345.42881614651</v>
      </c>
      <c r="AD147" s="168">
        <f t="shared" si="350"/>
        <v>249750.65104041802</v>
      </c>
      <c r="AE147" s="168">
        <f t="shared" si="350"/>
        <v>0</v>
      </c>
      <c r="AF147" s="168">
        <f t="shared" si="350"/>
        <v>118578.23538480586</v>
      </c>
      <c r="AG147" s="168">
        <f t="shared" si="350"/>
        <v>254783.21035992421</v>
      </c>
      <c r="AH147" s="168">
        <f t="shared" si="350"/>
        <v>0</v>
      </c>
      <c r="AI147" s="168">
        <f t="shared" si="350"/>
        <v>136316.69160855585</v>
      </c>
      <c r="AJ147" s="168">
        <f t="shared" si="350"/>
        <v>272633.3832171117</v>
      </c>
      <c r="AK147" s="168">
        <f t="shared" si="350"/>
        <v>0</v>
      </c>
      <c r="AL147" s="168">
        <f t="shared" si="350"/>
        <v>136331.56885574336</v>
      </c>
      <c r="AM147" s="168">
        <f t="shared" si="350"/>
        <v>270425.02179792617</v>
      </c>
      <c r="AN147" s="168">
        <f t="shared" si="350"/>
        <v>0</v>
      </c>
      <c r="AO147" s="168">
        <f t="shared" si="350"/>
        <v>138569.63754395637</v>
      </c>
      <c r="AP147" s="168">
        <f t="shared" si="350"/>
        <v>269900.86752383463</v>
      </c>
      <c r="AQ147" s="168">
        <f t="shared" si="350"/>
        <v>0</v>
      </c>
      <c r="AR147" s="168">
        <f t="shared" si="350"/>
        <v>139440.4860987697</v>
      </c>
      <c r="AS147" s="168">
        <f t="shared" si="350"/>
        <v>172575.14079390399</v>
      </c>
      <c r="AT147" s="168">
        <f t="shared" si="350"/>
        <v>0</v>
      </c>
      <c r="AU147" s="168">
        <f t="shared" si="350"/>
        <v>36219.598748841563</v>
      </c>
      <c r="AV147" s="168">
        <f t="shared" si="350"/>
        <v>72439.197497683126</v>
      </c>
      <c r="AW147" s="168">
        <f t="shared" si="350"/>
        <v>0</v>
      </c>
      <c r="AX147" s="168">
        <f t="shared" si="350"/>
        <v>142426.16978157076</v>
      </c>
      <c r="AY147" s="168">
        <f t="shared" si="350"/>
        <v>285463.89675367699</v>
      </c>
      <c r="AZ147" s="168">
        <f t="shared" si="350"/>
        <v>0</v>
      </c>
      <c r="BA147" s="168">
        <f t="shared" si="350"/>
        <v>145378.8286417028</v>
      </c>
      <c r="BB147" s="168">
        <f t="shared" si="350"/>
        <v>283338.28953022556</v>
      </c>
      <c r="BC147" s="168">
        <f t="shared" si="350"/>
        <v>0</v>
      </c>
      <c r="BD147" s="168">
        <f t="shared" si="350"/>
        <v>146265.78724983023</v>
      </c>
      <c r="BE147" s="168">
        <f t="shared" si="350"/>
        <v>292531.57449966046</v>
      </c>
      <c r="BF147" s="168">
        <f t="shared" si="350"/>
        <v>0</v>
      </c>
      <c r="BG147" s="168">
        <f t="shared" si="350"/>
        <v>146607.77921244109</v>
      </c>
      <c r="BH147" s="168">
        <f t="shared" si="350"/>
        <v>293215.55842488218</v>
      </c>
      <c r="BI147" s="168">
        <f t="shared" si="350"/>
        <v>0</v>
      </c>
      <c r="BJ147" s="168">
        <f t="shared" si="350"/>
        <v>146623.40962026748</v>
      </c>
      <c r="BK147" s="168">
        <f t="shared" si="350"/>
        <v>293866.65807845362</v>
      </c>
      <c r="BL147" s="168">
        <f t="shared" si="350"/>
        <v>0</v>
      </c>
      <c r="BM147" s="168">
        <f t="shared" si="350"/>
        <v>148991.24649718913</v>
      </c>
      <c r="BN147" s="168">
        <f t="shared" si="350"/>
        <v>290377.64104736864</v>
      </c>
      <c r="BO147" s="168">
        <f t="shared" si="350"/>
        <v>0</v>
      </c>
      <c r="BP147" s="168">
        <f t="shared" si="350"/>
        <v>149906.04023107598</v>
      </c>
      <c r="BQ147" s="168">
        <f t="shared" si="350"/>
        <v>299812.08046215196</v>
      </c>
      <c r="BR147" s="168">
        <f t="shared" si="350"/>
        <v>0</v>
      </c>
      <c r="BS147" s="168">
        <f t="shared" si="350"/>
        <v>150256.58199275212</v>
      </c>
      <c r="BT147" s="168">
        <f t="shared" si="350"/>
        <v>300513.16398550424</v>
      </c>
      <c r="BU147" s="168">
        <f t="shared" si="350"/>
        <v>0</v>
      </c>
      <c r="BV147" s="168">
        <f t="shared" si="350"/>
        <v>150272.60316077413</v>
      </c>
      <c r="BW147" s="168">
        <f t="shared" si="350"/>
        <v>301180.54113041493</v>
      </c>
      <c r="BX147" s="168">
        <f t="shared" si="350"/>
        <v>0</v>
      </c>
      <c r="BY147" s="168">
        <f t="shared" ref="BY147:DT147" si="351">BX150</f>
        <v>152699.63595961881</v>
      </c>
      <c r="BZ147" s="168">
        <f t="shared" si="351"/>
        <v>297604.29867355281</v>
      </c>
      <c r="CA147" s="168">
        <f t="shared" si="351"/>
        <v>0</v>
      </c>
      <c r="CB147" s="168">
        <f t="shared" si="351"/>
        <v>153637.29953685289</v>
      </c>
      <c r="CC147" s="168">
        <f t="shared" si="351"/>
        <v>307274.59907370579</v>
      </c>
      <c r="CD147" s="168">
        <f t="shared" si="351"/>
        <v>0</v>
      </c>
      <c r="CE147" s="168">
        <f t="shared" si="351"/>
        <v>153996.60484257093</v>
      </c>
      <c r="CF147" s="168">
        <f t="shared" si="351"/>
        <v>307993.20968514186</v>
      </c>
      <c r="CG147" s="168">
        <f t="shared" si="351"/>
        <v>0</v>
      </c>
      <c r="CH147" s="168">
        <f t="shared" si="351"/>
        <v>154013.0265397935</v>
      </c>
      <c r="CI147" s="168">
        <f t="shared" si="351"/>
        <v>308677.27125867526</v>
      </c>
      <c r="CJ147" s="168">
        <f t="shared" si="351"/>
        <v>0</v>
      </c>
      <c r="CK147" s="168">
        <f t="shared" si="351"/>
        <v>156500.73515860931</v>
      </c>
      <c r="CL147" s="168">
        <f t="shared" si="351"/>
        <v>305011.6227403917</v>
      </c>
      <c r="CM147" s="168">
        <f t="shared" si="351"/>
        <v>0</v>
      </c>
      <c r="CN147" s="168">
        <f t="shared" si="351"/>
        <v>157461.84032527421</v>
      </c>
      <c r="CO147" s="168">
        <f t="shared" si="351"/>
        <v>314923.68065054843</v>
      </c>
      <c r="CP147" s="168">
        <f t="shared" si="351"/>
        <v>0</v>
      </c>
      <c r="CQ147" s="168">
        <f t="shared" si="351"/>
        <v>157830.12826363521</v>
      </c>
      <c r="CR147" s="168">
        <f t="shared" si="351"/>
        <v>315660.25652727042</v>
      </c>
      <c r="CS147" s="168">
        <f t="shared" si="351"/>
        <v>0</v>
      </c>
      <c r="CT147" s="168">
        <f t="shared" si="351"/>
        <v>157846.96050328831</v>
      </c>
      <c r="CU147" s="168">
        <f t="shared" si="351"/>
        <v>316361.41964014212</v>
      </c>
      <c r="CV147" s="168">
        <f t="shared" si="351"/>
        <v>0</v>
      </c>
      <c r="CW147" s="168">
        <f t="shared" si="351"/>
        <v>160396.86183757451</v>
      </c>
      <c r="CX147" s="168">
        <f t="shared" si="351"/>
        <v>312604.12990890141</v>
      </c>
      <c r="CY147" s="168">
        <f t="shared" si="351"/>
        <v>0</v>
      </c>
      <c r="CZ147" s="168">
        <f t="shared" si="351"/>
        <v>157699.49541265349</v>
      </c>
      <c r="DA147" s="168">
        <f t="shared" si="351"/>
        <v>315398.99082530697</v>
      </c>
      <c r="DB147" s="168">
        <f t="shared" si="351"/>
        <v>0</v>
      </c>
      <c r="DC147" s="168">
        <f t="shared" si="351"/>
        <v>158076.99054947344</v>
      </c>
      <c r="DD147" s="168">
        <f t="shared" si="351"/>
        <v>316153.98109894688</v>
      </c>
      <c r="DE147" s="168">
        <f t="shared" si="351"/>
        <v>0</v>
      </c>
      <c r="DF147" s="168">
        <f t="shared" si="351"/>
        <v>158102.59088233087</v>
      </c>
      <c r="DG147" s="168">
        <f t="shared" si="351"/>
        <v>316870.15517882409</v>
      </c>
      <c r="DH147" s="168">
        <f t="shared" si="351"/>
        <v>0</v>
      </c>
      <c r="DI147" s="168">
        <f t="shared" si="351"/>
        <v>160686.48843861304</v>
      </c>
      <c r="DJ147" s="168">
        <f t="shared" si="351"/>
        <v>321372.97687722609</v>
      </c>
      <c r="DK147" s="168">
        <f t="shared" si="351"/>
        <v>0</v>
      </c>
      <c r="DL147" s="168">
        <f t="shared" si="351"/>
        <v>161674.65752064821</v>
      </c>
      <c r="DM147" s="168">
        <f t="shared" si="351"/>
        <v>323349.31504129642</v>
      </c>
      <c r="DN147" s="168">
        <f t="shared" si="351"/>
        <v>0</v>
      </c>
      <c r="DO147" s="168">
        <f t="shared" si="351"/>
        <v>162061.59003588869</v>
      </c>
      <c r="DP147" s="168">
        <f t="shared" si="351"/>
        <v>324123.18007177737</v>
      </c>
      <c r="DQ147" s="168">
        <f t="shared" si="351"/>
        <v>0</v>
      </c>
      <c r="DR147" s="168">
        <f t="shared" si="351"/>
        <v>162087.8303770675</v>
      </c>
      <c r="DS147" s="168">
        <f t="shared" si="351"/>
        <v>324857.25850365142</v>
      </c>
      <c r="DT147" s="168">
        <f t="shared" si="351"/>
        <v>0</v>
      </c>
      <c r="DU147" s="168">
        <f t="shared" ref="DU147:EQ147" si="352">DT150</f>
        <v>164687.25894957836</v>
      </c>
      <c r="DV147" s="168">
        <f t="shared" si="352"/>
        <v>329374.51789915672</v>
      </c>
      <c r="DW147" s="168">
        <f t="shared" si="352"/>
        <v>0</v>
      </c>
      <c r="DX147" s="168">
        <f t="shared" si="352"/>
        <v>165700.13225866435</v>
      </c>
      <c r="DY147" s="168">
        <f t="shared" si="352"/>
        <v>331400.2645173287</v>
      </c>
      <c r="DZ147" s="168">
        <f t="shared" si="352"/>
        <v>0</v>
      </c>
      <c r="EA147" s="168">
        <f t="shared" si="352"/>
        <v>166096.73808678589</v>
      </c>
      <c r="EB147" s="168">
        <f t="shared" si="352"/>
        <v>332193.47617357178</v>
      </c>
      <c r="EC147" s="168">
        <f t="shared" si="352"/>
        <v>0</v>
      </c>
      <c r="ED147" s="1320">
        <f t="shared" si="352"/>
        <v>0</v>
      </c>
      <c r="EE147" s="168">
        <f t="shared" si="352"/>
        <v>0</v>
      </c>
      <c r="EF147" s="168">
        <f t="shared" si="352"/>
        <v>0</v>
      </c>
      <c r="EG147" s="168">
        <f t="shared" si="352"/>
        <v>0</v>
      </c>
      <c r="EH147" s="168">
        <f t="shared" si="352"/>
        <v>0</v>
      </c>
      <c r="EI147" s="168">
        <f t="shared" si="352"/>
        <v>0</v>
      </c>
      <c r="EJ147" s="168">
        <f t="shared" si="352"/>
        <v>0</v>
      </c>
      <c r="EK147" s="168">
        <f t="shared" si="352"/>
        <v>0</v>
      </c>
      <c r="EL147" s="168">
        <f t="shared" si="352"/>
        <v>0</v>
      </c>
      <c r="EM147" s="168">
        <f t="shared" si="352"/>
        <v>0</v>
      </c>
      <c r="EN147" s="168">
        <f t="shared" si="352"/>
        <v>0</v>
      </c>
      <c r="EO147" s="168">
        <f t="shared" si="352"/>
        <v>0</v>
      </c>
      <c r="EP147" s="168">
        <f t="shared" si="352"/>
        <v>0</v>
      </c>
      <c r="EQ147" s="168">
        <f t="shared" si="352"/>
        <v>0</v>
      </c>
    </row>
    <row r="148" spans="3:147" ht="11.25" customHeight="1">
      <c r="C148" s="163"/>
      <c r="D148" s="169" t="s">
        <v>218</v>
      </c>
      <c r="I148" s="90"/>
      <c r="J148" s="170">
        <f>SUM(L148:EQ148)</f>
        <v>17198218.278469637</v>
      </c>
      <c r="K148" s="98"/>
      <c r="L148" s="171">
        <f>SUM('NOI(M)'!M16:M18)*10%</f>
        <v>0</v>
      </c>
      <c r="M148" s="171">
        <f>SUM('NOI(M)'!N16:N18)*10%</f>
        <v>128344.51703937497</v>
      </c>
      <c r="N148" s="171">
        <f>SUM('NOI(M)'!O16:O18)*10%</f>
        <v>128179.70409249999</v>
      </c>
      <c r="O148" s="171">
        <f>SUM('NOI(M)'!P16:P18)*10%</f>
        <v>109108.70302500001</v>
      </c>
      <c r="P148" s="171">
        <f>SUM('NOI(M)'!Q16:Q18)*10%</f>
        <v>118662.97718648436</v>
      </c>
      <c r="Q148" s="171">
        <f>SUM('NOI(M)'!R16:R18)*10%</f>
        <v>125550.58051148437</v>
      </c>
      <c r="R148" s="171">
        <f>SUM('NOI(M)'!S16:S18)*10%</f>
        <v>129438.58837148437</v>
      </c>
      <c r="S148" s="171">
        <f>SUM('NOI(M)'!T16:T18)*10%</f>
        <v>115963.27627785938</v>
      </c>
      <c r="T148" s="171">
        <f>SUM('NOI(M)'!U16:U18)*10%</f>
        <v>133160.09539035938</v>
      </c>
      <c r="U148" s="171">
        <f>SUM('NOI(M)'!V16:V18)*10%</f>
        <v>133214.59130910938</v>
      </c>
      <c r="V148" s="171">
        <f>SUM('NOI(M)'!W16:W18)*10%</f>
        <v>133269.08722785939</v>
      </c>
      <c r="W148" s="171">
        <f>SUM('NOI(M)'!X16:X18)*10%</f>
        <v>133269.08722785939</v>
      </c>
      <c r="X148" s="171">
        <f>SUM('NOI(M)'!Y16:Y18)*10%</f>
        <v>131254.49277785938</v>
      </c>
      <c r="Y148" s="171">
        <f>SUM('NOI(M)'!Z16:Z18)*10%</f>
        <v>131269.00716535936</v>
      </c>
      <c r="Z148" s="171">
        <f>SUM('NOI(M)'!AA16:AA18)*10%</f>
        <v>131100.07389481246</v>
      </c>
      <c r="AA148" s="171">
        <f>SUM('NOI(M)'!AB16:AB18)*10%</f>
        <v>111552.29780062498</v>
      </c>
      <c r="AB148" s="171">
        <f>SUM('NOI(M)'!AC16:AC18)*10%</f>
        <v>121345.42881614651</v>
      </c>
      <c r="AC148" s="171">
        <f>SUM('NOI(M)'!AD16:AD18)*10%</f>
        <v>128405.22222427149</v>
      </c>
      <c r="AD148" s="171">
        <f>SUM('NOI(M)'!AE16:AE18)*10%</f>
        <v>132390.43028077148</v>
      </c>
      <c r="AE148" s="171">
        <f>SUM('NOI(M)'!AF16:AF18)*10%</f>
        <v>118578.23538480586</v>
      </c>
      <c r="AF148" s="171">
        <f>SUM('NOI(M)'!AG16:AG18)*10%</f>
        <v>136204.97497511836</v>
      </c>
      <c r="AG148" s="171">
        <f>SUM('NOI(M)'!AH16:AH18)*10%</f>
        <v>136260.8332918371</v>
      </c>
      <c r="AH148" s="171">
        <f>SUM('NOI(M)'!AI16:AI18)*10%</f>
        <v>136316.69160855585</v>
      </c>
      <c r="AI148" s="171">
        <f>SUM('NOI(M)'!AJ16:AJ18)*10%</f>
        <v>136316.69160855585</v>
      </c>
      <c r="AJ148" s="171">
        <f>SUM('NOI(M)'!AK16:AK18)*10%</f>
        <v>134251.73229730586</v>
      </c>
      <c r="AK148" s="171">
        <f>SUM('NOI(M)'!AL16:AL18)*10%</f>
        <v>136331.56885574336</v>
      </c>
      <c r="AL148" s="171">
        <f>SUM('NOI(M)'!AM16:AM18)*10%</f>
        <v>134093.4529421828</v>
      </c>
      <c r="AM148" s="171">
        <f>SUM('NOI(M)'!AN16:AN18)*10%</f>
        <v>131684.8850778281</v>
      </c>
      <c r="AN148" s="171">
        <f>SUM('NOI(M)'!AO16:AO18)*10%</f>
        <v>138569.63754395637</v>
      </c>
      <c r="AO148" s="171">
        <f>SUM('NOI(M)'!AP16:AP18)*10%</f>
        <v>131331.22997987826</v>
      </c>
      <c r="AP148" s="171">
        <f>SUM('NOI(M)'!AQ16:AQ18)*10%</f>
        <v>135416.06823779075</v>
      </c>
      <c r="AQ148" s="171">
        <f>SUM('NOI(M)'!AR16:AR18)*10%</f>
        <v>139440.4860987697</v>
      </c>
      <c r="AR148" s="171">
        <f>SUM('NOI(M)'!AS16:AS18)*10%</f>
        <v>33134.65469513429</v>
      </c>
      <c r="AS148" s="171">
        <f>SUM('NOI(M)'!AT16:AT18)*10%</f>
        <v>35828.693278974744</v>
      </c>
      <c r="AT148" s="171">
        <f>SUM('NOI(M)'!AU16:AU18)*10%</f>
        <v>36219.598748841563</v>
      </c>
      <c r="AU148" s="171">
        <f>SUM('NOI(M)'!AV16:AV18)*10%</f>
        <v>36219.598748841563</v>
      </c>
      <c r="AV148" s="171">
        <f>SUM('NOI(M)'!AW16:AW18)*10%</f>
        <v>34103.015454810309</v>
      </c>
      <c r="AW148" s="171">
        <f>SUM('NOI(M)'!AX16:AX18)*10%</f>
        <v>142426.16978157076</v>
      </c>
      <c r="AX148" s="171">
        <f>SUM('NOI(M)'!AY16:AY18)*10%</f>
        <v>143037.72697210623</v>
      </c>
      <c r="AY148" s="171">
        <f>SUM('NOI(M)'!AZ16:AZ18)*10%</f>
        <v>144413.50066300048</v>
      </c>
      <c r="AZ148" s="171">
        <f>SUM('NOI(M)'!BA16:BA18)*10%</f>
        <v>145378.8286417028</v>
      </c>
      <c r="BA148" s="171">
        <f>SUM('NOI(M)'!BB16:BB18)*10%</f>
        <v>137959.46088852274</v>
      </c>
      <c r="BB148" s="171">
        <f>SUM('NOI(M)'!BC16:BC18)*10%</f>
        <v>142146.42010288304</v>
      </c>
      <c r="BC148" s="171">
        <f>SUM('NOI(M)'!BD16:BD18)*10%</f>
        <v>146265.78724983023</v>
      </c>
      <c r="BD148" s="171">
        <f>SUM('NOI(M)'!BE16:BE18)*10%</f>
        <v>146265.78724983023</v>
      </c>
      <c r="BE148" s="171">
        <f>SUM('NOI(M)'!BF16:BF18)*10%</f>
        <v>146265.78724983023</v>
      </c>
      <c r="BF148" s="171">
        <f>SUM('NOI(M)'!BG16:BG18)*10%</f>
        <v>146607.77921244109</v>
      </c>
      <c r="BG148" s="171">
        <f>SUM('NOI(M)'!BH16:BH18)*10%</f>
        <v>146607.77921244109</v>
      </c>
      <c r="BH148" s="171">
        <f>SUM('NOI(M)'!BI16:BI18)*10%</f>
        <v>146607.77921244109</v>
      </c>
      <c r="BI148" s="171">
        <f>SUM('NOI(M)'!BJ16:BJ18)*10%</f>
        <v>146623.40962026748</v>
      </c>
      <c r="BJ148" s="171">
        <f>SUM('NOI(M)'!BK16:BK18)*10%</f>
        <v>147243.24845818614</v>
      </c>
      <c r="BK148" s="171">
        <f>SUM('NOI(M)'!BL16:BL18)*10%</f>
        <v>147714.48674142995</v>
      </c>
      <c r="BL148" s="171">
        <f>SUM('NOI(M)'!BM16:BM18)*10%</f>
        <v>148991.24649718913</v>
      </c>
      <c r="BM148" s="171">
        <f>SUM('NOI(M)'!BN16:BN18)*10%</f>
        <v>141386.39455017954</v>
      </c>
      <c r="BN148" s="171">
        <f>SUM('NOI(M)'!BO16:BO18)*10%</f>
        <v>145678.02774489886</v>
      </c>
      <c r="BO148" s="171">
        <f>SUM('NOI(M)'!BP16:BP18)*10%</f>
        <v>149906.04023107598</v>
      </c>
      <c r="BP148" s="171">
        <f>SUM('NOI(M)'!BQ16:BQ18)*10%</f>
        <v>149906.04023107598</v>
      </c>
      <c r="BQ148" s="171">
        <f>SUM('NOI(M)'!BR16:BR18)*10%</f>
        <v>149906.04023107598</v>
      </c>
      <c r="BR148" s="171">
        <f>SUM('NOI(M)'!BS16:BS18)*10%</f>
        <v>150256.58199275212</v>
      </c>
      <c r="BS148" s="171">
        <f>SUM('NOI(M)'!BT16:BT18)*10%</f>
        <v>150256.58199275212</v>
      </c>
      <c r="BT148" s="171">
        <f>SUM('NOI(M)'!BU16:BU18)*10%</f>
        <v>150256.58199275212</v>
      </c>
      <c r="BU148" s="171">
        <f>SUM('NOI(M)'!BV16:BV18)*10%</f>
        <v>150272.60316077413</v>
      </c>
      <c r="BV148" s="171">
        <f>SUM('NOI(M)'!BW16:BW18)*10%</f>
        <v>150907.93796964077</v>
      </c>
      <c r="BW148" s="171">
        <f>SUM('NOI(M)'!BX16:BX18)*10%</f>
        <v>151390.95720996571</v>
      </c>
      <c r="BX148" s="171">
        <f>SUM('NOI(M)'!BY16:BY18)*10%</f>
        <v>152699.63595961881</v>
      </c>
      <c r="BY148" s="171">
        <f>SUM('NOI(M)'!BZ16:BZ18)*10%</f>
        <v>144904.662713934</v>
      </c>
      <c r="BZ148" s="171">
        <f>SUM('NOI(M)'!CA16:CA18)*10%</f>
        <v>149303.58673852132</v>
      </c>
      <c r="CA148" s="171">
        <f>SUM('NOI(M)'!CB16:CB18)*10%</f>
        <v>153637.29953685289</v>
      </c>
      <c r="CB148" s="171">
        <f>SUM('NOI(M)'!CC16:CC18)*10%</f>
        <v>153637.29953685289</v>
      </c>
      <c r="CC148" s="171">
        <f>SUM('NOI(M)'!CD16:CD18)*10%</f>
        <v>153637.29953685289</v>
      </c>
      <c r="CD148" s="171">
        <f>SUM('NOI(M)'!CE16:CE18)*10%</f>
        <v>153996.60484257093</v>
      </c>
      <c r="CE148" s="171">
        <f>SUM('NOI(M)'!CF16:CF18)*10%</f>
        <v>153996.60484257093</v>
      </c>
      <c r="CF148" s="171">
        <f>SUM('NOI(M)'!CG16:CG18)*10%</f>
        <v>153996.60484257093</v>
      </c>
      <c r="CG148" s="171">
        <f>SUM('NOI(M)'!CH16:CH18)*10%</f>
        <v>154013.0265397935</v>
      </c>
      <c r="CH148" s="171">
        <f>SUM('NOI(M)'!CI16:CI18)*10%</f>
        <v>154664.24471888176</v>
      </c>
      <c r="CI148" s="171">
        <f>SUM('NOI(M)'!CJ16:CJ18)*10%</f>
        <v>155159.33944021486</v>
      </c>
      <c r="CJ148" s="171">
        <f>SUM('NOI(M)'!CK16:CK18)*10%</f>
        <v>156500.73515860931</v>
      </c>
      <c r="CK148" s="171">
        <f>SUM('NOI(M)'!CL16:CL18)*10%</f>
        <v>148510.88758178239</v>
      </c>
      <c r="CL148" s="171">
        <f>SUM('NOI(M)'!CM16:CM18)*10%</f>
        <v>153019.78470698438</v>
      </c>
      <c r="CM148" s="171">
        <f>SUM('NOI(M)'!CN16:CN18)*10%</f>
        <v>157461.84032527421</v>
      </c>
      <c r="CN148" s="171">
        <f>SUM('NOI(M)'!CO16:CO18)*10%</f>
        <v>157461.84032527421</v>
      </c>
      <c r="CO148" s="171">
        <f>SUM('NOI(M)'!CP16:CP18)*10%</f>
        <v>157461.84032527421</v>
      </c>
      <c r="CP148" s="171">
        <f>SUM('NOI(M)'!CQ16:CQ18)*10%</f>
        <v>157830.12826363521</v>
      </c>
      <c r="CQ148" s="171">
        <f>SUM('NOI(M)'!CR16:CR18)*10%</f>
        <v>157830.12826363521</v>
      </c>
      <c r="CR148" s="171">
        <f>SUM('NOI(M)'!CS16:CS18)*10%</f>
        <v>157830.12826363521</v>
      </c>
      <c r="CS148" s="171">
        <f>SUM('NOI(M)'!CT16:CT18)*10%</f>
        <v>157846.96050328831</v>
      </c>
      <c r="CT148" s="171">
        <f>SUM('NOI(M)'!CU16:CU18)*10%</f>
        <v>158514.45913685381</v>
      </c>
      <c r="CU148" s="171">
        <f>SUM('NOI(M)'!CV16:CV18)*10%</f>
        <v>159021.93122622021</v>
      </c>
      <c r="CV148" s="171">
        <f>SUM('NOI(M)'!CW16:CW18)*10%</f>
        <v>160396.86183757451</v>
      </c>
      <c r="CW148" s="171">
        <f>SUM('NOI(M)'!CX16:CX18)*10%</f>
        <v>152207.26807132689</v>
      </c>
      <c r="CX148" s="171">
        <f>SUM('NOI(M)'!CY16:CY18)*10%</f>
        <v>156828.88762465894</v>
      </c>
      <c r="CY148" s="171">
        <f>SUM('NOI(M)'!CZ16:CZ18)*10%</f>
        <v>157699.49541265349</v>
      </c>
      <c r="CZ148" s="171">
        <f>SUM('NOI(M)'!DA16:DA18)*10%</f>
        <v>157699.49541265349</v>
      </c>
      <c r="DA148" s="171">
        <f>SUM('NOI(M)'!DB16:DB18)*10%</f>
        <v>157699.49541265349</v>
      </c>
      <c r="DB148" s="171">
        <f>SUM('NOI(M)'!DC16:DC18)*10%</f>
        <v>158076.99054947344</v>
      </c>
      <c r="DC148" s="171">
        <f>SUM('NOI(M)'!DD16:DD18)*10%</f>
        <v>158076.99054947344</v>
      </c>
      <c r="DD148" s="171">
        <f>SUM('NOI(M)'!DE16:DE18)*10%</f>
        <v>158076.99054947344</v>
      </c>
      <c r="DE148" s="171">
        <f>SUM('NOI(M)'!DF16:DF18)*10%</f>
        <v>158102.59088233087</v>
      </c>
      <c r="DF148" s="171">
        <f>SUM('NOI(M)'!DG16:DG18)*10%</f>
        <v>158767.56429649322</v>
      </c>
      <c r="DG148" s="171">
        <f>SUM('NOI(M)'!DH16:DH18)*10%</f>
        <v>159271.94718908085</v>
      </c>
      <c r="DH148" s="171">
        <f>SUM('NOI(M)'!DI16:DI18)*10%</f>
        <v>160686.48843861304</v>
      </c>
      <c r="DI148" s="171">
        <f>SUM('NOI(M)'!DJ16:DJ18)*10%</f>
        <v>160686.48843861304</v>
      </c>
      <c r="DJ148" s="171">
        <f>SUM('NOI(M)'!DK16:DK18)*10%</f>
        <v>161206.66516831508</v>
      </c>
      <c r="DK148" s="171">
        <f>SUM('NOI(M)'!DL16:DL18)*10%</f>
        <v>161674.65752064821</v>
      </c>
      <c r="DL148" s="171">
        <f>SUM('NOI(M)'!DM16:DM18)*10%</f>
        <v>161674.65752064821</v>
      </c>
      <c r="DM148" s="171">
        <f>SUM('NOI(M)'!DN16:DN18)*10%</f>
        <v>161674.65752064821</v>
      </c>
      <c r="DN148" s="171">
        <f>SUM('NOI(M)'!DO16:DO18)*10%</f>
        <v>162061.59003588869</v>
      </c>
      <c r="DO148" s="171">
        <f>SUM('NOI(M)'!DP16:DP18)*10%</f>
        <v>162061.59003588869</v>
      </c>
      <c r="DP148" s="171">
        <f>SUM('NOI(M)'!DQ16:DQ18)*10%</f>
        <v>162061.59003588869</v>
      </c>
      <c r="DQ148" s="171">
        <f>SUM('NOI(M)'!DR16:DR18)*10%</f>
        <v>162087.8303770675</v>
      </c>
      <c r="DR148" s="171">
        <f>SUM('NOI(M)'!DS16:DS18)*10%</f>
        <v>162769.42812658392</v>
      </c>
      <c r="DS148" s="171">
        <f>SUM('NOI(M)'!DT16:DT18)*10%</f>
        <v>163286.42059148624</v>
      </c>
      <c r="DT148" s="171">
        <f>SUM('NOI(M)'!DU16:DU18)*10%</f>
        <v>164687.25894957836</v>
      </c>
      <c r="DU148" s="171">
        <f>SUM('NOI(M)'!DV16:DV18)*10%</f>
        <v>164687.25894957836</v>
      </c>
      <c r="DV148" s="171">
        <f>SUM('NOI(M)'!DW16:DW18)*10%</f>
        <v>165220.44009752295</v>
      </c>
      <c r="DW148" s="171">
        <f>SUM('NOI(M)'!DX16:DX18)*10%</f>
        <v>165700.13225866435</v>
      </c>
      <c r="DX148" s="171">
        <f>SUM('NOI(M)'!DY16:DY18)*10%</f>
        <v>165700.13225866435</v>
      </c>
      <c r="DY148" s="171">
        <f>SUM('NOI(M)'!DZ16:DZ18)*10%</f>
        <v>165700.13225866435</v>
      </c>
      <c r="DZ148" s="171">
        <f>SUM('NOI(M)'!EA16:EA18)*10%</f>
        <v>166096.73808678589</v>
      </c>
      <c r="EA148" s="171">
        <f>SUM('NOI(M)'!EB16:EB18)*10%</f>
        <v>166096.73808678589</v>
      </c>
      <c r="EB148" s="171">
        <f>SUM('NOI(M)'!EC16:EC18)*10%</f>
        <v>166096.73808678589</v>
      </c>
      <c r="EC148" s="171">
        <f>SUM('NOI(M)'!ED16:ED18)*10%</f>
        <v>0</v>
      </c>
      <c r="ED148" s="1321">
        <f>SUM('NOI(M)'!EE16:EE18)*10%</f>
        <v>0</v>
      </c>
      <c r="EE148" s="171">
        <f>SUM('NOI(M)'!EF16:EF18)*10%</f>
        <v>0</v>
      </c>
      <c r="EF148" s="171">
        <f>SUM('NOI(M)'!EG16:EG18)*10%</f>
        <v>0</v>
      </c>
      <c r="EG148" s="171">
        <f>SUM('NOI(M)'!EH16:EH18)*10%</f>
        <v>0</v>
      </c>
      <c r="EH148" s="171">
        <f>SUM('NOI(M)'!EI16:EI18)*10%</f>
        <v>0</v>
      </c>
      <c r="EI148" s="171">
        <f>SUM('NOI(M)'!EJ16:EJ18)*10%</f>
        <v>0</v>
      </c>
      <c r="EJ148" s="171">
        <f>SUM('NOI(M)'!EK16:EK18)*10%</f>
        <v>0</v>
      </c>
      <c r="EK148" s="171">
        <f>SUM('NOI(M)'!EL16:EL18)*10%</f>
        <v>0</v>
      </c>
      <c r="EL148" s="171">
        <f>SUM('NOI(M)'!EM16:EM18)*10%</f>
        <v>0</v>
      </c>
      <c r="EM148" s="171">
        <f>SUM('NOI(M)'!EN16:EN18)*10%</f>
        <v>0</v>
      </c>
      <c r="EN148" s="171">
        <f>SUM('NOI(M)'!EO16:EO18)*10%</f>
        <v>0</v>
      </c>
      <c r="EO148" s="171">
        <f>SUM('NOI(M)'!EP16:EP18)*10%</f>
        <v>0</v>
      </c>
      <c r="EP148" s="171">
        <f>SUM('NOI(M)'!EQ16:EQ18)*10%</f>
        <v>0</v>
      </c>
      <c r="EQ148" s="171">
        <f>SUM('NOI(M)'!ER16:ER18)*10%</f>
        <v>0</v>
      </c>
    </row>
    <row r="149" spans="3:147" ht="11.25" customHeight="1">
      <c r="C149" s="163"/>
      <c r="D149" s="169" t="s">
        <v>219</v>
      </c>
      <c r="I149" s="248"/>
      <c r="J149" s="170">
        <f>SUM(L149:EQ149)</f>
        <v>17198218.278469633</v>
      </c>
      <c r="K149" s="98"/>
      <c r="L149" s="171">
        <f>SUM(L147:L148)*Index!L$50</f>
        <v>0</v>
      </c>
      <c r="M149" s="171">
        <f>SUM(M147:M148)*Index!M$50</f>
        <v>0</v>
      </c>
      <c r="N149" s="171">
        <f>SUM(N147:N148)*Index!N$50</f>
        <v>0</v>
      </c>
      <c r="O149" s="171">
        <f>SUM(O147:O148)*Index!O$50</f>
        <v>365632.92415687494</v>
      </c>
      <c r="P149" s="171">
        <f>SUM(P147:P148)*Index!P$50</f>
        <v>0</v>
      </c>
      <c r="Q149" s="171">
        <f>SUM(Q147:Q148)*Index!Q$50</f>
        <v>0</v>
      </c>
      <c r="R149" s="171">
        <f>SUM(R147:R148)*Index!R$50</f>
        <v>373652.1460694531</v>
      </c>
      <c r="S149" s="171">
        <f>SUM(S147:S148)*Index!S$50</f>
        <v>0</v>
      </c>
      <c r="T149" s="171">
        <f>SUM(T147:T148)*Index!T$50</f>
        <v>0</v>
      </c>
      <c r="U149" s="171">
        <f>SUM(U147:U148)*Index!U$50</f>
        <v>382337.9629773281</v>
      </c>
      <c r="V149" s="171">
        <f>SUM(V147:V148)*Index!V$50</f>
        <v>0</v>
      </c>
      <c r="W149" s="171">
        <f>SUM(W147:W148)*Index!W$50</f>
        <v>0</v>
      </c>
      <c r="X149" s="171">
        <f>SUM(X147:X148)*Index!X$50</f>
        <v>397792.66723357816</v>
      </c>
      <c r="Y149" s="171">
        <f>SUM(Y147:Y148)*Index!Y$50</f>
        <v>0</v>
      </c>
      <c r="Z149" s="171">
        <f>SUM(Z147:Z148)*Index!Z$50</f>
        <v>0</v>
      </c>
      <c r="AA149" s="171">
        <f>SUM(AA147:AA148)*Index!AA$50</f>
        <v>373921.3788607968</v>
      </c>
      <c r="AB149" s="171">
        <f>SUM(AB147:AB148)*Index!AB$50</f>
        <v>0</v>
      </c>
      <c r="AC149" s="171">
        <f>SUM(AC147:AC148)*Index!AC$50</f>
        <v>0</v>
      </c>
      <c r="AD149" s="171">
        <f>SUM(AD147:AD148)*Index!AD$50</f>
        <v>382141.08132118953</v>
      </c>
      <c r="AE149" s="171">
        <f>SUM(AE147:AE148)*Index!AE$50</f>
        <v>0</v>
      </c>
      <c r="AF149" s="171">
        <f>SUM(AF147:AF148)*Index!AF$50</f>
        <v>0</v>
      </c>
      <c r="AG149" s="171">
        <f>SUM(AG147:AG148)*Index!AG$50</f>
        <v>391044.04365176131</v>
      </c>
      <c r="AH149" s="171">
        <f>SUM(AH147:AH148)*Index!AH$50</f>
        <v>0</v>
      </c>
      <c r="AI149" s="171">
        <f>SUM(AI147:AI148)*Index!AI$50</f>
        <v>0</v>
      </c>
      <c r="AJ149" s="171">
        <f>SUM(AJ147:AJ148)*Index!AJ$50</f>
        <v>406885.11551441753</v>
      </c>
      <c r="AK149" s="171">
        <f>SUM(AK147:AK148)*Index!AK$50</f>
        <v>0</v>
      </c>
      <c r="AL149" s="171">
        <f>SUM(AL147:AL148)*Index!AL$50</f>
        <v>0</v>
      </c>
      <c r="AM149" s="171">
        <f>SUM(AM147:AM148)*Index!AM$50</f>
        <v>402109.90687575424</v>
      </c>
      <c r="AN149" s="171">
        <f>SUM(AN147:AN148)*Index!AN$50</f>
        <v>0</v>
      </c>
      <c r="AO149" s="171">
        <f>SUM(AO147:AO148)*Index!AO$50</f>
        <v>0</v>
      </c>
      <c r="AP149" s="171">
        <f>SUM(AP147:AP148)*Index!AP$50</f>
        <v>405316.93576162541</v>
      </c>
      <c r="AQ149" s="171">
        <f>SUM(AQ147:AQ148)*Index!AQ$50</f>
        <v>0</v>
      </c>
      <c r="AR149" s="171">
        <f>SUM(AR147:AR148)*Index!AR$50</f>
        <v>0</v>
      </c>
      <c r="AS149" s="171">
        <f>SUM(AS147:AS148)*Index!AS$50</f>
        <v>208403.83407287873</v>
      </c>
      <c r="AT149" s="171">
        <f>SUM(AT147:AT148)*Index!AT$50</f>
        <v>0</v>
      </c>
      <c r="AU149" s="171">
        <f>SUM(AU147:AU148)*Index!AU$50</f>
        <v>0</v>
      </c>
      <c r="AV149" s="171">
        <f>SUM(AV147:AV148)*Index!AV$50</f>
        <v>106542.21295249343</v>
      </c>
      <c r="AW149" s="171">
        <f>SUM(AW147:AW148)*Index!AW$50</f>
        <v>0</v>
      </c>
      <c r="AX149" s="171">
        <f>SUM(AX147:AX148)*Index!AX$50</f>
        <v>0</v>
      </c>
      <c r="AY149" s="171">
        <f>SUM(AY147:AY148)*Index!AY$50</f>
        <v>429877.39741667744</v>
      </c>
      <c r="AZ149" s="171">
        <f>SUM(AZ147:AZ148)*Index!AZ$50</f>
        <v>0</v>
      </c>
      <c r="BA149" s="171">
        <f>SUM(BA147:BA148)*Index!BA$50</f>
        <v>0</v>
      </c>
      <c r="BB149" s="171">
        <f>SUM(BB147:BB148)*Index!BB$50</f>
        <v>425484.70963310858</v>
      </c>
      <c r="BC149" s="171">
        <f>SUM(BC147:BC148)*Index!BC$50</f>
        <v>0</v>
      </c>
      <c r="BD149" s="171">
        <f>SUM(BD147:BD148)*Index!BD$50</f>
        <v>0</v>
      </c>
      <c r="BE149" s="171">
        <f>SUM(BE147:BE148)*Index!BE$50</f>
        <v>438797.36174949072</v>
      </c>
      <c r="BF149" s="171">
        <f>SUM(BF147:BF148)*Index!BF$50</f>
        <v>0</v>
      </c>
      <c r="BG149" s="171">
        <f>SUM(BG147:BG148)*Index!BG$50</f>
        <v>0</v>
      </c>
      <c r="BH149" s="171">
        <f>SUM(BH147:BH148)*Index!BH$50</f>
        <v>439823.3376373233</v>
      </c>
      <c r="BI149" s="171">
        <f>SUM(BI147:BI148)*Index!BI$50</f>
        <v>0</v>
      </c>
      <c r="BJ149" s="171">
        <f>SUM(BJ147:BJ148)*Index!BJ$50</f>
        <v>0</v>
      </c>
      <c r="BK149" s="171">
        <f>SUM(BK147:BK148)*Index!BK$50</f>
        <v>441581.14481988357</v>
      </c>
      <c r="BL149" s="171">
        <f>SUM(BL147:BL148)*Index!BL$50</f>
        <v>0</v>
      </c>
      <c r="BM149" s="171">
        <f>SUM(BM147:BM148)*Index!BM$50</f>
        <v>0</v>
      </c>
      <c r="BN149" s="171">
        <f>SUM(BN147:BN148)*Index!BN$50</f>
        <v>436055.6687922675</v>
      </c>
      <c r="BO149" s="171">
        <f>SUM(BO147:BO148)*Index!BO$50</f>
        <v>0</v>
      </c>
      <c r="BP149" s="171">
        <f>SUM(BP147:BP148)*Index!BP$50</f>
        <v>0</v>
      </c>
      <c r="BQ149" s="171">
        <f>SUM(BQ147:BQ148)*Index!BQ$50</f>
        <v>449718.12069322797</v>
      </c>
      <c r="BR149" s="171">
        <f>SUM(BR147:BR148)*Index!BR$50</f>
        <v>0</v>
      </c>
      <c r="BS149" s="171">
        <f>SUM(BS147:BS148)*Index!BS$50</f>
        <v>0</v>
      </c>
      <c r="BT149" s="171">
        <f>SUM(BT147:BT148)*Index!BT$50</f>
        <v>450769.74597825634</v>
      </c>
      <c r="BU149" s="171">
        <f>SUM(BU147:BU148)*Index!BU$50</f>
        <v>0</v>
      </c>
      <c r="BV149" s="171">
        <f>SUM(BV147:BV148)*Index!BV$50</f>
        <v>0</v>
      </c>
      <c r="BW149" s="171">
        <f>SUM(BW147:BW148)*Index!BW$50</f>
        <v>452571.49834038061</v>
      </c>
      <c r="BX149" s="171">
        <f>SUM(BX147:BX148)*Index!BX$50</f>
        <v>0</v>
      </c>
      <c r="BY149" s="171">
        <f>SUM(BY147:BY148)*Index!BY$50</f>
        <v>0</v>
      </c>
      <c r="BZ149" s="171">
        <f>SUM(BZ147:BZ148)*Index!BZ$50</f>
        <v>446907.88541207416</v>
      </c>
      <c r="CA149" s="171">
        <f>SUM(CA147:CA148)*Index!CA$50</f>
        <v>0</v>
      </c>
      <c r="CB149" s="171">
        <f>SUM(CB147:CB148)*Index!CB$50</f>
        <v>0</v>
      </c>
      <c r="CC149" s="171">
        <f>SUM(CC147:CC148)*Index!CC$50</f>
        <v>460911.89861055871</v>
      </c>
      <c r="CD149" s="171">
        <f>SUM(CD147:CD148)*Index!CD$50</f>
        <v>0</v>
      </c>
      <c r="CE149" s="171">
        <f>SUM(CE147:CE148)*Index!CE$50</f>
        <v>0</v>
      </c>
      <c r="CF149" s="171">
        <f>SUM(CF147:CF148)*Index!CF$50</f>
        <v>461989.81452771276</v>
      </c>
      <c r="CG149" s="171">
        <f>SUM(CG147:CG148)*Index!CG$50</f>
        <v>0</v>
      </c>
      <c r="CH149" s="171">
        <f>SUM(CH147:CH148)*Index!CH$50</f>
        <v>0</v>
      </c>
      <c r="CI149" s="171">
        <f>SUM(CI147:CI148)*Index!CI$50</f>
        <v>463836.61069889012</v>
      </c>
      <c r="CJ149" s="171">
        <f>SUM(CJ147:CJ148)*Index!CJ$50</f>
        <v>0</v>
      </c>
      <c r="CK149" s="171">
        <f>SUM(CK147:CK148)*Index!CK$50</f>
        <v>0</v>
      </c>
      <c r="CL149" s="171">
        <f>SUM(CL147:CL148)*Index!CL$50</f>
        <v>458031.40744737606</v>
      </c>
      <c r="CM149" s="171">
        <f>SUM(CM147:CM148)*Index!CM$50</f>
        <v>0</v>
      </c>
      <c r="CN149" s="171">
        <f>SUM(CN147:CN148)*Index!CN$50</f>
        <v>0</v>
      </c>
      <c r="CO149" s="171">
        <f>SUM(CO147:CO148)*Index!CO$50</f>
        <v>472385.52097582264</v>
      </c>
      <c r="CP149" s="171">
        <f>SUM(CP147:CP148)*Index!CP$50</f>
        <v>0</v>
      </c>
      <c r="CQ149" s="171">
        <f>SUM(CQ147:CQ148)*Index!CQ$50</f>
        <v>0</v>
      </c>
      <c r="CR149" s="171">
        <f>SUM(CR147:CR148)*Index!CR$50</f>
        <v>473490.38479090563</v>
      </c>
      <c r="CS149" s="171">
        <f>SUM(CS147:CS148)*Index!CS$50</f>
        <v>0</v>
      </c>
      <c r="CT149" s="171">
        <f>SUM(CT147:CT148)*Index!CT$50</f>
        <v>0</v>
      </c>
      <c r="CU149" s="171">
        <f>SUM(CU147:CU148)*Index!CU$50</f>
        <v>475383.35086636234</v>
      </c>
      <c r="CV149" s="171">
        <f>SUM(CV147:CV148)*Index!CV$50</f>
        <v>0</v>
      </c>
      <c r="CW149" s="171">
        <f>SUM(CW147:CW148)*Index!CW$50</f>
        <v>0</v>
      </c>
      <c r="CX149" s="171">
        <f>SUM(CX147:CX148)*Index!CX$50</f>
        <v>469433.01753356034</v>
      </c>
      <c r="CY149" s="171">
        <f>SUM(CY147:CY148)*Index!CY$50</f>
        <v>0</v>
      </c>
      <c r="CZ149" s="171">
        <f>SUM(CZ147:CZ148)*Index!CZ$50</f>
        <v>0</v>
      </c>
      <c r="DA149" s="171">
        <f>SUM(DA147:DA148)*Index!DA$50</f>
        <v>473098.48623796046</v>
      </c>
      <c r="DB149" s="171">
        <f>SUM(DB147:DB148)*Index!DB$50</f>
        <v>0</v>
      </c>
      <c r="DC149" s="171">
        <f>SUM(DC147:DC148)*Index!DC$50</f>
        <v>0</v>
      </c>
      <c r="DD149" s="171">
        <f>SUM(DD147:DD148)*Index!DD$50</f>
        <v>474230.97164842032</v>
      </c>
      <c r="DE149" s="171">
        <f>SUM(DE147:DE148)*Index!DE$50</f>
        <v>0</v>
      </c>
      <c r="DF149" s="171">
        <f>SUM(DF147:DF148)*Index!DF$50</f>
        <v>0</v>
      </c>
      <c r="DG149" s="171">
        <f>SUM(DG147:DG148)*Index!DG$50</f>
        <v>476142.10236790497</v>
      </c>
      <c r="DH149" s="171">
        <f>SUM(DH147:DH148)*Index!DH$50</f>
        <v>0</v>
      </c>
      <c r="DI149" s="171">
        <f>SUM(DI147:DI148)*Index!DI$50</f>
        <v>0</v>
      </c>
      <c r="DJ149" s="171">
        <f>SUM(DJ147:DJ148)*Index!DJ$50</f>
        <v>482579.6420455412</v>
      </c>
      <c r="DK149" s="171">
        <f>SUM(DK147:DK148)*Index!DK$50</f>
        <v>0</v>
      </c>
      <c r="DL149" s="171">
        <f>SUM(DL147:DL148)*Index!DL$50</f>
        <v>0</v>
      </c>
      <c r="DM149" s="171">
        <f>SUM(DM147:DM148)*Index!DM$50</f>
        <v>485023.97256194463</v>
      </c>
      <c r="DN149" s="171">
        <f>SUM(DN147:DN148)*Index!DN$50</f>
        <v>0</v>
      </c>
      <c r="DO149" s="171">
        <f>SUM(DO147:DO148)*Index!DO$50</f>
        <v>0</v>
      </c>
      <c r="DP149" s="171">
        <f>SUM(DP147:DP148)*Index!DP$50</f>
        <v>486184.77010766603</v>
      </c>
      <c r="DQ149" s="171">
        <f>SUM(DQ147:DQ148)*Index!DQ$50</f>
        <v>0</v>
      </c>
      <c r="DR149" s="171">
        <f>SUM(DR147:DR148)*Index!DR$50</f>
        <v>0</v>
      </c>
      <c r="DS149" s="171">
        <f>SUM(DS147:DS148)*Index!DS$50</f>
        <v>488143.67909513763</v>
      </c>
      <c r="DT149" s="171">
        <f>SUM(DT147:DT148)*Index!DT$50</f>
        <v>0</v>
      </c>
      <c r="DU149" s="171">
        <f>SUM(DU147:DU148)*Index!DU$50</f>
        <v>0</v>
      </c>
      <c r="DV149" s="171">
        <f>SUM(DV147:DV148)*Index!DV$50</f>
        <v>494594.9579966797</v>
      </c>
      <c r="DW149" s="171">
        <f>SUM(DW147:DW148)*Index!DW$50</f>
        <v>0</v>
      </c>
      <c r="DX149" s="171">
        <f>SUM(DX147:DX148)*Index!DX$50</f>
        <v>0</v>
      </c>
      <c r="DY149" s="171">
        <f>SUM(DY147:DY148)*Index!DY$50</f>
        <v>497100.39677599305</v>
      </c>
      <c r="DZ149" s="171">
        <f>SUM(DZ147:DZ148)*Index!DZ$50</f>
        <v>0</v>
      </c>
      <c r="EA149" s="171">
        <f>SUM(EA147:EA148)*Index!EA$50</f>
        <v>0</v>
      </c>
      <c r="EB149" s="171">
        <f>SUM(EB147:EB148)*Index!EB$50</f>
        <v>498290.21426035766</v>
      </c>
      <c r="EC149" s="171">
        <f>SUM(EC147:EC148)*Index!EC$50</f>
        <v>0</v>
      </c>
      <c r="ED149" s="1321">
        <f>SUM(ED147:ED148)*Index!ED$50</f>
        <v>0</v>
      </c>
      <c r="EE149" s="171">
        <f>SUM(EE147:EE148)*Index!EE$50</f>
        <v>0</v>
      </c>
      <c r="EF149" s="171">
        <f>SUM(EF147:EF148)*Index!EF$50</f>
        <v>0</v>
      </c>
      <c r="EG149" s="171">
        <f>SUM(EG147:EG148)*Index!EG$50</f>
        <v>0</v>
      </c>
      <c r="EH149" s="171">
        <f>SUM(EH147:EH148)*Index!EH$50</f>
        <v>0</v>
      </c>
      <c r="EI149" s="171">
        <f>SUM(EI147:EI148)*Index!EI$50</f>
        <v>0</v>
      </c>
      <c r="EJ149" s="171">
        <f>SUM(EJ147:EJ148)*Index!EJ$50</f>
        <v>0</v>
      </c>
      <c r="EK149" s="171">
        <f>SUM(EK147:EK148)*Index!EK$50</f>
        <v>0</v>
      </c>
      <c r="EL149" s="171">
        <f>SUM(EL147:EL148)*Index!EL$50</f>
        <v>0</v>
      </c>
      <c r="EM149" s="171">
        <f>SUM(EM147:EM148)*Index!EM$50</f>
        <v>0</v>
      </c>
      <c r="EN149" s="171">
        <f>SUM(EN147:EN148)*Index!EN$50</f>
        <v>0</v>
      </c>
      <c r="EO149" s="171">
        <f>SUM(EO147:EO148)*Index!EO$50</f>
        <v>0</v>
      </c>
      <c r="EP149" s="171">
        <f>SUM(EP147:EP148)*Index!EP$50</f>
        <v>0</v>
      </c>
      <c r="EQ149" s="171">
        <f>SUM(EQ147:EQ148)*Index!EQ$50</f>
        <v>0</v>
      </c>
    </row>
    <row r="150" spans="3:147" ht="11.25" customHeight="1">
      <c r="C150" s="163"/>
      <c r="D150" s="169" t="s">
        <v>220</v>
      </c>
      <c r="I150" s="248"/>
      <c r="J150" s="170"/>
      <c r="K150" s="98"/>
      <c r="L150" s="171">
        <f>L147+L148-L149</f>
        <v>0</v>
      </c>
      <c r="M150" s="171">
        <f t="shared" ref="M150:BX150" si="353">M147+M148-M149</f>
        <v>128344.51703937497</v>
      </c>
      <c r="N150" s="171">
        <f t="shared" si="353"/>
        <v>256524.22113187495</v>
      </c>
      <c r="O150" s="171">
        <f t="shared" si="353"/>
        <v>0</v>
      </c>
      <c r="P150" s="171">
        <f t="shared" si="353"/>
        <v>118662.97718648436</v>
      </c>
      <c r="Q150" s="171">
        <f t="shared" si="353"/>
        <v>244213.55769796873</v>
      </c>
      <c r="R150" s="171">
        <f t="shared" si="353"/>
        <v>0</v>
      </c>
      <c r="S150" s="171">
        <f t="shared" si="353"/>
        <v>115963.27627785938</v>
      </c>
      <c r="T150" s="171">
        <f t="shared" si="353"/>
        <v>249123.37166821875</v>
      </c>
      <c r="U150" s="171">
        <f t="shared" si="353"/>
        <v>0</v>
      </c>
      <c r="V150" s="171">
        <f t="shared" si="353"/>
        <v>133269.08722785939</v>
      </c>
      <c r="W150" s="171">
        <f t="shared" si="353"/>
        <v>266538.17445571878</v>
      </c>
      <c r="X150" s="171">
        <f t="shared" si="353"/>
        <v>0</v>
      </c>
      <c r="Y150" s="171">
        <f t="shared" si="353"/>
        <v>131269.00716535936</v>
      </c>
      <c r="Z150" s="171">
        <f t="shared" si="353"/>
        <v>262369.08106017183</v>
      </c>
      <c r="AA150" s="171">
        <f t="shared" si="353"/>
        <v>0</v>
      </c>
      <c r="AB150" s="171">
        <f t="shared" si="353"/>
        <v>121345.42881614651</v>
      </c>
      <c r="AC150" s="171">
        <f t="shared" si="353"/>
        <v>249750.65104041802</v>
      </c>
      <c r="AD150" s="171">
        <f t="shared" si="353"/>
        <v>0</v>
      </c>
      <c r="AE150" s="171">
        <f t="shared" si="353"/>
        <v>118578.23538480586</v>
      </c>
      <c r="AF150" s="171">
        <f t="shared" si="353"/>
        <v>254783.21035992421</v>
      </c>
      <c r="AG150" s="171">
        <f t="shared" si="353"/>
        <v>0</v>
      </c>
      <c r="AH150" s="171">
        <f t="shared" si="353"/>
        <v>136316.69160855585</v>
      </c>
      <c r="AI150" s="171">
        <f t="shared" si="353"/>
        <v>272633.3832171117</v>
      </c>
      <c r="AJ150" s="171">
        <f t="shared" si="353"/>
        <v>0</v>
      </c>
      <c r="AK150" s="171">
        <f t="shared" si="353"/>
        <v>136331.56885574336</v>
      </c>
      <c r="AL150" s="171">
        <f t="shared" si="353"/>
        <v>270425.02179792617</v>
      </c>
      <c r="AM150" s="171">
        <f t="shared" si="353"/>
        <v>0</v>
      </c>
      <c r="AN150" s="171">
        <f t="shared" si="353"/>
        <v>138569.63754395637</v>
      </c>
      <c r="AO150" s="171">
        <f t="shared" si="353"/>
        <v>269900.86752383463</v>
      </c>
      <c r="AP150" s="171">
        <f t="shared" si="353"/>
        <v>0</v>
      </c>
      <c r="AQ150" s="171">
        <f t="shared" si="353"/>
        <v>139440.4860987697</v>
      </c>
      <c r="AR150" s="171">
        <f t="shared" si="353"/>
        <v>172575.14079390399</v>
      </c>
      <c r="AS150" s="171">
        <f t="shared" si="353"/>
        <v>0</v>
      </c>
      <c r="AT150" s="171">
        <f t="shared" si="353"/>
        <v>36219.598748841563</v>
      </c>
      <c r="AU150" s="171">
        <f t="shared" si="353"/>
        <v>72439.197497683126</v>
      </c>
      <c r="AV150" s="171">
        <f t="shared" si="353"/>
        <v>0</v>
      </c>
      <c r="AW150" s="171">
        <f t="shared" si="353"/>
        <v>142426.16978157076</v>
      </c>
      <c r="AX150" s="171">
        <f t="shared" si="353"/>
        <v>285463.89675367699</v>
      </c>
      <c r="AY150" s="171">
        <f t="shared" si="353"/>
        <v>0</v>
      </c>
      <c r="AZ150" s="171">
        <f t="shared" si="353"/>
        <v>145378.8286417028</v>
      </c>
      <c r="BA150" s="171">
        <f t="shared" si="353"/>
        <v>283338.28953022556</v>
      </c>
      <c r="BB150" s="171">
        <f t="shared" si="353"/>
        <v>0</v>
      </c>
      <c r="BC150" s="171">
        <f t="shared" si="353"/>
        <v>146265.78724983023</v>
      </c>
      <c r="BD150" s="171">
        <f t="shared" si="353"/>
        <v>292531.57449966046</v>
      </c>
      <c r="BE150" s="171">
        <f t="shared" si="353"/>
        <v>0</v>
      </c>
      <c r="BF150" s="171">
        <f t="shared" si="353"/>
        <v>146607.77921244109</v>
      </c>
      <c r="BG150" s="171">
        <f t="shared" si="353"/>
        <v>293215.55842488218</v>
      </c>
      <c r="BH150" s="171">
        <f t="shared" si="353"/>
        <v>0</v>
      </c>
      <c r="BI150" s="171">
        <f t="shared" si="353"/>
        <v>146623.40962026748</v>
      </c>
      <c r="BJ150" s="171">
        <f t="shared" si="353"/>
        <v>293866.65807845362</v>
      </c>
      <c r="BK150" s="171">
        <f t="shared" si="353"/>
        <v>0</v>
      </c>
      <c r="BL150" s="171">
        <f t="shared" si="353"/>
        <v>148991.24649718913</v>
      </c>
      <c r="BM150" s="171">
        <f t="shared" si="353"/>
        <v>290377.64104736864</v>
      </c>
      <c r="BN150" s="171">
        <f t="shared" si="353"/>
        <v>0</v>
      </c>
      <c r="BO150" s="171">
        <f t="shared" si="353"/>
        <v>149906.04023107598</v>
      </c>
      <c r="BP150" s="171">
        <f t="shared" si="353"/>
        <v>299812.08046215196</v>
      </c>
      <c r="BQ150" s="171">
        <f t="shared" si="353"/>
        <v>0</v>
      </c>
      <c r="BR150" s="171">
        <f t="shared" si="353"/>
        <v>150256.58199275212</v>
      </c>
      <c r="BS150" s="171">
        <f t="shared" si="353"/>
        <v>300513.16398550424</v>
      </c>
      <c r="BT150" s="171">
        <f t="shared" si="353"/>
        <v>0</v>
      </c>
      <c r="BU150" s="171">
        <f t="shared" si="353"/>
        <v>150272.60316077413</v>
      </c>
      <c r="BV150" s="171">
        <f t="shared" si="353"/>
        <v>301180.54113041493</v>
      </c>
      <c r="BW150" s="171">
        <f t="shared" si="353"/>
        <v>0</v>
      </c>
      <c r="BX150" s="171">
        <f t="shared" si="353"/>
        <v>152699.63595961881</v>
      </c>
      <c r="BY150" s="171">
        <f t="shared" ref="BY150:DT150" si="354">BY147+BY148-BY149</f>
        <v>297604.29867355281</v>
      </c>
      <c r="BZ150" s="171">
        <f t="shared" si="354"/>
        <v>0</v>
      </c>
      <c r="CA150" s="171">
        <f t="shared" si="354"/>
        <v>153637.29953685289</v>
      </c>
      <c r="CB150" s="171">
        <f t="shared" si="354"/>
        <v>307274.59907370579</v>
      </c>
      <c r="CC150" s="171">
        <f t="shared" si="354"/>
        <v>0</v>
      </c>
      <c r="CD150" s="171">
        <f t="shared" si="354"/>
        <v>153996.60484257093</v>
      </c>
      <c r="CE150" s="171">
        <f t="shared" si="354"/>
        <v>307993.20968514186</v>
      </c>
      <c r="CF150" s="171">
        <f t="shared" si="354"/>
        <v>0</v>
      </c>
      <c r="CG150" s="171">
        <f t="shared" si="354"/>
        <v>154013.0265397935</v>
      </c>
      <c r="CH150" s="171">
        <f t="shared" si="354"/>
        <v>308677.27125867526</v>
      </c>
      <c r="CI150" s="171">
        <f t="shared" si="354"/>
        <v>0</v>
      </c>
      <c r="CJ150" s="171">
        <f t="shared" si="354"/>
        <v>156500.73515860931</v>
      </c>
      <c r="CK150" s="171">
        <f t="shared" si="354"/>
        <v>305011.6227403917</v>
      </c>
      <c r="CL150" s="171">
        <f t="shared" si="354"/>
        <v>0</v>
      </c>
      <c r="CM150" s="171">
        <f t="shared" si="354"/>
        <v>157461.84032527421</v>
      </c>
      <c r="CN150" s="171">
        <f t="shared" si="354"/>
        <v>314923.68065054843</v>
      </c>
      <c r="CO150" s="171">
        <f t="shared" si="354"/>
        <v>0</v>
      </c>
      <c r="CP150" s="171">
        <f t="shared" si="354"/>
        <v>157830.12826363521</v>
      </c>
      <c r="CQ150" s="171">
        <f t="shared" si="354"/>
        <v>315660.25652727042</v>
      </c>
      <c r="CR150" s="171">
        <f t="shared" si="354"/>
        <v>0</v>
      </c>
      <c r="CS150" s="171">
        <f t="shared" si="354"/>
        <v>157846.96050328831</v>
      </c>
      <c r="CT150" s="171">
        <f t="shared" si="354"/>
        <v>316361.41964014212</v>
      </c>
      <c r="CU150" s="171">
        <f t="shared" si="354"/>
        <v>0</v>
      </c>
      <c r="CV150" s="171">
        <f t="shared" si="354"/>
        <v>160396.86183757451</v>
      </c>
      <c r="CW150" s="171">
        <f t="shared" si="354"/>
        <v>312604.12990890141</v>
      </c>
      <c r="CX150" s="171">
        <f t="shared" si="354"/>
        <v>0</v>
      </c>
      <c r="CY150" s="171">
        <f t="shared" si="354"/>
        <v>157699.49541265349</v>
      </c>
      <c r="CZ150" s="171">
        <f t="shared" si="354"/>
        <v>315398.99082530697</v>
      </c>
      <c r="DA150" s="171">
        <f t="shared" si="354"/>
        <v>0</v>
      </c>
      <c r="DB150" s="171">
        <f t="shared" si="354"/>
        <v>158076.99054947344</v>
      </c>
      <c r="DC150" s="171">
        <f t="shared" si="354"/>
        <v>316153.98109894688</v>
      </c>
      <c r="DD150" s="171">
        <f t="shared" si="354"/>
        <v>0</v>
      </c>
      <c r="DE150" s="171">
        <f t="shared" si="354"/>
        <v>158102.59088233087</v>
      </c>
      <c r="DF150" s="171">
        <f t="shared" si="354"/>
        <v>316870.15517882409</v>
      </c>
      <c r="DG150" s="171">
        <f t="shared" si="354"/>
        <v>0</v>
      </c>
      <c r="DH150" s="171">
        <f t="shared" si="354"/>
        <v>160686.48843861304</v>
      </c>
      <c r="DI150" s="171">
        <f t="shared" si="354"/>
        <v>321372.97687722609</v>
      </c>
      <c r="DJ150" s="171">
        <f t="shared" si="354"/>
        <v>0</v>
      </c>
      <c r="DK150" s="171">
        <f t="shared" si="354"/>
        <v>161674.65752064821</v>
      </c>
      <c r="DL150" s="171">
        <f t="shared" si="354"/>
        <v>323349.31504129642</v>
      </c>
      <c r="DM150" s="171">
        <f t="shared" si="354"/>
        <v>0</v>
      </c>
      <c r="DN150" s="171">
        <f t="shared" si="354"/>
        <v>162061.59003588869</v>
      </c>
      <c r="DO150" s="171">
        <f t="shared" si="354"/>
        <v>324123.18007177737</v>
      </c>
      <c r="DP150" s="171">
        <f t="shared" si="354"/>
        <v>0</v>
      </c>
      <c r="DQ150" s="171">
        <f t="shared" si="354"/>
        <v>162087.8303770675</v>
      </c>
      <c r="DR150" s="171">
        <f t="shared" si="354"/>
        <v>324857.25850365142</v>
      </c>
      <c r="DS150" s="171">
        <f t="shared" si="354"/>
        <v>0</v>
      </c>
      <c r="DT150" s="171">
        <f t="shared" si="354"/>
        <v>164687.25894957836</v>
      </c>
      <c r="DU150" s="171">
        <f t="shared" ref="DU150:EA150" si="355">DU147+DU148-DU149</f>
        <v>329374.51789915672</v>
      </c>
      <c r="DV150" s="171">
        <f t="shared" si="355"/>
        <v>0</v>
      </c>
      <c r="DW150" s="171">
        <f t="shared" si="355"/>
        <v>165700.13225866435</v>
      </c>
      <c r="DX150" s="171">
        <f t="shared" si="355"/>
        <v>331400.2645173287</v>
      </c>
      <c r="DY150" s="171">
        <f t="shared" si="355"/>
        <v>0</v>
      </c>
      <c r="DZ150" s="171">
        <f t="shared" si="355"/>
        <v>166096.73808678589</v>
      </c>
      <c r="EA150" s="171">
        <f t="shared" si="355"/>
        <v>332193.47617357178</v>
      </c>
      <c r="EB150" s="171">
        <f t="shared" ref="EB150:EQ150" si="356">EB147+EB148-EB149</f>
        <v>0</v>
      </c>
      <c r="EC150" s="171">
        <f t="shared" si="356"/>
        <v>0</v>
      </c>
      <c r="ED150" s="1321">
        <f t="shared" si="356"/>
        <v>0</v>
      </c>
      <c r="EE150" s="171">
        <f t="shared" si="356"/>
        <v>0</v>
      </c>
      <c r="EF150" s="171">
        <f t="shared" si="356"/>
        <v>0</v>
      </c>
      <c r="EG150" s="171">
        <f t="shared" si="356"/>
        <v>0</v>
      </c>
      <c r="EH150" s="171">
        <f t="shared" si="356"/>
        <v>0</v>
      </c>
      <c r="EI150" s="171">
        <f t="shared" si="356"/>
        <v>0</v>
      </c>
      <c r="EJ150" s="171">
        <f t="shared" si="356"/>
        <v>0</v>
      </c>
      <c r="EK150" s="171">
        <f t="shared" si="356"/>
        <v>0</v>
      </c>
      <c r="EL150" s="171">
        <f t="shared" si="356"/>
        <v>0</v>
      </c>
      <c r="EM150" s="171">
        <f t="shared" si="356"/>
        <v>0</v>
      </c>
      <c r="EN150" s="171">
        <f t="shared" si="356"/>
        <v>0</v>
      </c>
      <c r="EO150" s="171">
        <f t="shared" si="356"/>
        <v>0</v>
      </c>
      <c r="EP150" s="171">
        <f t="shared" si="356"/>
        <v>0</v>
      </c>
      <c r="EQ150" s="171">
        <f t="shared" si="356"/>
        <v>0</v>
      </c>
    </row>
    <row r="151" spans="3:147" ht="11.25" customHeight="1">
      <c r="C151" s="158" t="s">
        <v>229</v>
      </c>
      <c r="D151" s="159"/>
      <c r="E151" s="159"/>
      <c r="F151" s="159"/>
      <c r="G151" s="159"/>
      <c r="H151" s="160"/>
      <c r="I151" s="246"/>
      <c r="J151" s="161"/>
      <c r="K151" s="98"/>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162"/>
      <c r="AK151" s="162"/>
      <c r="AL151" s="162"/>
      <c r="AM151" s="162"/>
      <c r="AN151" s="162"/>
      <c r="AO151" s="162"/>
      <c r="AP151" s="162"/>
      <c r="AQ151" s="162"/>
      <c r="AR151" s="162"/>
      <c r="AS151" s="162"/>
      <c r="AT151" s="162"/>
      <c r="AU151" s="162"/>
      <c r="AV151" s="162"/>
      <c r="AW151" s="162"/>
      <c r="AX151" s="162"/>
      <c r="AY151" s="162"/>
      <c r="AZ151" s="162"/>
      <c r="BA151" s="162"/>
      <c r="BB151" s="162"/>
      <c r="BC151" s="162"/>
      <c r="BD151" s="162"/>
      <c r="BE151" s="162"/>
      <c r="BF151" s="162"/>
      <c r="BG151" s="162"/>
      <c r="BH151" s="162"/>
      <c r="BI151" s="162"/>
      <c r="BJ151" s="162"/>
      <c r="BK151" s="162"/>
      <c r="BL151" s="162"/>
      <c r="BM151" s="162"/>
      <c r="BN151" s="162"/>
      <c r="BO151" s="162"/>
      <c r="BP151" s="162"/>
      <c r="BQ151" s="162"/>
      <c r="BR151" s="162"/>
      <c r="BS151" s="162"/>
      <c r="BT151" s="162"/>
      <c r="BU151" s="162"/>
      <c r="BV151" s="162"/>
      <c r="BW151" s="162"/>
      <c r="BX151" s="162"/>
      <c r="BY151" s="162"/>
      <c r="BZ151" s="162"/>
      <c r="CA151" s="162"/>
      <c r="CB151" s="162"/>
      <c r="CC151" s="162"/>
      <c r="CD151" s="162"/>
      <c r="CE151" s="162"/>
      <c r="CF151" s="162"/>
      <c r="CG151" s="162"/>
      <c r="CH151" s="162"/>
      <c r="CI151" s="162"/>
      <c r="CJ151" s="162"/>
      <c r="CK151" s="162"/>
      <c r="CL151" s="162"/>
      <c r="CM151" s="162"/>
      <c r="CN151" s="162"/>
      <c r="CO151" s="162"/>
      <c r="CP151" s="162"/>
      <c r="CQ151" s="162"/>
      <c r="CR151" s="162"/>
      <c r="CS151" s="162"/>
      <c r="CT151" s="162"/>
      <c r="CU151" s="162"/>
      <c r="CV151" s="162"/>
      <c r="CW151" s="162"/>
      <c r="CX151" s="162"/>
      <c r="CY151" s="162"/>
      <c r="CZ151" s="162"/>
      <c r="DA151" s="162"/>
      <c r="DB151" s="162"/>
      <c r="DC151" s="162"/>
      <c r="DD151" s="162"/>
      <c r="DE151" s="162"/>
      <c r="DF151" s="162"/>
      <c r="DG151" s="162"/>
      <c r="DH151" s="162"/>
      <c r="DI151" s="162"/>
      <c r="DJ151" s="162"/>
      <c r="DK151" s="162"/>
      <c r="DL151" s="162"/>
      <c r="DM151" s="162"/>
      <c r="DN151" s="162"/>
      <c r="DO151" s="162"/>
      <c r="DP151" s="162"/>
      <c r="DQ151" s="162"/>
      <c r="DR151" s="162"/>
      <c r="DS151" s="162"/>
      <c r="DT151" s="162"/>
      <c r="DU151" s="162"/>
      <c r="DV151" s="162"/>
      <c r="DW151" s="162"/>
      <c r="DX151" s="162"/>
      <c r="DY151" s="162"/>
      <c r="DZ151" s="162"/>
      <c r="EA151" s="162"/>
      <c r="EB151" s="162"/>
      <c r="EC151" s="162"/>
      <c r="ED151" s="1319"/>
      <c r="EE151" s="162"/>
      <c r="EF151" s="162"/>
      <c r="EG151" s="162"/>
      <c r="EH151" s="162"/>
      <c r="EI151" s="162"/>
      <c r="EJ151" s="162"/>
      <c r="EK151" s="162"/>
      <c r="EL151" s="162"/>
      <c r="EM151" s="162"/>
      <c r="EN151" s="162"/>
      <c r="EO151" s="162"/>
      <c r="EP151" s="162"/>
      <c r="EQ151" s="162"/>
    </row>
    <row r="152" spans="3:147" ht="11.25" customHeight="1">
      <c r="C152" s="163"/>
      <c r="D152" s="164" t="s">
        <v>217</v>
      </c>
      <c r="E152" s="165"/>
      <c r="F152" s="165"/>
      <c r="G152" s="165"/>
      <c r="H152" s="166"/>
      <c r="I152" s="247"/>
      <c r="J152" s="167"/>
      <c r="K152" s="98"/>
      <c r="L152" s="168">
        <f>K155</f>
        <v>0</v>
      </c>
      <c r="M152" s="168">
        <f t="shared" ref="M152:BX152" si="357">L155</f>
        <v>12856669.630531998</v>
      </c>
      <c r="N152" s="168">
        <f t="shared" si="357"/>
        <v>12876482.457743904</v>
      </c>
      <c r="O152" s="168">
        <f t="shared" si="357"/>
        <v>12895207.94795581</v>
      </c>
      <c r="P152" s="168">
        <f t="shared" si="357"/>
        <v>0</v>
      </c>
      <c r="Q152" s="168">
        <f t="shared" si="357"/>
        <v>18725.49021190518</v>
      </c>
      <c r="R152" s="168">
        <f t="shared" si="357"/>
        <v>37450.980423810361</v>
      </c>
      <c r="S152" s="168">
        <f t="shared" si="357"/>
        <v>56176.470635715537</v>
      </c>
      <c r="T152" s="168">
        <f t="shared" si="357"/>
        <v>74901.960847620721</v>
      </c>
      <c r="U152" s="168">
        <f t="shared" si="357"/>
        <v>93627.451059525905</v>
      </c>
      <c r="V152" s="168">
        <f t="shared" si="357"/>
        <v>0</v>
      </c>
      <c r="W152" s="168">
        <f t="shared" si="357"/>
        <v>18725.49021190518</v>
      </c>
      <c r="X152" s="168">
        <f t="shared" si="357"/>
        <v>37450.980423810361</v>
      </c>
      <c r="Y152" s="168">
        <f t="shared" si="357"/>
        <v>56176.470635715537</v>
      </c>
      <c r="Z152" s="168">
        <f t="shared" si="357"/>
        <v>74909.11211171365</v>
      </c>
      <c r="AA152" s="168">
        <f t="shared" si="357"/>
        <v>93641.753587711763</v>
      </c>
      <c r="AB152" s="168">
        <f t="shared" si="357"/>
        <v>0</v>
      </c>
      <c r="AC152" s="168">
        <f t="shared" si="357"/>
        <v>18732.641475998116</v>
      </c>
      <c r="AD152" s="168">
        <f t="shared" si="357"/>
        <v>37465.282951996232</v>
      </c>
      <c r="AE152" s="168">
        <f t="shared" si="357"/>
        <v>56197.924427994352</v>
      </c>
      <c r="AF152" s="168">
        <f t="shared" si="357"/>
        <v>74930.565903992465</v>
      </c>
      <c r="AG152" s="168">
        <f t="shared" si="357"/>
        <v>93663.207379990577</v>
      </c>
      <c r="AH152" s="168">
        <f t="shared" si="357"/>
        <v>0</v>
      </c>
      <c r="AI152" s="168">
        <f t="shared" si="357"/>
        <v>18732.641475998116</v>
      </c>
      <c r="AJ152" s="168">
        <f t="shared" si="357"/>
        <v>37465.282951996232</v>
      </c>
      <c r="AK152" s="168">
        <f t="shared" si="357"/>
        <v>56197.924427994352</v>
      </c>
      <c r="AL152" s="168">
        <f t="shared" si="357"/>
        <v>74942.771258033928</v>
      </c>
      <c r="AM152" s="168">
        <f t="shared" si="357"/>
        <v>93687.618088073505</v>
      </c>
      <c r="AN152" s="168">
        <f t="shared" si="357"/>
        <v>0</v>
      </c>
      <c r="AO152" s="168">
        <f t="shared" si="357"/>
        <v>18744.846830039573</v>
      </c>
      <c r="AP152" s="168">
        <f t="shared" si="357"/>
        <v>37489.693660079145</v>
      </c>
      <c r="AQ152" s="168">
        <f t="shared" si="357"/>
        <v>56234.540490118714</v>
      </c>
      <c r="AR152" s="168">
        <f t="shared" si="357"/>
        <v>74979.38732015829</v>
      </c>
      <c r="AS152" s="168">
        <f t="shared" si="357"/>
        <v>93724.234150197866</v>
      </c>
      <c r="AT152" s="168">
        <f t="shared" si="357"/>
        <v>0</v>
      </c>
      <c r="AU152" s="168">
        <f t="shared" si="357"/>
        <v>25584.686082256489</v>
      </c>
      <c r="AV152" s="168">
        <f t="shared" si="357"/>
        <v>44329.532912296061</v>
      </c>
      <c r="AW152" s="168">
        <f t="shared" si="357"/>
        <v>63074.37974233563</v>
      </c>
      <c r="AX152" s="168">
        <f t="shared" si="357"/>
        <v>81836.487564370822</v>
      </c>
      <c r="AY152" s="168">
        <f t="shared" si="357"/>
        <v>100598.59538640601</v>
      </c>
      <c r="AZ152" s="168">
        <f t="shared" si="357"/>
        <v>0</v>
      </c>
      <c r="BA152" s="168">
        <f t="shared" si="357"/>
        <v>21527.588176365716</v>
      </c>
      <c r="BB152" s="168">
        <f t="shared" si="357"/>
        <v>40289.695998400908</v>
      </c>
      <c r="BC152" s="168">
        <f t="shared" si="357"/>
        <v>59051.8038204361</v>
      </c>
      <c r="BD152" s="168">
        <f t="shared" si="357"/>
        <v>77869.767206195815</v>
      </c>
      <c r="BE152" s="168">
        <f t="shared" si="357"/>
        <v>96631.875028231007</v>
      </c>
      <c r="BF152" s="168">
        <f t="shared" si="357"/>
        <v>0</v>
      </c>
      <c r="BG152" s="168">
        <f t="shared" si="357"/>
        <v>18762.107822035192</v>
      </c>
      <c r="BH152" s="168">
        <f t="shared" si="357"/>
        <v>37524.215644070384</v>
      </c>
      <c r="BI152" s="168">
        <f t="shared" si="357"/>
        <v>56286.323466105576</v>
      </c>
      <c r="BJ152" s="168">
        <f t="shared" si="357"/>
        <v>75070.751468044677</v>
      </c>
      <c r="BK152" s="168">
        <f t="shared" si="357"/>
        <v>93855.179469983777</v>
      </c>
      <c r="BL152" s="168">
        <f t="shared" si="357"/>
        <v>0</v>
      </c>
      <c r="BM152" s="168">
        <f t="shared" si="357"/>
        <v>18784.428001939097</v>
      </c>
      <c r="BN152" s="168">
        <f t="shared" si="357"/>
        <v>37568.856003878194</v>
      </c>
      <c r="BO152" s="168">
        <f t="shared" si="357"/>
        <v>56353.284005817288</v>
      </c>
      <c r="BP152" s="168">
        <f t="shared" si="357"/>
        <v>75137.712007756389</v>
      </c>
      <c r="BQ152" s="168">
        <f t="shared" si="357"/>
        <v>93922.140009695489</v>
      </c>
      <c r="BR152" s="168">
        <f t="shared" si="357"/>
        <v>0</v>
      </c>
      <c r="BS152" s="168">
        <f t="shared" si="357"/>
        <v>18784.428001939097</v>
      </c>
      <c r="BT152" s="168">
        <f t="shared" si="357"/>
        <v>37568.856003878194</v>
      </c>
      <c r="BU152" s="168">
        <f t="shared" si="357"/>
        <v>56353.284005817288</v>
      </c>
      <c r="BV152" s="168">
        <f t="shared" si="357"/>
        <v>75165.09692779505</v>
      </c>
      <c r="BW152" s="168">
        <f t="shared" si="357"/>
        <v>93976.909849772812</v>
      </c>
      <c r="BX152" s="168">
        <f t="shared" si="357"/>
        <v>0</v>
      </c>
      <c r="BY152" s="168">
        <f t="shared" ref="BY152:DT152" si="358">BX155</f>
        <v>18811.812921977758</v>
      </c>
      <c r="BZ152" s="168">
        <f t="shared" si="358"/>
        <v>37623.625843955517</v>
      </c>
      <c r="CA152" s="168">
        <f t="shared" si="358"/>
        <v>56435.438765933271</v>
      </c>
      <c r="CB152" s="168">
        <f t="shared" si="358"/>
        <v>75247.251687911034</v>
      </c>
      <c r="CC152" s="168">
        <f t="shared" si="358"/>
        <v>94059.064609888796</v>
      </c>
      <c r="CD152" s="168">
        <f t="shared" si="358"/>
        <v>0</v>
      </c>
      <c r="CE152" s="168">
        <f t="shared" si="358"/>
        <v>18811.812921977758</v>
      </c>
      <c r="CF152" s="168">
        <f t="shared" si="358"/>
        <v>37623.625843955517</v>
      </c>
      <c r="CG152" s="168">
        <f t="shared" si="358"/>
        <v>56435.438765933271</v>
      </c>
      <c r="CH152" s="168">
        <f t="shared" si="358"/>
        <v>75279.708903703548</v>
      </c>
      <c r="CI152" s="168">
        <f t="shared" si="358"/>
        <v>94123.979041473824</v>
      </c>
      <c r="CJ152" s="168">
        <f t="shared" si="358"/>
        <v>0</v>
      </c>
      <c r="CK152" s="168">
        <f t="shared" si="358"/>
        <v>18844.270137770283</v>
      </c>
      <c r="CL152" s="168">
        <f t="shared" si="358"/>
        <v>37688.540275540567</v>
      </c>
      <c r="CM152" s="168">
        <f t="shared" si="358"/>
        <v>56532.81041331085</v>
      </c>
      <c r="CN152" s="168">
        <f t="shared" si="358"/>
        <v>75377.080551081133</v>
      </c>
      <c r="CO152" s="168">
        <f t="shared" si="358"/>
        <v>94221.350688851409</v>
      </c>
      <c r="CP152" s="168">
        <f t="shared" si="358"/>
        <v>0</v>
      </c>
      <c r="CQ152" s="168">
        <f t="shared" si="358"/>
        <v>18844.270137770283</v>
      </c>
      <c r="CR152" s="168">
        <f t="shared" si="358"/>
        <v>37688.540275540567</v>
      </c>
      <c r="CS152" s="168">
        <f t="shared" si="358"/>
        <v>56532.81041331085</v>
      </c>
      <c r="CT152" s="168">
        <f t="shared" si="358"/>
        <v>75414.619623555875</v>
      </c>
      <c r="CU152" s="168">
        <f t="shared" si="358"/>
        <v>94296.428833800892</v>
      </c>
      <c r="CV152" s="168">
        <f t="shared" si="358"/>
        <v>0</v>
      </c>
      <c r="CW152" s="168">
        <f t="shared" si="358"/>
        <v>18881.809210245021</v>
      </c>
      <c r="CX152" s="168">
        <f t="shared" si="358"/>
        <v>37763.618420490042</v>
      </c>
      <c r="CY152" s="168">
        <f t="shared" si="358"/>
        <v>56645.427630735066</v>
      </c>
      <c r="CZ152" s="168">
        <f t="shared" si="358"/>
        <v>135542.41387938469</v>
      </c>
      <c r="DA152" s="168">
        <f t="shared" si="358"/>
        <v>154424.22308962973</v>
      </c>
      <c r="DB152" s="168">
        <f t="shared" si="358"/>
        <v>0</v>
      </c>
      <c r="DC152" s="168">
        <f t="shared" si="358"/>
        <v>26620.459515054903</v>
      </c>
      <c r="DD152" s="168">
        <f t="shared" si="358"/>
        <v>45502.268725299924</v>
      </c>
      <c r="DE152" s="168">
        <f t="shared" si="358"/>
        <v>64384.077935544949</v>
      </c>
      <c r="DF152" s="168">
        <f t="shared" si="358"/>
        <v>83308.519643897976</v>
      </c>
      <c r="DG152" s="168">
        <f t="shared" si="358"/>
        <v>102232.961352251</v>
      </c>
      <c r="DH152" s="168">
        <f t="shared" si="358"/>
        <v>0</v>
      </c>
      <c r="DI152" s="168">
        <f t="shared" si="358"/>
        <v>23146.141724894125</v>
      </c>
      <c r="DJ152" s="168">
        <f t="shared" si="358"/>
        <v>42070.583433247157</v>
      </c>
      <c r="DK152" s="168">
        <f t="shared" si="358"/>
        <v>64123.912327077422</v>
      </c>
      <c r="DL152" s="168">
        <f t="shared" si="358"/>
        <v>83111.549478964007</v>
      </c>
      <c r="DM152" s="168">
        <f t="shared" si="358"/>
        <v>102035.99118731703</v>
      </c>
      <c r="DN152" s="168">
        <f t="shared" si="358"/>
        <v>0</v>
      </c>
      <c r="DO152" s="168">
        <f t="shared" si="358"/>
        <v>18924.441708353035</v>
      </c>
      <c r="DP152" s="168">
        <f t="shared" si="358"/>
        <v>37848.88341670607</v>
      </c>
      <c r="DQ152" s="168">
        <f t="shared" si="358"/>
        <v>56773.325125059106</v>
      </c>
      <c r="DR152" s="168">
        <f t="shared" si="358"/>
        <v>75745.506337638144</v>
      </c>
      <c r="DS152" s="168">
        <f t="shared" si="358"/>
        <v>94717.687550217175</v>
      </c>
      <c r="DT152" s="168">
        <f t="shared" si="358"/>
        <v>0</v>
      </c>
      <c r="DU152" s="168">
        <f t="shared" ref="DU152:EQ152" si="359">DT155</f>
        <v>18972.181212579035</v>
      </c>
      <c r="DV152" s="168">
        <f t="shared" si="359"/>
        <v>37944.36242515807</v>
      </c>
      <c r="DW152" s="168">
        <f t="shared" si="359"/>
        <v>56916.543637737108</v>
      </c>
      <c r="DX152" s="168">
        <f t="shared" si="359"/>
        <v>75888.724850316139</v>
      </c>
      <c r="DY152" s="168">
        <f t="shared" si="359"/>
        <v>94860.90606289517</v>
      </c>
      <c r="DZ152" s="168">
        <f t="shared" si="359"/>
        <v>0</v>
      </c>
      <c r="EA152" s="168">
        <f t="shared" si="359"/>
        <v>18972.181212579035</v>
      </c>
      <c r="EB152" s="168">
        <f t="shared" si="359"/>
        <v>37944.36242515807</v>
      </c>
      <c r="EC152" s="168">
        <f t="shared" si="359"/>
        <v>0</v>
      </c>
      <c r="ED152" s="1320">
        <f t="shared" si="359"/>
        <v>0</v>
      </c>
      <c r="EE152" s="168">
        <f t="shared" si="359"/>
        <v>0</v>
      </c>
      <c r="EF152" s="168">
        <f t="shared" si="359"/>
        <v>0</v>
      </c>
      <c r="EG152" s="168">
        <f t="shared" si="359"/>
        <v>0</v>
      </c>
      <c r="EH152" s="168">
        <f t="shared" si="359"/>
        <v>0</v>
      </c>
      <c r="EI152" s="168">
        <f t="shared" si="359"/>
        <v>0</v>
      </c>
      <c r="EJ152" s="168">
        <f t="shared" si="359"/>
        <v>0</v>
      </c>
      <c r="EK152" s="168">
        <f t="shared" si="359"/>
        <v>0</v>
      </c>
      <c r="EL152" s="168">
        <f t="shared" si="359"/>
        <v>0</v>
      </c>
      <c r="EM152" s="168">
        <f t="shared" si="359"/>
        <v>0</v>
      </c>
      <c r="EN152" s="168">
        <f t="shared" si="359"/>
        <v>0</v>
      </c>
      <c r="EO152" s="168">
        <f t="shared" si="359"/>
        <v>0</v>
      </c>
      <c r="EP152" s="168">
        <f t="shared" si="359"/>
        <v>0</v>
      </c>
      <c r="EQ152" s="168">
        <f t="shared" si="359"/>
        <v>0</v>
      </c>
    </row>
    <row r="153" spans="3:147" ht="11.25" customHeight="1">
      <c r="C153" s="163"/>
      <c r="D153" s="169" t="s">
        <v>218</v>
      </c>
      <c r="H153" s="146">
        <f>'A&amp;R'!M38</f>
        <v>46326</v>
      </c>
      <c r="I153" s="90">
        <f>'A&amp;R'!P38</f>
        <v>12856669.630531998</v>
      </c>
      <c r="J153" s="170">
        <f>SUM(L153:EQ153)</f>
        <v>15204106.771171089</v>
      </c>
      <c r="K153" s="98"/>
      <c r="L153" s="171">
        <f>(L$145=$H153)*$I153+SUM('IS(M)'!M27:M31,'IS(M)'!M37:M41)*10%</f>
        <v>12856669.630531998</v>
      </c>
      <c r="M153" s="171">
        <f>(M$145=$H153)*$I153+SUM('IS(M)'!N27:N31,'IS(M)'!N37:N41)*10%</f>
        <v>19812.827211905184</v>
      </c>
      <c r="N153" s="171">
        <f>(N$145=$H153)*$I153+SUM('IS(M)'!O27:O31,'IS(M)'!O37:O41)*10%</f>
        <v>18725.49021190518</v>
      </c>
      <c r="O153" s="171">
        <f>(O$145=$H153)*$I153+SUM('IS(M)'!P27:P31,'IS(M)'!P37:P41)*10%</f>
        <v>18725.49021190518</v>
      </c>
      <c r="P153" s="171">
        <f>(P$145=$H153)*$I153+SUM('IS(M)'!Q27:Q31,'IS(M)'!Q37:Q41)*10%</f>
        <v>18725.49021190518</v>
      </c>
      <c r="Q153" s="171">
        <f>(Q$145=$H153)*$I153+SUM('IS(M)'!R27:R31,'IS(M)'!R37:R41)*10%</f>
        <v>18725.49021190518</v>
      </c>
      <c r="R153" s="171">
        <f>(R$145=$H153)*$I153+SUM('IS(M)'!S27:S31,'IS(M)'!S37:S41)*10%</f>
        <v>18725.49021190518</v>
      </c>
      <c r="S153" s="171">
        <f>(S$145=$H153)*$I153+SUM('IS(M)'!T27:T31,'IS(M)'!T37:T41)*10%</f>
        <v>18725.49021190518</v>
      </c>
      <c r="T153" s="171">
        <f>(T$145=$H153)*$I153+SUM('IS(M)'!U27:U31,'IS(M)'!U37:U41)*10%</f>
        <v>18725.49021190518</v>
      </c>
      <c r="U153" s="171">
        <f>(U$145=$H153)*$I153+SUM('IS(M)'!V27:V31,'IS(M)'!V37:V41)*10%</f>
        <v>18725.49021190518</v>
      </c>
      <c r="V153" s="171">
        <f>(V$145=$H153)*$I153+SUM('IS(M)'!W27:W31,'IS(M)'!W37:W41)*10%</f>
        <v>18725.49021190518</v>
      </c>
      <c r="W153" s="171">
        <f>(W$145=$H153)*$I153+SUM('IS(M)'!X27:X31,'IS(M)'!X37:X41)*10%</f>
        <v>18725.49021190518</v>
      </c>
      <c r="X153" s="171">
        <f>(X$145=$H153)*$I153+SUM('IS(M)'!Y27:Y31,'IS(M)'!Y37:Y41)*10%</f>
        <v>18725.49021190518</v>
      </c>
      <c r="Y153" s="171">
        <f>(Y$145=$H153)*$I153+SUM('IS(M)'!Z27:Z31,'IS(M)'!Z37:Z41)*10%</f>
        <v>18732.641475998116</v>
      </c>
      <c r="Z153" s="171">
        <f>(Z$145=$H153)*$I153+SUM('IS(M)'!AA27:AA31,'IS(M)'!AA37:AA41)*10%</f>
        <v>18732.641475998116</v>
      </c>
      <c r="AA153" s="171">
        <f>(AA$145=$H153)*$I153+SUM('IS(M)'!AB27:AB31,'IS(M)'!AB37:AB41)*10%</f>
        <v>18732.641475998116</v>
      </c>
      <c r="AB153" s="171">
        <f>(AB$145=$H153)*$I153+SUM('IS(M)'!AC27:AC31,'IS(M)'!AC37:AC41)*10%</f>
        <v>18732.641475998116</v>
      </c>
      <c r="AC153" s="171">
        <f>(AC$145=$H153)*$I153+SUM('IS(M)'!AD27:AD31,'IS(M)'!AD37:AD41)*10%</f>
        <v>18732.641475998116</v>
      </c>
      <c r="AD153" s="171">
        <f>(AD$145=$H153)*$I153+SUM('IS(M)'!AE27:AE31,'IS(M)'!AE37:AE41)*10%</f>
        <v>18732.641475998116</v>
      </c>
      <c r="AE153" s="171">
        <f>(AE$145=$H153)*$I153+SUM('IS(M)'!AF27:AF31,'IS(M)'!AF37:AF41)*10%</f>
        <v>18732.641475998116</v>
      </c>
      <c r="AF153" s="171">
        <f>(AF$145=$H153)*$I153+SUM('IS(M)'!AG27:AG31,'IS(M)'!AG37:AG41)*10%</f>
        <v>18732.641475998116</v>
      </c>
      <c r="AG153" s="171">
        <f>(AG$145=$H153)*$I153+SUM('IS(M)'!AH27:AH31,'IS(M)'!AH37:AH41)*10%</f>
        <v>18732.641475998116</v>
      </c>
      <c r="AH153" s="171">
        <f>(AH$145=$H153)*$I153+SUM('IS(M)'!AI27:AI31,'IS(M)'!AI37:AI41)*10%</f>
        <v>18732.641475998116</v>
      </c>
      <c r="AI153" s="171">
        <f>(AI$145=$H153)*$I153+SUM('IS(M)'!AJ27:AJ31,'IS(M)'!AJ37:AJ41)*10%</f>
        <v>18732.641475998116</v>
      </c>
      <c r="AJ153" s="171">
        <f>(AJ$145=$H153)*$I153+SUM('IS(M)'!AK27:AK31,'IS(M)'!AK37:AK41)*10%</f>
        <v>18732.641475998116</v>
      </c>
      <c r="AK153" s="171">
        <f>(AK$145=$H153)*$I153+SUM('IS(M)'!AL27:AL31,'IS(M)'!AL37:AL41)*10%</f>
        <v>18744.846830039573</v>
      </c>
      <c r="AL153" s="171">
        <f>(AL$145=$H153)*$I153+SUM('IS(M)'!AM27:AM31,'IS(M)'!AM37:AM41)*10%</f>
        <v>18744.846830039573</v>
      </c>
      <c r="AM153" s="171">
        <f>(AM$145=$H153)*$I153+SUM('IS(M)'!AN27:AN31,'IS(M)'!AN37:AN41)*10%</f>
        <v>18744.846830039573</v>
      </c>
      <c r="AN153" s="171">
        <f>(AN$145=$H153)*$I153+SUM('IS(M)'!AO27:AO31,'IS(M)'!AO37:AO41)*10%</f>
        <v>18744.846830039573</v>
      </c>
      <c r="AO153" s="171">
        <f>(AO$145=$H153)*$I153+SUM('IS(M)'!AP27:AP31,'IS(M)'!AP37:AP41)*10%</f>
        <v>18744.846830039573</v>
      </c>
      <c r="AP153" s="171">
        <f>(AP$145=$H153)*$I153+SUM('IS(M)'!AQ27:AQ31,'IS(M)'!AQ37:AQ41)*10%</f>
        <v>18744.846830039573</v>
      </c>
      <c r="AQ153" s="171">
        <f>(AQ$145=$H153)*$I153+SUM('IS(M)'!AR27:AR31,'IS(M)'!AR37:AR41)*10%</f>
        <v>18744.846830039573</v>
      </c>
      <c r="AR153" s="171">
        <f>(AR$145=$H153)*$I153+SUM('IS(M)'!AS27:AS31,'IS(M)'!AS37:AS41)*10%</f>
        <v>18744.846830039573</v>
      </c>
      <c r="AS153" s="171">
        <f>(AS$145=$H153)*$I153+SUM('IS(M)'!AT27:AT31,'IS(M)'!AT37:AT41)*10%</f>
        <v>18744.846830039573</v>
      </c>
      <c r="AT153" s="171">
        <f>(AT$145=$H153)*$I153+SUM('IS(M)'!AU27:AU31,'IS(M)'!AU37:AU41)*10%</f>
        <v>25584.686082256489</v>
      </c>
      <c r="AU153" s="171">
        <f>(AU$145=$H153)*$I153+SUM('IS(M)'!AV27:AV31,'IS(M)'!AV37:AV41)*10%</f>
        <v>18744.846830039573</v>
      </c>
      <c r="AV153" s="171">
        <f>(AV$145=$H153)*$I153+SUM('IS(M)'!AW27:AW31,'IS(M)'!AW37:AW41)*10%</f>
        <v>18744.846830039573</v>
      </c>
      <c r="AW153" s="171">
        <f>(AW$145=$H153)*$I153+SUM('IS(M)'!AX27:AX31,'IS(M)'!AX37:AX41)*10%</f>
        <v>18762.107822035192</v>
      </c>
      <c r="AX153" s="171">
        <f>(AX$145=$H153)*$I153+SUM('IS(M)'!AY27:AY31,'IS(M)'!AY37:AY41)*10%</f>
        <v>18762.107822035192</v>
      </c>
      <c r="AY153" s="171">
        <f>(AY$145=$H153)*$I153+SUM('IS(M)'!AZ27:AZ31,'IS(M)'!AZ37:AZ41)*10%</f>
        <v>20316.321635187589</v>
      </c>
      <c r="AZ153" s="171">
        <f>(AZ$145=$H153)*$I153+SUM('IS(M)'!BA27:BA31,'IS(M)'!BA37:BA41)*10%</f>
        <v>21527.588176365716</v>
      </c>
      <c r="BA153" s="171">
        <f>(BA$145=$H153)*$I153+SUM('IS(M)'!BB27:BB31,'IS(M)'!BB37:BB41)*10%</f>
        <v>18762.107822035192</v>
      </c>
      <c r="BB153" s="171">
        <f>(BB$145=$H153)*$I153+SUM('IS(M)'!BC27:BC31,'IS(M)'!BC37:BC41)*10%</f>
        <v>18762.107822035192</v>
      </c>
      <c r="BC153" s="171">
        <f>(BC$145=$H153)*$I153+SUM('IS(M)'!BD27:BD31,'IS(M)'!BD37:BD41)*10%</f>
        <v>18817.963385759711</v>
      </c>
      <c r="BD153" s="171">
        <f>(BD$145=$H153)*$I153+SUM('IS(M)'!BE27:BE31,'IS(M)'!BE37:BE41)*10%</f>
        <v>18762.107822035192</v>
      </c>
      <c r="BE153" s="171">
        <f>(BE$145=$H153)*$I153+SUM('IS(M)'!BF27:BF31,'IS(M)'!BF37:BF41)*10%</f>
        <v>18762.107822035192</v>
      </c>
      <c r="BF153" s="171">
        <f>(BF$145=$H153)*$I153+SUM('IS(M)'!BG27:BG31,'IS(M)'!BG37:BG41)*10%</f>
        <v>18762.107822035192</v>
      </c>
      <c r="BG153" s="171">
        <f>(BG$145=$H153)*$I153+SUM('IS(M)'!BH27:BH31,'IS(M)'!BH37:BH41)*10%</f>
        <v>18762.107822035192</v>
      </c>
      <c r="BH153" s="171">
        <f>(BH$145=$H153)*$I153+SUM('IS(M)'!BI27:BI31,'IS(M)'!BI37:BI41)*10%</f>
        <v>18762.107822035192</v>
      </c>
      <c r="BI153" s="171">
        <f>(BI$145=$H153)*$I153+SUM('IS(M)'!BJ27:BJ31,'IS(M)'!BJ37:BJ41)*10%</f>
        <v>18784.428001939097</v>
      </c>
      <c r="BJ153" s="171">
        <f>(BJ$145=$H153)*$I153+SUM('IS(M)'!BK27:BK31,'IS(M)'!BK37:BK41)*10%</f>
        <v>18784.428001939097</v>
      </c>
      <c r="BK153" s="171">
        <f>(BK$145=$H153)*$I153+SUM('IS(M)'!BL27:BL31,'IS(M)'!BL37:BL41)*10%</f>
        <v>18784.428001939097</v>
      </c>
      <c r="BL153" s="171">
        <f>(BL$145=$H153)*$I153+SUM('IS(M)'!BM27:BM31,'IS(M)'!BM37:BM41)*10%</f>
        <v>18784.428001939097</v>
      </c>
      <c r="BM153" s="171">
        <f>(BM$145=$H153)*$I153+SUM('IS(M)'!BN27:BN31,'IS(M)'!BN37:BN41)*10%</f>
        <v>18784.428001939097</v>
      </c>
      <c r="BN153" s="171">
        <f>(BN$145=$H153)*$I153+SUM('IS(M)'!BO27:BO31,'IS(M)'!BO37:BO41)*10%</f>
        <v>18784.428001939097</v>
      </c>
      <c r="BO153" s="171">
        <f>(BO$145=$H153)*$I153+SUM('IS(M)'!BP27:BP31,'IS(M)'!BP37:BP41)*10%</f>
        <v>18784.428001939097</v>
      </c>
      <c r="BP153" s="171">
        <f>(BP$145=$H153)*$I153+SUM('IS(M)'!BQ27:BQ31,'IS(M)'!BQ37:BQ41)*10%</f>
        <v>18784.428001939097</v>
      </c>
      <c r="BQ153" s="171">
        <f>(BQ$145=$H153)*$I153+SUM('IS(M)'!BR27:BR31,'IS(M)'!BR37:BR41)*10%</f>
        <v>18784.428001939097</v>
      </c>
      <c r="BR153" s="171">
        <f>(BR$145=$H153)*$I153+SUM('IS(M)'!BS27:BS31,'IS(M)'!BS37:BS41)*10%</f>
        <v>18784.428001939097</v>
      </c>
      <c r="BS153" s="171">
        <f>(BS$145=$H153)*$I153+SUM('IS(M)'!BT27:BT31,'IS(M)'!BT37:BT41)*10%</f>
        <v>18784.428001939097</v>
      </c>
      <c r="BT153" s="171">
        <f>(BT$145=$H153)*$I153+SUM('IS(M)'!BU27:BU31,'IS(M)'!BU37:BU41)*10%</f>
        <v>18784.428001939097</v>
      </c>
      <c r="BU153" s="171">
        <f>(BU$145=$H153)*$I153+SUM('IS(M)'!BV27:BV31,'IS(M)'!BV37:BV41)*10%</f>
        <v>18811.812921977758</v>
      </c>
      <c r="BV153" s="171">
        <f>(BV$145=$H153)*$I153+SUM('IS(M)'!BW27:BW31,'IS(M)'!BW37:BW41)*10%</f>
        <v>18811.812921977758</v>
      </c>
      <c r="BW153" s="171">
        <f>(BW$145=$H153)*$I153+SUM('IS(M)'!BX27:BX31,'IS(M)'!BX37:BX41)*10%</f>
        <v>18811.812921977758</v>
      </c>
      <c r="BX153" s="171">
        <f>(BX$145=$H153)*$I153+SUM('IS(M)'!BY27:BY31,'IS(M)'!BY37:BY41)*10%</f>
        <v>18811.812921977758</v>
      </c>
      <c r="BY153" s="171">
        <f>(BY$145=$H153)*$I153+SUM('IS(M)'!BZ27:BZ31,'IS(M)'!BZ37:BZ41)*10%</f>
        <v>18811.812921977758</v>
      </c>
      <c r="BZ153" s="171">
        <f>(BZ$145=$H153)*$I153+SUM('IS(M)'!CA27:CA31,'IS(M)'!CA37:CA41)*10%</f>
        <v>18811.812921977758</v>
      </c>
      <c r="CA153" s="171">
        <f>(CA$145=$H153)*$I153+SUM('IS(M)'!CB27:CB31,'IS(M)'!CB37:CB41)*10%</f>
        <v>18811.812921977758</v>
      </c>
      <c r="CB153" s="171">
        <f>(CB$145=$H153)*$I153+SUM('IS(M)'!CC27:CC31,'IS(M)'!CC37:CC41)*10%</f>
        <v>18811.812921977758</v>
      </c>
      <c r="CC153" s="171">
        <f>(CC$145=$H153)*$I153+SUM('IS(M)'!CD27:CD31,'IS(M)'!CD37:CD41)*10%</f>
        <v>18811.812921977758</v>
      </c>
      <c r="CD153" s="171">
        <f>(CD$145=$H153)*$I153+SUM('IS(M)'!CE27:CE31,'IS(M)'!CE37:CE41)*10%</f>
        <v>18811.812921977758</v>
      </c>
      <c r="CE153" s="171">
        <f>(CE$145=$H153)*$I153+SUM('IS(M)'!CF27:CF31,'IS(M)'!CF37:CF41)*10%</f>
        <v>18811.812921977758</v>
      </c>
      <c r="CF153" s="171">
        <f>(CF$145=$H153)*$I153+SUM('IS(M)'!CG27:CG31,'IS(M)'!CG37:CG41)*10%</f>
        <v>18811.812921977758</v>
      </c>
      <c r="CG153" s="171">
        <f>(CG$145=$H153)*$I153+SUM('IS(M)'!CH27:CH31,'IS(M)'!CH37:CH41)*10%</f>
        <v>18844.270137770283</v>
      </c>
      <c r="CH153" s="171">
        <f>(CH$145=$H153)*$I153+SUM('IS(M)'!CI27:CI31,'IS(M)'!CI37:CI41)*10%</f>
        <v>18844.270137770283</v>
      </c>
      <c r="CI153" s="171">
        <f>(CI$145=$H153)*$I153+SUM('IS(M)'!CJ27:CJ31,'IS(M)'!CJ37:CJ41)*10%</f>
        <v>18844.270137770283</v>
      </c>
      <c r="CJ153" s="171">
        <f>(CJ$145=$H153)*$I153+SUM('IS(M)'!CK27:CK31,'IS(M)'!CK37:CK41)*10%</f>
        <v>18844.270137770283</v>
      </c>
      <c r="CK153" s="171">
        <f>(CK$145=$H153)*$I153+SUM('IS(M)'!CL27:CL31,'IS(M)'!CL37:CL41)*10%</f>
        <v>18844.270137770283</v>
      </c>
      <c r="CL153" s="171">
        <f>(CL$145=$H153)*$I153+SUM('IS(M)'!CM27:CM31,'IS(M)'!CM37:CM41)*10%</f>
        <v>18844.270137770283</v>
      </c>
      <c r="CM153" s="171">
        <f>(CM$145=$H153)*$I153+SUM('IS(M)'!CN27:CN31,'IS(M)'!CN37:CN41)*10%</f>
        <v>18844.270137770283</v>
      </c>
      <c r="CN153" s="171">
        <f>(CN$145=$H153)*$I153+SUM('IS(M)'!CO27:CO31,'IS(M)'!CO37:CO41)*10%</f>
        <v>18844.270137770283</v>
      </c>
      <c r="CO153" s="171">
        <f>(CO$145=$H153)*$I153+SUM('IS(M)'!CP27:CP31,'IS(M)'!CP37:CP41)*10%</f>
        <v>18844.270137770283</v>
      </c>
      <c r="CP153" s="171">
        <f>(CP$145=$H153)*$I153+SUM('IS(M)'!CQ27:CQ31,'IS(M)'!CQ37:CQ41)*10%</f>
        <v>18844.270137770283</v>
      </c>
      <c r="CQ153" s="171">
        <f>(CQ$145=$H153)*$I153+SUM('IS(M)'!CR27:CR31,'IS(M)'!CR37:CR41)*10%</f>
        <v>18844.270137770283</v>
      </c>
      <c r="CR153" s="171">
        <f>(CR$145=$H153)*$I153+SUM('IS(M)'!CS27:CS31,'IS(M)'!CS37:CS41)*10%</f>
        <v>18844.270137770283</v>
      </c>
      <c r="CS153" s="171">
        <f>(CS$145=$H153)*$I153+SUM('IS(M)'!CT27:CT31,'IS(M)'!CT37:CT41)*10%</f>
        <v>18881.809210245021</v>
      </c>
      <c r="CT153" s="171">
        <f>(CT$145=$H153)*$I153+SUM('IS(M)'!CU27:CU31,'IS(M)'!CU37:CU41)*10%</f>
        <v>18881.809210245021</v>
      </c>
      <c r="CU153" s="171">
        <f>(CU$145=$H153)*$I153+SUM('IS(M)'!CV27:CV31,'IS(M)'!CV37:CV41)*10%</f>
        <v>18881.809210245021</v>
      </c>
      <c r="CV153" s="171">
        <f>(CV$145=$H153)*$I153+SUM('IS(M)'!CW27:CW31,'IS(M)'!CW37:CW41)*10%</f>
        <v>18881.809210245021</v>
      </c>
      <c r="CW153" s="171">
        <f>(CW$145=$H153)*$I153+SUM('IS(M)'!CX27:CX31,'IS(M)'!CX37:CX41)*10%</f>
        <v>18881.809210245021</v>
      </c>
      <c r="CX153" s="171">
        <f>(CX$145=$H153)*$I153+SUM('IS(M)'!CY27:CY31,'IS(M)'!CY37:CY41)*10%</f>
        <v>18881.809210245021</v>
      </c>
      <c r="CY153" s="171">
        <f>(CY$145=$H153)*$I153+SUM('IS(M)'!CZ27:CZ31,'IS(M)'!CZ37:CZ41)*10%</f>
        <v>78896.986248649642</v>
      </c>
      <c r="CZ153" s="171">
        <f>(CZ$145=$H153)*$I153+SUM('IS(M)'!DA27:DA31,'IS(M)'!DA37:DA41)*10%</f>
        <v>18881.809210245021</v>
      </c>
      <c r="DA153" s="171">
        <f>(DA$145=$H153)*$I153+SUM('IS(M)'!DB27:DB31,'IS(M)'!DB37:DB41)*10%</f>
        <v>18881.809210245021</v>
      </c>
      <c r="DB153" s="171">
        <f>(DB$145=$H153)*$I153+SUM('IS(M)'!DC27:DC31,'IS(M)'!DC37:DC41)*10%</f>
        <v>26620.459515054903</v>
      </c>
      <c r="DC153" s="171">
        <f>(DC$145=$H153)*$I153+SUM('IS(M)'!DD27:DD31,'IS(M)'!DD37:DD41)*10%</f>
        <v>18881.809210245021</v>
      </c>
      <c r="DD153" s="171">
        <f>(DD$145=$H153)*$I153+SUM('IS(M)'!DE27:DE31,'IS(M)'!DE37:DE41)*10%</f>
        <v>18881.809210245021</v>
      </c>
      <c r="DE153" s="171">
        <f>(DE$145=$H153)*$I153+SUM('IS(M)'!DF27:DF31,'IS(M)'!DF37:DF41)*10%</f>
        <v>18924.441708353035</v>
      </c>
      <c r="DF153" s="171">
        <f>(DF$145=$H153)*$I153+SUM('IS(M)'!DG27:DG31,'IS(M)'!DG37:DG41)*10%</f>
        <v>18924.441708353035</v>
      </c>
      <c r="DG153" s="171">
        <f>(DG$145=$H153)*$I153+SUM('IS(M)'!DH27:DH31,'IS(M)'!DH37:DH41)*10%</f>
        <v>20682.891981141711</v>
      </c>
      <c r="DH153" s="171">
        <f>(DH$145=$H153)*$I153+SUM('IS(M)'!DI27:DI31,'IS(M)'!DI37:DI41)*10%</f>
        <v>23146.141724894125</v>
      </c>
      <c r="DI153" s="171">
        <f>(DI$145=$H153)*$I153+SUM('IS(M)'!DJ27:DJ31,'IS(M)'!DJ37:DJ41)*10%</f>
        <v>18924.441708353035</v>
      </c>
      <c r="DJ153" s="171">
        <f>(DJ$145=$H153)*$I153+SUM('IS(M)'!DK27:DK31,'IS(M)'!DK37:DK41)*10%</f>
        <v>22053.328893830265</v>
      </c>
      <c r="DK153" s="171">
        <f>(DK$145=$H153)*$I153+SUM('IS(M)'!DL27:DL31,'IS(M)'!DL37:DL41)*10%</f>
        <v>18987.637151886593</v>
      </c>
      <c r="DL153" s="171">
        <f>(DL$145=$H153)*$I153+SUM('IS(M)'!DM27:DM31,'IS(M)'!DM37:DM41)*10%</f>
        <v>18924.441708353035</v>
      </c>
      <c r="DM153" s="171">
        <f>(DM$145=$H153)*$I153+SUM('IS(M)'!DN27:DN31,'IS(M)'!DN37:DN41)*10%</f>
        <v>18924.441708353035</v>
      </c>
      <c r="DN153" s="171">
        <f>(DN$145=$H153)*$I153+SUM('IS(M)'!DO27:DO31,'IS(M)'!DO37:DO41)*10%</f>
        <v>18924.441708353035</v>
      </c>
      <c r="DO153" s="171">
        <f>(DO$145=$H153)*$I153+SUM('IS(M)'!DP27:DP31,'IS(M)'!DP37:DP41)*10%</f>
        <v>18924.441708353035</v>
      </c>
      <c r="DP153" s="171">
        <f>(DP$145=$H153)*$I153+SUM('IS(M)'!DQ27:DQ31,'IS(M)'!DQ37:DQ41)*10%</f>
        <v>18924.441708353035</v>
      </c>
      <c r="DQ153" s="171">
        <f>(DQ$145=$H153)*$I153+SUM('IS(M)'!DR27:DR31,'IS(M)'!DR37:DR41)*10%</f>
        <v>18972.181212579035</v>
      </c>
      <c r="DR153" s="171">
        <f>(DR$145=$H153)*$I153+SUM('IS(M)'!DS27:DS31,'IS(M)'!DS37:DS41)*10%</f>
        <v>18972.181212579035</v>
      </c>
      <c r="DS153" s="171">
        <f>(DS$145=$H153)*$I153+SUM('IS(M)'!DT27:DT31,'IS(M)'!DT37:DT41)*10%</f>
        <v>18972.181212579035</v>
      </c>
      <c r="DT153" s="171">
        <f>(DT$145=$H153)*$I153+SUM('IS(M)'!DU27:DU31,'IS(M)'!DU37:DU41)*10%</f>
        <v>18972.181212579035</v>
      </c>
      <c r="DU153" s="171">
        <f>(DU$145=$H153)*$I153+SUM('IS(M)'!DV27:DV31,'IS(M)'!DV37:DV41)*10%</f>
        <v>18972.181212579035</v>
      </c>
      <c r="DV153" s="171">
        <f>(DV$145=$H153)*$I153+SUM('IS(M)'!DW27:DW31,'IS(M)'!DW37:DW41)*10%</f>
        <v>18972.181212579035</v>
      </c>
      <c r="DW153" s="171">
        <f>(DW$145=$H153)*$I153+SUM('IS(M)'!DX27:DX31,'IS(M)'!DX37:DX41)*10%</f>
        <v>18972.181212579035</v>
      </c>
      <c r="DX153" s="171">
        <f>(DX$145=$H153)*$I153+SUM('IS(M)'!DY27:DY31,'IS(M)'!DY37:DY41)*10%</f>
        <v>18972.181212579035</v>
      </c>
      <c r="DY153" s="171">
        <f>(DY$145=$H153)*$I153+SUM('IS(M)'!DZ27:DZ31,'IS(M)'!DZ37:DZ41)*10%</f>
        <v>18972.181212579035</v>
      </c>
      <c r="DZ153" s="171">
        <f>(DZ$145=$H153)*$I153+SUM('IS(M)'!EA27:EA31,'IS(M)'!EA37:EA41)*10%</f>
        <v>18972.181212579035</v>
      </c>
      <c r="EA153" s="171">
        <f>(EA$145=$H153)*$I153+SUM('IS(M)'!EB27:EB31,'IS(M)'!EB37:EB41)*10%</f>
        <v>18972.181212579035</v>
      </c>
      <c r="EB153" s="171">
        <f>(EB$145=$H153)*$I153+SUM('IS(M)'!EC27:EC31,'IS(M)'!EC37:EC41)*10%</f>
        <v>18972.181212579035</v>
      </c>
      <c r="EC153" s="171">
        <f>(EC$145=$H153)*$I153+SUM('IS(M)'!ED27:ED31,'IS(M)'!ED37:ED41)*10%</f>
        <v>0</v>
      </c>
      <c r="ED153" s="1321">
        <f>(ED$145=$H153)*$I153+SUM('IS(M)'!EE27:EE31,'IS(M)'!EE37:EE41)*10%</f>
        <v>0</v>
      </c>
      <c r="EE153" s="171">
        <f>(EE$145=$H153)*$I153+SUM('IS(M)'!EF27:EF31,'IS(M)'!EF37:EF41)*10%</f>
        <v>0</v>
      </c>
      <c r="EF153" s="171">
        <f>(EF$145=$H153)*$I153+SUM('IS(M)'!EG27:EG31,'IS(M)'!EG37:EG41)*10%</f>
        <v>0</v>
      </c>
      <c r="EG153" s="171">
        <f>(EG$145=$H153)*$I153+SUM('IS(M)'!EH27:EH31,'IS(M)'!EH37:EH41)*10%</f>
        <v>0</v>
      </c>
      <c r="EH153" s="171">
        <f>(EH$145=$H153)*$I153+SUM('IS(M)'!EI27:EI31,'IS(M)'!EI37:EI41)*10%</f>
        <v>0</v>
      </c>
      <c r="EI153" s="171">
        <f>(EI$145=$H153)*$I153+SUM('IS(M)'!EJ27:EJ31,'IS(M)'!EJ37:EJ41)*10%</f>
        <v>0</v>
      </c>
      <c r="EJ153" s="171">
        <f>(EJ$145=$H153)*$I153+SUM('IS(M)'!EK27:EK31,'IS(M)'!EK37:EK41)*10%</f>
        <v>0</v>
      </c>
      <c r="EK153" s="171">
        <f>(EK$145=$H153)*$I153+SUM('IS(M)'!EL27:EL31,'IS(M)'!EL37:EL41)*10%</f>
        <v>0</v>
      </c>
      <c r="EL153" s="171">
        <f>(EL$145=$H153)*$I153+SUM('IS(M)'!EM27:EM31,'IS(M)'!EM37:EM41)*10%</f>
        <v>0</v>
      </c>
      <c r="EM153" s="171">
        <f>(EM$145=$H153)*$I153+SUM('IS(M)'!EN27:EN31,'IS(M)'!EN37:EN41)*10%</f>
        <v>0</v>
      </c>
      <c r="EN153" s="171">
        <f>(EN$145=$H153)*$I153+SUM('IS(M)'!EO27:EO31,'IS(M)'!EO37:EO41)*10%</f>
        <v>0</v>
      </c>
      <c r="EO153" s="171">
        <f>(EO$145=$H153)*$I153+SUM('IS(M)'!EP27:EP31,'IS(M)'!EP37:EP41)*10%</f>
        <v>0</v>
      </c>
      <c r="EP153" s="171">
        <f>(EP$145=$H153)*$I153+SUM('IS(M)'!EQ27:EQ31,'IS(M)'!EQ37:EQ41)*10%</f>
        <v>0</v>
      </c>
      <c r="EQ153" s="171">
        <f>(EQ$145=$H153)*$I153+SUM('IS(M)'!ER27:ER31,'IS(M)'!ER37:ER41)*10%</f>
        <v>0</v>
      </c>
    </row>
    <row r="154" spans="3:147" ht="11.25" customHeight="1">
      <c r="C154" s="163"/>
      <c r="D154" s="169" t="s">
        <v>219</v>
      </c>
      <c r="H154" s="146">
        <f>'A&amp;R'!N38</f>
        <v>46418</v>
      </c>
      <c r="I154" s="248"/>
      <c r="J154" s="170">
        <f>SUM(L154:EQ154)</f>
        <v>15204106.771171087</v>
      </c>
      <c r="K154" s="98"/>
      <c r="L154" s="171">
        <f>SUM(L152:L153)*Index!L$51</f>
        <v>0</v>
      </c>
      <c r="M154" s="171">
        <f>SUM(M152:M153)*Index!M$51</f>
        <v>0</v>
      </c>
      <c r="N154" s="171">
        <f>SUM(N152:N153)*Index!N$51</f>
        <v>0</v>
      </c>
      <c r="O154" s="171">
        <f>SUM(O152:O153)*Index!O$51</f>
        <v>12913933.438167715</v>
      </c>
      <c r="P154" s="171">
        <f>SUM(P152:P153)*Index!P$51</f>
        <v>0</v>
      </c>
      <c r="Q154" s="171">
        <f>SUM(Q152:Q153)*Index!Q$51</f>
        <v>0</v>
      </c>
      <c r="R154" s="171">
        <f>SUM(R152:R153)*Index!R$51</f>
        <v>0</v>
      </c>
      <c r="S154" s="171">
        <f>SUM(S152:S153)*Index!S$51</f>
        <v>0</v>
      </c>
      <c r="T154" s="171">
        <f>SUM(T152:T153)*Index!T$51</f>
        <v>0</v>
      </c>
      <c r="U154" s="171">
        <f>SUM(U152:U153)*Index!U$51</f>
        <v>112352.94127143109</v>
      </c>
      <c r="V154" s="171">
        <f>SUM(V152:V153)*Index!V$51</f>
        <v>0</v>
      </c>
      <c r="W154" s="171">
        <f>SUM(W152:W153)*Index!W$51</f>
        <v>0</v>
      </c>
      <c r="X154" s="171">
        <f>SUM(X152:X153)*Index!X$51</f>
        <v>0</v>
      </c>
      <c r="Y154" s="171">
        <f>SUM(Y152:Y153)*Index!Y$51</f>
        <v>0</v>
      </c>
      <c r="Z154" s="171">
        <f>SUM(Z152:Z153)*Index!Z$51</f>
        <v>0</v>
      </c>
      <c r="AA154" s="171">
        <f>SUM(AA152:AA153)*Index!AA$51</f>
        <v>112374.39506370988</v>
      </c>
      <c r="AB154" s="171">
        <f>SUM(AB152:AB153)*Index!AB$51</f>
        <v>0</v>
      </c>
      <c r="AC154" s="171">
        <f>SUM(AC152:AC153)*Index!AC$51</f>
        <v>0</v>
      </c>
      <c r="AD154" s="171">
        <f>SUM(AD152:AD153)*Index!AD$51</f>
        <v>0</v>
      </c>
      <c r="AE154" s="171">
        <f>SUM(AE152:AE153)*Index!AE$51</f>
        <v>0</v>
      </c>
      <c r="AF154" s="171">
        <f>SUM(AF152:AF153)*Index!AF$51</f>
        <v>0</v>
      </c>
      <c r="AG154" s="171">
        <f>SUM(AG152:AG153)*Index!AG$51</f>
        <v>112395.84885598869</v>
      </c>
      <c r="AH154" s="171">
        <f>SUM(AH152:AH153)*Index!AH$51</f>
        <v>0</v>
      </c>
      <c r="AI154" s="171">
        <f>SUM(AI152:AI153)*Index!AI$51</f>
        <v>0</v>
      </c>
      <c r="AJ154" s="171">
        <f>SUM(AJ152:AJ153)*Index!AJ$51</f>
        <v>0</v>
      </c>
      <c r="AK154" s="171">
        <f>SUM(AK152:AK153)*Index!AK$51</f>
        <v>0</v>
      </c>
      <c r="AL154" s="171">
        <f>SUM(AL152:AL153)*Index!AL$51</f>
        <v>0</v>
      </c>
      <c r="AM154" s="171">
        <f>SUM(AM152:AM153)*Index!AM$51</f>
        <v>112432.46491811308</v>
      </c>
      <c r="AN154" s="171">
        <f>SUM(AN152:AN153)*Index!AN$51</f>
        <v>0</v>
      </c>
      <c r="AO154" s="171">
        <f>SUM(AO152:AO153)*Index!AO$51</f>
        <v>0</v>
      </c>
      <c r="AP154" s="171">
        <f>SUM(AP152:AP153)*Index!AP$51</f>
        <v>0</v>
      </c>
      <c r="AQ154" s="171">
        <f>SUM(AQ152:AQ153)*Index!AQ$51</f>
        <v>0</v>
      </c>
      <c r="AR154" s="171">
        <f>SUM(AR152:AR153)*Index!AR$51</f>
        <v>0</v>
      </c>
      <c r="AS154" s="171">
        <f>SUM(AS152:AS153)*Index!AS$51</f>
        <v>112469.08098023744</v>
      </c>
      <c r="AT154" s="171">
        <f>SUM(AT152:AT153)*Index!AT$51</f>
        <v>0</v>
      </c>
      <c r="AU154" s="171">
        <f>SUM(AU152:AU153)*Index!AU$51</f>
        <v>0</v>
      </c>
      <c r="AV154" s="171">
        <f>SUM(AV152:AV153)*Index!AV$51</f>
        <v>0</v>
      </c>
      <c r="AW154" s="171">
        <f>SUM(AW152:AW153)*Index!AW$51</f>
        <v>0</v>
      </c>
      <c r="AX154" s="171">
        <f>SUM(AX152:AX153)*Index!AX$51</f>
        <v>0</v>
      </c>
      <c r="AY154" s="171">
        <f>SUM(AY152:AY153)*Index!AY$51</f>
        <v>120914.9170215936</v>
      </c>
      <c r="AZ154" s="171">
        <f>SUM(AZ152:AZ153)*Index!AZ$51</f>
        <v>0</v>
      </c>
      <c r="BA154" s="171">
        <f>SUM(BA152:BA153)*Index!BA$51</f>
        <v>0</v>
      </c>
      <c r="BB154" s="171">
        <f>SUM(BB152:BB153)*Index!BB$51</f>
        <v>0</v>
      </c>
      <c r="BC154" s="171">
        <f>SUM(BC152:BC153)*Index!BC$51</f>
        <v>0</v>
      </c>
      <c r="BD154" s="171">
        <f>SUM(BD152:BD153)*Index!BD$51</f>
        <v>0</v>
      </c>
      <c r="BE154" s="171">
        <f>SUM(BE152:BE153)*Index!BE$51</f>
        <v>115393.9828502662</v>
      </c>
      <c r="BF154" s="171">
        <f>SUM(BF152:BF153)*Index!BF$51</f>
        <v>0</v>
      </c>
      <c r="BG154" s="171">
        <f>SUM(BG152:BG153)*Index!BG$51</f>
        <v>0</v>
      </c>
      <c r="BH154" s="171">
        <f>SUM(BH152:BH153)*Index!BH$51</f>
        <v>0</v>
      </c>
      <c r="BI154" s="171">
        <f>SUM(BI152:BI153)*Index!BI$51</f>
        <v>0</v>
      </c>
      <c r="BJ154" s="171">
        <f>SUM(BJ152:BJ153)*Index!BJ$51</f>
        <v>0</v>
      </c>
      <c r="BK154" s="171">
        <f>SUM(BK152:BK153)*Index!BK$51</f>
        <v>112639.60747192288</v>
      </c>
      <c r="BL154" s="171">
        <f>SUM(BL152:BL153)*Index!BL$51</f>
        <v>0</v>
      </c>
      <c r="BM154" s="171">
        <f>SUM(BM152:BM153)*Index!BM$51</f>
        <v>0</v>
      </c>
      <c r="BN154" s="171">
        <f>SUM(BN152:BN153)*Index!BN$51</f>
        <v>0</v>
      </c>
      <c r="BO154" s="171">
        <f>SUM(BO152:BO153)*Index!BO$51</f>
        <v>0</v>
      </c>
      <c r="BP154" s="171">
        <f>SUM(BP152:BP153)*Index!BP$51</f>
        <v>0</v>
      </c>
      <c r="BQ154" s="171">
        <f>SUM(BQ152:BQ153)*Index!BQ$51</f>
        <v>112706.56801163459</v>
      </c>
      <c r="BR154" s="171">
        <f>SUM(BR152:BR153)*Index!BR$51</f>
        <v>0</v>
      </c>
      <c r="BS154" s="171">
        <f>SUM(BS152:BS153)*Index!BS$51</f>
        <v>0</v>
      </c>
      <c r="BT154" s="171">
        <f>SUM(BT152:BT153)*Index!BT$51</f>
        <v>0</v>
      </c>
      <c r="BU154" s="171">
        <f>SUM(BU152:BU153)*Index!BU$51</f>
        <v>0</v>
      </c>
      <c r="BV154" s="171">
        <f>SUM(BV152:BV153)*Index!BV$51</f>
        <v>0</v>
      </c>
      <c r="BW154" s="171">
        <f>SUM(BW152:BW153)*Index!BW$51</f>
        <v>112788.72277175057</v>
      </c>
      <c r="BX154" s="171">
        <f>SUM(BX152:BX153)*Index!BX$51</f>
        <v>0</v>
      </c>
      <c r="BY154" s="171">
        <f>SUM(BY152:BY153)*Index!BY$51</f>
        <v>0</v>
      </c>
      <c r="BZ154" s="171">
        <f>SUM(BZ152:BZ153)*Index!BZ$51</f>
        <v>0</v>
      </c>
      <c r="CA154" s="171">
        <f>SUM(CA152:CA153)*Index!CA$51</f>
        <v>0</v>
      </c>
      <c r="CB154" s="171">
        <f>SUM(CB152:CB153)*Index!CB$51</f>
        <v>0</v>
      </c>
      <c r="CC154" s="171">
        <f>SUM(CC152:CC153)*Index!CC$51</f>
        <v>112870.87753186656</v>
      </c>
      <c r="CD154" s="171">
        <f>SUM(CD152:CD153)*Index!CD$51</f>
        <v>0</v>
      </c>
      <c r="CE154" s="171">
        <f>SUM(CE152:CE153)*Index!CE$51</f>
        <v>0</v>
      </c>
      <c r="CF154" s="171">
        <f>SUM(CF152:CF153)*Index!CF$51</f>
        <v>0</v>
      </c>
      <c r="CG154" s="171">
        <f>SUM(CG152:CG153)*Index!CG$51</f>
        <v>0</v>
      </c>
      <c r="CH154" s="171">
        <f>SUM(CH152:CH153)*Index!CH$51</f>
        <v>0</v>
      </c>
      <c r="CI154" s="171">
        <f>SUM(CI152:CI153)*Index!CI$51</f>
        <v>112968.2491792441</v>
      </c>
      <c r="CJ154" s="171">
        <f>SUM(CJ152:CJ153)*Index!CJ$51</f>
        <v>0</v>
      </c>
      <c r="CK154" s="171">
        <f>SUM(CK152:CK153)*Index!CK$51</f>
        <v>0</v>
      </c>
      <c r="CL154" s="171">
        <f>SUM(CL152:CL153)*Index!CL$51</f>
        <v>0</v>
      </c>
      <c r="CM154" s="171">
        <f>SUM(CM152:CM153)*Index!CM$51</f>
        <v>0</v>
      </c>
      <c r="CN154" s="171">
        <f>SUM(CN152:CN153)*Index!CN$51</f>
        <v>0</v>
      </c>
      <c r="CO154" s="171">
        <f>SUM(CO152:CO153)*Index!CO$51</f>
        <v>113065.62082662169</v>
      </c>
      <c r="CP154" s="171">
        <f>SUM(CP152:CP153)*Index!CP$51</f>
        <v>0</v>
      </c>
      <c r="CQ154" s="171">
        <f>SUM(CQ152:CQ153)*Index!CQ$51</f>
        <v>0</v>
      </c>
      <c r="CR154" s="171">
        <f>SUM(CR152:CR153)*Index!CR$51</f>
        <v>0</v>
      </c>
      <c r="CS154" s="171">
        <f>SUM(CS152:CS153)*Index!CS$51</f>
        <v>0</v>
      </c>
      <c r="CT154" s="171">
        <f>SUM(CT152:CT153)*Index!CT$51</f>
        <v>0</v>
      </c>
      <c r="CU154" s="171">
        <f>SUM(CU152:CU153)*Index!CU$51</f>
        <v>113178.23804404591</v>
      </c>
      <c r="CV154" s="171">
        <f>SUM(CV152:CV153)*Index!CV$51</f>
        <v>0</v>
      </c>
      <c r="CW154" s="171">
        <f>SUM(CW152:CW153)*Index!CW$51</f>
        <v>0</v>
      </c>
      <c r="CX154" s="171">
        <f>SUM(CX152:CX153)*Index!CX$51</f>
        <v>0</v>
      </c>
      <c r="CY154" s="171">
        <f>SUM(CY152:CY153)*Index!CY$51</f>
        <v>0</v>
      </c>
      <c r="CZ154" s="171">
        <f>SUM(CZ152:CZ153)*Index!CZ$51</f>
        <v>0</v>
      </c>
      <c r="DA154" s="171">
        <f>SUM(DA152:DA153)*Index!DA$51</f>
        <v>173306.03229987476</v>
      </c>
      <c r="DB154" s="171">
        <f>SUM(DB152:DB153)*Index!DB$51</f>
        <v>0</v>
      </c>
      <c r="DC154" s="171">
        <f>SUM(DC152:DC153)*Index!DC$51</f>
        <v>0</v>
      </c>
      <c r="DD154" s="171">
        <f>SUM(DD152:DD153)*Index!DD$51</f>
        <v>0</v>
      </c>
      <c r="DE154" s="171">
        <f>SUM(DE152:DE153)*Index!DE$51</f>
        <v>0</v>
      </c>
      <c r="DF154" s="171">
        <f>SUM(DF152:DF153)*Index!DF$51</f>
        <v>0</v>
      </c>
      <c r="DG154" s="171">
        <f>SUM(DG152:DG153)*Index!DG$51</f>
        <v>122915.85333339272</v>
      </c>
      <c r="DH154" s="171">
        <f>SUM(DH152:DH153)*Index!DH$51</f>
        <v>0</v>
      </c>
      <c r="DI154" s="171">
        <f>SUM(DI152:DI153)*Index!DI$51</f>
        <v>0</v>
      </c>
      <c r="DJ154" s="171">
        <f>SUM(DJ152:DJ153)*Index!DJ$51</f>
        <v>0</v>
      </c>
      <c r="DK154" s="171">
        <f>SUM(DK152:DK153)*Index!DK$51</f>
        <v>0</v>
      </c>
      <c r="DL154" s="171">
        <f>SUM(DL152:DL153)*Index!DL$51</f>
        <v>0</v>
      </c>
      <c r="DM154" s="171">
        <f>SUM(DM152:DM153)*Index!DM$51</f>
        <v>120960.43289567006</v>
      </c>
      <c r="DN154" s="171">
        <f>SUM(DN152:DN153)*Index!DN$51</f>
        <v>0</v>
      </c>
      <c r="DO154" s="171">
        <f>SUM(DO152:DO153)*Index!DO$51</f>
        <v>0</v>
      </c>
      <c r="DP154" s="171">
        <f>SUM(DP152:DP153)*Index!DP$51</f>
        <v>0</v>
      </c>
      <c r="DQ154" s="171">
        <f>SUM(DQ152:DQ153)*Index!DQ$51</f>
        <v>0</v>
      </c>
      <c r="DR154" s="171">
        <f>SUM(DR152:DR153)*Index!DR$51</f>
        <v>0</v>
      </c>
      <c r="DS154" s="171">
        <f>SUM(DS152:DS153)*Index!DS$51</f>
        <v>113689.86876279621</v>
      </c>
      <c r="DT154" s="171">
        <f>SUM(DT152:DT153)*Index!DT$51</f>
        <v>0</v>
      </c>
      <c r="DU154" s="171">
        <f>SUM(DU152:DU153)*Index!DU$51</f>
        <v>0</v>
      </c>
      <c r="DV154" s="171">
        <f>SUM(DV152:DV153)*Index!DV$51</f>
        <v>0</v>
      </c>
      <c r="DW154" s="171">
        <f>SUM(DW152:DW153)*Index!DW$51</f>
        <v>0</v>
      </c>
      <c r="DX154" s="171">
        <f>SUM(DX152:DX153)*Index!DX$51</f>
        <v>0</v>
      </c>
      <c r="DY154" s="171">
        <f>SUM(DY152:DY153)*Index!DY$51</f>
        <v>113833.0872754742</v>
      </c>
      <c r="DZ154" s="171">
        <f>SUM(DZ152:DZ153)*Index!DZ$51</f>
        <v>0</v>
      </c>
      <c r="EA154" s="171">
        <f>SUM(EA152:EA153)*Index!EA$51</f>
        <v>0</v>
      </c>
      <c r="EB154" s="171">
        <f>SUM(EB152:EB153)*Index!EB$51</f>
        <v>56916.543637737108</v>
      </c>
      <c r="EC154" s="171">
        <f>SUM(EC152:EC153)*Index!EC$51</f>
        <v>0</v>
      </c>
      <c r="ED154" s="1321">
        <f>SUM(ED152:ED153)*Index!ED$51</f>
        <v>0</v>
      </c>
      <c r="EE154" s="171">
        <f>SUM(EE152:EE153)*Index!EE$51</f>
        <v>0</v>
      </c>
      <c r="EF154" s="171">
        <f>SUM(EF152:EF153)*Index!EF$51</f>
        <v>0</v>
      </c>
      <c r="EG154" s="171">
        <f>SUM(EG152:EG153)*Index!EG$51</f>
        <v>0</v>
      </c>
      <c r="EH154" s="171">
        <f>SUM(EH152:EH153)*Index!EH$51</f>
        <v>0</v>
      </c>
      <c r="EI154" s="171">
        <f>SUM(EI152:EI153)*Index!EI$51</f>
        <v>0</v>
      </c>
      <c r="EJ154" s="171">
        <f>SUM(EJ152:EJ153)*Index!EJ$51</f>
        <v>0</v>
      </c>
      <c r="EK154" s="171">
        <f>SUM(EK152:EK153)*Index!EK$51</f>
        <v>0</v>
      </c>
      <c r="EL154" s="171">
        <f>SUM(EL152:EL153)*Index!EL$51</f>
        <v>0</v>
      </c>
      <c r="EM154" s="171">
        <f>SUM(EM152:EM153)*Index!EM$51</f>
        <v>0</v>
      </c>
      <c r="EN154" s="171">
        <f>SUM(EN152:EN153)*Index!EN$51</f>
        <v>0</v>
      </c>
      <c r="EO154" s="171">
        <f>SUM(EO152:EO153)*Index!EO$51</f>
        <v>0</v>
      </c>
      <c r="EP154" s="171">
        <f>SUM(EP152:EP153)*Index!EP$51</f>
        <v>0</v>
      </c>
      <c r="EQ154" s="171">
        <f>SUM(EQ152:EQ153)*Index!EQ$51</f>
        <v>0</v>
      </c>
    </row>
    <row r="155" spans="3:147" ht="11.25" customHeight="1">
      <c r="C155" s="173"/>
      <c r="D155" s="174" t="s">
        <v>220</v>
      </c>
      <c r="E155" s="175"/>
      <c r="F155" s="175"/>
      <c r="G155" s="175"/>
      <c r="H155" s="197"/>
      <c r="I155" s="249"/>
      <c r="J155" s="176"/>
      <c r="K155" s="98"/>
      <c r="L155" s="177">
        <f>L152+L153-L154</f>
        <v>12856669.630531998</v>
      </c>
      <c r="M155" s="177">
        <f t="shared" ref="M155:BX155" si="360">M152+M153-M154</f>
        <v>12876482.457743904</v>
      </c>
      <c r="N155" s="177">
        <f t="shared" si="360"/>
        <v>12895207.94795581</v>
      </c>
      <c r="O155" s="177">
        <f t="shared" si="360"/>
        <v>0</v>
      </c>
      <c r="P155" s="177">
        <f t="shared" si="360"/>
        <v>18725.49021190518</v>
      </c>
      <c r="Q155" s="177">
        <f t="shared" si="360"/>
        <v>37450.980423810361</v>
      </c>
      <c r="R155" s="177">
        <f t="shared" si="360"/>
        <v>56176.470635715537</v>
      </c>
      <c r="S155" s="177">
        <f t="shared" si="360"/>
        <v>74901.960847620721</v>
      </c>
      <c r="T155" s="177">
        <f t="shared" si="360"/>
        <v>93627.451059525905</v>
      </c>
      <c r="U155" s="177">
        <f t="shared" si="360"/>
        <v>0</v>
      </c>
      <c r="V155" s="177">
        <f t="shared" si="360"/>
        <v>18725.49021190518</v>
      </c>
      <c r="W155" s="177">
        <f t="shared" si="360"/>
        <v>37450.980423810361</v>
      </c>
      <c r="X155" s="177">
        <f t="shared" si="360"/>
        <v>56176.470635715537</v>
      </c>
      <c r="Y155" s="177">
        <f t="shared" si="360"/>
        <v>74909.11211171365</v>
      </c>
      <c r="Z155" s="177">
        <f t="shared" si="360"/>
        <v>93641.753587711763</v>
      </c>
      <c r="AA155" s="177">
        <f t="shared" si="360"/>
        <v>0</v>
      </c>
      <c r="AB155" s="177">
        <f t="shared" si="360"/>
        <v>18732.641475998116</v>
      </c>
      <c r="AC155" s="177">
        <f t="shared" si="360"/>
        <v>37465.282951996232</v>
      </c>
      <c r="AD155" s="177">
        <f t="shared" si="360"/>
        <v>56197.924427994352</v>
      </c>
      <c r="AE155" s="177">
        <f t="shared" si="360"/>
        <v>74930.565903992465</v>
      </c>
      <c r="AF155" s="177">
        <f t="shared" si="360"/>
        <v>93663.207379990577</v>
      </c>
      <c r="AG155" s="177">
        <f t="shared" si="360"/>
        <v>0</v>
      </c>
      <c r="AH155" s="177">
        <f t="shared" si="360"/>
        <v>18732.641475998116</v>
      </c>
      <c r="AI155" s="177">
        <f t="shared" si="360"/>
        <v>37465.282951996232</v>
      </c>
      <c r="AJ155" s="177">
        <f t="shared" si="360"/>
        <v>56197.924427994352</v>
      </c>
      <c r="AK155" s="177">
        <f t="shared" si="360"/>
        <v>74942.771258033928</v>
      </c>
      <c r="AL155" s="177">
        <f t="shared" si="360"/>
        <v>93687.618088073505</v>
      </c>
      <c r="AM155" s="177">
        <f t="shared" si="360"/>
        <v>0</v>
      </c>
      <c r="AN155" s="177">
        <f t="shared" si="360"/>
        <v>18744.846830039573</v>
      </c>
      <c r="AO155" s="177">
        <f t="shared" si="360"/>
        <v>37489.693660079145</v>
      </c>
      <c r="AP155" s="177">
        <f t="shared" si="360"/>
        <v>56234.540490118714</v>
      </c>
      <c r="AQ155" s="177">
        <f t="shared" si="360"/>
        <v>74979.38732015829</v>
      </c>
      <c r="AR155" s="177">
        <f t="shared" si="360"/>
        <v>93724.234150197866</v>
      </c>
      <c r="AS155" s="177">
        <f t="shared" si="360"/>
        <v>0</v>
      </c>
      <c r="AT155" s="177">
        <f t="shared" si="360"/>
        <v>25584.686082256489</v>
      </c>
      <c r="AU155" s="177">
        <f t="shared" si="360"/>
        <v>44329.532912296061</v>
      </c>
      <c r="AV155" s="177">
        <f t="shared" si="360"/>
        <v>63074.37974233563</v>
      </c>
      <c r="AW155" s="177">
        <f t="shared" si="360"/>
        <v>81836.487564370822</v>
      </c>
      <c r="AX155" s="177">
        <f t="shared" si="360"/>
        <v>100598.59538640601</v>
      </c>
      <c r="AY155" s="177">
        <f t="shared" si="360"/>
        <v>0</v>
      </c>
      <c r="AZ155" s="177">
        <f t="shared" si="360"/>
        <v>21527.588176365716</v>
      </c>
      <c r="BA155" s="177">
        <f t="shared" si="360"/>
        <v>40289.695998400908</v>
      </c>
      <c r="BB155" s="177">
        <f t="shared" si="360"/>
        <v>59051.8038204361</v>
      </c>
      <c r="BC155" s="177">
        <f t="shared" si="360"/>
        <v>77869.767206195815</v>
      </c>
      <c r="BD155" s="177">
        <f t="shared" si="360"/>
        <v>96631.875028231007</v>
      </c>
      <c r="BE155" s="177">
        <f t="shared" si="360"/>
        <v>0</v>
      </c>
      <c r="BF155" s="177">
        <f t="shared" si="360"/>
        <v>18762.107822035192</v>
      </c>
      <c r="BG155" s="177">
        <f t="shared" si="360"/>
        <v>37524.215644070384</v>
      </c>
      <c r="BH155" s="177">
        <f t="shared" si="360"/>
        <v>56286.323466105576</v>
      </c>
      <c r="BI155" s="177">
        <f t="shared" si="360"/>
        <v>75070.751468044677</v>
      </c>
      <c r="BJ155" s="177">
        <f t="shared" si="360"/>
        <v>93855.179469983777</v>
      </c>
      <c r="BK155" s="177">
        <f t="shared" si="360"/>
        <v>0</v>
      </c>
      <c r="BL155" s="177">
        <f t="shared" si="360"/>
        <v>18784.428001939097</v>
      </c>
      <c r="BM155" s="177">
        <f t="shared" si="360"/>
        <v>37568.856003878194</v>
      </c>
      <c r="BN155" s="177">
        <f t="shared" si="360"/>
        <v>56353.284005817288</v>
      </c>
      <c r="BO155" s="177">
        <f t="shared" si="360"/>
        <v>75137.712007756389</v>
      </c>
      <c r="BP155" s="177">
        <f t="shared" si="360"/>
        <v>93922.140009695489</v>
      </c>
      <c r="BQ155" s="177">
        <f t="shared" si="360"/>
        <v>0</v>
      </c>
      <c r="BR155" s="177">
        <f t="shared" si="360"/>
        <v>18784.428001939097</v>
      </c>
      <c r="BS155" s="177">
        <f t="shared" si="360"/>
        <v>37568.856003878194</v>
      </c>
      <c r="BT155" s="177">
        <f t="shared" si="360"/>
        <v>56353.284005817288</v>
      </c>
      <c r="BU155" s="177">
        <f t="shared" si="360"/>
        <v>75165.09692779505</v>
      </c>
      <c r="BV155" s="177">
        <f t="shared" si="360"/>
        <v>93976.909849772812</v>
      </c>
      <c r="BW155" s="177">
        <f t="shared" si="360"/>
        <v>0</v>
      </c>
      <c r="BX155" s="177">
        <f t="shared" si="360"/>
        <v>18811.812921977758</v>
      </c>
      <c r="BY155" s="177">
        <f t="shared" ref="BY155:DT155" si="361">BY152+BY153-BY154</f>
        <v>37623.625843955517</v>
      </c>
      <c r="BZ155" s="177">
        <f t="shared" si="361"/>
        <v>56435.438765933271</v>
      </c>
      <c r="CA155" s="177">
        <f t="shared" si="361"/>
        <v>75247.251687911034</v>
      </c>
      <c r="CB155" s="177">
        <f t="shared" si="361"/>
        <v>94059.064609888796</v>
      </c>
      <c r="CC155" s="177">
        <f t="shared" si="361"/>
        <v>0</v>
      </c>
      <c r="CD155" s="177">
        <f t="shared" si="361"/>
        <v>18811.812921977758</v>
      </c>
      <c r="CE155" s="177">
        <f t="shared" si="361"/>
        <v>37623.625843955517</v>
      </c>
      <c r="CF155" s="177">
        <f t="shared" si="361"/>
        <v>56435.438765933271</v>
      </c>
      <c r="CG155" s="177">
        <f t="shared" si="361"/>
        <v>75279.708903703548</v>
      </c>
      <c r="CH155" s="177">
        <f t="shared" si="361"/>
        <v>94123.979041473824</v>
      </c>
      <c r="CI155" s="177">
        <f t="shared" si="361"/>
        <v>0</v>
      </c>
      <c r="CJ155" s="177">
        <f t="shared" si="361"/>
        <v>18844.270137770283</v>
      </c>
      <c r="CK155" s="177">
        <f t="shared" si="361"/>
        <v>37688.540275540567</v>
      </c>
      <c r="CL155" s="177">
        <f t="shared" si="361"/>
        <v>56532.81041331085</v>
      </c>
      <c r="CM155" s="177">
        <f t="shared" si="361"/>
        <v>75377.080551081133</v>
      </c>
      <c r="CN155" s="177">
        <f t="shared" si="361"/>
        <v>94221.350688851409</v>
      </c>
      <c r="CO155" s="177">
        <f t="shared" si="361"/>
        <v>0</v>
      </c>
      <c r="CP155" s="177">
        <f t="shared" si="361"/>
        <v>18844.270137770283</v>
      </c>
      <c r="CQ155" s="177">
        <f t="shared" si="361"/>
        <v>37688.540275540567</v>
      </c>
      <c r="CR155" s="177">
        <f t="shared" si="361"/>
        <v>56532.81041331085</v>
      </c>
      <c r="CS155" s="177">
        <f t="shared" si="361"/>
        <v>75414.619623555875</v>
      </c>
      <c r="CT155" s="177">
        <f t="shared" si="361"/>
        <v>94296.428833800892</v>
      </c>
      <c r="CU155" s="177">
        <f t="shared" si="361"/>
        <v>0</v>
      </c>
      <c r="CV155" s="177">
        <f t="shared" si="361"/>
        <v>18881.809210245021</v>
      </c>
      <c r="CW155" s="177">
        <f t="shared" si="361"/>
        <v>37763.618420490042</v>
      </c>
      <c r="CX155" s="177">
        <f t="shared" si="361"/>
        <v>56645.427630735066</v>
      </c>
      <c r="CY155" s="177">
        <f t="shared" si="361"/>
        <v>135542.41387938469</v>
      </c>
      <c r="CZ155" s="177">
        <f t="shared" si="361"/>
        <v>154424.22308962973</v>
      </c>
      <c r="DA155" s="177">
        <f t="shared" si="361"/>
        <v>0</v>
      </c>
      <c r="DB155" s="177">
        <f t="shared" si="361"/>
        <v>26620.459515054903</v>
      </c>
      <c r="DC155" s="177">
        <f t="shared" si="361"/>
        <v>45502.268725299924</v>
      </c>
      <c r="DD155" s="177">
        <f t="shared" si="361"/>
        <v>64384.077935544949</v>
      </c>
      <c r="DE155" s="177">
        <f t="shared" si="361"/>
        <v>83308.519643897976</v>
      </c>
      <c r="DF155" s="177">
        <f t="shared" si="361"/>
        <v>102232.961352251</v>
      </c>
      <c r="DG155" s="177">
        <f t="shared" si="361"/>
        <v>0</v>
      </c>
      <c r="DH155" s="177">
        <f t="shared" si="361"/>
        <v>23146.141724894125</v>
      </c>
      <c r="DI155" s="177">
        <f t="shared" si="361"/>
        <v>42070.583433247157</v>
      </c>
      <c r="DJ155" s="177">
        <f t="shared" si="361"/>
        <v>64123.912327077422</v>
      </c>
      <c r="DK155" s="177">
        <f t="shared" si="361"/>
        <v>83111.549478964007</v>
      </c>
      <c r="DL155" s="177">
        <f t="shared" si="361"/>
        <v>102035.99118731703</v>
      </c>
      <c r="DM155" s="177">
        <f t="shared" si="361"/>
        <v>0</v>
      </c>
      <c r="DN155" s="177">
        <f t="shared" si="361"/>
        <v>18924.441708353035</v>
      </c>
      <c r="DO155" s="177">
        <f t="shared" si="361"/>
        <v>37848.88341670607</v>
      </c>
      <c r="DP155" s="177">
        <f t="shared" si="361"/>
        <v>56773.325125059106</v>
      </c>
      <c r="DQ155" s="177">
        <f t="shared" si="361"/>
        <v>75745.506337638144</v>
      </c>
      <c r="DR155" s="177">
        <f t="shared" si="361"/>
        <v>94717.687550217175</v>
      </c>
      <c r="DS155" s="177">
        <f t="shared" si="361"/>
        <v>0</v>
      </c>
      <c r="DT155" s="177">
        <f t="shared" si="361"/>
        <v>18972.181212579035</v>
      </c>
      <c r="DU155" s="177">
        <f t="shared" ref="DU155:EA155" si="362">DU152+DU153-DU154</f>
        <v>37944.36242515807</v>
      </c>
      <c r="DV155" s="177">
        <f t="shared" si="362"/>
        <v>56916.543637737108</v>
      </c>
      <c r="DW155" s="177">
        <f t="shared" si="362"/>
        <v>75888.724850316139</v>
      </c>
      <c r="DX155" s="177">
        <f t="shared" si="362"/>
        <v>94860.90606289517</v>
      </c>
      <c r="DY155" s="177">
        <f t="shared" si="362"/>
        <v>0</v>
      </c>
      <c r="DZ155" s="177">
        <f t="shared" si="362"/>
        <v>18972.181212579035</v>
      </c>
      <c r="EA155" s="177">
        <f t="shared" si="362"/>
        <v>37944.36242515807</v>
      </c>
      <c r="EB155" s="177">
        <f t="shared" ref="EB155:EQ155" si="363">EB152+EB153-EB154</f>
        <v>0</v>
      </c>
      <c r="EC155" s="177">
        <f t="shared" si="363"/>
        <v>0</v>
      </c>
      <c r="ED155" s="1322">
        <f t="shared" si="363"/>
        <v>0</v>
      </c>
      <c r="EE155" s="177">
        <f t="shared" si="363"/>
        <v>0</v>
      </c>
      <c r="EF155" s="177">
        <f t="shared" si="363"/>
        <v>0</v>
      </c>
      <c r="EG155" s="177">
        <f t="shared" si="363"/>
        <v>0</v>
      </c>
      <c r="EH155" s="177">
        <f t="shared" si="363"/>
        <v>0</v>
      </c>
      <c r="EI155" s="177">
        <f t="shared" si="363"/>
        <v>0</v>
      </c>
      <c r="EJ155" s="177">
        <f t="shared" si="363"/>
        <v>0</v>
      </c>
      <c r="EK155" s="177">
        <f t="shared" si="363"/>
        <v>0</v>
      </c>
      <c r="EL155" s="177">
        <f t="shared" si="363"/>
        <v>0</v>
      </c>
      <c r="EM155" s="177">
        <f t="shared" si="363"/>
        <v>0</v>
      </c>
      <c r="EN155" s="177">
        <f t="shared" si="363"/>
        <v>0</v>
      </c>
      <c r="EO155" s="177">
        <f t="shared" si="363"/>
        <v>0</v>
      </c>
      <c r="EP155" s="177">
        <f t="shared" si="363"/>
        <v>0</v>
      </c>
      <c r="EQ155" s="177">
        <f t="shared" si="363"/>
        <v>0</v>
      </c>
    </row>
    <row r="157" spans="3:147" ht="11.25" customHeight="1">
      <c r="C157" s="155" t="s">
        <v>519</v>
      </c>
      <c r="D157" s="155"/>
      <c r="E157" s="155"/>
      <c r="F157" s="155"/>
      <c r="G157" s="155"/>
      <c r="H157" s="191"/>
      <c r="I157" s="192"/>
      <c r="J157" s="156"/>
      <c r="L157" s="157">
        <f>L145</f>
        <v>46326</v>
      </c>
      <c r="M157" s="157">
        <f t="shared" ref="M157:BX157" si="364">M145</f>
        <v>46356</v>
      </c>
      <c r="N157" s="157">
        <f t="shared" si="364"/>
        <v>46387</v>
      </c>
      <c r="O157" s="157">
        <f t="shared" si="364"/>
        <v>46418</v>
      </c>
      <c r="P157" s="157">
        <f t="shared" si="364"/>
        <v>46446</v>
      </c>
      <c r="Q157" s="157">
        <f t="shared" si="364"/>
        <v>46477</v>
      </c>
      <c r="R157" s="157">
        <f t="shared" si="364"/>
        <v>46507</v>
      </c>
      <c r="S157" s="157">
        <f t="shared" si="364"/>
        <v>46538</v>
      </c>
      <c r="T157" s="157">
        <f t="shared" si="364"/>
        <v>46568</v>
      </c>
      <c r="U157" s="157">
        <f t="shared" si="364"/>
        <v>46599</v>
      </c>
      <c r="V157" s="157">
        <f t="shared" si="364"/>
        <v>46630</v>
      </c>
      <c r="W157" s="157">
        <f t="shared" si="364"/>
        <v>46660</v>
      </c>
      <c r="X157" s="157">
        <f t="shared" si="364"/>
        <v>46691</v>
      </c>
      <c r="Y157" s="157">
        <f t="shared" si="364"/>
        <v>46721</v>
      </c>
      <c r="Z157" s="157">
        <f t="shared" si="364"/>
        <v>46752</v>
      </c>
      <c r="AA157" s="157">
        <f t="shared" si="364"/>
        <v>46783</v>
      </c>
      <c r="AB157" s="157">
        <f t="shared" si="364"/>
        <v>46812</v>
      </c>
      <c r="AC157" s="157">
        <f t="shared" si="364"/>
        <v>46843</v>
      </c>
      <c r="AD157" s="157">
        <f t="shared" si="364"/>
        <v>46873</v>
      </c>
      <c r="AE157" s="157">
        <f t="shared" si="364"/>
        <v>46904</v>
      </c>
      <c r="AF157" s="157">
        <f t="shared" si="364"/>
        <v>46934</v>
      </c>
      <c r="AG157" s="157">
        <f t="shared" si="364"/>
        <v>46965</v>
      </c>
      <c r="AH157" s="157">
        <f t="shared" si="364"/>
        <v>46996</v>
      </c>
      <c r="AI157" s="157">
        <f t="shared" si="364"/>
        <v>47026</v>
      </c>
      <c r="AJ157" s="157">
        <f t="shared" si="364"/>
        <v>47057</v>
      </c>
      <c r="AK157" s="157">
        <f t="shared" si="364"/>
        <v>47087</v>
      </c>
      <c r="AL157" s="157">
        <f t="shared" si="364"/>
        <v>47118</v>
      </c>
      <c r="AM157" s="157">
        <f t="shared" si="364"/>
        <v>47149</v>
      </c>
      <c r="AN157" s="157">
        <f t="shared" si="364"/>
        <v>47177</v>
      </c>
      <c r="AO157" s="157">
        <f t="shared" si="364"/>
        <v>47208</v>
      </c>
      <c r="AP157" s="157">
        <f t="shared" si="364"/>
        <v>47238</v>
      </c>
      <c r="AQ157" s="157">
        <f t="shared" si="364"/>
        <v>47269</v>
      </c>
      <c r="AR157" s="157">
        <f t="shared" si="364"/>
        <v>47299</v>
      </c>
      <c r="AS157" s="157">
        <f t="shared" si="364"/>
        <v>47330</v>
      </c>
      <c r="AT157" s="157">
        <f t="shared" si="364"/>
        <v>47361</v>
      </c>
      <c r="AU157" s="157">
        <f t="shared" si="364"/>
        <v>47391</v>
      </c>
      <c r="AV157" s="157">
        <f t="shared" si="364"/>
        <v>47422</v>
      </c>
      <c r="AW157" s="157">
        <f t="shared" si="364"/>
        <v>47452</v>
      </c>
      <c r="AX157" s="157">
        <f t="shared" si="364"/>
        <v>47483</v>
      </c>
      <c r="AY157" s="157">
        <f t="shared" si="364"/>
        <v>47514</v>
      </c>
      <c r="AZ157" s="157">
        <f t="shared" si="364"/>
        <v>47542</v>
      </c>
      <c r="BA157" s="157">
        <f t="shared" si="364"/>
        <v>47573</v>
      </c>
      <c r="BB157" s="157">
        <f t="shared" si="364"/>
        <v>47603</v>
      </c>
      <c r="BC157" s="157">
        <f t="shared" si="364"/>
        <v>47634</v>
      </c>
      <c r="BD157" s="157">
        <f t="shared" si="364"/>
        <v>47664</v>
      </c>
      <c r="BE157" s="157">
        <f t="shared" si="364"/>
        <v>47695</v>
      </c>
      <c r="BF157" s="157">
        <f t="shared" si="364"/>
        <v>47726</v>
      </c>
      <c r="BG157" s="157">
        <f t="shared" si="364"/>
        <v>47756</v>
      </c>
      <c r="BH157" s="157">
        <f t="shared" si="364"/>
        <v>47787</v>
      </c>
      <c r="BI157" s="157">
        <f t="shared" si="364"/>
        <v>47817</v>
      </c>
      <c r="BJ157" s="157">
        <f t="shared" si="364"/>
        <v>47848</v>
      </c>
      <c r="BK157" s="157">
        <f t="shared" si="364"/>
        <v>47879</v>
      </c>
      <c r="BL157" s="157">
        <f t="shared" si="364"/>
        <v>47907</v>
      </c>
      <c r="BM157" s="157">
        <f t="shared" si="364"/>
        <v>47938</v>
      </c>
      <c r="BN157" s="157">
        <f t="shared" si="364"/>
        <v>47968</v>
      </c>
      <c r="BO157" s="157">
        <f t="shared" si="364"/>
        <v>47999</v>
      </c>
      <c r="BP157" s="157">
        <f t="shared" si="364"/>
        <v>48029</v>
      </c>
      <c r="BQ157" s="157">
        <f t="shared" si="364"/>
        <v>48060</v>
      </c>
      <c r="BR157" s="157">
        <f t="shared" si="364"/>
        <v>48091</v>
      </c>
      <c r="BS157" s="157">
        <f t="shared" si="364"/>
        <v>48121</v>
      </c>
      <c r="BT157" s="157">
        <f t="shared" si="364"/>
        <v>48152</v>
      </c>
      <c r="BU157" s="157">
        <f t="shared" si="364"/>
        <v>48182</v>
      </c>
      <c r="BV157" s="157">
        <f t="shared" si="364"/>
        <v>48213</v>
      </c>
      <c r="BW157" s="157">
        <f t="shared" si="364"/>
        <v>48244</v>
      </c>
      <c r="BX157" s="157">
        <f t="shared" si="364"/>
        <v>48273</v>
      </c>
      <c r="BY157" s="157">
        <f t="shared" ref="BY157:DT157" si="365">BY145</f>
        <v>48304</v>
      </c>
      <c r="BZ157" s="157">
        <f t="shared" si="365"/>
        <v>48334</v>
      </c>
      <c r="CA157" s="157">
        <f t="shared" si="365"/>
        <v>48365</v>
      </c>
      <c r="CB157" s="157">
        <f t="shared" si="365"/>
        <v>48395</v>
      </c>
      <c r="CC157" s="157">
        <f t="shared" si="365"/>
        <v>48426</v>
      </c>
      <c r="CD157" s="157">
        <f t="shared" si="365"/>
        <v>48457</v>
      </c>
      <c r="CE157" s="157">
        <f t="shared" si="365"/>
        <v>48487</v>
      </c>
      <c r="CF157" s="157">
        <f t="shared" si="365"/>
        <v>48518</v>
      </c>
      <c r="CG157" s="157">
        <f t="shared" si="365"/>
        <v>48548</v>
      </c>
      <c r="CH157" s="157">
        <f t="shared" si="365"/>
        <v>48579</v>
      </c>
      <c r="CI157" s="157">
        <f t="shared" si="365"/>
        <v>48610</v>
      </c>
      <c r="CJ157" s="157">
        <f t="shared" si="365"/>
        <v>48638</v>
      </c>
      <c r="CK157" s="157">
        <f t="shared" si="365"/>
        <v>48669</v>
      </c>
      <c r="CL157" s="157">
        <f t="shared" si="365"/>
        <v>48699</v>
      </c>
      <c r="CM157" s="157">
        <f t="shared" si="365"/>
        <v>48730</v>
      </c>
      <c r="CN157" s="157">
        <f t="shared" si="365"/>
        <v>48760</v>
      </c>
      <c r="CO157" s="157">
        <f t="shared" si="365"/>
        <v>48791</v>
      </c>
      <c r="CP157" s="157">
        <f t="shared" si="365"/>
        <v>48822</v>
      </c>
      <c r="CQ157" s="157">
        <f t="shared" si="365"/>
        <v>48852</v>
      </c>
      <c r="CR157" s="157">
        <f t="shared" si="365"/>
        <v>48883</v>
      </c>
      <c r="CS157" s="157">
        <f t="shared" si="365"/>
        <v>48913</v>
      </c>
      <c r="CT157" s="157">
        <f t="shared" si="365"/>
        <v>48944</v>
      </c>
      <c r="CU157" s="157">
        <f t="shared" si="365"/>
        <v>48975</v>
      </c>
      <c r="CV157" s="157">
        <f t="shared" si="365"/>
        <v>49003</v>
      </c>
      <c r="CW157" s="157">
        <f t="shared" si="365"/>
        <v>49034</v>
      </c>
      <c r="CX157" s="157">
        <f t="shared" si="365"/>
        <v>49064</v>
      </c>
      <c r="CY157" s="157">
        <f t="shared" si="365"/>
        <v>49095</v>
      </c>
      <c r="CZ157" s="157">
        <f t="shared" si="365"/>
        <v>49125</v>
      </c>
      <c r="DA157" s="157">
        <f t="shared" si="365"/>
        <v>49156</v>
      </c>
      <c r="DB157" s="157">
        <f t="shared" si="365"/>
        <v>49187</v>
      </c>
      <c r="DC157" s="157">
        <f t="shared" si="365"/>
        <v>49217</v>
      </c>
      <c r="DD157" s="157">
        <f t="shared" si="365"/>
        <v>49248</v>
      </c>
      <c r="DE157" s="157">
        <f t="shared" si="365"/>
        <v>49278</v>
      </c>
      <c r="DF157" s="157">
        <f t="shared" si="365"/>
        <v>49309</v>
      </c>
      <c r="DG157" s="157">
        <f t="shared" si="365"/>
        <v>49340</v>
      </c>
      <c r="DH157" s="157">
        <f t="shared" si="365"/>
        <v>49368</v>
      </c>
      <c r="DI157" s="157">
        <f t="shared" si="365"/>
        <v>49399</v>
      </c>
      <c r="DJ157" s="157">
        <f t="shared" si="365"/>
        <v>49429</v>
      </c>
      <c r="DK157" s="157">
        <f t="shared" si="365"/>
        <v>49460</v>
      </c>
      <c r="DL157" s="157">
        <f t="shared" si="365"/>
        <v>49490</v>
      </c>
      <c r="DM157" s="157">
        <f t="shared" si="365"/>
        <v>49521</v>
      </c>
      <c r="DN157" s="157">
        <f t="shared" si="365"/>
        <v>49552</v>
      </c>
      <c r="DO157" s="157">
        <f t="shared" si="365"/>
        <v>49582</v>
      </c>
      <c r="DP157" s="157">
        <f t="shared" si="365"/>
        <v>49613</v>
      </c>
      <c r="DQ157" s="157">
        <f t="shared" si="365"/>
        <v>49643</v>
      </c>
      <c r="DR157" s="157">
        <f t="shared" si="365"/>
        <v>49674</v>
      </c>
      <c r="DS157" s="157">
        <f t="shared" si="365"/>
        <v>49705</v>
      </c>
      <c r="DT157" s="157">
        <f t="shared" si="365"/>
        <v>49734</v>
      </c>
      <c r="DU157" s="157">
        <f t="shared" ref="DU157:EA157" si="366">DU145</f>
        <v>49765</v>
      </c>
      <c r="DV157" s="157">
        <f t="shared" si="366"/>
        <v>49795</v>
      </c>
      <c r="DW157" s="157">
        <f t="shared" si="366"/>
        <v>49826</v>
      </c>
      <c r="DX157" s="157">
        <f t="shared" si="366"/>
        <v>49856</v>
      </c>
      <c r="DY157" s="157">
        <f t="shared" si="366"/>
        <v>49887</v>
      </c>
      <c r="DZ157" s="157">
        <f t="shared" si="366"/>
        <v>49918</v>
      </c>
      <c r="EA157" s="157">
        <f t="shared" si="366"/>
        <v>49948</v>
      </c>
      <c r="EB157" s="157">
        <f t="shared" ref="EB157:EQ157" si="367">EB145</f>
        <v>49979</v>
      </c>
      <c r="EC157" s="157">
        <f t="shared" si="367"/>
        <v>50009</v>
      </c>
      <c r="ED157" s="1318">
        <f t="shared" si="367"/>
        <v>50040</v>
      </c>
      <c r="EE157" s="157">
        <f t="shared" si="367"/>
        <v>50071</v>
      </c>
      <c r="EF157" s="157">
        <f t="shared" si="367"/>
        <v>50099</v>
      </c>
      <c r="EG157" s="157">
        <f t="shared" si="367"/>
        <v>50130</v>
      </c>
      <c r="EH157" s="157">
        <f t="shared" si="367"/>
        <v>50160</v>
      </c>
      <c r="EI157" s="157">
        <f t="shared" si="367"/>
        <v>50191</v>
      </c>
      <c r="EJ157" s="157">
        <f t="shared" si="367"/>
        <v>50221</v>
      </c>
      <c r="EK157" s="157">
        <f t="shared" si="367"/>
        <v>50252</v>
      </c>
      <c r="EL157" s="157">
        <f t="shared" si="367"/>
        <v>50283</v>
      </c>
      <c r="EM157" s="157">
        <f t="shared" si="367"/>
        <v>50313</v>
      </c>
      <c r="EN157" s="157">
        <f t="shared" si="367"/>
        <v>50344</v>
      </c>
      <c r="EO157" s="157">
        <f t="shared" si="367"/>
        <v>50374</v>
      </c>
      <c r="EP157" s="157">
        <f t="shared" si="367"/>
        <v>50405</v>
      </c>
      <c r="EQ157" s="157">
        <f t="shared" si="367"/>
        <v>50436</v>
      </c>
    </row>
    <row r="158" spans="3:147" ht="11.25" customHeight="1">
      <c r="C158" s="158" t="s">
        <v>520</v>
      </c>
      <c r="D158" s="159"/>
      <c r="E158" s="159"/>
      <c r="F158" s="159"/>
      <c r="G158" s="159"/>
      <c r="H158" s="160"/>
      <c r="I158" s="219"/>
      <c r="J158" s="161"/>
      <c r="K158" s="98"/>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162"/>
      <c r="AK158" s="162"/>
      <c r="AL158" s="162"/>
      <c r="AM158" s="162"/>
      <c r="AN158" s="162"/>
      <c r="AO158" s="162"/>
      <c r="AP158" s="162"/>
      <c r="AQ158" s="162"/>
      <c r="AR158" s="162"/>
      <c r="AS158" s="162"/>
      <c r="AT158" s="162"/>
      <c r="AU158" s="162"/>
      <c r="AV158" s="162"/>
      <c r="AW158" s="162"/>
      <c r="AX158" s="162"/>
      <c r="AY158" s="162"/>
      <c r="AZ158" s="162"/>
      <c r="BA158" s="162"/>
      <c r="BB158" s="162"/>
      <c r="BC158" s="162"/>
      <c r="BD158" s="162"/>
      <c r="BE158" s="162"/>
      <c r="BF158" s="162"/>
      <c r="BG158" s="162"/>
      <c r="BH158" s="162"/>
      <c r="BI158" s="162"/>
      <c r="BJ158" s="162"/>
      <c r="BK158" s="162"/>
      <c r="BL158" s="162"/>
      <c r="BM158" s="162"/>
      <c r="BN158" s="162"/>
      <c r="BO158" s="162"/>
      <c r="BP158" s="162"/>
      <c r="BQ158" s="162"/>
      <c r="BR158" s="162"/>
      <c r="BS158" s="162"/>
      <c r="BT158" s="162"/>
      <c r="BU158" s="162"/>
      <c r="BV158" s="162"/>
      <c r="BW158" s="162"/>
      <c r="BX158" s="162"/>
      <c r="BY158" s="162"/>
      <c r="BZ158" s="162"/>
      <c r="CA158" s="162"/>
      <c r="CB158" s="162"/>
      <c r="CC158" s="162"/>
      <c r="CD158" s="162"/>
      <c r="CE158" s="162"/>
      <c r="CF158" s="162"/>
      <c r="CG158" s="162"/>
      <c r="CH158" s="162"/>
      <c r="CI158" s="162"/>
      <c r="CJ158" s="162"/>
      <c r="CK158" s="162"/>
      <c r="CL158" s="162"/>
      <c r="CM158" s="162"/>
      <c r="CN158" s="162"/>
      <c r="CO158" s="162"/>
      <c r="CP158" s="162"/>
      <c r="CQ158" s="162"/>
      <c r="CR158" s="162"/>
      <c r="CS158" s="162"/>
      <c r="CT158" s="162"/>
      <c r="CU158" s="162"/>
      <c r="CV158" s="162"/>
      <c r="CW158" s="162"/>
      <c r="CX158" s="162"/>
      <c r="CY158" s="162"/>
      <c r="CZ158" s="162"/>
      <c r="DA158" s="162"/>
      <c r="DB158" s="162"/>
      <c r="DC158" s="162"/>
      <c r="DD158" s="162"/>
      <c r="DE158" s="162"/>
      <c r="DF158" s="162"/>
      <c r="DG158" s="162"/>
      <c r="DH158" s="162"/>
      <c r="DI158" s="162"/>
      <c r="DJ158" s="162"/>
      <c r="DK158" s="162"/>
      <c r="DL158" s="162"/>
      <c r="DM158" s="162"/>
      <c r="DN158" s="162"/>
      <c r="DO158" s="162"/>
      <c r="DP158" s="162"/>
      <c r="DQ158" s="162"/>
      <c r="DR158" s="162"/>
      <c r="DS158" s="162"/>
      <c r="DT158" s="162"/>
      <c r="DU158" s="162"/>
      <c r="DV158" s="162"/>
      <c r="DW158" s="162"/>
      <c r="DX158" s="162"/>
      <c r="DY158" s="162"/>
      <c r="DZ158" s="162"/>
      <c r="EA158" s="162"/>
      <c r="EB158" s="162"/>
      <c r="EC158" s="162"/>
      <c r="ED158" s="1319"/>
      <c r="EE158" s="162"/>
      <c r="EF158" s="162"/>
      <c r="EG158" s="162"/>
      <c r="EH158" s="162"/>
      <c r="EI158" s="162"/>
      <c r="EJ158" s="162"/>
      <c r="EK158" s="162"/>
      <c r="EL158" s="162"/>
      <c r="EM158" s="162"/>
      <c r="EN158" s="162"/>
      <c r="EO158" s="162"/>
      <c r="EP158" s="162"/>
      <c r="EQ158" s="162"/>
    </row>
    <row r="159" spans="3:147" ht="11.25" customHeight="1">
      <c r="C159" s="163"/>
      <c r="D159" s="164" t="s">
        <v>217</v>
      </c>
      <c r="E159" s="165"/>
      <c r="F159" s="165"/>
      <c r="G159" s="165"/>
      <c r="H159" s="166"/>
      <c r="I159" s="221"/>
      <c r="J159" s="167"/>
      <c r="K159" s="98"/>
      <c r="L159" s="168">
        <f t="shared" ref="L159:AQ159" si="368">K162</f>
        <v>0</v>
      </c>
      <c r="M159" s="168">
        <f t="shared" si="368"/>
        <v>0</v>
      </c>
      <c r="N159" s="168">
        <f t="shared" si="368"/>
        <v>0</v>
      </c>
      <c r="O159" s="168">
        <f t="shared" si="368"/>
        <v>0</v>
      </c>
      <c r="P159" s="168">
        <f t="shared" si="368"/>
        <v>0</v>
      </c>
      <c r="Q159" s="168">
        <f t="shared" si="368"/>
        <v>0</v>
      </c>
      <c r="R159" s="168">
        <f t="shared" si="368"/>
        <v>0</v>
      </c>
      <c r="S159" s="168">
        <f t="shared" si="368"/>
        <v>0</v>
      </c>
      <c r="T159" s="168">
        <f t="shared" si="368"/>
        <v>0</v>
      </c>
      <c r="U159" s="168">
        <f t="shared" si="368"/>
        <v>0</v>
      </c>
      <c r="V159" s="168">
        <f t="shared" si="368"/>
        <v>0</v>
      </c>
      <c r="W159" s="168">
        <f t="shared" si="368"/>
        <v>0</v>
      </c>
      <c r="X159" s="168">
        <f t="shared" si="368"/>
        <v>0</v>
      </c>
      <c r="Y159" s="168">
        <f t="shared" si="368"/>
        <v>0</v>
      </c>
      <c r="Z159" s="168">
        <f t="shared" si="368"/>
        <v>0</v>
      </c>
      <c r="AA159" s="168">
        <f t="shared" si="368"/>
        <v>0</v>
      </c>
      <c r="AB159" s="168">
        <f t="shared" si="368"/>
        <v>0</v>
      </c>
      <c r="AC159" s="168">
        <f t="shared" si="368"/>
        <v>0</v>
      </c>
      <c r="AD159" s="168">
        <f t="shared" si="368"/>
        <v>0</v>
      </c>
      <c r="AE159" s="168">
        <f t="shared" si="368"/>
        <v>0</v>
      </c>
      <c r="AF159" s="168">
        <f t="shared" si="368"/>
        <v>0</v>
      </c>
      <c r="AG159" s="168">
        <f t="shared" si="368"/>
        <v>0</v>
      </c>
      <c r="AH159" s="168">
        <f t="shared" si="368"/>
        <v>0</v>
      </c>
      <c r="AI159" s="168">
        <f t="shared" si="368"/>
        <v>0</v>
      </c>
      <c r="AJ159" s="168">
        <f t="shared" si="368"/>
        <v>0</v>
      </c>
      <c r="AK159" s="168">
        <f t="shared" si="368"/>
        <v>0</v>
      </c>
      <c r="AL159" s="168">
        <f t="shared" si="368"/>
        <v>0</v>
      </c>
      <c r="AM159" s="168">
        <f t="shared" si="368"/>
        <v>0</v>
      </c>
      <c r="AN159" s="168">
        <f t="shared" si="368"/>
        <v>0</v>
      </c>
      <c r="AO159" s="168">
        <f t="shared" si="368"/>
        <v>0</v>
      </c>
      <c r="AP159" s="168">
        <f t="shared" si="368"/>
        <v>0</v>
      </c>
      <c r="AQ159" s="168">
        <f t="shared" si="368"/>
        <v>0</v>
      </c>
      <c r="AR159" s="168">
        <f t="shared" ref="AR159:BW159" si="369">AQ162</f>
        <v>0</v>
      </c>
      <c r="AS159" s="168">
        <f t="shared" si="369"/>
        <v>0</v>
      </c>
      <c r="AT159" s="168">
        <f t="shared" si="369"/>
        <v>0</v>
      </c>
      <c r="AU159" s="168">
        <f t="shared" si="369"/>
        <v>0</v>
      </c>
      <c r="AV159" s="168">
        <f t="shared" si="369"/>
        <v>0</v>
      </c>
      <c r="AW159" s="168">
        <f t="shared" si="369"/>
        <v>0</v>
      </c>
      <c r="AX159" s="168">
        <f t="shared" si="369"/>
        <v>0</v>
      </c>
      <c r="AY159" s="168">
        <f t="shared" si="369"/>
        <v>0</v>
      </c>
      <c r="AZ159" s="168">
        <f t="shared" si="369"/>
        <v>0</v>
      </c>
      <c r="BA159" s="168">
        <f t="shared" si="369"/>
        <v>0</v>
      </c>
      <c r="BB159" s="168">
        <f t="shared" si="369"/>
        <v>0</v>
      </c>
      <c r="BC159" s="168">
        <f t="shared" si="369"/>
        <v>0</v>
      </c>
      <c r="BD159" s="168">
        <f t="shared" si="369"/>
        <v>0</v>
      </c>
      <c r="BE159" s="168">
        <f t="shared" si="369"/>
        <v>0</v>
      </c>
      <c r="BF159" s="168">
        <f t="shared" si="369"/>
        <v>0</v>
      </c>
      <c r="BG159" s="168">
        <f t="shared" si="369"/>
        <v>0</v>
      </c>
      <c r="BH159" s="168">
        <f t="shared" si="369"/>
        <v>0</v>
      </c>
      <c r="BI159" s="168">
        <f t="shared" si="369"/>
        <v>0</v>
      </c>
      <c r="BJ159" s="168">
        <f t="shared" si="369"/>
        <v>0</v>
      </c>
      <c r="BK159" s="168">
        <f t="shared" si="369"/>
        <v>0</v>
      </c>
      <c r="BL159" s="168">
        <f t="shared" si="369"/>
        <v>0</v>
      </c>
      <c r="BM159" s="168">
        <f t="shared" si="369"/>
        <v>0</v>
      </c>
      <c r="BN159" s="168">
        <f t="shared" si="369"/>
        <v>0</v>
      </c>
      <c r="BO159" s="168">
        <f t="shared" si="369"/>
        <v>0</v>
      </c>
      <c r="BP159" s="168">
        <f t="shared" si="369"/>
        <v>0</v>
      </c>
      <c r="BQ159" s="168">
        <f t="shared" si="369"/>
        <v>0</v>
      </c>
      <c r="BR159" s="168">
        <f t="shared" si="369"/>
        <v>0</v>
      </c>
      <c r="BS159" s="168">
        <f t="shared" si="369"/>
        <v>0</v>
      </c>
      <c r="BT159" s="168">
        <f t="shared" si="369"/>
        <v>0</v>
      </c>
      <c r="BU159" s="168">
        <f t="shared" si="369"/>
        <v>0</v>
      </c>
      <c r="BV159" s="168">
        <f t="shared" si="369"/>
        <v>0</v>
      </c>
      <c r="BW159" s="168">
        <f t="shared" si="369"/>
        <v>0</v>
      </c>
      <c r="BX159" s="168">
        <f t="shared" ref="BX159:DC159" si="370">BW162</f>
        <v>0</v>
      </c>
      <c r="BY159" s="168">
        <f t="shared" si="370"/>
        <v>0</v>
      </c>
      <c r="BZ159" s="168">
        <f t="shared" si="370"/>
        <v>0</v>
      </c>
      <c r="CA159" s="168">
        <f t="shared" si="370"/>
        <v>0</v>
      </c>
      <c r="CB159" s="168">
        <f t="shared" si="370"/>
        <v>0</v>
      </c>
      <c r="CC159" s="168">
        <f t="shared" si="370"/>
        <v>0</v>
      </c>
      <c r="CD159" s="168">
        <f t="shared" si="370"/>
        <v>0</v>
      </c>
      <c r="CE159" s="168">
        <f t="shared" si="370"/>
        <v>0</v>
      </c>
      <c r="CF159" s="168">
        <f t="shared" si="370"/>
        <v>0</v>
      </c>
      <c r="CG159" s="168">
        <f t="shared" si="370"/>
        <v>0</v>
      </c>
      <c r="CH159" s="168">
        <f t="shared" si="370"/>
        <v>0</v>
      </c>
      <c r="CI159" s="168">
        <f t="shared" si="370"/>
        <v>0</v>
      </c>
      <c r="CJ159" s="168">
        <f t="shared" si="370"/>
        <v>0</v>
      </c>
      <c r="CK159" s="168">
        <f t="shared" si="370"/>
        <v>0</v>
      </c>
      <c r="CL159" s="168">
        <f t="shared" si="370"/>
        <v>0</v>
      </c>
      <c r="CM159" s="168">
        <f t="shared" si="370"/>
        <v>0</v>
      </c>
      <c r="CN159" s="168">
        <f t="shared" si="370"/>
        <v>0</v>
      </c>
      <c r="CO159" s="168">
        <f t="shared" si="370"/>
        <v>0</v>
      </c>
      <c r="CP159" s="168">
        <f t="shared" si="370"/>
        <v>0</v>
      </c>
      <c r="CQ159" s="168">
        <f t="shared" si="370"/>
        <v>0</v>
      </c>
      <c r="CR159" s="168">
        <f t="shared" si="370"/>
        <v>0</v>
      </c>
      <c r="CS159" s="168">
        <f t="shared" si="370"/>
        <v>0</v>
      </c>
      <c r="CT159" s="168">
        <f t="shared" si="370"/>
        <v>0</v>
      </c>
      <c r="CU159" s="168">
        <f t="shared" si="370"/>
        <v>0</v>
      </c>
      <c r="CV159" s="168">
        <f t="shared" si="370"/>
        <v>0</v>
      </c>
      <c r="CW159" s="168">
        <f t="shared" si="370"/>
        <v>0</v>
      </c>
      <c r="CX159" s="168">
        <f t="shared" si="370"/>
        <v>0</v>
      </c>
      <c r="CY159" s="168">
        <f t="shared" si="370"/>
        <v>0</v>
      </c>
      <c r="CZ159" s="168">
        <f t="shared" si="370"/>
        <v>0</v>
      </c>
      <c r="DA159" s="168">
        <f t="shared" si="370"/>
        <v>0</v>
      </c>
      <c r="DB159" s="168">
        <f t="shared" si="370"/>
        <v>0</v>
      </c>
      <c r="DC159" s="168">
        <f t="shared" si="370"/>
        <v>0</v>
      </c>
      <c r="DD159" s="168">
        <f t="shared" ref="DD159:DT159" si="371">DC162</f>
        <v>0</v>
      </c>
      <c r="DE159" s="168">
        <f t="shared" si="371"/>
        <v>0</v>
      </c>
      <c r="DF159" s="168">
        <f t="shared" si="371"/>
        <v>0</v>
      </c>
      <c r="DG159" s="168">
        <f t="shared" si="371"/>
        <v>0</v>
      </c>
      <c r="DH159" s="168">
        <f t="shared" si="371"/>
        <v>0</v>
      </c>
      <c r="DI159" s="168">
        <f t="shared" si="371"/>
        <v>0</v>
      </c>
      <c r="DJ159" s="168">
        <f t="shared" si="371"/>
        <v>0</v>
      </c>
      <c r="DK159" s="168">
        <f t="shared" si="371"/>
        <v>0</v>
      </c>
      <c r="DL159" s="168">
        <f t="shared" si="371"/>
        <v>0</v>
      </c>
      <c r="DM159" s="168">
        <f t="shared" si="371"/>
        <v>0</v>
      </c>
      <c r="DN159" s="168">
        <f t="shared" si="371"/>
        <v>0</v>
      </c>
      <c r="DO159" s="168">
        <f t="shared" si="371"/>
        <v>0</v>
      </c>
      <c r="DP159" s="168">
        <f t="shared" si="371"/>
        <v>0</v>
      </c>
      <c r="DQ159" s="168">
        <f t="shared" si="371"/>
        <v>0</v>
      </c>
      <c r="DR159" s="168">
        <f t="shared" si="371"/>
        <v>0</v>
      </c>
      <c r="DS159" s="168">
        <f t="shared" si="371"/>
        <v>0</v>
      </c>
      <c r="DT159" s="168">
        <f t="shared" si="371"/>
        <v>0</v>
      </c>
      <c r="DU159" s="168">
        <f t="shared" ref="DU159:EQ159" si="372">DT162</f>
        <v>0</v>
      </c>
      <c r="DV159" s="168">
        <f t="shared" si="372"/>
        <v>0</v>
      </c>
      <c r="DW159" s="168">
        <f t="shared" si="372"/>
        <v>0</v>
      </c>
      <c r="DX159" s="168">
        <f t="shared" si="372"/>
        <v>0</v>
      </c>
      <c r="DY159" s="168">
        <f t="shared" si="372"/>
        <v>0</v>
      </c>
      <c r="DZ159" s="168">
        <f t="shared" si="372"/>
        <v>0</v>
      </c>
      <c r="EA159" s="168">
        <f t="shared" si="372"/>
        <v>0</v>
      </c>
      <c r="EB159" s="168">
        <f t="shared" si="372"/>
        <v>0</v>
      </c>
      <c r="EC159" s="168">
        <f t="shared" si="372"/>
        <v>0</v>
      </c>
      <c r="ED159" s="1320">
        <f t="shared" si="372"/>
        <v>0</v>
      </c>
      <c r="EE159" s="168">
        <f t="shared" si="372"/>
        <v>0</v>
      </c>
      <c r="EF159" s="168">
        <f t="shared" si="372"/>
        <v>0</v>
      </c>
      <c r="EG159" s="168">
        <f t="shared" si="372"/>
        <v>0</v>
      </c>
      <c r="EH159" s="168">
        <f t="shared" si="372"/>
        <v>0</v>
      </c>
      <c r="EI159" s="168">
        <f t="shared" si="372"/>
        <v>0</v>
      </c>
      <c r="EJ159" s="168">
        <f t="shared" si="372"/>
        <v>0</v>
      </c>
      <c r="EK159" s="168">
        <f t="shared" si="372"/>
        <v>0</v>
      </c>
      <c r="EL159" s="168">
        <f t="shared" si="372"/>
        <v>0</v>
      </c>
      <c r="EM159" s="168">
        <f t="shared" si="372"/>
        <v>0</v>
      </c>
      <c r="EN159" s="168">
        <f t="shared" si="372"/>
        <v>0</v>
      </c>
      <c r="EO159" s="168">
        <f t="shared" si="372"/>
        <v>0</v>
      </c>
      <c r="EP159" s="168">
        <f t="shared" si="372"/>
        <v>0</v>
      </c>
      <c r="EQ159" s="168">
        <f t="shared" si="372"/>
        <v>0</v>
      </c>
    </row>
    <row r="160" spans="3:147" ht="11.25" customHeight="1">
      <c r="C160" s="163"/>
      <c r="D160" s="169" t="s">
        <v>218</v>
      </c>
      <c r="H160" s="146">
        <f>'A&amp;R'!D35</f>
        <v>46326</v>
      </c>
      <c r="I160" s="90">
        <f>SUMIF(TIC!$M$14:$ER$14,$H$160,TIC!$M$37:$ER$37)</f>
        <v>288900000</v>
      </c>
      <c r="J160" s="170">
        <f>SUM(L160:EQ160)</f>
        <v>288900000</v>
      </c>
      <c r="K160" s="98"/>
      <c r="L160" s="171">
        <f>(L$14=$H160)*$I160</f>
        <v>288900000</v>
      </c>
      <c r="M160" s="171">
        <f t="shared" ref="M160:BX160" si="373">(M$14=$H160)*$I160</f>
        <v>0</v>
      </c>
      <c r="N160" s="171">
        <f t="shared" si="373"/>
        <v>0</v>
      </c>
      <c r="O160" s="171">
        <f t="shared" si="373"/>
        <v>0</v>
      </c>
      <c r="P160" s="171">
        <f t="shared" si="373"/>
        <v>0</v>
      </c>
      <c r="Q160" s="171">
        <f t="shared" si="373"/>
        <v>0</v>
      </c>
      <c r="R160" s="171">
        <f t="shared" si="373"/>
        <v>0</v>
      </c>
      <c r="S160" s="171">
        <f t="shared" si="373"/>
        <v>0</v>
      </c>
      <c r="T160" s="171">
        <f t="shared" si="373"/>
        <v>0</v>
      </c>
      <c r="U160" s="171">
        <f t="shared" si="373"/>
        <v>0</v>
      </c>
      <c r="V160" s="171">
        <f t="shared" si="373"/>
        <v>0</v>
      </c>
      <c r="W160" s="171">
        <f t="shared" si="373"/>
        <v>0</v>
      </c>
      <c r="X160" s="171">
        <f t="shared" si="373"/>
        <v>0</v>
      </c>
      <c r="Y160" s="171">
        <f t="shared" si="373"/>
        <v>0</v>
      </c>
      <c r="Z160" s="171">
        <f t="shared" si="373"/>
        <v>0</v>
      </c>
      <c r="AA160" s="171">
        <f t="shared" si="373"/>
        <v>0</v>
      </c>
      <c r="AB160" s="171">
        <f t="shared" si="373"/>
        <v>0</v>
      </c>
      <c r="AC160" s="171">
        <f t="shared" si="373"/>
        <v>0</v>
      </c>
      <c r="AD160" s="171">
        <f t="shared" si="373"/>
        <v>0</v>
      </c>
      <c r="AE160" s="171">
        <f t="shared" si="373"/>
        <v>0</v>
      </c>
      <c r="AF160" s="171">
        <f t="shared" si="373"/>
        <v>0</v>
      </c>
      <c r="AG160" s="171">
        <f t="shared" si="373"/>
        <v>0</v>
      </c>
      <c r="AH160" s="171">
        <f t="shared" si="373"/>
        <v>0</v>
      </c>
      <c r="AI160" s="171">
        <f t="shared" si="373"/>
        <v>0</v>
      </c>
      <c r="AJ160" s="171">
        <f t="shared" si="373"/>
        <v>0</v>
      </c>
      <c r="AK160" s="171">
        <f t="shared" si="373"/>
        <v>0</v>
      </c>
      <c r="AL160" s="171">
        <f t="shared" si="373"/>
        <v>0</v>
      </c>
      <c r="AM160" s="171">
        <f t="shared" si="373"/>
        <v>0</v>
      </c>
      <c r="AN160" s="171">
        <f t="shared" si="373"/>
        <v>0</v>
      </c>
      <c r="AO160" s="171">
        <f t="shared" si="373"/>
        <v>0</v>
      </c>
      <c r="AP160" s="171">
        <f t="shared" si="373"/>
        <v>0</v>
      </c>
      <c r="AQ160" s="171">
        <f t="shared" si="373"/>
        <v>0</v>
      </c>
      <c r="AR160" s="171">
        <f t="shared" si="373"/>
        <v>0</v>
      </c>
      <c r="AS160" s="171">
        <f t="shared" si="373"/>
        <v>0</v>
      </c>
      <c r="AT160" s="171">
        <f t="shared" si="373"/>
        <v>0</v>
      </c>
      <c r="AU160" s="171">
        <f t="shared" si="373"/>
        <v>0</v>
      </c>
      <c r="AV160" s="171">
        <f t="shared" si="373"/>
        <v>0</v>
      </c>
      <c r="AW160" s="171">
        <f t="shared" si="373"/>
        <v>0</v>
      </c>
      <c r="AX160" s="171">
        <f t="shared" si="373"/>
        <v>0</v>
      </c>
      <c r="AY160" s="171">
        <f t="shared" si="373"/>
        <v>0</v>
      </c>
      <c r="AZ160" s="171">
        <f t="shared" si="373"/>
        <v>0</v>
      </c>
      <c r="BA160" s="171">
        <f t="shared" si="373"/>
        <v>0</v>
      </c>
      <c r="BB160" s="171">
        <f t="shared" si="373"/>
        <v>0</v>
      </c>
      <c r="BC160" s="171">
        <f t="shared" si="373"/>
        <v>0</v>
      </c>
      <c r="BD160" s="171">
        <f t="shared" si="373"/>
        <v>0</v>
      </c>
      <c r="BE160" s="171">
        <f t="shared" si="373"/>
        <v>0</v>
      </c>
      <c r="BF160" s="171">
        <f t="shared" si="373"/>
        <v>0</v>
      </c>
      <c r="BG160" s="171">
        <f t="shared" si="373"/>
        <v>0</v>
      </c>
      <c r="BH160" s="171">
        <f t="shared" si="373"/>
        <v>0</v>
      </c>
      <c r="BI160" s="171">
        <f t="shared" si="373"/>
        <v>0</v>
      </c>
      <c r="BJ160" s="171">
        <f t="shared" si="373"/>
        <v>0</v>
      </c>
      <c r="BK160" s="171">
        <f t="shared" si="373"/>
        <v>0</v>
      </c>
      <c r="BL160" s="171">
        <f t="shared" si="373"/>
        <v>0</v>
      </c>
      <c r="BM160" s="171">
        <f t="shared" si="373"/>
        <v>0</v>
      </c>
      <c r="BN160" s="171">
        <f t="shared" si="373"/>
        <v>0</v>
      </c>
      <c r="BO160" s="171">
        <f t="shared" si="373"/>
        <v>0</v>
      </c>
      <c r="BP160" s="171">
        <f t="shared" si="373"/>
        <v>0</v>
      </c>
      <c r="BQ160" s="171">
        <f t="shared" si="373"/>
        <v>0</v>
      </c>
      <c r="BR160" s="171">
        <f t="shared" si="373"/>
        <v>0</v>
      </c>
      <c r="BS160" s="171">
        <f t="shared" si="373"/>
        <v>0</v>
      </c>
      <c r="BT160" s="171">
        <f t="shared" si="373"/>
        <v>0</v>
      </c>
      <c r="BU160" s="171">
        <f t="shared" si="373"/>
        <v>0</v>
      </c>
      <c r="BV160" s="171">
        <f t="shared" si="373"/>
        <v>0</v>
      </c>
      <c r="BW160" s="171">
        <f t="shared" si="373"/>
        <v>0</v>
      </c>
      <c r="BX160" s="171">
        <f t="shared" si="373"/>
        <v>0</v>
      </c>
      <c r="BY160" s="171">
        <f t="shared" ref="BY160:EQ160" si="374">(BY$14=$H160)*$I160</f>
        <v>0</v>
      </c>
      <c r="BZ160" s="171">
        <f t="shared" si="374"/>
        <v>0</v>
      </c>
      <c r="CA160" s="171">
        <f t="shared" si="374"/>
        <v>0</v>
      </c>
      <c r="CB160" s="171">
        <f t="shared" si="374"/>
        <v>0</v>
      </c>
      <c r="CC160" s="171">
        <f t="shared" si="374"/>
        <v>0</v>
      </c>
      <c r="CD160" s="171">
        <f t="shared" si="374"/>
        <v>0</v>
      </c>
      <c r="CE160" s="171">
        <f t="shared" si="374"/>
        <v>0</v>
      </c>
      <c r="CF160" s="171">
        <f t="shared" si="374"/>
        <v>0</v>
      </c>
      <c r="CG160" s="171">
        <f t="shared" si="374"/>
        <v>0</v>
      </c>
      <c r="CH160" s="171">
        <f t="shared" si="374"/>
        <v>0</v>
      </c>
      <c r="CI160" s="171">
        <f t="shared" si="374"/>
        <v>0</v>
      </c>
      <c r="CJ160" s="171">
        <f t="shared" si="374"/>
        <v>0</v>
      </c>
      <c r="CK160" s="171">
        <f t="shared" si="374"/>
        <v>0</v>
      </c>
      <c r="CL160" s="171">
        <f t="shared" si="374"/>
        <v>0</v>
      </c>
      <c r="CM160" s="171">
        <f t="shared" si="374"/>
        <v>0</v>
      </c>
      <c r="CN160" s="171">
        <f t="shared" si="374"/>
        <v>0</v>
      </c>
      <c r="CO160" s="171">
        <f t="shared" si="374"/>
        <v>0</v>
      </c>
      <c r="CP160" s="171">
        <f t="shared" si="374"/>
        <v>0</v>
      </c>
      <c r="CQ160" s="171">
        <f t="shared" si="374"/>
        <v>0</v>
      </c>
      <c r="CR160" s="171">
        <f t="shared" si="374"/>
        <v>0</v>
      </c>
      <c r="CS160" s="171">
        <f t="shared" si="374"/>
        <v>0</v>
      </c>
      <c r="CT160" s="171">
        <f t="shared" si="374"/>
        <v>0</v>
      </c>
      <c r="CU160" s="171">
        <f t="shared" si="374"/>
        <v>0</v>
      </c>
      <c r="CV160" s="171">
        <f t="shared" si="374"/>
        <v>0</v>
      </c>
      <c r="CW160" s="171">
        <f t="shared" si="374"/>
        <v>0</v>
      </c>
      <c r="CX160" s="171">
        <f t="shared" si="374"/>
        <v>0</v>
      </c>
      <c r="CY160" s="171">
        <f t="shared" si="374"/>
        <v>0</v>
      </c>
      <c r="CZ160" s="171">
        <f t="shared" si="374"/>
        <v>0</v>
      </c>
      <c r="DA160" s="171">
        <f t="shared" si="374"/>
        <v>0</v>
      </c>
      <c r="DB160" s="171">
        <f t="shared" si="374"/>
        <v>0</v>
      </c>
      <c r="DC160" s="171">
        <f t="shared" si="374"/>
        <v>0</v>
      </c>
      <c r="DD160" s="171">
        <f t="shared" si="374"/>
        <v>0</v>
      </c>
      <c r="DE160" s="171">
        <f t="shared" si="374"/>
        <v>0</v>
      </c>
      <c r="DF160" s="171">
        <f t="shared" si="374"/>
        <v>0</v>
      </c>
      <c r="DG160" s="171">
        <f t="shared" si="374"/>
        <v>0</v>
      </c>
      <c r="DH160" s="171">
        <f t="shared" si="374"/>
        <v>0</v>
      </c>
      <c r="DI160" s="171">
        <f t="shared" si="374"/>
        <v>0</v>
      </c>
      <c r="DJ160" s="171">
        <f t="shared" si="374"/>
        <v>0</v>
      </c>
      <c r="DK160" s="171">
        <f t="shared" si="374"/>
        <v>0</v>
      </c>
      <c r="DL160" s="171">
        <f t="shared" si="374"/>
        <v>0</v>
      </c>
      <c r="DM160" s="171">
        <f t="shared" si="374"/>
        <v>0</v>
      </c>
      <c r="DN160" s="171">
        <f t="shared" si="374"/>
        <v>0</v>
      </c>
      <c r="DO160" s="171">
        <f t="shared" si="374"/>
        <v>0</v>
      </c>
      <c r="DP160" s="171">
        <f t="shared" si="374"/>
        <v>0</v>
      </c>
      <c r="DQ160" s="171">
        <f t="shared" si="374"/>
        <v>0</v>
      </c>
      <c r="DR160" s="171">
        <f t="shared" si="374"/>
        <v>0</v>
      </c>
      <c r="DS160" s="171">
        <f t="shared" si="374"/>
        <v>0</v>
      </c>
      <c r="DT160" s="171">
        <f t="shared" si="374"/>
        <v>0</v>
      </c>
      <c r="DU160" s="171">
        <f t="shared" si="374"/>
        <v>0</v>
      </c>
      <c r="DV160" s="171">
        <f t="shared" si="374"/>
        <v>0</v>
      </c>
      <c r="DW160" s="171">
        <f t="shared" si="374"/>
        <v>0</v>
      </c>
      <c r="DX160" s="171">
        <f t="shared" si="374"/>
        <v>0</v>
      </c>
      <c r="DY160" s="171">
        <f t="shared" si="374"/>
        <v>0</v>
      </c>
      <c r="DZ160" s="171">
        <f t="shared" si="374"/>
        <v>0</v>
      </c>
      <c r="EA160" s="171">
        <f t="shared" si="374"/>
        <v>0</v>
      </c>
      <c r="EB160" s="171">
        <f t="shared" si="374"/>
        <v>0</v>
      </c>
      <c r="EC160" s="171">
        <f t="shared" si="374"/>
        <v>0</v>
      </c>
      <c r="ED160" s="1321">
        <f t="shared" si="374"/>
        <v>0</v>
      </c>
      <c r="EE160" s="171">
        <f t="shared" si="374"/>
        <v>0</v>
      </c>
      <c r="EF160" s="171">
        <f t="shared" si="374"/>
        <v>0</v>
      </c>
      <c r="EG160" s="171">
        <f t="shared" si="374"/>
        <v>0</v>
      </c>
      <c r="EH160" s="171">
        <f t="shared" si="374"/>
        <v>0</v>
      </c>
      <c r="EI160" s="171">
        <f t="shared" si="374"/>
        <v>0</v>
      </c>
      <c r="EJ160" s="171">
        <f t="shared" si="374"/>
        <v>0</v>
      </c>
      <c r="EK160" s="171">
        <f t="shared" si="374"/>
        <v>0</v>
      </c>
      <c r="EL160" s="171">
        <f t="shared" si="374"/>
        <v>0</v>
      </c>
      <c r="EM160" s="171">
        <f t="shared" si="374"/>
        <v>0</v>
      </c>
      <c r="EN160" s="171">
        <f t="shared" si="374"/>
        <v>0</v>
      </c>
      <c r="EO160" s="171">
        <f t="shared" si="374"/>
        <v>0</v>
      </c>
      <c r="EP160" s="171">
        <f t="shared" si="374"/>
        <v>0</v>
      </c>
      <c r="EQ160" s="171">
        <f t="shared" si="374"/>
        <v>0</v>
      </c>
    </row>
    <row r="161" spans="3:147" ht="11.25" customHeight="1">
      <c r="C161" s="163"/>
      <c r="D161" s="169" t="s">
        <v>219</v>
      </c>
      <c r="H161" s="146">
        <f>'A&amp;R'!E35</f>
        <v>46326</v>
      </c>
      <c r="I161" s="248"/>
      <c r="J161" s="170">
        <f>SUM(L161:EQ161)</f>
        <v>288900000</v>
      </c>
      <c r="K161" s="98"/>
      <c r="L161" s="171">
        <f>SUM(L159:L160)*(L$14=$H161)</f>
        <v>288900000</v>
      </c>
      <c r="M161" s="171">
        <f t="shared" ref="M161:BX161" si="375">SUM(M159:M160)*(M$14=$H161)</f>
        <v>0</v>
      </c>
      <c r="N161" s="171">
        <f t="shared" si="375"/>
        <v>0</v>
      </c>
      <c r="O161" s="171">
        <f t="shared" si="375"/>
        <v>0</v>
      </c>
      <c r="P161" s="171">
        <f t="shared" si="375"/>
        <v>0</v>
      </c>
      <c r="Q161" s="171">
        <f t="shared" si="375"/>
        <v>0</v>
      </c>
      <c r="R161" s="171">
        <f t="shared" si="375"/>
        <v>0</v>
      </c>
      <c r="S161" s="171">
        <f t="shared" si="375"/>
        <v>0</v>
      </c>
      <c r="T161" s="171">
        <f t="shared" si="375"/>
        <v>0</v>
      </c>
      <c r="U161" s="171">
        <f t="shared" si="375"/>
        <v>0</v>
      </c>
      <c r="V161" s="171">
        <f t="shared" si="375"/>
        <v>0</v>
      </c>
      <c r="W161" s="171">
        <f t="shared" si="375"/>
        <v>0</v>
      </c>
      <c r="X161" s="171">
        <f t="shared" si="375"/>
        <v>0</v>
      </c>
      <c r="Y161" s="171">
        <f t="shared" si="375"/>
        <v>0</v>
      </c>
      <c r="Z161" s="171">
        <f t="shared" si="375"/>
        <v>0</v>
      </c>
      <c r="AA161" s="171">
        <f t="shared" si="375"/>
        <v>0</v>
      </c>
      <c r="AB161" s="171">
        <f t="shared" si="375"/>
        <v>0</v>
      </c>
      <c r="AC161" s="171">
        <f t="shared" si="375"/>
        <v>0</v>
      </c>
      <c r="AD161" s="171">
        <f t="shared" si="375"/>
        <v>0</v>
      </c>
      <c r="AE161" s="171">
        <f t="shared" si="375"/>
        <v>0</v>
      </c>
      <c r="AF161" s="171">
        <f t="shared" si="375"/>
        <v>0</v>
      </c>
      <c r="AG161" s="171">
        <f t="shared" si="375"/>
        <v>0</v>
      </c>
      <c r="AH161" s="171">
        <f t="shared" si="375"/>
        <v>0</v>
      </c>
      <c r="AI161" s="171">
        <f t="shared" si="375"/>
        <v>0</v>
      </c>
      <c r="AJ161" s="171">
        <f t="shared" si="375"/>
        <v>0</v>
      </c>
      <c r="AK161" s="171">
        <f t="shared" si="375"/>
        <v>0</v>
      </c>
      <c r="AL161" s="171">
        <f t="shared" si="375"/>
        <v>0</v>
      </c>
      <c r="AM161" s="171">
        <f t="shared" si="375"/>
        <v>0</v>
      </c>
      <c r="AN161" s="171">
        <f t="shared" si="375"/>
        <v>0</v>
      </c>
      <c r="AO161" s="171">
        <f t="shared" si="375"/>
        <v>0</v>
      </c>
      <c r="AP161" s="171">
        <f t="shared" si="375"/>
        <v>0</v>
      </c>
      <c r="AQ161" s="171">
        <f t="shared" si="375"/>
        <v>0</v>
      </c>
      <c r="AR161" s="171">
        <f t="shared" si="375"/>
        <v>0</v>
      </c>
      <c r="AS161" s="171">
        <f t="shared" si="375"/>
        <v>0</v>
      </c>
      <c r="AT161" s="171">
        <f t="shared" si="375"/>
        <v>0</v>
      </c>
      <c r="AU161" s="171">
        <f t="shared" si="375"/>
        <v>0</v>
      </c>
      <c r="AV161" s="171">
        <f t="shared" si="375"/>
        <v>0</v>
      </c>
      <c r="AW161" s="171">
        <f t="shared" si="375"/>
        <v>0</v>
      </c>
      <c r="AX161" s="171">
        <f t="shared" si="375"/>
        <v>0</v>
      </c>
      <c r="AY161" s="171">
        <f t="shared" si="375"/>
        <v>0</v>
      </c>
      <c r="AZ161" s="171">
        <f t="shared" si="375"/>
        <v>0</v>
      </c>
      <c r="BA161" s="171">
        <f t="shared" si="375"/>
        <v>0</v>
      </c>
      <c r="BB161" s="171">
        <f t="shared" si="375"/>
        <v>0</v>
      </c>
      <c r="BC161" s="171">
        <f t="shared" si="375"/>
        <v>0</v>
      </c>
      <c r="BD161" s="171">
        <f t="shared" si="375"/>
        <v>0</v>
      </c>
      <c r="BE161" s="171">
        <f t="shared" si="375"/>
        <v>0</v>
      </c>
      <c r="BF161" s="171">
        <f t="shared" si="375"/>
        <v>0</v>
      </c>
      <c r="BG161" s="171">
        <f t="shared" si="375"/>
        <v>0</v>
      </c>
      <c r="BH161" s="171">
        <f t="shared" si="375"/>
        <v>0</v>
      </c>
      <c r="BI161" s="171">
        <f t="shared" si="375"/>
        <v>0</v>
      </c>
      <c r="BJ161" s="171">
        <f t="shared" si="375"/>
        <v>0</v>
      </c>
      <c r="BK161" s="171">
        <f t="shared" si="375"/>
        <v>0</v>
      </c>
      <c r="BL161" s="171">
        <f t="shared" si="375"/>
        <v>0</v>
      </c>
      <c r="BM161" s="171">
        <f t="shared" si="375"/>
        <v>0</v>
      </c>
      <c r="BN161" s="171">
        <f t="shared" si="375"/>
        <v>0</v>
      </c>
      <c r="BO161" s="171">
        <f t="shared" si="375"/>
        <v>0</v>
      </c>
      <c r="BP161" s="171">
        <f t="shared" si="375"/>
        <v>0</v>
      </c>
      <c r="BQ161" s="171">
        <f t="shared" si="375"/>
        <v>0</v>
      </c>
      <c r="BR161" s="171">
        <f t="shared" si="375"/>
        <v>0</v>
      </c>
      <c r="BS161" s="171">
        <f t="shared" si="375"/>
        <v>0</v>
      </c>
      <c r="BT161" s="171">
        <f t="shared" si="375"/>
        <v>0</v>
      </c>
      <c r="BU161" s="171">
        <f t="shared" si="375"/>
        <v>0</v>
      </c>
      <c r="BV161" s="171">
        <f t="shared" si="375"/>
        <v>0</v>
      </c>
      <c r="BW161" s="171">
        <f t="shared" si="375"/>
        <v>0</v>
      </c>
      <c r="BX161" s="171">
        <f t="shared" si="375"/>
        <v>0</v>
      </c>
      <c r="BY161" s="171">
        <f t="shared" ref="BY161:DT161" si="376">SUM(BY159:BY160)*(BY$14=$H161)</f>
        <v>0</v>
      </c>
      <c r="BZ161" s="171">
        <f t="shared" si="376"/>
        <v>0</v>
      </c>
      <c r="CA161" s="171">
        <f t="shared" si="376"/>
        <v>0</v>
      </c>
      <c r="CB161" s="171">
        <f t="shared" si="376"/>
        <v>0</v>
      </c>
      <c r="CC161" s="171">
        <f t="shared" si="376"/>
        <v>0</v>
      </c>
      <c r="CD161" s="171">
        <f t="shared" si="376"/>
        <v>0</v>
      </c>
      <c r="CE161" s="171">
        <f t="shared" si="376"/>
        <v>0</v>
      </c>
      <c r="CF161" s="171">
        <f t="shared" si="376"/>
        <v>0</v>
      </c>
      <c r="CG161" s="171">
        <f t="shared" si="376"/>
        <v>0</v>
      </c>
      <c r="CH161" s="171">
        <f t="shared" si="376"/>
        <v>0</v>
      </c>
      <c r="CI161" s="171">
        <f t="shared" si="376"/>
        <v>0</v>
      </c>
      <c r="CJ161" s="171">
        <f t="shared" si="376"/>
        <v>0</v>
      </c>
      <c r="CK161" s="171">
        <f t="shared" si="376"/>
        <v>0</v>
      </c>
      <c r="CL161" s="171">
        <f t="shared" si="376"/>
        <v>0</v>
      </c>
      <c r="CM161" s="171">
        <f t="shared" si="376"/>
        <v>0</v>
      </c>
      <c r="CN161" s="171">
        <f t="shared" si="376"/>
        <v>0</v>
      </c>
      <c r="CO161" s="171">
        <f t="shared" si="376"/>
        <v>0</v>
      </c>
      <c r="CP161" s="171">
        <f t="shared" si="376"/>
        <v>0</v>
      </c>
      <c r="CQ161" s="171">
        <f t="shared" si="376"/>
        <v>0</v>
      </c>
      <c r="CR161" s="171">
        <f t="shared" si="376"/>
        <v>0</v>
      </c>
      <c r="CS161" s="171">
        <f t="shared" si="376"/>
        <v>0</v>
      </c>
      <c r="CT161" s="171">
        <f t="shared" si="376"/>
        <v>0</v>
      </c>
      <c r="CU161" s="171">
        <f t="shared" si="376"/>
        <v>0</v>
      </c>
      <c r="CV161" s="171">
        <f t="shared" si="376"/>
        <v>0</v>
      </c>
      <c r="CW161" s="171">
        <f t="shared" si="376"/>
        <v>0</v>
      </c>
      <c r="CX161" s="171">
        <f t="shared" si="376"/>
        <v>0</v>
      </c>
      <c r="CY161" s="171">
        <f t="shared" si="376"/>
        <v>0</v>
      </c>
      <c r="CZ161" s="171">
        <f t="shared" si="376"/>
        <v>0</v>
      </c>
      <c r="DA161" s="171">
        <f t="shared" si="376"/>
        <v>0</v>
      </c>
      <c r="DB161" s="171">
        <f t="shared" si="376"/>
        <v>0</v>
      </c>
      <c r="DC161" s="171">
        <f t="shared" si="376"/>
        <v>0</v>
      </c>
      <c r="DD161" s="171">
        <f t="shared" si="376"/>
        <v>0</v>
      </c>
      <c r="DE161" s="171">
        <f t="shared" si="376"/>
        <v>0</v>
      </c>
      <c r="DF161" s="171">
        <f t="shared" si="376"/>
        <v>0</v>
      </c>
      <c r="DG161" s="171">
        <f t="shared" si="376"/>
        <v>0</v>
      </c>
      <c r="DH161" s="171">
        <f t="shared" si="376"/>
        <v>0</v>
      </c>
      <c r="DI161" s="171">
        <f t="shared" si="376"/>
        <v>0</v>
      </c>
      <c r="DJ161" s="171">
        <f t="shared" si="376"/>
        <v>0</v>
      </c>
      <c r="DK161" s="171">
        <f t="shared" si="376"/>
        <v>0</v>
      </c>
      <c r="DL161" s="171">
        <f t="shared" si="376"/>
        <v>0</v>
      </c>
      <c r="DM161" s="171">
        <f t="shared" si="376"/>
        <v>0</v>
      </c>
      <c r="DN161" s="171">
        <f t="shared" si="376"/>
        <v>0</v>
      </c>
      <c r="DO161" s="171">
        <f t="shared" si="376"/>
        <v>0</v>
      </c>
      <c r="DP161" s="171">
        <f t="shared" si="376"/>
        <v>0</v>
      </c>
      <c r="DQ161" s="171">
        <f t="shared" si="376"/>
        <v>0</v>
      </c>
      <c r="DR161" s="171">
        <f t="shared" si="376"/>
        <v>0</v>
      </c>
      <c r="DS161" s="171">
        <f t="shared" si="376"/>
        <v>0</v>
      </c>
      <c r="DT161" s="171">
        <f t="shared" si="376"/>
        <v>0</v>
      </c>
      <c r="DU161" s="171">
        <f t="shared" ref="DU161:EA161" si="377">SUM(DU159:DU160)*(DU$14=$H161)</f>
        <v>0</v>
      </c>
      <c r="DV161" s="171">
        <f t="shared" si="377"/>
        <v>0</v>
      </c>
      <c r="DW161" s="171">
        <f t="shared" si="377"/>
        <v>0</v>
      </c>
      <c r="DX161" s="171">
        <f t="shared" si="377"/>
        <v>0</v>
      </c>
      <c r="DY161" s="171">
        <f t="shared" si="377"/>
        <v>0</v>
      </c>
      <c r="DZ161" s="171">
        <f t="shared" si="377"/>
        <v>0</v>
      </c>
      <c r="EA161" s="171">
        <f t="shared" si="377"/>
        <v>0</v>
      </c>
      <c r="EB161" s="171">
        <f t="shared" ref="EB161:EQ161" si="378">SUM(EB159:EB160)*(EB$14=$H161)</f>
        <v>0</v>
      </c>
      <c r="EC161" s="171">
        <f t="shared" si="378"/>
        <v>0</v>
      </c>
      <c r="ED161" s="1321">
        <f t="shared" si="378"/>
        <v>0</v>
      </c>
      <c r="EE161" s="171">
        <f t="shared" si="378"/>
        <v>0</v>
      </c>
      <c r="EF161" s="171">
        <f t="shared" si="378"/>
        <v>0</v>
      </c>
      <c r="EG161" s="171">
        <f t="shared" si="378"/>
        <v>0</v>
      </c>
      <c r="EH161" s="171">
        <f t="shared" si="378"/>
        <v>0</v>
      </c>
      <c r="EI161" s="171">
        <f t="shared" si="378"/>
        <v>0</v>
      </c>
      <c r="EJ161" s="171">
        <f t="shared" si="378"/>
        <v>0</v>
      </c>
      <c r="EK161" s="171">
        <f t="shared" si="378"/>
        <v>0</v>
      </c>
      <c r="EL161" s="171">
        <f t="shared" si="378"/>
        <v>0</v>
      </c>
      <c r="EM161" s="171">
        <f t="shared" si="378"/>
        <v>0</v>
      </c>
      <c r="EN161" s="171">
        <f t="shared" si="378"/>
        <v>0</v>
      </c>
      <c r="EO161" s="171">
        <f t="shared" si="378"/>
        <v>0</v>
      </c>
      <c r="EP161" s="171">
        <f t="shared" si="378"/>
        <v>0</v>
      </c>
      <c r="EQ161" s="171">
        <f t="shared" si="378"/>
        <v>0</v>
      </c>
    </row>
    <row r="162" spans="3:147" ht="11.25" customHeight="1">
      <c r="C162" s="163"/>
      <c r="D162" s="169" t="s">
        <v>220</v>
      </c>
      <c r="I162" s="248"/>
      <c r="J162" s="170"/>
      <c r="K162" s="98"/>
      <c r="L162" s="171">
        <f>L159+L160-L161</f>
        <v>0</v>
      </c>
      <c r="M162" s="171">
        <f t="shared" ref="M162:BX162" si="379">M159+M160-M161</f>
        <v>0</v>
      </c>
      <c r="N162" s="171">
        <f t="shared" si="379"/>
        <v>0</v>
      </c>
      <c r="O162" s="171">
        <f t="shared" si="379"/>
        <v>0</v>
      </c>
      <c r="P162" s="171">
        <f t="shared" si="379"/>
        <v>0</v>
      </c>
      <c r="Q162" s="171">
        <f t="shared" si="379"/>
        <v>0</v>
      </c>
      <c r="R162" s="171">
        <f t="shared" si="379"/>
        <v>0</v>
      </c>
      <c r="S162" s="171">
        <f t="shared" si="379"/>
        <v>0</v>
      </c>
      <c r="T162" s="171">
        <f t="shared" si="379"/>
        <v>0</v>
      </c>
      <c r="U162" s="171">
        <f t="shared" si="379"/>
        <v>0</v>
      </c>
      <c r="V162" s="171">
        <f t="shared" si="379"/>
        <v>0</v>
      </c>
      <c r="W162" s="171">
        <f t="shared" si="379"/>
        <v>0</v>
      </c>
      <c r="X162" s="171">
        <f t="shared" si="379"/>
        <v>0</v>
      </c>
      <c r="Y162" s="171">
        <f t="shared" si="379"/>
        <v>0</v>
      </c>
      <c r="Z162" s="171">
        <f t="shared" si="379"/>
        <v>0</v>
      </c>
      <c r="AA162" s="171">
        <f t="shared" si="379"/>
        <v>0</v>
      </c>
      <c r="AB162" s="171">
        <f t="shared" si="379"/>
        <v>0</v>
      </c>
      <c r="AC162" s="171">
        <f t="shared" si="379"/>
        <v>0</v>
      </c>
      <c r="AD162" s="171">
        <f t="shared" si="379"/>
        <v>0</v>
      </c>
      <c r="AE162" s="171">
        <f t="shared" si="379"/>
        <v>0</v>
      </c>
      <c r="AF162" s="171">
        <f t="shared" si="379"/>
        <v>0</v>
      </c>
      <c r="AG162" s="171">
        <f t="shared" si="379"/>
        <v>0</v>
      </c>
      <c r="AH162" s="171">
        <f t="shared" si="379"/>
        <v>0</v>
      </c>
      <c r="AI162" s="171">
        <f t="shared" si="379"/>
        <v>0</v>
      </c>
      <c r="AJ162" s="171">
        <f t="shared" si="379"/>
        <v>0</v>
      </c>
      <c r="AK162" s="171">
        <f t="shared" si="379"/>
        <v>0</v>
      </c>
      <c r="AL162" s="171">
        <f t="shared" si="379"/>
        <v>0</v>
      </c>
      <c r="AM162" s="171">
        <f t="shared" si="379"/>
        <v>0</v>
      </c>
      <c r="AN162" s="171">
        <f t="shared" si="379"/>
        <v>0</v>
      </c>
      <c r="AO162" s="171">
        <f t="shared" si="379"/>
        <v>0</v>
      </c>
      <c r="AP162" s="171">
        <f t="shared" si="379"/>
        <v>0</v>
      </c>
      <c r="AQ162" s="171">
        <f t="shared" si="379"/>
        <v>0</v>
      </c>
      <c r="AR162" s="171">
        <f t="shared" si="379"/>
        <v>0</v>
      </c>
      <c r="AS162" s="171">
        <f t="shared" si="379"/>
        <v>0</v>
      </c>
      <c r="AT162" s="171">
        <f t="shared" si="379"/>
        <v>0</v>
      </c>
      <c r="AU162" s="171">
        <f t="shared" si="379"/>
        <v>0</v>
      </c>
      <c r="AV162" s="171">
        <f t="shared" si="379"/>
        <v>0</v>
      </c>
      <c r="AW162" s="171">
        <f t="shared" si="379"/>
        <v>0</v>
      </c>
      <c r="AX162" s="171">
        <f t="shared" si="379"/>
        <v>0</v>
      </c>
      <c r="AY162" s="171">
        <f t="shared" si="379"/>
        <v>0</v>
      </c>
      <c r="AZ162" s="171">
        <f t="shared" si="379"/>
        <v>0</v>
      </c>
      <c r="BA162" s="171">
        <f t="shared" si="379"/>
        <v>0</v>
      </c>
      <c r="BB162" s="171">
        <f t="shared" si="379"/>
        <v>0</v>
      </c>
      <c r="BC162" s="171">
        <f t="shared" si="379"/>
        <v>0</v>
      </c>
      <c r="BD162" s="171">
        <f t="shared" si="379"/>
        <v>0</v>
      </c>
      <c r="BE162" s="171">
        <f t="shared" si="379"/>
        <v>0</v>
      </c>
      <c r="BF162" s="171">
        <f t="shared" si="379"/>
        <v>0</v>
      </c>
      <c r="BG162" s="171">
        <f t="shared" si="379"/>
        <v>0</v>
      </c>
      <c r="BH162" s="171">
        <f t="shared" si="379"/>
        <v>0</v>
      </c>
      <c r="BI162" s="171">
        <f t="shared" si="379"/>
        <v>0</v>
      </c>
      <c r="BJ162" s="171">
        <f t="shared" si="379"/>
        <v>0</v>
      </c>
      <c r="BK162" s="171">
        <f t="shared" si="379"/>
        <v>0</v>
      </c>
      <c r="BL162" s="171">
        <f t="shared" si="379"/>
        <v>0</v>
      </c>
      <c r="BM162" s="171">
        <f t="shared" si="379"/>
        <v>0</v>
      </c>
      <c r="BN162" s="171">
        <f t="shared" si="379"/>
        <v>0</v>
      </c>
      <c r="BO162" s="171">
        <f t="shared" si="379"/>
        <v>0</v>
      </c>
      <c r="BP162" s="171">
        <f t="shared" si="379"/>
        <v>0</v>
      </c>
      <c r="BQ162" s="171">
        <f t="shared" si="379"/>
        <v>0</v>
      </c>
      <c r="BR162" s="171">
        <f t="shared" si="379"/>
        <v>0</v>
      </c>
      <c r="BS162" s="171">
        <f t="shared" si="379"/>
        <v>0</v>
      </c>
      <c r="BT162" s="171">
        <f t="shared" si="379"/>
        <v>0</v>
      </c>
      <c r="BU162" s="171">
        <f t="shared" si="379"/>
        <v>0</v>
      </c>
      <c r="BV162" s="171">
        <f t="shared" si="379"/>
        <v>0</v>
      </c>
      <c r="BW162" s="171">
        <f t="shared" si="379"/>
        <v>0</v>
      </c>
      <c r="BX162" s="171">
        <f t="shared" si="379"/>
        <v>0</v>
      </c>
      <c r="BY162" s="171">
        <f t="shared" ref="BY162:DT162" si="380">BY159+BY160-BY161</f>
        <v>0</v>
      </c>
      <c r="BZ162" s="171">
        <f t="shared" si="380"/>
        <v>0</v>
      </c>
      <c r="CA162" s="171">
        <f t="shared" si="380"/>
        <v>0</v>
      </c>
      <c r="CB162" s="171">
        <f t="shared" si="380"/>
        <v>0</v>
      </c>
      <c r="CC162" s="171">
        <f t="shared" si="380"/>
        <v>0</v>
      </c>
      <c r="CD162" s="171">
        <f t="shared" si="380"/>
        <v>0</v>
      </c>
      <c r="CE162" s="171">
        <f t="shared" si="380"/>
        <v>0</v>
      </c>
      <c r="CF162" s="171">
        <f t="shared" si="380"/>
        <v>0</v>
      </c>
      <c r="CG162" s="171">
        <f t="shared" si="380"/>
        <v>0</v>
      </c>
      <c r="CH162" s="171">
        <f t="shared" si="380"/>
        <v>0</v>
      </c>
      <c r="CI162" s="171">
        <f t="shared" si="380"/>
        <v>0</v>
      </c>
      <c r="CJ162" s="171">
        <f t="shared" si="380"/>
        <v>0</v>
      </c>
      <c r="CK162" s="171">
        <f t="shared" si="380"/>
        <v>0</v>
      </c>
      <c r="CL162" s="171">
        <f t="shared" si="380"/>
        <v>0</v>
      </c>
      <c r="CM162" s="171">
        <f t="shared" si="380"/>
        <v>0</v>
      </c>
      <c r="CN162" s="171">
        <f t="shared" si="380"/>
        <v>0</v>
      </c>
      <c r="CO162" s="171">
        <f t="shared" si="380"/>
        <v>0</v>
      </c>
      <c r="CP162" s="171">
        <f t="shared" si="380"/>
        <v>0</v>
      </c>
      <c r="CQ162" s="171">
        <f t="shared" si="380"/>
        <v>0</v>
      </c>
      <c r="CR162" s="171">
        <f t="shared" si="380"/>
        <v>0</v>
      </c>
      <c r="CS162" s="171">
        <f t="shared" si="380"/>
        <v>0</v>
      </c>
      <c r="CT162" s="171">
        <f t="shared" si="380"/>
        <v>0</v>
      </c>
      <c r="CU162" s="171">
        <f t="shared" si="380"/>
        <v>0</v>
      </c>
      <c r="CV162" s="171">
        <f t="shared" si="380"/>
        <v>0</v>
      </c>
      <c r="CW162" s="171">
        <f t="shared" si="380"/>
        <v>0</v>
      </c>
      <c r="CX162" s="171">
        <f t="shared" si="380"/>
        <v>0</v>
      </c>
      <c r="CY162" s="171">
        <f t="shared" si="380"/>
        <v>0</v>
      </c>
      <c r="CZ162" s="171">
        <f t="shared" si="380"/>
        <v>0</v>
      </c>
      <c r="DA162" s="171">
        <f t="shared" si="380"/>
        <v>0</v>
      </c>
      <c r="DB162" s="171">
        <f t="shared" si="380"/>
        <v>0</v>
      </c>
      <c r="DC162" s="171">
        <f t="shared" si="380"/>
        <v>0</v>
      </c>
      <c r="DD162" s="171">
        <f t="shared" si="380"/>
        <v>0</v>
      </c>
      <c r="DE162" s="171">
        <f t="shared" si="380"/>
        <v>0</v>
      </c>
      <c r="DF162" s="171">
        <f t="shared" si="380"/>
        <v>0</v>
      </c>
      <c r="DG162" s="171">
        <f t="shared" si="380"/>
        <v>0</v>
      </c>
      <c r="DH162" s="171">
        <f t="shared" si="380"/>
        <v>0</v>
      </c>
      <c r="DI162" s="171">
        <f t="shared" si="380"/>
        <v>0</v>
      </c>
      <c r="DJ162" s="171">
        <f t="shared" si="380"/>
        <v>0</v>
      </c>
      <c r="DK162" s="171">
        <f t="shared" si="380"/>
        <v>0</v>
      </c>
      <c r="DL162" s="171">
        <f t="shared" si="380"/>
        <v>0</v>
      </c>
      <c r="DM162" s="171">
        <f t="shared" si="380"/>
        <v>0</v>
      </c>
      <c r="DN162" s="171">
        <f t="shared" si="380"/>
        <v>0</v>
      </c>
      <c r="DO162" s="171">
        <f t="shared" si="380"/>
        <v>0</v>
      </c>
      <c r="DP162" s="171">
        <f t="shared" si="380"/>
        <v>0</v>
      </c>
      <c r="DQ162" s="171">
        <f t="shared" si="380"/>
        <v>0</v>
      </c>
      <c r="DR162" s="171">
        <f t="shared" si="380"/>
        <v>0</v>
      </c>
      <c r="DS162" s="171">
        <f t="shared" si="380"/>
        <v>0</v>
      </c>
      <c r="DT162" s="171">
        <f t="shared" si="380"/>
        <v>0</v>
      </c>
      <c r="DU162" s="171">
        <f t="shared" ref="DU162:EA162" si="381">DU159+DU160-DU161</f>
        <v>0</v>
      </c>
      <c r="DV162" s="171">
        <f t="shared" si="381"/>
        <v>0</v>
      </c>
      <c r="DW162" s="171">
        <f t="shared" si="381"/>
        <v>0</v>
      </c>
      <c r="DX162" s="171">
        <f t="shared" si="381"/>
        <v>0</v>
      </c>
      <c r="DY162" s="171">
        <f t="shared" si="381"/>
        <v>0</v>
      </c>
      <c r="DZ162" s="171">
        <f t="shared" si="381"/>
        <v>0</v>
      </c>
      <c r="EA162" s="171">
        <f t="shared" si="381"/>
        <v>0</v>
      </c>
      <c r="EB162" s="171">
        <f t="shared" ref="EB162:EQ162" si="382">EB159+EB160-EB161</f>
        <v>0</v>
      </c>
      <c r="EC162" s="171">
        <f t="shared" si="382"/>
        <v>0</v>
      </c>
      <c r="ED162" s="1321">
        <f t="shared" si="382"/>
        <v>0</v>
      </c>
      <c r="EE162" s="171">
        <f t="shared" si="382"/>
        <v>0</v>
      </c>
      <c r="EF162" s="171">
        <f t="shared" si="382"/>
        <v>0</v>
      </c>
      <c r="EG162" s="171">
        <f t="shared" si="382"/>
        <v>0</v>
      </c>
      <c r="EH162" s="171">
        <f t="shared" si="382"/>
        <v>0</v>
      </c>
      <c r="EI162" s="171">
        <f t="shared" si="382"/>
        <v>0</v>
      </c>
      <c r="EJ162" s="171">
        <f t="shared" si="382"/>
        <v>0</v>
      </c>
      <c r="EK162" s="171">
        <f t="shared" si="382"/>
        <v>0</v>
      </c>
      <c r="EL162" s="171">
        <f t="shared" si="382"/>
        <v>0</v>
      </c>
      <c r="EM162" s="171">
        <f t="shared" si="382"/>
        <v>0</v>
      </c>
      <c r="EN162" s="171">
        <f t="shared" si="382"/>
        <v>0</v>
      </c>
      <c r="EO162" s="171">
        <f t="shared" si="382"/>
        <v>0</v>
      </c>
      <c r="EP162" s="171">
        <f t="shared" si="382"/>
        <v>0</v>
      </c>
      <c r="EQ162" s="171">
        <f t="shared" si="382"/>
        <v>0</v>
      </c>
    </row>
    <row r="163" spans="3:147" ht="11.25" customHeight="1">
      <c r="C163" s="158" t="s">
        <v>521</v>
      </c>
      <c r="D163" s="159"/>
      <c r="E163" s="159"/>
      <c r="F163" s="159"/>
      <c r="G163" s="159"/>
      <c r="H163" s="160"/>
      <c r="I163" s="219"/>
      <c r="J163" s="161"/>
      <c r="K163" s="98"/>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162"/>
      <c r="AK163" s="162"/>
      <c r="AL163" s="162"/>
      <c r="AM163" s="162"/>
      <c r="AN163" s="162"/>
      <c r="AO163" s="162"/>
      <c r="AP163" s="162"/>
      <c r="AQ163" s="162"/>
      <c r="AR163" s="162"/>
      <c r="AS163" s="162"/>
      <c r="AT163" s="162"/>
      <c r="AU163" s="162"/>
      <c r="AV163" s="162"/>
      <c r="AW163" s="162"/>
      <c r="AX163" s="162"/>
      <c r="AY163" s="162"/>
      <c r="AZ163" s="162"/>
      <c r="BA163" s="162"/>
      <c r="BB163" s="162"/>
      <c r="BC163" s="162"/>
      <c r="BD163" s="162"/>
      <c r="BE163" s="162"/>
      <c r="BF163" s="162"/>
      <c r="BG163" s="162"/>
      <c r="BH163" s="162"/>
      <c r="BI163" s="162"/>
      <c r="BJ163" s="162"/>
      <c r="BK163" s="162"/>
      <c r="BL163" s="162"/>
      <c r="BM163" s="162"/>
      <c r="BN163" s="162"/>
      <c r="BO163" s="162"/>
      <c r="BP163" s="162"/>
      <c r="BQ163" s="162"/>
      <c r="BR163" s="162"/>
      <c r="BS163" s="162"/>
      <c r="BT163" s="162"/>
      <c r="BU163" s="162"/>
      <c r="BV163" s="162"/>
      <c r="BW163" s="162"/>
      <c r="BX163" s="162"/>
      <c r="BY163" s="162"/>
      <c r="BZ163" s="162"/>
      <c r="CA163" s="162"/>
      <c r="CB163" s="162"/>
      <c r="CC163" s="162"/>
      <c r="CD163" s="162"/>
      <c r="CE163" s="162"/>
      <c r="CF163" s="162"/>
      <c r="CG163" s="162"/>
      <c r="CH163" s="162"/>
      <c r="CI163" s="162"/>
      <c r="CJ163" s="162"/>
      <c r="CK163" s="162"/>
      <c r="CL163" s="162"/>
      <c r="CM163" s="162"/>
      <c r="CN163" s="162"/>
      <c r="CO163" s="162"/>
      <c r="CP163" s="162"/>
      <c r="CQ163" s="162"/>
      <c r="CR163" s="162"/>
      <c r="CS163" s="162"/>
      <c r="CT163" s="162"/>
      <c r="CU163" s="162"/>
      <c r="CV163" s="162"/>
      <c r="CW163" s="162"/>
      <c r="CX163" s="162"/>
      <c r="CY163" s="162"/>
      <c r="CZ163" s="162"/>
      <c r="DA163" s="162"/>
      <c r="DB163" s="162"/>
      <c r="DC163" s="162"/>
      <c r="DD163" s="162"/>
      <c r="DE163" s="162"/>
      <c r="DF163" s="162"/>
      <c r="DG163" s="162"/>
      <c r="DH163" s="162"/>
      <c r="DI163" s="162"/>
      <c r="DJ163" s="162"/>
      <c r="DK163" s="162"/>
      <c r="DL163" s="162"/>
      <c r="DM163" s="162"/>
      <c r="DN163" s="162"/>
      <c r="DO163" s="162"/>
      <c r="DP163" s="162"/>
      <c r="DQ163" s="162"/>
      <c r="DR163" s="162"/>
      <c r="DS163" s="162"/>
      <c r="DT163" s="162"/>
      <c r="DU163" s="162"/>
      <c r="DV163" s="162"/>
      <c r="DW163" s="162"/>
      <c r="DX163" s="162"/>
      <c r="DY163" s="162"/>
      <c r="DZ163" s="162"/>
      <c r="EA163" s="162"/>
      <c r="EB163" s="162"/>
      <c r="EC163" s="162"/>
      <c r="ED163" s="1319"/>
      <c r="EE163" s="162"/>
      <c r="EF163" s="162"/>
      <c r="EG163" s="162"/>
      <c r="EH163" s="162"/>
      <c r="EI163" s="162"/>
      <c r="EJ163" s="162"/>
      <c r="EK163" s="162"/>
      <c r="EL163" s="162"/>
      <c r="EM163" s="162"/>
      <c r="EN163" s="162"/>
      <c r="EO163" s="162"/>
      <c r="EP163" s="162"/>
      <c r="EQ163" s="162"/>
    </row>
    <row r="164" spans="3:147" ht="11.25" customHeight="1">
      <c r="C164" s="163"/>
      <c r="D164" s="164" t="s">
        <v>230</v>
      </c>
      <c r="E164" s="165"/>
      <c r="F164" s="165"/>
      <c r="G164" s="165"/>
      <c r="H164" s="166"/>
      <c r="I164" s="221"/>
      <c r="J164" s="167"/>
      <c r="K164" s="98"/>
      <c r="L164" s="168">
        <f>K167</f>
        <v>0</v>
      </c>
      <c r="M164" s="168">
        <f t="shared" ref="M164:BX164" ca="1" si="383">L167</f>
        <v>0</v>
      </c>
      <c r="N164" s="168">
        <f t="shared" ca="1" si="383"/>
        <v>680427.64166666672</v>
      </c>
      <c r="O164" s="168">
        <f t="shared" ca="1" si="383"/>
        <v>618570.58333333337</v>
      </c>
      <c r="P164" s="168">
        <f t="shared" ca="1" si="383"/>
        <v>556713.52500000002</v>
      </c>
      <c r="Q164" s="168">
        <f t="shared" ca="1" si="383"/>
        <v>494856.46666666667</v>
      </c>
      <c r="R164" s="168">
        <f t="shared" ca="1" si="383"/>
        <v>432999.40833333333</v>
      </c>
      <c r="S164" s="168">
        <f t="shared" ca="1" si="383"/>
        <v>371142.35</v>
      </c>
      <c r="T164" s="168">
        <f t="shared" ca="1" si="383"/>
        <v>309285.29166666663</v>
      </c>
      <c r="U164" s="168">
        <f t="shared" ca="1" si="383"/>
        <v>247428.23333333328</v>
      </c>
      <c r="V164" s="168">
        <f t="shared" ca="1" si="383"/>
        <v>185571.17499999993</v>
      </c>
      <c r="W164" s="168">
        <f t="shared" ca="1" si="383"/>
        <v>123714.11666666658</v>
      </c>
      <c r="X164" s="168">
        <f t="shared" ca="1" si="383"/>
        <v>61857.05833333324</v>
      </c>
      <c r="Y164" s="168">
        <f t="shared" ca="1" si="383"/>
        <v>-1.0186340659856796E-10</v>
      </c>
      <c r="Z164" s="168">
        <f t="shared" ca="1" si="383"/>
        <v>666819.08883333334</v>
      </c>
      <c r="AA164" s="168">
        <f t="shared" ca="1" si="383"/>
        <v>606199.17166666663</v>
      </c>
      <c r="AB164" s="168">
        <f t="shared" ca="1" si="383"/>
        <v>545579.25449999992</v>
      </c>
      <c r="AC164" s="168">
        <f t="shared" ca="1" si="383"/>
        <v>484959.33733333327</v>
      </c>
      <c r="AD164" s="168">
        <f t="shared" ca="1" si="383"/>
        <v>424339.42016666662</v>
      </c>
      <c r="AE164" s="168">
        <f t="shared" ca="1" si="383"/>
        <v>363719.50299999997</v>
      </c>
      <c r="AF164" s="168">
        <f t="shared" ca="1" si="383"/>
        <v>303099.58583333332</v>
      </c>
      <c r="AG164" s="168">
        <f t="shared" ca="1" si="383"/>
        <v>242479.66866666664</v>
      </c>
      <c r="AH164" s="168">
        <f t="shared" ca="1" si="383"/>
        <v>181859.75149999995</v>
      </c>
      <c r="AI164" s="168">
        <f t="shared" ca="1" si="383"/>
        <v>121239.83433333327</v>
      </c>
      <c r="AJ164" s="168">
        <f t="shared" ca="1" si="383"/>
        <v>60619.917166666601</v>
      </c>
      <c r="AK164" s="168">
        <f t="shared" ca="1" si="383"/>
        <v>-7.2759576141834259E-11</v>
      </c>
      <c r="AL164" s="168">
        <f t="shared" ca="1" si="383"/>
        <v>653482.70705666649</v>
      </c>
      <c r="AM164" s="168">
        <f t="shared" ca="1" si="383"/>
        <v>594075.18823333317</v>
      </c>
      <c r="AN164" s="168">
        <f t="shared" ca="1" si="383"/>
        <v>534667.66940999986</v>
      </c>
      <c r="AO164" s="168">
        <f t="shared" ca="1" si="383"/>
        <v>475260.15058666654</v>
      </c>
      <c r="AP164" s="168">
        <f t="shared" ca="1" si="383"/>
        <v>415852.63176333322</v>
      </c>
      <c r="AQ164" s="168">
        <f t="shared" ca="1" si="383"/>
        <v>356445.1129399999</v>
      </c>
      <c r="AR164" s="168">
        <f t="shared" ca="1" si="383"/>
        <v>297037.59411666659</v>
      </c>
      <c r="AS164" s="168">
        <f t="shared" ca="1" si="383"/>
        <v>237630.07529333324</v>
      </c>
      <c r="AT164" s="168">
        <f t="shared" ca="1" si="383"/>
        <v>178222.55646999989</v>
      </c>
      <c r="AU164" s="168">
        <f t="shared" ca="1" si="383"/>
        <v>118815.03764666655</v>
      </c>
      <c r="AV164" s="168">
        <f t="shared" ca="1" si="383"/>
        <v>59407.518823333208</v>
      </c>
      <c r="AW164" s="168">
        <f t="shared" ca="1" si="383"/>
        <v>-1.3096723705530167E-10</v>
      </c>
      <c r="AX164" s="168">
        <f t="shared" ca="1" si="383"/>
        <v>640413.05291553331</v>
      </c>
      <c r="AY164" s="168">
        <f t="shared" ca="1" si="383"/>
        <v>582193.68446866667</v>
      </c>
      <c r="AZ164" s="168">
        <f t="shared" ca="1" si="383"/>
        <v>523974.31602179998</v>
      </c>
      <c r="BA164" s="168">
        <f t="shared" ca="1" si="383"/>
        <v>465754.94757493329</v>
      </c>
      <c r="BB164" s="168">
        <f t="shared" ca="1" si="383"/>
        <v>407535.5791280666</v>
      </c>
      <c r="BC164" s="168">
        <f t="shared" ca="1" si="383"/>
        <v>349316.21068119991</v>
      </c>
      <c r="BD164" s="168">
        <f t="shared" ca="1" si="383"/>
        <v>291096.84223433322</v>
      </c>
      <c r="BE164" s="168">
        <f t="shared" ca="1" si="383"/>
        <v>232877.47378746656</v>
      </c>
      <c r="BF164" s="168">
        <f t="shared" ca="1" si="383"/>
        <v>174658.1053405999</v>
      </c>
      <c r="BG164" s="168">
        <f t="shared" ca="1" si="383"/>
        <v>116438.73689373324</v>
      </c>
      <c r="BH164" s="168">
        <f t="shared" ca="1" si="383"/>
        <v>58219.368446866567</v>
      </c>
      <c r="BI164" s="168">
        <f t="shared" ca="1" si="383"/>
        <v>-1.0186340659856796E-10</v>
      </c>
      <c r="BJ164" s="168">
        <f t="shared" ca="1" si="383"/>
        <v>627604.79185722256</v>
      </c>
      <c r="BK164" s="168">
        <f t="shared" ca="1" si="383"/>
        <v>570549.81077929318</v>
      </c>
      <c r="BL164" s="168">
        <f t="shared" ca="1" si="383"/>
        <v>513494.82970136387</v>
      </c>
      <c r="BM164" s="168">
        <f t="shared" ca="1" si="383"/>
        <v>456439.84862343455</v>
      </c>
      <c r="BN164" s="168">
        <f t="shared" ca="1" si="383"/>
        <v>399384.86754550523</v>
      </c>
      <c r="BO164" s="168">
        <f t="shared" ca="1" si="383"/>
        <v>342329.88646757591</v>
      </c>
      <c r="BP164" s="168">
        <f t="shared" ca="1" si="383"/>
        <v>285274.90538964659</v>
      </c>
      <c r="BQ164" s="168">
        <f t="shared" ca="1" si="383"/>
        <v>228219.92431171727</v>
      </c>
      <c r="BR164" s="168">
        <f t="shared" ca="1" si="383"/>
        <v>171164.94323378796</v>
      </c>
      <c r="BS164" s="168">
        <f t="shared" ca="1" si="383"/>
        <v>114109.96215585862</v>
      </c>
      <c r="BT164" s="168">
        <f t="shared" ca="1" si="383"/>
        <v>57054.981077929289</v>
      </c>
      <c r="BU164" s="168">
        <f t="shared" ca="1" si="383"/>
        <v>0</v>
      </c>
      <c r="BV164" s="168">
        <f t="shared" ca="1" si="383"/>
        <v>615052.69602007815</v>
      </c>
      <c r="BW164" s="168">
        <f t="shared" ca="1" si="383"/>
        <v>559138.81456370745</v>
      </c>
      <c r="BX164" s="168">
        <f t="shared" ca="1" si="383"/>
        <v>503224.93310733669</v>
      </c>
      <c r="BY164" s="168">
        <f t="shared" ref="BY164:DT164" ca="1" si="384">BX167</f>
        <v>447311.05165096594</v>
      </c>
      <c r="BZ164" s="168">
        <f t="shared" ca="1" si="384"/>
        <v>391397.17019459518</v>
      </c>
      <c r="CA164" s="168">
        <f t="shared" ca="1" si="384"/>
        <v>335483.28873822442</v>
      </c>
      <c r="CB164" s="168">
        <f t="shared" ca="1" si="384"/>
        <v>279569.40728185367</v>
      </c>
      <c r="CC164" s="168">
        <f t="shared" ca="1" si="384"/>
        <v>223655.52582548291</v>
      </c>
      <c r="CD164" s="168">
        <f t="shared" ca="1" si="384"/>
        <v>167741.64436911215</v>
      </c>
      <c r="CE164" s="168">
        <f t="shared" ca="1" si="384"/>
        <v>111827.76291274141</v>
      </c>
      <c r="CF164" s="168">
        <f t="shared" ca="1" si="384"/>
        <v>55913.881456370669</v>
      </c>
      <c r="CG164" s="168">
        <f t="shared" ca="1" si="384"/>
        <v>-7.2759576141834259E-11</v>
      </c>
      <c r="CH164" s="168">
        <f t="shared" ca="1" si="384"/>
        <v>602751.64209967654</v>
      </c>
      <c r="CI164" s="168">
        <f t="shared" ca="1" si="384"/>
        <v>547956.03827243322</v>
      </c>
      <c r="CJ164" s="168">
        <f t="shared" ca="1" si="384"/>
        <v>493160.43444518989</v>
      </c>
      <c r="CK164" s="168">
        <f t="shared" ca="1" si="384"/>
        <v>438364.83061794657</v>
      </c>
      <c r="CL164" s="168">
        <f t="shared" ca="1" si="384"/>
        <v>383569.22679070325</v>
      </c>
      <c r="CM164" s="168">
        <f t="shared" ca="1" si="384"/>
        <v>328773.62296345993</v>
      </c>
      <c r="CN164" s="168">
        <f t="shared" ca="1" si="384"/>
        <v>273978.01913621661</v>
      </c>
      <c r="CO164" s="168">
        <f t="shared" ca="1" si="384"/>
        <v>219182.41530897329</v>
      </c>
      <c r="CP164" s="168">
        <f t="shared" ca="1" si="384"/>
        <v>164386.81148172996</v>
      </c>
      <c r="CQ164" s="168">
        <f t="shared" ca="1" si="384"/>
        <v>109591.20765448664</v>
      </c>
      <c r="CR164" s="168">
        <f t="shared" ca="1" si="384"/>
        <v>54795.603827243314</v>
      </c>
      <c r="CS164" s="168">
        <f t="shared" ca="1" si="384"/>
        <v>0</v>
      </c>
      <c r="CT164" s="168">
        <f t="shared" ca="1" si="384"/>
        <v>590696.60925768327</v>
      </c>
      <c r="CU164" s="168">
        <f t="shared" ca="1" si="384"/>
        <v>536996.91750698478</v>
      </c>
      <c r="CV164" s="168">
        <f t="shared" ca="1" si="384"/>
        <v>483297.22575628629</v>
      </c>
      <c r="CW164" s="168">
        <f t="shared" ca="1" si="384"/>
        <v>429597.5340055878</v>
      </c>
      <c r="CX164" s="168">
        <f t="shared" ca="1" si="384"/>
        <v>375897.84225488931</v>
      </c>
      <c r="CY164" s="168">
        <f t="shared" ca="1" si="384"/>
        <v>322198.15050419082</v>
      </c>
      <c r="CZ164" s="168">
        <f t="shared" ca="1" si="384"/>
        <v>268498.45875349233</v>
      </c>
      <c r="DA164" s="168">
        <f t="shared" ca="1" si="384"/>
        <v>214798.76700279387</v>
      </c>
      <c r="DB164" s="168">
        <f t="shared" ca="1" si="384"/>
        <v>161099.07525209541</v>
      </c>
      <c r="DC164" s="168">
        <f t="shared" ca="1" si="384"/>
        <v>107399.38350139695</v>
      </c>
      <c r="DD164" s="168">
        <f t="shared" ca="1" si="384"/>
        <v>53699.69175069849</v>
      </c>
      <c r="DE164" s="168">
        <f t="shared" ca="1" si="384"/>
        <v>0</v>
      </c>
      <c r="DF164" s="168">
        <f t="shared" ca="1" si="384"/>
        <v>578882.67707252945</v>
      </c>
      <c r="DG164" s="168">
        <f t="shared" ca="1" si="384"/>
        <v>526256.97915684502</v>
      </c>
      <c r="DH164" s="168">
        <f t="shared" ca="1" si="384"/>
        <v>473631.28124116053</v>
      </c>
      <c r="DI164" s="168">
        <f t="shared" ca="1" si="384"/>
        <v>421005.58332547604</v>
      </c>
      <c r="DJ164" s="168">
        <f t="shared" ca="1" si="384"/>
        <v>368379.88540979155</v>
      </c>
      <c r="DK164" s="168">
        <f t="shared" ca="1" si="384"/>
        <v>315754.18749410706</v>
      </c>
      <c r="DL164" s="168">
        <f t="shared" ca="1" si="384"/>
        <v>263128.48957842257</v>
      </c>
      <c r="DM164" s="168">
        <f t="shared" ca="1" si="384"/>
        <v>210502.79166273808</v>
      </c>
      <c r="DN164" s="168">
        <f t="shared" ca="1" si="384"/>
        <v>157877.09374705359</v>
      </c>
      <c r="DO164" s="168">
        <f t="shared" ca="1" si="384"/>
        <v>105251.3958313691</v>
      </c>
      <c r="DP164" s="168">
        <f t="shared" ca="1" si="384"/>
        <v>52625.697915684606</v>
      </c>
      <c r="DQ164" s="168">
        <f t="shared" ca="1" si="384"/>
        <v>1.1641532182693481E-10</v>
      </c>
      <c r="DR164" s="168">
        <f t="shared" ca="1" si="384"/>
        <v>567305.02353107894</v>
      </c>
      <c r="DS164" s="168">
        <f t="shared" ca="1" si="384"/>
        <v>515731.83957370813</v>
      </c>
      <c r="DT164" s="168">
        <f t="shared" ca="1" si="384"/>
        <v>464158.65561633732</v>
      </c>
      <c r="DU164" s="168">
        <f t="shared" ref="DU164:EQ164" ca="1" si="385">DT167</f>
        <v>412585.4716589665</v>
      </c>
      <c r="DV164" s="168">
        <f t="shared" ca="1" si="385"/>
        <v>361012.28770159569</v>
      </c>
      <c r="DW164" s="168">
        <f t="shared" ca="1" si="385"/>
        <v>309439.10374422488</v>
      </c>
      <c r="DX164" s="168">
        <f t="shared" ca="1" si="385"/>
        <v>257865.91978685407</v>
      </c>
      <c r="DY164" s="168">
        <f t="shared" ca="1" si="385"/>
        <v>206292.73582948325</v>
      </c>
      <c r="DZ164" s="168">
        <f t="shared" ca="1" si="385"/>
        <v>154719.55187211244</v>
      </c>
      <c r="EA164" s="168">
        <f t="shared" ca="1" si="385"/>
        <v>103146.36791474164</v>
      </c>
      <c r="EB164" s="168">
        <f t="shared" ca="1" si="385"/>
        <v>51573.183957370842</v>
      </c>
      <c r="EC164" s="168">
        <f t="shared" ca="1" si="385"/>
        <v>0</v>
      </c>
      <c r="ED164" s="1320">
        <f t="shared" ca="1" si="385"/>
        <v>0</v>
      </c>
      <c r="EE164" s="168">
        <f t="shared" ca="1" si="385"/>
        <v>0</v>
      </c>
      <c r="EF164" s="168">
        <f t="shared" ca="1" si="385"/>
        <v>0</v>
      </c>
      <c r="EG164" s="168">
        <f t="shared" ca="1" si="385"/>
        <v>0</v>
      </c>
      <c r="EH164" s="168">
        <f t="shared" ca="1" si="385"/>
        <v>0</v>
      </c>
      <c r="EI164" s="168">
        <f t="shared" ca="1" si="385"/>
        <v>0</v>
      </c>
      <c r="EJ164" s="168">
        <f t="shared" ca="1" si="385"/>
        <v>0</v>
      </c>
      <c r="EK164" s="168">
        <f t="shared" ca="1" si="385"/>
        <v>0</v>
      </c>
      <c r="EL164" s="168">
        <f t="shared" ca="1" si="385"/>
        <v>0</v>
      </c>
      <c r="EM164" s="168">
        <f t="shared" ca="1" si="385"/>
        <v>0</v>
      </c>
      <c r="EN164" s="168">
        <f t="shared" ca="1" si="385"/>
        <v>0</v>
      </c>
      <c r="EO164" s="168">
        <f t="shared" ca="1" si="385"/>
        <v>0</v>
      </c>
      <c r="EP164" s="168">
        <f t="shared" ca="1" si="385"/>
        <v>0</v>
      </c>
      <c r="EQ164" s="168">
        <f t="shared" ca="1" si="385"/>
        <v>0</v>
      </c>
    </row>
    <row r="165" spans="3:147" ht="11.25" customHeight="1">
      <c r="C165" s="163"/>
      <c r="D165" s="169" t="s">
        <v>231</v>
      </c>
      <c r="H165" s="146">
        <f>'A&amp;R'!D37</f>
        <v>46326</v>
      </c>
      <c r="I165" s="90"/>
      <c r="J165" s="170">
        <f ca="1">SUM(L165:EQ165)</f>
        <v>6789202.8330659661</v>
      </c>
      <c r="K165" s="98"/>
      <c r="L165" s="171">
        <f ca="1">(MOD(Index!L24,12)=1)*1*SUM(L166:OFFSET(L166,,11,))</f>
        <v>0</v>
      </c>
      <c r="M165" s="171">
        <f ca="1">(MOD(Index!M24,12)=1)*1*SUM(M166:OFFSET(M166,,11,))</f>
        <v>742284.70000000007</v>
      </c>
      <c r="N165" s="171">
        <f ca="1">(MOD(Index!N24,12)=1)*1*SUM(N166:OFFSET(N166,,11,))</f>
        <v>0</v>
      </c>
      <c r="O165" s="171">
        <f ca="1">(MOD(Index!O24,12)=1)*1*SUM(O166:OFFSET(O166,,11,))</f>
        <v>0</v>
      </c>
      <c r="P165" s="171">
        <f ca="1">(MOD(Index!P24,12)=1)*1*SUM(P166:OFFSET(P166,,11,))</f>
        <v>0</v>
      </c>
      <c r="Q165" s="171">
        <f ca="1">(MOD(Index!Q24,12)=1)*1*SUM(Q166:OFFSET(Q166,,11,))</f>
        <v>0</v>
      </c>
      <c r="R165" s="171">
        <f ca="1">(MOD(Index!R24,12)=1)*1*SUM(R166:OFFSET(R166,,11,))</f>
        <v>0</v>
      </c>
      <c r="S165" s="171">
        <f ca="1">(MOD(Index!S24,12)=1)*1*SUM(S166:OFFSET(S166,,11,))</f>
        <v>0</v>
      </c>
      <c r="T165" s="171">
        <f ca="1">(MOD(Index!T24,12)=1)*1*SUM(T166:OFFSET(T166,,11,))</f>
        <v>0</v>
      </c>
      <c r="U165" s="171">
        <f ca="1">(MOD(Index!U24,12)=1)*1*SUM(U166:OFFSET(U166,,11,))</f>
        <v>0</v>
      </c>
      <c r="V165" s="171">
        <f ca="1">(MOD(Index!V24,12)=1)*1*SUM(V166:OFFSET(V166,,11,))</f>
        <v>0</v>
      </c>
      <c r="W165" s="171">
        <f ca="1">(MOD(Index!W24,12)=1)*1*SUM(W166:OFFSET(W166,,11,))</f>
        <v>0</v>
      </c>
      <c r="X165" s="171">
        <f ca="1">(MOD(Index!X24,12)=1)*1*SUM(X166:OFFSET(X166,,11,))</f>
        <v>0</v>
      </c>
      <c r="Y165" s="171">
        <f ca="1">(MOD(Index!Y24,12)=1)*1*SUM(Y166:OFFSET(Y166,,11,))</f>
        <v>727439.00600000017</v>
      </c>
      <c r="Z165" s="171">
        <f ca="1">(MOD(Index!Z24,12)=1)*1*SUM(Z166:OFFSET(Z166,,11,))</f>
        <v>0</v>
      </c>
      <c r="AA165" s="171">
        <f ca="1">(MOD(Index!AA24,12)=1)*1*SUM(AA166:OFFSET(AA166,,11,))</f>
        <v>0</v>
      </c>
      <c r="AB165" s="171">
        <f ca="1">(MOD(Index!AB24,12)=1)*1*SUM(AB166:OFFSET(AB166,,11,))</f>
        <v>0</v>
      </c>
      <c r="AC165" s="171">
        <f ca="1">(MOD(Index!AC24,12)=1)*1*SUM(AC166:OFFSET(AC166,,11,))</f>
        <v>0</v>
      </c>
      <c r="AD165" s="171">
        <f ca="1">(MOD(Index!AD24,12)=1)*1*SUM(AD166:OFFSET(AD166,,11,))</f>
        <v>0</v>
      </c>
      <c r="AE165" s="171">
        <f ca="1">(MOD(Index!AE24,12)=1)*1*SUM(AE166:OFFSET(AE166,,11,))</f>
        <v>0</v>
      </c>
      <c r="AF165" s="171">
        <f ca="1">(MOD(Index!AF24,12)=1)*1*SUM(AF166:OFFSET(AF166,,11,))</f>
        <v>0</v>
      </c>
      <c r="AG165" s="171">
        <f ca="1">(MOD(Index!AG24,12)=1)*1*SUM(AG166:OFFSET(AG166,,11,))</f>
        <v>0</v>
      </c>
      <c r="AH165" s="171">
        <f ca="1">(MOD(Index!AH24,12)=1)*1*SUM(AH166:OFFSET(AH166,,11,))</f>
        <v>0</v>
      </c>
      <c r="AI165" s="171">
        <f ca="1">(MOD(Index!AI24,12)=1)*1*SUM(AI166:OFFSET(AI166,,11,))</f>
        <v>0</v>
      </c>
      <c r="AJ165" s="171">
        <f ca="1">(MOD(Index!AJ24,12)=1)*1*SUM(AJ166:OFFSET(AJ166,,11,))</f>
        <v>0</v>
      </c>
      <c r="AK165" s="171">
        <f ca="1">(MOD(Index!AK24,12)=1)*1*SUM(AK166:OFFSET(AK166,,11,))</f>
        <v>712890.22587999993</v>
      </c>
      <c r="AL165" s="171">
        <f ca="1">(MOD(Index!AL24,12)=1)*1*SUM(AL166:OFFSET(AL166,,11,))</f>
        <v>0</v>
      </c>
      <c r="AM165" s="171">
        <f ca="1">(MOD(Index!AM24,12)=1)*1*SUM(AM166:OFFSET(AM166,,11,))</f>
        <v>0</v>
      </c>
      <c r="AN165" s="171">
        <f ca="1">(MOD(Index!AN24,12)=1)*1*SUM(AN166:OFFSET(AN166,,11,))</f>
        <v>0</v>
      </c>
      <c r="AO165" s="171">
        <f ca="1">(MOD(Index!AO24,12)=1)*1*SUM(AO166:OFFSET(AO166,,11,))</f>
        <v>0</v>
      </c>
      <c r="AP165" s="171">
        <f ca="1">(MOD(Index!AP24,12)=1)*1*SUM(AP166:OFFSET(AP166,,11,))</f>
        <v>0</v>
      </c>
      <c r="AQ165" s="171">
        <f ca="1">(MOD(Index!AQ24,12)=1)*1*SUM(AQ166:OFFSET(AQ166,,11,))</f>
        <v>0</v>
      </c>
      <c r="AR165" s="171">
        <f ca="1">(MOD(Index!AR24,12)=1)*1*SUM(AR166:OFFSET(AR166,,11,))</f>
        <v>0</v>
      </c>
      <c r="AS165" s="171">
        <f ca="1">(MOD(Index!AS24,12)=1)*1*SUM(AS166:OFFSET(AS166,,11,))</f>
        <v>0</v>
      </c>
      <c r="AT165" s="171">
        <f ca="1">(MOD(Index!AT24,12)=1)*1*SUM(AT166:OFFSET(AT166,,11,))</f>
        <v>0</v>
      </c>
      <c r="AU165" s="171">
        <f ca="1">(MOD(Index!AU24,12)=1)*1*SUM(AU166:OFFSET(AU166,,11,))</f>
        <v>0</v>
      </c>
      <c r="AV165" s="171">
        <f ca="1">(MOD(Index!AV24,12)=1)*1*SUM(AV166:OFFSET(AV166,,11,))</f>
        <v>0</v>
      </c>
      <c r="AW165" s="171">
        <f ca="1">(MOD(Index!AW24,12)=1)*1*SUM(AW166:OFFSET(AW166,,11,))</f>
        <v>698632.42136240005</v>
      </c>
      <c r="AX165" s="171">
        <f ca="1">(MOD(Index!AX24,12)=1)*1*SUM(AX166:OFFSET(AX166,,11,))</f>
        <v>0</v>
      </c>
      <c r="AY165" s="171">
        <f ca="1">(MOD(Index!AY24,12)=1)*1*SUM(AY166:OFFSET(AY166,,11,))</f>
        <v>0</v>
      </c>
      <c r="AZ165" s="171">
        <f ca="1">(MOD(Index!AZ24,12)=1)*1*SUM(AZ166:OFFSET(AZ166,,11,))</f>
        <v>0</v>
      </c>
      <c r="BA165" s="171">
        <f ca="1">(MOD(Index!BA24,12)=1)*1*SUM(BA166:OFFSET(BA166,,11,))</f>
        <v>0</v>
      </c>
      <c r="BB165" s="171">
        <f ca="1">(MOD(Index!BB24,12)=1)*1*SUM(BB166:OFFSET(BB166,,11,))</f>
        <v>0</v>
      </c>
      <c r="BC165" s="171">
        <f ca="1">(MOD(Index!BC24,12)=1)*1*SUM(BC166:OFFSET(BC166,,11,))</f>
        <v>0</v>
      </c>
      <c r="BD165" s="171">
        <f ca="1">(MOD(Index!BD24,12)=1)*1*SUM(BD166:OFFSET(BD166,,11,))</f>
        <v>0</v>
      </c>
      <c r="BE165" s="171">
        <f ca="1">(MOD(Index!BE24,12)=1)*1*SUM(BE166:OFFSET(BE166,,11,))</f>
        <v>0</v>
      </c>
      <c r="BF165" s="171">
        <f ca="1">(MOD(Index!BF24,12)=1)*1*SUM(BF166:OFFSET(BF166,,11,))</f>
        <v>0</v>
      </c>
      <c r="BG165" s="171">
        <f ca="1">(MOD(Index!BG24,12)=1)*1*SUM(BG166:OFFSET(BG166,,11,))</f>
        <v>0</v>
      </c>
      <c r="BH165" s="171">
        <f ca="1">(MOD(Index!BH24,12)=1)*1*SUM(BH166:OFFSET(BH166,,11,))</f>
        <v>0</v>
      </c>
      <c r="BI165" s="171">
        <f ca="1">(MOD(Index!BI24,12)=1)*1*SUM(BI166:OFFSET(BI166,,11,))</f>
        <v>684659.77293515205</v>
      </c>
      <c r="BJ165" s="171">
        <f ca="1">(MOD(Index!BJ24,12)=1)*1*SUM(BJ166:OFFSET(BJ166,,11,))</f>
        <v>0</v>
      </c>
      <c r="BK165" s="171">
        <f ca="1">(MOD(Index!BK24,12)=1)*1*SUM(BK166:OFFSET(BK166,,11,))</f>
        <v>0</v>
      </c>
      <c r="BL165" s="171">
        <f ca="1">(MOD(Index!BL24,12)=1)*1*SUM(BL166:OFFSET(BL166,,11,))</f>
        <v>0</v>
      </c>
      <c r="BM165" s="171">
        <f ca="1">(MOD(Index!BM24,12)=1)*1*SUM(BM166:OFFSET(BM166,,11,))</f>
        <v>0</v>
      </c>
      <c r="BN165" s="171">
        <f ca="1">(MOD(Index!BN24,12)=1)*1*SUM(BN166:OFFSET(BN166,,11,))</f>
        <v>0</v>
      </c>
      <c r="BO165" s="171">
        <f ca="1">(MOD(Index!BO24,12)=1)*1*SUM(BO166:OFFSET(BO166,,11,))</f>
        <v>0</v>
      </c>
      <c r="BP165" s="171">
        <f ca="1">(MOD(Index!BP24,12)=1)*1*SUM(BP166:OFFSET(BP166,,11,))</f>
        <v>0</v>
      </c>
      <c r="BQ165" s="171">
        <f ca="1">(MOD(Index!BQ24,12)=1)*1*SUM(BQ166:OFFSET(BQ166,,11,))</f>
        <v>0</v>
      </c>
      <c r="BR165" s="171">
        <f ca="1">(MOD(Index!BR24,12)=1)*1*SUM(BR166:OFFSET(BR166,,11,))</f>
        <v>0</v>
      </c>
      <c r="BS165" s="171">
        <f ca="1">(MOD(Index!BS24,12)=1)*1*SUM(BS166:OFFSET(BS166,,11,))</f>
        <v>0</v>
      </c>
      <c r="BT165" s="171">
        <f ca="1">(MOD(Index!BT24,12)=1)*1*SUM(BT166:OFFSET(BT166,,11,))</f>
        <v>0</v>
      </c>
      <c r="BU165" s="171">
        <f ca="1">(MOD(Index!BU24,12)=1)*1*SUM(BU166:OFFSET(BU166,,11,))</f>
        <v>670966.57747644885</v>
      </c>
      <c r="BV165" s="171">
        <f ca="1">(MOD(Index!BV24,12)=1)*1*SUM(BV166:OFFSET(BV166,,11,))</f>
        <v>0</v>
      </c>
      <c r="BW165" s="171">
        <f ca="1">(MOD(Index!BW24,12)=1)*1*SUM(BW166:OFFSET(BW166,,11,))</f>
        <v>0</v>
      </c>
      <c r="BX165" s="171">
        <f ca="1">(MOD(Index!BX24,12)=1)*1*SUM(BX166:OFFSET(BX166,,11,))</f>
        <v>0</v>
      </c>
      <c r="BY165" s="171">
        <f ca="1">(MOD(Index!BY24,12)=1)*1*SUM(BY166:OFFSET(BY166,,11,))</f>
        <v>0</v>
      </c>
      <c r="BZ165" s="171">
        <f ca="1">(MOD(Index!BZ24,12)=1)*1*SUM(BZ166:OFFSET(BZ166,,11,))</f>
        <v>0</v>
      </c>
      <c r="CA165" s="171">
        <f ca="1">(MOD(Index!CA24,12)=1)*1*SUM(CA166:OFFSET(CA166,,11,))</f>
        <v>0</v>
      </c>
      <c r="CB165" s="171">
        <f ca="1">(MOD(Index!CB24,12)=1)*1*SUM(CB166:OFFSET(CB166,,11,))</f>
        <v>0</v>
      </c>
      <c r="CC165" s="171">
        <f ca="1">(MOD(Index!CC24,12)=1)*1*SUM(CC166:OFFSET(CC166,,11,))</f>
        <v>0</v>
      </c>
      <c r="CD165" s="171">
        <f ca="1">(MOD(Index!CD24,12)=1)*1*SUM(CD166:OFFSET(CD166,,11,))</f>
        <v>0</v>
      </c>
      <c r="CE165" s="171">
        <f ca="1">(MOD(Index!CE24,12)=1)*1*SUM(CE166:OFFSET(CE166,,11,))</f>
        <v>0</v>
      </c>
      <c r="CF165" s="171">
        <f ca="1">(MOD(Index!CF24,12)=1)*1*SUM(CF166:OFFSET(CF166,,11,))</f>
        <v>0</v>
      </c>
      <c r="CG165" s="171">
        <f ca="1">(MOD(Index!CG24,12)=1)*1*SUM(CG166:OFFSET(CG166,,11,))</f>
        <v>657547.24592691998</v>
      </c>
      <c r="CH165" s="171">
        <f ca="1">(MOD(Index!CH24,12)=1)*1*SUM(CH166:OFFSET(CH166,,11,))</f>
        <v>0</v>
      </c>
      <c r="CI165" s="171">
        <f ca="1">(MOD(Index!CI24,12)=1)*1*SUM(CI166:OFFSET(CI166,,11,))</f>
        <v>0</v>
      </c>
      <c r="CJ165" s="171">
        <f ca="1">(MOD(Index!CJ24,12)=1)*1*SUM(CJ166:OFFSET(CJ166,,11,))</f>
        <v>0</v>
      </c>
      <c r="CK165" s="171">
        <f ca="1">(MOD(Index!CK24,12)=1)*1*SUM(CK166:OFFSET(CK166,,11,))</f>
        <v>0</v>
      </c>
      <c r="CL165" s="171">
        <f ca="1">(MOD(Index!CL24,12)=1)*1*SUM(CL166:OFFSET(CL166,,11,))</f>
        <v>0</v>
      </c>
      <c r="CM165" s="171">
        <f ca="1">(MOD(Index!CM24,12)=1)*1*SUM(CM166:OFFSET(CM166,,11,))</f>
        <v>0</v>
      </c>
      <c r="CN165" s="171">
        <f ca="1">(MOD(Index!CN24,12)=1)*1*SUM(CN166:OFFSET(CN166,,11,))</f>
        <v>0</v>
      </c>
      <c r="CO165" s="171">
        <f ca="1">(MOD(Index!CO24,12)=1)*1*SUM(CO166:OFFSET(CO166,,11,))</f>
        <v>0</v>
      </c>
      <c r="CP165" s="171">
        <f ca="1">(MOD(Index!CP24,12)=1)*1*SUM(CP166:OFFSET(CP166,,11,))</f>
        <v>0</v>
      </c>
      <c r="CQ165" s="171">
        <f ca="1">(MOD(Index!CQ24,12)=1)*1*SUM(CQ166:OFFSET(CQ166,,11,))</f>
        <v>0</v>
      </c>
      <c r="CR165" s="171">
        <f ca="1">(MOD(Index!CR24,12)=1)*1*SUM(CR166:OFFSET(CR166,,11,))</f>
        <v>0</v>
      </c>
      <c r="CS165" s="171">
        <f ca="1">(MOD(Index!CS24,12)=1)*1*SUM(CS166:OFFSET(CS166,,11,))</f>
        <v>644396.30100838176</v>
      </c>
      <c r="CT165" s="171">
        <f ca="1">(MOD(Index!CT24,12)=1)*1*SUM(CT166:OFFSET(CT166,,11,))</f>
        <v>0</v>
      </c>
      <c r="CU165" s="171">
        <f ca="1">(MOD(Index!CU24,12)=1)*1*SUM(CU166:OFFSET(CU166,,11,))</f>
        <v>0</v>
      </c>
      <c r="CV165" s="171">
        <f ca="1">(MOD(Index!CV24,12)=1)*1*SUM(CV166:OFFSET(CV166,,11,))</f>
        <v>0</v>
      </c>
      <c r="CW165" s="171">
        <f ca="1">(MOD(Index!CW24,12)=1)*1*SUM(CW166:OFFSET(CW166,,11,))</f>
        <v>0</v>
      </c>
      <c r="CX165" s="171">
        <f ca="1">(MOD(Index!CX24,12)=1)*1*SUM(CX166:OFFSET(CX166,,11,))</f>
        <v>0</v>
      </c>
      <c r="CY165" s="171">
        <f ca="1">(MOD(Index!CY24,12)=1)*1*SUM(CY166:OFFSET(CY166,,11,))</f>
        <v>0</v>
      </c>
      <c r="CZ165" s="171">
        <f ca="1">(MOD(Index!CZ24,12)=1)*1*SUM(CZ166:OFFSET(CZ166,,11,))</f>
        <v>0</v>
      </c>
      <c r="DA165" s="171">
        <f ca="1">(MOD(Index!DA24,12)=1)*1*SUM(DA166:OFFSET(DA166,,11,))</f>
        <v>0</v>
      </c>
      <c r="DB165" s="171">
        <f ca="1">(MOD(Index!DB24,12)=1)*1*SUM(DB166:OFFSET(DB166,,11,))</f>
        <v>0</v>
      </c>
      <c r="DC165" s="171">
        <f ca="1">(MOD(Index!DC24,12)=1)*1*SUM(DC166:OFFSET(DC166,,11,))</f>
        <v>0</v>
      </c>
      <c r="DD165" s="171">
        <f ca="1">(MOD(Index!DD24,12)=1)*1*SUM(DD166:OFFSET(DD166,,11,))</f>
        <v>0</v>
      </c>
      <c r="DE165" s="171">
        <f ca="1">(MOD(Index!DE24,12)=1)*1*SUM(DE166:OFFSET(DE166,,11,))</f>
        <v>631508.37498821388</v>
      </c>
      <c r="DF165" s="171">
        <f ca="1">(MOD(Index!DF24,12)=1)*1*SUM(DF166:OFFSET(DF166,,11,))</f>
        <v>0</v>
      </c>
      <c r="DG165" s="171">
        <f ca="1">(MOD(Index!DG24,12)=1)*1*SUM(DG166:OFFSET(DG166,,11,))</f>
        <v>0</v>
      </c>
      <c r="DH165" s="171">
        <f ca="1">(MOD(Index!DH24,12)=1)*1*SUM(DH166:OFFSET(DH166,,11,))</f>
        <v>0</v>
      </c>
      <c r="DI165" s="171">
        <f ca="1">(MOD(Index!DI24,12)=1)*1*SUM(DI166:OFFSET(DI166,,11,))</f>
        <v>0</v>
      </c>
      <c r="DJ165" s="171">
        <f ca="1">(MOD(Index!DJ24,12)=1)*1*SUM(DJ166:OFFSET(DJ166,,11,))</f>
        <v>0</v>
      </c>
      <c r="DK165" s="171">
        <f ca="1">(MOD(Index!DK24,12)=1)*1*SUM(DK166:OFFSET(DK166,,11,))</f>
        <v>0</v>
      </c>
      <c r="DL165" s="171">
        <f ca="1">(MOD(Index!DL24,12)=1)*1*SUM(DL166:OFFSET(DL166,,11,))</f>
        <v>0</v>
      </c>
      <c r="DM165" s="171">
        <f ca="1">(MOD(Index!DM24,12)=1)*1*SUM(DM166:OFFSET(DM166,,11,))</f>
        <v>0</v>
      </c>
      <c r="DN165" s="171">
        <f ca="1">(MOD(Index!DN24,12)=1)*1*SUM(DN166:OFFSET(DN166,,11,))</f>
        <v>0</v>
      </c>
      <c r="DO165" s="171">
        <f ca="1">(MOD(Index!DO24,12)=1)*1*SUM(DO166:OFFSET(DO166,,11,))</f>
        <v>0</v>
      </c>
      <c r="DP165" s="171">
        <f ca="1">(MOD(Index!DP24,12)=1)*1*SUM(DP166:OFFSET(DP166,,11,))</f>
        <v>0</v>
      </c>
      <c r="DQ165" s="171">
        <f ca="1">(MOD(Index!DQ24,12)=1)*1*SUM(DQ166:OFFSET(DQ166,,11,))</f>
        <v>618878.20748844964</v>
      </c>
      <c r="DR165" s="171">
        <f ca="1">(MOD(Index!DR24,12)=1)*1*SUM(DR166:OFFSET(DR166,,11,))</f>
        <v>0</v>
      </c>
      <c r="DS165" s="171">
        <f ca="1">(MOD(Index!DS24,12)=1)*1*SUM(DS166:OFFSET(DS166,,11,))</f>
        <v>0</v>
      </c>
      <c r="DT165" s="171">
        <f ca="1">(MOD(Index!DT24,12)=1)*1*SUM(DT166:OFFSET(DT166,,11,))</f>
        <v>0</v>
      </c>
      <c r="DU165" s="171">
        <f ca="1">(MOD(Index!DU24,12)=1)*1*SUM(DU166:OFFSET(DU166,,11,))</f>
        <v>0</v>
      </c>
      <c r="DV165" s="171">
        <f ca="1">(MOD(Index!DV24,12)=1)*1*SUM(DV166:OFFSET(DV166,,11,))</f>
        <v>0</v>
      </c>
      <c r="DW165" s="171">
        <f ca="1">(MOD(Index!DW24,12)=1)*1*SUM(DW166:OFFSET(DW166,,11,))</f>
        <v>0</v>
      </c>
      <c r="DX165" s="171">
        <f ca="1">(MOD(Index!DX24,12)=1)*1*SUM(DX166:OFFSET(DX166,,11,))</f>
        <v>0</v>
      </c>
      <c r="DY165" s="171">
        <f ca="1">(MOD(Index!DY24,12)=1)*1*SUM(DY166:OFFSET(DY166,,11,))</f>
        <v>0</v>
      </c>
      <c r="DZ165" s="171">
        <f ca="1">(MOD(Index!DZ24,12)=1)*1*SUM(DZ166:OFFSET(DZ166,,11,))</f>
        <v>0</v>
      </c>
      <c r="EA165" s="171">
        <f ca="1">(MOD(Index!EA24,12)=1)*1*SUM(EA166:OFFSET(EA166,,11,))</f>
        <v>0</v>
      </c>
      <c r="EB165" s="171">
        <f ca="1">(MOD(Index!EB24,12)=1)*1*SUM(EB166:OFFSET(EB166,,11,))</f>
        <v>0</v>
      </c>
      <c r="EC165" s="171">
        <f ca="1">(MOD(Index!EC24,12)=1)*1*SUM(EC166:OFFSET(EC166,,11,))</f>
        <v>0</v>
      </c>
      <c r="ED165" s="1321">
        <f ca="1">(MOD(Index!ED24,12)=1)*1*SUM(ED166:OFFSET(ED166,,11,))</f>
        <v>0</v>
      </c>
      <c r="EE165" s="171">
        <f ca="1">(MOD(Index!EE24,12)=1)*1*SUM(EE166:OFFSET(EE166,,11,))</f>
        <v>0</v>
      </c>
      <c r="EF165" s="171">
        <f ca="1">(MOD(Index!EF24,12)=1)*1*SUM(EF166:OFFSET(EF166,,11,))</f>
        <v>0</v>
      </c>
      <c r="EG165" s="171">
        <f ca="1">(MOD(Index!EG24,12)=1)*1*SUM(EG166:OFFSET(EG166,,11,))</f>
        <v>0</v>
      </c>
      <c r="EH165" s="171">
        <f ca="1">(MOD(Index!EH24,12)=1)*1*SUM(EH166:OFFSET(EH166,,11,))</f>
        <v>0</v>
      </c>
      <c r="EI165" s="171">
        <f ca="1">(MOD(Index!EI24,12)=1)*1*SUM(EI166:OFFSET(EI166,,11,))</f>
        <v>0</v>
      </c>
      <c r="EJ165" s="171">
        <f ca="1">(MOD(Index!EJ24,12)=1)*1*SUM(EJ166:OFFSET(EJ166,,11,))</f>
        <v>0</v>
      </c>
      <c r="EK165" s="171">
        <f ca="1">(MOD(Index!EK24,12)=1)*1*SUM(EK166:OFFSET(EK166,,11,))</f>
        <v>0</v>
      </c>
      <c r="EL165" s="171">
        <f ca="1">(MOD(Index!EL24,12)=1)*1*SUM(EL166:OFFSET(EL166,,11,))</f>
        <v>0</v>
      </c>
      <c r="EM165" s="171">
        <f ca="1">(MOD(Index!EM24,12)=1)*1*SUM(EM166:OFFSET(EM166,,11,))</f>
        <v>0</v>
      </c>
      <c r="EN165" s="171">
        <f ca="1">(MOD(Index!EN24,12)=1)*1*SUM(EN166:OFFSET(EN166,,11,))</f>
        <v>0</v>
      </c>
      <c r="EO165" s="171">
        <f ca="1">(MOD(Index!EO24,12)=1)*1*SUM(EO166:OFFSET(EO166,,11,))</f>
        <v>0</v>
      </c>
      <c r="EP165" s="171">
        <f ca="1">(MOD(Index!EP24,12)=1)*1*SUM(EP166:OFFSET(EP166,,11,))</f>
        <v>0</v>
      </c>
      <c r="EQ165" s="171">
        <f ca="1">(MOD(Index!EQ24,12)=1)*1*SUM(EQ166:OFFSET(EQ166,,11,))</f>
        <v>0</v>
      </c>
    </row>
    <row r="166" spans="3:147" ht="11.25" customHeight="1">
      <c r="C166" s="163"/>
      <c r="D166" s="169" t="s">
        <v>232</v>
      </c>
      <c r="I166" s="248"/>
      <c r="J166" s="170">
        <f>SUM(L166:EQ166)</f>
        <v>6789202.8330659764</v>
      </c>
      <c r="K166" s="98"/>
      <c r="L166" s="171">
        <f>'NOI(M)'!M26</f>
        <v>0</v>
      </c>
      <c r="M166" s="171">
        <f>'NOI(M)'!N26</f>
        <v>61857.058333333342</v>
      </c>
      <c r="N166" s="171">
        <f>'NOI(M)'!O26</f>
        <v>61857.058333333342</v>
      </c>
      <c r="O166" s="171">
        <f>'NOI(M)'!P26</f>
        <v>61857.058333333342</v>
      </c>
      <c r="P166" s="171">
        <f>'NOI(M)'!Q26</f>
        <v>61857.058333333342</v>
      </c>
      <c r="Q166" s="171">
        <f>'NOI(M)'!R26</f>
        <v>61857.058333333342</v>
      </c>
      <c r="R166" s="171">
        <f>'NOI(M)'!S26</f>
        <v>61857.058333333342</v>
      </c>
      <c r="S166" s="171">
        <f>'NOI(M)'!T26</f>
        <v>61857.058333333342</v>
      </c>
      <c r="T166" s="171">
        <f>'NOI(M)'!U26</f>
        <v>61857.058333333342</v>
      </c>
      <c r="U166" s="171">
        <f>'NOI(M)'!V26</f>
        <v>61857.058333333342</v>
      </c>
      <c r="V166" s="171">
        <f>'NOI(M)'!W26</f>
        <v>61857.058333333342</v>
      </c>
      <c r="W166" s="171">
        <f>'NOI(M)'!X26</f>
        <v>61857.058333333342</v>
      </c>
      <c r="X166" s="171">
        <f>'NOI(M)'!Y26</f>
        <v>61857.058333333342</v>
      </c>
      <c r="Y166" s="171">
        <f>'NOI(M)'!Z26</f>
        <v>60619.917166666673</v>
      </c>
      <c r="Z166" s="171">
        <f>'NOI(M)'!AA26</f>
        <v>60619.917166666673</v>
      </c>
      <c r="AA166" s="171">
        <f>'NOI(M)'!AB26</f>
        <v>60619.917166666673</v>
      </c>
      <c r="AB166" s="171">
        <f>'NOI(M)'!AC26</f>
        <v>60619.917166666673</v>
      </c>
      <c r="AC166" s="171">
        <f>'NOI(M)'!AD26</f>
        <v>60619.917166666673</v>
      </c>
      <c r="AD166" s="171">
        <f>'NOI(M)'!AE26</f>
        <v>60619.917166666673</v>
      </c>
      <c r="AE166" s="171">
        <f>'NOI(M)'!AF26</f>
        <v>60619.917166666673</v>
      </c>
      <c r="AF166" s="171">
        <f>'NOI(M)'!AG26</f>
        <v>60619.917166666673</v>
      </c>
      <c r="AG166" s="171">
        <f>'NOI(M)'!AH26</f>
        <v>60619.917166666673</v>
      </c>
      <c r="AH166" s="171">
        <f>'NOI(M)'!AI26</f>
        <v>60619.917166666673</v>
      </c>
      <c r="AI166" s="171">
        <f>'NOI(M)'!AJ26</f>
        <v>60619.917166666673</v>
      </c>
      <c r="AJ166" s="171">
        <f>'NOI(M)'!AK26</f>
        <v>60619.917166666673</v>
      </c>
      <c r="AK166" s="171">
        <f>'NOI(M)'!AL26</f>
        <v>59407.518823333339</v>
      </c>
      <c r="AL166" s="171">
        <f>'NOI(M)'!AM26</f>
        <v>59407.518823333339</v>
      </c>
      <c r="AM166" s="171">
        <f>'NOI(M)'!AN26</f>
        <v>59407.518823333339</v>
      </c>
      <c r="AN166" s="171">
        <f>'NOI(M)'!AO26</f>
        <v>59407.518823333339</v>
      </c>
      <c r="AO166" s="171">
        <f>'NOI(M)'!AP26</f>
        <v>59407.518823333339</v>
      </c>
      <c r="AP166" s="171">
        <f>'NOI(M)'!AQ26</f>
        <v>59407.518823333339</v>
      </c>
      <c r="AQ166" s="171">
        <f>'NOI(M)'!AR26</f>
        <v>59407.518823333339</v>
      </c>
      <c r="AR166" s="171">
        <f>'NOI(M)'!AS26</f>
        <v>59407.518823333339</v>
      </c>
      <c r="AS166" s="171">
        <f>'NOI(M)'!AT26</f>
        <v>59407.518823333339</v>
      </c>
      <c r="AT166" s="171">
        <f>'NOI(M)'!AU26</f>
        <v>59407.518823333339</v>
      </c>
      <c r="AU166" s="171">
        <f>'NOI(M)'!AV26</f>
        <v>59407.518823333339</v>
      </c>
      <c r="AV166" s="171">
        <f>'NOI(M)'!AW26</f>
        <v>59407.518823333339</v>
      </c>
      <c r="AW166" s="171">
        <f>'NOI(M)'!AX26</f>
        <v>58219.368446866669</v>
      </c>
      <c r="AX166" s="171">
        <f>'NOI(M)'!AY26</f>
        <v>58219.368446866669</v>
      </c>
      <c r="AY166" s="171">
        <f>'NOI(M)'!AZ26</f>
        <v>58219.368446866669</v>
      </c>
      <c r="AZ166" s="171">
        <f>'NOI(M)'!BA26</f>
        <v>58219.368446866669</v>
      </c>
      <c r="BA166" s="171">
        <f>'NOI(M)'!BB26</f>
        <v>58219.368446866669</v>
      </c>
      <c r="BB166" s="171">
        <f>'NOI(M)'!BC26</f>
        <v>58219.368446866669</v>
      </c>
      <c r="BC166" s="171">
        <f>'NOI(M)'!BD26</f>
        <v>58219.368446866669</v>
      </c>
      <c r="BD166" s="171">
        <f>'NOI(M)'!BE26</f>
        <v>58219.368446866669</v>
      </c>
      <c r="BE166" s="171">
        <f>'NOI(M)'!BF26</f>
        <v>58219.368446866669</v>
      </c>
      <c r="BF166" s="171">
        <f>'NOI(M)'!BG26</f>
        <v>58219.368446866669</v>
      </c>
      <c r="BG166" s="171">
        <f>'NOI(M)'!BH26</f>
        <v>58219.368446866669</v>
      </c>
      <c r="BH166" s="171">
        <f>'NOI(M)'!BI26</f>
        <v>58219.368446866669</v>
      </c>
      <c r="BI166" s="171">
        <f>'NOI(M)'!BJ26</f>
        <v>57054.981077929333</v>
      </c>
      <c r="BJ166" s="171">
        <f>'NOI(M)'!BK26</f>
        <v>57054.981077929333</v>
      </c>
      <c r="BK166" s="171">
        <f>'NOI(M)'!BL26</f>
        <v>57054.981077929333</v>
      </c>
      <c r="BL166" s="171">
        <f>'NOI(M)'!BM26</f>
        <v>57054.981077929333</v>
      </c>
      <c r="BM166" s="171">
        <f>'NOI(M)'!BN26</f>
        <v>57054.981077929333</v>
      </c>
      <c r="BN166" s="171">
        <f>'NOI(M)'!BO26</f>
        <v>57054.981077929333</v>
      </c>
      <c r="BO166" s="171">
        <f>'NOI(M)'!BP26</f>
        <v>57054.981077929333</v>
      </c>
      <c r="BP166" s="171">
        <f>'NOI(M)'!BQ26</f>
        <v>57054.981077929333</v>
      </c>
      <c r="BQ166" s="171">
        <f>'NOI(M)'!BR26</f>
        <v>57054.981077929333</v>
      </c>
      <c r="BR166" s="171">
        <f>'NOI(M)'!BS26</f>
        <v>57054.981077929333</v>
      </c>
      <c r="BS166" s="171">
        <f>'NOI(M)'!BT26</f>
        <v>57054.981077929333</v>
      </c>
      <c r="BT166" s="171">
        <f>'NOI(M)'!BU26</f>
        <v>57054.981077929333</v>
      </c>
      <c r="BU166" s="171">
        <f>'NOI(M)'!BV26</f>
        <v>55913.881456370742</v>
      </c>
      <c r="BV166" s="171">
        <f>'NOI(M)'!BW26</f>
        <v>55913.881456370742</v>
      </c>
      <c r="BW166" s="171">
        <f>'NOI(M)'!BX26</f>
        <v>55913.881456370742</v>
      </c>
      <c r="BX166" s="171">
        <f>'NOI(M)'!BY26</f>
        <v>55913.881456370742</v>
      </c>
      <c r="BY166" s="171">
        <f>'NOI(M)'!BZ26</f>
        <v>55913.881456370742</v>
      </c>
      <c r="BZ166" s="171">
        <f>'NOI(M)'!CA26</f>
        <v>55913.881456370742</v>
      </c>
      <c r="CA166" s="171">
        <f>'NOI(M)'!CB26</f>
        <v>55913.881456370742</v>
      </c>
      <c r="CB166" s="171">
        <f>'NOI(M)'!CC26</f>
        <v>55913.881456370742</v>
      </c>
      <c r="CC166" s="171">
        <f>'NOI(M)'!CD26</f>
        <v>55913.881456370742</v>
      </c>
      <c r="CD166" s="171">
        <f>'NOI(M)'!CE26</f>
        <v>55913.881456370742</v>
      </c>
      <c r="CE166" s="171">
        <f>'NOI(M)'!CF26</f>
        <v>55913.881456370742</v>
      </c>
      <c r="CF166" s="171">
        <f>'NOI(M)'!CG26</f>
        <v>55913.881456370742</v>
      </c>
      <c r="CG166" s="171">
        <f>'NOI(M)'!CH26</f>
        <v>54795.603827243329</v>
      </c>
      <c r="CH166" s="171">
        <f>'NOI(M)'!CI26</f>
        <v>54795.603827243329</v>
      </c>
      <c r="CI166" s="171">
        <f>'NOI(M)'!CJ26</f>
        <v>54795.603827243329</v>
      </c>
      <c r="CJ166" s="171">
        <f>'NOI(M)'!CK26</f>
        <v>54795.603827243329</v>
      </c>
      <c r="CK166" s="171">
        <f>'NOI(M)'!CL26</f>
        <v>54795.603827243329</v>
      </c>
      <c r="CL166" s="171">
        <f>'NOI(M)'!CM26</f>
        <v>54795.603827243329</v>
      </c>
      <c r="CM166" s="171">
        <f>'NOI(M)'!CN26</f>
        <v>54795.603827243329</v>
      </c>
      <c r="CN166" s="171">
        <f>'NOI(M)'!CO26</f>
        <v>54795.603827243329</v>
      </c>
      <c r="CO166" s="171">
        <f>'NOI(M)'!CP26</f>
        <v>54795.603827243329</v>
      </c>
      <c r="CP166" s="171">
        <f>'NOI(M)'!CQ26</f>
        <v>54795.603827243329</v>
      </c>
      <c r="CQ166" s="171">
        <f>'NOI(M)'!CR26</f>
        <v>54795.603827243329</v>
      </c>
      <c r="CR166" s="171">
        <f>'NOI(M)'!CS26</f>
        <v>54795.603827243329</v>
      </c>
      <c r="CS166" s="171">
        <f>'NOI(M)'!CT26</f>
        <v>53699.691750698461</v>
      </c>
      <c r="CT166" s="171">
        <f>'NOI(M)'!CU26</f>
        <v>53699.691750698461</v>
      </c>
      <c r="CU166" s="171">
        <f>'NOI(M)'!CV26</f>
        <v>53699.691750698461</v>
      </c>
      <c r="CV166" s="171">
        <f>'NOI(M)'!CW26</f>
        <v>53699.691750698461</v>
      </c>
      <c r="CW166" s="171">
        <f>'NOI(M)'!CX26</f>
        <v>53699.691750698461</v>
      </c>
      <c r="CX166" s="171">
        <f>'NOI(M)'!CY26</f>
        <v>53699.691750698461</v>
      </c>
      <c r="CY166" s="171">
        <f>'NOI(M)'!CZ26</f>
        <v>53699.691750698461</v>
      </c>
      <c r="CZ166" s="171">
        <f>'NOI(M)'!DA26</f>
        <v>53699.691750698461</v>
      </c>
      <c r="DA166" s="171">
        <f>'NOI(M)'!DB26</f>
        <v>53699.691750698461</v>
      </c>
      <c r="DB166" s="171">
        <f>'NOI(M)'!DC26</f>
        <v>53699.691750698461</v>
      </c>
      <c r="DC166" s="171">
        <f>'NOI(M)'!DD26</f>
        <v>53699.691750698461</v>
      </c>
      <c r="DD166" s="171">
        <f>'NOI(M)'!DE26</f>
        <v>53699.691750698461</v>
      </c>
      <c r="DE166" s="171">
        <f>'NOI(M)'!DF26</f>
        <v>52625.69791568449</v>
      </c>
      <c r="DF166" s="171">
        <f>'NOI(M)'!DG26</f>
        <v>52625.69791568449</v>
      </c>
      <c r="DG166" s="171">
        <f>'NOI(M)'!DH26</f>
        <v>52625.69791568449</v>
      </c>
      <c r="DH166" s="171">
        <f>'NOI(M)'!DI26</f>
        <v>52625.69791568449</v>
      </c>
      <c r="DI166" s="171">
        <f>'NOI(M)'!DJ26</f>
        <v>52625.69791568449</v>
      </c>
      <c r="DJ166" s="171">
        <f>'NOI(M)'!DK26</f>
        <v>52625.69791568449</v>
      </c>
      <c r="DK166" s="171">
        <f>'NOI(M)'!DL26</f>
        <v>52625.69791568449</v>
      </c>
      <c r="DL166" s="171">
        <f>'NOI(M)'!DM26</f>
        <v>52625.69791568449</v>
      </c>
      <c r="DM166" s="171">
        <f>'NOI(M)'!DN26</f>
        <v>52625.69791568449</v>
      </c>
      <c r="DN166" s="171">
        <f>'NOI(M)'!DO26</f>
        <v>52625.69791568449</v>
      </c>
      <c r="DO166" s="171">
        <f>'NOI(M)'!DP26</f>
        <v>52625.69791568449</v>
      </c>
      <c r="DP166" s="171">
        <f>'NOI(M)'!DQ26</f>
        <v>52625.69791568449</v>
      </c>
      <c r="DQ166" s="171">
        <f>'NOI(M)'!DR26</f>
        <v>51573.183957370798</v>
      </c>
      <c r="DR166" s="171">
        <f>'NOI(M)'!DS26</f>
        <v>51573.183957370798</v>
      </c>
      <c r="DS166" s="171">
        <f>'NOI(M)'!DT26</f>
        <v>51573.183957370798</v>
      </c>
      <c r="DT166" s="171">
        <f>'NOI(M)'!DU26</f>
        <v>51573.183957370798</v>
      </c>
      <c r="DU166" s="171">
        <f>'NOI(M)'!DV26</f>
        <v>51573.183957370798</v>
      </c>
      <c r="DV166" s="171">
        <f>'NOI(M)'!DW26</f>
        <v>51573.183957370798</v>
      </c>
      <c r="DW166" s="171">
        <f>'NOI(M)'!DX26</f>
        <v>51573.183957370798</v>
      </c>
      <c r="DX166" s="171">
        <f>'NOI(M)'!DY26</f>
        <v>51573.183957370798</v>
      </c>
      <c r="DY166" s="171">
        <f>'NOI(M)'!DZ26</f>
        <v>51573.183957370798</v>
      </c>
      <c r="DZ166" s="171">
        <f>'NOI(M)'!EA26</f>
        <v>51573.183957370798</v>
      </c>
      <c r="EA166" s="171">
        <f>'NOI(M)'!EB26</f>
        <v>51573.183957370798</v>
      </c>
      <c r="EB166" s="171">
        <f>'NOI(M)'!EC26</f>
        <v>51573.183957370798</v>
      </c>
      <c r="EC166" s="171">
        <f>'NOI(M)'!ED26</f>
        <v>0</v>
      </c>
      <c r="ED166" s="1321">
        <f>'NOI(M)'!EE26</f>
        <v>0</v>
      </c>
      <c r="EE166" s="171">
        <f>'NOI(M)'!EF26</f>
        <v>0</v>
      </c>
      <c r="EF166" s="171">
        <f>'NOI(M)'!EG26</f>
        <v>0</v>
      </c>
      <c r="EG166" s="171">
        <f>'NOI(M)'!EH26</f>
        <v>0</v>
      </c>
      <c r="EH166" s="171">
        <f>'NOI(M)'!EI26</f>
        <v>0</v>
      </c>
      <c r="EI166" s="171">
        <f>'NOI(M)'!EJ26</f>
        <v>0</v>
      </c>
      <c r="EJ166" s="171">
        <f>'NOI(M)'!EK26</f>
        <v>0</v>
      </c>
      <c r="EK166" s="171">
        <f>'NOI(M)'!EL26</f>
        <v>0</v>
      </c>
      <c r="EL166" s="171">
        <f>'NOI(M)'!EM26</f>
        <v>0</v>
      </c>
      <c r="EM166" s="171">
        <f>'NOI(M)'!EN26</f>
        <v>0</v>
      </c>
      <c r="EN166" s="171">
        <f>'NOI(M)'!EO26</f>
        <v>0</v>
      </c>
      <c r="EO166" s="171">
        <f>'NOI(M)'!EP26</f>
        <v>0</v>
      </c>
      <c r="EP166" s="171">
        <f>'NOI(M)'!EQ26</f>
        <v>0</v>
      </c>
      <c r="EQ166" s="171">
        <f>'NOI(M)'!ER26</f>
        <v>0</v>
      </c>
    </row>
    <row r="167" spans="3:147" ht="11.25" customHeight="1">
      <c r="C167" s="163"/>
      <c r="D167" s="169" t="s">
        <v>233</v>
      </c>
      <c r="I167" s="248"/>
      <c r="J167" s="170"/>
      <c r="K167" s="98"/>
      <c r="L167" s="171">
        <f ca="1">L164+L165-L166</f>
        <v>0</v>
      </c>
      <c r="M167" s="171">
        <f t="shared" ref="M167:BX167" ca="1" si="386">M164+M165-M166</f>
        <v>680427.64166666672</v>
      </c>
      <c r="N167" s="171">
        <f t="shared" ca="1" si="386"/>
        <v>618570.58333333337</v>
      </c>
      <c r="O167" s="171">
        <f t="shared" ca="1" si="386"/>
        <v>556713.52500000002</v>
      </c>
      <c r="P167" s="171">
        <f t="shared" ca="1" si="386"/>
        <v>494856.46666666667</v>
      </c>
      <c r="Q167" s="171">
        <f t="shared" ca="1" si="386"/>
        <v>432999.40833333333</v>
      </c>
      <c r="R167" s="171">
        <f t="shared" ca="1" si="386"/>
        <v>371142.35</v>
      </c>
      <c r="S167" s="171">
        <f t="shared" ca="1" si="386"/>
        <v>309285.29166666663</v>
      </c>
      <c r="T167" s="171">
        <f t="shared" ca="1" si="386"/>
        <v>247428.23333333328</v>
      </c>
      <c r="U167" s="171">
        <f t="shared" ca="1" si="386"/>
        <v>185571.17499999993</v>
      </c>
      <c r="V167" s="171">
        <f t="shared" ca="1" si="386"/>
        <v>123714.11666666658</v>
      </c>
      <c r="W167" s="171">
        <f t="shared" ca="1" si="386"/>
        <v>61857.05833333324</v>
      </c>
      <c r="X167" s="171">
        <f t="shared" ca="1" si="386"/>
        <v>-1.0186340659856796E-10</v>
      </c>
      <c r="Y167" s="171">
        <f t="shared" ca="1" si="386"/>
        <v>666819.08883333334</v>
      </c>
      <c r="Z167" s="171">
        <f t="shared" ca="1" si="386"/>
        <v>606199.17166666663</v>
      </c>
      <c r="AA167" s="171">
        <f t="shared" ca="1" si="386"/>
        <v>545579.25449999992</v>
      </c>
      <c r="AB167" s="171">
        <f t="shared" ca="1" si="386"/>
        <v>484959.33733333327</v>
      </c>
      <c r="AC167" s="171">
        <f t="shared" ca="1" si="386"/>
        <v>424339.42016666662</v>
      </c>
      <c r="AD167" s="171">
        <f t="shared" ca="1" si="386"/>
        <v>363719.50299999997</v>
      </c>
      <c r="AE167" s="171">
        <f t="shared" ca="1" si="386"/>
        <v>303099.58583333332</v>
      </c>
      <c r="AF167" s="171">
        <f t="shared" ca="1" si="386"/>
        <v>242479.66866666664</v>
      </c>
      <c r="AG167" s="171">
        <f t="shared" ca="1" si="386"/>
        <v>181859.75149999995</v>
      </c>
      <c r="AH167" s="171">
        <f t="shared" ca="1" si="386"/>
        <v>121239.83433333327</v>
      </c>
      <c r="AI167" s="171">
        <f t="shared" ca="1" si="386"/>
        <v>60619.917166666601</v>
      </c>
      <c r="AJ167" s="171">
        <f t="shared" ca="1" si="386"/>
        <v>-7.2759576141834259E-11</v>
      </c>
      <c r="AK167" s="171">
        <f t="shared" ca="1" si="386"/>
        <v>653482.70705666649</v>
      </c>
      <c r="AL167" s="171">
        <f t="shared" ca="1" si="386"/>
        <v>594075.18823333317</v>
      </c>
      <c r="AM167" s="171">
        <f t="shared" ca="1" si="386"/>
        <v>534667.66940999986</v>
      </c>
      <c r="AN167" s="171">
        <f t="shared" ca="1" si="386"/>
        <v>475260.15058666654</v>
      </c>
      <c r="AO167" s="171">
        <f t="shared" ca="1" si="386"/>
        <v>415852.63176333322</v>
      </c>
      <c r="AP167" s="171">
        <f t="shared" ca="1" si="386"/>
        <v>356445.1129399999</v>
      </c>
      <c r="AQ167" s="171">
        <f t="shared" ca="1" si="386"/>
        <v>297037.59411666659</v>
      </c>
      <c r="AR167" s="171">
        <f t="shared" ca="1" si="386"/>
        <v>237630.07529333324</v>
      </c>
      <c r="AS167" s="171">
        <f t="shared" ca="1" si="386"/>
        <v>178222.55646999989</v>
      </c>
      <c r="AT167" s="171">
        <f t="shared" ca="1" si="386"/>
        <v>118815.03764666655</v>
      </c>
      <c r="AU167" s="171">
        <f t="shared" ca="1" si="386"/>
        <v>59407.518823333208</v>
      </c>
      <c r="AV167" s="171">
        <f t="shared" ca="1" si="386"/>
        <v>-1.3096723705530167E-10</v>
      </c>
      <c r="AW167" s="171">
        <f t="shared" ca="1" si="386"/>
        <v>640413.05291553331</v>
      </c>
      <c r="AX167" s="171">
        <f t="shared" ca="1" si="386"/>
        <v>582193.68446866667</v>
      </c>
      <c r="AY167" s="171">
        <f t="shared" ca="1" si="386"/>
        <v>523974.31602179998</v>
      </c>
      <c r="AZ167" s="171">
        <f t="shared" ca="1" si="386"/>
        <v>465754.94757493329</v>
      </c>
      <c r="BA167" s="171">
        <f t="shared" ca="1" si="386"/>
        <v>407535.5791280666</v>
      </c>
      <c r="BB167" s="171">
        <f t="shared" ca="1" si="386"/>
        <v>349316.21068119991</v>
      </c>
      <c r="BC167" s="171">
        <f t="shared" ca="1" si="386"/>
        <v>291096.84223433322</v>
      </c>
      <c r="BD167" s="171">
        <f t="shared" ca="1" si="386"/>
        <v>232877.47378746656</v>
      </c>
      <c r="BE167" s="171">
        <f t="shared" ca="1" si="386"/>
        <v>174658.1053405999</v>
      </c>
      <c r="BF167" s="171">
        <f t="shared" ca="1" si="386"/>
        <v>116438.73689373324</v>
      </c>
      <c r="BG167" s="171">
        <f t="shared" ca="1" si="386"/>
        <v>58219.368446866567</v>
      </c>
      <c r="BH167" s="171">
        <f t="shared" ca="1" si="386"/>
        <v>-1.0186340659856796E-10</v>
      </c>
      <c r="BI167" s="171">
        <f t="shared" ca="1" si="386"/>
        <v>627604.79185722256</v>
      </c>
      <c r="BJ167" s="171">
        <f t="shared" ca="1" si="386"/>
        <v>570549.81077929318</v>
      </c>
      <c r="BK167" s="171">
        <f t="shared" ca="1" si="386"/>
        <v>513494.82970136387</v>
      </c>
      <c r="BL167" s="171">
        <f t="shared" ca="1" si="386"/>
        <v>456439.84862343455</v>
      </c>
      <c r="BM167" s="171">
        <f t="shared" ca="1" si="386"/>
        <v>399384.86754550523</v>
      </c>
      <c r="BN167" s="171">
        <f t="shared" ca="1" si="386"/>
        <v>342329.88646757591</v>
      </c>
      <c r="BO167" s="171">
        <f t="shared" ca="1" si="386"/>
        <v>285274.90538964659</v>
      </c>
      <c r="BP167" s="171">
        <f t="shared" ca="1" si="386"/>
        <v>228219.92431171727</v>
      </c>
      <c r="BQ167" s="171">
        <f t="shared" ca="1" si="386"/>
        <v>171164.94323378796</v>
      </c>
      <c r="BR167" s="171">
        <f t="shared" ca="1" si="386"/>
        <v>114109.96215585862</v>
      </c>
      <c r="BS167" s="171">
        <f t="shared" ca="1" si="386"/>
        <v>57054.981077929289</v>
      </c>
      <c r="BT167" s="171">
        <f t="shared" ca="1" si="386"/>
        <v>0</v>
      </c>
      <c r="BU167" s="171">
        <f t="shared" ca="1" si="386"/>
        <v>615052.69602007815</v>
      </c>
      <c r="BV167" s="171">
        <f t="shared" ca="1" si="386"/>
        <v>559138.81456370745</v>
      </c>
      <c r="BW167" s="171">
        <f t="shared" ca="1" si="386"/>
        <v>503224.93310733669</v>
      </c>
      <c r="BX167" s="171">
        <f t="shared" ca="1" si="386"/>
        <v>447311.05165096594</v>
      </c>
      <c r="BY167" s="171">
        <f t="shared" ref="BY167:DT167" ca="1" si="387">BY164+BY165-BY166</f>
        <v>391397.17019459518</v>
      </c>
      <c r="BZ167" s="171">
        <f t="shared" ca="1" si="387"/>
        <v>335483.28873822442</v>
      </c>
      <c r="CA167" s="171">
        <f t="shared" ca="1" si="387"/>
        <v>279569.40728185367</v>
      </c>
      <c r="CB167" s="171">
        <f t="shared" ca="1" si="387"/>
        <v>223655.52582548291</v>
      </c>
      <c r="CC167" s="171">
        <f t="shared" ca="1" si="387"/>
        <v>167741.64436911215</v>
      </c>
      <c r="CD167" s="171">
        <f t="shared" ca="1" si="387"/>
        <v>111827.76291274141</v>
      </c>
      <c r="CE167" s="171">
        <f t="shared" ca="1" si="387"/>
        <v>55913.881456370669</v>
      </c>
      <c r="CF167" s="171">
        <f t="shared" ca="1" si="387"/>
        <v>-7.2759576141834259E-11</v>
      </c>
      <c r="CG167" s="171">
        <f t="shared" ca="1" si="387"/>
        <v>602751.64209967654</v>
      </c>
      <c r="CH167" s="171">
        <f t="shared" ca="1" si="387"/>
        <v>547956.03827243322</v>
      </c>
      <c r="CI167" s="171">
        <f t="shared" ca="1" si="387"/>
        <v>493160.43444518989</v>
      </c>
      <c r="CJ167" s="171">
        <f t="shared" ca="1" si="387"/>
        <v>438364.83061794657</v>
      </c>
      <c r="CK167" s="171">
        <f t="shared" ca="1" si="387"/>
        <v>383569.22679070325</v>
      </c>
      <c r="CL167" s="171">
        <f t="shared" ca="1" si="387"/>
        <v>328773.62296345993</v>
      </c>
      <c r="CM167" s="171">
        <f t="shared" ca="1" si="387"/>
        <v>273978.01913621661</v>
      </c>
      <c r="CN167" s="171">
        <f t="shared" ca="1" si="387"/>
        <v>219182.41530897329</v>
      </c>
      <c r="CO167" s="171">
        <f t="shared" ca="1" si="387"/>
        <v>164386.81148172996</v>
      </c>
      <c r="CP167" s="171">
        <f t="shared" ca="1" si="387"/>
        <v>109591.20765448664</v>
      </c>
      <c r="CQ167" s="171">
        <f t="shared" ca="1" si="387"/>
        <v>54795.603827243314</v>
      </c>
      <c r="CR167" s="171">
        <f t="shared" ca="1" si="387"/>
        <v>0</v>
      </c>
      <c r="CS167" s="171">
        <f t="shared" ca="1" si="387"/>
        <v>590696.60925768327</v>
      </c>
      <c r="CT167" s="171">
        <f t="shared" ca="1" si="387"/>
        <v>536996.91750698478</v>
      </c>
      <c r="CU167" s="171">
        <f t="shared" ca="1" si="387"/>
        <v>483297.22575628629</v>
      </c>
      <c r="CV167" s="171">
        <f t="shared" ca="1" si="387"/>
        <v>429597.5340055878</v>
      </c>
      <c r="CW167" s="171">
        <f t="shared" ca="1" si="387"/>
        <v>375897.84225488931</v>
      </c>
      <c r="CX167" s="171">
        <f t="shared" ca="1" si="387"/>
        <v>322198.15050419082</v>
      </c>
      <c r="CY167" s="171">
        <f t="shared" ca="1" si="387"/>
        <v>268498.45875349233</v>
      </c>
      <c r="CZ167" s="171">
        <f t="shared" ca="1" si="387"/>
        <v>214798.76700279387</v>
      </c>
      <c r="DA167" s="171">
        <f t="shared" ca="1" si="387"/>
        <v>161099.07525209541</v>
      </c>
      <c r="DB167" s="171">
        <f t="shared" ca="1" si="387"/>
        <v>107399.38350139695</v>
      </c>
      <c r="DC167" s="171">
        <f t="shared" ca="1" si="387"/>
        <v>53699.69175069849</v>
      </c>
      <c r="DD167" s="171">
        <f t="shared" ca="1" si="387"/>
        <v>0</v>
      </c>
      <c r="DE167" s="171">
        <f t="shared" ca="1" si="387"/>
        <v>578882.67707252945</v>
      </c>
      <c r="DF167" s="171">
        <f t="shared" ca="1" si="387"/>
        <v>526256.97915684502</v>
      </c>
      <c r="DG167" s="171">
        <f t="shared" ca="1" si="387"/>
        <v>473631.28124116053</v>
      </c>
      <c r="DH167" s="171">
        <f t="shared" ca="1" si="387"/>
        <v>421005.58332547604</v>
      </c>
      <c r="DI167" s="171">
        <f t="shared" ca="1" si="387"/>
        <v>368379.88540979155</v>
      </c>
      <c r="DJ167" s="171">
        <f t="shared" ca="1" si="387"/>
        <v>315754.18749410706</v>
      </c>
      <c r="DK167" s="171">
        <f t="shared" ca="1" si="387"/>
        <v>263128.48957842257</v>
      </c>
      <c r="DL167" s="171">
        <f t="shared" ca="1" si="387"/>
        <v>210502.79166273808</v>
      </c>
      <c r="DM167" s="171">
        <f t="shared" ca="1" si="387"/>
        <v>157877.09374705359</v>
      </c>
      <c r="DN167" s="171">
        <f t="shared" ca="1" si="387"/>
        <v>105251.3958313691</v>
      </c>
      <c r="DO167" s="171">
        <f t="shared" ca="1" si="387"/>
        <v>52625.697915684606</v>
      </c>
      <c r="DP167" s="171">
        <f t="shared" ca="1" si="387"/>
        <v>1.1641532182693481E-10</v>
      </c>
      <c r="DQ167" s="171">
        <f t="shared" ca="1" si="387"/>
        <v>567305.02353107894</v>
      </c>
      <c r="DR167" s="171">
        <f t="shared" ca="1" si="387"/>
        <v>515731.83957370813</v>
      </c>
      <c r="DS167" s="171">
        <f t="shared" ca="1" si="387"/>
        <v>464158.65561633732</v>
      </c>
      <c r="DT167" s="171">
        <f t="shared" ca="1" si="387"/>
        <v>412585.4716589665</v>
      </c>
      <c r="DU167" s="171">
        <f t="shared" ref="DU167:EA167" ca="1" si="388">DU164+DU165-DU166</f>
        <v>361012.28770159569</v>
      </c>
      <c r="DV167" s="171">
        <f t="shared" ca="1" si="388"/>
        <v>309439.10374422488</v>
      </c>
      <c r="DW167" s="171">
        <f t="shared" ca="1" si="388"/>
        <v>257865.91978685407</v>
      </c>
      <c r="DX167" s="171">
        <f t="shared" ca="1" si="388"/>
        <v>206292.73582948325</v>
      </c>
      <c r="DY167" s="171">
        <f t="shared" ca="1" si="388"/>
        <v>154719.55187211244</v>
      </c>
      <c r="DZ167" s="171">
        <f t="shared" ca="1" si="388"/>
        <v>103146.36791474164</v>
      </c>
      <c r="EA167" s="171">
        <f t="shared" ca="1" si="388"/>
        <v>51573.183957370842</v>
      </c>
      <c r="EB167" s="171">
        <f t="shared" ref="EB167:EQ167" ca="1" si="389">EB164+EB165-EB166</f>
        <v>0</v>
      </c>
      <c r="EC167" s="171">
        <f t="shared" ca="1" si="389"/>
        <v>0</v>
      </c>
      <c r="ED167" s="1321">
        <f t="shared" ca="1" si="389"/>
        <v>0</v>
      </c>
      <c r="EE167" s="171">
        <f t="shared" ca="1" si="389"/>
        <v>0</v>
      </c>
      <c r="EF167" s="171">
        <f t="shared" ca="1" si="389"/>
        <v>0</v>
      </c>
      <c r="EG167" s="171">
        <f t="shared" ca="1" si="389"/>
        <v>0</v>
      </c>
      <c r="EH167" s="171">
        <f t="shared" ca="1" si="389"/>
        <v>0</v>
      </c>
      <c r="EI167" s="171">
        <f t="shared" ca="1" si="389"/>
        <v>0</v>
      </c>
      <c r="EJ167" s="171">
        <f t="shared" ca="1" si="389"/>
        <v>0</v>
      </c>
      <c r="EK167" s="171">
        <f t="shared" ca="1" si="389"/>
        <v>0</v>
      </c>
      <c r="EL167" s="171">
        <f t="shared" ca="1" si="389"/>
        <v>0</v>
      </c>
      <c r="EM167" s="171">
        <f t="shared" ca="1" si="389"/>
        <v>0</v>
      </c>
      <c r="EN167" s="171">
        <f t="shared" ca="1" si="389"/>
        <v>0</v>
      </c>
      <c r="EO167" s="171">
        <f t="shared" ca="1" si="389"/>
        <v>0</v>
      </c>
      <c r="EP167" s="171">
        <f t="shared" ca="1" si="389"/>
        <v>0</v>
      </c>
      <c r="EQ167" s="171">
        <f t="shared" ca="1" si="389"/>
        <v>0</v>
      </c>
    </row>
    <row r="168" spans="3:147" ht="11.25" customHeight="1">
      <c r="C168" s="158" t="s">
        <v>522</v>
      </c>
      <c r="D168" s="159"/>
      <c r="E168" s="159"/>
      <c r="F168" s="159"/>
      <c r="G168" s="159"/>
      <c r="H168" s="160"/>
      <c r="I168" s="219"/>
      <c r="J168" s="161"/>
      <c r="K168" s="98"/>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162"/>
      <c r="AK168" s="162"/>
      <c r="AL168" s="162"/>
      <c r="AM168" s="162"/>
      <c r="AN168" s="162"/>
      <c r="AO168" s="162"/>
      <c r="AP168" s="162"/>
      <c r="AQ168" s="162"/>
      <c r="AR168" s="162"/>
      <c r="AS168" s="162"/>
      <c r="AT168" s="162"/>
      <c r="AU168" s="162"/>
      <c r="AV168" s="162"/>
      <c r="AW168" s="162"/>
      <c r="AX168" s="162"/>
      <c r="AY168" s="162"/>
      <c r="AZ168" s="162"/>
      <c r="BA168" s="162"/>
      <c r="BB168" s="162"/>
      <c r="BC168" s="162"/>
      <c r="BD168" s="162"/>
      <c r="BE168" s="162"/>
      <c r="BF168" s="162"/>
      <c r="BG168" s="162"/>
      <c r="BH168" s="162"/>
      <c r="BI168" s="162"/>
      <c r="BJ168" s="162"/>
      <c r="BK168" s="162"/>
      <c r="BL168" s="162"/>
      <c r="BM168" s="162"/>
      <c r="BN168" s="162"/>
      <c r="BO168" s="162"/>
      <c r="BP168" s="162"/>
      <c r="BQ168" s="162"/>
      <c r="BR168" s="162"/>
      <c r="BS168" s="162"/>
      <c r="BT168" s="162"/>
      <c r="BU168" s="162"/>
      <c r="BV168" s="162"/>
      <c r="BW168" s="162"/>
      <c r="BX168" s="162"/>
      <c r="BY168" s="162"/>
      <c r="BZ168" s="162"/>
      <c r="CA168" s="162"/>
      <c r="CB168" s="162"/>
      <c r="CC168" s="162"/>
      <c r="CD168" s="162"/>
      <c r="CE168" s="162"/>
      <c r="CF168" s="162"/>
      <c r="CG168" s="162"/>
      <c r="CH168" s="162"/>
      <c r="CI168" s="162"/>
      <c r="CJ168" s="162"/>
      <c r="CK168" s="162"/>
      <c r="CL168" s="162"/>
      <c r="CM168" s="162"/>
      <c r="CN168" s="162"/>
      <c r="CO168" s="162"/>
      <c r="CP168" s="162"/>
      <c r="CQ168" s="162"/>
      <c r="CR168" s="162"/>
      <c r="CS168" s="162"/>
      <c r="CT168" s="162"/>
      <c r="CU168" s="162"/>
      <c r="CV168" s="162"/>
      <c r="CW168" s="162"/>
      <c r="CX168" s="162"/>
      <c r="CY168" s="162"/>
      <c r="CZ168" s="162"/>
      <c r="DA168" s="162"/>
      <c r="DB168" s="162"/>
      <c r="DC168" s="162"/>
      <c r="DD168" s="162"/>
      <c r="DE168" s="162"/>
      <c r="DF168" s="162"/>
      <c r="DG168" s="162"/>
      <c r="DH168" s="162"/>
      <c r="DI168" s="162"/>
      <c r="DJ168" s="162"/>
      <c r="DK168" s="162"/>
      <c r="DL168" s="162"/>
      <c r="DM168" s="162"/>
      <c r="DN168" s="162"/>
      <c r="DO168" s="162"/>
      <c r="DP168" s="162"/>
      <c r="DQ168" s="162"/>
      <c r="DR168" s="162"/>
      <c r="DS168" s="162"/>
      <c r="DT168" s="162"/>
      <c r="DU168" s="162"/>
      <c r="DV168" s="162"/>
      <c r="DW168" s="162"/>
      <c r="DX168" s="162"/>
      <c r="DY168" s="162"/>
      <c r="DZ168" s="162"/>
      <c r="EA168" s="162"/>
      <c r="EB168" s="162"/>
      <c r="EC168" s="162"/>
      <c r="ED168" s="1319"/>
      <c r="EE168" s="162"/>
      <c r="EF168" s="162"/>
      <c r="EG168" s="162"/>
      <c r="EH168" s="162"/>
      <c r="EI168" s="162"/>
      <c r="EJ168" s="162"/>
      <c r="EK168" s="162"/>
      <c r="EL168" s="162"/>
      <c r="EM168" s="162"/>
      <c r="EN168" s="162"/>
      <c r="EO168" s="162"/>
      <c r="EP168" s="162"/>
      <c r="EQ168" s="162"/>
    </row>
    <row r="169" spans="3:147" ht="11.25" customHeight="1">
      <c r="C169" s="163"/>
      <c r="D169" s="164" t="s">
        <v>230</v>
      </c>
      <c r="E169" s="165"/>
      <c r="F169" s="165"/>
      <c r="G169" s="165"/>
      <c r="H169" s="166"/>
      <c r="I169" s="221"/>
      <c r="J169" s="167"/>
      <c r="K169" s="98"/>
      <c r="L169" s="168">
        <f>K172</f>
        <v>0</v>
      </c>
      <c r="M169" s="168">
        <f t="shared" ref="M169:BX169" si="390">L172</f>
        <v>0</v>
      </c>
      <c r="N169" s="168">
        <f t="shared" si="390"/>
        <v>17187.643333333333</v>
      </c>
      <c r="O169" s="168">
        <f t="shared" si="390"/>
        <v>34375.286666666667</v>
      </c>
      <c r="P169" s="168">
        <f t="shared" si="390"/>
        <v>51562.93</v>
      </c>
      <c r="Q169" s="168">
        <f t="shared" si="390"/>
        <v>68750.573333333334</v>
      </c>
      <c r="R169" s="168">
        <f t="shared" si="390"/>
        <v>85938.216666666674</v>
      </c>
      <c r="S169" s="168">
        <f t="shared" si="390"/>
        <v>103125.86000000002</v>
      </c>
      <c r="T169" s="168">
        <f t="shared" si="390"/>
        <v>120313.50333333336</v>
      </c>
      <c r="U169" s="168">
        <f t="shared" si="390"/>
        <v>137501.1466666667</v>
      </c>
      <c r="V169" s="168">
        <f t="shared" si="390"/>
        <v>0</v>
      </c>
      <c r="W169" s="168">
        <f t="shared" si="390"/>
        <v>17187.643333333333</v>
      </c>
      <c r="X169" s="168">
        <f t="shared" si="390"/>
        <v>34375.286666666667</v>
      </c>
      <c r="Y169" s="168">
        <f t="shared" si="390"/>
        <v>51562.93</v>
      </c>
      <c r="Z169" s="168">
        <f t="shared" si="390"/>
        <v>69094.326199999996</v>
      </c>
      <c r="AA169" s="168">
        <f t="shared" si="390"/>
        <v>86625.722399999999</v>
      </c>
      <c r="AB169" s="168">
        <f t="shared" si="390"/>
        <v>104157.1186</v>
      </c>
      <c r="AC169" s="168">
        <f t="shared" si="390"/>
        <v>121688.5148</v>
      </c>
      <c r="AD169" s="168">
        <f t="shared" si="390"/>
        <v>139219.91099999999</v>
      </c>
      <c r="AE169" s="168">
        <f t="shared" si="390"/>
        <v>156751.30719999998</v>
      </c>
      <c r="AF169" s="168">
        <f t="shared" si="390"/>
        <v>174282.70339999997</v>
      </c>
      <c r="AG169" s="168">
        <f t="shared" si="390"/>
        <v>191814.09959999996</v>
      </c>
      <c r="AH169" s="168">
        <f t="shared" si="390"/>
        <v>0</v>
      </c>
      <c r="AI169" s="168">
        <f t="shared" si="390"/>
        <v>17531.396199999999</v>
      </c>
      <c r="AJ169" s="168">
        <f t="shared" si="390"/>
        <v>35062.792399999998</v>
      </c>
      <c r="AK169" s="168">
        <f t="shared" si="390"/>
        <v>52594.188599999994</v>
      </c>
      <c r="AL169" s="168">
        <f t="shared" si="390"/>
        <v>70476.212723999997</v>
      </c>
      <c r="AM169" s="168">
        <f t="shared" si="390"/>
        <v>88358.236848</v>
      </c>
      <c r="AN169" s="168">
        <f t="shared" si="390"/>
        <v>106240.260972</v>
      </c>
      <c r="AO169" s="168">
        <f t="shared" si="390"/>
        <v>124122.28509600001</v>
      </c>
      <c r="AP169" s="168">
        <f t="shared" si="390"/>
        <v>142004.30922</v>
      </c>
      <c r="AQ169" s="168">
        <f t="shared" si="390"/>
        <v>159886.33334399998</v>
      </c>
      <c r="AR169" s="168">
        <f t="shared" si="390"/>
        <v>177768.35746799997</v>
      </c>
      <c r="AS169" s="168">
        <f t="shared" si="390"/>
        <v>195650.38159199996</v>
      </c>
      <c r="AT169" s="168">
        <f t="shared" si="390"/>
        <v>0</v>
      </c>
      <c r="AU169" s="168">
        <f t="shared" si="390"/>
        <v>17882.024124</v>
      </c>
      <c r="AV169" s="168">
        <f t="shared" si="390"/>
        <v>35764.048247999999</v>
      </c>
      <c r="AW169" s="168">
        <f t="shared" si="390"/>
        <v>53646.072371999995</v>
      </c>
      <c r="AX169" s="168">
        <f t="shared" si="390"/>
        <v>71885.736978479996</v>
      </c>
      <c r="AY169" s="168">
        <f t="shared" si="390"/>
        <v>90125.401584959996</v>
      </c>
      <c r="AZ169" s="168">
        <f t="shared" si="390"/>
        <v>108365.06619144</v>
      </c>
      <c r="BA169" s="168">
        <f t="shared" si="390"/>
        <v>126604.73079792</v>
      </c>
      <c r="BB169" s="168">
        <f t="shared" si="390"/>
        <v>144844.39540440001</v>
      </c>
      <c r="BC169" s="168">
        <f t="shared" si="390"/>
        <v>163084.06001088</v>
      </c>
      <c r="BD169" s="168">
        <f t="shared" si="390"/>
        <v>181323.72461735999</v>
      </c>
      <c r="BE169" s="168">
        <f t="shared" si="390"/>
        <v>199563.38922383997</v>
      </c>
      <c r="BF169" s="168">
        <f t="shared" si="390"/>
        <v>0</v>
      </c>
      <c r="BG169" s="168">
        <f t="shared" si="390"/>
        <v>18239.664606480001</v>
      </c>
      <c r="BH169" s="168">
        <f t="shared" si="390"/>
        <v>36479.329212960001</v>
      </c>
      <c r="BI169" s="168">
        <f t="shared" si="390"/>
        <v>54718.993819440002</v>
      </c>
      <c r="BJ169" s="168">
        <f t="shared" si="390"/>
        <v>73323.451718049604</v>
      </c>
      <c r="BK169" s="168">
        <f t="shared" si="390"/>
        <v>91927.909616659206</v>
      </c>
      <c r="BL169" s="168">
        <f t="shared" si="390"/>
        <v>110532.36751526881</v>
      </c>
      <c r="BM169" s="168">
        <f t="shared" si="390"/>
        <v>129136.82541387841</v>
      </c>
      <c r="BN169" s="168">
        <f t="shared" si="390"/>
        <v>147741.283312488</v>
      </c>
      <c r="BO169" s="168">
        <f t="shared" si="390"/>
        <v>166345.7412110976</v>
      </c>
      <c r="BP169" s="168">
        <f t="shared" si="390"/>
        <v>184950.1991097072</v>
      </c>
      <c r="BQ169" s="168">
        <f t="shared" si="390"/>
        <v>203554.6570083168</v>
      </c>
      <c r="BR169" s="168">
        <f t="shared" si="390"/>
        <v>0</v>
      </c>
      <c r="BS169" s="168">
        <f t="shared" si="390"/>
        <v>18604.457898609598</v>
      </c>
      <c r="BT169" s="168">
        <f t="shared" si="390"/>
        <v>37208.915797219197</v>
      </c>
      <c r="BU169" s="168">
        <f t="shared" si="390"/>
        <v>55813.373695828792</v>
      </c>
      <c r="BV169" s="168">
        <f t="shared" si="390"/>
        <v>74789.920752410588</v>
      </c>
      <c r="BW169" s="168">
        <f t="shared" si="390"/>
        <v>93766.467808992384</v>
      </c>
      <c r="BX169" s="168">
        <f t="shared" si="390"/>
        <v>112743.01486557418</v>
      </c>
      <c r="BY169" s="168">
        <f t="shared" ref="BY169:DT169" si="391">BX172</f>
        <v>131719.56192215596</v>
      </c>
      <c r="BZ169" s="168">
        <f t="shared" si="391"/>
        <v>150696.10897873776</v>
      </c>
      <c r="CA169" s="168">
        <f t="shared" si="391"/>
        <v>169672.65603531955</v>
      </c>
      <c r="CB169" s="168">
        <f t="shared" si="391"/>
        <v>188649.20309190135</v>
      </c>
      <c r="CC169" s="168">
        <f t="shared" si="391"/>
        <v>207625.75014848314</v>
      </c>
      <c r="CD169" s="168">
        <f t="shared" si="391"/>
        <v>0</v>
      </c>
      <c r="CE169" s="168">
        <f t="shared" si="391"/>
        <v>18976.547056581792</v>
      </c>
      <c r="CF169" s="168">
        <f t="shared" si="391"/>
        <v>37953.094113163585</v>
      </c>
      <c r="CG169" s="168">
        <f t="shared" si="391"/>
        <v>56929.641169745373</v>
      </c>
      <c r="CH169" s="168">
        <f t="shared" si="391"/>
        <v>76285.719167458796</v>
      </c>
      <c r="CI169" s="168">
        <f t="shared" si="391"/>
        <v>95641.797165172233</v>
      </c>
      <c r="CJ169" s="168">
        <f t="shared" si="391"/>
        <v>114997.87516288567</v>
      </c>
      <c r="CK169" s="168">
        <f t="shared" si="391"/>
        <v>134353.95316059911</v>
      </c>
      <c r="CL169" s="168">
        <f t="shared" si="391"/>
        <v>153710.03115831254</v>
      </c>
      <c r="CM169" s="168">
        <f t="shared" si="391"/>
        <v>173066.10915602598</v>
      </c>
      <c r="CN169" s="168">
        <f t="shared" si="391"/>
        <v>192422.18715373942</v>
      </c>
      <c r="CO169" s="168">
        <f t="shared" si="391"/>
        <v>211778.26515145286</v>
      </c>
      <c r="CP169" s="168">
        <f t="shared" si="391"/>
        <v>0</v>
      </c>
      <c r="CQ169" s="168">
        <f t="shared" si="391"/>
        <v>19356.07799771343</v>
      </c>
      <c r="CR169" s="168">
        <f t="shared" si="391"/>
        <v>38712.15599542686</v>
      </c>
      <c r="CS169" s="168">
        <f t="shared" si="391"/>
        <v>58068.233993140289</v>
      </c>
      <c r="CT169" s="168">
        <f t="shared" si="391"/>
        <v>77811.433550807982</v>
      </c>
      <c r="CU169" s="168">
        <f t="shared" si="391"/>
        <v>97554.633108475682</v>
      </c>
      <c r="CV169" s="168">
        <f t="shared" si="391"/>
        <v>117297.83266614337</v>
      </c>
      <c r="CW169" s="168">
        <f t="shared" si="391"/>
        <v>137041.03222381105</v>
      </c>
      <c r="CX169" s="168">
        <f t="shared" si="391"/>
        <v>156784.23178147874</v>
      </c>
      <c r="CY169" s="168">
        <f t="shared" si="391"/>
        <v>176527.43133914642</v>
      </c>
      <c r="CZ169" s="168">
        <f t="shared" si="391"/>
        <v>196270.63089681411</v>
      </c>
      <c r="DA169" s="168">
        <f t="shared" si="391"/>
        <v>216013.83045448179</v>
      </c>
      <c r="DB169" s="168">
        <f t="shared" si="391"/>
        <v>0</v>
      </c>
      <c r="DC169" s="168">
        <f t="shared" si="391"/>
        <v>19743.199557667693</v>
      </c>
      <c r="DD169" s="168">
        <f t="shared" si="391"/>
        <v>39486.399115335385</v>
      </c>
      <c r="DE169" s="168">
        <f t="shared" si="391"/>
        <v>59229.598673003078</v>
      </c>
      <c r="DF169" s="168">
        <f t="shared" si="391"/>
        <v>79367.662221824125</v>
      </c>
      <c r="DG169" s="168">
        <f t="shared" si="391"/>
        <v>99505.725770645178</v>
      </c>
      <c r="DH169" s="168">
        <f t="shared" si="391"/>
        <v>119643.78931946623</v>
      </c>
      <c r="DI169" s="168">
        <f t="shared" si="391"/>
        <v>139781.85286828727</v>
      </c>
      <c r="DJ169" s="168">
        <f t="shared" si="391"/>
        <v>159919.91641710832</v>
      </c>
      <c r="DK169" s="168">
        <f t="shared" si="391"/>
        <v>180057.97996592938</v>
      </c>
      <c r="DL169" s="168">
        <f t="shared" si="391"/>
        <v>200196.04351475043</v>
      </c>
      <c r="DM169" s="168">
        <f t="shared" si="391"/>
        <v>220334.10706357149</v>
      </c>
      <c r="DN169" s="168">
        <f t="shared" si="391"/>
        <v>0</v>
      </c>
      <c r="DO169" s="168">
        <f t="shared" si="391"/>
        <v>20138.06354882105</v>
      </c>
      <c r="DP169" s="168">
        <f t="shared" si="391"/>
        <v>40276.1270976421</v>
      </c>
      <c r="DQ169" s="168">
        <f t="shared" si="391"/>
        <v>60414.190646463147</v>
      </c>
      <c r="DR169" s="168">
        <f t="shared" si="391"/>
        <v>80955.015466260622</v>
      </c>
      <c r="DS169" s="168">
        <f t="shared" si="391"/>
        <v>101495.8402860581</v>
      </c>
      <c r="DT169" s="168">
        <f t="shared" si="391"/>
        <v>122036.66510585557</v>
      </c>
      <c r="DU169" s="168">
        <f t="shared" ref="DU169:EQ169" si="392">DT172</f>
        <v>142577.48992565303</v>
      </c>
      <c r="DV169" s="168">
        <f t="shared" si="392"/>
        <v>163118.31474545051</v>
      </c>
      <c r="DW169" s="168">
        <f t="shared" si="392"/>
        <v>183659.13956524798</v>
      </c>
      <c r="DX169" s="168">
        <f t="shared" si="392"/>
        <v>204199.96438504546</v>
      </c>
      <c r="DY169" s="168">
        <f t="shared" si="392"/>
        <v>224740.78920484293</v>
      </c>
      <c r="DZ169" s="168">
        <f t="shared" si="392"/>
        <v>0</v>
      </c>
      <c r="EA169" s="168">
        <f t="shared" si="392"/>
        <v>20540.824819797472</v>
      </c>
      <c r="EB169" s="168">
        <f t="shared" si="392"/>
        <v>41081.649639594943</v>
      </c>
      <c r="EC169" s="168">
        <f t="shared" si="392"/>
        <v>0</v>
      </c>
      <c r="ED169" s="1320">
        <f t="shared" si="392"/>
        <v>0</v>
      </c>
      <c r="EE169" s="168">
        <f t="shared" si="392"/>
        <v>0</v>
      </c>
      <c r="EF169" s="168">
        <f t="shared" si="392"/>
        <v>0</v>
      </c>
      <c r="EG169" s="168">
        <f t="shared" si="392"/>
        <v>0</v>
      </c>
      <c r="EH169" s="168">
        <f t="shared" si="392"/>
        <v>0</v>
      </c>
      <c r="EI169" s="168">
        <f t="shared" si="392"/>
        <v>0</v>
      </c>
      <c r="EJ169" s="168">
        <f t="shared" si="392"/>
        <v>0</v>
      </c>
      <c r="EK169" s="168">
        <f t="shared" si="392"/>
        <v>0</v>
      </c>
      <c r="EL169" s="168">
        <f t="shared" si="392"/>
        <v>0</v>
      </c>
      <c r="EM169" s="168">
        <f t="shared" si="392"/>
        <v>0</v>
      </c>
      <c r="EN169" s="168">
        <f t="shared" si="392"/>
        <v>0</v>
      </c>
      <c r="EO169" s="168">
        <f t="shared" si="392"/>
        <v>0</v>
      </c>
      <c r="EP169" s="168">
        <f t="shared" si="392"/>
        <v>0</v>
      </c>
      <c r="EQ169" s="168">
        <f t="shared" si="392"/>
        <v>0</v>
      </c>
    </row>
    <row r="170" spans="3:147" ht="11.25" customHeight="1">
      <c r="C170" s="163"/>
      <c r="D170" s="169" t="s">
        <v>231</v>
      </c>
      <c r="I170" s="90"/>
      <c r="J170" s="170">
        <f>SUM(L170:EQ170)</f>
        <v>2258398.7897160519</v>
      </c>
      <c r="K170" s="98"/>
      <c r="L170" s="171">
        <f>'NOI(M)'!M27</f>
        <v>0</v>
      </c>
      <c r="M170" s="171">
        <f>'NOI(M)'!N27</f>
        <v>17187.643333333333</v>
      </c>
      <c r="N170" s="171">
        <f>'NOI(M)'!O27</f>
        <v>17187.643333333333</v>
      </c>
      <c r="O170" s="171">
        <f>'NOI(M)'!P27</f>
        <v>17187.643333333333</v>
      </c>
      <c r="P170" s="171">
        <f>'NOI(M)'!Q27</f>
        <v>17187.643333333333</v>
      </c>
      <c r="Q170" s="171">
        <f>'NOI(M)'!R27</f>
        <v>17187.643333333333</v>
      </c>
      <c r="R170" s="171">
        <f>'NOI(M)'!S27</f>
        <v>17187.643333333333</v>
      </c>
      <c r="S170" s="171">
        <f>'NOI(M)'!T27</f>
        <v>17187.643333333333</v>
      </c>
      <c r="T170" s="171">
        <f>'NOI(M)'!U27</f>
        <v>17187.643333333333</v>
      </c>
      <c r="U170" s="171">
        <f>'NOI(M)'!V27</f>
        <v>17187.643333333333</v>
      </c>
      <c r="V170" s="171">
        <f>'NOI(M)'!W27</f>
        <v>17187.643333333333</v>
      </c>
      <c r="W170" s="171">
        <f>'NOI(M)'!X27</f>
        <v>17187.643333333333</v>
      </c>
      <c r="X170" s="171">
        <f>'NOI(M)'!Y27</f>
        <v>17187.643333333333</v>
      </c>
      <c r="Y170" s="171">
        <f>'NOI(M)'!Z27</f>
        <v>17531.396199999999</v>
      </c>
      <c r="Z170" s="171">
        <f>'NOI(M)'!AA27</f>
        <v>17531.396199999999</v>
      </c>
      <c r="AA170" s="171">
        <f>'NOI(M)'!AB27</f>
        <v>17531.396199999999</v>
      </c>
      <c r="AB170" s="171">
        <f>'NOI(M)'!AC27</f>
        <v>17531.396199999999</v>
      </c>
      <c r="AC170" s="171">
        <f>'NOI(M)'!AD27</f>
        <v>17531.396199999999</v>
      </c>
      <c r="AD170" s="171">
        <f>'NOI(M)'!AE27</f>
        <v>17531.396199999999</v>
      </c>
      <c r="AE170" s="171">
        <f>'NOI(M)'!AF27</f>
        <v>17531.396199999999</v>
      </c>
      <c r="AF170" s="171">
        <f>'NOI(M)'!AG27</f>
        <v>17531.396199999999</v>
      </c>
      <c r="AG170" s="171">
        <f>'NOI(M)'!AH27</f>
        <v>17531.396199999999</v>
      </c>
      <c r="AH170" s="171">
        <f>'NOI(M)'!AI27</f>
        <v>17531.396199999999</v>
      </c>
      <c r="AI170" s="171">
        <f>'NOI(M)'!AJ27</f>
        <v>17531.396199999999</v>
      </c>
      <c r="AJ170" s="171">
        <f>'NOI(M)'!AK27</f>
        <v>17531.396199999999</v>
      </c>
      <c r="AK170" s="171">
        <f>'NOI(M)'!AL27</f>
        <v>17882.024124</v>
      </c>
      <c r="AL170" s="171">
        <f>'NOI(M)'!AM27</f>
        <v>17882.024124</v>
      </c>
      <c r="AM170" s="171">
        <f>'NOI(M)'!AN27</f>
        <v>17882.024124</v>
      </c>
      <c r="AN170" s="171">
        <f>'NOI(M)'!AO27</f>
        <v>17882.024124</v>
      </c>
      <c r="AO170" s="171">
        <f>'NOI(M)'!AP27</f>
        <v>17882.024124</v>
      </c>
      <c r="AP170" s="171">
        <f>'NOI(M)'!AQ27</f>
        <v>17882.024124</v>
      </c>
      <c r="AQ170" s="171">
        <f>'NOI(M)'!AR27</f>
        <v>17882.024124</v>
      </c>
      <c r="AR170" s="171">
        <f>'NOI(M)'!AS27</f>
        <v>17882.024124</v>
      </c>
      <c r="AS170" s="171">
        <f>'NOI(M)'!AT27</f>
        <v>17882.024124</v>
      </c>
      <c r="AT170" s="171">
        <f>'NOI(M)'!AU27</f>
        <v>17882.024124</v>
      </c>
      <c r="AU170" s="171">
        <f>'NOI(M)'!AV27</f>
        <v>17882.024124</v>
      </c>
      <c r="AV170" s="171">
        <f>'NOI(M)'!AW27</f>
        <v>17882.024124</v>
      </c>
      <c r="AW170" s="171">
        <f>'NOI(M)'!AX27</f>
        <v>18239.664606480001</v>
      </c>
      <c r="AX170" s="171">
        <f>'NOI(M)'!AY27</f>
        <v>18239.664606480001</v>
      </c>
      <c r="AY170" s="171">
        <f>'NOI(M)'!AZ27</f>
        <v>18239.664606480001</v>
      </c>
      <c r="AZ170" s="171">
        <f>'NOI(M)'!BA27</f>
        <v>18239.664606480001</v>
      </c>
      <c r="BA170" s="171">
        <f>'NOI(M)'!BB27</f>
        <v>18239.664606480001</v>
      </c>
      <c r="BB170" s="171">
        <f>'NOI(M)'!BC27</f>
        <v>18239.664606480001</v>
      </c>
      <c r="BC170" s="171">
        <f>'NOI(M)'!BD27</f>
        <v>18239.664606480001</v>
      </c>
      <c r="BD170" s="171">
        <f>'NOI(M)'!BE27</f>
        <v>18239.664606480001</v>
      </c>
      <c r="BE170" s="171">
        <f>'NOI(M)'!BF27</f>
        <v>18239.664606480001</v>
      </c>
      <c r="BF170" s="171">
        <f>'NOI(M)'!BG27</f>
        <v>18239.664606480001</v>
      </c>
      <c r="BG170" s="171">
        <f>'NOI(M)'!BH27</f>
        <v>18239.664606480001</v>
      </c>
      <c r="BH170" s="171">
        <f>'NOI(M)'!BI27</f>
        <v>18239.664606480001</v>
      </c>
      <c r="BI170" s="171">
        <f>'NOI(M)'!BJ27</f>
        <v>18604.457898609598</v>
      </c>
      <c r="BJ170" s="171">
        <f>'NOI(M)'!BK27</f>
        <v>18604.457898609598</v>
      </c>
      <c r="BK170" s="171">
        <f>'NOI(M)'!BL27</f>
        <v>18604.457898609598</v>
      </c>
      <c r="BL170" s="171">
        <f>'NOI(M)'!BM27</f>
        <v>18604.457898609598</v>
      </c>
      <c r="BM170" s="171">
        <f>'NOI(M)'!BN27</f>
        <v>18604.457898609598</v>
      </c>
      <c r="BN170" s="171">
        <f>'NOI(M)'!BO27</f>
        <v>18604.457898609598</v>
      </c>
      <c r="BO170" s="171">
        <f>'NOI(M)'!BP27</f>
        <v>18604.457898609598</v>
      </c>
      <c r="BP170" s="171">
        <f>'NOI(M)'!BQ27</f>
        <v>18604.457898609598</v>
      </c>
      <c r="BQ170" s="171">
        <f>'NOI(M)'!BR27</f>
        <v>18604.457898609598</v>
      </c>
      <c r="BR170" s="171">
        <f>'NOI(M)'!BS27</f>
        <v>18604.457898609598</v>
      </c>
      <c r="BS170" s="171">
        <f>'NOI(M)'!BT27</f>
        <v>18604.457898609598</v>
      </c>
      <c r="BT170" s="171">
        <f>'NOI(M)'!BU27</f>
        <v>18604.457898609598</v>
      </c>
      <c r="BU170" s="171">
        <f>'NOI(M)'!BV27</f>
        <v>18976.547056581792</v>
      </c>
      <c r="BV170" s="171">
        <f>'NOI(M)'!BW27</f>
        <v>18976.547056581792</v>
      </c>
      <c r="BW170" s="171">
        <f>'NOI(M)'!BX27</f>
        <v>18976.547056581792</v>
      </c>
      <c r="BX170" s="171">
        <f>'NOI(M)'!BY27</f>
        <v>18976.547056581792</v>
      </c>
      <c r="BY170" s="171">
        <f>'NOI(M)'!BZ27</f>
        <v>18976.547056581792</v>
      </c>
      <c r="BZ170" s="171">
        <f>'NOI(M)'!CA27</f>
        <v>18976.547056581792</v>
      </c>
      <c r="CA170" s="171">
        <f>'NOI(M)'!CB27</f>
        <v>18976.547056581792</v>
      </c>
      <c r="CB170" s="171">
        <f>'NOI(M)'!CC27</f>
        <v>18976.547056581792</v>
      </c>
      <c r="CC170" s="171">
        <f>'NOI(M)'!CD27</f>
        <v>18976.547056581792</v>
      </c>
      <c r="CD170" s="171">
        <f>'NOI(M)'!CE27</f>
        <v>18976.547056581792</v>
      </c>
      <c r="CE170" s="171">
        <f>'NOI(M)'!CF27</f>
        <v>18976.547056581792</v>
      </c>
      <c r="CF170" s="171">
        <f>'NOI(M)'!CG27</f>
        <v>18976.547056581792</v>
      </c>
      <c r="CG170" s="171">
        <f>'NOI(M)'!CH27</f>
        <v>19356.07799771343</v>
      </c>
      <c r="CH170" s="171">
        <f>'NOI(M)'!CI27</f>
        <v>19356.07799771343</v>
      </c>
      <c r="CI170" s="171">
        <f>'NOI(M)'!CJ27</f>
        <v>19356.07799771343</v>
      </c>
      <c r="CJ170" s="171">
        <f>'NOI(M)'!CK27</f>
        <v>19356.07799771343</v>
      </c>
      <c r="CK170" s="171">
        <f>'NOI(M)'!CL27</f>
        <v>19356.07799771343</v>
      </c>
      <c r="CL170" s="171">
        <f>'NOI(M)'!CM27</f>
        <v>19356.07799771343</v>
      </c>
      <c r="CM170" s="171">
        <f>'NOI(M)'!CN27</f>
        <v>19356.07799771343</v>
      </c>
      <c r="CN170" s="171">
        <f>'NOI(M)'!CO27</f>
        <v>19356.07799771343</v>
      </c>
      <c r="CO170" s="171">
        <f>'NOI(M)'!CP27</f>
        <v>19356.07799771343</v>
      </c>
      <c r="CP170" s="171">
        <f>'NOI(M)'!CQ27</f>
        <v>19356.07799771343</v>
      </c>
      <c r="CQ170" s="171">
        <f>'NOI(M)'!CR27</f>
        <v>19356.07799771343</v>
      </c>
      <c r="CR170" s="171">
        <f>'NOI(M)'!CS27</f>
        <v>19356.07799771343</v>
      </c>
      <c r="CS170" s="171">
        <f>'NOI(M)'!CT27</f>
        <v>19743.199557667693</v>
      </c>
      <c r="CT170" s="171">
        <f>'NOI(M)'!CU27</f>
        <v>19743.199557667693</v>
      </c>
      <c r="CU170" s="171">
        <f>'NOI(M)'!CV27</f>
        <v>19743.199557667693</v>
      </c>
      <c r="CV170" s="171">
        <f>'NOI(M)'!CW27</f>
        <v>19743.199557667693</v>
      </c>
      <c r="CW170" s="171">
        <f>'NOI(M)'!CX27</f>
        <v>19743.199557667693</v>
      </c>
      <c r="CX170" s="171">
        <f>'NOI(M)'!CY27</f>
        <v>19743.199557667693</v>
      </c>
      <c r="CY170" s="171">
        <f>'NOI(M)'!CZ27</f>
        <v>19743.199557667693</v>
      </c>
      <c r="CZ170" s="171">
        <f>'NOI(M)'!DA27</f>
        <v>19743.199557667693</v>
      </c>
      <c r="DA170" s="171">
        <f>'NOI(M)'!DB27</f>
        <v>19743.199557667693</v>
      </c>
      <c r="DB170" s="171">
        <f>'NOI(M)'!DC27</f>
        <v>19743.199557667693</v>
      </c>
      <c r="DC170" s="171">
        <f>'NOI(M)'!DD27</f>
        <v>19743.199557667693</v>
      </c>
      <c r="DD170" s="171">
        <f>'NOI(M)'!DE27</f>
        <v>19743.199557667693</v>
      </c>
      <c r="DE170" s="171">
        <f>'NOI(M)'!DF27</f>
        <v>20138.06354882105</v>
      </c>
      <c r="DF170" s="171">
        <f>'NOI(M)'!DG27</f>
        <v>20138.06354882105</v>
      </c>
      <c r="DG170" s="171">
        <f>'NOI(M)'!DH27</f>
        <v>20138.06354882105</v>
      </c>
      <c r="DH170" s="171">
        <f>'NOI(M)'!DI27</f>
        <v>20138.06354882105</v>
      </c>
      <c r="DI170" s="171">
        <f>'NOI(M)'!DJ27</f>
        <v>20138.06354882105</v>
      </c>
      <c r="DJ170" s="171">
        <f>'NOI(M)'!DK27</f>
        <v>20138.06354882105</v>
      </c>
      <c r="DK170" s="171">
        <f>'NOI(M)'!DL27</f>
        <v>20138.06354882105</v>
      </c>
      <c r="DL170" s="171">
        <f>'NOI(M)'!DM27</f>
        <v>20138.06354882105</v>
      </c>
      <c r="DM170" s="171">
        <f>'NOI(M)'!DN27</f>
        <v>20138.06354882105</v>
      </c>
      <c r="DN170" s="171">
        <f>'NOI(M)'!DO27</f>
        <v>20138.06354882105</v>
      </c>
      <c r="DO170" s="171">
        <f>'NOI(M)'!DP27</f>
        <v>20138.06354882105</v>
      </c>
      <c r="DP170" s="171">
        <f>'NOI(M)'!DQ27</f>
        <v>20138.06354882105</v>
      </c>
      <c r="DQ170" s="171">
        <f>'NOI(M)'!DR27</f>
        <v>20540.824819797472</v>
      </c>
      <c r="DR170" s="171">
        <f>'NOI(M)'!DS27</f>
        <v>20540.824819797472</v>
      </c>
      <c r="DS170" s="171">
        <f>'NOI(M)'!DT27</f>
        <v>20540.824819797472</v>
      </c>
      <c r="DT170" s="171">
        <f>'NOI(M)'!DU27</f>
        <v>20540.824819797472</v>
      </c>
      <c r="DU170" s="171">
        <f>'NOI(M)'!DV27</f>
        <v>20540.824819797472</v>
      </c>
      <c r="DV170" s="171">
        <f>'NOI(M)'!DW27</f>
        <v>20540.824819797472</v>
      </c>
      <c r="DW170" s="171">
        <f>'NOI(M)'!DX27</f>
        <v>20540.824819797472</v>
      </c>
      <c r="DX170" s="171">
        <f>'NOI(M)'!DY27</f>
        <v>20540.824819797472</v>
      </c>
      <c r="DY170" s="171">
        <f>'NOI(M)'!DZ27</f>
        <v>20540.824819797472</v>
      </c>
      <c r="DZ170" s="171">
        <f>'NOI(M)'!EA27</f>
        <v>20540.824819797472</v>
      </c>
      <c r="EA170" s="171">
        <f>'NOI(M)'!EB27</f>
        <v>20540.824819797472</v>
      </c>
      <c r="EB170" s="171">
        <f>'NOI(M)'!EC27</f>
        <v>20540.824819797472</v>
      </c>
      <c r="EC170" s="171">
        <f>'NOI(M)'!ED27</f>
        <v>0</v>
      </c>
      <c r="ED170" s="1321">
        <f>'NOI(M)'!EE27</f>
        <v>0</v>
      </c>
      <c r="EE170" s="171">
        <f>'NOI(M)'!EF27</f>
        <v>0</v>
      </c>
      <c r="EF170" s="171">
        <f>'NOI(M)'!EG27</f>
        <v>0</v>
      </c>
      <c r="EG170" s="171">
        <f>'NOI(M)'!EH27</f>
        <v>0</v>
      </c>
      <c r="EH170" s="171">
        <f>'NOI(M)'!EI27</f>
        <v>0</v>
      </c>
      <c r="EI170" s="171">
        <f>'NOI(M)'!EJ27</f>
        <v>0</v>
      </c>
      <c r="EJ170" s="171">
        <f>'NOI(M)'!EK27</f>
        <v>0</v>
      </c>
      <c r="EK170" s="171">
        <f>'NOI(M)'!EL27</f>
        <v>0</v>
      </c>
      <c r="EL170" s="171">
        <f>'NOI(M)'!EM27</f>
        <v>0</v>
      </c>
      <c r="EM170" s="171">
        <f>'NOI(M)'!EN27</f>
        <v>0</v>
      </c>
      <c r="EN170" s="171">
        <f>'NOI(M)'!EO27</f>
        <v>0</v>
      </c>
      <c r="EO170" s="171">
        <f>'NOI(M)'!EP27</f>
        <v>0</v>
      </c>
      <c r="EP170" s="171">
        <f>'NOI(M)'!EQ27</f>
        <v>0</v>
      </c>
      <c r="EQ170" s="171">
        <f>'NOI(M)'!ER27</f>
        <v>0</v>
      </c>
    </row>
    <row r="171" spans="3:147" ht="11.25" customHeight="1">
      <c r="C171" s="163"/>
      <c r="D171" s="169" t="s">
        <v>232</v>
      </c>
      <c r="I171" s="248"/>
      <c r="J171" s="170">
        <f>SUM(L171:EQ171)</f>
        <v>2258398.7897160524</v>
      </c>
      <c r="K171" s="98"/>
      <c r="L171" s="171">
        <f>SUM(L169:L170)*Index!L$52</f>
        <v>0</v>
      </c>
      <c r="M171" s="171">
        <f>SUM(M169:M170)*Index!M$52</f>
        <v>0</v>
      </c>
      <c r="N171" s="171">
        <f>SUM(N169:N170)*Index!N$52</f>
        <v>0</v>
      </c>
      <c r="O171" s="171">
        <f>SUM(O169:O170)*Index!O$52</f>
        <v>0</v>
      </c>
      <c r="P171" s="171">
        <f>SUM(P169:P170)*Index!P$52</f>
        <v>0</v>
      </c>
      <c r="Q171" s="171">
        <f>SUM(Q169:Q170)*Index!Q$52</f>
        <v>0</v>
      </c>
      <c r="R171" s="171">
        <f>SUM(R169:R170)*Index!R$52</f>
        <v>0</v>
      </c>
      <c r="S171" s="171">
        <f>SUM(S169:S170)*Index!S$52</f>
        <v>0</v>
      </c>
      <c r="T171" s="171">
        <f>SUM(T169:T170)*Index!T$52</f>
        <v>0</v>
      </c>
      <c r="U171" s="171">
        <f>SUM(U169:U170)*Index!U$52</f>
        <v>154688.79000000004</v>
      </c>
      <c r="V171" s="171">
        <f>SUM(V169:V170)*Index!V$52</f>
        <v>0</v>
      </c>
      <c r="W171" s="171">
        <f>SUM(W169:W170)*Index!W$52</f>
        <v>0</v>
      </c>
      <c r="X171" s="171">
        <f>SUM(X169:X170)*Index!X$52</f>
        <v>0</v>
      </c>
      <c r="Y171" s="171">
        <f>SUM(Y169:Y170)*Index!Y$52</f>
        <v>0</v>
      </c>
      <c r="Z171" s="171">
        <f>SUM(Z169:Z170)*Index!Z$52</f>
        <v>0</v>
      </c>
      <c r="AA171" s="171">
        <f>SUM(AA169:AA170)*Index!AA$52</f>
        <v>0</v>
      </c>
      <c r="AB171" s="171">
        <f>SUM(AB169:AB170)*Index!AB$52</f>
        <v>0</v>
      </c>
      <c r="AC171" s="171">
        <f>SUM(AC169:AC170)*Index!AC$52</f>
        <v>0</v>
      </c>
      <c r="AD171" s="171">
        <f>SUM(AD169:AD170)*Index!AD$52</f>
        <v>0</v>
      </c>
      <c r="AE171" s="171">
        <f>SUM(AE169:AE170)*Index!AE$52</f>
        <v>0</v>
      </c>
      <c r="AF171" s="171">
        <f>SUM(AF169:AF170)*Index!AF$52</f>
        <v>0</v>
      </c>
      <c r="AG171" s="171">
        <f>SUM(AG169:AG170)*Index!AG$52</f>
        <v>209345.49579999995</v>
      </c>
      <c r="AH171" s="171">
        <f>SUM(AH169:AH170)*Index!AH$52</f>
        <v>0</v>
      </c>
      <c r="AI171" s="171">
        <f>SUM(AI169:AI170)*Index!AI$52</f>
        <v>0</v>
      </c>
      <c r="AJ171" s="171">
        <f>SUM(AJ169:AJ170)*Index!AJ$52</f>
        <v>0</v>
      </c>
      <c r="AK171" s="171">
        <f>SUM(AK169:AK170)*Index!AK$52</f>
        <v>0</v>
      </c>
      <c r="AL171" s="171">
        <f>SUM(AL169:AL170)*Index!AL$52</f>
        <v>0</v>
      </c>
      <c r="AM171" s="171">
        <f>SUM(AM169:AM170)*Index!AM$52</f>
        <v>0</v>
      </c>
      <c r="AN171" s="171">
        <f>SUM(AN169:AN170)*Index!AN$52</f>
        <v>0</v>
      </c>
      <c r="AO171" s="171">
        <f>SUM(AO169:AO170)*Index!AO$52</f>
        <v>0</v>
      </c>
      <c r="AP171" s="171">
        <f>SUM(AP169:AP170)*Index!AP$52</f>
        <v>0</v>
      </c>
      <c r="AQ171" s="171">
        <f>SUM(AQ169:AQ170)*Index!AQ$52</f>
        <v>0</v>
      </c>
      <c r="AR171" s="171">
        <f>SUM(AR169:AR170)*Index!AR$52</f>
        <v>0</v>
      </c>
      <c r="AS171" s="171">
        <f>SUM(AS169:AS170)*Index!AS$52</f>
        <v>213532.40571599995</v>
      </c>
      <c r="AT171" s="171">
        <f>SUM(AT169:AT170)*Index!AT$52</f>
        <v>0</v>
      </c>
      <c r="AU171" s="171">
        <f>SUM(AU169:AU170)*Index!AU$52</f>
        <v>0</v>
      </c>
      <c r="AV171" s="171">
        <f>SUM(AV169:AV170)*Index!AV$52</f>
        <v>0</v>
      </c>
      <c r="AW171" s="171">
        <f>SUM(AW169:AW170)*Index!AW$52</f>
        <v>0</v>
      </c>
      <c r="AX171" s="171">
        <f>SUM(AX169:AX170)*Index!AX$52</f>
        <v>0</v>
      </c>
      <c r="AY171" s="171">
        <f>SUM(AY169:AY170)*Index!AY$52</f>
        <v>0</v>
      </c>
      <c r="AZ171" s="171">
        <f>SUM(AZ169:AZ170)*Index!AZ$52</f>
        <v>0</v>
      </c>
      <c r="BA171" s="171">
        <f>SUM(BA169:BA170)*Index!BA$52</f>
        <v>0</v>
      </c>
      <c r="BB171" s="171">
        <f>SUM(BB169:BB170)*Index!BB$52</f>
        <v>0</v>
      </c>
      <c r="BC171" s="171">
        <f>SUM(BC169:BC170)*Index!BC$52</f>
        <v>0</v>
      </c>
      <c r="BD171" s="171">
        <f>SUM(BD169:BD170)*Index!BD$52</f>
        <v>0</v>
      </c>
      <c r="BE171" s="171">
        <f>SUM(BE169:BE170)*Index!BE$52</f>
        <v>217803.05383031996</v>
      </c>
      <c r="BF171" s="171">
        <f>SUM(BF169:BF170)*Index!BF$52</f>
        <v>0</v>
      </c>
      <c r="BG171" s="171">
        <f>SUM(BG169:BG170)*Index!BG$52</f>
        <v>0</v>
      </c>
      <c r="BH171" s="171">
        <f>SUM(BH169:BH170)*Index!BH$52</f>
        <v>0</v>
      </c>
      <c r="BI171" s="171">
        <f>SUM(BI169:BI170)*Index!BI$52</f>
        <v>0</v>
      </c>
      <c r="BJ171" s="171">
        <f>SUM(BJ169:BJ170)*Index!BJ$52</f>
        <v>0</v>
      </c>
      <c r="BK171" s="171">
        <f>SUM(BK169:BK170)*Index!BK$52</f>
        <v>0</v>
      </c>
      <c r="BL171" s="171">
        <f>SUM(BL169:BL170)*Index!BL$52</f>
        <v>0</v>
      </c>
      <c r="BM171" s="171">
        <f>SUM(BM169:BM170)*Index!BM$52</f>
        <v>0</v>
      </c>
      <c r="BN171" s="171">
        <f>SUM(BN169:BN170)*Index!BN$52</f>
        <v>0</v>
      </c>
      <c r="BO171" s="171">
        <f>SUM(BO169:BO170)*Index!BO$52</f>
        <v>0</v>
      </c>
      <c r="BP171" s="171">
        <f>SUM(BP169:BP170)*Index!BP$52</f>
        <v>0</v>
      </c>
      <c r="BQ171" s="171">
        <f>SUM(BQ169:BQ170)*Index!BQ$52</f>
        <v>222159.11490692641</v>
      </c>
      <c r="BR171" s="171">
        <f>SUM(BR169:BR170)*Index!BR$52</f>
        <v>0</v>
      </c>
      <c r="BS171" s="171">
        <f>SUM(BS169:BS170)*Index!BS$52</f>
        <v>0</v>
      </c>
      <c r="BT171" s="171">
        <f>SUM(BT169:BT170)*Index!BT$52</f>
        <v>0</v>
      </c>
      <c r="BU171" s="171">
        <f>SUM(BU169:BU170)*Index!BU$52</f>
        <v>0</v>
      </c>
      <c r="BV171" s="171">
        <f>SUM(BV169:BV170)*Index!BV$52</f>
        <v>0</v>
      </c>
      <c r="BW171" s="171">
        <f>SUM(BW169:BW170)*Index!BW$52</f>
        <v>0</v>
      </c>
      <c r="BX171" s="171">
        <f>SUM(BX169:BX170)*Index!BX$52</f>
        <v>0</v>
      </c>
      <c r="BY171" s="171">
        <f>SUM(BY169:BY170)*Index!BY$52</f>
        <v>0</v>
      </c>
      <c r="BZ171" s="171">
        <f>SUM(BZ169:BZ170)*Index!BZ$52</f>
        <v>0</v>
      </c>
      <c r="CA171" s="171">
        <f>SUM(CA169:CA170)*Index!CA$52</f>
        <v>0</v>
      </c>
      <c r="CB171" s="171">
        <f>SUM(CB169:CB170)*Index!CB$52</f>
        <v>0</v>
      </c>
      <c r="CC171" s="171">
        <f>SUM(CC169:CC170)*Index!CC$52</f>
        <v>226602.29720506494</v>
      </c>
      <c r="CD171" s="171">
        <f>SUM(CD169:CD170)*Index!CD$52</f>
        <v>0</v>
      </c>
      <c r="CE171" s="171">
        <f>SUM(CE169:CE170)*Index!CE$52</f>
        <v>0</v>
      </c>
      <c r="CF171" s="171">
        <f>SUM(CF169:CF170)*Index!CF$52</f>
        <v>0</v>
      </c>
      <c r="CG171" s="171">
        <f>SUM(CG169:CG170)*Index!CG$52</f>
        <v>0</v>
      </c>
      <c r="CH171" s="171">
        <f>SUM(CH169:CH170)*Index!CH$52</f>
        <v>0</v>
      </c>
      <c r="CI171" s="171">
        <f>SUM(CI169:CI170)*Index!CI$52</f>
        <v>0</v>
      </c>
      <c r="CJ171" s="171">
        <f>SUM(CJ169:CJ170)*Index!CJ$52</f>
        <v>0</v>
      </c>
      <c r="CK171" s="171">
        <f>SUM(CK169:CK170)*Index!CK$52</f>
        <v>0</v>
      </c>
      <c r="CL171" s="171">
        <f>SUM(CL169:CL170)*Index!CL$52</f>
        <v>0</v>
      </c>
      <c r="CM171" s="171">
        <f>SUM(CM169:CM170)*Index!CM$52</f>
        <v>0</v>
      </c>
      <c r="CN171" s="171">
        <f>SUM(CN169:CN170)*Index!CN$52</f>
        <v>0</v>
      </c>
      <c r="CO171" s="171">
        <f>SUM(CO169:CO170)*Index!CO$52</f>
        <v>231134.34314916629</v>
      </c>
      <c r="CP171" s="171">
        <f>SUM(CP169:CP170)*Index!CP$52</f>
        <v>0</v>
      </c>
      <c r="CQ171" s="171">
        <f>SUM(CQ169:CQ170)*Index!CQ$52</f>
        <v>0</v>
      </c>
      <c r="CR171" s="171">
        <f>SUM(CR169:CR170)*Index!CR$52</f>
        <v>0</v>
      </c>
      <c r="CS171" s="171">
        <f>SUM(CS169:CS170)*Index!CS$52</f>
        <v>0</v>
      </c>
      <c r="CT171" s="171">
        <f>SUM(CT169:CT170)*Index!CT$52</f>
        <v>0</v>
      </c>
      <c r="CU171" s="171">
        <f>SUM(CU169:CU170)*Index!CU$52</f>
        <v>0</v>
      </c>
      <c r="CV171" s="171">
        <f>SUM(CV169:CV170)*Index!CV$52</f>
        <v>0</v>
      </c>
      <c r="CW171" s="171">
        <f>SUM(CW169:CW170)*Index!CW$52</f>
        <v>0</v>
      </c>
      <c r="CX171" s="171">
        <f>SUM(CX169:CX170)*Index!CX$52</f>
        <v>0</v>
      </c>
      <c r="CY171" s="171">
        <f>SUM(CY169:CY170)*Index!CY$52</f>
        <v>0</v>
      </c>
      <c r="CZ171" s="171">
        <f>SUM(CZ169:CZ170)*Index!CZ$52</f>
        <v>0</v>
      </c>
      <c r="DA171" s="171">
        <f>SUM(DA169:DA170)*Index!DA$52</f>
        <v>235757.03001214948</v>
      </c>
      <c r="DB171" s="171">
        <f>SUM(DB169:DB170)*Index!DB$52</f>
        <v>0</v>
      </c>
      <c r="DC171" s="171">
        <f>SUM(DC169:DC170)*Index!DC$52</f>
        <v>0</v>
      </c>
      <c r="DD171" s="171">
        <f>SUM(DD169:DD170)*Index!DD$52</f>
        <v>0</v>
      </c>
      <c r="DE171" s="171">
        <f>SUM(DE169:DE170)*Index!DE$52</f>
        <v>0</v>
      </c>
      <c r="DF171" s="171">
        <f>SUM(DF169:DF170)*Index!DF$52</f>
        <v>0</v>
      </c>
      <c r="DG171" s="171">
        <f>SUM(DG169:DG170)*Index!DG$52</f>
        <v>0</v>
      </c>
      <c r="DH171" s="171">
        <f>SUM(DH169:DH170)*Index!DH$52</f>
        <v>0</v>
      </c>
      <c r="DI171" s="171">
        <f>SUM(DI169:DI170)*Index!DI$52</f>
        <v>0</v>
      </c>
      <c r="DJ171" s="171">
        <f>SUM(DJ169:DJ170)*Index!DJ$52</f>
        <v>0</v>
      </c>
      <c r="DK171" s="171">
        <f>SUM(DK169:DK170)*Index!DK$52</f>
        <v>0</v>
      </c>
      <c r="DL171" s="171">
        <f>SUM(DL169:DL170)*Index!DL$52</f>
        <v>0</v>
      </c>
      <c r="DM171" s="171">
        <f>SUM(DM169:DM170)*Index!DM$52</f>
        <v>240472.17061239254</v>
      </c>
      <c r="DN171" s="171">
        <f>SUM(DN169:DN170)*Index!DN$52</f>
        <v>0</v>
      </c>
      <c r="DO171" s="171">
        <f>SUM(DO169:DO170)*Index!DO$52</f>
        <v>0</v>
      </c>
      <c r="DP171" s="171">
        <f>SUM(DP169:DP170)*Index!DP$52</f>
        <v>0</v>
      </c>
      <c r="DQ171" s="171">
        <f>SUM(DQ169:DQ170)*Index!DQ$52</f>
        <v>0</v>
      </c>
      <c r="DR171" s="171">
        <f>SUM(DR169:DR170)*Index!DR$52</f>
        <v>0</v>
      </c>
      <c r="DS171" s="171">
        <f>SUM(DS169:DS170)*Index!DS$52</f>
        <v>0</v>
      </c>
      <c r="DT171" s="171">
        <f>SUM(DT169:DT170)*Index!DT$52</f>
        <v>0</v>
      </c>
      <c r="DU171" s="171">
        <f>SUM(DU169:DU170)*Index!DU$52</f>
        <v>0</v>
      </c>
      <c r="DV171" s="171">
        <f>SUM(DV169:DV170)*Index!DV$52</f>
        <v>0</v>
      </c>
      <c r="DW171" s="171">
        <f>SUM(DW169:DW170)*Index!DW$52</f>
        <v>0</v>
      </c>
      <c r="DX171" s="171">
        <f>SUM(DX169:DX170)*Index!DX$52</f>
        <v>0</v>
      </c>
      <c r="DY171" s="171">
        <f>SUM(DY169:DY170)*Index!DY$52</f>
        <v>245281.61402464041</v>
      </c>
      <c r="DZ171" s="171">
        <f>SUM(DZ169:DZ170)*Index!DZ$52</f>
        <v>0</v>
      </c>
      <c r="EA171" s="171">
        <f>SUM(EA169:EA170)*Index!EA$52</f>
        <v>0</v>
      </c>
      <c r="EB171" s="171">
        <f>SUM(EB169:EB170)*Index!EB$52</f>
        <v>61622.474459392412</v>
      </c>
      <c r="EC171" s="171">
        <f>SUM(EC169:EC170)*Index!EC$52</f>
        <v>0</v>
      </c>
      <c r="ED171" s="1321">
        <f>SUM(ED169:ED170)*Index!ED$52</f>
        <v>0</v>
      </c>
      <c r="EE171" s="171">
        <f>SUM(EE169:EE170)*Index!EE$52</f>
        <v>0</v>
      </c>
      <c r="EF171" s="171">
        <f>SUM(EF169:EF170)*Index!EF$52</f>
        <v>0</v>
      </c>
      <c r="EG171" s="171">
        <f>SUM(EG169:EG170)*Index!EG$52</f>
        <v>0</v>
      </c>
      <c r="EH171" s="171">
        <f>SUM(EH169:EH170)*Index!EH$52</f>
        <v>0</v>
      </c>
      <c r="EI171" s="171">
        <f>SUM(EI169:EI170)*Index!EI$52</f>
        <v>0</v>
      </c>
      <c r="EJ171" s="171">
        <f>SUM(EJ169:EJ170)*Index!EJ$52</f>
        <v>0</v>
      </c>
      <c r="EK171" s="171">
        <f>SUM(EK169:EK170)*Index!EK$52</f>
        <v>0</v>
      </c>
      <c r="EL171" s="171">
        <f>SUM(EL169:EL170)*Index!EL$52</f>
        <v>0</v>
      </c>
      <c r="EM171" s="171">
        <f>SUM(EM169:EM170)*Index!EM$52</f>
        <v>0</v>
      </c>
      <c r="EN171" s="171">
        <f>SUM(EN169:EN170)*Index!EN$52</f>
        <v>0</v>
      </c>
      <c r="EO171" s="171">
        <f>SUM(EO169:EO170)*Index!EO$52</f>
        <v>0</v>
      </c>
      <c r="EP171" s="171">
        <f>SUM(EP169:EP170)*Index!EP$52</f>
        <v>0</v>
      </c>
      <c r="EQ171" s="171">
        <f>SUM(EQ169:EQ170)*Index!EQ$52</f>
        <v>0</v>
      </c>
    </row>
    <row r="172" spans="3:147" ht="11.25" customHeight="1">
      <c r="C172" s="163"/>
      <c r="D172" s="169" t="s">
        <v>233</v>
      </c>
      <c r="I172" s="248"/>
      <c r="J172" s="170"/>
      <c r="K172" s="98"/>
      <c r="L172" s="171">
        <f>L169+L170-L171</f>
        <v>0</v>
      </c>
      <c r="M172" s="171">
        <f t="shared" ref="M172:BX172" si="393">M169+M170-M171</f>
        <v>17187.643333333333</v>
      </c>
      <c r="N172" s="171">
        <f t="shared" si="393"/>
        <v>34375.286666666667</v>
      </c>
      <c r="O172" s="171">
        <f t="shared" si="393"/>
        <v>51562.93</v>
      </c>
      <c r="P172" s="171">
        <f t="shared" si="393"/>
        <v>68750.573333333334</v>
      </c>
      <c r="Q172" s="171">
        <f t="shared" si="393"/>
        <v>85938.216666666674</v>
      </c>
      <c r="R172" s="171">
        <f t="shared" si="393"/>
        <v>103125.86000000002</v>
      </c>
      <c r="S172" s="171">
        <f t="shared" si="393"/>
        <v>120313.50333333336</v>
      </c>
      <c r="T172" s="171">
        <f t="shared" si="393"/>
        <v>137501.1466666667</v>
      </c>
      <c r="U172" s="171">
        <f t="shared" si="393"/>
        <v>0</v>
      </c>
      <c r="V172" s="171">
        <f t="shared" si="393"/>
        <v>17187.643333333333</v>
      </c>
      <c r="W172" s="171">
        <f t="shared" si="393"/>
        <v>34375.286666666667</v>
      </c>
      <c r="X172" s="171">
        <f t="shared" si="393"/>
        <v>51562.93</v>
      </c>
      <c r="Y172" s="171">
        <f t="shared" si="393"/>
        <v>69094.326199999996</v>
      </c>
      <c r="Z172" s="171">
        <f t="shared" si="393"/>
        <v>86625.722399999999</v>
      </c>
      <c r="AA172" s="171">
        <f t="shared" si="393"/>
        <v>104157.1186</v>
      </c>
      <c r="AB172" s="171">
        <f t="shared" si="393"/>
        <v>121688.5148</v>
      </c>
      <c r="AC172" s="171">
        <f t="shared" si="393"/>
        <v>139219.91099999999</v>
      </c>
      <c r="AD172" s="171">
        <f t="shared" si="393"/>
        <v>156751.30719999998</v>
      </c>
      <c r="AE172" s="171">
        <f t="shared" si="393"/>
        <v>174282.70339999997</v>
      </c>
      <c r="AF172" s="171">
        <f t="shared" si="393"/>
        <v>191814.09959999996</v>
      </c>
      <c r="AG172" s="171">
        <f t="shared" si="393"/>
        <v>0</v>
      </c>
      <c r="AH172" s="171">
        <f t="shared" si="393"/>
        <v>17531.396199999999</v>
      </c>
      <c r="AI172" s="171">
        <f t="shared" si="393"/>
        <v>35062.792399999998</v>
      </c>
      <c r="AJ172" s="171">
        <f t="shared" si="393"/>
        <v>52594.188599999994</v>
      </c>
      <c r="AK172" s="171">
        <f t="shared" si="393"/>
        <v>70476.212723999997</v>
      </c>
      <c r="AL172" s="171">
        <f t="shared" si="393"/>
        <v>88358.236848</v>
      </c>
      <c r="AM172" s="171">
        <f t="shared" si="393"/>
        <v>106240.260972</v>
      </c>
      <c r="AN172" s="171">
        <f t="shared" si="393"/>
        <v>124122.28509600001</v>
      </c>
      <c r="AO172" s="171">
        <f t="shared" si="393"/>
        <v>142004.30922</v>
      </c>
      <c r="AP172" s="171">
        <f t="shared" si="393"/>
        <v>159886.33334399998</v>
      </c>
      <c r="AQ172" s="171">
        <f t="shared" si="393"/>
        <v>177768.35746799997</v>
      </c>
      <c r="AR172" s="171">
        <f t="shared" si="393"/>
        <v>195650.38159199996</v>
      </c>
      <c r="AS172" s="171">
        <f t="shared" si="393"/>
        <v>0</v>
      </c>
      <c r="AT172" s="171">
        <f t="shared" si="393"/>
        <v>17882.024124</v>
      </c>
      <c r="AU172" s="171">
        <f t="shared" si="393"/>
        <v>35764.048247999999</v>
      </c>
      <c r="AV172" s="171">
        <f t="shared" si="393"/>
        <v>53646.072371999995</v>
      </c>
      <c r="AW172" s="171">
        <f t="shared" si="393"/>
        <v>71885.736978479996</v>
      </c>
      <c r="AX172" s="171">
        <f t="shared" si="393"/>
        <v>90125.401584959996</v>
      </c>
      <c r="AY172" s="171">
        <f t="shared" si="393"/>
        <v>108365.06619144</v>
      </c>
      <c r="AZ172" s="171">
        <f t="shared" si="393"/>
        <v>126604.73079792</v>
      </c>
      <c r="BA172" s="171">
        <f t="shared" si="393"/>
        <v>144844.39540440001</v>
      </c>
      <c r="BB172" s="171">
        <f t="shared" si="393"/>
        <v>163084.06001088</v>
      </c>
      <c r="BC172" s="171">
        <f t="shared" si="393"/>
        <v>181323.72461735999</v>
      </c>
      <c r="BD172" s="171">
        <f t="shared" si="393"/>
        <v>199563.38922383997</v>
      </c>
      <c r="BE172" s="171">
        <f t="shared" si="393"/>
        <v>0</v>
      </c>
      <c r="BF172" s="171">
        <f t="shared" si="393"/>
        <v>18239.664606480001</v>
      </c>
      <c r="BG172" s="171">
        <f t="shared" si="393"/>
        <v>36479.329212960001</v>
      </c>
      <c r="BH172" s="171">
        <f t="shared" si="393"/>
        <v>54718.993819440002</v>
      </c>
      <c r="BI172" s="171">
        <f t="shared" si="393"/>
        <v>73323.451718049604</v>
      </c>
      <c r="BJ172" s="171">
        <f t="shared" si="393"/>
        <v>91927.909616659206</v>
      </c>
      <c r="BK172" s="171">
        <f t="shared" si="393"/>
        <v>110532.36751526881</v>
      </c>
      <c r="BL172" s="171">
        <f t="shared" si="393"/>
        <v>129136.82541387841</v>
      </c>
      <c r="BM172" s="171">
        <f t="shared" si="393"/>
        <v>147741.283312488</v>
      </c>
      <c r="BN172" s="171">
        <f t="shared" si="393"/>
        <v>166345.7412110976</v>
      </c>
      <c r="BO172" s="171">
        <f t="shared" si="393"/>
        <v>184950.1991097072</v>
      </c>
      <c r="BP172" s="171">
        <f t="shared" si="393"/>
        <v>203554.6570083168</v>
      </c>
      <c r="BQ172" s="171">
        <f t="shared" si="393"/>
        <v>0</v>
      </c>
      <c r="BR172" s="171">
        <f t="shared" si="393"/>
        <v>18604.457898609598</v>
      </c>
      <c r="BS172" s="171">
        <f t="shared" si="393"/>
        <v>37208.915797219197</v>
      </c>
      <c r="BT172" s="171">
        <f t="shared" si="393"/>
        <v>55813.373695828792</v>
      </c>
      <c r="BU172" s="171">
        <f t="shared" si="393"/>
        <v>74789.920752410588</v>
      </c>
      <c r="BV172" s="171">
        <f t="shared" si="393"/>
        <v>93766.467808992384</v>
      </c>
      <c r="BW172" s="171">
        <f t="shared" si="393"/>
        <v>112743.01486557418</v>
      </c>
      <c r="BX172" s="171">
        <f t="shared" si="393"/>
        <v>131719.56192215596</v>
      </c>
      <c r="BY172" s="171">
        <f t="shared" ref="BY172:DT172" si="394">BY169+BY170-BY171</f>
        <v>150696.10897873776</v>
      </c>
      <c r="BZ172" s="171">
        <f t="shared" si="394"/>
        <v>169672.65603531955</v>
      </c>
      <c r="CA172" s="171">
        <f t="shared" si="394"/>
        <v>188649.20309190135</v>
      </c>
      <c r="CB172" s="171">
        <f t="shared" si="394"/>
        <v>207625.75014848314</v>
      </c>
      <c r="CC172" s="171">
        <f t="shared" si="394"/>
        <v>0</v>
      </c>
      <c r="CD172" s="171">
        <f t="shared" si="394"/>
        <v>18976.547056581792</v>
      </c>
      <c r="CE172" s="171">
        <f t="shared" si="394"/>
        <v>37953.094113163585</v>
      </c>
      <c r="CF172" s="171">
        <f t="shared" si="394"/>
        <v>56929.641169745373</v>
      </c>
      <c r="CG172" s="171">
        <f t="shared" si="394"/>
        <v>76285.719167458796</v>
      </c>
      <c r="CH172" s="171">
        <f t="shared" si="394"/>
        <v>95641.797165172233</v>
      </c>
      <c r="CI172" s="171">
        <f t="shared" si="394"/>
        <v>114997.87516288567</v>
      </c>
      <c r="CJ172" s="171">
        <f t="shared" si="394"/>
        <v>134353.95316059911</v>
      </c>
      <c r="CK172" s="171">
        <f t="shared" si="394"/>
        <v>153710.03115831254</v>
      </c>
      <c r="CL172" s="171">
        <f t="shared" si="394"/>
        <v>173066.10915602598</v>
      </c>
      <c r="CM172" s="171">
        <f t="shared" si="394"/>
        <v>192422.18715373942</v>
      </c>
      <c r="CN172" s="171">
        <f t="shared" si="394"/>
        <v>211778.26515145286</v>
      </c>
      <c r="CO172" s="171">
        <f t="shared" si="394"/>
        <v>0</v>
      </c>
      <c r="CP172" s="171">
        <f t="shared" si="394"/>
        <v>19356.07799771343</v>
      </c>
      <c r="CQ172" s="171">
        <f t="shared" si="394"/>
        <v>38712.15599542686</v>
      </c>
      <c r="CR172" s="171">
        <f t="shared" si="394"/>
        <v>58068.233993140289</v>
      </c>
      <c r="CS172" s="171">
        <f t="shared" si="394"/>
        <v>77811.433550807982</v>
      </c>
      <c r="CT172" s="171">
        <f t="shared" si="394"/>
        <v>97554.633108475682</v>
      </c>
      <c r="CU172" s="171">
        <f t="shared" si="394"/>
        <v>117297.83266614337</v>
      </c>
      <c r="CV172" s="171">
        <f t="shared" si="394"/>
        <v>137041.03222381105</v>
      </c>
      <c r="CW172" s="171">
        <f t="shared" si="394"/>
        <v>156784.23178147874</v>
      </c>
      <c r="CX172" s="171">
        <f t="shared" si="394"/>
        <v>176527.43133914642</v>
      </c>
      <c r="CY172" s="171">
        <f t="shared" si="394"/>
        <v>196270.63089681411</v>
      </c>
      <c r="CZ172" s="171">
        <f t="shared" si="394"/>
        <v>216013.83045448179</v>
      </c>
      <c r="DA172" s="171">
        <f t="shared" si="394"/>
        <v>0</v>
      </c>
      <c r="DB172" s="171">
        <f t="shared" si="394"/>
        <v>19743.199557667693</v>
      </c>
      <c r="DC172" s="171">
        <f t="shared" si="394"/>
        <v>39486.399115335385</v>
      </c>
      <c r="DD172" s="171">
        <f t="shared" si="394"/>
        <v>59229.598673003078</v>
      </c>
      <c r="DE172" s="171">
        <f t="shared" si="394"/>
        <v>79367.662221824125</v>
      </c>
      <c r="DF172" s="171">
        <f t="shared" si="394"/>
        <v>99505.725770645178</v>
      </c>
      <c r="DG172" s="171">
        <f t="shared" si="394"/>
        <v>119643.78931946623</v>
      </c>
      <c r="DH172" s="171">
        <f t="shared" si="394"/>
        <v>139781.85286828727</v>
      </c>
      <c r="DI172" s="171">
        <f t="shared" si="394"/>
        <v>159919.91641710832</v>
      </c>
      <c r="DJ172" s="171">
        <f t="shared" si="394"/>
        <v>180057.97996592938</v>
      </c>
      <c r="DK172" s="171">
        <f t="shared" si="394"/>
        <v>200196.04351475043</v>
      </c>
      <c r="DL172" s="171">
        <f t="shared" si="394"/>
        <v>220334.10706357149</v>
      </c>
      <c r="DM172" s="171">
        <f t="shared" si="394"/>
        <v>0</v>
      </c>
      <c r="DN172" s="171">
        <f t="shared" si="394"/>
        <v>20138.06354882105</v>
      </c>
      <c r="DO172" s="171">
        <f t="shared" si="394"/>
        <v>40276.1270976421</v>
      </c>
      <c r="DP172" s="171">
        <f t="shared" si="394"/>
        <v>60414.190646463147</v>
      </c>
      <c r="DQ172" s="171">
        <f t="shared" si="394"/>
        <v>80955.015466260622</v>
      </c>
      <c r="DR172" s="171">
        <f t="shared" si="394"/>
        <v>101495.8402860581</v>
      </c>
      <c r="DS172" s="171">
        <f t="shared" si="394"/>
        <v>122036.66510585557</v>
      </c>
      <c r="DT172" s="171">
        <f t="shared" si="394"/>
        <v>142577.48992565303</v>
      </c>
      <c r="DU172" s="171">
        <f t="shared" ref="DU172:EA172" si="395">DU169+DU170-DU171</f>
        <v>163118.31474545051</v>
      </c>
      <c r="DV172" s="171">
        <f t="shared" si="395"/>
        <v>183659.13956524798</v>
      </c>
      <c r="DW172" s="171">
        <f t="shared" si="395"/>
        <v>204199.96438504546</v>
      </c>
      <c r="DX172" s="171">
        <f t="shared" si="395"/>
        <v>224740.78920484293</v>
      </c>
      <c r="DY172" s="171">
        <f t="shared" si="395"/>
        <v>0</v>
      </c>
      <c r="DZ172" s="171">
        <f t="shared" si="395"/>
        <v>20540.824819797472</v>
      </c>
      <c r="EA172" s="171">
        <f t="shared" si="395"/>
        <v>41081.649639594943</v>
      </c>
      <c r="EB172" s="171">
        <f t="shared" ref="EB172:EQ172" si="396">EB169+EB170-EB171</f>
        <v>0</v>
      </c>
      <c r="EC172" s="171">
        <f t="shared" si="396"/>
        <v>0</v>
      </c>
      <c r="ED172" s="1321">
        <f t="shared" si="396"/>
        <v>0</v>
      </c>
      <c r="EE172" s="171">
        <f t="shared" si="396"/>
        <v>0</v>
      </c>
      <c r="EF172" s="171">
        <f t="shared" si="396"/>
        <v>0</v>
      </c>
      <c r="EG172" s="171">
        <f t="shared" si="396"/>
        <v>0</v>
      </c>
      <c r="EH172" s="171">
        <f t="shared" si="396"/>
        <v>0</v>
      </c>
      <c r="EI172" s="171">
        <f t="shared" si="396"/>
        <v>0</v>
      </c>
      <c r="EJ172" s="171">
        <f t="shared" si="396"/>
        <v>0</v>
      </c>
      <c r="EK172" s="171">
        <f t="shared" si="396"/>
        <v>0</v>
      </c>
      <c r="EL172" s="171">
        <f t="shared" si="396"/>
        <v>0</v>
      </c>
      <c r="EM172" s="171">
        <f t="shared" si="396"/>
        <v>0</v>
      </c>
      <c r="EN172" s="171">
        <f t="shared" si="396"/>
        <v>0</v>
      </c>
      <c r="EO172" s="171">
        <f t="shared" si="396"/>
        <v>0</v>
      </c>
      <c r="EP172" s="171">
        <f t="shared" si="396"/>
        <v>0</v>
      </c>
      <c r="EQ172" s="171">
        <f t="shared" si="396"/>
        <v>0</v>
      </c>
    </row>
    <row r="173" spans="3:147" ht="11.25" customHeight="1">
      <c r="C173" s="158" t="s">
        <v>523</v>
      </c>
      <c r="D173" s="159"/>
      <c r="E173" s="159"/>
      <c r="F173" s="159"/>
      <c r="G173" s="159"/>
      <c r="H173" s="160"/>
      <c r="I173" s="219"/>
      <c r="J173" s="161"/>
      <c r="K173" s="98"/>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162"/>
      <c r="AJ173" s="162"/>
      <c r="AK173" s="162"/>
      <c r="AL173" s="162"/>
      <c r="AM173" s="162"/>
      <c r="AN173" s="162"/>
      <c r="AO173" s="162"/>
      <c r="AP173" s="162"/>
      <c r="AQ173" s="162"/>
      <c r="AR173" s="162"/>
      <c r="AS173" s="162"/>
      <c r="AT173" s="162"/>
      <c r="AU173" s="162"/>
      <c r="AV173" s="162"/>
      <c r="AW173" s="162"/>
      <c r="AX173" s="162"/>
      <c r="AY173" s="162"/>
      <c r="AZ173" s="162"/>
      <c r="BA173" s="162"/>
      <c r="BB173" s="162"/>
      <c r="BC173" s="162"/>
      <c r="BD173" s="162"/>
      <c r="BE173" s="162"/>
      <c r="BF173" s="162"/>
      <c r="BG173" s="162"/>
      <c r="BH173" s="162"/>
      <c r="BI173" s="162"/>
      <c r="BJ173" s="162"/>
      <c r="BK173" s="162"/>
      <c r="BL173" s="162"/>
      <c r="BM173" s="162"/>
      <c r="BN173" s="162"/>
      <c r="BO173" s="162"/>
      <c r="BP173" s="162"/>
      <c r="BQ173" s="162"/>
      <c r="BR173" s="162"/>
      <c r="BS173" s="162"/>
      <c r="BT173" s="162"/>
      <c r="BU173" s="162"/>
      <c r="BV173" s="162"/>
      <c r="BW173" s="162"/>
      <c r="BX173" s="162"/>
      <c r="BY173" s="162"/>
      <c r="BZ173" s="162"/>
      <c r="CA173" s="162"/>
      <c r="CB173" s="162"/>
      <c r="CC173" s="162"/>
      <c r="CD173" s="162"/>
      <c r="CE173" s="162"/>
      <c r="CF173" s="162"/>
      <c r="CG173" s="162"/>
      <c r="CH173" s="162"/>
      <c r="CI173" s="162"/>
      <c r="CJ173" s="162"/>
      <c r="CK173" s="162"/>
      <c r="CL173" s="162"/>
      <c r="CM173" s="162"/>
      <c r="CN173" s="162"/>
      <c r="CO173" s="162"/>
      <c r="CP173" s="162"/>
      <c r="CQ173" s="162"/>
      <c r="CR173" s="162"/>
      <c r="CS173" s="162"/>
      <c r="CT173" s="162"/>
      <c r="CU173" s="162"/>
      <c r="CV173" s="162"/>
      <c r="CW173" s="162"/>
      <c r="CX173" s="162"/>
      <c r="CY173" s="162"/>
      <c r="CZ173" s="162"/>
      <c r="DA173" s="162"/>
      <c r="DB173" s="162"/>
      <c r="DC173" s="162"/>
      <c r="DD173" s="162"/>
      <c r="DE173" s="162"/>
      <c r="DF173" s="162"/>
      <c r="DG173" s="162"/>
      <c r="DH173" s="162"/>
      <c r="DI173" s="162"/>
      <c r="DJ173" s="162"/>
      <c r="DK173" s="162"/>
      <c r="DL173" s="162"/>
      <c r="DM173" s="162"/>
      <c r="DN173" s="162"/>
      <c r="DO173" s="162"/>
      <c r="DP173" s="162"/>
      <c r="DQ173" s="162"/>
      <c r="DR173" s="162"/>
      <c r="DS173" s="162"/>
      <c r="DT173" s="162"/>
      <c r="DU173" s="162"/>
      <c r="DV173" s="162"/>
      <c r="DW173" s="162"/>
      <c r="DX173" s="162"/>
      <c r="DY173" s="162"/>
      <c r="DZ173" s="162"/>
      <c r="EA173" s="162"/>
      <c r="EB173" s="162"/>
      <c r="EC173" s="162"/>
      <c r="ED173" s="1319"/>
      <c r="EE173" s="162"/>
      <c r="EF173" s="162"/>
      <c r="EG173" s="162"/>
      <c r="EH173" s="162"/>
      <c r="EI173" s="162"/>
      <c r="EJ173" s="162"/>
      <c r="EK173" s="162"/>
      <c r="EL173" s="162"/>
      <c r="EM173" s="162"/>
      <c r="EN173" s="162"/>
      <c r="EO173" s="162"/>
      <c r="EP173" s="162"/>
      <c r="EQ173" s="162"/>
    </row>
    <row r="174" spans="3:147" ht="11.25" customHeight="1">
      <c r="C174" s="163"/>
      <c r="D174" s="164" t="s">
        <v>230</v>
      </c>
      <c r="E174" s="165"/>
      <c r="F174" s="165"/>
      <c r="G174" s="165"/>
      <c r="H174" s="166"/>
      <c r="I174" s="221"/>
      <c r="J174" s="167"/>
      <c r="K174" s="98"/>
      <c r="L174" s="168">
        <f>K177</f>
        <v>0</v>
      </c>
      <c r="M174" s="168">
        <f t="shared" ref="M174:BX174" si="397">L177</f>
        <v>0</v>
      </c>
      <c r="N174" s="168">
        <f t="shared" si="397"/>
        <v>10753.675833333333</v>
      </c>
      <c r="O174" s="168">
        <f t="shared" si="397"/>
        <v>0</v>
      </c>
      <c r="P174" s="168">
        <f t="shared" si="397"/>
        <v>10753.675833333333</v>
      </c>
      <c r="Q174" s="168">
        <f t="shared" si="397"/>
        <v>21507.351666666666</v>
      </c>
      <c r="R174" s="168">
        <f t="shared" si="397"/>
        <v>32261.027499999997</v>
      </c>
      <c r="S174" s="168">
        <f t="shared" si="397"/>
        <v>43014.703333333331</v>
      </c>
      <c r="T174" s="168">
        <f t="shared" si="397"/>
        <v>53768.379166666666</v>
      </c>
      <c r="U174" s="168">
        <f t="shared" si="397"/>
        <v>64522.055</v>
      </c>
      <c r="V174" s="168">
        <f t="shared" si="397"/>
        <v>75275.730833333335</v>
      </c>
      <c r="W174" s="168">
        <f t="shared" si="397"/>
        <v>86029.406666666662</v>
      </c>
      <c r="X174" s="168">
        <f t="shared" si="397"/>
        <v>96783.08249999999</v>
      </c>
      <c r="Y174" s="168">
        <f t="shared" si="397"/>
        <v>107536.75833333332</v>
      </c>
      <c r="Z174" s="168">
        <f t="shared" si="397"/>
        <v>118505.50768333332</v>
      </c>
      <c r="AA174" s="168">
        <f t="shared" si="397"/>
        <v>0</v>
      </c>
      <c r="AB174" s="168">
        <f t="shared" si="397"/>
        <v>10968.74935</v>
      </c>
      <c r="AC174" s="168">
        <f t="shared" si="397"/>
        <v>21937.4987</v>
      </c>
      <c r="AD174" s="168">
        <f t="shared" si="397"/>
        <v>32906.248050000002</v>
      </c>
      <c r="AE174" s="168">
        <f t="shared" si="397"/>
        <v>43874.9974</v>
      </c>
      <c r="AF174" s="168">
        <f t="shared" si="397"/>
        <v>54843.746749999998</v>
      </c>
      <c r="AG174" s="168">
        <f t="shared" si="397"/>
        <v>65812.496100000004</v>
      </c>
      <c r="AH174" s="168">
        <f t="shared" si="397"/>
        <v>76781.245450000002</v>
      </c>
      <c r="AI174" s="168">
        <f t="shared" si="397"/>
        <v>87749.9948</v>
      </c>
      <c r="AJ174" s="168">
        <f t="shared" si="397"/>
        <v>98718.744149999999</v>
      </c>
      <c r="AK174" s="168">
        <f t="shared" si="397"/>
        <v>109687.4935</v>
      </c>
      <c r="AL174" s="168">
        <f t="shared" si="397"/>
        <v>120875.617837</v>
      </c>
      <c r="AM174" s="168">
        <f t="shared" si="397"/>
        <v>0</v>
      </c>
      <c r="AN174" s="168">
        <f t="shared" si="397"/>
        <v>11188.124336999999</v>
      </c>
      <c r="AO174" s="168">
        <f t="shared" si="397"/>
        <v>22376.248673999999</v>
      </c>
      <c r="AP174" s="168">
        <f t="shared" si="397"/>
        <v>33564.373010999996</v>
      </c>
      <c r="AQ174" s="168">
        <f t="shared" si="397"/>
        <v>44752.497347999997</v>
      </c>
      <c r="AR174" s="168">
        <f t="shared" si="397"/>
        <v>55940.621684999998</v>
      </c>
      <c r="AS174" s="168">
        <f t="shared" si="397"/>
        <v>67128.746021999992</v>
      </c>
      <c r="AT174" s="168">
        <f t="shared" si="397"/>
        <v>78316.870358999993</v>
      </c>
      <c r="AU174" s="168">
        <f t="shared" si="397"/>
        <v>89504.994695999994</v>
      </c>
      <c r="AV174" s="168">
        <f t="shared" si="397"/>
        <v>100693.119033</v>
      </c>
      <c r="AW174" s="168">
        <f t="shared" si="397"/>
        <v>111881.24337</v>
      </c>
      <c r="AX174" s="168">
        <f t="shared" si="397"/>
        <v>123293.13019374</v>
      </c>
      <c r="AY174" s="168">
        <f t="shared" si="397"/>
        <v>0</v>
      </c>
      <c r="AZ174" s="168">
        <f t="shared" si="397"/>
        <v>11411.886823739998</v>
      </c>
      <c r="BA174" s="168">
        <f t="shared" si="397"/>
        <v>22823.773647479997</v>
      </c>
      <c r="BB174" s="168">
        <f t="shared" si="397"/>
        <v>34235.660471219991</v>
      </c>
      <c r="BC174" s="168">
        <f t="shared" si="397"/>
        <v>45647.547294959993</v>
      </c>
      <c r="BD174" s="168">
        <f t="shared" si="397"/>
        <v>57059.434118699995</v>
      </c>
      <c r="BE174" s="168">
        <f t="shared" si="397"/>
        <v>68471.320942439997</v>
      </c>
      <c r="BF174" s="168">
        <f t="shared" si="397"/>
        <v>79883.207766179999</v>
      </c>
      <c r="BG174" s="168">
        <f t="shared" si="397"/>
        <v>91295.094589920001</v>
      </c>
      <c r="BH174" s="168">
        <f t="shared" si="397"/>
        <v>102706.98141366</v>
      </c>
      <c r="BI174" s="168">
        <f t="shared" si="397"/>
        <v>114118.86823740001</v>
      </c>
      <c r="BJ174" s="168">
        <f t="shared" si="397"/>
        <v>125758.9927976148</v>
      </c>
      <c r="BK174" s="168">
        <f t="shared" si="397"/>
        <v>0</v>
      </c>
      <c r="BL174" s="168">
        <f t="shared" si="397"/>
        <v>11640.124560214799</v>
      </c>
      <c r="BM174" s="168">
        <f t="shared" si="397"/>
        <v>23280.249120429598</v>
      </c>
      <c r="BN174" s="168">
        <f t="shared" si="397"/>
        <v>34920.373680644399</v>
      </c>
      <c r="BO174" s="168">
        <f t="shared" si="397"/>
        <v>46560.498240859197</v>
      </c>
      <c r="BP174" s="168">
        <f t="shared" si="397"/>
        <v>58200.622801073994</v>
      </c>
      <c r="BQ174" s="168">
        <f t="shared" si="397"/>
        <v>69840.747361288799</v>
      </c>
      <c r="BR174" s="168">
        <f t="shared" si="397"/>
        <v>81480.871921503596</v>
      </c>
      <c r="BS174" s="168">
        <f t="shared" si="397"/>
        <v>93120.996481718394</v>
      </c>
      <c r="BT174" s="168">
        <f t="shared" si="397"/>
        <v>104761.12104193319</v>
      </c>
      <c r="BU174" s="168">
        <f t="shared" si="397"/>
        <v>116401.24560214799</v>
      </c>
      <c r="BV174" s="168">
        <f t="shared" si="397"/>
        <v>128274.17265356709</v>
      </c>
      <c r="BW174" s="168">
        <f t="shared" si="397"/>
        <v>0</v>
      </c>
      <c r="BX174" s="168">
        <f t="shared" si="397"/>
        <v>11872.927051419096</v>
      </c>
      <c r="BY174" s="168">
        <f t="shared" ref="BY174:DT174" si="398">BX177</f>
        <v>23745.854102838191</v>
      </c>
      <c r="BZ174" s="168">
        <f t="shared" si="398"/>
        <v>35618.781154257289</v>
      </c>
      <c r="CA174" s="168">
        <f t="shared" si="398"/>
        <v>47491.708205676383</v>
      </c>
      <c r="CB174" s="168">
        <f t="shared" si="398"/>
        <v>59364.635257095477</v>
      </c>
      <c r="CC174" s="168">
        <f t="shared" si="398"/>
        <v>71237.562308514578</v>
      </c>
      <c r="CD174" s="168">
        <f t="shared" si="398"/>
        <v>83110.489359933679</v>
      </c>
      <c r="CE174" s="168">
        <f t="shared" si="398"/>
        <v>94983.41641135278</v>
      </c>
      <c r="CF174" s="168">
        <f t="shared" si="398"/>
        <v>106856.34346277188</v>
      </c>
      <c r="CG174" s="168">
        <f t="shared" si="398"/>
        <v>118729.27051419098</v>
      </c>
      <c r="CH174" s="168">
        <f t="shared" si="398"/>
        <v>130839.65610663846</v>
      </c>
      <c r="CI174" s="168">
        <f t="shared" si="398"/>
        <v>0</v>
      </c>
      <c r="CJ174" s="168">
        <f t="shared" si="398"/>
        <v>12110.385592447477</v>
      </c>
      <c r="CK174" s="168">
        <f t="shared" si="398"/>
        <v>24220.771184894955</v>
      </c>
      <c r="CL174" s="168">
        <f t="shared" si="398"/>
        <v>36331.156777342432</v>
      </c>
      <c r="CM174" s="168">
        <f t="shared" si="398"/>
        <v>48441.54236978991</v>
      </c>
      <c r="CN174" s="168">
        <f t="shared" si="398"/>
        <v>60551.927962237387</v>
      </c>
      <c r="CO174" s="168">
        <f t="shared" si="398"/>
        <v>72662.313554684864</v>
      </c>
      <c r="CP174" s="168">
        <f t="shared" si="398"/>
        <v>84772.699147132342</v>
      </c>
      <c r="CQ174" s="168">
        <f t="shared" si="398"/>
        <v>96883.084739579819</v>
      </c>
      <c r="CR174" s="168">
        <f t="shared" si="398"/>
        <v>108993.4703320273</v>
      </c>
      <c r="CS174" s="168">
        <f t="shared" si="398"/>
        <v>121103.85592447477</v>
      </c>
      <c r="CT174" s="168">
        <f t="shared" si="398"/>
        <v>133456.44922877121</v>
      </c>
      <c r="CU174" s="168">
        <f t="shared" si="398"/>
        <v>0</v>
      </c>
      <c r="CV174" s="168">
        <f t="shared" si="398"/>
        <v>12352.593304296424</v>
      </c>
      <c r="CW174" s="168">
        <f t="shared" si="398"/>
        <v>24705.186608592849</v>
      </c>
      <c r="CX174" s="168">
        <f t="shared" si="398"/>
        <v>37057.779912889273</v>
      </c>
      <c r="CY174" s="168">
        <f t="shared" si="398"/>
        <v>49410.373217185697</v>
      </c>
      <c r="CZ174" s="168">
        <f t="shared" si="398"/>
        <v>61762.966521482122</v>
      </c>
      <c r="DA174" s="168">
        <f t="shared" si="398"/>
        <v>74115.559825778546</v>
      </c>
      <c r="DB174" s="168">
        <f t="shared" si="398"/>
        <v>86468.153130074963</v>
      </c>
      <c r="DC174" s="168">
        <f t="shared" si="398"/>
        <v>98820.746434371395</v>
      </c>
      <c r="DD174" s="168">
        <f t="shared" si="398"/>
        <v>111173.33973866783</v>
      </c>
      <c r="DE174" s="168">
        <f t="shared" si="398"/>
        <v>123525.93304296426</v>
      </c>
      <c r="DF174" s="168">
        <f t="shared" si="398"/>
        <v>136125.5782133466</v>
      </c>
      <c r="DG174" s="168">
        <f t="shared" si="398"/>
        <v>0</v>
      </c>
      <c r="DH174" s="168">
        <f t="shared" si="398"/>
        <v>12599.645170382355</v>
      </c>
      <c r="DI174" s="168">
        <f t="shared" si="398"/>
        <v>25199.29034076471</v>
      </c>
      <c r="DJ174" s="168">
        <f t="shared" si="398"/>
        <v>37798.935511147065</v>
      </c>
      <c r="DK174" s="168">
        <f t="shared" si="398"/>
        <v>50398.58068152942</v>
      </c>
      <c r="DL174" s="168">
        <f t="shared" si="398"/>
        <v>62998.225851911775</v>
      </c>
      <c r="DM174" s="168">
        <f t="shared" si="398"/>
        <v>75597.87102229413</v>
      </c>
      <c r="DN174" s="168">
        <f t="shared" si="398"/>
        <v>88197.516192676485</v>
      </c>
      <c r="DO174" s="168">
        <f t="shared" si="398"/>
        <v>100797.16136305884</v>
      </c>
      <c r="DP174" s="168">
        <f t="shared" si="398"/>
        <v>113396.80653344119</v>
      </c>
      <c r="DQ174" s="168">
        <f t="shared" si="398"/>
        <v>125996.45170382355</v>
      </c>
      <c r="DR174" s="168">
        <f t="shared" si="398"/>
        <v>138848.08977761355</v>
      </c>
      <c r="DS174" s="168">
        <f t="shared" si="398"/>
        <v>0</v>
      </c>
      <c r="DT174" s="168">
        <f t="shared" si="398"/>
        <v>12851.638073790002</v>
      </c>
      <c r="DU174" s="168">
        <f t="shared" ref="DU174:EQ174" si="399">DT177</f>
        <v>25703.276147580003</v>
      </c>
      <c r="DV174" s="168">
        <f t="shared" si="399"/>
        <v>38554.914221370003</v>
      </c>
      <c r="DW174" s="168">
        <f t="shared" si="399"/>
        <v>51406.552295160007</v>
      </c>
      <c r="DX174" s="168">
        <f t="shared" si="399"/>
        <v>64258.19036895001</v>
      </c>
      <c r="DY174" s="168">
        <f t="shared" si="399"/>
        <v>77109.828442740007</v>
      </c>
      <c r="DZ174" s="168">
        <f t="shared" si="399"/>
        <v>89961.46651653001</v>
      </c>
      <c r="EA174" s="168">
        <f t="shared" si="399"/>
        <v>102813.10459032001</v>
      </c>
      <c r="EB174" s="168">
        <f t="shared" si="399"/>
        <v>115664.74266411002</v>
      </c>
      <c r="EC174" s="168">
        <f t="shared" si="399"/>
        <v>0</v>
      </c>
      <c r="ED174" s="1320">
        <f t="shared" si="399"/>
        <v>0</v>
      </c>
      <c r="EE174" s="168">
        <f t="shared" si="399"/>
        <v>0</v>
      </c>
      <c r="EF174" s="168">
        <f t="shared" si="399"/>
        <v>0</v>
      </c>
      <c r="EG174" s="168">
        <f t="shared" si="399"/>
        <v>0</v>
      </c>
      <c r="EH174" s="168">
        <f t="shared" si="399"/>
        <v>0</v>
      </c>
      <c r="EI174" s="168">
        <f t="shared" si="399"/>
        <v>0</v>
      </c>
      <c r="EJ174" s="168">
        <f t="shared" si="399"/>
        <v>0</v>
      </c>
      <c r="EK174" s="168">
        <f t="shared" si="399"/>
        <v>0</v>
      </c>
      <c r="EL174" s="168">
        <f t="shared" si="399"/>
        <v>0</v>
      </c>
      <c r="EM174" s="168">
        <f t="shared" si="399"/>
        <v>0</v>
      </c>
      <c r="EN174" s="168">
        <f t="shared" si="399"/>
        <v>0</v>
      </c>
      <c r="EO174" s="168">
        <f t="shared" si="399"/>
        <v>0</v>
      </c>
      <c r="EP174" s="168">
        <f t="shared" si="399"/>
        <v>0</v>
      </c>
      <c r="EQ174" s="168">
        <f t="shared" si="399"/>
        <v>0</v>
      </c>
    </row>
    <row r="175" spans="3:147" ht="11.25" customHeight="1">
      <c r="C175" s="163"/>
      <c r="D175" s="169" t="s">
        <v>231</v>
      </c>
      <c r="I175" s="90"/>
      <c r="J175" s="170">
        <f>SUM(L175:EQ175)</f>
        <v>1412997.001159481</v>
      </c>
      <c r="K175" s="98"/>
      <c r="L175" s="171">
        <f>'NOI(M)'!M28</f>
        <v>0</v>
      </c>
      <c r="M175" s="171">
        <f>'NOI(M)'!N28</f>
        <v>10753.675833333333</v>
      </c>
      <c r="N175" s="171">
        <f>'NOI(M)'!O28</f>
        <v>10753.675833333333</v>
      </c>
      <c r="O175" s="171">
        <f>'NOI(M)'!P28</f>
        <v>10753.675833333333</v>
      </c>
      <c r="P175" s="171">
        <f>'NOI(M)'!Q28</f>
        <v>10753.675833333333</v>
      </c>
      <c r="Q175" s="171">
        <f>'NOI(M)'!R28</f>
        <v>10753.675833333333</v>
      </c>
      <c r="R175" s="171">
        <f>'NOI(M)'!S28</f>
        <v>10753.675833333333</v>
      </c>
      <c r="S175" s="171">
        <f>'NOI(M)'!T28</f>
        <v>10753.675833333333</v>
      </c>
      <c r="T175" s="171">
        <f>'NOI(M)'!U28</f>
        <v>10753.675833333333</v>
      </c>
      <c r="U175" s="171">
        <f>'NOI(M)'!V28</f>
        <v>10753.675833333333</v>
      </c>
      <c r="V175" s="171">
        <f>'NOI(M)'!W28</f>
        <v>10753.675833333333</v>
      </c>
      <c r="W175" s="171">
        <f>'NOI(M)'!X28</f>
        <v>10753.675833333333</v>
      </c>
      <c r="X175" s="171">
        <f>'NOI(M)'!Y28</f>
        <v>10753.675833333333</v>
      </c>
      <c r="Y175" s="171">
        <f>'NOI(M)'!Z28</f>
        <v>10968.74935</v>
      </c>
      <c r="Z175" s="171">
        <f>'NOI(M)'!AA28</f>
        <v>10968.74935</v>
      </c>
      <c r="AA175" s="171">
        <f>'NOI(M)'!AB28</f>
        <v>10968.74935</v>
      </c>
      <c r="AB175" s="171">
        <f>'NOI(M)'!AC28</f>
        <v>10968.74935</v>
      </c>
      <c r="AC175" s="171">
        <f>'NOI(M)'!AD28</f>
        <v>10968.74935</v>
      </c>
      <c r="AD175" s="171">
        <f>'NOI(M)'!AE28</f>
        <v>10968.74935</v>
      </c>
      <c r="AE175" s="171">
        <f>'NOI(M)'!AF28</f>
        <v>10968.74935</v>
      </c>
      <c r="AF175" s="171">
        <f>'NOI(M)'!AG28</f>
        <v>10968.74935</v>
      </c>
      <c r="AG175" s="171">
        <f>'NOI(M)'!AH28</f>
        <v>10968.74935</v>
      </c>
      <c r="AH175" s="171">
        <f>'NOI(M)'!AI28</f>
        <v>10968.74935</v>
      </c>
      <c r="AI175" s="171">
        <f>'NOI(M)'!AJ28</f>
        <v>10968.74935</v>
      </c>
      <c r="AJ175" s="171">
        <f>'NOI(M)'!AK28</f>
        <v>10968.74935</v>
      </c>
      <c r="AK175" s="171">
        <f>'NOI(M)'!AL28</f>
        <v>11188.124336999999</v>
      </c>
      <c r="AL175" s="171">
        <f>'NOI(M)'!AM28</f>
        <v>11188.124336999999</v>
      </c>
      <c r="AM175" s="171">
        <f>'NOI(M)'!AN28</f>
        <v>11188.124336999999</v>
      </c>
      <c r="AN175" s="171">
        <f>'NOI(M)'!AO28</f>
        <v>11188.124336999999</v>
      </c>
      <c r="AO175" s="171">
        <f>'NOI(M)'!AP28</f>
        <v>11188.124336999999</v>
      </c>
      <c r="AP175" s="171">
        <f>'NOI(M)'!AQ28</f>
        <v>11188.124336999999</v>
      </c>
      <c r="AQ175" s="171">
        <f>'NOI(M)'!AR28</f>
        <v>11188.124336999999</v>
      </c>
      <c r="AR175" s="171">
        <f>'NOI(M)'!AS28</f>
        <v>11188.124336999999</v>
      </c>
      <c r="AS175" s="171">
        <f>'NOI(M)'!AT28</f>
        <v>11188.124336999999</v>
      </c>
      <c r="AT175" s="171">
        <f>'NOI(M)'!AU28</f>
        <v>11188.124336999999</v>
      </c>
      <c r="AU175" s="171">
        <f>'NOI(M)'!AV28</f>
        <v>11188.124336999999</v>
      </c>
      <c r="AV175" s="171">
        <f>'NOI(M)'!AW28</f>
        <v>11188.124336999999</v>
      </c>
      <c r="AW175" s="171">
        <f>'NOI(M)'!AX28</f>
        <v>11411.886823739998</v>
      </c>
      <c r="AX175" s="171">
        <f>'NOI(M)'!AY28</f>
        <v>11411.886823739998</v>
      </c>
      <c r="AY175" s="171">
        <f>'NOI(M)'!AZ28</f>
        <v>11411.886823739998</v>
      </c>
      <c r="AZ175" s="171">
        <f>'NOI(M)'!BA28</f>
        <v>11411.886823739998</v>
      </c>
      <c r="BA175" s="171">
        <f>'NOI(M)'!BB28</f>
        <v>11411.886823739998</v>
      </c>
      <c r="BB175" s="171">
        <f>'NOI(M)'!BC28</f>
        <v>11411.886823739998</v>
      </c>
      <c r="BC175" s="171">
        <f>'NOI(M)'!BD28</f>
        <v>11411.886823739998</v>
      </c>
      <c r="BD175" s="171">
        <f>'NOI(M)'!BE28</f>
        <v>11411.886823739998</v>
      </c>
      <c r="BE175" s="171">
        <f>'NOI(M)'!BF28</f>
        <v>11411.886823739998</v>
      </c>
      <c r="BF175" s="171">
        <f>'NOI(M)'!BG28</f>
        <v>11411.886823739998</v>
      </c>
      <c r="BG175" s="171">
        <f>'NOI(M)'!BH28</f>
        <v>11411.886823739998</v>
      </c>
      <c r="BH175" s="171">
        <f>'NOI(M)'!BI28</f>
        <v>11411.886823739998</v>
      </c>
      <c r="BI175" s="171">
        <f>'NOI(M)'!BJ28</f>
        <v>11640.124560214799</v>
      </c>
      <c r="BJ175" s="171">
        <f>'NOI(M)'!BK28</f>
        <v>11640.124560214799</v>
      </c>
      <c r="BK175" s="171">
        <f>'NOI(M)'!BL28</f>
        <v>11640.124560214799</v>
      </c>
      <c r="BL175" s="171">
        <f>'NOI(M)'!BM28</f>
        <v>11640.124560214799</v>
      </c>
      <c r="BM175" s="171">
        <f>'NOI(M)'!BN28</f>
        <v>11640.124560214799</v>
      </c>
      <c r="BN175" s="171">
        <f>'NOI(M)'!BO28</f>
        <v>11640.124560214799</v>
      </c>
      <c r="BO175" s="171">
        <f>'NOI(M)'!BP28</f>
        <v>11640.124560214799</v>
      </c>
      <c r="BP175" s="171">
        <f>'NOI(M)'!BQ28</f>
        <v>11640.124560214799</v>
      </c>
      <c r="BQ175" s="171">
        <f>'NOI(M)'!BR28</f>
        <v>11640.124560214799</v>
      </c>
      <c r="BR175" s="171">
        <f>'NOI(M)'!BS28</f>
        <v>11640.124560214799</v>
      </c>
      <c r="BS175" s="171">
        <f>'NOI(M)'!BT28</f>
        <v>11640.124560214799</v>
      </c>
      <c r="BT175" s="171">
        <f>'NOI(M)'!BU28</f>
        <v>11640.124560214799</v>
      </c>
      <c r="BU175" s="171">
        <f>'NOI(M)'!BV28</f>
        <v>11872.927051419096</v>
      </c>
      <c r="BV175" s="171">
        <f>'NOI(M)'!BW28</f>
        <v>11872.927051419096</v>
      </c>
      <c r="BW175" s="171">
        <f>'NOI(M)'!BX28</f>
        <v>11872.927051419096</v>
      </c>
      <c r="BX175" s="171">
        <f>'NOI(M)'!BY28</f>
        <v>11872.927051419096</v>
      </c>
      <c r="BY175" s="171">
        <f>'NOI(M)'!BZ28</f>
        <v>11872.927051419096</v>
      </c>
      <c r="BZ175" s="171">
        <f>'NOI(M)'!CA28</f>
        <v>11872.927051419096</v>
      </c>
      <c r="CA175" s="171">
        <f>'NOI(M)'!CB28</f>
        <v>11872.927051419096</v>
      </c>
      <c r="CB175" s="171">
        <f>'NOI(M)'!CC28</f>
        <v>11872.927051419096</v>
      </c>
      <c r="CC175" s="171">
        <f>'NOI(M)'!CD28</f>
        <v>11872.927051419096</v>
      </c>
      <c r="CD175" s="171">
        <f>'NOI(M)'!CE28</f>
        <v>11872.927051419096</v>
      </c>
      <c r="CE175" s="171">
        <f>'NOI(M)'!CF28</f>
        <v>11872.927051419096</v>
      </c>
      <c r="CF175" s="171">
        <f>'NOI(M)'!CG28</f>
        <v>11872.927051419096</v>
      </c>
      <c r="CG175" s="171">
        <f>'NOI(M)'!CH28</f>
        <v>12110.385592447477</v>
      </c>
      <c r="CH175" s="171">
        <f>'NOI(M)'!CI28</f>
        <v>12110.385592447477</v>
      </c>
      <c r="CI175" s="171">
        <f>'NOI(M)'!CJ28</f>
        <v>12110.385592447477</v>
      </c>
      <c r="CJ175" s="171">
        <f>'NOI(M)'!CK28</f>
        <v>12110.385592447477</v>
      </c>
      <c r="CK175" s="171">
        <f>'NOI(M)'!CL28</f>
        <v>12110.385592447477</v>
      </c>
      <c r="CL175" s="171">
        <f>'NOI(M)'!CM28</f>
        <v>12110.385592447477</v>
      </c>
      <c r="CM175" s="171">
        <f>'NOI(M)'!CN28</f>
        <v>12110.385592447477</v>
      </c>
      <c r="CN175" s="171">
        <f>'NOI(M)'!CO28</f>
        <v>12110.385592447477</v>
      </c>
      <c r="CO175" s="171">
        <f>'NOI(M)'!CP28</f>
        <v>12110.385592447477</v>
      </c>
      <c r="CP175" s="171">
        <f>'NOI(M)'!CQ28</f>
        <v>12110.385592447477</v>
      </c>
      <c r="CQ175" s="171">
        <f>'NOI(M)'!CR28</f>
        <v>12110.385592447477</v>
      </c>
      <c r="CR175" s="171">
        <f>'NOI(M)'!CS28</f>
        <v>12110.385592447477</v>
      </c>
      <c r="CS175" s="171">
        <f>'NOI(M)'!CT28</f>
        <v>12352.593304296424</v>
      </c>
      <c r="CT175" s="171">
        <f>'NOI(M)'!CU28</f>
        <v>12352.593304296424</v>
      </c>
      <c r="CU175" s="171">
        <f>'NOI(M)'!CV28</f>
        <v>12352.593304296424</v>
      </c>
      <c r="CV175" s="171">
        <f>'NOI(M)'!CW28</f>
        <v>12352.593304296424</v>
      </c>
      <c r="CW175" s="171">
        <f>'NOI(M)'!CX28</f>
        <v>12352.593304296424</v>
      </c>
      <c r="CX175" s="171">
        <f>'NOI(M)'!CY28</f>
        <v>12352.593304296424</v>
      </c>
      <c r="CY175" s="171">
        <f>'NOI(M)'!CZ28</f>
        <v>12352.593304296424</v>
      </c>
      <c r="CZ175" s="171">
        <f>'NOI(M)'!DA28</f>
        <v>12352.593304296424</v>
      </c>
      <c r="DA175" s="171">
        <f>'NOI(M)'!DB28</f>
        <v>12352.593304296424</v>
      </c>
      <c r="DB175" s="171">
        <f>'NOI(M)'!DC28</f>
        <v>12352.593304296424</v>
      </c>
      <c r="DC175" s="171">
        <f>'NOI(M)'!DD28</f>
        <v>12352.593304296424</v>
      </c>
      <c r="DD175" s="171">
        <f>'NOI(M)'!DE28</f>
        <v>12352.593304296424</v>
      </c>
      <c r="DE175" s="171">
        <f>'NOI(M)'!DF28</f>
        <v>12599.645170382355</v>
      </c>
      <c r="DF175" s="171">
        <f>'NOI(M)'!DG28</f>
        <v>12599.645170382355</v>
      </c>
      <c r="DG175" s="171">
        <f>'NOI(M)'!DH28</f>
        <v>12599.645170382355</v>
      </c>
      <c r="DH175" s="171">
        <f>'NOI(M)'!DI28</f>
        <v>12599.645170382355</v>
      </c>
      <c r="DI175" s="171">
        <f>'NOI(M)'!DJ28</f>
        <v>12599.645170382355</v>
      </c>
      <c r="DJ175" s="171">
        <f>'NOI(M)'!DK28</f>
        <v>12599.645170382355</v>
      </c>
      <c r="DK175" s="171">
        <f>'NOI(M)'!DL28</f>
        <v>12599.645170382355</v>
      </c>
      <c r="DL175" s="171">
        <f>'NOI(M)'!DM28</f>
        <v>12599.645170382355</v>
      </c>
      <c r="DM175" s="171">
        <f>'NOI(M)'!DN28</f>
        <v>12599.645170382355</v>
      </c>
      <c r="DN175" s="171">
        <f>'NOI(M)'!DO28</f>
        <v>12599.645170382355</v>
      </c>
      <c r="DO175" s="171">
        <f>'NOI(M)'!DP28</f>
        <v>12599.645170382355</v>
      </c>
      <c r="DP175" s="171">
        <f>'NOI(M)'!DQ28</f>
        <v>12599.645170382355</v>
      </c>
      <c r="DQ175" s="171">
        <f>'NOI(M)'!DR28</f>
        <v>12851.638073790002</v>
      </c>
      <c r="DR175" s="171">
        <f>'NOI(M)'!DS28</f>
        <v>12851.638073790002</v>
      </c>
      <c r="DS175" s="171">
        <f>'NOI(M)'!DT28</f>
        <v>12851.638073790002</v>
      </c>
      <c r="DT175" s="171">
        <f>'NOI(M)'!DU28</f>
        <v>12851.638073790002</v>
      </c>
      <c r="DU175" s="171">
        <f>'NOI(M)'!DV28</f>
        <v>12851.638073790002</v>
      </c>
      <c r="DV175" s="171">
        <f>'NOI(M)'!DW28</f>
        <v>12851.638073790002</v>
      </c>
      <c r="DW175" s="171">
        <f>'NOI(M)'!DX28</f>
        <v>12851.638073790002</v>
      </c>
      <c r="DX175" s="171">
        <f>'NOI(M)'!DY28</f>
        <v>12851.638073790002</v>
      </c>
      <c r="DY175" s="171">
        <f>'NOI(M)'!DZ28</f>
        <v>12851.638073790002</v>
      </c>
      <c r="DZ175" s="171">
        <f>'NOI(M)'!EA28</f>
        <v>12851.638073790002</v>
      </c>
      <c r="EA175" s="171">
        <f>'NOI(M)'!EB28</f>
        <v>12851.638073790002</v>
      </c>
      <c r="EB175" s="171">
        <f>'NOI(M)'!EC28</f>
        <v>12851.638073790002</v>
      </c>
      <c r="EC175" s="171">
        <f>'NOI(M)'!ED28</f>
        <v>0</v>
      </c>
      <c r="ED175" s="1321">
        <f>'NOI(M)'!EE28</f>
        <v>0</v>
      </c>
      <c r="EE175" s="171">
        <f>'NOI(M)'!EF28</f>
        <v>0</v>
      </c>
      <c r="EF175" s="171">
        <f>'NOI(M)'!EG28</f>
        <v>0</v>
      </c>
      <c r="EG175" s="171">
        <f>'NOI(M)'!EH28</f>
        <v>0</v>
      </c>
      <c r="EH175" s="171">
        <f>'NOI(M)'!EI28</f>
        <v>0</v>
      </c>
      <c r="EI175" s="171">
        <f>'NOI(M)'!EJ28</f>
        <v>0</v>
      </c>
      <c r="EJ175" s="171">
        <f>'NOI(M)'!EK28</f>
        <v>0</v>
      </c>
      <c r="EK175" s="171">
        <f>'NOI(M)'!EL28</f>
        <v>0</v>
      </c>
      <c r="EL175" s="171">
        <f>'NOI(M)'!EM28</f>
        <v>0</v>
      </c>
      <c r="EM175" s="171">
        <f>'NOI(M)'!EN28</f>
        <v>0</v>
      </c>
      <c r="EN175" s="171">
        <f>'NOI(M)'!EO28</f>
        <v>0</v>
      </c>
      <c r="EO175" s="171">
        <f>'NOI(M)'!EP28</f>
        <v>0</v>
      </c>
      <c r="EP175" s="171">
        <f>'NOI(M)'!EQ28</f>
        <v>0</v>
      </c>
      <c r="EQ175" s="171">
        <f>'NOI(M)'!ER28</f>
        <v>0</v>
      </c>
    </row>
    <row r="176" spans="3:147" ht="11.25" customHeight="1">
      <c r="C176" s="163"/>
      <c r="D176" s="169" t="s">
        <v>232</v>
      </c>
      <c r="I176" s="248"/>
      <c r="J176" s="170">
        <f>SUM(L176:EQ176)</f>
        <v>1412997.0011594819</v>
      </c>
      <c r="K176" s="98"/>
      <c r="L176" s="171">
        <f>SUM(L174:L175)*Index!L$54</f>
        <v>0</v>
      </c>
      <c r="M176" s="171">
        <f>SUM(M174:M175)*Index!M$54</f>
        <v>0</v>
      </c>
      <c r="N176" s="171">
        <f>SUM(N174:N175)*Index!N$54</f>
        <v>21507.351666666666</v>
      </c>
      <c r="O176" s="171">
        <f>SUM(O174:O175)*Index!O$54</f>
        <v>0</v>
      </c>
      <c r="P176" s="171">
        <f>SUM(P174:P175)*Index!P$54</f>
        <v>0</v>
      </c>
      <c r="Q176" s="171">
        <f>SUM(Q174:Q175)*Index!Q$54</f>
        <v>0</v>
      </c>
      <c r="R176" s="171">
        <f>SUM(R174:R175)*Index!R$54</f>
        <v>0</v>
      </c>
      <c r="S176" s="171">
        <f>SUM(S174:S175)*Index!S$54</f>
        <v>0</v>
      </c>
      <c r="T176" s="171">
        <f>SUM(T174:T175)*Index!T$54</f>
        <v>0</v>
      </c>
      <c r="U176" s="171">
        <f>SUM(U174:U175)*Index!U$54</f>
        <v>0</v>
      </c>
      <c r="V176" s="171">
        <f>SUM(V174:V175)*Index!V$54</f>
        <v>0</v>
      </c>
      <c r="W176" s="171">
        <f>SUM(W174:W175)*Index!W$54</f>
        <v>0</v>
      </c>
      <c r="X176" s="171">
        <f>SUM(X174:X175)*Index!X$54</f>
        <v>0</v>
      </c>
      <c r="Y176" s="171">
        <f>SUM(Y174:Y175)*Index!Y$54</f>
        <v>0</v>
      </c>
      <c r="Z176" s="171">
        <f>SUM(Z174:Z175)*Index!Z$54</f>
        <v>129474.25703333331</v>
      </c>
      <c r="AA176" s="171">
        <f>SUM(AA174:AA175)*Index!AA$54</f>
        <v>0</v>
      </c>
      <c r="AB176" s="171">
        <f>SUM(AB174:AB175)*Index!AB$54</f>
        <v>0</v>
      </c>
      <c r="AC176" s="171">
        <f>SUM(AC174:AC175)*Index!AC$54</f>
        <v>0</v>
      </c>
      <c r="AD176" s="171">
        <f>SUM(AD174:AD175)*Index!AD$54</f>
        <v>0</v>
      </c>
      <c r="AE176" s="171">
        <f>SUM(AE174:AE175)*Index!AE$54</f>
        <v>0</v>
      </c>
      <c r="AF176" s="171">
        <f>SUM(AF174:AF175)*Index!AF$54</f>
        <v>0</v>
      </c>
      <c r="AG176" s="171">
        <f>SUM(AG174:AG175)*Index!AG$54</f>
        <v>0</v>
      </c>
      <c r="AH176" s="171">
        <f>SUM(AH174:AH175)*Index!AH$54</f>
        <v>0</v>
      </c>
      <c r="AI176" s="171">
        <f>SUM(AI174:AI175)*Index!AI$54</f>
        <v>0</v>
      </c>
      <c r="AJ176" s="171">
        <f>SUM(AJ174:AJ175)*Index!AJ$54</f>
        <v>0</v>
      </c>
      <c r="AK176" s="171">
        <f>SUM(AK174:AK175)*Index!AK$54</f>
        <v>0</v>
      </c>
      <c r="AL176" s="171">
        <f>SUM(AL174:AL175)*Index!AL$54</f>
        <v>132063.74217399998</v>
      </c>
      <c r="AM176" s="171">
        <f>SUM(AM174:AM175)*Index!AM$54</f>
        <v>0</v>
      </c>
      <c r="AN176" s="171">
        <f>SUM(AN174:AN175)*Index!AN$54</f>
        <v>0</v>
      </c>
      <c r="AO176" s="171">
        <f>SUM(AO174:AO175)*Index!AO$54</f>
        <v>0</v>
      </c>
      <c r="AP176" s="171">
        <f>SUM(AP174:AP175)*Index!AP$54</f>
        <v>0</v>
      </c>
      <c r="AQ176" s="171">
        <f>SUM(AQ174:AQ175)*Index!AQ$54</f>
        <v>0</v>
      </c>
      <c r="AR176" s="171">
        <f>SUM(AR174:AR175)*Index!AR$54</f>
        <v>0</v>
      </c>
      <c r="AS176" s="171">
        <f>SUM(AS174:AS175)*Index!AS$54</f>
        <v>0</v>
      </c>
      <c r="AT176" s="171">
        <f>SUM(AT174:AT175)*Index!AT$54</f>
        <v>0</v>
      </c>
      <c r="AU176" s="171">
        <f>SUM(AU174:AU175)*Index!AU$54</f>
        <v>0</v>
      </c>
      <c r="AV176" s="171">
        <f>SUM(AV174:AV175)*Index!AV$54</f>
        <v>0</v>
      </c>
      <c r="AW176" s="171">
        <f>SUM(AW174:AW175)*Index!AW$54</f>
        <v>0</v>
      </c>
      <c r="AX176" s="171">
        <f>SUM(AX174:AX175)*Index!AX$54</f>
        <v>134705.01701747999</v>
      </c>
      <c r="AY176" s="171">
        <f>SUM(AY174:AY175)*Index!AY$54</f>
        <v>0</v>
      </c>
      <c r="AZ176" s="171">
        <f>SUM(AZ174:AZ175)*Index!AZ$54</f>
        <v>0</v>
      </c>
      <c r="BA176" s="171">
        <f>SUM(BA174:BA175)*Index!BA$54</f>
        <v>0</v>
      </c>
      <c r="BB176" s="171">
        <f>SUM(BB174:BB175)*Index!BB$54</f>
        <v>0</v>
      </c>
      <c r="BC176" s="171">
        <f>SUM(BC174:BC175)*Index!BC$54</f>
        <v>0</v>
      </c>
      <c r="BD176" s="171">
        <f>SUM(BD174:BD175)*Index!BD$54</f>
        <v>0</v>
      </c>
      <c r="BE176" s="171">
        <f>SUM(BE174:BE175)*Index!BE$54</f>
        <v>0</v>
      </c>
      <c r="BF176" s="171">
        <f>SUM(BF174:BF175)*Index!BF$54</f>
        <v>0</v>
      </c>
      <c r="BG176" s="171">
        <f>SUM(BG174:BG175)*Index!BG$54</f>
        <v>0</v>
      </c>
      <c r="BH176" s="171">
        <f>SUM(BH174:BH175)*Index!BH$54</f>
        <v>0</v>
      </c>
      <c r="BI176" s="171">
        <f>SUM(BI174:BI175)*Index!BI$54</f>
        <v>0</v>
      </c>
      <c r="BJ176" s="171">
        <f>SUM(BJ174:BJ175)*Index!BJ$54</f>
        <v>137399.11735782961</v>
      </c>
      <c r="BK176" s="171">
        <f>SUM(BK174:BK175)*Index!BK$54</f>
        <v>0</v>
      </c>
      <c r="BL176" s="171">
        <f>SUM(BL174:BL175)*Index!BL$54</f>
        <v>0</v>
      </c>
      <c r="BM176" s="171">
        <f>SUM(BM174:BM175)*Index!BM$54</f>
        <v>0</v>
      </c>
      <c r="BN176" s="171">
        <f>SUM(BN174:BN175)*Index!BN$54</f>
        <v>0</v>
      </c>
      <c r="BO176" s="171">
        <f>SUM(BO174:BO175)*Index!BO$54</f>
        <v>0</v>
      </c>
      <c r="BP176" s="171">
        <f>SUM(BP174:BP175)*Index!BP$54</f>
        <v>0</v>
      </c>
      <c r="BQ176" s="171">
        <f>SUM(BQ174:BQ175)*Index!BQ$54</f>
        <v>0</v>
      </c>
      <c r="BR176" s="171">
        <f>SUM(BR174:BR175)*Index!BR$54</f>
        <v>0</v>
      </c>
      <c r="BS176" s="171">
        <f>SUM(BS174:BS175)*Index!BS$54</f>
        <v>0</v>
      </c>
      <c r="BT176" s="171">
        <f>SUM(BT174:BT175)*Index!BT$54</f>
        <v>0</v>
      </c>
      <c r="BU176" s="171">
        <f>SUM(BU174:BU175)*Index!BU$54</f>
        <v>0</v>
      </c>
      <c r="BV176" s="171">
        <f>SUM(BV174:BV175)*Index!BV$54</f>
        <v>140147.09970498618</v>
      </c>
      <c r="BW176" s="171">
        <f>SUM(BW174:BW175)*Index!BW$54</f>
        <v>0</v>
      </c>
      <c r="BX176" s="171">
        <f>SUM(BX174:BX175)*Index!BX$54</f>
        <v>0</v>
      </c>
      <c r="BY176" s="171">
        <f>SUM(BY174:BY175)*Index!BY$54</f>
        <v>0</v>
      </c>
      <c r="BZ176" s="171">
        <f>SUM(BZ174:BZ175)*Index!BZ$54</f>
        <v>0</v>
      </c>
      <c r="CA176" s="171">
        <f>SUM(CA174:CA175)*Index!CA$54</f>
        <v>0</v>
      </c>
      <c r="CB176" s="171">
        <f>SUM(CB174:CB175)*Index!CB$54</f>
        <v>0</v>
      </c>
      <c r="CC176" s="171">
        <f>SUM(CC174:CC175)*Index!CC$54</f>
        <v>0</v>
      </c>
      <c r="CD176" s="171">
        <f>SUM(CD174:CD175)*Index!CD$54</f>
        <v>0</v>
      </c>
      <c r="CE176" s="171">
        <f>SUM(CE174:CE175)*Index!CE$54</f>
        <v>0</v>
      </c>
      <c r="CF176" s="171">
        <f>SUM(CF174:CF175)*Index!CF$54</f>
        <v>0</v>
      </c>
      <c r="CG176" s="171">
        <f>SUM(CG174:CG175)*Index!CG$54</f>
        <v>0</v>
      </c>
      <c r="CH176" s="171">
        <f>SUM(CH174:CH175)*Index!CH$54</f>
        <v>142950.04169908594</v>
      </c>
      <c r="CI176" s="171">
        <f>SUM(CI174:CI175)*Index!CI$54</f>
        <v>0</v>
      </c>
      <c r="CJ176" s="171">
        <f>SUM(CJ174:CJ175)*Index!CJ$54</f>
        <v>0</v>
      </c>
      <c r="CK176" s="171">
        <f>SUM(CK174:CK175)*Index!CK$54</f>
        <v>0</v>
      </c>
      <c r="CL176" s="171">
        <f>SUM(CL174:CL175)*Index!CL$54</f>
        <v>0</v>
      </c>
      <c r="CM176" s="171">
        <f>SUM(CM174:CM175)*Index!CM$54</f>
        <v>0</v>
      </c>
      <c r="CN176" s="171">
        <f>SUM(CN174:CN175)*Index!CN$54</f>
        <v>0</v>
      </c>
      <c r="CO176" s="171">
        <f>SUM(CO174:CO175)*Index!CO$54</f>
        <v>0</v>
      </c>
      <c r="CP176" s="171">
        <f>SUM(CP174:CP175)*Index!CP$54</f>
        <v>0</v>
      </c>
      <c r="CQ176" s="171">
        <f>SUM(CQ174:CQ175)*Index!CQ$54</f>
        <v>0</v>
      </c>
      <c r="CR176" s="171">
        <f>SUM(CR174:CR175)*Index!CR$54</f>
        <v>0</v>
      </c>
      <c r="CS176" s="171">
        <f>SUM(CS174:CS175)*Index!CS$54</f>
        <v>0</v>
      </c>
      <c r="CT176" s="171">
        <f>SUM(CT174:CT175)*Index!CT$54</f>
        <v>145809.04253306764</v>
      </c>
      <c r="CU176" s="171">
        <f>SUM(CU174:CU175)*Index!CU$54</f>
        <v>0</v>
      </c>
      <c r="CV176" s="171">
        <f>SUM(CV174:CV175)*Index!CV$54</f>
        <v>0</v>
      </c>
      <c r="CW176" s="171">
        <f>SUM(CW174:CW175)*Index!CW$54</f>
        <v>0</v>
      </c>
      <c r="CX176" s="171">
        <f>SUM(CX174:CX175)*Index!CX$54</f>
        <v>0</v>
      </c>
      <c r="CY176" s="171">
        <f>SUM(CY174:CY175)*Index!CY$54</f>
        <v>0</v>
      </c>
      <c r="CZ176" s="171">
        <f>SUM(CZ174:CZ175)*Index!CZ$54</f>
        <v>0</v>
      </c>
      <c r="DA176" s="171">
        <f>SUM(DA174:DA175)*Index!DA$54</f>
        <v>0</v>
      </c>
      <c r="DB176" s="171">
        <f>SUM(DB174:DB175)*Index!DB$54</f>
        <v>0</v>
      </c>
      <c r="DC176" s="171">
        <f>SUM(DC174:DC175)*Index!DC$54</f>
        <v>0</v>
      </c>
      <c r="DD176" s="171">
        <f>SUM(DD174:DD175)*Index!DD$54</f>
        <v>0</v>
      </c>
      <c r="DE176" s="171">
        <f>SUM(DE174:DE175)*Index!DE$54</f>
        <v>0</v>
      </c>
      <c r="DF176" s="171">
        <f>SUM(DF174:DF175)*Index!DF$54</f>
        <v>148725.22338372894</v>
      </c>
      <c r="DG176" s="171">
        <f>SUM(DG174:DG175)*Index!DG$54</f>
        <v>0</v>
      </c>
      <c r="DH176" s="171">
        <f>SUM(DH174:DH175)*Index!DH$54</f>
        <v>0</v>
      </c>
      <c r="DI176" s="171">
        <f>SUM(DI174:DI175)*Index!DI$54</f>
        <v>0</v>
      </c>
      <c r="DJ176" s="171">
        <f>SUM(DJ174:DJ175)*Index!DJ$54</f>
        <v>0</v>
      </c>
      <c r="DK176" s="171">
        <f>SUM(DK174:DK175)*Index!DK$54</f>
        <v>0</v>
      </c>
      <c r="DL176" s="171">
        <f>SUM(DL174:DL175)*Index!DL$54</f>
        <v>0</v>
      </c>
      <c r="DM176" s="171">
        <f>SUM(DM174:DM175)*Index!DM$54</f>
        <v>0</v>
      </c>
      <c r="DN176" s="171">
        <f>SUM(DN174:DN175)*Index!DN$54</f>
        <v>0</v>
      </c>
      <c r="DO176" s="171">
        <f>SUM(DO174:DO175)*Index!DO$54</f>
        <v>0</v>
      </c>
      <c r="DP176" s="171">
        <f>SUM(DP174:DP175)*Index!DP$54</f>
        <v>0</v>
      </c>
      <c r="DQ176" s="171">
        <f>SUM(DQ174:DQ175)*Index!DQ$54</f>
        <v>0</v>
      </c>
      <c r="DR176" s="171">
        <f>SUM(DR174:DR175)*Index!DR$54</f>
        <v>151699.72785140356</v>
      </c>
      <c r="DS176" s="171">
        <f>SUM(DS174:DS175)*Index!DS$54</f>
        <v>0</v>
      </c>
      <c r="DT176" s="171">
        <f>SUM(DT174:DT175)*Index!DT$54</f>
        <v>0</v>
      </c>
      <c r="DU176" s="171">
        <f>SUM(DU174:DU175)*Index!DU$54</f>
        <v>0</v>
      </c>
      <c r="DV176" s="171">
        <f>SUM(DV174:DV175)*Index!DV$54</f>
        <v>0</v>
      </c>
      <c r="DW176" s="171">
        <f>SUM(DW174:DW175)*Index!DW$54</f>
        <v>0</v>
      </c>
      <c r="DX176" s="171">
        <f>SUM(DX174:DX175)*Index!DX$54</f>
        <v>0</v>
      </c>
      <c r="DY176" s="171">
        <f>SUM(DY174:DY175)*Index!DY$54</f>
        <v>0</v>
      </c>
      <c r="DZ176" s="171">
        <f>SUM(DZ174:DZ175)*Index!DZ$54</f>
        <v>0</v>
      </c>
      <c r="EA176" s="171">
        <f>SUM(EA174:EA175)*Index!EA$54</f>
        <v>0</v>
      </c>
      <c r="EB176" s="171">
        <f>SUM(EB174:EB175)*Index!EB$54</f>
        <v>128516.38073790002</v>
      </c>
      <c r="EC176" s="171">
        <f>SUM(EC174:EC175)*Index!EC$54</f>
        <v>0</v>
      </c>
      <c r="ED176" s="1321">
        <f>SUM(ED174:ED175)*Index!ED$54</f>
        <v>0</v>
      </c>
      <c r="EE176" s="171">
        <f>SUM(EE174:EE175)*Index!EE$54</f>
        <v>0</v>
      </c>
      <c r="EF176" s="171">
        <f>SUM(EF174:EF175)*Index!EF$54</f>
        <v>0</v>
      </c>
      <c r="EG176" s="171">
        <f>SUM(EG174:EG175)*Index!EG$54</f>
        <v>0</v>
      </c>
      <c r="EH176" s="171">
        <f>SUM(EH174:EH175)*Index!EH$54</f>
        <v>0</v>
      </c>
      <c r="EI176" s="171">
        <f>SUM(EI174:EI175)*Index!EI$54</f>
        <v>0</v>
      </c>
      <c r="EJ176" s="171">
        <f>SUM(EJ174:EJ175)*Index!EJ$54</f>
        <v>0</v>
      </c>
      <c r="EK176" s="171">
        <f>SUM(EK174:EK175)*Index!EK$54</f>
        <v>0</v>
      </c>
      <c r="EL176" s="171">
        <f>SUM(EL174:EL175)*Index!EL$54</f>
        <v>0</v>
      </c>
      <c r="EM176" s="171">
        <f>SUM(EM174:EM175)*Index!EM$54</f>
        <v>0</v>
      </c>
      <c r="EN176" s="171">
        <f>SUM(EN174:EN175)*Index!EN$54</f>
        <v>0</v>
      </c>
      <c r="EO176" s="171">
        <f>SUM(EO174:EO175)*Index!EO$54</f>
        <v>0</v>
      </c>
      <c r="EP176" s="171">
        <f>SUM(EP174:EP175)*Index!EP$54</f>
        <v>0</v>
      </c>
      <c r="EQ176" s="171">
        <f>SUM(EQ174:EQ175)*Index!EQ$54</f>
        <v>0</v>
      </c>
    </row>
    <row r="177" spans="3:147" ht="11.25" customHeight="1">
      <c r="C177" s="163"/>
      <c r="D177" s="169" t="s">
        <v>233</v>
      </c>
      <c r="I177" s="248"/>
      <c r="J177" s="170"/>
      <c r="K177" s="98"/>
      <c r="L177" s="171">
        <f>L174+L175-L176</f>
        <v>0</v>
      </c>
      <c r="M177" s="171">
        <f t="shared" ref="M177:BX177" si="400">M174+M175-M176</f>
        <v>10753.675833333333</v>
      </c>
      <c r="N177" s="171">
        <f t="shared" si="400"/>
        <v>0</v>
      </c>
      <c r="O177" s="171">
        <f t="shared" si="400"/>
        <v>10753.675833333333</v>
      </c>
      <c r="P177" s="171">
        <f t="shared" si="400"/>
        <v>21507.351666666666</v>
      </c>
      <c r="Q177" s="171">
        <f t="shared" si="400"/>
        <v>32261.027499999997</v>
      </c>
      <c r="R177" s="171">
        <f t="shared" si="400"/>
        <v>43014.703333333331</v>
      </c>
      <c r="S177" s="171">
        <f t="shared" si="400"/>
        <v>53768.379166666666</v>
      </c>
      <c r="T177" s="171">
        <f t="shared" si="400"/>
        <v>64522.055</v>
      </c>
      <c r="U177" s="171">
        <f t="shared" si="400"/>
        <v>75275.730833333335</v>
      </c>
      <c r="V177" s="171">
        <f t="shared" si="400"/>
        <v>86029.406666666662</v>
      </c>
      <c r="W177" s="171">
        <f t="shared" si="400"/>
        <v>96783.08249999999</v>
      </c>
      <c r="X177" s="171">
        <f t="shared" si="400"/>
        <v>107536.75833333332</v>
      </c>
      <c r="Y177" s="171">
        <f t="shared" si="400"/>
        <v>118505.50768333332</v>
      </c>
      <c r="Z177" s="171">
        <f t="shared" si="400"/>
        <v>0</v>
      </c>
      <c r="AA177" s="171">
        <f t="shared" si="400"/>
        <v>10968.74935</v>
      </c>
      <c r="AB177" s="171">
        <f t="shared" si="400"/>
        <v>21937.4987</v>
      </c>
      <c r="AC177" s="171">
        <f t="shared" si="400"/>
        <v>32906.248050000002</v>
      </c>
      <c r="AD177" s="171">
        <f t="shared" si="400"/>
        <v>43874.9974</v>
      </c>
      <c r="AE177" s="171">
        <f t="shared" si="400"/>
        <v>54843.746749999998</v>
      </c>
      <c r="AF177" s="171">
        <f t="shared" si="400"/>
        <v>65812.496100000004</v>
      </c>
      <c r="AG177" s="171">
        <f t="shared" si="400"/>
        <v>76781.245450000002</v>
      </c>
      <c r="AH177" s="171">
        <f t="shared" si="400"/>
        <v>87749.9948</v>
      </c>
      <c r="AI177" s="171">
        <f t="shared" si="400"/>
        <v>98718.744149999999</v>
      </c>
      <c r="AJ177" s="171">
        <f t="shared" si="400"/>
        <v>109687.4935</v>
      </c>
      <c r="AK177" s="171">
        <f t="shared" si="400"/>
        <v>120875.617837</v>
      </c>
      <c r="AL177" s="171">
        <f t="shared" si="400"/>
        <v>0</v>
      </c>
      <c r="AM177" s="171">
        <f t="shared" si="400"/>
        <v>11188.124336999999</v>
      </c>
      <c r="AN177" s="171">
        <f t="shared" si="400"/>
        <v>22376.248673999999</v>
      </c>
      <c r="AO177" s="171">
        <f t="shared" si="400"/>
        <v>33564.373010999996</v>
      </c>
      <c r="AP177" s="171">
        <f t="shared" si="400"/>
        <v>44752.497347999997</v>
      </c>
      <c r="AQ177" s="171">
        <f t="shared" si="400"/>
        <v>55940.621684999998</v>
      </c>
      <c r="AR177" s="171">
        <f t="shared" si="400"/>
        <v>67128.746021999992</v>
      </c>
      <c r="AS177" s="171">
        <f t="shared" si="400"/>
        <v>78316.870358999993</v>
      </c>
      <c r="AT177" s="171">
        <f t="shared" si="400"/>
        <v>89504.994695999994</v>
      </c>
      <c r="AU177" s="171">
        <f t="shared" si="400"/>
        <v>100693.119033</v>
      </c>
      <c r="AV177" s="171">
        <f t="shared" si="400"/>
        <v>111881.24337</v>
      </c>
      <c r="AW177" s="171">
        <f t="shared" si="400"/>
        <v>123293.13019374</v>
      </c>
      <c r="AX177" s="171">
        <f t="shared" si="400"/>
        <v>0</v>
      </c>
      <c r="AY177" s="171">
        <f t="shared" si="400"/>
        <v>11411.886823739998</v>
      </c>
      <c r="AZ177" s="171">
        <f t="shared" si="400"/>
        <v>22823.773647479997</v>
      </c>
      <c r="BA177" s="171">
        <f t="shared" si="400"/>
        <v>34235.660471219991</v>
      </c>
      <c r="BB177" s="171">
        <f t="shared" si="400"/>
        <v>45647.547294959993</v>
      </c>
      <c r="BC177" s="171">
        <f t="shared" si="400"/>
        <v>57059.434118699995</v>
      </c>
      <c r="BD177" s="171">
        <f t="shared" si="400"/>
        <v>68471.320942439997</v>
      </c>
      <c r="BE177" s="171">
        <f t="shared" si="400"/>
        <v>79883.207766179999</v>
      </c>
      <c r="BF177" s="171">
        <f t="shared" si="400"/>
        <v>91295.094589920001</v>
      </c>
      <c r="BG177" s="171">
        <f t="shared" si="400"/>
        <v>102706.98141366</v>
      </c>
      <c r="BH177" s="171">
        <f t="shared" si="400"/>
        <v>114118.86823740001</v>
      </c>
      <c r="BI177" s="171">
        <f t="shared" si="400"/>
        <v>125758.9927976148</v>
      </c>
      <c r="BJ177" s="171">
        <f t="shared" si="400"/>
        <v>0</v>
      </c>
      <c r="BK177" s="171">
        <f t="shared" si="400"/>
        <v>11640.124560214799</v>
      </c>
      <c r="BL177" s="171">
        <f t="shared" si="400"/>
        <v>23280.249120429598</v>
      </c>
      <c r="BM177" s="171">
        <f t="shared" si="400"/>
        <v>34920.373680644399</v>
      </c>
      <c r="BN177" s="171">
        <f t="shared" si="400"/>
        <v>46560.498240859197</v>
      </c>
      <c r="BO177" s="171">
        <f t="shared" si="400"/>
        <v>58200.622801073994</v>
      </c>
      <c r="BP177" s="171">
        <f t="shared" si="400"/>
        <v>69840.747361288799</v>
      </c>
      <c r="BQ177" s="171">
        <f t="shared" si="400"/>
        <v>81480.871921503596</v>
      </c>
      <c r="BR177" s="171">
        <f t="shared" si="400"/>
        <v>93120.996481718394</v>
      </c>
      <c r="BS177" s="171">
        <f t="shared" si="400"/>
        <v>104761.12104193319</v>
      </c>
      <c r="BT177" s="171">
        <f t="shared" si="400"/>
        <v>116401.24560214799</v>
      </c>
      <c r="BU177" s="171">
        <f t="shared" si="400"/>
        <v>128274.17265356709</v>
      </c>
      <c r="BV177" s="171">
        <f t="shared" si="400"/>
        <v>0</v>
      </c>
      <c r="BW177" s="171">
        <f t="shared" si="400"/>
        <v>11872.927051419096</v>
      </c>
      <c r="BX177" s="171">
        <f t="shared" si="400"/>
        <v>23745.854102838191</v>
      </c>
      <c r="BY177" s="171">
        <f t="shared" ref="BY177:DT177" si="401">BY174+BY175-BY176</f>
        <v>35618.781154257289</v>
      </c>
      <c r="BZ177" s="171">
        <f t="shared" si="401"/>
        <v>47491.708205676383</v>
      </c>
      <c r="CA177" s="171">
        <f t="shared" si="401"/>
        <v>59364.635257095477</v>
      </c>
      <c r="CB177" s="171">
        <f t="shared" si="401"/>
        <v>71237.562308514578</v>
      </c>
      <c r="CC177" s="171">
        <f t="shared" si="401"/>
        <v>83110.489359933679</v>
      </c>
      <c r="CD177" s="171">
        <f t="shared" si="401"/>
        <v>94983.41641135278</v>
      </c>
      <c r="CE177" s="171">
        <f t="shared" si="401"/>
        <v>106856.34346277188</v>
      </c>
      <c r="CF177" s="171">
        <f t="shared" si="401"/>
        <v>118729.27051419098</v>
      </c>
      <c r="CG177" s="171">
        <f t="shared" si="401"/>
        <v>130839.65610663846</v>
      </c>
      <c r="CH177" s="171">
        <f t="shared" si="401"/>
        <v>0</v>
      </c>
      <c r="CI177" s="171">
        <f t="shared" si="401"/>
        <v>12110.385592447477</v>
      </c>
      <c r="CJ177" s="171">
        <f t="shared" si="401"/>
        <v>24220.771184894955</v>
      </c>
      <c r="CK177" s="171">
        <f t="shared" si="401"/>
        <v>36331.156777342432</v>
      </c>
      <c r="CL177" s="171">
        <f t="shared" si="401"/>
        <v>48441.54236978991</v>
      </c>
      <c r="CM177" s="171">
        <f t="shared" si="401"/>
        <v>60551.927962237387</v>
      </c>
      <c r="CN177" s="171">
        <f t="shared" si="401"/>
        <v>72662.313554684864</v>
      </c>
      <c r="CO177" s="171">
        <f t="shared" si="401"/>
        <v>84772.699147132342</v>
      </c>
      <c r="CP177" s="171">
        <f t="shared" si="401"/>
        <v>96883.084739579819</v>
      </c>
      <c r="CQ177" s="171">
        <f t="shared" si="401"/>
        <v>108993.4703320273</v>
      </c>
      <c r="CR177" s="171">
        <f t="shared" si="401"/>
        <v>121103.85592447477</v>
      </c>
      <c r="CS177" s="171">
        <f t="shared" si="401"/>
        <v>133456.44922877121</v>
      </c>
      <c r="CT177" s="171">
        <f t="shared" si="401"/>
        <v>0</v>
      </c>
      <c r="CU177" s="171">
        <f t="shared" si="401"/>
        <v>12352.593304296424</v>
      </c>
      <c r="CV177" s="171">
        <f t="shared" si="401"/>
        <v>24705.186608592849</v>
      </c>
      <c r="CW177" s="171">
        <f t="shared" si="401"/>
        <v>37057.779912889273</v>
      </c>
      <c r="CX177" s="171">
        <f t="shared" si="401"/>
        <v>49410.373217185697</v>
      </c>
      <c r="CY177" s="171">
        <f t="shared" si="401"/>
        <v>61762.966521482122</v>
      </c>
      <c r="CZ177" s="171">
        <f t="shared" si="401"/>
        <v>74115.559825778546</v>
      </c>
      <c r="DA177" s="171">
        <f t="shared" si="401"/>
        <v>86468.153130074963</v>
      </c>
      <c r="DB177" s="171">
        <f t="shared" si="401"/>
        <v>98820.746434371395</v>
      </c>
      <c r="DC177" s="171">
        <f t="shared" si="401"/>
        <v>111173.33973866783</v>
      </c>
      <c r="DD177" s="171">
        <f t="shared" si="401"/>
        <v>123525.93304296426</v>
      </c>
      <c r="DE177" s="171">
        <f t="shared" si="401"/>
        <v>136125.5782133466</v>
      </c>
      <c r="DF177" s="171">
        <f t="shared" si="401"/>
        <v>0</v>
      </c>
      <c r="DG177" s="171">
        <f t="shared" si="401"/>
        <v>12599.645170382355</v>
      </c>
      <c r="DH177" s="171">
        <f t="shared" si="401"/>
        <v>25199.29034076471</v>
      </c>
      <c r="DI177" s="171">
        <f t="shared" si="401"/>
        <v>37798.935511147065</v>
      </c>
      <c r="DJ177" s="171">
        <f t="shared" si="401"/>
        <v>50398.58068152942</v>
      </c>
      <c r="DK177" s="171">
        <f t="shared" si="401"/>
        <v>62998.225851911775</v>
      </c>
      <c r="DL177" s="171">
        <f t="shared" si="401"/>
        <v>75597.87102229413</v>
      </c>
      <c r="DM177" s="171">
        <f t="shared" si="401"/>
        <v>88197.516192676485</v>
      </c>
      <c r="DN177" s="171">
        <f t="shared" si="401"/>
        <v>100797.16136305884</v>
      </c>
      <c r="DO177" s="171">
        <f t="shared" si="401"/>
        <v>113396.80653344119</v>
      </c>
      <c r="DP177" s="171">
        <f t="shared" si="401"/>
        <v>125996.45170382355</v>
      </c>
      <c r="DQ177" s="171">
        <f t="shared" si="401"/>
        <v>138848.08977761355</v>
      </c>
      <c r="DR177" s="171">
        <f t="shared" si="401"/>
        <v>0</v>
      </c>
      <c r="DS177" s="171">
        <f t="shared" si="401"/>
        <v>12851.638073790002</v>
      </c>
      <c r="DT177" s="171">
        <f t="shared" si="401"/>
        <v>25703.276147580003</v>
      </c>
      <c r="DU177" s="171">
        <f t="shared" ref="DU177:EA177" si="402">DU174+DU175-DU176</f>
        <v>38554.914221370003</v>
      </c>
      <c r="DV177" s="171">
        <f t="shared" si="402"/>
        <v>51406.552295160007</v>
      </c>
      <c r="DW177" s="171">
        <f t="shared" si="402"/>
        <v>64258.19036895001</v>
      </c>
      <c r="DX177" s="171">
        <f t="shared" si="402"/>
        <v>77109.828442740007</v>
      </c>
      <c r="DY177" s="171">
        <f t="shared" si="402"/>
        <v>89961.46651653001</v>
      </c>
      <c r="DZ177" s="171">
        <f t="shared" si="402"/>
        <v>102813.10459032001</v>
      </c>
      <c r="EA177" s="171">
        <f t="shared" si="402"/>
        <v>115664.74266411002</v>
      </c>
      <c r="EB177" s="171">
        <f t="shared" ref="EB177:EQ177" si="403">EB174+EB175-EB176</f>
        <v>0</v>
      </c>
      <c r="EC177" s="171">
        <f t="shared" si="403"/>
        <v>0</v>
      </c>
      <c r="ED177" s="1321">
        <f t="shared" si="403"/>
        <v>0</v>
      </c>
      <c r="EE177" s="171">
        <f t="shared" si="403"/>
        <v>0</v>
      </c>
      <c r="EF177" s="171">
        <f t="shared" si="403"/>
        <v>0</v>
      </c>
      <c r="EG177" s="171">
        <f t="shared" si="403"/>
        <v>0</v>
      </c>
      <c r="EH177" s="171">
        <f t="shared" si="403"/>
        <v>0</v>
      </c>
      <c r="EI177" s="171">
        <f t="shared" si="403"/>
        <v>0</v>
      </c>
      <c r="EJ177" s="171">
        <f t="shared" si="403"/>
        <v>0</v>
      </c>
      <c r="EK177" s="171">
        <f t="shared" si="403"/>
        <v>0</v>
      </c>
      <c r="EL177" s="171">
        <f t="shared" si="403"/>
        <v>0</v>
      </c>
      <c r="EM177" s="171">
        <f t="shared" si="403"/>
        <v>0</v>
      </c>
      <c r="EN177" s="171">
        <f t="shared" si="403"/>
        <v>0</v>
      </c>
      <c r="EO177" s="171">
        <f t="shared" si="403"/>
        <v>0</v>
      </c>
      <c r="EP177" s="171">
        <f t="shared" si="403"/>
        <v>0</v>
      </c>
      <c r="EQ177" s="171">
        <f t="shared" si="403"/>
        <v>0</v>
      </c>
    </row>
    <row r="178" spans="3:147" ht="11.25" customHeight="1">
      <c r="C178" s="158" t="s">
        <v>524</v>
      </c>
      <c r="D178" s="159"/>
      <c r="E178" s="159"/>
      <c r="F178" s="159"/>
      <c r="G178" s="159"/>
      <c r="H178" s="160"/>
      <c r="I178" s="219"/>
      <c r="J178" s="161"/>
      <c r="K178" s="98"/>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162"/>
      <c r="AK178" s="162"/>
      <c r="AL178" s="162"/>
      <c r="AM178" s="162"/>
      <c r="AN178" s="162"/>
      <c r="AO178" s="162"/>
      <c r="AP178" s="162"/>
      <c r="AQ178" s="162"/>
      <c r="AR178" s="162"/>
      <c r="AS178" s="162"/>
      <c r="AT178" s="162"/>
      <c r="AU178" s="162"/>
      <c r="AV178" s="162"/>
      <c r="AW178" s="162"/>
      <c r="AX178" s="162"/>
      <c r="AY178" s="162"/>
      <c r="AZ178" s="162"/>
      <c r="BA178" s="162"/>
      <c r="BB178" s="162"/>
      <c r="BC178" s="162"/>
      <c r="BD178" s="162"/>
      <c r="BE178" s="162"/>
      <c r="BF178" s="162"/>
      <c r="BG178" s="162"/>
      <c r="BH178" s="162"/>
      <c r="BI178" s="162"/>
      <c r="BJ178" s="162"/>
      <c r="BK178" s="162"/>
      <c r="BL178" s="162"/>
      <c r="BM178" s="162"/>
      <c r="BN178" s="162"/>
      <c r="BO178" s="162"/>
      <c r="BP178" s="162"/>
      <c r="BQ178" s="162"/>
      <c r="BR178" s="162"/>
      <c r="BS178" s="162"/>
      <c r="BT178" s="162"/>
      <c r="BU178" s="162"/>
      <c r="BV178" s="162"/>
      <c r="BW178" s="162"/>
      <c r="BX178" s="162"/>
      <c r="BY178" s="162"/>
      <c r="BZ178" s="162"/>
      <c r="CA178" s="162"/>
      <c r="CB178" s="162"/>
      <c r="CC178" s="162"/>
      <c r="CD178" s="162"/>
      <c r="CE178" s="162"/>
      <c r="CF178" s="162"/>
      <c r="CG178" s="162"/>
      <c r="CH178" s="162"/>
      <c r="CI178" s="162"/>
      <c r="CJ178" s="162"/>
      <c r="CK178" s="162"/>
      <c r="CL178" s="162"/>
      <c r="CM178" s="162"/>
      <c r="CN178" s="162"/>
      <c r="CO178" s="162"/>
      <c r="CP178" s="162"/>
      <c r="CQ178" s="162"/>
      <c r="CR178" s="162"/>
      <c r="CS178" s="162"/>
      <c r="CT178" s="162"/>
      <c r="CU178" s="162"/>
      <c r="CV178" s="162"/>
      <c r="CW178" s="162"/>
      <c r="CX178" s="162"/>
      <c r="CY178" s="162"/>
      <c r="CZ178" s="162"/>
      <c r="DA178" s="162"/>
      <c r="DB178" s="162"/>
      <c r="DC178" s="162"/>
      <c r="DD178" s="162"/>
      <c r="DE178" s="162"/>
      <c r="DF178" s="162"/>
      <c r="DG178" s="162"/>
      <c r="DH178" s="162"/>
      <c r="DI178" s="162"/>
      <c r="DJ178" s="162"/>
      <c r="DK178" s="162"/>
      <c r="DL178" s="162"/>
      <c r="DM178" s="162"/>
      <c r="DN178" s="162"/>
      <c r="DO178" s="162"/>
      <c r="DP178" s="162"/>
      <c r="DQ178" s="162"/>
      <c r="DR178" s="162"/>
      <c r="DS178" s="162"/>
      <c r="DT178" s="162"/>
      <c r="DU178" s="162"/>
      <c r="DV178" s="162"/>
      <c r="DW178" s="162"/>
      <c r="DX178" s="162"/>
      <c r="DY178" s="162"/>
      <c r="DZ178" s="162"/>
      <c r="EA178" s="162"/>
      <c r="EB178" s="162"/>
      <c r="EC178" s="162"/>
      <c r="ED178" s="1319"/>
      <c r="EE178" s="162"/>
      <c r="EF178" s="162"/>
      <c r="EG178" s="162"/>
      <c r="EH178" s="162"/>
      <c r="EI178" s="162"/>
      <c r="EJ178" s="162"/>
      <c r="EK178" s="162"/>
      <c r="EL178" s="162"/>
      <c r="EM178" s="162"/>
      <c r="EN178" s="162"/>
      <c r="EO178" s="162"/>
      <c r="EP178" s="162"/>
      <c r="EQ178" s="162"/>
    </row>
    <row r="179" spans="3:147" ht="11.25" customHeight="1">
      <c r="C179" s="163"/>
      <c r="D179" s="164" t="s">
        <v>230</v>
      </c>
      <c r="E179" s="165"/>
      <c r="F179" s="165"/>
      <c r="G179" s="165"/>
      <c r="H179" s="166"/>
      <c r="I179" s="221"/>
      <c r="J179" s="167"/>
      <c r="K179" s="98"/>
      <c r="L179" s="168">
        <f>K182</f>
        <v>0</v>
      </c>
      <c r="M179" s="168">
        <f t="shared" ref="M179:BX179" si="404">L182</f>
        <v>0</v>
      </c>
      <c r="N179" s="168">
        <f t="shared" si="404"/>
        <v>32849.518333333333</v>
      </c>
      <c r="O179" s="168">
        <f t="shared" si="404"/>
        <v>65699.036666666667</v>
      </c>
      <c r="P179" s="168">
        <f t="shared" si="404"/>
        <v>98548.554999999993</v>
      </c>
      <c r="Q179" s="168">
        <f t="shared" si="404"/>
        <v>131398.07333333333</v>
      </c>
      <c r="R179" s="168">
        <f t="shared" si="404"/>
        <v>164247.59166666667</v>
      </c>
      <c r="S179" s="168">
        <f t="shared" si="404"/>
        <v>197097.11000000002</v>
      </c>
      <c r="T179" s="168">
        <f t="shared" si="404"/>
        <v>229946.62833333336</v>
      </c>
      <c r="U179" s="168">
        <f t="shared" si="404"/>
        <v>262796.14666666667</v>
      </c>
      <c r="V179" s="168">
        <f t="shared" si="404"/>
        <v>295645.66499999998</v>
      </c>
      <c r="W179" s="168">
        <f t="shared" si="404"/>
        <v>328495.18333333329</v>
      </c>
      <c r="X179" s="168">
        <f t="shared" si="404"/>
        <v>0</v>
      </c>
      <c r="Y179" s="168">
        <f t="shared" si="404"/>
        <v>32849.518333333333</v>
      </c>
      <c r="Z179" s="168">
        <f t="shared" si="404"/>
        <v>65206.293891666668</v>
      </c>
      <c r="AA179" s="168">
        <f t="shared" si="404"/>
        <v>97563.06945000001</v>
      </c>
      <c r="AB179" s="168">
        <f t="shared" si="404"/>
        <v>129919.84500833334</v>
      </c>
      <c r="AC179" s="168">
        <f t="shared" si="404"/>
        <v>162276.62056666668</v>
      </c>
      <c r="AD179" s="168">
        <f t="shared" si="404"/>
        <v>194633.39612500003</v>
      </c>
      <c r="AE179" s="168">
        <f t="shared" si="404"/>
        <v>226990.17168333335</v>
      </c>
      <c r="AF179" s="168">
        <f t="shared" si="404"/>
        <v>259346.94724166667</v>
      </c>
      <c r="AG179" s="168">
        <f t="shared" si="404"/>
        <v>291703.72279999999</v>
      </c>
      <c r="AH179" s="168">
        <f t="shared" si="404"/>
        <v>324060.49835833331</v>
      </c>
      <c r="AI179" s="168">
        <f t="shared" si="404"/>
        <v>356417.27391666663</v>
      </c>
      <c r="AJ179" s="168">
        <f t="shared" si="404"/>
        <v>0</v>
      </c>
      <c r="AK179" s="168">
        <f t="shared" si="404"/>
        <v>32356.775558333335</v>
      </c>
      <c r="AL179" s="168">
        <f t="shared" si="404"/>
        <v>64228.199483291668</v>
      </c>
      <c r="AM179" s="168">
        <f t="shared" si="404"/>
        <v>96099.623408250001</v>
      </c>
      <c r="AN179" s="168">
        <f t="shared" si="404"/>
        <v>127971.04733320833</v>
      </c>
      <c r="AO179" s="168">
        <f t="shared" si="404"/>
        <v>159842.47125816665</v>
      </c>
      <c r="AP179" s="168">
        <f t="shared" si="404"/>
        <v>191713.89518312499</v>
      </c>
      <c r="AQ179" s="168">
        <f t="shared" si="404"/>
        <v>223585.31910808332</v>
      </c>
      <c r="AR179" s="168">
        <f t="shared" si="404"/>
        <v>255456.74303304165</v>
      </c>
      <c r="AS179" s="168">
        <f t="shared" si="404"/>
        <v>287328.16695799999</v>
      </c>
      <c r="AT179" s="168">
        <f t="shared" si="404"/>
        <v>319199.59088295832</v>
      </c>
      <c r="AU179" s="168">
        <f t="shared" si="404"/>
        <v>351071.01480791665</v>
      </c>
      <c r="AV179" s="168">
        <f t="shared" si="404"/>
        <v>0</v>
      </c>
      <c r="AW179" s="168">
        <f t="shared" si="404"/>
        <v>31871.423924958333</v>
      </c>
      <c r="AX179" s="168">
        <f t="shared" si="404"/>
        <v>63264.776491042292</v>
      </c>
      <c r="AY179" s="168">
        <f t="shared" si="404"/>
        <v>94658.129057126251</v>
      </c>
      <c r="AZ179" s="168">
        <f t="shared" si="404"/>
        <v>126051.48162321022</v>
      </c>
      <c r="BA179" s="168">
        <f t="shared" si="404"/>
        <v>157444.83418929417</v>
      </c>
      <c r="BB179" s="168">
        <f t="shared" si="404"/>
        <v>188838.18675537812</v>
      </c>
      <c r="BC179" s="168">
        <f t="shared" si="404"/>
        <v>220231.53932146207</v>
      </c>
      <c r="BD179" s="168">
        <f t="shared" si="404"/>
        <v>251624.89188754602</v>
      </c>
      <c r="BE179" s="168">
        <f t="shared" si="404"/>
        <v>283018.24445363</v>
      </c>
      <c r="BF179" s="168">
        <f t="shared" si="404"/>
        <v>314411.59701971395</v>
      </c>
      <c r="BG179" s="168">
        <f t="shared" si="404"/>
        <v>345804.94958579791</v>
      </c>
      <c r="BH179" s="168">
        <f t="shared" si="404"/>
        <v>0</v>
      </c>
      <c r="BI179" s="168">
        <f t="shared" si="404"/>
        <v>31393.352566083959</v>
      </c>
      <c r="BJ179" s="168">
        <f t="shared" si="404"/>
        <v>62315.804843676655</v>
      </c>
      <c r="BK179" s="168">
        <f t="shared" si="404"/>
        <v>93238.257121269358</v>
      </c>
      <c r="BL179" s="168">
        <f t="shared" si="404"/>
        <v>124160.70939886206</v>
      </c>
      <c r="BM179" s="168">
        <f t="shared" si="404"/>
        <v>155083.16167645477</v>
      </c>
      <c r="BN179" s="168">
        <f t="shared" si="404"/>
        <v>186005.61395404747</v>
      </c>
      <c r="BO179" s="168">
        <f t="shared" si="404"/>
        <v>216928.06623164017</v>
      </c>
      <c r="BP179" s="168">
        <f t="shared" si="404"/>
        <v>247850.51850923288</v>
      </c>
      <c r="BQ179" s="168">
        <f t="shared" si="404"/>
        <v>278772.97078682558</v>
      </c>
      <c r="BR179" s="168">
        <f t="shared" si="404"/>
        <v>309695.42306441825</v>
      </c>
      <c r="BS179" s="168">
        <f t="shared" si="404"/>
        <v>340617.87534201093</v>
      </c>
      <c r="BT179" s="168">
        <f t="shared" si="404"/>
        <v>0</v>
      </c>
      <c r="BU179" s="168">
        <f t="shared" si="404"/>
        <v>30922.4522775927</v>
      </c>
      <c r="BV179" s="168">
        <f t="shared" si="404"/>
        <v>61381.06777102151</v>
      </c>
      <c r="BW179" s="168">
        <f t="shared" si="404"/>
        <v>91839.683264450316</v>
      </c>
      <c r="BX179" s="168">
        <f t="shared" si="404"/>
        <v>122298.29875787912</v>
      </c>
      <c r="BY179" s="168">
        <f t="shared" ref="BY179:DT179" si="405">BX182</f>
        <v>152756.91425130793</v>
      </c>
      <c r="BZ179" s="168">
        <f t="shared" si="405"/>
        <v>183215.52974473673</v>
      </c>
      <c r="CA179" s="168">
        <f t="shared" si="405"/>
        <v>213674.14523816554</v>
      </c>
      <c r="CB179" s="168">
        <f t="shared" si="405"/>
        <v>244132.76073159435</v>
      </c>
      <c r="CC179" s="168">
        <f t="shared" si="405"/>
        <v>274591.37622502318</v>
      </c>
      <c r="CD179" s="168">
        <f t="shared" si="405"/>
        <v>305049.99171845202</v>
      </c>
      <c r="CE179" s="168">
        <f t="shared" si="405"/>
        <v>335508.60721188085</v>
      </c>
      <c r="CF179" s="168">
        <f t="shared" si="405"/>
        <v>0</v>
      </c>
      <c r="CG179" s="168">
        <f t="shared" si="405"/>
        <v>30458.61549342881</v>
      </c>
      <c r="CH179" s="168">
        <f t="shared" si="405"/>
        <v>60460.351754456191</v>
      </c>
      <c r="CI179" s="168">
        <f t="shared" si="405"/>
        <v>90462.088015483576</v>
      </c>
      <c r="CJ179" s="168">
        <f t="shared" si="405"/>
        <v>120463.82427651095</v>
      </c>
      <c r="CK179" s="168">
        <f t="shared" si="405"/>
        <v>150465.56053753832</v>
      </c>
      <c r="CL179" s="168">
        <f t="shared" si="405"/>
        <v>180467.29679856569</v>
      </c>
      <c r="CM179" s="168">
        <f t="shared" si="405"/>
        <v>210469.03305959306</v>
      </c>
      <c r="CN179" s="168">
        <f t="shared" si="405"/>
        <v>240470.76932062043</v>
      </c>
      <c r="CO179" s="168">
        <f t="shared" si="405"/>
        <v>270472.5055816478</v>
      </c>
      <c r="CP179" s="168">
        <f t="shared" si="405"/>
        <v>300474.2418426752</v>
      </c>
      <c r="CQ179" s="168">
        <f t="shared" si="405"/>
        <v>330475.9781037026</v>
      </c>
      <c r="CR179" s="168">
        <f t="shared" si="405"/>
        <v>0</v>
      </c>
      <c r="CS179" s="168">
        <f t="shared" si="405"/>
        <v>30001.736261027378</v>
      </c>
      <c r="CT179" s="168">
        <f t="shared" si="405"/>
        <v>59553.446478139347</v>
      </c>
      <c r="CU179" s="168">
        <f t="shared" si="405"/>
        <v>89105.156695251309</v>
      </c>
      <c r="CV179" s="168">
        <f t="shared" si="405"/>
        <v>118656.86691236327</v>
      </c>
      <c r="CW179" s="168">
        <f t="shared" si="405"/>
        <v>148208.57712947525</v>
      </c>
      <c r="CX179" s="168">
        <f t="shared" si="405"/>
        <v>177760.28734658723</v>
      </c>
      <c r="CY179" s="168">
        <f t="shared" si="405"/>
        <v>207311.9975636992</v>
      </c>
      <c r="CZ179" s="168">
        <f t="shared" si="405"/>
        <v>236863.70778081118</v>
      </c>
      <c r="DA179" s="168">
        <f t="shared" si="405"/>
        <v>266415.41799792316</v>
      </c>
      <c r="DB179" s="168">
        <f t="shared" si="405"/>
        <v>295967.12821503513</v>
      </c>
      <c r="DC179" s="168">
        <f t="shared" si="405"/>
        <v>325518.83843214711</v>
      </c>
      <c r="DD179" s="168">
        <f t="shared" si="405"/>
        <v>0</v>
      </c>
      <c r="DE179" s="168">
        <f t="shared" si="405"/>
        <v>29551.710217111966</v>
      </c>
      <c r="DF179" s="168">
        <f t="shared" si="405"/>
        <v>58660.144780967254</v>
      </c>
      <c r="DG179" s="168">
        <f t="shared" si="405"/>
        <v>87768.579344822545</v>
      </c>
      <c r="DH179" s="168">
        <f t="shared" si="405"/>
        <v>116877.01390867784</v>
      </c>
      <c r="DI179" s="168">
        <f t="shared" si="405"/>
        <v>145985.44847253311</v>
      </c>
      <c r="DJ179" s="168">
        <f t="shared" si="405"/>
        <v>175093.8830363884</v>
      </c>
      <c r="DK179" s="168">
        <f t="shared" si="405"/>
        <v>204202.3176002437</v>
      </c>
      <c r="DL179" s="168">
        <f t="shared" si="405"/>
        <v>233310.75216409899</v>
      </c>
      <c r="DM179" s="168">
        <f t="shared" si="405"/>
        <v>262419.18672795425</v>
      </c>
      <c r="DN179" s="168">
        <f t="shared" si="405"/>
        <v>291527.62129180954</v>
      </c>
      <c r="DO179" s="168">
        <f t="shared" si="405"/>
        <v>320636.05585566483</v>
      </c>
      <c r="DP179" s="168">
        <f t="shared" si="405"/>
        <v>0</v>
      </c>
      <c r="DQ179" s="168">
        <f t="shared" si="405"/>
        <v>29108.434563855288</v>
      </c>
      <c r="DR179" s="168">
        <f t="shared" si="405"/>
        <v>57780.242609252746</v>
      </c>
      <c r="DS179" s="168">
        <f t="shared" si="405"/>
        <v>86452.0506546502</v>
      </c>
      <c r="DT179" s="168">
        <f t="shared" si="405"/>
        <v>115123.85870004765</v>
      </c>
      <c r="DU179" s="168">
        <f t="shared" ref="DU179:EQ179" si="406">DT182</f>
        <v>143795.66674544511</v>
      </c>
      <c r="DV179" s="168">
        <f t="shared" si="406"/>
        <v>172467.47479084256</v>
      </c>
      <c r="DW179" s="168">
        <f t="shared" si="406"/>
        <v>201139.28283624002</v>
      </c>
      <c r="DX179" s="168">
        <f t="shared" si="406"/>
        <v>229811.09088163747</v>
      </c>
      <c r="DY179" s="168">
        <f t="shared" si="406"/>
        <v>258482.89892703493</v>
      </c>
      <c r="DZ179" s="168">
        <f t="shared" si="406"/>
        <v>287154.70697243238</v>
      </c>
      <c r="EA179" s="168">
        <f t="shared" si="406"/>
        <v>315826.51501782984</v>
      </c>
      <c r="EB179" s="168">
        <f t="shared" si="406"/>
        <v>0</v>
      </c>
      <c r="EC179" s="168">
        <f t="shared" si="406"/>
        <v>0</v>
      </c>
      <c r="ED179" s="1320">
        <f t="shared" si="406"/>
        <v>0</v>
      </c>
      <c r="EE179" s="168">
        <f t="shared" si="406"/>
        <v>0</v>
      </c>
      <c r="EF179" s="168">
        <f t="shared" si="406"/>
        <v>0</v>
      </c>
      <c r="EG179" s="168">
        <f t="shared" si="406"/>
        <v>0</v>
      </c>
      <c r="EH179" s="168">
        <f t="shared" si="406"/>
        <v>0</v>
      </c>
      <c r="EI179" s="168">
        <f t="shared" si="406"/>
        <v>0</v>
      </c>
      <c r="EJ179" s="168">
        <f t="shared" si="406"/>
        <v>0</v>
      </c>
      <c r="EK179" s="168">
        <f t="shared" si="406"/>
        <v>0</v>
      </c>
      <c r="EL179" s="168">
        <f t="shared" si="406"/>
        <v>0</v>
      </c>
      <c r="EM179" s="168">
        <f t="shared" si="406"/>
        <v>0</v>
      </c>
      <c r="EN179" s="168">
        <f t="shared" si="406"/>
        <v>0</v>
      </c>
      <c r="EO179" s="168">
        <f t="shared" si="406"/>
        <v>0</v>
      </c>
      <c r="EP179" s="168">
        <f t="shared" si="406"/>
        <v>0</v>
      </c>
      <c r="EQ179" s="168">
        <f t="shared" si="406"/>
        <v>0</v>
      </c>
    </row>
    <row r="180" spans="3:147" ht="11.25" customHeight="1">
      <c r="C180" s="163"/>
      <c r="D180" s="169" t="s">
        <v>231</v>
      </c>
      <c r="I180" s="90"/>
      <c r="J180" s="170">
        <f>SUM(L180:EQ180)</f>
        <v>3686229.9268934671</v>
      </c>
      <c r="K180" s="98"/>
      <c r="L180" s="171">
        <f>'NOI(M)'!M29</f>
        <v>0</v>
      </c>
      <c r="M180" s="171">
        <f>'NOI(M)'!N29</f>
        <v>32849.518333333333</v>
      </c>
      <c r="N180" s="171">
        <f>'NOI(M)'!O29</f>
        <v>32849.518333333333</v>
      </c>
      <c r="O180" s="171">
        <f>'NOI(M)'!P29</f>
        <v>32849.518333333333</v>
      </c>
      <c r="P180" s="171">
        <f>'NOI(M)'!Q29</f>
        <v>32849.518333333333</v>
      </c>
      <c r="Q180" s="171">
        <f>'NOI(M)'!R29</f>
        <v>32849.518333333333</v>
      </c>
      <c r="R180" s="171">
        <f>'NOI(M)'!S29</f>
        <v>32849.518333333333</v>
      </c>
      <c r="S180" s="171">
        <f>'NOI(M)'!T29</f>
        <v>32849.518333333333</v>
      </c>
      <c r="T180" s="171">
        <f>'NOI(M)'!U29</f>
        <v>32849.518333333333</v>
      </c>
      <c r="U180" s="171">
        <f>'NOI(M)'!V29</f>
        <v>32849.518333333333</v>
      </c>
      <c r="V180" s="171">
        <f>'NOI(M)'!W29</f>
        <v>32849.518333333333</v>
      </c>
      <c r="W180" s="171">
        <f>'NOI(M)'!X29</f>
        <v>32849.518333333333</v>
      </c>
      <c r="X180" s="171">
        <f>'NOI(M)'!Y29</f>
        <v>32849.518333333333</v>
      </c>
      <c r="Y180" s="171">
        <f>'NOI(M)'!Z29</f>
        <v>32356.775558333335</v>
      </c>
      <c r="Z180" s="171">
        <f>'NOI(M)'!AA29</f>
        <v>32356.775558333335</v>
      </c>
      <c r="AA180" s="171">
        <f>'NOI(M)'!AB29</f>
        <v>32356.775558333335</v>
      </c>
      <c r="AB180" s="171">
        <f>'NOI(M)'!AC29</f>
        <v>32356.775558333335</v>
      </c>
      <c r="AC180" s="171">
        <f>'NOI(M)'!AD29</f>
        <v>32356.775558333335</v>
      </c>
      <c r="AD180" s="171">
        <f>'NOI(M)'!AE29</f>
        <v>32356.775558333335</v>
      </c>
      <c r="AE180" s="171">
        <f>'NOI(M)'!AF29</f>
        <v>32356.775558333335</v>
      </c>
      <c r="AF180" s="171">
        <f>'NOI(M)'!AG29</f>
        <v>32356.775558333335</v>
      </c>
      <c r="AG180" s="171">
        <f>'NOI(M)'!AH29</f>
        <v>32356.775558333335</v>
      </c>
      <c r="AH180" s="171">
        <f>'NOI(M)'!AI29</f>
        <v>32356.775558333335</v>
      </c>
      <c r="AI180" s="171">
        <f>'NOI(M)'!AJ29</f>
        <v>32356.775558333335</v>
      </c>
      <c r="AJ180" s="171">
        <f>'NOI(M)'!AK29</f>
        <v>32356.775558333335</v>
      </c>
      <c r="AK180" s="171">
        <f>'NOI(M)'!AL29</f>
        <v>31871.423924958333</v>
      </c>
      <c r="AL180" s="171">
        <f>'NOI(M)'!AM29</f>
        <v>31871.423924958333</v>
      </c>
      <c r="AM180" s="171">
        <f>'NOI(M)'!AN29</f>
        <v>31871.423924958333</v>
      </c>
      <c r="AN180" s="171">
        <f>'NOI(M)'!AO29</f>
        <v>31871.423924958333</v>
      </c>
      <c r="AO180" s="171">
        <f>'NOI(M)'!AP29</f>
        <v>31871.423924958333</v>
      </c>
      <c r="AP180" s="171">
        <f>'NOI(M)'!AQ29</f>
        <v>31871.423924958333</v>
      </c>
      <c r="AQ180" s="171">
        <f>'NOI(M)'!AR29</f>
        <v>31871.423924958333</v>
      </c>
      <c r="AR180" s="171">
        <f>'NOI(M)'!AS29</f>
        <v>31871.423924958333</v>
      </c>
      <c r="AS180" s="171">
        <f>'NOI(M)'!AT29</f>
        <v>31871.423924958333</v>
      </c>
      <c r="AT180" s="171">
        <f>'NOI(M)'!AU29</f>
        <v>31871.423924958333</v>
      </c>
      <c r="AU180" s="171">
        <f>'NOI(M)'!AV29</f>
        <v>31871.423924958333</v>
      </c>
      <c r="AV180" s="171">
        <f>'NOI(M)'!AW29</f>
        <v>31871.423924958333</v>
      </c>
      <c r="AW180" s="171">
        <f>'NOI(M)'!AX29</f>
        <v>31393.352566083959</v>
      </c>
      <c r="AX180" s="171">
        <f>'NOI(M)'!AY29</f>
        <v>31393.352566083959</v>
      </c>
      <c r="AY180" s="171">
        <f>'NOI(M)'!AZ29</f>
        <v>31393.352566083959</v>
      </c>
      <c r="AZ180" s="171">
        <f>'NOI(M)'!BA29</f>
        <v>31393.352566083959</v>
      </c>
      <c r="BA180" s="171">
        <f>'NOI(M)'!BB29</f>
        <v>31393.352566083959</v>
      </c>
      <c r="BB180" s="171">
        <f>'NOI(M)'!BC29</f>
        <v>31393.352566083959</v>
      </c>
      <c r="BC180" s="171">
        <f>'NOI(M)'!BD29</f>
        <v>31393.352566083959</v>
      </c>
      <c r="BD180" s="171">
        <f>'NOI(M)'!BE29</f>
        <v>31393.352566083959</v>
      </c>
      <c r="BE180" s="171">
        <f>'NOI(M)'!BF29</f>
        <v>31393.352566083959</v>
      </c>
      <c r="BF180" s="171">
        <f>'NOI(M)'!BG29</f>
        <v>31393.352566083959</v>
      </c>
      <c r="BG180" s="171">
        <f>'NOI(M)'!BH29</f>
        <v>31393.352566083959</v>
      </c>
      <c r="BH180" s="171">
        <f>'NOI(M)'!BI29</f>
        <v>31393.352566083959</v>
      </c>
      <c r="BI180" s="171">
        <f>'NOI(M)'!BJ29</f>
        <v>30922.4522775927</v>
      </c>
      <c r="BJ180" s="171">
        <f>'NOI(M)'!BK29</f>
        <v>30922.4522775927</v>
      </c>
      <c r="BK180" s="171">
        <f>'NOI(M)'!BL29</f>
        <v>30922.4522775927</v>
      </c>
      <c r="BL180" s="171">
        <f>'NOI(M)'!BM29</f>
        <v>30922.4522775927</v>
      </c>
      <c r="BM180" s="171">
        <f>'NOI(M)'!BN29</f>
        <v>30922.4522775927</v>
      </c>
      <c r="BN180" s="171">
        <f>'NOI(M)'!BO29</f>
        <v>30922.4522775927</v>
      </c>
      <c r="BO180" s="171">
        <f>'NOI(M)'!BP29</f>
        <v>30922.4522775927</v>
      </c>
      <c r="BP180" s="171">
        <f>'NOI(M)'!BQ29</f>
        <v>30922.4522775927</v>
      </c>
      <c r="BQ180" s="171">
        <f>'NOI(M)'!BR29</f>
        <v>30922.4522775927</v>
      </c>
      <c r="BR180" s="171">
        <f>'NOI(M)'!BS29</f>
        <v>30922.4522775927</v>
      </c>
      <c r="BS180" s="171">
        <f>'NOI(M)'!BT29</f>
        <v>30922.4522775927</v>
      </c>
      <c r="BT180" s="171">
        <f>'NOI(M)'!BU29</f>
        <v>30922.4522775927</v>
      </c>
      <c r="BU180" s="171">
        <f>'NOI(M)'!BV29</f>
        <v>30458.61549342881</v>
      </c>
      <c r="BV180" s="171">
        <f>'NOI(M)'!BW29</f>
        <v>30458.61549342881</v>
      </c>
      <c r="BW180" s="171">
        <f>'NOI(M)'!BX29</f>
        <v>30458.61549342881</v>
      </c>
      <c r="BX180" s="171">
        <f>'NOI(M)'!BY29</f>
        <v>30458.61549342881</v>
      </c>
      <c r="BY180" s="171">
        <f>'NOI(M)'!BZ29</f>
        <v>30458.61549342881</v>
      </c>
      <c r="BZ180" s="171">
        <f>'NOI(M)'!CA29</f>
        <v>30458.61549342881</v>
      </c>
      <c r="CA180" s="171">
        <f>'NOI(M)'!CB29</f>
        <v>30458.61549342881</v>
      </c>
      <c r="CB180" s="171">
        <f>'NOI(M)'!CC29</f>
        <v>30458.61549342881</v>
      </c>
      <c r="CC180" s="171">
        <f>'NOI(M)'!CD29</f>
        <v>30458.61549342881</v>
      </c>
      <c r="CD180" s="171">
        <f>'NOI(M)'!CE29</f>
        <v>30458.61549342881</v>
      </c>
      <c r="CE180" s="171">
        <f>'NOI(M)'!CF29</f>
        <v>30458.61549342881</v>
      </c>
      <c r="CF180" s="171">
        <f>'NOI(M)'!CG29</f>
        <v>30458.61549342881</v>
      </c>
      <c r="CG180" s="171">
        <f>'NOI(M)'!CH29</f>
        <v>30001.736261027378</v>
      </c>
      <c r="CH180" s="171">
        <f>'NOI(M)'!CI29</f>
        <v>30001.736261027378</v>
      </c>
      <c r="CI180" s="171">
        <f>'NOI(M)'!CJ29</f>
        <v>30001.736261027378</v>
      </c>
      <c r="CJ180" s="171">
        <f>'NOI(M)'!CK29</f>
        <v>30001.736261027378</v>
      </c>
      <c r="CK180" s="171">
        <f>'NOI(M)'!CL29</f>
        <v>30001.736261027378</v>
      </c>
      <c r="CL180" s="171">
        <f>'NOI(M)'!CM29</f>
        <v>30001.736261027378</v>
      </c>
      <c r="CM180" s="171">
        <f>'NOI(M)'!CN29</f>
        <v>30001.736261027378</v>
      </c>
      <c r="CN180" s="171">
        <f>'NOI(M)'!CO29</f>
        <v>30001.736261027378</v>
      </c>
      <c r="CO180" s="171">
        <f>'NOI(M)'!CP29</f>
        <v>30001.736261027378</v>
      </c>
      <c r="CP180" s="171">
        <f>'NOI(M)'!CQ29</f>
        <v>30001.736261027378</v>
      </c>
      <c r="CQ180" s="171">
        <f>'NOI(M)'!CR29</f>
        <v>30001.736261027378</v>
      </c>
      <c r="CR180" s="171">
        <f>'NOI(M)'!CS29</f>
        <v>30001.736261027378</v>
      </c>
      <c r="CS180" s="171">
        <f>'NOI(M)'!CT29</f>
        <v>29551.710217111966</v>
      </c>
      <c r="CT180" s="171">
        <f>'NOI(M)'!CU29</f>
        <v>29551.710217111966</v>
      </c>
      <c r="CU180" s="171">
        <f>'NOI(M)'!CV29</f>
        <v>29551.710217111966</v>
      </c>
      <c r="CV180" s="171">
        <f>'NOI(M)'!CW29</f>
        <v>29551.710217111966</v>
      </c>
      <c r="CW180" s="171">
        <f>'NOI(M)'!CX29</f>
        <v>29551.710217111966</v>
      </c>
      <c r="CX180" s="171">
        <f>'NOI(M)'!CY29</f>
        <v>29551.710217111966</v>
      </c>
      <c r="CY180" s="171">
        <f>'NOI(M)'!CZ29</f>
        <v>29551.710217111966</v>
      </c>
      <c r="CZ180" s="171">
        <f>'NOI(M)'!DA29</f>
        <v>29551.710217111966</v>
      </c>
      <c r="DA180" s="171">
        <f>'NOI(M)'!DB29</f>
        <v>29551.710217111966</v>
      </c>
      <c r="DB180" s="171">
        <f>'NOI(M)'!DC29</f>
        <v>29551.710217111966</v>
      </c>
      <c r="DC180" s="171">
        <f>'NOI(M)'!DD29</f>
        <v>29551.710217111966</v>
      </c>
      <c r="DD180" s="171">
        <f>'NOI(M)'!DE29</f>
        <v>29551.710217111966</v>
      </c>
      <c r="DE180" s="171">
        <f>'NOI(M)'!DF29</f>
        <v>29108.434563855288</v>
      </c>
      <c r="DF180" s="171">
        <f>'NOI(M)'!DG29</f>
        <v>29108.434563855288</v>
      </c>
      <c r="DG180" s="171">
        <f>'NOI(M)'!DH29</f>
        <v>29108.434563855288</v>
      </c>
      <c r="DH180" s="171">
        <f>'NOI(M)'!DI29</f>
        <v>29108.434563855288</v>
      </c>
      <c r="DI180" s="171">
        <f>'NOI(M)'!DJ29</f>
        <v>29108.434563855288</v>
      </c>
      <c r="DJ180" s="171">
        <f>'NOI(M)'!DK29</f>
        <v>29108.434563855288</v>
      </c>
      <c r="DK180" s="171">
        <f>'NOI(M)'!DL29</f>
        <v>29108.434563855288</v>
      </c>
      <c r="DL180" s="171">
        <f>'NOI(M)'!DM29</f>
        <v>29108.434563855288</v>
      </c>
      <c r="DM180" s="171">
        <f>'NOI(M)'!DN29</f>
        <v>29108.434563855288</v>
      </c>
      <c r="DN180" s="171">
        <f>'NOI(M)'!DO29</f>
        <v>29108.434563855288</v>
      </c>
      <c r="DO180" s="171">
        <f>'NOI(M)'!DP29</f>
        <v>29108.434563855288</v>
      </c>
      <c r="DP180" s="171">
        <f>'NOI(M)'!DQ29</f>
        <v>29108.434563855288</v>
      </c>
      <c r="DQ180" s="171">
        <f>'NOI(M)'!DR29</f>
        <v>28671.808045397458</v>
      </c>
      <c r="DR180" s="171">
        <f>'NOI(M)'!DS29</f>
        <v>28671.808045397458</v>
      </c>
      <c r="DS180" s="171">
        <f>'NOI(M)'!DT29</f>
        <v>28671.808045397458</v>
      </c>
      <c r="DT180" s="171">
        <f>'NOI(M)'!DU29</f>
        <v>28671.808045397458</v>
      </c>
      <c r="DU180" s="171">
        <f>'NOI(M)'!DV29</f>
        <v>28671.808045397458</v>
      </c>
      <c r="DV180" s="171">
        <f>'NOI(M)'!DW29</f>
        <v>28671.808045397458</v>
      </c>
      <c r="DW180" s="171">
        <f>'NOI(M)'!DX29</f>
        <v>28671.808045397458</v>
      </c>
      <c r="DX180" s="171">
        <f>'NOI(M)'!DY29</f>
        <v>28671.808045397458</v>
      </c>
      <c r="DY180" s="171">
        <f>'NOI(M)'!DZ29</f>
        <v>28671.808045397458</v>
      </c>
      <c r="DZ180" s="171">
        <f>'NOI(M)'!EA29</f>
        <v>28671.808045397458</v>
      </c>
      <c r="EA180" s="171">
        <f>'NOI(M)'!EB29</f>
        <v>28671.808045397458</v>
      </c>
      <c r="EB180" s="171">
        <f>'NOI(M)'!EC29</f>
        <v>28671.808045397458</v>
      </c>
      <c r="EC180" s="171">
        <f>'NOI(M)'!ED29</f>
        <v>0</v>
      </c>
      <c r="ED180" s="1321">
        <f>'NOI(M)'!EE29</f>
        <v>0</v>
      </c>
      <c r="EE180" s="171">
        <f>'NOI(M)'!EF29</f>
        <v>0</v>
      </c>
      <c r="EF180" s="171">
        <f>'NOI(M)'!EG29</f>
        <v>0</v>
      </c>
      <c r="EG180" s="171">
        <f>'NOI(M)'!EH29</f>
        <v>0</v>
      </c>
      <c r="EH180" s="171">
        <f>'NOI(M)'!EI29</f>
        <v>0</v>
      </c>
      <c r="EI180" s="171">
        <f>'NOI(M)'!EJ29</f>
        <v>0</v>
      </c>
      <c r="EJ180" s="171">
        <f>'NOI(M)'!EK29</f>
        <v>0</v>
      </c>
      <c r="EK180" s="171">
        <f>'NOI(M)'!EL29</f>
        <v>0</v>
      </c>
      <c r="EL180" s="171">
        <f>'NOI(M)'!EM29</f>
        <v>0</v>
      </c>
      <c r="EM180" s="171">
        <f>'NOI(M)'!EN29</f>
        <v>0</v>
      </c>
      <c r="EN180" s="171">
        <f>'NOI(M)'!EO29</f>
        <v>0</v>
      </c>
      <c r="EO180" s="171">
        <f>'NOI(M)'!EP29</f>
        <v>0</v>
      </c>
      <c r="EP180" s="171">
        <f>'NOI(M)'!EQ29</f>
        <v>0</v>
      </c>
      <c r="EQ180" s="171">
        <f>'NOI(M)'!ER29</f>
        <v>0</v>
      </c>
    </row>
    <row r="181" spans="3:147" ht="11.25" customHeight="1">
      <c r="C181" s="163"/>
      <c r="D181" s="169" t="s">
        <v>232</v>
      </c>
      <c r="I181" s="248"/>
      <c r="J181" s="170">
        <f>SUM(L181:EQ181)</f>
        <v>3686229.9268934703</v>
      </c>
      <c r="K181" s="98"/>
      <c r="L181" s="171">
        <f>SUM(L179:L180)*Index!L$53</f>
        <v>0</v>
      </c>
      <c r="M181" s="171">
        <f>SUM(M179:M180)*Index!M$53</f>
        <v>0</v>
      </c>
      <c r="N181" s="171">
        <f>SUM(N179:N180)*Index!N$53</f>
        <v>0</v>
      </c>
      <c r="O181" s="171">
        <f>SUM(O179:O180)*Index!O$53</f>
        <v>0</v>
      </c>
      <c r="P181" s="171">
        <f>SUM(P179:P180)*Index!P$53</f>
        <v>0</v>
      </c>
      <c r="Q181" s="171">
        <f>SUM(Q179:Q180)*Index!Q$53</f>
        <v>0</v>
      </c>
      <c r="R181" s="171">
        <f>SUM(R179:R180)*Index!R$53</f>
        <v>0</v>
      </c>
      <c r="S181" s="171">
        <f>SUM(S179:S180)*Index!S$53</f>
        <v>0</v>
      </c>
      <c r="T181" s="171">
        <f>SUM(T179:T180)*Index!T$53</f>
        <v>0</v>
      </c>
      <c r="U181" s="171">
        <f>SUM(U179:U180)*Index!U$53</f>
        <v>0</v>
      </c>
      <c r="V181" s="171">
        <f>SUM(V179:V180)*Index!V$53</f>
        <v>0</v>
      </c>
      <c r="W181" s="171">
        <f>SUM(W179:W180)*Index!W$53</f>
        <v>361344.7016666666</v>
      </c>
      <c r="X181" s="171">
        <f>SUM(X179:X180)*Index!X$53</f>
        <v>0</v>
      </c>
      <c r="Y181" s="171">
        <f>SUM(Y179:Y180)*Index!Y$53</f>
        <v>0</v>
      </c>
      <c r="Z181" s="171">
        <f>SUM(Z179:Z180)*Index!Z$53</f>
        <v>0</v>
      </c>
      <c r="AA181" s="171">
        <f>SUM(AA179:AA180)*Index!AA$53</f>
        <v>0</v>
      </c>
      <c r="AB181" s="171">
        <f>SUM(AB179:AB180)*Index!AB$53</f>
        <v>0</v>
      </c>
      <c r="AC181" s="171">
        <f>SUM(AC179:AC180)*Index!AC$53</f>
        <v>0</v>
      </c>
      <c r="AD181" s="171">
        <f>SUM(AD179:AD180)*Index!AD$53</f>
        <v>0</v>
      </c>
      <c r="AE181" s="171">
        <f>SUM(AE179:AE180)*Index!AE$53</f>
        <v>0</v>
      </c>
      <c r="AF181" s="171">
        <f>SUM(AF179:AF180)*Index!AF$53</f>
        <v>0</v>
      </c>
      <c r="AG181" s="171">
        <f>SUM(AG179:AG180)*Index!AG$53</f>
        <v>0</v>
      </c>
      <c r="AH181" s="171">
        <f>SUM(AH179:AH180)*Index!AH$53</f>
        <v>0</v>
      </c>
      <c r="AI181" s="171">
        <f>SUM(AI179:AI180)*Index!AI$53</f>
        <v>388774.04947499995</v>
      </c>
      <c r="AJ181" s="171">
        <f>SUM(AJ179:AJ180)*Index!AJ$53</f>
        <v>0</v>
      </c>
      <c r="AK181" s="171">
        <f>SUM(AK179:AK180)*Index!AK$53</f>
        <v>0</v>
      </c>
      <c r="AL181" s="171">
        <f>SUM(AL179:AL180)*Index!AL$53</f>
        <v>0</v>
      </c>
      <c r="AM181" s="171">
        <f>SUM(AM179:AM180)*Index!AM$53</f>
        <v>0</v>
      </c>
      <c r="AN181" s="171">
        <f>SUM(AN179:AN180)*Index!AN$53</f>
        <v>0</v>
      </c>
      <c r="AO181" s="171">
        <f>SUM(AO179:AO180)*Index!AO$53</f>
        <v>0</v>
      </c>
      <c r="AP181" s="171">
        <f>SUM(AP179:AP180)*Index!AP$53</f>
        <v>0</v>
      </c>
      <c r="AQ181" s="171">
        <f>SUM(AQ179:AQ180)*Index!AQ$53</f>
        <v>0</v>
      </c>
      <c r="AR181" s="171">
        <f>SUM(AR179:AR180)*Index!AR$53</f>
        <v>0</v>
      </c>
      <c r="AS181" s="171">
        <f>SUM(AS179:AS180)*Index!AS$53</f>
        <v>0</v>
      </c>
      <c r="AT181" s="171">
        <f>SUM(AT179:AT180)*Index!AT$53</f>
        <v>0</v>
      </c>
      <c r="AU181" s="171">
        <f>SUM(AU179:AU180)*Index!AU$53</f>
        <v>382942.43873287499</v>
      </c>
      <c r="AV181" s="171">
        <f>SUM(AV179:AV180)*Index!AV$53</f>
        <v>0</v>
      </c>
      <c r="AW181" s="171">
        <f>SUM(AW179:AW180)*Index!AW$53</f>
        <v>0</v>
      </c>
      <c r="AX181" s="171">
        <f>SUM(AX179:AX180)*Index!AX$53</f>
        <v>0</v>
      </c>
      <c r="AY181" s="171">
        <f>SUM(AY179:AY180)*Index!AY$53</f>
        <v>0</v>
      </c>
      <c r="AZ181" s="171">
        <f>SUM(AZ179:AZ180)*Index!AZ$53</f>
        <v>0</v>
      </c>
      <c r="BA181" s="171">
        <f>SUM(BA179:BA180)*Index!BA$53</f>
        <v>0</v>
      </c>
      <c r="BB181" s="171">
        <f>SUM(BB179:BB180)*Index!BB$53</f>
        <v>0</v>
      </c>
      <c r="BC181" s="171">
        <f>SUM(BC179:BC180)*Index!BC$53</f>
        <v>0</v>
      </c>
      <c r="BD181" s="171">
        <f>SUM(BD179:BD180)*Index!BD$53</f>
        <v>0</v>
      </c>
      <c r="BE181" s="171">
        <f>SUM(BE179:BE180)*Index!BE$53</f>
        <v>0</v>
      </c>
      <c r="BF181" s="171">
        <f>SUM(BF179:BF180)*Index!BF$53</f>
        <v>0</v>
      </c>
      <c r="BG181" s="171">
        <f>SUM(BG179:BG180)*Index!BG$53</f>
        <v>377198.30215188186</v>
      </c>
      <c r="BH181" s="171">
        <f>SUM(BH179:BH180)*Index!BH$53</f>
        <v>0</v>
      </c>
      <c r="BI181" s="171">
        <f>SUM(BI179:BI180)*Index!BI$53</f>
        <v>0</v>
      </c>
      <c r="BJ181" s="171">
        <f>SUM(BJ179:BJ180)*Index!BJ$53</f>
        <v>0</v>
      </c>
      <c r="BK181" s="171">
        <f>SUM(BK179:BK180)*Index!BK$53</f>
        <v>0</v>
      </c>
      <c r="BL181" s="171">
        <f>SUM(BL179:BL180)*Index!BL$53</f>
        <v>0</v>
      </c>
      <c r="BM181" s="171">
        <f>SUM(BM179:BM180)*Index!BM$53</f>
        <v>0</v>
      </c>
      <c r="BN181" s="171">
        <f>SUM(BN179:BN180)*Index!BN$53</f>
        <v>0</v>
      </c>
      <c r="BO181" s="171">
        <f>SUM(BO179:BO180)*Index!BO$53</f>
        <v>0</v>
      </c>
      <c r="BP181" s="171">
        <f>SUM(BP179:BP180)*Index!BP$53</f>
        <v>0</v>
      </c>
      <c r="BQ181" s="171">
        <f>SUM(BQ179:BQ180)*Index!BQ$53</f>
        <v>0</v>
      </c>
      <c r="BR181" s="171">
        <f>SUM(BR179:BR180)*Index!BR$53</f>
        <v>0</v>
      </c>
      <c r="BS181" s="171">
        <f>SUM(BS179:BS180)*Index!BS$53</f>
        <v>371540.3276196036</v>
      </c>
      <c r="BT181" s="171">
        <f>SUM(BT179:BT180)*Index!BT$53</f>
        <v>0</v>
      </c>
      <c r="BU181" s="171">
        <f>SUM(BU179:BU180)*Index!BU$53</f>
        <v>0</v>
      </c>
      <c r="BV181" s="171">
        <f>SUM(BV179:BV180)*Index!BV$53</f>
        <v>0</v>
      </c>
      <c r="BW181" s="171">
        <f>SUM(BW179:BW180)*Index!BW$53</f>
        <v>0</v>
      </c>
      <c r="BX181" s="171">
        <f>SUM(BX179:BX180)*Index!BX$53</f>
        <v>0</v>
      </c>
      <c r="BY181" s="171">
        <f>SUM(BY179:BY180)*Index!BY$53</f>
        <v>0</v>
      </c>
      <c r="BZ181" s="171">
        <f>SUM(BZ179:BZ180)*Index!BZ$53</f>
        <v>0</v>
      </c>
      <c r="CA181" s="171">
        <f>SUM(CA179:CA180)*Index!CA$53</f>
        <v>0</v>
      </c>
      <c r="CB181" s="171">
        <f>SUM(CB179:CB180)*Index!CB$53</f>
        <v>0</v>
      </c>
      <c r="CC181" s="171">
        <f>SUM(CC179:CC180)*Index!CC$53</f>
        <v>0</v>
      </c>
      <c r="CD181" s="171">
        <f>SUM(CD179:CD180)*Index!CD$53</f>
        <v>0</v>
      </c>
      <c r="CE181" s="171">
        <f>SUM(CE179:CE180)*Index!CE$53</f>
        <v>365967.22270530969</v>
      </c>
      <c r="CF181" s="171">
        <f>SUM(CF179:CF180)*Index!CF$53</f>
        <v>0</v>
      </c>
      <c r="CG181" s="171">
        <f>SUM(CG179:CG180)*Index!CG$53</f>
        <v>0</v>
      </c>
      <c r="CH181" s="171">
        <f>SUM(CH179:CH180)*Index!CH$53</f>
        <v>0</v>
      </c>
      <c r="CI181" s="171">
        <f>SUM(CI179:CI180)*Index!CI$53</f>
        <v>0</v>
      </c>
      <c r="CJ181" s="171">
        <f>SUM(CJ179:CJ180)*Index!CJ$53</f>
        <v>0</v>
      </c>
      <c r="CK181" s="171">
        <f>SUM(CK179:CK180)*Index!CK$53</f>
        <v>0</v>
      </c>
      <c r="CL181" s="171">
        <f>SUM(CL179:CL180)*Index!CL$53</f>
        <v>0</v>
      </c>
      <c r="CM181" s="171">
        <f>SUM(CM179:CM180)*Index!CM$53</f>
        <v>0</v>
      </c>
      <c r="CN181" s="171">
        <f>SUM(CN179:CN180)*Index!CN$53</f>
        <v>0</v>
      </c>
      <c r="CO181" s="171">
        <f>SUM(CO179:CO180)*Index!CO$53</f>
        <v>0</v>
      </c>
      <c r="CP181" s="171">
        <f>SUM(CP179:CP180)*Index!CP$53</f>
        <v>0</v>
      </c>
      <c r="CQ181" s="171">
        <f>SUM(CQ179:CQ180)*Index!CQ$53</f>
        <v>360477.71436473</v>
      </c>
      <c r="CR181" s="171">
        <f>SUM(CR179:CR180)*Index!CR$53</f>
        <v>0</v>
      </c>
      <c r="CS181" s="171">
        <f>SUM(CS179:CS180)*Index!CS$53</f>
        <v>0</v>
      </c>
      <c r="CT181" s="171">
        <f>SUM(CT179:CT180)*Index!CT$53</f>
        <v>0</v>
      </c>
      <c r="CU181" s="171">
        <f>SUM(CU179:CU180)*Index!CU$53</f>
        <v>0</v>
      </c>
      <c r="CV181" s="171">
        <f>SUM(CV179:CV180)*Index!CV$53</f>
        <v>0</v>
      </c>
      <c r="CW181" s="171">
        <f>SUM(CW179:CW180)*Index!CW$53</f>
        <v>0</v>
      </c>
      <c r="CX181" s="171">
        <f>SUM(CX179:CX180)*Index!CX$53</f>
        <v>0</v>
      </c>
      <c r="CY181" s="171">
        <f>SUM(CY179:CY180)*Index!CY$53</f>
        <v>0</v>
      </c>
      <c r="CZ181" s="171">
        <f>SUM(CZ179:CZ180)*Index!CZ$53</f>
        <v>0</v>
      </c>
      <c r="DA181" s="171">
        <f>SUM(DA179:DA180)*Index!DA$53</f>
        <v>0</v>
      </c>
      <c r="DB181" s="171">
        <f>SUM(DB179:DB180)*Index!DB$53</f>
        <v>0</v>
      </c>
      <c r="DC181" s="171">
        <f>SUM(DC179:DC180)*Index!DC$53</f>
        <v>355070.54864925909</v>
      </c>
      <c r="DD181" s="171">
        <f>SUM(DD179:DD180)*Index!DD$53</f>
        <v>0</v>
      </c>
      <c r="DE181" s="171">
        <f>SUM(DE179:DE180)*Index!DE$53</f>
        <v>0</v>
      </c>
      <c r="DF181" s="171">
        <f>SUM(DF179:DF180)*Index!DF$53</f>
        <v>0</v>
      </c>
      <c r="DG181" s="171">
        <f>SUM(DG179:DG180)*Index!DG$53</f>
        <v>0</v>
      </c>
      <c r="DH181" s="171">
        <f>SUM(DH179:DH180)*Index!DH$53</f>
        <v>0</v>
      </c>
      <c r="DI181" s="171">
        <f>SUM(DI179:DI180)*Index!DI$53</f>
        <v>0</v>
      </c>
      <c r="DJ181" s="171">
        <f>SUM(DJ179:DJ180)*Index!DJ$53</f>
        <v>0</v>
      </c>
      <c r="DK181" s="171">
        <f>SUM(DK179:DK180)*Index!DK$53</f>
        <v>0</v>
      </c>
      <c r="DL181" s="171">
        <f>SUM(DL179:DL180)*Index!DL$53</f>
        <v>0</v>
      </c>
      <c r="DM181" s="171">
        <f>SUM(DM179:DM180)*Index!DM$53</f>
        <v>0</v>
      </c>
      <c r="DN181" s="171">
        <f>SUM(DN179:DN180)*Index!DN$53</f>
        <v>0</v>
      </c>
      <c r="DO181" s="171">
        <f>SUM(DO179:DO180)*Index!DO$53</f>
        <v>349744.49041952012</v>
      </c>
      <c r="DP181" s="171">
        <f>SUM(DP179:DP180)*Index!DP$53</f>
        <v>0</v>
      </c>
      <c r="DQ181" s="171">
        <f>SUM(DQ179:DQ180)*Index!DQ$53</f>
        <v>0</v>
      </c>
      <c r="DR181" s="171">
        <f>SUM(DR179:DR180)*Index!DR$53</f>
        <v>0</v>
      </c>
      <c r="DS181" s="171">
        <f>SUM(DS179:DS180)*Index!DS$53</f>
        <v>0</v>
      </c>
      <c r="DT181" s="171">
        <f>SUM(DT179:DT180)*Index!DT$53</f>
        <v>0</v>
      </c>
      <c r="DU181" s="171">
        <f>SUM(DU179:DU180)*Index!DU$53</f>
        <v>0</v>
      </c>
      <c r="DV181" s="171">
        <f>SUM(DV179:DV180)*Index!DV$53</f>
        <v>0</v>
      </c>
      <c r="DW181" s="171">
        <f>SUM(DW179:DW180)*Index!DW$53</f>
        <v>0</v>
      </c>
      <c r="DX181" s="171">
        <f>SUM(DX179:DX180)*Index!DX$53</f>
        <v>0</v>
      </c>
      <c r="DY181" s="171">
        <f>SUM(DY179:DY180)*Index!DY$53</f>
        <v>0</v>
      </c>
      <c r="DZ181" s="171">
        <f>SUM(DZ179:DZ180)*Index!DZ$53</f>
        <v>0</v>
      </c>
      <c r="EA181" s="171">
        <f>SUM(EA179:EA180)*Index!EA$53</f>
        <v>344498.32306322729</v>
      </c>
      <c r="EB181" s="171">
        <f>SUM(EB179:EB180)*Index!EB$53</f>
        <v>28671.808045397458</v>
      </c>
      <c r="EC181" s="171">
        <f>SUM(EC179:EC180)*Index!EC$53</f>
        <v>0</v>
      </c>
      <c r="ED181" s="1321">
        <f>SUM(ED179:ED180)*Index!ED$53</f>
        <v>0</v>
      </c>
      <c r="EE181" s="171">
        <f>SUM(EE179:EE180)*Index!EE$53</f>
        <v>0</v>
      </c>
      <c r="EF181" s="171">
        <f>SUM(EF179:EF180)*Index!EF$53</f>
        <v>0</v>
      </c>
      <c r="EG181" s="171">
        <f>SUM(EG179:EG180)*Index!EG$53</f>
        <v>0</v>
      </c>
      <c r="EH181" s="171">
        <f>SUM(EH179:EH180)*Index!EH$53</f>
        <v>0</v>
      </c>
      <c r="EI181" s="171">
        <f>SUM(EI179:EI180)*Index!EI$53</f>
        <v>0</v>
      </c>
      <c r="EJ181" s="171">
        <f>SUM(EJ179:EJ180)*Index!EJ$53</f>
        <v>0</v>
      </c>
      <c r="EK181" s="171">
        <f>SUM(EK179:EK180)*Index!EK$53</f>
        <v>0</v>
      </c>
      <c r="EL181" s="171">
        <f>SUM(EL179:EL180)*Index!EL$53</f>
        <v>0</v>
      </c>
      <c r="EM181" s="171">
        <f>SUM(EM179:EM180)*Index!EM$53</f>
        <v>0</v>
      </c>
      <c r="EN181" s="171">
        <f>SUM(EN179:EN180)*Index!EN$53</f>
        <v>0</v>
      </c>
      <c r="EO181" s="171">
        <f>SUM(EO179:EO180)*Index!EO$53</f>
        <v>0</v>
      </c>
      <c r="EP181" s="171">
        <f>SUM(EP179:EP180)*Index!EP$53</f>
        <v>0</v>
      </c>
      <c r="EQ181" s="171">
        <f>SUM(EQ179:EQ180)*Index!EQ$53</f>
        <v>0</v>
      </c>
    </row>
    <row r="182" spans="3:147" ht="11.25" customHeight="1">
      <c r="C182" s="163"/>
      <c r="D182" s="169" t="s">
        <v>233</v>
      </c>
      <c r="I182" s="248"/>
      <c r="J182" s="170"/>
      <c r="K182" s="98"/>
      <c r="L182" s="171">
        <f>L179+L180-L181</f>
        <v>0</v>
      </c>
      <c r="M182" s="171">
        <f t="shared" ref="M182:BX182" si="407">M179+M180-M181</f>
        <v>32849.518333333333</v>
      </c>
      <c r="N182" s="171">
        <f t="shared" si="407"/>
        <v>65699.036666666667</v>
      </c>
      <c r="O182" s="171">
        <f t="shared" si="407"/>
        <v>98548.554999999993</v>
      </c>
      <c r="P182" s="171">
        <f t="shared" si="407"/>
        <v>131398.07333333333</v>
      </c>
      <c r="Q182" s="171">
        <f t="shared" si="407"/>
        <v>164247.59166666667</v>
      </c>
      <c r="R182" s="171">
        <f t="shared" si="407"/>
        <v>197097.11000000002</v>
      </c>
      <c r="S182" s="171">
        <f t="shared" si="407"/>
        <v>229946.62833333336</v>
      </c>
      <c r="T182" s="171">
        <f t="shared" si="407"/>
        <v>262796.14666666667</v>
      </c>
      <c r="U182" s="171">
        <f t="shared" si="407"/>
        <v>295645.66499999998</v>
      </c>
      <c r="V182" s="171">
        <f t="shared" si="407"/>
        <v>328495.18333333329</v>
      </c>
      <c r="W182" s="171">
        <f t="shared" si="407"/>
        <v>0</v>
      </c>
      <c r="X182" s="171">
        <f t="shared" si="407"/>
        <v>32849.518333333333</v>
      </c>
      <c r="Y182" s="171">
        <f t="shared" si="407"/>
        <v>65206.293891666668</v>
      </c>
      <c r="Z182" s="171">
        <f t="shared" si="407"/>
        <v>97563.06945000001</v>
      </c>
      <c r="AA182" s="171">
        <f t="shared" si="407"/>
        <v>129919.84500833334</v>
      </c>
      <c r="AB182" s="171">
        <f t="shared" si="407"/>
        <v>162276.62056666668</v>
      </c>
      <c r="AC182" s="171">
        <f t="shared" si="407"/>
        <v>194633.39612500003</v>
      </c>
      <c r="AD182" s="171">
        <f t="shared" si="407"/>
        <v>226990.17168333335</v>
      </c>
      <c r="AE182" s="171">
        <f t="shared" si="407"/>
        <v>259346.94724166667</v>
      </c>
      <c r="AF182" s="171">
        <f t="shared" si="407"/>
        <v>291703.72279999999</v>
      </c>
      <c r="AG182" s="171">
        <f t="shared" si="407"/>
        <v>324060.49835833331</v>
      </c>
      <c r="AH182" s="171">
        <f t="shared" si="407"/>
        <v>356417.27391666663</v>
      </c>
      <c r="AI182" s="171">
        <f t="shared" si="407"/>
        <v>0</v>
      </c>
      <c r="AJ182" s="171">
        <f t="shared" si="407"/>
        <v>32356.775558333335</v>
      </c>
      <c r="AK182" s="171">
        <f t="shared" si="407"/>
        <v>64228.199483291668</v>
      </c>
      <c r="AL182" s="171">
        <f t="shared" si="407"/>
        <v>96099.623408250001</v>
      </c>
      <c r="AM182" s="171">
        <f t="shared" si="407"/>
        <v>127971.04733320833</v>
      </c>
      <c r="AN182" s="171">
        <f t="shared" si="407"/>
        <v>159842.47125816665</v>
      </c>
      <c r="AO182" s="171">
        <f t="shared" si="407"/>
        <v>191713.89518312499</v>
      </c>
      <c r="AP182" s="171">
        <f t="shared" si="407"/>
        <v>223585.31910808332</v>
      </c>
      <c r="AQ182" s="171">
        <f t="shared" si="407"/>
        <v>255456.74303304165</v>
      </c>
      <c r="AR182" s="171">
        <f t="shared" si="407"/>
        <v>287328.16695799999</v>
      </c>
      <c r="AS182" s="171">
        <f t="shared" si="407"/>
        <v>319199.59088295832</v>
      </c>
      <c r="AT182" s="171">
        <f t="shared" si="407"/>
        <v>351071.01480791665</v>
      </c>
      <c r="AU182" s="171">
        <f t="shared" si="407"/>
        <v>0</v>
      </c>
      <c r="AV182" s="171">
        <f t="shared" si="407"/>
        <v>31871.423924958333</v>
      </c>
      <c r="AW182" s="171">
        <f t="shared" si="407"/>
        <v>63264.776491042292</v>
      </c>
      <c r="AX182" s="171">
        <f t="shared" si="407"/>
        <v>94658.129057126251</v>
      </c>
      <c r="AY182" s="171">
        <f t="shared" si="407"/>
        <v>126051.48162321022</v>
      </c>
      <c r="AZ182" s="171">
        <f t="shared" si="407"/>
        <v>157444.83418929417</v>
      </c>
      <c r="BA182" s="171">
        <f t="shared" si="407"/>
        <v>188838.18675537812</v>
      </c>
      <c r="BB182" s="171">
        <f t="shared" si="407"/>
        <v>220231.53932146207</v>
      </c>
      <c r="BC182" s="171">
        <f t="shared" si="407"/>
        <v>251624.89188754602</v>
      </c>
      <c r="BD182" s="171">
        <f t="shared" si="407"/>
        <v>283018.24445363</v>
      </c>
      <c r="BE182" s="171">
        <f t="shared" si="407"/>
        <v>314411.59701971395</v>
      </c>
      <c r="BF182" s="171">
        <f t="shared" si="407"/>
        <v>345804.94958579791</v>
      </c>
      <c r="BG182" s="171">
        <f t="shared" si="407"/>
        <v>0</v>
      </c>
      <c r="BH182" s="171">
        <f t="shared" si="407"/>
        <v>31393.352566083959</v>
      </c>
      <c r="BI182" s="171">
        <f t="shared" si="407"/>
        <v>62315.804843676655</v>
      </c>
      <c r="BJ182" s="171">
        <f t="shared" si="407"/>
        <v>93238.257121269358</v>
      </c>
      <c r="BK182" s="171">
        <f t="shared" si="407"/>
        <v>124160.70939886206</v>
      </c>
      <c r="BL182" s="171">
        <f t="shared" si="407"/>
        <v>155083.16167645477</v>
      </c>
      <c r="BM182" s="171">
        <f t="shared" si="407"/>
        <v>186005.61395404747</v>
      </c>
      <c r="BN182" s="171">
        <f t="shared" si="407"/>
        <v>216928.06623164017</v>
      </c>
      <c r="BO182" s="171">
        <f t="shared" si="407"/>
        <v>247850.51850923288</v>
      </c>
      <c r="BP182" s="171">
        <f t="shared" si="407"/>
        <v>278772.97078682558</v>
      </c>
      <c r="BQ182" s="171">
        <f t="shared" si="407"/>
        <v>309695.42306441825</v>
      </c>
      <c r="BR182" s="171">
        <f t="shared" si="407"/>
        <v>340617.87534201093</v>
      </c>
      <c r="BS182" s="171">
        <f t="shared" si="407"/>
        <v>0</v>
      </c>
      <c r="BT182" s="171">
        <f t="shared" si="407"/>
        <v>30922.4522775927</v>
      </c>
      <c r="BU182" s="171">
        <f t="shared" si="407"/>
        <v>61381.06777102151</v>
      </c>
      <c r="BV182" s="171">
        <f t="shared" si="407"/>
        <v>91839.683264450316</v>
      </c>
      <c r="BW182" s="171">
        <f t="shared" si="407"/>
        <v>122298.29875787912</v>
      </c>
      <c r="BX182" s="171">
        <f t="shared" si="407"/>
        <v>152756.91425130793</v>
      </c>
      <c r="BY182" s="171">
        <f t="shared" ref="BY182:DT182" si="408">BY179+BY180-BY181</f>
        <v>183215.52974473673</v>
      </c>
      <c r="BZ182" s="171">
        <f t="shared" si="408"/>
        <v>213674.14523816554</v>
      </c>
      <c r="CA182" s="171">
        <f t="shared" si="408"/>
        <v>244132.76073159435</v>
      </c>
      <c r="CB182" s="171">
        <f t="shared" si="408"/>
        <v>274591.37622502318</v>
      </c>
      <c r="CC182" s="171">
        <f t="shared" si="408"/>
        <v>305049.99171845202</v>
      </c>
      <c r="CD182" s="171">
        <f t="shared" si="408"/>
        <v>335508.60721188085</v>
      </c>
      <c r="CE182" s="171">
        <f t="shared" si="408"/>
        <v>0</v>
      </c>
      <c r="CF182" s="171">
        <f t="shared" si="408"/>
        <v>30458.61549342881</v>
      </c>
      <c r="CG182" s="171">
        <f t="shared" si="408"/>
        <v>60460.351754456191</v>
      </c>
      <c r="CH182" s="171">
        <f t="shared" si="408"/>
        <v>90462.088015483576</v>
      </c>
      <c r="CI182" s="171">
        <f t="shared" si="408"/>
        <v>120463.82427651095</v>
      </c>
      <c r="CJ182" s="171">
        <f t="shared" si="408"/>
        <v>150465.56053753832</v>
      </c>
      <c r="CK182" s="171">
        <f t="shared" si="408"/>
        <v>180467.29679856569</v>
      </c>
      <c r="CL182" s="171">
        <f t="shared" si="408"/>
        <v>210469.03305959306</v>
      </c>
      <c r="CM182" s="171">
        <f t="shared" si="408"/>
        <v>240470.76932062043</v>
      </c>
      <c r="CN182" s="171">
        <f t="shared" si="408"/>
        <v>270472.5055816478</v>
      </c>
      <c r="CO182" s="171">
        <f t="shared" si="408"/>
        <v>300474.2418426752</v>
      </c>
      <c r="CP182" s="171">
        <f t="shared" si="408"/>
        <v>330475.9781037026</v>
      </c>
      <c r="CQ182" s="171">
        <f t="shared" si="408"/>
        <v>0</v>
      </c>
      <c r="CR182" s="171">
        <f t="shared" si="408"/>
        <v>30001.736261027378</v>
      </c>
      <c r="CS182" s="171">
        <f t="shared" si="408"/>
        <v>59553.446478139347</v>
      </c>
      <c r="CT182" s="171">
        <f t="shared" si="408"/>
        <v>89105.156695251309</v>
      </c>
      <c r="CU182" s="171">
        <f t="shared" si="408"/>
        <v>118656.86691236327</v>
      </c>
      <c r="CV182" s="171">
        <f t="shared" si="408"/>
        <v>148208.57712947525</v>
      </c>
      <c r="CW182" s="171">
        <f t="shared" si="408"/>
        <v>177760.28734658723</v>
      </c>
      <c r="CX182" s="171">
        <f t="shared" si="408"/>
        <v>207311.9975636992</v>
      </c>
      <c r="CY182" s="171">
        <f t="shared" si="408"/>
        <v>236863.70778081118</v>
      </c>
      <c r="CZ182" s="171">
        <f t="shared" si="408"/>
        <v>266415.41799792316</v>
      </c>
      <c r="DA182" s="171">
        <f t="shared" si="408"/>
        <v>295967.12821503513</v>
      </c>
      <c r="DB182" s="171">
        <f t="shared" si="408"/>
        <v>325518.83843214711</v>
      </c>
      <c r="DC182" s="171">
        <f t="shared" si="408"/>
        <v>0</v>
      </c>
      <c r="DD182" s="171">
        <f t="shared" si="408"/>
        <v>29551.710217111966</v>
      </c>
      <c r="DE182" s="171">
        <f t="shared" si="408"/>
        <v>58660.144780967254</v>
      </c>
      <c r="DF182" s="171">
        <f t="shared" si="408"/>
        <v>87768.579344822545</v>
      </c>
      <c r="DG182" s="171">
        <f t="shared" si="408"/>
        <v>116877.01390867784</v>
      </c>
      <c r="DH182" s="171">
        <f t="shared" si="408"/>
        <v>145985.44847253311</v>
      </c>
      <c r="DI182" s="171">
        <f t="shared" si="408"/>
        <v>175093.8830363884</v>
      </c>
      <c r="DJ182" s="171">
        <f t="shared" si="408"/>
        <v>204202.3176002437</v>
      </c>
      <c r="DK182" s="171">
        <f t="shared" si="408"/>
        <v>233310.75216409899</v>
      </c>
      <c r="DL182" s="171">
        <f t="shared" si="408"/>
        <v>262419.18672795425</v>
      </c>
      <c r="DM182" s="171">
        <f t="shared" si="408"/>
        <v>291527.62129180954</v>
      </c>
      <c r="DN182" s="171">
        <f t="shared" si="408"/>
        <v>320636.05585566483</v>
      </c>
      <c r="DO182" s="171">
        <f t="shared" si="408"/>
        <v>0</v>
      </c>
      <c r="DP182" s="171">
        <f t="shared" si="408"/>
        <v>29108.434563855288</v>
      </c>
      <c r="DQ182" s="171">
        <f t="shared" si="408"/>
        <v>57780.242609252746</v>
      </c>
      <c r="DR182" s="171">
        <f t="shared" si="408"/>
        <v>86452.0506546502</v>
      </c>
      <c r="DS182" s="171">
        <f t="shared" si="408"/>
        <v>115123.85870004765</v>
      </c>
      <c r="DT182" s="171">
        <f t="shared" si="408"/>
        <v>143795.66674544511</v>
      </c>
      <c r="DU182" s="171">
        <f t="shared" ref="DU182:EA182" si="409">DU179+DU180-DU181</f>
        <v>172467.47479084256</v>
      </c>
      <c r="DV182" s="171">
        <f t="shared" si="409"/>
        <v>201139.28283624002</v>
      </c>
      <c r="DW182" s="171">
        <f t="shared" si="409"/>
        <v>229811.09088163747</v>
      </c>
      <c r="DX182" s="171">
        <f t="shared" si="409"/>
        <v>258482.89892703493</v>
      </c>
      <c r="DY182" s="171">
        <f t="shared" si="409"/>
        <v>287154.70697243238</v>
      </c>
      <c r="DZ182" s="171">
        <f t="shared" si="409"/>
        <v>315826.51501782984</v>
      </c>
      <c r="EA182" s="171">
        <f t="shared" si="409"/>
        <v>0</v>
      </c>
      <c r="EB182" s="171">
        <f t="shared" ref="EB182:EQ182" si="410">EB179+EB180-EB181</f>
        <v>0</v>
      </c>
      <c r="EC182" s="171">
        <f t="shared" si="410"/>
        <v>0</v>
      </c>
      <c r="ED182" s="1321">
        <f t="shared" si="410"/>
        <v>0</v>
      </c>
      <c r="EE182" s="171">
        <f t="shared" si="410"/>
        <v>0</v>
      </c>
      <c r="EF182" s="171">
        <f t="shared" si="410"/>
        <v>0</v>
      </c>
      <c r="EG182" s="171">
        <f t="shared" si="410"/>
        <v>0</v>
      </c>
      <c r="EH182" s="171">
        <f t="shared" si="410"/>
        <v>0</v>
      </c>
      <c r="EI182" s="171">
        <f t="shared" si="410"/>
        <v>0</v>
      </c>
      <c r="EJ182" s="171">
        <f t="shared" si="410"/>
        <v>0</v>
      </c>
      <c r="EK182" s="171">
        <f t="shared" si="410"/>
        <v>0</v>
      </c>
      <c r="EL182" s="171">
        <f t="shared" si="410"/>
        <v>0</v>
      </c>
      <c r="EM182" s="171">
        <f t="shared" si="410"/>
        <v>0</v>
      </c>
      <c r="EN182" s="171">
        <f t="shared" si="410"/>
        <v>0</v>
      </c>
      <c r="EO182" s="171">
        <f t="shared" si="410"/>
        <v>0</v>
      </c>
      <c r="EP182" s="171">
        <f t="shared" si="410"/>
        <v>0</v>
      </c>
      <c r="EQ182" s="171">
        <f t="shared" si="410"/>
        <v>0</v>
      </c>
    </row>
    <row r="183" spans="3:147" ht="11.25" customHeight="1">
      <c r="C183" s="158" t="s">
        <v>532</v>
      </c>
      <c r="D183" s="159"/>
      <c r="E183" s="159"/>
      <c r="F183" s="159"/>
      <c r="G183" s="159"/>
      <c r="H183" s="160"/>
      <c r="I183" s="219"/>
      <c r="J183" s="161"/>
      <c r="K183" s="98"/>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162"/>
      <c r="AK183" s="162"/>
      <c r="AL183" s="162"/>
      <c r="AM183" s="162"/>
      <c r="AN183" s="162"/>
      <c r="AO183" s="162"/>
      <c r="AP183" s="162"/>
      <c r="AQ183" s="162"/>
      <c r="AR183" s="162"/>
      <c r="AS183" s="162"/>
      <c r="AT183" s="162"/>
      <c r="AU183" s="162"/>
      <c r="AV183" s="162"/>
      <c r="AW183" s="162"/>
      <c r="AX183" s="162"/>
      <c r="AY183" s="162"/>
      <c r="AZ183" s="162"/>
      <c r="BA183" s="162"/>
      <c r="BB183" s="162"/>
      <c r="BC183" s="162"/>
      <c r="BD183" s="162"/>
      <c r="BE183" s="162"/>
      <c r="BF183" s="162"/>
      <c r="BG183" s="162"/>
      <c r="BH183" s="162"/>
      <c r="BI183" s="162"/>
      <c r="BJ183" s="162"/>
      <c r="BK183" s="162"/>
      <c r="BL183" s="162"/>
      <c r="BM183" s="162"/>
      <c r="BN183" s="162"/>
      <c r="BO183" s="162"/>
      <c r="BP183" s="162"/>
      <c r="BQ183" s="162"/>
      <c r="BR183" s="162"/>
      <c r="BS183" s="162"/>
      <c r="BT183" s="162"/>
      <c r="BU183" s="162"/>
      <c r="BV183" s="162"/>
      <c r="BW183" s="162"/>
      <c r="BX183" s="162"/>
      <c r="BY183" s="162"/>
      <c r="BZ183" s="162"/>
      <c r="CA183" s="162"/>
      <c r="CB183" s="162"/>
      <c r="CC183" s="162"/>
      <c r="CD183" s="162"/>
      <c r="CE183" s="162"/>
      <c r="CF183" s="162"/>
      <c r="CG183" s="162"/>
      <c r="CH183" s="162"/>
      <c r="CI183" s="162"/>
      <c r="CJ183" s="162"/>
      <c r="CK183" s="162"/>
      <c r="CL183" s="162"/>
      <c r="CM183" s="162"/>
      <c r="CN183" s="162"/>
      <c r="CO183" s="162"/>
      <c r="CP183" s="162"/>
      <c r="CQ183" s="162"/>
      <c r="CR183" s="162"/>
      <c r="CS183" s="162"/>
      <c r="CT183" s="162"/>
      <c r="CU183" s="162"/>
      <c r="CV183" s="162"/>
      <c r="CW183" s="162"/>
      <c r="CX183" s="162"/>
      <c r="CY183" s="162"/>
      <c r="CZ183" s="162"/>
      <c r="DA183" s="162"/>
      <c r="DB183" s="162"/>
      <c r="DC183" s="162"/>
      <c r="DD183" s="162"/>
      <c r="DE183" s="162"/>
      <c r="DF183" s="162"/>
      <c r="DG183" s="162"/>
      <c r="DH183" s="162"/>
      <c r="DI183" s="162"/>
      <c r="DJ183" s="162"/>
      <c r="DK183" s="162"/>
      <c r="DL183" s="162"/>
      <c r="DM183" s="162"/>
      <c r="DN183" s="162"/>
      <c r="DO183" s="162"/>
      <c r="DP183" s="162"/>
      <c r="DQ183" s="162"/>
      <c r="DR183" s="162"/>
      <c r="DS183" s="162"/>
      <c r="DT183" s="162"/>
      <c r="DU183" s="162"/>
      <c r="DV183" s="162"/>
      <c r="DW183" s="162"/>
      <c r="DX183" s="162"/>
      <c r="DY183" s="162"/>
      <c r="DZ183" s="162"/>
      <c r="EA183" s="162"/>
      <c r="EB183" s="162"/>
      <c r="EC183" s="162"/>
      <c r="ED183" s="1319"/>
      <c r="EE183" s="162"/>
      <c r="EF183" s="162"/>
      <c r="EG183" s="162"/>
      <c r="EH183" s="162"/>
      <c r="EI183" s="162"/>
      <c r="EJ183" s="162"/>
      <c r="EK183" s="162"/>
      <c r="EL183" s="162"/>
      <c r="EM183" s="162"/>
      <c r="EN183" s="162"/>
      <c r="EO183" s="162"/>
      <c r="EP183" s="162"/>
      <c r="EQ183" s="162"/>
    </row>
    <row r="184" spans="3:147" ht="11.25" customHeight="1">
      <c r="C184" s="163"/>
      <c r="D184" s="164" t="s">
        <v>230</v>
      </c>
      <c r="E184" s="165"/>
      <c r="F184" s="165"/>
      <c r="G184" s="165"/>
      <c r="H184" s="166"/>
      <c r="I184" s="221"/>
      <c r="J184" s="167"/>
      <c r="K184" s="98"/>
      <c r="L184" s="168">
        <f>K187</f>
        <v>0</v>
      </c>
      <c r="M184" s="168">
        <f t="shared" ref="M184:BX184" si="411">L187</f>
        <v>0</v>
      </c>
      <c r="N184" s="168">
        <f t="shared" si="411"/>
        <v>0</v>
      </c>
      <c r="O184" s="168">
        <f t="shared" si="411"/>
        <v>0</v>
      </c>
      <c r="P184" s="168">
        <f t="shared" si="411"/>
        <v>0</v>
      </c>
      <c r="Q184" s="168">
        <f t="shared" si="411"/>
        <v>0</v>
      </c>
      <c r="R184" s="168">
        <f t="shared" si="411"/>
        <v>0</v>
      </c>
      <c r="S184" s="168">
        <f t="shared" si="411"/>
        <v>0</v>
      </c>
      <c r="T184" s="168">
        <f t="shared" si="411"/>
        <v>0</v>
      </c>
      <c r="U184" s="168">
        <f t="shared" si="411"/>
        <v>0</v>
      </c>
      <c r="V184" s="168">
        <f t="shared" si="411"/>
        <v>0</v>
      </c>
      <c r="W184" s="168">
        <f t="shared" si="411"/>
        <v>0</v>
      </c>
      <c r="X184" s="168">
        <f t="shared" si="411"/>
        <v>0</v>
      </c>
      <c r="Y184" s="168">
        <f t="shared" si="411"/>
        <v>0</v>
      </c>
      <c r="Z184" s="168">
        <f t="shared" si="411"/>
        <v>0</v>
      </c>
      <c r="AA184" s="168">
        <f t="shared" si="411"/>
        <v>0</v>
      </c>
      <c r="AB184" s="168">
        <f t="shared" si="411"/>
        <v>0</v>
      </c>
      <c r="AC184" s="168">
        <f t="shared" si="411"/>
        <v>0</v>
      </c>
      <c r="AD184" s="168">
        <f t="shared" si="411"/>
        <v>0</v>
      </c>
      <c r="AE184" s="168">
        <f t="shared" si="411"/>
        <v>0</v>
      </c>
      <c r="AF184" s="168">
        <f t="shared" si="411"/>
        <v>0</v>
      </c>
      <c r="AG184" s="168">
        <f t="shared" si="411"/>
        <v>0</v>
      </c>
      <c r="AH184" s="168">
        <f t="shared" si="411"/>
        <v>0</v>
      </c>
      <c r="AI184" s="168">
        <f t="shared" si="411"/>
        <v>0</v>
      </c>
      <c r="AJ184" s="168">
        <f t="shared" si="411"/>
        <v>0</v>
      </c>
      <c r="AK184" s="168">
        <f t="shared" si="411"/>
        <v>0</v>
      </c>
      <c r="AL184" s="168">
        <f t="shared" si="411"/>
        <v>0</v>
      </c>
      <c r="AM184" s="168">
        <f t="shared" si="411"/>
        <v>0</v>
      </c>
      <c r="AN184" s="168">
        <f t="shared" si="411"/>
        <v>0</v>
      </c>
      <c r="AO184" s="168">
        <f t="shared" si="411"/>
        <v>0</v>
      </c>
      <c r="AP184" s="168">
        <f t="shared" si="411"/>
        <v>0</v>
      </c>
      <c r="AQ184" s="168">
        <f t="shared" si="411"/>
        <v>0</v>
      </c>
      <c r="AR184" s="168">
        <f t="shared" si="411"/>
        <v>0</v>
      </c>
      <c r="AS184" s="168">
        <f t="shared" si="411"/>
        <v>0</v>
      </c>
      <c r="AT184" s="168">
        <f t="shared" si="411"/>
        <v>0</v>
      </c>
      <c r="AU184" s="168">
        <f t="shared" si="411"/>
        <v>0</v>
      </c>
      <c r="AV184" s="168">
        <f t="shared" si="411"/>
        <v>0</v>
      </c>
      <c r="AW184" s="168">
        <f t="shared" si="411"/>
        <v>0</v>
      </c>
      <c r="AX184" s="168">
        <f t="shared" si="411"/>
        <v>0</v>
      </c>
      <c r="AY184" s="168">
        <f t="shared" si="411"/>
        <v>0</v>
      </c>
      <c r="AZ184" s="168">
        <f t="shared" si="411"/>
        <v>0</v>
      </c>
      <c r="BA184" s="168">
        <f t="shared" si="411"/>
        <v>0</v>
      </c>
      <c r="BB184" s="168">
        <f t="shared" si="411"/>
        <v>0</v>
      </c>
      <c r="BC184" s="168">
        <f t="shared" si="411"/>
        <v>0</v>
      </c>
      <c r="BD184" s="168">
        <f t="shared" si="411"/>
        <v>0</v>
      </c>
      <c r="BE184" s="168">
        <f t="shared" si="411"/>
        <v>0</v>
      </c>
      <c r="BF184" s="168">
        <f t="shared" si="411"/>
        <v>0</v>
      </c>
      <c r="BG184" s="168">
        <f t="shared" si="411"/>
        <v>0</v>
      </c>
      <c r="BH184" s="168">
        <f t="shared" si="411"/>
        <v>0</v>
      </c>
      <c r="BI184" s="168">
        <f t="shared" si="411"/>
        <v>0</v>
      </c>
      <c r="BJ184" s="168">
        <f t="shared" si="411"/>
        <v>0</v>
      </c>
      <c r="BK184" s="168">
        <f t="shared" si="411"/>
        <v>0</v>
      </c>
      <c r="BL184" s="168">
        <f t="shared" si="411"/>
        <v>0</v>
      </c>
      <c r="BM184" s="168">
        <f t="shared" si="411"/>
        <v>0</v>
      </c>
      <c r="BN184" s="168">
        <f t="shared" si="411"/>
        <v>0</v>
      </c>
      <c r="BO184" s="168">
        <f t="shared" si="411"/>
        <v>0</v>
      </c>
      <c r="BP184" s="168">
        <f t="shared" si="411"/>
        <v>0</v>
      </c>
      <c r="BQ184" s="168">
        <f t="shared" si="411"/>
        <v>0</v>
      </c>
      <c r="BR184" s="168">
        <f t="shared" si="411"/>
        <v>0</v>
      </c>
      <c r="BS184" s="168">
        <f t="shared" si="411"/>
        <v>0</v>
      </c>
      <c r="BT184" s="168">
        <f t="shared" si="411"/>
        <v>0</v>
      </c>
      <c r="BU184" s="168">
        <f t="shared" si="411"/>
        <v>0</v>
      </c>
      <c r="BV184" s="168">
        <f t="shared" si="411"/>
        <v>0</v>
      </c>
      <c r="BW184" s="168">
        <f t="shared" si="411"/>
        <v>0</v>
      </c>
      <c r="BX184" s="168">
        <f t="shared" si="411"/>
        <v>0</v>
      </c>
      <c r="BY184" s="168">
        <f t="shared" ref="BY184:DT184" si="412">BX187</f>
        <v>0</v>
      </c>
      <c r="BZ184" s="168">
        <f t="shared" si="412"/>
        <v>0</v>
      </c>
      <c r="CA184" s="168">
        <f t="shared" si="412"/>
        <v>0</v>
      </c>
      <c r="CB184" s="168">
        <f t="shared" si="412"/>
        <v>0</v>
      </c>
      <c r="CC184" s="168">
        <f t="shared" si="412"/>
        <v>0</v>
      </c>
      <c r="CD184" s="168">
        <f t="shared" si="412"/>
        <v>0</v>
      </c>
      <c r="CE184" s="168">
        <f t="shared" si="412"/>
        <v>0</v>
      </c>
      <c r="CF184" s="168">
        <f t="shared" si="412"/>
        <v>0</v>
      </c>
      <c r="CG184" s="168">
        <f t="shared" si="412"/>
        <v>0</v>
      </c>
      <c r="CH184" s="168">
        <f t="shared" si="412"/>
        <v>0</v>
      </c>
      <c r="CI184" s="168">
        <f t="shared" si="412"/>
        <v>0</v>
      </c>
      <c r="CJ184" s="168">
        <f t="shared" si="412"/>
        <v>0</v>
      </c>
      <c r="CK184" s="168">
        <f t="shared" si="412"/>
        <v>0</v>
      </c>
      <c r="CL184" s="168">
        <f t="shared" si="412"/>
        <v>0</v>
      </c>
      <c r="CM184" s="168">
        <f t="shared" si="412"/>
        <v>0</v>
      </c>
      <c r="CN184" s="168">
        <f t="shared" si="412"/>
        <v>0</v>
      </c>
      <c r="CO184" s="168">
        <f t="shared" si="412"/>
        <v>0</v>
      </c>
      <c r="CP184" s="168">
        <f t="shared" si="412"/>
        <v>0</v>
      </c>
      <c r="CQ184" s="168">
        <f t="shared" si="412"/>
        <v>0</v>
      </c>
      <c r="CR184" s="168">
        <f t="shared" si="412"/>
        <v>0</v>
      </c>
      <c r="CS184" s="168">
        <f t="shared" si="412"/>
        <v>0</v>
      </c>
      <c r="CT184" s="168">
        <f t="shared" si="412"/>
        <v>0</v>
      </c>
      <c r="CU184" s="168">
        <f t="shared" si="412"/>
        <v>0</v>
      </c>
      <c r="CV184" s="168">
        <f t="shared" si="412"/>
        <v>0</v>
      </c>
      <c r="CW184" s="168">
        <f t="shared" si="412"/>
        <v>0</v>
      </c>
      <c r="CX184" s="168">
        <f t="shared" si="412"/>
        <v>0</v>
      </c>
      <c r="CY184" s="168">
        <f t="shared" si="412"/>
        <v>0</v>
      </c>
      <c r="CZ184" s="168">
        <f t="shared" si="412"/>
        <v>0</v>
      </c>
      <c r="DA184" s="168">
        <f t="shared" si="412"/>
        <v>0</v>
      </c>
      <c r="DB184" s="168">
        <f t="shared" si="412"/>
        <v>0</v>
      </c>
      <c r="DC184" s="168">
        <f t="shared" si="412"/>
        <v>0</v>
      </c>
      <c r="DD184" s="168">
        <f t="shared" si="412"/>
        <v>0</v>
      </c>
      <c r="DE184" s="168">
        <f t="shared" si="412"/>
        <v>0</v>
      </c>
      <c r="DF184" s="168">
        <f t="shared" si="412"/>
        <v>0</v>
      </c>
      <c r="DG184" s="168">
        <f t="shared" si="412"/>
        <v>0</v>
      </c>
      <c r="DH184" s="168">
        <f t="shared" si="412"/>
        <v>0</v>
      </c>
      <c r="DI184" s="168">
        <f t="shared" si="412"/>
        <v>0</v>
      </c>
      <c r="DJ184" s="168">
        <f t="shared" si="412"/>
        <v>0</v>
      </c>
      <c r="DK184" s="168">
        <f t="shared" si="412"/>
        <v>0</v>
      </c>
      <c r="DL184" s="168">
        <f t="shared" si="412"/>
        <v>0</v>
      </c>
      <c r="DM184" s="168">
        <f t="shared" si="412"/>
        <v>0</v>
      </c>
      <c r="DN184" s="168">
        <f t="shared" si="412"/>
        <v>0</v>
      </c>
      <c r="DO184" s="168">
        <f t="shared" si="412"/>
        <v>0</v>
      </c>
      <c r="DP184" s="168">
        <f t="shared" si="412"/>
        <v>0</v>
      </c>
      <c r="DQ184" s="168">
        <f t="shared" si="412"/>
        <v>0</v>
      </c>
      <c r="DR184" s="168">
        <f t="shared" si="412"/>
        <v>0</v>
      </c>
      <c r="DS184" s="168">
        <f t="shared" si="412"/>
        <v>0</v>
      </c>
      <c r="DT184" s="168">
        <f t="shared" si="412"/>
        <v>0</v>
      </c>
      <c r="DU184" s="168">
        <f t="shared" ref="DU184:EQ184" si="413">DT187</f>
        <v>0</v>
      </c>
      <c r="DV184" s="168">
        <f t="shared" si="413"/>
        <v>0</v>
      </c>
      <c r="DW184" s="168">
        <f t="shared" si="413"/>
        <v>0</v>
      </c>
      <c r="DX184" s="168">
        <f t="shared" si="413"/>
        <v>0</v>
      </c>
      <c r="DY184" s="168">
        <f t="shared" si="413"/>
        <v>0</v>
      </c>
      <c r="DZ184" s="168">
        <f t="shared" si="413"/>
        <v>0</v>
      </c>
      <c r="EA184" s="168">
        <f t="shared" si="413"/>
        <v>0</v>
      </c>
      <c r="EB184" s="168">
        <f t="shared" si="413"/>
        <v>0</v>
      </c>
      <c r="EC184" s="168">
        <f t="shared" si="413"/>
        <v>0</v>
      </c>
      <c r="ED184" s="1320">
        <f t="shared" si="413"/>
        <v>0</v>
      </c>
      <c r="EE184" s="168">
        <f t="shared" si="413"/>
        <v>0</v>
      </c>
      <c r="EF184" s="168">
        <f t="shared" si="413"/>
        <v>0</v>
      </c>
      <c r="EG184" s="168">
        <f t="shared" si="413"/>
        <v>0</v>
      </c>
      <c r="EH184" s="168">
        <f t="shared" si="413"/>
        <v>0</v>
      </c>
      <c r="EI184" s="168">
        <f t="shared" si="413"/>
        <v>0</v>
      </c>
      <c r="EJ184" s="168">
        <f t="shared" si="413"/>
        <v>0</v>
      </c>
      <c r="EK184" s="168">
        <f t="shared" si="413"/>
        <v>0</v>
      </c>
      <c r="EL184" s="168">
        <f t="shared" si="413"/>
        <v>0</v>
      </c>
      <c r="EM184" s="168">
        <f t="shared" si="413"/>
        <v>0</v>
      </c>
      <c r="EN184" s="168">
        <f t="shared" si="413"/>
        <v>0</v>
      </c>
      <c r="EO184" s="168">
        <f t="shared" si="413"/>
        <v>0</v>
      </c>
      <c r="EP184" s="168">
        <f t="shared" si="413"/>
        <v>0</v>
      </c>
      <c r="EQ184" s="168">
        <f t="shared" si="413"/>
        <v>0</v>
      </c>
    </row>
    <row r="185" spans="3:147" ht="11.25" customHeight="1">
      <c r="C185" s="163"/>
      <c r="D185" s="169" t="s">
        <v>231</v>
      </c>
      <c r="I185" s="90"/>
      <c r="J185" s="170">
        <f>SUM(L185:EQ185)</f>
        <v>0</v>
      </c>
      <c r="K185" s="98"/>
      <c r="L185" s="171">
        <f>'NOI(M)'!M30</f>
        <v>0</v>
      </c>
      <c r="M185" s="171">
        <f>'NOI(M)'!N30</f>
        <v>0</v>
      </c>
      <c r="N185" s="171">
        <f>'NOI(M)'!O30</f>
        <v>0</v>
      </c>
      <c r="O185" s="171">
        <f>'NOI(M)'!P30</f>
        <v>0</v>
      </c>
      <c r="P185" s="171">
        <f>'NOI(M)'!Q30</f>
        <v>0</v>
      </c>
      <c r="Q185" s="171">
        <f>'NOI(M)'!R30</f>
        <v>0</v>
      </c>
      <c r="R185" s="171">
        <f>'NOI(M)'!S30</f>
        <v>0</v>
      </c>
      <c r="S185" s="171">
        <f>'NOI(M)'!T30</f>
        <v>0</v>
      </c>
      <c r="T185" s="171">
        <f>'NOI(M)'!U30</f>
        <v>0</v>
      </c>
      <c r="U185" s="171">
        <f>'NOI(M)'!V30</f>
        <v>0</v>
      </c>
      <c r="V185" s="171">
        <f>'NOI(M)'!W30</f>
        <v>0</v>
      </c>
      <c r="W185" s="171">
        <f>'NOI(M)'!X30</f>
        <v>0</v>
      </c>
      <c r="X185" s="171">
        <f>'NOI(M)'!Y30</f>
        <v>0</v>
      </c>
      <c r="Y185" s="171">
        <f>'NOI(M)'!Z30</f>
        <v>0</v>
      </c>
      <c r="Z185" s="171">
        <f>'NOI(M)'!AA30</f>
        <v>0</v>
      </c>
      <c r="AA185" s="171">
        <f>'NOI(M)'!AB30</f>
        <v>0</v>
      </c>
      <c r="AB185" s="171">
        <f>'NOI(M)'!AC30</f>
        <v>0</v>
      </c>
      <c r="AC185" s="171">
        <f>'NOI(M)'!AD30</f>
        <v>0</v>
      </c>
      <c r="AD185" s="171">
        <f>'NOI(M)'!AE30</f>
        <v>0</v>
      </c>
      <c r="AE185" s="171">
        <f>'NOI(M)'!AF30</f>
        <v>0</v>
      </c>
      <c r="AF185" s="171">
        <f>'NOI(M)'!AG30</f>
        <v>0</v>
      </c>
      <c r="AG185" s="171">
        <f>'NOI(M)'!AH30</f>
        <v>0</v>
      </c>
      <c r="AH185" s="171">
        <f>'NOI(M)'!AI30</f>
        <v>0</v>
      </c>
      <c r="AI185" s="171">
        <f>'NOI(M)'!AJ30</f>
        <v>0</v>
      </c>
      <c r="AJ185" s="171">
        <f>'NOI(M)'!AK30</f>
        <v>0</v>
      </c>
      <c r="AK185" s="171">
        <f>'NOI(M)'!AL30</f>
        <v>0</v>
      </c>
      <c r="AL185" s="171">
        <f>'NOI(M)'!AM30</f>
        <v>0</v>
      </c>
      <c r="AM185" s="171">
        <f>'NOI(M)'!AN30</f>
        <v>0</v>
      </c>
      <c r="AN185" s="171">
        <f>'NOI(M)'!AO30</f>
        <v>0</v>
      </c>
      <c r="AO185" s="171">
        <f>'NOI(M)'!AP30</f>
        <v>0</v>
      </c>
      <c r="AP185" s="171">
        <f>'NOI(M)'!AQ30</f>
        <v>0</v>
      </c>
      <c r="AQ185" s="171">
        <f>'NOI(M)'!AR30</f>
        <v>0</v>
      </c>
      <c r="AR185" s="171">
        <f>'NOI(M)'!AS30</f>
        <v>0</v>
      </c>
      <c r="AS185" s="171">
        <f>'NOI(M)'!AT30</f>
        <v>0</v>
      </c>
      <c r="AT185" s="171">
        <f>'NOI(M)'!AU30</f>
        <v>0</v>
      </c>
      <c r="AU185" s="171">
        <f>'NOI(M)'!AV30</f>
        <v>0</v>
      </c>
      <c r="AV185" s="171">
        <f>'NOI(M)'!AW30</f>
        <v>0</v>
      </c>
      <c r="AW185" s="171">
        <f>'NOI(M)'!AX30</f>
        <v>0</v>
      </c>
      <c r="AX185" s="171">
        <f>'NOI(M)'!AY30</f>
        <v>0</v>
      </c>
      <c r="AY185" s="171">
        <f>'NOI(M)'!AZ30</f>
        <v>0</v>
      </c>
      <c r="AZ185" s="171">
        <f>'NOI(M)'!BA30</f>
        <v>0</v>
      </c>
      <c r="BA185" s="171">
        <f>'NOI(M)'!BB30</f>
        <v>0</v>
      </c>
      <c r="BB185" s="171">
        <f>'NOI(M)'!BC30</f>
        <v>0</v>
      </c>
      <c r="BC185" s="171">
        <f>'NOI(M)'!BD30</f>
        <v>0</v>
      </c>
      <c r="BD185" s="171">
        <f>'NOI(M)'!BE30</f>
        <v>0</v>
      </c>
      <c r="BE185" s="171">
        <f>'NOI(M)'!BF30</f>
        <v>0</v>
      </c>
      <c r="BF185" s="171">
        <f>'NOI(M)'!BG30</f>
        <v>0</v>
      </c>
      <c r="BG185" s="171">
        <f>'NOI(M)'!BH30</f>
        <v>0</v>
      </c>
      <c r="BH185" s="171">
        <f>'NOI(M)'!BI30</f>
        <v>0</v>
      </c>
      <c r="BI185" s="171">
        <f>'NOI(M)'!BJ30</f>
        <v>0</v>
      </c>
      <c r="BJ185" s="171">
        <f>'NOI(M)'!BK30</f>
        <v>0</v>
      </c>
      <c r="BK185" s="171">
        <f>'NOI(M)'!BL30</f>
        <v>0</v>
      </c>
      <c r="BL185" s="171">
        <f>'NOI(M)'!BM30</f>
        <v>0</v>
      </c>
      <c r="BM185" s="171">
        <f>'NOI(M)'!BN30</f>
        <v>0</v>
      </c>
      <c r="BN185" s="171">
        <f>'NOI(M)'!BO30</f>
        <v>0</v>
      </c>
      <c r="BO185" s="171">
        <f>'NOI(M)'!BP30</f>
        <v>0</v>
      </c>
      <c r="BP185" s="171">
        <f>'NOI(M)'!BQ30</f>
        <v>0</v>
      </c>
      <c r="BQ185" s="171">
        <f>'NOI(M)'!BR30</f>
        <v>0</v>
      </c>
      <c r="BR185" s="171">
        <f>'NOI(M)'!BS30</f>
        <v>0</v>
      </c>
      <c r="BS185" s="171">
        <f>'NOI(M)'!BT30</f>
        <v>0</v>
      </c>
      <c r="BT185" s="171">
        <f>'NOI(M)'!BU30</f>
        <v>0</v>
      </c>
      <c r="BU185" s="171">
        <f>'NOI(M)'!BV30</f>
        <v>0</v>
      </c>
      <c r="BV185" s="171">
        <f>'NOI(M)'!BW30</f>
        <v>0</v>
      </c>
      <c r="BW185" s="171">
        <f>'NOI(M)'!BX30</f>
        <v>0</v>
      </c>
      <c r="BX185" s="171">
        <f>'NOI(M)'!BY30</f>
        <v>0</v>
      </c>
      <c r="BY185" s="171">
        <f>'NOI(M)'!BZ30</f>
        <v>0</v>
      </c>
      <c r="BZ185" s="171">
        <f>'NOI(M)'!CA30</f>
        <v>0</v>
      </c>
      <c r="CA185" s="171">
        <f>'NOI(M)'!CB30</f>
        <v>0</v>
      </c>
      <c r="CB185" s="171">
        <f>'NOI(M)'!CC30</f>
        <v>0</v>
      </c>
      <c r="CC185" s="171">
        <f>'NOI(M)'!CD30</f>
        <v>0</v>
      </c>
      <c r="CD185" s="171">
        <f>'NOI(M)'!CE30</f>
        <v>0</v>
      </c>
      <c r="CE185" s="171">
        <f>'NOI(M)'!CF30</f>
        <v>0</v>
      </c>
      <c r="CF185" s="171">
        <f>'NOI(M)'!CG30</f>
        <v>0</v>
      </c>
      <c r="CG185" s="171">
        <f>'NOI(M)'!CH30</f>
        <v>0</v>
      </c>
      <c r="CH185" s="171">
        <f>'NOI(M)'!CI30</f>
        <v>0</v>
      </c>
      <c r="CI185" s="171">
        <f>'NOI(M)'!CJ30</f>
        <v>0</v>
      </c>
      <c r="CJ185" s="171">
        <f>'NOI(M)'!CK30</f>
        <v>0</v>
      </c>
      <c r="CK185" s="171">
        <f>'NOI(M)'!CL30</f>
        <v>0</v>
      </c>
      <c r="CL185" s="171">
        <f>'NOI(M)'!CM30</f>
        <v>0</v>
      </c>
      <c r="CM185" s="171">
        <f>'NOI(M)'!CN30</f>
        <v>0</v>
      </c>
      <c r="CN185" s="171">
        <f>'NOI(M)'!CO30</f>
        <v>0</v>
      </c>
      <c r="CO185" s="171">
        <f>'NOI(M)'!CP30</f>
        <v>0</v>
      </c>
      <c r="CP185" s="171">
        <f>'NOI(M)'!CQ30</f>
        <v>0</v>
      </c>
      <c r="CQ185" s="171">
        <f>'NOI(M)'!CR30</f>
        <v>0</v>
      </c>
      <c r="CR185" s="171">
        <f>'NOI(M)'!CS30</f>
        <v>0</v>
      </c>
      <c r="CS185" s="171">
        <f>'NOI(M)'!CT30</f>
        <v>0</v>
      </c>
      <c r="CT185" s="171">
        <f>'NOI(M)'!CU30</f>
        <v>0</v>
      </c>
      <c r="CU185" s="171">
        <f>'NOI(M)'!CV30</f>
        <v>0</v>
      </c>
      <c r="CV185" s="171">
        <f>'NOI(M)'!CW30</f>
        <v>0</v>
      </c>
      <c r="CW185" s="171">
        <f>'NOI(M)'!CX30</f>
        <v>0</v>
      </c>
      <c r="CX185" s="171">
        <f>'NOI(M)'!CY30</f>
        <v>0</v>
      </c>
      <c r="CY185" s="171">
        <f>'NOI(M)'!CZ30</f>
        <v>0</v>
      </c>
      <c r="CZ185" s="171">
        <f>'NOI(M)'!DA30</f>
        <v>0</v>
      </c>
      <c r="DA185" s="171">
        <f>'NOI(M)'!DB30</f>
        <v>0</v>
      </c>
      <c r="DB185" s="171">
        <f>'NOI(M)'!DC30</f>
        <v>0</v>
      </c>
      <c r="DC185" s="171">
        <f>'NOI(M)'!DD30</f>
        <v>0</v>
      </c>
      <c r="DD185" s="171">
        <f>'NOI(M)'!DE30</f>
        <v>0</v>
      </c>
      <c r="DE185" s="171">
        <f>'NOI(M)'!DF30</f>
        <v>0</v>
      </c>
      <c r="DF185" s="171">
        <f>'NOI(M)'!DG30</f>
        <v>0</v>
      </c>
      <c r="DG185" s="171">
        <f>'NOI(M)'!DH30</f>
        <v>0</v>
      </c>
      <c r="DH185" s="171">
        <f>'NOI(M)'!DI30</f>
        <v>0</v>
      </c>
      <c r="DI185" s="171">
        <f>'NOI(M)'!DJ30</f>
        <v>0</v>
      </c>
      <c r="DJ185" s="171">
        <f>'NOI(M)'!DK30</f>
        <v>0</v>
      </c>
      <c r="DK185" s="171">
        <f>'NOI(M)'!DL30</f>
        <v>0</v>
      </c>
      <c r="DL185" s="171">
        <f>'NOI(M)'!DM30</f>
        <v>0</v>
      </c>
      <c r="DM185" s="171">
        <f>'NOI(M)'!DN30</f>
        <v>0</v>
      </c>
      <c r="DN185" s="171">
        <f>'NOI(M)'!DO30</f>
        <v>0</v>
      </c>
      <c r="DO185" s="171">
        <f>'NOI(M)'!DP30</f>
        <v>0</v>
      </c>
      <c r="DP185" s="171">
        <f>'NOI(M)'!DQ30</f>
        <v>0</v>
      </c>
      <c r="DQ185" s="171">
        <f>'NOI(M)'!DR30</f>
        <v>0</v>
      </c>
      <c r="DR185" s="171">
        <f>'NOI(M)'!DS30</f>
        <v>0</v>
      </c>
      <c r="DS185" s="171">
        <f>'NOI(M)'!DT30</f>
        <v>0</v>
      </c>
      <c r="DT185" s="171">
        <f>'NOI(M)'!DU30</f>
        <v>0</v>
      </c>
      <c r="DU185" s="171">
        <f>'NOI(M)'!DV30</f>
        <v>0</v>
      </c>
      <c r="DV185" s="171">
        <f>'NOI(M)'!DW30</f>
        <v>0</v>
      </c>
      <c r="DW185" s="171">
        <f>'NOI(M)'!DX30</f>
        <v>0</v>
      </c>
      <c r="DX185" s="171">
        <f>'NOI(M)'!DY30</f>
        <v>0</v>
      </c>
      <c r="DY185" s="171">
        <f>'NOI(M)'!DZ30</f>
        <v>0</v>
      </c>
      <c r="DZ185" s="171">
        <f>'NOI(M)'!EA30</f>
        <v>0</v>
      </c>
      <c r="EA185" s="171">
        <f>'NOI(M)'!EB30</f>
        <v>0</v>
      </c>
      <c r="EB185" s="171">
        <f>'NOI(M)'!EC30</f>
        <v>0</v>
      </c>
      <c r="EC185" s="171">
        <f>'NOI(M)'!ED30</f>
        <v>0</v>
      </c>
      <c r="ED185" s="1321">
        <f>'NOI(M)'!EE30</f>
        <v>0</v>
      </c>
      <c r="EE185" s="171">
        <f>'NOI(M)'!EF30</f>
        <v>0</v>
      </c>
      <c r="EF185" s="171">
        <f>'NOI(M)'!EG30</f>
        <v>0</v>
      </c>
      <c r="EG185" s="171">
        <f>'NOI(M)'!EH30</f>
        <v>0</v>
      </c>
      <c r="EH185" s="171">
        <f>'NOI(M)'!EI30</f>
        <v>0</v>
      </c>
      <c r="EI185" s="171">
        <f>'NOI(M)'!EJ30</f>
        <v>0</v>
      </c>
      <c r="EJ185" s="171">
        <f>'NOI(M)'!EK30</f>
        <v>0</v>
      </c>
      <c r="EK185" s="171">
        <f>'NOI(M)'!EL30</f>
        <v>0</v>
      </c>
      <c r="EL185" s="171">
        <f>'NOI(M)'!EM30</f>
        <v>0</v>
      </c>
      <c r="EM185" s="171">
        <f>'NOI(M)'!EN30</f>
        <v>0</v>
      </c>
      <c r="EN185" s="171">
        <f>'NOI(M)'!EO30</f>
        <v>0</v>
      </c>
      <c r="EO185" s="171">
        <f>'NOI(M)'!EP30</f>
        <v>0</v>
      </c>
      <c r="EP185" s="171">
        <f>'NOI(M)'!EQ30</f>
        <v>0</v>
      </c>
      <c r="EQ185" s="171">
        <f>'NOI(M)'!ER30</f>
        <v>0</v>
      </c>
    </row>
    <row r="186" spans="3:147" ht="11.25" customHeight="1">
      <c r="C186" s="163"/>
      <c r="D186" s="169" t="s">
        <v>232</v>
      </c>
      <c r="I186" s="248"/>
      <c r="J186" s="170">
        <f>SUM(L186:EQ186)</f>
        <v>0</v>
      </c>
      <c r="K186" s="98"/>
      <c r="L186" s="171">
        <f>SUM(L184:L185)*Index!L$55</f>
        <v>0</v>
      </c>
      <c r="M186" s="171">
        <f>SUM(M184:M185)*Index!M$55</f>
        <v>0</v>
      </c>
      <c r="N186" s="171">
        <f>SUM(N184:N185)*Index!N$55</f>
        <v>0</v>
      </c>
      <c r="O186" s="171">
        <f>SUM(O184:O185)*Index!O$55</f>
        <v>0</v>
      </c>
      <c r="P186" s="171">
        <f>SUM(P184:P185)*Index!P$55</f>
        <v>0</v>
      </c>
      <c r="Q186" s="171">
        <f>SUM(Q184:Q185)*Index!Q$55</f>
        <v>0</v>
      </c>
      <c r="R186" s="171">
        <f>SUM(R184:R185)*Index!R$55</f>
        <v>0</v>
      </c>
      <c r="S186" s="171">
        <f>SUM(S184:S185)*Index!S$55</f>
        <v>0</v>
      </c>
      <c r="T186" s="171">
        <f>SUM(T184:T185)*Index!T$55</f>
        <v>0</v>
      </c>
      <c r="U186" s="171">
        <f>SUM(U184:U185)*Index!U$55</f>
        <v>0</v>
      </c>
      <c r="V186" s="171">
        <f>SUM(V184:V185)*Index!V$55</f>
        <v>0</v>
      </c>
      <c r="W186" s="171">
        <f>SUM(W184:W185)*Index!W$55</f>
        <v>0</v>
      </c>
      <c r="X186" s="171">
        <f>SUM(X184:X185)*Index!X$55</f>
        <v>0</v>
      </c>
      <c r="Y186" s="171">
        <f>SUM(Y184:Y185)*Index!Y$55</f>
        <v>0</v>
      </c>
      <c r="Z186" s="171">
        <f>SUM(Z184:Z185)*Index!Z$55</f>
        <v>0</v>
      </c>
      <c r="AA186" s="171">
        <f>SUM(AA184:AA185)*Index!AA$55</f>
        <v>0</v>
      </c>
      <c r="AB186" s="171">
        <f>SUM(AB184:AB185)*Index!AB$55</f>
        <v>0</v>
      </c>
      <c r="AC186" s="171">
        <f>SUM(AC184:AC185)*Index!AC$55</f>
        <v>0</v>
      </c>
      <c r="AD186" s="171">
        <f>SUM(AD184:AD185)*Index!AD$55</f>
        <v>0</v>
      </c>
      <c r="AE186" s="171">
        <f>SUM(AE184:AE185)*Index!AE$55</f>
        <v>0</v>
      </c>
      <c r="AF186" s="171">
        <f>SUM(AF184:AF185)*Index!AF$55</f>
        <v>0</v>
      </c>
      <c r="AG186" s="171">
        <f>SUM(AG184:AG185)*Index!AG$55</f>
        <v>0</v>
      </c>
      <c r="AH186" s="171">
        <f>SUM(AH184:AH185)*Index!AH$55</f>
        <v>0</v>
      </c>
      <c r="AI186" s="171">
        <f>SUM(AI184:AI185)*Index!AI$55</f>
        <v>0</v>
      </c>
      <c r="AJ186" s="171">
        <f>SUM(AJ184:AJ185)*Index!AJ$55</f>
        <v>0</v>
      </c>
      <c r="AK186" s="171">
        <f>SUM(AK184:AK185)*Index!AK$55</f>
        <v>0</v>
      </c>
      <c r="AL186" s="171">
        <f>SUM(AL184:AL185)*Index!AL$55</f>
        <v>0</v>
      </c>
      <c r="AM186" s="171">
        <f>SUM(AM184:AM185)*Index!AM$55</f>
        <v>0</v>
      </c>
      <c r="AN186" s="171">
        <f>SUM(AN184:AN185)*Index!AN$55</f>
        <v>0</v>
      </c>
      <c r="AO186" s="171">
        <f>SUM(AO184:AO185)*Index!AO$55</f>
        <v>0</v>
      </c>
      <c r="AP186" s="171">
        <f>SUM(AP184:AP185)*Index!AP$55</f>
        <v>0</v>
      </c>
      <c r="AQ186" s="171">
        <f>SUM(AQ184:AQ185)*Index!AQ$55</f>
        <v>0</v>
      </c>
      <c r="AR186" s="171">
        <f>SUM(AR184:AR185)*Index!AR$55</f>
        <v>0</v>
      </c>
      <c r="AS186" s="171">
        <f>SUM(AS184:AS185)*Index!AS$55</f>
        <v>0</v>
      </c>
      <c r="AT186" s="171">
        <f>SUM(AT184:AT185)*Index!AT$55</f>
        <v>0</v>
      </c>
      <c r="AU186" s="171">
        <f>SUM(AU184:AU185)*Index!AU$55</f>
        <v>0</v>
      </c>
      <c r="AV186" s="171">
        <f>SUM(AV184:AV185)*Index!AV$55</f>
        <v>0</v>
      </c>
      <c r="AW186" s="171">
        <f>SUM(AW184:AW185)*Index!AW$55</f>
        <v>0</v>
      </c>
      <c r="AX186" s="171">
        <f>SUM(AX184:AX185)*Index!AX$55</f>
        <v>0</v>
      </c>
      <c r="AY186" s="171">
        <f>SUM(AY184:AY185)*Index!AY$55</f>
        <v>0</v>
      </c>
      <c r="AZ186" s="171">
        <f>SUM(AZ184:AZ185)*Index!AZ$55</f>
        <v>0</v>
      </c>
      <c r="BA186" s="171">
        <f>SUM(BA184:BA185)*Index!BA$55</f>
        <v>0</v>
      </c>
      <c r="BB186" s="171">
        <f>SUM(BB184:BB185)*Index!BB$55</f>
        <v>0</v>
      </c>
      <c r="BC186" s="171">
        <f>SUM(BC184:BC185)*Index!BC$55</f>
        <v>0</v>
      </c>
      <c r="BD186" s="171">
        <f>SUM(BD184:BD185)*Index!BD$55</f>
        <v>0</v>
      </c>
      <c r="BE186" s="171">
        <f>SUM(BE184:BE185)*Index!BE$55</f>
        <v>0</v>
      </c>
      <c r="BF186" s="171">
        <f>SUM(BF184:BF185)*Index!BF$55</f>
        <v>0</v>
      </c>
      <c r="BG186" s="171">
        <f>SUM(BG184:BG185)*Index!BG$55</f>
        <v>0</v>
      </c>
      <c r="BH186" s="171">
        <f>SUM(BH184:BH185)*Index!BH$55</f>
        <v>0</v>
      </c>
      <c r="BI186" s="171">
        <f>SUM(BI184:BI185)*Index!BI$55</f>
        <v>0</v>
      </c>
      <c r="BJ186" s="171">
        <f>SUM(BJ184:BJ185)*Index!BJ$55</f>
        <v>0</v>
      </c>
      <c r="BK186" s="171">
        <f>SUM(BK184:BK185)*Index!BK$55</f>
        <v>0</v>
      </c>
      <c r="BL186" s="171">
        <f>SUM(BL184:BL185)*Index!BL$55</f>
        <v>0</v>
      </c>
      <c r="BM186" s="171">
        <f>SUM(BM184:BM185)*Index!BM$55</f>
        <v>0</v>
      </c>
      <c r="BN186" s="171">
        <f>SUM(BN184:BN185)*Index!BN$55</f>
        <v>0</v>
      </c>
      <c r="BO186" s="171">
        <f>SUM(BO184:BO185)*Index!BO$55</f>
        <v>0</v>
      </c>
      <c r="BP186" s="171">
        <f>SUM(BP184:BP185)*Index!BP$55</f>
        <v>0</v>
      </c>
      <c r="BQ186" s="171">
        <f>SUM(BQ184:BQ185)*Index!BQ$55</f>
        <v>0</v>
      </c>
      <c r="BR186" s="171">
        <f>SUM(BR184:BR185)*Index!BR$55</f>
        <v>0</v>
      </c>
      <c r="BS186" s="171">
        <f>SUM(BS184:BS185)*Index!BS$55</f>
        <v>0</v>
      </c>
      <c r="BT186" s="171">
        <f>SUM(BT184:BT185)*Index!BT$55</f>
        <v>0</v>
      </c>
      <c r="BU186" s="171">
        <f>SUM(BU184:BU185)*Index!BU$55</f>
        <v>0</v>
      </c>
      <c r="BV186" s="171">
        <f>SUM(BV184:BV185)*Index!BV$55</f>
        <v>0</v>
      </c>
      <c r="BW186" s="171">
        <f>SUM(BW184:BW185)*Index!BW$55</f>
        <v>0</v>
      </c>
      <c r="BX186" s="171">
        <f>SUM(BX184:BX185)*Index!BX$55</f>
        <v>0</v>
      </c>
      <c r="BY186" s="171">
        <f>SUM(BY184:BY185)*Index!BY$55</f>
        <v>0</v>
      </c>
      <c r="BZ186" s="171">
        <f>SUM(BZ184:BZ185)*Index!BZ$55</f>
        <v>0</v>
      </c>
      <c r="CA186" s="171">
        <f>SUM(CA184:CA185)*Index!CA$55</f>
        <v>0</v>
      </c>
      <c r="CB186" s="171">
        <f>SUM(CB184:CB185)*Index!CB$55</f>
        <v>0</v>
      </c>
      <c r="CC186" s="171">
        <f>SUM(CC184:CC185)*Index!CC$55</f>
        <v>0</v>
      </c>
      <c r="CD186" s="171">
        <f>SUM(CD184:CD185)*Index!CD$55</f>
        <v>0</v>
      </c>
      <c r="CE186" s="171">
        <f>SUM(CE184:CE185)*Index!CE$55</f>
        <v>0</v>
      </c>
      <c r="CF186" s="171">
        <f>SUM(CF184:CF185)*Index!CF$55</f>
        <v>0</v>
      </c>
      <c r="CG186" s="171">
        <f>SUM(CG184:CG185)*Index!CG$55</f>
        <v>0</v>
      </c>
      <c r="CH186" s="171">
        <f>SUM(CH184:CH185)*Index!CH$55</f>
        <v>0</v>
      </c>
      <c r="CI186" s="171">
        <f>SUM(CI184:CI185)*Index!CI$55</f>
        <v>0</v>
      </c>
      <c r="CJ186" s="171">
        <f>SUM(CJ184:CJ185)*Index!CJ$55</f>
        <v>0</v>
      </c>
      <c r="CK186" s="171">
        <f>SUM(CK184:CK185)*Index!CK$55</f>
        <v>0</v>
      </c>
      <c r="CL186" s="171">
        <f>SUM(CL184:CL185)*Index!CL$55</f>
        <v>0</v>
      </c>
      <c r="CM186" s="171">
        <f>SUM(CM184:CM185)*Index!CM$55</f>
        <v>0</v>
      </c>
      <c r="CN186" s="171">
        <f>SUM(CN184:CN185)*Index!CN$55</f>
        <v>0</v>
      </c>
      <c r="CO186" s="171">
        <f>SUM(CO184:CO185)*Index!CO$55</f>
        <v>0</v>
      </c>
      <c r="CP186" s="171">
        <f>SUM(CP184:CP185)*Index!CP$55</f>
        <v>0</v>
      </c>
      <c r="CQ186" s="171">
        <f>SUM(CQ184:CQ185)*Index!CQ$55</f>
        <v>0</v>
      </c>
      <c r="CR186" s="171">
        <f>SUM(CR184:CR185)*Index!CR$55</f>
        <v>0</v>
      </c>
      <c r="CS186" s="171">
        <f>SUM(CS184:CS185)*Index!CS$55</f>
        <v>0</v>
      </c>
      <c r="CT186" s="171">
        <f>SUM(CT184:CT185)*Index!CT$55</f>
        <v>0</v>
      </c>
      <c r="CU186" s="171">
        <f>SUM(CU184:CU185)*Index!CU$55</f>
        <v>0</v>
      </c>
      <c r="CV186" s="171">
        <f>SUM(CV184:CV185)*Index!CV$55</f>
        <v>0</v>
      </c>
      <c r="CW186" s="171">
        <f>SUM(CW184:CW185)*Index!CW$55</f>
        <v>0</v>
      </c>
      <c r="CX186" s="171">
        <f>SUM(CX184:CX185)*Index!CX$55</f>
        <v>0</v>
      </c>
      <c r="CY186" s="171">
        <f>SUM(CY184:CY185)*Index!CY$55</f>
        <v>0</v>
      </c>
      <c r="CZ186" s="171">
        <f>SUM(CZ184:CZ185)*Index!CZ$55</f>
        <v>0</v>
      </c>
      <c r="DA186" s="171">
        <f>SUM(DA184:DA185)*Index!DA$55</f>
        <v>0</v>
      </c>
      <c r="DB186" s="171">
        <f>SUM(DB184:DB185)*Index!DB$55</f>
        <v>0</v>
      </c>
      <c r="DC186" s="171">
        <f>SUM(DC184:DC185)*Index!DC$55</f>
        <v>0</v>
      </c>
      <c r="DD186" s="171">
        <f>SUM(DD184:DD185)*Index!DD$55</f>
        <v>0</v>
      </c>
      <c r="DE186" s="171">
        <f>SUM(DE184:DE185)*Index!DE$55</f>
        <v>0</v>
      </c>
      <c r="DF186" s="171">
        <f>SUM(DF184:DF185)*Index!DF$55</f>
        <v>0</v>
      </c>
      <c r="DG186" s="171">
        <f>SUM(DG184:DG185)*Index!DG$55</f>
        <v>0</v>
      </c>
      <c r="DH186" s="171">
        <f>SUM(DH184:DH185)*Index!DH$55</f>
        <v>0</v>
      </c>
      <c r="DI186" s="171">
        <f>SUM(DI184:DI185)*Index!DI$55</f>
        <v>0</v>
      </c>
      <c r="DJ186" s="171">
        <f>SUM(DJ184:DJ185)*Index!DJ$55</f>
        <v>0</v>
      </c>
      <c r="DK186" s="171">
        <f>SUM(DK184:DK185)*Index!DK$55</f>
        <v>0</v>
      </c>
      <c r="DL186" s="171">
        <f>SUM(DL184:DL185)*Index!DL$55</f>
        <v>0</v>
      </c>
      <c r="DM186" s="171">
        <f>SUM(DM184:DM185)*Index!DM$55</f>
        <v>0</v>
      </c>
      <c r="DN186" s="171">
        <f>SUM(DN184:DN185)*Index!DN$55</f>
        <v>0</v>
      </c>
      <c r="DO186" s="171">
        <f>SUM(DO184:DO185)*Index!DO$55</f>
        <v>0</v>
      </c>
      <c r="DP186" s="171">
        <f>SUM(DP184:DP185)*Index!DP$55</f>
        <v>0</v>
      </c>
      <c r="DQ186" s="171">
        <f>SUM(DQ184:DQ185)*Index!DQ$55</f>
        <v>0</v>
      </c>
      <c r="DR186" s="171">
        <f>SUM(DR184:DR185)*Index!DR$55</f>
        <v>0</v>
      </c>
      <c r="DS186" s="171">
        <f>SUM(DS184:DS185)*Index!DS$55</f>
        <v>0</v>
      </c>
      <c r="DT186" s="171">
        <f>SUM(DT184:DT185)*Index!DT$55</f>
        <v>0</v>
      </c>
      <c r="DU186" s="171">
        <f>SUM(DU184:DU185)*Index!DU$55</f>
        <v>0</v>
      </c>
      <c r="DV186" s="171">
        <f>SUM(DV184:DV185)*Index!DV$55</f>
        <v>0</v>
      </c>
      <c r="DW186" s="171">
        <f>SUM(DW184:DW185)*Index!DW$55</f>
        <v>0</v>
      </c>
      <c r="DX186" s="171">
        <f>SUM(DX184:DX185)*Index!DX$55</f>
        <v>0</v>
      </c>
      <c r="DY186" s="171">
        <f>SUM(DY184:DY185)*Index!DY$55</f>
        <v>0</v>
      </c>
      <c r="DZ186" s="171">
        <f>SUM(DZ184:DZ185)*Index!DZ$55</f>
        <v>0</v>
      </c>
      <c r="EA186" s="171">
        <f>SUM(EA184:EA185)*Index!EA$55</f>
        <v>0</v>
      </c>
      <c r="EB186" s="171">
        <f>SUM(EB184:EB185)*Index!EB$55</f>
        <v>0</v>
      </c>
      <c r="EC186" s="171">
        <f>SUM(EC184:EC185)*Index!EC$55</f>
        <v>0</v>
      </c>
      <c r="ED186" s="1321">
        <f>SUM(ED184:ED185)*Index!ED$55</f>
        <v>0</v>
      </c>
      <c r="EE186" s="171">
        <f>SUM(EE184:EE185)*Index!EE$55</f>
        <v>0</v>
      </c>
      <c r="EF186" s="171">
        <f>SUM(EF184:EF185)*Index!EF$55</f>
        <v>0</v>
      </c>
      <c r="EG186" s="171">
        <f>SUM(EG184:EG185)*Index!EG$55</f>
        <v>0</v>
      </c>
      <c r="EH186" s="171">
        <f>SUM(EH184:EH185)*Index!EH$55</f>
        <v>0</v>
      </c>
      <c r="EI186" s="171">
        <f>SUM(EI184:EI185)*Index!EI$55</f>
        <v>0</v>
      </c>
      <c r="EJ186" s="171">
        <f>SUM(EJ184:EJ185)*Index!EJ$55</f>
        <v>0</v>
      </c>
      <c r="EK186" s="171">
        <f>SUM(EK184:EK185)*Index!EK$55</f>
        <v>0</v>
      </c>
      <c r="EL186" s="171">
        <f>SUM(EL184:EL185)*Index!EL$55</f>
        <v>0</v>
      </c>
      <c r="EM186" s="171">
        <f>SUM(EM184:EM185)*Index!EM$55</f>
        <v>0</v>
      </c>
      <c r="EN186" s="171">
        <f>SUM(EN184:EN185)*Index!EN$55</f>
        <v>0</v>
      </c>
      <c r="EO186" s="171">
        <f>SUM(EO184:EO185)*Index!EO$55</f>
        <v>0</v>
      </c>
      <c r="EP186" s="171">
        <f>SUM(EP184:EP185)*Index!EP$55</f>
        <v>0</v>
      </c>
      <c r="EQ186" s="171">
        <f>SUM(EQ184:EQ185)*Index!EQ$55</f>
        <v>0</v>
      </c>
    </row>
    <row r="187" spans="3:147" ht="11.25" customHeight="1">
      <c r="C187" s="163"/>
      <c r="D187" s="169" t="s">
        <v>233</v>
      </c>
      <c r="I187" s="248"/>
      <c r="J187" s="170"/>
      <c r="K187" s="98"/>
      <c r="L187" s="171">
        <f t="shared" ref="L187:AQ187" si="414">L184+L185-L186</f>
        <v>0</v>
      </c>
      <c r="M187" s="171">
        <f t="shared" si="414"/>
        <v>0</v>
      </c>
      <c r="N187" s="171">
        <f t="shared" si="414"/>
        <v>0</v>
      </c>
      <c r="O187" s="171">
        <f t="shared" si="414"/>
        <v>0</v>
      </c>
      <c r="P187" s="171">
        <f t="shared" si="414"/>
        <v>0</v>
      </c>
      <c r="Q187" s="171">
        <f t="shared" si="414"/>
        <v>0</v>
      </c>
      <c r="R187" s="171">
        <f t="shared" si="414"/>
        <v>0</v>
      </c>
      <c r="S187" s="171">
        <f t="shared" si="414"/>
        <v>0</v>
      </c>
      <c r="T187" s="171">
        <f t="shared" si="414"/>
        <v>0</v>
      </c>
      <c r="U187" s="171">
        <f t="shared" si="414"/>
        <v>0</v>
      </c>
      <c r="V187" s="171">
        <f t="shared" si="414"/>
        <v>0</v>
      </c>
      <c r="W187" s="171">
        <f t="shared" si="414"/>
        <v>0</v>
      </c>
      <c r="X187" s="171">
        <f t="shared" si="414"/>
        <v>0</v>
      </c>
      <c r="Y187" s="171">
        <f t="shared" si="414"/>
        <v>0</v>
      </c>
      <c r="Z187" s="171">
        <f t="shared" si="414"/>
        <v>0</v>
      </c>
      <c r="AA187" s="171">
        <f t="shared" si="414"/>
        <v>0</v>
      </c>
      <c r="AB187" s="171">
        <f t="shared" si="414"/>
        <v>0</v>
      </c>
      <c r="AC187" s="171">
        <f t="shared" si="414"/>
        <v>0</v>
      </c>
      <c r="AD187" s="171">
        <f t="shared" si="414"/>
        <v>0</v>
      </c>
      <c r="AE187" s="171">
        <f t="shared" si="414"/>
        <v>0</v>
      </c>
      <c r="AF187" s="171">
        <f t="shared" si="414"/>
        <v>0</v>
      </c>
      <c r="AG187" s="171">
        <f t="shared" si="414"/>
        <v>0</v>
      </c>
      <c r="AH187" s="171">
        <f t="shared" si="414"/>
        <v>0</v>
      </c>
      <c r="AI187" s="171">
        <f t="shared" si="414"/>
        <v>0</v>
      </c>
      <c r="AJ187" s="171">
        <f t="shared" si="414"/>
        <v>0</v>
      </c>
      <c r="AK187" s="171">
        <f t="shared" si="414"/>
        <v>0</v>
      </c>
      <c r="AL187" s="171">
        <f t="shared" si="414"/>
        <v>0</v>
      </c>
      <c r="AM187" s="171">
        <f t="shared" si="414"/>
        <v>0</v>
      </c>
      <c r="AN187" s="171">
        <f t="shared" si="414"/>
        <v>0</v>
      </c>
      <c r="AO187" s="171">
        <f t="shared" si="414"/>
        <v>0</v>
      </c>
      <c r="AP187" s="171">
        <f t="shared" si="414"/>
        <v>0</v>
      </c>
      <c r="AQ187" s="171">
        <f t="shared" si="414"/>
        <v>0</v>
      </c>
      <c r="AR187" s="171">
        <f t="shared" ref="AR187:BW187" si="415">AR184+AR185-AR186</f>
        <v>0</v>
      </c>
      <c r="AS187" s="171">
        <f t="shared" si="415"/>
        <v>0</v>
      </c>
      <c r="AT187" s="171">
        <f t="shared" si="415"/>
        <v>0</v>
      </c>
      <c r="AU187" s="171">
        <f t="shared" si="415"/>
        <v>0</v>
      </c>
      <c r="AV187" s="171">
        <f t="shared" si="415"/>
        <v>0</v>
      </c>
      <c r="AW187" s="171">
        <f t="shared" si="415"/>
        <v>0</v>
      </c>
      <c r="AX187" s="171">
        <f t="shared" si="415"/>
        <v>0</v>
      </c>
      <c r="AY187" s="171">
        <f t="shared" si="415"/>
        <v>0</v>
      </c>
      <c r="AZ187" s="171">
        <f t="shared" si="415"/>
        <v>0</v>
      </c>
      <c r="BA187" s="171">
        <f t="shared" si="415"/>
        <v>0</v>
      </c>
      <c r="BB187" s="171">
        <f t="shared" si="415"/>
        <v>0</v>
      </c>
      <c r="BC187" s="171">
        <f t="shared" si="415"/>
        <v>0</v>
      </c>
      <c r="BD187" s="171">
        <f t="shared" si="415"/>
        <v>0</v>
      </c>
      <c r="BE187" s="171">
        <f t="shared" si="415"/>
        <v>0</v>
      </c>
      <c r="BF187" s="171">
        <f t="shared" si="415"/>
        <v>0</v>
      </c>
      <c r="BG187" s="171">
        <f t="shared" si="415"/>
        <v>0</v>
      </c>
      <c r="BH187" s="171">
        <f t="shared" si="415"/>
        <v>0</v>
      </c>
      <c r="BI187" s="171">
        <f t="shared" si="415"/>
        <v>0</v>
      </c>
      <c r="BJ187" s="171">
        <f t="shared" si="415"/>
        <v>0</v>
      </c>
      <c r="BK187" s="171">
        <f t="shared" si="415"/>
        <v>0</v>
      </c>
      <c r="BL187" s="171">
        <f t="shared" si="415"/>
        <v>0</v>
      </c>
      <c r="BM187" s="171">
        <f t="shared" si="415"/>
        <v>0</v>
      </c>
      <c r="BN187" s="171">
        <f t="shared" si="415"/>
        <v>0</v>
      </c>
      <c r="BO187" s="171">
        <f t="shared" si="415"/>
        <v>0</v>
      </c>
      <c r="BP187" s="171">
        <f t="shared" si="415"/>
        <v>0</v>
      </c>
      <c r="BQ187" s="171">
        <f t="shared" si="415"/>
        <v>0</v>
      </c>
      <c r="BR187" s="171">
        <f t="shared" si="415"/>
        <v>0</v>
      </c>
      <c r="BS187" s="171">
        <f t="shared" si="415"/>
        <v>0</v>
      </c>
      <c r="BT187" s="171">
        <f t="shared" si="415"/>
        <v>0</v>
      </c>
      <c r="BU187" s="171">
        <f t="shared" si="415"/>
        <v>0</v>
      </c>
      <c r="BV187" s="171">
        <f t="shared" si="415"/>
        <v>0</v>
      </c>
      <c r="BW187" s="171">
        <f t="shared" si="415"/>
        <v>0</v>
      </c>
      <c r="BX187" s="171">
        <f t="shared" ref="BX187:DC187" si="416">BX184+BX185-BX186</f>
        <v>0</v>
      </c>
      <c r="BY187" s="171">
        <f t="shared" si="416"/>
        <v>0</v>
      </c>
      <c r="BZ187" s="171">
        <f t="shared" si="416"/>
        <v>0</v>
      </c>
      <c r="CA187" s="171">
        <f t="shared" si="416"/>
        <v>0</v>
      </c>
      <c r="CB187" s="171">
        <f t="shared" si="416"/>
        <v>0</v>
      </c>
      <c r="CC187" s="171">
        <f t="shared" si="416"/>
        <v>0</v>
      </c>
      <c r="CD187" s="171">
        <f t="shared" si="416"/>
        <v>0</v>
      </c>
      <c r="CE187" s="171">
        <f t="shared" si="416"/>
        <v>0</v>
      </c>
      <c r="CF187" s="171">
        <f t="shared" si="416"/>
        <v>0</v>
      </c>
      <c r="CG187" s="171">
        <f t="shared" si="416"/>
        <v>0</v>
      </c>
      <c r="CH187" s="171">
        <f t="shared" si="416"/>
        <v>0</v>
      </c>
      <c r="CI187" s="171">
        <f t="shared" si="416"/>
        <v>0</v>
      </c>
      <c r="CJ187" s="171">
        <f t="shared" si="416"/>
        <v>0</v>
      </c>
      <c r="CK187" s="171">
        <f t="shared" si="416"/>
        <v>0</v>
      </c>
      <c r="CL187" s="171">
        <f t="shared" si="416"/>
        <v>0</v>
      </c>
      <c r="CM187" s="171">
        <f t="shared" si="416"/>
        <v>0</v>
      </c>
      <c r="CN187" s="171">
        <f t="shared" si="416"/>
        <v>0</v>
      </c>
      <c r="CO187" s="171">
        <f t="shared" si="416"/>
        <v>0</v>
      </c>
      <c r="CP187" s="171">
        <f t="shared" si="416"/>
        <v>0</v>
      </c>
      <c r="CQ187" s="171">
        <f t="shared" si="416"/>
        <v>0</v>
      </c>
      <c r="CR187" s="171">
        <f t="shared" si="416"/>
        <v>0</v>
      </c>
      <c r="CS187" s="171">
        <f t="shared" si="416"/>
        <v>0</v>
      </c>
      <c r="CT187" s="171">
        <f t="shared" si="416"/>
        <v>0</v>
      </c>
      <c r="CU187" s="171">
        <f t="shared" si="416"/>
        <v>0</v>
      </c>
      <c r="CV187" s="171">
        <f t="shared" si="416"/>
        <v>0</v>
      </c>
      <c r="CW187" s="171">
        <f t="shared" si="416"/>
        <v>0</v>
      </c>
      <c r="CX187" s="171">
        <f t="shared" si="416"/>
        <v>0</v>
      </c>
      <c r="CY187" s="171">
        <f t="shared" si="416"/>
        <v>0</v>
      </c>
      <c r="CZ187" s="171">
        <f t="shared" si="416"/>
        <v>0</v>
      </c>
      <c r="DA187" s="171">
        <f t="shared" si="416"/>
        <v>0</v>
      </c>
      <c r="DB187" s="171">
        <f t="shared" si="416"/>
        <v>0</v>
      </c>
      <c r="DC187" s="171">
        <f t="shared" si="416"/>
        <v>0</v>
      </c>
      <c r="DD187" s="171">
        <f t="shared" ref="DD187:DT187" si="417">DD184+DD185-DD186</f>
        <v>0</v>
      </c>
      <c r="DE187" s="171">
        <f t="shared" si="417"/>
        <v>0</v>
      </c>
      <c r="DF187" s="171">
        <f t="shared" si="417"/>
        <v>0</v>
      </c>
      <c r="DG187" s="171">
        <f t="shared" si="417"/>
        <v>0</v>
      </c>
      <c r="DH187" s="171">
        <f t="shared" si="417"/>
        <v>0</v>
      </c>
      <c r="DI187" s="171">
        <f t="shared" si="417"/>
        <v>0</v>
      </c>
      <c r="DJ187" s="171">
        <f t="shared" si="417"/>
        <v>0</v>
      </c>
      <c r="DK187" s="171">
        <f t="shared" si="417"/>
        <v>0</v>
      </c>
      <c r="DL187" s="171">
        <f t="shared" si="417"/>
        <v>0</v>
      </c>
      <c r="DM187" s="171">
        <f t="shared" si="417"/>
        <v>0</v>
      </c>
      <c r="DN187" s="171">
        <f t="shared" si="417"/>
        <v>0</v>
      </c>
      <c r="DO187" s="171">
        <f t="shared" si="417"/>
        <v>0</v>
      </c>
      <c r="DP187" s="171">
        <f t="shared" si="417"/>
        <v>0</v>
      </c>
      <c r="DQ187" s="171">
        <f t="shared" si="417"/>
        <v>0</v>
      </c>
      <c r="DR187" s="171">
        <f t="shared" si="417"/>
        <v>0</v>
      </c>
      <c r="DS187" s="171">
        <f t="shared" si="417"/>
        <v>0</v>
      </c>
      <c r="DT187" s="171">
        <f t="shared" si="417"/>
        <v>0</v>
      </c>
      <c r="DU187" s="171">
        <f t="shared" ref="DU187:EA187" si="418">DU184+DU185-DU186</f>
        <v>0</v>
      </c>
      <c r="DV187" s="171">
        <f t="shared" si="418"/>
        <v>0</v>
      </c>
      <c r="DW187" s="171">
        <f t="shared" si="418"/>
        <v>0</v>
      </c>
      <c r="DX187" s="171">
        <f t="shared" si="418"/>
        <v>0</v>
      </c>
      <c r="DY187" s="171">
        <f t="shared" si="418"/>
        <v>0</v>
      </c>
      <c r="DZ187" s="171">
        <f t="shared" si="418"/>
        <v>0</v>
      </c>
      <c r="EA187" s="171">
        <f t="shared" si="418"/>
        <v>0</v>
      </c>
      <c r="EB187" s="171">
        <f t="shared" ref="EB187:EQ187" si="419">EB184+EB185-EB186</f>
        <v>0</v>
      </c>
      <c r="EC187" s="171">
        <f t="shared" si="419"/>
        <v>0</v>
      </c>
      <c r="ED187" s="1321">
        <f t="shared" si="419"/>
        <v>0</v>
      </c>
      <c r="EE187" s="171">
        <f t="shared" si="419"/>
        <v>0</v>
      </c>
      <c r="EF187" s="171">
        <f t="shared" si="419"/>
        <v>0</v>
      </c>
      <c r="EG187" s="171">
        <f t="shared" si="419"/>
        <v>0</v>
      </c>
      <c r="EH187" s="171">
        <f t="shared" si="419"/>
        <v>0</v>
      </c>
      <c r="EI187" s="171">
        <f t="shared" si="419"/>
        <v>0</v>
      </c>
      <c r="EJ187" s="171">
        <f t="shared" si="419"/>
        <v>0</v>
      </c>
      <c r="EK187" s="171">
        <f t="shared" si="419"/>
        <v>0</v>
      </c>
      <c r="EL187" s="171">
        <f t="shared" si="419"/>
        <v>0</v>
      </c>
      <c r="EM187" s="171">
        <f t="shared" si="419"/>
        <v>0</v>
      </c>
      <c r="EN187" s="171">
        <f t="shared" si="419"/>
        <v>0</v>
      </c>
      <c r="EO187" s="171">
        <f t="shared" si="419"/>
        <v>0</v>
      </c>
      <c r="EP187" s="171">
        <f t="shared" si="419"/>
        <v>0</v>
      </c>
      <c r="EQ187" s="171">
        <f t="shared" si="419"/>
        <v>0</v>
      </c>
    </row>
    <row r="188" spans="3:147" ht="11.25" customHeight="1">
      <c r="C188" s="158" t="s">
        <v>525</v>
      </c>
      <c r="D188" s="159"/>
      <c r="E188" s="159"/>
      <c r="F188" s="159"/>
      <c r="G188" s="159"/>
      <c r="H188" s="160"/>
      <c r="I188" s="219"/>
      <c r="J188" s="161"/>
      <c r="K188" s="98"/>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162"/>
      <c r="AK188" s="162"/>
      <c r="AL188" s="162"/>
      <c r="AM188" s="162"/>
      <c r="AN188" s="162"/>
      <c r="AO188" s="162"/>
      <c r="AP188" s="162"/>
      <c r="AQ188" s="162"/>
      <c r="AR188" s="162"/>
      <c r="AS188" s="162"/>
      <c r="AT188" s="162"/>
      <c r="AU188" s="162"/>
      <c r="AV188" s="162"/>
      <c r="AW188" s="162"/>
      <c r="AX188" s="162"/>
      <c r="AY188" s="162"/>
      <c r="AZ188" s="162"/>
      <c r="BA188" s="162"/>
      <c r="BB188" s="162"/>
      <c r="BC188" s="162"/>
      <c r="BD188" s="162"/>
      <c r="BE188" s="162"/>
      <c r="BF188" s="162"/>
      <c r="BG188" s="162"/>
      <c r="BH188" s="162"/>
      <c r="BI188" s="162"/>
      <c r="BJ188" s="162"/>
      <c r="BK188" s="162"/>
      <c r="BL188" s="162"/>
      <c r="BM188" s="162"/>
      <c r="BN188" s="162"/>
      <c r="BO188" s="162"/>
      <c r="BP188" s="162"/>
      <c r="BQ188" s="162"/>
      <c r="BR188" s="162"/>
      <c r="BS188" s="162"/>
      <c r="BT188" s="162"/>
      <c r="BU188" s="162"/>
      <c r="BV188" s="162"/>
      <c r="BW188" s="162"/>
      <c r="BX188" s="162"/>
      <c r="BY188" s="162"/>
      <c r="BZ188" s="162"/>
      <c r="CA188" s="162"/>
      <c r="CB188" s="162"/>
      <c r="CC188" s="162"/>
      <c r="CD188" s="162"/>
      <c r="CE188" s="162"/>
      <c r="CF188" s="162"/>
      <c r="CG188" s="162"/>
      <c r="CH188" s="162"/>
      <c r="CI188" s="162"/>
      <c r="CJ188" s="162"/>
      <c r="CK188" s="162"/>
      <c r="CL188" s="162"/>
      <c r="CM188" s="162"/>
      <c r="CN188" s="162"/>
      <c r="CO188" s="162"/>
      <c r="CP188" s="162"/>
      <c r="CQ188" s="162"/>
      <c r="CR188" s="162"/>
      <c r="CS188" s="162"/>
      <c r="CT188" s="162"/>
      <c r="CU188" s="162"/>
      <c r="CV188" s="162"/>
      <c r="CW188" s="162"/>
      <c r="CX188" s="162"/>
      <c r="CY188" s="162"/>
      <c r="CZ188" s="162"/>
      <c r="DA188" s="162"/>
      <c r="DB188" s="162"/>
      <c r="DC188" s="162"/>
      <c r="DD188" s="162"/>
      <c r="DE188" s="162"/>
      <c r="DF188" s="162"/>
      <c r="DG188" s="162"/>
      <c r="DH188" s="162"/>
      <c r="DI188" s="162"/>
      <c r="DJ188" s="162"/>
      <c r="DK188" s="162"/>
      <c r="DL188" s="162"/>
      <c r="DM188" s="162"/>
      <c r="DN188" s="162"/>
      <c r="DO188" s="162"/>
      <c r="DP188" s="162"/>
      <c r="DQ188" s="162"/>
      <c r="DR188" s="162"/>
      <c r="DS188" s="162"/>
      <c r="DT188" s="162"/>
      <c r="DU188" s="162"/>
      <c r="DV188" s="162"/>
      <c r="DW188" s="162"/>
      <c r="DX188" s="162"/>
      <c r="DY188" s="162"/>
      <c r="DZ188" s="162"/>
      <c r="EA188" s="162"/>
      <c r="EB188" s="162"/>
      <c r="EC188" s="162"/>
      <c r="ED188" s="1319"/>
      <c r="EE188" s="162"/>
      <c r="EF188" s="162"/>
      <c r="EG188" s="162"/>
      <c r="EH188" s="162"/>
      <c r="EI188" s="162"/>
      <c r="EJ188" s="162"/>
      <c r="EK188" s="162"/>
      <c r="EL188" s="162"/>
      <c r="EM188" s="162"/>
      <c r="EN188" s="162"/>
      <c r="EO188" s="162"/>
      <c r="EP188" s="162"/>
      <c r="EQ188" s="162"/>
    </row>
    <row r="189" spans="3:147" ht="11.25" customHeight="1">
      <c r="C189" s="163"/>
      <c r="D189" s="164" t="s">
        <v>230</v>
      </c>
      <c r="E189" s="165"/>
      <c r="F189" s="165"/>
      <c r="G189" s="165"/>
      <c r="H189" s="166"/>
      <c r="I189" s="221"/>
      <c r="J189" s="167"/>
      <c r="K189" s="98"/>
      <c r="L189" s="168">
        <f>K192</f>
        <v>0</v>
      </c>
      <c r="M189" s="168">
        <f t="shared" ref="M189:BX189" si="420">L192</f>
        <v>0</v>
      </c>
      <c r="N189" s="168">
        <f t="shared" si="420"/>
        <v>1741.2360810166667</v>
      </c>
      <c r="O189" s="168">
        <f t="shared" si="420"/>
        <v>3482.4721620333335</v>
      </c>
      <c r="P189" s="168">
        <f t="shared" si="420"/>
        <v>0</v>
      </c>
      <c r="Q189" s="168">
        <f t="shared" si="420"/>
        <v>1741.2360810166667</v>
      </c>
      <c r="R189" s="168">
        <f t="shared" si="420"/>
        <v>3482.4721620333335</v>
      </c>
      <c r="S189" s="168">
        <f t="shared" si="420"/>
        <v>0</v>
      </c>
      <c r="T189" s="168">
        <f t="shared" si="420"/>
        <v>1741.2360810166667</v>
      </c>
      <c r="U189" s="168">
        <f t="shared" si="420"/>
        <v>3482.4721620333335</v>
      </c>
      <c r="V189" s="168">
        <f t="shared" si="420"/>
        <v>0</v>
      </c>
      <c r="W189" s="168">
        <f t="shared" si="420"/>
        <v>1741.2360810166667</v>
      </c>
      <c r="X189" s="168">
        <f t="shared" si="420"/>
        <v>3482.4721620333335</v>
      </c>
      <c r="Y189" s="168">
        <f t="shared" si="420"/>
        <v>0</v>
      </c>
      <c r="Z189" s="168">
        <f t="shared" si="420"/>
        <v>1741.2360810166667</v>
      </c>
      <c r="AA189" s="168">
        <f t="shared" si="420"/>
        <v>3482.4721620333335</v>
      </c>
      <c r="AB189" s="168">
        <f t="shared" si="420"/>
        <v>0</v>
      </c>
      <c r="AC189" s="168">
        <f t="shared" si="420"/>
        <v>1741.2360810166667</v>
      </c>
      <c r="AD189" s="168">
        <f t="shared" si="420"/>
        <v>3482.4721620333335</v>
      </c>
      <c r="AE189" s="168">
        <f t="shared" si="420"/>
        <v>0</v>
      </c>
      <c r="AF189" s="168">
        <f t="shared" si="420"/>
        <v>1741.2360810166667</v>
      </c>
      <c r="AG189" s="168">
        <f t="shared" si="420"/>
        <v>3482.4721620333335</v>
      </c>
      <c r="AH189" s="168">
        <f t="shared" si="420"/>
        <v>0</v>
      </c>
      <c r="AI189" s="168">
        <f t="shared" si="420"/>
        <v>1741.2360810166667</v>
      </c>
      <c r="AJ189" s="168">
        <f t="shared" si="420"/>
        <v>3482.4721620333335</v>
      </c>
      <c r="AK189" s="168">
        <f t="shared" si="420"/>
        <v>0</v>
      </c>
      <c r="AL189" s="168">
        <f t="shared" si="420"/>
        <v>1741.2360810166667</v>
      </c>
      <c r="AM189" s="168">
        <f t="shared" si="420"/>
        <v>3482.4721620333335</v>
      </c>
      <c r="AN189" s="168">
        <f t="shared" si="420"/>
        <v>0</v>
      </c>
      <c r="AO189" s="168">
        <f t="shared" si="420"/>
        <v>1741.2360810166667</v>
      </c>
      <c r="AP189" s="168">
        <f t="shared" si="420"/>
        <v>3482.4721620333335</v>
      </c>
      <c r="AQ189" s="168">
        <f t="shared" si="420"/>
        <v>0</v>
      </c>
      <c r="AR189" s="168">
        <f t="shared" si="420"/>
        <v>1741.2360810166667</v>
      </c>
      <c r="AS189" s="168">
        <f t="shared" si="420"/>
        <v>3482.4721620333335</v>
      </c>
      <c r="AT189" s="168">
        <f t="shared" si="420"/>
        <v>0</v>
      </c>
      <c r="AU189" s="168">
        <f t="shared" si="420"/>
        <v>1741.2360810166667</v>
      </c>
      <c r="AV189" s="168">
        <f t="shared" si="420"/>
        <v>3482.4721620333335</v>
      </c>
      <c r="AW189" s="168">
        <f t="shared" si="420"/>
        <v>0</v>
      </c>
      <c r="AX189" s="168">
        <f t="shared" si="420"/>
        <v>1741.2360810166667</v>
      </c>
      <c r="AY189" s="168">
        <f t="shared" si="420"/>
        <v>3482.4721620333335</v>
      </c>
      <c r="AZ189" s="168">
        <f t="shared" si="420"/>
        <v>0</v>
      </c>
      <c r="BA189" s="168">
        <f t="shared" si="420"/>
        <v>1741.2360810166667</v>
      </c>
      <c r="BB189" s="168">
        <f t="shared" si="420"/>
        <v>3482.4721620333335</v>
      </c>
      <c r="BC189" s="168">
        <f t="shared" si="420"/>
        <v>0</v>
      </c>
      <c r="BD189" s="168">
        <f t="shared" si="420"/>
        <v>1741.2360810166667</v>
      </c>
      <c r="BE189" s="168">
        <f t="shared" si="420"/>
        <v>3482.4721620333335</v>
      </c>
      <c r="BF189" s="168">
        <f t="shared" si="420"/>
        <v>0</v>
      </c>
      <c r="BG189" s="168">
        <f t="shared" si="420"/>
        <v>1741.2360810166667</v>
      </c>
      <c r="BH189" s="168">
        <f t="shared" si="420"/>
        <v>3482.4721620333335</v>
      </c>
      <c r="BI189" s="168">
        <f t="shared" si="420"/>
        <v>0</v>
      </c>
      <c r="BJ189" s="168">
        <f t="shared" si="420"/>
        <v>1741.2360810166667</v>
      </c>
      <c r="BK189" s="168">
        <f t="shared" si="420"/>
        <v>3482.4721620333335</v>
      </c>
      <c r="BL189" s="168">
        <f t="shared" si="420"/>
        <v>0</v>
      </c>
      <c r="BM189" s="168">
        <f t="shared" si="420"/>
        <v>1741.2360810166667</v>
      </c>
      <c r="BN189" s="168">
        <f t="shared" si="420"/>
        <v>3482.4721620333335</v>
      </c>
      <c r="BO189" s="168">
        <f t="shared" si="420"/>
        <v>0</v>
      </c>
      <c r="BP189" s="168">
        <f t="shared" si="420"/>
        <v>1741.2360810166667</v>
      </c>
      <c r="BQ189" s="168">
        <f t="shared" si="420"/>
        <v>3482.4721620333335</v>
      </c>
      <c r="BR189" s="168">
        <f t="shared" si="420"/>
        <v>0</v>
      </c>
      <c r="BS189" s="168">
        <f t="shared" si="420"/>
        <v>1741.2360810166667</v>
      </c>
      <c r="BT189" s="168">
        <f t="shared" si="420"/>
        <v>3482.4721620333335</v>
      </c>
      <c r="BU189" s="168">
        <f t="shared" si="420"/>
        <v>0</v>
      </c>
      <c r="BV189" s="168">
        <f t="shared" si="420"/>
        <v>1741.2360810166667</v>
      </c>
      <c r="BW189" s="168">
        <f t="shared" si="420"/>
        <v>3482.4721620333335</v>
      </c>
      <c r="BX189" s="168">
        <f t="shared" si="420"/>
        <v>0</v>
      </c>
      <c r="BY189" s="168">
        <f t="shared" ref="BY189:DT189" si="421">BX192</f>
        <v>1741.2360810166667</v>
      </c>
      <c r="BZ189" s="168">
        <f t="shared" si="421"/>
        <v>3482.4721620333335</v>
      </c>
      <c r="CA189" s="168">
        <f t="shared" si="421"/>
        <v>0</v>
      </c>
      <c r="CB189" s="168">
        <f t="shared" si="421"/>
        <v>1741.2360810166667</v>
      </c>
      <c r="CC189" s="168">
        <f t="shared" si="421"/>
        <v>3482.4721620333335</v>
      </c>
      <c r="CD189" s="168">
        <f t="shared" si="421"/>
        <v>0</v>
      </c>
      <c r="CE189" s="168">
        <f t="shared" si="421"/>
        <v>1741.2360810166667</v>
      </c>
      <c r="CF189" s="168">
        <f t="shared" si="421"/>
        <v>3482.4721620333335</v>
      </c>
      <c r="CG189" s="168">
        <f t="shared" si="421"/>
        <v>0</v>
      </c>
      <c r="CH189" s="168">
        <f t="shared" si="421"/>
        <v>1741.2360810166667</v>
      </c>
      <c r="CI189" s="168">
        <f t="shared" si="421"/>
        <v>3482.4721620333335</v>
      </c>
      <c r="CJ189" s="168">
        <f t="shared" si="421"/>
        <v>0</v>
      </c>
      <c r="CK189" s="168">
        <f t="shared" si="421"/>
        <v>1741.2360810166667</v>
      </c>
      <c r="CL189" s="168">
        <f t="shared" si="421"/>
        <v>3482.4721620333335</v>
      </c>
      <c r="CM189" s="168">
        <f t="shared" si="421"/>
        <v>0</v>
      </c>
      <c r="CN189" s="168">
        <f t="shared" si="421"/>
        <v>1741.2360810166667</v>
      </c>
      <c r="CO189" s="168">
        <f t="shared" si="421"/>
        <v>3482.4721620333335</v>
      </c>
      <c r="CP189" s="168">
        <f t="shared" si="421"/>
        <v>0</v>
      </c>
      <c r="CQ189" s="168">
        <f t="shared" si="421"/>
        <v>1741.2360810166667</v>
      </c>
      <c r="CR189" s="168">
        <f t="shared" si="421"/>
        <v>3482.4721620333335</v>
      </c>
      <c r="CS189" s="168">
        <f t="shared" si="421"/>
        <v>0</v>
      </c>
      <c r="CT189" s="168">
        <f t="shared" si="421"/>
        <v>1741.2360810166667</v>
      </c>
      <c r="CU189" s="168">
        <f t="shared" si="421"/>
        <v>3482.4721620333335</v>
      </c>
      <c r="CV189" s="168">
        <f t="shared" si="421"/>
        <v>0</v>
      </c>
      <c r="CW189" s="168">
        <f t="shared" si="421"/>
        <v>1741.2360810166667</v>
      </c>
      <c r="CX189" s="168">
        <f t="shared" si="421"/>
        <v>3482.4721620333335</v>
      </c>
      <c r="CY189" s="168">
        <f t="shared" si="421"/>
        <v>0</v>
      </c>
      <c r="CZ189" s="168">
        <f t="shared" si="421"/>
        <v>1741.2360810166667</v>
      </c>
      <c r="DA189" s="168">
        <f t="shared" si="421"/>
        <v>3482.4721620333335</v>
      </c>
      <c r="DB189" s="168">
        <f t="shared" si="421"/>
        <v>0</v>
      </c>
      <c r="DC189" s="168">
        <f t="shared" si="421"/>
        <v>1741.2360810166667</v>
      </c>
      <c r="DD189" s="168">
        <f t="shared" si="421"/>
        <v>3482.4721620333335</v>
      </c>
      <c r="DE189" s="168">
        <f t="shared" si="421"/>
        <v>0</v>
      </c>
      <c r="DF189" s="168">
        <f t="shared" si="421"/>
        <v>1741.2360810166667</v>
      </c>
      <c r="DG189" s="168">
        <f t="shared" si="421"/>
        <v>3482.4721620333335</v>
      </c>
      <c r="DH189" s="168">
        <f t="shared" si="421"/>
        <v>0</v>
      </c>
      <c r="DI189" s="168">
        <f t="shared" si="421"/>
        <v>1741.2360810166667</v>
      </c>
      <c r="DJ189" s="168">
        <f t="shared" si="421"/>
        <v>3482.4721620333335</v>
      </c>
      <c r="DK189" s="168">
        <f t="shared" si="421"/>
        <v>0</v>
      </c>
      <c r="DL189" s="168">
        <f t="shared" si="421"/>
        <v>1741.2360810166667</v>
      </c>
      <c r="DM189" s="168">
        <f t="shared" si="421"/>
        <v>3482.4721620333335</v>
      </c>
      <c r="DN189" s="168">
        <f t="shared" si="421"/>
        <v>0</v>
      </c>
      <c r="DO189" s="168">
        <f t="shared" si="421"/>
        <v>1741.2360810166667</v>
      </c>
      <c r="DP189" s="168">
        <f t="shared" si="421"/>
        <v>3482.4721620333335</v>
      </c>
      <c r="DQ189" s="168">
        <f t="shared" si="421"/>
        <v>0</v>
      </c>
      <c r="DR189" s="168">
        <f t="shared" si="421"/>
        <v>1741.2360810166667</v>
      </c>
      <c r="DS189" s="168">
        <f t="shared" si="421"/>
        <v>3482.4721620333335</v>
      </c>
      <c r="DT189" s="168">
        <f t="shared" si="421"/>
        <v>0</v>
      </c>
      <c r="DU189" s="168">
        <f t="shared" ref="DU189:EQ189" si="422">DT192</f>
        <v>1741.2360810166667</v>
      </c>
      <c r="DV189" s="168">
        <f t="shared" si="422"/>
        <v>3482.4721620333335</v>
      </c>
      <c r="DW189" s="168">
        <f t="shared" si="422"/>
        <v>0</v>
      </c>
      <c r="DX189" s="168">
        <f t="shared" si="422"/>
        <v>1741.2360810166667</v>
      </c>
      <c r="DY189" s="168">
        <f t="shared" si="422"/>
        <v>3482.4721620333335</v>
      </c>
      <c r="DZ189" s="168">
        <f t="shared" si="422"/>
        <v>0</v>
      </c>
      <c r="EA189" s="168">
        <f t="shared" si="422"/>
        <v>1741.2360810166667</v>
      </c>
      <c r="EB189" s="168">
        <f t="shared" si="422"/>
        <v>3482.4721620333335</v>
      </c>
      <c r="EC189" s="168">
        <f t="shared" si="422"/>
        <v>0</v>
      </c>
      <c r="ED189" s="1320">
        <f t="shared" si="422"/>
        <v>0</v>
      </c>
      <c r="EE189" s="168">
        <f t="shared" si="422"/>
        <v>0</v>
      </c>
      <c r="EF189" s="168">
        <f t="shared" si="422"/>
        <v>0</v>
      </c>
      <c r="EG189" s="168">
        <f t="shared" si="422"/>
        <v>0</v>
      </c>
      <c r="EH189" s="168">
        <f t="shared" si="422"/>
        <v>0</v>
      </c>
      <c r="EI189" s="168">
        <f t="shared" si="422"/>
        <v>0</v>
      </c>
      <c r="EJ189" s="168">
        <f t="shared" si="422"/>
        <v>0</v>
      </c>
      <c r="EK189" s="168">
        <f t="shared" si="422"/>
        <v>0</v>
      </c>
      <c r="EL189" s="168">
        <f t="shared" si="422"/>
        <v>0</v>
      </c>
      <c r="EM189" s="168">
        <f t="shared" si="422"/>
        <v>0</v>
      </c>
      <c r="EN189" s="168">
        <f t="shared" si="422"/>
        <v>0</v>
      </c>
      <c r="EO189" s="168">
        <f t="shared" si="422"/>
        <v>0</v>
      </c>
      <c r="EP189" s="168">
        <f t="shared" si="422"/>
        <v>0</v>
      </c>
      <c r="EQ189" s="168">
        <f t="shared" si="422"/>
        <v>0</v>
      </c>
    </row>
    <row r="190" spans="3:147" ht="11.25" customHeight="1">
      <c r="C190" s="163"/>
      <c r="D190" s="169" t="s">
        <v>231</v>
      </c>
      <c r="I190" s="90"/>
      <c r="J190" s="170">
        <f>SUM(L190:EQ190)</f>
        <v>208948.32972199976</v>
      </c>
      <c r="K190" s="98"/>
      <c r="L190" s="171">
        <f>'NOI(M)'!M31</f>
        <v>0</v>
      </c>
      <c r="M190" s="171">
        <f>'NOI(M)'!N31</f>
        <v>1741.2360810166667</v>
      </c>
      <c r="N190" s="171">
        <f>'NOI(M)'!O31</f>
        <v>1741.2360810166667</v>
      </c>
      <c r="O190" s="171">
        <f>'NOI(M)'!P31</f>
        <v>1741.2360810166667</v>
      </c>
      <c r="P190" s="171">
        <f>'NOI(M)'!Q31</f>
        <v>1741.2360810166667</v>
      </c>
      <c r="Q190" s="171">
        <f>'NOI(M)'!R31</f>
        <v>1741.2360810166667</v>
      </c>
      <c r="R190" s="171">
        <f>'NOI(M)'!S31</f>
        <v>1741.2360810166667</v>
      </c>
      <c r="S190" s="171">
        <f>'NOI(M)'!T31</f>
        <v>1741.2360810166667</v>
      </c>
      <c r="T190" s="171">
        <f>'NOI(M)'!U31</f>
        <v>1741.2360810166667</v>
      </c>
      <c r="U190" s="171">
        <f>'NOI(M)'!V31</f>
        <v>1741.2360810166667</v>
      </c>
      <c r="V190" s="171">
        <f>'NOI(M)'!W31</f>
        <v>1741.2360810166667</v>
      </c>
      <c r="W190" s="171">
        <f>'NOI(M)'!X31</f>
        <v>1741.2360810166667</v>
      </c>
      <c r="X190" s="171">
        <f>'NOI(M)'!Y31</f>
        <v>1741.2360810166667</v>
      </c>
      <c r="Y190" s="171">
        <f>'NOI(M)'!Z31</f>
        <v>1741.2360810166667</v>
      </c>
      <c r="Z190" s="171">
        <f>'NOI(M)'!AA31</f>
        <v>1741.2360810166667</v>
      </c>
      <c r="AA190" s="171">
        <f>'NOI(M)'!AB31</f>
        <v>1741.2360810166667</v>
      </c>
      <c r="AB190" s="171">
        <f>'NOI(M)'!AC31</f>
        <v>1741.2360810166667</v>
      </c>
      <c r="AC190" s="171">
        <f>'NOI(M)'!AD31</f>
        <v>1741.2360810166667</v>
      </c>
      <c r="AD190" s="171">
        <f>'NOI(M)'!AE31</f>
        <v>1741.2360810166667</v>
      </c>
      <c r="AE190" s="171">
        <f>'NOI(M)'!AF31</f>
        <v>1741.2360810166667</v>
      </c>
      <c r="AF190" s="171">
        <f>'NOI(M)'!AG31</f>
        <v>1741.2360810166667</v>
      </c>
      <c r="AG190" s="171">
        <f>'NOI(M)'!AH31</f>
        <v>1741.2360810166667</v>
      </c>
      <c r="AH190" s="171">
        <f>'NOI(M)'!AI31</f>
        <v>1741.2360810166667</v>
      </c>
      <c r="AI190" s="171">
        <f>'NOI(M)'!AJ31</f>
        <v>1741.2360810166667</v>
      </c>
      <c r="AJ190" s="171">
        <f>'NOI(M)'!AK31</f>
        <v>1741.2360810166667</v>
      </c>
      <c r="AK190" s="171">
        <f>'NOI(M)'!AL31</f>
        <v>1741.2360810166667</v>
      </c>
      <c r="AL190" s="171">
        <f>'NOI(M)'!AM31</f>
        <v>1741.2360810166667</v>
      </c>
      <c r="AM190" s="171">
        <f>'NOI(M)'!AN31</f>
        <v>1741.2360810166667</v>
      </c>
      <c r="AN190" s="171">
        <f>'NOI(M)'!AO31</f>
        <v>1741.2360810166667</v>
      </c>
      <c r="AO190" s="171">
        <f>'NOI(M)'!AP31</f>
        <v>1741.2360810166667</v>
      </c>
      <c r="AP190" s="171">
        <f>'NOI(M)'!AQ31</f>
        <v>1741.2360810166667</v>
      </c>
      <c r="AQ190" s="171">
        <f>'NOI(M)'!AR31</f>
        <v>1741.2360810166667</v>
      </c>
      <c r="AR190" s="171">
        <f>'NOI(M)'!AS31</f>
        <v>1741.2360810166667</v>
      </c>
      <c r="AS190" s="171">
        <f>'NOI(M)'!AT31</f>
        <v>1741.2360810166667</v>
      </c>
      <c r="AT190" s="171">
        <f>'NOI(M)'!AU31</f>
        <v>1741.2360810166667</v>
      </c>
      <c r="AU190" s="171">
        <f>'NOI(M)'!AV31</f>
        <v>1741.2360810166667</v>
      </c>
      <c r="AV190" s="171">
        <f>'NOI(M)'!AW31</f>
        <v>1741.2360810166667</v>
      </c>
      <c r="AW190" s="171">
        <f>'NOI(M)'!AX31</f>
        <v>1741.2360810166667</v>
      </c>
      <c r="AX190" s="171">
        <f>'NOI(M)'!AY31</f>
        <v>1741.2360810166667</v>
      </c>
      <c r="AY190" s="171">
        <f>'NOI(M)'!AZ31</f>
        <v>1741.2360810166667</v>
      </c>
      <c r="AZ190" s="171">
        <f>'NOI(M)'!BA31</f>
        <v>1741.2360810166667</v>
      </c>
      <c r="BA190" s="171">
        <f>'NOI(M)'!BB31</f>
        <v>1741.2360810166667</v>
      </c>
      <c r="BB190" s="171">
        <f>'NOI(M)'!BC31</f>
        <v>1741.2360810166667</v>
      </c>
      <c r="BC190" s="171">
        <f>'NOI(M)'!BD31</f>
        <v>1741.2360810166667</v>
      </c>
      <c r="BD190" s="171">
        <f>'NOI(M)'!BE31</f>
        <v>1741.2360810166667</v>
      </c>
      <c r="BE190" s="171">
        <f>'NOI(M)'!BF31</f>
        <v>1741.2360810166667</v>
      </c>
      <c r="BF190" s="171">
        <f>'NOI(M)'!BG31</f>
        <v>1741.2360810166667</v>
      </c>
      <c r="BG190" s="171">
        <f>'NOI(M)'!BH31</f>
        <v>1741.2360810166667</v>
      </c>
      <c r="BH190" s="171">
        <f>'NOI(M)'!BI31</f>
        <v>1741.2360810166667</v>
      </c>
      <c r="BI190" s="171">
        <f>'NOI(M)'!BJ31</f>
        <v>1741.2360810166667</v>
      </c>
      <c r="BJ190" s="171">
        <f>'NOI(M)'!BK31</f>
        <v>1741.2360810166667</v>
      </c>
      <c r="BK190" s="171">
        <f>'NOI(M)'!BL31</f>
        <v>1741.2360810166667</v>
      </c>
      <c r="BL190" s="171">
        <f>'NOI(M)'!BM31</f>
        <v>1741.2360810166667</v>
      </c>
      <c r="BM190" s="171">
        <f>'NOI(M)'!BN31</f>
        <v>1741.2360810166667</v>
      </c>
      <c r="BN190" s="171">
        <f>'NOI(M)'!BO31</f>
        <v>1741.2360810166667</v>
      </c>
      <c r="BO190" s="171">
        <f>'NOI(M)'!BP31</f>
        <v>1741.2360810166667</v>
      </c>
      <c r="BP190" s="171">
        <f>'NOI(M)'!BQ31</f>
        <v>1741.2360810166667</v>
      </c>
      <c r="BQ190" s="171">
        <f>'NOI(M)'!BR31</f>
        <v>1741.2360810166667</v>
      </c>
      <c r="BR190" s="171">
        <f>'NOI(M)'!BS31</f>
        <v>1741.2360810166667</v>
      </c>
      <c r="BS190" s="171">
        <f>'NOI(M)'!BT31</f>
        <v>1741.2360810166667</v>
      </c>
      <c r="BT190" s="171">
        <f>'NOI(M)'!BU31</f>
        <v>1741.2360810166667</v>
      </c>
      <c r="BU190" s="171">
        <f>'NOI(M)'!BV31</f>
        <v>1741.2360810166667</v>
      </c>
      <c r="BV190" s="171">
        <f>'NOI(M)'!BW31</f>
        <v>1741.2360810166667</v>
      </c>
      <c r="BW190" s="171">
        <f>'NOI(M)'!BX31</f>
        <v>1741.2360810166667</v>
      </c>
      <c r="BX190" s="171">
        <f>'NOI(M)'!BY31</f>
        <v>1741.2360810166667</v>
      </c>
      <c r="BY190" s="171">
        <f>'NOI(M)'!BZ31</f>
        <v>1741.2360810166667</v>
      </c>
      <c r="BZ190" s="171">
        <f>'NOI(M)'!CA31</f>
        <v>1741.2360810166667</v>
      </c>
      <c r="CA190" s="171">
        <f>'NOI(M)'!CB31</f>
        <v>1741.2360810166667</v>
      </c>
      <c r="CB190" s="171">
        <f>'NOI(M)'!CC31</f>
        <v>1741.2360810166667</v>
      </c>
      <c r="CC190" s="171">
        <f>'NOI(M)'!CD31</f>
        <v>1741.2360810166667</v>
      </c>
      <c r="CD190" s="171">
        <f>'NOI(M)'!CE31</f>
        <v>1741.2360810166667</v>
      </c>
      <c r="CE190" s="171">
        <f>'NOI(M)'!CF31</f>
        <v>1741.2360810166667</v>
      </c>
      <c r="CF190" s="171">
        <f>'NOI(M)'!CG31</f>
        <v>1741.2360810166667</v>
      </c>
      <c r="CG190" s="171">
        <f>'NOI(M)'!CH31</f>
        <v>1741.2360810166667</v>
      </c>
      <c r="CH190" s="171">
        <f>'NOI(M)'!CI31</f>
        <v>1741.2360810166667</v>
      </c>
      <c r="CI190" s="171">
        <f>'NOI(M)'!CJ31</f>
        <v>1741.2360810166667</v>
      </c>
      <c r="CJ190" s="171">
        <f>'NOI(M)'!CK31</f>
        <v>1741.2360810166667</v>
      </c>
      <c r="CK190" s="171">
        <f>'NOI(M)'!CL31</f>
        <v>1741.2360810166667</v>
      </c>
      <c r="CL190" s="171">
        <f>'NOI(M)'!CM31</f>
        <v>1741.2360810166667</v>
      </c>
      <c r="CM190" s="171">
        <f>'NOI(M)'!CN31</f>
        <v>1741.2360810166667</v>
      </c>
      <c r="CN190" s="171">
        <f>'NOI(M)'!CO31</f>
        <v>1741.2360810166667</v>
      </c>
      <c r="CO190" s="171">
        <f>'NOI(M)'!CP31</f>
        <v>1741.2360810166667</v>
      </c>
      <c r="CP190" s="171">
        <f>'NOI(M)'!CQ31</f>
        <v>1741.2360810166667</v>
      </c>
      <c r="CQ190" s="171">
        <f>'NOI(M)'!CR31</f>
        <v>1741.2360810166667</v>
      </c>
      <c r="CR190" s="171">
        <f>'NOI(M)'!CS31</f>
        <v>1741.2360810166667</v>
      </c>
      <c r="CS190" s="171">
        <f>'NOI(M)'!CT31</f>
        <v>1741.2360810166667</v>
      </c>
      <c r="CT190" s="171">
        <f>'NOI(M)'!CU31</f>
        <v>1741.2360810166667</v>
      </c>
      <c r="CU190" s="171">
        <f>'NOI(M)'!CV31</f>
        <v>1741.2360810166667</v>
      </c>
      <c r="CV190" s="171">
        <f>'NOI(M)'!CW31</f>
        <v>1741.2360810166667</v>
      </c>
      <c r="CW190" s="171">
        <f>'NOI(M)'!CX31</f>
        <v>1741.2360810166667</v>
      </c>
      <c r="CX190" s="171">
        <f>'NOI(M)'!CY31</f>
        <v>1741.2360810166667</v>
      </c>
      <c r="CY190" s="171">
        <f>'NOI(M)'!CZ31</f>
        <v>1741.2360810166667</v>
      </c>
      <c r="CZ190" s="171">
        <f>'NOI(M)'!DA31</f>
        <v>1741.2360810166667</v>
      </c>
      <c r="DA190" s="171">
        <f>'NOI(M)'!DB31</f>
        <v>1741.2360810166667</v>
      </c>
      <c r="DB190" s="171">
        <f>'NOI(M)'!DC31</f>
        <v>1741.2360810166667</v>
      </c>
      <c r="DC190" s="171">
        <f>'NOI(M)'!DD31</f>
        <v>1741.2360810166667</v>
      </c>
      <c r="DD190" s="171">
        <f>'NOI(M)'!DE31</f>
        <v>1741.2360810166667</v>
      </c>
      <c r="DE190" s="171">
        <f>'NOI(M)'!DF31</f>
        <v>1741.2360810166667</v>
      </c>
      <c r="DF190" s="171">
        <f>'NOI(M)'!DG31</f>
        <v>1741.2360810166667</v>
      </c>
      <c r="DG190" s="171">
        <f>'NOI(M)'!DH31</f>
        <v>1741.2360810166667</v>
      </c>
      <c r="DH190" s="171">
        <f>'NOI(M)'!DI31</f>
        <v>1741.2360810166667</v>
      </c>
      <c r="DI190" s="171">
        <f>'NOI(M)'!DJ31</f>
        <v>1741.2360810166667</v>
      </c>
      <c r="DJ190" s="171">
        <f>'NOI(M)'!DK31</f>
        <v>1741.2360810166667</v>
      </c>
      <c r="DK190" s="171">
        <f>'NOI(M)'!DL31</f>
        <v>1741.2360810166667</v>
      </c>
      <c r="DL190" s="171">
        <f>'NOI(M)'!DM31</f>
        <v>1741.2360810166667</v>
      </c>
      <c r="DM190" s="171">
        <f>'NOI(M)'!DN31</f>
        <v>1741.2360810166667</v>
      </c>
      <c r="DN190" s="171">
        <f>'NOI(M)'!DO31</f>
        <v>1741.2360810166667</v>
      </c>
      <c r="DO190" s="171">
        <f>'NOI(M)'!DP31</f>
        <v>1741.2360810166667</v>
      </c>
      <c r="DP190" s="171">
        <f>'NOI(M)'!DQ31</f>
        <v>1741.2360810166667</v>
      </c>
      <c r="DQ190" s="171">
        <f>'NOI(M)'!DR31</f>
        <v>1741.2360810166667</v>
      </c>
      <c r="DR190" s="171">
        <f>'NOI(M)'!DS31</f>
        <v>1741.2360810166667</v>
      </c>
      <c r="DS190" s="171">
        <f>'NOI(M)'!DT31</f>
        <v>1741.2360810166667</v>
      </c>
      <c r="DT190" s="171">
        <f>'NOI(M)'!DU31</f>
        <v>1741.2360810166667</v>
      </c>
      <c r="DU190" s="171">
        <f>'NOI(M)'!DV31</f>
        <v>1741.2360810166667</v>
      </c>
      <c r="DV190" s="171">
        <f>'NOI(M)'!DW31</f>
        <v>1741.2360810166667</v>
      </c>
      <c r="DW190" s="171">
        <f>'NOI(M)'!DX31</f>
        <v>1741.2360810166667</v>
      </c>
      <c r="DX190" s="171">
        <f>'NOI(M)'!DY31</f>
        <v>1741.2360810166667</v>
      </c>
      <c r="DY190" s="171">
        <f>'NOI(M)'!DZ31</f>
        <v>1741.2360810166667</v>
      </c>
      <c r="DZ190" s="171">
        <f>'NOI(M)'!EA31</f>
        <v>1741.2360810166667</v>
      </c>
      <c r="EA190" s="171">
        <f>'NOI(M)'!EB31</f>
        <v>1741.2360810166667</v>
      </c>
      <c r="EB190" s="171">
        <f>'NOI(M)'!EC31</f>
        <v>1741.2360810166667</v>
      </c>
      <c r="EC190" s="171">
        <f>'NOI(M)'!ED31</f>
        <v>0</v>
      </c>
      <c r="ED190" s="1321">
        <f>'NOI(M)'!EE31</f>
        <v>0</v>
      </c>
      <c r="EE190" s="171">
        <f>'NOI(M)'!EF31</f>
        <v>0</v>
      </c>
      <c r="EF190" s="171">
        <f>'NOI(M)'!EG31</f>
        <v>0</v>
      </c>
      <c r="EG190" s="171">
        <f>'NOI(M)'!EH31</f>
        <v>0</v>
      </c>
      <c r="EH190" s="171">
        <f>'NOI(M)'!EI31</f>
        <v>0</v>
      </c>
      <c r="EI190" s="171">
        <f>'NOI(M)'!EJ31</f>
        <v>0</v>
      </c>
      <c r="EJ190" s="171">
        <f>'NOI(M)'!EK31</f>
        <v>0</v>
      </c>
      <c r="EK190" s="171">
        <f>'NOI(M)'!EL31</f>
        <v>0</v>
      </c>
      <c r="EL190" s="171">
        <f>'NOI(M)'!EM31</f>
        <v>0</v>
      </c>
      <c r="EM190" s="171">
        <f>'NOI(M)'!EN31</f>
        <v>0</v>
      </c>
      <c r="EN190" s="171">
        <f>'NOI(M)'!EO31</f>
        <v>0</v>
      </c>
      <c r="EO190" s="171">
        <f>'NOI(M)'!EP31</f>
        <v>0</v>
      </c>
      <c r="EP190" s="171">
        <f>'NOI(M)'!EQ31</f>
        <v>0</v>
      </c>
      <c r="EQ190" s="171">
        <f>'NOI(M)'!ER31</f>
        <v>0</v>
      </c>
    </row>
    <row r="191" spans="3:147" ht="11.25" customHeight="1">
      <c r="C191" s="163"/>
      <c r="D191" s="169" t="s">
        <v>232</v>
      </c>
      <c r="I191" s="248"/>
      <c r="J191" s="170">
        <f>SUM(L191:EQ191)</f>
        <v>208948.32972200002</v>
      </c>
      <c r="K191" s="98"/>
      <c r="L191" s="171">
        <f>SUM(L189:L190)*Index!L$50</f>
        <v>0</v>
      </c>
      <c r="M191" s="171">
        <f>SUM(M189:M190)*Index!M$50</f>
        <v>0</v>
      </c>
      <c r="N191" s="171">
        <f>SUM(N189:N190)*Index!N$50</f>
        <v>0</v>
      </c>
      <c r="O191" s="171">
        <f>SUM(O189:O190)*Index!O$50</f>
        <v>5223.7082430500004</v>
      </c>
      <c r="P191" s="171">
        <f>SUM(P189:P190)*Index!P$50</f>
        <v>0</v>
      </c>
      <c r="Q191" s="171">
        <f>SUM(Q189:Q190)*Index!Q$50</f>
        <v>0</v>
      </c>
      <c r="R191" s="171">
        <f>SUM(R189:R190)*Index!R$50</f>
        <v>5223.7082430500004</v>
      </c>
      <c r="S191" s="171">
        <f>SUM(S189:S190)*Index!S$50</f>
        <v>0</v>
      </c>
      <c r="T191" s="171">
        <f>SUM(T189:T190)*Index!T$50</f>
        <v>0</v>
      </c>
      <c r="U191" s="171">
        <f>SUM(U189:U190)*Index!U$50</f>
        <v>5223.7082430500004</v>
      </c>
      <c r="V191" s="171">
        <f>SUM(V189:V190)*Index!V$50</f>
        <v>0</v>
      </c>
      <c r="W191" s="171">
        <f>SUM(W189:W190)*Index!W$50</f>
        <v>0</v>
      </c>
      <c r="X191" s="171">
        <f>SUM(X189:X190)*Index!X$50</f>
        <v>5223.7082430500004</v>
      </c>
      <c r="Y191" s="171">
        <f>SUM(Y189:Y190)*Index!Y$50</f>
        <v>0</v>
      </c>
      <c r="Z191" s="171">
        <f>SUM(Z189:Z190)*Index!Z$50</f>
        <v>0</v>
      </c>
      <c r="AA191" s="171">
        <f>SUM(AA189:AA190)*Index!AA$50</f>
        <v>5223.7082430500004</v>
      </c>
      <c r="AB191" s="171">
        <f>SUM(AB189:AB190)*Index!AB$50</f>
        <v>0</v>
      </c>
      <c r="AC191" s="171">
        <f>SUM(AC189:AC190)*Index!AC$50</f>
        <v>0</v>
      </c>
      <c r="AD191" s="171">
        <f>SUM(AD189:AD190)*Index!AD$50</f>
        <v>5223.7082430500004</v>
      </c>
      <c r="AE191" s="171">
        <f>SUM(AE189:AE190)*Index!AE$50</f>
        <v>0</v>
      </c>
      <c r="AF191" s="171">
        <f>SUM(AF189:AF190)*Index!AF$50</f>
        <v>0</v>
      </c>
      <c r="AG191" s="171">
        <f>SUM(AG189:AG190)*Index!AG$50</f>
        <v>5223.7082430500004</v>
      </c>
      <c r="AH191" s="171">
        <f>SUM(AH189:AH190)*Index!AH$50</f>
        <v>0</v>
      </c>
      <c r="AI191" s="171">
        <f>SUM(AI189:AI190)*Index!AI$50</f>
        <v>0</v>
      </c>
      <c r="AJ191" s="171">
        <f>SUM(AJ189:AJ190)*Index!AJ$50</f>
        <v>5223.7082430500004</v>
      </c>
      <c r="AK191" s="171">
        <f>SUM(AK189:AK190)*Index!AK$50</f>
        <v>0</v>
      </c>
      <c r="AL191" s="171">
        <f>SUM(AL189:AL190)*Index!AL$50</f>
        <v>0</v>
      </c>
      <c r="AM191" s="171">
        <f>SUM(AM189:AM190)*Index!AM$50</f>
        <v>5223.7082430500004</v>
      </c>
      <c r="AN191" s="171">
        <f>SUM(AN189:AN190)*Index!AN$50</f>
        <v>0</v>
      </c>
      <c r="AO191" s="171">
        <f>SUM(AO189:AO190)*Index!AO$50</f>
        <v>0</v>
      </c>
      <c r="AP191" s="171">
        <f>SUM(AP189:AP190)*Index!AP$50</f>
        <v>5223.7082430500004</v>
      </c>
      <c r="AQ191" s="171">
        <f>SUM(AQ189:AQ190)*Index!AQ$50</f>
        <v>0</v>
      </c>
      <c r="AR191" s="171">
        <f>SUM(AR189:AR190)*Index!AR$50</f>
        <v>0</v>
      </c>
      <c r="AS191" s="171">
        <f>SUM(AS189:AS190)*Index!AS$50</f>
        <v>5223.7082430500004</v>
      </c>
      <c r="AT191" s="171">
        <f>SUM(AT189:AT190)*Index!AT$50</f>
        <v>0</v>
      </c>
      <c r="AU191" s="171">
        <f>SUM(AU189:AU190)*Index!AU$50</f>
        <v>0</v>
      </c>
      <c r="AV191" s="171">
        <f>SUM(AV189:AV190)*Index!AV$50</f>
        <v>5223.7082430500004</v>
      </c>
      <c r="AW191" s="171">
        <f>SUM(AW189:AW190)*Index!AW$50</f>
        <v>0</v>
      </c>
      <c r="AX191" s="171">
        <f>SUM(AX189:AX190)*Index!AX$50</f>
        <v>0</v>
      </c>
      <c r="AY191" s="171">
        <f>SUM(AY189:AY190)*Index!AY$50</f>
        <v>5223.7082430500004</v>
      </c>
      <c r="AZ191" s="171">
        <f>SUM(AZ189:AZ190)*Index!AZ$50</f>
        <v>0</v>
      </c>
      <c r="BA191" s="171">
        <f>SUM(BA189:BA190)*Index!BA$50</f>
        <v>0</v>
      </c>
      <c r="BB191" s="171">
        <f>SUM(BB189:BB190)*Index!BB$50</f>
        <v>5223.7082430500004</v>
      </c>
      <c r="BC191" s="171">
        <f>SUM(BC189:BC190)*Index!BC$50</f>
        <v>0</v>
      </c>
      <c r="BD191" s="171">
        <f>SUM(BD189:BD190)*Index!BD$50</f>
        <v>0</v>
      </c>
      <c r="BE191" s="171">
        <f>SUM(BE189:BE190)*Index!BE$50</f>
        <v>5223.7082430500004</v>
      </c>
      <c r="BF191" s="171">
        <f>SUM(BF189:BF190)*Index!BF$50</f>
        <v>0</v>
      </c>
      <c r="BG191" s="171">
        <f>SUM(BG189:BG190)*Index!BG$50</f>
        <v>0</v>
      </c>
      <c r="BH191" s="171">
        <f>SUM(BH189:BH190)*Index!BH$50</f>
        <v>5223.7082430500004</v>
      </c>
      <c r="BI191" s="171">
        <f>SUM(BI189:BI190)*Index!BI$50</f>
        <v>0</v>
      </c>
      <c r="BJ191" s="171">
        <f>SUM(BJ189:BJ190)*Index!BJ$50</f>
        <v>0</v>
      </c>
      <c r="BK191" s="171">
        <f>SUM(BK189:BK190)*Index!BK$50</f>
        <v>5223.7082430500004</v>
      </c>
      <c r="BL191" s="171">
        <f>SUM(BL189:BL190)*Index!BL$50</f>
        <v>0</v>
      </c>
      <c r="BM191" s="171">
        <f>SUM(BM189:BM190)*Index!BM$50</f>
        <v>0</v>
      </c>
      <c r="BN191" s="171">
        <f>SUM(BN189:BN190)*Index!BN$50</f>
        <v>5223.7082430500004</v>
      </c>
      <c r="BO191" s="171">
        <f>SUM(BO189:BO190)*Index!BO$50</f>
        <v>0</v>
      </c>
      <c r="BP191" s="171">
        <f>SUM(BP189:BP190)*Index!BP$50</f>
        <v>0</v>
      </c>
      <c r="BQ191" s="171">
        <f>SUM(BQ189:BQ190)*Index!BQ$50</f>
        <v>5223.7082430500004</v>
      </c>
      <c r="BR191" s="171">
        <f>SUM(BR189:BR190)*Index!BR$50</f>
        <v>0</v>
      </c>
      <c r="BS191" s="171">
        <f>SUM(BS189:BS190)*Index!BS$50</f>
        <v>0</v>
      </c>
      <c r="BT191" s="171">
        <f>SUM(BT189:BT190)*Index!BT$50</f>
        <v>5223.7082430500004</v>
      </c>
      <c r="BU191" s="171">
        <f>SUM(BU189:BU190)*Index!BU$50</f>
        <v>0</v>
      </c>
      <c r="BV191" s="171">
        <f>SUM(BV189:BV190)*Index!BV$50</f>
        <v>0</v>
      </c>
      <c r="BW191" s="171">
        <f>SUM(BW189:BW190)*Index!BW$50</f>
        <v>5223.7082430500004</v>
      </c>
      <c r="BX191" s="171">
        <f>SUM(BX189:BX190)*Index!BX$50</f>
        <v>0</v>
      </c>
      <c r="BY191" s="171">
        <f>SUM(BY189:BY190)*Index!BY$50</f>
        <v>0</v>
      </c>
      <c r="BZ191" s="171">
        <f>SUM(BZ189:BZ190)*Index!BZ$50</f>
        <v>5223.7082430500004</v>
      </c>
      <c r="CA191" s="171">
        <f>SUM(CA189:CA190)*Index!CA$50</f>
        <v>0</v>
      </c>
      <c r="CB191" s="171">
        <f>SUM(CB189:CB190)*Index!CB$50</f>
        <v>0</v>
      </c>
      <c r="CC191" s="171">
        <f>SUM(CC189:CC190)*Index!CC$50</f>
        <v>5223.7082430500004</v>
      </c>
      <c r="CD191" s="171">
        <f>SUM(CD189:CD190)*Index!CD$50</f>
        <v>0</v>
      </c>
      <c r="CE191" s="171">
        <f>SUM(CE189:CE190)*Index!CE$50</f>
        <v>0</v>
      </c>
      <c r="CF191" s="171">
        <f>SUM(CF189:CF190)*Index!CF$50</f>
        <v>5223.7082430500004</v>
      </c>
      <c r="CG191" s="171">
        <f>SUM(CG189:CG190)*Index!CG$50</f>
        <v>0</v>
      </c>
      <c r="CH191" s="171">
        <f>SUM(CH189:CH190)*Index!CH$50</f>
        <v>0</v>
      </c>
      <c r="CI191" s="171">
        <f>SUM(CI189:CI190)*Index!CI$50</f>
        <v>5223.7082430500004</v>
      </c>
      <c r="CJ191" s="171">
        <f>SUM(CJ189:CJ190)*Index!CJ$50</f>
        <v>0</v>
      </c>
      <c r="CK191" s="171">
        <f>SUM(CK189:CK190)*Index!CK$50</f>
        <v>0</v>
      </c>
      <c r="CL191" s="171">
        <f>SUM(CL189:CL190)*Index!CL$50</f>
        <v>5223.7082430500004</v>
      </c>
      <c r="CM191" s="171">
        <f>SUM(CM189:CM190)*Index!CM$50</f>
        <v>0</v>
      </c>
      <c r="CN191" s="171">
        <f>SUM(CN189:CN190)*Index!CN$50</f>
        <v>0</v>
      </c>
      <c r="CO191" s="171">
        <f>SUM(CO189:CO190)*Index!CO$50</f>
        <v>5223.7082430500004</v>
      </c>
      <c r="CP191" s="171">
        <f>SUM(CP189:CP190)*Index!CP$50</f>
        <v>0</v>
      </c>
      <c r="CQ191" s="171">
        <f>SUM(CQ189:CQ190)*Index!CQ$50</f>
        <v>0</v>
      </c>
      <c r="CR191" s="171">
        <f>SUM(CR189:CR190)*Index!CR$50</f>
        <v>5223.7082430500004</v>
      </c>
      <c r="CS191" s="171">
        <f>SUM(CS189:CS190)*Index!CS$50</f>
        <v>0</v>
      </c>
      <c r="CT191" s="171">
        <f>SUM(CT189:CT190)*Index!CT$50</f>
        <v>0</v>
      </c>
      <c r="CU191" s="171">
        <f>SUM(CU189:CU190)*Index!CU$50</f>
        <v>5223.7082430500004</v>
      </c>
      <c r="CV191" s="171">
        <f>SUM(CV189:CV190)*Index!CV$50</f>
        <v>0</v>
      </c>
      <c r="CW191" s="171">
        <f>SUM(CW189:CW190)*Index!CW$50</f>
        <v>0</v>
      </c>
      <c r="CX191" s="171">
        <f>SUM(CX189:CX190)*Index!CX$50</f>
        <v>5223.7082430500004</v>
      </c>
      <c r="CY191" s="171">
        <f>SUM(CY189:CY190)*Index!CY$50</f>
        <v>0</v>
      </c>
      <c r="CZ191" s="171">
        <f>SUM(CZ189:CZ190)*Index!CZ$50</f>
        <v>0</v>
      </c>
      <c r="DA191" s="171">
        <f>SUM(DA189:DA190)*Index!DA$50</f>
        <v>5223.7082430500004</v>
      </c>
      <c r="DB191" s="171">
        <f>SUM(DB189:DB190)*Index!DB$50</f>
        <v>0</v>
      </c>
      <c r="DC191" s="171">
        <f>SUM(DC189:DC190)*Index!DC$50</f>
        <v>0</v>
      </c>
      <c r="DD191" s="171">
        <f>SUM(DD189:DD190)*Index!DD$50</f>
        <v>5223.7082430500004</v>
      </c>
      <c r="DE191" s="171">
        <f>SUM(DE189:DE190)*Index!DE$50</f>
        <v>0</v>
      </c>
      <c r="DF191" s="171">
        <f>SUM(DF189:DF190)*Index!DF$50</f>
        <v>0</v>
      </c>
      <c r="DG191" s="171">
        <f>SUM(DG189:DG190)*Index!DG$50</f>
        <v>5223.7082430500004</v>
      </c>
      <c r="DH191" s="171">
        <f>SUM(DH189:DH190)*Index!DH$50</f>
        <v>0</v>
      </c>
      <c r="DI191" s="171">
        <f>SUM(DI189:DI190)*Index!DI$50</f>
        <v>0</v>
      </c>
      <c r="DJ191" s="171">
        <f>SUM(DJ189:DJ190)*Index!DJ$50</f>
        <v>5223.7082430500004</v>
      </c>
      <c r="DK191" s="171">
        <f>SUM(DK189:DK190)*Index!DK$50</f>
        <v>0</v>
      </c>
      <c r="DL191" s="171">
        <f>SUM(DL189:DL190)*Index!DL$50</f>
        <v>0</v>
      </c>
      <c r="DM191" s="171">
        <f>SUM(DM189:DM190)*Index!DM$50</f>
        <v>5223.7082430500004</v>
      </c>
      <c r="DN191" s="171">
        <f>SUM(DN189:DN190)*Index!DN$50</f>
        <v>0</v>
      </c>
      <c r="DO191" s="171">
        <f>SUM(DO189:DO190)*Index!DO$50</f>
        <v>0</v>
      </c>
      <c r="DP191" s="171">
        <f>SUM(DP189:DP190)*Index!DP$50</f>
        <v>5223.7082430500004</v>
      </c>
      <c r="DQ191" s="171">
        <f>SUM(DQ189:DQ190)*Index!DQ$50</f>
        <v>0</v>
      </c>
      <c r="DR191" s="171">
        <f>SUM(DR189:DR190)*Index!DR$50</f>
        <v>0</v>
      </c>
      <c r="DS191" s="171">
        <f>SUM(DS189:DS190)*Index!DS$50</f>
        <v>5223.7082430500004</v>
      </c>
      <c r="DT191" s="171">
        <f>SUM(DT189:DT190)*Index!DT$50</f>
        <v>0</v>
      </c>
      <c r="DU191" s="171">
        <f>SUM(DU189:DU190)*Index!DU$50</f>
        <v>0</v>
      </c>
      <c r="DV191" s="171">
        <f>SUM(DV189:DV190)*Index!DV$50</f>
        <v>5223.7082430500004</v>
      </c>
      <c r="DW191" s="171">
        <f>SUM(DW189:DW190)*Index!DW$50</f>
        <v>0</v>
      </c>
      <c r="DX191" s="171">
        <f>SUM(DX189:DX190)*Index!DX$50</f>
        <v>0</v>
      </c>
      <c r="DY191" s="171">
        <f>SUM(DY189:DY190)*Index!DY$50</f>
        <v>5223.7082430500004</v>
      </c>
      <c r="DZ191" s="171">
        <f>SUM(DZ189:DZ190)*Index!DZ$50</f>
        <v>0</v>
      </c>
      <c r="EA191" s="171">
        <f>SUM(EA189:EA190)*Index!EA$50</f>
        <v>0</v>
      </c>
      <c r="EB191" s="171">
        <f>SUM(EB189:EB190)*Index!EB$50</f>
        <v>5223.7082430500004</v>
      </c>
      <c r="EC191" s="171">
        <f>SUM(EC189:EC190)*Index!EC$50</f>
        <v>0</v>
      </c>
      <c r="ED191" s="1321">
        <f>SUM(ED189:ED190)*Index!ED$50</f>
        <v>0</v>
      </c>
      <c r="EE191" s="171">
        <f>SUM(EE189:EE190)*Index!EE$50</f>
        <v>0</v>
      </c>
      <c r="EF191" s="171">
        <f>SUM(EF189:EF190)*Index!EF$50</f>
        <v>0</v>
      </c>
      <c r="EG191" s="171">
        <f>SUM(EG189:EG190)*Index!EG$50</f>
        <v>0</v>
      </c>
      <c r="EH191" s="171">
        <f>SUM(EH189:EH190)*Index!EH$50</f>
        <v>0</v>
      </c>
      <c r="EI191" s="171">
        <f>SUM(EI189:EI190)*Index!EI$50</f>
        <v>0</v>
      </c>
      <c r="EJ191" s="171">
        <f>SUM(EJ189:EJ190)*Index!EJ$50</f>
        <v>0</v>
      </c>
      <c r="EK191" s="171">
        <f>SUM(EK189:EK190)*Index!EK$50</f>
        <v>0</v>
      </c>
      <c r="EL191" s="171">
        <f>SUM(EL189:EL190)*Index!EL$50</f>
        <v>0</v>
      </c>
      <c r="EM191" s="171">
        <f>SUM(EM189:EM190)*Index!EM$50</f>
        <v>0</v>
      </c>
      <c r="EN191" s="171">
        <f>SUM(EN189:EN190)*Index!EN$50</f>
        <v>0</v>
      </c>
      <c r="EO191" s="171">
        <f>SUM(EO189:EO190)*Index!EO$50</f>
        <v>0</v>
      </c>
      <c r="EP191" s="171">
        <f>SUM(EP189:EP190)*Index!EP$50</f>
        <v>0</v>
      </c>
      <c r="EQ191" s="171">
        <f>SUM(EQ189:EQ190)*Index!EQ$50</f>
        <v>0</v>
      </c>
    </row>
    <row r="192" spans="3:147" ht="11.25" customHeight="1">
      <c r="C192" s="178"/>
      <c r="D192" s="179" t="s">
        <v>233</v>
      </c>
      <c r="E192" s="180"/>
      <c r="F192" s="180"/>
      <c r="G192" s="180"/>
      <c r="H192" s="181"/>
      <c r="I192" s="863"/>
      <c r="J192" s="183"/>
      <c r="K192" s="98"/>
      <c r="L192" s="184">
        <f>L189+L190-L191</f>
        <v>0</v>
      </c>
      <c r="M192" s="184">
        <f t="shared" ref="M192:BX192" si="423">M189+M190-M191</f>
        <v>1741.2360810166667</v>
      </c>
      <c r="N192" s="184">
        <f t="shared" si="423"/>
        <v>3482.4721620333335</v>
      </c>
      <c r="O192" s="184">
        <f t="shared" si="423"/>
        <v>0</v>
      </c>
      <c r="P192" s="184">
        <f t="shared" si="423"/>
        <v>1741.2360810166667</v>
      </c>
      <c r="Q192" s="184">
        <f t="shared" si="423"/>
        <v>3482.4721620333335</v>
      </c>
      <c r="R192" s="184">
        <f t="shared" si="423"/>
        <v>0</v>
      </c>
      <c r="S192" s="184">
        <f t="shared" si="423"/>
        <v>1741.2360810166667</v>
      </c>
      <c r="T192" s="184">
        <f t="shared" si="423"/>
        <v>3482.4721620333335</v>
      </c>
      <c r="U192" s="184">
        <f t="shared" si="423"/>
        <v>0</v>
      </c>
      <c r="V192" s="184">
        <f t="shared" si="423"/>
        <v>1741.2360810166667</v>
      </c>
      <c r="W192" s="184">
        <f t="shared" si="423"/>
        <v>3482.4721620333335</v>
      </c>
      <c r="X192" s="184">
        <f t="shared" si="423"/>
        <v>0</v>
      </c>
      <c r="Y192" s="184">
        <f t="shared" si="423"/>
        <v>1741.2360810166667</v>
      </c>
      <c r="Z192" s="184">
        <f t="shared" si="423"/>
        <v>3482.4721620333335</v>
      </c>
      <c r="AA192" s="184">
        <f t="shared" si="423"/>
        <v>0</v>
      </c>
      <c r="AB192" s="184">
        <f t="shared" si="423"/>
        <v>1741.2360810166667</v>
      </c>
      <c r="AC192" s="184">
        <f t="shared" si="423"/>
        <v>3482.4721620333335</v>
      </c>
      <c r="AD192" s="184">
        <f t="shared" si="423"/>
        <v>0</v>
      </c>
      <c r="AE192" s="184">
        <f t="shared" si="423"/>
        <v>1741.2360810166667</v>
      </c>
      <c r="AF192" s="184">
        <f t="shared" si="423"/>
        <v>3482.4721620333335</v>
      </c>
      <c r="AG192" s="184">
        <f t="shared" si="423"/>
        <v>0</v>
      </c>
      <c r="AH192" s="184">
        <f t="shared" si="423"/>
        <v>1741.2360810166667</v>
      </c>
      <c r="AI192" s="184">
        <f t="shared" si="423"/>
        <v>3482.4721620333335</v>
      </c>
      <c r="AJ192" s="184">
        <f t="shared" si="423"/>
        <v>0</v>
      </c>
      <c r="AK192" s="184">
        <f t="shared" si="423"/>
        <v>1741.2360810166667</v>
      </c>
      <c r="AL192" s="184">
        <f t="shared" si="423"/>
        <v>3482.4721620333335</v>
      </c>
      <c r="AM192" s="184">
        <f t="shared" si="423"/>
        <v>0</v>
      </c>
      <c r="AN192" s="184">
        <f t="shared" si="423"/>
        <v>1741.2360810166667</v>
      </c>
      <c r="AO192" s="184">
        <f t="shared" si="423"/>
        <v>3482.4721620333335</v>
      </c>
      <c r="AP192" s="184">
        <f t="shared" si="423"/>
        <v>0</v>
      </c>
      <c r="AQ192" s="184">
        <f t="shared" si="423"/>
        <v>1741.2360810166667</v>
      </c>
      <c r="AR192" s="184">
        <f t="shared" si="423"/>
        <v>3482.4721620333335</v>
      </c>
      <c r="AS192" s="184">
        <f t="shared" si="423"/>
        <v>0</v>
      </c>
      <c r="AT192" s="184">
        <f t="shared" si="423"/>
        <v>1741.2360810166667</v>
      </c>
      <c r="AU192" s="184">
        <f t="shared" si="423"/>
        <v>3482.4721620333335</v>
      </c>
      <c r="AV192" s="184">
        <f t="shared" si="423"/>
        <v>0</v>
      </c>
      <c r="AW192" s="184">
        <f t="shared" si="423"/>
        <v>1741.2360810166667</v>
      </c>
      <c r="AX192" s="184">
        <f t="shared" si="423"/>
        <v>3482.4721620333335</v>
      </c>
      <c r="AY192" s="184">
        <f t="shared" si="423"/>
        <v>0</v>
      </c>
      <c r="AZ192" s="184">
        <f t="shared" si="423"/>
        <v>1741.2360810166667</v>
      </c>
      <c r="BA192" s="184">
        <f t="shared" si="423"/>
        <v>3482.4721620333335</v>
      </c>
      <c r="BB192" s="184">
        <f t="shared" si="423"/>
        <v>0</v>
      </c>
      <c r="BC192" s="184">
        <f t="shared" si="423"/>
        <v>1741.2360810166667</v>
      </c>
      <c r="BD192" s="184">
        <f t="shared" si="423"/>
        <v>3482.4721620333335</v>
      </c>
      <c r="BE192" s="184">
        <f t="shared" si="423"/>
        <v>0</v>
      </c>
      <c r="BF192" s="184">
        <f t="shared" si="423"/>
        <v>1741.2360810166667</v>
      </c>
      <c r="BG192" s="184">
        <f t="shared" si="423"/>
        <v>3482.4721620333335</v>
      </c>
      <c r="BH192" s="184">
        <f t="shared" si="423"/>
        <v>0</v>
      </c>
      <c r="BI192" s="184">
        <f t="shared" si="423"/>
        <v>1741.2360810166667</v>
      </c>
      <c r="BJ192" s="184">
        <f t="shared" si="423"/>
        <v>3482.4721620333335</v>
      </c>
      <c r="BK192" s="184">
        <f t="shared" si="423"/>
        <v>0</v>
      </c>
      <c r="BL192" s="184">
        <f t="shared" si="423"/>
        <v>1741.2360810166667</v>
      </c>
      <c r="BM192" s="184">
        <f t="shared" si="423"/>
        <v>3482.4721620333335</v>
      </c>
      <c r="BN192" s="184">
        <f t="shared" si="423"/>
        <v>0</v>
      </c>
      <c r="BO192" s="184">
        <f t="shared" si="423"/>
        <v>1741.2360810166667</v>
      </c>
      <c r="BP192" s="184">
        <f t="shared" si="423"/>
        <v>3482.4721620333335</v>
      </c>
      <c r="BQ192" s="184">
        <f t="shared" si="423"/>
        <v>0</v>
      </c>
      <c r="BR192" s="184">
        <f t="shared" si="423"/>
        <v>1741.2360810166667</v>
      </c>
      <c r="BS192" s="184">
        <f t="shared" si="423"/>
        <v>3482.4721620333335</v>
      </c>
      <c r="BT192" s="184">
        <f t="shared" si="423"/>
        <v>0</v>
      </c>
      <c r="BU192" s="184">
        <f t="shared" si="423"/>
        <v>1741.2360810166667</v>
      </c>
      <c r="BV192" s="184">
        <f t="shared" si="423"/>
        <v>3482.4721620333335</v>
      </c>
      <c r="BW192" s="184">
        <f t="shared" si="423"/>
        <v>0</v>
      </c>
      <c r="BX192" s="184">
        <f t="shared" si="423"/>
        <v>1741.2360810166667</v>
      </c>
      <c r="BY192" s="184">
        <f t="shared" ref="BY192:DT192" si="424">BY189+BY190-BY191</f>
        <v>3482.4721620333335</v>
      </c>
      <c r="BZ192" s="184">
        <f t="shared" si="424"/>
        <v>0</v>
      </c>
      <c r="CA192" s="184">
        <f t="shared" si="424"/>
        <v>1741.2360810166667</v>
      </c>
      <c r="CB192" s="184">
        <f t="shared" si="424"/>
        <v>3482.4721620333335</v>
      </c>
      <c r="CC192" s="184">
        <f t="shared" si="424"/>
        <v>0</v>
      </c>
      <c r="CD192" s="184">
        <f t="shared" si="424"/>
        <v>1741.2360810166667</v>
      </c>
      <c r="CE192" s="184">
        <f t="shared" si="424"/>
        <v>3482.4721620333335</v>
      </c>
      <c r="CF192" s="184">
        <f t="shared" si="424"/>
        <v>0</v>
      </c>
      <c r="CG192" s="184">
        <f t="shared" si="424"/>
        <v>1741.2360810166667</v>
      </c>
      <c r="CH192" s="184">
        <f t="shared" si="424"/>
        <v>3482.4721620333335</v>
      </c>
      <c r="CI192" s="184">
        <f t="shared" si="424"/>
        <v>0</v>
      </c>
      <c r="CJ192" s="184">
        <f t="shared" si="424"/>
        <v>1741.2360810166667</v>
      </c>
      <c r="CK192" s="184">
        <f t="shared" si="424"/>
        <v>3482.4721620333335</v>
      </c>
      <c r="CL192" s="184">
        <f t="shared" si="424"/>
        <v>0</v>
      </c>
      <c r="CM192" s="184">
        <f t="shared" si="424"/>
        <v>1741.2360810166667</v>
      </c>
      <c r="CN192" s="184">
        <f t="shared" si="424"/>
        <v>3482.4721620333335</v>
      </c>
      <c r="CO192" s="184">
        <f t="shared" si="424"/>
        <v>0</v>
      </c>
      <c r="CP192" s="184">
        <f t="shared" si="424"/>
        <v>1741.2360810166667</v>
      </c>
      <c r="CQ192" s="184">
        <f t="shared" si="424"/>
        <v>3482.4721620333335</v>
      </c>
      <c r="CR192" s="184">
        <f t="shared" si="424"/>
        <v>0</v>
      </c>
      <c r="CS192" s="184">
        <f t="shared" si="424"/>
        <v>1741.2360810166667</v>
      </c>
      <c r="CT192" s="184">
        <f t="shared" si="424"/>
        <v>3482.4721620333335</v>
      </c>
      <c r="CU192" s="184">
        <f t="shared" si="424"/>
        <v>0</v>
      </c>
      <c r="CV192" s="184">
        <f t="shared" si="424"/>
        <v>1741.2360810166667</v>
      </c>
      <c r="CW192" s="184">
        <f t="shared" si="424"/>
        <v>3482.4721620333335</v>
      </c>
      <c r="CX192" s="184">
        <f t="shared" si="424"/>
        <v>0</v>
      </c>
      <c r="CY192" s="184">
        <f t="shared" si="424"/>
        <v>1741.2360810166667</v>
      </c>
      <c r="CZ192" s="184">
        <f t="shared" si="424"/>
        <v>3482.4721620333335</v>
      </c>
      <c r="DA192" s="184">
        <f t="shared" si="424"/>
        <v>0</v>
      </c>
      <c r="DB192" s="184">
        <f t="shared" si="424"/>
        <v>1741.2360810166667</v>
      </c>
      <c r="DC192" s="184">
        <f t="shared" si="424"/>
        <v>3482.4721620333335</v>
      </c>
      <c r="DD192" s="184">
        <f t="shared" si="424"/>
        <v>0</v>
      </c>
      <c r="DE192" s="184">
        <f t="shared" si="424"/>
        <v>1741.2360810166667</v>
      </c>
      <c r="DF192" s="184">
        <f t="shared" si="424"/>
        <v>3482.4721620333335</v>
      </c>
      <c r="DG192" s="184">
        <f t="shared" si="424"/>
        <v>0</v>
      </c>
      <c r="DH192" s="184">
        <f t="shared" si="424"/>
        <v>1741.2360810166667</v>
      </c>
      <c r="DI192" s="184">
        <f t="shared" si="424"/>
        <v>3482.4721620333335</v>
      </c>
      <c r="DJ192" s="184">
        <f t="shared" si="424"/>
        <v>0</v>
      </c>
      <c r="DK192" s="184">
        <f t="shared" si="424"/>
        <v>1741.2360810166667</v>
      </c>
      <c r="DL192" s="184">
        <f t="shared" si="424"/>
        <v>3482.4721620333335</v>
      </c>
      <c r="DM192" s="184">
        <f t="shared" si="424"/>
        <v>0</v>
      </c>
      <c r="DN192" s="184">
        <f t="shared" si="424"/>
        <v>1741.2360810166667</v>
      </c>
      <c r="DO192" s="184">
        <f t="shared" si="424"/>
        <v>3482.4721620333335</v>
      </c>
      <c r="DP192" s="184">
        <f t="shared" si="424"/>
        <v>0</v>
      </c>
      <c r="DQ192" s="184">
        <f t="shared" si="424"/>
        <v>1741.2360810166667</v>
      </c>
      <c r="DR192" s="184">
        <f t="shared" si="424"/>
        <v>3482.4721620333335</v>
      </c>
      <c r="DS192" s="184">
        <f t="shared" si="424"/>
        <v>0</v>
      </c>
      <c r="DT192" s="184">
        <f t="shared" si="424"/>
        <v>1741.2360810166667</v>
      </c>
      <c r="DU192" s="184">
        <f t="shared" ref="DU192:EA192" si="425">DU189+DU190-DU191</f>
        <v>3482.4721620333335</v>
      </c>
      <c r="DV192" s="184">
        <f t="shared" si="425"/>
        <v>0</v>
      </c>
      <c r="DW192" s="184">
        <f t="shared" si="425"/>
        <v>1741.2360810166667</v>
      </c>
      <c r="DX192" s="184">
        <f t="shared" si="425"/>
        <v>3482.4721620333335</v>
      </c>
      <c r="DY192" s="184">
        <f t="shared" si="425"/>
        <v>0</v>
      </c>
      <c r="DZ192" s="184">
        <f t="shared" si="425"/>
        <v>1741.2360810166667</v>
      </c>
      <c r="EA192" s="184">
        <f t="shared" si="425"/>
        <v>3482.4721620333335</v>
      </c>
      <c r="EB192" s="184">
        <f t="shared" ref="EB192:EQ192" si="426">EB189+EB190-EB191</f>
        <v>0</v>
      </c>
      <c r="EC192" s="184">
        <f t="shared" si="426"/>
        <v>0</v>
      </c>
      <c r="ED192" s="1324">
        <f t="shared" si="426"/>
        <v>0</v>
      </c>
      <c r="EE192" s="184">
        <f t="shared" si="426"/>
        <v>0</v>
      </c>
      <c r="EF192" s="184">
        <f t="shared" si="426"/>
        <v>0</v>
      </c>
      <c r="EG192" s="184">
        <f t="shared" si="426"/>
        <v>0</v>
      </c>
      <c r="EH192" s="184">
        <f t="shared" si="426"/>
        <v>0</v>
      </c>
      <c r="EI192" s="184">
        <f t="shared" si="426"/>
        <v>0</v>
      </c>
      <c r="EJ192" s="184">
        <f t="shared" si="426"/>
        <v>0</v>
      </c>
      <c r="EK192" s="184">
        <f t="shared" si="426"/>
        <v>0</v>
      </c>
      <c r="EL192" s="184">
        <f t="shared" si="426"/>
        <v>0</v>
      </c>
      <c r="EM192" s="184">
        <f t="shared" si="426"/>
        <v>0</v>
      </c>
      <c r="EN192" s="184">
        <f t="shared" si="426"/>
        <v>0</v>
      </c>
      <c r="EO192" s="184">
        <f t="shared" si="426"/>
        <v>0</v>
      </c>
      <c r="EP192" s="184">
        <f t="shared" si="426"/>
        <v>0</v>
      </c>
      <c r="EQ192" s="184">
        <f t="shared" si="426"/>
        <v>0</v>
      </c>
    </row>
    <row r="193" spans="3:147" ht="11.25" customHeight="1">
      <c r="C193" s="158" t="s">
        <v>542</v>
      </c>
      <c r="D193" s="159"/>
      <c r="E193" s="159"/>
      <c r="F193" s="159"/>
      <c r="G193" s="159"/>
      <c r="H193" s="160"/>
      <c r="I193" s="219"/>
      <c r="J193" s="161"/>
      <c r="K193" s="98"/>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162"/>
      <c r="AK193" s="162"/>
      <c r="AL193" s="162"/>
      <c r="AM193" s="162"/>
      <c r="AN193" s="162"/>
      <c r="AO193" s="162"/>
      <c r="AP193" s="162"/>
      <c r="AQ193" s="162"/>
      <c r="AR193" s="162"/>
      <c r="AS193" s="162"/>
      <c r="AT193" s="162"/>
      <c r="AU193" s="162"/>
      <c r="AV193" s="162"/>
      <c r="AW193" s="162"/>
      <c r="AX193" s="162"/>
      <c r="AY193" s="162"/>
      <c r="AZ193" s="162"/>
      <c r="BA193" s="162"/>
      <c r="BB193" s="162"/>
      <c r="BC193" s="162"/>
      <c r="BD193" s="162"/>
      <c r="BE193" s="162"/>
      <c r="BF193" s="162"/>
      <c r="BG193" s="162"/>
      <c r="BH193" s="162"/>
      <c r="BI193" s="162"/>
      <c r="BJ193" s="162"/>
      <c r="BK193" s="162"/>
      <c r="BL193" s="162"/>
      <c r="BM193" s="162"/>
      <c r="BN193" s="162"/>
      <c r="BO193" s="162"/>
      <c r="BP193" s="162"/>
      <c r="BQ193" s="162"/>
      <c r="BR193" s="162"/>
      <c r="BS193" s="162"/>
      <c r="BT193" s="162"/>
      <c r="BU193" s="162"/>
      <c r="BV193" s="162"/>
      <c r="BW193" s="162"/>
      <c r="BX193" s="162"/>
      <c r="BY193" s="162"/>
      <c r="BZ193" s="162"/>
      <c r="CA193" s="162"/>
      <c r="CB193" s="162"/>
      <c r="CC193" s="162"/>
      <c r="CD193" s="162"/>
      <c r="CE193" s="162"/>
      <c r="CF193" s="162"/>
      <c r="CG193" s="162"/>
      <c r="CH193" s="162"/>
      <c r="CI193" s="162"/>
      <c r="CJ193" s="162"/>
      <c r="CK193" s="162"/>
      <c r="CL193" s="162"/>
      <c r="CM193" s="162"/>
      <c r="CN193" s="162"/>
      <c r="CO193" s="162"/>
      <c r="CP193" s="162"/>
      <c r="CQ193" s="162"/>
      <c r="CR193" s="162"/>
      <c r="CS193" s="162"/>
      <c r="CT193" s="162"/>
      <c r="CU193" s="162"/>
      <c r="CV193" s="162"/>
      <c r="CW193" s="162"/>
      <c r="CX193" s="162"/>
      <c r="CY193" s="162"/>
      <c r="CZ193" s="162"/>
      <c r="DA193" s="162"/>
      <c r="DB193" s="162"/>
      <c r="DC193" s="162"/>
      <c r="DD193" s="162"/>
      <c r="DE193" s="162"/>
      <c r="DF193" s="162"/>
      <c r="DG193" s="162"/>
      <c r="DH193" s="162"/>
      <c r="DI193" s="162"/>
      <c r="DJ193" s="162"/>
      <c r="DK193" s="162"/>
      <c r="DL193" s="162"/>
      <c r="DM193" s="162"/>
      <c r="DN193" s="162"/>
      <c r="DO193" s="162"/>
      <c r="DP193" s="162"/>
      <c r="DQ193" s="162"/>
      <c r="DR193" s="162"/>
      <c r="DS193" s="162"/>
      <c r="DT193" s="162"/>
      <c r="DU193" s="162"/>
      <c r="DV193" s="162"/>
      <c r="DW193" s="162"/>
      <c r="DX193" s="162"/>
      <c r="DY193" s="162"/>
      <c r="DZ193" s="162"/>
      <c r="EA193" s="162"/>
      <c r="EB193" s="162"/>
      <c r="EC193" s="162"/>
      <c r="ED193" s="1319"/>
      <c r="EE193" s="162"/>
      <c r="EF193" s="162"/>
      <c r="EG193" s="162"/>
      <c r="EH193" s="162"/>
      <c r="EI193" s="162"/>
      <c r="EJ193" s="162"/>
      <c r="EK193" s="162"/>
      <c r="EL193" s="162"/>
      <c r="EM193" s="162"/>
      <c r="EN193" s="162"/>
      <c r="EO193" s="162"/>
      <c r="EP193" s="162"/>
      <c r="EQ193" s="162"/>
    </row>
    <row r="194" spans="3:147" ht="11.25" customHeight="1">
      <c r="C194" s="163"/>
      <c r="D194" s="164" t="s">
        <v>230</v>
      </c>
      <c r="E194" s="165"/>
      <c r="F194" s="165"/>
      <c r="G194" s="165"/>
      <c r="H194" s="166"/>
      <c r="I194" s="221"/>
      <c r="J194" s="167"/>
      <c r="K194" s="98"/>
      <c r="L194" s="168">
        <f>K197</f>
        <v>0</v>
      </c>
      <c r="M194" s="168">
        <f t="shared" ref="M194:BX194" si="427">L197</f>
        <v>0</v>
      </c>
      <c r="N194" s="168">
        <f t="shared" si="427"/>
        <v>6000</v>
      </c>
      <c r="O194" s="168">
        <f t="shared" si="427"/>
        <v>12000</v>
      </c>
      <c r="P194" s="168">
        <f t="shared" si="427"/>
        <v>18000</v>
      </c>
      <c r="Q194" s="168">
        <f t="shared" si="427"/>
        <v>24000</v>
      </c>
      <c r="R194" s="168">
        <f t="shared" si="427"/>
        <v>30000</v>
      </c>
      <c r="S194" s="168">
        <f t="shared" si="427"/>
        <v>0</v>
      </c>
      <c r="T194" s="168">
        <f t="shared" si="427"/>
        <v>6000</v>
      </c>
      <c r="U194" s="168">
        <f t="shared" si="427"/>
        <v>12000</v>
      </c>
      <c r="V194" s="168">
        <f t="shared" si="427"/>
        <v>18000</v>
      </c>
      <c r="W194" s="168">
        <f t="shared" si="427"/>
        <v>24000</v>
      </c>
      <c r="X194" s="168">
        <f t="shared" si="427"/>
        <v>30000</v>
      </c>
      <c r="Y194" s="168">
        <f t="shared" si="427"/>
        <v>0</v>
      </c>
      <c r="Z194" s="168">
        <f t="shared" si="427"/>
        <v>6120</v>
      </c>
      <c r="AA194" s="168">
        <f t="shared" si="427"/>
        <v>12240</v>
      </c>
      <c r="AB194" s="168">
        <f t="shared" si="427"/>
        <v>18360</v>
      </c>
      <c r="AC194" s="168">
        <f t="shared" si="427"/>
        <v>24480</v>
      </c>
      <c r="AD194" s="168">
        <f t="shared" si="427"/>
        <v>30600</v>
      </c>
      <c r="AE194" s="168">
        <f t="shared" si="427"/>
        <v>0</v>
      </c>
      <c r="AF194" s="168">
        <f t="shared" si="427"/>
        <v>6120</v>
      </c>
      <c r="AG194" s="168">
        <f t="shared" si="427"/>
        <v>12240</v>
      </c>
      <c r="AH194" s="168">
        <f t="shared" si="427"/>
        <v>18360</v>
      </c>
      <c r="AI194" s="168">
        <f t="shared" si="427"/>
        <v>24480</v>
      </c>
      <c r="AJ194" s="168">
        <f t="shared" si="427"/>
        <v>30600</v>
      </c>
      <c r="AK194" s="168">
        <f t="shared" si="427"/>
        <v>0</v>
      </c>
      <c r="AL194" s="168">
        <f t="shared" si="427"/>
        <v>6242.4</v>
      </c>
      <c r="AM194" s="168">
        <f t="shared" si="427"/>
        <v>12484.8</v>
      </c>
      <c r="AN194" s="168">
        <f t="shared" si="427"/>
        <v>18727.199999999997</v>
      </c>
      <c r="AO194" s="168">
        <f t="shared" si="427"/>
        <v>24969.599999999999</v>
      </c>
      <c r="AP194" s="168">
        <f t="shared" si="427"/>
        <v>31212</v>
      </c>
      <c r="AQ194" s="168">
        <f t="shared" si="427"/>
        <v>0</v>
      </c>
      <c r="AR194" s="168">
        <f t="shared" si="427"/>
        <v>6242.4</v>
      </c>
      <c r="AS194" s="168">
        <f t="shared" si="427"/>
        <v>12484.8</v>
      </c>
      <c r="AT194" s="168">
        <f t="shared" si="427"/>
        <v>18727.199999999997</v>
      </c>
      <c r="AU194" s="168">
        <f t="shared" si="427"/>
        <v>24969.599999999999</v>
      </c>
      <c r="AV194" s="168">
        <f t="shared" si="427"/>
        <v>31212</v>
      </c>
      <c r="AW194" s="168">
        <f t="shared" si="427"/>
        <v>0</v>
      </c>
      <c r="AX194" s="168">
        <f t="shared" si="427"/>
        <v>6367.2479999999996</v>
      </c>
      <c r="AY194" s="168">
        <f t="shared" si="427"/>
        <v>12734.495999999999</v>
      </c>
      <c r="AZ194" s="168">
        <f t="shared" si="427"/>
        <v>19101.743999999999</v>
      </c>
      <c r="BA194" s="168">
        <f t="shared" si="427"/>
        <v>25468.991999999998</v>
      </c>
      <c r="BB194" s="168">
        <f t="shared" si="427"/>
        <v>31836.239999999998</v>
      </c>
      <c r="BC194" s="168">
        <f t="shared" si="427"/>
        <v>0</v>
      </c>
      <c r="BD194" s="168">
        <f t="shared" si="427"/>
        <v>6367.2479999999996</v>
      </c>
      <c r="BE194" s="168">
        <f t="shared" si="427"/>
        <v>12734.495999999999</v>
      </c>
      <c r="BF194" s="168">
        <f t="shared" si="427"/>
        <v>19101.743999999999</v>
      </c>
      <c r="BG194" s="168">
        <f t="shared" si="427"/>
        <v>25468.991999999998</v>
      </c>
      <c r="BH194" s="168">
        <f t="shared" si="427"/>
        <v>31836.239999999998</v>
      </c>
      <c r="BI194" s="168">
        <f t="shared" si="427"/>
        <v>0</v>
      </c>
      <c r="BJ194" s="168">
        <f t="shared" si="427"/>
        <v>6494.5929599999999</v>
      </c>
      <c r="BK194" s="168">
        <f t="shared" si="427"/>
        <v>12989.18592</v>
      </c>
      <c r="BL194" s="168">
        <f t="shared" si="427"/>
        <v>19483.778879999998</v>
      </c>
      <c r="BM194" s="168">
        <f t="shared" si="427"/>
        <v>25978.37184</v>
      </c>
      <c r="BN194" s="168">
        <f t="shared" si="427"/>
        <v>32472.964800000002</v>
      </c>
      <c r="BO194" s="168">
        <f t="shared" si="427"/>
        <v>0</v>
      </c>
      <c r="BP194" s="168">
        <f t="shared" si="427"/>
        <v>6494.5929599999999</v>
      </c>
      <c r="BQ194" s="168">
        <f t="shared" si="427"/>
        <v>12989.18592</v>
      </c>
      <c r="BR194" s="168">
        <f t="shared" si="427"/>
        <v>19483.778879999998</v>
      </c>
      <c r="BS194" s="168">
        <f t="shared" si="427"/>
        <v>25978.37184</v>
      </c>
      <c r="BT194" s="168">
        <f t="shared" si="427"/>
        <v>32472.964800000002</v>
      </c>
      <c r="BU194" s="168">
        <f t="shared" si="427"/>
        <v>0</v>
      </c>
      <c r="BV194" s="168">
        <f t="shared" si="427"/>
        <v>6624.4848191999999</v>
      </c>
      <c r="BW194" s="168">
        <f t="shared" si="427"/>
        <v>13248.9696384</v>
      </c>
      <c r="BX194" s="168">
        <f t="shared" si="427"/>
        <v>19873.454457600001</v>
      </c>
      <c r="BY194" s="168">
        <f t="shared" ref="BY194:DT194" si="428">BX197</f>
        <v>26497.9392768</v>
      </c>
      <c r="BZ194" s="168">
        <f t="shared" si="428"/>
        <v>33122.424096000002</v>
      </c>
      <c r="CA194" s="168">
        <f t="shared" si="428"/>
        <v>0</v>
      </c>
      <c r="CB194" s="168">
        <f t="shared" si="428"/>
        <v>6624.4848191999999</v>
      </c>
      <c r="CC194" s="168">
        <f t="shared" si="428"/>
        <v>13248.9696384</v>
      </c>
      <c r="CD194" s="168">
        <f t="shared" si="428"/>
        <v>19873.454457600001</v>
      </c>
      <c r="CE194" s="168">
        <f t="shared" si="428"/>
        <v>26497.9392768</v>
      </c>
      <c r="CF194" s="168">
        <f t="shared" si="428"/>
        <v>33122.424096000002</v>
      </c>
      <c r="CG194" s="168">
        <f t="shared" si="428"/>
        <v>0</v>
      </c>
      <c r="CH194" s="168">
        <f t="shared" si="428"/>
        <v>6756.9745155840001</v>
      </c>
      <c r="CI194" s="168">
        <f t="shared" si="428"/>
        <v>13513.949031168</v>
      </c>
      <c r="CJ194" s="168">
        <f t="shared" si="428"/>
        <v>20270.923546752001</v>
      </c>
      <c r="CK194" s="168">
        <f t="shared" si="428"/>
        <v>27027.898062336</v>
      </c>
      <c r="CL194" s="168">
        <f t="shared" si="428"/>
        <v>33784.872577920003</v>
      </c>
      <c r="CM194" s="168">
        <f t="shared" si="428"/>
        <v>0</v>
      </c>
      <c r="CN194" s="168">
        <f t="shared" si="428"/>
        <v>6756.9745155840001</v>
      </c>
      <c r="CO194" s="168">
        <f t="shared" si="428"/>
        <v>13513.949031168</v>
      </c>
      <c r="CP194" s="168">
        <f t="shared" si="428"/>
        <v>20270.923546752001</v>
      </c>
      <c r="CQ194" s="168">
        <f t="shared" si="428"/>
        <v>27027.898062336</v>
      </c>
      <c r="CR194" s="168">
        <f t="shared" si="428"/>
        <v>33784.872577920003</v>
      </c>
      <c r="CS194" s="168">
        <f t="shared" si="428"/>
        <v>0</v>
      </c>
      <c r="CT194" s="168">
        <f t="shared" si="428"/>
        <v>6892.1140058956789</v>
      </c>
      <c r="CU194" s="168">
        <f t="shared" si="428"/>
        <v>13784.228011791358</v>
      </c>
      <c r="CV194" s="168">
        <f t="shared" si="428"/>
        <v>20676.342017687035</v>
      </c>
      <c r="CW194" s="168">
        <f t="shared" si="428"/>
        <v>27568.456023582716</v>
      </c>
      <c r="CX194" s="168">
        <f t="shared" si="428"/>
        <v>34460.570029478396</v>
      </c>
      <c r="CY194" s="168">
        <f t="shared" si="428"/>
        <v>0</v>
      </c>
      <c r="CZ194" s="168">
        <f t="shared" si="428"/>
        <v>6892.1140058956789</v>
      </c>
      <c r="DA194" s="168">
        <f t="shared" si="428"/>
        <v>13784.228011791358</v>
      </c>
      <c r="DB194" s="168">
        <f t="shared" si="428"/>
        <v>20676.342017687035</v>
      </c>
      <c r="DC194" s="168">
        <f t="shared" si="428"/>
        <v>27568.456023582716</v>
      </c>
      <c r="DD194" s="168">
        <f t="shared" si="428"/>
        <v>34460.570029478396</v>
      </c>
      <c r="DE194" s="168">
        <f t="shared" si="428"/>
        <v>0</v>
      </c>
      <c r="DF194" s="168">
        <f t="shared" si="428"/>
        <v>7029.9562860135929</v>
      </c>
      <c r="DG194" s="168">
        <f t="shared" si="428"/>
        <v>14059.912572027186</v>
      </c>
      <c r="DH194" s="168">
        <f t="shared" si="428"/>
        <v>21089.86885804078</v>
      </c>
      <c r="DI194" s="168">
        <f t="shared" si="428"/>
        <v>28119.825144054372</v>
      </c>
      <c r="DJ194" s="168">
        <f t="shared" si="428"/>
        <v>35149.781430067967</v>
      </c>
      <c r="DK194" s="168">
        <f t="shared" si="428"/>
        <v>0</v>
      </c>
      <c r="DL194" s="168">
        <f t="shared" si="428"/>
        <v>7029.9562860135929</v>
      </c>
      <c r="DM194" s="168">
        <f t="shared" si="428"/>
        <v>14059.912572027186</v>
      </c>
      <c r="DN194" s="168">
        <f t="shared" si="428"/>
        <v>21089.86885804078</v>
      </c>
      <c r="DO194" s="168">
        <f t="shared" si="428"/>
        <v>28119.825144054372</v>
      </c>
      <c r="DP194" s="168">
        <f t="shared" si="428"/>
        <v>35149.781430067967</v>
      </c>
      <c r="DQ194" s="168">
        <f t="shared" si="428"/>
        <v>0</v>
      </c>
      <c r="DR194" s="168">
        <f t="shared" si="428"/>
        <v>7170.5554117338652</v>
      </c>
      <c r="DS194" s="168">
        <f t="shared" si="428"/>
        <v>14341.11082346773</v>
      </c>
      <c r="DT194" s="168">
        <f t="shared" si="428"/>
        <v>21511.666235201596</v>
      </c>
      <c r="DU194" s="168">
        <f t="shared" ref="DU194:EQ194" si="429">DT197</f>
        <v>28682.221646935461</v>
      </c>
      <c r="DV194" s="168">
        <f t="shared" si="429"/>
        <v>35852.777058669322</v>
      </c>
      <c r="DW194" s="168">
        <f t="shared" si="429"/>
        <v>0</v>
      </c>
      <c r="DX194" s="168">
        <f t="shared" si="429"/>
        <v>7170.5554117338652</v>
      </c>
      <c r="DY194" s="168">
        <f t="shared" si="429"/>
        <v>14341.11082346773</v>
      </c>
      <c r="DZ194" s="168">
        <f t="shared" si="429"/>
        <v>21511.666235201596</v>
      </c>
      <c r="EA194" s="168">
        <f t="shared" si="429"/>
        <v>28682.221646935461</v>
      </c>
      <c r="EB194" s="168">
        <f t="shared" si="429"/>
        <v>35852.777058669322</v>
      </c>
      <c r="EC194" s="168">
        <f t="shared" si="429"/>
        <v>0</v>
      </c>
      <c r="ED194" s="1320">
        <f t="shared" si="429"/>
        <v>0</v>
      </c>
      <c r="EE194" s="168">
        <f t="shared" si="429"/>
        <v>0</v>
      </c>
      <c r="EF194" s="168">
        <f t="shared" si="429"/>
        <v>0</v>
      </c>
      <c r="EG194" s="168">
        <f t="shared" si="429"/>
        <v>0</v>
      </c>
      <c r="EH194" s="168">
        <f t="shared" si="429"/>
        <v>0</v>
      </c>
      <c r="EI194" s="168">
        <f t="shared" si="429"/>
        <v>0</v>
      </c>
      <c r="EJ194" s="168">
        <f t="shared" si="429"/>
        <v>0</v>
      </c>
      <c r="EK194" s="168">
        <f t="shared" si="429"/>
        <v>0</v>
      </c>
      <c r="EL194" s="168">
        <f t="shared" si="429"/>
        <v>0</v>
      </c>
      <c r="EM194" s="168">
        <f t="shared" si="429"/>
        <v>0</v>
      </c>
      <c r="EN194" s="168">
        <f t="shared" si="429"/>
        <v>0</v>
      </c>
      <c r="EO194" s="168">
        <f t="shared" si="429"/>
        <v>0</v>
      </c>
      <c r="EP194" s="168">
        <f t="shared" si="429"/>
        <v>0</v>
      </c>
      <c r="EQ194" s="168">
        <f t="shared" si="429"/>
        <v>0</v>
      </c>
    </row>
    <row r="195" spans="3:147" ht="11.25" customHeight="1">
      <c r="C195" s="163"/>
      <c r="D195" s="169" t="s">
        <v>231</v>
      </c>
      <c r="I195" s="90"/>
      <c r="J195" s="170">
        <f>SUM(L195:EQ195)</f>
        <v>788379.91198112618</v>
      </c>
      <c r="K195" s="98"/>
      <c r="L195" s="171">
        <f>'IS(M)'!M41</f>
        <v>0</v>
      </c>
      <c r="M195" s="171">
        <f>'IS(M)'!N41</f>
        <v>6000</v>
      </c>
      <c r="N195" s="171">
        <f>'IS(M)'!O41</f>
        <v>6000</v>
      </c>
      <c r="O195" s="171">
        <f>'IS(M)'!P41</f>
        <v>6000</v>
      </c>
      <c r="P195" s="171">
        <f>'IS(M)'!Q41</f>
        <v>6000</v>
      </c>
      <c r="Q195" s="171">
        <f>'IS(M)'!R41</f>
        <v>6000</v>
      </c>
      <c r="R195" s="171">
        <f>'IS(M)'!S41</f>
        <v>6000</v>
      </c>
      <c r="S195" s="171">
        <f>'IS(M)'!T41</f>
        <v>6000</v>
      </c>
      <c r="T195" s="171">
        <f>'IS(M)'!U41</f>
        <v>6000</v>
      </c>
      <c r="U195" s="171">
        <f>'IS(M)'!V41</f>
        <v>6000</v>
      </c>
      <c r="V195" s="171">
        <f>'IS(M)'!W41</f>
        <v>6000</v>
      </c>
      <c r="W195" s="171">
        <f>'IS(M)'!X41</f>
        <v>6000</v>
      </c>
      <c r="X195" s="171">
        <f>'IS(M)'!Y41</f>
        <v>6000</v>
      </c>
      <c r="Y195" s="171">
        <f>'IS(M)'!Z41</f>
        <v>6120</v>
      </c>
      <c r="Z195" s="171">
        <f>'IS(M)'!AA41</f>
        <v>6120</v>
      </c>
      <c r="AA195" s="171">
        <f>'IS(M)'!AB41</f>
        <v>6120</v>
      </c>
      <c r="AB195" s="171">
        <f>'IS(M)'!AC41</f>
        <v>6120</v>
      </c>
      <c r="AC195" s="171">
        <f>'IS(M)'!AD41</f>
        <v>6120</v>
      </c>
      <c r="AD195" s="171">
        <f>'IS(M)'!AE41</f>
        <v>6120</v>
      </c>
      <c r="AE195" s="171">
        <f>'IS(M)'!AF41</f>
        <v>6120</v>
      </c>
      <c r="AF195" s="171">
        <f>'IS(M)'!AG41</f>
        <v>6120</v>
      </c>
      <c r="AG195" s="171">
        <f>'IS(M)'!AH41</f>
        <v>6120</v>
      </c>
      <c r="AH195" s="171">
        <f>'IS(M)'!AI41</f>
        <v>6120</v>
      </c>
      <c r="AI195" s="171">
        <f>'IS(M)'!AJ41</f>
        <v>6120</v>
      </c>
      <c r="AJ195" s="171">
        <f>'IS(M)'!AK41</f>
        <v>6120</v>
      </c>
      <c r="AK195" s="171">
        <f>'IS(M)'!AL41</f>
        <v>6242.4</v>
      </c>
      <c r="AL195" s="171">
        <f>'IS(M)'!AM41</f>
        <v>6242.4</v>
      </c>
      <c r="AM195" s="171">
        <f>'IS(M)'!AN41</f>
        <v>6242.4</v>
      </c>
      <c r="AN195" s="171">
        <f>'IS(M)'!AO41</f>
        <v>6242.4</v>
      </c>
      <c r="AO195" s="171">
        <f>'IS(M)'!AP41</f>
        <v>6242.4</v>
      </c>
      <c r="AP195" s="171">
        <f>'IS(M)'!AQ41</f>
        <v>6242.4</v>
      </c>
      <c r="AQ195" s="171">
        <f>'IS(M)'!AR41</f>
        <v>6242.4</v>
      </c>
      <c r="AR195" s="171">
        <f>'IS(M)'!AS41</f>
        <v>6242.4</v>
      </c>
      <c r="AS195" s="171">
        <f>'IS(M)'!AT41</f>
        <v>6242.4</v>
      </c>
      <c r="AT195" s="171">
        <f>'IS(M)'!AU41</f>
        <v>6242.4</v>
      </c>
      <c r="AU195" s="171">
        <f>'IS(M)'!AV41</f>
        <v>6242.4</v>
      </c>
      <c r="AV195" s="171">
        <f>'IS(M)'!AW41</f>
        <v>6242.4</v>
      </c>
      <c r="AW195" s="171">
        <f>'IS(M)'!AX41</f>
        <v>6367.2479999999996</v>
      </c>
      <c r="AX195" s="171">
        <f>'IS(M)'!AY41</f>
        <v>6367.2479999999996</v>
      </c>
      <c r="AY195" s="171">
        <f>'IS(M)'!AZ41</f>
        <v>6367.2479999999996</v>
      </c>
      <c r="AZ195" s="171">
        <f>'IS(M)'!BA41</f>
        <v>6367.2479999999996</v>
      </c>
      <c r="BA195" s="171">
        <f>'IS(M)'!BB41</f>
        <v>6367.2479999999996</v>
      </c>
      <c r="BB195" s="171">
        <f>'IS(M)'!BC41</f>
        <v>6367.2479999999996</v>
      </c>
      <c r="BC195" s="171">
        <f>'IS(M)'!BD41</f>
        <v>6367.2479999999996</v>
      </c>
      <c r="BD195" s="171">
        <f>'IS(M)'!BE41</f>
        <v>6367.2479999999996</v>
      </c>
      <c r="BE195" s="171">
        <f>'IS(M)'!BF41</f>
        <v>6367.2479999999996</v>
      </c>
      <c r="BF195" s="171">
        <f>'IS(M)'!BG41</f>
        <v>6367.2479999999996</v>
      </c>
      <c r="BG195" s="171">
        <f>'IS(M)'!BH41</f>
        <v>6367.2479999999996</v>
      </c>
      <c r="BH195" s="171">
        <f>'IS(M)'!BI41</f>
        <v>6367.2479999999996</v>
      </c>
      <c r="BI195" s="171">
        <f>'IS(M)'!BJ41</f>
        <v>6494.5929599999999</v>
      </c>
      <c r="BJ195" s="171">
        <f>'IS(M)'!BK41</f>
        <v>6494.5929599999999</v>
      </c>
      <c r="BK195" s="171">
        <f>'IS(M)'!BL41</f>
        <v>6494.5929599999999</v>
      </c>
      <c r="BL195" s="171">
        <f>'IS(M)'!BM41</f>
        <v>6494.5929599999999</v>
      </c>
      <c r="BM195" s="171">
        <f>'IS(M)'!BN41</f>
        <v>6494.5929599999999</v>
      </c>
      <c r="BN195" s="171">
        <f>'IS(M)'!BO41</f>
        <v>6494.5929599999999</v>
      </c>
      <c r="BO195" s="171">
        <f>'IS(M)'!BP41</f>
        <v>6494.5929599999999</v>
      </c>
      <c r="BP195" s="171">
        <f>'IS(M)'!BQ41</f>
        <v>6494.5929599999999</v>
      </c>
      <c r="BQ195" s="171">
        <f>'IS(M)'!BR41</f>
        <v>6494.5929599999999</v>
      </c>
      <c r="BR195" s="171">
        <f>'IS(M)'!BS41</f>
        <v>6494.5929599999999</v>
      </c>
      <c r="BS195" s="171">
        <f>'IS(M)'!BT41</f>
        <v>6494.5929599999999</v>
      </c>
      <c r="BT195" s="171">
        <f>'IS(M)'!BU41</f>
        <v>6494.5929599999999</v>
      </c>
      <c r="BU195" s="171">
        <f>'IS(M)'!BV41</f>
        <v>6624.4848191999999</v>
      </c>
      <c r="BV195" s="171">
        <f>'IS(M)'!BW41</f>
        <v>6624.4848191999999</v>
      </c>
      <c r="BW195" s="171">
        <f>'IS(M)'!BX41</f>
        <v>6624.4848191999999</v>
      </c>
      <c r="BX195" s="171">
        <f>'IS(M)'!BY41</f>
        <v>6624.4848191999999</v>
      </c>
      <c r="BY195" s="171">
        <f>'IS(M)'!BZ41</f>
        <v>6624.4848191999999</v>
      </c>
      <c r="BZ195" s="171">
        <f>'IS(M)'!CA41</f>
        <v>6624.4848191999999</v>
      </c>
      <c r="CA195" s="171">
        <f>'IS(M)'!CB41</f>
        <v>6624.4848191999999</v>
      </c>
      <c r="CB195" s="171">
        <f>'IS(M)'!CC41</f>
        <v>6624.4848191999999</v>
      </c>
      <c r="CC195" s="171">
        <f>'IS(M)'!CD41</f>
        <v>6624.4848191999999</v>
      </c>
      <c r="CD195" s="171">
        <f>'IS(M)'!CE41</f>
        <v>6624.4848191999999</v>
      </c>
      <c r="CE195" s="171">
        <f>'IS(M)'!CF41</f>
        <v>6624.4848191999999</v>
      </c>
      <c r="CF195" s="171">
        <f>'IS(M)'!CG41</f>
        <v>6624.4848191999999</v>
      </c>
      <c r="CG195" s="171">
        <f>'IS(M)'!CH41</f>
        <v>6756.9745155840001</v>
      </c>
      <c r="CH195" s="171">
        <f>'IS(M)'!CI41</f>
        <v>6756.9745155840001</v>
      </c>
      <c r="CI195" s="171">
        <f>'IS(M)'!CJ41</f>
        <v>6756.9745155840001</v>
      </c>
      <c r="CJ195" s="171">
        <f>'IS(M)'!CK41</f>
        <v>6756.9745155840001</v>
      </c>
      <c r="CK195" s="171">
        <f>'IS(M)'!CL41</f>
        <v>6756.9745155840001</v>
      </c>
      <c r="CL195" s="171">
        <f>'IS(M)'!CM41</f>
        <v>6756.9745155840001</v>
      </c>
      <c r="CM195" s="171">
        <f>'IS(M)'!CN41</f>
        <v>6756.9745155840001</v>
      </c>
      <c r="CN195" s="171">
        <f>'IS(M)'!CO41</f>
        <v>6756.9745155840001</v>
      </c>
      <c r="CO195" s="171">
        <f>'IS(M)'!CP41</f>
        <v>6756.9745155840001</v>
      </c>
      <c r="CP195" s="171">
        <f>'IS(M)'!CQ41</f>
        <v>6756.9745155840001</v>
      </c>
      <c r="CQ195" s="171">
        <f>'IS(M)'!CR41</f>
        <v>6756.9745155840001</v>
      </c>
      <c r="CR195" s="171">
        <f>'IS(M)'!CS41</f>
        <v>6756.9745155840001</v>
      </c>
      <c r="CS195" s="171">
        <f>'IS(M)'!CT41</f>
        <v>6892.1140058956789</v>
      </c>
      <c r="CT195" s="171">
        <f>'IS(M)'!CU41</f>
        <v>6892.1140058956789</v>
      </c>
      <c r="CU195" s="171">
        <f>'IS(M)'!CV41</f>
        <v>6892.1140058956789</v>
      </c>
      <c r="CV195" s="171">
        <f>'IS(M)'!CW41</f>
        <v>6892.1140058956789</v>
      </c>
      <c r="CW195" s="171">
        <f>'IS(M)'!CX41</f>
        <v>6892.1140058956789</v>
      </c>
      <c r="CX195" s="171">
        <f>'IS(M)'!CY41</f>
        <v>6892.1140058956789</v>
      </c>
      <c r="CY195" s="171">
        <f>'IS(M)'!CZ41</f>
        <v>6892.1140058956789</v>
      </c>
      <c r="CZ195" s="171">
        <f>'IS(M)'!DA41</f>
        <v>6892.1140058956789</v>
      </c>
      <c r="DA195" s="171">
        <f>'IS(M)'!DB41</f>
        <v>6892.1140058956789</v>
      </c>
      <c r="DB195" s="171">
        <f>'IS(M)'!DC41</f>
        <v>6892.1140058956789</v>
      </c>
      <c r="DC195" s="171">
        <f>'IS(M)'!DD41</f>
        <v>6892.1140058956789</v>
      </c>
      <c r="DD195" s="171">
        <f>'IS(M)'!DE41</f>
        <v>6892.1140058956789</v>
      </c>
      <c r="DE195" s="171">
        <f>'IS(M)'!DF41</f>
        <v>7029.9562860135929</v>
      </c>
      <c r="DF195" s="171">
        <f>'IS(M)'!DG41</f>
        <v>7029.9562860135929</v>
      </c>
      <c r="DG195" s="171">
        <f>'IS(M)'!DH41</f>
        <v>7029.9562860135929</v>
      </c>
      <c r="DH195" s="171">
        <f>'IS(M)'!DI41</f>
        <v>7029.9562860135929</v>
      </c>
      <c r="DI195" s="171">
        <f>'IS(M)'!DJ41</f>
        <v>7029.9562860135929</v>
      </c>
      <c r="DJ195" s="171">
        <f>'IS(M)'!DK41</f>
        <v>7029.9562860135929</v>
      </c>
      <c r="DK195" s="171">
        <f>'IS(M)'!DL41</f>
        <v>7029.9562860135929</v>
      </c>
      <c r="DL195" s="171">
        <f>'IS(M)'!DM41</f>
        <v>7029.9562860135929</v>
      </c>
      <c r="DM195" s="171">
        <f>'IS(M)'!DN41</f>
        <v>7029.9562860135929</v>
      </c>
      <c r="DN195" s="171">
        <f>'IS(M)'!DO41</f>
        <v>7029.9562860135929</v>
      </c>
      <c r="DO195" s="171">
        <f>'IS(M)'!DP41</f>
        <v>7029.9562860135929</v>
      </c>
      <c r="DP195" s="171">
        <f>'IS(M)'!DQ41</f>
        <v>7029.9562860135929</v>
      </c>
      <c r="DQ195" s="171">
        <f>'IS(M)'!DR41</f>
        <v>7170.5554117338652</v>
      </c>
      <c r="DR195" s="171">
        <f>'IS(M)'!DS41</f>
        <v>7170.5554117338652</v>
      </c>
      <c r="DS195" s="171">
        <f>'IS(M)'!DT41</f>
        <v>7170.5554117338652</v>
      </c>
      <c r="DT195" s="171">
        <f>'IS(M)'!DU41</f>
        <v>7170.5554117338652</v>
      </c>
      <c r="DU195" s="171">
        <f>'IS(M)'!DV41</f>
        <v>7170.5554117338652</v>
      </c>
      <c r="DV195" s="171">
        <f>'IS(M)'!DW41</f>
        <v>7170.5554117338652</v>
      </c>
      <c r="DW195" s="171">
        <f>'IS(M)'!DX41</f>
        <v>7170.5554117338652</v>
      </c>
      <c r="DX195" s="171">
        <f>'IS(M)'!DY41</f>
        <v>7170.5554117338652</v>
      </c>
      <c r="DY195" s="171">
        <f>'IS(M)'!DZ41</f>
        <v>7170.5554117338652</v>
      </c>
      <c r="DZ195" s="171">
        <f>'IS(M)'!EA41</f>
        <v>7170.5554117338652</v>
      </c>
      <c r="EA195" s="171">
        <f>'IS(M)'!EB41</f>
        <v>7170.5554117338652</v>
      </c>
      <c r="EB195" s="171">
        <f>'IS(M)'!EC41</f>
        <v>7170.5554117338652</v>
      </c>
      <c r="EC195" s="171">
        <f>'IS(M)'!ED41</f>
        <v>0</v>
      </c>
      <c r="ED195" s="1321">
        <f>'IS(M)'!EE41</f>
        <v>0</v>
      </c>
      <c r="EE195" s="171">
        <f>'IS(M)'!EF41</f>
        <v>0</v>
      </c>
      <c r="EF195" s="171">
        <f>'IS(M)'!EG41</f>
        <v>0</v>
      </c>
      <c r="EG195" s="171">
        <f>'IS(M)'!EH41</f>
        <v>0</v>
      </c>
      <c r="EH195" s="171">
        <f>'IS(M)'!EI41</f>
        <v>0</v>
      </c>
      <c r="EI195" s="171">
        <f>'IS(M)'!EJ41</f>
        <v>0</v>
      </c>
      <c r="EJ195" s="171">
        <f>'IS(M)'!EK41</f>
        <v>0</v>
      </c>
      <c r="EK195" s="171">
        <f>'IS(M)'!EL41</f>
        <v>0</v>
      </c>
      <c r="EL195" s="171">
        <f>'IS(M)'!EM41</f>
        <v>0</v>
      </c>
      <c r="EM195" s="171">
        <f>'IS(M)'!EN41</f>
        <v>0</v>
      </c>
      <c r="EN195" s="171">
        <f>'IS(M)'!EO41</f>
        <v>0</v>
      </c>
      <c r="EO195" s="171">
        <f>'IS(M)'!EP41</f>
        <v>0</v>
      </c>
      <c r="EP195" s="171">
        <f>'IS(M)'!EQ41</f>
        <v>0</v>
      </c>
      <c r="EQ195" s="171">
        <f>'IS(M)'!ER41</f>
        <v>0</v>
      </c>
    </row>
    <row r="196" spans="3:147" ht="11.25" customHeight="1">
      <c r="C196" s="163"/>
      <c r="D196" s="169" t="s">
        <v>232</v>
      </c>
      <c r="I196" s="248"/>
      <c r="J196" s="170">
        <f>SUM(L196:EQ196)</f>
        <v>788379.9119811256</v>
      </c>
      <c r="K196" s="98"/>
      <c r="L196" s="171">
        <f>SUM(L194:L195)*Index!L$48</f>
        <v>0</v>
      </c>
      <c r="M196" s="171">
        <f>SUM(M194:M195)*Index!M$48</f>
        <v>0</v>
      </c>
      <c r="N196" s="171">
        <f>SUM(N194:N195)*Index!N$48</f>
        <v>0</v>
      </c>
      <c r="O196" s="171">
        <f>SUM(O194:O195)*Index!O$48</f>
        <v>0</v>
      </c>
      <c r="P196" s="171">
        <f>SUM(P194:P195)*Index!P$48</f>
        <v>0</v>
      </c>
      <c r="Q196" s="171">
        <f>SUM(Q194:Q195)*Index!Q$48</f>
        <v>0</v>
      </c>
      <c r="R196" s="171">
        <f>SUM(R194:R195)*Index!R$48</f>
        <v>36000</v>
      </c>
      <c r="S196" s="171">
        <f>SUM(S194:S195)*Index!S$48</f>
        <v>0</v>
      </c>
      <c r="T196" s="171">
        <f>SUM(T194:T195)*Index!T$48</f>
        <v>0</v>
      </c>
      <c r="U196" s="171">
        <f>SUM(U194:U195)*Index!U$48</f>
        <v>0</v>
      </c>
      <c r="V196" s="171">
        <f>SUM(V194:V195)*Index!V$48</f>
        <v>0</v>
      </c>
      <c r="W196" s="171">
        <f>SUM(W194:W195)*Index!W$48</f>
        <v>0</v>
      </c>
      <c r="X196" s="171">
        <f>SUM(X194:X195)*Index!X$48</f>
        <v>36000</v>
      </c>
      <c r="Y196" s="171">
        <f>SUM(Y194:Y195)*Index!Y$48</f>
        <v>0</v>
      </c>
      <c r="Z196" s="171">
        <f>SUM(Z194:Z195)*Index!Z$48</f>
        <v>0</v>
      </c>
      <c r="AA196" s="171">
        <f>SUM(AA194:AA195)*Index!AA$48</f>
        <v>0</v>
      </c>
      <c r="AB196" s="171">
        <f>SUM(AB194:AB195)*Index!AB$48</f>
        <v>0</v>
      </c>
      <c r="AC196" s="171">
        <f>SUM(AC194:AC195)*Index!AC$48</f>
        <v>0</v>
      </c>
      <c r="AD196" s="171">
        <f>SUM(AD194:AD195)*Index!AD$48</f>
        <v>36720</v>
      </c>
      <c r="AE196" s="171">
        <f>SUM(AE194:AE195)*Index!AE$48</f>
        <v>0</v>
      </c>
      <c r="AF196" s="171">
        <f>SUM(AF194:AF195)*Index!AF$48</f>
        <v>0</v>
      </c>
      <c r="AG196" s="171">
        <f>SUM(AG194:AG195)*Index!AG$48</f>
        <v>0</v>
      </c>
      <c r="AH196" s="171">
        <f>SUM(AH194:AH195)*Index!AH$48</f>
        <v>0</v>
      </c>
      <c r="AI196" s="171">
        <f>SUM(AI194:AI195)*Index!AI$48</f>
        <v>0</v>
      </c>
      <c r="AJ196" s="171">
        <f>SUM(AJ194:AJ195)*Index!AJ$48</f>
        <v>36720</v>
      </c>
      <c r="AK196" s="171">
        <f>SUM(AK194:AK195)*Index!AK$48</f>
        <v>0</v>
      </c>
      <c r="AL196" s="171">
        <f>SUM(AL194:AL195)*Index!AL$48</f>
        <v>0</v>
      </c>
      <c r="AM196" s="171">
        <f>SUM(AM194:AM195)*Index!AM$48</f>
        <v>0</v>
      </c>
      <c r="AN196" s="171">
        <f>SUM(AN194:AN195)*Index!AN$48</f>
        <v>0</v>
      </c>
      <c r="AO196" s="171">
        <f>SUM(AO194:AO195)*Index!AO$48</f>
        <v>0</v>
      </c>
      <c r="AP196" s="171">
        <f>SUM(AP194:AP195)*Index!AP$48</f>
        <v>37454.400000000001</v>
      </c>
      <c r="AQ196" s="171">
        <f>SUM(AQ194:AQ195)*Index!AQ$48</f>
        <v>0</v>
      </c>
      <c r="AR196" s="171">
        <f>SUM(AR194:AR195)*Index!AR$48</f>
        <v>0</v>
      </c>
      <c r="AS196" s="171">
        <f>SUM(AS194:AS195)*Index!AS$48</f>
        <v>0</v>
      </c>
      <c r="AT196" s="171">
        <f>SUM(AT194:AT195)*Index!AT$48</f>
        <v>0</v>
      </c>
      <c r="AU196" s="171">
        <f>SUM(AU194:AU195)*Index!AU$48</f>
        <v>0</v>
      </c>
      <c r="AV196" s="171">
        <f>SUM(AV194:AV195)*Index!AV$48</f>
        <v>37454.400000000001</v>
      </c>
      <c r="AW196" s="171">
        <f>SUM(AW194:AW195)*Index!AW$48</f>
        <v>0</v>
      </c>
      <c r="AX196" s="171">
        <f>SUM(AX194:AX195)*Index!AX$48</f>
        <v>0</v>
      </c>
      <c r="AY196" s="171">
        <f>SUM(AY194:AY195)*Index!AY$48</f>
        <v>0</v>
      </c>
      <c r="AZ196" s="171">
        <f>SUM(AZ194:AZ195)*Index!AZ$48</f>
        <v>0</v>
      </c>
      <c r="BA196" s="171">
        <f>SUM(BA194:BA195)*Index!BA$48</f>
        <v>0</v>
      </c>
      <c r="BB196" s="171">
        <f>SUM(BB194:BB195)*Index!BB$48</f>
        <v>38203.487999999998</v>
      </c>
      <c r="BC196" s="171">
        <f>SUM(BC194:BC195)*Index!BC$48</f>
        <v>0</v>
      </c>
      <c r="BD196" s="171">
        <f>SUM(BD194:BD195)*Index!BD$48</f>
        <v>0</v>
      </c>
      <c r="BE196" s="171">
        <f>SUM(BE194:BE195)*Index!BE$48</f>
        <v>0</v>
      </c>
      <c r="BF196" s="171">
        <f>SUM(BF194:BF195)*Index!BF$48</f>
        <v>0</v>
      </c>
      <c r="BG196" s="171">
        <f>SUM(BG194:BG195)*Index!BG$48</f>
        <v>0</v>
      </c>
      <c r="BH196" s="171">
        <f>SUM(BH194:BH195)*Index!BH$48</f>
        <v>38203.487999999998</v>
      </c>
      <c r="BI196" s="171">
        <f>SUM(BI194:BI195)*Index!BI$48</f>
        <v>0</v>
      </c>
      <c r="BJ196" s="171">
        <f>SUM(BJ194:BJ195)*Index!BJ$48</f>
        <v>0</v>
      </c>
      <c r="BK196" s="171">
        <f>SUM(BK194:BK195)*Index!BK$48</f>
        <v>0</v>
      </c>
      <c r="BL196" s="171">
        <f>SUM(BL194:BL195)*Index!BL$48</f>
        <v>0</v>
      </c>
      <c r="BM196" s="171">
        <f>SUM(BM194:BM195)*Index!BM$48</f>
        <v>0</v>
      </c>
      <c r="BN196" s="171">
        <f>SUM(BN194:BN195)*Index!BN$48</f>
        <v>38967.557760000003</v>
      </c>
      <c r="BO196" s="171">
        <f>SUM(BO194:BO195)*Index!BO$48</f>
        <v>0</v>
      </c>
      <c r="BP196" s="171">
        <f>SUM(BP194:BP195)*Index!BP$48</f>
        <v>0</v>
      </c>
      <c r="BQ196" s="171">
        <f>SUM(BQ194:BQ195)*Index!BQ$48</f>
        <v>0</v>
      </c>
      <c r="BR196" s="171">
        <f>SUM(BR194:BR195)*Index!BR$48</f>
        <v>0</v>
      </c>
      <c r="BS196" s="171">
        <f>SUM(BS194:BS195)*Index!BS$48</f>
        <v>0</v>
      </c>
      <c r="BT196" s="171">
        <f>SUM(BT194:BT195)*Index!BT$48</f>
        <v>38967.557760000003</v>
      </c>
      <c r="BU196" s="171">
        <f>SUM(BU194:BU195)*Index!BU$48</f>
        <v>0</v>
      </c>
      <c r="BV196" s="171">
        <f>SUM(BV194:BV195)*Index!BV$48</f>
        <v>0</v>
      </c>
      <c r="BW196" s="171">
        <f>SUM(BW194:BW195)*Index!BW$48</f>
        <v>0</v>
      </c>
      <c r="BX196" s="171">
        <f>SUM(BX194:BX195)*Index!BX$48</f>
        <v>0</v>
      </c>
      <c r="BY196" s="171">
        <f>SUM(BY194:BY195)*Index!BY$48</f>
        <v>0</v>
      </c>
      <c r="BZ196" s="171">
        <f>SUM(BZ194:BZ195)*Index!BZ$48</f>
        <v>39746.908915200002</v>
      </c>
      <c r="CA196" s="171">
        <f>SUM(CA194:CA195)*Index!CA$48</f>
        <v>0</v>
      </c>
      <c r="CB196" s="171">
        <f>SUM(CB194:CB195)*Index!CB$48</f>
        <v>0</v>
      </c>
      <c r="CC196" s="171">
        <f>SUM(CC194:CC195)*Index!CC$48</f>
        <v>0</v>
      </c>
      <c r="CD196" s="171">
        <f>SUM(CD194:CD195)*Index!CD$48</f>
        <v>0</v>
      </c>
      <c r="CE196" s="171">
        <f>SUM(CE194:CE195)*Index!CE$48</f>
        <v>0</v>
      </c>
      <c r="CF196" s="171">
        <f>SUM(CF194:CF195)*Index!CF$48</f>
        <v>39746.908915200002</v>
      </c>
      <c r="CG196" s="171">
        <f>SUM(CG194:CG195)*Index!CG$48</f>
        <v>0</v>
      </c>
      <c r="CH196" s="171">
        <f>SUM(CH194:CH195)*Index!CH$48</f>
        <v>0</v>
      </c>
      <c r="CI196" s="171">
        <f>SUM(CI194:CI195)*Index!CI$48</f>
        <v>0</v>
      </c>
      <c r="CJ196" s="171">
        <f>SUM(CJ194:CJ195)*Index!CJ$48</f>
        <v>0</v>
      </c>
      <c r="CK196" s="171">
        <f>SUM(CK194:CK195)*Index!CK$48</f>
        <v>0</v>
      </c>
      <c r="CL196" s="171">
        <f>SUM(CL194:CL195)*Index!CL$48</f>
        <v>40541.847093504002</v>
      </c>
      <c r="CM196" s="171">
        <f>SUM(CM194:CM195)*Index!CM$48</f>
        <v>0</v>
      </c>
      <c r="CN196" s="171">
        <f>SUM(CN194:CN195)*Index!CN$48</f>
        <v>0</v>
      </c>
      <c r="CO196" s="171">
        <f>SUM(CO194:CO195)*Index!CO$48</f>
        <v>0</v>
      </c>
      <c r="CP196" s="171">
        <f>SUM(CP194:CP195)*Index!CP$48</f>
        <v>0</v>
      </c>
      <c r="CQ196" s="171">
        <f>SUM(CQ194:CQ195)*Index!CQ$48</f>
        <v>0</v>
      </c>
      <c r="CR196" s="171">
        <f>SUM(CR194:CR195)*Index!CR$48</f>
        <v>40541.847093504002</v>
      </c>
      <c r="CS196" s="171">
        <f>SUM(CS194:CS195)*Index!CS$48</f>
        <v>0</v>
      </c>
      <c r="CT196" s="171">
        <f>SUM(CT194:CT195)*Index!CT$48</f>
        <v>0</v>
      </c>
      <c r="CU196" s="171">
        <f>SUM(CU194:CU195)*Index!CU$48</f>
        <v>0</v>
      </c>
      <c r="CV196" s="171">
        <f>SUM(CV194:CV195)*Index!CV$48</f>
        <v>0</v>
      </c>
      <c r="CW196" s="171">
        <f>SUM(CW194:CW195)*Index!CW$48</f>
        <v>0</v>
      </c>
      <c r="CX196" s="171">
        <f>SUM(CX194:CX195)*Index!CX$48</f>
        <v>41352.684035374077</v>
      </c>
      <c r="CY196" s="171">
        <f>SUM(CY194:CY195)*Index!CY$48</f>
        <v>0</v>
      </c>
      <c r="CZ196" s="171">
        <f>SUM(CZ194:CZ195)*Index!CZ$48</f>
        <v>0</v>
      </c>
      <c r="DA196" s="171">
        <f>SUM(DA194:DA195)*Index!DA$48</f>
        <v>0</v>
      </c>
      <c r="DB196" s="171">
        <f>SUM(DB194:DB195)*Index!DB$48</f>
        <v>0</v>
      </c>
      <c r="DC196" s="171">
        <f>SUM(DC194:DC195)*Index!DC$48</f>
        <v>0</v>
      </c>
      <c r="DD196" s="171">
        <f>SUM(DD194:DD195)*Index!DD$48</f>
        <v>41352.684035374077</v>
      </c>
      <c r="DE196" s="171">
        <f>SUM(DE194:DE195)*Index!DE$48</f>
        <v>0</v>
      </c>
      <c r="DF196" s="171">
        <f>SUM(DF194:DF195)*Index!DF$48</f>
        <v>0</v>
      </c>
      <c r="DG196" s="171">
        <f>SUM(DG194:DG195)*Index!DG$48</f>
        <v>0</v>
      </c>
      <c r="DH196" s="171">
        <f>SUM(DH194:DH195)*Index!DH$48</f>
        <v>0</v>
      </c>
      <c r="DI196" s="171">
        <f>SUM(DI194:DI195)*Index!DI$48</f>
        <v>0</v>
      </c>
      <c r="DJ196" s="171">
        <f>SUM(DJ194:DJ195)*Index!DJ$48</f>
        <v>42179.737716081559</v>
      </c>
      <c r="DK196" s="171">
        <f>SUM(DK194:DK195)*Index!DK$48</f>
        <v>0</v>
      </c>
      <c r="DL196" s="171">
        <f>SUM(DL194:DL195)*Index!DL$48</f>
        <v>0</v>
      </c>
      <c r="DM196" s="171">
        <f>SUM(DM194:DM195)*Index!DM$48</f>
        <v>0</v>
      </c>
      <c r="DN196" s="171">
        <f>SUM(DN194:DN195)*Index!DN$48</f>
        <v>0</v>
      </c>
      <c r="DO196" s="171">
        <f>SUM(DO194:DO195)*Index!DO$48</f>
        <v>0</v>
      </c>
      <c r="DP196" s="171">
        <f>SUM(DP194:DP195)*Index!DP$48</f>
        <v>42179.737716081559</v>
      </c>
      <c r="DQ196" s="171">
        <f>SUM(DQ194:DQ195)*Index!DQ$48</f>
        <v>0</v>
      </c>
      <c r="DR196" s="171">
        <f>SUM(DR194:DR195)*Index!DR$48</f>
        <v>0</v>
      </c>
      <c r="DS196" s="171">
        <f>SUM(DS194:DS195)*Index!DS$48</f>
        <v>0</v>
      </c>
      <c r="DT196" s="171">
        <f>SUM(DT194:DT195)*Index!DT$48</f>
        <v>0</v>
      </c>
      <c r="DU196" s="171">
        <f>SUM(DU194:DU195)*Index!DU$48</f>
        <v>0</v>
      </c>
      <c r="DV196" s="171">
        <f>SUM(DV194:DV195)*Index!DV$48</f>
        <v>43023.332470403184</v>
      </c>
      <c r="DW196" s="171">
        <f>SUM(DW194:DW195)*Index!DW$48</f>
        <v>0</v>
      </c>
      <c r="DX196" s="171">
        <f>SUM(DX194:DX195)*Index!DX$48</f>
        <v>0</v>
      </c>
      <c r="DY196" s="171">
        <f>SUM(DY194:DY195)*Index!DY$48</f>
        <v>0</v>
      </c>
      <c r="DZ196" s="171">
        <f>SUM(DZ194:DZ195)*Index!DZ$48</f>
        <v>0</v>
      </c>
      <c r="EA196" s="171">
        <f>SUM(EA194:EA195)*Index!EA$48</f>
        <v>0</v>
      </c>
      <c r="EB196" s="171">
        <f>SUM(EB194:EB195)*Index!EB$48</f>
        <v>43023.332470403184</v>
      </c>
      <c r="EC196" s="171">
        <f>SUM(EC194:EC195)*Index!EC$48</f>
        <v>0</v>
      </c>
      <c r="ED196" s="1321">
        <f>SUM(ED194:ED195)*Index!ED$48</f>
        <v>0</v>
      </c>
      <c r="EE196" s="171">
        <f>SUM(EE194:EE195)*Index!EE$48</f>
        <v>0</v>
      </c>
      <c r="EF196" s="171">
        <f>SUM(EF194:EF195)*Index!EF$48</f>
        <v>0</v>
      </c>
      <c r="EG196" s="171">
        <f>SUM(EG194:EG195)*Index!EG$48</f>
        <v>0</v>
      </c>
      <c r="EH196" s="171">
        <f>SUM(EH194:EH195)*Index!EH$48</f>
        <v>0</v>
      </c>
      <c r="EI196" s="171">
        <f>SUM(EI194:EI195)*Index!EI$48</f>
        <v>0</v>
      </c>
      <c r="EJ196" s="171">
        <f>SUM(EJ194:EJ195)*Index!EJ$48</f>
        <v>0</v>
      </c>
      <c r="EK196" s="171">
        <f>SUM(EK194:EK195)*Index!EK$48</f>
        <v>0</v>
      </c>
      <c r="EL196" s="171">
        <f>SUM(EL194:EL195)*Index!EL$48</f>
        <v>0</v>
      </c>
      <c r="EM196" s="171">
        <f>SUM(EM194:EM195)*Index!EM$48</f>
        <v>0</v>
      </c>
      <c r="EN196" s="171">
        <f>SUM(EN194:EN195)*Index!EN$48</f>
        <v>0</v>
      </c>
      <c r="EO196" s="171">
        <f>SUM(EO194:EO195)*Index!EO$48</f>
        <v>0</v>
      </c>
      <c r="EP196" s="171">
        <f>SUM(EP194:EP195)*Index!EP$48</f>
        <v>0</v>
      </c>
      <c r="EQ196" s="171">
        <f>SUM(EQ194:EQ195)*Index!EQ$48</f>
        <v>0</v>
      </c>
    </row>
    <row r="197" spans="3:147" ht="11.25" customHeight="1">
      <c r="C197" s="178"/>
      <c r="D197" s="179" t="s">
        <v>233</v>
      </c>
      <c r="E197" s="180"/>
      <c r="F197" s="180"/>
      <c r="G197" s="180"/>
      <c r="H197" s="181"/>
      <c r="I197" s="863"/>
      <c r="J197" s="183"/>
      <c r="K197" s="98"/>
      <c r="L197" s="184">
        <f t="shared" ref="L197:AQ197" si="430">L194+L195-L196</f>
        <v>0</v>
      </c>
      <c r="M197" s="184">
        <f t="shared" si="430"/>
        <v>6000</v>
      </c>
      <c r="N197" s="184">
        <f t="shared" si="430"/>
        <v>12000</v>
      </c>
      <c r="O197" s="184">
        <f t="shared" si="430"/>
        <v>18000</v>
      </c>
      <c r="P197" s="184">
        <f t="shared" si="430"/>
        <v>24000</v>
      </c>
      <c r="Q197" s="184">
        <f t="shared" si="430"/>
        <v>30000</v>
      </c>
      <c r="R197" s="184">
        <f t="shared" si="430"/>
        <v>0</v>
      </c>
      <c r="S197" s="184">
        <f t="shared" si="430"/>
        <v>6000</v>
      </c>
      <c r="T197" s="184">
        <f t="shared" si="430"/>
        <v>12000</v>
      </c>
      <c r="U197" s="184">
        <f t="shared" si="430"/>
        <v>18000</v>
      </c>
      <c r="V197" s="184">
        <f t="shared" si="430"/>
        <v>24000</v>
      </c>
      <c r="W197" s="184">
        <f t="shared" si="430"/>
        <v>30000</v>
      </c>
      <c r="X197" s="184">
        <f t="shared" si="430"/>
        <v>0</v>
      </c>
      <c r="Y197" s="184">
        <f t="shared" si="430"/>
        <v>6120</v>
      </c>
      <c r="Z197" s="184">
        <f t="shared" si="430"/>
        <v>12240</v>
      </c>
      <c r="AA197" s="184">
        <f t="shared" si="430"/>
        <v>18360</v>
      </c>
      <c r="AB197" s="184">
        <f t="shared" si="430"/>
        <v>24480</v>
      </c>
      <c r="AC197" s="184">
        <f t="shared" si="430"/>
        <v>30600</v>
      </c>
      <c r="AD197" s="184">
        <f t="shared" si="430"/>
        <v>0</v>
      </c>
      <c r="AE197" s="184">
        <f t="shared" si="430"/>
        <v>6120</v>
      </c>
      <c r="AF197" s="184">
        <f t="shared" si="430"/>
        <v>12240</v>
      </c>
      <c r="AG197" s="184">
        <f t="shared" si="430"/>
        <v>18360</v>
      </c>
      <c r="AH197" s="184">
        <f t="shared" si="430"/>
        <v>24480</v>
      </c>
      <c r="AI197" s="184">
        <f t="shared" si="430"/>
        <v>30600</v>
      </c>
      <c r="AJ197" s="184">
        <f t="shared" si="430"/>
        <v>0</v>
      </c>
      <c r="AK197" s="184">
        <f t="shared" si="430"/>
        <v>6242.4</v>
      </c>
      <c r="AL197" s="184">
        <f t="shared" si="430"/>
        <v>12484.8</v>
      </c>
      <c r="AM197" s="184">
        <f t="shared" si="430"/>
        <v>18727.199999999997</v>
      </c>
      <c r="AN197" s="184">
        <f t="shared" si="430"/>
        <v>24969.599999999999</v>
      </c>
      <c r="AO197" s="184">
        <f t="shared" si="430"/>
        <v>31212</v>
      </c>
      <c r="AP197" s="184">
        <f t="shared" si="430"/>
        <v>0</v>
      </c>
      <c r="AQ197" s="184">
        <f t="shared" si="430"/>
        <v>6242.4</v>
      </c>
      <c r="AR197" s="184">
        <f t="shared" ref="AR197:BW197" si="431">AR194+AR195-AR196</f>
        <v>12484.8</v>
      </c>
      <c r="AS197" s="184">
        <f t="shared" si="431"/>
        <v>18727.199999999997</v>
      </c>
      <c r="AT197" s="184">
        <f t="shared" si="431"/>
        <v>24969.599999999999</v>
      </c>
      <c r="AU197" s="184">
        <f t="shared" si="431"/>
        <v>31212</v>
      </c>
      <c r="AV197" s="184">
        <f t="shared" si="431"/>
        <v>0</v>
      </c>
      <c r="AW197" s="184">
        <f t="shared" si="431"/>
        <v>6367.2479999999996</v>
      </c>
      <c r="AX197" s="184">
        <f t="shared" si="431"/>
        <v>12734.495999999999</v>
      </c>
      <c r="AY197" s="184">
        <f t="shared" si="431"/>
        <v>19101.743999999999</v>
      </c>
      <c r="AZ197" s="184">
        <f t="shared" si="431"/>
        <v>25468.991999999998</v>
      </c>
      <c r="BA197" s="184">
        <f t="shared" si="431"/>
        <v>31836.239999999998</v>
      </c>
      <c r="BB197" s="184">
        <f t="shared" si="431"/>
        <v>0</v>
      </c>
      <c r="BC197" s="184">
        <f t="shared" si="431"/>
        <v>6367.2479999999996</v>
      </c>
      <c r="BD197" s="184">
        <f t="shared" si="431"/>
        <v>12734.495999999999</v>
      </c>
      <c r="BE197" s="184">
        <f t="shared" si="431"/>
        <v>19101.743999999999</v>
      </c>
      <c r="BF197" s="184">
        <f t="shared" si="431"/>
        <v>25468.991999999998</v>
      </c>
      <c r="BG197" s="184">
        <f t="shared" si="431"/>
        <v>31836.239999999998</v>
      </c>
      <c r="BH197" s="184">
        <f t="shared" si="431"/>
        <v>0</v>
      </c>
      <c r="BI197" s="184">
        <f t="shared" si="431"/>
        <v>6494.5929599999999</v>
      </c>
      <c r="BJ197" s="184">
        <f t="shared" si="431"/>
        <v>12989.18592</v>
      </c>
      <c r="BK197" s="184">
        <f t="shared" si="431"/>
        <v>19483.778879999998</v>
      </c>
      <c r="BL197" s="184">
        <f t="shared" si="431"/>
        <v>25978.37184</v>
      </c>
      <c r="BM197" s="184">
        <f t="shared" si="431"/>
        <v>32472.964800000002</v>
      </c>
      <c r="BN197" s="184">
        <f t="shared" si="431"/>
        <v>0</v>
      </c>
      <c r="BO197" s="184">
        <f t="shared" si="431"/>
        <v>6494.5929599999999</v>
      </c>
      <c r="BP197" s="184">
        <f t="shared" si="431"/>
        <v>12989.18592</v>
      </c>
      <c r="BQ197" s="184">
        <f t="shared" si="431"/>
        <v>19483.778879999998</v>
      </c>
      <c r="BR197" s="184">
        <f t="shared" si="431"/>
        <v>25978.37184</v>
      </c>
      <c r="BS197" s="184">
        <f t="shared" si="431"/>
        <v>32472.964800000002</v>
      </c>
      <c r="BT197" s="184">
        <f t="shared" si="431"/>
        <v>0</v>
      </c>
      <c r="BU197" s="184">
        <f t="shared" si="431"/>
        <v>6624.4848191999999</v>
      </c>
      <c r="BV197" s="184">
        <f t="shared" si="431"/>
        <v>13248.9696384</v>
      </c>
      <c r="BW197" s="184">
        <f t="shared" si="431"/>
        <v>19873.454457600001</v>
      </c>
      <c r="BX197" s="184">
        <f t="shared" ref="BX197:DC197" si="432">BX194+BX195-BX196</f>
        <v>26497.9392768</v>
      </c>
      <c r="BY197" s="184">
        <f t="shared" si="432"/>
        <v>33122.424096000002</v>
      </c>
      <c r="BZ197" s="184">
        <f t="shared" si="432"/>
        <v>0</v>
      </c>
      <c r="CA197" s="184">
        <f t="shared" si="432"/>
        <v>6624.4848191999999</v>
      </c>
      <c r="CB197" s="184">
        <f t="shared" si="432"/>
        <v>13248.9696384</v>
      </c>
      <c r="CC197" s="184">
        <f t="shared" si="432"/>
        <v>19873.454457600001</v>
      </c>
      <c r="CD197" s="184">
        <f t="shared" si="432"/>
        <v>26497.9392768</v>
      </c>
      <c r="CE197" s="184">
        <f t="shared" si="432"/>
        <v>33122.424096000002</v>
      </c>
      <c r="CF197" s="184">
        <f t="shared" si="432"/>
        <v>0</v>
      </c>
      <c r="CG197" s="184">
        <f t="shared" si="432"/>
        <v>6756.9745155840001</v>
      </c>
      <c r="CH197" s="184">
        <f t="shared" si="432"/>
        <v>13513.949031168</v>
      </c>
      <c r="CI197" s="184">
        <f t="shared" si="432"/>
        <v>20270.923546752001</v>
      </c>
      <c r="CJ197" s="184">
        <f t="shared" si="432"/>
        <v>27027.898062336</v>
      </c>
      <c r="CK197" s="184">
        <f t="shared" si="432"/>
        <v>33784.872577920003</v>
      </c>
      <c r="CL197" s="184">
        <f t="shared" si="432"/>
        <v>0</v>
      </c>
      <c r="CM197" s="184">
        <f t="shared" si="432"/>
        <v>6756.9745155840001</v>
      </c>
      <c r="CN197" s="184">
        <f t="shared" si="432"/>
        <v>13513.949031168</v>
      </c>
      <c r="CO197" s="184">
        <f t="shared" si="432"/>
        <v>20270.923546752001</v>
      </c>
      <c r="CP197" s="184">
        <f t="shared" si="432"/>
        <v>27027.898062336</v>
      </c>
      <c r="CQ197" s="184">
        <f t="shared" si="432"/>
        <v>33784.872577920003</v>
      </c>
      <c r="CR197" s="184">
        <f t="shared" si="432"/>
        <v>0</v>
      </c>
      <c r="CS197" s="184">
        <f t="shared" si="432"/>
        <v>6892.1140058956789</v>
      </c>
      <c r="CT197" s="184">
        <f t="shared" si="432"/>
        <v>13784.228011791358</v>
      </c>
      <c r="CU197" s="184">
        <f t="shared" si="432"/>
        <v>20676.342017687035</v>
      </c>
      <c r="CV197" s="184">
        <f t="shared" si="432"/>
        <v>27568.456023582716</v>
      </c>
      <c r="CW197" s="184">
        <f t="shared" si="432"/>
        <v>34460.570029478396</v>
      </c>
      <c r="CX197" s="184">
        <f t="shared" si="432"/>
        <v>0</v>
      </c>
      <c r="CY197" s="184">
        <f t="shared" si="432"/>
        <v>6892.1140058956789</v>
      </c>
      <c r="CZ197" s="184">
        <f t="shared" si="432"/>
        <v>13784.228011791358</v>
      </c>
      <c r="DA197" s="184">
        <f t="shared" si="432"/>
        <v>20676.342017687035</v>
      </c>
      <c r="DB197" s="184">
        <f t="shared" si="432"/>
        <v>27568.456023582716</v>
      </c>
      <c r="DC197" s="184">
        <f t="shared" si="432"/>
        <v>34460.570029478396</v>
      </c>
      <c r="DD197" s="184">
        <f t="shared" ref="DD197:DT197" si="433">DD194+DD195-DD196</f>
        <v>0</v>
      </c>
      <c r="DE197" s="184">
        <f t="shared" si="433"/>
        <v>7029.9562860135929</v>
      </c>
      <c r="DF197" s="184">
        <f t="shared" si="433"/>
        <v>14059.912572027186</v>
      </c>
      <c r="DG197" s="184">
        <f t="shared" si="433"/>
        <v>21089.86885804078</v>
      </c>
      <c r="DH197" s="184">
        <f t="shared" si="433"/>
        <v>28119.825144054372</v>
      </c>
      <c r="DI197" s="184">
        <f t="shared" si="433"/>
        <v>35149.781430067967</v>
      </c>
      <c r="DJ197" s="184">
        <f t="shared" si="433"/>
        <v>0</v>
      </c>
      <c r="DK197" s="184">
        <f t="shared" si="433"/>
        <v>7029.9562860135929</v>
      </c>
      <c r="DL197" s="184">
        <f t="shared" si="433"/>
        <v>14059.912572027186</v>
      </c>
      <c r="DM197" s="184">
        <f t="shared" si="433"/>
        <v>21089.86885804078</v>
      </c>
      <c r="DN197" s="184">
        <f t="shared" si="433"/>
        <v>28119.825144054372</v>
      </c>
      <c r="DO197" s="184">
        <f t="shared" si="433"/>
        <v>35149.781430067967</v>
      </c>
      <c r="DP197" s="184">
        <f t="shared" si="433"/>
        <v>0</v>
      </c>
      <c r="DQ197" s="184">
        <f t="shared" si="433"/>
        <v>7170.5554117338652</v>
      </c>
      <c r="DR197" s="184">
        <f t="shared" si="433"/>
        <v>14341.11082346773</v>
      </c>
      <c r="DS197" s="184">
        <f t="shared" si="433"/>
        <v>21511.666235201596</v>
      </c>
      <c r="DT197" s="184">
        <f t="shared" si="433"/>
        <v>28682.221646935461</v>
      </c>
      <c r="DU197" s="184">
        <f t="shared" ref="DU197:EA197" si="434">DU194+DU195-DU196</f>
        <v>35852.777058669322</v>
      </c>
      <c r="DV197" s="184">
        <f t="shared" si="434"/>
        <v>0</v>
      </c>
      <c r="DW197" s="184">
        <f t="shared" si="434"/>
        <v>7170.5554117338652</v>
      </c>
      <c r="DX197" s="184">
        <f t="shared" si="434"/>
        <v>14341.11082346773</v>
      </c>
      <c r="DY197" s="184">
        <f t="shared" si="434"/>
        <v>21511.666235201596</v>
      </c>
      <c r="DZ197" s="184">
        <f t="shared" si="434"/>
        <v>28682.221646935461</v>
      </c>
      <c r="EA197" s="184">
        <f t="shared" si="434"/>
        <v>35852.777058669322</v>
      </c>
      <c r="EB197" s="184">
        <f t="shared" ref="EB197:EQ197" si="435">EB194+EB195-EB196</f>
        <v>0</v>
      </c>
      <c r="EC197" s="184">
        <f t="shared" si="435"/>
        <v>0</v>
      </c>
      <c r="ED197" s="1324">
        <f t="shared" si="435"/>
        <v>0</v>
      </c>
      <c r="EE197" s="184">
        <f t="shared" si="435"/>
        <v>0</v>
      </c>
      <c r="EF197" s="184">
        <f t="shared" si="435"/>
        <v>0</v>
      </c>
      <c r="EG197" s="184">
        <f t="shared" si="435"/>
        <v>0</v>
      </c>
      <c r="EH197" s="184">
        <f t="shared" si="435"/>
        <v>0</v>
      </c>
      <c r="EI197" s="184">
        <f t="shared" si="435"/>
        <v>0</v>
      </c>
      <c r="EJ197" s="184">
        <f t="shared" si="435"/>
        <v>0</v>
      </c>
      <c r="EK197" s="184">
        <f t="shared" si="435"/>
        <v>0</v>
      </c>
      <c r="EL197" s="184">
        <f t="shared" si="435"/>
        <v>0</v>
      </c>
      <c r="EM197" s="184">
        <f t="shared" si="435"/>
        <v>0</v>
      </c>
      <c r="EN197" s="184">
        <f t="shared" si="435"/>
        <v>0</v>
      </c>
      <c r="EO197" s="184">
        <f t="shared" si="435"/>
        <v>0</v>
      </c>
      <c r="EP197" s="184">
        <f t="shared" si="435"/>
        <v>0</v>
      </c>
      <c r="EQ197" s="184">
        <f t="shared" si="435"/>
        <v>0</v>
      </c>
    </row>
    <row r="198" spans="3:147" ht="11.25" customHeight="1">
      <c r="C198" s="158" t="s">
        <v>539</v>
      </c>
      <c r="D198" s="159"/>
      <c r="E198" s="159"/>
      <c r="F198" s="159"/>
      <c r="G198" s="159"/>
      <c r="H198" s="160"/>
      <c r="I198" s="219"/>
      <c r="J198" s="161"/>
      <c r="K198" s="98"/>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162"/>
      <c r="AK198" s="162"/>
      <c r="AL198" s="162"/>
      <c r="AM198" s="162"/>
      <c r="AN198" s="162"/>
      <c r="AO198" s="162"/>
      <c r="AP198" s="162"/>
      <c r="AQ198" s="162"/>
      <c r="AR198" s="162"/>
      <c r="AS198" s="162"/>
      <c r="AT198" s="162"/>
      <c r="AU198" s="162"/>
      <c r="AV198" s="162"/>
      <c r="AW198" s="162"/>
      <c r="AX198" s="162"/>
      <c r="AY198" s="162"/>
      <c r="AZ198" s="162"/>
      <c r="BA198" s="162"/>
      <c r="BB198" s="162"/>
      <c r="BC198" s="162"/>
      <c r="BD198" s="162"/>
      <c r="BE198" s="162"/>
      <c r="BF198" s="162"/>
      <c r="BG198" s="162"/>
      <c r="BH198" s="162"/>
      <c r="BI198" s="162"/>
      <c r="BJ198" s="162"/>
      <c r="BK198" s="162"/>
      <c r="BL198" s="162"/>
      <c r="BM198" s="162"/>
      <c r="BN198" s="162"/>
      <c r="BO198" s="162"/>
      <c r="BP198" s="162"/>
      <c r="BQ198" s="162"/>
      <c r="BR198" s="162"/>
      <c r="BS198" s="162"/>
      <c r="BT198" s="162"/>
      <c r="BU198" s="162"/>
      <c r="BV198" s="162"/>
      <c r="BW198" s="162"/>
      <c r="BX198" s="162"/>
      <c r="BY198" s="162"/>
      <c r="BZ198" s="162"/>
      <c r="CA198" s="162"/>
      <c r="CB198" s="162"/>
      <c r="CC198" s="162"/>
      <c r="CD198" s="162"/>
      <c r="CE198" s="162"/>
      <c r="CF198" s="162"/>
      <c r="CG198" s="162"/>
      <c r="CH198" s="162"/>
      <c r="CI198" s="162"/>
      <c r="CJ198" s="162"/>
      <c r="CK198" s="162"/>
      <c r="CL198" s="162"/>
      <c r="CM198" s="162"/>
      <c r="CN198" s="162"/>
      <c r="CO198" s="162"/>
      <c r="CP198" s="162"/>
      <c r="CQ198" s="162"/>
      <c r="CR198" s="162"/>
      <c r="CS198" s="162"/>
      <c r="CT198" s="162"/>
      <c r="CU198" s="162"/>
      <c r="CV198" s="162"/>
      <c r="CW198" s="162"/>
      <c r="CX198" s="162"/>
      <c r="CY198" s="162"/>
      <c r="CZ198" s="162"/>
      <c r="DA198" s="162"/>
      <c r="DB198" s="162"/>
      <c r="DC198" s="162"/>
      <c r="DD198" s="162"/>
      <c r="DE198" s="162"/>
      <c r="DF198" s="162"/>
      <c r="DG198" s="162"/>
      <c r="DH198" s="162"/>
      <c r="DI198" s="162"/>
      <c r="DJ198" s="162"/>
      <c r="DK198" s="162"/>
      <c r="DL198" s="162"/>
      <c r="DM198" s="162"/>
      <c r="DN198" s="162"/>
      <c r="DO198" s="162"/>
      <c r="DP198" s="162"/>
      <c r="DQ198" s="162"/>
      <c r="DR198" s="162"/>
      <c r="DS198" s="162"/>
      <c r="DT198" s="162"/>
      <c r="DU198" s="162"/>
      <c r="DV198" s="162"/>
      <c r="DW198" s="162"/>
      <c r="DX198" s="162"/>
      <c r="DY198" s="162"/>
      <c r="DZ198" s="162"/>
      <c r="EA198" s="162"/>
      <c r="EB198" s="162"/>
      <c r="EC198" s="162"/>
      <c r="ED198" s="1319"/>
      <c r="EE198" s="162"/>
      <c r="EF198" s="162"/>
      <c r="EG198" s="162"/>
      <c r="EH198" s="162"/>
      <c r="EI198" s="162"/>
      <c r="EJ198" s="162"/>
      <c r="EK198" s="162"/>
      <c r="EL198" s="162"/>
      <c r="EM198" s="162"/>
      <c r="EN198" s="162"/>
      <c r="EO198" s="162"/>
      <c r="EP198" s="162"/>
      <c r="EQ198" s="162"/>
    </row>
    <row r="199" spans="3:147" ht="11.25" customHeight="1">
      <c r="C199" s="163"/>
      <c r="D199" s="164" t="s">
        <v>230</v>
      </c>
      <c r="E199" s="165"/>
      <c r="F199" s="165"/>
      <c r="G199" s="165"/>
      <c r="H199" s="166"/>
      <c r="I199" s="221"/>
      <c r="J199" s="167"/>
      <c r="K199" s="98"/>
      <c r="L199" s="168">
        <f>K202</f>
        <v>0</v>
      </c>
      <c r="M199" s="168">
        <f t="shared" ref="M199:BX199" si="436">L202</f>
        <v>0</v>
      </c>
      <c r="N199" s="168">
        <f t="shared" si="436"/>
        <v>55545.583333333343</v>
      </c>
      <c r="O199" s="168">
        <f t="shared" si="436"/>
        <v>111091.16666666669</v>
      </c>
      <c r="P199" s="168">
        <f t="shared" si="436"/>
        <v>0</v>
      </c>
      <c r="Q199" s="168">
        <f t="shared" si="436"/>
        <v>55545.583333333343</v>
      </c>
      <c r="R199" s="168">
        <f t="shared" si="436"/>
        <v>111091.16666666669</v>
      </c>
      <c r="S199" s="168">
        <f t="shared" si="436"/>
        <v>0</v>
      </c>
      <c r="T199" s="168">
        <f t="shared" si="436"/>
        <v>55545.583333333343</v>
      </c>
      <c r="U199" s="168">
        <f t="shared" si="436"/>
        <v>111091.16666666669</v>
      </c>
      <c r="V199" s="168">
        <f t="shared" si="436"/>
        <v>0</v>
      </c>
      <c r="W199" s="168">
        <f t="shared" si="436"/>
        <v>55545.583333333343</v>
      </c>
      <c r="X199" s="168">
        <f t="shared" si="436"/>
        <v>111091.16666666669</v>
      </c>
      <c r="Y199" s="168">
        <f t="shared" si="436"/>
        <v>0</v>
      </c>
      <c r="Z199" s="168">
        <f t="shared" si="436"/>
        <v>55545.583333333343</v>
      </c>
      <c r="AA199" s="168">
        <f t="shared" si="436"/>
        <v>111091.16666666669</v>
      </c>
      <c r="AB199" s="168">
        <f t="shared" si="436"/>
        <v>0</v>
      </c>
      <c r="AC199" s="168">
        <f t="shared" si="436"/>
        <v>55545.583333333343</v>
      </c>
      <c r="AD199" s="168">
        <f t="shared" si="436"/>
        <v>111091.16666666669</v>
      </c>
      <c r="AE199" s="168">
        <f t="shared" si="436"/>
        <v>0</v>
      </c>
      <c r="AF199" s="168">
        <f t="shared" si="436"/>
        <v>55545.583333333343</v>
      </c>
      <c r="AG199" s="168">
        <f t="shared" si="436"/>
        <v>111091.16666666669</v>
      </c>
      <c r="AH199" s="168">
        <f t="shared" si="436"/>
        <v>0</v>
      </c>
      <c r="AI199" s="168">
        <f t="shared" si="436"/>
        <v>55545.583333333343</v>
      </c>
      <c r="AJ199" s="168">
        <f t="shared" si="436"/>
        <v>111091.16666666669</v>
      </c>
      <c r="AK199" s="168">
        <f t="shared" si="436"/>
        <v>0</v>
      </c>
      <c r="AL199" s="168">
        <f t="shared" si="436"/>
        <v>55545.583333333343</v>
      </c>
      <c r="AM199" s="168">
        <f t="shared" si="436"/>
        <v>111091.16666666669</v>
      </c>
      <c r="AN199" s="168">
        <f t="shared" si="436"/>
        <v>0</v>
      </c>
      <c r="AO199" s="168">
        <f t="shared" si="436"/>
        <v>55545.583333333343</v>
      </c>
      <c r="AP199" s="168">
        <f t="shared" si="436"/>
        <v>111091.16666666669</v>
      </c>
      <c r="AQ199" s="168">
        <f t="shared" si="436"/>
        <v>0</v>
      </c>
      <c r="AR199" s="168">
        <f t="shared" si="436"/>
        <v>55545.583333333343</v>
      </c>
      <c r="AS199" s="168">
        <f t="shared" si="436"/>
        <v>111091.16666666669</v>
      </c>
      <c r="AT199" s="168">
        <f t="shared" si="436"/>
        <v>0</v>
      </c>
      <c r="AU199" s="168">
        <f t="shared" si="436"/>
        <v>55545.583333333343</v>
      </c>
      <c r="AV199" s="168">
        <f t="shared" si="436"/>
        <v>111091.16666666669</v>
      </c>
      <c r="AW199" s="168">
        <f t="shared" si="436"/>
        <v>0</v>
      </c>
      <c r="AX199" s="168">
        <f t="shared" si="436"/>
        <v>55545.583333333343</v>
      </c>
      <c r="AY199" s="168">
        <f t="shared" si="436"/>
        <v>111091.16666666669</v>
      </c>
      <c r="AZ199" s="168">
        <f t="shared" si="436"/>
        <v>0</v>
      </c>
      <c r="BA199" s="168">
        <f t="shared" si="436"/>
        <v>55545.583333333343</v>
      </c>
      <c r="BB199" s="168">
        <f t="shared" si="436"/>
        <v>111091.16666666669</v>
      </c>
      <c r="BC199" s="168">
        <f t="shared" si="436"/>
        <v>0</v>
      </c>
      <c r="BD199" s="168">
        <f t="shared" si="436"/>
        <v>55545.583333333343</v>
      </c>
      <c r="BE199" s="168">
        <f t="shared" si="436"/>
        <v>111091.16666666669</v>
      </c>
      <c r="BF199" s="168">
        <f t="shared" si="436"/>
        <v>0</v>
      </c>
      <c r="BG199" s="168">
        <f t="shared" si="436"/>
        <v>55545.583333333343</v>
      </c>
      <c r="BH199" s="168">
        <f t="shared" si="436"/>
        <v>111091.16666666669</v>
      </c>
      <c r="BI199" s="168">
        <f t="shared" si="436"/>
        <v>0</v>
      </c>
      <c r="BJ199" s="168">
        <f t="shared" si="436"/>
        <v>55545.583333333343</v>
      </c>
      <c r="BK199" s="168">
        <f t="shared" si="436"/>
        <v>111091.16666666669</v>
      </c>
      <c r="BL199" s="168">
        <f t="shared" si="436"/>
        <v>0</v>
      </c>
      <c r="BM199" s="168">
        <f t="shared" si="436"/>
        <v>55545.583333333343</v>
      </c>
      <c r="BN199" s="168">
        <f t="shared" si="436"/>
        <v>111091.16666666669</v>
      </c>
      <c r="BO199" s="168">
        <f t="shared" si="436"/>
        <v>0</v>
      </c>
      <c r="BP199" s="168">
        <f t="shared" si="436"/>
        <v>55545.583333333343</v>
      </c>
      <c r="BQ199" s="168">
        <f t="shared" si="436"/>
        <v>111091.16666666669</v>
      </c>
      <c r="BR199" s="168">
        <f t="shared" si="436"/>
        <v>0</v>
      </c>
      <c r="BS199" s="168">
        <f t="shared" si="436"/>
        <v>55545.583333333343</v>
      </c>
      <c r="BT199" s="168">
        <f t="shared" si="436"/>
        <v>111091.16666666669</v>
      </c>
      <c r="BU199" s="168">
        <f t="shared" si="436"/>
        <v>0</v>
      </c>
      <c r="BV199" s="168">
        <f t="shared" si="436"/>
        <v>55545.583333333343</v>
      </c>
      <c r="BW199" s="168">
        <f t="shared" si="436"/>
        <v>111091.16666666669</v>
      </c>
      <c r="BX199" s="168">
        <f t="shared" si="436"/>
        <v>0</v>
      </c>
      <c r="BY199" s="168">
        <f t="shared" ref="BY199:DT199" si="437">BX202</f>
        <v>55545.583333333343</v>
      </c>
      <c r="BZ199" s="168">
        <f t="shared" si="437"/>
        <v>111091.16666666669</v>
      </c>
      <c r="CA199" s="168">
        <f t="shared" si="437"/>
        <v>0</v>
      </c>
      <c r="CB199" s="168">
        <f t="shared" si="437"/>
        <v>55545.583333333343</v>
      </c>
      <c r="CC199" s="168">
        <f t="shared" si="437"/>
        <v>111091.16666666669</v>
      </c>
      <c r="CD199" s="168">
        <f t="shared" si="437"/>
        <v>0</v>
      </c>
      <c r="CE199" s="168">
        <f t="shared" si="437"/>
        <v>55545.583333333343</v>
      </c>
      <c r="CF199" s="168">
        <f t="shared" si="437"/>
        <v>111091.16666666669</v>
      </c>
      <c r="CG199" s="168">
        <f t="shared" si="437"/>
        <v>0</v>
      </c>
      <c r="CH199" s="168">
        <f t="shared" si="437"/>
        <v>55545.583333333343</v>
      </c>
      <c r="CI199" s="168">
        <f t="shared" si="437"/>
        <v>111091.16666666669</v>
      </c>
      <c r="CJ199" s="168">
        <f t="shared" si="437"/>
        <v>0</v>
      </c>
      <c r="CK199" s="168">
        <f t="shared" si="437"/>
        <v>55545.583333333343</v>
      </c>
      <c r="CL199" s="168">
        <f t="shared" si="437"/>
        <v>111091.16666666669</v>
      </c>
      <c r="CM199" s="168">
        <f t="shared" si="437"/>
        <v>0</v>
      </c>
      <c r="CN199" s="168">
        <f t="shared" si="437"/>
        <v>55545.583333333343</v>
      </c>
      <c r="CO199" s="168">
        <f t="shared" si="437"/>
        <v>111091.16666666669</v>
      </c>
      <c r="CP199" s="168">
        <f t="shared" si="437"/>
        <v>0</v>
      </c>
      <c r="CQ199" s="168">
        <f t="shared" si="437"/>
        <v>55545.583333333343</v>
      </c>
      <c r="CR199" s="168">
        <f t="shared" si="437"/>
        <v>111091.16666666669</v>
      </c>
      <c r="CS199" s="168">
        <f t="shared" si="437"/>
        <v>0</v>
      </c>
      <c r="CT199" s="168">
        <f t="shared" si="437"/>
        <v>55545.583333333343</v>
      </c>
      <c r="CU199" s="168">
        <f t="shared" si="437"/>
        <v>111091.16666666669</v>
      </c>
      <c r="CV199" s="168">
        <f t="shared" si="437"/>
        <v>0</v>
      </c>
      <c r="CW199" s="168">
        <f t="shared" si="437"/>
        <v>55545.583333333343</v>
      </c>
      <c r="CX199" s="168">
        <f t="shared" si="437"/>
        <v>111091.16666666669</v>
      </c>
      <c r="CY199" s="168">
        <f t="shared" si="437"/>
        <v>0</v>
      </c>
      <c r="CZ199" s="168">
        <f t="shared" si="437"/>
        <v>55545.583333333343</v>
      </c>
      <c r="DA199" s="168">
        <f t="shared" si="437"/>
        <v>111091.16666666669</v>
      </c>
      <c r="DB199" s="168">
        <f t="shared" si="437"/>
        <v>0</v>
      </c>
      <c r="DC199" s="168">
        <f t="shared" si="437"/>
        <v>55545.583333333343</v>
      </c>
      <c r="DD199" s="168">
        <f t="shared" si="437"/>
        <v>111091.16666666669</v>
      </c>
      <c r="DE199" s="168">
        <f t="shared" si="437"/>
        <v>0</v>
      </c>
      <c r="DF199" s="168">
        <f t="shared" si="437"/>
        <v>55545.583333333343</v>
      </c>
      <c r="DG199" s="168">
        <f t="shared" si="437"/>
        <v>111091.16666666669</v>
      </c>
      <c r="DH199" s="168">
        <f t="shared" si="437"/>
        <v>0</v>
      </c>
      <c r="DI199" s="168">
        <f t="shared" si="437"/>
        <v>55545.583333333343</v>
      </c>
      <c r="DJ199" s="168">
        <f t="shared" si="437"/>
        <v>111091.16666666669</v>
      </c>
      <c r="DK199" s="168">
        <f t="shared" si="437"/>
        <v>0</v>
      </c>
      <c r="DL199" s="168">
        <f t="shared" si="437"/>
        <v>55545.583333333343</v>
      </c>
      <c r="DM199" s="168">
        <f t="shared" si="437"/>
        <v>111091.16666666669</v>
      </c>
      <c r="DN199" s="168">
        <f t="shared" si="437"/>
        <v>0</v>
      </c>
      <c r="DO199" s="168">
        <f t="shared" si="437"/>
        <v>55545.583333333343</v>
      </c>
      <c r="DP199" s="168">
        <f t="shared" si="437"/>
        <v>111091.16666666669</v>
      </c>
      <c r="DQ199" s="168">
        <f t="shared" si="437"/>
        <v>0</v>
      </c>
      <c r="DR199" s="168">
        <f t="shared" si="437"/>
        <v>55545.583333333343</v>
      </c>
      <c r="DS199" s="168">
        <f t="shared" si="437"/>
        <v>111091.16666666669</v>
      </c>
      <c r="DT199" s="168">
        <f t="shared" si="437"/>
        <v>0</v>
      </c>
      <c r="DU199" s="168">
        <f t="shared" ref="DU199:EQ199" si="438">DT202</f>
        <v>55545.583333333343</v>
      </c>
      <c r="DV199" s="168">
        <f t="shared" si="438"/>
        <v>111091.16666666669</v>
      </c>
      <c r="DW199" s="168">
        <f t="shared" si="438"/>
        <v>0</v>
      </c>
      <c r="DX199" s="168">
        <f t="shared" si="438"/>
        <v>55545.583333333343</v>
      </c>
      <c r="DY199" s="168">
        <f t="shared" si="438"/>
        <v>111091.16666666669</v>
      </c>
      <c r="DZ199" s="168">
        <f t="shared" si="438"/>
        <v>0</v>
      </c>
      <c r="EA199" s="168">
        <f t="shared" si="438"/>
        <v>55545.583333333343</v>
      </c>
      <c r="EB199" s="168">
        <f t="shared" si="438"/>
        <v>111091.16666666669</v>
      </c>
      <c r="EC199" s="168">
        <f t="shared" si="438"/>
        <v>0</v>
      </c>
      <c r="ED199" s="1320">
        <f t="shared" si="438"/>
        <v>0</v>
      </c>
      <c r="EE199" s="168">
        <f t="shared" si="438"/>
        <v>0</v>
      </c>
      <c r="EF199" s="168">
        <f t="shared" si="438"/>
        <v>0</v>
      </c>
      <c r="EG199" s="168">
        <f t="shared" si="438"/>
        <v>0</v>
      </c>
      <c r="EH199" s="168">
        <f t="shared" si="438"/>
        <v>0</v>
      </c>
      <c r="EI199" s="168">
        <f t="shared" si="438"/>
        <v>0</v>
      </c>
      <c r="EJ199" s="168">
        <f t="shared" si="438"/>
        <v>0</v>
      </c>
      <c r="EK199" s="168">
        <f t="shared" si="438"/>
        <v>0</v>
      </c>
      <c r="EL199" s="168">
        <f t="shared" si="438"/>
        <v>0</v>
      </c>
      <c r="EM199" s="168">
        <f t="shared" si="438"/>
        <v>0</v>
      </c>
      <c r="EN199" s="168">
        <f t="shared" si="438"/>
        <v>0</v>
      </c>
      <c r="EO199" s="168">
        <f t="shared" si="438"/>
        <v>0</v>
      </c>
      <c r="EP199" s="168">
        <f t="shared" si="438"/>
        <v>0</v>
      </c>
      <c r="EQ199" s="168">
        <f t="shared" si="438"/>
        <v>0</v>
      </c>
    </row>
    <row r="200" spans="3:147" ht="11.25" customHeight="1">
      <c r="C200" s="163"/>
      <c r="D200" s="169" t="s">
        <v>231</v>
      </c>
      <c r="I200" s="90"/>
      <c r="J200" s="170">
        <f>SUM(L200:EQ200)</f>
        <v>6665469.9999999916</v>
      </c>
      <c r="K200" s="98"/>
      <c r="L200" s="171">
        <f>'IS(M)'!M38</f>
        <v>0</v>
      </c>
      <c r="M200" s="171">
        <f>'IS(M)'!N38</f>
        <v>55545.583333333343</v>
      </c>
      <c r="N200" s="171">
        <f>'IS(M)'!O38</f>
        <v>55545.583333333343</v>
      </c>
      <c r="O200" s="171">
        <f>'IS(M)'!P38</f>
        <v>55545.583333333343</v>
      </c>
      <c r="P200" s="171">
        <f>'IS(M)'!Q38</f>
        <v>55545.583333333343</v>
      </c>
      <c r="Q200" s="171">
        <f>'IS(M)'!R38</f>
        <v>55545.583333333343</v>
      </c>
      <c r="R200" s="171">
        <f>'IS(M)'!S38</f>
        <v>55545.583333333343</v>
      </c>
      <c r="S200" s="171">
        <f>'IS(M)'!T38</f>
        <v>55545.583333333343</v>
      </c>
      <c r="T200" s="171">
        <f>'IS(M)'!U38</f>
        <v>55545.583333333343</v>
      </c>
      <c r="U200" s="171">
        <f>'IS(M)'!V38</f>
        <v>55545.583333333343</v>
      </c>
      <c r="V200" s="171">
        <f>'IS(M)'!W38</f>
        <v>55545.583333333343</v>
      </c>
      <c r="W200" s="171">
        <f>'IS(M)'!X38</f>
        <v>55545.583333333343</v>
      </c>
      <c r="X200" s="171">
        <f>'IS(M)'!Y38</f>
        <v>55545.583333333343</v>
      </c>
      <c r="Y200" s="171">
        <f>'IS(M)'!Z38</f>
        <v>55545.583333333343</v>
      </c>
      <c r="Z200" s="171">
        <f>'IS(M)'!AA38</f>
        <v>55545.583333333343</v>
      </c>
      <c r="AA200" s="171">
        <f>'IS(M)'!AB38</f>
        <v>55545.583333333343</v>
      </c>
      <c r="AB200" s="171">
        <f>'IS(M)'!AC38</f>
        <v>55545.583333333343</v>
      </c>
      <c r="AC200" s="171">
        <f>'IS(M)'!AD38</f>
        <v>55545.583333333343</v>
      </c>
      <c r="AD200" s="171">
        <f>'IS(M)'!AE38</f>
        <v>55545.583333333343</v>
      </c>
      <c r="AE200" s="171">
        <f>'IS(M)'!AF38</f>
        <v>55545.583333333343</v>
      </c>
      <c r="AF200" s="171">
        <f>'IS(M)'!AG38</f>
        <v>55545.583333333343</v>
      </c>
      <c r="AG200" s="171">
        <f>'IS(M)'!AH38</f>
        <v>55545.583333333343</v>
      </c>
      <c r="AH200" s="171">
        <f>'IS(M)'!AI38</f>
        <v>55545.583333333343</v>
      </c>
      <c r="AI200" s="171">
        <f>'IS(M)'!AJ38</f>
        <v>55545.583333333343</v>
      </c>
      <c r="AJ200" s="171">
        <f>'IS(M)'!AK38</f>
        <v>55545.583333333343</v>
      </c>
      <c r="AK200" s="171">
        <f>'IS(M)'!AL38</f>
        <v>55545.583333333343</v>
      </c>
      <c r="AL200" s="171">
        <f>'IS(M)'!AM38</f>
        <v>55545.583333333343</v>
      </c>
      <c r="AM200" s="171">
        <f>'IS(M)'!AN38</f>
        <v>55545.583333333343</v>
      </c>
      <c r="AN200" s="171">
        <f>'IS(M)'!AO38</f>
        <v>55545.583333333343</v>
      </c>
      <c r="AO200" s="171">
        <f>'IS(M)'!AP38</f>
        <v>55545.583333333343</v>
      </c>
      <c r="AP200" s="171">
        <f>'IS(M)'!AQ38</f>
        <v>55545.583333333343</v>
      </c>
      <c r="AQ200" s="171">
        <f>'IS(M)'!AR38</f>
        <v>55545.583333333343</v>
      </c>
      <c r="AR200" s="171">
        <f>'IS(M)'!AS38</f>
        <v>55545.583333333343</v>
      </c>
      <c r="AS200" s="171">
        <f>'IS(M)'!AT38</f>
        <v>55545.583333333343</v>
      </c>
      <c r="AT200" s="171">
        <f>'IS(M)'!AU38</f>
        <v>55545.583333333343</v>
      </c>
      <c r="AU200" s="171">
        <f>'IS(M)'!AV38</f>
        <v>55545.583333333343</v>
      </c>
      <c r="AV200" s="171">
        <f>'IS(M)'!AW38</f>
        <v>55545.583333333343</v>
      </c>
      <c r="AW200" s="171">
        <f>'IS(M)'!AX38</f>
        <v>55545.583333333343</v>
      </c>
      <c r="AX200" s="171">
        <f>'IS(M)'!AY38</f>
        <v>55545.583333333343</v>
      </c>
      <c r="AY200" s="171">
        <f>'IS(M)'!AZ38</f>
        <v>55545.583333333343</v>
      </c>
      <c r="AZ200" s="171">
        <f>'IS(M)'!BA38</f>
        <v>55545.583333333343</v>
      </c>
      <c r="BA200" s="171">
        <f>'IS(M)'!BB38</f>
        <v>55545.583333333343</v>
      </c>
      <c r="BB200" s="171">
        <f>'IS(M)'!BC38</f>
        <v>55545.583333333343</v>
      </c>
      <c r="BC200" s="171">
        <f>'IS(M)'!BD38</f>
        <v>55545.583333333343</v>
      </c>
      <c r="BD200" s="171">
        <f>'IS(M)'!BE38</f>
        <v>55545.583333333343</v>
      </c>
      <c r="BE200" s="171">
        <f>'IS(M)'!BF38</f>
        <v>55545.583333333343</v>
      </c>
      <c r="BF200" s="171">
        <f>'IS(M)'!BG38</f>
        <v>55545.583333333343</v>
      </c>
      <c r="BG200" s="171">
        <f>'IS(M)'!BH38</f>
        <v>55545.583333333343</v>
      </c>
      <c r="BH200" s="171">
        <f>'IS(M)'!BI38</f>
        <v>55545.583333333343</v>
      </c>
      <c r="BI200" s="171">
        <f>'IS(M)'!BJ38</f>
        <v>55545.583333333343</v>
      </c>
      <c r="BJ200" s="171">
        <f>'IS(M)'!BK38</f>
        <v>55545.583333333343</v>
      </c>
      <c r="BK200" s="171">
        <f>'IS(M)'!BL38</f>
        <v>55545.583333333343</v>
      </c>
      <c r="BL200" s="171">
        <f>'IS(M)'!BM38</f>
        <v>55545.583333333343</v>
      </c>
      <c r="BM200" s="171">
        <f>'IS(M)'!BN38</f>
        <v>55545.583333333343</v>
      </c>
      <c r="BN200" s="171">
        <f>'IS(M)'!BO38</f>
        <v>55545.583333333343</v>
      </c>
      <c r="BO200" s="171">
        <f>'IS(M)'!BP38</f>
        <v>55545.583333333343</v>
      </c>
      <c r="BP200" s="171">
        <f>'IS(M)'!BQ38</f>
        <v>55545.583333333343</v>
      </c>
      <c r="BQ200" s="171">
        <f>'IS(M)'!BR38</f>
        <v>55545.583333333343</v>
      </c>
      <c r="BR200" s="171">
        <f>'IS(M)'!BS38</f>
        <v>55545.583333333343</v>
      </c>
      <c r="BS200" s="171">
        <f>'IS(M)'!BT38</f>
        <v>55545.583333333343</v>
      </c>
      <c r="BT200" s="171">
        <f>'IS(M)'!BU38</f>
        <v>55545.583333333343</v>
      </c>
      <c r="BU200" s="171">
        <f>'IS(M)'!BV38</f>
        <v>55545.583333333343</v>
      </c>
      <c r="BV200" s="171">
        <f>'IS(M)'!BW38</f>
        <v>55545.583333333343</v>
      </c>
      <c r="BW200" s="171">
        <f>'IS(M)'!BX38</f>
        <v>55545.583333333343</v>
      </c>
      <c r="BX200" s="171">
        <f>'IS(M)'!BY38</f>
        <v>55545.583333333343</v>
      </c>
      <c r="BY200" s="171">
        <f>'IS(M)'!BZ38</f>
        <v>55545.583333333343</v>
      </c>
      <c r="BZ200" s="171">
        <f>'IS(M)'!CA38</f>
        <v>55545.583333333343</v>
      </c>
      <c r="CA200" s="171">
        <f>'IS(M)'!CB38</f>
        <v>55545.583333333343</v>
      </c>
      <c r="CB200" s="171">
        <f>'IS(M)'!CC38</f>
        <v>55545.583333333343</v>
      </c>
      <c r="CC200" s="171">
        <f>'IS(M)'!CD38</f>
        <v>55545.583333333343</v>
      </c>
      <c r="CD200" s="171">
        <f>'IS(M)'!CE38</f>
        <v>55545.583333333343</v>
      </c>
      <c r="CE200" s="171">
        <f>'IS(M)'!CF38</f>
        <v>55545.583333333343</v>
      </c>
      <c r="CF200" s="171">
        <f>'IS(M)'!CG38</f>
        <v>55545.583333333343</v>
      </c>
      <c r="CG200" s="171">
        <f>'IS(M)'!CH38</f>
        <v>55545.583333333343</v>
      </c>
      <c r="CH200" s="171">
        <f>'IS(M)'!CI38</f>
        <v>55545.583333333343</v>
      </c>
      <c r="CI200" s="171">
        <f>'IS(M)'!CJ38</f>
        <v>55545.583333333343</v>
      </c>
      <c r="CJ200" s="171">
        <f>'IS(M)'!CK38</f>
        <v>55545.583333333343</v>
      </c>
      <c r="CK200" s="171">
        <f>'IS(M)'!CL38</f>
        <v>55545.583333333343</v>
      </c>
      <c r="CL200" s="171">
        <f>'IS(M)'!CM38</f>
        <v>55545.583333333343</v>
      </c>
      <c r="CM200" s="171">
        <f>'IS(M)'!CN38</f>
        <v>55545.583333333343</v>
      </c>
      <c r="CN200" s="171">
        <f>'IS(M)'!CO38</f>
        <v>55545.583333333343</v>
      </c>
      <c r="CO200" s="171">
        <f>'IS(M)'!CP38</f>
        <v>55545.583333333343</v>
      </c>
      <c r="CP200" s="171">
        <f>'IS(M)'!CQ38</f>
        <v>55545.583333333343</v>
      </c>
      <c r="CQ200" s="171">
        <f>'IS(M)'!CR38</f>
        <v>55545.583333333343</v>
      </c>
      <c r="CR200" s="171">
        <f>'IS(M)'!CS38</f>
        <v>55545.583333333343</v>
      </c>
      <c r="CS200" s="171">
        <f>'IS(M)'!CT38</f>
        <v>55545.583333333343</v>
      </c>
      <c r="CT200" s="171">
        <f>'IS(M)'!CU38</f>
        <v>55545.583333333343</v>
      </c>
      <c r="CU200" s="171">
        <f>'IS(M)'!CV38</f>
        <v>55545.583333333343</v>
      </c>
      <c r="CV200" s="171">
        <f>'IS(M)'!CW38</f>
        <v>55545.583333333343</v>
      </c>
      <c r="CW200" s="171">
        <f>'IS(M)'!CX38</f>
        <v>55545.583333333343</v>
      </c>
      <c r="CX200" s="171">
        <f>'IS(M)'!CY38</f>
        <v>55545.583333333343</v>
      </c>
      <c r="CY200" s="171">
        <f>'IS(M)'!CZ38</f>
        <v>55545.583333333343</v>
      </c>
      <c r="CZ200" s="171">
        <f>'IS(M)'!DA38</f>
        <v>55545.583333333343</v>
      </c>
      <c r="DA200" s="171">
        <f>'IS(M)'!DB38</f>
        <v>55545.583333333343</v>
      </c>
      <c r="DB200" s="171">
        <f>'IS(M)'!DC38</f>
        <v>55545.583333333343</v>
      </c>
      <c r="DC200" s="171">
        <f>'IS(M)'!DD38</f>
        <v>55545.583333333343</v>
      </c>
      <c r="DD200" s="171">
        <f>'IS(M)'!DE38</f>
        <v>55545.583333333343</v>
      </c>
      <c r="DE200" s="171">
        <f>'IS(M)'!DF38</f>
        <v>55545.583333333343</v>
      </c>
      <c r="DF200" s="171">
        <f>'IS(M)'!DG38</f>
        <v>55545.583333333343</v>
      </c>
      <c r="DG200" s="171">
        <f>'IS(M)'!DH38</f>
        <v>55545.583333333343</v>
      </c>
      <c r="DH200" s="171">
        <f>'IS(M)'!DI38</f>
        <v>55545.583333333343</v>
      </c>
      <c r="DI200" s="171">
        <f>'IS(M)'!DJ38</f>
        <v>55545.583333333343</v>
      </c>
      <c r="DJ200" s="171">
        <f>'IS(M)'!DK38</f>
        <v>55545.583333333343</v>
      </c>
      <c r="DK200" s="171">
        <f>'IS(M)'!DL38</f>
        <v>55545.583333333343</v>
      </c>
      <c r="DL200" s="171">
        <f>'IS(M)'!DM38</f>
        <v>55545.583333333343</v>
      </c>
      <c r="DM200" s="171">
        <f>'IS(M)'!DN38</f>
        <v>55545.583333333343</v>
      </c>
      <c r="DN200" s="171">
        <f>'IS(M)'!DO38</f>
        <v>55545.583333333343</v>
      </c>
      <c r="DO200" s="171">
        <f>'IS(M)'!DP38</f>
        <v>55545.583333333343</v>
      </c>
      <c r="DP200" s="171">
        <f>'IS(M)'!DQ38</f>
        <v>55545.583333333343</v>
      </c>
      <c r="DQ200" s="171">
        <f>'IS(M)'!DR38</f>
        <v>55545.583333333343</v>
      </c>
      <c r="DR200" s="171">
        <f>'IS(M)'!DS38</f>
        <v>55545.583333333343</v>
      </c>
      <c r="DS200" s="171">
        <f>'IS(M)'!DT38</f>
        <v>55545.583333333343</v>
      </c>
      <c r="DT200" s="171">
        <f>'IS(M)'!DU38</f>
        <v>55545.583333333343</v>
      </c>
      <c r="DU200" s="171">
        <f>'IS(M)'!DV38</f>
        <v>55545.583333333343</v>
      </c>
      <c r="DV200" s="171">
        <f>'IS(M)'!DW38</f>
        <v>55545.583333333343</v>
      </c>
      <c r="DW200" s="171">
        <f>'IS(M)'!DX38</f>
        <v>55545.583333333343</v>
      </c>
      <c r="DX200" s="171">
        <f>'IS(M)'!DY38</f>
        <v>55545.583333333343</v>
      </c>
      <c r="DY200" s="171">
        <f>'IS(M)'!DZ38</f>
        <v>55545.583333333343</v>
      </c>
      <c r="DZ200" s="171">
        <f>'IS(M)'!EA38</f>
        <v>55545.583333333343</v>
      </c>
      <c r="EA200" s="171">
        <f>'IS(M)'!EB38</f>
        <v>55545.583333333343</v>
      </c>
      <c r="EB200" s="171">
        <f>'IS(M)'!EC38</f>
        <v>55545.583333333343</v>
      </c>
      <c r="EC200" s="171">
        <f>'IS(M)'!ED38</f>
        <v>0</v>
      </c>
      <c r="ED200" s="1321">
        <f>'IS(M)'!EE38</f>
        <v>0</v>
      </c>
      <c r="EE200" s="171">
        <f>'IS(M)'!EF38</f>
        <v>0</v>
      </c>
      <c r="EF200" s="171">
        <f>'IS(M)'!EG38</f>
        <v>0</v>
      </c>
      <c r="EG200" s="171">
        <f>'IS(M)'!EH38</f>
        <v>0</v>
      </c>
      <c r="EH200" s="171">
        <f>'IS(M)'!EI38</f>
        <v>0</v>
      </c>
      <c r="EI200" s="171">
        <f>'IS(M)'!EJ38</f>
        <v>0</v>
      </c>
      <c r="EJ200" s="171">
        <f>'IS(M)'!EK38</f>
        <v>0</v>
      </c>
      <c r="EK200" s="171">
        <f>'IS(M)'!EL38</f>
        <v>0</v>
      </c>
      <c r="EL200" s="171">
        <f>'IS(M)'!EM38</f>
        <v>0</v>
      </c>
      <c r="EM200" s="171">
        <f>'IS(M)'!EN38</f>
        <v>0</v>
      </c>
      <c r="EN200" s="171">
        <f>'IS(M)'!EO38</f>
        <v>0</v>
      </c>
      <c r="EO200" s="171">
        <f>'IS(M)'!EP38</f>
        <v>0</v>
      </c>
      <c r="EP200" s="171">
        <f>'IS(M)'!EQ38</f>
        <v>0</v>
      </c>
      <c r="EQ200" s="171">
        <f>'IS(M)'!ER38</f>
        <v>0</v>
      </c>
    </row>
    <row r="201" spans="3:147" ht="11.25" customHeight="1">
      <c r="C201" s="163"/>
      <c r="D201" s="169" t="s">
        <v>232</v>
      </c>
      <c r="I201" s="248"/>
      <c r="J201" s="170">
        <f>SUM(L201:EQ201)</f>
        <v>6665470.0000000009</v>
      </c>
      <c r="K201" s="98"/>
      <c r="L201" s="171">
        <f>SUM(L199:L200)*Index!L$48</f>
        <v>0</v>
      </c>
      <c r="M201" s="171">
        <f>SUM(M199:M200)*Index!M$50</f>
        <v>0</v>
      </c>
      <c r="N201" s="171">
        <f>SUM(N199:N200)*Index!N$50</f>
        <v>0</v>
      </c>
      <c r="O201" s="171">
        <f>SUM(O199:O200)*Index!O$50</f>
        <v>166636.75000000003</v>
      </c>
      <c r="P201" s="171">
        <f>SUM(P199:P200)*Index!P$50</f>
        <v>0</v>
      </c>
      <c r="Q201" s="171">
        <f>SUM(Q199:Q200)*Index!Q$50</f>
        <v>0</v>
      </c>
      <c r="R201" s="171">
        <f>SUM(R199:R200)*Index!R$50</f>
        <v>166636.75000000003</v>
      </c>
      <c r="S201" s="171">
        <f>SUM(S199:S200)*Index!S$50</f>
        <v>0</v>
      </c>
      <c r="T201" s="171">
        <f>SUM(T199:T200)*Index!T$50</f>
        <v>0</v>
      </c>
      <c r="U201" s="171">
        <f>SUM(U199:U200)*Index!U$50</f>
        <v>166636.75000000003</v>
      </c>
      <c r="V201" s="171">
        <f>SUM(V199:V200)*Index!V$50</f>
        <v>0</v>
      </c>
      <c r="W201" s="171">
        <f>SUM(W199:W200)*Index!W$50</f>
        <v>0</v>
      </c>
      <c r="X201" s="171">
        <f>SUM(X199:X200)*Index!X$50</f>
        <v>166636.75000000003</v>
      </c>
      <c r="Y201" s="171">
        <f>SUM(Y199:Y200)*Index!Y$50</f>
        <v>0</v>
      </c>
      <c r="Z201" s="171">
        <f>SUM(Z199:Z200)*Index!Z$50</f>
        <v>0</v>
      </c>
      <c r="AA201" s="171">
        <f>SUM(AA199:AA200)*Index!AA$50</f>
        <v>166636.75000000003</v>
      </c>
      <c r="AB201" s="171">
        <f>SUM(AB199:AB200)*Index!AB$50</f>
        <v>0</v>
      </c>
      <c r="AC201" s="171">
        <f>SUM(AC199:AC200)*Index!AC$50</f>
        <v>0</v>
      </c>
      <c r="AD201" s="171">
        <f>SUM(AD199:AD200)*Index!AD$50</f>
        <v>166636.75000000003</v>
      </c>
      <c r="AE201" s="171">
        <f>SUM(AE199:AE200)*Index!AE$50</f>
        <v>0</v>
      </c>
      <c r="AF201" s="171">
        <f>SUM(AF199:AF200)*Index!AF$50</f>
        <v>0</v>
      </c>
      <c r="AG201" s="171">
        <f>SUM(AG199:AG200)*Index!AG$50</f>
        <v>166636.75000000003</v>
      </c>
      <c r="AH201" s="171">
        <f>SUM(AH199:AH200)*Index!AH$50</f>
        <v>0</v>
      </c>
      <c r="AI201" s="171">
        <f>SUM(AI199:AI200)*Index!AI$50</f>
        <v>0</v>
      </c>
      <c r="AJ201" s="171">
        <f>SUM(AJ199:AJ200)*Index!AJ$50</f>
        <v>166636.75000000003</v>
      </c>
      <c r="AK201" s="171">
        <f>SUM(AK199:AK200)*Index!AK$50</f>
        <v>0</v>
      </c>
      <c r="AL201" s="171">
        <f>SUM(AL199:AL200)*Index!AL$50</f>
        <v>0</v>
      </c>
      <c r="AM201" s="171">
        <f>SUM(AM199:AM200)*Index!AM$50</f>
        <v>166636.75000000003</v>
      </c>
      <c r="AN201" s="171">
        <f>SUM(AN199:AN200)*Index!AN$50</f>
        <v>0</v>
      </c>
      <c r="AO201" s="171">
        <f>SUM(AO199:AO200)*Index!AO$50</f>
        <v>0</v>
      </c>
      <c r="AP201" s="171">
        <f>SUM(AP199:AP200)*Index!AP$50</f>
        <v>166636.75000000003</v>
      </c>
      <c r="AQ201" s="171">
        <f>SUM(AQ199:AQ200)*Index!AQ$50</f>
        <v>0</v>
      </c>
      <c r="AR201" s="171">
        <f>SUM(AR199:AR200)*Index!AR$50</f>
        <v>0</v>
      </c>
      <c r="AS201" s="171">
        <f>SUM(AS199:AS200)*Index!AS$50</f>
        <v>166636.75000000003</v>
      </c>
      <c r="AT201" s="171">
        <f>SUM(AT199:AT200)*Index!AT$50</f>
        <v>0</v>
      </c>
      <c r="AU201" s="171">
        <f>SUM(AU199:AU200)*Index!AU$50</f>
        <v>0</v>
      </c>
      <c r="AV201" s="171">
        <f>SUM(AV199:AV200)*Index!AV$50</f>
        <v>166636.75000000003</v>
      </c>
      <c r="AW201" s="171">
        <f>SUM(AW199:AW200)*Index!AW$50</f>
        <v>0</v>
      </c>
      <c r="AX201" s="171">
        <f>SUM(AX199:AX200)*Index!AX$50</f>
        <v>0</v>
      </c>
      <c r="AY201" s="171">
        <f>SUM(AY199:AY200)*Index!AY$50</f>
        <v>166636.75000000003</v>
      </c>
      <c r="AZ201" s="171">
        <f>SUM(AZ199:AZ200)*Index!AZ$50</f>
        <v>0</v>
      </c>
      <c r="BA201" s="171">
        <f>SUM(BA199:BA200)*Index!BA$50</f>
        <v>0</v>
      </c>
      <c r="BB201" s="171">
        <f>SUM(BB199:BB200)*Index!BB$50</f>
        <v>166636.75000000003</v>
      </c>
      <c r="BC201" s="171">
        <f>SUM(BC199:BC200)*Index!BC$50</f>
        <v>0</v>
      </c>
      <c r="BD201" s="171">
        <f>SUM(BD199:BD200)*Index!BD$50</f>
        <v>0</v>
      </c>
      <c r="BE201" s="171">
        <f>SUM(BE199:BE200)*Index!BE$50</f>
        <v>166636.75000000003</v>
      </c>
      <c r="BF201" s="171">
        <f>SUM(BF199:BF200)*Index!BF$50</f>
        <v>0</v>
      </c>
      <c r="BG201" s="171">
        <f>SUM(BG199:BG200)*Index!BG$50</f>
        <v>0</v>
      </c>
      <c r="BH201" s="171">
        <f>SUM(BH199:BH200)*Index!BH$50</f>
        <v>166636.75000000003</v>
      </c>
      <c r="BI201" s="171">
        <f>SUM(BI199:BI200)*Index!BI$50</f>
        <v>0</v>
      </c>
      <c r="BJ201" s="171">
        <f>SUM(BJ199:BJ200)*Index!BJ$50</f>
        <v>0</v>
      </c>
      <c r="BK201" s="171">
        <f>SUM(BK199:BK200)*Index!BK$50</f>
        <v>166636.75000000003</v>
      </c>
      <c r="BL201" s="171">
        <f>SUM(BL199:BL200)*Index!BL$50</f>
        <v>0</v>
      </c>
      <c r="BM201" s="171">
        <f>SUM(BM199:BM200)*Index!BM$50</f>
        <v>0</v>
      </c>
      <c r="BN201" s="171">
        <f>SUM(BN199:BN200)*Index!BN$50</f>
        <v>166636.75000000003</v>
      </c>
      <c r="BO201" s="171">
        <f>SUM(BO199:BO200)*Index!BO$50</f>
        <v>0</v>
      </c>
      <c r="BP201" s="171">
        <f>SUM(BP199:BP200)*Index!BP$50</f>
        <v>0</v>
      </c>
      <c r="BQ201" s="171">
        <f>SUM(BQ199:BQ200)*Index!BQ$50</f>
        <v>166636.75000000003</v>
      </c>
      <c r="BR201" s="171">
        <f>SUM(BR199:BR200)*Index!BR$50</f>
        <v>0</v>
      </c>
      <c r="BS201" s="171">
        <f>SUM(BS199:BS200)*Index!BS$50</f>
        <v>0</v>
      </c>
      <c r="BT201" s="171">
        <f>SUM(BT199:BT200)*Index!BT$50</f>
        <v>166636.75000000003</v>
      </c>
      <c r="BU201" s="171">
        <f>SUM(BU199:BU200)*Index!BU$50</f>
        <v>0</v>
      </c>
      <c r="BV201" s="171">
        <f>SUM(BV199:BV200)*Index!BV$50</f>
        <v>0</v>
      </c>
      <c r="BW201" s="171">
        <f>SUM(BW199:BW200)*Index!BW$50</f>
        <v>166636.75000000003</v>
      </c>
      <c r="BX201" s="171">
        <f>SUM(BX199:BX200)*Index!BX$50</f>
        <v>0</v>
      </c>
      <c r="BY201" s="171">
        <f>SUM(BY199:BY200)*Index!BY$50</f>
        <v>0</v>
      </c>
      <c r="BZ201" s="171">
        <f>SUM(BZ199:BZ200)*Index!BZ$50</f>
        <v>166636.75000000003</v>
      </c>
      <c r="CA201" s="171">
        <f>SUM(CA199:CA200)*Index!CA$50</f>
        <v>0</v>
      </c>
      <c r="CB201" s="171">
        <f>SUM(CB199:CB200)*Index!CB$50</f>
        <v>0</v>
      </c>
      <c r="CC201" s="171">
        <f>SUM(CC199:CC200)*Index!CC$50</f>
        <v>166636.75000000003</v>
      </c>
      <c r="CD201" s="171">
        <f>SUM(CD199:CD200)*Index!CD$50</f>
        <v>0</v>
      </c>
      <c r="CE201" s="171">
        <f>SUM(CE199:CE200)*Index!CE$50</f>
        <v>0</v>
      </c>
      <c r="CF201" s="171">
        <f>SUM(CF199:CF200)*Index!CF$50</f>
        <v>166636.75000000003</v>
      </c>
      <c r="CG201" s="171">
        <f>SUM(CG199:CG200)*Index!CG$50</f>
        <v>0</v>
      </c>
      <c r="CH201" s="171">
        <f>SUM(CH199:CH200)*Index!CH$50</f>
        <v>0</v>
      </c>
      <c r="CI201" s="171">
        <f>SUM(CI199:CI200)*Index!CI$50</f>
        <v>166636.75000000003</v>
      </c>
      <c r="CJ201" s="171">
        <f>SUM(CJ199:CJ200)*Index!CJ$50</f>
        <v>0</v>
      </c>
      <c r="CK201" s="171">
        <f>SUM(CK199:CK200)*Index!CK$50</f>
        <v>0</v>
      </c>
      <c r="CL201" s="171">
        <f>SUM(CL199:CL200)*Index!CL$50</f>
        <v>166636.75000000003</v>
      </c>
      <c r="CM201" s="171">
        <f>SUM(CM199:CM200)*Index!CM$50</f>
        <v>0</v>
      </c>
      <c r="CN201" s="171">
        <f>SUM(CN199:CN200)*Index!CN$50</f>
        <v>0</v>
      </c>
      <c r="CO201" s="171">
        <f>SUM(CO199:CO200)*Index!CO$50</f>
        <v>166636.75000000003</v>
      </c>
      <c r="CP201" s="171">
        <f>SUM(CP199:CP200)*Index!CP$50</f>
        <v>0</v>
      </c>
      <c r="CQ201" s="171">
        <f>SUM(CQ199:CQ200)*Index!CQ$50</f>
        <v>0</v>
      </c>
      <c r="CR201" s="171">
        <f>SUM(CR199:CR200)*Index!CR$50</f>
        <v>166636.75000000003</v>
      </c>
      <c r="CS201" s="171">
        <f>SUM(CS199:CS200)*Index!CS$50</f>
        <v>0</v>
      </c>
      <c r="CT201" s="171">
        <f>SUM(CT199:CT200)*Index!CT$50</f>
        <v>0</v>
      </c>
      <c r="CU201" s="171">
        <f>SUM(CU199:CU200)*Index!CU$50</f>
        <v>166636.75000000003</v>
      </c>
      <c r="CV201" s="171">
        <f>SUM(CV199:CV200)*Index!CV$50</f>
        <v>0</v>
      </c>
      <c r="CW201" s="171">
        <f>SUM(CW199:CW200)*Index!CW$50</f>
        <v>0</v>
      </c>
      <c r="CX201" s="171">
        <f>SUM(CX199:CX200)*Index!CX$50</f>
        <v>166636.75000000003</v>
      </c>
      <c r="CY201" s="171">
        <f>SUM(CY199:CY200)*Index!CY$50</f>
        <v>0</v>
      </c>
      <c r="CZ201" s="171">
        <f>SUM(CZ199:CZ200)*Index!CZ$50</f>
        <v>0</v>
      </c>
      <c r="DA201" s="171">
        <f>SUM(DA199:DA200)*Index!DA$50</f>
        <v>166636.75000000003</v>
      </c>
      <c r="DB201" s="171">
        <f>SUM(DB199:DB200)*Index!DB$50</f>
        <v>0</v>
      </c>
      <c r="DC201" s="171">
        <f>SUM(DC199:DC200)*Index!DC$50</f>
        <v>0</v>
      </c>
      <c r="DD201" s="171">
        <f>SUM(DD199:DD200)*Index!DD$50</f>
        <v>166636.75000000003</v>
      </c>
      <c r="DE201" s="171">
        <f>SUM(DE199:DE200)*Index!DE$50</f>
        <v>0</v>
      </c>
      <c r="DF201" s="171">
        <f>SUM(DF199:DF200)*Index!DF$50</f>
        <v>0</v>
      </c>
      <c r="DG201" s="171">
        <f>SUM(DG199:DG200)*Index!DG$50</f>
        <v>166636.75000000003</v>
      </c>
      <c r="DH201" s="171">
        <f>SUM(DH199:DH200)*Index!DH$50</f>
        <v>0</v>
      </c>
      <c r="DI201" s="171">
        <f>SUM(DI199:DI200)*Index!DI$50</f>
        <v>0</v>
      </c>
      <c r="DJ201" s="171">
        <f>SUM(DJ199:DJ200)*Index!DJ$50</f>
        <v>166636.75000000003</v>
      </c>
      <c r="DK201" s="171">
        <f>SUM(DK199:DK200)*Index!DK$50</f>
        <v>0</v>
      </c>
      <c r="DL201" s="171">
        <f>SUM(DL199:DL200)*Index!DL$50</f>
        <v>0</v>
      </c>
      <c r="DM201" s="171">
        <f>SUM(DM199:DM200)*Index!DM$50</f>
        <v>166636.75000000003</v>
      </c>
      <c r="DN201" s="171">
        <f>SUM(DN199:DN200)*Index!DN$50</f>
        <v>0</v>
      </c>
      <c r="DO201" s="171">
        <f>SUM(DO199:DO200)*Index!DO$50</f>
        <v>0</v>
      </c>
      <c r="DP201" s="171">
        <f>SUM(DP199:DP200)*Index!DP$50</f>
        <v>166636.75000000003</v>
      </c>
      <c r="DQ201" s="171">
        <f>SUM(DQ199:DQ200)*Index!DQ$50</f>
        <v>0</v>
      </c>
      <c r="DR201" s="171">
        <f>SUM(DR199:DR200)*Index!DR$50</f>
        <v>0</v>
      </c>
      <c r="DS201" s="171">
        <f>SUM(DS199:DS200)*Index!DS$50</f>
        <v>166636.75000000003</v>
      </c>
      <c r="DT201" s="171">
        <f>SUM(DT199:DT200)*Index!DT$50</f>
        <v>0</v>
      </c>
      <c r="DU201" s="171">
        <f>SUM(DU199:DU200)*Index!DU$50</f>
        <v>0</v>
      </c>
      <c r="DV201" s="171">
        <f>SUM(DV199:DV200)*Index!DV$50</f>
        <v>166636.75000000003</v>
      </c>
      <c r="DW201" s="171">
        <f>SUM(DW199:DW200)*Index!DW$50</f>
        <v>0</v>
      </c>
      <c r="DX201" s="171">
        <f>SUM(DX199:DX200)*Index!DX$50</f>
        <v>0</v>
      </c>
      <c r="DY201" s="171">
        <f>SUM(DY199:DY200)*Index!DY$50</f>
        <v>166636.75000000003</v>
      </c>
      <c r="DZ201" s="171">
        <f>SUM(DZ199:DZ200)*Index!DZ$50</f>
        <v>0</v>
      </c>
      <c r="EA201" s="171">
        <f>SUM(EA199:EA200)*Index!EA$50</f>
        <v>0</v>
      </c>
      <c r="EB201" s="171">
        <f>SUM(EB199:EB200)*Index!EB$50</f>
        <v>166636.75000000003</v>
      </c>
      <c r="EC201" s="171">
        <f>SUM(EC199:EC200)*Index!EC$50</f>
        <v>0</v>
      </c>
      <c r="ED201" s="1321">
        <f>SUM(ED199:ED200)*Index!ED$50</f>
        <v>0</v>
      </c>
      <c r="EE201" s="171">
        <f>SUM(EE199:EE200)*Index!EE$50</f>
        <v>0</v>
      </c>
      <c r="EF201" s="171">
        <f>SUM(EF199:EF200)*Index!EF$50</f>
        <v>0</v>
      </c>
      <c r="EG201" s="171">
        <f>SUM(EG199:EG200)*Index!EG$50</f>
        <v>0</v>
      </c>
      <c r="EH201" s="171">
        <f>SUM(EH199:EH200)*Index!EH$50</f>
        <v>0</v>
      </c>
      <c r="EI201" s="171">
        <f>SUM(EI199:EI200)*Index!EI$50</f>
        <v>0</v>
      </c>
      <c r="EJ201" s="171">
        <f>SUM(EJ199:EJ200)*Index!EJ$50</f>
        <v>0</v>
      </c>
      <c r="EK201" s="171">
        <f>SUM(EK199:EK200)*Index!EK$50</f>
        <v>0</v>
      </c>
      <c r="EL201" s="171">
        <f>SUM(EL199:EL200)*Index!EL$50</f>
        <v>0</v>
      </c>
      <c r="EM201" s="171">
        <f>SUM(EM199:EM200)*Index!EM$50</f>
        <v>0</v>
      </c>
      <c r="EN201" s="171">
        <f>SUM(EN199:EN200)*Index!EN$50</f>
        <v>0</v>
      </c>
      <c r="EO201" s="171">
        <f>SUM(EO199:EO200)*Index!EO$50</f>
        <v>0</v>
      </c>
      <c r="EP201" s="171">
        <f>SUM(EP199:EP200)*Index!EP$50</f>
        <v>0</v>
      </c>
      <c r="EQ201" s="171">
        <f>SUM(EQ199:EQ200)*Index!EQ$50</f>
        <v>0</v>
      </c>
    </row>
    <row r="202" spans="3:147" ht="11.25" customHeight="1">
      <c r="C202" s="178"/>
      <c r="D202" s="179" t="s">
        <v>233</v>
      </c>
      <c r="E202" s="180"/>
      <c r="F202" s="180"/>
      <c r="G202" s="180"/>
      <c r="H202" s="181"/>
      <c r="I202" s="863"/>
      <c r="J202" s="183"/>
      <c r="K202" s="98"/>
      <c r="L202" s="184">
        <f t="shared" ref="L202:AQ202" si="439">L199+L200-L201</f>
        <v>0</v>
      </c>
      <c r="M202" s="184">
        <f t="shared" si="439"/>
        <v>55545.583333333343</v>
      </c>
      <c r="N202" s="184">
        <f t="shared" si="439"/>
        <v>111091.16666666669</v>
      </c>
      <c r="O202" s="184">
        <f t="shared" si="439"/>
        <v>0</v>
      </c>
      <c r="P202" s="184">
        <f t="shared" si="439"/>
        <v>55545.583333333343</v>
      </c>
      <c r="Q202" s="184">
        <f t="shared" si="439"/>
        <v>111091.16666666669</v>
      </c>
      <c r="R202" s="184">
        <f t="shared" si="439"/>
        <v>0</v>
      </c>
      <c r="S202" s="184">
        <f t="shared" si="439"/>
        <v>55545.583333333343</v>
      </c>
      <c r="T202" s="184">
        <f t="shared" si="439"/>
        <v>111091.16666666669</v>
      </c>
      <c r="U202" s="184">
        <f t="shared" si="439"/>
        <v>0</v>
      </c>
      <c r="V202" s="184">
        <f t="shared" si="439"/>
        <v>55545.583333333343</v>
      </c>
      <c r="W202" s="184">
        <f t="shared" si="439"/>
        <v>111091.16666666669</v>
      </c>
      <c r="X202" s="184">
        <f t="shared" si="439"/>
        <v>0</v>
      </c>
      <c r="Y202" s="184">
        <f t="shared" si="439"/>
        <v>55545.583333333343</v>
      </c>
      <c r="Z202" s="184">
        <f t="shared" si="439"/>
        <v>111091.16666666669</v>
      </c>
      <c r="AA202" s="184">
        <f t="shared" si="439"/>
        <v>0</v>
      </c>
      <c r="AB202" s="184">
        <f t="shared" si="439"/>
        <v>55545.583333333343</v>
      </c>
      <c r="AC202" s="184">
        <f t="shared" si="439"/>
        <v>111091.16666666669</v>
      </c>
      <c r="AD202" s="184">
        <f t="shared" si="439"/>
        <v>0</v>
      </c>
      <c r="AE202" s="184">
        <f t="shared" si="439"/>
        <v>55545.583333333343</v>
      </c>
      <c r="AF202" s="184">
        <f t="shared" si="439"/>
        <v>111091.16666666669</v>
      </c>
      <c r="AG202" s="184">
        <f t="shared" si="439"/>
        <v>0</v>
      </c>
      <c r="AH202" s="184">
        <f t="shared" si="439"/>
        <v>55545.583333333343</v>
      </c>
      <c r="AI202" s="184">
        <f t="shared" si="439"/>
        <v>111091.16666666669</v>
      </c>
      <c r="AJ202" s="184">
        <f t="shared" si="439"/>
        <v>0</v>
      </c>
      <c r="AK202" s="184">
        <f t="shared" si="439"/>
        <v>55545.583333333343</v>
      </c>
      <c r="AL202" s="184">
        <f t="shared" si="439"/>
        <v>111091.16666666669</v>
      </c>
      <c r="AM202" s="184">
        <f t="shared" si="439"/>
        <v>0</v>
      </c>
      <c r="AN202" s="184">
        <f t="shared" si="439"/>
        <v>55545.583333333343</v>
      </c>
      <c r="AO202" s="184">
        <f t="shared" si="439"/>
        <v>111091.16666666669</v>
      </c>
      <c r="AP202" s="184">
        <f t="shared" si="439"/>
        <v>0</v>
      </c>
      <c r="AQ202" s="184">
        <f t="shared" si="439"/>
        <v>55545.583333333343</v>
      </c>
      <c r="AR202" s="184">
        <f t="shared" ref="AR202:BW202" si="440">AR199+AR200-AR201</f>
        <v>111091.16666666669</v>
      </c>
      <c r="AS202" s="184">
        <f t="shared" si="440"/>
        <v>0</v>
      </c>
      <c r="AT202" s="184">
        <f t="shared" si="440"/>
        <v>55545.583333333343</v>
      </c>
      <c r="AU202" s="184">
        <f t="shared" si="440"/>
        <v>111091.16666666669</v>
      </c>
      <c r="AV202" s="184">
        <f t="shared" si="440"/>
        <v>0</v>
      </c>
      <c r="AW202" s="184">
        <f t="shared" si="440"/>
        <v>55545.583333333343</v>
      </c>
      <c r="AX202" s="184">
        <f t="shared" si="440"/>
        <v>111091.16666666669</v>
      </c>
      <c r="AY202" s="184">
        <f t="shared" si="440"/>
        <v>0</v>
      </c>
      <c r="AZ202" s="184">
        <f t="shared" si="440"/>
        <v>55545.583333333343</v>
      </c>
      <c r="BA202" s="184">
        <f t="shared" si="440"/>
        <v>111091.16666666669</v>
      </c>
      <c r="BB202" s="184">
        <f t="shared" si="440"/>
        <v>0</v>
      </c>
      <c r="BC202" s="184">
        <f t="shared" si="440"/>
        <v>55545.583333333343</v>
      </c>
      <c r="BD202" s="184">
        <f t="shared" si="440"/>
        <v>111091.16666666669</v>
      </c>
      <c r="BE202" s="184">
        <f t="shared" si="440"/>
        <v>0</v>
      </c>
      <c r="BF202" s="184">
        <f t="shared" si="440"/>
        <v>55545.583333333343</v>
      </c>
      <c r="BG202" s="184">
        <f t="shared" si="440"/>
        <v>111091.16666666669</v>
      </c>
      <c r="BH202" s="184">
        <f t="shared" si="440"/>
        <v>0</v>
      </c>
      <c r="BI202" s="184">
        <f t="shared" si="440"/>
        <v>55545.583333333343</v>
      </c>
      <c r="BJ202" s="184">
        <f t="shared" si="440"/>
        <v>111091.16666666669</v>
      </c>
      <c r="BK202" s="184">
        <f t="shared" si="440"/>
        <v>0</v>
      </c>
      <c r="BL202" s="184">
        <f t="shared" si="440"/>
        <v>55545.583333333343</v>
      </c>
      <c r="BM202" s="184">
        <f t="shared" si="440"/>
        <v>111091.16666666669</v>
      </c>
      <c r="BN202" s="184">
        <f t="shared" si="440"/>
        <v>0</v>
      </c>
      <c r="BO202" s="184">
        <f t="shared" si="440"/>
        <v>55545.583333333343</v>
      </c>
      <c r="BP202" s="184">
        <f t="shared" si="440"/>
        <v>111091.16666666669</v>
      </c>
      <c r="BQ202" s="184">
        <f t="shared" si="440"/>
        <v>0</v>
      </c>
      <c r="BR202" s="184">
        <f t="shared" si="440"/>
        <v>55545.583333333343</v>
      </c>
      <c r="BS202" s="184">
        <f t="shared" si="440"/>
        <v>111091.16666666669</v>
      </c>
      <c r="BT202" s="184">
        <f t="shared" si="440"/>
        <v>0</v>
      </c>
      <c r="BU202" s="184">
        <f t="shared" si="440"/>
        <v>55545.583333333343</v>
      </c>
      <c r="BV202" s="184">
        <f t="shared" si="440"/>
        <v>111091.16666666669</v>
      </c>
      <c r="BW202" s="184">
        <f t="shared" si="440"/>
        <v>0</v>
      </c>
      <c r="BX202" s="184">
        <f t="shared" ref="BX202:DC202" si="441">BX199+BX200-BX201</f>
        <v>55545.583333333343</v>
      </c>
      <c r="BY202" s="184">
        <f t="shared" si="441"/>
        <v>111091.16666666669</v>
      </c>
      <c r="BZ202" s="184">
        <f t="shared" si="441"/>
        <v>0</v>
      </c>
      <c r="CA202" s="184">
        <f t="shared" si="441"/>
        <v>55545.583333333343</v>
      </c>
      <c r="CB202" s="184">
        <f t="shared" si="441"/>
        <v>111091.16666666669</v>
      </c>
      <c r="CC202" s="184">
        <f t="shared" si="441"/>
        <v>0</v>
      </c>
      <c r="CD202" s="184">
        <f t="shared" si="441"/>
        <v>55545.583333333343</v>
      </c>
      <c r="CE202" s="184">
        <f t="shared" si="441"/>
        <v>111091.16666666669</v>
      </c>
      <c r="CF202" s="184">
        <f t="shared" si="441"/>
        <v>0</v>
      </c>
      <c r="CG202" s="184">
        <f t="shared" si="441"/>
        <v>55545.583333333343</v>
      </c>
      <c r="CH202" s="184">
        <f t="shared" si="441"/>
        <v>111091.16666666669</v>
      </c>
      <c r="CI202" s="184">
        <f t="shared" si="441"/>
        <v>0</v>
      </c>
      <c r="CJ202" s="184">
        <f t="shared" si="441"/>
        <v>55545.583333333343</v>
      </c>
      <c r="CK202" s="184">
        <f t="shared" si="441"/>
        <v>111091.16666666669</v>
      </c>
      <c r="CL202" s="184">
        <f t="shared" si="441"/>
        <v>0</v>
      </c>
      <c r="CM202" s="184">
        <f t="shared" si="441"/>
        <v>55545.583333333343</v>
      </c>
      <c r="CN202" s="184">
        <f t="shared" si="441"/>
        <v>111091.16666666669</v>
      </c>
      <c r="CO202" s="184">
        <f t="shared" si="441"/>
        <v>0</v>
      </c>
      <c r="CP202" s="184">
        <f t="shared" si="441"/>
        <v>55545.583333333343</v>
      </c>
      <c r="CQ202" s="184">
        <f t="shared" si="441"/>
        <v>111091.16666666669</v>
      </c>
      <c r="CR202" s="184">
        <f t="shared" si="441"/>
        <v>0</v>
      </c>
      <c r="CS202" s="184">
        <f t="shared" si="441"/>
        <v>55545.583333333343</v>
      </c>
      <c r="CT202" s="184">
        <f t="shared" si="441"/>
        <v>111091.16666666669</v>
      </c>
      <c r="CU202" s="184">
        <f t="shared" si="441"/>
        <v>0</v>
      </c>
      <c r="CV202" s="184">
        <f t="shared" si="441"/>
        <v>55545.583333333343</v>
      </c>
      <c r="CW202" s="184">
        <f t="shared" si="441"/>
        <v>111091.16666666669</v>
      </c>
      <c r="CX202" s="184">
        <f t="shared" si="441"/>
        <v>0</v>
      </c>
      <c r="CY202" s="184">
        <f t="shared" si="441"/>
        <v>55545.583333333343</v>
      </c>
      <c r="CZ202" s="184">
        <f t="shared" si="441"/>
        <v>111091.16666666669</v>
      </c>
      <c r="DA202" s="184">
        <f t="shared" si="441"/>
        <v>0</v>
      </c>
      <c r="DB202" s="184">
        <f t="shared" si="441"/>
        <v>55545.583333333343</v>
      </c>
      <c r="DC202" s="184">
        <f t="shared" si="441"/>
        <v>111091.16666666669</v>
      </c>
      <c r="DD202" s="184">
        <f t="shared" ref="DD202:DT202" si="442">DD199+DD200-DD201</f>
        <v>0</v>
      </c>
      <c r="DE202" s="184">
        <f t="shared" si="442"/>
        <v>55545.583333333343</v>
      </c>
      <c r="DF202" s="184">
        <f t="shared" si="442"/>
        <v>111091.16666666669</v>
      </c>
      <c r="DG202" s="184">
        <f t="shared" si="442"/>
        <v>0</v>
      </c>
      <c r="DH202" s="184">
        <f t="shared" si="442"/>
        <v>55545.583333333343</v>
      </c>
      <c r="DI202" s="184">
        <f t="shared" si="442"/>
        <v>111091.16666666669</v>
      </c>
      <c r="DJ202" s="184">
        <f t="shared" si="442"/>
        <v>0</v>
      </c>
      <c r="DK202" s="184">
        <f t="shared" si="442"/>
        <v>55545.583333333343</v>
      </c>
      <c r="DL202" s="184">
        <f t="shared" si="442"/>
        <v>111091.16666666669</v>
      </c>
      <c r="DM202" s="184">
        <f t="shared" si="442"/>
        <v>0</v>
      </c>
      <c r="DN202" s="184">
        <f t="shared" si="442"/>
        <v>55545.583333333343</v>
      </c>
      <c r="DO202" s="184">
        <f t="shared" si="442"/>
        <v>111091.16666666669</v>
      </c>
      <c r="DP202" s="184">
        <f t="shared" si="442"/>
        <v>0</v>
      </c>
      <c r="DQ202" s="184">
        <f t="shared" si="442"/>
        <v>55545.583333333343</v>
      </c>
      <c r="DR202" s="184">
        <f t="shared" si="442"/>
        <v>111091.16666666669</v>
      </c>
      <c r="DS202" s="184">
        <f t="shared" si="442"/>
        <v>0</v>
      </c>
      <c r="DT202" s="184">
        <f t="shared" si="442"/>
        <v>55545.583333333343</v>
      </c>
      <c r="DU202" s="184">
        <f t="shared" ref="DU202:EA202" si="443">DU199+DU200-DU201</f>
        <v>111091.16666666669</v>
      </c>
      <c r="DV202" s="184">
        <f t="shared" si="443"/>
        <v>0</v>
      </c>
      <c r="DW202" s="184">
        <f t="shared" si="443"/>
        <v>55545.583333333343</v>
      </c>
      <c r="DX202" s="184">
        <f t="shared" si="443"/>
        <v>111091.16666666669</v>
      </c>
      <c r="DY202" s="184">
        <f t="shared" si="443"/>
        <v>0</v>
      </c>
      <c r="DZ202" s="184">
        <f t="shared" si="443"/>
        <v>55545.583333333343</v>
      </c>
      <c r="EA202" s="184">
        <f t="shared" si="443"/>
        <v>111091.16666666669</v>
      </c>
      <c r="EB202" s="184">
        <f t="shared" ref="EB202:EQ202" si="444">EB199+EB200-EB201</f>
        <v>0</v>
      </c>
      <c r="EC202" s="184">
        <f t="shared" si="444"/>
        <v>0</v>
      </c>
      <c r="ED202" s="1324">
        <f t="shared" si="444"/>
        <v>0</v>
      </c>
      <c r="EE202" s="184">
        <f t="shared" si="444"/>
        <v>0</v>
      </c>
      <c r="EF202" s="184">
        <f t="shared" si="444"/>
        <v>0</v>
      </c>
      <c r="EG202" s="184">
        <f t="shared" si="444"/>
        <v>0</v>
      </c>
      <c r="EH202" s="184">
        <f t="shared" si="444"/>
        <v>0</v>
      </c>
      <c r="EI202" s="184">
        <f t="shared" si="444"/>
        <v>0</v>
      </c>
      <c r="EJ202" s="184">
        <f t="shared" si="444"/>
        <v>0</v>
      </c>
      <c r="EK202" s="184">
        <f t="shared" si="444"/>
        <v>0</v>
      </c>
      <c r="EL202" s="184">
        <f t="shared" si="444"/>
        <v>0</v>
      </c>
      <c r="EM202" s="184">
        <f t="shared" si="444"/>
        <v>0</v>
      </c>
      <c r="EN202" s="184">
        <f t="shared" si="444"/>
        <v>0</v>
      </c>
      <c r="EO202" s="184">
        <f t="shared" si="444"/>
        <v>0</v>
      </c>
      <c r="EP202" s="184">
        <f t="shared" si="444"/>
        <v>0</v>
      </c>
      <c r="EQ202" s="184">
        <f t="shared" si="444"/>
        <v>0</v>
      </c>
    </row>
    <row r="203" spans="3:147" ht="11.25" customHeight="1">
      <c r="C203" s="158" t="s">
        <v>540</v>
      </c>
      <c r="D203" s="159"/>
      <c r="E203" s="159"/>
      <c r="F203" s="159"/>
      <c r="G203" s="159"/>
      <c r="H203" s="160"/>
      <c r="I203" s="219"/>
      <c r="J203" s="161"/>
      <c r="K203" s="98"/>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162"/>
      <c r="AK203" s="162"/>
      <c r="AL203" s="162"/>
      <c r="AM203" s="162"/>
      <c r="AN203" s="162"/>
      <c r="AO203" s="162"/>
      <c r="AP203" s="162"/>
      <c r="AQ203" s="162"/>
      <c r="AR203" s="162"/>
      <c r="AS203" s="162"/>
      <c r="AT203" s="162"/>
      <c r="AU203" s="162"/>
      <c r="AV203" s="162"/>
      <c r="AW203" s="162"/>
      <c r="AX203" s="162"/>
      <c r="AY203" s="162"/>
      <c r="AZ203" s="162"/>
      <c r="BA203" s="162"/>
      <c r="BB203" s="162"/>
      <c r="BC203" s="162"/>
      <c r="BD203" s="162"/>
      <c r="BE203" s="162"/>
      <c r="BF203" s="162"/>
      <c r="BG203" s="162"/>
      <c r="BH203" s="162"/>
      <c r="BI203" s="162"/>
      <c r="BJ203" s="162"/>
      <c r="BK203" s="162"/>
      <c r="BL203" s="162"/>
      <c r="BM203" s="162"/>
      <c r="BN203" s="162"/>
      <c r="BO203" s="162"/>
      <c r="BP203" s="162"/>
      <c r="BQ203" s="162"/>
      <c r="BR203" s="162"/>
      <c r="BS203" s="162"/>
      <c r="BT203" s="162"/>
      <c r="BU203" s="162"/>
      <c r="BV203" s="162"/>
      <c r="BW203" s="162"/>
      <c r="BX203" s="162"/>
      <c r="BY203" s="162"/>
      <c r="BZ203" s="162"/>
      <c r="CA203" s="162"/>
      <c r="CB203" s="162"/>
      <c r="CC203" s="162"/>
      <c r="CD203" s="162"/>
      <c r="CE203" s="162"/>
      <c r="CF203" s="162"/>
      <c r="CG203" s="162"/>
      <c r="CH203" s="162"/>
      <c r="CI203" s="162"/>
      <c r="CJ203" s="162"/>
      <c r="CK203" s="162"/>
      <c r="CL203" s="162"/>
      <c r="CM203" s="162"/>
      <c r="CN203" s="162"/>
      <c r="CO203" s="162"/>
      <c r="CP203" s="162"/>
      <c r="CQ203" s="162"/>
      <c r="CR203" s="162"/>
      <c r="CS203" s="162"/>
      <c r="CT203" s="162"/>
      <c r="CU203" s="162"/>
      <c r="CV203" s="162"/>
      <c r="CW203" s="162"/>
      <c r="CX203" s="162"/>
      <c r="CY203" s="162"/>
      <c r="CZ203" s="162"/>
      <c r="DA203" s="162"/>
      <c r="DB203" s="162"/>
      <c r="DC203" s="162"/>
      <c r="DD203" s="162"/>
      <c r="DE203" s="162"/>
      <c r="DF203" s="162"/>
      <c r="DG203" s="162"/>
      <c r="DH203" s="162"/>
      <c r="DI203" s="162"/>
      <c r="DJ203" s="162"/>
      <c r="DK203" s="162"/>
      <c r="DL203" s="162"/>
      <c r="DM203" s="162"/>
      <c r="DN203" s="162"/>
      <c r="DO203" s="162"/>
      <c r="DP203" s="162"/>
      <c r="DQ203" s="162"/>
      <c r="DR203" s="162"/>
      <c r="DS203" s="162"/>
      <c r="DT203" s="162"/>
      <c r="DU203" s="162"/>
      <c r="DV203" s="162"/>
      <c r="DW203" s="162"/>
      <c r="DX203" s="162"/>
      <c r="DY203" s="162"/>
      <c r="DZ203" s="162"/>
      <c r="EA203" s="162"/>
      <c r="EB203" s="162"/>
      <c r="EC203" s="162"/>
      <c r="ED203" s="1319"/>
      <c r="EE203" s="162"/>
      <c r="EF203" s="162"/>
      <c r="EG203" s="162"/>
      <c r="EH203" s="162"/>
      <c r="EI203" s="162"/>
      <c r="EJ203" s="162"/>
      <c r="EK203" s="162"/>
      <c r="EL203" s="162"/>
      <c r="EM203" s="162"/>
      <c r="EN203" s="162"/>
      <c r="EO203" s="162"/>
      <c r="EP203" s="162"/>
      <c r="EQ203" s="162"/>
    </row>
    <row r="204" spans="3:147" ht="11.25" customHeight="1">
      <c r="C204" s="163"/>
      <c r="D204" s="164" t="s">
        <v>230</v>
      </c>
      <c r="E204" s="165"/>
      <c r="F204" s="165"/>
      <c r="G204" s="165"/>
      <c r="H204" s="166"/>
      <c r="I204" s="221"/>
      <c r="J204" s="167"/>
      <c r="K204" s="98"/>
      <c r="L204" s="168">
        <f>K207</f>
        <v>0</v>
      </c>
      <c r="M204" s="168">
        <f t="shared" ref="M204:BX204" si="445">L207</f>
        <v>0</v>
      </c>
      <c r="N204" s="168">
        <f t="shared" si="445"/>
        <v>1000</v>
      </c>
      <c r="O204" s="168">
        <f t="shared" si="445"/>
        <v>2000</v>
      </c>
      <c r="P204" s="168">
        <f t="shared" si="445"/>
        <v>3000</v>
      </c>
      <c r="Q204" s="168">
        <f t="shared" si="445"/>
        <v>4000</v>
      </c>
      <c r="R204" s="168">
        <f t="shared" si="445"/>
        <v>5000</v>
      </c>
      <c r="S204" s="168">
        <f t="shared" si="445"/>
        <v>0</v>
      </c>
      <c r="T204" s="168">
        <f t="shared" si="445"/>
        <v>1000</v>
      </c>
      <c r="U204" s="168">
        <f t="shared" si="445"/>
        <v>2000</v>
      </c>
      <c r="V204" s="168">
        <f t="shared" si="445"/>
        <v>3000</v>
      </c>
      <c r="W204" s="168">
        <f t="shared" si="445"/>
        <v>4000</v>
      </c>
      <c r="X204" s="168">
        <f t="shared" si="445"/>
        <v>5000</v>
      </c>
      <c r="Y204" s="168">
        <f t="shared" si="445"/>
        <v>0</v>
      </c>
      <c r="Z204" s="168">
        <f t="shared" si="445"/>
        <v>1000</v>
      </c>
      <c r="AA204" s="168">
        <f t="shared" si="445"/>
        <v>2000</v>
      </c>
      <c r="AB204" s="168">
        <f t="shared" si="445"/>
        <v>3000</v>
      </c>
      <c r="AC204" s="168">
        <f t="shared" si="445"/>
        <v>4000</v>
      </c>
      <c r="AD204" s="168">
        <f t="shared" si="445"/>
        <v>5000</v>
      </c>
      <c r="AE204" s="168">
        <f t="shared" si="445"/>
        <v>0</v>
      </c>
      <c r="AF204" s="168">
        <f t="shared" si="445"/>
        <v>1000</v>
      </c>
      <c r="AG204" s="168">
        <f t="shared" si="445"/>
        <v>2000</v>
      </c>
      <c r="AH204" s="168">
        <f t="shared" si="445"/>
        <v>3000</v>
      </c>
      <c r="AI204" s="168">
        <f t="shared" si="445"/>
        <v>4000</v>
      </c>
      <c r="AJ204" s="168">
        <f t="shared" si="445"/>
        <v>5000</v>
      </c>
      <c r="AK204" s="168">
        <f t="shared" si="445"/>
        <v>0</v>
      </c>
      <c r="AL204" s="168">
        <f t="shared" si="445"/>
        <v>1000</v>
      </c>
      <c r="AM204" s="168">
        <f t="shared" si="445"/>
        <v>2000</v>
      </c>
      <c r="AN204" s="168">
        <f t="shared" si="445"/>
        <v>3000</v>
      </c>
      <c r="AO204" s="168">
        <f t="shared" si="445"/>
        <v>4000</v>
      </c>
      <c r="AP204" s="168">
        <f t="shared" si="445"/>
        <v>5000</v>
      </c>
      <c r="AQ204" s="168">
        <f t="shared" si="445"/>
        <v>0</v>
      </c>
      <c r="AR204" s="168">
        <f t="shared" si="445"/>
        <v>1000</v>
      </c>
      <c r="AS204" s="168">
        <f t="shared" si="445"/>
        <v>2000</v>
      </c>
      <c r="AT204" s="168">
        <f t="shared" si="445"/>
        <v>3000</v>
      </c>
      <c r="AU204" s="168">
        <f t="shared" si="445"/>
        <v>4000</v>
      </c>
      <c r="AV204" s="168">
        <f t="shared" si="445"/>
        <v>5000</v>
      </c>
      <c r="AW204" s="168">
        <f t="shared" si="445"/>
        <v>0</v>
      </c>
      <c r="AX204" s="168">
        <f t="shared" si="445"/>
        <v>1000</v>
      </c>
      <c r="AY204" s="168">
        <f t="shared" si="445"/>
        <v>2000</v>
      </c>
      <c r="AZ204" s="168">
        <f t="shared" si="445"/>
        <v>3000</v>
      </c>
      <c r="BA204" s="168">
        <f t="shared" si="445"/>
        <v>4000</v>
      </c>
      <c r="BB204" s="168">
        <f t="shared" si="445"/>
        <v>5000</v>
      </c>
      <c r="BC204" s="168">
        <f t="shared" si="445"/>
        <v>0</v>
      </c>
      <c r="BD204" s="168">
        <f t="shared" si="445"/>
        <v>1000</v>
      </c>
      <c r="BE204" s="168">
        <f t="shared" si="445"/>
        <v>2000</v>
      </c>
      <c r="BF204" s="168">
        <f t="shared" si="445"/>
        <v>3000</v>
      </c>
      <c r="BG204" s="168">
        <f t="shared" si="445"/>
        <v>4000</v>
      </c>
      <c r="BH204" s="168">
        <f t="shared" si="445"/>
        <v>5000</v>
      </c>
      <c r="BI204" s="168">
        <f t="shared" si="445"/>
        <v>0</v>
      </c>
      <c r="BJ204" s="168">
        <f t="shared" si="445"/>
        <v>1000</v>
      </c>
      <c r="BK204" s="168">
        <f t="shared" si="445"/>
        <v>2000</v>
      </c>
      <c r="BL204" s="168">
        <f t="shared" si="445"/>
        <v>3000</v>
      </c>
      <c r="BM204" s="168">
        <f t="shared" si="445"/>
        <v>4000</v>
      </c>
      <c r="BN204" s="168">
        <f t="shared" si="445"/>
        <v>5000</v>
      </c>
      <c r="BO204" s="168">
        <f t="shared" si="445"/>
        <v>0</v>
      </c>
      <c r="BP204" s="168">
        <f t="shared" si="445"/>
        <v>1000</v>
      </c>
      <c r="BQ204" s="168">
        <f t="shared" si="445"/>
        <v>2000</v>
      </c>
      <c r="BR204" s="168">
        <f t="shared" si="445"/>
        <v>3000</v>
      </c>
      <c r="BS204" s="168">
        <f t="shared" si="445"/>
        <v>4000</v>
      </c>
      <c r="BT204" s="168">
        <f t="shared" si="445"/>
        <v>5000</v>
      </c>
      <c r="BU204" s="168">
        <f t="shared" si="445"/>
        <v>0</v>
      </c>
      <c r="BV204" s="168">
        <f t="shared" si="445"/>
        <v>1000</v>
      </c>
      <c r="BW204" s="168">
        <f t="shared" si="445"/>
        <v>2000</v>
      </c>
      <c r="BX204" s="168">
        <f t="shared" si="445"/>
        <v>3000</v>
      </c>
      <c r="BY204" s="168">
        <f t="shared" ref="BY204:DT204" si="446">BX207</f>
        <v>4000</v>
      </c>
      <c r="BZ204" s="168">
        <f t="shared" si="446"/>
        <v>5000</v>
      </c>
      <c r="CA204" s="168">
        <f t="shared" si="446"/>
        <v>0</v>
      </c>
      <c r="CB204" s="168">
        <f t="shared" si="446"/>
        <v>1000</v>
      </c>
      <c r="CC204" s="168">
        <f t="shared" si="446"/>
        <v>2000</v>
      </c>
      <c r="CD204" s="168">
        <f t="shared" si="446"/>
        <v>3000</v>
      </c>
      <c r="CE204" s="168">
        <f t="shared" si="446"/>
        <v>4000</v>
      </c>
      <c r="CF204" s="168">
        <f t="shared" si="446"/>
        <v>5000</v>
      </c>
      <c r="CG204" s="168">
        <f t="shared" si="446"/>
        <v>0</v>
      </c>
      <c r="CH204" s="168">
        <f t="shared" si="446"/>
        <v>1000</v>
      </c>
      <c r="CI204" s="168">
        <f t="shared" si="446"/>
        <v>2000</v>
      </c>
      <c r="CJ204" s="168">
        <f t="shared" si="446"/>
        <v>3000</v>
      </c>
      <c r="CK204" s="168">
        <f t="shared" si="446"/>
        <v>4000</v>
      </c>
      <c r="CL204" s="168">
        <f t="shared" si="446"/>
        <v>5000</v>
      </c>
      <c r="CM204" s="168">
        <f t="shared" si="446"/>
        <v>0</v>
      </c>
      <c r="CN204" s="168">
        <f t="shared" si="446"/>
        <v>1000</v>
      </c>
      <c r="CO204" s="168">
        <f t="shared" si="446"/>
        <v>2000</v>
      </c>
      <c r="CP204" s="168">
        <f t="shared" si="446"/>
        <v>3000</v>
      </c>
      <c r="CQ204" s="168">
        <f t="shared" si="446"/>
        <v>4000</v>
      </c>
      <c r="CR204" s="168">
        <f t="shared" si="446"/>
        <v>5000</v>
      </c>
      <c r="CS204" s="168">
        <f t="shared" si="446"/>
        <v>0</v>
      </c>
      <c r="CT204" s="168">
        <f t="shared" si="446"/>
        <v>1000</v>
      </c>
      <c r="CU204" s="168">
        <f t="shared" si="446"/>
        <v>2000</v>
      </c>
      <c r="CV204" s="168">
        <f t="shared" si="446"/>
        <v>3000</v>
      </c>
      <c r="CW204" s="168">
        <f t="shared" si="446"/>
        <v>4000</v>
      </c>
      <c r="CX204" s="168">
        <f t="shared" si="446"/>
        <v>5000</v>
      </c>
      <c r="CY204" s="168">
        <f t="shared" si="446"/>
        <v>0</v>
      </c>
      <c r="CZ204" s="168">
        <f t="shared" si="446"/>
        <v>1000</v>
      </c>
      <c r="DA204" s="168">
        <f t="shared" si="446"/>
        <v>2000</v>
      </c>
      <c r="DB204" s="168">
        <f t="shared" si="446"/>
        <v>3000</v>
      </c>
      <c r="DC204" s="168">
        <f t="shared" si="446"/>
        <v>4000</v>
      </c>
      <c r="DD204" s="168">
        <f t="shared" si="446"/>
        <v>5000</v>
      </c>
      <c r="DE204" s="168">
        <f t="shared" si="446"/>
        <v>0</v>
      </c>
      <c r="DF204" s="168">
        <f t="shared" si="446"/>
        <v>1000</v>
      </c>
      <c r="DG204" s="168">
        <f t="shared" si="446"/>
        <v>2000</v>
      </c>
      <c r="DH204" s="168">
        <f t="shared" si="446"/>
        <v>3000</v>
      </c>
      <c r="DI204" s="168">
        <f t="shared" si="446"/>
        <v>4000</v>
      </c>
      <c r="DJ204" s="168">
        <f t="shared" si="446"/>
        <v>5000</v>
      </c>
      <c r="DK204" s="168">
        <f t="shared" si="446"/>
        <v>0</v>
      </c>
      <c r="DL204" s="168">
        <f t="shared" si="446"/>
        <v>1000</v>
      </c>
      <c r="DM204" s="168">
        <f t="shared" si="446"/>
        <v>2000</v>
      </c>
      <c r="DN204" s="168">
        <f t="shared" si="446"/>
        <v>3000</v>
      </c>
      <c r="DO204" s="168">
        <f t="shared" si="446"/>
        <v>4000</v>
      </c>
      <c r="DP204" s="168">
        <f t="shared" si="446"/>
        <v>5000</v>
      </c>
      <c r="DQ204" s="168">
        <f t="shared" si="446"/>
        <v>0</v>
      </c>
      <c r="DR204" s="168">
        <f t="shared" si="446"/>
        <v>1000</v>
      </c>
      <c r="DS204" s="168">
        <f t="shared" si="446"/>
        <v>2000</v>
      </c>
      <c r="DT204" s="168">
        <f t="shared" si="446"/>
        <v>3000</v>
      </c>
      <c r="DU204" s="168">
        <f t="shared" ref="DU204:EQ204" si="447">DT207</f>
        <v>4000</v>
      </c>
      <c r="DV204" s="168">
        <f t="shared" si="447"/>
        <v>5000</v>
      </c>
      <c r="DW204" s="168">
        <f t="shared" si="447"/>
        <v>0</v>
      </c>
      <c r="DX204" s="168">
        <f t="shared" si="447"/>
        <v>1000</v>
      </c>
      <c r="DY204" s="168">
        <f t="shared" si="447"/>
        <v>2000</v>
      </c>
      <c r="DZ204" s="168">
        <f t="shared" si="447"/>
        <v>3000</v>
      </c>
      <c r="EA204" s="168">
        <f t="shared" si="447"/>
        <v>4000</v>
      </c>
      <c r="EB204" s="168">
        <f t="shared" si="447"/>
        <v>5000</v>
      </c>
      <c r="EC204" s="168">
        <f t="shared" si="447"/>
        <v>0</v>
      </c>
      <c r="ED204" s="1320">
        <f t="shared" si="447"/>
        <v>0</v>
      </c>
      <c r="EE204" s="168">
        <f t="shared" si="447"/>
        <v>0</v>
      </c>
      <c r="EF204" s="168">
        <f t="shared" si="447"/>
        <v>0</v>
      </c>
      <c r="EG204" s="168">
        <f t="shared" si="447"/>
        <v>0</v>
      </c>
      <c r="EH204" s="168">
        <f t="shared" si="447"/>
        <v>0</v>
      </c>
      <c r="EI204" s="168">
        <f t="shared" si="447"/>
        <v>0</v>
      </c>
      <c r="EJ204" s="168">
        <f t="shared" si="447"/>
        <v>0</v>
      </c>
      <c r="EK204" s="168">
        <f t="shared" si="447"/>
        <v>0</v>
      </c>
      <c r="EL204" s="168">
        <f t="shared" si="447"/>
        <v>0</v>
      </c>
      <c r="EM204" s="168">
        <f t="shared" si="447"/>
        <v>0</v>
      </c>
      <c r="EN204" s="168">
        <f t="shared" si="447"/>
        <v>0</v>
      </c>
      <c r="EO204" s="168">
        <f t="shared" si="447"/>
        <v>0</v>
      </c>
      <c r="EP204" s="168">
        <f t="shared" si="447"/>
        <v>0</v>
      </c>
      <c r="EQ204" s="168">
        <f t="shared" si="447"/>
        <v>0</v>
      </c>
    </row>
    <row r="205" spans="3:147" ht="11.25" customHeight="1">
      <c r="C205" s="163"/>
      <c r="D205" s="169" t="s">
        <v>231</v>
      </c>
      <c r="I205" s="90"/>
      <c r="J205" s="170">
        <f>SUM(L205:EQ205)</f>
        <v>120000</v>
      </c>
      <c r="K205" s="98"/>
      <c r="L205" s="171">
        <f>'IS(M)'!M39</f>
        <v>0</v>
      </c>
      <c r="M205" s="171">
        <f>'IS(M)'!N39</f>
        <v>1000</v>
      </c>
      <c r="N205" s="171">
        <f>'IS(M)'!O39</f>
        <v>1000</v>
      </c>
      <c r="O205" s="171">
        <f>'IS(M)'!P39</f>
        <v>1000</v>
      </c>
      <c r="P205" s="171">
        <f>'IS(M)'!Q39</f>
        <v>1000</v>
      </c>
      <c r="Q205" s="171">
        <f>'IS(M)'!R39</f>
        <v>1000</v>
      </c>
      <c r="R205" s="171">
        <f>'IS(M)'!S39</f>
        <v>1000</v>
      </c>
      <c r="S205" s="171">
        <f>'IS(M)'!T39</f>
        <v>1000</v>
      </c>
      <c r="T205" s="171">
        <f>'IS(M)'!U39</f>
        <v>1000</v>
      </c>
      <c r="U205" s="171">
        <f>'IS(M)'!V39</f>
        <v>1000</v>
      </c>
      <c r="V205" s="171">
        <f>'IS(M)'!W39</f>
        <v>1000</v>
      </c>
      <c r="W205" s="171">
        <f>'IS(M)'!X39</f>
        <v>1000</v>
      </c>
      <c r="X205" s="171">
        <f>'IS(M)'!Y39</f>
        <v>1000</v>
      </c>
      <c r="Y205" s="171">
        <f>'IS(M)'!Z39</f>
        <v>1000</v>
      </c>
      <c r="Z205" s="171">
        <f>'IS(M)'!AA39</f>
        <v>1000</v>
      </c>
      <c r="AA205" s="171">
        <f>'IS(M)'!AB39</f>
        <v>1000</v>
      </c>
      <c r="AB205" s="171">
        <f>'IS(M)'!AC39</f>
        <v>1000</v>
      </c>
      <c r="AC205" s="171">
        <f>'IS(M)'!AD39</f>
        <v>1000</v>
      </c>
      <c r="AD205" s="171">
        <f>'IS(M)'!AE39</f>
        <v>1000</v>
      </c>
      <c r="AE205" s="171">
        <f>'IS(M)'!AF39</f>
        <v>1000</v>
      </c>
      <c r="AF205" s="171">
        <f>'IS(M)'!AG39</f>
        <v>1000</v>
      </c>
      <c r="AG205" s="171">
        <f>'IS(M)'!AH39</f>
        <v>1000</v>
      </c>
      <c r="AH205" s="171">
        <f>'IS(M)'!AI39</f>
        <v>1000</v>
      </c>
      <c r="AI205" s="171">
        <f>'IS(M)'!AJ39</f>
        <v>1000</v>
      </c>
      <c r="AJ205" s="171">
        <f>'IS(M)'!AK39</f>
        <v>1000</v>
      </c>
      <c r="AK205" s="171">
        <f>'IS(M)'!AL39</f>
        <v>1000</v>
      </c>
      <c r="AL205" s="171">
        <f>'IS(M)'!AM39</f>
        <v>1000</v>
      </c>
      <c r="AM205" s="171">
        <f>'IS(M)'!AN39</f>
        <v>1000</v>
      </c>
      <c r="AN205" s="171">
        <f>'IS(M)'!AO39</f>
        <v>1000</v>
      </c>
      <c r="AO205" s="171">
        <f>'IS(M)'!AP39</f>
        <v>1000</v>
      </c>
      <c r="AP205" s="171">
        <f>'IS(M)'!AQ39</f>
        <v>1000</v>
      </c>
      <c r="AQ205" s="171">
        <f>'IS(M)'!AR39</f>
        <v>1000</v>
      </c>
      <c r="AR205" s="171">
        <f>'IS(M)'!AS39</f>
        <v>1000</v>
      </c>
      <c r="AS205" s="171">
        <f>'IS(M)'!AT39</f>
        <v>1000</v>
      </c>
      <c r="AT205" s="171">
        <f>'IS(M)'!AU39</f>
        <v>1000</v>
      </c>
      <c r="AU205" s="171">
        <f>'IS(M)'!AV39</f>
        <v>1000</v>
      </c>
      <c r="AV205" s="171">
        <f>'IS(M)'!AW39</f>
        <v>1000</v>
      </c>
      <c r="AW205" s="171">
        <f>'IS(M)'!AX39</f>
        <v>1000</v>
      </c>
      <c r="AX205" s="171">
        <f>'IS(M)'!AY39</f>
        <v>1000</v>
      </c>
      <c r="AY205" s="171">
        <f>'IS(M)'!AZ39</f>
        <v>1000</v>
      </c>
      <c r="AZ205" s="171">
        <f>'IS(M)'!BA39</f>
        <v>1000</v>
      </c>
      <c r="BA205" s="171">
        <f>'IS(M)'!BB39</f>
        <v>1000</v>
      </c>
      <c r="BB205" s="171">
        <f>'IS(M)'!BC39</f>
        <v>1000</v>
      </c>
      <c r="BC205" s="171">
        <f>'IS(M)'!BD39</f>
        <v>1000</v>
      </c>
      <c r="BD205" s="171">
        <f>'IS(M)'!BE39</f>
        <v>1000</v>
      </c>
      <c r="BE205" s="171">
        <f>'IS(M)'!BF39</f>
        <v>1000</v>
      </c>
      <c r="BF205" s="171">
        <f>'IS(M)'!BG39</f>
        <v>1000</v>
      </c>
      <c r="BG205" s="171">
        <f>'IS(M)'!BH39</f>
        <v>1000</v>
      </c>
      <c r="BH205" s="171">
        <f>'IS(M)'!BI39</f>
        <v>1000</v>
      </c>
      <c r="BI205" s="171">
        <f>'IS(M)'!BJ39</f>
        <v>1000</v>
      </c>
      <c r="BJ205" s="171">
        <f>'IS(M)'!BK39</f>
        <v>1000</v>
      </c>
      <c r="BK205" s="171">
        <f>'IS(M)'!BL39</f>
        <v>1000</v>
      </c>
      <c r="BL205" s="171">
        <f>'IS(M)'!BM39</f>
        <v>1000</v>
      </c>
      <c r="BM205" s="171">
        <f>'IS(M)'!BN39</f>
        <v>1000</v>
      </c>
      <c r="BN205" s="171">
        <f>'IS(M)'!BO39</f>
        <v>1000</v>
      </c>
      <c r="BO205" s="171">
        <f>'IS(M)'!BP39</f>
        <v>1000</v>
      </c>
      <c r="BP205" s="171">
        <f>'IS(M)'!BQ39</f>
        <v>1000</v>
      </c>
      <c r="BQ205" s="171">
        <f>'IS(M)'!BR39</f>
        <v>1000</v>
      </c>
      <c r="BR205" s="171">
        <f>'IS(M)'!BS39</f>
        <v>1000</v>
      </c>
      <c r="BS205" s="171">
        <f>'IS(M)'!BT39</f>
        <v>1000</v>
      </c>
      <c r="BT205" s="171">
        <f>'IS(M)'!BU39</f>
        <v>1000</v>
      </c>
      <c r="BU205" s="171">
        <f>'IS(M)'!BV39</f>
        <v>1000</v>
      </c>
      <c r="BV205" s="171">
        <f>'IS(M)'!BW39</f>
        <v>1000</v>
      </c>
      <c r="BW205" s="171">
        <f>'IS(M)'!BX39</f>
        <v>1000</v>
      </c>
      <c r="BX205" s="171">
        <f>'IS(M)'!BY39</f>
        <v>1000</v>
      </c>
      <c r="BY205" s="171">
        <f>'IS(M)'!BZ39</f>
        <v>1000</v>
      </c>
      <c r="BZ205" s="171">
        <f>'IS(M)'!CA39</f>
        <v>1000</v>
      </c>
      <c r="CA205" s="171">
        <f>'IS(M)'!CB39</f>
        <v>1000</v>
      </c>
      <c r="CB205" s="171">
        <f>'IS(M)'!CC39</f>
        <v>1000</v>
      </c>
      <c r="CC205" s="171">
        <f>'IS(M)'!CD39</f>
        <v>1000</v>
      </c>
      <c r="CD205" s="171">
        <f>'IS(M)'!CE39</f>
        <v>1000</v>
      </c>
      <c r="CE205" s="171">
        <f>'IS(M)'!CF39</f>
        <v>1000</v>
      </c>
      <c r="CF205" s="171">
        <f>'IS(M)'!CG39</f>
        <v>1000</v>
      </c>
      <c r="CG205" s="171">
        <f>'IS(M)'!CH39</f>
        <v>1000</v>
      </c>
      <c r="CH205" s="171">
        <f>'IS(M)'!CI39</f>
        <v>1000</v>
      </c>
      <c r="CI205" s="171">
        <f>'IS(M)'!CJ39</f>
        <v>1000</v>
      </c>
      <c r="CJ205" s="171">
        <f>'IS(M)'!CK39</f>
        <v>1000</v>
      </c>
      <c r="CK205" s="171">
        <f>'IS(M)'!CL39</f>
        <v>1000</v>
      </c>
      <c r="CL205" s="171">
        <f>'IS(M)'!CM39</f>
        <v>1000</v>
      </c>
      <c r="CM205" s="171">
        <f>'IS(M)'!CN39</f>
        <v>1000</v>
      </c>
      <c r="CN205" s="171">
        <f>'IS(M)'!CO39</f>
        <v>1000</v>
      </c>
      <c r="CO205" s="171">
        <f>'IS(M)'!CP39</f>
        <v>1000</v>
      </c>
      <c r="CP205" s="171">
        <f>'IS(M)'!CQ39</f>
        <v>1000</v>
      </c>
      <c r="CQ205" s="171">
        <f>'IS(M)'!CR39</f>
        <v>1000</v>
      </c>
      <c r="CR205" s="171">
        <f>'IS(M)'!CS39</f>
        <v>1000</v>
      </c>
      <c r="CS205" s="171">
        <f>'IS(M)'!CT39</f>
        <v>1000</v>
      </c>
      <c r="CT205" s="171">
        <f>'IS(M)'!CU39</f>
        <v>1000</v>
      </c>
      <c r="CU205" s="171">
        <f>'IS(M)'!CV39</f>
        <v>1000</v>
      </c>
      <c r="CV205" s="171">
        <f>'IS(M)'!CW39</f>
        <v>1000</v>
      </c>
      <c r="CW205" s="171">
        <f>'IS(M)'!CX39</f>
        <v>1000</v>
      </c>
      <c r="CX205" s="171">
        <f>'IS(M)'!CY39</f>
        <v>1000</v>
      </c>
      <c r="CY205" s="171">
        <f>'IS(M)'!CZ39</f>
        <v>1000</v>
      </c>
      <c r="CZ205" s="171">
        <f>'IS(M)'!DA39</f>
        <v>1000</v>
      </c>
      <c r="DA205" s="171">
        <f>'IS(M)'!DB39</f>
        <v>1000</v>
      </c>
      <c r="DB205" s="171">
        <f>'IS(M)'!DC39</f>
        <v>1000</v>
      </c>
      <c r="DC205" s="171">
        <f>'IS(M)'!DD39</f>
        <v>1000</v>
      </c>
      <c r="DD205" s="171">
        <f>'IS(M)'!DE39</f>
        <v>1000</v>
      </c>
      <c r="DE205" s="171">
        <f>'IS(M)'!DF39</f>
        <v>1000</v>
      </c>
      <c r="DF205" s="171">
        <f>'IS(M)'!DG39</f>
        <v>1000</v>
      </c>
      <c r="DG205" s="171">
        <f>'IS(M)'!DH39</f>
        <v>1000</v>
      </c>
      <c r="DH205" s="171">
        <f>'IS(M)'!DI39</f>
        <v>1000</v>
      </c>
      <c r="DI205" s="171">
        <f>'IS(M)'!DJ39</f>
        <v>1000</v>
      </c>
      <c r="DJ205" s="171">
        <f>'IS(M)'!DK39</f>
        <v>1000</v>
      </c>
      <c r="DK205" s="171">
        <f>'IS(M)'!DL39</f>
        <v>1000</v>
      </c>
      <c r="DL205" s="171">
        <f>'IS(M)'!DM39</f>
        <v>1000</v>
      </c>
      <c r="DM205" s="171">
        <f>'IS(M)'!DN39</f>
        <v>1000</v>
      </c>
      <c r="DN205" s="171">
        <f>'IS(M)'!DO39</f>
        <v>1000</v>
      </c>
      <c r="DO205" s="171">
        <f>'IS(M)'!DP39</f>
        <v>1000</v>
      </c>
      <c r="DP205" s="171">
        <f>'IS(M)'!DQ39</f>
        <v>1000</v>
      </c>
      <c r="DQ205" s="171">
        <f>'IS(M)'!DR39</f>
        <v>1000</v>
      </c>
      <c r="DR205" s="171">
        <f>'IS(M)'!DS39</f>
        <v>1000</v>
      </c>
      <c r="DS205" s="171">
        <f>'IS(M)'!DT39</f>
        <v>1000</v>
      </c>
      <c r="DT205" s="171">
        <f>'IS(M)'!DU39</f>
        <v>1000</v>
      </c>
      <c r="DU205" s="171">
        <f>'IS(M)'!DV39</f>
        <v>1000</v>
      </c>
      <c r="DV205" s="171">
        <f>'IS(M)'!DW39</f>
        <v>1000</v>
      </c>
      <c r="DW205" s="171">
        <f>'IS(M)'!DX39</f>
        <v>1000</v>
      </c>
      <c r="DX205" s="171">
        <f>'IS(M)'!DY39</f>
        <v>1000</v>
      </c>
      <c r="DY205" s="171">
        <f>'IS(M)'!DZ39</f>
        <v>1000</v>
      </c>
      <c r="DZ205" s="171">
        <f>'IS(M)'!EA39</f>
        <v>1000</v>
      </c>
      <c r="EA205" s="171">
        <f>'IS(M)'!EB39</f>
        <v>1000</v>
      </c>
      <c r="EB205" s="171">
        <f>'IS(M)'!EC39</f>
        <v>1000</v>
      </c>
      <c r="EC205" s="171">
        <f>'IS(M)'!ED39</f>
        <v>0</v>
      </c>
      <c r="ED205" s="1321">
        <f>'IS(M)'!EE39</f>
        <v>0</v>
      </c>
      <c r="EE205" s="171">
        <f>'IS(M)'!EF39</f>
        <v>0</v>
      </c>
      <c r="EF205" s="171">
        <f>'IS(M)'!EG39</f>
        <v>0</v>
      </c>
      <c r="EG205" s="171">
        <f>'IS(M)'!EH39</f>
        <v>0</v>
      </c>
      <c r="EH205" s="171">
        <f>'IS(M)'!EI39</f>
        <v>0</v>
      </c>
      <c r="EI205" s="171">
        <f>'IS(M)'!EJ39</f>
        <v>0</v>
      </c>
      <c r="EJ205" s="171">
        <f>'IS(M)'!EK39</f>
        <v>0</v>
      </c>
      <c r="EK205" s="171">
        <f>'IS(M)'!EL39</f>
        <v>0</v>
      </c>
      <c r="EL205" s="171">
        <f>'IS(M)'!EM39</f>
        <v>0</v>
      </c>
      <c r="EM205" s="171">
        <f>'IS(M)'!EN39</f>
        <v>0</v>
      </c>
      <c r="EN205" s="171">
        <f>'IS(M)'!EO39</f>
        <v>0</v>
      </c>
      <c r="EO205" s="171">
        <f>'IS(M)'!EP39</f>
        <v>0</v>
      </c>
      <c r="EP205" s="171">
        <f>'IS(M)'!EQ39</f>
        <v>0</v>
      </c>
      <c r="EQ205" s="171">
        <f>'IS(M)'!ER39</f>
        <v>0</v>
      </c>
    </row>
    <row r="206" spans="3:147" ht="11.25" customHeight="1">
      <c r="C206" s="163"/>
      <c r="D206" s="169" t="s">
        <v>232</v>
      </c>
      <c r="I206" s="248"/>
      <c r="J206" s="170">
        <f>SUM(L206:EQ206)</f>
        <v>120000</v>
      </c>
      <c r="K206" s="98"/>
      <c r="L206" s="171">
        <f>SUM(L204:L205)*Index!L$48</f>
        <v>0</v>
      </c>
      <c r="M206" s="171">
        <f>SUM(M204:M205)*Index!M$48</f>
        <v>0</v>
      </c>
      <c r="N206" s="171">
        <f>SUM(N204:N205)*Index!N$48</f>
        <v>0</v>
      </c>
      <c r="O206" s="171">
        <f>SUM(O204:O205)*Index!O$48</f>
        <v>0</v>
      </c>
      <c r="P206" s="171">
        <f>SUM(P204:P205)*Index!P$48</f>
        <v>0</v>
      </c>
      <c r="Q206" s="171">
        <f>SUM(Q204:Q205)*Index!Q$48</f>
        <v>0</v>
      </c>
      <c r="R206" s="171">
        <f>SUM(R204:R205)*Index!R$48</f>
        <v>6000</v>
      </c>
      <c r="S206" s="171">
        <f>SUM(S204:S205)*Index!S$48</f>
        <v>0</v>
      </c>
      <c r="T206" s="171">
        <f>SUM(T204:T205)*Index!T$48</f>
        <v>0</v>
      </c>
      <c r="U206" s="171">
        <f>SUM(U204:U205)*Index!U$48</f>
        <v>0</v>
      </c>
      <c r="V206" s="171">
        <f>SUM(V204:V205)*Index!V$48</f>
        <v>0</v>
      </c>
      <c r="W206" s="171">
        <f>SUM(W204:W205)*Index!W$48</f>
        <v>0</v>
      </c>
      <c r="X206" s="171">
        <f>SUM(X204:X205)*Index!X$48</f>
        <v>6000</v>
      </c>
      <c r="Y206" s="171">
        <f>SUM(Y204:Y205)*Index!Y$48</f>
        <v>0</v>
      </c>
      <c r="Z206" s="171">
        <f>SUM(Z204:Z205)*Index!Z$48</f>
        <v>0</v>
      </c>
      <c r="AA206" s="171">
        <f>SUM(AA204:AA205)*Index!AA$48</f>
        <v>0</v>
      </c>
      <c r="AB206" s="171">
        <f>SUM(AB204:AB205)*Index!AB$48</f>
        <v>0</v>
      </c>
      <c r="AC206" s="171">
        <f>SUM(AC204:AC205)*Index!AC$48</f>
        <v>0</v>
      </c>
      <c r="AD206" s="171">
        <f>SUM(AD204:AD205)*Index!AD$48</f>
        <v>6000</v>
      </c>
      <c r="AE206" s="171">
        <f>SUM(AE204:AE205)*Index!AE$48</f>
        <v>0</v>
      </c>
      <c r="AF206" s="171">
        <f>SUM(AF204:AF205)*Index!AF$48</f>
        <v>0</v>
      </c>
      <c r="AG206" s="171">
        <f>SUM(AG204:AG205)*Index!AG$48</f>
        <v>0</v>
      </c>
      <c r="AH206" s="171">
        <f>SUM(AH204:AH205)*Index!AH$48</f>
        <v>0</v>
      </c>
      <c r="AI206" s="171">
        <f>SUM(AI204:AI205)*Index!AI$48</f>
        <v>0</v>
      </c>
      <c r="AJ206" s="171">
        <f>SUM(AJ204:AJ205)*Index!AJ$48</f>
        <v>6000</v>
      </c>
      <c r="AK206" s="171">
        <f>SUM(AK204:AK205)*Index!AK$48</f>
        <v>0</v>
      </c>
      <c r="AL206" s="171">
        <f>SUM(AL204:AL205)*Index!AL$48</f>
        <v>0</v>
      </c>
      <c r="AM206" s="171">
        <f>SUM(AM204:AM205)*Index!AM$48</f>
        <v>0</v>
      </c>
      <c r="AN206" s="171">
        <f>SUM(AN204:AN205)*Index!AN$48</f>
        <v>0</v>
      </c>
      <c r="AO206" s="171">
        <f>SUM(AO204:AO205)*Index!AO$48</f>
        <v>0</v>
      </c>
      <c r="AP206" s="171">
        <f>SUM(AP204:AP205)*Index!AP$48</f>
        <v>6000</v>
      </c>
      <c r="AQ206" s="171">
        <f>SUM(AQ204:AQ205)*Index!AQ$48</f>
        <v>0</v>
      </c>
      <c r="AR206" s="171">
        <f>SUM(AR204:AR205)*Index!AR$48</f>
        <v>0</v>
      </c>
      <c r="AS206" s="171">
        <f>SUM(AS204:AS205)*Index!AS$48</f>
        <v>0</v>
      </c>
      <c r="AT206" s="171">
        <f>SUM(AT204:AT205)*Index!AT$48</f>
        <v>0</v>
      </c>
      <c r="AU206" s="171">
        <f>SUM(AU204:AU205)*Index!AU$48</f>
        <v>0</v>
      </c>
      <c r="AV206" s="171">
        <f>SUM(AV204:AV205)*Index!AV$48</f>
        <v>6000</v>
      </c>
      <c r="AW206" s="171">
        <f>SUM(AW204:AW205)*Index!AW$48</f>
        <v>0</v>
      </c>
      <c r="AX206" s="171">
        <f>SUM(AX204:AX205)*Index!AX$48</f>
        <v>0</v>
      </c>
      <c r="AY206" s="171">
        <f>SUM(AY204:AY205)*Index!AY$48</f>
        <v>0</v>
      </c>
      <c r="AZ206" s="171">
        <f>SUM(AZ204:AZ205)*Index!AZ$48</f>
        <v>0</v>
      </c>
      <c r="BA206" s="171">
        <f>SUM(BA204:BA205)*Index!BA$48</f>
        <v>0</v>
      </c>
      <c r="BB206" s="171">
        <f>SUM(BB204:BB205)*Index!BB$48</f>
        <v>6000</v>
      </c>
      <c r="BC206" s="171">
        <f>SUM(BC204:BC205)*Index!BC$48</f>
        <v>0</v>
      </c>
      <c r="BD206" s="171">
        <f>SUM(BD204:BD205)*Index!BD$48</f>
        <v>0</v>
      </c>
      <c r="BE206" s="171">
        <f>SUM(BE204:BE205)*Index!BE$48</f>
        <v>0</v>
      </c>
      <c r="BF206" s="171">
        <f>SUM(BF204:BF205)*Index!BF$48</f>
        <v>0</v>
      </c>
      <c r="BG206" s="171">
        <f>SUM(BG204:BG205)*Index!BG$48</f>
        <v>0</v>
      </c>
      <c r="BH206" s="171">
        <f>SUM(BH204:BH205)*Index!BH$48</f>
        <v>6000</v>
      </c>
      <c r="BI206" s="171">
        <f>SUM(BI204:BI205)*Index!BI$48</f>
        <v>0</v>
      </c>
      <c r="BJ206" s="171">
        <f>SUM(BJ204:BJ205)*Index!BJ$48</f>
        <v>0</v>
      </c>
      <c r="BK206" s="171">
        <f>SUM(BK204:BK205)*Index!BK$48</f>
        <v>0</v>
      </c>
      <c r="BL206" s="171">
        <f>SUM(BL204:BL205)*Index!BL$48</f>
        <v>0</v>
      </c>
      <c r="BM206" s="171">
        <f>SUM(BM204:BM205)*Index!BM$48</f>
        <v>0</v>
      </c>
      <c r="BN206" s="171">
        <f>SUM(BN204:BN205)*Index!BN$48</f>
        <v>6000</v>
      </c>
      <c r="BO206" s="171">
        <f>SUM(BO204:BO205)*Index!BO$48</f>
        <v>0</v>
      </c>
      <c r="BP206" s="171">
        <f>SUM(BP204:BP205)*Index!BP$48</f>
        <v>0</v>
      </c>
      <c r="BQ206" s="171">
        <f>SUM(BQ204:BQ205)*Index!BQ$48</f>
        <v>0</v>
      </c>
      <c r="BR206" s="171">
        <f>SUM(BR204:BR205)*Index!BR$48</f>
        <v>0</v>
      </c>
      <c r="BS206" s="171">
        <f>SUM(BS204:BS205)*Index!BS$48</f>
        <v>0</v>
      </c>
      <c r="BT206" s="171">
        <f>SUM(BT204:BT205)*Index!BT$48</f>
        <v>6000</v>
      </c>
      <c r="BU206" s="171">
        <f>SUM(BU204:BU205)*Index!BU$48</f>
        <v>0</v>
      </c>
      <c r="BV206" s="171">
        <f>SUM(BV204:BV205)*Index!BV$48</f>
        <v>0</v>
      </c>
      <c r="BW206" s="171">
        <f>SUM(BW204:BW205)*Index!BW$48</f>
        <v>0</v>
      </c>
      <c r="BX206" s="171">
        <f>SUM(BX204:BX205)*Index!BX$48</f>
        <v>0</v>
      </c>
      <c r="BY206" s="171">
        <f>SUM(BY204:BY205)*Index!BY$48</f>
        <v>0</v>
      </c>
      <c r="BZ206" s="171">
        <f>SUM(BZ204:BZ205)*Index!BZ$48</f>
        <v>6000</v>
      </c>
      <c r="CA206" s="171">
        <f>SUM(CA204:CA205)*Index!CA$48</f>
        <v>0</v>
      </c>
      <c r="CB206" s="171">
        <f>SUM(CB204:CB205)*Index!CB$48</f>
        <v>0</v>
      </c>
      <c r="CC206" s="171">
        <f>SUM(CC204:CC205)*Index!CC$48</f>
        <v>0</v>
      </c>
      <c r="CD206" s="171">
        <f>SUM(CD204:CD205)*Index!CD$48</f>
        <v>0</v>
      </c>
      <c r="CE206" s="171">
        <f>SUM(CE204:CE205)*Index!CE$48</f>
        <v>0</v>
      </c>
      <c r="CF206" s="171">
        <f>SUM(CF204:CF205)*Index!CF$48</f>
        <v>6000</v>
      </c>
      <c r="CG206" s="171">
        <f>SUM(CG204:CG205)*Index!CG$48</f>
        <v>0</v>
      </c>
      <c r="CH206" s="171">
        <f>SUM(CH204:CH205)*Index!CH$48</f>
        <v>0</v>
      </c>
      <c r="CI206" s="171">
        <f>SUM(CI204:CI205)*Index!CI$48</f>
        <v>0</v>
      </c>
      <c r="CJ206" s="171">
        <f>SUM(CJ204:CJ205)*Index!CJ$48</f>
        <v>0</v>
      </c>
      <c r="CK206" s="171">
        <f>SUM(CK204:CK205)*Index!CK$48</f>
        <v>0</v>
      </c>
      <c r="CL206" s="171">
        <f>SUM(CL204:CL205)*Index!CL$48</f>
        <v>6000</v>
      </c>
      <c r="CM206" s="171">
        <f>SUM(CM204:CM205)*Index!CM$48</f>
        <v>0</v>
      </c>
      <c r="CN206" s="171">
        <f>SUM(CN204:CN205)*Index!CN$48</f>
        <v>0</v>
      </c>
      <c r="CO206" s="171">
        <f>SUM(CO204:CO205)*Index!CO$48</f>
        <v>0</v>
      </c>
      <c r="CP206" s="171">
        <f>SUM(CP204:CP205)*Index!CP$48</f>
        <v>0</v>
      </c>
      <c r="CQ206" s="171">
        <f>SUM(CQ204:CQ205)*Index!CQ$48</f>
        <v>0</v>
      </c>
      <c r="CR206" s="171">
        <f>SUM(CR204:CR205)*Index!CR$48</f>
        <v>6000</v>
      </c>
      <c r="CS206" s="171">
        <f>SUM(CS204:CS205)*Index!CS$48</f>
        <v>0</v>
      </c>
      <c r="CT206" s="171">
        <f>SUM(CT204:CT205)*Index!CT$48</f>
        <v>0</v>
      </c>
      <c r="CU206" s="171">
        <f>SUM(CU204:CU205)*Index!CU$48</f>
        <v>0</v>
      </c>
      <c r="CV206" s="171">
        <f>SUM(CV204:CV205)*Index!CV$48</f>
        <v>0</v>
      </c>
      <c r="CW206" s="171">
        <f>SUM(CW204:CW205)*Index!CW$48</f>
        <v>0</v>
      </c>
      <c r="CX206" s="171">
        <f>SUM(CX204:CX205)*Index!CX$48</f>
        <v>6000</v>
      </c>
      <c r="CY206" s="171">
        <f>SUM(CY204:CY205)*Index!CY$48</f>
        <v>0</v>
      </c>
      <c r="CZ206" s="171">
        <f>SUM(CZ204:CZ205)*Index!CZ$48</f>
        <v>0</v>
      </c>
      <c r="DA206" s="171">
        <f>SUM(DA204:DA205)*Index!DA$48</f>
        <v>0</v>
      </c>
      <c r="DB206" s="171">
        <f>SUM(DB204:DB205)*Index!DB$48</f>
        <v>0</v>
      </c>
      <c r="DC206" s="171">
        <f>SUM(DC204:DC205)*Index!DC$48</f>
        <v>0</v>
      </c>
      <c r="DD206" s="171">
        <f>SUM(DD204:DD205)*Index!DD$48</f>
        <v>6000</v>
      </c>
      <c r="DE206" s="171">
        <f>SUM(DE204:DE205)*Index!DE$48</f>
        <v>0</v>
      </c>
      <c r="DF206" s="171">
        <f>SUM(DF204:DF205)*Index!DF$48</f>
        <v>0</v>
      </c>
      <c r="DG206" s="171">
        <f>SUM(DG204:DG205)*Index!DG$48</f>
        <v>0</v>
      </c>
      <c r="DH206" s="171">
        <f>SUM(DH204:DH205)*Index!DH$48</f>
        <v>0</v>
      </c>
      <c r="DI206" s="171">
        <f>SUM(DI204:DI205)*Index!DI$48</f>
        <v>0</v>
      </c>
      <c r="DJ206" s="171">
        <f>SUM(DJ204:DJ205)*Index!DJ$48</f>
        <v>6000</v>
      </c>
      <c r="DK206" s="171">
        <f>SUM(DK204:DK205)*Index!DK$48</f>
        <v>0</v>
      </c>
      <c r="DL206" s="171">
        <f>SUM(DL204:DL205)*Index!DL$48</f>
        <v>0</v>
      </c>
      <c r="DM206" s="171">
        <f>SUM(DM204:DM205)*Index!DM$48</f>
        <v>0</v>
      </c>
      <c r="DN206" s="171">
        <f>SUM(DN204:DN205)*Index!DN$48</f>
        <v>0</v>
      </c>
      <c r="DO206" s="171">
        <f>SUM(DO204:DO205)*Index!DO$48</f>
        <v>0</v>
      </c>
      <c r="DP206" s="171">
        <f>SUM(DP204:DP205)*Index!DP$48</f>
        <v>6000</v>
      </c>
      <c r="DQ206" s="171">
        <f>SUM(DQ204:DQ205)*Index!DQ$48</f>
        <v>0</v>
      </c>
      <c r="DR206" s="171">
        <f>SUM(DR204:DR205)*Index!DR$48</f>
        <v>0</v>
      </c>
      <c r="DS206" s="171">
        <f>SUM(DS204:DS205)*Index!DS$48</f>
        <v>0</v>
      </c>
      <c r="DT206" s="171">
        <f>SUM(DT204:DT205)*Index!DT$48</f>
        <v>0</v>
      </c>
      <c r="DU206" s="171">
        <f>SUM(DU204:DU205)*Index!DU$48</f>
        <v>0</v>
      </c>
      <c r="DV206" s="171">
        <f>SUM(DV204:DV205)*Index!DV$48</f>
        <v>6000</v>
      </c>
      <c r="DW206" s="171">
        <f>SUM(DW204:DW205)*Index!DW$48</f>
        <v>0</v>
      </c>
      <c r="DX206" s="171">
        <f>SUM(DX204:DX205)*Index!DX$48</f>
        <v>0</v>
      </c>
      <c r="DY206" s="171">
        <f>SUM(DY204:DY205)*Index!DY$48</f>
        <v>0</v>
      </c>
      <c r="DZ206" s="171">
        <f>SUM(DZ204:DZ205)*Index!DZ$48</f>
        <v>0</v>
      </c>
      <c r="EA206" s="171">
        <f>SUM(EA204:EA205)*Index!EA$48</f>
        <v>0</v>
      </c>
      <c r="EB206" s="171">
        <f>SUM(EB204:EB205)*Index!EB$48</f>
        <v>6000</v>
      </c>
      <c r="EC206" s="171">
        <f>SUM(EC204:EC205)*Index!EC$48</f>
        <v>0</v>
      </c>
      <c r="ED206" s="1321">
        <f>SUM(ED204:ED205)*Index!ED$48</f>
        <v>0</v>
      </c>
      <c r="EE206" s="171">
        <f>SUM(EE204:EE205)*Index!EE$48</f>
        <v>0</v>
      </c>
      <c r="EF206" s="171">
        <f>SUM(EF204:EF205)*Index!EF$48</f>
        <v>0</v>
      </c>
      <c r="EG206" s="171">
        <f>SUM(EG204:EG205)*Index!EG$48</f>
        <v>0</v>
      </c>
      <c r="EH206" s="171">
        <f>SUM(EH204:EH205)*Index!EH$48</f>
        <v>0</v>
      </c>
      <c r="EI206" s="171">
        <f>SUM(EI204:EI205)*Index!EI$48</f>
        <v>0</v>
      </c>
      <c r="EJ206" s="171">
        <f>SUM(EJ204:EJ205)*Index!EJ$48</f>
        <v>0</v>
      </c>
      <c r="EK206" s="171">
        <f>SUM(EK204:EK205)*Index!EK$48</f>
        <v>0</v>
      </c>
      <c r="EL206" s="171">
        <f>SUM(EL204:EL205)*Index!EL$48</f>
        <v>0</v>
      </c>
      <c r="EM206" s="171">
        <f>SUM(EM204:EM205)*Index!EM$48</f>
        <v>0</v>
      </c>
      <c r="EN206" s="171">
        <f>SUM(EN204:EN205)*Index!EN$48</f>
        <v>0</v>
      </c>
      <c r="EO206" s="171">
        <f>SUM(EO204:EO205)*Index!EO$48</f>
        <v>0</v>
      </c>
      <c r="EP206" s="171">
        <f>SUM(EP204:EP205)*Index!EP$48</f>
        <v>0</v>
      </c>
      <c r="EQ206" s="171">
        <f>SUM(EQ204:EQ205)*Index!EQ$48</f>
        <v>0</v>
      </c>
    </row>
    <row r="207" spans="3:147" ht="11.25" customHeight="1">
      <c r="C207" s="178"/>
      <c r="D207" s="179" t="s">
        <v>233</v>
      </c>
      <c r="E207" s="180"/>
      <c r="F207" s="180"/>
      <c r="G207" s="180"/>
      <c r="H207" s="181"/>
      <c r="I207" s="863"/>
      <c r="J207" s="183"/>
      <c r="K207" s="98"/>
      <c r="L207" s="184">
        <f t="shared" ref="L207:AQ207" si="448">L204+L205-L206</f>
        <v>0</v>
      </c>
      <c r="M207" s="184">
        <f t="shared" si="448"/>
        <v>1000</v>
      </c>
      <c r="N207" s="184">
        <f t="shared" si="448"/>
        <v>2000</v>
      </c>
      <c r="O207" s="184">
        <f t="shared" si="448"/>
        <v>3000</v>
      </c>
      <c r="P207" s="184">
        <f t="shared" si="448"/>
        <v>4000</v>
      </c>
      <c r="Q207" s="184">
        <f t="shared" si="448"/>
        <v>5000</v>
      </c>
      <c r="R207" s="184">
        <f t="shared" si="448"/>
        <v>0</v>
      </c>
      <c r="S207" s="184">
        <f t="shared" si="448"/>
        <v>1000</v>
      </c>
      <c r="T207" s="184">
        <f t="shared" si="448"/>
        <v>2000</v>
      </c>
      <c r="U207" s="184">
        <f t="shared" si="448"/>
        <v>3000</v>
      </c>
      <c r="V207" s="184">
        <f t="shared" si="448"/>
        <v>4000</v>
      </c>
      <c r="W207" s="184">
        <f t="shared" si="448"/>
        <v>5000</v>
      </c>
      <c r="X207" s="184">
        <f t="shared" si="448"/>
        <v>0</v>
      </c>
      <c r="Y207" s="184">
        <f t="shared" si="448"/>
        <v>1000</v>
      </c>
      <c r="Z207" s="184">
        <f t="shared" si="448"/>
        <v>2000</v>
      </c>
      <c r="AA207" s="184">
        <f t="shared" si="448"/>
        <v>3000</v>
      </c>
      <c r="AB207" s="184">
        <f t="shared" si="448"/>
        <v>4000</v>
      </c>
      <c r="AC207" s="184">
        <f t="shared" si="448"/>
        <v>5000</v>
      </c>
      <c r="AD207" s="184">
        <f t="shared" si="448"/>
        <v>0</v>
      </c>
      <c r="AE207" s="184">
        <f t="shared" si="448"/>
        <v>1000</v>
      </c>
      <c r="AF207" s="184">
        <f t="shared" si="448"/>
        <v>2000</v>
      </c>
      <c r="AG207" s="184">
        <f t="shared" si="448"/>
        <v>3000</v>
      </c>
      <c r="AH207" s="184">
        <f t="shared" si="448"/>
        <v>4000</v>
      </c>
      <c r="AI207" s="184">
        <f t="shared" si="448"/>
        <v>5000</v>
      </c>
      <c r="AJ207" s="184">
        <f t="shared" si="448"/>
        <v>0</v>
      </c>
      <c r="AK207" s="184">
        <f t="shared" si="448"/>
        <v>1000</v>
      </c>
      <c r="AL207" s="184">
        <f t="shared" si="448"/>
        <v>2000</v>
      </c>
      <c r="AM207" s="184">
        <f t="shared" si="448"/>
        <v>3000</v>
      </c>
      <c r="AN207" s="184">
        <f t="shared" si="448"/>
        <v>4000</v>
      </c>
      <c r="AO207" s="184">
        <f t="shared" si="448"/>
        <v>5000</v>
      </c>
      <c r="AP207" s="184">
        <f t="shared" si="448"/>
        <v>0</v>
      </c>
      <c r="AQ207" s="184">
        <f t="shared" si="448"/>
        <v>1000</v>
      </c>
      <c r="AR207" s="184">
        <f t="shared" ref="AR207:BW207" si="449">AR204+AR205-AR206</f>
        <v>2000</v>
      </c>
      <c r="AS207" s="184">
        <f t="shared" si="449"/>
        <v>3000</v>
      </c>
      <c r="AT207" s="184">
        <f t="shared" si="449"/>
        <v>4000</v>
      </c>
      <c r="AU207" s="184">
        <f t="shared" si="449"/>
        <v>5000</v>
      </c>
      <c r="AV207" s="184">
        <f t="shared" si="449"/>
        <v>0</v>
      </c>
      <c r="AW207" s="184">
        <f t="shared" si="449"/>
        <v>1000</v>
      </c>
      <c r="AX207" s="184">
        <f t="shared" si="449"/>
        <v>2000</v>
      </c>
      <c r="AY207" s="184">
        <f t="shared" si="449"/>
        <v>3000</v>
      </c>
      <c r="AZ207" s="184">
        <f t="shared" si="449"/>
        <v>4000</v>
      </c>
      <c r="BA207" s="184">
        <f t="shared" si="449"/>
        <v>5000</v>
      </c>
      <c r="BB207" s="184">
        <f t="shared" si="449"/>
        <v>0</v>
      </c>
      <c r="BC207" s="184">
        <f t="shared" si="449"/>
        <v>1000</v>
      </c>
      <c r="BD207" s="184">
        <f t="shared" si="449"/>
        <v>2000</v>
      </c>
      <c r="BE207" s="184">
        <f t="shared" si="449"/>
        <v>3000</v>
      </c>
      <c r="BF207" s="184">
        <f t="shared" si="449"/>
        <v>4000</v>
      </c>
      <c r="BG207" s="184">
        <f t="shared" si="449"/>
        <v>5000</v>
      </c>
      <c r="BH207" s="184">
        <f t="shared" si="449"/>
        <v>0</v>
      </c>
      <c r="BI207" s="184">
        <f t="shared" si="449"/>
        <v>1000</v>
      </c>
      <c r="BJ207" s="184">
        <f t="shared" si="449"/>
        <v>2000</v>
      </c>
      <c r="BK207" s="184">
        <f t="shared" si="449"/>
        <v>3000</v>
      </c>
      <c r="BL207" s="184">
        <f t="shared" si="449"/>
        <v>4000</v>
      </c>
      <c r="BM207" s="184">
        <f t="shared" si="449"/>
        <v>5000</v>
      </c>
      <c r="BN207" s="184">
        <f t="shared" si="449"/>
        <v>0</v>
      </c>
      <c r="BO207" s="184">
        <f t="shared" si="449"/>
        <v>1000</v>
      </c>
      <c r="BP207" s="184">
        <f t="shared" si="449"/>
        <v>2000</v>
      </c>
      <c r="BQ207" s="184">
        <f t="shared" si="449"/>
        <v>3000</v>
      </c>
      <c r="BR207" s="184">
        <f t="shared" si="449"/>
        <v>4000</v>
      </c>
      <c r="BS207" s="184">
        <f t="shared" si="449"/>
        <v>5000</v>
      </c>
      <c r="BT207" s="184">
        <f t="shared" si="449"/>
        <v>0</v>
      </c>
      <c r="BU207" s="184">
        <f t="shared" si="449"/>
        <v>1000</v>
      </c>
      <c r="BV207" s="184">
        <f t="shared" si="449"/>
        <v>2000</v>
      </c>
      <c r="BW207" s="184">
        <f t="shared" si="449"/>
        <v>3000</v>
      </c>
      <c r="BX207" s="184">
        <f t="shared" ref="BX207:DC207" si="450">BX204+BX205-BX206</f>
        <v>4000</v>
      </c>
      <c r="BY207" s="184">
        <f t="shared" si="450"/>
        <v>5000</v>
      </c>
      <c r="BZ207" s="184">
        <f t="shared" si="450"/>
        <v>0</v>
      </c>
      <c r="CA207" s="184">
        <f t="shared" si="450"/>
        <v>1000</v>
      </c>
      <c r="CB207" s="184">
        <f t="shared" si="450"/>
        <v>2000</v>
      </c>
      <c r="CC207" s="184">
        <f t="shared" si="450"/>
        <v>3000</v>
      </c>
      <c r="CD207" s="184">
        <f t="shared" si="450"/>
        <v>4000</v>
      </c>
      <c r="CE207" s="184">
        <f t="shared" si="450"/>
        <v>5000</v>
      </c>
      <c r="CF207" s="184">
        <f t="shared" si="450"/>
        <v>0</v>
      </c>
      <c r="CG207" s="184">
        <f t="shared" si="450"/>
        <v>1000</v>
      </c>
      <c r="CH207" s="184">
        <f t="shared" si="450"/>
        <v>2000</v>
      </c>
      <c r="CI207" s="184">
        <f t="shared" si="450"/>
        <v>3000</v>
      </c>
      <c r="CJ207" s="184">
        <f t="shared" si="450"/>
        <v>4000</v>
      </c>
      <c r="CK207" s="184">
        <f t="shared" si="450"/>
        <v>5000</v>
      </c>
      <c r="CL207" s="184">
        <f t="shared" si="450"/>
        <v>0</v>
      </c>
      <c r="CM207" s="184">
        <f t="shared" si="450"/>
        <v>1000</v>
      </c>
      <c r="CN207" s="184">
        <f t="shared" si="450"/>
        <v>2000</v>
      </c>
      <c r="CO207" s="184">
        <f t="shared" si="450"/>
        <v>3000</v>
      </c>
      <c r="CP207" s="184">
        <f t="shared" si="450"/>
        <v>4000</v>
      </c>
      <c r="CQ207" s="184">
        <f t="shared" si="450"/>
        <v>5000</v>
      </c>
      <c r="CR207" s="184">
        <f t="shared" si="450"/>
        <v>0</v>
      </c>
      <c r="CS207" s="184">
        <f t="shared" si="450"/>
        <v>1000</v>
      </c>
      <c r="CT207" s="184">
        <f t="shared" si="450"/>
        <v>2000</v>
      </c>
      <c r="CU207" s="184">
        <f t="shared" si="450"/>
        <v>3000</v>
      </c>
      <c r="CV207" s="184">
        <f t="shared" si="450"/>
        <v>4000</v>
      </c>
      <c r="CW207" s="184">
        <f t="shared" si="450"/>
        <v>5000</v>
      </c>
      <c r="CX207" s="184">
        <f t="shared" si="450"/>
        <v>0</v>
      </c>
      <c r="CY207" s="184">
        <f t="shared" si="450"/>
        <v>1000</v>
      </c>
      <c r="CZ207" s="184">
        <f t="shared" si="450"/>
        <v>2000</v>
      </c>
      <c r="DA207" s="184">
        <f t="shared" si="450"/>
        <v>3000</v>
      </c>
      <c r="DB207" s="184">
        <f t="shared" si="450"/>
        <v>4000</v>
      </c>
      <c r="DC207" s="184">
        <f t="shared" si="450"/>
        <v>5000</v>
      </c>
      <c r="DD207" s="184">
        <f t="shared" ref="DD207:DT207" si="451">DD204+DD205-DD206</f>
        <v>0</v>
      </c>
      <c r="DE207" s="184">
        <f t="shared" si="451"/>
        <v>1000</v>
      </c>
      <c r="DF207" s="184">
        <f t="shared" si="451"/>
        <v>2000</v>
      </c>
      <c r="DG207" s="184">
        <f t="shared" si="451"/>
        <v>3000</v>
      </c>
      <c r="DH207" s="184">
        <f t="shared" si="451"/>
        <v>4000</v>
      </c>
      <c r="DI207" s="184">
        <f t="shared" si="451"/>
        <v>5000</v>
      </c>
      <c r="DJ207" s="184">
        <f t="shared" si="451"/>
        <v>0</v>
      </c>
      <c r="DK207" s="184">
        <f t="shared" si="451"/>
        <v>1000</v>
      </c>
      <c r="DL207" s="184">
        <f t="shared" si="451"/>
        <v>2000</v>
      </c>
      <c r="DM207" s="184">
        <f t="shared" si="451"/>
        <v>3000</v>
      </c>
      <c r="DN207" s="184">
        <f t="shared" si="451"/>
        <v>4000</v>
      </c>
      <c r="DO207" s="184">
        <f t="shared" si="451"/>
        <v>5000</v>
      </c>
      <c r="DP207" s="184">
        <f t="shared" si="451"/>
        <v>0</v>
      </c>
      <c r="DQ207" s="184">
        <f t="shared" si="451"/>
        <v>1000</v>
      </c>
      <c r="DR207" s="184">
        <f t="shared" si="451"/>
        <v>2000</v>
      </c>
      <c r="DS207" s="184">
        <f t="shared" si="451"/>
        <v>3000</v>
      </c>
      <c r="DT207" s="184">
        <f t="shared" si="451"/>
        <v>4000</v>
      </c>
      <c r="DU207" s="184">
        <f t="shared" ref="DU207:EA207" si="452">DU204+DU205-DU206</f>
        <v>5000</v>
      </c>
      <c r="DV207" s="184">
        <f t="shared" si="452"/>
        <v>0</v>
      </c>
      <c r="DW207" s="184">
        <f t="shared" si="452"/>
        <v>1000</v>
      </c>
      <c r="DX207" s="184">
        <f t="shared" si="452"/>
        <v>2000</v>
      </c>
      <c r="DY207" s="184">
        <f t="shared" si="452"/>
        <v>3000</v>
      </c>
      <c r="DZ207" s="184">
        <f t="shared" si="452"/>
        <v>4000</v>
      </c>
      <c r="EA207" s="184">
        <f t="shared" si="452"/>
        <v>5000</v>
      </c>
      <c r="EB207" s="184">
        <f t="shared" ref="EB207:EQ207" si="453">EB204+EB205-EB206</f>
        <v>0</v>
      </c>
      <c r="EC207" s="184">
        <f t="shared" si="453"/>
        <v>0</v>
      </c>
      <c r="ED207" s="1324">
        <f t="shared" si="453"/>
        <v>0</v>
      </c>
      <c r="EE207" s="184">
        <f t="shared" si="453"/>
        <v>0</v>
      </c>
      <c r="EF207" s="184">
        <f t="shared" si="453"/>
        <v>0</v>
      </c>
      <c r="EG207" s="184">
        <f t="shared" si="453"/>
        <v>0</v>
      </c>
      <c r="EH207" s="184">
        <f t="shared" si="453"/>
        <v>0</v>
      </c>
      <c r="EI207" s="184">
        <f t="shared" si="453"/>
        <v>0</v>
      </c>
      <c r="EJ207" s="184">
        <f t="shared" si="453"/>
        <v>0</v>
      </c>
      <c r="EK207" s="184">
        <f t="shared" si="453"/>
        <v>0</v>
      </c>
      <c r="EL207" s="184">
        <f t="shared" si="453"/>
        <v>0</v>
      </c>
      <c r="EM207" s="184">
        <f t="shared" si="453"/>
        <v>0</v>
      </c>
      <c r="EN207" s="184">
        <f t="shared" si="453"/>
        <v>0</v>
      </c>
      <c r="EO207" s="184">
        <f t="shared" si="453"/>
        <v>0</v>
      </c>
      <c r="EP207" s="184">
        <f t="shared" si="453"/>
        <v>0</v>
      </c>
      <c r="EQ207" s="184">
        <f t="shared" si="453"/>
        <v>0</v>
      </c>
    </row>
    <row r="208" spans="3:147" ht="11.25" customHeight="1">
      <c r="C208" s="158" t="s">
        <v>541</v>
      </c>
      <c r="D208" s="159"/>
      <c r="E208" s="159"/>
      <c r="F208" s="159"/>
      <c r="G208" s="159"/>
      <c r="H208" s="160"/>
      <c r="I208" s="219"/>
      <c r="J208" s="161"/>
      <c r="K208" s="98"/>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162"/>
      <c r="AK208" s="162"/>
      <c r="AL208" s="162"/>
      <c r="AM208" s="162"/>
      <c r="AN208" s="162"/>
      <c r="AO208" s="162"/>
      <c r="AP208" s="162"/>
      <c r="AQ208" s="162"/>
      <c r="AR208" s="162"/>
      <c r="AS208" s="162"/>
      <c r="AT208" s="162"/>
      <c r="AU208" s="162"/>
      <c r="AV208" s="162"/>
      <c r="AW208" s="162"/>
      <c r="AX208" s="162"/>
      <c r="AY208" s="162"/>
      <c r="AZ208" s="162"/>
      <c r="BA208" s="162"/>
      <c r="BB208" s="162"/>
      <c r="BC208" s="162"/>
      <c r="BD208" s="162"/>
      <c r="BE208" s="162"/>
      <c r="BF208" s="162"/>
      <c r="BG208" s="162"/>
      <c r="BH208" s="162"/>
      <c r="BI208" s="162"/>
      <c r="BJ208" s="162"/>
      <c r="BK208" s="162"/>
      <c r="BL208" s="162"/>
      <c r="BM208" s="162"/>
      <c r="BN208" s="162"/>
      <c r="BO208" s="162"/>
      <c r="BP208" s="162"/>
      <c r="BQ208" s="162"/>
      <c r="BR208" s="162"/>
      <c r="BS208" s="162"/>
      <c r="BT208" s="162"/>
      <c r="BU208" s="162"/>
      <c r="BV208" s="162"/>
      <c r="BW208" s="162"/>
      <c r="BX208" s="162"/>
      <c r="BY208" s="162"/>
      <c r="BZ208" s="162"/>
      <c r="CA208" s="162"/>
      <c r="CB208" s="162"/>
      <c r="CC208" s="162"/>
      <c r="CD208" s="162"/>
      <c r="CE208" s="162"/>
      <c r="CF208" s="162"/>
      <c r="CG208" s="162"/>
      <c r="CH208" s="162"/>
      <c r="CI208" s="162"/>
      <c r="CJ208" s="162"/>
      <c r="CK208" s="162"/>
      <c r="CL208" s="162"/>
      <c r="CM208" s="162"/>
      <c r="CN208" s="162"/>
      <c r="CO208" s="162"/>
      <c r="CP208" s="162"/>
      <c r="CQ208" s="162"/>
      <c r="CR208" s="162"/>
      <c r="CS208" s="162"/>
      <c r="CT208" s="162"/>
      <c r="CU208" s="162"/>
      <c r="CV208" s="162"/>
      <c r="CW208" s="162"/>
      <c r="CX208" s="162"/>
      <c r="CY208" s="162"/>
      <c r="CZ208" s="162"/>
      <c r="DA208" s="162"/>
      <c r="DB208" s="162"/>
      <c r="DC208" s="162"/>
      <c r="DD208" s="162"/>
      <c r="DE208" s="162"/>
      <c r="DF208" s="162"/>
      <c r="DG208" s="162"/>
      <c r="DH208" s="162"/>
      <c r="DI208" s="162"/>
      <c r="DJ208" s="162"/>
      <c r="DK208" s="162"/>
      <c r="DL208" s="162"/>
      <c r="DM208" s="162"/>
      <c r="DN208" s="162"/>
      <c r="DO208" s="162"/>
      <c r="DP208" s="162"/>
      <c r="DQ208" s="162"/>
      <c r="DR208" s="162"/>
      <c r="DS208" s="162"/>
      <c r="DT208" s="162"/>
      <c r="DU208" s="162"/>
      <c r="DV208" s="162"/>
      <c r="DW208" s="162"/>
      <c r="DX208" s="162"/>
      <c r="DY208" s="162"/>
      <c r="DZ208" s="162"/>
      <c r="EA208" s="162"/>
      <c r="EB208" s="162"/>
      <c r="EC208" s="162"/>
      <c r="ED208" s="1319"/>
      <c r="EE208" s="162"/>
      <c r="EF208" s="162"/>
      <c r="EG208" s="162"/>
      <c r="EH208" s="162"/>
      <c r="EI208" s="162"/>
      <c r="EJ208" s="162"/>
      <c r="EK208" s="162"/>
      <c r="EL208" s="162"/>
      <c r="EM208" s="162"/>
      <c r="EN208" s="162"/>
      <c r="EO208" s="162"/>
      <c r="EP208" s="162"/>
      <c r="EQ208" s="162"/>
    </row>
    <row r="209" spans="3:147" ht="11.25" customHeight="1">
      <c r="C209" s="163"/>
      <c r="D209" s="164" t="s">
        <v>230</v>
      </c>
      <c r="E209" s="165"/>
      <c r="F209" s="165"/>
      <c r="G209" s="165"/>
      <c r="H209" s="166"/>
      <c r="I209" s="221"/>
      <c r="J209" s="167"/>
      <c r="K209" s="98"/>
      <c r="L209" s="168">
        <f>K212</f>
        <v>0</v>
      </c>
      <c r="M209" s="168">
        <f t="shared" ref="M209:BX209" si="454">L212</f>
        <v>0</v>
      </c>
      <c r="N209" s="168">
        <f t="shared" si="454"/>
        <v>2169.570072585148</v>
      </c>
      <c r="O209" s="168">
        <f t="shared" si="454"/>
        <v>4339.1401451702959</v>
      </c>
      <c r="P209" s="168">
        <f t="shared" si="454"/>
        <v>6508.7102177554443</v>
      </c>
      <c r="Q209" s="168">
        <f t="shared" si="454"/>
        <v>8678.2802903405918</v>
      </c>
      <c r="R209" s="168">
        <f t="shared" si="454"/>
        <v>10847.850362925739</v>
      </c>
      <c r="S209" s="168">
        <f t="shared" si="454"/>
        <v>0</v>
      </c>
      <c r="T209" s="168">
        <f t="shared" si="454"/>
        <v>2169.570072585148</v>
      </c>
      <c r="U209" s="168">
        <f t="shared" si="454"/>
        <v>4339.1401451702959</v>
      </c>
      <c r="V209" s="168">
        <f t="shared" si="454"/>
        <v>6508.7102177554443</v>
      </c>
      <c r="W209" s="168">
        <f t="shared" si="454"/>
        <v>8678.2802903405918</v>
      </c>
      <c r="X209" s="168">
        <f t="shared" si="454"/>
        <v>10847.850362925739</v>
      </c>
      <c r="Y209" s="168">
        <f t="shared" si="454"/>
        <v>0</v>
      </c>
      <c r="Z209" s="168">
        <f t="shared" si="454"/>
        <v>2169.570072585148</v>
      </c>
      <c r="AA209" s="168">
        <f t="shared" si="454"/>
        <v>4339.1401451702959</v>
      </c>
      <c r="AB209" s="168">
        <f t="shared" si="454"/>
        <v>6508.7102177554443</v>
      </c>
      <c r="AC209" s="168">
        <f t="shared" si="454"/>
        <v>8678.2802903405918</v>
      </c>
      <c r="AD209" s="168">
        <f t="shared" si="454"/>
        <v>10847.850362925739</v>
      </c>
      <c r="AE209" s="168">
        <f t="shared" si="454"/>
        <v>0</v>
      </c>
      <c r="AF209" s="168">
        <f t="shared" si="454"/>
        <v>2169.570072585148</v>
      </c>
      <c r="AG209" s="168">
        <f t="shared" si="454"/>
        <v>4339.1401451702959</v>
      </c>
      <c r="AH209" s="168">
        <f t="shared" si="454"/>
        <v>6508.7102177554443</v>
      </c>
      <c r="AI209" s="168">
        <f t="shared" si="454"/>
        <v>8678.2802903405918</v>
      </c>
      <c r="AJ209" s="168">
        <f t="shared" si="454"/>
        <v>10847.850362925739</v>
      </c>
      <c r="AK209" s="168">
        <f t="shared" si="454"/>
        <v>0</v>
      </c>
      <c r="AL209" s="168">
        <f t="shared" si="454"/>
        <v>2169.570072585148</v>
      </c>
      <c r="AM209" s="168">
        <f t="shared" si="454"/>
        <v>4339.1401451702959</v>
      </c>
      <c r="AN209" s="168">
        <f t="shared" si="454"/>
        <v>6508.7102177554443</v>
      </c>
      <c r="AO209" s="168">
        <f t="shared" si="454"/>
        <v>8678.2802903405918</v>
      </c>
      <c r="AP209" s="168">
        <f t="shared" si="454"/>
        <v>10847.850362925739</v>
      </c>
      <c r="AQ209" s="168">
        <f t="shared" si="454"/>
        <v>0</v>
      </c>
      <c r="AR209" s="168">
        <f t="shared" si="454"/>
        <v>2169.570072585148</v>
      </c>
      <c r="AS209" s="168">
        <f t="shared" si="454"/>
        <v>4339.1401451702959</v>
      </c>
      <c r="AT209" s="168">
        <f t="shared" si="454"/>
        <v>6508.7102177554443</v>
      </c>
      <c r="AU209" s="168">
        <f t="shared" si="454"/>
        <v>8678.2802903405918</v>
      </c>
      <c r="AV209" s="168">
        <f t="shared" si="454"/>
        <v>10847.850362925739</v>
      </c>
      <c r="AW209" s="168">
        <f t="shared" si="454"/>
        <v>0</v>
      </c>
      <c r="AX209" s="168">
        <f t="shared" si="454"/>
        <v>2169.570072585148</v>
      </c>
      <c r="AY209" s="168">
        <f t="shared" si="454"/>
        <v>4339.1401451702959</v>
      </c>
      <c r="AZ209" s="168">
        <f t="shared" si="454"/>
        <v>6508.7102177554443</v>
      </c>
      <c r="BA209" s="168">
        <f t="shared" si="454"/>
        <v>8678.2802903405918</v>
      </c>
      <c r="BB209" s="168">
        <f t="shared" si="454"/>
        <v>10847.850362925739</v>
      </c>
      <c r="BC209" s="168">
        <f t="shared" si="454"/>
        <v>0</v>
      </c>
      <c r="BD209" s="168">
        <f t="shared" si="454"/>
        <v>2169.570072585148</v>
      </c>
      <c r="BE209" s="168">
        <f t="shared" si="454"/>
        <v>4339.1401451702959</v>
      </c>
      <c r="BF209" s="168">
        <f t="shared" si="454"/>
        <v>6508.7102177554443</v>
      </c>
      <c r="BG209" s="168">
        <f t="shared" si="454"/>
        <v>8678.2802903405918</v>
      </c>
      <c r="BH209" s="168">
        <f t="shared" si="454"/>
        <v>10847.850362925739</v>
      </c>
      <c r="BI209" s="168">
        <f t="shared" si="454"/>
        <v>0</v>
      </c>
      <c r="BJ209" s="168">
        <f t="shared" si="454"/>
        <v>2169.570072585148</v>
      </c>
      <c r="BK209" s="168">
        <f t="shared" si="454"/>
        <v>4339.1401451702959</v>
      </c>
      <c r="BL209" s="168">
        <f t="shared" si="454"/>
        <v>6508.7102177554443</v>
      </c>
      <c r="BM209" s="168">
        <f t="shared" si="454"/>
        <v>8678.2802903405918</v>
      </c>
      <c r="BN209" s="168">
        <f t="shared" si="454"/>
        <v>10847.850362925739</v>
      </c>
      <c r="BO209" s="168">
        <f t="shared" si="454"/>
        <v>0</v>
      </c>
      <c r="BP209" s="168">
        <f t="shared" si="454"/>
        <v>2169.570072585148</v>
      </c>
      <c r="BQ209" s="168">
        <f t="shared" si="454"/>
        <v>4339.1401451702959</v>
      </c>
      <c r="BR209" s="168">
        <f t="shared" si="454"/>
        <v>6508.7102177554443</v>
      </c>
      <c r="BS209" s="168">
        <f t="shared" si="454"/>
        <v>8678.2802903405918</v>
      </c>
      <c r="BT209" s="168">
        <f t="shared" si="454"/>
        <v>10847.850362925739</v>
      </c>
      <c r="BU209" s="168">
        <f t="shared" si="454"/>
        <v>0</v>
      </c>
      <c r="BV209" s="168">
        <f t="shared" si="454"/>
        <v>2169.570072585148</v>
      </c>
      <c r="BW209" s="168">
        <f t="shared" si="454"/>
        <v>4339.1401451702959</v>
      </c>
      <c r="BX209" s="168">
        <f t="shared" si="454"/>
        <v>6508.7102177554443</v>
      </c>
      <c r="BY209" s="168">
        <f t="shared" ref="BY209:DT209" si="455">BX212</f>
        <v>8678.2802903405918</v>
      </c>
      <c r="BZ209" s="168">
        <f t="shared" si="455"/>
        <v>10847.850362925739</v>
      </c>
      <c r="CA209" s="168">
        <f t="shared" si="455"/>
        <v>0</v>
      </c>
      <c r="CB209" s="168">
        <f t="shared" si="455"/>
        <v>2169.570072585148</v>
      </c>
      <c r="CC209" s="168">
        <f t="shared" si="455"/>
        <v>4339.1401451702959</v>
      </c>
      <c r="CD209" s="168">
        <f t="shared" si="455"/>
        <v>6508.7102177554443</v>
      </c>
      <c r="CE209" s="168">
        <f t="shared" si="455"/>
        <v>8678.2802903405918</v>
      </c>
      <c r="CF209" s="168">
        <f t="shared" si="455"/>
        <v>10847.850362925739</v>
      </c>
      <c r="CG209" s="168">
        <f t="shared" si="455"/>
        <v>0</v>
      </c>
      <c r="CH209" s="168">
        <f t="shared" si="455"/>
        <v>2169.570072585148</v>
      </c>
      <c r="CI209" s="168">
        <f t="shared" si="455"/>
        <v>4339.1401451702959</v>
      </c>
      <c r="CJ209" s="168">
        <f t="shared" si="455"/>
        <v>6508.7102177554443</v>
      </c>
      <c r="CK209" s="168">
        <f t="shared" si="455"/>
        <v>8678.2802903405918</v>
      </c>
      <c r="CL209" s="168">
        <f t="shared" si="455"/>
        <v>10847.850362925739</v>
      </c>
      <c r="CM209" s="168">
        <f t="shared" si="455"/>
        <v>0</v>
      </c>
      <c r="CN209" s="168">
        <f t="shared" si="455"/>
        <v>2169.570072585148</v>
      </c>
      <c r="CO209" s="168">
        <f t="shared" si="455"/>
        <v>4339.1401451702959</v>
      </c>
      <c r="CP209" s="168">
        <f t="shared" si="455"/>
        <v>6508.7102177554443</v>
      </c>
      <c r="CQ209" s="168">
        <f t="shared" si="455"/>
        <v>8678.2802903405918</v>
      </c>
      <c r="CR209" s="168">
        <f t="shared" si="455"/>
        <v>10847.850362925739</v>
      </c>
      <c r="CS209" s="168">
        <f t="shared" si="455"/>
        <v>0</v>
      </c>
      <c r="CT209" s="168">
        <f t="shared" si="455"/>
        <v>2169.570072585148</v>
      </c>
      <c r="CU209" s="168">
        <f t="shared" si="455"/>
        <v>4339.1401451702959</v>
      </c>
      <c r="CV209" s="168">
        <f t="shared" si="455"/>
        <v>6508.7102177554443</v>
      </c>
      <c r="CW209" s="168">
        <f t="shared" si="455"/>
        <v>8678.2802903405918</v>
      </c>
      <c r="CX209" s="168">
        <f t="shared" si="455"/>
        <v>10847.850362925739</v>
      </c>
      <c r="CY209" s="168">
        <f t="shared" si="455"/>
        <v>0</v>
      </c>
      <c r="CZ209" s="168">
        <f t="shared" si="455"/>
        <v>2169.570072585148</v>
      </c>
      <c r="DA209" s="168">
        <f t="shared" si="455"/>
        <v>4339.1401451702959</v>
      </c>
      <c r="DB209" s="168">
        <f t="shared" si="455"/>
        <v>6508.7102177554443</v>
      </c>
      <c r="DC209" s="168">
        <f t="shared" si="455"/>
        <v>8678.2802903405918</v>
      </c>
      <c r="DD209" s="168">
        <f t="shared" si="455"/>
        <v>10847.850362925739</v>
      </c>
      <c r="DE209" s="168">
        <f t="shared" si="455"/>
        <v>0</v>
      </c>
      <c r="DF209" s="168">
        <f t="shared" si="455"/>
        <v>2169.570072585148</v>
      </c>
      <c r="DG209" s="168">
        <f t="shared" si="455"/>
        <v>4339.1401451702959</v>
      </c>
      <c r="DH209" s="168">
        <f t="shared" si="455"/>
        <v>6508.7102177554443</v>
      </c>
      <c r="DI209" s="168">
        <f t="shared" si="455"/>
        <v>8678.2802903405918</v>
      </c>
      <c r="DJ209" s="168">
        <f t="shared" si="455"/>
        <v>10847.850362925739</v>
      </c>
      <c r="DK209" s="168">
        <f t="shared" si="455"/>
        <v>0</v>
      </c>
      <c r="DL209" s="168">
        <f t="shared" si="455"/>
        <v>2169.570072585148</v>
      </c>
      <c r="DM209" s="168">
        <f t="shared" si="455"/>
        <v>4339.1401451702959</v>
      </c>
      <c r="DN209" s="168">
        <f t="shared" si="455"/>
        <v>6508.7102177554443</v>
      </c>
      <c r="DO209" s="168">
        <f t="shared" si="455"/>
        <v>8678.2802903405918</v>
      </c>
      <c r="DP209" s="168">
        <f t="shared" si="455"/>
        <v>10847.850362925739</v>
      </c>
      <c r="DQ209" s="168">
        <f t="shared" si="455"/>
        <v>0</v>
      </c>
      <c r="DR209" s="168">
        <f t="shared" si="455"/>
        <v>2169.570072585148</v>
      </c>
      <c r="DS209" s="168">
        <f t="shared" si="455"/>
        <v>4339.1401451702959</v>
      </c>
      <c r="DT209" s="168">
        <f t="shared" si="455"/>
        <v>6508.7102177554443</v>
      </c>
      <c r="DU209" s="168">
        <f t="shared" ref="DU209:EQ209" si="456">DT212</f>
        <v>8678.2802903405918</v>
      </c>
      <c r="DV209" s="168">
        <f t="shared" si="456"/>
        <v>10847.850362925739</v>
      </c>
      <c r="DW209" s="168">
        <f t="shared" si="456"/>
        <v>0</v>
      </c>
      <c r="DX209" s="168">
        <f t="shared" si="456"/>
        <v>2169.570072585148</v>
      </c>
      <c r="DY209" s="168">
        <f t="shared" si="456"/>
        <v>4339.1401451702959</v>
      </c>
      <c r="DZ209" s="168">
        <f t="shared" si="456"/>
        <v>6508.7102177554443</v>
      </c>
      <c r="EA209" s="168">
        <f t="shared" si="456"/>
        <v>8678.2802903405918</v>
      </c>
      <c r="EB209" s="168">
        <f t="shared" si="456"/>
        <v>10847.850362925739</v>
      </c>
      <c r="EC209" s="168">
        <f t="shared" si="456"/>
        <v>0</v>
      </c>
      <c r="ED209" s="1320">
        <f t="shared" si="456"/>
        <v>0</v>
      </c>
      <c r="EE209" s="168">
        <f t="shared" si="456"/>
        <v>0</v>
      </c>
      <c r="EF209" s="168">
        <f t="shared" si="456"/>
        <v>0</v>
      </c>
      <c r="EG209" s="168">
        <f t="shared" si="456"/>
        <v>0</v>
      </c>
      <c r="EH209" s="168">
        <f t="shared" si="456"/>
        <v>0</v>
      </c>
      <c r="EI209" s="168">
        <f t="shared" si="456"/>
        <v>0</v>
      </c>
      <c r="EJ209" s="168">
        <f t="shared" si="456"/>
        <v>0</v>
      </c>
      <c r="EK209" s="168">
        <f t="shared" si="456"/>
        <v>0</v>
      </c>
      <c r="EL209" s="168">
        <f t="shared" si="456"/>
        <v>0</v>
      </c>
      <c r="EM209" s="168">
        <f t="shared" si="456"/>
        <v>0</v>
      </c>
      <c r="EN209" s="168">
        <f t="shared" si="456"/>
        <v>0</v>
      </c>
      <c r="EO209" s="168">
        <f t="shared" si="456"/>
        <v>0</v>
      </c>
      <c r="EP209" s="168">
        <f t="shared" si="456"/>
        <v>0</v>
      </c>
      <c r="EQ209" s="168">
        <f t="shared" si="456"/>
        <v>0</v>
      </c>
    </row>
    <row r="210" spans="3:147" ht="11.25" customHeight="1">
      <c r="C210" s="163"/>
      <c r="D210" s="169" t="s">
        <v>231</v>
      </c>
      <c r="I210" s="90"/>
      <c r="J210" s="170">
        <f>SUM(L210:EQ210)</f>
        <v>260348.40871021705</v>
      </c>
      <c r="K210" s="98"/>
      <c r="L210" s="171">
        <f>'IS(M)'!M40</f>
        <v>0</v>
      </c>
      <c r="M210" s="171">
        <f>'IS(M)'!N40</f>
        <v>2169.570072585148</v>
      </c>
      <c r="N210" s="171">
        <f>'IS(M)'!O40</f>
        <v>2169.570072585148</v>
      </c>
      <c r="O210" s="171">
        <f>'IS(M)'!P40</f>
        <v>2169.570072585148</v>
      </c>
      <c r="P210" s="171">
        <f>'IS(M)'!Q40</f>
        <v>2169.570072585148</v>
      </c>
      <c r="Q210" s="171">
        <f>'IS(M)'!R40</f>
        <v>2169.570072585148</v>
      </c>
      <c r="R210" s="171">
        <f>'IS(M)'!S40</f>
        <v>2169.570072585148</v>
      </c>
      <c r="S210" s="171">
        <f>'IS(M)'!T40</f>
        <v>2169.570072585148</v>
      </c>
      <c r="T210" s="171">
        <f>'IS(M)'!U40</f>
        <v>2169.570072585148</v>
      </c>
      <c r="U210" s="171">
        <f>'IS(M)'!V40</f>
        <v>2169.570072585148</v>
      </c>
      <c r="V210" s="171">
        <f>'IS(M)'!W40</f>
        <v>2169.570072585148</v>
      </c>
      <c r="W210" s="171">
        <f>'IS(M)'!X40</f>
        <v>2169.570072585148</v>
      </c>
      <c r="X210" s="171">
        <f>'IS(M)'!Y40</f>
        <v>2169.570072585148</v>
      </c>
      <c r="Y210" s="171">
        <f>'IS(M)'!Z40</f>
        <v>2169.570072585148</v>
      </c>
      <c r="Z210" s="171">
        <f>'IS(M)'!AA40</f>
        <v>2169.570072585148</v>
      </c>
      <c r="AA210" s="171">
        <f>'IS(M)'!AB40</f>
        <v>2169.570072585148</v>
      </c>
      <c r="AB210" s="171">
        <f>'IS(M)'!AC40</f>
        <v>2169.570072585148</v>
      </c>
      <c r="AC210" s="171">
        <f>'IS(M)'!AD40</f>
        <v>2169.570072585148</v>
      </c>
      <c r="AD210" s="171">
        <f>'IS(M)'!AE40</f>
        <v>2169.570072585148</v>
      </c>
      <c r="AE210" s="171">
        <f>'IS(M)'!AF40</f>
        <v>2169.570072585148</v>
      </c>
      <c r="AF210" s="171">
        <f>'IS(M)'!AG40</f>
        <v>2169.570072585148</v>
      </c>
      <c r="AG210" s="171">
        <f>'IS(M)'!AH40</f>
        <v>2169.570072585148</v>
      </c>
      <c r="AH210" s="171">
        <f>'IS(M)'!AI40</f>
        <v>2169.570072585148</v>
      </c>
      <c r="AI210" s="171">
        <f>'IS(M)'!AJ40</f>
        <v>2169.570072585148</v>
      </c>
      <c r="AJ210" s="171">
        <f>'IS(M)'!AK40</f>
        <v>2169.570072585148</v>
      </c>
      <c r="AK210" s="171">
        <f>'IS(M)'!AL40</f>
        <v>2169.570072585148</v>
      </c>
      <c r="AL210" s="171">
        <f>'IS(M)'!AM40</f>
        <v>2169.570072585148</v>
      </c>
      <c r="AM210" s="171">
        <f>'IS(M)'!AN40</f>
        <v>2169.570072585148</v>
      </c>
      <c r="AN210" s="171">
        <f>'IS(M)'!AO40</f>
        <v>2169.570072585148</v>
      </c>
      <c r="AO210" s="171">
        <f>'IS(M)'!AP40</f>
        <v>2169.570072585148</v>
      </c>
      <c r="AP210" s="171">
        <f>'IS(M)'!AQ40</f>
        <v>2169.570072585148</v>
      </c>
      <c r="AQ210" s="171">
        <f>'IS(M)'!AR40</f>
        <v>2169.570072585148</v>
      </c>
      <c r="AR210" s="171">
        <f>'IS(M)'!AS40</f>
        <v>2169.570072585148</v>
      </c>
      <c r="AS210" s="171">
        <f>'IS(M)'!AT40</f>
        <v>2169.570072585148</v>
      </c>
      <c r="AT210" s="171">
        <f>'IS(M)'!AU40</f>
        <v>2169.570072585148</v>
      </c>
      <c r="AU210" s="171">
        <f>'IS(M)'!AV40</f>
        <v>2169.570072585148</v>
      </c>
      <c r="AV210" s="171">
        <f>'IS(M)'!AW40</f>
        <v>2169.570072585148</v>
      </c>
      <c r="AW210" s="171">
        <f>'IS(M)'!AX40</f>
        <v>2169.570072585148</v>
      </c>
      <c r="AX210" s="171">
        <f>'IS(M)'!AY40</f>
        <v>2169.570072585148</v>
      </c>
      <c r="AY210" s="171">
        <f>'IS(M)'!AZ40</f>
        <v>2169.570072585148</v>
      </c>
      <c r="AZ210" s="171">
        <f>'IS(M)'!BA40</f>
        <v>2169.570072585148</v>
      </c>
      <c r="BA210" s="171">
        <f>'IS(M)'!BB40</f>
        <v>2169.570072585148</v>
      </c>
      <c r="BB210" s="171">
        <f>'IS(M)'!BC40</f>
        <v>2169.570072585148</v>
      </c>
      <c r="BC210" s="171">
        <f>'IS(M)'!BD40</f>
        <v>2169.570072585148</v>
      </c>
      <c r="BD210" s="171">
        <f>'IS(M)'!BE40</f>
        <v>2169.570072585148</v>
      </c>
      <c r="BE210" s="171">
        <f>'IS(M)'!BF40</f>
        <v>2169.570072585148</v>
      </c>
      <c r="BF210" s="171">
        <f>'IS(M)'!BG40</f>
        <v>2169.570072585148</v>
      </c>
      <c r="BG210" s="171">
        <f>'IS(M)'!BH40</f>
        <v>2169.570072585148</v>
      </c>
      <c r="BH210" s="171">
        <f>'IS(M)'!BI40</f>
        <v>2169.570072585148</v>
      </c>
      <c r="BI210" s="171">
        <f>'IS(M)'!BJ40</f>
        <v>2169.570072585148</v>
      </c>
      <c r="BJ210" s="171">
        <f>'IS(M)'!BK40</f>
        <v>2169.570072585148</v>
      </c>
      <c r="BK210" s="171">
        <f>'IS(M)'!BL40</f>
        <v>2169.570072585148</v>
      </c>
      <c r="BL210" s="171">
        <f>'IS(M)'!BM40</f>
        <v>2169.570072585148</v>
      </c>
      <c r="BM210" s="171">
        <f>'IS(M)'!BN40</f>
        <v>2169.570072585148</v>
      </c>
      <c r="BN210" s="171">
        <f>'IS(M)'!BO40</f>
        <v>2169.570072585148</v>
      </c>
      <c r="BO210" s="171">
        <f>'IS(M)'!BP40</f>
        <v>2169.570072585148</v>
      </c>
      <c r="BP210" s="171">
        <f>'IS(M)'!BQ40</f>
        <v>2169.570072585148</v>
      </c>
      <c r="BQ210" s="171">
        <f>'IS(M)'!BR40</f>
        <v>2169.570072585148</v>
      </c>
      <c r="BR210" s="171">
        <f>'IS(M)'!BS40</f>
        <v>2169.570072585148</v>
      </c>
      <c r="BS210" s="171">
        <f>'IS(M)'!BT40</f>
        <v>2169.570072585148</v>
      </c>
      <c r="BT210" s="171">
        <f>'IS(M)'!BU40</f>
        <v>2169.570072585148</v>
      </c>
      <c r="BU210" s="171">
        <f>'IS(M)'!BV40</f>
        <v>2169.570072585148</v>
      </c>
      <c r="BV210" s="171">
        <f>'IS(M)'!BW40</f>
        <v>2169.570072585148</v>
      </c>
      <c r="BW210" s="171">
        <f>'IS(M)'!BX40</f>
        <v>2169.570072585148</v>
      </c>
      <c r="BX210" s="171">
        <f>'IS(M)'!BY40</f>
        <v>2169.570072585148</v>
      </c>
      <c r="BY210" s="171">
        <f>'IS(M)'!BZ40</f>
        <v>2169.570072585148</v>
      </c>
      <c r="BZ210" s="171">
        <f>'IS(M)'!CA40</f>
        <v>2169.570072585148</v>
      </c>
      <c r="CA210" s="171">
        <f>'IS(M)'!CB40</f>
        <v>2169.570072585148</v>
      </c>
      <c r="CB210" s="171">
        <f>'IS(M)'!CC40</f>
        <v>2169.570072585148</v>
      </c>
      <c r="CC210" s="171">
        <f>'IS(M)'!CD40</f>
        <v>2169.570072585148</v>
      </c>
      <c r="CD210" s="171">
        <f>'IS(M)'!CE40</f>
        <v>2169.570072585148</v>
      </c>
      <c r="CE210" s="171">
        <f>'IS(M)'!CF40</f>
        <v>2169.570072585148</v>
      </c>
      <c r="CF210" s="171">
        <f>'IS(M)'!CG40</f>
        <v>2169.570072585148</v>
      </c>
      <c r="CG210" s="171">
        <f>'IS(M)'!CH40</f>
        <v>2169.570072585148</v>
      </c>
      <c r="CH210" s="171">
        <f>'IS(M)'!CI40</f>
        <v>2169.570072585148</v>
      </c>
      <c r="CI210" s="171">
        <f>'IS(M)'!CJ40</f>
        <v>2169.570072585148</v>
      </c>
      <c r="CJ210" s="171">
        <f>'IS(M)'!CK40</f>
        <v>2169.570072585148</v>
      </c>
      <c r="CK210" s="171">
        <f>'IS(M)'!CL40</f>
        <v>2169.570072585148</v>
      </c>
      <c r="CL210" s="171">
        <f>'IS(M)'!CM40</f>
        <v>2169.570072585148</v>
      </c>
      <c r="CM210" s="171">
        <f>'IS(M)'!CN40</f>
        <v>2169.570072585148</v>
      </c>
      <c r="CN210" s="171">
        <f>'IS(M)'!CO40</f>
        <v>2169.570072585148</v>
      </c>
      <c r="CO210" s="171">
        <f>'IS(M)'!CP40</f>
        <v>2169.570072585148</v>
      </c>
      <c r="CP210" s="171">
        <f>'IS(M)'!CQ40</f>
        <v>2169.570072585148</v>
      </c>
      <c r="CQ210" s="171">
        <f>'IS(M)'!CR40</f>
        <v>2169.570072585148</v>
      </c>
      <c r="CR210" s="171">
        <f>'IS(M)'!CS40</f>
        <v>2169.570072585148</v>
      </c>
      <c r="CS210" s="171">
        <f>'IS(M)'!CT40</f>
        <v>2169.570072585148</v>
      </c>
      <c r="CT210" s="171">
        <f>'IS(M)'!CU40</f>
        <v>2169.570072585148</v>
      </c>
      <c r="CU210" s="171">
        <f>'IS(M)'!CV40</f>
        <v>2169.570072585148</v>
      </c>
      <c r="CV210" s="171">
        <f>'IS(M)'!CW40</f>
        <v>2169.570072585148</v>
      </c>
      <c r="CW210" s="171">
        <f>'IS(M)'!CX40</f>
        <v>2169.570072585148</v>
      </c>
      <c r="CX210" s="171">
        <f>'IS(M)'!CY40</f>
        <v>2169.570072585148</v>
      </c>
      <c r="CY210" s="171">
        <f>'IS(M)'!CZ40</f>
        <v>2169.570072585148</v>
      </c>
      <c r="CZ210" s="171">
        <f>'IS(M)'!DA40</f>
        <v>2169.570072585148</v>
      </c>
      <c r="DA210" s="171">
        <f>'IS(M)'!DB40</f>
        <v>2169.570072585148</v>
      </c>
      <c r="DB210" s="171">
        <f>'IS(M)'!DC40</f>
        <v>2169.570072585148</v>
      </c>
      <c r="DC210" s="171">
        <f>'IS(M)'!DD40</f>
        <v>2169.570072585148</v>
      </c>
      <c r="DD210" s="171">
        <f>'IS(M)'!DE40</f>
        <v>2169.570072585148</v>
      </c>
      <c r="DE210" s="171">
        <f>'IS(M)'!DF40</f>
        <v>2169.570072585148</v>
      </c>
      <c r="DF210" s="171">
        <f>'IS(M)'!DG40</f>
        <v>2169.570072585148</v>
      </c>
      <c r="DG210" s="171">
        <f>'IS(M)'!DH40</f>
        <v>2169.570072585148</v>
      </c>
      <c r="DH210" s="171">
        <f>'IS(M)'!DI40</f>
        <v>2169.570072585148</v>
      </c>
      <c r="DI210" s="171">
        <f>'IS(M)'!DJ40</f>
        <v>2169.570072585148</v>
      </c>
      <c r="DJ210" s="171">
        <f>'IS(M)'!DK40</f>
        <v>2169.570072585148</v>
      </c>
      <c r="DK210" s="171">
        <f>'IS(M)'!DL40</f>
        <v>2169.570072585148</v>
      </c>
      <c r="DL210" s="171">
        <f>'IS(M)'!DM40</f>
        <v>2169.570072585148</v>
      </c>
      <c r="DM210" s="171">
        <f>'IS(M)'!DN40</f>
        <v>2169.570072585148</v>
      </c>
      <c r="DN210" s="171">
        <f>'IS(M)'!DO40</f>
        <v>2169.570072585148</v>
      </c>
      <c r="DO210" s="171">
        <f>'IS(M)'!DP40</f>
        <v>2169.570072585148</v>
      </c>
      <c r="DP210" s="171">
        <f>'IS(M)'!DQ40</f>
        <v>2169.570072585148</v>
      </c>
      <c r="DQ210" s="171">
        <f>'IS(M)'!DR40</f>
        <v>2169.570072585148</v>
      </c>
      <c r="DR210" s="171">
        <f>'IS(M)'!DS40</f>
        <v>2169.570072585148</v>
      </c>
      <c r="DS210" s="171">
        <f>'IS(M)'!DT40</f>
        <v>2169.570072585148</v>
      </c>
      <c r="DT210" s="171">
        <f>'IS(M)'!DU40</f>
        <v>2169.570072585148</v>
      </c>
      <c r="DU210" s="171">
        <f>'IS(M)'!DV40</f>
        <v>2169.570072585148</v>
      </c>
      <c r="DV210" s="171">
        <f>'IS(M)'!DW40</f>
        <v>2169.570072585148</v>
      </c>
      <c r="DW210" s="171">
        <f>'IS(M)'!DX40</f>
        <v>2169.570072585148</v>
      </c>
      <c r="DX210" s="171">
        <f>'IS(M)'!DY40</f>
        <v>2169.570072585148</v>
      </c>
      <c r="DY210" s="171">
        <f>'IS(M)'!DZ40</f>
        <v>2169.570072585148</v>
      </c>
      <c r="DZ210" s="171">
        <f>'IS(M)'!EA40</f>
        <v>2169.570072585148</v>
      </c>
      <c r="EA210" s="171">
        <f>'IS(M)'!EB40</f>
        <v>2169.570072585148</v>
      </c>
      <c r="EB210" s="171">
        <f>'IS(M)'!EC40</f>
        <v>2169.570072585148</v>
      </c>
      <c r="EC210" s="171">
        <f>'IS(M)'!ED40</f>
        <v>0</v>
      </c>
      <c r="ED210" s="1321">
        <f>'IS(M)'!EE40</f>
        <v>0</v>
      </c>
      <c r="EE210" s="171">
        <f>'IS(M)'!EF40</f>
        <v>0</v>
      </c>
      <c r="EF210" s="171">
        <f>'IS(M)'!EG40</f>
        <v>0</v>
      </c>
      <c r="EG210" s="171">
        <f>'IS(M)'!EH40</f>
        <v>0</v>
      </c>
      <c r="EH210" s="171">
        <f>'IS(M)'!EI40</f>
        <v>0</v>
      </c>
      <c r="EI210" s="171">
        <f>'IS(M)'!EJ40</f>
        <v>0</v>
      </c>
      <c r="EJ210" s="171">
        <f>'IS(M)'!EK40</f>
        <v>0</v>
      </c>
      <c r="EK210" s="171">
        <f>'IS(M)'!EL40</f>
        <v>0</v>
      </c>
      <c r="EL210" s="171">
        <f>'IS(M)'!EM40</f>
        <v>0</v>
      </c>
      <c r="EM210" s="171">
        <f>'IS(M)'!EN40</f>
        <v>0</v>
      </c>
      <c r="EN210" s="171">
        <f>'IS(M)'!EO40</f>
        <v>0</v>
      </c>
      <c r="EO210" s="171">
        <f>'IS(M)'!EP40</f>
        <v>0</v>
      </c>
      <c r="EP210" s="171">
        <f>'IS(M)'!EQ40</f>
        <v>0</v>
      </c>
      <c r="EQ210" s="171">
        <f>'IS(M)'!ER40</f>
        <v>0</v>
      </c>
    </row>
    <row r="211" spans="3:147" ht="11.25" customHeight="1">
      <c r="C211" s="163"/>
      <c r="D211" s="169" t="s">
        <v>232</v>
      </c>
      <c r="I211" s="248"/>
      <c r="J211" s="170">
        <f>SUM(L211:EQ211)</f>
        <v>260348.4087102178</v>
      </c>
      <c r="K211" s="98"/>
      <c r="L211" s="171">
        <f>SUM(L209:L210)*Index!L$48</f>
        <v>0</v>
      </c>
      <c r="M211" s="171">
        <f>SUM(M209:M210)*Index!M$48</f>
        <v>0</v>
      </c>
      <c r="N211" s="171">
        <f>SUM(N209:N210)*Index!N$48</f>
        <v>0</v>
      </c>
      <c r="O211" s="171">
        <f>SUM(O209:O210)*Index!O$48</f>
        <v>0</v>
      </c>
      <c r="P211" s="171">
        <f>SUM(P209:P210)*Index!P$48</f>
        <v>0</v>
      </c>
      <c r="Q211" s="171">
        <f>SUM(Q209:Q210)*Index!Q$48</f>
        <v>0</v>
      </c>
      <c r="R211" s="171">
        <f>SUM(R209:R210)*Index!R$48</f>
        <v>13017.420435510887</v>
      </c>
      <c r="S211" s="171">
        <f>SUM(S209:S210)*Index!S$48</f>
        <v>0</v>
      </c>
      <c r="T211" s="171">
        <f>SUM(T209:T210)*Index!T$48</f>
        <v>0</v>
      </c>
      <c r="U211" s="171">
        <f>SUM(U209:U210)*Index!U$48</f>
        <v>0</v>
      </c>
      <c r="V211" s="171">
        <f>SUM(V209:V210)*Index!V$48</f>
        <v>0</v>
      </c>
      <c r="W211" s="171">
        <f>SUM(W209:W210)*Index!W$48</f>
        <v>0</v>
      </c>
      <c r="X211" s="171">
        <f>SUM(X209:X210)*Index!X$48</f>
        <v>13017.420435510887</v>
      </c>
      <c r="Y211" s="171">
        <f>SUM(Y209:Y210)*Index!Y$48</f>
        <v>0</v>
      </c>
      <c r="Z211" s="171">
        <f>SUM(Z209:Z210)*Index!Z$48</f>
        <v>0</v>
      </c>
      <c r="AA211" s="171">
        <f>SUM(AA209:AA210)*Index!AA$48</f>
        <v>0</v>
      </c>
      <c r="AB211" s="171">
        <f>SUM(AB209:AB210)*Index!AB$48</f>
        <v>0</v>
      </c>
      <c r="AC211" s="171">
        <f>SUM(AC209:AC210)*Index!AC$48</f>
        <v>0</v>
      </c>
      <c r="AD211" s="171">
        <f>SUM(AD209:AD210)*Index!AD$48</f>
        <v>13017.420435510887</v>
      </c>
      <c r="AE211" s="171">
        <f>SUM(AE209:AE210)*Index!AE$48</f>
        <v>0</v>
      </c>
      <c r="AF211" s="171">
        <f>SUM(AF209:AF210)*Index!AF$48</f>
        <v>0</v>
      </c>
      <c r="AG211" s="171">
        <f>SUM(AG209:AG210)*Index!AG$48</f>
        <v>0</v>
      </c>
      <c r="AH211" s="171">
        <f>SUM(AH209:AH210)*Index!AH$48</f>
        <v>0</v>
      </c>
      <c r="AI211" s="171">
        <f>SUM(AI209:AI210)*Index!AI$48</f>
        <v>0</v>
      </c>
      <c r="AJ211" s="171">
        <f>SUM(AJ209:AJ210)*Index!AJ$48</f>
        <v>13017.420435510887</v>
      </c>
      <c r="AK211" s="171">
        <f>SUM(AK209:AK210)*Index!AK$48</f>
        <v>0</v>
      </c>
      <c r="AL211" s="171">
        <f>SUM(AL209:AL210)*Index!AL$48</f>
        <v>0</v>
      </c>
      <c r="AM211" s="171">
        <f>SUM(AM209:AM210)*Index!AM$48</f>
        <v>0</v>
      </c>
      <c r="AN211" s="171">
        <f>SUM(AN209:AN210)*Index!AN$48</f>
        <v>0</v>
      </c>
      <c r="AO211" s="171">
        <f>SUM(AO209:AO210)*Index!AO$48</f>
        <v>0</v>
      </c>
      <c r="AP211" s="171">
        <f>SUM(AP209:AP210)*Index!AP$48</f>
        <v>13017.420435510887</v>
      </c>
      <c r="AQ211" s="171">
        <f>SUM(AQ209:AQ210)*Index!AQ$48</f>
        <v>0</v>
      </c>
      <c r="AR211" s="171">
        <f>SUM(AR209:AR210)*Index!AR$48</f>
        <v>0</v>
      </c>
      <c r="AS211" s="171">
        <f>SUM(AS209:AS210)*Index!AS$48</f>
        <v>0</v>
      </c>
      <c r="AT211" s="171">
        <f>SUM(AT209:AT210)*Index!AT$48</f>
        <v>0</v>
      </c>
      <c r="AU211" s="171">
        <f>SUM(AU209:AU210)*Index!AU$48</f>
        <v>0</v>
      </c>
      <c r="AV211" s="171">
        <f>SUM(AV209:AV210)*Index!AV$48</f>
        <v>13017.420435510887</v>
      </c>
      <c r="AW211" s="171">
        <f>SUM(AW209:AW210)*Index!AW$48</f>
        <v>0</v>
      </c>
      <c r="AX211" s="171">
        <f>SUM(AX209:AX210)*Index!AX$48</f>
        <v>0</v>
      </c>
      <c r="AY211" s="171">
        <f>SUM(AY209:AY210)*Index!AY$48</f>
        <v>0</v>
      </c>
      <c r="AZ211" s="171">
        <f>SUM(AZ209:AZ210)*Index!AZ$48</f>
        <v>0</v>
      </c>
      <c r="BA211" s="171">
        <f>SUM(BA209:BA210)*Index!BA$48</f>
        <v>0</v>
      </c>
      <c r="BB211" s="171">
        <f>SUM(BB209:BB210)*Index!BB$48</f>
        <v>13017.420435510887</v>
      </c>
      <c r="BC211" s="171">
        <f>SUM(BC209:BC210)*Index!BC$48</f>
        <v>0</v>
      </c>
      <c r="BD211" s="171">
        <f>SUM(BD209:BD210)*Index!BD$48</f>
        <v>0</v>
      </c>
      <c r="BE211" s="171">
        <f>SUM(BE209:BE210)*Index!BE$48</f>
        <v>0</v>
      </c>
      <c r="BF211" s="171">
        <f>SUM(BF209:BF210)*Index!BF$48</f>
        <v>0</v>
      </c>
      <c r="BG211" s="171">
        <f>SUM(BG209:BG210)*Index!BG$48</f>
        <v>0</v>
      </c>
      <c r="BH211" s="171">
        <f>SUM(BH209:BH210)*Index!BH$48</f>
        <v>13017.420435510887</v>
      </c>
      <c r="BI211" s="171">
        <f>SUM(BI209:BI210)*Index!BI$48</f>
        <v>0</v>
      </c>
      <c r="BJ211" s="171">
        <f>SUM(BJ209:BJ210)*Index!BJ$48</f>
        <v>0</v>
      </c>
      <c r="BK211" s="171">
        <f>SUM(BK209:BK210)*Index!BK$48</f>
        <v>0</v>
      </c>
      <c r="BL211" s="171">
        <f>SUM(BL209:BL210)*Index!BL$48</f>
        <v>0</v>
      </c>
      <c r="BM211" s="171">
        <f>SUM(BM209:BM210)*Index!BM$48</f>
        <v>0</v>
      </c>
      <c r="BN211" s="171">
        <f>SUM(BN209:BN210)*Index!BN$48</f>
        <v>13017.420435510887</v>
      </c>
      <c r="BO211" s="171">
        <f>SUM(BO209:BO210)*Index!BO$48</f>
        <v>0</v>
      </c>
      <c r="BP211" s="171">
        <f>SUM(BP209:BP210)*Index!BP$48</f>
        <v>0</v>
      </c>
      <c r="BQ211" s="171">
        <f>SUM(BQ209:BQ210)*Index!BQ$48</f>
        <v>0</v>
      </c>
      <c r="BR211" s="171">
        <f>SUM(BR209:BR210)*Index!BR$48</f>
        <v>0</v>
      </c>
      <c r="BS211" s="171">
        <f>SUM(BS209:BS210)*Index!BS$48</f>
        <v>0</v>
      </c>
      <c r="BT211" s="171">
        <f>SUM(BT209:BT210)*Index!BT$48</f>
        <v>13017.420435510887</v>
      </c>
      <c r="BU211" s="171">
        <f>SUM(BU209:BU210)*Index!BU$48</f>
        <v>0</v>
      </c>
      <c r="BV211" s="171">
        <f>SUM(BV209:BV210)*Index!BV$48</f>
        <v>0</v>
      </c>
      <c r="BW211" s="171">
        <f>SUM(BW209:BW210)*Index!BW$48</f>
        <v>0</v>
      </c>
      <c r="BX211" s="171">
        <f>SUM(BX209:BX210)*Index!BX$48</f>
        <v>0</v>
      </c>
      <c r="BY211" s="171">
        <f>SUM(BY209:BY210)*Index!BY$48</f>
        <v>0</v>
      </c>
      <c r="BZ211" s="171">
        <f>SUM(BZ209:BZ210)*Index!BZ$48</f>
        <v>13017.420435510887</v>
      </c>
      <c r="CA211" s="171">
        <f>SUM(CA209:CA210)*Index!CA$48</f>
        <v>0</v>
      </c>
      <c r="CB211" s="171">
        <f>SUM(CB209:CB210)*Index!CB$48</f>
        <v>0</v>
      </c>
      <c r="CC211" s="171">
        <f>SUM(CC209:CC210)*Index!CC$48</f>
        <v>0</v>
      </c>
      <c r="CD211" s="171">
        <f>SUM(CD209:CD210)*Index!CD$48</f>
        <v>0</v>
      </c>
      <c r="CE211" s="171">
        <f>SUM(CE209:CE210)*Index!CE$48</f>
        <v>0</v>
      </c>
      <c r="CF211" s="171">
        <f>SUM(CF209:CF210)*Index!CF$48</f>
        <v>13017.420435510887</v>
      </c>
      <c r="CG211" s="171">
        <f>SUM(CG209:CG210)*Index!CG$48</f>
        <v>0</v>
      </c>
      <c r="CH211" s="171">
        <f>SUM(CH209:CH210)*Index!CH$48</f>
        <v>0</v>
      </c>
      <c r="CI211" s="171">
        <f>SUM(CI209:CI210)*Index!CI$48</f>
        <v>0</v>
      </c>
      <c r="CJ211" s="171">
        <f>SUM(CJ209:CJ210)*Index!CJ$48</f>
        <v>0</v>
      </c>
      <c r="CK211" s="171">
        <f>SUM(CK209:CK210)*Index!CK$48</f>
        <v>0</v>
      </c>
      <c r="CL211" s="171">
        <f>SUM(CL209:CL210)*Index!CL$48</f>
        <v>13017.420435510887</v>
      </c>
      <c r="CM211" s="171">
        <f>SUM(CM209:CM210)*Index!CM$48</f>
        <v>0</v>
      </c>
      <c r="CN211" s="171">
        <f>SUM(CN209:CN210)*Index!CN$48</f>
        <v>0</v>
      </c>
      <c r="CO211" s="171">
        <f>SUM(CO209:CO210)*Index!CO$48</f>
        <v>0</v>
      </c>
      <c r="CP211" s="171">
        <f>SUM(CP209:CP210)*Index!CP$48</f>
        <v>0</v>
      </c>
      <c r="CQ211" s="171">
        <f>SUM(CQ209:CQ210)*Index!CQ$48</f>
        <v>0</v>
      </c>
      <c r="CR211" s="171">
        <f>SUM(CR209:CR210)*Index!CR$48</f>
        <v>13017.420435510887</v>
      </c>
      <c r="CS211" s="171">
        <f>SUM(CS209:CS210)*Index!CS$48</f>
        <v>0</v>
      </c>
      <c r="CT211" s="171">
        <f>SUM(CT209:CT210)*Index!CT$48</f>
        <v>0</v>
      </c>
      <c r="CU211" s="171">
        <f>SUM(CU209:CU210)*Index!CU$48</f>
        <v>0</v>
      </c>
      <c r="CV211" s="171">
        <f>SUM(CV209:CV210)*Index!CV$48</f>
        <v>0</v>
      </c>
      <c r="CW211" s="171">
        <f>SUM(CW209:CW210)*Index!CW$48</f>
        <v>0</v>
      </c>
      <c r="CX211" s="171">
        <f>SUM(CX209:CX210)*Index!CX$48</f>
        <v>13017.420435510887</v>
      </c>
      <c r="CY211" s="171">
        <f>SUM(CY209:CY210)*Index!CY$48</f>
        <v>0</v>
      </c>
      <c r="CZ211" s="171">
        <f>SUM(CZ209:CZ210)*Index!CZ$48</f>
        <v>0</v>
      </c>
      <c r="DA211" s="171">
        <f>SUM(DA209:DA210)*Index!DA$48</f>
        <v>0</v>
      </c>
      <c r="DB211" s="171">
        <f>SUM(DB209:DB210)*Index!DB$48</f>
        <v>0</v>
      </c>
      <c r="DC211" s="171">
        <f>SUM(DC209:DC210)*Index!DC$48</f>
        <v>0</v>
      </c>
      <c r="DD211" s="171">
        <f>SUM(DD209:DD210)*Index!DD$48</f>
        <v>13017.420435510887</v>
      </c>
      <c r="DE211" s="171">
        <f>SUM(DE209:DE210)*Index!DE$48</f>
        <v>0</v>
      </c>
      <c r="DF211" s="171">
        <f>SUM(DF209:DF210)*Index!DF$48</f>
        <v>0</v>
      </c>
      <c r="DG211" s="171">
        <f>SUM(DG209:DG210)*Index!DG$48</f>
        <v>0</v>
      </c>
      <c r="DH211" s="171">
        <f>SUM(DH209:DH210)*Index!DH$48</f>
        <v>0</v>
      </c>
      <c r="DI211" s="171">
        <f>SUM(DI209:DI210)*Index!DI$48</f>
        <v>0</v>
      </c>
      <c r="DJ211" s="171">
        <f>SUM(DJ209:DJ210)*Index!DJ$48</f>
        <v>13017.420435510887</v>
      </c>
      <c r="DK211" s="171">
        <f>SUM(DK209:DK210)*Index!DK$48</f>
        <v>0</v>
      </c>
      <c r="DL211" s="171">
        <f>SUM(DL209:DL210)*Index!DL$48</f>
        <v>0</v>
      </c>
      <c r="DM211" s="171">
        <f>SUM(DM209:DM210)*Index!DM$48</f>
        <v>0</v>
      </c>
      <c r="DN211" s="171">
        <f>SUM(DN209:DN210)*Index!DN$48</f>
        <v>0</v>
      </c>
      <c r="DO211" s="171">
        <f>SUM(DO209:DO210)*Index!DO$48</f>
        <v>0</v>
      </c>
      <c r="DP211" s="171">
        <f>SUM(DP209:DP210)*Index!DP$48</f>
        <v>13017.420435510887</v>
      </c>
      <c r="DQ211" s="171">
        <f>SUM(DQ209:DQ210)*Index!DQ$48</f>
        <v>0</v>
      </c>
      <c r="DR211" s="171">
        <f>SUM(DR209:DR210)*Index!DR$48</f>
        <v>0</v>
      </c>
      <c r="DS211" s="171">
        <f>SUM(DS209:DS210)*Index!DS$48</f>
        <v>0</v>
      </c>
      <c r="DT211" s="171">
        <f>SUM(DT209:DT210)*Index!DT$48</f>
        <v>0</v>
      </c>
      <c r="DU211" s="171">
        <f>SUM(DU209:DU210)*Index!DU$48</f>
        <v>0</v>
      </c>
      <c r="DV211" s="171">
        <f>SUM(DV209:DV210)*Index!DV$48</f>
        <v>13017.420435510887</v>
      </c>
      <c r="DW211" s="171">
        <f>SUM(DW209:DW210)*Index!DW$48</f>
        <v>0</v>
      </c>
      <c r="DX211" s="171">
        <f>SUM(DX209:DX210)*Index!DX$48</f>
        <v>0</v>
      </c>
      <c r="DY211" s="171">
        <f>SUM(DY209:DY210)*Index!DY$48</f>
        <v>0</v>
      </c>
      <c r="DZ211" s="171">
        <f>SUM(DZ209:DZ210)*Index!DZ$48</f>
        <v>0</v>
      </c>
      <c r="EA211" s="171">
        <f>SUM(EA209:EA210)*Index!EA$48</f>
        <v>0</v>
      </c>
      <c r="EB211" s="171">
        <f>SUM(EB209:EB210)*Index!EB$48</f>
        <v>13017.420435510887</v>
      </c>
      <c r="EC211" s="171">
        <f>SUM(EC209:EC210)*Index!EC$48</f>
        <v>0</v>
      </c>
      <c r="ED211" s="1321">
        <f>SUM(ED209:ED210)*Index!ED$48</f>
        <v>0</v>
      </c>
      <c r="EE211" s="171">
        <f>SUM(EE209:EE210)*Index!EE$48</f>
        <v>0</v>
      </c>
      <c r="EF211" s="171">
        <f>SUM(EF209:EF210)*Index!EF$48</f>
        <v>0</v>
      </c>
      <c r="EG211" s="171">
        <f>SUM(EG209:EG210)*Index!EG$48</f>
        <v>0</v>
      </c>
      <c r="EH211" s="171">
        <f>SUM(EH209:EH210)*Index!EH$48</f>
        <v>0</v>
      </c>
      <c r="EI211" s="171">
        <f>SUM(EI209:EI210)*Index!EI$48</f>
        <v>0</v>
      </c>
      <c r="EJ211" s="171">
        <f>SUM(EJ209:EJ210)*Index!EJ$48</f>
        <v>0</v>
      </c>
      <c r="EK211" s="171">
        <f>SUM(EK209:EK210)*Index!EK$48</f>
        <v>0</v>
      </c>
      <c r="EL211" s="171">
        <f>SUM(EL209:EL210)*Index!EL$48</f>
        <v>0</v>
      </c>
      <c r="EM211" s="171">
        <f>SUM(EM209:EM210)*Index!EM$48</f>
        <v>0</v>
      </c>
      <c r="EN211" s="171">
        <f>SUM(EN209:EN210)*Index!EN$48</f>
        <v>0</v>
      </c>
      <c r="EO211" s="171">
        <f>SUM(EO209:EO210)*Index!EO$48</f>
        <v>0</v>
      </c>
      <c r="EP211" s="171">
        <f>SUM(EP209:EP210)*Index!EP$48</f>
        <v>0</v>
      </c>
      <c r="EQ211" s="171">
        <f>SUM(EQ209:EQ210)*Index!EQ$48</f>
        <v>0</v>
      </c>
    </row>
    <row r="212" spans="3:147" ht="11.25" customHeight="1">
      <c r="C212" s="178"/>
      <c r="D212" s="179" t="s">
        <v>233</v>
      </c>
      <c r="E212" s="180"/>
      <c r="F212" s="180"/>
      <c r="G212" s="180"/>
      <c r="H212" s="181"/>
      <c r="I212" s="863"/>
      <c r="J212" s="183"/>
      <c r="K212" s="98"/>
      <c r="L212" s="184">
        <f t="shared" ref="L212:AQ212" si="457">L209+L210-L211</f>
        <v>0</v>
      </c>
      <c r="M212" s="184">
        <f t="shared" si="457"/>
        <v>2169.570072585148</v>
      </c>
      <c r="N212" s="184">
        <f t="shared" si="457"/>
        <v>4339.1401451702959</v>
      </c>
      <c r="O212" s="184">
        <f t="shared" si="457"/>
        <v>6508.7102177554443</v>
      </c>
      <c r="P212" s="184">
        <f t="shared" si="457"/>
        <v>8678.2802903405918</v>
      </c>
      <c r="Q212" s="184">
        <f t="shared" si="457"/>
        <v>10847.850362925739</v>
      </c>
      <c r="R212" s="184">
        <f t="shared" si="457"/>
        <v>0</v>
      </c>
      <c r="S212" s="184">
        <f t="shared" si="457"/>
        <v>2169.570072585148</v>
      </c>
      <c r="T212" s="184">
        <f t="shared" si="457"/>
        <v>4339.1401451702959</v>
      </c>
      <c r="U212" s="184">
        <f t="shared" si="457"/>
        <v>6508.7102177554443</v>
      </c>
      <c r="V212" s="184">
        <f t="shared" si="457"/>
        <v>8678.2802903405918</v>
      </c>
      <c r="W212" s="184">
        <f t="shared" si="457"/>
        <v>10847.850362925739</v>
      </c>
      <c r="X212" s="184">
        <f t="shared" si="457"/>
        <v>0</v>
      </c>
      <c r="Y212" s="184">
        <f t="shared" si="457"/>
        <v>2169.570072585148</v>
      </c>
      <c r="Z212" s="184">
        <f t="shared" si="457"/>
        <v>4339.1401451702959</v>
      </c>
      <c r="AA212" s="184">
        <f t="shared" si="457"/>
        <v>6508.7102177554443</v>
      </c>
      <c r="AB212" s="184">
        <f t="shared" si="457"/>
        <v>8678.2802903405918</v>
      </c>
      <c r="AC212" s="184">
        <f t="shared" si="457"/>
        <v>10847.850362925739</v>
      </c>
      <c r="AD212" s="184">
        <f t="shared" si="457"/>
        <v>0</v>
      </c>
      <c r="AE212" s="184">
        <f t="shared" si="457"/>
        <v>2169.570072585148</v>
      </c>
      <c r="AF212" s="184">
        <f t="shared" si="457"/>
        <v>4339.1401451702959</v>
      </c>
      <c r="AG212" s="184">
        <f t="shared" si="457"/>
        <v>6508.7102177554443</v>
      </c>
      <c r="AH212" s="184">
        <f t="shared" si="457"/>
        <v>8678.2802903405918</v>
      </c>
      <c r="AI212" s="184">
        <f t="shared" si="457"/>
        <v>10847.850362925739</v>
      </c>
      <c r="AJ212" s="184">
        <f t="shared" si="457"/>
        <v>0</v>
      </c>
      <c r="AK212" s="184">
        <f t="shared" si="457"/>
        <v>2169.570072585148</v>
      </c>
      <c r="AL212" s="184">
        <f t="shared" si="457"/>
        <v>4339.1401451702959</v>
      </c>
      <c r="AM212" s="184">
        <f t="shared" si="457"/>
        <v>6508.7102177554443</v>
      </c>
      <c r="AN212" s="184">
        <f t="shared" si="457"/>
        <v>8678.2802903405918</v>
      </c>
      <c r="AO212" s="184">
        <f t="shared" si="457"/>
        <v>10847.850362925739</v>
      </c>
      <c r="AP212" s="184">
        <f t="shared" si="457"/>
        <v>0</v>
      </c>
      <c r="AQ212" s="184">
        <f t="shared" si="457"/>
        <v>2169.570072585148</v>
      </c>
      <c r="AR212" s="184">
        <f t="shared" ref="AR212:BW212" si="458">AR209+AR210-AR211</f>
        <v>4339.1401451702959</v>
      </c>
      <c r="AS212" s="184">
        <f t="shared" si="458"/>
        <v>6508.7102177554443</v>
      </c>
      <c r="AT212" s="184">
        <f t="shared" si="458"/>
        <v>8678.2802903405918</v>
      </c>
      <c r="AU212" s="184">
        <f t="shared" si="458"/>
        <v>10847.850362925739</v>
      </c>
      <c r="AV212" s="184">
        <f t="shared" si="458"/>
        <v>0</v>
      </c>
      <c r="AW212" s="184">
        <f t="shared" si="458"/>
        <v>2169.570072585148</v>
      </c>
      <c r="AX212" s="184">
        <f t="shared" si="458"/>
        <v>4339.1401451702959</v>
      </c>
      <c r="AY212" s="184">
        <f t="shared" si="458"/>
        <v>6508.7102177554443</v>
      </c>
      <c r="AZ212" s="184">
        <f t="shared" si="458"/>
        <v>8678.2802903405918</v>
      </c>
      <c r="BA212" s="184">
        <f t="shared" si="458"/>
        <v>10847.850362925739</v>
      </c>
      <c r="BB212" s="184">
        <f t="shared" si="458"/>
        <v>0</v>
      </c>
      <c r="BC212" s="184">
        <f t="shared" si="458"/>
        <v>2169.570072585148</v>
      </c>
      <c r="BD212" s="184">
        <f t="shared" si="458"/>
        <v>4339.1401451702959</v>
      </c>
      <c r="BE212" s="184">
        <f t="shared" si="458"/>
        <v>6508.7102177554443</v>
      </c>
      <c r="BF212" s="184">
        <f t="shared" si="458"/>
        <v>8678.2802903405918</v>
      </c>
      <c r="BG212" s="184">
        <f t="shared" si="458"/>
        <v>10847.850362925739</v>
      </c>
      <c r="BH212" s="184">
        <f t="shared" si="458"/>
        <v>0</v>
      </c>
      <c r="BI212" s="184">
        <f t="shared" si="458"/>
        <v>2169.570072585148</v>
      </c>
      <c r="BJ212" s="184">
        <f t="shared" si="458"/>
        <v>4339.1401451702959</v>
      </c>
      <c r="BK212" s="184">
        <f t="shared" si="458"/>
        <v>6508.7102177554443</v>
      </c>
      <c r="BL212" s="184">
        <f t="shared" si="458"/>
        <v>8678.2802903405918</v>
      </c>
      <c r="BM212" s="184">
        <f t="shared" si="458"/>
        <v>10847.850362925739</v>
      </c>
      <c r="BN212" s="184">
        <f t="shared" si="458"/>
        <v>0</v>
      </c>
      <c r="BO212" s="184">
        <f t="shared" si="458"/>
        <v>2169.570072585148</v>
      </c>
      <c r="BP212" s="184">
        <f t="shared" si="458"/>
        <v>4339.1401451702959</v>
      </c>
      <c r="BQ212" s="184">
        <f t="shared" si="458"/>
        <v>6508.7102177554443</v>
      </c>
      <c r="BR212" s="184">
        <f t="shared" si="458"/>
        <v>8678.2802903405918</v>
      </c>
      <c r="BS212" s="184">
        <f t="shared" si="458"/>
        <v>10847.850362925739</v>
      </c>
      <c r="BT212" s="184">
        <f t="shared" si="458"/>
        <v>0</v>
      </c>
      <c r="BU212" s="184">
        <f t="shared" si="458"/>
        <v>2169.570072585148</v>
      </c>
      <c r="BV212" s="184">
        <f t="shared" si="458"/>
        <v>4339.1401451702959</v>
      </c>
      <c r="BW212" s="184">
        <f t="shared" si="458"/>
        <v>6508.7102177554443</v>
      </c>
      <c r="BX212" s="184">
        <f t="shared" ref="BX212:DC212" si="459">BX209+BX210-BX211</f>
        <v>8678.2802903405918</v>
      </c>
      <c r="BY212" s="184">
        <f t="shared" si="459"/>
        <v>10847.850362925739</v>
      </c>
      <c r="BZ212" s="184">
        <f t="shared" si="459"/>
        <v>0</v>
      </c>
      <c r="CA212" s="184">
        <f t="shared" si="459"/>
        <v>2169.570072585148</v>
      </c>
      <c r="CB212" s="184">
        <f t="shared" si="459"/>
        <v>4339.1401451702959</v>
      </c>
      <c r="CC212" s="184">
        <f t="shared" si="459"/>
        <v>6508.7102177554443</v>
      </c>
      <c r="CD212" s="184">
        <f t="shared" si="459"/>
        <v>8678.2802903405918</v>
      </c>
      <c r="CE212" s="184">
        <f t="shared" si="459"/>
        <v>10847.850362925739</v>
      </c>
      <c r="CF212" s="184">
        <f t="shared" si="459"/>
        <v>0</v>
      </c>
      <c r="CG212" s="184">
        <f t="shared" si="459"/>
        <v>2169.570072585148</v>
      </c>
      <c r="CH212" s="184">
        <f t="shared" si="459"/>
        <v>4339.1401451702959</v>
      </c>
      <c r="CI212" s="184">
        <f t="shared" si="459"/>
        <v>6508.7102177554443</v>
      </c>
      <c r="CJ212" s="184">
        <f t="shared" si="459"/>
        <v>8678.2802903405918</v>
      </c>
      <c r="CK212" s="184">
        <f t="shared" si="459"/>
        <v>10847.850362925739</v>
      </c>
      <c r="CL212" s="184">
        <f t="shared" si="459"/>
        <v>0</v>
      </c>
      <c r="CM212" s="184">
        <f t="shared" si="459"/>
        <v>2169.570072585148</v>
      </c>
      <c r="CN212" s="184">
        <f t="shared" si="459"/>
        <v>4339.1401451702959</v>
      </c>
      <c r="CO212" s="184">
        <f t="shared" si="459"/>
        <v>6508.7102177554443</v>
      </c>
      <c r="CP212" s="184">
        <f t="shared" si="459"/>
        <v>8678.2802903405918</v>
      </c>
      <c r="CQ212" s="184">
        <f t="shared" si="459"/>
        <v>10847.850362925739</v>
      </c>
      <c r="CR212" s="184">
        <f t="shared" si="459"/>
        <v>0</v>
      </c>
      <c r="CS212" s="184">
        <f t="shared" si="459"/>
        <v>2169.570072585148</v>
      </c>
      <c r="CT212" s="184">
        <f t="shared" si="459"/>
        <v>4339.1401451702959</v>
      </c>
      <c r="CU212" s="184">
        <f t="shared" si="459"/>
        <v>6508.7102177554443</v>
      </c>
      <c r="CV212" s="184">
        <f t="shared" si="459"/>
        <v>8678.2802903405918</v>
      </c>
      <c r="CW212" s="184">
        <f t="shared" si="459"/>
        <v>10847.850362925739</v>
      </c>
      <c r="CX212" s="184">
        <f t="shared" si="459"/>
        <v>0</v>
      </c>
      <c r="CY212" s="184">
        <f t="shared" si="459"/>
        <v>2169.570072585148</v>
      </c>
      <c r="CZ212" s="184">
        <f t="shared" si="459"/>
        <v>4339.1401451702959</v>
      </c>
      <c r="DA212" s="184">
        <f t="shared" si="459"/>
        <v>6508.7102177554443</v>
      </c>
      <c r="DB212" s="184">
        <f t="shared" si="459"/>
        <v>8678.2802903405918</v>
      </c>
      <c r="DC212" s="184">
        <f t="shared" si="459"/>
        <v>10847.850362925739</v>
      </c>
      <c r="DD212" s="184">
        <f t="shared" ref="DD212:DT212" si="460">DD209+DD210-DD211</f>
        <v>0</v>
      </c>
      <c r="DE212" s="184">
        <f t="shared" si="460"/>
        <v>2169.570072585148</v>
      </c>
      <c r="DF212" s="184">
        <f t="shared" si="460"/>
        <v>4339.1401451702959</v>
      </c>
      <c r="DG212" s="184">
        <f t="shared" si="460"/>
        <v>6508.7102177554443</v>
      </c>
      <c r="DH212" s="184">
        <f t="shared" si="460"/>
        <v>8678.2802903405918</v>
      </c>
      <c r="DI212" s="184">
        <f t="shared" si="460"/>
        <v>10847.850362925739</v>
      </c>
      <c r="DJ212" s="184">
        <f t="shared" si="460"/>
        <v>0</v>
      </c>
      <c r="DK212" s="184">
        <f t="shared" si="460"/>
        <v>2169.570072585148</v>
      </c>
      <c r="DL212" s="184">
        <f t="shared" si="460"/>
        <v>4339.1401451702959</v>
      </c>
      <c r="DM212" s="184">
        <f t="shared" si="460"/>
        <v>6508.7102177554443</v>
      </c>
      <c r="DN212" s="184">
        <f t="shared" si="460"/>
        <v>8678.2802903405918</v>
      </c>
      <c r="DO212" s="184">
        <f t="shared" si="460"/>
        <v>10847.850362925739</v>
      </c>
      <c r="DP212" s="184">
        <f t="shared" si="460"/>
        <v>0</v>
      </c>
      <c r="DQ212" s="184">
        <f t="shared" si="460"/>
        <v>2169.570072585148</v>
      </c>
      <c r="DR212" s="184">
        <f t="shared" si="460"/>
        <v>4339.1401451702959</v>
      </c>
      <c r="DS212" s="184">
        <f t="shared" si="460"/>
        <v>6508.7102177554443</v>
      </c>
      <c r="DT212" s="184">
        <f t="shared" si="460"/>
        <v>8678.2802903405918</v>
      </c>
      <c r="DU212" s="184">
        <f t="shared" ref="DU212:EA212" si="461">DU209+DU210-DU211</f>
        <v>10847.850362925739</v>
      </c>
      <c r="DV212" s="184">
        <f t="shared" si="461"/>
        <v>0</v>
      </c>
      <c r="DW212" s="184">
        <f t="shared" si="461"/>
        <v>2169.570072585148</v>
      </c>
      <c r="DX212" s="184">
        <f t="shared" si="461"/>
        <v>4339.1401451702959</v>
      </c>
      <c r="DY212" s="184">
        <f t="shared" si="461"/>
        <v>6508.7102177554443</v>
      </c>
      <c r="DZ212" s="184">
        <f t="shared" si="461"/>
        <v>8678.2802903405918</v>
      </c>
      <c r="EA212" s="184">
        <f t="shared" si="461"/>
        <v>10847.850362925739</v>
      </c>
      <c r="EB212" s="184">
        <f t="shared" ref="EB212:EQ212" si="462">EB209+EB210-EB211</f>
        <v>0</v>
      </c>
      <c r="EC212" s="184">
        <f t="shared" si="462"/>
        <v>0</v>
      </c>
      <c r="ED212" s="1324">
        <f t="shared" si="462"/>
        <v>0</v>
      </c>
      <c r="EE212" s="184">
        <f t="shared" si="462"/>
        <v>0</v>
      </c>
      <c r="EF212" s="184">
        <f t="shared" si="462"/>
        <v>0</v>
      </c>
      <c r="EG212" s="184">
        <f t="shared" si="462"/>
        <v>0</v>
      </c>
      <c r="EH212" s="184">
        <f t="shared" si="462"/>
        <v>0</v>
      </c>
      <c r="EI212" s="184">
        <f t="shared" si="462"/>
        <v>0</v>
      </c>
      <c r="EJ212" s="184">
        <f t="shared" si="462"/>
        <v>0</v>
      </c>
      <c r="EK212" s="184">
        <f t="shared" si="462"/>
        <v>0</v>
      </c>
      <c r="EL212" s="184">
        <f t="shared" si="462"/>
        <v>0</v>
      </c>
      <c r="EM212" s="184">
        <f t="shared" si="462"/>
        <v>0</v>
      </c>
      <c r="EN212" s="184">
        <f t="shared" si="462"/>
        <v>0</v>
      </c>
      <c r="EO212" s="184">
        <f t="shared" si="462"/>
        <v>0</v>
      </c>
      <c r="EP212" s="184">
        <f t="shared" si="462"/>
        <v>0</v>
      </c>
      <c r="EQ212" s="184">
        <f t="shared" si="462"/>
        <v>0</v>
      </c>
    </row>
    <row r="213" spans="3:147">
      <c r="N213" s="13"/>
    </row>
    <row r="214" spans="3:147" ht="11.25" customHeight="1">
      <c r="C214" s="155" t="s">
        <v>516</v>
      </c>
      <c r="D214" s="155"/>
      <c r="E214" s="155"/>
      <c r="F214" s="155"/>
      <c r="G214" s="155"/>
      <c r="H214" s="191"/>
      <c r="I214" s="192"/>
      <c r="J214" s="156"/>
      <c r="L214" s="157">
        <f>L$97</f>
        <v>46326</v>
      </c>
      <c r="M214" s="157">
        <f t="shared" ref="M214:BX214" si="463">M$97</f>
        <v>46356</v>
      </c>
      <c r="N214" s="157">
        <f t="shared" si="463"/>
        <v>46387</v>
      </c>
      <c r="O214" s="157">
        <f t="shared" si="463"/>
        <v>46418</v>
      </c>
      <c r="P214" s="157">
        <f t="shared" si="463"/>
        <v>46446</v>
      </c>
      <c r="Q214" s="157">
        <f t="shared" si="463"/>
        <v>46477</v>
      </c>
      <c r="R214" s="157">
        <f t="shared" si="463"/>
        <v>46507</v>
      </c>
      <c r="S214" s="157">
        <f t="shared" si="463"/>
        <v>46538</v>
      </c>
      <c r="T214" s="157">
        <f t="shared" si="463"/>
        <v>46568</v>
      </c>
      <c r="U214" s="157">
        <f t="shared" si="463"/>
        <v>46599</v>
      </c>
      <c r="V214" s="157">
        <f t="shared" si="463"/>
        <v>46630</v>
      </c>
      <c r="W214" s="157">
        <f t="shared" si="463"/>
        <v>46660</v>
      </c>
      <c r="X214" s="157">
        <f t="shared" si="463"/>
        <v>46691</v>
      </c>
      <c r="Y214" s="157">
        <f t="shared" si="463"/>
        <v>46721</v>
      </c>
      <c r="Z214" s="157">
        <f t="shared" si="463"/>
        <v>46752</v>
      </c>
      <c r="AA214" s="157">
        <f t="shared" si="463"/>
        <v>46783</v>
      </c>
      <c r="AB214" s="157">
        <f t="shared" si="463"/>
        <v>46812</v>
      </c>
      <c r="AC214" s="157">
        <f t="shared" si="463"/>
        <v>46843</v>
      </c>
      <c r="AD214" s="157">
        <f t="shared" si="463"/>
        <v>46873</v>
      </c>
      <c r="AE214" s="157">
        <f t="shared" si="463"/>
        <v>46904</v>
      </c>
      <c r="AF214" s="157">
        <f t="shared" si="463"/>
        <v>46934</v>
      </c>
      <c r="AG214" s="157">
        <f t="shared" si="463"/>
        <v>46965</v>
      </c>
      <c r="AH214" s="157">
        <f t="shared" si="463"/>
        <v>46996</v>
      </c>
      <c r="AI214" s="157">
        <f t="shared" si="463"/>
        <v>47026</v>
      </c>
      <c r="AJ214" s="157">
        <f t="shared" si="463"/>
        <v>47057</v>
      </c>
      <c r="AK214" s="157">
        <f t="shared" si="463"/>
        <v>47087</v>
      </c>
      <c r="AL214" s="157">
        <f t="shared" si="463"/>
        <v>47118</v>
      </c>
      <c r="AM214" s="157">
        <f t="shared" si="463"/>
        <v>47149</v>
      </c>
      <c r="AN214" s="157">
        <f t="shared" si="463"/>
        <v>47177</v>
      </c>
      <c r="AO214" s="157">
        <f t="shared" si="463"/>
        <v>47208</v>
      </c>
      <c r="AP214" s="157">
        <f t="shared" si="463"/>
        <v>47238</v>
      </c>
      <c r="AQ214" s="157">
        <f t="shared" si="463"/>
        <v>47269</v>
      </c>
      <c r="AR214" s="157">
        <f t="shared" si="463"/>
        <v>47299</v>
      </c>
      <c r="AS214" s="157">
        <f t="shared" si="463"/>
        <v>47330</v>
      </c>
      <c r="AT214" s="157">
        <f t="shared" si="463"/>
        <v>47361</v>
      </c>
      <c r="AU214" s="157">
        <f t="shared" si="463"/>
        <v>47391</v>
      </c>
      <c r="AV214" s="157">
        <f t="shared" si="463"/>
        <v>47422</v>
      </c>
      <c r="AW214" s="157">
        <f t="shared" si="463"/>
        <v>47452</v>
      </c>
      <c r="AX214" s="157">
        <f t="shared" si="463"/>
        <v>47483</v>
      </c>
      <c r="AY214" s="157">
        <f t="shared" si="463"/>
        <v>47514</v>
      </c>
      <c r="AZ214" s="157">
        <f t="shared" si="463"/>
        <v>47542</v>
      </c>
      <c r="BA214" s="157">
        <f t="shared" si="463"/>
        <v>47573</v>
      </c>
      <c r="BB214" s="157">
        <f t="shared" si="463"/>
        <v>47603</v>
      </c>
      <c r="BC214" s="157">
        <f t="shared" si="463"/>
        <v>47634</v>
      </c>
      <c r="BD214" s="157">
        <f t="shared" si="463"/>
        <v>47664</v>
      </c>
      <c r="BE214" s="157">
        <f t="shared" si="463"/>
        <v>47695</v>
      </c>
      <c r="BF214" s="157">
        <f t="shared" si="463"/>
        <v>47726</v>
      </c>
      <c r="BG214" s="157">
        <f t="shared" si="463"/>
        <v>47756</v>
      </c>
      <c r="BH214" s="157">
        <f t="shared" si="463"/>
        <v>47787</v>
      </c>
      <c r="BI214" s="157">
        <f t="shared" si="463"/>
        <v>47817</v>
      </c>
      <c r="BJ214" s="157">
        <f t="shared" si="463"/>
        <v>47848</v>
      </c>
      <c r="BK214" s="157">
        <f t="shared" si="463"/>
        <v>47879</v>
      </c>
      <c r="BL214" s="157">
        <f t="shared" si="463"/>
        <v>47907</v>
      </c>
      <c r="BM214" s="157">
        <f t="shared" si="463"/>
        <v>47938</v>
      </c>
      <c r="BN214" s="157">
        <f t="shared" si="463"/>
        <v>47968</v>
      </c>
      <c r="BO214" s="157">
        <f t="shared" si="463"/>
        <v>47999</v>
      </c>
      <c r="BP214" s="157">
        <f t="shared" si="463"/>
        <v>48029</v>
      </c>
      <c r="BQ214" s="157">
        <f t="shared" si="463"/>
        <v>48060</v>
      </c>
      <c r="BR214" s="157">
        <f t="shared" si="463"/>
        <v>48091</v>
      </c>
      <c r="BS214" s="157">
        <f t="shared" si="463"/>
        <v>48121</v>
      </c>
      <c r="BT214" s="157">
        <f t="shared" si="463"/>
        <v>48152</v>
      </c>
      <c r="BU214" s="157">
        <f t="shared" si="463"/>
        <v>48182</v>
      </c>
      <c r="BV214" s="157">
        <f t="shared" si="463"/>
        <v>48213</v>
      </c>
      <c r="BW214" s="157">
        <f t="shared" si="463"/>
        <v>48244</v>
      </c>
      <c r="BX214" s="157">
        <f t="shared" si="463"/>
        <v>48273</v>
      </c>
      <c r="BY214" s="157">
        <f t="shared" ref="BY214:EQ214" si="464">BY$97</f>
        <v>48304</v>
      </c>
      <c r="BZ214" s="157">
        <f t="shared" si="464"/>
        <v>48334</v>
      </c>
      <c r="CA214" s="157">
        <f t="shared" si="464"/>
        <v>48365</v>
      </c>
      <c r="CB214" s="157">
        <f t="shared" si="464"/>
        <v>48395</v>
      </c>
      <c r="CC214" s="157">
        <f t="shared" si="464"/>
        <v>48426</v>
      </c>
      <c r="CD214" s="157">
        <f t="shared" si="464"/>
        <v>48457</v>
      </c>
      <c r="CE214" s="157">
        <f t="shared" si="464"/>
        <v>48487</v>
      </c>
      <c r="CF214" s="157">
        <f t="shared" si="464"/>
        <v>48518</v>
      </c>
      <c r="CG214" s="157">
        <f t="shared" si="464"/>
        <v>48548</v>
      </c>
      <c r="CH214" s="157">
        <f t="shared" si="464"/>
        <v>48579</v>
      </c>
      <c r="CI214" s="157">
        <f t="shared" si="464"/>
        <v>48610</v>
      </c>
      <c r="CJ214" s="157">
        <f t="shared" si="464"/>
        <v>48638</v>
      </c>
      <c r="CK214" s="157">
        <f t="shared" si="464"/>
        <v>48669</v>
      </c>
      <c r="CL214" s="157">
        <f t="shared" si="464"/>
        <v>48699</v>
      </c>
      <c r="CM214" s="157">
        <f t="shared" si="464"/>
        <v>48730</v>
      </c>
      <c r="CN214" s="157">
        <f t="shared" si="464"/>
        <v>48760</v>
      </c>
      <c r="CO214" s="157">
        <f t="shared" si="464"/>
        <v>48791</v>
      </c>
      <c r="CP214" s="157">
        <f t="shared" si="464"/>
        <v>48822</v>
      </c>
      <c r="CQ214" s="157">
        <f t="shared" si="464"/>
        <v>48852</v>
      </c>
      <c r="CR214" s="157">
        <f t="shared" si="464"/>
        <v>48883</v>
      </c>
      <c r="CS214" s="157">
        <f t="shared" si="464"/>
        <v>48913</v>
      </c>
      <c r="CT214" s="157">
        <f t="shared" si="464"/>
        <v>48944</v>
      </c>
      <c r="CU214" s="157">
        <f t="shared" si="464"/>
        <v>48975</v>
      </c>
      <c r="CV214" s="157">
        <f t="shared" si="464"/>
        <v>49003</v>
      </c>
      <c r="CW214" s="157">
        <f t="shared" si="464"/>
        <v>49034</v>
      </c>
      <c r="CX214" s="157">
        <f t="shared" si="464"/>
        <v>49064</v>
      </c>
      <c r="CY214" s="157">
        <f t="shared" si="464"/>
        <v>49095</v>
      </c>
      <c r="CZ214" s="157">
        <f t="shared" si="464"/>
        <v>49125</v>
      </c>
      <c r="DA214" s="157">
        <f t="shared" si="464"/>
        <v>49156</v>
      </c>
      <c r="DB214" s="157">
        <f t="shared" si="464"/>
        <v>49187</v>
      </c>
      <c r="DC214" s="157">
        <f t="shared" si="464"/>
        <v>49217</v>
      </c>
      <c r="DD214" s="157">
        <f t="shared" si="464"/>
        <v>49248</v>
      </c>
      <c r="DE214" s="157">
        <f t="shared" si="464"/>
        <v>49278</v>
      </c>
      <c r="DF214" s="157">
        <f t="shared" si="464"/>
        <v>49309</v>
      </c>
      <c r="DG214" s="157">
        <f t="shared" si="464"/>
        <v>49340</v>
      </c>
      <c r="DH214" s="157">
        <f t="shared" si="464"/>
        <v>49368</v>
      </c>
      <c r="DI214" s="157">
        <f t="shared" si="464"/>
        <v>49399</v>
      </c>
      <c r="DJ214" s="157">
        <f t="shared" si="464"/>
        <v>49429</v>
      </c>
      <c r="DK214" s="157">
        <f t="shared" si="464"/>
        <v>49460</v>
      </c>
      <c r="DL214" s="157">
        <f t="shared" si="464"/>
        <v>49490</v>
      </c>
      <c r="DM214" s="157">
        <f t="shared" si="464"/>
        <v>49521</v>
      </c>
      <c r="DN214" s="157">
        <f t="shared" si="464"/>
        <v>49552</v>
      </c>
      <c r="DO214" s="157">
        <f t="shared" si="464"/>
        <v>49582</v>
      </c>
      <c r="DP214" s="157">
        <f t="shared" si="464"/>
        <v>49613</v>
      </c>
      <c r="DQ214" s="157">
        <f t="shared" si="464"/>
        <v>49643</v>
      </c>
      <c r="DR214" s="157">
        <f t="shared" si="464"/>
        <v>49674</v>
      </c>
      <c r="DS214" s="157">
        <f t="shared" si="464"/>
        <v>49705</v>
      </c>
      <c r="DT214" s="157">
        <f t="shared" si="464"/>
        <v>49734</v>
      </c>
      <c r="DU214" s="157">
        <f t="shared" si="464"/>
        <v>49765</v>
      </c>
      <c r="DV214" s="157">
        <f t="shared" si="464"/>
        <v>49795</v>
      </c>
      <c r="DW214" s="157">
        <f t="shared" si="464"/>
        <v>49826</v>
      </c>
      <c r="DX214" s="157">
        <f t="shared" si="464"/>
        <v>49856</v>
      </c>
      <c r="DY214" s="157">
        <f t="shared" si="464"/>
        <v>49887</v>
      </c>
      <c r="DZ214" s="157">
        <f t="shared" si="464"/>
        <v>49918</v>
      </c>
      <c r="EA214" s="157">
        <f t="shared" si="464"/>
        <v>49948</v>
      </c>
      <c r="EB214" s="157">
        <f t="shared" si="464"/>
        <v>49979</v>
      </c>
      <c r="EC214" s="157">
        <f t="shared" si="464"/>
        <v>50009</v>
      </c>
      <c r="ED214" s="1318">
        <f t="shared" si="464"/>
        <v>50040</v>
      </c>
      <c r="EE214" s="157">
        <f t="shared" si="464"/>
        <v>50071</v>
      </c>
      <c r="EF214" s="157">
        <f t="shared" si="464"/>
        <v>50099</v>
      </c>
      <c r="EG214" s="157">
        <f t="shared" si="464"/>
        <v>50130</v>
      </c>
      <c r="EH214" s="157">
        <f t="shared" si="464"/>
        <v>50160</v>
      </c>
      <c r="EI214" s="157">
        <f t="shared" si="464"/>
        <v>50191</v>
      </c>
      <c r="EJ214" s="157">
        <f t="shared" si="464"/>
        <v>50221</v>
      </c>
      <c r="EK214" s="157">
        <f t="shared" si="464"/>
        <v>50252</v>
      </c>
      <c r="EL214" s="157">
        <f t="shared" si="464"/>
        <v>50283</v>
      </c>
      <c r="EM214" s="157">
        <f t="shared" si="464"/>
        <v>50313</v>
      </c>
      <c r="EN214" s="157">
        <f t="shared" si="464"/>
        <v>50344</v>
      </c>
      <c r="EO214" s="157">
        <f t="shared" si="464"/>
        <v>50374</v>
      </c>
      <c r="EP214" s="157">
        <f t="shared" si="464"/>
        <v>50405</v>
      </c>
      <c r="EQ214" s="157">
        <f t="shared" si="464"/>
        <v>50436</v>
      </c>
    </row>
    <row r="215" spans="3:147" ht="11.25" customHeight="1">
      <c r="C215" s="158" t="s">
        <v>240</v>
      </c>
      <c r="D215" s="159"/>
      <c r="E215" s="159"/>
      <c r="F215" s="159"/>
      <c r="G215" s="159"/>
      <c r="H215" s="160"/>
      <c r="I215" s="219"/>
      <c r="J215" s="161"/>
      <c r="K215" s="98"/>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162"/>
      <c r="AK215" s="162"/>
      <c r="AL215" s="162"/>
      <c r="AM215" s="162"/>
      <c r="AN215" s="162"/>
      <c r="AO215" s="162"/>
      <c r="AP215" s="162"/>
      <c r="AQ215" s="162"/>
      <c r="AR215" s="162"/>
      <c r="AS215" s="162"/>
      <c r="AT215" s="162"/>
      <c r="AU215" s="162"/>
      <c r="AV215" s="162"/>
      <c r="AW215" s="162"/>
      <c r="AX215" s="162"/>
      <c r="AY215" s="162"/>
      <c r="AZ215" s="162"/>
      <c r="BA215" s="162"/>
      <c r="BB215" s="162"/>
      <c r="BC215" s="162"/>
      <c r="BD215" s="162"/>
      <c r="BE215" s="162"/>
      <c r="BF215" s="162"/>
      <c r="BG215" s="162"/>
      <c r="BH215" s="162"/>
      <c r="BI215" s="162"/>
      <c r="BJ215" s="162"/>
      <c r="BK215" s="162"/>
      <c r="BL215" s="162"/>
      <c r="BM215" s="162"/>
      <c r="BN215" s="162"/>
      <c r="BO215" s="162"/>
      <c r="BP215" s="162"/>
      <c r="BQ215" s="162"/>
      <c r="BR215" s="162"/>
      <c r="BS215" s="162"/>
      <c r="BT215" s="162"/>
      <c r="BU215" s="162"/>
      <c r="BV215" s="162"/>
      <c r="BW215" s="162"/>
      <c r="BX215" s="162"/>
      <c r="BY215" s="162"/>
      <c r="BZ215" s="162"/>
      <c r="CA215" s="162"/>
      <c r="CB215" s="162"/>
      <c r="CC215" s="162"/>
      <c r="CD215" s="162"/>
      <c r="CE215" s="162"/>
      <c r="CF215" s="162"/>
      <c r="CG215" s="162"/>
      <c r="CH215" s="162"/>
      <c r="CI215" s="162"/>
      <c r="CJ215" s="162"/>
      <c r="CK215" s="162"/>
      <c r="CL215" s="162"/>
      <c r="CM215" s="162"/>
      <c r="CN215" s="162"/>
      <c r="CO215" s="162"/>
      <c r="CP215" s="162"/>
      <c r="CQ215" s="162"/>
      <c r="CR215" s="162"/>
      <c r="CS215" s="162"/>
      <c r="CT215" s="162"/>
      <c r="CU215" s="162"/>
      <c r="CV215" s="162"/>
      <c r="CW215" s="162"/>
      <c r="CX215" s="162"/>
      <c r="CY215" s="162"/>
      <c r="CZ215" s="162"/>
      <c r="DA215" s="162"/>
      <c r="DB215" s="162"/>
      <c r="DC215" s="162"/>
      <c r="DD215" s="162"/>
      <c r="DE215" s="162"/>
      <c r="DF215" s="162"/>
      <c r="DG215" s="162"/>
      <c r="DH215" s="162"/>
      <c r="DI215" s="162"/>
      <c r="DJ215" s="162"/>
      <c r="DK215" s="162"/>
      <c r="DL215" s="162"/>
      <c r="DM215" s="162"/>
      <c r="DN215" s="162"/>
      <c r="DO215" s="162"/>
      <c r="DP215" s="162"/>
      <c r="DQ215" s="162"/>
      <c r="DR215" s="162"/>
      <c r="DS215" s="162"/>
      <c r="DT215" s="162"/>
      <c r="DU215" s="162"/>
      <c r="DV215" s="162"/>
      <c r="DW215" s="162"/>
      <c r="DX215" s="162"/>
      <c r="DY215" s="162"/>
      <c r="DZ215" s="162"/>
      <c r="EA215" s="162"/>
      <c r="EB215" s="162"/>
      <c r="EC215" s="162"/>
      <c r="ED215" s="1319"/>
      <c r="EE215" s="162"/>
      <c r="EF215" s="162"/>
      <c r="EG215" s="162"/>
      <c r="EH215" s="162"/>
      <c r="EI215" s="162"/>
      <c r="EJ215" s="162"/>
      <c r="EK215" s="162"/>
      <c r="EL215" s="162"/>
      <c r="EM215" s="162"/>
      <c r="EN215" s="162"/>
      <c r="EO215" s="162"/>
      <c r="EP215" s="162"/>
      <c r="EQ215" s="162"/>
    </row>
    <row r="216" spans="3:147" ht="11.25" customHeight="1">
      <c r="C216" s="163"/>
      <c r="D216" s="164" t="s">
        <v>217</v>
      </c>
      <c r="E216" s="165"/>
      <c r="F216" s="165"/>
      <c r="G216" s="165"/>
      <c r="H216" s="166"/>
      <c r="I216" s="221"/>
      <c r="J216" s="167"/>
      <c r="K216" s="98"/>
      <c r="L216" s="168">
        <f t="shared" ref="L216:AQ216" si="465">K219</f>
        <v>0</v>
      </c>
      <c r="M216" s="168">
        <f t="shared" si="465"/>
        <v>152192520</v>
      </c>
      <c r="N216" s="168">
        <f t="shared" si="465"/>
        <v>152192520</v>
      </c>
      <c r="O216" s="168">
        <f t="shared" si="465"/>
        <v>152192520</v>
      </c>
      <c r="P216" s="168">
        <f t="shared" si="465"/>
        <v>152192520</v>
      </c>
      <c r="Q216" s="168">
        <f t="shared" si="465"/>
        <v>152192520</v>
      </c>
      <c r="R216" s="168">
        <f t="shared" si="465"/>
        <v>152192520</v>
      </c>
      <c r="S216" s="168">
        <f t="shared" si="465"/>
        <v>152192520</v>
      </c>
      <c r="T216" s="168">
        <f t="shared" si="465"/>
        <v>152192520</v>
      </c>
      <c r="U216" s="168">
        <f t="shared" si="465"/>
        <v>152192520</v>
      </c>
      <c r="V216" s="168">
        <f t="shared" si="465"/>
        <v>152192520</v>
      </c>
      <c r="W216" s="168">
        <f t="shared" si="465"/>
        <v>152192520</v>
      </c>
      <c r="X216" s="168">
        <f t="shared" si="465"/>
        <v>152192520</v>
      </c>
      <c r="Y216" s="168">
        <f t="shared" si="465"/>
        <v>152192520</v>
      </c>
      <c r="Z216" s="168">
        <f t="shared" si="465"/>
        <v>152192520</v>
      </c>
      <c r="AA216" s="168">
        <f t="shared" si="465"/>
        <v>152192520</v>
      </c>
      <c r="AB216" s="168">
        <f t="shared" si="465"/>
        <v>152192520</v>
      </c>
      <c r="AC216" s="168">
        <f t="shared" si="465"/>
        <v>152192520</v>
      </c>
      <c r="AD216" s="168">
        <f t="shared" si="465"/>
        <v>152192520</v>
      </c>
      <c r="AE216" s="168">
        <f t="shared" si="465"/>
        <v>152192520</v>
      </c>
      <c r="AF216" s="168">
        <f t="shared" si="465"/>
        <v>152192520</v>
      </c>
      <c r="AG216" s="168">
        <f t="shared" si="465"/>
        <v>152192520</v>
      </c>
      <c r="AH216" s="168">
        <f t="shared" si="465"/>
        <v>152192520</v>
      </c>
      <c r="AI216" s="168">
        <f t="shared" si="465"/>
        <v>152192520</v>
      </c>
      <c r="AJ216" s="168">
        <f t="shared" si="465"/>
        <v>152192520</v>
      </c>
      <c r="AK216" s="168">
        <f t="shared" si="465"/>
        <v>152192520</v>
      </c>
      <c r="AL216" s="168">
        <f t="shared" si="465"/>
        <v>152192520</v>
      </c>
      <c r="AM216" s="168">
        <f t="shared" si="465"/>
        <v>152192520</v>
      </c>
      <c r="AN216" s="168">
        <f t="shared" si="465"/>
        <v>152192520</v>
      </c>
      <c r="AO216" s="168">
        <f t="shared" si="465"/>
        <v>152192520</v>
      </c>
      <c r="AP216" s="168">
        <f t="shared" si="465"/>
        <v>152192520</v>
      </c>
      <c r="AQ216" s="168">
        <f t="shared" si="465"/>
        <v>152192520</v>
      </c>
      <c r="AR216" s="168">
        <f t="shared" ref="AR216:BW216" si="466">AQ219</f>
        <v>152192520</v>
      </c>
      <c r="AS216" s="168">
        <f t="shared" si="466"/>
        <v>152192520</v>
      </c>
      <c r="AT216" s="168">
        <f t="shared" si="466"/>
        <v>152192520</v>
      </c>
      <c r="AU216" s="168">
        <f t="shared" si="466"/>
        <v>152192520</v>
      </c>
      <c r="AV216" s="168">
        <f t="shared" si="466"/>
        <v>152192520</v>
      </c>
      <c r="AW216" s="168">
        <f t="shared" si="466"/>
        <v>152192520</v>
      </c>
      <c r="AX216" s="168">
        <f t="shared" si="466"/>
        <v>152192520</v>
      </c>
      <c r="AY216" s="168">
        <f t="shared" si="466"/>
        <v>152192520</v>
      </c>
      <c r="AZ216" s="168">
        <f t="shared" si="466"/>
        <v>152192520</v>
      </c>
      <c r="BA216" s="168">
        <f t="shared" si="466"/>
        <v>152192520</v>
      </c>
      <c r="BB216" s="168">
        <f t="shared" si="466"/>
        <v>152192520</v>
      </c>
      <c r="BC216" s="168">
        <f t="shared" si="466"/>
        <v>152192520</v>
      </c>
      <c r="BD216" s="168">
        <f t="shared" si="466"/>
        <v>152192520</v>
      </c>
      <c r="BE216" s="168">
        <f t="shared" si="466"/>
        <v>152192520</v>
      </c>
      <c r="BF216" s="168">
        <f t="shared" si="466"/>
        <v>152192520</v>
      </c>
      <c r="BG216" s="168">
        <f t="shared" si="466"/>
        <v>152192520</v>
      </c>
      <c r="BH216" s="168">
        <f t="shared" si="466"/>
        <v>152192520</v>
      </c>
      <c r="BI216" s="168">
        <f t="shared" si="466"/>
        <v>152192520</v>
      </c>
      <c r="BJ216" s="168">
        <f t="shared" si="466"/>
        <v>152192520</v>
      </c>
      <c r="BK216" s="168">
        <f t="shared" si="466"/>
        <v>152192520</v>
      </c>
      <c r="BL216" s="168">
        <f t="shared" si="466"/>
        <v>152192520</v>
      </c>
      <c r="BM216" s="168">
        <f t="shared" si="466"/>
        <v>152192520</v>
      </c>
      <c r="BN216" s="168">
        <f t="shared" si="466"/>
        <v>152192520</v>
      </c>
      <c r="BO216" s="168">
        <f t="shared" si="466"/>
        <v>152192520</v>
      </c>
      <c r="BP216" s="168">
        <f t="shared" si="466"/>
        <v>152192520</v>
      </c>
      <c r="BQ216" s="168">
        <f t="shared" si="466"/>
        <v>152192520</v>
      </c>
      <c r="BR216" s="168">
        <f t="shared" si="466"/>
        <v>152192520</v>
      </c>
      <c r="BS216" s="168">
        <f t="shared" si="466"/>
        <v>152192520</v>
      </c>
      <c r="BT216" s="168">
        <f t="shared" si="466"/>
        <v>152192520</v>
      </c>
      <c r="BU216" s="168">
        <f t="shared" si="466"/>
        <v>152192520</v>
      </c>
      <c r="BV216" s="168">
        <f t="shared" si="466"/>
        <v>152192520</v>
      </c>
      <c r="BW216" s="168">
        <f t="shared" si="466"/>
        <v>152192520</v>
      </c>
      <c r="BX216" s="168">
        <f t="shared" ref="BX216:DC216" si="467">BW219</f>
        <v>152192520</v>
      </c>
      <c r="BY216" s="168">
        <f t="shared" si="467"/>
        <v>152192520</v>
      </c>
      <c r="BZ216" s="168">
        <f t="shared" si="467"/>
        <v>152192520</v>
      </c>
      <c r="CA216" s="168">
        <f t="shared" si="467"/>
        <v>152192520</v>
      </c>
      <c r="CB216" s="168">
        <f t="shared" si="467"/>
        <v>152192520</v>
      </c>
      <c r="CC216" s="168">
        <f t="shared" si="467"/>
        <v>152192520</v>
      </c>
      <c r="CD216" s="168">
        <f t="shared" si="467"/>
        <v>152192520</v>
      </c>
      <c r="CE216" s="168">
        <f t="shared" si="467"/>
        <v>152192520</v>
      </c>
      <c r="CF216" s="168">
        <f t="shared" si="467"/>
        <v>152192520</v>
      </c>
      <c r="CG216" s="168">
        <f t="shared" si="467"/>
        <v>152192520</v>
      </c>
      <c r="CH216" s="168">
        <f t="shared" si="467"/>
        <v>152192520</v>
      </c>
      <c r="CI216" s="168">
        <f t="shared" si="467"/>
        <v>152192520</v>
      </c>
      <c r="CJ216" s="168">
        <f t="shared" si="467"/>
        <v>152192520</v>
      </c>
      <c r="CK216" s="168">
        <f t="shared" si="467"/>
        <v>152192520</v>
      </c>
      <c r="CL216" s="168">
        <f t="shared" si="467"/>
        <v>152192520</v>
      </c>
      <c r="CM216" s="168">
        <f t="shared" si="467"/>
        <v>152192520</v>
      </c>
      <c r="CN216" s="168">
        <f t="shared" si="467"/>
        <v>152192520</v>
      </c>
      <c r="CO216" s="168">
        <f t="shared" si="467"/>
        <v>152192520</v>
      </c>
      <c r="CP216" s="168">
        <f t="shared" si="467"/>
        <v>152192520</v>
      </c>
      <c r="CQ216" s="168">
        <f t="shared" si="467"/>
        <v>152192520</v>
      </c>
      <c r="CR216" s="168">
        <f t="shared" si="467"/>
        <v>152192520</v>
      </c>
      <c r="CS216" s="168">
        <f t="shared" si="467"/>
        <v>152192520</v>
      </c>
      <c r="CT216" s="168">
        <f t="shared" si="467"/>
        <v>152192520</v>
      </c>
      <c r="CU216" s="168">
        <f t="shared" si="467"/>
        <v>152192520</v>
      </c>
      <c r="CV216" s="168">
        <f t="shared" si="467"/>
        <v>152192520</v>
      </c>
      <c r="CW216" s="168">
        <f t="shared" si="467"/>
        <v>152192520</v>
      </c>
      <c r="CX216" s="168">
        <f t="shared" si="467"/>
        <v>152192520</v>
      </c>
      <c r="CY216" s="168">
        <f t="shared" si="467"/>
        <v>152192520</v>
      </c>
      <c r="CZ216" s="168">
        <f t="shared" si="467"/>
        <v>152192520</v>
      </c>
      <c r="DA216" s="168">
        <f t="shared" si="467"/>
        <v>152192520</v>
      </c>
      <c r="DB216" s="168">
        <f t="shared" si="467"/>
        <v>152192520</v>
      </c>
      <c r="DC216" s="168">
        <f t="shared" si="467"/>
        <v>152192520</v>
      </c>
      <c r="DD216" s="168">
        <f t="shared" ref="DD216:DT216" si="468">DC219</f>
        <v>152192520</v>
      </c>
      <c r="DE216" s="168">
        <f t="shared" si="468"/>
        <v>152192520</v>
      </c>
      <c r="DF216" s="168">
        <f t="shared" si="468"/>
        <v>152192520</v>
      </c>
      <c r="DG216" s="168">
        <f t="shared" si="468"/>
        <v>152192520</v>
      </c>
      <c r="DH216" s="168">
        <f t="shared" si="468"/>
        <v>152192520</v>
      </c>
      <c r="DI216" s="168">
        <f t="shared" si="468"/>
        <v>152192520</v>
      </c>
      <c r="DJ216" s="168">
        <f t="shared" si="468"/>
        <v>152192520</v>
      </c>
      <c r="DK216" s="168">
        <f t="shared" si="468"/>
        <v>152192520</v>
      </c>
      <c r="DL216" s="168">
        <f t="shared" si="468"/>
        <v>152192520</v>
      </c>
      <c r="DM216" s="168">
        <f t="shared" si="468"/>
        <v>152192520</v>
      </c>
      <c r="DN216" s="168">
        <f t="shared" si="468"/>
        <v>152192520</v>
      </c>
      <c r="DO216" s="168">
        <f t="shared" si="468"/>
        <v>152192520</v>
      </c>
      <c r="DP216" s="168">
        <f t="shared" si="468"/>
        <v>152192520</v>
      </c>
      <c r="DQ216" s="168">
        <f t="shared" si="468"/>
        <v>152192520</v>
      </c>
      <c r="DR216" s="168">
        <f t="shared" si="468"/>
        <v>152192520</v>
      </c>
      <c r="DS216" s="168">
        <f t="shared" si="468"/>
        <v>152192520</v>
      </c>
      <c r="DT216" s="168">
        <f t="shared" si="468"/>
        <v>152192520</v>
      </c>
      <c r="DU216" s="168">
        <f t="shared" ref="DU216:EQ216" si="469">DT219</f>
        <v>152192520</v>
      </c>
      <c r="DV216" s="168">
        <f t="shared" si="469"/>
        <v>152192520</v>
      </c>
      <c r="DW216" s="168">
        <f t="shared" si="469"/>
        <v>152192520</v>
      </c>
      <c r="DX216" s="168">
        <f t="shared" si="469"/>
        <v>152192520</v>
      </c>
      <c r="DY216" s="168">
        <f t="shared" si="469"/>
        <v>152192520</v>
      </c>
      <c r="DZ216" s="168">
        <f t="shared" si="469"/>
        <v>152192520</v>
      </c>
      <c r="EA216" s="168">
        <f t="shared" si="469"/>
        <v>152192520</v>
      </c>
      <c r="EB216" s="168">
        <f t="shared" si="469"/>
        <v>152192520</v>
      </c>
      <c r="EC216" s="168">
        <f t="shared" si="469"/>
        <v>0</v>
      </c>
      <c r="ED216" s="1320">
        <f t="shared" si="469"/>
        <v>0</v>
      </c>
      <c r="EE216" s="168">
        <f t="shared" si="469"/>
        <v>0</v>
      </c>
      <c r="EF216" s="168">
        <f t="shared" si="469"/>
        <v>0</v>
      </c>
      <c r="EG216" s="168">
        <f t="shared" si="469"/>
        <v>0</v>
      </c>
      <c r="EH216" s="168">
        <f t="shared" si="469"/>
        <v>0</v>
      </c>
      <c r="EI216" s="168">
        <f t="shared" si="469"/>
        <v>0</v>
      </c>
      <c r="EJ216" s="168">
        <f t="shared" si="469"/>
        <v>0</v>
      </c>
      <c r="EK216" s="168">
        <f t="shared" si="469"/>
        <v>0</v>
      </c>
      <c r="EL216" s="168">
        <f t="shared" si="469"/>
        <v>0</v>
      </c>
      <c r="EM216" s="168">
        <f t="shared" si="469"/>
        <v>0</v>
      </c>
      <c r="EN216" s="168">
        <f t="shared" si="469"/>
        <v>0</v>
      </c>
      <c r="EO216" s="168">
        <f t="shared" si="469"/>
        <v>0</v>
      </c>
      <c r="EP216" s="168">
        <f t="shared" si="469"/>
        <v>0</v>
      </c>
      <c r="EQ216" s="168">
        <f t="shared" si="469"/>
        <v>0</v>
      </c>
    </row>
    <row r="217" spans="3:147" ht="11.25" customHeight="1">
      <c r="C217" s="163"/>
      <c r="D217" s="169" t="s">
        <v>218</v>
      </c>
      <c r="H217" s="146">
        <f>'A&amp;R'!E35</f>
        <v>46326</v>
      </c>
      <c r="I217" s="90">
        <f>TIC!$J$37*TIC!$H$16</f>
        <v>152192520</v>
      </c>
      <c r="J217" s="170">
        <f>SUM(L217:EQ217)</f>
        <v>152192520</v>
      </c>
      <c r="K217" s="98"/>
      <c r="L217" s="171">
        <f>$I217*(L$214=$H217)</f>
        <v>152192520</v>
      </c>
      <c r="M217" s="171">
        <f t="shared" ref="M217:BX217" si="470">$I217*(M$214=$H217)</f>
        <v>0</v>
      </c>
      <c r="N217" s="171">
        <f t="shared" si="470"/>
        <v>0</v>
      </c>
      <c r="O217" s="171">
        <f t="shared" si="470"/>
        <v>0</v>
      </c>
      <c r="P217" s="171">
        <f t="shared" si="470"/>
        <v>0</v>
      </c>
      <c r="Q217" s="171">
        <f t="shared" si="470"/>
        <v>0</v>
      </c>
      <c r="R217" s="171">
        <f t="shared" si="470"/>
        <v>0</v>
      </c>
      <c r="S217" s="171">
        <f t="shared" si="470"/>
        <v>0</v>
      </c>
      <c r="T217" s="171">
        <f t="shared" si="470"/>
        <v>0</v>
      </c>
      <c r="U217" s="171">
        <f t="shared" si="470"/>
        <v>0</v>
      </c>
      <c r="V217" s="171">
        <f t="shared" si="470"/>
        <v>0</v>
      </c>
      <c r="W217" s="171">
        <f t="shared" si="470"/>
        <v>0</v>
      </c>
      <c r="X217" s="171">
        <f t="shared" si="470"/>
        <v>0</v>
      </c>
      <c r="Y217" s="171">
        <f t="shared" si="470"/>
        <v>0</v>
      </c>
      <c r="Z217" s="171">
        <f t="shared" si="470"/>
        <v>0</v>
      </c>
      <c r="AA217" s="171">
        <f t="shared" si="470"/>
        <v>0</v>
      </c>
      <c r="AB217" s="171">
        <f t="shared" si="470"/>
        <v>0</v>
      </c>
      <c r="AC217" s="171">
        <f t="shared" si="470"/>
        <v>0</v>
      </c>
      <c r="AD217" s="171">
        <f t="shared" si="470"/>
        <v>0</v>
      </c>
      <c r="AE217" s="171">
        <f t="shared" si="470"/>
        <v>0</v>
      </c>
      <c r="AF217" s="171">
        <f t="shared" si="470"/>
        <v>0</v>
      </c>
      <c r="AG217" s="171">
        <f t="shared" si="470"/>
        <v>0</v>
      </c>
      <c r="AH217" s="171">
        <f t="shared" si="470"/>
        <v>0</v>
      </c>
      <c r="AI217" s="171">
        <f t="shared" si="470"/>
        <v>0</v>
      </c>
      <c r="AJ217" s="171">
        <f t="shared" si="470"/>
        <v>0</v>
      </c>
      <c r="AK217" s="171">
        <f t="shared" si="470"/>
        <v>0</v>
      </c>
      <c r="AL217" s="171">
        <f t="shared" si="470"/>
        <v>0</v>
      </c>
      <c r="AM217" s="171">
        <f t="shared" si="470"/>
        <v>0</v>
      </c>
      <c r="AN217" s="171">
        <f t="shared" si="470"/>
        <v>0</v>
      </c>
      <c r="AO217" s="171">
        <f t="shared" si="470"/>
        <v>0</v>
      </c>
      <c r="AP217" s="171">
        <f t="shared" si="470"/>
        <v>0</v>
      </c>
      <c r="AQ217" s="171">
        <f t="shared" si="470"/>
        <v>0</v>
      </c>
      <c r="AR217" s="171">
        <f t="shared" si="470"/>
        <v>0</v>
      </c>
      <c r="AS217" s="171">
        <f t="shared" si="470"/>
        <v>0</v>
      </c>
      <c r="AT217" s="171">
        <f t="shared" si="470"/>
        <v>0</v>
      </c>
      <c r="AU217" s="171">
        <f t="shared" si="470"/>
        <v>0</v>
      </c>
      <c r="AV217" s="171">
        <f t="shared" si="470"/>
        <v>0</v>
      </c>
      <c r="AW217" s="171">
        <f t="shared" si="470"/>
        <v>0</v>
      </c>
      <c r="AX217" s="171">
        <f t="shared" si="470"/>
        <v>0</v>
      </c>
      <c r="AY217" s="171">
        <f t="shared" si="470"/>
        <v>0</v>
      </c>
      <c r="AZ217" s="171">
        <f t="shared" si="470"/>
        <v>0</v>
      </c>
      <c r="BA217" s="171">
        <f t="shared" si="470"/>
        <v>0</v>
      </c>
      <c r="BB217" s="171">
        <f t="shared" si="470"/>
        <v>0</v>
      </c>
      <c r="BC217" s="171">
        <f t="shared" si="470"/>
        <v>0</v>
      </c>
      <c r="BD217" s="171">
        <f t="shared" si="470"/>
        <v>0</v>
      </c>
      <c r="BE217" s="171">
        <f t="shared" si="470"/>
        <v>0</v>
      </c>
      <c r="BF217" s="171">
        <f t="shared" si="470"/>
        <v>0</v>
      </c>
      <c r="BG217" s="171">
        <f t="shared" si="470"/>
        <v>0</v>
      </c>
      <c r="BH217" s="171">
        <f t="shared" si="470"/>
        <v>0</v>
      </c>
      <c r="BI217" s="171">
        <f t="shared" si="470"/>
        <v>0</v>
      </c>
      <c r="BJ217" s="171">
        <f t="shared" si="470"/>
        <v>0</v>
      </c>
      <c r="BK217" s="171">
        <f t="shared" si="470"/>
        <v>0</v>
      </c>
      <c r="BL217" s="171">
        <f t="shared" si="470"/>
        <v>0</v>
      </c>
      <c r="BM217" s="171">
        <f t="shared" si="470"/>
        <v>0</v>
      </c>
      <c r="BN217" s="171">
        <f t="shared" si="470"/>
        <v>0</v>
      </c>
      <c r="BO217" s="171">
        <f t="shared" si="470"/>
        <v>0</v>
      </c>
      <c r="BP217" s="171">
        <f t="shared" si="470"/>
        <v>0</v>
      </c>
      <c r="BQ217" s="171">
        <f t="shared" si="470"/>
        <v>0</v>
      </c>
      <c r="BR217" s="171">
        <f t="shared" si="470"/>
        <v>0</v>
      </c>
      <c r="BS217" s="171">
        <f t="shared" si="470"/>
        <v>0</v>
      </c>
      <c r="BT217" s="171">
        <f t="shared" si="470"/>
        <v>0</v>
      </c>
      <c r="BU217" s="171">
        <f t="shared" si="470"/>
        <v>0</v>
      </c>
      <c r="BV217" s="171">
        <f t="shared" si="470"/>
        <v>0</v>
      </c>
      <c r="BW217" s="171">
        <f t="shared" si="470"/>
        <v>0</v>
      </c>
      <c r="BX217" s="171">
        <f t="shared" si="470"/>
        <v>0</v>
      </c>
      <c r="BY217" s="171">
        <f t="shared" ref="BY217:EQ217" si="471">$I217*(BY$214=$H217)</f>
        <v>0</v>
      </c>
      <c r="BZ217" s="171">
        <f t="shared" si="471"/>
        <v>0</v>
      </c>
      <c r="CA217" s="171">
        <f t="shared" si="471"/>
        <v>0</v>
      </c>
      <c r="CB217" s="171">
        <f t="shared" si="471"/>
        <v>0</v>
      </c>
      <c r="CC217" s="171">
        <f t="shared" si="471"/>
        <v>0</v>
      </c>
      <c r="CD217" s="171">
        <f t="shared" si="471"/>
        <v>0</v>
      </c>
      <c r="CE217" s="171">
        <f t="shared" si="471"/>
        <v>0</v>
      </c>
      <c r="CF217" s="171">
        <f t="shared" si="471"/>
        <v>0</v>
      </c>
      <c r="CG217" s="171">
        <f t="shared" si="471"/>
        <v>0</v>
      </c>
      <c r="CH217" s="171">
        <f t="shared" si="471"/>
        <v>0</v>
      </c>
      <c r="CI217" s="171">
        <f t="shared" si="471"/>
        <v>0</v>
      </c>
      <c r="CJ217" s="171">
        <f t="shared" si="471"/>
        <v>0</v>
      </c>
      <c r="CK217" s="171">
        <f t="shared" si="471"/>
        <v>0</v>
      </c>
      <c r="CL217" s="171">
        <f t="shared" si="471"/>
        <v>0</v>
      </c>
      <c r="CM217" s="171">
        <f t="shared" si="471"/>
        <v>0</v>
      </c>
      <c r="CN217" s="171">
        <f t="shared" si="471"/>
        <v>0</v>
      </c>
      <c r="CO217" s="171">
        <f t="shared" si="471"/>
        <v>0</v>
      </c>
      <c r="CP217" s="171">
        <f t="shared" si="471"/>
        <v>0</v>
      </c>
      <c r="CQ217" s="171">
        <f t="shared" si="471"/>
        <v>0</v>
      </c>
      <c r="CR217" s="171">
        <f t="shared" si="471"/>
        <v>0</v>
      </c>
      <c r="CS217" s="171">
        <f t="shared" si="471"/>
        <v>0</v>
      </c>
      <c r="CT217" s="171">
        <f t="shared" si="471"/>
        <v>0</v>
      </c>
      <c r="CU217" s="171">
        <f t="shared" si="471"/>
        <v>0</v>
      </c>
      <c r="CV217" s="171">
        <f t="shared" si="471"/>
        <v>0</v>
      </c>
      <c r="CW217" s="171">
        <f t="shared" si="471"/>
        <v>0</v>
      </c>
      <c r="CX217" s="171">
        <f t="shared" si="471"/>
        <v>0</v>
      </c>
      <c r="CY217" s="171">
        <f t="shared" si="471"/>
        <v>0</v>
      </c>
      <c r="CZ217" s="171">
        <f t="shared" si="471"/>
        <v>0</v>
      </c>
      <c r="DA217" s="171">
        <f t="shared" si="471"/>
        <v>0</v>
      </c>
      <c r="DB217" s="171">
        <f t="shared" si="471"/>
        <v>0</v>
      </c>
      <c r="DC217" s="171">
        <f t="shared" si="471"/>
        <v>0</v>
      </c>
      <c r="DD217" s="171">
        <f t="shared" si="471"/>
        <v>0</v>
      </c>
      <c r="DE217" s="171">
        <f t="shared" si="471"/>
        <v>0</v>
      </c>
      <c r="DF217" s="171">
        <f t="shared" si="471"/>
        <v>0</v>
      </c>
      <c r="DG217" s="171">
        <f t="shared" si="471"/>
        <v>0</v>
      </c>
      <c r="DH217" s="171">
        <f t="shared" si="471"/>
        <v>0</v>
      </c>
      <c r="DI217" s="171">
        <f t="shared" si="471"/>
        <v>0</v>
      </c>
      <c r="DJ217" s="171">
        <f t="shared" si="471"/>
        <v>0</v>
      </c>
      <c r="DK217" s="171">
        <f t="shared" si="471"/>
        <v>0</v>
      </c>
      <c r="DL217" s="171">
        <f t="shared" si="471"/>
        <v>0</v>
      </c>
      <c r="DM217" s="171">
        <f t="shared" si="471"/>
        <v>0</v>
      </c>
      <c r="DN217" s="171">
        <f t="shared" si="471"/>
        <v>0</v>
      </c>
      <c r="DO217" s="171">
        <f t="shared" si="471"/>
        <v>0</v>
      </c>
      <c r="DP217" s="171">
        <f t="shared" si="471"/>
        <v>0</v>
      </c>
      <c r="DQ217" s="171">
        <f t="shared" si="471"/>
        <v>0</v>
      </c>
      <c r="DR217" s="171">
        <f t="shared" si="471"/>
        <v>0</v>
      </c>
      <c r="DS217" s="171">
        <f t="shared" si="471"/>
        <v>0</v>
      </c>
      <c r="DT217" s="171">
        <f t="shared" si="471"/>
        <v>0</v>
      </c>
      <c r="DU217" s="171">
        <f t="shared" si="471"/>
        <v>0</v>
      </c>
      <c r="DV217" s="171">
        <f t="shared" si="471"/>
        <v>0</v>
      </c>
      <c r="DW217" s="171">
        <f t="shared" si="471"/>
        <v>0</v>
      </c>
      <c r="DX217" s="171">
        <f t="shared" si="471"/>
        <v>0</v>
      </c>
      <c r="DY217" s="171">
        <f t="shared" si="471"/>
        <v>0</v>
      </c>
      <c r="DZ217" s="171">
        <f t="shared" si="471"/>
        <v>0</v>
      </c>
      <c r="EA217" s="171">
        <f t="shared" si="471"/>
        <v>0</v>
      </c>
      <c r="EB217" s="171">
        <f t="shared" si="471"/>
        <v>0</v>
      </c>
      <c r="EC217" s="171">
        <f t="shared" si="471"/>
        <v>0</v>
      </c>
      <c r="ED217" s="1321">
        <f t="shared" si="471"/>
        <v>0</v>
      </c>
      <c r="EE217" s="171">
        <f t="shared" si="471"/>
        <v>0</v>
      </c>
      <c r="EF217" s="171">
        <f t="shared" si="471"/>
        <v>0</v>
      </c>
      <c r="EG217" s="171">
        <f t="shared" si="471"/>
        <v>0</v>
      </c>
      <c r="EH217" s="171">
        <f t="shared" si="471"/>
        <v>0</v>
      </c>
      <c r="EI217" s="171">
        <f t="shared" si="471"/>
        <v>0</v>
      </c>
      <c r="EJ217" s="171">
        <f t="shared" si="471"/>
        <v>0</v>
      </c>
      <c r="EK217" s="171">
        <f t="shared" si="471"/>
        <v>0</v>
      </c>
      <c r="EL217" s="171">
        <f t="shared" si="471"/>
        <v>0</v>
      </c>
      <c r="EM217" s="171">
        <f t="shared" si="471"/>
        <v>0</v>
      </c>
      <c r="EN217" s="171">
        <f t="shared" si="471"/>
        <v>0</v>
      </c>
      <c r="EO217" s="171">
        <f t="shared" si="471"/>
        <v>0</v>
      </c>
      <c r="EP217" s="171">
        <f t="shared" si="471"/>
        <v>0</v>
      </c>
      <c r="EQ217" s="171">
        <f t="shared" si="471"/>
        <v>0</v>
      </c>
    </row>
    <row r="218" spans="3:147" ht="11.25" customHeight="1">
      <c r="C218" s="163"/>
      <c r="D218" s="169" t="s">
        <v>219</v>
      </c>
      <c r="H218" s="146">
        <f>'A&amp;R'!E37</f>
        <v>49979</v>
      </c>
      <c r="I218" s="248"/>
      <c r="J218" s="170">
        <f>SUM(L218:EQ218)</f>
        <v>152192520</v>
      </c>
      <c r="K218" s="98"/>
      <c r="L218" s="171">
        <f>SUM(L216:L217)*(L$14=$H218)</f>
        <v>0</v>
      </c>
      <c r="M218" s="171">
        <f t="shared" ref="M218:BX218" si="472">SUM(M216:M217)*(M$14=$H218)</f>
        <v>0</v>
      </c>
      <c r="N218" s="171">
        <f t="shared" si="472"/>
        <v>0</v>
      </c>
      <c r="O218" s="171">
        <f t="shared" si="472"/>
        <v>0</v>
      </c>
      <c r="P218" s="171">
        <f t="shared" si="472"/>
        <v>0</v>
      </c>
      <c r="Q218" s="171">
        <f t="shared" si="472"/>
        <v>0</v>
      </c>
      <c r="R218" s="171">
        <f t="shared" si="472"/>
        <v>0</v>
      </c>
      <c r="S218" s="171">
        <f t="shared" si="472"/>
        <v>0</v>
      </c>
      <c r="T218" s="171">
        <f t="shared" si="472"/>
        <v>0</v>
      </c>
      <c r="U218" s="171">
        <f t="shared" si="472"/>
        <v>0</v>
      </c>
      <c r="V218" s="171">
        <f t="shared" si="472"/>
        <v>0</v>
      </c>
      <c r="W218" s="171">
        <f t="shared" si="472"/>
        <v>0</v>
      </c>
      <c r="X218" s="171">
        <f t="shared" si="472"/>
        <v>0</v>
      </c>
      <c r="Y218" s="171">
        <f t="shared" si="472"/>
        <v>0</v>
      </c>
      <c r="Z218" s="171">
        <f t="shared" si="472"/>
        <v>0</v>
      </c>
      <c r="AA218" s="171">
        <f t="shared" si="472"/>
        <v>0</v>
      </c>
      <c r="AB218" s="171">
        <f t="shared" si="472"/>
        <v>0</v>
      </c>
      <c r="AC218" s="171">
        <f t="shared" si="472"/>
        <v>0</v>
      </c>
      <c r="AD218" s="171">
        <f t="shared" si="472"/>
        <v>0</v>
      </c>
      <c r="AE218" s="171">
        <f t="shared" si="472"/>
        <v>0</v>
      </c>
      <c r="AF218" s="171">
        <f t="shared" si="472"/>
        <v>0</v>
      </c>
      <c r="AG218" s="171">
        <f t="shared" si="472"/>
        <v>0</v>
      </c>
      <c r="AH218" s="171">
        <f t="shared" si="472"/>
        <v>0</v>
      </c>
      <c r="AI218" s="171">
        <f t="shared" si="472"/>
        <v>0</v>
      </c>
      <c r="AJ218" s="171">
        <f t="shared" si="472"/>
        <v>0</v>
      </c>
      <c r="AK218" s="171">
        <f t="shared" si="472"/>
        <v>0</v>
      </c>
      <c r="AL218" s="171">
        <f t="shared" si="472"/>
        <v>0</v>
      </c>
      <c r="AM218" s="171">
        <f t="shared" si="472"/>
        <v>0</v>
      </c>
      <c r="AN218" s="171">
        <f t="shared" si="472"/>
        <v>0</v>
      </c>
      <c r="AO218" s="171">
        <f t="shared" si="472"/>
        <v>0</v>
      </c>
      <c r="AP218" s="171">
        <f t="shared" si="472"/>
        <v>0</v>
      </c>
      <c r="AQ218" s="171">
        <f t="shared" si="472"/>
        <v>0</v>
      </c>
      <c r="AR218" s="171">
        <f t="shared" si="472"/>
        <v>0</v>
      </c>
      <c r="AS218" s="171">
        <f t="shared" si="472"/>
        <v>0</v>
      </c>
      <c r="AT218" s="171">
        <f t="shared" si="472"/>
        <v>0</v>
      </c>
      <c r="AU218" s="171">
        <f t="shared" si="472"/>
        <v>0</v>
      </c>
      <c r="AV218" s="171">
        <f t="shared" si="472"/>
        <v>0</v>
      </c>
      <c r="AW218" s="171">
        <f t="shared" si="472"/>
        <v>0</v>
      </c>
      <c r="AX218" s="171">
        <f t="shared" si="472"/>
        <v>0</v>
      </c>
      <c r="AY218" s="171">
        <f t="shared" si="472"/>
        <v>0</v>
      </c>
      <c r="AZ218" s="171">
        <f t="shared" si="472"/>
        <v>0</v>
      </c>
      <c r="BA218" s="171">
        <f t="shared" si="472"/>
        <v>0</v>
      </c>
      <c r="BB218" s="171">
        <f t="shared" si="472"/>
        <v>0</v>
      </c>
      <c r="BC218" s="171">
        <f t="shared" si="472"/>
        <v>0</v>
      </c>
      <c r="BD218" s="171">
        <f t="shared" si="472"/>
        <v>0</v>
      </c>
      <c r="BE218" s="171">
        <f t="shared" si="472"/>
        <v>0</v>
      </c>
      <c r="BF218" s="171">
        <f t="shared" si="472"/>
        <v>0</v>
      </c>
      <c r="BG218" s="171">
        <f t="shared" si="472"/>
        <v>0</v>
      </c>
      <c r="BH218" s="171">
        <f t="shared" si="472"/>
        <v>0</v>
      </c>
      <c r="BI218" s="171">
        <f t="shared" si="472"/>
        <v>0</v>
      </c>
      <c r="BJ218" s="171">
        <f t="shared" si="472"/>
        <v>0</v>
      </c>
      <c r="BK218" s="171">
        <f t="shared" si="472"/>
        <v>0</v>
      </c>
      <c r="BL218" s="171">
        <f t="shared" si="472"/>
        <v>0</v>
      </c>
      <c r="BM218" s="171">
        <f t="shared" si="472"/>
        <v>0</v>
      </c>
      <c r="BN218" s="171">
        <f t="shared" si="472"/>
        <v>0</v>
      </c>
      <c r="BO218" s="171">
        <f t="shared" si="472"/>
        <v>0</v>
      </c>
      <c r="BP218" s="171">
        <f t="shared" si="472"/>
        <v>0</v>
      </c>
      <c r="BQ218" s="171">
        <f t="shared" si="472"/>
        <v>0</v>
      </c>
      <c r="BR218" s="171">
        <f t="shared" si="472"/>
        <v>0</v>
      </c>
      <c r="BS218" s="171">
        <f t="shared" si="472"/>
        <v>0</v>
      </c>
      <c r="BT218" s="171">
        <f t="shared" si="472"/>
        <v>0</v>
      </c>
      <c r="BU218" s="171">
        <f t="shared" si="472"/>
        <v>0</v>
      </c>
      <c r="BV218" s="171">
        <f t="shared" si="472"/>
        <v>0</v>
      </c>
      <c r="BW218" s="171">
        <f t="shared" si="472"/>
        <v>0</v>
      </c>
      <c r="BX218" s="171">
        <f t="shared" si="472"/>
        <v>0</v>
      </c>
      <c r="BY218" s="171">
        <f t="shared" ref="BY218:DT218" si="473">SUM(BY216:BY217)*(BY$14=$H218)</f>
        <v>0</v>
      </c>
      <c r="BZ218" s="171">
        <f t="shared" si="473"/>
        <v>0</v>
      </c>
      <c r="CA218" s="171">
        <f t="shared" si="473"/>
        <v>0</v>
      </c>
      <c r="CB218" s="171">
        <f t="shared" si="473"/>
        <v>0</v>
      </c>
      <c r="CC218" s="171">
        <f t="shared" si="473"/>
        <v>0</v>
      </c>
      <c r="CD218" s="171">
        <f t="shared" si="473"/>
        <v>0</v>
      </c>
      <c r="CE218" s="171">
        <f t="shared" si="473"/>
        <v>0</v>
      </c>
      <c r="CF218" s="171">
        <f t="shared" si="473"/>
        <v>0</v>
      </c>
      <c r="CG218" s="171">
        <f t="shared" si="473"/>
        <v>0</v>
      </c>
      <c r="CH218" s="171">
        <f t="shared" si="473"/>
        <v>0</v>
      </c>
      <c r="CI218" s="171">
        <f t="shared" si="473"/>
        <v>0</v>
      </c>
      <c r="CJ218" s="171">
        <f t="shared" si="473"/>
        <v>0</v>
      </c>
      <c r="CK218" s="171">
        <f t="shared" si="473"/>
        <v>0</v>
      </c>
      <c r="CL218" s="171">
        <f t="shared" si="473"/>
        <v>0</v>
      </c>
      <c r="CM218" s="171">
        <f t="shared" si="473"/>
        <v>0</v>
      </c>
      <c r="CN218" s="171">
        <f t="shared" si="473"/>
        <v>0</v>
      </c>
      <c r="CO218" s="171">
        <f t="shared" si="473"/>
        <v>0</v>
      </c>
      <c r="CP218" s="171">
        <f t="shared" si="473"/>
        <v>0</v>
      </c>
      <c r="CQ218" s="171">
        <f t="shared" si="473"/>
        <v>0</v>
      </c>
      <c r="CR218" s="171">
        <f t="shared" si="473"/>
        <v>0</v>
      </c>
      <c r="CS218" s="171">
        <f t="shared" si="473"/>
        <v>0</v>
      </c>
      <c r="CT218" s="171">
        <f t="shared" si="473"/>
        <v>0</v>
      </c>
      <c r="CU218" s="171">
        <f t="shared" si="473"/>
        <v>0</v>
      </c>
      <c r="CV218" s="171">
        <f t="shared" si="473"/>
        <v>0</v>
      </c>
      <c r="CW218" s="171">
        <f t="shared" si="473"/>
        <v>0</v>
      </c>
      <c r="CX218" s="171">
        <f t="shared" si="473"/>
        <v>0</v>
      </c>
      <c r="CY218" s="171">
        <f t="shared" si="473"/>
        <v>0</v>
      </c>
      <c r="CZ218" s="171">
        <f t="shared" si="473"/>
        <v>0</v>
      </c>
      <c r="DA218" s="171">
        <f t="shared" si="473"/>
        <v>0</v>
      </c>
      <c r="DB218" s="171">
        <f t="shared" si="473"/>
        <v>0</v>
      </c>
      <c r="DC218" s="171">
        <f t="shared" si="473"/>
        <v>0</v>
      </c>
      <c r="DD218" s="171">
        <f t="shared" si="473"/>
        <v>0</v>
      </c>
      <c r="DE218" s="171">
        <f t="shared" si="473"/>
        <v>0</v>
      </c>
      <c r="DF218" s="171">
        <f t="shared" si="473"/>
        <v>0</v>
      </c>
      <c r="DG218" s="171">
        <f t="shared" si="473"/>
        <v>0</v>
      </c>
      <c r="DH218" s="171">
        <f t="shared" si="473"/>
        <v>0</v>
      </c>
      <c r="DI218" s="171">
        <f t="shared" si="473"/>
        <v>0</v>
      </c>
      <c r="DJ218" s="171">
        <f t="shared" si="473"/>
        <v>0</v>
      </c>
      <c r="DK218" s="171">
        <f t="shared" si="473"/>
        <v>0</v>
      </c>
      <c r="DL218" s="171">
        <f t="shared" si="473"/>
        <v>0</v>
      </c>
      <c r="DM218" s="171">
        <f t="shared" si="473"/>
        <v>0</v>
      </c>
      <c r="DN218" s="171">
        <f t="shared" si="473"/>
        <v>0</v>
      </c>
      <c r="DO218" s="171">
        <f t="shared" si="473"/>
        <v>0</v>
      </c>
      <c r="DP218" s="171">
        <f t="shared" si="473"/>
        <v>0</v>
      </c>
      <c r="DQ218" s="171">
        <f t="shared" si="473"/>
        <v>0</v>
      </c>
      <c r="DR218" s="171">
        <f t="shared" si="473"/>
        <v>0</v>
      </c>
      <c r="DS218" s="171">
        <f t="shared" si="473"/>
        <v>0</v>
      </c>
      <c r="DT218" s="171">
        <f t="shared" si="473"/>
        <v>0</v>
      </c>
      <c r="DU218" s="171">
        <f t="shared" ref="DU218:EA218" si="474">SUM(DU216:DU217)*(DU$14=$H218)</f>
        <v>0</v>
      </c>
      <c r="DV218" s="171">
        <f t="shared" si="474"/>
        <v>0</v>
      </c>
      <c r="DW218" s="171">
        <f t="shared" si="474"/>
        <v>0</v>
      </c>
      <c r="DX218" s="171">
        <f t="shared" si="474"/>
        <v>0</v>
      </c>
      <c r="DY218" s="171">
        <f t="shared" si="474"/>
        <v>0</v>
      </c>
      <c r="DZ218" s="171">
        <f t="shared" si="474"/>
        <v>0</v>
      </c>
      <c r="EA218" s="171">
        <f t="shared" si="474"/>
        <v>0</v>
      </c>
      <c r="EB218" s="171">
        <f t="shared" ref="EB218:EQ218" si="475">SUM(EB216:EB217)*(EB$14=$H218)</f>
        <v>152192520</v>
      </c>
      <c r="EC218" s="171">
        <f t="shared" si="475"/>
        <v>0</v>
      </c>
      <c r="ED218" s="1321">
        <f t="shared" si="475"/>
        <v>0</v>
      </c>
      <c r="EE218" s="171">
        <f t="shared" si="475"/>
        <v>0</v>
      </c>
      <c r="EF218" s="171">
        <f t="shared" si="475"/>
        <v>0</v>
      </c>
      <c r="EG218" s="171">
        <f t="shared" si="475"/>
        <v>0</v>
      </c>
      <c r="EH218" s="171">
        <f t="shared" si="475"/>
        <v>0</v>
      </c>
      <c r="EI218" s="171">
        <f t="shared" si="475"/>
        <v>0</v>
      </c>
      <c r="EJ218" s="171">
        <f t="shared" si="475"/>
        <v>0</v>
      </c>
      <c r="EK218" s="171">
        <f t="shared" si="475"/>
        <v>0</v>
      </c>
      <c r="EL218" s="171">
        <f t="shared" si="475"/>
        <v>0</v>
      </c>
      <c r="EM218" s="171">
        <f t="shared" si="475"/>
        <v>0</v>
      </c>
      <c r="EN218" s="171">
        <f t="shared" si="475"/>
        <v>0</v>
      </c>
      <c r="EO218" s="171">
        <f t="shared" si="475"/>
        <v>0</v>
      </c>
      <c r="EP218" s="171">
        <f t="shared" si="475"/>
        <v>0</v>
      </c>
      <c r="EQ218" s="171">
        <f t="shared" si="475"/>
        <v>0</v>
      </c>
    </row>
    <row r="219" spans="3:147" ht="11.25" customHeight="1">
      <c r="C219" s="163"/>
      <c r="D219" s="169" t="s">
        <v>220</v>
      </c>
      <c r="I219" s="248"/>
      <c r="J219" s="170"/>
      <c r="K219" s="98"/>
      <c r="L219" s="171">
        <f>L216+L217-L218</f>
        <v>152192520</v>
      </c>
      <c r="M219" s="171">
        <f t="shared" ref="M219:BX219" si="476">M216+M217-M218</f>
        <v>152192520</v>
      </c>
      <c r="N219" s="171">
        <f t="shared" si="476"/>
        <v>152192520</v>
      </c>
      <c r="O219" s="171">
        <f t="shared" si="476"/>
        <v>152192520</v>
      </c>
      <c r="P219" s="171">
        <f t="shared" si="476"/>
        <v>152192520</v>
      </c>
      <c r="Q219" s="171">
        <f t="shared" si="476"/>
        <v>152192520</v>
      </c>
      <c r="R219" s="171">
        <f t="shared" si="476"/>
        <v>152192520</v>
      </c>
      <c r="S219" s="171">
        <f t="shared" si="476"/>
        <v>152192520</v>
      </c>
      <c r="T219" s="171">
        <f t="shared" si="476"/>
        <v>152192520</v>
      </c>
      <c r="U219" s="171">
        <f t="shared" si="476"/>
        <v>152192520</v>
      </c>
      <c r="V219" s="171">
        <f t="shared" si="476"/>
        <v>152192520</v>
      </c>
      <c r="W219" s="171">
        <f t="shared" si="476"/>
        <v>152192520</v>
      </c>
      <c r="X219" s="171">
        <f t="shared" si="476"/>
        <v>152192520</v>
      </c>
      <c r="Y219" s="171">
        <f t="shared" si="476"/>
        <v>152192520</v>
      </c>
      <c r="Z219" s="171">
        <f t="shared" si="476"/>
        <v>152192520</v>
      </c>
      <c r="AA219" s="171">
        <f t="shared" si="476"/>
        <v>152192520</v>
      </c>
      <c r="AB219" s="171">
        <f t="shared" si="476"/>
        <v>152192520</v>
      </c>
      <c r="AC219" s="171">
        <f t="shared" si="476"/>
        <v>152192520</v>
      </c>
      <c r="AD219" s="171">
        <f t="shared" si="476"/>
        <v>152192520</v>
      </c>
      <c r="AE219" s="171">
        <f t="shared" si="476"/>
        <v>152192520</v>
      </c>
      <c r="AF219" s="171">
        <f t="shared" si="476"/>
        <v>152192520</v>
      </c>
      <c r="AG219" s="171">
        <f t="shared" si="476"/>
        <v>152192520</v>
      </c>
      <c r="AH219" s="171">
        <f t="shared" si="476"/>
        <v>152192520</v>
      </c>
      <c r="AI219" s="171">
        <f t="shared" si="476"/>
        <v>152192520</v>
      </c>
      <c r="AJ219" s="171">
        <f t="shared" si="476"/>
        <v>152192520</v>
      </c>
      <c r="AK219" s="171">
        <f t="shared" si="476"/>
        <v>152192520</v>
      </c>
      <c r="AL219" s="171">
        <f t="shared" si="476"/>
        <v>152192520</v>
      </c>
      <c r="AM219" s="171">
        <f t="shared" si="476"/>
        <v>152192520</v>
      </c>
      <c r="AN219" s="171">
        <f t="shared" si="476"/>
        <v>152192520</v>
      </c>
      <c r="AO219" s="171">
        <f t="shared" si="476"/>
        <v>152192520</v>
      </c>
      <c r="AP219" s="171">
        <f t="shared" si="476"/>
        <v>152192520</v>
      </c>
      <c r="AQ219" s="171">
        <f t="shared" si="476"/>
        <v>152192520</v>
      </c>
      <c r="AR219" s="171">
        <f t="shared" si="476"/>
        <v>152192520</v>
      </c>
      <c r="AS219" s="171">
        <f t="shared" si="476"/>
        <v>152192520</v>
      </c>
      <c r="AT219" s="171">
        <f t="shared" si="476"/>
        <v>152192520</v>
      </c>
      <c r="AU219" s="171">
        <f t="shared" si="476"/>
        <v>152192520</v>
      </c>
      <c r="AV219" s="171">
        <f t="shared" si="476"/>
        <v>152192520</v>
      </c>
      <c r="AW219" s="171">
        <f t="shared" si="476"/>
        <v>152192520</v>
      </c>
      <c r="AX219" s="171">
        <f t="shared" si="476"/>
        <v>152192520</v>
      </c>
      <c r="AY219" s="171">
        <f t="shared" si="476"/>
        <v>152192520</v>
      </c>
      <c r="AZ219" s="171">
        <f t="shared" si="476"/>
        <v>152192520</v>
      </c>
      <c r="BA219" s="171">
        <f t="shared" si="476"/>
        <v>152192520</v>
      </c>
      <c r="BB219" s="171">
        <f t="shared" si="476"/>
        <v>152192520</v>
      </c>
      <c r="BC219" s="171">
        <f t="shared" si="476"/>
        <v>152192520</v>
      </c>
      <c r="BD219" s="171">
        <f t="shared" si="476"/>
        <v>152192520</v>
      </c>
      <c r="BE219" s="171">
        <f t="shared" si="476"/>
        <v>152192520</v>
      </c>
      <c r="BF219" s="171">
        <f t="shared" si="476"/>
        <v>152192520</v>
      </c>
      <c r="BG219" s="171">
        <f t="shared" si="476"/>
        <v>152192520</v>
      </c>
      <c r="BH219" s="171">
        <f t="shared" si="476"/>
        <v>152192520</v>
      </c>
      <c r="BI219" s="171">
        <f t="shared" si="476"/>
        <v>152192520</v>
      </c>
      <c r="BJ219" s="171">
        <f t="shared" si="476"/>
        <v>152192520</v>
      </c>
      <c r="BK219" s="171">
        <f t="shared" si="476"/>
        <v>152192520</v>
      </c>
      <c r="BL219" s="171">
        <f t="shared" si="476"/>
        <v>152192520</v>
      </c>
      <c r="BM219" s="171">
        <f t="shared" si="476"/>
        <v>152192520</v>
      </c>
      <c r="BN219" s="171">
        <f t="shared" si="476"/>
        <v>152192520</v>
      </c>
      <c r="BO219" s="171">
        <f t="shared" si="476"/>
        <v>152192520</v>
      </c>
      <c r="BP219" s="171">
        <f t="shared" si="476"/>
        <v>152192520</v>
      </c>
      <c r="BQ219" s="171">
        <f t="shared" si="476"/>
        <v>152192520</v>
      </c>
      <c r="BR219" s="171">
        <f t="shared" si="476"/>
        <v>152192520</v>
      </c>
      <c r="BS219" s="171">
        <f t="shared" si="476"/>
        <v>152192520</v>
      </c>
      <c r="BT219" s="171">
        <f t="shared" si="476"/>
        <v>152192520</v>
      </c>
      <c r="BU219" s="171">
        <f t="shared" si="476"/>
        <v>152192520</v>
      </c>
      <c r="BV219" s="171">
        <f t="shared" si="476"/>
        <v>152192520</v>
      </c>
      <c r="BW219" s="171">
        <f t="shared" si="476"/>
        <v>152192520</v>
      </c>
      <c r="BX219" s="171">
        <f t="shared" si="476"/>
        <v>152192520</v>
      </c>
      <c r="BY219" s="171">
        <f t="shared" ref="BY219:DT219" si="477">BY216+BY217-BY218</f>
        <v>152192520</v>
      </c>
      <c r="BZ219" s="171">
        <f t="shared" si="477"/>
        <v>152192520</v>
      </c>
      <c r="CA219" s="171">
        <f t="shared" si="477"/>
        <v>152192520</v>
      </c>
      <c r="CB219" s="171">
        <f t="shared" si="477"/>
        <v>152192520</v>
      </c>
      <c r="CC219" s="171">
        <f t="shared" si="477"/>
        <v>152192520</v>
      </c>
      <c r="CD219" s="171">
        <f t="shared" si="477"/>
        <v>152192520</v>
      </c>
      <c r="CE219" s="171">
        <f t="shared" si="477"/>
        <v>152192520</v>
      </c>
      <c r="CF219" s="171">
        <f t="shared" si="477"/>
        <v>152192520</v>
      </c>
      <c r="CG219" s="171">
        <f t="shared" si="477"/>
        <v>152192520</v>
      </c>
      <c r="CH219" s="171">
        <f t="shared" si="477"/>
        <v>152192520</v>
      </c>
      <c r="CI219" s="171">
        <f t="shared" si="477"/>
        <v>152192520</v>
      </c>
      <c r="CJ219" s="171">
        <f t="shared" si="477"/>
        <v>152192520</v>
      </c>
      <c r="CK219" s="171">
        <f t="shared" si="477"/>
        <v>152192520</v>
      </c>
      <c r="CL219" s="171">
        <f t="shared" si="477"/>
        <v>152192520</v>
      </c>
      <c r="CM219" s="171">
        <f t="shared" si="477"/>
        <v>152192520</v>
      </c>
      <c r="CN219" s="171">
        <f t="shared" si="477"/>
        <v>152192520</v>
      </c>
      <c r="CO219" s="171">
        <f t="shared" si="477"/>
        <v>152192520</v>
      </c>
      <c r="CP219" s="171">
        <f t="shared" si="477"/>
        <v>152192520</v>
      </c>
      <c r="CQ219" s="171">
        <f t="shared" si="477"/>
        <v>152192520</v>
      </c>
      <c r="CR219" s="171">
        <f t="shared" si="477"/>
        <v>152192520</v>
      </c>
      <c r="CS219" s="171">
        <f t="shared" si="477"/>
        <v>152192520</v>
      </c>
      <c r="CT219" s="171">
        <f t="shared" si="477"/>
        <v>152192520</v>
      </c>
      <c r="CU219" s="171">
        <f t="shared" si="477"/>
        <v>152192520</v>
      </c>
      <c r="CV219" s="171">
        <f t="shared" si="477"/>
        <v>152192520</v>
      </c>
      <c r="CW219" s="171">
        <f t="shared" si="477"/>
        <v>152192520</v>
      </c>
      <c r="CX219" s="171">
        <f t="shared" si="477"/>
        <v>152192520</v>
      </c>
      <c r="CY219" s="171">
        <f t="shared" si="477"/>
        <v>152192520</v>
      </c>
      <c r="CZ219" s="171">
        <f t="shared" si="477"/>
        <v>152192520</v>
      </c>
      <c r="DA219" s="171">
        <f t="shared" si="477"/>
        <v>152192520</v>
      </c>
      <c r="DB219" s="171">
        <f t="shared" si="477"/>
        <v>152192520</v>
      </c>
      <c r="DC219" s="171">
        <f t="shared" si="477"/>
        <v>152192520</v>
      </c>
      <c r="DD219" s="171">
        <f t="shared" si="477"/>
        <v>152192520</v>
      </c>
      <c r="DE219" s="171">
        <f t="shared" si="477"/>
        <v>152192520</v>
      </c>
      <c r="DF219" s="171">
        <f t="shared" si="477"/>
        <v>152192520</v>
      </c>
      <c r="DG219" s="171">
        <f t="shared" si="477"/>
        <v>152192520</v>
      </c>
      <c r="DH219" s="171">
        <f t="shared" si="477"/>
        <v>152192520</v>
      </c>
      <c r="DI219" s="171">
        <f t="shared" si="477"/>
        <v>152192520</v>
      </c>
      <c r="DJ219" s="171">
        <f t="shared" si="477"/>
        <v>152192520</v>
      </c>
      <c r="DK219" s="171">
        <f t="shared" si="477"/>
        <v>152192520</v>
      </c>
      <c r="DL219" s="171">
        <f t="shared" si="477"/>
        <v>152192520</v>
      </c>
      <c r="DM219" s="171">
        <f t="shared" si="477"/>
        <v>152192520</v>
      </c>
      <c r="DN219" s="171">
        <f t="shared" si="477"/>
        <v>152192520</v>
      </c>
      <c r="DO219" s="171">
        <f t="shared" si="477"/>
        <v>152192520</v>
      </c>
      <c r="DP219" s="171">
        <f t="shared" si="477"/>
        <v>152192520</v>
      </c>
      <c r="DQ219" s="171">
        <f t="shared" si="477"/>
        <v>152192520</v>
      </c>
      <c r="DR219" s="171">
        <f t="shared" si="477"/>
        <v>152192520</v>
      </c>
      <c r="DS219" s="171">
        <f t="shared" si="477"/>
        <v>152192520</v>
      </c>
      <c r="DT219" s="171">
        <f t="shared" si="477"/>
        <v>152192520</v>
      </c>
      <c r="DU219" s="171">
        <f t="shared" ref="DU219:EA219" si="478">DU216+DU217-DU218</f>
        <v>152192520</v>
      </c>
      <c r="DV219" s="171">
        <f t="shared" si="478"/>
        <v>152192520</v>
      </c>
      <c r="DW219" s="171">
        <f t="shared" si="478"/>
        <v>152192520</v>
      </c>
      <c r="DX219" s="171">
        <f t="shared" si="478"/>
        <v>152192520</v>
      </c>
      <c r="DY219" s="171">
        <f t="shared" si="478"/>
        <v>152192520</v>
      </c>
      <c r="DZ219" s="171">
        <f t="shared" si="478"/>
        <v>152192520</v>
      </c>
      <c r="EA219" s="171">
        <f t="shared" si="478"/>
        <v>152192520</v>
      </c>
      <c r="EB219" s="171">
        <f t="shared" ref="EB219:EQ219" si="479">EB216+EB217-EB218</f>
        <v>0</v>
      </c>
      <c r="EC219" s="171">
        <f t="shared" si="479"/>
        <v>0</v>
      </c>
      <c r="ED219" s="1321">
        <f t="shared" si="479"/>
        <v>0</v>
      </c>
      <c r="EE219" s="171">
        <f t="shared" si="479"/>
        <v>0</v>
      </c>
      <c r="EF219" s="171">
        <f t="shared" si="479"/>
        <v>0</v>
      </c>
      <c r="EG219" s="171">
        <f t="shared" si="479"/>
        <v>0</v>
      </c>
      <c r="EH219" s="171">
        <f t="shared" si="479"/>
        <v>0</v>
      </c>
      <c r="EI219" s="171">
        <f t="shared" si="479"/>
        <v>0</v>
      </c>
      <c r="EJ219" s="171">
        <f t="shared" si="479"/>
        <v>0</v>
      </c>
      <c r="EK219" s="171">
        <f t="shared" si="479"/>
        <v>0</v>
      </c>
      <c r="EL219" s="171">
        <f t="shared" si="479"/>
        <v>0</v>
      </c>
      <c r="EM219" s="171">
        <f t="shared" si="479"/>
        <v>0</v>
      </c>
      <c r="EN219" s="171">
        <f t="shared" si="479"/>
        <v>0</v>
      </c>
      <c r="EO219" s="171">
        <f t="shared" si="479"/>
        <v>0</v>
      </c>
      <c r="EP219" s="171">
        <f t="shared" si="479"/>
        <v>0</v>
      </c>
      <c r="EQ219" s="171">
        <f t="shared" si="479"/>
        <v>0</v>
      </c>
    </row>
    <row r="220" spans="3:147" ht="11.25" customHeight="1">
      <c r="C220" s="158" t="s">
        <v>241</v>
      </c>
      <c r="D220" s="159"/>
      <c r="E220" s="159"/>
      <c r="F220" s="159"/>
      <c r="G220" s="159"/>
      <c r="H220" s="160"/>
      <c r="I220" s="219"/>
      <c r="J220" s="161"/>
      <c r="K220" s="98"/>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162"/>
      <c r="AK220" s="162"/>
      <c r="AL220" s="162"/>
      <c r="AM220" s="162"/>
      <c r="AN220" s="162"/>
      <c r="AO220" s="162"/>
      <c r="AP220" s="162"/>
      <c r="AQ220" s="162"/>
      <c r="AR220" s="162"/>
      <c r="AS220" s="162"/>
      <c r="AT220" s="162"/>
      <c r="AU220" s="162"/>
      <c r="AV220" s="162"/>
      <c r="AW220" s="162"/>
      <c r="AX220" s="162"/>
      <c r="AY220" s="162"/>
      <c r="AZ220" s="162"/>
      <c r="BA220" s="162"/>
      <c r="BB220" s="162"/>
      <c r="BC220" s="162"/>
      <c r="BD220" s="162"/>
      <c r="BE220" s="162"/>
      <c r="BF220" s="162"/>
      <c r="BG220" s="162"/>
      <c r="BH220" s="162"/>
      <c r="BI220" s="162"/>
      <c r="BJ220" s="162"/>
      <c r="BK220" s="162"/>
      <c r="BL220" s="162"/>
      <c r="BM220" s="162"/>
      <c r="BN220" s="162"/>
      <c r="BO220" s="162"/>
      <c r="BP220" s="162"/>
      <c r="BQ220" s="162"/>
      <c r="BR220" s="162"/>
      <c r="BS220" s="162"/>
      <c r="BT220" s="162"/>
      <c r="BU220" s="162"/>
      <c r="BV220" s="162"/>
      <c r="BW220" s="162"/>
      <c r="BX220" s="162"/>
      <c r="BY220" s="162"/>
      <c r="BZ220" s="162"/>
      <c r="CA220" s="162"/>
      <c r="CB220" s="162"/>
      <c r="CC220" s="162"/>
      <c r="CD220" s="162"/>
      <c r="CE220" s="162"/>
      <c r="CF220" s="162"/>
      <c r="CG220" s="162"/>
      <c r="CH220" s="162"/>
      <c r="CI220" s="162"/>
      <c r="CJ220" s="162"/>
      <c r="CK220" s="162"/>
      <c r="CL220" s="162"/>
      <c r="CM220" s="162"/>
      <c r="CN220" s="162"/>
      <c r="CO220" s="162"/>
      <c r="CP220" s="162"/>
      <c r="CQ220" s="162"/>
      <c r="CR220" s="162"/>
      <c r="CS220" s="162"/>
      <c r="CT220" s="162"/>
      <c r="CU220" s="162"/>
      <c r="CV220" s="162"/>
      <c r="CW220" s="162"/>
      <c r="CX220" s="162"/>
      <c r="CY220" s="162"/>
      <c r="CZ220" s="162"/>
      <c r="DA220" s="162"/>
      <c r="DB220" s="162"/>
      <c r="DC220" s="162"/>
      <c r="DD220" s="162"/>
      <c r="DE220" s="162"/>
      <c r="DF220" s="162"/>
      <c r="DG220" s="162"/>
      <c r="DH220" s="162"/>
      <c r="DI220" s="162"/>
      <c r="DJ220" s="162"/>
      <c r="DK220" s="162"/>
      <c r="DL220" s="162"/>
      <c r="DM220" s="162"/>
      <c r="DN220" s="162"/>
      <c r="DO220" s="162"/>
      <c r="DP220" s="162"/>
      <c r="DQ220" s="162"/>
      <c r="DR220" s="162"/>
      <c r="DS220" s="162"/>
      <c r="DT220" s="162"/>
      <c r="DU220" s="162"/>
      <c r="DV220" s="162"/>
      <c r="DW220" s="162"/>
      <c r="DX220" s="162"/>
      <c r="DY220" s="162"/>
      <c r="DZ220" s="162"/>
      <c r="EA220" s="162"/>
      <c r="EB220" s="162"/>
      <c r="EC220" s="162"/>
      <c r="ED220" s="1319"/>
      <c r="EE220" s="162"/>
      <c r="EF220" s="162"/>
      <c r="EG220" s="162"/>
      <c r="EH220" s="162"/>
      <c r="EI220" s="162"/>
      <c r="EJ220" s="162"/>
      <c r="EK220" s="162"/>
      <c r="EL220" s="162"/>
      <c r="EM220" s="162"/>
      <c r="EN220" s="162"/>
      <c r="EO220" s="162"/>
      <c r="EP220" s="162"/>
      <c r="EQ220" s="162"/>
    </row>
    <row r="221" spans="3:147" ht="11.25" customHeight="1">
      <c r="C221" s="163"/>
      <c r="D221" s="164" t="s">
        <v>230</v>
      </c>
      <c r="E221" s="165"/>
      <c r="F221" s="165"/>
      <c r="G221" s="165"/>
      <c r="H221" s="166"/>
      <c r="I221" s="221"/>
      <c r="J221" s="167"/>
      <c r="K221" s="98"/>
      <c r="L221" s="168">
        <f>K224</f>
        <v>0</v>
      </c>
      <c r="M221" s="168">
        <f t="shared" ref="M221:BX221" si="480">L224</f>
        <v>136707480</v>
      </c>
      <c r="N221" s="168">
        <f t="shared" si="480"/>
        <v>136707480</v>
      </c>
      <c r="O221" s="168">
        <f t="shared" si="480"/>
        <v>136707480</v>
      </c>
      <c r="P221" s="168">
        <f t="shared" si="480"/>
        <v>136707480</v>
      </c>
      <c r="Q221" s="168">
        <f t="shared" si="480"/>
        <v>136707480</v>
      </c>
      <c r="R221" s="168">
        <f t="shared" si="480"/>
        <v>136707480</v>
      </c>
      <c r="S221" s="168">
        <f t="shared" si="480"/>
        <v>136707480</v>
      </c>
      <c r="T221" s="168">
        <f t="shared" si="480"/>
        <v>136707480</v>
      </c>
      <c r="U221" s="168">
        <f t="shared" si="480"/>
        <v>136707480</v>
      </c>
      <c r="V221" s="168">
        <f t="shared" si="480"/>
        <v>136707480</v>
      </c>
      <c r="W221" s="168">
        <f t="shared" si="480"/>
        <v>136707480</v>
      </c>
      <c r="X221" s="168">
        <f t="shared" si="480"/>
        <v>136707480</v>
      </c>
      <c r="Y221" s="168">
        <f t="shared" si="480"/>
        <v>136707480</v>
      </c>
      <c r="Z221" s="168">
        <f t="shared" si="480"/>
        <v>136707480</v>
      </c>
      <c r="AA221" s="168">
        <f t="shared" si="480"/>
        <v>136707480</v>
      </c>
      <c r="AB221" s="168">
        <f t="shared" si="480"/>
        <v>136707480</v>
      </c>
      <c r="AC221" s="168">
        <f t="shared" si="480"/>
        <v>136707480</v>
      </c>
      <c r="AD221" s="168">
        <f t="shared" si="480"/>
        <v>136707480</v>
      </c>
      <c r="AE221" s="168">
        <f t="shared" si="480"/>
        <v>136707480</v>
      </c>
      <c r="AF221" s="168">
        <f t="shared" si="480"/>
        <v>136707480</v>
      </c>
      <c r="AG221" s="168">
        <f t="shared" si="480"/>
        <v>136707480</v>
      </c>
      <c r="AH221" s="168">
        <f t="shared" si="480"/>
        <v>136707480</v>
      </c>
      <c r="AI221" s="168">
        <f t="shared" si="480"/>
        <v>136707480</v>
      </c>
      <c r="AJ221" s="168">
        <f t="shared" si="480"/>
        <v>136707480</v>
      </c>
      <c r="AK221" s="168">
        <f t="shared" si="480"/>
        <v>136707480</v>
      </c>
      <c r="AL221" s="168">
        <f t="shared" si="480"/>
        <v>136707480</v>
      </c>
      <c r="AM221" s="168">
        <f t="shared" si="480"/>
        <v>136707480</v>
      </c>
      <c r="AN221" s="168">
        <f t="shared" si="480"/>
        <v>136707480</v>
      </c>
      <c r="AO221" s="168">
        <f t="shared" si="480"/>
        <v>136707480</v>
      </c>
      <c r="AP221" s="168">
        <f t="shared" si="480"/>
        <v>136707480</v>
      </c>
      <c r="AQ221" s="168">
        <f t="shared" si="480"/>
        <v>136707480</v>
      </c>
      <c r="AR221" s="168">
        <f t="shared" si="480"/>
        <v>136707480</v>
      </c>
      <c r="AS221" s="168">
        <f t="shared" si="480"/>
        <v>136707480</v>
      </c>
      <c r="AT221" s="168">
        <f t="shared" si="480"/>
        <v>136707480</v>
      </c>
      <c r="AU221" s="168">
        <f t="shared" si="480"/>
        <v>136707480</v>
      </c>
      <c r="AV221" s="168">
        <f t="shared" si="480"/>
        <v>136707480</v>
      </c>
      <c r="AW221" s="168">
        <f t="shared" si="480"/>
        <v>136707480</v>
      </c>
      <c r="AX221" s="168">
        <f t="shared" si="480"/>
        <v>136707480</v>
      </c>
      <c r="AY221" s="168">
        <f t="shared" si="480"/>
        <v>136707480</v>
      </c>
      <c r="AZ221" s="168">
        <f t="shared" si="480"/>
        <v>136707480</v>
      </c>
      <c r="BA221" s="168">
        <f t="shared" si="480"/>
        <v>136707480</v>
      </c>
      <c r="BB221" s="168">
        <f t="shared" si="480"/>
        <v>136707480</v>
      </c>
      <c r="BC221" s="168">
        <f t="shared" si="480"/>
        <v>136707480</v>
      </c>
      <c r="BD221" s="168">
        <f t="shared" si="480"/>
        <v>136707480</v>
      </c>
      <c r="BE221" s="168">
        <f t="shared" si="480"/>
        <v>136707480</v>
      </c>
      <c r="BF221" s="168">
        <f t="shared" si="480"/>
        <v>136707480</v>
      </c>
      <c r="BG221" s="168">
        <f t="shared" si="480"/>
        <v>136707480</v>
      </c>
      <c r="BH221" s="168">
        <f t="shared" si="480"/>
        <v>136707480</v>
      </c>
      <c r="BI221" s="168">
        <f t="shared" si="480"/>
        <v>136707480</v>
      </c>
      <c r="BJ221" s="168">
        <f t="shared" si="480"/>
        <v>136707480</v>
      </c>
      <c r="BK221" s="168">
        <f t="shared" si="480"/>
        <v>136707480</v>
      </c>
      <c r="BL221" s="168">
        <f t="shared" si="480"/>
        <v>136707480</v>
      </c>
      <c r="BM221" s="168">
        <f t="shared" si="480"/>
        <v>136707480</v>
      </c>
      <c r="BN221" s="168">
        <f t="shared" si="480"/>
        <v>136707480</v>
      </c>
      <c r="BO221" s="168">
        <f t="shared" si="480"/>
        <v>136707480</v>
      </c>
      <c r="BP221" s="168">
        <f t="shared" si="480"/>
        <v>136707480</v>
      </c>
      <c r="BQ221" s="168">
        <f t="shared" si="480"/>
        <v>136707480</v>
      </c>
      <c r="BR221" s="168">
        <f t="shared" si="480"/>
        <v>136707480</v>
      </c>
      <c r="BS221" s="168">
        <f t="shared" si="480"/>
        <v>136707480</v>
      </c>
      <c r="BT221" s="168">
        <f t="shared" si="480"/>
        <v>136707480</v>
      </c>
      <c r="BU221" s="168">
        <f t="shared" si="480"/>
        <v>136707480</v>
      </c>
      <c r="BV221" s="168">
        <f t="shared" si="480"/>
        <v>136707480</v>
      </c>
      <c r="BW221" s="168">
        <f t="shared" si="480"/>
        <v>136707480</v>
      </c>
      <c r="BX221" s="168">
        <f t="shared" si="480"/>
        <v>136707480</v>
      </c>
      <c r="BY221" s="168">
        <f t="shared" ref="BY221:DT221" si="481">BX224</f>
        <v>136707480</v>
      </c>
      <c r="BZ221" s="168">
        <f t="shared" si="481"/>
        <v>136707480</v>
      </c>
      <c r="CA221" s="168">
        <f t="shared" si="481"/>
        <v>136707480</v>
      </c>
      <c r="CB221" s="168">
        <f t="shared" si="481"/>
        <v>136707480</v>
      </c>
      <c r="CC221" s="168">
        <f t="shared" si="481"/>
        <v>136707480</v>
      </c>
      <c r="CD221" s="168">
        <f t="shared" si="481"/>
        <v>136707480</v>
      </c>
      <c r="CE221" s="168">
        <f t="shared" si="481"/>
        <v>136707480</v>
      </c>
      <c r="CF221" s="168">
        <f t="shared" si="481"/>
        <v>136707480</v>
      </c>
      <c r="CG221" s="168">
        <f t="shared" si="481"/>
        <v>136707480</v>
      </c>
      <c r="CH221" s="168">
        <f t="shared" si="481"/>
        <v>136707480</v>
      </c>
      <c r="CI221" s="168">
        <f t="shared" si="481"/>
        <v>136707480</v>
      </c>
      <c r="CJ221" s="168">
        <f t="shared" si="481"/>
        <v>136707480</v>
      </c>
      <c r="CK221" s="168">
        <f t="shared" si="481"/>
        <v>136707480</v>
      </c>
      <c r="CL221" s="168">
        <f t="shared" si="481"/>
        <v>136707480</v>
      </c>
      <c r="CM221" s="168">
        <f t="shared" si="481"/>
        <v>136707480</v>
      </c>
      <c r="CN221" s="168">
        <f t="shared" si="481"/>
        <v>136707480</v>
      </c>
      <c r="CO221" s="168">
        <f t="shared" si="481"/>
        <v>136707480</v>
      </c>
      <c r="CP221" s="168">
        <f t="shared" si="481"/>
        <v>136707480</v>
      </c>
      <c r="CQ221" s="168">
        <f t="shared" si="481"/>
        <v>136707480</v>
      </c>
      <c r="CR221" s="168">
        <f t="shared" si="481"/>
        <v>136707480</v>
      </c>
      <c r="CS221" s="168">
        <f t="shared" si="481"/>
        <v>136707480</v>
      </c>
      <c r="CT221" s="168">
        <f t="shared" si="481"/>
        <v>136707480</v>
      </c>
      <c r="CU221" s="168">
        <f t="shared" si="481"/>
        <v>136707480</v>
      </c>
      <c r="CV221" s="168">
        <f t="shared" si="481"/>
        <v>136707480</v>
      </c>
      <c r="CW221" s="168">
        <f t="shared" si="481"/>
        <v>136707480</v>
      </c>
      <c r="CX221" s="168">
        <f t="shared" si="481"/>
        <v>136707480</v>
      </c>
      <c r="CY221" s="168">
        <f t="shared" si="481"/>
        <v>136707480</v>
      </c>
      <c r="CZ221" s="168">
        <f t="shared" si="481"/>
        <v>136707480</v>
      </c>
      <c r="DA221" s="168">
        <f t="shared" si="481"/>
        <v>136707480</v>
      </c>
      <c r="DB221" s="168">
        <f t="shared" si="481"/>
        <v>136707480</v>
      </c>
      <c r="DC221" s="168">
        <f t="shared" si="481"/>
        <v>136707480</v>
      </c>
      <c r="DD221" s="168">
        <f t="shared" si="481"/>
        <v>136707480</v>
      </c>
      <c r="DE221" s="168">
        <f t="shared" si="481"/>
        <v>136707480</v>
      </c>
      <c r="DF221" s="168">
        <f t="shared" si="481"/>
        <v>136707480</v>
      </c>
      <c r="DG221" s="168">
        <f t="shared" si="481"/>
        <v>136707480</v>
      </c>
      <c r="DH221" s="168">
        <f t="shared" si="481"/>
        <v>136707480</v>
      </c>
      <c r="DI221" s="168">
        <f t="shared" si="481"/>
        <v>136707480</v>
      </c>
      <c r="DJ221" s="168">
        <f t="shared" si="481"/>
        <v>136707480</v>
      </c>
      <c r="DK221" s="168">
        <f t="shared" si="481"/>
        <v>136707480</v>
      </c>
      <c r="DL221" s="168">
        <f t="shared" si="481"/>
        <v>136707480</v>
      </c>
      <c r="DM221" s="168">
        <f t="shared" si="481"/>
        <v>136707480</v>
      </c>
      <c r="DN221" s="168">
        <f t="shared" si="481"/>
        <v>136707480</v>
      </c>
      <c r="DO221" s="168">
        <f t="shared" si="481"/>
        <v>136707480</v>
      </c>
      <c r="DP221" s="168">
        <f t="shared" si="481"/>
        <v>136707480</v>
      </c>
      <c r="DQ221" s="168">
        <f t="shared" si="481"/>
        <v>136707480</v>
      </c>
      <c r="DR221" s="168">
        <f t="shared" si="481"/>
        <v>136707480</v>
      </c>
      <c r="DS221" s="168">
        <f t="shared" si="481"/>
        <v>136707480</v>
      </c>
      <c r="DT221" s="168">
        <f t="shared" si="481"/>
        <v>136707480</v>
      </c>
      <c r="DU221" s="168">
        <f t="shared" ref="DU221:EQ221" si="482">DT224</f>
        <v>136707480</v>
      </c>
      <c r="DV221" s="168">
        <f t="shared" si="482"/>
        <v>136707480</v>
      </c>
      <c r="DW221" s="168">
        <f t="shared" si="482"/>
        <v>136707480</v>
      </c>
      <c r="DX221" s="168">
        <f t="shared" si="482"/>
        <v>136707480</v>
      </c>
      <c r="DY221" s="168">
        <f t="shared" si="482"/>
        <v>136707480</v>
      </c>
      <c r="DZ221" s="168">
        <f t="shared" si="482"/>
        <v>136707480</v>
      </c>
      <c r="EA221" s="168">
        <f t="shared" si="482"/>
        <v>136707480</v>
      </c>
      <c r="EB221" s="168">
        <f t="shared" si="482"/>
        <v>136707480</v>
      </c>
      <c r="EC221" s="168">
        <f t="shared" si="482"/>
        <v>0</v>
      </c>
      <c r="ED221" s="1320">
        <f t="shared" si="482"/>
        <v>0</v>
      </c>
      <c r="EE221" s="168">
        <f t="shared" si="482"/>
        <v>0</v>
      </c>
      <c r="EF221" s="168">
        <f t="shared" si="482"/>
        <v>0</v>
      </c>
      <c r="EG221" s="168">
        <f t="shared" si="482"/>
        <v>0</v>
      </c>
      <c r="EH221" s="168">
        <f t="shared" si="482"/>
        <v>0</v>
      </c>
      <c r="EI221" s="168">
        <f t="shared" si="482"/>
        <v>0</v>
      </c>
      <c r="EJ221" s="168">
        <f t="shared" si="482"/>
        <v>0</v>
      </c>
      <c r="EK221" s="168">
        <f t="shared" si="482"/>
        <v>0</v>
      </c>
      <c r="EL221" s="168">
        <f t="shared" si="482"/>
        <v>0</v>
      </c>
      <c r="EM221" s="168">
        <f t="shared" si="482"/>
        <v>0</v>
      </c>
      <c r="EN221" s="168">
        <f t="shared" si="482"/>
        <v>0</v>
      </c>
      <c r="EO221" s="168">
        <f t="shared" si="482"/>
        <v>0</v>
      </c>
      <c r="EP221" s="168">
        <f t="shared" si="482"/>
        <v>0</v>
      </c>
      <c r="EQ221" s="168">
        <f t="shared" si="482"/>
        <v>0</v>
      </c>
    </row>
    <row r="222" spans="3:147" ht="11.25" customHeight="1">
      <c r="C222" s="163"/>
      <c r="D222" s="169" t="s">
        <v>231</v>
      </c>
      <c r="H222" s="146">
        <f>H217</f>
        <v>46326</v>
      </c>
      <c r="I222" s="90">
        <f>TIC!$J$37*TIC!H17</f>
        <v>136707480</v>
      </c>
      <c r="J222" s="170">
        <f>SUM(L222:EQ222)</f>
        <v>136707480</v>
      </c>
      <c r="K222" s="98"/>
      <c r="L222" s="171">
        <f>$I222*(L$214=$H222)</f>
        <v>136707480</v>
      </c>
      <c r="M222" s="171">
        <f t="shared" ref="M222:BX222" si="483">$I222*(M$214=$H222)</f>
        <v>0</v>
      </c>
      <c r="N222" s="171">
        <f t="shared" si="483"/>
        <v>0</v>
      </c>
      <c r="O222" s="171">
        <f t="shared" si="483"/>
        <v>0</v>
      </c>
      <c r="P222" s="171">
        <f t="shared" si="483"/>
        <v>0</v>
      </c>
      <c r="Q222" s="171">
        <f t="shared" si="483"/>
        <v>0</v>
      </c>
      <c r="R222" s="171">
        <f t="shared" si="483"/>
        <v>0</v>
      </c>
      <c r="S222" s="171">
        <f t="shared" si="483"/>
        <v>0</v>
      </c>
      <c r="T222" s="171">
        <f t="shared" si="483"/>
        <v>0</v>
      </c>
      <c r="U222" s="171">
        <f t="shared" si="483"/>
        <v>0</v>
      </c>
      <c r="V222" s="171">
        <f t="shared" si="483"/>
        <v>0</v>
      </c>
      <c r="W222" s="171">
        <f t="shared" si="483"/>
        <v>0</v>
      </c>
      <c r="X222" s="171">
        <f t="shared" si="483"/>
        <v>0</v>
      </c>
      <c r="Y222" s="171">
        <f t="shared" si="483"/>
        <v>0</v>
      </c>
      <c r="Z222" s="171">
        <f t="shared" si="483"/>
        <v>0</v>
      </c>
      <c r="AA222" s="171">
        <f t="shared" si="483"/>
        <v>0</v>
      </c>
      <c r="AB222" s="171">
        <f t="shared" si="483"/>
        <v>0</v>
      </c>
      <c r="AC222" s="171">
        <f t="shared" si="483"/>
        <v>0</v>
      </c>
      <c r="AD222" s="171">
        <f t="shared" si="483"/>
        <v>0</v>
      </c>
      <c r="AE222" s="171">
        <f t="shared" si="483"/>
        <v>0</v>
      </c>
      <c r="AF222" s="171">
        <f t="shared" si="483"/>
        <v>0</v>
      </c>
      <c r="AG222" s="171">
        <f t="shared" si="483"/>
        <v>0</v>
      </c>
      <c r="AH222" s="171">
        <f t="shared" si="483"/>
        <v>0</v>
      </c>
      <c r="AI222" s="171">
        <f t="shared" si="483"/>
        <v>0</v>
      </c>
      <c r="AJ222" s="171">
        <f t="shared" si="483"/>
        <v>0</v>
      </c>
      <c r="AK222" s="171">
        <f t="shared" si="483"/>
        <v>0</v>
      </c>
      <c r="AL222" s="171">
        <f t="shared" si="483"/>
        <v>0</v>
      </c>
      <c r="AM222" s="171">
        <f t="shared" si="483"/>
        <v>0</v>
      </c>
      <c r="AN222" s="171">
        <f t="shared" si="483"/>
        <v>0</v>
      </c>
      <c r="AO222" s="171">
        <f t="shared" si="483"/>
        <v>0</v>
      </c>
      <c r="AP222" s="171">
        <f t="shared" si="483"/>
        <v>0</v>
      </c>
      <c r="AQ222" s="171">
        <f t="shared" si="483"/>
        <v>0</v>
      </c>
      <c r="AR222" s="171">
        <f t="shared" si="483"/>
        <v>0</v>
      </c>
      <c r="AS222" s="171">
        <f t="shared" si="483"/>
        <v>0</v>
      </c>
      <c r="AT222" s="171">
        <f t="shared" si="483"/>
        <v>0</v>
      </c>
      <c r="AU222" s="171">
        <f t="shared" si="483"/>
        <v>0</v>
      </c>
      <c r="AV222" s="171">
        <f t="shared" si="483"/>
        <v>0</v>
      </c>
      <c r="AW222" s="171">
        <f t="shared" si="483"/>
        <v>0</v>
      </c>
      <c r="AX222" s="171">
        <f t="shared" si="483"/>
        <v>0</v>
      </c>
      <c r="AY222" s="171">
        <f t="shared" si="483"/>
        <v>0</v>
      </c>
      <c r="AZ222" s="171">
        <f t="shared" si="483"/>
        <v>0</v>
      </c>
      <c r="BA222" s="171">
        <f t="shared" si="483"/>
        <v>0</v>
      </c>
      <c r="BB222" s="171">
        <f t="shared" si="483"/>
        <v>0</v>
      </c>
      <c r="BC222" s="171">
        <f t="shared" si="483"/>
        <v>0</v>
      </c>
      <c r="BD222" s="171">
        <f t="shared" si="483"/>
        <v>0</v>
      </c>
      <c r="BE222" s="171">
        <f t="shared" si="483"/>
        <v>0</v>
      </c>
      <c r="BF222" s="171">
        <f t="shared" si="483"/>
        <v>0</v>
      </c>
      <c r="BG222" s="171">
        <f t="shared" si="483"/>
        <v>0</v>
      </c>
      <c r="BH222" s="171">
        <f t="shared" si="483"/>
        <v>0</v>
      </c>
      <c r="BI222" s="171">
        <f t="shared" si="483"/>
        <v>0</v>
      </c>
      <c r="BJ222" s="171">
        <f t="shared" si="483"/>
        <v>0</v>
      </c>
      <c r="BK222" s="171">
        <f t="shared" si="483"/>
        <v>0</v>
      </c>
      <c r="BL222" s="171">
        <f t="shared" si="483"/>
        <v>0</v>
      </c>
      <c r="BM222" s="171">
        <f t="shared" si="483"/>
        <v>0</v>
      </c>
      <c r="BN222" s="171">
        <f t="shared" si="483"/>
        <v>0</v>
      </c>
      <c r="BO222" s="171">
        <f t="shared" si="483"/>
        <v>0</v>
      </c>
      <c r="BP222" s="171">
        <f t="shared" si="483"/>
        <v>0</v>
      </c>
      <c r="BQ222" s="171">
        <f t="shared" si="483"/>
        <v>0</v>
      </c>
      <c r="BR222" s="171">
        <f t="shared" si="483"/>
        <v>0</v>
      </c>
      <c r="BS222" s="171">
        <f t="shared" si="483"/>
        <v>0</v>
      </c>
      <c r="BT222" s="171">
        <f t="shared" si="483"/>
        <v>0</v>
      </c>
      <c r="BU222" s="171">
        <f t="shared" si="483"/>
        <v>0</v>
      </c>
      <c r="BV222" s="171">
        <f t="shared" si="483"/>
        <v>0</v>
      </c>
      <c r="BW222" s="171">
        <f t="shared" si="483"/>
        <v>0</v>
      </c>
      <c r="BX222" s="171">
        <f t="shared" si="483"/>
        <v>0</v>
      </c>
      <c r="BY222" s="171">
        <f t="shared" ref="BY222:EQ222" si="484">$I222*(BY$214=$H222)</f>
        <v>0</v>
      </c>
      <c r="BZ222" s="171">
        <f t="shared" si="484"/>
        <v>0</v>
      </c>
      <c r="CA222" s="171">
        <f t="shared" si="484"/>
        <v>0</v>
      </c>
      <c r="CB222" s="171">
        <f t="shared" si="484"/>
        <v>0</v>
      </c>
      <c r="CC222" s="171">
        <f t="shared" si="484"/>
        <v>0</v>
      </c>
      <c r="CD222" s="171">
        <f t="shared" si="484"/>
        <v>0</v>
      </c>
      <c r="CE222" s="171">
        <f t="shared" si="484"/>
        <v>0</v>
      </c>
      <c r="CF222" s="171">
        <f t="shared" si="484"/>
        <v>0</v>
      </c>
      <c r="CG222" s="171">
        <f t="shared" si="484"/>
        <v>0</v>
      </c>
      <c r="CH222" s="171">
        <f t="shared" si="484"/>
        <v>0</v>
      </c>
      <c r="CI222" s="171">
        <f t="shared" si="484"/>
        <v>0</v>
      </c>
      <c r="CJ222" s="171">
        <f t="shared" si="484"/>
        <v>0</v>
      </c>
      <c r="CK222" s="171">
        <f t="shared" si="484"/>
        <v>0</v>
      </c>
      <c r="CL222" s="171">
        <f t="shared" si="484"/>
        <v>0</v>
      </c>
      <c r="CM222" s="171">
        <f t="shared" si="484"/>
        <v>0</v>
      </c>
      <c r="CN222" s="171">
        <f t="shared" si="484"/>
        <v>0</v>
      </c>
      <c r="CO222" s="171">
        <f t="shared" si="484"/>
        <v>0</v>
      </c>
      <c r="CP222" s="171">
        <f t="shared" si="484"/>
        <v>0</v>
      </c>
      <c r="CQ222" s="171">
        <f t="shared" si="484"/>
        <v>0</v>
      </c>
      <c r="CR222" s="171">
        <f t="shared" si="484"/>
        <v>0</v>
      </c>
      <c r="CS222" s="171">
        <f t="shared" si="484"/>
        <v>0</v>
      </c>
      <c r="CT222" s="171">
        <f t="shared" si="484"/>
        <v>0</v>
      </c>
      <c r="CU222" s="171">
        <f t="shared" si="484"/>
        <v>0</v>
      </c>
      <c r="CV222" s="171">
        <f t="shared" si="484"/>
        <v>0</v>
      </c>
      <c r="CW222" s="171">
        <f t="shared" si="484"/>
        <v>0</v>
      </c>
      <c r="CX222" s="171">
        <f t="shared" si="484"/>
        <v>0</v>
      </c>
      <c r="CY222" s="171">
        <f t="shared" si="484"/>
        <v>0</v>
      </c>
      <c r="CZ222" s="171">
        <f t="shared" si="484"/>
        <v>0</v>
      </c>
      <c r="DA222" s="171">
        <f t="shared" si="484"/>
        <v>0</v>
      </c>
      <c r="DB222" s="171">
        <f t="shared" si="484"/>
        <v>0</v>
      </c>
      <c r="DC222" s="171">
        <f t="shared" si="484"/>
        <v>0</v>
      </c>
      <c r="DD222" s="171">
        <f t="shared" si="484"/>
        <v>0</v>
      </c>
      <c r="DE222" s="171">
        <f t="shared" si="484"/>
        <v>0</v>
      </c>
      <c r="DF222" s="171">
        <f t="shared" si="484"/>
        <v>0</v>
      </c>
      <c r="DG222" s="171">
        <f t="shared" si="484"/>
        <v>0</v>
      </c>
      <c r="DH222" s="171">
        <f t="shared" si="484"/>
        <v>0</v>
      </c>
      <c r="DI222" s="171">
        <f t="shared" si="484"/>
        <v>0</v>
      </c>
      <c r="DJ222" s="171">
        <f t="shared" si="484"/>
        <v>0</v>
      </c>
      <c r="DK222" s="171">
        <f t="shared" si="484"/>
        <v>0</v>
      </c>
      <c r="DL222" s="171">
        <f t="shared" si="484"/>
        <v>0</v>
      </c>
      <c r="DM222" s="171">
        <f t="shared" si="484"/>
        <v>0</v>
      </c>
      <c r="DN222" s="171">
        <f t="shared" si="484"/>
        <v>0</v>
      </c>
      <c r="DO222" s="171">
        <f t="shared" si="484"/>
        <v>0</v>
      </c>
      <c r="DP222" s="171">
        <f t="shared" si="484"/>
        <v>0</v>
      </c>
      <c r="DQ222" s="171">
        <f t="shared" si="484"/>
        <v>0</v>
      </c>
      <c r="DR222" s="171">
        <f t="shared" si="484"/>
        <v>0</v>
      </c>
      <c r="DS222" s="171">
        <f t="shared" si="484"/>
        <v>0</v>
      </c>
      <c r="DT222" s="171">
        <f t="shared" si="484"/>
        <v>0</v>
      </c>
      <c r="DU222" s="171">
        <f t="shared" si="484"/>
        <v>0</v>
      </c>
      <c r="DV222" s="171">
        <f t="shared" si="484"/>
        <v>0</v>
      </c>
      <c r="DW222" s="171">
        <f t="shared" si="484"/>
        <v>0</v>
      </c>
      <c r="DX222" s="171">
        <f t="shared" si="484"/>
        <v>0</v>
      </c>
      <c r="DY222" s="171">
        <f t="shared" si="484"/>
        <v>0</v>
      </c>
      <c r="DZ222" s="171">
        <f t="shared" si="484"/>
        <v>0</v>
      </c>
      <c r="EA222" s="171">
        <f t="shared" si="484"/>
        <v>0</v>
      </c>
      <c r="EB222" s="171">
        <f t="shared" si="484"/>
        <v>0</v>
      </c>
      <c r="EC222" s="171">
        <f t="shared" si="484"/>
        <v>0</v>
      </c>
      <c r="ED222" s="1321">
        <f t="shared" si="484"/>
        <v>0</v>
      </c>
      <c r="EE222" s="171">
        <f t="shared" si="484"/>
        <v>0</v>
      </c>
      <c r="EF222" s="171">
        <f t="shared" si="484"/>
        <v>0</v>
      </c>
      <c r="EG222" s="171">
        <f t="shared" si="484"/>
        <v>0</v>
      </c>
      <c r="EH222" s="171">
        <f t="shared" si="484"/>
        <v>0</v>
      </c>
      <c r="EI222" s="171">
        <f t="shared" si="484"/>
        <v>0</v>
      </c>
      <c r="EJ222" s="171">
        <f t="shared" si="484"/>
        <v>0</v>
      </c>
      <c r="EK222" s="171">
        <f t="shared" si="484"/>
        <v>0</v>
      </c>
      <c r="EL222" s="171">
        <f t="shared" si="484"/>
        <v>0</v>
      </c>
      <c r="EM222" s="171">
        <f t="shared" si="484"/>
        <v>0</v>
      </c>
      <c r="EN222" s="171">
        <f t="shared" si="484"/>
        <v>0</v>
      </c>
      <c r="EO222" s="171">
        <f t="shared" si="484"/>
        <v>0</v>
      </c>
      <c r="EP222" s="171">
        <f t="shared" si="484"/>
        <v>0</v>
      </c>
      <c r="EQ222" s="171">
        <f t="shared" si="484"/>
        <v>0</v>
      </c>
    </row>
    <row r="223" spans="3:147" ht="11.25" customHeight="1">
      <c r="C223" s="163"/>
      <c r="D223" s="169" t="s">
        <v>232</v>
      </c>
      <c r="H223" s="146">
        <f>H218</f>
        <v>49979</v>
      </c>
      <c r="I223" s="248"/>
      <c r="J223" s="170">
        <f>SUM(L223:EQ223)</f>
        <v>136707480</v>
      </c>
      <c r="K223" s="98"/>
      <c r="L223" s="171">
        <f>SUM(L221:L222)*(L$14=$H223)</f>
        <v>0</v>
      </c>
      <c r="M223" s="171">
        <f t="shared" ref="M223:BX223" si="485">SUM(M221:M222)*(M$14=$H223)</f>
        <v>0</v>
      </c>
      <c r="N223" s="171">
        <f t="shared" si="485"/>
        <v>0</v>
      </c>
      <c r="O223" s="171">
        <f t="shared" si="485"/>
        <v>0</v>
      </c>
      <c r="P223" s="171">
        <f t="shared" si="485"/>
        <v>0</v>
      </c>
      <c r="Q223" s="171">
        <f t="shared" si="485"/>
        <v>0</v>
      </c>
      <c r="R223" s="171">
        <f t="shared" si="485"/>
        <v>0</v>
      </c>
      <c r="S223" s="171">
        <f t="shared" si="485"/>
        <v>0</v>
      </c>
      <c r="T223" s="171">
        <f t="shared" si="485"/>
        <v>0</v>
      </c>
      <c r="U223" s="171">
        <f t="shared" si="485"/>
        <v>0</v>
      </c>
      <c r="V223" s="171">
        <f t="shared" si="485"/>
        <v>0</v>
      </c>
      <c r="W223" s="171">
        <f t="shared" si="485"/>
        <v>0</v>
      </c>
      <c r="X223" s="171">
        <f t="shared" si="485"/>
        <v>0</v>
      </c>
      <c r="Y223" s="171">
        <f t="shared" si="485"/>
        <v>0</v>
      </c>
      <c r="Z223" s="171">
        <f t="shared" si="485"/>
        <v>0</v>
      </c>
      <c r="AA223" s="171">
        <f t="shared" si="485"/>
        <v>0</v>
      </c>
      <c r="AB223" s="171">
        <f t="shared" si="485"/>
        <v>0</v>
      </c>
      <c r="AC223" s="171">
        <f t="shared" si="485"/>
        <v>0</v>
      </c>
      <c r="AD223" s="171">
        <f t="shared" si="485"/>
        <v>0</v>
      </c>
      <c r="AE223" s="171">
        <f t="shared" si="485"/>
        <v>0</v>
      </c>
      <c r="AF223" s="171">
        <f t="shared" si="485"/>
        <v>0</v>
      </c>
      <c r="AG223" s="171">
        <f t="shared" si="485"/>
        <v>0</v>
      </c>
      <c r="AH223" s="171">
        <f t="shared" si="485"/>
        <v>0</v>
      </c>
      <c r="AI223" s="171">
        <f t="shared" si="485"/>
        <v>0</v>
      </c>
      <c r="AJ223" s="171">
        <f t="shared" si="485"/>
        <v>0</v>
      </c>
      <c r="AK223" s="171">
        <f t="shared" si="485"/>
        <v>0</v>
      </c>
      <c r="AL223" s="171">
        <f t="shared" si="485"/>
        <v>0</v>
      </c>
      <c r="AM223" s="171">
        <f t="shared" si="485"/>
        <v>0</v>
      </c>
      <c r="AN223" s="171">
        <f t="shared" si="485"/>
        <v>0</v>
      </c>
      <c r="AO223" s="171">
        <f t="shared" si="485"/>
        <v>0</v>
      </c>
      <c r="AP223" s="171">
        <f t="shared" si="485"/>
        <v>0</v>
      </c>
      <c r="AQ223" s="171">
        <f t="shared" si="485"/>
        <v>0</v>
      </c>
      <c r="AR223" s="171">
        <f t="shared" si="485"/>
        <v>0</v>
      </c>
      <c r="AS223" s="171">
        <f t="shared" si="485"/>
        <v>0</v>
      </c>
      <c r="AT223" s="171">
        <f t="shared" si="485"/>
        <v>0</v>
      </c>
      <c r="AU223" s="171">
        <f t="shared" si="485"/>
        <v>0</v>
      </c>
      <c r="AV223" s="171">
        <f t="shared" si="485"/>
        <v>0</v>
      </c>
      <c r="AW223" s="171">
        <f t="shared" si="485"/>
        <v>0</v>
      </c>
      <c r="AX223" s="171">
        <f t="shared" si="485"/>
        <v>0</v>
      </c>
      <c r="AY223" s="171">
        <f t="shared" si="485"/>
        <v>0</v>
      </c>
      <c r="AZ223" s="171">
        <f t="shared" si="485"/>
        <v>0</v>
      </c>
      <c r="BA223" s="171">
        <f t="shared" si="485"/>
        <v>0</v>
      </c>
      <c r="BB223" s="171">
        <f t="shared" si="485"/>
        <v>0</v>
      </c>
      <c r="BC223" s="171">
        <f t="shared" si="485"/>
        <v>0</v>
      </c>
      <c r="BD223" s="171">
        <f t="shared" si="485"/>
        <v>0</v>
      </c>
      <c r="BE223" s="171">
        <f t="shared" si="485"/>
        <v>0</v>
      </c>
      <c r="BF223" s="171">
        <f t="shared" si="485"/>
        <v>0</v>
      </c>
      <c r="BG223" s="171">
        <f t="shared" si="485"/>
        <v>0</v>
      </c>
      <c r="BH223" s="171">
        <f t="shared" si="485"/>
        <v>0</v>
      </c>
      <c r="BI223" s="171">
        <f t="shared" si="485"/>
        <v>0</v>
      </c>
      <c r="BJ223" s="171">
        <f t="shared" si="485"/>
        <v>0</v>
      </c>
      <c r="BK223" s="171">
        <f t="shared" si="485"/>
        <v>0</v>
      </c>
      <c r="BL223" s="171">
        <f t="shared" si="485"/>
        <v>0</v>
      </c>
      <c r="BM223" s="171">
        <f t="shared" si="485"/>
        <v>0</v>
      </c>
      <c r="BN223" s="171">
        <f t="shared" si="485"/>
        <v>0</v>
      </c>
      <c r="BO223" s="171">
        <f t="shared" si="485"/>
        <v>0</v>
      </c>
      <c r="BP223" s="171">
        <f t="shared" si="485"/>
        <v>0</v>
      </c>
      <c r="BQ223" s="171">
        <f t="shared" si="485"/>
        <v>0</v>
      </c>
      <c r="BR223" s="171">
        <f t="shared" si="485"/>
        <v>0</v>
      </c>
      <c r="BS223" s="171">
        <f t="shared" si="485"/>
        <v>0</v>
      </c>
      <c r="BT223" s="171">
        <f t="shared" si="485"/>
        <v>0</v>
      </c>
      <c r="BU223" s="171">
        <f t="shared" si="485"/>
        <v>0</v>
      </c>
      <c r="BV223" s="171">
        <f t="shared" si="485"/>
        <v>0</v>
      </c>
      <c r="BW223" s="171">
        <f t="shared" si="485"/>
        <v>0</v>
      </c>
      <c r="BX223" s="171">
        <f t="shared" si="485"/>
        <v>0</v>
      </c>
      <c r="BY223" s="171">
        <f t="shared" ref="BY223:DT223" si="486">SUM(BY221:BY222)*(BY$14=$H223)</f>
        <v>0</v>
      </c>
      <c r="BZ223" s="171">
        <f t="shared" si="486"/>
        <v>0</v>
      </c>
      <c r="CA223" s="171">
        <f t="shared" si="486"/>
        <v>0</v>
      </c>
      <c r="CB223" s="171">
        <f t="shared" si="486"/>
        <v>0</v>
      </c>
      <c r="CC223" s="171">
        <f t="shared" si="486"/>
        <v>0</v>
      </c>
      <c r="CD223" s="171">
        <f t="shared" si="486"/>
        <v>0</v>
      </c>
      <c r="CE223" s="171">
        <f t="shared" si="486"/>
        <v>0</v>
      </c>
      <c r="CF223" s="171">
        <f t="shared" si="486"/>
        <v>0</v>
      </c>
      <c r="CG223" s="171">
        <f t="shared" si="486"/>
        <v>0</v>
      </c>
      <c r="CH223" s="171">
        <f t="shared" si="486"/>
        <v>0</v>
      </c>
      <c r="CI223" s="171">
        <f t="shared" si="486"/>
        <v>0</v>
      </c>
      <c r="CJ223" s="171">
        <f t="shared" si="486"/>
        <v>0</v>
      </c>
      <c r="CK223" s="171">
        <f t="shared" si="486"/>
        <v>0</v>
      </c>
      <c r="CL223" s="171">
        <f t="shared" si="486"/>
        <v>0</v>
      </c>
      <c r="CM223" s="171">
        <f t="shared" si="486"/>
        <v>0</v>
      </c>
      <c r="CN223" s="171">
        <f t="shared" si="486"/>
        <v>0</v>
      </c>
      <c r="CO223" s="171">
        <f t="shared" si="486"/>
        <v>0</v>
      </c>
      <c r="CP223" s="171">
        <f t="shared" si="486"/>
        <v>0</v>
      </c>
      <c r="CQ223" s="171">
        <f t="shared" si="486"/>
        <v>0</v>
      </c>
      <c r="CR223" s="171">
        <f t="shared" si="486"/>
        <v>0</v>
      </c>
      <c r="CS223" s="171">
        <f t="shared" si="486"/>
        <v>0</v>
      </c>
      <c r="CT223" s="171">
        <f t="shared" si="486"/>
        <v>0</v>
      </c>
      <c r="CU223" s="171">
        <f t="shared" si="486"/>
        <v>0</v>
      </c>
      <c r="CV223" s="171">
        <f t="shared" si="486"/>
        <v>0</v>
      </c>
      <c r="CW223" s="171">
        <f t="shared" si="486"/>
        <v>0</v>
      </c>
      <c r="CX223" s="171">
        <f t="shared" si="486"/>
        <v>0</v>
      </c>
      <c r="CY223" s="171">
        <f t="shared" si="486"/>
        <v>0</v>
      </c>
      <c r="CZ223" s="171">
        <f t="shared" si="486"/>
        <v>0</v>
      </c>
      <c r="DA223" s="171">
        <f t="shared" si="486"/>
        <v>0</v>
      </c>
      <c r="DB223" s="171">
        <f t="shared" si="486"/>
        <v>0</v>
      </c>
      <c r="DC223" s="171">
        <f t="shared" si="486"/>
        <v>0</v>
      </c>
      <c r="DD223" s="171">
        <f t="shared" si="486"/>
        <v>0</v>
      </c>
      <c r="DE223" s="171">
        <f t="shared" si="486"/>
        <v>0</v>
      </c>
      <c r="DF223" s="171">
        <f t="shared" si="486"/>
        <v>0</v>
      </c>
      <c r="DG223" s="171">
        <f t="shared" si="486"/>
        <v>0</v>
      </c>
      <c r="DH223" s="171">
        <f t="shared" si="486"/>
        <v>0</v>
      </c>
      <c r="DI223" s="171">
        <f t="shared" si="486"/>
        <v>0</v>
      </c>
      <c r="DJ223" s="171">
        <f t="shared" si="486"/>
        <v>0</v>
      </c>
      <c r="DK223" s="171">
        <f t="shared" si="486"/>
        <v>0</v>
      </c>
      <c r="DL223" s="171">
        <f t="shared" si="486"/>
        <v>0</v>
      </c>
      <c r="DM223" s="171">
        <f t="shared" si="486"/>
        <v>0</v>
      </c>
      <c r="DN223" s="171">
        <f t="shared" si="486"/>
        <v>0</v>
      </c>
      <c r="DO223" s="171">
        <f t="shared" si="486"/>
        <v>0</v>
      </c>
      <c r="DP223" s="171">
        <f t="shared" si="486"/>
        <v>0</v>
      </c>
      <c r="DQ223" s="171">
        <f t="shared" si="486"/>
        <v>0</v>
      </c>
      <c r="DR223" s="171">
        <f t="shared" si="486"/>
        <v>0</v>
      </c>
      <c r="DS223" s="171">
        <f t="shared" si="486"/>
        <v>0</v>
      </c>
      <c r="DT223" s="171">
        <f t="shared" si="486"/>
        <v>0</v>
      </c>
      <c r="DU223" s="171">
        <f t="shared" ref="DU223:EA223" si="487">SUM(DU221:DU222)*(DU$14=$H223)</f>
        <v>0</v>
      </c>
      <c r="DV223" s="171">
        <f t="shared" si="487"/>
        <v>0</v>
      </c>
      <c r="DW223" s="171">
        <f t="shared" si="487"/>
        <v>0</v>
      </c>
      <c r="DX223" s="171">
        <f t="shared" si="487"/>
        <v>0</v>
      </c>
      <c r="DY223" s="171">
        <f t="shared" si="487"/>
        <v>0</v>
      </c>
      <c r="DZ223" s="171">
        <f t="shared" si="487"/>
        <v>0</v>
      </c>
      <c r="EA223" s="171">
        <f t="shared" si="487"/>
        <v>0</v>
      </c>
      <c r="EB223" s="171">
        <f t="shared" ref="EB223:EQ223" si="488">SUM(EB221:EB222)*(EB$14=$H223)</f>
        <v>136707480</v>
      </c>
      <c r="EC223" s="171">
        <f t="shared" si="488"/>
        <v>0</v>
      </c>
      <c r="ED223" s="1321">
        <f t="shared" si="488"/>
        <v>0</v>
      </c>
      <c r="EE223" s="171">
        <f t="shared" si="488"/>
        <v>0</v>
      </c>
      <c r="EF223" s="171">
        <f t="shared" si="488"/>
        <v>0</v>
      </c>
      <c r="EG223" s="171">
        <f t="shared" si="488"/>
        <v>0</v>
      </c>
      <c r="EH223" s="171">
        <f t="shared" si="488"/>
        <v>0</v>
      </c>
      <c r="EI223" s="171">
        <f t="shared" si="488"/>
        <v>0</v>
      </c>
      <c r="EJ223" s="171">
        <f t="shared" si="488"/>
        <v>0</v>
      </c>
      <c r="EK223" s="171">
        <f t="shared" si="488"/>
        <v>0</v>
      </c>
      <c r="EL223" s="171">
        <f t="shared" si="488"/>
        <v>0</v>
      </c>
      <c r="EM223" s="171">
        <f t="shared" si="488"/>
        <v>0</v>
      </c>
      <c r="EN223" s="171">
        <f t="shared" si="488"/>
        <v>0</v>
      </c>
      <c r="EO223" s="171">
        <f t="shared" si="488"/>
        <v>0</v>
      </c>
      <c r="EP223" s="171">
        <f t="shared" si="488"/>
        <v>0</v>
      </c>
      <c r="EQ223" s="171">
        <f t="shared" si="488"/>
        <v>0</v>
      </c>
    </row>
    <row r="224" spans="3:147" ht="11.25" customHeight="1">
      <c r="C224" s="163"/>
      <c r="D224" s="169" t="s">
        <v>233</v>
      </c>
      <c r="I224" s="248"/>
      <c r="J224" s="170"/>
      <c r="K224" s="98"/>
      <c r="L224" s="171">
        <f>L221+L222-L223</f>
        <v>136707480</v>
      </c>
      <c r="M224" s="171">
        <f t="shared" ref="M224:BX224" si="489">M221+M222-M223</f>
        <v>136707480</v>
      </c>
      <c r="N224" s="171">
        <f t="shared" si="489"/>
        <v>136707480</v>
      </c>
      <c r="O224" s="171">
        <f t="shared" si="489"/>
        <v>136707480</v>
      </c>
      <c r="P224" s="171">
        <f t="shared" si="489"/>
        <v>136707480</v>
      </c>
      <c r="Q224" s="171">
        <f t="shared" si="489"/>
        <v>136707480</v>
      </c>
      <c r="R224" s="171">
        <f t="shared" si="489"/>
        <v>136707480</v>
      </c>
      <c r="S224" s="171">
        <f t="shared" si="489"/>
        <v>136707480</v>
      </c>
      <c r="T224" s="171">
        <f t="shared" si="489"/>
        <v>136707480</v>
      </c>
      <c r="U224" s="171">
        <f t="shared" si="489"/>
        <v>136707480</v>
      </c>
      <c r="V224" s="171">
        <f t="shared" si="489"/>
        <v>136707480</v>
      </c>
      <c r="W224" s="171">
        <f t="shared" si="489"/>
        <v>136707480</v>
      </c>
      <c r="X224" s="171">
        <f t="shared" si="489"/>
        <v>136707480</v>
      </c>
      <c r="Y224" s="171">
        <f t="shared" si="489"/>
        <v>136707480</v>
      </c>
      <c r="Z224" s="171">
        <f t="shared" si="489"/>
        <v>136707480</v>
      </c>
      <c r="AA224" s="171">
        <f t="shared" si="489"/>
        <v>136707480</v>
      </c>
      <c r="AB224" s="171">
        <f t="shared" si="489"/>
        <v>136707480</v>
      </c>
      <c r="AC224" s="171">
        <f t="shared" si="489"/>
        <v>136707480</v>
      </c>
      <c r="AD224" s="171">
        <f t="shared" si="489"/>
        <v>136707480</v>
      </c>
      <c r="AE224" s="171">
        <f t="shared" si="489"/>
        <v>136707480</v>
      </c>
      <c r="AF224" s="171">
        <f t="shared" si="489"/>
        <v>136707480</v>
      </c>
      <c r="AG224" s="171">
        <f t="shared" si="489"/>
        <v>136707480</v>
      </c>
      <c r="AH224" s="171">
        <f t="shared" si="489"/>
        <v>136707480</v>
      </c>
      <c r="AI224" s="171">
        <f t="shared" si="489"/>
        <v>136707480</v>
      </c>
      <c r="AJ224" s="171">
        <f t="shared" si="489"/>
        <v>136707480</v>
      </c>
      <c r="AK224" s="171">
        <f t="shared" si="489"/>
        <v>136707480</v>
      </c>
      <c r="AL224" s="171">
        <f t="shared" si="489"/>
        <v>136707480</v>
      </c>
      <c r="AM224" s="171">
        <f t="shared" si="489"/>
        <v>136707480</v>
      </c>
      <c r="AN224" s="171">
        <f t="shared" si="489"/>
        <v>136707480</v>
      </c>
      <c r="AO224" s="171">
        <f t="shared" si="489"/>
        <v>136707480</v>
      </c>
      <c r="AP224" s="171">
        <f t="shared" si="489"/>
        <v>136707480</v>
      </c>
      <c r="AQ224" s="171">
        <f t="shared" si="489"/>
        <v>136707480</v>
      </c>
      <c r="AR224" s="171">
        <f t="shared" si="489"/>
        <v>136707480</v>
      </c>
      <c r="AS224" s="171">
        <f t="shared" si="489"/>
        <v>136707480</v>
      </c>
      <c r="AT224" s="171">
        <f t="shared" si="489"/>
        <v>136707480</v>
      </c>
      <c r="AU224" s="171">
        <f t="shared" si="489"/>
        <v>136707480</v>
      </c>
      <c r="AV224" s="171">
        <f t="shared" si="489"/>
        <v>136707480</v>
      </c>
      <c r="AW224" s="171">
        <f t="shared" si="489"/>
        <v>136707480</v>
      </c>
      <c r="AX224" s="171">
        <f t="shared" si="489"/>
        <v>136707480</v>
      </c>
      <c r="AY224" s="171">
        <f t="shared" si="489"/>
        <v>136707480</v>
      </c>
      <c r="AZ224" s="171">
        <f t="shared" si="489"/>
        <v>136707480</v>
      </c>
      <c r="BA224" s="171">
        <f t="shared" si="489"/>
        <v>136707480</v>
      </c>
      <c r="BB224" s="171">
        <f t="shared" si="489"/>
        <v>136707480</v>
      </c>
      <c r="BC224" s="171">
        <f t="shared" si="489"/>
        <v>136707480</v>
      </c>
      <c r="BD224" s="171">
        <f t="shared" si="489"/>
        <v>136707480</v>
      </c>
      <c r="BE224" s="171">
        <f t="shared" si="489"/>
        <v>136707480</v>
      </c>
      <c r="BF224" s="171">
        <f t="shared" si="489"/>
        <v>136707480</v>
      </c>
      <c r="BG224" s="171">
        <f t="shared" si="489"/>
        <v>136707480</v>
      </c>
      <c r="BH224" s="171">
        <f t="shared" si="489"/>
        <v>136707480</v>
      </c>
      <c r="BI224" s="171">
        <f t="shared" si="489"/>
        <v>136707480</v>
      </c>
      <c r="BJ224" s="171">
        <f t="shared" si="489"/>
        <v>136707480</v>
      </c>
      <c r="BK224" s="171">
        <f t="shared" si="489"/>
        <v>136707480</v>
      </c>
      <c r="BL224" s="171">
        <f t="shared" si="489"/>
        <v>136707480</v>
      </c>
      <c r="BM224" s="171">
        <f t="shared" si="489"/>
        <v>136707480</v>
      </c>
      <c r="BN224" s="171">
        <f t="shared" si="489"/>
        <v>136707480</v>
      </c>
      <c r="BO224" s="171">
        <f t="shared" si="489"/>
        <v>136707480</v>
      </c>
      <c r="BP224" s="171">
        <f t="shared" si="489"/>
        <v>136707480</v>
      </c>
      <c r="BQ224" s="171">
        <f t="shared" si="489"/>
        <v>136707480</v>
      </c>
      <c r="BR224" s="171">
        <f t="shared" si="489"/>
        <v>136707480</v>
      </c>
      <c r="BS224" s="171">
        <f t="shared" si="489"/>
        <v>136707480</v>
      </c>
      <c r="BT224" s="171">
        <f t="shared" si="489"/>
        <v>136707480</v>
      </c>
      <c r="BU224" s="171">
        <f t="shared" si="489"/>
        <v>136707480</v>
      </c>
      <c r="BV224" s="171">
        <f t="shared" si="489"/>
        <v>136707480</v>
      </c>
      <c r="BW224" s="171">
        <f t="shared" si="489"/>
        <v>136707480</v>
      </c>
      <c r="BX224" s="171">
        <f t="shared" si="489"/>
        <v>136707480</v>
      </c>
      <c r="BY224" s="171">
        <f t="shared" ref="BY224:DT224" si="490">BY221+BY222-BY223</f>
        <v>136707480</v>
      </c>
      <c r="BZ224" s="171">
        <f t="shared" si="490"/>
        <v>136707480</v>
      </c>
      <c r="CA224" s="171">
        <f t="shared" si="490"/>
        <v>136707480</v>
      </c>
      <c r="CB224" s="171">
        <f t="shared" si="490"/>
        <v>136707480</v>
      </c>
      <c r="CC224" s="171">
        <f t="shared" si="490"/>
        <v>136707480</v>
      </c>
      <c r="CD224" s="171">
        <f t="shared" si="490"/>
        <v>136707480</v>
      </c>
      <c r="CE224" s="171">
        <f t="shared" si="490"/>
        <v>136707480</v>
      </c>
      <c r="CF224" s="171">
        <f t="shared" si="490"/>
        <v>136707480</v>
      </c>
      <c r="CG224" s="171">
        <f t="shared" si="490"/>
        <v>136707480</v>
      </c>
      <c r="CH224" s="171">
        <f t="shared" si="490"/>
        <v>136707480</v>
      </c>
      <c r="CI224" s="171">
        <f t="shared" si="490"/>
        <v>136707480</v>
      </c>
      <c r="CJ224" s="171">
        <f t="shared" si="490"/>
        <v>136707480</v>
      </c>
      <c r="CK224" s="171">
        <f t="shared" si="490"/>
        <v>136707480</v>
      </c>
      <c r="CL224" s="171">
        <f t="shared" si="490"/>
        <v>136707480</v>
      </c>
      <c r="CM224" s="171">
        <f t="shared" si="490"/>
        <v>136707480</v>
      </c>
      <c r="CN224" s="171">
        <f t="shared" si="490"/>
        <v>136707480</v>
      </c>
      <c r="CO224" s="171">
        <f t="shared" si="490"/>
        <v>136707480</v>
      </c>
      <c r="CP224" s="171">
        <f t="shared" si="490"/>
        <v>136707480</v>
      </c>
      <c r="CQ224" s="171">
        <f t="shared" si="490"/>
        <v>136707480</v>
      </c>
      <c r="CR224" s="171">
        <f t="shared" si="490"/>
        <v>136707480</v>
      </c>
      <c r="CS224" s="171">
        <f t="shared" si="490"/>
        <v>136707480</v>
      </c>
      <c r="CT224" s="171">
        <f t="shared" si="490"/>
        <v>136707480</v>
      </c>
      <c r="CU224" s="171">
        <f t="shared" si="490"/>
        <v>136707480</v>
      </c>
      <c r="CV224" s="171">
        <f t="shared" si="490"/>
        <v>136707480</v>
      </c>
      <c r="CW224" s="171">
        <f t="shared" si="490"/>
        <v>136707480</v>
      </c>
      <c r="CX224" s="171">
        <f t="shared" si="490"/>
        <v>136707480</v>
      </c>
      <c r="CY224" s="171">
        <f t="shared" si="490"/>
        <v>136707480</v>
      </c>
      <c r="CZ224" s="171">
        <f t="shared" si="490"/>
        <v>136707480</v>
      </c>
      <c r="DA224" s="171">
        <f t="shared" si="490"/>
        <v>136707480</v>
      </c>
      <c r="DB224" s="171">
        <f t="shared" si="490"/>
        <v>136707480</v>
      </c>
      <c r="DC224" s="171">
        <f t="shared" si="490"/>
        <v>136707480</v>
      </c>
      <c r="DD224" s="171">
        <f t="shared" si="490"/>
        <v>136707480</v>
      </c>
      <c r="DE224" s="171">
        <f t="shared" si="490"/>
        <v>136707480</v>
      </c>
      <c r="DF224" s="171">
        <f t="shared" si="490"/>
        <v>136707480</v>
      </c>
      <c r="DG224" s="171">
        <f t="shared" si="490"/>
        <v>136707480</v>
      </c>
      <c r="DH224" s="171">
        <f t="shared" si="490"/>
        <v>136707480</v>
      </c>
      <c r="DI224" s="171">
        <f t="shared" si="490"/>
        <v>136707480</v>
      </c>
      <c r="DJ224" s="171">
        <f t="shared" si="490"/>
        <v>136707480</v>
      </c>
      <c r="DK224" s="171">
        <f t="shared" si="490"/>
        <v>136707480</v>
      </c>
      <c r="DL224" s="171">
        <f t="shared" si="490"/>
        <v>136707480</v>
      </c>
      <c r="DM224" s="171">
        <f t="shared" si="490"/>
        <v>136707480</v>
      </c>
      <c r="DN224" s="171">
        <f t="shared" si="490"/>
        <v>136707480</v>
      </c>
      <c r="DO224" s="171">
        <f t="shared" si="490"/>
        <v>136707480</v>
      </c>
      <c r="DP224" s="171">
        <f t="shared" si="490"/>
        <v>136707480</v>
      </c>
      <c r="DQ224" s="171">
        <f t="shared" si="490"/>
        <v>136707480</v>
      </c>
      <c r="DR224" s="171">
        <f t="shared" si="490"/>
        <v>136707480</v>
      </c>
      <c r="DS224" s="171">
        <f t="shared" si="490"/>
        <v>136707480</v>
      </c>
      <c r="DT224" s="171">
        <f t="shared" si="490"/>
        <v>136707480</v>
      </c>
      <c r="DU224" s="171">
        <f t="shared" ref="DU224:EA224" si="491">DU221+DU222-DU223</f>
        <v>136707480</v>
      </c>
      <c r="DV224" s="171">
        <f t="shared" si="491"/>
        <v>136707480</v>
      </c>
      <c r="DW224" s="171">
        <f t="shared" si="491"/>
        <v>136707480</v>
      </c>
      <c r="DX224" s="171">
        <f t="shared" si="491"/>
        <v>136707480</v>
      </c>
      <c r="DY224" s="171">
        <f t="shared" si="491"/>
        <v>136707480</v>
      </c>
      <c r="DZ224" s="171">
        <f t="shared" si="491"/>
        <v>136707480</v>
      </c>
      <c r="EA224" s="171">
        <f t="shared" si="491"/>
        <v>136707480</v>
      </c>
      <c r="EB224" s="171">
        <f t="shared" ref="EB224:EQ224" si="492">EB221+EB222-EB223</f>
        <v>0</v>
      </c>
      <c r="EC224" s="171">
        <f t="shared" si="492"/>
        <v>0</v>
      </c>
      <c r="ED224" s="1321">
        <f t="shared" si="492"/>
        <v>0</v>
      </c>
      <c r="EE224" s="171">
        <f t="shared" si="492"/>
        <v>0</v>
      </c>
      <c r="EF224" s="171">
        <f t="shared" si="492"/>
        <v>0</v>
      </c>
      <c r="EG224" s="171">
        <f t="shared" si="492"/>
        <v>0</v>
      </c>
      <c r="EH224" s="171">
        <f t="shared" si="492"/>
        <v>0</v>
      </c>
      <c r="EI224" s="171">
        <f t="shared" si="492"/>
        <v>0</v>
      </c>
      <c r="EJ224" s="171">
        <f t="shared" si="492"/>
        <v>0</v>
      </c>
      <c r="EK224" s="171">
        <f t="shared" si="492"/>
        <v>0</v>
      </c>
      <c r="EL224" s="171">
        <f t="shared" si="492"/>
        <v>0</v>
      </c>
      <c r="EM224" s="171">
        <f t="shared" si="492"/>
        <v>0</v>
      </c>
      <c r="EN224" s="171">
        <f t="shared" si="492"/>
        <v>0</v>
      </c>
      <c r="EO224" s="171">
        <f t="shared" si="492"/>
        <v>0</v>
      </c>
      <c r="EP224" s="171">
        <f t="shared" si="492"/>
        <v>0</v>
      </c>
      <c r="EQ224" s="171">
        <f t="shared" si="492"/>
        <v>0</v>
      </c>
    </row>
    <row r="225" spans="3:147" ht="11.25" customHeight="1">
      <c r="C225" s="158" t="s">
        <v>517</v>
      </c>
      <c r="D225" s="159"/>
      <c r="E225" s="159"/>
      <c r="F225" s="159"/>
      <c r="G225" s="159"/>
      <c r="H225" s="160"/>
      <c r="I225" s="246"/>
      <c r="J225" s="161"/>
      <c r="K225" s="98"/>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162"/>
      <c r="AK225" s="162"/>
      <c r="AL225" s="162"/>
      <c r="AM225" s="162"/>
      <c r="AN225" s="162"/>
      <c r="AO225" s="162"/>
      <c r="AP225" s="162"/>
      <c r="AQ225" s="162"/>
      <c r="AR225" s="162"/>
      <c r="AS225" s="162"/>
      <c r="AT225" s="162"/>
      <c r="AU225" s="162"/>
      <c r="AV225" s="162"/>
      <c r="AW225" s="162"/>
      <c r="AX225" s="162"/>
      <c r="AY225" s="162"/>
      <c r="AZ225" s="162"/>
      <c r="BA225" s="162"/>
      <c r="BB225" s="162"/>
      <c r="BC225" s="162"/>
      <c r="BD225" s="162"/>
      <c r="BE225" s="162"/>
      <c r="BF225" s="162"/>
      <c r="BG225" s="162"/>
      <c r="BH225" s="162"/>
      <c r="BI225" s="162"/>
      <c r="BJ225" s="162"/>
      <c r="BK225" s="162"/>
      <c r="BL225" s="162"/>
      <c r="BM225" s="162"/>
      <c r="BN225" s="162"/>
      <c r="BO225" s="162"/>
      <c r="BP225" s="162"/>
      <c r="BQ225" s="162"/>
      <c r="BR225" s="162"/>
      <c r="BS225" s="162"/>
      <c r="BT225" s="162"/>
      <c r="BU225" s="162"/>
      <c r="BV225" s="162"/>
      <c r="BW225" s="162"/>
      <c r="BX225" s="162"/>
      <c r="BY225" s="162"/>
      <c r="BZ225" s="162"/>
      <c r="CA225" s="162"/>
      <c r="CB225" s="162"/>
      <c r="CC225" s="162"/>
      <c r="CD225" s="162"/>
      <c r="CE225" s="162"/>
      <c r="CF225" s="162"/>
      <c r="CG225" s="162"/>
      <c r="CH225" s="162"/>
      <c r="CI225" s="162"/>
      <c r="CJ225" s="162"/>
      <c r="CK225" s="162"/>
      <c r="CL225" s="162"/>
      <c r="CM225" s="162"/>
      <c r="CN225" s="162"/>
      <c r="CO225" s="162"/>
      <c r="CP225" s="162"/>
      <c r="CQ225" s="162"/>
      <c r="CR225" s="162"/>
      <c r="CS225" s="162"/>
      <c r="CT225" s="162"/>
      <c r="CU225" s="162"/>
      <c r="CV225" s="162"/>
      <c r="CW225" s="162"/>
      <c r="CX225" s="162"/>
      <c r="CY225" s="162"/>
      <c r="CZ225" s="162"/>
      <c r="DA225" s="162"/>
      <c r="DB225" s="162"/>
      <c r="DC225" s="162"/>
      <c r="DD225" s="162"/>
      <c r="DE225" s="162"/>
      <c r="DF225" s="162"/>
      <c r="DG225" s="162"/>
      <c r="DH225" s="162"/>
      <c r="DI225" s="162"/>
      <c r="DJ225" s="162"/>
      <c r="DK225" s="162"/>
      <c r="DL225" s="162"/>
      <c r="DM225" s="162"/>
      <c r="DN225" s="162"/>
      <c r="DO225" s="162"/>
      <c r="DP225" s="162"/>
      <c r="DQ225" s="162"/>
      <c r="DR225" s="162"/>
      <c r="DS225" s="162"/>
      <c r="DT225" s="162"/>
      <c r="DU225" s="162"/>
      <c r="DV225" s="162"/>
      <c r="DW225" s="162"/>
      <c r="DX225" s="162"/>
      <c r="DY225" s="162"/>
      <c r="DZ225" s="162"/>
      <c r="EA225" s="162"/>
      <c r="EB225" s="162"/>
      <c r="EC225" s="162"/>
      <c r="ED225" s="1319"/>
      <c r="EE225" s="162"/>
      <c r="EF225" s="162"/>
      <c r="EG225" s="162"/>
      <c r="EH225" s="162"/>
      <c r="EI225" s="162"/>
      <c r="EJ225" s="162"/>
      <c r="EK225" s="162"/>
      <c r="EL225" s="162"/>
      <c r="EM225" s="162"/>
      <c r="EN225" s="162"/>
      <c r="EO225" s="162"/>
      <c r="EP225" s="162"/>
      <c r="EQ225" s="162"/>
    </row>
    <row r="226" spans="3:147" ht="11.25" customHeight="1">
      <c r="C226" s="163"/>
      <c r="D226" s="164" t="s">
        <v>217</v>
      </c>
      <c r="E226" s="165"/>
      <c r="F226" s="165"/>
      <c r="G226" s="165"/>
      <c r="H226" s="166"/>
      <c r="I226" s="247"/>
      <c r="J226" s="167"/>
      <c r="K226" s="98"/>
      <c r="L226" s="168">
        <f t="shared" ref="L226:AQ226" si="493">K229</f>
        <v>0</v>
      </c>
      <c r="M226" s="168">
        <f t="shared" si="493"/>
        <v>0</v>
      </c>
      <c r="N226" s="168">
        <f t="shared" si="493"/>
        <v>284807.25</v>
      </c>
      <c r="O226" s="168">
        <f t="shared" si="493"/>
        <v>569614.5</v>
      </c>
      <c r="P226" s="168">
        <f t="shared" si="493"/>
        <v>854421.75</v>
      </c>
      <c r="Q226" s="168">
        <f t="shared" si="493"/>
        <v>1139229</v>
      </c>
      <c r="R226" s="168">
        <f t="shared" si="493"/>
        <v>1424036.25</v>
      </c>
      <c r="S226" s="168">
        <f t="shared" si="493"/>
        <v>1708843.5</v>
      </c>
      <c r="T226" s="168">
        <f t="shared" si="493"/>
        <v>1993650.75</v>
      </c>
      <c r="U226" s="168">
        <f t="shared" si="493"/>
        <v>2278458</v>
      </c>
      <c r="V226" s="168">
        <f t="shared" si="493"/>
        <v>2563265.25</v>
      </c>
      <c r="W226" s="168">
        <f t="shared" si="493"/>
        <v>2848072.5</v>
      </c>
      <c r="X226" s="168">
        <f t="shared" si="493"/>
        <v>3132879.75</v>
      </c>
      <c r="Y226" s="168">
        <f t="shared" si="493"/>
        <v>3417687</v>
      </c>
      <c r="Z226" s="168">
        <f t="shared" si="493"/>
        <v>3702494.25</v>
      </c>
      <c r="AA226" s="168">
        <f t="shared" si="493"/>
        <v>3987301.5</v>
      </c>
      <c r="AB226" s="168">
        <f t="shared" si="493"/>
        <v>4272108.75</v>
      </c>
      <c r="AC226" s="168">
        <f t="shared" si="493"/>
        <v>4556916</v>
      </c>
      <c r="AD226" s="168">
        <f t="shared" si="493"/>
        <v>4841723.25</v>
      </c>
      <c r="AE226" s="168">
        <f t="shared" si="493"/>
        <v>5126530.5</v>
      </c>
      <c r="AF226" s="168">
        <f t="shared" si="493"/>
        <v>5411337.75</v>
      </c>
      <c r="AG226" s="168">
        <f t="shared" si="493"/>
        <v>5696145</v>
      </c>
      <c r="AH226" s="168">
        <f t="shared" si="493"/>
        <v>5980952.25</v>
      </c>
      <c r="AI226" s="168">
        <f t="shared" si="493"/>
        <v>6265759.5</v>
      </c>
      <c r="AJ226" s="168">
        <f t="shared" si="493"/>
        <v>6550566.75</v>
      </c>
      <c r="AK226" s="168">
        <f t="shared" si="493"/>
        <v>6835374</v>
      </c>
      <c r="AL226" s="168">
        <f t="shared" si="493"/>
        <v>7120181.25</v>
      </c>
      <c r="AM226" s="168">
        <f t="shared" si="493"/>
        <v>7404988.5</v>
      </c>
      <c r="AN226" s="168">
        <f t="shared" si="493"/>
        <v>7689795.75</v>
      </c>
      <c r="AO226" s="168">
        <f t="shared" si="493"/>
        <v>7974603</v>
      </c>
      <c r="AP226" s="168">
        <f t="shared" si="493"/>
        <v>8259410.25</v>
      </c>
      <c r="AQ226" s="168">
        <f t="shared" si="493"/>
        <v>8544217.5</v>
      </c>
      <c r="AR226" s="168">
        <f t="shared" ref="AR226:BW226" si="494">AQ229</f>
        <v>8829024.75</v>
      </c>
      <c r="AS226" s="168">
        <f t="shared" si="494"/>
        <v>9113832</v>
      </c>
      <c r="AT226" s="168">
        <f t="shared" si="494"/>
        <v>9398639.25</v>
      </c>
      <c r="AU226" s="168">
        <f t="shared" si="494"/>
        <v>9683446.5</v>
      </c>
      <c r="AV226" s="168">
        <f t="shared" si="494"/>
        <v>9968253.75</v>
      </c>
      <c r="AW226" s="168">
        <f t="shared" si="494"/>
        <v>10253061</v>
      </c>
      <c r="AX226" s="168">
        <f t="shared" si="494"/>
        <v>10537868.25</v>
      </c>
      <c r="AY226" s="168">
        <f t="shared" si="494"/>
        <v>10822675.5</v>
      </c>
      <c r="AZ226" s="168">
        <f t="shared" si="494"/>
        <v>11107482.75</v>
      </c>
      <c r="BA226" s="168">
        <f t="shared" si="494"/>
        <v>11392290</v>
      </c>
      <c r="BB226" s="168">
        <f t="shared" si="494"/>
        <v>11677097.25</v>
      </c>
      <c r="BC226" s="168">
        <f t="shared" si="494"/>
        <v>11961904.5</v>
      </c>
      <c r="BD226" s="168">
        <f t="shared" si="494"/>
        <v>12246711.75</v>
      </c>
      <c r="BE226" s="168">
        <f t="shared" si="494"/>
        <v>12531519</v>
      </c>
      <c r="BF226" s="168">
        <f t="shared" si="494"/>
        <v>12816326.25</v>
      </c>
      <c r="BG226" s="168">
        <f t="shared" si="494"/>
        <v>13101133.5</v>
      </c>
      <c r="BH226" s="168">
        <f t="shared" si="494"/>
        <v>13385940.75</v>
      </c>
      <c r="BI226" s="168">
        <f t="shared" si="494"/>
        <v>13670748</v>
      </c>
      <c r="BJ226" s="168">
        <f t="shared" si="494"/>
        <v>13955555.25</v>
      </c>
      <c r="BK226" s="168">
        <f t="shared" si="494"/>
        <v>14240362.5</v>
      </c>
      <c r="BL226" s="168">
        <f t="shared" si="494"/>
        <v>14525169.75</v>
      </c>
      <c r="BM226" s="168">
        <f t="shared" si="494"/>
        <v>14809977</v>
      </c>
      <c r="BN226" s="168">
        <f t="shared" si="494"/>
        <v>15094784.25</v>
      </c>
      <c r="BO226" s="168">
        <f t="shared" si="494"/>
        <v>15379591.5</v>
      </c>
      <c r="BP226" s="168">
        <f t="shared" si="494"/>
        <v>15664398.75</v>
      </c>
      <c r="BQ226" s="168">
        <f t="shared" si="494"/>
        <v>15949206</v>
      </c>
      <c r="BR226" s="168">
        <f t="shared" si="494"/>
        <v>16234013.25</v>
      </c>
      <c r="BS226" s="168">
        <f t="shared" si="494"/>
        <v>16518820.5</v>
      </c>
      <c r="BT226" s="168">
        <f t="shared" si="494"/>
        <v>16803627.75</v>
      </c>
      <c r="BU226" s="168">
        <f t="shared" si="494"/>
        <v>17088435</v>
      </c>
      <c r="BV226" s="168">
        <f t="shared" si="494"/>
        <v>17373242.25</v>
      </c>
      <c r="BW226" s="168">
        <f t="shared" si="494"/>
        <v>17658049.5</v>
      </c>
      <c r="BX226" s="168">
        <f t="shared" ref="BX226:DC226" si="495">BW229</f>
        <v>17942856.75</v>
      </c>
      <c r="BY226" s="168">
        <f t="shared" si="495"/>
        <v>18227664</v>
      </c>
      <c r="BZ226" s="168">
        <f t="shared" si="495"/>
        <v>18512471.25</v>
      </c>
      <c r="CA226" s="168">
        <f t="shared" si="495"/>
        <v>18797278.5</v>
      </c>
      <c r="CB226" s="168">
        <f t="shared" si="495"/>
        <v>19082085.75</v>
      </c>
      <c r="CC226" s="168">
        <f t="shared" si="495"/>
        <v>19366893</v>
      </c>
      <c r="CD226" s="168">
        <f t="shared" si="495"/>
        <v>19651700.25</v>
      </c>
      <c r="CE226" s="168">
        <f t="shared" si="495"/>
        <v>19936507.5</v>
      </c>
      <c r="CF226" s="168">
        <f t="shared" si="495"/>
        <v>20221314.75</v>
      </c>
      <c r="CG226" s="168">
        <f t="shared" si="495"/>
        <v>20506122</v>
      </c>
      <c r="CH226" s="168">
        <f t="shared" si="495"/>
        <v>20790929.25</v>
      </c>
      <c r="CI226" s="168">
        <f t="shared" si="495"/>
        <v>21075736.5</v>
      </c>
      <c r="CJ226" s="168">
        <f t="shared" si="495"/>
        <v>21360543.75</v>
      </c>
      <c r="CK226" s="168">
        <f t="shared" si="495"/>
        <v>21645351</v>
      </c>
      <c r="CL226" s="168">
        <f t="shared" si="495"/>
        <v>21930158.25</v>
      </c>
      <c r="CM226" s="168">
        <f t="shared" si="495"/>
        <v>22214965.5</v>
      </c>
      <c r="CN226" s="168">
        <f t="shared" si="495"/>
        <v>22499772.75</v>
      </c>
      <c r="CO226" s="168">
        <f t="shared" si="495"/>
        <v>22784580</v>
      </c>
      <c r="CP226" s="168">
        <f t="shared" si="495"/>
        <v>23069387.25</v>
      </c>
      <c r="CQ226" s="168">
        <f t="shared" si="495"/>
        <v>23354194.5</v>
      </c>
      <c r="CR226" s="168">
        <f t="shared" si="495"/>
        <v>23639001.75</v>
      </c>
      <c r="CS226" s="168">
        <f t="shared" si="495"/>
        <v>23923809</v>
      </c>
      <c r="CT226" s="168">
        <f t="shared" si="495"/>
        <v>24208616.25</v>
      </c>
      <c r="CU226" s="168">
        <f t="shared" si="495"/>
        <v>24493423.5</v>
      </c>
      <c r="CV226" s="168">
        <f t="shared" si="495"/>
        <v>24778230.75</v>
      </c>
      <c r="CW226" s="168">
        <f t="shared" si="495"/>
        <v>25063038</v>
      </c>
      <c r="CX226" s="168">
        <f t="shared" si="495"/>
        <v>25347845.25</v>
      </c>
      <c r="CY226" s="168">
        <f t="shared" si="495"/>
        <v>25632652.5</v>
      </c>
      <c r="CZ226" s="168">
        <f t="shared" si="495"/>
        <v>25917459.75</v>
      </c>
      <c r="DA226" s="168">
        <f t="shared" si="495"/>
        <v>26202267</v>
      </c>
      <c r="DB226" s="168">
        <f t="shared" si="495"/>
        <v>26487074.25</v>
      </c>
      <c r="DC226" s="168">
        <f t="shared" si="495"/>
        <v>26771881.5</v>
      </c>
      <c r="DD226" s="168">
        <f t="shared" ref="DD226:DT226" si="496">DC229</f>
        <v>27056688.75</v>
      </c>
      <c r="DE226" s="168">
        <f t="shared" si="496"/>
        <v>27341496</v>
      </c>
      <c r="DF226" s="168">
        <f t="shared" si="496"/>
        <v>27626303.25</v>
      </c>
      <c r="DG226" s="168">
        <f t="shared" si="496"/>
        <v>27911110.5</v>
      </c>
      <c r="DH226" s="168">
        <f t="shared" si="496"/>
        <v>28195917.75</v>
      </c>
      <c r="DI226" s="168">
        <f t="shared" si="496"/>
        <v>28480725</v>
      </c>
      <c r="DJ226" s="168">
        <f t="shared" si="496"/>
        <v>28765532.25</v>
      </c>
      <c r="DK226" s="168">
        <f t="shared" si="496"/>
        <v>29050339.5</v>
      </c>
      <c r="DL226" s="168">
        <f t="shared" si="496"/>
        <v>29335146.75</v>
      </c>
      <c r="DM226" s="168">
        <f t="shared" si="496"/>
        <v>29619954</v>
      </c>
      <c r="DN226" s="168">
        <f t="shared" si="496"/>
        <v>29904761.25</v>
      </c>
      <c r="DO226" s="168">
        <f t="shared" si="496"/>
        <v>30189568.5</v>
      </c>
      <c r="DP226" s="168">
        <f t="shared" si="496"/>
        <v>30474375.75</v>
      </c>
      <c r="DQ226" s="168">
        <f t="shared" si="496"/>
        <v>30759183</v>
      </c>
      <c r="DR226" s="168">
        <f t="shared" si="496"/>
        <v>31043990.25</v>
      </c>
      <c r="DS226" s="168">
        <f t="shared" si="496"/>
        <v>31328797.5</v>
      </c>
      <c r="DT226" s="168">
        <f t="shared" si="496"/>
        <v>31613604.75</v>
      </c>
      <c r="DU226" s="168">
        <f t="shared" ref="DU226:EQ226" si="497">DT229</f>
        <v>31898412</v>
      </c>
      <c r="DV226" s="168">
        <f t="shared" si="497"/>
        <v>32183219.25</v>
      </c>
      <c r="DW226" s="168">
        <f t="shared" si="497"/>
        <v>32468026.5</v>
      </c>
      <c r="DX226" s="168">
        <f t="shared" si="497"/>
        <v>32752833.75</v>
      </c>
      <c r="DY226" s="168">
        <f t="shared" si="497"/>
        <v>33037641</v>
      </c>
      <c r="DZ226" s="168">
        <f t="shared" si="497"/>
        <v>33322448.25</v>
      </c>
      <c r="EA226" s="168">
        <f t="shared" si="497"/>
        <v>33607255.5</v>
      </c>
      <c r="EB226" s="168">
        <f t="shared" si="497"/>
        <v>33892062.75</v>
      </c>
      <c r="EC226" s="168">
        <f t="shared" si="497"/>
        <v>0</v>
      </c>
      <c r="ED226" s="1320">
        <f t="shared" si="497"/>
        <v>0</v>
      </c>
      <c r="EE226" s="168">
        <f t="shared" si="497"/>
        <v>0</v>
      </c>
      <c r="EF226" s="168">
        <f t="shared" si="497"/>
        <v>0</v>
      </c>
      <c r="EG226" s="168">
        <f t="shared" si="497"/>
        <v>0</v>
      </c>
      <c r="EH226" s="168">
        <f t="shared" si="497"/>
        <v>0</v>
      </c>
      <c r="EI226" s="168">
        <f t="shared" si="497"/>
        <v>0</v>
      </c>
      <c r="EJ226" s="168">
        <f t="shared" si="497"/>
        <v>0</v>
      </c>
      <c r="EK226" s="168">
        <f t="shared" si="497"/>
        <v>0</v>
      </c>
      <c r="EL226" s="168">
        <f t="shared" si="497"/>
        <v>0</v>
      </c>
      <c r="EM226" s="168">
        <f t="shared" si="497"/>
        <v>0</v>
      </c>
      <c r="EN226" s="168">
        <f t="shared" si="497"/>
        <v>0</v>
      </c>
      <c r="EO226" s="168">
        <f t="shared" si="497"/>
        <v>0</v>
      </c>
      <c r="EP226" s="168">
        <f t="shared" si="497"/>
        <v>0</v>
      </c>
      <c r="EQ226" s="168">
        <f t="shared" si="497"/>
        <v>0</v>
      </c>
    </row>
    <row r="227" spans="3:147" ht="11.25" customHeight="1">
      <c r="C227" s="163"/>
      <c r="D227" s="169" t="s">
        <v>218</v>
      </c>
      <c r="H227" s="5" t="s">
        <v>518</v>
      </c>
      <c r="I227" s="881">
        <f>1/40</f>
        <v>2.5000000000000001E-2</v>
      </c>
      <c r="J227" s="170">
        <f>SUM(L227:EQ227)</f>
        <v>34176870</v>
      </c>
      <c r="K227" s="98"/>
      <c r="L227" s="171">
        <f>L221*$I227/12*Index!L$22</f>
        <v>0</v>
      </c>
      <c r="M227" s="171">
        <f>M221*$I227/12*Index!M$22</f>
        <v>284807.25</v>
      </c>
      <c r="N227" s="171">
        <f>N221*$I227/12*Index!N$22</f>
        <v>284807.25</v>
      </c>
      <c r="O227" s="171">
        <f>O221*$I227/12*Index!O$22</f>
        <v>284807.25</v>
      </c>
      <c r="P227" s="171">
        <f>P221*$I227/12*Index!P$22</f>
        <v>284807.25</v>
      </c>
      <c r="Q227" s="171">
        <f>Q221*$I227/12*Index!Q$22</f>
        <v>284807.25</v>
      </c>
      <c r="R227" s="171">
        <f>R221*$I227/12*Index!R$22</f>
        <v>284807.25</v>
      </c>
      <c r="S227" s="171">
        <f>S221*$I227/12*Index!S$22</f>
        <v>284807.25</v>
      </c>
      <c r="T227" s="171">
        <f>T221*$I227/12*Index!T$22</f>
        <v>284807.25</v>
      </c>
      <c r="U227" s="171">
        <f>U221*$I227/12*Index!U$22</f>
        <v>284807.25</v>
      </c>
      <c r="V227" s="171">
        <f>V221*$I227/12*Index!V$22</f>
        <v>284807.25</v>
      </c>
      <c r="W227" s="171">
        <f>W221*$I227/12*Index!W$22</f>
        <v>284807.25</v>
      </c>
      <c r="X227" s="171">
        <f>X221*$I227/12*Index!X$22</f>
        <v>284807.25</v>
      </c>
      <c r="Y227" s="171">
        <f>Y221*$I227/12*Index!Y$22</f>
        <v>284807.25</v>
      </c>
      <c r="Z227" s="171">
        <f>Z221*$I227/12*Index!Z$22</f>
        <v>284807.25</v>
      </c>
      <c r="AA227" s="171">
        <f>AA221*$I227/12*Index!AA$22</f>
        <v>284807.25</v>
      </c>
      <c r="AB227" s="171">
        <f>AB221*$I227/12*Index!AB$22</f>
        <v>284807.25</v>
      </c>
      <c r="AC227" s="171">
        <f>AC221*$I227/12*Index!AC$22</f>
        <v>284807.25</v>
      </c>
      <c r="AD227" s="171">
        <f>AD221*$I227/12*Index!AD$22</f>
        <v>284807.25</v>
      </c>
      <c r="AE227" s="171">
        <f>AE221*$I227/12*Index!AE$22</f>
        <v>284807.25</v>
      </c>
      <c r="AF227" s="171">
        <f>AF221*$I227/12*Index!AF$22</f>
        <v>284807.25</v>
      </c>
      <c r="AG227" s="171">
        <f>AG221*$I227/12*Index!AG$22</f>
        <v>284807.25</v>
      </c>
      <c r="AH227" s="171">
        <f>AH221*$I227/12*Index!AH$22</f>
        <v>284807.25</v>
      </c>
      <c r="AI227" s="171">
        <f>AI221*$I227/12*Index!AI$22</f>
        <v>284807.25</v>
      </c>
      <c r="AJ227" s="171">
        <f>AJ221*$I227/12*Index!AJ$22</f>
        <v>284807.25</v>
      </c>
      <c r="AK227" s="171">
        <f>AK221*$I227/12*Index!AK$22</f>
        <v>284807.25</v>
      </c>
      <c r="AL227" s="171">
        <f>AL221*$I227/12*Index!AL$22</f>
        <v>284807.25</v>
      </c>
      <c r="AM227" s="171">
        <f>AM221*$I227/12*Index!AM$22</f>
        <v>284807.25</v>
      </c>
      <c r="AN227" s="171">
        <f>AN221*$I227/12*Index!AN$22</f>
        <v>284807.25</v>
      </c>
      <c r="AO227" s="171">
        <f>AO221*$I227/12*Index!AO$22</f>
        <v>284807.25</v>
      </c>
      <c r="AP227" s="171">
        <f>AP221*$I227/12*Index!AP$22</f>
        <v>284807.25</v>
      </c>
      <c r="AQ227" s="171">
        <f>AQ221*$I227/12*Index!AQ$22</f>
        <v>284807.25</v>
      </c>
      <c r="AR227" s="171">
        <f>AR221*$I227/12*Index!AR$22</f>
        <v>284807.25</v>
      </c>
      <c r="AS227" s="171">
        <f>AS221*$I227/12*Index!AS$22</f>
        <v>284807.25</v>
      </c>
      <c r="AT227" s="171">
        <f>AT221*$I227/12*Index!AT$22</f>
        <v>284807.25</v>
      </c>
      <c r="AU227" s="171">
        <f>AU221*$I227/12*Index!AU$22</f>
        <v>284807.25</v>
      </c>
      <c r="AV227" s="171">
        <f>AV221*$I227/12*Index!AV$22</f>
        <v>284807.25</v>
      </c>
      <c r="AW227" s="171">
        <f>AW221*$I227/12*Index!AW$22</f>
        <v>284807.25</v>
      </c>
      <c r="AX227" s="171">
        <f>AX221*$I227/12*Index!AX$22</f>
        <v>284807.25</v>
      </c>
      <c r="AY227" s="171">
        <f>AY221*$I227/12*Index!AY$22</f>
        <v>284807.25</v>
      </c>
      <c r="AZ227" s="171">
        <f>AZ221*$I227/12*Index!AZ$22</f>
        <v>284807.25</v>
      </c>
      <c r="BA227" s="171">
        <f>BA221*$I227/12*Index!BA$22</f>
        <v>284807.25</v>
      </c>
      <c r="BB227" s="171">
        <f>BB221*$I227/12*Index!BB$22</f>
        <v>284807.25</v>
      </c>
      <c r="BC227" s="171">
        <f>BC221*$I227/12*Index!BC$22</f>
        <v>284807.25</v>
      </c>
      <c r="BD227" s="171">
        <f>BD221*$I227/12*Index!BD$22</f>
        <v>284807.25</v>
      </c>
      <c r="BE227" s="171">
        <f>BE221*$I227/12*Index!BE$22</f>
        <v>284807.25</v>
      </c>
      <c r="BF227" s="171">
        <f>BF221*$I227/12*Index!BF$22</f>
        <v>284807.25</v>
      </c>
      <c r="BG227" s="171">
        <f>BG221*$I227/12*Index!BG$22</f>
        <v>284807.25</v>
      </c>
      <c r="BH227" s="171">
        <f>BH221*$I227/12*Index!BH$22</f>
        <v>284807.25</v>
      </c>
      <c r="BI227" s="171">
        <f>BI221*$I227/12*Index!BI$22</f>
        <v>284807.25</v>
      </c>
      <c r="BJ227" s="171">
        <f>BJ221*$I227/12*Index!BJ$22</f>
        <v>284807.25</v>
      </c>
      <c r="BK227" s="171">
        <f>BK221*$I227/12*Index!BK$22</f>
        <v>284807.25</v>
      </c>
      <c r="BL227" s="171">
        <f>BL221*$I227/12*Index!BL$22</f>
        <v>284807.25</v>
      </c>
      <c r="BM227" s="171">
        <f>BM221*$I227/12*Index!BM$22</f>
        <v>284807.25</v>
      </c>
      <c r="BN227" s="171">
        <f>BN221*$I227/12*Index!BN$22</f>
        <v>284807.25</v>
      </c>
      <c r="BO227" s="171">
        <f>BO221*$I227/12*Index!BO$22</f>
        <v>284807.25</v>
      </c>
      <c r="BP227" s="171">
        <f>BP221*$I227/12*Index!BP$22</f>
        <v>284807.25</v>
      </c>
      <c r="BQ227" s="171">
        <f>BQ221*$I227/12*Index!BQ$22</f>
        <v>284807.25</v>
      </c>
      <c r="BR227" s="171">
        <f>BR221*$I227/12*Index!BR$22</f>
        <v>284807.25</v>
      </c>
      <c r="BS227" s="171">
        <f>BS221*$I227/12*Index!BS$22</f>
        <v>284807.25</v>
      </c>
      <c r="BT227" s="171">
        <f>BT221*$I227/12*Index!BT$22</f>
        <v>284807.25</v>
      </c>
      <c r="BU227" s="171">
        <f>BU221*$I227/12*Index!BU$22</f>
        <v>284807.25</v>
      </c>
      <c r="BV227" s="171">
        <f>BV221*$I227/12*Index!BV$22</f>
        <v>284807.25</v>
      </c>
      <c r="BW227" s="171">
        <f>BW221*$I227/12*Index!BW$22</f>
        <v>284807.25</v>
      </c>
      <c r="BX227" s="171">
        <f>BX221*$I227/12*Index!BX$22</f>
        <v>284807.25</v>
      </c>
      <c r="BY227" s="171">
        <f>BY221*$I227/12*Index!BY$22</f>
        <v>284807.25</v>
      </c>
      <c r="BZ227" s="171">
        <f>BZ221*$I227/12*Index!BZ$22</f>
        <v>284807.25</v>
      </c>
      <c r="CA227" s="171">
        <f>CA221*$I227/12*Index!CA$22</f>
        <v>284807.25</v>
      </c>
      <c r="CB227" s="171">
        <f>CB221*$I227/12*Index!CB$22</f>
        <v>284807.25</v>
      </c>
      <c r="CC227" s="171">
        <f>CC221*$I227/12*Index!CC$22</f>
        <v>284807.25</v>
      </c>
      <c r="CD227" s="171">
        <f>CD221*$I227/12*Index!CD$22</f>
        <v>284807.25</v>
      </c>
      <c r="CE227" s="171">
        <f>CE221*$I227/12*Index!CE$22</f>
        <v>284807.25</v>
      </c>
      <c r="CF227" s="171">
        <f>CF221*$I227/12*Index!CF$22</f>
        <v>284807.25</v>
      </c>
      <c r="CG227" s="171">
        <f>CG221*$I227/12*Index!CG$22</f>
        <v>284807.25</v>
      </c>
      <c r="CH227" s="171">
        <f>CH221*$I227/12*Index!CH$22</f>
        <v>284807.25</v>
      </c>
      <c r="CI227" s="171">
        <f>CI221*$I227/12*Index!CI$22</f>
        <v>284807.25</v>
      </c>
      <c r="CJ227" s="171">
        <f>CJ221*$I227/12*Index!CJ$22</f>
        <v>284807.25</v>
      </c>
      <c r="CK227" s="171">
        <f>CK221*$I227/12*Index!CK$22</f>
        <v>284807.25</v>
      </c>
      <c r="CL227" s="171">
        <f>CL221*$I227/12*Index!CL$22</f>
        <v>284807.25</v>
      </c>
      <c r="CM227" s="171">
        <f>CM221*$I227/12*Index!CM$22</f>
        <v>284807.25</v>
      </c>
      <c r="CN227" s="171">
        <f>CN221*$I227/12*Index!CN$22</f>
        <v>284807.25</v>
      </c>
      <c r="CO227" s="171">
        <f>CO221*$I227/12*Index!CO$22</f>
        <v>284807.25</v>
      </c>
      <c r="CP227" s="171">
        <f>CP221*$I227/12*Index!CP$22</f>
        <v>284807.25</v>
      </c>
      <c r="CQ227" s="171">
        <f>CQ221*$I227/12*Index!CQ$22</f>
        <v>284807.25</v>
      </c>
      <c r="CR227" s="171">
        <f>CR221*$I227/12*Index!CR$22</f>
        <v>284807.25</v>
      </c>
      <c r="CS227" s="171">
        <f>CS221*$I227/12*Index!CS$22</f>
        <v>284807.25</v>
      </c>
      <c r="CT227" s="171">
        <f>CT221*$I227/12*Index!CT$22</f>
        <v>284807.25</v>
      </c>
      <c r="CU227" s="171">
        <f>CU221*$I227/12*Index!CU$22</f>
        <v>284807.25</v>
      </c>
      <c r="CV227" s="171">
        <f>CV221*$I227/12*Index!CV$22</f>
        <v>284807.25</v>
      </c>
      <c r="CW227" s="171">
        <f>CW221*$I227/12*Index!CW$22</f>
        <v>284807.25</v>
      </c>
      <c r="CX227" s="171">
        <f>CX221*$I227/12*Index!CX$22</f>
        <v>284807.25</v>
      </c>
      <c r="CY227" s="171">
        <f>CY221*$I227/12*Index!CY$22</f>
        <v>284807.25</v>
      </c>
      <c r="CZ227" s="171">
        <f>CZ221*$I227/12*Index!CZ$22</f>
        <v>284807.25</v>
      </c>
      <c r="DA227" s="171">
        <f>DA221*$I227/12*Index!DA$22</f>
        <v>284807.25</v>
      </c>
      <c r="DB227" s="171">
        <f>DB221*$I227/12*Index!DB$22</f>
        <v>284807.25</v>
      </c>
      <c r="DC227" s="171">
        <f>DC221*$I227/12*Index!DC$22</f>
        <v>284807.25</v>
      </c>
      <c r="DD227" s="171">
        <f>DD221*$I227/12*Index!DD$22</f>
        <v>284807.25</v>
      </c>
      <c r="DE227" s="171">
        <f>DE221*$I227/12*Index!DE$22</f>
        <v>284807.25</v>
      </c>
      <c r="DF227" s="171">
        <f>DF221*$I227/12*Index!DF$22</f>
        <v>284807.25</v>
      </c>
      <c r="DG227" s="171">
        <f>DG221*$I227/12*Index!DG$22</f>
        <v>284807.25</v>
      </c>
      <c r="DH227" s="171">
        <f>DH221*$I227/12*Index!DH$22</f>
        <v>284807.25</v>
      </c>
      <c r="DI227" s="171">
        <f>DI221*$I227/12*Index!DI$22</f>
        <v>284807.25</v>
      </c>
      <c r="DJ227" s="171">
        <f>DJ221*$I227/12*Index!DJ$22</f>
        <v>284807.25</v>
      </c>
      <c r="DK227" s="171">
        <f>DK221*$I227/12*Index!DK$22</f>
        <v>284807.25</v>
      </c>
      <c r="DL227" s="171">
        <f>DL221*$I227/12*Index!DL$22</f>
        <v>284807.25</v>
      </c>
      <c r="DM227" s="171">
        <f>DM221*$I227/12*Index!DM$22</f>
        <v>284807.25</v>
      </c>
      <c r="DN227" s="171">
        <f>DN221*$I227/12*Index!DN$22</f>
        <v>284807.25</v>
      </c>
      <c r="DO227" s="171">
        <f>DO221*$I227/12*Index!DO$22</f>
        <v>284807.25</v>
      </c>
      <c r="DP227" s="171">
        <f>DP221*$I227/12*Index!DP$22</f>
        <v>284807.25</v>
      </c>
      <c r="DQ227" s="171">
        <f>DQ221*$I227/12*Index!DQ$22</f>
        <v>284807.25</v>
      </c>
      <c r="DR227" s="171">
        <f>DR221*$I227/12*Index!DR$22</f>
        <v>284807.25</v>
      </c>
      <c r="DS227" s="171">
        <f>DS221*$I227/12*Index!DS$22</f>
        <v>284807.25</v>
      </c>
      <c r="DT227" s="171">
        <f>DT221*$I227/12*Index!DT$22</f>
        <v>284807.25</v>
      </c>
      <c r="DU227" s="171">
        <f>DU221*$I227/12*Index!DU$22</f>
        <v>284807.25</v>
      </c>
      <c r="DV227" s="171">
        <f>DV221*$I227/12*Index!DV$22</f>
        <v>284807.25</v>
      </c>
      <c r="DW227" s="171">
        <f>DW221*$I227/12*Index!DW$22</f>
        <v>284807.25</v>
      </c>
      <c r="DX227" s="171">
        <f>DX221*$I227/12*Index!DX$22</f>
        <v>284807.25</v>
      </c>
      <c r="DY227" s="171">
        <f>DY221*$I227/12*Index!DY$22</f>
        <v>284807.25</v>
      </c>
      <c r="DZ227" s="171">
        <f>DZ221*$I227/12*Index!DZ$22</f>
        <v>284807.25</v>
      </c>
      <c r="EA227" s="171">
        <f>EA221*$I227/12*Index!EA$22</f>
        <v>284807.25</v>
      </c>
      <c r="EB227" s="171">
        <f>EB221*$I227/12*Index!EB$22</f>
        <v>284807.25</v>
      </c>
      <c r="EC227" s="171">
        <f>EC221*$I227/12*Index!EC$22</f>
        <v>0</v>
      </c>
      <c r="ED227" s="1321">
        <f>ED221*$I227/12*Index!ED$22</f>
        <v>0</v>
      </c>
      <c r="EE227" s="171">
        <f>EE221*$I227/12*Index!EE$22</f>
        <v>0</v>
      </c>
      <c r="EF227" s="171">
        <f>EF221*$I227/12*Index!EF$22</f>
        <v>0</v>
      </c>
      <c r="EG227" s="171">
        <f>EG221*$I227/12*Index!EG$22</f>
        <v>0</v>
      </c>
      <c r="EH227" s="171">
        <f>EH221*$I227/12*Index!EH$22</f>
        <v>0</v>
      </c>
      <c r="EI227" s="171">
        <f>EI221*$I227/12*Index!EI$22</f>
        <v>0</v>
      </c>
      <c r="EJ227" s="171">
        <f>EJ221*$I227/12*Index!EJ$22</f>
        <v>0</v>
      </c>
      <c r="EK227" s="171">
        <f>EK221*$I227/12*Index!EK$22</f>
        <v>0</v>
      </c>
      <c r="EL227" s="171">
        <f>EL221*$I227/12*Index!EL$22</f>
        <v>0</v>
      </c>
      <c r="EM227" s="171">
        <f>EM221*$I227/12*Index!EM$22</f>
        <v>0</v>
      </c>
      <c r="EN227" s="171">
        <f>EN221*$I227/12*Index!EN$22</f>
        <v>0</v>
      </c>
      <c r="EO227" s="171">
        <f>EO221*$I227/12*Index!EO$22</f>
        <v>0</v>
      </c>
      <c r="EP227" s="171">
        <f>EP221*$I227/12*Index!EP$22</f>
        <v>0</v>
      </c>
      <c r="EQ227" s="171">
        <f>EQ221*$I227/12*Index!EQ$22</f>
        <v>0</v>
      </c>
    </row>
    <row r="228" spans="3:147" ht="11.25" customHeight="1">
      <c r="C228" s="163"/>
      <c r="D228" s="169" t="s">
        <v>219</v>
      </c>
      <c r="H228" s="146">
        <f>H223</f>
        <v>49979</v>
      </c>
      <c r="I228" s="248"/>
      <c r="J228" s="170">
        <f>SUM(L228:EQ228)</f>
        <v>34176870</v>
      </c>
      <c r="K228" s="98"/>
      <c r="L228" s="171">
        <f>SUM(L226:L227)*(L$14=$H228)</f>
        <v>0</v>
      </c>
      <c r="M228" s="171">
        <f t="shared" ref="M228:BX228" si="498">SUM(M226:M227)*(M$14=$H228)</f>
        <v>0</v>
      </c>
      <c r="N228" s="171">
        <f t="shared" si="498"/>
        <v>0</v>
      </c>
      <c r="O228" s="171">
        <f t="shared" si="498"/>
        <v>0</v>
      </c>
      <c r="P228" s="171">
        <f t="shared" si="498"/>
        <v>0</v>
      </c>
      <c r="Q228" s="171">
        <f t="shared" si="498"/>
        <v>0</v>
      </c>
      <c r="R228" s="171">
        <f t="shared" si="498"/>
        <v>0</v>
      </c>
      <c r="S228" s="171">
        <f t="shared" si="498"/>
        <v>0</v>
      </c>
      <c r="T228" s="171">
        <f t="shared" si="498"/>
        <v>0</v>
      </c>
      <c r="U228" s="171">
        <f t="shared" si="498"/>
        <v>0</v>
      </c>
      <c r="V228" s="171">
        <f t="shared" si="498"/>
        <v>0</v>
      </c>
      <c r="W228" s="171">
        <f t="shared" si="498"/>
        <v>0</v>
      </c>
      <c r="X228" s="171">
        <f t="shared" si="498"/>
        <v>0</v>
      </c>
      <c r="Y228" s="171">
        <f t="shared" si="498"/>
        <v>0</v>
      </c>
      <c r="Z228" s="171">
        <f t="shared" si="498"/>
        <v>0</v>
      </c>
      <c r="AA228" s="171">
        <f t="shared" si="498"/>
        <v>0</v>
      </c>
      <c r="AB228" s="171">
        <f t="shared" si="498"/>
        <v>0</v>
      </c>
      <c r="AC228" s="171">
        <f t="shared" si="498"/>
        <v>0</v>
      </c>
      <c r="AD228" s="171">
        <f t="shared" si="498"/>
        <v>0</v>
      </c>
      <c r="AE228" s="171">
        <f t="shared" si="498"/>
        <v>0</v>
      </c>
      <c r="AF228" s="171">
        <f t="shared" si="498"/>
        <v>0</v>
      </c>
      <c r="AG228" s="171">
        <f t="shared" si="498"/>
        <v>0</v>
      </c>
      <c r="AH228" s="171">
        <f t="shared" si="498"/>
        <v>0</v>
      </c>
      <c r="AI228" s="171">
        <f t="shared" si="498"/>
        <v>0</v>
      </c>
      <c r="AJ228" s="171">
        <f t="shared" si="498"/>
        <v>0</v>
      </c>
      <c r="AK228" s="171">
        <f t="shared" si="498"/>
        <v>0</v>
      </c>
      <c r="AL228" s="171">
        <f t="shared" si="498"/>
        <v>0</v>
      </c>
      <c r="AM228" s="171">
        <f t="shared" si="498"/>
        <v>0</v>
      </c>
      <c r="AN228" s="171">
        <f t="shared" si="498"/>
        <v>0</v>
      </c>
      <c r="AO228" s="171">
        <f t="shared" si="498"/>
        <v>0</v>
      </c>
      <c r="AP228" s="171">
        <f t="shared" si="498"/>
        <v>0</v>
      </c>
      <c r="AQ228" s="171">
        <f t="shared" si="498"/>
        <v>0</v>
      </c>
      <c r="AR228" s="171">
        <f t="shared" si="498"/>
        <v>0</v>
      </c>
      <c r="AS228" s="171">
        <f t="shared" si="498"/>
        <v>0</v>
      </c>
      <c r="AT228" s="171">
        <f t="shared" si="498"/>
        <v>0</v>
      </c>
      <c r="AU228" s="171">
        <f t="shared" si="498"/>
        <v>0</v>
      </c>
      <c r="AV228" s="171">
        <f t="shared" si="498"/>
        <v>0</v>
      </c>
      <c r="AW228" s="171">
        <f t="shared" si="498"/>
        <v>0</v>
      </c>
      <c r="AX228" s="171">
        <f t="shared" si="498"/>
        <v>0</v>
      </c>
      <c r="AY228" s="171">
        <f t="shared" si="498"/>
        <v>0</v>
      </c>
      <c r="AZ228" s="171">
        <f t="shared" si="498"/>
        <v>0</v>
      </c>
      <c r="BA228" s="171">
        <f t="shared" si="498"/>
        <v>0</v>
      </c>
      <c r="BB228" s="171">
        <f t="shared" si="498"/>
        <v>0</v>
      </c>
      <c r="BC228" s="171">
        <f t="shared" si="498"/>
        <v>0</v>
      </c>
      <c r="BD228" s="171">
        <f t="shared" si="498"/>
        <v>0</v>
      </c>
      <c r="BE228" s="171">
        <f t="shared" si="498"/>
        <v>0</v>
      </c>
      <c r="BF228" s="171">
        <f t="shared" si="498"/>
        <v>0</v>
      </c>
      <c r="BG228" s="171">
        <f t="shared" si="498"/>
        <v>0</v>
      </c>
      <c r="BH228" s="171">
        <f t="shared" si="498"/>
        <v>0</v>
      </c>
      <c r="BI228" s="171">
        <f t="shared" si="498"/>
        <v>0</v>
      </c>
      <c r="BJ228" s="171">
        <f t="shared" si="498"/>
        <v>0</v>
      </c>
      <c r="BK228" s="171">
        <f t="shared" si="498"/>
        <v>0</v>
      </c>
      <c r="BL228" s="171">
        <f t="shared" si="498"/>
        <v>0</v>
      </c>
      <c r="BM228" s="171">
        <f t="shared" si="498"/>
        <v>0</v>
      </c>
      <c r="BN228" s="171">
        <f t="shared" si="498"/>
        <v>0</v>
      </c>
      <c r="BO228" s="171">
        <f t="shared" si="498"/>
        <v>0</v>
      </c>
      <c r="BP228" s="171">
        <f t="shared" si="498"/>
        <v>0</v>
      </c>
      <c r="BQ228" s="171">
        <f t="shared" si="498"/>
        <v>0</v>
      </c>
      <c r="BR228" s="171">
        <f t="shared" si="498"/>
        <v>0</v>
      </c>
      <c r="BS228" s="171">
        <f t="shared" si="498"/>
        <v>0</v>
      </c>
      <c r="BT228" s="171">
        <f t="shared" si="498"/>
        <v>0</v>
      </c>
      <c r="BU228" s="171">
        <f t="shared" si="498"/>
        <v>0</v>
      </c>
      <c r="BV228" s="171">
        <f t="shared" si="498"/>
        <v>0</v>
      </c>
      <c r="BW228" s="171">
        <f t="shared" si="498"/>
        <v>0</v>
      </c>
      <c r="BX228" s="171">
        <f t="shared" si="498"/>
        <v>0</v>
      </c>
      <c r="BY228" s="171">
        <f t="shared" ref="BY228:DT228" si="499">SUM(BY226:BY227)*(BY$14=$H228)</f>
        <v>0</v>
      </c>
      <c r="BZ228" s="171">
        <f t="shared" si="499"/>
        <v>0</v>
      </c>
      <c r="CA228" s="171">
        <f t="shared" si="499"/>
        <v>0</v>
      </c>
      <c r="CB228" s="171">
        <f t="shared" si="499"/>
        <v>0</v>
      </c>
      <c r="CC228" s="171">
        <f t="shared" si="499"/>
        <v>0</v>
      </c>
      <c r="CD228" s="171">
        <f t="shared" si="499"/>
        <v>0</v>
      </c>
      <c r="CE228" s="171">
        <f t="shared" si="499"/>
        <v>0</v>
      </c>
      <c r="CF228" s="171">
        <f t="shared" si="499"/>
        <v>0</v>
      </c>
      <c r="CG228" s="171">
        <f t="shared" si="499"/>
        <v>0</v>
      </c>
      <c r="CH228" s="171">
        <f t="shared" si="499"/>
        <v>0</v>
      </c>
      <c r="CI228" s="171">
        <f t="shared" si="499"/>
        <v>0</v>
      </c>
      <c r="CJ228" s="171">
        <f t="shared" si="499"/>
        <v>0</v>
      </c>
      <c r="CK228" s="171">
        <f t="shared" si="499"/>
        <v>0</v>
      </c>
      <c r="CL228" s="171">
        <f t="shared" si="499"/>
        <v>0</v>
      </c>
      <c r="CM228" s="171">
        <f t="shared" si="499"/>
        <v>0</v>
      </c>
      <c r="CN228" s="171">
        <f t="shared" si="499"/>
        <v>0</v>
      </c>
      <c r="CO228" s="171">
        <f t="shared" si="499"/>
        <v>0</v>
      </c>
      <c r="CP228" s="171">
        <f t="shared" si="499"/>
        <v>0</v>
      </c>
      <c r="CQ228" s="171">
        <f t="shared" si="499"/>
        <v>0</v>
      </c>
      <c r="CR228" s="171">
        <f t="shared" si="499"/>
        <v>0</v>
      </c>
      <c r="CS228" s="171">
        <f t="shared" si="499"/>
        <v>0</v>
      </c>
      <c r="CT228" s="171">
        <f t="shared" si="499"/>
        <v>0</v>
      </c>
      <c r="CU228" s="171">
        <f t="shared" si="499"/>
        <v>0</v>
      </c>
      <c r="CV228" s="171">
        <f t="shared" si="499"/>
        <v>0</v>
      </c>
      <c r="CW228" s="171">
        <f t="shared" si="499"/>
        <v>0</v>
      </c>
      <c r="CX228" s="171">
        <f t="shared" si="499"/>
        <v>0</v>
      </c>
      <c r="CY228" s="171">
        <f t="shared" si="499"/>
        <v>0</v>
      </c>
      <c r="CZ228" s="171">
        <f t="shared" si="499"/>
        <v>0</v>
      </c>
      <c r="DA228" s="171">
        <f t="shared" si="499"/>
        <v>0</v>
      </c>
      <c r="DB228" s="171">
        <f t="shared" si="499"/>
        <v>0</v>
      </c>
      <c r="DC228" s="171">
        <f t="shared" si="499"/>
        <v>0</v>
      </c>
      <c r="DD228" s="171">
        <f t="shared" si="499"/>
        <v>0</v>
      </c>
      <c r="DE228" s="171">
        <f t="shared" si="499"/>
        <v>0</v>
      </c>
      <c r="DF228" s="171">
        <f t="shared" si="499"/>
        <v>0</v>
      </c>
      <c r="DG228" s="171">
        <f t="shared" si="499"/>
        <v>0</v>
      </c>
      <c r="DH228" s="171">
        <f t="shared" si="499"/>
        <v>0</v>
      </c>
      <c r="DI228" s="171">
        <f t="shared" si="499"/>
        <v>0</v>
      </c>
      <c r="DJ228" s="171">
        <f t="shared" si="499"/>
        <v>0</v>
      </c>
      <c r="DK228" s="171">
        <f t="shared" si="499"/>
        <v>0</v>
      </c>
      <c r="DL228" s="171">
        <f t="shared" si="499"/>
        <v>0</v>
      </c>
      <c r="DM228" s="171">
        <f t="shared" si="499"/>
        <v>0</v>
      </c>
      <c r="DN228" s="171">
        <f t="shared" si="499"/>
        <v>0</v>
      </c>
      <c r="DO228" s="171">
        <f t="shared" si="499"/>
        <v>0</v>
      </c>
      <c r="DP228" s="171">
        <f t="shared" si="499"/>
        <v>0</v>
      </c>
      <c r="DQ228" s="171">
        <f t="shared" si="499"/>
        <v>0</v>
      </c>
      <c r="DR228" s="171">
        <f t="shared" si="499"/>
        <v>0</v>
      </c>
      <c r="DS228" s="171">
        <f t="shared" si="499"/>
        <v>0</v>
      </c>
      <c r="DT228" s="171">
        <f t="shared" si="499"/>
        <v>0</v>
      </c>
      <c r="DU228" s="171">
        <f t="shared" ref="DU228:EA228" si="500">SUM(DU226:DU227)*(DU$14=$H228)</f>
        <v>0</v>
      </c>
      <c r="DV228" s="171">
        <f t="shared" si="500"/>
        <v>0</v>
      </c>
      <c r="DW228" s="171">
        <f t="shared" si="500"/>
        <v>0</v>
      </c>
      <c r="DX228" s="171">
        <f t="shared" si="500"/>
        <v>0</v>
      </c>
      <c r="DY228" s="171">
        <f t="shared" si="500"/>
        <v>0</v>
      </c>
      <c r="DZ228" s="171">
        <f t="shared" si="500"/>
        <v>0</v>
      </c>
      <c r="EA228" s="171">
        <f t="shared" si="500"/>
        <v>0</v>
      </c>
      <c r="EB228" s="171">
        <f t="shared" ref="EB228:EQ228" si="501">SUM(EB226:EB227)*(EB$14=$H228)</f>
        <v>34176870</v>
      </c>
      <c r="EC228" s="171">
        <f t="shared" si="501"/>
        <v>0</v>
      </c>
      <c r="ED228" s="1321">
        <f t="shared" si="501"/>
        <v>0</v>
      </c>
      <c r="EE228" s="171">
        <f t="shared" si="501"/>
        <v>0</v>
      </c>
      <c r="EF228" s="171">
        <f t="shared" si="501"/>
        <v>0</v>
      </c>
      <c r="EG228" s="171">
        <f t="shared" si="501"/>
        <v>0</v>
      </c>
      <c r="EH228" s="171">
        <f t="shared" si="501"/>
        <v>0</v>
      </c>
      <c r="EI228" s="171">
        <f t="shared" si="501"/>
        <v>0</v>
      </c>
      <c r="EJ228" s="171">
        <f t="shared" si="501"/>
        <v>0</v>
      </c>
      <c r="EK228" s="171">
        <f t="shared" si="501"/>
        <v>0</v>
      </c>
      <c r="EL228" s="171">
        <f t="shared" si="501"/>
        <v>0</v>
      </c>
      <c r="EM228" s="171">
        <f t="shared" si="501"/>
        <v>0</v>
      </c>
      <c r="EN228" s="171">
        <f t="shared" si="501"/>
        <v>0</v>
      </c>
      <c r="EO228" s="171">
        <f t="shared" si="501"/>
        <v>0</v>
      </c>
      <c r="EP228" s="171">
        <f t="shared" si="501"/>
        <v>0</v>
      </c>
      <c r="EQ228" s="171">
        <f t="shared" si="501"/>
        <v>0</v>
      </c>
    </row>
    <row r="229" spans="3:147" ht="11.25" customHeight="1">
      <c r="C229" s="173"/>
      <c r="D229" s="174" t="s">
        <v>220</v>
      </c>
      <c r="E229" s="175"/>
      <c r="F229" s="175"/>
      <c r="G229" s="175"/>
      <c r="H229" s="197"/>
      <c r="I229" s="249"/>
      <c r="J229" s="176"/>
      <c r="K229" s="98"/>
      <c r="L229" s="177">
        <f>L226+L227-L228</f>
        <v>0</v>
      </c>
      <c r="M229" s="177">
        <f t="shared" ref="M229:BX229" si="502">M226+M227-M228</f>
        <v>284807.25</v>
      </c>
      <c r="N229" s="177">
        <f t="shared" si="502"/>
        <v>569614.5</v>
      </c>
      <c r="O229" s="177">
        <f t="shared" si="502"/>
        <v>854421.75</v>
      </c>
      <c r="P229" s="177">
        <f t="shared" si="502"/>
        <v>1139229</v>
      </c>
      <c r="Q229" s="177">
        <f t="shared" si="502"/>
        <v>1424036.25</v>
      </c>
      <c r="R229" s="177">
        <f t="shared" si="502"/>
        <v>1708843.5</v>
      </c>
      <c r="S229" s="177">
        <f t="shared" si="502"/>
        <v>1993650.75</v>
      </c>
      <c r="T229" s="177">
        <f t="shared" si="502"/>
        <v>2278458</v>
      </c>
      <c r="U229" s="177">
        <f t="shared" si="502"/>
        <v>2563265.25</v>
      </c>
      <c r="V229" s="177">
        <f t="shared" si="502"/>
        <v>2848072.5</v>
      </c>
      <c r="W229" s="177">
        <f t="shared" si="502"/>
        <v>3132879.75</v>
      </c>
      <c r="X229" s="177">
        <f t="shared" si="502"/>
        <v>3417687</v>
      </c>
      <c r="Y229" s="177">
        <f t="shared" si="502"/>
        <v>3702494.25</v>
      </c>
      <c r="Z229" s="177">
        <f t="shared" si="502"/>
        <v>3987301.5</v>
      </c>
      <c r="AA229" s="177">
        <f t="shared" si="502"/>
        <v>4272108.75</v>
      </c>
      <c r="AB229" s="177">
        <f t="shared" si="502"/>
        <v>4556916</v>
      </c>
      <c r="AC229" s="177">
        <f t="shared" si="502"/>
        <v>4841723.25</v>
      </c>
      <c r="AD229" s="177">
        <f t="shared" si="502"/>
        <v>5126530.5</v>
      </c>
      <c r="AE229" s="177">
        <f t="shared" si="502"/>
        <v>5411337.75</v>
      </c>
      <c r="AF229" s="177">
        <f t="shared" si="502"/>
        <v>5696145</v>
      </c>
      <c r="AG229" s="177">
        <f t="shared" si="502"/>
        <v>5980952.25</v>
      </c>
      <c r="AH229" s="177">
        <f t="shared" si="502"/>
        <v>6265759.5</v>
      </c>
      <c r="AI229" s="177">
        <f t="shared" si="502"/>
        <v>6550566.75</v>
      </c>
      <c r="AJ229" s="177">
        <f t="shared" si="502"/>
        <v>6835374</v>
      </c>
      <c r="AK229" s="177">
        <f t="shared" si="502"/>
        <v>7120181.25</v>
      </c>
      <c r="AL229" s="177">
        <f t="shared" si="502"/>
        <v>7404988.5</v>
      </c>
      <c r="AM229" s="177">
        <f t="shared" si="502"/>
        <v>7689795.75</v>
      </c>
      <c r="AN229" s="177">
        <f t="shared" si="502"/>
        <v>7974603</v>
      </c>
      <c r="AO229" s="177">
        <f t="shared" si="502"/>
        <v>8259410.25</v>
      </c>
      <c r="AP229" s="177">
        <f t="shared" si="502"/>
        <v>8544217.5</v>
      </c>
      <c r="AQ229" s="177">
        <f t="shared" si="502"/>
        <v>8829024.75</v>
      </c>
      <c r="AR229" s="177">
        <f t="shared" si="502"/>
        <v>9113832</v>
      </c>
      <c r="AS229" s="177">
        <f t="shared" si="502"/>
        <v>9398639.25</v>
      </c>
      <c r="AT229" s="177">
        <f t="shared" si="502"/>
        <v>9683446.5</v>
      </c>
      <c r="AU229" s="177">
        <f t="shared" si="502"/>
        <v>9968253.75</v>
      </c>
      <c r="AV229" s="177">
        <f t="shared" si="502"/>
        <v>10253061</v>
      </c>
      <c r="AW229" s="177">
        <f t="shared" si="502"/>
        <v>10537868.25</v>
      </c>
      <c r="AX229" s="177">
        <f t="shared" si="502"/>
        <v>10822675.5</v>
      </c>
      <c r="AY229" s="177">
        <f t="shared" si="502"/>
        <v>11107482.75</v>
      </c>
      <c r="AZ229" s="177">
        <f t="shared" si="502"/>
        <v>11392290</v>
      </c>
      <c r="BA229" s="177">
        <f t="shared" si="502"/>
        <v>11677097.25</v>
      </c>
      <c r="BB229" s="177">
        <f t="shared" si="502"/>
        <v>11961904.5</v>
      </c>
      <c r="BC229" s="177">
        <f t="shared" si="502"/>
        <v>12246711.75</v>
      </c>
      <c r="BD229" s="177">
        <f t="shared" si="502"/>
        <v>12531519</v>
      </c>
      <c r="BE229" s="177">
        <f t="shared" si="502"/>
        <v>12816326.25</v>
      </c>
      <c r="BF229" s="177">
        <f t="shared" si="502"/>
        <v>13101133.5</v>
      </c>
      <c r="BG229" s="177">
        <f t="shared" si="502"/>
        <v>13385940.75</v>
      </c>
      <c r="BH229" s="177">
        <f t="shared" si="502"/>
        <v>13670748</v>
      </c>
      <c r="BI229" s="177">
        <f t="shared" si="502"/>
        <v>13955555.25</v>
      </c>
      <c r="BJ229" s="177">
        <f t="shared" si="502"/>
        <v>14240362.5</v>
      </c>
      <c r="BK229" s="177">
        <f t="shared" si="502"/>
        <v>14525169.75</v>
      </c>
      <c r="BL229" s="177">
        <f t="shared" si="502"/>
        <v>14809977</v>
      </c>
      <c r="BM229" s="177">
        <f t="shared" si="502"/>
        <v>15094784.25</v>
      </c>
      <c r="BN229" s="177">
        <f t="shared" si="502"/>
        <v>15379591.5</v>
      </c>
      <c r="BO229" s="177">
        <f t="shared" si="502"/>
        <v>15664398.75</v>
      </c>
      <c r="BP229" s="177">
        <f t="shared" si="502"/>
        <v>15949206</v>
      </c>
      <c r="BQ229" s="177">
        <f t="shared" si="502"/>
        <v>16234013.25</v>
      </c>
      <c r="BR229" s="177">
        <f t="shared" si="502"/>
        <v>16518820.5</v>
      </c>
      <c r="BS229" s="177">
        <f t="shared" si="502"/>
        <v>16803627.75</v>
      </c>
      <c r="BT229" s="177">
        <f t="shared" si="502"/>
        <v>17088435</v>
      </c>
      <c r="BU229" s="177">
        <f t="shared" si="502"/>
        <v>17373242.25</v>
      </c>
      <c r="BV229" s="177">
        <f t="shared" si="502"/>
        <v>17658049.5</v>
      </c>
      <c r="BW229" s="177">
        <f t="shared" si="502"/>
        <v>17942856.75</v>
      </c>
      <c r="BX229" s="177">
        <f t="shared" si="502"/>
        <v>18227664</v>
      </c>
      <c r="BY229" s="177">
        <f t="shared" ref="BY229:DT229" si="503">BY226+BY227-BY228</f>
        <v>18512471.25</v>
      </c>
      <c r="BZ229" s="177">
        <f t="shared" si="503"/>
        <v>18797278.5</v>
      </c>
      <c r="CA229" s="177">
        <f t="shared" si="503"/>
        <v>19082085.75</v>
      </c>
      <c r="CB229" s="177">
        <f t="shared" si="503"/>
        <v>19366893</v>
      </c>
      <c r="CC229" s="177">
        <f t="shared" si="503"/>
        <v>19651700.25</v>
      </c>
      <c r="CD229" s="177">
        <f t="shared" si="503"/>
        <v>19936507.5</v>
      </c>
      <c r="CE229" s="177">
        <f t="shared" si="503"/>
        <v>20221314.75</v>
      </c>
      <c r="CF229" s="177">
        <f t="shared" si="503"/>
        <v>20506122</v>
      </c>
      <c r="CG229" s="177">
        <f t="shared" si="503"/>
        <v>20790929.25</v>
      </c>
      <c r="CH229" s="177">
        <f t="shared" si="503"/>
        <v>21075736.5</v>
      </c>
      <c r="CI229" s="177">
        <f t="shared" si="503"/>
        <v>21360543.75</v>
      </c>
      <c r="CJ229" s="177">
        <f t="shared" si="503"/>
        <v>21645351</v>
      </c>
      <c r="CK229" s="177">
        <f t="shared" si="503"/>
        <v>21930158.25</v>
      </c>
      <c r="CL229" s="177">
        <f t="shared" si="503"/>
        <v>22214965.5</v>
      </c>
      <c r="CM229" s="177">
        <f t="shared" si="503"/>
        <v>22499772.75</v>
      </c>
      <c r="CN229" s="177">
        <f t="shared" si="503"/>
        <v>22784580</v>
      </c>
      <c r="CO229" s="177">
        <f t="shared" si="503"/>
        <v>23069387.25</v>
      </c>
      <c r="CP229" s="177">
        <f t="shared" si="503"/>
        <v>23354194.5</v>
      </c>
      <c r="CQ229" s="177">
        <f t="shared" si="503"/>
        <v>23639001.75</v>
      </c>
      <c r="CR229" s="177">
        <f t="shared" si="503"/>
        <v>23923809</v>
      </c>
      <c r="CS229" s="177">
        <f t="shared" si="503"/>
        <v>24208616.25</v>
      </c>
      <c r="CT229" s="177">
        <f t="shared" si="503"/>
        <v>24493423.5</v>
      </c>
      <c r="CU229" s="177">
        <f t="shared" si="503"/>
        <v>24778230.75</v>
      </c>
      <c r="CV229" s="177">
        <f t="shared" si="503"/>
        <v>25063038</v>
      </c>
      <c r="CW229" s="177">
        <f t="shared" si="503"/>
        <v>25347845.25</v>
      </c>
      <c r="CX229" s="177">
        <f t="shared" si="503"/>
        <v>25632652.5</v>
      </c>
      <c r="CY229" s="177">
        <f t="shared" si="503"/>
        <v>25917459.75</v>
      </c>
      <c r="CZ229" s="177">
        <f t="shared" si="503"/>
        <v>26202267</v>
      </c>
      <c r="DA229" s="177">
        <f t="shared" si="503"/>
        <v>26487074.25</v>
      </c>
      <c r="DB229" s="177">
        <f t="shared" si="503"/>
        <v>26771881.5</v>
      </c>
      <c r="DC229" s="177">
        <f t="shared" si="503"/>
        <v>27056688.75</v>
      </c>
      <c r="DD229" s="177">
        <f t="shared" si="503"/>
        <v>27341496</v>
      </c>
      <c r="DE229" s="177">
        <f t="shared" si="503"/>
        <v>27626303.25</v>
      </c>
      <c r="DF229" s="177">
        <f t="shared" si="503"/>
        <v>27911110.5</v>
      </c>
      <c r="DG229" s="177">
        <f t="shared" si="503"/>
        <v>28195917.75</v>
      </c>
      <c r="DH229" s="177">
        <f t="shared" si="503"/>
        <v>28480725</v>
      </c>
      <c r="DI229" s="177">
        <f t="shared" si="503"/>
        <v>28765532.25</v>
      </c>
      <c r="DJ229" s="177">
        <f t="shared" si="503"/>
        <v>29050339.5</v>
      </c>
      <c r="DK229" s="177">
        <f t="shared" si="503"/>
        <v>29335146.75</v>
      </c>
      <c r="DL229" s="177">
        <f t="shared" si="503"/>
        <v>29619954</v>
      </c>
      <c r="DM229" s="177">
        <f t="shared" si="503"/>
        <v>29904761.25</v>
      </c>
      <c r="DN229" s="177">
        <f t="shared" si="503"/>
        <v>30189568.5</v>
      </c>
      <c r="DO229" s="177">
        <f t="shared" si="503"/>
        <v>30474375.75</v>
      </c>
      <c r="DP229" s="177">
        <f t="shared" si="503"/>
        <v>30759183</v>
      </c>
      <c r="DQ229" s="177">
        <f t="shared" si="503"/>
        <v>31043990.25</v>
      </c>
      <c r="DR229" s="177">
        <f t="shared" si="503"/>
        <v>31328797.5</v>
      </c>
      <c r="DS229" s="177">
        <f t="shared" si="503"/>
        <v>31613604.75</v>
      </c>
      <c r="DT229" s="177">
        <f t="shared" si="503"/>
        <v>31898412</v>
      </c>
      <c r="DU229" s="177">
        <f t="shared" ref="DU229:EA229" si="504">DU226+DU227-DU228</f>
        <v>32183219.25</v>
      </c>
      <c r="DV229" s="177">
        <f t="shared" si="504"/>
        <v>32468026.5</v>
      </c>
      <c r="DW229" s="177">
        <f t="shared" si="504"/>
        <v>32752833.75</v>
      </c>
      <c r="DX229" s="177">
        <f t="shared" si="504"/>
        <v>33037641</v>
      </c>
      <c r="DY229" s="177">
        <f t="shared" si="504"/>
        <v>33322448.25</v>
      </c>
      <c r="DZ229" s="177">
        <f t="shared" si="504"/>
        <v>33607255.5</v>
      </c>
      <c r="EA229" s="177">
        <f t="shared" si="504"/>
        <v>33892062.75</v>
      </c>
      <c r="EB229" s="177">
        <f t="shared" ref="EB229:EQ229" si="505">EB226+EB227-EB228</f>
        <v>0</v>
      </c>
      <c r="EC229" s="177">
        <f t="shared" si="505"/>
        <v>0</v>
      </c>
      <c r="ED229" s="1322">
        <f t="shared" si="505"/>
        <v>0</v>
      </c>
      <c r="EE229" s="177">
        <f t="shared" si="505"/>
        <v>0</v>
      </c>
      <c r="EF229" s="177">
        <f t="shared" si="505"/>
        <v>0</v>
      </c>
      <c r="EG229" s="177">
        <f t="shared" si="505"/>
        <v>0</v>
      </c>
      <c r="EH229" s="177">
        <f t="shared" si="505"/>
        <v>0</v>
      </c>
      <c r="EI229" s="177">
        <f t="shared" si="505"/>
        <v>0</v>
      </c>
      <c r="EJ229" s="177">
        <f t="shared" si="505"/>
        <v>0</v>
      </c>
      <c r="EK229" s="177">
        <f t="shared" si="505"/>
        <v>0</v>
      </c>
      <c r="EL229" s="177">
        <f t="shared" si="505"/>
        <v>0</v>
      </c>
      <c r="EM229" s="177">
        <f t="shared" si="505"/>
        <v>0</v>
      </c>
      <c r="EN229" s="177">
        <f t="shared" si="505"/>
        <v>0</v>
      </c>
      <c r="EO229" s="177">
        <f t="shared" si="505"/>
        <v>0</v>
      </c>
      <c r="EP229" s="177">
        <f t="shared" si="505"/>
        <v>0</v>
      </c>
      <c r="EQ229" s="177">
        <f t="shared" si="505"/>
        <v>0</v>
      </c>
    </row>
    <row r="231" spans="3:147" ht="11.25" customHeight="1">
      <c r="C231" s="155" t="s">
        <v>88</v>
      </c>
      <c r="D231" s="155"/>
      <c r="E231" s="155"/>
      <c r="F231" s="155"/>
      <c r="G231" s="155"/>
      <c r="H231" s="191"/>
      <c r="I231" s="192"/>
      <c r="J231" s="156"/>
      <c r="L231" s="210">
        <f>'CF(M)'!L13</f>
        <v>46326</v>
      </c>
      <c r="M231" s="210">
        <f>'CF(M)'!M13</f>
        <v>46356</v>
      </c>
      <c r="N231" s="210">
        <f>'CF(M)'!N13</f>
        <v>46387</v>
      </c>
      <c r="O231" s="210">
        <f>'CF(M)'!O13</f>
        <v>46418</v>
      </c>
      <c r="P231" s="210">
        <f>'CF(M)'!P13</f>
        <v>46446</v>
      </c>
      <c r="Q231" s="210">
        <f>'CF(M)'!Q13</f>
        <v>46477</v>
      </c>
      <c r="R231" s="210">
        <f>'CF(M)'!R13</f>
        <v>46507</v>
      </c>
      <c r="S231" s="210">
        <f>'CF(M)'!S13</f>
        <v>46538</v>
      </c>
      <c r="T231" s="210">
        <f>'CF(M)'!T13</f>
        <v>46568</v>
      </c>
      <c r="U231" s="210">
        <f>'CF(M)'!U13</f>
        <v>46599</v>
      </c>
      <c r="V231" s="210">
        <f>'CF(M)'!V13</f>
        <v>46630</v>
      </c>
      <c r="W231" s="210">
        <f>'CF(M)'!W13</f>
        <v>46660</v>
      </c>
      <c r="X231" s="210">
        <f>'CF(M)'!X13</f>
        <v>46691</v>
      </c>
      <c r="Y231" s="210">
        <f>'CF(M)'!Y13</f>
        <v>46721</v>
      </c>
      <c r="Z231" s="210">
        <f>'CF(M)'!Z13</f>
        <v>46752</v>
      </c>
      <c r="AA231" s="210">
        <f>'CF(M)'!AA13</f>
        <v>46783</v>
      </c>
      <c r="AB231" s="210">
        <f>'CF(M)'!AB13</f>
        <v>46812</v>
      </c>
      <c r="AC231" s="210">
        <f>'CF(M)'!AC13</f>
        <v>46843</v>
      </c>
      <c r="AD231" s="210">
        <f>'CF(M)'!AD13</f>
        <v>46873</v>
      </c>
      <c r="AE231" s="210">
        <f>'CF(M)'!AE13</f>
        <v>46904</v>
      </c>
      <c r="AF231" s="210">
        <f>'CF(M)'!AF13</f>
        <v>46934</v>
      </c>
      <c r="AG231" s="210">
        <f>'CF(M)'!AG13</f>
        <v>46965</v>
      </c>
      <c r="AH231" s="210">
        <f>'CF(M)'!AH13</f>
        <v>46996</v>
      </c>
      <c r="AI231" s="210">
        <f>'CF(M)'!AI13</f>
        <v>47026</v>
      </c>
      <c r="AJ231" s="210">
        <f>'CF(M)'!AJ13</f>
        <v>47057</v>
      </c>
      <c r="AK231" s="210">
        <f>'CF(M)'!AK13</f>
        <v>47087</v>
      </c>
      <c r="AL231" s="210">
        <f>'CF(M)'!AL13</f>
        <v>47118</v>
      </c>
      <c r="AM231" s="210">
        <f>'CF(M)'!AM13</f>
        <v>47149</v>
      </c>
      <c r="AN231" s="210">
        <f>'CF(M)'!AN13</f>
        <v>47177</v>
      </c>
      <c r="AO231" s="210">
        <f>'CF(M)'!AO13</f>
        <v>47208</v>
      </c>
      <c r="AP231" s="210">
        <f>'CF(M)'!AP13</f>
        <v>47238</v>
      </c>
      <c r="AQ231" s="210">
        <f>'CF(M)'!AQ13</f>
        <v>47269</v>
      </c>
      <c r="AR231" s="210">
        <f>'CF(M)'!AR13</f>
        <v>47299</v>
      </c>
      <c r="AS231" s="210">
        <f>'CF(M)'!AS13</f>
        <v>47330</v>
      </c>
      <c r="AT231" s="210">
        <f>'CF(M)'!AT13</f>
        <v>47361</v>
      </c>
      <c r="AU231" s="210">
        <f>'CF(M)'!AU13</f>
        <v>47391</v>
      </c>
      <c r="AV231" s="210">
        <f>'CF(M)'!AV13</f>
        <v>47422</v>
      </c>
      <c r="AW231" s="210">
        <f>'CF(M)'!AW13</f>
        <v>47452</v>
      </c>
      <c r="AX231" s="210">
        <f>'CF(M)'!AX13</f>
        <v>47483</v>
      </c>
      <c r="AY231" s="210">
        <f>'CF(M)'!AY13</f>
        <v>47514</v>
      </c>
      <c r="AZ231" s="210">
        <f>'CF(M)'!AZ13</f>
        <v>47542</v>
      </c>
      <c r="BA231" s="210">
        <f>'CF(M)'!BA13</f>
        <v>47573</v>
      </c>
      <c r="BB231" s="210">
        <f>'CF(M)'!BB13</f>
        <v>47603</v>
      </c>
      <c r="BC231" s="210">
        <f>'CF(M)'!BC13</f>
        <v>47634</v>
      </c>
      <c r="BD231" s="210">
        <f>'CF(M)'!BD13</f>
        <v>47664</v>
      </c>
      <c r="BE231" s="210">
        <f>'CF(M)'!BE13</f>
        <v>47695</v>
      </c>
      <c r="BF231" s="210">
        <f>'CF(M)'!BF13</f>
        <v>47726</v>
      </c>
      <c r="BG231" s="210">
        <f>'CF(M)'!BG13</f>
        <v>47756</v>
      </c>
      <c r="BH231" s="210">
        <f>'CF(M)'!BH13</f>
        <v>47787</v>
      </c>
      <c r="BI231" s="210">
        <f>'CF(M)'!BI13</f>
        <v>47817</v>
      </c>
      <c r="BJ231" s="210">
        <f>'CF(M)'!BJ13</f>
        <v>47848</v>
      </c>
      <c r="BK231" s="210">
        <f>'CF(M)'!BK13</f>
        <v>47879</v>
      </c>
      <c r="BL231" s="210">
        <f>'CF(M)'!BL13</f>
        <v>47907</v>
      </c>
      <c r="BM231" s="210">
        <f>'CF(M)'!BM13</f>
        <v>47938</v>
      </c>
      <c r="BN231" s="210">
        <f>'CF(M)'!BN13</f>
        <v>47968</v>
      </c>
      <c r="BO231" s="210">
        <f>'CF(M)'!BO13</f>
        <v>47999</v>
      </c>
      <c r="BP231" s="210">
        <f>'CF(M)'!BP13</f>
        <v>48029</v>
      </c>
      <c r="BQ231" s="210">
        <f>'CF(M)'!BQ13</f>
        <v>48060</v>
      </c>
      <c r="BR231" s="210">
        <f>'CF(M)'!BR13</f>
        <v>48091</v>
      </c>
      <c r="BS231" s="210">
        <f>'CF(M)'!BS13</f>
        <v>48121</v>
      </c>
      <c r="BT231" s="210">
        <f>'CF(M)'!BT13</f>
        <v>48152</v>
      </c>
      <c r="BU231" s="210">
        <f>'CF(M)'!BU13</f>
        <v>48182</v>
      </c>
      <c r="BV231" s="210">
        <f>'CF(M)'!BV13</f>
        <v>48213</v>
      </c>
      <c r="BW231" s="210">
        <f>'CF(M)'!BW13</f>
        <v>48244</v>
      </c>
      <c r="BX231" s="210">
        <f>'CF(M)'!BX13</f>
        <v>48273</v>
      </c>
      <c r="BY231" s="210">
        <f>'CF(M)'!BY13</f>
        <v>48304</v>
      </c>
      <c r="BZ231" s="210">
        <f>'CF(M)'!BZ13</f>
        <v>48334</v>
      </c>
      <c r="CA231" s="210">
        <f>'CF(M)'!CA13</f>
        <v>48365</v>
      </c>
      <c r="CB231" s="210">
        <f>'CF(M)'!CB13</f>
        <v>48395</v>
      </c>
      <c r="CC231" s="210">
        <f>'CF(M)'!CC13</f>
        <v>48426</v>
      </c>
      <c r="CD231" s="210">
        <f>'CF(M)'!CD13</f>
        <v>48457</v>
      </c>
      <c r="CE231" s="210">
        <f>'CF(M)'!CE13</f>
        <v>48487</v>
      </c>
      <c r="CF231" s="210">
        <f>'CF(M)'!CF13</f>
        <v>48518</v>
      </c>
      <c r="CG231" s="210">
        <f>'CF(M)'!CG13</f>
        <v>48548</v>
      </c>
      <c r="CH231" s="210">
        <f>'CF(M)'!CH13</f>
        <v>48579</v>
      </c>
      <c r="CI231" s="210">
        <f>'CF(M)'!CI13</f>
        <v>48610</v>
      </c>
      <c r="CJ231" s="210">
        <f>'CF(M)'!CJ13</f>
        <v>48638</v>
      </c>
      <c r="CK231" s="210">
        <f>'CF(M)'!CK13</f>
        <v>48669</v>
      </c>
      <c r="CL231" s="210">
        <f>'CF(M)'!CL13</f>
        <v>48699</v>
      </c>
      <c r="CM231" s="210">
        <f>'CF(M)'!CM13</f>
        <v>48730</v>
      </c>
      <c r="CN231" s="210">
        <f>'CF(M)'!CN13</f>
        <v>48760</v>
      </c>
      <c r="CO231" s="210">
        <f>'CF(M)'!CO13</f>
        <v>48791</v>
      </c>
      <c r="CP231" s="210">
        <f>'CF(M)'!CP13</f>
        <v>48822</v>
      </c>
      <c r="CQ231" s="210">
        <f>'CF(M)'!CQ13</f>
        <v>48852</v>
      </c>
      <c r="CR231" s="210">
        <f>'CF(M)'!CR13</f>
        <v>48883</v>
      </c>
      <c r="CS231" s="210">
        <f>'CF(M)'!CS13</f>
        <v>48913</v>
      </c>
      <c r="CT231" s="210">
        <f>'CF(M)'!CT13</f>
        <v>48944</v>
      </c>
      <c r="CU231" s="210">
        <f>'CF(M)'!CU13</f>
        <v>48975</v>
      </c>
      <c r="CV231" s="210">
        <f>'CF(M)'!CV13</f>
        <v>49003</v>
      </c>
      <c r="CW231" s="210">
        <f>'CF(M)'!CW13</f>
        <v>49034</v>
      </c>
      <c r="CX231" s="210">
        <f>'CF(M)'!CX13</f>
        <v>49064</v>
      </c>
      <c r="CY231" s="210">
        <f>'CF(M)'!CY13</f>
        <v>49095</v>
      </c>
      <c r="CZ231" s="210">
        <f>'CF(M)'!CZ13</f>
        <v>49125</v>
      </c>
      <c r="DA231" s="210">
        <f>'CF(M)'!DA13</f>
        <v>49156</v>
      </c>
      <c r="DB231" s="210">
        <f>'CF(M)'!DB13</f>
        <v>49187</v>
      </c>
      <c r="DC231" s="210">
        <f>'CF(M)'!DC13</f>
        <v>49217</v>
      </c>
      <c r="DD231" s="210">
        <f>'CF(M)'!DD13</f>
        <v>49248</v>
      </c>
      <c r="DE231" s="210">
        <f>'CF(M)'!DE13</f>
        <v>49278</v>
      </c>
      <c r="DF231" s="210">
        <f>'CF(M)'!DF13</f>
        <v>49309</v>
      </c>
      <c r="DG231" s="210">
        <f>'CF(M)'!DG13</f>
        <v>49340</v>
      </c>
      <c r="DH231" s="210">
        <f>'CF(M)'!DH13</f>
        <v>49368</v>
      </c>
      <c r="DI231" s="210">
        <f>'CF(M)'!DI13</f>
        <v>49399</v>
      </c>
      <c r="DJ231" s="210">
        <f>'CF(M)'!DJ13</f>
        <v>49429</v>
      </c>
      <c r="DK231" s="210">
        <f>'CF(M)'!DK13</f>
        <v>49460</v>
      </c>
      <c r="DL231" s="210">
        <f>'CF(M)'!DL13</f>
        <v>49490</v>
      </c>
      <c r="DM231" s="210">
        <f>'CF(M)'!DM13</f>
        <v>49521</v>
      </c>
      <c r="DN231" s="210">
        <f>'CF(M)'!DN13</f>
        <v>49552</v>
      </c>
      <c r="DO231" s="210">
        <f>'CF(M)'!DO13</f>
        <v>49582</v>
      </c>
      <c r="DP231" s="210">
        <f>'CF(M)'!DP13</f>
        <v>49613</v>
      </c>
      <c r="DQ231" s="210">
        <f>'CF(M)'!DQ13</f>
        <v>49643</v>
      </c>
      <c r="DR231" s="210">
        <f>'CF(M)'!DR13</f>
        <v>49674</v>
      </c>
      <c r="DS231" s="210">
        <f>'CF(M)'!DS13</f>
        <v>49705</v>
      </c>
      <c r="DT231" s="210">
        <f>'CF(M)'!DT13</f>
        <v>49734</v>
      </c>
      <c r="DU231" s="210">
        <f>'CF(M)'!DU13</f>
        <v>49765</v>
      </c>
      <c r="DV231" s="210">
        <f>'CF(M)'!DV13</f>
        <v>49795</v>
      </c>
      <c r="DW231" s="210">
        <f>'CF(M)'!DW13</f>
        <v>49826</v>
      </c>
      <c r="DX231" s="210">
        <f>'CF(M)'!DX13</f>
        <v>49856</v>
      </c>
      <c r="DY231" s="210">
        <f>'CF(M)'!DY13</f>
        <v>49887</v>
      </c>
      <c r="DZ231" s="210">
        <f>'CF(M)'!DZ13</f>
        <v>49918</v>
      </c>
      <c r="EA231" s="210">
        <f>'CF(M)'!EA13</f>
        <v>49948</v>
      </c>
      <c r="EB231" s="210">
        <f>'CF(M)'!EB13</f>
        <v>49979</v>
      </c>
      <c r="EC231" s="210">
        <f>'CF(M)'!EC13</f>
        <v>50009</v>
      </c>
      <c r="ED231" s="1328">
        <f>'CF(M)'!ED13</f>
        <v>50040</v>
      </c>
      <c r="EE231" s="210">
        <f>'CF(M)'!EE13</f>
        <v>50071</v>
      </c>
      <c r="EF231" s="210">
        <f>'CF(M)'!EF13</f>
        <v>50099</v>
      </c>
      <c r="EG231" s="210">
        <f>'CF(M)'!EG13</f>
        <v>50130</v>
      </c>
      <c r="EH231" s="210">
        <f>'CF(M)'!EH13</f>
        <v>50160</v>
      </c>
      <c r="EI231" s="210">
        <f>'CF(M)'!EI13</f>
        <v>50191</v>
      </c>
      <c r="EJ231" s="210">
        <f>'CF(M)'!EJ13</f>
        <v>50221</v>
      </c>
      <c r="EK231" s="210">
        <f>'CF(M)'!EK13</f>
        <v>50252</v>
      </c>
      <c r="EL231" s="210">
        <f>'CF(M)'!EL13</f>
        <v>50283</v>
      </c>
      <c r="EM231" s="210">
        <f>'CF(M)'!EM13</f>
        <v>50313</v>
      </c>
      <c r="EN231" s="210">
        <f>'CF(M)'!EN13</f>
        <v>50344</v>
      </c>
      <c r="EO231" s="210">
        <f>'CF(M)'!EO13</f>
        <v>50374</v>
      </c>
      <c r="EP231" s="210">
        <f>'CF(M)'!EP13</f>
        <v>50405</v>
      </c>
      <c r="EQ231" s="210">
        <f>'CF(M)'!EQ13</f>
        <v>50436</v>
      </c>
    </row>
    <row r="232" spans="3:147" ht="11.25" customHeight="1">
      <c r="C232" s="211" t="s">
        <v>544</v>
      </c>
      <c r="D232" s="212"/>
      <c r="E232" s="212"/>
      <c r="F232" s="212"/>
      <c r="G232" s="212"/>
      <c r="H232" s="213"/>
      <c r="I232" s="214"/>
      <c r="J232" s="215"/>
      <c r="L232" s="216"/>
      <c r="M232" s="217"/>
      <c r="N232" s="217"/>
      <c r="O232" s="217"/>
      <c r="P232" s="217"/>
      <c r="Q232" s="217"/>
      <c r="R232" s="217"/>
      <c r="S232" s="217"/>
      <c r="T232" s="217"/>
      <c r="U232" s="217"/>
      <c r="V232" s="217"/>
      <c r="W232" s="217"/>
      <c r="X232" s="217"/>
      <c r="Y232" s="217"/>
      <c r="Z232" s="217"/>
      <c r="AA232" s="217"/>
      <c r="AB232" s="217"/>
      <c r="AC232" s="217"/>
      <c r="AD232" s="217"/>
      <c r="AE232" s="217"/>
      <c r="AF232" s="217"/>
      <c r="AG232" s="217"/>
      <c r="AH232" s="217"/>
      <c r="AI232" s="217"/>
      <c r="AJ232" s="217"/>
      <c r="AK232" s="217"/>
      <c r="AL232" s="217"/>
      <c r="AM232" s="217"/>
      <c r="AN232" s="217"/>
      <c r="AO232" s="217"/>
      <c r="AP232" s="217"/>
      <c r="AQ232" s="217"/>
      <c r="AR232" s="217"/>
      <c r="AS232" s="217"/>
      <c r="AT232" s="217"/>
      <c r="AU232" s="217"/>
      <c r="AV232" s="217"/>
      <c r="AW232" s="217"/>
      <c r="AX232" s="217"/>
      <c r="AY232" s="217"/>
      <c r="AZ232" s="217"/>
      <c r="BA232" s="217"/>
      <c r="BB232" s="217"/>
      <c r="BC232" s="217"/>
      <c r="BD232" s="217"/>
      <c r="BE232" s="217"/>
      <c r="BF232" s="217"/>
      <c r="BG232" s="217"/>
      <c r="BH232" s="217"/>
      <c r="BI232" s="217"/>
      <c r="BJ232" s="217"/>
      <c r="BK232" s="217"/>
      <c r="BL232" s="217"/>
      <c r="BM232" s="217"/>
      <c r="BN232" s="217"/>
      <c r="BO232" s="217"/>
      <c r="BP232" s="217"/>
      <c r="BQ232" s="217"/>
      <c r="BR232" s="217"/>
      <c r="BS232" s="217"/>
      <c r="BT232" s="217"/>
      <c r="BU232" s="217"/>
      <c r="BV232" s="217"/>
      <c r="BW232" s="217"/>
      <c r="BX232" s="217"/>
      <c r="BY232" s="217"/>
      <c r="BZ232" s="217"/>
      <c r="CA232" s="217"/>
      <c r="CB232" s="217"/>
      <c r="CC232" s="217"/>
      <c r="CD232" s="217"/>
      <c r="CE232" s="217"/>
      <c r="CF232" s="217"/>
      <c r="CG232" s="217"/>
      <c r="CH232" s="217"/>
      <c r="CI232" s="217"/>
      <c r="CJ232" s="217"/>
      <c r="CK232" s="217"/>
      <c r="CL232" s="217"/>
      <c r="CM232" s="217"/>
      <c r="CN232" s="217"/>
      <c r="CO232" s="217"/>
      <c r="CP232" s="217"/>
      <c r="CQ232" s="217"/>
      <c r="CR232" s="217"/>
      <c r="CS232" s="217"/>
      <c r="CT232" s="217"/>
      <c r="CU232" s="217"/>
      <c r="CV232" s="217"/>
      <c r="CW232" s="217"/>
      <c r="CX232" s="217"/>
      <c r="CY232" s="217"/>
      <c r="CZ232" s="217"/>
      <c r="DA232" s="217"/>
      <c r="DB232" s="217"/>
      <c r="DC232" s="217"/>
      <c r="DD232" s="217"/>
      <c r="DE232" s="217"/>
      <c r="DF232" s="217"/>
      <c r="DG232" s="217"/>
      <c r="DH232" s="217"/>
      <c r="DI232" s="217"/>
      <c r="DJ232" s="217"/>
      <c r="DK232" s="217"/>
      <c r="DL232" s="217"/>
      <c r="DM232" s="217"/>
      <c r="DN232" s="217"/>
      <c r="DO232" s="217"/>
      <c r="DP232" s="217"/>
      <c r="DQ232" s="217"/>
      <c r="DR232" s="217"/>
      <c r="DS232" s="217"/>
      <c r="DT232" s="217"/>
      <c r="DU232" s="217"/>
      <c r="DV232" s="217"/>
      <c r="DW232" s="217"/>
      <c r="DX232" s="217"/>
      <c r="DY232" s="217"/>
      <c r="DZ232" s="217"/>
      <c r="EA232" s="217"/>
      <c r="EB232" s="217"/>
      <c r="EC232" s="217"/>
      <c r="ED232" s="1329"/>
      <c r="EE232" s="217"/>
      <c r="EF232" s="217"/>
      <c r="EG232" s="217"/>
      <c r="EH232" s="217"/>
      <c r="EI232" s="217"/>
      <c r="EJ232" s="217"/>
      <c r="EK232" s="217"/>
      <c r="EL232" s="217"/>
      <c r="EM232" s="217"/>
      <c r="EN232" s="217"/>
      <c r="EO232" s="217"/>
      <c r="EP232" s="217"/>
      <c r="EQ232" s="217"/>
    </row>
    <row r="233" spans="3:147" ht="11.25" customHeight="1">
      <c r="C233" s="218"/>
      <c r="D233" s="158" t="s">
        <v>1088</v>
      </c>
      <c r="E233" s="159"/>
      <c r="F233" s="159"/>
      <c r="G233" s="159"/>
      <c r="H233" s="160"/>
      <c r="I233" s="219"/>
      <c r="J233" s="220"/>
      <c r="K233" s="98"/>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162"/>
      <c r="AK233" s="162"/>
      <c r="AL233" s="162"/>
      <c r="AM233" s="162"/>
      <c r="AN233" s="162"/>
      <c r="AO233" s="162"/>
      <c r="AP233" s="162"/>
      <c r="AQ233" s="162"/>
      <c r="AR233" s="162"/>
      <c r="AS233" s="162"/>
      <c r="AT233" s="162"/>
      <c r="AU233" s="162"/>
      <c r="AV233" s="162"/>
      <c r="AW233" s="162"/>
      <c r="AX233" s="162"/>
      <c r="AY233" s="162"/>
      <c r="AZ233" s="162"/>
      <c r="BA233" s="162"/>
      <c r="BB233" s="162"/>
      <c r="BC233" s="162"/>
      <c r="BD233" s="162"/>
      <c r="BE233" s="162"/>
      <c r="BF233" s="162"/>
      <c r="BG233" s="162"/>
      <c r="BH233" s="162"/>
      <c r="BI233" s="162"/>
      <c r="BJ233" s="162"/>
      <c r="BK233" s="162"/>
      <c r="BL233" s="162"/>
      <c r="BM233" s="162"/>
      <c r="BN233" s="162"/>
      <c r="BO233" s="162"/>
      <c r="BP233" s="162"/>
      <c r="BQ233" s="162"/>
      <c r="BR233" s="162"/>
      <c r="BS233" s="162"/>
      <c r="BT233" s="162"/>
      <c r="BU233" s="162"/>
      <c r="BV233" s="162"/>
      <c r="BW233" s="162"/>
      <c r="BX233" s="162"/>
      <c r="BY233" s="162"/>
      <c r="BZ233" s="162"/>
      <c r="CA233" s="162"/>
      <c r="CB233" s="162"/>
      <c r="CC233" s="162"/>
      <c r="CD233" s="162"/>
      <c r="CE233" s="162"/>
      <c r="CF233" s="162"/>
      <c r="CG233" s="162"/>
      <c r="CH233" s="162"/>
      <c r="CI233" s="162"/>
      <c r="CJ233" s="162"/>
      <c r="CK233" s="162"/>
      <c r="CL233" s="162"/>
      <c r="CM233" s="162"/>
      <c r="CN233" s="162"/>
      <c r="CO233" s="162"/>
      <c r="CP233" s="162"/>
      <c r="CQ233" s="162"/>
      <c r="CR233" s="162"/>
      <c r="CS233" s="162"/>
      <c r="CT233" s="162"/>
      <c r="CU233" s="162"/>
      <c r="CV233" s="162"/>
      <c r="CW233" s="162"/>
      <c r="CX233" s="162"/>
      <c r="CY233" s="162"/>
      <c r="CZ233" s="162"/>
      <c r="DA233" s="162"/>
      <c r="DB233" s="162"/>
      <c r="DC233" s="162"/>
      <c r="DD233" s="162"/>
      <c r="DE233" s="162"/>
      <c r="DF233" s="162"/>
      <c r="DG233" s="162"/>
      <c r="DH233" s="162"/>
      <c r="DI233" s="162"/>
      <c r="DJ233" s="162"/>
      <c r="DK233" s="162"/>
      <c r="DL233" s="162"/>
      <c r="DM233" s="162"/>
      <c r="DN233" s="162"/>
      <c r="DO233" s="162"/>
      <c r="DP233" s="162"/>
      <c r="DQ233" s="162"/>
      <c r="DR233" s="162"/>
      <c r="DS233" s="162"/>
      <c r="DT233" s="162"/>
      <c r="DU233" s="162"/>
      <c r="DV233" s="162"/>
      <c r="DW233" s="162"/>
      <c r="DX233" s="162"/>
      <c r="DY233" s="162"/>
      <c r="DZ233" s="162"/>
      <c r="EA233" s="162"/>
      <c r="EB233" s="162"/>
      <c r="EC233" s="162"/>
      <c r="ED233" s="1319"/>
      <c r="EE233" s="162"/>
      <c r="EF233" s="162"/>
      <c r="EG233" s="162"/>
      <c r="EH233" s="162"/>
      <c r="EI233" s="162"/>
      <c r="EJ233" s="162"/>
      <c r="EK233" s="162"/>
      <c r="EL233" s="162"/>
      <c r="EM233" s="162"/>
      <c r="EN233" s="162"/>
      <c r="EO233" s="162"/>
      <c r="EP233" s="162"/>
      <c r="EQ233" s="162"/>
    </row>
    <row r="234" spans="3:147" ht="11.25" customHeight="1">
      <c r="C234" s="218"/>
      <c r="D234" s="163"/>
      <c r="E234" s="164" t="s">
        <v>217</v>
      </c>
      <c r="F234" s="165"/>
      <c r="G234" s="165"/>
      <c r="H234" s="166"/>
      <c r="I234" s="221"/>
      <c r="J234" s="168"/>
      <c r="K234" s="98"/>
      <c r="L234" s="168">
        <f t="shared" ref="L234:AQ234" si="506">K237</f>
        <v>0</v>
      </c>
      <c r="M234" s="168">
        <f t="shared" si="506"/>
        <v>960000</v>
      </c>
      <c r="N234" s="168">
        <f t="shared" si="506"/>
        <v>960000</v>
      </c>
      <c r="O234" s="168">
        <f t="shared" si="506"/>
        <v>960000</v>
      </c>
      <c r="P234" s="168">
        <f t="shared" si="506"/>
        <v>960000</v>
      </c>
      <c r="Q234" s="168">
        <f t="shared" si="506"/>
        <v>960000</v>
      </c>
      <c r="R234" s="168">
        <f t="shared" si="506"/>
        <v>960000</v>
      </c>
      <c r="S234" s="168">
        <f t="shared" si="506"/>
        <v>960000</v>
      </c>
      <c r="T234" s="168">
        <f t="shared" si="506"/>
        <v>960000</v>
      </c>
      <c r="U234" s="168">
        <f t="shared" si="506"/>
        <v>960000</v>
      </c>
      <c r="V234" s="168">
        <f t="shared" si="506"/>
        <v>960000</v>
      </c>
      <c r="W234" s="168">
        <f t="shared" si="506"/>
        <v>960000</v>
      </c>
      <c r="X234" s="168">
        <f t="shared" si="506"/>
        <v>960000</v>
      </c>
      <c r="Y234" s="168">
        <f t="shared" si="506"/>
        <v>960000</v>
      </c>
      <c r="Z234" s="168">
        <f t="shared" si="506"/>
        <v>960000</v>
      </c>
      <c r="AA234" s="168">
        <f t="shared" si="506"/>
        <v>960000</v>
      </c>
      <c r="AB234" s="168">
        <f t="shared" si="506"/>
        <v>960000</v>
      </c>
      <c r="AC234" s="168">
        <f t="shared" si="506"/>
        <v>960000</v>
      </c>
      <c r="AD234" s="168">
        <f t="shared" si="506"/>
        <v>960000</v>
      </c>
      <c r="AE234" s="168">
        <f t="shared" si="506"/>
        <v>960000</v>
      </c>
      <c r="AF234" s="168">
        <f t="shared" si="506"/>
        <v>960000</v>
      </c>
      <c r="AG234" s="168">
        <f t="shared" si="506"/>
        <v>960000</v>
      </c>
      <c r="AH234" s="168">
        <f t="shared" si="506"/>
        <v>960000</v>
      </c>
      <c r="AI234" s="168">
        <f t="shared" si="506"/>
        <v>960000</v>
      </c>
      <c r="AJ234" s="168">
        <f t="shared" si="506"/>
        <v>960000</v>
      </c>
      <c r="AK234" s="168">
        <f t="shared" si="506"/>
        <v>960000</v>
      </c>
      <c r="AL234" s="168">
        <f t="shared" si="506"/>
        <v>960000</v>
      </c>
      <c r="AM234" s="168">
        <f t="shared" si="506"/>
        <v>960000</v>
      </c>
      <c r="AN234" s="168">
        <f t="shared" si="506"/>
        <v>960000</v>
      </c>
      <c r="AO234" s="168">
        <f t="shared" si="506"/>
        <v>960000</v>
      </c>
      <c r="AP234" s="168">
        <f t="shared" si="506"/>
        <v>960000</v>
      </c>
      <c r="AQ234" s="168">
        <f t="shared" si="506"/>
        <v>960000</v>
      </c>
      <c r="AR234" s="168">
        <f t="shared" ref="AR234:BW234" si="507">AQ237</f>
        <v>960000</v>
      </c>
      <c r="AS234" s="168">
        <f t="shared" si="507"/>
        <v>960000</v>
      </c>
      <c r="AT234" s="168">
        <f t="shared" si="507"/>
        <v>960000</v>
      </c>
      <c r="AU234" s="168">
        <f t="shared" si="507"/>
        <v>960000</v>
      </c>
      <c r="AV234" s="168">
        <f t="shared" si="507"/>
        <v>960000</v>
      </c>
      <c r="AW234" s="168">
        <f t="shared" si="507"/>
        <v>960000</v>
      </c>
      <c r="AX234" s="168">
        <f t="shared" si="507"/>
        <v>960000</v>
      </c>
      <c r="AY234" s="168">
        <f t="shared" si="507"/>
        <v>960000</v>
      </c>
      <c r="AZ234" s="168">
        <f t="shared" si="507"/>
        <v>960000</v>
      </c>
      <c r="BA234" s="168">
        <f t="shared" si="507"/>
        <v>960000</v>
      </c>
      <c r="BB234" s="168">
        <f t="shared" si="507"/>
        <v>960000</v>
      </c>
      <c r="BC234" s="168">
        <f t="shared" si="507"/>
        <v>960000</v>
      </c>
      <c r="BD234" s="168">
        <f t="shared" si="507"/>
        <v>960000</v>
      </c>
      <c r="BE234" s="168">
        <f t="shared" si="507"/>
        <v>960000</v>
      </c>
      <c r="BF234" s="168">
        <f t="shared" si="507"/>
        <v>960000</v>
      </c>
      <c r="BG234" s="168">
        <f t="shared" si="507"/>
        <v>960000</v>
      </c>
      <c r="BH234" s="168">
        <f t="shared" si="507"/>
        <v>960000</v>
      </c>
      <c r="BI234" s="168">
        <f t="shared" si="507"/>
        <v>960000</v>
      </c>
      <c r="BJ234" s="168">
        <f t="shared" si="507"/>
        <v>960000</v>
      </c>
      <c r="BK234" s="168">
        <f t="shared" si="507"/>
        <v>960000</v>
      </c>
      <c r="BL234" s="168">
        <f t="shared" si="507"/>
        <v>960000</v>
      </c>
      <c r="BM234" s="168">
        <f t="shared" si="507"/>
        <v>960000</v>
      </c>
      <c r="BN234" s="168">
        <f t="shared" si="507"/>
        <v>960000</v>
      </c>
      <c r="BO234" s="168">
        <f t="shared" si="507"/>
        <v>960000</v>
      </c>
      <c r="BP234" s="168">
        <f t="shared" si="507"/>
        <v>960000</v>
      </c>
      <c r="BQ234" s="168">
        <f t="shared" si="507"/>
        <v>960000</v>
      </c>
      <c r="BR234" s="168">
        <f t="shared" si="507"/>
        <v>960000</v>
      </c>
      <c r="BS234" s="168">
        <f t="shared" si="507"/>
        <v>960000</v>
      </c>
      <c r="BT234" s="168">
        <f t="shared" si="507"/>
        <v>960000</v>
      </c>
      <c r="BU234" s="168">
        <f t="shared" si="507"/>
        <v>960000</v>
      </c>
      <c r="BV234" s="168">
        <f t="shared" si="507"/>
        <v>960000</v>
      </c>
      <c r="BW234" s="168">
        <f t="shared" si="507"/>
        <v>960000</v>
      </c>
      <c r="BX234" s="168">
        <f t="shared" ref="BX234:DC234" si="508">BW237</f>
        <v>960000</v>
      </c>
      <c r="BY234" s="168">
        <f t="shared" si="508"/>
        <v>960000</v>
      </c>
      <c r="BZ234" s="168">
        <f t="shared" si="508"/>
        <v>960000</v>
      </c>
      <c r="CA234" s="168">
        <f t="shared" si="508"/>
        <v>960000</v>
      </c>
      <c r="CB234" s="168">
        <f t="shared" si="508"/>
        <v>960000</v>
      </c>
      <c r="CC234" s="168">
        <f t="shared" si="508"/>
        <v>960000</v>
      </c>
      <c r="CD234" s="168">
        <f t="shared" si="508"/>
        <v>960000</v>
      </c>
      <c r="CE234" s="168">
        <f t="shared" si="508"/>
        <v>960000</v>
      </c>
      <c r="CF234" s="168">
        <f t="shared" si="508"/>
        <v>960000</v>
      </c>
      <c r="CG234" s="168">
        <f t="shared" si="508"/>
        <v>960000</v>
      </c>
      <c r="CH234" s="168">
        <f t="shared" si="508"/>
        <v>960000</v>
      </c>
      <c r="CI234" s="168">
        <f t="shared" si="508"/>
        <v>960000</v>
      </c>
      <c r="CJ234" s="168">
        <f t="shared" si="508"/>
        <v>960000</v>
      </c>
      <c r="CK234" s="168">
        <f t="shared" si="508"/>
        <v>960000</v>
      </c>
      <c r="CL234" s="168">
        <f t="shared" si="508"/>
        <v>960000</v>
      </c>
      <c r="CM234" s="168">
        <f t="shared" si="508"/>
        <v>960000</v>
      </c>
      <c r="CN234" s="168">
        <f t="shared" si="508"/>
        <v>960000</v>
      </c>
      <c r="CO234" s="168">
        <f t="shared" si="508"/>
        <v>960000</v>
      </c>
      <c r="CP234" s="168">
        <f t="shared" si="508"/>
        <v>960000</v>
      </c>
      <c r="CQ234" s="168">
        <f t="shared" si="508"/>
        <v>960000</v>
      </c>
      <c r="CR234" s="168">
        <f t="shared" si="508"/>
        <v>960000</v>
      </c>
      <c r="CS234" s="168">
        <f t="shared" si="508"/>
        <v>960000</v>
      </c>
      <c r="CT234" s="168">
        <f t="shared" si="508"/>
        <v>960000</v>
      </c>
      <c r="CU234" s="168">
        <f t="shared" si="508"/>
        <v>960000</v>
      </c>
      <c r="CV234" s="168">
        <f t="shared" si="508"/>
        <v>960000</v>
      </c>
      <c r="CW234" s="168">
        <f t="shared" si="508"/>
        <v>960000</v>
      </c>
      <c r="CX234" s="168">
        <f t="shared" si="508"/>
        <v>960000</v>
      </c>
      <c r="CY234" s="168">
        <f t="shared" si="508"/>
        <v>960000</v>
      </c>
      <c r="CZ234" s="168">
        <f t="shared" si="508"/>
        <v>960000</v>
      </c>
      <c r="DA234" s="168">
        <f t="shared" si="508"/>
        <v>960000</v>
      </c>
      <c r="DB234" s="168">
        <f t="shared" si="508"/>
        <v>960000</v>
      </c>
      <c r="DC234" s="168">
        <f t="shared" si="508"/>
        <v>960000</v>
      </c>
      <c r="DD234" s="168">
        <f t="shared" ref="DD234:DT234" si="509">DC237</f>
        <v>960000</v>
      </c>
      <c r="DE234" s="168">
        <f t="shared" si="509"/>
        <v>960000</v>
      </c>
      <c r="DF234" s="168">
        <f t="shared" si="509"/>
        <v>960000</v>
      </c>
      <c r="DG234" s="168">
        <f t="shared" si="509"/>
        <v>960000</v>
      </c>
      <c r="DH234" s="168">
        <f t="shared" si="509"/>
        <v>960000</v>
      </c>
      <c r="DI234" s="168">
        <f t="shared" si="509"/>
        <v>960000</v>
      </c>
      <c r="DJ234" s="168">
        <f t="shared" si="509"/>
        <v>960000</v>
      </c>
      <c r="DK234" s="168">
        <f t="shared" si="509"/>
        <v>960000</v>
      </c>
      <c r="DL234" s="168">
        <f t="shared" si="509"/>
        <v>960000</v>
      </c>
      <c r="DM234" s="168">
        <f t="shared" si="509"/>
        <v>960000</v>
      </c>
      <c r="DN234" s="168">
        <f t="shared" si="509"/>
        <v>960000</v>
      </c>
      <c r="DO234" s="168">
        <f t="shared" si="509"/>
        <v>960000</v>
      </c>
      <c r="DP234" s="168">
        <f t="shared" si="509"/>
        <v>960000</v>
      </c>
      <c r="DQ234" s="168">
        <f t="shared" si="509"/>
        <v>960000</v>
      </c>
      <c r="DR234" s="168">
        <f t="shared" si="509"/>
        <v>960000</v>
      </c>
      <c r="DS234" s="168">
        <f t="shared" si="509"/>
        <v>960000</v>
      </c>
      <c r="DT234" s="168">
        <f t="shared" si="509"/>
        <v>960000</v>
      </c>
      <c r="DU234" s="168">
        <f t="shared" ref="DU234:EQ234" si="510">DT237</f>
        <v>960000</v>
      </c>
      <c r="DV234" s="168">
        <f t="shared" si="510"/>
        <v>960000</v>
      </c>
      <c r="DW234" s="168">
        <f t="shared" si="510"/>
        <v>960000</v>
      </c>
      <c r="DX234" s="168">
        <f t="shared" si="510"/>
        <v>960000</v>
      </c>
      <c r="DY234" s="168">
        <f t="shared" si="510"/>
        <v>960000</v>
      </c>
      <c r="DZ234" s="168">
        <f t="shared" si="510"/>
        <v>960000</v>
      </c>
      <c r="EA234" s="168">
        <f t="shared" si="510"/>
        <v>960000</v>
      </c>
      <c r="EB234" s="168">
        <f t="shared" si="510"/>
        <v>960000</v>
      </c>
      <c r="EC234" s="168">
        <f t="shared" si="510"/>
        <v>0</v>
      </c>
      <c r="ED234" s="1320">
        <f t="shared" si="510"/>
        <v>0</v>
      </c>
      <c r="EE234" s="168">
        <f t="shared" si="510"/>
        <v>0</v>
      </c>
      <c r="EF234" s="168">
        <f t="shared" si="510"/>
        <v>0</v>
      </c>
      <c r="EG234" s="168">
        <f t="shared" si="510"/>
        <v>0</v>
      </c>
      <c r="EH234" s="168">
        <f t="shared" si="510"/>
        <v>0</v>
      </c>
      <c r="EI234" s="168">
        <f t="shared" si="510"/>
        <v>0</v>
      </c>
      <c r="EJ234" s="168">
        <f t="shared" si="510"/>
        <v>0</v>
      </c>
      <c r="EK234" s="168">
        <f t="shared" si="510"/>
        <v>0</v>
      </c>
      <c r="EL234" s="168">
        <f t="shared" si="510"/>
        <v>0</v>
      </c>
      <c r="EM234" s="168">
        <f t="shared" si="510"/>
        <v>0</v>
      </c>
      <c r="EN234" s="168">
        <f t="shared" si="510"/>
        <v>0</v>
      </c>
      <c r="EO234" s="168">
        <f t="shared" si="510"/>
        <v>0</v>
      </c>
      <c r="EP234" s="168">
        <f t="shared" si="510"/>
        <v>0</v>
      </c>
      <c r="EQ234" s="168">
        <f t="shared" si="510"/>
        <v>0</v>
      </c>
    </row>
    <row r="235" spans="3:147" ht="11.25" customHeight="1">
      <c r="C235" s="218"/>
      <c r="D235" s="163"/>
      <c r="E235" s="169" t="s">
        <v>218</v>
      </c>
      <c r="H235" s="146">
        <f>'A&amp;R'!M41</f>
        <v>46326</v>
      </c>
      <c r="I235" s="13">
        <f>'A&amp;R'!S90</f>
        <v>960000</v>
      </c>
      <c r="J235" s="171">
        <f>SUM(L235:EQ235)</f>
        <v>960000</v>
      </c>
      <c r="K235" s="98"/>
      <c r="L235" s="171">
        <f>$I235*(L$231=$H235)</f>
        <v>960000</v>
      </c>
      <c r="M235" s="171">
        <f t="shared" ref="M235:BX235" si="511">$I235*(M$231=$H235)</f>
        <v>0</v>
      </c>
      <c r="N235" s="171">
        <f t="shared" si="511"/>
        <v>0</v>
      </c>
      <c r="O235" s="171">
        <f t="shared" si="511"/>
        <v>0</v>
      </c>
      <c r="P235" s="171">
        <f t="shared" si="511"/>
        <v>0</v>
      </c>
      <c r="Q235" s="171">
        <f t="shared" si="511"/>
        <v>0</v>
      </c>
      <c r="R235" s="171">
        <f t="shared" si="511"/>
        <v>0</v>
      </c>
      <c r="S235" s="171">
        <f t="shared" si="511"/>
        <v>0</v>
      </c>
      <c r="T235" s="171">
        <f t="shared" si="511"/>
        <v>0</v>
      </c>
      <c r="U235" s="171">
        <f t="shared" si="511"/>
        <v>0</v>
      </c>
      <c r="V235" s="171">
        <f t="shared" si="511"/>
        <v>0</v>
      </c>
      <c r="W235" s="171">
        <f t="shared" si="511"/>
        <v>0</v>
      </c>
      <c r="X235" s="171">
        <f t="shared" si="511"/>
        <v>0</v>
      </c>
      <c r="Y235" s="171">
        <f t="shared" si="511"/>
        <v>0</v>
      </c>
      <c r="Z235" s="171">
        <f t="shared" si="511"/>
        <v>0</v>
      </c>
      <c r="AA235" s="171">
        <f t="shared" si="511"/>
        <v>0</v>
      </c>
      <c r="AB235" s="171">
        <f t="shared" si="511"/>
        <v>0</v>
      </c>
      <c r="AC235" s="171">
        <f t="shared" si="511"/>
        <v>0</v>
      </c>
      <c r="AD235" s="171">
        <f t="shared" si="511"/>
        <v>0</v>
      </c>
      <c r="AE235" s="171">
        <f t="shared" si="511"/>
        <v>0</v>
      </c>
      <c r="AF235" s="171">
        <f t="shared" si="511"/>
        <v>0</v>
      </c>
      <c r="AG235" s="171">
        <f t="shared" si="511"/>
        <v>0</v>
      </c>
      <c r="AH235" s="171">
        <f t="shared" si="511"/>
        <v>0</v>
      </c>
      <c r="AI235" s="171">
        <f t="shared" si="511"/>
        <v>0</v>
      </c>
      <c r="AJ235" s="171">
        <f t="shared" si="511"/>
        <v>0</v>
      </c>
      <c r="AK235" s="171">
        <f t="shared" si="511"/>
        <v>0</v>
      </c>
      <c r="AL235" s="171">
        <f t="shared" si="511"/>
        <v>0</v>
      </c>
      <c r="AM235" s="171">
        <f t="shared" si="511"/>
        <v>0</v>
      </c>
      <c r="AN235" s="171">
        <f t="shared" si="511"/>
        <v>0</v>
      </c>
      <c r="AO235" s="171">
        <f t="shared" si="511"/>
        <v>0</v>
      </c>
      <c r="AP235" s="171">
        <f t="shared" si="511"/>
        <v>0</v>
      </c>
      <c r="AQ235" s="171">
        <f t="shared" si="511"/>
        <v>0</v>
      </c>
      <c r="AR235" s="171">
        <f t="shared" si="511"/>
        <v>0</v>
      </c>
      <c r="AS235" s="171">
        <f t="shared" si="511"/>
        <v>0</v>
      </c>
      <c r="AT235" s="171">
        <f t="shared" si="511"/>
        <v>0</v>
      </c>
      <c r="AU235" s="171">
        <f t="shared" si="511"/>
        <v>0</v>
      </c>
      <c r="AV235" s="171">
        <f t="shared" si="511"/>
        <v>0</v>
      </c>
      <c r="AW235" s="171">
        <f t="shared" si="511"/>
        <v>0</v>
      </c>
      <c r="AX235" s="171">
        <f t="shared" si="511"/>
        <v>0</v>
      </c>
      <c r="AY235" s="171">
        <f t="shared" si="511"/>
        <v>0</v>
      </c>
      <c r="AZ235" s="171">
        <f t="shared" si="511"/>
        <v>0</v>
      </c>
      <c r="BA235" s="171">
        <f t="shared" si="511"/>
        <v>0</v>
      </c>
      <c r="BB235" s="171">
        <f t="shared" si="511"/>
        <v>0</v>
      </c>
      <c r="BC235" s="171">
        <f t="shared" si="511"/>
        <v>0</v>
      </c>
      <c r="BD235" s="171">
        <f t="shared" si="511"/>
        <v>0</v>
      </c>
      <c r="BE235" s="171">
        <f t="shared" si="511"/>
        <v>0</v>
      </c>
      <c r="BF235" s="171">
        <f t="shared" si="511"/>
        <v>0</v>
      </c>
      <c r="BG235" s="171">
        <f t="shared" si="511"/>
        <v>0</v>
      </c>
      <c r="BH235" s="171">
        <f t="shared" si="511"/>
        <v>0</v>
      </c>
      <c r="BI235" s="171">
        <f t="shared" si="511"/>
        <v>0</v>
      </c>
      <c r="BJ235" s="171">
        <f t="shared" si="511"/>
        <v>0</v>
      </c>
      <c r="BK235" s="171">
        <f t="shared" si="511"/>
        <v>0</v>
      </c>
      <c r="BL235" s="171">
        <f t="shared" si="511"/>
        <v>0</v>
      </c>
      <c r="BM235" s="171">
        <f t="shared" si="511"/>
        <v>0</v>
      </c>
      <c r="BN235" s="171">
        <f t="shared" si="511"/>
        <v>0</v>
      </c>
      <c r="BO235" s="171">
        <f t="shared" si="511"/>
        <v>0</v>
      </c>
      <c r="BP235" s="171">
        <f t="shared" si="511"/>
        <v>0</v>
      </c>
      <c r="BQ235" s="171">
        <f t="shared" si="511"/>
        <v>0</v>
      </c>
      <c r="BR235" s="171">
        <f t="shared" si="511"/>
        <v>0</v>
      </c>
      <c r="BS235" s="171">
        <f t="shared" si="511"/>
        <v>0</v>
      </c>
      <c r="BT235" s="171">
        <f t="shared" si="511"/>
        <v>0</v>
      </c>
      <c r="BU235" s="171">
        <f t="shared" si="511"/>
        <v>0</v>
      </c>
      <c r="BV235" s="171">
        <f t="shared" si="511"/>
        <v>0</v>
      </c>
      <c r="BW235" s="171">
        <f t="shared" si="511"/>
        <v>0</v>
      </c>
      <c r="BX235" s="171">
        <f t="shared" si="511"/>
        <v>0</v>
      </c>
      <c r="BY235" s="171">
        <f t="shared" ref="BY235:EJ235" si="512">$I235*(BY$231=$H235)</f>
        <v>0</v>
      </c>
      <c r="BZ235" s="171">
        <f t="shared" si="512"/>
        <v>0</v>
      </c>
      <c r="CA235" s="171">
        <f t="shared" si="512"/>
        <v>0</v>
      </c>
      <c r="CB235" s="171">
        <f t="shared" si="512"/>
        <v>0</v>
      </c>
      <c r="CC235" s="171">
        <f t="shared" si="512"/>
        <v>0</v>
      </c>
      <c r="CD235" s="171">
        <f t="shared" si="512"/>
        <v>0</v>
      </c>
      <c r="CE235" s="171">
        <f t="shared" si="512"/>
        <v>0</v>
      </c>
      <c r="CF235" s="171">
        <f t="shared" si="512"/>
        <v>0</v>
      </c>
      <c r="CG235" s="171">
        <f t="shared" si="512"/>
        <v>0</v>
      </c>
      <c r="CH235" s="171">
        <f t="shared" si="512"/>
        <v>0</v>
      </c>
      <c r="CI235" s="171">
        <f t="shared" si="512"/>
        <v>0</v>
      </c>
      <c r="CJ235" s="171">
        <f t="shared" si="512"/>
        <v>0</v>
      </c>
      <c r="CK235" s="171">
        <f t="shared" si="512"/>
        <v>0</v>
      </c>
      <c r="CL235" s="171">
        <f t="shared" si="512"/>
        <v>0</v>
      </c>
      <c r="CM235" s="171">
        <f t="shared" si="512"/>
        <v>0</v>
      </c>
      <c r="CN235" s="171">
        <f t="shared" si="512"/>
        <v>0</v>
      </c>
      <c r="CO235" s="171">
        <f t="shared" si="512"/>
        <v>0</v>
      </c>
      <c r="CP235" s="171">
        <f t="shared" si="512"/>
        <v>0</v>
      </c>
      <c r="CQ235" s="171">
        <f t="shared" si="512"/>
        <v>0</v>
      </c>
      <c r="CR235" s="171">
        <f t="shared" si="512"/>
        <v>0</v>
      </c>
      <c r="CS235" s="171">
        <f t="shared" si="512"/>
        <v>0</v>
      </c>
      <c r="CT235" s="171">
        <f t="shared" si="512"/>
        <v>0</v>
      </c>
      <c r="CU235" s="171">
        <f t="shared" si="512"/>
        <v>0</v>
      </c>
      <c r="CV235" s="171">
        <f t="shared" si="512"/>
        <v>0</v>
      </c>
      <c r="CW235" s="171">
        <f t="shared" si="512"/>
        <v>0</v>
      </c>
      <c r="CX235" s="171">
        <f t="shared" si="512"/>
        <v>0</v>
      </c>
      <c r="CY235" s="171">
        <f t="shared" si="512"/>
        <v>0</v>
      </c>
      <c r="CZ235" s="171">
        <f t="shared" si="512"/>
        <v>0</v>
      </c>
      <c r="DA235" s="171">
        <f t="shared" si="512"/>
        <v>0</v>
      </c>
      <c r="DB235" s="171">
        <f t="shared" si="512"/>
        <v>0</v>
      </c>
      <c r="DC235" s="171">
        <f t="shared" si="512"/>
        <v>0</v>
      </c>
      <c r="DD235" s="171">
        <f t="shared" si="512"/>
        <v>0</v>
      </c>
      <c r="DE235" s="171">
        <f t="shared" si="512"/>
        <v>0</v>
      </c>
      <c r="DF235" s="171">
        <f t="shared" si="512"/>
        <v>0</v>
      </c>
      <c r="DG235" s="171">
        <f t="shared" si="512"/>
        <v>0</v>
      </c>
      <c r="DH235" s="171">
        <f t="shared" si="512"/>
        <v>0</v>
      </c>
      <c r="DI235" s="171">
        <f t="shared" si="512"/>
        <v>0</v>
      </c>
      <c r="DJ235" s="171">
        <f t="shared" si="512"/>
        <v>0</v>
      </c>
      <c r="DK235" s="171">
        <f t="shared" si="512"/>
        <v>0</v>
      </c>
      <c r="DL235" s="171">
        <f t="shared" si="512"/>
        <v>0</v>
      </c>
      <c r="DM235" s="171">
        <f t="shared" si="512"/>
        <v>0</v>
      </c>
      <c r="DN235" s="171">
        <f t="shared" si="512"/>
        <v>0</v>
      </c>
      <c r="DO235" s="171">
        <f t="shared" si="512"/>
        <v>0</v>
      </c>
      <c r="DP235" s="171">
        <f t="shared" si="512"/>
        <v>0</v>
      </c>
      <c r="DQ235" s="171">
        <f t="shared" si="512"/>
        <v>0</v>
      </c>
      <c r="DR235" s="171">
        <f t="shared" si="512"/>
        <v>0</v>
      </c>
      <c r="DS235" s="171">
        <f t="shared" si="512"/>
        <v>0</v>
      </c>
      <c r="DT235" s="171">
        <f t="shared" si="512"/>
        <v>0</v>
      </c>
      <c r="DU235" s="171">
        <f t="shared" si="512"/>
        <v>0</v>
      </c>
      <c r="DV235" s="171">
        <f t="shared" si="512"/>
        <v>0</v>
      </c>
      <c r="DW235" s="171">
        <f t="shared" si="512"/>
        <v>0</v>
      </c>
      <c r="DX235" s="171">
        <f t="shared" si="512"/>
        <v>0</v>
      </c>
      <c r="DY235" s="171">
        <f t="shared" si="512"/>
        <v>0</v>
      </c>
      <c r="DZ235" s="171">
        <f t="shared" si="512"/>
        <v>0</v>
      </c>
      <c r="EA235" s="171">
        <f t="shared" si="512"/>
        <v>0</v>
      </c>
      <c r="EB235" s="171">
        <f t="shared" si="512"/>
        <v>0</v>
      </c>
      <c r="EC235" s="171">
        <f t="shared" si="512"/>
        <v>0</v>
      </c>
      <c r="ED235" s="1321">
        <f t="shared" si="512"/>
        <v>0</v>
      </c>
      <c r="EE235" s="171">
        <f t="shared" si="512"/>
        <v>0</v>
      </c>
      <c r="EF235" s="171">
        <f t="shared" si="512"/>
        <v>0</v>
      </c>
      <c r="EG235" s="171">
        <f t="shared" si="512"/>
        <v>0</v>
      </c>
      <c r="EH235" s="171">
        <f t="shared" si="512"/>
        <v>0</v>
      </c>
      <c r="EI235" s="171">
        <f t="shared" si="512"/>
        <v>0</v>
      </c>
      <c r="EJ235" s="171">
        <f t="shared" si="512"/>
        <v>0</v>
      </c>
      <c r="EK235" s="171">
        <f t="shared" ref="EK235:EQ235" si="513">$I235*(EK$231=$H235)</f>
        <v>0</v>
      </c>
      <c r="EL235" s="171">
        <f t="shared" si="513"/>
        <v>0</v>
      </c>
      <c r="EM235" s="171">
        <f t="shared" si="513"/>
        <v>0</v>
      </c>
      <c r="EN235" s="171">
        <f t="shared" si="513"/>
        <v>0</v>
      </c>
      <c r="EO235" s="171">
        <f t="shared" si="513"/>
        <v>0</v>
      </c>
      <c r="EP235" s="171">
        <f t="shared" si="513"/>
        <v>0</v>
      </c>
      <c r="EQ235" s="171">
        <f t="shared" si="513"/>
        <v>0</v>
      </c>
    </row>
    <row r="236" spans="3:147" ht="11.25" customHeight="1">
      <c r="C236" s="218"/>
      <c r="D236" s="163"/>
      <c r="E236" s="169" t="s">
        <v>219</v>
      </c>
      <c r="I236" s="134"/>
      <c r="J236" s="171">
        <f>SUM(L236:EQ236)</f>
        <v>960000</v>
      </c>
      <c r="K236" s="98"/>
      <c r="L236" s="171">
        <f>SUM(L234:L235)*Index!L$42</f>
        <v>0</v>
      </c>
      <c r="M236" s="171">
        <f>SUM(M234:M235)*Index!M$42</f>
        <v>0</v>
      </c>
      <c r="N236" s="171">
        <f>SUM(N234:N235)*Index!N$42</f>
        <v>0</v>
      </c>
      <c r="O236" s="171">
        <f>SUM(O234:O235)*Index!O$42</f>
        <v>0</v>
      </c>
      <c r="P236" s="171">
        <f>SUM(P234:P235)*Index!P$42</f>
        <v>0</v>
      </c>
      <c r="Q236" s="171">
        <f>SUM(Q234:Q235)*Index!Q$42</f>
        <v>0</v>
      </c>
      <c r="R236" s="171">
        <f>SUM(R234:R235)*Index!R$42</f>
        <v>0</v>
      </c>
      <c r="S236" s="171">
        <f>SUM(S234:S235)*Index!S$42</f>
        <v>0</v>
      </c>
      <c r="T236" s="171">
        <f>SUM(T234:T235)*Index!T$42</f>
        <v>0</v>
      </c>
      <c r="U236" s="171">
        <f>SUM(U234:U235)*Index!U$42</f>
        <v>0</v>
      </c>
      <c r="V236" s="171">
        <f>SUM(V234:V235)*Index!V$42</f>
        <v>0</v>
      </c>
      <c r="W236" s="171">
        <f>SUM(W234:W235)*Index!W$42</f>
        <v>0</v>
      </c>
      <c r="X236" s="171">
        <f>SUM(X234:X235)*Index!X$42</f>
        <v>0</v>
      </c>
      <c r="Y236" s="171">
        <f>SUM(Y234:Y235)*Index!Y$42</f>
        <v>0</v>
      </c>
      <c r="Z236" s="171">
        <f>SUM(Z234:Z235)*Index!Z$42</f>
        <v>0</v>
      </c>
      <c r="AA236" s="171">
        <f>SUM(AA234:AA235)*Index!AA$42</f>
        <v>0</v>
      </c>
      <c r="AB236" s="171">
        <f>SUM(AB234:AB235)*Index!AB$42</f>
        <v>0</v>
      </c>
      <c r="AC236" s="171">
        <f>SUM(AC234:AC235)*Index!AC$42</f>
        <v>0</v>
      </c>
      <c r="AD236" s="171">
        <f>SUM(AD234:AD235)*Index!AD$42</f>
        <v>0</v>
      </c>
      <c r="AE236" s="171">
        <f>SUM(AE234:AE235)*Index!AE$42</f>
        <v>0</v>
      </c>
      <c r="AF236" s="171">
        <f>SUM(AF234:AF235)*Index!AF$42</f>
        <v>0</v>
      </c>
      <c r="AG236" s="171">
        <f>SUM(AG234:AG235)*Index!AG$42</f>
        <v>0</v>
      </c>
      <c r="AH236" s="171">
        <f>SUM(AH234:AH235)*Index!AH$42</f>
        <v>0</v>
      </c>
      <c r="AI236" s="171">
        <f>SUM(AI234:AI235)*Index!AI$42</f>
        <v>0</v>
      </c>
      <c r="AJ236" s="171">
        <f>SUM(AJ234:AJ235)*Index!AJ$42</f>
        <v>0</v>
      </c>
      <c r="AK236" s="171">
        <f>SUM(AK234:AK235)*Index!AK$42</f>
        <v>0</v>
      </c>
      <c r="AL236" s="171">
        <f>SUM(AL234:AL235)*Index!AL$42</f>
        <v>0</v>
      </c>
      <c r="AM236" s="171">
        <f>SUM(AM234:AM235)*Index!AM$42</f>
        <v>0</v>
      </c>
      <c r="AN236" s="171">
        <f>SUM(AN234:AN235)*Index!AN$42</f>
        <v>0</v>
      </c>
      <c r="AO236" s="171">
        <f>SUM(AO234:AO235)*Index!AO$42</f>
        <v>0</v>
      </c>
      <c r="AP236" s="171">
        <f>SUM(AP234:AP235)*Index!AP$42</f>
        <v>0</v>
      </c>
      <c r="AQ236" s="171">
        <f>SUM(AQ234:AQ235)*Index!AQ$42</f>
        <v>0</v>
      </c>
      <c r="AR236" s="171">
        <f>SUM(AR234:AR235)*Index!AR$42</f>
        <v>0</v>
      </c>
      <c r="AS236" s="171">
        <f>SUM(AS234:AS235)*Index!AS$42</f>
        <v>0</v>
      </c>
      <c r="AT236" s="171">
        <f>SUM(AT234:AT235)*Index!AT$42</f>
        <v>0</v>
      </c>
      <c r="AU236" s="171">
        <f>SUM(AU234:AU235)*Index!AU$42</f>
        <v>0</v>
      </c>
      <c r="AV236" s="171">
        <f>SUM(AV234:AV235)*Index!AV$42</f>
        <v>0</v>
      </c>
      <c r="AW236" s="171">
        <f>SUM(AW234:AW235)*Index!AW$42</f>
        <v>0</v>
      </c>
      <c r="AX236" s="171">
        <f>SUM(AX234:AX235)*Index!AX$42</f>
        <v>0</v>
      </c>
      <c r="AY236" s="171">
        <f>SUM(AY234:AY235)*Index!AY$42</f>
        <v>0</v>
      </c>
      <c r="AZ236" s="171">
        <f>SUM(AZ234:AZ235)*Index!AZ$42</f>
        <v>0</v>
      </c>
      <c r="BA236" s="171">
        <f>SUM(BA234:BA235)*Index!BA$42</f>
        <v>0</v>
      </c>
      <c r="BB236" s="171">
        <f>SUM(BB234:BB235)*Index!BB$42</f>
        <v>0</v>
      </c>
      <c r="BC236" s="171">
        <f>SUM(BC234:BC235)*Index!BC$42</f>
        <v>0</v>
      </c>
      <c r="BD236" s="171">
        <f>SUM(BD234:BD235)*Index!BD$42</f>
        <v>0</v>
      </c>
      <c r="BE236" s="171">
        <f>SUM(BE234:BE235)*Index!BE$42</f>
        <v>0</v>
      </c>
      <c r="BF236" s="171">
        <f>SUM(BF234:BF235)*Index!BF$42</f>
        <v>0</v>
      </c>
      <c r="BG236" s="171">
        <f>SUM(BG234:BG235)*Index!BG$42</f>
        <v>0</v>
      </c>
      <c r="BH236" s="171">
        <f>SUM(BH234:BH235)*Index!BH$42</f>
        <v>0</v>
      </c>
      <c r="BI236" s="171">
        <f>SUM(BI234:BI235)*Index!BI$42</f>
        <v>0</v>
      </c>
      <c r="BJ236" s="171">
        <f>SUM(BJ234:BJ235)*Index!BJ$42</f>
        <v>0</v>
      </c>
      <c r="BK236" s="171">
        <f>SUM(BK234:BK235)*Index!BK$42</f>
        <v>0</v>
      </c>
      <c r="BL236" s="171">
        <f>SUM(BL234:BL235)*Index!BL$42</f>
        <v>0</v>
      </c>
      <c r="BM236" s="171">
        <f>SUM(BM234:BM235)*Index!BM$42</f>
        <v>0</v>
      </c>
      <c r="BN236" s="171">
        <f>SUM(BN234:BN235)*Index!BN$42</f>
        <v>0</v>
      </c>
      <c r="BO236" s="171">
        <f>SUM(BO234:BO235)*Index!BO$42</f>
        <v>0</v>
      </c>
      <c r="BP236" s="171">
        <f>SUM(BP234:BP235)*Index!BP$42</f>
        <v>0</v>
      </c>
      <c r="BQ236" s="171">
        <f>SUM(BQ234:BQ235)*Index!BQ$42</f>
        <v>0</v>
      </c>
      <c r="BR236" s="171">
        <f>SUM(BR234:BR235)*Index!BR$42</f>
        <v>0</v>
      </c>
      <c r="BS236" s="171">
        <f>SUM(BS234:BS235)*Index!BS$42</f>
        <v>0</v>
      </c>
      <c r="BT236" s="171">
        <f>SUM(BT234:BT235)*Index!BT$42</f>
        <v>0</v>
      </c>
      <c r="BU236" s="171">
        <f>SUM(BU234:BU235)*Index!BU$42</f>
        <v>0</v>
      </c>
      <c r="BV236" s="171">
        <f>SUM(BV234:BV235)*Index!BV$42</f>
        <v>0</v>
      </c>
      <c r="BW236" s="171">
        <f>SUM(BW234:BW235)*Index!BW$42</f>
        <v>0</v>
      </c>
      <c r="BX236" s="171">
        <f>SUM(BX234:BX235)*Index!BX$42</f>
        <v>0</v>
      </c>
      <c r="BY236" s="171">
        <f>SUM(BY234:BY235)*Index!BY$42</f>
        <v>0</v>
      </c>
      <c r="BZ236" s="171">
        <f>SUM(BZ234:BZ235)*Index!BZ$42</f>
        <v>0</v>
      </c>
      <c r="CA236" s="171">
        <f>SUM(CA234:CA235)*Index!CA$42</f>
        <v>0</v>
      </c>
      <c r="CB236" s="171">
        <f>SUM(CB234:CB235)*Index!CB$42</f>
        <v>0</v>
      </c>
      <c r="CC236" s="171">
        <f>SUM(CC234:CC235)*Index!CC$42</f>
        <v>0</v>
      </c>
      <c r="CD236" s="171">
        <f>SUM(CD234:CD235)*Index!CD$42</f>
        <v>0</v>
      </c>
      <c r="CE236" s="171">
        <f>SUM(CE234:CE235)*Index!CE$42</f>
        <v>0</v>
      </c>
      <c r="CF236" s="171">
        <f>SUM(CF234:CF235)*Index!CF$42</f>
        <v>0</v>
      </c>
      <c r="CG236" s="171">
        <f>SUM(CG234:CG235)*Index!CG$42</f>
        <v>0</v>
      </c>
      <c r="CH236" s="171">
        <f>SUM(CH234:CH235)*Index!CH$42</f>
        <v>0</v>
      </c>
      <c r="CI236" s="171">
        <f>SUM(CI234:CI235)*Index!CI$42</f>
        <v>0</v>
      </c>
      <c r="CJ236" s="171">
        <f>SUM(CJ234:CJ235)*Index!CJ$42</f>
        <v>0</v>
      </c>
      <c r="CK236" s="171">
        <f>SUM(CK234:CK235)*Index!CK$42</f>
        <v>0</v>
      </c>
      <c r="CL236" s="171">
        <f>SUM(CL234:CL235)*Index!CL$42</f>
        <v>0</v>
      </c>
      <c r="CM236" s="171">
        <f>SUM(CM234:CM235)*Index!CM$42</f>
        <v>0</v>
      </c>
      <c r="CN236" s="171">
        <f>SUM(CN234:CN235)*Index!CN$42</f>
        <v>0</v>
      </c>
      <c r="CO236" s="171">
        <f>SUM(CO234:CO235)*Index!CO$42</f>
        <v>0</v>
      </c>
      <c r="CP236" s="171">
        <f>SUM(CP234:CP235)*Index!CP$42</f>
        <v>0</v>
      </c>
      <c r="CQ236" s="171">
        <f>SUM(CQ234:CQ235)*Index!CQ$42</f>
        <v>0</v>
      </c>
      <c r="CR236" s="171">
        <f>SUM(CR234:CR235)*Index!CR$42</f>
        <v>0</v>
      </c>
      <c r="CS236" s="171">
        <f>SUM(CS234:CS235)*Index!CS$42</f>
        <v>0</v>
      </c>
      <c r="CT236" s="171">
        <f>SUM(CT234:CT235)*Index!CT$42</f>
        <v>0</v>
      </c>
      <c r="CU236" s="171">
        <f>SUM(CU234:CU235)*Index!CU$42</f>
        <v>0</v>
      </c>
      <c r="CV236" s="171">
        <f>SUM(CV234:CV235)*Index!CV$42</f>
        <v>0</v>
      </c>
      <c r="CW236" s="171">
        <f>SUM(CW234:CW235)*Index!CW$42</f>
        <v>0</v>
      </c>
      <c r="CX236" s="171">
        <f>SUM(CX234:CX235)*Index!CX$42</f>
        <v>0</v>
      </c>
      <c r="CY236" s="171">
        <f>SUM(CY234:CY235)*Index!CY$42</f>
        <v>0</v>
      </c>
      <c r="CZ236" s="171">
        <f>SUM(CZ234:CZ235)*Index!CZ$42</f>
        <v>0</v>
      </c>
      <c r="DA236" s="171">
        <f>SUM(DA234:DA235)*Index!DA$42</f>
        <v>0</v>
      </c>
      <c r="DB236" s="171">
        <f>SUM(DB234:DB235)*Index!DB$42</f>
        <v>0</v>
      </c>
      <c r="DC236" s="171">
        <f>SUM(DC234:DC235)*Index!DC$42</f>
        <v>0</v>
      </c>
      <c r="DD236" s="171">
        <f>SUM(DD234:DD235)*Index!DD$42</f>
        <v>0</v>
      </c>
      <c r="DE236" s="171">
        <f>SUM(DE234:DE235)*Index!DE$42</f>
        <v>0</v>
      </c>
      <c r="DF236" s="171">
        <f>SUM(DF234:DF235)*Index!DF$42</f>
        <v>0</v>
      </c>
      <c r="DG236" s="171">
        <f>SUM(DG234:DG235)*Index!DG$42</f>
        <v>0</v>
      </c>
      <c r="DH236" s="171">
        <f>SUM(DH234:DH235)*Index!DH$42</f>
        <v>0</v>
      </c>
      <c r="DI236" s="171">
        <f>SUM(DI234:DI235)*Index!DI$42</f>
        <v>0</v>
      </c>
      <c r="DJ236" s="171">
        <f>SUM(DJ234:DJ235)*Index!DJ$42</f>
        <v>0</v>
      </c>
      <c r="DK236" s="171">
        <f>SUM(DK234:DK235)*Index!DK$42</f>
        <v>0</v>
      </c>
      <c r="DL236" s="171">
        <f>SUM(DL234:DL235)*Index!DL$42</f>
        <v>0</v>
      </c>
      <c r="DM236" s="171">
        <f>SUM(DM234:DM235)*Index!DM$42</f>
        <v>0</v>
      </c>
      <c r="DN236" s="171">
        <f>SUM(DN234:DN235)*Index!DN$42</f>
        <v>0</v>
      </c>
      <c r="DO236" s="171">
        <f>SUM(DO234:DO235)*Index!DO$42</f>
        <v>0</v>
      </c>
      <c r="DP236" s="171">
        <f>SUM(DP234:DP235)*Index!DP$42</f>
        <v>0</v>
      </c>
      <c r="DQ236" s="171">
        <f>SUM(DQ234:DQ235)*Index!DQ$42</f>
        <v>0</v>
      </c>
      <c r="DR236" s="171">
        <f>SUM(DR234:DR235)*Index!DR$42</f>
        <v>0</v>
      </c>
      <c r="DS236" s="171">
        <f>SUM(DS234:DS235)*Index!DS$42</f>
        <v>0</v>
      </c>
      <c r="DT236" s="171">
        <f>SUM(DT234:DT235)*Index!DT$42</f>
        <v>0</v>
      </c>
      <c r="DU236" s="171">
        <f>SUM(DU234:DU235)*Index!DU$42</f>
        <v>0</v>
      </c>
      <c r="DV236" s="171">
        <f>SUM(DV234:DV235)*Index!DV$42</f>
        <v>0</v>
      </c>
      <c r="DW236" s="171">
        <f>SUM(DW234:DW235)*Index!DW$42</f>
        <v>0</v>
      </c>
      <c r="DX236" s="171">
        <f>SUM(DX234:DX235)*Index!DX$42</f>
        <v>0</v>
      </c>
      <c r="DY236" s="171">
        <f>SUM(DY234:DY235)*Index!DY$42</f>
        <v>0</v>
      </c>
      <c r="DZ236" s="171">
        <f>SUM(DZ234:DZ235)*Index!DZ$42</f>
        <v>0</v>
      </c>
      <c r="EA236" s="171">
        <f>SUM(EA234:EA235)*Index!EA$42</f>
        <v>0</v>
      </c>
      <c r="EB236" s="171">
        <f>SUM(EB234:EB235)*Index!EB$42</f>
        <v>960000</v>
      </c>
      <c r="EC236" s="171">
        <f>SUM(EC234:EC235)*Index!EC$42</f>
        <v>0</v>
      </c>
      <c r="ED236" s="1321">
        <f>SUM(ED234:ED235)*Index!ED$42</f>
        <v>0</v>
      </c>
      <c r="EE236" s="171">
        <f>SUM(EE234:EE235)*Index!EE$42</f>
        <v>0</v>
      </c>
      <c r="EF236" s="171">
        <f>SUM(EF234:EF235)*Index!EF$42</f>
        <v>0</v>
      </c>
      <c r="EG236" s="171">
        <f>SUM(EG234:EG235)*Index!EG$42</f>
        <v>0</v>
      </c>
      <c r="EH236" s="171">
        <f>SUM(EH234:EH235)*Index!EH$42</f>
        <v>0</v>
      </c>
      <c r="EI236" s="171">
        <f>SUM(EI234:EI235)*Index!EI$42</f>
        <v>0</v>
      </c>
      <c r="EJ236" s="171">
        <f>SUM(EJ234:EJ235)*Index!EJ$42</f>
        <v>0</v>
      </c>
      <c r="EK236" s="171">
        <f>SUM(EK234:EK235)*Index!EK$42</f>
        <v>0</v>
      </c>
      <c r="EL236" s="171">
        <f>SUM(EL234:EL235)*Index!EL$42</f>
        <v>0</v>
      </c>
      <c r="EM236" s="171">
        <f>SUM(EM234:EM235)*Index!EM$42</f>
        <v>0</v>
      </c>
      <c r="EN236" s="171">
        <f>SUM(EN234:EN235)*Index!EN$42</f>
        <v>0</v>
      </c>
      <c r="EO236" s="171">
        <f>SUM(EO234:EO235)*Index!EO$42</f>
        <v>0</v>
      </c>
      <c r="EP236" s="171">
        <f>SUM(EP234:EP235)*Index!EP$42</f>
        <v>0</v>
      </c>
      <c r="EQ236" s="171">
        <f>SUM(EQ234:EQ235)*Index!EQ$42</f>
        <v>0</v>
      </c>
    </row>
    <row r="237" spans="3:147" ht="11.25" customHeight="1">
      <c r="C237" s="244"/>
      <c r="D237" s="178"/>
      <c r="E237" s="179" t="s">
        <v>220</v>
      </c>
      <c r="F237" s="180"/>
      <c r="G237" s="180"/>
      <c r="H237" s="182"/>
      <c r="I237" s="245"/>
      <c r="J237" s="184"/>
      <c r="K237" s="98"/>
      <c r="L237" s="184">
        <f t="shared" ref="L237:AQ237" si="514">L234+L235-L236</f>
        <v>960000</v>
      </c>
      <c r="M237" s="184">
        <f t="shared" si="514"/>
        <v>960000</v>
      </c>
      <c r="N237" s="184">
        <f t="shared" si="514"/>
        <v>960000</v>
      </c>
      <c r="O237" s="184">
        <f t="shared" si="514"/>
        <v>960000</v>
      </c>
      <c r="P237" s="184">
        <f t="shared" si="514"/>
        <v>960000</v>
      </c>
      <c r="Q237" s="184">
        <f t="shared" si="514"/>
        <v>960000</v>
      </c>
      <c r="R237" s="184">
        <f t="shared" si="514"/>
        <v>960000</v>
      </c>
      <c r="S237" s="184">
        <f t="shared" si="514"/>
        <v>960000</v>
      </c>
      <c r="T237" s="184">
        <f t="shared" si="514"/>
        <v>960000</v>
      </c>
      <c r="U237" s="184">
        <f t="shared" si="514"/>
        <v>960000</v>
      </c>
      <c r="V237" s="184">
        <f t="shared" si="514"/>
        <v>960000</v>
      </c>
      <c r="W237" s="184">
        <f t="shared" si="514"/>
        <v>960000</v>
      </c>
      <c r="X237" s="184">
        <f t="shared" si="514"/>
        <v>960000</v>
      </c>
      <c r="Y237" s="184">
        <f t="shared" si="514"/>
        <v>960000</v>
      </c>
      <c r="Z237" s="184">
        <f t="shared" si="514"/>
        <v>960000</v>
      </c>
      <c r="AA237" s="184">
        <f t="shared" si="514"/>
        <v>960000</v>
      </c>
      <c r="AB237" s="184">
        <f t="shared" si="514"/>
        <v>960000</v>
      </c>
      <c r="AC237" s="184">
        <f t="shared" si="514"/>
        <v>960000</v>
      </c>
      <c r="AD237" s="184">
        <f t="shared" si="514"/>
        <v>960000</v>
      </c>
      <c r="AE237" s="184">
        <f t="shared" si="514"/>
        <v>960000</v>
      </c>
      <c r="AF237" s="184">
        <f t="shared" si="514"/>
        <v>960000</v>
      </c>
      <c r="AG237" s="184">
        <f t="shared" si="514"/>
        <v>960000</v>
      </c>
      <c r="AH237" s="184">
        <f t="shared" si="514"/>
        <v>960000</v>
      </c>
      <c r="AI237" s="184">
        <f t="shared" si="514"/>
        <v>960000</v>
      </c>
      <c r="AJ237" s="184">
        <f t="shared" si="514"/>
        <v>960000</v>
      </c>
      <c r="AK237" s="184">
        <f t="shared" si="514"/>
        <v>960000</v>
      </c>
      <c r="AL237" s="184">
        <f t="shared" si="514"/>
        <v>960000</v>
      </c>
      <c r="AM237" s="184">
        <f t="shared" si="514"/>
        <v>960000</v>
      </c>
      <c r="AN237" s="184">
        <f t="shared" si="514"/>
        <v>960000</v>
      </c>
      <c r="AO237" s="184">
        <f t="shared" si="514"/>
        <v>960000</v>
      </c>
      <c r="AP237" s="184">
        <f t="shared" si="514"/>
        <v>960000</v>
      </c>
      <c r="AQ237" s="184">
        <f t="shared" si="514"/>
        <v>960000</v>
      </c>
      <c r="AR237" s="184">
        <f t="shared" ref="AR237:BW237" si="515">AR234+AR235-AR236</f>
        <v>960000</v>
      </c>
      <c r="AS237" s="184">
        <f t="shared" si="515"/>
        <v>960000</v>
      </c>
      <c r="AT237" s="184">
        <f t="shared" si="515"/>
        <v>960000</v>
      </c>
      <c r="AU237" s="184">
        <f t="shared" si="515"/>
        <v>960000</v>
      </c>
      <c r="AV237" s="184">
        <f t="shared" si="515"/>
        <v>960000</v>
      </c>
      <c r="AW237" s="184">
        <f t="shared" si="515"/>
        <v>960000</v>
      </c>
      <c r="AX237" s="184">
        <f t="shared" si="515"/>
        <v>960000</v>
      </c>
      <c r="AY237" s="184">
        <f t="shared" si="515"/>
        <v>960000</v>
      </c>
      <c r="AZ237" s="184">
        <f t="shared" si="515"/>
        <v>960000</v>
      </c>
      <c r="BA237" s="184">
        <f t="shared" si="515"/>
        <v>960000</v>
      </c>
      <c r="BB237" s="184">
        <f t="shared" si="515"/>
        <v>960000</v>
      </c>
      <c r="BC237" s="184">
        <f t="shared" si="515"/>
        <v>960000</v>
      </c>
      <c r="BD237" s="184">
        <f t="shared" si="515"/>
        <v>960000</v>
      </c>
      <c r="BE237" s="184">
        <f t="shared" si="515"/>
        <v>960000</v>
      </c>
      <c r="BF237" s="184">
        <f t="shared" si="515"/>
        <v>960000</v>
      </c>
      <c r="BG237" s="184">
        <f t="shared" si="515"/>
        <v>960000</v>
      </c>
      <c r="BH237" s="184">
        <f t="shared" si="515"/>
        <v>960000</v>
      </c>
      <c r="BI237" s="184">
        <f t="shared" si="515"/>
        <v>960000</v>
      </c>
      <c r="BJ237" s="184">
        <f t="shared" si="515"/>
        <v>960000</v>
      </c>
      <c r="BK237" s="184">
        <f t="shared" si="515"/>
        <v>960000</v>
      </c>
      <c r="BL237" s="184">
        <f t="shared" si="515"/>
        <v>960000</v>
      </c>
      <c r="BM237" s="184">
        <f t="shared" si="515"/>
        <v>960000</v>
      </c>
      <c r="BN237" s="184">
        <f t="shared" si="515"/>
        <v>960000</v>
      </c>
      <c r="BO237" s="184">
        <f t="shared" si="515"/>
        <v>960000</v>
      </c>
      <c r="BP237" s="184">
        <f t="shared" si="515"/>
        <v>960000</v>
      </c>
      <c r="BQ237" s="184">
        <f t="shared" si="515"/>
        <v>960000</v>
      </c>
      <c r="BR237" s="184">
        <f t="shared" si="515"/>
        <v>960000</v>
      </c>
      <c r="BS237" s="184">
        <f t="shared" si="515"/>
        <v>960000</v>
      </c>
      <c r="BT237" s="184">
        <f t="shared" si="515"/>
        <v>960000</v>
      </c>
      <c r="BU237" s="184">
        <f t="shared" si="515"/>
        <v>960000</v>
      </c>
      <c r="BV237" s="184">
        <f t="shared" si="515"/>
        <v>960000</v>
      </c>
      <c r="BW237" s="184">
        <f t="shared" si="515"/>
        <v>960000</v>
      </c>
      <c r="BX237" s="184">
        <f t="shared" ref="BX237:DC237" si="516">BX234+BX235-BX236</f>
        <v>960000</v>
      </c>
      <c r="BY237" s="184">
        <f t="shared" si="516"/>
        <v>960000</v>
      </c>
      <c r="BZ237" s="184">
        <f t="shared" si="516"/>
        <v>960000</v>
      </c>
      <c r="CA237" s="184">
        <f t="shared" si="516"/>
        <v>960000</v>
      </c>
      <c r="CB237" s="184">
        <f t="shared" si="516"/>
        <v>960000</v>
      </c>
      <c r="CC237" s="184">
        <f t="shared" si="516"/>
        <v>960000</v>
      </c>
      <c r="CD237" s="184">
        <f t="shared" si="516"/>
        <v>960000</v>
      </c>
      <c r="CE237" s="184">
        <f t="shared" si="516"/>
        <v>960000</v>
      </c>
      <c r="CF237" s="184">
        <f t="shared" si="516"/>
        <v>960000</v>
      </c>
      <c r="CG237" s="184">
        <f t="shared" si="516"/>
        <v>960000</v>
      </c>
      <c r="CH237" s="184">
        <f t="shared" si="516"/>
        <v>960000</v>
      </c>
      <c r="CI237" s="184">
        <f t="shared" si="516"/>
        <v>960000</v>
      </c>
      <c r="CJ237" s="184">
        <f t="shared" si="516"/>
        <v>960000</v>
      </c>
      <c r="CK237" s="184">
        <f t="shared" si="516"/>
        <v>960000</v>
      </c>
      <c r="CL237" s="184">
        <f t="shared" si="516"/>
        <v>960000</v>
      </c>
      <c r="CM237" s="184">
        <f t="shared" si="516"/>
        <v>960000</v>
      </c>
      <c r="CN237" s="184">
        <f t="shared" si="516"/>
        <v>960000</v>
      </c>
      <c r="CO237" s="184">
        <f t="shared" si="516"/>
        <v>960000</v>
      </c>
      <c r="CP237" s="184">
        <f t="shared" si="516"/>
        <v>960000</v>
      </c>
      <c r="CQ237" s="184">
        <f t="shared" si="516"/>
        <v>960000</v>
      </c>
      <c r="CR237" s="184">
        <f t="shared" si="516"/>
        <v>960000</v>
      </c>
      <c r="CS237" s="184">
        <f t="shared" si="516"/>
        <v>960000</v>
      </c>
      <c r="CT237" s="184">
        <f t="shared" si="516"/>
        <v>960000</v>
      </c>
      <c r="CU237" s="184">
        <f t="shared" si="516"/>
        <v>960000</v>
      </c>
      <c r="CV237" s="184">
        <f t="shared" si="516"/>
        <v>960000</v>
      </c>
      <c r="CW237" s="184">
        <f t="shared" si="516"/>
        <v>960000</v>
      </c>
      <c r="CX237" s="184">
        <f t="shared" si="516"/>
        <v>960000</v>
      </c>
      <c r="CY237" s="184">
        <f t="shared" si="516"/>
        <v>960000</v>
      </c>
      <c r="CZ237" s="184">
        <f t="shared" si="516"/>
        <v>960000</v>
      </c>
      <c r="DA237" s="184">
        <f t="shared" si="516"/>
        <v>960000</v>
      </c>
      <c r="DB237" s="184">
        <f t="shared" si="516"/>
        <v>960000</v>
      </c>
      <c r="DC237" s="184">
        <f t="shared" si="516"/>
        <v>960000</v>
      </c>
      <c r="DD237" s="184">
        <f t="shared" ref="DD237:DT237" si="517">DD234+DD235-DD236</f>
        <v>960000</v>
      </c>
      <c r="DE237" s="184">
        <f t="shared" si="517"/>
        <v>960000</v>
      </c>
      <c r="DF237" s="184">
        <f t="shared" si="517"/>
        <v>960000</v>
      </c>
      <c r="DG237" s="184">
        <f t="shared" si="517"/>
        <v>960000</v>
      </c>
      <c r="DH237" s="184">
        <f t="shared" si="517"/>
        <v>960000</v>
      </c>
      <c r="DI237" s="184">
        <f t="shared" si="517"/>
        <v>960000</v>
      </c>
      <c r="DJ237" s="184">
        <f t="shared" si="517"/>
        <v>960000</v>
      </c>
      <c r="DK237" s="184">
        <f t="shared" si="517"/>
        <v>960000</v>
      </c>
      <c r="DL237" s="184">
        <f t="shared" si="517"/>
        <v>960000</v>
      </c>
      <c r="DM237" s="184">
        <f t="shared" si="517"/>
        <v>960000</v>
      </c>
      <c r="DN237" s="184">
        <f t="shared" si="517"/>
        <v>960000</v>
      </c>
      <c r="DO237" s="184">
        <f t="shared" si="517"/>
        <v>960000</v>
      </c>
      <c r="DP237" s="184">
        <f t="shared" si="517"/>
        <v>960000</v>
      </c>
      <c r="DQ237" s="184">
        <f t="shared" si="517"/>
        <v>960000</v>
      </c>
      <c r="DR237" s="184">
        <f t="shared" si="517"/>
        <v>960000</v>
      </c>
      <c r="DS237" s="184">
        <f t="shared" si="517"/>
        <v>960000</v>
      </c>
      <c r="DT237" s="184">
        <f t="shared" si="517"/>
        <v>960000</v>
      </c>
      <c r="DU237" s="184">
        <f t="shared" ref="DU237:EA237" si="518">DU234+DU235-DU236</f>
        <v>960000</v>
      </c>
      <c r="DV237" s="184">
        <f t="shared" si="518"/>
        <v>960000</v>
      </c>
      <c r="DW237" s="184">
        <f t="shared" si="518"/>
        <v>960000</v>
      </c>
      <c r="DX237" s="184">
        <f t="shared" si="518"/>
        <v>960000</v>
      </c>
      <c r="DY237" s="184">
        <f t="shared" si="518"/>
        <v>960000</v>
      </c>
      <c r="DZ237" s="184">
        <f t="shared" si="518"/>
        <v>960000</v>
      </c>
      <c r="EA237" s="184">
        <f t="shared" si="518"/>
        <v>960000</v>
      </c>
      <c r="EB237" s="184">
        <f t="shared" ref="EB237:EQ237" si="519">EB234+EB235-EB236</f>
        <v>0</v>
      </c>
      <c r="EC237" s="184">
        <f t="shared" si="519"/>
        <v>0</v>
      </c>
      <c r="ED237" s="1324">
        <f t="shared" si="519"/>
        <v>0</v>
      </c>
      <c r="EE237" s="184">
        <f t="shared" si="519"/>
        <v>0</v>
      </c>
      <c r="EF237" s="184">
        <f t="shared" si="519"/>
        <v>0</v>
      </c>
      <c r="EG237" s="184">
        <f t="shared" si="519"/>
        <v>0</v>
      </c>
      <c r="EH237" s="184">
        <f t="shared" si="519"/>
        <v>0</v>
      </c>
      <c r="EI237" s="184">
        <f t="shared" si="519"/>
        <v>0</v>
      </c>
      <c r="EJ237" s="184">
        <f t="shared" si="519"/>
        <v>0</v>
      </c>
      <c r="EK237" s="184">
        <f t="shared" si="519"/>
        <v>0</v>
      </c>
      <c r="EL237" s="184">
        <f t="shared" si="519"/>
        <v>0</v>
      </c>
      <c r="EM237" s="184">
        <f t="shared" si="519"/>
        <v>0</v>
      </c>
      <c r="EN237" s="184">
        <f t="shared" si="519"/>
        <v>0</v>
      </c>
      <c r="EO237" s="184">
        <f t="shared" si="519"/>
        <v>0</v>
      </c>
      <c r="EP237" s="184">
        <f t="shared" si="519"/>
        <v>0</v>
      </c>
      <c r="EQ237" s="184">
        <f t="shared" si="519"/>
        <v>0</v>
      </c>
    </row>
    <row r="238" spans="3:147" ht="11.25" customHeight="1">
      <c r="C238" s="218"/>
      <c r="D238" s="158" t="s">
        <v>1089</v>
      </c>
      <c r="E238" s="159"/>
      <c r="F238" s="159"/>
      <c r="G238" s="159"/>
      <c r="H238" s="160"/>
      <c r="I238" s="219"/>
      <c r="J238" s="220"/>
      <c r="K238" s="98"/>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162"/>
      <c r="AK238" s="162"/>
      <c r="AL238" s="162"/>
      <c r="AM238" s="162"/>
      <c r="AN238" s="162"/>
      <c r="AO238" s="162"/>
      <c r="AP238" s="162"/>
      <c r="AQ238" s="162"/>
      <c r="AR238" s="162"/>
      <c r="AS238" s="162"/>
      <c r="AT238" s="162"/>
      <c r="AU238" s="162"/>
      <c r="AV238" s="162"/>
      <c r="AW238" s="162"/>
      <c r="AX238" s="162"/>
      <c r="AY238" s="162"/>
      <c r="AZ238" s="162"/>
      <c r="BA238" s="162"/>
      <c r="BB238" s="162"/>
      <c r="BC238" s="162"/>
      <c r="BD238" s="162"/>
      <c r="BE238" s="162"/>
      <c r="BF238" s="162"/>
      <c r="BG238" s="162"/>
      <c r="BH238" s="162"/>
      <c r="BI238" s="162"/>
      <c r="BJ238" s="162"/>
      <c r="BK238" s="162"/>
      <c r="BL238" s="162"/>
      <c r="BM238" s="162"/>
      <c r="BN238" s="162"/>
      <c r="BO238" s="162"/>
      <c r="BP238" s="162"/>
      <c r="BQ238" s="162"/>
      <c r="BR238" s="162"/>
      <c r="BS238" s="162"/>
      <c r="BT238" s="162"/>
      <c r="BU238" s="162"/>
      <c r="BV238" s="162"/>
      <c r="BW238" s="162"/>
      <c r="BX238" s="162"/>
      <c r="BY238" s="162"/>
      <c r="BZ238" s="162"/>
      <c r="CA238" s="162"/>
      <c r="CB238" s="162"/>
      <c r="CC238" s="162"/>
      <c r="CD238" s="162"/>
      <c r="CE238" s="162"/>
      <c r="CF238" s="162"/>
      <c r="CG238" s="162"/>
      <c r="CH238" s="162"/>
      <c r="CI238" s="162"/>
      <c r="CJ238" s="162"/>
      <c r="CK238" s="162"/>
      <c r="CL238" s="162"/>
      <c r="CM238" s="162"/>
      <c r="CN238" s="162"/>
      <c r="CO238" s="162"/>
      <c r="CP238" s="162"/>
      <c r="CQ238" s="162"/>
      <c r="CR238" s="162"/>
      <c r="CS238" s="162"/>
      <c r="CT238" s="162"/>
      <c r="CU238" s="162"/>
      <c r="CV238" s="162"/>
      <c r="CW238" s="162"/>
      <c r="CX238" s="162"/>
      <c r="CY238" s="162"/>
      <c r="CZ238" s="162"/>
      <c r="DA238" s="162"/>
      <c r="DB238" s="162"/>
      <c r="DC238" s="162"/>
      <c r="DD238" s="162"/>
      <c r="DE238" s="162"/>
      <c r="DF238" s="162"/>
      <c r="DG238" s="162"/>
      <c r="DH238" s="162"/>
      <c r="DI238" s="162"/>
      <c r="DJ238" s="162"/>
      <c r="DK238" s="162"/>
      <c r="DL238" s="162"/>
      <c r="DM238" s="162"/>
      <c r="DN238" s="162"/>
      <c r="DO238" s="162"/>
      <c r="DP238" s="162"/>
      <c r="DQ238" s="162"/>
      <c r="DR238" s="162"/>
      <c r="DS238" s="162"/>
      <c r="DT238" s="162"/>
      <c r="DU238" s="162"/>
      <c r="DV238" s="162"/>
      <c r="DW238" s="162"/>
      <c r="DX238" s="162"/>
      <c r="DY238" s="162"/>
      <c r="DZ238" s="162"/>
      <c r="EA238" s="162"/>
      <c r="EB238" s="162"/>
      <c r="EC238" s="162"/>
      <c r="ED238" s="1319"/>
      <c r="EE238" s="162"/>
      <c r="EF238" s="162"/>
      <c r="EG238" s="162"/>
      <c r="EH238" s="162"/>
      <c r="EI238" s="162"/>
      <c r="EJ238" s="162"/>
      <c r="EK238" s="162"/>
      <c r="EL238" s="162"/>
      <c r="EM238" s="162"/>
      <c r="EN238" s="162"/>
      <c r="EO238" s="162"/>
      <c r="EP238" s="162"/>
      <c r="EQ238" s="162"/>
    </row>
    <row r="239" spans="3:147" ht="11.25" customHeight="1">
      <c r="C239" s="218"/>
      <c r="D239" s="163"/>
      <c r="E239" s="164" t="s">
        <v>230</v>
      </c>
      <c r="F239" s="165"/>
      <c r="G239" s="165"/>
      <c r="H239" s="166"/>
      <c r="I239" s="221"/>
      <c r="J239" s="168"/>
      <c r="K239" s="98"/>
      <c r="L239" s="168">
        <f t="shared" ref="L239:AQ239" si="520">K242</f>
        <v>0</v>
      </c>
      <c r="M239" s="168">
        <f t="shared" si="520"/>
        <v>23040000</v>
      </c>
      <c r="N239" s="168">
        <f t="shared" si="520"/>
        <v>23040000</v>
      </c>
      <c r="O239" s="168">
        <f t="shared" si="520"/>
        <v>23040000</v>
      </c>
      <c r="P239" s="168">
        <f t="shared" si="520"/>
        <v>23040000</v>
      </c>
      <c r="Q239" s="168">
        <f t="shared" si="520"/>
        <v>23040000</v>
      </c>
      <c r="R239" s="168">
        <f t="shared" si="520"/>
        <v>23040000</v>
      </c>
      <c r="S239" s="168">
        <f t="shared" si="520"/>
        <v>23040000</v>
      </c>
      <c r="T239" s="168">
        <f t="shared" si="520"/>
        <v>23040000</v>
      </c>
      <c r="U239" s="168">
        <f t="shared" si="520"/>
        <v>23040000</v>
      </c>
      <c r="V239" s="168">
        <f t="shared" si="520"/>
        <v>23040000</v>
      </c>
      <c r="W239" s="168">
        <f t="shared" si="520"/>
        <v>23040000</v>
      </c>
      <c r="X239" s="168">
        <f t="shared" si="520"/>
        <v>23040000</v>
      </c>
      <c r="Y239" s="168">
        <f t="shared" si="520"/>
        <v>23040000</v>
      </c>
      <c r="Z239" s="168">
        <f t="shared" si="520"/>
        <v>23040000</v>
      </c>
      <c r="AA239" s="168">
        <f t="shared" si="520"/>
        <v>23040000</v>
      </c>
      <c r="AB239" s="168">
        <f t="shared" si="520"/>
        <v>23040000</v>
      </c>
      <c r="AC239" s="168">
        <f t="shared" si="520"/>
        <v>23040000</v>
      </c>
      <c r="AD239" s="168">
        <f t="shared" si="520"/>
        <v>23040000</v>
      </c>
      <c r="AE239" s="168">
        <f t="shared" si="520"/>
        <v>23040000</v>
      </c>
      <c r="AF239" s="168">
        <f t="shared" si="520"/>
        <v>23040000</v>
      </c>
      <c r="AG239" s="168">
        <f t="shared" si="520"/>
        <v>23040000</v>
      </c>
      <c r="AH239" s="168">
        <f t="shared" si="520"/>
        <v>23040000</v>
      </c>
      <c r="AI239" s="168">
        <f t="shared" si="520"/>
        <v>23040000</v>
      </c>
      <c r="AJ239" s="168">
        <f t="shared" si="520"/>
        <v>23040000</v>
      </c>
      <c r="AK239" s="168">
        <f t="shared" si="520"/>
        <v>23040000</v>
      </c>
      <c r="AL239" s="168">
        <f t="shared" si="520"/>
        <v>23040000</v>
      </c>
      <c r="AM239" s="168">
        <f t="shared" si="520"/>
        <v>23040000</v>
      </c>
      <c r="AN239" s="168">
        <f t="shared" si="520"/>
        <v>23040000</v>
      </c>
      <c r="AO239" s="168">
        <f t="shared" si="520"/>
        <v>23040000</v>
      </c>
      <c r="AP239" s="168">
        <f t="shared" si="520"/>
        <v>23040000</v>
      </c>
      <c r="AQ239" s="168">
        <f t="shared" si="520"/>
        <v>23040000</v>
      </c>
      <c r="AR239" s="168">
        <f t="shared" ref="AR239:BW239" si="521">AQ242</f>
        <v>23040000</v>
      </c>
      <c r="AS239" s="168">
        <f t="shared" si="521"/>
        <v>23040000</v>
      </c>
      <c r="AT239" s="168">
        <f t="shared" si="521"/>
        <v>23040000</v>
      </c>
      <c r="AU239" s="168">
        <f t="shared" si="521"/>
        <v>23040000</v>
      </c>
      <c r="AV239" s="168">
        <f t="shared" si="521"/>
        <v>23040000</v>
      </c>
      <c r="AW239" s="168">
        <f t="shared" si="521"/>
        <v>23040000</v>
      </c>
      <c r="AX239" s="168">
        <f t="shared" si="521"/>
        <v>23040000</v>
      </c>
      <c r="AY239" s="168">
        <f t="shared" si="521"/>
        <v>23040000</v>
      </c>
      <c r="AZ239" s="168">
        <f t="shared" si="521"/>
        <v>23040000</v>
      </c>
      <c r="BA239" s="168">
        <f t="shared" si="521"/>
        <v>23040000</v>
      </c>
      <c r="BB239" s="168">
        <f t="shared" si="521"/>
        <v>23040000</v>
      </c>
      <c r="BC239" s="168">
        <f t="shared" si="521"/>
        <v>23040000</v>
      </c>
      <c r="BD239" s="168">
        <f t="shared" si="521"/>
        <v>23040000</v>
      </c>
      <c r="BE239" s="168">
        <f t="shared" si="521"/>
        <v>23040000</v>
      </c>
      <c r="BF239" s="168">
        <f t="shared" si="521"/>
        <v>23040000</v>
      </c>
      <c r="BG239" s="168">
        <f t="shared" si="521"/>
        <v>23040000</v>
      </c>
      <c r="BH239" s="168">
        <f t="shared" si="521"/>
        <v>23040000</v>
      </c>
      <c r="BI239" s="168">
        <f t="shared" si="521"/>
        <v>23040000</v>
      </c>
      <c r="BJ239" s="168">
        <f t="shared" si="521"/>
        <v>23040000</v>
      </c>
      <c r="BK239" s="168">
        <f t="shared" si="521"/>
        <v>23040000</v>
      </c>
      <c r="BL239" s="168">
        <f t="shared" si="521"/>
        <v>23040000</v>
      </c>
      <c r="BM239" s="168">
        <f t="shared" si="521"/>
        <v>23040000</v>
      </c>
      <c r="BN239" s="168">
        <f t="shared" si="521"/>
        <v>23040000</v>
      </c>
      <c r="BO239" s="168">
        <f t="shared" si="521"/>
        <v>23040000</v>
      </c>
      <c r="BP239" s="168">
        <f t="shared" si="521"/>
        <v>23040000</v>
      </c>
      <c r="BQ239" s="168">
        <f t="shared" si="521"/>
        <v>23040000</v>
      </c>
      <c r="BR239" s="168">
        <f t="shared" si="521"/>
        <v>23040000</v>
      </c>
      <c r="BS239" s="168">
        <f t="shared" si="521"/>
        <v>23040000</v>
      </c>
      <c r="BT239" s="168">
        <f t="shared" si="521"/>
        <v>23040000</v>
      </c>
      <c r="BU239" s="168">
        <f t="shared" si="521"/>
        <v>23040000</v>
      </c>
      <c r="BV239" s="168">
        <f t="shared" si="521"/>
        <v>23040000</v>
      </c>
      <c r="BW239" s="168">
        <f t="shared" si="521"/>
        <v>23040000</v>
      </c>
      <c r="BX239" s="168">
        <f t="shared" ref="BX239:DC239" si="522">BW242</f>
        <v>23040000</v>
      </c>
      <c r="BY239" s="168">
        <f t="shared" si="522"/>
        <v>23040000</v>
      </c>
      <c r="BZ239" s="168">
        <f t="shared" si="522"/>
        <v>23040000</v>
      </c>
      <c r="CA239" s="168">
        <f t="shared" si="522"/>
        <v>23040000</v>
      </c>
      <c r="CB239" s="168">
        <f t="shared" si="522"/>
        <v>23040000</v>
      </c>
      <c r="CC239" s="168">
        <f t="shared" si="522"/>
        <v>23040000</v>
      </c>
      <c r="CD239" s="168">
        <f t="shared" si="522"/>
        <v>23040000</v>
      </c>
      <c r="CE239" s="168">
        <f t="shared" si="522"/>
        <v>23040000</v>
      </c>
      <c r="CF239" s="168">
        <f t="shared" si="522"/>
        <v>23040000</v>
      </c>
      <c r="CG239" s="168">
        <f t="shared" si="522"/>
        <v>23040000</v>
      </c>
      <c r="CH239" s="168">
        <f t="shared" si="522"/>
        <v>23040000</v>
      </c>
      <c r="CI239" s="168">
        <f t="shared" si="522"/>
        <v>23040000</v>
      </c>
      <c r="CJ239" s="168">
        <f t="shared" si="522"/>
        <v>23040000</v>
      </c>
      <c r="CK239" s="168">
        <f t="shared" si="522"/>
        <v>23040000</v>
      </c>
      <c r="CL239" s="168">
        <f t="shared" si="522"/>
        <v>23040000</v>
      </c>
      <c r="CM239" s="168">
        <f t="shared" si="522"/>
        <v>23040000</v>
      </c>
      <c r="CN239" s="168">
        <f t="shared" si="522"/>
        <v>23040000</v>
      </c>
      <c r="CO239" s="168">
        <f t="shared" si="522"/>
        <v>23040000</v>
      </c>
      <c r="CP239" s="168">
        <f t="shared" si="522"/>
        <v>23040000</v>
      </c>
      <c r="CQ239" s="168">
        <f t="shared" si="522"/>
        <v>23040000</v>
      </c>
      <c r="CR239" s="168">
        <f t="shared" si="522"/>
        <v>23040000</v>
      </c>
      <c r="CS239" s="168">
        <f t="shared" si="522"/>
        <v>23040000</v>
      </c>
      <c r="CT239" s="168">
        <f t="shared" si="522"/>
        <v>23040000</v>
      </c>
      <c r="CU239" s="168">
        <f t="shared" si="522"/>
        <v>23040000</v>
      </c>
      <c r="CV239" s="168">
        <f t="shared" si="522"/>
        <v>23040000</v>
      </c>
      <c r="CW239" s="168">
        <f t="shared" si="522"/>
        <v>23040000</v>
      </c>
      <c r="CX239" s="168">
        <f t="shared" si="522"/>
        <v>23040000</v>
      </c>
      <c r="CY239" s="168">
        <f t="shared" si="522"/>
        <v>23040000</v>
      </c>
      <c r="CZ239" s="168">
        <f t="shared" si="522"/>
        <v>23040000</v>
      </c>
      <c r="DA239" s="168">
        <f t="shared" si="522"/>
        <v>23040000</v>
      </c>
      <c r="DB239" s="168">
        <f t="shared" si="522"/>
        <v>23040000</v>
      </c>
      <c r="DC239" s="168">
        <f t="shared" si="522"/>
        <v>23040000</v>
      </c>
      <c r="DD239" s="168">
        <f t="shared" ref="DD239:DT239" si="523">DC242</f>
        <v>23040000</v>
      </c>
      <c r="DE239" s="168">
        <f t="shared" si="523"/>
        <v>23040000</v>
      </c>
      <c r="DF239" s="168">
        <f t="shared" si="523"/>
        <v>23040000</v>
      </c>
      <c r="DG239" s="168">
        <f t="shared" si="523"/>
        <v>23040000</v>
      </c>
      <c r="DH239" s="168">
        <f t="shared" si="523"/>
        <v>23040000</v>
      </c>
      <c r="DI239" s="168">
        <f t="shared" si="523"/>
        <v>23040000</v>
      </c>
      <c r="DJ239" s="168">
        <f t="shared" si="523"/>
        <v>23040000</v>
      </c>
      <c r="DK239" s="168">
        <f t="shared" si="523"/>
        <v>23040000</v>
      </c>
      <c r="DL239" s="168">
        <f t="shared" si="523"/>
        <v>23040000</v>
      </c>
      <c r="DM239" s="168">
        <f t="shared" si="523"/>
        <v>23040000</v>
      </c>
      <c r="DN239" s="168">
        <f t="shared" si="523"/>
        <v>23040000</v>
      </c>
      <c r="DO239" s="168">
        <f t="shared" si="523"/>
        <v>23040000</v>
      </c>
      <c r="DP239" s="168">
        <f t="shared" si="523"/>
        <v>23040000</v>
      </c>
      <c r="DQ239" s="168">
        <f t="shared" si="523"/>
        <v>23040000</v>
      </c>
      <c r="DR239" s="168">
        <f t="shared" si="523"/>
        <v>23040000</v>
      </c>
      <c r="DS239" s="168">
        <f t="shared" si="523"/>
        <v>23040000</v>
      </c>
      <c r="DT239" s="168">
        <f t="shared" si="523"/>
        <v>23040000</v>
      </c>
      <c r="DU239" s="168">
        <f t="shared" ref="DU239:EQ239" si="524">DT242</f>
        <v>23040000</v>
      </c>
      <c r="DV239" s="168">
        <f t="shared" si="524"/>
        <v>23040000</v>
      </c>
      <c r="DW239" s="168">
        <f t="shared" si="524"/>
        <v>23040000</v>
      </c>
      <c r="DX239" s="168">
        <f t="shared" si="524"/>
        <v>23040000</v>
      </c>
      <c r="DY239" s="168">
        <f t="shared" si="524"/>
        <v>23040000</v>
      </c>
      <c r="DZ239" s="168">
        <f t="shared" si="524"/>
        <v>23040000</v>
      </c>
      <c r="EA239" s="168">
        <f t="shared" si="524"/>
        <v>23040000</v>
      </c>
      <c r="EB239" s="168">
        <f t="shared" si="524"/>
        <v>23040000</v>
      </c>
      <c r="EC239" s="168">
        <f t="shared" si="524"/>
        <v>0</v>
      </c>
      <c r="ED239" s="1320">
        <f t="shared" si="524"/>
        <v>0</v>
      </c>
      <c r="EE239" s="168">
        <f t="shared" si="524"/>
        <v>0</v>
      </c>
      <c r="EF239" s="168">
        <f t="shared" si="524"/>
        <v>0</v>
      </c>
      <c r="EG239" s="168">
        <f t="shared" si="524"/>
        <v>0</v>
      </c>
      <c r="EH239" s="168">
        <f t="shared" si="524"/>
        <v>0</v>
      </c>
      <c r="EI239" s="168">
        <f t="shared" si="524"/>
        <v>0</v>
      </c>
      <c r="EJ239" s="168">
        <f t="shared" si="524"/>
        <v>0</v>
      </c>
      <c r="EK239" s="168">
        <f t="shared" si="524"/>
        <v>0</v>
      </c>
      <c r="EL239" s="168">
        <f t="shared" si="524"/>
        <v>0</v>
      </c>
      <c r="EM239" s="168">
        <f t="shared" si="524"/>
        <v>0</v>
      </c>
      <c r="EN239" s="168">
        <f t="shared" si="524"/>
        <v>0</v>
      </c>
      <c r="EO239" s="168">
        <f t="shared" si="524"/>
        <v>0</v>
      </c>
      <c r="EP239" s="168">
        <f t="shared" si="524"/>
        <v>0</v>
      </c>
      <c r="EQ239" s="168">
        <f t="shared" si="524"/>
        <v>0</v>
      </c>
    </row>
    <row r="240" spans="3:147" ht="11.25" customHeight="1">
      <c r="C240" s="218"/>
      <c r="D240" s="163"/>
      <c r="E240" s="169" t="s">
        <v>231</v>
      </c>
      <c r="J240" s="171">
        <f>SUM(L240:EQ240)</f>
        <v>23040000</v>
      </c>
      <c r="K240" s="98"/>
      <c r="L240" s="171">
        <f>L62-L235</f>
        <v>23040000</v>
      </c>
      <c r="M240" s="171">
        <f t="shared" ref="M240:BX240" si="525">M62-M235</f>
        <v>0</v>
      </c>
      <c r="N240" s="171">
        <f t="shared" si="525"/>
        <v>0</v>
      </c>
      <c r="O240" s="171">
        <f t="shared" si="525"/>
        <v>0</v>
      </c>
      <c r="P240" s="171">
        <f t="shared" si="525"/>
        <v>0</v>
      </c>
      <c r="Q240" s="171">
        <f t="shared" si="525"/>
        <v>0</v>
      </c>
      <c r="R240" s="171">
        <f t="shared" si="525"/>
        <v>0</v>
      </c>
      <c r="S240" s="171">
        <f t="shared" si="525"/>
        <v>0</v>
      </c>
      <c r="T240" s="171">
        <f t="shared" si="525"/>
        <v>0</v>
      </c>
      <c r="U240" s="171">
        <f t="shared" si="525"/>
        <v>0</v>
      </c>
      <c r="V240" s="171">
        <f t="shared" si="525"/>
        <v>0</v>
      </c>
      <c r="W240" s="171">
        <f t="shared" si="525"/>
        <v>0</v>
      </c>
      <c r="X240" s="171">
        <f t="shared" si="525"/>
        <v>0</v>
      </c>
      <c r="Y240" s="171">
        <f t="shared" si="525"/>
        <v>0</v>
      </c>
      <c r="Z240" s="171">
        <f t="shared" si="525"/>
        <v>0</v>
      </c>
      <c r="AA240" s="171">
        <f t="shared" si="525"/>
        <v>0</v>
      </c>
      <c r="AB240" s="171">
        <f t="shared" si="525"/>
        <v>0</v>
      </c>
      <c r="AC240" s="171">
        <f t="shared" si="525"/>
        <v>0</v>
      </c>
      <c r="AD240" s="171">
        <f t="shared" si="525"/>
        <v>0</v>
      </c>
      <c r="AE240" s="171">
        <f t="shared" si="525"/>
        <v>0</v>
      </c>
      <c r="AF240" s="171">
        <f t="shared" si="525"/>
        <v>0</v>
      </c>
      <c r="AG240" s="171">
        <f t="shared" si="525"/>
        <v>0</v>
      </c>
      <c r="AH240" s="171">
        <f t="shared" si="525"/>
        <v>0</v>
      </c>
      <c r="AI240" s="171">
        <f t="shared" si="525"/>
        <v>0</v>
      </c>
      <c r="AJ240" s="171">
        <f t="shared" si="525"/>
        <v>0</v>
      </c>
      <c r="AK240" s="171">
        <f t="shared" si="525"/>
        <v>0</v>
      </c>
      <c r="AL240" s="171">
        <f t="shared" si="525"/>
        <v>0</v>
      </c>
      <c r="AM240" s="171">
        <f t="shared" si="525"/>
        <v>0</v>
      </c>
      <c r="AN240" s="171">
        <f t="shared" si="525"/>
        <v>0</v>
      </c>
      <c r="AO240" s="171">
        <f t="shared" si="525"/>
        <v>0</v>
      </c>
      <c r="AP240" s="171">
        <f t="shared" si="525"/>
        <v>0</v>
      </c>
      <c r="AQ240" s="171">
        <f t="shared" si="525"/>
        <v>0</v>
      </c>
      <c r="AR240" s="171">
        <f t="shared" si="525"/>
        <v>0</v>
      </c>
      <c r="AS240" s="171">
        <f t="shared" si="525"/>
        <v>0</v>
      </c>
      <c r="AT240" s="171">
        <f t="shared" si="525"/>
        <v>0</v>
      </c>
      <c r="AU240" s="171">
        <f t="shared" si="525"/>
        <v>0</v>
      </c>
      <c r="AV240" s="171">
        <f t="shared" si="525"/>
        <v>0</v>
      </c>
      <c r="AW240" s="171">
        <f t="shared" si="525"/>
        <v>0</v>
      </c>
      <c r="AX240" s="171">
        <f t="shared" si="525"/>
        <v>0</v>
      </c>
      <c r="AY240" s="171">
        <f t="shared" si="525"/>
        <v>0</v>
      </c>
      <c r="AZ240" s="171">
        <f t="shared" si="525"/>
        <v>0</v>
      </c>
      <c r="BA240" s="171">
        <f t="shared" si="525"/>
        <v>0</v>
      </c>
      <c r="BB240" s="171">
        <f t="shared" si="525"/>
        <v>0</v>
      </c>
      <c r="BC240" s="171">
        <f t="shared" si="525"/>
        <v>0</v>
      </c>
      <c r="BD240" s="171">
        <f t="shared" si="525"/>
        <v>0</v>
      </c>
      <c r="BE240" s="171">
        <f t="shared" si="525"/>
        <v>0</v>
      </c>
      <c r="BF240" s="171">
        <f t="shared" si="525"/>
        <v>0</v>
      </c>
      <c r="BG240" s="171">
        <f t="shared" si="525"/>
        <v>0</v>
      </c>
      <c r="BH240" s="171">
        <f t="shared" si="525"/>
        <v>0</v>
      </c>
      <c r="BI240" s="171">
        <f t="shared" si="525"/>
        <v>0</v>
      </c>
      <c r="BJ240" s="171">
        <f t="shared" si="525"/>
        <v>0</v>
      </c>
      <c r="BK240" s="171">
        <f t="shared" si="525"/>
        <v>0</v>
      </c>
      <c r="BL240" s="171">
        <f t="shared" si="525"/>
        <v>0</v>
      </c>
      <c r="BM240" s="171">
        <f t="shared" si="525"/>
        <v>0</v>
      </c>
      <c r="BN240" s="171">
        <f t="shared" si="525"/>
        <v>0</v>
      </c>
      <c r="BO240" s="171">
        <f t="shared" si="525"/>
        <v>0</v>
      </c>
      <c r="BP240" s="171">
        <f t="shared" si="525"/>
        <v>0</v>
      </c>
      <c r="BQ240" s="171">
        <f t="shared" si="525"/>
        <v>0</v>
      </c>
      <c r="BR240" s="171">
        <f t="shared" si="525"/>
        <v>0</v>
      </c>
      <c r="BS240" s="171">
        <f t="shared" si="525"/>
        <v>0</v>
      </c>
      <c r="BT240" s="171">
        <f t="shared" si="525"/>
        <v>0</v>
      </c>
      <c r="BU240" s="171">
        <f t="shared" si="525"/>
        <v>0</v>
      </c>
      <c r="BV240" s="171">
        <f t="shared" si="525"/>
        <v>0</v>
      </c>
      <c r="BW240" s="171">
        <f t="shared" si="525"/>
        <v>0</v>
      </c>
      <c r="BX240" s="171">
        <f t="shared" si="525"/>
        <v>0</v>
      </c>
      <c r="BY240" s="171">
        <f t="shared" ref="BY240:DT240" si="526">BY62-BY235</f>
        <v>0</v>
      </c>
      <c r="BZ240" s="171">
        <f t="shared" si="526"/>
        <v>0</v>
      </c>
      <c r="CA240" s="171">
        <f t="shared" si="526"/>
        <v>0</v>
      </c>
      <c r="CB240" s="171">
        <f t="shared" si="526"/>
        <v>0</v>
      </c>
      <c r="CC240" s="171">
        <f t="shared" si="526"/>
        <v>0</v>
      </c>
      <c r="CD240" s="171">
        <f t="shared" si="526"/>
        <v>0</v>
      </c>
      <c r="CE240" s="171">
        <f t="shared" si="526"/>
        <v>0</v>
      </c>
      <c r="CF240" s="171">
        <f t="shared" si="526"/>
        <v>0</v>
      </c>
      <c r="CG240" s="171">
        <f t="shared" si="526"/>
        <v>0</v>
      </c>
      <c r="CH240" s="171">
        <f t="shared" si="526"/>
        <v>0</v>
      </c>
      <c r="CI240" s="171">
        <f t="shared" si="526"/>
        <v>0</v>
      </c>
      <c r="CJ240" s="171">
        <f t="shared" si="526"/>
        <v>0</v>
      </c>
      <c r="CK240" s="171">
        <f t="shared" si="526"/>
        <v>0</v>
      </c>
      <c r="CL240" s="171">
        <f t="shared" si="526"/>
        <v>0</v>
      </c>
      <c r="CM240" s="171">
        <f t="shared" si="526"/>
        <v>0</v>
      </c>
      <c r="CN240" s="171">
        <f t="shared" si="526"/>
        <v>0</v>
      </c>
      <c r="CO240" s="171">
        <f t="shared" si="526"/>
        <v>0</v>
      </c>
      <c r="CP240" s="171">
        <f t="shared" si="526"/>
        <v>0</v>
      </c>
      <c r="CQ240" s="171">
        <f t="shared" si="526"/>
        <v>0</v>
      </c>
      <c r="CR240" s="171">
        <f t="shared" si="526"/>
        <v>0</v>
      </c>
      <c r="CS240" s="171">
        <f t="shared" si="526"/>
        <v>0</v>
      </c>
      <c r="CT240" s="171">
        <f t="shared" si="526"/>
        <v>0</v>
      </c>
      <c r="CU240" s="171">
        <f t="shared" si="526"/>
        <v>0</v>
      </c>
      <c r="CV240" s="171">
        <f t="shared" si="526"/>
        <v>0</v>
      </c>
      <c r="CW240" s="171">
        <f t="shared" si="526"/>
        <v>0</v>
      </c>
      <c r="CX240" s="171">
        <f t="shared" si="526"/>
        <v>0</v>
      </c>
      <c r="CY240" s="171">
        <f t="shared" si="526"/>
        <v>0</v>
      </c>
      <c r="CZ240" s="171">
        <f t="shared" si="526"/>
        <v>0</v>
      </c>
      <c r="DA240" s="171">
        <f t="shared" si="526"/>
        <v>0</v>
      </c>
      <c r="DB240" s="171">
        <f t="shared" si="526"/>
        <v>0</v>
      </c>
      <c r="DC240" s="171">
        <f t="shared" si="526"/>
        <v>0</v>
      </c>
      <c r="DD240" s="171">
        <f t="shared" si="526"/>
        <v>0</v>
      </c>
      <c r="DE240" s="171">
        <f t="shared" si="526"/>
        <v>0</v>
      </c>
      <c r="DF240" s="171">
        <f t="shared" si="526"/>
        <v>0</v>
      </c>
      <c r="DG240" s="171">
        <f t="shared" si="526"/>
        <v>0</v>
      </c>
      <c r="DH240" s="171">
        <f t="shared" si="526"/>
        <v>0</v>
      </c>
      <c r="DI240" s="171">
        <f t="shared" si="526"/>
        <v>0</v>
      </c>
      <c r="DJ240" s="171">
        <f t="shared" si="526"/>
        <v>0</v>
      </c>
      <c r="DK240" s="171">
        <f t="shared" si="526"/>
        <v>0</v>
      </c>
      <c r="DL240" s="171">
        <f t="shared" si="526"/>
        <v>0</v>
      </c>
      <c r="DM240" s="171">
        <f t="shared" si="526"/>
        <v>0</v>
      </c>
      <c r="DN240" s="171">
        <f t="shared" si="526"/>
        <v>0</v>
      </c>
      <c r="DO240" s="171">
        <f t="shared" si="526"/>
        <v>0</v>
      </c>
      <c r="DP240" s="171">
        <f t="shared" si="526"/>
        <v>0</v>
      </c>
      <c r="DQ240" s="171">
        <f t="shared" si="526"/>
        <v>0</v>
      </c>
      <c r="DR240" s="171">
        <f t="shared" si="526"/>
        <v>0</v>
      </c>
      <c r="DS240" s="171">
        <f t="shared" si="526"/>
        <v>0</v>
      </c>
      <c r="DT240" s="171">
        <f t="shared" si="526"/>
        <v>0</v>
      </c>
      <c r="DU240" s="171">
        <f t="shared" ref="DU240:EA240" si="527">DU62-DU235</f>
        <v>0</v>
      </c>
      <c r="DV240" s="171">
        <f t="shared" si="527"/>
        <v>0</v>
      </c>
      <c r="DW240" s="171">
        <f t="shared" si="527"/>
        <v>0</v>
      </c>
      <c r="DX240" s="171">
        <f t="shared" si="527"/>
        <v>0</v>
      </c>
      <c r="DY240" s="171">
        <f t="shared" si="527"/>
        <v>0</v>
      </c>
      <c r="DZ240" s="171">
        <f t="shared" si="527"/>
        <v>0</v>
      </c>
      <c r="EA240" s="171">
        <f t="shared" si="527"/>
        <v>0</v>
      </c>
      <c r="EB240" s="171">
        <f t="shared" ref="EB240:EQ240" si="528">EB62-EB235</f>
        <v>0</v>
      </c>
      <c r="EC240" s="171">
        <f t="shared" si="528"/>
        <v>0</v>
      </c>
      <c r="ED240" s="1321">
        <f t="shared" si="528"/>
        <v>0</v>
      </c>
      <c r="EE240" s="171">
        <f t="shared" si="528"/>
        <v>0</v>
      </c>
      <c r="EF240" s="171">
        <f t="shared" si="528"/>
        <v>0</v>
      </c>
      <c r="EG240" s="171">
        <f t="shared" si="528"/>
        <v>0</v>
      </c>
      <c r="EH240" s="171">
        <f t="shared" si="528"/>
        <v>0</v>
      </c>
      <c r="EI240" s="171">
        <f t="shared" si="528"/>
        <v>0</v>
      </c>
      <c r="EJ240" s="171">
        <f t="shared" si="528"/>
        <v>0</v>
      </c>
      <c r="EK240" s="171">
        <f t="shared" si="528"/>
        <v>0</v>
      </c>
      <c r="EL240" s="171">
        <f t="shared" si="528"/>
        <v>0</v>
      </c>
      <c r="EM240" s="171">
        <f t="shared" si="528"/>
        <v>0</v>
      </c>
      <c r="EN240" s="171">
        <f t="shared" si="528"/>
        <v>0</v>
      </c>
      <c r="EO240" s="171">
        <f t="shared" si="528"/>
        <v>0</v>
      </c>
      <c r="EP240" s="171">
        <f t="shared" si="528"/>
        <v>0</v>
      </c>
      <c r="EQ240" s="171">
        <f t="shared" si="528"/>
        <v>0</v>
      </c>
    </row>
    <row r="241" spans="3:147" ht="11.25" customHeight="1">
      <c r="C241" s="218"/>
      <c r="D241" s="163"/>
      <c r="E241" s="169" t="s">
        <v>232</v>
      </c>
      <c r="I241" s="134"/>
      <c r="J241" s="171">
        <f>SUM(L241:EQ241)</f>
        <v>23040000</v>
      </c>
      <c r="K241" s="98"/>
      <c r="L241" s="171">
        <f>SUM(L239:L240)*Index!L$42</f>
        <v>0</v>
      </c>
      <c r="M241" s="171">
        <f>SUM(M239:M240)*Index!M$42</f>
        <v>0</v>
      </c>
      <c r="N241" s="171">
        <f>SUM(N239:N240)*Index!N$42</f>
        <v>0</v>
      </c>
      <c r="O241" s="171">
        <f>SUM(O239:O240)*Index!O$42</f>
        <v>0</v>
      </c>
      <c r="P241" s="171">
        <f>SUM(P239:P240)*Index!P$42</f>
        <v>0</v>
      </c>
      <c r="Q241" s="171">
        <f>SUM(Q239:Q240)*Index!Q$42</f>
        <v>0</v>
      </c>
      <c r="R241" s="171">
        <f>SUM(R239:R240)*Index!R$42</f>
        <v>0</v>
      </c>
      <c r="S241" s="171">
        <f>SUM(S239:S240)*Index!S$42</f>
        <v>0</v>
      </c>
      <c r="T241" s="171">
        <f>SUM(T239:T240)*Index!T$42</f>
        <v>0</v>
      </c>
      <c r="U241" s="171">
        <f>SUM(U239:U240)*Index!U$42</f>
        <v>0</v>
      </c>
      <c r="V241" s="171">
        <f>SUM(V239:V240)*Index!V$42</f>
        <v>0</v>
      </c>
      <c r="W241" s="171">
        <f>SUM(W239:W240)*Index!W$42</f>
        <v>0</v>
      </c>
      <c r="X241" s="171">
        <f>SUM(X239:X240)*Index!X$42</f>
        <v>0</v>
      </c>
      <c r="Y241" s="171">
        <f>SUM(Y239:Y240)*Index!Y$42</f>
        <v>0</v>
      </c>
      <c r="Z241" s="171">
        <f>SUM(Z239:Z240)*Index!Z$42</f>
        <v>0</v>
      </c>
      <c r="AA241" s="171">
        <f>SUM(AA239:AA240)*Index!AA$42</f>
        <v>0</v>
      </c>
      <c r="AB241" s="171">
        <f>SUM(AB239:AB240)*Index!AB$42</f>
        <v>0</v>
      </c>
      <c r="AC241" s="171">
        <f>SUM(AC239:AC240)*Index!AC$42</f>
        <v>0</v>
      </c>
      <c r="AD241" s="171">
        <f>SUM(AD239:AD240)*Index!AD$42</f>
        <v>0</v>
      </c>
      <c r="AE241" s="171">
        <f>SUM(AE239:AE240)*Index!AE$42</f>
        <v>0</v>
      </c>
      <c r="AF241" s="171">
        <f>SUM(AF239:AF240)*Index!AF$42</f>
        <v>0</v>
      </c>
      <c r="AG241" s="171">
        <f>SUM(AG239:AG240)*Index!AG$42</f>
        <v>0</v>
      </c>
      <c r="AH241" s="171">
        <f>SUM(AH239:AH240)*Index!AH$42</f>
        <v>0</v>
      </c>
      <c r="AI241" s="171">
        <f>SUM(AI239:AI240)*Index!AI$42</f>
        <v>0</v>
      </c>
      <c r="AJ241" s="171">
        <f>SUM(AJ239:AJ240)*Index!AJ$42</f>
        <v>0</v>
      </c>
      <c r="AK241" s="171">
        <f>SUM(AK239:AK240)*Index!AK$42</f>
        <v>0</v>
      </c>
      <c r="AL241" s="171">
        <f>SUM(AL239:AL240)*Index!AL$42</f>
        <v>0</v>
      </c>
      <c r="AM241" s="171">
        <f>SUM(AM239:AM240)*Index!AM$42</f>
        <v>0</v>
      </c>
      <c r="AN241" s="171">
        <f>SUM(AN239:AN240)*Index!AN$42</f>
        <v>0</v>
      </c>
      <c r="AO241" s="171">
        <f>SUM(AO239:AO240)*Index!AO$42</f>
        <v>0</v>
      </c>
      <c r="AP241" s="171">
        <f>SUM(AP239:AP240)*Index!AP$42</f>
        <v>0</v>
      </c>
      <c r="AQ241" s="171">
        <f>SUM(AQ239:AQ240)*Index!AQ$42</f>
        <v>0</v>
      </c>
      <c r="AR241" s="171">
        <f>SUM(AR239:AR240)*Index!AR$42</f>
        <v>0</v>
      </c>
      <c r="AS241" s="171">
        <f>SUM(AS239:AS240)*Index!AS$42</f>
        <v>0</v>
      </c>
      <c r="AT241" s="171">
        <f>SUM(AT239:AT240)*Index!AT$42</f>
        <v>0</v>
      </c>
      <c r="AU241" s="171">
        <f>SUM(AU239:AU240)*Index!AU$42</f>
        <v>0</v>
      </c>
      <c r="AV241" s="171">
        <f>SUM(AV239:AV240)*Index!AV$42</f>
        <v>0</v>
      </c>
      <c r="AW241" s="171">
        <f>SUM(AW239:AW240)*Index!AW$42</f>
        <v>0</v>
      </c>
      <c r="AX241" s="171">
        <f>SUM(AX239:AX240)*Index!AX$42</f>
        <v>0</v>
      </c>
      <c r="AY241" s="171">
        <f>SUM(AY239:AY240)*Index!AY$42</f>
        <v>0</v>
      </c>
      <c r="AZ241" s="171">
        <f>SUM(AZ239:AZ240)*Index!AZ$42</f>
        <v>0</v>
      </c>
      <c r="BA241" s="171">
        <f>SUM(BA239:BA240)*Index!BA$42</f>
        <v>0</v>
      </c>
      <c r="BB241" s="171">
        <f>SUM(BB239:BB240)*Index!BB$42</f>
        <v>0</v>
      </c>
      <c r="BC241" s="171">
        <f>SUM(BC239:BC240)*Index!BC$42</f>
        <v>0</v>
      </c>
      <c r="BD241" s="171">
        <f>SUM(BD239:BD240)*Index!BD$42</f>
        <v>0</v>
      </c>
      <c r="BE241" s="171">
        <f>SUM(BE239:BE240)*Index!BE$42</f>
        <v>0</v>
      </c>
      <c r="BF241" s="171">
        <f>SUM(BF239:BF240)*Index!BF$42</f>
        <v>0</v>
      </c>
      <c r="BG241" s="171">
        <f>SUM(BG239:BG240)*Index!BG$42</f>
        <v>0</v>
      </c>
      <c r="BH241" s="171">
        <f>SUM(BH239:BH240)*Index!BH$42</f>
        <v>0</v>
      </c>
      <c r="BI241" s="171">
        <f>SUM(BI239:BI240)*Index!BI$42</f>
        <v>0</v>
      </c>
      <c r="BJ241" s="171">
        <f>SUM(BJ239:BJ240)*Index!BJ$42</f>
        <v>0</v>
      </c>
      <c r="BK241" s="171">
        <f>SUM(BK239:BK240)*Index!BK$42</f>
        <v>0</v>
      </c>
      <c r="BL241" s="171">
        <f>SUM(BL239:BL240)*Index!BL$42</f>
        <v>0</v>
      </c>
      <c r="BM241" s="171">
        <f>SUM(BM239:BM240)*Index!BM$42</f>
        <v>0</v>
      </c>
      <c r="BN241" s="171">
        <f>SUM(BN239:BN240)*Index!BN$42</f>
        <v>0</v>
      </c>
      <c r="BO241" s="171">
        <f>SUM(BO239:BO240)*Index!BO$42</f>
        <v>0</v>
      </c>
      <c r="BP241" s="171">
        <f>SUM(BP239:BP240)*Index!BP$42</f>
        <v>0</v>
      </c>
      <c r="BQ241" s="171">
        <f>SUM(BQ239:BQ240)*Index!BQ$42</f>
        <v>0</v>
      </c>
      <c r="BR241" s="171">
        <f>SUM(BR239:BR240)*Index!BR$42</f>
        <v>0</v>
      </c>
      <c r="BS241" s="171">
        <f>SUM(BS239:BS240)*Index!BS$42</f>
        <v>0</v>
      </c>
      <c r="BT241" s="171">
        <f>SUM(BT239:BT240)*Index!BT$42</f>
        <v>0</v>
      </c>
      <c r="BU241" s="171">
        <f>SUM(BU239:BU240)*Index!BU$42</f>
        <v>0</v>
      </c>
      <c r="BV241" s="171">
        <f>SUM(BV239:BV240)*Index!BV$42</f>
        <v>0</v>
      </c>
      <c r="BW241" s="171">
        <f>SUM(BW239:BW240)*Index!BW$42</f>
        <v>0</v>
      </c>
      <c r="BX241" s="171">
        <f>SUM(BX239:BX240)*Index!BX$42</f>
        <v>0</v>
      </c>
      <c r="BY241" s="171">
        <f>SUM(BY239:BY240)*Index!BY$42</f>
        <v>0</v>
      </c>
      <c r="BZ241" s="171">
        <f>SUM(BZ239:BZ240)*Index!BZ$42</f>
        <v>0</v>
      </c>
      <c r="CA241" s="171">
        <f>SUM(CA239:CA240)*Index!CA$42</f>
        <v>0</v>
      </c>
      <c r="CB241" s="171">
        <f>SUM(CB239:CB240)*Index!CB$42</f>
        <v>0</v>
      </c>
      <c r="CC241" s="171">
        <f>SUM(CC239:CC240)*Index!CC$42</f>
        <v>0</v>
      </c>
      <c r="CD241" s="171">
        <f>SUM(CD239:CD240)*Index!CD$42</f>
        <v>0</v>
      </c>
      <c r="CE241" s="171">
        <f>SUM(CE239:CE240)*Index!CE$42</f>
        <v>0</v>
      </c>
      <c r="CF241" s="171">
        <f>SUM(CF239:CF240)*Index!CF$42</f>
        <v>0</v>
      </c>
      <c r="CG241" s="171">
        <f>SUM(CG239:CG240)*Index!CG$42</f>
        <v>0</v>
      </c>
      <c r="CH241" s="171">
        <f>SUM(CH239:CH240)*Index!CH$42</f>
        <v>0</v>
      </c>
      <c r="CI241" s="171">
        <f>SUM(CI239:CI240)*Index!CI$42</f>
        <v>0</v>
      </c>
      <c r="CJ241" s="171">
        <f>SUM(CJ239:CJ240)*Index!CJ$42</f>
        <v>0</v>
      </c>
      <c r="CK241" s="171">
        <f>SUM(CK239:CK240)*Index!CK$42</f>
        <v>0</v>
      </c>
      <c r="CL241" s="171">
        <f>SUM(CL239:CL240)*Index!CL$42</f>
        <v>0</v>
      </c>
      <c r="CM241" s="171">
        <f>SUM(CM239:CM240)*Index!CM$42</f>
        <v>0</v>
      </c>
      <c r="CN241" s="171">
        <f>SUM(CN239:CN240)*Index!CN$42</f>
        <v>0</v>
      </c>
      <c r="CO241" s="171">
        <f>SUM(CO239:CO240)*Index!CO$42</f>
        <v>0</v>
      </c>
      <c r="CP241" s="171">
        <f>SUM(CP239:CP240)*Index!CP$42</f>
        <v>0</v>
      </c>
      <c r="CQ241" s="171">
        <f>SUM(CQ239:CQ240)*Index!CQ$42</f>
        <v>0</v>
      </c>
      <c r="CR241" s="171">
        <f>SUM(CR239:CR240)*Index!CR$42</f>
        <v>0</v>
      </c>
      <c r="CS241" s="171">
        <f>SUM(CS239:CS240)*Index!CS$42</f>
        <v>0</v>
      </c>
      <c r="CT241" s="171">
        <f>SUM(CT239:CT240)*Index!CT$42</f>
        <v>0</v>
      </c>
      <c r="CU241" s="171">
        <f>SUM(CU239:CU240)*Index!CU$42</f>
        <v>0</v>
      </c>
      <c r="CV241" s="171">
        <f>SUM(CV239:CV240)*Index!CV$42</f>
        <v>0</v>
      </c>
      <c r="CW241" s="171">
        <f>SUM(CW239:CW240)*Index!CW$42</f>
        <v>0</v>
      </c>
      <c r="CX241" s="171">
        <f>SUM(CX239:CX240)*Index!CX$42</f>
        <v>0</v>
      </c>
      <c r="CY241" s="171">
        <f>SUM(CY239:CY240)*Index!CY$42</f>
        <v>0</v>
      </c>
      <c r="CZ241" s="171">
        <f>SUM(CZ239:CZ240)*Index!CZ$42</f>
        <v>0</v>
      </c>
      <c r="DA241" s="171">
        <f>SUM(DA239:DA240)*Index!DA$42</f>
        <v>0</v>
      </c>
      <c r="DB241" s="171">
        <f>SUM(DB239:DB240)*Index!DB$42</f>
        <v>0</v>
      </c>
      <c r="DC241" s="171">
        <f>SUM(DC239:DC240)*Index!DC$42</f>
        <v>0</v>
      </c>
      <c r="DD241" s="171">
        <f>SUM(DD239:DD240)*Index!DD$42</f>
        <v>0</v>
      </c>
      <c r="DE241" s="171">
        <f>SUM(DE239:DE240)*Index!DE$42</f>
        <v>0</v>
      </c>
      <c r="DF241" s="171">
        <f>SUM(DF239:DF240)*Index!DF$42</f>
        <v>0</v>
      </c>
      <c r="DG241" s="171">
        <f>SUM(DG239:DG240)*Index!DG$42</f>
        <v>0</v>
      </c>
      <c r="DH241" s="171">
        <f>SUM(DH239:DH240)*Index!DH$42</f>
        <v>0</v>
      </c>
      <c r="DI241" s="171">
        <f>SUM(DI239:DI240)*Index!DI$42</f>
        <v>0</v>
      </c>
      <c r="DJ241" s="171">
        <f>SUM(DJ239:DJ240)*Index!DJ$42</f>
        <v>0</v>
      </c>
      <c r="DK241" s="171">
        <f>SUM(DK239:DK240)*Index!DK$42</f>
        <v>0</v>
      </c>
      <c r="DL241" s="171">
        <f>SUM(DL239:DL240)*Index!DL$42</f>
        <v>0</v>
      </c>
      <c r="DM241" s="171">
        <f>SUM(DM239:DM240)*Index!DM$42</f>
        <v>0</v>
      </c>
      <c r="DN241" s="171">
        <f>SUM(DN239:DN240)*Index!DN$42</f>
        <v>0</v>
      </c>
      <c r="DO241" s="171">
        <f>SUM(DO239:DO240)*Index!DO$42</f>
        <v>0</v>
      </c>
      <c r="DP241" s="171">
        <f>SUM(DP239:DP240)*Index!DP$42</f>
        <v>0</v>
      </c>
      <c r="DQ241" s="171">
        <f>SUM(DQ239:DQ240)*Index!DQ$42</f>
        <v>0</v>
      </c>
      <c r="DR241" s="171">
        <f>SUM(DR239:DR240)*Index!DR$42</f>
        <v>0</v>
      </c>
      <c r="DS241" s="171">
        <f>SUM(DS239:DS240)*Index!DS$42</f>
        <v>0</v>
      </c>
      <c r="DT241" s="171">
        <f>SUM(DT239:DT240)*Index!DT$42</f>
        <v>0</v>
      </c>
      <c r="DU241" s="171">
        <f>SUM(DU239:DU240)*Index!DU$42</f>
        <v>0</v>
      </c>
      <c r="DV241" s="171">
        <f>SUM(DV239:DV240)*Index!DV$42</f>
        <v>0</v>
      </c>
      <c r="DW241" s="171">
        <f>SUM(DW239:DW240)*Index!DW$42</f>
        <v>0</v>
      </c>
      <c r="DX241" s="171">
        <f>SUM(DX239:DX240)*Index!DX$42</f>
        <v>0</v>
      </c>
      <c r="DY241" s="171">
        <f>SUM(DY239:DY240)*Index!DY$42</f>
        <v>0</v>
      </c>
      <c r="DZ241" s="171">
        <f>SUM(DZ239:DZ240)*Index!DZ$42</f>
        <v>0</v>
      </c>
      <c r="EA241" s="171">
        <f>SUM(EA239:EA240)*Index!EA$42</f>
        <v>0</v>
      </c>
      <c r="EB241" s="171">
        <f>SUM(EB239:EB240)*Index!EB$42</f>
        <v>23040000</v>
      </c>
      <c r="EC241" s="171">
        <f>SUM(EC239:EC240)*Index!EC$42</f>
        <v>0</v>
      </c>
      <c r="ED241" s="1321">
        <f>SUM(ED239:ED240)*Index!ED$42</f>
        <v>0</v>
      </c>
      <c r="EE241" s="171">
        <f>SUM(EE239:EE240)*Index!EE$42</f>
        <v>0</v>
      </c>
      <c r="EF241" s="171">
        <f>SUM(EF239:EF240)*Index!EF$42</f>
        <v>0</v>
      </c>
      <c r="EG241" s="171">
        <f>SUM(EG239:EG240)*Index!EG$42</f>
        <v>0</v>
      </c>
      <c r="EH241" s="171">
        <f>SUM(EH239:EH240)*Index!EH$42</f>
        <v>0</v>
      </c>
      <c r="EI241" s="171">
        <f>SUM(EI239:EI240)*Index!EI$42</f>
        <v>0</v>
      </c>
      <c r="EJ241" s="171">
        <f>SUM(EJ239:EJ240)*Index!EJ$42</f>
        <v>0</v>
      </c>
      <c r="EK241" s="171">
        <f>SUM(EK239:EK240)*Index!EK$42</f>
        <v>0</v>
      </c>
      <c r="EL241" s="171">
        <f>SUM(EL239:EL240)*Index!EL$42</f>
        <v>0</v>
      </c>
      <c r="EM241" s="171">
        <f>SUM(EM239:EM240)*Index!EM$42</f>
        <v>0</v>
      </c>
      <c r="EN241" s="171">
        <f>SUM(EN239:EN240)*Index!EN$42</f>
        <v>0</v>
      </c>
      <c r="EO241" s="171">
        <f>SUM(EO239:EO240)*Index!EO$42</f>
        <v>0</v>
      </c>
      <c r="EP241" s="171">
        <f>SUM(EP239:EP240)*Index!EP$42</f>
        <v>0</v>
      </c>
      <c r="EQ241" s="171">
        <f>SUM(EQ239:EQ240)*Index!EQ$42</f>
        <v>0</v>
      </c>
    </row>
    <row r="242" spans="3:147" ht="11.25" customHeight="1">
      <c r="C242" s="244"/>
      <c r="D242" s="178"/>
      <c r="E242" s="179" t="s">
        <v>233</v>
      </c>
      <c r="F242" s="180"/>
      <c r="G242" s="180"/>
      <c r="H242" s="182"/>
      <c r="I242" s="245"/>
      <c r="J242" s="184"/>
      <c r="K242" s="98"/>
      <c r="L242" s="184">
        <f t="shared" ref="L242:AQ242" si="529">L239+L240-L241</f>
        <v>23040000</v>
      </c>
      <c r="M242" s="184">
        <f t="shared" si="529"/>
        <v>23040000</v>
      </c>
      <c r="N242" s="184">
        <f t="shared" si="529"/>
        <v>23040000</v>
      </c>
      <c r="O242" s="184">
        <f t="shared" si="529"/>
        <v>23040000</v>
      </c>
      <c r="P242" s="184">
        <f t="shared" si="529"/>
        <v>23040000</v>
      </c>
      <c r="Q242" s="184">
        <f t="shared" si="529"/>
        <v>23040000</v>
      </c>
      <c r="R242" s="184">
        <f t="shared" si="529"/>
        <v>23040000</v>
      </c>
      <c r="S242" s="184">
        <f t="shared" si="529"/>
        <v>23040000</v>
      </c>
      <c r="T242" s="184">
        <f t="shared" si="529"/>
        <v>23040000</v>
      </c>
      <c r="U242" s="184">
        <f t="shared" si="529"/>
        <v>23040000</v>
      </c>
      <c r="V242" s="184">
        <f t="shared" si="529"/>
        <v>23040000</v>
      </c>
      <c r="W242" s="184">
        <f t="shared" si="529"/>
        <v>23040000</v>
      </c>
      <c r="X242" s="184">
        <f t="shared" si="529"/>
        <v>23040000</v>
      </c>
      <c r="Y242" s="184">
        <f t="shared" si="529"/>
        <v>23040000</v>
      </c>
      <c r="Z242" s="184">
        <f t="shared" si="529"/>
        <v>23040000</v>
      </c>
      <c r="AA242" s="184">
        <f t="shared" si="529"/>
        <v>23040000</v>
      </c>
      <c r="AB242" s="184">
        <f t="shared" si="529"/>
        <v>23040000</v>
      </c>
      <c r="AC242" s="184">
        <f t="shared" si="529"/>
        <v>23040000</v>
      </c>
      <c r="AD242" s="184">
        <f t="shared" si="529"/>
        <v>23040000</v>
      </c>
      <c r="AE242" s="184">
        <f t="shared" si="529"/>
        <v>23040000</v>
      </c>
      <c r="AF242" s="184">
        <f t="shared" si="529"/>
        <v>23040000</v>
      </c>
      <c r="AG242" s="184">
        <f t="shared" si="529"/>
        <v>23040000</v>
      </c>
      <c r="AH242" s="184">
        <f t="shared" si="529"/>
        <v>23040000</v>
      </c>
      <c r="AI242" s="184">
        <f t="shared" si="529"/>
        <v>23040000</v>
      </c>
      <c r="AJ242" s="184">
        <f t="shared" si="529"/>
        <v>23040000</v>
      </c>
      <c r="AK242" s="184">
        <f t="shared" si="529"/>
        <v>23040000</v>
      </c>
      <c r="AL242" s="184">
        <f t="shared" si="529"/>
        <v>23040000</v>
      </c>
      <c r="AM242" s="184">
        <f t="shared" si="529"/>
        <v>23040000</v>
      </c>
      <c r="AN242" s="184">
        <f t="shared" si="529"/>
        <v>23040000</v>
      </c>
      <c r="AO242" s="184">
        <f t="shared" si="529"/>
        <v>23040000</v>
      </c>
      <c r="AP242" s="184">
        <f t="shared" si="529"/>
        <v>23040000</v>
      </c>
      <c r="AQ242" s="184">
        <f t="shared" si="529"/>
        <v>23040000</v>
      </c>
      <c r="AR242" s="184">
        <f t="shared" ref="AR242:BW242" si="530">AR239+AR240-AR241</f>
        <v>23040000</v>
      </c>
      <c r="AS242" s="184">
        <f t="shared" si="530"/>
        <v>23040000</v>
      </c>
      <c r="AT242" s="184">
        <f t="shared" si="530"/>
        <v>23040000</v>
      </c>
      <c r="AU242" s="184">
        <f t="shared" si="530"/>
        <v>23040000</v>
      </c>
      <c r="AV242" s="184">
        <f t="shared" si="530"/>
        <v>23040000</v>
      </c>
      <c r="AW242" s="184">
        <f t="shared" si="530"/>
        <v>23040000</v>
      </c>
      <c r="AX242" s="184">
        <f t="shared" si="530"/>
        <v>23040000</v>
      </c>
      <c r="AY242" s="184">
        <f t="shared" si="530"/>
        <v>23040000</v>
      </c>
      <c r="AZ242" s="184">
        <f t="shared" si="530"/>
        <v>23040000</v>
      </c>
      <c r="BA242" s="184">
        <f t="shared" si="530"/>
        <v>23040000</v>
      </c>
      <c r="BB242" s="184">
        <f t="shared" si="530"/>
        <v>23040000</v>
      </c>
      <c r="BC242" s="184">
        <f t="shared" si="530"/>
        <v>23040000</v>
      </c>
      <c r="BD242" s="184">
        <f t="shared" si="530"/>
        <v>23040000</v>
      </c>
      <c r="BE242" s="184">
        <f t="shared" si="530"/>
        <v>23040000</v>
      </c>
      <c r="BF242" s="184">
        <f t="shared" si="530"/>
        <v>23040000</v>
      </c>
      <c r="BG242" s="184">
        <f t="shared" si="530"/>
        <v>23040000</v>
      </c>
      <c r="BH242" s="184">
        <f t="shared" si="530"/>
        <v>23040000</v>
      </c>
      <c r="BI242" s="184">
        <f t="shared" si="530"/>
        <v>23040000</v>
      </c>
      <c r="BJ242" s="184">
        <f t="shared" si="530"/>
        <v>23040000</v>
      </c>
      <c r="BK242" s="184">
        <f t="shared" si="530"/>
        <v>23040000</v>
      </c>
      <c r="BL242" s="184">
        <f t="shared" si="530"/>
        <v>23040000</v>
      </c>
      <c r="BM242" s="184">
        <f t="shared" si="530"/>
        <v>23040000</v>
      </c>
      <c r="BN242" s="184">
        <f t="shared" si="530"/>
        <v>23040000</v>
      </c>
      <c r="BO242" s="184">
        <f t="shared" si="530"/>
        <v>23040000</v>
      </c>
      <c r="BP242" s="184">
        <f t="shared" si="530"/>
        <v>23040000</v>
      </c>
      <c r="BQ242" s="184">
        <f t="shared" si="530"/>
        <v>23040000</v>
      </c>
      <c r="BR242" s="184">
        <f t="shared" si="530"/>
        <v>23040000</v>
      </c>
      <c r="BS242" s="184">
        <f t="shared" si="530"/>
        <v>23040000</v>
      </c>
      <c r="BT242" s="184">
        <f t="shared" si="530"/>
        <v>23040000</v>
      </c>
      <c r="BU242" s="184">
        <f t="shared" si="530"/>
        <v>23040000</v>
      </c>
      <c r="BV242" s="184">
        <f t="shared" si="530"/>
        <v>23040000</v>
      </c>
      <c r="BW242" s="184">
        <f t="shared" si="530"/>
        <v>23040000</v>
      </c>
      <c r="BX242" s="184">
        <f t="shared" ref="BX242:DC242" si="531">BX239+BX240-BX241</f>
        <v>23040000</v>
      </c>
      <c r="BY242" s="184">
        <f t="shared" si="531"/>
        <v>23040000</v>
      </c>
      <c r="BZ242" s="184">
        <f t="shared" si="531"/>
        <v>23040000</v>
      </c>
      <c r="CA242" s="184">
        <f t="shared" si="531"/>
        <v>23040000</v>
      </c>
      <c r="CB242" s="184">
        <f t="shared" si="531"/>
        <v>23040000</v>
      </c>
      <c r="CC242" s="184">
        <f t="shared" si="531"/>
        <v>23040000</v>
      </c>
      <c r="CD242" s="184">
        <f t="shared" si="531"/>
        <v>23040000</v>
      </c>
      <c r="CE242" s="184">
        <f t="shared" si="531"/>
        <v>23040000</v>
      </c>
      <c r="CF242" s="184">
        <f t="shared" si="531"/>
        <v>23040000</v>
      </c>
      <c r="CG242" s="184">
        <f t="shared" si="531"/>
        <v>23040000</v>
      </c>
      <c r="CH242" s="184">
        <f t="shared" si="531"/>
        <v>23040000</v>
      </c>
      <c r="CI242" s="184">
        <f t="shared" si="531"/>
        <v>23040000</v>
      </c>
      <c r="CJ242" s="184">
        <f t="shared" si="531"/>
        <v>23040000</v>
      </c>
      <c r="CK242" s="184">
        <f t="shared" si="531"/>
        <v>23040000</v>
      </c>
      <c r="CL242" s="184">
        <f t="shared" si="531"/>
        <v>23040000</v>
      </c>
      <c r="CM242" s="184">
        <f t="shared" si="531"/>
        <v>23040000</v>
      </c>
      <c r="CN242" s="184">
        <f t="shared" si="531"/>
        <v>23040000</v>
      </c>
      <c r="CO242" s="184">
        <f t="shared" si="531"/>
        <v>23040000</v>
      </c>
      <c r="CP242" s="184">
        <f t="shared" si="531"/>
        <v>23040000</v>
      </c>
      <c r="CQ242" s="184">
        <f t="shared" si="531"/>
        <v>23040000</v>
      </c>
      <c r="CR242" s="184">
        <f t="shared" si="531"/>
        <v>23040000</v>
      </c>
      <c r="CS242" s="184">
        <f t="shared" si="531"/>
        <v>23040000</v>
      </c>
      <c r="CT242" s="184">
        <f t="shared" si="531"/>
        <v>23040000</v>
      </c>
      <c r="CU242" s="184">
        <f t="shared" si="531"/>
        <v>23040000</v>
      </c>
      <c r="CV242" s="184">
        <f t="shared" si="531"/>
        <v>23040000</v>
      </c>
      <c r="CW242" s="184">
        <f t="shared" si="531"/>
        <v>23040000</v>
      </c>
      <c r="CX242" s="184">
        <f t="shared" si="531"/>
        <v>23040000</v>
      </c>
      <c r="CY242" s="184">
        <f t="shared" si="531"/>
        <v>23040000</v>
      </c>
      <c r="CZ242" s="184">
        <f t="shared" si="531"/>
        <v>23040000</v>
      </c>
      <c r="DA242" s="184">
        <f t="shared" si="531"/>
        <v>23040000</v>
      </c>
      <c r="DB242" s="184">
        <f t="shared" si="531"/>
        <v>23040000</v>
      </c>
      <c r="DC242" s="184">
        <f t="shared" si="531"/>
        <v>23040000</v>
      </c>
      <c r="DD242" s="184">
        <f t="shared" ref="DD242:DT242" si="532">DD239+DD240-DD241</f>
        <v>23040000</v>
      </c>
      <c r="DE242" s="184">
        <f t="shared" si="532"/>
        <v>23040000</v>
      </c>
      <c r="DF242" s="184">
        <f t="shared" si="532"/>
        <v>23040000</v>
      </c>
      <c r="DG242" s="184">
        <f t="shared" si="532"/>
        <v>23040000</v>
      </c>
      <c r="DH242" s="184">
        <f t="shared" si="532"/>
        <v>23040000</v>
      </c>
      <c r="DI242" s="184">
        <f t="shared" si="532"/>
        <v>23040000</v>
      </c>
      <c r="DJ242" s="184">
        <f t="shared" si="532"/>
        <v>23040000</v>
      </c>
      <c r="DK242" s="184">
        <f t="shared" si="532"/>
        <v>23040000</v>
      </c>
      <c r="DL242" s="184">
        <f t="shared" si="532"/>
        <v>23040000</v>
      </c>
      <c r="DM242" s="184">
        <f t="shared" si="532"/>
        <v>23040000</v>
      </c>
      <c r="DN242" s="184">
        <f t="shared" si="532"/>
        <v>23040000</v>
      </c>
      <c r="DO242" s="184">
        <f t="shared" si="532"/>
        <v>23040000</v>
      </c>
      <c r="DP242" s="184">
        <f t="shared" si="532"/>
        <v>23040000</v>
      </c>
      <c r="DQ242" s="184">
        <f t="shared" si="532"/>
        <v>23040000</v>
      </c>
      <c r="DR242" s="184">
        <f t="shared" si="532"/>
        <v>23040000</v>
      </c>
      <c r="DS242" s="184">
        <f t="shared" si="532"/>
        <v>23040000</v>
      </c>
      <c r="DT242" s="184">
        <f t="shared" si="532"/>
        <v>23040000</v>
      </c>
      <c r="DU242" s="184">
        <f t="shared" ref="DU242:EA242" si="533">DU239+DU240-DU241</f>
        <v>23040000</v>
      </c>
      <c r="DV242" s="184">
        <f t="shared" si="533"/>
        <v>23040000</v>
      </c>
      <c r="DW242" s="184">
        <f t="shared" si="533"/>
        <v>23040000</v>
      </c>
      <c r="DX242" s="184">
        <f t="shared" si="533"/>
        <v>23040000</v>
      </c>
      <c r="DY242" s="184">
        <f t="shared" si="533"/>
        <v>23040000</v>
      </c>
      <c r="DZ242" s="184">
        <f t="shared" si="533"/>
        <v>23040000</v>
      </c>
      <c r="EA242" s="184">
        <f t="shared" si="533"/>
        <v>23040000</v>
      </c>
      <c r="EB242" s="184">
        <f t="shared" ref="EB242:EQ242" si="534">EB239+EB240-EB241</f>
        <v>0</v>
      </c>
      <c r="EC242" s="184">
        <f t="shared" si="534"/>
        <v>0</v>
      </c>
      <c r="ED242" s="1324">
        <f t="shared" si="534"/>
        <v>0</v>
      </c>
      <c r="EE242" s="184">
        <f t="shared" si="534"/>
        <v>0</v>
      </c>
      <c r="EF242" s="184">
        <f t="shared" si="534"/>
        <v>0</v>
      </c>
      <c r="EG242" s="184">
        <f t="shared" si="534"/>
        <v>0</v>
      </c>
      <c r="EH242" s="184">
        <f t="shared" si="534"/>
        <v>0</v>
      </c>
      <c r="EI242" s="184">
        <f t="shared" si="534"/>
        <v>0</v>
      </c>
      <c r="EJ242" s="184">
        <f t="shared" si="534"/>
        <v>0</v>
      </c>
      <c r="EK242" s="184">
        <f t="shared" si="534"/>
        <v>0</v>
      </c>
      <c r="EL242" s="184">
        <f t="shared" si="534"/>
        <v>0</v>
      </c>
      <c r="EM242" s="184">
        <f t="shared" si="534"/>
        <v>0</v>
      </c>
      <c r="EN242" s="184">
        <f t="shared" si="534"/>
        <v>0</v>
      </c>
      <c r="EO242" s="184">
        <f t="shared" si="534"/>
        <v>0</v>
      </c>
      <c r="EP242" s="184">
        <f t="shared" si="534"/>
        <v>0</v>
      </c>
      <c r="EQ242" s="184">
        <f t="shared" si="534"/>
        <v>0</v>
      </c>
    </row>
    <row r="243" spans="3:147" ht="11.25" customHeight="1">
      <c r="C243" s="218"/>
      <c r="D243" s="158" t="s">
        <v>1087</v>
      </c>
      <c r="E243" s="159"/>
      <c r="F243" s="159"/>
      <c r="G243" s="159"/>
      <c r="H243" s="160"/>
      <c r="I243" s="219"/>
      <c r="J243" s="220"/>
      <c r="K243" s="98"/>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162"/>
      <c r="AK243" s="162"/>
      <c r="AL243" s="162"/>
      <c r="AM243" s="162"/>
      <c r="AN243" s="162"/>
      <c r="AO243" s="162"/>
      <c r="AP243" s="162"/>
      <c r="AQ243" s="162"/>
      <c r="AR243" s="162"/>
      <c r="AS243" s="162"/>
      <c r="AT243" s="162"/>
      <c r="AU243" s="162"/>
      <c r="AV243" s="162"/>
      <c r="AW243" s="162"/>
      <c r="AX243" s="162"/>
      <c r="AY243" s="162"/>
      <c r="AZ243" s="162"/>
      <c r="BA243" s="162"/>
      <c r="BB243" s="162"/>
      <c r="BC243" s="162"/>
      <c r="BD243" s="162"/>
      <c r="BE243" s="162"/>
      <c r="BF243" s="162"/>
      <c r="BG243" s="162"/>
      <c r="BH243" s="162"/>
      <c r="BI243" s="162"/>
      <c r="BJ243" s="162"/>
      <c r="BK243" s="162"/>
      <c r="BL243" s="162"/>
      <c r="BM243" s="162"/>
      <c r="BN243" s="162"/>
      <c r="BO243" s="162"/>
      <c r="BP243" s="162"/>
      <c r="BQ243" s="162"/>
      <c r="BR243" s="162"/>
      <c r="BS243" s="162"/>
      <c r="BT243" s="162"/>
      <c r="BU243" s="162"/>
      <c r="BV243" s="162"/>
      <c r="BW243" s="162"/>
      <c r="BX243" s="162"/>
      <c r="BY243" s="162"/>
      <c r="BZ243" s="162"/>
      <c r="CA243" s="162"/>
      <c r="CB243" s="162"/>
      <c r="CC243" s="162"/>
      <c r="CD243" s="162"/>
      <c r="CE243" s="162"/>
      <c r="CF243" s="162"/>
      <c r="CG243" s="162"/>
      <c r="CH243" s="162"/>
      <c r="CI243" s="162"/>
      <c r="CJ243" s="162"/>
      <c r="CK243" s="162"/>
      <c r="CL243" s="162"/>
      <c r="CM243" s="162"/>
      <c r="CN243" s="162"/>
      <c r="CO243" s="162"/>
      <c r="CP243" s="162"/>
      <c r="CQ243" s="162"/>
      <c r="CR243" s="162"/>
      <c r="CS243" s="162"/>
      <c r="CT243" s="162"/>
      <c r="CU243" s="162"/>
      <c r="CV243" s="162"/>
      <c r="CW243" s="162"/>
      <c r="CX243" s="162"/>
      <c r="CY243" s="162"/>
      <c r="CZ243" s="162"/>
      <c r="DA243" s="162"/>
      <c r="DB243" s="162"/>
      <c r="DC243" s="162"/>
      <c r="DD243" s="162"/>
      <c r="DE243" s="162"/>
      <c r="DF243" s="162"/>
      <c r="DG243" s="162"/>
      <c r="DH243" s="162"/>
      <c r="DI243" s="162"/>
      <c r="DJ243" s="162"/>
      <c r="DK243" s="162"/>
      <c r="DL243" s="162"/>
      <c r="DM243" s="162"/>
      <c r="DN243" s="162"/>
      <c r="DO243" s="162"/>
      <c r="DP243" s="162"/>
      <c r="DQ243" s="162"/>
      <c r="DR243" s="162"/>
      <c r="DS243" s="162"/>
      <c r="DT243" s="162"/>
      <c r="DU243" s="162"/>
      <c r="DV243" s="162"/>
      <c r="DW243" s="162"/>
      <c r="DX243" s="162"/>
      <c r="DY243" s="162"/>
      <c r="DZ243" s="162"/>
      <c r="EA243" s="162"/>
      <c r="EB243" s="162"/>
      <c r="EC243" s="162"/>
      <c r="ED243" s="1319"/>
      <c r="EE243" s="162"/>
      <c r="EF243" s="162"/>
      <c r="EG243" s="162"/>
      <c r="EH243" s="162"/>
      <c r="EI243" s="162"/>
      <c r="EJ243" s="162"/>
      <c r="EK243" s="162"/>
      <c r="EL243" s="162"/>
      <c r="EM243" s="162"/>
      <c r="EN243" s="162"/>
      <c r="EO243" s="162"/>
      <c r="EP243" s="162"/>
      <c r="EQ243" s="162"/>
    </row>
    <row r="244" spans="3:147" ht="11.25" customHeight="1">
      <c r="C244" s="218"/>
      <c r="D244" s="163"/>
      <c r="E244" s="164" t="s">
        <v>217</v>
      </c>
      <c r="F244" s="165"/>
      <c r="G244" s="165"/>
      <c r="H244" s="166"/>
      <c r="I244" s="221"/>
      <c r="J244" s="168"/>
      <c r="K244" s="98"/>
      <c r="L244" s="168">
        <f t="shared" ref="L244:AQ244" si="535">K247</f>
        <v>0</v>
      </c>
      <c r="M244" s="168">
        <f t="shared" si="535"/>
        <v>2000000</v>
      </c>
      <c r="N244" s="168">
        <f t="shared" si="535"/>
        <v>2000000</v>
      </c>
      <c r="O244" s="168">
        <f t="shared" si="535"/>
        <v>2000000</v>
      </c>
      <c r="P244" s="168">
        <f t="shared" si="535"/>
        <v>2000000</v>
      </c>
      <c r="Q244" s="168">
        <f t="shared" si="535"/>
        <v>2000000</v>
      </c>
      <c r="R244" s="168">
        <f t="shared" si="535"/>
        <v>2000000</v>
      </c>
      <c r="S244" s="168">
        <f t="shared" si="535"/>
        <v>2000000</v>
      </c>
      <c r="T244" s="168">
        <f t="shared" si="535"/>
        <v>2000000</v>
      </c>
      <c r="U244" s="168">
        <f t="shared" si="535"/>
        <v>2000000</v>
      </c>
      <c r="V244" s="168">
        <f t="shared" si="535"/>
        <v>2000000</v>
      </c>
      <c r="W244" s="168">
        <f t="shared" si="535"/>
        <v>2000000</v>
      </c>
      <c r="X244" s="168">
        <f t="shared" si="535"/>
        <v>2000000</v>
      </c>
      <c r="Y244" s="168">
        <f t="shared" si="535"/>
        <v>2000000</v>
      </c>
      <c r="Z244" s="168">
        <f t="shared" si="535"/>
        <v>2000000</v>
      </c>
      <c r="AA244" s="168">
        <f t="shared" si="535"/>
        <v>2000000</v>
      </c>
      <c r="AB244" s="168">
        <f t="shared" si="535"/>
        <v>2000000</v>
      </c>
      <c r="AC244" s="168">
        <f t="shared" si="535"/>
        <v>2000000</v>
      </c>
      <c r="AD244" s="168">
        <f t="shared" si="535"/>
        <v>2000000</v>
      </c>
      <c r="AE244" s="168">
        <f t="shared" si="535"/>
        <v>2000000</v>
      </c>
      <c r="AF244" s="168">
        <f t="shared" si="535"/>
        <v>2000000</v>
      </c>
      <c r="AG244" s="168">
        <f t="shared" si="535"/>
        <v>2000000</v>
      </c>
      <c r="AH244" s="168">
        <f t="shared" si="535"/>
        <v>2000000</v>
      </c>
      <c r="AI244" s="168">
        <f t="shared" si="535"/>
        <v>2000000</v>
      </c>
      <c r="AJ244" s="168">
        <f t="shared" si="535"/>
        <v>2000000</v>
      </c>
      <c r="AK244" s="168">
        <f t="shared" si="535"/>
        <v>2000000</v>
      </c>
      <c r="AL244" s="168">
        <f t="shared" si="535"/>
        <v>2000000</v>
      </c>
      <c r="AM244" s="168">
        <f t="shared" si="535"/>
        <v>2000000</v>
      </c>
      <c r="AN244" s="168">
        <f t="shared" si="535"/>
        <v>2000000</v>
      </c>
      <c r="AO244" s="168">
        <f t="shared" si="535"/>
        <v>2000000</v>
      </c>
      <c r="AP244" s="168">
        <f t="shared" si="535"/>
        <v>2000000</v>
      </c>
      <c r="AQ244" s="168">
        <f t="shared" si="535"/>
        <v>2000000</v>
      </c>
      <c r="AR244" s="168">
        <f t="shared" ref="AR244:BW244" si="536">AQ247</f>
        <v>2000000</v>
      </c>
      <c r="AS244" s="168">
        <f t="shared" si="536"/>
        <v>2000000</v>
      </c>
      <c r="AT244" s="168">
        <f t="shared" si="536"/>
        <v>2000000</v>
      </c>
      <c r="AU244" s="168">
        <f t="shared" si="536"/>
        <v>2000000</v>
      </c>
      <c r="AV244" s="168">
        <f t="shared" si="536"/>
        <v>2000000</v>
      </c>
      <c r="AW244" s="168">
        <f t="shared" si="536"/>
        <v>2000000</v>
      </c>
      <c r="AX244" s="168">
        <f t="shared" si="536"/>
        <v>2000000</v>
      </c>
      <c r="AY244" s="168">
        <f t="shared" si="536"/>
        <v>2000000</v>
      </c>
      <c r="AZ244" s="168">
        <f t="shared" si="536"/>
        <v>2000000</v>
      </c>
      <c r="BA244" s="168">
        <f t="shared" si="536"/>
        <v>2000000</v>
      </c>
      <c r="BB244" s="168">
        <f t="shared" si="536"/>
        <v>2000000</v>
      </c>
      <c r="BC244" s="168">
        <f t="shared" si="536"/>
        <v>2000000</v>
      </c>
      <c r="BD244" s="168">
        <f t="shared" si="536"/>
        <v>2000000</v>
      </c>
      <c r="BE244" s="168">
        <f t="shared" si="536"/>
        <v>2000000</v>
      </c>
      <c r="BF244" s="168">
        <f t="shared" si="536"/>
        <v>2000000</v>
      </c>
      <c r="BG244" s="168">
        <f t="shared" si="536"/>
        <v>2000000</v>
      </c>
      <c r="BH244" s="168">
        <f t="shared" si="536"/>
        <v>2000000</v>
      </c>
      <c r="BI244" s="168">
        <f t="shared" si="536"/>
        <v>2000000</v>
      </c>
      <c r="BJ244" s="168">
        <f t="shared" si="536"/>
        <v>2000000</v>
      </c>
      <c r="BK244" s="168">
        <f t="shared" si="536"/>
        <v>2000000</v>
      </c>
      <c r="BL244" s="168">
        <f t="shared" si="536"/>
        <v>2000000</v>
      </c>
      <c r="BM244" s="168">
        <f t="shared" si="536"/>
        <v>2000000</v>
      </c>
      <c r="BN244" s="168">
        <f t="shared" si="536"/>
        <v>2000000</v>
      </c>
      <c r="BO244" s="168">
        <f t="shared" si="536"/>
        <v>2000000</v>
      </c>
      <c r="BP244" s="168">
        <f t="shared" si="536"/>
        <v>2000000</v>
      </c>
      <c r="BQ244" s="168">
        <f t="shared" si="536"/>
        <v>2000000</v>
      </c>
      <c r="BR244" s="168">
        <f t="shared" si="536"/>
        <v>2000000</v>
      </c>
      <c r="BS244" s="168">
        <f t="shared" si="536"/>
        <v>2000000</v>
      </c>
      <c r="BT244" s="168">
        <f t="shared" si="536"/>
        <v>2000000</v>
      </c>
      <c r="BU244" s="168">
        <f t="shared" si="536"/>
        <v>2000000</v>
      </c>
      <c r="BV244" s="168">
        <f t="shared" si="536"/>
        <v>2000000</v>
      </c>
      <c r="BW244" s="168">
        <f t="shared" si="536"/>
        <v>2000000</v>
      </c>
      <c r="BX244" s="168">
        <f t="shared" ref="BX244:DC244" si="537">BW247</f>
        <v>2000000</v>
      </c>
      <c r="BY244" s="168">
        <f t="shared" si="537"/>
        <v>2000000</v>
      </c>
      <c r="BZ244" s="168">
        <f t="shared" si="537"/>
        <v>2000000</v>
      </c>
      <c r="CA244" s="168">
        <f t="shared" si="537"/>
        <v>2000000</v>
      </c>
      <c r="CB244" s="168">
        <f t="shared" si="537"/>
        <v>2000000</v>
      </c>
      <c r="CC244" s="168">
        <f t="shared" si="537"/>
        <v>2000000</v>
      </c>
      <c r="CD244" s="168">
        <f t="shared" si="537"/>
        <v>2000000</v>
      </c>
      <c r="CE244" s="168">
        <f t="shared" si="537"/>
        <v>2000000</v>
      </c>
      <c r="CF244" s="168">
        <f t="shared" si="537"/>
        <v>2000000</v>
      </c>
      <c r="CG244" s="168">
        <f t="shared" si="537"/>
        <v>2000000</v>
      </c>
      <c r="CH244" s="168">
        <f t="shared" si="537"/>
        <v>2000000</v>
      </c>
      <c r="CI244" s="168">
        <f t="shared" si="537"/>
        <v>2000000</v>
      </c>
      <c r="CJ244" s="168">
        <f t="shared" si="537"/>
        <v>2000000</v>
      </c>
      <c r="CK244" s="168">
        <f t="shared" si="537"/>
        <v>2000000</v>
      </c>
      <c r="CL244" s="168">
        <f t="shared" si="537"/>
        <v>2000000</v>
      </c>
      <c r="CM244" s="168">
        <f t="shared" si="537"/>
        <v>2000000</v>
      </c>
      <c r="CN244" s="168">
        <f t="shared" si="537"/>
        <v>2000000</v>
      </c>
      <c r="CO244" s="168">
        <f t="shared" si="537"/>
        <v>2000000</v>
      </c>
      <c r="CP244" s="168">
        <f t="shared" si="537"/>
        <v>2000000</v>
      </c>
      <c r="CQ244" s="168">
        <f t="shared" si="537"/>
        <v>2000000</v>
      </c>
      <c r="CR244" s="168">
        <f t="shared" si="537"/>
        <v>2000000</v>
      </c>
      <c r="CS244" s="168">
        <f t="shared" si="537"/>
        <v>2000000</v>
      </c>
      <c r="CT244" s="168">
        <f t="shared" si="537"/>
        <v>2000000</v>
      </c>
      <c r="CU244" s="168">
        <f t="shared" si="537"/>
        <v>2000000</v>
      </c>
      <c r="CV244" s="168">
        <f t="shared" si="537"/>
        <v>2000000</v>
      </c>
      <c r="CW244" s="168">
        <f t="shared" si="537"/>
        <v>2000000</v>
      </c>
      <c r="CX244" s="168">
        <f t="shared" si="537"/>
        <v>2000000</v>
      </c>
      <c r="CY244" s="168">
        <f t="shared" si="537"/>
        <v>2000000</v>
      </c>
      <c r="CZ244" s="168">
        <f t="shared" si="537"/>
        <v>2000000</v>
      </c>
      <c r="DA244" s="168">
        <f t="shared" si="537"/>
        <v>2000000</v>
      </c>
      <c r="DB244" s="168">
        <f t="shared" si="537"/>
        <v>2000000</v>
      </c>
      <c r="DC244" s="168">
        <f t="shared" si="537"/>
        <v>2000000</v>
      </c>
      <c r="DD244" s="168">
        <f t="shared" ref="DD244:EI244" si="538">DC247</f>
        <v>2000000</v>
      </c>
      <c r="DE244" s="168">
        <f t="shared" si="538"/>
        <v>2000000</v>
      </c>
      <c r="DF244" s="168">
        <f t="shared" si="538"/>
        <v>2000000</v>
      </c>
      <c r="DG244" s="168">
        <f t="shared" si="538"/>
        <v>2000000</v>
      </c>
      <c r="DH244" s="168">
        <f t="shared" si="538"/>
        <v>2000000</v>
      </c>
      <c r="DI244" s="168">
        <f t="shared" si="538"/>
        <v>2000000</v>
      </c>
      <c r="DJ244" s="168">
        <f t="shared" si="538"/>
        <v>2000000</v>
      </c>
      <c r="DK244" s="168">
        <f t="shared" si="538"/>
        <v>2000000</v>
      </c>
      <c r="DL244" s="168">
        <f t="shared" si="538"/>
        <v>2000000</v>
      </c>
      <c r="DM244" s="168">
        <f t="shared" si="538"/>
        <v>2000000</v>
      </c>
      <c r="DN244" s="168">
        <f t="shared" si="538"/>
        <v>2000000</v>
      </c>
      <c r="DO244" s="168">
        <f t="shared" si="538"/>
        <v>2000000</v>
      </c>
      <c r="DP244" s="168">
        <f t="shared" si="538"/>
        <v>2000000</v>
      </c>
      <c r="DQ244" s="168">
        <f t="shared" si="538"/>
        <v>2000000</v>
      </c>
      <c r="DR244" s="168">
        <f t="shared" si="538"/>
        <v>2000000</v>
      </c>
      <c r="DS244" s="168">
        <f t="shared" si="538"/>
        <v>2000000</v>
      </c>
      <c r="DT244" s="168">
        <f t="shared" si="538"/>
        <v>2000000</v>
      </c>
      <c r="DU244" s="168">
        <f t="shared" si="538"/>
        <v>2000000</v>
      </c>
      <c r="DV244" s="168">
        <f t="shared" si="538"/>
        <v>2000000</v>
      </c>
      <c r="DW244" s="168">
        <f t="shared" si="538"/>
        <v>2000000</v>
      </c>
      <c r="DX244" s="168">
        <f t="shared" si="538"/>
        <v>2000000</v>
      </c>
      <c r="DY244" s="168">
        <f t="shared" si="538"/>
        <v>2000000</v>
      </c>
      <c r="DZ244" s="168">
        <f t="shared" si="538"/>
        <v>2000000</v>
      </c>
      <c r="EA244" s="168">
        <f t="shared" si="538"/>
        <v>2000000</v>
      </c>
      <c r="EB244" s="168">
        <f t="shared" si="538"/>
        <v>2000000</v>
      </c>
      <c r="EC244" s="168">
        <f t="shared" si="538"/>
        <v>0</v>
      </c>
      <c r="ED244" s="1320">
        <f t="shared" si="538"/>
        <v>0</v>
      </c>
      <c r="EE244" s="168">
        <f t="shared" si="538"/>
        <v>0</v>
      </c>
      <c r="EF244" s="168">
        <f t="shared" si="538"/>
        <v>0</v>
      </c>
      <c r="EG244" s="168">
        <f t="shared" si="538"/>
        <v>0</v>
      </c>
      <c r="EH244" s="168">
        <f t="shared" si="538"/>
        <v>0</v>
      </c>
      <c r="EI244" s="168">
        <f t="shared" si="538"/>
        <v>0</v>
      </c>
      <c r="EJ244" s="168">
        <f t="shared" ref="EJ244:EQ244" si="539">EI247</f>
        <v>0</v>
      </c>
      <c r="EK244" s="168">
        <f t="shared" si="539"/>
        <v>0</v>
      </c>
      <c r="EL244" s="168">
        <f t="shared" si="539"/>
        <v>0</v>
      </c>
      <c r="EM244" s="168">
        <f t="shared" si="539"/>
        <v>0</v>
      </c>
      <c r="EN244" s="168">
        <f t="shared" si="539"/>
        <v>0</v>
      </c>
      <c r="EO244" s="168">
        <f t="shared" si="539"/>
        <v>0</v>
      </c>
      <c r="EP244" s="168">
        <f t="shared" si="539"/>
        <v>0</v>
      </c>
      <c r="EQ244" s="168">
        <f t="shared" si="539"/>
        <v>0</v>
      </c>
    </row>
    <row r="245" spans="3:147" ht="11.25" customHeight="1">
      <c r="C245" s="218"/>
      <c r="D245" s="163"/>
      <c r="E245" s="169" t="s">
        <v>218</v>
      </c>
      <c r="H245" s="146">
        <f>'A&amp;R'!M42</f>
        <v>46326</v>
      </c>
      <c r="I245" s="13">
        <f>SUM('A&amp;R'!S91,'A&amp;R'!S92,'A&amp;R'!S93)</f>
        <v>2000000</v>
      </c>
      <c r="J245" s="171">
        <f>SUM(L245:EQ245)</f>
        <v>2000000</v>
      </c>
      <c r="K245" s="98"/>
      <c r="L245" s="171">
        <f>$I245*(L$231=$H245)</f>
        <v>2000000</v>
      </c>
      <c r="M245" s="171">
        <f t="shared" ref="M245:BX245" si="540">$I245*(M$231=$H245)</f>
        <v>0</v>
      </c>
      <c r="N245" s="171">
        <f t="shared" si="540"/>
        <v>0</v>
      </c>
      <c r="O245" s="171">
        <f t="shared" si="540"/>
        <v>0</v>
      </c>
      <c r="P245" s="171">
        <f t="shared" si="540"/>
        <v>0</v>
      </c>
      <c r="Q245" s="171">
        <f t="shared" si="540"/>
        <v>0</v>
      </c>
      <c r="R245" s="171">
        <f t="shared" si="540"/>
        <v>0</v>
      </c>
      <c r="S245" s="171">
        <f t="shared" si="540"/>
        <v>0</v>
      </c>
      <c r="T245" s="171">
        <f t="shared" si="540"/>
        <v>0</v>
      </c>
      <c r="U245" s="171">
        <f t="shared" si="540"/>
        <v>0</v>
      </c>
      <c r="V245" s="171">
        <f t="shared" si="540"/>
        <v>0</v>
      </c>
      <c r="W245" s="171">
        <f t="shared" si="540"/>
        <v>0</v>
      </c>
      <c r="X245" s="171">
        <f t="shared" si="540"/>
        <v>0</v>
      </c>
      <c r="Y245" s="171">
        <f t="shared" si="540"/>
        <v>0</v>
      </c>
      <c r="Z245" s="171">
        <f t="shared" si="540"/>
        <v>0</v>
      </c>
      <c r="AA245" s="171">
        <f t="shared" si="540"/>
        <v>0</v>
      </c>
      <c r="AB245" s="171">
        <f t="shared" si="540"/>
        <v>0</v>
      </c>
      <c r="AC245" s="171">
        <f t="shared" si="540"/>
        <v>0</v>
      </c>
      <c r="AD245" s="171">
        <f t="shared" si="540"/>
        <v>0</v>
      </c>
      <c r="AE245" s="171">
        <f t="shared" si="540"/>
        <v>0</v>
      </c>
      <c r="AF245" s="171">
        <f t="shared" si="540"/>
        <v>0</v>
      </c>
      <c r="AG245" s="171">
        <f t="shared" si="540"/>
        <v>0</v>
      </c>
      <c r="AH245" s="171">
        <f t="shared" si="540"/>
        <v>0</v>
      </c>
      <c r="AI245" s="171">
        <f t="shared" si="540"/>
        <v>0</v>
      </c>
      <c r="AJ245" s="171">
        <f t="shared" si="540"/>
        <v>0</v>
      </c>
      <c r="AK245" s="171">
        <f t="shared" si="540"/>
        <v>0</v>
      </c>
      <c r="AL245" s="171">
        <f t="shared" si="540"/>
        <v>0</v>
      </c>
      <c r="AM245" s="171">
        <f t="shared" si="540"/>
        <v>0</v>
      </c>
      <c r="AN245" s="171">
        <f t="shared" si="540"/>
        <v>0</v>
      </c>
      <c r="AO245" s="171">
        <f t="shared" si="540"/>
        <v>0</v>
      </c>
      <c r="AP245" s="171">
        <f t="shared" si="540"/>
        <v>0</v>
      </c>
      <c r="AQ245" s="171">
        <f t="shared" si="540"/>
        <v>0</v>
      </c>
      <c r="AR245" s="171">
        <f t="shared" si="540"/>
        <v>0</v>
      </c>
      <c r="AS245" s="171">
        <f t="shared" si="540"/>
        <v>0</v>
      </c>
      <c r="AT245" s="171">
        <f t="shared" si="540"/>
        <v>0</v>
      </c>
      <c r="AU245" s="171">
        <f t="shared" si="540"/>
        <v>0</v>
      </c>
      <c r="AV245" s="171">
        <f t="shared" si="540"/>
        <v>0</v>
      </c>
      <c r="AW245" s="171">
        <f t="shared" si="540"/>
        <v>0</v>
      </c>
      <c r="AX245" s="171">
        <f t="shared" si="540"/>
        <v>0</v>
      </c>
      <c r="AY245" s="171">
        <f t="shared" si="540"/>
        <v>0</v>
      </c>
      <c r="AZ245" s="171">
        <f t="shared" si="540"/>
        <v>0</v>
      </c>
      <c r="BA245" s="171">
        <f t="shared" si="540"/>
        <v>0</v>
      </c>
      <c r="BB245" s="171">
        <f t="shared" si="540"/>
        <v>0</v>
      </c>
      <c r="BC245" s="171">
        <f t="shared" si="540"/>
        <v>0</v>
      </c>
      <c r="BD245" s="171">
        <f t="shared" si="540"/>
        <v>0</v>
      </c>
      <c r="BE245" s="171">
        <f t="shared" si="540"/>
        <v>0</v>
      </c>
      <c r="BF245" s="171">
        <f t="shared" si="540"/>
        <v>0</v>
      </c>
      <c r="BG245" s="171">
        <f t="shared" si="540"/>
        <v>0</v>
      </c>
      <c r="BH245" s="171">
        <f t="shared" si="540"/>
        <v>0</v>
      </c>
      <c r="BI245" s="171">
        <f t="shared" si="540"/>
        <v>0</v>
      </c>
      <c r="BJ245" s="171">
        <f t="shared" si="540"/>
        <v>0</v>
      </c>
      <c r="BK245" s="171">
        <f t="shared" si="540"/>
        <v>0</v>
      </c>
      <c r="BL245" s="171">
        <f t="shared" si="540"/>
        <v>0</v>
      </c>
      <c r="BM245" s="171">
        <f t="shared" si="540"/>
        <v>0</v>
      </c>
      <c r="BN245" s="171">
        <f t="shared" si="540"/>
        <v>0</v>
      </c>
      <c r="BO245" s="171">
        <f t="shared" si="540"/>
        <v>0</v>
      </c>
      <c r="BP245" s="171">
        <f t="shared" si="540"/>
        <v>0</v>
      </c>
      <c r="BQ245" s="171">
        <f t="shared" si="540"/>
        <v>0</v>
      </c>
      <c r="BR245" s="171">
        <f t="shared" si="540"/>
        <v>0</v>
      </c>
      <c r="BS245" s="171">
        <f t="shared" si="540"/>
        <v>0</v>
      </c>
      <c r="BT245" s="171">
        <f t="shared" si="540"/>
        <v>0</v>
      </c>
      <c r="BU245" s="171">
        <f t="shared" si="540"/>
        <v>0</v>
      </c>
      <c r="BV245" s="171">
        <f t="shared" si="540"/>
        <v>0</v>
      </c>
      <c r="BW245" s="171">
        <f t="shared" si="540"/>
        <v>0</v>
      </c>
      <c r="BX245" s="171">
        <f t="shared" si="540"/>
        <v>0</v>
      </c>
      <c r="BY245" s="171">
        <f t="shared" ref="BY245:EJ245" si="541">$I245*(BY$231=$H245)</f>
        <v>0</v>
      </c>
      <c r="BZ245" s="171">
        <f t="shared" si="541"/>
        <v>0</v>
      </c>
      <c r="CA245" s="171">
        <f t="shared" si="541"/>
        <v>0</v>
      </c>
      <c r="CB245" s="171">
        <f t="shared" si="541"/>
        <v>0</v>
      </c>
      <c r="CC245" s="171">
        <f t="shared" si="541"/>
        <v>0</v>
      </c>
      <c r="CD245" s="171">
        <f t="shared" si="541"/>
        <v>0</v>
      </c>
      <c r="CE245" s="171">
        <f t="shared" si="541"/>
        <v>0</v>
      </c>
      <c r="CF245" s="171">
        <f t="shared" si="541"/>
        <v>0</v>
      </c>
      <c r="CG245" s="171">
        <f t="shared" si="541"/>
        <v>0</v>
      </c>
      <c r="CH245" s="171">
        <f t="shared" si="541"/>
        <v>0</v>
      </c>
      <c r="CI245" s="171">
        <f t="shared" si="541"/>
        <v>0</v>
      </c>
      <c r="CJ245" s="171">
        <f t="shared" si="541"/>
        <v>0</v>
      </c>
      <c r="CK245" s="171">
        <f t="shared" si="541"/>
        <v>0</v>
      </c>
      <c r="CL245" s="171">
        <f t="shared" si="541"/>
        <v>0</v>
      </c>
      <c r="CM245" s="171">
        <f t="shared" si="541"/>
        <v>0</v>
      </c>
      <c r="CN245" s="171">
        <f t="shared" si="541"/>
        <v>0</v>
      </c>
      <c r="CO245" s="171">
        <f t="shared" si="541"/>
        <v>0</v>
      </c>
      <c r="CP245" s="171">
        <f t="shared" si="541"/>
        <v>0</v>
      </c>
      <c r="CQ245" s="171">
        <f t="shared" si="541"/>
        <v>0</v>
      </c>
      <c r="CR245" s="171">
        <f t="shared" si="541"/>
        <v>0</v>
      </c>
      <c r="CS245" s="171">
        <f t="shared" si="541"/>
        <v>0</v>
      </c>
      <c r="CT245" s="171">
        <f t="shared" si="541"/>
        <v>0</v>
      </c>
      <c r="CU245" s="171">
        <f t="shared" si="541"/>
        <v>0</v>
      </c>
      <c r="CV245" s="171">
        <f t="shared" si="541"/>
        <v>0</v>
      </c>
      <c r="CW245" s="171">
        <f t="shared" si="541"/>
        <v>0</v>
      </c>
      <c r="CX245" s="171">
        <f t="shared" si="541"/>
        <v>0</v>
      </c>
      <c r="CY245" s="171">
        <f t="shared" si="541"/>
        <v>0</v>
      </c>
      <c r="CZ245" s="171">
        <f t="shared" si="541"/>
        <v>0</v>
      </c>
      <c r="DA245" s="171">
        <f t="shared" si="541"/>
        <v>0</v>
      </c>
      <c r="DB245" s="171">
        <f t="shared" si="541"/>
        <v>0</v>
      </c>
      <c r="DC245" s="171">
        <f t="shared" si="541"/>
        <v>0</v>
      </c>
      <c r="DD245" s="171">
        <f t="shared" si="541"/>
        <v>0</v>
      </c>
      <c r="DE245" s="171">
        <f t="shared" si="541"/>
        <v>0</v>
      </c>
      <c r="DF245" s="171">
        <f t="shared" si="541"/>
        <v>0</v>
      </c>
      <c r="DG245" s="171">
        <f t="shared" si="541"/>
        <v>0</v>
      </c>
      <c r="DH245" s="171">
        <f t="shared" si="541"/>
        <v>0</v>
      </c>
      <c r="DI245" s="171">
        <f t="shared" si="541"/>
        <v>0</v>
      </c>
      <c r="DJ245" s="171">
        <f t="shared" si="541"/>
        <v>0</v>
      </c>
      <c r="DK245" s="171">
        <f t="shared" si="541"/>
        <v>0</v>
      </c>
      <c r="DL245" s="171">
        <f t="shared" si="541"/>
        <v>0</v>
      </c>
      <c r="DM245" s="171">
        <f t="shared" si="541"/>
        <v>0</v>
      </c>
      <c r="DN245" s="171">
        <f t="shared" si="541"/>
        <v>0</v>
      </c>
      <c r="DO245" s="171">
        <f t="shared" si="541"/>
        <v>0</v>
      </c>
      <c r="DP245" s="171">
        <f t="shared" si="541"/>
        <v>0</v>
      </c>
      <c r="DQ245" s="171">
        <f t="shared" si="541"/>
        <v>0</v>
      </c>
      <c r="DR245" s="171">
        <f t="shared" si="541"/>
        <v>0</v>
      </c>
      <c r="DS245" s="171">
        <f t="shared" si="541"/>
        <v>0</v>
      </c>
      <c r="DT245" s="171">
        <f t="shared" si="541"/>
        <v>0</v>
      </c>
      <c r="DU245" s="171">
        <f t="shared" si="541"/>
        <v>0</v>
      </c>
      <c r="DV245" s="171">
        <f t="shared" si="541"/>
        <v>0</v>
      </c>
      <c r="DW245" s="171">
        <f t="shared" si="541"/>
        <v>0</v>
      </c>
      <c r="DX245" s="171">
        <f t="shared" si="541"/>
        <v>0</v>
      </c>
      <c r="DY245" s="171">
        <f t="shared" si="541"/>
        <v>0</v>
      </c>
      <c r="DZ245" s="171">
        <f t="shared" si="541"/>
        <v>0</v>
      </c>
      <c r="EA245" s="171">
        <f t="shared" si="541"/>
        <v>0</v>
      </c>
      <c r="EB245" s="171">
        <f t="shared" si="541"/>
        <v>0</v>
      </c>
      <c r="EC245" s="171">
        <f t="shared" si="541"/>
        <v>0</v>
      </c>
      <c r="ED245" s="1321">
        <f t="shared" si="541"/>
        <v>0</v>
      </c>
      <c r="EE245" s="171">
        <f t="shared" si="541"/>
        <v>0</v>
      </c>
      <c r="EF245" s="171">
        <f t="shared" si="541"/>
        <v>0</v>
      </c>
      <c r="EG245" s="171">
        <f t="shared" si="541"/>
        <v>0</v>
      </c>
      <c r="EH245" s="171">
        <f t="shared" si="541"/>
        <v>0</v>
      </c>
      <c r="EI245" s="171">
        <f t="shared" si="541"/>
        <v>0</v>
      </c>
      <c r="EJ245" s="171">
        <f t="shared" si="541"/>
        <v>0</v>
      </c>
      <c r="EK245" s="171">
        <f t="shared" ref="EK245:EQ245" si="542">$I245*(EK$231=$H245)</f>
        <v>0</v>
      </c>
      <c r="EL245" s="171">
        <f t="shared" si="542"/>
        <v>0</v>
      </c>
      <c r="EM245" s="171">
        <f t="shared" si="542"/>
        <v>0</v>
      </c>
      <c r="EN245" s="171">
        <f t="shared" si="542"/>
        <v>0</v>
      </c>
      <c r="EO245" s="171">
        <f t="shared" si="542"/>
        <v>0</v>
      </c>
      <c r="EP245" s="171">
        <f t="shared" si="542"/>
        <v>0</v>
      </c>
      <c r="EQ245" s="171">
        <f t="shared" si="542"/>
        <v>0</v>
      </c>
    </row>
    <row r="246" spans="3:147" ht="11.25" customHeight="1">
      <c r="C246" s="218"/>
      <c r="D246" s="163"/>
      <c r="E246" s="169" t="s">
        <v>219</v>
      </c>
      <c r="I246" s="134"/>
      <c r="J246" s="171">
        <f>SUM(L246:EQ246)</f>
        <v>2000000</v>
      </c>
      <c r="K246" s="98"/>
      <c r="L246" s="171">
        <f>SUM(L244:L245)*Index!L$42</f>
        <v>0</v>
      </c>
      <c r="M246" s="171">
        <f>SUM(M244:M245)*Index!M$42</f>
        <v>0</v>
      </c>
      <c r="N246" s="171">
        <f>SUM(N244:N245)*Index!N$42</f>
        <v>0</v>
      </c>
      <c r="O246" s="171">
        <f>SUM(O244:O245)*Index!O$42</f>
        <v>0</v>
      </c>
      <c r="P246" s="171">
        <f>SUM(P244:P245)*Index!P$42</f>
        <v>0</v>
      </c>
      <c r="Q246" s="171">
        <f>SUM(Q244:Q245)*Index!Q$42</f>
        <v>0</v>
      </c>
      <c r="R246" s="171">
        <f>SUM(R244:R245)*Index!R$42</f>
        <v>0</v>
      </c>
      <c r="S246" s="171">
        <f>SUM(S244:S245)*Index!S$42</f>
        <v>0</v>
      </c>
      <c r="T246" s="171">
        <f>SUM(T244:T245)*Index!T$42</f>
        <v>0</v>
      </c>
      <c r="U246" s="171">
        <f>SUM(U244:U245)*Index!U$42</f>
        <v>0</v>
      </c>
      <c r="V246" s="171">
        <f>SUM(V244:V245)*Index!V$42</f>
        <v>0</v>
      </c>
      <c r="W246" s="171">
        <f>SUM(W244:W245)*Index!W$42</f>
        <v>0</v>
      </c>
      <c r="X246" s="171">
        <f>SUM(X244:X245)*Index!X$42</f>
        <v>0</v>
      </c>
      <c r="Y246" s="171">
        <f>SUM(Y244:Y245)*Index!Y$42</f>
        <v>0</v>
      </c>
      <c r="Z246" s="171">
        <f>SUM(Z244:Z245)*Index!Z$42</f>
        <v>0</v>
      </c>
      <c r="AA246" s="171">
        <f>SUM(AA244:AA245)*Index!AA$42</f>
        <v>0</v>
      </c>
      <c r="AB246" s="171">
        <f>SUM(AB244:AB245)*Index!AB$42</f>
        <v>0</v>
      </c>
      <c r="AC246" s="171">
        <f>SUM(AC244:AC245)*Index!AC$42</f>
        <v>0</v>
      </c>
      <c r="AD246" s="171">
        <f>SUM(AD244:AD245)*Index!AD$42</f>
        <v>0</v>
      </c>
      <c r="AE246" s="171">
        <f>SUM(AE244:AE245)*Index!AE$42</f>
        <v>0</v>
      </c>
      <c r="AF246" s="171">
        <f>SUM(AF244:AF245)*Index!AF$42</f>
        <v>0</v>
      </c>
      <c r="AG246" s="171">
        <f>SUM(AG244:AG245)*Index!AG$42</f>
        <v>0</v>
      </c>
      <c r="AH246" s="171">
        <f>SUM(AH244:AH245)*Index!AH$42</f>
        <v>0</v>
      </c>
      <c r="AI246" s="171">
        <f>SUM(AI244:AI245)*Index!AI$42</f>
        <v>0</v>
      </c>
      <c r="AJ246" s="171">
        <f>SUM(AJ244:AJ245)*Index!AJ$42</f>
        <v>0</v>
      </c>
      <c r="AK246" s="171">
        <f>SUM(AK244:AK245)*Index!AK$42</f>
        <v>0</v>
      </c>
      <c r="AL246" s="171">
        <f>SUM(AL244:AL245)*Index!AL$42</f>
        <v>0</v>
      </c>
      <c r="AM246" s="171">
        <f>SUM(AM244:AM245)*Index!AM$42</f>
        <v>0</v>
      </c>
      <c r="AN246" s="171">
        <f>SUM(AN244:AN245)*Index!AN$42</f>
        <v>0</v>
      </c>
      <c r="AO246" s="171">
        <f>SUM(AO244:AO245)*Index!AO$42</f>
        <v>0</v>
      </c>
      <c r="AP246" s="171">
        <f>SUM(AP244:AP245)*Index!AP$42</f>
        <v>0</v>
      </c>
      <c r="AQ246" s="171">
        <f>SUM(AQ244:AQ245)*Index!AQ$42</f>
        <v>0</v>
      </c>
      <c r="AR246" s="171">
        <f>SUM(AR244:AR245)*Index!AR$42</f>
        <v>0</v>
      </c>
      <c r="AS246" s="171">
        <f>SUM(AS244:AS245)*Index!AS$42</f>
        <v>0</v>
      </c>
      <c r="AT246" s="171">
        <f>SUM(AT244:AT245)*Index!AT$42</f>
        <v>0</v>
      </c>
      <c r="AU246" s="171">
        <f>SUM(AU244:AU245)*Index!AU$42</f>
        <v>0</v>
      </c>
      <c r="AV246" s="171">
        <f>SUM(AV244:AV245)*Index!AV$42</f>
        <v>0</v>
      </c>
      <c r="AW246" s="171">
        <f>SUM(AW244:AW245)*Index!AW$42</f>
        <v>0</v>
      </c>
      <c r="AX246" s="171">
        <f>SUM(AX244:AX245)*Index!AX$42</f>
        <v>0</v>
      </c>
      <c r="AY246" s="171">
        <f>SUM(AY244:AY245)*Index!AY$42</f>
        <v>0</v>
      </c>
      <c r="AZ246" s="171">
        <f>SUM(AZ244:AZ245)*Index!AZ$42</f>
        <v>0</v>
      </c>
      <c r="BA246" s="171">
        <f>SUM(BA244:BA245)*Index!BA$42</f>
        <v>0</v>
      </c>
      <c r="BB246" s="171">
        <f>SUM(BB244:BB245)*Index!BB$42</f>
        <v>0</v>
      </c>
      <c r="BC246" s="171">
        <f>SUM(BC244:BC245)*Index!BC$42</f>
        <v>0</v>
      </c>
      <c r="BD246" s="171">
        <f>SUM(BD244:BD245)*Index!BD$42</f>
        <v>0</v>
      </c>
      <c r="BE246" s="171">
        <f>SUM(BE244:BE245)*Index!BE$42</f>
        <v>0</v>
      </c>
      <c r="BF246" s="171">
        <f>SUM(BF244:BF245)*Index!BF$42</f>
        <v>0</v>
      </c>
      <c r="BG246" s="171">
        <f>SUM(BG244:BG245)*Index!BG$42</f>
        <v>0</v>
      </c>
      <c r="BH246" s="171">
        <f>SUM(BH244:BH245)*Index!BH$42</f>
        <v>0</v>
      </c>
      <c r="BI246" s="171">
        <f>SUM(BI244:BI245)*Index!BI$42</f>
        <v>0</v>
      </c>
      <c r="BJ246" s="171">
        <f>SUM(BJ244:BJ245)*Index!BJ$42</f>
        <v>0</v>
      </c>
      <c r="BK246" s="171">
        <f>SUM(BK244:BK245)*Index!BK$42</f>
        <v>0</v>
      </c>
      <c r="BL246" s="171">
        <f>SUM(BL244:BL245)*Index!BL$42</f>
        <v>0</v>
      </c>
      <c r="BM246" s="171">
        <f>SUM(BM244:BM245)*Index!BM$42</f>
        <v>0</v>
      </c>
      <c r="BN246" s="171">
        <f>SUM(BN244:BN245)*Index!BN$42</f>
        <v>0</v>
      </c>
      <c r="BO246" s="171">
        <f>SUM(BO244:BO245)*Index!BO$42</f>
        <v>0</v>
      </c>
      <c r="BP246" s="171">
        <f>SUM(BP244:BP245)*Index!BP$42</f>
        <v>0</v>
      </c>
      <c r="BQ246" s="171">
        <f>SUM(BQ244:BQ245)*Index!BQ$42</f>
        <v>0</v>
      </c>
      <c r="BR246" s="171">
        <f>SUM(BR244:BR245)*Index!BR$42</f>
        <v>0</v>
      </c>
      <c r="BS246" s="171">
        <f>SUM(BS244:BS245)*Index!BS$42</f>
        <v>0</v>
      </c>
      <c r="BT246" s="171">
        <f>SUM(BT244:BT245)*Index!BT$42</f>
        <v>0</v>
      </c>
      <c r="BU246" s="171">
        <f>SUM(BU244:BU245)*Index!BU$42</f>
        <v>0</v>
      </c>
      <c r="BV246" s="171">
        <f>SUM(BV244:BV245)*Index!BV$42</f>
        <v>0</v>
      </c>
      <c r="BW246" s="171">
        <f>SUM(BW244:BW245)*Index!BW$42</f>
        <v>0</v>
      </c>
      <c r="BX246" s="171">
        <f>SUM(BX244:BX245)*Index!BX$42</f>
        <v>0</v>
      </c>
      <c r="BY246" s="171">
        <f>SUM(BY244:BY245)*Index!BY$42</f>
        <v>0</v>
      </c>
      <c r="BZ246" s="171">
        <f>SUM(BZ244:BZ245)*Index!BZ$42</f>
        <v>0</v>
      </c>
      <c r="CA246" s="171">
        <f>SUM(CA244:CA245)*Index!CA$42</f>
        <v>0</v>
      </c>
      <c r="CB246" s="171">
        <f>SUM(CB244:CB245)*Index!CB$42</f>
        <v>0</v>
      </c>
      <c r="CC246" s="171">
        <f>SUM(CC244:CC245)*Index!CC$42</f>
        <v>0</v>
      </c>
      <c r="CD246" s="171">
        <f>SUM(CD244:CD245)*Index!CD$42</f>
        <v>0</v>
      </c>
      <c r="CE246" s="171">
        <f>SUM(CE244:CE245)*Index!CE$42</f>
        <v>0</v>
      </c>
      <c r="CF246" s="171">
        <f>SUM(CF244:CF245)*Index!CF$42</f>
        <v>0</v>
      </c>
      <c r="CG246" s="171">
        <f>SUM(CG244:CG245)*Index!CG$42</f>
        <v>0</v>
      </c>
      <c r="CH246" s="171">
        <f>SUM(CH244:CH245)*Index!CH$42</f>
        <v>0</v>
      </c>
      <c r="CI246" s="171">
        <f>SUM(CI244:CI245)*Index!CI$42</f>
        <v>0</v>
      </c>
      <c r="CJ246" s="171">
        <f>SUM(CJ244:CJ245)*Index!CJ$42</f>
        <v>0</v>
      </c>
      <c r="CK246" s="171">
        <f>SUM(CK244:CK245)*Index!CK$42</f>
        <v>0</v>
      </c>
      <c r="CL246" s="171">
        <f>SUM(CL244:CL245)*Index!CL$42</f>
        <v>0</v>
      </c>
      <c r="CM246" s="171">
        <f>SUM(CM244:CM245)*Index!CM$42</f>
        <v>0</v>
      </c>
      <c r="CN246" s="171">
        <f>SUM(CN244:CN245)*Index!CN$42</f>
        <v>0</v>
      </c>
      <c r="CO246" s="171">
        <f>SUM(CO244:CO245)*Index!CO$42</f>
        <v>0</v>
      </c>
      <c r="CP246" s="171">
        <f>SUM(CP244:CP245)*Index!CP$42</f>
        <v>0</v>
      </c>
      <c r="CQ246" s="171">
        <f>SUM(CQ244:CQ245)*Index!CQ$42</f>
        <v>0</v>
      </c>
      <c r="CR246" s="171">
        <f>SUM(CR244:CR245)*Index!CR$42</f>
        <v>0</v>
      </c>
      <c r="CS246" s="171">
        <f>SUM(CS244:CS245)*Index!CS$42</f>
        <v>0</v>
      </c>
      <c r="CT246" s="171">
        <f>SUM(CT244:CT245)*Index!CT$42</f>
        <v>0</v>
      </c>
      <c r="CU246" s="171">
        <f>SUM(CU244:CU245)*Index!CU$42</f>
        <v>0</v>
      </c>
      <c r="CV246" s="171">
        <f>SUM(CV244:CV245)*Index!CV$42</f>
        <v>0</v>
      </c>
      <c r="CW246" s="171">
        <f>SUM(CW244:CW245)*Index!CW$42</f>
        <v>0</v>
      </c>
      <c r="CX246" s="171">
        <f>SUM(CX244:CX245)*Index!CX$42</f>
        <v>0</v>
      </c>
      <c r="CY246" s="171">
        <f>SUM(CY244:CY245)*Index!CY$42</f>
        <v>0</v>
      </c>
      <c r="CZ246" s="171">
        <f>SUM(CZ244:CZ245)*Index!CZ$42</f>
        <v>0</v>
      </c>
      <c r="DA246" s="171">
        <f>SUM(DA244:DA245)*Index!DA$42</f>
        <v>0</v>
      </c>
      <c r="DB246" s="171">
        <f>SUM(DB244:DB245)*Index!DB$42</f>
        <v>0</v>
      </c>
      <c r="DC246" s="171">
        <f>SUM(DC244:DC245)*Index!DC$42</f>
        <v>0</v>
      </c>
      <c r="DD246" s="171">
        <f>SUM(DD244:DD245)*Index!DD$42</f>
        <v>0</v>
      </c>
      <c r="DE246" s="171">
        <f>SUM(DE244:DE245)*Index!DE$42</f>
        <v>0</v>
      </c>
      <c r="DF246" s="171">
        <f>SUM(DF244:DF245)*Index!DF$42</f>
        <v>0</v>
      </c>
      <c r="DG246" s="171">
        <f>SUM(DG244:DG245)*Index!DG$42</f>
        <v>0</v>
      </c>
      <c r="DH246" s="171">
        <f>SUM(DH244:DH245)*Index!DH$42</f>
        <v>0</v>
      </c>
      <c r="DI246" s="171">
        <f>SUM(DI244:DI245)*Index!DI$42</f>
        <v>0</v>
      </c>
      <c r="DJ246" s="171">
        <f>SUM(DJ244:DJ245)*Index!DJ$42</f>
        <v>0</v>
      </c>
      <c r="DK246" s="171">
        <f>SUM(DK244:DK245)*Index!DK$42</f>
        <v>0</v>
      </c>
      <c r="DL246" s="171">
        <f>SUM(DL244:DL245)*Index!DL$42</f>
        <v>0</v>
      </c>
      <c r="DM246" s="171">
        <f>SUM(DM244:DM245)*Index!DM$42</f>
        <v>0</v>
      </c>
      <c r="DN246" s="171">
        <f>SUM(DN244:DN245)*Index!DN$42</f>
        <v>0</v>
      </c>
      <c r="DO246" s="171">
        <f>SUM(DO244:DO245)*Index!DO$42</f>
        <v>0</v>
      </c>
      <c r="DP246" s="171">
        <f>SUM(DP244:DP245)*Index!DP$42</f>
        <v>0</v>
      </c>
      <c r="DQ246" s="171">
        <f>SUM(DQ244:DQ245)*Index!DQ$42</f>
        <v>0</v>
      </c>
      <c r="DR246" s="171">
        <f>SUM(DR244:DR245)*Index!DR$42</f>
        <v>0</v>
      </c>
      <c r="DS246" s="171">
        <f>SUM(DS244:DS245)*Index!DS$42</f>
        <v>0</v>
      </c>
      <c r="DT246" s="171">
        <f>SUM(DT244:DT245)*Index!DT$42</f>
        <v>0</v>
      </c>
      <c r="DU246" s="171">
        <f>SUM(DU244:DU245)*Index!DU$42</f>
        <v>0</v>
      </c>
      <c r="DV246" s="171">
        <f>SUM(DV244:DV245)*Index!DV$42</f>
        <v>0</v>
      </c>
      <c r="DW246" s="171">
        <f>SUM(DW244:DW245)*Index!DW$42</f>
        <v>0</v>
      </c>
      <c r="DX246" s="171">
        <f>SUM(DX244:DX245)*Index!DX$42</f>
        <v>0</v>
      </c>
      <c r="DY246" s="171">
        <f>SUM(DY244:DY245)*Index!DY$42</f>
        <v>0</v>
      </c>
      <c r="DZ246" s="171">
        <f>SUM(DZ244:DZ245)*Index!DZ$42</f>
        <v>0</v>
      </c>
      <c r="EA246" s="171">
        <f>SUM(EA244:EA245)*Index!EA$42</f>
        <v>0</v>
      </c>
      <c r="EB246" s="171">
        <f>SUM(EB244:EB245)*Index!EB$42</f>
        <v>2000000</v>
      </c>
      <c r="EC246" s="171">
        <f>SUM(EC244:EC245)*Index!EC$42</f>
        <v>0</v>
      </c>
      <c r="ED246" s="1321">
        <f>SUM(ED244:ED245)*Index!ED$42</f>
        <v>0</v>
      </c>
      <c r="EE246" s="171">
        <f>SUM(EE244:EE245)*Index!EE$42</f>
        <v>0</v>
      </c>
      <c r="EF246" s="171">
        <f>SUM(EF244:EF245)*Index!EF$42</f>
        <v>0</v>
      </c>
      <c r="EG246" s="171">
        <f>SUM(EG244:EG245)*Index!EG$42</f>
        <v>0</v>
      </c>
      <c r="EH246" s="171">
        <f>SUM(EH244:EH245)*Index!EH$42</f>
        <v>0</v>
      </c>
      <c r="EI246" s="171">
        <f>SUM(EI244:EI245)*Index!EI$42</f>
        <v>0</v>
      </c>
      <c r="EJ246" s="171">
        <f>SUM(EJ244:EJ245)*Index!EJ$42</f>
        <v>0</v>
      </c>
      <c r="EK246" s="171">
        <f>SUM(EK244:EK245)*Index!EK$42</f>
        <v>0</v>
      </c>
      <c r="EL246" s="171">
        <f>SUM(EL244:EL245)*Index!EL$42</f>
        <v>0</v>
      </c>
      <c r="EM246" s="171">
        <f>SUM(EM244:EM245)*Index!EM$42</f>
        <v>0</v>
      </c>
      <c r="EN246" s="171">
        <f>SUM(EN244:EN245)*Index!EN$42</f>
        <v>0</v>
      </c>
      <c r="EO246" s="171">
        <f>SUM(EO244:EO245)*Index!EO$42</f>
        <v>0</v>
      </c>
      <c r="EP246" s="171">
        <f>SUM(EP244:EP245)*Index!EP$42</f>
        <v>0</v>
      </c>
      <c r="EQ246" s="171">
        <f>SUM(EQ244:EQ245)*Index!EQ$42</f>
        <v>0</v>
      </c>
    </row>
    <row r="247" spans="3:147" ht="11.25" customHeight="1">
      <c r="C247" s="244"/>
      <c r="D247" s="178"/>
      <c r="E247" s="179" t="s">
        <v>220</v>
      </c>
      <c r="F247" s="180"/>
      <c r="G247" s="180"/>
      <c r="H247" s="182"/>
      <c r="I247" s="245"/>
      <c r="J247" s="184"/>
      <c r="K247" s="98"/>
      <c r="L247" s="184">
        <f t="shared" ref="L247:BW247" si="543">L244+L245-L246</f>
        <v>2000000</v>
      </c>
      <c r="M247" s="184">
        <f t="shared" si="543"/>
        <v>2000000</v>
      </c>
      <c r="N247" s="184">
        <f t="shared" si="543"/>
        <v>2000000</v>
      </c>
      <c r="O247" s="184">
        <f t="shared" si="543"/>
        <v>2000000</v>
      </c>
      <c r="P247" s="184">
        <f t="shared" si="543"/>
        <v>2000000</v>
      </c>
      <c r="Q247" s="184">
        <f t="shared" si="543"/>
        <v>2000000</v>
      </c>
      <c r="R247" s="184">
        <f t="shared" si="543"/>
        <v>2000000</v>
      </c>
      <c r="S247" s="184">
        <f t="shared" si="543"/>
        <v>2000000</v>
      </c>
      <c r="T247" s="184">
        <f t="shared" si="543"/>
        <v>2000000</v>
      </c>
      <c r="U247" s="184">
        <f t="shared" si="543"/>
        <v>2000000</v>
      </c>
      <c r="V247" s="184">
        <f t="shared" si="543"/>
        <v>2000000</v>
      </c>
      <c r="W247" s="184">
        <f t="shared" si="543"/>
        <v>2000000</v>
      </c>
      <c r="X247" s="184">
        <f t="shared" si="543"/>
        <v>2000000</v>
      </c>
      <c r="Y247" s="184">
        <f t="shared" si="543"/>
        <v>2000000</v>
      </c>
      <c r="Z247" s="184">
        <f t="shared" si="543"/>
        <v>2000000</v>
      </c>
      <c r="AA247" s="184">
        <f t="shared" si="543"/>
        <v>2000000</v>
      </c>
      <c r="AB247" s="184">
        <f t="shared" si="543"/>
        <v>2000000</v>
      </c>
      <c r="AC247" s="184">
        <f t="shared" si="543"/>
        <v>2000000</v>
      </c>
      <c r="AD247" s="184">
        <f t="shared" si="543"/>
        <v>2000000</v>
      </c>
      <c r="AE247" s="184">
        <f t="shared" si="543"/>
        <v>2000000</v>
      </c>
      <c r="AF247" s="184">
        <f t="shared" si="543"/>
        <v>2000000</v>
      </c>
      <c r="AG247" s="184">
        <f t="shared" si="543"/>
        <v>2000000</v>
      </c>
      <c r="AH247" s="184">
        <f t="shared" si="543"/>
        <v>2000000</v>
      </c>
      <c r="AI247" s="184">
        <f t="shared" si="543"/>
        <v>2000000</v>
      </c>
      <c r="AJ247" s="184">
        <f t="shared" si="543"/>
        <v>2000000</v>
      </c>
      <c r="AK247" s="184">
        <f t="shared" si="543"/>
        <v>2000000</v>
      </c>
      <c r="AL247" s="184">
        <f t="shared" si="543"/>
        <v>2000000</v>
      </c>
      <c r="AM247" s="184">
        <f t="shared" si="543"/>
        <v>2000000</v>
      </c>
      <c r="AN247" s="184">
        <f t="shared" si="543"/>
        <v>2000000</v>
      </c>
      <c r="AO247" s="184">
        <f t="shared" si="543"/>
        <v>2000000</v>
      </c>
      <c r="AP247" s="184">
        <f t="shared" si="543"/>
        <v>2000000</v>
      </c>
      <c r="AQ247" s="184">
        <f t="shared" si="543"/>
        <v>2000000</v>
      </c>
      <c r="AR247" s="184">
        <f t="shared" si="543"/>
        <v>2000000</v>
      </c>
      <c r="AS247" s="184">
        <f t="shared" si="543"/>
        <v>2000000</v>
      </c>
      <c r="AT247" s="184">
        <f t="shared" si="543"/>
        <v>2000000</v>
      </c>
      <c r="AU247" s="184">
        <f t="shared" si="543"/>
        <v>2000000</v>
      </c>
      <c r="AV247" s="184">
        <f t="shared" si="543"/>
        <v>2000000</v>
      </c>
      <c r="AW247" s="184">
        <f t="shared" si="543"/>
        <v>2000000</v>
      </c>
      <c r="AX247" s="184">
        <f t="shared" si="543"/>
        <v>2000000</v>
      </c>
      <c r="AY247" s="184">
        <f t="shared" si="543"/>
        <v>2000000</v>
      </c>
      <c r="AZ247" s="184">
        <f t="shared" si="543"/>
        <v>2000000</v>
      </c>
      <c r="BA247" s="184">
        <f t="shared" si="543"/>
        <v>2000000</v>
      </c>
      <c r="BB247" s="184">
        <f t="shared" si="543"/>
        <v>2000000</v>
      </c>
      <c r="BC247" s="184">
        <f t="shared" si="543"/>
        <v>2000000</v>
      </c>
      <c r="BD247" s="184">
        <f t="shared" si="543"/>
        <v>2000000</v>
      </c>
      <c r="BE247" s="184">
        <f t="shared" si="543"/>
        <v>2000000</v>
      </c>
      <c r="BF247" s="184">
        <f t="shared" si="543"/>
        <v>2000000</v>
      </c>
      <c r="BG247" s="184">
        <f t="shared" si="543"/>
        <v>2000000</v>
      </c>
      <c r="BH247" s="184">
        <f t="shared" si="543"/>
        <v>2000000</v>
      </c>
      <c r="BI247" s="184">
        <f t="shared" si="543"/>
        <v>2000000</v>
      </c>
      <c r="BJ247" s="184">
        <f t="shared" si="543"/>
        <v>2000000</v>
      </c>
      <c r="BK247" s="184">
        <f t="shared" si="543"/>
        <v>2000000</v>
      </c>
      <c r="BL247" s="184">
        <f t="shared" si="543"/>
        <v>2000000</v>
      </c>
      <c r="BM247" s="184">
        <f t="shared" si="543"/>
        <v>2000000</v>
      </c>
      <c r="BN247" s="184">
        <f t="shared" si="543"/>
        <v>2000000</v>
      </c>
      <c r="BO247" s="184">
        <f t="shared" si="543"/>
        <v>2000000</v>
      </c>
      <c r="BP247" s="184">
        <f t="shared" si="543"/>
        <v>2000000</v>
      </c>
      <c r="BQ247" s="184">
        <f t="shared" si="543"/>
        <v>2000000</v>
      </c>
      <c r="BR247" s="184">
        <f t="shared" si="543"/>
        <v>2000000</v>
      </c>
      <c r="BS247" s="184">
        <f t="shared" si="543"/>
        <v>2000000</v>
      </c>
      <c r="BT247" s="184">
        <f t="shared" si="543"/>
        <v>2000000</v>
      </c>
      <c r="BU247" s="184">
        <f t="shared" si="543"/>
        <v>2000000</v>
      </c>
      <c r="BV247" s="184">
        <f t="shared" si="543"/>
        <v>2000000</v>
      </c>
      <c r="BW247" s="184">
        <f t="shared" si="543"/>
        <v>2000000</v>
      </c>
      <c r="BX247" s="184">
        <f t="shared" ref="BX247:EI247" si="544">BX244+BX245-BX246</f>
        <v>2000000</v>
      </c>
      <c r="BY247" s="184">
        <f t="shared" si="544"/>
        <v>2000000</v>
      </c>
      <c r="BZ247" s="184">
        <f t="shared" si="544"/>
        <v>2000000</v>
      </c>
      <c r="CA247" s="184">
        <f t="shared" si="544"/>
        <v>2000000</v>
      </c>
      <c r="CB247" s="184">
        <f t="shared" si="544"/>
        <v>2000000</v>
      </c>
      <c r="CC247" s="184">
        <f t="shared" si="544"/>
        <v>2000000</v>
      </c>
      <c r="CD247" s="184">
        <f t="shared" si="544"/>
        <v>2000000</v>
      </c>
      <c r="CE247" s="184">
        <f t="shared" si="544"/>
        <v>2000000</v>
      </c>
      <c r="CF247" s="184">
        <f t="shared" si="544"/>
        <v>2000000</v>
      </c>
      <c r="CG247" s="184">
        <f t="shared" si="544"/>
        <v>2000000</v>
      </c>
      <c r="CH247" s="184">
        <f t="shared" si="544"/>
        <v>2000000</v>
      </c>
      <c r="CI247" s="184">
        <f t="shared" si="544"/>
        <v>2000000</v>
      </c>
      <c r="CJ247" s="184">
        <f t="shared" si="544"/>
        <v>2000000</v>
      </c>
      <c r="CK247" s="184">
        <f t="shared" si="544"/>
        <v>2000000</v>
      </c>
      <c r="CL247" s="184">
        <f t="shared" si="544"/>
        <v>2000000</v>
      </c>
      <c r="CM247" s="184">
        <f t="shared" si="544"/>
        <v>2000000</v>
      </c>
      <c r="CN247" s="184">
        <f t="shared" si="544"/>
        <v>2000000</v>
      </c>
      <c r="CO247" s="184">
        <f t="shared" si="544"/>
        <v>2000000</v>
      </c>
      <c r="CP247" s="184">
        <f t="shared" si="544"/>
        <v>2000000</v>
      </c>
      <c r="CQ247" s="184">
        <f t="shared" si="544"/>
        <v>2000000</v>
      </c>
      <c r="CR247" s="184">
        <f t="shared" si="544"/>
        <v>2000000</v>
      </c>
      <c r="CS247" s="184">
        <f t="shared" si="544"/>
        <v>2000000</v>
      </c>
      <c r="CT247" s="184">
        <f t="shared" si="544"/>
        <v>2000000</v>
      </c>
      <c r="CU247" s="184">
        <f t="shared" si="544"/>
        <v>2000000</v>
      </c>
      <c r="CV247" s="184">
        <f t="shared" si="544"/>
        <v>2000000</v>
      </c>
      <c r="CW247" s="184">
        <f t="shared" si="544"/>
        <v>2000000</v>
      </c>
      <c r="CX247" s="184">
        <f t="shared" si="544"/>
        <v>2000000</v>
      </c>
      <c r="CY247" s="184">
        <f t="shared" si="544"/>
        <v>2000000</v>
      </c>
      <c r="CZ247" s="184">
        <f t="shared" si="544"/>
        <v>2000000</v>
      </c>
      <c r="DA247" s="184">
        <f t="shared" si="544"/>
        <v>2000000</v>
      </c>
      <c r="DB247" s="184">
        <f t="shared" si="544"/>
        <v>2000000</v>
      </c>
      <c r="DC247" s="184">
        <f t="shared" si="544"/>
        <v>2000000</v>
      </c>
      <c r="DD247" s="184">
        <f t="shared" si="544"/>
        <v>2000000</v>
      </c>
      <c r="DE247" s="184">
        <f t="shared" si="544"/>
        <v>2000000</v>
      </c>
      <c r="DF247" s="184">
        <f t="shared" si="544"/>
        <v>2000000</v>
      </c>
      <c r="DG247" s="184">
        <f t="shared" si="544"/>
        <v>2000000</v>
      </c>
      <c r="DH247" s="184">
        <f t="shared" si="544"/>
        <v>2000000</v>
      </c>
      <c r="DI247" s="184">
        <f t="shared" si="544"/>
        <v>2000000</v>
      </c>
      <c r="DJ247" s="184">
        <f t="shared" si="544"/>
        <v>2000000</v>
      </c>
      <c r="DK247" s="184">
        <f t="shared" si="544"/>
        <v>2000000</v>
      </c>
      <c r="DL247" s="184">
        <f t="shared" si="544"/>
        <v>2000000</v>
      </c>
      <c r="DM247" s="184">
        <f t="shared" si="544"/>
        <v>2000000</v>
      </c>
      <c r="DN247" s="184">
        <f t="shared" si="544"/>
        <v>2000000</v>
      </c>
      <c r="DO247" s="184">
        <f t="shared" si="544"/>
        <v>2000000</v>
      </c>
      <c r="DP247" s="184">
        <f t="shared" si="544"/>
        <v>2000000</v>
      </c>
      <c r="DQ247" s="184">
        <f t="shared" si="544"/>
        <v>2000000</v>
      </c>
      <c r="DR247" s="184">
        <f t="shared" si="544"/>
        <v>2000000</v>
      </c>
      <c r="DS247" s="184">
        <f t="shared" si="544"/>
        <v>2000000</v>
      </c>
      <c r="DT247" s="184">
        <f t="shared" si="544"/>
        <v>2000000</v>
      </c>
      <c r="DU247" s="184">
        <f t="shared" si="544"/>
        <v>2000000</v>
      </c>
      <c r="DV247" s="184">
        <f t="shared" si="544"/>
        <v>2000000</v>
      </c>
      <c r="DW247" s="184">
        <f t="shared" si="544"/>
        <v>2000000</v>
      </c>
      <c r="DX247" s="184">
        <f t="shared" si="544"/>
        <v>2000000</v>
      </c>
      <c r="DY247" s="184">
        <f t="shared" si="544"/>
        <v>2000000</v>
      </c>
      <c r="DZ247" s="184">
        <f t="shared" si="544"/>
        <v>2000000</v>
      </c>
      <c r="EA247" s="184">
        <f t="shared" si="544"/>
        <v>2000000</v>
      </c>
      <c r="EB247" s="184">
        <f t="shared" si="544"/>
        <v>0</v>
      </c>
      <c r="EC247" s="184">
        <f t="shared" si="544"/>
        <v>0</v>
      </c>
      <c r="ED247" s="1324">
        <f t="shared" si="544"/>
        <v>0</v>
      </c>
      <c r="EE247" s="184">
        <f t="shared" si="544"/>
        <v>0</v>
      </c>
      <c r="EF247" s="184">
        <f t="shared" si="544"/>
        <v>0</v>
      </c>
      <c r="EG247" s="184">
        <f t="shared" si="544"/>
        <v>0</v>
      </c>
      <c r="EH247" s="184">
        <f t="shared" si="544"/>
        <v>0</v>
      </c>
      <c r="EI247" s="184">
        <f t="shared" si="544"/>
        <v>0</v>
      </c>
      <c r="EJ247" s="184">
        <f t="shared" ref="EJ247:EQ247" si="545">EJ244+EJ245-EJ246</f>
        <v>0</v>
      </c>
      <c r="EK247" s="184">
        <f t="shared" si="545"/>
        <v>0</v>
      </c>
      <c r="EL247" s="184">
        <f t="shared" si="545"/>
        <v>0</v>
      </c>
      <c r="EM247" s="184">
        <f t="shared" si="545"/>
        <v>0</v>
      </c>
      <c r="EN247" s="184">
        <f t="shared" si="545"/>
        <v>0</v>
      </c>
      <c r="EO247" s="184">
        <f t="shared" si="545"/>
        <v>0</v>
      </c>
      <c r="EP247" s="184">
        <f t="shared" si="545"/>
        <v>0</v>
      </c>
      <c r="EQ247" s="184">
        <f t="shared" si="545"/>
        <v>0</v>
      </c>
    </row>
    <row r="248" spans="3:147" ht="11.25" customHeight="1">
      <c r="C248" s="218"/>
      <c r="D248" s="158" t="s">
        <v>1090</v>
      </c>
      <c r="E248" s="159"/>
      <c r="F248" s="159"/>
      <c r="G248" s="159"/>
      <c r="H248" s="160"/>
      <c r="I248" s="219"/>
      <c r="J248" s="220"/>
      <c r="K248" s="98"/>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162"/>
      <c r="AK248" s="162"/>
      <c r="AL248" s="162"/>
      <c r="AM248" s="162"/>
      <c r="AN248" s="162"/>
      <c r="AO248" s="162"/>
      <c r="AP248" s="162"/>
      <c r="AQ248" s="162"/>
      <c r="AR248" s="162"/>
      <c r="AS248" s="162"/>
      <c r="AT248" s="162"/>
      <c r="AU248" s="162"/>
      <c r="AV248" s="162"/>
      <c r="AW248" s="162"/>
      <c r="AX248" s="162"/>
      <c r="AY248" s="162"/>
      <c r="AZ248" s="162"/>
      <c r="BA248" s="162"/>
      <c r="BB248" s="162"/>
      <c r="BC248" s="162"/>
      <c r="BD248" s="162"/>
      <c r="BE248" s="162"/>
      <c r="BF248" s="162"/>
      <c r="BG248" s="162"/>
      <c r="BH248" s="162"/>
      <c r="BI248" s="162"/>
      <c r="BJ248" s="162"/>
      <c r="BK248" s="162"/>
      <c r="BL248" s="162"/>
      <c r="BM248" s="162"/>
      <c r="BN248" s="162"/>
      <c r="BO248" s="162"/>
      <c r="BP248" s="162"/>
      <c r="BQ248" s="162"/>
      <c r="BR248" s="162"/>
      <c r="BS248" s="162"/>
      <c r="BT248" s="162"/>
      <c r="BU248" s="162"/>
      <c r="BV248" s="162"/>
      <c r="BW248" s="162"/>
      <c r="BX248" s="162"/>
      <c r="BY248" s="162"/>
      <c r="BZ248" s="162"/>
      <c r="CA248" s="162"/>
      <c r="CB248" s="162"/>
      <c r="CC248" s="162"/>
      <c r="CD248" s="162"/>
      <c r="CE248" s="162"/>
      <c r="CF248" s="162"/>
      <c r="CG248" s="162"/>
      <c r="CH248" s="162"/>
      <c r="CI248" s="162"/>
      <c r="CJ248" s="162"/>
      <c r="CK248" s="162"/>
      <c r="CL248" s="162"/>
      <c r="CM248" s="162"/>
      <c r="CN248" s="162"/>
      <c r="CO248" s="162"/>
      <c r="CP248" s="162"/>
      <c r="CQ248" s="162"/>
      <c r="CR248" s="162"/>
      <c r="CS248" s="162"/>
      <c r="CT248" s="162"/>
      <c r="CU248" s="162"/>
      <c r="CV248" s="162"/>
      <c r="CW248" s="162"/>
      <c r="CX248" s="162"/>
      <c r="CY248" s="162"/>
      <c r="CZ248" s="162"/>
      <c r="DA248" s="162"/>
      <c r="DB248" s="162"/>
      <c r="DC248" s="162"/>
      <c r="DD248" s="162"/>
      <c r="DE248" s="162"/>
      <c r="DF248" s="162"/>
      <c r="DG248" s="162"/>
      <c r="DH248" s="162"/>
      <c r="DI248" s="162"/>
      <c r="DJ248" s="162"/>
      <c r="DK248" s="162"/>
      <c r="DL248" s="162"/>
      <c r="DM248" s="162"/>
      <c r="DN248" s="162"/>
      <c r="DO248" s="162"/>
      <c r="DP248" s="162"/>
      <c r="DQ248" s="162"/>
      <c r="DR248" s="162"/>
      <c r="DS248" s="162"/>
      <c r="DT248" s="162"/>
      <c r="DU248" s="162"/>
      <c r="DV248" s="162"/>
      <c r="DW248" s="162"/>
      <c r="DX248" s="162"/>
      <c r="DY248" s="162"/>
      <c r="DZ248" s="162"/>
      <c r="EA248" s="162"/>
      <c r="EB248" s="162"/>
      <c r="EC248" s="162"/>
      <c r="ED248" s="1319"/>
      <c r="EE248" s="162"/>
      <c r="EF248" s="162"/>
      <c r="EG248" s="162"/>
      <c r="EH248" s="162"/>
      <c r="EI248" s="162"/>
      <c r="EJ248" s="162"/>
      <c r="EK248" s="162"/>
      <c r="EL248" s="162"/>
      <c r="EM248" s="162"/>
      <c r="EN248" s="162"/>
      <c r="EO248" s="162"/>
      <c r="EP248" s="162"/>
      <c r="EQ248" s="162"/>
    </row>
    <row r="249" spans="3:147" ht="11.25" customHeight="1">
      <c r="C249" s="218"/>
      <c r="D249" s="163"/>
      <c r="E249" s="164" t="s">
        <v>230</v>
      </c>
      <c r="F249" s="165"/>
      <c r="G249" s="165"/>
      <c r="H249" s="166"/>
      <c r="I249" s="221"/>
      <c r="J249" s="168"/>
      <c r="K249" s="98"/>
      <c r="L249" s="168">
        <f t="shared" ref="L249:AQ249" si="546">K252</f>
        <v>0</v>
      </c>
      <c r="M249" s="168">
        <f t="shared" si="546"/>
        <v>48000000</v>
      </c>
      <c r="N249" s="168">
        <f t="shared" si="546"/>
        <v>48000000</v>
      </c>
      <c r="O249" s="168">
        <f t="shared" si="546"/>
        <v>48000000</v>
      </c>
      <c r="P249" s="168">
        <f t="shared" si="546"/>
        <v>48000000</v>
      </c>
      <c r="Q249" s="168">
        <f t="shared" si="546"/>
        <v>48000000</v>
      </c>
      <c r="R249" s="168">
        <f t="shared" si="546"/>
        <v>48000000</v>
      </c>
      <c r="S249" s="168">
        <f t="shared" si="546"/>
        <v>48000000</v>
      </c>
      <c r="T249" s="168">
        <f t="shared" si="546"/>
        <v>48000000</v>
      </c>
      <c r="U249" s="168">
        <f t="shared" si="546"/>
        <v>48000000</v>
      </c>
      <c r="V249" s="168">
        <f t="shared" si="546"/>
        <v>48000000</v>
      </c>
      <c r="W249" s="168">
        <f t="shared" si="546"/>
        <v>48000000</v>
      </c>
      <c r="X249" s="168">
        <f t="shared" si="546"/>
        <v>48000000</v>
      </c>
      <c r="Y249" s="168">
        <f t="shared" si="546"/>
        <v>48000000</v>
      </c>
      <c r="Z249" s="168">
        <f t="shared" si="546"/>
        <v>48000000</v>
      </c>
      <c r="AA249" s="168">
        <f t="shared" si="546"/>
        <v>48000000</v>
      </c>
      <c r="AB249" s="168">
        <f t="shared" si="546"/>
        <v>48000000</v>
      </c>
      <c r="AC249" s="168">
        <f t="shared" si="546"/>
        <v>48000000</v>
      </c>
      <c r="AD249" s="168">
        <f t="shared" si="546"/>
        <v>48000000</v>
      </c>
      <c r="AE249" s="168">
        <f t="shared" si="546"/>
        <v>48000000</v>
      </c>
      <c r="AF249" s="168">
        <f t="shared" si="546"/>
        <v>48000000</v>
      </c>
      <c r="AG249" s="168">
        <f t="shared" si="546"/>
        <v>48000000</v>
      </c>
      <c r="AH249" s="168">
        <f t="shared" si="546"/>
        <v>48000000</v>
      </c>
      <c r="AI249" s="168">
        <f t="shared" si="546"/>
        <v>48000000</v>
      </c>
      <c r="AJ249" s="168">
        <f t="shared" si="546"/>
        <v>48000000</v>
      </c>
      <c r="AK249" s="168">
        <f t="shared" si="546"/>
        <v>48000000</v>
      </c>
      <c r="AL249" s="168">
        <f t="shared" si="546"/>
        <v>48000000</v>
      </c>
      <c r="AM249" s="168">
        <f t="shared" si="546"/>
        <v>48000000</v>
      </c>
      <c r="AN249" s="168">
        <f t="shared" si="546"/>
        <v>48000000</v>
      </c>
      <c r="AO249" s="168">
        <f t="shared" si="546"/>
        <v>48000000</v>
      </c>
      <c r="AP249" s="168">
        <f t="shared" si="546"/>
        <v>48000000</v>
      </c>
      <c r="AQ249" s="168">
        <f t="shared" si="546"/>
        <v>48000000</v>
      </c>
      <c r="AR249" s="168">
        <f t="shared" ref="AR249:BW249" si="547">AQ252</f>
        <v>48000000</v>
      </c>
      <c r="AS249" s="168">
        <f t="shared" si="547"/>
        <v>48000000</v>
      </c>
      <c r="AT249" s="168">
        <f t="shared" si="547"/>
        <v>48000000</v>
      </c>
      <c r="AU249" s="168">
        <f t="shared" si="547"/>
        <v>48000000</v>
      </c>
      <c r="AV249" s="168">
        <f t="shared" si="547"/>
        <v>48000000</v>
      </c>
      <c r="AW249" s="168">
        <f t="shared" si="547"/>
        <v>48000000</v>
      </c>
      <c r="AX249" s="168">
        <f t="shared" si="547"/>
        <v>48000000</v>
      </c>
      <c r="AY249" s="168">
        <f t="shared" si="547"/>
        <v>48000000</v>
      </c>
      <c r="AZ249" s="168">
        <f t="shared" si="547"/>
        <v>48000000</v>
      </c>
      <c r="BA249" s="168">
        <f t="shared" si="547"/>
        <v>48000000</v>
      </c>
      <c r="BB249" s="168">
        <f t="shared" si="547"/>
        <v>48000000</v>
      </c>
      <c r="BC249" s="168">
        <f t="shared" si="547"/>
        <v>48000000</v>
      </c>
      <c r="BD249" s="168">
        <f t="shared" si="547"/>
        <v>48000000</v>
      </c>
      <c r="BE249" s="168">
        <f t="shared" si="547"/>
        <v>48000000</v>
      </c>
      <c r="BF249" s="168">
        <f t="shared" si="547"/>
        <v>48000000</v>
      </c>
      <c r="BG249" s="168">
        <f t="shared" si="547"/>
        <v>48000000</v>
      </c>
      <c r="BH249" s="168">
        <f t="shared" si="547"/>
        <v>48000000</v>
      </c>
      <c r="BI249" s="168">
        <f t="shared" si="547"/>
        <v>48000000</v>
      </c>
      <c r="BJ249" s="168">
        <f t="shared" si="547"/>
        <v>48000000</v>
      </c>
      <c r="BK249" s="168">
        <f t="shared" si="547"/>
        <v>48000000</v>
      </c>
      <c r="BL249" s="168">
        <f t="shared" si="547"/>
        <v>48000000</v>
      </c>
      <c r="BM249" s="168">
        <f t="shared" si="547"/>
        <v>48000000</v>
      </c>
      <c r="BN249" s="168">
        <f t="shared" si="547"/>
        <v>48000000</v>
      </c>
      <c r="BO249" s="168">
        <f t="shared" si="547"/>
        <v>48000000</v>
      </c>
      <c r="BP249" s="168">
        <f t="shared" si="547"/>
        <v>48000000</v>
      </c>
      <c r="BQ249" s="168">
        <f t="shared" si="547"/>
        <v>48000000</v>
      </c>
      <c r="BR249" s="168">
        <f t="shared" si="547"/>
        <v>48000000</v>
      </c>
      <c r="BS249" s="168">
        <f t="shared" si="547"/>
        <v>48000000</v>
      </c>
      <c r="BT249" s="168">
        <f t="shared" si="547"/>
        <v>48000000</v>
      </c>
      <c r="BU249" s="168">
        <f t="shared" si="547"/>
        <v>48000000</v>
      </c>
      <c r="BV249" s="168">
        <f t="shared" si="547"/>
        <v>48000000</v>
      </c>
      <c r="BW249" s="168">
        <f t="shared" si="547"/>
        <v>48000000</v>
      </c>
      <c r="BX249" s="168">
        <f t="shared" ref="BX249:DC249" si="548">BW252</f>
        <v>48000000</v>
      </c>
      <c r="BY249" s="168">
        <f t="shared" si="548"/>
        <v>48000000</v>
      </c>
      <c r="BZ249" s="168">
        <f t="shared" si="548"/>
        <v>48000000</v>
      </c>
      <c r="CA249" s="168">
        <f t="shared" si="548"/>
        <v>48000000</v>
      </c>
      <c r="CB249" s="168">
        <f t="shared" si="548"/>
        <v>48000000</v>
      </c>
      <c r="CC249" s="168">
        <f t="shared" si="548"/>
        <v>48000000</v>
      </c>
      <c r="CD249" s="168">
        <f t="shared" si="548"/>
        <v>48000000</v>
      </c>
      <c r="CE249" s="168">
        <f t="shared" si="548"/>
        <v>48000000</v>
      </c>
      <c r="CF249" s="168">
        <f t="shared" si="548"/>
        <v>48000000</v>
      </c>
      <c r="CG249" s="168">
        <f t="shared" si="548"/>
        <v>48000000</v>
      </c>
      <c r="CH249" s="168">
        <f t="shared" si="548"/>
        <v>48000000</v>
      </c>
      <c r="CI249" s="168">
        <f t="shared" si="548"/>
        <v>48000000</v>
      </c>
      <c r="CJ249" s="168">
        <f t="shared" si="548"/>
        <v>48000000</v>
      </c>
      <c r="CK249" s="168">
        <f t="shared" si="548"/>
        <v>48000000</v>
      </c>
      <c r="CL249" s="168">
        <f t="shared" si="548"/>
        <v>48000000</v>
      </c>
      <c r="CM249" s="168">
        <f t="shared" si="548"/>
        <v>48000000</v>
      </c>
      <c r="CN249" s="168">
        <f t="shared" si="548"/>
        <v>48000000</v>
      </c>
      <c r="CO249" s="168">
        <f t="shared" si="548"/>
        <v>48000000</v>
      </c>
      <c r="CP249" s="168">
        <f t="shared" si="548"/>
        <v>48000000</v>
      </c>
      <c r="CQ249" s="168">
        <f t="shared" si="548"/>
        <v>48000000</v>
      </c>
      <c r="CR249" s="168">
        <f t="shared" si="548"/>
        <v>48000000</v>
      </c>
      <c r="CS249" s="168">
        <f t="shared" si="548"/>
        <v>48000000</v>
      </c>
      <c r="CT249" s="168">
        <f t="shared" si="548"/>
        <v>48000000</v>
      </c>
      <c r="CU249" s="168">
        <f t="shared" si="548"/>
        <v>48000000</v>
      </c>
      <c r="CV249" s="168">
        <f t="shared" si="548"/>
        <v>48000000</v>
      </c>
      <c r="CW249" s="168">
        <f t="shared" si="548"/>
        <v>48000000</v>
      </c>
      <c r="CX249" s="168">
        <f t="shared" si="548"/>
        <v>48000000</v>
      </c>
      <c r="CY249" s="168">
        <f t="shared" si="548"/>
        <v>48000000</v>
      </c>
      <c r="CZ249" s="168">
        <f t="shared" si="548"/>
        <v>48000000</v>
      </c>
      <c r="DA249" s="168">
        <f t="shared" si="548"/>
        <v>48000000</v>
      </c>
      <c r="DB249" s="168">
        <f t="shared" si="548"/>
        <v>48000000</v>
      </c>
      <c r="DC249" s="168">
        <f t="shared" si="548"/>
        <v>48000000</v>
      </c>
      <c r="DD249" s="168">
        <f t="shared" ref="DD249:EI249" si="549">DC252</f>
        <v>48000000</v>
      </c>
      <c r="DE249" s="168">
        <f t="shared" si="549"/>
        <v>48000000</v>
      </c>
      <c r="DF249" s="168">
        <f t="shared" si="549"/>
        <v>48000000</v>
      </c>
      <c r="DG249" s="168">
        <f t="shared" si="549"/>
        <v>48000000</v>
      </c>
      <c r="DH249" s="168">
        <f t="shared" si="549"/>
        <v>48000000</v>
      </c>
      <c r="DI249" s="168">
        <f t="shared" si="549"/>
        <v>48000000</v>
      </c>
      <c r="DJ249" s="168">
        <f t="shared" si="549"/>
        <v>48000000</v>
      </c>
      <c r="DK249" s="168">
        <f t="shared" si="549"/>
        <v>48000000</v>
      </c>
      <c r="DL249" s="168">
        <f t="shared" si="549"/>
        <v>48000000</v>
      </c>
      <c r="DM249" s="168">
        <f t="shared" si="549"/>
        <v>48000000</v>
      </c>
      <c r="DN249" s="168">
        <f t="shared" si="549"/>
        <v>48000000</v>
      </c>
      <c r="DO249" s="168">
        <f t="shared" si="549"/>
        <v>48000000</v>
      </c>
      <c r="DP249" s="168">
        <f t="shared" si="549"/>
        <v>48000000</v>
      </c>
      <c r="DQ249" s="168">
        <f t="shared" si="549"/>
        <v>48000000</v>
      </c>
      <c r="DR249" s="168">
        <f t="shared" si="549"/>
        <v>48000000</v>
      </c>
      <c r="DS249" s="168">
        <f t="shared" si="549"/>
        <v>48000000</v>
      </c>
      <c r="DT249" s="168">
        <f t="shared" si="549"/>
        <v>48000000</v>
      </c>
      <c r="DU249" s="168">
        <f t="shared" si="549"/>
        <v>48000000</v>
      </c>
      <c r="DV249" s="168">
        <f t="shared" si="549"/>
        <v>48000000</v>
      </c>
      <c r="DW249" s="168">
        <f t="shared" si="549"/>
        <v>48000000</v>
      </c>
      <c r="DX249" s="168">
        <f t="shared" si="549"/>
        <v>48000000</v>
      </c>
      <c r="DY249" s="168">
        <f t="shared" si="549"/>
        <v>48000000</v>
      </c>
      <c r="DZ249" s="168">
        <f t="shared" si="549"/>
        <v>48000000</v>
      </c>
      <c r="EA249" s="168">
        <f t="shared" si="549"/>
        <v>48000000</v>
      </c>
      <c r="EB249" s="168">
        <f t="shared" si="549"/>
        <v>48000000</v>
      </c>
      <c r="EC249" s="168">
        <f t="shared" si="549"/>
        <v>0</v>
      </c>
      <c r="ED249" s="1320">
        <f t="shared" si="549"/>
        <v>0</v>
      </c>
      <c r="EE249" s="168">
        <f t="shared" si="549"/>
        <v>0</v>
      </c>
      <c r="EF249" s="168">
        <f t="shared" si="549"/>
        <v>0</v>
      </c>
      <c r="EG249" s="168">
        <f t="shared" si="549"/>
        <v>0</v>
      </c>
      <c r="EH249" s="168">
        <f t="shared" si="549"/>
        <v>0</v>
      </c>
      <c r="EI249" s="168">
        <f t="shared" si="549"/>
        <v>0</v>
      </c>
      <c r="EJ249" s="168">
        <f t="shared" ref="EJ249:EQ249" si="550">EI252</f>
        <v>0</v>
      </c>
      <c r="EK249" s="168">
        <f t="shared" si="550"/>
        <v>0</v>
      </c>
      <c r="EL249" s="168">
        <f t="shared" si="550"/>
        <v>0</v>
      </c>
      <c r="EM249" s="168">
        <f t="shared" si="550"/>
        <v>0</v>
      </c>
      <c r="EN249" s="168">
        <f t="shared" si="550"/>
        <v>0</v>
      </c>
      <c r="EO249" s="168">
        <f t="shared" si="550"/>
        <v>0</v>
      </c>
      <c r="EP249" s="168">
        <f t="shared" si="550"/>
        <v>0</v>
      </c>
      <c r="EQ249" s="168">
        <f t="shared" si="550"/>
        <v>0</v>
      </c>
    </row>
    <row r="250" spans="3:147" ht="11.25" customHeight="1">
      <c r="C250" s="218"/>
      <c r="D250" s="163"/>
      <c r="E250" s="169" t="s">
        <v>231</v>
      </c>
      <c r="J250" s="171">
        <f>SUM(L250:EQ250)</f>
        <v>48000000</v>
      </c>
      <c r="K250" s="98"/>
      <c r="L250" s="171">
        <f>L67-L245</f>
        <v>48000000</v>
      </c>
      <c r="M250" s="171">
        <f t="shared" ref="M250:BX250" si="551">M67-M245</f>
        <v>0</v>
      </c>
      <c r="N250" s="171">
        <f t="shared" si="551"/>
        <v>0</v>
      </c>
      <c r="O250" s="171">
        <f t="shared" si="551"/>
        <v>0</v>
      </c>
      <c r="P250" s="171">
        <f t="shared" si="551"/>
        <v>0</v>
      </c>
      <c r="Q250" s="171">
        <f t="shared" si="551"/>
        <v>0</v>
      </c>
      <c r="R250" s="171">
        <f t="shared" si="551"/>
        <v>0</v>
      </c>
      <c r="S250" s="171">
        <f t="shared" si="551"/>
        <v>0</v>
      </c>
      <c r="T250" s="171">
        <f t="shared" si="551"/>
        <v>0</v>
      </c>
      <c r="U250" s="171">
        <f t="shared" si="551"/>
        <v>0</v>
      </c>
      <c r="V250" s="171">
        <f t="shared" si="551"/>
        <v>0</v>
      </c>
      <c r="W250" s="171">
        <f t="shared" si="551"/>
        <v>0</v>
      </c>
      <c r="X250" s="171">
        <f t="shared" si="551"/>
        <v>0</v>
      </c>
      <c r="Y250" s="171">
        <f t="shared" si="551"/>
        <v>0</v>
      </c>
      <c r="Z250" s="171">
        <f t="shared" si="551"/>
        <v>0</v>
      </c>
      <c r="AA250" s="171">
        <f t="shared" si="551"/>
        <v>0</v>
      </c>
      <c r="AB250" s="171">
        <f t="shared" si="551"/>
        <v>0</v>
      </c>
      <c r="AC250" s="171">
        <f t="shared" si="551"/>
        <v>0</v>
      </c>
      <c r="AD250" s="171">
        <f t="shared" si="551"/>
        <v>0</v>
      </c>
      <c r="AE250" s="171">
        <f t="shared" si="551"/>
        <v>0</v>
      </c>
      <c r="AF250" s="171">
        <f t="shared" si="551"/>
        <v>0</v>
      </c>
      <c r="AG250" s="171">
        <f t="shared" si="551"/>
        <v>0</v>
      </c>
      <c r="AH250" s="171">
        <f t="shared" si="551"/>
        <v>0</v>
      </c>
      <c r="AI250" s="171">
        <f t="shared" si="551"/>
        <v>0</v>
      </c>
      <c r="AJ250" s="171">
        <f t="shared" si="551"/>
        <v>0</v>
      </c>
      <c r="AK250" s="171">
        <f t="shared" si="551"/>
        <v>0</v>
      </c>
      <c r="AL250" s="171">
        <f t="shared" si="551"/>
        <v>0</v>
      </c>
      <c r="AM250" s="171">
        <f t="shared" si="551"/>
        <v>0</v>
      </c>
      <c r="AN250" s="171">
        <f t="shared" si="551"/>
        <v>0</v>
      </c>
      <c r="AO250" s="171">
        <f t="shared" si="551"/>
        <v>0</v>
      </c>
      <c r="AP250" s="171">
        <f t="shared" si="551"/>
        <v>0</v>
      </c>
      <c r="AQ250" s="171">
        <f t="shared" si="551"/>
        <v>0</v>
      </c>
      <c r="AR250" s="171">
        <f t="shared" si="551"/>
        <v>0</v>
      </c>
      <c r="AS250" s="171">
        <f t="shared" si="551"/>
        <v>0</v>
      </c>
      <c r="AT250" s="171">
        <f t="shared" si="551"/>
        <v>0</v>
      </c>
      <c r="AU250" s="171">
        <f t="shared" si="551"/>
        <v>0</v>
      </c>
      <c r="AV250" s="171">
        <f t="shared" si="551"/>
        <v>0</v>
      </c>
      <c r="AW250" s="171">
        <f t="shared" si="551"/>
        <v>0</v>
      </c>
      <c r="AX250" s="171">
        <f t="shared" si="551"/>
        <v>0</v>
      </c>
      <c r="AY250" s="171">
        <f t="shared" si="551"/>
        <v>0</v>
      </c>
      <c r="AZ250" s="171">
        <f t="shared" si="551"/>
        <v>0</v>
      </c>
      <c r="BA250" s="171">
        <f t="shared" si="551"/>
        <v>0</v>
      </c>
      <c r="BB250" s="171">
        <f t="shared" si="551"/>
        <v>0</v>
      </c>
      <c r="BC250" s="171">
        <f t="shared" si="551"/>
        <v>0</v>
      </c>
      <c r="BD250" s="171">
        <f t="shared" si="551"/>
        <v>0</v>
      </c>
      <c r="BE250" s="171">
        <f t="shared" si="551"/>
        <v>0</v>
      </c>
      <c r="BF250" s="171">
        <f t="shared" si="551"/>
        <v>0</v>
      </c>
      <c r="BG250" s="171">
        <f t="shared" si="551"/>
        <v>0</v>
      </c>
      <c r="BH250" s="171">
        <f t="shared" si="551"/>
        <v>0</v>
      </c>
      <c r="BI250" s="171">
        <f t="shared" si="551"/>
        <v>0</v>
      </c>
      <c r="BJ250" s="171">
        <f t="shared" si="551"/>
        <v>0</v>
      </c>
      <c r="BK250" s="171">
        <f t="shared" si="551"/>
        <v>0</v>
      </c>
      <c r="BL250" s="171">
        <f t="shared" si="551"/>
        <v>0</v>
      </c>
      <c r="BM250" s="171">
        <f t="shared" si="551"/>
        <v>0</v>
      </c>
      <c r="BN250" s="171">
        <f t="shared" si="551"/>
        <v>0</v>
      </c>
      <c r="BO250" s="171">
        <f t="shared" si="551"/>
        <v>0</v>
      </c>
      <c r="BP250" s="171">
        <f t="shared" si="551"/>
        <v>0</v>
      </c>
      <c r="BQ250" s="171">
        <f t="shared" si="551"/>
        <v>0</v>
      </c>
      <c r="BR250" s="171">
        <f t="shared" si="551"/>
        <v>0</v>
      </c>
      <c r="BS250" s="171">
        <f t="shared" si="551"/>
        <v>0</v>
      </c>
      <c r="BT250" s="171">
        <f t="shared" si="551"/>
        <v>0</v>
      </c>
      <c r="BU250" s="171">
        <f t="shared" si="551"/>
        <v>0</v>
      </c>
      <c r="BV250" s="171">
        <f t="shared" si="551"/>
        <v>0</v>
      </c>
      <c r="BW250" s="171">
        <f t="shared" si="551"/>
        <v>0</v>
      </c>
      <c r="BX250" s="171">
        <f t="shared" si="551"/>
        <v>0</v>
      </c>
      <c r="BY250" s="171">
        <f t="shared" ref="BY250:EJ250" si="552">BY67-BY245</f>
        <v>0</v>
      </c>
      <c r="BZ250" s="171">
        <f t="shared" si="552"/>
        <v>0</v>
      </c>
      <c r="CA250" s="171">
        <f t="shared" si="552"/>
        <v>0</v>
      </c>
      <c r="CB250" s="171">
        <f t="shared" si="552"/>
        <v>0</v>
      </c>
      <c r="CC250" s="171">
        <f t="shared" si="552"/>
        <v>0</v>
      </c>
      <c r="CD250" s="171">
        <f t="shared" si="552"/>
        <v>0</v>
      </c>
      <c r="CE250" s="171">
        <f t="shared" si="552"/>
        <v>0</v>
      </c>
      <c r="CF250" s="171">
        <f t="shared" si="552"/>
        <v>0</v>
      </c>
      <c r="CG250" s="171">
        <f t="shared" si="552"/>
        <v>0</v>
      </c>
      <c r="CH250" s="171">
        <f t="shared" si="552"/>
        <v>0</v>
      </c>
      <c r="CI250" s="171">
        <f t="shared" si="552"/>
        <v>0</v>
      </c>
      <c r="CJ250" s="171">
        <f t="shared" si="552"/>
        <v>0</v>
      </c>
      <c r="CK250" s="171">
        <f t="shared" si="552"/>
        <v>0</v>
      </c>
      <c r="CL250" s="171">
        <f t="shared" si="552"/>
        <v>0</v>
      </c>
      <c r="CM250" s="171">
        <f t="shared" si="552"/>
        <v>0</v>
      </c>
      <c r="CN250" s="171">
        <f t="shared" si="552"/>
        <v>0</v>
      </c>
      <c r="CO250" s="171">
        <f t="shared" si="552"/>
        <v>0</v>
      </c>
      <c r="CP250" s="171">
        <f t="shared" si="552"/>
        <v>0</v>
      </c>
      <c r="CQ250" s="171">
        <f t="shared" si="552"/>
        <v>0</v>
      </c>
      <c r="CR250" s="171">
        <f t="shared" si="552"/>
        <v>0</v>
      </c>
      <c r="CS250" s="171">
        <f t="shared" si="552"/>
        <v>0</v>
      </c>
      <c r="CT250" s="171">
        <f t="shared" si="552"/>
        <v>0</v>
      </c>
      <c r="CU250" s="171">
        <f t="shared" si="552"/>
        <v>0</v>
      </c>
      <c r="CV250" s="171">
        <f t="shared" si="552"/>
        <v>0</v>
      </c>
      <c r="CW250" s="171">
        <f t="shared" si="552"/>
        <v>0</v>
      </c>
      <c r="CX250" s="171">
        <f t="shared" si="552"/>
        <v>0</v>
      </c>
      <c r="CY250" s="171">
        <f t="shared" si="552"/>
        <v>0</v>
      </c>
      <c r="CZ250" s="171">
        <f t="shared" si="552"/>
        <v>0</v>
      </c>
      <c r="DA250" s="171">
        <f t="shared" si="552"/>
        <v>0</v>
      </c>
      <c r="DB250" s="171">
        <f t="shared" si="552"/>
        <v>0</v>
      </c>
      <c r="DC250" s="171">
        <f t="shared" si="552"/>
        <v>0</v>
      </c>
      <c r="DD250" s="171">
        <f t="shared" si="552"/>
        <v>0</v>
      </c>
      <c r="DE250" s="171">
        <f t="shared" si="552"/>
        <v>0</v>
      </c>
      <c r="DF250" s="171">
        <f t="shared" si="552"/>
        <v>0</v>
      </c>
      <c r="DG250" s="171">
        <f t="shared" si="552"/>
        <v>0</v>
      </c>
      <c r="DH250" s="171">
        <f t="shared" si="552"/>
        <v>0</v>
      </c>
      <c r="DI250" s="171">
        <f t="shared" si="552"/>
        <v>0</v>
      </c>
      <c r="DJ250" s="171">
        <f t="shared" si="552"/>
        <v>0</v>
      </c>
      <c r="DK250" s="171">
        <f t="shared" si="552"/>
        <v>0</v>
      </c>
      <c r="DL250" s="171">
        <f t="shared" si="552"/>
        <v>0</v>
      </c>
      <c r="DM250" s="171">
        <f t="shared" si="552"/>
        <v>0</v>
      </c>
      <c r="DN250" s="171">
        <f t="shared" si="552"/>
        <v>0</v>
      </c>
      <c r="DO250" s="171">
        <f t="shared" si="552"/>
        <v>0</v>
      </c>
      <c r="DP250" s="171">
        <f t="shared" si="552"/>
        <v>0</v>
      </c>
      <c r="DQ250" s="171">
        <f t="shared" si="552"/>
        <v>0</v>
      </c>
      <c r="DR250" s="171">
        <f t="shared" si="552"/>
        <v>0</v>
      </c>
      <c r="DS250" s="171">
        <f t="shared" si="552"/>
        <v>0</v>
      </c>
      <c r="DT250" s="171">
        <f t="shared" si="552"/>
        <v>0</v>
      </c>
      <c r="DU250" s="171">
        <f t="shared" si="552"/>
        <v>0</v>
      </c>
      <c r="DV250" s="171">
        <f t="shared" si="552"/>
        <v>0</v>
      </c>
      <c r="DW250" s="171">
        <f t="shared" si="552"/>
        <v>0</v>
      </c>
      <c r="DX250" s="171">
        <f t="shared" si="552"/>
        <v>0</v>
      </c>
      <c r="DY250" s="171">
        <f t="shared" si="552"/>
        <v>0</v>
      </c>
      <c r="DZ250" s="171">
        <f t="shared" si="552"/>
        <v>0</v>
      </c>
      <c r="EA250" s="171">
        <f t="shared" si="552"/>
        <v>0</v>
      </c>
      <c r="EB250" s="171">
        <f t="shared" si="552"/>
        <v>0</v>
      </c>
      <c r="EC250" s="171">
        <f t="shared" si="552"/>
        <v>0</v>
      </c>
      <c r="ED250" s="1321">
        <f t="shared" si="552"/>
        <v>0</v>
      </c>
      <c r="EE250" s="171">
        <f t="shared" si="552"/>
        <v>0</v>
      </c>
      <c r="EF250" s="171">
        <f t="shared" si="552"/>
        <v>0</v>
      </c>
      <c r="EG250" s="171">
        <f t="shared" si="552"/>
        <v>0</v>
      </c>
      <c r="EH250" s="171">
        <f t="shared" si="552"/>
        <v>0</v>
      </c>
      <c r="EI250" s="171">
        <f t="shared" si="552"/>
        <v>0</v>
      </c>
      <c r="EJ250" s="171">
        <f t="shared" si="552"/>
        <v>0</v>
      </c>
      <c r="EK250" s="171">
        <f t="shared" ref="EK250:EQ250" si="553">EK67-EK245</f>
        <v>0</v>
      </c>
      <c r="EL250" s="171">
        <f t="shared" si="553"/>
        <v>0</v>
      </c>
      <c r="EM250" s="171">
        <f t="shared" si="553"/>
        <v>0</v>
      </c>
      <c r="EN250" s="171">
        <f t="shared" si="553"/>
        <v>0</v>
      </c>
      <c r="EO250" s="171">
        <f t="shared" si="553"/>
        <v>0</v>
      </c>
      <c r="EP250" s="171">
        <f t="shared" si="553"/>
        <v>0</v>
      </c>
      <c r="EQ250" s="171">
        <f t="shared" si="553"/>
        <v>0</v>
      </c>
    </row>
    <row r="251" spans="3:147" ht="11.25" customHeight="1">
      <c r="C251" s="218"/>
      <c r="D251" s="163"/>
      <c r="E251" s="169" t="s">
        <v>232</v>
      </c>
      <c r="I251" s="134"/>
      <c r="J251" s="171">
        <f>SUM(L251:EQ251)</f>
        <v>48000000</v>
      </c>
      <c r="K251" s="98"/>
      <c r="L251" s="171">
        <f>SUM(L249:L250)*Index!L$42</f>
        <v>0</v>
      </c>
      <c r="M251" s="171">
        <f>SUM(M249:M250)*Index!M$42</f>
        <v>0</v>
      </c>
      <c r="N251" s="171">
        <f>SUM(N249:N250)*Index!N$42</f>
        <v>0</v>
      </c>
      <c r="O251" s="171">
        <f>SUM(O249:O250)*Index!O$42</f>
        <v>0</v>
      </c>
      <c r="P251" s="171">
        <f>SUM(P249:P250)*Index!P$42</f>
        <v>0</v>
      </c>
      <c r="Q251" s="171">
        <f>SUM(Q249:Q250)*Index!Q$42</f>
        <v>0</v>
      </c>
      <c r="R251" s="171">
        <f>SUM(R249:R250)*Index!R$42</f>
        <v>0</v>
      </c>
      <c r="S251" s="171">
        <f>SUM(S249:S250)*Index!S$42</f>
        <v>0</v>
      </c>
      <c r="T251" s="171">
        <f>SUM(T249:T250)*Index!T$42</f>
        <v>0</v>
      </c>
      <c r="U251" s="171">
        <f>SUM(U249:U250)*Index!U$42</f>
        <v>0</v>
      </c>
      <c r="V251" s="171">
        <f>SUM(V249:V250)*Index!V$42</f>
        <v>0</v>
      </c>
      <c r="W251" s="171">
        <f>SUM(W249:W250)*Index!W$42</f>
        <v>0</v>
      </c>
      <c r="X251" s="171">
        <f>SUM(X249:X250)*Index!X$42</f>
        <v>0</v>
      </c>
      <c r="Y251" s="171">
        <f>SUM(Y249:Y250)*Index!Y$42</f>
        <v>0</v>
      </c>
      <c r="Z251" s="171">
        <f>SUM(Z249:Z250)*Index!Z$42</f>
        <v>0</v>
      </c>
      <c r="AA251" s="171">
        <f>SUM(AA249:AA250)*Index!AA$42</f>
        <v>0</v>
      </c>
      <c r="AB251" s="171">
        <f>SUM(AB249:AB250)*Index!AB$42</f>
        <v>0</v>
      </c>
      <c r="AC251" s="171">
        <f>SUM(AC249:AC250)*Index!AC$42</f>
        <v>0</v>
      </c>
      <c r="AD251" s="171">
        <f>SUM(AD249:AD250)*Index!AD$42</f>
        <v>0</v>
      </c>
      <c r="AE251" s="171">
        <f>SUM(AE249:AE250)*Index!AE$42</f>
        <v>0</v>
      </c>
      <c r="AF251" s="171">
        <f>SUM(AF249:AF250)*Index!AF$42</f>
        <v>0</v>
      </c>
      <c r="AG251" s="171">
        <f>SUM(AG249:AG250)*Index!AG$42</f>
        <v>0</v>
      </c>
      <c r="AH251" s="171">
        <f>SUM(AH249:AH250)*Index!AH$42</f>
        <v>0</v>
      </c>
      <c r="AI251" s="171">
        <f>SUM(AI249:AI250)*Index!AI$42</f>
        <v>0</v>
      </c>
      <c r="AJ251" s="171">
        <f>SUM(AJ249:AJ250)*Index!AJ$42</f>
        <v>0</v>
      </c>
      <c r="AK251" s="171">
        <f>SUM(AK249:AK250)*Index!AK$42</f>
        <v>0</v>
      </c>
      <c r="AL251" s="171">
        <f>SUM(AL249:AL250)*Index!AL$42</f>
        <v>0</v>
      </c>
      <c r="AM251" s="171">
        <f>SUM(AM249:AM250)*Index!AM$42</f>
        <v>0</v>
      </c>
      <c r="AN251" s="171">
        <f>SUM(AN249:AN250)*Index!AN$42</f>
        <v>0</v>
      </c>
      <c r="AO251" s="171">
        <f>SUM(AO249:AO250)*Index!AO$42</f>
        <v>0</v>
      </c>
      <c r="AP251" s="171">
        <f>SUM(AP249:AP250)*Index!AP$42</f>
        <v>0</v>
      </c>
      <c r="AQ251" s="171">
        <f>SUM(AQ249:AQ250)*Index!AQ$42</f>
        <v>0</v>
      </c>
      <c r="AR251" s="171">
        <f>SUM(AR249:AR250)*Index!AR$42</f>
        <v>0</v>
      </c>
      <c r="AS251" s="171">
        <f>SUM(AS249:AS250)*Index!AS$42</f>
        <v>0</v>
      </c>
      <c r="AT251" s="171">
        <f>SUM(AT249:AT250)*Index!AT$42</f>
        <v>0</v>
      </c>
      <c r="AU251" s="171">
        <f>SUM(AU249:AU250)*Index!AU$42</f>
        <v>0</v>
      </c>
      <c r="AV251" s="171">
        <f>SUM(AV249:AV250)*Index!AV$42</f>
        <v>0</v>
      </c>
      <c r="AW251" s="171">
        <f>SUM(AW249:AW250)*Index!AW$42</f>
        <v>0</v>
      </c>
      <c r="AX251" s="171">
        <f>SUM(AX249:AX250)*Index!AX$42</f>
        <v>0</v>
      </c>
      <c r="AY251" s="171">
        <f>SUM(AY249:AY250)*Index!AY$42</f>
        <v>0</v>
      </c>
      <c r="AZ251" s="171">
        <f>SUM(AZ249:AZ250)*Index!AZ$42</f>
        <v>0</v>
      </c>
      <c r="BA251" s="171">
        <f>SUM(BA249:BA250)*Index!BA$42</f>
        <v>0</v>
      </c>
      <c r="BB251" s="171">
        <f>SUM(BB249:BB250)*Index!BB$42</f>
        <v>0</v>
      </c>
      <c r="BC251" s="171">
        <f>SUM(BC249:BC250)*Index!BC$42</f>
        <v>0</v>
      </c>
      <c r="BD251" s="171">
        <f>SUM(BD249:BD250)*Index!BD$42</f>
        <v>0</v>
      </c>
      <c r="BE251" s="171">
        <f>SUM(BE249:BE250)*Index!BE$42</f>
        <v>0</v>
      </c>
      <c r="BF251" s="171">
        <f>SUM(BF249:BF250)*Index!BF$42</f>
        <v>0</v>
      </c>
      <c r="BG251" s="171">
        <f>SUM(BG249:BG250)*Index!BG$42</f>
        <v>0</v>
      </c>
      <c r="BH251" s="171">
        <f>SUM(BH249:BH250)*Index!BH$42</f>
        <v>0</v>
      </c>
      <c r="BI251" s="171">
        <f>SUM(BI249:BI250)*Index!BI$42</f>
        <v>0</v>
      </c>
      <c r="BJ251" s="171">
        <f>SUM(BJ249:BJ250)*Index!BJ$42</f>
        <v>0</v>
      </c>
      <c r="BK251" s="171">
        <f>SUM(BK249:BK250)*Index!BK$42</f>
        <v>0</v>
      </c>
      <c r="BL251" s="171">
        <f>SUM(BL249:BL250)*Index!BL$42</f>
        <v>0</v>
      </c>
      <c r="BM251" s="171">
        <f>SUM(BM249:BM250)*Index!BM$42</f>
        <v>0</v>
      </c>
      <c r="BN251" s="171">
        <f>SUM(BN249:BN250)*Index!BN$42</f>
        <v>0</v>
      </c>
      <c r="BO251" s="171">
        <f>SUM(BO249:BO250)*Index!BO$42</f>
        <v>0</v>
      </c>
      <c r="BP251" s="171">
        <f>SUM(BP249:BP250)*Index!BP$42</f>
        <v>0</v>
      </c>
      <c r="BQ251" s="171">
        <f>SUM(BQ249:BQ250)*Index!BQ$42</f>
        <v>0</v>
      </c>
      <c r="BR251" s="171">
        <f>SUM(BR249:BR250)*Index!BR$42</f>
        <v>0</v>
      </c>
      <c r="BS251" s="171">
        <f>SUM(BS249:BS250)*Index!BS$42</f>
        <v>0</v>
      </c>
      <c r="BT251" s="171">
        <f>SUM(BT249:BT250)*Index!BT$42</f>
        <v>0</v>
      </c>
      <c r="BU251" s="171">
        <f>SUM(BU249:BU250)*Index!BU$42</f>
        <v>0</v>
      </c>
      <c r="BV251" s="171">
        <f>SUM(BV249:BV250)*Index!BV$42</f>
        <v>0</v>
      </c>
      <c r="BW251" s="171">
        <f>SUM(BW249:BW250)*Index!BW$42</f>
        <v>0</v>
      </c>
      <c r="BX251" s="171">
        <f>SUM(BX249:BX250)*Index!BX$42</f>
        <v>0</v>
      </c>
      <c r="BY251" s="171">
        <f>SUM(BY249:BY250)*Index!BY$42</f>
        <v>0</v>
      </c>
      <c r="BZ251" s="171">
        <f>SUM(BZ249:BZ250)*Index!BZ$42</f>
        <v>0</v>
      </c>
      <c r="CA251" s="171">
        <f>SUM(CA249:CA250)*Index!CA$42</f>
        <v>0</v>
      </c>
      <c r="CB251" s="171">
        <f>SUM(CB249:CB250)*Index!CB$42</f>
        <v>0</v>
      </c>
      <c r="CC251" s="171">
        <f>SUM(CC249:CC250)*Index!CC$42</f>
        <v>0</v>
      </c>
      <c r="CD251" s="171">
        <f>SUM(CD249:CD250)*Index!CD$42</f>
        <v>0</v>
      </c>
      <c r="CE251" s="171">
        <f>SUM(CE249:CE250)*Index!CE$42</f>
        <v>0</v>
      </c>
      <c r="CF251" s="171">
        <f>SUM(CF249:CF250)*Index!CF$42</f>
        <v>0</v>
      </c>
      <c r="CG251" s="171">
        <f>SUM(CG249:CG250)*Index!CG$42</f>
        <v>0</v>
      </c>
      <c r="CH251" s="171">
        <f>SUM(CH249:CH250)*Index!CH$42</f>
        <v>0</v>
      </c>
      <c r="CI251" s="171">
        <f>SUM(CI249:CI250)*Index!CI$42</f>
        <v>0</v>
      </c>
      <c r="CJ251" s="171">
        <f>SUM(CJ249:CJ250)*Index!CJ$42</f>
        <v>0</v>
      </c>
      <c r="CK251" s="171">
        <f>SUM(CK249:CK250)*Index!CK$42</f>
        <v>0</v>
      </c>
      <c r="CL251" s="171">
        <f>SUM(CL249:CL250)*Index!CL$42</f>
        <v>0</v>
      </c>
      <c r="CM251" s="171">
        <f>SUM(CM249:CM250)*Index!CM$42</f>
        <v>0</v>
      </c>
      <c r="CN251" s="171">
        <f>SUM(CN249:CN250)*Index!CN$42</f>
        <v>0</v>
      </c>
      <c r="CO251" s="171">
        <f>SUM(CO249:CO250)*Index!CO$42</f>
        <v>0</v>
      </c>
      <c r="CP251" s="171">
        <f>SUM(CP249:CP250)*Index!CP$42</f>
        <v>0</v>
      </c>
      <c r="CQ251" s="171">
        <f>SUM(CQ249:CQ250)*Index!CQ$42</f>
        <v>0</v>
      </c>
      <c r="CR251" s="171">
        <f>SUM(CR249:CR250)*Index!CR$42</f>
        <v>0</v>
      </c>
      <c r="CS251" s="171">
        <f>SUM(CS249:CS250)*Index!CS$42</f>
        <v>0</v>
      </c>
      <c r="CT251" s="171">
        <f>SUM(CT249:CT250)*Index!CT$42</f>
        <v>0</v>
      </c>
      <c r="CU251" s="171">
        <f>SUM(CU249:CU250)*Index!CU$42</f>
        <v>0</v>
      </c>
      <c r="CV251" s="171">
        <f>SUM(CV249:CV250)*Index!CV$42</f>
        <v>0</v>
      </c>
      <c r="CW251" s="171">
        <f>SUM(CW249:CW250)*Index!CW$42</f>
        <v>0</v>
      </c>
      <c r="CX251" s="171">
        <f>SUM(CX249:CX250)*Index!CX$42</f>
        <v>0</v>
      </c>
      <c r="CY251" s="171">
        <f>SUM(CY249:CY250)*Index!CY$42</f>
        <v>0</v>
      </c>
      <c r="CZ251" s="171">
        <f>SUM(CZ249:CZ250)*Index!CZ$42</f>
        <v>0</v>
      </c>
      <c r="DA251" s="171">
        <f>SUM(DA249:DA250)*Index!DA$42</f>
        <v>0</v>
      </c>
      <c r="DB251" s="171">
        <f>SUM(DB249:DB250)*Index!DB$42</f>
        <v>0</v>
      </c>
      <c r="DC251" s="171">
        <f>SUM(DC249:DC250)*Index!DC$42</f>
        <v>0</v>
      </c>
      <c r="DD251" s="171">
        <f>SUM(DD249:DD250)*Index!DD$42</f>
        <v>0</v>
      </c>
      <c r="DE251" s="171">
        <f>SUM(DE249:DE250)*Index!DE$42</f>
        <v>0</v>
      </c>
      <c r="DF251" s="171">
        <f>SUM(DF249:DF250)*Index!DF$42</f>
        <v>0</v>
      </c>
      <c r="DG251" s="171">
        <f>SUM(DG249:DG250)*Index!DG$42</f>
        <v>0</v>
      </c>
      <c r="DH251" s="171">
        <f>SUM(DH249:DH250)*Index!DH$42</f>
        <v>0</v>
      </c>
      <c r="DI251" s="171">
        <f>SUM(DI249:DI250)*Index!DI$42</f>
        <v>0</v>
      </c>
      <c r="DJ251" s="171">
        <f>SUM(DJ249:DJ250)*Index!DJ$42</f>
        <v>0</v>
      </c>
      <c r="DK251" s="171">
        <f>SUM(DK249:DK250)*Index!DK$42</f>
        <v>0</v>
      </c>
      <c r="DL251" s="171">
        <f>SUM(DL249:DL250)*Index!DL$42</f>
        <v>0</v>
      </c>
      <c r="DM251" s="171">
        <f>SUM(DM249:DM250)*Index!DM$42</f>
        <v>0</v>
      </c>
      <c r="DN251" s="171">
        <f>SUM(DN249:DN250)*Index!DN$42</f>
        <v>0</v>
      </c>
      <c r="DO251" s="171">
        <f>SUM(DO249:DO250)*Index!DO$42</f>
        <v>0</v>
      </c>
      <c r="DP251" s="171">
        <f>SUM(DP249:DP250)*Index!DP$42</f>
        <v>0</v>
      </c>
      <c r="DQ251" s="171">
        <f>SUM(DQ249:DQ250)*Index!DQ$42</f>
        <v>0</v>
      </c>
      <c r="DR251" s="171">
        <f>SUM(DR249:DR250)*Index!DR$42</f>
        <v>0</v>
      </c>
      <c r="DS251" s="171">
        <f>SUM(DS249:DS250)*Index!DS$42</f>
        <v>0</v>
      </c>
      <c r="DT251" s="171">
        <f>SUM(DT249:DT250)*Index!DT$42</f>
        <v>0</v>
      </c>
      <c r="DU251" s="171">
        <f>SUM(DU249:DU250)*Index!DU$42</f>
        <v>0</v>
      </c>
      <c r="DV251" s="171">
        <f>SUM(DV249:DV250)*Index!DV$42</f>
        <v>0</v>
      </c>
      <c r="DW251" s="171">
        <f>SUM(DW249:DW250)*Index!DW$42</f>
        <v>0</v>
      </c>
      <c r="DX251" s="171">
        <f>SUM(DX249:DX250)*Index!DX$42</f>
        <v>0</v>
      </c>
      <c r="DY251" s="171">
        <f>SUM(DY249:DY250)*Index!DY$42</f>
        <v>0</v>
      </c>
      <c r="DZ251" s="171">
        <f>SUM(DZ249:DZ250)*Index!DZ$42</f>
        <v>0</v>
      </c>
      <c r="EA251" s="171">
        <f>SUM(EA249:EA250)*Index!EA$42</f>
        <v>0</v>
      </c>
      <c r="EB251" s="171">
        <f>SUM(EB249:EB250)*Index!EB$42</f>
        <v>48000000</v>
      </c>
      <c r="EC251" s="171">
        <f>SUM(EC249:EC250)*Index!EC$42</f>
        <v>0</v>
      </c>
      <c r="ED251" s="1321">
        <f>SUM(ED249:ED250)*Index!ED$42</f>
        <v>0</v>
      </c>
      <c r="EE251" s="171">
        <f>SUM(EE249:EE250)*Index!EE$42</f>
        <v>0</v>
      </c>
      <c r="EF251" s="171">
        <f>SUM(EF249:EF250)*Index!EF$42</f>
        <v>0</v>
      </c>
      <c r="EG251" s="171">
        <f>SUM(EG249:EG250)*Index!EG$42</f>
        <v>0</v>
      </c>
      <c r="EH251" s="171">
        <f>SUM(EH249:EH250)*Index!EH$42</f>
        <v>0</v>
      </c>
      <c r="EI251" s="171">
        <f>SUM(EI249:EI250)*Index!EI$42</f>
        <v>0</v>
      </c>
      <c r="EJ251" s="171">
        <f>SUM(EJ249:EJ250)*Index!EJ$42</f>
        <v>0</v>
      </c>
      <c r="EK251" s="171">
        <f>SUM(EK249:EK250)*Index!EK$42</f>
        <v>0</v>
      </c>
      <c r="EL251" s="171">
        <f>SUM(EL249:EL250)*Index!EL$42</f>
        <v>0</v>
      </c>
      <c r="EM251" s="171">
        <f>SUM(EM249:EM250)*Index!EM$42</f>
        <v>0</v>
      </c>
      <c r="EN251" s="171">
        <f>SUM(EN249:EN250)*Index!EN$42</f>
        <v>0</v>
      </c>
      <c r="EO251" s="171">
        <f>SUM(EO249:EO250)*Index!EO$42</f>
        <v>0</v>
      </c>
      <c r="EP251" s="171">
        <f>SUM(EP249:EP250)*Index!EP$42</f>
        <v>0</v>
      </c>
      <c r="EQ251" s="171">
        <f>SUM(EQ249:EQ250)*Index!EQ$42</f>
        <v>0</v>
      </c>
    </row>
    <row r="252" spans="3:147" ht="11.25" customHeight="1">
      <c r="C252" s="244"/>
      <c r="D252" s="178"/>
      <c r="E252" s="179" t="s">
        <v>233</v>
      </c>
      <c r="F252" s="180"/>
      <c r="G252" s="180"/>
      <c r="H252" s="182"/>
      <c r="I252" s="245"/>
      <c r="J252" s="184"/>
      <c r="K252" s="98"/>
      <c r="L252" s="184">
        <f t="shared" ref="L252:BW252" si="554">L249+L250-L251</f>
        <v>48000000</v>
      </c>
      <c r="M252" s="184">
        <f t="shared" si="554"/>
        <v>48000000</v>
      </c>
      <c r="N252" s="184">
        <f t="shared" si="554"/>
        <v>48000000</v>
      </c>
      <c r="O252" s="184">
        <f t="shared" si="554"/>
        <v>48000000</v>
      </c>
      <c r="P252" s="184">
        <f t="shared" si="554"/>
        <v>48000000</v>
      </c>
      <c r="Q252" s="184">
        <f t="shared" si="554"/>
        <v>48000000</v>
      </c>
      <c r="R252" s="184">
        <f t="shared" si="554"/>
        <v>48000000</v>
      </c>
      <c r="S252" s="184">
        <f t="shared" si="554"/>
        <v>48000000</v>
      </c>
      <c r="T252" s="184">
        <f t="shared" si="554"/>
        <v>48000000</v>
      </c>
      <c r="U252" s="184">
        <f t="shared" si="554"/>
        <v>48000000</v>
      </c>
      <c r="V252" s="184">
        <f t="shared" si="554"/>
        <v>48000000</v>
      </c>
      <c r="W252" s="184">
        <f t="shared" si="554"/>
        <v>48000000</v>
      </c>
      <c r="X252" s="184">
        <f t="shared" si="554"/>
        <v>48000000</v>
      </c>
      <c r="Y252" s="184">
        <f t="shared" si="554"/>
        <v>48000000</v>
      </c>
      <c r="Z252" s="184">
        <f t="shared" si="554"/>
        <v>48000000</v>
      </c>
      <c r="AA252" s="184">
        <f t="shared" si="554"/>
        <v>48000000</v>
      </c>
      <c r="AB252" s="184">
        <f t="shared" si="554"/>
        <v>48000000</v>
      </c>
      <c r="AC252" s="184">
        <f t="shared" si="554"/>
        <v>48000000</v>
      </c>
      <c r="AD252" s="184">
        <f t="shared" si="554"/>
        <v>48000000</v>
      </c>
      <c r="AE252" s="184">
        <f t="shared" si="554"/>
        <v>48000000</v>
      </c>
      <c r="AF252" s="184">
        <f t="shared" si="554"/>
        <v>48000000</v>
      </c>
      <c r="AG252" s="184">
        <f t="shared" si="554"/>
        <v>48000000</v>
      </c>
      <c r="AH252" s="184">
        <f t="shared" si="554"/>
        <v>48000000</v>
      </c>
      <c r="AI252" s="184">
        <f t="shared" si="554"/>
        <v>48000000</v>
      </c>
      <c r="AJ252" s="184">
        <f t="shared" si="554"/>
        <v>48000000</v>
      </c>
      <c r="AK252" s="184">
        <f t="shared" si="554"/>
        <v>48000000</v>
      </c>
      <c r="AL252" s="184">
        <f t="shared" si="554"/>
        <v>48000000</v>
      </c>
      <c r="AM252" s="184">
        <f t="shared" si="554"/>
        <v>48000000</v>
      </c>
      <c r="AN252" s="184">
        <f t="shared" si="554"/>
        <v>48000000</v>
      </c>
      <c r="AO252" s="184">
        <f t="shared" si="554"/>
        <v>48000000</v>
      </c>
      <c r="AP252" s="184">
        <f t="shared" si="554"/>
        <v>48000000</v>
      </c>
      <c r="AQ252" s="184">
        <f t="shared" si="554"/>
        <v>48000000</v>
      </c>
      <c r="AR252" s="184">
        <f t="shared" si="554"/>
        <v>48000000</v>
      </c>
      <c r="AS252" s="184">
        <f t="shared" si="554"/>
        <v>48000000</v>
      </c>
      <c r="AT252" s="184">
        <f t="shared" si="554"/>
        <v>48000000</v>
      </c>
      <c r="AU252" s="184">
        <f t="shared" si="554"/>
        <v>48000000</v>
      </c>
      <c r="AV252" s="184">
        <f t="shared" si="554"/>
        <v>48000000</v>
      </c>
      <c r="AW252" s="184">
        <f t="shared" si="554"/>
        <v>48000000</v>
      </c>
      <c r="AX252" s="184">
        <f t="shared" si="554"/>
        <v>48000000</v>
      </c>
      <c r="AY252" s="184">
        <f t="shared" si="554"/>
        <v>48000000</v>
      </c>
      <c r="AZ252" s="184">
        <f t="shared" si="554"/>
        <v>48000000</v>
      </c>
      <c r="BA252" s="184">
        <f t="shared" si="554"/>
        <v>48000000</v>
      </c>
      <c r="BB252" s="184">
        <f t="shared" si="554"/>
        <v>48000000</v>
      </c>
      <c r="BC252" s="184">
        <f t="shared" si="554"/>
        <v>48000000</v>
      </c>
      <c r="BD252" s="184">
        <f t="shared" si="554"/>
        <v>48000000</v>
      </c>
      <c r="BE252" s="184">
        <f t="shared" si="554"/>
        <v>48000000</v>
      </c>
      <c r="BF252" s="184">
        <f t="shared" si="554"/>
        <v>48000000</v>
      </c>
      <c r="BG252" s="184">
        <f t="shared" si="554"/>
        <v>48000000</v>
      </c>
      <c r="BH252" s="184">
        <f t="shared" si="554"/>
        <v>48000000</v>
      </c>
      <c r="BI252" s="184">
        <f t="shared" si="554"/>
        <v>48000000</v>
      </c>
      <c r="BJ252" s="184">
        <f t="shared" si="554"/>
        <v>48000000</v>
      </c>
      <c r="BK252" s="184">
        <f t="shared" si="554"/>
        <v>48000000</v>
      </c>
      <c r="BL252" s="184">
        <f t="shared" si="554"/>
        <v>48000000</v>
      </c>
      <c r="BM252" s="184">
        <f t="shared" si="554"/>
        <v>48000000</v>
      </c>
      <c r="BN252" s="184">
        <f t="shared" si="554"/>
        <v>48000000</v>
      </c>
      <c r="BO252" s="184">
        <f t="shared" si="554"/>
        <v>48000000</v>
      </c>
      <c r="BP252" s="184">
        <f t="shared" si="554"/>
        <v>48000000</v>
      </c>
      <c r="BQ252" s="184">
        <f t="shared" si="554"/>
        <v>48000000</v>
      </c>
      <c r="BR252" s="184">
        <f t="shared" si="554"/>
        <v>48000000</v>
      </c>
      <c r="BS252" s="184">
        <f t="shared" si="554"/>
        <v>48000000</v>
      </c>
      <c r="BT252" s="184">
        <f t="shared" si="554"/>
        <v>48000000</v>
      </c>
      <c r="BU252" s="184">
        <f t="shared" si="554"/>
        <v>48000000</v>
      </c>
      <c r="BV252" s="184">
        <f t="shared" si="554"/>
        <v>48000000</v>
      </c>
      <c r="BW252" s="184">
        <f t="shared" si="554"/>
        <v>48000000</v>
      </c>
      <c r="BX252" s="184">
        <f t="shared" ref="BX252:EI252" si="555">BX249+BX250-BX251</f>
        <v>48000000</v>
      </c>
      <c r="BY252" s="184">
        <f t="shared" si="555"/>
        <v>48000000</v>
      </c>
      <c r="BZ252" s="184">
        <f t="shared" si="555"/>
        <v>48000000</v>
      </c>
      <c r="CA252" s="184">
        <f t="shared" si="555"/>
        <v>48000000</v>
      </c>
      <c r="CB252" s="184">
        <f t="shared" si="555"/>
        <v>48000000</v>
      </c>
      <c r="CC252" s="184">
        <f t="shared" si="555"/>
        <v>48000000</v>
      </c>
      <c r="CD252" s="184">
        <f t="shared" si="555"/>
        <v>48000000</v>
      </c>
      <c r="CE252" s="184">
        <f t="shared" si="555"/>
        <v>48000000</v>
      </c>
      <c r="CF252" s="184">
        <f t="shared" si="555"/>
        <v>48000000</v>
      </c>
      <c r="CG252" s="184">
        <f t="shared" si="555"/>
        <v>48000000</v>
      </c>
      <c r="CH252" s="184">
        <f t="shared" si="555"/>
        <v>48000000</v>
      </c>
      <c r="CI252" s="184">
        <f t="shared" si="555"/>
        <v>48000000</v>
      </c>
      <c r="CJ252" s="184">
        <f t="shared" si="555"/>
        <v>48000000</v>
      </c>
      <c r="CK252" s="184">
        <f t="shared" si="555"/>
        <v>48000000</v>
      </c>
      <c r="CL252" s="184">
        <f t="shared" si="555"/>
        <v>48000000</v>
      </c>
      <c r="CM252" s="184">
        <f t="shared" si="555"/>
        <v>48000000</v>
      </c>
      <c r="CN252" s="184">
        <f t="shared" si="555"/>
        <v>48000000</v>
      </c>
      <c r="CO252" s="184">
        <f t="shared" si="555"/>
        <v>48000000</v>
      </c>
      <c r="CP252" s="184">
        <f t="shared" si="555"/>
        <v>48000000</v>
      </c>
      <c r="CQ252" s="184">
        <f t="shared" si="555"/>
        <v>48000000</v>
      </c>
      <c r="CR252" s="184">
        <f t="shared" si="555"/>
        <v>48000000</v>
      </c>
      <c r="CS252" s="184">
        <f t="shared" si="555"/>
        <v>48000000</v>
      </c>
      <c r="CT252" s="184">
        <f t="shared" si="555"/>
        <v>48000000</v>
      </c>
      <c r="CU252" s="184">
        <f t="shared" si="555"/>
        <v>48000000</v>
      </c>
      <c r="CV252" s="184">
        <f t="shared" si="555"/>
        <v>48000000</v>
      </c>
      <c r="CW252" s="184">
        <f t="shared" si="555"/>
        <v>48000000</v>
      </c>
      <c r="CX252" s="184">
        <f t="shared" si="555"/>
        <v>48000000</v>
      </c>
      <c r="CY252" s="184">
        <f t="shared" si="555"/>
        <v>48000000</v>
      </c>
      <c r="CZ252" s="184">
        <f t="shared" si="555"/>
        <v>48000000</v>
      </c>
      <c r="DA252" s="184">
        <f t="shared" si="555"/>
        <v>48000000</v>
      </c>
      <c r="DB252" s="184">
        <f t="shared" si="555"/>
        <v>48000000</v>
      </c>
      <c r="DC252" s="184">
        <f t="shared" si="555"/>
        <v>48000000</v>
      </c>
      <c r="DD252" s="184">
        <f t="shared" si="555"/>
        <v>48000000</v>
      </c>
      <c r="DE252" s="184">
        <f t="shared" si="555"/>
        <v>48000000</v>
      </c>
      <c r="DF252" s="184">
        <f t="shared" si="555"/>
        <v>48000000</v>
      </c>
      <c r="DG252" s="184">
        <f t="shared" si="555"/>
        <v>48000000</v>
      </c>
      <c r="DH252" s="184">
        <f t="shared" si="555"/>
        <v>48000000</v>
      </c>
      <c r="DI252" s="184">
        <f t="shared" si="555"/>
        <v>48000000</v>
      </c>
      <c r="DJ252" s="184">
        <f t="shared" si="555"/>
        <v>48000000</v>
      </c>
      <c r="DK252" s="184">
        <f t="shared" si="555"/>
        <v>48000000</v>
      </c>
      <c r="DL252" s="184">
        <f t="shared" si="555"/>
        <v>48000000</v>
      </c>
      <c r="DM252" s="184">
        <f t="shared" si="555"/>
        <v>48000000</v>
      </c>
      <c r="DN252" s="184">
        <f t="shared" si="555"/>
        <v>48000000</v>
      </c>
      <c r="DO252" s="184">
        <f t="shared" si="555"/>
        <v>48000000</v>
      </c>
      <c r="DP252" s="184">
        <f t="shared" si="555"/>
        <v>48000000</v>
      </c>
      <c r="DQ252" s="184">
        <f t="shared" si="555"/>
        <v>48000000</v>
      </c>
      <c r="DR252" s="184">
        <f t="shared" si="555"/>
        <v>48000000</v>
      </c>
      <c r="DS252" s="184">
        <f t="shared" si="555"/>
        <v>48000000</v>
      </c>
      <c r="DT252" s="184">
        <f t="shared" si="555"/>
        <v>48000000</v>
      </c>
      <c r="DU252" s="184">
        <f t="shared" si="555"/>
        <v>48000000</v>
      </c>
      <c r="DV252" s="184">
        <f t="shared" si="555"/>
        <v>48000000</v>
      </c>
      <c r="DW252" s="184">
        <f t="shared" si="555"/>
        <v>48000000</v>
      </c>
      <c r="DX252" s="184">
        <f t="shared" si="555"/>
        <v>48000000</v>
      </c>
      <c r="DY252" s="184">
        <f t="shared" si="555"/>
        <v>48000000</v>
      </c>
      <c r="DZ252" s="184">
        <f t="shared" si="555"/>
        <v>48000000</v>
      </c>
      <c r="EA252" s="184">
        <f t="shared" si="555"/>
        <v>48000000</v>
      </c>
      <c r="EB252" s="184">
        <f t="shared" si="555"/>
        <v>0</v>
      </c>
      <c r="EC252" s="184">
        <f t="shared" si="555"/>
        <v>0</v>
      </c>
      <c r="ED252" s="1324">
        <f t="shared" si="555"/>
        <v>0</v>
      </c>
      <c r="EE252" s="184">
        <f t="shared" si="555"/>
        <v>0</v>
      </c>
      <c r="EF252" s="184">
        <f t="shared" si="555"/>
        <v>0</v>
      </c>
      <c r="EG252" s="184">
        <f t="shared" si="555"/>
        <v>0</v>
      </c>
      <c r="EH252" s="184">
        <f t="shared" si="555"/>
        <v>0</v>
      </c>
      <c r="EI252" s="184">
        <f t="shared" si="555"/>
        <v>0</v>
      </c>
      <c r="EJ252" s="184">
        <f t="shared" ref="EJ252:EQ252" si="556">EJ249+EJ250-EJ251</f>
        <v>0</v>
      </c>
      <c r="EK252" s="184">
        <f t="shared" si="556"/>
        <v>0</v>
      </c>
      <c r="EL252" s="184">
        <f t="shared" si="556"/>
        <v>0</v>
      </c>
      <c r="EM252" s="184">
        <f t="shared" si="556"/>
        <v>0</v>
      </c>
      <c r="EN252" s="184">
        <f t="shared" si="556"/>
        <v>0</v>
      </c>
      <c r="EO252" s="184">
        <f t="shared" si="556"/>
        <v>0</v>
      </c>
      <c r="EP252" s="184">
        <f t="shared" si="556"/>
        <v>0</v>
      </c>
      <c r="EQ252" s="184">
        <f t="shared" si="556"/>
        <v>0</v>
      </c>
    </row>
    <row r="253" spans="3:147" ht="11.25" customHeight="1">
      <c r="C253" s="218"/>
      <c r="D253" s="158" t="s">
        <v>1091</v>
      </c>
      <c r="E253" s="159"/>
      <c r="F253" s="159"/>
      <c r="G253" s="159"/>
      <c r="H253" s="160"/>
      <c r="I253" s="219"/>
      <c r="J253" s="220"/>
      <c r="K253" s="98"/>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162"/>
      <c r="AK253" s="162"/>
      <c r="AL253" s="162"/>
      <c r="AM253" s="162"/>
      <c r="AN253" s="162"/>
      <c r="AO253" s="162"/>
      <c r="AP253" s="162"/>
      <c r="AQ253" s="162"/>
      <c r="AR253" s="162"/>
      <c r="AS253" s="162"/>
      <c r="AT253" s="162"/>
      <c r="AU253" s="162"/>
      <c r="AV253" s="162"/>
      <c r="AW253" s="162"/>
      <c r="AX253" s="162"/>
      <c r="AY253" s="162"/>
      <c r="AZ253" s="162"/>
      <c r="BA253" s="162"/>
      <c r="BB253" s="162"/>
      <c r="BC253" s="162"/>
      <c r="BD253" s="162"/>
      <c r="BE253" s="162"/>
      <c r="BF253" s="162"/>
      <c r="BG253" s="162"/>
      <c r="BH253" s="162"/>
      <c r="BI253" s="162"/>
      <c r="BJ253" s="162"/>
      <c r="BK253" s="162"/>
      <c r="BL253" s="162"/>
      <c r="BM253" s="162"/>
      <c r="BN253" s="162"/>
      <c r="BO253" s="162"/>
      <c r="BP253" s="162"/>
      <c r="BQ253" s="162"/>
      <c r="BR253" s="162"/>
      <c r="BS253" s="162"/>
      <c r="BT253" s="162"/>
      <c r="BU253" s="162"/>
      <c r="BV253" s="162"/>
      <c r="BW253" s="162"/>
      <c r="BX253" s="162"/>
      <c r="BY253" s="162"/>
      <c r="BZ253" s="162"/>
      <c r="CA253" s="162"/>
      <c r="CB253" s="162"/>
      <c r="CC253" s="162"/>
      <c r="CD253" s="162"/>
      <c r="CE253" s="162"/>
      <c r="CF253" s="162"/>
      <c r="CG253" s="162"/>
      <c r="CH253" s="162"/>
      <c r="CI253" s="162"/>
      <c r="CJ253" s="162"/>
      <c r="CK253" s="162"/>
      <c r="CL253" s="162"/>
      <c r="CM253" s="162"/>
      <c r="CN253" s="162"/>
      <c r="CO253" s="162"/>
      <c r="CP253" s="162"/>
      <c r="CQ253" s="162"/>
      <c r="CR253" s="162"/>
      <c r="CS253" s="162"/>
      <c r="CT253" s="162"/>
      <c r="CU253" s="162"/>
      <c r="CV253" s="162"/>
      <c r="CW253" s="162"/>
      <c r="CX253" s="162"/>
      <c r="CY253" s="162"/>
      <c r="CZ253" s="162"/>
      <c r="DA253" s="162"/>
      <c r="DB253" s="162"/>
      <c r="DC253" s="162"/>
      <c r="DD253" s="162"/>
      <c r="DE253" s="162"/>
      <c r="DF253" s="162"/>
      <c r="DG253" s="162"/>
      <c r="DH253" s="162"/>
      <c r="DI253" s="162"/>
      <c r="DJ253" s="162"/>
      <c r="DK253" s="162"/>
      <c r="DL253" s="162"/>
      <c r="DM253" s="162"/>
      <c r="DN253" s="162"/>
      <c r="DO253" s="162"/>
      <c r="DP253" s="162"/>
      <c r="DQ253" s="162"/>
      <c r="DR253" s="162"/>
      <c r="DS253" s="162"/>
      <c r="DT253" s="162"/>
      <c r="DU253" s="162"/>
      <c r="DV253" s="162"/>
      <c r="DW253" s="162"/>
      <c r="DX253" s="162"/>
      <c r="DY253" s="162"/>
      <c r="DZ253" s="162"/>
      <c r="EA253" s="162"/>
      <c r="EB253" s="162"/>
      <c r="EC253" s="162"/>
      <c r="ED253" s="1319"/>
      <c r="EE253" s="162"/>
      <c r="EF253" s="162"/>
      <c r="EG253" s="162"/>
      <c r="EH253" s="162"/>
      <c r="EI253" s="162"/>
      <c r="EJ253" s="162"/>
      <c r="EK253" s="162"/>
      <c r="EL253" s="162"/>
      <c r="EM253" s="162"/>
      <c r="EN253" s="162"/>
      <c r="EO253" s="162"/>
      <c r="EP253" s="162"/>
      <c r="EQ253" s="162"/>
    </row>
    <row r="254" spans="3:147" ht="11.25" customHeight="1">
      <c r="C254" s="218"/>
      <c r="D254" s="163"/>
      <c r="E254" s="164" t="s">
        <v>217</v>
      </c>
      <c r="F254" s="165"/>
      <c r="G254" s="165"/>
      <c r="H254" s="166"/>
      <c r="I254" s="221"/>
      <c r="J254" s="168"/>
      <c r="K254" s="98"/>
      <c r="L254" s="168">
        <f t="shared" ref="L254:AQ254" si="557">K257</f>
        <v>0</v>
      </c>
      <c r="M254" s="168">
        <f t="shared" si="557"/>
        <v>434782.60869565216</v>
      </c>
      <c r="N254" s="168">
        <f t="shared" si="557"/>
        <v>434782.60869565216</v>
      </c>
      <c r="O254" s="168">
        <f t="shared" si="557"/>
        <v>434782.60869565216</v>
      </c>
      <c r="P254" s="168">
        <f t="shared" si="557"/>
        <v>434782.60869565216</v>
      </c>
      <c r="Q254" s="168">
        <f t="shared" si="557"/>
        <v>434782.60869565216</v>
      </c>
      <c r="R254" s="168">
        <f t="shared" si="557"/>
        <v>434782.60869565216</v>
      </c>
      <c r="S254" s="168">
        <f t="shared" si="557"/>
        <v>434782.60869565216</v>
      </c>
      <c r="T254" s="168">
        <f t="shared" si="557"/>
        <v>434782.60869565216</v>
      </c>
      <c r="U254" s="168">
        <f t="shared" si="557"/>
        <v>434782.60869565216</v>
      </c>
      <c r="V254" s="168">
        <f t="shared" si="557"/>
        <v>434782.60869565216</v>
      </c>
      <c r="W254" s="168">
        <f t="shared" si="557"/>
        <v>434782.60869565216</v>
      </c>
      <c r="X254" s="168">
        <f t="shared" si="557"/>
        <v>434782.60869565216</v>
      </c>
      <c r="Y254" s="168">
        <f t="shared" si="557"/>
        <v>434782.60869565216</v>
      </c>
      <c r="Z254" s="168">
        <f t="shared" si="557"/>
        <v>434782.60869565216</v>
      </c>
      <c r="AA254" s="168">
        <f t="shared" si="557"/>
        <v>434782.60869565216</v>
      </c>
      <c r="AB254" s="168">
        <f t="shared" si="557"/>
        <v>434782.60869565216</v>
      </c>
      <c r="AC254" s="168">
        <f t="shared" si="557"/>
        <v>434782.60869565216</v>
      </c>
      <c r="AD254" s="168">
        <f t="shared" si="557"/>
        <v>434782.60869565216</v>
      </c>
      <c r="AE254" s="168">
        <f t="shared" si="557"/>
        <v>434782.60869565216</v>
      </c>
      <c r="AF254" s="168">
        <f t="shared" si="557"/>
        <v>434782.60869565216</v>
      </c>
      <c r="AG254" s="168">
        <f t="shared" si="557"/>
        <v>434782.60869565216</v>
      </c>
      <c r="AH254" s="168">
        <f t="shared" si="557"/>
        <v>434782.60869565216</v>
      </c>
      <c r="AI254" s="168">
        <f t="shared" si="557"/>
        <v>434782.60869565216</v>
      </c>
      <c r="AJ254" s="168">
        <f t="shared" si="557"/>
        <v>434782.60869565216</v>
      </c>
      <c r="AK254" s="168">
        <f t="shared" si="557"/>
        <v>0</v>
      </c>
      <c r="AL254" s="168">
        <f t="shared" si="557"/>
        <v>0</v>
      </c>
      <c r="AM254" s="168">
        <f t="shared" si="557"/>
        <v>0</v>
      </c>
      <c r="AN254" s="168">
        <f t="shared" si="557"/>
        <v>0</v>
      </c>
      <c r="AO254" s="168">
        <f t="shared" si="557"/>
        <v>0</v>
      </c>
      <c r="AP254" s="168">
        <f t="shared" si="557"/>
        <v>0</v>
      </c>
      <c r="AQ254" s="168">
        <f t="shared" si="557"/>
        <v>0</v>
      </c>
      <c r="AR254" s="168">
        <f t="shared" ref="AR254:BW254" si="558">AQ257</f>
        <v>0</v>
      </c>
      <c r="AS254" s="168">
        <f t="shared" si="558"/>
        <v>0</v>
      </c>
      <c r="AT254" s="168">
        <f t="shared" si="558"/>
        <v>0</v>
      </c>
      <c r="AU254" s="168">
        <f t="shared" si="558"/>
        <v>0</v>
      </c>
      <c r="AV254" s="168">
        <f t="shared" si="558"/>
        <v>0</v>
      </c>
      <c r="AW254" s="168">
        <f t="shared" si="558"/>
        <v>0</v>
      </c>
      <c r="AX254" s="168">
        <f t="shared" si="558"/>
        <v>0</v>
      </c>
      <c r="AY254" s="168">
        <f t="shared" si="558"/>
        <v>0</v>
      </c>
      <c r="AZ254" s="168">
        <f t="shared" si="558"/>
        <v>0</v>
      </c>
      <c r="BA254" s="168">
        <f t="shared" si="558"/>
        <v>0</v>
      </c>
      <c r="BB254" s="168">
        <f t="shared" si="558"/>
        <v>0</v>
      </c>
      <c r="BC254" s="168">
        <f t="shared" si="558"/>
        <v>0</v>
      </c>
      <c r="BD254" s="168">
        <f t="shared" si="558"/>
        <v>0</v>
      </c>
      <c r="BE254" s="168">
        <f t="shared" si="558"/>
        <v>0</v>
      </c>
      <c r="BF254" s="168">
        <f t="shared" si="558"/>
        <v>0</v>
      </c>
      <c r="BG254" s="168">
        <f t="shared" si="558"/>
        <v>0</v>
      </c>
      <c r="BH254" s="168">
        <f t="shared" si="558"/>
        <v>0</v>
      </c>
      <c r="BI254" s="168">
        <f t="shared" si="558"/>
        <v>0</v>
      </c>
      <c r="BJ254" s="168">
        <f t="shared" si="558"/>
        <v>0</v>
      </c>
      <c r="BK254" s="168">
        <f t="shared" si="558"/>
        <v>0</v>
      </c>
      <c r="BL254" s="168">
        <f t="shared" si="558"/>
        <v>0</v>
      </c>
      <c r="BM254" s="168">
        <f t="shared" si="558"/>
        <v>0</v>
      </c>
      <c r="BN254" s="168">
        <f t="shared" si="558"/>
        <v>0</v>
      </c>
      <c r="BO254" s="168">
        <f t="shared" si="558"/>
        <v>0</v>
      </c>
      <c r="BP254" s="168">
        <f t="shared" si="558"/>
        <v>0</v>
      </c>
      <c r="BQ254" s="168">
        <f t="shared" si="558"/>
        <v>0</v>
      </c>
      <c r="BR254" s="168">
        <f t="shared" si="558"/>
        <v>0</v>
      </c>
      <c r="BS254" s="168">
        <f t="shared" si="558"/>
        <v>0</v>
      </c>
      <c r="BT254" s="168">
        <f t="shared" si="558"/>
        <v>0</v>
      </c>
      <c r="BU254" s="168">
        <f t="shared" si="558"/>
        <v>0</v>
      </c>
      <c r="BV254" s="168">
        <f t="shared" si="558"/>
        <v>0</v>
      </c>
      <c r="BW254" s="168">
        <f t="shared" si="558"/>
        <v>0</v>
      </c>
      <c r="BX254" s="168">
        <f t="shared" ref="BX254:DC254" si="559">BW257</f>
        <v>0</v>
      </c>
      <c r="BY254" s="168">
        <f t="shared" si="559"/>
        <v>0</v>
      </c>
      <c r="BZ254" s="168">
        <f t="shared" si="559"/>
        <v>0</v>
      </c>
      <c r="CA254" s="168">
        <f t="shared" si="559"/>
        <v>0</v>
      </c>
      <c r="CB254" s="168">
        <f t="shared" si="559"/>
        <v>0</v>
      </c>
      <c r="CC254" s="168">
        <f t="shared" si="559"/>
        <v>0</v>
      </c>
      <c r="CD254" s="168">
        <f t="shared" si="559"/>
        <v>0</v>
      </c>
      <c r="CE254" s="168">
        <f t="shared" si="559"/>
        <v>0</v>
      </c>
      <c r="CF254" s="168">
        <f t="shared" si="559"/>
        <v>0</v>
      </c>
      <c r="CG254" s="168">
        <f t="shared" si="559"/>
        <v>0</v>
      </c>
      <c r="CH254" s="168">
        <f t="shared" si="559"/>
        <v>0</v>
      </c>
      <c r="CI254" s="168">
        <f t="shared" si="559"/>
        <v>0</v>
      </c>
      <c r="CJ254" s="168">
        <f t="shared" si="559"/>
        <v>0</v>
      </c>
      <c r="CK254" s="168">
        <f t="shared" si="559"/>
        <v>0</v>
      </c>
      <c r="CL254" s="168">
        <f t="shared" si="559"/>
        <v>0</v>
      </c>
      <c r="CM254" s="168">
        <f t="shared" si="559"/>
        <v>0</v>
      </c>
      <c r="CN254" s="168">
        <f t="shared" si="559"/>
        <v>0</v>
      </c>
      <c r="CO254" s="168">
        <f t="shared" si="559"/>
        <v>0</v>
      </c>
      <c r="CP254" s="168">
        <f t="shared" si="559"/>
        <v>0</v>
      </c>
      <c r="CQ254" s="168">
        <f t="shared" si="559"/>
        <v>0</v>
      </c>
      <c r="CR254" s="168">
        <f t="shared" si="559"/>
        <v>0</v>
      </c>
      <c r="CS254" s="168">
        <f t="shared" si="559"/>
        <v>0</v>
      </c>
      <c r="CT254" s="168">
        <f t="shared" si="559"/>
        <v>0</v>
      </c>
      <c r="CU254" s="168">
        <f t="shared" si="559"/>
        <v>0</v>
      </c>
      <c r="CV254" s="168">
        <f t="shared" si="559"/>
        <v>0</v>
      </c>
      <c r="CW254" s="168">
        <f t="shared" si="559"/>
        <v>0</v>
      </c>
      <c r="CX254" s="168">
        <f t="shared" si="559"/>
        <v>0</v>
      </c>
      <c r="CY254" s="168">
        <f t="shared" si="559"/>
        <v>0</v>
      </c>
      <c r="CZ254" s="168">
        <f t="shared" si="559"/>
        <v>0</v>
      </c>
      <c r="DA254" s="168">
        <f t="shared" si="559"/>
        <v>0</v>
      </c>
      <c r="DB254" s="168">
        <f t="shared" si="559"/>
        <v>0</v>
      </c>
      <c r="DC254" s="168">
        <f t="shared" si="559"/>
        <v>0</v>
      </c>
      <c r="DD254" s="168">
        <f t="shared" ref="DD254:EI254" si="560">DC257</f>
        <v>0</v>
      </c>
      <c r="DE254" s="168">
        <f t="shared" si="560"/>
        <v>0</v>
      </c>
      <c r="DF254" s="168">
        <f t="shared" si="560"/>
        <v>0</v>
      </c>
      <c r="DG254" s="168">
        <f t="shared" si="560"/>
        <v>0</v>
      </c>
      <c r="DH254" s="168">
        <f t="shared" si="560"/>
        <v>0</v>
      </c>
      <c r="DI254" s="168">
        <f t="shared" si="560"/>
        <v>0</v>
      </c>
      <c r="DJ254" s="168">
        <f t="shared" si="560"/>
        <v>0</v>
      </c>
      <c r="DK254" s="168">
        <f t="shared" si="560"/>
        <v>0</v>
      </c>
      <c r="DL254" s="168">
        <f t="shared" si="560"/>
        <v>0</v>
      </c>
      <c r="DM254" s="168">
        <f t="shared" si="560"/>
        <v>0</v>
      </c>
      <c r="DN254" s="168">
        <f t="shared" si="560"/>
        <v>0</v>
      </c>
      <c r="DO254" s="168">
        <f t="shared" si="560"/>
        <v>0</v>
      </c>
      <c r="DP254" s="168">
        <f t="shared" si="560"/>
        <v>0</v>
      </c>
      <c r="DQ254" s="168">
        <f t="shared" si="560"/>
        <v>0</v>
      </c>
      <c r="DR254" s="168">
        <f t="shared" si="560"/>
        <v>0</v>
      </c>
      <c r="DS254" s="168">
        <f t="shared" si="560"/>
        <v>0</v>
      </c>
      <c r="DT254" s="168">
        <f t="shared" si="560"/>
        <v>0</v>
      </c>
      <c r="DU254" s="168">
        <f t="shared" si="560"/>
        <v>0</v>
      </c>
      <c r="DV254" s="168">
        <f t="shared" si="560"/>
        <v>0</v>
      </c>
      <c r="DW254" s="168">
        <f t="shared" si="560"/>
        <v>0</v>
      </c>
      <c r="DX254" s="168">
        <f t="shared" si="560"/>
        <v>0</v>
      </c>
      <c r="DY254" s="168">
        <f t="shared" si="560"/>
        <v>0</v>
      </c>
      <c r="DZ254" s="168">
        <f t="shared" si="560"/>
        <v>0</v>
      </c>
      <c r="EA254" s="168">
        <f t="shared" si="560"/>
        <v>0</v>
      </c>
      <c r="EB254" s="168">
        <f t="shared" si="560"/>
        <v>0</v>
      </c>
      <c r="EC254" s="168">
        <f t="shared" si="560"/>
        <v>0</v>
      </c>
      <c r="ED254" s="1320">
        <f t="shared" si="560"/>
        <v>0</v>
      </c>
      <c r="EE254" s="168">
        <f t="shared" si="560"/>
        <v>0</v>
      </c>
      <c r="EF254" s="168">
        <f t="shared" si="560"/>
        <v>0</v>
      </c>
      <c r="EG254" s="168">
        <f t="shared" si="560"/>
        <v>0</v>
      </c>
      <c r="EH254" s="168">
        <f t="shared" si="560"/>
        <v>0</v>
      </c>
      <c r="EI254" s="168">
        <f t="shared" si="560"/>
        <v>0</v>
      </c>
      <c r="EJ254" s="168">
        <f t="shared" ref="EJ254:EQ254" si="561">EI257</f>
        <v>0</v>
      </c>
      <c r="EK254" s="168">
        <f t="shared" si="561"/>
        <v>0</v>
      </c>
      <c r="EL254" s="168">
        <f t="shared" si="561"/>
        <v>0</v>
      </c>
      <c r="EM254" s="168">
        <f t="shared" si="561"/>
        <v>0</v>
      </c>
      <c r="EN254" s="168">
        <f t="shared" si="561"/>
        <v>0</v>
      </c>
      <c r="EO254" s="168">
        <f t="shared" si="561"/>
        <v>0</v>
      </c>
      <c r="EP254" s="168">
        <f t="shared" si="561"/>
        <v>0</v>
      </c>
      <c r="EQ254" s="168">
        <f t="shared" si="561"/>
        <v>0</v>
      </c>
    </row>
    <row r="255" spans="3:147" ht="11.25" customHeight="1">
      <c r="C255" s="218"/>
      <c r="D255" s="163"/>
      <c r="E255" s="169" t="s">
        <v>218</v>
      </c>
      <c r="H255" s="146">
        <f>'A&amp;R'!M43</f>
        <v>46326</v>
      </c>
      <c r="I255" s="13">
        <f>'A&amp;R'!S94</f>
        <v>434782.60869565216</v>
      </c>
      <c r="J255" s="171">
        <f>SUM(L255:EQ255)</f>
        <v>434782.60869565216</v>
      </c>
      <c r="K255" s="98"/>
      <c r="L255" s="171">
        <f>$I255*(L$231=$H255)</f>
        <v>434782.60869565216</v>
      </c>
      <c r="M255" s="171">
        <f t="shared" ref="M255:BX255" si="562">$I255*(M$231=$H255)</f>
        <v>0</v>
      </c>
      <c r="N255" s="171">
        <f t="shared" si="562"/>
        <v>0</v>
      </c>
      <c r="O255" s="171">
        <f t="shared" si="562"/>
        <v>0</v>
      </c>
      <c r="P255" s="171">
        <f t="shared" si="562"/>
        <v>0</v>
      </c>
      <c r="Q255" s="171">
        <f t="shared" si="562"/>
        <v>0</v>
      </c>
      <c r="R255" s="171">
        <f t="shared" si="562"/>
        <v>0</v>
      </c>
      <c r="S255" s="171">
        <f t="shared" si="562"/>
        <v>0</v>
      </c>
      <c r="T255" s="171">
        <f t="shared" si="562"/>
        <v>0</v>
      </c>
      <c r="U255" s="171">
        <f t="shared" si="562"/>
        <v>0</v>
      </c>
      <c r="V255" s="171">
        <f t="shared" si="562"/>
        <v>0</v>
      </c>
      <c r="W255" s="171">
        <f t="shared" si="562"/>
        <v>0</v>
      </c>
      <c r="X255" s="171">
        <f t="shared" si="562"/>
        <v>0</v>
      </c>
      <c r="Y255" s="171">
        <f t="shared" si="562"/>
        <v>0</v>
      </c>
      <c r="Z255" s="171">
        <f t="shared" si="562"/>
        <v>0</v>
      </c>
      <c r="AA255" s="171">
        <f t="shared" si="562"/>
        <v>0</v>
      </c>
      <c r="AB255" s="171">
        <f t="shared" si="562"/>
        <v>0</v>
      </c>
      <c r="AC255" s="171">
        <f t="shared" si="562"/>
        <v>0</v>
      </c>
      <c r="AD255" s="171">
        <f t="shared" si="562"/>
        <v>0</v>
      </c>
      <c r="AE255" s="171">
        <f t="shared" si="562"/>
        <v>0</v>
      </c>
      <c r="AF255" s="171">
        <f t="shared" si="562"/>
        <v>0</v>
      </c>
      <c r="AG255" s="171">
        <f t="shared" si="562"/>
        <v>0</v>
      </c>
      <c r="AH255" s="171">
        <f t="shared" si="562"/>
        <v>0</v>
      </c>
      <c r="AI255" s="171">
        <f t="shared" si="562"/>
        <v>0</v>
      </c>
      <c r="AJ255" s="171">
        <f t="shared" si="562"/>
        <v>0</v>
      </c>
      <c r="AK255" s="171">
        <f t="shared" si="562"/>
        <v>0</v>
      </c>
      <c r="AL255" s="171">
        <f t="shared" si="562"/>
        <v>0</v>
      </c>
      <c r="AM255" s="171">
        <f t="shared" si="562"/>
        <v>0</v>
      </c>
      <c r="AN255" s="171">
        <f t="shared" si="562"/>
        <v>0</v>
      </c>
      <c r="AO255" s="171">
        <f t="shared" si="562"/>
        <v>0</v>
      </c>
      <c r="AP255" s="171">
        <f t="shared" si="562"/>
        <v>0</v>
      </c>
      <c r="AQ255" s="171">
        <f t="shared" si="562"/>
        <v>0</v>
      </c>
      <c r="AR255" s="171">
        <f t="shared" si="562"/>
        <v>0</v>
      </c>
      <c r="AS255" s="171">
        <f t="shared" si="562"/>
        <v>0</v>
      </c>
      <c r="AT255" s="171">
        <f t="shared" si="562"/>
        <v>0</v>
      </c>
      <c r="AU255" s="171">
        <f t="shared" si="562"/>
        <v>0</v>
      </c>
      <c r="AV255" s="171">
        <f t="shared" si="562"/>
        <v>0</v>
      </c>
      <c r="AW255" s="171">
        <f t="shared" si="562"/>
        <v>0</v>
      </c>
      <c r="AX255" s="171">
        <f t="shared" si="562"/>
        <v>0</v>
      </c>
      <c r="AY255" s="171">
        <f t="shared" si="562"/>
        <v>0</v>
      </c>
      <c r="AZ255" s="171">
        <f t="shared" si="562"/>
        <v>0</v>
      </c>
      <c r="BA255" s="171">
        <f t="shared" si="562"/>
        <v>0</v>
      </c>
      <c r="BB255" s="171">
        <f t="shared" si="562"/>
        <v>0</v>
      </c>
      <c r="BC255" s="171">
        <f t="shared" si="562"/>
        <v>0</v>
      </c>
      <c r="BD255" s="171">
        <f t="shared" si="562"/>
        <v>0</v>
      </c>
      <c r="BE255" s="171">
        <f t="shared" si="562"/>
        <v>0</v>
      </c>
      <c r="BF255" s="171">
        <f t="shared" si="562"/>
        <v>0</v>
      </c>
      <c r="BG255" s="171">
        <f t="shared" si="562"/>
        <v>0</v>
      </c>
      <c r="BH255" s="171">
        <f t="shared" si="562"/>
        <v>0</v>
      </c>
      <c r="BI255" s="171">
        <f t="shared" si="562"/>
        <v>0</v>
      </c>
      <c r="BJ255" s="171">
        <f t="shared" si="562"/>
        <v>0</v>
      </c>
      <c r="BK255" s="171">
        <f t="shared" si="562"/>
        <v>0</v>
      </c>
      <c r="BL255" s="171">
        <f t="shared" si="562"/>
        <v>0</v>
      </c>
      <c r="BM255" s="171">
        <f t="shared" si="562"/>
        <v>0</v>
      </c>
      <c r="BN255" s="171">
        <f t="shared" si="562"/>
        <v>0</v>
      </c>
      <c r="BO255" s="171">
        <f t="shared" si="562"/>
        <v>0</v>
      </c>
      <c r="BP255" s="171">
        <f t="shared" si="562"/>
        <v>0</v>
      </c>
      <c r="BQ255" s="171">
        <f t="shared" si="562"/>
        <v>0</v>
      </c>
      <c r="BR255" s="171">
        <f t="shared" si="562"/>
        <v>0</v>
      </c>
      <c r="BS255" s="171">
        <f t="shared" si="562"/>
        <v>0</v>
      </c>
      <c r="BT255" s="171">
        <f t="shared" si="562"/>
        <v>0</v>
      </c>
      <c r="BU255" s="171">
        <f t="shared" si="562"/>
        <v>0</v>
      </c>
      <c r="BV255" s="171">
        <f t="shared" si="562"/>
        <v>0</v>
      </c>
      <c r="BW255" s="171">
        <f t="shared" si="562"/>
        <v>0</v>
      </c>
      <c r="BX255" s="171">
        <f t="shared" si="562"/>
        <v>0</v>
      </c>
      <c r="BY255" s="171">
        <f t="shared" ref="BY255:EJ255" si="563">$I255*(BY$231=$H255)</f>
        <v>0</v>
      </c>
      <c r="BZ255" s="171">
        <f t="shared" si="563"/>
        <v>0</v>
      </c>
      <c r="CA255" s="171">
        <f t="shared" si="563"/>
        <v>0</v>
      </c>
      <c r="CB255" s="171">
        <f t="shared" si="563"/>
        <v>0</v>
      </c>
      <c r="CC255" s="171">
        <f t="shared" si="563"/>
        <v>0</v>
      </c>
      <c r="CD255" s="171">
        <f t="shared" si="563"/>
        <v>0</v>
      </c>
      <c r="CE255" s="171">
        <f t="shared" si="563"/>
        <v>0</v>
      </c>
      <c r="CF255" s="171">
        <f t="shared" si="563"/>
        <v>0</v>
      </c>
      <c r="CG255" s="171">
        <f t="shared" si="563"/>
        <v>0</v>
      </c>
      <c r="CH255" s="171">
        <f t="shared" si="563"/>
        <v>0</v>
      </c>
      <c r="CI255" s="171">
        <f t="shared" si="563"/>
        <v>0</v>
      </c>
      <c r="CJ255" s="171">
        <f t="shared" si="563"/>
        <v>0</v>
      </c>
      <c r="CK255" s="171">
        <f t="shared" si="563"/>
        <v>0</v>
      </c>
      <c r="CL255" s="171">
        <f t="shared" si="563"/>
        <v>0</v>
      </c>
      <c r="CM255" s="171">
        <f t="shared" si="563"/>
        <v>0</v>
      </c>
      <c r="CN255" s="171">
        <f t="shared" si="563"/>
        <v>0</v>
      </c>
      <c r="CO255" s="171">
        <f t="shared" si="563"/>
        <v>0</v>
      </c>
      <c r="CP255" s="171">
        <f t="shared" si="563"/>
        <v>0</v>
      </c>
      <c r="CQ255" s="171">
        <f t="shared" si="563"/>
        <v>0</v>
      </c>
      <c r="CR255" s="171">
        <f t="shared" si="563"/>
        <v>0</v>
      </c>
      <c r="CS255" s="171">
        <f t="shared" si="563"/>
        <v>0</v>
      </c>
      <c r="CT255" s="171">
        <f t="shared" si="563"/>
        <v>0</v>
      </c>
      <c r="CU255" s="171">
        <f t="shared" si="563"/>
        <v>0</v>
      </c>
      <c r="CV255" s="171">
        <f t="shared" si="563"/>
        <v>0</v>
      </c>
      <c r="CW255" s="171">
        <f t="shared" si="563"/>
        <v>0</v>
      </c>
      <c r="CX255" s="171">
        <f t="shared" si="563"/>
        <v>0</v>
      </c>
      <c r="CY255" s="171">
        <f t="shared" si="563"/>
        <v>0</v>
      </c>
      <c r="CZ255" s="171">
        <f t="shared" si="563"/>
        <v>0</v>
      </c>
      <c r="DA255" s="171">
        <f t="shared" si="563"/>
        <v>0</v>
      </c>
      <c r="DB255" s="171">
        <f t="shared" si="563"/>
        <v>0</v>
      </c>
      <c r="DC255" s="171">
        <f t="shared" si="563"/>
        <v>0</v>
      </c>
      <c r="DD255" s="171">
        <f t="shared" si="563"/>
        <v>0</v>
      </c>
      <c r="DE255" s="171">
        <f t="shared" si="563"/>
        <v>0</v>
      </c>
      <c r="DF255" s="171">
        <f t="shared" si="563"/>
        <v>0</v>
      </c>
      <c r="DG255" s="171">
        <f t="shared" si="563"/>
        <v>0</v>
      </c>
      <c r="DH255" s="171">
        <f t="shared" si="563"/>
        <v>0</v>
      </c>
      <c r="DI255" s="171">
        <f t="shared" si="563"/>
        <v>0</v>
      </c>
      <c r="DJ255" s="171">
        <f t="shared" si="563"/>
        <v>0</v>
      </c>
      <c r="DK255" s="171">
        <f t="shared" si="563"/>
        <v>0</v>
      </c>
      <c r="DL255" s="171">
        <f t="shared" si="563"/>
        <v>0</v>
      </c>
      <c r="DM255" s="171">
        <f t="shared" si="563"/>
        <v>0</v>
      </c>
      <c r="DN255" s="171">
        <f t="shared" si="563"/>
        <v>0</v>
      </c>
      <c r="DO255" s="171">
        <f t="shared" si="563"/>
        <v>0</v>
      </c>
      <c r="DP255" s="171">
        <f t="shared" si="563"/>
        <v>0</v>
      </c>
      <c r="DQ255" s="171">
        <f t="shared" si="563"/>
        <v>0</v>
      </c>
      <c r="DR255" s="171">
        <f t="shared" si="563"/>
        <v>0</v>
      </c>
      <c r="DS255" s="171">
        <f t="shared" si="563"/>
        <v>0</v>
      </c>
      <c r="DT255" s="171">
        <f t="shared" si="563"/>
        <v>0</v>
      </c>
      <c r="DU255" s="171">
        <f t="shared" si="563"/>
        <v>0</v>
      </c>
      <c r="DV255" s="171">
        <f t="shared" si="563"/>
        <v>0</v>
      </c>
      <c r="DW255" s="171">
        <f t="shared" si="563"/>
        <v>0</v>
      </c>
      <c r="DX255" s="171">
        <f t="shared" si="563"/>
        <v>0</v>
      </c>
      <c r="DY255" s="171">
        <f t="shared" si="563"/>
        <v>0</v>
      </c>
      <c r="DZ255" s="171">
        <f t="shared" si="563"/>
        <v>0</v>
      </c>
      <c r="EA255" s="171">
        <f t="shared" si="563"/>
        <v>0</v>
      </c>
      <c r="EB255" s="171">
        <f t="shared" si="563"/>
        <v>0</v>
      </c>
      <c r="EC255" s="171">
        <f t="shared" si="563"/>
        <v>0</v>
      </c>
      <c r="ED255" s="1321">
        <f t="shared" si="563"/>
        <v>0</v>
      </c>
      <c r="EE255" s="171">
        <f t="shared" si="563"/>
        <v>0</v>
      </c>
      <c r="EF255" s="171">
        <f t="shared" si="563"/>
        <v>0</v>
      </c>
      <c r="EG255" s="171">
        <f t="shared" si="563"/>
        <v>0</v>
      </c>
      <c r="EH255" s="171">
        <f t="shared" si="563"/>
        <v>0</v>
      </c>
      <c r="EI255" s="171">
        <f t="shared" si="563"/>
        <v>0</v>
      </c>
      <c r="EJ255" s="171">
        <f t="shared" si="563"/>
        <v>0</v>
      </c>
      <c r="EK255" s="171">
        <f t="shared" ref="EK255:EQ255" si="564">$I255*(EK$231=$H255)</f>
        <v>0</v>
      </c>
      <c r="EL255" s="171">
        <f t="shared" si="564"/>
        <v>0</v>
      </c>
      <c r="EM255" s="171">
        <f t="shared" si="564"/>
        <v>0</v>
      </c>
      <c r="EN255" s="171">
        <f t="shared" si="564"/>
        <v>0</v>
      </c>
      <c r="EO255" s="171">
        <f t="shared" si="564"/>
        <v>0</v>
      </c>
      <c r="EP255" s="171">
        <f t="shared" si="564"/>
        <v>0</v>
      </c>
      <c r="EQ255" s="171">
        <f t="shared" si="564"/>
        <v>0</v>
      </c>
    </row>
    <row r="256" spans="3:147" ht="11.25" customHeight="1">
      <c r="C256" s="218"/>
      <c r="D256" s="163"/>
      <c r="E256" s="169" t="s">
        <v>219</v>
      </c>
      <c r="H256" s="146">
        <f>'A&amp;R'!N43</f>
        <v>47057</v>
      </c>
      <c r="I256" s="134"/>
      <c r="J256" s="171">
        <f>SUM(L256:EQ256)</f>
        <v>434782.60869565216</v>
      </c>
      <c r="K256" s="98"/>
      <c r="L256" s="171">
        <f>SUM(L254:L255)*(L$231=$H256)</f>
        <v>0</v>
      </c>
      <c r="M256" s="171">
        <f t="shared" ref="M256:BX256" si="565">SUM(M254:M255)*(M$231=$H256)</f>
        <v>0</v>
      </c>
      <c r="N256" s="171">
        <f t="shared" si="565"/>
        <v>0</v>
      </c>
      <c r="O256" s="171">
        <f t="shared" si="565"/>
        <v>0</v>
      </c>
      <c r="P256" s="171">
        <f t="shared" si="565"/>
        <v>0</v>
      </c>
      <c r="Q256" s="171">
        <f t="shared" si="565"/>
        <v>0</v>
      </c>
      <c r="R256" s="171">
        <f t="shared" si="565"/>
        <v>0</v>
      </c>
      <c r="S256" s="171">
        <f t="shared" si="565"/>
        <v>0</v>
      </c>
      <c r="T256" s="171">
        <f t="shared" si="565"/>
        <v>0</v>
      </c>
      <c r="U256" s="171">
        <f t="shared" si="565"/>
        <v>0</v>
      </c>
      <c r="V256" s="171">
        <f t="shared" si="565"/>
        <v>0</v>
      </c>
      <c r="W256" s="171">
        <f t="shared" si="565"/>
        <v>0</v>
      </c>
      <c r="X256" s="171">
        <f t="shared" si="565"/>
        <v>0</v>
      </c>
      <c r="Y256" s="171">
        <f t="shared" si="565"/>
        <v>0</v>
      </c>
      <c r="Z256" s="171">
        <f t="shared" si="565"/>
        <v>0</v>
      </c>
      <c r="AA256" s="171">
        <f t="shared" si="565"/>
        <v>0</v>
      </c>
      <c r="AB256" s="171">
        <f t="shared" si="565"/>
        <v>0</v>
      </c>
      <c r="AC256" s="171">
        <f t="shared" si="565"/>
        <v>0</v>
      </c>
      <c r="AD256" s="171">
        <f t="shared" si="565"/>
        <v>0</v>
      </c>
      <c r="AE256" s="171">
        <f t="shared" si="565"/>
        <v>0</v>
      </c>
      <c r="AF256" s="171">
        <f t="shared" si="565"/>
        <v>0</v>
      </c>
      <c r="AG256" s="171">
        <f t="shared" si="565"/>
        <v>0</v>
      </c>
      <c r="AH256" s="171">
        <f t="shared" si="565"/>
        <v>0</v>
      </c>
      <c r="AI256" s="171">
        <f t="shared" si="565"/>
        <v>0</v>
      </c>
      <c r="AJ256" s="171">
        <f t="shared" si="565"/>
        <v>434782.60869565216</v>
      </c>
      <c r="AK256" s="171">
        <f t="shared" si="565"/>
        <v>0</v>
      </c>
      <c r="AL256" s="171">
        <f t="shared" si="565"/>
        <v>0</v>
      </c>
      <c r="AM256" s="171">
        <f t="shared" si="565"/>
        <v>0</v>
      </c>
      <c r="AN256" s="171">
        <f t="shared" si="565"/>
        <v>0</v>
      </c>
      <c r="AO256" s="171">
        <f t="shared" si="565"/>
        <v>0</v>
      </c>
      <c r="AP256" s="171">
        <f t="shared" si="565"/>
        <v>0</v>
      </c>
      <c r="AQ256" s="171">
        <f t="shared" si="565"/>
        <v>0</v>
      </c>
      <c r="AR256" s="171">
        <f t="shared" si="565"/>
        <v>0</v>
      </c>
      <c r="AS256" s="171">
        <f t="shared" si="565"/>
        <v>0</v>
      </c>
      <c r="AT256" s="171">
        <f t="shared" si="565"/>
        <v>0</v>
      </c>
      <c r="AU256" s="171">
        <f t="shared" si="565"/>
        <v>0</v>
      </c>
      <c r="AV256" s="171">
        <f t="shared" si="565"/>
        <v>0</v>
      </c>
      <c r="AW256" s="171">
        <f t="shared" si="565"/>
        <v>0</v>
      </c>
      <c r="AX256" s="171">
        <f t="shared" si="565"/>
        <v>0</v>
      </c>
      <c r="AY256" s="171">
        <f t="shared" si="565"/>
        <v>0</v>
      </c>
      <c r="AZ256" s="171">
        <f t="shared" si="565"/>
        <v>0</v>
      </c>
      <c r="BA256" s="171">
        <f t="shared" si="565"/>
        <v>0</v>
      </c>
      <c r="BB256" s="171">
        <f t="shared" si="565"/>
        <v>0</v>
      </c>
      <c r="BC256" s="171">
        <f t="shared" si="565"/>
        <v>0</v>
      </c>
      <c r="BD256" s="171">
        <f t="shared" si="565"/>
        <v>0</v>
      </c>
      <c r="BE256" s="171">
        <f t="shared" si="565"/>
        <v>0</v>
      </c>
      <c r="BF256" s="171">
        <f t="shared" si="565"/>
        <v>0</v>
      </c>
      <c r="BG256" s="171">
        <f t="shared" si="565"/>
        <v>0</v>
      </c>
      <c r="BH256" s="171">
        <f t="shared" si="565"/>
        <v>0</v>
      </c>
      <c r="BI256" s="171">
        <f t="shared" si="565"/>
        <v>0</v>
      </c>
      <c r="BJ256" s="171">
        <f t="shared" si="565"/>
        <v>0</v>
      </c>
      <c r="BK256" s="171">
        <f t="shared" si="565"/>
        <v>0</v>
      </c>
      <c r="BL256" s="171">
        <f t="shared" si="565"/>
        <v>0</v>
      </c>
      <c r="BM256" s="171">
        <f t="shared" si="565"/>
        <v>0</v>
      </c>
      <c r="BN256" s="171">
        <f t="shared" si="565"/>
        <v>0</v>
      </c>
      <c r="BO256" s="171">
        <f t="shared" si="565"/>
        <v>0</v>
      </c>
      <c r="BP256" s="171">
        <f t="shared" si="565"/>
        <v>0</v>
      </c>
      <c r="BQ256" s="171">
        <f t="shared" si="565"/>
        <v>0</v>
      </c>
      <c r="BR256" s="171">
        <f t="shared" si="565"/>
        <v>0</v>
      </c>
      <c r="BS256" s="171">
        <f t="shared" si="565"/>
        <v>0</v>
      </c>
      <c r="BT256" s="171">
        <f t="shared" si="565"/>
        <v>0</v>
      </c>
      <c r="BU256" s="171">
        <f t="shared" si="565"/>
        <v>0</v>
      </c>
      <c r="BV256" s="171">
        <f t="shared" si="565"/>
        <v>0</v>
      </c>
      <c r="BW256" s="171">
        <f t="shared" si="565"/>
        <v>0</v>
      </c>
      <c r="BX256" s="171">
        <f t="shared" si="565"/>
        <v>0</v>
      </c>
      <c r="BY256" s="171">
        <f t="shared" ref="BY256:EJ256" si="566">SUM(BY254:BY255)*(BY$231=$H256)</f>
        <v>0</v>
      </c>
      <c r="BZ256" s="171">
        <f t="shared" si="566"/>
        <v>0</v>
      </c>
      <c r="CA256" s="171">
        <f t="shared" si="566"/>
        <v>0</v>
      </c>
      <c r="CB256" s="171">
        <f t="shared" si="566"/>
        <v>0</v>
      </c>
      <c r="CC256" s="171">
        <f t="shared" si="566"/>
        <v>0</v>
      </c>
      <c r="CD256" s="171">
        <f t="shared" si="566"/>
        <v>0</v>
      </c>
      <c r="CE256" s="171">
        <f t="shared" si="566"/>
        <v>0</v>
      </c>
      <c r="CF256" s="171">
        <f t="shared" si="566"/>
        <v>0</v>
      </c>
      <c r="CG256" s="171">
        <f t="shared" si="566"/>
        <v>0</v>
      </c>
      <c r="CH256" s="171">
        <f t="shared" si="566"/>
        <v>0</v>
      </c>
      <c r="CI256" s="171">
        <f t="shared" si="566"/>
        <v>0</v>
      </c>
      <c r="CJ256" s="171">
        <f t="shared" si="566"/>
        <v>0</v>
      </c>
      <c r="CK256" s="171">
        <f t="shared" si="566"/>
        <v>0</v>
      </c>
      <c r="CL256" s="171">
        <f t="shared" si="566"/>
        <v>0</v>
      </c>
      <c r="CM256" s="171">
        <f t="shared" si="566"/>
        <v>0</v>
      </c>
      <c r="CN256" s="171">
        <f t="shared" si="566"/>
        <v>0</v>
      </c>
      <c r="CO256" s="171">
        <f t="shared" si="566"/>
        <v>0</v>
      </c>
      <c r="CP256" s="171">
        <f t="shared" si="566"/>
        <v>0</v>
      </c>
      <c r="CQ256" s="171">
        <f t="shared" si="566"/>
        <v>0</v>
      </c>
      <c r="CR256" s="171">
        <f t="shared" si="566"/>
        <v>0</v>
      </c>
      <c r="CS256" s="171">
        <f t="shared" si="566"/>
        <v>0</v>
      </c>
      <c r="CT256" s="171">
        <f t="shared" si="566"/>
        <v>0</v>
      </c>
      <c r="CU256" s="171">
        <f t="shared" si="566"/>
        <v>0</v>
      </c>
      <c r="CV256" s="171">
        <f t="shared" si="566"/>
        <v>0</v>
      </c>
      <c r="CW256" s="171">
        <f t="shared" si="566"/>
        <v>0</v>
      </c>
      <c r="CX256" s="171">
        <f t="shared" si="566"/>
        <v>0</v>
      </c>
      <c r="CY256" s="171">
        <f t="shared" si="566"/>
        <v>0</v>
      </c>
      <c r="CZ256" s="171">
        <f t="shared" si="566"/>
        <v>0</v>
      </c>
      <c r="DA256" s="171">
        <f t="shared" si="566"/>
        <v>0</v>
      </c>
      <c r="DB256" s="171">
        <f t="shared" si="566"/>
        <v>0</v>
      </c>
      <c r="DC256" s="171">
        <f t="shared" si="566"/>
        <v>0</v>
      </c>
      <c r="DD256" s="171">
        <f t="shared" si="566"/>
        <v>0</v>
      </c>
      <c r="DE256" s="171">
        <f t="shared" si="566"/>
        <v>0</v>
      </c>
      <c r="DF256" s="171">
        <f t="shared" si="566"/>
        <v>0</v>
      </c>
      <c r="DG256" s="171">
        <f t="shared" si="566"/>
        <v>0</v>
      </c>
      <c r="DH256" s="171">
        <f t="shared" si="566"/>
        <v>0</v>
      </c>
      <c r="DI256" s="171">
        <f t="shared" si="566"/>
        <v>0</v>
      </c>
      <c r="DJ256" s="171">
        <f t="shared" si="566"/>
        <v>0</v>
      </c>
      <c r="DK256" s="171">
        <f t="shared" si="566"/>
        <v>0</v>
      </c>
      <c r="DL256" s="171">
        <f t="shared" si="566"/>
        <v>0</v>
      </c>
      <c r="DM256" s="171">
        <f t="shared" si="566"/>
        <v>0</v>
      </c>
      <c r="DN256" s="171">
        <f t="shared" si="566"/>
        <v>0</v>
      </c>
      <c r="DO256" s="171">
        <f t="shared" si="566"/>
        <v>0</v>
      </c>
      <c r="DP256" s="171">
        <f t="shared" si="566"/>
        <v>0</v>
      </c>
      <c r="DQ256" s="171">
        <f t="shared" si="566"/>
        <v>0</v>
      </c>
      <c r="DR256" s="171">
        <f t="shared" si="566"/>
        <v>0</v>
      </c>
      <c r="DS256" s="171">
        <f t="shared" si="566"/>
        <v>0</v>
      </c>
      <c r="DT256" s="171">
        <f t="shared" si="566"/>
        <v>0</v>
      </c>
      <c r="DU256" s="171">
        <f t="shared" si="566"/>
        <v>0</v>
      </c>
      <c r="DV256" s="171">
        <f t="shared" si="566"/>
        <v>0</v>
      </c>
      <c r="DW256" s="171">
        <f t="shared" si="566"/>
        <v>0</v>
      </c>
      <c r="DX256" s="171">
        <f t="shared" si="566"/>
        <v>0</v>
      </c>
      <c r="DY256" s="171">
        <f t="shared" si="566"/>
        <v>0</v>
      </c>
      <c r="DZ256" s="171">
        <f t="shared" si="566"/>
        <v>0</v>
      </c>
      <c r="EA256" s="171">
        <f t="shared" si="566"/>
        <v>0</v>
      </c>
      <c r="EB256" s="171">
        <f t="shared" si="566"/>
        <v>0</v>
      </c>
      <c r="EC256" s="171">
        <f t="shared" si="566"/>
        <v>0</v>
      </c>
      <c r="ED256" s="1321">
        <f t="shared" si="566"/>
        <v>0</v>
      </c>
      <c r="EE256" s="171">
        <f t="shared" si="566"/>
        <v>0</v>
      </c>
      <c r="EF256" s="171">
        <f t="shared" si="566"/>
        <v>0</v>
      </c>
      <c r="EG256" s="171">
        <f t="shared" si="566"/>
        <v>0</v>
      </c>
      <c r="EH256" s="171">
        <f t="shared" si="566"/>
        <v>0</v>
      </c>
      <c r="EI256" s="171">
        <f t="shared" si="566"/>
        <v>0</v>
      </c>
      <c r="EJ256" s="171">
        <f t="shared" si="566"/>
        <v>0</v>
      </c>
      <c r="EK256" s="171">
        <f t="shared" ref="EK256:EQ256" si="567">SUM(EK254:EK255)*(EK$231=$H256)</f>
        <v>0</v>
      </c>
      <c r="EL256" s="171">
        <f t="shared" si="567"/>
        <v>0</v>
      </c>
      <c r="EM256" s="171">
        <f t="shared" si="567"/>
        <v>0</v>
      </c>
      <c r="EN256" s="171">
        <f t="shared" si="567"/>
        <v>0</v>
      </c>
      <c r="EO256" s="171">
        <f t="shared" si="567"/>
        <v>0</v>
      </c>
      <c r="EP256" s="171">
        <f t="shared" si="567"/>
        <v>0</v>
      </c>
      <c r="EQ256" s="171">
        <f t="shared" si="567"/>
        <v>0</v>
      </c>
    </row>
    <row r="257" spans="3:147" ht="11.25" customHeight="1">
      <c r="C257" s="244"/>
      <c r="D257" s="178"/>
      <c r="E257" s="179" t="s">
        <v>220</v>
      </c>
      <c r="F257" s="180"/>
      <c r="G257" s="180"/>
      <c r="H257" s="182"/>
      <c r="I257" s="245"/>
      <c r="J257" s="184"/>
      <c r="K257" s="98"/>
      <c r="L257" s="184">
        <f t="shared" ref="L257:BW257" si="568">L254+L255-L256</f>
        <v>434782.60869565216</v>
      </c>
      <c r="M257" s="184">
        <f t="shared" si="568"/>
        <v>434782.60869565216</v>
      </c>
      <c r="N257" s="184">
        <f t="shared" si="568"/>
        <v>434782.60869565216</v>
      </c>
      <c r="O257" s="184">
        <f t="shared" si="568"/>
        <v>434782.60869565216</v>
      </c>
      <c r="P257" s="184">
        <f t="shared" si="568"/>
        <v>434782.60869565216</v>
      </c>
      <c r="Q257" s="184">
        <f t="shared" si="568"/>
        <v>434782.60869565216</v>
      </c>
      <c r="R257" s="184">
        <f t="shared" si="568"/>
        <v>434782.60869565216</v>
      </c>
      <c r="S257" s="184">
        <f t="shared" si="568"/>
        <v>434782.60869565216</v>
      </c>
      <c r="T257" s="184">
        <f t="shared" si="568"/>
        <v>434782.60869565216</v>
      </c>
      <c r="U257" s="184">
        <f t="shared" si="568"/>
        <v>434782.60869565216</v>
      </c>
      <c r="V257" s="184">
        <f t="shared" si="568"/>
        <v>434782.60869565216</v>
      </c>
      <c r="W257" s="184">
        <f t="shared" si="568"/>
        <v>434782.60869565216</v>
      </c>
      <c r="X257" s="184">
        <f t="shared" si="568"/>
        <v>434782.60869565216</v>
      </c>
      <c r="Y257" s="184">
        <f t="shared" si="568"/>
        <v>434782.60869565216</v>
      </c>
      <c r="Z257" s="184">
        <f t="shared" si="568"/>
        <v>434782.60869565216</v>
      </c>
      <c r="AA257" s="184">
        <f t="shared" si="568"/>
        <v>434782.60869565216</v>
      </c>
      <c r="AB257" s="184">
        <f t="shared" si="568"/>
        <v>434782.60869565216</v>
      </c>
      <c r="AC257" s="184">
        <f t="shared" si="568"/>
        <v>434782.60869565216</v>
      </c>
      <c r="AD257" s="184">
        <f t="shared" si="568"/>
        <v>434782.60869565216</v>
      </c>
      <c r="AE257" s="184">
        <f t="shared" si="568"/>
        <v>434782.60869565216</v>
      </c>
      <c r="AF257" s="184">
        <f t="shared" si="568"/>
        <v>434782.60869565216</v>
      </c>
      <c r="AG257" s="184">
        <f t="shared" si="568"/>
        <v>434782.60869565216</v>
      </c>
      <c r="AH257" s="184">
        <f t="shared" si="568"/>
        <v>434782.60869565216</v>
      </c>
      <c r="AI257" s="184">
        <f t="shared" si="568"/>
        <v>434782.60869565216</v>
      </c>
      <c r="AJ257" s="184">
        <f t="shared" si="568"/>
        <v>0</v>
      </c>
      <c r="AK257" s="184">
        <f t="shared" si="568"/>
        <v>0</v>
      </c>
      <c r="AL257" s="184">
        <f t="shared" si="568"/>
        <v>0</v>
      </c>
      <c r="AM257" s="184">
        <f t="shared" si="568"/>
        <v>0</v>
      </c>
      <c r="AN257" s="184">
        <f t="shared" si="568"/>
        <v>0</v>
      </c>
      <c r="AO257" s="184">
        <f t="shared" si="568"/>
        <v>0</v>
      </c>
      <c r="AP257" s="184">
        <f t="shared" si="568"/>
        <v>0</v>
      </c>
      <c r="AQ257" s="184">
        <f t="shared" si="568"/>
        <v>0</v>
      </c>
      <c r="AR257" s="184">
        <f t="shared" si="568"/>
        <v>0</v>
      </c>
      <c r="AS257" s="184">
        <f t="shared" si="568"/>
        <v>0</v>
      </c>
      <c r="AT257" s="184">
        <f t="shared" si="568"/>
        <v>0</v>
      </c>
      <c r="AU257" s="184">
        <f t="shared" si="568"/>
        <v>0</v>
      </c>
      <c r="AV257" s="184">
        <f t="shared" si="568"/>
        <v>0</v>
      </c>
      <c r="AW257" s="184">
        <f t="shared" si="568"/>
        <v>0</v>
      </c>
      <c r="AX257" s="184">
        <f t="shared" si="568"/>
        <v>0</v>
      </c>
      <c r="AY257" s="184">
        <f t="shared" si="568"/>
        <v>0</v>
      </c>
      <c r="AZ257" s="184">
        <f t="shared" si="568"/>
        <v>0</v>
      </c>
      <c r="BA257" s="184">
        <f t="shared" si="568"/>
        <v>0</v>
      </c>
      <c r="BB257" s="184">
        <f t="shared" si="568"/>
        <v>0</v>
      </c>
      <c r="BC257" s="184">
        <f t="shared" si="568"/>
        <v>0</v>
      </c>
      <c r="BD257" s="184">
        <f t="shared" si="568"/>
        <v>0</v>
      </c>
      <c r="BE257" s="184">
        <f t="shared" si="568"/>
        <v>0</v>
      </c>
      <c r="BF257" s="184">
        <f t="shared" si="568"/>
        <v>0</v>
      </c>
      <c r="BG257" s="184">
        <f t="shared" si="568"/>
        <v>0</v>
      </c>
      <c r="BH257" s="184">
        <f t="shared" si="568"/>
        <v>0</v>
      </c>
      <c r="BI257" s="184">
        <f t="shared" si="568"/>
        <v>0</v>
      </c>
      <c r="BJ257" s="184">
        <f t="shared" si="568"/>
        <v>0</v>
      </c>
      <c r="BK257" s="184">
        <f t="shared" si="568"/>
        <v>0</v>
      </c>
      <c r="BL257" s="184">
        <f t="shared" si="568"/>
        <v>0</v>
      </c>
      <c r="BM257" s="184">
        <f t="shared" si="568"/>
        <v>0</v>
      </c>
      <c r="BN257" s="184">
        <f t="shared" si="568"/>
        <v>0</v>
      </c>
      <c r="BO257" s="184">
        <f t="shared" si="568"/>
        <v>0</v>
      </c>
      <c r="BP257" s="184">
        <f t="shared" si="568"/>
        <v>0</v>
      </c>
      <c r="BQ257" s="184">
        <f t="shared" si="568"/>
        <v>0</v>
      </c>
      <c r="BR257" s="184">
        <f t="shared" si="568"/>
        <v>0</v>
      </c>
      <c r="BS257" s="184">
        <f t="shared" si="568"/>
        <v>0</v>
      </c>
      <c r="BT257" s="184">
        <f t="shared" si="568"/>
        <v>0</v>
      </c>
      <c r="BU257" s="184">
        <f t="shared" si="568"/>
        <v>0</v>
      </c>
      <c r="BV257" s="184">
        <f t="shared" si="568"/>
        <v>0</v>
      </c>
      <c r="BW257" s="184">
        <f t="shared" si="568"/>
        <v>0</v>
      </c>
      <c r="BX257" s="184">
        <f t="shared" ref="BX257:EI257" si="569">BX254+BX255-BX256</f>
        <v>0</v>
      </c>
      <c r="BY257" s="184">
        <f t="shared" si="569"/>
        <v>0</v>
      </c>
      <c r="BZ257" s="184">
        <f t="shared" si="569"/>
        <v>0</v>
      </c>
      <c r="CA257" s="184">
        <f t="shared" si="569"/>
        <v>0</v>
      </c>
      <c r="CB257" s="184">
        <f t="shared" si="569"/>
        <v>0</v>
      </c>
      <c r="CC257" s="184">
        <f t="shared" si="569"/>
        <v>0</v>
      </c>
      <c r="CD257" s="184">
        <f t="shared" si="569"/>
        <v>0</v>
      </c>
      <c r="CE257" s="184">
        <f t="shared" si="569"/>
        <v>0</v>
      </c>
      <c r="CF257" s="184">
        <f t="shared" si="569"/>
        <v>0</v>
      </c>
      <c r="CG257" s="184">
        <f t="shared" si="569"/>
        <v>0</v>
      </c>
      <c r="CH257" s="184">
        <f t="shared" si="569"/>
        <v>0</v>
      </c>
      <c r="CI257" s="184">
        <f t="shared" si="569"/>
        <v>0</v>
      </c>
      <c r="CJ257" s="184">
        <f t="shared" si="569"/>
        <v>0</v>
      </c>
      <c r="CK257" s="184">
        <f t="shared" si="569"/>
        <v>0</v>
      </c>
      <c r="CL257" s="184">
        <f t="shared" si="569"/>
        <v>0</v>
      </c>
      <c r="CM257" s="184">
        <f t="shared" si="569"/>
        <v>0</v>
      </c>
      <c r="CN257" s="184">
        <f t="shared" si="569"/>
        <v>0</v>
      </c>
      <c r="CO257" s="184">
        <f t="shared" si="569"/>
        <v>0</v>
      </c>
      <c r="CP257" s="184">
        <f t="shared" si="569"/>
        <v>0</v>
      </c>
      <c r="CQ257" s="184">
        <f t="shared" si="569"/>
        <v>0</v>
      </c>
      <c r="CR257" s="184">
        <f t="shared" si="569"/>
        <v>0</v>
      </c>
      <c r="CS257" s="184">
        <f t="shared" si="569"/>
        <v>0</v>
      </c>
      <c r="CT257" s="184">
        <f t="shared" si="569"/>
        <v>0</v>
      </c>
      <c r="CU257" s="184">
        <f t="shared" si="569"/>
        <v>0</v>
      </c>
      <c r="CV257" s="184">
        <f t="shared" si="569"/>
        <v>0</v>
      </c>
      <c r="CW257" s="184">
        <f t="shared" si="569"/>
        <v>0</v>
      </c>
      <c r="CX257" s="184">
        <f t="shared" si="569"/>
        <v>0</v>
      </c>
      <c r="CY257" s="184">
        <f t="shared" si="569"/>
        <v>0</v>
      </c>
      <c r="CZ257" s="184">
        <f t="shared" si="569"/>
        <v>0</v>
      </c>
      <c r="DA257" s="184">
        <f t="shared" si="569"/>
        <v>0</v>
      </c>
      <c r="DB257" s="184">
        <f t="shared" si="569"/>
        <v>0</v>
      </c>
      <c r="DC257" s="184">
        <f t="shared" si="569"/>
        <v>0</v>
      </c>
      <c r="DD257" s="184">
        <f t="shared" si="569"/>
        <v>0</v>
      </c>
      <c r="DE257" s="184">
        <f t="shared" si="569"/>
        <v>0</v>
      </c>
      <c r="DF257" s="184">
        <f t="shared" si="569"/>
        <v>0</v>
      </c>
      <c r="DG257" s="184">
        <f t="shared" si="569"/>
        <v>0</v>
      </c>
      <c r="DH257" s="184">
        <f t="shared" si="569"/>
        <v>0</v>
      </c>
      <c r="DI257" s="184">
        <f t="shared" si="569"/>
        <v>0</v>
      </c>
      <c r="DJ257" s="184">
        <f t="shared" si="569"/>
        <v>0</v>
      </c>
      <c r="DK257" s="184">
        <f t="shared" si="569"/>
        <v>0</v>
      </c>
      <c r="DL257" s="184">
        <f t="shared" si="569"/>
        <v>0</v>
      </c>
      <c r="DM257" s="184">
        <f t="shared" si="569"/>
        <v>0</v>
      </c>
      <c r="DN257" s="184">
        <f t="shared" si="569"/>
        <v>0</v>
      </c>
      <c r="DO257" s="184">
        <f t="shared" si="569"/>
        <v>0</v>
      </c>
      <c r="DP257" s="184">
        <f t="shared" si="569"/>
        <v>0</v>
      </c>
      <c r="DQ257" s="184">
        <f t="shared" si="569"/>
        <v>0</v>
      </c>
      <c r="DR257" s="184">
        <f t="shared" si="569"/>
        <v>0</v>
      </c>
      <c r="DS257" s="184">
        <f t="shared" si="569"/>
        <v>0</v>
      </c>
      <c r="DT257" s="184">
        <f t="shared" si="569"/>
        <v>0</v>
      </c>
      <c r="DU257" s="184">
        <f t="shared" si="569"/>
        <v>0</v>
      </c>
      <c r="DV257" s="184">
        <f t="shared" si="569"/>
        <v>0</v>
      </c>
      <c r="DW257" s="184">
        <f t="shared" si="569"/>
        <v>0</v>
      </c>
      <c r="DX257" s="184">
        <f t="shared" si="569"/>
        <v>0</v>
      </c>
      <c r="DY257" s="184">
        <f t="shared" si="569"/>
        <v>0</v>
      </c>
      <c r="DZ257" s="184">
        <f t="shared" si="569"/>
        <v>0</v>
      </c>
      <c r="EA257" s="184">
        <f t="shared" si="569"/>
        <v>0</v>
      </c>
      <c r="EB257" s="184">
        <f t="shared" si="569"/>
        <v>0</v>
      </c>
      <c r="EC257" s="184">
        <f t="shared" si="569"/>
        <v>0</v>
      </c>
      <c r="ED257" s="1324">
        <f t="shared" si="569"/>
        <v>0</v>
      </c>
      <c r="EE257" s="184">
        <f t="shared" si="569"/>
        <v>0</v>
      </c>
      <c r="EF257" s="184">
        <f t="shared" si="569"/>
        <v>0</v>
      </c>
      <c r="EG257" s="184">
        <f t="shared" si="569"/>
        <v>0</v>
      </c>
      <c r="EH257" s="184">
        <f t="shared" si="569"/>
        <v>0</v>
      </c>
      <c r="EI257" s="184">
        <f t="shared" si="569"/>
        <v>0</v>
      </c>
      <c r="EJ257" s="184">
        <f t="shared" ref="EJ257:EQ257" si="570">EJ254+EJ255-EJ256</f>
        <v>0</v>
      </c>
      <c r="EK257" s="184">
        <f t="shared" si="570"/>
        <v>0</v>
      </c>
      <c r="EL257" s="184">
        <f t="shared" si="570"/>
        <v>0</v>
      </c>
      <c r="EM257" s="184">
        <f t="shared" si="570"/>
        <v>0</v>
      </c>
      <c r="EN257" s="184">
        <f t="shared" si="570"/>
        <v>0</v>
      </c>
      <c r="EO257" s="184">
        <f t="shared" si="570"/>
        <v>0</v>
      </c>
      <c r="EP257" s="184">
        <f t="shared" si="570"/>
        <v>0</v>
      </c>
      <c r="EQ257" s="184">
        <f t="shared" si="570"/>
        <v>0</v>
      </c>
    </row>
    <row r="258" spans="3:147" ht="11.25" customHeight="1">
      <c r="C258" s="218"/>
      <c r="D258" s="158" t="s">
        <v>1092</v>
      </c>
      <c r="E258" s="159"/>
      <c r="F258" s="159"/>
      <c r="G258" s="159"/>
      <c r="H258" s="160"/>
      <c r="I258" s="219"/>
      <c r="J258" s="220"/>
      <c r="K258" s="98"/>
      <c r="L258" s="162"/>
      <c r="M258" s="162"/>
      <c r="N258" s="162"/>
      <c r="O258" s="162"/>
      <c r="P258" s="162"/>
      <c r="Q258" s="162"/>
      <c r="R258" s="162"/>
      <c r="S258" s="162"/>
      <c r="T258" s="162"/>
      <c r="U258" s="162"/>
      <c r="V258" s="162"/>
      <c r="W258" s="162"/>
      <c r="X258" s="162"/>
      <c r="Y258" s="162"/>
      <c r="Z258" s="162"/>
      <c r="AA258" s="162"/>
      <c r="AB258" s="162"/>
      <c r="AC258" s="162"/>
      <c r="AD258" s="162"/>
      <c r="AE258" s="162"/>
      <c r="AF258" s="162"/>
      <c r="AG258" s="162"/>
      <c r="AH258" s="162"/>
      <c r="AI258" s="162"/>
      <c r="AJ258" s="162"/>
      <c r="AK258" s="162"/>
      <c r="AL258" s="162"/>
      <c r="AM258" s="162"/>
      <c r="AN258" s="162"/>
      <c r="AO258" s="162"/>
      <c r="AP258" s="162"/>
      <c r="AQ258" s="162"/>
      <c r="AR258" s="162"/>
      <c r="AS258" s="162"/>
      <c r="AT258" s="162"/>
      <c r="AU258" s="162"/>
      <c r="AV258" s="162"/>
      <c r="AW258" s="162"/>
      <c r="AX258" s="162"/>
      <c r="AY258" s="162"/>
      <c r="AZ258" s="162"/>
      <c r="BA258" s="162"/>
      <c r="BB258" s="162"/>
      <c r="BC258" s="162"/>
      <c r="BD258" s="162"/>
      <c r="BE258" s="162"/>
      <c r="BF258" s="162"/>
      <c r="BG258" s="162"/>
      <c r="BH258" s="162"/>
      <c r="BI258" s="162"/>
      <c r="BJ258" s="162"/>
      <c r="BK258" s="162"/>
      <c r="BL258" s="162"/>
      <c r="BM258" s="162"/>
      <c r="BN258" s="162"/>
      <c r="BO258" s="162"/>
      <c r="BP258" s="162"/>
      <c r="BQ258" s="162"/>
      <c r="BR258" s="162"/>
      <c r="BS258" s="162"/>
      <c r="BT258" s="162"/>
      <c r="BU258" s="162"/>
      <c r="BV258" s="162"/>
      <c r="BW258" s="162"/>
      <c r="BX258" s="162"/>
      <c r="BY258" s="162"/>
      <c r="BZ258" s="162"/>
      <c r="CA258" s="162"/>
      <c r="CB258" s="162"/>
      <c r="CC258" s="162"/>
      <c r="CD258" s="162"/>
      <c r="CE258" s="162"/>
      <c r="CF258" s="162"/>
      <c r="CG258" s="162"/>
      <c r="CH258" s="162"/>
      <c r="CI258" s="162"/>
      <c r="CJ258" s="162"/>
      <c r="CK258" s="162"/>
      <c r="CL258" s="162"/>
      <c r="CM258" s="162"/>
      <c r="CN258" s="162"/>
      <c r="CO258" s="162"/>
      <c r="CP258" s="162"/>
      <c r="CQ258" s="162"/>
      <c r="CR258" s="162"/>
      <c r="CS258" s="162"/>
      <c r="CT258" s="162"/>
      <c r="CU258" s="162"/>
      <c r="CV258" s="162"/>
      <c r="CW258" s="162"/>
      <c r="CX258" s="162"/>
      <c r="CY258" s="162"/>
      <c r="CZ258" s="162"/>
      <c r="DA258" s="162"/>
      <c r="DB258" s="162"/>
      <c r="DC258" s="162"/>
      <c r="DD258" s="162"/>
      <c r="DE258" s="162"/>
      <c r="DF258" s="162"/>
      <c r="DG258" s="162"/>
      <c r="DH258" s="162"/>
      <c r="DI258" s="162"/>
      <c r="DJ258" s="162"/>
      <c r="DK258" s="162"/>
      <c r="DL258" s="162"/>
      <c r="DM258" s="162"/>
      <c r="DN258" s="162"/>
      <c r="DO258" s="162"/>
      <c r="DP258" s="162"/>
      <c r="DQ258" s="162"/>
      <c r="DR258" s="162"/>
      <c r="DS258" s="162"/>
      <c r="DT258" s="162"/>
      <c r="DU258" s="162"/>
      <c r="DV258" s="162"/>
      <c r="DW258" s="162"/>
      <c r="DX258" s="162"/>
      <c r="DY258" s="162"/>
      <c r="DZ258" s="162"/>
      <c r="EA258" s="162"/>
      <c r="EB258" s="162"/>
      <c r="EC258" s="162"/>
      <c r="ED258" s="1319"/>
      <c r="EE258" s="162"/>
      <c r="EF258" s="162"/>
      <c r="EG258" s="162"/>
      <c r="EH258" s="162"/>
      <c r="EI258" s="162"/>
      <c r="EJ258" s="162"/>
      <c r="EK258" s="162"/>
      <c r="EL258" s="162"/>
      <c r="EM258" s="162"/>
      <c r="EN258" s="162"/>
      <c r="EO258" s="162"/>
      <c r="EP258" s="162"/>
      <c r="EQ258" s="162"/>
    </row>
    <row r="259" spans="3:147" ht="11.25" customHeight="1">
      <c r="C259" s="218"/>
      <c r="D259" s="163"/>
      <c r="E259" s="164" t="s">
        <v>230</v>
      </c>
      <c r="F259" s="165"/>
      <c r="G259" s="165"/>
      <c r="H259" s="166"/>
      <c r="I259" s="221"/>
      <c r="J259" s="168"/>
      <c r="K259" s="98"/>
      <c r="L259" s="168">
        <f t="shared" ref="L259:AQ259" si="571">K262</f>
        <v>0</v>
      </c>
      <c r="M259" s="168">
        <f t="shared" si="571"/>
        <v>9565217.3913043477</v>
      </c>
      <c r="N259" s="168">
        <f t="shared" si="571"/>
        <v>9565217.3913043477</v>
      </c>
      <c r="O259" s="168">
        <f t="shared" si="571"/>
        <v>9565217.3913043477</v>
      </c>
      <c r="P259" s="168">
        <f t="shared" si="571"/>
        <v>9565217.3913043477</v>
      </c>
      <c r="Q259" s="168">
        <f t="shared" si="571"/>
        <v>9565217.3913043477</v>
      </c>
      <c r="R259" s="168">
        <f t="shared" si="571"/>
        <v>9565217.3913043477</v>
      </c>
      <c r="S259" s="168">
        <f t="shared" si="571"/>
        <v>9565217.3913043477</v>
      </c>
      <c r="T259" s="168">
        <f t="shared" si="571"/>
        <v>9565217.3913043477</v>
      </c>
      <c r="U259" s="168">
        <f t="shared" si="571"/>
        <v>9565217.3913043477</v>
      </c>
      <c r="V259" s="168">
        <f t="shared" si="571"/>
        <v>9565217.3913043477</v>
      </c>
      <c r="W259" s="168">
        <f t="shared" si="571"/>
        <v>9565217.3913043477</v>
      </c>
      <c r="X259" s="168">
        <f t="shared" si="571"/>
        <v>9565217.3913043477</v>
      </c>
      <c r="Y259" s="168">
        <f t="shared" si="571"/>
        <v>9565217.3913043477</v>
      </c>
      <c r="Z259" s="168">
        <f t="shared" si="571"/>
        <v>9565217.3913043477</v>
      </c>
      <c r="AA259" s="168">
        <f t="shared" si="571"/>
        <v>9565217.3913043477</v>
      </c>
      <c r="AB259" s="168">
        <f t="shared" si="571"/>
        <v>9565217.3913043477</v>
      </c>
      <c r="AC259" s="168">
        <f t="shared" si="571"/>
        <v>9565217.3913043477</v>
      </c>
      <c r="AD259" s="168">
        <f t="shared" si="571"/>
        <v>9565217.3913043477</v>
      </c>
      <c r="AE259" s="168">
        <f t="shared" si="571"/>
        <v>9565217.3913043477</v>
      </c>
      <c r="AF259" s="168">
        <f t="shared" si="571"/>
        <v>9565217.3913043477</v>
      </c>
      <c r="AG259" s="168">
        <f t="shared" si="571"/>
        <v>9565217.3913043477</v>
      </c>
      <c r="AH259" s="168">
        <f t="shared" si="571"/>
        <v>9565217.3913043477</v>
      </c>
      <c r="AI259" s="168">
        <f t="shared" si="571"/>
        <v>9565217.3913043477</v>
      </c>
      <c r="AJ259" s="168">
        <f t="shared" si="571"/>
        <v>9565217.3913043477</v>
      </c>
      <c r="AK259" s="168">
        <f t="shared" si="571"/>
        <v>0</v>
      </c>
      <c r="AL259" s="168">
        <f t="shared" si="571"/>
        <v>0</v>
      </c>
      <c r="AM259" s="168">
        <f t="shared" si="571"/>
        <v>0</v>
      </c>
      <c r="AN259" s="168">
        <f t="shared" si="571"/>
        <v>0</v>
      </c>
      <c r="AO259" s="168">
        <f t="shared" si="571"/>
        <v>0</v>
      </c>
      <c r="AP259" s="168">
        <f t="shared" si="571"/>
        <v>0</v>
      </c>
      <c r="AQ259" s="168">
        <f t="shared" si="571"/>
        <v>0</v>
      </c>
      <c r="AR259" s="168">
        <f t="shared" ref="AR259:BW259" si="572">AQ262</f>
        <v>0</v>
      </c>
      <c r="AS259" s="168">
        <f t="shared" si="572"/>
        <v>0</v>
      </c>
      <c r="AT259" s="168">
        <f t="shared" si="572"/>
        <v>0</v>
      </c>
      <c r="AU259" s="168">
        <f t="shared" si="572"/>
        <v>0</v>
      </c>
      <c r="AV259" s="168">
        <f t="shared" si="572"/>
        <v>0</v>
      </c>
      <c r="AW259" s="168">
        <f t="shared" si="572"/>
        <v>0</v>
      </c>
      <c r="AX259" s="168">
        <f t="shared" si="572"/>
        <v>0</v>
      </c>
      <c r="AY259" s="168">
        <f t="shared" si="572"/>
        <v>0</v>
      </c>
      <c r="AZ259" s="168">
        <f t="shared" si="572"/>
        <v>0</v>
      </c>
      <c r="BA259" s="168">
        <f t="shared" si="572"/>
        <v>0</v>
      </c>
      <c r="BB259" s="168">
        <f t="shared" si="572"/>
        <v>0</v>
      </c>
      <c r="BC259" s="168">
        <f t="shared" si="572"/>
        <v>0</v>
      </c>
      <c r="BD259" s="168">
        <f t="shared" si="572"/>
        <v>0</v>
      </c>
      <c r="BE259" s="168">
        <f t="shared" si="572"/>
        <v>0</v>
      </c>
      <c r="BF259" s="168">
        <f t="shared" si="572"/>
        <v>0</v>
      </c>
      <c r="BG259" s="168">
        <f t="shared" si="572"/>
        <v>0</v>
      </c>
      <c r="BH259" s="168">
        <f t="shared" si="572"/>
        <v>0</v>
      </c>
      <c r="BI259" s="168">
        <f t="shared" si="572"/>
        <v>0</v>
      </c>
      <c r="BJ259" s="168">
        <f t="shared" si="572"/>
        <v>0</v>
      </c>
      <c r="BK259" s="168">
        <f t="shared" si="572"/>
        <v>0</v>
      </c>
      <c r="BL259" s="168">
        <f t="shared" si="572"/>
        <v>0</v>
      </c>
      <c r="BM259" s="168">
        <f t="shared" si="572"/>
        <v>0</v>
      </c>
      <c r="BN259" s="168">
        <f t="shared" si="572"/>
        <v>0</v>
      </c>
      <c r="BO259" s="168">
        <f t="shared" si="572"/>
        <v>0</v>
      </c>
      <c r="BP259" s="168">
        <f t="shared" si="572"/>
        <v>0</v>
      </c>
      <c r="BQ259" s="168">
        <f t="shared" si="572"/>
        <v>0</v>
      </c>
      <c r="BR259" s="168">
        <f t="shared" si="572"/>
        <v>0</v>
      </c>
      <c r="BS259" s="168">
        <f t="shared" si="572"/>
        <v>0</v>
      </c>
      <c r="BT259" s="168">
        <f t="shared" si="572"/>
        <v>0</v>
      </c>
      <c r="BU259" s="168">
        <f t="shared" si="572"/>
        <v>0</v>
      </c>
      <c r="BV259" s="168">
        <f t="shared" si="572"/>
        <v>0</v>
      </c>
      <c r="BW259" s="168">
        <f t="shared" si="572"/>
        <v>0</v>
      </c>
      <c r="BX259" s="168">
        <f t="shared" ref="BX259:DC259" si="573">BW262</f>
        <v>0</v>
      </c>
      <c r="BY259" s="168">
        <f t="shared" si="573"/>
        <v>0</v>
      </c>
      <c r="BZ259" s="168">
        <f t="shared" si="573"/>
        <v>0</v>
      </c>
      <c r="CA259" s="168">
        <f t="shared" si="573"/>
        <v>0</v>
      </c>
      <c r="CB259" s="168">
        <f t="shared" si="573"/>
        <v>0</v>
      </c>
      <c r="CC259" s="168">
        <f t="shared" si="573"/>
        <v>0</v>
      </c>
      <c r="CD259" s="168">
        <f t="shared" si="573"/>
        <v>0</v>
      </c>
      <c r="CE259" s="168">
        <f t="shared" si="573"/>
        <v>0</v>
      </c>
      <c r="CF259" s="168">
        <f t="shared" si="573"/>
        <v>0</v>
      </c>
      <c r="CG259" s="168">
        <f t="shared" si="573"/>
        <v>0</v>
      </c>
      <c r="CH259" s="168">
        <f t="shared" si="573"/>
        <v>0</v>
      </c>
      <c r="CI259" s="168">
        <f t="shared" si="573"/>
        <v>0</v>
      </c>
      <c r="CJ259" s="168">
        <f t="shared" si="573"/>
        <v>0</v>
      </c>
      <c r="CK259" s="168">
        <f t="shared" si="573"/>
        <v>0</v>
      </c>
      <c r="CL259" s="168">
        <f t="shared" si="573"/>
        <v>0</v>
      </c>
      <c r="CM259" s="168">
        <f t="shared" si="573"/>
        <v>0</v>
      </c>
      <c r="CN259" s="168">
        <f t="shared" si="573"/>
        <v>0</v>
      </c>
      <c r="CO259" s="168">
        <f t="shared" si="573"/>
        <v>0</v>
      </c>
      <c r="CP259" s="168">
        <f t="shared" si="573"/>
        <v>0</v>
      </c>
      <c r="CQ259" s="168">
        <f t="shared" si="573"/>
        <v>0</v>
      </c>
      <c r="CR259" s="168">
        <f t="shared" si="573"/>
        <v>0</v>
      </c>
      <c r="CS259" s="168">
        <f t="shared" si="573"/>
        <v>0</v>
      </c>
      <c r="CT259" s="168">
        <f t="shared" si="573"/>
        <v>0</v>
      </c>
      <c r="CU259" s="168">
        <f t="shared" si="573"/>
        <v>0</v>
      </c>
      <c r="CV259" s="168">
        <f t="shared" si="573"/>
        <v>0</v>
      </c>
      <c r="CW259" s="168">
        <f t="shared" si="573"/>
        <v>0</v>
      </c>
      <c r="CX259" s="168">
        <f t="shared" si="573"/>
        <v>0</v>
      </c>
      <c r="CY259" s="168">
        <f t="shared" si="573"/>
        <v>0</v>
      </c>
      <c r="CZ259" s="168">
        <f t="shared" si="573"/>
        <v>0</v>
      </c>
      <c r="DA259" s="168">
        <f t="shared" si="573"/>
        <v>0</v>
      </c>
      <c r="DB259" s="168">
        <f t="shared" si="573"/>
        <v>0</v>
      </c>
      <c r="DC259" s="168">
        <f t="shared" si="573"/>
        <v>0</v>
      </c>
      <c r="DD259" s="168">
        <f t="shared" ref="DD259:EI259" si="574">DC262</f>
        <v>0</v>
      </c>
      <c r="DE259" s="168">
        <f t="shared" si="574"/>
        <v>0</v>
      </c>
      <c r="DF259" s="168">
        <f t="shared" si="574"/>
        <v>0</v>
      </c>
      <c r="DG259" s="168">
        <f t="shared" si="574"/>
        <v>0</v>
      </c>
      <c r="DH259" s="168">
        <f t="shared" si="574"/>
        <v>0</v>
      </c>
      <c r="DI259" s="168">
        <f t="shared" si="574"/>
        <v>0</v>
      </c>
      <c r="DJ259" s="168">
        <f t="shared" si="574"/>
        <v>0</v>
      </c>
      <c r="DK259" s="168">
        <f t="shared" si="574"/>
        <v>0</v>
      </c>
      <c r="DL259" s="168">
        <f t="shared" si="574"/>
        <v>0</v>
      </c>
      <c r="DM259" s="168">
        <f t="shared" si="574"/>
        <v>0</v>
      </c>
      <c r="DN259" s="168">
        <f t="shared" si="574"/>
        <v>0</v>
      </c>
      <c r="DO259" s="168">
        <f t="shared" si="574"/>
        <v>0</v>
      </c>
      <c r="DP259" s="168">
        <f t="shared" si="574"/>
        <v>0</v>
      </c>
      <c r="DQ259" s="168">
        <f t="shared" si="574"/>
        <v>0</v>
      </c>
      <c r="DR259" s="168">
        <f t="shared" si="574"/>
        <v>0</v>
      </c>
      <c r="DS259" s="168">
        <f t="shared" si="574"/>
        <v>0</v>
      </c>
      <c r="DT259" s="168">
        <f t="shared" si="574"/>
        <v>0</v>
      </c>
      <c r="DU259" s="168">
        <f t="shared" si="574"/>
        <v>0</v>
      </c>
      <c r="DV259" s="168">
        <f t="shared" si="574"/>
        <v>0</v>
      </c>
      <c r="DW259" s="168">
        <f t="shared" si="574"/>
        <v>0</v>
      </c>
      <c r="DX259" s="168">
        <f t="shared" si="574"/>
        <v>0</v>
      </c>
      <c r="DY259" s="168">
        <f t="shared" si="574"/>
        <v>0</v>
      </c>
      <c r="DZ259" s="168">
        <f t="shared" si="574"/>
        <v>0</v>
      </c>
      <c r="EA259" s="168">
        <f t="shared" si="574"/>
        <v>0</v>
      </c>
      <c r="EB259" s="168">
        <f t="shared" si="574"/>
        <v>0</v>
      </c>
      <c r="EC259" s="168">
        <f t="shared" si="574"/>
        <v>0</v>
      </c>
      <c r="ED259" s="1320">
        <f t="shared" si="574"/>
        <v>0</v>
      </c>
      <c r="EE259" s="168">
        <f t="shared" si="574"/>
        <v>0</v>
      </c>
      <c r="EF259" s="168">
        <f t="shared" si="574"/>
        <v>0</v>
      </c>
      <c r="EG259" s="168">
        <f t="shared" si="574"/>
        <v>0</v>
      </c>
      <c r="EH259" s="168">
        <f t="shared" si="574"/>
        <v>0</v>
      </c>
      <c r="EI259" s="168">
        <f t="shared" si="574"/>
        <v>0</v>
      </c>
      <c r="EJ259" s="168">
        <f t="shared" ref="EJ259:EQ259" si="575">EI262</f>
        <v>0</v>
      </c>
      <c r="EK259" s="168">
        <f t="shared" si="575"/>
        <v>0</v>
      </c>
      <c r="EL259" s="168">
        <f t="shared" si="575"/>
        <v>0</v>
      </c>
      <c r="EM259" s="168">
        <f t="shared" si="575"/>
        <v>0</v>
      </c>
      <c r="EN259" s="168">
        <f t="shared" si="575"/>
        <v>0</v>
      </c>
      <c r="EO259" s="168">
        <f t="shared" si="575"/>
        <v>0</v>
      </c>
      <c r="EP259" s="168">
        <f t="shared" si="575"/>
        <v>0</v>
      </c>
      <c r="EQ259" s="168">
        <f t="shared" si="575"/>
        <v>0</v>
      </c>
    </row>
    <row r="260" spans="3:147" ht="11.25" customHeight="1">
      <c r="C260" s="218"/>
      <c r="D260" s="163"/>
      <c r="E260" s="169" t="s">
        <v>231</v>
      </c>
      <c r="J260" s="171">
        <f>SUM(L260:EQ260)</f>
        <v>9565217.3913043477</v>
      </c>
      <c r="K260" s="98"/>
      <c r="L260" s="171">
        <f>L72-L255</f>
        <v>9565217.3913043477</v>
      </c>
      <c r="M260" s="171">
        <f t="shared" ref="M260:BX260" si="576">M72-M255</f>
        <v>0</v>
      </c>
      <c r="N260" s="171">
        <f t="shared" si="576"/>
        <v>0</v>
      </c>
      <c r="O260" s="171">
        <f t="shared" si="576"/>
        <v>0</v>
      </c>
      <c r="P260" s="171">
        <f t="shared" si="576"/>
        <v>0</v>
      </c>
      <c r="Q260" s="171">
        <f t="shared" si="576"/>
        <v>0</v>
      </c>
      <c r="R260" s="171">
        <f t="shared" si="576"/>
        <v>0</v>
      </c>
      <c r="S260" s="171">
        <f t="shared" si="576"/>
        <v>0</v>
      </c>
      <c r="T260" s="171">
        <f t="shared" si="576"/>
        <v>0</v>
      </c>
      <c r="U260" s="171">
        <f t="shared" si="576"/>
        <v>0</v>
      </c>
      <c r="V260" s="171">
        <f t="shared" si="576"/>
        <v>0</v>
      </c>
      <c r="W260" s="171">
        <f t="shared" si="576"/>
        <v>0</v>
      </c>
      <c r="X260" s="171">
        <f t="shared" si="576"/>
        <v>0</v>
      </c>
      <c r="Y260" s="171">
        <f t="shared" si="576"/>
        <v>0</v>
      </c>
      <c r="Z260" s="171">
        <f t="shared" si="576"/>
        <v>0</v>
      </c>
      <c r="AA260" s="171">
        <f t="shared" si="576"/>
        <v>0</v>
      </c>
      <c r="AB260" s="171">
        <f t="shared" si="576"/>
        <v>0</v>
      </c>
      <c r="AC260" s="171">
        <f t="shared" si="576"/>
        <v>0</v>
      </c>
      <c r="AD260" s="171">
        <f t="shared" si="576"/>
        <v>0</v>
      </c>
      <c r="AE260" s="171">
        <f t="shared" si="576"/>
        <v>0</v>
      </c>
      <c r="AF260" s="171">
        <f t="shared" si="576"/>
        <v>0</v>
      </c>
      <c r="AG260" s="171">
        <f t="shared" si="576"/>
        <v>0</v>
      </c>
      <c r="AH260" s="171">
        <f t="shared" si="576"/>
        <v>0</v>
      </c>
      <c r="AI260" s="171">
        <f t="shared" si="576"/>
        <v>0</v>
      </c>
      <c r="AJ260" s="171">
        <f t="shared" si="576"/>
        <v>0</v>
      </c>
      <c r="AK260" s="171">
        <f t="shared" si="576"/>
        <v>0</v>
      </c>
      <c r="AL260" s="171">
        <f t="shared" si="576"/>
        <v>0</v>
      </c>
      <c r="AM260" s="171">
        <f t="shared" si="576"/>
        <v>0</v>
      </c>
      <c r="AN260" s="171">
        <f t="shared" si="576"/>
        <v>0</v>
      </c>
      <c r="AO260" s="171">
        <f t="shared" si="576"/>
        <v>0</v>
      </c>
      <c r="AP260" s="171">
        <f t="shared" si="576"/>
        <v>0</v>
      </c>
      <c r="AQ260" s="171">
        <f t="shared" si="576"/>
        <v>0</v>
      </c>
      <c r="AR260" s="171">
        <f t="shared" si="576"/>
        <v>0</v>
      </c>
      <c r="AS260" s="171">
        <f t="shared" si="576"/>
        <v>0</v>
      </c>
      <c r="AT260" s="171">
        <f t="shared" si="576"/>
        <v>0</v>
      </c>
      <c r="AU260" s="171">
        <f t="shared" si="576"/>
        <v>0</v>
      </c>
      <c r="AV260" s="171">
        <f t="shared" si="576"/>
        <v>0</v>
      </c>
      <c r="AW260" s="171">
        <f t="shared" si="576"/>
        <v>0</v>
      </c>
      <c r="AX260" s="171">
        <f t="shared" si="576"/>
        <v>0</v>
      </c>
      <c r="AY260" s="171">
        <f t="shared" si="576"/>
        <v>0</v>
      </c>
      <c r="AZ260" s="171">
        <f t="shared" si="576"/>
        <v>0</v>
      </c>
      <c r="BA260" s="171">
        <f t="shared" si="576"/>
        <v>0</v>
      </c>
      <c r="BB260" s="171">
        <f t="shared" si="576"/>
        <v>0</v>
      </c>
      <c r="BC260" s="171">
        <f t="shared" si="576"/>
        <v>0</v>
      </c>
      <c r="BD260" s="171">
        <f t="shared" si="576"/>
        <v>0</v>
      </c>
      <c r="BE260" s="171">
        <f t="shared" si="576"/>
        <v>0</v>
      </c>
      <c r="BF260" s="171">
        <f t="shared" si="576"/>
        <v>0</v>
      </c>
      <c r="BG260" s="171">
        <f t="shared" si="576"/>
        <v>0</v>
      </c>
      <c r="BH260" s="171">
        <f t="shared" si="576"/>
        <v>0</v>
      </c>
      <c r="BI260" s="171">
        <f t="shared" si="576"/>
        <v>0</v>
      </c>
      <c r="BJ260" s="171">
        <f t="shared" si="576"/>
        <v>0</v>
      </c>
      <c r="BK260" s="171">
        <f t="shared" si="576"/>
        <v>0</v>
      </c>
      <c r="BL260" s="171">
        <f t="shared" si="576"/>
        <v>0</v>
      </c>
      <c r="BM260" s="171">
        <f t="shared" si="576"/>
        <v>0</v>
      </c>
      <c r="BN260" s="171">
        <f t="shared" si="576"/>
        <v>0</v>
      </c>
      <c r="BO260" s="171">
        <f t="shared" si="576"/>
        <v>0</v>
      </c>
      <c r="BP260" s="171">
        <f t="shared" si="576"/>
        <v>0</v>
      </c>
      <c r="BQ260" s="171">
        <f t="shared" si="576"/>
        <v>0</v>
      </c>
      <c r="BR260" s="171">
        <f t="shared" si="576"/>
        <v>0</v>
      </c>
      <c r="BS260" s="171">
        <f t="shared" si="576"/>
        <v>0</v>
      </c>
      <c r="BT260" s="171">
        <f t="shared" si="576"/>
        <v>0</v>
      </c>
      <c r="BU260" s="171">
        <f t="shared" si="576"/>
        <v>0</v>
      </c>
      <c r="BV260" s="171">
        <f t="shared" si="576"/>
        <v>0</v>
      </c>
      <c r="BW260" s="171">
        <f t="shared" si="576"/>
        <v>0</v>
      </c>
      <c r="BX260" s="171">
        <f t="shared" si="576"/>
        <v>0</v>
      </c>
      <c r="BY260" s="171">
        <f t="shared" ref="BY260:EJ260" si="577">BY72-BY255</f>
        <v>0</v>
      </c>
      <c r="BZ260" s="171">
        <f t="shared" si="577"/>
        <v>0</v>
      </c>
      <c r="CA260" s="171">
        <f t="shared" si="577"/>
        <v>0</v>
      </c>
      <c r="CB260" s="171">
        <f t="shared" si="577"/>
        <v>0</v>
      </c>
      <c r="CC260" s="171">
        <f t="shared" si="577"/>
        <v>0</v>
      </c>
      <c r="CD260" s="171">
        <f t="shared" si="577"/>
        <v>0</v>
      </c>
      <c r="CE260" s="171">
        <f t="shared" si="577"/>
        <v>0</v>
      </c>
      <c r="CF260" s="171">
        <f t="shared" si="577"/>
        <v>0</v>
      </c>
      <c r="CG260" s="171">
        <f t="shared" si="577"/>
        <v>0</v>
      </c>
      <c r="CH260" s="171">
        <f t="shared" si="577"/>
        <v>0</v>
      </c>
      <c r="CI260" s="171">
        <f t="shared" si="577"/>
        <v>0</v>
      </c>
      <c r="CJ260" s="171">
        <f t="shared" si="577"/>
        <v>0</v>
      </c>
      <c r="CK260" s="171">
        <f t="shared" si="577"/>
        <v>0</v>
      </c>
      <c r="CL260" s="171">
        <f t="shared" si="577"/>
        <v>0</v>
      </c>
      <c r="CM260" s="171">
        <f t="shared" si="577"/>
        <v>0</v>
      </c>
      <c r="CN260" s="171">
        <f t="shared" si="577"/>
        <v>0</v>
      </c>
      <c r="CO260" s="171">
        <f t="shared" si="577"/>
        <v>0</v>
      </c>
      <c r="CP260" s="171">
        <f t="shared" si="577"/>
        <v>0</v>
      </c>
      <c r="CQ260" s="171">
        <f t="shared" si="577"/>
        <v>0</v>
      </c>
      <c r="CR260" s="171">
        <f t="shared" si="577"/>
        <v>0</v>
      </c>
      <c r="CS260" s="171">
        <f t="shared" si="577"/>
        <v>0</v>
      </c>
      <c r="CT260" s="171">
        <f t="shared" si="577"/>
        <v>0</v>
      </c>
      <c r="CU260" s="171">
        <f t="shared" si="577"/>
        <v>0</v>
      </c>
      <c r="CV260" s="171">
        <f t="shared" si="577"/>
        <v>0</v>
      </c>
      <c r="CW260" s="171">
        <f t="shared" si="577"/>
        <v>0</v>
      </c>
      <c r="CX260" s="171">
        <f t="shared" si="577"/>
        <v>0</v>
      </c>
      <c r="CY260" s="171">
        <f t="shared" si="577"/>
        <v>0</v>
      </c>
      <c r="CZ260" s="171">
        <f t="shared" si="577"/>
        <v>0</v>
      </c>
      <c r="DA260" s="171">
        <f t="shared" si="577"/>
        <v>0</v>
      </c>
      <c r="DB260" s="171">
        <f t="shared" si="577"/>
        <v>0</v>
      </c>
      <c r="DC260" s="171">
        <f t="shared" si="577"/>
        <v>0</v>
      </c>
      <c r="DD260" s="171">
        <f t="shared" si="577"/>
        <v>0</v>
      </c>
      <c r="DE260" s="171">
        <f t="shared" si="577"/>
        <v>0</v>
      </c>
      <c r="DF260" s="171">
        <f t="shared" si="577"/>
        <v>0</v>
      </c>
      <c r="DG260" s="171">
        <f t="shared" si="577"/>
        <v>0</v>
      </c>
      <c r="DH260" s="171">
        <f t="shared" si="577"/>
        <v>0</v>
      </c>
      <c r="DI260" s="171">
        <f t="shared" si="577"/>
        <v>0</v>
      </c>
      <c r="DJ260" s="171">
        <f t="shared" si="577"/>
        <v>0</v>
      </c>
      <c r="DK260" s="171">
        <f t="shared" si="577"/>
        <v>0</v>
      </c>
      <c r="DL260" s="171">
        <f t="shared" si="577"/>
        <v>0</v>
      </c>
      <c r="DM260" s="171">
        <f t="shared" si="577"/>
        <v>0</v>
      </c>
      <c r="DN260" s="171">
        <f t="shared" si="577"/>
        <v>0</v>
      </c>
      <c r="DO260" s="171">
        <f t="shared" si="577"/>
        <v>0</v>
      </c>
      <c r="DP260" s="171">
        <f t="shared" si="577"/>
        <v>0</v>
      </c>
      <c r="DQ260" s="171">
        <f t="shared" si="577"/>
        <v>0</v>
      </c>
      <c r="DR260" s="171">
        <f t="shared" si="577"/>
        <v>0</v>
      </c>
      <c r="DS260" s="171">
        <f t="shared" si="577"/>
        <v>0</v>
      </c>
      <c r="DT260" s="171">
        <f t="shared" si="577"/>
        <v>0</v>
      </c>
      <c r="DU260" s="171">
        <f t="shared" si="577"/>
        <v>0</v>
      </c>
      <c r="DV260" s="171">
        <f t="shared" si="577"/>
        <v>0</v>
      </c>
      <c r="DW260" s="171">
        <f t="shared" si="577"/>
        <v>0</v>
      </c>
      <c r="DX260" s="171">
        <f t="shared" si="577"/>
        <v>0</v>
      </c>
      <c r="DY260" s="171">
        <f t="shared" si="577"/>
        <v>0</v>
      </c>
      <c r="DZ260" s="171">
        <f t="shared" si="577"/>
        <v>0</v>
      </c>
      <c r="EA260" s="171">
        <f t="shared" si="577"/>
        <v>0</v>
      </c>
      <c r="EB260" s="171">
        <f t="shared" si="577"/>
        <v>0</v>
      </c>
      <c r="EC260" s="171">
        <f t="shared" si="577"/>
        <v>0</v>
      </c>
      <c r="ED260" s="1321">
        <f t="shared" si="577"/>
        <v>0</v>
      </c>
      <c r="EE260" s="171">
        <f t="shared" si="577"/>
        <v>0</v>
      </c>
      <c r="EF260" s="171">
        <f t="shared" si="577"/>
        <v>0</v>
      </c>
      <c r="EG260" s="171">
        <f t="shared" si="577"/>
        <v>0</v>
      </c>
      <c r="EH260" s="171">
        <f t="shared" si="577"/>
        <v>0</v>
      </c>
      <c r="EI260" s="171">
        <f t="shared" si="577"/>
        <v>0</v>
      </c>
      <c r="EJ260" s="171">
        <f t="shared" si="577"/>
        <v>0</v>
      </c>
      <c r="EK260" s="171">
        <f t="shared" ref="EK260:EQ260" si="578">EK72-EK255</f>
        <v>0</v>
      </c>
      <c r="EL260" s="171">
        <f t="shared" si="578"/>
        <v>0</v>
      </c>
      <c r="EM260" s="171">
        <f t="shared" si="578"/>
        <v>0</v>
      </c>
      <c r="EN260" s="171">
        <f t="shared" si="578"/>
        <v>0</v>
      </c>
      <c r="EO260" s="171">
        <f t="shared" si="578"/>
        <v>0</v>
      </c>
      <c r="EP260" s="171">
        <f t="shared" si="578"/>
        <v>0</v>
      </c>
      <c r="EQ260" s="171">
        <f t="shared" si="578"/>
        <v>0</v>
      </c>
    </row>
    <row r="261" spans="3:147" ht="11.25" customHeight="1">
      <c r="C261" s="218"/>
      <c r="D261" s="163"/>
      <c r="E261" s="169" t="s">
        <v>232</v>
      </c>
      <c r="H261" s="146">
        <f>'A&amp;R'!N43</f>
        <v>47057</v>
      </c>
      <c r="I261" s="134"/>
      <c r="J261" s="171">
        <f>SUM(L261:EQ261)</f>
        <v>9565217.3913043477</v>
      </c>
      <c r="K261" s="98"/>
      <c r="L261" s="171">
        <f>SUM(L259:L260)*(L$231=$H261)</f>
        <v>0</v>
      </c>
      <c r="M261" s="171">
        <f t="shared" ref="M261:BX261" si="579">SUM(M259:M260)*(M$231=$H261)</f>
        <v>0</v>
      </c>
      <c r="N261" s="171">
        <f t="shared" si="579"/>
        <v>0</v>
      </c>
      <c r="O261" s="171">
        <f t="shared" si="579"/>
        <v>0</v>
      </c>
      <c r="P261" s="171">
        <f t="shared" si="579"/>
        <v>0</v>
      </c>
      <c r="Q261" s="171">
        <f t="shared" si="579"/>
        <v>0</v>
      </c>
      <c r="R261" s="171">
        <f t="shared" si="579"/>
        <v>0</v>
      </c>
      <c r="S261" s="171">
        <f t="shared" si="579"/>
        <v>0</v>
      </c>
      <c r="T261" s="171">
        <f t="shared" si="579"/>
        <v>0</v>
      </c>
      <c r="U261" s="171">
        <f t="shared" si="579"/>
        <v>0</v>
      </c>
      <c r="V261" s="171">
        <f t="shared" si="579"/>
        <v>0</v>
      </c>
      <c r="W261" s="171">
        <f t="shared" si="579"/>
        <v>0</v>
      </c>
      <c r="X261" s="171">
        <f t="shared" si="579"/>
        <v>0</v>
      </c>
      <c r="Y261" s="171">
        <f t="shared" si="579"/>
        <v>0</v>
      </c>
      <c r="Z261" s="171">
        <f t="shared" si="579"/>
        <v>0</v>
      </c>
      <c r="AA261" s="171">
        <f t="shared" si="579"/>
        <v>0</v>
      </c>
      <c r="AB261" s="171">
        <f t="shared" si="579"/>
        <v>0</v>
      </c>
      <c r="AC261" s="171">
        <f t="shared" si="579"/>
        <v>0</v>
      </c>
      <c r="AD261" s="171">
        <f t="shared" si="579"/>
        <v>0</v>
      </c>
      <c r="AE261" s="171">
        <f t="shared" si="579"/>
        <v>0</v>
      </c>
      <c r="AF261" s="171">
        <f t="shared" si="579"/>
        <v>0</v>
      </c>
      <c r="AG261" s="171">
        <f t="shared" si="579"/>
        <v>0</v>
      </c>
      <c r="AH261" s="171">
        <f t="shared" si="579"/>
        <v>0</v>
      </c>
      <c r="AI261" s="171">
        <f t="shared" si="579"/>
        <v>0</v>
      </c>
      <c r="AJ261" s="171">
        <f t="shared" si="579"/>
        <v>9565217.3913043477</v>
      </c>
      <c r="AK261" s="171">
        <f t="shared" si="579"/>
        <v>0</v>
      </c>
      <c r="AL261" s="171">
        <f t="shared" si="579"/>
        <v>0</v>
      </c>
      <c r="AM261" s="171">
        <f t="shared" si="579"/>
        <v>0</v>
      </c>
      <c r="AN261" s="171">
        <f t="shared" si="579"/>
        <v>0</v>
      </c>
      <c r="AO261" s="171">
        <f t="shared" si="579"/>
        <v>0</v>
      </c>
      <c r="AP261" s="171">
        <f t="shared" si="579"/>
        <v>0</v>
      </c>
      <c r="AQ261" s="171">
        <f t="shared" si="579"/>
        <v>0</v>
      </c>
      <c r="AR261" s="171">
        <f t="shared" si="579"/>
        <v>0</v>
      </c>
      <c r="AS261" s="171">
        <f t="shared" si="579"/>
        <v>0</v>
      </c>
      <c r="AT261" s="171">
        <f t="shared" si="579"/>
        <v>0</v>
      </c>
      <c r="AU261" s="171">
        <f t="shared" si="579"/>
        <v>0</v>
      </c>
      <c r="AV261" s="171">
        <f t="shared" si="579"/>
        <v>0</v>
      </c>
      <c r="AW261" s="171">
        <f t="shared" si="579"/>
        <v>0</v>
      </c>
      <c r="AX261" s="171">
        <f t="shared" si="579"/>
        <v>0</v>
      </c>
      <c r="AY261" s="171">
        <f t="shared" si="579"/>
        <v>0</v>
      </c>
      <c r="AZ261" s="171">
        <f t="shared" si="579"/>
        <v>0</v>
      </c>
      <c r="BA261" s="171">
        <f t="shared" si="579"/>
        <v>0</v>
      </c>
      <c r="BB261" s="171">
        <f t="shared" si="579"/>
        <v>0</v>
      </c>
      <c r="BC261" s="171">
        <f t="shared" si="579"/>
        <v>0</v>
      </c>
      <c r="BD261" s="171">
        <f t="shared" si="579"/>
        <v>0</v>
      </c>
      <c r="BE261" s="171">
        <f t="shared" si="579"/>
        <v>0</v>
      </c>
      <c r="BF261" s="171">
        <f t="shared" si="579"/>
        <v>0</v>
      </c>
      <c r="BG261" s="171">
        <f t="shared" si="579"/>
        <v>0</v>
      </c>
      <c r="BH261" s="171">
        <f t="shared" si="579"/>
        <v>0</v>
      </c>
      <c r="BI261" s="171">
        <f t="shared" si="579"/>
        <v>0</v>
      </c>
      <c r="BJ261" s="171">
        <f t="shared" si="579"/>
        <v>0</v>
      </c>
      <c r="BK261" s="171">
        <f t="shared" si="579"/>
        <v>0</v>
      </c>
      <c r="BL261" s="171">
        <f t="shared" si="579"/>
        <v>0</v>
      </c>
      <c r="BM261" s="171">
        <f t="shared" si="579"/>
        <v>0</v>
      </c>
      <c r="BN261" s="171">
        <f t="shared" si="579"/>
        <v>0</v>
      </c>
      <c r="BO261" s="171">
        <f t="shared" si="579"/>
        <v>0</v>
      </c>
      <c r="BP261" s="171">
        <f t="shared" si="579"/>
        <v>0</v>
      </c>
      <c r="BQ261" s="171">
        <f t="shared" si="579"/>
        <v>0</v>
      </c>
      <c r="BR261" s="171">
        <f t="shared" si="579"/>
        <v>0</v>
      </c>
      <c r="BS261" s="171">
        <f t="shared" si="579"/>
        <v>0</v>
      </c>
      <c r="BT261" s="171">
        <f t="shared" si="579"/>
        <v>0</v>
      </c>
      <c r="BU261" s="171">
        <f t="shared" si="579"/>
        <v>0</v>
      </c>
      <c r="BV261" s="171">
        <f t="shared" si="579"/>
        <v>0</v>
      </c>
      <c r="BW261" s="171">
        <f t="shared" si="579"/>
        <v>0</v>
      </c>
      <c r="BX261" s="171">
        <f t="shared" si="579"/>
        <v>0</v>
      </c>
      <c r="BY261" s="171">
        <f t="shared" ref="BY261:EJ261" si="580">SUM(BY259:BY260)*(BY$231=$H261)</f>
        <v>0</v>
      </c>
      <c r="BZ261" s="171">
        <f t="shared" si="580"/>
        <v>0</v>
      </c>
      <c r="CA261" s="171">
        <f t="shared" si="580"/>
        <v>0</v>
      </c>
      <c r="CB261" s="171">
        <f t="shared" si="580"/>
        <v>0</v>
      </c>
      <c r="CC261" s="171">
        <f t="shared" si="580"/>
        <v>0</v>
      </c>
      <c r="CD261" s="171">
        <f t="shared" si="580"/>
        <v>0</v>
      </c>
      <c r="CE261" s="171">
        <f t="shared" si="580"/>
        <v>0</v>
      </c>
      <c r="CF261" s="171">
        <f t="shared" si="580"/>
        <v>0</v>
      </c>
      <c r="CG261" s="171">
        <f t="shared" si="580"/>
        <v>0</v>
      </c>
      <c r="CH261" s="171">
        <f t="shared" si="580"/>
        <v>0</v>
      </c>
      <c r="CI261" s="171">
        <f t="shared" si="580"/>
        <v>0</v>
      </c>
      <c r="CJ261" s="171">
        <f t="shared" si="580"/>
        <v>0</v>
      </c>
      <c r="CK261" s="171">
        <f t="shared" si="580"/>
        <v>0</v>
      </c>
      <c r="CL261" s="171">
        <f t="shared" si="580"/>
        <v>0</v>
      </c>
      <c r="CM261" s="171">
        <f t="shared" si="580"/>
        <v>0</v>
      </c>
      <c r="CN261" s="171">
        <f t="shared" si="580"/>
        <v>0</v>
      </c>
      <c r="CO261" s="171">
        <f t="shared" si="580"/>
        <v>0</v>
      </c>
      <c r="CP261" s="171">
        <f t="shared" si="580"/>
        <v>0</v>
      </c>
      <c r="CQ261" s="171">
        <f t="shared" si="580"/>
        <v>0</v>
      </c>
      <c r="CR261" s="171">
        <f t="shared" si="580"/>
        <v>0</v>
      </c>
      <c r="CS261" s="171">
        <f t="shared" si="580"/>
        <v>0</v>
      </c>
      <c r="CT261" s="171">
        <f t="shared" si="580"/>
        <v>0</v>
      </c>
      <c r="CU261" s="171">
        <f t="shared" si="580"/>
        <v>0</v>
      </c>
      <c r="CV261" s="171">
        <f t="shared" si="580"/>
        <v>0</v>
      </c>
      <c r="CW261" s="171">
        <f t="shared" si="580"/>
        <v>0</v>
      </c>
      <c r="CX261" s="171">
        <f t="shared" si="580"/>
        <v>0</v>
      </c>
      <c r="CY261" s="171">
        <f t="shared" si="580"/>
        <v>0</v>
      </c>
      <c r="CZ261" s="171">
        <f t="shared" si="580"/>
        <v>0</v>
      </c>
      <c r="DA261" s="171">
        <f t="shared" si="580"/>
        <v>0</v>
      </c>
      <c r="DB261" s="171">
        <f t="shared" si="580"/>
        <v>0</v>
      </c>
      <c r="DC261" s="171">
        <f t="shared" si="580"/>
        <v>0</v>
      </c>
      <c r="DD261" s="171">
        <f t="shared" si="580"/>
        <v>0</v>
      </c>
      <c r="DE261" s="171">
        <f t="shared" si="580"/>
        <v>0</v>
      </c>
      <c r="DF261" s="171">
        <f t="shared" si="580"/>
        <v>0</v>
      </c>
      <c r="DG261" s="171">
        <f t="shared" si="580"/>
        <v>0</v>
      </c>
      <c r="DH261" s="171">
        <f t="shared" si="580"/>
        <v>0</v>
      </c>
      <c r="DI261" s="171">
        <f t="shared" si="580"/>
        <v>0</v>
      </c>
      <c r="DJ261" s="171">
        <f t="shared" si="580"/>
        <v>0</v>
      </c>
      <c r="DK261" s="171">
        <f t="shared" si="580"/>
        <v>0</v>
      </c>
      <c r="DL261" s="171">
        <f t="shared" si="580"/>
        <v>0</v>
      </c>
      <c r="DM261" s="171">
        <f t="shared" si="580"/>
        <v>0</v>
      </c>
      <c r="DN261" s="171">
        <f t="shared" si="580"/>
        <v>0</v>
      </c>
      <c r="DO261" s="171">
        <f t="shared" si="580"/>
        <v>0</v>
      </c>
      <c r="DP261" s="171">
        <f t="shared" si="580"/>
        <v>0</v>
      </c>
      <c r="DQ261" s="171">
        <f t="shared" si="580"/>
        <v>0</v>
      </c>
      <c r="DR261" s="171">
        <f t="shared" si="580"/>
        <v>0</v>
      </c>
      <c r="DS261" s="171">
        <f t="shared" si="580"/>
        <v>0</v>
      </c>
      <c r="DT261" s="171">
        <f t="shared" si="580"/>
        <v>0</v>
      </c>
      <c r="DU261" s="171">
        <f t="shared" si="580"/>
        <v>0</v>
      </c>
      <c r="DV261" s="171">
        <f t="shared" si="580"/>
        <v>0</v>
      </c>
      <c r="DW261" s="171">
        <f t="shared" si="580"/>
        <v>0</v>
      </c>
      <c r="DX261" s="171">
        <f t="shared" si="580"/>
        <v>0</v>
      </c>
      <c r="DY261" s="171">
        <f t="shared" si="580"/>
        <v>0</v>
      </c>
      <c r="DZ261" s="171">
        <f t="shared" si="580"/>
        <v>0</v>
      </c>
      <c r="EA261" s="171">
        <f t="shared" si="580"/>
        <v>0</v>
      </c>
      <c r="EB261" s="171">
        <f t="shared" si="580"/>
        <v>0</v>
      </c>
      <c r="EC261" s="171">
        <f t="shared" si="580"/>
        <v>0</v>
      </c>
      <c r="ED261" s="1321">
        <f t="shared" si="580"/>
        <v>0</v>
      </c>
      <c r="EE261" s="171">
        <f t="shared" si="580"/>
        <v>0</v>
      </c>
      <c r="EF261" s="171">
        <f t="shared" si="580"/>
        <v>0</v>
      </c>
      <c r="EG261" s="171">
        <f t="shared" si="580"/>
        <v>0</v>
      </c>
      <c r="EH261" s="171">
        <f t="shared" si="580"/>
        <v>0</v>
      </c>
      <c r="EI261" s="171">
        <f t="shared" si="580"/>
        <v>0</v>
      </c>
      <c r="EJ261" s="171">
        <f t="shared" si="580"/>
        <v>0</v>
      </c>
      <c r="EK261" s="171">
        <f t="shared" ref="EK261:EQ261" si="581">SUM(EK259:EK260)*(EK$231=$H261)</f>
        <v>0</v>
      </c>
      <c r="EL261" s="171">
        <f t="shared" si="581"/>
        <v>0</v>
      </c>
      <c r="EM261" s="171">
        <f t="shared" si="581"/>
        <v>0</v>
      </c>
      <c r="EN261" s="171">
        <f t="shared" si="581"/>
        <v>0</v>
      </c>
      <c r="EO261" s="171">
        <f t="shared" si="581"/>
        <v>0</v>
      </c>
      <c r="EP261" s="171">
        <f t="shared" si="581"/>
        <v>0</v>
      </c>
      <c r="EQ261" s="171">
        <f t="shared" si="581"/>
        <v>0</v>
      </c>
    </row>
    <row r="262" spans="3:147" ht="11.25" customHeight="1">
      <c r="C262" s="244"/>
      <c r="D262" s="178"/>
      <c r="E262" s="179" t="s">
        <v>233</v>
      </c>
      <c r="F262" s="180"/>
      <c r="G262" s="180"/>
      <c r="H262" s="182"/>
      <c r="I262" s="245"/>
      <c r="J262" s="184"/>
      <c r="K262" s="98"/>
      <c r="L262" s="184">
        <f t="shared" ref="L262:BW262" si="582">L259+L260-L261</f>
        <v>9565217.3913043477</v>
      </c>
      <c r="M262" s="184">
        <f t="shared" si="582"/>
        <v>9565217.3913043477</v>
      </c>
      <c r="N262" s="184">
        <f t="shared" si="582"/>
        <v>9565217.3913043477</v>
      </c>
      <c r="O262" s="184">
        <f t="shared" si="582"/>
        <v>9565217.3913043477</v>
      </c>
      <c r="P262" s="184">
        <f t="shared" si="582"/>
        <v>9565217.3913043477</v>
      </c>
      <c r="Q262" s="184">
        <f t="shared" si="582"/>
        <v>9565217.3913043477</v>
      </c>
      <c r="R262" s="184">
        <f t="shared" si="582"/>
        <v>9565217.3913043477</v>
      </c>
      <c r="S262" s="184">
        <f t="shared" si="582"/>
        <v>9565217.3913043477</v>
      </c>
      <c r="T262" s="184">
        <f t="shared" si="582"/>
        <v>9565217.3913043477</v>
      </c>
      <c r="U262" s="184">
        <f t="shared" si="582"/>
        <v>9565217.3913043477</v>
      </c>
      <c r="V262" s="184">
        <f t="shared" si="582"/>
        <v>9565217.3913043477</v>
      </c>
      <c r="W262" s="184">
        <f t="shared" si="582"/>
        <v>9565217.3913043477</v>
      </c>
      <c r="X262" s="184">
        <f t="shared" si="582"/>
        <v>9565217.3913043477</v>
      </c>
      <c r="Y262" s="184">
        <f t="shared" si="582"/>
        <v>9565217.3913043477</v>
      </c>
      <c r="Z262" s="184">
        <f t="shared" si="582"/>
        <v>9565217.3913043477</v>
      </c>
      <c r="AA262" s="184">
        <f t="shared" si="582"/>
        <v>9565217.3913043477</v>
      </c>
      <c r="AB262" s="184">
        <f t="shared" si="582"/>
        <v>9565217.3913043477</v>
      </c>
      <c r="AC262" s="184">
        <f t="shared" si="582"/>
        <v>9565217.3913043477</v>
      </c>
      <c r="AD262" s="184">
        <f t="shared" si="582"/>
        <v>9565217.3913043477</v>
      </c>
      <c r="AE262" s="184">
        <f t="shared" si="582"/>
        <v>9565217.3913043477</v>
      </c>
      <c r="AF262" s="184">
        <f t="shared" si="582"/>
        <v>9565217.3913043477</v>
      </c>
      <c r="AG262" s="184">
        <f t="shared" si="582"/>
        <v>9565217.3913043477</v>
      </c>
      <c r="AH262" s="184">
        <f t="shared" si="582"/>
        <v>9565217.3913043477</v>
      </c>
      <c r="AI262" s="184">
        <f t="shared" si="582"/>
        <v>9565217.3913043477</v>
      </c>
      <c r="AJ262" s="184">
        <f t="shared" si="582"/>
        <v>0</v>
      </c>
      <c r="AK262" s="184">
        <f t="shared" si="582"/>
        <v>0</v>
      </c>
      <c r="AL262" s="184">
        <f t="shared" si="582"/>
        <v>0</v>
      </c>
      <c r="AM262" s="184">
        <f t="shared" si="582"/>
        <v>0</v>
      </c>
      <c r="AN262" s="184">
        <f t="shared" si="582"/>
        <v>0</v>
      </c>
      <c r="AO262" s="184">
        <f t="shared" si="582"/>
        <v>0</v>
      </c>
      <c r="AP262" s="184">
        <f t="shared" si="582"/>
        <v>0</v>
      </c>
      <c r="AQ262" s="184">
        <f t="shared" si="582"/>
        <v>0</v>
      </c>
      <c r="AR262" s="184">
        <f t="shared" si="582"/>
        <v>0</v>
      </c>
      <c r="AS262" s="184">
        <f t="shared" si="582"/>
        <v>0</v>
      </c>
      <c r="AT262" s="184">
        <f t="shared" si="582"/>
        <v>0</v>
      </c>
      <c r="AU262" s="184">
        <f t="shared" si="582"/>
        <v>0</v>
      </c>
      <c r="AV262" s="184">
        <f t="shared" si="582"/>
        <v>0</v>
      </c>
      <c r="AW262" s="184">
        <f t="shared" si="582"/>
        <v>0</v>
      </c>
      <c r="AX262" s="184">
        <f t="shared" si="582"/>
        <v>0</v>
      </c>
      <c r="AY262" s="184">
        <f t="shared" si="582"/>
        <v>0</v>
      </c>
      <c r="AZ262" s="184">
        <f t="shared" si="582"/>
        <v>0</v>
      </c>
      <c r="BA262" s="184">
        <f t="shared" si="582"/>
        <v>0</v>
      </c>
      <c r="BB262" s="184">
        <f t="shared" si="582"/>
        <v>0</v>
      </c>
      <c r="BC262" s="184">
        <f t="shared" si="582"/>
        <v>0</v>
      </c>
      <c r="BD262" s="184">
        <f t="shared" si="582"/>
        <v>0</v>
      </c>
      <c r="BE262" s="184">
        <f t="shared" si="582"/>
        <v>0</v>
      </c>
      <c r="BF262" s="184">
        <f t="shared" si="582"/>
        <v>0</v>
      </c>
      <c r="BG262" s="184">
        <f t="shared" si="582"/>
        <v>0</v>
      </c>
      <c r="BH262" s="184">
        <f t="shared" si="582"/>
        <v>0</v>
      </c>
      <c r="BI262" s="184">
        <f t="shared" si="582"/>
        <v>0</v>
      </c>
      <c r="BJ262" s="184">
        <f t="shared" si="582"/>
        <v>0</v>
      </c>
      <c r="BK262" s="184">
        <f t="shared" si="582"/>
        <v>0</v>
      </c>
      <c r="BL262" s="184">
        <f t="shared" si="582"/>
        <v>0</v>
      </c>
      <c r="BM262" s="184">
        <f t="shared" si="582"/>
        <v>0</v>
      </c>
      <c r="BN262" s="184">
        <f t="shared" si="582"/>
        <v>0</v>
      </c>
      <c r="BO262" s="184">
        <f t="shared" si="582"/>
        <v>0</v>
      </c>
      <c r="BP262" s="184">
        <f t="shared" si="582"/>
        <v>0</v>
      </c>
      <c r="BQ262" s="184">
        <f t="shared" si="582"/>
        <v>0</v>
      </c>
      <c r="BR262" s="184">
        <f t="shared" si="582"/>
        <v>0</v>
      </c>
      <c r="BS262" s="184">
        <f t="shared" si="582"/>
        <v>0</v>
      </c>
      <c r="BT262" s="184">
        <f t="shared" si="582"/>
        <v>0</v>
      </c>
      <c r="BU262" s="184">
        <f t="shared" si="582"/>
        <v>0</v>
      </c>
      <c r="BV262" s="184">
        <f t="shared" si="582"/>
        <v>0</v>
      </c>
      <c r="BW262" s="184">
        <f t="shared" si="582"/>
        <v>0</v>
      </c>
      <c r="BX262" s="184">
        <f t="shared" ref="BX262:EI262" si="583">BX259+BX260-BX261</f>
        <v>0</v>
      </c>
      <c r="BY262" s="184">
        <f t="shared" si="583"/>
        <v>0</v>
      </c>
      <c r="BZ262" s="184">
        <f t="shared" si="583"/>
        <v>0</v>
      </c>
      <c r="CA262" s="184">
        <f t="shared" si="583"/>
        <v>0</v>
      </c>
      <c r="CB262" s="184">
        <f t="shared" si="583"/>
        <v>0</v>
      </c>
      <c r="CC262" s="184">
        <f t="shared" si="583"/>
        <v>0</v>
      </c>
      <c r="CD262" s="184">
        <f t="shared" si="583"/>
        <v>0</v>
      </c>
      <c r="CE262" s="184">
        <f t="shared" si="583"/>
        <v>0</v>
      </c>
      <c r="CF262" s="184">
        <f t="shared" si="583"/>
        <v>0</v>
      </c>
      <c r="CG262" s="184">
        <f t="shared" si="583"/>
        <v>0</v>
      </c>
      <c r="CH262" s="184">
        <f t="shared" si="583"/>
        <v>0</v>
      </c>
      <c r="CI262" s="184">
        <f t="shared" si="583"/>
        <v>0</v>
      </c>
      <c r="CJ262" s="184">
        <f t="shared" si="583"/>
        <v>0</v>
      </c>
      <c r="CK262" s="184">
        <f t="shared" si="583"/>
        <v>0</v>
      </c>
      <c r="CL262" s="184">
        <f t="shared" si="583"/>
        <v>0</v>
      </c>
      <c r="CM262" s="184">
        <f t="shared" si="583"/>
        <v>0</v>
      </c>
      <c r="CN262" s="184">
        <f t="shared" si="583"/>
        <v>0</v>
      </c>
      <c r="CO262" s="184">
        <f t="shared" si="583"/>
        <v>0</v>
      </c>
      <c r="CP262" s="184">
        <f t="shared" si="583"/>
        <v>0</v>
      </c>
      <c r="CQ262" s="184">
        <f t="shared" si="583"/>
        <v>0</v>
      </c>
      <c r="CR262" s="184">
        <f t="shared" si="583"/>
        <v>0</v>
      </c>
      <c r="CS262" s="184">
        <f t="shared" si="583"/>
        <v>0</v>
      </c>
      <c r="CT262" s="184">
        <f t="shared" si="583"/>
        <v>0</v>
      </c>
      <c r="CU262" s="184">
        <f t="shared" si="583"/>
        <v>0</v>
      </c>
      <c r="CV262" s="184">
        <f t="shared" si="583"/>
        <v>0</v>
      </c>
      <c r="CW262" s="184">
        <f t="shared" si="583"/>
        <v>0</v>
      </c>
      <c r="CX262" s="184">
        <f t="shared" si="583"/>
        <v>0</v>
      </c>
      <c r="CY262" s="184">
        <f t="shared" si="583"/>
        <v>0</v>
      </c>
      <c r="CZ262" s="184">
        <f t="shared" si="583"/>
        <v>0</v>
      </c>
      <c r="DA262" s="184">
        <f t="shared" si="583"/>
        <v>0</v>
      </c>
      <c r="DB262" s="184">
        <f t="shared" si="583"/>
        <v>0</v>
      </c>
      <c r="DC262" s="184">
        <f t="shared" si="583"/>
        <v>0</v>
      </c>
      <c r="DD262" s="184">
        <f t="shared" si="583"/>
        <v>0</v>
      </c>
      <c r="DE262" s="184">
        <f t="shared" si="583"/>
        <v>0</v>
      </c>
      <c r="DF262" s="184">
        <f t="shared" si="583"/>
        <v>0</v>
      </c>
      <c r="DG262" s="184">
        <f t="shared" si="583"/>
        <v>0</v>
      </c>
      <c r="DH262" s="184">
        <f t="shared" si="583"/>
        <v>0</v>
      </c>
      <c r="DI262" s="184">
        <f t="shared" si="583"/>
        <v>0</v>
      </c>
      <c r="DJ262" s="184">
        <f t="shared" si="583"/>
        <v>0</v>
      </c>
      <c r="DK262" s="184">
        <f t="shared" si="583"/>
        <v>0</v>
      </c>
      <c r="DL262" s="184">
        <f t="shared" si="583"/>
        <v>0</v>
      </c>
      <c r="DM262" s="184">
        <f t="shared" si="583"/>
        <v>0</v>
      </c>
      <c r="DN262" s="184">
        <f t="shared" si="583"/>
        <v>0</v>
      </c>
      <c r="DO262" s="184">
        <f t="shared" si="583"/>
        <v>0</v>
      </c>
      <c r="DP262" s="184">
        <f t="shared" si="583"/>
        <v>0</v>
      </c>
      <c r="DQ262" s="184">
        <f t="shared" si="583"/>
        <v>0</v>
      </c>
      <c r="DR262" s="184">
        <f t="shared" si="583"/>
        <v>0</v>
      </c>
      <c r="DS262" s="184">
        <f t="shared" si="583"/>
        <v>0</v>
      </c>
      <c r="DT262" s="184">
        <f t="shared" si="583"/>
        <v>0</v>
      </c>
      <c r="DU262" s="184">
        <f t="shared" si="583"/>
        <v>0</v>
      </c>
      <c r="DV262" s="184">
        <f t="shared" si="583"/>
        <v>0</v>
      </c>
      <c r="DW262" s="184">
        <f t="shared" si="583"/>
        <v>0</v>
      </c>
      <c r="DX262" s="184">
        <f t="shared" si="583"/>
        <v>0</v>
      </c>
      <c r="DY262" s="184">
        <f t="shared" si="583"/>
        <v>0</v>
      </c>
      <c r="DZ262" s="184">
        <f t="shared" si="583"/>
        <v>0</v>
      </c>
      <c r="EA262" s="184">
        <f t="shared" si="583"/>
        <v>0</v>
      </c>
      <c r="EB262" s="184">
        <f t="shared" si="583"/>
        <v>0</v>
      </c>
      <c r="EC262" s="184">
        <f t="shared" si="583"/>
        <v>0</v>
      </c>
      <c r="ED262" s="1324">
        <f t="shared" si="583"/>
        <v>0</v>
      </c>
      <c r="EE262" s="184">
        <f t="shared" si="583"/>
        <v>0</v>
      </c>
      <c r="EF262" s="184">
        <f t="shared" si="583"/>
        <v>0</v>
      </c>
      <c r="EG262" s="184">
        <f t="shared" si="583"/>
        <v>0</v>
      </c>
      <c r="EH262" s="184">
        <f t="shared" si="583"/>
        <v>0</v>
      </c>
      <c r="EI262" s="184">
        <f t="shared" si="583"/>
        <v>0</v>
      </c>
      <c r="EJ262" s="184">
        <f t="shared" ref="EJ262:EQ262" si="584">EJ259+EJ260-EJ261</f>
        <v>0</v>
      </c>
      <c r="EK262" s="184">
        <f t="shared" si="584"/>
        <v>0</v>
      </c>
      <c r="EL262" s="184">
        <f t="shared" si="584"/>
        <v>0</v>
      </c>
      <c r="EM262" s="184">
        <f t="shared" si="584"/>
        <v>0</v>
      </c>
      <c r="EN262" s="184">
        <f t="shared" si="584"/>
        <v>0</v>
      </c>
      <c r="EO262" s="184">
        <f t="shared" si="584"/>
        <v>0</v>
      </c>
      <c r="EP262" s="184">
        <f t="shared" si="584"/>
        <v>0</v>
      </c>
      <c r="EQ262" s="184">
        <f t="shared" si="584"/>
        <v>0</v>
      </c>
    </row>
    <row r="263" spans="3:147" ht="11.25" customHeight="1">
      <c r="C263" s="218"/>
      <c r="D263" s="158" t="s">
        <v>1028</v>
      </c>
      <c r="E263" s="159"/>
      <c r="F263" s="159"/>
      <c r="G263" s="159"/>
      <c r="H263" s="160"/>
      <c r="I263" s="219"/>
      <c r="J263" s="220"/>
      <c r="K263" s="98"/>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162"/>
      <c r="AK263" s="162"/>
      <c r="AL263" s="162"/>
      <c r="AM263" s="162"/>
      <c r="AN263" s="162"/>
      <c r="AO263" s="162"/>
      <c r="AP263" s="162"/>
      <c r="AQ263" s="162"/>
      <c r="AR263" s="162"/>
      <c r="AS263" s="162"/>
      <c r="AT263" s="162"/>
      <c r="AU263" s="162"/>
      <c r="AV263" s="162"/>
      <c r="AW263" s="162"/>
      <c r="AX263" s="162"/>
      <c r="AY263" s="162"/>
      <c r="AZ263" s="162"/>
      <c r="BA263" s="162"/>
      <c r="BB263" s="162"/>
      <c r="BC263" s="162"/>
      <c r="BD263" s="162"/>
      <c r="BE263" s="162"/>
      <c r="BF263" s="162"/>
      <c r="BG263" s="162"/>
      <c r="BH263" s="162"/>
      <c r="BI263" s="162"/>
      <c r="BJ263" s="162"/>
      <c r="BK263" s="162"/>
      <c r="BL263" s="162"/>
      <c r="BM263" s="162"/>
      <c r="BN263" s="162"/>
      <c r="BO263" s="162"/>
      <c r="BP263" s="162"/>
      <c r="BQ263" s="162"/>
      <c r="BR263" s="162"/>
      <c r="BS263" s="162"/>
      <c r="BT263" s="162"/>
      <c r="BU263" s="162"/>
      <c r="BV263" s="162"/>
      <c r="BW263" s="162"/>
      <c r="BX263" s="162"/>
      <c r="BY263" s="162"/>
      <c r="BZ263" s="162"/>
      <c r="CA263" s="162"/>
      <c r="CB263" s="162"/>
      <c r="CC263" s="162"/>
      <c r="CD263" s="162"/>
      <c r="CE263" s="162"/>
      <c r="CF263" s="162"/>
      <c r="CG263" s="162"/>
      <c r="CH263" s="162"/>
      <c r="CI263" s="162"/>
      <c r="CJ263" s="162"/>
      <c r="CK263" s="162"/>
      <c r="CL263" s="162"/>
      <c r="CM263" s="162"/>
      <c r="CN263" s="162"/>
      <c r="CO263" s="162"/>
      <c r="CP263" s="162"/>
      <c r="CQ263" s="162"/>
      <c r="CR263" s="162"/>
      <c r="CS263" s="162"/>
      <c r="CT263" s="162"/>
      <c r="CU263" s="162"/>
      <c r="CV263" s="162"/>
      <c r="CW263" s="162"/>
      <c r="CX263" s="162"/>
      <c r="CY263" s="162"/>
      <c r="CZ263" s="162"/>
      <c r="DA263" s="162"/>
      <c r="DB263" s="162"/>
      <c r="DC263" s="162"/>
      <c r="DD263" s="162"/>
      <c r="DE263" s="162"/>
      <c r="DF263" s="162"/>
      <c r="DG263" s="162"/>
      <c r="DH263" s="162"/>
      <c r="DI263" s="162"/>
      <c r="DJ263" s="162"/>
      <c r="DK263" s="162"/>
      <c r="DL263" s="162"/>
      <c r="DM263" s="162"/>
      <c r="DN263" s="162"/>
      <c r="DO263" s="162"/>
      <c r="DP263" s="162"/>
      <c r="DQ263" s="162"/>
      <c r="DR263" s="162"/>
      <c r="DS263" s="162"/>
      <c r="DT263" s="162"/>
      <c r="DU263" s="162"/>
      <c r="DV263" s="162"/>
      <c r="DW263" s="162"/>
      <c r="DX263" s="162"/>
      <c r="DY263" s="162"/>
      <c r="DZ263" s="162"/>
      <c r="EA263" s="162"/>
      <c r="EB263" s="162"/>
      <c r="EC263" s="162"/>
      <c r="ED263" s="1319"/>
      <c r="EE263" s="162"/>
      <c r="EF263" s="162"/>
      <c r="EG263" s="162"/>
      <c r="EH263" s="162"/>
      <c r="EI263" s="162"/>
      <c r="EJ263" s="162"/>
      <c r="EK263" s="162"/>
      <c r="EL263" s="162"/>
      <c r="EM263" s="162"/>
      <c r="EN263" s="162"/>
      <c r="EO263" s="162"/>
      <c r="EP263" s="162"/>
      <c r="EQ263" s="162"/>
    </row>
    <row r="264" spans="3:147" ht="11.25" customHeight="1">
      <c r="C264" s="218"/>
      <c r="D264" s="163"/>
      <c r="E264" s="164" t="s">
        <v>217</v>
      </c>
      <c r="F264" s="165"/>
      <c r="G264" s="165"/>
      <c r="H264" s="166"/>
      <c r="I264" s="221"/>
      <c r="J264" s="168"/>
      <c r="K264" s="98"/>
      <c r="L264" s="168">
        <f t="shared" ref="L264:BW264" si="585">K267</f>
        <v>0</v>
      </c>
      <c r="M264" s="168">
        <f t="shared" si="585"/>
        <v>2960000</v>
      </c>
      <c r="N264" s="168">
        <f t="shared" si="585"/>
        <v>2960000</v>
      </c>
      <c r="O264" s="168">
        <f t="shared" si="585"/>
        <v>2960000</v>
      </c>
      <c r="P264" s="168">
        <f t="shared" si="585"/>
        <v>2960000</v>
      </c>
      <c r="Q264" s="168">
        <f t="shared" si="585"/>
        <v>2960000</v>
      </c>
      <c r="R264" s="168">
        <f t="shared" si="585"/>
        <v>2960000</v>
      </c>
      <c r="S264" s="168">
        <f t="shared" si="585"/>
        <v>2960000</v>
      </c>
      <c r="T264" s="168">
        <f t="shared" si="585"/>
        <v>2960000</v>
      </c>
      <c r="U264" s="168">
        <f t="shared" si="585"/>
        <v>2960000</v>
      </c>
      <c r="V264" s="168">
        <f t="shared" si="585"/>
        <v>2960000</v>
      </c>
      <c r="W264" s="168">
        <f t="shared" si="585"/>
        <v>2960000</v>
      </c>
      <c r="X264" s="168">
        <f t="shared" si="585"/>
        <v>2960000</v>
      </c>
      <c r="Y264" s="168">
        <f t="shared" si="585"/>
        <v>2960000</v>
      </c>
      <c r="Z264" s="168">
        <f t="shared" si="585"/>
        <v>2960000</v>
      </c>
      <c r="AA264" s="168">
        <f t="shared" si="585"/>
        <v>2960000</v>
      </c>
      <c r="AB264" s="168">
        <f t="shared" si="585"/>
        <v>2960000</v>
      </c>
      <c r="AC264" s="168">
        <f t="shared" si="585"/>
        <v>2960000</v>
      </c>
      <c r="AD264" s="168">
        <f t="shared" si="585"/>
        <v>2960000</v>
      </c>
      <c r="AE264" s="168">
        <f t="shared" si="585"/>
        <v>2960000</v>
      </c>
      <c r="AF264" s="168">
        <f t="shared" si="585"/>
        <v>2960000</v>
      </c>
      <c r="AG264" s="168">
        <f t="shared" si="585"/>
        <v>2960000</v>
      </c>
      <c r="AH264" s="168">
        <f t="shared" si="585"/>
        <v>2960000</v>
      </c>
      <c r="AI264" s="168">
        <f t="shared" si="585"/>
        <v>2960000</v>
      </c>
      <c r="AJ264" s="168">
        <f t="shared" si="585"/>
        <v>2960000</v>
      </c>
      <c r="AK264" s="168">
        <f t="shared" si="585"/>
        <v>2960000</v>
      </c>
      <c r="AL264" s="168">
        <f t="shared" si="585"/>
        <v>2960000</v>
      </c>
      <c r="AM264" s="168">
        <f t="shared" si="585"/>
        <v>2960000</v>
      </c>
      <c r="AN264" s="168">
        <f t="shared" si="585"/>
        <v>2960000</v>
      </c>
      <c r="AO264" s="168">
        <f t="shared" si="585"/>
        <v>2960000</v>
      </c>
      <c r="AP264" s="168">
        <f t="shared" si="585"/>
        <v>2960000</v>
      </c>
      <c r="AQ264" s="168">
        <f t="shared" si="585"/>
        <v>2960000</v>
      </c>
      <c r="AR264" s="168">
        <f t="shared" si="585"/>
        <v>2960000</v>
      </c>
      <c r="AS264" s="168">
        <f t="shared" si="585"/>
        <v>2960000</v>
      </c>
      <c r="AT264" s="168">
        <f t="shared" si="585"/>
        <v>2960000</v>
      </c>
      <c r="AU264" s="168">
        <f t="shared" si="585"/>
        <v>2960000</v>
      </c>
      <c r="AV264" s="168">
        <f t="shared" si="585"/>
        <v>2960000</v>
      </c>
      <c r="AW264" s="168">
        <f t="shared" si="585"/>
        <v>2960000</v>
      </c>
      <c r="AX264" s="168">
        <f t="shared" si="585"/>
        <v>2960000</v>
      </c>
      <c r="AY264" s="168">
        <f t="shared" si="585"/>
        <v>2960000</v>
      </c>
      <c r="AZ264" s="168">
        <f t="shared" si="585"/>
        <v>2960000</v>
      </c>
      <c r="BA264" s="168">
        <f t="shared" si="585"/>
        <v>2960000</v>
      </c>
      <c r="BB264" s="168">
        <f t="shared" si="585"/>
        <v>2960000</v>
      </c>
      <c r="BC264" s="168">
        <f t="shared" si="585"/>
        <v>2960000</v>
      </c>
      <c r="BD264" s="168">
        <f t="shared" si="585"/>
        <v>2960000</v>
      </c>
      <c r="BE264" s="168">
        <f t="shared" si="585"/>
        <v>2960000</v>
      </c>
      <c r="BF264" s="168">
        <f t="shared" si="585"/>
        <v>2960000</v>
      </c>
      <c r="BG264" s="168">
        <f t="shared" si="585"/>
        <v>2960000</v>
      </c>
      <c r="BH264" s="168">
        <f t="shared" si="585"/>
        <v>2960000</v>
      </c>
      <c r="BI264" s="168">
        <f t="shared" si="585"/>
        <v>2960000</v>
      </c>
      <c r="BJ264" s="168">
        <f t="shared" si="585"/>
        <v>2960000</v>
      </c>
      <c r="BK264" s="168">
        <f t="shared" si="585"/>
        <v>2960000</v>
      </c>
      <c r="BL264" s="168">
        <f t="shared" si="585"/>
        <v>2960000</v>
      </c>
      <c r="BM264" s="168">
        <f t="shared" si="585"/>
        <v>2960000</v>
      </c>
      <c r="BN264" s="168">
        <f t="shared" si="585"/>
        <v>2960000</v>
      </c>
      <c r="BO264" s="168">
        <f t="shared" si="585"/>
        <v>2960000</v>
      </c>
      <c r="BP264" s="168">
        <f t="shared" si="585"/>
        <v>2960000</v>
      </c>
      <c r="BQ264" s="168">
        <f t="shared" si="585"/>
        <v>2960000</v>
      </c>
      <c r="BR264" s="168">
        <f t="shared" si="585"/>
        <v>2960000</v>
      </c>
      <c r="BS264" s="168">
        <f t="shared" si="585"/>
        <v>2960000</v>
      </c>
      <c r="BT264" s="168">
        <f t="shared" si="585"/>
        <v>2960000</v>
      </c>
      <c r="BU264" s="168">
        <f t="shared" si="585"/>
        <v>2960000</v>
      </c>
      <c r="BV264" s="168">
        <f t="shared" si="585"/>
        <v>2960000</v>
      </c>
      <c r="BW264" s="168">
        <f t="shared" si="585"/>
        <v>2960000</v>
      </c>
      <c r="BX264" s="168">
        <f t="shared" ref="BX264:DT264" si="586">BW267</f>
        <v>2960000</v>
      </c>
      <c r="BY264" s="168">
        <f t="shared" si="586"/>
        <v>2960000</v>
      </c>
      <c r="BZ264" s="168">
        <f t="shared" si="586"/>
        <v>2960000</v>
      </c>
      <c r="CA264" s="168">
        <f t="shared" si="586"/>
        <v>2960000</v>
      </c>
      <c r="CB264" s="168">
        <f t="shared" si="586"/>
        <v>2960000</v>
      </c>
      <c r="CC264" s="168">
        <f t="shared" si="586"/>
        <v>2960000</v>
      </c>
      <c r="CD264" s="168">
        <f t="shared" si="586"/>
        <v>2960000</v>
      </c>
      <c r="CE264" s="168">
        <f t="shared" si="586"/>
        <v>2960000</v>
      </c>
      <c r="CF264" s="168">
        <f t="shared" si="586"/>
        <v>2960000</v>
      </c>
      <c r="CG264" s="168">
        <f t="shared" si="586"/>
        <v>2960000</v>
      </c>
      <c r="CH264" s="168">
        <f t="shared" si="586"/>
        <v>2960000</v>
      </c>
      <c r="CI264" s="168">
        <f t="shared" si="586"/>
        <v>2960000</v>
      </c>
      <c r="CJ264" s="168">
        <f t="shared" si="586"/>
        <v>2960000</v>
      </c>
      <c r="CK264" s="168">
        <f t="shared" si="586"/>
        <v>2960000</v>
      </c>
      <c r="CL264" s="168">
        <f t="shared" si="586"/>
        <v>2960000</v>
      </c>
      <c r="CM264" s="168">
        <f t="shared" si="586"/>
        <v>2960000</v>
      </c>
      <c r="CN264" s="168">
        <f t="shared" si="586"/>
        <v>2960000</v>
      </c>
      <c r="CO264" s="168">
        <f t="shared" si="586"/>
        <v>2960000</v>
      </c>
      <c r="CP264" s="168">
        <f t="shared" si="586"/>
        <v>2960000</v>
      </c>
      <c r="CQ264" s="168">
        <f t="shared" si="586"/>
        <v>2960000</v>
      </c>
      <c r="CR264" s="168">
        <f t="shared" si="586"/>
        <v>2960000</v>
      </c>
      <c r="CS264" s="168">
        <f t="shared" si="586"/>
        <v>2960000</v>
      </c>
      <c r="CT264" s="168">
        <f t="shared" si="586"/>
        <v>2960000</v>
      </c>
      <c r="CU264" s="168">
        <f t="shared" si="586"/>
        <v>2960000</v>
      </c>
      <c r="CV264" s="168">
        <f t="shared" si="586"/>
        <v>2960000</v>
      </c>
      <c r="CW264" s="168">
        <f t="shared" si="586"/>
        <v>2960000</v>
      </c>
      <c r="CX264" s="168">
        <f t="shared" si="586"/>
        <v>2960000</v>
      </c>
      <c r="CY264" s="168">
        <f t="shared" si="586"/>
        <v>2960000</v>
      </c>
      <c r="CZ264" s="168">
        <f t="shared" si="586"/>
        <v>2960000</v>
      </c>
      <c r="DA264" s="168">
        <f t="shared" si="586"/>
        <v>2960000</v>
      </c>
      <c r="DB264" s="168">
        <f t="shared" si="586"/>
        <v>2960000</v>
      </c>
      <c r="DC264" s="168">
        <f t="shared" si="586"/>
        <v>2960000</v>
      </c>
      <c r="DD264" s="168">
        <f t="shared" si="586"/>
        <v>2960000</v>
      </c>
      <c r="DE264" s="168">
        <f t="shared" si="586"/>
        <v>2960000</v>
      </c>
      <c r="DF264" s="168">
        <f t="shared" si="586"/>
        <v>2960000</v>
      </c>
      <c r="DG264" s="168">
        <f t="shared" si="586"/>
        <v>2960000</v>
      </c>
      <c r="DH264" s="168">
        <f t="shared" si="586"/>
        <v>2960000</v>
      </c>
      <c r="DI264" s="168">
        <f t="shared" si="586"/>
        <v>2960000</v>
      </c>
      <c r="DJ264" s="168">
        <f t="shared" si="586"/>
        <v>2960000</v>
      </c>
      <c r="DK264" s="168">
        <f t="shared" si="586"/>
        <v>2960000</v>
      </c>
      <c r="DL264" s="168">
        <f t="shared" si="586"/>
        <v>2960000</v>
      </c>
      <c r="DM264" s="168">
        <f t="shared" si="586"/>
        <v>2960000</v>
      </c>
      <c r="DN264" s="168">
        <f t="shared" si="586"/>
        <v>2960000</v>
      </c>
      <c r="DO264" s="168">
        <f t="shared" si="586"/>
        <v>2960000</v>
      </c>
      <c r="DP264" s="168">
        <f t="shared" si="586"/>
        <v>2960000</v>
      </c>
      <c r="DQ264" s="168">
        <f t="shared" si="586"/>
        <v>2960000</v>
      </c>
      <c r="DR264" s="168">
        <f t="shared" si="586"/>
        <v>2960000</v>
      </c>
      <c r="DS264" s="168">
        <f t="shared" si="586"/>
        <v>2960000</v>
      </c>
      <c r="DT264" s="168">
        <f t="shared" si="586"/>
        <v>2960000</v>
      </c>
      <c r="DU264" s="168">
        <f t="shared" ref="DU264:EQ264" si="587">DT267</f>
        <v>2960000</v>
      </c>
      <c r="DV264" s="168">
        <f t="shared" si="587"/>
        <v>2960000</v>
      </c>
      <c r="DW264" s="168">
        <f t="shared" si="587"/>
        <v>2960000</v>
      </c>
      <c r="DX264" s="168">
        <f t="shared" si="587"/>
        <v>2960000</v>
      </c>
      <c r="DY264" s="168">
        <f t="shared" si="587"/>
        <v>2960000</v>
      </c>
      <c r="DZ264" s="168">
        <f t="shared" si="587"/>
        <v>2960000</v>
      </c>
      <c r="EA264" s="168">
        <f t="shared" si="587"/>
        <v>2960000</v>
      </c>
      <c r="EB264" s="168">
        <f t="shared" si="587"/>
        <v>2960000</v>
      </c>
      <c r="EC264" s="168">
        <f t="shared" si="587"/>
        <v>0</v>
      </c>
      <c r="ED264" s="1320">
        <f t="shared" si="587"/>
        <v>0</v>
      </c>
      <c r="EE264" s="168">
        <f t="shared" si="587"/>
        <v>0</v>
      </c>
      <c r="EF264" s="168">
        <f t="shared" si="587"/>
        <v>0</v>
      </c>
      <c r="EG264" s="168">
        <f t="shared" si="587"/>
        <v>0</v>
      </c>
      <c r="EH264" s="168">
        <f t="shared" si="587"/>
        <v>0</v>
      </c>
      <c r="EI264" s="168">
        <f t="shared" si="587"/>
        <v>0</v>
      </c>
      <c r="EJ264" s="168">
        <f t="shared" si="587"/>
        <v>0</v>
      </c>
      <c r="EK264" s="168">
        <f t="shared" si="587"/>
        <v>0</v>
      </c>
      <c r="EL264" s="168">
        <f t="shared" si="587"/>
        <v>0</v>
      </c>
      <c r="EM264" s="168">
        <f t="shared" si="587"/>
        <v>0</v>
      </c>
      <c r="EN264" s="168">
        <f t="shared" si="587"/>
        <v>0</v>
      </c>
      <c r="EO264" s="168">
        <f t="shared" si="587"/>
        <v>0</v>
      </c>
      <c r="EP264" s="168">
        <f t="shared" si="587"/>
        <v>0</v>
      </c>
      <c r="EQ264" s="168">
        <f t="shared" si="587"/>
        <v>0</v>
      </c>
    </row>
    <row r="265" spans="3:147" ht="11.25" customHeight="1">
      <c r="C265" s="218"/>
      <c r="D265" s="163"/>
      <c r="E265" s="169" t="s">
        <v>218</v>
      </c>
      <c r="H265" s="146">
        <f>'A&amp;R'!M44</f>
        <v>46326</v>
      </c>
      <c r="I265" s="13">
        <f>'A&amp;R'!S95</f>
        <v>2960000</v>
      </c>
      <c r="J265" s="171">
        <f>SUM(L265:EQ265)</f>
        <v>2960000</v>
      </c>
      <c r="K265" s="98"/>
      <c r="L265" s="171">
        <f>$I265*(L$231=$H265)</f>
        <v>2960000</v>
      </c>
      <c r="M265" s="171">
        <f t="shared" ref="M265:BX265" si="588">$I265*(M$231=$H265)</f>
        <v>0</v>
      </c>
      <c r="N265" s="171">
        <f t="shared" si="588"/>
        <v>0</v>
      </c>
      <c r="O265" s="171">
        <f t="shared" si="588"/>
        <v>0</v>
      </c>
      <c r="P265" s="171">
        <f t="shared" si="588"/>
        <v>0</v>
      </c>
      <c r="Q265" s="171">
        <f t="shared" si="588"/>
        <v>0</v>
      </c>
      <c r="R265" s="171">
        <f t="shared" si="588"/>
        <v>0</v>
      </c>
      <c r="S265" s="171">
        <f t="shared" si="588"/>
        <v>0</v>
      </c>
      <c r="T265" s="171">
        <f t="shared" si="588"/>
        <v>0</v>
      </c>
      <c r="U265" s="171">
        <f t="shared" si="588"/>
        <v>0</v>
      </c>
      <c r="V265" s="171">
        <f t="shared" si="588"/>
        <v>0</v>
      </c>
      <c r="W265" s="171">
        <f t="shared" si="588"/>
        <v>0</v>
      </c>
      <c r="X265" s="171">
        <f t="shared" si="588"/>
        <v>0</v>
      </c>
      <c r="Y265" s="171">
        <f t="shared" si="588"/>
        <v>0</v>
      </c>
      <c r="Z265" s="171">
        <f t="shared" si="588"/>
        <v>0</v>
      </c>
      <c r="AA265" s="171">
        <f t="shared" si="588"/>
        <v>0</v>
      </c>
      <c r="AB265" s="171">
        <f t="shared" si="588"/>
        <v>0</v>
      </c>
      <c r="AC265" s="171">
        <f t="shared" si="588"/>
        <v>0</v>
      </c>
      <c r="AD265" s="171">
        <f t="shared" si="588"/>
        <v>0</v>
      </c>
      <c r="AE265" s="171">
        <f t="shared" si="588"/>
        <v>0</v>
      </c>
      <c r="AF265" s="171">
        <f t="shared" si="588"/>
        <v>0</v>
      </c>
      <c r="AG265" s="171">
        <f t="shared" si="588"/>
        <v>0</v>
      </c>
      <c r="AH265" s="171">
        <f t="shared" si="588"/>
        <v>0</v>
      </c>
      <c r="AI265" s="171">
        <f t="shared" si="588"/>
        <v>0</v>
      </c>
      <c r="AJ265" s="171">
        <f t="shared" si="588"/>
        <v>0</v>
      </c>
      <c r="AK265" s="171">
        <f t="shared" si="588"/>
        <v>0</v>
      </c>
      <c r="AL265" s="171">
        <f t="shared" si="588"/>
        <v>0</v>
      </c>
      <c r="AM265" s="171">
        <f t="shared" si="588"/>
        <v>0</v>
      </c>
      <c r="AN265" s="171">
        <f t="shared" si="588"/>
        <v>0</v>
      </c>
      <c r="AO265" s="171">
        <f t="shared" si="588"/>
        <v>0</v>
      </c>
      <c r="AP265" s="171">
        <f t="shared" si="588"/>
        <v>0</v>
      </c>
      <c r="AQ265" s="171">
        <f t="shared" si="588"/>
        <v>0</v>
      </c>
      <c r="AR265" s="171">
        <f t="shared" si="588"/>
        <v>0</v>
      </c>
      <c r="AS265" s="171">
        <f t="shared" si="588"/>
        <v>0</v>
      </c>
      <c r="AT265" s="171">
        <f t="shared" si="588"/>
        <v>0</v>
      </c>
      <c r="AU265" s="171">
        <f t="shared" si="588"/>
        <v>0</v>
      </c>
      <c r="AV265" s="171">
        <f t="shared" si="588"/>
        <v>0</v>
      </c>
      <c r="AW265" s="171">
        <f t="shared" si="588"/>
        <v>0</v>
      </c>
      <c r="AX265" s="171">
        <f t="shared" si="588"/>
        <v>0</v>
      </c>
      <c r="AY265" s="171">
        <f t="shared" si="588"/>
        <v>0</v>
      </c>
      <c r="AZ265" s="171">
        <f t="shared" si="588"/>
        <v>0</v>
      </c>
      <c r="BA265" s="171">
        <f t="shared" si="588"/>
        <v>0</v>
      </c>
      <c r="BB265" s="171">
        <f t="shared" si="588"/>
        <v>0</v>
      </c>
      <c r="BC265" s="171">
        <f t="shared" si="588"/>
        <v>0</v>
      </c>
      <c r="BD265" s="171">
        <f t="shared" si="588"/>
        <v>0</v>
      </c>
      <c r="BE265" s="171">
        <f t="shared" si="588"/>
        <v>0</v>
      </c>
      <c r="BF265" s="171">
        <f t="shared" si="588"/>
        <v>0</v>
      </c>
      <c r="BG265" s="171">
        <f t="shared" si="588"/>
        <v>0</v>
      </c>
      <c r="BH265" s="171">
        <f t="shared" si="588"/>
        <v>0</v>
      </c>
      <c r="BI265" s="171">
        <f t="shared" si="588"/>
        <v>0</v>
      </c>
      <c r="BJ265" s="171">
        <f t="shared" si="588"/>
        <v>0</v>
      </c>
      <c r="BK265" s="171">
        <f t="shared" si="588"/>
        <v>0</v>
      </c>
      <c r="BL265" s="171">
        <f t="shared" si="588"/>
        <v>0</v>
      </c>
      <c r="BM265" s="171">
        <f t="shared" si="588"/>
        <v>0</v>
      </c>
      <c r="BN265" s="171">
        <f t="shared" si="588"/>
        <v>0</v>
      </c>
      <c r="BO265" s="171">
        <f t="shared" si="588"/>
        <v>0</v>
      </c>
      <c r="BP265" s="171">
        <f t="shared" si="588"/>
        <v>0</v>
      </c>
      <c r="BQ265" s="171">
        <f t="shared" si="588"/>
        <v>0</v>
      </c>
      <c r="BR265" s="171">
        <f t="shared" si="588"/>
        <v>0</v>
      </c>
      <c r="BS265" s="171">
        <f t="shared" si="588"/>
        <v>0</v>
      </c>
      <c r="BT265" s="171">
        <f t="shared" si="588"/>
        <v>0</v>
      </c>
      <c r="BU265" s="171">
        <f t="shared" si="588"/>
        <v>0</v>
      </c>
      <c r="BV265" s="171">
        <f t="shared" si="588"/>
        <v>0</v>
      </c>
      <c r="BW265" s="171">
        <f t="shared" si="588"/>
        <v>0</v>
      </c>
      <c r="BX265" s="171">
        <f t="shared" si="588"/>
        <v>0</v>
      </c>
      <c r="BY265" s="171">
        <f t="shared" ref="BY265:EJ265" si="589">$I265*(BY$231=$H265)</f>
        <v>0</v>
      </c>
      <c r="BZ265" s="171">
        <f t="shared" si="589"/>
        <v>0</v>
      </c>
      <c r="CA265" s="171">
        <f t="shared" si="589"/>
        <v>0</v>
      </c>
      <c r="CB265" s="171">
        <f t="shared" si="589"/>
        <v>0</v>
      </c>
      <c r="CC265" s="171">
        <f t="shared" si="589"/>
        <v>0</v>
      </c>
      <c r="CD265" s="171">
        <f t="shared" si="589"/>
        <v>0</v>
      </c>
      <c r="CE265" s="171">
        <f t="shared" si="589"/>
        <v>0</v>
      </c>
      <c r="CF265" s="171">
        <f t="shared" si="589"/>
        <v>0</v>
      </c>
      <c r="CG265" s="171">
        <f t="shared" si="589"/>
        <v>0</v>
      </c>
      <c r="CH265" s="171">
        <f t="shared" si="589"/>
        <v>0</v>
      </c>
      <c r="CI265" s="171">
        <f t="shared" si="589"/>
        <v>0</v>
      </c>
      <c r="CJ265" s="171">
        <f t="shared" si="589"/>
        <v>0</v>
      </c>
      <c r="CK265" s="171">
        <f t="shared" si="589"/>
        <v>0</v>
      </c>
      <c r="CL265" s="171">
        <f t="shared" si="589"/>
        <v>0</v>
      </c>
      <c r="CM265" s="171">
        <f t="shared" si="589"/>
        <v>0</v>
      </c>
      <c r="CN265" s="171">
        <f t="shared" si="589"/>
        <v>0</v>
      </c>
      <c r="CO265" s="171">
        <f t="shared" si="589"/>
        <v>0</v>
      </c>
      <c r="CP265" s="171">
        <f t="shared" si="589"/>
        <v>0</v>
      </c>
      <c r="CQ265" s="171">
        <f t="shared" si="589"/>
        <v>0</v>
      </c>
      <c r="CR265" s="171">
        <f t="shared" si="589"/>
        <v>0</v>
      </c>
      <c r="CS265" s="171">
        <f t="shared" si="589"/>
        <v>0</v>
      </c>
      <c r="CT265" s="171">
        <f t="shared" si="589"/>
        <v>0</v>
      </c>
      <c r="CU265" s="171">
        <f t="shared" si="589"/>
        <v>0</v>
      </c>
      <c r="CV265" s="171">
        <f t="shared" si="589"/>
        <v>0</v>
      </c>
      <c r="CW265" s="171">
        <f t="shared" si="589"/>
        <v>0</v>
      </c>
      <c r="CX265" s="171">
        <f t="shared" si="589"/>
        <v>0</v>
      </c>
      <c r="CY265" s="171">
        <f t="shared" si="589"/>
        <v>0</v>
      </c>
      <c r="CZ265" s="171">
        <f t="shared" si="589"/>
        <v>0</v>
      </c>
      <c r="DA265" s="171">
        <f t="shared" si="589"/>
        <v>0</v>
      </c>
      <c r="DB265" s="171">
        <f t="shared" si="589"/>
        <v>0</v>
      </c>
      <c r="DC265" s="171">
        <f t="shared" si="589"/>
        <v>0</v>
      </c>
      <c r="DD265" s="171">
        <f t="shared" si="589"/>
        <v>0</v>
      </c>
      <c r="DE265" s="171">
        <f t="shared" si="589"/>
        <v>0</v>
      </c>
      <c r="DF265" s="171">
        <f t="shared" si="589"/>
        <v>0</v>
      </c>
      <c r="DG265" s="171">
        <f t="shared" si="589"/>
        <v>0</v>
      </c>
      <c r="DH265" s="171">
        <f t="shared" si="589"/>
        <v>0</v>
      </c>
      <c r="DI265" s="171">
        <f t="shared" si="589"/>
        <v>0</v>
      </c>
      <c r="DJ265" s="171">
        <f t="shared" si="589"/>
        <v>0</v>
      </c>
      <c r="DK265" s="171">
        <f t="shared" si="589"/>
        <v>0</v>
      </c>
      <c r="DL265" s="171">
        <f t="shared" si="589"/>
        <v>0</v>
      </c>
      <c r="DM265" s="171">
        <f t="shared" si="589"/>
        <v>0</v>
      </c>
      <c r="DN265" s="171">
        <f t="shared" si="589"/>
        <v>0</v>
      </c>
      <c r="DO265" s="171">
        <f t="shared" si="589"/>
        <v>0</v>
      </c>
      <c r="DP265" s="171">
        <f t="shared" si="589"/>
        <v>0</v>
      </c>
      <c r="DQ265" s="171">
        <f t="shared" si="589"/>
        <v>0</v>
      </c>
      <c r="DR265" s="171">
        <f t="shared" si="589"/>
        <v>0</v>
      </c>
      <c r="DS265" s="171">
        <f t="shared" si="589"/>
        <v>0</v>
      </c>
      <c r="DT265" s="171">
        <f t="shared" si="589"/>
        <v>0</v>
      </c>
      <c r="DU265" s="171">
        <f t="shared" si="589"/>
        <v>0</v>
      </c>
      <c r="DV265" s="171">
        <f t="shared" si="589"/>
        <v>0</v>
      </c>
      <c r="DW265" s="171">
        <f t="shared" si="589"/>
        <v>0</v>
      </c>
      <c r="DX265" s="171">
        <f t="shared" si="589"/>
        <v>0</v>
      </c>
      <c r="DY265" s="171">
        <f t="shared" si="589"/>
        <v>0</v>
      </c>
      <c r="DZ265" s="171">
        <f t="shared" si="589"/>
        <v>0</v>
      </c>
      <c r="EA265" s="171">
        <f t="shared" si="589"/>
        <v>0</v>
      </c>
      <c r="EB265" s="171">
        <f t="shared" si="589"/>
        <v>0</v>
      </c>
      <c r="EC265" s="171">
        <f t="shared" si="589"/>
        <v>0</v>
      </c>
      <c r="ED265" s="1321">
        <f t="shared" si="589"/>
        <v>0</v>
      </c>
      <c r="EE265" s="171">
        <f t="shared" si="589"/>
        <v>0</v>
      </c>
      <c r="EF265" s="171">
        <f t="shared" si="589"/>
        <v>0</v>
      </c>
      <c r="EG265" s="171">
        <f t="shared" si="589"/>
        <v>0</v>
      </c>
      <c r="EH265" s="171">
        <f t="shared" si="589"/>
        <v>0</v>
      </c>
      <c r="EI265" s="171">
        <f t="shared" si="589"/>
        <v>0</v>
      </c>
      <c r="EJ265" s="171">
        <f t="shared" si="589"/>
        <v>0</v>
      </c>
      <c r="EK265" s="171">
        <f t="shared" ref="EK265:EQ265" si="590">$I265*(EK$231=$H265)</f>
        <v>0</v>
      </c>
      <c r="EL265" s="171">
        <f t="shared" si="590"/>
        <v>0</v>
      </c>
      <c r="EM265" s="171">
        <f t="shared" si="590"/>
        <v>0</v>
      </c>
      <c r="EN265" s="171">
        <f t="shared" si="590"/>
        <v>0</v>
      </c>
      <c r="EO265" s="171">
        <f t="shared" si="590"/>
        <v>0</v>
      </c>
      <c r="EP265" s="171">
        <f t="shared" si="590"/>
        <v>0</v>
      </c>
      <c r="EQ265" s="171">
        <f t="shared" si="590"/>
        <v>0</v>
      </c>
    </row>
    <row r="266" spans="3:147" ht="11.25" customHeight="1">
      <c r="C266" s="218"/>
      <c r="D266" s="163"/>
      <c r="E266" s="169" t="s">
        <v>219</v>
      </c>
      <c r="I266" s="134"/>
      <c r="J266" s="171">
        <f>SUM(L266:EQ266)</f>
        <v>2960000</v>
      </c>
      <c r="K266" s="98"/>
      <c r="L266" s="171">
        <f>SUM(L264:L265)*Index!L$42</f>
        <v>0</v>
      </c>
      <c r="M266" s="171">
        <f>SUM(M264:M265)*Index!M$42</f>
        <v>0</v>
      </c>
      <c r="N266" s="171">
        <f>SUM(N264:N265)*Index!N$42</f>
        <v>0</v>
      </c>
      <c r="O266" s="171">
        <f>SUM(O264:O265)*Index!O$42</f>
        <v>0</v>
      </c>
      <c r="P266" s="171">
        <f>SUM(P264:P265)*Index!P$42</f>
        <v>0</v>
      </c>
      <c r="Q266" s="171">
        <f>SUM(Q264:Q265)*Index!Q$42</f>
        <v>0</v>
      </c>
      <c r="R266" s="171">
        <f>SUM(R264:R265)*Index!R$42</f>
        <v>0</v>
      </c>
      <c r="S266" s="171">
        <f>SUM(S264:S265)*Index!S$42</f>
        <v>0</v>
      </c>
      <c r="T266" s="171">
        <f>SUM(T264:T265)*Index!T$42</f>
        <v>0</v>
      </c>
      <c r="U266" s="171">
        <f>SUM(U264:U265)*Index!U$42</f>
        <v>0</v>
      </c>
      <c r="V266" s="171">
        <f>SUM(V264:V265)*Index!V$42</f>
        <v>0</v>
      </c>
      <c r="W266" s="171">
        <f>SUM(W264:W265)*Index!W$42</f>
        <v>0</v>
      </c>
      <c r="X266" s="171">
        <f>SUM(X264:X265)*Index!X$42</f>
        <v>0</v>
      </c>
      <c r="Y266" s="171">
        <f>SUM(Y264:Y265)*Index!Y$42</f>
        <v>0</v>
      </c>
      <c r="Z266" s="171">
        <f>SUM(Z264:Z265)*Index!Z$42</f>
        <v>0</v>
      </c>
      <c r="AA266" s="171">
        <f>SUM(AA264:AA265)*Index!AA$42</f>
        <v>0</v>
      </c>
      <c r="AB266" s="171">
        <f>SUM(AB264:AB265)*Index!AB$42</f>
        <v>0</v>
      </c>
      <c r="AC266" s="171">
        <f>SUM(AC264:AC265)*Index!AC$42</f>
        <v>0</v>
      </c>
      <c r="AD266" s="171">
        <f>SUM(AD264:AD265)*Index!AD$42</f>
        <v>0</v>
      </c>
      <c r="AE266" s="171">
        <f>SUM(AE264:AE265)*Index!AE$42</f>
        <v>0</v>
      </c>
      <c r="AF266" s="171">
        <f>SUM(AF264:AF265)*Index!AF$42</f>
        <v>0</v>
      </c>
      <c r="AG266" s="171">
        <f>SUM(AG264:AG265)*Index!AG$42</f>
        <v>0</v>
      </c>
      <c r="AH266" s="171">
        <f>SUM(AH264:AH265)*Index!AH$42</f>
        <v>0</v>
      </c>
      <c r="AI266" s="171">
        <f>SUM(AI264:AI265)*Index!AI$42</f>
        <v>0</v>
      </c>
      <c r="AJ266" s="171">
        <f>SUM(AJ264:AJ265)*Index!AJ$42</f>
        <v>0</v>
      </c>
      <c r="AK266" s="171">
        <f>SUM(AK264:AK265)*Index!AK$42</f>
        <v>0</v>
      </c>
      <c r="AL266" s="171">
        <f>SUM(AL264:AL265)*Index!AL$42</f>
        <v>0</v>
      </c>
      <c r="AM266" s="171">
        <f>SUM(AM264:AM265)*Index!AM$42</f>
        <v>0</v>
      </c>
      <c r="AN266" s="171">
        <f>SUM(AN264:AN265)*Index!AN$42</f>
        <v>0</v>
      </c>
      <c r="AO266" s="171">
        <f>SUM(AO264:AO265)*Index!AO$42</f>
        <v>0</v>
      </c>
      <c r="AP266" s="171">
        <f>SUM(AP264:AP265)*Index!AP$42</f>
        <v>0</v>
      </c>
      <c r="AQ266" s="171">
        <f>SUM(AQ264:AQ265)*Index!AQ$42</f>
        <v>0</v>
      </c>
      <c r="AR266" s="171">
        <f>SUM(AR264:AR265)*Index!AR$42</f>
        <v>0</v>
      </c>
      <c r="AS266" s="171">
        <f>SUM(AS264:AS265)*Index!AS$42</f>
        <v>0</v>
      </c>
      <c r="AT266" s="171">
        <f>SUM(AT264:AT265)*Index!AT$42</f>
        <v>0</v>
      </c>
      <c r="AU266" s="171">
        <f>SUM(AU264:AU265)*Index!AU$42</f>
        <v>0</v>
      </c>
      <c r="AV266" s="171">
        <f>SUM(AV264:AV265)*Index!AV$42</f>
        <v>0</v>
      </c>
      <c r="AW266" s="171">
        <f>SUM(AW264:AW265)*Index!AW$42</f>
        <v>0</v>
      </c>
      <c r="AX266" s="171">
        <f>SUM(AX264:AX265)*Index!AX$42</f>
        <v>0</v>
      </c>
      <c r="AY266" s="171">
        <f>SUM(AY264:AY265)*Index!AY$42</f>
        <v>0</v>
      </c>
      <c r="AZ266" s="171">
        <f>SUM(AZ264:AZ265)*Index!AZ$42</f>
        <v>0</v>
      </c>
      <c r="BA266" s="171">
        <f>SUM(BA264:BA265)*Index!BA$42</f>
        <v>0</v>
      </c>
      <c r="BB266" s="171">
        <f>SUM(BB264:BB265)*Index!BB$42</f>
        <v>0</v>
      </c>
      <c r="BC266" s="171">
        <f>SUM(BC264:BC265)*Index!BC$42</f>
        <v>0</v>
      </c>
      <c r="BD266" s="171">
        <f>SUM(BD264:BD265)*Index!BD$42</f>
        <v>0</v>
      </c>
      <c r="BE266" s="171">
        <f>SUM(BE264:BE265)*Index!BE$42</f>
        <v>0</v>
      </c>
      <c r="BF266" s="171">
        <f>SUM(BF264:BF265)*Index!BF$42</f>
        <v>0</v>
      </c>
      <c r="BG266" s="171">
        <f>SUM(BG264:BG265)*Index!BG$42</f>
        <v>0</v>
      </c>
      <c r="BH266" s="171">
        <f>SUM(BH264:BH265)*Index!BH$42</f>
        <v>0</v>
      </c>
      <c r="BI266" s="171">
        <f>SUM(BI264:BI265)*Index!BI$42</f>
        <v>0</v>
      </c>
      <c r="BJ266" s="171">
        <f>SUM(BJ264:BJ265)*Index!BJ$42</f>
        <v>0</v>
      </c>
      <c r="BK266" s="171">
        <f>SUM(BK264:BK265)*Index!BK$42</f>
        <v>0</v>
      </c>
      <c r="BL266" s="171">
        <f>SUM(BL264:BL265)*Index!BL$42</f>
        <v>0</v>
      </c>
      <c r="BM266" s="171">
        <f>SUM(BM264:BM265)*Index!BM$42</f>
        <v>0</v>
      </c>
      <c r="BN266" s="171">
        <f>SUM(BN264:BN265)*Index!BN$42</f>
        <v>0</v>
      </c>
      <c r="BO266" s="171">
        <f>SUM(BO264:BO265)*Index!BO$42</f>
        <v>0</v>
      </c>
      <c r="BP266" s="171">
        <f>SUM(BP264:BP265)*Index!BP$42</f>
        <v>0</v>
      </c>
      <c r="BQ266" s="171">
        <f>SUM(BQ264:BQ265)*Index!BQ$42</f>
        <v>0</v>
      </c>
      <c r="BR266" s="171">
        <f>SUM(BR264:BR265)*Index!BR$42</f>
        <v>0</v>
      </c>
      <c r="BS266" s="171">
        <f>SUM(BS264:BS265)*Index!BS$42</f>
        <v>0</v>
      </c>
      <c r="BT266" s="171">
        <f>SUM(BT264:BT265)*Index!BT$42</f>
        <v>0</v>
      </c>
      <c r="BU266" s="171">
        <f>SUM(BU264:BU265)*Index!BU$42</f>
        <v>0</v>
      </c>
      <c r="BV266" s="171">
        <f>SUM(BV264:BV265)*Index!BV$42</f>
        <v>0</v>
      </c>
      <c r="BW266" s="171">
        <f>SUM(BW264:BW265)*Index!BW$42</f>
        <v>0</v>
      </c>
      <c r="BX266" s="171">
        <f>SUM(BX264:BX265)*Index!BX$42</f>
        <v>0</v>
      </c>
      <c r="BY266" s="171">
        <f>SUM(BY264:BY265)*Index!BY$42</f>
        <v>0</v>
      </c>
      <c r="BZ266" s="171">
        <f>SUM(BZ264:BZ265)*Index!BZ$42</f>
        <v>0</v>
      </c>
      <c r="CA266" s="171">
        <f>SUM(CA264:CA265)*Index!CA$42</f>
        <v>0</v>
      </c>
      <c r="CB266" s="171">
        <f>SUM(CB264:CB265)*Index!CB$42</f>
        <v>0</v>
      </c>
      <c r="CC266" s="171">
        <f>SUM(CC264:CC265)*Index!CC$42</f>
        <v>0</v>
      </c>
      <c r="CD266" s="171">
        <f>SUM(CD264:CD265)*Index!CD$42</f>
        <v>0</v>
      </c>
      <c r="CE266" s="171">
        <f>SUM(CE264:CE265)*Index!CE$42</f>
        <v>0</v>
      </c>
      <c r="CF266" s="171">
        <f>SUM(CF264:CF265)*Index!CF$42</f>
        <v>0</v>
      </c>
      <c r="CG266" s="171">
        <f>SUM(CG264:CG265)*Index!CG$42</f>
        <v>0</v>
      </c>
      <c r="CH266" s="171">
        <f>SUM(CH264:CH265)*Index!CH$42</f>
        <v>0</v>
      </c>
      <c r="CI266" s="171">
        <f>SUM(CI264:CI265)*Index!CI$42</f>
        <v>0</v>
      </c>
      <c r="CJ266" s="171">
        <f>SUM(CJ264:CJ265)*Index!CJ$42</f>
        <v>0</v>
      </c>
      <c r="CK266" s="171">
        <f>SUM(CK264:CK265)*Index!CK$42</f>
        <v>0</v>
      </c>
      <c r="CL266" s="171">
        <f>SUM(CL264:CL265)*Index!CL$42</f>
        <v>0</v>
      </c>
      <c r="CM266" s="171">
        <f>SUM(CM264:CM265)*Index!CM$42</f>
        <v>0</v>
      </c>
      <c r="CN266" s="171">
        <f>SUM(CN264:CN265)*Index!CN$42</f>
        <v>0</v>
      </c>
      <c r="CO266" s="171">
        <f>SUM(CO264:CO265)*Index!CO$42</f>
        <v>0</v>
      </c>
      <c r="CP266" s="171">
        <f>SUM(CP264:CP265)*Index!CP$42</f>
        <v>0</v>
      </c>
      <c r="CQ266" s="171">
        <f>SUM(CQ264:CQ265)*Index!CQ$42</f>
        <v>0</v>
      </c>
      <c r="CR266" s="171">
        <f>SUM(CR264:CR265)*Index!CR$42</f>
        <v>0</v>
      </c>
      <c r="CS266" s="171">
        <f>SUM(CS264:CS265)*Index!CS$42</f>
        <v>0</v>
      </c>
      <c r="CT266" s="171">
        <f>SUM(CT264:CT265)*Index!CT$42</f>
        <v>0</v>
      </c>
      <c r="CU266" s="171">
        <f>SUM(CU264:CU265)*Index!CU$42</f>
        <v>0</v>
      </c>
      <c r="CV266" s="171">
        <f>SUM(CV264:CV265)*Index!CV$42</f>
        <v>0</v>
      </c>
      <c r="CW266" s="171">
        <f>SUM(CW264:CW265)*Index!CW$42</f>
        <v>0</v>
      </c>
      <c r="CX266" s="171">
        <f>SUM(CX264:CX265)*Index!CX$42</f>
        <v>0</v>
      </c>
      <c r="CY266" s="171">
        <f>SUM(CY264:CY265)*Index!CY$42</f>
        <v>0</v>
      </c>
      <c r="CZ266" s="171">
        <f>SUM(CZ264:CZ265)*Index!CZ$42</f>
        <v>0</v>
      </c>
      <c r="DA266" s="171">
        <f>SUM(DA264:DA265)*Index!DA$42</f>
        <v>0</v>
      </c>
      <c r="DB266" s="171">
        <f>SUM(DB264:DB265)*Index!DB$42</f>
        <v>0</v>
      </c>
      <c r="DC266" s="171">
        <f>SUM(DC264:DC265)*Index!DC$42</f>
        <v>0</v>
      </c>
      <c r="DD266" s="171">
        <f>SUM(DD264:DD265)*Index!DD$42</f>
        <v>0</v>
      </c>
      <c r="DE266" s="171">
        <f>SUM(DE264:DE265)*Index!DE$42</f>
        <v>0</v>
      </c>
      <c r="DF266" s="171">
        <f>SUM(DF264:DF265)*Index!DF$42</f>
        <v>0</v>
      </c>
      <c r="DG266" s="171">
        <f>SUM(DG264:DG265)*Index!DG$42</f>
        <v>0</v>
      </c>
      <c r="DH266" s="171">
        <f>SUM(DH264:DH265)*Index!DH$42</f>
        <v>0</v>
      </c>
      <c r="DI266" s="171">
        <f>SUM(DI264:DI265)*Index!DI$42</f>
        <v>0</v>
      </c>
      <c r="DJ266" s="171">
        <f>SUM(DJ264:DJ265)*Index!DJ$42</f>
        <v>0</v>
      </c>
      <c r="DK266" s="171">
        <f>SUM(DK264:DK265)*Index!DK$42</f>
        <v>0</v>
      </c>
      <c r="DL266" s="171">
        <f>SUM(DL264:DL265)*Index!DL$42</f>
        <v>0</v>
      </c>
      <c r="DM266" s="171">
        <f>SUM(DM264:DM265)*Index!DM$42</f>
        <v>0</v>
      </c>
      <c r="DN266" s="171">
        <f>SUM(DN264:DN265)*Index!DN$42</f>
        <v>0</v>
      </c>
      <c r="DO266" s="171">
        <f>SUM(DO264:DO265)*Index!DO$42</f>
        <v>0</v>
      </c>
      <c r="DP266" s="171">
        <f>SUM(DP264:DP265)*Index!DP$42</f>
        <v>0</v>
      </c>
      <c r="DQ266" s="171">
        <f>SUM(DQ264:DQ265)*Index!DQ$42</f>
        <v>0</v>
      </c>
      <c r="DR266" s="171">
        <f>SUM(DR264:DR265)*Index!DR$42</f>
        <v>0</v>
      </c>
      <c r="DS266" s="171">
        <f>SUM(DS264:DS265)*Index!DS$42</f>
        <v>0</v>
      </c>
      <c r="DT266" s="171">
        <f>SUM(DT264:DT265)*Index!DT$42</f>
        <v>0</v>
      </c>
      <c r="DU266" s="171">
        <f>SUM(DU264:DU265)*Index!DU$42</f>
        <v>0</v>
      </c>
      <c r="DV266" s="171">
        <f>SUM(DV264:DV265)*Index!DV$42</f>
        <v>0</v>
      </c>
      <c r="DW266" s="171">
        <f>SUM(DW264:DW265)*Index!DW$42</f>
        <v>0</v>
      </c>
      <c r="DX266" s="171">
        <f>SUM(DX264:DX265)*Index!DX$42</f>
        <v>0</v>
      </c>
      <c r="DY266" s="171">
        <f>SUM(DY264:DY265)*Index!DY$42</f>
        <v>0</v>
      </c>
      <c r="DZ266" s="171">
        <f>SUM(DZ264:DZ265)*Index!DZ$42</f>
        <v>0</v>
      </c>
      <c r="EA266" s="171">
        <f>SUM(EA264:EA265)*Index!EA$42</f>
        <v>0</v>
      </c>
      <c r="EB266" s="171">
        <f>SUM(EB264:EB265)*Index!EB$42</f>
        <v>2960000</v>
      </c>
      <c r="EC266" s="171">
        <f>SUM(EC264:EC265)*Index!EC$42</f>
        <v>0</v>
      </c>
      <c r="ED266" s="1321">
        <f>SUM(ED264:ED265)*Index!ED$42</f>
        <v>0</v>
      </c>
      <c r="EE266" s="171">
        <f>SUM(EE264:EE265)*Index!EE$42</f>
        <v>0</v>
      </c>
      <c r="EF266" s="171">
        <f>SUM(EF264:EF265)*Index!EF$42</f>
        <v>0</v>
      </c>
      <c r="EG266" s="171">
        <f>SUM(EG264:EG265)*Index!EG$42</f>
        <v>0</v>
      </c>
      <c r="EH266" s="171">
        <f>SUM(EH264:EH265)*Index!EH$42</f>
        <v>0</v>
      </c>
      <c r="EI266" s="171">
        <f>SUM(EI264:EI265)*Index!EI$42</f>
        <v>0</v>
      </c>
      <c r="EJ266" s="171">
        <f>SUM(EJ264:EJ265)*Index!EJ$42</f>
        <v>0</v>
      </c>
      <c r="EK266" s="171">
        <f>SUM(EK264:EK265)*Index!EK$42</f>
        <v>0</v>
      </c>
      <c r="EL266" s="171">
        <f>SUM(EL264:EL265)*Index!EL$42</f>
        <v>0</v>
      </c>
      <c r="EM266" s="171">
        <f>SUM(EM264:EM265)*Index!EM$42</f>
        <v>0</v>
      </c>
      <c r="EN266" s="171">
        <f>SUM(EN264:EN265)*Index!EN$42</f>
        <v>0</v>
      </c>
      <c r="EO266" s="171">
        <f>SUM(EO264:EO265)*Index!EO$42</f>
        <v>0</v>
      </c>
      <c r="EP266" s="171">
        <f>SUM(EP264:EP265)*Index!EP$42</f>
        <v>0</v>
      </c>
      <c r="EQ266" s="171">
        <f>SUM(EQ264:EQ265)*Index!EQ$42</f>
        <v>0</v>
      </c>
    </row>
    <row r="267" spans="3:147" ht="11.25" customHeight="1">
      <c r="C267" s="244"/>
      <c r="D267" s="178"/>
      <c r="E267" s="179" t="s">
        <v>220</v>
      </c>
      <c r="F267" s="180"/>
      <c r="G267" s="180"/>
      <c r="H267" s="182"/>
      <c r="I267" s="245"/>
      <c r="J267" s="184"/>
      <c r="K267" s="98"/>
      <c r="L267" s="184">
        <f t="shared" ref="L267:AQ267" si="591">L264+L265-L266</f>
        <v>2960000</v>
      </c>
      <c r="M267" s="184">
        <f t="shared" si="591"/>
        <v>2960000</v>
      </c>
      <c r="N267" s="184">
        <f t="shared" si="591"/>
        <v>2960000</v>
      </c>
      <c r="O267" s="184">
        <f t="shared" si="591"/>
        <v>2960000</v>
      </c>
      <c r="P267" s="184">
        <f t="shared" si="591"/>
        <v>2960000</v>
      </c>
      <c r="Q267" s="184">
        <f t="shared" si="591"/>
        <v>2960000</v>
      </c>
      <c r="R267" s="184">
        <f t="shared" si="591"/>
        <v>2960000</v>
      </c>
      <c r="S267" s="184">
        <f t="shared" si="591"/>
        <v>2960000</v>
      </c>
      <c r="T267" s="184">
        <f t="shared" si="591"/>
        <v>2960000</v>
      </c>
      <c r="U267" s="184">
        <f t="shared" si="591"/>
        <v>2960000</v>
      </c>
      <c r="V267" s="184">
        <f t="shared" si="591"/>
        <v>2960000</v>
      </c>
      <c r="W267" s="184">
        <f t="shared" si="591"/>
        <v>2960000</v>
      </c>
      <c r="X267" s="184">
        <f t="shared" si="591"/>
        <v>2960000</v>
      </c>
      <c r="Y267" s="184">
        <f t="shared" si="591"/>
        <v>2960000</v>
      </c>
      <c r="Z267" s="184">
        <f t="shared" si="591"/>
        <v>2960000</v>
      </c>
      <c r="AA267" s="184">
        <f t="shared" si="591"/>
        <v>2960000</v>
      </c>
      <c r="AB267" s="184">
        <f t="shared" si="591"/>
        <v>2960000</v>
      </c>
      <c r="AC267" s="184">
        <f t="shared" si="591"/>
        <v>2960000</v>
      </c>
      <c r="AD267" s="184">
        <f t="shared" si="591"/>
        <v>2960000</v>
      </c>
      <c r="AE267" s="184">
        <f t="shared" si="591"/>
        <v>2960000</v>
      </c>
      <c r="AF267" s="184">
        <f t="shared" si="591"/>
        <v>2960000</v>
      </c>
      <c r="AG267" s="184">
        <f t="shared" si="591"/>
        <v>2960000</v>
      </c>
      <c r="AH267" s="184">
        <f t="shared" si="591"/>
        <v>2960000</v>
      </c>
      <c r="AI267" s="184">
        <f t="shared" si="591"/>
        <v>2960000</v>
      </c>
      <c r="AJ267" s="184">
        <f t="shared" si="591"/>
        <v>2960000</v>
      </c>
      <c r="AK267" s="184">
        <f t="shared" si="591"/>
        <v>2960000</v>
      </c>
      <c r="AL267" s="184">
        <f t="shared" si="591"/>
        <v>2960000</v>
      </c>
      <c r="AM267" s="184">
        <f t="shared" si="591"/>
        <v>2960000</v>
      </c>
      <c r="AN267" s="184">
        <f t="shared" si="591"/>
        <v>2960000</v>
      </c>
      <c r="AO267" s="184">
        <f t="shared" si="591"/>
        <v>2960000</v>
      </c>
      <c r="AP267" s="184">
        <f t="shared" si="591"/>
        <v>2960000</v>
      </c>
      <c r="AQ267" s="184">
        <f t="shared" si="591"/>
        <v>2960000</v>
      </c>
      <c r="AR267" s="184">
        <f t="shared" ref="AR267:BW267" si="592">AR264+AR265-AR266</f>
        <v>2960000</v>
      </c>
      <c r="AS267" s="184">
        <f t="shared" si="592"/>
        <v>2960000</v>
      </c>
      <c r="AT267" s="184">
        <f t="shared" si="592"/>
        <v>2960000</v>
      </c>
      <c r="AU267" s="184">
        <f t="shared" si="592"/>
        <v>2960000</v>
      </c>
      <c r="AV267" s="184">
        <f t="shared" si="592"/>
        <v>2960000</v>
      </c>
      <c r="AW267" s="184">
        <f t="shared" si="592"/>
        <v>2960000</v>
      </c>
      <c r="AX267" s="184">
        <f t="shared" si="592"/>
        <v>2960000</v>
      </c>
      <c r="AY267" s="184">
        <f t="shared" si="592"/>
        <v>2960000</v>
      </c>
      <c r="AZ267" s="184">
        <f t="shared" si="592"/>
        <v>2960000</v>
      </c>
      <c r="BA267" s="184">
        <f t="shared" si="592"/>
        <v>2960000</v>
      </c>
      <c r="BB267" s="184">
        <f t="shared" si="592"/>
        <v>2960000</v>
      </c>
      <c r="BC267" s="184">
        <f t="shared" si="592"/>
        <v>2960000</v>
      </c>
      <c r="BD267" s="184">
        <f t="shared" si="592"/>
        <v>2960000</v>
      </c>
      <c r="BE267" s="184">
        <f t="shared" si="592"/>
        <v>2960000</v>
      </c>
      <c r="BF267" s="184">
        <f t="shared" si="592"/>
        <v>2960000</v>
      </c>
      <c r="BG267" s="184">
        <f t="shared" si="592"/>
        <v>2960000</v>
      </c>
      <c r="BH267" s="184">
        <f t="shared" si="592"/>
        <v>2960000</v>
      </c>
      <c r="BI267" s="184">
        <f t="shared" si="592"/>
        <v>2960000</v>
      </c>
      <c r="BJ267" s="184">
        <f t="shared" si="592"/>
        <v>2960000</v>
      </c>
      <c r="BK267" s="184">
        <f t="shared" si="592"/>
        <v>2960000</v>
      </c>
      <c r="BL267" s="184">
        <f t="shared" si="592"/>
        <v>2960000</v>
      </c>
      <c r="BM267" s="184">
        <f t="shared" si="592"/>
        <v>2960000</v>
      </c>
      <c r="BN267" s="184">
        <f t="shared" si="592"/>
        <v>2960000</v>
      </c>
      <c r="BO267" s="184">
        <f t="shared" si="592"/>
        <v>2960000</v>
      </c>
      <c r="BP267" s="184">
        <f t="shared" si="592"/>
        <v>2960000</v>
      </c>
      <c r="BQ267" s="184">
        <f t="shared" si="592"/>
        <v>2960000</v>
      </c>
      <c r="BR267" s="184">
        <f t="shared" si="592"/>
        <v>2960000</v>
      </c>
      <c r="BS267" s="184">
        <f t="shared" si="592"/>
        <v>2960000</v>
      </c>
      <c r="BT267" s="184">
        <f t="shared" si="592"/>
        <v>2960000</v>
      </c>
      <c r="BU267" s="184">
        <f t="shared" si="592"/>
        <v>2960000</v>
      </c>
      <c r="BV267" s="184">
        <f t="shared" si="592"/>
        <v>2960000</v>
      </c>
      <c r="BW267" s="184">
        <f t="shared" si="592"/>
        <v>2960000</v>
      </c>
      <c r="BX267" s="184">
        <f t="shared" ref="BX267:DC267" si="593">BX264+BX265-BX266</f>
        <v>2960000</v>
      </c>
      <c r="BY267" s="184">
        <f t="shared" si="593"/>
        <v>2960000</v>
      </c>
      <c r="BZ267" s="184">
        <f t="shared" si="593"/>
        <v>2960000</v>
      </c>
      <c r="CA267" s="184">
        <f t="shared" si="593"/>
        <v>2960000</v>
      </c>
      <c r="CB267" s="184">
        <f t="shared" si="593"/>
        <v>2960000</v>
      </c>
      <c r="CC267" s="184">
        <f t="shared" si="593"/>
        <v>2960000</v>
      </c>
      <c r="CD267" s="184">
        <f t="shared" si="593"/>
        <v>2960000</v>
      </c>
      <c r="CE267" s="184">
        <f t="shared" si="593"/>
        <v>2960000</v>
      </c>
      <c r="CF267" s="184">
        <f t="shared" si="593"/>
        <v>2960000</v>
      </c>
      <c r="CG267" s="184">
        <f t="shared" si="593"/>
        <v>2960000</v>
      </c>
      <c r="CH267" s="184">
        <f t="shared" si="593"/>
        <v>2960000</v>
      </c>
      <c r="CI267" s="184">
        <f t="shared" si="593"/>
        <v>2960000</v>
      </c>
      <c r="CJ267" s="184">
        <f t="shared" si="593"/>
        <v>2960000</v>
      </c>
      <c r="CK267" s="184">
        <f t="shared" si="593"/>
        <v>2960000</v>
      </c>
      <c r="CL267" s="184">
        <f t="shared" si="593"/>
        <v>2960000</v>
      </c>
      <c r="CM267" s="184">
        <f t="shared" si="593"/>
        <v>2960000</v>
      </c>
      <c r="CN267" s="184">
        <f t="shared" si="593"/>
        <v>2960000</v>
      </c>
      <c r="CO267" s="184">
        <f t="shared" si="593"/>
        <v>2960000</v>
      </c>
      <c r="CP267" s="184">
        <f t="shared" si="593"/>
        <v>2960000</v>
      </c>
      <c r="CQ267" s="184">
        <f t="shared" si="593"/>
        <v>2960000</v>
      </c>
      <c r="CR267" s="184">
        <f t="shared" si="593"/>
        <v>2960000</v>
      </c>
      <c r="CS267" s="184">
        <f t="shared" si="593"/>
        <v>2960000</v>
      </c>
      <c r="CT267" s="184">
        <f t="shared" si="593"/>
        <v>2960000</v>
      </c>
      <c r="CU267" s="184">
        <f t="shared" si="593"/>
        <v>2960000</v>
      </c>
      <c r="CV267" s="184">
        <f t="shared" si="593"/>
        <v>2960000</v>
      </c>
      <c r="CW267" s="184">
        <f t="shared" si="593"/>
        <v>2960000</v>
      </c>
      <c r="CX267" s="184">
        <f t="shared" si="593"/>
        <v>2960000</v>
      </c>
      <c r="CY267" s="184">
        <f t="shared" si="593"/>
        <v>2960000</v>
      </c>
      <c r="CZ267" s="184">
        <f t="shared" si="593"/>
        <v>2960000</v>
      </c>
      <c r="DA267" s="184">
        <f t="shared" si="593"/>
        <v>2960000</v>
      </c>
      <c r="DB267" s="184">
        <f t="shared" si="593"/>
        <v>2960000</v>
      </c>
      <c r="DC267" s="184">
        <f t="shared" si="593"/>
        <v>2960000</v>
      </c>
      <c r="DD267" s="184">
        <f t="shared" ref="DD267:DT267" si="594">DD264+DD265-DD266</f>
        <v>2960000</v>
      </c>
      <c r="DE267" s="184">
        <f t="shared" si="594"/>
        <v>2960000</v>
      </c>
      <c r="DF267" s="184">
        <f t="shared" si="594"/>
        <v>2960000</v>
      </c>
      <c r="DG267" s="184">
        <f t="shared" si="594"/>
        <v>2960000</v>
      </c>
      <c r="DH267" s="184">
        <f t="shared" si="594"/>
        <v>2960000</v>
      </c>
      <c r="DI267" s="184">
        <f t="shared" si="594"/>
        <v>2960000</v>
      </c>
      <c r="DJ267" s="184">
        <f t="shared" si="594"/>
        <v>2960000</v>
      </c>
      <c r="DK267" s="184">
        <f t="shared" si="594"/>
        <v>2960000</v>
      </c>
      <c r="DL267" s="184">
        <f t="shared" si="594"/>
        <v>2960000</v>
      </c>
      <c r="DM267" s="184">
        <f t="shared" si="594"/>
        <v>2960000</v>
      </c>
      <c r="DN267" s="184">
        <f t="shared" si="594"/>
        <v>2960000</v>
      </c>
      <c r="DO267" s="184">
        <f t="shared" si="594"/>
        <v>2960000</v>
      </c>
      <c r="DP267" s="184">
        <f t="shared" si="594"/>
        <v>2960000</v>
      </c>
      <c r="DQ267" s="184">
        <f t="shared" si="594"/>
        <v>2960000</v>
      </c>
      <c r="DR267" s="184">
        <f t="shared" si="594"/>
        <v>2960000</v>
      </c>
      <c r="DS267" s="184">
        <f t="shared" si="594"/>
        <v>2960000</v>
      </c>
      <c r="DT267" s="184">
        <f t="shared" si="594"/>
        <v>2960000</v>
      </c>
      <c r="DU267" s="184">
        <f t="shared" ref="DU267:EA267" si="595">DU264+DU265-DU266</f>
        <v>2960000</v>
      </c>
      <c r="DV267" s="184">
        <f t="shared" si="595"/>
        <v>2960000</v>
      </c>
      <c r="DW267" s="184">
        <f t="shared" si="595"/>
        <v>2960000</v>
      </c>
      <c r="DX267" s="184">
        <f t="shared" si="595"/>
        <v>2960000</v>
      </c>
      <c r="DY267" s="184">
        <f t="shared" si="595"/>
        <v>2960000</v>
      </c>
      <c r="DZ267" s="184">
        <f t="shared" si="595"/>
        <v>2960000</v>
      </c>
      <c r="EA267" s="184">
        <f t="shared" si="595"/>
        <v>2960000</v>
      </c>
      <c r="EB267" s="184">
        <f t="shared" ref="EB267:EQ267" si="596">EB264+EB265-EB266</f>
        <v>0</v>
      </c>
      <c r="EC267" s="184">
        <f t="shared" si="596"/>
        <v>0</v>
      </c>
      <c r="ED267" s="1324">
        <f t="shared" si="596"/>
        <v>0</v>
      </c>
      <c r="EE267" s="184">
        <f t="shared" si="596"/>
        <v>0</v>
      </c>
      <c r="EF267" s="184">
        <f t="shared" si="596"/>
        <v>0</v>
      </c>
      <c r="EG267" s="184">
        <f t="shared" si="596"/>
        <v>0</v>
      </c>
      <c r="EH267" s="184">
        <f t="shared" si="596"/>
        <v>0</v>
      </c>
      <c r="EI267" s="184">
        <f t="shared" si="596"/>
        <v>0</v>
      </c>
      <c r="EJ267" s="184">
        <f t="shared" si="596"/>
        <v>0</v>
      </c>
      <c r="EK267" s="184">
        <f t="shared" si="596"/>
        <v>0</v>
      </c>
      <c r="EL267" s="184">
        <f t="shared" si="596"/>
        <v>0</v>
      </c>
      <c r="EM267" s="184">
        <f t="shared" si="596"/>
        <v>0</v>
      </c>
      <c r="EN267" s="184">
        <f t="shared" si="596"/>
        <v>0</v>
      </c>
      <c r="EO267" s="184">
        <f t="shared" si="596"/>
        <v>0</v>
      </c>
      <c r="EP267" s="184">
        <f t="shared" si="596"/>
        <v>0</v>
      </c>
      <c r="EQ267" s="184">
        <f t="shared" si="596"/>
        <v>0</v>
      </c>
    </row>
    <row r="268" spans="3:147" ht="11.25" customHeight="1">
      <c r="C268" s="218"/>
      <c r="D268" s="158" t="s">
        <v>1029</v>
      </c>
      <c r="E268" s="159"/>
      <c r="F268" s="159"/>
      <c r="G268" s="159"/>
      <c r="H268" s="160"/>
      <c r="I268" s="219"/>
      <c r="J268" s="220"/>
      <c r="K268" s="98"/>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162"/>
      <c r="AK268" s="162"/>
      <c r="AL268" s="162"/>
      <c r="AM268" s="162"/>
      <c r="AN268" s="162"/>
      <c r="AO268" s="162"/>
      <c r="AP268" s="162"/>
      <c r="AQ268" s="162"/>
      <c r="AR268" s="162"/>
      <c r="AS268" s="162"/>
      <c r="AT268" s="162"/>
      <c r="AU268" s="162"/>
      <c r="AV268" s="162"/>
      <c r="AW268" s="162"/>
      <c r="AX268" s="162"/>
      <c r="AY268" s="162"/>
      <c r="AZ268" s="162"/>
      <c r="BA268" s="162"/>
      <c r="BB268" s="162"/>
      <c r="BC268" s="162"/>
      <c r="BD268" s="162"/>
      <c r="BE268" s="162"/>
      <c r="BF268" s="162"/>
      <c r="BG268" s="162"/>
      <c r="BH268" s="162"/>
      <c r="BI268" s="162"/>
      <c r="BJ268" s="162"/>
      <c r="BK268" s="162"/>
      <c r="BL268" s="162"/>
      <c r="BM268" s="162"/>
      <c r="BN268" s="162"/>
      <c r="BO268" s="162"/>
      <c r="BP268" s="162"/>
      <c r="BQ268" s="162"/>
      <c r="BR268" s="162"/>
      <c r="BS268" s="162"/>
      <c r="BT268" s="162"/>
      <c r="BU268" s="162"/>
      <c r="BV268" s="162"/>
      <c r="BW268" s="162"/>
      <c r="BX268" s="162"/>
      <c r="BY268" s="162"/>
      <c r="BZ268" s="162"/>
      <c r="CA268" s="162"/>
      <c r="CB268" s="162"/>
      <c r="CC268" s="162"/>
      <c r="CD268" s="162"/>
      <c r="CE268" s="162"/>
      <c r="CF268" s="162"/>
      <c r="CG268" s="162"/>
      <c r="CH268" s="162"/>
      <c r="CI268" s="162"/>
      <c r="CJ268" s="162"/>
      <c r="CK268" s="162"/>
      <c r="CL268" s="162"/>
      <c r="CM268" s="162"/>
      <c r="CN268" s="162"/>
      <c r="CO268" s="162"/>
      <c r="CP268" s="162"/>
      <c r="CQ268" s="162"/>
      <c r="CR268" s="162"/>
      <c r="CS268" s="162"/>
      <c r="CT268" s="162"/>
      <c r="CU268" s="162"/>
      <c r="CV268" s="162"/>
      <c r="CW268" s="162"/>
      <c r="CX268" s="162"/>
      <c r="CY268" s="162"/>
      <c r="CZ268" s="162"/>
      <c r="DA268" s="162"/>
      <c r="DB268" s="162"/>
      <c r="DC268" s="162"/>
      <c r="DD268" s="162"/>
      <c r="DE268" s="162"/>
      <c r="DF268" s="162"/>
      <c r="DG268" s="162"/>
      <c r="DH268" s="162"/>
      <c r="DI268" s="162"/>
      <c r="DJ268" s="162"/>
      <c r="DK268" s="162"/>
      <c r="DL268" s="162"/>
      <c r="DM268" s="162"/>
      <c r="DN268" s="162"/>
      <c r="DO268" s="162"/>
      <c r="DP268" s="162"/>
      <c r="DQ268" s="162"/>
      <c r="DR268" s="162"/>
      <c r="DS268" s="162"/>
      <c r="DT268" s="162"/>
      <c r="DU268" s="162"/>
      <c r="DV268" s="162"/>
      <c r="DW268" s="162"/>
      <c r="DX268" s="162"/>
      <c r="DY268" s="162"/>
      <c r="DZ268" s="162"/>
      <c r="EA268" s="162"/>
      <c r="EB268" s="162"/>
      <c r="EC268" s="162"/>
      <c r="ED268" s="1319"/>
      <c r="EE268" s="162"/>
      <c r="EF268" s="162"/>
      <c r="EG268" s="162"/>
      <c r="EH268" s="162"/>
      <c r="EI268" s="162"/>
      <c r="EJ268" s="162"/>
      <c r="EK268" s="162"/>
      <c r="EL268" s="162"/>
      <c r="EM268" s="162"/>
      <c r="EN268" s="162"/>
      <c r="EO268" s="162"/>
      <c r="EP268" s="162"/>
      <c r="EQ268" s="162"/>
    </row>
    <row r="269" spans="3:147" ht="11.25" customHeight="1">
      <c r="C269" s="218"/>
      <c r="D269" s="163"/>
      <c r="E269" s="164" t="s">
        <v>230</v>
      </c>
      <c r="F269" s="165"/>
      <c r="G269" s="165"/>
      <c r="H269" s="166"/>
      <c r="I269" s="221"/>
      <c r="J269" s="168"/>
      <c r="K269" s="98"/>
      <c r="L269" s="168">
        <f t="shared" ref="L269:BW269" si="597">K272</f>
        <v>0</v>
      </c>
      <c r="M269" s="168">
        <f t="shared" si="597"/>
        <v>11840000</v>
      </c>
      <c r="N269" s="168">
        <f t="shared" si="597"/>
        <v>11840000</v>
      </c>
      <c r="O269" s="168">
        <f t="shared" si="597"/>
        <v>11840000</v>
      </c>
      <c r="P269" s="168">
        <f t="shared" si="597"/>
        <v>11840000</v>
      </c>
      <c r="Q269" s="168">
        <f t="shared" si="597"/>
        <v>11840000</v>
      </c>
      <c r="R269" s="168">
        <f t="shared" si="597"/>
        <v>11840000</v>
      </c>
      <c r="S269" s="168">
        <f t="shared" si="597"/>
        <v>11840000</v>
      </c>
      <c r="T269" s="168">
        <f t="shared" si="597"/>
        <v>11840000</v>
      </c>
      <c r="U269" s="168">
        <f t="shared" si="597"/>
        <v>11840000</v>
      </c>
      <c r="V269" s="168">
        <f t="shared" si="597"/>
        <v>11840000</v>
      </c>
      <c r="W269" s="168">
        <f t="shared" si="597"/>
        <v>11840000</v>
      </c>
      <c r="X269" s="168">
        <f t="shared" si="597"/>
        <v>11840000</v>
      </c>
      <c r="Y269" s="168">
        <f t="shared" si="597"/>
        <v>11840000</v>
      </c>
      <c r="Z269" s="168">
        <f t="shared" si="597"/>
        <v>11840000</v>
      </c>
      <c r="AA269" s="168">
        <f t="shared" si="597"/>
        <v>11840000</v>
      </c>
      <c r="AB269" s="168">
        <f t="shared" si="597"/>
        <v>11840000</v>
      </c>
      <c r="AC269" s="168">
        <f t="shared" si="597"/>
        <v>11840000</v>
      </c>
      <c r="AD269" s="168">
        <f t="shared" si="597"/>
        <v>11840000</v>
      </c>
      <c r="AE269" s="168">
        <f t="shared" si="597"/>
        <v>11840000</v>
      </c>
      <c r="AF269" s="168">
        <f t="shared" si="597"/>
        <v>11840000</v>
      </c>
      <c r="AG269" s="168">
        <f t="shared" si="597"/>
        <v>11840000</v>
      </c>
      <c r="AH269" s="168">
        <f t="shared" si="597"/>
        <v>11840000</v>
      </c>
      <c r="AI269" s="168">
        <f t="shared" si="597"/>
        <v>11840000</v>
      </c>
      <c r="AJ269" s="168">
        <f t="shared" si="597"/>
        <v>11840000</v>
      </c>
      <c r="AK269" s="168">
        <f t="shared" si="597"/>
        <v>11840000</v>
      </c>
      <c r="AL269" s="168">
        <f t="shared" si="597"/>
        <v>11840000</v>
      </c>
      <c r="AM269" s="168">
        <f t="shared" si="597"/>
        <v>11840000</v>
      </c>
      <c r="AN269" s="168">
        <f t="shared" si="597"/>
        <v>11840000</v>
      </c>
      <c r="AO269" s="168">
        <f t="shared" si="597"/>
        <v>11840000</v>
      </c>
      <c r="AP269" s="168">
        <f t="shared" si="597"/>
        <v>11840000</v>
      </c>
      <c r="AQ269" s="168">
        <f t="shared" si="597"/>
        <v>11840000</v>
      </c>
      <c r="AR269" s="168">
        <f t="shared" si="597"/>
        <v>11840000</v>
      </c>
      <c r="AS269" s="168">
        <f t="shared" si="597"/>
        <v>11840000</v>
      </c>
      <c r="AT269" s="168">
        <f t="shared" si="597"/>
        <v>11840000</v>
      </c>
      <c r="AU269" s="168">
        <f t="shared" si="597"/>
        <v>11840000</v>
      </c>
      <c r="AV269" s="168">
        <f t="shared" si="597"/>
        <v>11840000</v>
      </c>
      <c r="AW269" s="168">
        <f t="shared" si="597"/>
        <v>11840000</v>
      </c>
      <c r="AX269" s="168">
        <f t="shared" si="597"/>
        <v>11840000</v>
      </c>
      <c r="AY269" s="168">
        <f t="shared" si="597"/>
        <v>11840000</v>
      </c>
      <c r="AZ269" s="168">
        <f t="shared" si="597"/>
        <v>11840000</v>
      </c>
      <c r="BA269" s="168">
        <f t="shared" si="597"/>
        <v>11840000</v>
      </c>
      <c r="BB269" s="168">
        <f t="shared" si="597"/>
        <v>11840000</v>
      </c>
      <c r="BC269" s="168">
        <f t="shared" si="597"/>
        <v>11840000</v>
      </c>
      <c r="BD269" s="168">
        <f t="shared" si="597"/>
        <v>11840000</v>
      </c>
      <c r="BE269" s="168">
        <f t="shared" si="597"/>
        <v>11840000</v>
      </c>
      <c r="BF269" s="168">
        <f t="shared" si="597"/>
        <v>11840000</v>
      </c>
      <c r="BG269" s="168">
        <f t="shared" si="597"/>
        <v>11840000</v>
      </c>
      <c r="BH269" s="168">
        <f t="shared" si="597"/>
        <v>11840000</v>
      </c>
      <c r="BI269" s="168">
        <f t="shared" si="597"/>
        <v>11840000</v>
      </c>
      <c r="BJ269" s="168">
        <f t="shared" si="597"/>
        <v>11840000</v>
      </c>
      <c r="BK269" s="168">
        <f t="shared" si="597"/>
        <v>11840000</v>
      </c>
      <c r="BL269" s="168">
        <f t="shared" si="597"/>
        <v>11840000</v>
      </c>
      <c r="BM269" s="168">
        <f t="shared" si="597"/>
        <v>11840000</v>
      </c>
      <c r="BN269" s="168">
        <f t="shared" si="597"/>
        <v>11840000</v>
      </c>
      <c r="BO269" s="168">
        <f t="shared" si="597"/>
        <v>11840000</v>
      </c>
      <c r="BP269" s="168">
        <f t="shared" si="597"/>
        <v>11840000</v>
      </c>
      <c r="BQ269" s="168">
        <f t="shared" si="597"/>
        <v>11840000</v>
      </c>
      <c r="BR269" s="168">
        <f t="shared" si="597"/>
        <v>11840000</v>
      </c>
      <c r="BS269" s="168">
        <f t="shared" si="597"/>
        <v>11840000</v>
      </c>
      <c r="BT269" s="168">
        <f t="shared" si="597"/>
        <v>11840000</v>
      </c>
      <c r="BU269" s="168">
        <f t="shared" si="597"/>
        <v>11840000</v>
      </c>
      <c r="BV269" s="168">
        <f t="shared" si="597"/>
        <v>11840000</v>
      </c>
      <c r="BW269" s="168">
        <f t="shared" si="597"/>
        <v>11840000</v>
      </c>
      <c r="BX269" s="168">
        <f t="shared" ref="BX269:DT269" si="598">BW272</f>
        <v>11840000</v>
      </c>
      <c r="BY269" s="168">
        <f t="shared" si="598"/>
        <v>11840000</v>
      </c>
      <c r="BZ269" s="168">
        <f t="shared" si="598"/>
        <v>11840000</v>
      </c>
      <c r="CA269" s="168">
        <f t="shared" si="598"/>
        <v>11840000</v>
      </c>
      <c r="CB269" s="168">
        <f t="shared" si="598"/>
        <v>11840000</v>
      </c>
      <c r="CC269" s="168">
        <f t="shared" si="598"/>
        <v>11840000</v>
      </c>
      <c r="CD269" s="168">
        <f t="shared" si="598"/>
        <v>11840000</v>
      </c>
      <c r="CE269" s="168">
        <f t="shared" si="598"/>
        <v>11840000</v>
      </c>
      <c r="CF269" s="168">
        <f t="shared" si="598"/>
        <v>11840000</v>
      </c>
      <c r="CG269" s="168">
        <f t="shared" si="598"/>
        <v>11840000</v>
      </c>
      <c r="CH269" s="168">
        <f t="shared" si="598"/>
        <v>11840000</v>
      </c>
      <c r="CI269" s="168">
        <f t="shared" si="598"/>
        <v>11840000</v>
      </c>
      <c r="CJ269" s="168">
        <f t="shared" si="598"/>
        <v>11840000</v>
      </c>
      <c r="CK269" s="168">
        <f t="shared" si="598"/>
        <v>11840000</v>
      </c>
      <c r="CL269" s="168">
        <f t="shared" si="598"/>
        <v>11840000</v>
      </c>
      <c r="CM269" s="168">
        <f t="shared" si="598"/>
        <v>11840000</v>
      </c>
      <c r="CN269" s="168">
        <f t="shared" si="598"/>
        <v>11840000</v>
      </c>
      <c r="CO269" s="168">
        <f t="shared" si="598"/>
        <v>11840000</v>
      </c>
      <c r="CP269" s="168">
        <f t="shared" si="598"/>
        <v>11840000</v>
      </c>
      <c r="CQ269" s="168">
        <f t="shared" si="598"/>
        <v>11840000</v>
      </c>
      <c r="CR269" s="168">
        <f t="shared" si="598"/>
        <v>11840000</v>
      </c>
      <c r="CS269" s="168">
        <f t="shared" si="598"/>
        <v>11840000</v>
      </c>
      <c r="CT269" s="168">
        <f t="shared" si="598"/>
        <v>11840000</v>
      </c>
      <c r="CU269" s="168">
        <f t="shared" si="598"/>
        <v>11840000</v>
      </c>
      <c r="CV269" s="168">
        <f t="shared" si="598"/>
        <v>11840000</v>
      </c>
      <c r="CW269" s="168">
        <f t="shared" si="598"/>
        <v>11840000</v>
      </c>
      <c r="CX269" s="168">
        <f t="shared" si="598"/>
        <v>11840000</v>
      </c>
      <c r="CY269" s="168">
        <f t="shared" si="598"/>
        <v>11840000</v>
      </c>
      <c r="CZ269" s="168">
        <f t="shared" si="598"/>
        <v>11840000</v>
      </c>
      <c r="DA269" s="168">
        <f t="shared" si="598"/>
        <v>11840000</v>
      </c>
      <c r="DB269" s="168">
        <f t="shared" si="598"/>
        <v>11840000</v>
      </c>
      <c r="DC269" s="168">
        <f t="shared" si="598"/>
        <v>11840000</v>
      </c>
      <c r="DD269" s="168">
        <f t="shared" si="598"/>
        <v>11840000</v>
      </c>
      <c r="DE269" s="168">
        <f t="shared" si="598"/>
        <v>11840000</v>
      </c>
      <c r="DF269" s="168">
        <f t="shared" si="598"/>
        <v>11840000</v>
      </c>
      <c r="DG269" s="168">
        <f t="shared" si="598"/>
        <v>11840000</v>
      </c>
      <c r="DH269" s="168">
        <f t="shared" si="598"/>
        <v>11840000</v>
      </c>
      <c r="DI269" s="168">
        <f t="shared" si="598"/>
        <v>11840000</v>
      </c>
      <c r="DJ269" s="168">
        <f t="shared" si="598"/>
        <v>11840000</v>
      </c>
      <c r="DK269" s="168">
        <f t="shared" si="598"/>
        <v>11840000</v>
      </c>
      <c r="DL269" s="168">
        <f t="shared" si="598"/>
        <v>11840000</v>
      </c>
      <c r="DM269" s="168">
        <f t="shared" si="598"/>
        <v>11840000</v>
      </c>
      <c r="DN269" s="168">
        <f t="shared" si="598"/>
        <v>11840000</v>
      </c>
      <c r="DO269" s="168">
        <f t="shared" si="598"/>
        <v>11840000</v>
      </c>
      <c r="DP269" s="168">
        <f t="shared" si="598"/>
        <v>11840000</v>
      </c>
      <c r="DQ269" s="168">
        <f t="shared" si="598"/>
        <v>11840000</v>
      </c>
      <c r="DR269" s="168">
        <f t="shared" si="598"/>
        <v>11840000</v>
      </c>
      <c r="DS269" s="168">
        <f t="shared" si="598"/>
        <v>11840000</v>
      </c>
      <c r="DT269" s="168">
        <f t="shared" si="598"/>
        <v>11840000</v>
      </c>
      <c r="DU269" s="168">
        <f t="shared" ref="DU269:EQ269" si="599">DT272</f>
        <v>11840000</v>
      </c>
      <c r="DV269" s="168">
        <f t="shared" si="599"/>
        <v>11840000</v>
      </c>
      <c r="DW269" s="168">
        <f t="shared" si="599"/>
        <v>11840000</v>
      </c>
      <c r="DX269" s="168">
        <f t="shared" si="599"/>
        <v>11840000</v>
      </c>
      <c r="DY269" s="168">
        <f t="shared" si="599"/>
        <v>11840000</v>
      </c>
      <c r="DZ269" s="168">
        <f t="shared" si="599"/>
        <v>11840000</v>
      </c>
      <c r="EA269" s="168">
        <f t="shared" si="599"/>
        <v>11840000</v>
      </c>
      <c r="EB269" s="168">
        <f t="shared" si="599"/>
        <v>11840000</v>
      </c>
      <c r="EC269" s="168">
        <f t="shared" si="599"/>
        <v>0</v>
      </c>
      <c r="ED269" s="1320">
        <f t="shared" si="599"/>
        <v>0</v>
      </c>
      <c r="EE269" s="168">
        <f t="shared" si="599"/>
        <v>0</v>
      </c>
      <c r="EF269" s="168">
        <f t="shared" si="599"/>
        <v>0</v>
      </c>
      <c r="EG269" s="168">
        <f t="shared" si="599"/>
        <v>0</v>
      </c>
      <c r="EH269" s="168">
        <f t="shared" si="599"/>
        <v>0</v>
      </c>
      <c r="EI269" s="168">
        <f t="shared" si="599"/>
        <v>0</v>
      </c>
      <c r="EJ269" s="168">
        <f t="shared" si="599"/>
        <v>0</v>
      </c>
      <c r="EK269" s="168">
        <f t="shared" si="599"/>
        <v>0</v>
      </c>
      <c r="EL269" s="168">
        <f t="shared" si="599"/>
        <v>0</v>
      </c>
      <c r="EM269" s="168">
        <f t="shared" si="599"/>
        <v>0</v>
      </c>
      <c r="EN269" s="168">
        <f t="shared" si="599"/>
        <v>0</v>
      </c>
      <c r="EO269" s="168">
        <f t="shared" si="599"/>
        <v>0</v>
      </c>
      <c r="EP269" s="168">
        <f t="shared" si="599"/>
        <v>0</v>
      </c>
      <c r="EQ269" s="168">
        <f t="shared" si="599"/>
        <v>0</v>
      </c>
    </row>
    <row r="270" spans="3:147" ht="11.25" customHeight="1">
      <c r="C270" s="218"/>
      <c r="D270" s="163"/>
      <c r="E270" s="169" t="s">
        <v>231</v>
      </c>
      <c r="J270" s="171">
        <f>SUM(L270:EQ270)</f>
        <v>11840000</v>
      </c>
      <c r="K270" s="98"/>
      <c r="L270" s="171">
        <f>L77+L84-L265</f>
        <v>11840000</v>
      </c>
      <c r="M270" s="171">
        <f t="shared" ref="M270:BX270" si="600">M77+M84-M265</f>
        <v>0</v>
      </c>
      <c r="N270" s="171">
        <f t="shared" si="600"/>
        <v>0</v>
      </c>
      <c r="O270" s="171">
        <f t="shared" si="600"/>
        <v>0</v>
      </c>
      <c r="P270" s="171">
        <f t="shared" si="600"/>
        <v>0</v>
      </c>
      <c r="Q270" s="171">
        <f t="shared" si="600"/>
        <v>0</v>
      </c>
      <c r="R270" s="171">
        <f t="shared" si="600"/>
        <v>0</v>
      </c>
      <c r="S270" s="171">
        <f t="shared" si="600"/>
        <v>0</v>
      </c>
      <c r="T270" s="171">
        <f t="shared" si="600"/>
        <v>0</v>
      </c>
      <c r="U270" s="171">
        <f t="shared" si="600"/>
        <v>0</v>
      </c>
      <c r="V270" s="171">
        <f t="shared" si="600"/>
        <v>0</v>
      </c>
      <c r="W270" s="171">
        <f t="shared" si="600"/>
        <v>0</v>
      </c>
      <c r="X270" s="171">
        <f t="shared" si="600"/>
        <v>0</v>
      </c>
      <c r="Y270" s="171">
        <f t="shared" si="600"/>
        <v>0</v>
      </c>
      <c r="Z270" s="171">
        <f t="shared" si="600"/>
        <v>0</v>
      </c>
      <c r="AA270" s="171">
        <f t="shared" si="600"/>
        <v>0</v>
      </c>
      <c r="AB270" s="171">
        <f t="shared" si="600"/>
        <v>0</v>
      </c>
      <c r="AC270" s="171">
        <f t="shared" si="600"/>
        <v>0</v>
      </c>
      <c r="AD270" s="171">
        <f t="shared" si="600"/>
        <v>0</v>
      </c>
      <c r="AE270" s="171">
        <f t="shared" si="600"/>
        <v>0</v>
      </c>
      <c r="AF270" s="171">
        <f t="shared" si="600"/>
        <v>0</v>
      </c>
      <c r="AG270" s="171">
        <f t="shared" si="600"/>
        <v>0</v>
      </c>
      <c r="AH270" s="171">
        <f t="shared" si="600"/>
        <v>0</v>
      </c>
      <c r="AI270" s="171">
        <f t="shared" si="600"/>
        <v>0</v>
      </c>
      <c r="AJ270" s="171">
        <f t="shared" si="600"/>
        <v>0</v>
      </c>
      <c r="AK270" s="171">
        <f t="shared" si="600"/>
        <v>0</v>
      </c>
      <c r="AL270" s="171">
        <f t="shared" si="600"/>
        <v>0</v>
      </c>
      <c r="AM270" s="171">
        <f t="shared" si="600"/>
        <v>0</v>
      </c>
      <c r="AN270" s="171">
        <f t="shared" si="600"/>
        <v>0</v>
      </c>
      <c r="AO270" s="171">
        <f t="shared" si="600"/>
        <v>0</v>
      </c>
      <c r="AP270" s="171">
        <f t="shared" si="600"/>
        <v>0</v>
      </c>
      <c r="AQ270" s="171">
        <f t="shared" si="600"/>
        <v>0</v>
      </c>
      <c r="AR270" s="171">
        <f t="shared" si="600"/>
        <v>0</v>
      </c>
      <c r="AS270" s="171">
        <f t="shared" si="600"/>
        <v>0</v>
      </c>
      <c r="AT270" s="171">
        <f t="shared" si="600"/>
        <v>0</v>
      </c>
      <c r="AU270" s="171">
        <f t="shared" si="600"/>
        <v>0</v>
      </c>
      <c r="AV270" s="171">
        <f t="shared" si="600"/>
        <v>0</v>
      </c>
      <c r="AW270" s="171">
        <f t="shared" si="600"/>
        <v>0</v>
      </c>
      <c r="AX270" s="171">
        <f t="shared" si="600"/>
        <v>0</v>
      </c>
      <c r="AY270" s="171">
        <f t="shared" si="600"/>
        <v>0</v>
      </c>
      <c r="AZ270" s="171">
        <f t="shared" si="600"/>
        <v>0</v>
      </c>
      <c r="BA270" s="171">
        <f t="shared" si="600"/>
        <v>0</v>
      </c>
      <c r="BB270" s="171">
        <f t="shared" si="600"/>
        <v>0</v>
      </c>
      <c r="BC270" s="171">
        <f t="shared" si="600"/>
        <v>0</v>
      </c>
      <c r="BD270" s="171">
        <f t="shared" si="600"/>
        <v>0</v>
      </c>
      <c r="BE270" s="171">
        <f t="shared" si="600"/>
        <v>0</v>
      </c>
      <c r="BF270" s="171">
        <f t="shared" si="600"/>
        <v>0</v>
      </c>
      <c r="BG270" s="171">
        <f t="shared" si="600"/>
        <v>0</v>
      </c>
      <c r="BH270" s="171">
        <f t="shared" si="600"/>
        <v>0</v>
      </c>
      <c r="BI270" s="171">
        <f t="shared" si="600"/>
        <v>0</v>
      </c>
      <c r="BJ270" s="171">
        <f t="shared" si="600"/>
        <v>0</v>
      </c>
      <c r="BK270" s="171">
        <f t="shared" si="600"/>
        <v>0</v>
      </c>
      <c r="BL270" s="171">
        <f t="shared" si="600"/>
        <v>0</v>
      </c>
      <c r="BM270" s="171">
        <f t="shared" si="600"/>
        <v>0</v>
      </c>
      <c r="BN270" s="171">
        <f t="shared" si="600"/>
        <v>0</v>
      </c>
      <c r="BO270" s="171">
        <f t="shared" si="600"/>
        <v>0</v>
      </c>
      <c r="BP270" s="171">
        <f t="shared" si="600"/>
        <v>0</v>
      </c>
      <c r="BQ270" s="171">
        <f t="shared" si="600"/>
        <v>0</v>
      </c>
      <c r="BR270" s="171">
        <f t="shared" si="600"/>
        <v>0</v>
      </c>
      <c r="BS270" s="171">
        <f t="shared" si="600"/>
        <v>0</v>
      </c>
      <c r="BT270" s="171">
        <f t="shared" si="600"/>
        <v>0</v>
      </c>
      <c r="BU270" s="171">
        <f t="shared" si="600"/>
        <v>0</v>
      </c>
      <c r="BV270" s="171">
        <f t="shared" si="600"/>
        <v>0</v>
      </c>
      <c r="BW270" s="171">
        <f t="shared" si="600"/>
        <v>0</v>
      </c>
      <c r="BX270" s="171">
        <f t="shared" si="600"/>
        <v>0</v>
      </c>
      <c r="BY270" s="171">
        <f t="shared" ref="BY270:DT270" si="601">BY77+BY84-BY265</f>
        <v>0</v>
      </c>
      <c r="BZ270" s="171">
        <f t="shared" si="601"/>
        <v>0</v>
      </c>
      <c r="CA270" s="171">
        <f t="shared" si="601"/>
        <v>0</v>
      </c>
      <c r="CB270" s="171">
        <f t="shared" si="601"/>
        <v>0</v>
      </c>
      <c r="CC270" s="171">
        <f t="shared" si="601"/>
        <v>0</v>
      </c>
      <c r="CD270" s="171">
        <f t="shared" si="601"/>
        <v>0</v>
      </c>
      <c r="CE270" s="171">
        <f t="shared" si="601"/>
        <v>0</v>
      </c>
      <c r="CF270" s="171">
        <f t="shared" si="601"/>
        <v>0</v>
      </c>
      <c r="CG270" s="171">
        <f t="shared" si="601"/>
        <v>0</v>
      </c>
      <c r="CH270" s="171">
        <f t="shared" si="601"/>
        <v>0</v>
      </c>
      <c r="CI270" s="171">
        <f t="shared" si="601"/>
        <v>0</v>
      </c>
      <c r="CJ270" s="171">
        <f t="shared" si="601"/>
        <v>0</v>
      </c>
      <c r="CK270" s="171">
        <f t="shared" si="601"/>
        <v>0</v>
      </c>
      <c r="CL270" s="171">
        <f t="shared" si="601"/>
        <v>0</v>
      </c>
      <c r="CM270" s="171">
        <f t="shared" si="601"/>
        <v>0</v>
      </c>
      <c r="CN270" s="171">
        <f t="shared" si="601"/>
        <v>0</v>
      </c>
      <c r="CO270" s="171">
        <f t="shared" si="601"/>
        <v>0</v>
      </c>
      <c r="CP270" s="171">
        <f t="shared" si="601"/>
        <v>0</v>
      </c>
      <c r="CQ270" s="171">
        <f t="shared" si="601"/>
        <v>0</v>
      </c>
      <c r="CR270" s="171">
        <f t="shared" si="601"/>
        <v>0</v>
      </c>
      <c r="CS270" s="171">
        <f t="shared" si="601"/>
        <v>0</v>
      </c>
      <c r="CT270" s="171">
        <f t="shared" si="601"/>
        <v>0</v>
      </c>
      <c r="CU270" s="171">
        <f t="shared" si="601"/>
        <v>0</v>
      </c>
      <c r="CV270" s="171">
        <f t="shared" si="601"/>
        <v>0</v>
      </c>
      <c r="CW270" s="171">
        <f t="shared" si="601"/>
        <v>0</v>
      </c>
      <c r="CX270" s="171">
        <f t="shared" si="601"/>
        <v>0</v>
      </c>
      <c r="CY270" s="171">
        <f t="shared" si="601"/>
        <v>0</v>
      </c>
      <c r="CZ270" s="171">
        <f t="shared" si="601"/>
        <v>0</v>
      </c>
      <c r="DA270" s="171">
        <f t="shared" si="601"/>
        <v>0</v>
      </c>
      <c r="DB270" s="171">
        <f t="shared" si="601"/>
        <v>0</v>
      </c>
      <c r="DC270" s="171">
        <f t="shared" si="601"/>
        <v>0</v>
      </c>
      <c r="DD270" s="171">
        <f t="shared" si="601"/>
        <v>0</v>
      </c>
      <c r="DE270" s="171">
        <f t="shared" si="601"/>
        <v>0</v>
      </c>
      <c r="DF270" s="171">
        <f t="shared" si="601"/>
        <v>0</v>
      </c>
      <c r="DG270" s="171">
        <f t="shared" si="601"/>
        <v>0</v>
      </c>
      <c r="DH270" s="171">
        <f t="shared" si="601"/>
        <v>0</v>
      </c>
      <c r="DI270" s="171">
        <f t="shared" si="601"/>
        <v>0</v>
      </c>
      <c r="DJ270" s="171">
        <f t="shared" si="601"/>
        <v>0</v>
      </c>
      <c r="DK270" s="171">
        <f t="shared" si="601"/>
        <v>0</v>
      </c>
      <c r="DL270" s="171">
        <f t="shared" si="601"/>
        <v>0</v>
      </c>
      <c r="DM270" s="171">
        <f t="shared" si="601"/>
        <v>0</v>
      </c>
      <c r="DN270" s="171">
        <f t="shared" si="601"/>
        <v>0</v>
      </c>
      <c r="DO270" s="171">
        <f t="shared" si="601"/>
        <v>0</v>
      </c>
      <c r="DP270" s="171">
        <f t="shared" si="601"/>
        <v>0</v>
      </c>
      <c r="DQ270" s="171">
        <f t="shared" si="601"/>
        <v>0</v>
      </c>
      <c r="DR270" s="171">
        <f t="shared" si="601"/>
        <v>0</v>
      </c>
      <c r="DS270" s="171">
        <f t="shared" si="601"/>
        <v>0</v>
      </c>
      <c r="DT270" s="171">
        <f t="shared" si="601"/>
        <v>0</v>
      </c>
      <c r="DU270" s="171">
        <f t="shared" ref="DU270:EA270" si="602">DU77+DU84-DU265</f>
        <v>0</v>
      </c>
      <c r="DV270" s="171">
        <f t="shared" si="602"/>
        <v>0</v>
      </c>
      <c r="DW270" s="171">
        <f t="shared" si="602"/>
        <v>0</v>
      </c>
      <c r="DX270" s="171">
        <f t="shared" si="602"/>
        <v>0</v>
      </c>
      <c r="DY270" s="171">
        <f t="shared" si="602"/>
        <v>0</v>
      </c>
      <c r="DZ270" s="171">
        <f t="shared" si="602"/>
        <v>0</v>
      </c>
      <c r="EA270" s="171">
        <f t="shared" si="602"/>
        <v>0</v>
      </c>
      <c r="EB270" s="171">
        <f t="shared" ref="EB270:EQ270" si="603">EB77+EB84-EB265</f>
        <v>0</v>
      </c>
      <c r="EC270" s="171">
        <f t="shared" si="603"/>
        <v>0</v>
      </c>
      <c r="ED270" s="1321">
        <f t="shared" si="603"/>
        <v>0</v>
      </c>
      <c r="EE270" s="171">
        <f t="shared" si="603"/>
        <v>0</v>
      </c>
      <c r="EF270" s="171">
        <f t="shared" si="603"/>
        <v>0</v>
      </c>
      <c r="EG270" s="171">
        <f t="shared" si="603"/>
        <v>0</v>
      </c>
      <c r="EH270" s="171">
        <f t="shared" si="603"/>
        <v>0</v>
      </c>
      <c r="EI270" s="171">
        <f t="shared" si="603"/>
        <v>0</v>
      </c>
      <c r="EJ270" s="171">
        <f t="shared" si="603"/>
        <v>0</v>
      </c>
      <c r="EK270" s="171">
        <f t="shared" si="603"/>
        <v>0</v>
      </c>
      <c r="EL270" s="171">
        <f t="shared" si="603"/>
        <v>0</v>
      </c>
      <c r="EM270" s="171">
        <f t="shared" si="603"/>
        <v>0</v>
      </c>
      <c r="EN270" s="171">
        <f t="shared" si="603"/>
        <v>0</v>
      </c>
      <c r="EO270" s="171">
        <f t="shared" si="603"/>
        <v>0</v>
      </c>
      <c r="EP270" s="171">
        <f t="shared" si="603"/>
        <v>0</v>
      </c>
      <c r="EQ270" s="171">
        <f t="shared" si="603"/>
        <v>0</v>
      </c>
    </row>
    <row r="271" spans="3:147" ht="11.25" customHeight="1">
      <c r="C271" s="218"/>
      <c r="D271" s="163"/>
      <c r="E271" s="169" t="s">
        <v>232</v>
      </c>
      <c r="I271" s="134"/>
      <c r="J271" s="171">
        <f>SUM(L271:EQ271)</f>
        <v>11840000</v>
      </c>
      <c r="K271" s="98"/>
      <c r="L271" s="171">
        <f>SUM(L269:L270)*Index!L$42</f>
        <v>0</v>
      </c>
      <c r="M271" s="171">
        <f>SUM(M269:M270)*Index!M$42</f>
        <v>0</v>
      </c>
      <c r="N271" s="171">
        <f>SUM(N269:N270)*Index!N$42</f>
        <v>0</v>
      </c>
      <c r="O271" s="171">
        <f>SUM(O269:O270)*Index!O$42</f>
        <v>0</v>
      </c>
      <c r="P271" s="171">
        <f>SUM(P269:P270)*Index!P$42</f>
        <v>0</v>
      </c>
      <c r="Q271" s="171">
        <f>SUM(Q269:Q270)*Index!Q$42</f>
        <v>0</v>
      </c>
      <c r="R271" s="171">
        <f>SUM(R269:R270)*Index!R$42</f>
        <v>0</v>
      </c>
      <c r="S271" s="171">
        <f>SUM(S269:S270)*Index!S$42</f>
        <v>0</v>
      </c>
      <c r="T271" s="171">
        <f>SUM(T269:T270)*Index!T$42</f>
        <v>0</v>
      </c>
      <c r="U271" s="171">
        <f>SUM(U269:U270)*Index!U$42</f>
        <v>0</v>
      </c>
      <c r="V271" s="171">
        <f>SUM(V269:V270)*Index!V$42</f>
        <v>0</v>
      </c>
      <c r="W271" s="171">
        <f>SUM(W269:W270)*Index!W$42</f>
        <v>0</v>
      </c>
      <c r="X271" s="171">
        <f>SUM(X269:X270)*Index!X$42</f>
        <v>0</v>
      </c>
      <c r="Y271" s="171">
        <f>SUM(Y269:Y270)*Index!Y$42</f>
        <v>0</v>
      </c>
      <c r="Z271" s="171">
        <f>SUM(Z269:Z270)*Index!Z$42</f>
        <v>0</v>
      </c>
      <c r="AA271" s="171">
        <f>SUM(AA269:AA270)*Index!AA$42</f>
        <v>0</v>
      </c>
      <c r="AB271" s="171">
        <f>SUM(AB269:AB270)*Index!AB$42</f>
        <v>0</v>
      </c>
      <c r="AC271" s="171">
        <f>SUM(AC269:AC270)*Index!AC$42</f>
        <v>0</v>
      </c>
      <c r="AD271" s="171">
        <f>SUM(AD269:AD270)*Index!AD$42</f>
        <v>0</v>
      </c>
      <c r="AE271" s="171">
        <f>SUM(AE269:AE270)*Index!AE$42</f>
        <v>0</v>
      </c>
      <c r="AF271" s="171">
        <f>SUM(AF269:AF270)*Index!AF$42</f>
        <v>0</v>
      </c>
      <c r="AG271" s="171">
        <f>SUM(AG269:AG270)*Index!AG$42</f>
        <v>0</v>
      </c>
      <c r="AH271" s="171">
        <f>SUM(AH269:AH270)*Index!AH$42</f>
        <v>0</v>
      </c>
      <c r="AI271" s="171">
        <f>SUM(AI269:AI270)*Index!AI$42</f>
        <v>0</v>
      </c>
      <c r="AJ271" s="171">
        <f>SUM(AJ269:AJ270)*Index!AJ$42</f>
        <v>0</v>
      </c>
      <c r="AK271" s="171">
        <f>SUM(AK269:AK270)*Index!AK$42</f>
        <v>0</v>
      </c>
      <c r="AL271" s="171">
        <f>SUM(AL269:AL270)*Index!AL$42</f>
        <v>0</v>
      </c>
      <c r="AM271" s="171">
        <f>SUM(AM269:AM270)*Index!AM$42</f>
        <v>0</v>
      </c>
      <c r="AN271" s="171">
        <f>SUM(AN269:AN270)*Index!AN$42</f>
        <v>0</v>
      </c>
      <c r="AO271" s="171">
        <f>SUM(AO269:AO270)*Index!AO$42</f>
        <v>0</v>
      </c>
      <c r="AP271" s="171">
        <f>SUM(AP269:AP270)*Index!AP$42</f>
        <v>0</v>
      </c>
      <c r="AQ271" s="171">
        <f>SUM(AQ269:AQ270)*Index!AQ$42</f>
        <v>0</v>
      </c>
      <c r="AR271" s="171">
        <f>SUM(AR269:AR270)*Index!AR$42</f>
        <v>0</v>
      </c>
      <c r="AS271" s="171">
        <f>SUM(AS269:AS270)*Index!AS$42</f>
        <v>0</v>
      </c>
      <c r="AT271" s="171">
        <f>SUM(AT269:AT270)*Index!AT$42</f>
        <v>0</v>
      </c>
      <c r="AU271" s="171">
        <f>SUM(AU269:AU270)*Index!AU$42</f>
        <v>0</v>
      </c>
      <c r="AV271" s="171">
        <f>SUM(AV269:AV270)*Index!AV$42</f>
        <v>0</v>
      </c>
      <c r="AW271" s="171">
        <f>SUM(AW269:AW270)*Index!AW$42</f>
        <v>0</v>
      </c>
      <c r="AX271" s="171">
        <f>SUM(AX269:AX270)*Index!AX$42</f>
        <v>0</v>
      </c>
      <c r="AY271" s="171">
        <f>SUM(AY269:AY270)*Index!AY$42</f>
        <v>0</v>
      </c>
      <c r="AZ271" s="171">
        <f>SUM(AZ269:AZ270)*Index!AZ$42</f>
        <v>0</v>
      </c>
      <c r="BA271" s="171">
        <f>SUM(BA269:BA270)*Index!BA$42</f>
        <v>0</v>
      </c>
      <c r="BB271" s="171">
        <f>SUM(BB269:BB270)*Index!BB$42</f>
        <v>0</v>
      </c>
      <c r="BC271" s="171">
        <f>SUM(BC269:BC270)*Index!BC$42</f>
        <v>0</v>
      </c>
      <c r="BD271" s="171">
        <f>SUM(BD269:BD270)*Index!BD$42</f>
        <v>0</v>
      </c>
      <c r="BE271" s="171">
        <f>SUM(BE269:BE270)*Index!BE$42</f>
        <v>0</v>
      </c>
      <c r="BF271" s="171">
        <f>SUM(BF269:BF270)*Index!BF$42</f>
        <v>0</v>
      </c>
      <c r="BG271" s="171">
        <f>SUM(BG269:BG270)*Index!BG$42</f>
        <v>0</v>
      </c>
      <c r="BH271" s="171">
        <f>SUM(BH269:BH270)*Index!BH$42</f>
        <v>0</v>
      </c>
      <c r="BI271" s="171">
        <f>SUM(BI269:BI270)*Index!BI$42</f>
        <v>0</v>
      </c>
      <c r="BJ271" s="171">
        <f>SUM(BJ269:BJ270)*Index!BJ$42</f>
        <v>0</v>
      </c>
      <c r="BK271" s="171">
        <f>SUM(BK269:BK270)*Index!BK$42</f>
        <v>0</v>
      </c>
      <c r="BL271" s="171">
        <f>SUM(BL269:BL270)*Index!BL$42</f>
        <v>0</v>
      </c>
      <c r="BM271" s="171">
        <f>SUM(BM269:BM270)*Index!BM$42</f>
        <v>0</v>
      </c>
      <c r="BN271" s="171">
        <f>SUM(BN269:BN270)*Index!BN$42</f>
        <v>0</v>
      </c>
      <c r="BO271" s="171">
        <f>SUM(BO269:BO270)*Index!BO$42</f>
        <v>0</v>
      </c>
      <c r="BP271" s="171">
        <f>SUM(BP269:BP270)*Index!BP$42</f>
        <v>0</v>
      </c>
      <c r="BQ271" s="171">
        <f>SUM(BQ269:BQ270)*Index!BQ$42</f>
        <v>0</v>
      </c>
      <c r="BR271" s="171">
        <f>SUM(BR269:BR270)*Index!BR$42</f>
        <v>0</v>
      </c>
      <c r="BS271" s="171">
        <f>SUM(BS269:BS270)*Index!BS$42</f>
        <v>0</v>
      </c>
      <c r="BT271" s="171">
        <f>SUM(BT269:BT270)*Index!BT$42</f>
        <v>0</v>
      </c>
      <c r="BU271" s="171">
        <f>SUM(BU269:BU270)*Index!BU$42</f>
        <v>0</v>
      </c>
      <c r="BV271" s="171">
        <f>SUM(BV269:BV270)*Index!BV$42</f>
        <v>0</v>
      </c>
      <c r="BW271" s="171">
        <f>SUM(BW269:BW270)*Index!BW$42</f>
        <v>0</v>
      </c>
      <c r="BX271" s="171">
        <f>SUM(BX269:BX270)*Index!BX$42</f>
        <v>0</v>
      </c>
      <c r="BY271" s="171">
        <f>SUM(BY269:BY270)*Index!BY$42</f>
        <v>0</v>
      </c>
      <c r="BZ271" s="171">
        <f>SUM(BZ269:BZ270)*Index!BZ$42</f>
        <v>0</v>
      </c>
      <c r="CA271" s="171">
        <f>SUM(CA269:CA270)*Index!CA$42</f>
        <v>0</v>
      </c>
      <c r="CB271" s="171">
        <f>SUM(CB269:CB270)*Index!CB$42</f>
        <v>0</v>
      </c>
      <c r="CC271" s="171">
        <f>SUM(CC269:CC270)*Index!CC$42</f>
        <v>0</v>
      </c>
      <c r="CD271" s="171">
        <f>SUM(CD269:CD270)*Index!CD$42</f>
        <v>0</v>
      </c>
      <c r="CE271" s="171">
        <f>SUM(CE269:CE270)*Index!CE$42</f>
        <v>0</v>
      </c>
      <c r="CF271" s="171">
        <f>SUM(CF269:CF270)*Index!CF$42</f>
        <v>0</v>
      </c>
      <c r="CG271" s="171">
        <f>SUM(CG269:CG270)*Index!CG$42</f>
        <v>0</v>
      </c>
      <c r="CH271" s="171">
        <f>SUM(CH269:CH270)*Index!CH$42</f>
        <v>0</v>
      </c>
      <c r="CI271" s="171">
        <f>SUM(CI269:CI270)*Index!CI$42</f>
        <v>0</v>
      </c>
      <c r="CJ271" s="171">
        <f>SUM(CJ269:CJ270)*Index!CJ$42</f>
        <v>0</v>
      </c>
      <c r="CK271" s="171">
        <f>SUM(CK269:CK270)*Index!CK$42</f>
        <v>0</v>
      </c>
      <c r="CL271" s="171">
        <f>SUM(CL269:CL270)*Index!CL$42</f>
        <v>0</v>
      </c>
      <c r="CM271" s="171">
        <f>SUM(CM269:CM270)*Index!CM$42</f>
        <v>0</v>
      </c>
      <c r="CN271" s="171">
        <f>SUM(CN269:CN270)*Index!CN$42</f>
        <v>0</v>
      </c>
      <c r="CO271" s="171">
        <f>SUM(CO269:CO270)*Index!CO$42</f>
        <v>0</v>
      </c>
      <c r="CP271" s="171">
        <f>SUM(CP269:CP270)*Index!CP$42</f>
        <v>0</v>
      </c>
      <c r="CQ271" s="171">
        <f>SUM(CQ269:CQ270)*Index!CQ$42</f>
        <v>0</v>
      </c>
      <c r="CR271" s="171">
        <f>SUM(CR269:CR270)*Index!CR$42</f>
        <v>0</v>
      </c>
      <c r="CS271" s="171">
        <f>SUM(CS269:CS270)*Index!CS$42</f>
        <v>0</v>
      </c>
      <c r="CT271" s="171">
        <f>SUM(CT269:CT270)*Index!CT$42</f>
        <v>0</v>
      </c>
      <c r="CU271" s="171">
        <f>SUM(CU269:CU270)*Index!CU$42</f>
        <v>0</v>
      </c>
      <c r="CV271" s="171">
        <f>SUM(CV269:CV270)*Index!CV$42</f>
        <v>0</v>
      </c>
      <c r="CW271" s="171">
        <f>SUM(CW269:CW270)*Index!CW$42</f>
        <v>0</v>
      </c>
      <c r="CX271" s="171">
        <f>SUM(CX269:CX270)*Index!CX$42</f>
        <v>0</v>
      </c>
      <c r="CY271" s="171">
        <f>SUM(CY269:CY270)*Index!CY$42</f>
        <v>0</v>
      </c>
      <c r="CZ271" s="171">
        <f>SUM(CZ269:CZ270)*Index!CZ$42</f>
        <v>0</v>
      </c>
      <c r="DA271" s="171">
        <f>SUM(DA269:DA270)*Index!DA$42</f>
        <v>0</v>
      </c>
      <c r="DB271" s="171">
        <f>SUM(DB269:DB270)*Index!DB$42</f>
        <v>0</v>
      </c>
      <c r="DC271" s="171">
        <f>SUM(DC269:DC270)*Index!DC$42</f>
        <v>0</v>
      </c>
      <c r="DD271" s="171">
        <f>SUM(DD269:DD270)*Index!DD$42</f>
        <v>0</v>
      </c>
      <c r="DE271" s="171">
        <f>SUM(DE269:DE270)*Index!DE$42</f>
        <v>0</v>
      </c>
      <c r="DF271" s="171">
        <f>SUM(DF269:DF270)*Index!DF$42</f>
        <v>0</v>
      </c>
      <c r="DG271" s="171">
        <f>SUM(DG269:DG270)*Index!DG$42</f>
        <v>0</v>
      </c>
      <c r="DH271" s="171">
        <f>SUM(DH269:DH270)*Index!DH$42</f>
        <v>0</v>
      </c>
      <c r="DI271" s="171">
        <f>SUM(DI269:DI270)*Index!DI$42</f>
        <v>0</v>
      </c>
      <c r="DJ271" s="171">
        <f>SUM(DJ269:DJ270)*Index!DJ$42</f>
        <v>0</v>
      </c>
      <c r="DK271" s="171">
        <f>SUM(DK269:DK270)*Index!DK$42</f>
        <v>0</v>
      </c>
      <c r="DL271" s="171">
        <f>SUM(DL269:DL270)*Index!DL$42</f>
        <v>0</v>
      </c>
      <c r="DM271" s="171">
        <f>SUM(DM269:DM270)*Index!DM$42</f>
        <v>0</v>
      </c>
      <c r="DN271" s="171">
        <f>SUM(DN269:DN270)*Index!DN$42</f>
        <v>0</v>
      </c>
      <c r="DO271" s="171">
        <f>SUM(DO269:DO270)*Index!DO$42</f>
        <v>0</v>
      </c>
      <c r="DP271" s="171">
        <f>SUM(DP269:DP270)*Index!DP$42</f>
        <v>0</v>
      </c>
      <c r="DQ271" s="171">
        <f>SUM(DQ269:DQ270)*Index!DQ$42</f>
        <v>0</v>
      </c>
      <c r="DR271" s="171">
        <f>SUM(DR269:DR270)*Index!DR$42</f>
        <v>0</v>
      </c>
      <c r="DS271" s="171">
        <f>SUM(DS269:DS270)*Index!DS$42</f>
        <v>0</v>
      </c>
      <c r="DT271" s="171">
        <f>SUM(DT269:DT270)*Index!DT$42</f>
        <v>0</v>
      </c>
      <c r="DU271" s="171">
        <f>SUM(DU269:DU270)*Index!DU$42</f>
        <v>0</v>
      </c>
      <c r="DV271" s="171">
        <f>SUM(DV269:DV270)*Index!DV$42</f>
        <v>0</v>
      </c>
      <c r="DW271" s="171">
        <f>SUM(DW269:DW270)*Index!DW$42</f>
        <v>0</v>
      </c>
      <c r="DX271" s="171">
        <f>SUM(DX269:DX270)*Index!DX$42</f>
        <v>0</v>
      </c>
      <c r="DY271" s="171">
        <f>SUM(DY269:DY270)*Index!DY$42</f>
        <v>0</v>
      </c>
      <c r="DZ271" s="171">
        <f>SUM(DZ269:DZ270)*Index!DZ$42</f>
        <v>0</v>
      </c>
      <c r="EA271" s="171">
        <f>SUM(EA269:EA270)*Index!EA$42</f>
        <v>0</v>
      </c>
      <c r="EB271" s="171">
        <f>SUM(EB269:EB270)*Index!EB$42</f>
        <v>11840000</v>
      </c>
      <c r="EC271" s="171">
        <f>SUM(EC269:EC270)*Index!EC$42</f>
        <v>0</v>
      </c>
      <c r="ED271" s="1321">
        <f>SUM(ED269:ED270)*Index!ED$42</f>
        <v>0</v>
      </c>
      <c r="EE271" s="171">
        <f>SUM(EE269:EE270)*Index!EE$42</f>
        <v>0</v>
      </c>
      <c r="EF271" s="171">
        <f>SUM(EF269:EF270)*Index!EF$42</f>
        <v>0</v>
      </c>
      <c r="EG271" s="171">
        <f>SUM(EG269:EG270)*Index!EG$42</f>
        <v>0</v>
      </c>
      <c r="EH271" s="171">
        <f>SUM(EH269:EH270)*Index!EH$42</f>
        <v>0</v>
      </c>
      <c r="EI271" s="171">
        <f>SUM(EI269:EI270)*Index!EI$42</f>
        <v>0</v>
      </c>
      <c r="EJ271" s="171">
        <f>SUM(EJ269:EJ270)*Index!EJ$42</f>
        <v>0</v>
      </c>
      <c r="EK271" s="171">
        <f>SUM(EK269:EK270)*Index!EK$42</f>
        <v>0</v>
      </c>
      <c r="EL271" s="171">
        <f>SUM(EL269:EL270)*Index!EL$42</f>
        <v>0</v>
      </c>
      <c r="EM271" s="171">
        <f>SUM(EM269:EM270)*Index!EM$42</f>
        <v>0</v>
      </c>
      <c r="EN271" s="171">
        <f>SUM(EN269:EN270)*Index!EN$42</f>
        <v>0</v>
      </c>
      <c r="EO271" s="171">
        <f>SUM(EO269:EO270)*Index!EO$42</f>
        <v>0</v>
      </c>
      <c r="EP271" s="171">
        <f>SUM(EP269:EP270)*Index!EP$42</f>
        <v>0</v>
      </c>
      <c r="EQ271" s="171">
        <f>SUM(EQ269:EQ270)*Index!EQ$42</f>
        <v>0</v>
      </c>
    </row>
    <row r="272" spans="3:147" ht="11.25" customHeight="1">
      <c r="C272" s="244"/>
      <c r="D272" s="178"/>
      <c r="E272" s="179" t="s">
        <v>233</v>
      </c>
      <c r="F272" s="180"/>
      <c r="G272" s="180"/>
      <c r="H272" s="182"/>
      <c r="I272" s="245"/>
      <c r="J272" s="184"/>
      <c r="K272" s="98"/>
      <c r="L272" s="184">
        <f t="shared" ref="L272:AQ272" si="604">L269+L270-L271</f>
        <v>11840000</v>
      </c>
      <c r="M272" s="184">
        <f t="shared" si="604"/>
        <v>11840000</v>
      </c>
      <c r="N272" s="184">
        <f t="shared" si="604"/>
        <v>11840000</v>
      </c>
      <c r="O272" s="184">
        <f t="shared" si="604"/>
        <v>11840000</v>
      </c>
      <c r="P272" s="184">
        <f t="shared" si="604"/>
        <v>11840000</v>
      </c>
      <c r="Q272" s="184">
        <f t="shared" si="604"/>
        <v>11840000</v>
      </c>
      <c r="R272" s="184">
        <f t="shared" si="604"/>
        <v>11840000</v>
      </c>
      <c r="S272" s="184">
        <f t="shared" si="604"/>
        <v>11840000</v>
      </c>
      <c r="T272" s="184">
        <f t="shared" si="604"/>
        <v>11840000</v>
      </c>
      <c r="U272" s="184">
        <f t="shared" si="604"/>
        <v>11840000</v>
      </c>
      <c r="V272" s="184">
        <f t="shared" si="604"/>
        <v>11840000</v>
      </c>
      <c r="W272" s="184">
        <f t="shared" si="604"/>
        <v>11840000</v>
      </c>
      <c r="X272" s="184">
        <f t="shared" si="604"/>
        <v>11840000</v>
      </c>
      <c r="Y272" s="184">
        <f t="shared" si="604"/>
        <v>11840000</v>
      </c>
      <c r="Z272" s="184">
        <f t="shared" si="604"/>
        <v>11840000</v>
      </c>
      <c r="AA272" s="184">
        <f t="shared" si="604"/>
        <v>11840000</v>
      </c>
      <c r="AB272" s="184">
        <f t="shared" si="604"/>
        <v>11840000</v>
      </c>
      <c r="AC272" s="184">
        <f t="shared" si="604"/>
        <v>11840000</v>
      </c>
      <c r="AD272" s="184">
        <f t="shared" si="604"/>
        <v>11840000</v>
      </c>
      <c r="AE272" s="184">
        <f t="shared" si="604"/>
        <v>11840000</v>
      </c>
      <c r="AF272" s="184">
        <f t="shared" si="604"/>
        <v>11840000</v>
      </c>
      <c r="AG272" s="184">
        <f t="shared" si="604"/>
        <v>11840000</v>
      </c>
      <c r="AH272" s="184">
        <f t="shared" si="604"/>
        <v>11840000</v>
      </c>
      <c r="AI272" s="184">
        <f t="shared" si="604"/>
        <v>11840000</v>
      </c>
      <c r="AJ272" s="184">
        <f t="shared" si="604"/>
        <v>11840000</v>
      </c>
      <c r="AK272" s="184">
        <f t="shared" si="604"/>
        <v>11840000</v>
      </c>
      <c r="AL272" s="184">
        <f t="shared" si="604"/>
        <v>11840000</v>
      </c>
      <c r="AM272" s="184">
        <f t="shared" si="604"/>
        <v>11840000</v>
      </c>
      <c r="AN272" s="184">
        <f t="shared" si="604"/>
        <v>11840000</v>
      </c>
      <c r="AO272" s="184">
        <f t="shared" si="604"/>
        <v>11840000</v>
      </c>
      <c r="AP272" s="184">
        <f t="shared" si="604"/>
        <v>11840000</v>
      </c>
      <c r="AQ272" s="184">
        <f t="shared" si="604"/>
        <v>11840000</v>
      </c>
      <c r="AR272" s="184">
        <f t="shared" ref="AR272:BW272" si="605">AR269+AR270-AR271</f>
        <v>11840000</v>
      </c>
      <c r="AS272" s="184">
        <f t="shared" si="605"/>
        <v>11840000</v>
      </c>
      <c r="AT272" s="184">
        <f t="shared" si="605"/>
        <v>11840000</v>
      </c>
      <c r="AU272" s="184">
        <f t="shared" si="605"/>
        <v>11840000</v>
      </c>
      <c r="AV272" s="184">
        <f t="shared" si="605"/>
        <v>11840000</v>
      </c>
      <c r="AW272" s="184">
        <f t="shared" si="605"/>
        <v>11840000</v>
      </c>
      <c r="AX272" s="184">
        <f t="shared" si="605"/>
        <v>11840000</v>
      </c>
      <c r="AY272" s="184">
        <f t="shared" si="605"/>
        <v>11840000</v>
      </c>
      <c r="AZ272" s="184">
        <f t="shared" si="605"/>
        <v>11840000</v>
      </c>
      <c r="BA272" s="184">
        <f t="shared" si="605"/>
        <v>11840000</v>
      </c>
      <c r="BB272" s="184">
        <f t="shared" si="605"/>
        <v>11840000</v>
      </c>
      <c r="BC272" s="184">
        <f t="shared" si="605"/>
        <v>11840000</v>
      </c>
      <c r="BD272" s="184">
        <f t="shared" si="605"/>
        <v>11840000</v>
      </c>
      <c r="BE272" s="184">
        <f t="shared" si="605"/>
        <v>11840000</v>
      </c>
      <c r="BF272" s="184">
        <f t="shared" si="605"/>
        <v>11840000</v>
      </c>
      <c r="BG272" s="184">
        <f t="shared" si="605"/>
        <v>11840000</v>
      </c>
      <c r="BH272" s="184">
        <f t="shared" si="605"/>
        <v>11840000</v>
      </c>
      <c r="BI272" s="184">
        <f t="shared" si="605"/>
        <v>11840000</v>
      </c>
      <c r="BJ272" s="184">
        <f t="shared" si="605"/>
        <v>11840000</v>
      </c>
      <c r="BK272" s="184">
        <f t="shared" si="605"/>
        <v>11840000</v>
      </c>
      <c r="BL272" s="184">
        <f t="shared" si="605"/>
        <v>11840000</v>
      </c>
      <c r="BM272" s="184">
        <f t="shared" si="605"/>
        <v>11840000</v>
      </c>
      <c r="BN272" s="184">
        <f t="shared" si="605"/>
        <v>11840000</v>
      </c>
      <c r="BO272" s="184">
        <f t="shared" si="605"/>
        <v>11840000</v>
      </c>
      <c r="BP272" s="184">
        <f t="shared" si="605"/>
        <v>11840000</v>
      </c>
      <c r="BQ272" s="184">
        <f t="shared" si="605"/>
        <v>11840000</v>
      </c>
      <c r="BR272" s="184">
        <f t="shared" si="605"/>
        <v>11840000</v>
      </c>
      <c r="BS272" s="184">
        <f t="shared" si="605"/>
        <v>11840000</v>
      </c>
      <c r="BT272" s="184">
        <f t="shared" si="605"/>
        <v>11840000</v>
      </c>
      <c r="BU272" s="184">
        <f t="shared" si="605"/>
        <v>11840000</v>
      </c>
      <c r="BV272" s="184">
        <f t="shared" si="605"/>
        <v>11840000</v>
      </c>
      <c r="BW272" s="184">
        <f t="shared" si="605"/>
        <v>11840000</v>
      </c>
      <c r="BX272" s="184">
        <f t="shared" ref="BX272:DC272" si="606">BX269+BX270-BX271</f>
        <v>11840000</v>
      </c>
      <c r="BY272" s="184">
        <f t="shared" si="606"/>
        <v>11840000</v>
      </c>
      <c r="BZ272" s="184">
        <f t="shared" si="606"/>
        <v>11840000</v>
      </c>
      <c r="CA272" s="184">
        <f t="shared" si="606"/>
        <v>11840000</v>
      </c>
      <c r="CB272" s="184">
        <f t="shared" si="606"/>
        <v>11840000</v>
      </c>
      <c r="CC272" s="184">
        <f t="shared" si="606"/>
        <v>11840000</v>
      </c>
      <c r="CD272" s="184">
        <f t="shared" si="606"/>
        <v>11840000</v>
      </c>
      <c r="CE272" s="184">
        <f t="shared" si="606"/>
        <v>11840000</v>
      </c>
      <c r="CF272" s="184">
        <f t="shared" si="606"/>
        <v>11840000</v>
      </c>
      <c r="CG272" s="184">
        <f t="shared" si="606"/>
        <v>11840000</v>
      </c>
      <c r="CH272" s="184">
        <f t="shared" si="606"/>
        <v>11840000</v>
      </c>
      <c r="CI272" s="184">
        <f t="shared" si="606"/>
        <v>11840000</v>
      </c>
      <c r="CJ272" s="184">
        <f t="shared" si="606"/>
        <v>11840000</v>
      </c>
      <c r="CK272" s="184">
        <f t="shared" si="606"/>
        <v>11840000</v>
      </c>
      <c r="CL272" s="184">
        <f t="shared" si="606"/>
        <v>11840000</v>
      </c>
      <c r="CM272" s="184">
        <f t="shared" si="606"/>
        <v>11840000</v>
      </c>
      <c r="CN272" s="184">
        <f t="shared" si="606"/>
        <v>11840000</v>
      </c>
      <c r="CO272" s="184">
        <f t="shared" si="606"/>
        <v>11840000</v>
      </c>
      <c r="CP272" s="184">
        <f t="shared" si="606"/>
        <v>11840000</v>
      </c>
      <c r="CQ272" s="184">
        <f t="shared" si="606"/>
        <v>11840000</v>
      </c>
      <c r="CR272" s="184">
        <f t="shared" si="606"/>
        <v>11840000</v>
      </c>
      <c r="CS272" s="184">
        <f t="shared" si="606"/>
        <v>11840000</v>
      </c>
      <c r="CT272" s="184">
        <f t="shared" si="606"/>
        <v>11840000</v>
      </c>
      <c r="CU272" s="184">
        <f t="shared" si="606"/>
        <v>11840000</v>
      </c>
      <c r="CV272" s="184">
        <f t="shared" si="606"/>
        <v>11840000</v>
      </c>
      <c r="CW272" s="184">
        <f t="shared" si="606"/>
        <v>11840000</v>
      </c>
      <c r="CX272" s="184">
        <f t="shared" si="606"/>
        <v>11840000</v>
      </c>
      <c r="CY272" s="184">
        <f t="shared" si="606"/>
        <v>11840000</v>
      </c>
      <c r="CZ272" s="184">
        <f t="shared" si="606"/>
        <v>11840000</v>
      </c>
      <c r="DA272" s="184">
        <f t="shared" si="606"/>
        <v>11840000</v>
      </c>
      <c r="DB272" s="184">
        <f t="shared" si="606"/>
        <v>11840000</v>
      </c>
      <c r="DC272" s="184">
        <f t="shared" si="606"/>
        <v>11840000</v>
      </c>
      <c r="DD272" s="184">
        <f t="shared" ref="DD272:DT272" si="607">DD269+DD270-DD271</f>
        <v>11840000</v>
      </c>
      <c r="DE272" s="184">
        <f t="shared" si="607"/>
        <v>11840000</v>
      </c>
      <c r="DF272" s="184">
        <f t="shared" si="607"/>
        <v>11840000</v>
      </c>
      <c r="DG272" s="184">
        <f t="shared" si="607"/>
        <v>11840000</v>
      </c>
      <c r="DH272" s="184">
        <f t="shared" si="607"/>
        <v>11840000</v>
      </c>
      <c r="DI272" s="184">
        <f t="shared" si="607"/>
        <v>11840000</v>
      </c>
      <c r="DJ272" s="184">
        <f t="shared" si="607"/>
        <v>11840000</v>
      </c>
      <c r="DK272" s="184">
        <f t="shared" si="607"/>
        <v>11840000</v>
      </c>
      <c r="DL272" s="184">
        <f t="shared" si="607"/>
        <v>11840000</v>
      </c>
      <c r="DM272" s="184">
        <f t="shared" si="607"/>
        <v>11840000</v>
      </c>
      <c r="DN272" s="184">
        <f t="shared" si="607"/>
        <v>11840000</v>
      </c>
      <c r="DO272" s="184">
        <f t="shared" si="607"/>
        <v>11840000</v>
      </c>
      <c r="DP272" s="184">
        <f t="shared" si="607"/>
        <v>11840000</v>
      </c>
      <c r="DQ272" s="184">
        <f t="shared" si="607"/>
        <v>11840000</v>
      </c>
      <c r="DR272" s="184">
        <f t="shared" si="607"/>
        <v>11840000</v>
      </c>
      <c r="DS272" s="184">
        <f t="shared" si="607"/>
        <v>11840000</v>
      </c>
      <c r="DT272" s="184">
        <f t="shared" si="607"/>
        <v>11840000</v>
      </c>
      <c r="DU272" s="184">
        <f t="shared" ref="DU272:EA272" si="608">DU269+DU270-DU271</f>
        <v>11840000</v>
      </c>
      <c r="DV272" s="184">
        <f t="shared" si="608"/>
        <v>11840000</v>
      </c>
      <c r="DW272" s="184">
        <f t="shared" si="608"/>
        <v>11840000</v>
      </c>
      <c r="DX272" s="184">
        <f t="shared" si="608"/>
        <v>11840000</v>
      </c>
      <c r="DY272" s="184">
        <f t="shared" si="608"/>
        <v>11840000</v>
      </c>
      <c r="DZ272" s="184">
        <f t="shared" si="608"/>
        <v>11840000</v>
      </c>
      <c r="EA272" s="184">
        <f t="shared" si="608"/>
        <v>11840000</v>
      </c>
      <c r="EB272" s="184">
        <f t="shared" ref="EB272:EQ272" si="609">EB269+EB270-EB271</f>
        <v>0</v>
      </c>
      <c r="EC272" s="184">
        <f t="shared" si="609"/>
        <v>0</v>
      </c>
      <c r="ED272" s="1324">
        <f t="shared" si="609"/>
        <v>0</v>
      </c>
      <c r="EE272" s="184">
        <f t="shared" si="609"/>
        <v>0</v>
      </c>
      <c r="EF272" s="184">
        <f t="shared" si="609"/>
        <v>0</v>
      </c>
      <c r="EG272" s="184">
        <f t="shared" si="609"/>
        <v>0</v>
      </c>
      <c r="EH272" s="184">
        <f t="shared" si="609"/>
        <v>0</v>
      </c>
      <c r="EI272" s="184">
        <f t="shared" si="609"/>
        <v>0</v>
      </c>
      <c r="EJ272" s="184">
        <f t="shared" si="609"/>
        <v>0</v>
      </c>
      <c r="EK272" s="184">
        <f t="shared" si="609"/>
        <v>0</v>
      </c>
      <c r="EL272" s="184">
        <f t="shared" si="609"/>
        <v>0</v>
      </c>
      <c r="EM272" s="184">
        <f t="shared" si="609"/>
        <v>0</v>
      </c>
      <c r="EN272" s="184">
        <f t="shared" si="609"/>
        <v>0</v>
      </c>
      <c r="EO272" s="184">
        <f t="shared" si="609"/>
        <v>0</v>
      </c>
      <c r="EP272" s="184">
        <f t="shared" si="609"/>
        <v>0</v>
      </c>
      <c r="EQ272" s="184">
        <f t="shared" si="609"/>
        <v>0</v>
      </c>
    </row>
    <row r="273" spans="3:147" ht="11.25" customHeight="1">
      <c r="C273" s="218"/>
      <c r="D273" s="158" t="s">
        <v>1030</v>
      </c>
      <c r="E273" s="159"/>
      <c r="F273" s="159"/>
      <c r="G273" s="159"/>
      <c r="H273" s="160"/>
      <c r="I273" s="219"/>
      <c r="J273" s="220"/>
      <c r="K273" s="98"/>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162"/>
      <c r="AK273" s="162"/>
      <c r="AL273" s="162"/>
      <c r="AM273" s="162"/>
      <c r="AN273" s="162"/>
      <c r="AO273" s="162"/>
      <c r="AP273" s="162"/>
      <c r="AQ273" s="162"/>
      <c r="AR273" s="162"/>
      <c r="AS273" s="162"/>
      <c r="AT273" s="162"/>
      <c r="AU273" s="162"/>
      <c r="AV273" s="162"/>
      <c r="AW273" s="162"/>
      <c r="AX273" s="162"/>
      <c r="AY273" s="162"/>
      <c r="AZ273" s="162"/>
      <c r="BA273" s="162"/>
      <c r="BB273" s="162"/>
      <c r="BC273" s="162"/>
      <c r="BD273" s="162"/>
      <c r="BE273" s="162"/>
      <c r="BF273" s="162"/>
      <c r="BG273" s="162"/>
      <c r="BH273" s="162"/>
      <c r="BI273" s="162"/>
      <c r="BJ273" s="162"/>
      <c r="BK273" s="162"/>
      <c r="BL273" s="162"/>
      <c r="BM273" s="162"/>
      <c r="BN273" s="162"/>
      <c r="BO273" s="162"/>
      <c r="BP273" s="162"/>
      <c r="BQ273" s="162"/>
      <c r="BR273" s="162"/>
      <c r="BS273" s="162"/>
      <c r="BT273" s="162"/>
      <c r="BU273" s="162"/>
      <c r="BV273" s="162"/>
      <c r="BW273" s="162"/>
      <c r="BX273" s="162"/>
      <c r="BY273" s="162"/>
      <c r="BZ273" s="162"/>
      <c r="CA273" s="162"/>
      <c r="CB273" s="162"/>
      <c r="CC273" s="162"/>
      <c r="CD273" s="162"/>
      <c r="CE273" s="162"/>
      <c r="CF273" s="162"/>
      <c r="CG273" s="162"/>
      <c r="CH273" s="162"/>
      <c r="CI273" s="162"/>
      <c r="CJ273" s="162"/>
      <c r="CK273" s="162"/>
      <c r="CL273" s="162"/>
      <c r="CM273" s="162"/>
      <c r="CN273" s="162"/>
      <c r="CO273" s="162"/>
      <c r="CP273" s="162"/>
      <c r="CQ273" s="162"/>
      <c r="CR273" s="162"/>
      <c r="CS273" s="162"/>
      <c r="CT273" s="162"/>
      <c r="CU273" s="162"/>
      <c r="CV273" s="162"/>
      <c r="CW273" s="162"/>
      <c r="CX273" s="162"/>
      <c r="CY273" s="162"/>
      <c r="CZ273" s="162"/>
      <c r="DA273" s="162"/>
      <c r="DB273" s="162"/>
      <c r="DC273" s="162"/>
      <c r="DD273" s="162"/>
      <c r="DE273" s="162"/>
      <c r="DF273" s="162"/>
      <c r="DG273" s="162"/>
      <c r="DH273" s="162"/>
      <c r="DI273" s="162"/>
      <c r="DJ273" s="162"/>
      <c r="DK273" s="162"/>
      <c r="DL273" s="162"/>
      <c r="DM273" s="162"/>
      <c r="DN273" s="162"/>
      <c r="DO273" s="162"/>
      <c r="DP273" s="162"/>
      <c r="DQ273" s="162"/>
      <c r="DR273" s="162"/>
      <c r="DS273" s="162"/>
      <c r="DT273" s="162"/>
      <c r="DU273" s="162"/>
      <c r="DV273" s="162"/>
      <c r="DW273" s="162"/>
      <c r="DX273" s="162"/>
      <c r="DY273" s="162"/>
      <c r="DZ273" s="162"/>
      <c r="EA273" s="162"/>
      <c r="EB273" s="162"/>
      <c r="EC273" s="162"/>
      <c r="ED273" s="1319"/>
      <c r="EE273" s="162"/>
      <c r="EF273" s="162"/>
      <c r="EG273" s="162"/>
      <c r="EH273" s="162"/>
      <c r="EI273" s="162"/>
      <c r="EJ273" s="162"/>
      <c r="EK273" s="162"/>
      <c r="EL273" s="162"/>
      <c r="EM273" s="162"/>
      <c r="EN273" s="162"/>
      <c r="EO273" s="162"/>
      <c r="EP273" s="162"/>
      <c r="EQ273" s="162"/>
    </row>
    <row r="274" spans="3:147" ht="11.25" customHeight="1">
      <c r="C274" s="218"/>
      <c r="D274" s="163"/>
      <c r="E274" s="164" t="s">
        <v>217</v>
      </c>
      <c r="F274" s="165"/>
      <c r="G274" s="165"/>
      <c r="H274" s="166"/>
      <c r="I274" s="221"/>
      <c r="J274" s="168"/>
      <c r="K274" s="98"/>
      <c r="L274" s="168">
        <f t="shared" ref="L274:AQ274" si="610">K277</f>
        <v>0</v>
      </c>
      <c r="M274" s="168">
        <f t="shared" si="610"/>
        <v>0</v>
      </c>
      <c r="N274" s="168">
        <f t="shared" si="610"/>
        <v>0</v>
      </c>
      <c r="O274" s="168">
        <f t="shared" si="610"/>
        <v>0</v>
      </c>
      <c r="P274" s="168">
        <f t="shared" si="610"/>
        <v>0</v>
      </c>
      <c r="Q274" s="168">
        <f t="shared" si="610"/>
        <v>0</v>
      </c>
      <c r="R274" s="168">
        <f t="shared" si="610"/>
        <v>0</v>
      </c>
      <c r="S274" s="168">
        <f t="shared" si="610"/>
        <v>0</v>
      </c>
      <c r="T274" s="168">
        <f t="shared" si="610"/>
        <v>0</v>
      </c>
      <c r="U274" s="168">
        <f t="shared" si="610"/>
        <v>0</v>
      </c>
      <c r="V274" s="168">
        <f t="shared" si="610"/>
        <v>0</v>
      </c>
      <c r="W274" s="168">
        <f t="shared" si="610"/>
        <v>0</v>
      </c>
      <c r="X274" s="168">
        <f t="shared" si="610"/>
        <v>0</v>
      </c>
      <c r="Y274" s="168">
        <f t="shared" si="610"/>
        <v>0</v>
      </c>
      <c r="Z274" s="168">
        <f t="shared" si="610"/>
        <v>0</v>
      </c>
      <c r="AA274" s="168">
        <f t="shared" si="610"/>
        <v>0</v>
      </c>
      <c r="AB274" s="168">
        <f t="shared" si="610"/>
        <v>0</v>
      </c>
      <c r="AC274" s="168">
        <f t="shared" si="610"/>
        <v>0</v>
      </c>
      <c r="AD274" s="168">
        <f t="shared" si="610"/>
        <v>0</v>
      </c>
      <c r="AE274" s="168">
        <f t="shared" si="610"/>
        <v>0</v>
      </c>
      <c r="AF274" s="168">
        <f t="shared" si="610"/>
        <v>0</v>
      </c>
      <c r="AG274" s="168">
        <f t="shared" si="610"/>
        <v>0</v>
      </c>
      <c r="AH274" s="168">
        <f t="shared" si="610"/>
        <v>0</v>
      </c>
      <c r="AI274" s="168">
        <f t="shared" si="610"/>
        <v>0</v>
      </c>
      <c r="AJ274" s="168">
        <f t="shared" si="610"/>
        <v>0</v>
      </c>
      <c r="AK274" s="168">
        <f t="shared" si="610"/>
        <v>0</v>
      </c>
      <c r="AL274" s="168">
        <f t="shared" si="610"/>
        <v>0</v>
      </c>
      <c r="AM274" s="168">
        <f t="shared" si="610"/>
        <v>0</v>
      </c>
      <c r="AN274" s="168">
        <f t="shared" si="610"/>
        <v>0</v>
      </c>
      <c r="AO274" s="168">
        <f t="shared" si="610"/>
        <v>0</v>
      </c>
      <c r="AP274" s="168">
        <f t="shared" si="610"/>
        <v>0</v>
      </c>
      <c r="AQ274" s="168">
        <f t="shared" si="610"/>
        <v>0</v>
      </c>
      <c r="AR274" s="168">
        <f t="shared" ref="AR274:BW274" si="611">AQ277</f>
        <v>0</v>
      </c>
      <c r="AS274" s="168">
        <f t="shared" si="611"/>
        <v>0</v>
      </c>
      <c r="AT274" s="168">
        <f t="shared" si="611"/>
        <v>0</v>
      </c>
      <c r="AU274" s="168">
        <f t="shared" si="611"/>
        <v>0</v>
      </c>
      <c r="AV274" s="168">
        <f t="shared" si="611"/>
        <v>0</v>
      </c>
      <c r="AW274" s="168">
        <f t="shared" si="611"/>
        <v>0</v>
      </c>
      <c r="AX274" s="168">
        <f t="shared" si="611"/>
        <v>0</v>
      </c>
      <c r="AY274" s="168">
        <f t="shared" si="611"/>
        <v>0</v>
      </c>
      <c r="AZ274" s="168">
        <f t="shared" si="611"/>
        <v>0</v>
      </c>
      <c r="BA274" s="168">
        <f t="shared" si="611"/>
        <v>0</v>
      </c>
      <c r="BB274" s="168">
        <f t="shared" si="611"/>
        <v>0</v>
      </c>
      <c r="BC274" s="168">
        <f t="shared" si="611"/>
        <v>0</v>
      </c>
      <c r="BD274" s="168">
        <f t="shared" si="611"/>
        <v>0</v>
      </c>
      <c r="BE274" s="168">
        <f t="shared" si="611"/>
        <v>0</v>
      </c>
      <c r="BF274" s="168">
        <f t="shared" si="611"/>
        <v>0</v>
      </c>
      <c r="BG274" s="168">
        <f t="shared" si="611"/>
        <v>0</v>
      </c>
      <c r="BH274" s="168">
        <f t="shared" si="611"/>
        <v>0</v>
      </c>
      <c r="BI274" s="168">
        <f t="shared" si="611"/>
        <v>0</v>
      </c>
      <c r="BJ274" s="168">
        <f t="shared" si="611"/>
        <v>0</v>
      </c>
      <c r="BK274" s="168">
        <f t="shared" si="611"/>
        <v>0</v>
      </c>
      <c r="BL274" s="168">
        <f t="shared" si="611"/>
        <v>0</v>
      </c>
      <c r="BM274" s="168">
        <f t="shared" si="611"/>
        <v>0</v>
      </c>
      <c r="BN274" s="168">
        <f t="shared" si="611"/>
        <v>0</v>
      </c>
      <c r="BO274" s="168">
        <f t="shared" si="611"/>
        <v>0</v>
      </c>
      <c r="BP274" s="168">
        <f t="shared" si="611"/>
        <v>0</v>
      </c>
      <c r="BQ274" s="168">
        <f t="shared" si="611"/>
        <v>0</v>
      </c>
      <c r="BR274" s="168">
        <f t="shared" si="611"/>
        <v>0</v>
      </c>
      <c r="BS274" s="168">
        <f t="shared" si="611"/>
        <v>0</v>
      </c>
      <c r="BT274" s="168">
        <f t="shared" si="611"/>
        <v>0</v>
      </c>
      <c r="BU274" s="168">
        <f t="shared" si="611"/>
        <v>0</v>
      </c>
      <c r="BV274" s="168">
        <f t="shared" si="611"/>
        <v>0</v>
      </c>
      <c r="BW274" s="168">
        <f t="shared" si="611"/>
        <v>0</v>
      </c>
      <c r="BX274" s="168">
        <f t="shared" ref="BX274:DC274" si="612">BW277</f>
        <v>0</v>
      </c>
      <c r="BY274" s="168">
        <f t="shared" si="612"/>
        <v>0</v>
      </c>
      <c r="BZ274" s="168">
        <f t="shared" si="612"/>
        <v>0</v>
      </c>
      <c r="CA274" s="168">
        <f t="shared" si="612"/>
        <v>0</v>
      </c>
      <c r="CB274" s="168">
        <f t="shared" si="612"/>
        <v>0</v>
      </c>
      <c r="CC274" s="168">
        <f t="shared" si="612"/>
        <v>0</v>
      </c>
      <c r="CD274" s="168">
        <f t="shared" si="612"/>
        <v>0</v>
      </c>
      <c r="CE274" s="168">
        <f t="shared" si="612"/>
        <v>0</v>
      </c>
      <c r="CF274" s="168">
        <f t="shared" si="612"/>
        <v>0</v>
      </c>
      <c r="CG274" s="168">
        <f t="shared" si="612"/>
        <v>0</v>
      </c>
      <c r="CH274" s="168">
        <f t="shared" si="612"/>
        <v>0</v>
      </c>
      <c r="CI274" s="168">
        <f t="shared" si="612"/>
        <v>0</v>
      </c>
      <c r="CJ274" s="168">
        <f t="shared" si="612"/>
        <v>0</v>
      </c>
      <c r="CK274" s="168">
        <f t="shared" si="612"/>
        <v>0</v>
      </c>
      <c r="CL274" s="168">
        <f t="shared" si="612"/>
        <v>0</v>
      </c>
      <c r="CM274" s="168">
        <f t="shared" si="612"/>
        <v>0</v>
      </c>
      <c r="CN274" s="168">
        <f t="shared" si="612"/>
        <v>0</v>
      </c>
      <c r="CO274" s="168">
        <f t="shared" si="612"/>
        <v>0</v>
      </c>
      <c r="CP274" s="168">
        <f t="shared" si="612"/>
        <v>0</v>
      </c>
      <c r="CQ274" s="168">
        <f t="shared" si="612"/>
        <v>0</v>
      </c>
      <c r="CR274" s="168">
        <f t="shared" si="612"/>
        <v>0</v>
      </c>
      <c r="CS274" s="168">
        <f t="shared" si="612"/>
        <v>0</v>
      </c>
      <c r="CT274" s="168">
        <f t="shared" si="612"/>
        <v>0</v>
      </c>
      <c r="CU274" s="168">
        <f t="shared" si="612"/>
        <v>0</v>
      </c>
      <c r="CV274" s="168">
        <f t="shared" si="612"/>
        <v>0</v>
      </c>
      <c r="CW274" s="168">
        <f t="shared" si="612"/>
        <v>0</v>
      </c>
      <c r="CX274" s="168">
        <f t="shared" si="612"/>
        <v>0</v>
      </c>
      <c r="CY274" s="168">
        <f t="shared" si="612"/>
        <v>0</v>
      </c>
      <c r="CZ274" s="168">
        <f t="shared" si="612"/>
        <v>0</v>
      </c>
      <c r="DA274" s="168">
        <f t="shared" si="612"/>
        <v>0</v>
      </c>
      <c r="DB274" s="168">
        <f t="shared" si="612"/>
        <v>0</v>
      </c>
      <c r="DC274" s="168">
        <f t="shared" si="612"/>
        <v>0</v>
      </c>
      <c r="DD274" s="168">
        <f t="shared" ref="DD274:EI274" si="613">DC277</f>
        <v>0</v>
      </c>
      <c r="DE274" s="168">
        <f t="shared" si="613"/>
        <v>0</v>
      </c>
      <c r="DF274" s="168">
        <f t="shared" si="613"/>
        <v>0</v>
      </c>
      <c r="DG274" s="168">
        <f t="shared" si="613"/>
        <v>0</v>
      </c>
      <c r="DH274" s="168">
        <f t="shared" si="613"/>
        <v>0</v>
      </c>
      <c r="DI274" s="168">
        <f t="shared" si="613"/>
        <v>0</v>
      </c>
      <c r="DJ274" s="168">
        <f t="shared" si="613"/>
        <v>0</v>
      </c>
      <c r="DK274" s="168">
        <f t="shared" si="613"/>
        <v>0</v>
      </c>
      <c r="DL274" s="168">
        <f t="shared" si="613"/>
        <v>0</v>
      </c>
      <c r="DM274" s="168">
        <f t="shared" si="613"/>
        <v>0</v>
      </c>
      <c r="DN274" s="168">
        <f t="shared" si="613"/>
        <v>0</v>
      </c>
      <c r="DO274" s="168">
        <f t="shared" si="613"/>
        <v>0</v>
      </c>
      <c r="DP274" s="168">
        <f t="shared" si="613"/>
        <v>0</v>
      </c>
      <c r="DQ274" s="168">
        <f t="shared" si="613"/>
        <v>0</v>
      </c>
      <c r="DR274" s="168">
        <f t="shared" si="613"/>
        <v>0</v>
      </c>
      <c r="DS274" s="168">
        <f t="shared" si="613"/>
        <v>0</v>
      </c>
      <c r="DT274" s="168">
        <f t="shared" si="613"/>
        <v>0</v>
      </c>
      <c r="DU274" s="168">
        <f t="shared" si="613"/>
        <v>0</v>
      </c>
      <c r="DV274" s="168">
        <f t="shared" si="613"/>
        <v>0</v>
      </c>
      <c r="DW274" s="168">
        <f t="shared" si="613"/>
        <v>0</v>
      </c>
      <c r="DX274" s="168">
        <f t="shared" si="613"/>
        <v>0</v>
      </c>
      <c r="DY274" s="168">
        <f t="shared" si="613"/>
        <v>0</v>
      </c>
      <c r="DZ274" s="168">
        <f t="shared" si="613"/>
        <v>0</v>
      </c>
      <c r="EA274" s="168">
        <f t="shared" si="613"/>
        <v>0</v>
      </c>
      <c r="EB274" s="168">
        <f t="shared" si="613"/>
        <v>0</v>
      </c>
      <c r="EC274" s="168">
        <f t="shared" si="613"/>
        <v>0</v>
      </c>
      <c r="ED274" s="1320">
        <f t="shared" si="613"/>
        <v>0</v>
      </c>
      <c r="EE274" s="168">
        <f t="shared" si="613"/>
        <v>0</v>
      </c>
      <c r="EF274" s="168">
        <f t="shared" si="613"/>
        <v>0</v>
      </c>
      <c r="EG274" s="168">
        <f t="shared" si="613"/>
        <v>0</v>
      </c>
      <c r="EH274" s="168">
        <f t="shared" si="613"/>
        <v>0</v>
      </c>
      <c r="EI274" s="168">
        <f t="shared" si="613"/>
        <v>0</v>
      </c>
      <c r="EJ274" s="168">
        <f t="shared" ref="EJ274:EQ274" si="614">EI277</f>
        <v>0</v>
      </c>
      <c r="EK274" s="168">
        <f t="shared" si="614"/>
        <v>0</v>
      </c>
      <c r="EL274" s="168">
        <f t="shared" si="614"/>
        <v>0</v>
      </c>
      <c r="EM274" s="168">
        <f t="shared" si="614"/>
        <v>0</v>
      </c>
      <c r="EN274" s="168">
        <f t="shared" si="614"/>
        <v>0</v>
      </c>
      <c r="EO274" s="168">
        <f t="shared" si="614"/>
        <v>0</v>
      </c>
      <c r="EP274" s="168">
        <f t="shared" si="614"/>
        <v>0</v>
      </c>
      <c r="EQ274" s="168">
        <f t="shared" si="614"/>
        <v>0</v>
      </c>
    </row>
    <row r="275" spans="3:147" ht="11.25" customHeight="1">
      <c r="C275" s="218"/>
      <c r="D275" s="163"/>
      <c r="E275" s="169" t="s">
        <v>218</v>
      </c>
      <c r="J275" s="171">
        <f>SUM(L275:EQ275)</f>
        <v>0</v>
      </c>
      <c r="K275" s="98"/>
      <c r="L275" s="171">
        <f>L93*10%</f>
        <v>0</v>
      </c>
      <c r="M275" s="171">
        <f t="shared" ref="M275:BX275" si="615">M93*10%</f>
        <v>0</v>
      </c>
      <c r="N275" s="171">
        <f t="shared" si="615"/>
        <v>0</v>
      </c>
      <c r="O275" s="171">
        <f t="shared" si="615"/>
        <v>0</v>
      </c>
      <c r="P275" s="171">
        <f t="shared" si="615"/>
        <v>0</v>
      </c>
      <c r="Q275" s="171">
        <f t="shared" si="615"/>
        <v>0</v>
      </c>
      <c r="R275" s="171">
        <f t="shared" si="615"/>
        <v>0</v>
      </c>
      <c r="S275" s="171">
        <f t="shared" si="615"/>
        <v>0</v>
      </c>
      <c r="T275" s="171">
        <f t="shared" si="615"/>
        <v>0</v>
      </c>
      <c r="U275" s="171">
        <f t="shared" si="615"/>
        <v>0</v>
      </c>
      <c r="V275" s="171">
        <f t="shared" si="615"/>
        <v>0</v>
      </c>
      <c r="W275" s="171">
        <f t="shared" si="615"/>
        <v>0</v>
      </c>
      <c r="X275" s="171">
        <f t="shared" si="615"/>
        <v>0</v>
      </c>
      <c r="Y275" s="171">
        <f t="shared" si="615"/>
        <v>0</v>
      </c>
      <c r="Z275" s="171">
        <f t="shared" si="615"/>
        <v>0</v>
      </c>
      <c r="AA275" s="171">
        <f t="shared" si="615"/>
        <v>0</v>
      </c>
      <c r="AB275" s="171">
        <f t="shared" si="615"/>
        <v>0</v>
      </c>
      <c r="AC275" s="171">
        <f t="shared" si="615"/>
        <v>0</v>
      </c>
      <c r="AD275" s="171">
        <f t="shared" si="615"/>
        <v>0</v>
      </c>
      <c r="AE275" s="171">
        <f t="shared" si="615"/>
        <v>0</v>
      </c>
      <c r="AF275" s="171">
        <f t="shared" si="615"/>
        <v>0</v>
      </c>
      <c r="AG275" s="171">
        <f t="shared" si="615"/>
        <v>0</v>
      </c>
      <c r="AH275" s="171">
        <f t="shared" si="615"/>
        <v>0</v>
      </c>
      <c r="AI275" s="171">
        <f t="shared" si="615"/>
        <v>0</v>
      </c>
      <c r="AJ275" s="171">
        <f t="shared" si="615"/>
        <v>0</v>
      </c>
      <c r="AK275" s="171">
        <f t="shared" si="615"/>
        <v>0</v>
      </c>
      <c r="AL275" s="171">
        <f t="shared" si="615"/>
        <v>0</v>
      </c>
      <c r="AM275" s="171">
        <f t="shared" si="615"/>
        <v>0</v>
      </c>
      <c r="AN275" s="171">
        <f t="shared" si="615"/>
        <v>0</v>
      </c>
      <c r="AO275" s="171">
        <f t="shared" si="615"/>
        <v>0</v>
      </c>
      <c r="AP275" s="171">
        <f t="shared" si="615"/>
        <v>0</v>
      </c>
      <c r="AQ275" s="171">
        <f t="shared" si="615"/>
        <v>0</v>
      </c>
      <c r="AR275" s="171">
        <f t="shared" si="615"/>
        <v>0</v>
      </c>
      <c r="AS275" s="171">
        <f t="shared" si="615"/>
        <v>0</v>
      </c>
      <c r="AT275" s="171">
        <f t="shared" si="615"/>
        <v>0</v>
      </c>
      <c r="AU275" s="171">
        <f t="shared" si="615"/>
        <v>0</v>
      </c>
      <c r="AV275" s="171">
        <f t="shared" si="615"/>
        <v>0</v>
      </c>
      <c r="AW275" s="171">
        <f t="shared" si="615"/>
        <v>0</v>
      </c>
      <c r="AX275" s="171">
        <f t="shared" si="615"/>
        <v>0</v>
      </c>
      <c r="AY275" s="171">
        <f t="shared" si="615"/>
        <v>0</v>
      </c>
      <c r="AZ275" s="171">
        <f t="shared" si="615"/>
        <v>0</v>
      </c>
      <c r="BA275" s="171">
        <f t="shared" si="615"/>
        <v>0</v>
      </c>
      <c r="BB275" s="171">
        <f t="shared" si="615"/>
        <v>0</v>
      </c>
      <c r="BC275" s="171">
        <f t="shared" si="615"/>
        <v>0</v>
      </c>
      <c r="BD275" s="171">
        <f t="shared" si="615"/>
        <v>0</v>
      </c>
      <c r="BE275" s="171">
        <f t="shared" si="615"/>
        <v>0</v>
      </c>
      <c r="BF275" s="171">
        <f t="shared" si="615"/>
        <v>0</v>
      </c>
      <c r="BG275" s="171">
        <f t="shared" si="615"/>
        <v>0</v>
      </c>
      <c r="BH275" s="171">
        <f t="shared" si="615"/>
        <v>0</v>
      </c>
      <c r="BI275" s="171">
        <f t="shared" si="615"/>
        <v>0</v>
      </c>
      <c r="BJ275" s="171">
        <f t="shared" si="615"/>
        <v>0</v>
      </c>
      <c r="BK275" s="171">
        <f t="shared" si="615"/>
        <v>0</v>
      </c>
      <c r="BL275" s="171">
        <f t="shared" si="615"/>
        <v>0</v>
      </c>
      <c r="BM275" s="171">
        <f t="shared" si="615"/>
        <v>0</v>
      </c>
      <c r="BN275" s="171">
        <f t="shared" si="615"/>
        <v>0</v>
      </c>
      <c r="BO275" s="171">
        <f t="shared" si="615"/>
        <v>0</v>
      </c>
      <c r="BP275" s="171">
        <f t="shared" si="615"/>
        <v>0</v>
      </c>
      <c r="BQ275" s="171">
        <f t="shared" si="615"/>
        <v>0</v>
      </c>
      <c r="BR275" s="171">
        <f t="shared" si="615"/>
        <v>0</v>
      </c>
      <c r="BS275" s="171">
        <f t="shared" si="615"/>
        <v>0</v>
      </c>
      <c r="BT275" s="171">
        <f t="shared" si="615"/>
        <v>0</v>
      </c>
      <c r="BU275" s="171">
        <f t="shared" si="615"/>
        <v>0</v>
      </c>
      <c r="BV275" s="171">
        <f t="shared" si="615"/>
        <v>0</v>
      </c>
      <c r="BW275" s="171">
        <f t="shared" si="615"/>
        <v>0</v>
      </c>
      <c r="BX275" s="171">
        <f t="shared" si="615"/>
        <v>0</v>
      </c>
      <c r="BY275" s="171">
        <f t="shared" ref="BY275:EJ275" si="616">BY93*10%</f>
        <v>0</v>
      </c>
      <c r="BZ275" s="171">
        <f t="shared" si="616"/>
        <v>0</v>
      </c>
      <c r="CA275" s="171">
        <f t="shared" si="616"/>
        <v>0</v>
      </c>
      <c r="CB275" s="171">
        <f t="shared" si="616"/>
        <v>0</v>
      </c>
      <c r="CC275" s="171">
        <f t="shared" si="616"/>
        <v>0</v>
      </c>
      <c r="CD275" s="171">
        <f t="shared" si="616"/>
        <v>0</v>
      </c>
      <c r="CE275" s="171">
        <f t="shared" si="616"/>
        <v>0</v>
      </c>
      <c r="CF275" s="171">
        <f t="shared" si="616"/>
        <v>0</v>
      </c>
      <c r="CG275" s="171">
        <f t="shared" si="616"/>
        <v>0</v>
      </c>
      <c r="CH275" s="171">
        <f t="shared" si="616"/>
        <v>0</v>
      </c>
      <c r="CI275" s="171">
        <f t="shared" si="616"/>
        <v>0</v>
      </c>
      <c r="CJ275" s="171">
        <f t="shared" si="616"/>
        <v>0</v>
      </c>
      <c r="CK275" s="171">
        <f t="shared" si="616"/>
        <v>0</v>
      </c>
      <c r="CL275" s="171">
        <f t="shared" si="616"/>
        <v>0</v>
      </c>
      <c r="CM275" s="171">
        <f t="shared" si="616"/>
        <v>0</v>
      </c>
      <c r="CN275" s="171">
        <f t="shared" si="616"/>
        <v>0</v>
      </c>
      <c r="CO275" s="171">
        <f t="shared" si="616"/>
        <v>0</v>
      </c>
      <c r="CP275" s="171">
        <f t="shared" si="616"/>
        <v>0</v>
      </c>
      <c r="CQ275" s="171">
        <f t="shared" si="616"/>
        <v>0</v>
      </c>
      <c r="CR275" s="171">
        <f t="shared" si="616"/>
        <v>0</v>
      </c>
      <c r="CS275" s="171">
        <f t="shared" si="616"/>
        <v>0</v>
      </c>
      <c r="CT275" s="171">
        <f t="shared" si="616"/>
        <v>0</v>
      </c>
      <c r="CU275" s="171">
        <f t="shared" si="616"/>
        <v>0</v>
      </c>
      <c r="CV275" s="171">
        <f t="shared" si="616"/>
        <v>0</v>
      </c>
      <c r="CW275" s="171">
        <f t="shared" si="616"/>
        <v>0</v>
      </c>
      <c r="CX275" s="171">
        <f t="shared" si="616"/>
        <v>0</v>
      </c>
      <c r="CY275" s="171">
        <f t="shared" si="616"/>
        <v>0</v>
      </c>
      <c r="CZ275" s="171">
        <f t="shared" si="616"/>
        <v>0</v>
      </c>
      <c r="DA275" s="171">
        <f t="shared" si="616"/>
        <v>0</v>
      </c>
      <c r="DB275" s="171">
        <f t="shared" si="616"/>
        <v>0</v>
      </c>
      <c r="DC275" s="171">
        <f t="shared" si="616"/>
        <v>0</v>
      </c>
      <c r="DD275" s="171">
        <f t="shared" si="616"/>
        <v>0</v>
      </c>
      <c r="DE275" s="171">
        <f t="shared" si="616"/>
        <v>0</v>
      </c>
      <c r="DF275" s="171">
        <f t="shared" si="616"/>
        <v>0</v>
      </c>
      <c r="DG275" s="171">
        <f t="shared" si="616"/>
        <v>0</v>
      </c>
      <c r="DH275" s="171">
        <f t="shared" si="616"/>
        <v>0</v>
      </c>
      <c r="DI275" s="171">
        <f t="shared" si="616"/>
        <v>0</v>
      </c>
      <c r="DJ275" s="171">
        <f t="shared" si="616"/>
        <v>0</v>
      </c>
      <c r="DK275" s="171">
        <f t="shared" si="616"/>
        <v>0</v>
      </c>
      <c r="DL275" s="171">
        <f t="shared" si="616"/>
        <v>0</v>
      </c>
      <c r="DM275" s="171">
        <f t="shared" si="616"/>
        <v>0</v>
      </c>
      <c r="DN275" s="171">
        <f t="shared" si="616"/>
        <v>0</v>
      </c>
      <c r="DO275" s="171">
        <f t="shared" si="616"/>
        <v>0</v>
      </c>
      <c r="DP275" s="171">
        <f t="shared" si="616"/>
        <v>0</v>
      </c>
      <c r="DQ275" s="171">
        <f t="shared" si="616"/>
        <v>0</v>
      </c>
      <c r="DR275" s="171">
        <f t="shared" si="616"/>
        <v>0</v>
      </c>
      <c r="DS275" s="171">
        <f t="shared" si="616"/>
        <v>0</v>
      </c>
      <c r="DT275" s="171">
        <f t="shared" si="616"/>
        <v>0</v>
      </c>
      <c r="DU275" s="171">
        <f t="shared" si="616"/>
        <v>0</v>
      </c>
      <c r="DV275" s="171">
        <f t="shared" si="616"/>
        <v>0</v>
      </c>
      <c r="DW275" s="171">
        <f t="shared" si="616"/>
        <v>0</v>
      </c>
      <c r="DX275" s="171">
        <f t="shared" si="616"/>
        <v>0</v>
      </c>
      <c r="DY275" s="171">
        <f t="shared" si="616"/>
        <v>0</v>
      </c>
      <c r="DZ275" s="171">
        <f t="shared" si="616"/>
        <v>0</v>
      </c>
      <c r="EA275" s="171">
        <f t="shared" si="616"/>
        <v>0</v>
      </c>
      <c r="EB275" s="171">
        <f t="shared" si="616"/>
        <v>0</v>
      </c>
      <c r="EC275" s="171">
        <f t="shared" si="616"/>
        <v>0</v>
      </c>
      <c r="ED275" s="1321">
        <f t="shared" si="616"/>
        <v>0</v>
      </c>
      <c r="EE275" s="171">
        <f t="shared" si="616"/>
        <v>0</v>
      </c>
      <c r="EF275" s="171">
        <f t="shared" si="616"/>
        <v>0</v>
      </c>
      <c r="EG275" s="171">
        <f t="shared" si="616"/>
        <v>0</v>
      </c>
      <c r="EH275" s="171">
        <f t="shared" si="616"/>
        <v>0</v>
      </c>
      <c r="EI275" s="171">
        <f t="shared" si="616"/>
        <v>0</v>
      </c>
      <c r="EJ275" s="171">
        <f t="shared" si="616"/>
        <v>0</v>
      </c>
      <c r="EK275" s="171">
        <f t="shared" ref="EK275:EQ275" si="617">EK93*10%</f>
        <v>0</v>
      </c>
      <c r="EL275" s="171">
        <f t="shared" si="617"/>
        <v>0</v>
      </c>
      <c r="EM275" s="171">
        <f t="shared" si="617"/>
        <v>0</v>
      </c>
      <c r="EN275" s="171">
        <f t="shared" si="617"/>
        <v>0</v>
      </c>
      <c r="EO275" s="171">
        <f t="shared" si="617"/>
        <v>0</v>
      </c>
      <c r="EP275" s="171">
        <f t="shared" si="617"/>
        <v>0</v>
      </c>
      <c r="EQ275" s="171">
        <f t="shared" si="617"/>
        <v>0</v>
      </c>
    </row>
    <row r="276" spans="3:147" ht="11.25" customHeight="1">
      <c r="C276" s="218"/>
      <c r="D276" s="163"/>
      <c r="E276" s="169" t="s">
        <v>219</v>
      </c>
      <c r="H276" s="146">
        <f>'A&amp;R'!N45</f>
        <v>47057</v>
      </c>
      <c r="I276" s="134"/>
      <c r="J276" s="171">
        <f>SUM(L276:EQ276)</f>
        <v>0</v>
      </c>
      <c r="K276" s="98"/>
      <c r="L276" s="171">
        <f>SUM(L274:L275)*(L$231=$H276)</f>
        <v>0</v>
      </c>
      <c r="M276" s="171">
        <f t="shared" ref="M276:BX276" si="618">SUM(M274:M275)*(M$231=$H276)</f>
        <v>0</v>
      </c>
      <c r="N276" s="171">
        <f t="shared" si="618"/>
        <v>0</v>
      </c>
      <c r="O276" s="171">
        <f t="shared" si="618"/>
        <v>0</v>
      </c>
      <c r="P276" s="171">
        <f t="shared" si="618"/>
        <v>0</v>
      </c>
      <c r="Q276" s="171">
        <f t="shared" si="618"/>
        <v>0</v>
      </c>
      <c r="R276" s="171">
        <f t="shared" si="618"/>
        <v>0</v>
      </c>
      <c r="S276" s="171">
        <f t="shared" si="618"/>
        <v>0</v>
      </c>
      <c r="T276" s="171">
        <f t="shared" si="618"/>
        <v>0</v>
      </c>
      <c r="U276" s="171">
        <f t="shared" si="618"/>
        <v>0</v>
      </c>
      <c r="V276" s="171">
        <f t="shared" si="618"/>
        <v>0</v>
      </c>
      <c r="W276" s="171">
        <f t="shared" si="618"/>
        <v>0</v>
      </c>
      <c r="X276" s="171">
        <f t="shared" si="618"/>
        <v>0</v>
      </c>
      <c r="Y276" s="171">
        <f t="shared" si="618"/>
        <v>0</v>
      </c>
      <c r="Z276" s="171">
        <f t="shared" si="618"/>
        <v>0</v>
      </c>
      <c r="AA276" s="171">
        <f t="shared" si="618"/>
        <v>0</v>
      </c>
      <c r="AB276" s="171">
        <f t="shared" si="618"/>
        <v>0</v>
      </c>
      <c r="AC276" s="171">
        <f t="shared" si="618"/>
        <v>0</v>
      </c>
      <c r="AD276" s="171">
        <f t="shared" si="618"/>
        <v>0</v>
      </c>
      <c r="AE276" s="171">
        <f t="shared" si="618"/>
        <v>0</v>
      </c>
      <c r="AF276" s="171">
        <f t="shared" si="618"/>
        <v>0</v>
      </c>
      <c r="AG276" s="171">
        <f t="shared" si="618"/>
        <v>0</v>
      </c>
      <c r="AH276" s="171">
        <f t="shared" si="618"/>
        <v>0</v>
      </c>
      <c r="AI276" s="171">
        <f t="shared" si="618"/>
        <v>0</v>
      </c>
      <c r="AJ276" s="171">
        <f t="shared" si="618"/>
        <v>0</v>
      </c>
      <c r="AK276" s="171">
        <f t="shared" si="618"/>
        <v>0</v>
      </c>
      <c r="AL276" s="171">
        <f t="shared" si="618"/>
        <v>0</v>
      </c>
      <c r="AM276" s="171">
        <f t="shared" si="618"/>
        <v>0</v>
      </c>
      <c r="AN276" s="171">
        <f t="shared" si="618"/>
        <v>0</v>
      </c>
      <c r="AO276" s="171">
        <f t="shared" si="618"/>
        <v>0</v>
      </c>
      <c r="AP276" s="171">
        <f t="shared" si="618"/>
        <v>0</v>
      </c>
      <c r="AQ276" s="171">
        <f t="shared" si="618"/>
        <v>0</v>
      </c>
      <c r="AR276" s="171">
        <f t="shared" si="618"/>
        <v>0</v>
      </c>
      <c r="AS276" s="171">
        <f t="shared" si="618"/>
        <v>0</v>
      </c>
      <c r="AT276" s="171">
        <f t="shared" si="618"/>
        <v>0</v>
      </c>
      <c r="AU276" s="171">
        <f t="shared" si="618"/>
        <v>0</v>
      </c>
      <c r="AV276" s="171">
        <f t="shared" si="618"/>
        <v>0</v>
      </c>
      <c r="AW276" s="171">
        <f t="shared" si="618"/>
        <v>0</v>
      </c>
      <c r="AX276" s="171">
        <f t="shared" si="618"/>
        <v>0</v>
      </c>
      <c r="AY276" s="171">
        <f t="shared" si="618"/>
        <v>0</v>
      </c>
      <c r="AZ276" s="171">
        <f t="shared" si="618"/>
        <v>0</v>
      </c>
      <c r="BA276" s="171">
        <f t="shared" si="618"/>
        <v>0</v>
      </c>
      <c r="BB276" s="171">
        <f t="shared" si="618"/>
        <v>0</v>
      </c>
      <c r="BC276" s="171">
        <f t="shared" si="618"/>
        <v>0</v>
      </c>
      <c r="BD276" s="171">
        <f t="shared" si="618"/>
        <v>0</v>
      </c>
      <c r="BE276" s="171">
        <f t="shared" si="618"/>
        <v>0</v>
      </c>
      <c r="BF276" s="171">
        <f t="shared" si="618"/>
        <v>0</v>
      </c>
      <c r="BG276" s="171">
        <f t="shared" si="618"/>
        <v>0</v>
      </c>
      <c r="BH276" s="171">
        <f t="shared" si="618"/>
        <v>0</v>
      </c>
      <c r="BI276" s="171">
        <f t="shared" si="618"/>
        <v>0</v>
      </c>
      <c r="BJ276" s="171">
        <f t="shared" si="618"/>
        <v>0</v>
      </c>
      <c r="BK276" s="171">
        <f t="shared" si="618"/>
        <v>0</v>
      </c>
      <c r="BL276" s="171">
        <f t="shared" si="618"/>
        <v>0</v>
      </c>
      <c r="BM276" s="171">
        <f t="shared" si="618"/>
        <v>0</v>
      </c>
      <c r="BN276" s="171">
        <f t="shared" si="618"/>
        <v>0</v>
      </c>
      <c r="BO276" s="171">
        <f t="shared" si="618"/>
        <v>0</v>
      </c>
      <c r="BP276" s="171">
        <f t="shared" si="618"/>
        <v>0</v>
      </c>
      <c r="BQ276" s="171">
        <f t="shared" si="618"/>
        <v>0</v>
      </c>
      <c r="BR276" s="171">
        <f t="shared" si="618"/>
        <v>0</v>
      </c>
      <c r="BS276" s="171">
        <f t="shared" si="618"/>
        <v>0</v>
      </c>
      <c r="BT276" s="171">
        <f t="shared" si="618"/>
        <v>0</v>
      </c>
      <c r="BU276" s="171">
        <f t="shared" si="618"/>
        <v>0</v>
      </c>
      <c r="BV276" s="171">
        <f t="shared" si="618"/>
        <v>0</v>
      </c>
      <c r="BW276" s="171">
        <f t="shared" si="618"/>
        <v>0</v>
      </c>
      <c r="BX276" s="171">
        <f t="shared" si="618"/>
        <v>0</v>
      </c>
      <c r="BY276" s="171">
        <f t="shared" ref="BY276:EJ276" si="619">SUM(BY274:BY275)*(BY$231=$H276)</f>
        <v>0</v>
      </c>
      <c r="BZ276" s="171">
        <f t="shared" si="619"/>
        <v>0</v>
      </c>
      <c r="CA276" s="171">
        <f t="shared" si="619"/>
        <v>0</v>
      </c>
      <c r="CB276" s="171">
        <f t="shared" si="619"/>
        <v>0</v>
      </c>
      <c r="CC276" s="171">
        <f t="shared" si="619"/>
        <v>0</v>
      </c>
      <c r="CD276" s="171">
        <f t="shared" si="619"/>
        <v>0</v>
      </c>
      <c r="CE276" s="171">
        <f t="shared" si="619"/>
        <v>0</v>
      </c>
      <c r="CF276" s="171">
        <f t="shared" si="619"/>
        <v>0</v>
      </c>
      <c r="CG276" s="171">
        <f t="shared" si="619"/>
        <v>0</v>
      </c>
      <c r="CH276" s="171">
        <f t="shared" si="619"/>
        <v>0</v>
      </c>
      <c r="CI276" s="171">
        <f t="shared" si="619"/>
        <v>0</v>
      </c>
      <c r="CJ276" s="171">
        <f t="shared" si="619"/>
        <v>0</v>
      </c>
      <c r="CK276" s="171">
        <f t="shared" si="619"/>
        <v>0</v>
      </c>
      <c r="CL276" s="171">
        <f t="shared" si="619"/>
        <v>0</v>
      </c>
      <c r="CM276" s="171">
        <f t="shared" si="619"/>
        <v>0</v>
      </c>
      <c r="CN276" s="171">
        <f t="shared" si="619"/>
        <v>0</v>
      </c>
      <c r="CO276" s="171">
        <f t="shared" si="619"/>
        <v>0</v>
      </c>
      <c r="CP276" s="171">
        <f t="shared" si="619"/>
        <v>0</v>
      </c>
      <c r="CQ276" s="171">
        <f t="shared" si="619"/>
        <v>0</v>
      </c>
      <c r="CR276" s="171">
        <f t="shared" si="619"/>
        <v>0</v>
      </c>
      <c r="CS276" s="171">
        <f t="shared" si="619"/>
        <v>0</v>
      </c>
      <c r="CT276" s="171">
        <f t="shared" si="619"/>
        <v>0</v>
      </c>
      <c r="CU276" s="171">
        <f t="shared" si="619"/>
        <v>0</v>
      </c>
      <c r="CV276" s="171">
        <f t="shared" si="619"/>
        <v>0</v>
      </c>
      <c r="CW276" s="171">
        <f t="shared" si="619"/>
        <v>0</v>
      </c>
      <c r="CX276" s="171">
        <f t="shared" si="619"/>
        <v>0</v>
      </c>
      <c r="CY276" s="171">
        <f t="shared" si="619"/>
        <v>0</v>
      </c>
      <c r="CZ276" s="171">
        <f t="shared" si="619"/>
        <v>0</v>
      </c>
      <c r="DA276" s="171">
        <f t="shared" si="619"/>
        <v>0</v>
      </c>
      <c r="DB276" s="171">
        <f t="shared" si="619"/>
        <v>0</v>
      </c>
      <c r="DC276" s="171">
        <f t="shared" si="619"/>
        <v>0</v>
      </c>
      <c r="DD276" s="171">
        <f t="shared" si="619"/>
        <v>0</v>
      </c>
      <c r="DE276" s="171">
        <f t="shared" si="619"/>
        <v>0</v>
      </c>
      <c r="DF276" s="171">
        <f t="shared" si="619"/>
        <v>0</v>
      </c>
      <c r="DG276" s="171">
        <f t="shared" si="619"/>
        <v>0</v>
      </c>
      <c r="DH276" s="171">
        <f t="shared" si="619"/>
        <v>0</v>
      </c>
      <c r="DI276" s="171">
        <f t="shared" si="619"/>
        <v>0</v>
      </c>
      <c r="DJ276" s="171">
        <f t="shared" si="619"/>
        <v>0</v>
      </c>
      <c r="DK276" s="171">
        <f t="shared" si="619"/>
        <v>0</v>
      </c>
      <c r="DL276" s="171">
        <f t="shared" si="619"/>
        <v>0</v>
      </c>
      <c r="DM276" s="171">
        <f t="shared" si="619"/>
        <v>0</v>
      </c>
      <c r="DN276" s="171">
        <f t="shared" si="619"/>
        <v>0</v>
      </c>
      <c r="DO276" s="171">
        <f t="shared" si="619"/>
        <v>0</v>
      </c>
      <c r="DP276" s="171">
        <f t="shared" si="619"/>
        <v>0</v>
      </c>
      <c r="DQ276" s="171">
        <f t="shared" si="619"/>
        <v>0</v>
      </c>
      <c r="DR276" s="171">
        <f t="shared" si="619"/>
        <v>0</v>
      </c>
      <c r="DS276" s="171">
        <f t="shared" si="619"/>
        <v>0</v>
      </c>
      <c r="DT276" s="171">
        <f t="shared" si="619"/>
        <v>0</v>
      </c>
      <c r="DU276" s="171">
        <f t="shared" si="619"/>
        <v>0</v>
      </c>
      <c r="DV276" s="171">
        <f t="shared" si="619"/>
        <v>0</v>
      </c>
      <c r="DW276" s="171">
        <f t="shared" si="619"/>
        <v>0</v>
      </c>
      <c r="DX276" s="171">
        <f t="shared" si="619"/>
        <v>0</v>
      </c>
      <c r="DY276" s="171">
        <f t="shared" si="619"/>
        <v>0</v>
      </c>
      <c r="DZ276" s="171">
        <f t="shared" si="619"/>
        <v>0</v>
      </c>
      <c r="EA276" s="171">
        <f t="shared" si="619"/>
        <v>0</v>
      </c>
      <c r="EB276" s="171">
        <f t="shared" si="619"/>
        <v>0</v>
      </c>
      <c r="EC276" s="171">
        <f t="shared" si="619"/>
        <v>0</v>
      </c>
      <c r="ED276" s="1321">
        <f t="shared" si="619"/>
        <v>0</v>
      </c>
      <c r="EE276" s="171">
        <f t="shared" si="619"/>
        <v>0</v>
      </c>
      <c r="EF276" s="171">
        <f t="shared" si="619"/>
        <v>0</v>
      </c>
      <c r="EG276" s="171">
        <f t="shared" si="619"/>
        <v>0</v>
      </c>
      <c r="EH276" s="171">
        <f t="shared" si="619"/>
        <v>0</v>
      </c>
      <c r="EI276" s="171">
        <f t="shared" si="619"/>
        <v>0</v>
      </c>
      <c r="EJ276" s="171">
        <f t="shared" si="619"/>
        <v>0</v>
      </c>
      <c r="EK276" s="171">
        <f t="shared" ref="EK276:EQ276" si="620">SUM(EK274:EK275)*(EK$231=$H276)</f>
        <v>0</v>
      </c>
      <c r="EL276" s="171">
        <f t="shared" si="620"/>
        <v>0</v>
      </c>
      <c r="EM276" s="171">
        <f t="shared" si="620"/>
        <v>0</v>
      </c>
      <c r="EN276" s="171">
        <f t="shared" si="620"/>
        <v>0</v>
      </c>
      <c r="EO276" s="171">
        <f t="shared" si="620"/>
        <v>0</v>
      </c>
      <c r="EP276" s="171">
        <f t="shared" si="620"/>
        <v>0</v>
      </c>
      <c r="EQ276" s="171">
        <f t="shared" si="620"/>
        <v>0</v>
      </c>
    </row>
    <row r="277" spans="3:147" ht="11.25" customHeight="1">
      <c r="C277" s="244"/>
      <c r="D277" s="178"/>
      <c r="E277" s="179" t="s">
        <v>220</v>
      </c>
      <c r="F277" s="180"/>
      <c r="G277" s="180"/>
      <c r="H277" s="182"/>
      <c r="I277" s="245"/>
      <c r="J277" s="184"/>
      <c r="K277" s="98"/>
      <c r="L277" s="184">
        <f t="shared" ref="L277:BW277" si="621">L274+L275-L276</f>
        <v>0</v>
      </c>
      <c r="M277" s="184">
        <f t="shared" si="621"/>
        <v>0</v>
      </c>
      <c r="N277" s="184">
        <f t="shared" si="621"/>
        <v>0</v>
      </c>
      <c r="O277" s="184">
        <f t="shared" si="621"/>
        <v>0</v>
      </c>
      <c r="P277" s="184">
        <f t="shared" si="621"/>
        <v>0</v>
      </c>
      <c r="Q277" s="184">
        <f t="shared" si="621"/>
        <v>0</v>
      </c>
      <c r="R277" s="184">
        <f t="shared" si="621"/>
        <v>0</v>
      </c>
      <c r="S277" s="184">
        <f t="shared" si="621"/>
        <v>0</v>
      </c>
      <c r="T277" s="184">
        <f t="shared" si="621"/>
        <v>0</v>
      </c>
      <c r="U277" s="184">
        <f t="shared" si="621"/>
        <v>0</v>
      </c>
      <c r="V277" s="184">
        <f t="shared" si="621"/>
        <v>0</v>
      </c>
      <c r="W277" s="184">
        <f t="shared" si="621"/>
        <v>0</v>
      </c>
      <c r="X277" s="184">
        <f t="shared" si="621"/>
        <v>0</v>
      </c>
      <c r="Y277" s="184">
        <f t="shared" si="621"/>
        <v>0</v>
      </c>
      <c r="Z277" s="184">
        <f t="shared" si="621"/>
        <v>0</v>
      </c>
      <c r="AA277" s="184">
        <f t="shared" si="621"/>
        <v>0</v>
      </c>
      <c r="AB277" s="184">
        <f t="shared" si="621"/>
        <v>0</v>
      </c>
      <c r="AC277" s="184">
        <f t="shared" si="621"/>
        <v>0</v>
      </c>
      <c r="AD277" s="184">
        <f t="shared" si="621"/>
        <v>0</v>
      </c>
      <c r="AE277" s="184">
        <f t="shared" si="621"/>
        <v>0</v>
      </c>
      <c r="AF277" s="184">
        <f t="shared" si="621"/>
        <v>0</v>
      </c>
      <c r="AG277" s="184">
        <f t="shared" si="621"/>
        <v>0</v>
      </c>
      <c r="AH277" s="184">
        <f t="shared" si="621"/>
        <v>0</v>
      </c>
      <c r="AI277" s="184">
        <f t="shared" si="621"/>
        <v>0</v>
      </c>
      <c r="AJ277" s="184">
        <f t="shared" si="621"/>
        <v>0</v>
      </c>
      <c r="AK277" s="184">
        <f t="shared" si="621"/>
        <v>0</v>
      </c>
      <c r="AL277" s="184">
        <f t="shared" si="621"/>
        <v>0</v>
      </c>
      <c r="AM277" s="184">
        <f t="shared" si="621"/>
        <v>0</v>
      </c>
      <c r="AN277" s="184">
        <f t="shared" si="621"/>
        <v>0</v>
      </c>
      <c r="AO277" s="184">
        <f t="shared" si="621"/>
        <v>0</v>
      </c>
      <c r="AP277" s="184">
        <f t="shared" si="621"/>
        <v>0</v>
      </c>
      <c r="AQ277" s="184">
        <f t="shared" si="621"/>
        <v>0</v>
      </c>
      <c r="AR277" s="184">
        <f t="shared" si="621"/>
        <v>0</v>
      </c>
      <c r="AS277" s="184">
        <f t="shared" si="621"/>
        <v>0</v>
      </c>
      <c r="AT277" s="184">
        <f t="shared" si="621"/>
        <v>0</v>
      </c>
      <c r="AU277" s="184">
        <f t="shared" si="621"/>
        <v>0</v>
      </c>
      <c r="AV277" s="184">
        <f t="shared" si="621"/>
        <v>0</v>
      </c>
      <c r="AW277" s="184">
        <f t="shared" si="621"/>
        <v>0</v>
      </c>
      <c r="AX277" s="184">
        <f t="shared" si="621"/>
        <v>0</v>
      </c>
      <c r="AY277" s="184">
        <f t="shared" si="621"/>
        <v>0</v>
      </c>
      <c r="AZ277" s="184">
        <f t="shared" si="621"/>
        <v>0</v>
      </c>
      <c r="BA277" s="184">
        <f t="shared" si="621"/>
        <v>0</v>
      </c>
      <c r="BB277" s="184">
        <f t="shared" si="621"/>
        <v>0</v>
      </c>
      <c r="BC277" s="184">
        <f t="shared" si="621"/>
        <v>0</v>
      </c>
      <c r="BD277" s="184">
        <f t="shared" si="621"/>
        <v>0</v>
      </c>
      <c r="BE277" s="184">
        <f t="shared" si="621"/>
        <v>0</v>
      </c>
      <c r="BF277" s="184">
        <f t="shared" si="621"/>
        <v>0</v>
      </c>
      <c r="BG277" s="184">
        <f t="shared" si="621"/>
        <v>0</v>
      </c>
      <c r="BH277" s="184">
        <f t="shared" si="621"/>
        <v>0</v>
      </c>
      <c r="BI277" s="184">
        <f t="shared" si="621"/>
        <v>0</v>
      </c>
      <c r="BJ277" s="184">
        <f t="shared" si="621"/>
        <v>0</v>
      </c>
      <c r="BK277" s="184">
        <f t="shared" si="621"/>
        <v>0</v>
      </c>
      <c r="BL277" s="184">
        <f t="shared" si="621"/>
        <v>0</v>
      </c>
      <c r="BM277" s="184">
        <f t="shared" si="621"/>
        <v>0</v>
      </c>
      <c r="BN277" s="184">
        <f t="shared" si="621"/>
        <v>0</v>
      </c>
      <c r="BO277" s="184">
        <f t="shared" si="621"/>
        <v>0</v>
      </c>
      <c r="BP277" s="184">
        <f t="shared" si="621"/>
        <v>0</v>
      </c>
      <c r="BQ277" s="184">
        <f t="shared" si="621"/>
        <v>0</v>
      </c>
      <c r="BR277" s="184">
        <f t="shared" si="621"/>
        <v>0</v>
      </c>
      <c r="BS277" s="184">
        <f t="shared" si="621"/>
        <v>0</v>
      </c>
      <c r="BT277" s="184">
        <f t="shared" si="621"/>
        <v>0</v>
      </c>
      <c r="BU277" s="184">
        <f t="shared" si="621"/>
        <v>0</v>
      </c>
      <c r="BV277" s="184">
        <f t="shared" si="621"/>
        <v>0</v>
      </c>
      <c r="BW277" s="184">
        <f t="shared" si="621"/>
        <v>0</v>
      </c>
      <c r="BX277" s="184">
        <f t="shared" ref="BX277:EI277" si="622">BX274+BX275-BX276</f>
        <v>0</v>
      </c>
      <c r="BY277" s="184">
        <f t="shared" si="622"/>
        <v>0</v>
      </c>
      <c r="BZ277" s="184">
        <f t="shared" si="622"/>
        <v>0</v>
      </c>
      <c r="CA277" s="184">
        <f t="shared" si="622"/>
        <v>0</v>
      </c>
      <c r="CB277" s="184">
        <f t="shared" si="622"/>
        <v>0</v>
      </c>
      <c r="CC277" s="184">
        <f t="shared" si="622"/>
        <v>0</v>
      </c>
      <c r="CD277" s="184">
        <f t="shared" si="622"/>
        <v>0</v>
      </c>
      <c r="CE277" s="184">
        <f t="shared" si="622"/>
        <v>0</v>
      </c>
      <c r="CF277" s="184">
        <f t="shared" si="622"/>
        <v>0</v>
      </c>
      <c r="CG277" s="184">
        <f t="shared" si="622"/>
        <v>0</v>
      </c>
      <c r="CH277" s="184">
        <f t="shared" si="622"/>
        <v>0</v>
      </c>
      <c r="CI277" s="184">
        <f t="shared" si="622"/>
        <v>0</v>
      </c>
      <c r="CJ277" s="184">
        <f t="shared" si="622"/>
        <v>0</v>
      </c>
      <c r="CK277" s="184">
        <f t="shared" si="622"/>
        <v>0</v>
      </c>
      <c r="CL277" s="184">
        <f t="shared" si="622"/>
        <v>0</v>
      </c>
      <c r="CM277" s="184">
        <f t="shared" si="622"/>
        <v>0</v>
      </c>
      <c r="CN277" s="184">
        <f t="shared" si="622"/>
        <v>0</v>
      </c>
      <c r="CO277" s="184">
        <f t="shared" si="622"/>
        <v>0</v>
      </c>
      <c r="CP277" s="184">
        <f t="shared" si="622"/>
        <v>0</v>
      </c>
      <c r="CQ277" s="184">
        <f t="shared" si="622"/>
        <v>0</v>
      </c>
      <c r="CR277" s="184">
        <f t="shared" si="622"/>
        <v>0</v>
      </c>
      <c r="CS277" s="184">
        <f t="shared" si="622"/>
        <v>0</v>
      </c>
      <c r="CT277" s="184">
        <f t="shared" si="622"/>
        <v>0</v>
      </c>
      <c r="CU277" s="184">
        <f t="shared" si="622"/>
        <v>0</v>
      </c>
      <c r="CV277" s="184">
        <f t="shared" si="622"/>
        <v>0</v>
      </c>
      <c r="CW277" s="184">
        <f t="shared" si="622"/>
        <v>0</v>
      </c>
      <c r="CX277" s="184">
        <f t="shared" si="622"/>
        <v>0</v>
      </c>
      <c r="CY277" s="184">
        <f t="shared" si="622"/>
        <v>0</v>
      </c>
      <c r="CZ277" s="184">
        <f t="shared" si="622"/>
        <v>0</v>
      </c>
      <c r="DA277" s="184">
        <f t="shared" si="622"/>
        <v>0</v>
      </c>
      <c r="DB277" s="184">
        <f t="shared" si="622"/>
        <v>0</v>
      </c>
      <c r="DC277" s="184">
        <f t="shared" si="622"/>
        <v>0</v>
      </c>
      <c r="DD277" s="184">
        <f t="shared" si="622"/>
        <v>0</v>
      </c>
      <c r="DE277" s="184">
        <f t="shared" si="622"/>
        <v>0</v>
      </c>
      <c r="DF277" s="184">
        <f t="shared" si="622"/>
        <v>0</v>
      </c>
      <c r="DG277" s="184">
        <f t="shared" si="622"/>
        <v>0</v>
      </c>
      <c r="DH277" s="184">
        <f t="shared" si="622"/>
        <v>0</v>
      </c>
      <c r="DI277" s="184">
        <f t="shared" si="622"/>
        <v>0</v>
      </c>
      <c r="DJ277" s="184">
        <f t="shared" si="622"/>
        <v>0</v>
      </c>
      <c r="DK277" s="184">
        <f t="shared" si="622"/>
        <v>0</v>
      </c>
      <c r="DL277" s="184">
        <f t="shared" si="622"/>
        <v>0</v>
      </c>
      <c r="DM277" s="184">
        <f t="shared" si="622"/>
        <v>0</v>
      </c>
      <c r="DN277" s="184">
        <f t="shared" si="622"/>
        <v>0</v>
      </c>
      <c r="DO277" s="184">
        <f t="shared" si="622"/>
        <v>0</v>
      </c>
      <c r="DP277" s="184">
        <f t="shared" si="622"/>
        <v>0</v>
      </c>
      <c r="DQ277" s="184">
        <f t="shared" si="622"/>
        <v>0</v>
      </c>
      <c r="DR277" s="184">
        <f t="shared" si="622"/>
        <v>0</v>
      </c>
      <c r="DS277" s="184">
        <f t="shared" si="622"/>
        <v>0</v>
      </c>
      <c r="DT277" s="184">
        <f t="shared" si="622"/>
        <v>0</v>
      </c>
      <c r="DU277" s="184">
        <f t="shared" si="622"/>
        <v>0</v>
      </c>
      <c r="DV277" s="184">
        <f t="shared" si="622"/>
        <v>0</v>
      </c>
      <c r="DW277" s="184">
        <f t="shared" si="622"/>
        <v>0</v>
      </c>
      <c r="DX277" s="184">
        <f t="shared" si="622"/>
        <v>0</v>
      </c>
      <c r="DY277" s="184">
        <f t="shared" si="622"/>
        <v>0</v>
      </c>
      <c r="DZ277" s="184">
        <f t="shared" si="622"/>
        <v>0</v>
      </c>
      <c r="EA277" s="184">
        <f t="shared" si="622"/>
        <v>0</v>
      </c>
      <c r="EB277" s="184">
        <f t="shared" si="622"/>
        <v>0</v>
      </c>
      <c r="EC277" s="184">
        <f t="shared" si="622"/>
        <v>0</v>
      </c>
      <c r="ED277" s="1324">
        <f t="shared" si="622"/>
        <v>0</v>
      </c>
      <c r="EE277" s="184">
        <f t="shared" si="622"/>
        <v>0</v>
      </c>
      <c r="EF277" s="184">
        <f t="shared" si="622"/>
        <v>0</v>
      </c>
      <c r="EG277" s="184">
        <f t="shared" si="622"/>
        <v>0</v>
      </c>
      <c r="EH277" s="184">
        <f t="shared" si="622"/>
        <v>0</v>
      </c>
      <c r="EI277" s="184">
        <f t="shared" si="622"/>
        <v>0</v>
      </c>
      <c r="EJ277" s="184">
        <f t="shared" ref="EJ277:EQ277" si="623">EJ274+EJ275-EJ276</f>
        <v>0</v>
      </c>
      <c r="EK277" s="184">
        <f t="shared" si="623"/>
        <v>0</v>
      </c>
      <c r="EL277" s="184">
        <f t="shared" si="623"/>
        <v>0</v>
      </c>
      <c r="EM277" s="184">
        <f t="shared" si="623"/>
        <v>0</v>
      </c>
      <c r="EN277" s="184">
        <f t="shared" si="623"/>
        <v>0</v>
      </c>
      <c r="EO277" s="184">
        <f t="shared" si="623"/>
        <v>0</v>
      </c>
      <c r="EP277" s="184">
        <f t="shared" si="623"/>
        <v>0</v>
      </c>
      <c r="EQ277" s="184">
        <f t="shared" si="623"/>
        <v>0</v>
      </c>
    </row>
    <row r="278" spans="3:147" ht="11.25" customHeight="1">
      <c r="C278" s="218"/>
      <c r="D278" s="158" t="s">
        <v>1031</v>
      </c>
      <c r="E278" s="159"/>
      <c r="F278" s="159"/>
      <c r="G278" s="159"/>
      <c r="H278" s="160"/>
      <c r="I278" s="219"/>
      <c r="J278" s="220"/>
      <c r="K278" s="98"/>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162"/>
      <c r="AK278" s="162"/>
      <c r="AL278" s="162"/>
      <c r="AM278" s="162"/>
      <c r="AN278" s="162"/>
      <c r="AO278" s="162"/>
      <c r="AP278" s="162"/>
      <c r="AQ278" s="162"/>
      <c r="AR278" s="162"/>
      <c r="AS278" s="162"/>
      <c r="AT278" s="162"/>
      <c r="AU278" s="162"/>
      <c r="AV278" s="162"/>
      <c r="AW278" s="162"/>
      <c r="AX278" s="162"/>
      <c r="AY278" s="162"/>
      <c r="AZ278" s="162"/>
      <c r="BA278" s="162"/>
      <c r="BB278" s="162"/>
      <c r="BC278" s="162"/>
      <c r="BD278" s="162"/>
      <c r="BE278" s="162"/>
      <c r="BF278" s="162"/>
      <c r="BG278" s="162"/>
      <c r="BH278" s="162"/>
      <c r="BI278" s="162"/>
      <c r="BJ278" s="162"/>
      <c r="BK278" s="162"/>
      <c r="BL278" s="162"/>
      <c r="BM278" s="162"/>
      <c r="BN278" s="162"/>
      <c r="BO278" s="162"/>
      <c r="BP278" s="162"/>
      <c r="BQ278" s="162"/>
      <c r="BR278" s="162"/>
      <c r="BS278" s="162"/>
      <c r="BT278" s="162"/>
      <c r="BU278" s="162"/>
      <c r="BV278" s="162"/>
      <c r="BW278" s="162"/>
      <c r="BX278" s="162"/>
      <c r="BY278" s="162"/>
      <c r="BZ278" s="162"/>
      <c r="CA278" s="162"/>
      <c r="CB278" s="162"/>
      <c r="CC278" s="162"/>
      <c r="CD278" s="162"/>
      <c r="CE278" s="162"/>
      <c r="CF278" s="162"/>
      <c r="CG278" s="162"/>
      <c r="CH278" s="162"/>
      <c r="CI278" s="162"/>
      <c r="CJ278" s="162"/>
      <c r="CK278" s="162"/>
      <c r="CL278" s="162"/>
      <c r="CM278" s="162"/>
      <c r="CN278" s="162"/>
      <c r="CO278" s="162"/>
      <c r="CP278" s="162"/>
      <c r="CQ278" s="162"/>
      <c r="CR278" s="162"/>
      <c r="CS278" s="162"/>
      <c r="CT278" s="162"/>
      <c r="CU278" s="162"/>
      <c r="CV278" s="162"/>
      <c r="CW278" s="162"/>
      <c r="CX278" s="162"/>
      <c r="CY278" s="162"/>
      <c r="CZ278" s="162"/>
      <c r="DA278" s="162"/>
      <c r="DB278" s="162"/>
      <c r="DC278" s="162"/>
      <c r="DD278" s="162"/>
      <c r="DE278" s="162"/>
      <c r="DF278" s="162"/>
      <c r="DG278" s="162"/>
      <c r="DH278" s="162"/>
      <c r="DI278" s="162"/>
      <c r="DJ278" s="162"/>
      <c r="DK278" s="162"/>
      <c r="DL278" s="162"/>
      <c r="DM278" s="162"/>
      <c r="DN278" s="162"/>
      <c r="DO278" s="162"/>
      <c r="DP278" s="162"/>
      <c r="DQ278" s="162"/>
      <c r="DR278" s="162"/>
      <c r="DS278" s="162"/>
      <c r="DT278" s="162"/>
      <c r="DU278" s="162"/>
      <c r="DV278" s="162"/>
      <c r="DW278" s="162"/>
      <c r="DX278" s="162"/>
      <c r="DY278" s="162"/>
      <c r="DZ278" s="162"/>
      <c r="EA278" s="162"/>
      <c r="EB278" s="162"/>
      <c r="EC278" s="162"/>
      <c r="ED278" s="1319"/>
      <c r="EE278" s="162"/>
      <c r="EF278" s="162"/>
      <c r="EG278" s="162"/>
      <c r="EH278" s="162"/>
      <c r="EI278" s="162"/>
      <c r="EJ278" s="162"/>
      <c r="EK278" s="162"/>
      <c r="EL278" s="162"/>
      <c r="EM278" s="162"/>
      <c r="EN278" s="162"/>
      <c r="EO278" s="162"/>
      <c r="EP278" s="162"/>
      <c r="EQ278" s="162"/>
    </row>
    <row r="279" spans="3:147" ht="11.25" customHeight="1">
      <c r="C279" s="218"/>
      <c r="D279" s="163"/>
      <c r="E279" s="164" t="s">
        <v>230</v>
      </c>
      <c r="F279" s="165"/>
      <c r="G279" s="165"/>
      <c r="H279" s="166"/>
      <c r="I279" s="221"/>
      <c r="J279" s="168"/>
      <c r="K279" s="98"/>
      <c r="L279" s="168">
        <f t="shared" ref="L279:AQ279" si="624">K282</f>
        <v>0</v>
      </c>
      <c r="M279" s="168">
        <f t="shared" si="624"/>
        <v>0</v>
      </c>
      <c r="N279" s="168">
        <f t="shared" si="624"/>
        <v>0</v>
      </c>
      <c r="O279" s="168">
        <f t="shared" si="624"/>
        <v>0</v>
      </c>
      <c r="P279" s="168">
        <f t="shared" si="624"/>
        <v>0</v>
      </c>
      <c r="Q279" s="168">
        <f t="shared" si="624"/>
        <v>0</v>
      </c>
      <c r="R279" s="168">
        <f t="shared" si="624"/>
        <v>0</v>
      </c>
      <c r="S279" s="168">
        <f t="shared" si="624"/>
        <v>0</v>
      </c>
      <c r="T279" s="168">
        <f t="shared" si="624"/>
        <v>0</v>
      </c>
      <c r="U279" s="168">
        <f t="shared" si="624"/>
        <v>0</v>
      </c>
      <c r="V279" s="168">
        <f t="shared" si="624"/>
        <v>0</v>
      </c>
      <c r="W279" s="168">
        <f t="shared" si="624"/>
        <v>0</v>
      </c>
      <c r="X279" s="168">
        <f t="shared" si="624"/>
        <v>0</v>
      </c>
      <c r="Y279" s="168">
        <f t="shared" si="624"/>
        <v>0</v>
      </c>
      <c r="Z279" s="168">
        <f t="shared" si="624"/>
        <v>0</v>
      </c>
      <c r="AA279" s="168">
        <f t="shared" si="624"/>
        <v>0</v>
      </c>
      <c r="AB279" s="168">
        <f t="shared" si="624"/>
        <v>0</v>
      </c>
      <c r="AC279" s="168">
        <f t="shared" si="624"/>
        <v>0</v>
      </c>
      <c r="AD279" s="168">
        <f t="shared" si="624"/>
        <v>0</v>
      </c>
      <c r="AE279" s="168">
        <f t="shared" si="624"/>
        <v>0</v>
      </c>
      <c r="AF279" s="168">
        <f t="shared" si="624"/>
        <v>0</v>
      </c>
      <c r="AG279" s="168">
        <f t="shared" si="624"/>
        <v>0</v>
      </c>
      <c r="AH279" s="168">
        <f t="shared" si="624"/>
        <v>0</v>
      </c>
      <c r="AI279" s="168">
        <f t="shared" si="624"/>
        <v>0</v>
      </c>
      <c r="AJ279" s="168">
        <f t="shared" si="624"/>
        <v>0</v>
      </c>
      <c r="AK279" s="168">
        <f t="shared" si="624"/>
        <v>0</v>
      </c>
      <c r="AL279" s="168">
        <f t="shared" si="624"/>
        <v>0</v>
      </c>
      <c r="AM279" s="168">
        <f t="shared" si="624"/>
        <v>0</v>
      </c>
      <c r="AN279" s="168">
        <f t="shared" si="624"/>
        <v>0</v>
      </c>
      <c r="AO279" s="168">
        <f t="shared" si="624"/>
        <v>0</v>
      </c>
      <c r="AP279" s="168">
        <f t="shared" si="624"/>
        <v>0</v>
      </c>
      <c r="AQ279" s="168">
        <f t="shared" si="624"/>
        <v>0</v>
      </c>
      <c r="AR279" s="168">
        <f t="shared" ref="AR279:BW279" si="625">AQ282</f>
        <v>0</v>
      </c>
      <c r="AS279" s="168">
        <f t="shared" si="625"/>
        <v>0</v>
      </c>
      <c r="AT279" s="168">
        <f t="shared" si="625"/>
        <v>0</v>
      </c>
      <c r="AU279" s="168">
        <f t="shared" si="625"/>
        <v>0</v>
      </c>
      <c r="AV279" s="168">
        <f t="shared" si="625"/>
        <v>0</v>
      </c>
      <c r="AW279" s="168">
        <f t="shared" si="625"/>
        <v>0</v>
      </c>
      <c r="AX279" s="168">
        <f t="shared" si="625"/>
        <v>0</v>
      </c>
      <c r="AY279" s="168">
        <f t="shared" si="625"/>
        <v>0</v>
      </c>
      <c r="AZ279" s="168">
        <f t="shared" si="625"/>
        <v>0</v>
      </c>
      <c r="BA279" s="168">
        <f t="shared" si="625"/>
        <v>0</v>
      </c>
      <c r="BB279" s="168">
        <f t="shared" si="625"/>
        <v>0</v>
      </c>
      <c r="BC279" s="168">
        <f t="shared" si="625"/>
        <v>0</v>
      </c>
      <c r="BD279" s="168">
        <f t="shared" si="625"/>
        <v>0</v>
      </c>
      <c r="BE279" s="168">
        <f t="shared" si="625"/>
        <v>0</v>
      </c>
      <c r="BF279" s="168">
        <f t="shared" si="625"/>
        <v>0</v>
      </c>
      <c r="BG279" s="168">
        <f t="shared" si="625"/>
        <v>0</v>
      </c>
      <c r="BH279" s="168">
        <f t="shared" si="625"/>
        <v>0</v>
      </c>
      <c r="BI279" s="168">
        <f t="shared" si="625"/>
        <v>0</v>
      </c>
      <c r="BJ279" s="168">
        <f t="shared" si="625"/>
        <v>0</v>
      </c>
      <c r="BK279" s="168">
        <f t="shared" si="625"/>
        <v>0</v>
      </c>
      <c r="BL279" s="168">
        <f t="shared" si="625"/>
        <v>0</v>
      </c>
      <c r="BM279" s="168">
        <f t="shared" si="625"/>
        <v>0</v>
      </c>
      <c r="BN279" s="168">
        <f t="shared" si="625"/>
        <v>0</v>
      </c>
      <c r="BO279" s="168">
        <f t="shared" si="625"/>
        <v>0</v>
      </c>
      <c r="BP279" s="168">
        <f t="shared" si="625"/>
        <v>0</v>
      </c>
      <c r="BQ279" s="168">
        <f t="shared" si="625"/>
        <v>0</v>
      </c>
      <c r="BR279" s="168">
        <f t="shared" si="625"/>
        <v>0</v>
      </c>
      <c r="BS279" s="168">
        <f t="shared" si="625"/>
        <v>0</v>
      </c>
      <c r="BT279" s="168">
        <f t="shared" si="625"/>
        <v>0</v>
      </c>
      <c r="BU279" s="168">
        <f t="shared" si="625"/>
        <v>0</v>
      </c>
      <c r="BV279" s="168">
        <f t="shared" si="625"/>
        <v>0</v>
      </c>
      <c r="BW279" s="168">
        <f t="shared" si="625"/>
        <v>0</v>
      </c>
      <c r="BX279" s="168">
        <f t="shared" ref="BX279:DC279" si="626">BW282</f>
        <v>0</v>
      </c>
      <c r="BY279" s="168">
        <f t="shared" si="626"/>
        <v>0</v>
      </c>
      <c r="BZ279" s="168">
        <f t="shared" si="626"/>
        <v>0</v>
      </c>
      <c r="CA279" s="168">
        <f t="shared" si="626"/>
        <v>0</v>
      </c>
      <c r="CB279" s="168">
        <f t="shared" si="626"/>
        <v>0</v>
      </c>
      <c r="CC279" s="168">
        <f t="shared" si="626"/>
        <v>0</v>
      </c>
      <c r="CD279" s="168">
        <f t="shared" si="626"/>
        <v>0</v>
      </c>
      <c r="CE279" s="168">
        <f t="shared" si="626"/>
        <v>0</v>
      </c>
      <c r="CF279" s="168">
        <f t="shared" si="626"/>
        <v>0</v>
      </c>
      <c r="CG279" s="168">
        <f t="shared" si="626"/>
        <v>0</v>
      </c>
      <c r="CH279" s="168">
        <f t="shared" si="626"/>
        <v>0</v>
      </c>
      <c r="CI279" s="168">
        <f t="shared" si="626"/>
        <v>0</v>
      </c>
      <c r="CJ279" s="168">
        <f t="shared" si="626"/>
        <v>0</v>
      </c>
      <c r="CK279" s="168">
        <f t="shared" si="626"/>
        <v>0</v>
      </c>
      <c r="CL279" s="168">
        <f t="shared" si="626"/>
        <v>0</v>
      </c>
      <c r="CM279" s="168">
        <f t="shared" si="626"/>
        <v>0</v>
      </c>
      <c r="CN279" s="168">
        <f t="shared" si="626"/>
        <v>0</v>
      </c>
      <c r="CO279" s="168">
        <f t="shared" si="626"/>
        <v>0</v>
      </c>
      <c r="CP279" s="168">
        <f t="shared" si="626"/>
        <v>0</v>
      </c>
      <c r="CQ279" s="168">
        <f t="shared" si="626"/>
        <v>0</v>
      </c>
      <c r="CR279" s="168">
        <f t="shared" si="626"/>
        <v>0</v>
      </c>
      <c r="CS279" s="168">
        <f t="shared" si="626"/>
        <v>0</v>
      </c>
      <c r="CT279" s="168">
        <f t="shared" si="626"/>
        <v>0</v>
      </c>
      <c r="CU279" s="168">
        <f t="shared" si="626"/>
        <v>0</v>
      </c>
      <c r="CV279" s="168">
        <f t="shared" si="626"/>
        <v>0</v>
      </c>
      <c r="CW279" s="168">
        <f t="shared" si="626"/>
        <v>0</v>
      </c>
      <c r="CX279" s="168">
        <f t="shared" si="626"/>
        <v>0</v>
      </c>
      <c r="CY279" s="168">
        <f t="shared" si="626"/>
        <v>0</v>
      </c>
      <c r="CZ279" s="168">
        <f t="shared" si="626"/>
        <v>0</v>
      </c>
      <c r="DA279" s="168">
        <f t="shared" si="626"/>
        <v>0</v>
      </c>
      <c r="DB279" s="168">
        <f t="shared" si="626"/>
        <v>0</v>
      </c>
      <c r="DC279" s="168">
        <f t="shared" si="626"/>
        <v>0</v>
      </c>
      <c r="DD279" s="168">
        <f t="shared" ref="DD279:EI279" si="627">DC282</f>
        <v>0</v>
      </c>
      <c r="DE279" s="168">
        <f t="shared" si="627"/>
        <v>0</v>
      </c>
      <c r="DF279" s="168">
        <f t="shared" si="627"/>
        <v>0</v>
      </c>
      <c r="DG279" s="168">
        <f t="shared" si="627"/>
        <v>0</v>
      </c>
      <c r="DH279" s="168">
        <f t="shared" si="627"/>
        <v>0</v>
      </c>
      <c r="DI279" s="168">
        <f t="shared" si="627"/>
        <v>0</v>
      </c>
      <c r="DJ279" s="168">
        <f t="shared" si="627"/>
        <v>0</v>
      </c>
      <c r="DK279" s="168">
        <f t="shared" si="627"/>
        <v>0</v>
      </c>
      <c r="DL279" s="168">
        <f t="shared" si="627"/>
        <v>0</v>
      </c>
      <c r="DM279" s="168">
        <f t="shared" si="627"/>
        <v>0</v>
      </c>
      <c r="DN279" s="168">
        <f t="shared" si="627"/>
        <v>0</v>
      </c>
      <c r="DO279" s="168">
        <f t="shared" si="627"/>
        <v>0</v>
      </c>
      <c r="DP279" s="168">
        <f t="shared" si="627"/>
        <v>0</v>
      </c>
      <c r="DQ279" s="168">
        <f t="shared" si="627"/>
        <v>0</v>
      </c>
      <c r="DR279" s="168">
        <f t="shared" si="627"/>
        <v>0</v>
      </c>
      <c r="DS279" s="168">
        <f t="shared" si="627"/>
        <v>0</v>
      </c>
      <c r="DT279" s="168">
        <f t="shared" si="627"/>
        <v>0</v>
      </c>
      <c r="DU279" s="168">
        <f t="shared" si="627"/>
        <v>0</v>
      </c>
      <c r="DV279" s="168">
        <f t="shared" si="627"/>
        <v>0</v>
      </c>
      <c r="DW279" s="168">
        <f t="shared" si="627"/>
        <v>0</v>
      </c>
      <c r="DX279" s="168">
        <f t="shared" si="627"/>
        <v>0</v>
      </c>
      <c r="DY279" s="168">
        <f t="shared" si="627"/>
        <v>0</v>
      </c>
      <c r="DZ279" s="168">
        <f t="shared" si="627"/>
        <v>0</v>
      </c>
      <c r="EA279" s="168">
        <f t="shared" si="627"/>
        <v>0</v>
      </c>
      <c r="EB279" s="168">
        <f t="shared" si="627"/>
        <v>0</v>
      </c>
      <c r="EC279" s="168">
        <f t="shared" si="627"/>
        <v>0</v>
      </c>
      <c r="ED279" s="1320">
        <f t="shared" si="627"/>
        <v>0</v>
      </c>
      <c r="EE279" s="168">
        <f t="shared" si="627"/>
        <v>0</v>
      </c>
      <c r="EF279" s="168">
        <f t="shared" si="627"/>
        <v>0</v>
      </c>
      <c r="EG279" s="168">
        <f t="shared" si="627"/>
        <v>0</v>
      </c>
      <c r="EH279" s="168">
        <f t="shared" si="627"/>
        <v>0</v>
      </c>
      <c r="EI279" s="168">
        <f t="shared" si="627"/>
        <v>0</v>
      </c>
      <c r="EJ279" s="168">
        <f t="shared" ref="EJ279:EQ279" si="628">EI282</f>
        <v>0</v>
      </c>
      <c r="EK279" s="168">
        <f t="shared" si="628"/>
        <v>0</v>
      </c>
      <c r="EL279" s="168">
        <f t="shared" si="628"/>
        <v>0</v>
      </c>
      <c r="EM279" s="168">
        <f t="shared" si="628"/>
        <v>0</v>
      </c>
      <c r="EN279" s="168">
        <f t="shared" si="628"/>
        <v>0</v>
      </c>
      <c r="EO279" s="168">
        <f t="shared" si="628"/>
        <v>0</v>
      </c>
      <c r="EP279" s="168">
        <f t="shared" si="628"/>
        <v>0</v>
      </c>
      <c r="EQ279" s="168">
        <f t="shared" si="628"/>
        <v>0</v>
      </c>
    </row>
    <row r="280" spans="3:147" ht="11.25" customHeight="1">
      <c r="C280" s="218"/>
      <c r="D280" s="163"/>
      <c r="E280" s="169" t="s">
        <v>231</v>
      </c>
      <c r="J280" s="171">
        <f>SUM(L280:EQ280)</f>
        <v>0</v>
      </c>
      <c r="K280" s="98"/>
      <c r="L280" s="171">
        <f>L93-L275</f>
        <v>0</v>
      </c>
      <c r="M280" s="171">
        <f t="shared" ref="M280:BX280" si="629">M93-M275</f>
        <v>0</v>
      </c>
      <c r="N280" s="171">
        <f t="shared" si="629"/>
        <v>0</v>
      </c>
      <c r="O280" s="171">
        <f t="shared" si="629"/>
        <v>0</v>
      </c>
      <c r="P280" s="171">
        <f t="shared" si="629"/>
        <v>0</v>
      </c>
      <c r="Q280" s="171">
        <f t="shared" si="629"/>
        <v>0</v>
      </c>
      <c r="R280" s="171">
        <f t="shared" si="629"/>
        <v>0</v>
      </c>
      <c r="S280" s="171">
        <f t="shared" si="629"/>
        <v>0</v>
      </c>
      <c r="T280" s="171">
        <f t="shared" si="629"/>
        <v>0</v>
      </c>
      <c r="U280" s="171">
        <f t="shared" si="629"/>
        <v>0</v>
      </c>
      <c r="V280" s="171">
        <f t="shared" si="629"/>
        <v>0</v>
      </c>
      <c r="W280" s="171">
        <f t="shared" si="629"/>
        <v>0</v>
      </c>
      <c r="X280" s="171">
        <f t="shared" si="629"/>
        <v>0</v>
      </c>
      <c r="Y280" s="171">
        <f t="shared" si="629"/>
        <v>0</v>
      </c>
      <c r="Z280" s="171">
        <f t="shared" si="629"/>
        <v>0</v>
      </c>
      <c r="AA280" s="171">
        <f t="shared" si="629"/>
        <v>0</v>
      </c>
      <c r="AB280" s="171">
        <f t="shared" si="629"/>
        <v>0</v>
      </c>
      <c r="AC280" s="171">
        <f t="shared" si="629"/>
        <v>0</v>
      </c>
      <c r="AD280" s="171">
        <f t="shared" si="629"/>
        <v>0</v>
      </c>
      <c r="AE280" s="171">
        <f t="shared" si="629"/>
        <v>0</v>
      </c>
      <c r="AF280" s="171">
        <f t="shared" si="629"/>
        <v>0</v>
      </c>
      <c r="AG280" s="171">
        <f t="shared" si="629"/>
        <v>0</v>
      </c>
      <c r="AH280" s="171">
        <f t="shared" si="629"/>
        <v>0</v>
      </c>
      <c r="AI280" s="171">
        <f t="shared" si="629"/>
        <v>0</v>
      </c>
      <c r="AJ280" s="171">
        <f t="shared" si="629"/>
        <v>0</v>
      </c>
      <c r="AK280" s="171">
        <f t="shared" si="629"/>
        <v>0</v>
      </c>
      <c r="AL280" s="171">
        <f t="shared" si="629"/>
        <v>0</v>
      </c>
      <c r="AM280" s="171">
        <f t="shared" si="629"/>
        <v>0</v>
      </c>
      <c r="AN280" s="171">
        <f t="shared" si="629"/>
        <v>0</v>
      </c>
      <c r="AO280" s="171">
        <f t="shared" si="629"/>
        <v>0</v>
      </c>
      <c r="AP280" s="171">
        <f t="shared" si="629"/>
        <v>0</v>
      </c>
      <c r="AQ280" s="171">
        <f t="shared" si="629"/>
        <v>0</v>
      </c>
      <c r="AR280" s="171">
        <f t="shared" si="629"/>
        <v>0</v>
      </c>
      <c r="AS280" s="171">
        <f t="shared" si="629"/>
        <v>0</v>
      </c>
      <c r="AT280" s="171">
        <f t="shared" si="629"/>
        <v>0</v>
      </c>
      <c r="AU280" s="171">
        <f t="shared" si="629"/>
        <v>0</v>
      </c>
      <c r="AV280" s="171">
        <f t="shared" si="629"/>
        <v>0</v>
      </c>
      <c r="AW280" s="171">
        <f t="shared" si="629"/>
        <v>0</v>
      </c>
      <c r="AX280" s="171">
        <f t="shared" si="629"/>
        <v>0</v>
      </c>
      <c r="AY280" s="171">
        <f t="shared" si="629"/>
        <v>0</v>
      </c>
      <c r="AZ280" s="171">
        <f t="shared" si="629"/>
        <v>0</v>
      </c>
      <c r="BA280" s="171">
        <f t="shared" si="629"/>
        <v>0</v>
      </c>
      <c r="BB280" s="171">
        <f t="shared" si="629"/>
        <v>0</v>
      </c>
      <c r="BC280" s="171">
        <f t="shared" si="629"/>
        <v>0</v>
      </c>
      <c r="BD280" s="171">
        <f t="shared" si="629"/>
        <v>0</v>
      </c>
      <c r="BE280" s="171">
        <f t="shared" si="629"/>
        <v>0</v>
      </c>
      <c r="BF280" s="171">
        <f t="shared" si="629"/>
        <v>0</v>
      </c>
      <c r="BG280" s="171">
        <f t="shared" si="629"/>
        <v>0</v>
      </c>
      <c r="BH280" s="171">
        <f t="shared" si="629"/>
        <v>0</v>
      </c>
      <c r="BI280" s="171">
        <f t="shared" si="629"/>
        <v>0</v>
      </c>
      <c r="BJ280" s="171">
        <f t="shared" si="629"/>
        <v>0</v>
      </c>
      <c r="BK280" s="171">
        <f t="shared" si="629"/>
        <v>0</v>
      </c>
      <c r="BL280" s="171">
        <f t="shared" si="629"/>
        <v>0</v>
      </c>
      <c r="BM280" s="171">
        <f t="shared" si="629"/>
        <v>0</v>
      </c>
      <c r="BN280" s="171">
        <f t="shared" si="629"/>
        <v>0</v>
      </c>
      <c r="BO280" s="171">
        <f t="shared" si="629"/>
        <v>0</v>
      </c>
      <c r="BP280" s="171">
        <f t="shared" si="629"/>
        <v>0</v>
      </c>
      <c r="BQ280" s="171">
        <f t="shared" si="629"/>
        <v>0</v>
      </c>
      <c r="BR280" s="171">
        <f t="shared" si="629"/>
        <v>0</v>
      </c>
      <c r="BS280" s="171">
        <f t="shared" si="629"/>
        <v>0</v>
      </c>
      <c r="BT280" s="171">
        <f t="shared" si="629"/>
        <v>0</v>
      </c>
      <c r="BU280" s="171">
        <f t="shared" si="629"/>
        <v>0</v>
      </c>
      <c r="BV280" s="171">
        <f t="shared" si="629"/>
        <v>0</v>
      </c>
      <c r="BW280" s="171">
        <f t="shared" si="629"/>
        <v>0</v>
      </c>
      <c r="BX280" s="171">
        <f t="shared" si="629"/>
        <v>0</v>
      </c>
      <c r="BY280" s="171">
        <f t="shared" ref="BY280:EJ280" si="630">BY93-BY275</f>
        <v>0</v>
      </c>
      <c r="BZ280" s="171">
        <f t="shared" si="630"/>
        <v>0</v>
      </c>
      <c r="CA280" s="171">
        <f t="shared" si="630"/>
        <v>0</v>
      </c>
      <c r="CB280" s="171">
        <f t="shared" si="630"/>
        <v>0</v>
      </c>
      <c r="CC280" s="171">
        <f t="shared" si="630"/>
        <v>0</v>
      </c>
      <c r="CD280" s="171">
        <f t="shared" si="630"/>
        <v>0</v>
      </c>
      <c r="CE280" s="171">
        <f t="shared" si="630"/>
        <v>0</v>
      </c>
      <c r="CF280" s="171">
        <f t="shared" si="630"/>
        <v>0</v>
      </c>
      <c r="CG280" s="171">
        <f t="shared" si="630"/>
        <v>0</v>
      </c>
      <c r="CH280" s="171">
        <f t="shared" si="630"/>
        <v>0</v>
      </c>
      <c r="CI280" s="171">
        <f t="shared" si="630"/>
        <v>0</v>
      </c>
      <c r="CJ280" s="171">
        <f t="shared" si="630"/>
        <v>0</v>
      </c>
      <c r="CK280" s="171">
        <f t="shared" si="630"/>
        <v>0</v>
      </c>
      <c r="CL280" s="171">
        <f t="shared" si="630"/>
        <v>0</v>
      </c>
      <c r="CM280" s="171">
        <f t="shared" si="630"/>
        <v>0</v>
      </c>
      <c r="CN280" s="171">
        <f t="shared" si="630"/>
        <v>0</v>
      </c>
      <c r="CO280" s="171">
        <f t="shared" si="630"/>
        <v>0</v>
      </c>
      <c r="CP280" s="171">
        <f t="shared" si="630"/>
        <v>0</v>
      </c>
      <c r="CQ280" s="171">
        <f t="shared" si="630"/>
        <v>0</v>
      </c>
      <c r="CR280" s="171">
        <f t="shared" si="630"/>
        <v>0</v>
      </c>
      <c r="CS280" s="171">
        <f t="shared" si="630"/>
        <v>0</v>
      </c>
      <c r="CT280" s="171">
        <f t="shared" si="630"/>
        <v>0</v>
      </c>
      <c r="CU280" s="171">
        <f t="shared" si="630"/>
        <v>0</v>
      </c>
      <c r="CV280" s="171">
        <f t="shared" si="630"/>
        <v>0</v>
      </c>
      <c r="CW280" s="171">
        <f t="shared" si="630"/>
        <v>0</v>
      </c>
      <c r="CX280" s="171">
        <f t="shared" si="630"/>
        <v>0</v>
      </c>
      <c r="CY280" s="171">
        <f t="shared" si="630"/>
        <v>0</v>
      </c>
      <c r="CZ280" s="171">
        <f t="shared" si="630"/>
        <v>0</v>
      </c>
      <c r="DA280" s="171">
        <f t="shared" si="630"/>
        <v>0</v>
      </c>
      <c r="DB280" s="171">
        <f t="shared" si="630"/>
        <v>0</v>
      </c>
      <c r="DC280" s="171">
        <f t="shared" si="630"/>
        <v>0</v>
      </c>
      <c r="DD280" s="171">
        <f t="shared" si="630"/>
        <v>0</v>
      </c>
      <c r="DE280" s="171">
        <f t="shared" si="630"/>
        <v>0</v>
      </c>
      <c r="DF280" s="171">
        <f t="shared" si="630"/>
        <v>0</v>
      </c>
      <c r="DG280" s="171">
        <f t="shared" si="630"/>
        <v>0</v>
      </c>
      <c r="DH280" s="171">
        <f t="shared" si="630"/>
        <v>0</v>
      </c>
      <c r="DI280" s="171">
        <f t="shared" si="630"/>
        <v>0</v>
      </c>
      <c r="DJ280" s="171">
        <f t="shared" si="630"/>
        <v>0</v>
      </c>
      <c r="DK280" s="171">
        <f t="shared" si="630"/>
        <v>0</v>
      </c>
      <c r="DL280" s="171">
        <f t="shared" si="630"/>
        <v>0</v>
      </c>
      <c r="DM280" s="171">
        <f t="shared" si="630"/>
        <v>0</v>
      </c>
      <c r="DN280" s="171">
        <f t="shared" si="630"/>
        <v>0</v>
      </c>
      <c r="DO280" s="171">
        <f t="shared" si="630"/>
        <v>0</v>
      </c>
      <c r="DP280" s="171">
        <f t="shared" si="630"/>
        <v>0</v>
      </c>
      <c r="DQ280" s="171">
        <f t="shared" si="630"/>
        <v>0</v>
      </c>
      <c r="DR280" s="171">
        <f t="shared" si="630"/>
        <v>0</v>
      </c>
      <c r="DS280" s="171">
        <f t="shared" si="630"/>
        <v>0</v>
      </c>
      <c r="DT280" s="171">
        <f t="shared" si="630"/>
        <v>0</v>
      </c>
      <c r="DU280" s="171">
        <f t="shared" si="630"/>
        <v>0</v>
      </c>
      <c r="DV280" s="171">
        <f t="shared" si="630"/>
        <v>0</v>
      </c>
      <c r="DW280" s="171">
        <f t="shared" si="630"/>
        <v>0</v>
      </c>
      <c r="DX280" s="171">
        <f t="shared" si="630"/>
        <v>0</v>
      </c>
      <c r="DY280" s="171">
        <f t="shared" si="630"/>
        <v>0</v>
      </c>
      <c r="DZ280" s="171">
        <f t="shared" si="630"/>
        <v>0</v>
      </c>
      <c r="EA280" s="171">
        <f t="shared" si="630"/>
        <v>0</v>
      </c>
      <c r="EB280" s="171">
        <f t="shared" si="630"/>
        <v>0</v>
      </c>
      <c r="EC280" s="171">
        <f t="shared" si="630"/>
        <v>0</v>
      </c>
      <c r="ED280" s="1321">
        <f t="shared" si="630"/>
        <v>0</v>
      </c>
      <c r="EE280" s="171">
        <f t="shared" si="630"/>
        <v>0</v>
      </c>
      <c r="EF280" s="171">
        <f t="shared" si="630"/>
        <v>0</v>
      </c>
      <c r="EG280" s="171">
        <f t="shared" si="630"/>
        <v>0</v>
      </c>
      <c r="EH280" s="171">
        <f t="shared" si="630"/>
        <v>0</v>
      </c>
      <c r="EI280" s="171">
        <f t="shared" si="630"/>
        <v>0</v>
      </c>
      <c r="EJ280" s="171">
        <f t="shared" si="630"/>
        <v>0</v>
      </c>
      <c r="EK280" s="171">
        <f t="shared" ref="EK280:EQ280" si="631">EK93-EK275</f>
        <v>0</v>
      </c>
      <c r="EL280" s="171">
        <f t="shared" si="631"/>
        <v>0</v>
      </c>
      <c r="EM280" s="171">
        <f t="shared" si="631"/>
        <v>0</v>
      </c>
      <c r="EN280" s="171">
        <f t="shared" si="631"/>
        <v>0</v>
      </c>
      <c r="EO280" s="171">
        <f t="shared" si="631"/>
        <v>0</v>
      </c>
      <c r="EP280" s="171">
        <f t="shared" si="631"/>
        <v>0</v>
      </c>
      <c r="EQ280" s="171">
        <f t="shared" si="631"/>
        <v>0</v>
      </c>
    </row>
    <row r="281" spans="3:147" ht="11.25" customHeight="1">
      <c r="C281" s="218"/>
      <c r="D281" s="163"/>
      <c r="E281" s="169" t="s">
        <v>232</v>
      </c>
      <c r="H281" s="146">
        <f>'A&amp;R'!N45</f>
        <v>47057</v>
      </c>
      <c r="I281" s="134"/>
      <c r="J281" s="171">
        <f>SUM(L281:EQ281)</f>
        <v>0</v>
      </c>
      <c r="K281" s="98"/>
      <c r="L281" s="171">
        <f>SUM(L279:L280)*(L$231=$H281)</f>
        <v>0</v>
      </c>
      <c r="M281" s="171">
        <f t="shared" ref="M281:BX281" si="632">SUM(M279:M280)*(M$231=$H281)</f>
        <v>0</v>
      </c>
      <c r="N281" s="171">
        <f t="shared" si="632"/>
        <v>0</v>
      </c>
      <c r="O281" s="171">
        <f t="shared" si="632"/>
        <v>0</v>
      </c>
      <c r="P281" s="171">
        <f t="shared" si="632"/>
        <v>0</v>
      </c>
      <c r="Q281" s="171">
        <f t="shared" si="632"/>
        <v>0</v>
      </c>
      <c r="R281" s="171">
        <f t="shared" si="632"/>
        <v>0</v>
      </c>
      <c r="S281" s="171">
        <f t="shared" si="632"/>
        <v>0</v>
      </c>
      <c r="T281" s="171">
        <f t="shared" si="632"/>
        <v>0</v>
      </c>
      <c r="U281" s="171">
        <f t="shared" si="632"/>
        <v>0</v>
      </c>
      <c r="V281" s="171">
        <f t="shared" si="632"/>
        <v>0</v>
      </c>
      <c r="W281" s="171">
        <f t="shared" si="632"/>
        <v>0</v>
      </c>
      <c r="X281" s="171">
        <f t="shared" si="632"/>
        <v>0</v>
      </c>
      <c r="Y281" s="171">
        <f t="shared" si="632"/>
        <v>0</v>
      </c>
      <c r="Z281" s="171">
        <f t="shared" si="632"/>
        <v>0</v>
      </c>
      <c r="AA281" s="171">
        <f t="shared" si="632"/>
        <v>0</v>
      </c>
      <c r="AB281" s="171">
        <f t="shared" si="632"/>
        <v>0</v>
      </c>
      <c r="AC281" s="171">
        <f t="shared" si="632"/>
        <v>0</v>
      </c>
      <c r="AD281" s="171">
        <f t="shared" si="632"/>
        <v>0</v>
      </c>
      <c r="AE281" s="171">
        <f t="shared" si="632"/>
        <v>0</v>
      </c>
      <c r="AF281" s="171">
        <f t="shared" si="632"/>
        <v>0</v>
      </c>
      <c r="AG281" s="171">
        <f t="shared" si="632"/>
        <v>0</v>
      </c>
      <c r="AH281" s="171">
        <f t="shared" si="632"/>
        <v>0</v>
      </c>
      <c r="AI281" s="171">
        <f t="shared" si="632"/>
        <v>0</v>
      </c>
      <c r="AJ281" s="171">
        <f t="shared" si="632"/>
        <v>0</v>
      </c>
      <c r="AK281" s="171">
        <f t="shared" si="632"/>
        <v>0</v>
      </c>
      <c r="AL281" s="171">
        <f t="shared" si="632"/>
        <v>0</v>
      </c>
      <c r="AM281" s="171">
        <f t="shared" si="632"/>
        <v>0</v>
      </c>
      <c r="AN281" s="171">
        <f t="shared" si="632"/>
        <v>0</v>
      </c>
      <c r="AO281" s="171">
        <f t="shared" si="632"/>
        <v>0</v>
      </c>
      <c r="AP281" s="171">
        <f t="shared" si="632"/>
        <v>0</v>
      </c>
      <c r="AQ281" s="171">
        <f t="shared" si="632"/>
        <v>0</v>
      </c>
      <c r="AR281" s="171">
        <f t="shared" si="632"/>
        <v>0</v>
      </c>
      <c r="AS281" s="171">
        <f t="shared" si="632"/>
        <v>0</v>
      </c>
      <c r="AT281" s="171">
        <f t="shared" si="632"/>
        <v>0</v>
      </c>
      <c r="AU281" s="171">
        <f t="shared" si="632"/>
        <v>0</v>
      </c>
      <c r="AV281" s="171">
        <f t="shared" si="632"/>
        <v>0</v>
      </c>
      <c r="AW281" s="171">
        <f t="shared" si="632"/>
        <v>0</v>
      </c>
      <c r="AX281" s="171">
        <f t="shared" si="632"/>
        <v>0</v>
      </c>
      <c r="AY281" s="171">
        <f t="shared" si="632"/>
        <v>0</v>
      </c>
      <c r="AZ281" s="171">
        <f t="shared" si="632"/>
        <v>0</v>
      </c>
      <c r="BA281" s="171">
        <f t="shared" si="632"/>
        <v>0</v>
      </c>
      <c r="BB281" s="171">
        <f t="shared" si="632"/>
        <v>0</v>
      </c>
      <c r="BC281" s="171">
        <f t="shared" si="632"/>
        <v>0</v>
      </c>
      <c r="BD281" s="171">
        <f t="shared" si="632"/>
        <v>0</v>
      </c>
      <c r="BE281" s="171">
        <f t="shared" si="632"/>
        <v>0</v>
      </c>
      <c r="BF281" s="171">
        <f t="shared" si="632"/>
        <v>0</v>
      </c>
      <c r="BG281" s="171">
        <f t="shared" si="632"/>
        <v>0</v>
      </c>
      <c r="BH281" s="171">
        <f t="shared" si="632"/>
        <v>0</v>
      </c>
      <c r="BI281" s="171">
        <f t="shared" si="632"/>
        <v>0</v>
      </c>
      <c r="BJ281" s="171">
        <f t="shared" si="632"/>
        <v>0</v>
      </c>
      <c r="BK281" s="171">
        <f t="shared" si="632"/>
        <v>0</v>
      </c>
      <c r="BL281" s="171">
        <f t="shared" si="632"/>
        <v>0</v>
      </c>
      <c r="BM281" s="171">
        <f t="shared" si="632"/>
        <v>0</v>
      </c>
      <c r="BN281" s="171">
        <f t="shared" si="632"/>
        <v>0</v>
      </c>
      <c r="BO281" s="171">
        <f t="shared" si="632"/>
        <v>0</v>
      </c>
      <c r="BP281" s="171">
        <f t="shared" si="632"/>
        <v>0</v>
      </c>
      <c r="BQ281" s="171">
        <f t="shared" si="632"/>
        <v>0</v>
      </c>
      <c r="BR281" s="171">
        <f t="shared" si="632"/>
        <v>0</v>
      </c>
      <c r="BS281" s="171">
        <f t="shared" si="632"/>
        <v>0</v>
      </c>
      <c r="BT281" s="171">
        <f t="shared" si="632"/>
        <v>0</v>
      </c>
      <c r="BU281" s="171">
        <f t="shared" si="632"/>
        <v>0</v>
      </c>
      <c r="BV281" s="171">
        <f t="shared" si="632"/>
        <v>0</v>
      </c>
      <c r="BW281" s="171">
        <f t="shared" si="632"/>
        <v>0</v>
      </c>
      <c r="BX281" s="171">
        <f t="shared" si="632"/>
        <v>0</v>
      </c>
      <c r="BY281" s="171">
        <f t="shared" ref="BY281:EJ281" si="633">SUM(BY279:BY280)*(BY$231=$H281)</f>
        <v>0</v>
      </c>
      <c r="BZ281" s="171">
        <f t="shared" si="633"/>
        <v>0</v>
      </c>
      <c r="CA281" s="171">
        <f t="shared" si="633"/>
        <v>0</v>
      </c>
      <c r="CB281" s="171">
        <f t="shared" si="633"/>
        <v>0</v>
      </c>
      <c r="CC281" s="171">
        <f t="shared" si="633"/>
        <v>0</v>
      </c>
      <c r="CD281" s="171">
        <f t="shared" si="633"/>
        <v>0</v>
      </c>
      <c r="CE281" s="171">
        <f t="shared" si="633"/>
        <v>0</v>
      </c>
      <c r="CF281" s="171">
        <f t="shared" si="633"/>
        <v>0</v>
      </c>
      <c r="CG281" s="171">
        <f t="shared" si="633"/>
        <v>0</v>
      </c>
      <c r="CH281" s="171">
        <f t="shared" si="633"/>
        <v>0</v>
      </c>
      <c r="CI281" s="171">
        <f t="shared" si="633"/>
        <v>0</v>
      </c>
      <c r="CJ281" s="171">
        <f t="shared" si="633"/>
        <v>0</v>
      </c>
      <c r="CK281" s="171">
        <f t="shared" si="633"/>
        <v>0</v>
      </c>
      <c r="CL281" s="171">
        <f t="shared" si="633"/>
        <v>0</v>
      </c>
      <c r="CM281" s="171">
        <f t="shared" si="633"/>
        <v>0</v>
      </c>
      <c r="CN281" s="171">
        <f t="shared" si="633"/>
        <v>0</v>
      </c>
      <c r="CO281" s="171">
        <f t="shared" si="633"/>
        <v>0</v>
      </c>
      <c r="CP281" s="171">
        <f t="shared" si="633"/>
        <v>0</v>
      </c>
      <c r="CQ281" s="171">
        <f t="shared" si="633"/>
        <v>0</v>
      </c>
      <c r="CR281" s="171">
        <f t="shared" si="633"/>
        <v>0</v>
      </c>
      <c r="CS281" s="171">
        <f t="shared" si="633"/>
        <v>0</v>
      </c>
      <c r="CT281" s="171">
        <f t="shared" si="633"/>
        <v>0</v>
      </c>
      <c r="CU281" s="171">
        <f t="shared" si="633"/>
        <v>0</v>
      </c>
      <c r="CV281" s="171">
        <f t="shared" si="633"/>
        <v>0</v>
      </c>
      <c r="CW281" s="171">
        <f t="shared" si="633"/>
        <v>0</v>
      </c>
      <c r="CX281" s="171">
        <f t="shared" si="633"/>
        <v>0</v>
      </c>
      <c r="CY281" s="171">
        <f t="shared" si="633"/>
        <v>0</v>
      </c>
      <c r="CZ281" s="171">
        <f t="shared" si="633"/>
        <v>0</v>
      </c>
      <c r="DA281" s="171">
        <f t="shared" si="633"/>
        <v>0</v>
      </c>
      <c r="DB281" s="171">
        <f t="shared" si="633"/>
        <v>0</v>
      </c>
      <c r="DC281" s="171">
        <f t="shared" si="633"/>
        <v>0</v>
      </c>
      <c r="DD281" s="171">
        <f t="shared" si="633"/>
        <v>0</v>
      </c>
      <c r="DE281" s="171">
        <f t="shared" si="633"/>
        <v>0</v>
      </c>
      <c r="DF281" s="171">
        <f t="shared" si="633"/>
        <v>0</v>
      </c>
      <c r="DG281" s="171">
        <f t="shared" si="633"/>
        <v>0</v>
      </c>
      <c r="DH281" s="171">
        <f t="shared" si="633"/>
        <v>0</v>
      </c>
      <c r="DI281" s="171">
        <f t="shared" si="633"/>
        <v>0</v>
      </c>
      <c r="DJ281" s="171">
        <f t="shared" si="633"/>
        <v>0</v>
      </c>
      <c r="DK281" s="171">
        <f t="shared" si="633"/>
        <v>0</v>
      </c>
      <c r="DL281" s="171">
        <f t="shared" si="633"/>
        <v>0</v>
      </c>
      <c r="DM281" s="171">
        <f t="shared" si="633"/>
        <v>0</v>
      </c>
      <c r="DN281" s="171">
        <f t="shared" si="633"/>
        <v>0</v>
      </c>
      <c r="DO281" s="171">
        <f t="shared" si="633"/>
        <v>0</v>
      </c>
      <c r="DP281" s="171">
        <f t="shared" si="633"/>
        <v>0</v>
      </c>
      <c r="DQ281" s="171">
        <f t="shared" si="633"/>
        <v>0</v>
      </c>
      <c r="DR281" s="171">
        <f t="shared" si="633"/>
        <v>0</v>
      </c>
      <c r="DS281" s="171">
        <f t="shared" si="633"/>
        <v>0</v>
      </c>
      <c r="DT281" s="171">
        <f t="shared" si="633"/>
        <v>0</v>
      </c>
      <c r="DU281" s="171">
        <f t="shared" si="633"/>
        <v>0</v>
      </c>
      <c r="DV281" s="171">
        <f t="shared" si="633"/>
        <v>0</v>
      </c>
      <c r="DW281" s="171">
        <f t="shared" si="633"/>
        <v>0</v>
      </c>
      <c r="DX281" s="171">
        <f t="shared" si="633"/>
        <v>0</v>
      </c>
      <c r="DY281" s="171">
        <f t="shared" si="633"/>
        <v>0</v>
      </c>
      <c r="DZ281" s="171">
        <f t="shared" si="633"/>
        <v>0</v>
      </c>
      <c r="EA281" s="171">
        <f t="shared" si="633"/>
        <v>0</v>
      </c>
      <c r="EB281" s="171">
        <f t="shared" si="633"/>
        <v>0</v>
      </c>
      <c r="EC281" s="171">
        <f t="shared" si="633"/>
        <v>0</v>
      </c>
      <c r="ED281" s="1321">
        <f t="shared" si="633"/>
        <v>0</v>
      </c>
      <c r="EE281" s="171">
        <f t="shared" si="633"/>
        <v>0</v>
      </c>
      <c r="EF281" s="171">
        <f t="shared" si="633"/>
        <v>0</v>
      </c>
      <c r="EG281" s="171">
        <f t="shared" si="633"/>
        <v>0</v>
      </c>
      <c r="EH281" s="171">
        <f t="shared" si="633"/>
        <v>0</v>
      </c>
      <c r="EI281" s="171">
        <f t="shared" si="633"/>
        <v>0</v>
      </c>
      <c r="EJ281" s="171">
        <f t="shared" si="633"/>
        <v>0</v>
      </c>
      <c r="EK281" s="171">
        <f t="shared" ref="EK281:EQ281" si="634">SUM(EK279:EK280)*(EK$231=$H281)</f>
        <v>0</v>
      </c>
      <c r="EL281" s="171">
        <f t="shared" si="634"/>
        <v>0</v>
      </c>
      <c r="EM281" s="171">
        <f t="shared" si="634"/>
        <v>0</v>
      </c>
      <c r="EN281" s="171">
        <f t="shared" si="634"/>
        <v>0</v>
      </c>
      <c r="EO281" s="171">
        <f t="shared" si="634"/>
        <v>0</v>
      </c>
      <c r="EP281" s="171">
        <f t="shared" si="634"/>
        <v>0</v>
      </c>
      <c r="EQ281" s="171">
        <f t="shared" si="634"/>
        <v>0</v>
      </c>
    </row>
    <row r="282" spans="3:147" ht="11.25" customHeight="1">
      <c r="C282" s="244"/>
      <c r="D282" s="178"/>
      <c r="E282" s="179" t="s">
        <v>233</v>
      </c>
      <c r="F282" s="180"/>
      <c r="G282" s="180"/>
      <c r="H282" s="182"/>
      <c r="I282" s="245"/>
      <c r="J282" s="184"/>
      <c r="K282" s="98"/>
      <c r="L282" s="184">
        <f t="shared" ref="L282:BW282" si="635">L279+L280-L281</f>
        <v>0</v>
      </c>
      <c r="M282" s="184">
        <f t="shared" si="635"/>
        <v>0</v>
      </c>
      <c r="N282" s="184">
        <f t="shared" si="635"/>
        <v>0</v>
      </c>
      <c r="O282" s="184">
        <f t="shared" si="635"/>
        <v>0</v>
      </c>
      <c r="P282" s="184">
        <f t="shared" si="635"/>
        <v>0</v>
      </c>
      <c r="Q282" s="184">
        <f t="shared" si="635"/>
        <v>0</v>
      </c>
      <c r="R282" s="184">
        <f t="shared" si="635"/>
        <v>0</v>
      </c>
      <c r="S282" s="184">
        <f t="shared" si="635"/>
        <v>0</v>
      </c>
      <c r="T282" s="184">
        <f t="shared" si="635"/>
        <v>0</v>
      </c>
      <c r="U282" s="184">
        <f t="shared" si="635"/>
        <v>0</v>
      </c>
      <c r="V282" s="184">
        <f t="shared" si="635"/>
        <v>0</v>
      </c>
      <c r="W282" s="184">
        <f t="shared" si="635"/>
        <v>0</v>
      </c>
      <c r="X282" s="184">
        <f t="shared" si="635"/>
        <v>0</v>
      </c>
      <c r="Y282" s="184">
        <f t="shared" si="635"/>
        <v>0</v>
      </c>
      <c r="Z282" s="184">
        <f t="shared" si="635"/>
        <v>0</v>
      </c>
      <c r="AA282" s="184">
        <f t="shared" si="635"/>
        <v>0</v>
      </c>
      <c r="AB282" s="184">
        <f t="shared" si="635"/>
        <v>0</v>
      </c>
      <c r="AC282" s="184">
        <f t="shared" si="635"/>
        <v>0</v>
      </c>
      <c r="AD282" s="184">
        <f t="shared" si="635"/>
        <v>0</v>
      </c>
      <c r="AE282" s="184">
        <f t="shared" si="635"/>
        <v>0</v>
      </c>
      <c r="AF282" s="184">
        <f t="shared" si="635"/>
        <v>0</v>
      </c>
      <c r="AG282" s="184">
        <f t="shared" si="635"/>
        <v>0</v>
      </c>
      <c r="AH282" s="184">
        <f t="shared" si="635"/>
        <v>0</v>
      </c>
      <c r="AI282" s="184">
        <f t="shared" si="635"/>
        <v>0</v>
      </c>
      <c r="AJ282" s="184">
        <f t="shared" si="635"/>
        <v>0</v>
      </c>
      <c r="AK282" s="184">
        <f t="shared" si="635"/>
        <v>0</v>
      </c>
      <c r="AL282" s="184">
        <f t="shared" si="635"/>
        <v>0</v>
      </c>
      <c r="AM282" s="184">
        <f t="shared" si="635"/>
        <v>0</v>
      </c>
      <c r="AN282" s="184">
        <f t="shared" si="635"/>
        <v>0</v>
      </c>
      <c r="AO282" s="184">
        <f t="shared" si="635"/>
        <v>0</v>
      </c>
      <c r="AP282" s="184">
        <f t="shared" si="635"/>
        <v>0</v>
      </c>
      <c r="AQ282" s="184">
        <f t="shared" si="635"/>
        <v>0</v>
      </c>
      <c r="AR282" s="184">
        <f t="shared" si="635"/>
        <v>0</v>
      </c>
      <c r="AS282" s="184">
        <f t="shared" si="635"/>
        <v>0</v>
      </c>
      <c r="AT282" s="184">
        <f t="shared" si="635"/>
        <v>0</v>
      </c>
      <c r="AU282" s="184">
        <f t="shared" si="635"/>
        <v>0</v>
      </c>
      <c r="AV282" s="184">
        <f t="shared" si="635"/>
        <v>0</v>
      </c>
      <c r="AW282" s="184">
        <f t="shared" si="635"/>
        <v>0</v>
      </c>
      <c r="AX282" s="184">
        <f t="shared" si="635"/>
        <v>0</v>
      </c>
      <c r="AY282" s="184">
        <f t="shared" si="635"/>
        <v>0</v>
      </c>
      <c r="AZ282" s="184">
        <f t="shared" si="635"/>
        <v>0</v>
      </c>
      <c r="BA282" s="184">
        <f t="shared" si="635"/>
        <v>0</v>
      </c>
      <c r="BB282" s="184">
        <f t="shared" si="635"/>
        <v>0</v>
      </c>
      <c r="BC282" s="184">
        <f t="shared" si="635"/>
        <v>0</v>
      </c>
      <c r="BD282" s="184">
        <f t="shared" si="635"/>
        <v>0</v>
      </c>
      <c r="BE282" s="184">
        <f t="shared" si="635"/>
        <v>0</v>
      </c>
      <c r="BF282" s="184">
        <f t="shared" si="635"/>
        <v>0</v>
      </c>
      <c r="BG282" s="184">
        <f t="shared" si="635"/>
        <v>0</v>
      </c>
      <c r="BH282" s="184">
        <f t="shared" si="635"/>
        <v>0</v>
      </c>
      <c r="BI282" s="184">
        <f t="shared" si="635"/>
        <v>0</v>
      </c>
      <c r="BJ282" s="184">
        <f t="shared" si="635"/>
        <v>0</v>
      </c>
      <c r="BK282" s="184">
        <f t="shared" si="635"/>
        <v>0</v>
      </c>
      <c r="BL282" s="184">
        <f t="shared" si="635"/>
        <v>0</v>
      </c>
      <c r="BM282" s="184">
        <f t="shared" si="635"/>
        <v>0</v>
      </c>
      <c r="BN282" s="184">
        <f t="shared" si="635"/>
        <v>0</v>
      </c>
      <c r="BO282" s="184">
        <f t="shared" si="635"/>
        <v>0</v>
      </c>
      <c r="BP282" s="184">
        <f t="shared" si="635"/>
        <v>0</v>
      </c>
      <c r="BQ282" s="184">
        <f t="shared" si="635"/>
        <v>0</v>
      </c>
      <c r="BR282" s="184">
        <f t="shared" si="635"/>
        <v>0</v>
      </c>
      <c r="BS282" s="184">
        <f t="shared" si="635"/>
        <v>0</v>
      </c>
      <c r="BT282" s="184">
        <f t="shared" si="635"/>
        <v>0</v>
      </c>
      <c r="BU282" s="184">
        <f t="shared" si="635"/>
        <v>0</v>
      </c>
      <c r="BV282" s="184">
        <f t="shared" si="635"/>
        <v>0</v>
      </c>
      <c r="BW282" s="184">
        <f t="shared" si="635"/>
        <v>0</v>
      </c>
      <c r="BX282" s="184">
        <f t="shared" ref="BX282:EI282" si="636">BX279+BX280-BX281</f>
        <v>0</v>
      </c>
      <c r="BY282" s="184">
        <f t="shared" si="636"/>
        <v>0</v>
      </c>
      <c r="BZ282" s="184">
        <f t="shared" si="636"/>
        <v>0</v>
      </c>
      <c r="CA282" s="184">
        <f t="shared" si="636"/>
        <v>0</v>
      </c>
      <c r="CB282" s="184">
        <f t="shared" si="636"/>
        <v>0</v>
      </c>
      <c r="CC282" s="184">
        <f t="shared" si="636"/>
        <v>0</v>
      </c>
      <c r="CD282" s="184">
        <f t="shared" si="636"/>
        <v>0</v>
      </c>
      <c r="CE282" s="184">
        <f t="shared" si="636"/>
        <v>0</v>
      </c>
      <c r="CF282" s="184">
        <f t="shared" si="636"/>
        <v>0</v>
      </c>
      <c r="CG282" s="184">
        <f t="shared" si="636"/>
        <v>0</v>
      </c>
      <c r="CH282" s="184">
        <f t="shared" si="636"/>
        <v>0</v>
      </c>
      <c r="CI282" s="184">
        <f t="shared" si="636"/>
        <v>0</v>
      </c>
      <c r="CJ282" s="184">
        <f t="shared" si="636"/>
        <v>0</v>
      </c>
      <c r="CK282" s="184">
        <f t="shared" si="636"/>
        <v>0</v>
      </c>
      <c r="CL282" s="184">
        <f t="shared" si="636"/>
        <v>0</v>
      </c>
      <c r="CM282" s="184">
        <f t="shared" si="636"/>
        <v>0</v>
      </c>
      <c r="CN282" s="184">
        <f t="shared" si="636"/>
        <v>0</v>
      </c>
      <c r="CO282" s="184">
        <f t="shared" si="636"/>
        <v>0</v>
      </c>
      <c r="CP282" s="184">
        <f t="shared" si="636"/>
        <v>0</v>
      </c>
      <c r="CQ282" s="184">
        <f t="shared" si="636"/>
        <v>0</v>
      </c>
      <c r="CR282" s="184">
        <f t="shared" si="636"/>
        <v>0</v>
      </c>
      <c r="CS282" s="184">
        <f t="shared" si="636"/>
        <v>0</v>
      </c>
      <c r="CT282" s="184">
        <f t="shared" si="636"/>
        <v>0</v>
      </c>
      <c r="CU282" s="184">
        <f t="shared" si="636"/>
        <v>0</v>
      </c>
      <c r="CV282" s="184">
        <f t="shared" si="636"/>
        <v>0</v>
      </c>
      <c r="CW282" s="184">
        <f t="shared" si="636"/>
        <v>0</v>
      </c>
      <c r="CX282" s="184">
        <f t="shared" si="636"/>
        <v>0</v>
      </c>
      <c r="CY282" s="184">
        <f t="shared" si="636"/>
        <v>0</v>
      </c>
      <c r="CZ282" s="184">
        <f t="shared" si="636"/>
        <v>0</v>
      </c>
      <c r="DA282" s="184">
        <f t="shared" si="636"/>
        <v>0</v>
      </c>
      <c r="DB282" s="184">
        <f t="shared" si="636"/>
        <v>0</v>
      </c>
      <c r="DC282" s="184">
        <f t="shared" si="636"/>
        <v>0</v>
      </c>
      <c r="DD282" s="184">
        <f t="shared" si="636"/>
        <v>0</v>
      </c>
      <c r="DE282" s="184">
        <f t="shared" si="636"/>
        <v>0</v>
      </c>
      <c r="DF282" s="184">
        <f t="shared" si="636"/>
        <v>0</v>
      </c>
      <c r="DG282" s="184">
        <f t="shared" si="636"/>
        <v>0</v>
      </c>
      <c r="DH282" s="184">
        <f t="shared" si="636"/>
        <v>0</v>
      </c>
      <c r="DI282" s="184">
        <f t="shared" si="636"/>
        <v>0</v>
      </c>
      <c r="DJ282" s="184">
        <f t="shared" si="636"/>
        <v>0</v>
      </c>
      <c r="DK282" s="184">
        <f t="shared" si="636"/>
        <v>0</v>
      </c>
      <c r="DL282" s="184">
        <f t="shared" si="636"/>
        <v>0</v>
      </c>
      <c r="DM282" s="184">
        <f t="shared" si="636"/>
        <v>0</v>
      </c>
      <c r="DN282" s="184">
        <f t="shared" si="636"/>
        <v>0</v>
      </c>
      <c r="DO282" s="184">
        <f t="shared" si="636"/>
        <v>0</v>
      </c>
      <c r="DP282" s="184">
        <f t="shared" si="636"/>
        <v>0</v>
      </c>
      <c r="DQ282" s="184">
        <f t="shared" si="636"/>
        <v>0</v>
      </c>
      <c r="DR282" s="184">
        <f t="shared" si="636"/>
        <v>0</v>
      </c>
      <c r="DS282" s="184">
        <f t="shared" si="636"/>
        <v>0</v>
      </c>
      <c r="DT282" s="184">
        <f t="shared" si="636"/>
        <v>0</v>
      </c>
      <c r="DU282" s="184">
        <f t="shared" si="636"/>
        <v>0</v>
      </c>
      <c r="DV282" s="184">
        <f t="shared" si="636"/>
        <v>0</v>
      </c>
      <c r="DW282" s="184">
        <f t="shared" si="636"/>
        <v>0</v>
      </c>
      <c r="DX282" s="184">
        <f t="shared" si="636"/>
        <v>0</v>
      </c>
      <c r="DY282" s="184">
        <f t="shared" si="636"/>
        <v>0</v>
      </c>
      <c r="DZ282" s="184">
        <f t="shared" si="636"/>
        <v>0</v>
      </c>
      <c r="EA282" s="184">
        <f t="shared" si="636"/>
        <v>0</v>
      </c>
      <c r="EB282" s="184">
        <f t="shared" si="636"/>
        <v>0</v>
      </c>
      <c r="EC282" s="184">
        <f t="shared" si="636"/>
        <v>0</v>
      </c>
      <c r="ED282" s="1324">
        <f t="shared" si="636"/>
        <v>0</v>
      </c>
      <c r="EE282" s="184">
        <f t="shared" si="636"/>
        <v>0</v>
      </c>
      <c r="EF282" s="184">
        <f t="shared" si="636"/>
        <v>0</v>
      </c>
      <c r="EG282" s="184">
        <f t="shared" si="636"/>
        <v>0</v>
      </c>
      <c r="EH282" s="184">
        <f t="shared" si="636"/>
        <v>0</v>
      </c>
      <c r="EI282" s="184">
        <f t="shared" si="636"/>
        <v>0</v>
      </c>
      <c r="EJ282" s="184">
        <f t="shared" ref="EJ282:EQ282" si="637">EJ279+EJ280-EJ281</f>
        <v>0</v>
      </c>
      <c r="EK282" s="184">
        <f t="shared" si="637"/>
        <v>0</v>
      </c>
      <c r="EL282" s="184">
        <f t="shared" si="637"/>
        <v>0</v>
      </c>
      <c r="EM282" s="184">
        <f t="shared" si="637"/>
        <v>0</v>
      </c>
      <c r="EN282" s="184">
        <f t="shared" si="637"/>
        <v>0</v>
      </c>
      <c r="EO282" s="184">
        <f t="shared" si="637"/>
        <v>0</v>
      </c>
      <c r="EP282" s="184">
        <f t="shared" si="637"/>
        <v>0</v>
      </c>
      <c r="EQ282" s="184">
        <f t="shared" si="637"/>
        <v>0</v>
      </c>
    </row>
    <row r="283" spans="3:147" ht="11.25" customHeight="1">
      <c r="C283" s="218"/>
      <c r="D283" s="158" t="s">
        <v>546</v>
      </c>
      <c r="E283" s="159"/>
      <c r="F283" s="159"/>
      <c r="G283" s="159"/>
      <c r="H283" s="160"/>
      <c r="I283" s="219"/>
      <c r="J283" s="220"/>
      <c r="K283" s="98"/>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162"/>
      <c r="AK283" s="162"/>
      <c r="AL283" s="162"/>
      <c r="AM283" s="162"/>
      <c r="AN283" s="162"/>
      <c r="AO283" s="162"/>
      <c r="AP283" s="162"/>
      <c r="AQ283" s="162"/>
      <c r="AR283" s="162"/>
      <c r="AS283" s="162"/>
      <c r="AT283" s="162"/>
      <c r="AU283" s="162"/>
      <c r="AV283" s="162"/>
      <c r="AW283" s="162"/>
      <c r="AX283" s="162"/>
      <c r="AY283" s="162"/>
      <c r="AZ283" s="162"/>
      <c r="BA283" s="162"/>
      <c r="BB283" s="162"/>
      <c r="BC283" s="162"/>
      <c r="BD283" s="162"/>
      <c r="BE283" s="162"/>
      <c r="BF283" s="162"/>
      <c r="BG283" s="162"/>
      <c r="BH283" s="162"/>
      <c r="BI283" s="162"/>
      <c r="BJ283" s="162"/>
      <c r="BK283" s="162"/>
      <c r="BL283" s="162"/>
      <c r="BM283" s="162"/>
      <c r="BN283" s="162"/>
      <c r="BO283" s="162"/>
      <c r="BP283" s="162"/>
      <c r="BQ283" s="162"/>
      <c r="BR283" s="162"/>
      <c r="BS283" s="162"/>
      <c r="BT283" s="162"/>
      <c r="BU283" s="162"/>
      <c r="BV283" s="162"/>
      <c r="BW283" s="162"/>
      <c r="BX283" s="162"/>
      <c r="BY283" s="162"/>
      <c r="BZ283" s="162"/>
      <c r="CA283" s="162"/>
      <c r="CB283" s="162"/>
      <c r="CC283" s="162"/>
      <c r="CD283" s="162"/>
      <c r="CE283" s="162"/>
      <c r="CF283" s="162"/>
      <c r="CG283" s="162"/>
      <c r="CH283" s="162"/>
      <c r="CI283" s="162"/>
      <c r="CJ283" s="162"/>
      <c r="CK283" s="162"/>
      <c r="CL283" s="162"/>
      <c r="CM283" s="162"/>
      <c r="CN283" s="162"/>
      <c r="CO283" s="162"/>
      <c r="CP283" s="162"/>
      <c r="CQ283" s="162"/>
      <c r="CR283" s="162"/>
      <c r="CS283" s="162"/>
      <c r="CT283" s="162"/>
      <c r="CU283" s="162"/>
      <c r="CV283" s="162"/>
      <c r="CW283" s="162"/>
      <c r="CX283" s="162"/>
      <c r="CY283" s="162"/>
      <c r="CZ283" s="162"/>
      <c r="DA283" s="162"/>
      <c r="DB283" s="162"/>
      <c r="DC283" s="162"/>
      <c r="DD283" s="162"/>
      <c r="DE283" s="162"/>
      <c r="DF283" s="162"/>
      <c r="DG283" s="162"/>
      <c r="DH283" s="162"/>
      <c r="DI283" s="162"/>
      <c r="DJ283" s="162"/>
      <c r="DK283" s="162"/>
      <c r="DL283" s="162"/>
      <c r="DM283" s="162"/>
      <c r="DN283" s="162"/>
      <c r="DO283" s="162"/>
      <c r="DP283" s="162"/>
      <c r="DQ283" s="162"/>
      <c r="DR283" s="162"/>
      <c r="DS283" s="162"/>
      <c r="DT283" s="162"/>
      <c r="DU283" s="162"/>
      <c r="DV283" s="162"/>
      <c r="DW283" s="162"/>
      <c r="DX283" s="162"/>
      <c r="DY283" s="162"/>
      <c r="DZ283" s="162"/>
      <c r="EA283" s="162"/>
      <c r="EB283" s="162"/>
      <c r="EC283" s="162"/>
      <c r="ED283" s="1319"/>
      <c r="EE283" s="162"/>
      <c r="EF283" s="162"/>
      <c r="EG283" s="162"/>
      <c r="EH283" s="162"/>
      <c r="EI283" s="162"/>
      <c r="EJ283" s="162"/>
      <c r="EK283" s="162"/>
      <c r="EL283" s="162"/>
      <c r="EM283" s="162"/>
      <c r="EN283" s="162"/>
      <c r="EO283" s="162"/>
      <c r="EP283" s="162"/>
      <c r="EQ283" s="162"/>
    </row>
    <row r="284" spans="3:147" ht="11.25" customHeight="1">
      <c r="C284" s="218"/>
      <c r="D284" s="163"/>
      <c r="E284" s="164" t="s">
        <v>230</v>
      </c>
      <c r="F284" s="165"/>
      <c r="G284" s="165"/>
      <c r="H284" s="166"/>
      <c r="I284" s="221"/>
      <c r="J284" s="168"/>
      <c r="K284" s="98"/>
      <c r="L284" s="168">
        <f t="shared" ref="L284:AQ284" si="638">K287</f>
        <v>0</v>
      </c>
      <c r="M284" s="168">
        <f t="shared" ca="1" si="638"/>
        <v>0</v>
      </c>
      <c r="N284" s="168">
        <f t="shared" ca="1" si="638"/>
        <v>-126989.66851214715</v>
      </c>
      <c r="O284" s="168">
        <f t="shared" ca="1" si="638"/>
        <v>-244754.09649304405</v>
      </c>
      <c r="P284" s="168">
        <f t="shared" ca="1" si="638"/>
        <v>-553228.53514894075</v>
      </c>
      <c r="Q284" s="168">
        <f t="shared" ca="1" si="638"/>
        <v>-717947.72107549896</v>
      </c>
      <c r="R284" s="168">
        <f t="shared" ca="1" si="638"/>
        <v>-813790.87375205709</v>
      </c>
      <c r="S284" s="168">
        <f t="shared" ca="1" si="638"/>
        <v>-4140753.9478286151</v>
      </c>
      <c r="T284" s="168">
        <f t="shared" ca="1" si="638"/>
        <v>-4332470.1428414229</v>
      </c>
      <c r="U284" s="168">
        <f t="shared" ca="1" si="638"/>
        <v>-4352218.1467292309</v>
      </c>
      <c r="V284" s="168">
        <f t="shared" ca="1" si="638"/>
        <v>-4371421.1914295387</v>
      </c>
      <c r="W284" s="168">
        <f t="shared" ca="1" si="638"/>
        <v>-4390079.2769423462</v>
      </c>
      <c r="X284" s="168">
        <f t="shared" ca="1" si="638"/>
        <v>-4408737.3624551538</v>
      </c>
      <c r="Y284" s="168">
        <f t="shared" ca="1" si="638"/>
        <v>-7717541.3924679616</v>
      </c>
      <c r="Z284" s="168">
        <f t="shared" ca="1" si="638"/>
        <v>-7756377.8748550322</v>
      </c>
      <c r="AA284" s="168">
        <f t="shared" ca="1" si="638"/>
        <v>-7796903.6899475716</v>
      </c>
      <c r="AB284" s="168">
        <f t="shared" ca="1" si="638"/>
        <v>-8032907.2659819862</v>
      </c>
      <c r="AC284" s="168">
        <f t="shared" ca="1" si="638"/>
        <v>-8170979.531861186</v>
      </c>
      <c r="AD284" s="168">
        <f t="shared" ca="1" si="638"/>
        <v>-8238453.863659136</v>
      </c>
      <c r="AE284" s="168">
        <f t="shared" ca="1" si="638"/>
        <v>-10981076.114892086</v>
      </c>
      <c r="AF284" s="168">
        <f t="shared" ca="1" si="638"/>
        <v>-11146820.315084692</v>
      </c>
      <c r="AG284" s="168">
        <f t="shared" ca="1" si="638"/>
        <v>-11136297.119374173</v>
      </c>
      <c r="AH284" s="168">
        <f t="shared" ca="1" si="638"/>
        <v>-11125215.340496466</v>
      </c>
      <c r="AI284" s="168">
        <f t="shared" ca="1" si="638"/>
        <v>-11113574.978451572</v>
      </c>
      <c r="AJ284" s="168">
        <f t="shared" ca="1" si="638"/>
        <v>-11101934.616406679</v>
      </c>
      <c r="AK284" s="168">
        <f t="shared" ca="1" si="638"/>
        <v>-13825943.847474284</v>
      </c>
      <c r="AL284" s="168">
        <f t="shared" ca="1" si="638"/>
        <v>-13839735.551108889</v>
      </c>
      <c r="AM284" s="168">
        <f t="shared" ca="1" si="638"/>
        <v>-13875908.413879098</v>
      </c>
      <c r="AN284" s="168">
        <f t="shared" ca="1" si="638"/>
        <v>-13936166.955292854</v>
      </c>
      <c r="AO284" s="168">
        <f t="shared" ca="1" si="638"/>
        <v>-13927577.972045328</v>
      </c>
      <c r="AP284" s="168">
        <f t="shared" ca="1" si="638"/>
        <v>-13991373.064438583</v>
      </c>
      <c r="AQ284" s="168">
        <f t="shared" ca="1" si="638"/>
        <v>-16729319.774252713</v>
      </c>
      <c r="AR284" s="168">
        <f t="shared" ref="AR284:BW284" ca="1" si="639">AQ287</f>
        <v>-16712022.305457054</v>
      </c>
      <c r="AS284" s="168">
        <f t="shared" ca="1" si="639"/>
        <v>-17757783.150697749</v>
      </c>
      <c r="AT284" s="168">
        <f t="shared" ca="1" si="639"/>
        <v>-18776603.610100038</v>
      </c>
      <c r="AU284" s="168">
        <f t="shared" ca="1" si="639"/>
        <v>-19859913.40732583</v>
      </c>
      <c r="AV284" s="168">
        <f t="shared" ca="1" si="639"/>
        <v>-20874824.812029451</v>
      </c>
      <c r="AW284" s="168">
        <f t="shared" ca="1" si="639"/>
        <v>-24625902.049673386</v>
      </c>
      <c r="AX284" s="168">
        <f t="shared" ca="1" si="639"/>
        <v>-24579065.301580019</v>
      </c>
      <c r="AY284" s="168">
        <f t="shared" ca="1" si="639"/>
        <v>-24526112.981581297</v>
      </c>
      <c r="AZ284" s="168">
        <f t="shared" ca="1" si="639"/>
        <v>-24474945.062805153</v>
      </c>
      <c r="BA284" s="168">
        <f t="shared" ca="1" si="639"/>
        <v>-24426236.529653769</v>
      </c>
      <c r="BB284" s="168">
        <f t="shared" ca="1" si="639"/>
        <v>-24424066.870490883</v>
      </c>
      <c r="BC284" s="168">
        <f t="shared" ca="1" si="639"/>
        <v>-26982499.632125657</v>
      </c>
      <c r="BD284" s="168">
        <f t="shared" ca="1" si="639"/>
        <v>-26897825.26498694</v>
      </c>
      <c r="BE284" s="168">
        <f t="shared" ca="1" si="639"/>
        <v>-26812592.342210978</v>
      </c>
      <c r="BF284" s="168">
        <f t="shared" ca="1" si="639"/>
        <v>-26727359.419435017</v>
      </c>
      <c r="BG284" s="168">
        <f t="shared" ca="1" si="639"/>
        <v>-26638706.577032946</v>
      </c>
      <c r="BH284" s="168">
        <f t="shared" ca="1" si="639"/>
        <v>-26550053.734630875</v>
      </c>
      <c r="BI284" s="168">
        <f t="shared" ca="1" si="639"/>
        <v>-28814692.891156815</v>
      </c>
      <c r="BJ284" s="168">
        <f t="shared" ca="1" si="639"/>
        <v>-28726271.525535632</v>
      </c>
      <c r="BK284" s="168">
        <f t="shared" ca="1" si="639"/>
        <v>-28631651.771535262</v>
      </c>
      <c r="BL284" s="168">
        <f t="shared" ca="1" si="639"/>
        <v>-28532319.634702455</v>
      </c>
      <c r="BM284" s="168">
        <f t="shared" ca="1" si="639"/>
        <v>-28420219.900312055</v>
      </c>
      <c r="BN284" s="168">
        <f t="shared" ca="1" si="639"/>
        <v>-28384168.68539175</v>
      </c>
      <c r="BO284" s="168">
        <f t="shared" ca="1" si="639"/>
        <v>-30410742.635210201</v>
      </c>
      <c r="BP284" s="168">
        <f t="shared" ca="1" si="639"/>
        <v>-30289494.963480935</v>
      </c>
      <c r="BQ284" s="168">
        <f t="shared" ca="1" si="639"/>
        <v>-30168247.291751668</v>
      </c>
      <c r="BR284" s="168">
        <f t="shared" ca="1" si="639"/>
        <v>-30046999.620022401</v>
      </c>
      <c r="BS284" s="168">
        <f t="shared" ca="1" si="639"/>
        <v>-29922246.530676372</v>
      </c>
      <c r="BT284" s="168">
        <f t="shared" ca="1" si="639"/>
        <v>-29797493.441330343</v>
      </c>
      <c r="BU284" s="168">
        <f t="shared" ca="1" si="639"/>
        <v>-32235218.787569754</v>
      </c>
      <c r="BV284" s="168">
        <f t="shared" ca="1" si="639"/>
        <v>-32057513.687895302</v>
      </c>
      <c r="BW284" s="168">
        <f t="shared" ca="1" si="639"/>
        <v>-31873455.240132187</v>
      </c>
      <c r="BX284" s="168">
        <f t="shared" ref="BX284:DC284" ca="1" si="640">BW287</f>
        <v>-31684566.599965822</v>
      </c>
      <c r="BY284" s="168">
        <f t="shared" ca="1" si="640"/>
        <v>-31482591.172302924</v>
      </c>
      <c r="BZ284" s="168">
        <f t="shared" ca="1" si="640"/>
        <v>-31358565.477096874</v>
      </c>
      <c r="CA284" s="168">
        <f t="shared" ca="1" si="640"/>
        <v>-33836198.281975009</v>
      </c>
      <c r="CB284" s="168">
        <f t="shared" ca="1" si="640"/>
        <v>-33624846.218539767</v>
      </c>
      <c r="CC284" s="168">
        <f t="shared" ca="1" si="640"/>
        <v>-33413494.155104529</v>
      </c>
      <c r="CD284" s="168">
        <f t="shared" ca="1" si="640"/>
        <v>-33202142.091669291</v>
      </c>
      <c r="CE284" s="168">
        <f t="shared" ca="1" si="640"/>
        <v>-32987196.975176875</v>
      </c>
      <c r="CF284" s="168">
        <f t="shared" ca="1" si="640"/>
        <v>-32772251.858684458</v>
      </c>
      <c r="CG284" s="168">
        <f t="shared" ca="1" si="640"/>
        <v>-35655804.088411435</v>
      </c>
      <c r="CH284" s="168">
        <f t="shared" ca="1" si="640"/>
        <v>-35441223.600586601</v>
      </c>
      <c r="CI284" s="168">
        <f t="shared" ca="1" si="640"/>
        <v>-35220130.930970885</v>
      </c>
      <c r="CJ284" s="168">
        <f t="shared" ca="1" si="640"/>
        <v>-34994087.31414184</v>
      </c>
      <c r="CK284" s="168">
        <f t="shared" ca="1" si="640"/>
        <v>-34754629.740128852</v>
      </c>
      <c r="CL284" s="168">
        <f t="shared" ca="1" si="640"/>
        <v>-34595070.641884133</v>
      </c>
      <c r="CM284" s="168">
        <f t="shared" ca="1" si="640"/>
        <v>-37261635.751208641</v>
      </c>
      <c r="CN284" s="168">
        <f t="shared" ca="1" si="640"/>
        <v>-37012567.125528999</v>
      </c>
      <c r="CO284" s="168">
        <f t="shared" ca="1" si="640"/>
        <v>-36763498.499849357</v>
      </c>
      <c r="CP284" s="168">
        <f t="shared" ca="1" si="640"/>
        <v>-36514429.874169715</v>
      </c>
      <c r="CQ284" s="168">
        <f t="shared" ca="1" si="640"/>
        <v>-36261678.369106464</v>
      </c>
      <c r="CR284" s="168">
        <f t="shared" ca="1" si="640"/>
        <v>-36008926.864043213</v>
      </c>
      <c r="CS284" s="168">
        <f t="shared" ca="1" si="640"/>
        <v>-39076450.015765324</v>
      </c>
      <c r="CT284" s="168">
        <f t="shared" ca="1" si="640"/>
        <v>-38824129.928754948</v>
      </c>
      <c r="CU284" s="168">
        <f t="shared" ca="1" si="640"/>
        <v>-38565134.855408922</v>
      </c>
      <c r="CV284" s="168">
        <f t="shared" ca="1" si="640"/>
        <v>-38301065.061169229</v>
      </c>
      <c r="CW284" s="168">
        <f t="shared" ca="1" si="640"/>
        <v>-38023245.960815996</v>
      </c>
      <c r="CX284" s="168">
        <f t="shared" ca="1" si="640"/>
        <v>-37827322.798125237</v>
      </c>
      <c r="CY284" s="168">
        <f t="shared" ca="1" si="640"/>
        <v>-40460766.573604427</v>
      </c>
      <c r="CZ284" s="168">
        <f t="shared" ca="1" si="640"/>
        <v>-40810072.907884449</v>
      </c>
      <c r="DA284" s="168">
        <f t="shared" ca="1" si="640"/>
        <v>-40559227.471780419</v>
      </c>
      <c r="DB284" s="168">
        <f t="shared" ca="1" si="640"/>
        <v>-40308382.03567639</v>
      </c>
      <c r="DC284" s="168">
        <f t="shared" ca="1" si="640"/>
        <v>-40131148.151252262</v>
      </c>
      <c r="DD284" s="168">
        <f t="shared" ref="DD284:DT284" ca="1" si="641">DC287</f>
        <v>-39876527.763780035</v>
      </c>
      <c r="DE284" s="168">
        <f t="shared" ca="1" si="641"/>
        <v>-42336907.376307808</v>
      </c>
      <c r="DF284" s="168">
        <f t="shared" ca="1" si="641"/>
        <v>-42082701.898118779</v>
      </c>
      <c r="DG284" s="168">
        <f t="shared" ca="1" si="641"/>
        <v>-41821846.685788125</v>
      </c>
      <c r="DH284" s="168">
        <f t="shared" ca="1" si="641"/>
        <v>-41573532.147259481</v>
      </c>
      <c r="DI284" s="168">
        <f t="shared" ca="1" si="641"/>
        <v>-41335704.693673037</v>
      </c>
      <c r="DJ284" s="168">
        <f t="shared" ca="1" si="641"/>
        <v>-41055660.239921182</v>
      </c>
      <c r="DK284" s="168">
        <f t="shared" ca="1" si="641"/>
        <v>-43516702.89072708</v>
      </c>
      <c r="DL284" s="168">
        <f t="shared" ca="1" si="641"/>
        <v>-43227408.700590208</v>
      </c>
      <c r="DM284" s="168">
        <f t="shared" ca="1" si="641"/>
        <v>-42937482.556018002</v>
      </c>
      <c r="DN284" s="168">
        <f t="shared" ca="1" si="641"/>
        <v>-42647556.411445796</v>
      </c>
      <c r="DO284" s="168">
        <f t="shared" ca="1" si="641"/>
        <v>-42353760.941721186</v>
      </c>
      <c r="DP284" s="168">
        <f t="shared" ca="1" si="641"/>
        <v>-42059965.471996576</v>
      </c>
      <c r="DQ284" s="168">
        <f t="shared" ca="1" si="641"/>
        <v>-44481170.002271965</v>
      </c>
      <c r="DR284" s="168">
        <f t="shared" ca="1" si="641"/>
        <v>-44187854.518208995</v>
      </c>
      <c r="DS284" s="168">
        <f t="shared" ca="1" si="641"/>
        <v>-43887723.056650862</v>
      </c>
      <c r="DT284" s="168">
        <f t="shared" ca="1" si="641"/>
        <v>-43582421.670443706</v>
      </c>
      <c r="DU284" s="168">
        <f t="shared" ref="DU284:EQ284" ca="1" si="642">DT287</f>
        <v>-43263111.900655627</v>
      </c>
      <c r="DV284" s="168">
        <f t="shared" ca="1" si="642"/>
        <v>-42943802.130867548</v>
      </c>
      <c r="DW284" s="168">
        <f t="shared" ca="1" si="642"/>
        <v>-45334160.54960002</v>
      </c>
      <c r="DX284" s="168">
        <f t="shared" ca="1" si="642"/>
        <v>-45004722.046721078</v>
      </c>
      <c r="DY284" s="168">
        <f t="shared" ca="1" si="642"/>
        <v>-44675283.543842137</v>
      </c>
      <c r="DZ284" s="168">
        <f t="shared" ca="1" si="642"/>
        <v>-44345845.040963195</v>
      </c>
      <c r="EA284" s="168">
        <f t="shared" ca="1" si="642"/>
        <v>-44012440.479803041</v>
      </c>
      <c r="EB284" s="168">
        <f t="shared" ca="1" si="642"/>
        <v>-43679035.918642886</v>
      </c>
      <c r="EC284" s="168">
        <f t="shared" ca="1" si="642"/>
        <v>0</v>
      </c>
      <c r="ED284" s="1320">
        <f t="shared" ca="1" si="642"/>
        <v>0</v>
      </c>
      <c r="EE284" s="168">
        <f t="shared" ca="1" si="642"/>
        <v>0</v>
      </c>
      <c r="EF284" s="168">
        <f t="shared" ca="1" si="642"/>
        <v>0</v>
      </c>
      <c r="EG284" s="168">
        <f t="shared" ca="1" si="642"/>
        <v>0</v>
      </c>
      <c r="EH284" s="168">
        <f t="shared" ca="1" si="642"/>
        <v>0</v>
      </c>
      <c r="EI284" s="168">
        <f t="shared" ca="1" si="642"/>
        <v>0</v>
      </c>
      <c r="EJ284" s="168">
        <f t="shared" ca="1" si="642"/>
        <v>0</v>
      </c>
      <c r="EK284" s="168">
        <f t="shared" ca="1" si="642"/>
        <v>0</v>
      </c>
      <c r="EL284" s="168">
        <f t="shared" ca="1" si="642"/>
        <v>0</v>
      </c>
      <c r="EM284" s="168">
        <f t="shared" ca="1" si="642"/>
        <v>0</v>
      </c>
      <c r="EN284" s="168">
        <f t="shared" ca="1" si="642"/>
        <v>0</v>
      </c>
      <c r="EO284" s="168">
        <f t="shared" ca="1" si="642"/>
        <v>0</v>
      </c>
      <c r="EP284" s="168">
        <f t="shared" ca="1" si="642"/>
        <v>0</v>
      </c>
      <c r="EQ284" s="168">
        <f t="shared" ca="1" si="642"/>
        <v>0</v>
      </c>
    </row>
    <row r="285" spans="3:147" ht="11.25" customHeight="1">
      <c r="C285" s="218"/>
      <c r="D285" s="163"/>
      <c r="E285" s="169" t="s">
        <v>231</v>
      </c>
      <c r="J285" s="171">
        <f ca="1">SUM(L285:EQ285)</f>
        <v>114248066.68783464</v>
      </c>
      <c r="K285" s="98"/>
      <c r="L285" s="171">
        <f>'IS(M)'!M57</f>
        <v>0</v>
      </c>
      <c r="M285" s="171">
        <f ca="1">'IS(M)'!N57</f>
        <v>-126989.66851214715</v>
      </c>
      <c r="N285" s="171">
        <f ca="1">'IS(M)'!O57</f>
        <v>-117764.4279808969</v>
      </c>
      <c r="O285" s="171">
        <f ca="1">'IS(M)'!P57</f>
        <v>-308474.43865589669</v>
      </c>
      <c r="P285" s="171">
        <f ca="1">'IS(M)'!Q57</f>
        <v>-164719.18592655822</v>
      </c>
      <c r="Q285" s="171">
        <f ca="1">'IS(M)'!R57</f>
        <v>-95843.152676558122</v>
      </c>
      <c r="R285" s="171">
        <f ca="1">'IS(M)'!S57</f>
        <v>-56963.07407655823</v>
      </c>
      <c r="S285" s="171">
        <f ca="1">'IS(M)'!T57</f>
        <v>-191716.19501280808</v>
      </c>
      <c r="T285" s="171">
        <f ca="1">'IS(M)'!U57</f>
        <v>-19748.00388780795</v>
      </c>
      <c r="U285" s="171">
        <f ca="1">'IS(M)'!V57</f>
        <v>-19203.044700308004</v>
      </c>
      <c r="V285" s="171">
        <f ca="1">'IS(M)'!W57</f>
        <v>-18658.085512808058</v>
      </c>
      <c r="W285" s="171">
        <f ca="1">'IS(M)'!X57</f>
        <v>-18658.085512808058</v>
      </c>
      <c r="X285" s="171">
        <f ca="1">'IS(M)'!Y57</f>
        <v>-38804.030012808042</v>
      </c>
      <c r="Y285" s="171">
        <f ca="1">'IS(M)'!Z57</f>
        <v>-38836.482387070893</v>
      </c>
      <c r="Z285" s="171">
        <f ca="1">'IS(M)'!AA57</f>
        <v>-40525.815092539764</v>
      </c>
      <c r="AA285" s="171">
        <f ca="1">'IS(M)'!AB57</f>
        <v>-236003.5760344147</v>
      </c>
      <c r="AB285" s="171">
        <f ca="1">'IS(M)'!AC57</f>
        <v>-138072.26587919949</v>
      </c>
      <c r="AC285" s="171">
        <f ca="1">'IS(M)'!AD57</f>
        <v>-67474.331797949621</v>
      </c>
      <c r="AD285" s="171">
        <f ca="1">'IS(M)'!AE57</f>
        <v>-27622.251232949668</v>
      </c>
      <c r="AE285" s="171">
        <f ca="1">'IS(M)'!AF57</f>
        <v>-165744.20019260596</v>
      </c>
      <c r="AF285" s="171">
        <f ca="1">'IS(M)'!AG57</f>
        <v>10523.195710518979</v>
      </c>
      <c r="AG285" s="171">
        <f ca="1">'IS(M)'!AH57</f>
        <v>11081.778877706616</v>
      </c>
      <c r="AH285" s="171">
        <f ca="1">'IS(M)'!AI57</f>
        <v>11640.36204489402</v>
      </c>
      <c r="AI285" s="171">
        <f ca="1">'IS(M)'!AJ57</f>
        <v>11640.36204489402</v>
      </c>
      <c r="AJ285" s="171">
        <f ca="1">'IS(M)'!AK57</f>
        <v>-9009.2310676058987</v>
      </c>
      <c r="AK285" s="171">
        <f ca="1">'IS(M)'!AL57</f>
        <v>-13791.703634603997</v>
      </c>
      <c r="AL285" s="171">
        <f ca="1">'IS(M)'!AM57</f>
        <v>-36172.862770209438</v>
      </c>
      <c r="AM285" s="171">
        <f ca="1">'IS(M)'!AN57</f>
        <v>-60258.541413756437</v>
      </c>
      <c r="AN285" s="171">
        <f ca="1">'IS(M)'!AO57</f>
        <v>8588.9832475263393</v>
      </c>
      <c r="AO285" s="171">
        <f ca="1">'IS(M)'!AP57</f>
        <v>-63795.092393254978</v>
      </c>
      <c r="AP285" s="171">
        <f ca="1">'IS(M)'!AQ57</f>
        <v>-22946.709814129979</v>
      </c>
      <c r="AQ285" s="171">
        <f ca="1">'IS(M)'!AR57</f>
        <v>17297.468795659603</v>
      </c>
      <c r="AR285" s="171">
        <f ca="1">'IS(M)'!AS57</f>
        <v>-1045760.8452406945</v>
      </c>
      <c r="AS285" s="171">
        <f ca="1">'IS(M)'!AT57</f>
        <v>-1018820.4594022899</v>
      </c>
      <c r="AT285" s="171">
        <f ca="1">'IS(M)'!AU57</f>
        <v>-1083309.797225791</v>
      </c>
      <c r="AU285" s="171">
        <f ca="1">'IS(M)'!AV57</f>
        <v>-1014911.4047036218</v>
      </c>
      <c r="AV285" s="171">
        <f ca="1">'IS(M)'!AW57</f>
        <v>-1036077.2376439343</v>
      </c>
      <c r="AW285" s="171">
        <f ca="1">'IS(M)'!AX57</f>
        <v>46836.748093368136</v>
      </c>
      <c r="AX285" s="171">
        <f ca="1">'IS(M)'!AY57</f>
        <v>52952.319998723106</v>
      </c>
      <c r="AY285" s="171">
        <f ca="1">'IS(M)'!AZ57</f>
        <v>51167.918776141596</v>
      </c>
      <c r="AZ285" s="171">
        <f ca="1">'IS(M)'!BA57</f>
        <v>48708.533151383395</v>
      </c>
      <c r="BA285" s="171">
        <f ca="1">'IS(M)'!BB57</f>
        <v>2169.6591628879542</v>
      </c>
      <c r="BB285" s="171">
        <f ca="1">'IS(M)'!BC57</f>
        <v>44039.251306491089</v>
      </c>
      <c r="BC285" s="171">
        <f ca="1">'IS(M)'!BD57</f>
        <v>84674.367138717789</v>
      </c>
      <c r="BD285" s="171">
        <f ca="1">'IS(M)'!BE57</f>
        <v>85232.922775962972</v>
      </c>
      <c r="BE285" s="171">
        <f ca="1">'IS(M)'!BF57</f>
        <v>85232.922775962972</v>
      </c>
      <c r="BF285" s="171">
        <f ca="1">'IS(M)'!BG57</f>
        <v>88652.842402071576</v>
      </c>
      <c r="BG285" s="171">
        <f ca="1">'IS(M)'!BH57</f>
        <v>88652.842402071576</v>
      </c>
      <c r="BH285" s="171">
        <f ca="1">'IS(M)'!BI57</f>
        <v>88652.842402071576</v>
      </c>
      <c r="BI285" s="171">
        <f ca="1">'IS(M)'!BJ57</f>
        <v>88421.365621183417</v>
      </c>
      <c r="BJ285" s="171">
        <f ca="1">'IS(M)'!BK57</f>
        <v>94619.754000369809</v>
      </c>
      <c r="BK285" s="171">
        <f ca="1">'IS(M)'!BL57</f>
        <v>99332.136832808028</v>
      </c>
      <c r="BL285" s="171">
        <f ca="1">'IS(M)'!BM57</f>
        <v>112099.73439039977</v>
      </c>
      <c r="BM285" s="171">
        <f ca="1">'IS(M)'!BN57</f>
        <v>36051.214920303901</v>
      </c>
      <c r="BN285" s="171">
        <f ca="1">'IS(M)'!BO57</f>
        <v>78967.546867497149</v>
      </c>
      <c r="BO285" s="171">
        <f ca="1">'IS(M)'!BP57</f>
        <v>121247.67172926839</v>
      </c>
      <c r="BP285" s="171">
        <f ca="1">'IS(M)'!BQ57</f>
        <v>121247.67172926839</v>
      </c>
      <c r="BQ285" s="171">
        <f ca="1">'IS(M)'!BR57</f>
        <v>121247.67172926839</v>
      </c>
      <c r="BR285" s="171">
        <f ca="1">'IS(M)'!BS57</f>
        <v>124753.08934602968</v>
      </c>
      <c r="BS285" s="171">
        <f ca="1">'IS(M)'!BT57</f>
        <v>124753.08934602968</v>
      </c>
      <c r="BT285" s="171">
        <f ca="1">'IS(M)'!BU57</f>
        <v>124753.08934602968</v>
      </c>
      <c r="BU285" s="171">
        <f ca="1">'IS(M)'!BV57</f>
        <v>177705.09967445058</v>
      </c>
      <c r="BV285" s="171">
        <f ca="1">'IS(M)'!BW57</f>
        <v>184058.44776311691</v>
      </c>
      <c r="BW285" s="171">
        <f ca="1">'IS(M)'!BX57</f>
        <v>188888.64016636636</v>
      </c>
      <c r="BX285" s="171">
        <f ca="1">'IS(M)'!BY57</f>
        <v>201975.42766289751</v>
      </c>
      <c r="BY285" s="171">
        <f ca="1">'IS(M)'!BZ57</f>
        <v>124025.69520604925</v>
      </c>
      <c r="BZ285" s="171">
        <f ca="1">'IS(M)'!CA57</f>
        <v>168014.93545192259</v>
      </c>
      <c r="CA285" s="171">
        <f ca="1">'IS(M)'!CB57</f>
        <v>211352.0634352382</v>
      </c>
      <c r="CB285" s="171">
        <f ca="1">'IS(M)'!CC57</f>
        <v>211352.0634352382</v>
      </c>
      <c r="CC285" s="171">
        <f ca="1">'IS(M)'!CD57</f>
        <v>211352.0634352382</v>
      </c>
      <c r="CD285" s="171">
        <f ca="1">'IS(M)'!CE57</f>
        <v>214945.11649241846</v>
      </c>
      <c r="CE285" s="171">
        <f ca="1">'IS(M)'!CF57</f>
        <v>214945.11649241846</v>
      </c>
      <c r="CF285" s="171">
        <f ca="1">'IS(M)'!CG57</f>
        <v>214945.11649241846</v>
      </c>
      <c r="CG285" s="171">
        <f ca="1">'IS(M)'!CH57</f>
        <v>214580.48782483244</v>
      </c>
      <c r="CH285" s="171">
        <f ca="1">'IS(M)'!CI57</f>
        <v>221092.66961571516</v>
      </c>
      <c r="CI285" s="171">
        <f ca="1">'IS(M)'!CJ57</f>
        <v>226043.61682904593</v>
      </c>
      <c r="CJ285" s="171">
        <f ca="1">'IS(M)'!CK57</f>
        <v>239457.57401299046</v>
      </c>
      <c r="CK285" s="171">
        <f ca="1">'IS(M)'!CL57</f>
        <v>159559.09824472119</v>
      </c>
      <c r="CL285" s="171">
        <f ca="1">'IS(M)'!CM57</f>
        <v>204648.06949674117</v>
      </c>
      <c r="CM285" s="171">
        <f ca="1">'IS(M)'!CN57</f>
        <v>249068.62567963952</v>
      </c>
      <c r="CN285" s="171">
        <f ca="1">'IS(M)'!CO57</f>
        <v>249068.62567963952</v>
      </c>
      <c r="CO285" s="171">
        <f ca="1">'IS(M)'!CP57</f>
        <v>249068.62567963952</v>
      </c>
      <c r="CP285" s="171">
        <f ca="1">'IS(M)'!CQ57</f>
        <v>252751.50506324926</v>
      </c>
      <c r="CQ285" s="171">
        <f ca="1">'IS(M)'!CR57</f>
        <v>252751.50506324926</v>
      </c>
      <c r="CR285" s="171">
        <f ca="1">'IS(M)'!CS57</f>
        <v>252751.50506324926</v>
      </c>
      <c r="CS285" s="171">
        <f ca="1">'IS(M)'!CT57</f>
        <v>252320.08701037476</v>
      </c>
      <c r="CT285" s="171">
        <f ca="1">'IS(M)'!CU57</f>
        <v>258995.07334602997</v>
      </c>
      <c r="CU285" s="171">
        <f ca="1">'IS(M)'!CV57</f>
        <v>264069.79423969379</v>
      </c>
      <c r="CV285" s="171">
        <f ca="1">'IS(M)'!CW57</f>
        <v>277819.10035323678</v>
      </c>
      <c r="CW285" s="171">
        <f ca="1">'IS(M)'!CX57</f>
        <v>195923.16269076068</v>
      </c>
      <c r="CX285" s="171">
        <f ca="1">'IS(M)'!CY57</f>
        <v>242139.35822408099</v>
      </c>
      <c r="CY285" s="171">
        <f ca="1">'IS(M)'!CZ57</f>
        <v>-349306.33428001939</v>
      </c>
      <c r="CZ285" s="171">
        <f ca="1">'IS(M)'!DA57</f>
        <v>250845.43610402662</v>
      </c>
      <c r="DA285" s="171">
        <f ca="1">'IS(M)'!DB57</f>
        <v>250845.43610402662</v>
      </c>
      <c r="DB285" s="171">
        <f ca="1">'IS(M)'!DC57</f>
        <v>177233.88442412729</v>
      </c>
      <c r="DC285" s="171">
        <f ca="1">'IS(M)'!DD57</f>
        <v>254620.38747222628</v>
      </c>
      <c r="DD285" s="171">
        <f ca="1">'IS(M)'!DE57</f>
        <v>254620.38747222628</v>
      </c>
      <c r="DE285" s="171">
        <f ca="1">'IS(M)'!DF57</f>
        <v>254205.47818903159</v>
      </c>
      <c r="DF285" s="171">
        <f ca="1">'IS(M)'!DG57</f>
        <v>260855.21233065519</v>
      </c>
      <c r="DG285" s="171">
        <f ca="1">'IS(M)'!DH57</f>
        <v>248314.5385286446</v>
      </c>
      <c r="DH285" s="171">
        <f ca="1">'IS(M)'!DI57</f>
        <v>237827.45358644251</v>
      </c>
      <c r="DI285" s="171">
        <f ca="1">'IS(M)'!DJ57</f>
        <v>280044.45375185343</v>
      </c>
      <c r="DJ285" s="171">
        <f ca="1">'IS(M)'!DK57</f>
        <v>253957.34919410152</v>
      </c>
      <c r="DK285" s="171">
        <f ca="1">'IS(M)'!DL57</f>
        <v>289294.19013686944</v>
      </c>
      <c r="DL285" s="171">
        <f ca="1">'IS(M)'!DM57</f>
        <v>289926.14457220491</v>
      </c>
      <c r="DM285" s="171">
        <f ca="1">'IS(M)'!DN57</f>
        <v>289926.14457220491</v>
      </c>
      <c r="DN285" s="171">
        <f ca="1">'IS(M)'!DO57</f>
        <v>293795.46972460975</v>
      </c>
      <c r="DO285" s="171">
        <f ca="1">'IS(M)'!DP57</f>
        <v>293795.46972460975</v>
      </c>
      <c r="DP285" s="171">
        <f ca="1">'IS(M)'!DQ57</f>
        <v>293795.46972460975</v>
      </c>
      <c r="DQ285" s="171">
        <f ca="1">'IS(M)'!DR57</f>
        <v>293315.48406297155</v>
      </c>
      <c r="DR285" s="171">
        <f ca="1">'IS(M)'!DS57</f>
        <v>300131.46155813569</v>
      </c>
      <c r="DS285" s="171">
        <f ca="1">'IS(M)'!DT57</f>
        <v>305301.38620715891</v>
      </c>
      <c r="DT285" s="171">
        <f ca="1">'IS(M)'!DU57</f>
        <v>319309.76978808013</v>
      </c>
      <c r="DU285" s="171">
        <f ca="1">'IS(M)'!DV57</f>
        <v>319309.76978808013</v>
      </c>
      <c r="DV285" s="171">
        <f ca="1">'IS(M)'!DW57</f>
        <v>324641.58126752614</v>
      </c>
      <c r="DW285" s="171">
        <f ca="1">'IS(M)'!DX57</f>
        <v>329438.5028789402</v>
      </c>
      <c r="DX285" s="171">
        <f ca="1">'IS(M)'!DY57</f>
        <v>329438.5028789402</v>
      </c>
      <c r="DY285" s="171">
        <f ca="1">'IS(M)'!DZ57</f>
        <v>329438.5028789402</v>
      </c>
      <c r="DZ285" s="171">
        <f ca="1">'IS(M)'!EA57</f>
        <v>333404.56116015534</v>
      </c>
      <c r="EA285" s="171">
        <f ca="1">'IS(M)'!EB57</f>
        <v>333404.56116015534</v>
      </c>
      <c r="EB285" s="171">
        <f ca="1">'IS(M)'!EC57</f>
        <v>105232102.60647751</v>
      </c>
      <c r="EC285" s="171">
        <f ca="1">'IS(M)'!ED57</f>
        <v>0</v>
      </c>
      <c r="ED285" s="1321">
        <f ca="1">'IS(M)'!EE57</f>
        <v>0</v>
      </c>
      <c r="EE285" s="171">
        <f ca="1">'IS(M)'!EF57</f>
        <v>0</v>
      </c>
      <c r="EF285" s="171">
        <f ca="1">'IS(M)'!EG57</f>
        <v>0</v>
      </c>
      <c r="EG285" s="171">
        <f ca="1">'IS(M)'!EH57</f>
        <v>0</v>
      </c>
      <c r="EH285" s="171">
        <f ca="1">'IS(M)'!EI57</f>
        <v>0</v>
      </c>
      <c r="EI285" s="171">
        <f ca="1">'IS(M)'!EJ57</f>
        <v>0</v>
      </c>
      <c r="EJ285" s="171">
        <f ca="1">'IS(M)'!EK57</f>
        <v>0</v>
      </c>
      <c r="EK285" s="171">
        <f ca="1">'IS(M)'!EL57</f>
        <v>0</v>
      </c>
      <c r="EL285" s="171">
        <f ca="1">'IS(M)'!EM57</f>
        <v>0</v>
      </c>
      <c r="EM285" s="171">
        <f ca="1">'IS(M)'!EN57</f>
        <v>0</v>
      </c>
      <c r="EN285" s="171">
        <f ca="1">'IS(M)'!EO57</f>
        <v>0</v>
      </c>
      <c r="EO285" s="171">
        <f ca="1">'IS(M)'!EP57</f>
        <v>0</v>
      </c>
      <c r="EP285" s="171">
        <f ca="1">'IS(M)'!EQ57</f>
        <v>0</v>
      </c>
      <c r="EQ285" s="171">
        <f ca="1">'IS(M)'!ER57</f>
        <v>0</v>
      </c>
    </row>
    <row r="286" spans="3:147" ht="11.25" customHeight="1">
      <c r="C286" s="218"/>
      <c r="D286" s="163"/>
      <c r="E286" s="169" t="s">
        <v>232</v>
      </c>
      <c r="H286" s="146">
        <f>H78</f>
        <v>49979</v>
      </c>
      <c r="I286" s="90">
        <f>'FS_Detail(M)'!I78</f>
        <v>0</v>
      </c>
      <c r="J286" s="171">
        <f ca="1">SUM(L286:EQ286)</f>
        <v>114248066.68783468</v>
      </c>
      <c r="K286" s="98"/>
      <c r="L286" s="171">
        <f ca="1">-SUM('CF(M)'!L98:L99,'CF(M)'!L103:L104,'CF(M)'!L108:L109,'CF(M)'!L113:L114)+$I286*(L$231=$H$286)</f>
        <v>0</v>
      </c>
      <c r="M286" s="171">
        <f ca="1">-SUM('CF(M)'!M98:M99,'CF(M)'!M103:M104,'CF(M)'!M108:M109,'CF(M)'!M113:M114)+$I286*(M$231=$H$286)</f>
        <v>0</v>
      </c>
      <c r="N286" s="171">
        <f ca="1">-SUM('CF(M)'!N98:N99,'CF(M)'!N103:N104,'CF(M)'!N108:N109,'CF(M)'!N113:N114)+$I286*(N$231=$H$286)</f>
        <v>0</v>
      </c>
      <c r="O286" s="171">
        <f ca="1">-SUM('CF(M)'!O98:O99,'CF(M)'!O103:O104,'CF(M)'!O108:O109,'CF(M)'!O113:O114)+$I286*(O$231=$H$286)</f>
        <v>0</v>
      </c>
      <c r="P286" s="171">
        <f ca="1">-SUM('CF(M)'!P98:P99,'CF(M)'!P103:P104,'CF(M)'!P108:P109,'CF(M)'!P113:P114)+$I286*(P$231=$H$286)</f>
        <v>0</v>
      </c>
      <c r="Q286" s="171">
        <f ca="1">-SUM('CF(M)'!Q98:Q99,'CF(M)'!Q103:Q104,'CF(M)'!Q108:Q109,'CF(M)'!Q113:Q114)+$I286*(Q$231=$H$286)</f>
        <v>0</v>
      </c>
      <c r="R286" s="171">
        <f ca="1">-SUM('CF(M)'!R98:R99,'CF(M)'!R103:R104,'CF(M)'!R108:R109,'CF(M)'!R113:R114)+$I286*(R$231=$H$286)</f>
        <v>3270000</v>
      </c>
      <c r="S286" s="171">
        <f ca="1">-SUM('CF(M)'!S98:S99,'CF(M)'!S103:S104,'CF(M)'!S108:S109,'CF(M)'!S113:S114)+$I286*(S$231=$H$286)</f>
        <v>0</v>
      </c>
      <c r="T286" s="171">
        <f ca="1">-SUM('CF(M)'!T98:T99,'CF(M)'!T103:T104,'CF(M)'!T108:T109,'CF(M)'!T113:T114)+$I286*(T$231=$H$286)</f>
        <v>0</v>
      </c>
      <c r="U286" s="171">
        <f ca="1">-SUM('CF(M)'!U98:U99,'CF(M)'!U103:U104,'CF(M)'!U108:U109,'CF(M)'!U113:U114)+$I286*(U$231=$H$286)</f>
        <v>0</v>
      </c>
      <c r="V286" s="171">
        <f ca="1">-SUM('CF(M)'!V98:V99,'CF(M)'!V103:V104,'CF(M)'!V108:V109,'CF(M)'!V113:V114)+$I286*(V$231=$H$286)</f>
        <v>0</v>
      </c>
      <c r="W286" s="171">
        <f ca="1">-SUM('CF(M)'!W98:W99,'CF(M)'!W103:W104,'CF(M)'!W108:W109,'CF(M)'!W113:W114)+$I286*(W$231=$H$286)</f>
        <v>0</v>
      </c>
      <c r="X286" s="171">
        <f ca="1">-SUM('CF(M)'!X98:X99,'CF(M)'!X103:X104,'CF(M)'!X108:X109,'CF(M)'!X113:X114)+$I286*(X$231=$H$286)</f>
        <v>3270000</v>
      </c>
      <c r="Y286" s="171">
        <f ca="1">-SUM('CF(M)'!Y98:Y99,'CF(M)'!Y103:Y104,'CF(M)'!Y108:Y109,'CF(M)'!Y113:Y114)+$I286*(Y$231=$H$286)</f>
        <v>0</v>
      </c>
      <c r="Z286" s="171">
        <f ca="1">-SUM('CF(M)'!Z98:Z99,'CF(M)'!Z103:Z104,'CF(M)'!Z108:Z109,'CF(M)'!Z113:Z114)+$I286*(Z$231=$H$286)</f>
        <v>0</v>
      </c>
      <c r="AA286" s="171">
        <f ca="1">-SUM('CF(M)'!AA98:AA99,'CF(M)'!AA103:AA104,'CF(M)'!AA108:AA109,'CF(M)'!AA113:AA114)+$I286*(AA$231=$H$286)</f>
        <v>0</v>
      </c>
      <c r="AB286" s="171">
        <f ca="1">-SUM('CF(M)'!AB98:AB99,'CF(M)'!AB103:AB104,'CF(M)'!AB108:AB109,'CF(M)'!AB113:AB114)+$I286*(AB$231=$H$286)</f>
        <v>0</v>
      </c>
      <c r="AC286" s="171">
        <f ca="1">-SUM('CF(M)'!AC98:AC99,'CF(M)'!AC103:AC104,'CF(M)'!AC108:AC109,'CF(M)'!AC113:AC114)+$I286*(AC$231=$H$286)</f>
        <v>0</v>
      </c>
      <c r="AD286" s="171">
        <f ca="1">-SUM('CF(M)'!AD98:AD99,'CF(M)'!AD103:AD104,'CF(M)'!AD108:AD109,'CF(M)'!AD113:AD114)+$I286*(AD$231=$H$286)</f>
        <v>2715000</v>
      </c>
      <c r="AE286" s="171">
        <f ca="1">-SUM('CF(M)'!AE98:AE99,'CF(M)'!AE103:AE104,'CF(M)'!AE108:AE109,'CF(M)'!AE113:AE114)+$I286*(AE$231=$H$286)</f>
        <v>0</v>
      </c>
      <c r="AF286" s="171">
        <f ca="1">-SUM('CF(M)'!AF98:AF99,'CF(M)'!AF103:AF104,'CF(M)'!AF108:AF109,'CF(M)'!AF113:AF114)+$I286*(AF$231=$H$286)</f>
        <v>0</v>
      </c>
      <c r="AG286" s="171">
        <f ca="1">-SUM('CF(M)'!AG98:AG99,'CF(M)'!AG103:AG104,'CF(M)'!AG108:AG109,'CF(M)'!AG113:AG114)+$I286*(AG$231=$H$286)</f>
        <v>0</v>
      </c>
      <c r="AH286" s="171">
        <f ca="1">-SUM('CF(M)'!AH98:AH99,'CF(M)'!AH103:AH104,'CF(M)'!AH108:AH109,'CF(M)'!AH113:AH114)+$I286*(AH$231=$H$286)</f>
        <v>0</v>
      </c>
      <c r="AI286" s="171">
        <f ca="1">-SUM('CF(M)'!AI98:AI99,'CF(M)'!AI103:AI104,'CF(M)'!AI108:AI109,'CF(M)'!AI113:AI114)+$I286*(AI$231=$H$286)</f>
        <v>0</v>
      </c>
      <c r="AJ286" s="171">
        <f ca="1">-SUM('CF(M)'!AJ98:AJ99,'CF(M)'!AJ103:AJ104,'CF(M)'!AJ108:AJ109,'CF(M)'!AJ113:AJ114)+$I286*(AJ$231=$H$286)</f>
        <v>2715000</v>
      </c>
      <c r="AK286" s="171">
        <f ca="1">-SUM('CF(M)'!AK98:AK99,'CF(M)'!AK103:AK104,'CF(M)'!AK108:AK109,'CF(M)'!AK113:AK114)+$I286*(AK$231=$H$286)</f>
        <v>0</v>
      </c>
      <c r="AL286" s="171">
        <f ca="1">-SUM('CF(M)'!AL98:AL99,'CF(M)'!AL103:AL104,'CF(M)'!AL108:AL109,'CF(M)'!AL113:AL114)+$I286*(AL$231=$H$286)</f>
        <v>0</v>
      </c>
      <c r="AM286" s="171">
        <f ca="1">-SUM('CF(M)'!AM98:AM99,'CF(M)'!AM103:AM104,'CF(M)'!AM108:AM109,'CF(M)'!AM113:AM114)+$I286*(AM$231=$H$286)</f>
        <v>0</v>
      </c>
      <c r="AN286" s="171">
        <f ca="1">-SUM('CF(M)'!AN98:AN99,'CF(M)'!AN103:AN104,'CF(M)'!AN108:AN109,'CF(M)'!AN113:AN114)+$I286*(AN$231=$H$286)</f>
        <v>0</v>
      </c>
      <c r="AO286" s="171">
        <f ca="1">-SUM('CF(M)'!AO98:AO99,'CF(M)'!AO103:AO104,'CF(M)'!AO108:AO109,'CF(M)'!AO113:AO114)+$I286*(AO$231=$H$286)</f>
        <v>0</v>
      </c>
      <c r="AP286" s="171">
        <f ca="1">-SUM('CF(M)'!AP98:AP99,'CF(M)'!AP103:AP104,'CF(M)'!AP108:AP109,'CF(M)'!AP113:AP114)+$I286*(AP$231=$H$286)</f>
        <v>2715000</v>
      </c>
      <c r="AQ286" s="171">
        <f ca="1">-SUM('CF(M)'!AQ98:AQ99,'CF(M)'!AQ103:AQ104,'CF(M)'!AQ108:AQ109,'CF(M)'!AQ113:AQ114)+$I286*(AQ$231=$H$286)</f>
        <v>0</v>
      </c>
      <c r="AR286" s="171">
        <f ca="1">-SUM('CF(M)'!AR98:AR99,'CF(M)'!AR103:AR104,'CF(M)'!AR108:AR109,'CF(M)'!AR113:AR114)+$I286*(AR$231=$H$286)</f>
        <v>0</v>
      </c>
      <c r="AS286" s="171">
        <f ca="1">-SUM('CF(M)'!AS98:AS99,'CF(M)'!AS103:AS104,'CF(M)'!AS108:AS109,'CF(M)'!AS113:AS114)+$I286*(AS$231=$H$286)</f>
        <v>0</v>
      </c>
      <c r="AT286" s="171">
        <f ca="1">-SUM('CF(M)'!AT98:AT99,'CF(M)'!AT103:AT104,'CF(M)'!AT108:AT109,'CF(M)'!AT113:AT114)+$I286*(AT$231=$H$286)</f>
        <v>0</v>
      </c>
      <c r="AU286" s="171">
        <f ca="1">-SUM('CF(M)'!AU98:AU99,'CF(M)'!AU103:AU104,'CF(M)'!AU108:AU109,'CF(M)'!AU113:AU114)+$I286*(AU$231=$H$286)</f>
        <v>0</v>
      </c>
      <c r="AV286" s="171">
        <f ca="1">-SUM('CF(M)'!AV98:AV99,'CF(M)'!AV103:AV104,'CF(M)'!AV108:AV109,'CF(M)'!AV113:AV114)+$I286*(AV$231=$H$286)</f>
        <v>2715000</v>
      </c>
      <c r="AW286" s="171">
        <f ca="1">-SUM('CF(M)'!AW98:AW99,'CF(M)'!AW103:AW104,'CF(M)'!AW108:AW109,'CF(M)'!AW113:AW114)+$I286*(AW$231=$H$286)</f>
        <v>0</v>
      </c>
      <c r="AX286" s="171">
        <f ca="1">-SUM('CF(M)'!AX98:AX99,'CF(M)'!AX103:AX104,'CF(M)'!AX108:AX109,'CF(M)'!AX113:AX114)+$I286*(AX$231=$H$286)</f>
        <v>0</v>
      </c>
      <c r="AY286" s="171">
        <f ca="1">-SUM('CF(M)'!AY98:AY99,'CF(M)'!AY103:AY104,'CF(M)'!AY108:AY109,'CF(M)'!AY113:AY114)+$I286*(AY$231=$H$286)</f>
        <v>0</v>
      </c>
      <c r="AZ286" s="171">
        <f ca="1">-SUM('CF(M)'!AZ98:AZ99,'CF(M)'!AZ103:AZ104,'CF(M)'!AZ108:AZ109,'CF(M)'!AZ113:AZ114)+$I286*(AZ$231=$H$286)</f>
        <v>0</v>
      </c>
      <c r="BA286" s="171">
        <f ca="1">-SUM('CF(M)'!BA98:BA99,'CF(M)'!BA103:BA104,'CF(M)'!BA108:BA109,'CF(M)'!BA113:BA114)+$I286*(BA$231=$H$286)</f>
        <v>0</v>
      </c>
      <c r="BB286" s="171">
        <f ca="1">-SUM('CF(M)'!BB98:BB99,'CF(M)'!BB103:BB104,'CF(M)'!BB108:BB109,'CF(M)'!BB113:BB114)+$I286*(BB$231=$H$286)</f>
        <v>2602472.0129412687</v>
      </c>
      <c r="BC286" s="171">
        <f ca="1">-SUM('CF(M)'!BC98:BC99,'CF(M)'!BC103:BC104,'CF(M)'!BC108:BC109,'CF(M)'!BC113:BC114)+$I286*(BC$231=$H$286)</f>
        <v>0</v>
      </c>
      <c r="BD286" s="171">
        <f ca="1">-SUM('CF(M)'!BD98:BD99,'CF(M)'!BD103:BD104,'CF(M)'!BD108:BD109,'CF(M)'!BD113:BD114)+$I286*(BD$231=$H$286)</f>
        <v>0</v>
      </c>
      <c r="BE286" s="171">
        <f ca="1">-SUM('CF(M)'!BE98:BE99,'CF(M)'!BE103:BE104,'CF(M)'!BE108:BE109,'CF(M)'!BE113:BE114)+$I286*(BE$231=$H$286)</f>
        <v>0</v>
      </c>
      <c r="BF286" s="171">
        <f ca="1">-SUM('CF(M)'!BF98:BF99,'CF(M)'!BF103:BF104,'CF(M)'!BF108:BF109,'CF(M)'!BF113:BF114)+$I286*(BF$231=$H$286)</f>
        <v>0</v>
      </c>
      <c r="BG286" s="171">
        <f ca="1">-SUM('CF(M)'!BG98:BG99,'CF(M)'!BG103:BG104,'CF(M)'!BG108:BG109,'CF(M)'!BG113:BG114)+$I286*(BG$231=$H$286)</f>
        <v>0</v>
      </c>
      <c r="BH286" s="171">
        <f ca="1">-SUM('CF(M)'!BH98:BH99,'CF(M)'!BH103:BH104,'CF(M)'!BH108:BH109,'CF(M)'!BH113:BH114)+$I286*(BH$231=$H$286)</f>
        <v>2353291.9989280105</v>
      </c>
      <c r="BI286" s="171">
        <f ca="1">-SUM('CF(M)'!BI98:BI99,'CF(M)'!BI103:BI104,'CF(M)'!BI108:BI109,'CF(M)'!BI113:BI114)+$I286*(BI$231=$H$286)</f>
        <v>0</v>
      </c>
      <c r="BJ286" s="171">
        <f ca="1">-SUM('CF(M)'!BJ98:BJ99,'CF(M)'!BJ103:BJ104,'CF(M)'!BJ108:BJ109,'CF(M)'!BJ113:BJ114)+$I286*(BJ$231=$H$286)</f>
        <v>0</v>
      </c>
      <c r="BK286" s="171">
        <f ca="1">-SUM('CF(M)'!BK98:BK99,'CF(M)'!BK103:BK104,'CF(M)'!BK108:BK109,'CF(M)'!BK113:BK114)+$I286*(BK$231=$H$286)</f>
        <v>0</v>
      </c>
      <c r="BL286" s="171">
        <f ca="1">-SUM('CF(M)'!BL98:BL99,'CF(M)'!BL103:BL104,'CF(M)'!BL108:BL109,'CF(M)'!BL113:BL114)+$I286*(BL$231=$H$286)</f>
        <v>0</v>
      </c>
      <c r="BM286" s="171">
        <f ca="1">-SUM('CF(M)'!BM98:BM99,'CF(M)'!BM103:BM104,'CF(M)'!BM108:BM109,'CF(M)'!BM113:BM114)+$I286*(BM$231=$H$286)</f>
        <v>0</v>
      </c>
      <c r="BN286" s="171">
        <f ca="1">-SUM('CF(M)'!BN98:BN99,'CF(M)'!BN103:BN104,'CF(M)'!BN108:BN109,'CF(M)'!BN113:BN114)+$I286*(BN$231=$H$286)</f>
        <v>2105541.4966859473</v>
      </c>
      <c r="BO286" s="171">
        <f ca="1">-SUM('CF(M)'!BO98:BO99,'CF(M)'!BO103:BO104,'CF(M)'!BO108:BO109,'CF(M)'!BO113:BO114)+$I286*(BO$231=$H$286)</f>
        <v>0</v>
      </c>
      <c r="BP286" s="171">
        <f ca="1">-SUM('CF(M)'!BP98:BP99,'CF(M)'!BP103:BP104,'CF(M)'!BP108:BP109,'CF(M)'!BP113:BP114)+$I286*(BP$231=$H$286)</f>
        <v>0</v>
      </c>
      <c r="BQ286" s="171">
        <f ca="1">-SUM('CF(M)'!BQ98:BQ99,'CF(M)'!BQ103:BQ104,'CF(M)'!BQ108:BQ109,'CF(M)'!BQ113:BQ114)+$I286*(BQ$231=$H$286)</f>
        <v>0</v>
      </c>
      <c r="BR286" s="171">
        <f ca="1">-SUM('CF(M)'!BR98:BR99,'CF(M)'!BR103:BR104,'CF(M)'!BR108:BR109,'CF(M)'!BR113:BR114)+$I286*(BR$231=$H$286)</f>
        <v>0</v>
      </c>
      <c r="BS286" s="171">
        <f ca="1">-SUM('CF(M)'!BS98:BS99,'CF(M)'!BS103:BS104,'CF(M)'!BS108:BS109,'CF(M)'!BS113:BS114)+$I286*(BS$231=$H$286)</f>
        <v>0</v>
      </c>
      <c r="BT286" s="171">
        <f ca="1">-SUM('CF(M)'!BT98:BT99,'CF(M)'!BT103:BT104,'CF(M)'!BT108:BT109,'CF(M)'!BT113:BT114)+$I286*(BT$231=$H$286)</f>
        <v>2562478.4355854392</v>
      </c>
      <c r="BU286" s="171">
        <f ca="1">-SUM('CF(M)'!BU98:BU99,'CF(M)'!BU103:BU104,'CF(M)'!BU108:BU109,'CF(M)'!BU113:BU114)+$I286*(BU$231=$H$286)</f>
        <v>0</v>
      </c>
      <c r="BV286" s="171">
        <f ca="1">-SUM('CF(M)'!BV98:BV99,'CF(M)'!BV103:BV104,'CF(M)'!BV108:BV109,'CF(M)'!BV113:BV114)+$I286*(BV$231=$H$286)</f>
        <v>0</v>
      </c>
      <c r="BW286" s="171">
        <f ca="1">-SUM('CF(M)'!BW98:BW99,'CF(M)'!BW103:BW104,'CF(M)'!BW108:BW109,'CF(M)'!BW113:BW114)+$I286*(BW$231=$H$286)</f>
        <v>0</v>
      </c>
      <c r="BX286" s="171">
        <f ca="1">-SUM('CF(M)'!BX98:BX99,'CF(M)'!BX103:BX104,'CF(M)'!BX108:BX109,'CF(M)'!BX113:BX114)+$I286*(BX$231=$H$286)</f>
        <v>0</v>
      </c>
      <c r="BY286" s="171">
        <f ca="1">-SUM('CF(M)'!BY98:BY99,'CF(M)'!BY103:BY104,'CF(M)'!BY108:BY109,'CF(M)'!BY113:BY114)+$I286*(BY$231=$H$286)</f>
        <v>0</v>
      </c>
      <c r="BZ286" s="171">
        <f ca="1">-SUM('CF(M)'!BZ98:BZ99,'CF(M)'!BZ103:BZ104,'CF(M)'!BZ108:BZ109,'CF(M)'!BZ113:BZ114)+$I286*(BZ$231=$H$286)</f>
        <v>2645647.7403300544</v>
      </c>
      <c r="CA286" s="171">
        <f ca="1">-SUM('CF(M)'!CA98:CA99,'CF(M)'!CA103:CA104,'CF(M)'!CA108:CA109,'CF(M)'!CA113:CA114)+$I286*(CA$231=$H$286)</f>
        <v>0</v>
      </c>
      <c r="CB286" s="171">
        <f ca="1">-SUM('CF(M)'!CB98:CB99,'CF(M)'!CB103:CB104,'CF(M)'!CB108:CB109,'CF(M)'!CB113:CB114)+$I286*(CB$231=$H$286)</f>
        <v>0</v>
      </c>
      <c r="CC286" s="171">
        <f ca="1">-SUM('CF(M)'!CC98:CC99,'CF(M)'!CC103:CC104,'CF(M)'!CC108:CC109,'CF(M)'!CC113:CC114)+$I286*(CC$231=$H$286)</f>
        <v>0</v>
      </c>
      <c r="CD286" s="171">
        <f ca="1">-SUM('CF(M)'!CD98:CD99,'CF(M)'!CD103:CD104,'CF(M)'!CD108:CD109,'CF(M)'!CD113:CD114)+$I286*(CD$231=$H$286)</f>
        <v>0</v>
      </c>
      <c r="CE286" s="171">
        <f ca="1">-SUM('CF(M)'!CE98:CE99,'CF(M)'!CE103:CE104,'CF(M)'!CE108:CE109,'CF(M)'!CE113:CE114)+$I286*(CE$231=$H$286)</f>
        <v>0</v>
      </c>
      <c r="CF286" s="171">
        <f ca="1">-SUM('CF(M)'!CF98:CF99,'CF(M)'!CF103:CF104,'CF(M)'!CF108:CF109,'CF(M)'!CF113:CF114)+$I286*(CF$231=$H$286)</f>
        <v>3098497.3462193981</v>
      </c>
      <c r="CG286" s="171">
        <f ca="1">-SUM('CF(M)'!CG98:CG99,'CF(M)'!CG103:CG104,'CF(M)'!CG108:CG109,'CF(M)'!CG113:CG114)+$I286*(CG$231=$H$286)</f>
        <v>0</v>
      </c>
      <c r="CH286" s="171">
        <f ca="1">-SUM('CF(M)'!CH98:CH99,'CF(M)'!CH103:CH104,'CF(M)'!CH108:CH109,'CF(M)'!CH113:CH114)+$I286*(CH$231=$H$286)</f>
        <v>0</v>
      </c>
      <c r="CI286" s="171">
        <f ca="1">-SUM('CF(M)'!CI98:CI99,'CF(M)'!CI103:CI104,'CF(M)'!CI108:CI109,'CF(M)'!CI113:CI114)+$I286*(CI$231=$H$286)</f>
        <v>0</v>
      </c>
      <c r="CJ286" s="171">
        <f ca="1">-SUM('CF(M)'!CJ98:CJ99,'CF(M)'!CJ103:CJ104,'CF(M)'!CJ108:CJ109,'CF(M)'!CJ113:CJ114)+$I286*(CJ$231=$H$286)</f>
        <v>0</v>
      </c>
      <c r="CK286" s="171">
        <f ca="1">-SUM('CF(M)'!CK98:CK99,'CF(M)'!CK103:CK104,'CF(M)'!CK108:CK109,'CF(M)'!CK113:CK114)+$I286*(CK$231=$H$286)</f>
        <v>0</v>
      </c>
      <c r="CL286" s="171">
        <f ca="1">-SUM('CF(M)'!CL98:CL99,'CF(M)'!CL103:CL104,'CF(M)'!CL108:CL109,'CF(M)'!CL113:CL114)+$I286*(CL$231=$H$286)</f>
        <v>2871213.1788212531</v>
      </c>
      <c r="CM286" s="171">
        <f ca="1">-SUM('CF(M)'!CM98:CM99,'CF(M)'!CM103:CM104,'CF(M)'!CM108:CM109,'CF(M)'!CM113:CM114)+$I286*(CM$231=$H$286)</f>
        <v>0</v>
      </c>
      <c r="CN286" s="171">
        <f ca="1">-SUM('CF(M)'!CN98:CN99,'CF(M)'!CN103:CN104,'CF(M)'!CN108:CN109,'CF(M)'!CN113:CN114)+$I286*(CN$231=$H$286)</f>
        <v>0</v>
      </c>
      <c r="CO286" s="171">
        <f ca="1">-SUM('CF(M)'!CO98:CO99,'CF(M)'!CO103:CO104,'CF(M)'!CO108:CO109,'CF(M)'!CO113:CO114)+$I286*(CO$231=$H$286)</f>
        <v>0</v>
      </c>
      <c r="CP286" s="171">
        <f ca="1">-SUM('CF(M)'!CP98:CP99,'CF(M)'!CP103:CP104,'CF(M)'!CP108:CP109,'CF(M)'!CP113:CP114)+$I286*(CP$231=$H$286)</f>
        <v>0</v>
      </c>
      <c r="CQ286" s="171">
        <f ca="1">-SUM('CF(M)'!CQ98:CQ99,'CF(M)'!CQ103:CQ104,'CF(M)'!CQ108:CQ109,'CF(M)'!CQ113:CQ114)+$I286*(CQ$231=$H$286)</f>
        <v>0</v>
      </c>
      <c r="CR286" s="171">
        <f ca="1">-SUM('CF(M)'!CR98:CR99,'CF(M)'!CR103:CR104,'CF(M)'!CR108:CR109,'CF(M)'!CR113:CR114)+$I286*(CR$231=$H$286)</f>
        <v>3320274.6567853596</v>
      </c>
      <c r="CS286" s="171">
        <f ca="1">-SUM('CF(M)'!CS98:CS99,'CF(M)'!CS103:CS104,'CF(M)'!CS108:CS109,'CF(M)'!CS113:CS114)+$I286*(CS$231=$H$286)</f>
        <v>0</v>
      </c>
      <c r="CT286" s="171">
        <f ca="1">-SUM('CF(M)'!CT98:CT99,'CF(M)'!CT103:CT104,'CF(M)'!CT108:CT109,'CF(M)'!CT113:CT114)+$I286*(CT$231=$H$286)</f>
        <v>0</v>
      </c>
      <c r="CU286" s="171">
        <f ca="1">-SUM('CF(M)'!CU98:CU99,'CF(M)'!CU103:CU104,'CF(M)'!CU108:CU109,'CF(M)'!CU113:CU114)+$I286*(CU$231=$H$286)</f>
        <v>0</v>
      </c>
      <c r="CV286" s="171">
        <f ca="1">-SUM('CF(M)'!CV98:CV99,'CF(M)'!CV103:CV104,'CF(M)'!CV108:CV109,'CF(M)'!CV113:CV114)+$I286*(CV$231=$H$286)</f>
        <v>0</v>
      </c>
      <c r="CW286" s="171">
        <f ca="1">-SUM('CF(M)'!CW98:CW99,'CF(M)'!CW103:CW104,'CF(M)'!CW108:CW109,'CF(M)'!CW113:CW114)+$I286*(CW$231=$H$286)</f>
        <v>0</v>
      </c>
      <c r="CX286" s="171">
        <f ca="1">-SUM('CF(M)'!CX98:CX99,'CF(M)'!CX103:CX104,'CF(M)'!CX108:CX109,'CF(M)'!CX113:CX114)+$I286*(CX$231=$H$286)</f>
        <v>2875583.1337032691</v>
      </c>
      <c r="CY286" s="171">
        <f ca="1">-SUM('CF(M)'!CY98:CY99,'CF(M)'!CY103:CY104,'CF(M)'!CY108:CY109,'CF(M)'!CY113:CY114)+$I286*(CY$231=$H$286)</f>
        <v>0</v>
      </c>
      <c r="CZ286" s="171">
        <f ca="1">-SUM('CF(M)'!CZ98:CZ99,'CF(M)'!CZ103:CZ104,'CF(M)'!CZ108:CZ109,'CF(M)'!CZ113:CZ114)+$I286*(CZ$231=$H$286)</f>
        <v>0</v>
      </c>
      <c r="DA286" s="171">
        <f ca="1">-SUM('CF(M)'!DA98:DA99,'CF(M)'!DA103:DA104,'CF(M)'!DA108:DA109,'CF(M)'!DA113:DA114)+$I286*(DA$231=$H$286)</f>
        <v>0</v>
      </c>
      <c r="DB286" s="171">
        <f ca="1">-SUM('CF(M)'!DB98:DB99,'CF(M)'!DB103:DB104,'CF(M)'!DB108:DB109,'CF(M)'!DB113:DB114)+$I286*(DB$231=$H$286)</f>
        <v>0</v>
      </c>
      <c r="DC286" s="171">
        <f ca="1">-SUM('CF(M)'!DC98:DC99,'CF(M)'!DC103:DC104,'CF(M)'!DC108:DC109,'CF(M)'!DC113:DC114)+$I286*(DC$231=$H$286)</f>
        <v>0</v>
      </c>
      <c r="DD286" s="171">
        <f ca="1">-SUM('CF(M)'!DD98:DD99,'CF(M)'!DD103:DD104,'CF(M)'!DD108:DD109,'CF(M)'!DD113:DD114)+$I286*(DD$231=$H$286)</f>
        <v>2715000</v>
      </c>
      <c r="DE286" s="171">
        <f ca="1">-SUM('CF(M)'!DE98:DE99,'CF(M)'!DE103:DE104,'CF(M)'!DE108:DE109,'CF(M)'!DE113:DE114)+$I286*(DE$231=$H$286)</f>
        <v>0</v>
      </c>
      <c r="DF286" s="171">
        <f ca="1">-SUM('CF(M)'!DF98:DF99,'CF(M)'!DF103:DF104,'CF(M)'!DF108:DF109,'CF(M)'!DF113:DF114)+$I286*(DF$231=$H$286)</f>
        <v>0</v>
      </c>
      <c r="DG286" s="171">
        <f ca="1">-SUM('CF(M)'!DG98:DG99,'CF(M)'!DG103:DG104,'CF(M)'!DG108:DG109,'CF(M)'!DG113:DG114)+$I286*(DG$231=$H$286)</f>
        <v>0</v>
      </c>
      <c r="DH286" s="171">
        <f ca="1">-SUM('CF(M)'!DH98:DH99,'CF(M)'!DH103:DH104,'CF(M)'!DH108:DH109,'CF(M)'!DH113:DH114)+$I286*(DH$231=$H$286)</f>
        <v>0</v>
      </c>
      <c r="DI286" s="171">
        <f ca="1">-SUM('CF(M)'!DI98:DI99,'CF(M)'!DI103:DI104,'CF(M)'!DI108:DI109,'CF(M)'!DI113:DI114)+$I286*(DI$231=$H$286)</f>
        <v>0</v>
      </c>
      <c r="DJ286" s="171">
        <f ca="1">-SUM('CF(M)'!DJ98:DJ99,'CF(M)'!DJ103:DJ104,'CF(M)'!DJ108:DJ109,'CF(M)'!DJ113:DJ114)+$I286*(DJ$231=$H$286)</f>
        <v>2715000</v>
      </c>
      <c r="DK286" s="171">
        <f ca="1">-SUM('CF(M)'!DK98:DK99,'CF(M)'!DK103:DK104,'CF(M)'!DK108:DK109,'CF(M)'!DK113:DK114)+$I286*(DK$231=$H$286)</f>
        <v>0</v>
      </c>
      <c r="DL286" s="171">
        <f ca="1">-SUM('CF(M)'!DL98:DL99,'CF(M)'!DL103:DL104,'CF(M)'!DL108:DL109,'CF(M)'!DL113:DL114)+$I286*(DL$231=$H$286)</f>
        <v>0</v>
      </c>
      <c r="DM286" s="171">
        <f ca="1">-SUM('CF(M)'!DM98:DM99,'CF(M)'!DM103:DM104,'CF(M)'!DM108:DM109,'CF(M)'!DM113:DM114)+$I286*(DM$231=$H$286)</f>
        <v>0</v>
      </c>
      <c r="DN286" s="171">
        <f ca="1">-SUM('CF(M)'!DN98:DN99,'CF(M)'!DN103:DN104,'CF(M)'!DN108:DN109,'CF(M)'!DN113:DN114)+$I286*(DN$231=$H$286)</f>
        <v>0</v>
      </c>
      <c r="DO286" s="171">
        <f ca="1">-SUM('CF(M)'!DO98:DO99,'CF(M)'!DO103:DO104,'CF(M)'!DO108:DO109,'CF(M)'!DO113:DO114)+$I286*(DO$231=$H$286)</f>
        <v>0</v>
      </c>
      <c r="DP286" s="171">
        <f ca="1">-SUM('CF(M)'!DP98:DP99,'CF(M)'!DP103:DP104,'CF(M)'!DP108:DP109,'CF(M)'!DP113:DP114)+$I286*(DP$231=$H$286)</f>
        <v>2715000</v>
      </c>
      <c r="DQ286" s="171">
        <f ca="1">-SUM('CF(M)'!DQ98:DQ99,'CF(M)'!DQ103:DQ104,'CF(M)'!DQ108:DQ109,'CF(M)'!DQ113:DQ114)+$I286*(DQ$231=$H$286)</f>
        <v>0</v>
      </c>
      <c r="DR286" s="171">
        <f ca="1">-SUM('CF(M)'!DR98:DR99,'CF(M)'!DR103:DR104,'CF(M)'!DR108:DR109,'CF(M)'!DR113:DR114)+$I286*(DR$231=$H$286)</f>
        <v>0</v>
      </c>
      <c r="DS286" s="171">
        <f ca="1">-SUM('CF(M)'!DS98:DS99,'CF(M)'!DS103:DS104,'CF(M)'!DS108:DS109,'CF(M)'!DS113:DS114)+$I286*(DS$231=$H$286)</f>
        <v>0</v>
      </c>
      <c r="DT286" s="171">
        <f ca="1">-SUM('CF(M)'!DT98:DT99,'CF(M)'!DT103:DT104,'CF(M)'!DT108:DT109,'CF(M)'!DT113:DT114)+$I286*(DT$231=$H$286)</f>
        <v>0</v>
      </c>
      <c r="DU286" s="171">
        <f ca="1">-SUM('CF(M)'!DU98:DU99,'CF(M)'!DU103:DU104,'CF(M)'!DU108:DU109,'CF(M)'!DU113:DU114)+$I286*(DU$231=$H$286)</f>
        <v>0</v>
      </c>
      <c r="DV286" s="171">
        <f ca="1">-SUM('CF(M)'!DV98:DV99,'CF(M)'!DV103:DV104,'CF(M)'!DV108:DV109,'CF(M)'!DV113:DV114)+$I286*(DV$231=$H$286)</f>
        <v>2715000</v>
      </c>
      <c r="DW286" s="171">
        <f ca="1">-SUM('CF(M)'!DW98:DW99,'CF(M)'!DW103:DW104,'CF(M)'!DW108:DW109,'CF(M)'!DW113:DW114)+$I286*(DW$231=$H$286)</f>
        <v>0</v>
      </c>
      <c r="DX286" s="171">
        <f ca="1">-SUM('CF(M)'!DX98:DX99,'CF(M)'!DX103:DX104,'CF(M)'!DX108:DX109,'CF(M)'!DX113:DX114)+$I286*(DX$231=$H$286)</f>
        <v>0</v>
      </c>
      <c r="DY286" s="171">
        <f ca="1">-SUM('CF(M)'!DY98:DY99,'CF(M)'!DY103:DY104,'CF(M)'!DY108:DY109,'CF(M)'!DY113:DY114)+$I286*(DY$231=$H$286)</f>
        <v>0</v>
      </c>
      <c r="DZ286" s="171">
        <f ca="1">-SUM('CF(M)'!DZ98:DZ99,'CF(M)'!DZ103:DZ104,'CF(M)'!DZ108:DZ109,'CF(M)'!DZ113:DZ114)+$I286*(DZ$231=$H$286)</f>
        <v>0</v>
      </c>
      <c r="EA286" s="171">
        <f ca="1">-SUM('CF(M)'!EA98:EA99,'CF(M)'!EA103:EA104,'CF(M)'!EA108:EA109,'CF(M)'!EA113:EA114)+$I286*(EA$231=$H$286)</f>
        <v>0</v>
      </c>
      <c r="EB286" s="171">
        <f ca="1">-SUM('CF(M)'!EB98:EB99,'CF(M)'!EB103:EB104,'CF(M)'!EB108:EB109,'CF(M)'!EB113:EB114)+$I286*(EB$231=$H$286)</f>
        <v>61553066.687834673</v>
      </c>
      <c r="EC286" s="171">
        <f ca="1">-SUM('CF(M)'!EC98:EC99,'CF(M)'!EC103:EC104,'CF(M)'!EC108:EC109,'CF(M)'!EC113:EC114)+$I286*(EC$231=$H$286)</f>
        <v>0</v>
      </c>
      <c r="ED286" s="1321">
        <f ca="1">-SUM('CF(M)'!ED98:ED99,'CF(M)'!ED103:ED104,'CF(M)'!ED108:ED109,'CF(M)'!ED113:ED114)+$I286*(ED$231=$H$286)</f>
        <v>0</v>
      </c>
      <c r="EE286" s="171">
        <f ca="1">-SUM('CF(M)'!EE98:EE99,'CF(M)'!EE103:EE104,'CF(M)'!EE108:EE109,'CF(M)'!EE113:EE114)+$I286*(EE$231=$H$286)</f>
        <v>0</v>
      </c>
      <c r="EF286" s="171">
        <f ca="1">-SUM('CF(M)'!EF98:EF99,'CF(M)'!EF103:EF104,'CF(M)'!EF108:EF109,'CF(M)'!EF113:EF114)+$I286*(EF$231=$H$286)</f>
        <v>0</v>
      </c>
      <c r="EG286" s="171">
        <f ca="1">-SUM('CF(M)'!EG98:EG99,'CF(M)'!EG103:EG104,'CF(M)'!EG108:EG109,'CF(M)'!EG113:EG114)+$I286*(EG$231=$H$286)</f>
        <v>0</v>
      </c>
      <c r="EH286" s="171">
        <f ca="1">-SUM('CF(M)'!EH98:EH99,'CF(M)'!EH103:EH104,'CF(M)'!EH108:EH109,'CF(M)'!EH113:EH114)+$I286*(EH$231=$H$286)</f>
        <v>0</v>
      </c>
      <c r="EI286" s="171">
        <f ca="1">-SUM('CF(M)'!EI98:EI99,'CF(M)'!EI103:EI104,'CF(M)'!EI108:EI109,'CF(M)'!EI113:EI114)+$I286*(EI$231=$H$286)</f>
        <v>0</v>
      </c>
      <c r="EJ286" s="171">
        <f ca="1">-SUM('CF(M)'!EJ98:EJ99,'CF(M)'!EJ103:EJ104,'CF(M)'!EJ108:EJ109,'CF(M)'!EJ113:EJ114)+$I286*(EJ$231=$H$286)</f>
        <v>0</v>
      </c>
      <c r="EK286" s="171">
        <f ca="1">-SUM('CF(M)'!EK98:EK99,'CF(M)'!EK103:EK104,'CF(M)'!EK108:EK109,'CF(M)'!EK113:EK114)+$I286*(EK$231=$H$286)</f>
        <v>0</v>
      </c>
      <c r="EL286" s="171">
        <f ca="1">-SUM('CF(M)'!EL98:EL99,'CF(M)'!EL103:EL104,'CF(M)'!EL108:EL109,'CF(M)'!EL113:EL114)+$I286*(EL$231=$H$286)</f>
        <v>0</v>
      </c>
      <c r="EM286" s="171">
        <f ca="1">-SUM('CF(M)'!EM98:EM99,'CF(M)'!EM103:EM104,'CF(M)'!EM108:EM109,'CF(M)'!EM113:EM114)+$I286*(EM$231=$H$286)</f>
        <v>0</v>
      </c>
      <c r="EN286" s="171">
        <f ca="1">-SUM('CF(M)'!EN98:EN99,'CF(M)'!EN103:EN104,'CF(M)'!EN108:EN109,'CF(M)'!EN113:EN114)+$I286*(EN$231=$H$286)</f>
        <v>0</v>
      </c>
      <c r="EO286" s="171">
        <f ca="1">-SUM('CF(M)'!EO98:EO99,'CF(M)'!EO103:EO104,'CF(M)'!EO108:EO109,'CF(M)'!EO113:EO114)+$I286*(EO$231=$H$286)</f>
        <v>0</v>
      </c>
      <c r="EP286" s="171">
        <f ca="1">-SUM('CF(M)'!EP98:EP99,'CF(M)'!EP103:EP104,'CF(M)'!EP108:EP109,'CF(M)'!EP113:EP114)+$I286*(EP$231=$H$286)</f>
        <v>0</v>
      </c>
      <c r="EQ286" s="171">
        <f ca="1">-SUM('CF(M)'!EQ98:EQ99,'CF(M)'!EQ103:EQ104,'CF(M)'!EQ108:EQ109,'CF(M)'!EQ113:EQ114)+$I286*(EQ$231=$H$286)</f>
        <v>0</v>
      </c>
    </row>
    <row r="287" spans="3:147" ht="11.25" customHeight="1">
      <c r="C287" s="244"/>
      <c r="D287" s="178"/>
      <c r="E287" s="179" t="s">
        <v>233</v>
      </c>
      <c r="F287" s="180"/>
      <c r="G287" s="180"/>
      <c r="H287" s="182"/>
      <c r="I287" s="245"/>
      <c r="J287" s="184"/>
      <c r="K287" s="98"/>
      <c r="L287" s="184">
        <f t="shared" ref="L287:AQ287" ca="1" si="643">L284+L285-L286</f>
        <v>0</v>
      </c>
      <c r="M287" s="184">
        <f t="shared" ca="1" si="643"/>
        <v>-126989.66851214715</v>
      </c>
      <c r="N287" s="184">
        <f t="shared" ca="1" si="643"/>
        <v>-244754.09649304405</v>
      </c>
      <c r="O287" s="184">
        <f t="shared" ca="1" si="643"/>
        <v>-553228.53514894075</v>
      </c>
      <c r="P287" s="184">
        <f t="shared" ca="1" si="643"/>
        <v>-717947.72107549896</v>
      </c>
      <c r="Q287" s="184">
        <f t="shared" ca="1" si="643"/>
        <v>-813790.87375205709</v>
      </c>
      <c r="R287" s="184">
        <f t="shared" ca="1" si="643"/>
        <v>-4140753.9478286151</v>
      </c>
      <c r="S287" s="184">
        <f t="shared" ca="1" si="643"/>
        <v>-4332470.1428414229</v>
      </c>
      <c r="T287" s="184">
        <f t="shared" ca="1" si="643"/>
        <v>-4352218.1467292309</v>
      </c>
      <c r="U287" s="184">
        <f t="shared" ca="1" si="643"/>
        <v>-4371421.1914295387</v>
      </c>
      <c r="V287" s="184">
        <f t="shared" ca="1" si="643"/>
        <v>-4390079.2769423462</v>
      </c>
      <c r="W287" s="184">
        <f t="shared" ca="1" si="643"/>
        <v>-4408737.3624551538</v>
      </c>
      <c r="X287" s="184">
        <f t="shared" ca="1" si="643"/>
        <v>-7717541.3924679616</v>
      </c>
      <c r="Y287" s="184">
        <f t="shared" ca="1" si="643"/>
        <v>-7756377.8748550322</v>
      </c>
      <c r="Z287" s="184">
        <f t="shared" ca="1" si="643"/>
        <v>-7796903.6899475716</v>
      </c>
      <c r="AA287" s="184">
        <f t="shared" ca="1" si="643"/>
        <v>-8032907.2659819862</v>
      </c>
      <c r="AB287" s="184">
        <f t="shared" ca="1" si="643"/>
        <v>-8170979.531861186</v>
      </c>
      <c r="AC287" s="184">
        <f t="shared" ca="1" si="643"/>
        <v>-8238453.863659136</v>
      </c>
      <c r="AD287" s="184">
        <f t="shared" ca="1" si="643"/>
        <v>-10981076.114892086</v>
      </c>
      <c r="AE287" s="184">
        <f t="shared" ca="1" si="643"/>
        <v>-11146820.315084692</v>
      </c>
      <c r="AF287" s="184">
        <f t="shared" ca="1" si="643"/>
        <v>-11136297.119374173</v>
      </c>
      <c r="AG287" s="184">
        <f t="shared" ca="1" si="643"/>
        <v>-11125215.340496466</v>
      </c>
      <c r="AH287" s="184">
        <f t="shared" ca="1" si="643"/>
        <v>-11113574.978451572</v>
      </c>
      <c r="AI287" s="184">
        <f t="shared" ca="1" si="643"/>
        <v>-11101934.616406679</v>
      </c>
      <c r="AJ287" s="184">
        <f t="shared" ca="1" si="643"/>
        <v>-13825943.847474284</v>
      </c>
      <c r="AK287" s="184">
        <f t="shared" ca="1" si="643"/>
        <v>-13839735.551108889</v>
      </c>
      <c r="AL287" s="184">
        <f t="shared" ca="1" si="643"/>
        <v>-13875908.413879098</v>
      </c>
      <c r="AM287" s="184">
        <f t="shared" ca="1" si="643"/>
        <v>-13936166.955292854</v>
      </c>
      <c r="AN287" s="184">
        <f t="shared" ca="1" si="643"/>
        <v>-13927577.972045328</v>
      </c>
      <c r="AO287" s="184">
        <f t="shared" ca="1" si="643"/>
        <v>-13991373.064438583</v>
      </c>
      <c r="AP287" s="184">
        <f t="shared" ca="1" si="643"/>
        <v>-16729319.774252713</v>
      </c>
      <c r="AQ287" s="184">
        <f t="shared" ca="1" si="643"/>
        <v>-16712022.305457054</v>
      </c>
      <c r="AR287" s="184">
        <f t="shared" ref="AR287:BW287" ca="1" si="644">AR284+AR285-AR286</f>
        <v>-17757783.150697749</v>
      </c>
      <c r="AS287" s="184">
        <f t="shared" ca="1" si="644"/>
        <v>-18776603.610100038</v>
      </c>
      <c r="AT287" s="184">
        <f t="shared" ca="1" si="644"/>
        <v>-19859913.40732583</v>
      </c>
      <c r="AU287" s="184">
        <f t="shared" ca="1" si="644"/>
        <v>-20874824.812029451</v>
      </c>
      <c r="AV287" s="184">
        <f t="shared" ca="1" si="644"/>
        <v>-24625902.049673386</v>
      </c>
      <c r="AW287" s="184">
        <f t="shared" ca="1" si="644"/>
        <v>-24579065.301580019</v>
      </c>
      <c r="AX287" s="184">
        <f t="shared" ca="1" si="644"/>
        <v>-24526112.981581297</v>
      </c>
      <c r="AY287" s="184">
        <f t="shared" ca="1" si="644"/>
        <v>-24474945.062805153</v>
      </c>
      <c r="AZ287" s="184">
        <f t="shared" ca="1" si="644"/>
        <v>-24426236.529653769</v>
      </c>
      <c r="BA287" s="184">
        <f t="shared" ca="1" si="644"/>
        <v>-24424066.870490883</v>
      </c>
      <c r="BB287" s="184">
        <f t="shared" ca="1" si="644"/>
        <v>-26982499.632125657</v>
      </c>
      <c r="BC287" s="184">
        <f t="shared" ca="1" si="644"/>
        <v>-26897825.26498694</v>
      </c>
      <c r="BD287" s="184">
        <f t="shared" ca="1" si="644"/>
        <v>-26812592.342210978</v>
      </c>
      <c r="BE287" s="184">
        <f t="shared" ca="1" si="644"/>
        <v>-26727359.419435017</v>
      </c>
      <c r="BF287" s="184">
        <f t="shared" ca="1" si="644"/>
        <v>-26638706.577032946</v>
      </c>
      <c r="BG287" s="184">
        <f t="shared" ca="1" si="644"/>
        <v>-26550053.734630875</v>
      </c>
      <c r="BH287" s="184">
        <f t="shared" ca="1" si="644"/>
        <v>-28814692.891156815</v>
      </c>
      <c r="BI287" s="184">
        <f t="shared" ca="1" si="644"/>
        <v>-28726271.525535632</v>
      </c>
      <c r="BJ287" s="184">
        <f t="shared" ca="1" si="644"/>
        <v>-28631651.771535262</v>
      </c>
      <c r="BK287" s="184">
        <f t="shared" ca="1" si="644"/>
        <v>-28532319.634702455</v>
      </c>
      <c r="BL287" s="184">
        <f t="shared" ca="1" si="644"/>
        <v>-28420219.900312055</v>
      </c>
      <c r="BM287" s="184">
        <f t="shared" ca="1" si="644"/>
        <v>-28384168.68539175</v>
      </c>
      <c r="BN287" s="184">
        <f t="shared" ca="1" si="644"/>
        <v>-30410742.635210201</v>
      </c>
      <c r="BO287" s="184">
        <f t="shared" ca="1" si="644"/>
        <v>-30289494.963480935</v>
      </c>
      <c r="BP287" s="184">
        <f t="shared" ca="1" si="644"/>
        <v>-30168247.291751668</v>
      </c>
      <c r="BQ287" s="184">
        <f t="shared" ca="1" si="644"/>
        <v>-30046999.620022401</v>
      </c>
      <c r="BR287" s="184">
        <f t="shared" ca="1" si="644"/>
        <v>-29922246.530676372</v>
      </c>
      <c r="BS287" s="184">
        <f t="shared" ca="1" si="644"/>
        <v>-29797493.441330343</v>
      </c>
      <c r="BT287" s="184">
        <f t="shared" ca="1" si="644"/>
        <v>-32235218.787569754</v>
      </c>
      <c r="BU287" s="184">
        <f t="shared" ca="1" si="644"/>
        <v>-32057513.687895302</v>
      </c>
      <c r="BV287" s="184">
        <f t="shared" ca="1" si="644"/>
        <v>-31873455.240132187</v>
      </c>
      <c r="BW287" s="184">
        <f t="shared" ca="1" si="644"/>
        <v>-31684566.599965822</v>
      </c>
      <c r="BX287" s="184">
        <f t="shared" ref="BX287:DC287" ca="1" si="645">BX284+BX285-BX286</f>
        <v>-31482591.172302924</v>
      </c>
      <c r="BY287" s="184">
        <f t="shared" ca="1" si="645"/>
        <v>-31358565.477096874</v>
      </c>
      <c r="BZ287" s="184">
        <f t="shared" ca="1" si="645"/>
        <v>-33836198.281975009</v>
      </c>
      <c r="CA287" s="184">
        <f t="shared" ca="1" si="645"/>
        <v>-33624846.218539767</v>
      </c>
      <c r="CB287" s="184">
        <f t="shared" ca="1" si="645"/>
        <v>-33413494.155104529</v>
      </c>
      <c r="CC287" s="184">
        <f t="shared" ca="1" si="645"/>
        <v>-33202142.091669291</v>
      </c>
      <c r="CD287" s="184">
        <f t="shared" ca="1" si="645"/>
        <v>-32987196.975176875</v>
      </c>
      <c r="CE287" s="184">
        <f t="shared" ca="1" si="645"/>
        <v>-32772251.858684458</v>
      </c>
      <c r="CF287" s="184">
        <f t="shared" ca="1" si="645"/>
        <v>-35655804.088411435</v>
      </c>
      <c r="CG287" s="184">
        <f t="shared" ca="1" si="645"/>
        <v>-35441223.600586601</v>
      </c>
      <c r="CH287" s="184">
        <f t="shared" ca="1" si="645"/>
        <v>-35220130.930970885</v>
      </c>
      <c r="CI287" s="184">
        <f t="shared" ca="1" si="645"/>
        <v>-34994087.31414184</v>
      </c>
      <c r="CJ287" s="184">
        <f t="shared" ca="1" si="645"/>
        <v>-34754629.740128852</v>
      </c>
      <c r="CK287" s="184">
        <f t="shared" ca="1" si="645"/>
        <v>-34595070.641884133</v>
      </c>
      <c r="CL287" s="184">
        <f t="shared" ca="1" si="645"/>
        <v>-37261635.751208641</v>
      </c>
      <c r="CM287" s="184">
        <f t="shared" ca="1" si="645"/>
        <v>-37012567.125528999</v>
      </c>
      <c r="CN287" s="184">
        <f t="shared" ca="1" si="645"/>
        <v>-36763498.499849357</v>
      </c>
      <c r="CO287" s="184">
        <f t="shared" ca="1" si="645"/>
        <v>-36514429.874169715</v>
      </c>
      <c r="CP287" s="184">
        <f t="shared" ca="1" si="645"/>
        <v>-36261678.369106464</v>
      </c>
      <c r="CQ287" s="184">
        <f t="shared" ca="1" si="645"/>
        <v>-36008926.864043213</v>
      </c>
      <c r="CR287" s="184">
        <f t="shared" ca="1" si="645"/>
        <v>-39076450.015765324</v>
      </c>
      <c r="CS287" s="184">
        <f t="shared" ca="1" si="645"/>
        <v>-38824129.928754948</v>
      </c>
      <c r="CT287" s="184">
        <f t="shared" ca="1" si="645"/>
        <v>-38565134.855408922</v>
      </c>
      <c r="CU287" s="184">
        <f t="shared" ca="1" si="645"/>
        <v>-38301065.061169229</v>
      </c>
      <c r="CV287" s="184">
        <f t="shared" ca="1" si="645"/>
        <v>-38023245.960815996</v>
      </c>
      <c r="CW287" s="184">
        <f t="shared" ca="1" si="645"/>
        <v>-37827322.798125237</v>
      </c>
      <c r="CX287" s="184">
        <f t="shared" ca="1" si="645"/>
        <v>-40460766.573604427</v>
      </c>
      <c r="CY287" s="184">
        <f t="shared" ca="1" si="645"/>
        <v>-40810072.907884449</v>
      </c>
      <c r="CZ287" s="184">
        <f t="shared" ca="1" si="645"/>
        <v>-40559227.471780419</v>
      </c>
      <c r="DA287" s="184">
        <f t="shared" ca="1" si="645"/>
        <v>-40308382.03567639</v>
      </c>
      <c r="DB287" s="184">
        <f t="shared" ca="1" si="645"/>
        <v>-40131148.151252262</v>
      </c>
      <c r="DC287" s="184">
        <f t="shared" ca="1" si="645"/>
        <v>-39876527.763780035</v>
      </c>
      <c r="DD287" s="184">
        <f t="shared" ref="DD287:DT287" ca="1" si="646">DD284+DD285-DD286</f>
        <v>-42336907.376307808</v>
      </c>
      <c r="DE287" s="184">
        <f t="shared" ca="1" si="646"/>
        <v>-42082701.898118779</v>
      </c>
      <c r="DF287" s="184">
        <f t="shared" ca="1" si="646"/>
        <v>-41821846.685788125</v>
      </c>
      <c r="DG287" s="184">
        <f t="shared" ca="1" si="646"/>
        <v>-41573532.147259481</v>
      </c>
      <c r="DH287" s="184">
        <f t="shared" ca="1" si="646"/>
        <v>-41335704.693673037</v>
      </c>
      <c r="DI287" s="184">
        <f t="shared" ca="1" si="646"/>
        <v>-41055660.239921182</v>
      </c>
      <c r="DJ287" s="184">
        <f t="shared" ca="1" si="646"/>
        <v>-43516702.89072708</v>
      </c>
      <c r="DK287" s="184">
        <f t="shared" ca="1" si="646"/>
        <v>-43227408.700590208</v>
      </c>
      <c r="DL287" s="184">
        <f t="shared" ca="1" si="646"/>
        <v>-42937482.556018002</v>
      </c>
      <c r="DM287" s="184">
        <f t="shared" ca="1" si="646"/>
        <v>-42647556.411445796</v>
      </c>
      <c r="DN287" s="184">
        <f t="shared" ca="1" si="646"/>
        <v>-42353760.941721186</v>
      </c>
      <c r="DO287" s="184">
        <f t="shared" ca="1" si="646"/>
        <v>-42059965.471996576</v>
      </c>
      <c r="DP287" s="184">
        <f t="shared" ca="1" si="646"/>
        <v>-44481170.002271965</v>
      </c>
      <c r="DQ287" s="184">
        <f t="shared" ca="1" si="646"/>
        <v>-44187854.518208995</v>
      </c>
      <c r="DR287" s="184">
        <f t="shared" ca="1" si="646"/>
        <v>-43887723.056650862</v>
      </c>
      <c r="DS287" s="184">
        <f t="shared" ca="1" si="646"/>
        <v>-43582421.670443706</v>
      </c>
      <c r="DT287" s="184">
        <f t="shared" ca="1" si="646"/>
        <v>-43263111.900655627</v>
      </c>
      <c r="DU287" s="184">
        <f t="shared" ref="DU287:EA287" ca="1" si="647">DU284+DU285-DU286</f>
        <v>-42943802.130867548</v>
      </c>
      <c r="DV287" s="184">
        <f t="shared" ca="1" si="647"/>
        <v>-45334160.54960002</v>
      </c>
      <c r="DW287" s="184">
        <f t="shared" ca="1" si="647"/>
        <v>-45004722.046721078</v>
      </c>
      <c r="DX287" s="184">
        <f t="shared" ca="1" si="647"/>
        <v>-44675283.543842137</v>
      </c>
      <c r="DY287" s="184">
        <f t="shared" ca="1" si="647"/>
        <v>-44345845.040963195</v>
      </c>
      <c r="DZ287" s="184">
        <f t="shared" ca="1" si="647"/>
        <v>-44012440.479803041</v>
      </c>
      <c r="EA287" s="184">
        <f t="shared" ca="1" si="647"/>
        <v>-43679035.918642886</v>
      </c>
      <c r="EB287" s="184">
        <f t="shared" ref="EB287:EQ287" ca="1" si="648">EB284+EB285-EB286</f>
        <v>0</v>
      </c>
      <c r="EC287" s="184">
        <f t="shared" ca="1" si="648"/>
        <v>0</v>
      </c>
      <c r="ED287" s="1324">
        <f t="shared" ca="1" si="648"/>
        <v>0</v>
      </c>
      <c r="EE287" s="184">
        <f t="shared" ca="1" si="648"/>
        <v>0</v>
      </c>
      <c r="EF287" s="184">
        <f t="shared" ca="1" si="648"/>
        <v>0</v>
      </c>
      <c r="EG287" s="184">
        <f t="shared" ca="1" si="648"/>
        <v>0</v>
      </c>
      <c r="EH287" s="184">
        <f t="shared" ca="1" si="648"/>
        <v>0</v>
      </c>
      <c r="EI287" s="184">
        <f t="shared" ca="1" si="648"/>
        <v>0</v>
      </c>
      <c r="EJ287" s="184">
        <f t="shared" ca="1" si="648"/>
        <v>0</v>
      </c>
      <c r="EK287" s="184">
        <f t="shared" ca="1" si="648"/>
        <v>0</v>
      </c>
      <c r="EL287" s="184">
        <f t="shared" ca="1" si="648"/>
        <v>0</v>
      </c>
      <c r="EM287" s="184">
        <f t="shared" ca="1" si="648"/>
        <v>0</v>
      </c>
      <c r="EN287" s="184">
        <f t="shared" ca="1" si="648"/>
        <v>0</v>
      </c>
      <c r="EO287" s="184">
        <f t="shared" ca="1" si="648"/>
        <v>0</v>
      </c>
      <c r="EP287" s="184">
        <f t="shared" ca="1" si="648"/>
        <v>0</v>
      </c>
      <c r="EQ287" s="184">
        <f t="shared" ca="1" si="648"/>
        <v>0</v>
      </c>
    </row>
    <row r="288" spans="3:147" ht="11.25" customHeight="1">
      <c r="C288" s="218"/>
      <c r="D288" s="158" t="s">
        <v>573</v>
      </c>
      <c r="E288" s="159"/>
      <c r="F288" s="159"/>
      <c r="G288" s="159"/>
      <c r="H288" s="160"/>
      <c r="I288" s="219"/>
      <c r="J288" s="220"/>
      <c r="K288" s="98"/>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162"/>
      <c r="AK288" s="162"/>
      <c r="AL288" s="162"/>
      <c r="AM288" s="162"/>
      <c r="AN288" s="162"/>
      <c r="AO288" s="162"/>
      <c r="AP288" s="162"/>
      <c r="AQ288" s="162"/>
      <c r="AR288" s="162"/>
      <c r="AS288" s="162"/>
      <c r="AT288" s="162"/>
      <c r="AU288" s="162"/>
      <c r="AV288" s="162"/>
      <c r="AW288" s="162"/>
      <c r="AX288" s="162"/>
      <c r="AY288" s="162"/>
      <c r="AZ288" s="162"/>
      <c r="BA288" s="162"/>
      <c r="BB288" s="162"/>
      <c r="BC288" s="162"/>
      <c r="BD288" s="162"/>
      <c r="BE288" s="162"/>
      <c r="BF288" s="162"/>
      <c r="BG288" s="162"/>
      <c r="BH288" s="162"/>
      <c r="BI288" s="162"/>
      <c r="BJ288" s="162"/>
      <c r="BK288" s="162"/>
      <c r="BL288" s="162"/>
      <c r="BM288" s="162"/>
      <c r="BN288" s="162"/>
      <c r="BO288" s="162"/>
      <c r="BP288" s="162"/>
      <c r="BQ288" s="162"/>
      <c r="BR288" s="162"/>
      <c r="BS288" s="162"/>
      <c r="BT288" s="162"/>
      <c r="BU288" s="162"/>
      <c r="BV288" s="162"/>
      <c r="BW288" s="162"/>
      <c r="BX288" s="162"/>
      <c r="BY288" s="162"/>
      <c r="BZ288" s="162"/>
      <c r="CA288" s="162"/>
      <c r="CB288" s="162"/>
      <c r="CC288" s="162"/>
      <c r="CD288" s="162"/>
      <c r="CE288" s="162"/>
      <c r="CF288" s="162"/>
      <c r="CG288" s="162"/>
      <c r="CH288" s="162"/>
      <c r="CI288" s="162"/>
      <c r="CJ288" s="162"/>
      <c r="CK288" s="162"/>
      <c r="CL288" s="162"/>
      <c r="CM288" s="162"/>
      <c r="CN288" s="162"/>
      <c r="CO288" s="162"/>
      <c r="CP288" s="162"/>
      <c r="CQ288" s="162"/>
      <c r="CR288" s="162"/>
      <c r="CS288" s="162"/>
      <c r="CT288" s="162"/>
      <c r="CU288" s="162"/>
      <c r="CV288" s="162"/>
      <c r="CW288" s="162"/>
      <c r="CX288" s="162"/>
      <c r="CY288" s="162"/>
      <c r="CZ288" s="162"/>
      <c r="DA288" s="162"/>
      <c r="DB288" s="162"/>
      <c r="DC288" s="162"/>
      <c r="DD288" s="162"/>
      <c r="DE288" s="162"/>
      <c r="DF288" s="162"/>
      <c r="DG288" s="162"/>
      <c r="DH288" s="162"/>
      <c r="DI288" s="162"/>
      <c r="DJ288" s="162"/>
      <c r="DK288" s="162"/>
      <c r="DL288" s="162"/>
      <c r="DM288" s="162"/>
      <c r="DN288" s="162"/>
      <c r="DO288" s="162"/>
      <c r="DP288" s="162"/>
      <c r="DQ288" s="162"/>
      <c r="DR288" s="162"/>
      <c r="DS288" s="162"/>
      <c r="DT288" s="162"/>
      <c r="DU288" s="162"/>
      <c r="DV288" s="162"/>
      <c r="DW288" s="162"/>
      <c r="DX288" s="162"/>
      <c r="DY288" s="162"/>
      <c r="DZ288" s="162"/>
      <c r="EA288" s="162"/>
      <c r="EB288" s="162"/>
      <c r="EC288" s="162"/>
      <c r="ED288" s="1319"/>
      <c r="EE288" s="162"/>
      <c r="EF288" s="162"/>
      <c r="EG288" s="162"/>
      <c r="EH288" s="162"/>
      <c r="EI288" s="162"/>
      <c r="EJ288" s="162"/>
      <c r="EK288" s="162"/>
      <c r="EL288" s="162"/>
      <c r="EM288" s="162"/>
      <c r="EN288" s="162"/>
      <c r="EO288" s="162"/>
      <c r="EP288" s="162"/>
      <c r="EQ288" s="162"/>
    </row>
    <row r="289" spans="3:147" ht="11.25" customHeight="1">
      <c r="C289" s="218"/>
      <c r="D289" s="163"/>
      <c r="E289" s="164" t="s">
        <v>574</v>
      </c>
      <c r="F289" s="165"/>
      <c r="G289" s="165"/>
      <c r="H289" s="166"/>
      <c r="I289" s="221"/>
      <c r="J289" s="168"/>
      <c r="K289" s="98"/>
      <c r="L289" s="168"/>
      <c r="M289" s="168"/>
      <c r="N289" s="168"/>
      <c r="O289" s="168"/>
      <c r="P289" s="168"/>
      <c r="Q289" s="168"/>
      <c r="R289" s="168"/>
      <c r="S289" s="168"/>
      <c r="T289" s="168"/>
      <c r="U289" s="168"/>
      <c r="V289" s="168"/>
      <c r="W289" s="168"/>
      <c r="X289" s="168"/>
      <c r="Y289" s="168"/>
      <c r="Z289" s="168"/>
      <c r="AA289" s="168"/>
      <c r="AB289" s="168"/>
      <c r="AC289" s="168"/>
      <c r="AD289" s="168"/>
      <c r="AE289" s="168"/>
      <c r="AF289" s="168"/>
      <c r="AG289" s="168"/>
      <c r="AH289" s="168"/>
      <c r="AI289" s="168"/>
      <c r="AJ289" s="168"/>
      <c r="AK289" s="168"/>
      <c r="AL289" s="168"/>
      <c r="AM289" s="168"/>
      <c r="AN289" s="168"/>
      <c r="AO289" s="168"/>
      <c r="AP289" s="168"/>
      <c r="AQ289" s="168"/>
      <c r="AR289" s="168"/>
      <c r="AS289" s="168"/>
      <c r="AT289" s="168"/>
      <c r="AU289" s="168"/>
      <c r="AV289" s="168"/>
      <c r="AW289" s="168"/>
      <c r="AX289" s="168"/>
      <c r="AY289" s="168"/>
      <c r="AZ289" s="168"/>
      <c r="BA289" s="168"/>
      <c r="BB289" s="168"/>
      <c r="BC289" s="168"/>
      <c r="BD289" s="168"/>
      <c r="BE289" s="168"/>
      <c r="BF289" s="168"/>
      <c r="BG289" s="168"/>
      <c r="BH289" s="168"/>
      <c r="BI289" s="168"/>
      <c r="BJ289" s="168"/>
      <c r="BK289" s="168"/>
      <c r="BL289" s="168"/>
      <c r="BM289" s="168"/>
      <c r="BN289" s="168"/>
      <c r="BO289" s="168"/>
      <c r="BP289" s="168"/>
      <c r="BQ289" s="168"/>
      <c r="BR289" s="168"/>
      <c r="BS289" s="168"/>
      <c r="BT289" s="168"/>
      <c r="BU289" s="168"/>
      <c r="BV289" s="168"/>
      <c r="BW289" s="168"/>
      <c r="BX289" s="168"/>
      <c r="BY289" s="168"/>
      <c r="BZ289" s="168"/>
      <c r="CA289" s="168"/>
      <c r="CB289" s="168"/>
      <c r="CC289" s="168"/>
      <c r="CD289" s="168"/>
      <c r="CE289" s="168"/>
      <c r="CF289" s="168"/>
      <c r="CG289" s="168"/>
      <c r="CH289" s="168"/>
      <c r="CI289" s="168"/>
      <c r="CJ289" s="168"/>
      <c r="CK289" s="168"/>
      <c r="CL289" s="168"/>
      <c r="CM289" s="168"/>
      <c r="CN289" s="168"/>
      <c r="CO289" s="168"/>
      <c r="CP289" s="168"/>
      <c r="CQ289" s="168"/>
      <c r="CR289" s="168"/>
      <c r="CS289" s="168"/>
      <c r="CT289" s="168"/>
      <c r="CU289" s="168"/>
      <c r="CV289" s="168"/>
      <c r="CW289" s="168"/>
      <c r="CX289" s="168"/>
      <c r="CY289" s="168"/>
      <c r="CZ289" s="168"/>
      <c r="DA289" s="168"/>
      <c r="DB289" s="168"/>
      <c r="DC289" s="168"/>
      <c r="DD289" s="168"/>
      <c r="DE289" s="168"/>
      <c r="DF289" s="168"/>
      <c r="DG289" s="168"/>
      <c r="DH289" s="168"/>
      <c r="DI289" s="168"/>
      <c r="DJ289" s="168"/>
      <c r="DK289" s="168"/>
      <c r="DL289" s="168"/>
      <c r="DM289" s="168"/>
      <c r="DN289" s="168"/>
      <c r="DO289" s="168"/>
      <c r="DP289" s="168"/>
      <c r="DQ289" s="168"/>
      <c r="DR289" s="168"/>
      <c r="DS289" s="168"/>
      <c r="DT289" s="168"/>
      <c r="DU289" s="168"/>
      <c r="DV289" s="168"/>
      <c r="DW289" s="168"/>
      <c r="DX289" s="168"/>
      <c r="DY289" s="168"/>
      <c r="DZ289" s="168"/>
      <c r="EA289" s="168"/>
      <c r="EB289" s="168"/>
      <c r="EC289" s="168"/>
      <c r="ED289" s="1320"/>
      <c r="EE289" s="168"/>
      <c r="EF289" s="168"/>
      <c r="EG289" s="168"/>
      <c r="EH289" s="168"/>
      <c r="EI289" s="168"/>
      <c r="EJ289" s="168"/>
      <c r="EK289" s="168"/>
      <c r="EL289" s="168"/>
      <c r="EM289" s="168"/>
      <c r="EN289" s="168"/>
      <c r="EO289" s="168"/>
      <c r="EP289" s="168"/>
      <c r="EQ289" s="168"/>
    </row>
    <row r="290" spans="3:147" ht="11.25" customHeight="1">
      <c r="C290" s="218"/>
      <c r="D290" s="163"/>
      <c r="E290" s="169"/>
      <c r="J290" s="171"/>
      <c r="K290" s="98"/>
      <c r="L290" s="171"/>
      <c r="M290" s="171"/>
      <c r="N290" s="171"/>
      <c r="O290" s="171"/>
      <c r="P290" s="171"/>
      <c r="Q290" s="171"/>
      <c r="R290" s="171"/>
      <c r="S290" s="171"/>
      <c r="T290" s="171"/>
      <c r="U290" s="171"/>
      <c r="V290" s="171"/>
      <c r="W290" s="171"/>
      <c r="X290" s="171"/>
      <c r="Y290" s="171"/>
      <c r="Z290" s="171"/>
      <c r="AA290" s="171"/>
      <c r="AB290" s="171"/>
      <c r="AC290" s="171"/>
      <c r="AD290" s="171"/>
      <c r="AE290" s="171"/>
      <c r="AF290" s="171"/>
      <c r="AG290" s="171"/>
      <c r="AH290" s="171"/>
      <c r="AI290" s="171"/>
      <c r="AJ290" s="171"/>
      <c r="AK290" s="171"/>
      <c r="AL290" s="171"/>
      <c r="AM290" s="171"/>
      <c r="AN290" s="171"/>
      <c r="AO290" s="171"/>
      <c r="AP290" s="171"/>
      <c r="AQ290" s="171"/>
      <c r="AR290" s="171"/>
      <c r="AS290" s="171"/>
      <c r="AT290" s="171"/>
      <c r="AU290" s="171"/>
      <c r="AV290" s="171"/>
      <c r="AW290" s="171"/>
      <c r="AX290" s="171"/>
      <c r="AY290" s="171"/>
      <c r="AZ290" s="171"/>
      <c r="BA290" s="171"/>
      <c r="BB290" s="171"/>
      <c r="BC290" s="171"/>
      <c r="BD290" s="171"/>
      <c r="BE290" s="171"/>
      <c r="BF290" s="171"/>
      <c r="BG290" s="171"/>
      <c r="BH290" s="171"/>
      <c r="BI290" s="171"/>
      <c r="BJ290" s="171"/>
      <c r="BK290" s="171"/>
      <c r="BL290" s="171"/>
      <c r="BM290" s="171"/>
      <c r="BN290" s="171"/>
      <c r="BO290" s="171"/>
      <c r="BP290" s="171"/>
      <c r="BQ290" s="171"/>
      <c r="BR290" s="171"/>
      <c r="BS290" s="171"/>
      <c r="BT290" s="171"/>
      <c r="BU290" s="171"/>
      <c r="BV290" s="171"/>
      <c r="BW290" s="171"/>
      <c r="BX290" s="171"/>
      <c r="BY290" s="171"/>
      <c r="BZ290" s="171"/>
      <c r="CA290" s="171"/>
      <c r="CB290" s="171"/>
      <c r="CC290" s="171"/>
      <c r="CD290" s="171"/>
      <c r="CE290" s="171"/>
      <c r="CF290" s="171"/>
      <c r="CG290" s="171"/>
      <c r="CH290" s="171"/>
      <c r="CI290" s="171"/>
      <c r="CJ290" s="171"/>
      <c r="CK290" s="171"/>
      <c r="CL290" s="171"/>
      <c r="CM290" s="171"/>
      <c r="CN290" s="171"/>
      <c r="CO290" s="171"/>
      <c r="CP290" s="171"/>
      <c r="CQ290" s="171"/>
      <c r="CR290" s="171"/>
      <c r="CS290" s="171"/>
      <c r="CT290" s="171"/>
      <c r="CU290" s="171"/>
      <c r="CV290" s="171"/>
      <c r="CW290" s="171"/>
      <c r="CX290" s="171"/>
      <c r="CY290" s="171"/>
      <c r="CZ290" s="171"/>
      <c r="DA290" s="171"/>
      <c r="DB290" s="171"/>
      <c r="DC290" s="171"/>
      <c r="DD290" s="171"/>
      <c r="DE290" s="171"/>
      <c r="DF290" s="171"/>
      <c r="DG290" s="171"/>
      <c r="DH290" s="171"/>
      <c r="DI290" s="171"/>
      <c r="DJ290" s="171"/>
      <c r="DK290" s="171"/>
      <c r="DL290" s="171"/>
      <c r="DM290" s="171"/>
      <c r="DN290" s="171"/>
      <c r="DO290" s="171"/>
      <c r="DP290" s="171"/>
      <c r="DQ290" s="171"/>
      <c r="DR290" s="171"/>
      <c r="DS290" s="171"/>
      <c r="DT290" s="171"/>
      <c r="DU290" s="171"/>
      <c r="DV290" s="171"/>
      <c r="DW290" s="171"/>
      <c r="DX290" s="171"/>
      <c r="DY290" s="171"/>
      <c r="DZ290" s="171"/>
      <c r="EA290" s="171"/>
      <c r="EB290" s="171"/>
      <c r="EC290" s="171"/>
      <c r="ED290" s="1321"/>
      <c r="EE290" s="171"/>
      <c r="EF290" s="171"/>
      <c r="EG290" s="171"/>
      <c r="EH290" s="171"/>
      <c r="EI290" s="171"/>
      <c r="EJ290" s="171"/>
      <c r="EK290" s="171"/>
      <c r="EL290" s="171"/>
      <c r="EM290" s="171"/>
      <c r="EN290" s="171"/>
      <c r="EO290" s="171"/>
      <c r="EP290" s="171"/>
      <c r="EQ290" s="171"/>
    </row>
    <row r="291" spans="3:147" ht="11.25" customHeight="1">
      <c r="C291" s="218"/>
      <c r="D291" s="163"/>
      <c r="E291" s="169"/>
      <c r="I291" s="134"/>
      <c r="J291" s="171"/>
      <c r="K291" s="98"/>
      <c r="L291" s="171"/>
      <c r="M291" s="171"/>
      <c r="N291" s="171"/>
      <c r="O291" s="171"/>
      <c r="P291" s="171"/>
      <c r="Q291" s="171"/>
      <c r="R291" s="171"/>
      <c r="S291" s="171"/>
      <c r="T291" s="171"/>
      <c r="U291" s="171"/>
      <c r="V291" s="171"/>
      <c r="W291" s="171"/>
      <c r="X291" s="171"/>
      <c r="Y291" s="171"/>
      <c r="Z291" s="171"/>
      <c r="AA291" s="171"/>
      <c r="AB291" s="171"/>
      <c r="AC291" s="171"/>
      <c r="AD291" s="171"/>
      <c r="AE291" s="171"/>
      <c r="AF291" s="171"/>
      <c r="AG291" s="171"/>
      <c r="AH291" s="171"/>
      <c r="AI291" s="171"/>
      <c r="AJ291" s="171"/>
      <c r="AK291" s="171"/>
      <c r="AL291" s="171"/>
      <c r="AM291" s="171"/>
      <c r="AN291" s="171"/>
      <c r="AO291" s="171"/>
      <c r="AP291" s="171"/>
      <c r="AQ291" s="171"/>
      <c r="AR291" s="171"/>
      <c r="AS291" s="171"/>
      <c r="AT291" s="171"/>
      <c r="AU291" s="171"/>
      <c r="AV291" s="171"/>
      <c r="AW291" s="171"/>
      <c r="AX291" s="171"/>
      <c r="AY291" s="171"/>
      <c r="AZ291" s="171"/>
      <c r="BA291" s="171"/>
      <c r="BB291" s="171"/>
      <c r="BC291" s="171"/>
      <c r="BD291" s="171"/>
      <c r="BE291" s="171"/>
      <c r="BF291" s="171"/>
      <c r="BG291" s="171"/>
      <c r="BH291" s="171"/>
      <c r="BI291" s="171"/>
      <c r="BJ291" s="171"/>
      <c r="BK291" s="171"/>
      <c r="BL291" s="171"/>
      <c r="BM291" s="171"/>
      <c r="BN291" s="171"/>
      <c r="BO291" s="171"/>
      <c r="BP291" s="171"/>
      <c r="BQ291" s="171"/>
      <c r="BR291" s="171"/>
      <c r="BS291" s="171"/>
      <c r="BT291" s="171"/>
      <c r="BU291" s="171"/>
      <c r="BV291" s="171"/>
      <c r="BW291" s="171"/>
      <c r="BX291" s="171"/>
      <c r="BY291" s="171"/>
      <c r="BZ291" s="171"/>
      <c r="CA291" s="171"/>
      <c r="CB291" s="171"/>
      <c r="CC291" s="171"/>
      <c r="CD291" s="171"/>
      <c r="CE291" s="171"/>
      <c r="CF291" s="171"/>
      <c r="CG291" s="171"/>
      <c r="CH291" s="171"/>
      <c r="CI291" s="171"/>
      <c r="CJ291" s="171"/>
      <c r="CK291" s="171"/>
      <c r="CL291" s="171"/>
      <c r="CM291" s="171"/>
      <c r="CN291" s="171"/>
      <c r="CO291" s="171"/>
      <c r="CP291" s="171"/>
      <c r="CQ291" s="171"/>
      <c r="CR291" s="171"/>
      <c r="CS291" s="171"/>
      <c r="CT291" s="171"/>
      <c r="CU291" s="171"/>
      <c r="CV291" s="171"/>
      <c r="CW291" s="171"/>
      <c r="CX291" s="171"/>
      <c r="CY291" s="171"/>
      <c r="CZ291" s="171"/>
      <c r="DA291" s="171"/>
      <c r="DB291" s="171"/>
      <c r="DC291" s="171"/>
      <c r="DD291" s="171"/>
      <c r="DE291" s="171"/>
      <c r="DF291" s="171"/>
      <c r="DG291" s="171"/>
      <c r="DH291" s="171"/>
      <c r="DI291" s="171"/>
      <c r="DJ291" s="171"/>
      <c r="DK291" s="171"/>
      <c r="DL291" s="171"/>
      <c r="DM291" s="171"/>
      <c r="DN291" s="171"/>
      <c r="DO291" s="171"/>
      <c r="DP291" s="171"/>
      <c r="DQ291" s="171"/>
      <c r="DR291" s="171"/>
      <c r="DS291" s="171"/>
      <c r="DT291" s="171"/>
      <c r="DU291" s="171"/>
      <c r="DV291" s="171"/>
      <c r="DW291" s="171"/>
      <c r="DX291" s="171"/>
      <c r="DY291" s="171"/>
      <c r="DZ291" s="171"/>
      <c r="EA291" s="171"/>
      <c r="EB291" s="171"/>
      <c r="EC291" s="171"/>
      <c r="ED291" s="1321"/>
      <c r="EE291" s="171"/>
      <c r="EF291" s="171"/>
      <c r="EG291" s="171"/>
      <c r="EH291" s="171"/>
      <c r="EI291" s="171"/>
      <c r="EJ291" s="171"/>
      <c r="EK291" s="171"/>
      <c r="EL291" s="171"/>
      <c r="EM291" s="171"/>
      <c r="EN291" s="171"/>
      <c r="EO291" s="171"/>
      <c r="EP291" s="171"/>
      <c r="EQ291" s="171"/>
    </row>
    <row r="292" spans="3:147" ht="11.25" customHeight="1">
      <c r="C292" s="244"/>
      <c r="D292" s="178"/>
      <c r="E292" s="179"/>
      <c r="F292" s="180"/>
      <c r="G292" s="180"/>
      <c r="H292" s="182"/>
      <c r="I292" s="245"/>
      <c r="J292" s="184"/>
      <c r="K292" s="98"/>
      <c r="L292" s="184"/>
      <c r="M292" s="184"/>
      <c r="N292" s="184"/>
      <c r="O292" s="184"/>
      <c r="P292" s="184"/>
      <c r="Q292" s="184"/>
      <c r="R292" s="184"/>
      <c r="S292" s="184"/>
      <c r="T292" s="184"/>
      <c r="U292" s="184"/>
      <c r="V292" s="184"/>
      <c r="W292" s="184"/>
      <c r="X292" s="184"/>
      <c r="Y292" s="184"/>
      <c r="Z292" s="184"/>
      <c r="AA292" s="184"/>
      <c r="AB292" s="184"/>
      <c r="AC292" s="184"/>
      <c r="AD292" s="184"/>
      <c r="AE292" s="184"/>
      <c r="AF292" s="184"/>
      <c r="AG292" s="184"/>
      <c r="AH292" s="184"/>
      <c r="AI292" s="184"/>
      <c r="AJ292" s="184"/>
      <c r="AK292" s="184"/>
      <c r="AL292" s="184"/>
      <c r="AM292" s="184"/>
      <c r="AN292" s="184"/>
      <c r="AO292" s="184"/>
      <c r="AP292" s="184"/>
      <c r="AQ292" s="184"/>
      <c r="AR292" s="184"/>
      <c r="AS292" s="184"/>
      <c r="AT292" s="184"/>
      <c r="AU292" s="184"/>
      <c r="AV292" s="184"/>
      <c r="AW292" s="184"/>
      <c r="AX292" s="184"/>
      <c r="AY292" s="184"/>
      <c r="AZ292" s="184"/>
      <c r="BA292" s="184"/>
      <c r="BB292" s="184"/>
      <c r="BC292" s="184"/>
      <c r="BD292" s="184"/>
      <c r="BE292" s="184"/>
      <c r="BF292" s="184"/>
      <c r="BG292" s="184"/>
      <c r="BH292" s="184"/>
      <c r="BI292" s="184"/>
      <c r="BJ292" s="184"/>
      <c r="BK292" s="184"/>
      <c r="BL292" s="184"/>
      <c r="BM292" s="184"/>
      <c r="BN292" s="184"/>
      <c r="BO292" s="184"/>
      <c r="BP292" s="184"/>
      <c r="BQ292" s="184"/>
      <c r="BR292" s="184"/>
      <c r="BS292" s="184"/>
      <c r="BT292" s="184"/>
      <c r="BU292" s="184"/>
      <c r="BV292" s="184"/>
      <c r="BW292" s="184"/>
      <c r="BX292" s="184"/>
      <c r="BY292" s="184"/>
      <c r="BZ292" s="184"/>
      <c r="CA292" s="184"/>
      <c r="CB292" s="184"/>
      <c r="CC292" s="184"/>
      <c r="CD292" s="184"/>
      <c r="CE292" s="184"/>
      <c r="CF292" s="184"/>
      <c r="CG292" s="184"/>
      <c r="CH292" s="184"/>
      <c r="CI292" s="184"/>
      <c r="CJ292" s="184"/>
      <c r="CK292" s="184"/>
      <c r="CL292" s="184"/>
      <c r="CM292" s="184"/>
      <c r="CN292" s="184"/>
      <c r="CO292" s="184"/>
      <c r="CP292" s="184"/>
      <c r="CQ292" s="184"/>
      <c r="CR292" s="184"/>
      <c r="CS292" s="184"/>
      <c r="CT292" s="184"/>
      <c r="CU292" s="184"/>
      <c r="CV292" s="184"/>
      <c r="CW292" s="184"/>
      <c r="CX292" s="184"/>
      <c r="CY292" s="184"/>
      <c r="CZ292" s="184"/>
      <c r="DA292" s="184"/>
      <c r="DB292" s="184"/>
      <c r="DC292" s="184"/>
      <c r="DD292" s="184"/>
      <c r="DE292" s="184"/>
      <c r="DF292" s="184"/>
      <c r="DG292" s="184"/>
      <c r="DH292" s="184"/>
      <c r="DI292" s="184"/>
      <c r="DJ292" s="184"/>
      <c r="DK292" s="184"/>
      <c r="DL292" s="184"/>
      <c r="DM292" s="184"/>
      <c r="DN292" s="184"/>
      <c r="DO292" s="184"/>
      <c r="DP292" s="184"/>
      <c r="DQ292" s="184"/>
      <c r="DR292" s="184"/>
      <c r="DS292" s="184"/>
      <c r="DT292" s="184"/>
      <c r="DU292" s="184"/>
      <c r="DV292" s="184"/>
      <c r="DW292" s="184"/>
      <c r="DX292" s="184"/>
      <c r="DY292" s="184"/>
      <c r="DZ292" s="184"/>
      <c r="EA292" s="184"/>
      <c r="EB292" s="184"/>
      <c r="EC292" s="184"/>
      <c r="ED292" s="1324"/>
      <c r="EE292" s="184"/>
      <c r="EF292" s="184"/>
      <c r="EG292" s="184"/>
      <c r="EH292" s="184"/>
      <c r="EI292" s="184"/>
      <c r="EJ292" s="184"/>
      <c r="EK292" s="184"/>
      <c r="EL292" s="184"/>
      <c r="EM292" s="184"/>
      <c r="EN292" s="184"/>
      <c r="EO292" s="184"/>
      <c r="EP292" s="184"/>
      <c r="EQ292" s="184"/>
    </row>
    <row r="303" spans="3:147">
      <c r="P303" s="146"/>
    </row>
    <row r="304" spans="3:147">
      <c r="P304" s="146"/>
    </row>
    <row r="306" spans="16:16">
      <c r="P306" s="133"/>
    </row>
    <row r="307" spans="16:16">
      <c r="P307" s="1072"/>
    </row>
    <row r="309" spans="16:16">
      <c r="P309" s="1073"/>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10629-5B5D-46F4-8BF8-C7D93D78C23F}">
  <sheetPr codeName="Sheet9">
    <tabColor theme="7" tint="-0.499984740745262"/>
  </sheetPr>
  <dimension ref="A1:ET42"/>
  <sheetViews>
    <sheetView showGridLines="0" topLeftCell="BE10" workbookViewId="0">
      <selection activeCell="BX36" sqref="BX36"/>
    </sheetView>
  </sheetViews>
  <sheetFormatPr defaultColWidth="9" defaultRowHeight="12"/>
  <cols>
    <col min="1" max="1" width="2.625" style="5" customWidth="1"/>
    <col min="2" max="2" width="1.75" style="5" customWidth="1"/>
    <col min="3" max="3" width="1.875" style="5" customWidth="1"/>
    <col min="4" max="7" width="9" style="5"/>
    <col min="8" max="8" width="9.75" style="5" bestFit="1" customWidth="1"/>
    <col min="9" max="9" width="10.125" style="5" bestFit="1" customWidth="1"/>
    <col min="10" max="10" width="2.125" style="5" customWidth="1"/>
    <col min="11" max="146" width="11" style="5" customWidth="1"/>
    <col min="147" max="16384" width="9" style="5"/>
  </cols>
  <sheetData>
    <row r="1" spans="1:150" s="3" customFormat="1">
      <c r="A1" s="2" t="s">
        <v>554</v>
      </c>
    </row>
    <row r="2" spans="1:150" s="4" customFormat="1">
      <c r="A2" s="4" t="s">
        <v>258</v>
      </c>
    </row>
    <row r="4" spans="1:150">
      <c r="B4" s="187" t="s">
        <v>0</v>
      </c>
      <c r="C4" s="143"/>
      <c r="D4" s="143"/>
      <c r="E4" s="143"/>
      <c r="F4" s="143"/>
      <c r="G4" s="143"/>
      <c r="H4" s="208"/>
      <c r="I4" s="969"/>
      <c r="K4" s="145">
        <f>'CF(M)'!L4</f>
        <v>46326</v>
      </c>
      <c r="L4" s="145">
        <f>'CF(M)'!M4</f>
        <v>46327</v>
      </c>
      <c r="M4" s="145">
        <f>'CF(M)'!N4</f>
        <v>46357</v>
      </c>
      <c r="N4" s="145">
        <f>'CF(M)'!O4</f>
        <v>46388</v>
      </c>
      <c r="O4" s="145">
        <f>'CF(M)'!P4</f>
        <v>46419</v>
      </c>
      <c r="P4" s="145">
        <f>'CF(M)'!Q4</f>
        <v>46447</v>
      </c>
      <c r="Q4" s="145">
        <f>'CF(M)'!R4</f>
        <v>46478</v>
      </c>
      <c r="R4" s="145">
        <f>'CF(M)'!S4</f>
        <v>46508</v>
      </c>
      <c r="S4" s="145">
        <f>'CF(M)'!T4</f>
        <v>46539</v>
      </c>
      <c r="T4" s="145">
        <f>'CF(M)'!U4</f>
        <v>46569</v>
      </c>
      <c r="U4" s="145">
        <f>'CF(M)'!V4</f>
        <v>46600</v>
      </c>
      <c r="V4" s="145">
        <f>'CF(M)'!W4</f>
        <v>46631</v>
      </c>
      <c r="W4" s="145">
        <f>'CF(M)'!X4</f>
        <v>46661</v>
      </c>
      <c r="X4" s="145">
        <f>'CF(M)'!Y4</f>
        <v>46692</v>
      </c>
      <c r="Y4" s="145">
        <f>'CF(M)'!Z4</f>
        <v>46722</v>
      </c>
      <c r="Z4" s="145">
        <f>'CF(M)'!AA4</f>
        <v>46753</v>
      </c>
      <c r="AA4" s="145">
        <f>'CF(M)'!AB4</f>
        <v>46784</v>
      </c>
      <c r="AB4" s="145">
        <f>'CF(M)'!AC4</f>
        <v>46813</v>
      </c>
      <c r="AC4" s="145">
        <f>'CF(M)'!AD4</f>
        <v>46844</v>
      </c>
      <c r="AD4" s="145">
        <f>'CF(M)'!AE4</f>
        <v>46874</v>
      </c>
      <c r="AE4" s="145">
        <f>'CF(M)'!AF4</f>
        <v>46905</v>
      </c>
      <c r="AF4" s="145">
        <f>'CF(M)'!AG4</f>
        <v>46935</v>
      </c>
      <c r="AG4" s="145">
        <f>'CF(M)'!AH4</f>
        <v>46966</v>
      </c>
      <c r="AH4" s="145">
        <f>'CF(M)'!AI4</f>
        <v>46997</v>
      </c>
      <c r="AI4" s="145">
        <f>'CF(M)'!AJ4</f>
        <v>47027</v>
      </c>
      <c r="AJ4" s="145">
        <f>'CF(M)'!AK4</f>
        <v>47058</v>
      </c>
      <c r="AK4" s="145">
        <f>'CF(M)'!AL4</f>
        <v>47088</v>
      </c>
      <c r="AL4" s="145">
        <f>'CF(M)'!AM4</f>
        <v>47119</v>
      </c>
      <c r="AM4" s="145">
        <f>'CF(M)'!AN4</f>
        <v>47150</v>
      </c>
      <c r="AN4" s="145">
        <f>'CF(M)'!AO4</f>
        <v>47178</v>
      </c>
      <c r="AO4" s="145">
        <f>'CF(M)'!AP4</f>
        <v>47209</v>
      </c>
      <c r="AP4" s="145">
        <f>'CF(M)'!AQ4</f>
        <v>47239</v>
      </c>
      <c r="AQ4" s="145">
        <f>'CF(M)'!AR4</f>
        <v>47270</v>
      </c>
      <c r="AR4" s="145">
        <f>'CF(M)'!AS4</f>
        <v>47300</v>
      </c>
      <c r="AS4" s="145">
        <f>'CF(M)'!AT4</f>
        <v>47331</v>
      </c>
      <c r="AT4" s="145">
        <f>'CF(M)'!AU4</f>
        <v>47362</v>
      </c>
      <c r="AU4" s="145">
        <f>'CF(M)'!AV4</f>
        <v>47392</v>
      </c>
      <c r="AV4" s="145">
        <f>'CF(M)'!AW4</f>
        <v>47423</v>
      </c>
      <c r="AW4" s="145">
        <f>'CF(M)'!AX4</f>
        <v>47453</v>
      </c>
      <c r="AX4" s="145">
        <f>'CF(M)'!AY4</f>
        <v>47484</v>
      </c>
      <c r="AY4" s="145">
        <f>'CF(M)'!AZ4</f>
        <v>47515</v>
      </c>
      <c r="AZ4" s="145">
        <f>'CF(M)'!BA4</f>
        <v>47543</v>
      </c>
      <c r="BA4" s="145">
        <f>'CF(M)'!BB4</f>
        <v>47574</v>
      </c>
      <c r="BB4" s="145">
        <f>'CF(M)'!BC4</f>
        <v>47604</v>
      </c>
      <c r="BC4" s="145">
        <f>'CF(M)'!BD4</f>
        <v>47635</v>
      </c>
      <c r="BD4" s="145">
        <f>'CF(M)'!BE4</f>
        <v>47665</v>
      </c>
      <c r="BE4" s="145">
        <f>'CF(M)'!BF4</f>
        <v>47696</v>
      </c>
      <c r="BF4" s="145">
        <f>'CF(M)'!BG4</f>
        <v>47727</v>
      </c>
      <c r="BG4" s="145">
        <f>'CF(M)'!BH4</f>
        <v>47757</v>
      </c>
      <c r="BH4" s="145">
        <f>'CF(M)'!BI4</f>
        <v>47788</v>
      </c>
      <c r="BI4" s="145">
        <f>'CF(M)'!BJ4</f>
        <v>47818</v>
      </c>
      <c r="BJ4" s="145">
        <f>'CF(M)'!BK4</f>
        <v>47849</v>
      </c>
      <c r="BK4" s="145">
        <f>'CF(M)'!BL4</f>
        <v>47880</v>
      </c>
      <c r="BL4" s="145">
        <f>'CF(M)'!BM4</f>
        <v>47908</v>
      </c>
      <c r="BM4" s="145">
        <f>'CF(M)'!BN4</f>
        <v>47939</v>
      </c>
      <c r="BN4" s="145">
        <f>'CF(M)'!BO4</f>
        <v>47969</v>
      </c>
      <c r="BO4" s="145">
        <f>'CF(M)'!BP4</f>
        <v>48000</v>
      </c>
      <c r="BP4" s="145">
        <f>'CF(M)'!BQ4</f>
        <v>48030</v>
      </c>
      <c r="BQ4" s="145">
        <f>'CF(M)'!BR4</f>
        <v>48061</v>
      </c>
      <c r="BR4" s="145">
        <f>'CF(M)'!BS4</f>
        <v>48092</v>
      </c>
      <c r="BS4" s="145">
        <f>'CF(M)'!BT4</f>
        <v>48122</v>
      </c>
      <c r="BT4" s="145">
        <f>'CF(M)'!BU4</f>
        <v>48153</v>
      </c>
      <c r="BU4" s="145">
        <f>'CF(M)'!BV4</f>
        <v>48183</v>
      </c>
      <c r="BV4" s="145">
        <f>'CF(M)'!BW4</f>
        <v>48214</v>
      </c>
      <c r="BW4" s="145">
        <f>'CF(M)'!BX4</f>
        <v>48245</v>
      </c>
      <c r="BX4" s="145">
        <f>'CF(M)'!BY4</f>
        <v>48274</v>
      </c>
      <c r="BY4" s="145">
        <f>'CF(M)'!BZ4</f>
        <v>48305</v>
      </c>
      <c r="BZ4" s="145">
        <f>'CF(M)'!CA4</f>
        <v>48335</v>
      </c>
      <c r="CA4" s="145">
        <f>'CF(M)'!CB4</f>
        <v>48366</v>
      </c>
      <c r="CB4" s="145">
        <f>'CF(M)'!CC4</f>
        <v>48396</v>
      </c>
      <c r="CC4" s="145">
        <f>'CF(M)'!CD4</f>
        <v>48427</v>
      </c>
      <c r="CD4" s="145">
        <f>'CF(M)'!CE4</f>
        <v>48458</v>
      </c>
      <c r="CE4" s="145">
        <f>'CF(M)'!CF4</f>
        <v>48488</v>
      </c>
      <c r="CF4" s="145">
        <f>'CF(M)'!CG4</f>
        <v>48519</v>
      </c>
      <c r="CG4" s="145">
        <f>'CF(M)'!CH4</f>
        <v>48549</v>
      </c>
      <c r="CH4" s="145">
        <f>'CF(M)'!CI4</f>
        <v>48580</v>
      </c>
      <c r="CI4" s="145">
        <f>'CF(M)'!CJ4</f>
        <v>48611</v>
      </c>
      <c r="CJ4" s="145">
        <f>'CF(M)'!CK4</f>
        <v>48639</v>
      </c>
      <c r="CK4" s="145">
        <f>'CF(M)'!CL4</f>
        <v>48670</v>
      </c>
      <c r="CL4" s="145">
        <f>'CF(M)'!CM4</f>
        <v>48700</v>
      </c>
      <c r="CM4" s="145">
        <f>'CF(M)'!CN4</f>
        <v>48731</v>
      </c>
      <c r="CN4" s="145">
        <f>'CF(M)'!CO4</f>
        <v>48761</v>
      </c>
      <c r="CO4" s="145">
        <f>'CF(M)'!CP4</f>
        <v>48792</v>
      </c>
      <c r="CP4" s="145">
        <f>'CF(M)'!CQ4</f>
        <v>48823</v>
      </c>
      <c r="CQ4" s="145">
        <f>'CF(M)'!CR4</f>
        <v>48853</v>
      </c>
      <c r="CR4" s="145">
        <f>'CF(M)'!CS4</f>
        <v>48884</v>
      </c>
      <c r="CS4" s="145">
        <f>'CF(M)'!CT4</f>
        <v>48914</v>
      </c>
      <c r="CT4" s="145">
        <f>'CF(M)'!CU4</f>
        <v>48945</v>
      </c>
      <c r="CU4" s="145">
        <f>'CF(M)'!CV4</f>
        <v>48976</v>
      </c>
      <c r="CV4" s="145">
        <f>'CF(M)'!CW4</f>
        <v>49004</v>
      </c>
      <c r="CW4" s="145">
        <f>'CF(M)'!CX4</f>
        <v>49035</v>
      </c>
      <c r="CX4" s="145">
        <f>'CF(M)'!CY4</f>
        <v>49065</v>
      </c>
      <c r="CY4" s="145">
        <f>'CF(M)'!CZ4</f>
        <v>49096</v>
      </c>
      <c r="CZ4" s="145">
        <f>'CF(M)'!DA4</f>
        <v>49126</v>
      </c>
      <c r="DA4" s="145">
        <f>'CF(M)'!DB4</f>
        <v>49157</v>
      </c>
      <c r="DB4" s="145">
        <f>'CF(M)'!DC4</f>
        <v>49188</v>
      </c>
      <c r="DC4" s="145">
        <f>'CF(M)'!DD4</f>
        <v>49218</v>
      </c>
      <c r="DD4" s="145">
        <f>'CF(M)'!DE4</f>
        <v>49249</v>
      </c>
      <c r="DE4" s="145">
        <f>'CF(M)'!DF4</f>
        <v>49279</v>
      </c>
      <c r="DF4" s="145">
        <f>'CF(M)'!DG4</f>
        <v>49310</v>
      </c>
      <c r="DG4" s="145">
        <f>'CF(M)'!DH4</f>
        <v>49341</v>
      </c>
      <c r="DH4" s="145">
        <f>'CF(M)'!DI4</f>
        <v>49369</v>
      </c>
      <c r="DI4" s="145">
        <f>'CF(M)'!DJ4</f>
        <v>49400</v>
      </c>
      <c r="DJ4" s="145">
        <f>'CF(M)'!DK4</f>
        <v>49430</v>
      </c>
      <c r="DK4" s="145">
        <f>'CF(M)'!DL4</f>
        <v>49461</v>
      </c>
      <c r="DL4" s="145">
        <f>'CF(M)'!DM4</f>
        <v>49491</v>
      </c>
      <c r="DM4" s="145">
        <f>'CF(M)'!DN4</f>
        <v>49522</v>
      </c>
      <c r="DN4" s="145">
        <f>'CF(M)'!DO4</f>
        <v>49553</v>
      </c>
      <c r="DO4" s="145">
        <f>'CF(M)'!DP4</f>
        <v>49583</v>
      </c>
      <c r="DP4" s="145">
        <f>'CF(M)'!DQ4</f>
        <v>49614</v>
      </c>
      <c r="DQ4" s="145">
        <f>'CF(M)'!DR4</f>
        <v>49644</v>
      </c>
      <c r="DR4" s="145">
        <f>'CF(M)'!DS4</f>
        <v>49675</v>
      </c>
      <c r="DS4" s="145">
        <f>'CF(M)'!DT4</f>
        <v>49706</v>
      </c>
      <c r="DT4" s="145">
        <f>'CF(M)'!DU4</f>
        <v>49735</v>
      </c>
      <c r="DU4" s="145">
        <f>'CF(M)'!DV4</f>
        <v>49766</v>
      </c>
      <c r="DV4" s="145">
        <f>'CF(M)'!DW4</f>
        <v>49796</v>
      </c>
      <c r="DW4" s="145">
        <f>'CF(M)'!DX4</f>
        <v>49827</v>
      </c>
      <c r="DX4" s="145">
        <f>'CF(M)'!DY4</f>
        <v>49857</v>
      </c>
      <c r="DY4" s="145">
        <f>'CF(M)'!DZ4</f>
        <v>49888</v>
      </c>
      <c r="DZ4" s="145">
        <f>'CF(M)'!EA4</f>
        <v>49919</v>
      </c>
      <c r="EA4" s="145">
        <f>'CF(M)'!EB4</f>
        <v>49949</v>
      </c>
      <c r="EB4" s="145">
        <f>'CF(M)'!EC4</f>
        <v>49980</v>
      </c>
      <c r="EC4" s="145">
        <f>'CF(M)'!ED4</f>
        <v>50010</v>
      </c>
      <c r="ED4" s="145">
        <f>'CF(M)'!EE4</f>
        <v>50041</v>
      </c>
      <c r="EE4" s="145">
        <f>'CF(M)'!EF4</f>
        <v>50072</v>
      </c>
      <c r="EF4" s="145">
        <f>'CF(M)'!EG4</f>
        <v>50100</v>
      </c>
      <c r="EG4" s="145">
        <f>'CF(M)'!EH4</f>
        <v>50131</v>
      </c>
      <c r="EH4" s="145">
        <f>'CF(M)'!EI4</f>
        <v>50161</v>
      </c>
      <c r="EI4" s="145">
        <f>'CF(M)'!EJ4</f>
        <v>50192</v>
      </c>
      <c r="EJ4" s="145">
        <f>'CF(M)'!EK4</f>
        <v>50222</v>
      </c>
      <c r="EK4" s="145">
        <f>'CF(M)'!EL4</f>
        <v>50253</v>
      </c>
      <c r="EL4" s="145">
        <f>'CF(M)'!EM4</f>
        <v>50284</v>
      </c>
      <c r="EM4" s="145">
        <f>'CF(M)'!EN4</f>
        <v>50314</v>
      </c>
      <c r="EN4" s="145">
        <f>'CF(M)'!EO4</f>
        <v>50345</v>
      </c>
      <c r="EO4" s="145">
        <f>'CF(M)'!EP4</f>
        <v>50375</v>
      </c>
      <c r="EP4" s="145">
        <f>'CF(M)'!EQ4</f>
        <v>50406</v>
      </c>
      <c r="EQ4" s="146"/>
      <c r="ER4" s="146"/>
      <c r="ES4" s="146"/>
      <c r="ET4" s="146"/>
    </row>
    <row r="5" spans="1:150">
      <c r="B5" s="187" t="s">
        <v>1</v>
      </c>
      <c r="C5" s="143"/>
      <c r="D5" s="143"/>
      <c r="E5" s="143"/>
      <c r="F5" s="143"/>
      <c r="G5" s="143"/>
      <c r="H5" s="208"/>
      <c r="I5" s="969"/>
      <c r="K5" s="145">
        <f>'CF(M)'!L5</f>
        <v>46326</v>
      </c>
      <c r="L5" s="145">
        <f>'CF(M)'!M5</f>
        <v>46356</v>
      </c>
      <c r="M5" s="145">
        <f>'CF(M)'!N5</f>
        <v>46387</v>
      </c>
      <c r="N5" s="145">
        <f>'CF(M)'!O5</f>
        <v>46418</v>
      </c>
      <c r="O5" s="145">
        <f>'CF(M)'!P5</f>
        <v>46446</v>
      </c>
      <c r="P5" s="145">
        <f>'CF(M)'!Q5</f>
        <v>46477</v>
      </c>
      <c r="Q5" s="145">
        <f>'CF(M)'!R5</f>
        <v>46507</v>
      </c>
      <c r="R5" s="145">
        <f>'CF(M)'!S5</f>
        <v>46538</v>
      </c>
      <c r="S5" s="145">
        <f>'CF(M)'!T5</f>
        <v>46568</v>
      </c>
      <c r="T5" s="145">
        <f>'CF(M)'!U5</f>
        <v>46599</v>
      </c>
      <c r="U5" s="145">
        <f>'CF(M)'!V5</f>
        <v>46630</v>
      </c>
      <c r="V5" s="145">
        <f>'CF(M)'!W5</f>
        <v>46660</v>
      </c>
      <c r="W5" s="145">
        <f>'CF(M)'!X5</f>
        <v>46691</v>
      </c>
      <c r="X5" s="145">
        <f>'CF(M)'!Y5</f>
        <v>46721</v>
      </c>
      <c r="Y5" s="145">
        <f>'CF(M)'!Z5</f>
        <v>46752</v>
      </c>
      <c r="Z5" s="145">
        <f>'CF(M)'!AA5</f>
        <v>46783</v>
      </c>
      <c r="AA5" s="145">
        <f>'CF(M)'!AB5</f>
        <v>46812</v>
      </c>
      <c r="AB5" s="145">
        <f>'CF(M)'!AC5</f>
        <v>46843</v>
      </c>
      <c r="AC5" s="145">
        <f>'CF(M)'!AD5</f>
        <v>46873</v>
      </c>
      <c r="AD5" s="145">
        <f>'CF(M)'!AE5</f>
        <v>46904</v>
      </c>
      <c r="AE5" s="145">
        <f>'CF(M)'!AF5</f>
        <v>46934</v>
      </c>
      <c r="AF5" s="145">
        <f>'CF(M)'!AG5</f>
        <v>46965</v>
      </c>
      <c r="AG5" s="145">
        <f>'CF(M)'!AH5</f>
        <v>46996</v>
      </c>
      <c r="AH5" s="145">
        <f>'CF(M)'!AI5</f>
        <v>47026</v>
      </c>
      <c r="AI5" s="145">
        <f>'CF(M)'!AJ5</f>
        <v>47057</v>
      </c>
      <c r="AJ5" s="145">
        <f>'CF(M)'!AK5</f>
        <v>47087</v>
      </c>
      <c r="AK5" s="145">
        <f>'CF(M)'!AL5</f>
        <v>47118</v>
      </c>
      <c r="AL5" s="145">
        <f>'CF(M)'!AM5</f>
        <v>47149</v>
      </c>
      <c r="AM5" s="145">
        <f>'CF(M)'!AN5</f>
        <v>47177</v>
      </c>
      <c r="AN5" s="145">
        <f>'CF(M)'!AO5</f>
        <v>47208</v>
      </c>
      <c r="AO5" s="145">
        <f>'CF(M)'!AP5</f>
        <v>47238</v>
      </c>
      <c r="AP5" s="145">
        <f>'CF(M)'!AQ5</f>
        <v>47269</v>
      </c>
      <c r="AQ5" s="145">
        <f>'CF(M)'!AR5</f>
        <v>47299</v>
      </c>
      <c r="AR5" s="145">
        <f>'CF(M)'!AS5</f>
        <v>47330</v>
      </c>
      <c r="AS5" s="145">
        <f>'CF(M)'!AT5</f>
        <v>47361</v>
      </c>
      <c r="AT5" s="145">
        <f>'CF(M)'!AU5</f>
        <v>47391</v>
      </c>
      <c r="AU5" s="145">
        <f>'CF(M)'!AV5</f>
        <v>47422</v>
      </c>
      <c r="AV5" s="145">
        <f>'CF(M)'!AW5</f>
        <v>47452</v>
      </c>
      <c r="AW5" s="145">
        <f>'CF(M)'!AX5</f>
        <v>47483</v>
      </c>
      <c r="AX5" s="145">
        <f>'CF(M)'!AY5</f>
        <v>47514</v>
      </c>
      <c r="AY5" s="145">
        <f>'CF(M)'!AZ5</f>
        <v>47542</v>
      </c>
      <c r="AZ5" s="145">
        <f>'CF(M)'!BA5</f>
        <v>47573</v>
      </c>
      <c r="BA5" s="145">
        <f>'CF(M)'!BB5</f>
        <v>47603</v>
      </c>
      <c r="BB5" s="145">
        <f>'CF(M)'!BC5</f>
        <v>47634</v>
      </c>
      <c r="BC5" s="145">
        <f>'CF(M)'!BD5</f>
        <v>47664</v>
      </c>
      <c r="BD5" s="145">
        <f>'CF(M)'!BE5</f>
        <v>47695</v>
      </c>
      <c r="BE5" s="145">
        <f>'CF(M)'!BF5</f>
        <v>47726</v>
      </c>
      <c r="BF5" s="145">
        <f>'CF(M)'!BG5</f>
        <v>47756</v>
      </c>
      <c r="BG5" s="145">
        <f>'CF(M)'!BH5</f>
        <v>47787</v>
      </c>
      <c r="BH5" s="145">
        <f>'CF(M)'!BI5</f>
        <v>47817</v>
      </c>
      <c r="BI5" s="145">
        <f>'CF(M)'!BJ5</f>
        <v>47848</v>
      </c>
      <c r="BJ5" s="145">
        <f>'CF(M)'!BK5</f>
        <v>47879</v>
      </c>
      <c r="BK5" s="145">
        <f>'CF(M)'!BL5</f>
        <v>47907</v>
      </c>
      <c r="BL5" s="145">
        <f>'CF(M)'!BM5</f>
        <v>47938</v>
      </c>
      <c r="BM5" s="145">
        <f>'CF(M)'!BN5</f>
        <v>47968</v>
      </c>
      <c r="BN5" s="145">
        <f>'CF(M)'!BO5</f>
        <v>47999</v>
      </c>
      <c r="BO5" s="145">
        <f>'CF(M)'!BP5</f>
        <v>48029</v>
      </c>
      <c r="BP5" s="145">
        <f>'CF(M)'!BQ5</f>
        <v>48060</v>
      </c>
      <c r="BQ5" s="145">
        <f>'CF(M)'!BR5</f>
        <v>48091</v>
      </c>
      <c r="BR5" s="145">
        <f>'CF(M)'!BS5</f>
        <v>48121</v>
      </c>
      <c r="BS5" s="145">
        <f>'CF(M)'!BT5</f>
        <v>48152</v>
      </c>
      <c r="BT5" s="145">
        <f>'CF(M)'!BU5</f>
        <v>48182</v>
      </c>
      <c r="BU5" s="145">
        <f>'CF(M)'!BV5</f>
        <v>48213</v>
      </c>
      <c r="BV5" s="145">
        <f>'CF(M)'!BW5</f>
        <v>48244</v>
      </c>
      <c r="BW5" s="145">
        <f>'CF(M)'!BX5</f>
        <v>48273</v>
      </c>
      <c r="BX5" s="145">
        <f>'CF(M)'!BY5</f>
        <v>48304</v>
      </c>
      <c r="BY5" s="145">
        <f>'CF(M)'!BZ5</f>
        <v>48334</v>
      </c>
      <c r="BZ5" s="145">
        <f>'CF(M)'!CA5</f>
        <v>48365</v>
      </c>
      <c r="CA5" s="145">
        <f>'CF(M)'!CB5</f>
        <v>48395</v>
      </c>
      <c r="CB5" s="145">
        <f>'CF(M)'!CC5</f>
        <v>48426</v>
      </c>
      <c r="CC5" s="145">
        <f>'CF(M)'!CD5</f>
        <v>48457</v>
      </c>
      <c r="CD5" s="145">
        <f>'CF(M)'!CE5</f>
        <v>48487</v>
      </c>
      <c r="CE5" s="145">
        <f>'CF(M)'!CF5</f>
        <v>48518</v>
      </c>
      <c r="CF5" s="145">
        <f>'CF(M)'!CG5</f>
        <v>48548</v>
      </c>
      <c r="CG5" s="145">
        <f>'CF(M)'!CH5</f>
        <v>48579</v>
      </c>
      <c r="CH5" s="145">
        <f>'CF(M)'!CI5</f>
        <v>48610</v>
      </c>
      <c r="CI5" s="145">
        <f>'CF(M)'!CJ5</f>
        <v>48638</v>
      </c>
      <c r="CJ5" s="145">
        <f>'CF(M)'!CK5</f>
        <v>48669</v>
      </c>
      <c r="CK5" s="145">
        <f>'CF(M)'!CL5</f>
        <v>48699</v>
      </c>
      <c r="CL5" s="145">
        <f>'CF(M)'!CM5</f>
        <v>48730</v>
      </c>
      <c r="CM5" s="145">
        <f>'CF(M)'!CN5</f>
        <v>48760</v>
      </c>
      <c r="CN5" s="145">
        <f>'CF(M)'!CO5</f>
        <v>48791</v>
      </c>
      <c r="CO5" s="145">
        <f>'CF(M)'!CP5</f>
        <v>48822</v>
      </c>
      <c r="CP5" s="145">
        <f>'CF(M)'!CQ5</f>
        <v>48852</v>
      </c>
      <c r="CQ5" s="145">
        <f>'CF(M)'!CR5</f>
        <v>48883</v>
      </c>
      <c r="CR5" s="145">
        <f>'CF(M)'!CS5</f>
        <v>48913</v>
      </c>
      <c r="CS5" s="145">
        <f>'CF(M)'!CT5</f>
        <v>48944</v>
      </c>
      <c r="CT5" s="145">
        <f>'CF(M)'!CU5</f>
        <v>48975</v>
      </c>
      <c r="CU5" s="145">
        <f>'CF(M)'!CV5</f>
        <v>49003</v>
      </c>
      <c r="CV5" s="145">
        <f>'CF(M)'!CW5</f>
        <v>49034</v>
      </c>
      <c r="CW5" s="145">
        <f>'CF(M)'!CX5</f>
        <v>49064</v>
      </c>
      <c r="CX5" s="145">
        <f>'CF(M)'!CY5</f>
        <v>49095</v>
      </c>
      <c r="CY5" s="145">
        <f>'CF(M)'!CZ5</f>
        <v>49125</v>
      </c>
      <c r="CZ5" s="145">
        <f>'CF(M)'!DA5</f>
        <v>49156</v>
      </c>
      <c r="DA5" s="145">
        <f>'CF(M)'!DB5</f>
        <v>49187</v>
      </c>
      <c r="DB5" s="145">
        <f>'CF(M)'!DC5</f>
        <v>49217</v>
      </c>
      <c r="DC5" s="145">
        <f>'CF(M)'!DD5</f>
        <v>49248</v>
      </c>
      <c r="DD5" s="145">
        <f>'CF(M)'!DE5</f>
        <v>49278</v>
      </c>
      <c r="DE5" s="145">
        <f>'CF(M)'!DF5</f>
        <v>49309</v>
      </c>
      <c r="DF5" s="145">
        <f>'CF(M)'!DG5</f>
        <v>49340</v>
      </c>
      <c r="DG5" s="145">
        <f>'CF(M)'!DH5</f>
        <v>49368</v>
      </c>
      <c r="DH5" s="145">
        <f>'CF(M)'!DI5</f>
        <v>49399</v>
      </c>
      <c r="DI5" s="145">
        <f>'CF(M)'!DJ5</f>
        <v>49429</v>
      </c>
      <c r="DJ5" s="145">
        <f>'CF(M)'!DK5</f>
        <v>49460</v>
      </c>
      <c r="DK5" s="145">
        <f>'CF(M)'!DL5</f>
        <v>49490</v>
      </c>
      <c r="DL5" s="145">
        <f>'CF(M)'!DM5</f>
        <v>49521</v>
      </c>
      <c r="DM5" s="145">
        <f>'CF(M)'!DN5</f>
        <v>49552</v>
      </c>
      <c r="DN5" s="145">
        <f>'CF(M)'!DO5</f>
        <v>49582</v>
      </c>
      <c r="DO5" s="145">
        <f>'CF(M)'!DP5</f>
        <v>49613</v>
      </c>
      <c r="DP5" s="145">
        <f>'CF(M)'!DQ5</f>
        <v>49643</v>
      </c>
      <c r="DQ5" s="145">
        <f>'CF(M)'!DR5</f>
        <v>49674</v>
      </c>
      <c r="DR5" s="145">
        <f>'CF(M)'!DS5</f>
        <v>49705</v>
      </c>
      <c r="DS5" s="145">
        <f>'CF(M)'!DT5</f>
        <v>49734</v>
      </c>
      <c r="DT5" s="145">
        <f>'CF(M)'!DU5</f>
        <v>49765</v>
      </c>
      <c r="DU5" s="145">
        <f>'CF(M)'!DV5</f>
        <v>49795</v>
      </c>
      <c r="DV5" s="145">
        <f>'CF(M)'!DW5</f>
        <v>49826</v>
      </c>
      <c r="DW5" s="145">
        <f>'CF(M)'!DX5</f>
        <v>49856</v>
      </c>
      <c r="DX5" s="145">
        <f>'CF(M)'!DY5</f>
        <v>49887</v>
      </c>
      <c r="DY5" s="145">
        <f>'CF(M)'!DZ5</f>
        <v>49918</v>
      </c>
      <c r="DZ5" s="145">
        <f>'CF(M)'!EA5</f>
        <v>49948</v>
      </c>
      <c r="EA5" s="145">
        <f>'CF(M)'!EB5</f>
        <v>49979</v>
      </c>
      <c r="EB5" s="145">
        <f>'CF(M)'!EC5</f>
        <v>50009</v>
      </c>
      <c r="EC5" s="145">
        <f>'CF(M)'!ED5</f>
        <v>50040</v>
      </c>
      <c r="ED5" s="145">
        <f>'CF(M)'!EE5</f>
        <v>50071</v>
      </c>
      <c r="EE5" s="145">
        <f>'CF(M)'!EF5</f>
        <v>50099</v>
      </c>
      <c r="EF5" s="145">
        <f>'CF(M)'!EG5</f>
        <v>50130</v>
      </c>
      <c r="EG5" s="145">
        <f>'CF(M)'!EH5</f>
        <v>50160</v>
      </c>
      <c r="EH5" s="145">
        <f>'CF(M)'!EI5</f>
        <v>50191</v>
      </c>
      <c r="EI5" s="145">
        <f>'CF(M)'!EJ5</f>
        <v>50221</v>
      </c>
      <c r="EJ5" s="145">
        <f>'CF(M)'!EK5</f>
        <v>50252</v>
      </c>
      <c r="EK5" s="145">
        <f>'CF(M)'!EL5</f>
        <v>50283</v>
      </c>
      <c r="EL5" s="145">
        <f>'CF(M)'!EM5</f>
        <v>50313</v>
      </c>
      <c r="EM5" s="145">
        <f>'CF(M)'!EN5</f>
        <v>50344</v>
      </c>
      <c r="EN5" s="145">
        <f>'CF(M)'!EO5</f>
        <v>50374</v>
      </c>
      <c r="EO5" s="145">
        <f>'CF(M)'!EP5</f>
        <v>50405</v>
      </c>
      <c r="EP5" s="145">
        <f>'CF(M)'!EQ5</f>
        <v>50436</v>
      </c>
      <c r="EQ5" s="146"/>
      <c r="ER5" s="146"/>
      <c r="ES5" s="146"/>
      <c r="ET5" s="146"/>
    </row>
    <row r="6" spans="1:150">
      <c r="B6" s="189" t="s">
        <v>2</v>
      </c>
      <c r="C6" s="148"/>
      <c r="D6" s="148"/>
      <c r="E6" s="148"/>
      <c r="F6" s="148"/>
      <c r="G6" s="148"/>
      <c r="H6" s="209"/>
      <c r="I6" s="970"/>
      <c r="K6" s="149">
        <f>'CF(M)'!L6</f>
        <v>2026</v>
      </c>
      <c r="L6" s="149">
        <f>'CF(M)'!M6</f>
        <v>2026</v>
      </c>
      <c r="M6" s="149">
        <f>'CF(M)'!N6</f>
        <v>2026</v>
      </c>
      <c r="N6" s="149">
        <f>'CF(M)'!O6</f>
        <v>2027</v>
      </c>
      <c r="O6" s="149">
        <f>'CF(M)'!P6</f>
        <v>2027</v>
      </c>
      <c r="P6" s="149">
        <f>'CF(M)'!Q6</f>
        <v>2027</v>
      </c>
      <c r="Q6" s="149">
        <f>'CF(M)'!R6</f>
        <v>2027</v>
      </c>
      <c r="R6" s="149">
        <f>'CF(M)'!S6</f>
        <v>2027</v>
      </c>
      <c r="S6" s="149">
        <f>'CF(M)'!T6</f>
        <v>2027</v>
      </c>
      <c r="T6" s="149">
        <f>'CF(M)'!U6</f>
        <v>2027</v>
      </c>
      <c r="U6" s="149">
        <f>'CF(M)'!V6</f>
        <v>2027</v>
      </c>
      <c r="V6" s="149">
        <f>'CF(M)'!W6</f>
        <v>2027</v>
      </c>
      <c r="W6" s="149">
        <f>'CF(M)'!X6</f>
        <v>2027</v>
      </c>
      <c r="X6" s="149">
        <f>'CF(M)'!Y6</f>
        <v>2027</v>
      </c>
      <c r="Y6" s="149">
        <f>'CF(M)'!Z6</f>
        <v>2027</v>
      </c>
      <c r="Z6" s="149">
        <f>'CF(M)'!AA6</f>
        <v>2028</v>
      </c>
      <c r="AA6" s="149">
        <f>'CF(M)'!AB6</f>
        <v>2028</v>
      </c>
      <c r="AB6" s="149">
        <f>'CF(M)'!AC6</f>
        <v>2028</v>
      </c>
      <c r="AC6" s="149">
        <f>'CF(M)'!AD6</f>
        <v>2028</v>
      </c>
      <c r="AD6" s="149">
        <f>'CF(M)'!AE6</f>
        <v>2028</v>
      </c>
      <c r="AE6" s="149">
        <f>'CF(M)'!AF6</f>
        <v>2028</v>
      </c>
      <c r="AF6" s="149">
        <f>'CF(M)'!AG6</f>
        <v>2028</v>
      </c>
      <c r="AG6" s="149">
        <f>'CF(M)'!AH6</f>
        <v>2028</v>
      </c>
      <c r="AH6" s="149">
        <f>'CF(M)'!AI6</f>
        <v>2028</v>
      </c>
      <c r="AI6" s="149">
        <f>'CF(M)'!AJ6</f>
        <v>2028</v>
      </c>
      <c r="AJ6" s="149">
        <f>'CF(M)'!AK6</f>
        <v>2028</v>
      </c>
      <c r="AK6" s="149">
        <f>'CF(M)'!AL6</f>
        <v>2028</v>
      </c>
      <c r="AL6" s="149">
        <f>'CF(M)'!AM6</f>
        <v>2029</v>
      </c>
      <c r="AM6" s="149">
        <f>'CF(M)'!AN6</f>
        <v>2029</v>
      </c>
      <c r="AN6" s="149">
        <f>'CF(M)'!AO6</f>
        <v>2029</v>
      </c>
      <c r="AO6" s="149">
        <f>'CF(M)'!AP6</f>
        <v>2029</v>
      </c>
      <c r="AP6" s="149">
        <f>'CF(M)'!AQ6</f>
        <v>2029</v>
      </c>
      <c r="AQ6" s="149">
        <f>'CF(M)'!AR6</f>
        <v>2029</v>
      </c>
      <c r="AR6" s="149">
        <f>'CF(M)'!AS6</f>
        <v>2029</v>
      </c>
      <c r="AS6" s="149">
        <f>'CF(M)'!AT6</f>
        <v>2029</v>
      </c>
      <c r="AT6" s="149">
        <f>'CF(M)'!AU6</f>
        <v>2029</v>
      </c>
      <c r="AU6" s="149">
        <f>'CF(M)'!AV6</f>
        <v>2029</v>
      </c>
      <c r="AV6" s="149">
        <f>'CF(M)'!AW6</f>
        <v>2029</v>
      </c>
      <c r="AW6" s="149">
        <f>'CF(M)'!AX6</f>
        <v>2029</v>
      </c>
      <c r="AX6" s="149">
        <f>'CF(M)'!AY6</f>
        <v>2030</v>
      </c>
      <c r="AY6" s="149">
        <f>'CF(M)'!AZ6</f>
        <v>2030</v>
      </c>
      <c r="AZ6" s="149">
        <f>'CF(M)'!BA6</f>
        <v>2030</v>
      </c>
      <c r="BA6" s="149">
        <f>'CF(M)'!BB6</f>
        <v>2030</v>
      </c>
      <c r="BB6" s="149">
        <f>'CF(M)'!BC6</f>
        <v>2030</v>
      </c>
      <c r="BC6" s="149">
        <f>'CF(M)'!BD6</f>
        <v>2030</v>
      </c>
      <c r="BD6" s="149">
        <f>'CF(M)'!BE6</f>
        <v>2030</v>
      </c>
      <c r="BE6" s="149">
        <f>'CF(M)'!BF6</f>
        <v>2030</v>
      </c>
      <c r="BF6" s="149">
        <f>'CF(M)'!BG6</f>
        <v>2030</v>
      </c>
      <c r="BG6" s="149">
        <f>'CF(M)'!BH6</f>
        <v>2030</v>
      </c>
      <c r="BH6" s="149">
        <f>'CF(M)'!BI6</f>
        <v>2030</v>
      </c>
      <c r="BI6" s="149">
        <f>'CF(M)'!BJ6</f>
        <v>2030</v>
      </c>
      <c r="BJ6" s="149">
        <f>'CF(M)'!BK6</f>
        <v>2031</v>
      </c>
      <c r="BK6" s="149">
        <f>'CF(M)'!BL6</f>
        <v>2031</v>
      </c>
      <c r="BL6" s="149">
        <f>'CF(M)'!BM6</f>
        <v>2031</v>
      </c>
      <c r="BM6" s="149">
        <f>'CF(M)'!BN6</f>
        <v>2031</v>
      </c>
      <c r="BN6" s="149">
        <f>'CF(M)'!BO6</f>
        <v>2031</v>
      </c>
      <c r="BO6" s="149">
        <f>'CF(M)'!BP6</f>
        <v>2031</v>
      </c>
      <c r="BP6" s="149">
        <f>'CF(M)'!BQ6</f>
        <v>2031</v>
      </c>
      <c r="BQ6" s="149">
        <f>'CF(M)'!BR6</f>
        <v>2031</v>
      </c>
      <c r="BR6" s="149">
        <f>'CF(M)'!BS6</f>
        <v>2031</v>
      </c>
      <c r="BS6" s="149">
        <f>'CF(M)'!BT6</f>
        <v>2031</v>
      </c>
      <c r="BT6" s="149">
        <f>'CF(M)'!BU6</f>
        <v>2031</v>
      </c>
      <c r="BU6" s="149">
        <f>'CF(M)'!BV6</f>
        <v>2031</v>
      </c>
      <c r="BV6" s="149">
        <f>'CF(M)'!BW6</f>
        <v>2032</v>
      </c>
      <c r="BW6" s="149">
        <f>'CF(M)'!BX6</f>
        <v>2032</v>
      </c>
      <c r="BX6" s="149">
        <f>'CF(M)'!BY6</f>
        <v>2032</v>
      </c>
      <c r="BY6" s="149">
        <f>'CF(M)'!BZ6</f>
        <v>2032</v>
      </c>
      <c r="BZ6" s="149">
        <f>'CF(M)'!CA6</f>
        <v>2032</v>
      </c>
      <c r="CA6" s="149">
        <f>'CF(M)'!CB6</f>
        <v>2032</v>
      </c>
      <c r="CB6" s="149">
        <f>'CF(M)'!CC6</f>
        <v>2032</v>
      </c>
      <c r="CC6" s="149">
        <f>'CF(M)'!CD6</f>
        <v>2032</v>
      </c>
      <c r="CD6" s="149">
        <f>'CF(M)'!CE6</f>
        <v>2032</v>
      </c>
      <c r="CE6" s="149">
        <f>'CF(M)'!CF6</f>
        <v>2032</v>
      </c>
      <c r="CF6" s="149">
        <f>'CF(M)'!CG6</f>
        <v>2032</v>
      </c>
      <c r="CG6" s="149">
        <f>'CF(M)'!CH6</f>
        <v>2032</v>
      </c>
      <c r="CH6" s="149">
        <f>'CF(M)'!CI6</f>
        <v>2033</v>
      </c>
      <c r="CI6" s="149">
        <f>'CF(M)'!CJ6</f>
        <v>2033</v>
      </c>
      <c r="CJ6" s="149">
        <f>'CF(M)'!CK6</f>
        <v>2033</v>
      </c>
      <c r="CK6" s="149">
        <f>'CF(M)'!CL6</f>
        <v>2033</v>
      </c>
      <c r="CL6" s="149">
        <f>'CF(M)'!CM6</f>
        <v>2033</v>
      </c>
      <c r="CM6" s="149">
        <f>'CF(M)'!CN6</f>
        <v>2033</v>
      </c>
      <c r="CN6" s="149">
        <f>'CF(M)'!CO6</f>
        <v>2033</v>
      </c>
      <c r="CO6" s="149">
        <f>'CF(M)'!CP6</f>
        <v>2033</v>
      </c>
      <c r="CP6" s="149">
        <f>'CF(M)'!CQ6</f>
        <v>2033</v>
      </c>
      <c r="CQ6" s="149">
        <f>'CF(M)'!CR6</f>
        <v>2033</v>
      </c>
      <c r="CR6" s="149">
        <f>'CF(M)'!CS6</f>
        <v>2033</v>
      </c>
      <c r="CS6" s="149">
        <f>'CF(M)'!CT6</f>
        <v>2033</v>
      </c>
      <c r="CT6" s="149">
        <f>'CF(M)'!CU6</f>
        <v>2034</v>
      </c>
      <c r="CU6" s="149">
        <f>'CF(M)'!CV6</f>
        <v>2034</v>
      </c>
      <c r="CV6" s="149">
        <f>'CF(M)'!CW6</f>
        <v>2034</v>
      </c>
      <c r="CW6" s="149">
        <f>'CF(M)'!CX6</f>
        <v>2034</v>
      </c>
      <c r="CX6" s="149">
        <f>'CF(M)'!CY6</f>
        <v>2034</v>
      </c>
      <c r="CY6" s="149">
        <f>'CF(M)'!CZ6</f>
        <v>2034</v>
      </c>
      <c r="CZ6" s="149">
        <f>'CF(M)'!DA6</f>
        <v>2034</v>
      </c>
      <c r="DA6" s="149">
        <f>'CF(M)'!DB6</f>
        <v>2034</v>
      </c>
      <c r="DB6" s="149">
        <f>'CF(M)'!DC6</f>
        <v>2034</v>
      </c>
      <c r="DC6" s="149">
        <f>'CF(M)'!DD6</f>
        <v>2034</v>
      </c>
      <c r="DD6" s="149">
        <f>'CF(M)'!DE6</f>
        <v>2034</v>
      </c>
      <c r="DE6" s="149">
        <f>'CF(M)'!DF6</f>
        <v>2034</v>
      </c>
      <c r="DF6" s="149">
        <f>'CF(M)'!DG6</f>
        <v>2035</v>
      </c>
      <c r="DG6" s="149">
        <f>'CF(M)'!DH6</f>
        <v>2035</v>
      </c>
      <c r="DH6" s="149">
        <f>'CF(M)'!DI6</f>
        <v>2035</v>
      </c>
      <c r="DI6" s="149">
        <f>'CF(M)'!DJ6</f>
        <v>2035</v>
      </c>
      <c r="DJ6" s="149">
        <f>'CF(M)'!DK6</f>
        <v>2035</v>
      </c>
      <c r="DK6" s="149">
        <f>'CF(M)'!DL6</f>
        <v>2035</v>
      </c>
      <c r="DL6" s="149">
        <f>'CF(M)'!DM6</f>
        <v>2035</v>
      </c>
      <c r="DM6" s="149">
        <f>'CF(M)'!DN6</f>
        <v>2035</v>
      </c>
      <c r="DN6" s="149">
        <f>'CF(M)'!DO6</f>
        <v>2035</v>
      </c>
      <c r="DO6" s="149">
        <f>'CF(M)'!DP6</f>
        <v>2035</v>
      </c>
      <c r="DP6" s="149">
        <f>'CF(M)'!DQ6</f>
        <v>2035</v>
      </c>
      <c r="DQ6" s="149">
        <f>'CF(M)'!DR6</f>
        <v>2035</v>
      </c>
      <c r="DR6" s="149">
        <f>'CF(M)'!DS6</f>
        <v>2036</v>
      </c>
      <c r="DS6" s="149">
        <f>'CF(M)'!DT6</f>
        <v>2036</v>
      </c>
      <c r="DT6" s="149">
        <f>'CF(M)'!DU6</f>
        <v>2036</v>
      </c>
      <c r="DU6" s="149">
        <f>'CF(M)'!DV6</f>
        <v>2036</v>
      </c>
      <c r="DV6" s="149">
        <f>'CF(M)'!DW6</f>
        <v>2036</v>
      </c>
      <c r="DW6" s="149">
        <f>'CF(M)'!DX6</f>
        <v>2036</v>
      </c>
      <c r="DX6" s="149">
        <f>'CF(M)'!DY6</f>
        <v>2036</v>
      </c>
      <c r="DY6" s="149">
        <f>'CF(M)'!DZ6</f>
        <v>2036</v>
      </c>
      <c r="DZ6" s="149">
        <f>'CF(M)'!EA6</f>
        <v>2036</v>
      </c>
      <c r="EA6" s="149">
        <f>'CF(M)'!EB6</f>
        <v>2036</v>
      </c>
      <c r="EB6" s="149">
        <f>'CF(M)'!EC6</f>
        <v>2036</v>
      </c>
      <c r="EC6" s="149">
        <f>'CF(M)'!ED6</f>
        <v>2036</v>
      </c>
      <c r="ED6" s="149">
        <f>'CF(M)'!EE6</f>
        <v>2037</v>
      </c>
      <c r="EE6" s="149">
        <f>'CF(M)'!EF6</f>
        <v>2037</v>
      </c>
      <c r="EF6" s="149">
        <f>'CF(M)'!EG6</f>
        <v>2037</v>
      </c>
      <c r="EG6" s="149">
        <f>'CF(M)'!EH6</f>
        <v>2037</v>
      </c>
      <c r="EH6" s="149">
        <f>'CF(M)'!EI6</f>
        <v>2037</v>
      </c>
      <c r="EI6" s="149">
        <f>'CF(M)'!EJ6</f>
        <v>2037</v>
      </c>
      <c r="EJ6" s="149">
        <f>'CF(M)'!EK6</f>
        <v>2037</v>
      </c>
      <c r="EK6" s="149">
        <f>'CF(M)'!EL6</f>
        <v>2037</v>
      </c>
      <c r="EL6" s="149">
        <f>'CF(M)'!EM6</f>
        <v>2037</v>
      </c>
      <c r="EM6" s="149">
        <f>'CF(M)'!EN6</f>
        <v>2037</v>
      </c>
      <c r="EN6" s="149">
        <f>'CF(M)'!EO6</f>
        <v>2037</v>
      </c>
      <c r="EO6" s="149">
        <f>'CF(M)'!EP6</f>
        <v>2037</v>
      </c>
      <c r="EP6" s="149">
        <f>'CF(M)'!EQ6</f>
        <v>2038</v>
      </c>
      <c r="EQ6" s="146"/>
      <c r="ER6" s="146"/>
      <c r="ES6" s="146"/>
      <c r="ET6" s="146"/>
    </row>
    <row r="7" spans="1:150">
      <c r="B7" s="189" t="s">
        <v>3</v>
      </c>
      <c r="C7" s="148"/>
      <c r="D7" s="148"/>
      <c r="E7" s="148"/>
      <c r="F7" s="148"/>
      <c r="G7" s="148"/>
      <c r="H7" s="209"/>
      <c r="I7" s="970"/>
      <c r="K7" s="149">
        <f>'CF(M)'!L7</f>
        <v>10</v>
      </c>
      <c r="L7" s="149">
        <f>'CF(M)'!M7</f>
        <v>11</v>
      </c>
      <c r="M7" s="149">
        <f>'CF(M)'!N7</f>
        <v>12</v>
      </c>
      <c r="N7" s="149">
        <f>'CF(M)'!O7</f>
        <v>1</v>
      </c>
      <c r="O7" s="149">
        <f>'CF(M)'!P7</f>
        <v>2</v>
      </c>
      <c r="P7" s="149">
        <f>'CF(M)'!Q7</f>
        <v>3</v>
      </c>
      <c r="Q7" s="149">
        <f>'CF(M)'!R7</f>
        <v>4</v>
      </c>
      <c r="R7" s="149">
        <f>'CF(M)'!S7</f>
        <v>5</v>
      </c>
      <c r="S7" s="149">
        <f>'CF(M)'!T7</f>
        <v>6</v>
      </c>
      <c r="T7" s="149">
        <f>'CF(M)'!U7</f>
        <v>7</v>
      </c>
      <c r="U7" s="149">
        <f>'CF(M)'!V7</f>
        <v>8</v>
      </c>
      <c r="V7" s="149">
        <f>'CF(M)'!W7</f>
        <v>9</v>
      </c>
      <c r="W7" s="149">
        <f>'CF(M)'!X7</f>
        <v>10</v>
      </c>
      <c r="X7" s="149">
        <f>'CF(M)'!Y7</f>
        <v>11</v>
      </c>
      <c r="Y7" s="149">
        <f>'CF(M)'!Z7</f>
        <v>12</v>
      </c>
      <c r="Z7" s="149">
        <f>'CF(M)'!AA7</f>
        <v>1</v>
      </c>
      <c r="AA7" s="149">
        <f>'CF(M)'!AB7</f>
        <v>2</v>
      </c>
      <c r="AB7" s="149">
        <f>'CF(M)'!AC7</f>
        <v>3</v>
      </c>
      <c r="AC7" s="149">
        <f>'CF(M)'!AD7</f>
        <v>4</v>
      </c>
      <c r="AD7" s="149">
        <f>'CF(M)'!AE7</f>
        <v>5</v>
      </c>
      <c r="AE7" s="149">
        <f>'CF(M)'!AF7</f>
        <v>6</v>
      </c>
      <c r="AF7" s="149">
        <f>'CF(M)'!AG7</f>
        <v>7</v>
      </c>
      <c r="AG7" s="149">
        <f>'CF(M)'!AH7</f>
        <v>8</v>
      </c>
      <c r="AH7" s="149">
        <f>'CF(M)'!AI7</f>
        <v>9</v>
      </c>
      <c r="AI7" s="149">
        <f>'CF(M)'!AJ7</f>
        <v>10</v>
      </c>
      <c r="AJ7" s="149">
        <f>'CF(M)'!AK7</f>
        <v>11</v>
      </c>
      <c r="AK7" s="149">
        <f>'CF(M)'!AL7</f>
        <v>12</v>
      </c>
      <c r="AL7" s="149">
        <f>'CF(M)'!AM7</f>
        <v>1</v>
      </c>
      <c r="AM7" s="149">
        <f>'CF(M)'!AN7</f>
        <v>2</v>
      </c>
      <c r="AN7" s="149">
        <f>'CF(M)'!AO7</f>
        <v>3</v>
      </c>
      <c r="AO7" s="149">
        <f>'CF(M)'!AP7</f>
        <v>4</v>
      </c>
      <c r="AP7" s="149">
        <f>'CF(M)'!AQ7</f>
        <v>5</v>
      </c>
      <c r="AQ7" s="149">
        <f>'CF(M)'!AR7</f>
        <v>6</v>
      </c>
      <c r="AR7" s="149">
        <f>'CF(M)'!AS7</f>
        <v>7</v>
      </c>
      <c r="AS7" s="149">
        <f>'CF(M)'!AT7</f>
        <v>8</v>
      </c>
      <c r="AT7" s="149">
        <f>'CF(M)'!AU7</f>
        <v>9</v>
      </c>
      <c r="AU7" s="149">
        <f>'CF(M)'!AV7</f>
        <v>10</v>
      </c>
      <c r="AV7" s="149">
        <f>'CF(M)'!AW7</f>
        <v>11</v>
      </c>
      <c r="AW7" s="149">
        <f>'CF(M)'!AX7</f>
        <v>12</v>
      </c>
      <c r="AX7" s="149">
        <f>'CF(M)'!AY7</f>
        <v>1</v>
      </c>
      <c r="AY7" s="149">
        <f>'CF(M)'!AZ7</f>
        <v>2</v>
      </c>
      <c r="AZ7" s="149">
        <f>'CF(M)'!BA7</f>
        <v>3</v>
      </c>
      <c r="BA7" s="149">
        <f>'CF(M)'!BB7</f>
        <v>4</v>
      </c>
      <c r="BB7" s="149">
        <f>'CF(M)'!BC7</f>
        <v>5</v>
      </c>
      <c r="BC7" s="149">
        <f>'CF(M)'!BD7</f>
        <v>6</v>
      </c>
      <c r="BD7" s="149">
        <f>'CF(M)'!BE7</f>
        <v>7</v>
      </c>
      <c r="BE7" s="149">
        <f>'CF(M)'!BF7</f>
        <v>8</v>
      </c>
      <c r="BF7" s="149">
        <f>'CF(M)'!BG7</f>
        <v>9</v>
      </c>
      <c r="BG7" s="149">
        <f>'CF(M)'!BH7</f>
        <v>10</v>
      </c>
      <c r="BH7" s="149">
        <f>'CF(M)'!BI7</f>
        <v>11</v>
      </c>
      <c r="BI7" s="149">
        <f>'CF(M)'!BJ7</f>
        <v>12</v>
      </c>
      <c r="BJ7" s="149">
        <f>'CF(M)'!BK7</f>
        <v>1</v>
      </c>
      <c r="BK7" s="149">
        <f>'CF(M)'!BL7</f>
        <v>2</v>
      </c>
      <c r="BL7" s="149">
        <f>'CF(M)'!BM7</f>
        <v>3</v>
      </c>
      <c r="BM7" s="149">
        <f>'CF(M)'!BN7</f>
        <v>4</v>
      </c>
      <c r="BN7" s="149">
        <f>'CF(M)'!BO7</f>
        <v>5</v>
      </c>
      <c r="BO7" s="149">
        <f>'CF(M)'!BP7</f>
        <v>6</v>
      </c>
      <c r="BP7" s="149">
        <f>'CF(M)'!BQ7</f>
        <v>7</v>
      </c>
      <c r="BQ7" s="149">
        <f>'CF(M)'!BR7</f>
        <v>8</v>
      </c>
      <c r="BR7" s="149">
        <f>'CF(M)'!BS7</f>
        <v>9</v>
      </c>
      <c r="BS7" s="149">
        <f>'CF(M)'!BT7</f>
        <v>10</v>
      </c>
      <c r="BT7" s="149">
        <f>'CF(M)'!BU7</f>
        <v>11</v>
      </c>
      <c r="BU7" s="149">
        <f>'CF(M)'!BV7</f>
        <v>12</v>
      </c>
      <c r="BV7" s="149">
        <f>'CF(M)'!BW7</f>
        <v>1</v>
      </c>
      <c r="BW7" s="149">
        <f>'CF(M)'!BX7</f>
        <v>2</v>
      </c>
      <c r="BX7" s="149">
        <f>'CF(M)'!BY7</f>
        <v>3</v>
      </c>
      <c r="BY7" s="149">
        <f>'CF(M)'!BZ7</f>
        <v>4</v>
      </c>
      <c r="BZ7" s="149">
        <f>'CF(M)'!CA7</f>
        <v>5</v>
      </c>
      <c r="CA7" s="149">
        <f>'CF(M)'!CB7</f>
        <v>6</v>
      </c>
      <c r="CB7" s="149">
        <f>'CF(M)'!CC7</f>
        <v>7</v>
      </c>
      <c r="CC7" s="149">
        <f>'CF(M)'!CD7</f>
        <v>8</v>
      </c>
      <c r="CD7" s="149">
        <f>'CF(M)'!CE7</f>
        <v>9</v>
      </c>
      <c r="CE7" s="149">
        <f>'CF(M)'!CF7</f>
        <v>10</v>
      </c>
      <c r="CF7" s="149">
        <f>'CF(M)'!CG7</f>
        <v>11</v>
      </c>
      <c r="CG7" s="149">
        <f>'CF(M)'!CH7</f>
        <v>12</v>
      </c>
      <c r="CH7" s="149">
        <f>'CF(M)'!CI7</f>
        <v>1</v>
      </c>
      <c r="CI7" s="149">
        <f>'CF(M)'!CJ7</f>
        <v>2</v>
      </c>
      <c r="CJ7" s="149">
        <f>'CF(M)'!CK7</f>
        <v>3</v>
      </c>
      <c r="CK7" s="149">
        <f>'CF(M)'!CL7</f>
        <v>4</v>
      </c>
      <c r="CL7" s="149">
        <f>'CF(M)'!CM7</f>
        <v>5</v>
      </c>
      <c r="CM7" s="149">
        <f>'CF(M)'!CN7</f>
        <v>6</v>
      </c>
      <c r="CN7" s="149">
        <f>'CF(M)'!CO7</f>
        <v>7</v>
      </c>
      <c r="CO7" s="149">
        <f>'CF(M)'!CP7</f>
        <v>8</v>
      </c>
      <c r="CP7" s="149">
        <f>'CF(M)'!CQ7</f>
        <v>9</v>
      </c>
      <c r="CQ7" s="149">
        <f>'CF(M)'!CR7</f>
        <v>10</v>
      </c>
      <c r="CR7" s="149">
        <f>'CF(M)'!CS7</f>
        <v>11</v>
      </c>
      <c r="CS7" s="149">
        <f>'CF(M)'!CT7</f>
        <v>12</v>
      </c>
      <c r="CT7" s="149">
        <f>'CF(M)'!CU7</f>
        <v>1</v>
      </c>
      <c r="CU7" s="149">
        <f>'CF(M)'!CV7</f>
        <v>2</v>
      </c>
      <c r="CV7" s="149">
        <f>'CF(M)'!CW7</f>
        <v>3</v>
      </c>
      <c r="CW7" s="149">
        <f>'CF(M)'!CX7</f>
        <v>4</v>
      </c>
      <c r="CX7" s="149">
        <f>'CF(M)'!CY7</f>
        <v>5</v>
      </c>
      <c r="CY7" s="149">
        <f>'CF(M)'!CZ7</f>
        <v>6</v>
      </c>
      <c r="CZ7" s="149">
        <f>'CF(M)'!DA7</f>
        <v>7</v>
      </c>
      <c r="DA7" s="149">
        <f>'CF(M)'!DB7</f>
        <v>8</v>
      </c>
      <c r="DB7" s="149">
        <f>'CF(M)'!DC7</f>
        <v>9</v>
      </c>
      <c r="DC7" s="149">
        <f>'CF(M)'!DD7</f>
        <v>10</v>
      </c>
      <c r="DD7" s="149">
        <f>'CF(M)'!DE7</f>
        <v>11</v>
      </c>
      <c r="DE7" s="149">
        <f>'CF(M)'!DF7</f>
        <v>12</v>
      </c>
      <c r="DF7" s="149">
        <f>'CF(M)'!DG7</f>
        <v>1</v>
      </c>
      <c r="DG7" s="149">
        <f>'CF(M)'!DH7</f>
        <v>2</v>
      </c>
      <c r="DH7" s="149">
        <f>'CF(M)'!DI7</f>
        <v>3</v>
      </c>
      <c r="DI7" s="149">
        <f>'CF(M)'!DJ7</f>
        <v>4</v>
      </c>
      <c r="DJ7" s="149">
        <f>'CF(M)'!DK7</f>
        <v>5</v>
      </c>
      <c r="DK7" s="149">
        <f>'CF(M)'!DL7</f>
        <v>6</v>
      </c>
      <c r="DL7" s="149">
        <f>'CF(M)'!DM7</f>
        <v>7</v>
      </c>
      <c r="DM7" s="149">
        <f>'CF(M)'!DN7</f>
        <v>8</v>
      </c>
      <c r="DN7" s="149">
        <f>'CF(M)'!DO7</f>
        <v>9</v>
      </c>
      <c r="DO7" s="149">
        <f>'CF(M)'!DP7</f>
        <v>10</v>
      </c>
      <c r="DP7" s="149">
        <f>'CF(M)'!DQ7</f>
        <v>11</v>
      </c>
      <c r="DQ7" s="149">
        <f>'CF(M)'!DR7</f>
        <v>12</v>
      </c>
      <c r="DR7" s="149">
        <f>'CF(M)'!DS7</f>
        <v>1</v>
      </c>
      <c r="DS7" s="149">
        <f>'CF(M)'!DT7</f>
        <v>2</v>
      </c>
      <c r="DT7" s="149">
        <f>'CF(M)'!DU7</f>
        <v>3</v>
      </c>
      <c r="DU7" s="149">
        <f>'CF(M)'!DV7</f>
        <v>4</v>
      </c>
      <c r="DV7" s="149">
        <f>'CF(M)'!DW7</f>
        <v>5</v>
      </c>
      <c r="DW7" s="149">
        <f>'CF(M)'!DX7</f>
        <v>6</v>
      </c>
      <c r="DX7" s="149">
        <f>'CF(M)'!DY7</f>
        <v>7</v>
      </c>
      <c r="DY7" s="149">
        <f>'CF(M)'!DZ7</f>
        <v>8</v>
      </c>
      <c r="DZ7" s="149">
        <f>'CF(M)'!EA7</f>
        <v>9</v>
      </c>
      <c r="EA7" s="149">
        <f>'CF(M)'!EB7</f>
        <v>10</v>
      </c>
      <c r="EB7" s="149">
        <f>'CF(M)'!EC7</f>
        <v>11</v>
      </c>
      <c r="EC7" s="149">
        <f>'CF(M)'!ED7</f>
        <v>12</v>
      </c>
      <c r="ED7" s="149">
        <f>'CF(M)'!EE7</f>
        <v>1</v>
      </c>
      <c r="EE7" s="149">
        <f>'CF(M)'!EF7</f>
        <v>2</v>
      </c>
      <c r="EF7" s="149">
        <f>'CF(M)'!EG7</f>
        <v>3</v>
      </c>
      <c r="EG7" s="149">
        <f>'CF(M)'!EH7</f>
        <v>4</v>
      </c>
      <c r="EH7" s="149">
        <f>'CF(M)'!EI7</f>
        <v>5</v>
      </c>
      <c r="EI7" s="149">
        <f>'CF(M)'!EJ7</f>
        <v>6</v>
      </c>
      <c r="EJ7" s="149">
        <f>'CF(M)'!EK7</f>
        <v>7</v>
      </c>
      <c r="EK7" s="149">
        <f>'CF(M)'!EL7</f>
        <v>8</v>
      </c>
      <c r="EL7" s="149">
        <f>'CF(M)'!EM7</f>
        <v>9</v>
      </c>
      <c r="EM7" s="149">
        <f>'CF(M)'!EN7</f>
        <v>10</v>
      </c>
      <c r="EN7" s="149">
        <f>'CF(M)'!EO7</f>
        <v>11</v>
      </c>
      <c r="EO7" s="149">
        <f>'CF(M)'!EP7</f>
        <v>12</v>
      </c>
      <c r="EP7" s="149">
        <f>'CF(M)'!EQ7</f>
        <v>1</v>
      </c>
      <c r="EQ7" s="146"/>
      <c r="ER7" s="146"/>
      <c r="ES7" s="146"/>
      <c r="ET7" s="146"/>
    </row>
    <row r="8" spans="1:150">
      <c r="B8" s="189" t="s">
        <v>153</v>
      </c>
      <c r="C8" s="148"/>
      <c r="D8" s="148"/>
      <c r="E8" s="148"/>
      <c r="F8" s="148"/>
      <c r="G8" s="148"/>
      <c r="H8" s="209"/>
      <c r="I8" s="970"/>
      <c r="K8" s="150">
        <f>'CF(M)'!L8</f>
        <v>0</v>
      </c>
      <c r="L8" s="150">
        <f>'CF(M)'!M8</f>
        <v>1</v>
      </c>
      <c r="M8" s="150">
        <f>'CF(M)'!N8</f>
        <v>2</v>
      </c>
      <c r="N8" s="150">
        <f>'CF(M)'!O8</f>
        <v>3</v>
      </c>
      <c r="O8" s="150">
        <f>'CF(M)'!P8</f>
        <v>4</v>
      </c>
      <c r="P8" s="150">
        <f>'CF(M)'!Q8</f>
        <v>5</v>
      </c>
      <c r="Q8" s="150">
        <f>'CF(M)'!R8</f>
        <v>6</v>
      </c>
      <c r="R8" s="150">
        <f>'CF(M)'!S8</f>
        <v>7</v>
      </c>
      <c r="S8" s="150">
        <f>'CF(M)'!T8</f>
        <v>8</v>
      </c>
      <c r="T8" s="150">
        <f>'CF(M)'!U8</f>
        <v>9</v>
      </c>
      <c r="U8" s="150">
        <f>'CF(M)'!V8</f>
        <v>10</v>
      </c>
      <c r="V8" s="150">
        <f>'CF(M)'!W8</f>
        <v>11</v>
      </c>
      <c r="W8" s="150">
        <f>'CF(M)'!X8</f>
        <v>12</v>
      </c>
      <c r="X8" s="150">
        <f>'CF(M)'!Y8</f>
        <v>13</v>
      </c>
      <c r="Y8" s="150">
        <f>'CF(M)'!Z8</f>
        <v>14</v>
      </c>
      <c r="Z8" s="150">
        <f>'CF(M)'!AA8</f>
        <v>15</v>
      </c>
      <c r="AA8" s="150">
        <f>'CF(M)'!AB8</f>
        <v>16</v>
      </c>
      <c r="AB8" s="150">
        <f>'CF(M)'!AC8</f>
        <v>17</v>
      </c>
      <c r="AC8" s="150">
        <f>'CF(M)'!AD8</f>
        <v>18</v>
      </c>
      <c r="AD8" s="150">
        <f>'CF(M)'!AE8</f>
        <v>19</v>
      </c>
      <c r="AE8" s="150">
        <f>'CF(M)'!AF8</f>
        <v>20</v>
      </c>
      <c r="AF8" s="150">
        <f>'CF(M)'!AG8</f>
        <v>21</v>
      </c>
      <c r="AG8" s="150">
        <f>'CF(M)'!AH8</f>
        <v>22</v>
      </c>
      <c r="AH8" s="150">
        <f>'CF(M)'!AI8</f>
        <v>23</v>
      </c>
      <c r="AI8" s="150">
        <f>'CF(M)'!AJ8</f>
        <v>24</v>
      </c>
      <c r="AJ8" s="150">
        <f>'CF(M)'!AK8</f>
        <v>25</v>
      </c>
      <c r="AK8" s="150">
        <f>'CF(M)'!AL8</f>
        <v>26</v>
      </c>
      <c r="AL8" s="150">
        <f>'CF(M)'!AM8</f>
        <v>27</v>
      </c>
      <c r="AM8" s="150">
        <f>'CF(M)'!AN8</f>
        <v>28</v>
      </c>
      <c r="AN8" s="150">
        <f>'CF(M)'!AO8</f>
        <v>29</v>
      </c>
      <c r="AO8" s="150">
        <f>'CF(M)'!AP8</f>
        <v>30</v>
      </c>
      <c r="AP8" s="150">
        <f>'CF(M)'!AQ8</f>
        <v>31</v>
      </c>
      <c r="AQ8" s="150">
        <f>'CF(M)'!AR8</f>
        <v>32</v>
      </c>
      <c r="AR8" s="150">
        <f>'CF(M)'!AS8</f>
        <v>33</v>
      </c>
      <c r="AS8" s="150">
        <f>'CF(M)'!AT8</f>
        <v>34</v>
      </c>
      <c r="AT8" s="150">
        <f>'CF(M)'!AU8</f>
        <v>35</v>
      </c>
      <c r="AU8" s="150">
        <f>'CF(M)'!AV8</f>
        <v>36</v>
      </c>
      <c r="AV8" s="150">
        <f>'CF(M)'!AW8</f>
        <v>37</v>
      </c>
      <c r="AW8" s="150">
        <f>'CF(M)'!AX8</f>
        <v>38</v>
      </c>
      <c r="AX8" s="150">
        <f>'CF(M)'!AY8</f>
        <v>39</v>
      </c>
      <c r="AY8" s="150">
        <f>'CF(M)'!AZ8</f>
        <v>40</v>
      </c>
      <c r="AZ8" s="150">
        <f>'CF(M)'!BA8</f>
        <v>41</v>
      </c>
      <c r="BA8" s="150">
        <f>'CF(M)'!BB8</f>
        <v>42</v>
      </c>
      <c r="BB8" s="150">
        <f>'CF(M)'!BC8</f>
        <v>43</v>
      </c>
      <c r="BC8" s="150">
        <f>'CF(M)'!BD8</f>
        <v>44</v>
      </c>
      <c r="BD8" s="150">
        <f>'CF(M)'!BE8</f>
        <v>45</v>
      </c>
      <c r="BE8" s="150">
        <f>'CF(M)'!BF8</f>
        <v>46</v>
      </c>
      <c r="BF8" s="150">
        <f>'CF(M)'!BG8</f>
        <v>47</v>
      </c>
      <c r="BG8" s="150">
        <f>'CF(M)'!BH8</f>
        <v>48</v>
      </c>
      <c r="BH8" s="150">
        <f>'CF(M)'!BI8</f>
        <v>49</v>
      </c>
      <c r="BI8" s="150">
        <f>'CF(M)'!BJ8</f>
        <v>50</v>
      </c>
      <c r="BJ8" s="150">
        <f>'CF(M)'!BK8</f>
        <v>51</v>
      </c>
      <c r="BK8" s="150">
        <f>'CF(M)'!BL8</f>
        <v>52</v>
      </c>
      <c r="BL8" s="150">
        <f>'CF(M)'!BM8</f>
        <v>53</v>
      </c>
      <c r="BM8" s="150">
        <f>'CF(M)'!BN8</f>
        <v>54</v>
      </c>
      <c r="BN8" s="150">
        <f>'CF(M)'!BO8</f>
        <v>55</v>
      </c>
      <c r="BO8" s="150">
        <f>'CF(M)'!BP8</f>
        <v>56</v>
      </c>
      <c r="BP8" s="150">
        <f>'CF(M)'!BQ8</f>
        <v>57</v>
      </c>
      <c r="BQ8" s="150">
        <f>'CF(M)'!BR8</f>
        <v>58</v>
      </c>
      <c r="BR8" s="150">
        <f>'CF(M)'!BS8</f>
        <v>59</v>
      </c>
      <c r="BS8" s="150">
        <f>'CF(M)'!BT8</f>
        <v>60</v>
      </c>
      <c r="BT8" s="150">
        <f>'CF(M)'!BU8</f>
        <v>61</v>
      </c>
      <c r="BU8" s="150">
        <f>'CF(M)'!BV8</f>
        <v>62</v>
      </c>
      <c r="BV8" s="150">
        <f>'CF(M)'!BW8</f>
        <v>63</v>
      </c>
      <c r="BW8" s="150">
        <f>'CF(M)'!BX8</f>
        <v>64</v>
      </c>
      <c r="BX8" s="150">
        <f>'CF(M)'!BY8</f>
        <v>65</v>
      </c>
      <c r="BY8" s="150">
        <f>'CF(M)'!BZ8</f>
        <v>66</v>
      </c>
      <c r="BZ8" s="150">
        <f>'CF(M)'!CA8</f>
        <v>67</v>
      </c>
      <c r="CA8" s="150">
        <f>'CF(M)'!CB8</f>
        <v>68</v>
      </c>
      <c r="CB8" s="150">
        <f>'CF(M)'!CC8</f>
        <v>69</v>
      </c>
      <c r="CC8" s="150">
        <f>'CF(M)'!CD8</f>
        <v>70</v>
      </c>
      <c r="CD8" s="150">
        <f>'CF(M)'!CE8</f>
        <v>71</v>
      </c>
      <c r="CE8" s="150">
        <f>'CF(M)'!CF8</f>
        <v>72</v>
      </c>
      <c r="CF8" s="150">
        <f>'CF(M)'!CG8</f>
        <v>73</v>
      </c>
      <c r="CG8" s="150">
        <f>'CF(M)'!CH8</f>
        <v>74</v>
      </c>
      <c r="CH8" s="150">
        <f>'CF(M)'!CI8</f>
        <v>75</v>
      </c>
      <c r="CI8" s="150">
        <f>'CF(M)'!CJ8</f>
        <v>76</v>
      </c>
      <c r="CJ8" s="150">
        <f>'CF(M)'!CK8</f>
        <v>77</v>
      </c>
      <c r="CK8" s="150">
        <f>'CF(M)'!CL8</f>
        <v>78</v>
      </c>
      <c r="CL8" s="150">
        <f>'CF(M)'!CM8</f>
        <v>79</v>
      </c>
      <c r="CM8" s="150">
        <f>'CF(M)'!CN8</f>
        <v>80</v>
      </c>
      <c r="CN8" s="150">
        <f>'CF(M)'!CO8</f>
        <v>81</v>
      </c>
      <c r="CO8" s="150">
        <f>'CF(M)'!CP8</f>
        <v>82</v>
      </c>
      <c r="CP8" s="150">
        <f>'CF(M)'!CQ8</f>
        <v>83</v>
      </c>
      <c r="CQ8" s="150">
        <f>'CF(M)'!CR8</f>
        <v>84</v>
      </c>
      <c r="CR8" s="150">
        <f>'CF(M)'!CS8</f>
        <v>85</v>
      </c>
      <c r="CS8" s="150">
        <f>'CF(M)'!CT8</f>
        <v>86</v>
      </c>
      <c r="CT8" s="150">
        <f>'CF(M)'!CU8</f>
        <v>87</v>
      </c>
      <c r="CU8" s="150">
        <f>'CF(M)'!CV8</f>
        <v>88</v>
      </c>
      <c r="CV8" s="150">
        <f>'CF(M)'!CW8</f>
        <v>89</v>
      </c>
      <c r="CW8" s="150">
        <f>'CF(M)'!CX8</f>
        <v>90</v>
      </c>
      <c r="CX8" s="150">
        <f>'CF(M)'!CY8</f>
        <v>91</v>
      </c>
      <c r="CY8" s="150">
        <f>'CF(M)'!CZ8</f>
        <v>92</v>
      </c>
      <c r="CZ8" s="150">
        <f>'CF(M)'!DA8</f>
        <v>93</v>
      </c>
      <c r="DA8" s="150">
        <f>'CF(M)'!DB8</f>
        <v>94</v>
      </c>
      <c r="DB8" s="150">
        <f>'CF(M)'!DC8</f>
        <v>95</v>
      </c>
      <c r="DC8" s="150">
        <f>'CF(M)'!DD8</f>
        <v>96</v>
      </c>
      <c r="DD8" s="150">
        <f>'CF(M)'!DE8</f>
        <v>97</v>
      </c>
      <c r="DE8" s="150">
        <f>'CF(M)'!DF8</f>
        <v>98</v>
      </c>
      <c r="DF8" s="150">
        <f>'CF(M)'!DG8</f>
        <v>99</v>
      </c>
      <c r="DG8" s="150">
        <f>'CF(M)'!DH8</f>
        <v>100</v>
      </c>
      <c r="DH8" s="150">
        <f>'CF(M)'!DI8</f>
        <v>101</v>
      </c>
      <c r="DI8" s="150">
        <f>'CF(M)'!DJ8</f>
        <v>102</v>
      </c>
      <c r="DJ8" s="150">
        <f>'CF(M)'!DK8</f>
        <v>103</v>
      </c>
      <c r="DK8" s="150">
        <f>'CF(M)'!DL8</f>
        <v>104</v>
      </c>
      <c r="DL8" s="150">
        <f>'CF(M)'!DM8</f>
        <v>105</v>
      </c>
      <c r="DM8" s="150">
        <f>'CF(M)'!DN8</f>
        <v>106</v>
      </c>
      <c r="DN8" s="150">
        <f>'CF(M)'!DO8</f>
        <v>107</v>
      </c>
      <c r="DO8" s="150">
        <f>'CF(M)'!DP8</f>
        <v>108</v>
      </c>
      <c r="DP8" s="150">
        <f>'CF(M)'!DQ8</f>
        <v>109</v>
      </c>
      <c r="DQ8" s="150">
        <f>'CF(M)'!DR8</f>
        <v>110</v>
      </c>
      <c r="DR8" s="150">
        <f>'CF(M)'!DS8</f>
        <v>111</v>
      </c>
      <c r="DS8" s="150">
        <f>'CF(M)'!DT8</f>
        <v>112</v>
      </c>
      <c r="DT8" s="150">
        <f>'CF(M)'!DU8</f>
        <v>113</v>
      </c>
      <c r="DU8" s="150">
        <f>'CF(M)'!DV8</f>
        <v>114</v>
      </c>
      <c r="DV8" s="150">
        <f>'CF(M)'!DW8</f>
        <v>115</v>
      </c>
      <c r="DW8" s="150">
        <f>'CF(M)'!DX8</f>
        <v>116</v>
      </c>
      <c r="DX8" s="150">
        <f>'CF(M)'!DY8</f>
        <v>117</v>
      </c>
      <c r="DY8" s="150">
        <f>'CF(M)'!DZ8</f>
        <v>118</v>
      </c>
      <c r="DZ8" s="150">
        <f>'CF(M)'!EA8</f>
        <v>119</v>
      </c>
      <c r="EA8" s="150">
        <f>'CF(M)'!EB8</f>
        <v>120</v>
      </c>
      <c r="EB8" s="150">
        <f>'CF(M)'!EC8</f>
        <v>121</v>
      </c>
      <c r="EC8" s="150">
        <f>'CF(M)'!ED8</f>
        <v>122</v>
      </c>
      <c r="ED8" s="150">
        <f>'CF(M)'!EE8</f>
        <v>123</v>
      </c>
      <c r="EE8" s="150">
        <f>'CF(M)'!EF8</f>
        <v>124</v>
      </c>
      <c r="EF8" s="150">
        <f>'CF(M)'!EG8</f>
        <v>125</v>
      </c>
      <c r="EG8" s="150">
        <f>'CF(M)'!EH8</f>
        <v>126</v>
      </c>
      <c r="EH8" s="150">
        <f>'CF(M)'!EI8</f>
        <v>127</v>
      </c>
      <c r="EI8" s="150">
        <f>'CF(M)'!EJ8</f>
        <v>128</v>
      </c>
      <c r="EJ8" s="150">
        <f>'CF(M)'!EK8</f>
        <v>129</v>
      </c>
      <c r="EK8" s="150">
        <f>'CF(M)'!EL8</f>
        <v>130</v>
      </c>
      <c r="EL8" s="150">
        <f>'CF(M)'!EM8</f>
        <v>131</v>
      </c>
      <c r="EM8" s="150">
        <f>'CF(M)'!EN8</f>
        <v>132</v>
      </c>
      <c r="EN8" s="150">
        <f>'CF(M)'!EO8</f>
        <v>133</v>
      </c>
      <c r="EO8" s="150">
        <f>'CF(M)'!EP8</f>
        <v>134</v>
      </c>
      <c r="EP8" s="150">
        <f>'CF(M)'!EQ8</f>
        <v>135</v>
      </c>
    </row>
    <row r="9" spans="1:150">
      <c r="B9" s="189" t="s">
        <v>154</v>
      </c>
      <c r="C9" s="148"/>
      <c r="D9" s="148"/>
      <c r="E9" s="148"/>
      <c r="F9" s="148"/>
      <c r="G9" s="148"/>
      <c r="H9" s="209"/>
      <c r="I9" s="970"/>
      <c r="K9" s="151">
        <f>'CF(M)'!L9</f>
        <v>0</v>
      </c>
      <c r="L9" s="151">
        <f>'CF(M)'!M9</f>
        <v>1</v>
      </c>
      <c r="M9" s="151">
        <f>'CF(M)'!N9</f>
        <v>1</v>
      </c>
      <c r="N9" s="151">
        <f>'CF(M)'!O9</f>
        <v>1</v>
      </c>
      <c r="O9" s="151">
        <f>'CF(M)'!P9</f>
        <v>2</v>
      </c>
      <c r="P9" s="151">
        <f>'CF(M)'!Q9</f>
        <v>2</v>
      </c>
      <c r="Q9" s="151">
        <f>'CF(M)'!R9</f>
        <v>2</v>
      </c>
      <c r="R9" s="151">
        <f>'CF(M)'!S9</f>
        <v>3</v>
      </c>
      <c r="S9" s="151">
        <f>'CF(M)'!T9</f>
        <v>3</v>
      </c>
      <c r="T9" s="151">
        <f>'CF(M)'!U9</f>
        <v>3</v>
      </c>
      <c r="U9" s="151">
        <f>'CF(M)'!V9</f>
        <v>4</v>
      </c>
      <c r="V9" s="151">
        <f>'CF(M)'!W9</f>
        <v>4</v>
      </c>
      <c r="W9" s="151">
        <f>'CF(M)'!X9</f>
        <v>4</v>
      </c>
      <c r="X9" s="151">
        <f>'CF(M)'!Y9</f>
        <v>5</v>
      </c>
      <c r="Y9" s="151">
        <f>'CF(M)'!Z9</f>
        <v>5</v>
      </c>
      <c r="Z9" s="151">
        <f>'CF(M)'!AA9</f>
        <v>5</v>
      </c>
      <c r="AA9" s="151">
        <f>'CF(M)'!AB9</f>
        <v>6</v>
      </c>
      <c r="AB9" s="151">
        <f>'CF(M)'!AC9</f>
        <v>6</v>
      </c>
      <c r="AC9" s="151">
        <f>'CF(M)'!AD9</f>
        <v>6</v>
      </c>
      <c r="AD9" s="151">
        <f>'CF(M)'!AE9</f>
        <v>7</v>
      </c>
      <c r="AE9" s="151">
        <f>'CF(M)'!AF9</f>
        <v>7</v>
      </c>
      <c r="AF9" s="151">
        <f>'CF(M)'!AG9</f>
        <v>7</v>
      </c>
      <c r="AG9" s="151">
        <f>'CF(M)'!AH9</f>
        <v>8</v>
      </c>
      <c r="AH9" s="151">
        <f>'CF(M)'!AI9</f>
        <v>8</v>
      </c>
      <c r="AI9" s="151">
        <f>'CF(M)'!AJ9</f>
        <v>8</v>
      </c>
      <c r="AJ9" s="151">
        <f>'CF(M)'!AK9</f>
        <v>9</v>
      </c>
      <c r="AK9" s="151">
        <f>'CF(M)'!AL9</f>
        <v>9</v>
      </c>
      <c r="AL9" s="151">
        <f>'CF(M)'!AM9</f>
        <v>9</v>
      </c>
      <c r="AM9" s="151">
        <f>'CF(M)'!AN9</f>
        <v>10</v>
      </c>
      <c r="AN9" s="151">
        <f>'CF(M)'!AO9</f>
        <v>10</v>
      </c>
      <c r="AO9" s="151">
        <f>'CF(M)'!AP9</f>
        <v>10</v>
      </c>
      <c r="AP9" s="151">
        <f>'CF(M)'!AQ9</f>
        <v>11</v>
      </c>
      <c r="AQ9" s="151">
        <f>'CF(M)'!AR9</f>
        <v>11</v>
      </c>
      <c r="AR9" s="151">
        <f>'CF(M)'!AS9</f>
        <v>11</v>
      </c>
      <c r="AS9" s="151">
        <f>'CF(M)'!AT9</f>
        <v>12</v>
      </c>
      <c r="AT9" s="151">
        <f>'CF(M)'!AU9</f>
        <v>12</v>
      </c>
      <c r="AU9" s="151">
        <f>'CF(M)'!AV9</f>
        <v>12</v>
      </c>
      <c r="AV9" s="151">
        <f>'CF(M)'!AW9</f>
        <v>13</v>
      </c>
      <c r="AW9" s="151">
        <f>'CF(M)'!AX9</f>
        <v>13</v>
      </c>
      <c r="AX9" s="151">
        <f>'CF(M)'!AY9</f>
        <v>13</v>
      </c>
      <c r="AY9" s="151">
        <f>'CF(M)'!AZ9</f>
        <v>14</v>
      </c>
      <c r="AZ9" s="151">
        <f>'CF(M)'!BA9</f>
        <v>14</v>
      </c>
      <c r="BA9" s="151">
        <f>'CF(M)'!BB9</f>
        <v>14</v>
      </c>
      <c r="BB9" s="151">
        <f>'CF(M)'!BC9</f>
        <v>15</v>
      </c>
      <c r="BC9" s="151">
        <f>'CF(M)'!BD9</f>
        <v>15</v>
      </c>
      <c r="BD9" s="151">
        <f>'CF(M)'!BE9</f>
        <v>15</v>
      </c>
      <c r="BE9" s="151">
        <f>'CF(M)'!BF9</f>
        <v>16</v>
      </c>
      <c r="BF9" s="151">
        <f>'CF(M)'!BG9</f>
        <v>16</v>
      </c>
      <c r="BG9" s="151">
        <f>'CF(M)'!BH9</f>
        <v>16</v>
      </c>
      <c r="BH9" s="151">
        <f>'CF(M)'!BI9</f>
        <v>17</v>
      </c>
      <c r="BI9" s="151">
        <f>'CF(M)'!BJ9</f>
        <v>17</v>
      </c>
      <c r="BJ9" s="151">
        <f>'CF(M)'!BK9</f>
        <v>17</v>
      </c>
      <c r="BK9" s="151">
        <f>'CF(M)'!BL9</f>
        <v>18</v>
      </c>
      <c r="BL9" s="151">
        <f>'CF(M)'!BM9</f>
        <v>18</v>
      </c>
      <c r="BM9" s="151">
        <f>'CF(M)'!BN9</f>
        <v>18</v>
      </c>
      <c r="BN9" s="151">
        <f>'CF(M)'!BO9</f>
        <v>19</v>
      </c>
      <c r="BO9" s="151">
        <f>'CF(M)'!BP9</f>
        <v>19</v>
      </c>
      <c r="BP9" s="151">
        <f>'CF(M)'!BQ9</f>
        <v>19</v>
      </c>
      <c r="BQ9" s="151">
        <f>'CF(M)'!BR9</f>
        <v>20</v>
      </c>
      <c r="BR9" s="151">
        <f>'CF(M)'!BS9</f>
        <v>20</v>
      </c>
      <c r="BS9" s="151">
        <f>'CF(M)'!BT9</f>
        <v>20</v>
      </c>
      <c r="BT9" s="151">
        <f>'CF(M)'!BU9</f>
        <v>21</v>
      </c>
      <c r="BU9" s="151">
        <f>'CF(M)'!BV9</f>
        <v>21</v>
      </c>
      <c r="BV9" s="151">
        <f>'CF(M)'!BW9</f>
        <v>21</v>
      </c>
      <c r="BW9" s="151">
        <f>'CF(M)'!BX9</f>
        <v>22</v>
      </c>
      <c r="BX9" s="151">
        <f>'CF(M)'!BY9</f>
        <v>22</v>
      </c>
      <c r="BY9" s="151">
        <f>'CF(M)'!BZ9</f>
        <v>22</v>
      </c>
      <c r="BZ9" s="151">
        <f>'CF(M)'!CA9</f>
        <v>23</v>
      </c>
      <c r="CA9" s="151">
        <f>'CF(M)'!CB9</f>
        <v>23</v>
      </c>
      <c r="CB9" s="151">
        <f>'CF(M)'!CC9</f>
        <v>23</v>
      </c>
      <c r="CC9" s="151">
        <f>'CF(M)'!CD9</f>
        <v>24</v>
      </c>
      <c r="CD9" s="151">
        <f>'CF(M)'!CE9</f>
        <v>24</v>
      </c>
      <c r="CE9" s="151">
        <f>'CF(M)'!CF9</f>
        <v>24</v>
      </c>
      <c r="CF9" s="151">
        <f>'CF(M)'!CG9</f>
        <v>25</v>
      </c>
      <c r="CG9" s="151">
        <f>'CF(M)'!CH9</f>
        <v>25</v>
      </c>
      <c r="CH9" s="151">
        <f>'CF(M)'!CI9</f>
        <v>25</v>
      </c>
      <c r="CI9" s="151">
        <f>'CF(M)'!CJ9</f>
        <v>26</v>
      </c>
      <c r="CJ9" s="151">
        <f>'CF(M)'!CK9</f>
        <v>26</v>
      </c>
      <c r="CK9" s="151">
        <f>'CF(M)'!CL9</f>
        <v>26</v>
      </c>
      <c r="CL9" s="151">
        <f>'CF(M)'!CM9</f>
        <v>27</v>
      </c>
      <c r="CM9" s="151">
        <f>'CF(M)'!CN9</f>
        <v>27</v>
      </c>
      <c r="CN9" s="151">
        <f>'CF(M)'!CO9</f>
        <v>27</v>
      </c>
      <c r="CO9" s="151">
        <f>'CF(M)'!CP9</f>
        <v>28</v>
      </c>
      <c r="CP9" s="151">
        <f>'CF(M)'!CQ9</f>
        <v>28</v>
      </c>
      <c r="CQ9" s="151">
        <f>'CF(M)'!CR9</f>
        <v>28</v>
      </c>
      <c r="CR9" s="151">
        <f>'CF(M)'!CS9</f>
        <v>29</v>
      </c>
      <c r="CS9" s="151">
        <f>'CF(M)'!CT9</f>
        <v>29</v>
      </c>
      <c r="CT9" s="151">
        <f>'CF(M)'!CU9</f>
        <v>29</v>
      </c>
      <c r="CU9" s="151">
        <f>'CF(M)'!CV9</f>
        <v>30</v>
      </c>
      <c r="CV9" s="151">
        <f>'CF(M)'!CW9</f>
        <v>30</v>
      </c>
      <c r="CW9" s="151">
        <f>'CF(M)'!CX9</f>
        <v>30</v>
      </c>
      <c r="CX9" s="151">
        <f>'CF(M)'!CY9</f>
        <v>31</v>
      </c>
      <c r="CY9" s="151">
        <f>'CF(M)'!CZ9</f>
        <v>31</v>
      </c>
      <c r="CZ9" s="151">
        <f>'CF(M)'!DA9</f>
        <v>31</v>
      </c>
      <c r="DA9" s="151">
        <f>'CF(M)'!DB9</f>
        <v>32</v>
      </c>
      <c r="DB9" s="151">
        <f>'CF(M)'!DC9</f>
        <v>32</v>
      </c>
      <c r="DC9" s="151">
        <f>'CF(M)'!DD9</f>
        <v>32</v>
      </c>
      <c r="DD9" s="151">
        <f>'CF(M)'!DE9</f>
        <v>33</v>
      </c>
      <c r="DE9" s="151">
        <f>'CF(M)'!DF9</f>
        <v>33</v>
      </c>
      <c r="DF9" s="151">
        <f>'CF(M)'!DG9</f>
        <v>33</v>
      </c>
      <c r="DG9" s="151">
        <f>'CF(M)'!DH9</f>
        <v>34</v>
      </c>
      <c r="DH9" s="151">
        <f>'CF(M)'!DI9</f>
        <v>34</v>
      </c>
      <c r="DI9" s="151">
        <f>'CF(M)'!DJ9</f>
        <v>34</v>
      </c>
      <c r="DJ9" s="151">
        <f>'CF(M)'!DK9</f>
        <v>35</v>
      </c>
      <c r="DK9" s="151">
        <f>'CF(M)'!DL9</f>
        <v>35</v>
      </c>
      <c r="DL9" s="151">
        <f>'CF(M)'!DM9</f>
        <v>35</v>
      </c>
      <c r="DM9" s="151">
        <f>'CF(M)'!DN9</f>
        <v>36</v>
      </c>
      <c r="DN9" s="151">
        <f>'CF(M)'!DO9</f>
        <v>36</v>
      </c>
      <c r="DO9" s="151">
        <f>'CF(M)'!DP9</f>
        <v>36</v>
      </c>
      <c r="DP9" s="151">
        <f>'CF(M)'!DQ9</f>
        <v>37</v>
      </c>
      <c r="DQ9" s="151">
        <f>'CF(M)'!DR9</f>
        <v>37</v>
      </c>
      <c r="DR9" s="151">
        <f>'CF(M)'!DS9</f>
        <v>37</v>
      </c>
      <c r="DS9" s="151">
        <f>'CF(M)'!DT9</f>
        <v>38</v>
      </c>
      <c r="DT9" s="151">
        <f>'CF(M)'!DU9</f>
        <v>38</v>
      </c>
      <c r="DU9" s="151">
        <f>'CF(M)'!DV9</f>
        <v>38</v>
      </c>
      <c r="DV9" s="151">
        <f>'CF(M)'!DW9</f>
        <v>39</v>
      </c>
      <c r="DW9" s="151">
        <f>'CF(M)'!DX9</f>
        <v>39</v>
      </c>
      <c r="DX9" s="151">
        <f>'CF(M)'!DY9</f>
        <v>39</v>
      </c>
      <c r="DY9" s="151">
        <f>'CF(M)'!DZ9</f>
        <v>40</v>
      </c>
      <c r="DZ9" s="151">
        <f>'CF(M)'!EA9</f>
        <v>40</v>
      </c>
      <c r="EA9" s="151">
        <f>'CF(M)'!EB9</f>
        <v>40</v>
      </c>
      <c r="EB9" s="151">
        <f>'CF(M)'!EC9</f>
        <v>41</v>
      </c>
      <c r="EC9" s="151">
        <f>'CF(M)'!ED9</f>
        <v>41</v>
      </c>
      <c r="ED9" s="151">
        <f>'CF(M)'!EE9</f>
        <v>41</v>
      </c>
      <c r="EE9" s="151">
        <f>'CF(M)'!EF9</f>
        <v>42</v>
      </c>
      <c r="EF9" s="151">
        <f>'CF(M)'!EG9</f>
        <v>42</v>
      </c>
      <c r="EG9" s="151">
        <f>'CF(M)'!EH9</f>
        <v>42</v>
      </c>
      <c r="EH9" s="151">
        <f>'CF(M)'!EI9</f>
        <v>43</v>
      </c>
      <c r="EI9" s="151">
        <f>'CF(M)'!EJ9</f>
        <v>43</v>
      </c>
      <c r="EJ9" s="151">
        <f>'CF(M)'!EK9</f>
        <v>43</v>
      </c>
      <c r="EK9" s="151">
        <f>'CF(M)'!EL9</f>
        <v>44</v>
      </c>
      <c r="EL9" s="151">
        <f>'CF(M)'!EM9</f>
        <v>44</v>
      </c>
      <c r="EM9" s="151">
        <f>'CF(M)'!EN9</f>
        <v>44</v>
      </c>
      <c r="EN9" s="151">
        <f>'CF(M)'!EO9</f>
        <v>45</v>
      </c>
      <c r="EO9" s="151">
        <f>'CF(M)'!EP9</f>
        <v>45</v>
      </c>
      <c r="EP9" s="151">
        <f>'CF(M)'!EQ9</f>
        <v>45</v>
      </c>
    </row>
    <row r="10" spans="1:150">
      <c r="B10" s="189" t="s">
        <v>155</v>
      </c>
      <c r="C10" s="148"/>
      <c r="D10" s="148"/>
      <c r="E10" s="148"/>
      <c r="F10" s="148"/>
      <c r="G10" s="148"/>
      <c r="H10" s="209"/>
      <c r="I10" s="970"/>
      <c r="K10" s="152">
        <f>'CF(M)'!L10</f>
        <v>0</v>
      </c>
      <c r="L10" s="152">
        <f>'CF(M)'!M10</f>
        <v>1</v>
      </c>
      <c r="M10" s="152">
        <f>'CF(M)'!N10</f>
        <v>1</v>
      </c>
      <c r="N10" s="152">
        <f>'CF(M)'!O10</f>
        <v>1</v>
      </c>
      <c r="O10" s="152">
        <f>'CF(M)'!P10</f>
        <v>1</v>
      </c>
      <c r="P10" s="152">
        <f>'CF(M)'!Q10</f>
        <v>1</v>
      </c>
      <c r="Q10" s="152">
        <f>'CF(M)'!R10</f>
        <v>1</v>
      </c>
      <c r="R10" s="152">
        <f>'CF(M)'!S10</f>
        <v>2</v>
      </c>
      <c r="S10" s="152">
        <f>'CF(M)'!T10</f>
        <v>2</v>
      </c>
      <c r="T10" s="152">
        <f>'CF(M)'!U10</f>
        <v>2</v>
      </c>
      <c r="U10" s="152">
        <f>'CF(M)'!V10</f>
        <v>2</v>
      </c>
      <c r="V10" s="152">
        <f>'CF(M)'!W10</f>
        <v>2</v>
      </c>
      <c r="W10" s="152">
        <f>'CF(M)'!X10</f>
        <v>2</v>
      </c>
      <c r="X10" s="152">
        <f>'CF(M)'!Y10</f>
        <v>3</v>
      </c>
      <c r="Y10" s="152">
        <f>'CF(M)'!Z10</f>
        <v>3</v>
      </c>
      <c r="Z10" s="152">
        <f>'CF(M)'!AA10</f>
        <v>3</v>
      </c>
      <c r="AA10" s="152">
        <f>'CF(M)'!AB10</f>
        <v>3</v>
      </c>
      <c r="AB10" s="152">
        <f>'CF(M)'!AC10</f>
        <v>3</v>
      </c>
      <c r="AC10" s="152">
        <f>'CF(M)'!AD10</f>
        <v>3</v>
      </c>
      <c r="AD10" s="152">
        <f>'CF(M)'!AE10</f>
        <v>4</v>
      </c>
      <c r="AE10" s="152">
        <f>'CF(M)'!AF10</f>
        <v>4</v>
      </c>
      <c r="AF10" s="152">
        <f>'CF(M)'!AG10</f>
        <v>4</v>
      </c>
      <c r="AG10" s="152">
        <f>'CF(M)'!AH10</f>
        <v>4</v>
      </c>
      <c r="AH10" s="152">
        <f>'CF(M)'!AI10</f>
        <v>4</v>
      </c>
      <c r="AI10" s="152">
        <f>'CF(M)'!AJ10</f>
        <v>4</v>
      </c>
      <c r="AJ10" s="152">
        <f>'CF(M)'!AK10</f>
        <v>5</v>
      </c>
      <c r="AK10" s="152">
        <f>'CF(M)'!AL10</f>
        <v>5</v>
      </c>
      <c r="AL10" s="152">
        <f>'CF(M)'!AM10</f>
        <v>5</v>
      </c>
      <c r="AM10" s="152">
        <f>'CF(M)'!AN10</f>
        <v>5</v>
      </c>
      <c r="AN10" s="152">
        <f>'CF(M)'!AO10</f>
        <v>5</v>
      </c>
      <c r="AO10" s="152">
        <f>'CF(M)'!AP10</f>
        <v>5</v>
      </c>
      <c r="AP10" s="152">
        <f>'CF(M)'!AQ10</f>
        <v>6</v>
      </c>
      <c r="AQ10" s="152">
        <f>'CF(M)'!AR10</f>
        <v>6</v>
      </c>
      <c r="AR10" s="152">
        <f>'CF(M)'!AS10</f>
        <v>6</v>
      </c>
      <c r="AS10" s="152">
        <f>'CF(M)'!AT10</f>
        <v>6</v>
      </c>
      <c r="AT10" s="152">
        <f>'CF(M)'!AU10</f>
        <v>6</v>
      </c>
      <c r="AU10" s="152">
        <f>'CF(M)'!AV10</f>
        <v>6</v>
      </c>
      <c r="AV10" s="152">
        <f>'CF(M)'!AW10</f>
        <v>7</v>
      </c>
      <c r="AW10" s="152">
        <f>'CF(M)'!AX10</f>
        <v>7</v>
      </c>
      <c r="AX10" s="152">
        <f>'CF(M)'!AY10</f>
        <v>7</v>
      </c>
      <c r="AY10" s="152">
        <f>'CF(M)'!AZ10</f>
        <v>7</v>
      </c>
      <c r="AZ10" s="152">
        <f>'CF(M)'!BA10</f>
        <v>7</v>
      </c>
      <c r="BA10" s="152">
        <f>'CF(M)'!BB10</f>
        <v>7</v>
      </c>
      <c r="BB10" s="152">
        <f>'CF(M)'!BC10</f>
        <v>8</v>
      </c>
      <c r="BC10" s="152">
        <f>'CF(M)'!BD10</f>
        <v>8</v>
      </c>
      <c r="BD10" s="152">
        <f>'CF(M)'!BE10</f>
        <v>8</v>
      </c>
      <c r="BE10" s="152">
        <f>'CF(M)'!BF10</f>
        <v>8</v>
      </c>
      <c r="BF10" s="152">
        <f>'CF(M)'!BG10</f>
        <v>8</v>
      </c>
      <c r="BG10" s="152">
        <f>'CF(M)'!BH10</f>
        <v>8</v>
      </c>
      <c r="BH10" s="152">
        <f>'CF(M)'!BI10</f>
        <v>9</v>
      </c>
      <c r="BI10" s="152">
        <f>'CF(M)'!BJ10</f>
        <v>9</v>
      </c>
      <c r="BJ10" s="152">
        <f>'CF(M)'!BK10</f>
        <v>9</v>
      </c>
      <c r="BK10" s="152">
        <f>'CF(M)'!BL10</f>
        <v>9</v>
      </c>
      <c r="BL10" s="152">
        <f>'CF(M)'!BM10</f>
        <v>9</v>
      </c>
      <c r="BM10" s="152">
        <f>'CF(M)'!BN10</f>
        <v>9</v>
      </c>
      <c r="BN10" s="152">
        <f>'CF(M)'!BO10</f>
        <v>10</v>
      </c>
      <c r="BO10" s="152">
        <f>'CF(M)'!BP10</f>
        <v>10</v>
      </c>
      <c r="BP10" s="152">
        <f>'CF(M)'!BQ10</f>
        <v>10</v>
      </c>
      <c r="BQ10" s="152">
        <f>'CF(M)'!BR10</f>
        <v>10</v>
      </c>
      <c r="BR10" s="152">
        <f>'CF(M)'!BS10</f>
        <v>10</v>
      </c>
      <c r="BS10" s="152">
        <f>'CF(M)'!BT10</f>
        <v>10</v>
      </c>
      <c r="BT10" s="152">
        <f>'CF(M)'!BU10</f>
        <v>11</v>
      </c>
      <c r="BU10" s="152">
        <f>'CF(M)'!BV10</f>
        <v>11</v>
      </c>
      <c r="BV10" s="152">
        <f>'CF(M)'!BW10</f>
        <v>11</v>
      </c>
      <c r="BW10" s="152">
        <f>'CF(M)'!BX10</f>
        <v>11</v>
      </c>
      <c r="BX10" s="152">
        <f>'CF(M)'!BY10</f>
        <v>11</v>
      </c>
      <c r="BY10" s="152">
        <f>'CF(M)'!BZ10</f>
        <v>11</v>
      </c>
      <c r="BZ10" s="152">
        <f>'CF(M)'!CA10</f>
        <v>12</v>
      </c>
      <c r="CA10" s="152">
        <f>'CF(M)'!CB10</f>
        <v>12</v>
      </c>
      <c r="CB10" s="152">
        <f>'CF(M)'!CC10</f>
        <v>12</v>
      </c>
      <c r="CC10" s="152">
        <f>'CF(M)'!CD10</f>
        <v>12</v>
      </c>
      <c r="CD10" s="152">
        <f>'CF(M)'!CE10</f>
        <v>12</v>
      </c>
      <c r="CE10" s="152">
        <f>'CF(M)'!CF10</f>
        <v>12</v>
      </c>
      <c r="CF10" s="152">
        <f>'CF(M)'!CG10</f>
        <v>13</v>
      </c>
      <c r="CG10" s="152">
        <f>'CF(M)'!CH10</f>
        <v>13</v>
      </c>
      <c r="CH10" s="152">
        <f>'CF(M)'!CI10</f>
        <v>13</v>
      </c>
      <c r="CI10" s="152">
        <f>'CF(M)'!CJ10</f>
        <v>13</v>
      </c>
      <c r="CJ10" s="152">
        <f>'CF(M)'!CK10</f>
        <v>13</v>
      </c>
      <c r="CK10" s="152">
        <f>'CF(M)'!CL10</f>
        <v>13</v>
      </c>
      <c r="CL10" s="152">
        <f>'CF(M)'!CM10</f>
        <v>14</v>
      </c>
      <c r="CM10" s="152">
        <f>'CF(M)'!CN10</f>
        <v>14</v>
      </c>
      <c r="CN10" s="152">
        <f>'CF(M)'!CO10</f>
        <v>14</v>
      </c>
      <c r="CO10" s="152">
        <f>'CF(M)'!CP10</f>
        <v>14</v>
      </c>
      <c r="CP10" s="152">
        <f>'CF(M)'!CQ10</f>
        <v>14</v>
      </c>
      <c r="CQ10" s="152">
        <f>'CF(M)'!CR10</f>
        <v>14</v>
      </c>
      <c r="CR10" s="152">
        <f>'CF(M)'!CS10</f>
        <v>15</v>
      </c>
      <c r="CS10" s="152">
        <f>'CF(M)'!CT10</f>
        <v>15</v>
      </c>
      <c r="CT10" s="152">
        <f>'CF(M)'!CU10</f>
        <v>15</v>
      </c>
      <c r="CU10" s="152">
        <f>'CF(M)'!CV10</f>
        <v>15</v>
      </c>
      <c r="CV10" s="152">
        <f>'CF(M)'!CW10</f>
        <v>15</v>
      </c>
      <c r="CW10" s="152">
        <f>'CF(M)'!CX10</f>
        <v>15</v>
      </c>
      <c r="CX10" s="152">
        <f>'CF(M)'!CY10</f>
        <v>16</v>
      </c>
      <c r="CY10" s="152">
        <f>'CF(M)'!CZ10</f>
        <v>16</v>
      </c>
      <c r="CZ10" s="152">
        <f>'CF(M)'!DA10</f>
        <v>16</v>
      </c>
      <c r="DA10" s="152">
        <f>'CF(M)'!DB10</f>
        <v>16</v>
      </c>
      <c r="DB10" s="152">
        <f>'CF(M)'!DC10</f>
        <v>16</v>
      </c>
      <c r="DC10" s="152">
        <f>'CF(M)'!DD10</f>
        <v>16</v>
      </c>
      <c r="DD10" s="152">
        <f>'CF(M)'!DE10</f>
        <v>17</v>
      </c>
      <c r="DE10" s="152">
        <f>'CF(M)'!DF10</f>
        <v>17</v>
      </c>
      <c r="DF10" s="152">
        <f>'CF(M)'!DG10</f>
        <v>17</v>
      </c>
      <c r="DG10" s="152">
        <f>'CF(M)'!DH10</f>
        <v>17</v>
      </c>
      <c r="DH10" s="152">
        <f>'CF(M)'!DI10</f>
        <v>17</v>
      </c>
      <c r="DI10" s="152">
        <f>'CF(M)'!DJ10</f>
        <v>17</v>
      </c>
      <c r="DJ10" s="152">
        <f>'CF(M)'!DK10</f>
        <v>18</v>
      </c>
      <c r="DK10" s="152">
        <f>'CF(M)'!DL10</f>
        <v>18</v>
      </c>
      <c r="DL10" s="152">
        <f>'CF(M)'!DM10</f>
        <v>18</v>
      </c>
      <c r="DM10" s="152">
        <f>'CF(M)'!DN10</f>
        <v>18</v>
      </c>
      <c r="DN10" s="152">
        <f>'CF(M)'!DO10</f>
        <v>18</v>
      </c>
      <c r="DO10" s="152">
        <f>'CF(M)'!DP10</f>
        <v>18</v>
      </c>
      <c r="DP10" s="152">
        <f>'CF(M)'!DQ10</f>
        <v>19</v>
      </c>
      <c r="DQ10" s="152">
        <f>'CF(M)'!DR10</f>
        <v>19</v>
      </c>
      <c r="DR10" s="152">
        <f>'CF(M)'!DS10</f>
        <v>19</v>
      </c>
      <c r="DS10" s="152">
        <f>'CF(M)'!DT10</f>
        <v>19</v>
      </c>
      <c r="DT10" s="152">
        <f>'CF(M)'!DU10</f>
        <v>19</v>
      </c>
      <c r="DU10" s="152">
        <f>'CF(M)'!DV10</f>
        <v>19</v>
      </c>
      <c r="DV10" s="152">
        <f>'CF(M)'!DW10</f>
        <v>20</v>
      </c>
      <c r="DW10" s="152">
        <f>'CF(M)'!DX10</f>
        <v>20</v>
      </c>
      <c r="DX10" s="152">
        <f>'CF(M)'!DY10</f>
        <v>20</v>
      </c>
      <c r="DY10" s="152">
        <f>'CF(M)'!DZ10</f>
        <v>20</v>
      </c>
      <c r="DZ10" s="152">
        <f>'CF(M)'!EA10</f>
        <v>20</v>
      </c>
      <c r="EA10" s="152">
        <f>'CF(M)'!EB10</f>
        <v>20</v>
      </c>
      <c r="EB10" s="152">
        <f>'CF(M)'!EC10</f>
        <v>21</v>
      </c>
      <c r="EC10" s="152">
        <f>'CF(M)'!ED10</f>
        <v>21</v>
      </c>
      <c r="ED10" s="152">
        <f>'CF(M)'!EE10</f>
        <v>21</v>
      </c>
      <c r="EE10" s="152">
        <f>'CF(M)'!EF10</f>
        <v>21</v>
      </c>
      <c r="EF10" s="152">
        <f>'CF(M)'!EG10</f>
        <v>21</v>
      </c>
      <c r="EG10" s="152">
        <f>'CF(M)'!EH10</f>
        <v>21</v>
      </c>
      <c r="EH10" s="152">
        <f>'CF(M)'!EI10</f>
        <v>22</v>
      </c>
      <c r="EI10" s="152">
        <f>'CF(M)'!EJ10</f>
        <v>22</v>
      </c>
      <c r="EJ10" s="152">
        <f>'CF(M)'!EK10</f>
        <v>22</v>
      </c>
      <c r="EK10" s="152">
        <f>'CF(M)'!EL10</f>
        <v>22</v>
      </c>
      <c r="EL10" s="152">
        <f>'CF(M)'!EM10</f>
        <v>22</v>
      </c>
      <c r="EM10" s="152">
        <f>'CF(M)'!EN10</f>
        <v>22</v>
      </c>
      <c r="EN10" s="152">
        <f>'CF(M)'!EO10</f>
        <v>23</v>
      </c>
      <c r="EO10" s="152">
        <f>'CF(M)'!EP10</f>
        <v>23</v>
      </c>
      <c r="EP10" s="152">
        <f>'CF(M)'!EQ10</f>
        <v>23</v>
      </c>
    </row>
    <row r="11" spans="1:150">
      <c r="B11" s="189" t="s">
        <v>156</v>
      </c>
      <c r="C11" s="148"/>
      <c r="D11" s="148"/>
      <c r="E11" s="148"/>
      <c r="F11" s="148"/>
      <c r="G11" s="148"/>
      <c r="H11" s="209"/>
      <c r="I11" s="970"/>
      <c r="K11" s="153">
        <f>'CF(M)'!L11</f>
        <v>0</v>
      </c>
      <c r="L11" s="153">
        <f>'CF(M)'!M11</f>
        <v>1</v>
      </c>
      <c r="M11" s="153">
        <f>'CF(M)'!N11</f>
        <v>1</v>
      </c>
      <c r="N11" s="153">
        <f>'CF(M)'!O11</f>
        <v>1</v>
      </c>
      <c r="O11" s="153">
        <f>'CF(M)'!P11</f>
        <v>1</v>
      </c>
      <c r="P11" s="153">
        <f>'CF(M)'!Q11</f>
        <v>1</v>
      </c>
      <c r="Q11" s="153">
        <f>'CF(M)'!R11</f>
        <v>1</v>
      </c>
      <c r="R11" s="153">
        <f>'CF(M)'!S11</f>
        <v>1</v>
      </c>
      <c r="S11" s="153">
        <f>'CF(M)'!T11</f>
        <v>1</v>
      </c>
      <c r="T11" s="153">
        <f>'CF(M)'!U11</f>
        <v>1</v>
      </c>
      <c r="U11" s="153">
        <f>'CF(M)'!V11</f>
        <v>1</v>
      </c>
      <c r="V11" s="153">
        <f>'CF(M)'!W11</f>
        <v>1</v>
      </c>
      <c r="W11" s="153">
        <f>'CF(M)'!X11</f>
        <v>1</v>
      </c>
      <c r="X11" s="153">
        <f>'CF(M)'!Y11</f>
        <v>2</v>
      </c>
      <c r="Y11" s="153">
        <f>'CF(M)'!Z11</f>
        <v>2</v>
      </c>
      <c r="Z11" s="153">
        <f>'CF(M)'!AA11</f>
        <v>2</v>
      </c>
      <c r="AA11" s="153">
        <f>'CF(M)'!AB11</f>
        <v>2</v>
      </c>
      <c r="AB11" s="153">
        <f>'CF(M)'!AC11</f>
        <v>2</v>
      </c>
      <c r="AC11" s="153">
        <f>'CF(M)'!AD11</f>
        <v>2</v>
      </c>
      <c r="AD11" s="153">
        <f>'CF(M)'!AE11</f>
        <v>2</v>
      </c>
      <c r="AE11" s="153">
        <f>'CF(M)'!AF11</f>
        <v>2</v>
      </c>
      <c r="AF11" s="153">
        <f>'CF(M)'!AG11</f>
        <v>2</v>
      </c>
      <c r="AG11" s="153">
        <f>'CF(M)'!AH11</f>
        <v>2</v>
      </c>
      <c r="AH11" s="153">
        <f>'CF(M)'!AI11</f>
        <v>2</v>
      </c>
      <c r="AI11" s="153">
        <f>'CF(M)'!AJ11</f>
        <v>2</v>
      </c>
      <c r="AJ11" s="153">
        <f>'CF(M)'!AK11</f>
        <v>3</v>
      </c>
      <c r="AK11" s="153">
        <f>'CF(M)'!AL11</f>
        <v>3</v>
      </c>
      <c r="AL11" s="153">
        <f>'CF(M)'!AM11</f>
        <v>3</v>
      </c>
      <c r="AM11" s="153">
        <f>'CF(M)'!AN11</f>
        <v>3</v>
      </c>
      <c r="AN11" s="153">
        <f>'CF(M)'!AO11</f>
        <v>3</v>
      </c>
      <c r="AO11" s="153">
        <f>'CF(M)'!AP11</f>
        <v>3</v>
      </c>
      <c r="AP11" s="153">
        <f>'CF(M)'!AQ11</f>
        <v>3</v>
      </c>
      <c r="AQ11" s="153">
        <f>'CF(M)'!AR11</f>
        <v>3</v>
      </c>
      <c r="AR11" s="153">
        <f>'CF(M)'!AS11</f>
        <v>3</v>
      </c>
      <c r="AS11" s="153">
        <f>'CF(M)'!AT11</f>
        <v>3</v>
      </c>
      <c r="AT11" s="153">
        <f>'CF(M)'!AU11</f>
        <v>3</v>
      </c>
      <c r="AU11" s="153">
        <f>'CF(M)'!AV11</f>
        <v>3</v>
      </c>
      <c r="AV11" s="153">
        <f>'CF(M)'!AW11</f>
        <v>4</v>
      </c>
      <c r="AW11" s="153">
        <f>'CF(M)'!AX11</f>
        <v>4</v>
      </c>
      <c r="AX11" s="153">
        <f>'CF(M)'!AY11</f>
        <v>4</v>
      </c>
      <c r="AY11" s="153">
        <f>'CF(M)'!AZ11</f>
        <v>4</v>
      </c>
      <c r="AZ11" s="153">
        <f>'CF(M)'!BA11</f>
        <v>4</v>
      </c>
      <c r="BA11" s="153">
        <f>'CF(M)'!BB11</f>
        <v>4</v>
      </c>
      <c r="BB11" s="153">
        <f>'CF(M)'!BC11</f>
        <v>4</v>
      </c>
      <c r="BC11" s="153">
        <f>'CF(M)'!BD11</f>
        <v>4</v>
      </c>
      <c r="BD11" s="153">
        <f>'CF(M)'!BE11</f>
        <v>4</v>
      </c>
      <c r="BE11" s="153">
        <f>'CF(M)'!BF11</f>
        <v>4</v>
      </c>
      <c r="BF11" s="153">
        <f>'CF(M)'!BG11</f>
        <v>4</v>
      </c>
      <c r="BG11" s="153">
        <f>'CF(M)'!BH11</f>
        <v>4</v>
      </c>
      <c r="BH11" s="153">
        <f>'CF(M)'!BI11</f>
        <v>5</v>
      </c>
      <c r="BI11" s="153">
        <f>'CF(M)'!BJ11</f>
        <v>5</v>
      </c>
      <c r="BJ11" s="153">
        <f>'CF(M)'!BK11</f>
        <v>5</v>
      </c>
      <c r="BK11" s="153">
        <f>'CF(M)'!BL11</f>
        <v>5</v>
      </c>
      <c r="BL11" s="153">
        <f>'CF(M)'!BM11</f>
        <v>5</v>
      </c>
      <c r="BM11" s="153">
        <f>'CF(M)'!BN11</f>
        <v>5</v>
      </c>
      <c r="BN11" s="153">
        <f>'CF(M)'!BO11</f>
        <v>5</v>
      </c>
      <c r="BO11" s="153">
        <f>'CF(M)'!BP11</f>
        <v>5</v>
      </c>
      <c r="BP11" s="153">
        <f>'CF(M)'!BQ11</f>
        <v>5</v>
      </c>
      <c r="BQ11" s="153">
        <f>'CF(M)'!BR11</f>
        <v>5</v>
      </c>
      <c r="BR11" s="153">
        <f>'CF(M)'!BS11</f>
        <v>5</v>
      </c>
      <c r="BS11" s="153">
        <f>'CF(M)'!BT11</f>
        <v>5</v>
      </c>
      <c r="BT11" s="153">
        <f>'CF(M)'!BU11</f>
        <v>6</v>
      </c>
      <c r="BU11" s="153">
        <f>'CF(M)'!BV11</f>
        <v>6</v>
      </c>
      <c r="BV11" s="153">
        <f>'CF(M)'!BW11</f>
        <v>6</v>
      </c>
      <c r="BW11" s="153">
        <f>'CF(M)'!BX11</f>
        <v>6</v>
      </c>
      <c r="BX11" s="153">
        <f>'CF(M)'!BY11</f>
        <v>6</v>
      </c>
      <c r="BY11" s="153">
        <f>'CF(M)'!BZ11</f>
        <v>6</v>
      </c>
      <c r="BZ11" s="153">
        <f>'CF(M)'!CA11</f>
        <v>6</v>
      </c>
      <c r="CA11" s="153">
        <f>'CF(M)'!CB11</f>
        <v>6</v>
      </c>
      <c r="CB11" s="153">
        <f>'CF(M)'!CC11</f>
        <v>6</v>
      </c>
      <c r="CC11" s="153">
        <f>'CF(M)'!CD11</f>
        <v>6</v>
      </c>
      <c r="CD11" s="153">
        <f>'CF(M)'!CE11</f>
        <v>6</v>
      </c>
      <c r="CE11" s="153">
        <f>'CF(M)'!CF11</f>
        <v>6</v>
      </c>
      <c r="CF11" s="153">
        <f>'CF(M)'!CG11</f>
        <v>7</v>
      </c>
      <c r="CG11" s="153">
        <f>'CF(M)'!CH11</f>
        <v>7</v>
      </c>
      <c r="CH11" s="153">
        <f>'CF(M)'!CI11</f>
        <v>7</v>
      </c>
      <c r="CI11" s="153">
        <f>'CF(M)'!CJ11</f>
        <v>7</v>
      </c>
      <c r="CJ11" s="153">
        <f>'CF(M)'!CK11</f>
        <v>7</v>
      </c>
      <c r="CK11" s="153">
        <f>'CF(M)'!CL11</f>
        <v>7</v>
      </c>
      <c r="CL11" s="153">
        <f>'CF(M)'!CM11</f>
        <v>7</v>
      </c>
      <c r="CM11" s="153">
        <f>'CF(M)'!CN11</f>
        <v>7</v>
      </c>
      <c r="CN11" s="153">
        <f>'CF(M)'!CO11</f>
        <v>7</v>
      </c>
      <c r="CO11" s="153">
        <f>'CF(M)'!CP11</f>
        <v>7</v>
      </c>
      <c r="CP11" s="153">
        <f>'CF(M)'!CQ11</f>
        <v>7</v>
      </c>
      <c r="CQ11" s="153">
        <f>'CF(M)'!CR11</f>
        <v>7</v>
      </c>
      <c r="CR11" s="153">
        <f>'CF(M)'!CS11</f>
        <v>8</v>
      </c>
      <c r="CS11" s="153">
        <f>'CF(M)'!CT11</f>
        <v>8</v>
      </c>
      <c r="CT11" s="153">
        <f>'CF(M)'!CU11</f>
        <v>8</v>
      </c>
      <c r="CU11" s="153">
        <f>'CF(M)'!CV11</f>
        <v>8</v>
      </c>
      <c r="CV11" s="153">
        <f>'CF(M)'!CW11</f>
        <v>8</v>
      </c>
      <c r="CW11" s="153">
        <f>'CF(M)'!CX11</f>
        <v>8</v>
      </c>
      <c r="CX11" s="153">
        <f>'CF(M)'!CY11</f>
        <v>8</v>
      </c>
      <c r="CY11" s="153">
        <f>'CF(M)'!CZ11</f>
        <v>8</v>
      </c>
      <c r="CZ11" s="153">
        <f>'CF(M)'!DA11</f>
        <v>8</v>
      </c>
      <c r="DA11" s="153">
        <f>'CF(M)'!DB11</f>
        <v>8</v>
      </c>
      <c r="DB11" s="153">
        <f>'CF(M)'!DC11</f>
        <v>8</v>
      </c>
      <c r="DC11" s="153">
        <f>'CF(M)'!DD11</f>
        <v>8</v>
      </c>
      <c r="DD11" s="153">
        <f>'CF(M)'!DE11</f>
        <v>9</v>
      </c>
      <c r="DE11" s="153">
        <f>'CF(M)'!DF11</f>
        <v>9</v>
      </c>
      <c r="DF11" s="153">
        <f>'CF(M)'!DG11</f>
        <v>9</v>
      </c>
      <c r="DG11" s="153">
        <f>'CF(M)'!DH11</f>
        <v>9</v>
      </c>
      <c r="DH11" s="153">
        <f>'CF(M)'!DI11</f>
        <v>9</v>
      </c>
      <c r="DI11" s="153">
        <f>'CF(M)'!DJ11</f>
        <v>9</v>
      </c>
      <c r="DJ11" s="153">
        <f>'CF(M)'!DK11</f>
        <v>9</v>
      </c>
      <c r="DK11" s="153">
        <f>'CF(M)'!DL11</f>
        <v>9</v>
      </c>
      <c r="DL11" s="153">
        <f>'CF(M)'!DM11</f>
        <v>9</v>
      </c>
      <c r="DM11" s="153">
        <f>'CF(M)'!DN11</f>
        <v>9</v>
      </c>
      <c r="DN11" s="153">
        <f>'CF(M)'!DO11</f>
        <v>9</v>
      </c>
      <c r="DO11" s="153">
        <f>'CF(M)'!DP11</f>
        <v>9</v>
      </c>
      <c r="DP11" s="153">
        <f>'CF(M)'!DQ11</f>
        <v>10</v>
      </c>
      <c r="DQ11" s="153">
        <f>'CF(M)'!DR11</f>
        <v>10</v>
      </c>
      <c r="DR11" s="153">
        <f>'CF(M)'!DS11</f>
        <v>10</v>
      </c>
      <c r="DS11" s="153">
        <f>'CF(M)'!DT11</f>
        <v>10</v>
      </c>
      <c r="DT11" s="153">
        <f>'CF(M)'!DU11</f>
        <v>10</v>
      </c>
      <c r="DU11" s="153">
        <f>'CF(M)'!DV11</f>
        <v>10</v>
      </c>
      <c r="DV11" s="153">
        <f>'CF(M)'!DW11</f>
        <v>10</v>
      </c>
      <c r="DW11" s="153">
        <f>'CF(M)'!DX11</f>
        <v>10</v>
      </c>
      <c r="DX11" s="153">
        <f>'CF(M)'!DY11</f>
        <v>10</v>
      </c>
      <c r="DY11" s="153">
        <f>'CF(M)'!DZ11</f>
        <v>10</v>
      </c>
      <c r="DZ11" s="153">
        <f>'CF(M)'!EA11</f>
        <v>10</v>
      </c>
      <c r="EA11" s="153">
        <f>'CF(M)'!EB11</f>
        <v>10</v>
      </c>
      <c r="EB11" s="153">
        <f>'CF(M)'!EC11</f>
        <v>11</v>
      </c>
      <c r="EC11" s="153">
        <f>'CF(M)'!ED11</f>
        <v>11</v>
      </c>
      <c r="ED11" s="153">
        <f>'CF(M)'!EE11</f>
        <v>11</v>
      </c>
      <c r="EE11" s="153">
        <f>'CF(M)'!EF11</f>
        <v>11</v>
      </c>
      <c r="EF11" s="153">
        <f>'CF(M)'!EG11</f>
        <v>11</v>
      </c>
      <c r="EG11" s="153">
        <f>'CF(M)'!EH11</f>
        <v>11</v>
      </c>
      <c r="EH11" s="153">
        <f>'CF(M)'!EI11</f>
        <v>11</v>
      </c>
      <c r="EI11" s="153">
        <f>'CF(M)'!EJ11</f>
        <v>11</v>
      </c>
      <c r="EJ11" s="153">
        <f>'CF(M)'!EK11</f>
        <v>11</v>
      </c>
      <c r="EK11" s="153">
        <f>'CF(M)'!EL11</f>
        <v>11</v>
      </c>
      <c r="EL11" s="153">
        <f>'CF(M)'!EM11</f>
        <v>11</v>
      </c>
      <c r="EM11" s="153">
        <f>'CF(M)'!EN11</f>
        <v>11</v>
      </c>
      <c r="EN11" s="153">
        <f>'CF(M)'!EO11</f>
        <v>12</v>
      </c>
      <c r="EO11" s="153">
        <f>'CF(M)'!EP11</f>
        <v>12</v>
      </c>
      <c r="EP11" s="153">
        <f>'CF(M)'!EQ11</f>
        <v>12</v>
      </c>
    </row>
    <row r="12" spans="1:150">
      <c r="C12" s="154"/>
      <c r="H12" s="146"/>
      <c r="I12" s="953"/>
    </row>
    <row r="13" spans="1:150">
      <c r="B13" s="155" t="s">
        <v>555</v>
      </c>
      <c r="C13" s="155"/>
      <c r="D13" s="155"/>
      <c r="E13" s="155"/>
      <c r="F13" s="155"/>
      <c r="G13" s="155"/>
      <c r="H13" s="191"/>
      <c r="I13" s="971"/>
      <c r="K13" s="210">
        <f>K5</f>
        <v>46326</v>
      </c>
      <c r="L13" s="210">
        <f t="shared" ref="L13:BW13" si="0">L5</f>
        <v>46356</v>
      </c>
      <c r="M13" s="210">
        <f t="shared" si="0"/>
        <v>46387</v>
      </c>
      <c r="N13" s="210">
        <f t="shared" si="0"/>
        <v>46418</v>
      </c>
      <c r="O13" s="210">
        <f t="shared" si="0"/>
        <v>46446</v>
      </c>
      <c r="P13" s="210">
        <f t="shared" si="0"/>
        <v>46477</v>
      </c>
      <c r="Q13" s="210">
        <f t="shared" si="0"/>
        <v>46507</v>
      </c>
      <c r="R13" s="210">
        <f t="shared" si="0"/>
        <v>46538</v>
      </c>
      <c r="S13" s="210">
        <f t="shared" si="0"/>
        <v>46568</v>
      </c>
      <c r="T13" s="210">
        <f t="shared" si="0"/>
        <v>46599</v>
      </c>
      <c r="U13" s="210">
        <f t="shared" si="0"/>
        <v>46630</v>
      </c>
      <c r="V13" s="210">
        <f t="shared" si="0"/>
        <v>46660</v>
      </c>
      <c r="W13" s="210">
        <f t="shared" si="0"/>
        <v>46691</v>
      </c>
      <c r="X13" s="210">
        <f t="shared" si="0"/>
        <v>46721</v>
      </c>
      <c r="Y13" s="210">
        <f t="shared" si="0"/>
        <v>46752</v>
      </c>
      <c r="Z13" s="210">
        <f t="shared" si="0"/>
        <v>46783</v>
      </c>
      <c r="AA13" s="210">
        <f t="shared" si="0"/>
        <v>46812</v>
      </c>
      <c r="AB13" s="210">
        <f t="shared" si="0"/>
        <v>46843</v>
      </c>
      <c r="AC13" s="210">
        <f t="shared" si="0"/>
        <v>46873</v>
      </c>
      <c r="AD13" s="210">
        <f t="shared" si="0"/>
        <v>46904</v>
      </c>
      <c r="AE13" s="210">
        <f t="shared" si="0"/>
        <v>46934</v>
      </c>
      <c r="AF13" s="210">
        <f t="shared" si="0"/>
        <v>46965</v>
      </c>
      <c r="AG13" s="210">
        <f t="shared" si="0"/>
        <v>46996</v>
      </c>
      <c r="AH13" s="210">
        <f t="shared" si="0"/>
        <v>47026</v>
      </c>
      <c r="AI13" s="210">
        <f t="shared" si="0"/>
        <v>47057</v>
      </c>
      <c r="AJ13" s="210">
        <f t="shared" si="0"/>
        <v>47087</v>
      </c>
      <c r="AK13" s="210">
        <f t="shared" si="0"/>
        <v>47118</v>
      </c>
      <c r="AL13" s="210">
        <f t="shared" si="0"/>
        <v>47149</v>
      </c>
      <c r="AM13" s="210">
        <f t="shared" si="0"/>
        <v>47177</v>
      </c>
      <c r="AN13" s="210">
        <f t="shared" si="0"/>
        <v>47208</v>
      </c>
      <c r="AO13" s="210">
        <f t="shared" si="0"/>
        <v>47238</v>
      </c>
      <c r="AP13" s="210">
        <f t="shared" si="0"/>
        <v>47269</v>
      </c>
      <c r="AQ13" s="210">
        <f t="shared" si="0"/>
        <v>47299</v>
      </c>
      <c r="AR13" s="210">
        <f t="shared" si="0"/>
        <v>47330</v>
      </c>
      <c r="AS13" s="210">
        <f t="shared" si="0"/>
        <v>47361</v>
      </c>
      <c r="AT13" s="210">
        <f t="shared" si="0"/>
        <v>47391</v>
      </c>
      <c r="AU13" s="210">
        <f t="shared" si="0"/>
        <v>47422</v>
      </c>
      <c r="AV13" s="210">
        <f t="shared" si="0"/>
        <v>47452</v>
      </c>
      <c r="AW13" s="210">
        <f t="shared" si="0"/>
        <v>47483</v>
      </c>
      <c r="AX13" s="210">
        <f t="shared" si="0"/>
        <v>47514</v>
      </c>
      <c r="AY13" s="210">
        <f t="shared" si="0"/>
        <v>47542</v>
      </c>
      <c r="AZ13" s="210">
        <f t="shared" si="0"/>
        <v>47573</v>
      </c>
      <c r="BA13" s="210">
        <f t="shared" si="0"/>
        <v>47603</v>
      </c>
      <c r="BB13" s="210">
        <f t="shared" si="0"/>
        <v>47634</v>
      </c>
      <c r="BC13" s="210">
        <f t="shared" si="0"/>
        <v>47664</v>
      </c>
      <c r="BD13" s="210">
        <f t="shared" si="0"/>
        <v>47695</v>
      </c>
      <c r="BE13" s="210">
        <f t="shared" si="0"/>
        <v>47726</v>
      </c>
      <c r="BF13" s="210">
        <f t="shared" si="0"/>
        <v>47756</v>
      </c>
      <c r="BG13" s="210">
        <f t="shared" si="0"/>
        <v>47787</v>
      </c>
      <c r="BH13" s="210">
        <f t="shared" si="0"/>
        <v>47817</v>
      </c>
      <c r="BI13" s="210">
        <f t="shared" si="0"/>
        <v>47848</v>
      </c>
      <c r="BJ13" s="210">
        <f t="shared" si="0"/>
        <v>47879</v>
      </c>
      <c r="BK13" s="210">
        <f t="shared" si="0"/>
        <v>47907</v>
      </c>
      <c r="BL13" s="210">
        <f t="shared" si="0"/>
        <v>47938</v>
      </c>
      <c r="BM13" s="210">
        <f t="shared" si="0"/>
        <v>47968</v>
      </c>
      <c r="BN13" s="210">
        <f t="shared" si="0"/>
        <v>47999</v>
      </c>
      <c r="BO13" s="210">
        <f t="shared" si="0"/>
        <v>48029</v>
      </c>
      <c r="BP13" s="210">
        <f t="shared" si="0"/>
        <v>48060</v>
      </c>
      <c r="BQ13" s="210">
        <f t="shared" si="0"/>
        <v>48091</v>
      </c>
      <c r="BR13" s="210">
        <f t="shared" si="0"/>
        <v>48121</v>
      </c>
      <c r="BS13" s="210">
        <f t="shared" si="0"/>
        <v>48152</v>
      </c>
      <c r="BT13" s="210">
        <f t="shared" si="0"/>
        <v>48182</v>
      </c>
      <c r="BU13" s="210">
        <f t="shared" si="0"/>
        <v>48213</v>
      </c>
      <c r="BV13" s="210">
        <f t="shared" si="0"/>
        <v>48244</v>
      </c>
      <c r="BW13" s="210">
        <f t="shared" si="0"/>
        <v>48273</v>
      </c>
      <c r="BX13" s="210">
        <f t="shared" ref="BX13:DO13" si="1">BX5</f>
        <v>48304</v>
      </c>
      <c r="BY13" s="210">
        <f t="shared" si="1"/>
        <v>48334</v>
      </c>
      <c r="BZ13" s="210">
        <f t="shared" si="1"/>
        <v>48365</v>
      </c>
      <c r="CA13" s="210">
        <f t="shared" si="1"/>
        <v>48395</v>
      </c>
      <c r="CB13" s="210">
        <f t="shared" si="1"/>
        <v>48426</v>
      </c>
      <c r="CC13" s="210">
        <f t="shared" si="1"/>
        <v>48457</v>
      </c>
      <c r="CD13" s="210">
        <f t="shared" si="1"/>
        <v>48487</v>
      </c>
      <c r="CE13" s="210">
        <f t="shared" si="1"/>
        <v>48518</v>
      </c>
      <c r="CF13" s="210">
        <f t="shared" si="1"/>
        <v>48548</v>
      </c>
      <c r="CG13" s="210">
        <f t="shared" si="1"/>
        <v>48579</v>
      </c>
      <c r="CH13" s="210">
        <f t="shared" si="1"/>
        <v>48610</v>
      </c>
      <c r="CI13" s="210">
        <f t="shared" si="1"/>
        <v>48638</v>
      </c>
      <c r="CJ13" s="210">
        <f t="shared" si="1"/>
        <v>48669</v>
      </c>
      <c r="CK13" s="210">
        <f t="shared" si="1"/>
        <v>48699</v>
      </c>
      <c r="CL13" s="210">
        <f t="shared" si="1"/>
        <v>48730</v>
      </c>
      <c r="CM13" s="210">
        <f t="shared" si="1"/>
        <v>48760</v>
      </c>
      <c r="CN13" s="210">
        <f t="shared" si="1"/>
        <v>48791</v>
      </c>
      <c r="CO13" s="210">
        <f t="shared" si="1"/>
        <v>48822</v>
      </c>
      <c r="CP13" s="210">
        <f t="shared" si="1"/>
        <v>48852</v>
      </c>
      <c r="CQ13" s="210">
        <f t="shared" si="1"/>
        <v>48883</v>
      </c>
      <c r="CR13" s="210">
        <f t="shared" si="1"/>
        <v>48913</v>
      </c>
      <c r="CS13" s="210">
        <f t="shared" si="1"/>
        <v>48944</v>
      </c>
      <c r="CT13" s="210">
        <f t="shared" si="1"/>
        <v>48975</v>
      </c>
      <c r="CU13" s="210">
        <f t="shared" si="1"/>
        <v>49003</v>
      </c>
      <c r="CV13" s="210">
        <f t="shared" si="1"/>
        <v>49034</v>
      </c>
      <c r="CW13" s="210">
        <f t="shared" si="1"/>
        <v>49064</v>
      </c>
      <c r="CX13" s="210">
        <f t="shared" si="1"/>
        <v>49095</v>
      </c>
      <c r="CY13" s="210">
        <f t="shared" si="1"/>
        <v>49125</v>
      </c>
      <c r="CZ13" s="210">
        <f t="shared" si="1"/>
        <v>49156</v>
      </c>
      <c r="DA13" s="210">
        <f t="shared" si="1"/>
        <v>49187</v>
      </c>
      <c r="DB13" s="210">
        <f t="shared" si="1"/>
        <v>49217</v>
      </c>
      <c r="DC13" s="210">
        <f t="shared" si="1"/>
        <v>49248</v>
      </c>
      <c r="DD13" s="210">
        <f t="shared" si="1"/>
        <v>49278</v>
      </c>
      <c r="DE13" s="210">
        <f t="shared" si="1"/>
        <v>49309</v>
      </c>
      <c r="DF13" s="210">
        <f t="shared" si="1"/>
        <v>49340</v>
      </c>
      <c r="DG13" s="210">
        <f t="shared" si="1"/>
        <v>49368</v>
      </c>
      <c r="DH13" s="210">
        <f t="shared" si="1"/>
        <v>49399</v>
      </c>
      <c r="DI13" s="210">
        <f t="shared" si="1"/>
        <v>49429</v>
      </c>
      <c r="DJ13" s="210">
        <f t="shared" si="1"/>
        <v>49460</v>
      </c>
      <c r="DK13" s="210">
        <f t="shared" si="1"/>
        <v>49490</v>
      </c>
      <c r="DL13" s="210">
        <f t="shared" si="1"/>
        <v>49521</v>
      </c>
      <c r="DM13" s="210">
        <f t="shared" si="1"/>
        <v>49552</v>
      </c>
      <c r="DN13" s="210">
        <f t="shared" si="1"/>
        <v>49582</v>
      </c>
      <c r="DO13" s="210">
        <f t="shared" si="1"/>
        <v>49613</v>
      </c>
      <c r="DP13" s="210">
        <f t="shared" ref="DP13:EP13" si="2">DP5</f>
        <v>49643</v>
      </c>
      <c r="DQ13" s="210">
        <f t="shared" si="2"/>
        <v>49674</v>
      </c>
      <c r="DR13" s="210">
        <f t="shared" si="2"/>
        <v>49705</v>
      </c>
      <c r="DS13" s="210">
        <f t="shared" si="2"/>
        <v>49734</v>
      </c>
      <c r="DT13" s="210">
        <f t="shared" si="2"/>
        <v>49765</v>
      </c>
      <c r="DU13" s="210">
        <f t="shared" si="2"/>
        <v>49795</v>
      </c>
      <c r="DV13" s="210">
        <f t="shared" si="2"/>
        <v>49826</v>
      </c>
      <c r="DW13" s="210">
        <f t="shared" si="2"/>
        <v>49856</v>
      </c>
      <c r="DX13" s="210">
        <f t="shared" si="2"/>
        <v>49887</v>
      </c>
      <c r="DY13" s="210">
        <f t="shared" si="2"/>
        <v>49918</v>
      </c>
      <c r="DZ13" s="210">
        <f t="shared" si="2"/>
        <v>49948</v>
      </c>
      <c r="EA13" s="210">
        <f t="shared" si="2"/>
        <v>49979</v>
      </c>
      <c r="EB13" s="210">
        <f t="shared" si="2"/>
        <v>50009</v>
      </c>
      <c r="EC13" s="210">
        <f t="shared" si="2"/>
        <v>50040</v>
      </c>
      <c r="ED13" s="210">
        <f t="shared" si="2"/>
        <v>50071</v>
      </c>
      <c r="EE13" s="210">
        <f t="shared" si="2"/>
        <v>50099</v>
      </c>
      <c r="EF13" s="210">
        <f t="shared" si="2"/>
        <v>50130</v>
      </c>
      <c r="EG13" s="210">
        <f t="shared" si="2"/>
        <v>50160</v>
      </c>
      <c r="EH13" s="210">
        <f t="shared" si="2"/>
        <v>50191</v>
      </c>
      <c r="EI13" s="210">
        <f t="shared" si="2"/>
        <v>50221</v>
      </c>
      <c r="EJ13" s="210">
        <f t="shared" si="2"/>
        <v>50252</v>
      </c>
      <c r="EK13" s="210">
        <f t="shared" si="2"/>
        <v>50283</v>
      </c>
      <c r="EL13" s="210">
        <f t="shared" si="2"/>
        <v>50313</v>
      </c>
      <c r="EM13" s="210">
        <f t="shared" si="2"/>
        <v>50344</v>
      </c>
      <c r="EN13" s="210">
        <f t="shared" si="2"/>
        <v>50374</v>
      </c>
      <c r="EO13" s="210">
        <f t="shared" si="2"/>
        <v>50405</v>
      </c>
      <c r="EP13" s="210">
        <f t="shared" si="2"/>
        <v>50436</v>
      </c>
    </row>
    <row r="14" spans="1:150">
      <c r="B14" s="211" t="s">
        <v>556</v>
      </c>
      <c r="C14" s="212"/>
      <c r="D14" s="212"/>
      <c r="E14" s="212"/>
      <c r="F14" s="212"/>
      <c r="G14" s="212"/>
      <c r="H14" s="213"/>
      <c r="I14" s="972"/>
      <c r="K14" s="216">
        <f ca="1">SUM(K15,K20)</f>
        <v>311756669.63053203</v>
      </c>
      <c r="L14" s="216">
        <f t="shared" ref="L14:BW14" ca="1" si="3">SUM(L15,L20)</f>
        <v>312760150.88382733</v>
      </c>
      <c r="M14" s="216">
        <f t="shared" ca="1" si="3"/>
        <v>313751185.21304035</v>
      </c>
      <c r="N14" s="216">
        <f t="shared" ca="1" si="3"/>
        <v>298535145.33590215</v>
      </c>
      <c r="O14" s="216">
        <f t="shared" ca="1" si="3"/>
        <v>299443003.02081567</v>
      </c>
      <c r="P14" s="216">
        <f t="shared" ca="1" si="3"/>
        <v>300426624.34230423</v>
      </c>
      <c r="Q14" s="216">
        <f t="shared" ca="1" si="3"/>
        <v>295102483.7255047</v>
      </c>
      <c r="R14" s="216">
        <f t="shared" ca="1" si="3"/>
        <v>295980644.70042336</v>
      </c>
      <c r="S14" s="216">
        <f t="shared" ca="1" si="3"/>
        <v>297047970.68557954</v>
      </c>
      <c r="T14" s="216">
        <f t="shared" ca="1" si="3"/>
        <v>294927008.91462153</v>
      </c>
      <c r="U14" s="216">
        <f t="shared" ca="1" si="3"/>
        <v>295995533.80999023</v>
      </c>
      <c r="V14" s="216">
        <f t="shared" ca="1" si="3"/>
        <v>296702714.00369221</v>
      </c>
      <c r="W14" s="216">
        <f t="shared" ca="1" si="3"/>
        <v>291374407.81419867</v>
      </c>
      <c r="X14" s="216">
        <f t="shared" ca="1" si="3"/>
        <v>292420940.31623894</v>
      </c>
      <c r="Y14" s="216">
        <f t="shared" ca="1" si="3"/>
        <v>293336140.29526979</v>
      </c>
      <c r="Z14" s="216">
        <f t="shared" ca="1" si="3"/>
        <v>291140007.15719408</v>
      </c>
      <c r="AA14" s="216">
        <f t="shared" ca="1" si="3"/>
        <v>292077380.29739296</v>
      </c>
      <c r="AB14" s="216">
        <f t="shared" ca="1" si="3"/>
        <v>293092411.16508126</v>
      </c>
      <c r="AC14" s="216">
        <f t="shared" ca="1" si="3"/>
        <v>288346540.36139125</v>
      </c>
      <c r="AD14" s="216">
        <f t="shared" ca="1" si="3"/>
        <v>289253474.3738454</v>
      </c>
      <c r="AE14" s="216">
        <f t="shared" ca="1" si="3"/>
        <v>290354302.52179295</v>
      </c>
      <c r="AF14" s="216">
        <f t="shared" ca="1" si="3"/>
        <v>288203495.11352962</v>
      </c>
      <c r="AG14" s="216">
        <f t="shared" ca="1" si="3"/>
        <v>289305552.144445</v>
      </c>
      <c r="AH14" s="216">
        <f t="shared" ca="1" si="3"/>
        <v>290018835.12588537</v>
      </c>
      <c r="AI14" s="216">
        <f t="shared" ca="1" si="3"/>
        <v>290268694.61018401</v>
      </c>
      <c r="AJ14" s="216">
        <f t="shared" ca="1" si="3"/>
        <v>291370874.83727807</v>
      </c>
      <c r="AK14" s="216">
        <f t="shared" ca="1" si="3"/>
        <v>292316372.04714894</v>
      </c>
      <c r="AL14" s="216">
        <f t="shared" ca="1" si="3"/>
        <v>290237468.3875671</v>
      </c>
      <c r="AM14" s="216">
        <f t="shared" ca="1" si="3"/>
        <v>291364267.37023145</v>
      </c>
      <c r="AN14" s="216">
        <f t="shared" ca="1" si="3"/>
        <v>292411443.86969101</v>
      </c>
      <c r="AO14" s="216">
        <f t="shared" ca="1" si="3"/>
        <v>287598904.37554735</v>
      </c>
      <c r="AP14" s="216">
        <f t="shared" ca="1" si="3"/>
        <v>288735282.69231468</v>
      </c>
      <c r="AQ14" s="216">
        <f t="shared" ca="1" si="3"/>
        <v>288702296.86364204</v>
      </c>
      <c r="AR14" s="216">
        <f t="shared" ca="1" si="3"/>
        <v>285549148.76135969</v>
      </c>
      <c r="AS14" s="216">
        <f t="shared" ca="1" si="3"/>
        <v>285481698.92475563</v>
      </c>
      <c r="AT14" s="216">
        <f t="shared" ca="1" si="3"/>
        <v>285099705.04194087</v>
      </c>
      <c r="AU14" s="216">
        <f t="shared" ca="1" si="3"/>
        <v>279471496.68999356</v>
      </c>
      <c r="AV14" s="216">
        <f t="shared" ca="1" si="3"/>
        <v>280640628.14935172</v>
      </c>
      <c r="AW14" s="216">
        <f t="shared" ca="1" si="3"/>
        <v>281681781.72078836</v>
      </c>
      <c r="AX14" s="216">
        <f t="shared" ca="1" si="3"/>
        <v>279699493.826051</v>
      </c>
      <c r="AY14" s="216">
        <f t="shared" ca="1" si="3"/>
        <v>280873449.72932732</v>
      </c>
      <c r="AZ14" s="216">
        <f t="shared" ca="1" si="3"/>
        <v>281993447.39086199</v>
      </c>
      <c r="BA14" s="216">
        <f t="shared" ca="1" si="3"/>
        <v>277346463.51450163</v>
      </c>
      <c r="BB14" s="216">
        <f t="shared" ca="1" si="3"/>
        <v>278557272.2103734</v>
      </c>
      <c r="BC14" s="216">
        <f t="shared" ca="1" si="3"/>
        <v>279768639.46188247</v>
      </c>
      <c r="BD14" s="216">
        <f t="shared" ca="1" si="3"/>
        <v>277595545.83956861</v>
      </c>
      <c r="BE14" s="216">
        <f t="shared" ca="1" si="3"/>
        <v>278810675.00266635</v>
      </c>
      <c r="BF14" s="216">
        <f t="shared" ca="1" si="3"/>
        <v>279648605.86361223</v>
      </c>
      <c r="BG14" s="216">
        <f t="shared" ca="1" si="3"/>
        <v>275285538.32346612</v>
      </c>
      <c r="BH14" s="216">
        <f t="shared" ca="1" si="3"/>
        <v>276500701.11589092</v>
      </c>
      <c r="BI14" s="216">
        <f t="shared" ca="1" si="3"/>
        <v>277585283.01817501</v>
      </c>
      <c r="BJ14" s="216">
        <f t="shared" ca="1" si="3"/>
        <v>275643006.05586964</v>
      </c>
      <c r="BK14" s="216">
        <f t="shared" ca="1" si="3"/>
        <v>276884215.05394059</v>
      </c>
      <c r="BL14" s="216">
        <f t="shared" ca="1" si="3"/>
        <v>278041770.68059444</v>
      </c>
      <c r="BM14" s="216">
        <f t="shared" ca="1" si="3"/>
        <v>273919091.6704734</v>
      </c>
      <c r="BN14" s="216">
        <f t="shared" ca="1" si="3"/>
        <v>275170363.39961708</v>
      </c>
      <c r="BO14" s="216">
        <f t="shared" ca="1" si="3"/>
        <v>276421635.12876081</v>
      </c>
      <c r="BP14" s="216">
        <f t="shared" ca="1" si="3"/>
        <v>274273169.16406131</v>
      </c>
      <c r="BQ14" s="216">
        <f t="shared" ca="1" si="3"/>
        <v>275528296.85258341</v>
      </c>
      <c r="BR14" s="216">
        <f t="shared" ca="1" si="3"/>
        <v>276411884.21348596</v>
      </c>
      <c r="BS14" s="216">
        <f t="shared" ca="1" si="3"/>
        <v>271867918.28400582</v>
      </c>
      <c r="BT14" s="216">
        <f t="shared" ca="1" si="3"/>
        <v>273123034.95074862</v>
      </c>
      <c r="BU14" s="216">
        <f t="shared" ca="1" si="3"/>
        <v>274244993.20068395</v>
      </c>
      <c r="BV14" s="216">
        <f t="shared" ca="1" si="3"/>
        <v>272491729.8053844</v>
      </c>
      <c r="BW14" s="216">
        <f t="shared" ca="1" si="3"/>
        <v>273773543.83291447</v>
      </c>
      <c r="BX14" s="216">
        <f t="shared" ref="BX14:DO14" ca="1" si="4">SUM(BX15,BX20)</f>
        <v>274969613.15474206</v>
      </c>
      <c r="BY14" s="216">
        <f t="shared" ca="1" si="4"/>
        <v>270494640.22750413</v>
      </c>
      <c r="BZ14" s="216">
        <f t="shared" ca="1" si="4"/>
        <v>271786768.55438381</v>
      </c>
      <c r="CA14" s="216">
        <f t="shared" ca="1" si="4"/>
        <v>273078896.88126349</v>
      </c>
      <c r="CB14" s="216">
        <f t="shared" ca="1" si="4"/>
        <v>271115400.55408448</v>
      </c>
      <c r="CC14" s="216">
        <f t="shared" ca="1" si="4"/>
        <v>272411481.23932701</v>
      </c>
      <c r="CD14" s="216">
        <f t="shared" ca="1" si="4"/>
        <v>273341594.70186424</v>
      </c>
      <c r="CE14" s="216">
        <f t="shared" ca="1" si="4"/>
        <v>268450313.43876594</v>
      </c>
      <c r="CF14" s="216">
        <f t="shared" ca="1" si="4"/>
        <v>269746338.51698428</v>
      </c>
      <c r="CG14" s="216">
        <f t="shared" ca="1" si="4"/>
        <v>270906576.95347351</v>
      </c>
      <c r="CH14" s="216">
        <f t="shared" ca="1" si="4"/>
        <v>269183264.4046545</v>
      </c>
      <c r="CI14" s="216">
        <f t="shared" ca="1" si="4"/>
        <v>270506654.2776798</v>
      </c>
      <c r="CJ14" s="216">
        <f t="shared" ca="1" si="4"/>
        <v>271742155.82736003</v>
      </c>
      <c r="CK14" s="216">
        <f t="shared" ca="1" si="4"/>
        <v>267070340.93337676</v>
      </c>
      <c r="CL14" s="216">
        <f t="shared" ca="1" si="4"/>
        <v>268404302.96323538</v>
      </c>
      <c r="CM14" s="216">
        <f t="shared" ca="1" si="4"/>
        <v>269738264.99309403</v>
      </c>
      <c r="CN14" s="216">
        <f t="shared" ca="1" si="4"/>
        <v>267800596.70058459</v>
      </c>
      <c r="CO14" s="216">
        <f t="shared" ca="1" si="4"/>
        <v>269138609.89776516</v>
      </c>
      <c r="CP14" s="216">
        <f t="shared" ca="1" si="4"/>
        <v>270116145.38058102</v>
      </c>
      <c r="CQ14" s="216">
        <f t="shared" ca="1" si="4"/>
        <v>265032723.8104133</v>
      </c>
      <c r="CR14" s="216">
        <f t="shared" ca="1" si="4"/>
        <v>266370636.86449888</v>
      </c>
      <c r="CS14" s="216">
        <f t="shared" ca="1" si="4"/>
        <v>267570083.36102059</v>
      </c>
      <c r="CT14" s="216">
        <f t="shared" ca="1" si="4"/>
        <v>265877427.28394902</v>
      </c>
      <c r="CU14" s="216">
        <f t="shared" ca="1" si="4"/>
        <v>267243389.25271174</v>
      </c>
      <c r="CV14" s="216">
        <f t="shared" ca="1" si="4"/>
        <v>268519265.69004571</v>
      </c>
      <c r="CW14" s="216">
        <f t="shared" ca="1" si="4"/>
        <v>263872483.2285156</v>
      </c>
      <c r="CX14" s="216">
        <f t="shared" ca="1" si="4"/>
        <v>264608622.39622015</v>
      </c>
      <c r="CY14" s="216">
        <f t="shared" ca="1" si="4"/>
        <v>265944913.33430874</v>
      </c>
      <c r="CZ14" s="216">
        <f t="shared" ca="1" si="4"/>
        <v>264004238.29790416</v>
      </c>
      <c r="DA14" s="216">
        <f t="shared" ca="1" si="4"/>
        <v>265267295.17944968</v>
      </c>
      <c r="DB14" s="216">
        <f t="shared" ca="1" si="4"/>
        <v>266252668.01539403</v>
      </c>
      <c r="DC14" s="216">
        <f t="shared" ca="1" si="4"/>
        <v>261775399.86562526</v>
      </c>
      <c r="DD14" s="216">
        <f t="shared" ca="1" si="4"/>
        <v>263115790.42375264</v>
      </c>
      <c r="DE14" s="216">
        <f t="shared" ca="1" si="4"/>
        <v>264314770.46605206</v>
      </c>
      <c r="DF14" s="216">
        <f t="shared" ca="1" si="4"/>
        <v>262606186.88021484</v>
      </c>
      <c r="DG14" s="216">
        <f t="shared" ca="1" si="4"/>
        <v>263932783.3112959</v>
      </c>
      <c r="DH14" s="216">
        <f t="shared" ca="1" si="4"/>
        <v>265301596.74254239</v>
      </c>
      <c r="DI14" s="216">
        <f t="shared" ca="1" si="4"/>
        <v>260817955.98752064</v>
      </c>
      <c r="DJ14" s="216">
        <f t="shared" ca="1" si="4"/>
        <v>262197007.32423416</v>
      </c>
      <c r="DK14" s="216">
        <f t="shared" ca="1" si="4"/>
        <v>263576690.615383</v>
      </c>
      <c r="DL14" s="216">
        <f t="shared" ca="1" si="4"/>
        <v>261662767.30511448</v>
      </c>
      <c r="DM14" s="216">
        <f t="shared" ca="1" si="4"/>
        <v>263046706.85393098</v>
      </c>
      <c r="DN14" s="216">
        <f t="shared" ca="1" si="4"/>
        <v>264080901.91232798</v>
      </c>
      <c r="DO14" s="216">
        <f t="shared" ca="1" si="4"/>
        <v>259634349.07464218</v>
      </c>
      <c r="DP14" s="216">
        <f t="shared" ref="DP14:EP14" ca="1" si="5">SUM(DP15,DP20)</f>
        <v>261018193.60491985</v>
      </c>
      <c r="DQ14" s="216">
        <f t="shared" ca="1" si="5"/>
        <v>262257835.98259082</v>
      </c>
      <c r="DR14" s="216">
        <f t="shared" ca="1" si="5"/>
        <v>260598610.86788893</v>
      </c>
      <c r="DS14" s="216">
        <f t="shared" ca="1" si="5"/>
        <v>262011049.11246425</v>
      </c>
      <c r="DT14" s="216">
        <f t="shared" ca="1" si="5"/>
        <v>263423487.35703957</v>
      </c>
      <c r="DU14" s="216">
        <f t="shared" ca="1" si="5"/>
        <v>259002044.42509663</v>
      </c>
      <c r="DV14" s="216">
        <f t="shared" ca="1" si="5"/>
        <v>260425624.27607188</v>
      </c>
      <c r="DW14" s="216">
        <f t="shared" ca="1" si="5"/>
        <v>261849204.12704715</v>
      </c>
      <c r="DX14" s="216">
        <f t="shared" ca="1" si="5"/>
        <v>259962291.50897872</v>
      </c>
      <c r="DY14" s="216">
        <f t="shared" ca="1" si="5"/>
        <v>261390234.02406332</v>
      </c>
      <c r="DZ14" s="216">
        <f t="shared" ca="1" si="5"/>
        <v>262473678.21608469</v>
      </c>
      <c r="EA14" s="216">
        <f t="shared" ca="1" si="5"/>
        <v>-8.0093741416931152E-8</v>
      </c>
      <c r="EB14" s="216">
        <f t="shared" ca="1" si="5"/>
        <v>-8.0093741416931152E-8</v>
      </c>
      <c r="EC14" s="216">
        <f t="shared" ca="1" si="5"/>
        <v>-8.0093741416931152E-8</v>
      </c>
      <c r="ED14" s="216">
        <f t="shared" ca="1" si="5"/>
        <v>-8.0093741416931152E-8</v>
      </c>
      <c r="EE14" s="216">
        <f t="shared" ca="1" si="5"/>
        <v>-8.0093741416931152E-8</v>
      </c>
      <c r="EF14" s="216">
        <f t="shared" ca="1" si="5"/>
        <v>-8.0093741416931152E-8</v>
      </c>
      <c r="EG14" s="216">
        <f t="shared" ca="1" si="5"/>
        <v>-8.0093741416931152E-8</v>
      </c>
      <c r="EH14" s="216">
        <f t="shared" ca="1" si="5"/>
        <v>-8.0093741416931152E-8</v>
      </c>
      <c r="EI14" s="216">
        <f t="shared" ca="1" si="5"/>
        <v>-8.0093741416931152E-8</v>
      </c>
      <c r="EJ14" s="216">
        <f t="shared" ca="1" si="5"/>
        <v>-8.0093741416931152E-8</v>
      </c>
      <c r="EK14" s="216">
        <f t="shared" ca="1" si="5"/>
        <v>-8.0093741416931152E-8</v>
      </c>
      <c r="EL14" s="216">
        <f t="shared" ca="1" si="5"/>
        <v>-8.0093741416931152E-8</v>
      </c>
      <c r="EM14" s="216">
        <f t="shared" ca="1" si="5"/>
        <v>-8.0093741416931152E-8</v>
      </c>
      <c r="EN14" s="216">
        <f t="shared" ca="1" si="5"/>
        <v>-8.0093741416931152E-8</v>
      </c>
      <c r="EO14" s="216">
        <f t="shared" ca="1" si="5"/>
        <v>-8.0093741416931152E-8</v>
      </c>
      <c r="EP14" s="216">
        <f t="shared" ca="1" si="5"/>
        <v>-8.0093741416931152E-8</v>
      </c>
    </row>
    <row r="15" spans="1:150">
      <c r="B15" s="218"/>
      <c r="C15" s="158" t="s">
        <v>557</v>
      </c>
      <c r="D15" s="159"/>
      <c r="E15" s="159"/>
      <c r="F15" s="159"/>
      <c r="G15" s="159"/>
      <c r="H15" s="160"/>
      <c r="I15" s="973"/>
      <c r="J15" s="98"/>
      <c r="K15" s="162">
        <f ca="1">SUM(K16:K19)</f>
        <v>22856669.630531996</v>
      </c>
      <c r="L15" s="162">
        <f t="shared" ref="L15:BW15" ca="1" si="6">SUM(L16:L19)</f>
        <v>24144958.133827321</v>
      </c>
      <c r="M15" s="162">
        <f t="shared" ca="1" si="6"/>
        <v>25420799.713040356</v>
      </c>
      <c r="N15" s="162">
        <f t="shared" ca="1" si="6"/>
        <v>10489567.085902149</v>
      </c>
      <c r="O15" s="162">
        <f t="shared" ca="1" si="6"/>
        <v>11682232.020815678</v>
      </c>
      <c r="P15" s="162">
        <f t="shared" ca="1" si="6"/>
        <v>12950660.592304204</v>
      </c>
      <c r="Q15" s="162">
        <f t="shared" ca="1" si="6"/>
        <v>7911327.2255047178</v>
      </c>
      <c r="R15" s="162">
        <f t="shared" ca="1" si="6"/>
        <v>9074295.4504233692</v>
      </c>
      <c r="S15" s="162">
        <f t="shared" ca="1" si="6"/>
        <v>10426428.685579523</v>
      </c>
      <c r="T15" s="162">
        <f t="shared" ca="1" si="6"/>
        <v>8590274.1646215506</v>
      </c>
      <c r="U15" s="162">
        <f t="shared" ca="1" si="6"/>
        <v>9943606.309990203</v>
      </c>
      <c r="V15" s="162">
        <f t="shared" ca="1" si="6"/>
        <v>10935593.753692187</v>
      </c>
      <c r="W15" s="162">
        <f t="shared" ca="1" si="6"/>
        <v>5892094.8141987016</v>
      </c>
      <c r="X15" s="162">
        <f t="shared" ca="1" si="6"/>
        <v>7223434.5662389239</v>
      </c>
      <c r="Y15" s="162">
        <f t="shared" ca="1" si="6"/>
        <v>8423441.7952697985</v>
      </c>
      <c r="Z15" s="162">
        <f t="shared" ca="1" si="6"/>
        <v>6512115.9071940966</v>
      </c>
      <c r="AA15" s="162">
        <f t="shared" ca="1" si="6"/>
        <v>7734296.2973929783</v>
      </c>
      <c r="AB15" s="162">
        <f t="shared" ca="1" si="6"/>
        <v>9034134.4150812328</v>
      </c>
      <c r="AC15" s="162">
        <f t="shared" ca="1" si="6"/>
        <v>4573070.8613912407</v>
      </c>
      <c r="AD15" s="162">
        <f t="shared" ca="1" si="6"/>
        <v>5764812.1238453761</v>
      </c>
      <c r="AE15" s="162">
        <f t="shared" ca="1" si="6"/>
        <v>7150447.5217929482</v>
      </c>
      <c r="AF15" s="162">
        <f t="shared" ca="1" si="6"/>
        <v>5284447.363529616</v>
      </c>
      <c r="AG15" s="162">
        <f t="shared" ca="1" si="6"/>
        <v>6671311.6444450002</v>
      </c>
      <c r="AH15" s="162">
        <f t="shared" ca="1" si="6"/>
        <v>7669401.875885387</v>
      </c>
      <c r="AI15" s="162">
        <f t="shared" ca="1" si="6"/>
        <v>8204068.6101840427</v>
      </c>
      <c r="AJ15" s="162">
        <f t="shared" ca="1" si="6"/>
        <v>9591056.0872780737</v>
      </c>
      <c r="AK15" s="162">
        <f t="shared" ca="1" si="6"/>
        <v>10821360.547148941</v>
      </c>
      <c r="AL15" s="162">
        <f t="shared" ca="1" si="6"/>
        <v>9027264.137567101</v>
      </c>
      <c r="AM15" s="162">
        <f t="shared" ca="1" si="6"/>
        <v>10438870.370231478</v>
      </c>
      <c r="AN15" s="162">
        <f t="shared" ca="1" si="6"/>
        <v>11770854.119690994</v>
      </c>
      <c r="AO15" s="162">
        <f t="shared" ca="1" si="6"/>
        <v>7243121.8755473625</v>
      </c>
      <c r="AP15" s="162">
        <f t="shared" ca="1" si="6"/>
        <v>8664307.4423146844</v>
      </c>
      <c r="AQ15" s="162">
        <f t="shared" ca="1" si="6"/>
        <v>8916128.8636420164</v>
      </c>
      <c r="AR15" s="162">
        <f t="shared" ca="1" si="6"/>
        <v>6047788.0113596683</v>
      </c>
      <c r="AS15" s="162">
        <f t="shared" ca="1" si="6"/>
        <v>6265145.4247556115</v>
      </c>
      <c r="AT15" s="162">
        <f t="shared" ca="1" si="6"/>
        <v>6167958.7919408502</v>
      </c>
      <c r="AU15" s="162">
        <f t="shared" ca="1" si="6"/>
        <v>824557.68999356497</v>
      </c>
      <c r="AV15" s="162">
        <f t="shared" ca="1" si="6"/>
        <v>2278496.399351743</v>
      </c>
      <c r="AW15" s="162">
        <f t="shared" ca="1" si="6"/>
        <v>3604457.2207883317</v>
      </c>
      <c r="AX15" s="162">
        <f t="shared" ca="1" si="6"/>
        <v>1906976.5760509856</v>
      </c>
      <c r="AY15" s="162">
        <f t="shared" ca="1" si="6"/>
        <v>3365739.7293273108</v>
      </c>
      <c r="AZ15" s="162">
        <f t="shared" ca="1" si="6"/>
        <v>4770544.6408619611</v>
      </c>
      <c r="BA15" s="162">
        <f t="shared" ca="1" si="6"/>
        <v>408368.01450163603</v>
      </c>
      <c r="BB15" s="162">
        <f t="shared" ca="1" si="6"/>
        <v>1903983.9603734231</v>
      </c>
      <c r="BC15" s="162">
        <f t="shared" ca="1" si="6"/>
        <v>3400158.4618824557</v>
      </c>
      <c r="BD15" s="162">
        <f t="shared" ca="1" si="6"/>
        <v>1511872.0895686271</v>
      </c>
      <c r="BE15" s="162">
        <f t="shared" ca="1" si="6"/>
        <v>3011808.5026663784</v>
      </c>
      <c r="BF15" s="162">
        <f t="shared" ca="1" si="6"/>
        <v>4134546.6136122486</v>
      </c>
      <c r="BG15" s="162">
        <f t="shared" ca="1" si="6"/>
        <v>56286.323466105474</v>
      </c>
      <c r="BH15" s="162">
        <f t="shared" ca="1" si="6"/>
        <v>1556256.3658909085</v>
      </c>
      <c r="BI15" s="162">
        <f t="shared" ca="1" si="6"/>
        <v>2925645.5181749868</v>
      </c>
      <c r="BJ15" s="162">
        <f t="shared" ca="1" si="6"/>
        <v>1268175.8058696438</v>
      </c>
      <c r="BK15" s="162">
        <f t="shared" ca="1" si="6"/>
        <v>2794192.0539405853</v>
      </c>
      <c r="BL15" s="162">
        <f t="shared" ca="1" si="6"/>
        <v>4236554.930594421</v>
      </c>
      <c r="BM15" s="162">
        <f t="shared" ca="1" si="6"/>
        <v>398683.17047339317</v>
      </c>
      <c r="BN15" s="162">
        <f t="shared" ca="1" si="6"/>
        <v>1934762.1496170899</v>
      </c>
      <c r="BO15" s="162">
        <f t="shared" ca="1" si="6"/>
        <v>3470841.1287607867</v>
      </c>
      <c r="BP15" s="162">
        <f t="shared" ca="1" si="6"/>
        <v>1607182.4140612793</v>
      </c>
      <c r="BQ15" s="162">
        <f t="shared" ca="1" si="6"/>
        <v>3147117.3525834135</v>
      </c>
      <c r="BR15" s="162">
        <f t="shared" ca="1" si="6"/>
        <v>4315511.9634859441</v>
      </c>
      <c r="BS15" s="162">
        <f t="shared" ca="1" si="6"/>
        <v>56353.284005817288</v>
      </c>
      <c r="BT15" s="162">
        <f t="shared" ca="1" si="6"/>
        <v>1596277.2007486071</v>
      </c>
      <c r="BU15" s="162">
        <f t="shared" ca="1" si="6"/>
        <v>3003042.700683943</v>
      </c>
      <c r="BV15" s="162">
        <f t="shared" ca="1" si="6"/>
        <v>1534586.5553844094</v>
      </c>
      <c r="BW15" s="162">
        <f t="shared" ca="1" si="6"/>
        <v>3101207.8329144907</v>
      </c>
      <c r="BX15" s="162">
        <f t="shared" ref="BX15:DO15" ca="1" si="7">SUM(BX16:BX19)</f>
        <v>4582084.4047420388</v>
      </c>
      <c r="BY15" s="162">
        <f t="shared" ca="1" si="7"/>
        <v>391918.72750415769</v>
      </c>
      <c r="BZ15" s="162">
        <f t="shared" ca="1" si="7"/>
        <v>1968854.3043838136</v>
      </c>
      <c r="CA15" s="162">
        <f t="shared" ca="1" si="7"/>
        <v>3545789.8812634693</v>
      </c>
      <c r="CB15" s="162">
        <f t="shared" ca="1" si="7"/>
        <v>1867100.8040844516</v>
      </c>
      <c r="CC15" s="162">
        <f t="shared" ca="1" si="7"/>
        <v>3447988.7393270056</v>
      </c>
      <c r="CD15" s="162">
        <f t="shared" ca="1" si="7"/>
        <v>4662909.45186425</v>
      </c>
      <c r="CE15" s="162">
        <f t="shared" ca="1" si="7"/>
        <v>56435.438765933199</v>
      </c>
      <c r="CF15" s="162">
        <f t="shared" ca="1" si="7"/>
        <v>1637267.7669842667</v>
      </c>
      <c r="CG15" s="162">
        <f t="shared" ca="1" si="7"/>
        <v>3082313.4534734851</v>
      </c>
      <c r="CH15" s="162">
        <f t="shared" ca="1" si="7"/>
        <v>1643808.1546545131</v>
      </c>
      <c r="CI15" s="162">
        <f t="shared" ca="1" si="7"/>
        <v>3252005.2776798205</v>
      </c>
      <c r="CJ15" s="162">
        <f t="shared" ca="1" si="7"/>
        <v>4772314.0773600312</v>
      </c>
      <c r="CK15" s="162">
        <f t="shared" ca="1" si="7"/>
        <v>385306.43337677076</v>
      </c>
      <c r="CL15" s="162">
        <f t="shared" ca="1" si="7"/>
        <v>2004075.7132353918</v>
      </c>
      <c r="CM15" s="162">
        <f t="shared" ca="1" si="7"/>
        <v>3622844.9930940131</v>
      </c>
      <c r="CN15" s="162">
        <f t="shared" ca="1" si="7"/>
        <v>1969983.9505845951</v>
      </c>
      <c r="CO15" s="162">
        <f t="shared" ca="1" si="7"/>
        <v>3592804.3977651866</v>
      </c>
      <c r="CP15" s="162">
        <f t="shared" ca="1" si="7"/>
        <v>4855147.1305810492</v>
      </c>
      <c r="CQ15" s="162">
        <f t="shared" ca="1" si="7"/>
        <v>56532.81041331085</v>
      </c>
      <c r="CR15" s="162">
        <f t="shared" ca="1" si="7"/>
        <v>1679253.1144988807</v>
      </c>
      <c r="CS15" s="162">
        <f t="shared" ca="1" si="7"/>
        <v>3163506.8610206037</v>
      </c>
      <c r="CT15" s="162">
        <f t="shared" ca="1" si="7"/>
        <v>1755658.0339490124</v>
      </c>
      <c r="CU15" s="162">
        <f t="shared" ca="1" si="7"/>
        <v>3406427.2527117305</v>
      </c>
      <c r="CV15" s="162">
        <f t="shared" ca="1" si="7"/>
        <v>4967110.9400457246</v>
      </c>
      <c r="CW15" s="162">
        <f t="shared" ca="1" si="7"/>
        <v>605135.72851560719</v>
      </c>
      <c r="CX15" s="162">
        <f t="shared" ca="1" si="7"/>
        <v>1626082.1462201481</v>
      </c>
      <c r="CY15" s="162">
        <f t="shared" ca="1" si="7"/>
        <v>3247180.3343087351</v>
      </c>
      <c r="CZ15" s="162">
        <f t="shared" ca="1" si="7"/>
        <v>1591312.547904162</v>
      </c>
      <c r="DA15" s="162">
        <f t="shared" ca="1" si="7"/>
        <v>3139176.6794496696</v>
      </c>
      <c r="DB15" s="162">
        <f t="shared" ca="1" si="7"/>
        <v>4409356.765394018</v>
      </c>
      <c r="DC15" s="162">
        <f t="shared" ca="1" si="7"/>
        <v>216895.86562526849</v>
      </c>
      <c r="DD15" s="162">
        <f t="shared" ca="1" si="7"/>
        <v>1842093.6737526383</v>
      </c>
      <c r="DE15" s="162">
        <f t="shared" ca="1" si="7"/>
        <v>3325880.9660520647</v>
      </c>
      <c r="DF15" s="162">
        <f t="shared" ca="1" si="7"/>
        <v>1902104.6302148427</v>
      </c>
      <c r="DG15" s="162">
        <f t="shared" ca="1" si="7"/>
        <v>3513508.3112959056</v>
      </c>
      <c r="DH15" s="162">
        <f t="shared" ca="1" si="7"/>
        <v>5167128.9925423805</v>
      </c>
      <c r="DI15" s="162">
        <f t="shared" ca="1" si="7"/>
        <v>968295.48752062046</v>
      </c>
      <c r="DJ15" s="162">
        <f t="shared" ca="1" si="7"/>
        <v>2632154.0742341452</v>
      </c>
      <c r="DK15" s="162">
        <f t="shared" ca="1" si="7"/>
        <v>4296644.6153830057</v>
      </c>
      <c r="DL15" s="162">
        <f t="shared" ca="1" si="7"/>
        <v>2667528.5551144793</v>
      </c>
      <c r="DM15" s="162">
        <f t="shared" ca="1" si="7"/>
        <v>4336275.3539309846</v>
      </c>
      <c r="DN15" s="162">
        <f t="shared" ca="1" si="7"/>
        <v>5655277.6623279694</v>
      </c>
      <c r="DO15" s="162">
        <f t="shared" ca="1" si="7"/>
        <v>1493532.0746421674</v>
      </c>
      <c r="DP15" s="162">
        <f t="shared" ref="DP15:EP15" ca="1" si="8">SUM(DP16:DP19)</f>
        <v>3162183.8549198606</v>
      </c>
      <c r="DQ15" s="162">
        <f t="shared" ca="1" si="8"/>
        <v>4686633.4825908309</v>
      </c>
      <c r="DR15" s="162">
        <f t="shared" ca="1" si="8"/>
        <v>3312215.6178889424</v>
      </c>
      <c r="DS15" s="162">
        <f t="shared" ca="1" si="8"/>
        <v>5009461.1124642547</v>
      </c>
      <c r="DT15" s="162">
        <f t="shared" ca="1" si="8"/>
        <v>6706706.6070395671</v>
      </c>
      <c r="DU15" s="162">
        <f t="shared" ca="1" si="8"/>
        <v>2570070.9250966264</v>
      </c>
      <c r="DV15" s="162">
        <f t="shared" ca="1" si="8"/>
        <v>4278458.0260718847</v>
      </c>
      <c r="DW15" s="162">
        <f t="shared" ca="1" si="8"/>
        <v>5986845.1270471439</v>
      </c>
      <c r="DX15" s="162">
        <f t="shared" ca="1" si="8"/>
        <v>4384739.7589787189</v>
      </c>
      <c r="DY15" s="162">
        <f t="shared" ca="1" si="8"/>
        <v>6097489.5240633134</v>
      </c>
      <c r="DZ15" s="162">
        <f t="shared" ca="1" si="8"/>
        <v>7465740.9660846805</v>
      </c>
      <c r="EA15" s="162">
        <f t="shared" ca="1" si="8"/>
        <v>-8.0093741416931152E-8</v>
      </c>
      <c r="EB15" s="162">
        <f t="shared" ca="1" si="8"/>
        <v>-8.0093741416931152E-8</v>
      </c>
      <c r="EC15" s="162">
        <f t="shared" ca="1" si="8"/>
        <v>-8.0093741416931152E-8</v>
      </c>
      <c r="ED15" s="162">
        <f t="shared" ca="1" si="8"/>
        <v>-8.0093741416931152E-8</v>
      </c>
      <c r="EE15" s="162">
        <f t="shared" ca="1" si="8"/>
        <v>-8.0093741416931152E-8</v>
      </c>
      <c r="EF15" s="162">
        <f t="shared" ca="1" si="8"/>
        <v>-8.0093741416931152E-8</v>
      </c>
      <c r="EG15" s="162">
        <f t="shared" ca="1" si="8"/>
        <v>-8.0093741416931152E-8</v>
      </c>
      <c r="EH15" s="162">
        <f t="shared" ca="1" si="8"/>
        <v>-8.0093741416931152E-8</v>
      </c>
      <c r="EI15" s="162">
        <f t="shared" ca="1" si="8"/>
        <v>-8.0093741416931152E-8</v>
      </c>
      <c r="EJ15" s="162">
        <f t="shared" ca="1" si="8"/>
        <v>-8.0093741416931152E-8</v>
      </c>
      <c r="EK15" s="162">
        <f t="shared" ca="1" si="8"/>
        <v>-8.0093741416931152E-8</v>
      </c>
      <c r="EL15" s="162">
        <f t="shared" ca="1" si="8"/>
        <v>-8.0093741416931152E-8</v>
      </c>
      <c r="EM15" s="162">
        <f t="shared" ca="1" si="8"/>
        <v>-8.0093741416931152E-8</v>
      </c>
      <c r="EN15" s="162">
        <f t="shared" ca="1" si="8"/>
        <v>-8.0093741416931152E-8</v>
      </c>
      <c r="EO15" s="162">
        <f t="shared" ca="1" si="8"/>
        <v>-8.0093741416931152E-8</v>
      </c>
      <c r="EP15" s="162">
        <f t="shared" ca="1" si="8"/>
        <v>-8.0093741416931152E-8</v>
      </c>
    </row>
    <row r="16" spans="1:150">
      <c r="B16" s="218"/>
      <c r="C16" s="163"/>
      <c r="D16" s="164" t="s">
        <v>558</v>
      </c>
      <c r="E16" s="165"/>
      <c r="F16" s="165"/>
      <c r="G16" s="165"/>
      <c r="H16" s="166"/>
      <c r="I16" s="974"/>
      <c r="J16" s="98"/>
      <c r="K16" s="168">
        <f ca="1">'CF(M)'!L122</f>
        <v>10000000</v>
      </c>
      <c r="L16" s="168">
        <f ca="1">'CF(M)'!M122</f>
        <v>10588048.034416752</v>
      </c>
      <c r="M16" s="168">
        <f ca="1">'CF(M)'!N122</f>
        <v>11907021.181751214</v>
      </c>
      <c r="N16" s="168">
        <f ca="1">'CF(M)'!O122</f>
        <v>9932853.5609021485</v>
      </c>
      <c r="O16" s="168">
        <f ca="1">'CF(M)'!P122</f>
        <v>11168650.063937105</v>
      </c>
      <c r="P16" s="168">
        <f ca="1">'CF(M)'!Q122</f>
        <v>12480210.20354706</v>
      </c>
      <c r="Q16" s="168">
        <f ca="1">'CF(M)'!R122</f>
        <v>7484008.4048690023</v>
      </c>
      <c r="R16" s="168">
        <f ca="1">'CF(M)'!S122</f>
        <v>8690108.1979090832</v>
      </c>
      <c r="S16" s="168">
        <f ca="1">'CF(M)'!T122</f>
        <v>10085373.001186665</v>
      </c>
      <c r="T16" s="168">
        <f ca="1">'CF(M)'!U122</f>
        <v>8404702.9896215498</v>
      </c>
      <c r="U16" s="168">
        <f ca="1">'CF(M)'!V122</f>
        <v>9801166.7031116299</v>
      </c>
      <c r="V16" s="168">
        <f ca="1">'CF(M)'!W122</f>
        <v>10836285.714935044</v>
      </c>
      <c r="W16" s="168">
        <f ca="1">'CF(M)'!X122</f>
        <v>5835918.3435629858</v>
      </c>
      <c r="X16" s="168">
        <f ca="1">'CF(M)'!Y122</f>
        <v>6481706.3652938772</v>
      </c>
      <c r="Y16" s="168">
        <f ca="1">'CF(M)'!Z122</f>
        <v>7723600.87001542</v>
      </c>
      <c r="Z16" s="168">
        <f ca="1">'CF(M)'!AA122</f>
        <v>5966536.6526940968</v>
      </c>
      <c r="AA16" s="168">
        <f ca="1">'CF(M)'!AB122</f>
        <v>7230604.3185836468</v>
      </c>
      <c r="AB16" s="168">
        <f ca="1">'CF(M)'!AC122</f>
        <v>8572329.7119625714</v>
      </c>
      <c r="AC16" s="168">
        <f ca="1">'CF(M)'!AD122</f>
        <v>4153153.4339632466</v>
      </c>
      <c r="AD16" s="168">
        <f ca="1">'CF(M)'!AE122</f>
        <v>5386781.9721080502</v>
      </c>
      <c r="AE16" s="168">
        <f ca="1">'CF(M)'!AF122</f>
        <v>6814304.6457462916</v>
      </c>
      <c r="AF16" s="168">
        <f ca="1">'CF(M)'!AG122</f>
        <v>5102587.6120296158</v>
      </c>
      <c r="AG16" s="168">
        <f ca="1">'CF(M)'!AH122</f>
        <v>6531339.1686356692</v>
      </c>
      <c r="AH16" s="168">
        <f ca="1">'CF(M)'!AI122</f>
        <v>7571316.6757667232</v>
      </c>
      <c r="AI16" s="168">
        <f ca="1">'CF(M)'!AJ122</f>
        <v>8147870.6857560482</v>
      </c>
      <c r="AJ16" s="168">
        <f ca="1">'CF(M)'!AK122</f>
        <v>8862630.608963374</v>
      </c>
      <c r="AK16" s="168">
        <f ca="1">'CF(M)'!AL122</f>
        <v>10133597.740827534</v>
      </c>
      <c r="AL16" s="168">
        <f ca="1">'CF(M)'!AM122</f>
        <v>8492596.4681571014</v>
      </c>
      <c r="AM16" s="168">
        <f ca="1">'CF(M)'!AN122</f>
        <v>9944865.3728147708</v>
      </c>
      <c r="AN16" s="168">
        <f ca="1">'CF(M)'!AO122</f>
        <v>11317511.794267582</v>
      </c>
      <c r="AO16" s="168">
        <f ca="1">'CF(M)'!AP122</f>
        <v>6830442.2221172433</v>
      </c>
      <c r="AP16" s="168">
        <f ca="1">'CF(M)'!AQ122</f>
        <v>8292290.46087786</v>
      </c>
      <c r="AQ16" s="168">
        <f ca="1">'CF(M)'!AR122</f>
        <v>8584774.5541984867</v>
      </c>
      <c r="AR16" s="168">
        <f ca="1">'CF(M)'!AS122</f>
        <v>5869565.4548896682</v>
      </c>
      <c r="AS16" s="168">
        <f ca="1">'CF(M)'!AT122</f>
        <v>6120745.7010266893</v>
      </c>
      <c r="AT16" s="168">
        <f ca="1">'CF(M)'!AU122</f>
        <v>6064221.7402052209</v>
      </c>
      <c r="AU16" s="168">
        <f ca="1">'CF(M)'!AV122</f>
        <v>761483.31025122944</v>
      </c>
      <c r="AV16" s="168">
        <f ca="1">'CF(M)'!AW122</f>
        <v>1556246.858871839</v>
      </c>
      <c r="AW16" s="168">
        <f ca="1">'CF(M)'!AX122</f>
        <v>2921664.9409332592</v>
      </c>
      <c r="AX16" s="168">
        <f ca="1">'CF(M)'!AY122</f>
        <v>1383002.2600291856</v>
      </c>
      <c r="AY16" s="168">
        <f ca="1">'CF(M)'!AZ122</f>
        <v>2878457.1935760118</v>
      </c>
      <c r="AZ16" s="168">
        <f ca="1">'CF(M)'!BA122</f>
        <v>4322719.3657354936</v>
      </c>
      <c r="BA16" s="168">
        <f ca="1">'CF(M)'!BB122</f>
        <v>0</v>
      </c>
      <c r="BB16" s="168">
        <f ca="1">'CF(M)'!BC122</f>
        <v>1535017.350932894</v>
      </c>
      <c r="BC16" s="168">
        <f ca="1">'CF(M)'!BD122</f>
        <v>3070649.113066758</v>
      </c>
      <c r="BD16" s="168">
        <f ca="1">'CF(M)'!BE122</f>
        <v>1337213.9842280273</v>
      </c>
      <c r="BE16" s="168">
        <f ca="1">'CF(M)'!BF122</f>
        <v>2876607.6579506104</v>
      </c>
      <c r="BF16" s="168">
        <f ca="1">'CF(M)'!BG122</f>
        <v>4038803.0295213116</v>
      </c>
      <c r="BG16" s="168">
        <f ca="1">'CF(M)'!BH122</f>
        <v>0</v>
      </c>
      <c r="BH16" s="168">
        <f ca="1">'CF(M)'!BI122</f>
        <v>853580.82256564125</v>
      </c>
      <c r="BI16" s="168">
        <f ca="1">'CF(M)'!BJ122</f>
        <v>2261240.5279257102</v>
      </c>
      <c r="BJ16" s="168">
        <f ca="1">'CF(M)'!BK122</f>
        <v>754680.97616828</v>
      </c>
      <c r="BK16" s="168">
        <f ca="1">'CF(M)'!BL122</f>
        <v>2318967.7773152115</v>
      </c>
      <c r="BL16" s="168">
        <f ca="1">'CF(M)'!BM122</f>
        <v>3799601.2070450373</v>
      </c>
      <c r="BM16" s="168">
        <f ca="1">'CF(M)'!BN122</f>
        <v>0</v>
      </c>
      <c r="BN16" s="168">
        <f ca="1">'CF(M)'!BO122</f>
        <v>1574349.532219687</v>
      </c>
      <c r="BO16" s="168">
        <f ca="1">'CF(M)'!BP122</f>
        <v>3148699.064439374</v>
      </c>
      <c r="BP16" s="168">
        <f ca="1">'CF(M)'!BQ122</f>
        <v>1436017.4708274913</v>
      </c>
      <c r="BQ16" s="168">
        <f ca="1">'CF(M)'!BR122</f>
        <v>3014222.9624256156</v>
      </c>
      <c r="BR16" s="168">
        <f ca="1">'CF(M)'!BS122</f>
        <v>4220888.1264041364</v>
      </c>
      <c r="BS16" s="168">
        <f ca="1">'CF(M)'!BT122</f>
        <v>0</v>
      </c>
      <c r="BT16" s="168">
        <f ca="1">'CF(M)'!BU122</f>
        <v>906059.40780073369</v>
      </c>
      <c r="BU16" s="168">
        <f ca="1">'CF(M)'!BV122</f>
        <v>2349926.9762704629</v>
      </c>
      <c r="BV16" s="168">
        <f ca="1">'CF(M)'!BW122</f>
        <v>1031361.6222770726</v>
      </c>
      <c r="BW16" s="168">
        <f ca="1">'CF(M)'!BX122</f>
        <v>2635084.9683415471</v>
      </c>
      <c r="BX16" s="168">
        <f ca="1">'CF(M)'!BY122</f>
        <v>4153063.608703488</v>
      </c>
      <c r="BY16" s="168">
        <f ca="1">'CF(M)'!BZ122</f>
        <v>0</v>
      </c>
      <c r="BZ16" s="168">
        <f ca="1">'CF(M)'!CA122</f>
        <v>1614037.6454140488</v>
      </c>
      <c r="CA16" s="168">
        <f ca="1">'CF(M)'!CB122</f>
        <v>3228075.2908280976</v>
      </c>
      <c r="CB16" s="168">
        <f ca="1">'CF(M)'!CC122</f>
        <v>1699359.1597153395</v>
      </c>
      <c r="CC16" s="168">
        <f ca="1">'CF(M)'!CD122</f>
        <v>3317349.1634922866</v>
      </c>
      <c r="CD16" s="168">
        <f ca="1">'CF(M)'!CE122</f>
        <v>4569371.9445639243</v>
      </c>
      <c r="CE16" s="168">
        <f ca="1">'CF(M)'!CF122</f>
        <v>0</v>
      </c>
      <c r="CF16" s="168">
        <f ca="1">'CF(M)'!CG122</f>
        <v>959236.41598088655</v>
      </c>
      <c r="CG16" s="168">
        <f ca="1">'CF(M)'!CH122</f>
        <v>2440233.4361595782</v>
      </c>
      <c r="CH16" s="168">
        <f ca="1">'CF(M)'!CI122</f>
        <v>1150647.7202093233</v>
      </c>
      <c r="CI16" s="168">
        <f ca="1">'CF(M)'!CJ122</f>
        <v>2794796.1769241039</v>
      </c>
      <c r="CJ16" s="168">
        <f ca="1">'CF(M)'!CK122</f>
        <v>4351056.3102937881</v>
      </c>
      <c r="CK16" s="168">
        <f ca="1">'CF(M)'!CL122</f>
        <v>0</v>
      </c>
      <c r="CL16" s="168">
        <f ca="1">'CF(M)'!CM122</f>
        <v>1654720.6135480942</v>
      </c>
      <c r="CM16" s="168">
        <f ca="1">'CF(M)'!CN122</f>
        <v>3309441.2270961883</v>
      </c>
      <c r="CN16" s="168">
        <f ca="1">'CF(M)'!CO122</f>
        <v>1805597.1391028652</v>
      </c>
      <c r="CO16" s="168">
        <f ca="1">'CF(M)'!CP122</f>
        <v>3464368.9199729301</v>
      </c>
      <c r="CP16" s="168">
        <f ca="1">'CF(M)'!CQ122</f>
        <v>4762662.9864782654</v>
      </c>
      <c r="CQ16" s="168">
        <f ca="1">'CF(M)'!CR122</f>
        <v>0</v>
      </c>
      <c r="CR16" s="168">
        <f ca="1">'CF(M)'!CS122</f>
        <v>1013141.8856176417</v>
      </c>
      <c r="CS16" s="168">
        <f ca="1">'CF(M)'!CT122</f>
        <v>2532213.5146798179</v>
      </c>
      <c r="CT16" s="168">
        <f ca="1">'CF(M)'!CU122</f>
        <v>1272360.808192726</v>
      </c>
      <c r="CU16" s="168">
        <f ca="1">'CF(M)'!CV122</f>
        <v>2957947.9094958976</v>
      </c>
      <c r="CV16" s="168">
        <f ca="1">'CF(M)'!CW122</f>
        <v>4553449.4793703454</v>
      </c>
      <c r="CW16" s="168">
        <f ca="1">'CF(M)'!CX122</f>
        <v>226292.15038068127</v>
      </c>
      <c r="CX16" s="168">
        <f ca="1">'CF(M)'!CY122</f>
        <v>1222041.2735872709</v>
      </c>
      <c r="CY16" s="168">
        <f ca="1">'CF(M)'!CZ122</f>
        <v>2877957.3442163114</v>
      </c>
      <c r="CZ16" s="168">
        <f ca="1">'CF(M)'!DA122</f>
        <v>1430213.4726520665</v>
      </c>
      <c r="DA16" s="168">
        <f ca="1">'CF(M)'!DB122</f>
        <v>3005156.8364332179</v>
      </c>
      <c r="DB16" s="168">
        <f ca="1">'CF(M)'!DC122</f>
        <v>4310154.8049180191</v>
      </c>
      <c r="DC16" s="168">
        <f ca="1">'CF(M)'!DD122</f>
        <v>152511.78768972354</v>
      </c>
      <c r="DD16" s="168">
        <f ca="1">'CF(M)'!DE122</f>
        <v>1179902.4770362109</v>
      </c>
      <c r="DE16" s="168">
        <f ca="1">'CF(M)'!DF122</f>
        <v>2697391.0255429689</v>
      </c>
      <c r="DF16" s="168">
        <f ca="1">'CF(M)'!DG122</f>
        <v>1428473.3489736822</v>
      </c>
      <c r="DG16" s="168">
        <f ca="1">'CF(M)'!DH122</f>
        <v>3069356.5862455354</v>
      </c>
      <c r="DH16" s="168">
        <f ca="1">'CF(M)'!DI122</f>
        <v>4756678.5236993413</v>
      </c>
      <c r="DI16" s="168">
        <f ca="1">'CF(M)'!DJ122</f>
        <v>588417.38769943593</v>
      </c>
      <c r="DJ16" s="168">
        <f ca="1">'CF(M)'!DK122</f>
        <v>2285914.0351767587</v>
      </c>
      <c r="DK16" s="168">
        <f ca="1">'CF(M)'!DL122</f>
        <v>3984105.8325329507</v>
      </c>
      <c r="DL16" s="168">
        <f ca="1">'CF(M)'!DM122</f>
        <v>2509651.4613674255</v>
      </c>
      <c r="DM16" s="168">
        <f ca="1">'CF(M)'!DN122</f>
        <v>4212099.5163912624</v>
      </c>
      <c r="DN16" s="168">
        <f ca="1">'CF(M)'!DO122</f>
        <v>5564803.0809955793</v>
      </c>
      <c r="DO16" s="168">
        <f ca="1">'CF(M)'!DP122</f>
        <v>1436758.7495171083</v>
      </c>
      <c r="DP16" s="168">
        <f ca="1">'CF(M)'!DQ122</f>
        <v>2519133.3250511438</v>
      </c>
      <c r="DQ16" s="168">
        <f ca="1">'CF(M)'!DR122</f>
        <v>4076183.9554669056</v>
      </c>
      <c r="DR16" s="168">
        <f ca="1">'CF(M)'!DS122</f>
        <v>2848056.9622726049</v>
      </c>
      <c r="DS16" s="168">
        <f ca="1">'CF(M)'!DT122</f>
        <v>4577903.4595927093</v>
      </c>
      <c r="DT16" s="168">
        <f ca="1">'CF(M)'!DU122</f>
        <v>6307749.9569128137</v>
      </c>
      <c r="DU16" s="168">
        <f ca="1">'CF(M)'!DV122</f>
        <v>2203715.2777146646</v>
      </c>
      <c r="DV16" s="168">
        <f ca="1">'CF(M)'!DW122</f>
        <v>3944703.3814347144</v>
      </c>
      <c r="DW16" s="168">
        <f ca="1">'CF(M)'!DX122</f>
        <v>5685691.4851547647</v>
      </c>
      <c r="DX16" s="168">
        <f ca="1">'CF(M)'!DY122</f>
        <v>4230020.2071066061</v>
      </c>
      <c r="DY16" s="168">
        <f ca="1">'CF(M)'!DZ122</f>
        <v>5975370.9749359926</v>
      </c>
      <c r="DZ16" s="168">
        <f ca="1">'CF(M)'!EA122</f>
        <v>7376223.4197021518</v>
      </c>
      <c r="EA16" s="168">
        <f ca="1">'CF(M)'!EB122</f>
        <v>-8.0093741416931152E-8</v>
      </c>
      <c r="EB16" s="168">
        <f ca="1">'CF(M)'!EC122</f>
        <v>-8.0093741416931152E-8</v>
      </c>
      <c r="EC16" s="168">
        <f ca="1">'CF(M)'!ED122</f>
        <v>-8.0093741416931152E-8</v>
      </c>
      <c r="ED16" s="168">
        <f ca="1">'CF(M)'!EE122</f>
        <v>-8.0093741416931152E-8</v>
      </c>
      <c r="EE16" s="168">
        <f ca="1">'CF(M)'!EF122</f>
        <v>-8.0093741416931152E-8</v>
      </c>
      <c r="EF16" s="168">
        <f ca="1">'CF(M)'!EG122</f>
        <v>-8.0093741416931152E-8</v>
      </c>
      <c r="EG16" s="168">
        <f ca="1">'CF(M)'!EH122</f>
        <v>-8.0093741416931152E-8</v>
      </c>
      <c r="EH16" s="168">
        <f ca="1">'CF(M)'!EI122</f>
        <v>-8.0093741416931152E-8</v>
      </c>
      <c r="EI16" s="168">
        <f ca="1">'CF(M)'!EJ122</f>
        <v>-8.0093741416931152E-8</v>
      </c>
      <c r="EJ16" s="168">
        <f ca="1">'CF(M)'!EK122</f>
        <v>-8.0093741416931152E-8</v>
      </c>
      <c r="EK16" s="168">
        <f ca="1">'CF(M)'!EL122</f>
        <v>-8.0093741416931152E-8</v>
      </c>
      <c r="EL16" s="168">
        <f ca="1">'CF(M)'!EM122</f>
        <v>-8.0093741416931152E-8</v>
      </c>
      <c r="EM16" s="168">
        <f ca="1">'CF(M)'!EN122</f>
        <v>-8.0093741416931152E-8</v>
      </c>
      <c r="EN16" s="168">
        <f ca="1">'CF(M)'!EO122</f>
        <v>-8.0093741416931152E-8</v>
      </c>
      <c r="EO16" s="168">
        <f ca="1">'CF(M)'!EP122</f>
        <v>-8.0093741416931152E-8</v>
      </c>
      <c r="EP16" s="168">
        <f ca="1">'CF(M)'!EQ122</f>
        <v>-8.0093741416931152E-8</v>
      </c>
    </row>
    <row r="17" spans="2:146">
      <c r="B17" s="218"/>
      <c r="C17" s="163"/>
      <c r="D17" s="169" t="s">
        <v>559</v>
      </c>
      <c r="H17" s="146"/>
      <c r="I17" s="953"/>
      <c r="J17" s="98"/>
      <c r="K17" s="171">
        <f>'FS_Detail(M)'!L155</f>
        <v>12856669.630531998</v>
      </c>
      <c r="L17" s="171">
        <f>'FS_Detail(M)'!M155</f>
        <v>12876482.457743904</v>
      </c>
      <c r="M17" s="171">
        <f>'FS_Detail(M)'!N155</f>
        <v>12895207.94795581</v>
      </c>
      <c r="N17" s="171">
        <f>'FS_Detail(M)'!O155</f>
        <v>0</v>
      </c>
      <c r="O17" s="171">
        <f>'FS_Detail(M)'!P155</f>
        <v>18725.49021190518</v>
      </c>
      <c r="P17" s="171">
        <f>'FS_Detail(M)'!Q155</f>
        <v>37450.980423810361</v>
      </c>
      <c r="Q17" s="171">
        <f>'FS_Detail(M)'!R155</f>
        <v>56176.470635715537</v>
      </c>
      <c r="R17" s="171">
        <f>'FS_Detail(M)'!S155</f>
        <v>74901.960847620721</v>
      </c>
      <c r="S17" s="171">
        <f>'FS_Detail(M)'!T155</f>
        <v>93627.451059525905</v>
      </c>
      <c r="T17" s="171">
        <f>'FS_Detail(M)'!U155</f>
        <v>0</v>
      </c>
      <c r="U17" s="171">
        <f>'FS_Detail(M)'!V155</f>
        <v>18725.49021190518</v>
      </c>
      <c r="V17" s="171">
        <f>'FS_Detail(M)'!W155</f>
        <v>37450.980423810361</v>
      </c>
      <c r="W17" s="171">
        <f>'FS_Detail(M)'!X155</f>
        <v>56176.470635715537</v>
      </c>
      <c r="X17" s="171">
        <f>'FS_Detail(M)'!Y155</f>
        <v>74909.11211171365</v>
      </c>
      <c r="Y17" s="171">
        <f>'FS_Detail(M)'!Z155</f>
        <v>93641.753587711763</v>
      </c>
      <c r="Z17" s="171">
        <f>'FS_Detail(M)'!AA155</f>
        <v>0</v>
      </c>
      <c r="AA17" s="171">
        <f>'FS_Detail(M)'!AB155</f>
        <v>18732.641475998116</v>
      </c>
      <c r="AB17" s="171">
        <f>'FS_Detail(M)'!AC155</f>
        <v>37465.282951996232</v>
      </c>
      <c r="AC17" s="171">
        <f>'FS_Detail(M)'!AD155</f>
        <v>56197.924427994352</v>
      </c>
      <c r="AD17" s="171">
        <f>'FS_Detail(M)'!AE155</f>
        <v>74930.565903992465</v>
      </c>
      <c r="AE17" s="171">
        <f>'FS_Detail(M)'!AF155</f>
        <v>93663.207379990577</v>
      </c>
      <c r="AF17" s="171">
        <f>'FS_Detail(M)'!AG155</f>
        <v>0</v>
      </c>
      <c r="AG17" s="171">
        <f>'FS_Detail(M)'!AH155</f>
        <v>18732.641475998116</v>
      </c>
      <c r="AH17" s="171">
        <f>'FS_Detail(M)'!AI155</f>
        <v>37465.282951996232</v>
      </c>
      <c r="AI17" s="171">
        <f>'FS_Detail(M)'!AJ155</f>
        <v>56197.924427994352</v>
      </c>
      <c r="AJ17" s="171">
        <f>'FS_Detail(M)'!AK155</f>
        <v>74942.771258033928</v>
      </c>
      <c r="AK17" s="171">
        <f>'FS_Detail(M)'!AL155</f>
        <v>93687.618088073505</v>
      </c>
      <c r="AL17" s="171">
        <f>'FS_Detail(M)'!AM155</f>
        <v>0</v>
      </c>
      <c r="AM17" s="171">
        <f>'FS_Detail(M)'!AN155</f>
        <v>18744.846830039573</v>
      </c>
      <c r="AN17" s="171">
        <f>'FS_Detail(M)'!AO155</f>
        <v>37489.693660079145</v>
      </c>
      <c r="AO17" s="171">
        <f>'FS_Detail(M)'!AP155</f>
        <v>56234.540490118714</v>
      </c>
      <c r="AP17" s="171">
        <f>'FS_Detail(M)'!AQ155</f>
        <v>74979.38732015829</v>
      </c>
      <c r="AQ17" s="171">
        <f>'FS_Detail(M)'!AR155</f>
        <v>93724.234150197866</v>
      </c>
      <c r="AR17" s="171">
        <f>'FS_Detail(M)'!AS155</f>
        <v>0</v>
      </c>
      <c r="AS17" s="171">
        <f>'FS_Detail(M)'!AT155</f>
        <v>25584.686082256489</v>
      </c>
      <c r="AT17" s="171">
        <f>'FS_Detail(M)'!AU155</f>
        <v>44329.532912296061</v>
      </c>
      <c r="AU17" s="171">
        <f>'FS_Detail(M)'!AV155</f>
        <v>63074.37974233563</v>
      </c>
      <c r="AV17" s="171">
        <f>'FS_Detail(M)'!AW155</f>
        <v>81836.487564370822</v>
      </c>
      <c r="AW17" s="171">
        <f>'FS_Detail(M)'!AX155</f>
        <v>100598.59538640601</v>
      </c>
      <c r="AX17" s="171">
        <f>'FS_Detail(M)'!AY155</f>
        <v>0</v>
      </c>
      <c r="AY17" s="171">
        <f>'FS_Detail(M)'!AZ155</f>
        <v>21527.588176365716</v>
      </c>
      <c r="AZ17" s="171">
        <f>'FS_Detail(M)'!BA155</f>
        <v>40289.695998400908</v>
      </c>
      <c r="BA17" s="171">
        <f>'FS_Detail(M)'!BB155</f>
        <v>59051.8038204361</v>
      </c>
      <c r="BB17" s="171">
        <f>'FS_Detail(M)'!BC155</f>
        <v>77869.767206195815</v>
      </c>
      <c r="BC17" s="171">
        <f>'FS_Detail(M)'!BD155</f>
        <v>96631.875028231007</v>
      </c>
      <c r="BD17" s="171">
        <f>'FS_Detail(M)'!BE155</f>
        <v>0</v>
      </c>
      <c r="BE17" s="171">
        <f>'FS_Detail(M)'!BF155</f>
        <v>18762.107822035192</v>
      </c>
      <c r="BF17" s="171">
        <f>'FS_Detail(M)'!BG155</f>
        <v>37524.215644070384</v>
      </c>
      <c r="BG17" s="171">
        <f>'FS_Detail(M)'!BH155</f>
        <v>56286.323466105576</v>
      </c>
      <c r="BH17" s="171">
        <f>'FS_Detail(M)'!BI155</f>
        <v>75070.751468044677</v>
      </c>
      <c r="BI17" s="171">
        <f>'FS_Detail(M)'!BJ155</f>
        <v>93855.179469983777</v>
      </c>
      <c r="BJ17" s="171">
        <f>'FS_Detail(M)'!BK155</f>
        <v>0</v>
      </c>
      <c r="BK17" s="171">
        <f>'FS_Detail(M)'!BL155</f>
        <v>18784.428001939097</v>
      </c>
      <c r="BL17" s="171">
        <f>'FS_Detail(M)'!BM155</f>
        <v>37568.856003878194</v>
      </c>
      <c r="BM17" s="171">
        <f>'FS_Detail(M)'!BN155</f>
        <v>56353.284005817288</v>
      </c>
      <c r="BN17" s="171">
        <f>'FS_Detail(M)'!BO155</f>
        <v>75137.712007756389</v>
      </c>
      <c r="BO17" s="171">
        <f>'FS_Detail(M)'!BP155</f>
        <v>93922.140009695489</v>
      </c>
      <c r="BP17" s="171">
        <f>'FS_Detail(M)'!BQ155</f>
        <v>0</v>
      </c>
      <c r="BQ17" s="171">
        <f>'FS_Detail(M)'!BR155</f>
        <v>18784.428001939097</v>
      </c>
      <c r="BR17" s="171">
        <f>'FS_Detail(M)'!BS155</f>
        <v>37568.856003878194</v>
      </c>
      <c r="BS17" s="171">
        <f>'FS_Detail(M)'!BT155</f>
        <v>56353.284005817288</v>
      </c>
      <c r="BT17" s="171">
        <f>'FS_Detail(M)'!BU155</f>
        <v>75165.09692779505</v>
      </c>
      <c r="BU17" s="171">
        <f>'FS_Detail(M)'!BV155</f>
        <v>93976.909849772812</v>
      </c>
      <c r="BV17" s="171">
        <f>'FS_Detail(M)'!BW155</f>
        <v>0</v>
      </c>
      <c r="BW17" s="171">
        <f>'FS_Detail(M)'!BX155</f>
        <v>18811.812921977758</v>
      </c>
      <c r="BX17" s="171">
        <f>'FS_Detail(M)'!BY155</f>
        <v>37623.625843955517</v>
      </c>
      <c r="BY17" s="171">
        <f>'FS_Detail(M)'!BZ155</f>
        <v>56435.438765933271</v>
      </c>
      <c r="BZ17" s="171">
        <f>'FS_Detail(M)'!CA155</f>
        <v>75247.251687911034</v>
      </c>
      <c r="CA17" s="171">
        <f>'FS_Detail(M)'!CB155</f>
        <v>94059.064609888796</v>
      </c>
      <c r="CB17" s="171">
        <f>'FS_Detail(M)'!CC155</f>
        <v>0</v>
      </c>
      <c r="CC17" s="171">
        <f>'FS_Detail(M)'!CD155</f>
        <v>18811.812921977758</v>
      </c>
      <c r="CD17" s="171">
        <f>'FS_Detail(M)'!CE155</f>
        <v>37623.625843955517</v>
      </c>
      <c r="CE17" s="171">
        <f>'FS_Detail(M)'!CF155</f>
        <v>56435.438765933271</v>
      </c>
      <c r="CF17" s="171">
        <f>'FS_Detail(M)'!CG155</f>
        <v>75279.708903703548</v>
      </c>
      <c r="CG17" s="171">
        <f>'FS_Detail(M)'!CH155</f>
        <v>94123.979041473824</v>
      </c>
      <c r="CH17" s="171">
        <f>'FS_Detail(M)'!CI155</f>
        <v>0</v>
      </c>
      <c r="CI17" s="171">
        <f>'FS_Detail(M)'!CJ155</f>
        <v>18844.270137770283</v>
      </c>
      <c r="CJ17" s="171">
        <f>'FS_Detail(M)'!CK155</f>
        <v>37688.540275540567</v>
      </c>
      <c r="CK17" s="171">
        <f>'FS_Detail(M)'!CL155</f>
        <v>56532.81041331085</v>
      </c>
      <c r="CL17" s="171">
        <f>'FS_Detail(M)'!CM155</f>
        <v>75377.080551081133</v>
      </c>
      <c r="CM17" s="171">
        <f>'FS_Detail(M)'!CN155</f>
        <v>94221.350688851409</v>
      </c>
      <c r="CN17" s="171">
        <f>'FS_Detail(M)'!CO155</f>
        <v>0</v>
      </c>
      <c r="CO17" s="171">
        <f>'FS_Detail(M)'!CP155</f>
        <v>18844.270137770283</v>
      </c>
      <c r="CP17" s="171">
        <f>'FS_Detail(M)'!CQ155</f>
        <v>37688.540275540567</v>
      </c>
      <c r="CQ17" s="171">
        <f>'FS_Detail(M)'!CR155</f>
        <v>56532.81041331085</v>
      </c>
      <c r="CR17" s="171">
        <f>'FS_Detail(M)'!CS155</f>
        <v>75414.619623555875</v>
      </c>
      <c r="CS17" s="171">
        <f>'FS_Detail(M)'!CT155</f>
        <v>94296.428833800892</v>
      </c>
      <c r="CT17" s="171">
        <f>'FS_Detail(M)'!CU155</f>
        <v>0</v>
      </c>
      <c r="CU17" s="171">
        <f>'FS_Detail(M)'!CV155</f>
        <v>18881.809210245021</v>
      </c>
      <c r="CV17" s="171">
        <f>'FS_Detail(M)'!CW155</f>
        <v>37763.618420490042</v>
      </c>
      <c r="CW17" s="171">
        <f>'FS_Detail(M)'!CX155</f>
        <v>56645.427630735066</v>
      </c>
      <c r="CX17" s="171">
        <f>'FS_Detail(M)'!CY155</f>
        <v>135542.41387938469</v>
      </c>
      <c r="CY17" s="171">
        <f>'FS_Detail(M)'!CZ155</f>
        <v>154424.22308962973</v>
      </c>
      <c r="CZ17" s="171">
        <f>'FS_Detail(M)'!DA155</f>
        <v>0</v>
      </c>
      <c r="DA17" s="171">
        <f>'FS_Detail(M)'!DB155</f>
        <v>26620.459515054903</v>
      </c>
      <c r="DB17" s="171">
        <f>'FS_Detail(M)'!DC155</f>
        <v>45502.268725299924</v>
      </c>
      <c r="DC17" s="171">
        <f>'FS_Detail(M)'!DD155</f>
        <v>64384.077935544949</v>
      </c>
      <c r="DD17" s="171">
        <f>'FS_Detail(M)'!DE155</f>
        <v>83308.519643897976</v>
      </c>
      <c r="DE17" s="171">
        <f>'FS_Detail(M)'!DF155</f>
        <v>102232.961352251</v>
      </c>
      <c r="DF17" s="171">
        <f>'FS_Detail(M)'!DG155</f>
        <v>0</v>
      </c>
      <c r="DG17" s="171">
        <f>'FS_Detail(M)'!DH155</f>
        <v>23146.141724894125</v>
      </c>
      <c r="DH17" s="171">
        <f>'FS_Detail(M)'!DI155</f>
        <v>42070.583433247157</v>
      </c>
      <c r="DI17" s="171">
        <f>'FS_Detail(M)'!DJ155</f>
        <v>64123.912327077422</v>
      </c>
      <c r="DJ17" s="171">
        <f>'FS_Detail(M)'!DK155</f>
        <v>83111.549478964007</v>
      </c>
      <c r="DK17" s="171">
        <f>'FS_Detail(M)'!DL155</f>
        <v>102035.99118731703</v>
      </c>
      <c r="DL17" s="171">
        <f>'FS_Detail(M)'!DM155</f>
        <v>0</v>
      </c>
      <c r="DM17" s="171">
        <f>'FS_Detail(M)'!DN155</f>
        <v>18924.441708353035</v>
      </c>
      <c r="DN17" s="171">
        <f>'FS_Detail(M)'!DO155</f>
        <v>37848.88341670607</v>
      </c>
      <c r="DO17" s="171">
        <f>'FS_Detail(M)'!DP155</f>
        <v>56773.325125059106</v>
      </c>
      <c r="DP17" s="171">
        <f>'FS_Detail(M)'!DQ155</f>
        <v>75745.506337638144</v>
      </c>
      <c r="DQ17" s="171">
        <f>'FS_Detail(M)'!DR155</f>
        <v>94717.687550217175</v>
      </c>
      <c r="DR17" s="171">
        <f>'FS_Detail(M)'!DS155</f>
        <v>0</v>
      </c>
      <c r="DS17" s="171">
        <f>'FS_Detail(M)'!DT155</f>
        <v>18972.181212579035</v>
      </c>
      <c r="DT17" s="171">
        <f>'FS_Detail(M)'!DU155</f>
        <v>37944.36242515807</v>
      </c>
      <c r="DU17" s="171">
        <f>'FS_Detail(M)'!DV155</f>
        <v>56916.543637737108</v>
      </c>
      <c r="DV17" s="171">
        <f>'FS_Detail(M)'!DW155</f>
        <v>75888.724850316139</v>
      </c>
      <c r="DW17" s="171">
        <f>'FS_Detail(M)'!DX155</f>
        <v>94860.90606289517</v>
      </c>
      <c r="DX17" s="171">
        <f>'FS_Detail(M)'!DY155</f>
        <v>0</v>
      </c>
      <c r="DY17" s="171">
        <f>'FS_Detail(M)'!DZ155</f>
        <v>18972.181212579035</v>
      </c>
      <c r="DZ17" s="171">
        <f>'FS_Detail(M)'!EA155</f>
        <v>37944.36242515807</v>
      </c>
      <c r="EA17" s="171">
        <f>'FS_Detail(M)'!EB155</f>
        <v>0</v>
      </c>
      <c r="EB17" s="171">
        <f>'FS_Detail(M)'!EC155</f>
        <v>0</v>
      </c>
      <c r="EC17" s="171">
        <f>'FS_Detail(M)'!ED155</f>
        <v>0</v>
      </c>
      <c r="ED17" s="171">
        <f>'FS_Detail(M)'!EE155</f>
        <v>0</v>
      </c>
      <c r="EE17" s="171">
        <f>'FS_Detail(M)'!EF155</f>
        <v>0</v>
      </c>
      <c r="EF17" s="171">
        <f>'FS_Detail(M)'!EG155</f>
        <v>0</v>
      </c>
      <c r="EG17" s="171">
        <f>'FS_Detail(M)'!EH155</f>
        <v>0</v>
      </c>
      <c r="EH17" s="171">
        <f>'FS_Detail(M)'!EI155</f>
        <v>0</v>
      </c>
      <c r="EI17" s="171">
        <f>'FS_Detail(M)'!EJ155</f>
        <v>0</v>
      </c>
      <c r="EJ17" s="171">
        <f>'FS_Detail(M)'!EK155</f>
        <v>0</v>
      </c>
      <c r="EK17" s="171">
        <f>'FS_Detail(M)'!EL155</f>
        <v>0</v>
      </c>
      <c r="EL17" s="171">
        <f>'FS_Detail(M)'!EM155</f>
        <v>0</v>
      </c>
      <c r="EM17" s="171">
        <f>'FS_Detail(M)'!EN155</f>
        <v>0</v>
      </c>
      <c r="EN17" s="171">
        <f>'FS_Detail(M)'!EO155</f>
        <v>0</v>
      </c>
      <c r="EO17" s="171">
        <f>'FS_Detail(M)'!EP155</f>
        <v>0</v>
      </c>
      <c r="EP17" s="171">
        <f>'FS_Detail(M)'!EQ155</f>
        <v>0</v>
      </c>
    </row>
    <row r="18" spans="2:146">
      <c r="B18" s="218"/>
      <c r="C18" s="163"/>
      <c r="D18" s="169" t="s">
        <v>237</v>
      </c>
      <c r="H18" s="146"/>
      <c r="I18" s="953"/>
      <c r="J18" s="98"/>
      <c r="K18" s="171">
        <f>'FS_Detail(M)'!L162</f>
        <v>0</v>
      </c>
      <c r="L18" s="171">
        <f>'FS_Detail(M)'!M162</f>
        <v>0</v>
      </c>
      <c r="M18" s="171">
        <f>'FS_Detail(M)'!N162</f>
        <v>0</v>
      </c>
      <c r="N18" s="171">
        <f>'FS_Detail(M)'!O162</f>
        <v>0</v>
      </c>
      <c r="O18" s="171">
        <f>'FS_Detail(M)'!P162</f>
        <v>0</v>
      </c>
      <c r="P18" s="171">
        <f>'FS_Detail(M)'!Q162</f>
        <v>0</v>
      </c>
      <c r="Q18" s="171">
        <f>'FS_Detail(M)'!R162</f>
        <v>0</v>
      </c>
      <c r="R18" s="171">
        <f>'FS_Detail(M)'!S162</f>
        <v>0</v>
      </c>
      <c r="S18" s="171">
        <f>'FS_Detail(M)'!T162</f>
        <v>0</v>
      </c>
      <c r="T18" s="171">
        <f>'FS_Detail(M)'!U162</f>
        <v>0</v>
      </c>
      <c r="U18" s="171">
        <f>'FS_Detail(M)'!V162</f>
        <v>0</v>
      </c>
      <c r="V18" s="171">
        <f>'FS_Detail(M)'!W162</f>
        <v>0</v>
      </c>
      <c r="W18" s="171">
        <f>'FS_Detail(M)'!X162</f>
        <v>0</v>
      </c>
      <c r="X18" s="171">
        <f>'FS_Detail(M)'!Y162</f>
        <v>0</v>
      </c>
      <c r="Y18" s="171">
        <f>'FS_Detail(M)'!Z162</f>
        <v>0</v>
      </c>
      <c r="Z18" s="171">
        <f>'FS_Detail(M)'!AA162</f>
        <v>0</v>
      </c>
      <c r="AA18" s="171">
        <f>'FS_Detail(M)'!AB162</f>
        <v>0</v>
      </c>
      <c r="AB18" s="171">
        <f>'FS_Detail(M)'!AC162</f>
        <v>0</v>
      </c>
      <c r="AC18" s="171">
        <f>'FS_Detail(M)'!AD162</f>
        <v>0</v>
      </c>
      <c r="AD18" s="171">
        <f>'FS_Detail(M)'!AE162</f>
        <v>0</v>
      </c>
      <c r="AE18" s="171">
        <f>'FS_Detail(M)'!AF162</f>
        <v>0</v>
      </c>
      <c r="AF18" s="171">
        <f>'FS_Detail(M)'!AG162</f>
        <v>0</v>
      </c>
      <c r="AG18" s="171">
        <f>'FS_Detail(M)'!AH162</f>
        <v>0</v>
      </c>
      <c r="AH18" s="171">
        <f>'FS_Detail(M)'!AI162</f>
        <v>0</v>
      </c>
      <c r="AI18" s="171">
        <f>'FS_Detail(M)'!AJ162</f>
        <v>0</v>
      </c>
      <c r="AJ18" s="171">
        <f>'FS_Detail(M)'!AK162</f>
        <v>0</v>
      </c>
      <c r="AK18" s="171">
        <f>'FS_Detail(M)'!AL162</f>
        <v>0</v>
      </c>
      <c r="AL18" s="171">
        <f>'FS_Detail(M)'!AM162</f>
        <v>0</v>
      </c>
      <c r="AM18" s="171">
        <f>'FS_Detail(M)'!AN162</f>
        <v>0</v>
      </c>
      <c r="AN18" s="171">
        <f>'FS_Detail(M)'!AO162</f>
        <v>0</v>
      </c>
      <c r="AO18" s="171">
        <f>'FS_Detail(M)'!AP162</f>
        <v>0</v>
      </c>
      <c r="AP18" s="171">
        <f>'FS_Detail(M)'!AQ162</f>
        <v>0</v>
      </c>
      <c r="AQ18" s="171">
        <f>'FS_Detail(M)'!AR162</f>
        <v>0</v>
      </c>
      <c r="AR18" s="171">
        <f>'FS_Detail(M)'!AS162</f>
        <v>0</v>
      </c>
      <c r="AS18" s="171">
        <f>'FS_Detail(M)'!AT162</f>
        <v>0</v>
      </c>
      <c r="AT18" s="171">
        <f>'FS_Detail(M)'!AU162</f>
        <v>0</v>
      </c>
      <c r="AU18" s="171">
        <f>'FS_Detail(M)'!AV162</f>
        <v>0</v>
      </c>
      <c r="AV18" s="171">
        <f>'FS_Detail(M)'!AW162</f>
        <v>0</v>
      </c>
      <c r="AW18" s="171">
        <f>'FS_Detail(M)'!AX162</f>
        <v>0</v>
      </c>
      <c r="AX18" s="171">
        <f>'FS_Detail(M)'!AY162</f>
        <v>0</v>
      </c>
      <c r="AY18" s="171">
        <f>'FS_Detail(M)'!AZ162</f>
        <v>0</v>
      </c>
      <c r="AZ18" s="171">
        <f>'FS_Detail(M)'!BA162</f>
        <v>0</v>
      </c>
      <c r="BA18" s="171">
        <f>'FS_Detail(M)'!BB162</f>
        <v>0</v>
      </c>
      <c r="BB18" s="171">
        <f>'FS_Detail(M)'!BC162</f>
        <v>0</v>
      </c>
      <c r="BC18" s="171">
        <f>'FS_Detail(M)'!BD162</f>
        <v>0</v>
      </c>
      <c r="BD18" s="171">
        <f>'FS_Detail(M)'!BE162</f>
        <v>0</v>
      </c>
      <c r="BE18" s="171">
        <f>'FS_Detail(M)'!BF162</f>
        <v>0</v>
      </c>
      <c r="BF18" s="171">
        <f>'FS_Detail(M)'!BG162</f>
        <v>0</v>
      </c>
      <c r="BG18" s="171">
        <f>'FS_Detail(M)'!BH162</f>
        <v>0</v>
      </c>
      <c r="BH18" s="171">
        <f>'FS_Detail(M)'!BI162</f>
        <v>0</v>
      </c>
      <c r="BI18" s="171">
        <f>'FS_Detail(M)'!BJ162</f>
        <v>0</v>
      </c>
      <c r="BJ18" s="171">
        <f>'FS_Detail(M)'!BK162</f>
        <v>0</v>
      </c>
      <c r="BK18" s="171">
        <f>'FS_Detail(M)'!BL162</f>
        <v>0</v>
      </c>
      <c r="BL18" s="171">
        <f>'FS_Detail(M)'!BM162</f>
        <v>0</v>
      </c>
      <c r="BM18" s="171">
        <f>'FS_Detail(M)'!BN162</f>
        <v>0</v>
      </c>
      <c r="BN18" s="171">
        <f>'FS_Detail(M)'!BO162</f>
        <v>0</v>
      </c>
      <c r="BO18" s="171">
        <f>'FS_Detail(M)'!BP162</f>
        <v>0</v>
      </c>
      <c r="BP18" s="171">
        <f>'FS_Detail(M)'!BQ162</f>
        <v>0</v>
      </c>
      <c r="BQ18" s="171">
        <f>'FS_Detail(M)'!BR162</f>
        <v>0</v>
      </c>
      <c r="BR18" s="171">
        <f>'FS_Detail(M)'!BS162</f>
        <v>0</v>
      </c>
      <c r="BS18" s="171">
        <f>'FS_Detail(M)'!BT162</f>
        <v>0</v>
      </c>
      <c r="BT18" s="171">
        <f>'FS_Detail(M)'!BU162</f>
        <v>0</v>
      </c>
      <c r="BU18" s="171">
        <f>'FS_Detail(M)'!BV162</f>
        <v>0</v>
      </c>
      <c r="BV18" s="171">
        <f>'FS_Detail(M)'!BW162</f>
        <v>0</v>
      </c>
      <c r="BW18" s="171">
        <f>'FS_Detail(M)'!BX162</f>
        <v>0</v>
      </c>
      <c r="BX18" s="171">
        <f>'FS_Detail(M)'!BY162</f>
        <v>0</v>
      </c>
      <c r="BY18" s="171">
        <f>'FS_Detail(M)'!BZ162</f>
        <v>0</v>
      </c>
      <c r="BZ18" s="171">
        <f>'FS_Detail(M)'!CA162</f>
        <v>0</v>
      </c>
      <c r="CA18" s="171">
        <f>'FS_Detail(M)'!CB162</f>
        <v>0</v>
      </c>
      <c r="CB18" s="171">
        <f>'FS_Detail(M)'!CC162</f>
        <v>0</v>
      </c>
      <c r="CC18" s="171">
        <f>'FS_Detail(M)'!CD162</f>
        <v>0</v>
      </c>
      <c r="CD18" s="171">
        <f>'FS_Detail(M)'!CE162</f>
        <v>0</v>
      </c>
      <c r="CE18" s="171">
        <f>'FS_Detail(M)'!CF162</f>
        <v>0</v>
      </c>
      <c r="CF18" s="171">
        <f>'FS_Detail(M)'!CG162</f>
        <v>0</v>
      </c>
      <c r="CG18" s="171">
        <f>'FS_Detail(M)'!CH162</f>
        <v>0</v>
      </c>
      <c r="CH18" s="171">
        <f>'FS_Detail(M)'!CI162</f>
        <v>0</v>
      </c>
      <c r="CI18" s="171">
        <f>'FS_Detail(M)'!CJ162</f>
        <v>0</v>
      </c>
      <c r="CJ18" s="171">
        <f>'FS_Detail(M)'!CK162</f>
        <v>0</v>
      </c>
      <c r="CK18" s="171">
        <f>'FS_Detail(M)'!CL162</f>
        <v>0</v>
      </c>
      <c r="CL18" s="171">
        <f>'FS_Detail(M)'!CM162</f>
        <v>0</v>
      </c>
      <c r="CM18" s="171">
        <f>'FS_Detail(M)'!CN162</f>
        <v>0</v>
      </c>
      <c r="CN18" s="171">
        <f>'FS_Detail(M)'!CO162</f>
        <v>0</v>
      </c>
      <c r="CO18" s="171">
        <f>'FS_Detail(M)'!CP162</f>
        <v>0</v>
      </c>
      <c r="CP18" s="171">
        <f>'FS_Detail(M)'!CQ162</f>
        <v>0</v>
      </c>
      <c r="CQ18" s="171">
        <f>'FS_Detail(M)'!CR162</f>
        <v>0</v>
      </c>
      <c r="CR18" s="171">
        <f>'FS_Detail(M)'!CS162</f>
        <v>0</v>
      </c>
      <c r="CS18" s="171">
        <f>'FS_Detail(M)'!CT162</f>
        <v>0</v>
      </c>
      <c r="CT18" s="171">
        <f>'FS_Detail(M)'!CU162</f>
        <v>0</v>
      </c>
      <c r="CU18" s="171">
        <f>'FS_Detail(M)'!CV162</f>
        <v>0</v>
      </c>
      <c r="CV18" s="171">
        <f>'FS_Detail(M)'!CW162</f>
        <v>0</v>
      </c>
      <c r="CW18" s="171">
        <f>'FS_Detail(M)'!CX162</f>
        <v>0</v>
      </c>
      <c r="CX18" s="171">
        <f>'FS_Detail(M)'!CY162</f>
        <v>0</v>
      </c>
      <c r="CY18" s="171">
        <f>'FS_Detail(M)'!CZ162</f>
        <v>0</v>
      </c>
      <c r="CZ18" s="171">
        <f>'FS_Detail(M)'!DA162</f>
        <v>0</v>
      </c>
      <c r="DA18" s="171">
        <f>'FS_Detail(M)'!DB162</f>
        <v>0</v>
      </c>
      <c r="DB18" s="171">
        <f>'FS_Detail(M)'!DC162</f>
        <v>0</v>
      </c>
      <c r="DC18" s="171">
        <f>'FS_Detail(M)'!DD162</f>
        <v>0</v>
      </c>
      <c r="DD18" s="171">
        <f>'FS_Detail(M)'!DE162</f>
        <v>0</v>
      </c>
      <c r="DE18" s="171">
        <f>'FS_Detail(M)'!DF162</f>
        <v>0</v>
      </c>
      <c r="DF18" s="171">
        <f>'FS_Detail(M)'!DG162</f>
        <v>0</v>
      </c>
      <c r="DG18" s="171">
        <f>'FS_Detail(M)'!DH162</f>
        <v>0</v>
      </c>
      <c r="DH18" s="171">
        <f>'FS_Detail(M)'!DI162</f>
        <v>0</v>
      </c>
      <c r="DI18" s="171">
        <f>'FS_Detail(M)'!DJ162</f>
        <v>0</v>
      </c>
      <c r="DJ18" s="171">
        <f>'FS_Detail(M)'!DK162</f>
        <v>0</v>
      </c>
      <c r="DK18" s="171">
        <f>'FS_Detail(M)'!DL162</f>
        <v>0</v>
      </c>
      <c r="DL18" s="171">
        <f>'FS_Detail(M)'!DM162</f>
        <v>0</v>
      </c>
      <c r="DM18" s="171">
        <f>'FS_Detail(M)'!DN162</f>
        <v>0</v>
      </c>
      <c r="DN18" s="171">
        <f>'FS_Detail(M)'!DO162</f>
        <v>0</v>
      </c>
      <c r="DO18" s="171">
        <f>'FS_Detail(M)'!DP162</f>
        <v>0</v>
      </c>
      <c r="DP18" s="171">
        <f>'FS_Detail(M)'!DQ162</f>
        <v>0</v>
      </c>
      <c r="DQ18" s="171">
        <f>'FS_Detail(M)'!DR162</f>
        <v>0</v>
      </c>
      <c r="DR18" s="171">
        <f>'FS_Detail(M)'!DS162</f>
        <v>0</v>
      </c>
      <c r="DS18" s="171">
        <f>'FS_Detail(M)'!DT162</f>
        <v>0</v>
      </c>
      <c r="DT18" s="171">
        <f>'FS_Detail(M)'!DU162</f>
        <v>0</v>
      </c>
      <c r="DU18" s="171">
        <f>'FS_Detail(M)'!DV162</f>
        <v>0</v>
      </c>
      <c r="DV18" s="171">
        <f>'FS_Detail(M)'!DW162</f>
        <v>0</v>
      </c>
      <c r="DW18" s="171">
        <f>'FS_Detail(M)'!DX162</f>
        <v>0</v>
      </c>
      <c r="DX18" s="171">
        <f>'FS_Detail(M)'!DY162</f>
        <v>0</v>
      </c>
      <c r="DY18" s="171">
        <f>'FS_Detail(M)'!DZ162</f>
        <v>0</v>
      </c>
      <c r="DZ18" s="171">
        <f>'FS_Detail(M)'!EA162</f>
        <v>0</v>
      </c>
      <c r="EA18" s="171">
        <f>'FS_Detail(M)'!EB162</f>
        <v>0</v>
      </c>
      <c r="EB18" s="171">
        <f>'FS_Detail(M)'!EC162</f>
        <v>0</v>
      </c>
      <c r="EC18" s="171">
        <f>'FS_Detail(M)'!ED162</f>
        <v>0</v>
      </c>
      <c r="ED18" s="171">
        <f>'FS_Detail(M)'!EE162</f>
        <v>0</v>
      </c>
      <c r="EE18" s="171">
        <f>'FS_Detail(M)'!EF162</f>
        <v>0</v>
      </c>
      <c r="EF18" s="171">
        <f>'FS_Detail(M)'!EG162</f>
        <v>0</v>
      </c>
      <c r="EG18" s="171">
        <f>'FS_Detail(M)'!EH162</f>
        <v>0</v>
      </c>
      <c r="EH18" s="171">
        <f>'FS_Detail(M)'!EI162</f>
        <v>0</v>
      </c>
      <c r="EI18" s="171">
        <f>'FS_Detail(M)'!EJ162</f>
        <v>0</v>
      </c>
      <c r="EJ18" s="171">
        <f>'FS_Detail(M)'!EK162</f>
        <v>0</v>
      </c>
      <c r="EK18" s="171">
        <f>'FS_Detail(M)'!EL162</f>
        <v>0</v>
      </c>
      <c r="EL18" s="171">
        <f>'FS_Detail(M)'!EM162</f>
        <v>0</v>
      </c>
      <c r="EM18" s="171">
        <f>'FS_Detail(M)'!EN162</f>
        <v>0</v>
      </c>
      <c r="EN18" s="171">
        <f>'FS_Detail(M)'!EO162</f>
        <v>0</v>
      </c>
      <c r="EO18" s="171">
        <f>'FS_Detail(M)'!EP162</f>
        <v>0</v>
      </c>
      <c r="EP18" s="171">
        <f>'FS_Detail(M)'!EQ162</f>
        <v>0</v>
      </c>
    </row>
    <row r="19" spans="2:146">
      <c r="B19" s="218"/>
      <c r="C19" s="163"/>
      <c r="D19" s="169" t="s">
        <v>238</v>
      </c>
      <c r="H19" s="146"/>
      <c r="I19" s="953"/>
      <c r="J19" s="98"/>
      <c r="K19" s="171">
        <f ca="1">'FS_Detail(M)'!L167</f>
        <v>0</v>
      </c>
      <c r="L19" s="171">
        <f ca="1">'FS_Detail(M)'!M167</f>
        <v>680427.64166666672</v>
      </c>
      <c r="M19" s="171">
        <f ca="1">'FS_Detail(M)'!N167</f>
        <v>618570.58333333337</v>
      </c>
      <c r="N19" s="171">
        <f ca="1">'FS_Detail(M)'!O167</f>
        <v>556713.52500000002</v>
      </c>
      <c r="O19" s="171">
        <f ca="1">'FS_Detail(M)'!P167</f>
        <v>494856.46666666667</v>
      </c>
      <c r="P19" s="171">
        <f ca="1">'FS_Detail(M)'!Q167</f>
        <v>432999.40833333333</v>
      </c>
      <c r="Q19" s="171">
        <f ca="1">'FS_Detail(M)'!R167</f>
        <v>371142.35</v>
      </c>
      <c r="R19" s="171">
        <f ca="1">'FS_Detail(M)'!S167</f>
        <v>309285.29166666663</v>
      </c>
      <c r="S19" s="171">
        <f ca="1">'FS_Detail(M)'!T167</f>
        <v>247428.23333333328</v>
      </c>
      <c r="T19" s="171">
        <f ca="1">'FS_Detail(M)'!U167</f>
        <v>185571.17499999993</v>
      </c>
      <c r="U19" s="171">
        <f ca="1">'FS_Detail(M)'!V167</f>
        <v>123714.11666666658</v>
      </c>
      <c r="V19" s="171">
        <f ca="1">'FS_Detail(M)'!W167</f>
        <v>61857.05833333324</v>
      </c>
      <c r="W19" s="171">
        <f ca="1">'FS_Detail(M)'!X167</f>
        <v>-1.0186340659856796E-10</v>
      </c>
      <c r="X19" s="171">
        <f ca="1">'FS_Detail(M)'!Y167</f>
        <v>666819.08883333334</v>
      </c>
      <c r="Y19" s="171">
        <f ca="1">'FS_Detail(M)'!Z167</f>
        <v>606199.17166666663</v>
      </c>
      <c r="Z19" s="171">
        <f ca="1">'FS_Detail(M)'!AA167</f>
        <v>545579.25449999992</v>
      </c>
      <c r="AA19" s="171">
        <f ca="1">'FS_Detail(M)'!AB167</f>
        <v>484959.33733333327</v>
      </c>
      <c r="AB19" s="171">
        <f ca="1">'FS_Detail(M)'!AC167</f>
        <v>424339.42016666662</v>
      </c>
      <c r="AC19" s="171">
        <f ca="1">'FS_Detail(M)'!AD167</f>
        <v>363719.50299999997</v>
      </c>
      <c r="AD19" s="171">
        <f ca="1">'FS_Detail(M)'!AE167</f>
        <v>303099.58583333332</v>
      </c>
      <c r="AE19" s="171">
        <f ca="1">'FS_Detail(M)'!AF167</f>
        <v>242479.66866666664</v>
      </c>
      <c r="AF19" s="171">
        <f ca="1">'FS_Detail(M)'!AG167</f>
        <v>181859.75149999995</v>
      </c>
      <c r="AG19" s="171">
        <f ca="1">'FS_Detail(M)'!AH167</f>
        <v>121239.83433333327</v>
      </c>
      <c r="AH19" s="171">
        <f ca="1">'FS_Detail(M)'!AI167</f>
        <v>60619.917166666601</v>
      </c>
      <c r="AI19" s="171">
        <f ca="1">'FS_Detail(M)'!AJ167</f>
        <v>-7.2759576141834259E-11</v>
      </c>
      <c r="AJ19" s="171">
        <f ca="1">'FS_Detail(M)'!AK167</f>
        <v>653482.70705666649</v>
      </c>
      <c r="AK19" s="171">
        <f ca="1">'FS_Detail(M)'!AL167</f>
        <v>594075.18823333317</v>
      </c>
      <c r="AL19" s="171">
        <f ca="1">'FS_Detail(M)'!AM167</f>
        <v>534667.66940999986</v>
      </c>
      <c r="AM19" s="171">
        <f ca="1">'FS_Detail(M)'!AN167</f>
        <v>475260.15058666654</v>
      </c>
      <c r="AN19" s="171">
        <f ca="1">'FS_Detail(M)'!AO167</f>
        <v>415852.63176333322</v>
      </c>
      <c r="AO19" s="171">
        <f ca="1">'FS_Detail(M)'!AP167</f>
        <v>356445.1129399999</v>
      </c>
      <c r="AP19" s="171">
        <f ca="1">'FS_Detail(M)'!AQ167</f>
        <v>297037.59411666659</v>
      </c>
      <c r="AQ19" s="171">
        <f ca="1">'FS_Detail(M)'!AR167</f>
        <v>237630.07529333324</v>
      </c>
      <c r="AR19" s="171">
        <f ca="1">'FS_Detail(M)'!AS167</f>
        <v>178222.55646999989</v>
      </c>
      <c r="AS19" s="171">
        <f ca="1">'FS_Detail(M)'!AT167</f>
        <v>118815.03764666655</v>
      </c>
      <c r="AT19" s="171">
        <f ca="1">'FS_Detail(M)'!AU167</f>
        <v>59407.518823333208</v>
      </c>
      <c r="AU19" s="171">
        <f ca="1">'FS_Detail(M)'!AV167</f>
        <v>-1.3096723705530167E-10</v>
      </c>
      <c r="AV19" s="171">
        <f ca="1">'FS_Detail(M)'!AW167</f>
        <v>640413.05291553331</v>
      </c>
      <c r="AW19" s="171">
        <f ca="1">'FS_Detail(M)'!AX167</f>
        <v>582193.68446866667</v>
      </c>
      <c r="AX19" s="171">
        <f ca="1">'FS_Detail(M)'!AY167</f>
        <v>523974.31602179998</v>
      </c>
      <c r="AY19" s="171">
        <f ca="1">'FS_Detail(M)'!AZ167</f>
        <v>465754.94757493329</v>
      </c>
      <c r="AZ19" s="171">
        <f ca="1">'FS_Detail(M)'!BA167</f>
        <v>407535.5791280666</v>
      </c>
      <c r="BA19" s="171">
        <f ca="1">'FS_Detail(M)'!BB167</f>
        <v>349316.21068119991</v>
      </c>
      <c r="BB19" s="171">
        <f ca="1">'FS_Detail(M)'!BC167</f>
        <v>291096.84223433322</v>
      </c>
      <c r="BC19" s="171">
        <f ca="1">'FS_Detail(M)'!BD167</f>
        <v>232877.47378746656</v>
      </c>
      <c r="BD19" s="171">
        <f ca="1">'FS_Detail(M)'!BE167</f>
        <v>174658.1053405999</v>
      </c>
      <c r="BE19" s="171">
        <f ca="1">'FS_Detail(M)'!BF167</f>
        <v>116438.73689373324</v>
      </c>
      <c r="BF19" s="171">
        <f ca="1">'FS_Detail(M)'!BG167</f>
        <v>58219.368446866567</v>
      </c>
      <c r="BG19" s="171">
        <f ca="1">'FS_Detail(M)'!BH167</f>
        <v>-1.0186340659856796E-10</v>
      </c>
      <c r="BH19" s="171">
        <f ca="1">'FS_Detail(M)'!BI167</f>
        <v>627604.79185722256</v>
      </c>
      <c r="BI19" s="171">
        <f ca="1">'FS_Detail(M)'!BJ167</f>
        <v>570549.81077929318</v>
      </c>
      <c r="BJ19" s="171">
        <f ca="1">'FS_Detail(M)'!BK167</f>
        <v>513494.82970136387</v>
      </c>
      <c r="BK19" s="171">
        <f ca="1">'FS_Detail(M)'!BL167</f>
        <v>456439.84862343455</v>
      </c>
      <c r="BL19" s="171">
        <f ca="1">'FS_Detail(M)'!BM167</f>
        <v>399384.86754550523</v>
      </c>
      <c r="BM19" s="171">
        <f ca="1">'FS_Detail(M)'!BN167</f>
        <v>342329.88646757591</v>
      </c>
      <c r="BN19" s="171">
        <f ca="1">'FS_Detail(M)'!BO167</f>
        <v>285274.90538964659</v>
      </c>
      <c r="BO19" s="171">
        <f ca="1">'FS_Detail(M)'!BP167</f>
        <v>228219.92431171727</v>
      </c>
      <c r="BP19" s="171">
        <f ca="1">'FS_Detail(M)'!BQ167</f>
        <v>171164.94323378796</v>
      </c>
      <c r="BQ19" s="171">
        <f ca="1">'FS_Detail(M)'!BR167</f>
        <v>114109.96215585862</v>
      </c>
      <c r="BR19" s="171">
        <f ca="1">'FS_Detail(M)'!BS167</f>
        <v>57054.981077929289</v>
      </c>
      <c r="BS19" s="171">
        <f ca="1">'FS_Detail(M)'!BT167</f>
        <v>0</v>
      </c>
      <c r="BT19" s="171">
        <f ca="1">'FS_Detail(M)'!BU167</f>
        <v>615052.69602007815</v>
      </c>
      <c r="BU19" s="171">
        <f ca="1">'FS_Detail(M)'!BV167</f>
        <v>559138.81456370745</v>
      </c>
      <c r="BV19" s="171">
        <f ca="1">'FS_Detail(M)'!BW167</f>
        <v>503224.93310733669</v>
      </c>
      <c r="BW19" s="171">
        <f ca="1">'FS_Detail(M)'!BX167</f>
        <v>447311.05165096594</v>
      </c>
      <c r="BX19" s="171">
        <f ca="1">'FS_Detail(M)'!BY167</f>
        <v>391397.17019459518</v>
      </c>
      <c r="BY19" s="171">
        <f ca="1">'FS_Detail(M)'!BZ167</f>
        <v>335483.28873822442</v>
      </c>
      <c r="BZ19" s="171">
        <f ca="1">'FS_Detail(M)'!CA167</f>
        <v>279569.40728185367</v>
      </c>
      <c r="CA19" s="171">
        <f ca="1">'FS_Detail(M)'!CB167</f>
        <v>223655.52582548291</v>
      </c>
      <c r="CB19" s="171">
        <f ca="1">'FS_Detail(M)'!CC167</f>
        <v>167741.64436911215</v>
      </c>
      <c r="CC19" s="171">
        <f ca="1">'FS_Detail(M)'!CD167</f>
        <v>111827.76291274141</v>
      </c>
      <c r="CD19" s="171">
        <f ca="1">'FS_Detail(M)'!CE167</f>
        <v>55913.881456370669</v>
      </c>
      <c r="CE19" s="171">
        <f ca="1">'FS_Detail(M)'!CF167</f>
        <v>-7.2759576141834259E-11</v>
      </c>
      <c r="CF19" s="171">
        <f ca="1">'FS_Detail(M)'!CG167</f>
        <v>602751.64209967654</v>
      </c>
      <c r="CG19" s="171">
        <f ca="1">'FS_Detail(M)'!CH167</f>
        <v>547956.03827243322</v>
      </c>
      <c r="CH19" s="171">
        <f ca="1">'FS_Detail(M)'!CI167</f>
        <v>493160.43444518989</v>
      </c>
      <c r="CI19" s="171">
        <f ca="1">'FS_Detail(M)'!CJ167</f>
        <v>438364.83061794657</v>
      </c>
      <c r="CJ19" s="171">
        <f ca="1">'FS_Detail(M)'!CK167</f>
        <v>383569.22679070325</v>
      </c>
      <c r="CK19" s="171">
        <f ca="1">'FS_Detail(M)'!CL167</f>
        <v>328773.62296345993</v>
      </c>
      <c r="CL19" s="171">
        <f ca="1">'FS_Detail(M)'!CM167</f>
        <v>273978.01913621661</v>
      </c>
      <c r="CM19" s="171">
        <f ca="1">'FS_Detail(M)'!CN167</f>
        <v>219182.41530897329</v>
      </c>
      <c r="CN19" s="171">
        <f ca="1">'FS_Detail(M)'!CO167</f>
        <v>164386.81148172996</v>
      </c>
      <c r="CO19" s="171">
        <f ca="1">'FS_Detail(M)'!CP167</f>
        <v>109591.20765448664</v>
      </c>
      <c r="CP19" s="171">
        <f ca="1">'FS_Detail(M)'!CQ167</f>
        <v>54795.603827243314</v>
      </c>
      <c r="CQ19" s="171">
        <f ca="1">'FS_Detail(M)'!CR167</f>
        <v>0</v>
      </c>
      <c r="CR19" s="171">
        <f ca="1">'FS_Detail(M)'!CS167</f>
        <v>590696.60925768327</v>
      </c>
      <c r="CS19" s="171">
        <f ca="1">'FS_Detail(M)'!CT167</f>
        <v>536996.91750698478</v>
      </c>
      <c r="CT19" s="171">
        <f ca="1">'FS_Detail(M)'!CU167</f>
        <v>483297.22575628629</v>
      </c>
      <c r="CU19" s="171">
        <f ca="1">'FS_Detail(M)'!CV167</f>
        <v>429597.5340055878</v>
      </c>
      <c r="CV19" s="171">
        <f ca="1">'FS_Detail(M)'!CW167</f>
        <v>375897.84225488931</v>
      </c>
      <c r="CW19" s="171">
        <f ca="1">'FS_Detail(M)'!CX167</f>
        <v>322198.15050419082</v>
      </c>
      <c r="CX19" s="171">
        <f ca="1">'FS_Detail(M)'!CY167</f>
        <v>268498.45875349233</v>
      </c>
      <c r="CY19" s="171">
        <f ca="1">'FS_Detail(M)'!CZ167</f>
        <v>214798.76700279387</v>
      </c>
      <c r="CZ19" s="171">
        <f ca="1">'FS_Detail(M)'!DA167</f>
        <v>161099.07525209541</v>
      </c>
      <c r="DA19" s="171">
        <f ca="1">'FS_Detail(M)'!DB167</f>
        <v>107399.38350139695</v>
      </c>
      <c r="DB19" s="171">
        <f ca="1">'FS_Detail(M)'!DC167</f>
        <v>53699.69175069849</v>
      </c>
      <c r="DC19" s="171">
        <f ca="1">'FS_Detail(M)'!DD167</f>
        <v>0</v>
      </c>
      <c r="DD19" s="171">
        <f ca="1">'FS_Detail(M)'!DE167</f>
        <v>578882.67707252945</v>
      </c>
      <c r="DE19" s="171">
        <f ca="1">'FS_Detail(M)'!DF167</f>
        <v>526256.97915684502</v>
      </c>
      <c r="DF19" s="171">
        <f ca="1">'FS_Detail(M)'!DG167</f>
        <v>473631.28124116053</v>
      </c>
      <c r="DG19" s="171">
        <f ca="1">'FS_Detail(M)'!DH167</f>
        <v>421005.58332547604</v>
      </c>
      <c r="DH19" s="171">
        <f ca="1">'FS_Detail(M)'!DI167</f>
        <v>368379.88540979155</v>
      </c>
      <c r="DI19" s="171">
        <f ca="1">'FS_Detail(M)'!DJ167</f>
        <v>315754.18749410706</v>
      </c>
      <c r="DJ19" s="171">
        <f ca="1">'FS_Detail(M)'!DK167</f>
        <v>263128.48957842257</v>
      </c>
      <c r="DK19" s="171">
        <f ca="1">'FS_Detail(M)'!DL167</f>
        <v>210502.79166273808</v>
      </c>
      <c r="DL19" s="171">
        <f ca="1">'FS_Detail(M)'!DM167</f>
        <v>157877.09374705359</v>
      </c>
      <c r="DM19" s="171">
        <f ca="1">'FS_Detail(M)'!DN167</f>
        <v>105251.3958313691</v>
      </c>
      <c r="DN19" s="171">
        <f ca="1">'FS_Detail(M)'!DO167</f>
        <v>52625.697915684606</v>
      </c>
      <c r="DO19" s="171">
        <f ca="1">'FS_Detail(M)'!DP167</f>
        <v>1.1641532182693481E-10</v>
      </c>
      <c r="DP19" s="171">
        <f ca="1">'FS_Detail(M)'!DQ167</f>
        <v>567305.02353107894</v>
      </c>
      <c r="DQ19" s="171">
        <f ca="1">'FS_Detail(M)'!DR167</f>
        <v>515731.83957370813</v>
      </c>
      <c r="DR19" s="171">
        <f ca="1">'FS_Detail(M)'!DS167</f>
        <v>464158.65561633732</v>
      </c>
      <c r="DS19" s="171">
        <f ca="1">'FS_Detail(M)'!DT167</f>
        <v>412585.4716589665</v>
      </c>
      <c r="DT19" s="171">
        <f ca="1">'FS_Detail(M)'!DU167</f>
        <v>361012.28770159569</v>
      </c>
      <c r="DU19" s="171">
        <f ca="1">'FS_Detail(M)'!DV167</f>
        <v>309439.10374422488</v>
      </c>
      <c r="DV19" s="171">
        <f ca="1">'FS_Detail(M)'!DW167</f>
        <v>257865.91978685407</v>
      </c>
      <c r="DW19" s="171">
        <f ca="1">'FS_Detail(M)'!DX167</f>
        <v>206292.73582948325</v>
      </c>
      <c r="DX19" s="171">
        <f ca="1">'FS_Detail(M)'!DY167</f>
        <v>154719.55187211244</v>
      </c>
      <c r="DY19" s="171">
        <f ca="1">'FS_Detail(M)'!DZ167</f>
        <v>103146.36791474164</v>
      </c>
      <c r="DZ19" s="171">
        <f ca="1">'FS_Detail(M)'!EA167</f>
        <v>51573.183957370842</v>
      </c>
      <c r="EA19" s="171">
        <f ca="1">'FS_Detail(M)'!EB167</f>
        <v>0</v>
      </c>
      <c r="EB19" s="171">
        <f ca="1">'FS_Detail(M)'!EC167</f>
        <v>0</v>
      </c>
      <c r="EC19" s="171">
        <f ca="1">'FS_Detail(M)'!ED167</f>
        <v>0</v>
      </c>
      <c r="ED19" s="171">
        <f ca="1">'FS_Detail(M)'!EE167</f>
        <v>0</v>
      </c>
      <c r="EE19" s="171">
        <f ca="1">'FS_Detail(M)'!EF167</f>
        <v>0</v>
      </c>
      <c r="EF19" s="171">
        <f ca="1">'FS_Detail(M)'!EG167</f>
        <v>0</v>
      </c>
      <c r="EG19" s="171">
        <f ca="1">'FS_Detail(M)'!EH167</f>
        <v>0</v>
      </c>
      <c r="EH19" s="171">
        <f ca="1">'FS_Detail(M)'!EI167</f>
        <v>0</v>
      </c>
      <c r="EI19" s="171">
        <f ca="1">'FS_Detail(M)'!EJ167</f>
        <v>0</v>
      </c>
      <c r="EJ19" s="171">
        <f ca="1">'FS_Detail(M)'!EK167</f>
        <v>0</v>
      </c>
      <c r="EK19" s="171">
        <f ca="1">'FS_Detail(M)'!EL167</f>
        <v>0</v>
      </c>
      <c r="EL19" s="171">
        <f ca="1">'FS_Detail(M)'!EM167</f>
        <v>0</v>
      </c>
      <c r="EM19" s="171">
        <f ca="1">'FS_Detail(M)'!EN167</f>
        <v>0</v>
      </c>
      <c r="EN19" s="171">
        <f ca="1">'FS_Detail(M)'!EO167</f>
        <v>0</v>
      </c>
      <c r="EO19" s="171">
        <f ca="1">'FS_Detail(M)'!EP167</f>
        <v>0</v>
      </c>
      <c r="EP19" s="171">
        <f ca="1">'FS_Detail(M)'!EQ167</f>
        <v>0</v>
      </c>
    </row>
    <row r="20" spans="2:146">
      <c r="B20" s="218"/>
      <c r="C20" s="158" t="s">
        <v>560</v>
      </c>
      <c r="D20" s="159"/>
      <c r="E20" s="159"/>
      <c r="F20" s="159"/>
      <c r="G20" s="159"/>
      <c r="H20" s="160"/>
      <c r="I20" s="973"/>
      <c r="J20" s="98"/>
      <c r="K20" s="162">
        <f>SUM(K21:K23)</f>
        <v>288900000</v>
      </c>
      <c r="L20" s="162">
        <f t="shared" ref="L20:BW20" si="9">SUM(L21:L23)</f>
        <v>288615192.75</v>
      </c>
      <c r="M20" s="162">
        <f t="shared" si="9"/>
        <v>288330385.5</v>
      </c>
      <c r="N20" s="162">
        <f t="shared" si="9"/>
        <v>288045578.25</v>
      </c>
      <c r="O20" s="162">
        <f t="shared" si="9"/>
        <v>287760771</v>
      </c>
      <c r="P20" s="162">
        <f t="shared" si="9"/>
        <v>287475963.75</v>
      </c>
      <c r="Q20" s="162">
        <f t="shared" si="9"/>
        <v>287191156.5</v>
      </c>
      <c r="R20" s="162">
        <f t="shared" si="9"/>
        <v>286906349.25</v>
      </c>
      <c r="S20" s="162">
        <f t="shared" si="9"/>
        <v>286621542</v>
      </c>
      <c r="T20" s="162">
        <f t="shared" si="9"/>
        <v>286336734.75</v>
      </c>
      <c r="U20" s="162">
        <f t="shared" si="9"/>
        <v>286051927.5</v>
      </c>
      <c r="V20" s="162">
        <f t="shared" si="9"/>
        <v>285767120.25</v>
      </c>
      <c r="W20" s="162">
        <f t="shared" si="9"/>
        <v>285482313</v>
      </c>
      <c r="X20" s="162">
        <f t="shared" si="9"/>
        <v>285197505.75</v>
      </c>
      <c r="Y20" s="162">
        <f t="shared" si="9"/>
        <v>284912698.5</v>
      </c>
      <c r="Z20" s="162">
        <f t="shared" si="9"/>
        <v>284627891.25</v>
      </c>
      <c r="AA20" s="162">
        <f t="shared" si="9"/>
        <v>284343084</v>
      </c>
      <c r="AB20" s="162">
        <f t="shared" si="9"/>
        <v>284058276.75</v>
      </c>
      <c r="AC20" s="162">
        <f t="shared" si="9"/>
        <v>283773469.5</v>
      </c>
      <c r="AD20" s="162">
        <f t="shared" si="9"/>
        <v>283488662.25</v>
      </c>
      <c r="AE20" s="162">
        <f t="shared" si="9"/>
        <v>283203855</v>
      </c>
      <c r="AF20" s="162">
        <f t="shared" si="9"/>
        <v>282919047.75</v>
      </c>
      <c r="AG20" s="162">
        <f t="shared" si="9"/>
        <v>282634240.5</v>
      </c>
      <c r="AH20" s="162">
        <f t="shared" si="9"/>
        <v>282349433.25</v>
      </c>
      <c r="AI20" s="162">
        <f t="shared" si="9"/>
        <v>282064626</v>
      </c>
      <c r="AJ20" s="162">
        <f t="shared" si="9"/>
        <v>281779818.75</v>
      </c>
      <c r="AK20" s="162">
        <f t="shared" si="9"/>
        <v>281495011.5</v>
      </c>
      <c r="AL20" s="162">
        <f t="shared" si="9"/>
        <v>281210204.25</v>
      </c>
      <c r="AM20" s="162">
        <f t="shared" si="9"/>
        <v>280925397</v>
      </c>
      <c r="AN20" s="162">
        <f t="shared" si="9"/>
        <v>280640589.75</v>
      </c>
      <c r="AO20" s="162">
        <f t="shared" si="9"/>
        <v>280355782.5</v>
      </c>
      <c r="AP20" s="162">
        <f t="shared" si="9"/>
        <v>280070975.25</v>
      </c>
      <c r="AQ20" s="162">
        <f t="shared" si="9"/>
        <v>279786168</v>
      </c>
      <c r="AR20" s="162">
        <f t="shared" si="9"/>
        <v>279501360.75</v>
      </c>
      <c r="AS20" s="162">
        <f t="shared" si="9"/>
        <v>279216553.5</v>
      </c>
      <c r="AT20" s="162">
        <f t="shared" si="9"/>
        <v>278931746.25</v>
      </c>
      <c r="AU20" s="162">
        <f t="shared" si="9"/>
        <v>278646939</v>
      </c>
      <c r="AV20" s="162">
        <f t="shared" si="9"/>
        <v>278362131.75</v>
      </c>
      <c r="AW20" s="162">
        <f t="shared" si="9"/>
        <v>278077324.5</v>
      </c>
      <c r="AX20" s="162">
        <f t="shared" si="9"/>
        <v>277792517.25</v>
      </c>
      <c r="AY20" s="162">
        <f t="shared" si="9"/>
        <v>277507710</v>
      </c>
      <c r="AZ20" s="162">
        <f t="shared" si="9"/>
        <v>277222902.75</v>
      </c>
      <c r="BA20" s="162">
        <f t="shared" si="9"/>
        <v>276938095.5</v>
      </c>
      <c r="BB20" s="162">
        <f t="shared" si="9"/>
        <v>276653288.25</v>
      </c>
      <c r="BC20" s="162">
        <f t="shared" si="9"/>
        <v>276368481</v>
      </c>
      <c r="BD20" s="162">
        <f t="shared" si="9"/>
        <v>276083673.75</v>
      </c>
      <c r="BE20" s="162">
        <f t="shared" si="9"/>
        <v>275798866.5</v>
      </c>
      <c r="BF20" s="162">
        <f t="shared" si="9"/>
        <v>275514059.25</v>
      </c>
      <c r="BG20" s="162">
        <f t="shared" si="9"/>
        <v>275229252</v>
      </c>
      <c r="BH20" s="162">
        <f t="shared" si="9"/>
        <v>274944444.75</v>
      </c>
      <c r="BI20" s="162">
        <f t="shared" si="9"/>
        <v>274659637.5</v>
      </c>
      <c r="BJ20" s="162">
        <f t="shared" si="9"/>
        <v>274374830.25</v>
      </c>
      <c r="BK20" s="162">
        <f t="shared" si="9"/>
        <v>274090023</v>
      </c>
      <c r="BL20" s="162">
        <f t="shared" si="9"/>
        <v>273805215.75</v>
      </c>
      <c r="BM20" s="162">
        <f t="shared" si="9"/>
        <v>273520408.5</v>
      </c>
      <c r="BN20" s="162">
        <f t="shared" si="9"/>
        <v>273235601.25</v>
      </c>
      <c r="BO20" s="162">
        <f t="shared" si="9"/>
        <v>272950794</v>
      </c>
      <c r="BP20" s="162">
        <f t="shared" si="9"/>
        <v>272665986.75</v>
      </c>
      <c r="BQ20" s="162">
        <f t="shared" si="9"/>
        <v>272381179.5</v>
      </c>
      <c r="BR20" s="162">
        <f t="shared" si="9"/>
        <v>272096372.25</v>
      </c>
      <c r="BS20" s="162">
        <f t="shared" si="9"/>
        <v>271811565</v>
      </c>
      <c r="BT20" s="162">
        <f t="shared" si="9"/>
        <v>271526757.75</v>
      </c>
      <c r="BU20" s="162">
        <f t="shared" si="9"/>
        <v>271241950.5</v>
      </c>
      <c r="BV20" s="162">
        <f t="shared" si="9"/>
        <v>270957143.25</v>
      </c>
      <c r="BW20" s="162">
        <f t="shared" si="9"/>
        <v>270672336</v>
      </c>
      <c r="BX20" s="162">
        <f t="shared" ref="BX20:DO20" si="10">SUM(BX21:BX23)</f>
        <v>270387528.75</v>
      </c>
      <c r="BY20" s="162">
        <f t="shared" si="10"/>
        <v>270102721.5</v>
      </c>
      <c r="BZ20" s="162">
        <f t="shared" si="10"/>
        <v>269817914.25</v>
      </c>
      <c r="CA20" s="162">
        <f t="shared" si="10"/>
        <v>269533107</v>
      </c>
      <c r="CB20" s="162">
        <f t="shared" si="10"/>
        <v>269248299.75</v>
      </c>
      <c r="CC20" s="162">
        <f t="shared" si="10"/>
        <v>268963492.5</v>
      </c>
      <c r="CD20" s="162">
        <f t="shared" si="10"/>
        <v>268678685.25</v>
      </c>
      <c r="CE20" s="162">
        <f t="shared" si="10"/>
        <v>268393878</v>
      </c>
      <c r="CF20" s="162">
        <f t="shared" si="10"/>
        <v>268109070.75</v>
      </c>
      <c r="CG20" s="162">
        <f t="shared" si="10"/>
        <v>267824263.5</v>
      </c>
      <c r="CH20" s="162">
        <f t="shared" si="10"/>
        <v>267539456.25</v>
      </c>
      <c r="CI20" s="162">
        <f t="shared" si="10"/>
        <v>267254649</v>
      </c>
      <c r="CJ20" s="162">
        <f t="shared" si="10"/>
        <v>266969841.75</v>
      </c>
      <c r="CK20" s="162">
        <f t="shared" si="10"/>
        <v>266685034.5</v>
      </c>
      <c r="CL20" s="162">
        <f t="shared" si="10"/>
        <v>266400227.25</v>
      </c>
      <c r="CM20" s="162">
        <f t="shared" si="10"/>
        <v>266115420</v>
      </c>
      <c r="CN20" s="162">
        <f t="shared" si="10"/>
        <v>265830612.75</v>
      </c>
      <c r="CO20" s="162">
        <f t="shared" si="10"/>
        <v>265545805.5</v>
      </c>
      <c r="CP20" s="162">
        <f t="shared" si="10"/>
        <v>265260998.25</v>
      </c>
      <c r="CQ20" s="162">
        <f t="shared" si="10"/>
        <v>264976191</v>
      </c>
      <c r="CR20" s="162">
        <f t="shared" si="10"/>
        <v>264691383.75</v>
      </c>
      <c r="CS20" s="162">
        <f t="shared" si="10"/>
        <v>264406576.5</v>
      </c>
      <c r="CT20" s="162">
        <f t="shared" si="10"/>
        <v>264121769.25</v>
      </c>
      <c r="CU20" s="162">
        <f t="shared" si="10"/>
        <v>263836962</v>
      </c>
      <c r="CV20" s="162">
        <f t="shared" si="10"/>
        <v>263552154.75</v>
      </c>
      <c r="CW20" s="162">
        <f t="shared" si="10"/>
        <v>263267347.5</v>
      </c>
      <c r="CX20" s="162">
        <f t="shared" si="10"/>
        <v>262982540.25</v>
      </c>
      <c r="CY20" s="162">
        <f t="shared" si="10"/>
        <v>262697733</v>
      </c>
      <c r="CZ20" s="162">
        <f t="shared" si="10"/>
        <v>262412925.75</v>
      </c>
      <c r="DA20" s="162">
        <f t="shared" si="10"/>
        <v>262128118.5</v>
      </c>
      <c r="DB20" s="162">
        <f t="shared" si="10"/>
        <v>261843311.25</v>
      </c>
      <c r="DC20" s="162">
        <f t="shared" si="10"/>
        <v>261558504</v>
      </c>
      <c r="DD20" s="162">
        <f t="shared" si="10"/>
        <v>261273696.75</v>
      </c>
      <c r="DE20" s="162">
        <f t="shared" si="10"/>
        <v>260988889.5</v>
      </c>
      <c r="DF20" s="162">
        <f t="shared" si="10"/>
        <v>260704082.25</v>
      </c>
      <c r="DG20" s="162">
        <f t="shared" si="10"/>
        <v>260419275</v>
      </c>
      <c r="DH20" s="162">
        <f t="shared" si="10"/>
        <v>260134467.75</v>
      </c>
      <c r="DI20" s="162">
        <f t="shared" si="10"/>
        <v>259849660.5</v>
      </c>
      <c r="DJ20" s="162">
        <f t="shared" si="10"/>
        <v>259564853.25</v>
      </c>
      <c r="DK20" s="162">
        <f t="shared" si="10"/>
        <v>259280046</v>
      </c>
      <c r="DL20" s="162">
        <f t="shared" si="10"/>
        <v>258995238.75</v>
      </c>
      <c r="DM20" s="162">
        <f t="shared" si="10"/>
        <v>258710431.5</v>
      </c>
      <c r="DN20" s="162">
        <f t="shared" si="10"/>
        <v>258425624.25</v>
      </c>
      <c r="DO20" s="162">
        <f t="shared" si="10"/>
        <v>258140817</v>
      </c>
      <c r="DP20" s="162">
        <f t="shared" ref="DP20:EP20" si="11">SUM(DP21:DP23)</f>
        <v>257856009.75</v>
      </c>
      <c r="DQ20" s="162">
        <f t="shared" si="11"/>
        <v>257571202.5</v>
      </c>
      <c r="DR20" s="162">
        <f t="shared" si="11"/>
        <v>257286395.25</v>
      </c>
      <c r="DS20" s="162">
        <f t="shared" si="11"/>
        <v>257001588</v>
      </c>
      <c r="DT20" s="162">
        <f t="shared" si="11"/>
        <v>256716780.75</v>
      </c>
      <c r="DU20" s="162">
        <f t="shared" si="11"/>
        <v>256431973.5</v>
      </c>
      <c r="DV20" s="162">
        <f t="shared" si="11"/>
        <v>256147166.25</v>
      </c>
      <c r="DW20" s="162">
        <f t="shared" si="11"/>
        <v>255862359</v>
      </c>
      <c r="DX20" s="162">
        <f t="shared" si="11"/>
        <v>255577551.75</v>
      </c>
      <c r="DY20" s="162">
        <f t="shared" si="11"/>
        <v>255292744.5</v>
      </c>
      <c r="DZ20" s="162">
        <f t="shared" si="11"/>
        <v>255007937.25</v>
      </c>
      <c r="EA20" s="162">
        <f t="shared" si="11"/>
        <v>0</v>
      </c>
      <c r="EB20" s="162">
        <f t="shared" si="11"/>
        <v>0</v>
      </c>
      <c r="EC20" s="162">
        <f t="shared" si="11"/>
        <v>0</v>
      </c>
      <c r="ED20" s="162">
        <f t="shared" si="11"/>
        <v>0</v>
      </c>
      <c r="EE20" s="162">
        <f t="shared" si="11"/>
        <v>0</v>
      </c>
      <c r="EF20" s="162">
        <f t="shared" si="11"/>
        <v>0</v>
      </c>
      <c r="EG20" s="162">
        <f t="shared" si="11"/>
        <v>0</v>
      </c>
      <c r="EH20" s="162">
        <f t="shared" si="11"/>
        <v>0</v>
      </c>
      <c r="EI20" s="162">
        <f t="shared" si="11"/>
        <v>0</v>
      </c>
      <c r="EJ20" s="162">
        <f t="shared" si="11"/>
        <v>0</v>
      </c>
      <c r="EK20" s="162">
        <f t="shared" si="11"/>
        <v>0</v>
      </c>
      <c r="EL20" s="162">
        <f t="shared" si="11"/>
        <v>0</v>
      </c>
      <c r="EM20" s="162">
        <f t="shared" si="11"/>
        <v>0</v>
      </c>
      <c r="EN20" s="162">
        <f t="shared" si="11"/>
        <v>0</v>
      </c>
      <c r="EO20" s="162">
        <f t="shared" si="11"/>
        <v>0</v>
      </c>
      <c r="EP20" s="162">
        <f t="shared" si="11"/>
        <v>0</v>
      </c>
    </row>
    <row r="21" spans="2:146">
      <c r="B21" s="218"/>
      <c r="C21" s="163"/>
      <c r="D21" s="164" t="s">
        <v>240</v>
      </c>
      <c r="E21" s="165"/>
      <c r="F21" s="165"/>
      <c r="G21" s="165"/>
      <c r="H21" s="166"/>
      <c r="I21" s="974"/>
      <c r="J21" s="98"/>
      <c r="K21" s="168">
        <f>'FS_Detail(M)'!L219</f>
        <v>152192520</v>
      </c>
      <c r="L21" s="168">
        <f>'FS_Detail(M)'!M219</f>
        <v>152192520</v>
      </c>
      <c r="M21" s="168">
        <f>'FS_Detail(M)'!N219</f>
        <v>152192520</v>
      </c>
      <c r="N21" s="168">
        <f>'FS_Detail(M)'!O219</f>
        <v>152192520</v>
      </c>
      <c r="O21" s="168">
        <f>'FS_Detail(M)'!P219</f>
        <v>152192520</v>
      </c>
      <c r="P21" s="168">
        <f>'FS_Detail(M)'!Q219</f>
        <v>152192520</v>
      </c>
      <c r="Q21" s="168">
        <f>'FS_Detail(M)'!R219</f>
        <v>152192520</v>
      </c>
      <c r="R21" s="168">
        <f>'FS_Detail(M)'!S219</f>
        <v>152192520</v>
      </c>
      <c r="S21" s="168">
        <f>'FS_Detail(M)'!T219</f>
        <v>152192520</v>
      </c>
      <c r="T21" s="168">
        <f>'FS_Detail(M)'!U219</f>
        <v>152192520</v>
      </c>
      <c r="U21" s="168">
        <f>'FS_Detail(M)'!V219</f>
        <v>152192520</v>
      </c>
      <c r="V21" s="168">
        <f>'FS_Detail(M)'!W219</f>
        <v>152192520</v>
      </c>
      <c r="W21" s="168">
        <f>'FS_Detail(M)'!X219</f>
        <v>152192520</v>
      </c>
      <c r="X21" s="168">
        <f>'FS_Detail(M)'!Y219</f>
        <v>152192520</v>
      </c>
      <c r="Y21" s="168">
        <f>'FS_Detail(M)'!Z219</f>
        <v>152192520</v>
      </c>
      <c r="Z21" s="168">
        <f>'FS_Detail(M)'!AA219</f>
        <v>152192520</v>
      </c>
      <c r="AA21" s="168">
        <f>'FS_Detail(M)'!AB219</f>
        <v>152192520</v>
      </c>
      <c r="AB21" s="168">
        <f>'FS_Detail(M)'!AC219</f>
        <v>152192520</v>
      </c>
      <c r="AC21" s="168">
        <f>'FS_Detail(M)'!AD219</f>
        <v>152192520</v>
      </c>
      <c r="AD21" s="168">
        <f>'FS_Detail(M)'!AE219</f>
        <v>152192520</v>
      </c>
      <c r="AE21" s="168">
        <f>'FS_Detail(M)'!AF219</f>
        <v>152192520</v>
      </c>
      <c r="AF21" s="168">
        <f>'FS_Detail(M)'!AG219</f>
        <v>152192520</v>
      </c>
      <c r="AG21" s="168">
        <f>'FS_Detail(M)'!AH219</f>
        <v>152192520</v>
      </c>
      <c r="AH21" s="168">
        <f>'FS_Detail(M)'!AI219</f>
        <v>152192520</v>
      </c>
      <c r="AI21" s="168">
        <f>'FS_Detail(M)'!AJ219</f>
        <v>152192520</v>
      </c>
      <c r="AJ21" s="168">
        <f>'FS_Detail(M)'!AK219</f>
        <v>152192520</v>
      </c>
      <c r="AK21" s="168">
        <f>'FS_Detail(M)'!AL219</f>
        <v>152192520</v>
      </c>
      <c r="AL21" s="168">
        <f>'FS_Detail(M)'!AM219</f>
        <v>152192520</v>
      </c>
      <c r="AM21" s="168">
        <f>'FS_Detail(M)'!AN219</f>
        <v>152192520</v>
      </c>
      <c r="AN21" s="168">
        <f>'FS_Detail(M)'!AO219</f>
        <v>152192520</v>
      </c>
      <c r="AO21" s="168">
        <f>'FS_Detail(M)'!AP219</f>
        <v>152192520</v>
      </c>
      <c r="AP21" s="168">
        <f>'FS_Detail(M)'!AQ219</f>
        <v>152192520</v>
      </c>
      <c r="AQ21" s="168">
        <f>'FS_Detail(M)'!AR219</f>
        <v>152192520</v>
      </c>
      <c r="AR21" s="168">
        <f>'FS_Detail(M)'!AS219</f>
        <v>152192520</v>
      </c>
      <c r="AS21" s="168">
        <f>'FS_Detail(M)'!AT219</f>
        <v>152192520</v>
      </c>
      <c r="AT21" s="168">
        <f>'FS_Detail(M)'!AU219</f>
        <v>152192520</v>
      </c>
      <c r="AU21" s="168">
        <f>'FS_Detail(M)'!AV219</f>
        <v>152192520</v>
      </c>
      <c r="AV21" s="168">
        <f>'FS_Detail(M)'!AW219</f>
        <v>152192520</v>
      </c>
      <c r="AW21" s="168">
        <f>'FS_Detail(M)'!AX219</f>
        <v>152192520</v>
      </c>
      <c r="AX21" s="168">
        <f>'FS_Detail(M)'!AY219</f>
        <v>152192520</v>
      </c>
      <c r="AY21" s="168">
        <f>'FS_Detail(M)'!AZ219</f>
        <v>152192520</v>
      </c>
      <c r="AZ21" s="168">
        <f>'FS_Detail(M)'!BA219</f>
        <v>152192520</v>
      </c>
      <c r="BA21" s="168">
        <f>'FS_Detail(M)'!BB219</f>
        <v>152192520</v>
      </c>
      <c r="BB21" s="168">
        <f>'FS_Detail(M)'!BC219</f>
        <v>152192520</v>
      </c>
      <c r="BC21" s="168">
        <f>'FS_Detail(M)'!BD219</f>
        <v>152192520</v>
      </c>
      <c r="BD21" s="168">
        <f>'FS_Detail(M)'!BE219</f>
        <v>152192520</v>
      </c>
      <c r="BE21" s="168">
        <f>'FS_Detail(M)'!BF219</f>
        <v>152192520</v>
      </c>
      <c r="BF21" s="168">
        <f>'FS_Detail(M)'!BG219</f>
        <v>152192520</v>
      </c>
      <c r="BG21" s="168">
        <f>'FS_Detail(M)'!BH219</f>
        <v>152192520</v>
      </c>
      <c r="BH21" s="168">
        <f>'FS_Detail(M)'!BI219</f>
        <v>152192520</v>
      </c>
      <c r="BI21" s="168">
        <f>'FS_Detail(M)'!BJ219</f>
        <v>152192520</v>
      </c>
      <c r="BJ21" s="168">
        <f>'FS_Detail(M)'!BK219</f>
        <v>152192520</v>
      </c>
      <c r="BK21" s="168">
        <f>'FS_Detail(M)'!BL219</f>
        <v>152192520</v>
      </c>
      <c r="BL21" s="168">
        <f>'FS_Detail(M)'!BM219</f>
        <v>152192520</v>
      </c>
      <c r="BM21" s="168">
        <f>'FS_Detail(M)'!BN219</f>
        <v>152192520</v>
      </c>
      <c r="BN21" s="168">
        <f>'FS_Detail(M)'!BO219</f>
        <v>152192520</v>
      </c>
      <c r="BO21" s="168">
        <f>'FS_Detail(M)'!BP219</f>
        <v>152192520</v>
      </c>
      <c r="BP21" s="168">
        <f>'FS_Detail(M)'!BQ219</f>
        <v>152192520</v>
      </c>
      <c r="BQ21" s="168">
        <f>'FS_Detail(M)'!BR219</f>
        <v>152192520</v>
      </c>
      <c r="BR21" s="168">
        <f>'FS_Detail(M)'!BS219</f>
        <v>152192520</v>
      </c>
      <c r="BS21" s="168">
        <f>'FS_Detail(M)'!BT219</f>
        <v>152192520</v>
      </c>
      <c r="BT21" s="168">
        <f>'FS_Detail(M)'!BU219</f>
        <v>152192520</v>
      </c>
      <c r="BU21" s="168">
        <f>'FS_Detail(M)'!BV219</f>
        <v>152192520</v>
      </c>
      <c r="BV21" s="168">
        <f>'FS_Detail(M)'!BW219</f>
        <v>152192520</v>
      </c>
      <c r="BW21" s="168">
        <f>'FS_Detail(M)'!BX219</f>
        <v>152192520</v>
      </c>
      <c r="BX21" s="168">
        <f>'FS_Detail(M)'!BY219</f>
        <v>152192520</v>
      </c>
      <c r="BY21" s="168">
        <f>'FS_Detail(M)'!BZ219</f>
        <v>152192520</v>
      </c>
      <c r="BZ21" s="168">
        <f>'FS_Detail(M)'!CA219</f>
        <v>152192520</v>
      </c>
      <c r="CA21" s="168">
        <f>'FS_Detail(M)'!CB219</f>
        <v>152192520</v>
      </c>
      <c r="CB21" s="168">
        <f>'FS_Detail(M)'!CC219</f>
        <v>152192520</v>
      </c>
      <c r="CC21" s="168">
        <f>'FS_Detail(M)'!CD219</f>
        <v>152192520</v>
      </c>
      <c r="CD21" s="168">
        <f>'FS_Detail(M)'!CE219</f>
        <v>152192520</v>
      </c>
      <c r="CE21" s="168">
        <f>'FS_Detail(M)'!CF219</f>
        <v>152192520</v>
      </c>
      <c r="CF21" s="168">
        <f>'FS_Detail(M)'!CG219</f>
        <v>152192520</v>
      </c>
      <c r="CG21" s="168">
        <f>'FS_Detail(M)'!CH219</f>
        <v>152192520</v>
      </c>
      <c r="CH21" s="168">
        <f>'FS_Detail(M)'!CI219</f>
        <v>152192520</v>
      </c>
      <c r="CI21" s="168">
        <f>'FS_Detail(M)'!CJ219</f>
        <v>152192520</v>
      </c>
      <c r="CJ21" s="168">
        <f>'FS_Detail(M)'!CK219</f>
        <v>152192520</v>
      </c>
      <c r="CK21" s="168">
        <f>'FS_Detail(M)'!CL219</f>
        <v>152192520</v>
      </c>
      <c r="CL21" s="168">
        <f>'FS_Detail(M)'!CM219</f>
        <v>152192520</v>
      </c>
      <c r="CM21" s="168">
        <f>'FS_Detail(M)'!CN219</f>
        <v>152192520</v>
      </c>
      <c r="CN21" s="168">
        <f>'FS_Detail(M)'!CO219</f>
        <v>152192520</v>
      </c>
      <c r="CO21" s="168">
        <f>'FS_Detail(M)'!CP219</f>
        <v>152192520</v>
      </c>
      <c r="CP21" s="168">
        <f>'FS_Detail(M)'!CQ219</f>
        <v>152192520</v>
      </c>
      <c r="CQ21" s="168">
        <f>'FS_Detail(M)'!CR219</f>
        <v>152192520</v>
      </c>
      <c r="CR21" s="168">
        <f>'FS_Detail(M)'!CS219</f>
        <v>152192520</v>
      </c>
      <c r="CS21" s="168">
        <f>'FS_Detail(M)'!CT219</f>
        <v>152192520</v>
      </c>
      <c r="CT21" s="168">
        <f>'FS_Detail(M)'!CU219</f>
        <v>152192520</v>
      </c>
      <c r="CU21" s="168">
        <f>'FS_Detail(M)'!CV219</f>
        <v>152192520</v>
      </c>
      <c r="CV21" s="168">
        <f>'FS_Detail(M)'!CW219</f>
        <v>152192520</v>
      </c>
      <c r="CW21" s="168">
        <f>'FS_Detail(M)'!CX219</f>
        <v>152192520</v>
      </c>
      <c r="CX21" s="168">
        <f>'FS_Detail(M)'!CY219</f>
        <v>152192520</v>
      </c>
      <c r="CY21" s="168">
        <f>'FS_Detail(M)'!CZ219</f>
        <v>152192520</v>
      </c>
      <c r="CZ21" s="168">
        <f>'FS_Detail(M)'!DA219</f>
        <v>152192520</v>
      </c>
      <c r="DA21" s="168">
        <f>'FS_Detail(M)'!DB219</f>
        <v>152192520</v>
      </c>
      <c r="DB21" s="168">
        <f>'FS_Detail(M)'!DC219</f>
        <v>152192520</v>
      </c>
      <c r="DC21" s="168">
        <f>'FS_Detail(M)'!DD219</f>
        <v>152192520</v>
      </c>
      <c r="DD21" s="168">
        <f>'FS_Detail(M)'!DE219</f>
        <v>152192520</v>
      </c>
      <c r="DE21" s="168">
        <f>'FS_Detail(M)'!DF219</f>
        <v>152192520</v>
      </c>
      <c r="DF21" s="168">
        <f>'FS_Detail(M)'!DG219</f>
        <v>152192520</v>
      </c>
      <c r="DG21" s="168">
        <f>'FS_Detail(M)'!DH219</f>
        <v>152192520</v>
      </c>
      <c r="DH21" s="168">
        <f>'FS_Detail(M)'!DI219</f>
        <v>152192520</v>
      </c>
      <c r="DI21" s="168">
        <f>'FS_Detail(M)'!DJ219</f>
        <v>152192520</v>
      </c>
      <c r="DJ21" s="168">
        <f>'FS_Detail(M)'!DK219</f>
        <v>152192520</v>
      </c>
      <c r="DK21" s="168">
        <f>'FS_Detail(M)'!DL219</f>
        <v>152192520</v>
      </c>
      <c r="DL21" s="168">
        <f>'FS_Detail(M)'!DM219</f>
        <v>152192520</v>
      </c>
      <c r="DM21" s="168">
        <f>'FS_Detail(M)'!DN219</f>
        <v>152192520</v>
      </c>
      <c r="DN21" s="168">
        <f>'FS_Detail(M)'!DO219</f>
        <v>152192520</v>
      </c>
      <c r="DO21" s="168">
        <f>'FS_Detail(M)'!DP219</f>
        <v>152192520</v>
      </c>
      <c r="DP21" s="168">
        <f>'FS_Detail(M)'!DQ219</f>
        <v>152192520</v>
      </c>
      <c r="DQ21" s="168">
        <f>'FS_Detail(M)'!DR219</f>
        <v>152192520</v>
      </c>
      <c r="DR21" s="168">
        <f>'FS_Detail(M)'!DS219</f>
        <v>152192520</v>
      </c>
      <c r="DS21" s="168">
        <f>'FS_Detail(M)'!DT219</f>
        <v>152192520</v>
      </c>
      <c r="DT21" s="168">
        <f>'FS_Detail(M)'!DU219</f>
        <v>152192520</v>
      </c>
      <c r="DU21" s="168">
        <f>'FS_Detail(M)'!DV219</f>
        <v>152192520</v>
      </c>
      <c r="DV21" s="168">
        <f>'FS_Detail(M)'!DW219</f>
        <v>152192520</v>
      </c>
      <c r="DW21" s="168">
        <f>'FS_Detail(M)'!DX219</f>
        <v>152192520</v>
      </c>
      <c r="DX21" s="168">
        <f>'FS_Detail(M)'!DY219</f>
        <v>152192520</v>
      </c>
      <c r="DY21" s="168">
        <f>'FS_Detail(M)'!DZ219</f>
        <v>152192520</v>
      </c>
      <c r="DZ21" s="168">
        <f>'FS_Detail(M)'!EA219</f>
        <v>152192520</v>
      </c>
      <c r="EA21" s="168">
        <f>'FS_Detail(M)'!EB219</f>
        <v>0</v>
      </c>
      <c r="EB21" s="168">
        <f>'FS_Detail(M)'!EC219</f>
        <v>0</v>
      </c>
      <c r="EC21" s="168">
        <f>'FS_Detail(M)'!ED219</f>
        <v>0</v>
      </c>
      <c r="ED21" s="168">
        <f>'FS_Detail(M)'!EE219</f>
        <v>0</v>
      </c>
      <c r="EE21" s="168">
        <f>'FS_Detail(M)'!EF219</f>
        <v>0</v>
      </c>
      <c r="EF21" s="168">
        <f>'FS_Detail(M)'!EG219</f>
        <v>0</v>
      </c>
      <c r="EG21" s="168">
        <f>'FS_Detail(M)'!EH219</f>
        <v>0</v>
      </c>
      <c r="EH21" s="168">
        <f>'FS_Detail(M)'!EI219</f>
        <v>0</v>
      </c>
      <c r="EI21" s="168">
        <f>'FS_Detail(M)'!EJ219</f>
        <v>0</v>
      </c>
      <c r="EJ21" s="168">
        <f>'FS_Detail(M)'!EK219</f>
        <v>0</v>
      </c>
      <c r="EK21" s="168">
        <f>'FS_Detail(M)'!EL219</f>
        <v>0</v>
      </c>
      <c r="EL21" s="168">
        <f>'FS_Detail(M)'!EM219</f>
        <v>0</v>
      </c>
      <c r="EM21" s="168">
        <f>'FS_Detail(M)'!EN219</f>
        <v>0</v>
      </c>
      <c r="EN21" s="168">
        <f>'FS_Detail(M)'!EO219</f>
        <v>0</v>
      </c>
      <c r="EO21" s="168">
        <f>'FS_Detail(M)'!EP219</f>
        <v>0</v>
      </c>
      <c r="EP21" s="168">
        <f>'FS_Detail(M)'!EQ219</f>
        <v>0</v>
      </c>
    </row>
    <row r="22" spans="2:146">
      <c r="B22" s="218"/>
      <c r="C22" s="163"/>
      <c r="D22" s="169" t="s">
        <v>241</v>
      </c>
      <c r="H22" s="146"/>
      <c r="I22" s="953"/>
      <c r="J22" s="98"/>
      <c r="K22" s="171">
        <f>'FS_Detail(M)'!L224</f>
        <v>136707480</v>
      </c>
      <c r="L22" s="171">
        <f>'FS_Detail(M)'!M224</f>
        <v>136707480</v>
      </c>
      <c r="M22" s="171">
        <f>'FS_Detail(M)'!N224</f>
        <v>136707480</v>
      </c>
      <c r="N22" s="171">
        <f>'FS_Detail(M)'!O224</f>
        <v>136707480</v>
      </c>
      <c r="O22" s="171">
        <f>'FS_Detail(M)'!P224</f>
        <v>136707480</v>
      </c>
      <c r="P22" s="171">
        <f>'FS_Detail(M)'!Q224</f>
        <v>136707480</v>
      </c>
      <c r="Q22" s="171">
        <f>'FS_Detail(M)'!R224</f>
        <v>136707480</v>
      </c>
      <c r="R22" s="171">
        <f>'FS_Detail(M)'!S224</f>
        <v>136707480</v>
      </c>
      <c r="S22" s="171">
        <f>'FS_Detail(M)'!T224</f>
        <v>136707480</v>
      </c>
      <c r="T22" s="171">
        <f>'FS_Detail(M)'!U224</f>
        <v>136707480</v>
      </c>
      <c r="U22" s="171">
        <f>'FS_Detail(M)'!V224</f>
        <v>136707480</v>
      </c>
      <c r="V22" s="171">
        <f>'FS_Detail(M)'!W224</f>
        <v>136707480</v>
      </c>
      <c r="W22" s="171">
        <f>'FS_Detail(M)'!X224</f>
        <v>136707480</v>
      </c>
      <c r="X22" s="171">
        <f>'FS_Detail(M)'!Y224</f>
        <v>136707480</v>
      </c>
      <c r="Y22" s="171">
        <f>'FS_Detail(M)'!Z224</f>
        <v>136707480</v>
      </c>
      <c r="Z22" s="171">
        <f>'FS_Detail(M)'!AA224</f>
        <v>136707480</v>
      </c>
      <c r="AA22" s="171">
        <f>'FS_Detail(M)'!AB224</f>
        <v>136707480</v>
      </c>
      <c r="AB22" s="171">
        <f>'FS_Detail(M)'!AC224</f>
        <v>136707480</v>
      </c>
      <c r="AC22" s="171">
        <f>'FS_Detail(M)'!AD224</f>
        <v>136707480</v>
      </c>
      <c r="AD22" s="171">
        <f>'FS_Detail(M)'!AE224</f>
        <v>136707480</v>
      </c>
      <c r="AE22" s="171">
        <f>'FS_Detail(M)'!AF224</f>
        <v>136707480</v>
      </c>
      <c r="AF22" s="171">
        <f>'FS_Detail(M)'!AG224</f>
        <v>136707480</v>
      </c>
      <c r="AG22" s="171">
        <f>'FS_Detail(M)'!AH224</f>
        <v>136707480</v>
      </c>
      <c r="AH22" s="171">
        <f>'FS_Detail(M)'!AI224</f>
        <v>136707480</v>
      </c>
      <c r="AI22" s="171">
        <f>'FS_Detail(M)'!AJ224</f>
        <v>136707480</v>
      </c>
      <c r="AJ22" s="171">
        <f>'FS_Detail(M)'!AK224</f>
        <v>136707480</v>
      </c>
      <c r="AK22" s="171">
        <f>'FS_Detail(M)'!AL224</f>
        <v>136707480</v>
      </c>
      <c r="AL22" s="171">
        <f>'FS_Detail(M)'!AM224</f>
        <v>136707480</v>
      </c>
      <c r="AM22" s="171">
        <f>'FS_Detail(M)'!AN224</f>
        <v>136707480</v>
      </c>
      <c r="AN22" s="171">
        <f>'FS_Detail(M)'!AO224</f>
        <v>136707480</v>
      </c>
      <c r="AO22" s="171">
        <f>'FS_Detail(M)'!AP224</f>
        <v>136707480</v>
      </c>
      <c r="AP22" s="171">
        <f>'FS_Detail(M)'!AQ224</f>
        <v>136707480</v>
      </c>
      <c r="AQ22" s="171">
        <f>'FS_Detail(M)'!AR224</f>
        <v>136707480</v>
      </c>
      <c r="AR22" s="171">
        <f>'FS_Detail(M)'!AS224</f>
        <v>136707480</v>
      </c>
      <c r="AS22" s="171">
        <f>'FS_Detail(M)'!AT224</f>
        <v>136707480</v>
      </c>
      <c r="AT22" s="171">
        <f>'FS_Detail(M)'!AU224</f>
        <v>136707480</v>
      </c>
      <c r="AU22" s="171">
        <f>'FS_Detail(M)'!AV224</f>
        <v>136707480</v>
      </c>
      <c r="AV22" s="171">
        <f>'FS_Detail(M)'!AW224</f>
        <v>136707480</v>
      </c>
      <c r="AW22" s="171">
        <f>'FS_Detail(M)'!AX224</f>
        <v>136707480</v>
      </c>
      <c r="AX22" s="171">
        <f>'FS_Detail(M)'!AY224</f>
        <v>136707480</v>
      </c>
      <c r="AY22" s="171">
        <f>'FS_Detail(M)'!AZ224</f>
        <v>136707480</v>
      </c>
      <c r="AZ22" s="171">
        <f>'FS_Detail(M)'!BA224</f>
        <v>136707480</v>
      </c>
      <c r="BA22" s="171">
        <f>'FS_Detail(M)'!BB224</f>
        <v>136707480</v>
      </c>
      <c r="BB22" s="171">
        <f>'FS_Detail(M)'!BC224</f>
        <v>136707480</v>
      </c>
      <c r="BC22" s="171">
        <f>'FS_Detail(M)'!BD224</f>
        <v>136707480</v>
      </c>
      <c r="BD22" s="171">
        <f>'FS_Detail(M)'!BE224</f>
        <v>136707480</v>
      </c>
      <c r="BE22" s="171">
        <f>'FS_Detail(M)'!BF224</f>
        <v>136707480</v>
      </c>
      <c r="BF22" s="171">
        <f>'FS_Detail(M)'!BG224</f>
        <v>136707480</v>
      </c>
      <c r="BG22" s="171">
        <f>'FS_Detail(M)'!BH224</f>
        <v>136707480</v>
      </c>
      <c r="BH22" s="171">
        <f>'FS_Detail(M)'!BI224</f>
        <v>136707480</v>
      </c>
      <c r="BI22" s="171">
        <f>'FS_Detail(M)'!BJ224</f>
        <v>136707480</v>
      </c>
      <c r="BJ22" s="171">
        <f>'FS_Detail(M)'!BK224</f>
        <v>136707480</v>
      </c>
      <c r="BK22" s="171">
        <f>'FS_Detail(M)'!BL224</f>
        <v>136707480</v>
      </c>
      <c r="BL22" s="171">
        <f>'FS_Detail(M)'!BM224</f>
        <v>136707480</v>
      </c>
      <c r="BM22" s="171">
        <f>'FS_Detail(M)'!BN224</f>
        <v>136707480</v>
      </c>
      <c r="BN22" s="171">
        <f>'FS_Detail(M)'!BO224</f>
        <v>136707480</v>
      </c>
      <c r="BO22" s="171">
        <f>'FS_Detail(M)'!BP224</f>
        <v>136707480</v>
      </c>
      <c r="BP22" s="171">
        <f>'FS_Detail(M)'!BQ224</f>
        <v>136707480</v>
      </c>
      <c r="BQ22" s="171">
        <f>'FS_Detail(M)'!BR224</f>
        <v>136707480</v>
      </c>
      <c r="BR22" s="171">
        <f>'FS_Detail(M)'!BS224</f>
        <v>136707480</v>
      </c>
      <c r="BS22" s="171">
        <f>'FS_Detail(M)'!BT224</f>
        <v>136707480</v>
      </c>
      <c r="BT22" s="171">
        <f>'FS_Detail(M)'!BU224</f>
        <v>136707480</v>
      </c>
      <c r="BU22" s="171">
        <f>'FS_Detail(M)'!BV224</f>
        <v>136707480</v>
      </c>
      <c r="BV22" s="171">
        <f>'FS_Detail(M)'!BW224</f>
        <v>136707480</v>
      </c>
      <c r="BW22" s="171">
        <f>'FS_Detail(M)'!BX224</f>
        <v>136707480</v>
      </c>
      <c r="BX22" s="171">
        <f>'FS_Detail(M)'!BY224</f>
        <v>136707480</v>
      </c>
      <c r="BY22" s="171">
        <f>'FS_Detail(M)'!BZ224</f>
        <v>136707480</v>
      </c>
      <c r="BZ22" s="171">
        <f>'FS_Detail(M)'!CA224</f>
        <v>136707480</v>
      </c>
      <c r="CA22" s="171">
        <f>'FS_Detail(M)'!CB224</f>
        <v>136707480</v>
      </c>
      <c r="CB22" s="171">
        <f>'FS_Detail(M)'!CC224</f>
        <v>136707480</v>
      </c>
      <c r="CC22" s="171">
        <f>'FS_Detail(M)'!CD224</f>
        <v>136707480</v>
      </c>
      <c r="CD22" s="171">
        <f>'FS_Detail(M)'!CE224</f>
        <v>136707480</v>
      </c>
      <c r="CE22" s="171">
        <f>'FS_Detail(M)'!CF224</f>
        <v>136707480</v>
      </c>
      <c r="CF22" s="171">
        <f>'FS_Detail(M)'!CG224</f>
        <v>136707480</v>
      </c>
      <c r="CG22" s="171">
        <f>'FS_Detail(M)'!CH224</f>
        <v>136707480</v>
      </c>
      <c r="CH22" s="171">
        <f>'FS_Detail(M)'!CI224</f>
        <v>136707480</v>
      </c>
      <c r="CI22" s="171">
        <f>'FS_Detail(M)'!CJ224</f>
        <v>136707480</v>
      </c>
      <c r="CJ22" s="171">
        <f>'FS_Detail(M)'!CK224</f>
        <v>136707480</v>
      </c>
      <c r="CK22" s="171">
        <f>'FS_Detail(M)'!CL224</f>
        <v>136707480</v>
      </c>
      <c r="CL22" s="171">
        <f>'FS_Detail(M)'!CM224</f>
        <v>136707480</v>
      </c>
      <c r="CM22" s="171">
        <f>'FS_Detail(M)'!CN224</f>
        <v>136707480</v>
      </c>
      <c r="CN22" s="171">
        <f>'FS_Detail(M)'!CO224</f>
        <v>136707480</v>
      </c>
      <c r="CO22" s="171">
        <f>'FS_Detail(M)'!CP224</f>
        <v>136707480</v>
      </c>
      <c r="CP22" s="171">
        <f>'FS_Detail(M)'!CQ224</f>
        <v>136707480</v>
      </c>
      <c r="CQ22" s="171">
        <f>'FS_Detail(M)'!CR224</f>
        <v>136707480</v>
      </c>
      <c r="CR22" s="171">
        <f>'FS_Detail(M)'!CS224</f>
        <v>136707480</v>
      </c>
      <c r="CS22" s="171">
        <f>'FS_Detail(M)'!CT224</f>
        <v>136707480</v>
      </c>
      <c r="CT22" s="171">
        <f>'FS_Detail(M)'!CU224</f>
        <v>136707480</v>
      </c>
      <c r="CU22" s="171">
        <f>'FS_Detail(M)'!CV224</f>
        <v>136707480</v>
      </c>
      <c r="CV22" s="171">
        <f>'FS_Detail(M)'!CW224</f>
        <v>136707480</v>
      </c>
      <c r="CW22" s="171">
        <f>'FS_Detail(M)'!CX224</f>
        <v>136707480</v>
      </c>
      <c r="CX22" s="171">
        <f>'FS_Detail(M)'!CY224</f>
        <v>136707480</v>
      </c>
      <c r="CY22" s="171">
        <f>'FS_Detail(M)'!CZ224</f>
        <v>136707480</v>
      </c>
      <c r="CZ22" s="171">
        <f>'FS_Detail(M)'!DA224</f>
        <v>136707480</v>
      </c>
      <c r="DA22" s="171">
        <f>'FS_Detail(M)'!DB224</f>
        <v>136707480</v>
      </c>
      <c r="DB22" s="171">
        <f>'FS_Detail(M)'!DC224</f>
        <v>136707480</v>
      </c>
      <c r="DC22" s="171">
        <f>'FS_Detail(M)'!DD224</f>
        <v>136707480</v>
      </c>
      <c r="DD22" s="171">
        <f>'FS_Detail(M)'!DE224</f>
        <v>136707480</v>
      </c>
      <c r="DE22" s="171">
        <f>'FS_Detail(M)'!DF224</f>
        <v>136707480</v>
      </c>
      <c r="DF22" s="171">
        <f>'FS_Detail(M)'!DG224</f>
        <v>136707480</v>
      </c>
      <c r="DG22" s="171">
        <f>'FS_Detail(M)'!DH224</f>
        <v>136707480</v>
      </c>
      <c r="DH22" s="171">
        <f>'FS_Detail(M)'!DI224</f>
        <v>136707480</v>
      </c>
      <c r="DI22" s="171">
        <f>'FS_Detail(M)'!DJ224</f>
        <v>136707480</v>
      </c>
      <c r="DJ22" s="171">
        <f>'FS_Detail(M)'!DK224</f>
        <v>136707480</v>
      </c>
      <c r="DK22" s="171">
        <f>'FS_Detail(M)'!DL224</f>
        <v>136707480</v>
      </c>
      <c r="DL22" s="171">
        <f>'FS_Detail(M)'!DM224</f>
        <v>136707480</v>
      </c>
      <c r="DM22" s="171">
        <f>'FS_Detail(M)'!DN224</f>
        <v>136707480</v>
      </c>
      <c r="DN22" s="171">
        <f>'FS_Detail(M)'!DO224</f>
        <v>136707480</v>
      </c>
      <c r="DO22" s="171">
        <f>'FS_Detail(M)'!DP224</f>
        <v>136707480</v>
      </c>
      <c r="DP22" s="171">
        <f>'FS_Detail(M)'!DQ224</f>
        <v>136707480</v>
      </c>
      <c r="DQ22" s="171">
        <f>'FS_Detail(M)'!DR224</f>
        <v>136707480</v>
      </c>
      <c r="DR22" s="171">
        <f>'FS_Detail(M)'!DS224</f>
        <v>136707480</v>
      </c>
      <c r="DS22" s="171">
        <f>'FS_Detail(M)'!DT224</f>
        <v>136707480</v>
      </c>
      <c r="DT22" s="171">
        <f>'FS_Detail(M)'!DU224</f>
        <v>136707480</v>
      </c>
      <c r="DU22" s="171">
        <f>'FS_Detail(M)'!DV224</f>
        <v>136707480</v>
      </c>
      <c r="DV22" s="171">
        <f>'FS_Detail(M)'!DW224</f>
        <v>136707480</v>
      </c>
      <c r="DW22" s="171">
        <f>'FS_Detail(M)'!DX224</f>
        <v>136707480</v>
      </c>
      <c r="DX22" s="171">
        <f>'FS_Detail(M)'!DY224</f>
        <v>136707480</v>
      </c>
      <c r="DY22" s="171">
        <f>'FS_Detail(M)'!DZ224</f>
        <v>136707480</v>
      </c>
      <c r="DZ22" s="171">
        <f>'FS_Detail(M)'!EA224</f>
        <v>136707480</v>
      </c>
      <c r="EA22" s="171">
        <f>'FS_Detail(M)'!EB224</f>
        <v>0</v>
      </c>
      <c r="EB22" s="171">
        <f>'FS_Detail(M)'!EC224</f>
        <v>0</v>
      </c>
      <c r="EC22" s="171">
        <f>'FS_Detail(M)'!ED224</f>
        <v>0</v>
      </c>
      <c r="ED22" s="171">
        <f>'FS_Detail(M)'!EE224</f>
        <v>0</v>
      </c>
      <c r="EE22" s="171">
        <f>'FS_Detail(M)'!EF224</f>
        <v>0</v>
      </c>
      <c r="EF22" s="171">
        <f>'FS_Detail(M)'!EG224</f>
        <v>0</v>
      </c>
      <c r="EG22" s="171">
        <f>'FS_Detail(M)'!EH224</f>
        <v>0</v>
      </c>
      <c r="EH22" s="171">
        <f>'FS_Detail(M)'!EI224</f>
        <v>0</v>
      </c>
      <c r="EI22" s="171">
        <f>'FS_Detail(M)'!EJ224</f>
        <v>0</v>
      </c>
      <c r="EJ22" s="171">
        <f>'FS_Detail(M)'!EK224</f>
        <v>0</v>
      </c>
      <c r="EK22" s="171">
        <f>'FS_Detail(M)'!EL224</f>
        <v>0</v>
      </c>
      <c r="EL22" s="171">
        <f>'FS_Detail(M)'!EM224</f>
        <v>0</v>
      </c>
      <c r="EM22" s="171">
        <f>'FS_Detail(M)'!EN224</f>
        <v>0</v>
      </c>
      <c r="EN22" s="171">
        <f>'FS_Detail(M)'!EO224</f>
        <v>0</v>
      </c>
      <c r="EO22" s="171">
        <f>'FS_Detail(M)'!EP224</f>
        <v>0</v>
      </c>
      <c r="EP22" s="171">
        <f>'FS_Detail(M)'!EQ224</f>
        <v>0</v>
      </c>
    </row>
    <row r="23" spans="2:146">
      <c r="B23" s="218"/>
      <c r="C23" s="163"/>
      <c r="D23" s="169" t="s">
        <v>517</v>
      </c>
      <c r="H23" s="146"/>
      <c r="I23" s="953"/>
      <c r="J23" s="98"/>
      <c r="K23" s="171">
        <f>-'FS_Detail(M)'!L229</f>
        <v>0</v>
      </c>
      <c r="L23" s="171">
        <f>-'FS_Detail(M)'!M229</f>
        <v>-284807.25</v>
      </c>
      <c r="M23" s="171">
        <f>-'FS_Detail(M)'!N229</f>
        <v>-569614.5</v>
      </c>
      <c r="N23" s="171">
        <f>-'FS_Detail(M)'!O229</f>
        <v>-854421.75</v>
      </c>
      <c r="O23" s="171">
        <f>-'FS_Detail(M)'!P229</f>
        <v>-1139229</v>
      </c>
      <c r="P23" s="171">
        <f>-'FS_Detail(M)'!Q229</f>
        <v>-1424036.25</v>
      </c>
      <c r="Q23" s="171">
        <f>-'FS_Detail(M)'!R229</f>
        <v>-1708843.5</v>
      </c>
      <c r="R23" s="171">
        <f>-'FS_Detail(M)'!S229</f>
        <v>-1993650.75</v>
      </c>
      <c r="S23" s="171">
        <f>-'FS_Detail(M)'!T229</f>
        <v>-2278458</v>
      </c>
      <c r="T23" s="171">
        <f>-'FS_Detail(M)'!U229</f>
        <v>-2563265.25</v>
      </c>
      <c r="U23" s="171">
        <f>-'FS_Detail(M)'!V229</f>
        <v>-2848072.5</v>
      </c>
      <c r="V23" s="171">
        <f>-'FS_Detail(M)'!W229</f>
        <v>-3132879.75</v>
      </c>
      <c r="W23" s="171">
        <f>-'FS_Detail(M)'!X229</f>
        <v>-3417687</v>
      </c>
      <c r="X23" s="171">
        <f>-'FS_Detail(M)'!Y229</f>
        <v>-3702494.25</v>
      </c>
      <c r="Y23" s="171">
        <f>-'FS_Detail(M)'!Z229</f>
        <v>-3987301.5</v>
      </c>
      <c r="Z23" s="171">
        <f>-'FS_Detail(M)'!AA229</f>
        <v>-4272108.75</v>
      </c>
      <c r="AA23" s="171">
        <f>-'FS_Detail(M)'!AB229</f>
        <v>-4556916</v>
      </c>
      <c r="AB23" s="171">
        <f>-'FS_Detail(M)'!AC229</f>
        <v>-4841723.25</v>
      </c>
      <c r="AC23" s="171">
        <f>-'FS_Detail(M)'!AD229</f>
        <v>-5126530.5</v>
      </c>
      <c r="AD23" s="171">
        <f>-'FS_Detail(M)'!AE229</f>
        <v>-5411337.75</v>
      </c>
      <c r="AE23" s="171">
        <f>-'FS_Detail(M)'!AF229</f>
        <v>-5696145</v>
      </c>
      <c r="AF23" s="171">
        <f>-'FS_Detail(M)'!AG229</f>
        <v>-5980952.25</v>
      </c>
      <c r="AG23" s="171">
        <f>-'FS_Detail(M)'!AH229</f>
        <v>-6265759.5</v>
      </c>
      <c r="AH23" s="171">
        <f>-'FS_Detail(M)'!AI229</f>
        <v>-6550566.75</v>
      </c>
      <c r="AI23" s="171">
        <f>-'FS_Detail(M)'!AJ229</f>
        <v>-6835374</v>
      </c>
      <c r="AJ23" s="171">
        <f>-'FS_Detail(M)'!AK229</f>
        <v>-7120181.25</v>
      </c>
      <c r="AK23" s="171">
        <f>-'FS_Detail(M)'!AL229</f>
        <v>-7404988.5</v>
      </c>
      <c r="AL23" s="171">
        <f>-'FS_Detail(M)'!AM229</f>
        <v>-7689795.75</v>
      </c>
      <c r="AM23" s="171">
        <f>-'FS_Detail(M)'!AN229</f>
        <v>-7974603</v>
      </c>
      <c r="AN23" s="171">
        <f>-'FS_Detail(M)'!AO229</f>
        <v>-8259410.25</v>
      </c>
      <c r="AO23" s="171">
        <f>-'FS_Detail(M)'!AP229</f>
        <v>-8544217.5</v>
      </c>
      <c r="AP23" s="171">
        <f>-'FS_Detail(M)'!AQ229</f>
        <v>-8829024.75</v>
      </c>
      <c r="AQ23" s="171">
        <f>-'FS_Detail(M)'!AR229</f>
        <v>-9113832</v>
      </c>
      <c r="AR23" s="171">
        <f>-'FS_Detail(M)'!AS229</f>
        <v>-9398639.25</v>
      </c>
      <c r="AS23" s="171">
        <f>-'FS_Detail(M)'!AT229</f>
        <v>-9683446.5</v>
      </c>
      <c r="AT23" s="171">
        <f>-'FS_Detail(M)'!AU229</f>
        <v>-9968253.75</v>
      </c>
      <c r="AU23" s="171">
        <f>-'FS_Detail(M)'!AV229</f>
        <v>-10253061</v>
      </c>
      <c r="AV23" s="171">
        <f>-'FS_Detail(M)'!AW229</f>
        <v>-10537868.25</v>
      </c>
      <c r="AW23" s="171">
        <f>-'FS_Detail(M)'!AX229</f>
        <v>-10822675.5</v>
      </c>
      <c r="AX23" s="171">
        <f>-'FS_Detail(M)'!AY229</f>
        <v>-11107482.75</v>
      </c>
      <c r="AY23" s="171">
        <f>-'FS_Detail(M)'!AZ229</f>
        <v>-11392290</v>
      </c>
      <c r="AZ23" s="171">
        <f>-'FS_Detail(M)'!BA229</f>
        <v>-11677097.25</v>
      </c>
      <c r="BA23" s="171">
        <f>-'FS_Detail(M)'!BB229</f>
        <v>-11961904.5</v>
      </c>
      <c r="BB23" s="171">
        <f>-'FS_Detail(M)'!BC229</f>
        <v>-12246711.75</v>
      </c>
      <c r="BC23" s="171">
        <f>-'FS_Detail(M)'!BD229</f>
        <v>-12531519</v>
      </c>
      <c r="BD23" s="171">
        <f>-'FS_Detail(M)'!BE229</f>
        <v>-12816326.25</v>
      </c>
      <c r="BE23" s="171">
        <f>-'FS_Detail(M)'!BF229</f>
        <v>-13101133.5</v>
      </c>
      <c r="BF23" s="171">
        <f>-'FS_Detail(M)'!BG229</f>
        <v>-13385940.75</v>
      </c>
      <c r="BG23" s="171">
        <f>-'FS_Detail(M)'!BH229</f>
        <v>-13670748</v>
      </c>
      <c r="BH23" s="171">
        <f>-'FS_Detail(M)'!BI229</f>
        <v>-13955555.25</v>
      </c>
      <c r="BI23" s="171">
        <f>-'FS_Detail(M)'!BJ229</f>
        <v>-14240362.5</v>
      </c>
      <c r="BJ23" s="171">
        <f>-'FS_Detail(M)'!BK229</f>
        <v>-14525169.75</v>
      </c>
      <c r="BK23" s="171">
        <f>-'FS_Detail(M)'!BL229</f>
        <v>-14809977</v>
      </c>
      <c r="BL23" s="171">
        <f>-'FS_Detail(M)'!BM229</f>
        <v>-15094784.25</v>
      </c>
      <c r="BM23" s="171">
        <f>-'FS_Detail(M)'!BN229</f>
        <v>-15379591.5</v>
      </c>
      <c r="BN23" s="171">
        <f>-'FS_Detail(M)'!BO229</f>
        <v>-15664398.75</v>
      </c>
      <c r="BO23" s="171">
        <f>-'FS_Detail(M)'!BP229</f>
        <v>-15949206</v>
      </c>
      <c r="BP23" s="171">
        <f>-'FS_Detail(M)'!BQ229</f>
        <v>-16234013.25</v>
      </c>
      <c r="BQ23" s="171">
        <f>-'FS_Detail(M)'!BR229</f>
        <v>-16518820.5</v>
      </c>
      <c r="BR23" s="171">
        <f>-'FS_Detail(M)'!BS229</f>
        <v>-16803627.75</v>
      </c>
      <c r="BS23" s="171">
        <f>-'FS_Detail(M)'!BT229</f>
        <v>-17088435</v>
      </c>
      <c r="BT23" s="171">
        <f>-'FS_Detail(M)'!BU229</f>
        <v>-17373242.25</v>
      </c>
      <c r="BU23" s="171">
        <f>-'FS_Detail(M)'!BV229</f>
        <v>-17658049.5</v>
      </c>
      <c r="BV23" s="171">
        <f>-'FS_Detail(M)'!BW229</f>
        <v>-17942856.75</v>
      </c>
      <c r="BW23" s="171">
        <f>-'FS_Detail(M)'!BX229</f>
        <v>-18227664</v>
      </c>
      <c r="BX23" s="171">
        <f>-'FS_Detail(M)'!BY229</f>
        <v>-18512471.25</v>
      </c>
      <c r="BY23" s="171">
        <f>-'FS_Detail(M)'!BZ229</f>
        <v>-18797278.5</v>
      </c>
      <c r="BZ23" s="171">
        <f>-'FS_Detail(M)'!CA229</f>
        <v>-19082085.75</v>
      </c>
      <c r="CA23" s="171">
        <f>-'FS_Detail(M)'!CB229</f>
        <v>-19366893</v>
      </c>
      <c r="CB23" s="171">
        <f>-'FS_Detail(M)'!CC229</f>
        <v>-19651700.25</v>
      </c>
      <c r="CC23" s="171">
        <f>-'FS_Detail(M)'!CD229</f>
        <v>-19936507.5</v>
      </c>
      <c r="CD23" s="171">
        <f>-'FS_Detail(M)'!CE229</f>
        <v>-20221314.75</v>
      </c>
      <c r="CE23" s="171">
        <f>-'FS_Detail(M)'!CF229</f>
        <v>-20506122</v>
      </c>
      <c r="CF23" s="171">
        <f>-'FS_Detail(M)'!CG229</f>
        <v>-20790929.25</v>
      </c>
      <c r="CG23" s="171">
        <f>-'FS_Detail(M)'!CH229</f>
        <v>-21075736.5</v>
      </c>
      <c r="CH23" s="171">
        <f>-'FS_Detail(M)'!CI229</f>
        <v>-21360543.75</v>
      </c>
      <c r="CI23" s="171">
        <f>-'FS_Detail(M)'!CJ229</f>
        <v>-21645351</v>
      </c>
      <c r="CJ23" s="171">
        <f>-'FS_Detail(M)'!CK229</f>
        <v>-21930158.25</v>
      </c>
      <c r="CK23" s="171">
        <f>-'FS_Detail(M)'!CL229</f>
        <v>-22214965.5</v>
      </c>
      <c r="CL23" s="171">
        <f>-'FS_Detail(M)'!CM229</f>
        <v>-22499772.75</v>
      </c>
      <c r="CM23" s="171">
        <f>-'FS_Detail(M)'!CN229</f>
        <v>-22784580</v>
      </c>
      <c r="CN23" s="171">
        <f>-'FS_Detail(M)'!CO229</f>
        <v>-23069387.25</v>
      </c>
      <c r="CO23" s="171">
        <f>-'FS_Detail(M)'!CP229</f>
        <v>-23354194.5</v>
      </c>
      <c r="CP23" s="171">
        <f>-'FS_Detail(M)'!CQ229</f>
        <v>-23639001.75</v>
      </c>
      <c r="CQ23" s="171">
        <f>-'FS_Detail(M)'!CR229</f>
        <v>-23923809</v>
      </c>
      <c r="CR23" s="171">
        <f>-'FS_Detail(M)'!CS229</f>
        <v>-24208616.25</v>
      </c>
      <c r="CS23" s="171">
        <f>-'FS_Detail(M)'!CT229</f>
        <v>-24493423.5</v>
      </c>
      <c r="CT23" s="171">
        <f>-'FS_Detail(M)'!CU229</f>
        <v>-24778230.75</v>
      </c>
      <c r="CU23" s="171">
        <f>-'FS_Detail(M)'!CV229</f>
        <v>-25063038</v>
      </c>
      <c r="CV23" s="171">
        <f>-'FS_Detail(M)'!CW229</f>
        <v>-25347845.25</v>
      </c>
      <c r="CW23" s="171">
        <f>-'FS_Detail(M)'!CX229</f>
        <v>-25632652.5</v>
      </c>
      <c r="CX23" s="171">
        <f>-'FS_Detail(M)'!CY229</f>
        <v>-25917459.75</v>
      </c>
      <c r="CY23" s="171">
        <f>-'FS_Detail(M)'!CZ229</f>
        <v>-26202267</v>
      </c>
      <c r="CZ23" s="171">
        <f>-'FS_Detail(M)'!DA229</f>
        <v>-26487074.25</v>
      </c>
      <c r="DA23" s="171">
        <f>-'FS_Detail(M)'!DB229</f>
        <v>-26771881.5</v>
      </c>
      <c r="DB23" s="171">
        <f>-'FS_Detail(M)'!DC229</f>
        <v>-27056688.75</v>
      </c>
      <c r="DC23" s="171">
        <f>-'FS_Detail(M)'!DD229</f>
        <v>-27341496</v>
      </c>
      <c r="DD23" s="171">
        <f>-'FS_Detail(M)'!DE229</f>
        <v>-27626303.25</v>
      </c>
      <c r="DE23" s="171">
        <f>-'FS_Detail(M)'!DF229</f>
        <v>-27911110.5</v>
      </c>
      <c r="DF23" s="171">
        <f>-'FS_Detail(M)'!DG229</f>
        <v>-28195917.75</v>
      </c>
      <c r="DG23" s="171">
        <f>-'FS_Detail(M)'!DH229</f>
        <v>-28480725</v>
      </c>
      <c r="DH23" s="171">
        <f>-'FS_Detail(M)'!DI229</f>
        <v>-28765532.25</v>
      </c>
      <c r="DI23" s="171">
        <f>-'FS_Detail(M)'!DJ229</f>
        <v>-29050339.5</v>
      </c>
      <c r="DJ23" s="171">
        <f>-'FS_Detail(M)'!DK229</f>
        <v>-29335146.75</v>
      </c>
      <c r="DK23" s="171">
        <f>-'FS_Detail(M)'!DL229</f>
        <v>-29619954</v>
      </c>
      <c r="DL23" s="171">
        <f>-'FS_Detail(M)'!DM229</f>
        <v>-29904761.25</v>
      </c>
      <c r="DM23" s="171">
        <f>-'FS_Detail(M)'!DN229</f>
        <v>-30189568.5</v>
      </c>
      <c r="DN23" s="171">
        <f>-'FS_Detail(M)'!DO229</f>
        <v>-30474375.75</v>
      </c>
      <c r="DO23" s="171">
        <f>-'FS_Detail(M)'!DP229</f>
        <v>-30759183</v>
      </c>
      <c r="DP23" s="171">
        <f>-'FS_Detail(M)'!DQ229</f>
        <v>-31043990.25</v>
      </c>
      <c r="DQ23" s="171">
        <f>-'FS_Detail(M)'!DR229</f>
        <v>-31328797.5</v>
      </c>
      <c r="DR23" s="171">
        <f>-'FS_Detail(M)'!DS229</f>
        <v>-31613604.75</v>
      </c>
      <c r="DS23" s="171">
        <f>-'FS_Detail(M)'!DT229</f>
        <v>-31898412</v>
      </c>
      <c r="DT23" s="171">
        <f>-'FS_Detail(M)'!DU229</f>
        <v>-32183219.25</v>
      </c>
      <c r="DU23" s="171">
        <f>-'FS_Detail(M)'!DV229</f>
        <v>-32468026.5</v>
      </c>
      <c r="DV23" s="171">
        <f>-'FS_Detail(M)'!DW229</f>
        <v>-32752833.75</v>
      </c>
      <c r="DW23" s="171">
        <f>-'FS_Detail(M)'!DX229</f>
        <v>-33037641</v>
      </c>
      <c r="DX23" s="171">
        <f>-'FS_Detail(M)'!DY229</f>
        <v>-33322448.25</v>
      </c>
      <c r="DY23" s="171">
        <f>-'FS_Detail(M)'!DZ229</f>
        <v>-33607255.5</v>
      </c>
      <c r="DZ23" s="171">
        <f>-'FS_Detail(M)'!EA229</f>
        <v>-33892062.75</v>
      </c>
      <c r="EA23" s="171">
        <f>-'FS_Detail(M)'!EB229</f>
        <v>0</v>
      </c>
      <c r="EB23" s="171">
        <f>-'FS_Detail(M)'!EC229</f>
        <v>0</v>
      </c>
      <c r="EC23" s="171">
        <f>-'FS_Detail(M)'!ED229</f>
        <v>0</v>
      </c>
      <c r="ED23" s="171">
        <f>-'FS_Detail(M)'!EE229</f>
        <v>0</v>
      </c>
      <c r="EE23" s="171">
        <f>-'FS_Detail(M)'!EF229</f>
        <v>0</v>
      </c>
      <c r="EF23" s="171">
        <f>-'FS_Detail(M)'!EG229</f>
        <v>0</v>
      </c>
      <c r="EG23" s="171">
        <f>-'FS_Detail(M)'!EH229</f>
        <v>0</v>
      </c>
      <c r="EH23" s="171">
        <f>-'FS_Detail(M)'!EI229</f>
        <v>0</v>
      </c>
      <c r="EI23" s="171">
        <f>-'FS_Detail(M)'!EJ229</f>
        <v>0</v>
      </c>
      <c r="EJ23" s="171">
        <f>-'FS_Detail(M)'!EK229</f>
        <v>0</v>
      </c>
      <c r="EK23" s="171">
        <f>-'FS_Detail(M)'!EL229</f>
        <v>0</v>
      </c>
      <c r="EL23" s="171">
        <f>-'FS_Detail(M)'!EM229</f>
        <v>0</v>
      </c>
      <c r="EM23" s="171">
        <f>-'FS_Detail(M)'!EN229</f>
        <v>0</v>
      </c>
      <c r="EN23" s="171">
        <f>-'FS_Detail(M)'!EO229</f>
        <v>0</v>
      </c>
      <c r="EO23" s="171">
        <f>-'FS_Detail(M)'!EP229</f>
        <v>0</v>
      </c>
      <c r="EP23" s="171">
        <f>-'FS_Detail(M)'!EQ229</f>
        <v>0</v>
      </c>
    </row>
    <row r="24" spans="2:146">
      <c r="B24" s="223" t="s">
        <v>561</v>
      </c>
      <c r="C24" s="224"/>
      <c r="D24" s="224"/>
      <c r="E24" s="224"/>
      <c r="F24" s="224"/>
      <c r="G24" s="224"/>
      <c r="H24" s="225"/>
      <c r="I24" s="975"/>
      <c r="K24" s="216">
        <f>SUM(K25,K30)</f>
        <v>212956669.630532</v>
      </c>
      <c r="L24" s="216">
        <f t="shared" ref="L24:BW24" si="12">SUM(L25,L30)</f>
        <v>214087140.55233946</v>
      </c>
      <c r="M24" s="216">
        <f t="shared" si="12"/>
        <v>215195939.30953339</v>
      </c>
      <c r="N24" s="216">
        <f t="shared" si="12"/>
        <v>200288373.8710511</v>
      </c>
      <c r="O24" s="216">
        <f t="shared" si="12"/>
        <v>201360950.74189118</v>
      </c>
      <c r="P24" s="216">
        <f t="shared" si="12"/>
        <v>202440415.21605626</v>
      </c>
      <c r="Q24" s="216">
        <f t="shared" si="12"/>
        <v>200443237.67333335</v>
      </c>
      <c r="R24" s="216">
        <f t="shared" si="12"/>
        <v>201513114.84326479</v>
      </c>
      <c r="S24" s="216">
        <f t="shared" si="12"/>
        <v>202600188.83230877</v>
      </c>
      <c r="T24" s="216">
        <f t="shared" si="12"/>
        <v>200498430.10605109</v>
      </c>
      <c r="U24" s="216">
        <f t="shared" si="12"/>
        <v>201585613.08693254</v>
      </c>
      <c r="V24" s="216">
        <f t="shared" si="12"/>
        <v>202311451.36614734</v>
      </c>
      <c r="W24" s="216">
        <f t="shared" si="12"/>
        <v>200291949.20666668</v>
      </c>
      <c r="X24" s="216">
        <f t="shared" si="12"/>
        <v>201377318.19109395</v>
      </c>
      <c r="Y24" s="216">
        <f t="shared" si="12"/>
        <v>202333043.98521736</v>
      </c>
      <c r="Z24" s="216">
        <f t="shared" si="12"/>
        <v>200372914.42317608</v>
      </c>
      <c r="AA24" s="216">
        <f t="shared" si="12"/>
        <v>201448359.82925418</v>
      </c>
      <c r="AB24" s="216">
        <f t="shared" si="12"/>
        <v>202530865.02874038</v>
      </c>
      <c r="AC24" s="216">
        <f t="shared" si="12"/>
        <v>200527616.47628334</v>
      </c>
      <c r="AD24" s="216">
        <f t="shared" si="12"/>
        <v>201600294.68893006</v>
      </c>
      <c r="AE24" s="216">
        <f t="shared" si="12"/>
        <v>202690599.64116713</v>
      </c>
      <c r="AF24" s="216">
        <f t="shared" si="12"/>
        <v>200528710.4540261</v>
      </c>
      <c r="AG24" s="216">
        <f t="shared" si="12"/>
        <v>201619127.12289658</v>
      </c>
      <c r="AH24" s="216">
        <f t="shared" si="12"/>
        <v>202320769.74229208</v>
      </c>
      <c r="AI24" s="216">
        <f t="shared" si="12"/>
        <v>215294638.45765832</v>
      </c>
      <c r="AJ24" s="216">
        <f t="shared" si="12"/>
        <v>216410610.38838696</v>
      </c>
      <c r="AK24" s="216">
        <f t="shared" si="12"/>
        <v>217392280.46102804</v>
      </c>
      <c r="AL24" s="216">
        <f t="shared" si="12"/>
        <v>215373635.34285995</v>
      </c>
      <c r="AM24" s="216">
        <f t="shared" si="12"/>
        <v>216491845.34227681</v>
      </c>
      <c r="AN24" s="216">
        <f t="shared" si="12"/>
        <v>217602816.9341296</v>
      </c>
      <c r="AO24" s="216">
        <f t="shared" si="12"/>
        <v>215528224.14980009</v>
      </c>
      <c r="AP24" s="216">
        <f t="shared" si="12"/>
        <v>216647304.99777174</v>
      </c>
      <c r="AQ24" s="216">
        <f t="shared" si="12"/>
        <v>217660080.01433977</v>
      </c>
      <c r="AR24" s="216">
        <f t="shared" si="12"/>
        <v>215525752.37145972</v>
      </c>
      <c r="AS24" s="216">
        <f t="shared" si="12"/>
        <v>216541612.33208144</v>
      </c>
      <c r="AT24" s="216">
        <f t="shared" si="12"/>
        <v>217174529.85397032</v>
      </c>
      <c r="AU24" s="216">
        <f t="shared" si="12"/>
        <v>215297398.73966697</v>
      </c>
      <c r="AV24" s="216">
        <f t="shared" si="12"/>
        <v>216419693.45093176</v>
      </c>
      <c r="AW24" s="216">
        <f t="shared" si="12"/>
        <v>217407894.70236963</v>
      </c>
      <c r="AX24" s="216">
        <f t="shared" si="12"/>
        <v>215374438.88885614</v>
      </c>
      <c r="AY24" s="216">
        <f t="shared" si="12"/>
        <v>216499686.25898108</v>
      </c>
      <c r="AZ24" s="216">
        <f t="shared" si="12"/>
        <v>217617514.26135284</v>
      </c>
      <c r="BA24" s="216">
        <f t="shared" si="12"/>
        <v>215528963.14662731</v>
      </c>
      <c r="BB24" s="216">
        <f t="shared" si="12"/>
        <v>216655097.47536036</v>
      </c>
      <c r="BC24" s="216">
        <f t="shared" si="12"/>
        <v>217781231.80409345</v>
      </c>
      <c r="BD24" s="216">
        <f t="shared" si="12"/>
        <v>215522905.25900364</v>
      </c>
      <c r="BE24" s="216">
        <f t="shared" si="12"/>
        <v>216649381.57969934</v>
      </c>
      <c r="BF24" s="216">
        <f t="shared" si="12"/>
        <v>217398659.59824312</v>
      </c>
      <c r="BG24" s="216">
        <f t="shared" si="12"/>
        <v>215300231.21462291</v>
      </c>
      <c r="BH24" s="216">
        <f t="shared" si="12"/>
        <v>216426972.64142653</v>
      </c>
      <c r="BI24" s="216">
        <f t="shared" si="12"/>
        <v>217416934.78971025</v>
      </c>
      <c r="BJ24" s="216">
        <f t="shared" si="12"/>
        <v>215375325.69057211</v>
      </c>
      <c r="BK24" s="216">
        <f t="shared" si="12"/>
        <v>216504434.95425263</v>
      </c>
      <c r="BL24" s="216">
        <f t="shared" si="12"/>
        <v>217625939.36598617</v>
      </c>
      <c r="BM24" s="216">
        <f t="shared" si="12"/>
        <v>215529834.30568358</v>
      </c>
      <c r="BN24" s="216">
        <f t="shared" si="12"/>
        <v>216659858.36309803</v>
      </c>
      <c r="BO24" s="216">
        <f t="shared" si="12"/>
        <v>217789882.42051247</v>
      </c>
      <c r="BP24" s="216">
        <f t="shared" si="12"/>
        <v>215520168.78408366</v>
      </c>
      <c r="BQ24" s="216">
        <f t="shared" si="12"/>
        <v>216650543.38325977</v>
      </c>
      <c r="BR24" s="216">
        <f t="shared" si="12"/>
        <v>217409377.65481627</v>
      </c>
      <c r="BS24" s="216">
        <f t="shared" si="12"/>
        <v>215303137.07157558</v>
      </c>
      <c r="BT24" s="216">
        <f t="shared" si="12"/>
        <v>216380548.63864392</v>
      </c>
      <c r="BU24" s="216">
        <f t="shared" si="12"/>
        <v>217318448.44081613</v>
      </c>
      <c r="BV24" s="216">
        <f t="shared" si="12"/>
        <v>215376296.40535024</v>
      </c>
      <c r="BW24" s="216">
        <f t="shared" si="12"/>
        <v>216456135.0052174</v>
      </c>
      <c r="BX24" s="216">
        <f t="shared" ref="BX24:DO24" si="13">SUM(BX25,BX30)</f>
        <v>217528178.63183892</v>
      </c>
      <c r="BY24" s="216">
        <f t="shared" si="13"/>
        <v>215530838.50947917</v>
      </c>
      <c r="BZ24" s="216">
        <f t="shared" si="13"/>
        <v>216611614.77292359</v>
      </c>
      <c r="CA24" s="216">
        <f t="shared" si="13"/>
        <v>217692391.03636798</v>
      </c>
      <c r="CB24" s="216">
        <f t="shared" si="13"/>
        <v>215517542.64575374</v>
      </c>
      <c r="CC24" s="216">
        <f t="shared" si="13"/>
        <v>216598678.21450388</v>
      </c>
      <c r="CD24" s="216">
        <f t="shared" si="13"/>
        <v>217313846.56054869</v>
      </c>
      <c r="CE24" s="216">
        <f t="shared" si="13"/>
        <v>215306117.52717736</v>
      </c>
      <c r="CF24" s="216">
        <f t="shared" si="13"/>
        <v>216387562.11757088</v>
      </c>
      <c r="CG24" s="216">
        <f t="shared" si="13"/>
        <v>217326707.88444436</v>
      </c>
      <c r="CH24" s="216">
        <f t="shared" si="13"/>
        <v>215377351.71879634</v>
      </c>
      <c r="CI24" s="216">
        <f t="shared" si="13"/>
        <v>216461284.01780868</v>
      </c>
      <c r="CJ24" s="216">
        <f t="shared" si="13"/>
        <v>217537226.46924415</v>
      </c>
      <c r="CK24" s="216">
        <f t="shared" si="13"/>
        <v>215531976.68458542</v>
      </c>
      <c r="CL24" s="216">
        <f t="shared" si="13"/>
        <v>216616870.0887644</v>
      </c>
      <c r="CM24" s="216">
        <f t="shared" si="13"/>
        <v>217701763.49294338</v>
      </c>
      <c r="CN24" s="216">
        <f t="shared" si="13"/>
        <v>215515026.57475433</v>
      </c>
      <c r="CO24" s="216">
        <f t="shared" si="13"/>
        <v>216600288.26687166</v>
      </c>
      <c r="CP24" s="216">
        <f t="shared" si="13"/>
        <v>217325072.24462426</v>
      </c>
      <c r="CQ24" s="216">
        <f t="shared" si="13"/>
        <v>215309173.82617864</v>
      </c>
      <c r="CR24" s="216">
        <f t="shared" si="13"/>
        <v>216394766.79325384</v>
      </c>
      <c r="CS24" s="216">
        <f t="shared" si="13"/>
        <v>217335218.21642953</v>
      </c>
      <c r="CT24" s="216">
        <f t="shared" si="13"/>
        <v>215378492.34511825</v>
      </c>
      <c r="CU24" s="216">
        <f t="shared" si="13"/>
        <v>216466635.21352774</v>
      </c>
      <c r="CV24" s="216">
        <f t="shared" si="13"/>
        <v>217546588.48817095</v>
      </c>
      <c r="CW24" s="216">
        <f t="shared" si="13"/>
        <v>215533249.80212003</v>
      </c>
      <c r="CX24" s="216">
        <f t="shared" si="13"/>
        <v>216618695.3041046</v>
      </c>
      <c r="CY24" s="216">
        <f t="shared" si="13"/>
        <v>217704140.80608916</v>
      </c>
      <c r="CZ24" s="216">
        <f t="shared" si="13"/>
        <v>215512620.33358055</v>
      </c>
      <c r="DA24" s="216">
        <f t="shared" si="13"/>
        <v>216598443.33070195</v>
      </c>
      <c r="DB24" s="216">
        <f t="shared" si="13"/>
        <v>217329195.77917406</v>
      </c>
      <c r="DC24" s="216">
        <f t="shared" si="13"/>
        <v>215312307.24193308</v>
      </c>
      <c r="DD24" s="216">
        <f t="shared" si="13"/>
        <v>216398492.32187143</v>
      </c>
      <c r="DE24" s="216">
        <f t="shared" si="13"/>
        <v>217336617.15184018</v>
      </c>
      <c r="DF24" s="216">
        <f t="shared" si="13"/>
        <v>215379719.02747431</v>
      </c>
      <c r="DG24" s="216">
        <f t="shared" si="13"/>
        <v>216468488.00496894</v>
      </c>
      <c r="DH24" s="216">
        <f t="shared" si="13"/>
        <v>217557256.98246357</v>
      </c>
      <c r="DI24" s="216">
        <f t="shared" si="13"/>
        <v>215534658.87824771</v>
      </c>
      <c r="DJ24" s="216">
        <f t="shared" si="13"/>
        <v>216624416.02482435</v>
      </c>
      <c r="DK24" s="216">
        <f t="shared" si="13"/>
        <v>217714173.17140102</v>
      </c>
      <c r="DL24" s="216">
        <f t="shared" si="13"/>
        <v>215510323.71656027</v>
      </c>
      <c r="DM24" s="216">
        <f t="shared" si="13"/>
        <v>216600467.79565218</v>
      </c>
      <c r="DN24" s="216">
        <f t="shared" si="13"/>
        <v>217340867.38432455</v>
      </c>
      <c r="DO24" s="216">
        <f t="shared" si="13"/>
        <v>215315519.07691413</v>
      </c>
      <c r="DP24" s="216">
        <f t="shared" ref="DP24:EP24" si="14">SUM(DP25,DP30)</f>
        <v>216406048.12312886</v>
      </c>
      <c r="DQ24" s="216">
        <f t="shared" si="14"/>
        <v>217345559.0392417</v>
      </c>
      <c r="DR24" s="216">
        <f t="shared" si="14"/>
        <v>215381032.53833264</v>
      </c>
      <c r="DS24" s="216">
        <f t="shared" si="14"/>
        <v>216474161.01311988</v>
      </c>
      <c r="DT24" s="216">
        <f t="shared" si="14"/>
        <v>217567289.48790711</v>
      </c>
      <c r="DU24" s="216">
        <f t="shared" si="14"/>
        <v>215536204.97469664</v>
      </c>
      <c r="DV24" s="216">
        <f t="shared" si="14"/>
        <v>216630346.32279298</v>
      </c>
      <c r="DW24" s="216">
        <f t="shared" si="14"/>
        <v>217724487.67088929</v>
      </c>
      <c r="DX24" s="216">
        <f t="shared" si="14"/>
        <v>215508136.54994193</v>
      </c>
      <c r="DY24" s="216">
        <f t="shared" si="14"/>
        <v>216602674.50386634</v>
      </c>
      <c r="DZ24" s="216">
        <f t="shared" si="14"/>
        <v>217352714.13472757</v>
      </c>
      <c r="EA24" s="216">
        <f t="shared" si="14"/>
        <v>0</v>
      </c>
      <c r="EB24" s="216">
        <f t="shared" si="14"/>
        <v>0</v>
      </c>
      <c r="EC24" s="216">
        <f t="shared" si="14"/>
        <v>0</v>
      </c>
      <c r="ED24" s="216">
        <f t="shared" si="14"/>
        <v>0</v>
      </c>
      <c r="EE24" s="216">
        <f t="shared" si="14"/>
        <v>0</v>
      </c>
      <c r="EF24" s="216">
        <f t="shared" si="14"/>
        <v>0</v>
      </c>
      <c r="EG24" s="216">
        <f t="shared" si="14"/>
        <v>0</v>
      </c>
      <c r="EH24" s="216">
        <f t="shared" si="14"/>
        <v>0</v>
      </c>
      <c r="EI24" s="216">
        <f t="shared" si="14"/>
        <v>0</v>
      </c>
      <c r="EJ24" s="216">
        <f t="shared" si="14"/>
        <v>0</v>
      </c>
      <c r="EK24" s="216">
        <f t="shared" si="14"/>
        <v>0</v>
      </c>
      <c r="EL24" s="216">
        <f t="shared" si="14"/>
        <v>0</v>
      </c>
      <c r="EM24" s="216">
        <f t="shared" si="14"/>
        <v>0</v>
      </c>
      <c r="EN24" s="216">
        <f t="shared" si="14"/>
        <v>0</v>
      </c>
      <c r="EO24" s="216">
        <f t="shared" si="14"/>
        <v>0</v>
      </c>
      <c r="EP24" s="216">
        <f t="shared" si="14"/>
        <v>0</v>
      </c>
    </row>
    <row r="25" spans="2:146">
      <c r="B25" s="218"/>
      <c r="C25" s="158" t="s">
        <v>562</v>
      </c>
      <c r="D25" s="159"/>
      <c r="E25" s="159"/>
      <c r="F25" s="159"/>
      <c r="G25" s="159"/>
      <c r="H25" s="160"/>
      <c r="I25" s="973"/>
      <c r="J25" s="98"/>
      <c r="K25" s="162">
        <f>SUM(K26:K29)</f>
        <v>12856669.630531998</v>
      </c>
      <c r="L25" s="162">
        <f t="shared" ref="L25:BW25" si="15">SUM(L26:L29)</f>
        <v>13987140.55233947</v>
      </c>
      <c r="M25" s="162">
        <f t="shared" si="15"/>
        <v>15095939.3095334</v>
      </c>
      <c r="N25" s="162">
        <f t="shared" si="15"/>
        <v>188373.87105108876</v>
      </c>
      <c r="O25" s="162">
        <f t="shared" si="15"/>
        <v>1260950.741891175</v>
      </c>
      <c r="P25" s="162">
        <f t="shared" si="15"/>
        <v>2340415.2160562612</v>
      </c>
      <c r="Q25" s="162">
        <f t="shared" si="15"/>
        <v>343237.67333333334</v>
      </c>
      <c r="R25" s="162">
        <f t="shared" si="15"/>
        <v>1413114.8432647944</v>
      </c>
      <c r="S25" s="162">
        <f t="shared" si="15"/>
        <v>2500188.8323087557</v>
      </c>
      <c r="T25" s="162">
        <f t="shared" si="15"/>
        <v>398430.10605108878</v>
      </c>
      <c r="U25" s="162">
        <f t="shared" si="15"/>
        <v>1485613.0869325497</v>
      </c>
      <c r="V25" s="162">
        <f t="shared" si="15"/>
        <v>2211451.3661473445</v>
      </c>
      <c r="W25" s="162">
        <f t="shared" si="15"/>
        <v>191949.20666666667</v>
      </c>
      <c r="X25" s="162">
        <f t="shared" si="15"/>
        <v>1277318.191093961</v>
      </c>
      <c r="Y25" s="162">
        <f t="shared" si="15"/>
        <v>2233043.9852173752</v>
      </c>
      <c r="Z25" s="162">
        <f t="shared" si="15"/>
        <v>272914.42317608878</v>
      </c>
      <c r="AA25" s="162">
        <f t="shared" si="15"/>
        <v>1348359.8292541704</v>
      </c>
      <c r="AB25" s="162">
        <f t="shared" si="15"/>
        <v>2430865.0287403772</v>
      </c>
      <c r="AC25" s="162">
        <f t="shared" si="15"/>
        <v>427616.47628333332</v>
      </c>
      <c r="AD25" s="162">
        <f t="shared" si="15"/>
        <v>1500294.6889300742</v>
      </c>
      <c r="AE25" s="162">
        <f t="shared" si="15"/>
        <v>2590599.6411671275</v>
      </c>
      <c r="AF25" s="162">
        <f t="shared" si="15"/>
        <v>428710.45402608876</v>
      </c>
      <c r="AG25" s="162">
        <f t="shared" si="15"/>
        <v>1519127.1228965796</v>
      </c>
      <c r="AH25" s="162">
        <f t="shared" si="15"/>
        <v>2220769.7422920708</v>
      </c>
      <c r="AI25" s="162">
        <f t="shared" si="15"/>
        <v>194638.4576583333</v>
      </c>
      <c r="AJ25" s="162">
        <f t="shared" si="15"/>
        <v>1310610.3883869702</v>
      </c>
      <c r="AK25" s="162">
        <f t="shared" si="15"/>
        <v>2292280.4610280464</v>
      </c>
      <c r="AL25" s="162">
        <f t="shared" si="15"/>
        <v>273635.34285996383</v>
      </c>
      <c r="AM25" s="162">
        <f t="shared" si="15"/>
        <v>1391845.3422768137</v>
      </c>
      <c r="AN25" s="162">
        <f t="shared" si="15"/>
        <v>2502816.9341295855</v>
      </c>
      <c r="AO25" s="162">
        <f t="shared" si="15"/>
        <v>428224.14980008331</v>
      </c>
      <c r="AP25" s="162">
        <f t="shared" si="15"/>
        <v>1547304.9977717465</v>
      </c>
      <c r="AQ25" s="162">
        <f t="shared" si="15"/>
        <v>2560080.0143397739</v>
      </c>
      <c r="AR25" s="162">
        <f t="shared" si="15"/>
        <v>425752.37145971379</v>
      </c>
      <c r="AS25" s="162">
        <f t="shared" si="15"/>
        <v>1441612.3320814488</v>
      </c>
      <c r="AT25" s="162">
        <f t="shared" si="15"/>
        <v>2074529.8539703088</v>
      </c>
      <c r="AU25" s="162">
        <f t="shared" si="15"/>
        <v>197398.73966695834</v>
      </c>
      <c r="AV25" s="162">
        <f t="shared" si="15"/>
        <v>1319693.4509317682</v>
      </c>
      <c r="AW25" s="162">
        <f t="shared" si="15"/>
        <v>2307894.7023696336</v>
      </c>
      <c r="AX25" s="162">
        <f t="shared" si="15"/>
        <v>274438.88885614567</v>
      </c>
      <c r="AY25" s="162">
        <f t="shared" si="15"/>
        <v>1399686.2589810875</v>
      </c>
      <c r="AZ25" s="162">
        <f t="shared" si="15"/>
        <v>2517514.2613528492</v>
      </c>
      <c r="BA25" s="162">
        <f t="shared" si="15"/>
        <v>428963.14662730205</v>
      </c>
      <c r="BB25" s="162">
        <f t="shared" si="15"/>
        <v>1555097.4753603712</v>
      </c>
      <c r="BC25" s="162">
        <f t="shared" si="15"/>
        <v>2681231.804093441</v>
      </c>
      <c r="BD25" s="162">
        <f t="shared" si="15"/>
        <v>422905.25900364941</v>
      </c>
      <c r="BE25" s="162">
        <f t="shared" si="15"/>
        <v>1549381.5796993296</v>
      </c>
      <c r="BF25" s="162">
        <f t="shared" si="15"/>
        <v>2298659.598243128</v>
      </c>
      <c r="BG25" s="162">
        <f t="shared" si="15"/>
        <v>200231.21462292396</v>
      </c>
      <c r="BH25" s="162">
        <f t="shared" si="15"/>
        <v>1326972.6414265437</v>
      </c>
      <c r="BI25" s="162">
        <f t="shared" si="15"/>
        <v>2316934.7897102525</v>
      </c>
      <c r="BJ25" s="162">
        <f t="shared" si="15"/>
        <v>275325.6905721011</v>
      </c>
      <c r="BK25" s="162">
        <f t="shared" si="15"/>
        <v>1404434.9542526426</v>
      </c>
      <c r="BL25" s="162">
        <f t="shared" si="15"/>
        <v>2525939.3659861744</v>
      </c>
      <c r="BM25" s="162">
        <f t="shared" si="15"/>
        <v>429834.30568359699</v>
      </c>
      <c r="BN25" s="162">
        <f t="shared" si="15"/>
        <v>1559858.3630980253</v>
      </c>
      <c r="BO25" s="162">
        <f t="shared" si="15"/>
        <v>2689882.4205124537</v>
      </c>
      <c r="BP25" s="162">
        <f t="shared" si="15"/>
        <v>420168.78408367728</v>
      </c>
      <c r="BQ25" s="162">
        <f t="shared" si="15"/>
        <v>1550543.3832597816</v>
      </c>
      <c r="BR25" s="162">
        <f t="shared" si="15"/>
        <v>2309377.6548162824</v>
      </c>
      <c r="BS25" s="162">
        <f t="shared" si="15"/>
        <v>203137.07157556948</v>
      </c>
      <c r="BT25" s="162">
        <f t="shared" si="15"/>
        <v>1280548.6386439083</v>
      </c>
      <c r="BU25" s="162">
        <f t="shared" si="15"/>
        <v>2218448.4408161277</v>
      </c>
      <c r="BV25" s="162">
        <f t="shared" si="15"/>
        <v>276296.4053502279</v>
      </c>
      <c r="BW25" s="162">
        <f t="shared" si="15"/>
        <v>1356135.0052174116</v>
      </c>
      <c r="BX25" s="162">
        <f t="shared" ref="BX25:DO25" si="16">SUM(BX26:BX29)</f>
        <v>2428178.6318389103</v>
      </c>
      <c r="BY25" s="162">
        <f t="shared" si="16"/>
        <v>430838.50947916147</v>
      </c>
      <c r="BZ25" s="162">
        <f t="shared" si="16"/>
        <v>1511614.7729235792</v>
      </c>
      <c r="CA25" s="162">
        <f t="shared" si="16"/>
        <v>2592391.0363679966</v>
      </c>
      <c r="CB25" s="162">
        <f t="shared" si="16"/>
        <v>417542.64575374121</v>
      </c>
      <c r="CC25" s="162">
        <f t="shared" si="16"/>
        <v>1498678.2145038769</v>
      </c>
      <c r="CD25" s="162">
        <f t="shared" si="16"/>
        <v>2213846.5605487032</v>
      </c>
      <c r="CE25" s="162">
        <f t="shared" si="16"/>
        <v>206117.52717736518</v>
      </c>
      <c r="CF25" s="162">
        <f t="shared" si="16"/>
        <v>1287562.1175708659</v>
      </c>
      <c r="CG25" s="162">
        <f t="shared" si="16"/>
        <v>2226707.8844443695</v>
      </c>
      <c r="CH25" s="162">
        <f t="shared" si="16"/>
        <v>277351.71879635158</v>
      </c>
      <c r="CI25" s="162">
        <f t="shared" si="16"/>
        <v>1361284.0178086683</v>
      </c>
      <c r="CJ25" s="162">
        <f t="shared" si="16"/>
        <v>2437226.4692441579</v>
      </c>
      <c r="CK25" s="162">
        <f t="shared" si="16"/>
        <v>431976.68458540895</v>
      </c>
      <c r="CL25" s="162">
        <f t="shared" si="16"/>
        <v>1516870.0887643907</v>
      </c>
      <c r="CM25" s="162">
        <f t="shared" si="16"/>
        <v>2601763.4929433726</v>
      </c>
      <c r="CN25" s="162">
        <f t="shared" si="16"/>
        <v>415026.57475431502</v>
      </c>
      <c r="CO25" s="162">
        <f t="shared" si="16"/>
        <v>1500288.2668716577</v>
      </c>
      <c r="CP25" s="162">
        <f t="shared" si="16"/>
        <v>2225072.2446242701</v>
      </c>
      <c r="CQ25" s="162">
        <f t="shared" si="16"/>
        <v>209173.82617864243</v>
      </c>
      <c r="CR25" s="162">
        <f t="shared" si="16"/>
        <v>1294766.7932538376</v>
      </c>
      <c r="CS25" s="162">
        <f t="shared" si="16"/>
        <v>2235218.2164295306</v>
      </c>
      <c r="CT25" s="162">
        <f t="shared" si="16"/>
        <v>278492.34511824558</v>
      </c>
      <c r="CU25" s="162">
        <f t="shared" si="16"/>
        <v>1366635.2135277269</v>
      </c>
      <c r="CV25" s="162">
        <f t="shared" si="16"/>
        <v>2446588.4881709609</v>
      </c>
      <c r="CW25" s="162">
        <f t="shared" si="16"/>
        <v>433249.80212003132</v>
      </c>
      <c r="CX25" s="162">
        <f t="shared" si="16"/>
        <v>1518695.3041045917</v>
      </c>
      <c r="CY25" s="162">
        <f t="shared" si="16"/>
        <v>2604140.8060891521</v>
      </c>
      <c r="CZ25" s="162">
        <f t="shared" si="16"/>
        <v>412620.3335805526</v>
      </c>
      <c r="DA25" s="162">
        <f t="shared" si="16"/>
        <v>1498443.3307019328</v>
      </c>
      <c r="DB25" s="162">
        <f t="shared" si="16"/>
        <v>2229195.779174054</v>
      </c>
      <c r="DC25" s="162">
        <f t="shared" si="16"/>
        <v>212307.24193307932</v>
      </c>
      <c r="DD25" s="162">
        <f t="shared" si="16"/>
        <v>1298492.3218714176</v>
      </c>
      <c r="DE25" s="162">
        <f t="shared" si="16"/>
        <v>2236617.151840189</v>
      </c>
      <c r="DF25" s="162">
        <f t="shared" si="16"/>
        <v>279719.02747432265</v>
      </c>
      <c r="DG25" s="162">
        <f t="shared" si="16"/>
        <v>1368488.0049689431</v>
      </c>
      <c r="DH25" s="162">
        <f t="shared" si="16"/>
        <v>2457256.9824635638</v>
      </c>
      <c r="DI25" s="162">
        <f t="shared" si="16"/>
        <v>434658.87824770249</v>
      </c>
      <c r="DJ25" s="162">
        <f t="shared" si="16"/>
        <v>1524416.0248243581</v>
      </c>
      <c r="DK25" s="162">
        <f t="shared" si="16"/>
        <v>2614173.1714010136</v>
      </c>
      <c r="DL25" s="162">
        <f t="shared" si="16"/>
        <v>410323.71656028228</v>
      </c>
      <c r="DM25" s="162">
        <f t="shared" si="16"/>
        <v>1500467.7956521783</v>
      </c>
      <c r="DN25" s="162">
        <f t="shared" si="16"/>
        <v>2240867.3843245544</v>
      </c>
      <c r="DO25" s="162">
        <f t="shared" si="16"/>
        <v>215519.076914142</v>
      </c>
      <c r="DP25" s="162">
        <f t="shared" ref="DP25:EP25" si="17">SUM(DP26:DP29)</f>
        <v>1306048.1231288635</v>
      </c>
      <c r="DQ25" s="162">
        <f t="shared" si="17"/>
        <v>2245559.0392416976</v>
      </c>
      <c r="DR25" s="162">
        <f t="shared" si="17"/>
        <v>281032.53833265026</v>
      </c>
      <c r="DS25" s="162">
        <f t="shared" si="17"/>
        <v>1374161.0131198827</v>
      </c>
      <c r="DT25" s="162">
        <f t="shared" si="17"/>
        <v>2467289.4879071149</v>
      </c>
      <c r="DU25" s="162">
        <f t="shared" si="17"/>
        <v>436204.97469664802</v>
      </c>
      <c r="DV25" s="162">
        <f t="shared" si="17"/>
        <v>1530346.3227929664</v>
      </c>
      <c r="DW25" s="162">
        <f t="shared" si="17"/>
        <v>2624487.6708892845</v>
      </c>
      <c r="DX25" s="162">
        <f t="shared" si="17"/>
        <v>408136.54994191945</v>
      </c>
      <c r="DY25" s="162">
        <f t="shared" si="17"/>
        <v>1502674.5038663591</v>
      </c>
      <c r="DZ25" s="162">
        <f t="shared" si="17"/>
        <v>2252714.1347275716</v>
      </c>
      <c r="EA25" s="162">
        <f t="shared" si="17"/>
        <v>0</v>
      </c>
      <c r="EB25" s="162">
        <f t="shared" si="17"/>
        <v>0</v>
      </c>
      <c r="EC25" s="162">
        <f t="shared" si="17"/>
        <v>0</v>
      </c>
      <c r="ED25" s="162">
        <f t="shared" si="17"/>
        <v>0</v>
      </c>
      <c r="EE25" s="162">
        <f t="shared" si="17"/>
        <v>0</v>
      </c>
      <c r="EF25" s="162">
        <f t="shared" si="17"/>
        <v>0</v>
      </c>
      <c r="EG25" s="162">
        <f t="shared" si="17"/>
        <v>0</v>
      </c>
      <c r="EH25" s="162">
        <f t="shared" si="17"/>
        <v>0</v>
      </c>
      <c r="EI25" s="162">
        <f t="shared" si="17"/>
        <v>0</v>
      </c>
      <c r="EJ25" s="162">
        <f t="shared" si="17"/>
        <v>0</v>
      </c>
      <c r="EK25" s="162">
        <f t="shared" si="17"/>
        <v>0</v>
      </c>
      <c r="EL25" s="162">
        <f t="shared" si="17"/>
        <v>0</v>
      </c>
      <c r="EM25" s="162">
        <f t="shared" si="17"/>
        <v>0</v>
      </c>
      <c r="EN25" s="162">
        <f t="shared" si="17"/>
        <v>0</v>
      </c>
      <c r="EO25" s="162">
        <f t="shared" si="17"/>
        <v>0</v>
      </c>
      <c r="EP25" s="162">
        <f t="shared" si="17"/>
        <v>0</v>
      </c>
    </row>
    <row r="26" spans="2:146">
      <c r="B26" s="218"/>
      <c r="C26" s="163"/>
      <c r="D26" s="164" t="s">
        <v>567</v>
      </c>
      <c r="E26" s="165"/>
      <c r="F26" s="165"/>
      <c r="G26" s="165"/>
      <c r="H26" s="166"/>
      <c r="I26" s="976"/>
      <c r="J26" s="98"/>
      <c r="K26" s="168">
        <f>'FS_Detail(M)'!L150</f>
        <v>0</v>
      </c>
      <c r="L26" s="168">
        <f>'FS_Detail(M)'!M150</f>
        <v>128344.51703937497</v>
      </c>
      <c r="M26" s="168">
        <f>'FS_Detail(M)'!N150</f>
        <v>256524.22113187495</v>
      </c>
      <c r="N26" s="168">
        <f>'FS_Detail(M)'!O150</f>
        <v>0</v>
      </c>
      <c r="O26" s="168">
        <f>'FS_Detail(M)'!P150</f>
        <v>118662.97718648436</v>
      </c>
      <c r="P26" s="168">
        <f>'FS_Detail(M)'!Q150</f>
        <v>244213.55769796873</v>
      </c>
      <c r="Q26" s="168">
        <f>'FS_Detail(M)'!R150</f>
        <v>0</v>
      </c>
      <c r="R26" s="168">
        <f>'FS_Detail(M)'!S150</f>
        <v>115963.27627785938</v>
      </c>
      <c r="S26" s="168">
        <f>'FS_Detail(M)'!T150</f>
        <v>249123.37166821875</v>
      </c>
      <c r="T26" s="168">
        <f>'FS_Detail(M)'!U150</f>
        <v>0</v>
      </c>
      <c r="U26" s="168">
        <f>'FS_Detail(M)'!V150</f>
        <v>133269.08722785939</v>
      </c>
      <c r="V26" s="168">
        <f>'FS_Detail(M)'!W150</f>
        <v>266538.17445571878</v>
      </c>
      <c r="W26" s="168">
        <f>'FS_Detail(M)'!X150</f>
        <v>0</v>
      </c>
      <c r="X26" s="168">
        <f>'FS_Detail(M)'!Y150</f>
        <v>131269.00716535936</v>
      </c>
      <c r="Y26" s="168">
        <f>'FS_Detail(M)'!Z150</f>
        <v>262369.08106017183</v>
      </c>
      <c r="Z26" s="168">
        <f>'FS_Detail(M)'!AA150</f>
        <v>0</v>
      </c>
      <c r="AA26" s="168">
        <f>'FS_Detail(M)'!AB150</f>
        <v>121345.42881614651</v>
      </c>
      <c r="AB26" s="168">
        <f>'FS_Detail(M)'!AC150</f>
        <v>249750.65104041802</v>
      </c>
      <c r="AC26" s="168">
        <f>'FS_Detail(M)'!AD150</f>
        <v>0</v>
      </c>
      <c r="AD26" s="168">
        <f>'FS_Detail(M)'!AE150</f>
        <v>118578.23538480586</v>
      </c>
      <c r="AE26" s="168">
        <f>'FS_Detail(M)'!AF150</f>
        <v>254783.21035992421</v>
      </c>
      <c r="AF26" s="168">
        <f>'FS_Detail(M)'!AG150</f>
        <v>0</v>
      </c>
      <c r="AG26" s="168">
        <f>'FS_Detail(M)'!AH150</f>
        <v>136316.69160855585</v>
      </c>
      <c r="AH26" s="168">
        <f>'FS_Detail(M)'!AI150</f>
        <v>272633.3832171117</v>
      </c>
      <c r="AI26" s="168">
        <f>'FS_Detail(M)'!AJ150</f>
        <v>0</v>
      </c>
      <c r="AJ26" s="168">
        <f>'FS_Detail(M)'!AK150</f>
        <v>136331.56885574336</v>
      </c>
      <c r="AK26" s="168">
        <f>'FS_Detail(M)'!AL150</f>
        <v>270425.02179792617</v>
      </c>
      <c r="AL26" s="168">
        <f>'FS_Detail(M)'!AM150</f>
        <v>0</v>
      </c>
      <c r="AM26" s="168">
        <f>'FS_Detail(M)'!AN150</f>
        <v>138569.63754395637</v>
      </c>
      <c r="AN26" s="168">
        <f>'FS_Detail(M)'!AO150</f>
        <v>269900.86752383463</v>
      </c>
      <c r="AO26" s="168">
        <f>'FS_Detail(M)'!AP150</f>
        <v>0</v>
      </c>
      <c r="AP26" s="168">
        <f>'FS_Detail(M)'!AQ150</f>
        <v>139440.4860987697</v>
      </c>
      <c r="AQ26" s="168">
        <f>'FS_Detail(M)'!AR150</f>
        <v>172575.14079390399</v>
      </c>
      <c r="AR26" s="168">
        <f>'FS_Detail(M)'!AS150</f>
        <v>0</v>
      </c>
      <c r="AS26" s="168">
        <f>'FS_Detail(M)'!AT150</f>
        <v>36219.598748841563</v>
      </c>
      <c r="AT26" s="168">
        <f>'FS_Detail(M)'!AU150</f>
        <v>72439.197497683126</v>
      </c>
      <c r="AU26" s="168">
        <f>'FS_Detail(M)'!AV150</f>
        <v>0</v>
      </c>
      <c r="AV26" s="168">
        <f>'FS_Detail(M)'!AW150</f>
        <v>142426.16978157076</v>
      </c>
      <c r="AW26" s="168">
        <f>'FS_Detail(M)'!AX150</f>
        <v>285463.89675367699</v>
      </c>
      <c r="AX26" s="168">
        <f>'FS_Detail(M)'!AY150</f>
        <v>0</v>
      </c>
      <c r="AY26" s="168">
        <f>'FS_Detail(M)'!AZ150</f>
        <v>145378.8286417028</v>
      </c>
      <c r="AZ26" s="168">
        <f>'FS_Detail(M)'!BA150</f>
        <v>283338.28953022556</v>
      </c>
      <c r="BA26" s="168">
        <f>'FS_Detail(M)'!BB150</f>
        <v>0</v>
      </c>
      <c r="BB26" s="168">
        <f>'FS_Detail(M)'!BC150</f>
        <v>146265.78724983023</v>
      </c>
      <c r="BC26" s="168">
        <f>'FS_Detail(M)'!BD150</f>
        <v>292531.57449966046</v>
      </c>
      <c r="BD26" s="168">
        <f>'FS_Detail(M)'!BE150</f>
        <v>0</v>
      </c>
      <c r="BE26" s="168">
        <f>'FS_Detail(M)'!BF150</f>
        <v>146607.77921244109</v>
      </c>
      <c r="BF26" s="168">
        <f>'FS_Detail(M)'!BG150</f>
        <v>293215.55842488218</v>
      </c>
      <c r="BG26" s="168">
        <f>'FS_Detail(M)'!BH150</f>
        <v>0</v>
      </c>
      <c r="BH26" s="168">
        <f>'FS_Detail(M)'!BI150</f>
        <v>146623.40962026748</v>
      </c>
      <c r="BI26" s="168">
        <f>'FS_Detail(M)'!BJ150</f>
        <v>293866.65807845362</v>
      </c>
      <c r="BJ26" s="168">
        <f>'FS_Detail(M)'!BK150</f>
        <v>0</v>
      </c>
      <c r="BK26" s="168">
        <f>'FS_Detail(M)'!BL150</f>
        <v>148991.24649718913</v>
      </c>
      <c r="BL26" s="168">
        <f>'FS_Detail(M)'!BM150</f>
        <v>290377.64104736864</v>
      </c>
      <c r="BM26" s="168">
        <f>'FS_Detail(M)'!BN150</f>
        <v>0</v>
      </c>
      <c r="BN26" s="168">
        <f>'FS_Detail(M)'!BO150</f>
        <v>149906.04023107598</v>
      </c>
      <c r="BO26" s="168">
        <f>'FS_Detail(M)'!BP150</f>
        <v>299812.08046215196</v>
      </c>
      <c r="BP26" s="168">
        <f>'FS_Detail(M)'!BQ150</f>
        <v>0</v>
      </c>
      <c r="BQ26" s="168">
        <f>'FS_Detail(M)'!BR150</f>
        <v>150256.58199275212</v>
      </c>
      <c r="BR26" s="168">
        <f>'FS_Detail(M)'!BS150</f>
        <v>300513.16398550424</v>
      </c>
      <c r="BS26" s="168">
        <f>'FS_Detail(M)'!BT150</f>
        <v>0</v>
      </c>
      <c r="BT26" s="168">
        <f>'FS_Detail(M)'!BU150</f>
        <v>150272.60316077413</v>
      </c>
      <c r="BU26" s="168">
        <f>'FS_Detail(M)'!BV150</f>
        <v>301180.54113041493</v>
      </c>
      <c r="BV26" s="168">
        <f>'FS_Detail(M)'!BW150</f>
        <v>0</v>
      </c>
      <c r="BW26" s="168">
        <f>'FS_Detail(M)'!BX150</f>
        <v>152699.63595961881</v>
      </c>
      <c r="BX26" s="168">
        <f>'FS_Detail(M)'!BY150</f>
        <v>297604.29867355281</v>
      </c>
      <c r="BY26" s="168">
        <f>'FS_Detail(M)'!BZ150</f>
        <v>0</v>
      </c>
      <c r="BZ26" s="168">
        <f>'FS_Detail(M)'!CA150</f>
        <v>153637.29953685289</v>
      </c>
      <c r="CA26" s="168">
        <f>'FS_Detail(M)'!CB150</f>
        <v>307274.59907370579</v>
      </c>
      <c r="CB26" s="168">
        <f>'FS_Detail(M)'!CC150</f>
        <v>0</v>
      </c>
      <c r="CC26" s="168">
        <f>'FS_Detail(M)'!CD150</f>
        <v>153996.60484257093</v>
      </c>
      <c r="CD26" s="168">
        <f>'FS_Detail(M)'!CE150</f>
        <v>307993.20968514186</v>
      </c>
      <c r="CE26" s="168">
        <f>'FS_Detail(M)'!CF150</f>
        <v>0</v>
      </c>
      <c r="CF26" s="168">
        <f>'FS_Detail(M)'!CG150</f>
        <v>154013.0265397935</v>
      </c>
      <c r="CG26" s="168">
        <f>'FS_Detail(M)'!CH150</f>
        <v>308677.27125867526</v>
      </c>
      <c r="CH26" s="168">
        <f>'FS_Detail(M)'!CI150</f>
        <v>0</v>
      </c>
      <c r="CI26" s="168">
        <f>'FS_Detail(M)'!CJ150</f>
        <v>156500.73515860931</v>
      </c>
      <c r="CJ26" s="168">
        <f>'FS_Detail(M)'!CK150</f>
        <v>305011.6227403917</v>
      </c>
      <c r="CK26" s="168">
        <f>'FS_Detail(M)'!CL150</f>
        <v>0</v>
      </c>
      <c r="CL26" s="168">
        <f>'FS_Detail(M)'!CM150</f>
        <v>157461.84032527421</v>
      </c>
      <c r="CM26" s="168">
        <f>'FS_Detail(M)'!CN150</f>
        <v>314923.68065054843</v>
      </c>
      <c r="CN26" s="168">
        <f>'FS_Detail(M)'!CO150</f>
        <v>0</v>
      </c>
      <c r="CO26" s="168">
        <f>'FS_Detail(M)'!CP150</f>
        <v>157830.12826363521</v>
      </c>
      <c r="CP26" s="168">
        <f>'FS_Detail(M)'!CQ150</f>
        <v>315660.25652727042</v>
      </c>
      <c r="CQ26" s="168">
        <f>'FS_Detail(M)'!CR150</f>
        <v>0</v>
      </c>
      <c r="CR26" s="168">
        <f>'FS_Detail(M)'!CS150</f>
        <v>157846.96050328831</v>
      </c>
      <c r="CS26" s="168">
        <f>'FS_Detail(M)'!CT150</f>
        <v>316361.41964014212</v>
      </c>
      <c r="CT26" s="168">
        <f>'FS_Detail(M)'!CU150</f>
        <v>0</v>
      </c>
      <c r="CU26" s="168">
        <f>'FS_Detail(M)'!CV150</f>
        <v>160396.86183757451</v>
      </c>
      <c r="CV26" s="168">
        <f>'FS_Detail(M)'!CW150</f>
        <v>312604.12990890141</v>
      </c>
      <c r="CW26" s="168">
        <f>'FS_Detail(M)'!CX150</f>
        <v>0</v>
      </c>
      <c r="CX26" s="168">
        <f>'FS_Detail(M)'!CY150</f>
        <v>157699.49541265349</v>
      </c>
      <c r="CY26" s="168">
        <f>'FS_Detail(M)'!CZ150</f>
        <v>315398.99082530697</v>
      </c>
      <c r="CZ26" s="168">
        <f>'FS_Detail(M)'!DA150</f>
        <v>0</v>
      </c>
      <c r="DA26" s="168">
        <f>'FS_Detail(M)'!DB150</f>
        <v>158076.99054947344</v>
      </c>
      <c r="DB26" s="168">
        <f>'FS_Detail(M)'!DC150</f>
        <v>316153.98109894688</v>
      </c>
      <c r="DC26" s="168">
        <f>'FS_Detail(M)'!DD150</f>
        <v>0</v>
      </c>
      <c r="DD26" s="168">
        <f>'FS_Detail(M)'!DE150</f>
        <v>158102.59088233087</v>
      </c>
      <c r="DE26" s="168">
        <f>'FS_Detail(M)'!DF150</f>
        <v>316870.15517882409</v>
      </c>
      <c r="DF26" s="168">
        <f>'FS_Detail(M)'!DG150</f>
        <v>0</v>
      </c>
      <c r="DG26" s="168">
        <f>'FS_Detail(M)'!DH150</f>
        <v>160686.48843861304</v>
      </c>
      <c r="DH26" s="168">
        <f>'FS_Detail(M)'!DI150</f>
        <v>321372.97687722609</v>
      </c>
      <c r="DI26" s="168">
        <f>'FS_Detail(M)'!DJ150</f>
        <v>0</v>
      </c>
      <c r="DJ26" s="168">
        <f>'FS_Detail(M)'!DK150</f>
        <v>161674.65752064821</v>
      </c>
      <c r="DK26" s="168">
        <f>'FS_Detail(M)'!DL150</f>
        <v>323349.31504129642</v>
      </c>
      <c r="DL26" s="168">
        <f>'FS_Detail(M)'!DM150</f>
        <v>0</v>
      </c>
      <c r="DM26" s="168">
        <f>'FS_Detail(M)'!DN150</f>
        <v>162061.59003588869</v>
      </c>
      <c r="DN26" s="168">
        <f>'FS_Detail(M)'!DO150</f>
        <v>324123.18007177737</v>
      </c>
      <c r="DO26" s="168">
        <f>'FS_Detail(M)'!DP150</f>
        <v>0</v>
      </c>
      <c r="DP26" s="168">
        <f>'FS_Detail(M)'!DQ150</f>
        <v>162087.8303770675</v>
      </c>
      <c r="DQ26" s="168">
        <f>'FS_Detail(M)'!DR150</f>
        <v>324857.25850365142</v>
      </c>
      <c r="DR26" s="168">
        <f>'FS_Detail(M)'!DS150</f>
        <v>0</v>
      </c>
      <c r="DS26" s="168">
        <f>'FS_Detail(M)'!DT150</f>
        <v>164687.25894957836</v>
      </c>
      <c r="DT26" s="168">
        <f>'FS_Detail(M)'!DU150</f>
        <v>329374.51789915672</v>
      </c>
      <c r="DU26" s="168">
        <f>'FS_Detail(M)'!DV150</f>
        <v>0</v>
      </c>
      <c r="DV26" s="168">
        <f>'FS_Detail(M)'!DW150</f>
        <v>165700.13225866435</v>
      </c>
      <c r="DW26" s="168">
        <f>'FS_Detail(M)'!DX150</f>
        <v>331400.2645173287</v>
      </c>
      <c r="DX26" s="168">
        <f>'FS_Detail(M)'!DY150</f>
        <v>0</v>
      </c>
      <c r="DY26" s="168">
        <f>'FS_Detail(M)'!DZ150</f>
        <v>166096.73808678589</v>
      </c>
      <c r="DZ26" s="168">
        <f>'FS_Detail(M)'!EA150</f>
        <v>332193.47617357178</v>
      </c>
      <c r="EA26" s="168">
        <f>'FS_Detail(M)'!EB150</f>
        <v>0</v>
      </c>
      <c r="EB26" s="168">
        <f>'FS_Detail(M)'!EC150</f>
        <v>0</v>
      </c>
      <c r="EC26" s="168">
        <f>'FS_Detail(M)'!ED150</f>
        <v>0</v>
      </c>
      <c r="ED26" s="168">
        <f>'FS_Detail(M)'!EE150</f>
        <v>0</v>
      </c>
      <c r="EE26" s="168">
        <f>'FS_Detail(M)'!EF150</f>
        <v>0</v>
      </c>
      <c r="EF26" s="168">
        <f>'FS_Detail(M)'!EG150</f>
        <v>0</v>
      </c>
      <c r="EG26" s="168">
        <f>'FS_Detail(M)'!EH150</f>
        <v>0</v>
      </c>
      <c r="EH26" s="168">
        <f>'FS_Detail(M)'!EI150</f>
        <v>0</v>
      </c>
      <c r="EI26" s="168">
        <f>'FS_Detail(M)'!EJ150</f>
        <v>0</v>
      </c>
      <c r="EJ26" s="168">
        <f>'FS_Detail(M)'!EK150</f>
        <v>0</v>
      </c>
      <c r="EK26" s="168">
        <f>'FS_Detail(M)'!EL150</f>
        <v>0</v>
      </c>
      <c r="EL26" s="168">
        <f>'FS_Detail(M)'!EM150</f>
        <v>0</v>
      </c>
      <c r="EM26" s="168">
        <f>'FS_Detail(M)'!EN150</f>
        <v>0</v>
      </c>
      <c r="EN26" s="168">
        <f>'FS_Detail(M)'!EO150</f>
        <v>0</v>
      </c>
      <c r="EO26" s="168">
        <f>'FS_Detail(M)'!EP150</f>
        <v>0</v>
      </c>
      <c r="EP26" s="168">
        <f>'FS_Detail(M)'!EQ150</f>
        <v>0</v>
      </c>
    </row>
    <row r="27" spans="2:146">
      <c r="B27" s="218"/>
      <c r="C27" s="163"/>
      <c r="D27" s="169" t="s">
        <v>452</v>
      </c>
      <c r="H27" s="146"/>
      <c r="I27" s="977"/>
      <c r="J27" s="98"/>
      <c r="K27" s="171">
        <f>'FS_Detail(M)'!L54</f>
        <v>12856669.630531998</v>
      </c>
      <c r="L27" s="171">
        <f>'FS_Detail(M)'!M54</f>
        <v>12856669.630531998</v>
      </c>
      <c r="M27" s="171">
        <f>'FS_Detail(M)'!N54</f>
        <v>12856669.630531998</v>
      </c>
      <c r="N27" s="171">
        <f>'FS_Detail(M)'!O54</f>
        <v>0</v>
      </c>
      <c r="O27" s="171">
        <f>'FS_Detail(M)'!P54</f>
        <v>0</v>
      </c>
      <c r="P27" s="171">
        <f>'FS_Detail(M)'!Q54</f>
        <v>0</v>
      </c>
      <c r="Q27" s="171">
        <f>'FS_Detail(M)'!R54</f>
        <v>0</v>
      </c>
      <c r="R27" s="171">
        <f>'FS_Detail(M)'!S54</f>
        <v>0</v>
      </c>
      <c r="S27" s="171">
        <f>'FS_Detail(M)'!T54</f>
        <v>0</v>
      </c>
      <c r="T27" s="171">
        <f>'FS_Detail(M)'!U54</f>
        <v>0</v>
      </c>
      <c r="U27" s="171">
        <f>'FS_Detail(M)'!V54</f>
        <v>0</v>
      </c>
      <c r="V27" s="171">
        <f>'FS_Detail(M)'!W54</f>
        <v>0</v>
      </c>
      <c r="W27" s="171">
        <f>'FS_Detail(M)'!X54</f>
        <v>0</v>
      </c>
      <c r="X27" s="171">
        <f>'FS_Detail(M)'!Y54</f>
        <v>0</v>
      </c>
      <c r="Y27" s="171">
        <f>'FS_Detail(M)'!Z54</f>
        <v>0</v>
      </c>
      <c r="Z27" s="171">
        <f>'FS_Detail(M)'!AA54</f>
        <v>0</v>
      </c>
      <c r="AA27" s="171">
        <f>'FS_Detail(M)'!AB54</f>
        <v>0</v>
      </c>
      <c r="AB27" s="171">
        <f>'FS_Detail(M)'!AC54</f>
        <v>0</v>
      </c>
      <c r="AC27" s="171">
        <f>'FS_Detail(M)'!AD54</f>
        <v>0</v>
      </c>
      <c r="AD27" s="171">
        <f>'FS_Detail(M)'!AE54</f>
        <v>0</v>
      </c>
      <c r="AE27" s="171">
        <f>'FS_Detail(M)'!AF54</f>
        <v>0</v>
      </c>
      <c r="AF27" s="171">
        <f>'FS_Detail(M)'!AG54</f>
        <v>0</v>
      </c>
      <c r="AG27" s="171">
        <f>'FS_Detail(M)'!AH54</f>
        <v>0</v>
      </c>
      <c r="AH27" s="171">
        <f>'FS_Detail(M)'!AI54</f>
        <v>0</v>
      </c>
      <c r="AI27" s="171">
        <f>'FS_Detail(M)'!AJ54</f>
        <v>0</v>
      </c>
      <c r="AJ27" s="171">
        <f>'FS_Detail(M)'!AK54</f>
        <v>0</v>
      </c>
      <c r="AK27" s="171">
        <f>'FS_Detail(M)'!AL54</f>
        <v>0</v>
      </c>
      <c r="AL27" s="171">
        <f>'FS_Detail(M)'!AM54</f>
        <v>0</v>
      </c>
      <c r="AM27" s="171">
        <f>'FS_Detail(M)'!AN54</f>
        <v>0</v>
      </c>
      <c r="AN27" s="171">
        <f>'FS_Detail(M)'!AO54</f>
        <v>0</v>
      </c>
      <c r="AO27" s="171">
        <f>'FS_Detail(M)'!AP54</f>
        <v>0</v>
      </c>
      <c r="AP27" s="171">
        <f>'FS_Detail(M)'!AQ54</f>
        <v>0</v>
      </c>
      <c r="AQ27" s="171">
        <f>'FS_Detail(M)'!AR54</f>
        <v>0</v>
      </c>
      <c r="AR27" s="171">
        <f>'FS_Detail(M)'!AS54</f>
        <v>0</v>
      </c>
      <c r="AS27" s="171">
        <f>'FS_Detail(M)'!AT54</f>
        <v>0</v>
      </c>
      <c r="AT27" s="171">
        <f>'FS_Detail(M)'!AU54</f>
        <v>0</v>
      </c>
      <c r="AU27" s="171">
        <f>'FS_Detail(M)'!AV54</f>
        <v>0</v>
      </c>
      <c r="AV27" s="171">
        <f>'FS_Detail(M)'!AW54</f>
        <v>0</v>
      </c>
      <c r="AW27" s="171">
        <f>'FS_Detail(M)'!AX54</f>
        <v>0</v>
      </c>
      <c r="AX27" s="171">
        <f>'FS_Detail(M)'!AY54</f>
        <v>0</v>
      </c>
      <c r="AY27" s="171">
        <f>'FS_Detail(M)'!AZ54</f>
        <v>0</v>
      </c>
      <c r="AZ27" s="171">
        <f>'FS_Detail(M)'!BA54</f>
        <v>0</v>
      </c>
      <c r="BA27" s="171">
        <f>'FS_Detail(M)'!BB54</f>
        <v>0</v>
      </c>
      <c r="BB27" s="171">
        <f>'FS_Detail(M)'!BC54</f>
        <v>0</v>
      </c>
      <c r="BC27" s="171">
        <f>'FS_Detail(M)'!BD54</f>
        <v>0</v>
      </c>
      <c r="BD27" s="171">
        <f>'FS_Detail(M)'!BE54</f>
        <v>0</v>
      </c>
      <c r="BE27" s="171">
        <f>'FS_Detail(M)'!BF54</f>
        <v>0</v>
      </c>
      <c r="BF27" s="171">
        <f>'FS_Detail(M)'!BG54</f>
        <v>0</v>
      </c>
      <c r="BG27" s="171">
        <f>'FS_Detail(M)'!BH54</f>
        <v>0</v>
      </c>
      <c r="BH27" s="171">
        <f>'FS_Detail(M)'!BI54</f>
        <v>0</v>
      </c>
      <c r="BI27" s="171">
        <f>'FS_Detail(M)'!BJ54</f>
        <v>0</v>
      </c>
      <c r="BJ27" s="171">
        <f>'FS_Detail(M)'!BK54</f>
        <v>0</v>
      </c>
      <c r="BK27" s="171">
        <f>'FS_Detail(M)'!BL54</f>
        <v>0</v>
      </c>
      <c r="BL27" s="171">
        <f>'FS_Detail(M)'!BM54</f>
        <v>0</v>
      </c>
      <c r="BM27" s="171">
        <f>'FS_Detail(M)'!BN54</f>
        <v>0</v>
      </c>
      <c r="BN27" s="171">
        <f>'FS_Detail(M)'!BO54</f>
        <v>0</v>
      </c>
      <c r="BO27" s="171">
        <f>'FS_Detail(M)'!BP54</f>
        <v>0</v>
      </c>
      <c r="BP27" s="171">
        <f>'FS_Detail(M)'!BQ54</f>
        <v>0</v>
      </c>
      <c r="BQ27" s="171">
        <f>'FS_Detail(M)'!BR54</f>
        <v>0</v>
      </c>
      <c r="BR27" s="171">
        <f>'FS_Detail(M)'!BS54</f>
        <v>0</v>
      </c>
      <c r="BS27" s="171">
        <f>'FS_Detail(M)'!BT54</f>
        <v>0</v>
      </c>
      <c r="BT27" s="171">
        <f>'FS_Detail(M)'!BU54</f>
        <v>0</v>
      </c>
      <c r="BU27" s="171">
        <f>'FS_Detail(M)'!BV54</f>
        <v>0</v>
      </c>
      <c r="BV27" s="171">
        <f>'FS_Detail(M)'!BW54</f>
        <v>0</v>
      </c>
      <c r="BW27" s="171">
        <f>'FS_Detail(M)'!BX54</f>
        <v>0</v>
      </c>
      <c r="BX27" s="171">
        <f>'FS_Detail(M)'!BY54</f>
        <v>0</v>
      </c>
      <c r="BY27" s="171">
        <f>'FS_Detail(M)'!BZ54</f>
        <v>0</v>
      </c>
      <c r="BZ27" s="171">
        <f>'FS_Detail(M)'!CA54</f>
        <v>0</v>
      </c>
      <c r="CA27" s="171">
        <f>'FS_Detail(M)'!CB54</f>
        <v>0</v>
      </c>
      <c r="CB27" s="171">
        <f>'FS_Detail(M)'!CC54</f>
        <v>0</v>
      </c>
      <c r="CC27" s="171">
        <f>'FS_Detail(M)'!CD54</f>
        <v>0</v>
      </c>
      <c r="CD27" s="171">
        <f>'FS_Detail(M)'!CE54</f>
        <v>0</v>
      </c>
      <c r="CE27" s="171">
        <f>'FS_Detail(M)'!CF54</f>
        <v>0</v>
      </c>
      <c r="CF27" s="171">
        <f>'FS_Detail(M)'!CG54</f>
        <v>0</v>
      </c>
      <c r="CG27" s="171">
        <f>'FS_Detail(M)'!CH54</f>
        <v>0</v>
      </c>
      <c r="CH27" s="171">
        <f>'FS_Detail(M)'!CI54</f>
        <v>0</v>
      </c>
      <c r="CI27" s="171">
        <f>'FS_Detail(M)'!CJ54</f>
        <v>0</v>
      </c>
      <c r="CJ27" s="171">
        <f>'FS_Detail(M)'!CK54</f>
        <v>0</v>
      </c>
      <c r="CK27" s="171">
        <f>'FS_Detail(M)'!CL54</f>
        <v>0</v>
      </c>
      <c r="CL27" s="171">
        <f>'FS_Detail(M)'!CM54</f>
        <v>0</v>
      </c>
      <c r="CM27" s="171">
        <f>'FS_Detail(M)'!CN54</f>
        <v>0</v>
      </c>
      <c r="CN27" s="171">
        <f>'FS_Detail(M)'!CO54</f>
        <v>0</v>
      </c>
      <c r="CO27" s="171">
        <f>'FS_Detail(M)'!CP54</f>
        <v>0</v>
      </c>
      <c r="CP27" s="171">
        <f>'FS_Detail(M)'!CQ54</f>
        <v>0</v>
      </c>
      <c r="CQ27" s="171">
        <f>'FS_Detail(M)'!CR54</f>
        <v>0</v>
      </c>
      <c r="CR27" s="171">
        <f>'FS_Detail(M)'!CS54</f>
        <v>0</v>
      </c>
      <c r="CS27" s="171">
        <f>'FS_Detail(M)'!CT54</f>
        <v>0</v>
      </c>
      <c r="CT27" s="171">
        <f>'FS_Detail(M)'!CU54</f>
        <v>0</v>
      </c>
      <c r="CU27" s="171">
        <f>'FS_Detail(M)'!CV54</f>
        <v>0</v>
      </c>
      <c r="CV27" s="171">
        <f>'FS_Detail(M)'!CW54</f>
        <v>0</v>
      </c>
      <c r="CW27" s="171">
        <f>'FS_Detail(M)'!CX54</f>
        <v>0</v>
      </c>
      <c r="CX27" s="171">
        <f>'FS_Detail(M)'!CY54</f>
        <v>0</v>
      </c>
      <c r="CY27" s="171">
        <f>'FS_Detail(M)'!CZ54</f>
        <v>0</v>
      </c>
      <c r="CZ27" s="171">
        <f>'FS_Detail(M)'!DA54</f>
        <v>0</v>
      </c>
      <c r="DA27" s="171">
        <f>'FS_Detail(M)'!DB54</f>
        <v>0</v>
      </c>
      <c r="DB27" s="171">
        <f>'FS_Detail(M)'!DC54</f>
        <v>0</v>
      </c>
      <c r="DC27" s="171">
        <f>'FS_Detail(M)'!DD54</f>
        <v>0</v>
      </c>
      <c r="DD27" s="171">
        <f>'FS_Detail(M)'!DE54</f>
        <v>0</v>
      </c>
      <c r="DE27" s="171">
        <f>'FS_Detail(M)'!DF54</f>
        <v>0</v>
      </c>
      <c r="DF27" s="171">
        <f>'FS_Detail(M)'!DG54</f>
        <v>0</v>
      </c>
      <c r="DG27" s="171">
        <f>'FS_Detail(M)'!DH54</f>
        <v>0</v>
      </c>
      <c r="DH27" s="171">
        <f>'FS_Detail(M)'!DI54</f>
        <v>0</v>
      </c>
      <c r="DI27" s="171">
        <f>'FS_Detail(M)'!DJ54</f>
        <v>0</v>
      </c>
      <c r="DJ27" s="171">
        <f>'FS_Detail(M)'!DK54</f>
        <v>0</v>
      </c>
      <c r="DK27" s="171">
        <f>'FS_Detail(M)'!DL54</f>
        <v>0</v>
      </c>
      <c r="DL27" s="171">
        <f>'FS_Detail(M)'!DM54</f>
        <v>0</v>
      </c>
      <c r="DM27" s="171">
        <f>'FS_Detail(M)'!DN54</f>
        <v>0</v>
      </c>
      <c r="DN27" s="171">
        <f>'FS_Detail(M)'!DO54</f>
        <v>0</v>
      </c>
      <c r="DO27" s="171">
        <f>'FS_Detail(M)'!DP54</f>
        <v>0</v>
      </c>
      <c r="DP27" s="171">
        <f>'FS_Detail(M)'!DQ54</f>
        <v>0</v>
      </c>
      <c r="DQ27" s="171">
        <f>'FS_Detail(M)'!DR54</f>
        <v>0</v>
      </c>
      <c r="DR27" s="171">
        <f>'FS_Detail(M)'!DS54</f>
        <v>0</v>
      </c>
      <c r="DS27" s="171">
        <f>'FS_Detail(M)'!DT54</f>
        <v>0</v>
      </c>
      <c r="DT27" s="171">
        <f>'FS_Detail(M)'!DU54</f>
        <v>0</v>
      </c>
      <c r="DU27" s="171">
        <f>'FS_Detail(M)'!DV54</f>
        <v>0</v>
      </c>
      <c r="DV27" s="171">
        <f>'FS_Detail(M)'!DW54</f>
        <v>0</v>
      </c>
      <c r="DW27" s="171">
        <f>'FS_Detail(M)'!DX54</f>
        <v>0</v>
      </c>
      <c r="DX27" s="171">
        <f>'FS_Detail(M)'!DY54</f>
        <v>0</v>
      </c>
      <c r="DY27" s="171">
        <f>'FS_Detail(M)'!DZ54</f>
        <v>0</v>
      </c>
      <c r="DZ27" s="171">
        <f>'FS_Detail(M)'!EA54</f>
        <v>0</v>
      </c>
      <c r="EA27" s="171">
        <f>'FS_Detail(M)'!EB54</f>
        <v>0</v>
      </c>
      <c r="EB27" s="171">
        <f>'FS_Detail(M)'!EC54</f>
        <v>0</v>
      </c>
      <c r="EC27" s="171">
        <f>'FS_Detail(M)'!ED54</f>
        <v>0</v>
      </c>
      <c r="ED27" s="171">
        <f>'FS_Detail(M)'!EE54</f>
        <v>0</v>
      </c>
      <c r="EE27" s="171">
        <f>'FS_Detail(M)'!EF54</f>
        <v>0</v>
      </c>
      <c r="EF27" s="171">
        <f>'FS_Detail(M)'!EG54</f>
        <v>0</v>
      </c>
      <c r="EG27" s="171">
        <f>'FS_Detail(M)'!EH54</f>
        <v>0</v>
      </c>
      <c r="EH27" s="171">
        <f>'FS_Detail(M)'!EI54</f>
        <v>0</v>
      </c>
      <c r="EI27" s="171">
        <f>'FS_Detail(M)'!EJ54</f>
        <v>0</v>
      </c>
      <c r="EJ27" s="171">
        <f>'FS_Detail(M)'!EK54</f>
        <v>0</v>
      </c>
      <c r="EK27" s="171">
        <f>'FS_Detail(M)'!EL54</f>
        <v>0</v>
      </c>
      <c r="EL27" s="171">
        <f>'FS_Detail(M)'!EM54</f>
        <v>0</v>
      </c>
      <c r="EM27" s="171">
        <f>'FS_Detail(M)'!EN54</f>
        <v>0</v>
      </c>
      <c r="EN27" s="171">
        <f>'FS_Detail(M)'!EO54</f>
        <v>0</v>
      </c>
      <c r="EO27" s="171">
        <f>'FS_Detail(M)'!EP54</f>
        <v>0</v>
      </c>
      <c r="EP27" s="171">
        <f>'FS_Detail(M)'!EQ54</f>
        <v>0</v>
      </c>
    </row>
    <row r="28" spans="2:146">
      <c r="B28" s="218"/>
      <c r="C28" s="163"/>
      <c r="D28" s="169" t="s">
        <v>568</v>
      </c>
      <c r="H28" s="146"/>
      <c r="I28" s="977"/>
      <c r="J28" s="98"/>
      <c r="K28" s="171">
        <f>SUM('FS_Detail(M)'!L102,'FS_Detail(M)'!L107,'FS_Detail(M)'!L112,'FS_Detail(M)'!L117,'FS_Detail(M)'!L122,'FS_Detail(M)'!L127,'FS_Detail(M)'!L132,'FS_Detail(M)'!L137,'FS_Detail(M)'!L142)</f>
        <v>0</v>
      </c>
      <c r="L28" s="171">
        <f>SUM('FS_Detail(M)'!M102,'FS_Detail(M)'!M107,'FS_Detail(M)'!M112,'FS_Detail(M)'!M117,'FS_Detail(M)'!M122,'FS_Detail(M)'!M127,'FS_Detail(M)'!M132,'FS_Detail(M)'!M137,'FS_Detail(M)'!M142)</f>
        <v>874879.17778116162</v>
      </c>
      <c r="M28" s="171">
        <f>SUM('FS_Detail(M)'!N102,'FS_Detail(M)'!N107,'FS_Detail(M)'!N112,'FS_Detail(M)'!N117,'FS_Detail(M)'!N122,'FS_Detail(M)'!N127,'FS_Detail(M)'!N132,'FS_Detail(M)'!N137,'FS_Detail(M)'!N142)</f>
        <v>1749758.3555623232</v>
      </c>
      <c r="N28" s="171">
        <f>SUM('FS_Detail(M)'!O102,'FS_Detail(M)'!O107,'FS_Detail(M)'!O112,'FS_Detail(M)'!O117,'FS_Detail(M)'!O122,'FS_Detail(M)'!O127,'FS_Detail(M)'!O132,'FS_Detail(M)'!O137,'FS_Detail(M)'!O142)</f>
        <v>0</v>
      </c>
      <c r="O28" s="171">
        <f>SUM('FS_Detail(M)'!P102,'FS_Detail(M)'!P107,'FS_Detail(M)'!P112,'FS_Detail(M)'!P117,'FS_Detail(M)'!P122,'FS_Detail(M)'!P127,'FS_Detail(M)'!P132,'FS_Detail(M)'!P137,'FS_Detail(M)'!P142)</f>
        <v>826666.66666666663</v>
      </c>
      <c r="P28" s="171">
        <f>SUM('FS_Detail(M)'!Q102,'FS_Detail(M)'!Q107,'FS_Detail(M)'!Q112,'FS_Detail(M)'!Q117,'FS_Detail(M)'!Q122,'FS_Detail(M)'!Q127,'FS_Detail(M)'!Q132,'FS_Detail(M)'!Q137,'FS_Detail(M)'!Q142)</f>
        <v>1653333.3333333333</v>
      </c>
      <c r="Q28" s="171">
        <f>SUM('FS_Detail(M)'!R102,'FS_Detail(M)'!R107,'FS_Detail(M)'!R112,'FS_Detail(M)'!R117,'FS_Detail(M)'!R122,'FS_Detail(M)'!R127,'FS_Detail(M)'!R132,'FS_Detail(M)'!R137,'FS_Detail(M)'!R142)</f>
        <v>0</v>
      </c>
      <c r="R28" s="171">
        <f>SUM('FS_Detail(M)'!S102,'FS_Detail(M)'!S107,'FS_Detail(M)'!S112,'FS_Detail(M)'!S117,'FS_Detail(M)'!S122,'FS_Detail(M)'!S127,'FS_Detail(M)'!S132,'FS_Detail(M)'!S137,'FS_Detail(M)'!S142)</f>
        <v>826666.66666666663</v>
      </c>
      <c r="S28" s="171">
        <f>SUM('FS_Detail(M)'!T102,'FS_Detail(M)'!T107,'FS_Detail(M)'!T112,'FS_Detail(M)'!T117,'FS_Detail(M)'!T122,'FS_Detail(M)'!T127,'FS_Detail(M)'!T132,'FS_Detail(M)'!T137,'FS_Detail(M)'!T142)</f>
        <v>1653333.3333333333</v>
      </c>
      <c r="T28" s="171">
        <f>SUM('FS_Detail(M)'!U102,'FS_Detail(M)'!U107,'FS_Detail(M)'!U112,'FS_Detail(M)'!U117,'FS_Detail(M)'!U122,'FS_Detail(M)'!U127,'FS_Detail(M)'!U132,'FS_Detail(M)'!U137,'FS_Detail(M)'!U142)</f>
        <v>0</v>
      </c>
      <c r="U28" s="171">
        <f>SUM('FS_Detail(M)'!V102,'FS_Detail(M)'!V107,'FS_Detail(M)'!V112,'FS_Detail(M)'!V117,'FS_Detail(M)'!V122,'FS_Detail(M)'!V127,'FS_Detail(M)'!V132,'FS_Detail(M)'!V137,'FS_Detail(M)'!V142)</f>
        <v>826666.66666666663</v>
      </c>
      <c r="V28" s="171">
        <f>SUM('FS_Detail(M)'!W102,'FS_Detail(M)'!W107,'FS_Detail(M)'!W112,'FS_Detail(M)'!W117,'FS_Detail(M)'!W122,'FS_Detail(M)'!W127,'FS_Detail(M)'!W132,'FS_Detail(M)'!W137,'FS_Detail(M)'!W142)</f>
        <v>1653333.3333333333</v>
      </c>
      <c r="W28" s="171">
        <f>SUM('FS_Detail(M)'!X102,'FS_Detail(M)'!X107,'FS_Detail(M)'!X112,'FS_Detail(M)'!X117,'FS_Detail(M)'!X122,'FS_Detail(M)'!X127,'FS_Detail(M)'!X132,'FS_Detail(M)'!X137,'FS_Detail(M)'!X142)</f>
        <v>0</v>
      </c>
      <c r="X28" s="171">
        <f>SUM('FS_Detail(M)'!Y102,'FS_Detail(M)'!Y107,'FS_Detail(M)'!Y112,'FS_Detail(M)'!Y117,'FS_Detail(M)'!Y122,'FS_Detail(M)'!Y127,'FS_Detail(M)'!Y132,'FS_Detail(M)'!Y137,'FS_Detail(M)'!Y142)</f>
        <v>826666.66666666663</v>
      </c>
      <c r="Y28" s="171">
        <f>SUM('FS_Detail(M)'!Z102,'FS_Detail(M)'!Z107,'FS_Detail(M)'!Z112,'FS_Detail(M)'!Z117,'FS_Detail(M)'!Z122,'FS_Detail(M)'!Z127,'FS_Detail(M)'!Z132,'FS_Detail(M)'!Z137,'FS_Detail(M)'!Z142)</f>
        <v>1653333.3333333333</v>
      </c>
      <c r="Z28" s="171">
        <f>SUM('FS_Detail(M)'!AA102,'FS_Detail(M)'!AA107,'FS_Detail(M)'!AA112,'FS_Detail(M)'!AA117,'FS_Detail(M)'!AA122,'FS_Detail(M)'!AA127,'FS_Detail(M)'!AA132,'FS_Detail(M)'!AA137,'FS_Detail(M)'!AA142)</f>
        <v>0</v>
      </c>
      <c r="AA28" s="171">
        <f>SUM('FS_Detail(M)'!AB102,'FS_Detail(M)'!AB107,'FS_Detail(M)'!AB112,'FS_Detail(M)'!AB117,'FS_Detail(M)'!AB122,'FS_Detail(M)'!AB127,'FS_Detail(M)'!AB132,'FS_Detail(M)'!AB137,'FS_Detail(M)'!AB142)</f>
        <v>826666.66666666663</v>
      </c>
      <c r="AB28" s="171">
        <f>SUM('FS_Detail(M)'!AC102,'FS_Detail(M)'!AC107,'FS_Detail(M)'!AC112,'FS_Detail(M)'!AC117,'FS_Detail(M)'!AC122,'FS_Detail(M)'!AC127,'FS_Detail(M)'!AC132,'FS_Detail(M)'!AC137,'FS_Detail(M)'!AC142)</f>
        <v>1653333.3333333333</v>
      </c>
      <c r="AC28" s="171">
        <f>SUM('FS_Detail(M)'!AD102,'FS_Detail(M)'!AD107,'FS_Detail(M)'!AD112,'FS_Detail(M)'!AD117,'FS_Detail(M)'!AD122,'FS_Detail(M)'!AD127,'FS_Detail(M)'!AD132,'FS_Detail(M)'!AD137,'FS_Detail(M)'!AD142)</f>
        <v>0</v>
      </c>
      <c r="AD28" s="171">
        <f>SUM('FS_Detail(M)'!AE102,'FS_Detail(M)'!AE107,'FS_Detail(M)'!AE112,'FS_Detail(M)'!AE117,'FS_Detail(M)'!AE122,'FS_Detail(M)'!AE127,'FS_Detail(M)'!AE132,'FS_Detail(M)'!AE137,'FS_Detail(M)'!AE142)</f>
        <v>826666.66666666663</v>
      </c>
      <c r="AE28" s="171">
        <f>SUM('FS_Detail(M)'!AF102,'FS_Detail(M)'!AF107,'FS_Detail(M)'!AF112,'FS_Detail(M)'!AF117,'FS_Detail(M)'!AF122,'FS_Detail(M)'!AF127,'FS_Detail(M)'!AF132,'FS_Detail(M)'!AF137,'FS_Detail(M)'!AF142)</f>
        <v>1653333.3333333333</v>
      </c>
      <c r="AF28" s="171">
        <f>SUM('FS_Detail(M)'!AG102,'FS_Detail(M)'!AG107,'FS_Detail(M)'!AG112,'FS_Detail(M)'!AG117,'FS_Detail(M)'!AG122,'FS_Detail(M)'!AG127,'FS_Detail(M)'!AG132,'FS_Detail(M)'!AG137,'FS_Detail(M)'!AG142)</f>
        <v>0</v>
      </c>
      <c r="AG28" s="171">
        <f>SUM('FS_Detail(M)'!AH102,'FS_Detail(M)'!AH107,'FS_Detail(M)'!AH112,'FS_Detail(M)'!AH117,'FS_Detail(M)'!AH122,'FS_Detail(M)'!AH127,'FS_Detail(M)'!AH132,'FS_Detail(M)'!AH137,'FS_Detail(M)'!AH142)</f>
        <v>826666.66666666663</v>
      </c>
      <c r="AH28" s="171">
        <f>SUM('FS_Detail(M)'!AI102,'FS_Detail(M)'!AI107,'FS_Detail(M)'!AI112,'FS_Detail(M)'!AI117,'FS_Detail(M)'!AI122,'FS_Detail(M)'!AI127,'FS_Detail(M)'!AI132,'FS_Detail(M)'!AI137,'FS_Detail(M)'!AI142)</f>
        <v>1653333.3333333333</v>
      </c>
      <c r="AI28" s="171">
        <f>SUM('FS_Detail(M)'!AJ102,'FS_Detail(M)'!AJ107,'FS_Detail(M)'!AJ112,'FS_Detail(M)'!AJ117,'FS_Detail(M)'!AJ122,'FS_Detail(M)'!AJ127,'FS_Detail(M)'!AJ132,'FS_Detail(M)'!AJ137,'FS_Detail(M)'!AJ142)</f>
        <v>0</v>
      </c>
      <c r="AJ28" s="171">
        <f>SUM('FS_Detail(M)'!AK102,'FS_Detail(M)'!AK107,'FS_Detail(M)'!AK112,'FS_Detail(M)'!AK117,'FS_Detail(M)'!AK122,'FS_Detail(M)'!AK127,'FS_Detail(M)'!AK132,'FS_Detail(M)'!AK137,'FS_Detail(M)'!AK142)</f>
        <v>852000</v>
      </c>
      <c r="AK28" s="171">
        <f>SUM('FS_Detail(M)'!AL102,'FS_Detail(M)'!AL107,'FS_Detail(M)'!AL112,'FS_Detail(M)'!AL117,'FS_Detail(M)'!AL122,'FS_Detail(M)'!AL127,'FS_Detail(M)'!AL132,'FS_Detail(M)'!AL137,'FS_Detail(M)'!AL142)</f>
        <v>1704000</v>
      </c>
      <c r="AL28" s="171">
        <f>SUM('FS_Detail(M)'!AM102,'FS_Detail(M)'!AM107,'FS_Detail(M)'!AM112,'FS_Detail(M)'!AM117,'FS_Detail(M)'!AM122,'FS_Detail(M)'!AM127,'FS_Detail(M)'!AM132,'FS_Detail(M)'!AM137,'FS_Detail(M)'!AM142)</f>
        <v>0</v>
      </c>
      <c r="AM28" s="171">
        <f>SUM('FS_Detail(M)'!AN102,'FS_Detail(M)'!AN107,'FS_Detail(M)'!AN112,'FS_Detail(M)'!AN117,'FS_Detail(M)'!AN122,'FS_Detail(M)'!AN127,'FS_Detail(M)'!AN132,'FS_Detail(M)'!AN137,'FS_Detail(M)'!AN142)</f>
        <v>852000</v>
      </c>
      <c r="AN28" s="171">
        <f>SUM('FS_Detail(M)'!AO102,'FS_Detail(M)'!AO107,'FS_Detail(M)'!AO112,'FS_Detail(M)'!AO117,'FS_Detail(M)'!AO122,'FS_Detail(M)'!AO127,'FS_Detail(M)'!AO132,'FS_Detail(M)'!AO137,'FS_Detail(M)'!AO142)</f>
        <v>1704000</v>
      </c>
      <c r="AO28" s="171">
        <f>SUM('FS_Detail(M)'!AP102,'FS_Detail(M)'!AP107,'FS_Detail(M)'!AP112,'FS_Detail(M)'!AP117,'FS_Detail(M)'!AP122,'FS_Detail(M)'!AP127,'FS_Detail(M)'!AP132,'FS_Detail(M)'!AP137,'FS_Detail(M)'!AP142)</f>
        <v>0</v>
      </c>
      <c r="AP28" s="171">
        <f>SUM('FS_Detail(M)'!AQ102,'FS_Detail(M)'!AQ107,'FS_Detail(M)'!AQ112,'FS_Detail(M)'!AQ117,'FS_Detail(M)'!AQ122,'FS_Detail(M)'!AQ127,'FS_Detail(M)'!AQ132,'FS_Detail(M)'!AQ137,'FS_Detail(M)'!AQ142)</f>
        <v>852000</v>
      </c>
      <c r="AQ28" s="171">
        <f>SUM('FS_Detail(M)'!AR102,'FS_Detail(M)'!AR107,'FS_Detail(M)'!AR112,'FS_Detail(M)'!AR117,'FS_Detail(M)'!AR122,'FS_Detail(M)'!AR127,'FS_Detail(M)'!AR132,'FS_Detail(M)'!AR137,'FS_Detail(M)'!AR142)</f>
        <v>1704000</v>
      </c>
      <c r="AR28" s="171">
        <f>SUM('FS_Detail(M)'!AS102,'FS_Detail(M)'!AS107,'FS_Detail(M)'!AS112,'FS_Detail(M)'!AS117,'FS_Detail(M)'!AS122,'FS_Detail(M)'!AS127,'FS_Detail(M)'!AS132,'FS_Detail(M)'!AS137,'FS_Detail(M)'!AS142)</f>
        <v>0</v>
      </c>
      <c r="AS28" s="171">
        <f>SUM('FS_Detail(M)'!AT102,'FS_Detail(M)'!AT107,'FS_Detail(M)'!AT112,'FS_Detail(M)'!AT117,'FS_Detail(M)'!AT122,'FS_Detail(M)'!AT127,'FS_Detail(M)'!AT132,'FS_Detail(M)'!AT137,'FS_Detail(M)'!AT142)</f>
        <v>852000</v>
      </c>
      <c r="AT28" s="171">
        <f>SUM('FS_Detail(M)'!AU102,'FS_Detail(M)'!AU107,'FS_Detail(M)'!AU112,'FS_Detail(M)'!AU117,'FS_Detail(M)'!AU122,'FS_Detail(M)'!AU127,'FS_Detail(M)'!AU132,'FS_Detail(M)'!AU137,'FS_Detail(M)'!AU142)</f>
        <v>1704000</v>
      </c>
      <c r="AU28" s="171">
        <f>SUM('FS_Detail(M)'!AV102,'FS_Detail(M)'!AV107,'FS_Detail(M)'!AV112,'FS_Detail(M)'!AV117,'FS_Detail(M)'!AV122,'FS_Detail(M)'!AV127,'FS_Detail(M)'!AV132,'FS_Detail(M)'!AV137,'FS_Detail(M)'!AV142)</f>
        <v>0</v>
      </c>
      <c r="AV28" s="171">
        <f>SUM('FS_Detail(M)'!AW102,'FS_Detail(M)'!AW107,'FS_Detail(M)'!AW112,'FS_Detail(M)'!AW117,'FS_Detail(M)'!AW122,'FS_Detail(M)'!AW127,'FS_Detail(M)'!AW132,'FS_Detail(M)'!AW137,'FS_Detail(M)'!AW142)</f>
        <v>852000</v>
      </c>
      <c r="AW28" s="171">
        <f>SUM('FS_Detail(M)'!AX102,'FS_Detail(M)'!AX107,'FS_Detail(M)'!AX112,'FS_Detail(M)'!AX117,'FS_Detail(M)'!AX122,'FS_Detail(M)'!AX127,'FS_Detail(M)'!AX132,'FS_Detail(M)'!AX137,'FS_Detail(M)'!AX142)</f>
        <v>1704000</v>
      </c>
      <c r="AX28" s="171">
        <f>SUM('FS_Detail(M)'!AY102,'FS_Detail(M)'!AY107,'FS_Detail(M)'!AY112,'FS_Detail(M)'!AY117,'FS_Detail(M)'!AY122,'FS_Detail(M)'!AY127,'FS_Detail(M)'!AY132,'FS_Detail(M)'!AY137,'FS_Detail(M)'!AY142)</f>
        <v>0</v>
      </c>
      <c r="AY28" s="171">
        <f>SUM('FS_Detail(M)'!AZ102,'FS_Detail(M)'!AZ107,'FS_Detail(M)'!AZ112,'FS_Detail(M)'!AZ117,'FS_Detail(M)'!AZ122,'FS_Detail(M)'!AZ127,'FS_Detail(M)'!AZ132,'FS_Detail(M)'!AZ137,'FS_Detail(M)'!AZ142)</f>
        <v>852000</v>
      </c>
      <c r="AZ28" s="171">
        <f>SUM('FS_Detail(M)'!BA102,'FS_Detail(M)'!BA107,'FS_Detail(M)'!BA112,'FS_Detail(M)'!BA117,'FS_Detail(M)'!BA122,'FS_Detail(M)'!BA127,'FS_Detail(M)'!BA132,'FS_Detail(M)'!BA137,'FS_Detail(M)'!BA142)</f>
        <v>1704000</v>
      </c>
      <c r="BA28" s="171">
        <f>SUM('FS_Detail(M)'!BB102,'FS_Detail(M)'!BB107,'FS_Detail(M)'!BB112,'FS_Detail(M)'!BB117,'FS_Detail(M)'!BB122,'FS_Detail(M)'!BB127,'FS_Detail(M)'!BB132,'FS_Detail(M)'!BB137,'FS_Detail(M)'!BB142)</f>
        <v>0</v>
      </c>
      <c r="BB28" s="171">
        <f>SUM('FS_Detail(M)'!BC102,'FS_Detail(M)'!BC107,'FS_Detail(M)'!BC112,'FS_Detail(M)'!BC117,'FS_Detail(M)'!BC122,'FS_Detail(M)'!BC127,'FS_Detail(M)'!BC132,'FS_Detail(M)'!BC137,'FS_Detail(M)'!BC142)</f>
        <v>852000</v>
      </c>
      <c r="BC28" s="171">
        <f>SUM('FS_Detail(M)'!BD102,'FS_Detail(M)'!BD107,'FS_Detail(M)'!BD112,'FS_Detail(M)'!BD117,'FS_Detail(M)'!BD122,'FS_Detail(M)'!BD127,'FS_Detail(M)'!BD132,'FS_Detail(M)'!BD137,'FS_Detail(M)'!BD142)</f>
        <v>1704000</v>
      </c>
      <c r="BD28" s="171">
        <f>SUM('FS_Detail(M)'!BE102,'FS_Detail(M)'!BE107,'FS_Detail(M)'!BE112,'FS_Detail(M)'!BE117,'FS_Detail(M)'!BE122,'FS_Detail(M)'!BE127,'FS_Detail(M)'!BE132,'FS_Detail(M)'!BE137,'FS_Detail(M)'!BE142)</f>
        <v>0</v>
      </c>
      <c r="BE28" s="171">
        <f>SUM('FS_Detail(M)'!BF102,'FS_Detail(M)'!BF107,'FS_Detail(M)'!BF112,'FS_Detail(M)'!BF117,'FS_Detail(M)'!BF122,'FS_Detail(M)'!BF127,'FS_Detail(M)'!BF132,'FS_Detail(M)'!BF137,'FS_Detail(M)'!BF142)</f>
        <v>852000</v>
      </c>
      <c r="BF28" s="171">
        <f>SUM('FS_Detail(M)'!BG102,'FS_Detail(M)'!BG107,'FS_Detail(M)'!BG112,'FS_Detail(M)'!BG117,'FS_Detail(M)'!BG122,'FS_Detail(M)'!BG127,'FS_Detail(M)'!BG132,'FS_Detail(M)'!BG137,'FS_Detail(M)'!BG142)</f>
        <v>1704000</v>
      </c>
      <c r="BG28" s="171">
        <f>SUM('FS_Detail(M)'!BH102,'FS_Detail(M)'!BH107,'FS_Detail(M)'!BH112,'FS_Detail(M)'!BH117,'FS_Detail(M)'!BH122,'FS_Detail(M)'!BH127,'FS_Detail(M)'!BH132,'FS_Detail(M)'!BH137,'FS_Detail(M)'!BH142)</f>
        <v>0</v>
      </c>
      <c r="BH28" s="171">
        <f>SUM('FS_Detail(M)'!BI102,'FS_Detail(M)'!BI107,'FS_Detail(M)'!BI112,'FS_Detail(M)'!BI117,'FS_Detail(M)'!BI122,'FS_Detail(M)'!BI127,'FS_Detail(M)'!BI132,'FS_Detail(M)'!BI137,'FS_Detail(M)'!BI142)</f>
        <v>852000</v>
      </c>
      <c r="BI28" s="171">
        <f>SUM('FS_Detail(M)'!BJ102,'FS_Detail(M)'!BJ107,'FS_Detail(M)'!BJ112,'FS_Detail(M)'!BJ117,'FS_Detail(M)'!BJ122,'FS_Detail(M)'!BJ127,'FS_Detail(M)'!BJ132,'FS_Detail(M)'!BJ137,'FS_Detail(M)'!BJ142)</f>
        <v>1704000</v>
      </c>
      <c r="BJ28" s="171">
        <f>SUM('FS_Detail(M)'!BK102,'FS_Detail(M)'!BK107,'FS_Detail(M)'!BK112,'FS_Detail(M)'!BK117,'FS_Detail(M)'!BK122,'FS_Detail(M)'!BK127,'FS_Detail(M)'!BK132,'FS_Detail(M)'!BK137,'FS_Detail(M)'!BK142)</f>
        <v>0</v>
      </c>
      <c r="BK28" s="171">
        <f>SUM('FS_Detail(M)'!BL102,'FS_Detail(M)'!BL107,'FS_Detail(M)'!BL112,'FS_Detail(M)'!BL117,'FS_Detail(M)'!BL122,'FS_Detail(M)'!BL127,'FS_Detail(M)'!BL132,'FS_Detail(M)'!BL137,'FS_Detail(M)'!BL142)</f>
        <v>852000</v>
      </c>
      <c r="BL28" s="171">
        <f>SUM('FS_Detail(M)'!BM102,'FS_Detail(M)'!BM107,'FS_Detail(M)'!BM112,'FS_Detail(M)'!BM117,'FS_Detail(M)'!BM122,'FS_Detail(M)'!BM127,'FS_Detail(M)'!BM132,'FS_Detail(M)'!BM137,'FS_Detail(M)'!BM142)</f>
        <v>1704000</v>
      </c>
      <c r="BM28" s="171">
        <f>SUM('FS_Detail(M)'!BN102,'FS_Detail(M)'!BN107,'FS_Detail(M)'!BN112,'FS_Detail(M)'!BN117,'FS_Detail(M)'!BN122,'FS_Detail(M)'!BN127,'FS_Detail(M)'!BN132,'FS_Detail(M)'!BN137,'FS_Detail(M)'!BN142)</f>
        <v>0</v>
      </c>
      <c r="BN28" s="171">
        <f>SUM('FS_Detail(M)'!BO102,'FS_Detail(M)'!BO107,'FS_Detail(M)'!BO112,'FS_Detail(M)'!BO117,'FS_Detail(M)'!BO122,'FS_Detail(M)'!BO127,'FS_Detail(M)'!BO132,'FS_Detail(M)'!BO137,'FS_Detail(M)'!BO142)</f>
        <v>852000</v>
      </c>
      <c r="BO28" s="171">
        <f>SUM('FS_Detail(M)'!BP102,'FS_Detail(M)'!BP107,'FS_Detail(M)'!BP112,'FS_Detail(M)'!BP117,'FS_Detail(M)'!BP122,'FS_Detail(M)'!BP127,'FS_Detail(M)'!BP132,'FS_Detail(M)'!BP137,'FS_Detail(M)'!BP142)</f>
        <v>1704000</v>
      </c>
      <c r="BP28" s="171">
        <f>SUM('FS_Detail(M)'!BQ102,'FS_Detail(M)'!BQ107,'FS_Detail(M)'!BQ112,'FS_Detail(M)'!BQ117,'FS_Detail(M)'!BQ122,'FS_Detail(M)'!BQ127,'FS_Detail(M)'!BQ132,'FS_Detail(M)'!BQ137,'FS_Detail(M)'!BQ142)</f>
        <v>0</v>
      </c>
      <c r="BQ28" s="171">
        <f>SUM('FS_Detail(M)'!BR102,'FS_Detail(M)'!BR107,'FS_Detail(M)'!BR112,'FS_Detail(M)'!BR117,'FS_Detail(M)'!BR122,'FS_Detail(M)'!BR127,'FS_Detail(M)'!BR132,'FS_Detail(M)'!BR137,'FS_Detail(M)'!BR142)</f>
        <v>852000</v>
      </c>
      <c r="BR28" s="171">
        <f>SUM('FS_Detail(M)'!BS102,'FS_Detail(M)'!BS107,'FS_Detail(M)'!BS112,'FS_Detail(M)'!BS117,'FS_Detail(M)'!BS122,'FS_Detail(M)'!BS127,'FS_Detail(M)'!BS132,'FS_Detail(M)'!BS137,'FS_Detail(M)'!BS142)</f>
        <v>1704000</v>
      </c>
      <c r="BS28" s="171">
        <f>SUM('FS_Detail(M)'!BT102,'FS_Detail(M)'!BT107,'FS_Detail(M)'!BT112,'FS_Detail(M)'!BT117,'FS_Detail(M)'!BT122,'FS_Detail(M)'!BT127,'FS_Detail(M)'!BT132,'FS_Detail(M)'!BT137,'FS_Detail(M)'!BT142)</f>
        <v>0</v>
      </c>
      <c r="BT28" s="171">
        <f>SUM('FS_Detail(M)'!BU102,'FS_Detail(M)'!BU107,'FS_Detail(M)'!BU112,'FS_Detail(M)'!BU117,'FS_Detail(M)'!BU122,'FS_Detail(M)'!BU127,'FS_Detail(M)'!BU132,'FS_Detail(M)'!BU137,'FS_Detail(M)'!BU142)</f>
        <v>798750</v>
      </c>
      <c r="BU28" s="171">
        <f>SUM('FS_Detail(M)'!BV102,'FS_Detail(M)'!BV107,'FS_Detail(M)'!BV112,'FS_Detail(M)'!BV117,'FS_Detail(M)'!BV122,'FS_Detail(M)'!BV127,'FS_Detail(M)'!BV132,'FS_Detail(M)'!BV137,'FS_Detail(M)'!BV142)</f>
        <v>1597500</v>
      </c>
      <c r="BV28" s="171">
        <f>SUM('FS_Detail(M)'!BW102,'FS_Detail(M)'!BW107,'FS_Detail(M)'!BW112,'FS_Detail(M)'!BW117,'FS_Detail(M)'!BW122,'FS_Detail(M)'!BW127,'FS_Detail(M)'!BW132,'FS_Detail(M)'!BW137,'FS_Detail(M)'!BW142)</f>
        <v>0</v>
      </c>
      <c r="BW28" s="171">
        <f>SUM('FS_Detail(M)'!BX102,'FS_Detail(M)'!BX107,'FS_Detail(M)'!BX112,'FS_Detail(M)'!BX117,'FS_Detail(M)'!BX122,'FS_Detail(M)'!BX127,'FS_Detail(M)'!BX132,'FS_Detail(M)'!BX137,'FS_Detail(M)'!BX142)</f>
        <v>798750</v>
      </c>
      <c r="BX28" s="171">
        <f>SUM('FS_Detail(M)'!BY102,'FS_Detail(M)'!BY107,'FS_Detail(M)'!BY112,'FS_Detail(M)'!BY117,'FS_Detail(M)'!BY122,'FS_Detail(M)'!BY127,'FS_Detail(M)'!BY132,'FS_Detail(M)'!BY137,'FS_Detail(M)'!BY142)</f>
        <v>1597500</v>
      </c>
      <c r="BY28" s="171">
        <f>SUM('FS_Detail(M)'!BZ102,'FS_Detail(M)'!BZ107,'FS_Detail(M)'!BZ112,'FS_Detail(M)'!BZ117,'FS_Detail(M)'!BZ122,'FS_Detail(M)'!BZ127,'FS_Detail(M)'!BZ132,'FS_Detail(M)'!BZ137,'FS_Detail(M)'!BZ142)</f>
        <v>0</v>
      </c>
      <c r="BZ28" s="171">
        <f>SUM('FS_Detail(M)'!CA102,'FS_Detail(M)'!CA107,'FS_Detail(M)'!CA112,'FS_Detail(M)'!CA117,'FS_Detail(M)'!CA122,'FS_Detail(M)'!CA127,'FS_Detail(M)'!CA132,'FS_Detail(M)'!CA137,'FS_Detail(M)'!CA142)</f>
        <v>798750</v>
      </c>
      <c r="CA28" s="171">
        <f>SUM('FS_Detail(M)'!CB102,'FS_Detail(M)'!CB107,'FS_Detail(M)'!CB112,'FS_Detail(M)'!CB117,'FS_Detail(M)'!CB122,'FS_Detail(M)'!CB127,'FS_Detail(M)'!CB132,'FS_Detail(M)'!CB137,'FS_Detail(M)'!CB142)</f>
        <v>1597500</v>
      </c>
      <c r="CB28" s="171">
        <f>SUM('FS_Detail(M)'!CC102,'FS_Detail(M)'!CC107,'FS_Detail(M)'!CC112,'FS_Detail(M)'!CC117,'FS_Detail(M)'!CC122,'FS_Detail(M)'!CC127,'FS_Detail(M)'!CC132,'FS_Detail(M)'!CC137,'FS_Detail(M)'!CC142)</f>
        <v>0</v>
      </c>
      <c r="CC28" s="171">
        <f>SUM('FS_Detail(M)'!CD102,'FS_Detail(M)'!CD107,'FS_Detail(M)'!CD112,'FS_Detail(M)'!CD117,'FS_Detail(M)'!CD122,'FS_Detail(M)'!CD127,'FS_Detail(M)'!CD132,'FS_Detail(M)'!CD137,'FS_Detail(M)'!CD142)</f>
        <v>798750</v>
      </c>
      <c r="CD28" s="171">
        <f>SUM('FS_Detail(M)'!CE102,'FS_Detail(M)'!CE107,'FS_Detail(M)'!CE112,'FS_Detail(M)'!CE117,'FS_Detail(M)'!CE122,'FS_Detail(M)'!CE127,'FS_Detail(M)'!CE132,'FS_Detail(M)'!CE137,'FS_Detail(M)'!CE142)</f>
        <v>1597500</v>
      </c>
      <c r="CE28" s="171">
        <f>SUM('FS_Detail(M)'!CF102,'FS_Detail(M)'!CF107,'FS_Detail(M)'!CF112,'FS_Detail(M)'!CF117,'FS_Detail(M)'!CF122,'FS_Detail(M)'!CF127,'FS_Detail(M)'!CF132,'FS_Detail(M)'!CF137,'FS_Detail(M)'!CF142)</f>
        <v>0</v>
      </c>
      <c r="CF28" s="171">
        <f>SUM('FS_Detail(M)'!CG102,'FS_Detail(M)'!CG107,'FS_Detail(M)'!CG112,'FS_Detail(M)'!CG117,'FS_Detail(M)'!CG122,'FS_Detail(M)'!CG127,'FS_Detail(M)'!CG132,'FS_Detail(M)'!CG137,'FS_Detail(M)'!CG142)</f>
        <v>798750</v>
      </c>
      <c r="CG28" s="171">
        <f>SUM('FS_Detail(M)'!CH102,'FS_Detail(M)'!CH107,'FS_Detail(M)'!CH112,'FS_Detail(M)'!CH117,'FS_Detail(M)'!CH122,'FS_Detail(M)'!CH127,'FS_Detail(M)'!CH132,'FS_Detail(M)'!CH137,'FS_Detail(M)'!CH142)</f>
        <v>1597500</v>
      </c>
      <c r="CH28" s="171">
        <f>SUM('FS_Detail(M)'!CI102,'FS_Detail(M)'!CI107,'FS_Detail(M)'!CI112,'FS_Detail(M)'!CI117,'FS_Detail(M)'!CI122,'FS_Detail(M)'!CI127,'FS_Detail(M)'!CI132,'FS_Detail(M)'!CI137,'FS_Detail(M)'!CI142)</f>
        <v>0</v>
      </c>
      <c r="CI28" s="171">
        <f>SUM('FS_Detail(M)'!CJ102,'FS_Detail(M)'!CJ107,'FS_Detail(M)'!CJ112,'FS_Detail(M)'!CJ117,'FS_Detail(M)'!CJ122,'FS_Detail(M)'!CJ127,'FS_Detail(M)'!CJ132,'FS_Detail(M)'!CJ137,'FS_Detail(M)'!CJ142)</f>
        <v>798750</v>
      </c>
      <c r="CJ28" s="171">
        <f>SUM('FS_Detail(M)'!CK102,'FS_Detail(M)'!CK107,'FS_Detail(M)'!CK112,'FS_Detail(M)'!CK117,'FS_Detail(M)'!CK122,'FS_Detail(M)'!CK127,'FS_Detail(M)'!CK132,'FS_Detail(M)'!CK137,'FS_Detail(M)'!CK142)</f>
        <v>1597500</v>
      </c>
      <c r="CK28" s="171">
        <f>SUM('FS_Detail(M)'!CL102,'FS_Detail(M)'!CL107,'FS_Detail(M)'!CL112,'FS_Detail(M)'!CL117,'FS_Detail(M)'!CL122,'FS_Detail(M)'!CL127,'FS_Detail(M)'!CL132,'FS_Detail(M)'!CL137,'FS_Detail(M)'!CL142)</f>
        <v>0</v>
      </c>
      <c r="CL28" s="171">
        <f>SUM('FS_Detail(M)'!CM102,'FS_Detail(M)'!CM107,'FS_Detail(M)'!CM112,'FS_Detail(M)'!CM117,'FS_Detail(M)'!CM122,'FS_Detail(M)'!CM127,'FS_Detail(M)'!CM132,'FS_Detail(M)'!CM137,'FS_Detail(M)'!CM142)</f>
        <v>798750</v>
      </c>
      <c r="CM28" s="171">
        <f>SUM('FS_Detail(M)'!CN102,'FS_Detail(M)'!CN107,'FS_Detail(M)'!CN112,'FS_Detail(M)'!CN117,'FS_Detail(M)'!CN122,'FS_Detail(M)'!CN127,'FS_Detail(M)'!CN132,'FS_Detail(M)'!CN137,'FS_Detail(M)'!CN142)</f>
        <v>1597500</v>
      </c>
      <c r="CN28" s="171">
        <f>SUM('FS_Detail(M)'!CO102,'FS_Detail(M)'!CO107,'FS_Detail(M)'!CO112,'FS_Detail(M)'!CO117,'FS_Detail(M)'!CO122,'FS_Detail(M)'!CO127,'FS_Detail(M)'!CO132,'FS_Detail(M)'!CO137,'FS_Detail(M)'!CO142)</f>
        <v>0</v>
      </c>
      <c r="CO28" s="171">
        <f>SUM('FS_Detail(M)'!CP102,'FS_Detail(M)'!CP107,'FS_Detail(M)'!CP112,'FS_Detail(M)'!CP117,'FS_Detail(M)'!CP122,'FS_Detail(M)'!CP127,'FS_Detail(M)'!CP132,'FS_Detail(M)'!CP137,'FS_Detail(M)'!CP142)</f>
        <v>798750</v>
      </c>
      <c r="CP28" s="171">
        <f>SUM('FS_Detail(M)'!CQ102,'FS_Detail(M)'!CQ107,'FS_Detail(M)'!CQ112,'FS_Detail(M)'!CQ117,'FS_Detail(M)'!CQ122,'FS_Detail(M)'!CQ127,'FS_Detail(M)'!CQ132,'FS_Detail(M)'!CQ137,'FS_Detail(M)'!CQ142)</f>
        <v>1597500</v>
      </c>
      <c r="CQ28" s="171">
        <f>SUM('FS_Detail(M)'!CR102,'FS_Detail(M)'!CR107,'FS_Detail(M)'!CR112,'FS_Detail(M)'!CR117,'FS_Detail(M)'!CR122,'FS_Detail(M)'!CR127,'FS_Detail(M)'!CR132,'FS_Detail(M)'!CR137,'FS_Detail(M)'!CR142)</f>
        <v>0</v>
      </c>
      <c r="CR28" s="171">
        <f>SUM('FS_Detail(M)'!CS102,'FS_Detail(M)'!CS107,'FS_Detail(M)'!CS112,'FS_Detail(M)'!CS117,'FS_Detail(M)'!CS122,'FS_Detail(M)'!CS127,'FS_Detail(M)'!CS132,'FS_Detail(M)'!CS137,'FS_Detail(M)'!CS142)</f>
        <v>798750</v>
      </c>
      <c r="CS28" s="171">
        <f>SUM('FS_Detail(M)'!CT102,'FS_Detail(M)'!CT107,'FS_Detail(M)'!CT112,'FS_Detail(M)'!CT117,'FS_Detail(M)'!CT122,'FS_Detail(M)'!CT127,'FS_Detail(M)'!CT132,'FS_Detail(M)'!CT137,'FS_Detail(M)'!CT142)</f>
        <v>1597500</v>
      </c>
      <c r="CT28" s="171">
        <f>SUM('FS_Detail(M)'!CU102,'FS_Detail(M)'!CU107,'FS_Detail(M)'!CU112,'FS_Detail(M)'!CU117,'FS_Detail(M)'!CU122,'FS_Detail(M)'!CU127,'FS_Detail(M)'!CU132,'FS_Detail(M)'!CU137,'FS_Detail(M)'!CU142)</f>
        <v>0</v>
      </c>
      <c r="CU28" s="171">
        <f>SUM('FS_Detail(M)'!CV102,'FS_Detail(M)'!CV107,'FS_Detail(M)'!CV112,'FS_Detail(M)'!CV117,'FS_Detail(M)'!CV122,'FS_Detail(M)'!CV127,'FS_Detail(M)'!CV132,'FS_Detail(M)'!CV137,'FS_Detail(M)'!CV142)</f>
        <v>798750</v>
      </c>
      <c r="CV28" s="171">
        <f>SUM('FS_Detail(M)'!CW102,'FS_Detail(M)'!CW107,'FS_Detail(M)'!CW112,'FS_Detail(M)'!CW117,'FS_Detail(M)'!CW122,'FS_Detail(M)'!CW127,'FS_Detail(M)'!CW132,'FS_Detail(M)'!CW137,'FS_Detail(M)'!CW142)</f>
        <v>1597500</v>
      </c>
      <c r="CW28" s="171">
        <f>SUM('FS_Detail(M)'!CX102,'FS_Detail(M)'!CX107,'FS_Detail(M)'!CX112,'FS_Detail(M)'!CX117,'FS_Detail(M)'!CX122,'FS_Detail(M)'!CX127,'FS_Detail(M)'!CX132,'FS_Detail(M)'!CX137,'FS_Detail(M)'!CX142)</f>
        <v>0</v>
      </c>
      <c r="CX28" s="171">
        <f>SUM('FS_Detail(M)'!CY102,'FS_Detail(M)'!CY107,'FS_Detail(M)'!CY112,'FS_Detail(M)'!CY117,'FS_Detail(M)'!CY122,'FS_Detail(M)'!CY127,'FS_Detail(M)'!CY132,'FS_Detail(M)'!CY137,'FS_Detail(M)'!CY142)</f>
        <v>798750</v>
      </c>
      <c r="CY28" s="171">
        <f>SUM('FS_Detail(M)'!CZ102,'FS_Detail(M)'!CZ107,'FS_Detail(M)'!CZ112,'FS_Detail(M)'!CZ117,'FS_Detail(M)'!CZ122,'FS_Detail(M)'!CZ127,'FS_Detail(M)'!CZ132,'FS_Detail(M)'!CZ137,'FS_Detail(M)'!CZ142)</f>
        <v>1597500</v>
      </c>
      <c r="CZ28" s="171">
        <f>SUM('FS_Detail(M)'!DA102,'FS_Detail(M)'!DA107,'FS_Detail(M)'!DA112,'FS_Detail(M)'!DA117,'FS_Detail(M)'!DA122,'FS_Detail(M)'!DA127,'FS_Detail(M)'!DA132,'FS_Detail(M)'!DA137,'FS_Detail(M)'!DA142)</f>
        <v>0</v>
      </c>
      <c r="DA28" s="171">
        <f>SUM('FS_Detail(M)'!DB102,'FS_Detail(M)'!DB107,'FS_Detail(M)'!DB112,'FS_Detail(M)'!DB117,'FS_Detail(M)'!DB122,'FS_Detail(M)'!DB127,'FS_Detail(M)'!DB132,'FS_Detail(M)'!DB137,'FS_Detail(M)'!DB142)</f>
        <v>798750</v>
      </c>
      <c r="DB28" s="171">
        <f>SUM('FS_Detail(M)'!DC102,'FS_Detail(M)'!DC107,'FS_Detail(M)'!DC112,'FS_Detail(M)'!DC117,'FS_Detail(M)'!DC122,'FS_Detail(M)'!DC127,'FS_Detail(M)'!DC132,'FS_Detail(M)'!DC137,'FS_Detail(M)'!DC142)</f>
        <v>1597500</v>
      </c>
      <c r="DC28" s="171">
        <f>SUM('FS_Detail(M)'!DD102,'FS_Detail(M)'!DD107,'FS_Detail(M)'!DD112,'FS_Detail(M)'!DD117,'FS_Detail(M)'!DD122,'FS_Detail(M)'!DD127,'FS_Detail(M)'!DD132,'FS_Detail(M)'!DD137,'FS_Detail(M)'!DD142)</f>
        <v>0</v>
      </c>
      <c r="DD28" s="171">
        <f>SUM('FS_Detail(M)'!DE102,'FS_Detail(M)'!DE107,'FS_Detail(M)'!DE112,'FS_Detail(M)'!DE117,'FS_Detail(M)'!DE122,'FS_Detail(M)'!DE127,'FS_Detail(M)'!DE132,'FS_Detail(M)'!DE137,'FS_Detail(M)'!DE142)</f>
        <v>798750</v>
      </c>
      <c r="DE28" s="171">
        <f>SUM('FS_Detail(M)'!DF102,'FS_Detail(M)'!DF107,'FS_Detail(M)'!DF112,'FS_Detail(M)'!DF117,'FS_Detail(M)'!DF122,'FS_Detail(M)'!DF127,'FS_Detail(M)'!DF132,'FS_Detail(M)'!DF137,'FS_Detail(M)'!DF142)</f>
        <v>1597500</v>
      </c>
      <c r="DF28" s="171">
        <f>SUM('FS_Detail(M)'!DG102,'FS_Detail(M)'!DG107,'FS_Detail(M)'!DG112,'FS_Detail(M)'!DG117,'FS_Detail(M)'!DG122,'FS_Detail(M)'!DG127,'FS_Detail(M)'!DG132,'FS_Detail(M)'!DG137,'FS_Detail(M)'!DG142)</f>
        <v>0</v>
      </c>
      <c r="DG28" s="171">
        <f>SUM('FS_Detail(M)'!DH102,'FS_Detail(M)'!DH107,'FS_Detail(M)'!DH112,'FS_Detail(M)'!DH117,'FS_Detail(M)'!DH122,'FS_Detail(M)'!DH127,'FS_Detail(M)'!DH132,'FS_Detail(M)'!DH137,'FS_Detail(M)'!DH142)</f>
        <v>798750</v>
      </c>
      <c r="DH28" s="171">
        <f>SUM('FS_Detail(M)'!DI102,'FS_Detail(M)'!DI107,'FS_Detail(M)'!DI112,'FS_Detail(M)'!DI117,'FS_Detail(M)'!DI122,'FS_Detail(M)'!DI127,'FS_Detail(M)'!DI132,'FS_Detail(M)'!DI137,'FS_Detail(M)'!DI142)</f>
        <v>1597500</v>
      </c>
      <c r="DI28" s="171">
        <f>SUM('FS_Detail(M)'!DJ102,'FS_Detail(M)'!DJ107,'FS_Detail(M)'!DJ112,'FS_Detail(M)'!DJ117,'FS_Detail(M)'!DJ122,'FS_Detail(M)'!DJ127,'FS_Detail(M)'!DJ132,'FS_Detail(M)'!DJ137,'FS_Detail(M)'!DJ142)</f>
        <v>0</v>
      </c>
      <c r="DJ28" s="171">
        <f>SUM('FS_Detail(M)'!DK102,'FS_Detail(M)'!DK107,'FS_Detail(M)'!DK112,'FS_Detail(M)'!DK117,'FS_Detail(M)'!DK122,'FS_Detail(M)'!DK127,'FS_Detail(M)'!DK132,'FS_Detail(M)'!DK137,'FS_Detail(M)'!DK142)</f>
        <v>798750</v>
      </c>
      <c r="DK28" s="171">
        <f>SUM('FS_Detail(M)'!DL102,'FS_Detail(M)'!DL107,'FS_Detail(M)'!DL112,'FS_Detail(M)'!DL117,'FS_Detail(M)'!DL122,'FS_Detail(M)'!DL127,'FS_Detail(M)'!DL132,'FS_Detail(M)'!DL137,'FS_Detail(M)'!DL142)</f>
        <v>1597500</v>
      </c>
      <c r="DL28" s="171">
        <f>SUM('FS_Detail(M)'!DM102,'FS_Detail(M)'!DM107,'FS_Detail(M)'!DM112,'FS_Detail(M)'!DM117,'FS_Detail(M)'!DM122,'FS_Detail(M)'!DM127,'FS_Detail(M)'!DM132,'FS_Detail(M)'!DM137,'FS_Detail(M)'!DM142)</f>
        <v>0</v>
      </c>
      <c r="DM28" s="171">
        <f>SUM('FS_Detail(M)'!DN102,'FS_Detail(M)'!DN107,'FS_Detail(M)'!DN112,'FS_Detail(M)'!DN117,'FS_Detail(M)'!DN122,'FS_Detail(M)'!DN127,'FS_Detail(M)'!DN132,'FS_Detail(M)'!DN137,'FS_Detail(M)'!DN142)</f>
        <v>798750</v>
      </c>
      <c r="DN28" s="171">
        <f>SUM('FS_Detail(M)'!DO102,'FS_Detail(M)'!DO107,'FS_Detail(M)'!DO112,'FS_Detail(M)'!DO117,'FS_Detail(M)'!DO122,'FS_Detail(M)'!DO127,'FS_Detail(M)'!DO132,'FS_Detail(M)'!DO137,'FS_Detail(M)'!DO142)</f>
        <v>1597500</v>
      </c>
      <c r="DO28" s="171">
        <f>SUM('FS_Detail(M)'!DP102,'FS_Detail(M)'!DP107,'FS_Detail(M)'!DP112,'FS_Detail(M)'!DP117,'FS_Detail(M)'!DP122,'FS_Detail(M)'!DP127,'FS_Detail(M)'!DP132,'FS_Detail(M)'!DP137,'FS_Detail(M)'!DP142)</f>
        <v>0</v>
      </c>
      <c r="DP28" s="171">
        <f>SUM('FS_Detail(M)'!DQ102,'FS_Detail(M)'!DQ107,'FS_Detail(M)'!DQ112,'FS_Detail(M)'!DQ117,'FS_Detail(M)'!DQ122,'FS_Detail(M)'!DQ127,'FS_Detail(M)'!DQ132,'FS_Detail(M)'!DQ137,'FS_Detail(M)'!DQ142)</f>
        <v>798750</v>
      </c>
      <c r="DQ28" s="171">
        <f>SUM('FS_Detail(M)'!DR102,'FS_Detail(M)'!DR107,'FS_Detail(M)'!DR112,'FS_Detail(M)'!DR117,'FS_Detail(M)'!DR122,'FS_Detail(M)'!DR127,'FS_Detail(M)'!DR132,'FS_Detail(M)'!DR137,'FS_Detail(M)'!DR142)</f>
        <v>1597500</v>
      </c>
      <c r="DR28" s="171">
        <f>SUM('FS_Detail(M)'!DS102,'FS_Detail(M)'!DS107,'FS_Detail(M)'!DS112,'FS_Detail(M)'!DS117,'FS_Detail(M)'!DS122,'FS_Detail(M)'!DS127,'FS_Detail(M)'!DS132,'FS_Detail(M)'!DS137,'FS_Detail(M)'!DS142)</f>
        <v>0</v>
      </c>
      <c r="DS28" s="171">
        <f>SUM('FS_Detail(M)'!DT102,'FS_Detail(M)'!DT107,'FS_Detail(M)'!DT112,'FS_Detail(M)'!DT117,'FS_Detail(M)'!DT122,'FS_Detail(M)'!DT127,'FS_Detail(M)'!DT132,'FS_Detail(M)'!DT137,'FS_Detail(M)'!DT142)</f>
        <v>798750</v>
      </c>
      <c r="DT28" s="171">
        <f>SUM('FS_Detail(M)'!DU102,'FS_Detail(M)'!DU107,'FS_Detail(M)'!DU112,'FS_Detail(M)'!DU117,'FS_Detail(M)'!DU122,'FS_Detail(M)'!DU127,'FS_Detail(M)'!DU132,'FS_Detail(M)'!DU137,'FS_Detail(M)'!DU142)</f>
        <v>1597500</v>
      </c>
      <c r="DU28" s="171">
        <f>SUM('FS_Detail(M)'!DV102,'FS_Detail(M)'!DV107,'FS_Detail(M)'!DV112,'FS_Detail(M)'!DV117,'FS_Detail(M)'!DV122,'FS_Detail(M)'!DV127,'FS_Detail(M)'!DV132,'FS_Detail(M)'!DV137,'FS_Detail(M)'!DV142)</f>
        <v>0</v>
      </c>
      <c r="DV28" s="171">
        <f>SUM('FS_Detail(M)'!DW102,'FS_Detail(M)'!DW107,'FS_Detail(M)'!DW112,'FS_Detail(M)'!DW117,'FS_Detail(M)'!DW122,'FS_Detail(M)'!DW127,'FS_Detail(M)'!DW132,'FS_Detail(M)'!DW137,'FS_Detail(M)'!DW142)</f>
        <v>798750</v>
      </c>
      <c r="DW28" s="171">
        <f>SUM('FS_Detail(M)'!DX102,'FS_Detail(M)'!DX107,'FS_Detail(M)'!DX112,'FS_Detail(M)'!DX117,'FS_Detail(M)'!DX122,'FS_Detail(M)'!DX127,'FS_Detail(M)'!DX132,'FS_Detail(M)'!DX137,'FS_Detail(M)'!DX142)</f>
        <v>1597500</v>
      </c>
      <c r="DX28" s="171">
        <f>SUM('FS_Detail(M)'!DY102,'FS_Detail(M)'!DY107,'FS_Detail(M)'!DY112,'FS_Detail(M)'!DY117,'FS_Detail(M)'!DY122,'FS_Detail(M)'!DY127,'FS_Detail(M)'!DY132,'FS_Detail(M)'!DY137,'FS_Detail(M)'!DY142)</f>
        <v>0</v>
      </c>
      <c r="DY28" s="171">
        <f>SUM('FS_Detail(M)'!DZ102,'FS_Detail(M)'!DZ107,'FS_Detail(M)'!DZ112,'FS_Detail(M)'!DZ117,'FS_Detail(M)'!DZ122,'FS_Detail(M)'!DZ127,'FS_Detail(M)'!DZ132,'FS_Detail(M)'!DZ137,'FS_Detail(M)'!DZ142)</f>
        <v>798750</v>
      </c>
      <c r="DZ28" s="171">
        <f>SUM('FS_Detail(M)'!EA102,'FS_Detail(M)'!EA107,'FS_Detail(M)'!EA112,'FS_Detail(M)'!EA117,'FS_Detail(M)'!EA122,'FS_Detail(M)'!EA127,'FS_Detail(M)'!EA132,'FS_Detail(M)'!EA137,'FS_Detail(M)'!EA142)</f>
        <v>1597500</v>
      </c>
      <c r="EA28" s="171">
        <f>SUM('FS_Detail(M)'!EB102,'FS_Detail(M)'!EB107,'FS_Detail(M)'!EB112,'FS_Detail(M)'!EB117,'FS_Detail(M)'!EB122,'FS_Detail(M)'!EB127,'FS_Detail(M)'!EB132,'FS_Detail(M)'!EB137,'FS_Detail(M)'!EB142)</f>
        <v>0</v>
      </c>
      <c r="EB28" s="171">
        <f>SUM('FS_Detail(M)'!EC102,'FS_Detail(M)'!EC107,'FS_Detail(M)'!EC112,'FS_Detail(M)'!EC117,'FS_Detail(M)'!EC122,'FS_Detail(M)'!EC127,'FS_Detail(M)'!EC132,'FS_Detail(M)'!EC137,'FS_Detail(M)'!EC142)</f>
        <v>0</v>
      </c>
      <c r="EC28" s="171">
        <f>SUM('FS_Detail(M)'!ED102,'FS_Detail(M)'!ED107,'FS_Detail(M)'!ED112,'FS_Detail(M)'!ED117,'FS_Detail(M)'!ED122,'FS_Detail(M)'!ED127,'FS_Detail(M)'!ED132,'FS_Detail(M)'!ED137,'FS_Detail(M)'!ED142)</f>
        <v>0</v>
      </c>
      <c r="ED28" s="171">
        <f>SUM('FS_Detail(M)'!EE102,'FS_Detail(M)'!EE107,'FS_Detail(M)'!EE112,'FS_Detail(M)'!EE117,'FS_Detail(M)'!EE122,'FS_Detail(M)'!EE127,'FS_Detail(M)'!EE132,'FS_Detail(M)'!EE137,'FS_Detail(M)'!EE142)</f>
        <v>0</v>
      </c>
      <c r="EE28" s="171">
        <f>SUM('FS_Detail(M)'!EF102,'FS_Detail(M)'!EF107,'FS_Detail(M)'!EF112,'FS_Detail(M)'!EF117,'FS_Detail(M)'!EF122,'FS_Detail(M)'!EF127,'FS_Detail(M)'!EF132,'FS_Detail(M)'!EF137,'FS_Detail(M)'!EF142)</f>
        <v>0</v>
      </c>
      <c r="EF28" s="171">
        <f>SUM('FS_Detail(M)'!EG102,'FS_Detail(M)'!EG107,'FS_Detail(M)'!EG112,'FS_Detail(M)'!EG117,'FS_Detail(M)'!EG122,'FS_Detail(M)'!EG127,'FS_Detail(M)'!EG132,'FS_Detail(M)'!EG137,'FS_Detail(M)'!EG142)</f>
        <v>0</v>
      </c>
      <c r="EG28" s="171">
        <f>SUM('FS_Detail(M)'!EH102,'FS_Detail(M)'!EH107,'FS_Detail(M)'!EH112,'FS_Detail(M)'!EH117,'FS_Detail(M)'!EH122,'FS_Detail(M)'!EH127,'FS_Detail(M)'!EH132,'FS_Detail(M)'!EH137,'FS_Detail(M)'!EH142)</f>
        <v>0</v>
      </c>
      <c r="EH28" s="171">
        <f>SUM('FS_Detail(M)'!EI102,'FS_Detail(M)'!EI107,'FS_Detail(M)'!EI112,'FS_Detail(M)'!EI117,'FS_Detail(M)'!EI122,'FS_Detail(M)'!EI127,'FS_Detail(M)'!EI132,'FS_Detail(M)'!EI137,'FS_Detail(M)'!EI142)</f>
        <v>0</v>
      </c>
      <c r="EI28" s="171">
        <f>SUM('FS_Detail(M)'!EJ102,'FS_Detail(M)'!EJ107,'FS_Detail(M)'!EJ112,'FS_Detail(M)'!EJ117,'FS_Detail(M)'!EJ122,'FS_Detail(M)'!EJ127,'FS_Detail(M)'!EJ132,'FS_Detail(M)'!EJ137,'FS_Detail(M)'!EJ142)</f>
        <v>0</v>
      </c>
      <c r="EJ28" s="171">
        <f>SUM('FS_Detail(M)'!EK102,'FS_Detail(M)'!EK107,'FS_Detail(M)'!EK112,'FS_Detail(M)'!EK117,'FS_Detail(M)'!EK122,'FS_Detail(M)'!EK127,'FS_Detail(M)'!EK132,'FS_Detail(M)'!EK137,'FS_Detail(M)'!EK142)</f>
        <v>0</v>
      </c>
      <c r="EK28" s="171">
        <f>SUM('FS_Detail(M)'!EL102,'FS_Detail(M)'!EL107,'FS_Detail(M)'!EL112,'FS_Detail(M)'!EL117,'FS_Detail(M)'!EL122,'FS_Detail(M)'!EL127,'FS_Detail(M)'!EL132,'FS_Detail(M)'!EL137,'FS_Detail(M)'!EL142)</f>
        <v>0</v>
      </c>
      <c r="EL28" s="171">
        <f>SUM('FS_Detail(M)'!EM102,'FS_Detail(M)'!EM107,'FS_Detail(M)'!EM112,'FS_Detail(M)'!EM117,'FS_Detail(M)'!EM122,'FS_Detail(M)'!EM127,'FS_Detail(M)'!EM132,'FS_Detail(M)'!EM137,'FS_Detail(M)'!EM142)</f>
        <v>0</v>
      </c>
      <c r="EM28" s="171">
        <f>SUM('FS_Detail(M)'!EN102,'FS_Detail(M)'!EN107,'FS_Detail(M)'!EN112,'FS_Detail(M)'!EN117,'FS_Detail(M)'!EN122,'FS_Detail(M)'!EN127,'FS_Detail(M)'!EN132,'FS_Detail(M)'!EN137,'FS_Detail(M)'!EN142)</f>
        <v>0</v>
      </c>
      <c r="EN28" s="171">
        <f>SUM('FS_Detail(M)'!EO102,'FS_Detail(M)'!EO107,'FS_Detail(M)'!EO112,'FS_Detail(M)'!EO117,'FS_Detail(M)'!EO122,'FS_Detail(M)'!EO127,'FS_Detail(M)'!EO132,'FS_Detail(M)'!EO137,'FS_Detail(M)'!EO142)</f>
        <v>0</v>
      </c>
      <c r="EO28" s="171">
        <f>SUM('FS_Detail(M)'!EP102,'FS_Detail(M)'!EP107,'FS_Detail(M)'!EP112,'FS_Detail(M)'!EP117,'FS_Detail(M)'!EP122,'FS_Detail(M)'!EP127,'FS_Detail(M)'!EP132,'FS_Detail(M)'!EP137,'FS_Detail(M)'!EP142)</f>
        <v>0</v>
      </c>
      <c r="EP28" s="171">
        <f>SUM('FS_Detail(M)'!EQ102,'FS_Detail(M)'!EQ107,'FS_Detail(M)'!EQ112,'FS_Detail(M)'!EQ117,'FS_Detail(M)'!EQ122,'FS_Detail(M)'!EQ127,'FS_Detail(M)'!EQ132,'FS_Detail(M)'!EQ137,'FS_Detail(M)'!EQ142)</f>
        <v>0</v>
      </c>
    </row>
    <row r="29" spans="2:146">
      <c r="B29" s="218"/>
      <c r="C29" s="163"/>
      <c r="D29" s="169" t="s">
        <v>569</v>
      </c>
      <c r="H29" s="146"/>
      <c r="I29" s="977"/>
      <c r="J29" s="98"/>
      <c r="K29" s="171">
        <f>SUM('FS_Detail(M)'!L172,'FS_Detail(M)'!L177,'FS_Detail(M)'!L182,'FS_Detail(M)'!L187,'FS_Detail(M)'!L192,'FS_Detail(M)'!L197,'FS_Detail(M)'!L202,'FS_Detail(M)'!L207,'FS_Detail(M)'!L212)</f>
        <v>0</v>
      </c>
      <c r="L29" s="171">
        <f>SUM('FS_Detail(M)'!M172,'FS_Detail(M)'!M177,'FS_Detail(M)'!M182,'FS_Detail(M)'!M187,'FS_Detail(M)'!M192,'FS_Detail(M)'!M197,'FS_Detail(M)'!M202,'FS_Detail(M)'!M207,'FS_Detail(M)'!M212)</f>
        <v>127247.22698693516</v>
      </c>
      <c r="M29" s="171">
        <f>SUM('FS_Detail(M)'!N172,'FS_Detail(M)'!N177,'FS_Detail(M)'!N182,'FS_Detail(M)'!N187,'FS_Detail(M)'!N192,'FS_Detail(M)'!N197,'FS_Detail(M)'!N202,'FS_Detail(M)'!N207,'FS_Detail(M)'!N212)</f>
        <v>232987.10230720366</v>
      </c>
      <c r="N29" s="171">
        <f>SUM('FS_Detail(M)'!O172,'FS_Detail(M)'!O177,'FS_Detail(M)'!O182,'FS_Detail(M)'!O187,'FS_Detail(M)'!O192,'FS_Detail(M)'!O197,'FS_Detail(M)'!O202,'FS_Detail(M)'!O207,'FS_Detail(M)'!O212)</f>
        <v>188373.87105108876</v>
      </c>
      <c r="O29" s="171">
        <f>SUM('FS_Detail(M)'!P172,'FS_Detail(M)'!P177,'FS_Detail(M)'!P182,'FS_Detail(M)'!P187,'FS_Detail(M)'!P192,'FS_Detail(M)'!P197,'FS_Detail(M)'!P202,'FS_Detail(M)'!P207,'FS_Detail(M)'!P212)</f>
        <v>315621.09803802398</v>
      </c>
      <c r="P29" s="171">
        <f>SUM('FS_Detail(M)'!Q172,'FS_Detail(M)'!Q177,'FS_Detail(M)'!Q182,'FS_Detail(M)'!Q187,'FS_Detail(M)'!Q192,'FS_Detail(M)'!Q197,'FS_Detail(M)'!Q202,'FS_Detail(M)'!Q207,'FS_Detail(M)'!Q212)</f>
        <v>442868.32502495905</v>
      </c>
      <c r="Q29" s="171">
        <f>SUM('FS_Detail(M)'!R172,'FS_Detail(M)'!R177,'FS_Detail(M)'!R182,'FS_Detail(M)'!R187,'FS_Detail(M)'!R192,'FS_Detail(M)'!R197,'FS_Detail(M)'!R202,'FS_Detail(M)'!R207,'FS_Detail(M)'!R212)</f>
        <v>343237.67333333334</v>
      </c>
      <c r="R29" s="171">
        <f>SUM('FS_Detail(M)'!S172,'FS_Detail(M)'!S177,'FS_Detail(M)'!S182,'FS_Detail(M)'!S187,'FS_Detail(M)'!S192,'FS_Detail(M)'!S197,'FS_Detail(M)'!S202,'FS_Detail(M)'!S207,'FS_Detail(M)'!S212)</f>
        <v>470484.90032026847</v>
      </c>
      <c r="S29" s="171">
        <f>SUM('FS_Detail(M)'!T172,'FS_Detail(M)'!T177,'FS_Detail(M)'!T182,'FS_Detail(M)'!T187,'FS_Detail(M)'!T192,'FS_Detail(M)'!T197,'FS_Detail(M)'!T202,'FS_Detail(M)'!T207,'FS_Detail(M)'!T212)</f>
        <v>597732.1273072036</v>
      </c>
      <c r="T29" s="171">
        <f>SUM('FS_Detail(M)'!U172,'FS_Detail(M)'!U177,'FS_Detail(M)'!U182,'FS_Detail(M)'!U187,'FS_Detail(M)'!U192,'FS_Detail(M)'!U197,'FS_Detail(M)'!U202,'FS_Detail(M)'!U207,'FS_Detail(M)'!U212)</f>
        <v>398430.10605108878</v>
      </c>
      <c r="U29" s="171">
        <f>SUM('FS_Detail(M)'!V172,'FS_Detail(M)'!V177,'FS_Detail(M)'!V182,'FS_Detail(M)'!V187,'FS_Detail(M)'!V192,'FS_Detail(M)'!V197,'FS_Detail(M)'!V202,'FS_Detail(M)'!V207,'FS_Detail(M)'!V212)</f>
        <v>525677.33303802379</v>
      </c>
      <c r="V29" s="171">
        <f>SUM('FS_Detail(M)'!W172,'FS_Detail(M)'!W177,'FS_Detail(M)'!W182,'FS_Detail(M)'!W187,'FS_Detail(M)'!W192,'FS_Detail(M)'!W197,'FS_Detail(M)'!W202,'FS_Detail(M)'!W207,'FS_Detail(M)'!W212)</f>
        <v>291579.85835829243</v>
      </c>
      <c r="W29" s="171">
        <f>SUM('FS_Detail(M)'!X172,'FS_Detail(M)'!X177,'FS_Detail(M)'!X182,'FS_Detail(M)'!X187,'FS_Detail(M)'!X192,'FS_Detail(M)'!X197,'FS_Detail(M)'!X202,'FS_Detail(M)'!X207,'FS_Detail(M)'!X212)</f>
        <v>191949.20666666667</v>
      </c>
      <c r="X29" s="171">
        <f>SUM('FS_Detail(M)'!Y172,'FS_Detail(M)'!Y177,'FS_Detail(M)'!Y182,'FS_Detail(M)'!Y187,'FS_Detail(M)'!Y192,'FS_Detail(M)'!Y197,'FS_Detail(M)'!Y202,'FS_Detail(M)'!Y207,'FS_Detail(M)'!Y212)</f>
        <v>319382.51726193511</v>
      </c>
      <c r="Y29" s="171">
        <f>SUM('FS_Detail(M)'!Z172,'FS_Detail(M)'!Z177,'FS_Detail(M)'!Z182,'FS_Detail(M)'!Z187,'FS_Detail(M)'!Z192,'FS_Detail(M)'!Z197,'FS_Detail(M)'!Z202,'FS_Detail(M)'!Z207,'FS_Detail(M)'!Z212)</f>
        <v>317341.57082387031</v>
      </c>
      <c r="Z29" s="171">
        <f>SUM('FS_Detail(M)'!AA172,'FS_Detail(M)'!AA177,'FS_Detail(M)'!AA182,'FS_Detail(M)'!AA187,'FS_Detail(M)'!AA192,'FS_Detail(M)'!AA197,'FS_Detail(M)'!AA202,'FS_Detail(M)'!AA207,'FS_Detail(M)'!AA212)</f>
        <v>272914.42317608878</v>
      </c>
      <c r="AA29" s="171">
        <f>SUM('FS_Detail(M)'!AB172,'FS_Detail(M)'!AB177,'FS_Detail(M)'!AB182,'FS_Detail(M)'!AB187,'FS_Detail(M)'!AB192,'FS_Detail(M)'!AB197,'FS_Detail(M)'!AB202,'FS_Detail(M)'!AB207,'FS_Detail(M)'!AB212)</f>
        <v>400347.73377135728</v>
      </c>
      <c r="AB29" s="171">
        <f>SUM('FS_Detail(M)'!AC172,'FS_Detail(M)'!AC177,'FS_Detail(M)'!AC182,'FS_Detail(M)'!AC187,'FS_Detail(M)'!AC192,'FS_Detail(M)'!AC197,'FS_Detail(M)'!AC202,'FS_Detail(M)'!AC207,'FS_Detail(M)'!AC212)</f>
        <v>527781.04436662572</v>
      </c>
      <c r="AC29" s="171">
        <f>SUM('FS_Detail(M)'!AD172,'FS_Detail(M)'!AD177,'FS_Detail(M)'!AD182,'FS_Detail(M)'!AD187,'FS_Detail(M)'!AD192,'FS_Detail(M)'!AD197,'FS_Detail(M)'!AD202,'FS_Detail(M)'!AD207,'FS_Detail(M)'!AD212)</f>
        <v>427616.47628333332</v>
      </c>
      <c r="AD29" s="171">
        <f>SUM('FS_Detail(M)'!AE172,'FS_Detail(M)'!AE177,'FS_Detail(M)'!AE182,'FS_Detail(M)'!AE187,'FS_Detail(M)'!AE192,'FS_Detail(M)'!AE197,'FS_Detail(M)'!AE202,'FS_Detail(M)'!AE207,'FS_Detail(M)'!AE212)</f>
        <v>555049.78687860176</v>
      </c>
      <c r="AE29" s="171">
        <f>SUM('FS_Detail(M)'!AF172,'FS_Detail(M)'!AF177,'FS_Detail(M)'!AF182,'FS_Detail(M)'!AF187,'FS_Detail(M)'!AF192,'FS_Detail(M)'!AF197,'FS_Detail(M)'!AF202,'FS_Detail(M)'!AF207,'FS_Detail(M)'!AF212)</f>
        <v>682483.09747387026</v>
      </c>
      <c r="AF29" s="171">
        <f>SUM('FS_Detail(M)'!AG172,'FS_Detail(M)'!AG177,'FS_Detail(M)'!AG182,'FS_Detail(M)'!AG187,'FS_Detail(M)'!AG192,'FS_Detail(M)'!AG197,'FS_Detail(M)'!AG202,'FS_Detail(M)'!AG207,'FS_Detail(M)'!AG212)</f>
        <v>428710.45402608876</v>
      </c>
      <c r="AG29" s="171">
        <f>SUM('FS_Detail(M)'!AH172,'FS_Detail(M)'!AH177,'FS_Detail(M)'!AH182,'FS_Detail(M)'!AH187,'FS_Detail(M)'!AH192,'FS_Detail(M)'!AH197,'FS_Detail(M)'!AH202,'FS_Detail(M)'!AH207,'FS_Detail(M)'!AH212)</f>
        <v>556143.7646213572</v>
      </c>
      <c r="AH29" s="171">
        <f>SUM('FS_Detail(M)'!AI172,'FS_Detail(M)'!AI177,'FS_Detail(M)'!AI182,'FS_Detail(M)'!AI187,'FS_Detail(M)'!AI192,'FS_Detail(M)'!AI197,'FS_Detail(M)'!AI202,'FS_Detail(M)'!AI207,'FS_Detail(M)'!AI212)</f>
        <v>294803.02574162575</v>
      </c>
      <c r="AI29" s="171">
        <f>SUM('FS_Detail(M)'!AJ172,'FS_Detail(M)'!AJ177,'FS_Detail(M)'!AJ182,'FS_Detail(M)'!AJ187,'FS_Detail(M)'!AJ192,'FS_Detail(M)'!AJ197,'FS_Detail(M)'!AJ202,'FS_Detail(M)'!AJ207,'FS_Detail(M)'!AJ212)</f>
        <v>194638.4576583333</v>
      </c>
      <c r="AJ29" s="171">
        <f>SUM('FS_Detail(M)'!AK172,'FS_Detail(M)'!AK177,'FS_Detail(M)'!AK182,'FS_Detail(M)'!AK187,'FS_Detail(M)'!AK192,'FS_Detail(M)'!AK197,'FS_Detail(M)'!AK202,'FS_Detail(M)'!AK207,'FS_Detail(M)'!AK212)</f>
        <v>322278.81953122676</v>
      </c>
      <c r="AK29" s="171">
        <f>SUM('FS_Detail(M)'!AL172,'FS_Detail(M)'!AL177,'FS_Detail(M)'!AL182,'FS_Detail(M)'!AL187,'FS_Detail(M)'!AL192,'FS_Detail(M)'!AL197,'FS_Detail(M)'!AL202,'FS_Detail(M)'!AL207,'FS_Detail(M)'!AL212)</f>
        <v>317855.43923012028</v>
      </c>
      <c r="AL29" s="171">
        <f>SUM('FS_Detail(M)'!AM172,'FS_Detail(M)'!AM177,'FS_Detail(M)'!AM182,'FS_Detail(M)'!AM187,'FS_Detail(M)'!AM192,'FS_Detail(M)'!AM197,'FS_Detail(M)'!AM202,'FS_Detail(M)'!AM207,'FS_Detail(M)'!AM212)</f>
        <v>273635.34285996383</v>
      </c>
      <c r="AM29" s="171">
        <f>SUM('FS_Detail(M)'!AN172,'FS_Detail(M)'!AN177,'FS_Detail(M)'!AN182,'FS_Detail(M)'!AN187,'FS_Detail(M)'!AN192,'FS_Detail(M)'!AN197,'FS_Detail(M)'!AN202,'FS_Detail(M)'!AN207,'FS_Detail(M)'!AN212)</f>
        <v>401275.70473285724</v>
      </c>
      <c r="AN29" s="171">
        <f>SUM('FS_Detail(M)'!AO172,'FS_Detail(M)'!AO177,'FS_Detail(M)'!AO182,'FS_Detail(M)'!AO187,'FS_Detail(M)'!AO192,'FS_Detail(M)'!AO197,'FS_Detail(M)'!AO202,'FS_Detail(M)'!AO207,'FS_Detail(M)'!AO212)</f>
        <v>528916.0666057507</v>
      </c>
      <c r="AO29" s="171">
        <f>SUM('FS_Detail(M)'!AP172,'FS_Detail(M)'!AP177,'FS_Detail(M)'!AP182,'FS_Detail(M)'!AP187,'FS_Detail(M)'!AP192,'FS_Detail(M)'!AP197,'FS_Detail(M)'!AP202,'FS_Detail(M)'!AP207,'FS_Detail(M)'!AP212)</f>
        <v>428224.14980008331</v>
      </c>
      <c r="AP29" s="171">
        <f>SUM('FS_Detail(M)'!AQ172,'FS_Detail(M)'!AQ177,'FS_Detail(M)'!AQ182,'FS_Detail(M)'!AQ187,'FS_Detail(M)'!AQ192,'FS_Detail(M)'!AQ197,'FS_Detail(M)'!AQ202,'FS_Detail(M)'!AQ207,'FS_Detail(M)'!AQ212)</f>
        <v>555864.51167297678</v>
      </c>
      <c r="AQ29" s="171">
        <f>SUM('FS_Detail(M)'!AR172,'FS_Detail(M)'!AR177,'FS_Detail(M)'!AR182,'FS_Detail(M)'!AR187,'FS_Detail(M)'!AR192,'FS_Detail(M)'!AR197,'FS_Detail(M)'!AR202,'FS_Detail(M)'!AR207,'FS_Detail(M)'!AR212)</f>
        <v>683504.87354587018</v>
      </c>
      <c r="AR29" s="171">
        <f>SUM('FS_Detail(M)'!AS172,'FS_Detail(M)'!AS177,'FS_Detail(M)'!AS182,'FS_Detail(M)'!AS187,'FS_Detail(M)'!AS192,'FS_Detail(M)'!AS197,'FS_Detail(M)'!AS202,'FS_Detail(M)'!AS207,'FS_Detail(M)'!AS212)</f>
        <v>425752.37145971379</v>
      </c>
      <c r="AS29" s="171">
        <f>SUM('FS_Detail(M)'!AT172,'FS_Detail(M)'!AT177,'FS_Detail(M)'!AT182,'FS_Detail(M)'!AT187,'FS_Detail(M)'!AT192,'FS_Detail(M)'!AT197,'FS_Detail(M)'!AT202,'FS_Detail(M)'!AT207,'FS_Detail(M)'!AT212)</f>
        <v>553392.7333326072</v>
      </c>
      <c r="AT29" s="171">
        <f>SUM('FS_Detail(M)'!AU172,'FS_Detail(M)'!AU177,'FS_Detail(M)'!AU182,'FS_Detail(M)'!AU187,'FS_Detail(M)'!AU192,'FS_Detail(M)'!AU197,'FS_Detail(M)'!AU202,'FS_Detail(M)'!AU207,'FS_Detail(M)'!AU212)</f>
        <v>298090.65647262573</v>
      </c>
      <c r="AU29" s="171">
        <f>SUM('FS_Detail(M)'!AV172,'FS_Detail(M)'!AV177,'FS_Detail(M)'!AV182,'FS_Detail(M)'!AV187,'FS_Detail(M)'!AV192,'FS_Detail(M)'!AV197,'FS_Detail(M)'!AV202,'FS_Detail(M)'!AV207,'FS_Detail(M)'!AV212)</f>
        <v>197398.73966695834</v>
      </c>
      <c r="AV29" s="171">
        <f>SUM('FS_Detail(M)'!AW172,'FS_Detail(M)'!AW177,'FS_Detail(M)'!AW182,'FS_Detail(M)'!AW187,'FS_Detail(M)'!AW192,'FS_Detail(M)'!AW197,'FS_Detail(M)'!AW202,'FS_Detail(M)'!AW207,'FS_Detail(M)'!AW212)</f>
        <v>325267.28115019738</v>
      </c>
      <c r="AW29" s="171">
        <f>SUM('FS_Detail(M)'!AX172,'FS_Detail(M)'!AX177,'FS_Detail(M)'!AX182,'FS_Detail(M)'!AX187,'FS_Detail(M)'!AX192,'FS_Detail(M)'!AX197,'FS_Detail(M)'!AX202,'FS_Detail(M)'!AX207,'FS_Detail(M)'!AX212)</f>
        <v>318430.80561595655</v>
      </c>
      <c r="AX29" s="171">
        <f>SUM('FS_Detail(M)'!AY172,'FS_Detail(M)'!AY177,'FS_Detail(M)'!AY182,'FS_Detail(M)'!AY187,'FS_Detail(M)'!AY192,'FS_Detail(M)'!AY197,'FS_Detail(M)'!AY202,'FS_Detail(M)'!AY207,'FS_Detail(M)'!AY212)</f>
        <v>274438.88885614567</v>
      </c>
      <c r="AY29" s="171">
        <f>SUM('FS_Detail(M)'!AZ172,'FS_Detail(M)'!AZ177,'FS_Detail(M)'!AZ182,'FS_Detail(M)'!AZ187,'FS_Detail(M)'!AZ192,'FS_Detail(M)'!AZ197,'FS_Detail(M)'!AZ202,'FS_Detail(M)'!AZ207,'FS_Detail(M)'!AZ212)</f>
        <v>402307.43033938477</v>
      </c>
      <c r="AZ29" s="171">
        <f>SUM('FS_Detail(M)'!BA172,'FS_Detail(M)'!BA177,'FS_Detail(M)'!BA182,'FS_Detail(M)'!BA187,'FS_Detail(M)'!BA192,'FS_Detail(M)'!BA197,'FS_Detail(M)'!BA202,'FS_Detail(M)'!BA207,'FS_Detail(M)'!BA212)</f>
        <v>530175.97182262386</v>
      </c>
      <c r="BA29" s="171">
        <f>SUM('FS_Detail(M)'!BB172,'FS_Detail(M)'!BB177,'FS_Detail(M)'!BB182,'FS_Detail(M)'!BB187,'FS_Detail(M)'!BB192,'FS_Detail(M)'!BB197,'FS_Detail(M)'!BB202,'FS_Detail(M)'!BB207,'FS_Detail(M)'!BB212)</f>
        <v>428963.14662730205</v>
      </c>
      <c r="BB29" s="171">
        <f>SUM('FS_Detail(M)'!BC172,'FS_Detail(M)'!BC177,'FS_Detail(M)'!BC182,'FS_Detail(M)'!BC187,'FS_Detail(M)'!BC192,'FS_Detail(M)'!BC197,'FS_Detail(M)'!BC202,'FS_Detail(M)'!BC207,'FS_Detail(M)'!BC212)</f>
        <v>556831.68811054109</v>
      </c>
      <c r="BC29" s="171">
        <f>SUM('FS_Detail(M)'!BD172,'FS_Detail(M)'!BD177,'FS_Detail(M)'!BD182,'FS_Detail(M)'!BD187,'FS_Detail(M)'!BD192,'FS_Detail(M)'!BD197,'FS_Detail(M)'!BD202,'FS_Detail(M)'!BD207,'FS_Detail(M)'!BD212)</f>
        <v>684700.22959378036</v>
      </c>
      <c r="BD29" s="171">
        <f>SUM('FS_Detail(M)'!BE172,'FS_Detail(M)'!BE177,'FS_Detail(M)'!BE182,'FS_Detail(M)'!BE187,'FS_Detail(M)'!BE192,'FS_Detail(M)'!BE197,'FS_Detail(M)'!BE202,'FS_Detail(M)'!BE207,'FS_Detail(M)'!BE212)</f>
        <v>422905.25900364941</v>
      </c>
      <c r="BE29" s="171">
        <f>SUM('FS_Detail(M)'!BF172,'FS_Detail(M)'!BF177,'FS_Detail(M)'!BF182,'FS_Detail(M)'!BF187,'FS_Detail(M)'!BF192,'FS_Detail(M)'!BF197,'FS_Detail(M)'!BF202,'FS_Detail(M)'!BF207,'FS_Detail(M)'!BF212)</f>
        <v>550773.8004868885</v>
      </c>
      <c r="BF29" s="171">
        <f>SUM('FS_Detail(M)'!BG172,'FS_Detail(M)'!BG177,'FS_Detail(M)'!BG182,'FS_Detail(M)'!BG187,'FS_Detail(M)'!BG192,'FS_Detail(M)'!BG197,'FS_Detail(M)'!BG202,'FS_Detail(M)'!BG207,'FS_Detail(M)'!BG212)</f>
        <v>301444.03981824574</v>
      </c>
      <c r="BG29" s="171">
        <f>SUM('FS_Detail(M)'!BH172,'FS_Detail(M)'!BH177,'FS_Detail(M)'!BH182,'FS_Detail(M)'!BH187,'FS_Detail(M)'!BH192,'FS_Detail(M)'!BH197,'FS_Detail(M)'!BH202,'FS_Detail(M)'!BH207,'FS_Detail(M)'!BH212)</f>
        <v>200231.21462292396</v>
      </c>
      <c r="BH29" s="171">
        <f>SUM('FS_Detail(M)'!BI172,'FS_Detail(M)'!BI177,'FS_Detail(M)'!BI182,'FS_Detail(M)'!BI187,'FS_Detail(M)'!BI192,'FS_Detail(M)'!BI197,'FS_Detail(M)'!BI202,'FS_Detail(M)'!BI207,'FS_Detail(M)'!BI212)</f>
        <v>328349.23180627625</v>
      </c>
      <c r="BI29" s="171">
        <f>SUM('FS_Detail(M)'!BJ172,'FS_Detail(M)'!BJ177,'FS_Detail(M)'!BJ182,'FS_Detail(M)'!BJ187,'FS_Detail(M)'!BJ192,'FS_Detail(M)'!BJ197,'FS_Detail(M)'!BJ202,'FS_Detail(M)'!BJ207,'FS_Detail(M)'!BJ212)</f>
        <v>319068.13163179887</v>
      </c>
      <c r="BJ29" s="171">
        <f>SUM('FS_Detail(M)'!BK172,'FS_Detail(M)'!BK177,'FS_Detail(M)'!BK182,'FS_Detail(M)'!BK187,'FS_Detail(M)'!BK192,'FS_Detail(M)'!BK197,'FS_Detail(M)'!BK202,'FS_Detail(M)'!BK207,'FS_Detail(M)'!BK212)</f>
        <v>275325.6905721011</v>
      </c>
      <c r="BK29" s="171">
        <f>SUM('FS_Detail(M)'!BL172,'FS_Detail(M)'!BL177,'FS_Detail(M)'!BL182,'FS_Detail(M)'!BL187,'FS_Detail(M)'!BL192,'FS_Detail(M)'!BL197,'FS_Detail(M)'!BL202,'FS_Detail(M)'!BL207,'FS_Detail(M)'!BL212)</f>
        <v>403443.70775545336</v>
      </c>
      <c r="BL29" s="171">
        <f>SUM('FS_Detail(M)'!BM172,'FS_Detail(M)'!BM177,'FS_Detail(M)'!BM182,'FS_Detail(M)'!BM187,'FS_Detail(M)'!BM192,'FS_Detail(M)'!BM197,'FS_Detail(M)'!BM202,'FS_Detail(M)'!BM207,'FS_Detail(M)'!BM212)</f>
        <v>531561.72493880568</v>
      </c>
      <c r="BM29" s="171">
        <f>SUM('FS_Detail(M)'!BN172,'FS_Detail(M)'!BN177,'FS_Detail(M)'!BN182,'FS_Detail(M)'!BN187,'FS_Detail(M)'!BN192,'FS_Detail(M)'!BN197,'FS_Detail(M)'!BN202,'FS_Detail(M)'!BN207,'FS_Detail(M)'!BN212)</f>
        <v>429834.30568359699</v>
      </c>
      <c r="BN29" s="171">
        <f>SUM('FS_Detail(M)'!BO172,'FS_Detail(M)'!BO177,'FS_Detail(M)'!BO182,'FS_Detail(M)'!BO187,'FS_Detail(M)'!BO192,'FS_Detail(M)'!BO197,'FS_Detail(M)'!BO202,'FS_Detail(M)'!BO207,'FS_Detail(M)'!BO212)</f>
        <v>557952.32286694925</v>
      </c>
      <c r="BO29" s="171">
        <f>SUM('FS_Detail(M)'!BP172,'FS_Detail(M)'!BP177,'FS_Detail(M)'!BP182,'FS_Detail(M)'!BP187,'FS_Detail(M)'!BP192,'FS_Detail(M)'!BP197,'FS_Detail(M)'!BP202,'FS_Detail(M)'!BP207,'FS_Detail(M)'!BP212)</f>
        <v>686070.34005030151</v>
      </c>
      <c r="BP29" s="171">
        <f>SUM('FS_Detail(M)'!BQ172,'FS_Detail(M)'!BQ177,'FS_Detail(M)'!BQ182,'FS_Detail(M)'!BQ187,'FS_Detail(M)'!BQ192,'FS_Detail(M)'!BQ197,'FS_Detail(M)'!BQ202,'FS_Detail(M)'!BQ207,'FS_Detail(M)'!BQ212)</f>
        <v>420168.78408367728</v>
      </c>
      <c r="BQ29" s="171">
        <f>SUM('FS_Detail(M)'!BR172,'FS_Detail(M)'!BR177,'FS_Detail(M)'!BR182,'FS_Detail(M)'!BR187,'FS_Detail(M)'!BR192,'FS_Detail(M)'!BR197,'FS_Detail(M)'!BR202,'FS_Detail(M)'!BR207,'FS_Detail(M)'!BR212)</f>
        <v>548286.80126702948</v>
      </c>
      <c r="BR29" s="171">
        <f>SUM('FS_Detail(M)'!BS172,'FS_Detail(M)'!BS177,'FS_Detail(M)'!BS182,'FS_Detail(M)'!BS187,'FS_Detail(M)'!BS192,'FS_Detail(M)'!BS197,'FS_Detail(M)'!BS202,'FS_Detail(M)'!BS207,'FS_Detail(M)'!BS212)</f>
        <v>304864.49083077814</v>
      </c>
      <c r="BS29" s="171">
        <f>SUM('FS_Detail(M)'!BT172,'FS_Detail(M)'!BT177,'FS_Detail(M)'!BT182,'FS_Detail(M)'!BT187,'FS_Detail(M)'!BT192,'FS_Detail(M)'!BT197,'FS_Detail(M)'!BT202,'FS_Detail(M)'!BT207,'FS_Detail(M)'!BT212)</f>
        <v>203137.07157556948</v>
      </c>
      <c r="BT29" s="171">
        <f>SUM('FS_Detail(M)'!BU172,'FS_Detail(M)'!BU177,'FS_Detail(M)'!BU182,'FS_Detail(M)'!BU187,'FS_Detail(M)'!BU192,'FS_Detail(M)'!BU197,'FS_Detail(M)'!BU202,'FS_Detail(M)'!BU207,'FS_Detail(M)'!BU212)</f>
        <v>331526.03548313433</v>
      </c>
      <c r="BU29" s="171">
        <f>SUM('FS_Detail(M)'!BV172,'FS_Detail(M)'!BV177,'FS_Detail(M)'!BV182,'FS_Detail(M)'!BV187,'FS_Detail(M)'!BV192,'FS_Detail(M)'!BV197,'FS_Detail(M)'!BV202,'FS_Detail(M)'!BV207,'FS_Detail(M)'!BV212)</f>
        <v>319767.899685713</v>
      </c>
      <c r="BV29" s="171">
        <f>SUM('FS_Detail(M)'!BW172,'FS_Detail(M)'!BW177,'FS_Detail(M)'!BW182,'FS_Detail(M)'!BW187,'FS_Detail(M)'!BW192,'FS_Detail(M)'!BW197,'FS_Detail(M)'!BW202,'FS_Detail(M)'!BW207,'FS_Detail(M)'!BW212)</f>
        <v>276296.4053502279</v>
      </c>
      <c r="BW29" s="171">
        <f>SUM('FS_Detail(M)'!BX172,'FS_Detail(M)'!BX177,'FS_Detail(M)'!BX182,'FS_Detail(M)'!BX187,'FS_Detail(M)'!BX192,'FS_Detail(M)'!BX197,'FS_Detail(M)'!BX202,'FS_Detail(M)'!BX207,'FS_Detail(M)'!BX212)</f>
        <v>404685.36925779266</v>
      </c>
      <c r="BX29" s="171">
        <f>SUM('FS_Detail(M)'!BY172,'FS_Detail(M)'!BY177,'FS_Detail(M)'!BY182,'FS_Detail(M)'!BY187,'FS_Detail(M)'!BY192,'FS_Detail(M)'!BY197,'FS_Detail(M)'!BY202,'FS_Detail(M)'!BY207,'FS_Detail(M)'!BY212)</f>
        <v>533074.33316535747</v>
      </c>
      <c r="BY29" s="171">
        <f>SUM('FS_Detail(M)'!BZ172,'FS_Detail(M)'!BZ177,'FS_Detail(M)'!BZ182,'FS_Detail(M)'!BZ187,'FS_Detail(M)'!BZ192,'FS_Detail(M)'!BZ197,'FS_Detail(M)'!BZ202,'FS_Detail(M)'!BZ207,'FS_Detail(M)'!BZ212)</f>
        <v>430838.50947916147</v>
      </c>
      <c r="BZ29" s="171">
        <f>SUM('FS_Detail(M)'!CA172,'FS_Detail(M)'!CA177,'FS_Detail(M)'!CA182,'FS_Detail(M)'!CA187,'FS_Detail(M)'!CA192,'FS_Detail(M)'!CA197,'FS_Detail(M)'!CA202,'FS_Detail(M)'!CA207,'FS_Detail(M)'!CA212)</f>
        <v>559227.47338672634</v>
      </c>
      <c r="CA29" s="171">
        <f>SUM('FS_Detail(M)'!CB172,'FS_Detail(M)'!CB177,'FS_Detail(M)'!CB182,'FS_Detail(M)'!CB187,'FS_Detail(M)'!CB192,'FS_Detail(M)'!CB197,'FS_Detail(M)'!CB202,'FS_Detail(M)'!CB207,'FS_Detail(M)'!CB212)</f>
        <v>687616.4372942911</v>
      </c>
      <c r="CB29" s="171">
        <f>SUM('FS_Detail(M)'!CC172,'FS_Detail(M)'!CC177,'FS_Detail(M)'!CC182,'FS_Detail(M)'!CC187,'FS_Detail(M)'!CC192,'FS_Detail(M)'!CC197,'FS_Detail(M)'!CC202,'FS_Detail(M)'!CC207,'FS_Detail(M)'!CC212)</f>
        <v>417542.64575374121</v>
      </c>
      <c r="CC29" s="171">
        <f>SUM('FS_Detail(M)'!CD172,'FS_Detail(M)'!CD177,'FS_Detail(M)'!CD182,'FS_Detail(M)'!CD187,'FS_Detail(M)'!CD192,'FS_Detail(M)'!CD197,'FS_Detail(M)'!CD202,'FS_Detail(M)'!CD207,'FS_Detail(M)'!CD212)</f>
        <v>545931.60966130602</v>
      </c>
      <c r="CD29" s="171">
        <f>SUM('FS_Detail(M)'!CE172,'FS_Detail(M)'!CE177,'FS_Detail(M)'!CE182,'FS_Detail(M)'!CE187,'FS_Detail(M)'!CE192,'FS_Detail(M)'!CE197,'FS_Detail(M)'!CE202,'FS_Detail(M)'!CE207,'FS_Detail(M)'!CE212)</f>
        <v>308353.35086356121</v>
      </c>
      <c r="CE29" s="171">
        <f>SUM('FS_Detail(M)'!CF172,'FS_Detail(M)'!CF177,'FS_Detail(M)'!CF182,'FS_Detail(M)'!CF187,'FS_Detail(M)'!CF192,'FS_Detail(M)'!CF197,'FS_Detail(M)'!CF202,'FS_Detail(M)'!CF207,'FS_Detail(M)'!CF212)</f>
        <v>206117.52717736518</v>
      </c>
      <c r="CF29" s="171">
        <f>SUM('FS_Detail(M)'!CG172,'FS_Detail(M)'!CG177,'FS_Detail(M)'!CG182,'FS_Detail(M)'!CG187,'FS_Detail(M)'!CG192,'FS_Detail(M)'!CG197,'FS_Detail(M)'!CG202,'FS_Detail(M)'!CG207,'FS_Detail(M)'!CG212)</f>
        <v>334799.09103107254</v>
      </c>
      <c r="CG29" s="171">
        <f>SUM('FS_Detail(M)'!CH172,'FS_Detail(M)'!CH177,'FS_Detail(M)'!CH182,'FS_Detail(M)'!CH187,'FS_Detail(M)'!CH192,'FS_Detail(M)'!CH197,'FS_Detail(M)'!CH202,'FS_Detail(M)'!CH207,'FS_Detail(M)'!CH212)</f>
        <v>320530.61318569409</v>
      </c>
      <c r="CH29" s="171">
        <f>SUM('FS_Detail(M)'!CI172,'FS_Detail(M)'!CI177,'FS_Detail(M)'!CI182,'FS_Detail(M)'!CI187,'FS_Detail(M)'!CI192,'FS_Detail(M)'!CI197,'FS_Detail(M)'!CI202,'FS_Detail(M)'!CI207,'FS_Detail(M)'!CI212)</f>
        <v>277351.71879635158</v>
      </c>
      <c r="CI29" s="171">
        <f>SUM('FS_Detail(M)'!CJ172,'FS_Detail(M)'!CJ177,'FS_Detail(M)'!CJ182,'FS_Detail(M)'!CJ187,'FS_Detail(M)'!CJ192,'FS_Detail(M)'!CJ197,'FS_Detail(M)'!CJ202,'FS_Detail(M)'!CJ207,'FS_Detail(M)'!CJ212)</f>
        <v>406033.28265005903</v>
      </c>
      <c r="CJ29" s="171">
        <f>SUM('FS_Detail(M)'!CK172,'FS_Detail(M)'!CK177,'FS_Detail(M)'!CK182,'FS_Detail(M)'!CK187,'FS_Detail(M)'!CK192,'FS_Detail(M)'!CK197,'FS_Detail(M)'!CK202,'FS_Detail(M)'!CK207,'FS_Detail(M)'!CK212)</f>
        <v>534714.84650376637</v>
      </c>
      <c r="CK29" s="171">
        <f>SUM('FS_Detail(M)'!CL172,'FS_Detail(M)'!CL177,'FS_Detail(M)'!CL182,'FS_Detail(M)'!CL187,'FS_Detail(M)'!CL192,'FS_Detail(M)'!CL197,'FS_Detail(M)'!CL202,'FS_Detail(M)'!CL207,'FS_Detail(M)'!CL212)</f>
        <v>431976.68458540895</v>
      </c>
      <c r="CL29" s="171">
        <f>SUM('FS_Detail(M)'!CM172,'FS_Detail(M)'!CM177,'FS_Detail(M)'!CM182,'FS_Detail(M)'!CM187,'FS_Detail(M)'!CM192,'FS_Detail(M)'!CM197,'FS_Detail(M)'!CM202,'FS_Detail(M)'!CM207,'FS_Detail(M)'!CM212)</f>
        <v>560658.2484391164</v>
      </c>
      <c r="CM29" s="171">
        <f>SUM('FS_Detail(M)'!CN172,'FS_Detail(M)'!CN177,'FS_Detail(M)'!CN182,'FS_Detail(M)'!CN187,'FS_Detail(M)'!CN192,'FS_Detail(M)'!CN197,'FS_Detail(M)'!CN202,'FS_Detail(M)'!CN207,'FS_Detail(M)'!CN212)</f>
        <v>689339.8122928238</v>
      </c>
      <c r="CN29" s="171">
        <f>SUM('FS_Detail(M)'!CO172,'FS_Detail(M)'!CO177,'FS_Detail(M)'!CO182,'FS_Detail(M)'!CO187,'FS_Detail(M)'!CO192,'FS_Detail(M)'!CO197,'FS_Detail(M)'!CO202,'FS_Detail(M)'!CO207,'FS_Detail(M)'!CO212)</f>
        <v>415026.57475431502</v>
      </c>
      <c r="CO29" s="171">
        <f>SUM('FS_Detail(M)'!CP172,'FS_Detail(M)'!CP177,'FS_Detail(M)'!CP182,'FS_Detail(M)'!CP187,'FS_Detail(M)'!CP192,'FS_Detail(M)'!CP197,'FS_Detail(M)'!CP202,'FS_Detail(M)'!CP207,'FS_Detail(M)'!CP212)</f>
        <v>543708.13860802236</v>
      </c>
      <c r="CP29" s="171">
        <f>SUM('FS_Detail(M)'!CQ172,'FS_Detail(M)'!CQ177,'FS_Detail(M)'!CQ182,'FS_Detail(M)'!CQ187,'FS_Detail(M)'!CQ192,'FS_Detail(M)'!CQ197,'FS_Detail(M)'!CQ202,'FS_Detail(M)'!CQ207,'FS_Detail(M)'!CQ212)</f>
        <v>311911.98809699994</v>
      </c>
      <c r="CQ29" s="171">
        <f>SUM('FS_Detail(M)'!CR172,'FS_Detail(M)'!CR177,'FS_Detail(M)'!CR182,'FS_Detail(M)'!CR187,'FS_Detail(M)'!CR192,'FS_Detail(M)'!CR197,'FS_Detail(M)'!CR202,'FS_Detail(M)'!CR207,'FS_Detail(M)'!CR212)</f>
        <v>209173.82617864243</v>
      </c>
      <c r="CR29" s="171">
        <f>SUM('FS_Detail(M)'!CS172,'FS_Detail(M)'!CS177,'FS_Detail(M)'!CS182,'FS_Detail(M)'!CS187,'FS_Detail(M)'!CS192,'FS_Detail(M)'!CS197,'FS_Detail(M)'!CS202,'FS_Detail(M)'!CS207,'FS_Detail(M)'!CS212)</f>
        <v>338169.83275054931</v>
      </c>
      <c r="CS29" s="171">
        <f>SUM('FS_Detail(M)'!CT172,'FS_Detail(M)'!CT177,'FS_Detail(M)'!CT182,'FS_Detail(M)'!CT187,'FS_Detail(M)'!CT192,'FS_Detail(M)'!CT197,'FS_Detail(M)'!CT202,'FS_Detail(M)'!CT207,'FS_Detail(M)'!CT212)</f>
        <v>321356.79678938864</v>
      </c>
      <c r="CT29" s="171">
        <f>SUM('FS_Detail(M)'!CU172,'FS_Detail(M)'!CU177,'FS_Detail(M)'!CU182,'FS_Detail(M)'!CU187,'FS_Detail(M)'!CU192,'FS_Detail(M)'!CU197,'FS_Detail(M)'!CU202,'FS_Detail(M)'!CU207,'FS_Detail(M)'!CU212)</f>
        <v>278492.34511824558</v>
      </c>
      <c r="CU29" s="171">
        <f>SUM('FS_Detail(M)'!CV172,'FS_Detail(M)'!CV177,'FS_Detail(M)'!CV182,'FS_Detail(M)'!CV187,'FS_Detail(M)'!CV192,'FS_Detail(M)'!CV197,'FS_Detail(M)'!CV202,'FS_Detail(M)'!CV207,'FS_Detail(M)'!CV212)</f>
        <v>407488.35169015249</v>
      </c>
      <c r="CV29" s="171">
        <f>SUM('FS_Detail(M)'!CW172,'FS_Detail(M)'!CW177,'FS_Detail(M)'!CW182,'FS_Detail(M)'!CW187,'FS_Detail(M)'!CW192,'FS_Detail(M)'!CW197,'FS_Detail(M)'!CW202,'FS_Detail(M)'!CW207,'FS_Detail(M)'!CW212)</f>
        <v>536484.35826205951</v>
      </c>
      <c r="CW29" s="171">
        <f>SUM('FS_Detail(M)'!CX172,'FS_Detail(M)'!CX177,'FS_Detail(M)'!CX182,'FS_Detail(M)'!CX187,'FS_Detail(M)'!CX192,'FS_Detail(M)'!CX197,'FS_Detail(M)'!CX202,'FS_Detail(M)'!CX207,'FS_Detail(M)'!CX212)</f>
        <v>433249.80212003132</v>
      </c>
      <c r="CX29" s="171">
        <f>SUM('FS_Detail(M)'!CY172,'FS_Detail(M)'!CY177,'FS_Detail(M)'!CY182,'FS_Detail(M)'!CY187,'FS_Detail(M)'!CY192,'FS_Detail(M)'!CY197,'FS_Detail(M)'!CY202,'FS_Detail(M)'!CY207,'FS_Detail(M)'!CY212)</f>
        <v>562245.80869193817</v>
      </c>
      <c r="CY29" s="171">
        <f>SUM('FS_Detail(M)'!CZ172,'FS_Detail(M)'!CZ177,'FS_Detail(M)'!CZ182,'FS_Detail(M)'!CZ187,'FS_Detail(M)'!CZ192,'FS_Detail(M)'!CZ197,'FS_Detail(M)'!CZ202,'FS_Detail(M)'!CZ207,'FS_Detail(M)'!CZ212)</f>
        <v>691241.81526384503</v>
      </c>
      <c r="CZ29" s="171">
        <f>SUM('FS_Detail(M)'!DA172,'FS_Detail(M)'!DA177,'FS_Detail(M)'!DA182,'FS_Detail(M)'!DA187,'FS_Detail(M)'!DA192,'FS_Detail(M)'!DA197,'FS_Detail(M)'!DA202,'FS_Detail(M)'!DA207,'FS_Detail(M)'!DA212)</f>
        <v>412620.3335805526</v>
      </c>
      <c r="DA29" s="171">
        <f>SUM('FS_Detail(M)'!DB172,'FS_Detail(M)'!DB177,'FS_Detail(M)'!DB182,'FS_Detail(M)'!DB187,'FS_Detail(M)'!DB192,'FS_Detail(M)'!DB197,'FS_Detail(M)'!DB202,'FS_Detail(M)'!DB207,'FS_Detail(M)'!DB212)</f>
        <v>541616.34015245945</v>
      </c>
      <c r="DB29" s="171">
        <f>SUM('FS_Detail(M)'!DC172,'FS_Detail(M)'!DC177,'FS_Detail(M)'!DC182,'FS_Detail(M)'!DC187,'FS_Detail(M)'!DC192,'FS_Detail(M)'!DC197,'FS_Detail(M)'!DC202,'FS_Detail(M)'!DC207,'FS_Detail(M)'!DC212)</f>
        <v>315541.79807510733</v>
      </c>
      <c r="DC29" s="171">
        <f>SUM('FS_Detail(M)'!DD172,'FS_Detail(M)'!DD177,'FS_Detail(M)'!DD182,'FS_Detail(M)'!DD187,'FS_Detail(M)'!DD192,'FS_Detail(M)'!DD197,'FS_Detail(M)'!DD202,'FS_Detail(M)'!DD207,'FS_Detail(M)'!DD212)</f>
        <v>212307.24193307932</v>
      </c>
      <c r="DD29" s="171">
        <f>SUM('FS_Detail(M)'!DE172,'FS_Detail(M)'!DE177,'FS_Detail(M)'!DE182,'FS_Detail(M)'!DE187,'FS_Detail(M)'!DE192,'FS_Detail(M)'!DE197,'FS_Detail(M)'!DE202,'FS_Detail(M)'!DE207,'FS_Detail(M)'!DE212)</f>
        <v>341639.73098908667</v>
      </c>
      <c r="DE29" s="171">
        <f>SUM('FS_Detail(M)'!DF172,'FS_Detail(M)'!DF177,'FS_Detail(M)'!DF182,'FS_Detail(M)'!DF187,'FS_Detail(M)'!DF192,'FS_Detail(M)'!DF197,'FS_Detail(M)'!DF202,'FS_Detail(M)'!DF207,'FS_Detail(M)'!DF212)</f>
        <v>322246.99666136521</v>
      </c>
      <c r="DF29" s="171">
        <f>SUM('FS_Detail(M)'!DG172,'FS_Detail(M)'!DG177,'FS_Detail(M)'!DG182,'FS_Detail(M)'!DG187,'FS_Detail(M)'!DG192,'FS_Detail(M)'!DG197,'FS_Detail(M)'!DG202,'FS_Detail(M)'!DG207,'FS_Detail(M)'!DG212)</f>
        <v>279719.02747432265</v>
      </c>
      <c r="DG29" s="171">
        <f>SUM('FS_Detail(M)'!DH172,'FS_Detail(M)'!DH177,'FS_Detail(M)'!DH182,'FS_Detail(M)'!DH187,'FS_Detail(M)'!DH192,'FS_Detail(M)'!DH197,'FS_Detail(M)'!DH202,'FS_Detail(M)'!DH207,'FS_Detail(M)'!DH212)</f>
        <v>409051.51653033</v>
      </c>
      <c r="DH29" s="171">
        <f>SUM('FS_Detail(M)'!DI172,'FS_Detail(M)'!DI177,'FS_Detail(M)'!DI182,'FS_Detail(M)'!DI187,'FS_Detail(M)'!DI192,'FS_Detail(M)'!DI197,'FS_Detail(M)'!DI202,'FS_Detail(M)'!DI207,'FS_Detail(M)'!DI212)</f>
        <v>538384.00558633753</v>
      </c>
      <c r="DI29" s="171">
        <f>SUM('FS_Detail(M)'!DJ172,'FS_Detail(M)'!DJ177,'FS_Detail(M)'!DJ182,'FS_Detail(M)'!DJ187,'FS_Detail(M)'!DJ192,'FS_Detail(M)'!DJ197,'FS_Detail(M)'!DJ202,'FS_Detail(M)'!DJ207,'FS_Detail(M)'!DJ212)</f>
        <v>434658.87824770249</v>
      </c>
      <c r="DJ29" s="171">
        <f>SUM('FS_Detail(M)'!DK172,'FS_Detail(M)'!DK177,'FS_Detail(M)'!DK182,'FS_Detail(M)'!DK187,'FS_Detail(M)'!DK192,'FS_Detail(M)'!DK197,'FS_Detail(M)'!DK202,'FS_Detail(M)'!DK207,'FS_Detail(M)'!DK212)</f>
        <v>563991.36730370985</v>
      </c>
      <c r="DK29" s="171">
        <f>SUM('FS_Detail(M)'!DL172,'FS_Detail(M)'!DL177,'FS_Detail(M)'!DL182,'FS_Detail(M)'!DL187,'FS_Detail(M)'!DL192,'FS_Detail(M)'!DL197,'FS_Detail(M)'!DL202,'FS_Detail(M)'!DL207,'FS_Detail(M)'!DL212)</f>
        <v>693323.8563597172</v>
      </c>
      <c r="DL29" s="171">
        <f>SUM('FS_Detail(M)'!DM172,'FS_Detail(M)'!DM177,'FS_Detail(M)'!DM182,'FS_Detail(M)'!DM187,'FS_Detail(M)'!DM192,'FS_Detail(M)'!DM197,'FS_Detail(M)'!DM202,'FS_Detail(M)'!DM207,'FS_Detail(M)'!DM212)</f>
        <v>410323.71656028228</v>
      </c>
      <c r="DM29" s="171">
        <f>SUM('FS_Detail(M)'!DN172,'FS_Detail(M)'!DN177,'FS_Detail(M)'!DN182,'FS_Detail(M)'!DN187,'FS_Detail(M)'!DN192,'FS_Detail(M)'!DN197,'FS_Detail(M)'!DN202,'FS_Detail(M)'!DN207,'FS_Detail(M)'!DN212)</f>
        <v>539656.20561628963</v>
      </c>
      <c r="DN29" s="171">
        <f>SUM('FS_Detail(M)'!DO172,'FS_Detail(M)'!DO177,'FS_Detail(M)'!DO182,'FS_Detail(M)'!DO187,'FS_Detail(M)'!DO192,'FS_Detail(M)'!DO197,'FS_Detail(M)'!DO202,'FS_Detail(M)'!DO207,'FS_Detail(M)'!DO212)</f>
        <v>319244.20425277698</v>
      </c>
      <c r="DO29" s="171">
        <f>SUM('FS_Detail(M)'!DP172,'FS_Detail(M)'!DP177,'FS_Detail(M)'!DP182,'FS_Detail(M)'!DP187,'FS_Detail(M)'!DP192,'FS_Detail(M)'!DP197,'FS_Detail(M)'!DP202,'FS_Detail(M)'!DP207,'FS_Detail(M)'!DP212)</f>
        <v>215519.076914142</v>
      </c>
      <c r="DP29" s="171">
        <f>SUM('FS_Detail(M)'!DQ172,'FS_Detail(M)'!DQ177,'FS_Detail(M)'!DQ182,'FS_Detail(M)'!DQ187,'FS_Detail(M)'!DQ192,'FS_Detail(M)'!DQ197,'FS_Detail(M)'!DQ202,'FS_Detail(M)'!DQ207,'FS_Detail(M)'!DQ212)</f>
        <v>345210.29275179596</v>
      </c>
      <c r="DQ29" s="171">
        <f>SUM('FS_Detail(M)'!DR172,'FS_Detail(M)'!DR177,'FS_Detail(M)'!DR182,'FS_Detail(M)'!DR187,'FS_Detail(M)'!DR192,'FS_Detail(M)'!DR197,'FS_Detail(M)'!DR202,'FS_Detail(M)'!DR207,'FS_Detail(M)'!DR212)</f>
        <v>323201.78073804628</v>
      </c>
      <c r="DR29" s="171">
        <f>SUM('FS_Detail(M)'!DS172,'FS_Detail(M)'!DS177,'FS_Detail(M)'!DS182,'FS_Detail(M)'!DS187,'FS_Detail(M)'!DS192,'FS_Detail(M)'!DS197,'FS_Detail(M)'!DS202,'FS_Detail(M)'!DS207,'FS_Detail(M)'!DS212)</f>
        <v>281032.53833265026</v>
      </c>
      <c r="DS29" s="171">
        <f>SUM('FS_Detail(M)'!DT172,'FS_Detail(M)'!DT177,'FS_Detail(M)'!DT182,'FS_Detail(M)'!DT187,'FS_Detail(M)'!DT192,'FS_Detail(M)'!DT197,'FS_Detail(M)'!DT202,'FS_Detail(M)'!DT207,'FS_Detail(M)'!DT212)</f>
        <v>410723.75417030422</v>
      </c>
      <c r="DT29" s="171">
        <f>SUM('FS_Detail(M)'!DU172,'FS_Detail(M)'!DU177,'FS_Detail(M)'!DU182,'FS_Detail(M)'!DU187,'FS_Detail(M)'!DU192,'FS_Detail(M)'!DU197,'FS_Detail(M)'!DU202,'FS_Detail(M)'!DU207,'FS_Detail(M)'!DU212)</f>
        <v>540414.97000795812</v>
      </c>
      <c r="DU29" s="171">
        <f>SUM('FS_Detail(M)'!DV172,'FS_Detail(M)'!DV177,'FS_Detail(M)'!DV182,'FS_Detail(M)'!DV187,'FS_Detail(M)'!DV192,'FS_Detail(M)'!DV197,'FS_Detail(M)'!DV202,'FS_Detail(M)'!DV207,'FS_Detail(M)'!DV212)</f>
        <v>436204.97469664802</v>
      </c>
      <c r="DV29" s="171">
        <f>SUM('FS_Detail(M)'!DW172,'FS_Detail(M)'!DW177,'FS_Detail(M)'!DW182,'FS_Detail(M)'!DW187,'FS_Detail(M)'!DW192,'FS_Detail(M)'!DW197,'FS_Detail(M)'!DW202,'FS_Detail(M)'!DW207,'FS_Detail(M)'!DW212)</f>
        <v>565896.19053430192</v>
      </c>
      <c r="DW29" s="171">
        <f>SUM('FS_Detail(M)'!DX172,'FS_Detail(M)'!DX177,'FS_Detail(M)'!DX182,'FS_Detail(M)'!DX187,'FS_Detail(M)'!DX192,'FS_Detail(M)'!DX197,'FS_Detail(M)'!DX202,'FS_Detail(M)'!DX207,'FS_Detail(M)'!DX212)</f>
        <v>695587.40637195599</v>
      </c>
      <c r="DX29" s="171">
        <f>SUM('FS_Detail(M)'!DY172,'FS_Detail(M)'!DY177,'FS_Detail(M)'!DY182,'FS_Detail(M)'!DY187,'FS_Detail(M)'!DY192,'FS_Detail(M)'!DY197,'FS_Detail(M)'!DY202,'FS_Detail(M)'!DY207,'FS_Detail(M)'!DY212)</f>
        <v>408136.54994191945</v>
      </c>
      <c r="DY29" s="171">
        <f>SUM('FS_Detail(M)'!DZ172,'FS_Detail(M)'!DZ177,'FS_Detail(M)'!DZ182,'FS_Detail(M)'!DZ187,'FS_Detail(M)'!DZ192,'FS_Detail(M)'!DZ197,'FS_Detail(M)'!DZ202,'FS_Detail(M)'!DZ207,'FS_Detail(M)'!DZ212)</f>
        <v>537827.76577957335</v>
      </c>
      <c r="DZ29" s="171">
        <f>SUM('FS_Detail(M)'!EA172,'FS_Detail(M)'!EA177,'FS_Detail(M)'!EA182,'FS_Detail(M)'!EA187,'FS_Detail(M)'!EA192,'FS_Detail(M)'!EA197,'FS_Detail(M)'!EA202,'FS_Detail(M)'!EA207,'FS_Detail(M)'!EA212)</f>
        <v>323020.65855400002</v>
      </c>
      <c r="EA29" s="171">
        <f>SUM('FS_Detail(M)'!EB172,'FS_Detail(M)'!EB177,'FS_Detail(M)'!EB182,'FS_Detail(M)'!EB187,'FS_Detail(M)'!EB192,'FS_Detail(M)'!EB197,'FS_Detail(M)'!EB202,'FS_Detail(M)'!EB207,'FS_Detail(M)'!EB212)</f>
        <v>0</v>
      </c>
      <c r="EB29" s="171">
        <f>SUM('FS_Detail(M)'!EC172,'FS_Detail(M)'!EC177,'FS_Detail(M)'!EC182,'FS_Detail(M)'!EC187,'FS_Detail(M)'!EC192,'FS_Detail(M)'!EC197,'FS_Detail(M)'!EC202,'FS_Detail(M)'!EC207,'FS_Detail(M)'!EC212)</f>
        <v>0</v>
      </c>
      <c r="EC29" s="171">
        <f>SUM('FS_Detail(M)'!ED172,'FS_Detail(M)'!ED177,'FS_Detail(M)'!ED182,'FS_Detail(M)'!ED187,'FS_Detail(M)'!ED192,'FS_Detail(M)'!ED197,'FS_Detail(M)'!ED202,'FS_Detail(M)'!ED207,'FS_Detail(M)'!ED212)</f>
        <v>0</v>
      </c>
      <c r="ED29" s="171">
        <f>SUM('FS_Detail(M)'!EE172,'FS_Detail(M)'!EE177,'FS_Detail(M)'!EE182,'FS_Detail(M)'!EE187,'FS_Detail(M)'!EE192,'FS_Detail(M)'!EE197,'FS_Detail(M)'!EE202,'FS_Detail(M)'!EE207,'FS_Detail(M)'!EE212)</f>
        <v>0</v>
      </c>
      <c r="EE29" s="171">
        <f>SUM('FS_Detail(M)'!EF172,'FS_Detail(M)'!EF177,'FS_Detail(M)'!EF182,'FS_Detail(M)'!EF187,'FS_Detail(M)'!EF192,'FS_Detail(M)'!EF197,'FS_Detail(M)'!EF202,'FS_Detail(M)'!EF207,'FS_Detail(M)'!EF212)</f>
        <v>0</v>
      </c>
      <c r="EF29" s="171">
        <f>SUM('FS_Detail(M)'!EG172,'FS_Detail(M)'!EG177,'FS_Detail(M)'!EG182,'FS_Detail(M)'!EG187,'FS_Detail(M)'!EG192,'FS_Detail(M)'!EG197,'FS_Detail(M)'!EG202,'FS_Detail(M)'!EG207,'FS_Detail(M)'!EG212)</f>
        <v>0</v>
      </c>
      <c r="EG29" s="171">
        <f>SUM('FS_Detail(M)'!EH172,'FS_Detail(M)'!EH177,'FS_Detail(M)'!EH182,'FS_Detail(M)'!EH187,'FS_Detail(M)'!EH192,'FS_Detail(M)'!EH197,'FS_Detail(M)'!EH202,'FS_Detail(M)'!EH207,'FS_Detail(M)'!EH212)</f>
        <v>0</v>
      </c>
      <c r="EH29" s="171">
        <f>SUM('FS_Detail(M)'!EI172,'FS_Detail(M)'!EI177,'FS_Detail(M)'!EI182,'FS_Detail(M)'!EI187,'FS_Detail(M)'!EI192,'FS_Detail(M)'!EI197,'FS_Detail(M)'!EI202,'FS_Detail(M)'!EI207,'FS_Detail(M)'!EI212)</f>
        <v>0</v>
      </c>
      <c r="EI29" s="171">
        <f>SUM('FS_Detail(M)'!EJ172,'FS_Detail(M)'!EJ177,'FS_Detail(M)'!EJ182,'FS_Detail(M)'!EJ187,'FS_Detail(M)'!EJ192,'FS_Detail(M)'!EJ197,'FS_Detail(M)'!EJ202,'FS_Detail(M)'!EJ207,'FS_Detail(M)'!EJ212)</f>
        <v>0</v>
      </c>
      <c r="EJ29" s="171">
        <f>SUM('FS_Detail(M)'!EK172,'FS_Detail(M)'!EK177,'FS_Detail(M)'!EK182,'FS_Detail(M)'!EK187,'FS_Detail(M)'!EK192,'FS_Detail(M)'!EK197,'FS_Detail(M)'!EK202,'FS_Detail(M)'!EK207,'FS_Detail(M)'!EK212)</f>
        <v>0</v>
      </c>
      <c r="EK29" s="171">
        <f>SUM('FS_Detail(M)'!EL172,'FS_Detail(M)'!EL177,'FS_Detail(M)'!EL182,'FS_Detail(M)'!EL187,'FS_Detail(M)'!EL192,'FS_Detail(M)'!EL197,'FS_Detail(M)'!EL202,'FS_Detail(M)'!EL207,'FS_Detail(M)'!EL212)</f>
        <v>0</v>
      </c>
      <c r="EL29" s="171">
        <f>SUM('FS_Detail(M)'!EM172,'FS_Detail(M)'!EM177,'FS_Detail(M)'!EM182,'FS_Detail(M)'!EM187,'FS_Detail(M)'!EM192,'FS_Detail(M)'!EM197,'FS_Detail(M)'!EM202,'FS_Detail(M)'!EM207,'FS_Detail(M)'!EM212)</f>
        <v>0</v>
      </c>
      <c r="EM29" s="171">
        <f>SUM('FS_Detail(M)'!EN172,'FS_Detail(M)'!EN177,'FS_Detail(M)'!EN182,'FS_Detail(M)'!EN187,'FS_Detail(M)'!EN192,'FS_Detail(M)'!EN197,'FS_Detail(M)'!EN202,'FS_Detail(M)'!EN207,'FS_Detail(M)'!EN212)</f>
        <v>0</v>
      </c>
      <c r="EN29" s="171">
        <f>SUM('FS_Detail(M)'!EO172,'FS_Detail(M)'!EO177,'FS_Detail(M)'!EO182,'FS_Detail(M)'!EO187,'FS_Detail(M)'!EO192,'FS_Detail(M)'!EO197,'FS_Detail(M)'!EO202,'FS_Detail(M)'!EO207,'FS_Detail(M)'!EO212)</f>
        <v>0</v>
      </c>
      <c r="EO29" s="171">
        <f>SUM('FS_Detail(M)'!EP172,'FS_Detail(M)'!EP177,'FS_Detail(M)'!EP182,'FS_Detail(M)'!EP187,'FS_Detail(M)'!EP192,'FS_Detail(M)'!EP197,'FS_Detail(M)'!EP202,'FS_Detail(M)'!EP207,'FS_Detail(M)'!EP212)</f>
        <v>0</v>
      </c>
      <c r="EP29" s="171">
        <f>SUM('FS_Detail(M)'!EQ172,'FS_Detail(M)'!EQ177,'FS_Detail(M)'!EQ182,'FS_Detail(M)'!EQ187,'FS_Detail(M)'!EQ192,'FS_Detail(M)'!EQ197,'FS_Detail(M)'!EQ202,'FS_Detail(M)'!EQ207,'FS_Detail(M)'!EQ212)</f>
        <v>0</v>
      </c>
    </row>
    <row r="30" spans="2:146">
      <c r="B30" s="218"/>
      <c r="C30" s="158" t="s">
        <v>563</v>
      </c>
      <c r="D30" s="159"/>
      <c r="E30" s="159"/>
      <c r="F30" s="159"/>
      <c r="G30" s="159"/>
      <c r="H30" s="160"/>
      <c r="I30" s="973"/>
      <c r="J30" s="98"/>
      <c r="K30" s="162">
        <f>SUM(K31:K33)</f>
        <v>200100000</v>
      </c>
      <c r="L30" s="162">
        <f t="shared" ref="L30:BW30" si="18">SUM(L31:L33)</f>
        <v>200100000</v>
      </c>
      <c r="M30" s="162">
        <f t="shared" si="18"/>
        <v>200100000</v>
      </c>
      <c r="N30" s="162">
        <f t="shared" si="18"/>
        <v>200100000</v>
      </c>
      <c r="O30" s="162">
        <f t="shared" si="18"/>
        <v>200100000</v>
      </c>
      <c r="P30" s="162">
        <f t="shared" si="18"/>
        <v>200100000</v>
      </c>
      <c r="Q30" s="162">
        <f t="shared" si="18"/>
        <v>200100000</v>
      </c>
      <c r="R30" s="162">
        <f t="shared" si="18"/>
        <v>200100000</v>
      </c>
      <c r="S30" s="162">
        <f t="shared" si="18"/>
        <v>200100000</v>
      </c>
      <c r="T30" s="162">
        <f t="shared" si="18"/>
        <v>200100000</v>
      </c>
      <c r="U30" s="162">
        <f t="shared" si="18"/>
        <v>200100000</v>
      </c>
      <c r="V30" s="162">
        <f t="shared" si="18"/>
        <v>200100000</v>
      </c>
      <c r="W30" s="162">
        <f t="shared" si="18"/>
        <v>200100000</v>
      </c>
      <c r="X30" s="162">
        <f t="shared" si="18"/>
        <v>200100000</v>
      </c>
      <c r="Y30" s="162">
        <f t="shared" si="18"/>
        <v>200100000</v>
      </c>
      <c r="Z30" s="162">
        <f t="shared" si="18"/>
        <v>200100000</v>
      </c>
      <c r="AA30" s="162">
        <f t="shared" si="18"/>
        <v>200100000</v>
      </c>
      <c r="AB30" s="162">
        <f t="shared" si="18"/>
        <v>200100000</v>
      </c>
      <c r="AC30" s="162">
        <f t="shared" si="18"/>
        <v>200100000</v>
      </c>
      <c r="AD30" s="162">
        <f t="shared" si="18"/>
        <v>200100000</v>
      </c>
      <c r="AE30" s="162">
        <f t="shared" si="18"/>
        <v>200100000</v>
      </c>
      <c r="AF30" s="162">
        <f t="shared" si="18"/>
        <v>200100000</v>
      </c>
      <c r="AG30" s="162">
        <f t="shared" si="18"/>
        <v>200100000</v>
      </c>
      <c r="AH30" s="162">
        <f t="shared" si="18"/>
        <v>200100000</v>
      </c>
      <c r="AI30" s="162">
        <f t="shared" si="18"/>
        <v>215100000</v>
      </c>
      <c r="AJ30" s="162">
        <f t="shared" si="18"/>
        <v>215100000</v>
      </c>
      <c r="AK30" s="162">
        <f t="shared" si="18"/>
        <v>215100000</v>
      </c>
      <c r="AL30" s="162">
        <f t="shared" si="18"/>
        <v>215100000</v>
      </c>
      <c r="AM30" s="162">
        <f t="shared" si="18"/>
        <v>215100000</v>
      </c>
      <c r="AN30" s="162">
        <f t="shared" si="18"/>
        <v>215100000</v>
      </c>
      <c r="AO30" s="162">
        <f t="shared" si="18"/>
        <v>215100000</v>
      </c>
      <c r="AP30" s="162">
        <f t="shared" si="18"/>
        <v>215100000</v>
      </c>
      <c r="AQ30" s="162">
        <f t="shared" si="18"/>
        <v>215100000</v>
      </c>
      <c r="AR30" s="162">
        <f t="shared" si="18"/>
        <v>215100000</v>
      </c>
      <c r="AS30" s="162">
        <f t="shared" si="18"/>
        <v>215100000</v>
      </c>
      <c r="AT30" s="162">
        <f t="shared" si="18"/>
        <v>215100000</v>
      </c>
      <c r="AU30" s="162">
        <f t="shared" si="18"/>
        <v>215100000</v>
      </c>
      <c r="AV30" s="162">
        <f t="shared" si="18"/>
        <v>215100000</v>
      </c>
      <c r="AW30" s="162">
        <f t="shared" si="18"/>
        <v>215100000</v>
      </c>
      <c r="AX30" s="162">
        <f t="shared" si="18"/>
        <v>215100000</v>
      </c>
      <c r="AY30" s="162">
        <f t="shared" si="18"/>
        <v>215100000</v>
      </c>
      <c r="AZ30" s="162">
        <f t="shared" si="18"/>
        <v>215100000</v>
      </c>
      <c r="BA30" s="162">
        <f t="shared" si="18"/>
        <v>215100000</v>
      </c>
      <c r="BB30" s="162">
        <f t="shared" si="18"/>
        <v>215100000</v>
      </c>
      <c r="BC30" s="162">
        <f t="shared" si="18"/>
        <v>215100000</v>
      </c>
      <c r="BD30" s="162">
        <f t="shared" si="18"/>
        <v>215100000</v>
      </c>
      <c r="BE30" s="162">
        <f t="shared" si="18"/>
        <v>215100000</v>
      </c>
      <c r="BF30" s="162">
        <f t="shared" si="18"/>
        <v>215100000</v>
      </c>
      <c r="BG30" s="162">
        <f t="shared" si="18"/>
        <v>215100000</v>
      </c>
      <c r="BH30" s="162">
        <f t="shared" si="18"/>
        <v>215100000</v>
      </c>
      <c r="BI30" s="162">
        <f t="shared" si="18"/>
        <v>215100000</v>
      </c>
      <c r="BJ30" s="162">
        <f t="shared" si="18"/>
        <v>215100000</v>
      </c>
      <c r="BK30" s="162">
        <f t="shared" si="18"/>
        <v>215100000</v>
      </c>
      <c r="BL30" s="162">
        <f t="shared" si="18"/>
        <v>215100000</v>
      </c>
      <c r="BM30" s="162">
        <f t="shared" si="18"/>
        <v>215100000</v>
      </c>
      <c r="BN30" s="162">
        <f t="shared" si="18"/>
        <v>215100000</v>
      </c>
      <c r="BO30" s="162">
        <f t="shared" si="18"/>
        <v>215100000</v>
      </c>
      <c r="BP30" s="162">
        <f t="shared" si="18"/>
        <v>215100000</v>
      </c>
      <c r="BQ30" s="162">
        <f t="shared" si="18"/>
        <v>215100000</v>
      </c>
      <c r="BR30" s="162">
        <f t="shared" si="18"/>
        <v>215100000</v>
      </c>
      <c r="BS30" s="162">
        <f t="shared" si="18"/>
        <v>215100000</v>
      </c>
      <c r="BT30" s="162">
        <f t="shared" si="18"/>
        <v>215100000</v>
      </c>
      <c r="BU30" s="162">
        <f t="shared" si="18"/>
        <v>215100000</v>
      </c>
      <c r="BV30" s="162">
        <f t="shared" si="18"/>
        <v>215100000</v>
      </c>
      <c r="BW30" s="162">
        <f t="shared" si="18"/>
        <v>215100000</v>
      </c>
      <c r="BX30" s="162">
        <f t="shared" ref="BX30:DO30" si="19">SUM(BX31:BX33)</f>
        <v>215100000</v>
      </c>
      <c r="BY30" s="162">
        <f t="shared" si="19"/>
        <v>215100000</v>
      </c>
      <c r="BZ30" s="162">
        <f t="shared" si="19"/>
        <v>215100000</v>
      </c>
      <c r="CA30" s="162">
        <f t="shared" si="19"/>
        <v>215100000</v>
      </c>
      <c r="CB30" s="162">
        <f t="shared" si="19"/>
        <v>215100000</v>
      </c>
      <c r="CC30" s="162">
        <f t="shared" si="19"/>
        <v>215100000</v>
      </c>
      <c r="CD30" s="162">
        <f t="shared" si="19"/>
        <v>215100000</v>
      </c>
      <c r="CE30" s="162">
        <f t="shared" si="19"/>
        <v>215100000</v>
      </c>
      <c r="CF30" s="162">
        <f t="shared" si="19"/>
        <v>215100000</v>
      </c>
      <c r="CG30" s="162">
        <f t="shared" si="19"/>
        <v>215100000</v>
      </c>
      <c r="CH30" s="162">
        <f t="shared" si="19"/>
        <v>215100000</v>
      </c>
      <c r="CI30" s="162">
        <f t="shared" si="19"/>
        <v>215100000</v>
      </c>
      <c r="CJ30" s="162">
        <f t="shared" si="19"/>
        <v>215100000</v>
      </c>
      <c r="CK30" s="162">
        <f t="shared" si="19"/>
        <v>215100000</v>
      </c>
      <c r="CL30" s="162">
        <f t="shared" si="19"/>
        <v>215100000</v>
      </c>
      <c r="CM30" s="162">
        <f t="shared" si="19"/>
        <v>215100000</v>
      </c>
      <c r="CN30" s="162">
        <f t="shared" si="19"/>
        <v>215100000</v>
      </c>
      <c r="CO30" s="162">
        <f t="shared" si="19"/>
        <v>215100000</v>
      </c>
      <c r="CP30" s="162">
        <f t="shared" si="19"/>
        <v>215100000</v>
      </c>
      <c r="CQ30" s="162">
        <f t="shared" si="19"/>
        <v>215100000</v>
      </c>
      <c r="CR30" s="162">
        <f t="shared" si="19"/>
        <v>215100000</v>
      </c>
      <c r="CS30" s="162">
        <f t="shared" si="19"/>
        <v>215100000</v>
      </c>
      <c r="CT30" s="162">
        <f t="shared" si="19"/>
        <v>215100000</v>
      </c>
      <c r="CU30" s="162">
        <f t="shared" si="19"/>
        <v>215100000</v>
      </c>
      <c r="CV30" s="162">
        <f t="shared" si="19"/>
        <v>215100000</v>
      </c>
      <c r="CW30" s="162">
        <f t="shared" si="19"/>
        <v>215100000</v>
      </c>
      <c r="CX30" s="162">
        <f t="shared" si="19"/>
        <v>215100000</v>
      </c>
      <c r="CY30" s="162">
        <f t="shared" si="19"/>
        <v>215100000</v>
      </c>
      <c r="CZ30" s="162">
        <f t="shared" si="19"/>
        <v>215100000</v>
      </c>
      <c r="DA30" s="162">
        <f t="shared" si="19"/>
        <v>215100000</v>
      </c>
      <c r="DB30" s="162">
        <f t="shared" si="19"/>
        <v>215100000</v>
      </c>
      <c r="DC30" s="162">
        <f t="shared" si="19"/>
        <v>215100000</v>
      </c>
      <c r="DD30" s="162">
        <f t="shared" si="19"/>
        <v>215100000</v>
      </c>
      <c r="DE30" s="162">
        <f t="shared" si="19"/>
        <v>215100000</v>
      </c>
      <c r="DF30" s="162">
        <f t="shared" si="19"/>
        <v>215100000</v>
      </c>
      <c r="DG30" s="162">
        <f t="shared" si="19"/>
        <v>215100000</v>
      </c>
      <c r="DH30" s="162">
        <f t="shared" si="19"/>
        <v>215100000</v>
      </c>
      <c r="DI30" s="162">
        <f t="shared" si="19"/>
        <v>215100000</v>
      </c>
      <c r="DJ30" s="162">
        <f t="shared" si="19"/>
        <v>215100000</v>
      </c>
      <c r="DK30" s="162">
        <f t="shared" si="19"/>
        <v>215100000</v>
      </c>
      <c r="DL30" s="162">
        <f t="shared" si="19"/>
        <v>215100000</v>
      </c>
      <c r="DM30" s="162">
        <f t="shared" si="19"/>
        <v>215100000</v>
      </c>
      <c r="DN30" s="162">
        <f t="shared" si="19"/>
        <v>215100000</v>
      </c>
      <c r="DO30" s="162">
        <f t="shared" si="19"/>
        <v>215100000</v>
      </c>
      <c r="DP30" s="162">
        <f t="shared" ref="DP30:EP30" si="20">SUM(DP31:DP33)</f>
        <v>215100000</v>
      </c>
      <c r="DQ30" s="162">
        <f t="shared" si="20"/>
        <v>215100000</v>
      </c>
      <c r="DR30" s="162">
        <f t="shared" si="20"/>
        <v>215100000</v>
      </c>
      <c r="DS30" s="162">
        <f t="shared" si="20"/>
        <v>215100000</v>
      </c>
      <c r="DT30" s="162">
        <f t="shared" si="20"/>
        <v>215100000</v>
      </c>
      <c r="DU30" s="162">
        <f t="shared" si="20"/>
        <v>215100000</v>
      </c>
      <c r="DV30" s="162">
        <f t="shared" si="20"/>
        <v>215100000</v>
      </c>
      <c r="DW30" s="162">
        <f t="shared" si="20"/>
        <v>215100000</v>
      </c>
      <c r="DX30" s="162">
        <f t="shared" si="20"/>
        <v>215100000</v>
      </c>
      <c r="DY30" s="162">
        <f t="shared" si="20"/>
        <v>215100000</v>
      </c>
      <c r="DZ30" s="162">
        <f t="shared" si="20"/>
        <v>215100000</v>
      </c>
      <c r="EA30" s="162">
        <f t="shared" si="20"/>
        <v>0</v>
      </c>
      <c r="EB30" s="162">
        <f t="shared" si="20"/>
        <v>0</v>
      </c>
      <c r="EC30" s="162">
        <f t="shared" si="20"/>
        <v>0</v>
      </c>
      <c r="ED30" s="162">
        <f t="shared" si="20"/>
        <v>0</v>
      </c>
      <c r="EE30" s="162">
        <f t="shared" si="20"/>
        <v>0</v>
      </c>
      <c r="EF30" s="162">
        <f t="shared" si="20"/>
        <v>0</v>
      </c>
      <c r="EG30" s="162">
        <f t="shared" si="20"/>
        <v>0</v>
      </c>
      <c r="EH30" s="162">
        <f t="shared" si="20"/>
        <v>0</v>
      </c>
      <c r="EI30" s="162">
        <f t="shared" si="20"/>
        <v>0</v>
      </c>
      <c r="EJ30" s="162">
        <f t="shared" si="20"/>
        <v>0</v>
      </c>
      <c r="EK30" s="162">
        <f t="shared" si="20"/>
        <v>0</v>
      </c>
      <c r="EL30" s="162">
        <f t="shared" si="20"/>
        <v>0</v>
      </c>
      <c r="EM30" s="162">
        <f t="shared" si="20"/>
        <v>0</v>
      </c>
      <c r="EN30" s="162">
        <f t="shared" si="20"/>
        <v>0</v>
      </c>
      <c r="EO30" s="162">
        <f t="shared" si="20"/>
        <v>0</v>
      </c>
      <c r="EP30" s="162">
        <f t="shared" si="20"/>
        <v>0</v>
      </c>
    </row>
    <row r="31" spans="2:146">
      <c r="B31" s="218"/>
      <c r="C31" s="163"/>
      <c r="D31" s="164" t="s">
        <v>205</v>
      </c>
      <c r="E31" s="165"/>
      <c r="F31" s="165"/>
      <c r="G31" s="165"/>
      <c r="H31" s="166"/>
      <c r="I31" s="976"/>
      <c r="J31" s="98"/>
      <c r="K31" s="168">
        <f>'FS_Detail(M)'!L19</f>
        <v>2100000</v>
      </c>
      <c r="L31" s="168">
        <f>'FS_Detail(M)'!M19</f>
        <v>2100000</v>
      </c>
      <c r="M31" s="168">
        <f>'FS_Detail(M)'!N19</f>
        <v>2100000</v>
      </c>
      <c r="N31" s="168">
        <f>'FS_Detail(M)'!O19</f>
        <v>2100000</v>
      </c>
      <c r="O31" s="168">
        <f>'FS_Detail(M)'!P19</f>
        <v>2100000</v>
      </c>
      <c r="P31" s="168">
        <f>'FS_Detail(M)'!Q19</f>
        <v>2100000</v>
      </c>
      <c r="Q31" s="168">
        <f>'FS_Detail(M)'!R19</f>
        <v>2100000</v>
      </c>
      <c r="R31" s="168">
        <f>'FS_Detail(M)'!S19</f>
        <v>2100000</v>
      </c>
      <c r="S31" s="168">
        <f>'FS_Detail(M)'!T19</f>
        <v>2100000</v>
      </c>
      <c r="T31" s="168">
        <f>'FS_Detail(M)'!U19</f>
        <v>2100000</v>
      </c>
      <c r="U31" s="168">
        <f>'FS_Detail(M)'!V19</f>
        <v>2100000</v>
      </c>
      <c r="V31" s="168">
        <f>'FS_Detail(M)'!W19</f>
        <v>2100000</v>
      </c>
      <c r="W31" s="168">
        <f>'FS_Detail(M)'!X19</f>
        <v>2100000</v>
      </c>
      <c r="X31" s="168">
        <f>'FS_Detail(M)'!Y19</f>
        <v>2100000</v>
      </c>
      <c r="Y31" s="168">
        <f>'FS_Detail(M)'!Z19</f>
        <v>2100000</v>
      </c>
      <c r="Z31" s="168">
        <f>'FS_Detail(M)'!AA19</f>
        <v>2100000</v>
      </c>
      <c r="AA31" s="168">
        <f>'FS_Detail(M)'!AB19</f>
        <v>2100000</v>
      </c>
      <c r="AB31" s="168">
        <f>'FS_Detail(M)'!AC19</f>
        <v>2100000</v>
      </c>
      <c r="AC31" s="168">
        <f>'FS_Detail(M)'!AD19</f>
        <v>2100000</v>
      </c>
      <c r="AD31" s="168">
        <f>'FS_Detail(M)'!AE19</f>
        <v>2100000</v>
      </c>
      <c r="AE31" s="168">
        <f>'FS_Detail(M)'!AF19</f>
        <v>2100000</v>
      </c>
      <c r="AF31" s="168">
        <f>'FS_Detail(M)'!AG19</f>
        <v>2100000</v>
      </c>
      <c r="AG31" s="168">
        <f>'FS_Detail(M)'!AH19</f>
        <v>2100000</v>
      </c>
      <c r="AH31" s="168">
        <f>'FS_Detail(M)'!AI19</f>
        <v>2100000</v>
      </c>
      <c r="AI31" s="168">
        <f>'FS_Detail(M)'!AJ19</f>
        <v>2100000</v>
      </c>
      <c r="AJ31" s="168">
        <f>'FS_Detail(M)'!AK19</f>
        <v>2100000</v>
      </c>
      <c r="AK31" s="168">
        <f>'FS_Detail(M)'!AL19</f>
        <v>2100000</v>
      </c>
      <c r="AL31" s="168">
        <f>'FS_Detail(M)'!AM19</f>
        <v>2100000</v>
      </c>
      <c r="AM31" s="168">
        <f>'FS_Detail(M)'!AN19</f>
        <v>2100000</v>
      </c>
      <c r="AN31" s="168">
        <f>'FS_Detail(M)'!AO19</f>
        <v>2100000</v>
      </c>
      <c r="AO31" s="168">
        <f>'FS_Detail(M)'!AP19</f>
        <v>2100000</v>
      </c>
      <c r="AP31" s="168">
        <f>'FS_Detail(M)'!AQ19</f>
        <v>2100000</v>
      </c>
      <c r="AQ31" s="168">
        <f>'FS_Detail(M)'!AR19</f>
        <v>2100000</v>
      </c>
      <c r="AR31" s="168">
        <f>'FS_Detail(M)'!AS19</f>
        <v>2100000</v>
      </c>
      <c r="AS31" s="168">
        <f>'FS_Detail(M)'!AT19</f>
        <v>2100000</v>
      </c>
      <c r="AT31" s="168">
        <f>'FS_Detail(M)'!AU19</f>
        <v>2100000</v>
      </c>
      <c r="AU31" s="168">
        <f>'FS_Detail(M)'!AV19</f>
        <v>2100000</v>
      </c>
      <c r="AV31" s="168">
        <f>'FS_Detail(M)'!AW19</f>
        <v>2100000</v>
      </c>
      <c r="AW31" s="168">
        <f>'FS_Detail(M)'!AX19</f>
        <v>2100000</v>
      </c>
      <c r="AX31" s="168">
        <f>'FS_Detail(M)'!AY19</f>
        <v>2100000</v>
      </c>
      <c r="AY31" s="168">
        <f>'FS_Detail(M)'!AZ19</f>
        <v>2100000</v>
      </c>
      <c r="AZ31" s="168">
        <f>'FS_Detail(M)'!BA19</f>
        <v>2100000</v>
      </c>
      <c r="BA31" s="168">
        <f>'FS_Detail(M)'!BB19</f>
        <v>2100000</v>
      </c>
      <c r="BB31" s="168">
        <f>'FS_Detail(M)'!BC19</f>
        <v>2100000</v>
      </c>
      <c r="BC31" s="168">
        <f>'FS_Detail(M)'!BD19</f>
        <v>2100000</v>
      </c>
      <c r="BD31" s="168">
        <f>'FS_Detail(M)'!BE19</f>
        <v>2100000</v>
      </c>
      <c r="BE31" s="168">
        <f>'FS_Detail(M)'!BF19</f>
        <v>2100000</v>
      </c>
      <c r="BF31" s="168">
        <f>'FS_Detail(M)'!BG19</f>
        <v>2100000</v>
      </c>
      <c r="BG31" s="168">
        <f>'FS_Detail(M)'!BH19</f>
        <v>2100000</v>
      </c>
      <c r="BH31" s="168">
        <f>'FS_Detail(M)'!BI19</f>
        <v>2100000</v>
      </c>
      <c r="BI31" s="168">
        <f>'FS_Detail(M)'!BJ19</f>
        <v>2100000</v>
      </c>
      <c r="BJ31" s="168">
        <f>'FS_Detail(M)'!BK19</f>
        <v>2100000</v>
      </c>
      <c r="BK31" s="168">
        <f>'FS_Detail(M)'!BL19</f>
        <v>2100000</v>
      </c>
      <c r="BL31" s="168">
        <f>'FS_Detail(M)'!BM19</f>
        <v>2100000</v>
      </c>
      <c r="BM31" s="168">
        <f>'FS_Detail(M)'!BN19</f>
        <v>2100000</v>
      </c>
      <c r="BN31" s="168">
        <f>'FS_Detail(M)'!BO19</f>
        <v>2100000</v>
      </c>
      <c r="BO31" s="168">
        <f>'FS_Detail(M)'!BP19</f>
        <v>2100000</v>
      </c>
      <c r="BP31" s="168">
        <f>'FS_Detail(M)'!BQ19</f>
        <v>2100000</v>
      </c>
      <c r="BQ31" s="168">
        <f>'FS_Detail(M)'!BR19</f>
        <v>2100000</v>
      </c>
      <c r="BR31" s="168">
        <f>'FS_Detail(M)'!BS19</f>
        <v>2100000</v>
      </c>
      <c r="BS31" s="168">
        <f>'FS_Detail(M)'!BT19</f>
        <v>2100000</v>
      </c>
      <c r="BT31" s="168">
        <f>'FS_Detail(M)'!BU19</f>
        <v>2100000</v>
      </c>
      <c r="BU31" s="168">
        <f>'FS_Detail(M)'!BV19</f>
        <v>2100000</v>
      </c>
      <c r="BV31" s="168">
        <f>'FS_Detail(M)'!BW19</f>
        <v>2100000</v>
      </c>
      <c r="BW31" s="168">
        <f>'FS_Detail(M)'!BX19</f>
        <v>2100000</v>
      </c>
      <c r="BX31" s="168">
        <f>'FS_Detail(M)'!BY19</f>
        <v>2100000</v>
      </c>
      <c r="BY31" s="168">
        <f>'FS_Detail(M)'!BZ19</f>
        <v>2100000</v>
      </c>
      <c r="BZ31" s="168">
        <f>'FS_Detail(M)'!CA19</f>
        <v>2100000</v>
      </c>
      <c r="CA31" s="168">
        <f>'FS_Detail(M)'!CB19</f>
        <v>2100000</v>
      </c>
      <c r="CB31" s="168">
        <f>'FS_Detail(M)'!CC19</f>
        <v>2100000</v>
      </c>
      <c r="CC31" s="168">
        <f>'FS_Detail(M)'!CD19</f>
        <v>2100000</v>
      </c>
      <c r="CD31" s="168">
        <f>'FS_Detail(M)'!CE19</f>
        <v>2100000</v>
      </c>
      <c r="CE31" s="168">
        <f>'FS_Detail(M)'!CF19</f>
        <v>2100000</v>
      </c>
      <c r="CF31" s="168">
        <f>'FS_Detail(M)'!CG19</f>
        <v>2100000</v>
      </c>
      <c r="CG31" s="168">
        <f>'FS_Detail(M)'!CH19</f>
        <v>2100000</v>
      </c>
      <c r="CH31" s="168">
        <f>'FS_Detail(M)'!CI19</f>
        <v>2100000</v>
      </c>
      <c r="CI31" s="168">
        <f>'FS_Detail(M)'!CJ19</f>
        <v>2100000</v>
      </c>
      <c r="CJ31" s="168">
        <f>'FS_Detail(M)'!CK19</f>
        <v>2100000</v>
      </c>
      <c r="CK31" s="168">
        <f>'FS_Detail(M)'!CL19</f>
        <v>2100000</v>
      </c>
      <c r="CL31" s="168">
        <f>'FS_Detail(M)'!CM19</f>
        <v>2100000</v>
      </c>
      <c r="CM31" s="168">
        <f>'FS_Detail(M)'!CN19</f>
        <v>2100000</v>
      </c>
      <c r="CN31" s="168">
        <f>'FS_Detail(M)'!CO19</f>
        <v>2100000</v>
      </c>
      <c r="CO31" s="168">
        <f>'FS_Detail(M)'!CP19</f>
        <v>2100000</v>
      </c>
      <c r="CP31" s="168">
        <f>'FS_Detail(M)'!CQ19</f>
        <v>2100000</v>
      </c>
      <c r="CQ31" s="168">
        <f>'FS_Detail(M)'!CR19</f>
        <v>2100000</v>
      </c>
      <c r="CR31" s="168">
        <f>'FS_Detail(M)'!CS19</f>
        <v>2100000</v>
      </c>
      <c r="CS31" s="168">
        <f>'FS_Detail(M)'!CT19</f>
        <v>2100000</v>
      </c>
      <c r="CT31" s="168">
        <f>'FS_Detail(M)'!CU19</f>
        <v>2100000</v>
      </c>
      <c r="CU31" s="168">
        <f>'FS_Detail(M)'!CV19</f>
        <v>2100000</v>
      </c>
      <c r="CV31" s="168">
        <f>'FS_Detail(M)'!CW19</f>
        <v>2100000</v>
      </c>
      <c r="CW31" s="168">
        <f>'FS_Detail(M)'!CX19</f>
        <v>2100000</v>
      </c>
      <c r="CX31" s="168">
        <f>'FS_Detail(M)'!CY19</f>
        <v>2100000</v>
      </c>
      <c r="CY31" s="168">
        <f>'FS_Detail(M)'!CZ19</f>
        <v>2100000</v>
      </c>
      <c r="CZ31" s="168">
        <f>'FS_Detail(M)'!DA19</f>
        <v>2100000</v>
      </c>
      <c r="DA31" s="168">
        <f>'FS_Detail(M)'!DB19</f>
        <v>2100000</v>
      </c>
      <c r="DB31" s="168">
        <f>'FS_Detail(M)'!DC19</f>
        <v>2100000</v>
      </c>
      <c r="DC31" s="168">
        <f>'FS_Detail(M)'!DD19</f>
        <v>2100000</v>
      </c>
      <c r="DD31" s="168">
        <f>'FS_Detail(M)'!DE19</f>
        <v>2100000</v>
      </c>
      <c r="DE31" s="168">
        <f>'FS_Detail(M)'!DF19</f>
        <v>2100000</v>
      </c>
      <c r="DF31" s="168">
        <f>'FS_Detail(M)'!DG19</f>
        <v>2100000</v>
      </c>
      <c r="DG31" s="168">
        <f>'FS_Detail(M)'!DH19</f>
        <v>2100000</v>
      </c>
      <c r="DH31" s="168">
        <f>'FS_Detail(M)'!DI19</f>
        <v>2100000</v>
      </c>
      <c r="DI31" s="168">
        <f>'FS_Detail(M)'!DJ19</f>
        <v>2100000</v>
      </c>
      <c r="DJ31" s="168">
        <f>'FS_Detail(M)'!DK19</f>
        <v>2100000</v>
      </c>
      <c r="DK31" s="168">
        <f>'FS_Detail(M)'!DL19</f>
        <v>2100000</v>
      </c>
      <c r="DL31" s="168">
        <f>'FS_Detail(M)'!DM19</f>
        <v>2100000</v>
      </c>
      <c r="DM31" s="168">
        <f>'FS_Detail(M)'!DN19</f>
        <v>2100000</v>
      </c>
      <c r="DN31" s="168">
        <f>'FS_Detail(M)'!DO19</f>
        <v>2100000</v>
      </c>
      <c r="DO31" s="168">
        <f>'FS_Detail(M)'!DP19</f>
        <v>2100000</v>
      </c>
      <c r="DP31" s="168">
        <f>'FS_Detail(M)'!DQ19</f>
        <v>2100000</v>
      </c>
      <c r="DQ31" s="168">
        <f>'FS_Detail(M)'!DR19</f>
        <v>2100000</v>
      </c>
      <c r="DR31" s="168">
        <f>'FS_Detail(M)'!DS19</f>
        <v>2100000</v>
      </c>
      <c r="DS31" s="168">
        <f>'FS_Detail(M)'!DT19</f>
        <v>2100000</v>
      </c>
      <c r="DT31" s="168">
        <f>'FS_Detail(M)'!DU19</f>
        <v>2100000</v>
      </c>
      <c r="DU31" s="168">
        <f>'FS_Detail(M)'!DV19</f>
        <v>2100000</v>
      </c>
      <c r="DV31" s="168">
        <f>'FS_Detail(M)'!DW19</f>
        <v>2100000</v>
      </c>
      <c r="DW31" s="168">
        <f>'FS_Detail(M)'!DX19</f>
        <v>2100000</v>
      </c>
      <c r="DX31" s="168">
        <f>'FS_Detail(M)'!DY19</f>
        <v>2100000</v>
      </c>
      <c r="DY31" s="168">
        <f>'FS_Detail(M)'!DZ19</f>
        <v>2100000</v>
      </c>
      <c r="DZ31" s="168">
        <f>'FS_Detail(M)'!EA19</f>
        <v>2100000</v>
      </c>
      <c r="EA31" s="168">
        <f>'FS_Detail(M)'!EB19</f>
        <v>0</v>
      </c>
      <c r="EB31" s="168">
        <f>'FS_Detail(M)'!EC19</f>
        <v>0</v>
      </c>
      <c r="EC31" s="168">
        <f>'FS_Detail(M)'!ED19</f>
        <v>0</v>
      </c>
      <c r="ED31" s="168">
        <f>'FS_Detail(M)'!EE19</f>
        <v>0</v>
      </c>
      <c r="EE31" s="168">
        <f>'FS_Detail(M)'!EF19</f>
        <v>0</v>
      </c>
      <c r="EF31" s="168">
        <f>'FS_Detail(M)'!EG19</f>
        <v>0</v>
      </c>
      <c r="EG31" s="168">
        <f>'FS_Detail(M)'!EH19</f>
        <v>0</v>
      </c>
      <c r="EH31" s="168">
        <f>'FS_Detail(M)'!EI19</f>
        <v>0</v>
      </c>
      <c r="EI31" s="168">
        <f>'FS_Detail(M)'!EJ19</f>
        <v>0</v>
      </c>
      <c r="EJ31" s="168">
        <f>'FS_Detail(M)'!EK19</f>
        <v>0</v>
      </c>
      <c r="EK31" s="168">
        <f>'FS_Detail(M)'!EL19</f>
        <v>0</v>
      </c>
      <c r="EL31" s="168">
        <f>'FS_Detail(M)'!EM19</f>
        <v>0</v>
      </c>
      <c r="EM31" s="168">
        <f>'FS_Detail(M)'!EN19</f>
        <v>0</v>
      </c>
      <c r="EN31" s="168">
        <f>'FS_Detail(M)'!EO19</f>
        <v>0</v>
      </c>
      <c r="EO31" s="168">
        <f>'FS_Detail(M)'!EP19</f>
        <v>0</v>
      </c>
      <c r="EP31" s="168">
        <f>'FS_Detail(M)'!EQ19</f>
        <v>0</v>
      </c>
    </row>
    <row r="32" spans="2:146">
      <c r="B32" s="218"/>
      <c r="C32" s="163"/>
      <c r="D32" s="169" t="s">
        <v>605</v>
      </c>
      <c r="H32" s="146"/>
      <c r="I32" s="977"/>
      <c r="J32" s="98"/>
      <c r="K32" s="171">
        <f>'FS_Detail(M)'!L59</f>
        <v>0</v>
      </c>
      <c r="L32" s="171">
        <f>'FS_Detail(M)'!M59</f>
        <v>0</v>
      </c>
      <c r="M32" s="171">
        <f>'FS_Detail(M)'!N59</f>
        <v>0</v>
      </c>
      <c r="N32" s="171">
        <f>'FS_Detail(M)'!O59</f>
        <v>0</v>
      </c>
      <c r="O32" s="171">
        <f>'FS_Detail(M)'!P59</f>
        <v>0</v>
      </c>
      <c r="P32" s="171">
        <f>'FS_Detail(M)'!Q59</f>
        <v>0</v>
      </c>
      <c r="Q32" s="171">
        <f>'FS_Detail(M)'!R59</f>
        <v>0</v>
      </c>
      <c r="R32" s="171">
        <f>'FS_Detail(M)'!S59</f>
        <v>0</v>
      </c>
      <c r="S32" s="171">
        <f>'FS_Detail(M)'!T59</f>
        <v>0</v>
      </c>
      <c r="T32" s="171">
        <f>'FS_Detail(M)'!U59</f>
        <v>0</v>
      </c>
      <c r="U32" s="171">
        <f>'FS_Detail(M)'!V59</f>
        <v>0</v>
      </c>
      <c r="V32" s="171">
        <f>'FS_Detail(M)'!W59</f>
        <v>0</v>
      </c>
      <c r="W32" s="171">
        <f>'FS_Detail(M)'!X59</f>
        <v>0</v>
      </c>
      <c r="X32" s="171">
        <f>'FS_Detail(M)'!Y59</f>
        <v>0</v>
      </c>
      <c r="Y32" s="171">
        <f>'FS_Detail(M)'!Z59</f>
        <v>0</v>
      </c>
      <c r="Z32" s="171">
        <f>'FS_Detail(M)'!AA59</f>
        <v>0</v>
      </c>
      <c r="AA32" s="171">
        <f>'FS_Detail(M)'!AB59</f>
        <v>0</v>
      </c>
      <c r="AB32" s="171">
        <f>'FS_Detail(M)'!AC59</f>
        <v>0</v>
      </c>
      <c r="AC32" s="171">
        <f>'FS_Detail(M)'!AD59</f>
        <v>0</v>
      </c>
      <c r="AD32" s="171">
        <f>'FS_Detail(M)'!AE59</f>
        <v>0</v>
      </c>
      <c r="AE32" s="171">
        <f>'FS_Detail(M)'!AF59</f>
        <v>0</v>
      </c>
      <c r="AF32" s="171">
        <f>'FS_Detail(M)'!AG59</f>
        <v>0</v>
      </c>
      <c r="AG32" s="171">
        <f>'FS_Detail(M)'!AH59</f>
        <v>0</v>
      </c>
      <c r="AH32" s="171">
        <f>'FS_Detail(M)'!AI59</f>
        <v>0</v>
      </c>
      <c r="AI32" s="171">
        <f>'FS_Detail(M)'!AJ59</f>
        <v>0</v>
      </c>
      <c r="AJ32" s="171">
        <f>'FS_Detail(M)'!AK59</f>
        <v>0</v>
      </c>
      <c r="AK32" s="171">
        <f>'FS_Detail(M)'!AL59</f>
        <v>0</v>
      </c>
      <c r="AL32" s="171">
        <f>'FS_Detail(M)'!AM59</f>
        <v>0</v>
      </c>
      <c r="AM32" s="171">
        <f>'FS_Detail(M)'!AN59</f>
        <v>0</v>
      </c>
      <c r="AN32" s="171">
        <f>'FS_Detail(M)'!AO59</f>
        <v>0</v>
      </c>
      <c r="AO32" s="171">
        <f>'FS_Detail(M)'!AP59</f>
        <v>0</v>
      </c>
      <c r="AP32" s="171">
        <f>'FS_Detail(M)'!AQ59</f>
        <v>0</v>
      </c>
      <c r="AQ32" s="171">
        <f>'FS_Detail(M)'!AR59</f>
        <v>0</v>
      </c>
      <c r="AR32" s="171">
        <f>'FS_Detail(M)'!AS59</f>
        <v>0</v>
      </c>
      <c r="AS32" s="171">
        <f>'FS_Detail(M)'!AT59</f>
        <v>0</v>
      </c>
      <c r="AT32" s="171">
        <f>'FS_Detail(M)'!AU59</f>
        <v>0</v>
      </c>
      <c r="AU32" s="171">
        <f>'FS_Detail(M)'!AV59</f>
        <v>0</v>
      </c>
      <c r="AV32" s="171">
        <f>'FS_Detail(M)'!AW59</f>
        <v>0</v>
      </c>
      <c r="AW32" s="171">
        <f>'FS_Detail(M)'!AX59</f>
        <v>0</v>
      </c>
      <c r="AX32" s="171">
        <f>'FS_Detail(M)'!AY59</f>
        <v>0</v>
      </c>
      <c r="AY32" s="171">
        <f>'FS_Detail(M)'!AZ59</f>
        <v>0</v>
      </c>
      <c r="AZ32" s="171">
        <f>'FS_Detail(M)'!BA59</f>
        <v>0</v>
      </c>
      <c r="BA32" s="171">
        <f>'FS_Detail(M)'!BB59</f>
        <v>0</v>
      </c>
      <c r="BB32" s="171">
        <f>'FS_Detail(M)'!BC59</f>
        <v>0</v>
      </c>
      <c r="BC32" s="171">
        <f>'FS_Detail(M)'!BD59</f>
        <v>0</v>
      </c>
      <c r="BD32" s="171">
        <f>'FS_Detail(M)'!BE59</f>
        <v>0</v>
      </c>
      <c r="BE32" s="171">
        <f>'FS_Detail(M)'!BF59</f>
        <v>0</v>
      </c>
      <c r="BF32" s="171">
        <f>'FS_Detail(M)'!BG59</f>
        <v>0</v>
      </c>
      <c r="BG32" s="171">
        <f>'FS_Detail(M)'!BH59</f>
        <v>0</v>
      </c>
      <c r="BH32" s="171">
        <f>'FS_Detail(M)'!BI59</f>
        <v>0</v>
      </c>
      <c r="BI32" s="171">
        <f>'FS_Detail(M)'!BJ59</f>
        <v>0</v>
      </c>
      <c r="BJ32" s="171">
        <f>'FS_Detail(M)'!BK59</f>
        <v>0</v>
      </c>
      <c r="BK32" s="171">
        <f>'FS_Detail(M)'!BL59</f>
        <v>0</v>
      </c>
      <c r="BL32" s="171">
        <f>'FS_Detail(M)'!BM59</f>
        <v>0</v>
      </c>
      <c r="BM32" s="171">
        <f>'FS_Detail(M)'!BN59</f>
        <v>0</v>
      </c>
      <c r="BN32" s="171">
        <f>'FS_Detail(M)'!BO59</f>
        <v>0</v>
      </c>
      <c r="BO32" s="171">
        <f>'FS_Detail(M)'!BP59</f>
        <v>0</v>
      </c>
      <c r="BP32" s="171">
        <f>'FS_Detail(M)'!BQ59</f>
        <v>0</v>
      </c>
      <c r="BQ32" s="171">
        <f>'FS_Detail(M)'!BR59</f>
        <v>0</v>
      </c>
      <c r="BR32" s="171">
        <f>'FS_Detail(M)'!BS59</f>
        <v>0</v>
      </c>
      <c r="BS32" s="171">
        <f>'FS_Detail(M)'!BT59</f>
        <v>0</v>
      </c>
      <c r="BT32" s="171">
        <f>'FS_Detail(M)'!BU59</f>
        <v>0</v>
      </c>
      <c r="BU32" s="171">
        <f>'FS_Detail(M)'!BV59</f>
        <v>0</v>
      </c>
      <c r="BV32" s="171">
        <f>'FS_Detail(M)'!BW59</f>
        <v>0</v>
      </c>
      <c r="BW32" s="171">
        <f>'FS_Detail(M)'!BX59</f>
        <v>0</v>
      </c>
      <c r="BX32" s="171">
        <f>'FS_Detail(M)'!BY59</f>
        <v>0</v>
      </c>
      <c r="BY32" s="171">
        <f>'FS_Detail(M)'!BZ59</f>
        <v>0</v>
      </c>
      <c r="BZ32" s="171">
        <f>'FS_Detail(M)'!CA59</f>
        <v>0</v>
      </c>
      <c r="CA32" s="171">
        <f>'FS_Detail(M)'!CB59</f>
        <v>0</v>
      </c>
      <c r="CB32" s="171">
        <f>'FS_Detail(M)'!CC59</f>
        <v>0</v>
      </c>
      <c r="CC32" s="171">
        <f>'FS_Detail(M)'!CD59</f>
        <v>0</v>
      </c>
      <c r="CD32" s="171">
        <f>'FS_Detail(M)'!CE59</f>
        <v>0</v>
      </c>
      <c r="CE32" s="171">
        <f>'FS_Detail(M)'!CF59</f>
        <v>0</v>
      </c>
      <c r="CF32" s="171">
        <f>'FS_Detail(M)'!CG59</f>
        <v>0</v>
      </c>
      <c r="CG32" s="171">
        <f>'FS_Detail(M)'!CH59</f>
        <v>0</v>
      </c>
      <c r="CH32" s="171">
        <f>'FS_Detail(M)'!CI59</f>
        <v>0</v>
      </c>
      <c r="CI32" s="171">
        <f>'FS_Detail(M)'!CJ59</f>
        <v>0</v>
      </c>
      <c r="CJ32" s="171">
        <f>'FS_Detail(M)'!CK59</f>
        <v>0</v>
      </c>
      <c r="CK32" s="171">
        <f>'FS_Detail(M)'!CL59</f>
        <v>0</v>
      </c>
      <c r="CL32" s="171">
        <f>'FS_Detail(M)'!CM59</f>
        <v>0</v>
      </c>
      <c r="CM32" s="171">
        <f>'FS_Detail(M)'!CN59</f>
        <v>0</v>
      </c>
      <c r="CN32" s="171">
        <f>'FS_Detail(M)'!CO59</f>
        <v>0</v>
      </c>
      <c r="CO32" s="171">
        <f>'FS_Detail(M)'!CP59</f>
        <v>0</v>
      </c>
      <c r="CP32" s="171">
        <f>'FS_Detail(M)'!CQ59</f>
        <v>0</v>
      </c>
      <c r="CQ32" s="171">
        <f>'FS_Detail(M)'!CR59</f>
        <v>0</v>
      </c>
      <c r="CR32" s="171">
        <f>'FS_Detail(M)'!CS59</f>
        <v>0</v>
      </c>
      <c r="CS32" s="171">
        <f>'FS_Detail(M)'!CT59</f>
        <v>0</v>
      </c>
      <c r="CT32" s="171">
        <f>'FS_Detail(M)'!CU59</f>
        <v>0</v>
      </c>
      <c r="CU32" s="171">
        <f>'FS_Detail(M)'!CV59</f>
        <v>0</v>
      </c>
      <c r="CV32" s="171">
        <f>'FS_Detail(M)'!CW59</f>
        <v>0</v>
      </c>
      <c r="CW32" s="171">
        <f>'FS_Detail(M)'!CX59</f>
        <v>0</v>
      </c>
      <c r="CX32" s="171">
        <f>'FS_Detail(M)'!CY59</f>
        <v>0</v>
      </c>
      <c r="CY32" s="171">
        <f>'FS_Detail(M)'!CZ59</f>
        <v>0</v>
      </c>
      <c r="CZ32" s="171">
        <f>'FS_Detail(M)'!DA59</f>
        <v>0</v>
      </c>
      <c r="DA32" s="171">
        <f>'FS_Detail(M)'!DB59</f>
        <v>0</v>
      </c>
      <c r="DB32" s="171">
        <f>'FS_Detail(M)'!DC59</f>
        <v>0</v>
      </c>
      <c r="DC32" s="171">
        <f>'FS_Detail(M)'!DD59</f>
        <v>0</v>
      </c>
      <c r="DD32" s="171">
        <f>'FS_Detail(M)'!DE59</f>
        <v>0</v>
      </c>
      <c r="DE32" s="171">
        <f>'FS_Detail(M)'!DF59</f>
        <v>0</v>
      </c>
      <c r="DF32" s="171">
        <f>'FS_Detail(M)'!DG59</f>
        <v>0</v>
      </c>
      <c r="DG32" s="171">
        <f>'FS_Detail(M)'!DH59</f>
        <v>0</v>
      </c>
      <c r="DH32" s="171">
        <f>'FS_Detail(M)'!DI59</f>
        <v>0</v>
      </c>
      <c r="DI32" s="171">
        <f>'FS_Detail(M)'!DJ59</f>
        <v>0</v>
      </c>
      <c r="DJ32" s="171">
        <f>'FS_Detail(M)'!DK59</f>
        <v>0</v>
      </c>
      <c r="DK32" s="171">
        <f>'FS_Detail(M)'!DL59</f>
        <v>0</v>
      </c>
      <c r="DL32" s="171">
        <f>'FS_Detail(M)'!DM59</f>
        <v>0</v>
      </c>
      <c r="DM32" s="171">
        <f>'FS_Detail(M)'!DN59</f>
        <v>0</v>
      </c>
      <c r="DN32" s="171">
        <f>'FS_Detail(M)'!DO59</f>
        <v>0</v>
      </c>
      <c r="DO32" s="171">
        <f>'FS_Detail(M)'!DP59</f>
        <v>0</v>
      </c>
      <c r="DP32" s="171">
        <f>'FS_Detail(M)'!DQ59</f>
        <v>0</v>
      </c>
      <c r="DQ32" s="171">
        <f>'FS_Detail(M)'!DR59</f>
        <v>0</v>
      </c>
      <c r="DR32" s="171">
        <f>'FS_Detail(M)'!DS59</f>
        <v>0</v>
      </c>
      <c r="DS32" s="171">
        <f>'FS_Detail(M)'!DT59</f>
        <v>0</v>
      </c>
      <c r="DT32" s="171">
        <f>'FS_Detail(M)'!DU59</f>
        <v>0</v>
      </c>
      <c r="DU32" s="171">
        <f>'FS_Detail(M)'!DV59</f>
        <v>0</v>
      </c>
      <c r="DV32" s="171">
        <f>'FS_Detail(M)'!DW59</f>
        <v>0</v>
      </c>
      <c r="DW32" s="171">
        <f>'FS_Detail(M)'!DX59</f>
        <v>0</v>
      </c>
      <c r="DX32" s="171">
        <f>'FS_Detail(M)'!DY59</f>
        <v>0</v>
      </c>
      <c r="DY32" s="171">
        <f>'FS_Detail(M)'!DZ59</f>
        <v>0</v>
      </c>
      <c r="DZ32" s="171">
        <f>'FS_Detail(M)'!EA59</f>
        <v>0</v>
      </c>
      <c r="EA32" s="171">
        <f>'FS_Detail(M)'!EB59</f>
        <v>0</v>
      </c>
      <c r="EB32" s="171">
        <f>'FS_Detail(M)'!EC59</f>
        <v>0</v>
      </c>
      <c r="EC32" s="171">
        <f>'FS_Detail(M)'!ED59</f>
        <v>0</v>
      </c>
      <c r="ED32" s="171">
        <f>'FS_Detail(M)'!EE59</f>
        <v>0</v>
      </c>
      <c r="EE32" s="171">
        <f>'FS_Detail(M)'!EF59</f>
        <v>0</v>
      </c>
      <c r="EF32" s="171">
        <f>'FS_Detail(M)'!EG59</f>
        <v>0</v>
      </c>
      <c r="EG32" s="171">
        <f>'FS_Detail(M)'!EH59</f>
        <v>0</v>
      </c>
      <c r="EH32" s="171">
        <f>'FS_Detail(M)'!EI59</f>
        <v>0</v>
      </c>
      <c r="EI32" s="171">
        <f>'FS_Detail(M)'!EJ59</f>
        <v>0</v>
      </c>
      <c r="EJ32" s="171">
        <f>'FS_Detail(M)'!EK59</f>
        <v>0</v>
      </c>
      <c r="EK32" s="171">
        <f>'FS_Detail(M)'!EL59</f>
        <v>0</v>
      </c>
      <c r="EL32" s="171">
        <f>'FS_Detail(M)'!EM59</f>
        <v>0</v>
      </c>
      <c r="EM32" s="171">
        <f>'FS_Detail(M)'!EN59</f>
        <v>0</v>
      </c>
      <c r="EN32" s="171">
        <f>'FS_Detail(M)'!EO59</f>
        <v>0</v>
      </c>
      <c r="EO32" s="171">
        <f>'FS_Detail(M)'!EP59</f>
        <v>0</v>
      </c>
      <c r="EP32" s="171">
        <f>'FS_Detail(M)'!EQ59</f>
        <v>0</v>
      </c>
    </row>
    <row r="33" spans="2:146">
      <c r="B33" s="218"/>
      <c r="C33" s="163"/>
      <c r="D33" s="169" t="s">
        <v>273</v>
      </c>
      <c r="H33" s="146"/>
      <c r="I33" s="977"/>
      <c r="J33" s="98"/>
      <c r="K33" s="171">
        <f>'FS_Detail(M)'!L24+'FS_Detail(M)'!L29+'FS_Detail(M)'!L34+'FS_Detail(M)'!L39+'FS_Detail(M)'!L44+'FS_Detail(M)'!L49</f>
        <v>198000000</v>
      </c>
      <c r="L33" s="171">
        <f>'FS_Detail(M)'!M24+'FS_Detail(M)'!M29+'FS_Detail(M)'!M34+'FS_Detail(M)'!M39+'FS_Detail(M)'!M44+'FS_Detail(M)'!M49</f>
        <v>198000000</v>
      </c>
      <c r="M33" s="171">
        <f>'FS_Detail(M)'!N24+'FS_Detail(M)'!N29+'FS_Detail(M)'!N34+'FS_Detail(M)'!N39+'FS_Detail(M)'!N44+'FS_Detail(M)'!N49</f>
        <v>198000000</v>
      </c>
      <c r="N33" s="171">
        <f>'FS_Detail(M)'!O24+'FS_Detail(M)'!O29+'FS_Detail(M)'!O34+'FS_Detail(M)'!O39+'FS_Detail(M)'!O44+'FS_Detail(M)'!O49</f>
        <v>198000000</v>
      </c>
      <c r="O33" s="171">
        <f>'FS_Detail(M)'!P24+'FS_Detail(M)'!P29+'FS_Detail(M)'!P34+'FS_Detail(M)'!P39+'FS_Detail(M)'!P44+'FS_Detail(M)'!P49</f>
        <v>198000000</v>
      </c>
      <c r="P33" s="171">
        <f>'FS_Detail(M)'!Q24+'FS_Detail(M)'!Q29+'FS_Detail(M)'!Q34+'FS_Detail(M)'!Q39+'FS_Detail(M)'!Q44+'FS_Detail(M)'!Q49</f>
        <v>198000000</v>
      </c>
      <c r="Q33" s="171">
        <f>'FS_Detail(M)'!R24+'FS_Detail(M)'!R29+'FS_Detail(M)'!R34+'FS_Detail(M)'!R39+'FS_Detail(M)'!R44+'FS_Detail(M)'!R49</f>
        <v>198000000</v>
      </c>
      <c r="R33" s="171">
        <f>'FS_Detail(M)'!S24+'FS_Detail(M)'!S29+'FS_Detail(M)'!S34+'FS_Detail(M)'!S39+'FS_Detail(M)'!S44+'FS_Detail(M)'!S49</f>
        <v>198000000</v>
      </c>
      <c r="S33" s="171">
        <f>'FS_Detail(M)'!T24+'FS_Detail(M)'!T29+'FS_Detail(M)'!T34+'FS_Detail(M)'!T39+'FS_Detail(M)'!T44+'FS_Detail(M)'!T49</f>
        <v>198000000</v>
      </c>
      <c r="T33" s="171">
        <f>'FS_Detail(M)'!U24+'FS_Detail(M)'!U29+'FS_Detail(M)'!U34+'FS_Detail(M)'!U39+'FS_Detail(M)'!U44+'FS_Detail(M)'!U49</f>
        <v>198000000</v>
      </c>
      <c r="U33" s="171">
        <f>'FS_Detail(M)'!V24+'FS_Detail(M)'!V29+'FS_Detail(M)'!V34+'FS_Detail(M)'!V39+'FS_Detail(M)'!V44+'FS_Detail(M)'!V49</f>
        <v>198000000</v>
      </c>
      <c r="V33" s="171">
        <f>'FS_Detail(M)'!W24+'FS_Detail(M)'!W29+'FS_Detail(M)'!W34+'FS_Detail(M)'!W39+'FS_Detail(M)'!W44+'FS_Detail(M)'!W49</f>
        <v>198000000</v>
      </c>
      <c r="W33" s="171">
        <f>'FS_Detail(M)'!X24+'FS_Detail(M)'!X29+'FS_Detail(M)'!X34+'FS_Detail(M)'!X39+'FS_Detail(M)'!X44+'FS_Detail(M)'!X49</f>
        <v>198000000</v>
      </c>
      <c r="X33" s="171">
        <f>'FS_Detail(M)'!Y24+'FS_Detail(M)'!Y29+'FS_Detail(M)'!Y34+'FS_Detail(M)'!Y39+'FS_Detail(M)'!Y44+'FS_Detail(M)'!Y49</f>
        <v>198000000</v>
      </c>
      <c r="Y33" s="171">
        <f>'FS_Detail(M)'!Z24+'FS_Detail(M)'!Z29+'FS_Detail(M)'!Z34+'FS_Detail(M)'!Z39+'FS_Detail(M)'!Z44+'FS_Detail(M)'!Z49</f>
        <v>198000000</v>
      </c>
      <c r="Z33" s="171">
        <f>'FS_Detail(M)'!AA24+'FS_Detail(M)'!AA29+'FS_Detail(M)'!AA34+'FS_Detail(M)'!AA39+'FS_Detail(M)'!AA44+'FS_Detail(M)'!AA49</f>
        <v>198000000</v>
      </c>
      <c r="AA33" s="171">
        <f>'FS_Detail(M)'!AB24+'FS_Detail(M)'!AB29+'FS_Detail(M)'!AB34+'FS_Detail(M)'!AB39+'FS_Detail(M)'!AB44+'FS_Detail(M)'!AB49</f>
        <v>198000000</v>
      </c>
      <c r="AB33" s="171">
        <f>'FS_Detail(M)'!AC24+'FS_Detail(M)'!AC29+'FS_Detail(M)'!AC34+'FS_Detail(M)'!AC39+'FS_Detail(M)'!AC44+'FS_Detail(M)'!AC49</f>
        <v>198000000</v>
      </c>
      <c r="AC33" s="171">
        <f>'FS_Detail(M)'!AD24+'FS_Detail(M)'!AD29+'FS_Detail(M)'!AD34+'FS_Detail(M)'!AD39+'FS_Detail(M)'!AD44+'FS_Detail(M)'!AD49</f>
        <v>198000000</v>
      </c>
      <c r="AD33" s="171">
        <f>'FS_Detail(M)'!AE24+'FS_Detail(M)'!AE29+'FS_Detail(M)'!AE34+'FS_Detail(M)'!AE39+'FS_Detail(M)'!AE44+'FS_Detail(M)'!AE49</f>
        <v>198000000</v>
      </c>
      <c r="AE33" s="171">
        <f>'FS_Detail(M)'!AF24+'FS_Detail(M)'!AF29+'FS_Detail(M)'!AF34+'FS_Detail(M)'!AF39+'FS_Detail(M)'!AF44+'FS_Detail(M)'!AF49</f>
        <v>198000000</v>
      </c>
      <c r="AF33" s="171">
        <f>'FS_Detail(M)'!AG24+'FS_Detail(M)'!AG29+'FS_Detail(M)'!AG34+'FS_Detail(M)'!AG39+'FS_Detail(M)'!AG44+'FS_Detail(M)'!AG49</f>
        <v>198000000</v>
      </c>
      <c r="AG33" s="171">
        <f>'FS_Detail(M)'!AH24+'FS_Detail(M)'!AH29+'FS_Detail(M)'!AH34+'FS_Detail(M)'!AH39+'FS_Detail(M)'!AH44+'FS_Detail(M)'!AH49</f>
        <v>198000000</v>
      </c>
      <c r="AH33" s="171">
        <f>'FS_Detail(M)'!AI24+'FS_Detail(M)'!AI29+'FS_Detail(M)'!AI34+'FS_Detail(M)'!AI39+'FS_Detail(M)'!AI44+'FS_Detail(M)'!AI49</f>
        <v>198000000</v>
      </c>
      <c r="AI33" s="171">
        <f>'FS_Detail(M)'!AJ24+'FS_Detail(M)'!AJ29+'FS_Detail(M)'!AJ34+'FS_Detail(M)'!AJ39+'FS_Detail(M)'!AJ44+'FS_Detail(M)'!AJ49</f>
        <v>213000000</v>
      </c>
      <c r="AJ33" s="171">
        <f>'FS_Detail(M)'!AK24+'FS_Detail(M)'!AK29+'FS_Detail(M)'!AK34+'FS_Detail(M)'!AK39+'FS_Detail(M)'!AK44+'FS_Detail(M)'!AK49</f>
        <v>213000000</v>
      </c>
      <c r="AK33" s="171">
        <f>'FS_Detail(M)'!AL24+'FS_Detail(M)'!AL29+'FS_Detail(M)'!AL34+'FS_Detail(M)'!AL39+'FS_Detail(M)'!AL44+'FS_Detail(M)'!AL49</f>
        <v>213000000</v>
      </c>
      <c r="AL33" s="171">
        <f>'FS_Detail(M)'!AM24+'FS_Detail(M)'!AM29+'FS_Detail(M)'!AM34+'FS_Detail(M)'!AM39+'FS_Detail(M)'!AM44+'FS_Detail(M)'!AM49</f>
        <v>213000000</v>
      </c>
      <c r="AM33" s="171">
        <f>'FS_Detail(M)'!AN24+'FS_Detail(M)'!AN29+'FS_Detail(M)'!AN34+'FS_Detail(M)'!AN39+'FS_Detail(M)'!AN44+'FS_Detail(M)'!AN49</f>
        <v>213000000</v>
      </c>
      <c r="AN33" s="171">
        <f>'FS_Detail(M)'!AO24+'FS_Detail(M)'!AO29+'FS_Detail(M)'!AO34+'FS_Detail(M)'!AO39+'FS_Detail(M)'!AO44+'FS_Detail(M)'!AO49</f>
        <v>213000000</v>
      </c>
      <c r="AO33" s="171">
        <f>'FS_Detail(M)'!AP24+'FS_Detail(M)'!AP29+'FS_Detail(M)'!AP34+'FS_Detail(M)'!AP39+'FS_Detail(M)'!AP44+'FS_Detail(M)'!AP49</f>
        <v>213000000</v>
      </c>
      <c r="AP33" s="171">
        <f>'FS_Detail(M)'!AQ24+'FS_Detail(M)'!AQ29+'FS_Detail(M)'!AQ34+'FS_Detail(M)'!AQ39+'FS_Detail(M)'!AQ44+'FS_Detail(M)'!AQ49</f>
        <v>213000000</v>
      </c>
      <c r="AQ33" s="171">
        <f>'FS_Detail(M)'!AR24+'FS_Detail(M)'!AR29+'FS_Detail(M)'!AR34+'FS_Detail(M)'!AR39+'FS_Detail(M)'!AR44+'FS_Detail(M)'!AR49</f>
        <v>213000000</v>
      </c>
      <c r="AR33" s="171">
        <f>'FS_Detail(M)'!AS24+'FS_Detail(M)'!AS29+'FS_Detail(M)'!AS34+'FS_Detail(M)'!AS39+'FS_Detail(M)'!AS44+'FS_Detail(M)'!AS49</f>
        <v>213000000</v>
      </c>
      <c r="AS33" s="171">
        <f>'FS_Detail(M)'!AT24+'FS_Detail(M)'!AT29+'FS_Detail(M)'!AT34+'FS_Detail(M)'!AT39+'FS_Detail(M)'!AT44+'FS_Detail(M)'!AT49</f>
        <v>213000000</v>
      </c>
      <c r="AT33" s="171">
        <f>'FS_Detail(M)'!AU24+'FS_Detail(M)'!AU29+'FS_Detail(M)'!AU34+'FS_Detail(M)'!AU39+'FS_Detail(M)'!AU44+'FS_Detail(M)'!AU49</f>
        <v>213000000</v>
      </c>
      <c r="AU33" s="171">
        <f>'FS_Detail(M)'!AV24+'FS_Detail(M)'!AV29+'FS_Detail(M)'!AV34+'FS_Detail(M)'!AV39+'FS_Detail(M)'!AV44+'FS_Detail(M)'!AV49</f>
        <v>213000000</v>
      </c>
      <c r="AV33" s="171">
        <f>'FS_Detail(M)'!AW24+'FS_Detail(M)'!AW29+'FS_Detail(M)'!AW34+'FS_Detail(M)'!AW39+'FS_Detail(M)'!AW44+'FS_Detail(M)'!AW49</f>
        <v>213000000</v>
      </c>
      <c r="AW33" s="171">
        <f>'FS_Detail(M)'!AX24+'FS_Detail(M)'!AX29+'FS_Detail(M)'!AX34+'FS_Detail(M)'!AX39+'FS_Detail(M)'!AX44+'FS_Detail(M)'!AX49</f>
        <v>213000000</v>
      </c>
      <c r="AX33" s="171">
        <f>'FS_Detail(M)'!AY24+'FS_Detail(M)'!AY29+'FS_Detail(M)'!AY34+'FS_Detail(M)'!AY39+'FS_Detail(M)'!AY44+'FS_Detail(M)'!AY49</f>
        <v>213000000</v>
      </c>
      <c r="AY33" s="171">
        <f>'FS_Detail(M)'!AZ24+'FS_Detail(M)'!AZ29+'FS_Detail(M)'!AZ34+'FS_Detail(M)'!AZ39+'FS_Detail(M)'!AZ44+'FS_Detail(M)'!AZ49</f>
        <v>213000000</v>
      </c>
      <c r="AZ33" s="171">
        <f>'FS_Detail(M)'!BA24+'FS_Detail(M)'!BA29+'FS_Detail(M)'!BA34+'FS_Detail(M)'!BA39+'FS_Detail(M)'!BA44+'FS_Detail(M)'!BA49</f>
        <v>213000000</v>
      </c>
      <c r="BA33" s="171">
        <f>'FS_Detail(M)'!BB24+'FS_Detail(M)'!BB29+'FS_Detail(M)'!BB34+'FS_Detail(M)'!BB39+'FS_Detail(M)'!BB44+'FS_Detail(M)'!BB49</f>
        <v>213000000</v>
      </c>
      <c r="BB33" s="171">
        <f>'FS_Detail(M)'!BC24+'FS_Detail(M)'!BC29+'FS_Detail(M)'!BC34+'FS_Detail(M)'!BC39+'FS_Detail(M)'!BC44+'FS_Detail(M)'!BC49</f>
        <v>213000000</v>
      </c>
      <c r="BC33" s="171">
        <f>'FS_Detail(M)'!BD24+'FS_Detail(M)'!BD29+'FS_Detail(M)'!BD34+'FS_Detail(M)'!BD39+'FS_Detail(M)'!BD44+'FS_Detail(M)'!BD49</f>
        <v>213000000</v>
      </c>
      <c r="BD33" s="171">
        <f>'FS_Detail(M)'!BE24+'FS_Detail(M)'!BE29+'FS_Detail(M)'!BE34+'FS_Detail(M)'!BE39+'FS_Detail(M)'!BE44+'FS_Detail(M)'!BE49</f>
        <v>213000000</v>
      </c>
      <c r="BE33" s="171">
        <f>'FS_Detail(M)'!BF24+'FS_Detail(M)'!BF29+'FS_Detail(M)'!BF34+'FS_Detail(M)'!BF39+'FS_Detail(M)'!BF44+'FS_Detail(M)'!BF49</f>
        <v>213000000</v>
      </c>
      <c r="BF33" s="171">
        <f>'FS_Detail(M)'!BG24+'FS_Detail(M)'!BG29+'FS_Detail(M)'!BG34+'FS_Detail(M)'!BG39+'FS_Detail(M)'!BG44+'FS_Detail(M)'!BG49</f>
        <v>213000000</v>
      </c>
      <c r="BG33" s="171">
        <f>'FS_Detail(M)'!BH24+'FS_Detail(M)'!BH29+'FS_Detail(M)'!BH34+'FS_Detail(M)'!BH39+'FS_Detail(M)'!BH44+'FS_Detail(M)'!BH49</f>
        <v>213000000</v>
      </c>
      <c r="BH33" s="171">
        <f>'FS_Detail(M)'!BI24+'FS_Detail(M)'!BI29+'FS_Detail(M)'!BI34+'FS_Detail(M)'!BI39+'FS_Detail(M)'!BI44+'FS_Detail(M)'!BI49</f>
        <v>213000000</v>
      </c>
      <c r="BI33" s="171">
        <f>'FS_Detail(M)'!BJ24+'FS_Detail(M)'!BJ29+'FS_Detail(M)'!BJ34+'FS_Detail(M)'!BJ39+'FS_Detail(M)'!BJ44+'FS_Detail(M)'!BJ49</f>
        <v>213000000</v>
      </c>
      <c r="BJ33" s="171">
        <f>'FS_Detail(M)'!BK24+'FS_Detail(M)'!BK29+'FS_Detail(M)'!BK34+'FS_Detail(M)'!BK39+'FS_Detail(M)'!BK44+'FS_Detail(M)'!BK49</f>
        <v>213000000</v>
      </c>
      <c r="BK33" s="171">
        <f>'FS_Detail(M)'!BL24+'FS_Detail(M)'!BL29+'FS_Detail(M)'!BL34+'FS_Detail(M)'!BL39+'FS_Detail(M)'!BL44+'FS_Detail(M)'!BL49</f>
        <v>213000000</v>
      </c>
      <c r="BL33" s="171">
        <f>'FS_Detail(M)'!BM24+'FS_Detail(M)'!BM29+'FS_Detail(M)'!BM34+'FS_Detail(M)'!BM39+'FS_Detail(M)'!BM44+'FS_Detail(M)'!BM49</f>
        <v>213000000</v>
      </c>
      <c r="BM33" s="171">
        <f>'FS_Detail(M)'!BN24+'FS_Detail(M)'!BN29+'FS_Detail(M)'!BN34+'FS_Detail(M)'!BN39+'FS_Detail(M)'!BN44+'FS_Detail(M)'!BN49</f>
        <v>213000000</v>
      </c>
      <c r="BN33" s="171">
        <f>'FS_Detail(M)'!BO24+'FS_Detail(M)'!BO29+'FS_Detail(M)'!BO34+'FS_Detail(M)'!BO39+'FS_Detail(M)'!BO44+'FS_Detail(M)'!BO49</f>
        <v>213000000</v>
      </c>
      <c r="BO33" s="171">
        <f>'FS_Detail(M)'!BP24+'FS_Detail(M)'!BP29+'FS_Detail(M)'!BP34+'FS_Detail(M)'!BP39+'FS_Detail(M)'!BP44+'FS_Detail(M)'!BP49</f>
        <v>213000000</v>
      </c>
      <c r="BP33" s="171">
        <f>'FS_Detail(M)'!BQ24+'FS_Detail(M)'!BQ29+'FS_Detail(M)'!BQ34+'FS_Detail(M)'!BQ39+'FS_Detail(M)'!BQ44+'FS_Detail(M)'!BQ49</f>
        <v>213000000</v>
      </c>
      <c r="BQ33" s="171">
        <f>'FS_Detail(M)'!BR24+'FS_Detail(M)'!BR29+'FS_Detail(M)'!BR34+'FS_Detail(M)'!BR39+'FS_Detail(M)'!BR44+'FS_Detail(M)'!BR49</f>
        <v>213000000</v>
      </c>
      <c r="BR33" s="171">
        <f>'FS_Detail(M)'!BS24+'FS_Detail(M)'!BS29+'FS_Detail(M)'!BS34+'FS_Detail(M)'!BS39+'FS_Detail(M)'!BS44+'FS_Detail(M)'!BS49</f>
        <v>213000000</v>
      </c>
      <c r="BS33" s="171">
        <f>'FS_Detail(M)'!BT24+'FS_Detail(M)'!BT29+'FS_Detail(M)'!BT34+'FS_Detail(M)'!BT39+'FS_Detail(M)'!BT44+'FS_Detail(M)'!BT49</f>
        <v>213000000</v>
      </c>
      <c r="BT33" s="171">
        <f>'FS_Detail(M)'!BU24+'FS_Detail(M)'!BU29+'FS_Detail(M)'!BU34+'FS_Detail(M)'!BU39+'FS_Detail(M)'!BU44+'FS_Detail(M)'!BU49</f>
        <v>213000000</v>
      </c>
      <c r="BU33" s="171">
        <f>'FS_Detail(M)'!BV24+'FS_Detail(M)'!BV29+'FS_Detail(M)'!BV34+'FS_Detail(M)'!BV39+'FS_Detail(M)'!BV44+'FS_Detail(M)'!BV49</f>
        <v>213000000</v>
      </c>
      <c r="BV33" s="171">
        <f>'FS_Detail(M)'!BW24+'FS_Detail(M)'!BW29+'FS_Detail(M)'!BW34+'FS_Detail(M)'!BW39+'FS_Detail(M)'!BW44+'FS_Detail(M)'!BW49</f>
        <v>213000000</v>
      </c>
      <c r="BW33" s="171">
        <f>'FS_Detail(M)'!BX24+'FS_Detail(M)'!BX29+'FS_Detail(M)'!BX34+'FS_Detail(M)'!BX39+'FS_Detail(M)'!BX44+'FS_Detail(M)'!BX49</f>
        <v>213000000</v>
      </c>
      <c r="BX33" s="171">
        <f>'FS_Detail(M)'!BY24+'FS_Detail(M)'!BY29+'FS_Detail(M)'!BY34+'FS_Detail(M)'!BY39+'FS_Detail(M)'!BY44+'FS_Detail(M)'!BY49</f>
        <v>213000000</v>
      </c>
      <c r="BY33" s="171">
        <f>'FS_Detail(M)'!BZ24+'FS_Detail(M)'!BZ29+'FS_Detail(M)'!BZ34+'FS_Detail(M)'!BZ39+'FS_Detail(M)'!BZ44+'FS_Detail(M)'!BZ49</f>
        <v>213000000</v>
      </c>
      <c r="BZ33" s="171">
        <f>'FS_Detail(M)'!CA24+'FS_Detail(M)'!CA29+'FS_Detail(M)'!CA34+'FS_Detail(M)'!CA39+'FS_Detail(M)'!CA44+'FS_Detail(M)'!CA49</f>
        <v>213000000</v>
      </c>
      <c r="CA33" s="171">
        <f>'FS_Detail(M)'!CB24+'FS_Detail(M)'!CB29+'FS_Detail(M)'!CB34+'FS_Detail(M)'!CB39+'FS_Detail(M)'!CB44+'FS_Detail(M)'!CB49</f>
        <v>213000000</v>
      </c>
      <c r="CB33" s="171">
        <f>'FS_Detail(M)'!CC24+'FS_Detail(M)'!CC29+'FS_Detail(M)'!CC34+'FS_Detail(M)'!CC39+'FS_Detail(M)'!CC44+'FS_Detail(M)'!CC49</f>
        <v>213000000</v>
      </c>
      <c r="CC33" s="171">
        <f>'FS_Detail(M)'!CD24+'FS_Detail(M)'!CD29+'FS_Detail(M)'!CD34+'FS_Detail(M)'!CD39+'FS_Detail(M)'!CD44+'FS_Detail(M)'!CD49</f>
        <v>213000000</v>
      </c>
      <c r="CD33" s="171">
        <f>'FS_Detail(M)'!CE24+'FS_Detail(M)'!CE29+'FS_Detail(M)'!CE34+'FS_Detail(M)'!CE39+'FS_Detail(M)'!CE44+'FS_Detail(M)'!CE49</f>
        <v>213000000</v>
      </c>
      <c r="CE33" s="171">
        <f>'FS_Detail(M)'!CF24+'FS_Detail(M)'!CF29+'FS_Detail(M)'!CF34+'FS_Detail(M)'!CF39+'FS_Detail(M)'!CF44+'FS_Detail(M)'!CF49</f>
        <v>213000000</v>
      </c>
      <c r="CF33" s="171">
        <f>'FS_Detail(M)'!CG24+'FS_Detail(M)'!CG29+'FS_Detail(M)'!CG34+'FS_Detail(M)'!CG39+'FS_Detail(M)'!CG44+'FS_Detail(M)'!CG49</f>
        <v>213000000</v>
      </c>
      <c r="CG33" s="171">
        <f>'FS_Detail(M)'!CH24+'FS_Detail(M)'!CH29+'FS_Detail(M)'!CH34+'FS_Detail(M)'!CH39+'FS_Detail(M)'!CH44+'FS_Detail(M)'!CH49</f>
        <v>213000000</v>
      </c>
      <c r="CH33" s="171">
        <f>'FS_Detail(M)'!CI24+'FS_Detail(M)'!CI29+'FS_Detail(M)'!CI34+'FS_Detail(M)'!CI39+'FS_Detail(M)'!CI44+'FS_Detail(M)'!CI49</f>
        <v>213000000</v>
      </c>
      <c r="CI33" s="171">
        <f>'FS_Detail(M)'!CJ24+'FS_Detail(M)'!CJ29+'FS_Detail(M)'!CJ34+'FS_Detail(M)'!CJ39+'FS_Detail(M)'!CJ44+'FS_Detail(M)'!CJ49</f>
        <v>213000000</v>
      </c>
      <c r="CJ33" s="171">
        <f>'FS_Detail(M)'!CK24+'FS_Detail(M)'!CK29+'FS_Detail(M)'!CK34+'FS_Detail(M)'!CK39+'FS_Detail(M)'!CK44+'FS_Detail(M)'!CK49</f>
        <v>213000000</v>
      </c>
      <c r="CK33" s="171">
        <f>'FS_Detail(M)'!CL24+'FS_Detail(M)'!CL29+'FS_Detail(M)'!CL34+'FS_Detail(M)'!CL39+'FS_Detail(M)'!CL44+'FS_Detail(M)'!CL49</f>
        <v>213000000</v>
      </c>
      <c r="CL33" s="171">
        <f>'FS_Detail(M)'!CM24+'FS_Detail(M)'!CM29+'FS_Detail(M)'!CM34+'FS_Detail(M)'!CM39+'FS_Detail(M)'!CM44+'FS_Detail(M)'!CM49</f>
        <v>213000000</v>
      </c>
      <c r="CM33" s="171">
        <f>'FS_Detail(M)'!CN24+'FS_Detail(M)'!CN29+'FS_Detail(M)'!CN34+'FS_Detail(M)'!CN39+'FS_Detail(M)'!CN44+'FS_Detail(M)'!CN49</f>
        <v>213000000</v>
      </c>
      <c r="CN33" s="171">
        <f>'FS_Detail(M)'!CO24+'FS_Detail(M)'!CO29+'FS_Detail(M)'!CO34+'FS_Detail(M)'!CO39+'FS_Detail(M)'!CO44+'FS_Detail(M)'!CO49</f>
        <v>213000000</v>
      </c>
      <c r="CO33" s="171">
        <f>'FS_Detail(M)'!CP24+'FS_Detail(M)'!CP29+'FS_Detail(M)'!CP34+'FS_Detail(M)'!CP39+'FS_Detail(M)'!CP44+'FS_Detail(M)'!CP49</f>
        <v>213000000</v>
      </c>
      <c r="CP33" s="171">
        <f>'FS_Detail(M)'!CQ24+'FS_Detail(M)'!CQ29+'FS_Detail(M)'!CQ34+'FS_Detail(M)'!CQ39+'FS_Detail(M)'!CQ44+'FS_Detail(M)'!CQ49</f>
        <v>213000000</v>
      </c>
      <c r="CQ33" s="171">
        <f>'FS_Detail(M)'!CR24+'FS_Detail(M)'!CR29+'FS_Detail(M)'!CR34+'FS_Detail(M)'!CR39+'FS_Detail(M)'!CR44+'FS_Detail(M)'!CR49</f>
        <v>213000000</v>
      </c>
      <c r="CR33" s="171">
        <f>'FS_Detail(M)'!CS24+'FS_Detail(M)'!CS29+'FS_Detail(M)'!CS34+'FS_Detail(M)'!CS39+'FS_Detail(M)'!CS44+'FS_Detail(M)'!CS49</f>
        <v>213000000</v>
      </c>
      <c r="CS33" s="171">
        <f>'FS_Detail(M)'!CT24+'FS_Detail(M)'!CT29+'FS_Detail(M)'!CT34+'FS_Detail(M)'!CT39+'FS_Detail(M)'!CT44+'FS_Detail(M)'!CT49</f>
        <v>213000000</v>
      </c>
      <c r="CT33" s="171">
        <f>'FS_Detail(M)'!CU24+'FS_Detail(M)'!CU29+'FS_Detail(M)'!CU34+'FS_Detail(M)'!CU39+'FS_Detail(M)'!CU44+'FS_Detail(M)'!CU49</f>
        <v>213000000</v>
      </c>
      <c r="CU33" s="171">
        <f>'FS_Detail(M)'!CV24+'FS_Detail(M)'!CV29+'FS_Detail(M)'!CV34+'FS_Detail(M)'!CV39+'FS_Detail(M)'!CV44+'FS_Detail(M)'!CV49</f>
        <v>213000000</v>
      </c>
      <c r="CV33" s="171">
        <f>'FS_Detail(M)'!CW24+'FS_Detail(M)'!CW29+'FS_Detail(M)'!CW34+'FS_Detail(M)'!CW39+'FS_Detail(M)'!CW44+'FS_Detail(M)'!CW49</f>
        <v>213000000</v>
      </c>
      <c r="CW33" s="171">
        <f>'FS_Detail(M)'!CX24+'FS_Detail(M)'!CX29+'FS_Detail(M)'!CX34+'FS_Detail(M)'!CX39+'FS_Detail(M)'!CX44+'FS_Detail(M)'!CX49</f>
        <v>213000000</v>
      </c>
      <c r="CX33" s="171">
        <f>'FS_Detail(M)'!CY24+'FS_Detail(M)'!CY29+'FS_Detail(M)'!CY34+'FS_Detail(M)'!CY39+'FS_Detail(M)'!CY44+'FS_Detail(M)'!CY49</f>
        <v>213000000</v>
      </c>
      <c r="CY33" s="171">
        <f>'FS_Detail(M)'!CZ24+'FS_Detail(M)'!CZ29+'FS_Detail(M)'!CZ34+'FS_Detail(M)'!CZ39+'FS_Detail(M)'!CZ44+'FS_Detail(M)'!CZ49</f>
        <v>213000000</v>
      </c>
      <c r="CZ33" s="171">
        <f>'FS_Detail(M)'!DA24+'FS_Detail(M)'!DA29+'FS_Detail(M)'!DA34+'FS_Detail(M)'!DA39+'FS_Detail(M)'!DA44+'FS_Detail(M)'!DA49</f>
        <v>213000000</v>
      </c>
      <c r="DA33" s="171">
        <f>'FS_Detail(M)'!DB24+'FS_Detail(M)'!DB29+'FS_Detail(M)'!DB34+'FS_Detail(M)'!DB39+'FS_Detail(M)'!DB44+'FS_Detail(M)'!DB49</f>
        <v>213000000</v>
      </c>
      <c r="DB33" s="171">
        <f>'FS_Detail(M)'!DC24+'FS_Detail(M)'!DC29+'FS_Detail(M)'!DC34+'FS_Detail(M)'!DC39+'FS_Detail(M)'!DC44+'FS_Detail(M)'!DC49</f>
        <v>213000000</v>
      </c>
      <c r="DC33" s="171">
        <f>'FS_Detail(M)'!DD24+'FS_Detail(M)'!DD29+'FS_Detail(M)'!DD34+'FS_Detail(M)'!DD39+'FS_Detail(M)'!DD44+'FS_Detail(M)'!DD49</f>
        <v>213000000</v>
      </c>
      <c r="DD33" s="171">
        <f>'FS_Detail(M)'!DE24+'FS_Detail(M)'!DE29+'FS_Detail(M)'!DE34+'FS_Detail(M)'!DE39+'FS_Detail(M)'!DE44+'FS_Detail(M)'!DE49</f>
        <v>213000000</v>
      </c>
      <c r="DE33" s="171">
        <f>'FS_Detail(M)'!DF24+'FS_Detail(M)'!DF29+'FS_Detail(M)'!DF34+'FS_Detail(M)'!DF39+'FS_Detail(M)'!DF44+'FS_Detail(M)'!DF49</f>
        <v>213000000</v>
      </c>
      <c r="DF33" s="171">
        <f>'FS_Detail(M)'!DG24+'FS_Detail(M)'!DG29+'FS_Detail(M)'!DG34+'FS_Detail(M)'!DG39+'FS_Detail(M)'!DG44+'FS_Detail(M)'!DG49</f>
        <v>213000000</v>
      </c>
      <c r="DG33" s="171">
        <f>'FS_Detail(M)'!DH24+'FS_Detail(M)'!DH29+'FS_Detail(M)'!DH34+'FS_Detail(M)'!DH39+'FS_Detail(M)'!DH44+'FS_Detail(M)'!DH49</f>
        <v>213000000</v>
      </c>
      <c r="DH33" s="171">
        <f>'FS_Detail(M)'!DI24+'FS_Detail(M)'!DI29+'FS_Detail(M)'!DI34+'FS_Detail(M)'!DI39+'FS_Detail(M)'!DI44+'FS_Detail(M)'!DI49</f>
        <v>213000000</v>
      </c>
      <c r="DI33" s="171">
        <f>'FS_Detail(M)'!DJ24+'FS_Detail(M)'!DJ29+'FS_Detail(M)'!DJ34+'FS_Detail(M)'!DJ39+'FS_Detail(M)'!DJ44+'FS_Detail(M)'!DJ49</f>
        <v>213000000</v>
      </c>
      <c r="DJ33" s="171">
        <f>'FS_Detail(M)'!DK24+'FS_Detail(M)'!DK29+'FS_Detail(M)'!DK34+'FS_Detail(M)'!DK39+'FS_Detail(M)'!DK44+'FS_Detail(M)'!DK49</f>
        <v>213000000</v>
      </c>
      <c r="DK33" s="171">
        <f>'FS_Detail(M)'!DL24+'FS_Detail(M)'!DL29+'FS_Detail(M)'!DL34+'FS_Detail(M)'!DL39+'FS_Detail(M)'!DL44+'FS_Detail(M)'!DL49</f>
        <v>213000000</v>
      </c>
      <c r="DL33" s="171">
        <f>'FS_Detail(M)'!DM24+'FS_Detail(M)'!DM29+'FS_Detail(M)'!DM34+'FS_Detail(M)'!DM39+'FS_Detail(M)'!DM44+'FS_Detail(M)'!DM49</f>
        <v>213000000</v>
      </c>
      <c r="DM33" s="171">
        <f>'FS_Detail(M)'!DN24+'FS_Detail(M)'!DN29+'FS_Detail(M)'!DN34+'FS_Detail(M)'!DN39+'FS_Detail(M)'!DN44+'FS_Detail(M)'!DN49</f>
        <v>213000000</v>
      </c>
      <c r="DN33" s="171">
        <f>'FS_Detail(M)'!DO24+'FS_Detail(M)'!DO29+'FS_Detail(M)'!DO34+'FS_Detail(M)'!DO39+'FS_Detail(M)'!DO44+'FS_Detail(M)'!DO49</f>
        <v>213000000</v>
      </c>
      <c r="DO33" s="171">
        <f>'FS_Detail(M)'!DP24+'FS_Detail(M)'!DP29+'FS_Detail(M)'!DP34+'FS_Detail(M)'!DP39+'FS_Detail(M)'!DP44+'FS_Detail(M)'!DP49</f>
        <v>213000000</v>
      </c>
      <c r="DP33" s="171">
        <f>'FS_Detail(M)'!DQ24+'FS_Detail(M)'!DQ29+'FS_Detail(M)'!DQ34+'FS_Detail(M)'!DQ39+'FS_Detail(M)'!DQ44+'FS_Detail(M)'!DQ49</f>
        <v>213000000</v>
      </c>
      <c r="DQ33" s="171">
        <f>'FS_Detail(M)'!DR24+'FS_Detail(M)'!DR29+'FS_Detail(M)'!DR34+'FS_Detail(M)'!DR39+'FS_Detail(M)'!DR44+'FS_Detail(M)'!DR49</f>
        <v>213000000</v>
      </c>
      <c r="DR33" s="171">
        <f>'FS_Detail(M)'!DS24+'FS_Detail(M)'!DS29+'FS_Detail(M)'!DS34+'FS_Detail(M)'!DS39+'FS_Detail(M)'!DS44+'FS_Detail(M)'!DS49</f>
        <v>213000000</v>
      </c>
      <c r="DS33" s="171">
        <f>'FS_Detail(M)'!DT24+'FS_Detail(M)'!DT29+'FS_Detail(M)'!DT34+'FS_Detail(M)'!DT39+'FS_Detail(M)'!DT44+'FS_Detail(M)'!DT49</f>
        <v>213000000</v>
      </c>
      <c r="DT33" s="171">
        <f>'FS_Detail(M)'!DU24+'FS_Detail(M)'!DU29+'FS_Detail(M)'!DU34+'FS_Detail(M)'!DU39+'FS_Detail(M)'!DU44+'FS_Detail(M)'!DU49</f>
        <v>213000000</v>
      </c>
      <c r="DU33" s="171">
        <f>'FS_Detail(M)'!DV24+'FS_Detail(M)'!DV29+'FS_Detail(M)'!DV34+'FS_Detail(M)'!DV39+'FS_Detail(M)'!DV44+'FS_Detail(M)'!DV49</f>
        <v>213000000</v>
      </c>
      <c r="DV33" s="171">
        <f>'FS_Detail(M)'!DW24+'FS_Detail(M)'!DW29+'FS_Detail(M)'!DW34+'FS_Detail(M)'!DW39+'FS_Detail(M)'!DW44+'FS_Detail(M)'!DW49</f>
        <v>213000000</v>
      </c>
      <c r="DW33" s="171">
        <f>'FS_Detail(M)'!DX24+'FS_Detail(M)'!DX29+'FS_Detail(M)'!DX34+'FS_Detail(M)'!DX39+'FS_Detail(M)'!DX44+'FS_Detail(M)'!DX49</f>
        <v>213000000</v>
      </c>
      <c r="DX33" s="171">
        <f>'FS_Detail(M)'!DY24+'FS_Detail(M)'!DY29+'FS_Detail(M)'!DY34+'FS_Detail(M)'!DY39+'FS_Detail(M)'!DY44+'FS_Detail(M)'!DY49</f>
        <v>213000000</v>
      </c>
      <c r="DY33" s="171">
        <f>'FS_Detail(M)'!DZ24+'FS_Detail(M)'!DZ29+'FS_Detail(M)'!DZ34+'FS_Detail(M)'!DZ39+'FS_Detail(M)'!DZ44+'FS_Detail(M)'!DZ49</f>
        <v>213000000</v>
      </c>
      <c r="DZ33" s="171">
        <f>'FS_Detail(M)'!EA24+'FS_Detail(M)'!EA29+'FS_Detail(M)'!EA34+'FS_Detail(M)'!EA39+'FS_Detail(M)'!EA44+'FS_Detail(M)'!EA49</f>
        <v>213000000</v>
      </c>
      <c r="EA33" s="171">
        <f>'FS_Detail(M)'!EB24+'FS_Detail(M)'!EB29+'FS_Detail(M)'!EB34+'FS_Detail(M)'!EB39+'FS_Detail(M)'!EB44+'FS_Detail(M)'!EB49</f>
        <v>0</v>
      </c>
      <c r="EB33" s="171">
        <f>'FS_Detail(M)'!EC24+'FS_Detail(M)'!EC29+'FS_Detail(M)'!EC34+'FS_Detail(M)'!EC39+'FS_Detail(M)'!EC44+'FS_Detail(M)'!EC49</f>
        <v>0</v>
      </c>
      <c r="EC33" s="171">
        <f>'FS_Detail(M)'!ED24+'FS_Detail(M)'!ED29+'FS_Detail(M)'!ED34+'FS_Detail(M)'!ED39+'FS_Detail(M)'!ED44+'FS_Detail(M)'!ED49</f>
        <v>0</v>
      </c>
      <c r="ED33" s="171">
        <f>'FS_Detail(M)'!EE24+'FS_Detail(M)'!EE29+'FS_Detail(M)'!EE34+'FS_Detail(M)'!EE39+'FS_Detail(M)'!EE44+'FS_Detail(M)'!EE49</f>
        <v>0</v>
      </c>
      <c r="EE33" s="171">
        <f>'FS_Detail(M)'!EF24+'FS_Detail(M)'!EF29+'FS_Detail(M)'!EF34+'FS_Detail(M)'!EF39+'FS_Detail(M)'!EF44+'FS_Detail(M)'!EF49</f>
        <v>0</v>
      </c>
      <c r="EF33" s="171">
        <f>'FS_Detail(M)'!EG24+'FS_Detail(M)'!EG29+'FS_Detail(M)'!EG34+'FS_Detail(M)'!EG39+'FS_Detail(M)'!EG44+'FS_Detail(M)'!EG49</f>
        <v>0</v>
      </c>
      <c r="EG33" s="171">
        <f>'FS_Detail(M)'!EH24+'FS_Detail(M)'!EH29+'FS_Detail(M)'!EH34+'FS_Detail(M)'!EH39+'FS_Detail(M)'!EH44+'FS_Detail(M)'!EH49</f>
        <v>0</v>
      </c>
      <c r="EH33" s="171">
        <f>'FS_Detail(M)'!EI24+'FS_Detail(M)'!EI29+'FS_Detail(M)'!EI34+'FS_Detail(M)'!EI39+'FS_Detail(M)'!EI44+'FS_Detail(M)'!EI49</f>
        <v>0</v>
      </c>
      <c r="EI33" s="171">
        <f>'FS_Detail(M)'!EJ24+'FS_Detail(M)'!EJ29+'FS_Detail(M)'!EJ34+'FS_Detail(M)'!EJ39+'FS_Detail(M)'!EJ44+'FS_Detail(M)'!EJ49</f>
        <v>0</v>
      </c>
      <c r="EJ33" s="171">
        <f>'FS_Detail(M)'!EK24+'FS_Detail(M)'!EK29+'FS_Detail(M)'!EK34+'FS_Detail(M)'!EK39+'FS_Detail(M)'!EK44+'FS_Detail(M)'!EK49</f>
        <v>0</v>
      </c>
      <c r="EK33" s="171">
        <f>'FS_Detail(M)'!EL24+'FS_Detail(M)'!EL29+'FS_Detail(M)'!EL34+'FS_Detail(M)'!EL39+'FS_Detail(M)'!EL44+'FS_Detail(M)'!EL49</f>
        <v>0</v>
      </c>
      <c r="EL33" s="171">
        <f>'FS_Detail(M)'!EM24+'FS_Detail(M)'!EM29+'FS_Detail(M)'!EM34+'FS_Detail(M)'!EM39+'FS_Detail(M)'!EM44+'FS_Detail(M)'!EM49</f>
        <v>0</v>
      </c>
      <c r="EM33" s="171">
        <f>'FS_Detail(M)'!EN24+'FS_Detail(M)'!EN29+'FS_Detail(M)'!EN34+'FS_Detail(M)'!EN39+'FS_Detail(M)'!EN44+'FS_Detail(M)'!EN49</f>
        <v>0</v>
      </c>
      <c r="EN33" s="171">
        <f>'FS_Detail(M)'!EO24+'FS_Detail(M)'!EO29+'FS_Detail(M)'!EO34+'FS_Detail(M)'!EO39+'FS_Detail(M)'!EO44+'FS_Detail(M)'!EO49</f>
        <v>0</v>
      </c>
      <c r="EO33" s="171">
        <f>'FS_Detail(M)'!EP24+'FS_Detail(M)'!EP29+'FS_Detail(M)'!EP34+'FS_Detail(M)'!EP39+'FS_Detail(M)'!EP44+'FS_Detail(M)'!EP49</f>
        <v>0</v>
      </c>
      <c r="EP33" s="171">
        <f>'FS_Detail(M)'!EQ24+'FS_Detail(M)'!EQ29+'FS_Detail(M)'!EQ34+'FS_Detail(M)'!EQ39+'FS_Detail(M)'!EQ44+'FS_Detail(M)'!EQ49</f>
        <v>0</v>
      </c>
    </row>
    <row r="34" spans="2:146">
      <c r="B34" s="223" t="s">
        <v>88</v>
      </c>
      <c r="C34" s="224"/>
      <c r="D34" s="224"/>
      <c r="E34" s="224"/>
      <c r="F34" s="224"/>
      <c r="G34" s="224"/>
      <c r="H34" s="225"/>
      <c r="I34" s="975"/>
      <c r="K34" s="216">
        <f ca="1">SUM(K35,K38)</f>
        <v>98800000</v>
      </c>
      <c r="L34" s="216">
        <f t="shared" ref="L34:BW34" ca="1" si="21">SUM(L35,L38)</f>
        <v>98673010.331487849</v>
      </c>
      <c r="M34" s="216">
        <f t="shared" ca="1" si="21"/>
        <v>98555245.90350695</v>
      </c>
      <c r="N34" s="216">
        <f t="shared" ca="1" si="21"/>
        <v>98246771.464851066</v>
      </c>
      <c r="O34" s="216">
        <f t="shared" ca="1" si="21"/>
        <v>98082052.278924495</v>
      </c>
      <c r="P34" s="216">
        <f t="shared" ca="1" si="21"/>
        <v>97986209.126247942</v>
      </c>
      <c r="Q34" s="216">
        <f t="shared" ca="1" si="21"/>
        <v>94659246.052171379</v>
      </c>
      <c r="R34" s="216">
        <f t="shared" ca="1" si="21"/>
        <v>94467529.857158571</v>
      </c>
      <c r="S34" s="216">
        <f t="shared" ca="1" si="21"/>
        <v>94447781.853270769</v>
      </c>
      <c r="T34" s="216">
        <f t="shared" ca="1" si="21"/>
        <v>94428578.808570459</v>
      </c>
      <c r="U34" s="216">
        <f t="shared" ca="1" si="21"/>
        <v>94409920.723057657</v>
      </c>
      <c r="V34" s="216">
        <f t="shared" ca="1" si="21"/>
        <v>94391262.637544841</v>
      </c>
      <c r="W34" s="216">
        <f t="shared" ca="1" si="21"/>
        <v>91082458.607532039</v>
      </c>
      <c r="X34" s="216">
        <f t="shared" ca="1" si="21"/>
        <v>91043622.125144973</v>
      </c>
      <c r="Y34" s="216">
        <f t="shared" ca="1" si="21"/>
        <v>91003096.310052425</v>
      </c>
      <c r="Z34" s="216">
        <f t="shared" ca="1" si="21"/>
        <v>90767092.734018013</v>
      </c>
      <c r="AA34" s="216">
        <f t="shared" ca="1" si="21"/>
        <v>90629020.468138814</v>
      </c>
      <c r="AB34" s="216">
        <f t="shared" ca="1" si="21"/>
        <v>90561546.136340857</v>
      </c>
      <c r="AC34" s="216">
        <f t="shared" ca="1" si="21"/>
        <v>87818923.88510792</v>
      </c>
      <c r="AD34" s="216">
        <f t="shared" ca="1" si="21"/>
        <v>87653179.684915304</v>
      </c>
      <c r="AE34" s="216">
        <f t="shared" ca="1" si="21"/>
        <v>87663702.880625829</v>
      </c>
      <c r="AF34" s="216">
        <f t="shared" ca="1" si="21"/>
        <v>87674784.659503534</v>
      </c>
      <c r="AG34" s="216">
        <f t="shared" ca="1" si="21"/>
        <v>87686425.02154842</v>
      </c>
      <c r="AH34" s="216">
        <f t="shared" ca="1" si="21"/>
        <v>87698065.383593321</v>
      </c>
      <c r="AI34" s="216">
        <f t="shared" ca="1" si="21"/>
        <v>74974056.152525723</v>
      </c>
      <c r="AJ34" s="216">
        <f t="shared" ca="1" si="21"/>
        <v>74960264.448891103</v>
      </c>
      <c r="AK34" s="216">
        <f t="shared" ca="1" si="21"/>
        <v>74924091.586120903</v>
      </c>
      <c r="AL34" s="216">
        <f t="shared" ca="1" si="21"/>
        <v>74863833.044707149</v>
      </c>
      <c r="AM34" s="216">
        <f t="shared" ca="1" si="21"/>
        <v>74872422.027954668</v>
      </c>
      <c r="AN34" s="216">
        <f t="shared" ca="1" si="21"/>
        <v>74808626.935561419</v>
      </c>
      <c r="AO34" s="216">
        <f t="shared" ca="1" si="21"/>
        <v>72070680.225747287</v>
      </c>
      <c r="AP34" s="216">
        <f t="shared" ca="1" si="21"/>
        <v>72087977.694542944</v>
      </c>
      <c r="AQ34" s="216">
        <f t="shared" ca="1" si="21"/>
        <v>71042216.849302247</v>
      </c>
      <c r="AR34" s="216">
        <f t="shared" ca="1" si="21"/>
        <v>70023396.389899969</v>
      </c>
      <c r="AS34" s="216">
        <f t="shared" ca="1" si="21"/>
        <v>68940086.592674166</v>
      </c>
      <c r="AT34" s="216">
        <f t="shared" ca="1" si="21"/>
        <v>67925175.187970549</v>
      </c>
      <c r="AU34" s="216">
        <f t="shared" ca="1" si="21"/>
        <v>64174097.950326614</v>
      </c>
      <c r="AV34" s="216">
        <f t="shared" ca="1" si="21"/>
        <v>64220934.698419981</v>
      </c>
      <c r="AW34" s="216">
        <f t="shared" ca="1" si="21"/>
        <v>64273887.0184187</v>
      </c>
      <c r="AX34" s="216">
        <f t="shared" ca="1" si="21"/>
        <v>64325054.937194847</v>
      </c>
      <c r="AY34" s="216">
        <f t="shared" ca="1" si="21"/>
        <v>64373763.470346227</v>
      </c>
      <c r="AZ34" s="216">
        <f t="shared" ca="1" si="21"/>
        <v>64375933.129509121</v>
      </c>
      <c r="BA34" s="216">
        <f t="shared" ca="1" si="21"/>
        <v>61817500.367874339</v>
      </c>
      <c r="BB34" s="216">
        <f t="shared" ca="1" si="21"/>
        <v>61902174.73501306</v>
      </c>
      <c r="BC34" s="216">
        <f t="shared" ca="1" si="21"/>
        <v>61987407.657789022</v>
      </c>
      <c r="BD34" s="216">
        <f t="shared" ca="1" si="21"/>
        <v>62072640.580564983</v>
      </c>
      <c r="BE34" s="216">
        <f t="shared" ca="1" si="21"/>
        <v>62161293.422967054</v>
      </c>
      <c r="BF34" s="216">
        <f t="shared" ca="1" si="21"/>
        <v>62249946.265369125</v>
      </c>
      <c r="BG34" s="216">
        <f t="shared" ca="1" si="21"/>
        <v>59985307.108843185</v>
      </c>
      <c r="BH34" s="216">
        <f t="shared" ca="1" si="21"/>
        <v>60073728.474464372</v>
      </c>
      <c r="BI34" s="216">
        <f t="shared" ca="1" si="21"/>
        <v>60168348.228464738</v>
      </c>
      <c r="BJ34" s="216">
        <f t="shared" ca="1" si="21"/>
        <v>60267680.365297541</v>
      </c>
      <c r="BK34" s="216">
        <f t="shared" ca="1" si="21"/>
        <v>60379780.099687949</v>
      </c>
      <c r="BL34" s="216">
        <f t="shared" ca="1" si="21"/>
        <v>60415831.314608246</v>
      </c>
      <c r="BM34" s="216">
        <f t="shared" ca="1" si="21"/>
        <v>58389257.364789799</v>
      </c>
      <c r="BN34" s="216">
        <f t="shared" ca="1" si="21"/>
        <v>58510505.036519065</v>
      </c>
      <c r="BO34" s="216">
        <f t="shared" ca="1" si="21"/>
        <v>58631752.708248332</v>
      </c>
      <c r="BP34" s="216">
        <f t="shared" ca="1" si="21"/>
        <v>58753000.379977599</v>
      </c>
      <c r="BQ34" s="216">
        <f t="shared" ca="1" si="21"/>
        <v>58877753.469323628</v>
      </c>
      <c r="BR34" s="216">
        <f t="shared" ca="1" si="21"/>
        <v>59002506.558669657</v>
      </c>
      <c r="BS34" s="216">
        <f t="shared" ca="1" si="21"/>
        <v>56564781.212430246</v>
      </c>
      <c r="BT34" s="216">
        <f t="shared" ca="1" si="21"/>
        <v>56742486.312104702</v>
      </c>
      <c r="BU34" s="216">
        <f t="shared" ca="1" si="21"/>
        <v>56926544.759867817</v>
      </c>
      <c r="BV34" s="216">
        <f t="shared" ca="1" si="21"/>
        <v>57115433.400034174</v>
      </c>
      <c r="BW34" s="216">
        <f t="shared" ca="1" si="21"/>
        <v>57317408.827697076</v>
      </c>
      <c r="BX34" s="216">
        <f t="shared" ref="BX34:DO34" ca="1" si="22">SUM(BX35,BX38)</f>
        <v>57441434.522903129</v>
      </c>
      <c r="BY34" s="216">
        <f t="shared" ca="1" si="22"/>
        <v>54963801.718024991</v>
      </c>
      <c r="BZ34" s="216">
        <f t="shared" ca="1" si="22"/>
        <v>55175153.781460233</v>
      </c>
      <c r="CA34" s="216">
        <f t="shared" ca="1" si="22"/>
        <v>55386505.844895467</v>
      </c>
      <c r="CB34" s="216">
        <f t="shared" ca="1" si="22"/>
        <v>55597857.908330709</v>
      </c>
      <c r="CC34" s="216">
        <f t="shared" ca="1" si="22"/>
        <v>55812803.024823129</v>
      </c>
      <c r="CD34" s="216">
        <f t="shared" ca="1" si="22"/>
        <v>56027748.141315542</v>
      </c>
      <c r="CE34" s="216">
        <f t="shared" ca="1" si="22"/>
        <v>53144195.911588565</v>
      </c>
      <c r="CF34" s="216">
        <f t="shared" ca="1" si="22"/>
        <v>53358776.399413399</v>
      </c>
      <c r="CG34" s="216">
        <f t="shared" ca="1" si="22"/>
        <v>53579869.069029115</v>
      </c>
      <c r="CH34" s="216">
        <f t="shared" ca="1" si="22"/>
        <v>53805912.68585816</v>
      </c>
      <c r="CI34" s="216">
        <f t="shared" ca="1" si="22"/>
        <v>54045370.259871148</v>
      </c>
      <c r="CJ34" s="216">
        <f t="shared" ca="1" si="22"/>
        <v>54204929.358115867</v>
      </c>
      <c r="CK34" s="216">
        <f t="shared" ca="1" si="22"/>
        <v>51538364.248791359</v>
      </c>
      <c r="CL34" s="216">
        <f t="shared" ca="1" si="22"/>
        <v>51787432.874471001</v>
      </c>
      <c r="CM34" s="216">
        <f t="shared" ca="1" si="22"/>
        <v>52036501.500150643</v>
      </c>
      <c r="CN34" s="216">
        <f t="shared" ca="1" si="22"/>
        <v>52285570.125830285</v>
      </c>
      <c r="CO34" s="216">
        <f t="shared" ca="1" si="22"/>
        <v>52538321.630893536</v>
      </c>
      <c r="CP34" s="216">
        <f t="shared" ca="1" si="22"/>
        <v>52791073.135956787</v>
      </c>
      <c r="CQ34" s="216">
        <f t="shared" ca="1" si="22"/>
        <v>49723549.984234676</v>
      </c>
      <c r="CR34" s="216">
        <f t="shared" ca="1" si="22"/>
        <v>49975870.071245052</v>
      </c>
      <c r="CS34" s="216">
        <f t="shared" ca="1" si="22"/>
        <v>50234865.144591078</v>
      </c>
      <c r="CT34" s="216">
        <f t="shared" ca="1" si="22"/>
        <v>50498934.938830771</v>
      </c>
      <c r="CU34" s="216">
        <f t="shared" ca="1" si="22"/>
        <v>50776754.039184004</v>
      </c>
      <c r="CV34" s="216">
        <f t="shared" ca="1" si="22"/>
        <v>50972677.201874763</v>
      </c>
      <c r="CW34" s="216">
        <f t="shared" ca="1" si="22"/>
        <v>48339233.426395573</v>
      </c>
      <c r="CX34" s="216">
        <f t="shared" ca="1" si="22"/>
        <v>47989927.092115551</v>
      </c>
      <c r="CY34" s="216">
        <f t="shared" ca="1" si="22"/>
        <v>48240772.528219581</v>
      </c>
      <c r="CZ34" s="216">
        <f t="shared" ca="1" si="22"/>
        <v>48491617.96432361</v>
      </c>
      <c r="DA34" s="216">
        <f t="shared" ca="1" si="22"/>
        <v>48668851.848747738</v>
      </c>
      <c r="DB34" s="216">
        <f t="shared" ca="1" si="22"/>
        <v>48923472.236219965</v>
      </c>
      <c r="DC34" s="216">
        <f t="shared" ca="1" si="22"/>
        <v>46463092.623692192</v>
      </c>
      <c r="DD34" s="216">
        <f t="shared" ca="1" si="22"/>
        <v>46717298.101881221</v>
      </c>
      <c r="DE34" s="216">
        <f t="shared" ca="1" si="22"/>
        <v>46978153.314211875</v>
      </c>
      <c r="DF34" s="216">
        <f t="shared" ca="1" si="22"/>
        <v>47226467.852740519</v>
      </c>
      <c r="DG34" s="216">
        <f t="shared" ca="1" si="22"/>
        <v>47464295.306326963</v>
      </c>
      <c r="DH34" s="216">
        <f t="shared" ca="1" si="22"/>
        <v>47744339.760078818</v>
      </c>
      <c r="DI34" s="216">
        <f t="shared" ca="1" si="22"/>
        <v>45283297.10927292</v>
      </c>
      <c r="DJ34" s="216">
        <f t="shared" ca="1" si="22"/>
        <v>45572591.299409792</v>
      </c>
      <c r="DK34" s="216">
        <f t="shared" ca="1" si="22"/>
        <v>45862517.443981998</v>
      </c>
      <c r="DL34" s="216">
        <f t="shared" ca="1" si="22"/>
        <v>46152443.588554204</v>
      </c>
      <c r="DM34" s="216">
        <f t="shared" ca="1" si="22"/>
        <v>46446239.058278814</v>
      </c>
      <c r="DN34" s="216">
        <f t="shared" ca="1" si="22"/>
        <v>46740034.528003424</v>
      </c>
      <c r="DO34" s="216">
        <f t="shared" ca="1" si="22"/>
        <v>44318829.997728035</v>
      </c>
      <c r="DP34" s="216">
        <f t="shared" ref="DP34:EP34" ca="1" si="23">SUM(DP35,DP38)</f>
        <v>44612145.481791005</v>
      </c>
      <c r="DQ34" s="216">
        <f t="shared" ca="1" si="23"/>
        <v>44912276.943349138</v>
      </c>
      <c r="DR34" s="216">
        <f t="shared" ca="1" si="23"/>
        <v>45217578.329556294</v>
      </c>
      <c r="DS34" s="216">
        <f t="shared" ca="1" si="23"/>
        <v>45536888.099344373</v>
      </c>
      <c r="DT34" s="216">
        <f t="shared" ca="1" si="23"/>
        <v>45856197.869132452</v>
      </c>
      <c r="DU34" s="216">
        <f t="shared" ca="1" si="23"/>
        <v>43465839.45039998</v>
      </c>
      <c r="DV34" s="216">
        <f t="shared" ca="1" si="23"/>
        <v>43795277.953278922</v>
      </c>
      <c r="DW34" s="216">
        <f t="shared" ca="1" si="23"/>
        <v>44124716.456157863</v>
      </c>
      <c r="DX34" s="216">
        <f t="shared" ca="1" si="23"/>
        <v>44454154.959036805</v>
      </c>
      <c r="DY34" s="216">
        <f t="shared" ca="1" si="23"/>
        <v>44787559.520196959</v>
      </c>
      <c r="DZ34" s="216">
        <f t="shared" ca="1" si="23"/>
        <v>45120964.081357114</v>
      </c>
      <c r="EA34" s="216">
        <f t="shared" ca="1" si="23"/>
        <v>0</v>
      </c>
      <c r="EB34" s="216">
        <f t="shared" ca="1" si="23"/>
        <v>0</v>
      </c>
      <c r="EC34" s="216">
        <f t="shared" ca="1" si="23"/>
        <v>0</v>
      </c>
      <c r="ED34" s="216">
        <f t="shared" ca="1" si="23"/>
        <v>0</v>
      </c>
      <c r="EE34" s="216">
        <f t="shared" ca="1" si="23"/>
        <v>0</v>
      </c>
      <c r="EF34" s="216">
        <f t="shared" ca="1" si="23"/>
        <v>0</v>
      </c>
      <c r="EG34" s="216">
        <f t="shared" ca="1" si="23"/>
        <v>0</v>
      </c>
      <c r="EH34" s="216">
        <f t="shared" ca="1" si="23"/>
        <v>0</v>
      </c>
      <c r="EI34" s="216">
        <f t="shared" ca="1" si="23"/>
        <v>0</v>
      </c>
      <c r="EJ34" s="216">
        <f t="shared" ca="1" si="23"/>
        <v>0</v>
      </c>
      <c r="EK34" s="216">
        <f t="shared" ca="1" si="23"/>
        <v>0</v>
      </c>
      <c r="EL34" s="216">
        <f t="shared" ca="1" si="23"/>
        <v>0</v>
      </c>
      <c r="EM34" s="216">
        <f t="shared" ca="1" si="23"/>
        <v>0</v>
      </c>
      <c r="EN34" s="216">
        <f t="shared" ca="1" si="23"/>
        <v>0</v>
      </c>
      <c r="EO34" s="216">
        <f t="shared" ca="1" si="23"/>
        <v>0</v>
      </c>
      <c r="EP34" s="216">
        <f t="shared" ca="1" si="23"/>
        <v>0</v>
      </c>
    </row>
    <row r="35" spans="2:146">
      <c r="B35" s="218"/>
      <c r="C35" s="158" t="s">
        <v>544</v>
      </c>
      <c r="D35" s="159"/>
      <c r="E35" s="159"/>
      <c r="F35" s="159"/>
      <c r="G35" s="159"/>
      <c r="H35" s="160"/>
      <c r="I35" s="973"/>
      <c r="J35" s="98"/>
      <c r="K35" s="162">
        <f>SUM(K36:K37)</f>
        <v>98800000</v>
      </c>
      <c r="L35" s="162">
        <f t="shared" ref="L35:BW35" si="24">SUM(L36:L37)</f>
        <v>98800000</v>
      </c>
      <c r="M35" s="162">
        <f t="shared" si="24"/>
        <v>98800000</v>
      </c>
      <c r="N35" s="162">
        <f t="shared" si="24"/>
        <v>98800000</v>
      </c>
      <c r="O35" s="162">
        <f t="shared" si="24"/>
        <v>98800000</v>
      </c>
      <c r="P35" s="162">
        <f t="shared" si="24"/>
        <v>98800000</v>
      </c>
      <c r="Q35" s="162">
        <f t="shared" si="24"/>
        <v>98800000</v>
      </c>
      <c r="R35" s="162">
        <f t="shared" si="24"/>
        <v>98800000</v>
      </c>
      <c r="S35" s="162">
        <f t="shared" si="24"/>
        <v>98800000</v>
      </c>
      <c r="T35" s="162">
        <f t="shared" si="24"/>
        <v>98800000</v>
      </c>
      <c r="U35" s="162">
        <f t="shared" si="24"/>
        <v>98800000</v>
      </c>
      <c r="V35" s="162">
        <f t="shared" si="24"/>
        <v>98800000</v>
      </c>
      <c r="W35" s="162">
        <f t="shared" si="24"/>
        <v>98800000</v>
      </c>
      <c r="X35" s="162">
        <f t="shared" si="24"/>
        <v>98800000</v>
      </c>
      <c r="Y35" s="162">
        <f t="shared" si="24"/>
        <v>98800000</v>
      </c>
      <c r="Z35" s="162">
        <f t="shared" si="24"/>
        <v>98800000</v>
      </c>
      <c r="AA35" s="162">
        <f t="shared" si="24"/>
        <v>98800000</v>
      </c>
      <c r="AB35" s="162">
        <f t="shared" si="24"/>
        <v>98800000</v>
      </c>
      <c r="AC35" s="162">
        <f t="shared" si="24"/>
        <v>98800000</v>
      </c>
      <c r="AD35" s="162">
        <f t="shared" si="24"/>
        <v>98800000</v>
      </c>
      <c r="AE35" s="162">
        <f t="shared" si="24"/>
        <v>98800000</v>
      </c>
      <c r="AF35" s="162">
        <f t="shared" si="24"/>
        <v>98800000</v>
      </c>
      <c r="AG35" s="162">
        <f t="shared" si="24"/>
        <v>98800000</v>
      </c>
      <c r="AH35" s="162">
        <f t="shared" si="24"/>
        <v>98800000</v>
      </c>
      <c r="AI35" s="162">
        <f t="shared" si="24"/>
        <v>88800000</v>
      </c>
      <c r="AJ35" s="162">
        <f t="shared" si="24"/>
        <v>88800000</v>
      </c>
      <c r="AK35" s="162">
        <f t="shared" si="24"/>
        <v>88800000</v>
      </c>
      <c r="AL35" s="162">
        <f t="shared" si="24"/>
        <v>88800000</v>
      </c>
      <c r="AM35" s="162">
        <f t="shared" si="24"/>
        <v>88800000</v>
      </c>
      <c r="AN35" s="162">
        <f t="shared" si="24"/>
        <v>88800000</v>
      </c>
      <c r="AO35" s="162">
        <f t="shared" si="24"/>
        <v>88800000</v>
      </c>
      <c r="AP35" s="162">
        <f t="shared" si="24"/>
        <v>88800000</v>
      </c>
      <c r="AQ35" s="162">
        <f t="shared" si="24"/>
        <v>88800000</v>
      </c>
      <c r="AR35" s="162">
        <f t="shared" si="24"/>
        <v>88800000</v>
      </c>
      <c r="AS35" s="162">
        <f t="shared" si="24"/>
        <v>88800000</v>
      </c>
      <c r="AT35" s="162">
        <f t="shared" si="24"/>
        <v>88800000</v>
      </c>
      <c r="AU35" s="162">
        <f t="shared" si="24"/>
        <v>88800000</v>
      </c>
      <c r="AV35" s="162">
        <f t="shared" si="24"/>
        <v>88800000</v>
      </c>
      <c r="AW35" s="162">
        <f t="shared" si="24"/>
        <v>88800000</v>
      </c>
      <c r="AX35" s="162">
        <f t="shared" si="24"/>
        <v>88800000</v>
      </c>
      <c r="AY35" s="162">
        <f t="shared" si="24"/>
        <v>88800000</v>
      </c>
      <c r="AZ35" s="162">
        <f t="shared" si="24"/>
        <v>88800000</v>
      </c>
      <c r="BA35" s="162">
        <f t="shared" si="24"/>
        <v>88800000</v>
      </c>
      <c r="BB35" s="162">
        <f t="shared" si="24"/>
        <v>88800000</v>
      </c>
      <c r="BC35" s="162">
        <f t="shared" si="24"/>
        <v>88800000</v>
      </c>
      <c r="BD35" s="162">
        <f t="shared" si="24"/>
        <v>88800000</v>
      </c>
      <c r="BE35" s="162">
        <f t="shared" si="24"/>
        <v>88800000</v>
      </c>
      <c r="BF35" s="162">
        <f t="shared" si="24"/>
        <v>88800000</v>
      </c>
      <c r="BG35" s="162">
        <f t="shared" si="24"/>
        <v>88800000</v>
      </c>
      <c r="BH35" s="162">
        <f t="shared" si="24"/>
        <v>88800000</v>
      </c>
      <c r="BI35" s="162">
        <f t="shared" si="24"/>
        <v>88800000</v>
      </c>
      <c r="BJ35" s="162">
        <f t="shared" si="24"/>
        <v>88800000</v>
      </c>
      <c r="BK35" s="162">
        <f t="shared" si="24"/>
        <v>88800000</v>
      </c>
      <c r="BL35" s="162">
        <f t="shared" si="24"/>
        <v>88800000</v>
      </c>
      <c r="BM35" s="162">
        <f t="shared" si="24"/>
        <v>88800000</v>
      </c>
      <c r="BN35" s="162">
        <f t="shared" si="24"/>
        <v>88800000</v>
      </c>
      <c r="BO35" s="162">
        <f t="shared" si="24"/>
        <v>88800000</v>
      </c>
      <c r="BP35" s="162">
        <f t="shared" si="24"/>
        <v>88800000</v>
      </c>
      <c r="BQ35" s="162">
        <f t="shared" si="24"/>
        <v>88800000</v>
      </c>
      <c r="BR35" s="162">
        <f t="shared" si="24"/>
        <v>88800000</v>
      </c>
      <c r="BS35" s="162">
        <f t="shared" si="24"/>
        <v>88800000</v>
      </c>
      <c r="BT35" s="162">
        <f t="shared" si="24"/>
        <v>88800000</v>
      </c>
      <c r="BU35" s="162">
        <f t="shared" si="24"/>
        <v>88800000</v>
      </c>
      <c r="BV35" s="162">
        <f t="shared" si="24"/>
        <v>88800000</v>
      </c>
      <c r="BW35" s="162">
        <f t="shared" si="24"/>
        <v>88800000</v>
      </c>
      <c r="BX35" s="162">
        <f t="shared" ref="BX35:DO35" si="25">SUM(BX36:BX37)</f>
        <v>88800000</v>
      </c>
      <c r="BY35" s="162">
        <f t="shared" si="25"/>
        <v>88800000</v>
      </c>
      <c r="BZ35" s="162">
        <f t="shared" si="25"/>
        <v>88800000</v>
      </c>
      <c r="CA35" s="162">
        <f t="shared" si="25"/>
        <v>88800000</v>
      </c>
      <c r="CB35" s="162">
        <f t="shared" si="25"/>
        <v>88800000</v>
      </c>
      <c r="CC35" s="162">
        <f t="shared" si="25"/>
        <v>88800000</v>
      </c>
      <c r="CD35" s="162">
        <f t="shared" si="25"/>
        <v>88800000</v>
      </c>
      <c r="CE35" s="162">
        <f t="shared" si="25"/>
        <v>88800000</v>
      </c>
      <c r="CF35" s="162">
        <f t="shared" si="25"/>
        <v>88800000</v>
      </c>
      <c r="CG35" s="162">
        <f t="shared" si="25"/>
        <v>88800000</v>
      </c>
      <c r="CH35" s="162">
        <f t="shared" si="25"/>
        <v>88800000</v>
      </c>
      <c r="CI35" s="162">
        <f t="shared" si="25"/>
        <v>88800000</v>
      </c>
      <c r="CJ35" s="162">
        <f t="shared" si="25"/>
        <v>88800000</v>
      </c>
      <c r="CK35" s="162">
        <f t="shared" si="25"/>
        <v>88800000</v>
      </c>
      <c r="CL35" s="162">
        <f t="shared" si="25"/>
        <v>88800000</v>
      </c>
      <c r="CM35" s="162">
        <f t="shared" si="25"/>
        <v>88800000</v>
      </c>
      <c r="CN35" s="162">
        <f t="shared" si="25"/>
        <v>88800000</v>
      </c>
      <c r="CO35" s="162">
        <f t="shared" si="25"/>
        <v>88800000</v>
      </c>
      <c r="CP35" s="162">
        <f t="shared" si="25"/>
        <v>88800000</v>
      </c>
      <c r="CQ35" s="162">
        <f t="shared" si="25"/>
        <v>88800000</v>
      </c>
      <c r="CR35" s="162">
        <f t="shared" si="25"/>
        <v>88800000</v>
      </c>
      <c r="CS35" s="162">
        <f t="shared" si="25"/>
        <v>88800000</v>
      </c>
      <c r="CT35" s="162">
        <f t="shared" si="25"/>
        <v>88800000</v>
      </c>
      <c r="CU35" s="162">
        <f t="shared" si="25"/>
        <v>88800000</v>
      </c>
      <c r="CV35" s="162">
        <f t="shared" si="25"/>
        <v>88800000</v>
      </c>
      <c r="CW35" s="162">
        <f t="shared" si="25"/>
        <v>88800000</v>
      </c>
      <c r="CX35" s="162">
        <f t="shared" si="25"/>
        <v>88800000</v>
      </c>
      <c r="CY35" s="162">
        <f t="shared" si="25"/>
        <v>88800000</v>
      </c>
      <c r="CZ35" s="162">
        <f t="shared" si="25"/>
        <v>88800000</v>
      </c>
      <c r="DA35" s="162">
        <f t="shared" si="25"/>
        <v>88800000</v>
      </c>
      <c r="DB35" s="162">
        <f t="shared" si="25"/>
        <v>88800000</v>
      </c>
      <c r="DC35" s="162">
        <f t="shared" si="25"/>
        <v>88800000</v>
      </c>
      <c r="DD35" s="162">
        <f t="shared" si="25"/>
        <v>88800000</v>
      </c>
      <c r="DE35" s="162">
        <f t="shared" si="25"/>
        <v>88800000</v>
      </c>
      <c r="DF35" s="162">
        <f t="shared" si="25"/>
        <v>88800000</v>
      </c>
      <c r="DG35" s="162">
        <f t="shared" si="25"/>
        <v>88800000</v>
      </c>
      <c r="DH35" s="162">
        <f t="shared" si="25"/>
        <v>88800000</v>
      </c>
      <c r="DI35" s="162">
        <f t="shared" si="25"/>
        <v>88800000</v>
      </c>
      <c r="DJ35" s="162">
        <f t="shared" si="25"/>
        <v>88800000</v>
      </c>
      <c r="DK35" s="162">
        <f t="shared" si="25"/>
        <v>88800000</v>
      </c>
      <c r="DL35" s="162">
        <f t="shared" si="25"/>
        <v>88800000</v>
      </c>
      <c r="DM35" s="162">
        <f t="shared" si="25"/>
        <v>88800000</v>
      </c>
      <c r="DN35" s="162">
        <f t="shared" si="25"/>
        <v>88800000</v>
      </c>
      <c r="DO35" s="162">
        <f t="shared" si="25"/>
        <v>88800000</v>
      </c>
      <c r="DP35" s="162">
        <f t="shared" ref="DP35:EP35" si="26">SUM(DP36:DP37)</f>
        <v>88800000</v>
      </c>
      <c r="DQ35" s="162">
        <f t="shared" si="26"/>
        <v>88800000</v>
      </c>
      <c r="DR35" s="162">
        <f t="shared" si="26"/>
        <v>88800000</v>
      </c>
      <c r="DS35" s="162">
        <f t="shared" si="26"/>
        <v>88800000</v>
      </c>
      <c r="DT35" s="162">
        <f t="shared" si="26"/>
        <v>88800000</v>
      </c>
      <c r="DU35" s="162">
        <f t="shared" si="26"/>
        <v>88800000</v>
      </c>
      <c r="DV35" s="162">
        <f t="shared" si="26"/>
        <v>88800000</v>
      </c>
      <c r="DW35" s="162">
        <f t="shared" si="26"/>
        <v>88800000</v>
      </c>
      <c r="DX35" s="162">
        <f t="shared" si="26"/>
        <v>88800000</v>
      </c>
      <c r="DY35" s="162">
        <f t="shared" si="26"/>
        <v>88800000</v>
      </c>
      <c r="DZ35" s="162">
        <f t="shared" si="26"/>
        <v>88800000</v>
      </c>
      <c r="EA35" s="162">
        <f t="shared" si="26"/>
        <v>0</v>
      </c>
      <c r="EB35" s="162">
        <f t="shared" si="26"/>
        <v>0</v>
      </c>
      <c r="EC35" s="162">
        <f t="shared" si="26"/>
        <v>0</v>
      </c>
      <c r="ED35" s="162">
        <f t="shared" si="26"/>
        <v>0</v>
      </c>
      <c r="EE35" s="162">
        <f t="shared" si="26"/>
        <v>0</v>
      </c>
      <c r="EF35" s="162">
        <f t="shared" si="26"/>
        <v>0</v>
      </c>
      <c r="EG35" s="162">
        <f t="shared" si="26"/>
        <v>0</v>
      </c>
      <c r="EH35" s="162">
        <f t="shared" si="26"/>
        <v>0</v>
      </c>
      <c r="EI35" s="162">
        <f t="shared" si="26"/>
        <v>0</v>
      </c>
      <c r="EJ35" s="162">
        <f t="shared" si="26"/>
        <v>0</v>
      </c>
      <c r="EK35" s="162">
        <f t="shared" si="26"/>
        <v>0</v>
      </c>
      <c r="EL35" s="162">
        <f t="shared" si="26"/>
        <v>0</v>
      </c>
      <c r="EM35" s="162">
        <f t="shared" si="26"/>
        <v>0</v>
      </c>
      <c r="EN35" s="162">
        <f t="shared" si="26"/>
        <v>0</v>
      </c>
      <c r="EO35" s="162">
        <f t="shared" si="26"/>
        <v>0</v>
      </c>
      <c r="EP35" s="162">
        <f t="shared" si="26"/>
        <v>0</v>
      </c>
    </row>
    <row r="36" spans="2:146">
      <c r="B36" s="218"/>
      <c r="C36" s="163"/>
      <c r="D36" s="164" t="s">
        <v>543</v>
      </c>
      <c r="E36" s="165"/>
      <c r="F36" s="165"/>
      <c r="G36" s="165"/>
      <c r="H36" s="166"/>
      <c r="I36" s="976"/>
      <c r="J36" s="98"/>
      <c r="K36" s="168">
        <f>'FS_Detail(M)'!L237+'FS_Detail(M)'!L267+'FS_Detail(M)'!L277+'FS_Detail(M)'!L257+'FS_Detail(M)'!L247</f>
        <v>6354782.6086956523</v>
      </c>
      <c r="L36" s="168">
        <f>'FS_Detail(M)'!M237+'FS_Detail(M)'!M267+'FS_Detail(M)'!M277+'FS_Detail(M)'!M257+'FS_Detail(M)'!M247</f>
        <v>6354782.6086956523</v>
      </c>
      <c r="M36" s="168">
        <f>'FS_Detail(M)'!N237+'FS_Detail(M)'!N267+'FS_Detail(M)'!N277+'FS_Detail(M)'!N257+'FS_Detail(M)'!N247</f>
        <v>6354782.6086956523</v>
      </c>
      <c r="N36" s="168">
        <f>'FS_Detail(M)'!O237+'FS_Detail(M)'!O267+'FS_Detail(M)'!O277+'FS_Detail(M)'!O257+'FS_Detail(M)'!O247</f>
        <v>6354782.6086956523</v>
      </c>
      <c r="O36" s="168">
        <f>'FS_Detail(M)'!P237+'FS_Detail(M)'!P267+'FS_Detail(M)'!P277+'FS_Detail(M)'!P257+'FS_Detail(M)'!P247</f>
        <v>6354782.6086956523</v>
      </c>
      <c r="P36" s="168">
        <f>'FS_Detail(M)'!Q237+'FS_Detail(M)'!Q267+'FS_Detail(M)'!Q277+'FS_Detail(M)'!Q257+'FS_Detail(M)'!Q247</f>
        <v>6354782.6086956523</v>
      </c>
      <c r="Q36" s="168">
        <f>'FS_Detail(M)'!R237+'FS_Detail(M)'!R267+'FS_Detail(M)'!R277+'FS_Detail(M)'!R257+'FS_Detail(M)'!R247</f>
        <v>6354782.6086956523</v>
      </c>
      <c r="R36" s="168">
        <f>'FS_Detail(M)'!S237+'FS_Detail(M)'!S267+'FS_Detail(M)'!S277+'FS_Detail(M)'!S257+'FS_Detail(M)'!S247</f>
        <v>6354782.6086956523</v>
      </c>
      <c r="S36" s="168">
        <f>'FS_Detail(M)'!T237+'FS_Detail(M)'!T267+'FS_Detail(M)'!T277+'FS_Detail(M)'!T257+'FS_Detail(M)'!T247</f>
        <v>6354782.6086956523</v>
      </c>
      <c r="T36" s="168">
        <f>'FS_Detail(M)'!U237+'FS_Detail(M)'!U267+'FS_Detail(M)'!U277+'FS_Detail(M)'!U257+'FS_Detail(M)'!U247</f>
        <v>6354782.6086956523</v>
      </c>
      <c r="U36" s="168">
        <f>'FS_Detail(M)'!V237+'FS_Detail(M)'!V267+'FS_Detail(M)'!V277+'FS_Detail(M)'!V257+'FS_Detail(M)'!V247</f>
        <v>6354782.6086956523</v>
      </c>
      <c r="V36" s="168">
        <f>'FS_Detail(M)'!W237+'FS_Detail(M)'!W267+'FS_Detail(M)'!W277+'FS_Detail(M)'!W257+'FS_Detail(M)'!W247</f>
        <v>6354782.6086956523</v>
      </c>
      <c r="W36" s="168">
        <f>'FS_Detail(M)'!X237+'FS_Detail(M)'!X267+'FS_Detail(M)'!X277+'FS_Detail(M)'!X257+'FS_Detail(M)'!X247</f>
        <v>6354782.6086956523</v>
      </c>
      <c r="X36" s="168">
        <f>'FS_Detail(M)'!Y237+'FS_Detail(M)'!Y267+'FS_Detail(M)'!Y277+'FS_Detail(M)'!Y257+'FS_Detail(M)'!Y247</f>
        <v>6354782.6086956523</v>
      </c>
      <c r="Y36" s="168">
        <f>'FS_Detail(M)'!Z237+'FS_Detail(M)'!Z267+'FS_Detail(M)'!Z277+'FS_Detail(M)'!Z257+'FS_Detail(M)'!Z247</f>
        <v>6354782.6086956523</v>
      </c>
      <c r="Z36" s="168">
        <f>'FS_Detail(M)'!AA237+'FS_Detail(M)'!AA267+'FS_Detail(M)'!AA277+'FS_Detail(M)'!AA257+'FS_Detail(M)'!AA247</f>
        <v>6354782.6086956523</v>
      </c>
      <c r="AA36" s="168">
        <f>'FS_Detail(M)'!AB237+'FS_Detail(M)'!AB267+'FS_Detail(M)'!AB277+'FS_Detail(M)'!AB257+'FS_Detail(M)'!AB247</f>
        <v>6354782.6086956523</v>
      </c>
      <c r="AB36" s="168">
        <f>'FS_Detail(M)'!AC237+'FS_Detail(M)'!AC267+'FS_Detail(M)'!AC277+'FS_Detail(M)'!AC257+'FS_Detail(M)'!AC247</f>
        <v>6354782.6086956523</v>
      </c>
      <c r="AC36" s="168">
        <f>'FS_Detail(M)'!AD237+'FS_Detail(M)'!AD267+'FS_Detail(M)'!AD277+'FS_Detail(M)'!AD257+'FS_Detail(M)'!AD247</f>
        <v>6354782.6086956523</v>
      </c>
      <c r="AD36" s="168">
        <f>'FS_Detail(M)'!AE237+'FS_Detail(M)'!AE267+'FS_Detail(M)'!AE277+'FS_Detail(M)'!AE257+'FS_Detail(M)'!AE247</f>
        <v>6354782.6086956523</v>
      </c>
      <c r="AE36" s="168">
        <f>'FS_Detail(M)'!AF237+'FS_Detail(M)'!AF267+'FS_Detail(M)'!AF277+'FS_Detail(M)'!AF257+'FS_Detail(M)'!AF247</f>
        <v>6354782.6086956523</v>
      </c>
      <c r="AF36" s="168">
        <f>'FS_Detail(M)'!AG237+'FS_Detail(M)'!AG267+'FS_Detail(M)'!AG277+'FS_Detail(M)'!AG257+'FS_Detail(M)'!AG247</f>
        <v>6354782.6086956523</v>
      </c>
      <c r="AG36" s="168">
        <f>'FS_Detail(M)'!AH237+'FS_Detail(M)'!AH267+'FS_Detail(M)'!AH277+'FS_Detail(M)'!AH257+'FS_Detail(M)'!AH247</f>
        <v>6354782.6086956523</v>
      </c>
      <c r="AH36" s="168">
        <f>'FS_Detail(M)'!AI237+'FS_Detail(M)'!AI267+'FS_Detail(M)'!AI277+'FS_Detail(M)'!AI257+'FS_Detail(M)'!AI247</f>
        <v>6354782.6086956523</v>
      </c>
      <c r="AI36" s="168">
        <f>'FS_Detail(M)'!AJ237+'FS_Detail(M)'!AJ267+'FS_Detail(M)'!AJ277+'FS_Detail(M)'!AJ257+'FS_Detail(M)'!AJ247</f>
        <v>5920000</v>
      </c>
      <c r="AJ36" s="168">
        <f>'FS_Detail(M)'!AK237+'FS_Detail(M)'!AK267+'FS_Detail(M)'!AK277+'FS_Detail(M)'!AK257+'FS_Detail(M)'!AK247</f>
        <v>5920000</v>
      </c>
      <c r="AK36" s="168">
        <f>'FS_Detail(M)'!AL237+'FS_Detail(M)'!AL267+'FS_Detail(M)'!AL277+'FS_Detail(M)'!AL257+'FS_Detail(M)'!AL247</f>
        <v>5920000</v>
      </c>
      <c r="AL36" s="168">
        <f>'FS_Detail(M)'!AM237+'FS_Detail(M)'!AM267+'FS_Detail(M)'!AM277+'FS_Detail(M)'!AM257+'FS_Detail(M)'!AM247</f>
        <v>5920000</v>
      </c>
      <c r="AM36" s="168">
        <f>'FS_Detail(M)'!AN237+'FS_Detail(M)'!AN267+'FS_Detail(M)'!AN277+'FS_Detail(M)'!AN257+'FS_Detail(M)'!AN247</f>
        <v>5920000</v>
      </c>
      <c r="AN36" s="168">
        <f>'FS_Detail(M)'!AO237+'FS_Detail(M)'!AO267+'FS_Detail(M)'!AO277+'FS_Detail(M)'!AO257+'FS_Detail(M)'!AO247</f>
        <v>5920000</v>
      </c>
      <c r="AO36" s="168">
        <f>'FS_Detail(M)'!AP237+'FS_Detail(M)'!AP267+'FS_Detail(M)'!AP277+'FS_Detail(M)'!AP257+'FS_Detail(M)'!AP247</f>
        <v>5920000</v>
      </c>
      <c r="AP36" s="168">
        <f>'FS_Detail(M)'!AQ237+'FS_Detail(M)'!AQ267+'FS_Detail(M)'!AQ277+'FS_Detail(M)'!AQ257+'FS_Detail(M)'!AQ247</f>
        <v>5920000</v>
      </c>
      <c r="AQ36" s="168">
        <f>'FS_Detail(M)'!AR237+'FS_Detail(M)'!AR267+'FS_Detail(M)'!AR277+'FS_Detail(M)'!AR257+'FS_Detail(M)'!AR247</f>
        <v>5920000</v>
      </c>
      <c r="AR36" s="168">
        <f>'FS_Detail(M)'!AS237+'FS_Detail(M)'!AS267+'FS_Detail(M)'!AS277+'FS_Detail(M)'!AS257+'FS_Detail(M)'!AS247</f>
        <v>5920000</v>
      </c>
      <c r="AS36" s="168">
        <f>'FS_Detail(M)'!AT237+'FS_Detail(M)'!AT267+'FS_Detail(M)'!AT277+'FS_Detail(M)'!AT257+'FS_Detail(M)'!AT247</f>
        <v>5920000</v>
      </c>
      <c r="AT36" s="168">
        <f>'FS_Detail(M)'!AU237+'FS_Detail(M)'!AU267+'FS_Detail(M)'!AU277+'FS_Detail(M)'!AU257+'FS_Detail(M)'!AU247</f>
        <v>5920000</v>
      </c>
      <c r="AU36" s="168">
        <f>'FS_Detail(M)'!AV237+'FS_Detail(M)'!AV267+'FS_Detail(M)'!AV277+'FS_Detail(M)'!AV257+'FS_Detail(M)'!AV247</f>
        <v>5920000</v>
      </c>
      <c r="AV36" s="168">
        <f>'FS_Detail(M)'!AW237+'FS_Detail(M)'!AW267+'FS_Detail(M)'!AW277+'FS_Detail(M)'!AW257+'FS_Detail(M)'!AW247</f>
        <v>5920000</v>
      </c>
      <c r="AW36" s="168">
        <f>'FS_Detail(M)'!AX237+'FS_Detail(M)'!AX267+'FS_Detail(M)'!AX277+'FS_Detail(M)'!AX257+'FS_Detail(M)'!AX247</f>
        <v>5920000</v>
      </c>
      <c r="AX36" s="168">
        <f>'FS_Detail(M)'!AY237+'FS_Detail(M)'!AY267+'FS_Detail(M)'!AY277+'FS_Detail(M)'!AY257+'FS_Detail(M)'!AY247</f>
        <v>5920000</v>
      </c>
      <c r="AY36" s="168">
        <f>'FS_Detail(M)'!AZ237+'FS_Detail(M)'!AZ267+'FS_Detail(M)'!AZ277+'FS_Detail(M)'!AZ257+'FS_Detail(M)'!AZ247</f>
        <v>5920000</v>
      </c>
      <c r="AZ36" s="168">
        <f>'FS_Detail(M)'!BA237+'FS_Detail(M)'!BA267+'FS_Detail(M)'!BA277+'FS_Detail(M)'!BA257+'FS_Detail(M)'!BA247</f>
        <v>5920000</v>
      </c>
      <c r="BA36" s="168">
        <f>'FS_Detail(M)'!BB237+'FS_Detail(M)'!BB267+'FS_Detail(M)'!BB277+'FS_Detail(M)'!BB257+'FS_Detail(M)'!BB247</f>
        <v>5920000</v>
      </c>
      <c r="BB36" s="168">
        <f>'FS_Detail(M)'!BC237+'FS_Detail(M)'!BC267+'FS_Detail(M)'!BC277+'FS_Detail(M)'!BC257+'FS_Detail(M)'!BC247</f>
        <v>5920000</v>
      </c>
      <c r="BC36" s="168">
        <f>'FS_Detail(M)'!BD237+'FS_Detail(M)'!BD267+'FS_Detail(M)'!BD277+'FS_Detail(M)'!BD257+'FS_Detail(M)'!BD247</f>
        <v>5920000</v>
      </c>
      <c r="BD36" s="168">
        <f>'FS_Detail(M)'!BE237+'FS_Detail(M)'!BE267+'FS_Detail(M)'!BE277+'FS_Detail(M)'!BE257+'FS_Detail(M)'!BE247</f>
        <v>5920000</v>
      </c>
      <c r="BE36" s="168">
        <f>'FS_Detail(M)'!BF237+'FS_Detail(M)'!BF267+'FS_Detail(M)'!BF277+'FS_Detail(M)'!BF257+'FS_Detail(M)'!BF247</f>
        <v>5920000</v>
      </c>
      <c r="BF36" s="168">
        <f>'FS_Detail(M)'!BG237+'FS_Detail(M)'!BG267+'FS_Detail(M)'!BG277+'FS_Detail(M)'!BG257+'FS_Detail(M)'!BG247</f>
        <v>5920000</v>
      </c>
      <c r="BG36" s="168">
        <f>'FS_Detail(M)'!BH237+'FS_Detail(M)'!BH267+'FS_Detail(M)'!BH277+'FS_Detail(M)'!BH257+'FS_Detail(M)'!BH247</f>
        <v>5920000</v>
      </c>
      <c r="BH36" s="168">
        <f>'FS_Detail(M)'!BI237+'FS_Detail(M)'!BI267+'FS_Detail(M)'!BI277+'FS_Detail(M)'!BI257+'FS_Detail(M)'!BI247</f>
        <v>5920000</v>
      </c>
      <c r="BI36" s="168">
        <f>'FS_Detail(M)'!BJ237+'FS_Detail(M)'!BJ267+'FS_Detail(M)'!BJ277+'FS_Detail(M)'!BJ257+'FS_Detail(M)'!BJ247</f>
        <v>5920000</v>
      </c>
      <c r="BJ36" s="168">
        <f>'FS_Detail(M)'!BK237+'FS_Detail(M)'!BK267+'FS_Detail(M)'!BK277+'FS_Detail(M)'!BK257+'FS_Detail(M)'!BK247</f>
        <v>5920000</v>
      </c>
      <c r="BK36" s="168">
        <f>'FS_Detail(M)'!BL237+'FS_Detail(M)'!BL267+'FS_Detail(M)'!BL277+'FS_Detail(M)'!BL257+'FS_Detail(M)'!BL247</f>
        <v>5920000</v>
      </c>
      <c r="BL36" s="168">
        <f>'FS_Detail(M)'!BM237+'FS_Detail(M)'!BM267+'FS_Detail(M)'!BM277+'FS_Detail(M)'!BM257+'FS_Detail(M)'!BM247</f>
        <v>5920000</v>
      </c>
      <c r="BM36" s="168">
        <f>'FS_Detail(M)'!BN237+'FS_Detail(M)'!BN267+'FS_Detail(M)'!BN277+'FS_Detail(M)'!BN257+'FS_Detail(M)'!BN247</f>
        <v>5920000</v>
      </c>
      <c r="BN36" s="168">
        <f>'FS_Detail(M)'!BO237+'FS_Detail(M)'!BO267+'FS_Detail(M)'!BO277+'FS_Detail(M)'!BO257+'FS_Detail(M)'!BO247</f>
        <v>5920000</v>
      </c>
      <c r="BO36" s="168">
        <f>'FS_Detail(M)'!BP237+'FS_Detail(M)'!BP267+'FS_Detail(M)'!BP277+'FS_Detail(M)'!BP257+'FS_Detail(M)'!BP247</f>
        <v>5920000</v>
      </c>
      <c r="BP36" s="168">
        <f>'FS_Detail(M)'!BQ237+'FS_Detail(M)'!BQ267+'FS_Detail(M)'!BQ277+'FS_Detail(M)'!BQ257+'FS_Detail(M)'!BQ247</f>
        <v>5920000</v>
      </c>
      <c r="BQ36" s="168">
        <f>'FS_Detail(M)'!BR237+'FS_Detail(M)'!BR267+'FS_Detail(M)'!BR277+'FS_Detail(M)'!BR257+'FS_Detail(M)'!BR247</f>
        <v>5920000</v>
      </c>
      <c r="BR36" s="168">
        <f>'FS_Detail(M)'!BS237+'FS_Detail(M)'!BS267+'FS_Detail(M)'!BS277+'FS_Detail(M)'!BS257+'FS_Detail(M)'!BS247</f>
        <v>5920000</v>
      </c>
      <c r="BS36" s="168">
        <f>'FS_Detail(M)'!BT237+'FS_Detail(M)'!BT267+'FS_Detail(M)'!BT277+'FS_Detail(M)'!BT257+'FS_Detail(M)'!BT247</f>
        <v>5920000</v>
      </c>
      <c r="BT36" s="168">
        <f>'FS_Detail(M)'!BU237+'FS_Detail(M)'!BU267+'FS_Detail(M)'!BU277+'FS_Detail(M)'!BU257+'FS_Detail(M)'!BU247</f>
        <v>5920000</v>
      </c>
      <c r="BU36" s="168">
        <f>'FS_Detail(M)'!BV237+'FS_Detail(M)'!BV267+'FS_Detail(M)'!BV277+'FS_Detail(M)'!BV257+'FS_Detail(M)'!BV247</f>
        <v>5920000</v>
      </c>
      <c r="BV36" s="168">
        <f>'FS_Detail(M)'!BW237+'FS_Detail(M)'!BW267+'FS_Detail(M)'!BW277+'FS_Detail(M)'!BW257+'FS_Detail(M)'!BW247</f>
        <v>5920000</v>
      </c>
      <c r="BW36" s="168">
        <f>'FS_Detail(M)'!BX237+'FS_Detail(M)'!BX267+'FS_Detail(M)'!BX277+'FS_Detail(M)'!BX257+'FS_Detail(M)'!BX247</f>
        <v>5920000</v>
      </c>
      <c r="BX36" s="168">
        <f>'FS_Detail(M)'!BY237+'FS_Detail(M)'!BY267+'FS_Detail(M)'!BY277+'FS_Detail(M)'!BY257+'FS_Detail(M)'!BY247</f>
        <v>5920000</v>
      </c>
      <c r="BY36" s="168">
        <f>'FS_Detail(M)'!BZ237+'FS_Detail(M)'!BZ267+'FS_Detail(M)'!BZ277+'FS_Detail(M)'!BZ257+'FS_Detail(M)'!BZ247</f>
        <v>5920000</v>
      </c>
      <c r="BZ36" s="168">
        <f>'FS_Detail(M)'!CA237+'FS_Detail(M)'!CA267+'FS_Detail(M)'!CA277+'FS_Detail(M)'!CA257+'FS_Detail(M)'!CA247</f>
        <v>5920000</v>
      </c>
      <c r="CA36" s="168">
        <f>'FS_Detail(M)'!CB237+'FS_Detail(M)'!CB267+'FS_Detail(M)'!CB277+'FS_Detail(M)'!CB257+'FS_Detail(M)'!CB247</f>
        <v>5920000</v>
      </c>
      <c r="CB36" s="168">
        <f>'FS_Detail(M)'!CC237+'FS_Detail(M)'!CC267+'FS_Detail(M)'!CC277+'FS_Detail(M)'!CC257+'FS_Detail(M)'!CC247</f>
        <v>5920000</v>
      </c>
      <c r="CC36" s="168">
        <f>'FS_Detail(M)'!CD237+'FS_Detail(M)'!CD267+'FS_Detail(M)'!CD277+'FS_Detail(M)'!CD257+'FS_Detail(M)'!CD247</f>
        <v>5920000</v>
      </c>
      <c r="CD36" s="168">
        <f>'FS_Detail(M)'!CE237+'FS_Detail(M)'!CE267+'FS_Detail(M)'!CE277+'FS_Detail(M)'!CE257+'FS_Detail(M)'!CE247</f>
        <v>5920000</v>
      </c>
      <c r="CE36" s="168">
        <f>'FS_Detail(M)'!CF237+'FS_Detail(M)'!CF267+'FS_Detail(M)'!CF277+'FS_Detail(M)'!CF257+'FS_Detail(M)'!CF247</f>
        <v>5920000</v>
      </c>
      <c r="CF36" s="168">
        <f>'FS_Detail(M)'!CG237+'FS_Detail(M)'!CG267+'FS_Detail(M)'!CG277+'FS_Detail(M)'!CG257+'FS_Detail(M)'!CG247</f>
        <v>5920000</v>
      </c>
      <c r="CG36" s="168">
        <f>'FS_Detail(M)'!CH237+'FS_Detail(M)'!CH267+'FS_Detail(M)'!CH277+'FS_Detail(M)'!CH257+'FS_Detail(M)'!CH247</f>
        <v>5920000</v>
      </c>
      <c r="CH36" s="168">
        <f>'FS_Detail(M)'!CI237+'FS_Detail(M)'!CI267+'FS_Detail(M)'!CI277+'FS_Detail(M)'!CI257+'FS_Detail(M)'!CI247</f>
        <v>5920000</v>
      </c>
      <c r="CI36" s="168">
        <f>'FS_Detail(M)'!CJ237+'FS_Detail(M)'!CJ267+'FS_Detail(M)'!CJ277+'FS_Detail(M)'!CJ257+'FS_Detail(M)'!CJ247</f>
        <v>5920000</v>
      </c>
      <c r="CJ36" s="168">
        <f>'FS_Detail(M)'!CK237+'FS_Detail(M)'!CK267+'FS_Detail(M)'!CK277+'FS_Detail(M)'!CK257+'FS_Detail(M)'!CK247</f>
        <v>5920000</v>
      </c>
      <c r="CK36" s="168">
        <f>'FS_Detail(M)'!CL237+'FS_Detail(M)'!CL267+'FS_Detail(M)'!CL277+'FS_Detail(M)'!CL257+'FS_Detail(M)'!CL247</f>
        <v>5920000</v>
      </c>
      <c r="CL36" s="168">
        <f>'FS_Detail(M)'!CM237+'FS_Detail(M)'!CM267+'FS_Detail(M)'!CM277+'FS_Detail(M)'!CM257+'FS_Detail(M)'!CM247</f>
        <v>5920000</v>
      </c>
      <c r="CM36" s="168">
        <f>'FS_Detail(M)'!CN237+'FS_Detail(M)'!CN267+'FS_Detail(M)'!CN277+'FS_Detail(M)'!CN257+'FS_Detail(M)'!CN247</f>
        <v>5920000</v>
      </c>
      <c r="CN36" s="168">
        <f>'FS_Detail(M)'!CO237+'FS_Detail(M)'!CO267+'FS_Detail(M)'!CO277+'FS_Detail(M)'!CO257+'FS_Detail(M)'!CO247</f>
        <v>5920000</v>
      </c>
      <c r="CO36" s="168">
        <f>'FS_Detail(M)'!CP237+'FS_Detail(M)'!CP267+'FS_Detail(M)'!CP277+'FS_Detail(M)'!CP257+'FS_Detail(M)'!CP247</f>
        <v>5920000</v>
      </c>
      <c r="CP36" s="168">
        <f>'FS_Detail(M)'!CQ237+'FS_Detail(M)'!CQ267+'FS_Detail(M)'!CQ277+'FS_Detail(M)'!CQ257+'FS_Detail(M)'!CQ247</f>
        <v>5920000</v>
      </c>
      <c r="CQ36" s="168">
        <f>'FS_Detail(M)'!CR237+'FS_Detail(M)'!CR267+'FS_Detail(M)'!CR277+'FS_Detail(M)'!CR257+'FS_Detail(M)'!CR247</f>
        <v>5920000</v>
      </c>
      <c r="CR36" s="168">
        <f>'FS_Detail(M)'!CS237+'FS_Detail(M)'!CS267+'FS_Detail(M)'!CS277+'FS_Detail(M)'!CS257+'FS_Detail(M)'!CS247</f>
        <v>5920000</v>
      </c>
      <c r="CS36" s="168">
        <f>'FS_Detail(M)'!CT237+'FS_Detail(M)'!CT267+'FS_Detail(M)'!CT277+'FS_Detail(M)'!CT257+'FS_Detail(M)'!CT247</f>
        <v>5920000</v>
      </c>
      <c r="CT36" s="168">
        <f>'FS_Detail(M)'!CU237+'FS_Detail(M)'!CU267+'FS_Detail(M)'!CU277+'FS_Detail(M)'!CU257+'FS_Detail(M)'!CU247</f>
        <v>5920000</v>
      </c>
      <c r="CU36" s="168">
        <f>'FS_Detail(M)'!CV237+'FS_Detail(M)'!CV267+'FS_Detail(M)'!CV277+'FS_Detail(M)'!CV257+'FS_Detail(M)'!CV247</f>
        <v>5920000</v>
      </c>
      <c r="CV36" s="168">
        <f>'FS_Detail(M)'!CW237+'FS_Detail(M)'!CW267+'FS_Detail(M)'!CW277+'FS_Detail(M)'!CW257+'FS_Detail(M)'!CW247</f>
        <v>5920000</v>
      </c>
      <c r="CW36" s="168">
        <f>'FS_Detail(M)'!CX237+'FS_Detail(M)'!CX267+'FS_Detail(M)'!CX277+'FS_Detail(M)'!CX257+'FS_Detail(M)'!CX247</f>
        <v>5920000</v>
      </c>
      <c r="CX36" s="168">
        <f>'FS_Detail(M)'!CY237+'FS_Detail(M)'!CY267+'FS_Detail(M)'!CY277+'FS_Detail(M)'!CY257+'FS_Detail(M)'!CY247</f>
        <v>5920000</v>
      </c>
      <c r="CY36" s="168">
        <f>'FS_Detail(M)'!CZ237+'FS_Detail(M)'!CZ267+'FS_Detail(M)'!CZ277+'FS_Detail(M)'!CZ257+'FS_Detail(M)'!CZ247</f>
        <v>5920000</v>
      </c>
      <c r="CZ36" s="168">
        <f>'FS_Detail(M)'!DA237+'FS_Detail(M)'!DA267+'FS_Detail(M)'!DA277+'FS_Detail(M)'!DA257+'FS_Detail(M)'!DA247</f>
        <v>5920000</v>
      </c>
      <c r="DA36" s="168">
        <f>'FS_Detail(M)'!DB237+'FS_Detail(M)'!DB267+'FS_Detail(M)'!DB277+'FS_Detail(M)'!DB257+'FS_Detail(M)'!DB247</f>
        <v>5920000</v>
      </c>
      <c r="DB36" s="168">
        <f>'FS_Detail(M)'!DC237+'FS_Detail(M)'!DC267+'FS_Detail(M)'!DC277+'FS_Detail(M)'!DC257+'FS_Detail(M)'!DC247</f>
        <v>5920000</v>
      </c>
      <c r="DC36" s="168">
        <f>'FS_Detail(M)'!DD237+'FS_Detail(M)'!DD267+'FS_Detail(M)'!DD277+'FS_Detail(M)'!DD257+'FS_Detail(M)'!DD247</f>
        <v>5920000</v>
      </c>
      <c r="DD36" s="168">
        <f>'FS_Detail(M)'!DE237+'FS_Detail(M)'!DE267+'FS_Detail(M)'!DE277+'FS_Detail(M)'!DE257+'FS_Detail(M)'!DE247</f>
        <v>5920000</v>
      </c>
      <c r="DE36" s="168">
        <f>'FS_Detail(M)'!DF237+'FS_Detail(M)'!DF267+'FS_Detail(M)'!DF277+'FS_Detail(M)'!DF257+'FS_Detail(M)'!DF247</f>
        <v>5920000</v>
      </c>
      <c r="DF36" s="168">
        <f>'FS_Detail(M)'!DG237+'FS_Detail(M)'!DG267+'FS_Detail(M)'!DG277+'FS_Detail(M)'!DG257+'FS_Detail(M)'!DG247</f>
        <v>5920000</v>
      </c>
      <c r="DG36" s="168">
        <f>'FS_Detail(M)'!DH237+'FS_Detail(M)'!DH267+'FS_Detail(M)'!DH277+'FS_Detail(M)'!DH257+'FS_Detail(M)'!DH247</f>
        <v>5920000</v>
      </c>
      <c r="DH36" s="168">
        <f>'FS_Detail(M)'!DI237+'FS_Detail(M)'!DI267+'FS_Detail(M)'!DI277+'FS_Detail(M)'!DI257+'FS_Detail(M)'!DI247</f>
        <v>5920000</v>
      </c>
      <c r="DI36" s="168">
        <f>'FS_Detail(M)'!DJ237+'FS_Detail(M)'!DJ267+'FS_Detail(M)'!DJ277+'FS_Detail(M)'!DJ257+'FS_Detail(M)'!DJ247</f>
        <v>5920000</v>
      </c>
      <c r="DJ36" s="168">
        <f>'FS_Detail(M)'!DK237+'FS_Detail(M)'!DK267+'FS_Detail(M)'!DK277+'FS_Detail(M)'!DK257+'FS_Detail(M)'!DK247</f>
        <v>5920000</v>
      </c>
      <c r="DK36" s="168">
        <f>'FS_Detail(M)'!DL237+'FS_Detail(M)'!DL267+'FS_Detail(M)'!DL277+'FS_Detail(M)'!DL257+'FS_Detail(M)'!DL247</f>
        <v>5920000</v>
      </c>
      <c r="DL36" s="168">
        <f>'FS_Detail(M)'!DM237+'FS_Detail(M)'!DM267+'FS_Detail(M)'!DM277+'FS_Detail(M)'!DM257+'FS_Detail(M)'!DM247</f>
        <v>5920000</v>
      </c>
      <c r="DM36" s="168">
        <f>'FS_Detail(M)'!DN237+'FS_Detail(M)'!DN267+'FS_Detail(M)'!DN277+'FS_Detail(M)'!DN257+'FS_Detail(M)'!DN247</f>
        <v>5920000</v>
      </c>
      <c r="DN36" s="168">
        <f>'FS_Detail(M)'!DO237+'FS_Detail(M)'!DO267+'FS_Detail(M)'!DO277+'FS_Detail(M)'!DO257+'FS_Detail(M)'!DO247</f>
        <v>5920000</v>
      </c>
      <c r="DO36" s="168">
        <f>'FS_Detail(M)'!DP237+'FS_Detail(M)'!DP267+'FS_Detail(M)'!DP277+'FS_Detail(M)'!DP257+'FS_Detail(M)'!DP247</f>
        <v>5920000</v>
      </c>
      <c r="DP36" s="168">
        <f>'FS_Detail(M)'!DQ237+'FS_Detail(M)'!DQ267+'FS_Detail(M)'!DQ277+'FS_Detail(M)'!DQ257+'FS_Detail(M)'!DQ247</f>
        <v>5920000</v>
      </c>
      <c r="DQ36" s="168">
        <f>'FS_Detail(M)'!DR237+'FS_Detail(M)'!DR267+'FS_Detail(M)'!DR277+'FS_Detail(M)'!DR257+'FS_Detail(M)'!DR247</f>
        <v>5920000</v>
      </c>
      <c r="DR36" s="168">
        <f>'FS_Detail(M)'!DS237+'FS_Detail(M)'!DS267+'FS_Detail(M)'!DS277+'FS_Detail(M)'!DS257+'FS_Detail(M)'!DS247</f>
        <v>5920000</v>
      </c>
      <c r="DS36" s="168">
        <f>'FS_Detail(M)'!DT237+'FS_Detail(M)'!DT267+'FS_Detail(M)'!DT277+'FS_Detail(M)'!DT257+'FS_Detail(M)'!DT247</f>
        <v>5920000</v>
      </c>
      <c r="DT36" s="168">
        <f>'FS_Detail(M)'!DU237+'FS_Detail(M)'!DU267+'FS_Detail(M)'!DU277+'FS_Detail(M)'!DU257+'FS_Detail(M)'!DU247</f>
        <v>5920000</v>
      </c>
      <c r="DU36" s="168">
        <f>'FS_Detail(M)'!DV237+'FS_Detail(M)'!DV267+'FS_Detail(M)'!DV277+'FS_Detail(M)'!DV257+'FS_Detail(M)'!DV247</f>
        <v>5920000</v>
      </c>
      <c r="DV36" s="168">
        <f>'FS_Detail(M)'!DW237+'FS_Detail(M)'!DW267+'FS_Detail(M)'!DW277+'FS_Detail(M)'!DW257+'FS_Detail(M)'!DW247</f>
        <v>5920000</v>
      </c>
      <c r="DW36" s="168">
        <f>'FS_Detail(M)'!DX237+'FS_Detail(M)'!DX267+'FS_Detail(M)'!DX277+'FS_Detail(M)'!DX257+'FS_Detail(M)'!DX247</f>
        <v>5920000</v>
      </c>
      <c r="DX36" s="168">
        <f>'FS_Detail(M)'!DY237+'FS_Detail(M)'!DY267+'FS_Detail(M)'!DY277+'FS_Detail(M)'!DY257+'FS_Detail(M)'!DY247</f>
        <v>5920000</v>
      </c>
      <c r="DY36" s="168">
        <f>'FS_Detail(M)'!DZ237+'FS_Detail(M)'!DZ267+'FS_Detail(M)'!DZ277+'FS_Detail(M)'!DZ257+'FS_Detail(M)'!DZ247</f>
        <v>5920000</v>
      </c>
      <c r="DZ36" s="168">
        <f>'FS_Detail(M)'!EA237+'FS_Detail(M)'!EA267+'FS_Detail(M)'!EA277+'FS_Detail(M)'!EA257+'FS_Detail(M)'!EA247</f>
        <v>5920000</v>
      </c>
      <c r="EA36" s="168">
        <f>'FS_Detail(M)'!EB237+'FS_Detail(M)'!EB267+'FS_Detail(M)'!EB277+'FS_Detail(M)'!EB257+'FS_Detail(M)'!EB247</f>
        <v>0</v>
      </c>
      <c r="EB36" s="168">
        <f>'FS_Detail(M)'!EC237+'FS_Detail(M)'!EC267+'FS_Detail(M)'!EC277+'FS_Detail(M)'!EC257+'FS_Detail(M)'!EC247</f>
        <v>0</v>
      </c>
      <c r="EC36" s="168">
        <f>'FS_Detail(M)'!ED237+'FS_Detail(M)'!ED267+'FS_Detail(M)'!ED277+'FS_Detail(M)'!ED257+'FS_Detail(M)'!ED247</f>
        <v>0</v>
      </c>
      <c r="ED36" s="168">
        <f>'FS_Detail(M)'!EE237+'FS_Detail(M)'!EE267+'FS_Detail(M)'!EE277+'FS_Detail(M)'!EE257+'FS_Detail(M)'!EE247</f>
        <v>0</v>
      </c>
      <c r="EE36" s="168">
        <f>'FS_Detail(M)'!EF237+'FS_Detail(M)'!EF267+'FS_Detail(M)'!EF277+'FS_Detail(M)'!EF257+'FS_Detail(M)'!EF247</f>
        <v>0</v>
      </c>
      <c r="EF36" s="168">
        <f>'FS_Detail(M)'!EG237+'FS_Detail(M)'!EG267+'FS_Detail(M)'!EG277+'FS_Detail(M)'!EG257+'FS_Detail(M)'!EG247</f>
        <v>0</v>
      </c>
      <c r="EG36" s="168">
        <f>'FS_Detail(M)'!EH237+'FS_Detail(M)'!EH267+'FS_Detail(M)'!EH277+'FS_Detail(M)'!EH257+'FS_Detail(M)'!EH247</f>
        <v>0</v>
      </c>
      <c r="EH36" s="168">
        <f>'FS_Detail(M)'!EI237+'FS_Detail(M)'!EI267+'FS_Detail(M)'!EI277+'FS_Detail(M)'!EI257+'FS_Detail(M)'!EI247</f>
        <v>0</v>
      </c>
      <c r="EI36" s="168">
        <f>'FS_Detail(M)'!EJ237+'FS_Detail(M)'!EJ267+'FS_Detail(M)'!EJ277+'FS_Detail(M)'!EJ257+'FS_Detail(M)'!EJ247</f>
        <v>0</v>
      </c>
      <c r="EJ36" s="168">
        <f>'FS_Detail(M)'!EK237+'FS_Detail(M)'!EK267+'FS_Detail(M)'!EK277+'FS_Detail(M)'!EK257+'FS_Detail(M)'!EK247</f>
        <v>0</v>
      </c>
      <c r="EK36" s="168">
        <f>'FS_Detail(M)'!EL237+'FS_Detail(M)'!EL267+'FS_Detail(M)'!EL277+'FS_Detail(M)'!EL257+'FS_Detail(M)'!EL247</f>
        <v>0</v>
      </c>
      <c r="EL36" s="168">
        <f>'FS_Detail(M)'!EM237+'FS_Detail(M)'!EM267+'FS_Detail(M)'!EM277+'FS_Detail(M)'!EM257+'FS_Detail(M)'!EM247</f>
        <v>0</v>
      </c>
      <c r="EM36" s="168">
        <f>'FS_Detail(M)'!EN237+'FS_Detail(M)'!EN267+'FS_Detail(M)'!EN277+'FS_Detail(M)'!EN257+'FS_Detail(M)'!EN247</f>
        <v>0</v>
      </c>
      <c r="EN36" s="168">
        <f>'FS_Detail(M)'!EO237+'FS_Detail(M)'!EO267+'FS_Detail(M)'!EO277+'FS_Detail(M)'!EO257+'FS_Detail(M)'!EO247</f>
        <v>0</v>
      </c>
      <c r="EO36" s="168">
        <f>'FS_Detail(M)'!EP237+'FS_Detail(M)'!EP267+'FS_Detail(M)'!EP277+'FS_Detail(M)'!EP257+'FS_Detail(M)'!EP247</f>
        <v>0</v>
      </c>
      <c r="EP36" s="168">
        <f>'FS_Detail(M)'!EQ237+'FS_Detail(M)'!EQ267+'FS_Detail(M)'!EQ277+'FS_Detail(M)'!EQ257+'FS_Detail(M)'!EQ247</f>
        <v>0</v>
      </c>
    </row>
    <row r="37" spans="2:146">
      <c r="B37" s="218"/>
      <c r="C37" s="163"/>
      <c r="D37" s="169" t="s">
        <v>545</v>
      </c>
      <c r="H37" s="146"/>
      <c r="I37" s="977"/>
      <c r="J37" s="98"/>
      <c r="K37" s="171">
        <f>'FS_Detail(M)'!L242+'FS_Detail(M)'!L272+'FS_Detail(M)'!L282+'FS_Detail(M)'!L252+'FS_Detail(M)'!L262</f>
        <v>92445217.391304344</v>
      </c>
      <c r="L37" s="171">
        <f>'FS_Detail(M)'!M242+'FS_Detail(M)'!M272+'FS_Detail(M)'!M282+'FS_Detail(M)'!M252+'FS_Detail(M)'!M262</f>
        <v>92445217.391304344</v>
      </c>
      <c r="M37" s="171">
        <f>'FS_Detail(M)'!N242+'FS_Detail(M)'!N272+'FS_Detail(M)'!N282+'FS_Detail(M)'!N252+'FS_Detail(M)'!N262</f>
        <v>92445217.391304344</v>
      </c>
      <c r="N37" s="171">
        <f>'FS_Detail(M)'!O242+'FS_Detail(M)'!O272+'FS_Detail(M)'!O282+'FS_Detail(M)'!O252+'FS_Detail(M)'!O262</f>
        <v>92445217.391304344</v>
      </c>
      <c r="O37" s="171">
        <f>'FS_Detail(M)'!P242+'FS_Detail(M)'!P272+'FS_Detail(M)'!P282+'FS_Detail(M)'!P252+'FS_Detail(M)'!P262</f>
        <v>92445217.391304344</v>
      </c>
      <c r="P37" s="171">
        <f>'FS_Detail(M)'!Q242+'FS_Detail(M)'!Q272+'FS_Detail(M)'!Q282+'FS_Detail(M)'!Q252+'FS_Detail(M)'!Q262</f>
        <v>92445217.391304344</v>
      </c>
      <c r="Q37" s="171">
        <f>'FS_Detail(M)'!R242+'FS_Detail(M)'!R272+'FS_Detail(M)'!R282+'FS_Detail(M)'!R252+'FS_Detail(M)'!R262</f>
        <v>92445217.391304344</v>
      </c>
      <c r="R37" s="171">
        <f>'FS_Detail(M)'!S242+'FS_Detail(M)'!S272+'FS_Detail(M)'!S282+'FS_Detail(M)'!S252+'FS_Detail(M)'!S262</f>
        <v>92445217.391304344</v>
      </c>
      <c r="S37" s="171">
        <f>'FS_Detail(M)'!T242+'FS_Detail(M)'!T272+'FS_Detail(M)'!T282+'FS_Detail(M)'!T252+'FS_Detail(M)'!T262</f>
        <v>92445217.391304344</v>
      </c>
      <c r="T37" s="171">
        <f>'FS_Detail(M)'!U242+'FS_Detail(M)'!U272+'FS_Detail(M)'!U282+'FS_Detail(M)'!U252+'FS_Detail(M)'!U262</f>
        <v>92445217.391304344</v>
      </c>
      <c r="U37" s="171">
        <f>'FS_Detail(M)'!V242+'FS_Detail(M)'!V272+'FS_Detail(M)'!V282+'FS_Detail(M)'!V252+'FS_Detail(M)'!V262</f>
        <v>92445217.391304344</v>
      </c>
      <c r="V37" s="171">
        <f>'FS_Detail(M)'!W242+'FS_Detail(M)'!W272+'FS_Detail(M)'!W282+'FS_Detail(M)'!W252+'FS_Detail(M)'!W262</f>
        <v>92445217.391304344</v>
      </c>
      <c r="W37" s="171">
        <f>'FS_Detail(M)'!X242+'FS_Detail(M)'!X272+'FS_Detail(M)'!X282+'FS_Detail(M)'!X252+'FS_Detail(M)'!X262</f>
        <v>92445217.391304344</v>
      </c>
      <c r="X37" s="171">
        <f>'FS_Detail(M)'!Y242+'FS_Detail(M)'!Y272+'FS_Detail(M)'!Y282+'FS_Detail(M)'!Y252+'FS_Detail(M)'!Y262</f>
        <v>92445217.391304344</v>
      </c>
      <c r="Y37" s="171">
        <f>'FS_Detail(M)'!Z242+'FS_Detail(M)'!Z272+'FS_Detail(M)'!Z282+'FS_Detail(M)'!Z252+'FS_Detail(M)'!Z262</f>
        <v>92445217.391304344</v>
      </c>
      <c r="Z37" s="171">
        <f>'FS_Detail(M)'!AA242+'FS_Detail(M)'!AA272+'FS_Detail(M)'!AA282+'FS_Detail(M)'!AA252+'FS_Detail(M)'!AA262</f>
        <v>92445217.391304344</v>
      </c>
      <c r="AA37" s="171">
        <f>'FS_Detail(M)'!AB242+'FS_Detail(M)'!AB272+'FS_Detail(M)'!AB282+'FS_Detail(M)'!AB252+'FS_Detail(M)'!AB262</f>
        <v>92445217.391304344</v>
      </c>
      <c r="AB37" s="171">
        <f>'FS_Detail(M)'!AC242+'FS_Detail(M)'!AC272+'FS_Detail(M)'!AC282+'FS_Detail(M)'!AC252+'FS_Detail(M)'!AC262</f>
        <v>92445217.391304344</v>
      </c>
      <c r="AC37" s="171">
        <f>'FS_Detail(M)'!AD242+'FS_Detail(M)'!AD272+'FS_Detail(M)'!AD282+'FS_Detail(M)'!AD252+'FS_Detail(M)'!AD262</f>
        <v>92445217.391304344</v>
      </c>
      <c r="AD37" s="171">
        <f>'FS_Detail(M)'!AE242+'FS_Detail(M)'!AE272+'FS_Detail(M)'!AE282+'FS_Detail(M)'!AE252+'FS_Detail(M)'!AE262</f>
        <v>92445217.391304344</v>
      </c>
      <c r="AE37" s="171">
        <f>'FS_Detail(M)'!AF242+'FS_Detail(M)'!AF272+'FS_Detail(M)'!AF282+'FS_Detail(M)'!AF252+'FS_Detail(M)'!AF262</f>
        <v>92445217.391304344</v>
      </c>
      <c r="AF37" s="171">
        <f>'FS_Detail(M)'!AG242+'FS_Detail(M)'!AG272+'FS_Detail(M)'!AG282+'FS_Detail(M)'!AG252+'FS_Detail(M)'!AG262</f>
        <v>92445217.391304344</v>
      </c>
      <c r="AG37" s="171">
        <f>'FS_Detail(M)'!AH242+'FS_Detail(M)'!AH272+'FS_Detail(M)'!AH282+'FS_Detail(M)'!AH252+'FS_Detail(M)'!AH262</f>
        <v>92445217.391304344</v>
      </c>
      <c r="AH37" s="171">
        <f>'FS_Detail(M)'!AI242+'FS_Detail(M)'!AI272+'FS_Detail(M)'!AI282+'FS_Detail(M)'!AI252+'FS_Detail(M)'!AI262</f>
        <v>92445217.391304344</v>
      </c>
      <c r="AI37" s="171">
        <f>'FS_Detail(M)'!AJ242+'FS_Detail(M)'!AJ272+'FS_Detail(M)'!AJ282+'FS_Detail(M)'!AJ252+'FS_Detail(M)'!AJ262</f>
        <v>82880000</v>
      </c>
      <c r="AJ37" s="171">
        <f>'FS_Detail(M)'!AK242+'FS_Detail(M)'!AK272+'FS_Detail(M)'!AK282+'FS_Detail(M)'!AK252+'FS_Detail(M)'!AK262</f>
        <v>82880000</v>
      </c>
      <c r="AK37" s="171">
        <f>'FS_Detail(M)'!AL242+'FS_Detail(M)'!AL272+'FS_Detail(M)'!AL282+'FS_Detail(M)'!AL252+'FS_Detail(M)'!AL262</f>
        <v>82880000</v>
      </c>
      <c r="AL37" s="171">
        <f>'FS_Detail(M)'!AM242+'FS_Detail(M)'!AM272+'FS_Detail(M)'!AM282+'FS_Detail(M)'!AM252+'FS_Detail(M)'!AM262</f>
        <v>82880000</v>
      </c>
      <c r="AM37" s="171">
        <f>'FS_Detail(M)'!AN242+'FS_Detail(M)'!AN272+'FS_Detail(M)'!AN282+'FS_Detail(M)'!AN252+'FS_Detail(M)'!AN262</f>
        <v>82880000</v>
      </c>
      <c r="AN37" s="171">
        <f>'FS_Detail(M)'!AO242+'FS_Detail(M)'!AO272+'FS_Detail(M)'!AO282+'FS_Detail(M)'!AO252+'FS_Detail(M)'!AO262</f>
        <v>82880000</v>
      </c>
      <c r="AO37" s="171">
        <f>'FS_Detail(M)'!AP242+'FS_Detail(M)'!AP272+'FS_Detail(M)'!AP282+'FS_Detail(M)'!AP252+'FS_Detail(M)'!AP262</f>
        <v>82880000</v>
      </c>
      <c r="AP37" s="171">
        <f>'FS_Detail(M)'!AQ242+'FS_Detail(M)'!AQ272+'FS_Detail(M)'!AQ282+'FS_Detail(M)'!AQ252+'FS_Detail(M)'!AQ262</f>
        <v>82880000</v>
      </c>
      <c r="AQ37" s="171">
        <f>'FS_Detail(M)'!AR242+'FS_Detail(M)'!AR272+'FS_Detail(M)'!AR282+'FS_Detail(M)'!AR252+'FS_Detail(M)'!AR262</f>
        <v>82880000</v>
      </c>
      <c r="AR37" s="171">
        <f>'FS_Detail(M)'!AS242+'FS_Detail(M)'!AS272+'FS_Detail(M)'!AS282+'FS_Detail(M)'!AS252+'FS_Detail(M)'!AS262</f>
        <v>82880000</v>
      </c>
      <c r="AS37" s="171">
        <f>'FS_Detail(M)'!AT242+'FS_Detail(M)'!AT272+'FS_Detail(M)'!AT282+'FS_Detail(M)'!AT252+'FS_Detail(M)'!AT262</f>
        <v>82880000</v>
      </c>
      <c r="AT37" s="171">
        <f>'FS_Detail(M)'!AU242+'FS_Detail(M)'!AU272+'FS_Detail(M)'!AU282+'FS_Detail(M)'!AU252+'FS_Detail(M)'!AU262</f>
        <v>82880000</v>
      </c>
      <c r="AU37" s="171">
        <f>'FS_Detail(M)'!AV242+'FS_Detail(M)'!AV272+'FS_Detail(M)'!AV282+'FS_Detail(M)'!AV252+'FS_Detail(M)'!AV262</f>
        <v>82880000</v>
      </c>
      <c r="AV37" s="171">
        <f>'FS_Detail(M)'!AW242+'FS_Detail(M)'!AW272+'FS_Detail(M)'!AW282+'FS_Detail(M)'!AW252+'FS_Detail(M)'!AW262</f>
        <v>82880000</v>
      </c>
      <c r="AW37" s="171">
        <f>'FS_Detail(M)'!AX242+'FS_Detail(M)'!AX272+'FS_Detail(M)'!AX282+'FS_Detail(M)'!AX252+'FS_Detail(M)'!AX262</f>
        <v>82880000</v>
      </c>
      <c r="AX37" s="171">
        <f>'FS_Detail(M)'!AY242+'FS_Detail(M)'!AY272+'FS_Detail(M)'!AY282+'FS_Detail(M)'!AY252+'FS_Detail(M)'!AY262</f>
        <v>82880000</v>
      </c>
      <c r="AY37" s="171">
        <f>'FS_Detail(M)'!AZ242+'FS_Detail(M)'!AZ272+'FS_Detail(M)'!AZ282+'FS_Detail(M)'!AZ252+'FS_Detail(M)'!AZ262</f>
        <v>82880000</v>
      </c>
      <c r="AZ37" s="171">
        <f>'FS_Detail(M)'!BA242+'FS_Detail(M)'!BA272+'FS_Detail(M)'!BA282+'FS_Detail(M)'!BA252+'FS_Detail(M)'!BA262</f>
        <v>82880000</v>
      </c>
      <c r="BA37" s="171">
        <f>'FS_Detail(M)'!BB242+'FS_Detail(M)'!BB272+'FS_Detail(M)'!BB282+'FS_Detail(M)'!BB252+'FS_Detail(M)'!BB262</f>
        <v>82880000</v>
      </c>
      <c r="BB37" s="171">
        <f>'FS_Detail(M)'!BC242+'FS_Detail(M)'!BC272+'FS_Detail(M)'!BC282+'FS_Detail(M)'!BC252+'FS_Detail(M)'!BC262</f>
        <v>82880000</v>
      </c>
      <c r="BC37" s="171">
        <f>'FS_Detail(M)'!BD242+'FS_Detail(M)'!BD272+'FS_Detail(M)'!BD282+'FS_Detail(M)'!BD252+'FS_Detail(M)'!BD262</f>
        <v>82880000</v>
      </c>
      <c r="BD37" s="171">
        <f>'FS_Detail(M)'!BE242+'FS_Detail(M)'!BE272+'FS_Detail(M)'!BE282+'FS_Detail(M)'!BE252+'FS_Detail(M)'!BE262</f>
        <v>82880000</v>
      </c>
      <c r="BE37" s="171">
        <f>'FS_Detail(M)'!BF242+'FS_Detail(M)'!BF272+'FS_Detail(M)'!BF282+'FS_Detail(M)'!BF252+'FS_Detail(M)'!BF262</f>
        <v>82880000</v>
      </c>
      <c r="BF37" s="171">
        <f>'FS_Detail(M)'!BG242+'FS_Detail(M)'!BG272+'FS_Detail(M)'!BG282+'FS_Detail(M)'!BG252+'FS_Detail(M)'!BG262</f>
        <v>82880000</v>
      </c>
      <c r="BG37" s="171">
        <f>'FS_Detail(M)'!BH242+'FS_Detail(M)'!BH272+'FS_Detail(M)'!BH282+'FS_Detail(M)'!BH252+'FS_Detail(M)'!BH262</f>
        <v>82880000</v>
      </c>
      <c r="BH37" s="171">
        <f>'FS_Detail(M)'!BI242+'FS_Detail(M)'!BI272+'FS_Detail(M)'!BI282+'FS_Detail(M)'!BI252+'FS_Detail(M)'!BI262</f>
        <v>82880000</v>
      </c>
      <c r="BI37" s="171">
        <f>'FS_Detail(M)'!BJ242+'FS_Detail(M)'!BJ272+'FS_Detail(M)'!BJ282+'FS_Detail(M)'!BJ252+'FS_Detail(M)'!BJ262</f>
        <v>82880000</v>
      </c>
      <c r="BJ37" s="171">
        <f>'FS_Detail(M)'!BK242+'FS_Detail(M)'!BK272+'FS_Detail(M)'!BK282+'FS_Detail(M)'!BK252+'FS_Detail(M)'!BK262</f>
        <v>82880000</v>
      </c>
      <c r="BK37" s="171">
        <f>'FS_Detail(M)'!BL242+'FS_Detail(M)'!BL272+'FS_Detail(M)'!BL282+'FS_Detail(M)'!BL252+'FS_Detail(M)'!BL262</f>
        <v>82880000</v>
      </c>
      <c r="BL37" s="171">
        <f>'FS_Detail(M)'!BM242+'FS_Detail(M)'!BM272+'FS_Detail(M)'!BM282+'FS_Detail(M)'!BM252+'FS_Detail(M)'!BM262</f>
        <v>82880000</v>
      </c>
      <c r="BM37" s="171">
        <f>'FS_Detail(M)'!BN242+'FS_Detail(M)'!BN272+'FS_Detail(M)'!BN282+'FS_Detail(M)'!BN252+'FS_Detail(M)'!BN262</f>
        <v>82880000</v>
      </c>
      <c r="BN37" s="171">
        <f>'FS_Detail(M)'!BO242+'FS_Detail(M)'!BO272+'FS_Detail(M)'!BO282+'FS_Detail(M)'!BO252+'FS_Detail(M)'!BO262</f>
        <v>82880000</v>
      </c>
      <c r="BO37" s="171">
        <f>'FS_Detail(M)'!BP242+'FS_Detail(M)'!BP272+'FS_Detail(M)'!BP282+'FS_Detail(M)'!BP252+'FS_Detail(M)'!BP262</f>
        <v>82880000</v>
      </c>
      <c r="BP37" s="171">
        <f>'FS_Detail(M)'!BQ242+'FS_Detail(M)'!BQ272+'FS_Detail(M)'!BQ282+'FS_Detail(M)'!BQ252+'FS_Detail(M)'!BQ262</f>
        <v>82880000</v>
      </c>
      <c r="BQ37" s="171">
        <f>'FS_Detail(M)'!BR242+'FS_Detail(M)'!BR272+'FS_Detail(M)'!BR282+'FS_Detail(M)'!BR252+'FS_Detail(M)'!BR262</f>
        <v>82880000</v>
      </c>
      <c r="BR37" s="171">
        <f>'FS_Detail(M)'!BS242+'FS_Detail(M)'!BS272+'FS_Detail(M)'!BS282+'FS_Detail(M)'!BS252+'FS_Detail(M)'!BS262</f>
        <v>82880000</v>
      </c>
      <c r="BS37" s="171">
        <f>'FS_Detail(M)'!BT242+'FS_Detail(M)'!BT272+'FS_Detail(M)'!BT282+'FS_Detail(M)'!BT252+'FS_Detail(M)'!BT262</f>
        <v>82880000</v>
      </c>
      <c r="BT37" s="171">
        <f>'FS_Detail(M)'!BU242+'FS_Detail(M)'!BU272+'FS_Detail(M)'!BU282+'FS_Detail(M)'!BU252+'FS_Detail(M)'!BU262</f>
        <v>82880000</v>
      </c>
      <c r="BU37" s="171">
        <f>'FS_Detail(M)'!BV242+'FS_Detail(M)'!BV272+'FS_Detail(M)'!BV282+'FS_Detail(M)'!BV252+'FS_Detail(M)'!BV262</f>
        <v>82880000</v>
      </c>
      <c r="BV37" s="171">
        <f>'FS_Detail(M)'!BW242+'FS_Detail(M)'!BW272+'FS_Detail(M)'!BW282+'FS_Detail(M)'!BW252+'FS_Detail(M)'!BW262</f>
        <v>82880000</v>
      </c>
      <c r="BW37" s="171">
        <f>'FS_Detail(M)'!BX242+'FS_Detail(M)'!BX272+'FS_Detail(M)'!BX282+'FS_Detail(M)'!BX252+'FS_Detail(M)'!BX262</f>
        <v>82880000</v>
      </c>
      <c r="BX37" s="171">
        <f>'FS_Detail(M)'!BY242+'FS_Detail(M)'!BY272+'FS_Detail(M)'!BY282+'FS_Detail(M)'!BY252+'FS_Detail(M)'!BY262</f>
        <v>82880000</v>
      </c>
      <c r="BY37" s="171">
        <f>'FS_Detail(M)'!BZ242+'FS_Detail(M)'!BZ272+'FS_Detail(M)'!BZ282+'FS_Detail(M)'!BZ252+'FS_Detail(M)'!BZ262</f>
        <v>82880000</v>
      </c>
      <c r="BZ37" s="171">
        <f>'FS_Detail(M)'!CA242+'FS_Detail(M)'!CA272+'FS_Detail(M)'!CA282+'FS_Detail(M)'!CA252+'FS_Detail(M)'!CA262</f>
        <v>82880000</v>
      </c>
      <c r="CA37" s="171">
        <f>'FS_Detail(M)'!CB242+'FS_Detail(M)'!CB272+'FS_Detail(M)'!CB282+'FS_Detail(M)'!CB252+'FS_Detail(M)'!CB262</f>
        <v>82880000</v>
      </c>
      <c r="CB37" s="171">
        <f>'FS_Detail(M)'!CC242+'FS_Detail(M)'!CC272+'FS_Detail(M)'!CC282+'FS_Detail(M)'!CC252+'FS_Detail(M)'!CC262</f>
        <v>82880000</v>
      </c>
      <c r="CC37" s="171">
        <f>'FS_Detail(M)'!CD242+'FS_Detail(M)'!CD272+'FS_Detail(M)'!CD282+'FS_Detail(M)'!CD252+'FS_Detail(M)'!CD262</f>
        <v>82880000</v>
      </c>
      <c r="CD37" s="171">
        <f>'FS_Detail(M)'!CE242+'FS_Detail(M)'!CE272+'FS_Detail(M)'!CE282+'FS_Detail(M)'!CE252+'FS_Detail(M)'!CE262</f>
        <v>82880000</v>
      </c>
      <c r="CE37" s="171">
        <f>'FS_Detail(M)'!CF242+'FS_Detail(M)'!CF272+'FS_Detail(M)'!CF282+'FS_Detail(M)'!CF252+'FS_Detail(M)'!CF262</f>
        <v>82880000</v>
      </c>
      <c r="CF37" s="171">
        <f>'FS_Detail(M)'!CG242+'FS_Detail(M)'!CG272+'FS_Detail(M)'!CG282+'FS_Detail(M)'!CG252+'FS_Detail(M)'!CG262</f>
        <v>82880000</v>
      </c>
      <c r="CG37" s="171">
        <f>'FS_Detail(M)'!CH242+'FS_Detail(M)'!CH272+'FS_Detail(M)'!CH282+'FS_Detail(M)'!CH252+'FS_Detail(M)'!CH262</f>
        <v>82880000</v>
      </c>
      <c r="CH37" s="171">
        <f>'FS_Detail(M)'!CI242+'FS_Detail(M)'!CI272+'FS_Detail(M)'!CI282+'FS_Detail(M)'!CI252+'FS_Detail(M)'!CI262</f>
        <v>82880000</v>
      </c>
      <c r="CI37" s="171">
        <f>'FS_Detail(M)'!CJ242+'FS_Detail(M)'!CJ272+'FS_Detail(M)'!CJ282+'FS_Detail(M)'!CJ252+'FS_Detail(M)'!CJ262</f>
        <v>82880000</v>
      </c>
      <c r="CJ37" s="171">
        <f>'FS_Detail(M)'!CK242+'FS_Detail(M)'!CK272+'FS_Detail(M)'!CK282+'FS_Detail(M)'!CK252+'FS_Detail(M)'!CK262</f>
        <v>82880000</v>
      </c>
      <c r="CK37" s="171">
        <f>'FS_Detail(M)'!CL242+'FS_Detail(M)'!CL272+'FS_Detail(M)'!CL282+'FS_Detail(M)'!CL252+'FS_Detail(M)'!CL262</f>
        <v>82880000</v>
      </c>
      <c r="CL37" s="171">
        <f>'FS_Detail(M)'!CM242+'FS_Detail(M)'!CM272+'FS_Detail(M)'!CM282+'FS_Detail(M)'!CM252+'FS_Detail(M)'!CM262</f>
        <v>82880000</v>
      </c>
      <c r="CM37" s="171">
        <f>'FS_Detail(M)'!CN242+'FS_Detail(M)'!CN272+'FS_Detail(M)'!CN282+'FS_Detail(M)'!CN252+'FS_Detail(M)'!CN262</f>
        <v>82880000</v>
      </c>
      <c r="CN37" s="171">
        <f>'FS_Detail(M)'!CO242+'FS_Detail(M)'!CO272+'FS_Detail(M)'!CO282+'FS_Detail(M)'!CO252+'FS_Detail(M)'!CO262</f>
        <v>82880000</v>
      </c>
      <c r="CO37" s="171">
        <f>'FS_Detail(M)'!CP242+'FS_Detail(M)'!CP272+'FS_Detail(M)'!CP282+'FS_Detail(M)'!CP252+'FS_Detail(M)'!CP262</f>
        <v>82880000</v>
      </c>
      <c r="CP37" s="171">
        <f>'FS_Detail(M)'!CQ242+'FS_Detail(M)'!CQ272+'FS_Detail(M)'!CQ282+'FS_Detail(M)'!CQ252+'FS_Detail(M)'!CQ262</f>
        <v>82880000</v>
      </c>
      <c r="CQ37" s="171">
        <f>'FS_Detail(M)'!CR242+'FS_Detail(M)'!CR272+'FS_Detail(M)'!CR282+'FS_Detail(M)'!CR252+'FS_Detail(M)'!CR262</f>
        <v>82880000</v>
      </c>
      <c r="CR37" s="171">
        <f>'FS_Detail(M)'!CS242+'FS_Detail(M)'!CS272+'FS_Detail(M)'!CS282+'FS_Detail(M)'!CS252+'FS_Detail(M)'!CS262</f>
        <v>82880000</v>
      </c>
      <c r="CS37" s="171">
        <f>'FS_Detail(M)'!CT242+'FS_Detail(M)'!CT272+'FS_Detail(M)'!CT282+'FS_Detail(M)'!CT252+'FS_Detail(M)'!CT262</f>
        <v>82880000</v>
      </c>
      <c r="CT37" s="171">
        <f>'FS_Detail(M)'!CU242+'FS_Detail(M)'!CU272+'FS_Detail(M)'!CU282+'FS_Detail(M)'!CU252+'FS_Detail(M)'!CU262</f>
        <v>82880000</v>
      </c>
      <c r="CU37" s="171">
        <f>'FS_Detail(M)'!CV242+'FS_Detail(M)'!CV272+'FS_Detail(M)'!CV282+'FS_Detail(M)'!CV252+'FS_Detail(M)'!CV262</f>
        <v>82880000</v>
      </c>
      <c r="CV37" s="171">
        <f>'FS_Detail(M)'!CW242+'FS_Detail(M)'!CW272+'FS_Detail(M)'!CW282+'FS_Detail(M)'!CW252+'FS_Detail(M)'!CW262</f>
        <v>82880000</v>
      </c>
      <c r="CW37" s="171">
        <f>'FS_Detail(M)'!CX242+'FS_Detail(M)'!CX272+'FS_Detail(M)'!CX282+'FS_Detail(M)'!CX252+'FS_Detail(M)'!CX262</f>
        <v>82880000</v>
      </c>
      <c r="CX37" s="171">
        <f>'FS_Detail(M)'!CY242+'FS_Detail(M)'!CY272+'FS_Detail(M)'!CY282+'FS_Detail(M)'!CY252+'FS_Detail(M)'!CY262</f>
        <v>82880000</v>
      </c>
      <c r="CY37" s="171">
        <f>'FS_Detail(M)'!CZ242+'FS_Detail(M)'!CZ272+'FS_Detail(M)'!CZ282+'FS_Detail(M)'!CZ252+'FS_Detail(M)'!CZ262</f>
        <v>82880000</v>
      </c>
      <c r="CZ37" s="171">
        <f>'FS_Detail(M)'!DA242+'FS_Detail(M)'!DA272+'FS_Detail(M)'!DA282+'FS_Detail(M)'!DA252+'FS_Detail(M)'!DA262</f>
        <v>82880000</v>
      </c>
      <c r="DA37" s="171">
        <f>'FS_Detail(M)'!DB242+'FS_Detail(M)'!DB272+'FS_Detail(M)'!DB282+'FS_Detail(M)'!DB252+'FS_Detail(M)'!DB262</f>
        <v>82880000</v>
      </c>
      <c r="DB37" s="171">
        <f>'FS_Detail(M)'!DC242+'FS_Detail(M)'!DC272+'FS_Detail(M)'!DC282+'FS_Detail(M)'!DC252+'FS_Detail(M)'!DC262</f>
        <v>82880000</v>
      </c>
      <c r="DC37" s="171">
        <f>'FS_Detail(M)'!DD242+'FS_Detail(M)'!DD272+'FS_Detail(M)'!DD282+'FS_Detail(M)'!DD252+'FS_Detail(M)'!DD262</f>
        <v>82880000</v>
      </c>
      <c r="DD37" s="171">
        <f>'FS_Detail(M)'!DE242+'FS_Detail(M)'!DE272+'FS_Detail(M)'!DE282+'FS_Detail(M)'!DE252+'FS_Detail(M)'!DE262</f>
        <v>82880000</v>
      </c>
      <c r="DE37" s="171">
        <f>'FS_Detail(M)'!DF242+'FS_Detail(M)'!DF272+'FS_Detail(M)'!DF282+'FS_Detail(M)'!DF252+'FS_Detail(M)'!DF262</f>
        <v>82880000</v>
      </c>
      <c r="DF37" s="171">
        <f>'FS_Detail(M)'!DG242+'FS_Detail(M)'!DG272+'FS_Detail(M)'!DG282+'FS_Detail(M)'!DG252+'FS_Detail(M)'!DG262</f>
        <v>82880000</v>
      </c>
      <c r="DG37" s="171">
        <f>'FS_Detail(M)'!DH242+'FS_Detail(M)'!DH272+'FS_Detail(M)'!DH282+'FS_Detail(M)'!DH252+'FS_Detail(M)'!DH262</f>
        <v>82880000</v>
      </c>
      <c r="DH37" s="171">
        <f>'FS_Detail(M)'!DI242+'FS_Detail(M)'!DI272+'FS_Detail(M)'!DI282+'FS_Detail(M)'!DI252+'FS_Detail(M)'!DI262</f>
        <v>82880000</v>
      </c>
      <c r="DI37" s="171">
        <f>'FS_Detail(M)'!DJ242+'FS_Detail(M)'!DJ272+'FS_Detail(M)'!DJ282+'FS_Detail(M)'!DJ252+'FS_Detail(M)'!DJ262</f>
        <v>82880000</v>
      </c>
      <c r="DJ37" s="171">
        <f>'FS_Detail(M)'!DK242+'FS_Detail(M)'!DK272+'FS_Detail(M)'!DK282+'FS_Detail(M)'!DK252+'FS_Detail(M)'!DK262</f>
        <v>82880000</v>
      </c>
      <c r="DK37" s="171">
        <f>'FS_Detail(M)'!DL242+'FS_Detail(M)'!DL272+'FS_Detail(M)'!DL282+'FS_Detail(M)'!DL252+'FS_Detail(M)'!DL262</f>
        <v>82880000</v>
      </c>
      <c r="DL37" s="171">
        <f>'FS_Detail(M)'!DM242+'FS_Detail(M)'!DM272+'FS_Detail(M)'!DM282+'FS_Detail(M)'!DM252+'FS_Detail(M)'!DM262</f>
        <v>82880000</v>
      </c>
      <c r="DM37" s="171">
        <f>'FS_Detail(M)'!DN242+'FS_Detail(M)'!DN272+'FS_Detail(M)'!DN282+'FS_Detail(M)'!DN252+'FS_Detail(M)'!DN262</f>
        <v>82880000</v>
      </c>
      <c r="DN37" s="171">
        <f>'FS_Detail(M)'!DO242+'FS_Detail(M)'!DO272+'FS_Detail(M)'!DO282+'FS_Detail(M)'!DO252+'FS_Detail(M)'!DO262</f>
        <v>82880000</v>
      </c>
      <c r="DO37" s="171">
        <f>'FS_Detail(M)'!DP242+'FS_Detail(M)'!DP272+'FS_Detail(M)'!DP282+'FS_Detail(M)'!DP252+'FS_Detail(M)'!DP262</f>
        <v>82880000</v>
      </c>
      <c r="DP37" s="171">
        <f>'FS_Detail(M)'!DQ242+'FS_Detail(M)'!DQ272+'FS_Detail(M)'!DQ282+'FS_Detail(M)'!DQ252+'FS_Detail(M)'!DQ262</f>
        <v>82880000</v>
      </c>
      <c r="DQ37" s="171">
        <f>'FS_Detail(M)'!DR242+'FS_Detail(M)'!DR272+'FS_Detail(M)'!DR282+'FS_Detail(M)'!DR252+'FS_Detail(M)'!DR262</f>
        <v>82880000</v>
      </c>
      <c r="DR37" s="171">
        <f>'FS_Detail(M)'!DS242+'FS_Detail(M)'!DS272+'FS_Detail(M)'!DS282+'FS_Detail(M)'!DS252+'FS_Detail(M)'!DS262</f>
        <v>82880000</v>
      </c>
      <c r="DS37" s="171">
        <f>'FS_Detail(M)'!DT242+'FS_Detail(M)'!DT272+'FS_Detail(M)'!DT282+'FS_Detail(M)'!DT252+'FS_Detail(M)'!DT262</f>
        <v>82880000</v>
      </c>
      <c r="DT37" s="171">
        <f>'FS_Detail(M)'!DU242+'FS_Detail(M)'!DU272+'FS_Detail(M)'!DU282+'FS_Detail(M)'!DU252+'FS_Detail(M)'!DU262</f>
        <v>82880000</v>
      </c>
      <c r="DU37" s="171">
        <f>'FS_Detail(M)'!DV242+'FS_Detail(M)'!DV272+'FS_Detail(M)'!DV282+'FS_Detail(M)'!DV252+'FS_Detail(M)'!DV262</f>
        <v>82880000</v>
      </c>
      <c r="DV37" s="171">
        <f>'FS_Detail(M)'!DW242+'FS_Detail(M)'!DW272+'FS_Detail(M)'!DW282+'FS_Detail(M)'!DW252+'FS_Detail(M)'!DW262</f>
        <v>82880000</v>
      </c>
      <c r="DW37" s="171">
        <f>'FS_Detail(M)'!DX242+'FS_Detail(M)'!DX272+'FS_Detail(M)'!DX282+'FS_Detail(M)'!DX252+'FS_Detail(M)'!DX262</f>
        <v>82880000</v>
      </c>
      <c r="DX37" s="171">
        <f>'FS_Detail(M)'!DY242+'FS_Detail(M)'!DY272+'FS_Detail(M)'!DY282+'FS_Detail(M)'!DY252+'FS_Detail(M)'!DY262</f>
        <v>82880000</v>
      </c>
      <c r="DY37" s="171">
        <f>'FS_Detail(M)'!DZ242+'FS_Detail(M)'!DZ272+'FS_Detail(M)'!DZ282+'FS_Detail(M)'!DZ252+'FS_Detail(M)'!DZ262</f>
        <v>82880000</v>
      </c>
      <c r="DZ37" s="171">
        <f>'FS_Detail(M)'!EA242+'FS_Detail(M)'!EA272+'FS_Detail(M)'!EA282+'FS_Detail(M)'!EA252+'FS_Detail(M)'!EA262</f>
        <v>82880000</v>
      </c>
      <c r="EA37" s="171">
        <f>'FS_Detail(M)'!EB242+'FS_Detail(M)'!EB272+'FS_Detail(M)'!EB282+'FS_Detail(M)'!EB252+'FS_Detail(M)'!EB262</f>
        <v>0</v>
      </c>
      <c r="EB37" s="171">
        <f>'FS_Detail(M)'!EC242+'FS_Detail(M)'!EC272+'FS_Detail(M)'!EC282+'FS_Detail(M)'!EC252+'FS_Detail(M)'!EC262</f>
        <v>0</v>
      </c>
      <c r="EC37" s="171">
        <f>'FS_Detail(M)'!ED242+'FS_Detail(M)'!ED272+'FS_Detail(M)'!ED282+'FS_Detail(M)'!ED252+'FS_Detail(M)'!ED262</f>
        <v>0</v>
      </c>
      <c r="ED37" s="171">
        <f>'FS_Detail(M)'!EE242+'FS_Detail(M)'!EE272+'FS_Detail(M)'!EE282+'FS_Detail(M)'!EE252+'FS_Detail(M)'!EE262</f>
        <v>0</v>
      </c>
      <c r="EE37" s="171">
        <f>'FS_Detail(M)'!EF242+'FS_Detail(M)'!EF272+'FS_Detail(M)'!EF282+'FS_Detail(M)'!EF252+'FS_Detail(M)'!EF262</f>
        <v>0</v>
      </c>
      <c r="EF37" s="171">
        <f>'FS_Detail(M)'!EG242+'FS_Detail(M)'!EG272+'FS_Detail(M)'!EG282+'FS_Detail(M)'!EG252+'FS_Detail(M)'!EG262</f>
        <v>0</v>
      </c>
      <c r="EG37" s="171">
        <f>'FS_Detail(M)'!EH242+'FS_Detail(M)'!EH272+'FS_Detail(M)'!EH282+'FS_Detail(M)'!EH252+'FS_Detail(M)'!EH262</f>
        <v>0</v>
      </c>
      <c r="EH37" s="171">
        <f>'FS_Detail(M)'!EI242+'FS_Detail(M)'!EI272+'FS_Detail(M)'!EI282+'FS_Detail(M)'!EI252+'FS_Detail(M)'!EI262</f>
        <v>0</v>
      </c>
      <c r="EI37" s="171">
        <f>'FS_Detail(M)'!EJ242+'FS_Detail(M)'!EJ272+'FS_Detail(M)'!EJ282+'FS_Detail(M)'!EJ252+'FS_Detail(M)'!EJ262</f>
        <v>0</v>
      </c>
      <c r="EJ37" s="171">
        <f>'FS_Detail(M)'!EK242+'FS_Detail(M)'!EK272+'FS_Detail(M)'!EK282+'FS_Detail(M)'!EK252+'FS_Detail(M)'!EK262</f>
        <v>0</v>
      </c>
      <c r="EK37" s="171">
        <f>'FS_Detail(M)'!EL242+'FS_Detail(M)'!EL272+'FS_Detail(M)'!EL282+'FS_Detail(M)'!EL252+'FS_Detail(M)'!EL262</f>
        <v>0</v>
      </c>
      <c r="EL37" s="171">
        <f>'FS_Detail(M)'!EM242+'FS_Detail(M)'!EM272+'FS_Detail(M)'!EM282+'FS_Detail(M)'!EM252+'FS_Detail(M)'!EM262</f>
        <v>0</v>
      </c>
      <c r="EM37" s="171">
        <f>'FS_Detail(M)'!EN242+'FS_Detail(M)'!EN272+'FS_Detail(M)'!EN282+'FS_Detail(M)'!EN252+'FS_Detail(M)'!EN262</f>
        <v>0</v>
      </c>
      <c r="EN37" s="171">
        <f>'FS_Detail(M)'!EO242+'FS_Detail(M)'!EO272+'FS_Detail(M)'!EO282+'FS_Detail(M)'!EO252+'FS_Detail(M)'!EO262</f>
        <v>0</v>
      </c>
      <c r="EO37" s="171">
        <f>'FS_Detail(M)'!EP242+'FS_Detail(M)'!EP272+'FS_Detail(M)'!EP282+'FS_Detail(M)'!EP252+'FS_Detail(M)'!EP262</f>
        <v>0</v>
      </c>
      <c r="EP37" s="171">
        <f>'FS_Detail(M)'!EQ242+'FS_Detail(M)'!EQ272+'FS_Detail(M)'!EQ282+'FS_Detail(M)'!EQ252+'FS_Detail(M)'!EQ262</f>
        <v>0</v>
      </c>
    </row>
    <row r="38" spans="2:146">
      <c r="B38" s="218"/>
      <c r="C38" s="158" t="s">
        <v>564</v>
      </c>
      <c r="D38" s="159"/>
      <c r="E38" s="159"/>
      <c r="F38" s="159"/>
      <c r="G38" s="159"/>
      <c r="H38" s="160"/>
      <c r="I38" s="973"/>
      <c r="J38" s="98"/>
      <c r="K38" s="162">
        <f t="shared" ref="K38:BV38" ca="1" si="27">SUM(K39:K39)</f>
        <v>0</v>
      </c>
      <c r="L38" s="162">
        <f t="shared" ca="1" si="27"/>
        <v>-126989.66851214715</v>
      </c>
      <c r="M38" s="162">
        <f t="shared" ca="1" si="27"/>
        <v>-244754.09649304405</v>
      </c>
      <c r="N38" s="162">
        <f t="shared" ca="1" si="27"/>
        <v>-553228.53514894075</v>
      </c>
      <c r="O38" s="162">
        <f t="shared" ca="1" si="27"/>
        <v>-717947.72107549896</v>
      </c>
      <c r="P38" s="162">
        <f t="shared" ca="1" si="27"/>
        <v>-813790.87375205709</v>
      </c>
      <c r="Q38" s="162">
        <f t="shared" ca="1" si="27"/>
        <v>-4140753.9478286151</v>
      </c>
      <c r="R38" s="162">
        <f t="shared" ca="1" si="27"/>
        <v>-4332470.1428414229</v>
      </c>
      <c r="S38" s="162">
        <f t="shared" ca="1" si="27"/>
        <v>-4352218.1467292309</v>
      </c>
      <c r="T38" s="162">
        <f t="shared" ca="1" si="27"/>
        <v>-4371421.1914295387</v>
      </c>
      <c r="U38" s="162">
        <f t="shared" ca="1" si="27"/>
        <v>-4390079.2769423462</v>
      </c>
      <c r="V38" s="162">
        <f t="shared" ca="1" si="27"/>
        <v>-4408737.3624551538</v>
      </c>
      <c r="W38" s="162">
        <f t="shared" ca="1" si="27"/>
        <v>-7717541.3924679616</v>
      </c>
      <c r="X38" s="162">
        <f t="shared" ca="1" si="27"/>
        <v>-7756377.8748550322</v>
      </c>
      <c r="Y38" s="162">
        <f t="shared" ca="1" si="27"/>
        <v>-7796903.6899475716</v>
      </c>
      <c r="Z38" s="162">
        <f t="shared" ca="1" si="27"/>
        <v>-8032907.2659819862</v>
      </c>
      <c r="AA38" s="162">
        <f t="shared" ca="1" si="27"/>
        <v>-8170979.531861186</v>
      </c>
      <c r="AB38" s="162">
        <f t="shared" ca="1" si="27"/>
        <v>-8238453.863659136</v>
      </c>
      <c r="AC38" s="162">
        <f t="shared" ca="1" si="27"/>
        <v>-10981076.114892086</v>
      </c>
      <c r="AD38" s="162">
        <f t="shared" ca="1" si="27"/>
        <v>-11146820.315084692</v>
      </c>
      <c r="AE38" s="162">
        <f t="shared" ca="1" si="27"/>
        <v>-11136297.119374173</v>
      </c>
      <c r="AF38" s="162">
        <f t="shared" ca="1" si="27"/>
        <v>-11125215.340496466</v>
      </c>
      <c r="AG38" s="162">
        <f t="shared" ca="1" si="27"/>
        <v>-11113574.978451572</v>
      </c>
      <c r="AH38" s="162">
        <f t="shared" ca="1" si="27"/>
        <v>-11101934.616406679</v>
      </c>
      <c r="AI38" s="162">
        <f t="shared" ca="1" si="27"/>
        <v>-13825943.847474284</v>
      </c>
      <c r="AJ38" s="162">
        <f t="shared" ca="1" si="27"/>
        <v>-13839735.551108889</v>
      </c>
      <c r="AK38" s="162">
        <f t="shared" ca="1" si="27"/>
        <v>-13875908.413879098</v>
      </c>
      <c r="AL38" s="162">
        <f t="shared" ca="1" si="27"/>
        <v>-13936166.955292854</v>
      </c>
      <c r="AM38" s="162">
        <f t="shared" ca="1" si="27"/>
        <v>-13927577.972045328</v>
      </c>
      <c r="AN38" s="162">
        <f t="shared" ca="1" si="27"/>
        <v>-13991373.064438583</v>
      </c>
      <c r="AO38" s="162">
        <f t="shared" ca="1" si="27"/>
        <v>-16729319.774252713</v>
      </c>
      <c r="AP38" s="162">
        <f t="shared" ca="1" si="27"/>
        <v>-16712022.305457054</v>
      </c>
      <c r="AQ38" s="162">
        <f t="shared" ca="1" si="27"/>
        <v>-17757783.150697749</v>
      </c>
      <c r="AR38" s="162">
        <f t="shared" ca="1" si="27"/>
        <v>-18776603.610100038</v>
      </c>
      <c r="AS38" s="162">
        <f t="shared" ca="1" si="27"/>
        <v>-19859913.40732583</v>
      </c>
      <c r="AT38" s="162">
        <f t="shared" ca="1" si="27"/>
        <v>-20874824.812029451</v>
      </c>
      <c r="AU38" s="162">
        <f t="shared" ca="1" si="27"/>
        <v>-24625902.049673386</v>
      </c>
      <c r="AV38" s="162">
        <f t="shared" ca="1" si="27"/>
        <v>-24579065.301580019</v>
      </c>
      <c r="AW38" s="162">
        <f t="shared" ca="1" si="27"/>
        <v>-24526112.981581297</v>
      </c>
      <c r="AX38" s="162">
        <f t="shared" ca="1" si="27"/>
        <v>-24474945.062805153</v>
      </c>
      <c r="AY38" s="162">
        <f t="shared" ca="1" si="27"/>
        <v>-24426236.529653769</v>
      </c>
      <c r="AZ38" s="162">
        <f t="shared" ca="1" si="27"/>
        <v>-24424066.870490883</v>
      </c>
      <c r="BA38" s="162">
        <f t="shared" ca="1" si="27"/>
        <v>-26982499.632125657</v>
      </c>
      <c r="BB38" s="162">
        <f t="shared" ca="1" si="27"/>
        <v>-26897825.26498694</v>
      </c>
      <c r="BC38" s="162">
        <f t="shared" ca="1" si="27"/>
        <v>-26812592.342210978</v>
      </c>
      <c r="BD38" s="162">
        <f t="shared" ca="1" si="27"/>
        <v>-26727359.419435017</v>
      </c>
      <c r="BE38" s="162">
        <f t="shared" ca="1" si="27"/>
        <v>-26638706.577032946</v>
      </c>
      <c r="BF38" s="162">
        <f t="shared" ca="1" si="27"/>
        <v>-26550053.734630875</v>
      </c>
      <c r="BG38" s="162">
        <f t="shared" ca="1" si="27"/>
        <v>-28814692.891156815</v>
      </c>
      <c r="BH38" s="162">
        <f t="shared" ca="1" si="27"/>
        <v>-28726271.525535632</v>
      </c>
      <c r="BI38" s="162">
        <f t="shared" ca="1" si="27"/>
        <v>-28631651.771535262</v>
      </c>
      <c r="BJ38" s="162">
        <f t="shared" ca="1" si="27"/>
        <v>-28532319.634702455</v>
      </c>
      <c r="BK38" s="162">
        <f t="shared" ca="1" si="27"/>
        <v>-28420219.900312055</v>
      </c>
      <c r="BL38" s="162">
        <f t="shared" ca="1" si="27"/>
        <v>-28384168.68539175</v>
      </c>
      <c r="BM38" s="162">
        <f t="shared" ca="1" si="27"/>
        <v>-30410742.635210201</v>
      </c>
      <c r="BN38" s="162">
        <f t="shared" ca="1" si="27"/>
        <v>-30289494.963480935</v>
      </c>
      <c r="BO38" s="162">
        <f t="shared" ca="1" si="27"/>
        <v>-30168247.291751668</v>
      </c>
      <c r="BP38" s="162">
        <f t="shared" ca="1" si="27"/>
        <v>-30046999.620022401</v>
      </c>
      <c r="BQ38" s="162">
        <f t="shared" ca="1" si="27"/>
        <v>-29922246.530676372</v>
      </c>
      <c r="BR38" s="162">
        <f t="shared" ca="1" si="27"/>
        <v>-29797493.441330343</v>
      </c>
      <c r="BS38" s="162">
        <f t="shared" ca="1" si="27"/>
        <v>-32235218.787569754</v>
      </c>
      <c r="BT38" s="162">
        <f t="shared" ca="1" si="27"/>
        <v>-32057513.687895302</v>
      </c>
      <c r="BU38" s="162">
        <f t="shared" ca="1" si="27"/>
        <v>-31873455.240132187</v>
      </c>
      <c r="BV38" s="162">
        <f t="shared" ca="1" si="27"/>
        <v>-31684566.599965822</v>
      </c>
      <c r="BW38" s="162">
        <f t="shared" ref="BW38:EH38" ca="1" si="28">SUM(BW39:BW39)</f>
        <v>-31482591.172302924</v>
      </c>
      <c r="BX38" s="162">
        <f t="shared" ca="1" si="28"/>
        <v>-31358565.477096874</v>
      </c>
      <c r="BY38" s="162">
        <f t="shared" ca="1" si="28"/>
        <v>-33836198.281975009</v>
      </c>
      <c r="BZ38" s="162">
        <f t="shared" ca="1" si="28"/>
        <v>-33624846.218539767</v>
      </c>
      <c r="CA38" s="162">
        <f t="shared" ca="1" si="28"/>
        <v>-33413494.155104529</v>
      </c>
      <c r="CB38" s="162">
        <f t="shared" ca="1" si="28"/>
        <v>-33202142.091669291</v>
      </c>
      <c r="CC38" s="162">
        <f t="shared" ca="1" si="28"/>
        <v>-32987196.975176875</v>
      </c>
      <c r="CD38" s="162">
        <f t="shared" ca="1" si="28"/>
        <v>-32772251.858684458</v>
      </c>
      <c r="CE38" s="162">
        <f t="shared" ca="1" si="28"/>
        <v>-35655804.088411435</v>
      </c>
      <c r="CF38" s="162">
        <f t="shared" ca="1" si="28"/>
        <v>-35441223.600586601</v>
      </c>
      <c r="CG38" s="162">
        <f t="shared" ca="1" si="28"/>
        <v>-35220130.930970885</v>
      </c>
      <c r="CH38" s="162">
        <f t="shared" ca="1" si="28"/>
        <v>-34994087.31414184</v>
      </c>
      <c r="CI38" s="162">
        <f t="shared" ca="1" si="28"/>
        <v>-34754629.740128852</v>
      </c>
      <c r="CJ38" s="162">
        <f t="shared" ca="1" si="28"/>
        <v>-34595070.641884133</v>
      </c>
      <c r="CK38" s="162">
        <f t="shared" ca="1" si="28"/>
        <v>-37261635.751208641</v>
      </c>
      <c r="CL38" s="162">
        <f t="shared" ca="1" si="28"/>
        <v>-37012567.125528999</v>
      </c>
      <c r="CM38" s="162">
        <f t="shared" ca="1" si="28"/>
        <v>-36763498.499849357</v>
      </c>
      <c r="CN38" s="162">
        <f t="shared" ca="1" si="28"/>
        <v>-36514429.874169715</v>
      </c>
      <c r="CO38" s="162">
        <f t="shared" ca="1" si="28"/>
        <v>-36261678.369106464</v>
      </c>
      <c r="CP38" s="162">
        <f t="shared" ca="1" si="28"/>
        <v>-36008926.864043213</v>
      </c>
      <c r="CQ38" s="162">
        <f t="shared" ca="1" si="28"/>
        <v>-39076450.015765324</v>
      </c>
      <c r="CR38" s="162">
        <f t="shared" ca="1" si="28"/>
        <v>-38824129.928754948</v>
      </c>
      <c r="CS38" s="162">
        <f t="shared" ca="1" si="28"/>
        <v>-38565134.855408922</v>
      </c>
      <c r="CT38" s="162">
        <f t="shared" ca="1" si="28"/>
        <v>-38301065.061169229</v>
      </c>
      <c r="CU38" s="162">
        <f t="shared" ca="1" si="28"/>
        <v>-38023245.960815996</v>
      </c>
      <c r="CV38" s="162">
        <f t="shared" ca="1" si="28"/>
        <v>-37827322.798125237</v>
      </c>
      <c r="CW38" s="162">
        <f t="shared" ca="1" si="28"/>
        <v>-40460766.573604427</v>
      </c>
      <c r="CX38" s="162">
        <f t="shared" ca="1" si="28"/>
        <v>-40810072.907884449</v>
      </c>
      <c r="CY38" s="162">
        <f t="shared" ca="1" si="28"/>
        <v>-40559227.471780419</v>
      </c>
      <c r="CZ38" s="162">
        <f t="shared" ca="1" si="28"/>
        <v>-40308382.03567639</v>
      </c>
      <c r="DA38" s="162">
        <f t="shared" ca="1" si="28"/>
        <v>-40131148.151252262</v>
      </c>
      <c r="DB38" s="162">
        <f t="shared" ca="1" si="28"/>
        <v>-39876527.763780035</v>
      </c>
      <c r="DC38" s="162">
        <f t="shared" ca="1" si="28"/>
        <v>-42336907.376307808</v>
      </c>
      <c r="DD38" s="162">
        <f t="shared" ca="1" si="28"/>
        <v>-42082701.898118779</v>
      </c>
      <c r="DE38" s="162">
        <f t="shared" ca="1" si="28"/>
        <v>-41821846.685788125</v>
      </c>
      <c r="DF38" s="162">
        <f t="shared" ca="1" si="28"/>
        <v>-41573532.147259481</v>
      </c>
      <c r="DG38" s="162">
        <f t="shared" ca="1" si="28"/>
        <v>-41335704.693673037</v>
      </c>
      <c r="DH38" s="162">
        <f t="shared" ca="1" si="28"/>
        <v>-41055660.239921182</v>
      </c>
      <c r="DI38" s="162">
        <f t="shared" ca="1" si="28"/>
        <v>-43516702.89072708</v>
      </c>
      <c r="DJ38" s="162">
        <f t="shared" ca="1" si="28"/>
        <v>-43227408.700590208</v>
      </c>
      <c r="DK38" s="162">
        <f t="shared" ca="1" si="28"/>
        <v>-42937482.556018002</v>
      </c>
      <c r="DL38" s="162">
        <f t="shared" ca="1" si="28"/>
        <v>-42647556.411445796</v>
      </c>
      <c r="DM38" s="162">
        <f t="shared" ca="1" si="28"/>
        <v>-42353760.941721186</v>
      </c>
      <c r="DN38" s="162">
        <f t="shared" ca="1" si="28"/>
        <v>-42059965.471996576</v>
      </c>
      <c r="DO38" s="162">
        <f t="shared" ca="1" si="28"/>
        <v>-44481170.002271965</v>
      </c>
      <c r="DP38" s="162">
        <f t="shared" ca="1" si="28"/>
        <v>-44187854.518208995</v>
      </c>
      <c r="DQ38" s="162">
        <f t="shared" ca="1" si="28"/>
        <v>-43887723.056650862</v>
      </c>
      <c r="DR38" s="162">
        <f t="shared" ca="1" si="28"/>
        <v>-43582421.670443706</v>
      </c>
      <c r="DS38" s="162">
        <f t="shared" ca="1" si="28"/>
        <v>-43263111.900655627</v>
      </c>
      <c r="DT38" s="162">
        <f t="shared" ca="1" si="28"/>
        <v>-42943802.130867548</v>
      </c>
      <c r="DU38" s="162">
        <f t="shared" ca="1" si="28"/>
        <v>-45334160.54960002</v>
      </c>
      <c r="DV38" s="162">
        <f t="shared" ca="1" si="28"/>
        <v>-45004722.046721078</v>
      </c>
      <c r="DW38" s="162">
        <f t="shared" ca="1" si="28"/>
        <v>-44675283.543842137</v>
      </c>
      <c r="DX38" s="162">
        <f t="shared" ca="1" si="28"/>
        <v>-44345845.040963195</v>
      </c>
      <c r="DY38" s="162">
        <f t="shared" ca="1" si="28"/>
        <v>-44012440.479803041</v>
      </c>
      <c r="DZ38" s="162">
        <f t="shared" ca="1" si="28"/>
        <v>-43679035.918642886</v>
      </c>
      <c r="EA38" s="162">
        <f t="shared" ca="1" si="28"/>
        <v>0</v>
      </c>
      <c r="EB38" s="162">
        <f t="shared" ca="1" si="28"/>
        <v>0</v>
      </c>
      <c r="EC38" s="162">
        <f t="shared" ca="1" si="28"/>
        <v>0</v>
      </c>
      <c r="ED38" s="162">
        <f t="shared" ca="1" si="28"/>
        <v>0</v>
      </c>
      <c r="EE38" s="162">
        <f t="shared" ca="1" si="28"/>
        <v>0</v>
      </c>
      <c r="EF38" s="162">
        <f t="shared" ca="1" si="28"/>
        <v>0</v>
      </c>
      <c r="EG38" s="162">
        <f t="shared" ca="1" si="28"/>
        <v>0</v>
      </c>
      <c r="EH38" s="162">
        <f t="shared" ca="1" si="28"/>
        <v>0</v>
      </c>
      <c r="EI38" s="162">
        <f t="shared" ref="EI38:EP38" ca="1" si="29">SUM(EI39:EI39)</f>
        <v>0</v>
      </c>
      <c r="EJ38" s="162">
        <f t="shared" ca="1" si="29"/>
        <v>0</v>
      </c>
      <c r="EK38" s="162">
        <f t="shared" ca="1" si="29"/>
        <v>0</v>
      </c>
      <c r="EL38" s="162">
        <f t="shared" ca="1" si="29"/>
        <v>0</v>
      </c>
      <c r="EM38" s="162">
        <f t="shared" ca="1" si="29"/>
        <v>0</v>
      </c>
      <c r="EN38" s="162">
        <f t="shared" ca="1" si="29"/>
        <v>0</v>
      </c>
      <c r="EO38" s="162">
        <f t="shared" ca="1" si="29"/>
        <v>0</v>
      </c>
      <c r="EP38" s="162">
        <f t="shared" ca="1" si="29"/>
        <v>0</v>
      </c>
    </row>
    <row r="39" spans="2:146">
      <c r="B39" s="218"/>
      <c r="C39" s="163"/>
      <c r="D39" s="164" t="s">
        <v>546</v>
      </c>
      <c r="E39" s="165"/>
      <c r="F39" s="165"/>
      <c r="G39" s="165"/>
      <c r="H39" s="166"/>
      <c r="I39" s="976"/>
      <c r="J39" s="98"/>
      <c r="K39" s="168">
        <f ca="1">'FS_Detail(M)'!L287</f>
        <v>0</v>
      </c>
      <c r="L39" s="168">
        <f ca="1">'FS_Detail(M)'!M287</f>
        <v>-126989.66851214715</v>
      </c>
      <c r="M39" s="168">
        <f ca="1">'FS_Detail(M)'!N287</f>
        <v>-244754.09649304405</v>
      </c>
      <c r="N39" s="168">
        <f ca="1">'FS_Detail(M)'!O287</f>
        <v>-553228.53514894075</v>
      </c>
      <c r="O39" s="168">
        <f ca="1">'FS_Detail(M)'!P287</f>
        <v>-717947.72107549896</v>
      </c>
      <c r="P39" s="168">
        <f ca="1">'FS_Detail(M)'!Q287</f>
        <v>-813790.87375205709</v>
      </c>
      <c r="Q39" s="168">
        <f ca="1">'FS_Detail(M)'!R287</f>
        <v>-4140753.9478286151</v>
      </c>
      <c r="R39" s="168">
        <f ca="1">'FS_Detail(M)'!S287</f>
        <v>-4332470.1428414229</v>
      </c>
      <c r="S39" s="168">
        <f ca="1">'FS_Detail(M)'!T287</f>
        <v>-4352218.1467292309</v>
      </c>
      <c r="T39" s="168">
        <f ca="1">'FS_Detail(M)'!U287</f>
        <v>-4371421.1914295387</v>
      </c>
      <c r="U39" s="168">
        <f ca="1">'FS_Detail(M)'!V287</f>
        <v>-4390079.2769423462</v>
      </c>
      <c r="V39" s="168">
        <f ca="1">'FS_Detail(M)'!W287</f>
        <v>-4408737.3624551538</v>
      </c>
      <c r="W39" s="168">
        <f ca="1">'FS_Detail(M)'!X287</f>
        <v>-7717541.3924679616</v>
      </c>
      <c r="X39" s="168">
        <f ca="1">'FS_Detail(M)'!Y287</f>
        <v>-7756377.8748550322</v>
      </c>
      <c r="Y39" s="168">
        <f ca="1">'FS_Detail(M)'!Z287</f>
        <v>-7796903.6899475716</v>
      </c>
      <c r="Z39" s="168">
        <f ca="1">'FS_Detail(M)'!AA287</f>
        <v>-8032907.2659819862</v>
      </c>
      <c r="AA39" s="168">
        <f ca="1">'FS_Detail(M)'!AB287</f>
        <v>-8170979.531861186</v>
      </c>
      <c r="AB39" s="168">
        <f ca="1">'FS_Detail(M)'!AC287</f>
        <v>-8238453.863659136</v>
      </c>
      <c r="AC39" s="168">
        <f ca="1">'FS_Detail(M)'!AD287</f>
        <v>-10981076.114892086</v>
      </c>
      <c r="AD39" s="168">
        <f ca="1">'FS_Detail(M)'!AE287</f>
        <v>-11146820.315084692</v>
      </c>
      <c r="AE39" s="168">
        <f ca="1">'FS_Detail(M)'!AF287</f>
        <v>-11136297.119374173</v>
      </c>
      <c r="AF39" s="168">
        <f ca="1">'FS_Detail(M)'!AG287</f>
        <v>-11125215.340496466</v>
      </c>
      <c r="AG39" s="168">
        <f ca="1">'FS_Detail(M)'!AH287</f>
        <v>-11113574.978451572</v>
      </c>
      <c r="AH39" s="168">
        <f ca="1">'FS_Detail(M)'!AI287</f>
        <v>-11101934.616406679</v>
      </c>
      <c r="AI39" s="168">
        <f ca="1">'FS_Detail(M)'!AJ287</f>
        <v>-13825943.847474284</v>
      </c>
      <c r="AJ39" s="168">
        <f ca="1">'FS_Detail(M)'!AK287</f>
        <v>-13839735.551108889</v>
      </c>
      <c r="AK39" s="168">
        <f ca="1">'FS_Detail(M)'!AL287</f>
        <v>-13875908.413879098</v>
      </c>
      <c r="AL39" s="168">
        <f ca="1">'FS_Detail(M)'!AM287</f>
        <v>-13936166.955292854</v>
      </c>
      <c r="AM39" s="168">
        <f ca="1">'FS_Detail(M)'!AN287</f>
        <v>-13927577.972045328</v>
      </c>
      <c r="AN39" s="168">
        <f ca="1">'FS_Detail(M)'!AO287</f>
        <v>-13991373.064438583</v>
      </c>
      <c r="AO39" s="168">
        <f ca="1">'FS_Detail(M)'!AP287</f>
        <v>-16729319.774252713</v>
      </c>
      <c r="AP39" s="168">
        <f ca="1">'FS_Detail(M)'!AQ287</f>
        <v>-16712022.305457054</v>
      </c>
      <c r="AQ39" s="168">
        <f ca="1">'FS_Detail(M)'!AR287</f>
        <v>-17757783.150697749</v>
      </c>
      <c r="AR39" s="168">
        <f ca="1">'FS_Detail(M)'!AS287</f>
        <v>-18776603.610100038</v>
      </c>
      <c r="AS39" s="168">
        <f ca="1">'FS_Detail(M)'!AT287</f>
        <v>-19859913.40732583</v>
      </c>
      <c r="AT39" s="168">
        <f ca="1">'FS_Detail(M)'!AU287</f>
        <v>-20874824.812029451</v>
      </c>
      <c r="AU39" s="168">
        <f ca="1">'FS_Detail(M)'!AV287</f>
        <v>-24625902.049673386</v>
      </c>
      <c r="AV39" s="168">
        <f ca="1">'FS_Detail(M)'!AW287</f>
        <v>-24579065.301580019</v>
      </c>
      <c r="AW39" s="168">
        <f ca="1">'FS_Detail(M)'!AX287</f>
        <v>-24526112.981581297</v>
      </c>
      <c r="AX39" s="168">
        <f ca="1">'FS_Detail(M)'!AY287</f>
        <v>-24474945.062805153</v>
      </c>
      <c r="AY39" s="168">
        <f ca="1">'FS_Detail(M)'!AZ287</f>
        <v>-24426236.529653769</v>
      </c>
      <c r="AZ39" s="168">
        <f ca="1">'FS_Detail(M)'!BA287</f>
        <v>-24424066.870490883</v>
      </c>
      <c r="BA39" s="168">
        <f ca="1">'FS_Detail(M)'!BB287</f>
        <v>-26982499.632125657</v>
      </c>
      <c r="BB39" s="168">
        <f ca="1">'FS_Detail(M)'!BC287</f>
        <v>-26897825.26498694</v>
      </c>
      <c r="BC39" s="168">
        <f ca="1">'FS_Detail(M)'!BD287</f>
        <v>-26812592.342210978</v>
      </c>
      <c r="BD39" s="168">
        <f ca="1">'FS_Detail(M)'!BE287</f>
        <v>-26727359.419435017</v>
      </c>
      <c r="BE39" s="168">
        <f ca="1">'FS_Detail(M)'!BF287</f>
        <v>-26638706.577032946</v>
      </c>
      <c r="BF39" s="168">
        <f ca="1">'FS_Detail(M)'!BG287</f>
        <v>-26550053.734630875</v>
      </c>
      <c r="BG39" s="168">
        <f ca="1">'FS_Detail(M)'!BH287</f>
        <v>-28814692.891156815</v>
      </c>
      <c r="BH39" s="168">
        <f ca="1">'FS_Detail(M)'!BI287</f>
        <v>-28726271.525535632</v>
      </c>
      <c r="BI39" s="168">
        <f ca="1">'FS_Detail(M)'!BJ287</f>
        <v>-28631651.771535262</v>
      </c>
      <c r="BJ39" s="168">
        <f ca="1">'FS_Detail(M)'!BK287</f>
        <v>-28532319.634702455</v>
      </c>
      <c r="BK39" s="168">
        <f ca="1">'FS_Detail(M)'!BL287</f>
        <v>-28420219.900312055</v>
      </c>
      <c r="BL39" s="168">
        <f ca="1">'FS_Detail(M)'!BM287</f>
        <v>-28384168.68539175</v>
      </c>
      <c r="BM39" s="168">
        <f ca="1">'FS_Detail(M)'!BN287</f>
        <v>-30410742.635210201</v>
      </c>
      <c r="BN39" s="168">
        <f ca="1">'FS_Detail(M)'!BO287</f>
        <v>-30289494.963480935</v>
      </c>
      <c r="BO39" s="168">
        <f ca="1">'FS_Detail(M)'!BP287</f>
        <v>-30168247.291751668</v>
      </c>
      <c r="BP39" s="168">
        <f ca="1">'FS_Detail(M)'!BQ287</f>
        <v>-30046999.620022401</v>
      </c>
      <c r="BQ39" s="168">
        <f ca="1">'FS_Detail(M)'!BR287</f>
        <v>-29922246.530676372</v>
      </c>
      <c r="BR39" s="168">
        <f ca="1">'FS_Detail(M)'!BS287</f>
        <v>-29797493.441330343</v>
      </c>
      <c r="BS39" s="168">
        <f ca="1">'FS_Detail(M)'!BT287</f>
        <v>-32235218.787569754</v>
      </c>
      <c r="BT39" s="168">
        <f ca="1">'FS_Detail(M)'!BU287</f>
        <v>-32057513.687895302</v>
      </c>
      <c r="BU39" s="168">
        <f ca="1">'FS_Detail(M)'!BV287</f>
        <v>-31873455.240132187</v>
      </c>
      <c r="BV39" s="168">
        <f ca="1">'FS_Detail(M)'!BW287</f>
        <v>-31684566.599965822</v>
      </c>
      <c r="BW39" s="168">
        <f ca="1">'FS_Detail(M)'!BX287</f>
        <v>-31482591.172302924</v>
      </c>
      <c r="BX39" s="168">
        <f ca="1">'FS_Detail(M)'!BY287</f>
        <v>-31358565.477096874</v>
      </c>
      <c r="BY39" s="168">
        <f ca="1">'FS_Detail(M)'!BZ287</f>
        <v>-33836198.281975009</v>
      </c>
      <c r="BZ39" s="168">
        <f ca="1">'FS_Detail(M)'!CA287</f>
        <v>-33624846.218539767</v>
      </c>
      <c r="CA39" s="168">
        <f ca="1">'FS_Detail(M)'!CB287</f>
        <v>-33413494.155104529</v>
      </c>
      <c r="CB39" s="168">
        <f ca="1">'FS_Detail(M)'!CC287</f>
        <v>-33202142.091669291</v>
      </c>
      <c r="CC39" s="168">
        <f ca="1">'FS_Detail(M)'!CD287</f>
        <v>-32987196.975176875</v>
      </c>
      <c r="CD39" s="168">
        <f ca="1">'FS_Detail(M)'!CE287</f>
        <v>-32772251.858684458</v>
      </c>
      <c r="CE39" s="168">
        <f ca="1">'FS_Detail(M)'!CF287</f>
        <v>-35655804.088411435</v>
      </c>
      <c r="CF39" s="168">
        <f ca="1">'FS_Detail(M)'!CG287</f>
        <v>-35441223.600586601</v>
      </c>
      <c r="CG39" s="168">
        <f ca="1">'FS_Detail(M)'!CH287</f>
        <v>-35220130.930970885</v>
      </c>
      <c r="CH39" s="168">
        <f ca="1">'FS_Detail(M)'!CI287</f>
        <v>-34994087.31414184</v>
      </c>
      <c r="CI39" s="168">
        <f ca="1">'FS_Detail(M)'!CJ287</f>
        <v>-34754629.740128852</v>
      </c>
      <c r="CJ39" s="168">
        <f ca="1">'FS_Detail(M)'!CK287</f>
        <v>-34595070.641884133</v>
      </c>
      <c r="CK39" s="168">
        <f ca="1">'FS_Detail(M)'!CL287</f>
        <v>-37261635.751208641</v>
      </c>
      <c r="CL39" s="168">
        <f ca="1">'FS_Detail(M)'!CM287</f>
        <v>-37012567.125528999</v>
      </c>
      <c r="CM39" s="168">
        <f ca="1">'FS_Detail(M)'!CN287</f>
        <v>-36763498.499849357</v>
      </c>
      <c r="CN39" s="168">
        <f ca="1">'FS_Detail(M)'!CO287</f>
        <v>-36514429.874169715</v>
      </c>
      <c r="CO39" s="168">
        <f ca="1">'FS_Detail(M)'!CP287</f>
        <v>-36261678.369106464</v>
      </c>
      <c r="CP39" s="168">
        <f ca="1">'FS_Detail(M)'!CQ287</f>
        <v>-36008926.864043213</v>
      </c>
      <c r="CQ39" s="168">
        <f ca="1">'FS_Detail(M)'!CR287</f>
        <v>-39076450.015765324</v>
      </c>
      <c r="CR39" s="168">
        <f ca="1">'FS_Detail(M)'!CS287</f>
        <v>-38824129.928754948</v>
      </c>
      <c r="CS39" s="168">
        <f ca="1">'FS_Detail(M)'!CT287</f>
        <v>-38565134.855408922</v>
      </c>
      <c r="CT39" s="168">
        <f ca="1">'FS_Detail(M)'!CU287</f>
        <v>-38301065.061169229</v>
      </c>
      <c r="CU39" s="168">
        <f ca="1">'FS_Detail(M)'!CV287</f>
        <v>-38023245.960815996</v>
      </c>
      <c r="CV39" s="168">
        <f ca="1">'FS_Detail(M)'!CW287</f>
        <v>-37827322.798125237</v>
      </c>
      <c r="CW39" s="168">
        <f ca="1">'FS_Detail(M)'!CX287</f>
        <v>-40460766.573604427</v>
      </c>
      <c r="CX39" s="168">
        <f ca="1">'FS_Detail(M)'!CY287</f>
        <v>-40810072.907884449</v>
      </c>
      <c r="CY39" s="168">
        <f ca="1">'FS_Detail(M)'!CZ287</f>
        <v>-40559227.471780419</v>
      </c>
      <c r="CZ39" s="168">
        <f ca="1">'FS_Detail(M)'!DA287</f>
        <v>-40308382.03567639</v>
      </c>
      <c r="DA39" s="168">
        <f ca="1">'FS_Detail(M)'!DB287</f>
        <v>-40131148.151252262</v>
      </c>
      <c r="DB39" s="168">
        <f ca="1">'FS_Detail(M)'!DC287</f>
        <v>-39876527.763780035</v>
      </c>
      <c r="DC39" s="168">
        <f ca="1">'FS_Detail(M)'!DD287</f>
        <v>-42336907.376307808</v>
      </c>
      <c r="DD39" s="168">
        <f ca="1">'FS_Detail(M)'!DE287</f>
        <v>-42082701.898118779</v>
      </c>
      <c r="DE39" s="168">
        <f ca="1">'FS_Detail(M)'!DF287</f>
        <v>-41821846.685788125</v>
      </c>
      <c r="DF39" s="168">
        <f ca="1">'FS_Detail(M)'!DG287</f>
        <v>-41573532.147259481</v>
      </c>
      <c r="DG39" s="168">
        <f ca="1">'FS_Detail(M)'!DH287</f>
        <v>-41335704.693673037</v>
      </c>
      <c r="DH39" s="168">
        <f ca="1">'FS_Detail(M)'!DI287</f>
        <v>-41055660.239921182</v>
      </c>
      <c r="DI39" s="168">
        <f ca="1">'FS_Detail(M)'!DJ287</f>
        <v>-43516702.89072708</v>
      </c>
      <c r="DJ39" s="168">
        <f ca="1">'FS_Detail(M)'!DK287</f>
        <v>-43227408.700590208</v>
      </c>
      <c r="DK39" s="168">
        <f ca="1">'FS_Detail(M)'!DL287</f>
        <v>-42937482.556018002</v>
      </c>
      <c r="DL39" s="168">
        <f ca="1">'FS_Detail(M)'!DM287</f>
        <v>-42647556.411445796</v>
      </c>
      <c r="DM39" s="168">
        <f ca="1">'FS_Detail(M)'!DN287</f>
        <v>-42353760.941721186</v>
      </c>
      <c r="DN39" s="168">
        <f ca="1">'FS_Detail(M)'!DO287</f>
        <v>-42059965.471996576</v>
      </c>
      <c r="DO39" s="168">
        <f ca="1">'FS_Detail(M)'!DP287</f>
        <v>-44481170.002271965</v>
      </c>
      <c r="DP39" s="168">
        <f ca="1">'FS_Detail(M)'!DQ287</f>
        <v>-44187854.518208995</v>
      </c>
      <c r="DQ39" s="168">
        <f ca="1">'FS_Detail(M)'!DR287</f>
        <v>-43887723.056650862</v>
      </c>
      <c r="DR39" s="168">
        <f ca="1">'FS_Detail(M)'!DS287</f>
        <v>-43582421.670443706</v>
      </c>
      <c r="DS39" s="168">
        <f ca="1">'FS_Detail(M)'!DT287</f>
        <v>-43263111.900655627</v>
      </c>
      <c r="DT39" s="168">
        <f ca="1">'FS_Detail(M)'!DU287</f>
        <v>-42943802.130867548</v>
      </c>
      <c r="DU39" s="168">
        <f ca="1">'FS_Detail(M)'!DV287</f>
        <v>-45334160.54960002</v>
      </c>
      <c r="DV39" s="168">
        <f ca="1">'FS_Detail(M)'!DW287</f>
        <v>-45004722.046721078</v>
      </c>
      <c r="DW39" s="168">
        <f ca="1">'FS_Detail(M)'!DX287</f>
        <v>-44675283.543842137</v>
      </c>
      <c r="DX39" s="168">
        <f ca="1">'FS_Detail(M)'!DY287</f>
        <v>-44345845.040963195</v>
      </c>
      <c r="DY39" s="168">
        <f ca="1">'FS_Detail(M)'!DZ287</f>
        <v>-44012440.479803041</v>
      </c>
      <c r="DZ39" s="168">
        <f ca="1">'FS_Detail(M)'!EA287</f>
        <v>-43679035.918642886</v>
      </c>
      <c r="EA39" s="168">
        <f ca="1">'FS_Detail(M)'!EB287</f>
        <v>0</v>
      </c>
      <c r="EB39" s="168">
        <f ca="1">'FS_Detail(M)'!EC287</f>
        <v>0</v>
      </c>
      <c r="EC39" s="168">
        <f ca="1">'FS_Detail(M)'!ED287</f>
        <v>0</v>
      </c>
      <c r="ED39" s="168">
        <f ca="1">'FS_Detail(M)'!EE287</f>
        <v>0</v>
      </c>
      <c r="EE39" s="168">
        <f ca="1">'FS_Detail(M)'!EF287</f>
        <v>0</v>
      </c>
      <c r="EF39" s="168">
        <f ca="1">'FS_Detail(M)'!EG287</f>
        <v>0</v>
      </c>
      <c r="EG39" s="168">
        <f ca="1">'FS_Detail(M)'!EH287</f>
        <v>0</v>
      </c>
      <c r="EH39" s="168">
        <f ca="1">'FS_Detail(M)'!EI287</f>
        <v>0</v>
      </c>
      <c r="EI39" s="168">
        <f ca="1">'FS_Detail(M)'!EJ287</f>
        <v>0</v>
      </c>
      <c r="EJ39" s="168">
        <f ca="1">'FS_Detail(M)'!EK287</f>
        <v>0</v>
      </c>
      <c r="EK39" s="168">
        <f ca="1">'FS_Detail(M)'!EL287</f>
        <v>0</v>
      </c>
      <c r="EL39" s="168">
        <f ca="1">'FS_Detail(M)'!EM287</f>
        <v>0</v>
      </c>
      <c r="EM39" s="168">
        <f ca="1">'FS_Detail(M)'!EN287</f>
        <v>0</v>
      </c>
      <c r="EN39" s="168">
        <f ca="1">'FS_Detail(M)'!EO287</f>
        <v>0</v>
      </c>
      <c r="EO39" s="168">
        <f ca="1">'FS_Detail(M)'!EP287</f>
        <v>0</v>
      </c>
      <c r="EP39" s="168">
        <f ca="1">'FS_Detail(M)'!EQ287</f>
        <v>0</v>
      </c>
    </row>
    <row r="40" spans="2:146">
      <c r="B40" s="230" t="s">
        <v>565</v>
      </c>
      <c r="C40" s="231"/>
      <c r="D40" s="231"/>
      <c r="E40" s="231"/>
      <c r="F40" s="231"/>
      <c r="G40" s="231"/>
      <c r="H40" s="232"/>
      <c r="I40" s="978"/>
      <c r="K40" s="235">
        <f ca="1">SUM(K24,K34)</f>
        <v>311756669.63053203</v>
      </c>
      <c r="L40" s="235">
        <f t="shared" ref="L40:BW40" ca="1" si="30">SUM(L24,L34)</f>
        <v>312760150.88382733</v>
      </c>
      <c r="M40" s="235">
        <f t="shared" ca="1" si="30"/>
        <v>313751185.21304035</v>
      </c>
      <c r="N40" s="235">
        <f t="shared" ca="1" si="30"/>
        <v>298535145.33590215</v>
      </c>
      <c r="O40" s="235">
        <f t="shared" ca="1" si="30"/>
        <v>299443003.02081567</v>
      </c>
      <c r="P40" s="235">
        <f t="shared" ca="1" si="30"/>
        <v>300426624.34230423</v>
      </c>
      <c r="Q40" s="235">
        <f t="shared" ca="1" si="30"/>
        <v>295102483.72550476</v>
      </c>
      <c r="R40" s="235">
        <f t="shared" ca="1" si="30"/>
        <v>295980644.70042336</v>
      </c>
      <c r="S40" s="235">
        <f t="shared" ca="1" si="30"/>
        <v>297047970.68557954</v>
      </c>
      <c r="T40" s="235">
        <f t="shared" ca="1" si="30"/>
        <v>294927008.91462153</v>
      </c>
      <c r="U40" s="235">
        <f t="shared" ca="1" si="30"/>
        <v>295995533.80999017</v>
      </c>
      <c r="V40" s="235">
        <f t="shared" ca="1" si="30"/>
        <v>296702714.00369215</v>
      </c>
      <c r="W40" s="235">
        <f t="shared" ca="1" si="30"/>
        <v>291374407.81419873</v>
      </c>
      <c r="X40" s="235">
        <f t="shared" ca="1" si="30"/>
        <v>292420940.31623894</v>
      </c>
      <c r="Y40" s="235">
        <f t="shared" ca="1" si="30"/>
        <v>293336140.29526979</v>
      </c>
      <c r="Z40" s="235">
        <f t="shared" ca="1" si="30"/>
        <v>291140007.15719408</v>
      </c>
      <c r="AA40" s="235">
        <f t="shared" ca="1" si="30"/>
        <v>292077380.29739296</v>
      </c>
      <c r="AB40" s="235">
        <f t="shared" ca="1" si="30"/>
        <v>293092411.16508126</v>
      </c>
      <c r="AC40" s="235">
        <f t="shared" ca="1" si="30"/>
        <v>288346540.36139125</v>
      </c>
      <c r="AD40" s="235">
        <f t="shared" ca="1" si="30"/>
        <v>289253474.37384534</v>
      </c>
      <c r="AE40" s="235">
        <f t="shared" ca="1" si="30"/>
        <v>290354302.52179295</v>
      </c>
      <c r="AF40" s="235">
        <f t="shared" ca="1" si="30"/>
        <v>288203495.11352962</v>
      </c>
      <c r="AG40" s="235">
        <f t="shared" ca="1" si="30"/>
        <v>289305552.144445</v>
      </c>
      <c r="AH40" s="235">
        <f t="shared" ca="1" si="30"/>
        <v>290018835.12588537</v>
      </c>
      <c r="AI40" s="235">
        <f t="shared" ca="1" si="30"/>
        <v>290268694.61018407</v>
      </c>
      <c r="AJ40" s="235">
        <f t="shared" ca="1" si="30"/>
        <v>291370874.83727807</v>
      </c>
      <c r="AK40" s="235">
        <f t="shared" ca="1" si="30"/>
        <v>292316372.04714894</v>
      </c>
      <c r="AL40" s="235">
        <f t="shared" ca="1" si="30"/>
        <v>290237468.3875671</v>
      </c>
      <c r="AM40" s="235">
        <f t="shared" ca="1" si="30"/>
        <v>291364267.37023151</v>
      </c>
      <c r="AN40" s="235">
        <f t="shared" ca="1" si="30"/>
        <v>292411443.86969101</v>
      </c>
      <c r="AO40" s="235">
        <f t="shared" ca="1" si="30"/>
        <v>287598904.37554741</v>
      </c>
      <c r="AP40" s="235">
        <f t="shared" ca="1" si="30"/>
        <v>288735282.69231468</v>
      </c>
      <c r="AQ40" s="235">
        <f t="shared" ca="1" si="30"/>
        <v>288702296.86364204</v>
      </c>
      <c r="AR40" s="235">
        <f t="shared" ca="1" si="30"/>
        <v>285549148.76135969</v>
      </c>
      <c r="AS40" s="235">
        <f t="shared" ca="1" si="30"/>
        <v>285481698.92475557</v>
      </c>
      <c r="AT40" s="235">
        <f t="shared" ca="1" si="30"/>
        <v>285099705.04194087</v>
      </c>
      <c r="AU40" s="235">
        <f t="shared" ca="1" si="30"/>
        <v>279471496.68999356</v>
      </c>
      <c r="AV40" s="235">
        <f t="shared" ca="1" si="30"/>
        <v>280640628.14935172</v>
      </c>
      <c r="AW40" s="235">
        <f t="shared" ca="1" si="30"/>
        <v>281681781.72078836</v>
      </c>
      <c r="AX40" s="235">
        <f t="shared" ca="1" si="30"/>
        <v>279699493.826051</v>
      </c>
      <c r="AY40" s="235">
        <f t="shared" ca="1" si="30"/>
        <v>280873449.72932732</v>
      </c>
      <c r="AZ40" s="235">
        <f t="shared" ca="1" si="30"/>
        <v>281993447.39086199</v>
      </c>
      <c r="BA40" s="235">
        <f t="shared" ca="1" si="30"/>
        <v>277346463.51450163</v>
      </c>
      <c r="BB40" s="235">
        <f t="shared" ca="1" si="30"/>
        <v>278557272.2103734</v>
      </c>
      <c r="BC40" s="235">
        <f t="shared" ca="1" si="30"/>
        <v>279768639.46188247</v>
      </c>
      <c r="BD40" s="235">
        <f t="shared" ca="1" si="30"/>
        <v>277595545.83956861</v>
      </c>
      <c r="BE40" s="235">
        <f t="shared" ca="1" si="30"/>
        <v>278810675.00266641</v>
      </c>
      <c r="BF40" s="235">
        <f t="shared" ca="1" si="30"/>
        <v>279648605.86361223</v>
      </c>
      <c r="BG40" s="235">
        <f t="shared" ca="1" si="30"/>
        <v>275285538.32346612</v>
      </c>
      <c r="BH40" s="235">
        <f t="shared" ca="1" si="30"/>
        <v>276500701.11589092</v>
      </c>
      <c r="BI40" s="235">
        <f t="shared" ca="1" si="30"/>
        <v>277585283.01817501</v>
      </c>
      <c r="BJ40" s="235">
        <f t="shared" ca="1" si="30"/>
        <v>275643006.05586964</v>
      </c>
      <c r="BK40" s="235">
        <f t="shared" ca="1" si="30"/>
        <v>276884215.05394059</v>
      </c>
      <c r="BL40" s="235">
        <f t="shared" ca="1" si="30"/>
        <v>278041770.68059444</v>
      </c>
      <c r="BM40" s="235">
        <f t="shared" ca="1" si="30"/>
        <v>273919091.6704734</v>
      </c>
      <c r="BN40" s="235">
        <f t="shared" ca="1" si="30"/>
        <v>275170363.39961708</v>
      </c>
      <c r="BO40" s="235">
        <f t="shared" ca="1" si="30"/>
        <v>276421635.12876081</v>
      </c>
      <c r="BP40" s="235">
        <f t="shared" ca="1" si="30"/>
        <v>274273169.16406125</v>
      </c>
      <c r="BQ40" s="235">
        <f t="shared" ca="1" si="30"/>
        <v>275528296.85258341</v>
      </c>
      <c r="BR40" s="235">
        <f t="shared" ca="1" si="30"/>
        <v>276411884.21348596</v>
      </c>
      <c r="BS40" s="235">
        <f t="shared" ca="1" si="30"/>
        <v>271867918.28400582</v>
      </c>
      <c r="BT40" s="235">
        <f t="shared" ca="1" si="30"/>
        <v>273123034.95074862</v>
      </c>
      <c r="BU40" s="235">
        <f t="shared" ca="1" si="30"/>
        <v>274244993.20068395</v>
      </c>
      <c r="BV40" s="235">
        <f t="shared" ca="1" si="30"/>
        <v>272491729.8053844</v>
      </c>
      <c r="BW40" s="235">
        <f t="shared" ca="1" si="30"/>
        <v>273773543.83291447</v>
      </c>
      <c r="BX40" s="235">
        <f t="shared" ref="BX40:DO40" ca="1" si="31">SUM(BX24,BX34)</f>
        <v>274969613.15474206</v>
      </c>
      <c r="BY40" s="235">
        <f t="shared" ca="1" si="31"/>
        <v>270494640.22750413</v>
      </c>
      <c r="BZ40" s="235">
        <f t="shared" ca="1" si="31"/>
        <v>271786768.55438381</v>
      </c>
      <c r="CA40" s="235">
        <f t="shared" ca="1" si="31"/>
        <v>273078896.88126343</v>
      </c>
      <c r="CB40" s="235">
        <f t="shared" ca="1" si="31"/>
        <v>271115400.55408442</v>
      </c>
      <c r="CC40" s="235">
        <f t="shared" ca="1" si="31"/>
        <v>272411481.23932701</v>
      </c>
      <c r="CD40" s="235">
        <f t="shared" ca="1" si="31"/>
        <v>273341594.70186424</v>
      </c>
      <c r="CE40" s="235">
        <f t="shared" ca="1" si="31"/>
        <v>268450313.43876594</v>
      </c>
      <c r="CF40" s="235">
        <f t="shared" ca="1" si="31"/>
        <v>269746338.51698428</v>
      </c>
      <c r="CG40" s="235">
        <f t="shared" ca="1" si="31"/>
        <v>270906576.95347345</v>
      </c>
      <c r="CH40" s="235">
        <f t="shared" ca="1" si="31"/>
        <v>269183264.4046545</v>
      </c>
      <c r="CI40" s="235">
        <f t="shared" ca="1" si="31"/>
        <v>270506654.2776798</v>
      </c>
      <c r="CJ40" s="235">
        <f t="shared" ca="1" si="31"/>
        <v>271742155.82736003</v>
      </c>
      <c r="CK40" s="235">
        <f t="shared" ca="1" si="31"/>
        <v>267070340.93337679</v>
      </c>
      <c r="CL40" s="235">
        <f t="shared" ca="1" si="31"/>
        <v>268404302.96323541</v>
      </c>
      <c r="CM40" s="235">
        <f t="shared" ca="1" si="31"/>
        <v>269738264.99309403</v>
      </c>
      <c r="CN40" s="235">
        <f t="shared" ca="1" si="31"/>
        <v>267800596.70058462</v>
      </c>
      <c r="CO40" s="235">
        <f t="shared" ca="1" si="31"/>
        <v>269138609.89776522</v>
      </c>
      <c r="CP40" s="235">
        <f t="shared" ca="1" si="31"/>
        <v>270116145.38058102</v>
      </c>
      <c r="CQ40" s="235">
        <f t="shared" ca="1" si="31"/>
        <v>265032723.8104133</v>
      </c>
      <c r="CR40" s="235">
        <f t="shared" ca="1" si="31"/>
        <v>266370636.86449888</v>
      </c>
      <c r="CS40" s="235">
        <f t="shared" ca="1" si="31"/>
        <v>267570083.36102062</v>
      </c>
      <c r="CT40" s="235">
        <f t="shared" ca="1" si="31"/>
        <v>265877427.28394902</v>
      </c>
      <c r="CU40" s="235">
        <f t="shared" ca="1" si="31"/>
        <v>267243389.25271174</v>
      </c>
      <c r="CV40" s="235">
        <f t="shared" ca="1" si="31"/>
        <v>268519265.69004571</v>
      </c>
      <c r="CW40" s="235">
        <f t="shared" ca="1" si="31"/>
        <v>263872483.2285156</v>
      </c>
      <c r="CX40" s="235">
        <f t="shared" ca="1" si="31"/>
        <v>264608622.39622015</v>
      </c>
      <c r="CY40" s="235">
        <f t="shared" ca="1" si="31"/>
        <v>265944913.33430874</v>
      </c>
      <c r="CZ40" s="235">
        <f t="shared" ca="1" si="31"/>
        <v>264004238.29790416</v>
      </c>
      <c r="DA40" s="235">
        <f t="shared" ca="1" si="31"/>
        <v>265267295.17944968</v>
      </c>
      <c r="DB40" s="235">
        <f t="shared" ca="1" si="31"/>
        <v>266252668.01539403</v>
      </c>
      <c r="DC40" s="235">
        <f t="shared" ca="1" si="31"/>
        <v>261775399.86562526</v>
      </c>
      <c r="DD40" s="235">
        <f t="shared" ca="1" si="31"/>
        <v>263115790.42375267</v>
      </c>
      <c r="DE40" s="235">
        <f t="shared" ca="1" si="31"/>
        <v>264314770.46605206</v>
      </c>
      <c r="DF40" s="235">
        <f t="shared" ca="1" si="31"/>
        <v>262606186.88021484</v>
      </c>
      <c r="DG40" s="235">
        <f t="shared" ca="1" si="31"/>
        <v>263932783.3112959</v>
      </c>
      <c r="DH40" s="235">
        <f t="shared" ca="1" si="31"/>
        <v>265301596.74254239</v>
      </c>
      <c r="DI40" s="235">
        <f t="shared" ca="1" si="31"/>
        <v>260817955.98752064</v>
      </c>
      <c r="DJ40" s="235">
        <f t="shared" ca="1" si="31"/>
        <v>262197007.32423413</v>
      </c>
      <c r="DK40" s="235">
        <f t="shared" ca="1" si="31"/>
        <v>263576690.61538303</v>
      </c>
      <c r="DL40" s="235">
        <f t="shared" ca="1" si="31"/>
        <v>261662767.30511448</v>
      </c>
      <c r="DM40" s="235">
        <f t="shared" ca="1" si="31"/>
        <v>263046706.85393101</v>
      </c>
      <c r="DN40" s="235">
        <f t="shared" ca="1" si="31"/>
        <v>264080901.91232798</v>
      </c>
      <c r="DO40" s="235">
        <f t="shared" ca="1" si="31"/>
        <v>259634349.07464218</v>
      </c>
      <c r="DP40" s="235">
        <f t="shared" ref="DP40:EP40" ca="1" si="32">SUM(DP24,DP34)</f>
        <v>261018193.60491985</v>
      </c>
      <c r="DQ40" s="235">
        <f t="shared" ca="1" si="32"/>
        <v>262257835.98259085</v>
      </c>
      <c r="DR40" s="235">
        <f t="shared" ca="1" si="32"/>
        <v>260598610.86788893</v>
      </c>
      <c r="DS40" s="235">
        <f t="shared" ca="1" si="32"/>
        <v>262011049.11246425</v>
      </c>
      <c r="DT40" s="235">
        <f t="shared" ca="1" si="32"/>
        <v>263423487.35703957</v>
      </c>
      <c r="DU40" s="235">
        <f t="shared" ca="1" si="32"/>
        <v>259002044.42509663</v>
      </c>
      <c r="DV40" s="235">
        <f t="shared" ca="1" si="32"/>
        <v>260425624.27607191</v>
      </c>
      <c r="DW40" s="235">
        <f t="shared" ca="1" si="32"/>
        <v>261849204.12704715</v>
      </c>
      <c r="DX40" s="235">
        <f t="shared" ca="1" si="32"/>
        <v>259962291.50897872</v>
      </c>
      <c r="DY40" s="235">
        <f t="shared" ca="1" si="32"/>
        <v>261390234.02406329</v>
      </c>
      <c r="DZ40" s="235">
        <f t="shared" ca="1" si="32"/>
        <v>262473678.21608469</v>
      </c>
      <c r="EA40" s="235">
        <f t="shared" ca="1" si="32"/>
        <v>0</v>
      </c>
      <c r="EB40" s="235">
        <f t="shared" ca="1" si="32"/>
        <v>0</v>
      </c>
      <c r="EC40" s="235">
        <f t="shared" ca="1" si="32"/>
        <v>0</v>
      </c>
      <c r="ED40" s="235">
        <f t="shared" ca="1" si="32"/>
        <v>0</v>
      </c>
      <c r="EE40" s="235">
        <f t="shared" ca="1" si="32"/>
        <v>0</v>
      </c>
      <c r="EF40" s="235">
        <f t="shared" ca="1" si="32"/>
        <v>0</v>
      </c>
      <c r="EG40" s="235">
        <f t="shared" ca="1" si="32"/>
        <v>0</v>
      </c>
      <c r="EH40" s="235">
        <f t="shared" ca="1" si="32"/>
        <v>0</v>
      </c>
      <c r="EI40" s="235">
        <f t="shared" ca="1" si="32"/>
        <v>0</v>
      </c>
      <c r="EJ40" s="235">
        <f t="shared" ca="1" si="32"/>
        <v>0</v>
      </c>
      <c r="EK40" s="235">
        <f t="shared" ca="1" si="32"/>
        <v>0</v>
      </c>
      <c r="EL40" s="235">
        <f t="shared" ca="1" si="32"/>
        <v>0</v>
      </c>
      <c r="EM40" s="235">
        <f t="shared" ca="1" si="32"/>
        <v>0</v>
      </c>
      <c r="EN40" s="235">
        <f t="shared" ca="1" si="32"/>
        <v>0</v>
      </c>
      <c r="EO40" s="235">
        <f t="shared" ca="1" si="32"/>
        <v>0</v>
      </c>
      <c r="EP40" s="235">
        <f t="shared" ca="1" si="32"/>
        <v>0</v>
      </c>
    </row>
    <row r="41" spans="2:146">
      <c r="B41" s="982" t="s">
        <v>566</v>
      </c>
      <c r="C41" s="979"/>
      <c r="D41" s="979"/>
      <c r="E41" s="979"/>
      <c r="F41" s="979"/>
      <c r="G41" s="979"/>
      <c r="H41" s="980"/>
      <c r="I41" s="981"/>
      <c r="K41" s="983" t="b">
        <f ca="1">ABS(K14-K40)&lt;1</f>
        <v>1</v>
      </c>
      <c r="L41" s="983" t="b">
        <f t="shared" ref="L41:BW41" ca="1" si="33">ABS(L14-L40)&lt;1</f>
        <v>1</v>
      </c>
      <c r="M41" s="983" t="b">
        <f t="shared" ca="1" si="33"/>
        <v>1</v>
      </c>
      <c r="N41" s="983" t="b">
        <f t="shared" ca="1" si="33"/>
        <v>1</v>
      </c>
      <c r="O41" s="983" t="b">
        <f t="shared" ca="1" si="33"/>
        <v>1</v>
      </c>
      <c r="P41" s="983" t="b">
        <f t="shared" ca="1" si="33"/>
        <v>1</v>
      </c>
      <c r="Q41" s="983" t="b">
        <f t="shared" ca="1" si="33"/>
        <v>1</v>
      </c>
      <c r="R41" s="983" t="b">
        <f t="shared" ca="1" si="33"/>
        <v>1</v>
      </c>
      <c r="S41" s="983" t="b">
        <f t="shared" ca="1" si="33"/>
        <v>1</v>
      </c>
      <c r="T41" s="983" t="b">
        <f t="shared" ca="1" si="33"/>
        <v>1</v>
      </c>
      <c r="U41" s="983" t="b">
        <f t="shared" ca="1" si="33"/>
        <v>1</v>
      </c>
      <c r="V41" s="983" t="b">
        <f t="shared" ca="1" si="33"/>
        <v>1</v>
      </c>
      <c r="W41" s="983" t="b">
        <f t="shared" ca="1" si="33"/>
        <v>1</v>
      </c>
      <c r="X41" s="983" t="b">
        <f t="shared" ca="1" si="33"/>
        <v>1</v>
      </c>
      <c r="Y41" s="983" t="b">
        <f t="shared" ca="1" si="33"/>
        <v>1</v>
      </c>
      <c r="Z41" s="983" t="b">
        <f t="shared" ca="1" si="33"/>
        <v>1</v>
      </c>
      <c r="AA41" s="983" t="b">
        <f t="shared" ca="1" si="33"/>
        <v>1</v>
      </c>
      <c r="AB41" s="983" t="b">
        <f t="shared" ca="1" si="33"/>
        <v>1</v>
      </c>
      <c r="AC41" s="983" t="b">
        <f t="shared" ca="1" si="33"/>
        <v>1</v>
      </c>
      <c r="AD41" s="983" t="b">
        <f t="shared" ca="1" si="33"/>
        <v>1</v>
      </c>
      <c r="AE41" s="983" t="b">
        <f t="shared" ca="1" si="33"/>
        <v>1</v>
      </c>
      <c r="AF41" s="983" t="b">
        <f t="shared" ca="1" si="33"/>
        <v>1</v>
      </c>
      <c r="AG41" s="983" t="b">
        <f t="shared" ca="1" si="33"/>
        <v>1</v>
      </c>
      <c r="AH41" s="983" t="b">
        <f t="shared" ca="1" si="33"/>
        <v>1</v>
      </c>
      <c r="AI41" s="983" t="b">
        <f t="shared" ca="1" si="33"/>
        <v>1</v>
      </c>
      <c r="AJ41" s="983" t="b">
        <f t="shared" ca="1" si="33"/>
        <v>1</v>
      </c>
      <c r="AK41" s="983" t="b">
        <f t="shared" ca="1" si="33"/>
        <v>1</v>
      </c>
      <c r="AL41" s="983" t="b">
        <f t="shared" ca="1" si="33"/>
        <v>1</v>
      </c>
      <c r="AM41" s="983" t="b">
        <f t="shared" ca="1" si="33"/>
        <v>1</v>
      </c>
      <c r="AN41" s="983" t="b">
        <f t="shared" ca="1" si="33"/>
        <v>1</v>
      </c>
      <c r="AO41" s="983" t="b">
        <f t="shared" ca="1" si="33"/>
        <v>1</v>
      </c>
      <c r="AP41" s="983" t="b">
        <f t="shared" ca="1" si="33"/>
        <v>1</v>
      </c>
      <c r="AQ41" s="983" t="b">
        <f t="shared" ca="1" si="33"/>
        <v>1</v>
      </c>
      <c r="AR41" s="983" t="b">
        <f t="shared" ca="1" si="33"/>
        <v>1</v>
      </c>
      <c r="AS41" s="983" t="b">
        <f t="shared" ca="1" si="33"/>
        <v>1</v>
      </c>
      <c r="AT41" s="983" t="b">
        <f t="shared" ca="1" si="33"/>
        <v>1</v>
      </c>
      <c r="AU41" s="983" t="b">
        <f t="shared" ca="1" si="33"/>
        <v>1</v>
      </c>
      <c r="AV41" s="983" t="b">
        <f t="shared" ca="1" si="33"/>
        <v>1</v>
      </c>
      <c r="AW41" s="983" t="b">
        <f t="shared" ca="1" si="33"/>
        <v>1</v>
      </c>
      <c r="AX41" s="983" t="b">
        <f t="shared" ca="1" si="33"/>
        <v>1</v>
      </c>
      <c r="AY41" s="983" t="b">
        <f t="shared" ca="1" si="33"/>
        <v>1</v>
      </c>
      <c r="AZ41" s="983" t="b">
        <f t="shared" ca="1" si="33"/>
        <v>1</v>
      </c>
      <c r="BA41" s="983" t="b">
        <f t="shared" ca="1" si="33"/>
        <v>1</v>
      </c>
      <c r="BB41" s="983" t="b">
        <f t="shared" ca="1" si="33"/>
        <v>1</v>
      </c>
      <c r="BC41" s="983" t="b">
        <f t="shared" ca="1" si="33"/>
        <v>1</v>
      </c>
      <c r="BD41" s="983" t="b">
        <f t="shared" ca="1" si="33"/>
        <v>1</v>
      </c>
      <c r="BE41" s="983" t="b">
        <f t="shared" ca="1" si="33"/>
        <v>1</v>
      </c>
      <c r="BF41" s="983" t="b">
        <f t="shared" ca="1" si="33"/>
        <v>1</v>
      </c>
      <c r="BG41" s="983" t="b">
        <f t="shared" ca="1" si="33"/>
        <v>1</v>
      </c>
      <c r="BH41" s="983" t="b">
        <f t="shared" ca="1" si="33"/>
        <v>1</v>
      </c>
      <c r="BI41" s="983" t="b">
        <f t="shared" ca="1" si="33"/>
        <v>1</v>
      </c>
      <c r="BJ41" s="983" t="b">
        <f t="shared" ca="1" si="33"/>
        <v>1</v>
      </c>
      <c r="BK41" s="983" t="b">
        <f t="shared" ca="1" si="33"/>
        <v>1</v>
      </c>
      <c r="BL41" s="983" t="b">
        <f t="shared" ca="1" si="33"/>
        <v>1</v>
      </c>
      <c r="BM41" s="983" t="b">
        <f t="shared" ca="1" si="33"/>
        <v>1</v>
      </c>
      <c r="BN41" s="983" t="b">
        <f t="shared" ca="1" si="33"/>
        <v>1</v>
      </c>
      <c r="BO41" s="983" t="b">
        <f t="shared" ca="1" si="33"/>
        <v>1</v>
      </c>
      <c r="BP41" s="983" t="b">
        <f t="shared" ca="1" si="33"/>
        <v>1</v>
      </c>
      <c r="BQ41" s="983" t="b">
        <f t="shared" ca="1" si="33"/>
        <v>1</v>
      </c>
      <c r="BR41" s="983" t="b">
        <f t="shared" ca="1" si="33"/>
        <v>1</v>
      </c>
      <c r="BS41" s="983" t="b">
        <f t="shared" ca="1" si="33"/>
        <v>1</v>
      </c>
      <c r="BT41" s="983" t="b">
        <f t="shared" ca="1" si="33"/>
        <v>1</v>
      </c>
      <c r="BU41" s="983" t="b">
        <f t="shared" ca="1" si="33"/>
        <v>1</v>
      </c>
      <c r="BV41" s="983" t="b">
        <f t="shared" ca="1" si="33"/>
        <v>1</v>
      </c>
      <c r="BW41" s="983" t="b">
        <f t="shared" ca="1" si="33"/>
        <v>1</v>
      </c>
      <c r="BX41" s="983" t="b">
        <f t="shared" ref="BX41:DO41" ca="1" si="34">ABS(BX14-BX40)&lt;1</f>
        <v>1</v>
      </c>
      <c r="BY41" s="983" t="b">
        <f t="shared" ca="1" si="34"/>
        <v>1</v>
      </c>
      <c r="BZ41" s="983" t="b">
        <f t="shared" ca="1" si="34"/>
        <v>1</v>
      </c>
      <c r="CA41" s="983" t="b">
        <f t="shared" ca="1" si="34"/>
        <v>1</v>
      </c>
      <c r="CB41" s="983" t="b">
        <f t="shared" ca="1" si="34"/>
        <v>1</v>
      </c>
      <c r="CC41" s="983" t="b">
        <f t="shared" ca="1" si="34"/>
        <v>1</v>
      </c>
      <c r="CD41" s="983" t="b">
        <f t="shared" ca="1" si="34"/>
        <v>1</v>
      </c>
      <c r="CE41" s="983" t="b">
        <f t="shared" ca="1" si="34"/>
        <v>1</v>
      </c>
      <c r="CF41" s="983" t="b">
        <f t="shared" ca="1" si="34"/>
        <v>1</v>
      </c>
      <c r="CG41" s="983" t="b">
        <f t="shared" ca="1" si="34"/>
        <v>1</v>
      </c>
      <c r="CH41" s="983" t="b">
        <f t="shared" ca="1" si="34"/>
        <v>1</v>
      </c>
      <c r="CI41" s="983" t="b">
        <f t="shared" ca="1" si="34"/>
        <v>1</v>
      </c>
      <c r="CJ41" s="983" t="b">
        <f t="shared" ca="1" si="34"/>
        <v>1</v>
      </c>
      <c r="CK41" s="983" t="b">
        <f t="shared" ca="1" si="34"/>
        <v>1</v>
      </c>
      <c r="CL41" s="983" t="b">
        <f t="shared" ca="1" si="34"/>
        <v>1</v>
      </c>
      <c r="CM41" s="983" t="b">
        <f t="shared" ca="1" si="34"/>
        <v>1</v>
      </c>
      <c r="CN41" s="983" t="b">
        <f t="shared" ca="1" si="34"/>
        <v>1</v>
      </c>
      <c r="CO41" s="983" t="b">
        <f t="shared" ca="1" si="34"/>
        <v>1</v>
      </c>
      <c r="CP41" s="983" t="b">
        <f t="shared" ca="1" si="34"/>
        <v>1</v>
      </c>
      <c r="CQ41" s="983" t="b">
        <f t="shared" ca="1" si="34"/>
        <v>1</v>
      </c>
      <c r="CR41" s="983" t="b">
        <f t="shared" ca="1" si="34"/>
        <v>1</v>
      </c>
      <c r="CS41" s="983" t="b">
        <f t="shared" ca="1" si="34"/>
        <v>1</v>
      </c>
      <c r="CT41" s="983" t="b">
        <f t="shared" ca="1" si="34"/>
        <v>1</v>
      </c>
      <c r="CU41" s="983" t="b">
        <f t="shared" ca="1" si="34"/>
        <v>1</v>
      </c>
      <c r="CV41" s="983" t="b">
        <f t="shared" ca="1" si="34"/>
        <v>1</v>
      </c>
      <c r="CW41" s="983" t="b">
        <f t="shared" ca="1" si="34"/>
        <v>1</v>
      </c>
      <c r="CX41" s="983" t="b">
        <f t="shared" ca="1" si="34"/>
        <v>1</v>
      </c>
      <c r="CY41" s="983" t="b">
        <f t="shared" ca="1" si="34"/>
        <v>1</v>
      </c>
      <c r="CZ41" s="983" t="b">
        <f t="shared" ca="1" si="34"/>
        <v>1</v>
      </c>
      <c r="DA41" s="983" t="b">
        <f t="shared" ca="1" si="34"/>
        <v>1</v>
      </c>
      <c r="DB41" s="983" t="b">
        <f t="shared" ca="1" si="34"/>
        <v>1</v>
      </c>
      <c r="DC41" s="983" t="b">
        <f t="shared" ca="1" si="34"/>
        <v>1</v>
      </c>
      <c r="DD41" s="983" t="b">
        <f t="shared" ca="1" si="34"/>
        <v>1</v>
      </c>
      <c r="DE41" s="983" t="b">
        <f t="shared" ca="1" si="34"/>
        <v>1</v>
      </c>
      <c r="DF41" s="983" t="b">
        <f t="shared" ca="1" si="34"/>
        <v>1</v>
      </c>
      <c r="DG41" s="983" t="b">
        <f t="shared" ca="1" si="34"/>
        <v>1</v>
      </c>
      <c r="DH41" s="983" t="b">
        <f t="shared" ca="1" si="34"/>
        <v>1</v>
      </c>
      <c r="DI41" s="983" t="b">
        <f t="shared" ca="1" si="34"/>
        <v>1</v>
      </c>
      <c r="DJ41" s="983" t="b">
        <f t="shared" ca="1" si="34"/>
        <v>1</v>
      </c>
      <c r="DK41" s="983" t="b">
        <f t="shared" ca="1" si="34"/>
        <v>1</v>
      </c>
      <c r="DL41" s="983" t="b">
        <f t="shared" ca="1" si="34"/>
        <v>1</v>
      </c>
      <c r="DM41" s="983" t="b">
        <f t="shared" ca="1" si="34"/>
        <v>1</v>
      </c>
      <c r="DN41" s="983" t="b">
        <f t="shared" ca="1" si="34"/>
        <v>1</v>
      </c>
      <c r="DO41" s="983" t="b">
        <f t="shared" ca="1" si="34"/>
        <v>1</v>
      </c>
      <c r="DP41" s="983" t="b">
        <f t="shared" ref="DP41:EP41" ca="1" si="35">ABS(DP14-DP40)&lt;1</f>
        <v>1</v>
      </c>
      <c r="DQ41" s="983" t="b">
        <f t="shared" ca="1" si="35"/>
        <v>1</v>
      </c>
      <c r="DR41" s="983" t="b">
        <f t="shared" ca="1" si="35"/>
        <v>1</v>
      </c>
      <c r="DS41" s="983" t="b">
        <f t="shared" ca="1" si="35"/>
        <v>1</v>
      </c>
      <c r="DT41" s="983" t="b">
        <f t="shared" ca="1" si="35"/>
        <v>1</v>
      </c>
      <c r="DU41" s="983" t="b">
        <f t="shared" ca="1" si="35"/>
        <v>1</v>
      </c>
      <c r="DV41" s="983" t="b">
        <f t="shared" ca="1" si="35"/>
        <v>1</v>
      </c>
      <c r="DW41" s="983" t="b">
        <f t="shared" ca="1" si="35"/>
        <v>1</v>
      </c>
      <c r="DX41" s="983" t="b">
        <f t="shared" ca="1" si="35"/>
        <v>1</v>
      </c>
      <c r="DY41" s="983" t="b">
        <f t="shared" ca="1" si="35"/>
        <v>1</v>
      </c>
      <c r="DZ41" s="983" t="b">
        <f t="shared" ca="1" si="35"/>
        <v>1</v>
      </c>
      <c r="EA41" s="983" t="b">
        <f t="shared" ca="1" si="35"/>
        <v>1</v>
      </c>
      <c r="EB41" s="983" t="b">
        <f t="shared" ca="1" si="35"/>
        <v>1</v>
      </c>
      <c r="EC41" s="983" t="b">
        <f t="shared" ca="1" si="35"/>
        <v>1</v>
      </c>
      <c r="ED41" s="983" t="b">
        <f t="shared" ca="1" si="35"/>
        <v>1</v>
      </c>
      <c r="EE41" s="983" t="b">
        <f t="shared" ca="1" si="35"/>
        <v>1</v>
      </c>
      <c r="EF41" s="983" t="b">
        <f t="shared" ca="1" si="35"/>
        <v>1</v>
      </c>
      <c r="EG41" s="983" t="b">
        <f t="shared" ca="1" si="35"/>
        <v>1</v>
      </c>
      <c r="EH41" s="983" t="b">
        <f t="shared" ca="1" si="35"/>
        <v>1</v>
      </c>
      <c r="EI41" s="983" t="b">
        <f t="shared" ca="1" si="35"/>
        <v>1</v>
      </c>
      <c r="EJ41" s="983" t="b">
        <f t="shared" ca="1" si="35"/>
        <v>1</v>
      </c>
      <c r="EK41" s="983" t="b">
        <f t="shared" ca="1" si="35"/>
        <v>1</v>
      </c>
      <c r="EL41" s="983" t="b">
        <f t="shared" ca="1" si="35"/>
        <v>1</v>
      </c>
      <c r="EM41" s="983" t="b">
        <f t="shared" ca="1" si="35"/>
        <v>1</v>
      </c>
      <c r="EN41" s="983" t="b">
        <f t="shared" ca="1" si="35"/>
        <v>1</v>
      </c>
      <c r="EO41" s="983" t="b">
        <f t="shared" ca="1" si="35"/>
        <v>1</v>
      </c>
      <c r="EP41" s="983" t="b">
        <f t="shared" ca="1" si="35"/>
        <v>1</v>
      </c>
    </row>
    <row r="42" spans="2:146">
      <c r="Q42" s="90">
        <f ca="1">Q40-Q14</f>
        <v>0</v>
      </c>
      <c r="R42" s="90">
        <f t="shared" ref="R42:CC42" ca="1" si="36">R40-R14</f>
        <v>0</v>
      </c>
      <c r="S42" s="90">
        <f t="shared" ca="1" si="36"/>
        <v>0</v>
      </c>
      <c r="T42" s="90">
        <f t="shared" ca="1" si="36"/>
        <v>0</v>
      </c>
      <c r="U42" s="90">
        <f t="shared" ca="1" si="36"/>
        <v>0</v>
      </c>
      <c r="V42" s="90">
        <f t="shared" ca="1" si="36"/>
        <v>0</v>
      </c>
      <c r="W42" s="90">
        <f t="shared" ca="1" si="36"/>
        <v>0</v>
      </c>
      <c r="X42" s="90">
        <f t="shared" ca="1" si="36"/>
        <v>0</v>
      </c>
      <c r="Y42" s="90">
        <f t="shared" ca="1" si="36"/>
        <v>0</v>
      </c>
      <c r="Z42" s="90">
        <f t="shared" ca="1" si="36"/>
        <v>0</v>
      </c>
      <c r="AA42" s="90">
        <f t="shared" ca="1" si="36"/>
        <v>0</v>
      </c>
      <c r="AB42" s="90">
        <f t="shared" ca="1" si="36"/>
        <v>0</v>
      </c>
      <c r="AC42" s="90">
        <f t="shared" ca="1" si="36"/>
        <v>0</v>
      </c>
      <c r="AD42" s="90">
        <f t="shared" ca="1" si="36"/>
        <v>0</v>
      </c>
      <c r="AE42" s="90">
        <f t="shared" ca="1" si="36"/>
        <v>0</v>
      </c>
      <c r="AF42" s="90">
        <f t="shared" ca="1" si="36"/>
        <v>0</v>
      </c>
      <c r="AG42" s="90">
        <f t="shared" ca="1" si="36"/>
        <v>0</v>
      </c>
      <c r="AH42" s="90">
        <f t="shared" ca="1" si="36"/>
        <v>0</v>
      </c>
      <c r="AI42" s="90">
        <f t="shared" ca="1" si="36"/>
        <v>0</v>
      </c>
      <c r="AJ42" s="90">
        <f t="shared" ca="1" si="36"/>
        <v>0</v>
      </c>
      <c r="AK42" s="90">
        <f t="shared" ca="1" si="36"/>
        <v>0</v>
      </c>
      <c r="AL42" s="90">
        <f t="shared" ca="1" si="36"/>
        <v>0</v>
      </c>
      <c r="AM42" s="90">
        <f t="shared" ca="1" si="36"/>
        <v>0</v>
      </c>
      <c r="AN42" s="90">
        <f t="shared" ca="1" si="36"/>
        <v>0</v>
      </c>
      <c r="AO42" s="90">
        <f t="shared" ca="1" si="36"/>
        <v>0</v>
      </c>
      <c r="AP42" s="90">
        <f t="shared" ca="1" si="36"/>
        <v>0</v>
      </c>
      <c r="AQ42" s="90">
        <f t="shared" ca="1" si="36"/>
        <v>0</v>
      </c>
      <c r="AR42" s="90">
        <f t="shared" ca="1" si="36"/>
        <v>0</v>
      </c>
      <c r="AS42" s="90">
        <f t="shared" ca="1" si="36"/>
        <v>0</v>
      </c>
      <c r="AT42" s="90">
        <f t="shared" ca="1" si="36"/>
        <v>0</v>
      </c>
      <c r="AU42" s="90">
        <f t="shared" ca="1" si="36"/>
        <v>0</v>
      </c>
      <c r="AV42" s="90">
        <f t="shared" ca="1" si="36"/>
        <v>0</v>
      </c>
      <c r="AW42" s="90">
        <f t="shared" ca="1" si="36"/>
        <v>0</v>
      </c>
      <c r="AX42" s="90">
        <f t="shared" ca="1" si="36"/>
        <v>0</v>
      </c>
      <c r="AY42" s="90">
        <f t="shared" ca="1" si="36"/>
        <v>0</v>
      </c>
      <c r="AZ42" s="90">
        <f t="shared" ca="1" si="36"/>
        <v>0</v>
      </c>
      <c r="BA42" s="90">
        <f t="shared" ca="1" si="36"/>
        <v>0</v>
      </c>
      <c r="BB42" s="90">
        <f t="shared" ca="1" si="36"/>
        <v>0</v>
      </c>
      <c r="BC42" s="90">
        <f t="shared" ca="1" si="36"/>
        <v>0</v>
      </c>
      <c r="BD42" s="90">
        <f t="shared" ca="1" si="36"/>
        <v>0</v>
      </c>
      <c r="BE42" s="90">
        <f t="shared" ca="1" si="36"/>
        <v>0</v>
      </c>
      <c r="BF42" s="90">
        <f t="shared" ca="1" si="36"/>
        <v>0</v>
      </c>
      <c r="BG42" s="90">
        <f t="shared" ca="1" si="36"/>
        <v>0</v>
      </c>
      <c r="BH42" s="90">
        <f t="shared" ca="1" si="36"/>
        <v>0</v>
      </c>
      <c r="BI42" s="90">
        <f t="shared" ca="1" si="36"/>
        <v>0</v>
      </c>
      <c r="BJ42" s="90">
        <f t="shared" ca="1" si="36"/>
        <v>0</v>
      </c>
      <c r="BK42" s="90">
        <f t="shared" ca="1" si="36"/>
        <v>0</v>
      </c>
      <c r="BL42" s="90">
        <f t="shared" ca="1" si="36"/>
        <v>0</v>
      </c>
      <c r="BM42" s="90">
        <f t="shared" ca="1" si="36"/>
        <v>0</v>
      </c>
      <c r="BN42" s="90">
        <f t="shared" ca="1" si="36"/>
        <v>0</v>
      </c>
      <c r="BO42" s="90">
        <f t="shared" ca="1" si="36"/>
        <v>0</v>
      </c>
      <c r="BP42" s="90">
        <f t="shared" ca="1" si="36"/>
        <v>0</v>
      </c>
      <c r="BQ42" s="90">
        <f t="shared" ca="1" si="36"/>
        <v>0</v>
      </c>
      <c r="BR42" s="90">
        <f t="shared" ca="1" si="36"/>
        <v>0</v>
      </c>
      <c r="BS42" s="90">
        <f t="shared" ca="1" si="36"/>
        <v>0</v>
      </c>
      <c r="BT42" s="90">
        <f t="shared" ca="1" si="36"/>
        <v>0</v>
      </c>
      <c r="BU42" s="90">
        <f t="shared" ca="1" si="36"/>
        <v>0</v>
      </c>
      <c r="BV42" s="90">
        <f t="shared" ca="1" si="36"/>
        <v>0</v>
      </c>
      <c r="BW42" s="90">
        <f t="shared" ca="1" si="36"/>
        <v>0</v>
      </c>
      <c r="BX42" s="90">
        <f t="shared" ca="1" si="36"/>
        <v>0</v>
      </c>
      <c r="BY42" s="90">
        <f t="shared" ca="1" si="36"/>
        <v>0</v>
      </c>
      <c r="BZ42" s="90">
        <f t="shared" ca="1" si="36"/>
        <v>0</v>
      </c>
      <c r="CA42" s="90">
        <f t="shared" ca="1" si="36"/>
        <v>0</v>
      </c>
      <c r="CB42" s="90">
        <f t="shared" ca="1" si="36"/>
        <v>0</v>
      </c>
      <c r="CC42" s="90">
        <f t="shared" ca="1" si="36"/>
        <v>0</v>
      </c>
      <c r="CD42" s="90">
        <f t="shared" ref="CD42:EO42" ca="1" si="37">CD40-CD14</f>
        <v>0</v>
      </c>
      <c r="CE42" s="90">
        <f t="shared" ca="1" si="37"/>
        <v>0</v>
      </c>
      <c r="CF42" s="90">
        <f t="shared" ca="1" si="37"/>
        <v>0</v>
      </c>
      <c r="CG42" s="90">
        <f t="shared" ca="1" si="37"/>
        <v>0</v>
      </c>
      <c r="CH42" s="90">
        <f t="shared" ca="1" si="37"/>
        <v>0</v>
      </c>
      <c r="CI42" s="90">
        <f t="shared" ca="1" si="37"/>
        <v>0</v>
      </c>
      <c r="CJ42" s="90">
        <f t="shared" ca="1" si="37"/>
        <v>0</v>
      </c>
      <c r="CK42" s="90">
        <f t="shared" ca="1" si="37"/>
        <v>0</v>
      </c>
      <c r="CL42" s="90">
        <f t="shared" ca="1" si="37"/>
        <v>0</v>
      </c>
      <c r="CM42" s="90">
        <f t="shared" ca="1" si="37"/>
        <v>0</v>
      </c>
      <c r="CN42" s="90">
        <f t="shared" ca="1" si="37"/>
        <v>0</v>
      </c>
      <c r="CO42" s="90">
        <f t="shared" ca="1" si="37"/>
        <v>0</v>
      </c>
      <c r="CP42" s="90">
        <f t="shared" ca="1" si="37"/>
        <v>0</v>
      </c>
      <c r="CQ42" s="90">
        <f t="shared" ca="1" si="37"/>
        <v>0</v>
      </c>
      <c r="CR42" s="90">
        <f t="shared" ca="1" si="37"/>
        <v>0</v>
      </c>
      <c r="CS42" s="90">
        <f t="shared" ca="1" si="37"/>
        <v>0</v>
      </c>
      <c r="CT42" s="90">
        <f t="shared" ca="1" si="37"/>
        <v>0</v>
      </c>
      <c r="CU42" s="90">
        <f t="shared" ca="1" si="37"/>
        <v>0</v>
      </c>
      <c r="CV42" s="90">
        <f t="shared" ca="1" si="37"/>
        <v>0</v>
      </c>
      <c r="CW42" s="90">
        <f t="shared" ca="1" si="37"/>
        <v>0</v>
      </c>
      <c r="CX42" s="90">
        <f t="shared" ca="1" si="37"/>
        <v>0</v>
      </c>
      <c r="CY42" s="90">
        <f t="shared" ca="1" si="37"/>
        <v>0</v>
      </c>
      <c r="CZ42" s="90">
        <f t="shared" ca="1" si="37"/>
        <v>0</v>
      </c>
      <c r="DA42" s="90">
        <f t="shared" ca="1" si="37"/>
        <v>0</v>
      </c>
      <c r="DB42" s="90">
        <f t="shared" ca="1" si="37"/>
        <v>0</v>
      </c>
      <c r="DC42" s="90">
        <f t="shared" ca="1" si="37"/>
        <v>0</v>
      </c>
      <c r="DD42" s="90">
        <f t="shared" ca="1" si="37"/>
        <v>0</v>
      </c>
      <c r="DE42" s="90">
        <f t="shared" ca="1" si="37"/>
        <v>0</v>
      </c>
      <c r="DF42" s="90">
        <f t="shared" ca="1" si="37"/>
        <v>0</v>
      </c>
      <c r="DG42" s="90">
        <f t="shared" ca="1" si="37"/>
        <v>0</v>
      </c>
      <c r="DH42" s="90">
        <f t="shared" ca="1" si="37"/>
        <v>0</v>
      </c>
      <c r="DI42" s="90">
        <f t="shared" ca="1" si="37"/>
        <v>0</v>
      </c>
      <c r="DJ42" s="90">
        <f t="shared" ca="1" si="37"/>
        <v>0</v>
      </c>
      <c r="DK42" s="90">
        <f t="shared" ca="1" si="37"/>
        <v>0</v>
      </c>
      <c r="DL42" s="90">
        <f t="shared" ca="1" si="37"/>
        <v>0</v>
      </c>
      <c r="DM42" s="90">
        <f t="shared" ca="1" si="37"/>
        <v>0</v>
      </c>
      <c r="DN42" s="90">
        <f t="shared" ca="1" si="37"/>
        <v>0</v>
      </c>
      <c r="DO42" s="90">
        <f t="shared" ca="1" si="37"/>
        <v>0</v>
      </c>
      <c r="DP42" s="90">
        <f t="shared" ca="1" si="37"/>
        <v>0</v>
      </c>
      <c r="DQ42" s="90">
        <f t="shared" ca="1" si="37"/>
        <v>0</v>
      </c>
      <c r="DR42" s="90">
        <f t="shared" ca="1" si="37"/>
        <v>0</v>
      </c>
      <c r="DS42" s="90">
        <f t="shared" ca="1" si="37"/>
        <v>0</v>
      </c>
      <c r="DT42" s="90">
        <f t="shared" ca="1" si="37"/>
        <v>0</v>
      </c>
      <c r="DU42" s="90">
        <f t="shared" ca="1" si="37"/>
        <v>0</v>
      </c>
      <c r="DV42" s="90">
        <f t="shared" ca="1" si="37"/>
        <v>0</v>
      </c>
      <c r="DW42" s="90">
        <f t="shared" ca="1" si="37"/>
        <v>0</v>
      </c>
      <c r="DX42" s="90">
        <f t="shared" ca="1" si="37"/>
        <v>0</v>
      </c>
      <c r="DY42" s="90">
        <f t="shared" ca="1" si="37"/>
        <v>0</v>
      </c>
      <c r="DZ42" s="90">
        <f t="shared" ca="1" si="37"/>
        <v>0</v>
      </c>
      <c r="EA42" s="90">
        <f t="shared" ca="1" si="37"/>
        <v>8.0093741416931152E-8</v>
      </c>
      <c r="EB42" s="90">
        <f t="shared" ca="1" si="37"/>
        <v>8.0093741416931152E-8</v>
      </c>
      <c r="EC42" s="90">
        <f t="shared" ca="1" si="37"/>
        <v>8.0093741416931152E-8</v>
      </c>
      <c r="ED42" s="90">
        <f t="shared" ca="1" si="37"/>
        <v>8.0093741416931152E-8</v>
      </c>
      <c r="EE42" s="90">
        <f t="shared" ca="1" si="37"/>
        <v>8.0093741416931152E-8</v>
      </c>
      <c r="EF42" s="90">
        <f t="shared" ca="1" si="37"/>
        <v>8.0093741416931152E-8</v>
      </c>
      <c r="EG42" s="90">
        <f t="shared" ca="1" si="37"/>
        <v>8.0093741416931152E-8</v>
      </c>
      <c r="EH42" s="90">
        <f t="shared" ca="1" si="37"/>
        <v>8.0093741416931152E-8</v>
      </c>
      <c r="EI42" s="90">
        <f t="shared" ca="1" si="37"/>
        <v>8.0093741416931152E-8</v>
      </c>
      <c r="EJ42" s="90">
        <f t="shared" ca="1" si="37"/>
        <v>8.0093741416931152E-8</v>
      </c>
      <c r="EK42" s="90">
        <f t="shared" ca="1" si="37"/>
        <v>8.0093741416931152E-8</v>
      </c>
      <c r="EL42" s="90">
        <f t="shared" ca="1" si="37"/>
        <v>8.0093741416931152E-8</v>
      </c>
      <c r="EM42" s="90">
        <f t="shared" ca="1" si="37"/>
        <v>8.0093741416931152E-8</v>
      </c>
      <c r="EN42" s="90">
        <f t="shared" ca="1" si="37"/>
        <v>8.0093741416931152E-8</v>
      </c>
      <c r="EO42" s="90">
        <f t="shared" ca="1" si="37"/>
        <v>8.0093741416931152E-8</v>
      </c>
      <c r="EP42" s="90">
        <f ca="1">EP40-EP14</f>
        <v>8.0093741416931152E-8</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93D43-C519-4CF4-9F6E-677B4F7AC79D}">
  <sheetPr codeName="Sheet31">
    <tabColor rgb="FFC00000"/>
  </sheetPr>
  <dimension ref="B2:N106"/>
  <sheetViews>
    <sheetView showGridLines="0" zoomScale="115" zoomScaleNormal="115" workbookViewId="0">
      <selection activeCell="D25" sqref="D25"/>
    </sheetView>
  </sheetViews>
  <sheetFormatPr defaultColWidth="9" defaultRowHeight="11.25" customHeight="1"/>
  <cols>
    <col min="1" max="1" width="9" style="1486"/>
    <col min="2" max="2" width="42.625" style="1486" bestFit="1" customWidth="1"/>
    <col min="3" max="12" width="9.625" style="1486" customWidth="1"/>
    <col min="13" max="13" width="19.5" style="1486" customWidth="1"/>
    <col min="14" max="14" width="2.125" style="1486" customWidth="1"/>
    <col min="15" max="18" width="9" style="1486"/>
    <col min="19" max="24" width="9.125" style="1486" bestFit="1" customWidth="1"/>
    <col min="25" max="25" width="9.875" style="1486" bestFit="1" customWidth="1"/>
    <col min="26" max="26" width="9.125" style="1486" bestFit="1" customWidth="1"/>
    <col min="27" max="27" width="9.875" style="1486" bestFit="1" customWidth="1"/>
    <col min="28" max="29" width="9.125" style="1486" bestFit="1" customWidth="1"/>
    <col min="30" max="16384" width="9" style="1486"/>
  </cols>
  <sheetData>
    <row r="2" spans="2:13" ht="11.25" customHeight="1">
      <c r="B2" s="1486" t="s">
        <v>1696</v>
      </c>
      <c r="C2" s="2747">
        <v>298000</v>
      </c>
    </row>
    <row r="3" spans="2:13" ht="11.25" customHeight="1">
      <c r="B3" s="1486" t="s">
        <v>930</v>
      </c>
      <c r="C3" s="2748">
        <v>2.1999999999999999E-2</v>
      </c>
    </row>
    <row r="4" spans="2:13" ht="11.25" customHeight="1">
      <c r="C4" s="2749">
        <v>6</v>
      </c>
    </row>
    <row r="5" spans="2:13" ht="11.25" customHeight="1">
      <c r="B5" s="1486" t="s">
        <v>1697</v>
      </c>
      <c r="C5" s="2750">
        <v>1000</v>
      </c>
    </row>
    <row r="6" spans="2:13" ht="11.25" customHeight="1">
      <c r="B6" s="1486" t="s">
        <v>1698</v>
      </c>
      <c r="C6" s="2750">
        <v>25000</v>
      </c>
    </row>
    <row r="7" spans="2:13" ht="11.25" customHeight="1">
      <c r="B7" s="1486" t="s">
        <v>1699</v>
      </c>
      <c r="C7" s="2750">
        <v>4000</v>
      </c>
    </row>
    <row r="9" spans="2:13" ht="11.25" customHeight="1">
      <c r="B9" s="1488" t="s">
        <v>1700</v>
      </c>
    </row>
    <row r="10" spans="2:13" ht="11.25" customHeight="1">
      <c r="B10" s="1488"/>
    </row>
    <row r="11" spans="2:13" ht="11.25" customHeight="1">
      <c r="B11" s="1488" t="s">
        <v>1701</v>
      </c>
      <c r="D11" s="2751" t="s">
        <v>1702</v>
      </c>
      <c r="E11" s="2752">
        <f>L17</f>
        <v>0.56060606060606055</v>
      </c>
    </row>
    <row r="12" spans="2:13" ht="11.25" customHeight="1">
      <c r="B12" s="2753"/>
      <c r="C12" s="1578" t="s">
        <v>1703</v>
      </c>
      <c r="D12" s="1578" t="s">
        <v>1704</v>
      </c>
      <c r="E12" s="1578" t="s">
        <v>1697</v>
      </c>
      <c r="F12" s="1578" t="s">
        <v>1705</v>
      </c>
      <c r="G12" s="1578" t="s">
        <v>543</v>
      </c>
      <c r="H12" s="1578" t="s">
        <v>545</v>
      </c>
      <c r="I12" s="1578" t="s">
        <v>610</v>
      </c>
      <c r="J12" s="1578" t="s">
        <v>243</v>
      </c>
      <c r="K12" s="1578" t="s">
        <v>1706</v>
      </c>
      <c r="L12" s="1578" t="s">
        <v>243</v>
      </c>
      <c r="M12" s="1578" t="s">
        <v>90</v>
      </c>
    </row>
    <row r="13" spans="2:13" ht="11.25" customHeight="1">
      <c r="B13" s="1486" t="s">
        <v>1707</v>
      </c>
      <c r="C13" s="2749">
        <v>1</v>
      </c>
      <c r="D13" s="2749">
        <v>24000</v>
      </c>
      <c r="E13" s="2750">
        <f>$C$5</f>
        <v>1000</v>
      </c>
      <c r="F13" s="2750">
        <f>$C$6</f>
        <v>25000</v>
      </c>
      <c r="G13" s="2749">
        <f>D13/(F13/E13)</f>
        <v>960</v>
      </c>
      <c r="H13" s="2749">
        <f>D13-G13</f>
        <v>23040</v>
      </c>
      <c r="I13" s="2749">
        <f>D13/F13*10^6</f>
        <v>960000</v>
      </c>
      <c r="J13" s="2748">
        <f>I13/I18</f>
        <v>0.15106732348111659</v>
      </c>
      <c r="K13" s="2749">
        <f>C13*I13</f>
        <v>960000</v>
      </c>
      <c r="L13" s="2748">
        <f>K13/$K$18</f>
        <v>0.18181818181818182</v>
      </c>
      <c r="M13" s="2754"/>
    </row>
    <row r="14" spans="2:13" ht="11.25" customHeight="1">
      <c r="B14" s="1486" t="s">
        <v>1708</v>
      </c>
      <c r="C14" s="2749">
        <v>1</v>
      </c>
      <c r="D14" s="2755">
        <v>34000</v>
      </c>
      <c r="E14" s="2750">
        <f t="shared" ref="E14:F17" si="0">E13</f>
        <v>1000</v>
      </c>
      <c r="F14" s="2750">
        <f t="shared" si="0"/>
        <v>25000</v>
      </c>
      <c r="G14" s="2749">
        <f>D14/(F14/E14)</f>
        <v>1360</v>
      </c>
      <c r="H14" s="2749">
        <f>D14-G14</f>
        <v>32640</v>
      </c>
      <c r="I14" s="2749">
        <f>D14/F14*10^6</f>
        <v>1360000</v>
      </c>
      <c r="J14" s="2748">
        <f>I14/I18</f>
        <v>0.21401204159824849</v>
      </c>
      <c r="K14" s="2749">
        <f>C14*I14</f>
        <v>1360000</v>
      </c>
      <c r="L14" s="2748">
        <f>K14/$K$18</f>
        <v>0.25757575757575757</v>
      </c>
      <c r="M14" s="2754"/>
    </row>
    <row r="15" spans="2:13" ht="11.25" customHeight="1">
      <c r="B15" s="1486" t="s">
        <v>1709</v>
      </c>
      <c r="C15" s="2749">
        <v>0</v>
      </c>
      <c r="D15" s="2749">
        <f>50000-D14</f>
        <v>16000</v>
      </c>
      <c r="E15" s="2750">
        <f t="shared" si="0"/>
        <v>1000</v>
      </c>
      <c r="F15" s="2750">
        <f t="shared" si="0"/>
        <v>25000</v>
      </c>
      <c r="G15" s="2749">
        <f>D15/(F15/E15)</f>
        <v>640</v>
      </c>
      <c r="H15" s="2749">
        <f>D15-G15</f>
        <v>15360</v>
      </c>
      <c r="I15" s="2749">
        <f>D15/F15*10^6</f>
        <v>640000</v>
      </c>
      <c r="J15" s="2748">
        <f>I15/I18</f>
        <v>0.10071154898741105</v>
      </c>
      <c r="K15" s="2749">
        <f>C15*I15</f>
        <v>0</v>
      </c>
      <c r="L15" s="2748">
        <f>K15/$K$18</f>
        <v>0</v>
      </c>
      <c r="M15" s="2754"/>
    </row>
    <row r="16" spans="2:13" ht="11.25" customHeight="1">
      <c r="B16" s="1486" t="s">
        <v>1710</v>
      </c>
      <c r="C16" s="2749">
        <v>0</v>
      </c>
      <c r="D16" s="2749">
        <v>10000</v>
      </c>
      <c r="E16" s="2750">
        <f t="shared" si="0"/>
        <v>1000</v>
      </c>
      <c r="F16" s="2756">
        <v>23000</v>
      </c>
      <c r="G16" s="2749">
        <f>D16/(F16/E16)</f>
        <v>434.78260869565219</v>
      </c>
      <c r="H16" s="2749">
        <f>D16-G16</f>
        <v>9565.217391304348</v>
      </c>
      <c r="I16" s="2749">
        <f>D16/F16*10^6</f>
        <v>434782.60869565216</v>
      </c>
      <c r="J16" s="2748">
        <f>I16/I18</f>
        <v>6.8418171866447719E-2</v>
      </c>
      <c r="K16" s="2749">
        <f>C16*I16</f>
        <v>0</v>
      </c>
      <c r="L16" s="2748">
        <f>K16/$K$18</f>
        <v>0</v>
      </c>
    </row>
    <row r="17" spans="2:14" ht="11.25" customHeight="1">
      <c r="B17" s="1486" t="s">
        <v>1711</v>
      </c>
      <c r="C17" s="2749">
        <v>1</v>
      </c>
      <c r="D17" s="2749">
        <f>'A&amp;R'!N95/1000</f>
        <v>14800</v>
      </c>
      <c r="E17" s="2750">
        <f t="shared" si="0"/>
        <v>1000</v>
      </c>
      <c r="F17" s="2750">
        <v>5000</v>
      </c>
      <c r="G17" s="2749">
        <f>D17/(F17/E17)</f>
        <v>2960</v>
      </c>
      <c r="H17" s="2749">
        <f>D17-G17</f>
        <v>11840</v>
      </c>
      <c r="I17" s="2749">
        <f>D17/F17*10^6</f>
        <v>2960000</v>
      </c>
      <c r="J17" s="2748">
        <f>I17/I18</f>
        <v>0.46579091406677614</v>
      </c>
      <c r="K17" s="2749">
        <f>C17*I17</f>
        <v>2960000</v>
      </c>
      <c r="L17" s="2748">
        <f>K17/$K$18</f>
        <v>0.56060606060606055</v>
      </c>
      <c r="M17" s="2748"/>
      <c r="N17" s="2748"/>
    </row>
    <row r="18" spans="2:14" ht="11.25" customHeight="1">
      <c r="B18" s="2753" t="s">
        <v>59</v>
      </c>
      <c r="C18" s="2757"/>
      <c r="D18" s="2757">
        <f>SUM(D13:D17)</f>
        <v>98800</v>
      </c>
      <c r="E18" s="2758"/>
      <c r="F18" s="2758"/>
      <c r="G18" s="2759">
        <f>SUM(G13:G17)</f>
        <v>6354.782608695652</v>
      </c>
      <c r="H18" s="2757">
        <f>SUM(H13:H17)</f>
        <v>92445.217391304352</v>
      </c>
      <c r="I18" s="2757">
        <f>SUM(I13:I17)</f>
        <v>6354782.6086956523</v>
      </c>
      <c r="J18" s="2760">
        <f>I18/I18</f>
        <v>1</v>
      </c>
      <c r="K18" s="2757">
        <f>SUM(K13:K17)</f>
        <v>5280000</v>
      </c>
      <c r="L18" s="2760">
        <f>SUM(L13:L17)</f>
        <v>1</v>
      </c>
      <c r="M18" s="2753"/>
    </row>
    <row r="19" spans="2:14" ht="11.25" customHeight="1">
      <c r="G19" s="2749" t="b">
        <f>G18&gt;=5000</f>
        <v>1</v>
      </c>
      <c r="H19" s="1486" t="s">
        <v>1712</v>
      </c>
      <c r="I19" s="2761">
        <f>(I18-K18)/I18</f>
        <v>0.1691297208538588</v>
      </c>
      <c r="J19" s="1486" t="b">
        <f>I19&lt;=0.25</f>
        <v>1</v>
      </c>
    </row>
    <row r="20" spans="2:14" ht="11.25" customHeight="1">
      <c r="B20" s="1488" t="s">
        <v>1713</v>
      </c>
      <c r="D20" s="2751" t="s">
        <v>1702</v>
      </c>
      <c r="E20" s="2752">
        <f>SUM(L25,L28)</f>
        <v>0.60810810810810811</v>
      </c>
    </row>
    <row r="21" spans="2:14" ht="11.25" customHeight="1">
      <c r="B21" s="2753"/>
      <c r="C21" s="1578" t="s">
        <v>1703</v>
      </c>
      <c r="D21" s="1578" t="s">
        <v>1704</v>
      </c>
      <c r="E21" s="1578" t="s">
        <v>1697</v>
      </c>
      <c r="F21" s="1578" t="s">
        <v>1705</v>
      </c>
      <c r="G21" s="1578" t="s">
        <v>543</v>
      </c>
      <c r="H21" s="1578" t="s">
        <v>545</v>
      </c>
      <c r="I21" s="1578" t="s">
        <v>610</v>
      </c>
      <c r="J21" s="1578" t="s">
        <v>243</v>
      </c>
      <c r="K21" s="1578" t="s">
        <v>1706</v>
      </c>
      <c r="L21" s="1578" t="s">
        <v>243</v>
      </c>
      <c r="M21" s="1578" t="s">
        <v>90</v>
      </c>
    </row>
    <row r="22" spans="2:14" ht="11.25" customHeight="1">
      <c r="B22" s="1486" t="str">
        <f t="shared" ref="B22:F24" si="1">B13</f>
        <v>1종 - 외부</v>
      </c>
      <c r="C22" s="2749">
        <f t="shared" si="1"/>
        <v>1</v>
      </c>
      <c r="D22" s="2749">
        <f t="shared" si="1"/>
        <v>24000</v>
      </c>
      <c r="E22" s="2750">
        <f t="shared" si="1"/>
        <v>1000</v>
      </c>
      <c r="F22" s="2750">
        <f t="shared" si="1"/>
        <v>25000</v>
      </c>
      <c r="G22" s="2749">
        <f t="shared" ref="G22:G28" si="2">D22/(F22/E22)</f>
        <v>960</v>
      </c>
      <c r="H22" s="2749">
        <f t="shared" ref="H22:H28" si="3">D22-G22</f>
        <v>23040</v>
      </c>
      <c r="I22" s="2749">
        <f t="shared" ref="I22:I28" si="4">D22/F22*10^6</f>
        <v>960000</v>
      </c>
      <c r="J22" s="2748">
        <f>I22/I29</f>
        <v>0.13724515166583789</v>
      </c>
      <c r="K22" s="2749">
        <f t="shared" ref="K22:K28" si="5">C22*I22</f>
        <v>960000</v>
      </c>
      <c r="L22" s="2748">
        <f>K22/K29</f>
        <v>0.16216216216216217</v>
      </c>
      <c r="M22" s="2754"/>
    </row>
    <row r="23" spans="2:14" ht="11.25" customHeight="1">
      <c r="B23" s="1486" t="str">
        <f t="shared" si="1"/>
        <v>2종 - 외부</v>
      </c>
      <c r="C23" s="2749">
        <f t="shared" si="1"/>
        <v>1</v>
      </c>
      <c r="D23" s="2749">
        <f t="shared" si="1"/>
        <v>34000</v>
      </c>
      <c r="E23" s="2750">
        <f t="shared" si="1"/>
        <v>1000</v>
      </c>
      <c r="F23" s="2750">
        <f t="shared" si="1"/>
        <v>25000</v>
      </c>
      <c r="G23" s="2749">
        <f t="shared" si="2"/>
        <v>1360</v>
      </c>
      <c r="H23" s="2749">
        <f t="shared" si="3"/>
        <v>32640</v>
      </c>
      <c r="I23" s="2749">
        <f t="shared" si="4"/>
        <v>1360000</v>
      </c>
      <c r="J23" s="2748">
        <f>I23/I29</f>
        <v>0.19443063152660367</v>
      </c>
      <c r="K23" s="2749">
        <f t="shared" si="5"/>
        <v>1360000</v>
      </c>
      <c r="L23" s="2748">
        <f>K23/K29</f>
        <v>0.22972972972972974</v>
      </c>
      <c r="M23" s="2754"/>
    </row>
    <row r="24" spans="2:14" ht="11.25" customHeight="1">
      <c r="B24" s="1486" t="str">
        <f t="shared" si="1"/>
        <v>2종 - 외부(무의결)</v>
      </c>
      <c r="C24" s="2749">
        <f t="shared" si="1"/>
        <v>0</v>
      </c>
      <c r="D24" s="2762">
        <f t="shared" si="1"/>
        <v>16000</v>
      </c>
      <c r="E24" s="2750">
        <f t="shared" si="1"/>
        <v>1000</v>
      </c>
      <c r="F24" s="2750">
        <f t="shared" si="1"/>
        <v>25000</v>
      </c>
      <c r="G24" s="2749">
        <f t="shared" si="2"/>
        <v>640</v>
      </c>
      <c r="H24" s="2749">
        <f t="shared" si="3"/>
        <v>15360</v>
      </c>
      <c r="I24" s="2749">
        <f t="shared" si="4"/>
        <v>640000</v>
      </c>
      <c r="J24" s="2748">
        <f>I24/I29</f>
        <v>9.1496767777225263E-2</v>
      </c>
      <c r="K24" s="2749">
        <f t="shared" si="5"/>
        <v>0</v>
      </c>
      <c r="L24" s="2748">
        <f>K24/K29</f>
        <v>0</v>
      </c>
      <c r="M24" s="2754"/>
    </row>
    <row r="25" spans="2:14" ht="11.25" customHeight="1">
      <c r="B25" s="2763" t="s">
        <v>1714</v>
      </c>
      <c r="C25" s="2764">
        <v>1</v>
      </c>
      <c r="D25" s="2764">
        <f t="shared" ref="D25:F26" si="6">D24</f>
        <v>16000</v>
      </c>
      <c r="E25" s="2765">
        <f t="shared" si="6"/>
        <v>1000</v>
      </c>
      <c r="F25" s="2765">
        <f t="shared" si="6"/>
        <v>25000</v>
      </c>
      <c r="G25" s="2764">
        <f t="shared" si="2"/>
        <v>640</v>
      </c>
      <c r="H25" s="2764">
        <f t="shared" si="3"/>
        <v>15360</v>
      </c>
      <c r="I25" s="2764">
        <f t="shared" si="4"/>
        <v>640000</v>
      </c>
      <c r="J25" s="2766">
        <f>I25/I29</f>
        <v>9.1496767777225263E-2</v>
      </c>
      <c r="K25" s="2764">
        <f t="shared" si="5"/>
        <v>640000</v>
      </c>
      <c r="L25" s="2766">
        <f>K25/K29</f>
        <v>0.10810810810810811</v>
      </c>
      <c r="M25" s="2767" t="s">
        <v>1715</v>
      </c>
    </row>
    <row r="26" spans="2:14" ht="11.25" customHeight="1">
      <c r="B26" s="1486" t="s">
        <v>1716</v>
      </c>
      <c r="C26" s="2749">
        <v>0</v>
      </c>
      <c r="D26" s="2749">
        <v>0</v>
      </c>
      <c r="E26" s="2750">
        <f t="shared" si="6"/>
        <v>1000</v>
      </c>
      <c r="F26" s="2750">
        <f t="shared" si="6"/>
        <v>25000</v>
      </c>
      <c r="G26" s="2749">
        <f t="shared" si="2"/>
        <v>0</v>
      </c>
      <c r="H26" s="2749">
        <f t="shared" si="3"/>
        <v>0</v>
      </c>
      <c r="I26" s="2749">
        <f t="shared" si="4"/>
        <v>0</v>
      </c>
      <c r="J26" s="2748">
        <f>I26/I29</f>
        <v>0</v>
      </c>
      <c r="K26" s="2749">
        <f t="shared" si="5"/>
        <v>0</v>
      </c>
      <c r="L26" s="2748">
        <f>K26/K29</f>
        <v>0</v>
      </c>
      <c r="M26" s="2754"/>
    </row>
    <row r="27" spans="2:14" ht="11.25" customHeight="1">
      <c r="B27" s="1486" t="str">
        <f t="shared" ref="B27:B28" si="7">B16</f>
        <v>3종 - 외부(무의결)</v>
      </c>
      <c r="C27" s="2749">
        <v>0</v>
      </c>
      <c r="D27" s="2749">
        <v>10000</v>
      </c>
      <c r="E27" s="2750">
        <v>1000</v>
      </c>
      <c r="F27" s="2750">
        <f>F16</f>
        <v>23000</v>
      </c>
      <c r="G27" s="2749">
        <f t="shared" si="2"/>
        <v>434.78260869565219</v>
      </c>
      <c r="H27" s="2749">
        <f t="shared" si="3"/>
        <v>9565.217391304348</v>
      </c>
      <c r="I27" s="2749">
        <f t="shared" si="4"/>
        <v>434782.60869565216</v>
      </c>
      <c r="J27" s="2748">
        <f>I27/I29</f>
        <v>6.2158130283441068E-2</v>
      </c>
      <c r="K27" s="2749">
        <f t="shared" si="5"/>
        <v>0</v>
      </c>
      <c r="L27" s="2748">
        <f>K27/K29</f>
        <v>0</v>
      </c>
    </row>
    <row r="28" spans="2:14" ht="11.25" customHeight="1">
      <c r="B28" s="1486" t="str">
        <f t="shared" si="7"/>
        <v>보통주 - KLI</v>
      </c>
      <c r="C28" s="2749">
        <v>1</v>
      </c>
      <c r="D28" s="2749">
        <f>D17</f>
        <v>14800</v>
      </c>
      <c r="E28" s="2750">
        <v>1000</v>
      </c>
      <c r="F28" s="2750">
        <v>5000</v>
      </c>
      <c r="G28" s="2749">
        <f t="shared" si="2"/>
        <v>2960</v>
      </c>
      <c r="H28" s="2749">
        <f t="shared" si="3"/>
        <v>11840</v>
      </c>
      <c r="I28" s="2749">
        <f t="shared" si="4"/>
        <v>2960000</v>
      </c>
      <c r="J28" s="2748">
        <f>I28/I29</f>
        <v>0.42317255096966683</v>
      </c>
      <c r="K28" s="2749">
        <f t="shared" si="5"/>
        <v>2960000</v>
      </c>
      <c r="L28" s="2748">
        <f>K28/K29</f>
        <v>0.5</v>
      </c>
    </row>
    <row r="29" spans="2:14" ht="11.25" customHeight="1">
      <c r="B29" s="2753" t="s">
        <v>59</v>
      </c>
      <c r="C29" s="2757"/>
      <c r="D29" s="2757">
        <f>SUM(D22:D28)</f>
        <v>114800</v>
      </c>
      <c r="E29" s="2758"/>
      <c r="F29" s="2758"/>
      <c r="G29" s="2757">
        <f>SUM(G22:G28)</f>
        <v>6994.782608695652</v>
      </c>
      <c r="H29" s="2757">
        <f>SUM(H22:H28)</f>
        <v>107805.21739130435</v>
      </c>
      <c r="I29" s="2757">
        <f>SUM(I22:I28)</f>
        <v>6994782.6086956523</v>
      </c>
      <c r="J29" s="2760">
        <f>I29/I29</f>
        <v>1</v>
      </c>
      <c r="K29" s="2757">
        <f>SUM(K22:K28)</f>
        <v>5920000</v>
      </c>
      <c r="L29" s="2760">
        <f>SUM(L22:L28)</f>
        <v>1</v>
      </c>
      <c r="M29" s="2753"/>
    </row>
    <row r="30" spans="2:14" ht="11.25" customHeight="1">
      <c r="G30" s="2749" t="b">
        <f>G29&gt;=5000</f>
        <v>1</v>
      </c>
      <c r="H30" s="1486" t="s">
        <v>1712</v>
      </c>
      <c r="I30" s="2761">
        <f>(I29-K29)/I29</f>
        <v>0.15365489806066635</v>
      </c>
      <c r="J30" s="2748" t="b">
        <f>I30&lt;=0.25</f>
        <v>1</v>
      </c>
    </row>
    <row r="31" spans="2:14" ht="11.25" customHeight="1">
      <c r="B31" s="1488" t="s">
        <v>1717</v>
      </c>
      <c r="D31" s="2751" t="s">
        <v>1702</v>
      </c>
      <c r="E31" s="2752">
        <f>SUM(L36,L39)</f>
        <v>0.60810810810810811</v>
      </c>
    </row>
    <row r="32" spans="2:14" ht="11.25" customHeight="1">
      <c r="B32" s="2753"/>
      <c r="C32" s="1578" t="s">
        <v>1703</v>
      </c>
      <c r="D32" s="1578" t="s">
        <v>1704</v>
      </c>
      <c r="E32" s="1578" t="s">
        <v>1697</v>
      </c>
      <c r="F32" s="1578" t="s">
        <v>1705</v>
      </c>
      <c r="G32" s="1578" t="s">
        <v>543</v>
      </c>
      <c r="H32" s="1578" t="s">
        <v>545</v>
      </c>
      <c r="I32" s="1578" t="s">
        <v>610</v>
      </c>
      <c r="J32" s="1578" t="s">
        <v>243</v>
      </c>
      <c r="K32" s="1578" t="s">
        <v>1706</v>
      </c>
      <c r="L32" s="1578" t="s">
        <v>243</v>
      </c>
      <c r="M32" s="1578" t="s">
        <v>90</v>
      </c>
    </row>
    <row r="33" spans="2:13" ht="11.25" customHeight="1">
      <c r="B33" s="1486" t="str">
        <f t="shared" ref="B33:C39" si="8">B22</f>
        <v>1종 - 외부</v>
      </c>
      <c r="C33" s="2749">
        <f t="shared" si="8"/>
        <v>1</v>
      </c>
      <c r="D33" s="2749">
        <f>D22</f>
        <v>24000</v>
      </c>
      <c r="E33" s="2750">
        <f>E22</f>
        <v>1000</v>
      </c>
      <c r="F33" s="2750">
        <f>F22</f>
        <v>25000</v>
      </c>
      <c r="G33" s="2749">
        <f t="shared" ref="G33:G39" si="9">D33/(F33/E33)</f>
        <v>960</v>
      </c>
      <c r="H33" s="2749">
        <f t="shared" ref="H33:H39" si="10">D33-G33</f>
        <v>23040</v>
      </c>
      <c r="I33" s="2749">
        <f t="shared" ref="I33:I39" si="11">D33/F33*10^6</f>
        <v>960000</v>
      </c>
      <c r="J33" s="2748">
        <f>I33/I40</f>
        <v>0.15106732348111659</v>
      </c>
      <c r="K33" s="2749">
        <f t="shared" ref="K33:K39" si="12">C33*I33</f>
        <v>960000</v>
      </c>
      <c r="L33" s="2748">
        <f>K33/K40</f>
        <v>0.16216216216216217</v>
      </c>
      <c r="M33" s="2754"/>
    </row>
    <row r="34" spans="2:13" ht="11.25" customHeight="1">
      <c r="B34" s="1486" t="str">
        <f t="shared" si="8"/>
        <v>2종 - 외부</v>
      </c>
      <c r="C34" s="2749">
        <f t="shared" si="8"/>
        <v>1</v>
      </c>
      <c r="D34" s="2749">
        <f>D23</f>
        <v>34000</v>
      </c>
      <c r="E34" s="2750">
        <f t="shared" ref="E34:F39" si="13">E23</f>
        <v>1000</v>
      </c>
      <c r="F34" s="2750">
        <f t="shared" si="13"/>
        <v>25000</v>
      </c>
      <c r="G34" s="2749">
        <f t="shared" si="9"/>
        <v>1360</v>
      </c>
      <c r="H34" s="2749">
        <f t="shared" si="10"/>
        <v>32640</v>
      </c>
      <c r="I34" s="2749">
        <f t="shared" si="11"/>
        <v>1360000</v>
      </c>
      <c r="J34" s="2748">
        <f>I34/I40</f>
        <v>0.21401204159824849</v>
      </c>
      <c r="K34" s="2749">
        <f t="shared" si="12"/>
        <v>1360000</v>
      </c>
      <c r="L34" s="2748">
        <f>K34/K40</f>
        <v>0.22972972972972974</v>
      </c>
      <c r="M34" s="2754"/>
    </row>
    <row r="35" spans="2:13" ht="11.25" customHeight="1">
      <c r="B35" s="2768" t="str">
        <f t="shared" si="8"/>
        <v>2종 - 외부(무의결)</v>
      </c>
      <c r="C35" s="2769">
        <f t="shared" si="8"/>
        <v>0</v>
      </c>
      <c r="D35" s="2769">
        <v>0</v>
      </c>
      <c r="E35" s="2770">
        <f t="shared" si="13"/>
        <v>1000</v>
      </c>
      <c r="F35" s="2770">
        <f t="shared" si="13"/>
        <v>25000</v>
      </c>
      <c r="G35" s="2769">
        <f t="shared" si="9"/>
        <v>0</v>
      </c>
      <c r="H35" s="2769">
        <f t="shared" si="10"/>
        <v>0</v>
      </c>
      <c r="I35" s="2769">
        <f t="shared" si="11"/>
        <v>0</v>
      </c>
      <c r="J35" s="2771">
        <f>I35/I40</f>
        <v>0</v>
      </c>
      <c r="K35" s="2769">
        <f t="shared" si="12"/>
        <v>0</v>
      </c>
      <c r="L35" s="2771">
        <f>K35/K40</f>
        <v>0</v>
      </c>
      <c r="M35" s="2772" t="s">
        <v>1718</v>
      </c>
    </row>
    <row r="36" spans="2:13" ht="11.25" customHeight="1">
      <c r="B36" s="1486" t="str">
        <f t="shared" si="8"/>
        <v>2종 - KLI</v>
      </c>
      <c r="C36" s="2749">
        <f t="shared" si="8"/>
        <v>1</v>
      </c>
      <c r="D36" s="2749">
        <f>D25</f>
        <v>16000</v>
      </c>
      <c r="E36" s="2750">
        <f t="shared" si="13"/>
        <v>1000</v>
      </c>
      <c r="F36" s="2750">
        <f t="shared" si="13"/>
        <v>25000</v>
      </c>
      <c r="G36" s="2749">
        <f t="shared" si="9"/>
        <v>640</v>
      </c>
      <c r="H36" s="2749">
        <f t="shared" si="10"/>
        <v>15360</v>
      </c>
      <c r="I36" s="2749">
        <f t="shared" si="11"/>
        <v>640000</v>
      </c>
      <c r="J36" s="2748">
        <f>I36/I40</f>
        <v>0.10071154898741105</v>
      </c>
      <c r="K36" s="2749">
        <f t="shared" si="12"/>
        <v>640000</v>
      </c>
      <c r="L36" s="2748">
        <f>K36/K40</f>
        <v>0.10810810810810811</v>
      </c>
      <c r="M36" s="2754" t="str">
        <f>M25</f>
        <v>2-1단계 KLI 증자</v>
      </c>
    </row>
    <row r="37" spans="2:13" ht="11.25" customHeight="1">
      <c r="B37" s="1486" t="str">
        <f t="shared" si="8"/>
        <v>2종 - KLI(무의결)</v>
      </c>
      <c r="C37" s="2749">
        <f t="shared" si="8"/>
        <v>0</v>
      </c>
      <c r="D37" s="2749">
        <f>D26</f>
        <v>0</v>
      </c>
      <c r="E37" s="2750">
        <f t="shared" si="13"/>
        <v>1000</v>
      </c>
      <c r="F37" s="2750">
        <f t="shared" si="13"/>
        <v>25000</v>
      </c>
      <c r="G37" s="2749">
        <f t="shared" si="9"/>
        <v>0</v>
      </c>
      <c r="H37" s="2749">
        <f t="shared" si="10"/>
        <v>0</v>
      </c>
      <c r="I37" s="2749">
        <f t="shared" si="11"/>
        <v>0</v>
      </c>
      <c r="J37" s="2748">
        <f>I37/I40</f>
        <v>0</v>
      </c>
      <c r="K37" s="2749">
        <f t="shared" si="12"/>
        <v>0</v>
      </c>
      <c r="L37" s="2748">
        <f>K37/K40</f>
        <v>0</v>
      </c>
      <c r="M37" s="2754"/>
    </row>
    <row r="38" spans="2:13" ht="11.25" customHeight="1">
      <c r="B38" s="1486" t="str">
        <f t="shared" si="8"/>
        <v>3종 - 외부(무의결)</v>
      </c>
      <c r="C38" s="2749">
        <f t="shared" si="8"/>
        <v>0</v>
      </c>
      <c r="D38" s="2749">
        <f>D27</f>
        <v>10000</v>
      </c>
      <c r="E38" s="2750">
        <f t="shared" si="13"/>
        <v>1000</v>
      </c>
      <c r="F38" s="2750">
        <f t="shared" si="13"/>
        <v>23000</v>
      </c>
      <c r="G38" s="2749">
        <f t="shared" si="9"/>
        <v>434.78260869565219</v>
      </c>
      <c r="H38" s="2749">
        <f t="shared" si="10"/>
        <v>9565.217391304348</v>
      </c>
      <c r="I38" s="2749">
        <f t="shared" si="11"/>
        <v>434782.60869565216</v>
      </c>
      <c r="J38" s="2748">
        <f>I38/I40</f>
        <v>6.8418171866447719E-2</v>
      </c>
      <c r="K38" s="2749">
        <f t="shared" si="12"/>
        <v>0</v>
      </c>
      <c r="L38" s="2748">
        <f>K38/K40</f>
        <v>0</v>
      </c>
    </row>
    <row r="39" spans="2:13" ht="11.25" customHeight="1">
      <c r="B39" s="1486" t="str">
        <f t="shared" si="8"/>
        <v>보통주 - KLI</v>
      </c>
      <c r="C39" s="2749">
        <f t="shared" si="8"/>
        <v>1</v>
      </c>
      <c r="D39" s="2749">
        <f>D28</f>
        <v>14800</v>
      </c>
      <c r="E39" s="2750">
        <f t="shared" si="13"/>
        <v>1000</v>
      </c>
      <c r="F39" s="2750">
        <f t="shared" si="13"/>
        <v>5000</v>
      </c>
      <c r="G39" s="2749">
        <f t="shared" si="9"/>
        <v>2960</v>
      </c>
      <c r="H39" s="2749">
        <f t="shared" si="10"/>
        <v>11840</v>
      </c>
      <c r="I39" s="2749">
        <f t="shared" si="11"/>
        <v>2960000</v>
      </c>
      <c r="J39" s="2748">
        <f>I39/I40</f>
        <v>0.46579091406677614</v>
      </c>
      <c r="K39" s="2749">
        <f t="shared" si="12"/>
        <v>2960000</v>
      </c>
      <c r="L39" s="2748">
        <f>K39/K40</f>
        <v>0.5</v>
      </c>
    </row>
    <row r="40" spans="2:13" ht="11.25" customHeight="1">
      <c r="B40" s="2753" t="s">
        <v>59</v>
      </c>
      <c r="C40" s="2757"/>
      <c r="D40" s="2757">
        <f>SUM(D33:D39)</f>
        <v>98800</v>
      </c>
      <c r="E40" s="2758"/>
      <c r="F40" s="2758"/>
      <c r="G40" s="2757">
        <f>SUM(G33:G39)</f>
        <v>6354.782608695652</v>
      </c>
      <c r="H40" s="2757">
        <f>SUM(H33:H39)</f>
        <v>92445.217391304352</v>
      </c>
      <c r="I40" s="2757">
        <f>SUM(I33:I39)</f>
        <v>6354782.6086956523</v>
      </c>
      <c r="J40" s="2760">
        <f>I40/I40</f>
        <v>1</v>
      </c>
      <c r="K40" s="2757">
        <f>SUM(K33:K39)</f>
        <v>5920000</v>
      </c>
      <c r="L40" s="2760">
        <f>SUM(L33:L39)</f>
        <v>1</v>
      </c>
      <c r="M40" s="2753"/>
    </row>
    <row r="41" spans="2:13" ht="11.25" customHeight="1">
      <c r="C41" s="2749"/>
      <c r="D41" s="2749"/>
      <c r="E41" s="2750"/>
      <c r="F41" s="2750"/>
      <c r="G41" s="2749" t="b">
        <f>G40&gt;=5000</f>
        <v>1</v>
      </c>
      <c r="H41" s="2749" t="s">
        <v>1712</v>
      </c>
      <c r="I41" s="2761">
        <f>(I40-K40)/I40</f>
        <v>6.8418171866447747E-2</v>
      </c>
      <c r="J41" s="2748" t="b">
        <f>I41&lt;=0.25</f>
        <v>1</v>
      </c>
      <c r="K41" s="2749"/>
      <c r="L41" s="2748"/>
    </row>
    <row r="42" spans="2:13" ht="11.25" customHeight="1">
      <c r="B42" s="1488" t="s">
        <v>1719</v>
      </c>
      <c r="D42" s="2751" t="s">
        <v>1702</v>
      </c>
      <c r="E42" s="2752">
        <f>SUM(L47,L50)</f>
        <v>0.60810810810810811</v>
      </c>
    </row>
    <row r="43" spans="2:13" ht="11.25" customHeight="1">
      <c r="B43" s="2753"/>
      <c r="C43" s="1578" t="s">
        <v>1703</v>
      </c>
      <c r="D43" s="1578" t="s">
        <v>1704</v>
      </c>
      <c r="E43" s="1578" t="s">
        <v>1697</v>
      </c>
      <c r="F43" s="1578" t="s">
        <v>1705</v>
      </c>
      <c r="G43" s="1578" t="s">
        <v>543</v>
      </c>
      <c r="H43" s="1578" t="s">
        <v>545</v>
      </c>
      <c r="I43" s="1578" t="s">
        <v>610</v>
      </c>
      <c r="J43" s="1578" t="s">
        <v>243</v>
      </c>
      <c r="K43" s="1578" t="s">
        <v>1706</v>
      </c>
      <c r="L43" s="1578" t="s">
        <v>243</v>
      </c>
      <c r="M43" s="1578" t="s">
        <v>90</v>
      </c>
    </row>
    <row r="44" spans="2:13" ht="11.25" customHeight="1">
      <c r="B44" s="1486" t="str">
        <f t="shared" ref="B44:C50" si="14">B33</f>
        <v>1종 - 외부</v>
      </c>
      <c r="C44" s="2749">
        <f t="shared" si="14"/>
        <v>1</v>
      </c>
      <c r="D44" s="2749">
        <f>D33</f>
        <v>24000</v>
      </c>
      <c r="E44" s="2750">
        <f>E33</f>
        <v>1000</v>
      </c>
      <c r="F44" s="2750">
        <f>F33</f>
        <v>25000</v>
      </c>
      <c r="G44" s="2749">
        <f t="shared" ref="G44:G50" si="15">D44/(F44/E44)</f>
        <v>960</v>
      </c>
      <c r="H44" s="2749">
        <f t="shared" ref="H44:H50" si="16">D44-G44</f>
        <v>23040</v>
      </c>
      <c r="I44" s="2749">
        <f t="shared" ref="I44:I50" si="17">D44/F44*10^6</f>
        <v>960000</v>
      </c>
      <c r="J44" s="2748">
        <f>I44/I51</f>
        <v>0.12443642921550946</v>
      </c>
      <c r="K44" s="2749">
        <f t="shared" ref="K44:K50" si="18">C44*I44</f>
        <v>960000</v>
      </c>
      <c r="L44" s="2748">
        <f>K44/K51</f>
        <v>0.16216216216216217</v>
      </c>
    </row>
    <row r="45" spans="2:13" ht="11.25" customHeight="1">
      <c r="B45" s="1486" t="str">
        <f t="shared" si="14"/>
        <v>2종 - 외부</v>
      </c>
      <c r="C45" s="2749">
        <f t="shared" si="14"/>
        <v>1</v>
      </c>
      <c r="D45" s="2762">
        <f>D34</f>
        <v>34000</v>
      </c>
      <c r="E45" s="2750">
        <f t="shared" ref="E45:F50" si="19">E34</f>
        <v>1000</v>
      </c>
      <c r="F45" s="2750">
        <f t="shared" si="19"/>
        <v>25000</v>
      </c>
      <c r="G45" s="2749">
        <f t="shared" si="15"/>
        <v>1360</v>
      </c>
      <c r="H45" s="2749">
        <f t="shared" si="16"/>
        <v>32640</v>
      </c>
      <c r="I45" s="2749">
        <f t="shared" si="17"/>
        <v>1360000</v>
      </c>
      <c r="J45" s="2748">
        <f>I45/I51</f>
        <v>0.1762849413886384</v>
      </c>
      <c r="K45" s="2749">
        <f t="shared" si="18"/>
        <v>1360000</v>
      </c>
      <c r="L45" s="2748">
        <f>K45/K51</f>
        <v>0.22972972972972974</v>
      </c>
    </row>
    <row r="46" spans="2:13" ht="11.25" customHeight="1">
      <c r="B46" s="1486" t="str">
        <f t="shared" si="14"/>
        <v>2종 - 외부(무의결)</v>
      </c>
      <c r="C46" s="2749">
        <f t="shared" si="14"/>
        <v>0</v>
      </c>
      <c r="D46" s="2749">
        <v>0</v>
      </c>
      <c r="E46" s="2750">
        <f t="shared" si="19"/>
        <v>1000</v>
      </c>
      <c r="F46" s="2750">
        <f t="shared" si="19"/>
        <v>25000</v>
      </c>
      <c r="G46" s="2749">
        <f t="shared" si="15"/>
        <v>0</v>
      </c>
      <c r="H46" s="2749">
        <f t="shared" si="16"/>
        <v>0</v>
      </c>
      <c r="I46" s="2749">
        <f t="shared" si="17"/>
        <v>0</v>
      </c>
      <c r="J46" s="2748">
        <f>I46/I51</f>
        <v>0</v>
      </c>
      <c r="K46" s="2749">
        <f t="shared" si="18"/>
        <v>0</v>
      </c>
      <c r="L46" s="2748">
        <f>K46/K51</f>
        <v>0</v>
      </c>
      <c r="M46" s="2754" t="str">
        <f>M35</f>
        <v>2-2단계 감자</v>
      </c>
    </row>
    <row r="47" spans="2:13" ht="11.25" customHeight="1">
      <c r="B47" s="1486" t="str">
        <f t="shared" si="14"/>
        <v>2종 - KLI</v>
      </c>
      <c r="C47" s="2749">
        <f t="shared" si="14"/>
        <v>1</v>
      </c>
      <c r="D47" s="2749">
        <f>D36</f>
        <v>16000</v>
      </c>
      <c r="E47" s="2750">
        <f t="shared" si="19"/>
        <v>1000</v>
      </c>
      <c r="F47" s="2750">
        <f t="shared" si="19"/>
        <v>25000</v>
      </c>
      <c r="G47" s="2749">
        <f t="shared" si="15"/>
        <v>640</v>
      </c>
      <c r="H47" s="2749">
        <f t="shared" si="16"/>
        <v>15360</v>
      </c>
      <c r="I47" s="2749">
        <f t="shared" si="17"/>
        <v>640000</v>
      </c>
      <c r="J47" s="2748">
        <f>I47/I51</f>
        <v>8.2957619477006306E-2</v>
      </c>
      <c r="K47" s="2749">
        <f t="shared" si="18"/>
        <v>640000</v>
      </c>
      <c r="L47" s="2748">
        <f>K47/K51</f>
        <v>0.10810810810810811</v>
      </c>
      <c r="M47" s="2754" t="str">
        <f>M36</f>
        <v>2-1단계 KLI 증자</v>
      </c>
    </row>
    <row r="48" spans="2:13" ht="11.25" customHeight="1">
      <c r="B48" s="2768" t="str">
        <f t="shared" si="14"/>
        <v>2종 - KLI(무의결)</v>
      </c>
      <c r="C48" s="2769">
        <f t="shared" si="14"/>
        <v>0</v>
      </c>
      <c r="D48" s="2769">
        <f>D14</f>
        <v>34000</v>
      </c>
      <c r="E48" s="2770">
        <f t="shared" si="19"/>
        <v>1000</v>
      </c>
      <c r="F48" s="2770">
        <f t="shared" si="19"/>
        <v>25000</v>
      </c>
      <c r="G48" s="2769">
        <f t="shared" si="15"/>
        <v>1360</v>
      </c>
      <c r="H48" s="2769">
        <f t="shared" si="16"/>
        <v>32640</v>
      </c>
      <c r="I48" s="2769">
        <f t="shared" si="17"/>
        <v>1360000</v>
      </c>
      <c r="J48" s="2771">
        <f>I48/I51</f>
        <v>0.1762849413886384</v>
      </c>
      <c r="K48" s="2769">
        <f t="shared" si="18"/>
        <v>0</v>
      </c>
      <c r="L48" s="2771">
        <f>K48/K51</f>
        <v>0</v>
      </c>
      <c r="M48" s="2768" t="s">
        <v>1720</v>
      </c>
    </row>
    <row r="49" spans="2:13" ht="11.25" customHeight="1">
      <c r="B49" s="1486" t="str">
        <f t="shared" si="14"/>
        <v>3종 - 외부(무의결)</v>
      </c>
      <c r="C49" s="2749">
        <f t="shared" si="14"/>
        <v>0</v>
      </c>
      <c r="D49" s="2749">
        <f>D38</f>
        <v>10000</v>
      </c>
      <c r="E49" s="2750">
        <f t="shared" si="19"/>
        <v>1000</v>
      </c>
      <c r="F49" s="2750">
        <f t="shared" si="19"/>
        <v>23000</v>
      </c>
      <c r="G49" s="2749">
        <f t="shared" si="15"/>
        <v>434.78260869565219</v>
      </c>
      <c r="H49" s="2749">
        <f t="shared" si="16"/>
        <v>9565.217391304348</v>
      </c>
      <c r="I49" s="2749">
        <f t="shared" si="17"/>
        <v>434782.60869565216</v>
      </c>
      <c r="J49" s="2748">
        <f>I49/I51</f>
        <v>5.6357078449053195E-2</v>
      </c>
      <c r="K49" s="2749">
        <f t="shared" si="18"/>
        <v>0</v>
      </c>
      <c r="L49" s="2748">
        <f>K49/K51</f>
        <v>0</v>
      </c>
    </row>
    <row r="50" spans="2:13" ht="11.25" customHeight="1">
      <c r="B50" s="1486" t="str">
        <f t="shared" si="14"/>
        <v>보통주 - KLI</v>
      </c>
      <c r="C50" s="2749">
        <f t="shared" si="14"/>
        <v>1</v>
      </c>
      <c r="D50" s="2749">
        <f>D39</f>
        <v>14800</v>
      </c>
      <c r="E50" s="2750">
        <f t="shared" si="19"/>
        <v>1000</v>
      </c>
      <c r="F50" s="2750">
        <f t="shared" si="19"/>
        <v>5000</v>
      </c>
      <c r="G50" s="2749">
        <f t="shared" si="15"/>
        <v>2960</v>
      </c>
      <c r="H50" s="2749">
        <f t="shared" si="16"/>
        <v>11840</v>
      </c>
      <c r="I50" s="2749">
        <f t="shared" si="17"/>
        <v>2960000</v>
      </c>
      <c r="J50" s="2748">
        <f>I50/I51</f>
        <v>0.38367899008115419</v>
      </c>
      <c r="K50" s="2749">
        <f t="shared" si="18"/>
        <v>2960000</v>
      </c>
      <c r="L50" s="2748">
        <f>K50/K51</f>
        <v>0.5</v>
      </c>
    </row>
    <row r="51" spans="2:13" ht="11.25" customHeight="1">
      <c r="B51" s="2753" t="s">
        <v>59</v>
      </c>
      <c r="C51" s="2757"/>
      <c r="D51" s="2757">
        <f>SUM(D44:D50)</f>
        <v>132800</v>
      </c>
      <c r="E51" s="2758"/>
      <c r="F51" s="2758"/>
      <c r="G51" s="2757">
        <f>SUM(G44:G50)</f>
        <v>7714.782608695652</v>
      </c>
      <c r="H51" s="2757">
        <f>SUM(H44:H50)</f>
        <v>125085.21739130435</v>
      </c>
      <c r="I51" s="2757">
        <f>SUM(I44:I50)</f>
        <v>7714782.6086956523</v>
      </c>
      <c r="J51" s="2760">
        <f>I51/I51</f>
        <v>1</v>
      </c>
      <c r="K51" s="2757">
        <f>SUM(K44:K50)</f>
        <v>5920000</v>
      </c>
      <c r="L51" s="2760">
        <f>SUM(L44:L50)</f>
        <v>1</v>
      </c>
      <c r="M51" s="2753"/>
    </row>
    <row r="52" spans="2:13" ht="11.25" customHeight="1">
      <c r="C52" s="2749"/>
      <c r="D52" s="2749"/>
      <c r="E52" s="2750"/>
      <c r="F52" s="2750"/>
      <c r="G52" s="2749" t="b">
        <f>G51&gt;=5000</f>
        <v>1</v>
      </c>
      <c r="H52" s="2749" t="s">
        <v>1712</v>
      </c>
      <c r="I52" s="2761">
        <f>(I51-K51)/I51</f>
        <v>0.23264201983769164</v>
      </c>
      <c r="J52" s="2748" t="b">
        <f>I52&lt;=0.25</f>
        <v>1</v>
      </c>
      <c r="K52" s="2749"/>
      <c r="L52" s="2748"/>
    </row>
    <row r="53" spans="2:13" ht="11.25" customHeight="1">
      <c r="B53" s="1488" t="s">
        <v>1721</v>
      </c>
      <c r="D53" s="2751" t="s">
        <v>1702</v>
      </c>
      <c r="E53" s="2752">
        <f>SUM(L58,L61)</f>
        <v>0.78947368421052633</v>
      </c>
    </row>
    <row r="54" spans="2:13" ht="11.25" customHeight="1">
      <c r="B54" s="2753"/>
      <c r="C54" s="1578" t="s">
        <v>1703</v>
      </c>
      <c r="D54" s="1578" t="s">
        <v>1704</v>
      </c>
      <c r="E54" s="1578" t="s">
        <v>1697</v>
      </c>
      <c r="F54" s="1578" t="s">
        <v>1705</v>
      </c>
      <c r="G54" s="1578" t="s">
        <v>543</v>
      </c>
      <c r="H54" s="1578" t="s">
        <v>545</v>
      </c>
      <c r="I54" s="1578" t="s">
        <v>610</v>
      </c>
      <c r="J54" s="1578" t="s">
        <v>243</v>
      </c>
      <c r="K54" s="1578" t="s">
        <v>1706</v>
      </c>
      <c r="L54" s="1578" t="s">
        <v>243</v>
      </c>
      <c r="M54" s="1578" t="s">
        <v>90</v>
      </c>
    </row>
    <row r="55" spans="2:13" ht="11.25" customHeight="1">
      <c r="B55" s="1486" t="str">
        <f t="shared" ref="B55:C61" si="20">B44</f>
        <v>1종 - 외부</v>
      </c>
      <c r="C55" s="2749">
        <f t="shared" si="20"/>
        <v>1</v>
      </c>
      <c r="D55" s="2749">
        <f>D44</f>
        <v>24000</v>
      </c>
      <c r="E55" s="2750">
        <f>E44</f>
        <v>1000</v>
      </c>
      <c r="F55" s="2750">
        <f>F44</f>
        <v>25000</v>
      </c>
      <c r="G55" s="2749">
        <f t="shared" ref="G55:G61" si="21">D55/(F55/E55)</f>
        <v>960</v>
      </c>
      <c r="H55" s="2749">
        <f t="shared" ref="H55:H61" si="22">D55-G55</f>
        <v>23040</v>
      </c>
      <c r="I55" s="2749">
        <f t="shared" ref="I55:I61" si="23">D55/F55*10^6</f>
        <v>960000</v>
      </c>
      <c r="J55" s="2748">
        <f>I55/I62</f>
        <v>0.15106732348111659</v>
      </c>
      <c r="K55" s="2749">
        <f t="shared" ref="K55:K61" si="24">C55*I55</f>
        <v>960000</v>
      </c>
      <c r="L55" s="2748">
        <f>K55/K62</f>
        <v>0.21052631578947367</v>
      </c>
    </row>
    <row r="56" spans="2:13" ht="11.25" customHeight="1">
      <c r="B56" s="2768" t="str">
        <f t="shared" si="20"/>
        <v>2종 - 외부</v>
      </c>
      <c r="C56" s="2769">
        <f t="shared" si="20"/>
        <v>1</v>
      </c>
      <c r="D56" s="2769">
        <v>0</v>
      </c>
      <c r="E56" s="2770">
        <f t="shared" ref="E56:F61" si="25">E45</f>
        <v>1000</v>
      </c>
      <c r="F56" s="2770">
        <f t="shared" si="25"/>
        <v>25000</v>
      </c>
      <c r="G56" s="2769">
        <f t="shared" si="21"/>
        <v>0</v>
      </c>
      <c r="H56" s="2769">
        <f t="shared" si="22"/>
        <v>0</v>
      </c>
      <c r="I56" s="2769">
        <f t="shared" si="23"/>
        <v>0</v>
      </c>
      <c r="J56" s="2771">
        <f>I56/I62</f>
        <v>0</v>
      </c>
      <c r="K56" s="2769">
        <f t="shared" si="24"/>
        <v>0</v>
      </c>
      <c r="L56" s="2771">
        <f>K56/K62</f>
        <v>0</v>
      </c>
      <c r="M56" s="2768" t="s">
        <v>1722</v>
      </c>
    </row>
    <row r="57" spans="2:13" ht="11.25" customHeight="1">
      <c r="B57" s="1486" t="str">
        <f t="shared" si="20"/>
        <v>2종 - 외부(무의결)</v>
      </c>
      <c r="C57" s="2749">
        <f t="shared" si="20"/>
        <v>0</v>
      </c>
      <c r="D57" s="2749">
        <v>0</v>
      </c>
      <c r="E57" s="2750">
        <f t="shared" si="25"/>
        <v>1000</v>
      </c>
      <c r="F57" s="2750">
        <f t="shared" si="25"/>
        <v>25000</v>
      </c>
      <c r="G57" s="2749">
        <f t="shared" si="21"/>
        <v>0</v>
      </c>
      <c r="H57" s="2749">
        <f t="shared" si="22"/>
        <v>0</v>
      </c>
      <c r="I57" s="2749">
        <f t="shared" si="23"/>
        <v>0</v>
      </c>
      <c r="J57" s="2748">
        <f>I57/I62</f>
        <v>0</v>
      </c>
      <c r="K57" s="2749">
        <f t="shared" si="24"/>
        <v>0</v>
      </c>
      <c r="L57" s="2748">
        <f>K57/K62</f>
        <v>0</v>
      </c>
      <c r="M57" s="2754" t="str">
        <f>M46</f>
        <v>2-2단계 감자</v>
      </c>
    </row>
    <row r="58" spans="2:13" ht="11.25" customHeight="1">
      <c r="B58" s="1486" t="str">
        <f t="shared" si="20"/>
        <v>2종 - KLI</v>
      </c>
      <c r="C58" s="2749">
        <f t="shared" si="20"/>
        <v>1</v>
      </c>
      <c r="D58" s="2749">
        <f>D47</f>
        <v>16000</v>
      </c>
      <c r="E58" s="2750">
        <f t="shared" si="25"/>
        <v>1000</v>
      </c>
      <c r="F58" s="2750">
        <f t="shared" si="25"/>
        <v>25000</v>
      </c>
      <c r="G58" s="2749">
        <f t="shared" si="21"/>
        <v>640</v>
      </c>
      <c r="H58" s="2749">
        <f t="shared" si="22"/>
        <v>15360</v>
      </c>
      <c r="I58" s="2749">
        <f t="shared" si="23"/>
        <v>640000</v>
      </c>
      <c r="J58" s="2748">
        <f>I58/I62</f>
        <v>0.10071154898741105</v>
      </c>
      <c r="K58" s="2749">
        <f t="shared" si="24"/>
        <v>640000</v>
      </c>
      <c r="L58" s="2748">
        <f>K58/K62</f>
        <v>0.14035087719298245</v>
      </c>
      <c r="M58" s="2754" t="str">
        <f>M47</f>
        <v>2-1단계 KLI 증자</v>
      </c>
    </row>
    <row r="59" spans="2:13" ht="11.25" customHeight="1">
      <c r="B59" s="1486" t="str">
        <f t="shared" si="20"/>
        <v>2종 - KLI(무의결)</v>
      </c>
      <c r="C59" s="2749">
        <f t="shared" si="20"/>
        <v>0</v>
      </c>
      <c r="D59" s="2749">
        <f>D48</f>
        <v>34000</v>
      </c>
      <c r="E59" s="2750">
        <f t="shared" si="25"/>
        <v>1000</v>
      </c>
      <c r="F59" s="2750">
        <f t="shared" si="25"/>
        <v>25000</v>
      </c>
      <c r="G59" s="2749">
        <f t="shared" si="21"/>
        <v>1360</v>
      </c>
      <c r="H59" s="2749">
        <f t="shared" si="22"/>
        <v>32640</v>
      </c>
      <c r="I59" s="2749">
        <f t="shared" si="23"/>
        <v>1360000</v>
      </c>
      <c r="J59" s="2748">
        <f>I59/I62</f>
        <v>0.21401204159824849</v>
      </c>
      <c r="K59" s="2749">
        <f t="shared" si="24"/>
        <v>0</v>
      </c>
      <c r="L59" s="2748">
        <f>K59/K62</f>
        <v>0</v>
      </c>
      <c r="M59" s="2754" t="str">
        <f>M48</f>
        <v>2-3단계 KIL 증자</v>
      </c>
    </row>
    <row r="60" spans="2:13" ht="11.25" customHeight="1">
      <c r="B60" s="1486" t="str">
        <f t="shared" si="20"/>
        <v>3종 - 외부(무의결)</v>
      </c>
      <c r="C60" s="2749">
        <f t="shared" si="20"/>
        <v>0</v>
      </c>
      <c r="D60" s="2749">
        <f>D49</f>
        <v>10000</v>
      </c>
      <c r="E60" s="2750">
        <f t="shared" si="25"/>
        <v>1000</v>
      </c>
      <c r="F60" s="2750">
        <f t="shared" si="25"/>
        <v>23000</v>
      </c>
      <c r="G60" s="2749">
        <f t="shared" si="21"/>
        <v>434.78260869565219</v>
      </c>
      <c r="H60" s="2749">
        <f t="shared" si="22"/>
        <v>9565.217391304348</v>
      </c>
      <c r="I60" s="2749">
        <f t="shared" si="23"/>
        <v>434782.60869565216</v>
      </c>
      <c r="J60" s="2748">
        <f>I60/I62</f>
        <v>6.8418171866447719E-2</v>
      </c>
      <c r="K60" s="2749">
        <f t="shared" si="24"/>
        <v>0</v>
      </c>
      <c r="L60" s="2748">
        <f>K60/K62</f>
        <v>0</v>
      </c>
    </row>
    <row r="61" spans="2:13" ht="11.25" customHeight="1">
      <c r="B61" s="1486" t="str">
        <f t="shared" si="20"/>
        <v>보통주 - KLI</v>
      </c>
      <c r="C61" s="2749">
        <f t="shared" si="20"/>
        <v>1</v>
      </c>
      <c r="D61" s="2749">
        <f>D50</f>
        <v>14800</v>
      </c>
      <c r="E61" s="2750">
        <f t="shared" si="25"/>
        <v>1000</v>
      </c>
      <c r="F61" s="2750">
        <f t="shared" si="25"/>
        <v>5000</v>
      </c>
      <c r="G61" s="2749">
        <f t="shared" si="21"/>
        <v>2960</v>
      </c>
      <c r="H61" s="2749">
        <f t="shared" si="22"/>
        <v>11840</v>
      </c>
      <c r="I61" s="2749">
        <f t="shared" si="23"/>
        <v>2960000</v>
      </c>
      <c r="J61" s="2748">
        <f>I61/I62</f>
        <v>0.46579091406677614</v>
      </c>
      <c r="K61" s="2749">
        <f t="shared" si="24"/>
        <v>2960000</v>
      </c>
      <c r="L61" s="2748">
        <f>K61/K62</f>
        <v>0.64912280701754388</v>
      </c>
    </row>
    <row r="62" spans="2:13" ht="11.25" customHeight="1">
      <c r="B62" s="2753" t="s">
        <v>59</v>
      </c>
      <c r="C62" s="2757"/>
      <c r="D62" s="2757">
        <f>SUM(D55:D61)</f>
        <v>98800</v>
      </c>
      <c r="E62" s="2758"/>
      <c r="F62" s="2758"/>
      <c r="G62" s="2757">
        <f>SUM(G55:G61)</f>
        <v>6354.782608695652</v>
      </c>
      <c r="H62" s="2757">
        <f>SUM(H55:H61)</f>
        <v>92445.217391304352</v>
      </c>
      <c r="I62" s="2757">
        <f>SUM(I55:I61)</f>
        <v>6354782.6086956523</v>
      </c>
      <c r="J62" s="2760">
        <f>I62/I62</f>
        <v>1</v>
      </c>
      <c r="K62" s="2757">
        <f>SUM(K55:K61)</f>
        <v>4560000</v>
      </c>
      <c r="L62" s="2760">
        <f>SUM(L55:L61)</f>
        <v>1</v>
      </c>
      <c r="M62" s="2753"/>
    </row>
    <row r="63" spans="2:13" ht="11.25" customHeight="1">
      <c r="C63" s="2749"/>
      <c r="D63" s="2749"/>
      <c r="E63" s="2750"/>
      <c r="F63" s="2750"/>
      <c r="G63" s="2749" t="b">
        <f>G62&gt;=5000</f>
        <v>1</v>
      </c>
      <c r="H63" s="2749" t="s">
        <v>1712</v>
      </c>
      <c r="I63" s="2761">
        <f>(I62-K62)/I62</f>
        <v>0.28243021346469627</v>
      </c>
      <c r="J63" s="2748" t="b">
        <f>I63&lt;=0.25</f>
        <v>0</v>
      </c>
      <c r="K63" s="2749"/>
      <c r="L63" s="2748"/>
    </row>
    <row r="64" spans="2:13" ht="11.25" customHeight="1">
      <c r="B64" s="1488" t="s">
        <v>1723</v>
      </c>
      <c r="D64" s="2751" t="s">
        <v>1702</v>
      </c>
      <c r="E64" s="2752">
        <f>SUM(L70,L73,L67)</f>
        <v>0.82608695652173914</v>
      </c>
    </row>
    <row r="65" spans="2:13" ht="11.25" customHeight="1">
      <c r="B65" s="2753"/>
      <c r="C65" s="1578" t="s">
        <v>1703</v>
      </c>
      <c r="D65" s="1578" t="s">
        <v>1704</v>
      </c>
      <c r="E65" s="1578" t="s">
        <v>1697</v>
      </c>
      <c r="F65" s="1578" t="s">
        <v>1705</v>
      </c>
      <c r="G65" s="1578" t="s">
        <v>543</v>
      </c>
      <c r="H65" s="1578" t="s">
        <v>545</v>
      </c>
      <c r="I65" s="1578" t="s">
        <v>610</v>
      </c>
      <c r="J65" s="1578" t="s">
        <v>243</v>
      </c>
      <c r="K65" s="1578" t="s">
        <v>1706</v>
      </c>
      <c r="L65" s="1578" t="s">
        <v>243</v>
      </c>
      <c r="M65" s="1578" t="s">
        <v>90</v>
      </c>
    </row>
    <row r="66" spans="2:13" ht="11.25" customHeight="1">
      <c r="B66" s="1486" t="str">
        <f>B55</f>
        <v>1종 - 외부</v>
      </c>
      <c r="C66" s="2749">
        <f>C55</f>
        <v>1</v>
      </c>
      <c r="D66" s="2762">
        <f>D55</f>
        <v>24000</v>
      </c>
      <c r="E66" s="2750">
        <f>E55</f>
        <v>1000</v>
      </c>
      <c r="F66" s="2750">
        <f>F55</f>
        <v>25000</v>
      </c>
      <c r="G66" s="2749">
        <f t="shared" ref="G66:G73" si="26">D66/(F66/E66)</f>
        <v>960</v>
      </c>
      <c r="H66" s="2749">
        <f t="shared" ref="H66:H73" si="27">D66-G66</f>
        <v>23040</v>
      </c>
      <c r="I66" s="2749">
        <f t="shared" ref="I66:I73" si="28">D66/F66*10^6</f>
        <v>960000</v>
      </c>
      <c r="J66" s="2748">
        <f>I66/I74</f>
        <v>0.13124108416547789</v>
      </c>
      <c r="K66" s="2749">
        <f t="shared" ref="K66:K73" si="29">C66*I66</f>
        <v>960000</v>
      </c>
      <c r="L66" s="2748">
        <f>K66/K74</f>
        <v>0.17391304347826086</v>
      </c>
      <c r="M66" s="2754"/>
    </row>
    <row r="67" spans="2:13" ht="11.25" customHeight="1">
      <c r="B67" s="2773" t="s">
        <v>1724</v>
      </c>
      <c r="C67" s="2774">
        <f>C66</f>
        <v>1</v>
      </c>
      <c r="D67" s="2774">
        <f>D66</f>
        <v>24000</v>
      </c>
      <c r="E67" s="2775">
        <f>E66</f>
        <v>1000</v>
      </c>
      <c r="F67" s="2775">
        <f>F66</f>
        <v>25000</v>
      </c>
      <c r="G67" s="2774">
        <f t="shared" si="26"/>
        <v>960</v>
      </c>
      <c r="H67" s="2774">
        <f t="shared" si="27"/>
        <v>23040</v>
      </c>
      <c r="I67" s="2774">
        <f t="shared" si="28"/>
        <v>960000</v>
      </c>
      <c r="J67" s="2776">
        <f>I67/I74</f>
        <v>0.13124108416547789</v>
      </c>
      <c r="K67" s="2774">
        <f t="shared" si="29"/>
        <v>960000</v>
      </c>
      <c r="L67" s="2776">
        <f>K67/K74</f>
        <v>0.17391304347826086</v>
      </c>
      <c r="M67" s="2777" t="s">
        <v>1725</v>
      </c>
    </row>
    <row r="68" spans="2:13" ht="11.25" customHeight="1">
      <c r="B68" s="1486" t="str">
        <f t="shared" ref="B68:F73" si="30">B56</f>
        <v>2종 - 외부</v>
      </c>
      <c r="C68" s="2749">
        <f t="shared" si="30"/>
        <v>1</v>
      </c>
      <c r="D68" s="2749">
        <f t="shared" si="30"/>
        <v>0</v>
      </c>
      <c r="E68" s="2750">
        <f t="shared" si="30"/>
        <v>1000</v>
      </c>
      <c r="F68" s="2750">
        <f t="shared" si="30"/>
        <v>25000</v>
      </c>
      <c r="G68" s="2749">
        <f t="shared" si="26"/>
        <v>0</v>
      </c>
      <c r="H68" s="2749">
        <f t="shared" si="27"/>
        <v>0</v>
      </c>
      <c r="I68" s="2749">
        <f t="shared" si="28"/>
        <v>0</v>
      </c>
      <c r="J68" s="2748">
        <f>I68/I74</f>
        <v>0</v>
      </c>
      <c r="K68" s="2749">
        <f t="shared" si="29"/>
        <v>0</v>
      </c>
      <c r="L68" s="2748">
        <f>K68/K74</f>
        <v>0</v>
      </c>
      <c r="M68" s="2754" t="str">
        <f>M56</f>
        <v>2-4단계 감자</v>
      </c>
    </row>
    <row r="69" spans="2:13" ht="11.25" customHeight="1">
      <c r="B69" s="1486" t="str">
        <f t="shared" si="30"/>
        <v>2종 - 외부(무의결)</v>
      </c>
      <c r="C69" s="2749">
        <f t="shared" si="30"/>
        <v>0</v>
      </c>
      <c r="D69" s="2749">
        <f t="shared" si="30"/>
        <v>0</v>
      </c>
      <c r="E69" s="2750">
        <f t="shared" si="30"/>
        <v>1000</v>
      </c>
      <c r="F69" s="2750">
        <f t="shared" si="30"/>
        <v>25000</v>
      </c>
      <c r="G69" s="2749">
        <f t="shared" si="26"/>
        <v>0</v>
      </c>
      <c r="H69" s="2749">
        <f t="shared" si="27"/>
        <v>0</v>
      </c>
      <c r="I69" s="2749">
        <f t="shared" si="28"/>
        <v>0</v>
      </c>
      <c r="J69" s="2748">
        <f>I69/I74</f>
        <v>0</v>
      </c>
      <c r="K69" s="2749">
        <f t="shared" si="29"/>
        <v>0</v>
      </c>
      <c r="L69" s="2748">
        <f>K69/K74</f>
        <v>0</v>
      </c>
      <c r="M69" s="2754" t="str">
        <f t="shared" ref="M69:M71" si="31">M57</f>
        <v>2-2단계 감자</v>
      </c>
    </row>
    <row r="70" spans="2:13" ht="11.25" customHeight="1">
      <c r="B70" s="1486" t="str">
        <f t="shared" si="30"/>
        <v>2종 - KLI</v>
      </c>
      <c r="C70" s="2749">
        <f t="shared" si="30"/>
        <v>1</v>
      </c>
      <c r="D70" s="2749">
        <f t="shared" si="30"/>
        <v>16000</v>
      </c>
      <c r="E70" s="2750">
        <f t="shared" si="30"/>
        <v>1000</v>
      </c>
      <c r="F70" s="2750">
        <f t="shared" si="30"/>
        <v>25000</v>
      </c>
      <c r="G70" s="2749">
        <f t="shared" si="26"/>
        <v>640</v>
      </c>
      <c r="H70" s="2749">
        <f t="shared" si="27"/>
        <v>15360</v>
      </c>
      <c r="I70" s="2749">
        <f t="shared" si="28"/>
        <v>640000</v>
      </c>
      <c r="J70" s="2748">
        <f>I70/I74</f>
        <v>8.7494056110318588E-2</v>
      </c>
      <c r="K70" s="2749">
        <f t="shared" si="29"/>
        <v>640000</v>
      </c>
      <c r="L70" s="2748">
        <f>K70/K74</f>
        <v>0.11594202898550725</v>
      </c>
      <c r="M70" s="2754" t="str">
        <f t="shared" si="31"/>
        <v>2-1단계 KLI 증자</v>
      </c>
    </row>
    <row r="71" spans="2:13" ht="11.25" customHeight="1">
      <c r="B71" s="1486" t="str">
        <f t="shared" si="30"/>
        <v>2종 - KLI(무의결)</v>
      </c>
      <c r="C71" s="2749">
        <f t="shared" si="30"/>
        <v>0</v>
      </c>
      <c r="D71" s="2749">
        <f t="shared" si="30"/>
        <v>34000</v>
      </c>
      <c r="E71" s="2750">
        <f t="shared" si="30"/>
        <v>1000</v>
      </c>
      <c r="F71" s="2750">
        <f t="shared" si="30"/>
        <v>25000</v>
      </c>
      <c r="G71" s="2749">
        <f t="shared" si="26"/>
        <v>1360</v>
      </c>
      <c r="H71" s="2749">
        <f t="shared" si="27"/>
        <v>32640</v>
      </c>
      <c r="I71" s="2749">
        <f t="shared" si="28"/>
        <v>1360000</v>
      </c>
      <c r="J71" s="2748">
        <f>I71/I74</f>
        <v>0.185924869234427</v>
      </c>
      <c r="K71" s="2749">
        <f t="shared" si="29"/>
        <v>0</v>
      </c>
      <c r="L71" s="2748">
        <f>K71/K74</f>
        <v>0</v>
      </c>
      <c r="M71" s="2754" t="str">
        <f t="shared" si="31"/>
        <v>2-3단계 KIL 증자</v>
      </c>
    </row>
    <row r="72" spans="2:13" ht="11.25" customHeight="1">
      <c r="B72" s="1486" t="str">
        <f t="shared" si="30"/>
        <v>3종 - 외부(무의결)</v>
      </c>
      <c r="C72" s="2749">
        <f t="shared" si="30"/>
        <v>0</v>
      </c>
      <c r="D72" s="2749">
        <f t="shared" si="30"/>
        <v>10000</v>
      </c>
      <c r="E72" s="2750">
        <f t="shared" si="30"/>
        <v>1000</v>
      </c>
      <c r="F72" s="2750">
        <f t="shared" si="30"/>
        <v>23000</v>
      </c>
      <c r="G72" s="2749">
        <f t="shared" si="26"/>
        <v>434.78260869565219</v>
      </c>
      <c r="H72" s="2749">
        <f t="shared" si="27"/>
        <v>9565.217391304348</v>
      </c>
      <c r="I72" s="2749">
        <f t="shared" si="28"/>
        <v>434782.60869565216</v>
      </c>
      <c r="J72" s="2748">
        <f>I72/I74</f>
        <v>5.9438896814075125E-2</v>
      </c>
      <c r="K72" s="2749">
        <f t="shared" si="29"/>
        <v>0</v>
      </c>
      <c r="L72" s="2748">
        <f>K72/K74</f>
        <v>0</v>
      </c>
    </row>
    <row r="73" spans="2:13" ht="11.25" customHeight="1">
      <c r="B73" s="1486" t="str">
        <f t="shared" si="30"/>
        <v>보통주 - KLI</v>
      </c>
      <c r="C73" s="2749">
        <f t="shared" si="30"/>
        <v>1</v>
      </c>
      <c r="D73" s="2749">
        <f t="shared" si="30"/>
        <v>14800</v>
      </c>
      <c r="E73" s="2750">
        <f t="shared" si="30"/>
        <v>1000</v>
      </c>
      <c r="F73" s="2750">
        <f t="shared" si="30"/>
        <v>5000</v>
      </c>
      <c r="G73" s="2749">
        <f t="shared" si="26"/>
        <v>2960</v>
      </c>
      <c r="H73" s="2749">
        <f t="shared" si="27"/>
        <v>11840</v>
      </c>
      <c r="I73" s="2749">
        <f t="shared" si="28"/>
        <v>2960000</v>
      </c>
      <c r="J73" s="2748">
        <f>I73/I74</f>
        <v>0.40466000951022346</v>
      </c>
      <c r="K73" s="2749">
        <f t="shared" si="29"/>
        <v>2960000</v>
      </c>
      <c r="L73" s="2748">
        <f>K73/K74</f>
        <v>0.53623188405797106</v>
      </c>
    </row>
    <row r="74" spans="2:13" ht="11.25" customHeight="1">
      <c r="B74" s="2753" t="s">
        <v>59</v>
      </c>
      <c r="C74" s="2757"/>
      <c r="D74" s="2757">
        <f>SUM(D66:D73)</f>
        <v>122800</v>
      </c>
      <c r="E74" s="2758"/>
      <c r="F74" s="2758"/>
      <c r="G74" s="2757">
        <f>SUM(G66:G73)</f>
        <v>7314.782608695652</v>
      </c>
      <c r="H74" s="2757">
        <f>SUM(H66:H73)</f>
        <v>115485.21739130435</v>
      </c>
      <c r="I74" s="2757">
        <f>SUM(I66:I73)</f>
        <v>7314782.6086956523</v>
      </c>
      <c r="J74" s="2760">
        <f>I74/I74</f>
        <v>1</v>
      </c>
      <c r="K74" s="2757">
        <f>SUM(K66:K73)</f>
        <v>5520000</v>
      </c>
      <c r="L74" s="2760">
        <f>SUM(L66:L73)</f>
        <v>1</v>
      </c>
      <c r="M74" s="2753"/>
    </row>
    <row r="75" spans="2:13" ht="11.25" customHeight="1">
      <c r="F75" s="2749"/>
      <c r="G75" s="1486" t="b">
        <f>G74&gt;=5000</f>
        <v>1</v>
      </c>
      <c r="H75" s="1486" t="s">
        <v>1712</v>
      </c>
      <c r="I75" s="2761">
        <f>(I74-K74)/I74</f>
        <v>0.24536376604850216</v>
      </c>
      <c r="J75" s="1486" t="b">
        <f>I75&lt;=0.25</f>
        <v>1</v>
      </c>
    </row>
    <row r="76" spans="2:13" ht="11.25" customHeight="1">
      <c r="B76" s="1488" t="s">
        <v>1726</v>
      </c>
      <c r="D76" s="2751" t="s">
        <v>1702</v>
      </c>
      <c r="E76" s="2752">
        <f>SUM(L82,L85,L79)</f>
        <v>1</v>
      </c>
    </row>
    <row r="77" spans="2:13" ht="11.25" customHeight="1">
      <c r="B77" s="2753"/>
      <c r="C77" s="1578" t="s">
        <v>1703</v>
      </c>
      <c r="D77" s="1578" t="s">
        <v>1704</v>
      </c>
      <c r="E77" s="1578" t="s">
        <v>1697</v>
      </c>
      <c r="F77" s="1578" t="s">
        <v>1705</v>
      </c>
      <c r="G77" s="1578" t="s">
        <v>543</v>
      </c>
      <c r="H77" s="1578" t="s">
        <v>545</v>
      </c>
      <c r="I77" s="1578" t="s">
        <v>610</v>
      </c>
      <c r="J77" s="1578" t="s">
        <v>243</v>
      </c>
      <c r="K77" s="1578" t="s">
        <v>1706</v>
      </c>
      <c r="L77" s="1578" t="s">
        <v>243</v>
      </c>
      <c r="M77" s="1578" t="s">
        <v>90</v>
      </c>
    </row>
    <row r="78" spans="2:13" ht="11.25" customHeight="1">
      <c r="B78" s="2773" t="str">
        <f t="shared" ref="B78:F85" si="32">B66</f>
        <v>1종 - 외부</v>
      </c>
      <c r="C78" s="2774">
        <f t="shared" si="32"/>
        <v>1</v>
      </c>
      <c r="D78" s="2774">
        <v>0</v>
      </c>
      <c r="E78" s="2775">
        <f t="shared" si="32"/>
        <v>1000</v>
      </c>
      <c r="F78" s="2775">
        <f t="shared" si="32"/>
        <v>25000</v>
      </c>
      <c r="G78" s="2774">
        <f t="shared" ref="G78:G85" si="33">D78/(F78/E78)</f>
        <v>0</v>
      </c>
      <c r="H78" s="2774">
        <f t="shared" ref="H78:H85" si="34">D78-G78</f>
        <v>0</v>
      </c>
      <c r="I78" s="2774">
        <f t="shared" ref="I78:I85" si="35">D78/F78*10^6</f>
        <v>0</v>
      </c>
      <c r="J78" s="2776">
        <f>I78/I86</f>
        <v>0</v>
      </c>
      <c r="K78" s="2774">
        <f t="shared" ref="K78:K85" si="36">C78*I78</f>
        <v>0</v>
      </c>
      <c r="L78" s="2776">
        <f>K78/K86</f>
        <v>0</v>
      </c>
      <c r="M78" s="2777" t="s">
        <v>1727</v>
      </c>
    </row>
    <row r="79" spans="2:13" ht="11.25" customHeight="1">
      <c r="B79" s="1486" t="str">
        <f t="shared" si="32"/>
        <v>1종 - KLI</v>
      </c>
      <c r="C79" s="2749">
        <f t="shared" si="32"/>
        <v>1</v>
      </c>
      <c r="D79" s="2749">
        <f t="shared" si="32"/>
        <v>24000</v>
      </c>
      <c r="E79" s="2750">
        <f t="shared" si="32"/>
        <v>1000</v>
      </c>
      <c r="F79" s="2750">
        <f t="shared" si="32"/>
        <v>25000</v>
      </c>
      <c r="G79" s="2749">
        <f t="shared" si="33"/>
        <v>960</v>
      </c>
      <c r="H79" s="2749">
        <f t="shared" si="34"/>
        <v>23040</v>
      </c>
      <c r="I79" s="2749">
        <f t="shared" si="35"/>
        <v>960000</v>
      </c>
      <c r="J79" s="2748">
        <f>I79/I86</f>
        <v>0.15106732348111659</v>
      </c>
      <c r="K79" s="2749">
        <f t="shared" si="36"/>
        <v>960000</v>
      </c>
      <c r="L79" s="2748">
        <f>K79/K86</f>
        <v>0.21052631578947367</v>
      </c>
      <c r="M79" s="2754" t="str">
        <f>M67</f>
        <v>3-1단계 KLI  증자</v>
      </c>
    </row>
    <row r="80" spans="2:13" ht="11.25" customHeight="1">
      <c r="B80" s="1486" t="str">
        <f t="shared" si="32"/>
        <v>2종 - 외부</v>
      </c>
      <c r="C80" s="2749">
        <f t="shared" si="32"/>
        <v>1</v>
      </c>
      <c r="D80" s="2749">
        <f t="shared" si="32"/>
        <v>0</v>
      </c>
      <c r="E80" s="2750">
        <f t="shared" si="32"/>
        <v>1000</v>
      </c>
      <c r="F80" s="2750">
        <f t="shared" si="32"/>
        <v>25000</v>
      </c>
      <c r="G80" s="2749">
        <f t="shared" si="33"/>
        <v>0</v>
      </c>
      <c r="H80" s="2749">
        <f t="shared" si="34"/>
        <v>0</v>
      </c>
      <c r="I80" s="2749">
        <f t="shared" si="35"/>
        <v>0</v>
      </c>
      <c r="J80" s="2748">
        <f>I80/I86</f>
        <v>0</v>
      </c>
      <c r="K80" s="2749">
        <f t="shared" si="36"/>
        <v>0</v>
      </c>
      <c r="L80" s="2748">
        <f>K80/K86</f>
        <v>0</v>
      </c>
      <c r="M80" s="2754" t="str">
        <f>M68</f>
        <v>2-4단계 감자</v>
      </c>
    </row>
    <row r="81" spans="2:13" ht="11.25" customHeight="1">
      <c r="B81" s="1486" t="str">
        <f t="shared" si="32"/>
        <v>2종 - 외부(무의결)</v>
      </c>
      <c r="C81" s="2749">
        <f t="shared" si="32"/>
        <v>0</v>
      </c>
      <c r="D81" s="2749">
        <f t="shared" si="32"/>
        <v>0</v>
      </c>
      <c r="E81" s="2750">
        <f t="shared" si="32"/>
        <v>1000</v>
      </c>
      <c r="F81" s="2750">
        <f t="shared" si="32"/>
        <v>25000</v>
      </c>
      <c r="G81" s="2749">
        <f t="shared" si="33"/>
        <v>0</v>
      </c>
      <c r="H81" s="2749">
        <f t="shared" si="34"/>
        <v>0</v>
      </c>
      <c r="I81" s="2749">
        <f t="shared" si="35"/>
        <v>0</v>
      </c>
      <c r="J81" s="2748">
        <f>I81/I86</f>
        <v>0</v>
      </c>
      <c r="K81" s="2749">
        <f t="shared" si="36"/>
        <v>0</v>
      </c>
      <c r="L81" s="2748">
        <f>K81/K86</f>
        <v>0</v>
      </c>
      <c r="M81" s="2754" t="str">
        <f t="shared" ref="M81:M83" si="37">M69</f>
        <v>2-2단계 감자</v>
      </c>
    </row>
    <row r="82" spans="2:13" ht="11.25" customHeight="1">
      <c r="B82" s="1486" t="str">
        <f t="shared" si="32"/>
        <v>2종 - KLI</v>
      </c>
      <c r="C82" s="2749">
        <f t="shared" si="32"/>
        <v>1</v>
      </c>
      <c r="D82" s="2749">
        <f t="shared" si="32"/>
        <v>16000</v>
      </c>
      <c r="E82" s="2750">
        <f t="shared" si="32"/>
        <v>1000</v>
      </c>
      <c r="F82" s="2750">
        <f t="shared" si="32"/>
        <v>25000</v>
      </c>
      <c r="G82" s="2749">
        <f t="shared" si="33"/>
        <v>640</v>
      </c>
      <c r="H82" s="2749">
        <f t="shared" si="34"/>
        <v>15360</v>
      </c>
      <c r="I82" s="2749">
        <f t="shared" si="35"/>
        <v>640000</v>
      </c>
      <c r="J82" s="2748">
        <f>I82/I86</f>
        <v>0.10071154898741105</v>
      </c>
      <c r="K82" s="2749">
        <f t="shared" si="36"/>
        <v>640000</v>
      </c>
      <c r="L82" s="2748">
        <f>K82/K86</f>
        <v>0.14035087719298245</v>
      </c>
      <c r="M82" s="2754" t="str">
        <f t="shared" si="37"/>
        <v>2-1단계 KLI 증자</v>
      </c>
    </row>
    <row r="83" spans="2:13" ht="11.25" customHeight="1">
      <c r="B83" s="1486" t="str">
        <f t="shared" si="32"/>
        <v>2종 - KLI(무의결)</v>
      </c>
      <c r="C83" s="2749">
        <f t="shared" si="32"/>
        <v>0</v>
      </c>
      <c r="D83" s="2749">
        <f t="shared" si="32"/>
        <v>34000</v>
      </c>
      <c r="E83" s="2750">
        <f t="shared" si="32"/>
        <v>1000</v>
      </c>
      <c r="F83" s="2750">
        <f t="shared" si="32"/>
        <v>25000</v>
      </c>
      <c r="G83" s="2749">
        <f t="shared" si="33"/>
        <v>1360</v>
      </c>
      <c r="H83" s="2749">
        <f t="shared" si="34"/>
        <v>32640</v>
      </c>
      <c r="I83" s="2749">
        <f t="shared" si="35"/>
        <v>1360000</v>
      </c>
      <c r="J83" s="2748">
        <f>I83/I86</f>
        <v>0.21401204159824849</v>
      </c>
      <c r="K83" s="2749">
        <f t="shared" si="36"/>
        <v>0</v>
      </c>
      <c r="L83" s="2748">
        <f>K83/K86</f>
        <v>0</v>
      </c>
      <c r="M83" s="2754" t="str">
        <f t="shared" si="37"/>
        <v>2-3단계 KIL 증자</v>
      </c>
    </row>
    <row r="84" spans="2:13" ht="11.25" customHeight="1">
      <c r="B84" s="1486" t="str">
        <f t="shared" si="32"/>
        <v>3종 - 외부(무의결)</v>
      </c>
      <c r="C84" s="2749">
        <f t="shared" si="32"/>
        <v>0</v>
      </c>
      <c r="D84" s="2749">
        <f t="shared" si="32"/>
        <v>10000</v>
      </c>
      <c r="E84" s="2750">
        <f t="shared" si="32"/>
        <v>1000</v>
      </c>
      <c r="F84" s="2750">
        <f t="shared" si="32"/>
        <v>23000</v>
      </c>
      <c r="G84" s="2749">
        <f t="shared" si="33"/>
        <v>434.78260869565219</v>
      </c>
      <c r="H84" s="2749">
        <f t="shared" si="34"/>
        <v>9565.217391304348</v>
      </c>
      <c r="I84" s="2749">
        <f t="shared" si="35"/>
        <v>434782.60869565216</v>
      </c>
      <c r="J84" s="2748">
        <f>I84/I86</f>
        <v>6.8418171866447719E-2</v>
      </c>
      <c r="K84" s="2749">
        <f t="shared" si="36"/>
        <v>0</v>
      </c>
      <c r="L84" s="2748">
        <f>K84/K86</f>
        <v>0</v>
      </c>
    </row>
    <row r="85" spans="2:13" ht="11.25" customHeight="1">
      <c r="B85" s="1486" t="str">
        <f t="shared" si="32"/>
        <v>보통주 - KLI</v>
      </c>
      <c r="C85" s="2749">
        <f t="shared" si="32"/>
        <v>1</v>
      </c>
      <c r="D85" s="2749">
        <f t="shared" si="32"/>
        <v>14800</v>
      </c>
      <c r="E85" s="2750">
        <f t="shared" si="32"/>
        <v>1000</v>
      </c>
      <c r="F85" s="2750">
        <f t="shared" si="32"/>
        <v>5000</v>
      </c>
      <c r="G85" s="2749">
        <f t="shared" si="33"/>
        <v>2960</v>
      </c>
      <c r="H85" s="2749">
        <f t="shared" si="34"/>
        <v>11840</v>
      </c>
      <c r="I85" s="2749">
        <f t="shared" si="35"/>
        <v>2960000</v>
      </c>
      <c r="J85" s="2748">
        <f>I85/I86</f>
        <v>0.46579091406677614</v>
      </c>
      <c r="K85" s="2749">
        <f t="shared" si="36"/>
        <v>2960000</v>
      </c>
      <c r="L85" s="2748">
        <f>K85/K86</f>
        <v>0.64912280701754388</v>
      </c>
    </row>
    <row r="86" spans="2:13" ht="11.25" customHeight="1">
      <c r="B86" s="2753" t="s">
        <v>59</v>
      </c>
      <c r="C86" s="2757"/>
      <c r="D86" s="2757">
        <f>SUM(D78:D85)</f>
        <v>98800</v>
      </c>
      <c r="E86" s="2758"/>
      <c r="F86" s="2758"/>
      <c r="G86" s="2757">
        <f>SUM(G78:G85)</f>
        <v>6354.782608695652</v>
      </c>
      <c r="H86" s="2757">
        <f>SUM(H78:H85)</f>
        <v>92445.217391304352</v>
      </c>
      <c r="I86" s="2757">
        <f>SUM(I78:I85)</f>
        <v>6354782.6086956523</v>
      </c>
      <c r="J86" s="2760">
        <f>I86/I86</f>
        <v>1</v>
      </c>
      <c r="K86" s="2757">
        <f>SUM(K78:K85)</f>
        <v>4560000</v>
      </c>
      <c r="L86" s="2760">
        <f>SUM(L78:L85)</f>
        <v>1</v>
      </c>
      <c r="M86" s="2753"/>
    </row>
    <row r="87" spans="2:13" ht="11.25" customHeight="1">
      <c r="F87" s="2749"/>
      <c r="G87" s="1486" t="b">
        <f>G86&gt;=5000</f>
        <v>1</v>
      </c>
      <c r="H87" s="1486" t="s">
        <v>1712</v>
      </c>
      <c r="I87" s="2761">
        <f>(I86-K86)/I86</f>
        <v>0.28243021346469627</v>
      </c>
      <c r="J87" s="1486" t="b">
        <f>I87&lt;=0.25</f>
        <v>0</v>
      </c>
    </row>
    <row r="88" spans="2:13" ht="11.25" customHeight="1">
      <c r="B88" s="1488" t="s">
        <v>1728</v>
      </c>
      <c r="D88" s="2751" t="s">
        <v>1702</v>
      </c>
      <c r="E88" s="2752">
        <f>SUM(L94,L97,L91)</f>
        <v>1</v>
      </c>
    </row>
    <row r="89" spans="2:13" ht="11.25" customHeight="1">
      <c r="B89" s="2753"/>
      <c r="C89" s="1578" t="s">
        <v>1703</v>
      </c>
      <c r="D89" s="1578" t="s">
        <v>1704</v>
      </c>
      <c r="E89" s="1578" t="s">
        <v>1697</v>
      </c>
      <c r="F89" s="1578" t="s">
        <v>1705</v>
      </c>
      <c r="G89" s="1578" t="s">
        <v>543</v>
      </c>
      <c r="H89" s="1578" t="s">
        <v>545</v>
      </c>
      <c r="I89" s="1578" t="s">
        <v>610</v>
      </c>
      <c r="J89" s="1578" t="s">
        <v>243</v>
      </c>
      <c r="K89" s="1578" t="s">
        <v>1706</v>
      </c>
      <c r="L89" s="1578" t="s">
        <v>243</v>
      </c>
      <c r="M89" s="1578" t="s">
        <v>90</v>
      </c>
    </row>
    <row r="90" spans="2:13" ht="11.25" customHeight="1">
      <c r="B90" s="1486" t="str">
        <f t="shared" ref="B90:F97" si="38">B78</f>
        <v>1종 - 외부</v>
      </c>
      <c r="C90" s="2749">
        <f t="shared" si="38"/>
        <v>1</v>
      </c>
      <c r="D90" s="2749">
        <v>0</v>
      </c>
      <c r="E90" s="2750">
        <f t="shared" ref="E90:F90" si="39">E78</f>
        <v>1000</v>
      </c>
      <c r="F90" s="2750">
        <f t="shared" si="39"/>
        <v>25000</v>
      </c>
      <c r="G90" s="2749">
        <f t="shared" ref="G90:G97" si="40">D90/(F90/E90)</f>
        <v>0</v>
      </c>
      <c r="H90" s="2749">
        <f t="shared" ref="H90:H97" si="41">D90-G90</f>
        <v>0</v>
      </c>
      <c r="I90" s="2749">
        <f t="shared" ref="I90:I97" si="42">D90/F90*10^6</f>
        <v>0</v>
      </c>
      <c r="J90" s="2748">
        <f>I90/I98</f>
        <v>0</v>
      </c>
      <c r="K90" s="2749">
        <f t="shared" ref="K90:K97" si="43">C90*I90</f>
        <v>0</v>
      </c>
      <c r="L90" s="2748">
        <f>K90/K98</f>
        <v>0</v>
      </c>
      <c r="M90" s="2754" t="str">
        <f>M78</f>
        <v>3-2단계 감자</v>
      </c>
    </row>
    <row r="91" spans="2:13" ht="11.25" customHeight="1">
      <c r="B91" s="1486" t="str">
        <f t="shared" si="38"/>
        <v>1종 - KLI</v>
      </c>
      <c r="C91" s="2749">
        <f t="shared" si="38"/>
        <v>1</v>
      </c>
      <c r="D91" s="2749">
        <f t="shared" si="38"/>
        <v>24000</v>
      </c>
      <c r="E91" s="2750">
        <f t="shared" si="38"/>
        <v>1000</v>
      </c>
      <c r="F91" s="2750">
        <f t="shared" si="38"/>
        <v>25000</v>
      </c>
      <c r="G91" s="2749">
        <f t="shared" si="40"/>
        <v>960</v>
      </c>
      <c r="H91" s="2749">
        <f t="shared" si="41"/>
        <v>23040</v>
      </c>
      <c r="I91" s="2749">
        <f t="shared" si="42"/>
        <v>960000</v>
      </c>
      <c r="J91" s="2748">
        <f>I91/I98</f>
        <v>0.16216216216216217</v>
      </c>
      <c r="K91" s="2749">
        <f t="shared" si="43"/>
        <v>960000</v>
      </c>
      <c r="L91" s="2748">
        <f>K91/K98</f>
        <v>0.21052631578947367</v>
      </c>
      <c r="M91" s="2754" t="str">
        <f t="shared" ref="M91:M95" si="44">M79</f>
        <v>3-1단계 KLI  증자</v>
      </c>
    </row>
    <row r="92" spans="2:13" ht="11.25" customHeight="1">
      <c r="B92" s="1486" t="str">
        <f t="shared" si="38"/>
        <v>2종 - 외부</v>
      </c>
      <c r="C92" s="2749">
        <f t="shared" si="38"/>
        <v>1</v>
      </c>
      <c r="D92" s="2749">
        <f t="shared" si="38"/>
        <v>0</v>
      </c>
      <c r="E92" s="2750">
        <f t="shared" si="38"/>
        <v>1000</v>
      </c>
      <c r="F92" s="2750">
        <f t="shared" si="38"/>
        <v>25000</v>
      </c>
      <c r="G92" s="2749">
        <f t="shared" si="40"/>
        <v>0</v>
      </c>
      <c r="H92" s="2749">
        <f t="shared" si="41"/>
        <v>0</v>
      </c>
      <c r="I92" s="2749">
        <f t="shared" si="42"/>
        <v>0</v>
      </c>
      <c r="J92" s="2748">
        <f>I92/I98</f>
        <v>0</v>
      </c>
      <c r="K92" s="2749">
        <f t="shared" si="43"/>
        <v>0</v>
      </c>
      <c r="L92" s="2748">
        <f>K92/K98</f>
        <v>0</v>
      </c>
      <c r="M92" s="2754" t="str">
        <f t="shared" si="44"/>
        <v>2-4단계 감자</v>
      </c>
    </row>
    <row r="93" spans="2:13" ht="11.25" customHeight="1">
      <c r="B93" s="1486" t="str">
        <f t="shared" si="38"/>
        <v>2종 - 외부(무의결)</v>
      </c>
      <c r="C93" s="2749">
        <f t="shared" si="38"/>
        <v>0</v>
      </c>
      <c r="D93" s="2749">
        <f t="shared" si="38"/>
        <v>0</v>
      </c>
      <c r="E93" s="2750">
        <f t="shared" si="38"/>
        <v>1000</v>
      </c>
      <c r="F93" s="2750">
        <f t="shared" si="38"/>
        <v>25000</v>
      </c>
      <c r="G93" s="2749">
        <f t="shared" si="40"/>
        <v>0</v>
      </c>
      <c r="H93" s="2749">
        <f t="shared" si="41"/>
        <v>0</v>
      </c>
      <c r="I93" s="2749">
        <f t="shared" si="42"/>
        <v>0</v>
      </c>
      <c r="J93" s="2748">
        <f>I93/I98</f>
        <v>0</v>
      </c>
      <c r="K93" s="2749">
        <f t="shared" si="43"/>
        <v>0</v>
      </c>
      <c r="L93" s="2748">
        <f>K93/K98</f>
        <v>0</v>
      </c>
      <c r="M93" s="2754" t="str">
        <f t="shared" si="44"/>
        <v>2-2단계 감자</v>
      </c>
    </row>
    <row r="94" spans="2:13" ht="11.25" customHeight="1">
      <c r="B94" s="1486" t="str">
        <f t="shared" si="38"/>
        <v>2종 - KLI</v>
      </c>
      <c r="C94" s="2749">
        <f t="shared" si="38"/>
        <v>1</v>
      </c>
      <c r="D94" s="2749">
        <f t="shared" si="38"/>
        <v>16000</v>
      </c>
      <c r="E94" s="2750">
        <f t="shared" si="38"/>
        <v>1000</v>
      </c>
      <c r="F94" s="2750">
        <f t="shared" si="38"/>
        <v>25000</v>
      </c>
      <c r="G94" s="2749">
        <f t="shared" si="40"/>
        <v>640</v>
      </c>
      <c r="H94" s="2749">
        <f t="shared" si="41"/>
        <v>15360</v>
      </c>
      <c r="I94" s="2749">
        <f t="shared" si="42"/>
        <v>640000</v>
      </c>
      <c r="J94" s="2748">
        <f>I94/I98</f>
        <v>0.10810810810810811</v>
      </c>
      <c r="K94" s="2749">
        <f t="shared" si="43"/>
        <v>640000</v>
      </c>
      <c r="L94" s="2748">
        <f>K94/K98</f>
        <v>0.14035087719298245</v>
      </c>
      <c r="M94" s="2754" t="str">
        <f t="shared" si="44"/>
        <v>2-1단계 KLI 증자</v>
      </c>
    </row>
    <row r="95" spans="2:13" ht="11.25" customHeight="1">
      <c r="B95" s="1486" t="str">
        <f t="shared" si="38"/>
        <v>2종 - KLI(무의결)</v>
      </c>
      <c r="C95" s="2749">
        <f t="shared" si="38"/>
        <v>0</v>
      </c>
      <c r="D95" s="2749">
        <f t="shared" si="38"/>
        <v>34000</v>
      </c>
      <c r="E95" s="2750">
        <f t="shared" si="38"/>
        <v>1000</v>
      </c>
      <c r="F95" s="2750">
        <f t="shared" si="38"/>
        <v>25000</v>
      </c>
      <c r="G95" s="2749">
        <f t="shared" si="40"/>
        <v>1360</v>
      </c>
      <c r="H95" s="2749">
        <f t="shared" si="41"/>
        <v>32640</v>
      </c>
      <c r="I95" s="2749">
        <f t="shared" si="42"/>
        <v>1360000</v>
      </c>
      <c r="J95" s="2748">
        <f>I95/I98</f>
        <v>0.22972972972972974</v>
      </c>
      <c r="K95" s="2749">
        <f t="shared" si="43"/>
        <v>0</v>
      </c>
      <c r="L95" s="2748">
        <f>K95/K98</f>
        <v>0</v>
      </c>
      <c r="M95" s="2754" t="str">
        <f t="shared" si="44"/>
        <v>2-3단계 KIL 증자</v>
      </c>
    </row>
    <row r="96" spans="2:13" ht="11.25" customHeight="1">
      <c r="B96" s="1486" t="str">
        <f t="shared" si="38"/>
        <v>3종 - 외부(무의결)</v>
      </c>
      <c r="C96" s="2749">
        <f t="shared" si="38"/>
        <v>0</v>
      </c>
      <c r="D96" s="2749">
        <v>0</v>
      </c>
      <c r="E96" s="2750">
        <f t="shared" si="38"/>
        <v>1000</v>
      </c>
      <c r="F96" s="2750">
        <f t="shared" si="38"/>
        <v>23000</v>
      </c>
      <c r="G96" s="2749">
        <f t="shared" si="40"/>
        <v>0</v>
      </c>
      <c r="H96" s="2749">
        <f t="shared" si="41"/>
        <v>0</v>
      </c>
      <c r="I96" s="2749">
        <f t="shared" si="42"/>
        <v>0</v>
      </c>
      <c r="J96" s="2748">
        <f>I96/I98</f>
        <v>0</v>
      </c>
      <c r="K96" s="2749">
        <f t="shared" si="43"/>
        <v>0</v>
      </c>
      <c r="L96" s="2748">
        <f>K96/K98</f>
        <v>0</v>
      </c>
      <c r="M96" s="1486" t="s">
        <v>1729</v>
      </c>
    </row>
    <row r="97" spans="2:13" ht="11.25" customHeight="1">
      <c r="B97" s="1486" t="str">
        <f t="shared" si="38"/>
        <v>보통주 - KLI</v>
      </c>
      <c r="C97" s="2749">
        <f t="shared" si="38"/>
        <v>1</v>
      </c>
      <c r="D97" s="2749">
        <f t="shared" si="38"/>
        <v>14800</v>
      </c>
      <c r="E97" s="2750">
        <f t="shared" si="38"/>
        <v>1000</v>
      </c>
      <c r="F97" s="2750">
        <f t="shared" si="38"/>
        <v>5000</v>
      </c>
      <c r="G97" s="2749">
        <f t="shared" si="40"/>
        <v>2960</v>
      </c>
      <c r="H97" s="2749">
        <f t="shared" si="41"/>
        <v>11840</v>
      </c>
      <c r="I97" s="2749">
        <f t="shared" si="42"/>
        <v>2960000</v>
      </c>
      <c r="J97" s="2748">
        <f>I97/I98</f>
        <v>0.5</v>
      </c>
      <c r="K97" s="2749">
        <f t="shared" si="43"/>
        <v>2960000</v>
      </c>
      <c r="L97" s="2748">
        <f>K97/K98</f>
        <v>0.64912280701754388</v>
      </c>
    </row>
    <row r="98" spans="2:13" ht="11.25" customHeight="1">
      <c r="B98" s="2753" t="s">
        <v>59</v>
      </c>
      <c r="C98" s="2757"/>
      <c r="D98" s="2757">
        <f>SUM(D90:D97)</f>
        <v>88800</v>
      </c>
      <c r="E98" s="2758"/>
      <c r="F98" s="2758"/>
      <c r="G98" s="2757">
        <f>SUM(G90:G97)</f>
        <v>5920</v>
      </c>
      <c r="H98" s="2757">
        <f>SUM(H90:H97)</f>
        <v>82880</v>
      </c>
      <c r="I98" s="2757">
        <f>SUM(I90:I97)</f>
        <v>5920000</v>
      </c>
      <c r="J98" s="2760">
        <f>I98/I98</f>
        <v>1</v>
      </c>
      <c r="K98" s="2757">
        <f>SUM(K90:K97)</f>
        <v>4560000</v>
      </c>
      <c r="L98" s="2760">
        <f>SUM(L90:L97)</f>
        <v>1</v>
      </c>
      <c r="M98" s="2753"/>
    </row>
    <row r="99" spans="2:13" ht="11.25" customHeight="1">
      <c r="C99" s="2749"/>
      <c r="D99" s="2750"/>
      <c r="E99" s="2750"/>
      <c r="F99" s="2749"/>
      <c r="G99" s="2749" t="b">
        <f>G98&gt;=5000</f>
        <v>1</v>
      </c>
      <c r="H99" s="2749" t="s">
        <v>1712</v>
      </c>
      <c r="I99" s="2761">
        <f>(I98-K98)/I98</f>
        <v>0.22972972972972974</v>
      </c>
      <c r="J99" s="1486" t="b">
        <f>I99&lt;=0.25</f>
        <v>1</v>
      </c>
    </row>
    <row r="100" spans="2:13" ht="11.25" customHeight="1">
      <c r="F100" s="2749"/>
    </row>
    <row r="102" spans="2:13" ht="11.25" customHeight="1">
      <c r="B102" s="2753"/>
      <c r="C102" s="1578" t="s">
        <v>1730</v>
      </c>
      <c r="D102" s="1578" t="s">
        <v>1731</v>
      </c>
      <c r="E102" s="1578" t="s">
        <v>1732</v>
      </c>
      <c r="F102" s="1578" t="s">
        <v>1733</v>
      </c>
      <c r="G102" s="1578" t="s">
        <v>1734</v>
      </c>
      <c r="H102" s="1578" t="s">
        <v>90</v>
      </c>
      <c r="I102" s="1578"/>
    </row>
    <row r="103" spans="2:13" ht="11.25" customHeight="1">
      <c r="B103" s="2778">
        <v>0</v>
      </c>
      <c r="C103" s="2779">
        <f>E103-D103</f>
        <v>0.56060606060606055</v>
      </c>
      <c r="D103" s="2779">
        <v>0</v>
      </c>
      <c r="E103" s="2779">
        <f>L17</f>
        <v>0.56060606060606055</v>
      </c>
      <c r="H103" s="1486" t="s">
        <v>1735</v>
      </c>
    </row>
    <row r="104" spans="2:13" ht="11.25" customHeight="1">
      <c r="B104" s="2778">
        <v>12</v>
      </c>
      <c r="C104" s="2779">
        <f>E104-D104</f>
        <v>4.7502047502047562E-2</v>
      </c>
      <c r="D104" s="2779">
        <f>E11</f>
        <v>0.56060606060606055</v>
      </c>
      <c r="E104" s="2779">
        <f>E20</f>
        <v>0.60810810810810811</v>
      </c>
      <c r="F104" s="2749">
        <f>C104*$C$2</f>
        <v>14155.610155610173</v>
      </c>
      <c r="G104" s="2749">
        <f>F104*$C$3</f>
        <v>311.4234234234238</v>
      </c>
    </row>
    <row r="105" spans="2:13" ht="11.25" customHeight="1">
      <c r="B105" s="2780">
        <v>24</v>
      </c>
      <c r="C105" s="2781">
        <f>E105-D105</f>
        <v>3.6613272311212808E-2</v>
      </c>
      <c r="D105" s="2781">
        <f>E53</f>
        <v>0.78947368421052633</v>
      </c>
      <c r="E105" s="2781">
        <f>E64</f>
        <v>0.82608695652173914</v>
      </c>
      <c r="F105" s="2782">
        <f>C105*$C$2</f>
        <v>10910.755148741417</v>
      </c>
      <c r="G105" s="2782">
        <f>F105*$C$3</f>
        <v>240.03661327231114</v>
      </c>
      <c r="H105" s="2783"/>
      <c r="I105" s="2783"/>
    </row>
    <row r="106" spans="2:13" ht="11.25" customHeight="1">
      <c r="G106" s="2784">
        <f>SUM(G103:G105)</f>
        <v>551.46003669573497</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BF836-FFF3-4AD2-ADCF-8925829D0895}">
  <sheetPr codeName="Sheet3">
    <tabColor theme="7" tint="-0.499984740745262"/>
  </sheetPr>
  <dimension ref="A1:EV53"/>
  <sheetViews>
    <sheetView showGridLines="0" topLeftCell="A22" zoomScale="130" zoomScaleNormal="130" workbookViewId="0">
      <selection activeCell="L37" sqref="L37"/>
    </sheetView>
  </sheetViews>
  <sheetFormatPr defaultColWidth="9" defaultRowHeight="12"/>
  <cols>
    <col min="1" max="2" width="2.625" style="5" customWidth="1"/>
    <col min="3" max="3" width="1.875" style="5" customWidth="1"/>
    <col min="4" max="4" width="9" style="5"/>
    <col min="5" max="5" width="10.125" style="5" bestFit="1" customWidth="1"/>
    <col min="6" max="9" width="14.125" style="5" customWidth="1"/>
    <col min="10" max="10" width="11" style="13" customWidth="1"/>
    <col min="11" max="11" width="11" style="5" customWidth="1"/>
    <col min="12" max="12" width="2.625" style="5" customWidth="1"/>
    <col min="13" max="148" width="11" style="5" customWidth="1"/>
    <col min="149" max="16384" width="9" style="5"/>
  </cols>
  <sheetData>
    <row r="1" spans="1:152" s="3" customFormat="1" ht="11.25" customHeight="1">
      <c r="A1" s="2" t="s">
        <v>250</v>
      </c>
    </row>
    <row r="2" spans="1:152" s="4" customFormat="1" ht="11.25" customHeight="1">
      <c r="A2" s="4" t="s">
        <v>253</v>
      </c>
    </row>
    <row r="4" spans="1:152">
      <c r="C4" s="187" t="s">
        <v>0</v>
      </c>
      <c r="D4" s="143"/>
      <c r="E4" s="143"/>
      <c r="F4" s="143"/>
      <c r="G4" s="143"/>
      <c r="H4" s="143"/>
      <c r="I4" s="143"/>
      <c r="J4" s="188"/>
      <c r="K4" s="144"/>
      <c r="M4" s="145">
        <f>Index!L4</f>
        <v>46326</v>
      </c>
      <c r="N4" s="145">
        <f>Index!M4</f>
        <v>46327</v>
      </c>
      <c r="O4" s="145">
        <f>Index!N4</f>
        <v>46357</v>
      </c>
      <c r="P4" s="145">
        <f>Index!O4</f>
        <v>46388</v>
      </c>
      <c r="Q4" s="145">
        <f>Index!P4</f>
        <v>46419</v>
      </c>
      <c r="R4" s="145">
        <f>Index!Q4</f>
        <v>46447</v>
      </c>
      <c r="S4" s="145">
        <f>Index!R4</f>
        <v>46478</v>
      </c>
      <c r="T4" s="145">
        <f>Index!S4</f>
        <v>46508</v>
      </c>
      <c r="U4" s="145">
        <f>Index!T4</f>
        <v>46539</v>
      </c>
      <c r="V4" s="145">
        <f>Index!U4</f>
        <v>46569</v>
      </c>
      <c r="W4" s="145">
        <f>Index!V4</f>
        <v>46600</v>
      </c>
      <c r="X4" s="145">
        <f>Index!W4</f>
        <v>46631</v>
      </c>
      <c r="Y4" s="145">
        <f>Index!X4</f>
        <v>46661</v>
      </c>
      <c r="Z4" s="145">
        <f>Index!Y4</f>
        <v>46692</v>
      </c>
      <c r="AA4" s="145">
        <f>Index!Z4</f>
        <v>46722</v>
      </c>
      <c r="AB4" s="145">
        <f>Index!AA4</f>
        <v>46753</v>
      </c>
      <c r="AC4" s="145">
        <f>Index!AB4</f>
        <v>46784</v>
      </c>
      <c r="AD4" s="145">
        <f>Index!AC4</f>
        <v>46813</v>
      </c>
      <c r="AE4" s="145">
        <f>Index!AD4</f>
        <v>46844</v>
      </c>
      <c r="AF4" s="145">
        <f>Index!AE4</f>
        <v>46874</v>
      </c>
      <c r="AG4" s="145">
        <f>Index!AF4</f>
        <v>46905</v>
      </c>
      <c r="AH4" s="145">
        <f>Index!AG4</f>
        <v>46935</v>
      </c>
      <c r="AI4" s="145">
        <f>Index!AH4</f>
        <v>46966</v>
      </c>
      <c r="AJ4" s="145">
        <f>Index!AI4</f>
        <v>46997</v>
      </c>
      <c r="AK4" s="145">
        <f>Index!AJ4</f>
        <v>47027</v>
      </c>
      <c r="AL4" s="145">
        <f>Index!AK4</f>
        <v>47058</v>
      </c>
      <c r="AM4" s="145">
        <f>Index!AL4</f>
        <v>47088</v>
      </c>
      <c r="AN4" s="145">
        <f>Index!AM4</f>
        <v>47119</v>
      </c>
      <c r="AO4" s="145">
        <f>Index!AN4</f>
        <v>47150</v>
      </c>
      <c r="AP4" s="145">
        <f>Index!AO4</f>
        <v>47178</v>
      </c>
      <c r="AQ4" s="145">
        <f>Index!AP4</f>
        <v>47209</v>
      </c>
      <c r="AR4" s="145">
        <f>Index!AQ4</f>
        <v>47239</v>
      </c>
      <c r="AS4" s="145">
        <f>Index!AR4</f>
        <v>47270</v>
      </c>
      <c r="AT4" s="145">
        <f>Index!AS4</f>
        <v>47300</v>
      </c>
      <c r="AU4" s="145">
        <f>Index!AT4</f>
        <v>47331</v>
      </c>
      <c r="AV4" s="145">
        <f>Index!AU4</f>
        <v>47362</v>
      </c>
      <c r="AW4" s="145">
        <f>Index!AV4</f>
        <v>47392</v>
      </c>
      <c r="AX4" s="145">
        <f>Index!AW4</f>
        <v>47423</v>
      </c>
      <c r="AY4" s="145">
        <f>Index!AX4</f>
        <v>47453</v>
      </c>
      <c r="AZ4" s="145">
        <f>Index!AY4</f>
        <v>47484</v>
      </c>
      <c r="BA4" s="145">
        <f>Index!AZ4</f>
        <v>47515</v>
      </c>
      <c r="BB4" s="145">
        <f>Index!BA4</f>
        <v>47543</v>
      </c>
      <c r="BC4" s="145">
        <f>Index!BB4</f>
        <v>47574</v>
      </c>
      <c r="BD4" s="145">
        <f>Index!BC4</f>
        <v>47604</v>
      </c>
      <c r="BE4" s="145">
        <f>Index!BD4</f>
        <v>47635</v>
      </c>
      <c r="BF4" s="145">
        <f>Index!BE4</f>
        <v>47665</v>
      </c>
      <c r="BG4" s="145">
        <f>Index!BF4</f>
        <v>47696</v>
      </c>
      <c r="BH4" s="145">
        <f>Index!BG4</f>
        <v>47727</v>
      </c>
      <c r="BI4" s="145">
        <f>Index!BH4</f>
        <v>47757</v>
      </c>
      <c r="BJ4" s="145">
        <f>Index!BI4</f>
        <v>47788</v>
      </c>
      <c r="BK4" s="145">
        <f>Index!BJ4</f>
        <v>47818</v>
      </c>
      <c r="BL4" s="145">
        <f>Index!BK4</f>
        <v>47849</v>
      </c>
      <c r="BM4" s="145">
        <f>Index!BL4</f>
        <v>47880</v>
      </c>
      <c r="BN4" s="145">
        <f>Index!BM4</f>
        <v>47908</v>
      </c>
      <c r="BO4" s="145">
        <f>Index!BN4</f>
        <v>47939</v>
      </c>
      <c r="BP4" s="145">
        <f>Index!BO4</f>
        <v>47969</v>
      </c>
      <c r="BQ4" s="145">
        <f>Index!BP4</f>
        <v>48000</v>
      </c>
      <c r="BR4" s="145">
        <f>Index!BQ4</f>
        <v>48030</v>
      </c>
      <c r="BS4" s="145">
        <f>Index!BR4</f>
        <v>48061</v>
      </c>
      <c r="BT4" s="145">
        <f>Index!BS4</f>
        <v>48092</v>
      </c>
      <c r="BU4" s="145">
        <f>Index!BT4</f>
        <v>48122</v>
      </c>
      <c r="BV4" s="145">
        <f>Index!BU4</f>
        <v>48153</v>
      </c>
      <c r="BW4" s="145">
        <f>Index!BV4</f>
        <v>48183</v>
      </c>
      <c r="BX4" s="145">
        <f>Index!BW4</f>
        <v>48214</v>
      </c>
      <c r="BY4" s="145">
        <f>Index!BX4</f>
        <v>48245</v>
      </c>
      <c r="BZ4" s="145">
        <f>Index!BY4</f>
        <v>48274</v>
      </c>
      <c r="CA4" s="145">
        <f>Index!BZ4</f>
        <v>48305</v>
      </c>
      <c r="CB4" s="145">
        <f>Index!CA4</f>
        <v>48335</v>
      </c>
      <c r="CC4" s="145">
        <f>Index!CB4</f>
        <v>48366</v>
      </c>
      <c r="CD4" s="145">
        <f>Index!CC4</f>
        <v>48396</v>
      </c>
      <c r="CE4" s="145">
        <f>Index!CD4</f>
        <v>48427</v>
      </c>
      <c r="CF4" s="145">
        <f>Index!CE4</f>
        <v>48458</v>
      </c>
      <c r="CG4" s="145">
        <f>Index!CF4</f>
        <v>48488</v>
      </c>
      <c r="CH4" s="145">
        <f>Index!CG4</f>
        <v>48519</v>
      </c>
      <c r="CI4" s="145">
        <f>Index!CH4</f>
        <v>48549</v>
      </c>
      <c r="CJ4" s="145">
        <f>Index!CI4</f>
        <v>48580</v>
      </c>
      <c r="CK4" s="145">
        <f>Index!CJ4</f>
        <v>48611</v>
      </c>
      <c r="CL4" s="145">
        <f>Index!CK4</f>
        <v>48639</v>
      </c>
      <c r="CM4" s="145">
        <f>Index!CL4</f>
        <v>48670</v>
      </c>
      <c r="CN4" s="145">
        <f>Index!CM4</f>
        <v>48700</v>
      </c>
      <c r="CO4" s="145">
        <f>Index!CN4</f>
        <v>48731</v>
      </c>
      <c r="CP4" s="145">
        <f>Index!CO4</f>
        <v>48761</v>
      </c>
      <c r="CQ4" s="145">
        <f>Index!CP4</f>
        <v>48792</v>
      </c>
      <c r="CR4" s="145">
        <f>Index!CQ4</f>
        <v>48823</v>
      </c>
      <c r="CS4" s="145">
        <f>Index!CR4</f>
        <v>48853</v>
      </c>
      <c r="CT4" s="145">
        <f>Index!CS4</f>
        <v>48884</v>
      </c>
      <c r="CU4" s="145">
        <f>Index!CT4</f>
        <v>48914</v>
      </c>
      <c r="CV4" s="145">
        <f>Index!CU4</f>
        <v>48945</v>
      </c>
      <c r="CW4" s="145">
        <f>Index!CV4</f>
        <v>48976</v>
      </c>
      <c r="CX4" s="145">
        <f>Index!CW4</f>
        <v>49004</v>
      </c>
      <c r="CY4" s="145">
        <f>Index!CX4</f>
        <v>49035</v>
      </c>
      <c r="CZ4" s="145">
        <f>Index!CY4</f>
        <v>49065</v>
      </c>
      <c r="DA4" s="145">
        <f>Index!CZ4</f>
        <v>49096</v>
      </c>
      <c r="DB4" s="145">
        <f>Index!DA4</f>
        <v>49126</v>
      </c>
      <c r="DC4" s="145">
        <f>Index!DB4</f>
        <v>49157</v>
      </c>
      <c r="DD4" s="145">
        <f>Index!DC4</f>
        <v>49188</v>
      </c>
      <c r="DE4" s="145">
        <f>Index!DD4</f>
        <v>49218</v>
      </c>
      <c r="DF4" s="145">
        <f>Index!DE4</f>
        <v>49249</v>
      </c>
      <c r="DG4" s="145">
        <f>Index!DF4</f>
        <v>49279</v>
      </c>
      <c r="DH4" s="145">
        <f>Index!DG4</f>
        <v>49310</v>
      </c>
      <c r="DI4" s="145">
        <f>Index!DH4</f>
        <v>49341</v>
      </c>
      <c r="DJ4" s="145">
        <f>Index!DI4</f>
        <v>49369</v>
      </c>
      <c r="DK4" s="145">
        <f>Index!DJ4</f>
        <v>49400</v>
      </c>
      <c r="DL4" s="145">
        <f>Index!DK4</f>
        <v>49430</v>
      </c>
      <c r="DM4" s="145">
        <f>Index!DL4</f>
        <v>49461</v>
      </c>
      <c r="DN4" s="145">
        <f>Index!DM4</f>
        <v>49491</v>
      </c>
      <c r="DO4" s="145">
        <f>Index!DN4</f>
        <v>49522</v>
      </c>
      <c r="DP4" s="145">
        <f>Index!DO4</f>
        <v>49553</v>
      </c>
      <c r="DQ4" s="145">
        <f>Index!DP4</f>
        <v>49583</v>
      </c>
      <c r="DR4" s="145">
        <f>Index!DQ4</f>
        <v>49614</v>
      </c>
      <c r="DS4" s="145">
        <f>Index!DR4</f>
        <v>49644</v>
      </c>
      <c r="DT4" s="145">
        <f>Index!DS4</f>
        <v>49675</v>
      </c>
      <c r="DU4" s="145">
        <f>Index!DT4</f>
        <v>49706</v>
      </c>
      <c r="DV4" s="145">
        <f>Index!DU4</f>
        <v>49735</v>
      </c>
      <c r="DW4" s="145">
        <f>Index!DV4</f>
        <v>49766</v>
      </c>
      <c r="DX4" s="145">
        <f>Index!DW4</f>
        <v>49796</v>
      </c>
      <c r="DY4" s="145">
        <f>Index!DX4</f>
        <v>49827</v>
      </c>
      <c r="DZ4" s="145">
        <f>Index!DY4</f>
        <v>49857</v>
      </c>
      <c r="EA4" s="145">
        <f>Index!DZ4</f>
        <v>49888</v>
      </c>
      <c r="EB4" s="145">
        <f>Index!EA4</f>
        <v>49919</v>
      </c>
      <c r="EC4" s="145">
        <f>Index!EB4</f>
        <v>49949</v>
      </c>
      <c r="ED4" s="145">
        <f>Index!EC4</f>
        <v>49980</v>
      </c>
      <c r="EE4" s="145">
        <f>Index!ED4</f>
        <v>50010</v>
      </c>
      <c r="EF4" s="145">
        <f>Index!EE4</f>
        <v>50041</v>
      </c>
      <c r="EG4" s="145">
        <f>Index!EF4</f>
        <v>50072</v>
      </c>
      <c r="EH4" s="145">
        <f>Index!EG4</f>
        <v>50100</v>
      </c>
      <c r="EI4" s="145">
        <f>Index!EH4</f>
        <v>50131</v>
      </c>
      <c r="EJ4" s="145">
        <f>Index!EI4</f>
        <v>50161</v>
      </c>
      <c r="EK4" s="145">
        <f>Index!EJ4</f>
        <v>50192</v>
      </c>
      <c r="EL4" s="145">
        <f>Index!EK4</f>
        <v>50222</v>
      </c>
      <c r="EM4" s="145">
        <f>Index!EL4</f>
        <v>50253</v>
      </c>
      <c r="EN4" s="145">
        <f>Index!EM4</f>
        <v>50284</v>
      </c>
      <c r="EO4" s="145">
        <f>Index!EN4</f>
        <v>50314</v>
      </c>
      <c r="EP4" s="145">
        <f>Index!EO4</f>
        <v>50345</v>
      </c>
      <c r="EQ4" s="145">
        <f>Index!EP4</f>
        <v>50375</v>
      </c>
      <c r="ER4" s="145">
        <f>Index!EQ4</f>
        <v>50406</v>
      </c>
      <c r="ES4" s="146"/>
      <c r="ET4" s="146"/>
      <c r="EU4" s="146"/>
      <c r="EV4" s="146"/>
    </row>
    <row r="5" spans="1:152">
      <c r="C5" s="187" t="s">
        <v>1</v>
      </c>
      <c r="D5" s="143"/>
      <c r="E5" s="143"/>
      <c r="F5" s="143"/>
      <c r="G5" s="143"/>
      <c r="H5" s="143"/>
      <c r="I5" s="143"/>
      <c r="J5" s="188"/>
      <c r="K5" s="143"/>
      <c r="M5" s="145">
        <f>Index!L5</f>
        <v>46326</v>
      </c>
      <c r="N5" s="145">
        <f>Index!M5</f>
        <v>46356</v>
      </c>
      <c r="O5" s="145">
        <f>Index!N5</f>
        <v>46387</v>
      </c>
      <c r="P5" s="145">
        <f>Index!O5</f>
        <v>46418</v>
      </c>
      <c r="Q5" s="145">
        <f>Index!P5</f>
        <v>46446</v>
      </c>
      <c r="R5" s="145">
        <f>Index!Q5</f>
        <v>46477</v>
      </c>
      <c r="S5" s="145">
        <f>Index!R5</f>
        <v>46507</v>
      </c>
      <c r="T5" s="145">
        <f>Index!S5</f>
        <v>46538</v>
      </c>
      <c r="U5" s="145">
        <f>Index!T5</f>
        <v>46568</v>
      </c>
      <c r="V5" s="145">
        <f>Index!U5</f>
        <v>46599</v>
      </c>
      <c r="W5" s="145">
        <f>Index!V5</f>
        <v>46630</v>
      </c>
      <c r="X5" s="145">
        <f>Index!W5</f>
        <v>46660</v>
      </c>
      <c r="Y5" s="145">
        <f>Index!X5</f>
        <v>46691</v>
      </c>
      <c r="Z5" s="145">
        <f>Index!Y5</f>
        <v>46721</v>
      </c>
      <c r="AA5" s="145">
        <f>Index!Z5</f>
        <v>46752</v>
      </c>
      <c r="AB5" s="145">
        <f>Index!AA5</f>
        <v>46783</v>
      </c>
      <c r="AC5" s="145">
        <f>Index!AB5</f>
        <v>46812</v>
      </c>
      <c r="AD5" s="145">
        <f>Index!AC5</f>
        <v>46843</v>
      </c>
      <c r="AE5" s="145">
        <f>Index!AD5</f>
        <v>46873</v>
      </c>
      <c r="AF5" s="145">
        <f>Index!AE5</f>
        <v>46904</v>
      </c>
      <c r="AG5" s="145">
        <f>Index!AF5</f>
        <v>46934</v>
      </c>
      <c r="AH5" s="145">
        <f>Index!AG5</f>
        <v>46965</v>
      </c>
      <c r="AI5" s="145">
        <f>Index!AH5</f>
        <v>46996</v>
      </c>
      <c r="AJ5" s="145">
        <f>Index!AI5</f>
        <v>47026</v>
      </c>
      <c r="AK5" s="145">
        <f>Index!AJ5</f>
        <v>47057</v>
      </c>
      <c r="AL5" s="145">
        <f>Index!AK5</f>
        <v>47087</v>
      </c>
      <c r="AM5" s="145">
        <f>Index!AL5</f>
        <v>47118</v>
      </c>
      <c r="AN5" s="145">
        <f>Index!AM5</f>
        <v>47149</v>
      </c>
      <c r="AO5" s="145">
        <f>Index!AN5</f>
        <v>47177</v>
      </c>
      <c r="AP5" s="145">
        <f>Index!AO5</f>
        <v>47208</v>
      </c>
      <c r="AQ5" s="145">
        <f>Index!AP5</f>
        <v>47238</v>
      </c>
      <c r="AR5" s="145">
        <f>Index!AQ5</f>
        <v>47269</v>
      </c>
      <c r="AS5" s="145">
        <f>Index!AR5</f>
        <v>47299</v>
      </c>
      <c r="AT5" s="145">
        <f>Index!AS5</f>
        <v>47330</v>
      </c>
      <c r="AU5" s="145">
        <f>Index!AT5</f>
        <v>47361</v>
      </c>
      <c r="AV5" s="145">
        <f>Index!AU5</f>
        <v>47391</v>
      </c>
      <c r="AW5" s="145">
        <f>Index!AV5</f>
        <v>47422</v>
      </c>
      <c r="AX5" s="145">
        <f>Index!AW5</f>
        <v>47452</v>
      </c>
      <c r="AY5" s="145">
        <f>Index!AX5</f>
        <v>47483</v>
      </c>
      <c r="AZ5" s="145">
        <f>Index!AY5</f>
        <v>47514</v>
      </c>
      <c r="BA5" s="145">
        <f>Index!AZ5</f>
        <v>47542</v>
      </c>
      <c r="BB5" s="145">
        <f>Index!BA5</f>
        <v>47573</v>
      </c>
      <c r="BC5" s="145">
        <f>Index!BB5</f>
        <v>47603</v>
      </c>
      <c r="BD5" s="145">
        <f>Index!BC5</f>
        <v>47634</v>
      </c>
      <c r="BE5" s="145">
        <f>Index!BD5</f>
        <v>47664</v>
      </c>
      <c r="BF5" s="145">
        <f>Index!BE5</f>
        <v>47695</v>
      </c>
      <c r="BG5" s="145">
        <f>Index!BF5</f>
        <v>47726</v>
      </c>
      <c r="BH5" s="145">
        <f>Index!BG5</f>
        <v>47756</v>
      </c>
      <c r="BI5" s="145">
        <f>Index!BH5</f>
        <v>47787</v>
      </c>
      <c r="BJ5" s="145">
        <f>Index!BI5</f>
        <v>47817</v>
      </c>
      <c r="BK5" s="145">
        <f>Index!BJ5</f>
        <v>47848</v>
      </c>
      <c r="BL5" s="145">
        <f>Index!BK5</f>
        <v>47879</v>
      </c>
      <c r="BM5" s="145">
        <f>Index!BL5</f>
        <v>47907</v>
      </c>
      <c r="BN5" s="145">
        <f>Index!BM5</f>
        <v>47938</v>
      </c>
      <c r="BO5" s="145">
        <f>Index!BN5</f>
        <v>47968</v>
      </c>
      <c r="BP5" s="145">
        <f>Index!BO5</f>
        <v>47999</v>
      </c>
      <c r="BQ5" s="145">
        <f>Index!BP5</f>
        <v>48029</v>
      </c>
      <c r="BR5" s="145">
        <f>Index!BQ5</f>
        <v>48060</v>
      </c>
      <c r="BS5" s="145">
        <f>Index!BR5</f>
        <v>48091</v>
      </c>
      <c r="BT5" s="145">
        <f>Index!BS5</f>
        <v>48121</v>
      </c>
      <c r="BU5" s="145">
        <f>Index!BT5</f>
        <v>48152</v>
      </c>
      <c r="BV5" s="145">
        <f>Index!BU5</f>
        <v>48182</v>
      </c>
      <c r="BW5" s="145">
        <f>Index!BV5</f>
        <v>48213</v>
      </c>
      <c r="BX5" s="145">
        <f>Index!BW5</f>
        <v>48244</v>
      </c>
      <c r="BY5" s="145">
        <f>Index!BX5</f>
        <v>48273</v>
      </c>
      <c r="BZ5" s="145">
        <f>Index!BY5</f>
        <v>48304</v>
      </c>
      <c r="CA5" s="145">
        <f>Index!BZ5</f>
        <v>48334</v>
      </c>
      <c r="CB5" s="145">
        <f>Index!CA5</f>
        <v>48365</v>
      </c>
      <c r="CC5" s="145">
        <f>Index!CB5</f>
        <v>48395</v>
      </c>
      <c r="CD5" s="145">
        <f>Index!CC5</f>
        <v>48426</v>
      </c>
      <c r="CE5" s="145">
        <f>Index!CD5</f>
        <v>48457</v>
      </c>
      <c r="CF5" s="145">
        <f>Index!CE5</f>
        <v>48487</v>
      </c>
      <c r="CG5" s="145">
        <f>Index!CF5</f>
        <v>48518</v>
      </c>
      <c r="CH5" s="145">
        <f>Index!CG5</f>
        <v>48548</v>
      </c>
      <c r="CI5" s="145">
        <f>Index!CH5</f>
        <v>48579</v>
      </c>
      <c r="CJ5" s="145">
        <f>Index!CI5</f>
        <v>48610</v>
      </c>
      <c r="CK5" s="145">
        <f>Index!CJ5</f>
        <v>48638</v>
      </c>
      <c r="CL5" s="145">
        <f>Index!CK5</f>
        <v>48669</v>
      </c>
      <c r="CM5" s="145">
        <f>Index!CL5</f>
        <v>48699</v>
      </c>
      <c r="CN5" s="145">
        <f>Index!CM5</f>
        <v>48730</v>
      </c>
      <c r="CO5" s="145">
        <f>Index!CN5</f>
        <v>48760</v>
      </c>
      <c r="CP5" s="145">
        <f>Index!CO5</f>
        <v>48791</v>
      </c>
      <c r="CQ5" s="145">
        <f>Index!CP5</f>
        <v>48822</v>
      </c>
      <c r="CR5" s="145">
        <f>Index!CQ5</f>
        <v>48852</v>
      </c>
      <c r="CS5" s="145">
        <f>Index!CR5</f>
        <v>48883</v>
      </c>
      <c r="CT5" s="145">
        <f>Index!CS5</f>
        <v>48913</v>
      </c>
      <c r="CU5" s="145">
        <f>Index!CT5</f>
        <v>48944</v>
      </c>
      <c r="CV5" s="145">
        <f>Index!CU5</f>
        <v>48975</v>
      </c>
      <c r="CW5" s="145">
        <f>Index!CV5</f>
        <v>49003</v>
      </c>
      <c r="CX5" s="145">
        <f>Index!CW5</f>
        <v>49034</v>
      </c>
      <c r="CY5" s="145">
        <f>Index!CX5</f>
        <v>49064</v>
      </c>
      <c r="CZ5" s="145">
        <f>Index!CY5</f>
        <v>49095</v>
      </c>
      <c r="DA5" s="145">
        <f>Index!CZ5</f>
        <v>49125</v>
      </c>
      <c r="DB5" s="145">
        <f>Index!DA5</f>
        <v>49156</v>
      </c>
      <c r="DC5" s="145">
        <f>Index!DB5</f>
        <v>49187</v>
      </c>
      <c r="DD5" s="145">
        <f>Index!DC5</f>
        <v>49217</v>
      </c>
      <c r="DE5" s="145">
        <f>Index!DD5</f>
        <v>49248</v>
      </c>
      <c r="DF5" s="145">
        <f>Index!DE5</f>
        <v>49278</v>
      </c>
      <c r="DG5" s="145">
        <f>Index!DF5</f>
        <v>49309</v>
      </c>
      <c r="DH5" s="145">
        <f>Index!DG5</f>
        <v>49340</v>
      </c>
      <c r="DI5" s="145">
        <f>Index!DH5</f>
        <v>49368</v>
      </c>
      <c r="DJ5" s="145">
        <f>Index!DI5</f>
        <v>49399</v>
      </c>
      <c r="DK5" s="145">
        <f>Index!DJ5</f>
        <v>49429</v>
      </c>
      <c r="DL5" s="145">
        <f>Index!DK5</f>
        <v>49460</v>
      </c>
      <c r="DM5" s="145">
        <f>Index!DL5</f>
        <v>49490</v>
      </c>
      <c r="DN5" s="145">
        <f>Index!DM5</f>
        <v>49521</v>
      </c>
      <c r="DO5" s="145">
        <f>Index!DN5</f>
        <v>49552</v>
      </c>
      <c r="DP5" s="145">
        <f>Index!DO5</f>
        <v>49582</v>
      </c>
      <c r="DQ5" s="145">
        <f>Index!DP5</f>
        <v>49613</v>
      </c>
      <c r="DR5" s="145">
        <f>Index!DQ5</f>
        <v>49643</v>
      </c>
      <c r="DS5" s="145">
        <f>Index!DR5</f>
        <v>49674</v>
      </c>
      <c r="DT5" s="145">
        <f>Index!DS5</f>
        <v>49705</v>
      </c>
      <c r="DU5" s="145">
        <f>Index!DT5</f>
        <v>49734</v>
      </c>
      <c r="DV5" s="145">
        <f>Index!DU5</f>
        <v>49765</v>
      </c>
      <c r="DW5" s="145">
        <f>Index!DV5</f>
        <v>49795</v>
      </c>
      <c r="DX5" s="145">
        <f>Index!DW5</f>
        <v>49826</v>
      </c>
      <c r="DY5" s="145">
        <f>Index!DX5</f>
        <v>49856</v>
      </c>
      <c r="DZ5" s="145">
        <f>Index!DY5</f>
        <v>49887</v>
      </c>
      <c r="EA5" s="145">
        <f>Index!DZ5</f>
        <v>49918</v>
      </c>
      <c r="EB5" s="145">
        <f>Index!EA5</f>
        <v>49948</v>
      </c>
      <c r="EC5" s="145">
        <f>Index!EB5</f>
        <v>49979</v>
      </c>
      <c r="ED5" s="145">
        <f>Index!EC5</f>
        <v>50009</v>
      </c>
      <c r="EE5" s="145">
        <f>Index!ED5</f>
        <v>50040</v>
      </c>
      <c r="EF5" s="145">
        <f>Index!EE5</f>
        <v>50071</v>
      </c>
      <c r="EG5" s="145">
        <f>Index!EF5</f>
        <v>50099</v>
      </c>
      <c r="EH5" s="145">
        <f>Index!EG5</f>
        <v>50130</v>
      </c>
      <c r="EI5" s="145">
        <f>Index!EH5</f>
        <v>50160</v>
      </c>
      <c r="EJ5" s="145">
        <f>Index!EI5</f>
        <v>50191</v>
      </c>
      <c r="EK5" s="145">
        <f>Index!EJ5</f>
        <v>50221</v>
      </c>
      <c r="EL5" s="145">
        <f>Index!EK5</f>
        <v>50252</v>
      </c>
      <c r="EM5" s="145">
        <f>Index!EL5</f>
        <v>50283</v>
      </c>
      <c r="EN5" s="145">
        <f>Index!EM5</f>
        <v>50313</v>
      </c>
      <c r="EO5" s="145">
        <f>Index!EN5</f>
        <v>50344</v>
      </c>
      <c r="EP5" s="145">
        <f>Index!EO5</f>
        <v>50374</v>
      </c>
      <c r="EQ5" s="145">
        <f>Index!EP5</f>
        <v>50405</v>
      </c>
      <c r="ER5" s="145">
        <f>Index!EQ5</f>
        <v>50436</v>
      </c>
      <c r="ES5" s="146"/>
      <c r="ET5" s="146"/>
      <c r="EU5" s="146"/>
      <c r="EV5" s="146"/>
    </row>
    <row r="6" spans="1:152">
      <c r="C6" s="189" t="s">
        <v>2</v>
      </c>
      <c r="D6" s="148"/>
      <c r="E6" s="148"/>
      <c r="F6" s="148"/>
      <c r="G6" s="148"/>
      <c r="H6" s="148"/>
      <c r="I6" s="148"/>
      <c r="J6" s="190"/>
      <c r="K6" s="148"/>
      <c r="M6" s="149">
        <f>Index!L6</f>
        <v>2026</v>
      </c>
      <c r="N6" s="149">
        <f>Index!M6</f>
        <v>2026</v>
      </c>
      <c r="O6" s="149">
        <f>Index!N6</f>
        <v>2026</v>
      </c>
      <c r="P6" s="149">
        <f>Index!O6</f>
        <v>2027</v>
      </c>
      <c r="Q6" s="149">
        <f>Index!P6</f>
        <v>2027</v>
      </c>
      <c r="R6" s="149">
        <f>Index!Q6</f>
        <v>2027</v>
      </c>
      <c r="S6" s="149">
        <f>Index!R6</f>
        <v>2027</v>
      </c>
      <c r="T6" s="149">
        <f>Index!S6</f>
        <v>2027</v>
      </c>
      <c r="U6" s="149">
        <f>Index!T6</f>
        <v>2027</v>
      </c>
      <c r="V6" s="149">
        <f>Index!U6</f>
        <v>2027</v>
      </c>
      <c r="W6" s="149">
        <f>Index!V6</f>
        <v>2027</v>
      </c>
      <c r="X6" s="149">
        <f>Index!W6</f>
        <v>2027</v>
      </c>
      <c r="Y6" s="149">
        <f>Index!X6</f>
        <v>2027</v>
      </c>
      <c r="Z6" s="149">
        <f>Index!Y6</f>
        <v>2027</v>
      </c>
      <c r="AA6" s="149">
        <f>Index!Z6</f>
        <v>2027</v>
      </c>
      <c r="AB6" s="149">
        <f>Index!AA6</f>
        <v>2028</v>
      </c>
      <c r="AC6" s="149">
        <f>Index!AB6</f>
        <v>2028</v>
      </c>
      <c r="AD6" s="149">
        <f>Index!AC6</f>
        <v>2028</v>
      </c>
      <c r="AE6" s="149">
        <f>Index!AD6</f>
        <v>2028</v>
      </c>
      <c r="AF6" s="149">
        <f>Index!AE6</f>
        <v>2028</v>
      </c>
      <c r="AG6" s="149">
        <f>Index!AF6</f>
        <v>2028</v>
      </c>
      <c r="AH6" s="149">
        <f>Index!AG6</f>
        <v>2028</v>
      </c>
      <c r="AI6" s="149">
        <f>Index!AH6</f>
        <v>2028</v>
      </c>
      <c r="AJ6" s="149">
        <f>Index!AI6</f>
        <v>2028</v>
      </c>
      <c r="AK6" s="149">
        <f>Index!AJ6</f>
        <v>2028</v>
      </c>
      <c r="AL6" s="149">
        <f>Index!AK6</f>
        <v>2028</v>
      </c>
      <c r="AM6" s="149">
        <f>Index!AL6</f>
        <v>2028</v>
      </c>
      <c r="AN6" s="149">
        <f>Index!AM6</f>
        <v>2029</v>
      </c>
      <c r="AO6" s="149">
        <f>Index!AN6</f>
        <v>2029</v>
      </c>
      <c r="AP6" s="149">
        <f>Index!AO6</f>
        <v>2029</v>
      </c>
      <c r="AQ6" s="149">
        <f>Index!AP6</f>
        <v>2029</v>
      </c>
      <c r="AR6" s="149">
        <f>Index!AQ6</f>
        <v>2029</v>
      </c>
      <c r="AS6" s="149">
        <f>Index!AR6</f>
        <v>2029</v>
      </c>
      <c r="AT6" s="149">
        <f>Index!AS6</f>
        <v>2029</v>
      </c>
      <c r="AU6" s="149">
        <f>Index!AT6</f>
        <v>2029</v>
      </c>
      <c r="AV6" s="149">
        <f>Index!AU6</f>
        <v>2029</v>
      </c>
      <c r="AW6" s="149">
        <f>Index!AV6</f>
        <v>2029</v>
      </c>
      <c r="AX6" s="149">
        <f>Index!AW6</f>
        <v>2029</v>
      </c>
      <c r="AY6" s="149">
        <f>Index!AX6</f>
        <v>2029</v>
      </c>
      <c r="AZ6" s="149">
        <f>Index!AY6</f>
        <v>2030</v>
      </c>
      <c r="BA6" s="149">
        <f>Index!AZ6</f>
        <v>2030</v>
      </c>
      <c r="BB6" s="149">
        <f>Index!BA6</f>
        <v>2030</v>
      </c>
      <c r="BC6" s="149">
        <f>Index!BB6</f>
        <v>2030</v>
      </c>
      <c r="BD6" s="149">
        <f>Index!BC6</f>
        <v>2030</v>
      </c>
      <c r="BE6" s="149">
        <f>Index!BD6</f>
        <v>2030</v>
      </c>
      <c r="BF6" s="149">
        <f>Index!BE6</f>
        <v>2030</v>
      </c>
      <c r="BG6" s="149">
        <f>Index!BF6</f>
        <v>2030</v>
      </c>
      <c r="BH6" s="149">
        <f>Index!BG6</f>
        <v>2030</v>
      </c>
      <c r="BI6" s="149">
        <f>Index!BH6</f>
        <v>2030</v>
      </c>
      <c r="BJ6" s="149">
        <f>Index!BI6</f>
        <v>2030</v>
      </c>
      <c r="BK6" s="149">
        <f>Index!BJ6</f>
        <v>2030</v>
      </c>
      <c r="BL6" s="149">
        <f>Index!BK6</f>
        <v>2031</v>
      </c>
      <c r="BM6" s="149">
        <f>Index!BL6</f>
        <v>2031</v>
      </c>
      <c r="BN6" s="149">
        <f>Index!BM6</f>
        <v>2031</v>
      </c>
      <c r="BO6" s="149">
        <f>Index!BN6</f>
        <v>2031</v>
      </c>
      <c r="BP6" s="149">
        <f>Index!BO6</f>
        <v>2031</v>
      </c>
      <c r="BQ6" s="149">
        <f>Index!BP6</f>
        <v>2031</v>
      </c>
      <c r="BR6" s="149">
        <f>Index!BQ6</f>
        <v>2031</v>
      </c>
      <c r="BS6" s="149">
        <f>Index!BR6</f>
        <v>2031</v>
      </c>
      <c r="BT6" s="149">
        <f>Index!BS6</f>
        <v>2031</v>
      </c>
      <c r="BU6" s="149">
        <f>Index!BT6</f>
        <v>2031</v>
      </c>
      <c r="BV6" s="149">
        <f>Index!BU6</f>
        <v>2031</v>
      </c>
      <c r="BW6" s="149">
        <f>Index!BV6</f>
        <v>2031</v>
      </c>
      <c r="BX6" s="149">
        <f>Index!BW6</f>
        <v>2032</v>
      </c>
      <c r="BY6" s="149">
        <f>Index!BX6</f>
        <v>2032</v>
      </c>
      <c r="BZ6" s="149">
        <f>Index!BY6</f>
        <v>2032</v>
      </c>
      <c r="CA6" s="149">
        <f>Index!BZ6</f>
        <v>2032</v>
      </c>
      <c r="CB6" s="149">
        <f>Index!CA6</f>
        <v>2032</v>
      </c>
      <c r="CC6" s="149">
        <f>Index!CB6</f>
        <v>2032</v>
      </c>
      <c r="CD6" s="149">
        <f>Index!CC6</f>
        <v>2032</v>
      </c>
      <c r="CE6" s="149">
        <f>Index!CD6</f>
        <v>2032</v>
      </c>
      <c r="CF6" s="149">
        <f>Index!CE6</f>
        <v>2032</v>
      </c>
      <c r="CG6" s="149">
        <f>Index!CF6</f>
        <v>2032</v>
      </c>
      <c r="CH6" s="149">
        <f>Index!CG6</f>
        <v>2032</v>
      </c>
      <c r="CI6" s="149">
        <f>Index!CH6</f>
        <v>2032</v>
      </c>
      <c r="CJ6" s="149">
        <f>Index!CI6</f>
        <v>2033</v>
      </c>
      <c r="CK6" s="149">
        <f>Index!CJ6</f>
        <v>2033</v>
      </c>
      <c r="CL6" s="149">
        <f>Index!CK6</f>
        <v>2033</v>
      </c>
      <c r="CM6" s="149">
        <f>Index!CL6</f>
        <v>2033</v>
      </c>
      <c r="CN6" s="149">
        <f>Index!CM6</f>
        <v>2033</v>
      </c>
      <c r="CO6" s="149">
        <f>Index!CN6</f>
        <v>2033</v>
      </c>
      <c r="CP6" s="149">
        <f>Index!CO6</f>
        <v>2033</v>
      </c>
      <c r="CQ6" s="149">
        <f>Index!CP6</f>
        <v>2033</v>
      </c>
      <c r="CR6" s="149">
        <f>Index!CQ6</f>
        <v>2033</v>
      </c>
      <c r="CS6" s="149">
        <f>Index!CR6</f>
        <v>2033</v>
      </c>
      <c r="CT6" s="149">
        <f>Index!CS6</f>
        <v>2033</v>
      </c>
      <c r="CU6" s="149">
        <f>Index!CT6</f>
        <v>2033</v>
      </c>
      <c r="CV6" s="149">
        <f>Index!CU6</f>
        <v>2034</v>
      </c>
      <c r="CW6" s="149">
        <f>Index!CV6</f>
        <v>2034</v>
      </c>
      <c r="CX6" s="149">
        <f>Index!CW6</f>
        <v>2034</v>
      </c>
      <c r="CY6" s="149">
        <f>Index!CX6</f>
        <v>2034</v>
      </c>
      <c r="CZ6" s="149">
        <f>Index!CY6</f>
        <v>2034</v>
      </c>
      <c r="DA6" s="149">
        <f>Index!CZ6</f>
        <v>2034</v>
      </c>
      <c r="DB6" s="149">
        <f>Index!DA6</f>
        <v>2034</v>
      </c>
      <c r="DC6" s="149">
        <f>Index!DB6</f>
        <v>2034</v>
      </c>
      <c r="DD6" s="149">
        <f>Index!DC6</f>
        <v>2034</v>
      </c>
      <c r="DE6" s="149">
        <f>Index!DD6</f>
        <v>2034</v>
      </c>
      <c r="DF6" s="149">
        <f>Index!DE6</f>
        <v>2034</v>
      </c>
      <c r="DG6" s="149">
        <f>Index!DF6</f>
        <v>2034</v>
      </c>
      <c r="DH6" s="149">
        <f>Index!DG6</f>
        <v>2035</v>
      </c>
      <c r="DI6" s="149">
        <f>Index!DH6</f>
        <v>2035</v>
      </c>
      <c r="DJ6" s="149">
        <f>Index!DI6</f>
        <v>2035</v>
      </c>
      <c r="DK6" s="149">
        <f>Index!DJ6</f>
        <v>2035</v>
      </c>
      <c r="DL6" s="149">
        <f>Index!DK6</f>
        <v>2035</v>
      </c>
      <c r="DM6" s="149">
        <f>Index!DL6</f>
        <v>2035</v>
      </c>
      <c r="DN6" s="149">
        <f>Index!DM6</f>
        <v>2035</v>
      </c>
      <c r="DO6" s="149">
        <f>Index!DN6</f>
        <v>2035</v>
      </c>
      <c r="DP6" s="149">
        <f>Index!DO6</f>
        <v>2035</v>
      </c>
      <c r="DQ6" s="149">
        <f>Index!DP6</f>
        <v>2035</v>
      </c>
      <c r="DR6" s="149">
        <f>Index!DQ6</f>
        <v>2035</v>
      </c>
      <c r="DS6" s="149">
        <f>Index!DR6</f>
        <v>2035</v>
      </c>
      <c r="DT6" s="149">
        <f>Index!DS6</f>
        <v>2036</v>
      </c>
      <c r="DU6" s="149">
        <f>Index!DT6</f>
        <v>2036</v>
      </c>
      <c r="DV6" s="149">
        <f>Index!DU6</f>
        <v>2036</v>
      </c>
      <c r="DW6" s="149">
        <f>Index!DV6</f>
        <v>2036</v>
      </c>
      <c r="DX6" s="149">
        <f>Index!DW6</f>
        <v>2036</v>
      </c>
      <c r="DY6" s="149">
        <f>Index!DX6</f>
        <v>2036</v>
      </c>
      <c r="DZ6" s="149">
        <f>Index!DY6</f>
        <v>2036</v>
      </c>
      <c r="EA6" s="149">
        <f>Index!DZ6</f>
        <v>2036</v>
      </c>
      <c r="EB6" s="149">
        <f>Index!EA6</f>
        <v>2036</v>
      </c>
      <c r="EC6" s="149">
        <f>Index!EB6</f>
        <v>2036</v>
      </c>
      <c r="ED6" s="149">
        <f>Index!EC6</f>
        <v>2036</v>
      </c>
      <c r="EE6" s="149">
        <f>Index!ED6</f>
        <v>2036</v>
      </c>
      <c r="EF6" s="149">
        <f>Index!EE6</f>
        <v>2037</v>
      </c>
      <c r="EG6" s="149">
        <f>Index!EF6</f>
        <v>2037</v>
      </c>
      <c r="EH6" s="149">
        <f>Index!EG6</f>
        <v>2037</v>
      </c>
      <c r="EI6" s="149">
        <f>Index!EH6</f>
        <v>2037</v>
      </c>
      <c r="EJ6" s="149">
        <f>Index!EI6</f>
        <v>2037</v>
      </c>
      <c r="EK6" s="149">
        <f>Index!EJ6</f>
        <v>2037</v>
      </c>
      <c r="EL6" s="149">
        <f>Index!EK6</f>
        <v>2037</v>
      </c>
      <c r="EM6" s="149">
        <f>Index!EL6</f>
        <v>2037</v>
      </c>
      <c r="EN6" s="149">
        <f>Index!EM6</f>
        <v>2037</v>
      </c>
      <c r="EO6" s="149">
        <f>Index!EN6</f>
        <v>2037</v>
      </c>
      <c r="EP6" s="149">
        <f>Index!EO6</f>
        <v>2037</v>
      </c>
      <c r="EQ6" s="149">
        <f>Index!EP6</f>
        <v>2037</v>
      </c>
      <c r="ER6" s="149">
        <f>Index!EQ6</f>
        <v>2038</v>
      </c>
      <c r="ES6" s="146"/>
      <c r="ET6" s="146"/>
      <c r="EU6" s="146"/>
      <c r="EV6" s="146"/>
    </row>
    <row r="7" spans="1:152">
      <c r="C7" s="189" t="s">
        <v>3</v>
      </c>
      <c r="D7" s="148"/>
      <c r="E7" s="148"/>
      <c r="F7" s="148"/>
      <c r="G7" s="148"/>
      <c r="H7" s="148"/>
      <c r="I7" s="148"/>
      <c r="J7" s="190"/>
      <c r="K7" s="148"/>
      <c r="M7" s="149">
        <f>Index!L7</f>
        <v>10</v>
      </c>
      <c r="N7" s="149">
        <f>Index!M7</f>
        <v>11</v>
      </c>
      <c r="O7" s="149">
        <f>Index!N7</f>
        <v>12</v>
      </c>
      <c r="P7" s="149">
        <f>Index!O7</f>
        <v>1</v>
      </c>
      <c r="Q7" s="149">
        <f>Index!P7</f>
        <v>2</v>
      </c>
      <c r="R7" s="149">
        <f>Index!Q7</f>
        <v>3</v>
      </c>
      <c r="S7" s="149">
        <f>Index!R7</f>
        <v>4</v>
      </c>
      <c r="T7" s="149">
        <f>Index!S7</f>
        <v>5</v>
      </c>
      <c r="U7" s="149">
        <f>Index!T7</f>
        <v>6</v>
      </c>
      <c r="V7" s="149">
        <f>Index!U7</f>
        <v>7</v>
      </c>
      <c r="W7" s="149">
        <f>Index!V7</f>
        <v>8</v>
      </c>
      <c r="X7" s="149">
        <f>Index!W7</f>
        <v>9</v>
      </c>
      <c r="Y7" s="149">
        <f>Index!X7</f>
        <v>10</v>
      </c>
      <c r="Z7" s="149">
        <f>Index!Y7</f>
        <v>11</v>
      </c>
      <c r="AA7" s="149">
        <f>Index!Z7</f>
        <v>12</v>
      </c>
      <c r="AB7" s="149">
        <f>Index!AA7</f>
        <v>1</v>
      </c>
      <c r="AC7" s="149">
        <f>Index!AB7</f>
        <v>2</v>
      </c>
      <c r="AD7" s="149">
        <f>Index!AC7</f>
        <v>3</v>
      </c>
      <c r="AE7" s="149">
        <f>Index!AD7</f>
        <v>4</v>
      </c>
      <c r="AF7" s="149">
        <f>Index!AE7</f>
        <v>5</v>
      </c>
      <c r="AG7" s="149">
        <f>Index!AF7</f>
        <v>6</v>
      </c>
      <c r="AH7" s="149">
        <f>Index!AG7</f>
        <v>7</v>
      </c>
      <c r="AI7" s="149">
        <f>Index!AH7</f>
        <v>8</v>
      </c>
      <c r="AJ7" s="149">
        <f>Index!AI7</f>
        <v>9</v>
      </c>
      <c r="AK7" s="149">
        <f>Index!AJ7</f>
        <v>10</v>
      </c>
      <c r="AL7" s="149">
        <f>Index!AK7</f>
        <v>11</v>
      </c>
      <c r="AM7" s="149">
        <f>Index!AL7</f>
        <v>12</v>
      </c>
      <c r="AN7" s="149">
        <f>Index!AM7</f>
        <v>1</v>
      </c>
      <c r="AO7" s="149">
        <f>Index!AN7</f>
        <v>2</v>
      </c>
      <c r="AP7" s="149">
        <f>Index!AO7</f>
        <v>3</v>
      </c>
      <c r="AQ7" s="149">
        <f>Index!AP7</f>
        <v>4</v>
      </c>
      <c r="AR7" s="149">
        <f>Index!AQ7</f>
        <v>5</v>
      </c>
      <c r="AS7" s="149">
        <f>Index!AR7</f>
        <v>6</v>
      </c>
      <c r="AT7" s="149">
        <f>Index!AS7</f>
        <v>7</v>
      </c>
      <c r="AU7" s="149">
        <f>Index!AT7</f>
        <v>8</v>
      </c>
      <c r="AV7" s="149">
        <f>Index!AU7</f>
        <v>9</v>
      </c>
      <c r="AW7" s="149">
        <f>Index!AV7</f>
        <v>10</v>
      </c>
      <c r="AX7" s="149">
        <f>Index!AW7</f>
        <v>11</v>
      </c>
      <c r="AY7" s="149">
        <f>Index!AX7</f>
        <v>12</v>
      </c>
      <c r="AZ7" s="149">
        <f>Index!AY7</f>
        <v>1</v>
      </c>
      <c r="BA7" s="149">
        <f>Index!AZ7</f>
        <v>2</v>
      </c>
      <c r="BB7" s="149">
        <f>Index!BA7</f>
        <v>3</v>
      </c>
      <c r="BC7" s="149">
        <f>Index!BB7</f>
        <v>4</v>
      </c>
      <c r="BD7" s="149">
        <f>Index!BC7</f>
        <v>5</v>
      </c>
      <c r="BE7" s="149">
        <f>Index!BD7</f>
        <v>6</v>
      </c>
      <c r="BF7" s="149">
        <f>Index!BE7</f>
        <v>7</v>
      </c>
      <c r="BG7" s="149">
        <f>Index!BF7</f>
        <v>8</v>
      </c>
      <c r="BH7" s="149">
        <f>Index!BG7</f>
        <v>9</v>
      </c>
      <c r="BI7" s="149">
        <f>Index!BH7</f>
        <v>10</v>
      </c>
      <c r="BJ7" s="149">
        <f>Index!BI7</f>
        <v>11</v>
      </c>
      <c r="BK7" s="149">
        <f>Index!BJ7</f>
        <v>12</v>
      </c>
      <c r="BL7" s="149">
        <f>Index!BK7</f>
        <v>1</v>
      </c>
      <c r="BM7" s="149">
        <f>Index!BL7</f>
        <v>2</v>
      </c>
      <c r="BN7" s="149">
        <f>Index!BM7</f>
        <v>3</v>
      </c>
      <c r="BO7" s="149">
        <f>Index!BN7</f>
        <v>4</v>
      </c>
      <c r="BP7" s="149">
        <f>Index!BO7</f>
        <v>5</v>
      </c>
      <c r="BQ7" s="149">
        <f>Index!BP7</f>
        <v>6</v>
      </c>
      <c r="BR7" s="149">
        <f>Index!BQ7</f>
        <v>7</v>
      </c>
      <c r="BS7" s="149">
        <f>Index!BR7</f>
        <v>8</v>
      </c>
      <c r="BT7" s="149">
        <f>Index!BS7</f>
        <v>9</v>
      </c>
      <c r="BU7" s="149">
        <f>Index!BT7</f>
        <v>10</v>
      </c>
      <c r="BV7" s="149">
        <f>Index!BU7</f>
        <v>11</v>
      </c>
      <c r="BW7" s="149">
        <f>Index!BV7</f>
        <v>12</v>
      </c>
      <c r="BX7" s="149">
        <f>Index!BW7</f>
        <v>1</v>
      </c>
      <c r="BY7" s="149">
        <f>Index!BX7</f>
        <v>2</v>
      </c>
      <c r="BZ7" s="149">
        <f>Index!BY7</f>
        <v>3</v>
      </c>
      <c r="CA7" s="149">
        <f>Index!BZ7</f>
        <v>4</v>
      </c>
      <c r="CB7" s="149">
        <f>Index!CA7</f>
        <v>5</v>
      </c>
      <c r="CC7" s="149">
        <f>Index!CB7</f>
        <v>6</v>
      </c>
      <c r="CD7" s="149">
        <f>Index!CC7</f>
        <v>7</v>
      </c>
      <c r="CE7" s="149">
        <f>Index!CD7</f>
        <v>8</v>
      </c>
      <c r="CF7" s="149">
        <f>Index!CE7</f>
        <v>9</v>
      </c>
      <c r="CG7" s="149">
        <f>Index!CF7</f>
        <v>10</v>
      </c>
      <c r="CH7" s="149">
        <f>Index!CG7</f>
        <v>11</v>
      </c>
      <c r="CI7" s="149">
        <f>Index!CH7</f>
        <v>12</v>
      </c>
      <c r="CJ7" s="149">
        <f>Index!CI7</f>
        <v>1</v>
      </c>
      <c r="CK7" s="149">
        <f>Index!CJ7</f>
        <v>2</v>
      </c>
      <c r="CL7" s="149">
        <f>Index!CK7</f>
        <v>3</v>
      </c>
      <c r="CM7" s="149">
        <f>Index!CL7</f>
        <v>4</v>
      </c>
      <c r="CN7" s="149">
        <f>Index!CM7</f>
        <v>5</v>
      </c>
      <c r="CO7" s="149">
        <f>Index!CN7</f>
        <v>6</v>
      </c>
      <c r="CP7" s="149">
        <f>Index!CO7</f>
        <v>7</v>
      </c>
      <c r="CQ7" s="149">
        <f>Index!CP7</f>
        <v>8</v>
      </c>
      <c r="CR7" s="149">
        <f>Index!CQ7</f>
        <v>9</v>
      </c>
      <c r="CS7" s="149">
        <f>Index!CR7</f>
        <v>10</v>
      </c>
      <c r="CT7" s="149">
        <f>Index!CS7</f>
        <v>11</v>
      </c>
      <c r="CU7" s="149">
        <f>Index!CT7</f>
        <v>12</v>
      </c>
      <c r="CV7" s="149">
        <f>Index!CU7</f>
        <v>1</v>
      </c>
      <c r="CW7" s="149">
        <f>Index!CV7</f>
        <v>2</v>
      </c>
      <c r="CX7" s="149">
        <f>Index!CW7</f>
        <v>3</v>
      </c>
      <c r="CY7" s="149">
        <f>Index!CX7</f>
        <v>4</v>
      </c>
      <c r="CZ7" s="149">
        <f>Index!CY7</f>
        <v>5</v>
      </c>
      <c r="DA7" s="149">
        <f>Index!CZ7</f>
        <v>6</v>
      </c>
      <c r="DB7" s="149">
        <f>Index!DA7</f>
        <v>7</v>
      </c>
      <c r="DC7" s="149">
        <f>Index!DB7</f>
        <v>8</v>
      </c>
      <c r="DD7" s="149">
        <f>Index!DC7</f>
        <v>9</v>
      </c>
      <c r="DE7" s="149">
        <f>Index!DD7</f>
        <v>10</v>
      </c>
      <c r="DF7" s="149">
        <f>Index!DE7</f>
        <v>11</v>
      </c>
      <c r="DG7" s="149">
        <f>Index!DF7</f>
        <v>12</v>
      </c>
      <c r="DH7" s="149">
        <f>Index!DG7</f>
        <v>1</v>
      </c>
      <c r="DI7" s="149">
        <f>Index!DH7</f>
        <v>2</v>
      </c>
      <c r="DJ7" s="149">
        <f>Index!DI7</f>
        <v>3</v>
      </c>
      <c r="DK7" s="149">
        <f>Index!DJ7</f>
        <v>4</v>
      </c>
      <c r="DL7" s="149">
        <f>Index!DK7</f>
        <v>5</v>
      </c>
      <c r="DM7" s="149">
        <f>Index!DL7</f>
        <v>6</v>
      </c>
      <c r="DN7" s="149">
        <f>Index!DM7</f>
        <v>7</v>
      </c>
      <c r="DO7" s="149">
        <f>Index!DN7</f>
        <v>8</v>
      </c>
      <c r="DP7" s="149">
        <f>Index!DO7</f>
        <v>9</v>
      </c>
      <c r="DQ7" s="149">
        <f>Index!DP7</f>
        <v>10</v>
      </c>
      <c r="DR7" s="149">
        <f>Index!DQ7</f>
        <v>11</v>
      </c>
      <c r="DS7" s="149">
        <f>Index!DR7</f>
        <v>12</v>
      </c>
      <c r="DT7" s="149">
        <f>Index!DS7</f>
        <v>1</v>
      </c>
      <c r="DU7" s="149">
        <f>Index!DT7</f>
        <v>2</v>
      </c>
      <c r="DV7" s="149">
        <f>Index!DU7</f>
        <v>3</v>
      </c>
      <c r="DW7" s="149">
        <f>Index!DV7</f>
        <v>4</v>
      </c>
      <c r="DX7" s="149">
        <f>Index!DW7</f>
        <v>5</v>
      </c>
      <c r="DY7" s="149">
        <f>Index!DX7</f>
        <v>6</v>
      </c>
      <c r="DZ7" s="149">
        <f>Index!DY7</f>
        <v>7</v>
      </c>
      <c r="EA7" s="149">
        <f>Index!DZ7</f>
        <v>8</v>
      </c>
      <c r="EB7" s="149">
        <f>Index!EA7</f>
        <v>9</v>
      </c>
      <c r="EC7" s="149">
        <f>Index!EB7</f>
        <v>10</v>
      </c>
      <c r="ED7" s="149">
        <f>Index!EC7</f>
        <v>11</v>
      </c>
      <c r="EE7" s="149">
        <f>Index!ED7</f>
        <v>12</v>
      </c>
      <c r="EF7" s="149">
        <f>Index!EE7</f>
        <v>1</v>
      </c>
      <c r="EG7" s="149">
        <f>Index!EF7</f>
        <v>2</v>
      </c>
      <c r="EH7" s="149">
        <f>Index!EG7</f>
        <v>3</v>
      </c>
      <c r="EI7" s="149">
        <f>Index!EH7</f>
        <v>4</v>
      </c>
      <c r="EJ7" s="149">
        <f>Index!EI7</f>
        <v>5</v>
      </c>
      <c r="EK7" s="149">
        <f>Index!EJ7</f>
        <v>6</v>
      </c>
      <c r="EL7" s="149">
        <f>Index!EK7</f>
        <v>7</v>
      </c>
      <c r="EM7" s="149">
        <f>Index!EL7</f>
        <v>8</v>
      </c>
      <c r="EN7" s="149">
        <f>Index!EM7</f>
        <v>9</v>
      </c>
      <c r="EO7" s="149">
        <f>Index!EN7</f>
        <v>10</v>
      </c>
      <c r="EP7" s="149">
        <f>Index!EO7</f>
        <v>11</v>
      </c>
      <c r="EQ7" s="149">
        <f>Index!EP7</f>
        <v>12</v>
      </c>
      <c r="ER7" s="149">
        <f>Index!EQ7</f>
        <v>1</v>
      </c>
      <c r="ES7" s="146"/>
      <c r="ET7" s="146"/>
      <c r="EU7" s="146"/>
      <c r="EV7" s="146"/>
    </row>
    <row r="8" spans="1:152">
      <c r="C8" s="189" t="s">
        <v>166</v>
      </c>
      <c r="D8" s="148"/>
      <c r="E8" s="148"/>
      <c r="F8" s="148"/>
      <c r="G8" s="148"/>
      <c r="H8" s="148"/>
      <c r="I8" s="148"/>
      <c r="J8" s="190"/>
      <c r="K8" s="148"/>
      <c r="M8" s="150">
        <f>Index!L8</f>
        <v>0</v>
      </c>
      <c r="N8" s="150">
        <f>Index!M8</f>
        <v>1</v>
      </c>
      <c r="O8" s="150">
        <f>Index!N8</f>
        <v>2</v>
      </c>
      <c r="P8" s="150">
        <f>Index!O8</f>
        <v>3</v>
      </c>
      <c r="Q8" s="150">
        <f>Index!P8</f>
        <v>4</v>
      </c>
      <c r="R8" s="150">
        <f>Index!Q8</f>
        <v>5</v>
      </c>
      <c r="S8" s="150">
        <f>Index!R8</f>
        <v>6</v>
      </c>
      <c r="T8" s="150">
        <f>Index!S8</f>
        <v>7</v>
      </c>
      <c r="U8" s="150">
        <f>Index!T8</f>
        <v>8</v>
      </c>
      <c r="V8" s="150">
        <f>Index!U8</f>
        <v>9</v>
      </c>
      <c r="W8" s="150">
        <f>Index!V8</f>
        <v>10</v>
      </c>
      <c r="X8" s="150">
        <f>Index!W8</f>
        <v>11</v>
      </c>
      <c r="Y8" s="150">
        <f>Index!X8</f>
        <v>12</v>
      </c>
      <c r="Z8" s="150">
        <f>Index!Y8</f>
        <v>13</v>
      </c>
      <c r="AA8" s="150">
        <f>Index!Z8</f>
        <v>14</v>
      </c>
      <c r="AB8" s="150">
        <f>Index!AA8</f>
        <v>15</v>
      </c>
      <c r="AC8" s="150">
        <f>Index!AB8</f>
        <v>16</v>
      </c>
      <c r="AD8" s="150">
        <f>Index!AC8</f>
        <v>17</v>
      </c>
      <c r="AE8" s="150">
        <f>Index!AD8</f>
        <v>18</v>
      </c>
      <c r="AF8" s="150">
        <f>Index!AE8</f>
        <v>19</v>
      </c>
      <c r="AG8" s="150">
        <f>Index!AF8</f>
        <v>20</v>
      </c>
      <c r="AH8" s="150">
        <f>Index!AG8</f>
        <v>21</v>
      </c>
      <c r="AI8" s="150">
        <f>Index!AH8</f>
        <v>22</v>
      </c>
      <c r="AJ8" s="150">
        <f>Index!AI8</f>
        <v>23</v>
      </c>
      <c r="AK8" s="150">
        <f>Index!AJ8</f>
        <v>24</v>
      </c>
      <c r="AL8" s="150">
        <f>Index!AK8</f>
        <v>25</v>
      </c>
      <c r="AM8" s="150">
        <f>Index!AL8</f>
        <v>26</v>
      </c>
      <c r="AN8" s="150">
        <f>Index!AM8</f>
        <v>27</v>
      </c>
      <c r="AO8" s="150">
        <f>Index!AN8</f>
        <v>28</v>
      </c>
      <c r="AP8" s="150">
        <f>Index!AO8</f>
        <v>29</v>
      </c>
      <c r="AQ8" s="150">
        <f>Index!AP8</f>
        <v>30</v>
      </c>
      <c r="AR8" s="150">
        <f>Index!AQ8</f>
        <v>31</v>
      </c>
      <c r="AS8" s="150">
        <f>Index!AR8</f>
        <v>32</v>
      </c>
      <c r="AT8" s="150">
        <f>Index!AS8</f>
        <v>33</v>
      </c>
      <c r="AU8" s="150">
        <f>Index!AT8</f>
        <v>34</v>
      </c>
      <c r="AV8" s="150">
        <f>Index!AU8</f>
        <v>35</v>
      </c>
      <c r="AW8" s="150">
        <f>Index!AV8</f>
        <v>36</v>
      </c>
      <c r="AX8" s="150">
        <f>Index!AW8</f>
        <v>37</v>
      </c>
      <c r="AY8" s="150">
        <f>Index!AX8</f>
        <v>38</v>
      </c>
      <c r="AZ8" s="150">
        <f>Index!AY8</f>
        <v>39</v>
      </c>
      <c r="BA8" s="150">
        <f>Index!AZ8</f>
        <v>40</v>
      </c>
      <c r="BB8" s="150">
        <f>Index!BA8</f>
        <v>41</v>
      </c>
      <c r="BC8" s="150">
        <f>Index!BB8</f>
        <v>42</v>
      </c>
      <c r="BD8" s="150">
        <f>Index!BC8</f>
        <v>43</v>
      </c>
      <c r="BE8" s="150">
        <f>Index!BD8</f>
        <v>44</v>
      </c>
      <c r="BF8" s="150">
        <f>Index!BE8</f>
        <v>45</v>
      </c>
      <c r="BG8" s="150">
        <f>Index!BF8</f>
        <v>46</v>
      </c>
      <c r="BH8" s="150">
        <f>Index!BG8</f>
        <v>47</v>
      </c>
      <c r="BI8" s="150">
        <f>Index!BH8</f>
        <v>48</v>
      </c>
      <c r="BJ8" s="150">
        <f>Index!BI8</f>
        <v>49</v>
      </c>
      <c r="BK8" s="150">
        <f>Index!BJ8</f>
        <v>50</v>
      </c>
      <c r="BL8" s="150">
        <f>Index!BK8</f>
        <v>51</v>
      </c>
      <c r="BM8" s="150">
        <f>Index!BL8</f>
        <v>52</v>
      </c>
      <c r="BN8" s="150">
        <f>Index!BM8</f>
        <v>53</v>
      </c>
      <c r="BO8" s="150">
        <f>Index!BN8</f>
        <v>54</v>
      </c>
      <c r="BP8" s="150">
        <f>Index!BO8</f>
        <v>55</v>
      </c>
      <c r="BQ8" s="150">
        <f>Index!BP8</f>
        <v>56</v>
      </c>
      <c r="BR8" s="150">
        <f>Index!BQ8</f>
        <v>57</v>
      </c>
      <c r="BS8" s="150">
        <f>Index!BR8</f>
        <v>58</v>
      </c>
      <c r="BT8" s="150">
        <f>Index!BS8</f>
        <v>59</v>
      </c>
      <c r="BU8" s="150">
        <f>Index!BT8</f>
        <v>60</v>
      </c>
      <c r="BV8" s="150">
        <f>Index!BU8</f>
        <v>61</v>
      </c>
      <c r="BW8" s="150">
        <f>Index!BV8</f>
        <v>62</v>
      </c>
      <c r="BX8" s="150">
        <f>Index!BW8</f>
        <v>63</v>
      </c>
      <c r="BY8" s="150">
        <f>Index!BX8</f>
        <v>64</v>
      </c>
      <c r="BZ8" s="150">
        <f>Index!BY8</f>
        <v>65</v>
      </c>
      <c r="CA8" s="150">
        <f>Index!BZ8</f>
        <v>66</v>
      </c>
      <c r="CB8" s="150">
        <f>Index!CA8</f>
        <v>67</v>
      </c>
      <c r="CC8" s="150">
        <f>Index!CB8</f>
        <v>68</v>
      </c>
      <c r="CD8" s="150">
        <f>Index!CC8</f>
        <v>69</v>
      </c>
      <c r="CE8" s="150">
        <f>Index!CD8</f>
        <v>70</v>
      </c>
      <c r="CF8" s="150">
        <f>Index!CE8</f>
        <v>71</v>
      </c>
      <c r="CG8" s="150">
        <f>Index!CF8</f>
        <v>72</v>
      </c>
      <c r="CH8" s="150">
        <f>Index!CG8</f>
        <v>73</v>
      </c>
      <c r="CI8" s="150">
        <f>Index!CH8</f>
        <v>74</v>
      </c>
      <c r="CJ8" s="150">
        <f>Index!CI8</f>
        <v>75</v>
      </c>
      <c r="CK8" s="150">
        <f>Index!CJ8</f>
        <v>76</v>
      </c>
      <c r="CL8" s="150">
        <f>Index!CK8</f>
        <v>77</v>
      </c>
      <c r="CM8" s="150">
        <f>Index!CL8</f>
        <v>78</v>
      </c>
      <c r="CN8" s="150">
        <f>Index!CM8</f>
        <v>79</v>
      </c>
      <c r="CO8" s="150">
        <f>Index!CN8</f>
        <v>80</v>
      </c>
      <c r="CP8" s="150">
        <f>Index!CO8</f>
        <v>81</v>
      </c>
      <c r="CQ8" s="150">
        <f>Index!CP8</f>
        <v>82</v>
      </c>
      <c r="CR8" s="150">
        <f>Index!CQ8</f>
        <v>83</v>
      </c>
      <c r="CS8" s="150">
        <f>Index!CR8</f>
        <v>84</v>
      </c>
      <c r="CT8" s="150">
        <f>Index!CS8</f>
        <v>85</v>
      </c>
      <c r="CU8" s="150">
        <f>Index!CT8</f>
        <v>86</v>
      </c>
      <c r="CV8" s="150">
        <f>Index!CU8</f>
        <v>87</v>
      </c>
      <c r="CW8" s="150">
        <f>Index!CV8</f>
        <v>88</v>
      </c>
      <c r="CX8" s="150">
        <f>Index!CW8</f>
        <v>89</v>
      </c>
      <c r="CY8" s="150">
        <f>Index!CX8</f>
        <v>90</v>
      </c>
      <c r="CZ8" s="150">
        <f>Index!CY8</f>
        <v>91</v>
      </c>
      <c r="DA8" s="150">
        <f>Index!CZ8</f>
        <v>92</v>
      </c>
      <c r="DB8" s="150">
        <f>Index!DA8</f>
        <v>93</v>
      </c>
      <c r="DC8" s="150">
        <f>Index!DB8</f>
        <v>94</v>
      </c>
      <c r="DD8" s="150">
        <f>Index!DC8</f>
        <v>95</v>
      </c>
      <c r="DE8" s="150">
        <f>Index!DD8</f>
        <v>96</v>
      </c>
      <c r="DF8" s="150">
        <f>Index!DE8</f>
        <v>97</v>
      </c>
      <c r="DG8" s="150">
        <f>Index!DF8</f>
        <v>98</v>
      </c>
      <c r="DH8" s="150">
        <f>Index!DG8</f>
        <v>99</v>
      </c>
      <c r="DI8" s="150">
        <f>Index!DH8</f>
        <v>100</v>
      </c>
      <c r="DJ8" s="150">
        <f>Index!DI8</f>
        <v>101</v>
      </c>
      <c r="DK8" s="150">
        <f>Index!DJ8</f>
        <v>102</v>
      </c>
      <c r="DL8" s="150">
        <f>Index!DK8</f>
        <v>103</v>
      </c>
      <c r="DM8" s="150">
        <f>Index!DL8</f>
        <v>104</v>
      </c>
      <c r="DN8" s="150">
        <f>Index!DM8</f>
        <v>105</v>
      </c>
      <c r="DO8" s="150">
        <f>Index!DN8</f>
        <v>106</v>
      </c>
      <c r="DP8" s="150">
        <f>Index!DO8</f>
        <v>107</v>
      </c>
      <c r="DQ8" s="150">
        <f>Index!DP8</f>
        <v>108</v>
      </c>
      <c r="DR8" s="150">
        <f>Index!DQ8</f>
        <v>109</v>
      </c>
      <c r="DS8" s="150">
        <f>Index!DR8</f>
        <v>110</v>
      </c>
      <c r="DT8" s="150">
        <f>Index!DS8</f>
        <v>111</v>
      </c>
      <c r="DU8" s="150">
        <f>Index!DT8</f>
        <v>112</v>
      </c>
      <c r="DV8" s="150">
        <f>Index!DU8</f>
        <v>113</v>
      </c>
      <c r="DW8" s="150">
        <f>Index!DV8</f>
        <v>114</v>
      </c>
      <c r="DX8" s="150">
        <f>Index!DW8</f>
        <v>115</v>
      </c>
      <c r="DY8" s="150">
        <f>Index!DX8</f>
        <v>116</v>
      </c>
      <c r="DZ8" s="150">
        <f>Index!DY8</f>
        <v>117</v>
      </c>
      <c r="EA8" s="150">
        <f>Index!DZ8</f>
        <v>118</v>
      </c>
      <c r="EB8" s="150">
        <f>Index!EA8</f>
        <v>119</v>
      </c>
      <c r="EC8" s="150">
        <f>Index!EB8</f>
        <v>120</v>
      </c>
      <c r="ED8" s="150">
        <f>Index!EC8</f>
        <v>121</v>
      </c>
      <c r="EE8" s="150">
        <f>Index!ED8</f>
        <v>122</v>
      </c>
      <c r="EF8" s="150">
        <f>Index!EE8</f>
        <v>123</v>
      </c>
      <c r="EG8" s="150">
        <f>Index!EF8</f>
        <v>124</v>
      </c>
      <c r="EH8" s="150">
        <f>Index!EG8</f>
        <v>125</v>
      </c>
      <c r="EI8" s="150">
        <f>Index!EH8</f>
        <v>126</v>
      </c>
      <c r="EJ8" s="150">
        <f>Index!EI8</f>
        <v>127</v>
      </c>
      <c r="EK8" s="150">
        <f>Index!EJ8</f>
        <v>128</v>
      </c>
      <c r="EL8" s="150">
        <f>Index!EK8</f>
        <v>129</v>
      </c>
      <c r="EM8" s="150">
        <f>Index!EL8</f>
        <v>130</v>
      </c>
      <c r="EN8" s="150">
        <f>Index!EM8</f>
        <v>131</v>
      </c>
      <c r="EO8" s="150">
        <f>Index!EN8</f>
        <v>132</v>
      </c>
      <c r="EP8" s="150">
        <f>Index!EO8</f>
        <v>133</v>
      </c>
      <c r="EQ8" s="150">
        <f>Index!EP8</f>
        <v>134</v>
      </c>
      <c r="ER8" s="150">
        <f>Index!EQ8</f>
        <v>135</v>
      </c>
    </row>
    <row r="9" spans="1:152">
      <c r="C9" s="189" t="s">
        <v>167</v>
      </c>
      <c r="D9" s="148"/>
      <c r="E9" s="148"/>
      <c r="F9" s="148"/>
      <c r="G9" s="148"/>
      <c r="H9" s="148"/>
      <c r="I9" s="148"/>
      <c r="J9" s="190"/>
      <c r="K9" s="148"/>
      <c r="M9" s="151">
        <f>Index!L9</f>
        <v>0</v>
      </c>
      <c r="N9" s="151">
        <f>Index!M9</f>
        <v>1</v>
      </c>
      <c r="O9" s="151">
        <f>Index!N9</f>
        <v>1</v>
      </c>
      <c r="P9" s="151">
        <f>Index!O9</f>
        <v>1</v>
      </c>
      <c r="Q9" s="151">
        <f>Index!P9</f>
        <v>2</v>
      </c>
      <c r="R9" s="151">
        <f>Index!Q9</f>
        <v>2</v>
      </c>
      <c r="S9" s="151">
        <f>Index!R9</f>
        <v>2</v>
      </c>
      <c r="T9" s="151">
        <f>Index!S9</f>
        <v>3</v>
      </c>
      <c r="U9" s="151">
        <f>Index!T9</f>
        <v>3</v>
      </c>
      <c r="V9" s="151">
        <f>Index!U9</f>
        <v>3</v>
      </c>
      <c r="W9" s="151">
        <f>Index!V9</f>
        <v>4</v>
      </c>
      <c r="X9" s="151">
        <f>Index!W9</f>
        <v>4</v>
      </c>
      <c r="Y9" s="151">
        <f>Index!X9</f>
        <v>4</v>
      </c>
      <c r="Z9" s="151">
        <f>Index!Y9</f>
        <v>5</v>
      </c>
      <c r="AA9" s="151">
        <f>Index!Z9</f>
        <v>5</v>
      </c>
      <c r="AB9" s="151">
        <f>Index!AA9</f>
        <v>5</v>
      </c>
      <c r="AC9" s="151">
        <f>Index!AB9</f>
        <v>6</v>
      </c>
      <c r="AD9" s="151">
        <f>Index!AC9</f>
        <v>6</v>
      </c>
      <c r="AE9" s="151">
        <f>Index!AD9</f>
        <v>6</v>
      </c>
      <c r="AF9" s="151">
        <f>Index!AE9</f>
        <v>7</v>
      </c>
      <c r="AG9" s="151">
        <f>Index!AF9</f>
        <v>7</v>
      </c>
      <c r="AH9" s="151">
        <f>Index!AG9</f>
        <v>7</v>
      </c>
      <c r="AI9" s="151">
        <f>Index!AH9</f>
        <v>8</v>
      </c>
      <c r="AJ9" s="151">
        <f>Index!AI9</f>
        <v>8</v>
      </c>
      <c r="AK9" s="151">
        <f>Index!AJ9</f>
        <v>8</v>
      </c>
      <c r="AL9" s="151">
        <f>Index!AK9</f>
        <v>9</v>
      </c>
      <c r="AM9" s="151">
        <f>Index!AL9</f>
        <v>9</v>
      </c>
      <c r="AN9" s="151">
        <f>Index!AM9</f>
        <v>9</v>
      </c>
      <c r="AO9" s="151">
        <f>Index!AN9</f>
        <v>10</v>
      </c>
      <c r="AP9" s="151">
        <f>Index!AO9</f>
        <v>10</v>
      </c>
      <c r="AQ9" s="151">
        <f>Index!AP9</f>
        <v>10</v>
      </c>
      <c r="AR9" s="151">
        <f>Index!AQ9</f>
        <v>11</v>
      </c>
      <c r="AS9" s="151">
        <f>Index!AR9</f>
        <v>11</v>
      </c>
      <c r="AT9" s="151">
        <f>Index!AS9</f>
        <v>11</v>
      </c>
      <c r="AU9" s="151">
        <f>Index!AT9</f>
        <v>12</v>
      </c>
      <c r="AV9" s="151">
        <f>Index!AU9</f>
        <v>12</v>
      </c>
      <c r="AW9" s="151">
        <f>Index!AV9</f>
        <v>12</v>
      </c>
      <c r="AX9" s="151">
        <f>Index!AW9</f>
        <v>13</v>
      </c>
      <c r="AY9" s="151">
        <f>Index!AX9</f>
        <v>13</v>
      </c>
      <c r="AZ9" s="151">
        <f>Index!AY9</f>
        <v>13</v>
      </c>
      <c r="BA9" s="151">
        <f>Index!AZ9</f>
        <v>14</v>
      </c>
      <c r="BB9" s="151">
        <f>Index!BA9</f>
        <v>14</v>
      </c>
      <c r="BC9" s="151">
        <f>Index!BB9</f>
        <v>14</v>
      </c>
      <c r="BD9" s="151">
        <f>Index!BC9</f>
        <v>15</v>
      </c>
      <c r="BE9" s="151">
        <f>Index!BD9</f>
        <v>15</v>
      </c>
      <c r="BF9" s="151">
        <f>Index!BE9</f>
        <v>15</v>
      </c>
      <c r="BG9" s="151">
        <f>Index!BF9</f>
        <v>16</v>
      </c>
      <c r="BH9" s="151">
        <f>Index!BG9</f>
        <v>16</v>
      </c>
      <c r="BI9" s="151">
        <f>Index!BH9</f>
        <v>16</v>
      </c>
      <c r="BJ9" s="151">
        <f>Index!BI9</f>
        <v>17</v>
      </c>
      <c r="BK9" s="151">
        <f>Index!BJ9</f>
        <v>17</v>
      </c>
      <c r="BL9" s="151">
        <f>Index!BK9</f>
        <v>17</v>
      </c>
      <c r="BM9" s="151">
        <f>Index!BL9</f>
        <v>18</v>
      </c>
      <c r="BN9" s="151">
        <f>Index!BM9</f>
        <v>18</v>
      </c>
      <c r="BO9" s="151">
        <f>Index!BN9</f>
        <v>18</v>
      </c>
      <c r="BP9" s="151">
        <f>Index!BO9</f>
        <v>19</v>
      </c>
      <c r="BQ9" s="151">
        <f>Index!BP9</f>
        <v>19</v>
      </c>
      <c r="BR9" s="151">
        <f>Index!BQ9</f>
        <v>19</v>
      </c>
      <c r="BS9" s="151">
        <f>Index!BR9</f>
        <v>20</v>
      </c>
      <c r="BT9" s="151">
        <f>Index!BS9</f>
        <v>20</v>
      </c>
      <c r="BU9" s="151">
        <f>Index!BT9</f>
        <v>20</v>
      </c>
      <c r="BV9" s="151">
        <f>Index!BU9</f>
        <v>21</v>
      </c>
      <c r="BW9" s="151">
        <f>Index!BV9</f>
        <v>21</v>
      </c>
      <c r="BX9" s="151">
        <f>Index!BW9</f>
        <v>21</v>
      </c>
      <c r="BY9" s="151">
        <f>Index!BX9</f>
        <v>22</v>
      </c>
      <c r="BZ9" s="151">
        <f>Index!BY9</f>
        <v>22</v>
      </c>
      <c r="CA9" s="151">
        <f>Index!BZ9</f>
        <v>22</v>
      </c>
      <c r="CB9" s="151">
        <f>Index!CA9</f>
        <v>23</v>
      </c>
      <c r="CC9" s="151">
        <f>Index!CB9</f>
        <v>23</v>
      </c>
      <c r="CD9" s="151">
        <f>Index!CC9</f>
        <v>23</v>
      </c>
      <c r="CE9" s="151">
        <f>Index!CD9</f>
        <v>24</v>
      </c>
      <c r="CF9" s="151">
        <f>Index!CE9</f>
        <v>24</v>
      </c>
      <c r="CG9" s="151">
        <f>Index!CF9</f>
        <v>24</v>
      </c>
      <c r="CH9" s="151">
        <f>Index!CG9</f>
        <v>25</v>
      </c>
      <c r="CI9" s="151">
        <f>Index!CH9</f>
        <v>25</v>
      </c>
      <c r="CJ9" s="151">
        <f>Index!CI9</f>
        <v>25</v>
      </c>
      <c r="CK9" s="151">
        <f>Index!CJ9</f>
        <v>26</v>
      </c>
      <c r="CL9" s="151">
        <f>Index!CK9</f>
        <v>26</v>
      </c>
      <c r="CM9" s="151">
        <f>Index!CL9</f>
        <v>26</v>
      </c>
      <c r="CN9" s="151">
        <f>Index!CM9</f>
        <v>27</v>
      </c>
      <c r="CO9" s="151">
        <f>Index!CN9</f>
        <v>27</v>
      </c>
      <c r="CP9" s="151">
        <f>Index!CO9</f>
        <v>27</v>
      </c>
      <c r="CQ9" s="151">
        <f>Index!CP9</f>
        <v>28</v>
      </c>
      <c r="CR9" s="151">
        <f>Index!CQ9</f>
        <v>28</v>
      </c>
      <c r="CS9" s="151">
        <f>Index!CR9</f>
        <v>28</v>
      </c>
      <c r="CT9" s="151">
        <f>Index!CS9</f>
        <v>29</v>
      </c>
      <c r="CU9" s="151">
        <f>Index!CT9</f>
        <v>29</v>
      </c>
      <c r="CV9" s="151">
        <f>Index!CU9</f>
        <v>29</v>
      </c>
      <c r="CW9" s="151">
        <f>Index!CV9</f>
        <v>30</v>
      </c>
      <c r="CX9" s="151">
        <f>Index!CW9</f>
        <v>30</v>
      </c>
      <c r="CY9" s="151">
        <f>Index!CX9</f>
        <v>30</v>
      </c>
      <c r="CZ9" s="151">
        <f>Index!CY9</f>
        <v>31</v>
      </c>
      <c r="DA9" s="151">
        <f>Index!CZ9</f>
        <v>31</v>
      </c>
      <c r="DB9" s="151">
        <f>Index!DA9</f>
        <v>31</v>
      </c>
      <c r="DC9" s="151">
        <f>Index!DB9</f>
        <v>32</v>
      </c>
      <c r="DD9" s="151">
        <f>Index!DC9</f>
        <v>32</v>
      </c>
      <c r="DE9" s="151">
        <f>Index!DD9</f>
        <v>32</v>
      </c>
      <c r="DF9" s="151">
        <f>Index!DE9</f>
        <v>33</v>
      </c>
      <c r="DG9" s="151">
        <f>Index!DF9</f>
        <v>33</v>
      </c>
      <c r="DH9" s="151">
        <f>Index!DG9</f>
        <v>33</v>
      </c>
      <c r="DI9" s="151">
        <f>Index!DH9</f>
        <v>34</v>
      </c>
      <c r="DJ9" s="151">
        <f>Index!DI9</f>
        <v>34</v>
      </c>
      <c r="DK9" s="151">
        <f>Index!DJ9</f>
        <v>34</v>
      </c>
      <c r="DL9" s="151">
        <f>Index!DK9</f>
        <v>35</v>
      </c>
      <c r="DM9" s="151">
        <f>Index!DL9</f>
        <v>35</v>
      </c>
      <c r="DN9" s="151">
        <f>Index!DM9</f>
        <v>35</v>
      </c>
      <c r="DO9" s="151">
        <f>Index!DN9</f>
        <v>36</v>
      </c>
      <c r="DP9" s="151">
        <f>Index!DO9</f>
        <v>36</v>
      </c>
      <c r="DQ9" s="151">
        <f>Index!DP9</f>
        <v>36</v>
      </c>
      <c r="DR9" s="151">
        <f>Index!DQ9</f>
        <v>37</v>
      </c>
      <c r="DS9" s="151">
        <f>Index!DR9</f>
        <v>37</v>
      </c>
      <c r="DT9" s="151">
        <f>Index!DS9</f>
        <v>37</v>
      </c>
      <c r="DU9" s="151">
        <f>Index!DT9</f>
        <v>38</v>
      </c>
      <c r="DV9" s="151">
        <f>Index!DU9</f>
        <v>38</v>
      </c>
      <c r="DW9" s="151">
        <f>Index!DV9</f>
        <v>38</v>
      </c>
      <c r="DX9" s="151">
        <f>Index!DW9</f>
        <v>39</v>
      </c>
      <c r="DY9" s="151">
        <f>Index!DX9</f>
        <v>39</v>
      </c>
      <c r="DZ9" s="151">
        <f>Index!DY9</f>
        <v>39</v>
      </c>
      <c r="EA9" s="151">
        <f>Index!DZ9</f>
        <v>40</v>
      </c>
      <c r="EB9" s="151">
        <f>Index!EA9</f>
        <v>40</v>
      </c>
      <c r="EC9" s="151">
        <f>Index!EB9</f>
        <v>40</v>
      </c>
      <c r="ED9" s="151">
        <f>Index!EC9</f>
        <v>41</v>
      </c>
      <c r="EE9" s="151">
        <f>Index!ED9</f>
        <v>41</v>
      </c>
      <c r="EF9" s="151">
        <f>Index!EE9</f>
        <v>41</v>
      </c>
      <c r="EG9" s="151">
        <f>Index!EF9</f>
        <v>42</v>
      </c>
      <c r="EH9" s="151">
        <f>Index!EG9</f>
        <v>42</v>
      </c>
      <c r="EI9" s="151">
        <f>Index!EH9</f>
        <v>42</v>
      </c>
      <c r="EJ9" s="151">
        <f>Index!EI9</f>
        <v>43</v>
      </c>
      <c r="EK9" s="151">
        <f>Index!EJ9</f>
        <v>43</v>
      </c>
      <c r="EL9" s="151">
        <f>Index!EK9</f>
        <v>43</v>
      </c>
      <c r="EM9" s="151">
        <f>Index!EL9</f>
        <v>44</v>
      </c>
      <c r="EN9" s="151">
        <f>Index!EM9</f>
        <v>44</v>
      </c>
      <c r="EO9" s="151">
        <f>Index!EN9</f>
        <v>44</v>
      </c>
      <c r="EP9" s="151">
        <f>Index!EO9</f>
        <v>45</v>
      </c>
      <c r="EQ9" s="151">
        <f>Index!EP9</f>
        <v>45</v>
      </c>
      <c r="ER9" s="151">
        <f>Index!EQ9</f>
        <v>45</v>
      </c>
    </row>
    <row r="10" spans="1:152">
      <c r="C10" s="189" t="s">
        <v>168</v>
      </c>
      <c r="D10" s="148"/>
      <c r="E10" s="148"/>
      <c r="F10" s="148"/>
      <c r="G10" s="148"/>
      <c r="H10" s="148"/>
      <c r="I10" s="148"/>
      <c r="J10" s="190"/>
      <c r="K10" s="148"/>
      <c r="M10" s="152">
        <f>Index!L10</f>
        <v>0</v>
      </c>
      <c r="N10" s="152">
        <f>Index!M10</f>
        <v>1</v>
      </c>
      <c r="O10" s="152">
        <f>Index!N10</f>
        <v>1</v>
      </c>
      <c r="P10" s="152">
        <f>Index!O10</f>
        <v>1</v>
      </c>
      <c r="Q10" s="152">
        <f>Index!P10</f>
        <v>1</v>
      </c>
      <c r="R10" s="152">
        <f>Index!Q10</f>
        <v>1</v>
      </c>
      <c r="S10" s="152">
        <f>Index!R10</f>
        <v>1</v>
      </c>
      <c r="T10" s="152">
        <f>Index!S10</f>
        <v>2</v>
      </c>
      <c r="U10" s="152">
        <f>Index!T10</f>
        <v>2</v>
      </c>
      <c r="V10" s="152">
        <f>Index!U10</f>
        <v>2</v>
      </c>
      <c r="W10" s="152">
        <f>Index!V10</f>
        <v>2</v>
      </c>
      <c r="X10" s="152">
        <f>Index!W10</f>
        <v>2</v>
      </c>
      <c r="Y10" s="152">
        <f>Index!X10</f>
        <v>2</v>
      </c>
      <c r="Z10" s="152">
        <f>Index!Y10</f>
        <v>3</v>
      </c>
      <c r="AA10" s="152">
        <f>Index!Z10</f>
        <v>3</v>
      </c>
      <c r="AB10" s="152">
        <f>Index!AA10</f>
        <v>3</v>
      </c>
      <c r="AC10" s="152">
        <f>Index!AB10</f>
        <v>3</v>
      </c>
      <c r="AD10" s="152">
        <f>Index!AC10</f>
        <v>3</v>
      </c>
      <c r="AE10" s="152">
        <f>Index!AD10</f>
        <v>3</v>
      </c>
      <c r="AF10" s="152">
        <f>Index!AE10</f>
        <v>4</v>
      </c>
      <c r="AG10" s="152">
        <f>Index!AF10</f>
        <v>4</v>
      </c>
      <c r="AH10" s="152">
        <f>Index!AG10</f>
        <v>4</v>
      </c>
      <c r="AI10" s="152">
        <f>Index!AH10</f>
        <v>4</v>
      </c>
      <c r="AJ10" s="152">
        <f>Index!AI10</f>
        <v>4</v>
      </c>
      <c r="AK10" s="152">
        <f>Index!AJ10</f>
        <v>4</v>
      </c>
      <c r="AL10" s="152">
        <f>Index!AK10</f>
        <v>5</v>
      </c>
      <c r="AM10" s="152">
        <f>Index!AL10</f>
        <v>5</v>
      </c>
      <c r="AN10" s="152">
        <f>Index!AM10</f>
        <v>5</v>
      </c>
      <c r="AO10" s="152">
        <f>Index!AN10</f>
        <v>5</v>
      </c>
      <c r="AP10" s="152">
        <f>Index!AO10</f>
        <v>5</v>
      </c>
      <c r="AQ10" s="152">
        <f>Index!AP10</f>
        <v>5</v>
      </c>
      <c r="AR10" s="152">
        <f>Index!AQ10</f>
        <v>6</v>
      </c>
      <c r="AS10" s="152">
        <f>Index!AR10</f>
        <v>6</v>
      </c>
      <c r="AT10" s="152">
        <f>Index!AS10</f>
        <v>6</v>
      </c>
      <c r="AU10" s="152">
        <f>Index!AT10</f>
        <v>6</v>
      </c>
      <c r="AV10" s="152">
        <f>Index!AU10</f>
        <v>6</v>
      </c>
      <c r="AW10" s="152">
        <f>Index!AV10</f>
        <v>6</v>
      </c>
      <c r="AX10" s="152">
        <f>Index!AW10</f>
        <v>7</v>
      </c>
      <c r="AY10" s="152">
        <f>Index!AX10</f>
        <v>7</v>
      </c>
      <c r="AZ10" s="152">
        <f>Index!AY10</f>
        <v>7</v>
      </c>
      <c r="BA10" s="152">
        <f>Index!AZ10</f>
        <v>7</v>
      </c>
      <c r="BB10" s="152">
        <f>Index!BA10</f>
        <v>7</v>
      </c>
      <c r="BC10" s="152">
        <f>Index!BB10</f>
        <v>7</v>
      </c>
      <c r="BD10" s="152">
        <f>Index!BC10</f>
        <v>8</v>
      </c>
      <c r="BE10" s="152">
        <f>Index!BD10</f>
        <v>8</v>
      </c>
      <c r="BF10" s="152">
        <f>Index!BE10</f>
        <v>8</v>
      </c>
      <c r="BG10" s="152">
        <f>Index!BF10</f>
        <v>8</v>
      </c>
      <c r="BH10" s="152">
        <f>Index!BG10</f>
        <v>8</v>
      </c>
      <c r="BI10" s="152">
        <f>Index!BH10</f>
        <v>8</v>
      </c>
      <c r="BJ10" s="152">
        <f>Index!BI10</f>
        <v>9</v>
      </c>
      <c r="BK10" s="152">
        <f>Index!BJ10</f>
        <v>9</v>
      </c>
      <c r="BL10" s="152">
        <f>Index!BK10</f>
        <v>9</v>
      </c>
      <c r="BM10" s="152">
        <f>Index!BL10</f>
        <v>9</v>
      </c>
      <c r="BN10" s="152">
        <f>Index!BM10</f>
        <v>9</v>
      </c>
      <c r="BO10" s="152">
        <f>Index!BN10</f>
        <v>9</v>
      </c>
      <c r="BP10" s="152">
        <f>Index!BO10</f>
        <v>10</v>
      </c>
      <c r="BQ10" s="152">
        <f>Index!BP10</f>
        <v>10</v>
      </c>
      <c r="BR10" s="152">
        <f>Index!BQ10</f>
        <v>10</v>
      </c>
      <c r="BS10" s="152">
        <f>Index!BR10</f>
        <v>10</v>
      </c>
      <c r="BT10" s="152">
        <f>Index!BS10</f>
        <v>10</v>
      </c>
      <c r="BU10" s="152">
        <f>Index!BT10</f>
        <v>10</v>
      </c>
      <c r="BV10" s="152">
        <f>Index!BU10</f>
        <v>11</v>
      </c>
      <c r="BW10" s="152">
        <f>Index!BV10</f>
        <v>11</v>
      </c>
      <c r="BX10" s="152">
        <f>Index!BW10</f>
        <v>11</v>
      </c>
      <c r="BY10" s="152">
        <f>Index!BX10</f>
        <v>11</v>
      </c>
      <c r="BZ10" s="152">
        <f>Index!BY10</f>
        <v>11</v>
      </c>
      <c r="CA10" s="152">
        <f>Index!BZ10</f>
        <v>11</v>
      </c>
      <c r="CB10" s="152">
        <f>Index!CA10</f>
        <v>12</v>
      </c>
      <c r="CC10" s="152">
        <f>Index!CB10</f>
        <v>12</v>
      </c>
      <c r="CD10" s="152">
        <f>Index!CC10</f>
        <v>12</v>
      </c>
      <c r="CE10" s="152">
        <f>Index!CD10</f>
        <v>12</v>
      </c>
      <c r="CF10" s="152">
        <f>Index!CE10</f>
        <v>12</v>
      </c>
      <c r="CG10" s="152">
        <f>Index!CF10</f>
        <v>12</v>
      </c>
      <c r="CH10" s="152">
        <f>Index!CG10</f>
        <v>13</v>
      </c>
      <c r="CI10" s="152">
        <f>Index!CH10</f>
        <v>13</v>
      </c>
      <c r="CJ10" s="152">
        <f>Index!CI10</f>
        <v>13</v>
      </c>
      <c r="CK10" s="152">
        <f>Index!CJ10</f>
        <v>13</v>
      </c>
      <c r="CL10" s="152">
        <f>Index!CK10</f>
        <v>13</v>
      </c>
      <c r="CM10" s="152">
        <f>Index!CL10</f>
        <v>13</v>
      </c>
      <c r="CN10" s="152">
        <f>Index!CM10</f>
        <v>14</v>
      </c>
      <c r="CO10" s="152">
        <f>Index!CN10</f>
        <v>14</v>
      </c>
      <c r="CP10" s="152">
        <f>Index!CO10</f>
        <v>14</v>
      </c>
      <c r="CQ10" s="152">
        <f>Index!CP10</f>
        <v>14</v>
      </c>
      <c r="CR10" s="152">
        <f>Index!CQ10</f>
        <v>14</v>
      </c>
      <c r="CS10" s="152">
        <f>Index!CR10</f>
        <v>14</v>
      </c>
      <c r="CT10" s="152">
        <f>Index!CS10</f>
        <v>15</v>
      </c>
      <c r="CU10" s="152">
        <f>Index!CT10</f>
        <v>15</v>
      </c>
      <c r="CV10" s="152">
        <f>Index!CU10</f>
        <v>15</v>
      </c>
      <c r="CW10" s="152">
        <f>Index!CV10</f>
        <v>15</v>
      </c>
      <c r="CX10" s="152">
        <f>Index!CW10</f>
        <v>15</v>
      </c>
      <c r="CY10" s="152">
        <f>Index!CX10</f>
        <v>15</v>
      </c>
      <c r="CZ10" s="152">
        <f>Index!CY10</f>
        <v>16</v>
      </c>
      <c r="DA10" s="152">
        <f>Index!CZ10</f>
        <v>16</v>
      </c>
      <c r="DB10" s="152">
        <f>Index!DA10</f>
        <v>16</v>
      </c>
      <c r="DC10" s="152">
        <f>Index!DB10</f>
        <v>16</v>
      </c>
      <c r="DD10" s="152">
        <f>Index!DC10</f>
        <v>16</v>
      </c>
      <c r="DE10" s="152">
        <f>Index!DD10</f>
        <v>16</v>
      </c>
      <c r="DF10" s="152">
        <f>Index!DE10</f>
        <v>17</v>
      </c>
      <c r="DG10" s="152">
        <f>Index!DF10</f>
        <v>17</v>
      </c>
      <c r="DH10" s="152">
        <f>Index!DG10</f>
        <v>17</v>
      </c>
      <c r="DI10" s="152">
        <f>Index!DH10</f>
        <v>17</v>
      </c>
      <c r="DJ10" s="152">
        <f>Index!DI10</f>
        <v>17</v>
      </c>
      <c r="DK10" s="152">
        <f>Index!DJ10</f>
        <v>17</v>
      </c>
      <c r="DL10" s="152">
        <f>Index!DK10</f>
        <v>18</v>
      </c>
      <c r="DM10" s="152">
        <f>Index!DL10</f>
        <v>18</v>
      </c>
      <c r="DN10" s="152">
        <f>Index!DM10</f>
        <v>18</v>
      </c>
      <c r="DO10" s="152">
        <f>Index!DN10</f>
        <v>18</v>
      </c>
      <c r="DP10" s="152">
        <f>Index!DO10</f>
        <v>18</v>
      </c>
      <c r="DQ10" s="152">
        <f>Index!DP10</f>
        <v>18</v>
      </c>
      <c r="DR10" s="152">
        <f>Index!DQ10</f>
        <v>19</v>
      </c>
      <c r="DS10" s="152">
        <f>Index!DR10</f>
        <v>19</v>
      </c>
      <c r="DT10" s="152">
        <f>Index!DS10</f>
        <v>19</v>
      </c>
      <c r="DU10" s="152">
        <f>Index!DT10</f>
        <v>19</v>
      </c>
      <c r="DV10" s="152">
        <f>Index!DU10</f>
        <v>19</v>
      </c>
      <c r="DW10" s="152">
        <f>Index!DV10</f>
        <v>19</v>
      </c>
      <c r="DX10" s="152">
        <f>Index!DW10</f>
        <v>20</v>
      </c>
      <c r="DY10" s="152">
        <f>Index!DX10</f>
        <v>20</v>
      </c>
      <c r="DZ10" s="152">
        <f>Index!DY10</f>
        <v>20</v>
      </c>
      <c r="EA10" s="152">
        <f>Index!DZ10</f>
        <v>20</v>
      </c>
      <c r="EB10" s="152">
        <f>Index!EA10</f>
        <v>20</v>
      </c>
      <c r="EC10" s="152">
        <f>Index!EB10</f>
        <v>20</v>
      </c>
      <c r="ED10" s="152">
        <f>Index!EC10</f>
        <v>21</v>
      </c>
      <c r="EE10" s="152">
        <f>Index!ED10</f>
        <v>21</v>
      </c>
      <c r="EF10" s="152">
        <f>Index!EE10</f>
        <v>21</v>
      </c>
      <c r="EG10" s="152">
        <f>Index!EF10</f>
        <v>21</v>
      </c>
      <c r="EH10" s="152">
        <f>Index!EG10</f>
        <v>21</v>
      </c>
      <c r="EI10" s="152">
        <f>Index!EH10</f>
        <v>21</v>
      </c>
      <c r="EJ10" s="152">
        <f>Index!EI10</f>
        <v>22</v>
      </c>
      <c r="EK10" s="152">
        <f>Index!EJ10</f>
        <v>22</v>
      </c>
      <c r="EL10" s="152">
        <f>Index!EK10</f>
        <v>22</v>
      </c>
      <c r="EM10" s="152">
        <f>Index!EL10</f>
        <v>22</v>
      </c>
      <c r="EN10" s="152">
        <f>Index!EM10</f>
        <v>22</v>
      </c>
      <c r="EO10" s="152">
        <f>Index!EN10</f>
        <v>22</v>
      </c>
      <c r="EP10" s="152">
        <f>Index!EO10</f>
        <v>23</v>
      </c>
      <c r="EQ10" s="152">
        <f>Index!EP10</f>
        <v>23</v>
      </c>
      <c r="ER10" s="152">
        <f>Index!EQ10</f>
        <v>23</v>
      </c>
    </row>
    <row r="11" spans="1:152">
      <c r="C11" s="189" t="s">
        <v>169</v>
      </c>
      <c r="D11" s="148"/>
      <c r="E11" s="148"/>
      <c r="F11" s="148"/>
      <c r="G11" s="148"/>
      <c r="H11" s="148"/>
      <c r="I11" s="148"/>
      <c r="J11" s="190"/>
      <c r="K11" s="148"/>
      <c r="M11" s="153">
        <f>Index!L11</f>
        <v>0</v>
      </c>
      <c r="N11" s="153">
        <f>Index!M11</f>
        <v>1</v>
      </c>
      <c r="O11" s="153">
        <f>Index!N11</f>
        <v>1</v>
      </c>
      <c r="P11" s="153">
        <f>Index!O11</f>
        <v>1</v>
      </c>
      <c r="Q11" s="153">
        <f>Index!P11</f>
        <v>1</v>
      </c>
      <c r="R11" s="153">
        <f>Index!Q11</f>
        <v>1</v>
      </c>
      <c r="S11" s="153">
        <f>Index!R11</f>
        <v>1</v>
      </c>
      <c r="T11" s="153">
        <f>Index!S11</f>
        <v>1</v>
      </c>
      <c r="U11" s="153">
        <f>Index!T11</f>
        <v>1</v>
      </c>
      <c r="V11" s="153">
        <f>Index!U11</f>
        <v>1</v>
      </c>
      <c r="W11" s="153">
        <f>Index!V11</f>
        <v>1</v>
      </c>
      <c r="X11" s="153">
        <f>Index!W11</f>
        <v>1</v>
      </c>
      <c r="Y11" s="153">
        <f>Index!X11</f>
        <v>1</v>
      </c>
      <c r="Z11" s="153">
        <f>Index!Y11</f>
        <v>2</v>
      </c>
      <c r="AA11" s="153">
        <f>Index!Z11</f>
        <v>2</v>
      </c>
      <c r="AB11" s="153">
        <f>Index!AA11</f>
        <v>2</v>
      </c>
      <c r="AC11" s="153">
        <f>Index!AB11</f>
        <v>2</v>
      </c>
      <c r="AD11" s="153">
        <f>Index!AC11</f>
        <v>2</v>
      </c>
      <c r="AE11" s="153">
        <f>Index!AD11</f>
        <v>2</v>
      </c>
      <c r="AF11" s="153">
        <f>Index!AE11</f>
        <v>2</v>
      </c>
      <c r="AG11" s="153">
        <f>Index!AF11</f>
        <v>2</v>
      </c>
      <c r="AH11" s="153">
        <f>Index!AG11</f>
        <v>2</v>
      </c>
      <c r="AI11" s="153">
        <f>Index!AH11</f>
        <v>2</v>
      </c>
      <c r="AJ11" s="153">
        <f>Index!AI11</f>
        <v>2</v>
      </c>
      <c r="AK11" s="153">
        <f>Index!AJ11</f>
        <v>2</v>
      </c>
      <c r="AL11" s="153">
        <f>Index!AK11</f>
        <v>3</v>
      </c>
      <c r="AM11" s="153">
        <f>Index!AL11</f>
        <v>3</v>
      </c>
      <c r="AN11" s="153">
        <f>Index!AM11</f>
        <v>3</v>
      </c>
      <c r="AO11" s="153">
        <f>Index!AN11</f>
        <v>3</v>
      </c>
      <c r="AP11" s="153">
        <f>Index!AO11</f>
        <v>3</v>
      </c>
      <c r="AQ11" s="153">
        <f>Index!AP11</f>
        <v>3</v>
      </c>
      <c r="AR11" s="153">
        <f>Index!AQ11</f>
        <v>3</v>
      </c>
      <c r="AS11" s="153">
        <f>Index!AR11</f>
        <v>3</v>
      </c>
      <c r="AT11" s="153">
        <f>Index!AS11</f>
        <v>3</v>
      </c>
      <c r="AU11" s="153">
        <f>Index!AT11</f>
        <v>3</v>
      </c>
      <c r="AV11" s="153">
        <f>Index!AU11</f>
        <v>3</v>
      </c>
      <c r="AW11" s="153">
        <f>Index!AV11</f>
        <v>3</v>
      </c>
      <c r="AX11" s="153">
        <f>Index!AW11</f>
        <v>4</v>
      </c>
      <c r="AY11" s="153">
        <f>Index!AX11</f>
        <v>4</v>
      </c>
      <c r="AZ11" s="153">
        <f>Index!AY11</f>
        <v>4</v>
      </c>
      <c r="BA11" s="153">
        <f>Index!AZ11</f>
        <v>4</v>
      </c>
      <c r="BB11" s="153">
        <f>Index!BA11</f>
        <v>4</v>
      </c>
      <c r="BC11" s="153">
        <f>Index!BB11</f>
        <v>4</v>
      </c>
      <c r="BD11" s="153">
        <f>Index!BC11</f>
        <v>4</v>
      </c>
      <c r="BE11" s="153">
        <f>Index!BD11</f>
        <v>4</v>
      </c>
      <c r="BF11" s="153">
        <f>Index!BE11</f>
        <v>4</v>
      </c>
      <c r="BG11" s="153">
        <f>Index!BF11</f>
        <v>4</v>
      </c>
      <c r="BH11" s="153">
        <f>Index!BG11</f>
        <v>4</v>
      </c>
      <c r="BI11" s="153">
        <f>Index!BH11</f>
        <v>4</v>
      </c>
      <c r="BJ11" s="153">
        <f>Index!BI11</f>
        <v>5</v>
      </c>
      <c r="BK11" s="153">
        <f>Index!BJ11</f>
        <v>5</v>
      </c>
      <c r="BL11" s="153">
        <f>Index!BK11</f>
        <v>5</v>
      </c>
      <c r="BM11" s="153">
        <f>Index!BL11</f>
        <v>5</v>
      </c>
      <c r="BN11" s="153">
        <f>Index!BM11</f>
        <v>5</v>
      </c>
      <c r="BO11" s="153">
        <f>Index!BN11</f>
        <v>5</v>
      </c>
      <c r="BP11" s="153">
        <f>Index!BO11</f>
        <v>5</v>
      </c>
      <c r="BQ11" s="153">
        <f>Index!BP11</f>
        <v>5</v>
      </c>
      <c r="BR11" s="153">
        <f>Index!BQ11</f>
        <v>5</v>
      </c>
      <c r="BS11" s="153">
        <f>Index!BR11</f>
        <v>5</v>
      </c>
      <c r="BT11" s="153">
        <f>Index!BS11</f>
        <v>5</v>
      </c>
      <c r="BU11" s="153">
        <f>Index!BT11</f>
        <v>5</v>
      </c>
      <c r="BV11" s="153">
        <f>Index!BU11</f>
        <v>6</v>
      </c>
      <c r="BW11" s="153">
        <f>Index!BV11</f>
        <v>6</v>
      </c>
      <c r="BX11" s="153">
        <f>Index!BW11</f>
        <v>6</v>
      </c>
      <c r="BY11" s="153">
        <f>Index!BX11</f>
        <v>6</v>
      </c>
      <c r="BZ11" s="153">
        <f>Index!BY11</f>
        <v>6</v>
      </c>
      <c r="CA11" s="153">
        <f>Index!BZ11</f>
        <v>6</v>
      </c>
      <c r="CB11" s="153">
        <f>Index!CA11</f>
        <v>6</v>
      </c>
      <c r="CC11" s="153">
        <f>Index!CB11</f>
        <v>6</v>
      </c>
      <c r="CD11" s="153">
        <f>Index!CC11</f>
        <v>6</v>
      </c>
      <c r="CE11" s="153">
        <f>Index!CD11</f>
        <v>6</v>
      </c>
      <c r="CF11" s="153">
        <f>Index!CE11</f>
        <v>6</v>
      </c>
      <c r="CG11" s="153">
        <f>Index!CF11</f>
        <v>6</v>
      </c>
      <c r="CH11" s="153">
        <f>Index!CG11</f>
        <v>7</v>
      </c>
      <c r="CI11" s="153">
        <f>Index!CH11</f>
        <v>7</v>
      </c>
      <c r="CJ11" s="153">
        <f>Index!CI11</f>
        <v>7</v>
      </c>
      <c r="CK11" s="153">
        <f>Index!CJ11</f>
        <v>7</v>
      </c>
      <c r="CL11" s="153">
        <f>Index!CK11</f>
        <v>7</v>
      </c>
      <c r="CM11" s="153">
        <f>Index!CL11</f>
        <v>7</v>
      </c>
      <c r="CN11" s="153">
        <f>Index!CM11</f>
        <v>7</v>
      </c>
      <c r="CO11" s="153">
        <f>Index!CN11</f>
        <v>7</v>
      </c>
      <c r="CP11" s="153">
        <f>Index!CO11</f>
        <v>7</v>
      </c>
      <c r="CQ11" s="153">
        <f>Index!CP11</f>
        <v>7</v>
      </c>
      <c r="CR11" s="153">
        <f>Index!CQ11</f>
        <v>7</v>
      </c>
      <c r="CS11" s="153">
        <f>Index!CR11</f>
        <v>7</v>
      </c>
      <c r="CT11" s="153">
        <f>Index!CS11</f>
        <v>8</v>
      </c>
      <c r="CU11" s="153">
        <f>Index!CT11</f>
        <v>8</v>
      </c>
      <c r="CV11" s="153">
        <f>Index!CU11</f>
        <v>8</v>
      </c>
      <c r="CW11" s="153">
        <f>Index!CV11</f>
        <v>8</v>
      </c>
      <c r="CX11" s="153">
        <f>Index!CW11</f>
        <v>8</v>
      </c>
      <c r="CY11" s="153">
        <f>Index!CX11</f>
        <v>8</v>
      </c>
      <c r="CZ11" s="153">
        <f>Index!CY11</f>
        <v>8</v>
      </c>
      <c r="DA11" s="153">
        <f>Index!CZ11</f>
        <v>8</v>
      </c>
      <c r="DB11" s="153">
        <f>Index!DA11</f>
        <v>8</v>
      </c>
      <c r="DC11" s="153">
        <f>Index!DB11</f>
        <v>8</v>
      </c>
      <c r="DD11" s="153">
        <f>Index!DC11</f>
        <v>8</v>
      </c>
      <c r="DE11" s="153">
        <f>Index!DD11</f>
        <v>8</v>
      </c>
      <c r="DF11" s="153">
        <f>Index!DE11</f>
        <v>9</v>
      </c>
      <c r="DG11" s="153">
        <f>Index!DF11</f>
        <v>9</v>
      </c>
      <c r="DH11" s="153">
        <f>Index!DG11</f>
        <v>9</v>
      </c>
      <c r="DI11" s="153">
        <f>Index!DH11</f>
        <v>9</v>
      </c>
      <c r="DJ11" s="153">
        <f>Index!DI11</f>
        <v>9</v>
      </c>
      <c r="DK11" s="153">
        <f>Index!DJ11</f>
        <v>9</v>
      </c>
      <c r="DL11" s="153">
        <f>Index!DK11</f>
        <v>9</v>
      </c>
      <c r="DM11" s="153">
        <f>Index!DL11</f>
        <v>9</v>
      </c>
      <c r="DN11" s="153">
        <f>Index!DM11</f>
        <v>9</v>
      </c>
      <c r="DO11" s="153">
        <f>Index!DN11</f>
        <v>9</v>
      </c>
      <c r="DP11" s="153">
        <f>Index!DO11</f>
        <v>9</v>
      </c>
      <c r="DQ11" s="153">
        <f>Index!DP11</f>
        <v>9</v>
      </c>
      <c r="DR11" s="153">
        <f>Index!DQ11</f>
        <v>10</v>
      </c>
      <c r="DS11" s="153">
        <f>Index!DR11</f>
        <v>10</v>
      </c>
      <c r="DT11" s="153">
        <f>Index!DS11</f>
        <v>10</v>
      </c>
      <c r="DU11" s="153">
        <f>Index!DT11</f>
        <v>10</v>
      </c>
      <c r="DV11" s="153">
        <f>Index!DU11</f>
        <v>10</v>
      </c>
      <c r="DW11" s="153">
        <f>Index!DV11</f>
        <v>10</v>
      </c>
      <c r="DX11" s="153">
        <f>Index!DW11</f>
        <v>10</v>
      </c>
      <c r="DY11" s="153">
        <f>Index!DX11</f>
        <v>10</v>
      </c>
      <c r="DZ11" s="153">
        <f>Index!DY11</f>
        <v>10</v>
      </c>
      <c r="EA11" s="153">
        <f>Index!DZ11</f>
        <v>10</v>
      </c>
      <c r="EB11" s="153">
        <f>Index!EA11</f>
        <v>10</v>
      </c>
      <c r="EC11" s="153">
        <f>Index!EB11</f>
        <v>10</v>
      </c>
      <c r="ED11" s="153">
        <f>Index!EC11</f>
        <v>11</v>
      </c>
      <c r="EE11" s="153">
        <f>Index!ED11</f>
        <v>11</v>
      </c>
      <c r="EF11" s="153">
        <f>Index!EE11</f>
        <v>11</v>
      </c>
      <c r="EG11" s="153">
        <f>Index!EF11</f>
        <v>11</v>
      </c>
      <c r="EH11" s="153">
        <f>Index!EG11</f>
        <v>11</v>
      </c>
      <c r="EI11" s="153">
        <f>Index!EH11</f>
        <v>11</v>
      </c>
      <c r="EJ11" s="153">
        <f>Index!EI11</f>
        <v>11</v>
      </c>
      <c r="EK11" s="153">
        <f>Index!EJ11</f>
        <v>11</v>
      </c>
      <c r="EL11" s="153">
        <f>Index!EK11</f>
        <v>11</v>
      </c>
      <c r="EM11" s="153">
        <f>Index!EL11</f>
        <v>11</v>
      </c>
      <c r="EN11" s="153">
        <f>Index!EM11</f>
        <v>11</v>
      </c>
      <c r="EO11" s="153">
        <f>Index!EN11</f>
        <v>11</v>
      </c>
      <c r="EP11" s="153">
        <f>Index!EO11</f>
        <v>12</v>
      </c>
      <c r="EQ11" s="153">
        <f>Index!EP11</f>
        <v>12</v>
      </c>
      <c r="ER11" s="153">
        <f>Index!EQ11</f>
        <v>12</v>
      </c>
    </row>
    <row r="13" spans="1:152">
      <c r="C13" s="154"/>
    </row>
    <row r="14" spans="1:152">
      <c r="C14" s="155" t="s">
        <v>170</v>
      </c>
      <c r="D14" s="155"/>
      <c r="E14" s="155"/>
      <c r="F14" s="812" t="s">
        <v>502</v>
      </c>
      <c r="G14" s="813"/>
      <c r="H14" s="813"/>
      <c r="I14" s="814"/>
      <c r="J14" s="818" t="s">
        <v>59</v>
      </c>
      <c r="K14" s="156" t="s">
        <v>104</v>
      </c>
      <c r="M14" s="157">
        <f>M5</f>
        <v>46326</v>
      </c>
      <c r="N14" s="157">
        <f t="shared" ref="N14:S14" si="0">N5</f>
        <v>46356</v>
      </c>
      <c r="O14" s="157">
        <f t="shared" si="0"/>
        <v>46387</v>
      </c>
      <c r="P14" s="157">
        <f t="shared" si="0"/>
        <v>46418</v>
      </c>
      <c r="Q14" s="157">
        <f t="shared" si="0"/>
        <v>46446</v>
      </c>
      <c r="R14" s="157">
        <f t="shared" si="0"/>
        <v>46477</v>
      </c>
      <c r="S14" s="157">
        <f t="shared" si="0"/>
        <v>46507</v>
      </c>
      <c r="T14" s="157">
        <f t="shared" ref="T14:CE14" si="1">T5</f>
        <v>46538</v>
      </c>
      <c r="U14" s="157">
        <f t="shared" si="1"/>
        <v>46568</v>
      </c>
      <c r="V14" s="157">
        <f t="shared" si="1"/>
        <v>46599</v>
      </c>
      <c r="W14" s="157">
        <f t="shared" si="1"/>
        <v>46630</v>
      </c>
      <c r="X14" s="157">
        <f t="shared" si="1"/>
        <v>46660</v>
      </c>
      <c r="Y14" s="157">
        <f t="shared" si="1"/>
        <v>46691</v>
      </c>
      <c r="Z14" s="157">
        <f t="shared" si="1"/>
        <v>46721</v>
      </c>
      <c r="AA14" s="157">
        <f t="shared" si="1"/>
        <v>46752</v>
      </c>
      <c r="AB14" s="157">
        <f t="shared" si="1"/>
        <v>46783</v>
      </c>
      <c r="AC14" s="157">
        <f t="shared" si="1"/>
        <v>46812</v>
      </c>
      <c r="AD14" s="157">
        <f t="shared" si="1"/>
        <v>46843</v>
      </c>
      <c r="AE14" s="157">
        <f t="shared" si="1"/>
        <v>46873</v>
      </c>
      <c r="AF14" s="157">
        <f t="shared" si="1"/>
        <v>46904</v>
      </c>
      <c r="AG14" s="157">
        <f t="shared" si="1"/>
        <v>46934</v>
      </c>
      <c r="AH14" s="157">
        <f t="shared" si="1"/>
        <v>46965</v>
      </c>
      <c r="AI14" s="157">
        <f t="shared" si="1"/>
        <v>46996</v>
      </c>
      <c r="AJ14" s="157">
        <f t="shared" si="1"/>
        <v>47026</v>
      </c>
      <c r="AK14" s="157">
        <f t="shared" si="1"/>
        <v>47057</v>
      </c>
      <c r="AL14" s="157">
        <f t="shared" si="1"/>
        <v>47087</v>
      </c>
      <c r="AM14" s="157">
        <f t="shared" si="1"/>
        <v>47118</v>
      </c>
      <c r="AN14" s="157">
        <f t="shared" si="1"/>
        <v>47149</v>
      </c>
      <c r="AO14" s="157">
        <f t="shared" si="1"/>
        <v>47177</v>
      </c>
      <c r="AP14" s="157">
        <f t="shared" si="1"/>
        <v>47208</v>
      </c>
      <c r="AQ14" s="157">
        <f t="shared" si="1"/>
        <v>47238</v>
      </c>
      <c r="AR14" s="157">
        <f t="shared" si="1"/>
        <v>47269</v>
      </c>
      <c r="AS14" s="157">
        <f t="shared" si="1"/>
        <v>47299</v>
      </c>
      <c r="AT14" s="157">
        <f t="shared" si="1"/>
        <v>47330</v>
      </c>
      <c r="AU14" s="157">
        <f t="shared" si="1"/>
        <v>47361</v>
      </c>
      <c r="AV14" s="157">
        <f t="shared" si="1"/>
        <v>47391</v>
      </c>
      <c r="AW14" s="157">
        <f t="shared" si="1"/>
        <v>47422</v>
      </c>
      <c r="AX14" s="157">
        <f t="shared" si="1"/>
        <v>47452</v>
      </c>
      <c r="AY14" s="157">
        <f t="shared" si="1"/>
        <v>47483</v>
      </c>
      <c r="AZ14" s="157">
        <f t="shared" si="1"/>
        <v>47514</v>
      </c>
      <c r="BA14" s="157">
        <f t="shared" si="1"/>
        <v>47542</v>
      </c>
      <c r="BB14" s="157">
        <f t="shared" si="1"/>
        <v>47573</v>
      </c>
      <c r="BC14" s="157">
        <f t="shared" si="1"/>
        <v>47603</v>
      </c>
      <c r="BD14" s="157">
        <f t="shared" si="1"/>
        <v>47634</v>
      </c>
      <c r="BE14" s="157">
        <f t="shared" si="1"/>
        <v>47664</v>
      </c>
      <c r="BF14" s="157">
        <f t="shared" si="1"/>
        <v>47695</v>
      </c>
      <c r="BG14" s="157">
        <f t="shared" si="1"/>
        <v>47726</v>
      </c>
      <c r="BH14" s="157">
        <f t="shared" si="1"/>
        <v>47756</v>
      </c>
      <c r="BI14" s="157">
        <f t="shared" si="1"/>
        <v>47787</v>
      </c>
      <c r="BJ14" s="157">
        <f t="shared" si="1"/>
        <v>47817</v>
      </c>
      <c r="BK14" s="157">
        <f t="shared" si="1"/>
        <v>47848</v>
      </c>
      <c r="BL14" s="157">
        <f t="shared" si="1"/>
        <v>47879</v>
      </c>
      <c r="BM14" s="157">
        <f t="shared" si="1"/>
        <v>47907</v>
      </c>
      <c r="BN14" s="157">
        <f t="shared" si="1"/>
        <v>47938</v>
      </c>
      <c r="BO14" s="157">
        <f t="shared" si="1"/>
        <v>47968</v>
      </c>
      <c r="BP14" s="157">
        <f t="shared" si="1"/>
        <v>47999</v>
      </c>
      <c r="BQ14" s="157">
        <f t="shared" si="1"/>
        <v>48029</v>
      </c>
      <c r="BR14" s="157">
        <f t="shared" si="1"/>
        <v>48060</v>
      </c>
      <c r="BS14" s="157">
        <f t="shared" si="1"/>
        <v>48091</v>
      </c>
      <c r="BT14" s="157">
        <f t="shared" si="1"/>
        <v>48121</v>
      </c>
      <c r="BU14" s="157">
        <f t="shared" si="1"/>
        <v>48152</v>
      </c>
      <c r="BV14" s="157">
        <f t="shared" si="1"/>
        <v>48182</v>
      </c>
      <c r="BW14" s="157">
        <f t="shared" si="1"/>
        <v>48213</v>
      </c>
      <c r="BX14" s="157">
        <f t="shared" si="1"/>
        <v>48244</v>
      </c>
      <c r="BY14" s="157">
        <f t="shared" si="1"/>
        <v>48273</v>
      </c>
      <c r="BZ14" s="157">
        <f t="shared" si="1"/>
        <v>48304</v>
      </c>
      <c r="CA14" s="157">
        <f t="shared" si="1"/>
        <v>48334</v>
      </c>
      <c r="CB14" s="157">
        <f t="shared" si="1"/>
        <v>48365</v>
      </c>
      <c r="CC14" s="157">
        <f t="shared" si="1"/>
        <v>48395</v>
      </c>
      <c r="CD14" s="157">
        <f t="shared" si="1"/>
        <v>48426</v>
      </c>
      <c r="CE14" s="157">
        <f t="shared" si="1"/>
        <v>48457</v>
      </c>
      <c r="CF14" s="157">
        <f t="shared" ref="CF14:EQ14" si="2">CF5</f>
        <v>48487</v>
      </c>
      <c r="CG14" s="157">
        <f t="shared" si="2"/>
        <v>48518</v>
      </c>
      <c r="CH14" s="157">
        <f t="shared" si="2"/>
        <v>48548</v>
      </c>
      <c r="CI14" s="157">
        <f t="shared" si="2"/>
        <v>48579</v>
      </c>
      <c r="CJ14" s="157">
        <f t="shared" si="2"/>
        <v>48610</v>
      </c>
      <c r="CK14" s="157">
        <f t="shared" si="2"/>
        <v>48638</v>
      </c>
      <c r="CL14" s="157">
        <f t="shared" si="2"/>
        <v>48669</v>
      </c>
      <c r="CM14" s="157">
        <f t="shared" si="2"/>
        <v>48699</v>
      </c>
      <c r="CN14" s="157">
        <f t="shared" si="2"/>
        <v>48730</v>
      </c>
      <c r="CO14" s="157">
        <f t="shared" si="2"/>
        <v>48760</v>
      </c>
      <c r="CP14" s="157">
        <f t="shared" si="2"/>
        <v>48791</v>
      </c>
      <c r="CQ14" s="157">
        <f t="shared" si="2"/>
        <v>48822</v>
      </c>
      <c r="CR14" s="157">
        <f t="shared" si="2"/>
        <v>48852</v>
      </c>
      <c r="CS14" s="157">
        <f t="shared" si="2"/>
        <v>48883</v>
      </c>
      <c r="CT14" s="157">
        <f t="shared" si="2"/>
        <v>48913</v>
      </c>
      <c r="CU14" s="157">
        <f t="shared" si="2"/>
        <v>48944</v>
      </c>
      <c r="CV14" s="157">
        <f t="shared" si="2"/>
        <v>48975</v>
      </c>
      <c r="CW14" s="157">
        <f t="shared" si="2"/>
        <v>49003</v>
      </c>
      <c r="CX14" s="157">
        <f t="shared" si="2"/>
        <v>49034</v>
      </c>
      <c r="CY14" s="157">
        <f t="shared" si="2"/>
        <v>49064</v>
      </c>
      <c r="CZ14" s="157">
        <f t="shared" si="2"/>
        <v>49095</v>
      </c>
      <c r="DA14" s="157">
        <f t="shared" si="2"/>
        <v>49125</v>
      </c>
      <c r="DB14" s="157">
        <f t="shared" si="2"/>
        <v>49156</v>
      </c>
      <c r="DC14" s="157">
        <f t="shared" si="2"/>
        <v>49187</v>
      </c>
      <c r="DD14" s="157">
        <f t="shared" si="2"/>
        <v>49217</v>
      </c>
      <c r="DE14" s="157">
        <f t="shared" si="2"/>
        <v>49248</v>
      </c>
      <c r="DF14" s="157">
        <f t="shared" si="2"/>
        <v>49278</v>
      </c>
      <c r="DG14" s="157">
        <f t="shared" si="2"/>
        <v>49309</v>
      </c>
      <c r="DH14" s="157">
        <f t="shared" si="2"/>
        <v>49340</v>
      </c>
      <c r="DI14" s="157">
        <f t="shared" si="2"/>
        <v>49368</v>
      </c>
      <c r="DJ14" s="157">
        <f t="shared" si="2"/>
        <v>49399</v>
      </c>
      <c r="DK14" s="157">
        <f t="shared" si="2"/>
        <v>49429</v>
      </c>
      <c r="DL14" s="157">
        <f t="shared" si="2"/>
        <v>49460</v>
      </c>
      <c r="DM14" s="157">
        <f t="shared" si="2"/>
        <v>49490</v>
      </c>
      <c r="DN14" s="157">
        <f t="shared" si="2"/>
        <v>49521</v>
      </c>
      <c r="DO14" s="157">
        <f t="shared" si="2"/>
        <v>49552</v>
      </c>
      <c r="DP14" s="157">
        <f t="shared" si="2"/>
        <v>49582</v>
      </c>
      <c r="DQ14" s="157">
        <f t="shared" si="2"/>
        <v>49613</v>
      </c>
      <c r="DR14" s="157">
        <f t="shared" si="2"/>
        <v>49643</v>
      </c>
      <c r="DS14" s="157">
        <f t="shared" si="2"/>
        <v>49674</v>
      </c>
      <c r="DT14" s="157">
        <f t="shared" si="2"/>
        <v>49705</v>
      </c>
      <c r="DU14" s="157">
        <f t="shared" si="2"/>
        <v>49734</v>
      </c>
      <c r="DV14" s="157">
        <f t="shared" si="2"/>
        <v>49765</v>
      </c>
      <c r="DW14" s="157">
        <f t="shared" si="2"/>
        <v>49795</v>
      </c>
      <c r="DX14" s="157">
        <f t="shared" si="2"/>
        <v>49826</v>
      </c>
      <c r="DY14" s="157">
        <f t="shared" si="2"/>
        <v>49856</v>
      </c>
      <c r="DZ14" s="157">
        <f t="shared" si="2"/>
        <v>49887</v>
      </c>
      <c r="EA14" s="157">
        <f t="shared" si="2"/>
        <v>49918</v>
      </c>
      <c r="EB14" s="157">
        <f t="shared" si="2"/>
        <v>49948</v>
      </c>
      <c r="EC14" s="157">
        <f t="shared" si="2"/>
        <v>49979</v>
      </c>
      <c r="ED14" s="157">
        <f t="shared" si="2"/>
        <v>50009</v>
      </c>
      <c r="EE14" s="157">
        <f t="shared" si="2"/>
        <v>50040</v>
      </c>
      <c r="EF14" s="157">
        <f t="shared" si="2"/>
        <v>50071</v>
      </c>
      <c r="EG14" s="157">
        <f t="shared" si="2"/>
        <v>50099</v>
      </c>
      <c r="EH14" s="157">
        <f t="shared" si="2"/>
        <v>50130</v>
      </c>
      <c r="EI14" s="157">
        <f t="shared" si="2"/>
        <v>50160</v>
      </c>
      <c r="EJ14" s="157">
        <f t="shared" si="2"/>
        <v>50191</v>
      </c>
      <c r="EK14" s="157">
        <f t="shared" si="2"/>
        <v>50221</v>
      </c>
      <c r="EL14" s="157">
        <f t="shared" si="2"/>
        <v>50252</v>
      </c>
      <c r="EM14" s="157">
        <f t="shared" si="2"/>
        <v>50283</v>
      </c>
      <c r="EN14" s="157">
        <f t="shared" si="2"/>
        <v>50313</v>
      </c>
      <c r="EO14" s="157">
        <f t="shared" si="2"/>
        <v>50344</v>
      </c>
      <c r="EP14" s="157">
        <f t="shared" si="2"/>
        <v>50374</v>
      </c>
      <c r="EQ14" s="157">
        <f t="shared" si="2"/>
        <v>50405</v>
      </c>
      <c r="ER14" s="157">
        <f>ER5</f>
        <v>50436</v>
      </c>
    </row>
    <row r="15" spans="1:152">
      <c r="C15" s="158" t="s">
        <v>171</v>
      </c>
      <c r="D15" s="159"/>
      <c r="E15" s="159"/>
      <c r="F15" s="193"/>
      <c r="G15" s="159"/>
      <c r="H15" s="159"/>
      <c r="I15" s="160"/>
      <c r="J15" s="819">
        <f>SUM(J16:J17)</f>
        <v>270000000</v>
      </c>
      <c r="K15" s="161">
        <f>SUM(K16:K17)</f>
        <v>270000000</v>
      </c>
      <c r="L15" s="98"/>
      <c r="M15" s="162">
        <f>SUM(M16:M17)</f>
        <v>270000000</v>
      </c>
      <c r="N15" s="162">
        <f t="shared" ref="N15:S15" si="3">SUM(N16:N17)</f>
        <v>0</v>
      </c>
      <c r="O15" s="162">
        <f t="shared" si="3"/>
        <v>0</v>
      </c>
      <c r="P15" s="162">
        <f t="shared" si="3"/>
        <v>0</v>
      </c>
      <c r="Q15" s="162">
        <f t="shared" si="3"/>
        <v>0</v>
      </c>
      <c r="R15" s="162">
        <f t="shared" si="3"/>
        <v>0</v>
      </c>
      <c r="S15" s="162">
        <f t="shared" si="3"/>
        <v>0</v>
      </c>
      <c r="T15" s="162">
        <f t="shared" ref="T15:CE15" si="4">SUM(T16:T17)</f>
        <v>0</v>
      </c>
      <c r="U15" s="162">
        <f t="shared" si="4"/>
        <v>0</v>
      </c>
      <c r="V15" s="162">
        <f t="shared" si="4"/>
        <v>0</v>
      </c>
      <c r="W15" s="162">
        <f t="shared" si="4"/>
        <v>0</v>
      </c>
      <c r="X15" s="162">
        <f t="shared" si="4"/>
        <v>0</v>
      </c>
      <c r="Y15" s="162">
        <f t="shared" si="4"/>
        <v>0</v>
      </c>
      <c r="Z15" s="162">
        <f t="shared" si="4"/>
        <v>0</v>
      </c>
      <c r="AA15" s="162">
        <f t="shared" si="4"/>
        <v>0</v>
      </c>
      <c r="AB15" s="162">
        <f t="shared" si="4"/>
        <v>0</v>
      </c>
      <c r="AC15" s="162">
        <f t="shared" si="4"/>
        <v>0</v>
      </c>
      <c r="AD15" s="162">
        <f t="shared" si="4"/>
        <v>0</v>
      </c>
      <c r="AE15" s="162">
        <f t="shared" si="4"/>
        <v>0</v>
      </c>
      <c r="AF15" s="162">
        <f t="shared" si="4"/>
        <v>0</v>
      </c>
      <c r="AG15" s="162">
        <f t="shared" si="4"/>
        <v>0</v>
      </c>
      <c r="AH15" s="162">
        <f t="shared" si="4"/>
        <v>0</v>
      </c>
      <c r="AI15" s="162">
        <f t="shared" si="4"/>
        <v>0</v>
      </c>
      <c r="AJ15" s="162">
        <f t="shared" si="4"/>
        <v>0</v>
      </c>
      <c r="AK15" s="162">
        <f t="shared" si="4"/>
        <v>0</v>
      </c>
      <c r="AL15" s="162">
        <f t="shared" si="4"/>
        <v>0</v>
      </c>
      <c r="AM15" s="162">
        <f t="shared" si="4"/>
        <v>0</v>
      </c>
      <c r="AN15" s="162">
        <f t="shared" si="4"/>
        <v>0</v>
      </c>
      <c r="AO15" s="162">
        <f t="shared" si="4"/>
        <v>0</v>
      </c>
      <c r="AP15" s="162">
        <f t="shared" si="4"/>
        <v>0</v>
      </c>
      <c r="AQ15" s="162">
        <f t="shared" si="4"/>
        <v>0</v>
      </c>
      <c r="AR15" s="162">
        <f t="shared" si="4"/>
        <v>0</v>
      </c>
      <c r="AS15" s="162">
        <f t="shared" si="4"/>
        <v>0</v>
      </c>
      <c r="AT15" s="162">
        <f t="shared" si="4"/>
        <v>0</v>
      </c>
      <c r="AU15" s="162">
        <f t="shared" si="4"/>
        <v>0</v>
      </c>
      <c r="AV15" s="162">
        <f t="shared" si="4"/>
        <v>0</v>
      </c>
      <c r="AW15" s="162">
        <f t="shared" si="4"/>
        <v>0</v>
      </c>
      <c r="AX15" s="162">
        <f t="shared" si="4"/>
        <v>0</v>
      </c>
      <c r="AY15" s="162">
        <f t="shared" si="4"/>
        <v>0</v>
      </c>
      <c r="AZ15" s="162">
        <f t="shared" si="4"/>
        <v>0</v>
      </c>
      <c r="BA15" s="162">
        <f t="shared" si="4"/>
        <v>0</v>
      </c>
      <c r="BB15" s="162">
        <f t="shared" si="4"/>
        <v>0</v>
      </c>
      <c r="BC15" s="162">
        <f t="shared" si="4"/>
        <v>0</v>
      </c>
      <c r="BD15" s="162">
        <f t="shared" si="4"/>
        <v>0</v>
      </c>
      <c r="BE15" s="162">
        <f t="shared" si="4"/>
        <v>0</v>
      </c>
      <c r="BF15" s="162">
        <f t="shared" si="4"/>
        <v>0</v>
      </c>
      <c r="BG15" s="162">
        <f t="shared" si="4"/>
        <v>0</v>
      </c>
      <c r="BH15" s="162">
        <f t="shared" si="4"/>
        <v>0</v>
      </c>
      <c r="BI15" s="162">
        <f t="shared" si="4"/>
        <v>0</v>
      </c>
      <c r="BJ15" s="162">
        <f t="shared" si="4"/>
        <v>0</v>
      </c>
      <c r="BK15" s="162">
        <f t="shared" si="4"/>
        <v>0</v>
      </c>
      <c r="BL15" s="162">
        <f t="shared" si="4"/>
        <v>0</v>
      </c>
      <c r="BM15" s="162">
        <f t="shared" si="4"/>
        <v>0</v>
      </c>
      <c r="BN15" s="162">
        <f t="shared" si="4"/>
        <v>0</v>
      </c>
      <c r="BO15" s="162">
        <f t="shared" si="4"/>
        <v>0</v>
      </c>
      <c r="BP15" s="162">
        <f t="shared" si="4"/>
        <v>0</v>
      </c>
      <c r="BQ15" s="162">
        <f t="shared" si="4"/>
        <v>0</v>
      </c>
      <c r="BR15" s="162">
        <f t="shared" si="4"/>
        <v>0</v>
      </c>
      <c r="BS15" s="162">
        <f t="shared" si="4"/>
        <v>0</v>
      </c>
      <c r="BT15" s="162">
        <f t="shared" si="4"/>
        <v>0</v>
      </c>
      <c r="BU15" s="162">
        <f t="shared" si="4"/>
        <v>0</v>
      </c>
      <c r="BV15" s="162">
        <f t="shared" si="4"/>
        <v>0</v>
      </c>
      <c r="BW15" s="162">
        <f t="shared" si="4"/>
        <v>0</v>
      </c>
      <c r="BX15" s="162">
        <f t="shared" si="4"/>
        <v>0</v>
      </c>
      <c r="BY15" s="162">
        <f t="shared" si="4"/>
        <v>0</v>
      </c>
      <c r="BZ15" s="162">
        <f t="shared" si="4"/>
        <v>0</v>
      </c>
      <c r="CA15" s="162">
        <f t="shared" si="4"/>
        <v>0</v>
      </c>
      <c r="CB15" s="162">
        <f t="shared" si="4"/>
        <v>0</v>
      </c>
      <c r="CC15" s="162">
        <f t="shared" si="4"/>
        <v>0</v>
      </c>
      <c r="CD15" s="162">
        <f t="shared" si="4"/>
        <v>0</v>
      </c>
      <c r="CE15" s="162">
        <f t="shared" si="4"/>
        <v>0</v>
      </c>
      <c r="CF15" s="162">
        <f t="shared" ref="CF15:EQ15" si="5">SUM(CF16:CF17)</f>
        <v>0</v>
      </c>
      <c r="CG15" s="162">
        <f t="shared" si="5"/>
        <v>0</v>
      </c>
      <c r="CH15" s="162">
        <f t="shared" si="5"/>
        <v>0</v>
      </c>
      <c r="CI15" s="162">
        <f t="shared" si="5"/>
        <v>0</v>
      </c>
      <c r="CJ15" s="162">
        <f t="shared" si="5"/>
        <v>0</v>
      </c>
      <c r="CK15" s="162">
        <f t="shared" si="5"/>
        <v>0</v>
      </c>
      <c r="CL15" s="162">
        <f t="shared" si="5"/>
        <v>0</v>
      </c>
      <c r="CM15" s="162">
        <f t="shared" si="5"/>
        <v>0</v>
      </c>
      <c r="CN15" s="162">
        <f t="shared" si="5"/>
        <v>0</v>
      </c>
      <c r="CO15" s="162">
        <f t="shared" si="5"/>
        <v>0</v>
      </c>
      <c r="CP15" s="162">
        <f t="shared" si="5"/>
        <v>0</v>
      </c>
      <c r="CQ15" s="162">
        <f t="shared" si="5"/>
        <v>0</v>
      </c>
      <c r="CR15" s="162">
        <f t="shared" si="5"/>
        <v>0</v>
      </c>
      <c r="CS15" s="162">
        <f t="shared" si="5"/>
        <v>0</v>
      </c>
      <c r="CT15" s="162">
        <f t="shared" si="5"/>
        <v>0</v>
      </c>
      <c r="CU15" s="162">
        <f t="shared" si="5"/>
        <v>0</v>
      </c>
      <c r="CV15" s="162">
        <f t="shared" si="5"/>
        <v>0</v>
      </c>
      <c r="CW15" s="162">
        <f t="shared" si="5"/>
        <v>0</v>
      </c>
      <c r="CX15" s="162">
        <f t="shared" si="5"/>
        <v>0</v>
      </c>
      <c r="CY15" s="162">
        <f t="shared" si="5"/>
        <v>0</v>
      </c>
      <c r="CZ15" s="162">
        <f t="shared" si="5"/>
        <v>0</v>
      </c>
      <c r="DA15" s="162">
        <f t="shared" si="5"/>
        <v>0</v>
      </c>
      <c r="DB15" s="162">
        <f t="shared" si="5"/>
        <v>0</v>
      </c>
      <c r="DC15" s="162">
        <f t="shared" si="5"/>
        <v>0</v>
      </c>
      <c r="DD15" s="162">
        <f t="shared" si="5"/>
        <v>0</v>
      </c>
      <c r="DE15" s="162">
        <f t="shared" si="5"/>
        <v>0</v>
      </c>
      <c r="DF15" s="162">
        <f t="shared" si="5"/>
        <v>0</v>
      </c>
      <c r="DG15" s="162">
        <f t="shared" si="5"/>
        <v>0</v>
      </c>
      <c r="DH15" s="162">
        <f t="shared" si="5"/>
        <v>0</v>
      </c>
      <c r="DI15" s="162">
        <f t="shared" si="5"/>
        <v>0</v>
      </c>
      <c r="DJ15" s="162">
        <f t="shared" si="5"/>
        <v>0</v>
      </c>
      <c r="DK15" s="162">
        <f t="shared" si="5"/>
        <v>0</v>
      </c>
      <c r="DL15" s="162">
        <f t="shared" si="5"/>
        <v>0</v>
      </c>
      <c r="DM15" s="162">
        <f t="shared" si="5"/>
        <v>0</v>
      </c>
      <c r="DN15" s="162">
        <f t="shared" si="5"/>
        <v>0</v>
      </c>
      <c r="DO15" s="162">
        <f t="shared" si="5"/>
        <v>0</v>
      </c>
      <c r="DP15" s="162">
        <f t="shared" si="5"/>
        <v>0</v>
      </c>
      <c r="DQ15" s="162">
        <f t="shared" si="5"/>
        <v>0</v>
      </c>
      <c r="DR15" s="162">
        <f t="shared" si="5"/>
        <v>0</v>
      </c>
      <c r="DS15" s="162">
        <f t="shared" si="5"/>
        <v>0</v>
      </c>
      <c r="DT15" s="162">
        <f t="shared" si="5"/>
        <v>0</v>
      </c>
      <c r="DU15" s="162">
        <f t="shared" si="5"/>
        <v>0</v>
      </c>
      <c r="DV15" s="162">
        <f t="shared" si="5"/>
        <v>0</v>
      </c>
      <c r="DW15" s="162">
        <f t="shared" si="5"/>
        <v>0</v>
      </c>
      <c r="DX15" s="162">
        <f t="shared" si="5"/>
        <v>0</v>
      </c>
      <c r="DY15" s="162">
        <f t="shared" si="5"/>
        <v>0</v>
      </c>
      <c r="DZ15" s="162">
        <f t="shared" si="5"/>
        <v>0</v>
      </c>
      <c r="EA15" s="162">
        <f t="shared" si="5"/>
        <v>0</v>
      </c>
      <c r="EB15" s="162">
        <f t="shared" si="5"/>
        <v>0</v>
      </c>
      <c r="EC15" s="162">
        <f t="shared" si="5"/>
        <v>0</v>
      </c>
      <c r="ED15" s="162">
        <f t="shared" si="5"/>
        <v>0</v>
      </c>
      <c r="EE15" s="162">
        <f t="shared" si="5"/>
        <v>0</v>
      </c>
      <c r="EF15" s="162">
        <f t="shared" si="5"/>
        <v>0</v>
      </c>
      <c r="EG15" s="162">
        <f t="shared" si="5"/>
        <v>0</v>
      </c>
      <c r="EH15" s="162">
        <f t="shared" si="5"/>
        <v>0</v>
      </c>
      <c r="EI15" s="162">
        <f t="shared" si="5"/>
        <v>0</v>
      </c>
      <c r="EJ15" s="162">
        <f t="shared" si="5"/>
        <v>0</v>
      </c>
      <c r="EK15" s="162">
        <f t="shared" si="5"/>
        <v>0</v>
      </c>
      <c r="EL15" s="162">
        <f t="shared" si="5"/>
        <v>0</v>
      </c>
      <c r="EM15" s="162">
        <f t="shared" si="5"/>
        <v>0</v>
      </c>
      <c r="EN15" s="162">
        <f t="shared" si="5"/>
        <v>0</v>
      </c>
      <c r="EO15" s="162">
        <f t="shared" si="5"/>
        <v>0</v>
      </c>
      <c r="EP15" s="162">
        <f t="shared" si="5"/>
        <v>0</v>
      </c>
      <c r="EQ15" s="162">
        <f t="shared" si="5"/>
        <v>0</v>
      </c>
      <c r="ER15" s="162">
        <f>SUM(ER16:ER17)</f>
        <v>0</v>
      </c>
    </row>
    <row r="16" spans="1:152">
      <c r="C16" s="163"/>
      <c r="D16" s="164" t="str">
        <f>'A&amp;R'!M6</f>
        <v>토지 매입비</v>
      </c>
      <c r="E16" s="165"/>
      <c r="F16" s="815">
        <f>'A&amp;R'!$O$5</f>
        <v>270000000</v>
      </c>
      <c r="G16" s="817" t="s">
        <v>503</v>
      </c>
      <c r="H16" s="850">
        <v>0.52680000000000005</v>
      </c>
      <c r="I16" s="166"/>
      <c r="J16" s="820">
        <f>F16*H16</f>
        <v>142236000</v>
      </c>
      <c r="K16" s="167">
        <f>SUM(M16:ER16)</f>
        <v>142236000</v>
      </c>
      <c r="L16" s="98"/>
      <c r="M16" s="168">
        <f>$J16*'A&amp;R'!$G$35*Index!L$16+$J16*'A&amp;R'!$H$35*Index!L$17</f>
        <v>142236000</v>
      </c>
      <c r="N16" s="168">
        <f>$J16*'A&amp;R'!$G$35*Index!M$16+$J16*'A&amp;R'!$H$35*Index!M$17</f>
        <v>0</v>
      </c>
      <c r="O16" s="168">
        <f>$J16*'A&amp;R'!$G$35*Index!N$16+$J16*'A&amp;R'!$H$35*Index!N$17</f>
        <v>0</v>
      </c>
      <c r="P16" s="168">
        <f>$J16*'A&amp;R'!$G$35*Index!O$16+$J16*'A&amp;R'!$H$35*Index!O$17</f>
        <v>0</v>
      </c>
      <c r="Q16" s="168">
        <f>$J16*'A&amp;R'!$G$35*Index!P$16+$J16*'A&amp;R'!$H$35*Index!P$17</f>
        <v>0</v>
      </c>
      <c r="R16" s="168">
        <f>$J16*'A&amp;R'!$G$35*Index!Q$16+$J16*'A&amp;R'!$H$35*Index!Q$17</f>
        <v>0</v>
      </c>
      <c r="S16" s="168">
        <f>$J16*'A&amp;R'!$G$35*Index!R$16+$J16*'A&amp;R'!$H$35*Index!R$17</f>
        <v>0</v>
      </c>
      <c r="T16" s="168">
        <f>$J16*'A&amp;R'!$G$35*Index!S$16+$J16*'A&amp;R'!$H$35*Index!S$17</f>
        <v>0</v>
      </c>
      <c r="U16" s="168">
        <f>$J16*'A&amp;R'!$G$35*Index!T$16+$J16*'A&amp;R'!$H$35*Index!T$17</f>
        <v>0</v>
      </c>
      <c r="V16" s="168">
        <f>$J16*'A&amp;R'!$G$35*Index!U$16+$J16*'A&amp;R'!$H$35*Index!U$17</f>
        <v>0</v>
      </c>
      <c r="W16" s="168">
        <f>$J16*'A&amp;R'!$G$35*Index!V$16+$J16*'A&amp;R'!$H$35*Index!V$17</f>
        <v>0</v>
      </c>
      <c r="X16" s="168">
        <f>$J16*'A&amp;R'!$G$35*Index!W$16+$J16*'A&amp;R'!$H$35*Index!W$17</f>
        <v>0</v>
      </c>
      <c r="Y16" s="168">
        <f>$J16*'A&amp;R'!$G$35*Index!X$16+$J16*'A&amp;R'!$H$35*Index!X$17</f>
        <v>0</v>
      </c>
      <c r="Z16" s="168">
        <f>$J16*'A&amp;R'!$G$35*Index!Y$16+$J16*'A&amp;R'!$H$35*Index!Y$17</f>
        <v>0</v>
      </c>
      <c r="AA16" s="168">
        <f>$J16*'A&amp;R'!$G$35*Index!Z$16+$J16*'A&amp;R'!$H$35*Index!Z$17</f>
        <v>0</v>
      </c>
      <c r="AB16" s="168">
        <f>$J16*'A&amp;R'!$G$35*Index!AA$16+$J16*'A&amp;R'!$H$35*Index!AA$17</f>
        <v>0</v>
      </c>
      <c r="AC16" s="168">
        <f>$J16*'A&amp;R'!$G$35*Index!AB$16+$J16*'A&amp;R'!$H$35*Index!AB$17</f>
        <v>0</v>
      </c>
      <c r="AD16" s="168">
        <f>$J16*'A&amp;R'!$G$35*Index!AC$16+$J16*'A&amp;R'!$H$35*Index!AC$17</f>
        <v>0</v>
      </c>
      <c r="AE16" s="168">
        <f>$J16*'A&amp;R'!$G$35*Index!AD$16+$J16*'A&amp;R'!$H$35*Index!AD$17</f>
        <v>0</v>
      </c>
      <c r="AF16" s="168">
        <f>$J16*'A&amp;R'!$G$35*Index!AE$16+$J16*'A&amp;R'!$H$35*Index!AE$17</f>
        <v>0</v>
      </c>
      <c r="AG16" s="168">
        <f>$J16*'A&amp;R'!$G$35*Index!AF$16+$J16*'A&amp;R'!$H$35*Index!AF$17</f>
        <v>0</v>
      </c>
      <c r="AH16" s="168">
        <f>$J16*'A&amp;R'!$G$35*Index!AG$16+$J16*'A&amp;R'!$H$35*Index!AG$17</f>
        <v>0</v>
      </c>
      <c r="AI16" s="168">
        <f>$J16*'A&amp;R'!$G$35*Index!AH$16+$J16*'A&amp;R'!$H$35*Index!AH$17</f>
        <v>0</v>
      </c>
      <c r="AJ16" s="168">
        <f>$J16*'A&amp;R'!$G$35*Index!AI$16+$J16*'A&amp;R'!$H$35*Index!AI$17</f>
        <v>0</v>
      </c>
      <c r="AK16" s="168">
        <f>$J16*'A&amp;R'!$G$35*Index!AJ$16+$J16*'A&amp;R'!$H$35*Index!AJ$17</f>
        <v>0</v>
      </c>
      <c r="AL16" s="168">
        <f>$J16*'A&amp;R'!$G$35*Index!AK$16+$J16*'A&amp;R'!$H$35*Index!AK$17</f>
        <v>0</v>
      </c>
      <c r="AM16" s="168">
        <f>$J16*'A&amp;R'!$G$35*Index!AL$16+$J16*'A&amp;R'!$H$35*Index!AL$17</f>
        <v>0</v>
      </c>
      <c r="AN16" s="168">
        <f>$J16*'A&amp;R'!$G$35*Index!AM$16+$J16*'A&amp;R'!$H$35*Index!AM$17</f>
        <v>0</v>
      </c>
      <c r="AO16" s="168">
        <f>$J16*'A&amp;R'!$G$35*Index!AN$16+$J16*'A&amp;R'!$H$35*Index!AN$17</f>
        <v>0</v>
      </c>
      <c r="AP16" s="168">
        <f>$J16*'A&amp;R'!$G$35*Index!AO$16+$J16*'A&amp;R'!$H$35*Index!AO$17</f>
        <v>0</v>
      </c>
      <c r="AQ16" s="168">
        <f>$J16*'A&amp;R'!$G$35*Index!AP$16+$J16*'A&amp;R'!$H$35*Index!AP$17</f>
        <v>0</v>
      </c>
      <c r="AR16" s="168">
        <f>$J16*'A&amp;R'!$G$35*Index!AQ$16+$J16*'A&amp;R'!$H$35*Index!AQ$17</f>
        <v>0</v>
      </c>
      <c r="AS16" s="168">
        <f>$J16*'A&amp;R'!$G$35*Index!AR$16+$J16*'A&amp;R'!$H$35*Index!AR$17</f>
        <v>0</v>
      </c>
      <c r="AT16" s="168">
        <f>$J16*'A&amp;R'!$G$35*Index!AS$16+$J16*'A&amp;R'!$H$35*Index!AS$17</f>
        <v>0</v>
      </c>
      <c r="AU16" s="168">
        <f>$J16*'A&amp;R'!$G$35*Index!AT$16+$J16*'A&amp;R'!$H$35*Index!AT$17</f>
        <v>0</v>
      </c>
      <c r="AV16" s="168">
        <f>$J16*'A&amp;R'!$G$35*Index!AU$16+$J16*'A&amp;R'!$H$35*Index!AU$17</f>
        <v>0</v>
      </c>
      <c r="AW16" s="168">
        <f>$J16*'A&amp;R'!$G$35*Index!AV$16+$J16*'A&amp;R'!$H$35*Index!AV$17</f>
        <v>0</v>
      </c>
      <c r="AX16" s="168">
        <f>$J16*'A&amp;R'!$G$35*Index!AW$16+$J16*'A&amp;R'!$H$35*Index!AW$17</f>
        <v>0</v>
      </c>
      <c r="AY16" s="168">
        <f>$J16*'A&amp;R'!$G$35*Index!AX$16+$J16*'A&amp;R'!$H$35*Index!AX$17</f>
        <v>0</v>
      </c>
      <c r="AZ16" s="168">
        <f>$J16*'A&amp;R'!$G$35*Index!AY$16+$J16*'A&amp;R'!$H$35*Index!AY$17</f>
        <v>0</v>
      </c>
      <c r="BA16" s="168">
        <f>$J16*'A&amp;R'!$G$35*Index!AZ$16+$J16*'A&amp;R'!$H$35*Index!AZ$17</f>
        <v>0</v>
      </c>
      <c r="BB16" s="168">
        <f>$J16*'A&amp;R'!$G$35*Index!BA$16+$J16*'A&amp;R'!$H$35*Index!BA$17</f>
        <v>0</v>
      </c>
      <c r="BC16" s="168">
        <f>$J16*'A&amp;R'!$G$35*Index!BB$16+$J16*'A&amp;R'!$H$35*Index!BB$17</f>
        <v>0</v>
      </c>
      <c r="BD16" s="168">
        <f>$J16*'A&amp;R'!$G$35*Index!BC$16+$J16*'A&amp;R'!$H$35*Index!BC$17</f>
        <v>0</v>
      </c>
      <c r="BE16" s="168">
        <f>$J16*'A&amp;R'!$G$35*Index!BD$16+$J16*'A&amp;R'!$H$35*Index!BD$17</f>
        <v>0</v>
      </c>
      <c r="BF16" s="168">
        <f>$J16*'A&amp;R'!$G$35*Index!BE$16+$J16*'A&amp;R'!$H$35*Index!BE$17</f>
        <v>0</v>
      </c>
      <c r="BG16" s="168">
        <f>$J16*'A&amp;R'!$G$35*Index!BF$16+$J16*'A&amp;R'!$H$35*Index!BF$17</f>
        <v>0</v>
      </c>
      <c r="BH16" s="168">
        <f>$J16*'A&amp;R'!$G$35*Index!BG$16+$J16*'A&amp;R'!$H$35*Index!BG$17</f>
        <v>0</v>
      </c>
      <c r="BI16" s="168">
        <f>$J16*'A&amp;R'!$G$35*Index!BH$16+$J16*'A&amp;R'!$H$35*Index!BH$17</f>
        <v>0</v>
      </c>
      <c r="BJ16" s="168">
        <f>$J16*'A&amp;R'!$G$35*Index!BI$16+$J16*'A&amp;R'!$H$35*Index!BI$17</f>
        <v>0</v>
      </c>
      <c r="BK16" s="168">
        <f>$J16*'A&amp;R'!$G$35*Index!BJ$16+$J16*'A&amp;R'!$H$35*Index!BJ$17</f>
        <v>0</v>
      </c>
      <c r="BL16" s="168">
        <f>$J16*'A&amp;R'!$G$35*Index!BK$16+$J16*'A&amp;R'!$H$35*Index!BK$17</f>
        <v>0</v>
      </c>
      <c r="BM16" s="168">
        <f>$J16*'A&amp;R'!$G$35*Index!BL$16+$J16*'A&amp;R'!$H$35*Index!BL$17</f>
        <v>0</v>
      </c>
      <c r="BN16" s="168">
        <f>$J16*'A&amp;R'!$G$35*Index!BM$16+$J16*'A&amp;R'!$H$35*Index!BM$17</f>
        <v>0</v>
      </c>
      <c r="BO16" s="168">
        <f>$J16*'A&amp;R'!$G$35*Index!BN$16+$J16*'A&amp;R'!$H$35*Index!BN$17</f>
        <v>0</v>
      </c>
      <c r="BP16" s="168">
        <f>$J16*'A&amp;R'!$G$35*Index!BO$16+$J16*'A&amp;R'!$H$35*Index!BO$17</f>
        <v>0</v>
      </c>
      <c r="BQ16" s="168">
        <f>$J16*'A&amp;R'!$G$35*Index!BP$16+$J16*'A&amp;R'!$H$35*Index!BP$17</f>
        <v>0</v>
      </c>
      <c r="BR16" s="168">
        <f>$J16*'A&amp;R'!$G$35*Index!BQ$16+$J16*'A&amp;R'!$H$35*Index!BQ$17</f>
        <v>0</v>
      </c>
      <c r="BS16" s="168">
        <f>$J16*'A&amp;R'!$G$35*Index!BR$16+$J16*'A&amp;R'!$H$35*Index!BR$17</f>
        <v>0</v>
      </c>
      <c r="BT16" s="168">
        <f>$J16*'A&amp;R'!$G$35*Index!BS$16+$J16*'A&amp;R'!$H$35*Index!BS$17</f>
        <v>0</v>
      </c>
      <c r="BU16" s="168">
        <f>$J16*'A&amp;R'!$G$35*Index!BT$16+$J16*'A&amp;R'!$H$35*Index!BT$17</f>
        <v>0</v>
      </c>
      <c r="BV16" s="168">
        <f>$J16*'A&amp;R'!$G$35*Index!BU$16+$J16*'A&amp;R'!$H$35*Index!BU$17</f>
        <v>0</v>
      </c>
      <c r="BW16" s="168">
        <f>$J16*'A&amp;R'!$G$35*Index!BV$16+$J16*'A&amp;R'!$H$35*Index!BV$17</f>
        <v>0</v>
      </c>
      <c r="BX16" s="168">
        <f>$J16*'A&amp;R'!$G$35*Index!BW$16+$J16*'A&amp;R'!$H$35*Index!BW$17</f>
        <v>0</v>
      </c>
      <c r="BY16" s="168">
        <f>$J16*'A&amp;R'!$G$35*Index!BX$16+$J16*'A&amp;R'!$H$35*Index!BX$17</f>
        <v>0</v>
      </c>
      <c r="BZ16" s="168">
        <f>$J16*'A&amp;R'!$G$35*Index!BY$16+$J16*'A&amp;R'!$H$35*Index!BY$17</f>
        <v>0</v>
      </c>
      <c r="CA16" s="168">
        <f>$J16*'A&amp;R'!$G$35*Index!BZ$16+$J16*'A&amp;R'!$H$35*Index!BZ$17</f>
        <v>0</v>
      </c>
      <c r="CB16" s="168">
        <f>$J16*'A&amp;R'!$G$35*Index!CA$16+$J16*'A&amp;R'!$H$35*Index!CA$17</f>
        <v>0</v>
      </c>
      <c r="CC16" s="168">
        <f>$J16*'A&amp;R'!$G$35*Index!CB$16+$J16*'A&amp;R'!$H$35*Index!CB$17</f>
        <v>0</v>
      </c>
      <c r="CD16" s="168">
        <f>$J16*'A&amp;R'!$G$35*Index!CC$16+$J16*'A&amp;R'!$H$35*Index!CC$17</f>
        <v>0</v>
      </c>
      <c r="CE16" s="168">
        <f>$J16*'A&amp;R'!$G$35*Index!CD$16+$J16*'A&amp;R'!$H$35*Index!CD$17</f>
        <v>0</v>
      </c>
      <c r="CF16" s="168">
        <f>$J16*'A&amp;R'!$G$35*Index!CE$16+$J16*'A&amp;R'!$H$35*Index!CE$17</f>
        <v>0</v>
      </c>
      <c r="CG16" s="168">
        <f>$J16*'A&amp;R'!$G$35*Index!CF$16+$J16*'A&amp;R'!$H$35*Index!CF$17</f>
        <v>0</v>
      </c>
      <c r="CH16" s="168">
        <f>$J16*'A&amp;R'!$G$35*Index!CG$16+$J16*'A&amp;R'!$H$35*Index!CG$17</f>
        <v>0</v>
      </c>
      <c r="CI16" s="168">
        <f>$J16*'A&amp;R'!$G$35*Index!CH$16+$J16*'A&amp;R'!$H$35*Index!CH$17</f>
        <v>0</v>
      </c>
      <c r="CJ16" s="168">
        <f>$J16*'A&amp;R'!$G$35*Index!CI$16+$J16*'A&amp;R'!$H$35*Index!CI$17</f>
        <v>0</v>
      </c>
      <c r="CK16" s="168">
        <f>$J16*'A&amp;R'!$G$35*Index!CJ$16+$J16*'A&amp;R'!$H$35*Index!CJ$17</f>
        <v>0</v>
      </c>
      <c r="CL16" s="168">
        <f>$J16*'A&amp;R'!$G$35*Index!CK$16+$J16*'A&amp;R'!$H$35*Index!CK$17</f>
        <v>0</v>
      </c>
      <c r="CM16" s="168">
        <f>$J16*'A&amp;R'!$G$35*Index!CL$16+$J16*'A&amp;R'!$H$35*Index!CL$17</f>
        <v>0</v>
      </c>
      <c r="CN16" s="168">
        <f>$J16*'A&amp;R'!$G$35*Index!CM$16+$J16*'A&amp;R'!$H$35*Index!CM$17</f>
        <v>0</v>
      </c>
      <c r="CO16" s="168">
        <f>$J16*'A&amp;R'!$G$35*Index!CN$16+$J16*'A&amp;R'!$H$35*Index!CN$17</f>
        <v>0</v>
      </c>
      <c r="CP16" s="168">
        <f>$J16*'A&amp;R'!$G$35*Index!CO$16+$J16*'A&amp;R'!$H$35*Index!CO$17</f>
        <v>0</v>
      </c>
      <c r="CQ16" s="168">
        <f>$J16*'A&amp;R'!$G$35*Index!CP$16+$J16*'A&amp;R'!$H$35*Index!CP$17</f>
        <v>0</v>
      </c>
      <c r="CR16" s="168">
        <f>$J16*'A&amp;R'!$G$35*Index!CQ$16+$J16*'A&amp;R'!$H$35*Index!CQ$17</f>
        <v>0</v>
      </c>
      <c r="CS16" s="168">
        <f>$J16*'A&amp;R'!$G$35*Index!CR$16+$J16*'A&amp;R'!$H$35*Index!CR$17</f>
        <v>0</v>
      </c>
      <c r="CT16" s="168">
        <f>$J16*'A&amp;R'!$G$35*Index!CS$16+$J16*'A&amp;R'!$H$35*Index!CS$17</f>
        <v>0</v>
      </c>
      <c r="CU16" s="168">
        <f>$J16*'A&amp;R'!$G$35*Index!CT$16+$J16*'A&amp;R'!$H$35*Index!CT$17</f>
        <v>0</v>
      </c>
      <c r="CV16" s="168">
        <f>$J16*'A&amp;R'!$G$35*Index!CU$16+$J16*'A&amp;R'!$H$35*Index!CU$17</f>
        <v>0</v>
      </c>
      <c r="CW16" s="168">
        <f>$J16*'A&amp;R'!$G$35*Index!CV$16+$J16*'A&amp;R'!$H$35*Index!CV$17</f>
        <v>0</v>
      </c>
      <c r="CX16" s="168">
        <f>$J16*'A&amp;R'!$G$35*Index!CW$16+$J16*'A&amp;R'!$H$35*Index!CW$17</f>
        <v>0</v>
      </c>
      <c r="CY16" s="168">
        <f>$J16*'A&amp;R'!$G$35*Index!CX$16+$J16*'A&amp;R'!$H$35*Index!CX$17</f>
        <v>0</v>
      </c>
      <c r="CZ16" s="168">
        <f>$J16*'A&amp;R'!$G$35*Index!CY$16+$J16*'A&amp;R'!$H$35*Index!CY$17</f>
        <v>0</v>
      </c>
      <c r="DA16" s="168">
        <f>$J16*'A&amp;R'!$G$35*Index!CZ$16+$J16*'A&amp;R'!$H$35*Index!CZ$17</f>
        <v>0</v>
      </c>
      <c r="DB16" s="168">
        <f>$J16*'A&amp;R'!$G$35*Index!DA$16+$J16*'A&amp;R'!$H$35*Index!DA$17</f>
        <v>0</v>
      </c>
      <c r="DC16" s="168">
        <f>$J16*'A&amp;R'!$G$35*Index!DB$16+$J16*'A&amp;R'!$H$35*Index!DB$17</f>
        <v>0</v>
      </c>
      <c r="DD16" s="168">
        <f>$J16*'A&amp;R'!$G$35*Index!DC$16+$J16*'A&amp;R'!$H$35*Index!DC$17</f>
        <v>0</v>
      </c>
      <c r="DE16" s="168">
        <f>$J16*'A&amp;R'!$G$35*Index!DD$16+$J16*'A&amp;R'!$H$35*Index!DD$17</f>
        <v>0</v>
      </c>
      <c r="DF16" s="168">
        <f>$J16*'A&amp;R'!$G$35*Index!DE$16+$J16*'A&amp;R'!$H$35*Index!DE$17</f>
        <v>0</v>
      </c>
      <c r="DG16" s="168">
        <f>$J16*'A&amp;R'!$G$35*Index!DF$16+$J16*'A&amp;R'!$H$35*Index!DF$17</f>
        <v>0</v>
      </c>
      <c r="DH16" s="168">
        <f>$J16*'A&amp;R'!$G$35*Index!DG$16+$J16*'A&amp;R'!$H$35*Index!DG$17</f>
        <v>0</v>
      </c>
      <c r="DI16" s="168">
        <f>$J16*'A&amp;R'!$G$35*Index!DH$16+$J16*'A&amp;R'!$H$35*Index!DH$17</f>
        <v>0</v>
      </c>
      <c r="DJ16" s="168">
        <f>$J16*'A&amp;R'!$G$35*Index!DI$16+$J16*'A&amp;R'!$H$35*Index!DI$17</f>
        <v>0</v>
      </c>
      <c r="DK16" s="168">
        <f>$J16*'A&amp;R'!$G$35*Index!DJ$16+$J16*'A&amp;R'!$H$35*Index!DJ$17</f>
        <v>0</v>
      </c>
      <c r="DL16" s="168">
        <f>$J16*'A&amp;R'!$G$35*Index!DK$16+$J16*'A&amp;R'!$H$35*Index!DK$17</f>
        <v>0</v>
      </c>
      <c r="DM16" s="168">
        <f>$J16*'A&amp;R'!$G$35*Index!DL$16+$J16*'A&amp;R'!$H$35*Index!DL$17</f>
        <v>0</v>
      </c>
      <c r="DN16" s="168">
        <f>$J16*'A&amp;R'!$G$35*Index!DM$16+$J16*'A&amp;R'!$H$35*Index!DM$17</f>
        <v>0</v>
      </c>
      <c r="DO16" s="168">
        <f>$J16*'A&amp;R'!$G$35*Index!DN$16+$J16*'A&amp;R'!$H$35*Index!DN$17</f>
        <v>0</v>
      </c>
      <c r="DP16" s="168">
        <f>$J16*'A&amp;R'!$G$35*Index!DO$16+$J16*'A&amp;R'!$H$35*Index!DO$17</f>
        <v>0</v>
      </c>
      <c r="DQ16" s="168">
        <f>$J16*'A&amp;R'!$G$35*Index!DP$16+$J16*'A&amp;R'!$H$35*Index!DP$17</f>
        <v>0</v>
      </c>
      <c r="DR16" s="168">
        <f>$J16*'A&amp;R'!$G$35*Index!DQ$16+$J16*'A&amp;R'!$H$35*Index!DQ$17</f>
        <v>0</v>
      </c>
      <c r="DS16" s="168">
        <f>$J16*'A&amp;R'!$G$35*Index!DR$16+$J16*'A&amp;R'!$H$35*Index!DR$17</f>
        <v>0</v>
      </c>
      <c r="DT16" s="168">
        <f>$J16*'A&amp;R'!$G$35*Index!DS$16+$J16*'A&amp;R'!$H$35*Index!DS$17</f>
        <v>0</v>
      </c>
      <c r="DU16" s="168">
        <f>$J16*'A&amp;R'!$G$35*Index!DT$16+$J16*'A&amp;R'!$H$35*Index!DT$17</f>
        <v>0</v>
      </c>
      <c r="DV16" s="168">
        <f>$J16*'A&amp;R'!$G$35*Index!DU$16+$J16*'A&amp;R'!$H$35*Index!DU$17</f>
        <v>0</v>
      </c>
      <c r="DW16" s="168">
        <f>$J16*'A&amp;R'!$G$35*Index!DV$16+$J16*'A&amp;R'!$H$35*Index!DV$17</f>
        <v>0</v>
      </c>
      <c r="DX16" s="168">
        <f>$J16*'A&amp;R'!$G$35*Index!DW$16+$J16*'A&amp;R'!$H$35*Index!DW$17</f>
        <v>0</v>
      </c>
      <c r="DY16" s="168">
        <f>$J16*'A&amp;R'!$G$35*Index!DX$16+$J16*'A&amp;R'!$H$35*Index!DX$17</f>
        <v>0</v>
      </c>
      <c r="DZ16" s="168">
        <f>$J16*'A&amp;R'!$G$35*Index!DY$16+$J16*'A&amp;R'!$H$35*Index!DY$17</f>
        <v>0</v>
      </c>
      <c r="EA16" s="168">
        <f>$J16*'A&amp;R'!$G$35*Index!DZ$16+$J16*'A&amp;R'!$H$35*Index!DZ$17</f>
        <v>0</v>
      </c>
      <c r="EB16" s="168">
        <f>$J16*'A&amp;R'!$G$35*Index!EA$16+$J16*'A&amp;R'!$H$35*Index!EA$17</f>
        <v>0</v>
      </c>
      <c r="EC16" s="168">
        <f>$J16*'A&amp;R'!$G$35*Index!EB$16+$J16*'A&amp;R'!$H$35*Index!EB$17</f>
        <v>0</v>
      </c>
      <c r="ED16" s="168">
        <f>$J16*'A&amp;R'!$G$35*Index!EC$16+$J16*'A&amp;R'!$H$35*Index!EC$17</f>
        <v>0</v>
      </c>
      <c r="EE16" s="168">
        <f>$J16*'A&amp;R'!$G$35*Index!ED$16+$J16*'A&amp;R'!$H$35*Index!ED$17</f>
        <v>0</v>
      </c>
      <c r="EF16" s="168">
        <f>$J16*'A&amp;R'!$G$35*Index!EE$16+$J16*'A&amp;R'!$H$35*Index!EE$17</f>
        <v>0</v>
      </c>
      <c r="EG16" s="168">
        <f>$J16*'A&amp;R'!$G$35*Index!EF$16+$J16*'A&amp;R'!$H$35*Index!EF$17</f>
        <v>0</v>
      </c>
      <c r="EH16" s="168">
        <f>$J16*'A&amp;R'!$G$35*Index!EG$16+$J16*'A&amp;R'!$H$35*Index!EG$17</f>
        <v>0</v>
      </c>
      <c r="EI16" s="168">
        <f>$J16*'A&amp;R'!$G$35*Index!EH$16+$J16*'A&amp;R'!$H$35*Index!EH$17</f>
        <v>0</v>
      </c>
      <c r="EJ16" s="168">
        <f>$J16*'A&amp;R'!$G$35*Index!EI$16+$J16*'A&amp;R'!$H$35*Index!EI$17</f>
        <v>0</v>
      </c>
      <c r="EK16" s="168">
        <f>$J16*'A&amp;R'!$G$35*Index!EJ$16+$J16*'A&amp;R'!$H$35*Index!EJ$17</f>
        <v>0</v>
      </c>
      <c r="EL16" s="168">
        <f>$J16*'A&amp;R'!$G$35*Index!EK$16+$J16*'A&amp;R'!$H$35*Index!EK$17</f>
        <v>0</v>
      </c>
      <c r="EM16" s="168">
        <f>$J16*'A&amp;R'!$G$35*Index!EL$16+$J16*'A&amp;R'!$H$35*Index!EL$17</f>
        <v>0</v>
      </c>
      <c r="EN16" s="168">
        <f>$J16*'A&amp;R'!$G$35*Index!EM$16+$J16*'A&amp;R'!$H$35*Index!EM$17</f>
        <v>0</v>
      </c>
      <c r="EO16" s="168">
        <f>$J16*'A&amp;R'!$G$35*Index!EN$16+$J16*'A&amp;R'!$H$35*Index!EN$17</f>
        <v>0</v>
      </c>
      <c r="EP16" s="168">
        <f>$J16*'A&amp;R'!$G$35*Index!EO$16+$J16*'A&amp;R'!$H$35*Index!EO$17</f>
        <v>0</v>
      </c>
      <c r="EQ16" s="168">
        <f>$J16*'A&amp;R'!$G$35*Index!EP$16+$J16*'A&amp;R'!$H$35*Index!EP$17</f>
        <v>0</v>
      </c>
      <c r="ER16" s="168">
        <f>$J16*'A&amp;R'!$G$35*Index!EQ$16+$J16*'A&amp;R'!$H$35*Index!EQ$17</f>
        <v>0</v>
      </c>
    </row>
    <row r="17" spans="3:148">
      <c r="C17" s="163"/>
      <c r="D17" s="169" t="str">
        <f>'A&amp;R'!M7</f>
        <v>건물 매입비</v>
      </c>
      <c r="F17" s="816">
        <f>'A&amp;R'!$O$5</f>
        <v>270000000</v>
      </c>
      <c r="G17" s="30" t="s">
        <v>503</v>
      </c>
      <c r="H17" s="280">
        <f>1-H16</f>
        <v>0.47319999999999995</v>
      </c>
      <c r="I17" s="146"/>
      <c r="J17" s="821">
        <f>F17*H17</f>
        <v>127763999.99999999</v>
      </c>
      <c r="K17" s="170">
        <f>SUM(M17:ER17)</f>
        <v>127763999.99999999</v>
      </c>
      <c r="L17" s="98"/>
      <c r="M17" s="171">
        <f>$J17*'A&amp;R'!$G$35*Index!L$16+$J17*'A&amp;R'!$H$35*Index!L$17</f>
        <v>127763999.99999999</v>
      </c>
      <c r="N17" s="171">
        <f>$J17*'A&amp;R'!$G$35*Index!M$16+$J17*'A&amp;R'!$H$35*Index!M$17</f>
        <v>0</v>
      </c>
      <c r="O17" s="171">
        <f>$J17*'A&amp;R'!$G$35*Index!N$16+$J17*'A&amp;R'!$H$35*Index!N$17</f>
        <v>0</v>
      </c>
      <c r="P17" s="171">
        <f>$J17*'A&amp;R'!$G$35*Index!O$16+$J17*'A&amp;R'!$H$35*Index!O$17</f>
        <v>0</v>
      </c>
      <c r="Q17" s="171">
        <f>$J17*'A&amp;R'!$G$35*Index!P$16+$J17*'A&amp;R'!$H$35*Index!P$17</f>
        <v>0</v>
      </c>
      <c r="R17" s="171">
        <f>$J17*'A&amp;R'!$G$35*Index!Q$16+$J17*'A&amp;R'!$H$35*Index!Q$17</f>
        <v>0</v>
      </c>
      <c r="S17" s="171">
        <f>$J17*'A&amp;R'!$G$35*Index!R$16+$J17*'A&amp;R'!$H$35*Index!R$17</f>
        <v>0</v>
      </c>
      <c r="T17" s="171">
        <f>$J17*'A&amp;R'!$G$35*Index!S$16+$J17*'A&amp;R'!$H$35*Index!S$17</f>
        <v>0</v>
      </c>
      <c r="U17" s="171">
        <f>$J17*'A&amp;R'!$G$35*Index!T$16+$J17*'A&amp;R'!$H$35*Index!T$17</f>
        <v>0</v>
      </c>
      <c r="V17" s="171">
        <f>$J17*'A&amp;R'!$G$35*Index!U$16+$J17*'A&amp;R'!$H$35*Index!U$17</f>
        <v>0</v>
      </c>
      <c r="W17" s="171">
        <f>$J17*'A&amp;R'!$G$35*Index!V$16+$J17*'A&amp;R'!$H$35*Index!V$17</f>
        <v>0</v>
      </c>
      <c r="X17" s="171">
        <f>$J17*'A&amp;R'!$G$35*Index!W$16+$J17*'A&amp;R'!$H$35*Index!W$17</f>
        <v>0</v>
      </c>
      <c r="Y17" s="171">
        <f>$J17*'A&amp;R'!$G$35*Index!X$16+$J17*'A&amp;R'!$H$35*Index!X$17</f>
        <v>0</v>
      </c>
      <c r="Z17" s="171">
        <f>$J17*'A&amp;R'!$G$35*Index!Y$16+$J17*'A&amp;R'!$H$35*Index!Y$17</f>
        <v>0</v>
      </c>
      <c r="AA17" s="171">
        <f>$J17*'A&amp;R'!$G$35*Index!Z$16+$J17*'A&amp;R'!$H$35*Index!Z$17</f>
        <v>0</v>
      </c>
      <c r="AB17" s="171">
        <f>$J17*'A&amp;R'!$G$35*Index!AA$16+$J17*'A&amp;R'!$H$35*Index!AA$17</f>
        <v>0</v>
      </c>
      <c r="AC17" s="171">
        <f>$J17*'A&amp;R'!$G$35*Index!AB$16+$J17*'A&amp;R'!$H$35*Index!AB$17</f>
        <v>0</v>
      </c>
      <c r="AD17" s="171">
        <f>$J17*'A&amp;R'!$G$35*Index!AC$16+$J17*'A&amp;R'!$H$35*Index!AC$17</f>
        <v>0</v>
      </c>
      <c r="AE17" s="171">
        <f>$J17*'A&amp;R'!$G$35*Index!AD$16+$J17*'A&amp;R'!$H$35*Index!AD$17</f>
        <v>0</v>
      </c>
      <c r="AF17" s="171">
        <f>$J17*'A&amp;R'!$G$35*Index!AE$16+$J17*'A&amp;R'!$H$35*Index!AE$17</f>
        <v>0</v>
      </c>
      <c r="AG17" s="171">
        <f>$J17*'A&amp;R'!$G$35*Index!AF$16+$J17*'A&amp;R'!$H$35*Index!AF$17</f>
        <v>0</v>
      </c>
      <c r="AH17" s="171">
        <f>$J17*'A&amp;R'!$G$35*Index!AG$16+$J17*'A&amp;R'!$H$35*Index!AG$17</f>
        <v>0</v>
      </c>
      <c r="AI17" s="171">
        <f>$J17*'A&amp;R'!$G$35*Index!AH$16+$J17*'A&amp;R'!$H$35*Index!AH$17</f>
        <v>0</v>
      </c>
      <c r="AJ17" s="171">
        <f>$J17*'A&amp;R'!$G$35*Index!AI$16+$J17*'A&amp;R'!$H$35*Index!AI$17</f>
        <v>0</v>
      </c>
      <c r="AK17" s="171">
        <f>$J17*'A&amp;R'!$G$35*Index!AJ$16+$J17*'A&amp;R'!$H$35*Index!AJ$17</f>
        <v>0</v>
      </c>
      <c r="AL17" s="171">
        <f>$J17*'A&amp;R'!$G$35*Index!AK$16+$J17*'A&amp;R'!$H$35*Index!AK$17</f>
        <v>0</v>
      </c>
      <c r="AM17" s="171">
        <f>$J17*'A&amp;R'!$G$35*Index!AL$16+$J17*'A&amp;R'!$H$35*Index!AL$17</f>
        <v>0</v>
      </c>
      <c r="AN17" s="171">
        <f>$J17*'A&amp;R'!$G$35*Index!AM$16+$J17*'A&amp;R'!$H$35*Index!AM$17</f>
        <v>0</v>
      </c>
      <c r="AO17" s="171">
        <f>$J17*'A&amp;R'!$G$35*Index!AN$16+$J17*'A&amp;R'!$H$35*Index!AN$17</f>
        <v>0</v>
      </c>
      <c r="AP17" s="171">
        <f>$J17*'A&amp;R'!$G$35*Index!AO$16+$J17*'A&amp;R'!$H$35*Index!AO$17</f>
        <v>0</v>
      </c>
      <c r="AQ17" s="171">
        <f>$J17*'A&amp;R'!$G$35*Index!AP$16+$J17*'A&amp;R'!$H$35*Index!AP$17</f>
        <v>0</v>
      </c>
      <c r="AR17" s="171">
        <f>$J17*'A&amp;R'!$G$35*Index!AQ$16+$J17*'A&amp;R'!$H$35*Index!AQ$17</f>
        <v>0</v>
      </c>
      <c r="AS17" s="171">
        <f>$J17*'A&amp;R'!$G$35*Index!AR$16+$J17*'A&amp;R'!$H$35*Index!AR$17</f>
        <v>0</v>
      </c>
      <c r="AT17" s="171">
        <f>$J17*'A&amp;R'!$G$35*Index!AS$16+$J17*'A&amp;R'!$H$35*Index!AS$17</f>
        <v>0</v>
      </c>
      <c r="AU17" s="171">
        <f>$J17*'A&amp;R'!$G$35*Index!AT$16+$J17*'A&amp;R'!$H$35*Index!AT$17</f>
        <v>0</v>
      </c>
      <c r="AV17" s="171">
        <f>$J17*'A&amp;R'!$G$35*Index!AU$16+$J17*'A&amp;R'!$H$35*Index!AU$17</f>
        <v>0</v>
      </c>
      <c r="AW17" s="171">
        <f>$J17*'A&amp;R'!$G$35*Index!AV$16+$J17*'A&amp;R'!$H$35*Index!AV$17</f>
        <v>0</v>
      </c>
      <c r="AX17" s="171">
        <f>$J17*'A&amp;R'!$G$35*Index!AW$16+$J17*'A&amp;R'!$H$35*Index!AW$17</f>
        <v>0</v>
      </c>
      <c r="AY17" s="171">
        <f>$J17*'A&amp;R'!$G$35*Index!AX$16+$J17*'A&amp;R'!$H$35*Index!AX$17</f>
        <v>0</v>
      </c>
      <c r="AZ17" s="171">
        <f>$J17*'A&amp;R'!$G$35*Index!AY$16+$J17*'A&amp;R'!$H$35*Index!AY$17</f>
        <v>0</v>
      </c>
      <c r="BA17" s="171">
        <f>$J17*'A&amp;R'!$G$35*Index!AZ$16+$J17*'A&amp;R'!$H$35*Index!AZ$17</f>
        <v>0</v>
      </c>
      <c r="BB17" s="171">
        <f>$J17*'A&amp;R'!$G$35*Index!BA$16+$J17*'A&amp;R'!$H$35*Index!BA$17</f>
        <v>0</v>
      </c>
      <c r="BC17" s="171">
        <f>$J17*'A&amp;R'!$G$35*Index!BB$16+$J17*'A&amp;R'!$H$35*Index!BB$17</f>
        <v>0</v>
      </c>
      <c r="BD17" s="171">
        <f>$J17*'A&amp;R'!$G$35*Index!BC$16+$J17*'A&amp;R'!$H$35*Index!BC$17</f>
        <v>0</v>
      </c>
      <c r="BE17" s="171">
        <f>$J17*'A&amp;R'!$G$35*Index!BD$16+$J17*'A&amp;R'!$H$35*Index!BD$17</f>
        <v>0</v>
      </c>
      <c r="BF17" s="171">
        <f>$J17*'A&amp;R'!$G$35*Index!BE$16+$J17*'A&amp;R'!$H$35*Index!BE$17</f>
        <v>0</v>
      </c>
      <c r="BG17" s="171">
        <f>$J17*'A&amp;R'!$G$35*Index!BF$16+$J17*'A&amp;R'!$H$35*Index!BF$17</f>
        <v>0</v>
      </c>
      <c r="BH17" s="171">
        <f>$J17*'A&amp;R'!$G$35*Index!BG$16+$J17*'A&amp;R'!$H$35*Index!BG$17</f>
        <v>0</v>
      </c>
      <c r="BI17" s="171">
        <f>$J17*'A&amp;R'!$G$35*Index!BH$16+$J17*'A&amp;R'!$H$35*Index!BH$17</f>
        <v>0</v>
      </c>
      <c r="BJ17" s="171">
        <f>$J17*'A&amp;R'!$G$35*Index!BI$16+$J17*'A&amp;R'!$H$35*Index!BI$17</f>
        <v>0</v>
      </c>
      <c r="BK17" s="171">
        <f>$J17*'A&amp;R'!$G$35*Index!BJ$16+$J17*'A&amp;R'!$H$35*Index!BJ$17</f>
        <v>0</v>
      </c>
      <c r="BL17" s="171">
        <f>$J17*'A&amp;R'!$G$35*Index!BK$16+$J17*'A&amp;R'!$H$35*Index!BK$17</f>
        <v>0</v>
      </c>
      <c r="BM17" s="171">
        <f>$J17*'A&amp;R'!$G$35*Index!BL$16+$J17*'A&amp;R'!$H$35*Index!BL$17</f>
        <v>0</v>
      </c>
      <c r="BN17" s="171">
        <f>$J17*'A&amp;R'!$G$35*Index!BM$16+$J17*'A&amp;R'!$H$35*Index!BM$17</f>
        <v>0</v>
      </c>
      <c r="BO17" s="171">
        <f>$J17*'A&amp;R'!$G$35*Index!BN$16+$J17*'A&amp;R'!$H$35*Index!BN$17</f>
        <v>0</v>
      </c>
      <c r="BP17" s="171">
        <f>$J17*'A&amp;R'!$G$35*Index!BO$16+$J17*'A&amp;R'!$H$35*Index!BO$17</f>
        <v>0</v>
      </c>
      <c r="BQ17" s="171">
        <f>$J17*'A&amp;R'!$G$35*Index!BP$16+$J17*'A&amp;R'!$H$35*Index!BP$17</f>
        <v>0</v>
      </c>
      <c r="BR17" s="171">
        <f>$J17*'A&amp;R'!$G$35*Index!BQ$16+$J17*'A&amp;R'!$H$35*Index!BQ$17</f>
        <v>0</v>
      </c>
      <c r="BS17" s="171">
        <f>$J17*'A&amp;R'!$G$35*Index!BR$16+$J17*'A&amp;R'!$H$35*Index!BR$17</f>
        <v>0</v>
      </c>
      <c r="BT17" s="171">
        <f>$J17*'A&amp;R'!$G$35*Index!BS$16+$J17*'A&amp;R'!$H$35*Index!BS$17</f>
        <v>0</v>
      </c>
      <c r="BU17" s="171">
        <f>$J17*'A&amp;R'!$G$35*Index!BT$16+$J17*'A&amp;R'!$H$35*Index!BT$17</f>
        <v>0</v>
      </c>
      <c r="BV17" s="171">
        <f>$J17*'A&amp;R'!$G$35*Index!BU$16+$J17*'A&amp;R'!$H$35*Index!BU$17</f>
        <v>0</v>
      </c>
      <c r="BW17" s="171">
        <f>$J17*'A&amp;R'!$G$35*Index!BV$16+$J17*'A&amp;R'!$H$35*Index!BV$17</f>
        <v>0</v>
      </c>
      <c r="BX17" s="171">
        <f>$J17*'A&amp;R'!$G$35*Index!BW$16+$J17*'A&amp;R'!$H$35*Index!BW$17</f>
        <v>0</v>
      </c>
      <c r="BY17" s="171">
        <f>$J17*'A&amp;R'!$G$35*Index!BX$16+$J17*'A&amp;R'!$H$35*Index!BX$17</f>
        <v>0</v>
      </c>
      <c r="BZ17" s="171">
        <f>$J17*'A&amp;R'!$G$35*Index!BY$16+$J17*'A&amp;R'!$H$35*Index!BY$17</f>
        <v>0</v>
      </c>
      <c r="CA17" s="171">
        <f>$J17*'A&amp;R'!$G$35*Index!BZ$16+$J17*'A&amp;R'!$H$35*Index!BZ$17</f>
        <v>0</v>
      </c>
      <c r="CB17" s="171">
        <f>$J17*'A&amp;R'!$G$35*Index!CA$16+$J17*'A&amp;R'!$H$35*Index!CA$17</f>
        <v>0</v>
      </c>
      <c r="CC17" s="171">
        <f>$J17*'A&amp;R'!$G$35*Index!CB$16+$J17*'A&amp;R'!$H$35*Index!CB$17</f>
        <v>0</v>
      </c>
      <c r="CD17" s="171">
        <f>$J17*'A&amp;R'!$G$35*Index!CC$16+$J17*'A&amp;R'!$H$35*Index!CC$17</f>
        <v>0</v>
      </c>
      <c r="CE17" s="171">
        <f>$J17*'A&amp;R'!$G$35*Index!CD$16+$J17*'A&amp;R'!$H$35*Index!CD$17</f>
        <v>0</v>
      </c>
      <c r="CF17" s="171">
        <f>$J17*'A&amp;R'!$G$35*Index!CE$16+$J17*'A&amp;R'!$H$35*Index!CE$17</f>
        <v>0</v>
      </c>
      <c r="CG17" s="171">
        <f>$J17*'A&amp;R'!$G$35*Index!CF$16+$J17*'A&amp;R'!$H$35*Index!CF$17</f>
        <v>0</v>
      </c>
      <c r="CH17" s="171">
        <f>$J17*'A&amp;R'!$G$35*Index!CG$16+$J17*'A&amp;R'!$H$35*Index!CG$17</f>
        <v>0</v>
      </c>
      <c r="CI17" s="171">
        <f>$J17*'A&amp;R'!$G$35*Index!CH$16+$J17*'A&amp;R'!$H$35*Index!CH$17</f>
        <v>0</v>
      </c>
      <c r="CJ17" s="171">
        <f>$J17*'A&amp;R'!$G$35*Index!CI$16+$J17*'A&amp;R'!$H$35*Index!CI$17</f>
        <v>0</v>
      </c>
      <c r="CK17" s="171">
        <f>$J17*'A&amp;R'!$G$35*Index!CJ$16+$J17*'A&amp;R'!$H$35*Index!CJ$17</f>
        <v>0</v>
      </c>
      <c r="CL17" s="171">
        <f>$J17*'A&amp;R'!$G$35*Index!CK$16+$J17*'A&amp;R'!$H$35*Index!CK$17</f>
        <v>0</v>
      </c>
      <c r="CM17" s="171">
        <f>$J17*'A&amp;R'!$G$35*Index!CL$16+$J17*'A&amp;R'!$H$35*Index!CL$17</f>
        <v>0</v>
      </c>
      <c r="CN17" s="171">
        <f>$J17*'A&amp;R'!$G$35*Index!CM$16+$J17*'A&amp;R'!$H$35*Index!CM$17</f>
        <v>0</v>
      </c>
      <c r="CO17" s="171">
        <f>$J17*'A&amp;R'!$G$35*Index!CN$16+$J17*'A&amp;R'!$H$35*Index!CN$17</f>
        <v>0</v>
      </c>
      <c r="CP17" s="171">
        <f>$J17*'A&amp;R'!$G$35*Index!CO$16+$J17*'A&amp;R'!$H$35*Index!CO$17</f>
        <v>0</v>
      </c>
      <c r="CQ17" s="171">
        <f>$J17*'A&amp;R'!$G$35*Index!CP$16+$J17*'A&amp;R'!$H$35*Index!CP$17</f>
        <v>0</v>
      </c>
      <c r="CR17" s="171">
        <f>$J17*'A&amp;R'!$G$35*Index!CQ$16+$J17*'A&amp;R'!$H$35*Index!CQ$17</f>
        <v>0</v>
      </c>
      <c r="CS17" s="171">
        <f>$J17*'A&amp;R'!$G$35*Index!CR$16+$J17*'A&amp;R'!$H$35*Index!CR$17</f>
        <v>0</v>
      </c>
      <c r="CT17" s="171">
        <f>$J17*'A&amp;R'!$G$35*Index!CS$16+$J17*'A&amp;R'!$H$35*Index!CS$17</f>
        <v>0</v>
      </c>
      <c r="CU17" s="171">
        <f>$J17*'A&amp;R'!$G$35*Index!CT$16+$J17*'A&amp;R'!$H$35*Index!CT$17</f>
        <v>0</v>
      </c>
      <c r="CV17" s="171">
        <f>$J17*'A&amp;R'!$G$35*Index!CU$16+$J17*'A&amp;R'!$H$35*Index!CU$17</f>
        <v>0</v>
      </c>
      <c r="CW17" s="171">
        <f>$J17*'A&amp;R'!$G$35*Index!CV$16+$J17*'A&amp;R'!$H$35*Index!CV$17</f>
        <v>0</v>
      </c>
      <c r="CX17" s="171">
        <f>$J17*'A&amp;R'!$G$35*Index!CW$16+$J17*'A&amp;R'!$H$35*Index!CW$17</f>
        <v>0</v>
      </c>
      <c r="CY17" s="171">
        <f>$J17*'A&amp;R'!$G$35*Index!CX$16+$J17*'A&amp;R'!$H$35*Index!CX$17</f>
        <v>0</v>
      </c>
      <c r="CZ17" s="171">
        <f>$J17*'A&amp;R'!$G$35*Index!CY$16+$J17*'A&amp;R'!$H$35*Index!CY$17</f>
        <v>0</v>
      </c>
      <c r="DA17" s="171">
        <f>$J17*'A&amp;R'!$G$35*Index!CZ$16+$J17*'A&amp;R'!$H$35*Index!CZ$17</f>
        <v>0</v>
      </c>
      <c r="DB17" s="171">
        <f>$J17*'A&amp;R'!$G$35*Index!DA$16+$J17*'A&amp;R'!$H$35*Index!DA$17</f>
        <v>0</v>
      </c>
      <c r="DC17" s="171">
        <f>$J17*'A&amp;R'!$G$35*Index!DB$16+$J17*'A&amp;R'!$H$35*Index!DB$17</f>
        <v>0</v>
      </c>
      <c r="DD17" s="171">
        <f>$J17*'A&amp;R'!$G$35*Index!DC$16+$J17*'A&amp;R'!$H$35*Index!DC$17</f>
        <v>0</v>
      </c>
      <c r="DE17" s="171">
        <f>$J17*'A&amp;R'!$G$35*Index!DD$16+$J17*'A&amp;R'!$H$35*Index!DD$17</f>
        <v>0</v>
      </c>
      <c r="DF17" s="171">
        <f>$J17*'A&amp;R'!$G$35*Index!DE$16+$J17*'A&amp;R'!$H$35*Index!DE$17</f>
        <v>0</v>
      </c>
      <c r="DG17" s="171">
        <f>$J17*'A&amp;R'!$G$35*Index!DF$16+$J17*'A&amp;R'!$H$35*Index!DF$17</f>
        <v>0</v>
      </c>
      <c r="DH17" s="171">
        <f>$J17*'A&amp;R'!$G$35*Index!DG$16+$J17*'A&amp;R'!$H$35*Index!DG$17</f>
        <v>0</v>
      </c>
      <c r="DI17" s="171">
        <f>$J17*'A&amp;R'!$G$35*Index!DH$16+$J17*'A&amp;R'!$H$35*Index!DH$17</f>
        <v>0</v>
      </c>
      <c r="DJ17" s="171">
        <f>$J17*'A&amp;R'!$G$35*Index!DI$16+$J17*'A&amp;R'!$H$35*Index!DI$17</f>
        <v>0</v>
      </c>
      <c r="DK17" s="171">
        <f>$J17*'A&amp;R'!$G$35*Index!DJ$16+$J17*'A&amp;R'!$H$35*Index!DJ$17</f>
        <v>0</v>
      </c>
      <c r="DL17" s="171">
        <f>$J17*'A&amp;R'!$G$35*Index!DK$16+$J17*'A&amp;R'!$H$35*Index!DK$17</f>
        <v>0</v>
      </c>
      <c r="DM17" s="171">
        <f>$J17*'A&amp;R'!$G$35*Index!DL$16+$J17*'A&amp;R'!$H$35*Index!DL$17</f>
        <v>0</v>
      </c>
      <c r="DN17" s="171">
        <f>$J17*'A&amp;R'!$G$35*Index!DM$16+$J17*'A&amp;R'!$H$35*Index!DM$17</f>
        <v>0</v>
      </c>
      <c r="DO17" s="171">
        <f>$J17*'A&amp;R'!$G$35*Index!DN$16+$J17*'A&amp;R'!$H$35*Index!DN$17</f>
        <v>0</v>
      </c>
      <c r="DP17" s="171">
        <f>$J17*'A&amp;R'!$G$35*Index!DO$16+$J17*'A&amp;R'!$H$35*Index!DO$17</f>
        <v>0</v>
      </c>
      <c r="DQ17" s="171">
        <f>$J17*'A&amp;R'!$G$35*Index!DP$16+$J17*'A&amp;R'!$H$35*Index!DP$17</f>
        <v>0</v>
      </c>
      <c r="DR17" s="171">
        <f>$J17*'A&amp;R'!$G$35*Index!DQ$16+$J17*'A&amp;R'!$H$35*Index!DQ$17</f>
        <v>0</v>
      </c>
      <c r="DS17" s="171">
        <f>$J17*'A&amp;R'!$G$35*Index!DR$16+$J17*'A&amp;R'!$H$35*Index!DR$17</f>
        <v>0</v>
      </c>
      <c r="DT17" s="171">
        <f>$J17*'A&amp;R'!$G$35*Index!DS$16+$J17*'A&amp;R'!$H$35*Index!DS$17</f>
        <v>0</v>
      </c>
      <c r="DU17" s="171">
        <f>$J17*'A&amp;R'!$G$35*Index!DT$16+$J17*'A&amp;R'!$H$35*Index!DT$17</f>
        <v>0</v>
      </c>
      <c r="DV17" s="171">
        <f>$J17*'A&amp;R'!$G$35*Index!DU$16+$J17*'A&amp;R'!$H$35*Index!DU$17</f>
        <v>0</v>
      </c>
      <c r="DW17" s="171">
        <f>$J17*'A&amp;R'!$G$35*Index!DV$16+$J17*'A&amp;R'!$H$35*Index!DV$17</f>
        <v>0</v>
      </c>
      <c r="DX17" s="171">
        <f>$J17*'A&amp;R'!$G$35*Index!DW$16+$J17*'A&amp;R'!$H$35*Index!DW$17</f>
        <v>0</v>
      </c>
      <c r="DY17" s="171">
        <f>$J17*'A&amp;R'!$G$35*Index!DX$16+$J17*'A&amp;R'!$H$35*Index!DX$17</f>
        <v>0</v>
      </c>
      <c r="DZ17" s="171">
        <f>$J17*'A&amp;R'!$G$35*Index!DY$16+$J17*'A&amp;R'!$H$35*Index!DY$17</f>
        <v>0</v>
      </c>
      <c r="EA17" s="171">
        <f>$J17*'A&amp;R'!$G$35*Index!DZ$16+$J17*'A&amp;R'!$H$35*Index!DZ$17</f>
        <v>0</v>
      </c>
      <c r="EB17" s="171">
        <f>$J17*'A&amp;R'!$G$35*Index!EA$16+$J17*'A&amp;R'!$H$35*Index!EA$17</f>
        <v>0</v>
      </c>
      <c r="EC17" s="171">
        <f>$J17*'A&amp;R'!$G$35*Index!EB$16+$J17*'A&amp;R'!$H$35*Index!EB$17</f>
        <v>0</v>
      </c>
      <c r="ED17" s="171">
        <f>$J17*'A&amp;R'!$G$35*Index!EC$16+$J17*'A&amp;R'!$H$35*Index!EC$17</f>
        <v>0</v>
      </c>
      <c r="EE17" s="171">
        <f>$J17*'A&amp;R'!$G$35*Index!ED$16+$J17*'A&amp;R'!$H$35*Index!ED$17</f>
        <v>0</v>
      </c>
      <c r="EF17" s="171">
        <f>$J17*'A&amp;R'!$G$35*Index!EE$16+$J17*'A&amp;R'!$H$35*Index!EE$17</f>
        <v>0</v>
      </c>
      <c r="EG17" s="171">
        <f>$J17*'A&amp;R'!$G$35*Index!EF$16+$J17*'A&amp;R'!$H$35*Index!EF$17</f>
        <v>0</v>
      </c>
      <c r="EH17" s="171">
        <f>$J17*'A&amp;R'!$G$35*Index!EG$16+$J17*'A&amp;R'!$H$35*Index!EG$17</f>
        <v>0</v>
      </c>
      <c r="EI17" s="171">
        <f>$J17*'A&amp;R'!$G$35*Index!EH$16+$J17*'A&amp;R'!$H$35*Index!EH$17</f>
        <v>0</v>
      </c>
      <c r="EJ17" s="171">
        <f>$J17*'A&amp;R'!$G$35*Index!EI$16+$J17*'A&amp;R'!$H$35*Index!EI$17</f>
        <v>0</v>
      </c>
      <c r="EK17" s="171">
        <f>$J17*'A&amp;R'!$G$35*Index!EJ$16+$J17*'A&amp;R'!$H$35*Index!EJ$17</f>
        <v>0</v>
      </c>
      <c r="EL17" s="171">
        <f>$J17*'A&amp;R'!$G$35*Index!EK$16+$J17*'A&amp;R'!$H$35*Index!EK$17</f>
        <v>0</v>
      </c>
      <c r="EM17" s="171">
        <f>$J17*'A&amp;R'!$G$35*Index!EL$16+$J17*'A&amp;R'!$H$35*Index!EL$17</f>
        <v>0</v>
      </c>
      <c r="EN17" s="171">
        <f>$J17*'A&amp;R'!$G$35*Index!EM$16+$J17*'A&amp;R'!$H$35*Index!EM$17</f>
        <v>0</v>
      </c>
      <c r="EO17" s="171">
        <f>$J17*'A&amp;R'!$G$35*Index!EN$16+$J17*'A&amp;R'!$H$35*Index!EN$17</f>
        <v>0</v>
      </c>
      <c r="EP17" s="171">
        <f>$J17*'A&amp;R'!$G$35*Index!EO$16+$J17*'A&amp;R'!$H$35*Index!EO$17</f>
        <v>0</v>
      </c>
      <c r="EQ17" s="171">
        <f>$J17*'A&amp;R'!$G$35*Index!EP$16+$J17*'A&amp;R'!$H$35*Index!EP$17</f>
        <v>0</v>
      </c>
      <c r="ER17" s="171">
        <f>$J17*'A&amp;R'!$G$35*Index!EQ$16+$J17*'A&amp;R'!$H$35*Index!EQ$17</f>
        <v>0</v>
      </c>
    </row>
    <row r="18" spans="3:148">
      <c r="C18" s="158" t="s">
        <v>42</v>
      </c>
      <c r="D18" s="159"/>
      <c r="E18" s="159"/>
      <c r="F18" s="193"/>
      <c r="G18" s="159"/>
      <c r="H18" s="159"/>
      <c r="I18" s="160"/>
      <c r="J18" s="822">
        <f>J19</f>
        <v>1350000</v>
      </c>
      <c r="K18" s="161">
        <f>K19</f>
        <v>1350000</v>
      </c>
      <c r="L18" s="98"/>
      <c r="M18" s="162">
        <f>M19</f>
        <v>1350000</v>
      </c>
      <c r="N18" s="162">
        <f t="shared" ref="N18:BY18" si="6">N19</f>
        <v>0</v>
      </c>
      <c r="O18" s="162">
        <f t="shared" si="6"/>
        <v>0</v>
      </c>
      <c r="P18" s="162">
        <f t="shared" si="6"/>
        <v>0</v>
      </c>
      <c r="Q18" s="162">
        <f t="shared" si="6"/>
        <v>0</v>
      </c>
      <c r="R18" s="162">
        <f t="shared" si="6"/>
        <v>0</v>
      </c>
      <c r="S18" s="162">
        <f t="shared" si="6"/>
        <v>0</v>
      </c>
      <c r="T18" s="162">
        <f t="shared" si="6"/>
        <v>0</v>
      </c>
      <c r="U18" s="162">
        <f t="shared" si="6"/>
        <v>0</v>
      </c>
      <c r="V18" s="162">
        <f t="shared" si="6"/>
        <v>0</v>
      </c>
      <c r="W18" s="162">
        <f t="shared" si="6"/>
        <v>0</v>
      </c>
      <c r="X18" s="162">
        <f t="shared" si="6"/>
        <v>0</v>
      </c>
      <c r="Y18" s="162">
        <f t="shared" si="6"/>
        <v>0</v>
      </c>
      <c r="Z18" s="162">
        <f t="shared" si="6"/>
        <v>0</v>
      </c>
      <c r="AA18" s="162">
        <f t="shared" si="6"/>
        <v>0</v>
      </c>
      <c r="AB18" s="162">
        <f t="shared" si="6"/>
        <v>0</v>
      </c>
      <c r="AC18" s="162">
        <f t="shared" si="6"/>
        <v>0</v>
      </c>
      <c r="AD18" s="162">
        <f t="shared" si="6"/>
        <v>0</v>
      </c>
      <c r="AE18" s="162">
        <f t="shared" si="6"/>
        <v>0</v>
      </c>
      <c r="AF18" s="162">
        <f t="shared" si="6"/>
        <v>0</v>
      </c>
      <c r="AG18" s="162">
        <f t="shared" si="6"/>
        <v>0</v>
      </c>
      <c r="AH18" s="162">
        <f t="shared" si="6"/>
        <v>0</v>
      </c>
      <c r="AI18" s="162">
        <f t="shared" si="6"/>
        <v>0</v>
      </c>
      <c r="AJ18" s="162">
        <f t="shared" si="6"/>
        <v>0</v>
      </c>
      <c r="AK18" s="162">
        <f t="shared" si="6"/>
        <v>0</v>
      </c>
      <c r="AL18" s="162">
        <f t="shared" si="6"/>
        <v>0</v>
      </c>
      <c r="AM18" s="162">
        <f t="shared" si="6"/>
        <v>0</v>
      </c>
      <c r="AN18" s="162">
        <f t="shared" si="6"/>
        <v>0</v>
      </c>
      <c r="AO18" s="162">
        <f t="shared" si="6"/>
        <v>0</v>
      </c>
      <c r="AP18" s="162">
        <f t="shared" si="6"/>
        <v>0</v>
      </c>
      <c r="AQ18" s="162">
        <f t="shared" si="6"/>
        <v>0</v>
      </c>
      <c r="AR18" s="162">
        <f t="shared" si="6"/>
        <v>0</v>
      </c>
      <c r="AS18" s="162">
        <f t="shared" si="6"/>
        <v>0</v>
      </c>
      <c r="AT18" s="162">
        <f t="shared" si="6"/>
        <v>0</v>
      </c>
      <c r="AU18" s="162">
        <f t="shared" si="6"/>
        <v>0</v>
      </c>
      <c r="AV18" s="162">
        <f t="shared" si="6"/>
        <v>0</v>
      </c>
      <c r="AW18" s="162">
        <f t="shared" si="6"/>
        <v>0</v>
      </c>
      <c r="AX18" s="162">
        <f t="shared" si="6"/>
        <v>0</v>
      </c>
      <c r="AY18" s="162">
        <f t="shared" si="6"/>
        <v>0</v>
      </c>
      <c r="AZ18" s="162">
        <f t="shared" si="6"/>
        <v>0</v>
      </c>
      <c r="BA18" s="162">
        <f t="shared" si="6"/>
        <v>0</v>
      </c>
      <c r="BB18" s="162">
        <f t="shared" si="6"/>
        <v>0</v>
      </c>
      <c r="BC18" s="162">
        <f t="shared" si="6"/>
        <v>0</v>
      </c>
      <c r="BD18" s="162">
        <f t="shared" si="6"/>
        <v>0</v>
      </c>
      <c r="BE18" s="162">
        <f t="shared" si="6"/>
        <v>0</v>
      </c>
      <c r="BF18" s="162">
        <f t="shared" si="6"/>
        <v>0</v>
      </c>
      <c r="BG18" s="162">
        <f t="shared" si="6"/>
        <v>0</v>
      </c>
      <c r="BH18" s="162">
        <f t="shared" si="6"/>
        <v>0</v>
      </c>
      <c r="BI18" s="162">
        <f t="shared" si="6"/>
        <v>0</v>
      </c>
      <c r="BJ18" s="162">
        <f t="shared" si="6"/>
        <v>0</v>
      </c>
      <c r="BK18" s="162">
        <f t="shared" si="6"/>
        <v>0</v>
      </c>
      <c r="BL18" s="162">
        <f t="shared" si="6"/>
        <v>0</v>
      </c>
      <c r="BM18" s="162">
        <f t="shared" si="6"/>
        <v>0</v>
      </c>
      <c r="BN18" s="162">
        <f t="shared" si="6"/>
        <v>0</v>
      </c>
      <c r="BO18" s="162">
        <f t="shared" si="6"/>
        <v>0</v>
      </c>
      <c r="BP18" s="162">
        <f t="shared" si="6"/>
        <v>0</v>
      </c>
      <c r="BQ18" s="162">
        <f t="shared" si="6"/>
        <v>0</v>
      </c>
      <c r="BR18" s="162">
        <f t="shared" si="6"/>
        <v>0</v>
      </c>
      <c r="BS18" s="162">
        <f t="shared" si="6"/>
        <v>0</v>
      </c>
      <c r="BT18" s="162">
        <f t="shared" si="6"/>
        <v>0</v>
      </c>
      <c r="BU18" s="162">
        <f t="shared" si="6"/>
        <v>0</v>
      </c>
      <c r="BV18" s="162">
        <f t="shared" si="6"/>
        <v>0</v>
      </c>
      <c r="BW18" s="162">
        <f t="shared" si="6"/>
        <v>0</v>
      </c>
      <c r="BX18" s="162">
        <f t="shared" si="6"/>
        <v>0</v>
      </c>
      <c r="BY18" s="162">
        <f t="shared" si="6"/>
        <v>0</v>
      </c>
      <c r="BZ18" s="162">
        <f t="shared" ref="BZ18:EK18" si="7">BZ19</f>
        <v>0</v>
      </c>
      <c r="CA18" s="162">
        <f t="shared" si="7"/>
        <v>0</v>
      </c>
      <c r="CB18" s="162">
        <f t="shared" si="7"/>
        <v>0</v>
      </c>
      <c r="CC18" s="162">
        <f t="shared" si="7"/>
        <v>0</v>
      </c>
      <c r="CD18" s="162">
        <f t="shared" si="7"/>
        <v>0</v>
      </c>
      <c r="CE18" s="162">
        <f t="shared" si="7"/>
        <v>0</v>
      </c>
      <c r="CF18" s="162">
        <f t="shared" si="7"/>
        <v>0</v>
      </c>
      <c r="CG18" s="162">
        <f t="shared" si="7"/>
        <v>0</v>
      </c>
      <c r="CH18" s="162">
        <f t="shared" si="7"/>
        <v>0</v>
      </c>
      <c r="CI18" s="162">
        <f t="shared" si="7"/>
        <v>0</v>
      </c>
      <c r="CJ18" s="162">
        <f t="shared" si="7"/>
        <v>0</v>
      </c>
      <c r="CK18" s="162">
        <f t="shared" si="7"/>
        <v>0</v>
      </c>
      <c r="CL18" s="162">
        <f t="shared" si="7"/>
        <v>0</v>
      </c>
      <c r="CM18" s="162">
        <f t="shared" si="7"/>
        <v>0</v>
      </c>
      <c r="CN18" s="162">
        <f t="shared" si="7"/>
        <v>0</v>
      </c>
      <c r="CO18" s="162">
        <f t="shared" si="7"/>
        <v>0</v>
      </c>
      <c r="CP18" s="162">
        <f t="shared" si="7"/>
        <v>0</v>
      </c>
      <c r="CQ18" s="162">
        <f t="shared" si="7"/>
        <v>0</v>
      </c>
      <c r="CR18" s="162">
        <f t="shared" si="7"/>
        <v>0</v>
      </c>
      <c r="CS18" s="162">
        <f t="shared" si="7"/>
        <v>0</v>
      </c>
      <c r="CT18" s="162">
        <f t="shared" si="7"/>
        <v>0</v>
      </c>
      <c r="CU18" s="162">
        <f t="shared" si="7"/>
        <v>0</v>
      </c>
      <c r="CV18" s="162">
        <f t="shared" si="7"/>
        <v>0</v>
      </c>
      <c r="CW18" s="162">
        <f t="shared" si="7"/>
        <v>0</v>
      </c>
      <c r="CX18" s="162">
        <f t="shared" si="7"/>
        <v>0</v>
      </c>
      <c r="CY18" s="162">
        <f t="shared" si="7"/>
        <v>0</v>
      </c>
      <c r="CZ18" s="162">
        <f t="shared" si="7"/>
        <v>0</v>
      </c>
      <c r="DA18" s="162">
        <f t="shared" si="7"/>
        <v>0</v>
      </c>
      <c r="DB18" s="162">
        <f t="shared" si="7"/>
        <v>0</v>
      </c>
      <c r="DC18" s="162">
        <f t="shared" si="7"/>
        <v>0</v>
      </c>
      <c r="DD18" s="162">
        <f t="shared" si="7"/>
        <v>0</v>
      </c>
      <c r="DE18" s="162">
        <f t="shared" si="7"/>
        <v>0</v>
      </c>
      <c r="DF18" s="162">
        <f t="shared" si="7"/>
        <v>0</v>
      </c>
      <c r="DG18" s="162">
        <f t="shared" si="7"/>
        <v>0</v>
      </c>
      <c r="DH18" s="162">
        <f t="shared" si="7"/>
        <v>0</v>
      </c>
      <c r="DI18" s="162">
        <f t="shared" si="7"/>
        <v>0</v>
      </c>
      <c r="DJ18" s="162">
        <f t="shared" si="7"/>
        <v>0</v>
      </c>
      <c r="DK18" s="162">
        <f t="shared" si="7"/>
        <v>0</v>
      </c>
      <c r="DL18" s="162">
        <f t="shared" si="7"/>
        <v>0</v>
      </c>
      <c r="DM18" s="162">
        <f t="shared" si="7"/>
        <v>0</v>
      </c>
      <c r="DN18" s="162">
        <f t="shared" si="7"/>
        <v>0</v>
      </c>
      <c r="DO18" s="162">
        <f t="shared" si="7"/>
        <v>0</v>
      </c>
      <c r="DP18" s="162">
        <f t="shared" si="7"/>
        <v>0</v>
      </c>
      <c r="DQ18" s="162">
        <f t="shared" si="7"/>
        <v>0</v>
      </c>
      <c r="DR18" s="162">
        <f t="shared" si="7"/>
        <v>0</v>
      </c>
      <c r="DS18" s="162">
        <f t="shared" si="7"/>
        <v>0</v>
      </c>
      <c r="DT18" s="162">
        <f t="shared" si="7"/>
        <v>0</v>
      </c>
      <c r="DU18" s="162">
        <f t="shared" si="7"/>
        <v>0</v>
      </c>
      <c r="DV18" s="162">
        <f t="shared" si="7"/>
        <v>0</v>
      </c>
      <c r="DW18" s="162">
        <f t="shared" si="7"/>
        <v>0</v>
      </c>
      <c r="DX18" s="162">
        <f t="shared" si="7"/>
        <v>0</v>
      </c>
      <c r="DY18" s="162">
        <f t="shared" si="7"/>
        <v>0</v>
      </c>
      <c r="DZ18" s="162">
        <f t="shared" si="7"/>
        <v>0</v>
      </c>
      <c r="EA18" s="162">
        <f t="shared" si="7"/>
        <v>0</v>
      </c>
      <c r="EB18" s="162">
        <f t="shared" si="7"/>
        <v>0</v>
      </c>
      <c r="EC18" s="162">
        <f t="shared" si="7"/>
        <v>0</v>
      </c>
      <c r="ED18" s="162">
        <f t="shared" si="7"/>
        <v>0</v>
      </c>
      <c r="EE18" s="162">
        <f t="shared" si="7"/>
        <v>0</v>
      </c>
      <c r="EF18" s="162">
        <f t="shared" si="7"/>
        <v>0</v>
      </c>
      <c r="EG18" s="162">
        <f t="shared" si="7"/>
        <v>0</v>
      </c>
      <c r="EH18" s="162">
        <f t="shared" si="7"/>
        <v>0</v>
      </c>
      <c r="EI18" s="162">
        <f t="shared" si="7"/>
        <v>0</v>
      </c>
      <c r="EJ18" s="162">
        <f t="shared" si="7"/>
        <v>0</v>
      </c>
      <c r="EK18" s="162">
        <f t="shared" si="7"/>
        <v>0</v>
      </c>
      <c r="EL18" s="162">
        <f t="shared" ref="EL18:ER18" si="8">EL19</f>
        <v>0</v>
      </c>
      <c r="EM18" s="162">
        <f t="shared" si="8"/>
        <v>0</v>
      </c>
      <c r="EN18" s="162">
        <f t="shared" si="8"/>
        <v>0</v>
      </c>
      <c r="EO18" s="162">
        <f t="shared" si="8"/>
        <v>0</v>
      </c>
      <c r="EP18" s="162">
        <f t="shared" si="8"/>
        <v>0</v>
      </c>
      <c r="EQ18" s="162">
        <f t="shared" si="8"/>
        <v>0</v>
      </c>
      <c r="ER18" s="162">
        <f t="shared" si="8"/>
        <v>0</v>
      </c>
    </row>
    <row r="19" spans="3:148">
      <c r="C19" s="163"/>
      <c r="D19" s="164" t="s">
        <v>174</v>
      </c>
      <c r="E19" s="165"/>
      <c r="F19" s="815">
        <f>F17</f>
        <v>270000000</v>
      </c>
      <c r="G19" s="817" t="s">
        <v>503</v>
      </c>
      <c r="H19" s="850">
        <v>5.0000000000000001E-3</v>
      </c>
      <c r="I19" s="166"/>
      <c r="J19" s="823">
        <f>F19*H19</f>
        <v>1350000</v>
      </c>
      <c r="K19" s="167">
        <f>SUM(M19:ER19)</f>
        <v>1350000</v>
      </c>
      <c r="L19" s="98"/>
      <c r="M19" s="168">
        <f>$J19*Index!L$17</f>
        <v>1350000</v>
      </c>
      <c r="N19" s="168">
        <f>$J19*Index!M$17</f>
        <v>0</v>
      </c>
      <c r="O19" s="168">
        <f>$J19*Index!N$17</f>
        <v>0</v>
      </c>
      <c r="P19" s="168">
        <f>$J19*Index!O$17</f>
        <v>0</v>
      </c>
      <c r="Q19" s="168">
        <f>$J19*Index!P$17</f>
        <v>0</v>
      </c>
      <c r="R19" s="168">
        <f>$J19*Index!Q$17</f>
        <v>0</v>
      </c>
      <c r="S19" s="168">
        <f>$J19*Index!R$17</f>
        <v>0</v>
      </c>
      <c r="T19" s="168">
        <f>$J19*Index!S$17</f>
        <v>0</v>
      </c>
      <c r="U19" s="168">
        <f>$J19*Index!T$17</f>
        <v>0</v>
      </c>
      <c r="V19" s="168">
        <f>$J19*Index!U$17</f>
        <v>0</v>
      </c>
      <c r="W19" s="168">
        <f>$J19*Index!V$17</f>
        <v>0</v>
      </c>
      <c r="X19" s="168">
        <f>$J19*Index!W$17</f>
        <v>0</v>
      </c>
      <c r="Y19" s="168">
        <f>$J19*Index!X$17</f>
        <v>0</v>
      </c>
      <c r="Z19" s="168">
        <f>$J19*Index!Y$17</f>
        <v>0</v>
      </c>
      <c r="AA19" s="168">
        <f>$J19*Index!Z$17</f>
        <v>0</v>
      </c>
      <c r="AB19" s="168">
        <f>$J19*Index!AA$17</f>
        <v>0</v>
      </c>
      <c r="AC19" s="168">
        <f>$J19*Index!AB$17</f>
        <v>0</v>
      </c>
      <c r="AD19" s="168">
        <f>$J19*Index!AC$17</f>
        <v>0</v>
      </c>
      <c r="AE19" s="168">
        <f>$J19*Index!AD$17</f>
        <v>0</v>
      </c>
      <c r="AF19" s="168">
        <f>$J19*Index!AE$17</f>
        <v>0</v>
      </c>
      <c r="AG19" s="168">
        <f>$J19*Index!AF$17</f>
        <v>0</v>
      </c>
      <c r="AH19" s="168">
        <f>$J19*Index!AG$17</f>
        <v>0</v>
      </c>
      <c r="AI19" s="168">
        <f>$J19*Index!AH$17</f>
        <v>0</v>
      </c>
      <c r="AJ19" s="168">
        <f>$J19*Index!AI$17</f>
        <v>0</v>
      </c>
      <c r="AK19" s="168">
        <f>$J19*Index!AJ$17</f>
        <v>0</v>
      </c>
      <c r="AL19" s="168">
        <f>$J19*Index!AK$17</f>
        <v>0</v>
      </c>
      <c r="AM19" s="168">
        <f>$J19*Index!AL$17</f>
        <v>0</v>
      </c>
      <c r="AN19" s="168">
        <f>$J19*Index!AM$17</f>
        <v>0</v>
      </c>
      <c r="AO19" s="168">
        <f>$J19*Index!AN$17</f>
        <v>0</v>
      </c>
      <c r="AP19" s="168">
        <f>$J19*Index!AO$17</f>
        <v>0</v>
      </c>
      <c r="AQ19" s="168">
        <f>$J19*Index!AP$17</f>
        <v>0</v>
      </c>
      <c r="AR19" s="168">
        <f>$J19*Index!AQ$17</f>
        <v>0</v>
      </c>
      <c r="AS19" s="168">
        <f>$J19*Index!AR$17</f>
        <v>0</v>
      </c>
      <c r="AT19" s="168">
        <f>$J19*Index!AS$17</f>
        <v>0</v>
      </c>
      <c r="AU19" s="168">
        <f>$J19*Index!AT$17</f>
        <v>0</v>
      </c>
      <c r="AV19" s="168">
        <f>$J19*Index!AU$17</f>
        <v>0</v>
      </c>
      <c r="AW19" s="168">
        <f>$J19*Index!AV$17</f>
        <v>0</v>
      </c>
      <c r="AX19" s="168">
        <f>$J19*Index!AW$17</f>
        <v>0</v>
      </c>
      <c r="AY19" s="168">
        <f>$J19*Index!AX$17</f>
        <v>0</v>
      </c>
      <c r="AZ19" s="168">
        <f>$J19*Index!AY$17</f>
        <v>0</v>
      </c>
      <c r="BA19" s="168">
        <f>$J19*Index!AZ$17</f>
        <v>0</v>
      </c>
      <c r="BB19" s="168">
        <f>$J19*Index!BA$17</f>
        <v>0</v>
      </c>
      <c r="BC19" s="168">
        <f>$J19*Index!BB$17</f>
        <v>0</v>
      </c>
      <c r="BD19" s="168">
        <f>$J19*Index!BC$17</f>
        <v>0</v>
      </c>
      <c r="BE19" s="168">
        <f>$J19*Index!BD$17</f>
        <v>0</v>
      </c>
      <c r="BF19" s="168">
        <f>$J19*Index!BE$17</f>
        <v>0</v>
      </c>
      <c r="BG19" s="168">
        <f>$J19*Index!BF$17</f>
        <v>0</v>
      </c>
      <c r="BH19" s="168">
        <f>$J19*Index!BG$17</f>
        <v>0</v>
      </c>
      <c r="BI19" s="168">
        <f>$J19*Index!BH$17</f>
        <v>0</v>
      </c>
      <c r="BJ19" s="168">
        <f>$J19*Index!BI$17</f>
        <v>0</v>
      </c>
      <c r="BK19" s="168">
        <f>$J19*Index!BJ$17</f>
        <v>0</v>
      </c>
      <c r="BL19" s="168">
        <f>$J19*Index!BK$17</f>
        <v>0</v>
      </c>
      <c r="BM19" s="168">
        <f>$J19*Index!BL$17</f>
        <v>0</v>
      </c>
      <c r="BN19" s="168">
        <f>$J19*Index!BM$17</f>
        <v>0</v>
      </c>
      <c r="BO19" s="168">
        <f>$J19*Index!BN$17</f>
        <v>0</v>
      </c>
      <c r="BP19" s="168">
        <f>$J19*Index!BO$17</f>
        <v>0</v>
      </c>
      <c r="BQ19" s="168">
        <f>$J19*Index!BP$17</f>
        <v>0</v>
      </c>
      <c r="BR19" s="168">
        <f>$J19*Index!BQ$17</f>
        <v>0</v>
      </c>
      <c r="BS19" s="168">
        <f>$J19*Index!BR$17</f>
        <v>0</v>
      </c>
      <c r="BT19" s="168">
        <f>$J19*Index!BS$17</f>
        <v>0</v>
      </c>
      <c r="BU19" s="168">
        <f>$J19*Index!BT$17</f>
        <v>0</v>
      </c>
      <c r="BV19" s="168">
        <f>$J19*Index!BU$17</f>
        <v>0</v>
      </c>
      <c r="BW19" s="168">
        <f>$J19*Index!BV$17</f>
        <v>0</v>
      </c>
      <c r="BX19" s="168">
        <f>$J19*Index!BW$17</f>
        <v>0</v>
      </c>
      <c r="BY19" s="168">
        <f>$J19*Index!BX$17</f>
        <v>0</v>
      </c>
      <c r="BZ19" s="168">
        <f>$J19*Index!BY$17</f>
        <v>0</v>
      </c>
      <c r="CA19" s="168">
        <f>$J19*Index!BZ$17</f>
        <v>0</v>
      </c>
      <c r="CB19" s="168">
        <f>$J19*Index!CA$17</f>
        <v>0</v>
      </c>
      <c r="CC19" s="168">
        <f>$J19*Index!CB$17</f>
        <v>0</v>
      </c>
      <c r="CD19" s="168">
        <f>$J19*Index!CC$17</f>
        <v>0</v>
      </c>
      <c r="CE19" s="168">
        <f>$J19*Index!CD$17</f>
        <v>0</v>
      </c>
      <c r="CF19" s="168">
        <f>$J19*Index!CE$17</f>
        <v>0</v>
      </c>
      <c r="CG19" s="168">
        <f>$J19*Index!CF$17</f>
        <v>0</v>
      </c>
      <c r="CH19" s="168">
        <f>$J19*Index!CG$17</f>
        <v>0</v>
      </c>
      <c r="CI19" s="168">
        <f>$J19*Index!CH$17</f>
        <v>0</v>
      </c>
      <c r="CJ19" s="168">
        <f>$J19*Index!CI$17</f>
        <v>0</v>
      </c>
      <c r="CK19" s="168">
        <f>$J19*Index!CJ$17</f>
        <v>0</v>
      </c>
      <c r="CL19" s="168">
        <f>$J19*Index!CK$17</f>
        <v>0</v>
      </c>
      <c r="CM19" s="168">
        <f>$J19*Index!CL$17</f>
        <v>0</v>
      </c>
      <c r="CN19" s="168">
        <f>$J19*Index!CM$17</f>
        <v>0</v>
      </c>
      <c r="CO19" s="168">
        <f>$J19*Index!CN$17</f>
        <v>0</v>
      </c>
      <c r="CP19" s="168">
        <f>$J19*Index!CO$17</f>
        <v>0</v>
      </c>
      <c r="CQ19" s="168">
        <f>$J19*Index!CP$17</f>
        <v>0</v>
      </c>
      <c r="CR19" s="168">
        <f>$J19*Index!CQ$17</f>
        <v>0</v>
      </c>
      <c r="CS19" s="168">
        <f>$J19*Index!CR$17</f>
        <v>0</v>
      </c>
      <c r="CT19" s="168">
        <f>$J19*Index!CS$17</f>
        <v>0</v>
      </c>
      <c r="CU19" s="168">
        <f>$J19*Index!CT$17</f>
        <v>0</v>
      </c>
      <c r="CV19" s="168">
        <f>$J19*Index!CU$17</f>
        <v>0</v>
      </c>
      <c r="CW19" s="168">
        <f>$J19*Index!CV$17</f>
        <v>0</v>
      </c>
      <c r="CX19" s="168">
        <f>$J19*Index!CW$17</f>
        <v>0</v>
      </c>
      <c r="CY19" s="168">
        <f>$J19*Index!CX$17</f>
        <v>0</v>
      </c>
      <c r="CZ19" s="168">
        <f>$J19*Index!CY$17</f>
        <v>0</v>
      </c>
      <c r="DA19" s="168">
        <f>$J19*Index!CZ$17</f>
        <v>0</v>
      </c>
      <c r="DB19" s="168">
        <f>$J19*Index!DA$17</f>
        <v>0</v>
      </c>
      <c r="DC19" s="168">
        <f>$J19*Index!DB$17</f>
        <v>0</v>
      </c>
      <c r="DD19" s="168">
        <f>$J19*Index!DC$17</f>
        <v>0</v>
      </c>
      <c r="DE19" s="168">
        <f>$J19*Index!DD$17</f>
        <v>0</v>
      </c>
      <c r="DF19" s="168">
        <f>$J19*Index!DE$17</f>
        <v>0</v>
      </c>
      <c r="DG19" s="168">
        <f>$J19*Index!DF$17</f>
        <v>0</v>
      </c>
      <c r="DH19" s="168">
        <f>$J19*Index!DG$17</f>
        <v>0</v>
      </c>
      <c r="DI19" s="168">
        <f>$J19*Index!DH$17</f>
        <v>0</v>
      </c>
      <c r="DJ19" s="168">
        <f>$J19*Index!DI$17</f>
        <v>0</v>
      </c>
      <c r="DK19" s="168">
        <f>$J19*Index!DJ$17</f>
        <v>0</v>
      </c>
      <c r="DL19" s="168">
        <f>$J19*Index!DK$17</f>
        <v>0</v>
      </c>
      <c r="DM19" s="168">
        <f>$J19*Index!DL$17</f>
        <v>0</v>
      </c>
      <c r="DN19" s="168">
        <f>$J19*Index!DM$17</f>
        <v>0</v>
      </c>
      <c r="DO19" s="168">
        <f>$J19*Index!DN$17</f>
        <v>0</v>
      </c>
      <c r="DP19" s="168">
        <f>$J19*Index!DO$17</f>
        <v>0</v>
      </c>
      <c r="DQ19" s="168">
        <f>$J19*Index!DP$17</f>
        <v>0</v>
      </c>
      <c r="DR19" s="168">
        <f>$J19*Index!DQ$17</f>
        <v>0</v>
      </c>
      <c r="DS19" s="168">
        <f>$J19*Index!DR$17</f>
        <v>0</v>
      </c>
      <c r="DT19" s="168">
        <f>$J19*Index!DS$17</f>
        <v>0</v>
      </c>
      <c r="DU19" s="168">
        <f>$J19*Index!DT$17</f>
        <v>0</v>
      </c>
      <c r="DV19" s="168">
        <f>$J19*Index!DU$17</f>
        <v>0</v>
      </c>
      <c r="DW19" s="168">
        <f>$J19*Index!DV$17</f>
        <v>0</v>
      </c>
      <c r="DX19" s="168">
        <f>$J19*Index!DW$17</f>
        <v>0</v>
      </c>
      <c r="DY19" s="168">
        <f>$J19*Index!DX$17</f>
        <v>0</v>
      </c>
      <c r="DZ19" s="168">
        <f>$J19*Index!DY$17</f>
        <v>0</v>
      </c>
      <c r="EA19" s="168">
        <f>$J19*Index!DZ$17</f>
        <v>0</v>
      </c>
      <c r="EB19" s="168">
        <f>$J19*Index!EA$17</f>
        <v>0</v>
      </c>
      <c r="EC19" s="168">
        <f>$J19*Index!EB$17</f>
        <v>0</v>
      </c>
      <c r="ED19" s="168">
        <f>$J19*Index!EC$17</f>
        <v>0</v>
      </c>
      <c r="EE19" s="168">
        <f>$J19*Index!ED$17</f>
        <v>0</v>
      </c>
      <c r="EF19" s="168">
        <f>$J19*Index!EE$17</f>
        <v>0</v>
      </c>
      <c r="EG19" s="168">
        <f>$J19*Index!EF$17</f>
        <v>0</v>
      </c>
      <c r="EH19" s="168">
        <f>$J19*Index!EG$17</f>
        <v>0</v>
      </c>
      <c r="EI19" s="168">
        <f>$J19*Index!EH$17</f>
        <v>0</v>
      </c>
      <c r="EJ19" s="168">
        <f>$J19*Index!EI$17</f>
        <v>0</v>
      </c>
      <c r="EK19" s="168">
        <f>$J19*Index!EJ$17</f>
        <v>0</v>
      </c>
      <c r="EL19" s="168">
        <f>$J19*Index!EK$17</f>
        <v>0</v>
      </c>
      <c r="EM19" s="168">
        <f>$J19*Index!EL$17</f>
        <v>0</v>
      </c>
      <c r="EN19" s="168">
        <f>$J19*Index!EM$17</f>
        <v>0</v>
      </c>
      <c r="EO19" s="168">
        <f>$J19*Index!EN$17</f>
        <v>0</v>
      </c>
      <c r="EP19" s="168">
        <f>$J19*Index!EO$17</f>
        <v>0</v>
      </c>
      <c r="EQ19" s="168">
        <f>$J19*Index!EP$17</f>
        <v>0</v>
      </c>
      <c r="ER19" s="168">
        <f>$J19*Index!EQ$17</f>
        <v>0</v>
      </c>
    </row>
    <row r="20" spans="3:148">
      <c r="C20" s="158" t="s">
        <v>175</v>
      </c>
      <c r="D20" s="159"/>
      <c r="E20" s="159"/>
      <c r="F20" s="193"/>
      <c r="G20" s="159"/>
      <c r="H20" s="159"/>
      <c r="I20" s="160"/>
      <c r="J20" s="822">
        <f>SUM(J21:J26)</f>
        <v>346315.1</v>
      </c>
      <c r="K20" s="161">
        <f>SUM(K21:K26)</f>
        <v>346315.1</v>
      </c>
      <c r="L20" s="98"/>
      <c r="M20" s="162">
        <f>SUM(M21:M26)</f>
        <v>346315.1</v>
      </c>
      <c r="N20" s="162">
        <f t="shared" ref="N20:S20" si="9">SUM(N21:N26)</f>
        <v>0</v>
      </c>
      <c r="O20" s="162">
        <f t="shared" si="9"/>
        <v>0</v>
      </c>
      <c r="P20" s="162">
        <f t="shared" si="9"/>
        <v>0</v>
      </c>
      <c r="Q20" s="162">
        <f t="shared" si="9"/>
        <v>0</v>
      </c>
      <c r="R20" s="162">
        <f t="shared" si="9"/>
        <v>0</v>
      </c>
      <c r="S20" s="162">
        <f t="shared" si="9"/>
        <v>0</v>
      </c>
      <c r="T20" s="162">
        <f t="shared" ref="T20:CE20" si="10">SUM(T21:T26)</f>
        <v>0</v>
      </c>
      <c r="U20" s="162">
        <f t="shared" si="10"/>
        <v>0</v>
      </c>
      <c r="V20" s="162">
        <f t="shared" si="10"/>
        <v>0</v>
      </c>
      <c r="W20" s="162">
        <f t="shared" si="10"/>
        <v>0</v>
      </c>
      <c r="X20" s="162">
        <f t="shared" si="10"/>
        <v>0</v>
      </c>
      <c r="Y20" s="162">
        <f t="shared" si="10"/>
        <v>0</v>
      </c>
      <c r="Z20" s="162">
        <f t="shared" si="10"/>
        <v>0</v>
      </c>
      <c r="AA20" s="162">
        <f t="shared" si="10"/>
        <v>0</v>
      </c>
      <c r="AB20" s="162">
        <f t="shared" si="10"/>
        <v>0</v>
      </c>
      <c r="AC20" s="162">
        <f t="shared" si="10"/>
        <v>0</v>
      </c>
      <c r="AD20" s="162">
        <f t="shared" si="10"/>
        <v>0</v>
      </c>
      <c r="AE20" s="162">
        <f t="shared" si="10"/>
        <v>0</v>
      </c>
      <c r="AF20" s="162">
        <f t="shared" si="10"/>
        <v>0</v>
      </c>
      <c r="AG20" s="162">
        <f t="shared" si="10"/>
        <v>0</v>
      </c>
      <c r="AH20" s="162">
        <f t="shared" si="10"/>
        <v>0</v>
      </c>
      <c r="AI20" s="162">
        <f t="shared" si="10"/>
        <v>0</v>
      </c>
      <c r="AJ20" s="162">
        <f t="shared" si="10"/>
        <v>0</v>
      </c>
      <c r="AK20" s="162">
        <f t="shared" si="10"/>
        <v>0</v>
      </c>
      <c r="AL20" s="162">
        <f t="shared" si="10"/>
        <v>0</v>
      </c>
      <c r="AM20" s="162">
        <f t="shared" si="10"/>
        <v>0</v>
      </c>
      <c r="AN20" s="162">
        <f t="shared" si="10"/>
        <v>0</v>
      </c>
      <c r="AO20" s="162">
        <f t="shared" si="10"/>
        <v>0</v>
      </c>
      <c r="AP20" s="162">
        <f t="shared" si="10"/>
        <v>0</v>
      </c>
      <c r="AQ20" s="162">
        <f t="shared" si="10"/>
        <v>0</v>
      </c>
      <c r="AR20" s="162">
        <f t="shared" si="10"/>
        <v>0</v>
      </c>
      <c r="AS20" s="162">
        <f t="shared" si="10"/>
        <v>0</v>
      </c>
      <c r="AT20" s="162">
        <f t="shared" si="10"/>
        <v>0</v>
      </c>
      <c r="AU20" s="162">
        <f t="shared" si="10"/>
        <v>0</v>
      </c>
      <c r="AV20" s="162">
        <f t="shared" si="10"/>
        <v>0</v>
      </c>
      <c r="AW20" s="162">
        <f t="shared" si="10"/>
        <v>0</v>
      </c>
      <c r="AX20" s="162">
        <f t="shared" si="10"/>
        <v>0</v>
      </c>
      <c r="AY20" s="162">
        <f t="shared" si="10"/>
        <v>0</v>
      </c>
      <c r="AZ20" s="162">
        <f t="shared" si="10"/>
        <v>0</v>
      </c>
      <c r="BA20" s="162">
        <f t="shared" si="10"/>
        <v>0</v>
      </c>
      <c r="BB20" s="162">
        <f t="shared" si="10"/>
        <v>0</v>
      </c>
      <c r="BC20" s="162">
        <f t="shared" si="10"/>
        <v>0</v>
      </c>
      <c r="BD20" s="162">
        <f t="shared" si="10"/>
        <v>0</v>
      </c>
      <c r="BE20" s="162">
        <f t="shared" si="10"/>
        <v>0</v>
      </c>
      <c r="BF20" s="162">
        <f t="shared" si="10"/>
        <v>0</v>
      </c>
      <c r="BG20" s="162">
        <f t="shared" si="10"/>
        <v>0</v>
      </c>
      <c r="BH20" s="162">
        <f t="shared" si="10"/>
        <v>0</v>
      </c>
      <c r="BI20" s="162">
        <f t="shared" si="10"/>
        <v>0</v>
      </c>
      <c r="BJ20" s="162">
        <f t="shared" si="10"/>
        <v>0</v>
      </c>
      <c r="BK20" s="162">
        <f t="shared" si="10"/>
        <v>0</v>
      </c>
      <c r="BL20" s="162">
        <f t="shared" si="10"/>
        <v>0</v>
      </c>
      <c r="BM20" s="162">
        <f t="shared" si="10"/>
        <v>0</v>
      </c>
      <c r="BN20" s="162">
        <f t="shared" si="10"/>
        <v>0</v>
      </c>
      <c r="BO20" s="162">
        <f t="shared" si="10"/>
        <v>0</v>
      </c>
      <c r="BP20" s="162">
        <f t="shared" si="10"/>
        <v>0</v>
      </c>
      <c r="BQ20" s="162">
        <f t="shared" si="10"/>
        <v>0</v>
      </c>
      <c r="BR20" s="162">
        <f t="shared" si="10"/>
        <v>0</v>
      </c>
      <c r="BS20" s="162">
        <f t="shared" si="10"/>
        <v>0</v>
      </c>
      <c r="BT20" s="162">
        <f t="shared" si="10"/>
        <v>0</v>
      </c>
      <c r="BU20" s="162">
        <f t="shared" si="10"/>
        <v>0</v>
      </c>
      <c r="BV20" s="162">
        <f t="shared" si="10"/>
        <v>0</v>
      </c>
      <c r="BW20" s="162">
        <f t="shared" si="10"/>
        <v>0</v>
      </c>
      <c r="BX20" s="162">
        <f t="shared" si="10"/>
        <v>0</v>
      </c>
      <c r="BY20" s="162">
        <f t="shared" si="10"/>
        <v>0</v>
      </c>
      <c r="BZ20" s="162">
        <f t="shared" si="10"/>
        <v>0</v>
      </c>
      <c r="CA20" s="162">
        <f t="shared" si="10"/>
        <v>0</v>
      </c>
      <c r="CB20" s="162">
        <f t="shared" si="10"/>
        <v>0</v>
      </c>
      <c r="CC20" s="162">
        <f t="shared" si="10"/>
        <v>0</v>
      </c>
      <c r="CD20" s="162">
        <f t="shared" si="10"/>
        <v>0</v>
      </c>
      <c r="CE20" s="162">
        <f t="shared" si="10"/>
        <v>0</v>
      </c>
      <c r="CF20" s="162">
        <f t="shared" ref="CF20:EQ20" si="11">SUM(CF21:CF26)</f>
        <v>0</v>
      </c>
      <c r="CG20" s="162">
        <f t="shared" si="11"/>
        <v>0</v>
      </c>
      <c r="CH20" s="162">
        <f t="shared" si="11"/>
        <v>0</v>
      </c>
      <c r="CI20" s="162">
        <f t="shared" si="11"/>
        <v>0</v>
      </c>
      <c r="CJ20" s="162">
        <f t="shared" si="11"/>
        <v>0</v>
      </c>
      <c r="CK20" s="162">
        <f t="shared" si="11"/>
        <v>0</v>
      </c>
      <c r="CL20" s="162">
        <f t="shared" si="11"/>
        <v>0</v>
      </c>
      <c r="CM20" s="162">
        <f t="shared" si="11"/>
        <v>0</v>
      </c>
      <c r="CN20" s="162">
        <f t="shared" si="11"/>
        <v>0</v>
      </c>
      <c r="CO20" s="162">
        <f t="shared" si="11"/>
        <v>0</v>
      </c>
      <c r="CP20" s="162">
        <f t="shared" si="11"/>
        <v>0</v>
      </c>
      <c r="CQ20" s="162">
        <f t="shared" si="11"/>
        <v>0</v>
      </c>
      <c r="CR20" s="162">
        <f t="shared" si="11"/>
        <v>0</v>
      </c>
      <c r="CS20" s="162">
        <f t="shared" si="11"/>
        <v>0</v>
      </c>
      <c r="CT20" s="162">
        <f t="shared" si="11"/>
        <v>0</v>
      </c>
      <c r="CU20" s="162">
        <f t="shared" si="11"/>
        <v>0</v>
      </c>
      <c r="CV20" s="162">
        <f t="shared" si="11"/>
        <v>0</v>
      </c>
      <c r="CW20" s="162">
        <f t="shared" si="11"/>
        <v>0</v>
      </c>
      <c r="CX20" s="162">
        <f t="shared" si="11"/>
        <v>0</v>
      </c>
      <c r="CY20" s="162">
        <f t="shared" si="11"/>
        <v>0</v>
      </c>
      <c r="CZ20" s="162">
        <f t="shared" si="11"/>
        <v>0</v>
      </c>
      <c r="DA20" s="162">
        <f t="shared" si="11"/>
        <v>0</v>
      </c>
      <c r="DB20" s="162">
        <f t="shared" si="11"/>
        <v>0</v>
      </c>
      <c r="DC20" s="162">
        <f t="shared" si="11"/>
        <v>0</v>
      </c>
      <c r="DD20" s="162">
        <f t="shared" si="11"/>
        <v>0</v>
      </c>
      <c r="DE20" s="162">
        <f t="shared" si="11"/>
        <v>0</v>
      </c>
      <c r="DF20" s="162">
        <f t="shared" si="11"/>
        <v>0</v>
      </c>
      <c r="DG20" s="162">
        <f t="shared" si="11"/>
        <v>0</v>
      </c>
      <c r="DH20" s="162">
        <f t="shared" si="11"/>
        <v>0</v>
      </c>
      <c r="DI20" s="162">
        <f t="shared" si="11"/>
        <v>0</v>
      </c>
      <c r="DJ20" s="162">
        <f t="shared" si="11"/>
        <v>0</v>
      </c>
      <c r="DK20" s="162">
        <f t="shared" si="11"/>
        <v>0</v>
      </c>
      <c r="DL20" s="162">
        <f t="shared" si="11"/>
        <v>0</v>
      </c>
      <c r="DM20" s="162">
        <f t="shared" si="11"/>
        <v>0</v>
      </c>
      <c r="DN20" s="162">
        <f t="shared" si="11"/>
        <v>0</v>
      </c>
      <c r="DO20" s="162">
        <f t="shared" si="11"/>
        <v>0</v>
      </c>
      <c r="DP20" s="162">
        <f t="shared" si="11"/>
        <v>0</v>
      </c>
      <c r="DQ20" s="162">
        <f t="shared" si="11"/>
        <v>0</v>
      </c>
      <c r="DR20" s="162">
        <f t="shared" si="11"/>
        <v>0</v>
      </c>
      <c r="DS20" s="162">
        <f t="shared" si="11"/>
        <v>0</v>
      </c>
      <c r="DT20" s="162">
        <f t="shared" si="11"/>
        <v>0</v>
      </c>
      <c r="DU20" s="162">
        <f t="shared" si="11"/>
        <v>0</v>
      </c>
      <c r="DV20" s="162">
        <f t="shared" si="11"/>
        <v>0</v>
      </c>
      <c r="DW20" s="162">
        <f t="shared" si="11"/>
        <v>0</v>
      </c>
      <c r="DX20" s="162">
        <f t="shared" si="11"/>
        <v>0</v>
      </c>
      <c r="DY20" s="162">
        <f t="shared" si="11"/>
        <v>0</v>
      </c>
      <c r="DZ20" s="162">
        <f t="shared" si="11"/>
        <v>0</v>
      </c>
      <c r="EA20" s="162">
        <f t="shared" si="11"/>
        <v>0</v>
      </c>
      <c r="EB20" s="162">
        <f t="shared" si="11"/>
        <v>0</v>
      </c>
      <c r="EC20" s="162">
        <f t="shared" si="11"/>
        <v>0</v>
      </c>
      <c r="ED20" s="162">
        <f t="shared" si="11"/>
        <v>0</v>
      </c>
      <c r="EE20" s="162">
        <f t="shared" si="11"/>
        <v>0</v>
      </c>
      <c r="EF20" s="162">
        <f t="shared" si="11"/>
        <v>0</v>
      </c>
      <c r="EG20" s="162">
        <f t="shared" si="11"/>
        <v>0</v>
      </c>
      <c r="EH20" s="162">
        <f t="shared" si="11"/>
        <v>0</v>
      </c>
      <c r="EI20" s="162">
        <f t="shared" si="11"/>
        <v>0</v>
      </c>
      <c r="EJ20" s="162">
        <f t="shared" si="11"/>
        <v>0</v>
      </c>
      <c r="EK20" s="162">
        <f t="shared" si="11"/>
        <v>0</v>
      </c>
      <c r="EL20" s="162">
        <f t="shared" si="11"/>
        <v>0</v>
      </c>
      <c r="EM20" s="162">
        <f t="shared" si="11"/>
        <v>0</v>
      </c>
      <c r="EN20" s="162">
        <f t="shared" si="11"/>
        <v>0</v>
      </c>
      <c r="EO20" s="162">
        <f t="shared" si="11"/>
        <v>0</v>
      </c>
      <c r="EP20" s="162">
        <f t="shared" si="11"/>
        <v>0</v>
      </c>
      <c r="EQ20" s="162">
        <f t="shared" si="11"/>
        <v>0</v>
      </c>
      <c r="ER20" s="162">
        <f>SUM(ER21:ER26)</f>
        <v>0</v>
      </c>
    </row>
    <row r="21" spans="3:148">
      <c r="C21" s="163"/>
      <c r="D21" s="164" t="str">
        <f>'A&amp;R'!M11</f>
        <v>감정평가수수료</v>
      </c>
      <c r="E21" s="165"/>
      <c r="F21" s="851">
        <f>85315100/1000</f>
        <v>85315.1</v>
      </c>
      <c r="G21" s="165"/>
      <c r="H21" s="165"/>
      <c r="I21" s="166"/>
      <c r="J21" s="820">
        <f t="shared" ref="J21:J26" si="12">$F21</f>
        <v>85315.1</v>
      </c>
      <c r="K21" s="167">
        <f t="shared" ref="K21:K26" si="13">SUM(M21:ER21)</f>
        <v>85315.1</v>
      </c>
      <c r="L21" s="98"/>
      <c r="M21" s="168">
        <f>$J21*Index!L$17</f>
        <v>85315.1</v>
      </c>
      <c r="N21" s="168">
        <f>$J21*Index!M$17</f>
        <v>0</v>
      </c>
      <c r="O21" s="168">
        <f>$J21*Index!N$17</f>
        <v>0</v>
      </c>
      <c r="P21" s="168">
        <f>$J21*Index!O$17</f>
        <v>0</v>
      </c>
      <c r="Q21" s="168">
        <f>$J21*Index!P$17</f>
        <v>0</v>
      </c>
      <c r="R21" s="168">
        <f>$J21*Index!Q$17</f>
        <v>0</v>
      </c>
      <c r="S21" s="168">
        <f>$J21*Index!R$17</f>
        <v>0</v>
      </c>
      <c r="T21" s="168">
        <f>$J21*Index!S$17</f>
        <v>0</v>
      </c>
      <c r="U21" s="168">
        <f>$J21*Index!T$17</f>
        <v>0</v>
      </c>
      <c r="V21" s="168">
        <f>$J21*Index!U$17</f>
        <v>0</v>
      </c>
      <c r="W21" s="168">
        <f>$J21*Index!V$17</f>
        <v>0</v>
      </c>
      <c r="X21" s="168">
        <f>$J21*Index!W$17</f>
        <v>0</v>
      </c>
      <c r="Y21" s="168">
        <f>$J21*Index!X$17</f>
        <v>0</v>
      </c>
      <c r="Z21" s="168">
        <f>$J21*Index!Y$17</f>
        <v>0</v>
      </c>
      <c r="AA21" s="168">
        <f>$J21*Index!Z$17</f>
        <v>0</v>
      </c>
      <c r="AB21" s="168">
        <f>$J21*Index!AA$17</f>
        <v>0</v>
      </c>
      <c r="AC21" s="168">
        <f>$J21*Index!AB$17</f>
        <v>0</v>
      </c>
      <c r="AD21" s="168">
        <f>$J21*Index!AC$17</f>
        <v>0</v>
      </c>
      <c r="AE21" s="168">
        <f>$J21*Index!AD$17</f>
        <v>0</v>
      </c>
      <c r="AF21" s="168">
        <f>$J21*Index!AE$17</f>
        <v>0</v>
      </c>
      <c r="AG21" s="168">
        <f>$J21*Index!AF$17</f>
        <v>0</v>
      </c>
      <c r="AH21" s="168">
        <f>$J21*Index!AG$17</f>
        <v>0</v>
      </c>
      <c r="AI21" s="168">
        <f>$J21*Index!AH$17</f>
        <v>0</v>
      </c>
      <c r="AJ21" s="168">
        <f>$J21*Index!AI$17</f>
        <v>0</v>
      </c>
      <c r="AK21" s="168">
        <f>$J21*Index!AJ$17</f>
        <v>0</v>
      </c>
      <c r="AL21" s="168">
        <f>$J21*Index!AK$17</f>
        <v>0</v>
      </c>
      <c r="AM21" s="168">
        <f>$J21*Index!AL$17</f>
        <v>0</v>
      </c>
      <c r="AN21" s="168">
        <f>$J21*Index!AM$17</f>
        <v>0</v>
      </c>
      <c r="AO21" s="168">
        <f>$J21*Index!AN$17</f>
        <v>0</v>
      </c>
      <c r="AP21" s="168">
        <f>$J21*Index!AO$17</f>
        <v>0</v>
      </c>
      <c r="AQ21" s="168">
        <f>$J21*Index!AP$17</f>
        <v>0</v>
      </c>
      <c r="AR21" s="168">
        <f>$J21*Index!AQ$17</f>
        <v>0</v>
      </c>
      <c r="AS21" s="168">
        <f>$J21*Index!AR$17</f>
        <v>0</v>
      </c>
      <c r="AT21" s="168">
        <f>$J21*Index!AS$17</f>
        <v>0</v>
      </c>
      <c r="AU21" s="168">
        <f>$J21*Index!AT$17</f>
        <v>0</v>
      </c>
      <c r="AV21" s="168">
        <f>$J21*Index!AU$17</f>
        <v>0</v>
      </c>
      <c r="AW21" s="168">
        <f>$J21*Index!AV$17</f>
        <v>0</v>
      </c>
      <c r="AX21" s="168">
        <f>$J21*Index!AW$17</f>
        <v>0</v>
      </c>
      <c r="AY21" s="168">
        <f>$J21*Index!AX$17</f>
        <v>0</v>
      </c>
      <c r="AZ21" s="168">
        <f>$J21*Index!AY$17</f>
        <v>0</v>
      </c>
      <c r="BA21" s="168">
        <f>$J21*Index!AZ$17</f>
        <v>0</v>
      </c>
      <c r="BB21" s="168">
        <f>$J21*Index!BA$17</f>
        <v>0</v>
      </c>
      <c r="BC21" s="168">
        <f>$J21*Index!BB$17</f>
        <v>0</v>
      </c>
      <c r="BD21" s="168">
        <f>$J21*Index!BC$17</f>
        <v>0</v>
      </c>
      <c r="BE21" s="168">
        <f>$J21*Index!BD$17</f>
        <v>0</v>
      </c>
      <c r="BF21" s="168">
        <f>$J21*Index!BE$17</f>
        <v>0</v>
      </c>
      <c r="BG21" s="168">
        <f>$J21*Index!BF$17</f>
        <v>0</v>
      </c>
      <c r="BH21" s="168">
        <f>$J21*Index!BG$17</f>
        <v>0</v>
      </c>
      <c r="BI21" s="168">
        <f>$J21*Index!BH$17</f>
        <v>0</v>
      </c>
      <c r="BJ21" s="168">
        <f>$J21*Index!BI$17</f>
        <v>0</v>
      </c>
      <c r="BK21" s="168">
        <f>$J21*Index!BJ$17</f>
        <v>0</v>
      </c>
      <c r="BL21" s="168">
        <f>$J21*Index!BK$17</f>
        <v>0</v>
      </c>
      <c r="BM21" s="168">
        <f>$J21*Index!BL$17</f>
        <v>0</v>
      </c>
      <c r="BN21" s="168">
        <f>$J21*Index!BM$17</f>
        <v>0</v>
      </c>
      <c r="BO21" s="168">
        <f>$J21*Index!BN$17</f>
        <v>0</v>
      </c>
      <c r="BP21" s="168">
        <f>$J21*Index!BO$17</f>
        <v>0</v>
      </c>
      <c r="BQ21" s="168">
        <f>$J21*Index!BP$17</f>
        <v>0</v>
      </c>
      <c r="BR21" s="168">
        <f>$J21*Index!BQ$17</f>
        <v>0</v>
      </c>
      <c r="BS21" s="168">
        <f>$J21*Index!BR$17</f>
        <v>0</v>
      </c>
      <c r="BT21" s="168">
        <f>$J21*Index!BS$17</f>
        <v>0</v>
      </c>
      <c r="BU21" s="168">
        <f>$J21*Index!BT$17</f>
        <v>0</v>
      </c>
      <c r="BV21" s="168">
        <f>$J21*Index!BU$17</f>
        <v>0</v>
      </c>
      <c r="BW21" s="168">
        <f>$J21*Index!BV$17</f>
        <v>0</v>
      </c>
      <c r="BX21" s="168">
        <f>$J21*Index!BW$17</f>
        <v>0</v>
      </c>
      <c r="BY21" s="168">
        <f>$J21*Index!BX$17</f>
        <v>0</v>
      </c>
      <c r="BZ21" s="168">
        <f>$J21*Index!BY$17</f>
        <v>0</v>
      </c>
      <c r="CA21" s="168">
        <f>$J21*Index!BZ$17</f>
        <v>0</v>
      </c>
      <c r="CB21" s="168">
        <f>$J21*Index!CA$17</f>
        <v>0</v>
      </c>
      <c r="CC21" s="168">
        <f>$J21*Index!CB$17</f>
        <v>0</v>
      </c>
      <c r="CD21" s="168">
        <f>$J21*Index!CC$17</f>
        <v>0</v>
      </c>
      <c r="CE21" s="168">
        <f>$J21*Index!CD$17</f>
        <v>0</v>
      </c>
      <c r="CF21" s="168">
        <f>$J21*Index!CE$17</f>
        <v>0</v>
      </c>
      <c r="CG21" s="168">
        <f>$J21*Index!CF$17</f>
        <v>0</v>
      </c>
      <c r="CH21" s="168">
        <f>$J21*Index!CG$17</f>
        <v>0</v>
      </c>
      <c r="CI21" s="168">
        <f>$J21*Index!CH$17</f>
        <v>0</v>
      </c>
      <c r="CJ21" s="168">
        <f>$J21*Index!CI$17</f>
        <v>0</v>
      </c>
      <c r="CK21" s="168">
        <f>$J21*Index!CJ$17</f>
        <v>0</v>
      </c>
      <c r="CL21" s="168">
        <f>$J21*Index!CK$17</f>
        <v>0</v>
      </c>
      <c r="CM21" s="168">
        <f>$J21*Index!CL$17</f>
        <v>0</v>
      </c>
      <c r="CN21" s="168">
        <f>$J21*Index!CM$17</f>
        <v>0</v>
      </c>
      <c r="CO21" s="168">
        <f>$J21*Index!CN$17</f>
        <v>0</v>
      </c>
      <c r="CP21" s="168">
        <f>$J21*Index!CO$17</f>
        <v>0</v>
      </c>
      <c r="CQ21" s="168">
        <f>$J21*Index!CP$17</f>
        <v>0</v>
      </c>
      <c r="CR21" s="168">
        <f>$J21*Index!CQ$17</f>
        <v>0</v>
      </c>
      <c r="CS21" s="168">
        <f>$J21*Index!CR$17</f>
        <v>0</v>
      </c>
      <c r="CT21" s="168">
        <f>$J21*Index!CS$17</f>
        <v>0</v>
      </c>
      <c r="CU21" s="168">
        <f>$J21*Index!CT$17</f>
        <v>0</v>
      </c>
      <c r="CV21" s="168">
        <f>$J21*Index!CU$17</f>
        <v>0</v>
      </c>
      <c r="CW21" s="168">
        <f>$J21*Index!CV$17</f>
        <v>0</v>
      </c>
      <c r="CX21" s="168">
        <f>$J21*Index!CW$17</f>
        <v>0</v>
      </c>
      <c r="CY21" s="168">
        <f>$J21*Index!CX$17</f>
        <v>0</v>
      </c>
      <c r="CZ21" s="168">
        <f>$J21*Index!CY$17</f>
        <v>0</v>
      </c>
      <c r="DA21" s="168">
        <f>$J21*Index!CZ$17</f>
        <v>0</v>
      </c>
      <c r="DB21" s="168">
        <f>$J21*Index!DA$17</f>
        <v>0</v>
      </c>
      <c r="DC21" s="168">
        <f>$J21*Index!DB$17</f>
        <v>0</v>
      </c>
      <c r="DD21" s="168">
        <f>$J21*Index!DC$17</f>
        <v>0</v>
      </c>
      <c r="DE21" s="168">
        <f>$J21*Index!DD$17</f>
        <v>0</v>
      </c>
      <c r="DF21" s="168">
        <f>$J21*Index!DE$17</f>
        <v>0</v>
      </c>
      <c r="DG21" s="168">
        <f>$J21*Index!DF$17</f>
        <v>0</v>
      </c>
      <c r="DH21" s="168">
        <f>$J21*Index!DG$17</f>
        <v>0</v>
      </c>
      <c r="DI21" s="168">
        <f>$J21*Index!DH$17</f>
        <v>0</v>
      </c>
      <c r="DJ21" s="168">
        <f>$J21*Index!DI$17</f>
        <v>0</v>
      </c>
      <c r="DK21" s="168">
        <f>$J21*Index!DJ$17</f>
        <v>0</v>
      </c>
      <c r="DL21" s="168">
        <f>$J21*Index!DK$17</f>
        <v>0</v>
      </c>
      <c r="DM21" s="168">
        <f>$J21*Index!DL$17</f>
        <v>0</v>
      </c>
      <c r="DN21" s="168">
        <f>$J21*Index!DM$17</f>
        <v>0</v>
      </c>
      <c r="DO21" s="168">
        <f>$J21*Index!DN$17</f>
        <v>0</v>
      </c>
      <c r="DP21" s="168">
        <f>$J21*Index!DO$17</f>
        <v>0</v>
      </c>
      <c r="DQ21" s="168">
        <f>$J21*Index!DP$17</f>
        <v>0</v>
      </c>
      <c r="DR21" s="168">
        <f>$J21*Index!DQ$17</f>
        <v>0</v>
      </c>
      <c r="DS21" s="168">
        <f>$J21*Index!DR$17</f>
        <v>0</v>
      </c>
      <c r="DT21" s="168">
        <f>$J21*Index!DS$17</f>
        <v>0</v>
      </c>
      <c r="DU21" s="168">
        <f>$J21*Index!DT$17</f>
        <v>0</v>
      </c>
      <c r="DV21" s="168">
        <f>$J21*Index!DU$17</f>
        <v>0</v>
      </c>
      <c r="DW21" s="168">
        <f>$J21*Index!DV$17</f>
        <v>0</v>
      </c>
      <c r="DX21" s="168">
        <f>$J21*Index!DW$17</f>
        <v>0</v>
      </c>
      <c r="DY21" s="168">
        <f>$J21*Index!DX$17</f>
        <v>0</v>
      </c>
      <c r="DZ21" s="168">
        <f>$J21*Index!DY$17</f>
        <v>0</v>
      </c>
      <c r="EA21" s="168">
        <f>$J21*Index!DZ$17</f>
        <v>0</v>
      </c>
      <c r="EB21" s="168">
        <f>$J21*Index!EA$17</f>
        <v>0</v>
      </c>
      <c r="EC21" s="168">
        <f>$J21*Index!EB$17</f>
        <v>0</v>
      </c>
      <c r="ED21" s="168">
        <f>$J21*Index!EC$17</f>
        <v>0</v>
      </c>
      <c r="EE21" s="168">
        <f>$J21*Index!ED$17</f>
        <v>0</v>
      </c>
      <c r="EF21" s="168">
        <f>$J21*Index!EE$17</f>
        <v>0</v>
      </c>
      <c r="EG21" s="168">
        <f>$J21*Index!EF$17</f>
        <v>0</v>
      </c>
      <c r="EH21" s="168">
        <f>$J21*Index!EG$17</f>
        <v>0</v>
      </c>
      <c r="EI21" s="168">
        <f>$J21*Index!EH$17</f>
        <v>0</v>
      </c>
      <c r="EJ21" s="168">
        <f>$J21*Index!EI$17</f>
        <v>0</v>
      </c>
      <c r="EK21" s="168">
        <f>$J21*Index!EJ$17</f>
        <v>0</v>
      </c>
      <c r="EL21" s="168">
        <f>$J21*Index!EK$17</f>
        <v>0</v>
      </c>
      <c r="EM21" s="168">
        <f>$J21*Index!EL$17</f>
        <v>0</v>
      </c>
      <c r="EN21" s="168">
        <f>$J21*Index!EM$17</f>
        <v>0</v>
      </c>
      <c r="EO21" s="168">
        <f>$J21*Index!EN$17</f>
        <v>0</v>
      </c>
      <c r="EP21" s="168">
        <f>$J21*Index!EO$17</f>
        <v>0</v>
      </c>
      <c r="EQ21" s="168">
        <f>$J21*Index!EP$17</f>
        <v>0</v>
      </c>
      <c r="ER21" s="168">
        <f>$J21*Index!EQ$17</f>
        <v>0</v>
      </c>
    </row>
    <row r="22" spans="3:148">
      <c r="C22" s="163"/>
      <c r="D22" s="169" t="str">
        <f>'A&amp;R'!M12</f>
        <v>법률자문수수료</v>
      </c>
      <c r="F22" s="852">
        <v>80000</v>
      </c>
      <c r="I22" s="146"/>
      <c r="J22" s="821">
        <f t="shared" si="12"/>
        <v>80000</v>
      </c>
      <c r="K22" s="170">
        <f t="shared" si="13"/>
        <v>80000</v>
      </c>
      <c r="L22" s="98"/>
      <c r="M22" s="171">
        <f>$J22*Index!L$17</f>
        <v>80000</v>
      </c>
      <c r="N22" s="171">
        <f>$J22*Index!M$17</f>
        <v>0</v>
      </c>
      <c r="O22" s="171">
        <f>$J22*Index!N$17</f>
        <v>0</v>
      </c>
      <c r="P22" s="171">
        <f>$J22*Index!O$17</f>
        <v>0</v>
      </c>
      <c r="Q22" s="171">
        <f>$J22*Index!P$17</f>
        <v>0</v>
      </c>
      <c r="R22" s="171">
        <f>$J22*Index!Q$17</f>
        <v>0</v>
      </c>
      <c r="S22" s="171">
        <f>$J22*Index!R$17</f>
        <v>0</v>
      </c>
      <c r="T22" s="171">
        <f>$J22*Index!S$17</f>
        <v>0</v>
      </c>
      <c r="U22" s="171">
        <f>$J22*Index!T$17</f>
        <v>0</v>
      </c>
      <c r="V22" s="171">
        <f>$J22*Index!U$17</f>
        <v>0</v>
      </c>
      <c r="W22" s="171">
        <f>$J22*Index!V$17</f>
        <v>0</v>
      </c>
      <c r="X22" s="171">
        <f>$J22*Index!W$17</f>
        <v>0</v>
      </c>
      <c r="Y22" s="171">
        <f>$J22*Index!X$17</f>
        <v>0</v>
      </c>
      <c r="Z22" s="171">
        <f>$J22*Index!Y$17</f>
        <v>0</v>
      </c>
      <c r="AA22" s="171">
        <f>$J22*Index!Z$17</f>
        <v>0</v>
      </c>
      <c r="AB22" s="171">
        <f>$J22*Index!AA$17</f>
        <v>0</v>
      </c>
      <c r="AC22" s="171">
        <f>$J22*Index!AB$17</f>
        <v>0</v>
      </c>
      <c r="AD22" s="171">
        <f>$J22*Index!AC$17</f>
        <v>0</v>
      </c>
      <c r="AE22" s="171">
        <f>$J22*Index!AD$17</f>
        <v>0</v>
      </c>
      <c r="AF22" s="171">
        <f>$J22*Index!AE$17</f>
        <v>0</v>
      </c>
      <c r="AG22" s="171">
        <f>$J22*Index!AF$17</f>
        <v>0</v>
      </c>
      <c r="AH22" s="171">
        <f>$J22*Index!AG$17</f>
        <v>0</v>
      </c>
      <c r="AI22" s="171">
        <f>$J22*Index!AH$17</f>
        <v>0</v>
      </c>
      <c r="AJ22" s="171">
        <f>$J22*Index!AI$17</f>
        <v>0</v>
      </c>
      <c r="AK22" s="171">
        <f>$J22*Index!AJ$17</f>
        <v>0</v>
      </c>
      <c r="AL22" s="171">
        <f>$J22*Index!AK$17</f>
        <v>0</v>
      </c>
      <c r="AM22" s="171">
        <f>$J22*Index!AL$17</f>
        <v>0</v>
      </c>
      <c r="AN22" s="171">
        <f>$J22*Index!AM$17</f>
        <v>0</v>
      </c>
      <c r="AO22" s="171">
        <f>$J22*Index!AN$17</f>
        <v>0</v>
      </c>
      <c r="AP22" s="171">
        <f>$J22*Index!AO$17</f>
        <v>0</v>
      </c>
      <c r="AQ22" s="171">
        <f>$J22*Index!AP$17</f>
        <v>0</v>
      </c>
      <c r="AR22" s="171">
        <f>$J22*Index!AQ$17</f>
        <v>0</v>
      </c>
      <c r="AS22" s="171">
        <f>$J22*Index!AR$17</f>
        <v>0</v>
      </c>
      <c r="AT22" s="171">
        <f>$J22*Index!AS$17</f>
        <v>0</v>
      </c>
      <c r="AU22" s="171">
        <f>$J22*Index!AT$17</f>
        <v>0</v>
      </c>
      <c r="AV22" s="171">
        <f>$J22*Index!AU$17</f>
        <v>0</v>
      </c>
      <c r="AW22" s="171">
        <f>$J22*Index!AV$17</f>
        <v>0</v>
      </c>
      <c r="AX22" s="171">
        <f>$J22*Index!AW$17</f>
        <v>0</v>
      </c>
      <c r="AY22" s="171">
        <f>$J22*Index!AX$17</f>
        <v>0</v>
      </c>
      <c r="AZ22" s="171">
        <f>$J22*Index!AY$17</f>
        <v>0</v>
      </c>
      <c r="BA22" s="171">
        <f>$J22*Index!AZ$17</f>
        <v>0</v>
      </c>
      <c r="BB22" s="171">
        <f>$J22*Index!BA$17</f>
        <v>0</v>
      </c>
      <c r="BC22" s="171">
        <f>$J22*Index!BB$17</f>
        <v>0</v>
      </c>
      <c r="BD22" s="171">
        <f>$J22*Index!BC$17</f>
        <v>0</v>
      </c>
      <c r="BE22" s="171">
        <f>$J22*Index!BD$17</f>
        <v>0</v>
      </c>
      <c r="BF22" s="171">
        <f>$J22*Index!BE$17</f>
        <v>0</v>
      </c>
      <c r="BG22" s="171">
        <f>$J22*Index!BF$17</f>
        <v>0</v>
      </c>
      <c r="BH22" s="171">
        <f>$J22*Index!BG$17</f>
        <v>0</v>
      </c>
      <c r="BI22" s="171">
        <f>$J22*Index!BH$17</f>
        <v>0</v>
      </c>
      <c r="BJ22" s="171">
        <f>$J22*Index!BI$17</f>
        <v>0</v>
      </c>
      <c r="BK22" s="171">
        <f>$J22*Index!BJ$17</f>
        <v>0</v>
      </c>
      <c r="BL22" s="171">
        <f>$J22*Index!BK$17</f>
        <v>0</v>
      </c>
      <c r="BM22" s="171">
        <f>$J22*Index!BL$17</f>
        <v>0</v>
      </c>
      <c r="BN22" s="171">
        <f>$J22*Index!BM$17</f>
        <v>0</v>
      </c>
      <c r="BO22" s="171">
        <f>$J22*Index!BN$17</f>
        <v>0</v>
      </c>
      <c r="BP22" s="171">
        <f>$J22*Index!BO$17</f>
        <v>0</v>
      </c>
      <c r="BQ22" s="171">
        <f>$J22*Index!BP$17</f>
        <v>0</v>
      </c>
      <c r="BR22" s="171">
        <f>$J22*Index!BQ$17</f>
        <v>0</v>
      </c>
      <c r="BS22" s="171">
        <f>$J22*Index!BR$17</f>
        <v>0</v>
      </c>
      <c r="BT22" s="171">
        <f>$J22*Index!BS$17</f>
        <v>0</v>
      </c>
      <c r="BU22" s="171">
        <f>$J22*Index!BT$17</f>
        <v>0</v>
      </c>
      <c r="BV22" s="171">
        <f>$J22*Index!BU$17</f>
        <v>0</v>
      </c>
      <c r="BW22" s="171">
        <f>$J22*Index!BV$17</f>
        <v>0</v>
      </c>
      <c r="BX22" s="171">
        <f>$J22*Index!BW$17</f>
        <v>0</v>
      </c>
      <c r="BY22" s="171">
        <f>$J22*Index!BX$17</f>
        <v>0</v>
      </c>
      <c r="BZ22" s="171">
        <f>$J22*Index!BY$17</f>
        <v>0</v>
      </c>
      <c r="CA22" s="171">
        <f>$J22*Index!BZ$17</f>
        <v>0</v>
      </c>
      <c r="CB22" s="171">
        <f>$J22*Index!CA$17</f>
        <v>0</v>
      </c>
      <c r="CC22" s="171">
        <f>$J22*Index!CB$17</f>
        <v>0</v>
      </c>
      <c r="CD22" s="171">
        <f>$J22*Index!CC$17</f>
        <v>0</v>
      </c>
      <c r="CE22" s="171">
        <f>$J22*Index!CD$17</f>
        <v>0</v>
      </c>
      <c r="CF22" s="171">
        <f>$J22*Index!CE$17</f>
        <v>0</v>
      </c>
      <c r="CG22" s="171">
        <f>$J22*Index!CF$17</f>
        <v>0</v>
      </c>
      <c r="CH22" s="171">
        <f>$J22*Index!CG$17</f>
        <v>0</v>
      </c>
      <c r="CI22" s="171">
        <f>$J22*Index!CH$17</f>
        <v>0</v>
      </c>
      <c r="CJ22" s="171">
        <f>$J22*Index!CI$17</f>
        <v>0</v>
      </c>
      <c r="CK22" s="171">
        <f>$J22*Index!CJ$17</f>
        <v>0</v>
      </c>
      <c r="CL22" s="171">
        <f>$J22*Index!CK$17</f>
        <v>0</v>
      </c>
      <c r="CM22" s="171">
        <f>$J22*Index!CL$17</f>
        <v>0</v>
      </c>
      <c r="CN22" s="171">
        <f>$J22*Index!CM$17</f>
        <v>0</v>
      </c>
      <c r="CO22" s="171">
        <f>$J22*Index!CN$17</f>
        <v>0</v>
      </c>
      <c r="CP22" s="171">
        <f>$J22*Index!CO$17</f>
        <v>0</v>
      </c>
      <c r="CQ22" s="171">
        <f>$J22*Index!CP$17</f>
        <v>0</v>
      </c>
      <c r="CR22" s="171">
        <f>$J22*Index!CQ$17</f>
        <v>0</v>
      </c>
      <c r="CS22" s="171">
        <f>$J22*Index!CR$17</f>
        <v>0</v>
      </c>
      <c r="CT22" s="171">
        <f>$J22*Index!CS$17</f>
        <v>0</v>
      </c>
      <c r="CU22" s="171">
        <f>$J22*Index!CT$17</f>
        <v>0</v>
      </c>
      <c r="CV22" s="171">
        <f>$J22*Index!CU$17</f>
        <v>0</v>
      </c>
      <c r="CW22" s="171">
        <f>$J22*Index!CV$17</f>
        <v>0</v>
      </c>
      <c r="CX22" s="171">
        <f>$J22*Index!CW$17</f>
        <v>0</v>
      </c>
      <c r="CY22" s="171">
        <f>$J22*Index!CX$17</f>
        <v>0</v>
      </c>
      <c r="CZ22" s="171">
        <f>$J22*Index!CY$17</f>
        <v>0</v>
      </c>
      <c r="DA22" s="171">
        <f>$J22*Index!CZ$17</f>
        <v>0</v>
      </c>
      <c r="DB22" s="171">
        <f>$J22*Index!DA$17</f>
        <v>0</v>
      </c>
      <c r="DC22" s="171">
        <f>$J22*Index!DB$17</f>
        <v>0</v>
      </c>
      <c r="DD22" s="171">
        <f>$J22*Index!DC$17</f>
        <v>0</v>
      </c>
      <c r="DE22" s="171">
        <f>$J22*Index!DD$17</f>
        <v>0</v>
      </c>
      <c r="DF22" s="171">
        <f>$J22*Index!DE$17</f>
        <v>0</v>
      </c>
      <c r="DG22" s="171">
        <f>$J22*Index!DF$17</f>
        <v>0</v>
      </c>
      <c r="DH22" s="171">
        <f>$J22*Index!DG$17</f>
        <v>0</v>
      </c>
      <c r="DI22" s="171">
        <f>$J22*Index!DH$17</f>
        <v>0</v>
      </c>
      <c r="DJ22" s="171">
        <f>$J22*Index!DI$17</f>
        <v>0</v>
      </c>
      <c r="DK22" s="171">
        <f>$J22*Index!DJ$17</f>
        <v>0</v>
      </c>
      <c r="DL22" s="171">
        <f>$J22*Index!DK$17</f>
        <v>0</v>
      </c>
      <c r="DM22" s="171">
        <f>$J22*Index!DL$17</f>
        <v>0</v>
      </c>
      <c r="DN22" s="171">
        <f>$J22*Index!DM$17</f>
        <v>0</v>
      </c>
      <c r="DO22" s="171">
        <f>$J22*Index!DN$17</f>
        <v>0</v>
      </c>
      <c r="DP22" s="171">
        <f>$J22*Index!DO$17</f>
        <v>0</v>
      </c>
      <c r="DQ22" s="171">
        <f>$J22*Index!DP$17</f>
        <v>0</v>
      </c>
      <c r="DR22" s="171">
        <f>$J22*Index!DQ$17</f>
        <v>0</v>
      </c>
      <c r="DS22" s="171">
        <f>$J22*Index!DR$17</f>
        <v>0</v>
      </c>
      <c r="DT22" s="171">
        <f>$J22*Index!DS$17</f>
        <v>0</v>
      </c>
      <c r="DU22" s="171">
        <f>$J22*Index!DT$17</f>
        <v>0</v>
      </c>
      <c r="DV22" s="171">
        <f>$J22*Index!DU$17</f>
        <v>0</v>
      </c>
      <c r="DW22" s="171">
        <f>$J22*Index!DV$17</f>
        <v>0</v>
      </c>
      <c r="DX22" s="171">
        <f>$J22*Index!DW$17</f>
        <v>0</v>
      </c>
      <c r="DY22" s="171">
        <f>$J22*Index!DX$17</f>
        <v>0</v>
      </c>
      <c r="DZ22" s="171">
        <f>$J22*Index!DY$17</f>
        <v>0</v>
      </c>
      <c r="EA22" s="171">
        <f>$J22*Index!DZ$17</f>
        <v>0</v>
      </c>
      <c r="EB22" s="171">
        <f>$J22*Index!EA$17</f>
        <v>0</v>
      </c>
      <c r="EC22" s="171">
        <f>$J22*Index!EB$17</f>
        <v>0</v>
      </c>
      <c r="ED22" s="171">
        <f>$J22*Index!EC$17</f>
        <v>0</v>
      </c>
      <c r="EE22" s="171">
        <f>$J22*Index!ED$17</f>
        <v>0</v>
      </c>
      <c r="EF22" s="171">
        <f>$J22*Index!EE$17</f>
        <v>0</v>
      </c>
      <c r="EG22" s="171">
        <f>$J22*Index!EF$17</f>
        <v>0</v>
      </c>
      <c r="EH22" s="171">
        <f>$J22*Index!EG$17</f>
        <v>0</v>
      </c>
      <c r="EI22" s="171">
        <f>$J22*Index!EH$17</f>
        <v>0</v>
      </c>
      <c r="EJ22" s="171">
        <f>$J22*Index!EI$17</f>
        <v>0</v>
      </c>
      <c r="EK22" s="171">
        <f>$J22*Index!EJ$17</f>
        <v>0</v>
      </c>
      <c r="EL22" s="171">
        <f>$J22*Index!EK$17</f>
        <v>0</v>
      </c>
      <c r="EM22" s="171">
        <f>$J22*Index!EL$17</f>
        <v>0</v>
      </c>
      <c r="EN22" s="171">
        <f>$J22*Index!EM$17</f>
        <v>0</v>
      </c>
      <c r="EO22" s="171">
        <f>$J22*Index!EN$17</f>
        <v>0</v>
      </c>
      <c r="EP22" s="171">
        <f>$J22*Index!EO$17</f>
        <v>0</v>
      </c>
      <c r="EQ22" s="171">
        <f>$J22*Index!EP$17</f>
        <v>0</v>
      </c>
      <c r="ER22" s="171">
        <f>$J22*Index!EQ$17</f>
        <v>0</v>
      </c>
    </row>
    <row r="23" spans="3:148">
      <c r="C23" s="163"/>
      <c r="D23" s="169" t="str">
        <f>'A&amp;R'!M13</f>
        <v>재무실사수수료</v>
      </c>
      <c r="F23" s="852">
        <v>40000</v>
      </c>
      <c r="I23" s="146"/>
      <c r="J23" s="821">
        <f t="shared" si="12"/>
        <v>40000</v>
      </c>
      <c r="K23" s="170">
        <f t="shared" si="13"/>
        <v>40000</v>
      </c>
      <c r="L23" s="98"/>
      <c r="M23" s="171">
        <f>$J23*Index!L$17</f>
        <v>40000</v>
      </c>
      <c r="N23" s="171">
        <f>$J23*Index!M$17</f>
        <v>0</v>
      </c>
      <c r="O23" s="171">
        <f>$J23*Index!N$17</f>
        <v>0</v>
      </c>
      <c r="P23" s="171">
        <f>$J23*Index!O$17</f>
        <v>0</v>
      </c>
      <c r="Q23" s="171">
        <f>$J23*Index!P$17</f>
        <v>0</v>
      </c>
      <c r="R23" s="171">
        <f>$J23*Index!Q$17</f>
        <v>0</v>
      </c>
      <c r="S23" s="171">
        <f>$J23*Index!R$17</f>
        <v>0</v>
      </c>
      <c r="T23" s="171">
        <f>$J23*Index!S$17</f>
        <v>0</v>
      </c>
      <c r="U23" s="171">
        <f>$J23*Index!T$17</f>
        <v>0</v>
      </c>
      <c r="V23" s="171">
        <f>$J23*Index!U$17</f>
        <v>0</v>
      </c>
      <c r="W23" s="171">
        <f>$J23*Index!V$17</f>
        <v>0</v>
      </c>
      <c r="X23" s="171">
        <f>$J23*Index!W$17</f>
        <v>0</v>
      </c>
      <c r="Y23" s="171">
        <f>$J23*Index!X$17</f>
        <v>0</v>
      </c>
      <c r="Z23" s="171">
        <f>$J23*Index!Y$17</f>
        <v>0</v>
      </c>
      <c r="AA23" s="171">
        <f>$J23*Index!Z$17</f>
        <v>0</v>
      </c>
      <c r="AB23" s="171">
        <f>$J23*Index!AA$17</f>
        <v>0</v>
      </c>
      <c r="AC23" s="171">
        <f>$J23*Index!AB$17</f>
        <v>0</v>
      </c>
      <c r="AD23" s="171">
        <f>$J23*Index!AC$17</f>
        <v>0</v>
      </c>
      <c r="AE23" s="171">
        <f>$J23*Index!AD$17</f>
        <v>0</v>
      </c>
      <c r="AF23" s="171">
        <f>$J23*Index!AE$17</f>
        <v>0</v>
      </c>
      <c r="AG23" s="171">
        <f>$J23*Index!AF$17</f>
        <v>0</v>
      </c>
      <c r="AH23" s="171">
        <f>$J23*Index!AG$17</f>
        <v>0</v>
      </c>
      <c r="AI23" s="171">
        <f>$J23*Index!AH$17</f>
        <v>0</v>
      </c>
      <c r="AJ23" s="171">
        <f>$J23*Index!AI$17</f>
        <v>0</v>
      </c>
      <c r="AK23" s="171">
        <f>$J23*Index!AJ$17</f>
        <v>0</v>
      </c>
      <c r="AL23" s="171">
        <f>$J23*Index!AK$17</f>
        <v>0</v>
      </c>
      <c r="AM23" s="171">
        <f>$J23*Index!AL$17</f>
        <v>0</v>
      </c>
      <c r="AN23" s="171">
        <f>$J23*Index!AM$17</f>
        <v>0</v>
      </c>
      <c r="AO23" s="171">
        <f>$J23*Index!AN$17</f>
        <v>0</v>
      </c>
      <c r="AP23" s="171">
        <f>$J23*Index!AO$17</f>
        <v>0</v>
      </c>
      <c r="AQ23" s="171">
        <f>$J23*Index!AP$17</f>
        <v>0</v>
      </c>
      <c r="AR23" s="171">
        <f>$J23*Index!AQ$17</f>
        <v>0</v>
      </c>
      <c r="AS23" s="171">
        <f>$J23*Index!AR$17</f>
        <v>0</v>
      </c>
      <c r="AT23" s="171">
        <f>$J23*Index!AS$17</f>
        <v>0</v>
      </c>
      <c r="AU23" s="171">
        <f>$J23*Index!AT$17</f>
        <v>0</v>
      </c>
      <c r="AV23" s="171">
        <f>$J23*Index!AU$17</f>
        <v>0</v>
      </c>
      <c r="AW23" s="171">
        <f>$J23*Index!AV$17</f>
        <v>0</v>
      </c>
      <c r="AX23" s="171">
        <f>$J23*Index!AW$17</f>
        <v>0</v>
      </c>
      <c r="AY23" s="171">
        <f>$J23*Index!AX$17</f>
        <v>0</v>
      </c>
      <c r="AZ23" s="171">
        <f>$J23*Index!AY$17</f>
        <v>0</v>
      </c>
      <c r="BA23" s="171">
        <f>$J23*Index!AZ$17</f>
        <v>0</v>
      </c>
      <c r="BB23" s="171">
        <f>$J23*Index!BA$17</f>
        <v>0</v>
      </c>
      <c r="BC23" s="171">
        <f>$J23*Index!BB$17</f>
        <v>0</v>
      </c>
      <c r="BD23" s="171">
        <f>$J23*Index!BC$17</f>
        <v>0</v>
      </c>
      <c r="BE23" s="171">
        <f>$J23*Index!BD$17</f>
        <v>0</v>
      </c>
      <c r="BF23" s="171">
        <f>$J23*Index!BE$17</f>
        <v>0</v>
      </c>
      <c r="BG23" s="171">
        <f>$J23*Index!BF$17</f>
        <v>0</v>
      </c>
      <c r="BH23" s="171">
        <f>$J23*Index!BG$17</f>
        <v>0</v>
      </c>
      <c r="BI23" s="171">
        <f>$J23*Index!BH$17</f>
        <v>0</v>
      </c>
      <c r="BJ23" s="171">
        <f>$J23*Index!BI$17</f>
        <v>0</v>
      </c>
      <c r="BK23" s="171">
        <f>$J23*Index!BJ$17</f>
        <v>0</v>
      </c>
      <c r="BL23" s="171">
        <f>$J23*Index!BK$17</f>
        <v>0</v>
      </c>
      <c r="BM23" s="171">
        <f>$J23*Index!BL$17</f>
        <v>0</v>
      </c>
      <c r="BN23" s="171">
        <f>$J23*Index!BM$17</f>
        <v>0</v>
      </c>
      <c r="BO23" s="171">
        <f>$J23*Index!BN$17</f>
        <v>0</v>
      </c>
      <c r="BP23" s="171">
        <f>$J23*Index!BO$17</f>
        <v>0</v>
      </c>
      <c r="BQ23" s="171">
        <f>$J23*Index!BP$17</f>
        <v>0</v>
      </c>
      <c r="BR23" s="171">
        <f>$J23*Index!BQ$17</f>
        <v>0</v>
      </c>
      <c r="BS23" s="171">
        <f>$J23*Index!BR$17</f>
        <v>0</v>
      </c>
      <c r="BT23" s="171">
        <f>$J23*Index!BS$17</f>
        <v>0</v>
      </c>
      <c r="BU23" s="171">
        <f>$J23*Index!BT$17</f>
        <v>0</v>
      </c>
      <c r="BV23" s="171">
        <f>$J23*Index!BU$17</f>
        <v>0</v>
      </c>
      <c r="BW23" s="171">
        <f>$J23*Index!BV$17</f>
        <v>0</v>
      </c>
      <c r="BX23" s="171">
        <f>$J23*Index!BW$17</f>
        <v>0</v>
      </c>
      <c r="BY23" s="171">
        <f>$J23*Index!BX$17</f>
        <v>0</v>
      </c>
      <c r="BZ23" s="171">
        <f>$J23*Index!BY$17</f>
        <v>0</v>
      </c>
      <c r="CA23" s="171">
        <f>$J23*Index!BZ$17</f>
        <v>0</v>
      </c>
      <c r="CB23" s="171">
        <f>$J23*Index!CA$17</f>
        <v>0</v>
      </c>
      <c r="CC23" s="171">
        <f>$J23*Index!CB$17</f>
        <v>0</v>
      </c>
      <c r="CD23" s="171">
        <f>$J23*Index!CC$17</f>
        <v>0</v>
      </c>
      <c r="CE23" s="171">
        <f>$J23*Index!CD$17</f>
        <v>0</v>
      </c>
      <c r="CF23" s="171">
        <f>$J23*Index!CE$17</f>
        <v>0</v>
      </c>
      <c r="CG23" s="171">
        <f>$J23*Index!CF$17</f>
        <v>0</v>
      </c>
      <c r="CH23" s="171">
        <f>$J23*Index!CG$17</f>
        <v>0</v>
      </c>
      <c r="CI23" s="171">
        <f>$J23*Index!CH$17</f>
        <v>0</v>
      </c>
      <c r="CJ23" s="171">
        <f>$J23*Index!CI$17</f>
        <v>0</v>
      </c>
      <c r="CK23" s="171">
        <f>$J23*Index!CJ$17</f>
        <v>0</v>
      </c>
      <c r="CL23" s="171">
        <f>$J23*Index!CK$17</f>
        <v>0</v>
      </c>
      <c r="CM23" s="171">
        <f>$J23*Index!CL$17</f>
        <v>0</v>
      </c>
      <c r="CN23" s="171">
        <f>$J23*Index!CM$17</f>
        <v>0</v>
      </c>
      <c r="CO23" s="171">
        <f>$J23*Index!CN$17</f>
        <v>0</v>
      </c>
      <c r="CP23" s="171">
        <f>$J23*Index!CO$17</f>
        <v>0</v>
      </c>
      <c r="CQ23" s="171">
        <f>$J23*Index!CP$17</f>
        <v>0</v>
      </c>
      <c r="CR23" s="171">
        <f>$J23*Index!CQ$17</f>
        <v>0</v>
      </c>
      <c r="CS23" s="171">
        <f>$J23*Index!CR$17</f>
        <v>0</v>
      </c>
      <c r="CT23" s="171">
        <f>$J23*Index!CS$17</f>
        <v>0</v>
      </c>
      <c r="CU23" s="171">
        <f>$J23*Index!CT$17</f>
        <v>0</v>
      </c>
      <c r="CV23" s="171">
        <f>$J23*Index!CU$17</f>
        <v>0</v>
      </c>
      <c r="CW23" s="171">
        <f>$J23*Index!CV$17</f>
        <v>0</v>
      </c>
      <c r="CX23" s="171">
        <f>$J23*Index!CW$17</f>
        <v>0</v>
      </c>
      <c r="CY23" s="171">
        <f>$J23*Index!CX$17</f>
        <v>0</v>
      </c>
      <c r="CZ23" s="171">
        <f>$J23*Index!CY$17</f>
        <v>0</v>
      </c>
      <c r="DA23" s="171">
        <f>$J23*Index!CZ$17</f>
        <v>0</v>
      </c>
      <c r="DB23" s="171">
        <f>$J23*Index!DA$17</f>
        <v>0</v>
      </c>
      <c r="DC23" s="171">
        <f>$J23*Index!DB$17</f>
        <v>0</v>
      </c>
      <c r="DD23" s="171">
        <f>$J23*Index!DC$17</f>
        <v>0</v>
      </c>
      <c r="DE23" s="171">
        <f>$J23*Index!DD$17</f>
        <v>0</v>
      </c>
      <c r="DF23" s="171">
        <f>$J23*Index!DE$17</f>
        <v>0</v>
      </c>
      <c r="DG23" s="171">
        <f>$J23*Index!DF$17</f>
        <v>0</v>
      </c>
      <c r="DH23" s="171">
        <f>$J23*Index!DG$17</f>
        <v>0</v>
      </c>
      <c r="DI23" s="171">
        <f>$J23*Index!DH$17</f>
        <v>0</v>
      </c>
      <c r="DJ23" s="171">
        <f>$J23*Index!DI$17</f>
        <v>0</v>
      </c>
      <c r="DK23" s="171">
        <f>$J23*Index!DJ$17</f>
        <v>0</v>
      </c>
      <c r="DL23" s="171">
        <f>$J23*Index!DK$17</f>
        <v>0</v>
      </c>
      <c r="DM23" s="171">
        <f>$J23*Index!DL$17</f>
        <v>0</v>
      </c>
      <c r="DN23" s="171">
        <f>$J23*Index!DM$17</f>
        <v>0</v>
      </c>
      <c r="DO23" s="171">
        <f>$J23*Index!DN$17</f>
        <v>0</v>
      </c>
      <c r="DP23" s="171">
        <f>$J23*Index!DO$17</f>
        <v>0</v>
      </c>
      <c r="DQ23" s="171">
        <f>$J23*Index!DP$17</f>
        <v>0</v>
      </c>
      <c r="DR23" s="171">
        <f>$J23*Index!DQ$17</f>
        <v>0</v>
      </c>
      <c r="DS23" s="171">
        <f>$J23*Index!DR$17</f>
        <v>0</v>
      </c>
      <c r="DT23" s="171">
        <f>$J23*Index!DS$17</f>
        <v>0</v>
      </c>
      <c r="DU23" s="171">
        <f>$J23*Index!DT$17</f>
        <v>0</v>
      </c>
      <c r="DV23" s="171">
        <f>$J23*Index!DU$17</f>
        <v>0</v>
      </c>
      <c r="DW23" s="171">
        <f>$J23*Index!DV$17</f>
        <v>0</v>
      </c>
      <c r="DX23" s="171">
        <f>$J23*Index!DW$17</f>
        <v>0</v>
      </c>
      <c r="DY23" s="171">
        <f>$J23*Index!DX$17</f>
        <v>0</v>
      </c>
      <c r="DZ23" s="171">
        <f>$J23*Index!DY$17</f>
        <v>0</v>
      </c>
      <c r="EA23" s="171">
        <f>$J23*Index!DZ$17</f>
        <v>0</v>
      </c>
      <c r="EB23" s="171">
        <f>$J23*Index!EA$17</f>
        <v>0</v>
      </c>
      <c r="EC23" s="171">
        <f>$J23*Index!EB$17</f>
        <v>0</v>
      </c>
      <c r="ED23" s="171">
        <f>$J23*Index!EC$17</f>
        <v>0</v>
      </c>
      <c r="EE23" s="171">
        <f>$J23*Index!ED$17</f>
        <v>0</v>
      </c>
      <c r="EF23" s="171">
        <f>$J23*Index!EE$17</f>
        <v>0</v>
      </c>
      <c r="EG23" s="171">
        <f>$J23*Index!EF$17</f>
        <v>0</v>
      </c>
      <c r="EH23" s="171">
        <f>$J23*Index!EG$17</f>
        <v>0</v>
      </c>
      <c r="EI23" s="171">
        <f>$J23*Index!EH$17</f>
        <v>0</v>
      </c>
      <c r="EJ23" s="171">
        <f>$J23*Index!EI$17</f>
        <v>0</v>
      </c>
      <c r="EK23" s="171">
        <f>$J23*Index!EJ$17</f>
        <v>0</v>
      </c>
      <c r="EL23" s="171">
        <f>$J23*Index!EK$17</f>
        <v>0</v>
      </c>
      <c r="EM23" s="171">
        <f>$J23*Index!EL$17</f>
        <v>0</v>
      </c>
      <c r="EN23" s="171">
        <f>$J23*Index!EM$17</f>
        <v>0</v>
      </c>
      <c r="EO23" s="171">
        <f>$J23*Index!EN$17</f>
        <v>0</v>
      </c>
      <c r="EP23" s="171">
        <f>$J23*Index!EO$17</f>
        <v>0</v>
      </c>
      <c r="EQ23" s="171">
        <f>$J23*Index!EP$17</f>
        <v>0</v>
      </c>
      <c r="ER23" s="171">
        <f>$J23*Index!EQ$17</f>
        <v>0</v>
      </c>
    </row>
    <row r="24" spans="3:148">
      <c r="C24" s="163"/>
      <c r="D24" s="169" t="str">
        <f>'A&amp;R'!M14</f>
        <v>시장실사수수료</v>
      </c>
      <c r="F24" s="852">
        <v>40000</v>
      </c>
      <c r="I24" s="146"/>
      <c r="J24" s="821">
        <f t="shared" si="12"/>
        <v>40000</v>
      </c>
      <c r="K24" s="170">
        <f t="shared" si="13"/>
        <v>40000</v>
      </c>
      <c r="L24" s="98"/>
      <c r="M24" s="171">
        <f>$J24*Index!L$17</f>
        <v>40000</v>
      </c>
      <c r="N24" s="171">
        <f>$J24*Index!M$17</f>
        <v>0</v>
      </c>
      <c r="O24" s="171">
        <f>$J24*Index!N$17</f>
        <v>0</v>
      </c>
      <c r="P24" s="171">
        <f>$J24*Index!O$17</f>
        <v>0</v>
      </c>
      <c r="Q24" s="171">
        <f>$J24*Index!P$17</f>
        <v>0</v>
      </c>
      <c r="R24" s="171">
        <f>$J24*Index!Q$17</f>
        <v>0</v>
      </c>
      <c r="S24" s="171">
        <f>$J24*Index!R$17</f>
        <v>0</v>
      </c>
      <c r="T24" s="171">
        <f>$J24*Index!S$17</f>
        <v>0</v>
      </c>
      <c r="U24" s="171">
        <f>$J24*Index!T$17</f>
        <v>0</v>
      </c>
      <c r="V24" s="171">
        <f>$J24*Index!U$17</f>
        <v>0</v>
      </c>
      <c r="W24" s="171">
        <f>$J24*Index!V$17</f>
        <v>0</v>
      </c>
      <c r="X24" s="171">
        <f>$J24*Index!W$17</f>
        <v>0</v>
      </c>
      <c r="Y24" s="171">
        <f>$J24*Index!X$17</f>
        <v>0</v>
      </c>
      <c r="Z24" s="171">
        <f>$J24*Index!Y$17</f>
        <v>0</v>
      </c>
      <c r="AA24" s="171">
        <f>$J24*Index!Z$17</f>
        <v>0</v>
      </c>
      <c r="AB24" s="171">
        <f>$J24*Index!AA$17</f>
        <v>0</v>
      </c>
      <c r="AC24" s="171">
        <f>$J24*Index!AB$17</f>
        <v>0</v>
      </c>
      <c r="AD24" s="171">
        <f>$J24*Index!AC$17</f>
        <v>0</v>
      </c>
      <c r="AE24" s="171">
        <f>$J24*Index!AD$17</f>
        <v>0</v>
      </c>
      <c r="AF24" s="171">
        <f>$J24*Index!AE$17</f>
        <v>0</v>
      </c>
      <c r="AG24" s="171">
        <f>$J24*Index!AF$17</f>
        <v>0</v>
      </c>
      <c r="AH24" s="171">
        <f>$J24*Index!AG$17</f>
        <v>0</v>
      </c>
      <c r="AI24" s="171">
        <f>$J24*Index!AH$17</f>
        <v>0</v>
      </c>
      <c r="AJ24" s="171">
        <f>$J24*Index!AI$17</f>
        <v>0</v>
      </c>
      <c r="AK24" s="171">
        <f>$J24*Index!AJ$17</f>
        <v>0</v>
      </c>
      <c r="AL24" s="171">
        <f>$J24*Index!AK$17</f>
        <v>0</v>
      </c>
      <c r="AM24" s="171">
        <f>$J24*Index!AL$17</f>
        <v>0</v>
      </c>
      <c r="AN24" s="171">
        <f>$J24*Index!AM$17</f>
        <v>0</v>
      </c>
      <c r="AO24" s="171">
        <f>$J24*Index!AN$17</f>
        <v>0</v>
      </c>
      <c r="AP24" s="171">
        <f>$J24*Index!AO$17</f>
        <v>0</v>
      </c>
      <c r="AQ24" s="171">
        <f>$J24*Index!AP$17</f>
        <v>0</v>
      </c>
      <c r="AR24" s="171">
        <f>$J24*Index!AQ$17</f>
        <v>0</v>
      </c>
      <c r="AS24" s="171">
        <f>$J24*Index!AR$17</f>
        <v>0</v>
      </c>
      <c r="AT24" s="171">
        <f>$J24*Index!AS$17</f>
        <v>0</v>
      </c>
      <c r="AU24" s="171">
        <f>$J24*Index!AT$17</f>
        <v>0</v>
      </c>
      <c r="AV24" s="171">
        <f>$J24*Index!AU$17</f>
        <v>0</v>
      </c>
      <c r="AW24" s="171">
        <f>$J24*Index!AV$17</f>
        <v>0</v>
      </c>
      <c r="AX24" s="171">
        <f>$J24*Index!AW$17</f>
        <v>0</v>
      </c>
      <c r="AY24" s="171">
        <f>$J24*Index!AX$17</f>
        <v>0</v>
      </c>
      <c r="AZ24" s="171">
        <f>$J24*Index!AY$17</f>
        <v>0</v>
      </c>
      <c r="BA24" s="171">
        <f>$J24*Index!AZ$17</f>
        <v>0</v>
      </c>
      <c r="BB24" s="171">
        <f>$J24*Index!BA$17</f>
        <v>0</v>
      </c>
      <c r="BC24" s="171">
        <f>$J24*Index!BB$17</f>
        <v>0</v>
      </c>
      <c r="BD24" s="171">
        <f>$J24*Index!BC$17</f>
        <v>0</v>
      </c>
      <c r="BE24" s="171">
        <f>$J24*Index!BD$17</f>
        <v>0</v>
      </c>
      <c r="BF24" s="171">
        <f>$J24*Index!BE$17</f>
        <v>0</v>
      </c>
      <c r="BG24" s="171">
        <f>$J24*Index!BF$17</f>
        <v>0</v>
      </c>
      <c r="BH24" s="171">
        <f>$J24*Index!BG$17</f>
        <v>0</v>
      </c>
      <c r="BI24" s="171">
        <f>$J24*Index!BH$17</f>
        <v>0</v>
      </c>
      <c r="BJ24" s="171">
        <f>$J24*Index!BI$17</f>
        <v>0</v>
      </c>
      <c r="BK24" s="171">
        <f>$J24*Index!BJ$17</f>
        <v>0</v>
      </c>
      <c r="BL24" s="171">
        <f>$J24*Index!BK$17</f>
        <v>0</v>
      </c>
      <c r="BM24" s="171">
        <f>$J24*Index!BL$17</f>
        <v>0</v>
      </c>
      <c r="BN24" s="171">
        <f>$J24*Index!BM$17</f>
        <v>0</v>
      </c>
      <c r="BO24" s="171">
        <f>$J24*Index!BN$17</f>
        <v>0</v>
      </c>
      <c r="BP24" s="171">
        <f>$J24*Index!BO$17</f>
        <v>0</v>
      </c>
      <c r="BQ24" s="171">
        <f>$J24*Index!BP$17</f>
        <v>0</v>
      </c>
      <c r="BR24" s="171">
        <f>$J24*Index!BQ$17</f>
        <v>0</v>
      </c>
      <c r="BS24" s="171">
        <f>$J24*Index!BR$17</f>
        <v>0</v>
      </c>
      <c r="BT24" s="171">
        <f>$J24*Index!BS$17</f>
        <v>0</v>
      </c>
      <c r="BU24" s="171">
        <f>$J24*Index!BT$17</f>
        <v>0</v>
      </c>
      <c r="BV24" s="171">
        <f>$J24*Index!BU$17</f>
        <v>0</v>
      </c>
      <c r="BW24" s="171">
        <f>$J24*Index!BV$17</f>
        <v>0</v>
      </c>
      <c r="BX24" s="171">
        <f>$J24*Index!BW$17</f>
        <v>0</v>
      </c>
      <c r="BY24" s="171">
        <f>$J24*Index!BX$17</f>
        <v>0</v>
      </c>
      <c r="BZ24" s="171">
        <f>$J24*Index!BY$17</f>
        <v>0</v>
      </c>
      <c r="CA24" s="171">
        <f>$J24*Index!BZ$17</f>
        <v>0</v>
      </c>
      <c r="CB24" s="171">
        <f>$J24*Index!CA$17</f>
        <v>0</v>
      </c>
      <c r="CC24" s="171">
        <f>$J24*Index!CB$17</f>
        <v>0</v>
      </c>
      <c r="CD24" s="171">
        <f>$J24*Index!CC$17</f>
        <v>0</v>
      </c>
      <c r="CE24" s="171">
        <f>$J24*Index!CD$17</f>
        <v>0</v>
      </c>
      <c r="CF24" s="171">
        <f>$J24*Index!CE$17</f>
        <v>0</v>
      </c>
      <c r="CG24" s="171">
        <f>$J24*Index!CF$17</f>
        <v>0</v>
      </c>
      <c r="CH24" s="171">
        <f>$J24*Index!CG$17</f>
        <v>0</v>
      </c>
      <c r="CI24" s="171">
        <f>$J24*Index!CH$17</f>
        <v>0</v>
      </c>
      <c r="CJ24" s="171">
        <f>$J24*Index!CI$17</f>
        <v>0</v>
      </c>
      <c r="CK24" s="171">
        <f>$J24*Index!CJ$17</f>
        <v>0</v>
      </c>
      <c r="CL24" s="171">
        <f>$J24*Index!CK$17</f>
        <v>0</v>
      </c>
      <c r="CM24" s="171">
        <f>$J24*Index!CL$17</f>
        <v>0</v>
      </c>
      <c r="CN24" s="171">
        <f>$J24*Index!CM$17</f>
        <v>0</v>
      </c>
      <c r="CO24" s="171">
        <f>$J24*Index!CN$17</f>
        <v>0</v>
      </c>
      <c r="CP24" s="171">
        <f>$J24*Index!CO$17</f>
        <v>0</v>
      </c>
      <c r="CQ24" s="171">
        <f>$J24*Index!CP$17</f>
        <v>0</v>
      </c>
      <c r="CR24" s="171">
        <f>$J24*Index!CQ$17</f>
        <v>0</v>
      </c>
      <c r="CS24" s="171">
        <f>$J24*Index!CR$17</f>
        <v>0</v>
      </c>
      <c r="CT24" s="171">
        <f>$J24*Index!CS$17</f>
        <v>0</v>
      </c>
      <c r="CU24" s="171">
        <f>$J24*Index!CT$17</f>
        <v>0</v>
      </c>
      <c r="CV24" s="171">
        <f>$J24*Index!CU$17</f>
        <v>0</v>
      </c>
      <c r="CW24" s="171">
        <f>$J24*Index!CV$17</f>
        <v>0</v>
      </c>
      <c r="CX24" s="171">
        <f>$J24*Index!CW$17</f>
        <v>0</v>
      </c>
      <c r="CY24" s="171">
        <f>$J24*Index!CX$17</f>
        <v>0</v>
      </c>
      <c r="CZ24" s="171">
        <f>$J24*Index!CY$17</f>
        <v>0</v>
      </c>
      <c r="DA24" s="171">
        <f>$J24*Index!CZ$17</f>
        <v>0</v>
      </c>
      <c r="DB24" s="171">
        <f>$J24*Index!DA$17</f>
        <v>0</v>
      </c>
      <c r="DC24" s="171">
        <f>$J24*Index!DB$17</f>
        <v>0</v>
      </c>
      <c r="DD24" s="171">
        <f>$J24*Index!DC$17</f>
        <v>0</v>
      </c>
      <c r="DE24" s="171">
        <f>$J24*Index!DD$17</f>
        <v>0</v>
      </c>
      <c r="DF24" s="171">
        <f>$J24*Index!DE$17</f>
        <v>0</v>
      </c>
      <c r="DG24" s="171">
        <f>$J24*Index!DF$17</f>
        <v>0</v>
      </c>
      <c r="DH24" s="171">
        <f>$J24*Index!DG$17</f>
        <v>0</v>
      </c>
      <c r="DI24" s="171">
        <f>$J24*Index!DH$17</f>
        <v>0</v>
      </c>
      <c r="DJ24" s="171">
        <f>$J24*Index!DI$17</f>
        <v>0</v>
      </c>
      <c r="DK24" s="171">
        <f>$J24*Index!DJ$17</f>
        <v>0</v>
      </c>
      <c r="DL24" s="171">
        <f>$J24*Index!DK$17</f>
        <v>0</v>
      </c>
      <c r="DM24" s="171">
        <f>$J24*Index!DL$17</f>
        <v>0</v>
      </c>
      <c r="DN24" s="171">
        <f>$J24*Index!DM$17</f>
        <v>0</v>
      </c>
      <c r="DO24" s="171">
        <f>$J24*Index!DN$17</f>
        <v>0</v>
      </c>
      <c r="DP24" s="171">
        <f>$J24*Index!DO$17</f>
        <v>0</v>
      </c>
      <c r="DQ24" s="171">
        <f>$J24*Index!DP$17</f>
        <v>0</v>
      </c>
      <c r="DR24" s="171">
        <f>$J24*Index!DQ$17</f>
        <v>0</v>
      </c>
      <c r="DS24" s="171">
        <f>$J24*Index!DR$17</f>
        <v>0</v>
      </c>
      <c r="DT24" s="171">
        <f>$J24*Index!DS$17</f>
        <v>0</v>
      </c>
      <c r="DU24" s="171">
        <f>$J24*Index!DT$17</f>
        <v>0</v>
      </c>
      <c r="DV24" s="171">
        <f>$J24*Index!DU$17</f>
        <v>0</v>
      </c>
      <c r="DW24" s="171">
        <f>$J24*Index!DV$17</f>
        <v>0</v>
      </c>
      <c r="DX24" s="171">
        <f>$J24*Index!DW$17</f>
        <v>0</v>
      </c>
      <c r="DY24" s="171">
        <f>$J24*Index!DX$17</f>
        <v>0</v>
      </c>
      <c r="DZ24" s="171">
        <f>$J24*Index!DY$17</f>
        <v>0</v>
      </c>
      <c r="EA24" s="171">
        <f>$J24*Index!DZ$17</f>
        <v>0</v>
      </c>
      <c r="EB24" s="171">
        <f>$J24*Index!EA$17</f>
        <v>0</v>
      </c>
      <c r="EC24" s="171">
        <f>$J24*Index!EB$17</f>
        <v>0</v>
      </c>
      <c r="ED24" s="171">
        <f>$J24*Index!EC$17</f>
        <v>0</v>
      </c>
      <c r="EE24" s="171">
        <f>$J24*Index!ED$17</f>
        <v>0</v>
      </c>
      <c r="EF24" s="171">
        <f>$J24*Index!EE$17</f>
        <v>0</v>
      </c>
      <c r="EG24" s="171">
        <f>$J24*Index!EF$17</f>
        <v>0</v>
      </c>
      <c r="EH24" s="171">
        <f>$J24*Index!EG$17</f>
        <v>0</v>
      </c>
      <c r="EI24" s="171">
        <f>$J24*Index!EH$17</f>
        <v>0</v>
      </c>
      <c r="EJ24" s="171">
        <f>$J24*Index!EI$17</f>
        <v>0</v>
      </c>
      <c r="EK24" s="171">
        <f>$J24*Index!EJ$17</f>
        <v>0</v>
      </c>
      <c r="EL24" s="171">
        <f>$J24*Index!EK$17</f>
        <v>0</v>
      </c>
      <c r="EM24" s="171">
        <f>$J24*Index!EL$17</f>
        <v>0</v>
      </c>
      <c r="EN24" s="171">
        <f>$J24*Index!EM$17</f>
        <v>0</v>
      </c>
      <c r="EO24" s="171">
        <f>$J24*Index!EN$17</f>
        <v>0</v>
      </c>
      <c r="EP24" s="171">
        <f>$J24*Index!EO$17</f>
        <v>0</v>
      </c>
      <c r="EQ24" s="171">
        <f>$J24*Index!EP$17</f>
        <v>0</v>
      </c>
      <c r="ER24" s="171">
        <f>$J24*Index!EQ$17</f>
        <v>0</v>
      </c>
    </row>
    <row r="25" spans="3:148">
      <c r="C25" s="163"/>
      <c r="D25" s="169" t="str">
        <f>'A&amp;R'!M15</f>
        <v>물리실사수수료</v>
      </c>
      <c r="F25" s="852">
        <v>25000</v>
      </c>
      <c r="I25" s="146"/>
      <c r="J25" s="821">
        <f t="shared" si="12"/>
        <v>25000</v>
      </c>
      <c r="K25" s="170">
        <f t="shared" si="13"/>
        <v>25000</v>
      </c>
      <c r="L25" s="98"/>
      <c r="M25" s="171">
        <f>$J25*Index!L$17</f>
        <v>25000</v>
      </c>
      <c r="N25" s="171">
        <f>$J25*Index!M$17</f>
        <v>0</v>
      </c>
      <c r="O25" s="171">
        <f>$J25*Index!N$17</f>
        <v>0</v>
      </c>
      <c r="P25" s="171">
        <f>$J25*Index!O$17</f>
        <v>0</v>
      </c>
      <c r="Q25" s="171">
        <f>$J25*Index!P$17</f>
        <v>0</v>
      </c>
      <c r="R25" s="171">
        <f>$J25*Index!Q$17</f>
        <v>0</v>
      </c>
      <c r="S25" s="171">
        <f>$J25*Index!R$17</f>
        <v>0</v>
      </c>
      <c r="T25" s="171">
        <f>$J25*Index!S$17</f>
        <v>0</v>
      </c>
      <c r="U25" s="171">
        <f>$J25*Index!T$17</f>
        <v>0</v>
      </c>
      <c r="V25" s="171">
        <f>$J25*Index!U$17</f>
        <v>0</v>
      </c>
      <c r="W25" s="171">
        <f>$J25*Index!V$17</f>
        <v>0</v>
      </c>
      <c r="X25" s="171">
        <f>$J25*Index!W$17</f>
        <v>0</v>
      </c>
      <c r="Y25" s="171">
        <f>$J25*Index!X$17</f>
        <v>0</v>
      </c>
      <c r="Z25" s="171">
        <f>$J25*Index!Y$17</f>
        <v>0</v>
      </c>
      <c r="AA25" s="171">
        <f>$J25*Index!Z$17</f>
        <v>0</v>
      </c>
      <c r="AB25" s="171">
        <f>$J25*Index!AA$17</f>
        <v>0</v>
      </c>
      <c r="AC25" s="171">
        <f>$J25*Index!AB$17</f>
        <v>0</v>
      </c>
      <c r="AD25" s="171">
        <f>$J25*Index!AC$17</f>
        <v>0</v>
      </c>
      <c r="AE25" s="171">
        <f>$J25*Index!AD$17</f>
        <v>0</v>
      </c>
      <c r="AF25" s="171">
        <f>$J25*Index!AE$17</f>
        <v>0</v>
      </c>
      <c r="AG25" s="171">
        <f>$J25*Index!AF$17</f>
        <v>0</v>
      </c>
      <c r="AH25" s="171">
        <f>$J25*Index!AG$17</f>
        <v>0</v>
      </c>
      <c r="AI25" s="171">
        <f>$J25*Index!AH$17</f>
        <v>0</v>
      </c>
      <c r="AJ25" s="171">
        <f>$J25*Index!AI$17</f>
        <v>0</v>
      </c>
      <c r="AK25" s="171">
        <f>$J25*Index!AJ$17</f>
        <v>0</v>
      </c>
      <c r="AL25" s="171">
        <f>$J25*Index!AK$17</f>
        <v>0</v>
      </c>
      <c r="AM25" s="171">
        <f>$J25*Index!AL$17</f>
        <v>0</v>
      </c>
      <c r="AN25" s="171">
        <f>$J25*Index!AM$17</f>
        <v>0</v>
      </c>
      <c r="AO25" s="171">
        <f>$J25*Index!AN$17</f>
        <v>0</v>
      </c>
      <c r="AP25" s="171">
        <f>$J25*Index!AO$17</f>
        <v>0</v>
      </c>
      <c r="AQ25" s="171">
        <f>$J25*Index!AP$17</f>
        <v>0</v>
      </c>
      <c r="AR25" s="171">
        <f>$J25*Index!AQ$17</f>
        <v>0</v>
      </c>
      <c r="AS25" s="171">
        <f>$J25*Index!AR$17</f>
        <v>0</v>
      </c>
      <c r="AT25" s="171">
        <f>$J25*Index!AS$17</f>
        <v>0</v>
      </c>
      <c r="AU25" s="171">
        <f>$J25*Index!AT$17</f>
        <v>0</v>
      </c>
      <c r="AV25" s="171">
        <f>$J25*Index!AU$17</f>
        <v>0</v>
      </c>
      <c r="AW25" s="171">
        <f>$J25*Index!AV$17</f>
        <v>0</v>
      </c>
      <c r="AX25" s="171">
        <f>$J25*Index!AW$17</f>
        <v>0</v>
      </c>
      <c r="AY25" s="171">
        <f>$J25*Index!AX$17</f>
        <v>0</v>
      </c>
      <c r="AZ25" s="171">
        <f>$J25*Index!AY$17</f>
        <v>0</v>
      </c>
      <c r="BA25" s="171">
        <f>$J25*Index!AZ$17</f>
        <v>0</v>
      </c>
      <c r="BB25" s="171">
        <f>$J25*Index!BA$17</f>
        <v>0</v>
      </c>
      <c r="BC25" s="171">
        <f>$J25*Index!BB$17</f>
        <v>0</v>
      </c>
      <c r="BD25" s="171">
        <f>$J25*Index!BC$17</f>
        <v>0</v>
      </c>
      <c r="BE25" s="171">
        <f>$J25*Index!BD$17</f>
        <v>0</v>
      </c>
      <c r="BF25" s="171">
        <f>$J25*Index!BE$17</f>
        <v>0</v>
      </c>
      <c r="BG25" s="171">
        <f>$J25*Index!BF$17</f>
        <v>0</v>
      </c>
      <c r="BH25" s="171">
        <f>$J25*Index!BG$17</f>
        <v>0</v>
      </c>
      <c r="BI25" s="171">
        <f>$J25*Index!BH$17</f>
        <v>0</v>
      </c>
      <c r="BJ25" s="171">
        <f>$J25*Index!BI$17</f>
        <v>0</v>
      </c>
      <c r="BK25" s="171">
        <f>$J25*Index!BJ$17</f>
        <v>0</v>
      </c>
      <c r="BL25" s="171">
        <f>$J25*Index!BK$17</f>
        <v>0</v>
      </c>
      <c r="BM25" s="171">
        <f>$J25*Index!BL$17</f>
        <v>0</v>
      </c>
      <c r="BN25" s="171">
        <f>$J25*Index!BM$17</f>
        <v>0</v>
      </c>
      <c r="BO25" s="171">
        <f>$J25*Index!BN$17</f>
        <v>0</v>
      </c>
      <c r="BP25" s="171">
        <f>$J25*Index!BO$17</f>
        <v>0</v>
      </c>
      <c r="BQ25" s="171">
        <f>$J25*Index!BP$17</f>
        <v>0</v>
      </c>
      <c r="BR25" s="171">
        <f>$J25*Index!BQ$17</f>
        <v>0</v>
      </c>
      <c r="BS25" s="171">
        <f>$J25*Index!BR$17</f>
        <v>0</v>
      </c>
      <c r="BT25" s="171">
        <f>$J25*Index!BS$17</f>
        <v>0</v>
      </c>
      <c r="BU25" s="171">
        <f>$J25*Index!BT$17</f>
        <v>0</v>
      </c>
      <c r="BV25" s="171">
        <f>$J25*Index!BU$17</f>
        <v>0</v>
      </c>
      <c r="BW25" s="171">
        <f>$J25*Index!BV$17</f>
        <v>0</v>
      </c>
      <c r="BX25" s="171">
        <f>$J25*Index!BW$17</f>
        <v>0</v>
      </c>
      <c r="BY25" s="171">
        <f>$J25*Index!BX$17</f>
        <v>0</v>
      </c>
      <c r="BZ25" s="171">
        <f>$J25*Index!BY$17</f>
        <v>0</v>
      </c>
      <c r="CA25" s="171">
        <f>$J25*Index!BZ$17</f>
        <v>0</v>
      </c>
      <c r="CB25" s="171">
        <f>$J25*Index!CA$17</f>
        <v>0</v>
      </c>
      <c r="CC25" s="171">
        <f>$J25*Index!CB$17</f>
        <v>0</v>
      </c>
      <c r="CD25" s="171">
        <f>$J25*Index!CC$17</f>
        <v>0</v>
      </c>
      <c r="CE25" s="171">
        <f>$J25*Index!CD$17</f>
        <v>0</v>
      </c>
      <c r="CF25" s="171">
        <f>$J25*Index!CE$17</f>
        <v>0</v>
      </c>
      <c r="CG25" s="171">
        <f>$J25*Index!CF$17</f>
        <v>0</v>
      </c>
      <c r="CH25" s="171">
        <f>$J25*Index!CG$17</f>
        <v>0</v>
      </c>
      <c r="CI25" s="171">
        <f>$J25*Index!CH$17</f>
        <v>0</v>
      </c>
      <c r="CJ25" s="171">
        <f>$J25*Index!CI$17</f>
        <v>0</v>
      </c>
      <c r="CK25" s="171">
        <f>$J25*Index!CJ$17</f>
        <v>0</v>
      </c>
      <c r="CL25" s="171">
        <f>$J25*Index!CK$17</f>
        <v>0</v>
      </c>
      <c r="CM25" s="171">
        <f>$J25*Index!CL$17</f>
        <v>0</v>
      </c>
      <c r="CN25" s="171">
        <f>$J25*Index!CM$17</f>
        <v>0</v>
      </c>
      <c r="CO25" s="171">
        <f>$J25*Index!CN$17</f>
        <v>0</v>
      </c>
      <c r="CP25" s="171">
        <f>$J25*Index!CO$17</f>
        <v>0</v>
      </c>
      <c r="CQ25" s="171">
        <f>$J25*Index!CP$17</f>
        <v>0</v>
      </c>
      <c r="CR25" s="171">
        <f>$J25*Index!CQ$17</f>
        <v>0</v>
      </c>
      <c r="CS25" s="171">
        <f>$J25*Index!CR$17</f>
        <v>0</v>
      </c>
      <c r="CT25" s="171">
        <f>$J25*Index!CS$17</f>
        <v>0</v>
      </c>
      <c r="CU25" s="171">
        <f>$J25*Index!CT$17</f>
        <v>0</v>
      </c>
      <c r="CV25" s="171">
        <f>$J25*Index!CU$17</f>
        <v>0</v>
      </c>
      <c r="CW25" s="171">
        <f>$J25*Index!CV$17</f>
        <v>0</v>
      </c>
      <c r="CX25" s="171">
        <f>$J25*Index!CW$17</f>
        <v>0</v>
      </c>
      <c r="CY25" s="171">
        <f>$J25*Index!CX$17</f>
        <v>0</v>
      </c>
      <c r="CZ25" s="171">
        <f>$J25*Index!CY$17</f>
        <v>0</v>
      </c>
      <c r="DA25" s="171">
        <f>$J25*Index!CZ$17</f>
        <v>0</v>
      </c>
      <c r="DB25" s="171">
        <f>$J25*Index!DA$17</f>
        <v>0</v>
      </c>
      <c r="DC25" s="171">
        <f>$J25*Index!DB$17</f>
        <v>0</v>
      </c>
      <c r="DD25" s="171">
        <f>$J25*Index!DC$17</f>
        <v>0</v>
      </c>
      <c r="DE25" s="171">
        <f>$J25*Index!DD$17</f>
        <v>0</v>
      </c>
      <c r="DF25" s="171">
        <f>$J25*Index!DE$17</f>
        <v>0</v>
      </c>
      <c r="DG25" s="171">
        <f>$J25*Index!DF$17</f>
        <v>0</v>
      </c>
      <c r="DH25" s="171">
        <f>$J25*Index!DG$17</f>
        <v>0</v>
      </c>
      <c r="DI25" s="171">
        <f>$J25*Index!DH$17</f>
        <v>0</v>
      </c>
      <c r="DJ25" s="171">
        <f>$J25*Index!DI$17</f>
        <v>0</v>
      </c>
      <c r="DK25" s="171">
        <f>$J25*Index!DJ$17</f>
        <v>0</v>
      </c>
      <c r="DL25" s="171">
        <f>$J25*Index!DK$17</f>
        <v>0</v>
      </c>
      <c r="DM25" s="171">
        <f>$J25*Index!DL$17</f>
        <v>0</v>
      </c>
      <c r="DN25" s="171">
        <f>$J25*Index!DM$17</f>
        <v>0</v>
      </c>
      <c r="DO25" s="171">
        <f>$J25*Index!DN$17</f>
        <v>0</v>
      </c>
      <c r="DP25" s="171">
        <f>$J25*Index!DO$17</f>
        <v>0</v>
      </c>
      <c r="DQ25" s="171">
        <f>$J25*Index!DP$17</f>
        <v>0</v>
      </c>
      <c r="DR25" s="171">
        <f>$J25*Index!DQ$17</f>
        <v>0</v>
      </c>
      <c r="DS25" s="171">
        <f>$J25*Index!DR$17</f>
        <v>0</v>
      </c>
      <c r="DT25" s="171">
        <f>$J25*Index!DS$17</f>
        <v>0</v>
      </c>
      <c r="DU25" s="171">
        <f>$J25*Index!DT$17</f>
        <v>0</v>
      </c>
      <c r="DV25" s="171">
        <f>$J25*Index!DU$17</f>
        <v>0</v>
      </c>
      <c r="DW25" s="171">
        <f>$J25*Index!DV$17</f>
        <v>0</v>
      </c>
      <c r="DX25" s="171">
        <f>$J25*Index!DW$17</f>
        <v>0</v>
      </c>
      <c r="DY25" s="171">
        <f>$J25*Index!DX$17</f>
        <v>0</v>
      </c>
      <c r="DZ25" s="171">
        <f>$J25*Index!DY$17</f>
        <v>0</v>
      </c>
      <c r="EA25" s="171">
        <f>$J25*Index!DZ$17</f>
        <v>0</v>
      </c>
      <c r="EB25" s="171">
        <f>$J25*Index!EA$17</f>
        <v>0</v>
      </c>
      <c r="EC25" s="171">
        <f>$J25*Index!EB$17</f>
        <v>0</v>
      </c>
      <c r="ED25" s="171">
        <f>$J25*Index!EC$17</f>
        <v>0</v>
      </c>
      <c r="EE25" s="171">
        <f>$J25*Index!ED$17</f>
        <v>0</v>
      </c>
      <c r="EF25" s="171">
        <f>$J25*Index!EE$17</f>
        <v>0</v>
      </c>
      <c r="EG25" s="171">
        <f>$J25*Index!EF$17</f>
        <v>0</v>
      </c>
      <c r="EH25" s="171">
        <f>$J25*Index!EG$17</f>
        <v>0</v>
      </c>
      <c r="EI25" s="171">
        <f>$J25*Index!EH$17</f>
        <v>0</v>
      </c>
      <c r="EJ25" s="171">
        <f>$J25*Index!EI$17</f>
        <v>0</v>
      </c>
      <c r="EK25" s="171">
        <f>$J25*Index!EJ$17</f>
        <v>0</v>
      </c>
      <c r="EL25" s="171">
        <f>$J25*Index!EK$17</f>
        <v>0</v>
      </c>
      <c r="EM25" s="171">
        <f>$J25*Index!EL$17</f>
        <v>0</v>
      </c>
      <c r="EN25" s="171">
        <f>$J25*Index!EM$17</f>
        <v>0</v>
      </c>
      <c r="EO25" s="171">
        <f>$J25*Index!EN$17</f>
        <v>0</v>
      </c>
      <c r="EP25" s="171">
        <f>$J25*Index!EO$17</f>
        <v>0</v>
      </c>
      <c r="EQ25" s="171">
        <f>$J25*Index!EP$17</f>
        <v>0</v>
      </c>
      <c r="ER25" s="171">
        <f>$J25*Index!EQ$17</f>
        <v>0</v>
      </c>
    </row>
    <row r="26" spans="3:148">
      <c r="C26" s="163"/>
      <c r="D26" s="169" t="str">
        <f>'A&amp;R'!M16</f>
        <v>소유권이전비용</v>
      </c>
      <c r="F26" s="852">
        <f>ROUNDUP(F19*0.24%*40%*10%,-3)+I26</f>
        <v>76000</v>
      </c>
      <c r="H26" s="5" t="s">
        <v>1747</v>
      </c>
      <c r="I26" s="2606">
        <v>50000</v>
      </c>
      <c r="J26" s="821">
        <f t="shared" si="12"/>
        <v>76000</v>
      </c>
      <c r="K26" s="170">
        <f t="shared" si="13"/>
        <v>76000</v>
      </c>
      <c r="L26" s="98"/>
      <c r="M26" s="171">
        <f>$J26*Index!L$17</f>
        <v>76000</v>
      </c>
      <c r="N26" s="171">
        <f>$J26*Index!M$17</f>
        <v>0</v>
      </c>
      <c r="O26" s="171">
        <f>$J26*Index!N$17</f>
        <v>0</v>
      </c>
      <c r="P26" s="171">
        <f>$J26*Index!O$17</f>
        <v>0</v>
      </c>
      <c r="Q26" s="171">
        <f>$J26*Index!P$17</f>
        <v>0</v>
      </c>
      <c r="R26" s="171">
        <f>$J26*Index!Q$17</f>
        <v>0</v>
      </c>
      <c r="S26" s="171">
        <f>$J26*Index!R$17</f>
        <v>0</v>
      </c>
      <c r="T26" s="171">
        <f>$J26*Index!S$17</f>
        <v>0</v>
      </c>
      <c r="U26" s="171">
        <f>$J26*Index!T$17</f>
        <v>0</v>
      </c>
      <c r="V26" s="171">
        <f>$J26*Index!U$17</f>
        <v>0</v>
      </c>
      <c r="W26" s="171">
        <f>$J26*Index!V$17</f>
        <v>0</v>
      </c>
      <c r="X26" s="171">
        <f>$J26*Index!W$17</f>
        <v>0</v>
      </c>
      <c r="Y26" s="171">
        <f>$J26*Index!X$17</f>
        <v>0</v>
      </c>
      <c r="Z26" s="171">
        <f>$J26*Index!Y$17</f>
        <v>0</v>
      </c>
      <c r="AA26" s="171">
        <f>$J26*Index!Z$17</f>
        <v>0</v>
      </c>
      <c r="AB26" s="171">
        <f>$J26*Index!AA$17</f>
        <v>0</v>
      </c>
      <c r="AC26" s="171">
        <f>$J26*Index!AB$17</f>
        <v>0</v>
      </c>
      <c r="AD26" s="171">
        <f>$J26*Index!AC$17</f>
        <v>0</v>
      </c>
      <c r="AE26" s="171">
        <f>$J26*Index!AD$17</f>
        <v>0</v>
      </c>
      <c r="AF26" s="171">
        <f>$J26*Index!AE$17</f>
        <v>0</v>
      </c>
      <c r="AG26" s="171">
        <f>$J26*Index!AF$17</f>
        <v>0</v>
      </c>
      <c r="AH26" s="171">
        <f>$J26*Index!AG$17</f>
        <v>0</v>
      </c>
      <c r="AI26" s="171">
        <f>$J26*Index!AH$17</f>
        <v>0</v>
      </c>
      <c r="AJ26" s="171">
        <f>$J26*Index!AI$17</f>
        <v>0</v>
      </c>
      <c r="AK26" s="171">
        <f>$J26*Index!AJ$17</f>
        <v>0</v>
      </c>
      <c r="AL26" s="171">
        <f>$J26*Index!AK$17</f>
        <v>0</v>
      </c>
      <c r="AM26" s="171">
        <f>$J26*Index!AL$17</f>
        <v>0</v>
      </c>
      <c r="AN26" s="171">
        <f>$J26*Index!AM$17</f>
        <v>0</v>
      </c>
      <c r="AO26" s="171">
        <f>$J26*Index!AN$17</f>
        <v>0</v>
      </c>
      <c r="AP26" s="171">
        <f>$J26*Index!AO$17</f>
        <v>0</v>
      </c>
      <c r="AQ26" s="171">
        <f>$J26*Index!AP$17</f>
        <v>0</v>
      </c>
      <c r="AR26" s="171">
        <f>$J26*Index!AQ$17</f>
        <v>0</v>
      </c>
      <c r="AS26" s="171">
        <f>$J26*Index!AR$17</f>
        <v>0</v>
      </c>
      <c r="AT26" s="171">
        <f>$J26*Index!AS$17</f>
        <v>0</v>
      </c>
      <c r="AU26" s="171">
        <f>$J26*Index!AT$17</f>
        <v>0</v>
      </c>
      <c r="AV26" s="171">
        <f>$J26*Index!AU$17</f>
        <v>0</v>
      </c>
      <c r="AW26" s="171">
        <f>$J26*Index!AV$17</f>
        <v>0</v>
      </c>
      <c r="AX26" s="171">
        <f>$J26*Index!AW$17</f>
        <v>0</v>
      </c>
      <c r="AY26" s="171">
        <f>$J26*Index!AX$17</f>
        <v>0</v>
      </c>
      <c r="AZ26" s="171">
        <f>$J26*Index!AY$17</f>
        <v>0</v>
      </c>
      <c r="BA26" s="171">
        <f>$J26*Index!AZ$17</f>
        <v>0</v>
      </c>
      <c r="BB26" s="171">
        <f>$J26*Index!BA$17</f>
        <v>0</v>
      </c>
      <c r="BC26" s="171">
        <f>$J26*Index!BB$17</f>
        <v>0</v>
      </c>
      <c r="BD26" s="171">
        <f>$J26*Index!BC$17</f>
        <v>0</v>
      </c>
      <c r="BE26" s="171">
        <f>$J26*Index!BD$17</f>
        <v>0</v>
      </c>
      <c r="BF26" s="171">
        <f>$J26*Index!BE$17</f>
        <v>0</v>
      </c>
      <c r="BG26" s="171">
        <f>$J26*Index!BF$17</f>
        <v>0</v>
      </c>
      <c r="BH26" s="171">
        <f>$J26*Index!BG$17</f>
        <v>0</v>
      </c>
      <c r="BI26" s="171">
        <f>$J26*Index!BH$17</f>
        <v>0</v>
      </c>
      <c r="BJ26" s="171">
        <f>$J26*Index!BI$17</f>
        <v>0</v>
      </c>
      <c r="BK26" s="171">
        <f>$J26*Index!BJ$17</f>
        <v>0</v>
      </c>
      <c r="BL26" s="171">
        <f>$J26*Index!BK$17</f>
        <v>0</v>
      </c>
      <c r="BM26" s="171">
        <f>$J26*Index!BL$17</f>
        <v>0</v>
      </c>
      <c r="BN26" s="171">
        <f>$J26*Index!BM$17</f>
        <v>0</v>
      </c>
      <c r="BO26" s="171">
        <f>$J26*Index!BN$17</f>
        <v>0</v>
      </c>
      <c r="BP26" s="171">
        <f>$J26*Index!BO$17</f>
        <v>0</v>
      </c>
      <c r="BQ26" s="171">
        <f>$J26*Index!BP$17</f>
        <v>0</v>
      </c>
      <c r="BR26" s="171">
        <f>$J26*Index!BQ$17</f>
        <v>0</v>
      </c>
      <c r="BS26" s="171">
        <f>$J26*Index!BR$17</f>
        <v>0</v>
      </c>
      <c r="BT26" s="171">
        <f>$J26*Index!BS$17</f>
        <v>0</v>
      </c>
      <c r="BU26" s="171">
        <f>$J26*Index!BT$17</f>
        <v>0</v>
      </c>
      <c r="BV26" s="171">
        <f>$J26*Index!BU$17</f>
        <v>0</v>
      </c>
      <c r="BW26" s="171">
        <f>$J26*Index!BV$17</f>
        <v>0</v>
      </c>
      <c r="BX26" s="171">
        <f>$J26*Index!BW$17</f>
        <v>0</v>
      </c>
      <c r="BY26" s="171">
        <f>$J26*Index!BX$17</f>
        <v>0</v>
      </c>
      <c r="BZ26" s="171">
        <f>$J26*Index!BY$17</f>
        <v>0</v>
      </c>
      <c r="CA26" s="171">
        <f>$J26*Index!BZ$17</f>
        <v>0</v>
      </c>
      <c r="CB26" s="171">
        <f>$J26*Index!CA$17</f>
        <v>0</v>
      </c>
      <c r="CC26" s="171">
        <f>$J26*Index!CB$17</f>
        <v>0</v>
      </c>
      <c r="CD26" s="171">
        <f>$J26*Index!CC$17</f>
        <v>0</v>
      </c>
      <c r="CE26" s="171">
        <f>$J26*Index!CD$17</f>
        <v>0</v>
      </c>
      <c r="CF26" s="171">
        <f>$J26*Index!CE$17</f>
        <v>0</v>
      </c>
      <c r="CG26" s="171">
        <f>$J26*Index!CF$17</f>
        <v>0</v>
      </c>
      <c r="CH26" s="171">
        <f>$J26*Index!CG$17</f>
        <v>0</v>
      </c>
      <c r="CI26" s="171">
        <f>$J26*Index!CH$17</f>
        <v>0</v>
      </c>
      <c r="CJ26" s="171">
        <f>$J26*Index!CI$17</f>
        <v>0</v>
      </c>
      <c r="CK26" s="171">
        <f>$J26*Index!CJ$17</f>
        <v>0</v>
      </c>
      <c r="CL26" s="171">
        <f>$J26*Index!CK$17</f>
        <v>0</v>
      </c>
      <c r="CM26" s="171">
        <f>$J26*Index!CL$17</f>
        <v>0</v>
      </c>
      <c r="CN26" s="171">
        <f>$J26*Index!CM$17</f>
        <v>0</v>
      </c>
      <c r="CO26" s="171">
        <f>$J26*Index!CN$17</f>
        <v>0</v>
      </c>
      <c r="CP26" s="171">
        <f>$J26*Index!CO$17</f>
        <v>0</v>
      </c>
      <c r="CQ26" s="171">
        <f>$J26*Index!CP$17</f>
        <v>0</v>
      </c>
      <c r="CR26" s="171">
        <f>$J26*Index!CQ$17</f>
        <v>0</v>
      </c>
      <c r="CS26" s="171">
        <f>$J26*Index!CR$17</f>
        <v>0</v>
      </c>
      <c r="CT26" s="171">
        <f>$J26*Index!CS$17</f>
        <v>0</v>
      </c>
      <c r="CU26" s="171">
        <f>$J26*Index!CT$17</f>
        <v>0</v>
      </c>
      <c r="CV26" s="171">
        <f>$J26*Index!CU$17</f>
        <v>0</v>
      </c>
      <c r="CW26" s="171">
        <f>$J26*Index!CV$17</f>
        <v>0</v>
      </c>
      <c r="CX26" s="171">
        <f>$J26*Index!CW$17</f>
        <v>0</v>
      </c>
      <c r="CY26" s="171">
        <f>$J26*Index!CX$17</f>
        <v>0</v>
      </c>
      <c r="CZ26" s="171">
        <f>$J26*Index!CY$17</f>
        <v>0</v>
      </c>
      <c r="DA26" s="171">
        <f>$J26*Index!CZ$17</f>
        <v>0</v>
      </c>
      <c r="DB26" s="171">
        <f>$J26*Index!DA$17</f>
        <v>0</v>
      </c>
      <c r="DC26" s="171">
        <f>$J26*Index!DB$17</f>
        <v>0</v>
      </c>
      <c r="DD26" s="171">
        <f>$J26*Index!DC$17</f>
        <v>0</v>
      </c>
      <c r="DE26" s="171">
        <f>$J26*Index!DD$17</f>
        <v>0</v>
      </c>
      <c r="DF26" s="171">
        <f>$J26*Index!DE$17</f>
        <v>0</v>
      </c>
      <c r="DG26" s="171">
        <f>$J26*Index!DF$17</f>
        <v>0</v>
      </c>
      <c r="DH26" s="171">
        <f>$J26*Index!DG$17</f>
        <v>0</v>
      </c>
      <c r="DI26" s="171">
        <f>$J26*Index!DH$17</f>
        <v>0</v>
      </c>
      <c r="DJ26" s="171">
        <f>$J26*Index!DI$17</f>
        <v>0</v>
      </c>
      <c r="DK26" s="171">
        <f>$J26*Index!DJ$17</f>
        <v>0</v>
      </c>
      <c r="DL26" s="171">
        <f>$J26*Index!DK$17</f>
        <v>0</v>
      </c>
      <c r="DM26" s="171">
        <f>$J26*Index!DL$17</f>
        <v>0</v>
      </c>
      <c r="DN26" s="171">
        <f>$J26*Index!DM$17</f>
        <v>0</v>
      </c>
      <c r="DO26" s="171">
        <f>$J26*Index!DN$17</f>
        <v>0</v>
      </c>
      <c r="DP26" s="171">
        <f>$J26*Index!DO$17</f>
        <v>0</v>
      </c>
      <c r="DQ26" s="171">
        <f>$J26*Index!DP$17</f>
        <v>0</v>
      </c>
      <c r="DR26" s="171">
        <f>$J26*Index!DQ$17</f>
        <v>0</v>
      </c>
      <c r="DS26" s="171">
        <f>$J26*Index!DR$17</f>
        <v>0</v>
      </c>
      <c r="DT26" s="171">
        <f>$J26*Index!DS$17</f>
        <v>0</v>
      </c>
      <c r="DU26" s="171">
        <f>$J26*Index!DT$17</f>
        <v>0</v>
      </c>
      <c r="DV26" s="171">
        <f>$J26*Index!DU$17</f>
        <v>0</v>
      </c>
      <c r="DW26" s="171">
        <f>$J26*Index!DV$17</f>
        <v>0</v>
      </c>
      <c r="DX26" s="171">
        <f>$J26*Index!DW$17</f>
        <v>0</v>
      </c>
      <c r="DY26" s="171">
        <f>$J26*Index!DX$17</f>
        <v>0</v>
      </c>
      <c r="DZ26" s="171">
        <f>$J26*Index!DY$17</f>
        <v>0</v>
      </c>
      <c r="EA26" s="171">
        <f>$J26*Index!DZ$17</f>
        <v>0</v>
      </c>
      <c r="EB26" s="171">
        <f>$J26*Index!EA$17</f>
        <v>0</v>
      </c>
      <c r="EC26" s="171">
        <f>$J26*Index!EB$17</f>
        <v>0</v>
      </c>
      <c r="ED26" s="171">
        <f>$J26*Index!EC$17</f>
        <v>0</v>
      </c>
      <c r="EE26" s="171">
        <f>$J26*Index!ED$17</f>
        <v>0</v>
      </c>
      <c r="EF26" s="171">
        <f>$J26*Index!EE$17</f>
        <v>0</v>
      </c>
      <c r="EG26" s="171">
        <f>$J26*Index!EF$17</f>
        <v>0</v>
      </c>
      <c r="EH26" s="171">
        <f>$J26*Index!EG$17</f>
        <v>0</v>
      </c>
      <c r="EI26" s="171">
        <f>$J26*Index!EH$17</f>
        <v>0</v>
      </c>
      <c r="EJ26" s="171">
        <f>$J26*Index!EI$17</f>
        <v>0</v>
      </c>
      <c r="EK26" s="171">
        <f>$J26*Index!EJ$17</f>
        <v>0</v>
      </c>
      <c r="EL26" s="171">
        <f>$J26*Index!EK$17</f>
        <v>0</v>
      </c>
      <c r="EM26" s="171">
        <f>$J26*Index!EL$17</f>
        <v>0</v>
      </c>
      <c r="EN26" s="171">
        <f>$J26*Index!EM$17</f>
        <v>0</v>
      </c>
      <c r="EO26" s="171">
        <f>$J26*Index!EN$17</f>
        <v>0</v>
      </c>
      <c r="EP26" s="171">
        <f>$J26*Index!EO$17</f>
        <v>0</v>
      </c>
      <c r="EQ26" s="171">
        <f>$J26*Index!EP$17</f>
        <v>0</v>
      </c>
      <c r="ER26" s="171">
        <f>$J26*Index!EQ$17</f>
        <v>0</v>
      </c>
    </row>
    <row r="27" spans="3:148">
      <c r="C27" s="158" t="str">
        <f>'A&amp;R'!L18</f>
        <v>기타사업비</v>
      </c>
      <c r="D27" s="159"/>
      <c r="E27" s="159"/>
      <c r="F27" s="193"/>
      <c r="G27" s="159"/>
      <c r="H27" s="159"/>
      <c r="I27" s="160"/>
      <c r="J27" s="822">
        <f>SUM(J28:J31)</f>
        <v>12578300.125132002</v>
      </c>
      <c r="K27" s="161">
        <f>SUM(K28:K31)</f>
        <v>12578300.125132002</v>
      </c>
      <c r="L27" s="98"/>
      <c r="M27" s="162">
        <f>SUM(M28:M31)</f>
        <v>12578300.125132002</v>
      </c>
      <c r="N27" s="162">
        <f t="shared" ref="N27:S27" si="14">SUM(N28:N31)</f>
        <v>0</v>
      </c>
      <c r="O27" s="162">
        <f t="shared" si="14"/>
        <v>0</v>
      </c>
      <c r="P27" s="162">
        <f t="shared" si="14"/>
        <v>0</v>
      </c>
      <c r="Q27" s="162">
        <f t="shared" si="14"/>
        <v>0</v>
      </c>
      <c r="R27" s="162">
        <f t="shared" si="14"/>
        <v>0</v>
      </c>
      <c r="S27" s="162">
        <f t="shared" si="14"/>
        <v>0</v>
      </c>
      <c r="T27" s="162">
        <f t="shared" ref="T27:CE27" si="15">SUM(T28:T31)</f>
        <v>0</v>
      </c>
      <c r="U27" s="162">
        <f t="shared" si="15"/>
        <v>0</v>
      </c>
      <c r="V27" s="162">
        <f t="shared" si="15"/>
        <v>0</v>
      </c>
      <c r="W27" s="162">
        <f t="shared" si="15"/>
        <v>0</v>
      </c>
      <c r="X27" s="162">
        <f t="shared" si="15"/>
        <v>0</v>
      </c>
      <c r="Y27" s="162">
        <f t="shared" si="15"/>
        <v>0</v>
      </c>
      <c r="Z27" s="162">
        <f t="shared" si="15"/>
        <v>0</v>
      </c>
      <c r="AA27" s="162">
        <f t="shared" si="15"/>
        <v>0</v>
      </c>
      <c r="AB27" s="162">
        <f t="shared" si="15"/>
        <v>0</v>
      </c>
      <c r="AC27" s="162">
        <f t="shared" si="15"/>
        <v>0</v>
      </c>
      <c r="AD27" s="162">
        <f t="shared" si="15"/>
        <v>0</v>
      </c>
      <c r="AE27" s="162">
        <f t="shared" si="15"/>
        <v>0</v>
      </c>
      <c r="AF27" s="162">
        <f t="shared" si="15"/>
        <v>0</v>
      </c>
      <c r="AG27" s="162">
        <f t="shared" si="15"/>
        <v>0</v>
      </c>
      <c r="AH27" s="162">
        <f t="shared" si="15"/>
        <v>0</v>
      </c>
      <c r="AI27" s="162">
        <f t="shared" si="15"/>
        <v>0</v>
      </c>
      <c r="AJ27" s="162">
        <f t="shared" si="15"/>
        <v>0</v>
      </c>
      <c r="AK27" s="162">
        <f t="shared" si="15"/>
        <v>0</v>
      </c>
      <c r="AL27" s="162">
        <f t="shared" si="15"/>
        <v>0</v>
      </c>
      <c r="AM27" s="162">
        <f t="shared" si="15"/>
        <v>0</v>
      </c>
      <c r="AN27" s="162">
        <f t="shared" si="15"/>
        <v>0</v>
      </c>
      <c r="AO27" s="162">
        <f t="shared" si="15"/>
        <v>0</v>
      </c>
      <c r="AP27" s="162">
        <f t="shared" si="15"/>
        <v>0</v>
      </c>
      <c r="AQ27" s="162">
        <f t="shared" si="15"/>
        <v>0</v>
      </c>
      <c r="AR27" s="162">
        <f t="shared" si="15"/>
        <v>0</v>
      </c>
      <c r="AS27" s="162">
        <f t="shared" si="15"/>
        <v>0</v>
      </c>
      <c r="AT27" s="162">
        <f t="shared" si="15"/>
        <v>0</v>
      </c>
      <c r="AU27" s="162">
        <f t="shared" si="15"/>
        <v>0</v>
      </c>
      <c r="AV27" s="162">
        <f t="shared" si="15"/>
        <v>0</v>
      </c>
      <c r="AW27" s="162">
        <f t="shared" si="15"/>
        <v>0</v>
      </c>
      <c r="AX27" s="162">
        <f t="shared" si="15"/>
        <v>0</v>
      </c>
      <c r="AY27" s="162">
        <f t="shared" si="15"/>
        <v>0</v>
      </c>
      <c r="AZ27" s="162">
        <f t="shared" si="15"/>
        <v>0</v>
      </c>
      <c r="BA27" s="162">
        <f t="shared" si="15"/>
        <v>0</v>
      </c>
      <c r="BB27" s="162">
        <f t="shared" si="15"/>
        <v>0</v>
      </c>
      <c r="BC27" s="162">
        <f t="shared" si="15"/>
        <v>0</v>
      </c>
      <c r="BD27" s="162">
        <f t="shared" si="15"/>
        <v>0</v>
      </c>
      <c r="BE27" s="162">
        <f t="shared" si="15"/>
        <v>0</v>
      </c>
      <c r="BF27" s="162">
        <f t="shared" si="15"/>
        <v>0</v>
      </c>
      <c r="BG27" s="162">
        <f t="shared" si="15"/>
        <v>0</v>
      </c>
      <c r="BH27" s="162">
        <f t="shared" si="15"/>
        <v>0</v>
      </c>
      <c r="BI27" s="162">
        <f t="shared" si="15"/>
        <v>0</v>
      </c>
      <c r="BJ27" s="162">
        <f t="shared" si="15"/>
        <v>0</v>
      </c>
      <c r="BK27" s="162">
        <f t="shared" si="15"/>
        <v>0</v>
      </c>
      <c r="BL27" s="162">
        <f t="shared" si="15"/>
        <v>0</v>
      </c>
      <c r="BM27" s="162">
        <f t="shared" si="15"/>
        <v>0</v>
      </c>
      <c r="BN27" s="162">
        <f t="shared" si="15"/>
        <v>0</v>
      </c>
      <c r="BO27" s="162">
        <f t="shared" si="15"/>
        <v>0</v>
      </c>
      <c r="BP27" s="162">
        <f t="shared" si="15"/>
        <v>0</v>
      </c>
      <c r="BQ27" s="162">
        <f t="shared" si="15"/>
        <v>0</v>
      </c>
      <c r="BR27" s="162">
        <f t="shared" si="15"/>
        <v>0</v>
      </c>
      <c r="BS27" s="162">
        <f t="shared" si="15"/>
        <v>0</v>
      </c>
      <c r="BT27" s="162">
        <f t="shared" si="15"/>
        <v>0</v>
      </c>
      <c r="BU27" s="162">
        <f t="shared" si="15"/>
        <v>0</v>
      </c>
      <c r="BV27" s="162">
        <f t="shared" si="15"/>
        <v>0</v>
      </c>
      <c r="BW27" s="162">
        <f t="shared" si="15"/>
        <v>0</v>
      </c>
      <c r="BX27" s="162">
        <f t="shared" si="15"/>
        <v>0</v>
      </c>
      <c r="BY27" s="162">
        <f t="shared" si="15"/>
        <v>0</v>
      </c>
      <c r="BZ27" s="162">
        <f t="shared" si="15"/>
        <v>0</v>
      </c>
      <c r="CA27" s="162">
        <f t="shared" si="15"/>
        <v>0</v>
      </c>
      <c r="CB27" s="162">
        <f t="shared" si="15"/>
        <v>0</v>
      </c>
      <c r="CC27" s="162">
        <f t="shared" si="15"/>
        <v>0</v>
      </c>
      <c r="CD27" s="162">
        <f t="shared" si="15"/>
        <v>0</v>
      </c>
      <c r="CE27" s="162">
        <f t="shared" si="15"/>
        <v>0</v>
      </c>
      <c r="CF27" s="162">
        <f t="shared" ref="CF27:EQ27" si="16">SUM(CF28:CF31)</f>
        <v>0</v>
      </c>
      <c r="CG27" s="162">
        <f t="shared" si="16"/>
        <v>0</v>
      </c>
      <c r="CH27" s="162">
        <f t="shared" si="16"/>
        <v>0</v>
      </c>
      <c r="CI27" s="162">
        <f t="shared" si="16"/>
        <v>0</v>
      </c>
      <c r="CJ27" s="162">
        <f t="shared" si="16"/>
        <v>0</v>
      </c>
      <c r="CK27" s="162">
        <f t="shared" si="16"/>
        <v>0</v>
      </c>
      <c r="CL27" s="162">
        <f t="shared" si="16"/>
        <v>0</v>
      </c>
      <c r="CM27" s="162">
        <f t="shared" si="16"/>
        <v>0</v>
      </c>
      <c r="CN27" s="162">
        <f t="shared" si="16"/>
        <v>0</v>
      </c>
      <c r="CO27" s="162">
        <f t="shared" si="16"/>
        <v>0</v>
      </c>
      <c r="CP27" s="162">
        <f t="shared" si="16"/>
        <v>0</v>
      </c>
      <c r="CQ27" s="162">
        <f t="shared" si="16"/>
        <v>0</v>
      </c>
      <c r="CR27" s="162">
        <f t="shared" si="16"/>
        <v>0</v>
      </c>
      <c r="CS27" s="162">
        <f t="shared" si="16"/>
        <v>0</v>
      </c>
      <c r="CT27" s="162">
        <f t="shared" si="16"/>
        <v>0</v>
      </c>
      <c r="CU27" s="162">
        <f t="shared" si="16"/>
        <v>0</v>
      </c>
      <c r="CV27" s="162">
        <f t="shared" si="16"/>
        <v>0</v>
      </c>
      <c r="CW27" s="162">
        <f t="shared" si="16"/>
        <v>0</v>
      </c>
      <c r="CX27" s="162">
        <f t="shared" si="16"/>
        <v>0</v>
      </c>
      <c r="CY27" s="162">
        <f t="shared" si="16"/>
        <v>0</v>
      </c>
      <c r="CZ27" s="162">
        <f t="shared" si="16"/>
        <v>0</v>
      </c>
      <c r="DA27" s="162">
        <f t="shared" si="16"/>
        <v>0</v>
      </c>
      <c r="DB27" s="162">
        <f t="shared" si="16"/>
        <v>0</v>
      </c>
      <c r="DC27" s="162">
        <f t="shared" si="16"/>
        <v>0</v>
      </c>
      <c r="DD27" s="162">
        <f t="shared" si="16"/>
        <v>0</v>
      </c>
      <c r="DE27" s="162">
        <f t="shared" si="16"/>
        <v>0</v>
      </c>
      <c r="DF27" s="162">
        <f t="shared" si="16"/>
        <v>0</v>
      </c>
      <c r="DG27" s="162">
        <f t="shared" si="16"/>
        <v>0</v>
      </c>
      <c r="DH27" s="162">
        <f t="shared" si="16"/>
        <v>0</v>
      </c>
      <c r="DI27" s="162">
        <f t="shared" si="16"/>
        <v>0</v>
      </c>
      <c r="DJ27" s="162">
        <f t="shared" si="16"/>
        <v>0</v>
      </c>
      <c r="DK27" s="162">
        <f t="shared" si="16"/>
        <v>0</v>
      </c>
      <c r="DL27" s="162">
        <f t="shared" si="16"/>
        <v>0</v>
      </c>
      <c r="DM27" s="162">
        <f t="shared" si="16"/>
        <v>0</v>
      </c>
      <c r="DN27" s="162">
        <f t="shared" si="16"/>
        <v>0</v>
      </c>
      <c r="DO27" s="162">
        <f t="shared" si="16"/>
        <v>0</v>
      </c>
      <c r="DP27" s="162">
        <f t="shared" si="16"/>
        <v>0</v>
      </c>
      <c r="DQ27" s="162">
        <f t="shared" si="16"/>
        <v>0</v>
      </c>
      <c r="DR27" s="162">
        <f t="shared" si="16"/>
        <v>0</v>
      </c>
      <c r="DS27" s="162">
        <f t="shared" si="16"/>
        <v>0</v>
      </c>
      <c r="DT27" s="162">
        <f t="shared" si="16"/>
        <v>0</v>
      </c>
      <c r="DU27" s="162">
        <f t="shared" si="16"/>
        <v>0</v>
      </c>
      <c r="DV27" s="162">
        <f t="shared" si="16"/>
        <v>0</v>
      </c>
      <c r="DW27" s="162">
        <f t="shared" si="16"/>
        <v>0</v>
      </c>
      <c r="DX27" s="162">
        <f t="shared" si="16"/>
        <v>0</v>
      </c>
      <c r="DY27" s="162">
        <f t="shared" si="16"/>
        <v>0</v>
      </c>
      <c r="DZ27" s="162">
        <f t="shared" si="16"/>
        <v>0</v>
      </c>
      <c r="EA27" s="162">
        <f t="shared" si="16"/>
        <v>0</v>
      </c>
      <c r="EB27" s="162">
        <f t="shared" si="16"/>
        <v>0</v>
      </c>
      <c r="EC27" s="162">
        <f t="shared" si="16"/>
        <v>0</v>
      </c>
      <c r="ED27" s="162">
        <f t="shared" si="16"/>
        <v>0</v>
      </c>
      <c r="EE27" s="162">
        <f t="shared" si="16"/>
        <v>0</v>
      </c>
      <c r="EF27" s="162">
        <f t="shared" si="16"/>
        <v>0</v>
      </c>
      <c r="EG27" s="162">
        <f t="shared" si="16"/>
        <v>0</v>
      </c>
      <c r="EH27" s="162">
        <f t="shared" si="16"/>
        <v>0</v>
      </c>
      <c r="EI27" s="162">
        <f t="shared" si="16"/>
        <v>0</v>
      </c>
      <c r="EJ27" s="162">
        <f t="shared" si="16"/>
        <v>0</v>
      </c>
      <c r="EK27" s="162">
        <f t="shared" si="16"/>
        <v>0</v>
      </c>
      <c r="EL27" s="162">
        <f t="shared" si="16"/>
        <v>0</v>
      </c>
      <c r="EM27" s="162">
        <f t="shared" si="16"/>
        <v>0</v>
      </c>
      <c r="EN27" s="162">
        <f t="shared" si="16"/>
        <v>0</v>
      </c>
      <c r="EO27" s="162">
        <f t="shared" si="16"/>
        <v>0</v>
      </c>
      <c r="EP27" s="162">
        <f t="shared" si="16"/>
        <v>0</v>
      </c>
      <c r="EQ27" s="162">
        <f t="shared" si="16"/>
        <v>0</v>
      </c>
      <c r="ER27" s="162">
        <f>SUM(ER28:ER31)</f>
        <v>0</v>
      </c>
    </row>
    <row r="28" spans="3:148">
      <c r="C28" s="163"/>
      <c r="D28" s="164" t="str">
        <f>'A&amp;R'!M18</f>
        <v>취득세</v>
      </c>
      <c r="E28" s="165"/>
      <c r="F28" s="815">
        <f>SUM(F16,J19,F21:F26)</f>
        <v>271696315.10000002</v>
      </c>
      <c r="G28" s="817" t="s">
        <v>503</v>
      </c>
      <c r="H28" s="850">
        <v>4.5999999999999999E-2</v>
      </c>
      <c r="I28" s="194">
        <v>1</v>
      </c>
      <c r="J28" s="1347">
        <f>F28*H28</f>
        <v>12498030.494600002</v>
      </c>
      <c r="K28" s="167">
        <f>SUM(M28:ER28)</f>
        <v>12498030.494600002</v>
      </c>
      <c r="L28" s="98"/>
      <c r="M28" s="171">
        <f>$J28*Index!L$17</f>
        <v>12498030.494600002</v>
      </c>
      <c r="N28" s="171">
        <f>$J28*Index!M$17</f>
        <v>0</v>
      </c>
      <c r="O28" s="171">
        <f>$J28*Index!N$17</f>
        <v>0</v>
      </c>
      <c r="P28" s="171">
        <f>$J28*Index!O$17</f>
        <v>0</v>
      </c>
      <c r="Q28" s="171">
        <f>$J28*Index!P$17</f>
        <v>0</v>
      </c>
      <c r="R28" s="171">
        <f>$J28*Index!Q$17</f>
        <v>0</v>
      </c>
      <c r="S28" s="171">
        <f>$J28*Index!R$17</f>
        <v>0</v>
      </c>
      <c r="T28" s="171">
        <f>$J28*Index!S$17</f>
        <v>0</v>
      </c>
      <c r="U28" s="171">
        <f>$J28*Index!T$17</f>
        <v>0</v>
      </c>
      <c r="V28" s="171">
        <f>$J28*Index!U$17</f>
        <v>0</v>
      </c>
      <c r="W28" s="171">
        <f>$J28*Index!V$17</f>
        <v>0</v>
      </c>
      <c r="X28" s="171">
        <f>$J28*Index!W$17</f>
        <v>0</v>
      </c>
      <c r="Y28" s="171">
        <f>$J28*Index!X$17</f>
        <v>0</v>
      </c>
      <c r="Z28" s="171">
        <f>$J28*Index!Y$17</f>
        <v>0</v>
      </c>
      <c r="AA28" s="171">
        <f>$J28*Index!Z$17</f>
        <v>0</v>
      </c>
      <c r="AB28" s="171">
        <f>$J28*Index!AA$17</f>
        <v>0</v>
      </c>
      <c r="AC28" s="171">
        <f>$J28*Index!AB$17</f>
        <v>0</v>
      </c>
      <c r="AD28" s="171">
        <f>$J28*Index!AC$17</f>
        <v>0</v>
      </c>
      <c r="AE28" s="171">
        <f>$J28*Index!AD$17</f>
        <v>0</v>
      </c>
      <c r="AF28" s="171">
        <f>$J28*Index!AE$17</f>
        <v>0</v>
      </c>
      <c r="AG28" s="171">
        <f>$J28*Index!AF$17</f>
        <v>0</v>
      </c>
      <c r="AH28" s="171">
        <f>$J28*Index!AG$17</f>
        <v>0</v>
      </c>
      <c r="AI28" s="171">
        <f>$J28*Index!AH$17</f>
        <v>0</v>
      </c>
      <c r="AJ28" s="171">
        <f>$J28*Index!AI$17</f>
        <v>0</v>
      </c>
      <c r="AK28" s="171">
        <f>$J28*Index!AJ$17</f>
        <v>0</v>
      </c>
      <c r="AL28" s="171">
        <f>$J28*Index!AK$17</f>
        <v>0</v>
      </c>
      <c r="AM28" s="171">
        <f>$J28*Index!AL$17</f>
        <v>0</v>
      </c>
      <c r="AN28" s="171">
        <f>$J28*Index!AM$17</f>
        <v>0</v>
      </c>
      <c r="AO28" s="171">
        <f>$J28*Index!AN$17</f>
        <v>0</v>
      </c>
      <c r="AP28" s="171">
        <f>$J28*Index!AO$17</f>
        <v>0</v>
      </c>
      <c r="AQ28" s="171">
        <f>$J28*Index!AP$17</f>
        <v>0</v>
      </c>
      <c r="AR28" s="171">
        <f>$J28*Index!AQ$17</f>
        <v>0</v>
      </c>
      <c r="AS28" s="171">
        <f>$J28*Index!AR$17</f>
        <v>0</v>
      </c>
      <c r="AT28" s="171">
        <f>$J28*Index!AS$17</f>
        <v>0</v>
      </c>
      <c r="AU28" s="171">
        <f>$J28*Index!AT$17</f>
        <v>0</v>
      </c>
      <c r="AV28" s="171">
        <f>$J28*Index!AU$17</f>
        <v>0</v>
      </c>
      <c r="AW28" s="171">
        <f>$J28*Index!AV$17</f>
        <v>0</v>
      </c>
      <c r="AX28" s="171">
        <f>$J28*Index!AW$17</f>
        <v>0</v>
      </c>
      <c r="AY28" s="171">
        <f>$J28*Index!AX$17</f>
        <v>0</v>
      </c>
      <c r="AZ28" s="171">
        <f>$J28*Index!AY$17</f>
        <v>0</v>
      </c>
      <c r="BA28" s="171">
        <f>$J28*Index!AZ$17</f>
        <v>0</v>
      </c>
      <c r="BB28" s="171">
        <f>$J28*Index!BA$17</f>
        <v>0</v>
      </c>
      <c r="BC28" s="171">
        <f>$J28*Index!BB$17</f>
        <v>0</v>
      </c>
      <c r="BD28" s="171">
        <f>$J28*Index!BC$17</f>
        <v>0</v>
      </c>
      <c r="BE28" s="171">
        <f>$J28*Index!BD$17</f>
        <v>0</v>
      </c>
      <c r="BF28" s="171">
        <f>$J28*Index!BE$17</f>
        <v>0</v>
      </c>
      <c r="BG28" s="171">
        <f>$J28*Index!BF$17</f>
        <v>0</v>
      </c>
      <c r="BH28" s="171">
        <f>$J28*Index!BG$17</f>
        <v>0</v>
      </c>
      <c r="BI28" s="171">
        <f>$J28*Index!BH$17</f>
        <v>0</v>
      </c>
      <c r="BJ28" s="171">
        <f>$J28*Index!BI$17</f>
        <v>0</v>
      </c>
      <c r="BK28" s="171">
        <f>$J28*Index!BJ$17</f>
        <v>0</v>
      </c>
      <c r="BL28" s="171">
        <f>$J28*Index!BK$17</f>
        <v>0</v>
      </c>
      <c r="BM28" s="171">
        <f>$J28*Index!BL$17</f>
        <v>0</v>
      </c>
      <c r="BN28" s="171">
        <f>$J28*Index!BM$17</f>
        <v>0</v>
      </c>
      <c r="BO28" s="171">
        <f>$J28*Index!BN$17</f>
        <v>0</v>
      </c>
      <c r="BP28" s="171">
        <f>$J28*Index!BO$17</f>
        <v>0</v>
      </c>
      <c r="BQ28" s="171">
        <f>$J28*Index!BP$17</f>
        <v>0</v>
      </c>
      <c r="BR28" s="171">
        <f>$J28*Index!BQ$17</f>
        <v>0</v>
      </c>
      <c r="BS28" s="171">
        <f>$J28*Index!BR$17</f>
        <v>0</v>
      </c>
      <c r="BT28" s="171">
        <f>$J28*Index!BS$17</f>
        <v>0</v>
      </c>
      <c r="BU28" s="171">
        <f>$J28*Index!BT$17</f>
        <v>0</v>
      </c>
      <c r="BV28" s="171">
        <f>$J28*Index!BU$17</f>
        <v>0</v>
      </c>
      <c r="BW28" s="171">
        <f>$J28*Index!BV$17</f>
        <v>0</v>
      </c>
      <c r="BX28" s="171">
        <f>$J28*Index!BW$17</f>
        <v>0</v>
      </c>
      <c r="BY28" s="171">
        <f>$J28*Index!BX$17</f>
        <v>0</v>
      </c>
      <c r="BZ28" s="171">
        <f>$J28*Index!BY$17</f>
        <v>0</v>
      </c>
      <c r="CA28" s="171">
        <f>$J28*Index!BZ$17</f>
        <v>0</v>
      </c>
      <c r="CB28" s="171">
        <f>$J28*Index!CA$17</f>
        <v>0</v>
      </c>
      <c r="CC28" s="171">
        <f>$J28*Index!CB$17</f>
        <v>0</v>
      </c>
      <c r="CD28" s="171">
        <f>$J28*Index!CC$17</f>
        <v>0</v>
      </c>
      <c r="CE28" s="171">
        <f>$J28*Index!CD$17</f>
        <v>0</v>
      </c>
      <c r="CF28" s="171">
        <f>$J28*Index!CE$17</f>
        <v>0</v>
      </c>
      <c r="CG28" s="171">
        <f>$J28*Index!CF$17</f>
        <v>0</v>
      </c>
      <c r="CH28" s="171">
        <f>$J28*Index!CG$17</f>
        <v>0</v>
      </c>
      <c r="CI28" s="171">
        <f>$J28*Index!CH$17</f>
        <v>0</v>
      </c>
      <c r="CJ28" s="171">
        <f>$J28*Index!CI$17</f>
        <v>0</v>
      </c>
      <c r="CK28" s="171">
        <f>$J28*Index!CJ$17</f>
        <v>0</v>
      </c>
      <c r="CL28" s="171">
        <f>$J28*Index!CK$17</f>
        <v>0</v>
      </c>
      <c r="CM28" s="171">
        <f>$J28*Index!CL$17</f>
        <v>0</v>
      </c>
      <c r="CN28" s="171">
        <f>$J28*Index!CM$17</f>
        <v>0</v>
      </c>
      <c r="CO28" s="171">
        <f>$J28*Index!CN$17</f>
        <v>0</v>
      </c>
      <c r="CP28" s="171">
        <f>$J28*Index!CO$17</f>
        <v>0</v>
      </c>
      <c r="CQ28" s="171">
        <f>$J28*Index!CP$17</f>
        <v>0</v>
      </c>
      <c r="CR28" s="171">
        <f>$J28*Index!CQ$17</f>
        <v>0</v>
      </c>
      <c r="CS28" s="171">
        <f>$J28*Index!CR$17</f>
        <v>0</v>
      </c>
      <c r="CT28" s="171">
        <f>$J28*Index!CS$17</f>
        <v>0</v>
      </c>
      <c r="CU28" s="171">
        <f>$J28*Index!CT$17</f>
        <v>0</v>
      </c>
      <c r="CV28" s="171">
        <f>$J28*Index!CU$17</f>
        <v>0</v>
      </c>
      <c r="CW28" s="171">
        <f>$J28*Index!CV$17</f>
        <v>0</v>
      </c>
      <c r="CX28" s="171">
        <f>$J28*Index!CW$17</f>
        <v>0</v>
      </c>
      <c r="CY28" s="171">
        <f>$J28*Index!CX$17</f>
        <v>0</v>
      </c>
      <c r="CZ28" s="171">
        <f>$J28*Index!CY$17</f>
        <v>0</v>
      </c>
      <c r="DA28" s="171">
        <f>$J28*Index!CZ$17</f>
        <v>0</v>
      </c>
      <c r="DB28" s="171">
        <f>$J28*Index!DA$17</f>
        <v>0</v>
      </c>
      <c r="DC28" s="171">
        <f>$J28*Index!DB$17</f>
        <v>0</v>
      </c>
      <c r="DD28" s="171">
        <f>$J28*Index!DC$17</f>
        <v>0</v>
      </c>
      <c r="DE28" s="171">
        <f>$J28*Index!DD$17</f>
        <v>0</v>
      </c>
      <c r="DF28" s="171">
        <f>$J28*Index!DE$17</f>
        <v>0</v>
      </c>
      <c r="DG28" s="171">
        <f>$J28*Index!DF$17</f>
        <v>0</v>
      </c>
      <c r="DH28" s="171">
        <f>$J28*Index!DG$17</f>
        <v>0</v>
      </c>
      <c r="DI28" s="171">
        <f>$J28*Index!DH$17</f>
        <v>0</v>
      </c>
      <c r="DJ28" s="171">
        <f>$J28*Index!DI$17</f>
        <v>0</v>
      </c>
      <c r="DK28" s="171">
        <f>$J28*Index!DJ$17</f>
        <v>0</v>
      </c>
      <c r="DL28" s="171">
        <f>$J28*Index!DK$17</f>
        <v>0</v>
      </c>
      <c r="DM28" s="171">
        <f>$J28*Index!DL$17</f>
        <v>0</v>
      </c>
      <c r="DN28" s="171">
        <f>$J28*Index!DM$17</f>
        <v>0</v>
      </c>
      <c r="DO28" s="171">
        <f>$J28*Index!DN$17</f>
        <v>0</v>
      </c>
      <c r="DP28" s="171">
        <f>$J28*Index!DO$17</f>
        <v>0</v>
      </c>
      <c r="DQ28" s="171">
        <f>$J28*Index!DP$17</f>
        <v>0</v>
      </c>
      <c r="DR28" s="171">
        <f>$J28*Index!DQ$17</f>
        <v>0</v>
      </c>
      <c r="DS28" s="171">
        <f>$J28*Index!DR$17</f>
        <v>0</v>
      </c>
      <c r="DT28" s="171">
        <f>$J28*Index!DS$17</f>
        <v>0</v>
      </c>
      <c r="DU28" s="171">
        <f>$J28*Index!DT$17</f>
        <v>0</v>
      </c>
      <c r="DV28" s="171">
        <f>$J28*Index!DU$17</f>
        <v>0</v>
      </c>
      <c r="DW28" s="171">
        <f>$J28*Index!DV$17</f>
        <v>0</v>
      </c>
      <c r="DX28" s="171">
        <f>$J28*Index!DW$17</f>
        <v>0</v>
      </c>
      <c r="DY28" s="171">
        <f>$J28*Index!DX$17</f>
        <v>0</v>
      </c>
      <c r="DZ28" s="171">
        <f>$J28*Index!DY$17</f>
        <v>0</v>
      </c>
      <c r="EA28" s="171">
        <f>$J28*Index!DZ$17</f>
        <v>0</v>
      </c>
      <c r="EB28" s="171">
        <f>$J28*Index!EA$17</f>
        <v>0</v>
      </c>
      <c r="EC28" s="171">
        <f>$J28*Index!EB$17</f>
        <v>0</v>
      </c>
      <c r="ED28" s="171">
        <f>$J28*Index!EC$17</f>
        <v>0</v>
      </c>
      <c r="EE28" s="171">
        <f>$J28*Index!ED$17</f>
        <v>0</v>
      </c>
      <c r="EF28" s="171">
        <f>$J28*Index!EE$17</f>
        <v>0</v>
      </c>
      <c r="EG28" s="171">
        <f>$J28*Index!EF$17</f>
        <v>0</v>
      </c>
      <c r="EH28" s="171">
        <f>$J28*Index!EG$17</f>
        <v>0</v>
      </c>
      <c r="EI28" s="171">
        <f>$J28*Index!EH$17</f>
        <v>0</v>
      </c>
      <c r="EJ28" s="171">
        <f>$J28*Index!EI$17</f>
        <v>0</v>
      </c>
      <c r="EK28" s="171">
        <f>$J28*Index!EJ$17</f>
        <v>0</v>
      </c>
      <c r="EL28" s="171">
        <f>$J28*Index!EK$17</f>
        <v>0</v>
      </c>
      <c r="EM28" s="171">
        <f>$J28*Index!EL$17</f>
        <v>0</v>
      </c>
      <c r="EN28" s="171">
        <f>$J28*Index!EM$17</f>
        <v>0</v>
      </c>
      <c r="EO28" s="171">
        <f>$J28*Index!EN$17</f>
        <v>0</v>
      </c>
      <c r="EP28" s="171">
        <f>$J28*Index!EO$17</f>
        <v>0</v>
      </c>
      <c r="EQ28" s="171">
        <f>$J28*Index!EP$17</f>
        <v>0</v>
      </c>
      <c r="ER28" s="171">
        <f>$J28*Index!EQ$17</f>
        <v>0</v>
      </c>
    </row>
    <row r="29" spans="3:148">
      <c r="C29" s="163"/>
      <c r="D29" s="169" t="str">
        <f>'A&amp;R'!M19</f>
        <v>V.A.T 불공제액</v>
      </c>
      <c r="F29" s="816">
        <f>SUM(J19,J21:J26)*10%*$H$17</f>
        <v>80269.630531999996</v>
      </c>
      <c r="I29" s="146"/>
      <c r="J29" s="821">
        <f>F29</f>
        <v>80269.630531999996</v>
      </c>
      <c r="K29" s="170">
        <f>SUM(M29:ER29)</f>
        <v>80269.630531999996</v>
      </c>
      <c r="L29" s="98"/>
      <c r="M29" s="171">
        <f>$J29*Index!L$17</f>
        <v>80269.630531999996</v>
      </c>
      <c r="N29" s="171">
        <f>$J29*Index!M$17</f>
        <v>0</v>
      </c>
      <c r="O29" s="171">
        <f>$J29*Index!N$17</f>
        <v>0</v>
      </c>
      <c r="P29" s="171">
        <f>$J29*Index!O$17</f>
        <v>0</v>
      </c>
      <c r="Q29" s="171">
        <f>$J29*Index!P$17</f>
        <v>0</v>
      </c>
      <c r="R29" s="171">
        <f>$J29*Index!Q$17</f>
        <v>0</v>
      </c>
      <c r="S29" s="171">
        <f>$J29*Index!R$17</f>
        <v>0</v>
      </c>
      <c r="T29" s="171">
        <f>$J29*Index!S$17</f>
        <v>0</v>
      </c>
      <c r="U29" s="171">
        <f>$J29*Index!T$17</f>
        <v>0</v>
      </c>
      <c r="V29" s="171">
        <f>$J29*Index!U$17</f>
        <v>0</v>
      </c>
      <c r="W29" s="171">
        <f>$J29*Index!V$17</f>
        <v>0</v>
      </c>
      <c r="X29" s="171">
        <f>$J29*Index!W$17</f>
        <v>0</v>
      </c>
      <c r="Y29" s="171">
        <f>$J29*Index!X$17</f>
        <v>0</v>
      </c>
      <c r="Z29" s="171">
        <f>$J29*Index!Y$17</f>
        <v>0</v>
      </c>
      <c r="AA29" s="171">
        <f>$J29*Index!Z$17</f>
        <v>0</v>
      </c>
      <c r="AB29" s="171">
        <f>$J29*Index!AA$17</f>
        <v>0</v>
      </c>
      <c r="AC29" s="171">
        <f>$J29*Index!AB$17</f>
        <v>0</v>
      </c>
      <c r="AD29" s="171">
        <f>$J29*Index!AC$17</f>
        <v>0</v>
      </c>
      <c r="AE29" s="171">
        <f>$J29*Index!AD$17</f>
        <v>0</v>
      </c>
      <c r="AF29" s="171">
        <f>$J29*Index!AE$17</f>
        <v>0</v>
      </c>
      <c r="AG29" s="171">
        <f>$J29*Index!AF$17</f>
        <v>0</v>
      </c>
      <c r="AH29" s="171">
        <f>$J29*Index!AG$17</f>
        <v>0</v>
      </c>
      <c r="AI29" s="171">
        <f>$J29*Index!AH$17</f>
        <v>0</v>
      </c>
      <c r="AJ29" s="171">
        <f>$J29*Index!AI$17</f>
        <v>0</v>
      </c>
      <c r="AK29" s="171">
        <f>$J29*Index!AJ$17</f>
        <v>0</v>
      </c>
      <c r="AL29" s="171">
        <f>$J29*Index!AK$17</f>
        <v>0</v>
      </c>
      <c r="AM29" s="171">
        <f>$J29*Index!AL$17</f>
        <v>0</v>
      </c>
      <c r="AN29" s="171">
        <f>$J29*Index!AM$17</f>
        <v>0</v>
      </c>
      <c r="AO29" s="171">
        <f>$J29*Index!AN$17</f>
        <v>0</v>
      </c>
      <c r="AP29" s="171">
        <f>$J29*Index!AO$17</f>
        <v>0</v>
      </c>
      <c r="AQ29" s="171">
        <f>$J29*Index!AP$17</f>
        <v>0</v>
      </c>
      <c r="AR29" s="171">
        <f>$J29*Index!AQ$17</f>
        <v>0</v>
      </c>
      <c r="AS29" s="171">
        <f>$J29*Index!AR$17</f>
        <v>0</v>
      </c>
      <c r="AT29" s="171">
        <f>$J29*Index!AS$17</f>
        <v>0</v>
      </c>
      <c r="AU29" s="171">
        <f>$J29*Index!AT$17</f>
        <v>0</v>
      </c>
      <c r="AV29" s="171">
        <f>$J29*Index!AU$17</f>
        <v>0</v>
      </c>
      <c r="AW29" s="171">
        <f>$J29*Index!AV$17</f>
        <v>0</v>
      </c>
      <c r="AX29" s="171">
        <f>$J29*Index!AW$17</f>
        <v>0</v>
      </c>
      <c r="AY29" s="171">
        <f>$J29*Index!AX$17</f>
        <v>0</v>
      </c>
      <c r="AZ29" s="171">
        <f>$J29*Index!AY$17</f>
        <v>0</v>
      </c>
      <c r="BA29" s="171">
        <f>$J29*Index!AZ$17</f>
        <v>0</v>
      </c>
      <c r="BB29" s="171">
        <f>$J29*Index!BA$17</f>
        <v>0</v>
      </c>
      <c r="BC29" s="171">
        <f>$J29*Index!BB$17</f>
        <v>0</v>
      </c>
      <c r="BD29" s="171">
        <f>$J29*Index!BC$17</f>
        <v>0</v>
      </c>
      <c r="BE29" s="171">
        <f>$J29*Index!BD$17</f>
        <v>0</v>
      </c>
      <c r="BF29" s="171">
        <f>$J29*Index!BE$17</f>
        <v>0</v>
      </c>
      <c r="BG29" s="171">
        <f>$J29*Index!BF$17</f>
        <v>0</v>
      </c>
      <c r="BH29" s="171">
        <f>$J29*Index!BG$17</f>
        <v>0</v>
      </c>
      <c r="BI29" s="171">
        <f>$J29*Index!BH$17</f>
        <v>0</v>
      </c>
      <c r="BJ29" s="171">
        <f>$J29*Index!BI$17</f>
        <v>0</v>
      </c>
      <c r="BK29" s="171">
        <f>$J29*Index!BJ$17</f>
        <v>0</v>
      </c>
      <c r="BL29" s="171">
        <f>$J29*Index!BK$17</f>
        <v>0</v>
      </c>
      <c r="BM29" s="171">
        <f>$J29*Index!BL$17</f>
        <v>0</v>
      </c>
      <c r="BN29" s="171">
        <f>$J29*Index!BM$17</f>
        <v>0</v>
      </c>
      <c r="BO29" s="171">
        <f>$J29*Index!BN$17</f>
        <v>0</v>
      </c>
      <c r="BP29" s="171">
        <f>$J29*Index!BO$17</f>
        <v>0</v>
      </c>
      <c r="BQ29" s="171">
        <f>$J29*Index!BP$17</f>
        <v>0</v>
      </c>
      <c r="BR29" s="171">
        <f>$J29*Index!BQ$17</f>
        <v>0</v>
      </c>
      <c r="BS29" s="171">
        <f>$J29*Index!BR$17</f>
        <v>0</v>
      </c>
      <c r="BT29" s="171">
        <f>$J29*Index!BS$17</f>
        <v>0</v>
      </c>
      <c r="BU29" s="171">
        <f>$J29*Index!BT$17</f>
        <v>0</v>
      </c>
      <c r="BV29" s="171">
        <f>$J29*Index!BU$17</f>
        <v>0</v>
      </c>
      <c r="BW29" s="171">
        <f>$J29*Index!BV$17</f>
        <v>0</v>
      </c>
      <c r="BX29" s="171">
        <f>$J29*Index!BW$17</f>
        <v>0</v>
      </c>
      <c r="BY29" s="171">
        <f>$J29*Index!BX$17</f>
        <v>0</v>
      </c>
      <c r="BZ29" s="171">
        <f>$J29*Index!BY$17</f>
        <v>0</v>
      </c>
      <c r="CA29" s="171">
        <f>$J29*Index!BZ$17</f>
        <v>0</v>
      </c>
      <c r="CB29" s="171">
        <f>$J29*Index!CA$17</f>
        <v>0</v>
      </c>
      <c r="CC29" s="171">
        <f>$J29*Index!CB$17</f>
        <v>0</v>
      </c>
      <c r="CD29" s="171">
        <f>$J29*Index!CC$17</f>
        <v>0</v>
      </c>
      <c r="CE29" s="171">
        <f>$J29*Index!CD$17</f>
        <v>0</v>
      </c>
      <c r="CF29" s="171">
        <f>$J29*Index!CE$17</f>
        <v>0</v>
      </c>
      <c r="CG29" s="171">
        <f>$J29*Index!CF$17</f>
        <v>0</v>
      </c>
      <c r="CH29" s="171">
        <f>$J29*Index!CG$17</f>
        <v>0</v>
      </c>
      <c r="CI29" s="171">
        <f>$J29*Index!CH$17</f>
        <v>0</v>
      </c>
      <c r="CJ29" s="171">
        <f>$J29*Index!CI$17</f>
        <v>0</v>
      </c>
      <c r="CK29" s="171">
        <f>$J29*Index!CJ$17</f>
        <v>0</v>
      </c>
      <c r="CL29" s="171">
        <f>$J29*Index!CK$17</f>
        <v>0</v>
      </c>
      <c r="CM29" s="171">
        <f>$J29*Index!CL$17</f>
        <v>0</v>
      </c>
      <c r="CN29" s="171">
        <f>$J29*Index!CM$17</f>
        <v>0</v>
      </c>
      <c r="CO29" s="171">
        <f>$J29*Index!CN$17</f>
        <v>0</v>
      </c>
      <c r="CP29" s="171">
        <f>$J29*Index!CO$17</f>
        <v>0</v>
      </c>
      <c r="CQ29" s="171">
        <f>$J29*Index!CP$17</f>
        <v>0</v>
      </c>
      <c r="CR29" s="171">
        <f>$J29*Index!CQ$17</f>
        <v>0</v>
      </c>
      <c r="CS29" s="171">
        <f>$J29*Index!CR$17</f>
        <v>0</v>
      </c>
      <c r="CT29" s="171">
        <f>$J29*Index!CS$17</f>
        <v>0</v>
      </c>
      <c r="CU29" s="171">
        <f>$J29*Index!CT$17</f>
        <v>0</v>
      </c>
      <c r="CV29" s="171">
        <f>$J29*Index!CU$17</f>
        <v>0</v>
      </c>
      <c r="CW29" s="171">
        <f>$J29*Index!CV$17</f>
        <v>0</v>
      </c>
      <c r="CX29" s="171">
        <f>$J29*Index!CW$17</f>
        <v>0</v>
      </c>
      <c r="CY29" s="171">
        <f>$J29*Index!CX$17</f>
        <v>0</v>
      </c>
      <c r="CZ29" s="171">
        <f>$J29*Index!CY$17</f>
        <v>0</v>
      </c>
      <c r="DA29" s="171">
        <f>$J29*Index!CZ$17</f>
        <v>0</v>
      </c>
      <c r="DB29" s="171">
        <f>$J29*Index!DA$17</f>
        <v>0</v>
      </c>
      <c r="DC29" s="171">
        <f>$J29*Index!DB$17</f>
        <v>0</v>
      </c>
      <c r="DD29" s="171">
        <f>$J29*Index!DC$17</f>
        <v>0</v>
      </c>
      <c r="DE29" s="171">
        <f>$J29*Index!DD$17</f>
        <v>0</v>
      </c>
      <c r="DF29" s="171">
        <f>$J29*Index!DE$17</f>
        <v>0</v>
      </c>
      <c r="DG29" s="171">
        <f>$J29*Index!DF$17</f>
        <v>0</v>
      </c>
      <c r="DH29" s="171">
        <f>$J29*Index!DG$17</f>
        <v>0</v>
      </c>
      <c r="DI29" s="171">
        <f>$J29*Index!DH$17</f>
        <v>0</v>
      </c>
      <c r="DJ29" s="171">
        <f>$J29*Index!DI$17</f>
        <v>0</v>
      </c>
      <c r="DK29" s="171">
        <f>$J29*Index!DJ$17</f>
        <v>0</v>
      </c>
      <c r="DL29" s="171">
        <f>$J29*Index!DK$17</f>
        <v>0</v>
      </c>
      <c r="DM29" s="171">
        <f>$J29*Index!DL$17</f>
        <v>0</v>
      </c>
      <c r="DN29" s="171">
        <f>$J29*Index!DM$17</f>
        <v>0</v>
      </c>
      <c r="DO29" s="171">
        <f>$J29*Index!DN$17</f>
        <v>0</v>
      </c>
      <c r="DP29" s="171">
        <f>$J29*Index!DO$17</f>
        <v>0</v>
      </c>
      <c r="DQ29" s="171">
        <f>$J29*Index!DP$17</f>
        <v>0</v>
      </c>
      <c r="DR29" s="171">
        <f>$J29*Index!DQ$17</f>
        <v>0</v>
      </c>
      <c r="DS29" s="171">
        <f>$J29*Index!DR$17</f>
        <v>0</v>
      </c>
      <c r="DT29" s="171">
        <f>$J29*Index!DS$17</f>
        <v>0</v>
      </c>
      <c r="DU29" s="171">
        <f>$J29*Index!DT$17</f>
        <v>0</v>
      </c>
      <c r="DV29" s="171">
        <f>$J29*Index!DU$17</f>
        <v>0</v>
      </c>
      <c r="DW29" s="171">
        <f>$J29*Index!DV$17</f>
        <v>0</v>
      </c>
      <c r="DX29" s="171">
        <f>$J29*Index!DW$17</f>
        <v>0</v>
      </c>
      <c r="DY29" s="171">
        <f>$J29*Index!DX$17</f>
        <v>0</v>
      </c>
      <c r="DZ29" s="171">
        <f>$J29*Index!DY$17</f>
        <v>0</v>
      </c>
      <c r="EA29" s="171">
        <f>$J29*Index!DZ$17</f>
        <v>0</v>
      </c>
      <c r="EB29" s="171">
        <f>$J29*Index!EA$17</f>
        <v>0</v>
      </c>
      <c r="EC29" s="171">
        <f>$J29*Index!EB$17</f>
        <v>0</v>
      </c>
      <c r="ED29" s="171">
        <f>$J29*Index!EC$17</f>
        <v>0</v>
      </c>
      <c r="EE29" s="171">
        <f>$J29*Index!ED$17</f>
        <v>0</v>
      </c>
      <c r="EF29" s="171">
        <f>$J29*Index!EE$17</f>
        <v>0</v>
      </c>
      <c r="EG29" s="171">
        <f>$J29*Index!EF$17</f>
        <v>0</v>
      </c>
      <c r="EH29" s="171">
        <f>$J29*Index!EG$17</f>
        <v>0</v>
      </c>
      <c r="EI29" s="171">
        <f>$J29*Index!EH$17</f>
        <v>0</v>
      </c>
      <c r="EJ29" s="171">
        <f>$J29*Index!EI$17</f>
        <v>0</v>
      </c>
      <c r="EK29" s="171">
        <f>$J29*Index!EJ$17</f>
        <v>0</v>
      </c>
      <c r="EL29" s="171">
        <f>$J29*Index!EK$17</f>
        <v>0</v>
      </c>
      <c r="EM29" s="171">
        <f>$J29*Index!EL$17</f>
        <v>0</v>
      </c>
      <c r="EN29" s="171">
        <f>$J29*Index!EM$17</f>
        <v>0</v>
      </c>
      <c r="EO29" s="171">
        <f>$J29*Index!EN$17</f>
        <v>0</v>
      </c>
      <c r="EP29" s="171">
        <f>$J29*Index!EO$17</f>
        <v>0</v>
      </c>
      <c r="EQ29" s="171">
        <f>$J29*Index!EP$17</f>
        <v>0</v>
      </c>
      <c r="ER29" s="171">
        <f>$J29*Index!EQ$17</f>
        <v>0</v>
      </c>
    </row>
    <row r="30" spans="3:148">
      <c r="C30" s="163"/>
      <c r="D30" s="169" t="s">
        <v>244</v>
      </c>
      <c r="F30" s="852">
        <v>0</v>
      </c>
      <c r="H30" s="13"/>
      <c r="I30" s="146"/>
      <c r="J30" s="821">
        <f>F30</f>
        <v>0</v>
      </c>
      <c r="K30" s="170">
        <f>SUM(M30:ER30)</f>
        <v>0</v>
      </c>
      <c r="L30" s="98"/>
      <c r="M30" s="171">
        <f>$J30*Index!L$17</f>
        <v>0</v>
      </c>
      <c r="N30" s="171">
        <f>$J30*Index!M$17</f>
        <v>0</v>
      </c>
      <c r="O30" s="171">
        <f>$J30*Index!N$17</f>
        <v>0</v>
      </c>
      <c r="P30" s="171">
        <f>$J30*Index!O$17</f>
        <v>0</v>
      </c>
      <c r="Q30" s="171">
        <f>$J30*Index!P$17</f>
        <v>0</v>
      </c>
      <c r="R30" s="171">
        <f>$J30*Index!Q$17</f>
        <v>0</v>
      </c>
      <c r="S30" s="171">
        <f>$J30*Index!R$17</f>
        <v>0</v>
      </c>
      <c r="T30" s="171">
        <f>$J30*Index!S$17</f>
        <v>0</v>
      </c>
      <c r="U30" s="171">
        <f>$J30*Index!T$17</f>
        <v>0</v>
      </c>
      <c r="V30" s="171">
        <f>$J30*Index!U$17</f>
        <v>0</v>
      </c>
      <c r="W30" s="171">
        <f>$J30*Index!V$17</f>
        <v>0</v>
      </c>
      <c r="X30" s="171">
        <f>$J30*Index!W$17</f>
        <v>0</v>
      </c>
      <c r="Y30" s="171">
        <f>$J30*Index!X$17</f>
        <v>0</v>
      </c>
      <c r="Z30" s="171">
        <f>$J30*Index!Y$17</f>
        <v>0</v>
      </c>
      <c r="AA30" s="171">
        <f>$J30*Index!Z$17</f>
        <v>0</v>
      </c>
      <c r="AB30" s="171">
        <f>$J30*Index!AA$17</f>
        <v>0</v>
      </c>
      <c r="AC30" s="171">
        <f>$J30*Index!AB$17</f>
        <v>0</v>
      </c>
      <c r="AD30" s="171">
        <f>$J30*Index!AC$17</f>
        <v>0</v>
      </c>
      <c r="AE30" s="171">
        <f>$J30*Index!AD$17</f>
        <v>0</v>
      </c>
      <c r="AF30" s="171">
        <f>$J30*Index!AE$17</f>
        <v>0</v>
      </c>
      <c r="AG30" s="171">
        <f>$J30*Index!AF$17</f>
        <v>0</v>
      </c>
      <c r="AH30" s="171">
        <f>$J30*Index!AG$17</f>
        <v>0</v>
      </c>
      <c r="AI30" s="171">
        <f>$J30*Index!AH$17</f>
        <v>0</v>
      </c>
      <c r="AJ30" s="171">
        <f>$J30*Index!AI$17</f>
        <v>0</v>
      </c>
      <c r="AK30" s="171">
        <f>$J30*Index!AJ$17</f>
        <v>0</v>
      </c>
      <c r="AL30" s="171">
        <f>$J30*Index!AK$17</f>
        <v>0</v>
      </c>
      <c r="AM30" s="171">
        <f>$J30*Index!AL$17</f>
        <v>0</v>
      </c>
      <c r="AN30" s="171">
        <f>$J30*Index!AM$17</f>
        <v>0</v>
      </c>
      <c r="AO30" s="171">
        <f>$J30*Index!AN$17</f>
        <v>0</v>
      </c>
      <c r="AP30" s="171">
        <f>$J30*Index!AO$17</f>
        <v>0</v>
      </c>
      <c r="AQ30" s="171">
        <f>$J30*Index!AP$17</f>
        <v>0</v>
      </c>
      <c r="AR30" s="171">
        <f>$J30*Index!AQ$17</f>
        <v>0</v>
      </c>
      <c r="AS30" s="171">
        <f>$J30*Index!AR$17</f>
        <v>0</v>
      </c>
      <c r="AT30" s="171">
        <f>$J30*Index!AS$17</f>
        <v>0</v>
      </c>
      <c r="AU30" s="171">
        <f>$J30*Index!AT$17</f>
        <v>0</v>
      </c>
      <c r="AV30" s="171">
        <f>$J30*Index!AU$17</f>
        <v>0</v>
      </c>
      <c r="AW30" s="171">
        <f>$J30*Index!AV$17</f>
        <v>0</v>
      </c>
      <c r="AX30" s="171">
        <f>$J30*Index!AW$17</f>
        <v>0</v>
      </c>
      <c r="AY30" s="171">
        <f>$J30*Index!AX$17</f>
        <v>0</v>
      </c>
      <c r="AZ30" s="171">
        <f>$J30*Index!AY$17</f>
        <v>0</v>
      </c>
      <c r="BA30" s="171">
        <f>$J30*Index!AZ$17</f>
        <v>0</v>
      </c>
      <c r="BB30" s="171">
        <f>$J30*Index!BA$17</f>
        <v>0</v>
      </c>
      <c r="BC30" s="171">
        <f>$J30*Index!BB$17</f>
        <v>0</v>
      </c>
      <c r="BD30" s="171">
        <f>$J30*Index!BC$17</f>
        <v>0</v>
      </c>
      <c r="BE30" s="171">
        <f>$J30*Index!BD$17</f>
        <v>0</v>
      </c>
      <c r="BF30" s="171">
        <f>$J30*Index!BE$17</f>
        <v>0</v>
      </c>
      <c r="BG30" s="171">
        <f>$J30*Index!BF$17</f>
        <v>0</v>
      </c>
      <c r="BH30" s="171">
        <f>$J30*Index!BG$17</f>
        <v>0</v>
      </c>
      <c r="BI30" s="171">
        <f>$J30*Index!BH$17</f>
        <v>0</v>
      </c>
      <c r="BJ30" s="171">
        <f>$J30*Index!BI$17</f>
        <v>0</v>
      </c>
      <c r="BK30" s="171">
        <f>$J30*Index!BJ$17</f>
        <v>0</v>
      </c>
      <c r="BL30" s="171">
        <f>$J30*Index!BK$17</f>
        <v>0</v>
      </c>
      <c r="BM30" s="171">
        <f>$J30*Index!BL$17</f>
        <v>0</v>
      </c>
      <c r="BN30" s="171">
        <f>$J30*Index!BM$17</f>
        <v>0</v>
      </c>
      <c r="BO30" s="171">
        <f>$J30*Index!BN$17</f>
        <v>0</v>
      </c>
      <c r="BP30" s="171">
        <f>$J30*Index!BO$17</f>
        <v>0</v>
      </c>
      <c r="BQ30" s="171">
        <f>$J30*Index!BP$17</f>
        <v>0</v>
      </c>
      <c r="BR30" s="171">
        <f>$J30*Index!BQ$17</f>
        <v>0</v>
      </c>
      <c r="BS30" s="171">
        <f>$J30*Index!BR$17</f>
        <v>0</v>
      </c>
      <c r="BT30" s="171">
        <f>$J30*Index!BS$17</f>
        <v>0</v>
      </c>
      <c r="BU30" s="171">
        <f>$J30*Index!BT$17</f>
        <v>0</v>
      </c>
      <c r="BV30" s="171">
        <f>$J30*Index!BU$17</f>
        <v>0</v>
      </c>
      <c r="BW30" s="171">
        <f>$J30*Index!BV$17</f>
        <v>0</v>
      </c>
      <c r="BX30" s="171">
        <f>$J30*Index!BW$17</f>
        <v>0</v>
      </c>
      <c r="BY30" s="171">
        <f>$J30*Index!BX$17</f>
        <v>0</v>
      </c>
      <c r="BZ30" s="171">
        <f>$J30*Index!BY$17</f>
        <v>0</v>
      </c>
      <c r="CA30" s="171">
        <f>$J30*Index!BZ$17</f>
        <v>0</v>
      </c>
      <c r="CB30" s="171">
        <f>$J30*Index!CA$17</f>
        <v>0</v>
      </c>
      <c r="CC30" s="171">
        <f>$J30*Index!CB$17</f>
        <v>0</v>
      </c>
      <c r="CD30" s="171">
        <f>$J30*Index!CC$17</f>
        <v>0</v>
      </c>
      <c r="CE30" s="171">
        <f>$J30*Index!CD$17</f>
        <v>0</v>
      </c>
      <c r="CF30" s="171">
        <f>$J30*Index!CE$17</f>
        <v>0</v>
      </c>
      <c r="CG30" s="171">
        <f>$J30*Index!CF$17</f>
        <v>0</v>
      </c>
      <c r="CH30" s="171">
        <f>$J30*Index!CG$17</f>
        <v>0</v>
      </c>
      <c r="CI30" s="171">
        <f>$J30*Index!CH$17</f>
        <v>0</v>
      </c>
      <c r="CJ30" s="171">
        <f>$J30*Index!CI$17</f>
        <v>0</v>
      </c>
      <c r="CK30" s="171">
        <f>$J30*Index!CJ$17</f>
        <v>0</v>
      </c>
      <c r="CL30" s="171">
        <f>$J30*Index!CK$17</f>
        <v>0</v>
      </c>
      <c r="CM30" s="171">
        <f>$J30*Index!CL$17</f>
        <v>0</v>
      </c>
      <c r="CN30" s="171">
        <f>$J30*Index!CM$17</f>
        <v>0</v>
      </c>
      <c r="CO30" s="171">
        <f>$J30*Index!CN$17</f>
        <v>0</v>
      </c>
      <c r="CP30" s="171">
        <f>$J30*Index!CO$17</f>
        <v>0</v>
      </c>
      <c r="CQ30" s="171">
        <f>$J30*Index!CP$17</f>
        <v>0</v>
      </c>
      <c r="CR30" s="171">
        <f>$J30*Index!CQ$17</f>
        <v>0</v>
      </c>
      <c r="CS30" s="171">
        <f>$J30*Index!CR$17</f>
        <v>0</v>
      </c>
      <c r="CT30" s="171">
        <f>$J30*Index!CS$17</f>
        <v>0</v>
      </c>
      <c r="CU30" s="171">
        <f>$J30*Index!CT$17</f>
        <v>0</v>
      </c>
      <c r="CV30" s="171">
        <f>$J30*Index!CU$17</f>
        <v>0</v>
      </c>
      <c r="CW30" s="171">
        <f>$J30*Index!CV$17</f>
        <v>0</v>
      </c>
      <c r="CX30" s="171">
        <f>$J30*Index!CW$17</f>
        <v>0</v>
      </c>
      <c r="CY30" s="171">
        <f>$J30*Index!CX$17</f>
        <v>0</v>
      </c>
      <c r="CZ30" s="171">
        <f>$J30*Index!CY$17</f>
        <v>0</v>
      </c>
      <c r="DA30" s="171">
        <f>$J30*Index!CZ$17</f>
        <v>0</v>
      </c>
      <c r="DB30" s="171">
        <f>$J30*Index!DA$17</f>
        <v>0</v>
      </c>
      <c r="DC30" s="171">
        <f>$J30*Index!DB$17</f>
        <v>0</v>
      </c>
      <c r="DD30" s="171">
        <f>$J30*Index!DC$17</f>
        <v>0</v>
      </c>
      <c r="DE30" s="171">
        <f>$J30*Index!DD$17</f>
        <v>0</v>
      </c>
      <c r="DF30" s="171">
        <f>$J30*Index!DE$17</f>
        <v>0</v>
      </c>
      <c r="DG30" s="171">
        <f>$J30*Index!DF$17</f>
        <v>0</v>
      </c>
      <c r="DH30" s="171">
        <f>$J30*Index!DG$17</f>
        <v>0</v>
      </c>
      <c r="DI30" s="171">
        <f>$J30*Index!DH$17</f>
        <v>0</v>
      </c>
      <c r="DJ30" s="171">
        <f>$J30*Index!DI$17</f>
        <v>0</v>
      </c>
      <c r="DK30" s="171">
        <f>$J30*Index!DJ$17</f>
        <v>0</v>
      </c>
      <c r="DL30" s="171">
        <f>$J30*Index!DK$17</f>
        <v>0</v>
      </c>
      <c r="DM30" s="171">
        <f>$J30*Index!DL$17</f>
        <v>0</v>
      </c>
      <c r="DN30" s="171">
        <f>$J30*Index!DM$17</f>
        <v>0</v>
      </c>
      <c r="DO30" s="171">
        <f>$J30*Index!DN$17</f>
        <v>0</v>
      </c>
      <c r="DP30" s="171">
        <f>$J30*Index!DO$17</f>
        <v>0</v>
      </c>
      <c r="DQ30" s="171">
        <f>$J30*Index!DP$17</f>
        <v>0</v>
      </c>
      <c r="DR30" s="171">
        <f>$J30*Index!DQ$17</f>
        <v>0</v>
      </c>
      <c r="DS30" s="171">
        <f>$J30*Index!DR$17</f>
        <v>0</v>
      </c>
      <c r="DT30" s="171">
        <f>$J30*Index!DS$17</f>
        <v>0</v>
      </c>
      <c r="DU30" s="171">
        <f>$J30*Index!DT$17</f>
        <v>0</v>
      </c>
      <c r="DV30" s="171">
        <f>$J30*Index!DU$17</f>
        <v>0</v>
      </c>
      <c r="DW30" s="171">
        <f>$J30*Index!DV$17</f>
        <v>0</v>
      </c>
      <c r="DX30" s="171">
        <f>$J30*Index!DW$17</f>
        <v>0</v>
      </c>
      <c r="DY30" s="171">
        <f>$J30*Index!DX$17</f>
        <v>0</v>
      </c>
      <c r="DZ30" s="171">
        <f>$J30*Index!DY$17</f>
        <v>0</v>
      </c>
      <c r="EA30" s="171">
        <f>$J30*Index!DZ$17</f>
        <v>0</v>
      </c>
      <c r="EB30" s="171">
        <f>$J30*Index!EA$17</f>
        <v>0</v>
      </c>
      <c r="EC30" s="171">
        <f>$J30*Index!EB$17</f>
        <v>0</v>
      </c>
      <c r="ED30" s="171">
        <f>$J30*Index!EC$17</f>
        <v>0</v>
      </c>
      <c r="EE30" s="171">
        <f>$J30*Index!ED$17</f>
        <v>0</v>
      </c>
      <c r="EF30" s="171">
        <f>$J30*Index!EE$17</f>
        <v>0</v>
      </c>
      <c r="EG30" s="171">
        <f>$J30*Index!EF$17</f>
        <v>0</v>
      </c>
      <c r="EH30" s="171">
        <f>$J30*Index!EG$17</f>
        <v>0</v>
      </c>
      <c r="EI30" s="171">
        <f>$J30*Index!EH$17</f>
        <v>0</v>
      </c>
      <c r="EJ30" s="171">
        <f>$J30*Index!EI$17</f>
        <v>0</v>
      </c>
      <c r="EK30" s="171">
        <f>$J30*Index!EJ$17</f>
        <v>0</v>
      </c>
      <c r="EL30" s="171">
        <f>$J30*Index!EK$17</f>
        <v>0</v>
      </c>
      <c r="EM30" s="171">
        <f>$J30*Index!EL$17</f>
        <v>0</v>
      </c>
      <c r="EN30" s="171">
        <f>$J30*Index!EM$17</f>
        <v>0</v>
      </c>
      <c r="EO30" s="171">
        <f>$J30*Index!EN$17</f>
        <v>0</v>
      </c>
      <c r="EP30" s="171">
        <f>$J30*Index!EO$17</f>
        <v>0</v>
      </c>
      <c r="EQ30" s="171">
        <f>$J30*Index!EP$17</f>
        <v>0</v>
      </c>
      <c r="ER30" s="171">
        <f>$J30*Index!EQ$17</f>
        <v>0</v>
      </c>
    </row>
    <row r="31" spans="3:148">
      <c r="C31" s="163"/>
      <c r="D31" s="174" t="str">
        <f>'A&amp;R'!M21</f>
        <v>예비비</v>
      </c>
      <c r="E31" s="175"/>
      <c r="F31" s="195"/>
      <c r="G31" s="1015"/>
      <c r="H31" s="1016"/>
      <c r="I31" s="197"/>
      <c r="J31" s="824">
        <f>F31</f>
        <v>0</v>
      </c>
      <c r="K31" s="176">
        <f>SUM(M31:ER31)</f>
        <v>0</v>
      </c>
      <c r="L31" s="98"/>
      <c r="M31" s="171">
        <f>$J31*Index!L$17</f>
        <v>0</v>
      </c>
      <c r="N31" s="171">
        <f>$J31*Index!M$17</f>
        <v>0</v>
      </c>
      <c r="O31" s="171">
        <f>$J31*Index!N$17</f>
        <v>0</v>
      </c>
      <c r="P31" s="171">
        <f>$J31*Index!O$17</f>
        <v>0</v>
      </c>
      <c r="Q31" s="171">
        <f>$J31*Index!P$17</f>
        <v>0</v>
      </c>
      <c r="R31" s="171">
        <f>$J31*Index!Q$17</f>
        <v>0</v>
      </c>
      <c r="S31" s="171">
        <f>$J31*Index!R$17</f>
        <v>0</v>
      </c>
      <c r="T31" s="171">
        <f>$J31*Index!S$17</f>
        <v>0</v>
      </c>
      <c r="U31" s="171">
        <f>$J31*Index!T$17</f>
        <v>0</v>
      </c>
      <c r="V31" s="171">
        <f>$J31*Index!U$17</f>
        <v>0</v>
      </c>
      <c r="W31" s="171">
        <f>$J31*Index!V$17</f>
        <v>0</v>
      </c>
      <c r="X31" s="171">
        <f>$J31*Index!W$17</f>
        <v>0</v>
      </c>
      <c r="Y31" s="171">
        <f>$J31*Index!X$17</f>
        <v>0</v>
      </c>
      <c r="Z31" s="171">
        <f>$J31*Index!Y$17</f>
        <v>0</v>
      </c>
      <c r="AA31" s="171">
        <f>$J31*Index!Z$17</f>
        <v>0</v>
      </c>
      <c r="AB31" s="171">
        <f>$J31*Index!AA$17</f>
        <v>0</v>
      </c>
      <c r="AC31" s="171">
        <f>$J31*Index!AB$17</f>
        <v>0</v>
      </c>
      <c r="AD31" s="171">
        <f>$J31*Index!AC$17</f>
        <v>0</v>
      </c>
      <c r="AE31" s="171">
        <f>$J31*Index!AD$17</f>
        <v>0</v>
      </c>
      <c r="AF31" s="171">
        <f>$J31*Index!AE$17</f>
        <v>0</v>
      </c>
      <c r="AG31" s="171">
        <f>$J31*Index!AF$17</f>
        <v>0</v>
      </c>
      <c r="AH31" s="171">
        <f>$J31*Index!AG$17</f>
        <v>0</v>
      </c>
      <c r="AI31" s="171">
        <f>$J31*Index!AH$17</f>
        <v>0</v>
      </c>
      <c r="AJ31" s="171">
        <f>$J31*Index!AI$17</f>
        <v>0</v>
      </c>
      <c r="AK31" s="171">
        <f>$J31*Index!AJ$17</f>
        <v>0</v>
      </c>
      <c r="AL31" s="171">
        <f>$J31*Index!AK$17</f>
        <v>0</v>
      </c>
      <c r="AM31" s="171">
        <f>$J31*Index!AL$17</f>
        <v>0</v>
      </c>
      <c r="AN31" s="171">
        <f>$J31*Index!AM$17</f>
        <v>0</v>
      </c>
      <c r="AO31" s="171">
        <f>$J31*Index!AN$17</f>
        <v>0</v>
      </c>
      <c r="AP31" s="171">
        <f>$J31*Index!AO$17</f>
        <v>0</v>
      </c>
      <c r="AQ31" s="171">
        <f>$J31*Index!AP$17</f>
        <v>0</v>
      </c>
      <c r="AR31" s="171">
        <f>$J31*Index!AQ$17</f>
        <v>0</v>
      </c>
      <c r="AS31" s="171">
        <f>$J31*Index!AR$17</f>
        <v>0</v>
      </c>
      <c r="AT31" s="171">
        <f>$J31*Index!AS$17</f>
        <v>0</v>
      </c>
      <c r="AU31" s="171">
        <f>$J31*Index!AT$17</f>
        <v>0</v>
      </c>
      <c r="AV31" s="171">
        <f>$J31*Index!AU$17</f>
        <v>0</v>
      </c>
      <c r="AW31" s="171">
        <f>$J31*Index!AV$17</f>
        <v>0</v>
      </c>
      <c r="AX31" s="171">
        <f>$J31*Index!AW$17</f>
        <v>0</v>
      </c>
      <c r="AY31" s="171">
        <f>$J31*Index!AX$17</f>
        <v>0</v>
      </c>
      <c r="AZ31" s="171">
        <f>$J31*Index!AY$17</f>
        <v>0</v>
      </c>
      <c r="BA31" s="171">
        <f>$J31*Index!AZ$17</f>
        <v>0</v>
      </c>
      <c r="BB31" s="171">
        <f>$J31*Index!BA$17</f>
        <v>0</v>
      </c>
      <c r="BC31" s="171">
        <f>$J31*Index!BB$17</f>
        <v>0</v>
      </c>
      <c r="BD31" s="171">
        <f>$J31*Index!BC$17</f>
        <v>0</v>
      </c>
      <c r="BE31" s="171">
        <f>$J31*Index!BD$17</f>
        <v>0</v>
      </c>
      <c r="BF31" s="171">
        <f>$J31*Index!BE$17</f>
        <v>0</v>
      </c>
      <c r="BG31" s="171">
        <f>$J31*Index!BF$17</f>
        <v>0</v>
      </c>
      <c r="BH31" s="171">
        <f>$J31*Index!BG$17</f>
        <v>0</v>
      </c>
      <c r="BI31" s="171">
        <f>$J31*Index!BH$17</f>
        <v>0</v>
      </c>
      <c r="BJ31" s="171">
        <f>$J31*Index!BI$17</f>
        <v>0</v>
      </c>
      <c r="BK31" s="171">
        <f>$J31*Index!BJ$17</f>
        <v>0</v>
      </c>
      <c r="BL31" s="171">
        <f>$J31*Index!BK$17</f>
        <v>0</v>
      </c>
      <c r="BM31" s="171">
        <f>$J31*Index!BL$17</f>
        <v>0</v>
      </c>
      <c r="BN31" s="171">
        <f>$J31*Index!BM$17</f>
        <v>0</v>
      </c>
      <c r="BO31" s="171">
        <f>$J31*Index!BN$17</f>
        <v>0</v>
      </c>
      <c r="BP31" s="171">
        <f>$J31*Index!BO$17</f>
        <v>0</v>
      </c>
      <c r="BQ31" s="171">
        <f>$J31*Index!BP$17</f>
        <v>0</v>
      </c>
      <c r="BR31" s="171">
        <f>$J31*Index!BQ$17</f>
        <v>0</v>
      </c>
      <c r="BS31" s="171">
        <f>$J31*Index!BR$17</f>
        <v>0</v>
      </c>
      <c r="BT31" s="171">
        <f>$J31*Index!BS$17</f>
        <v>0</v>
      </c>
      <c r="BU31" s="171">
        <f>$J31*Index!BT$17</f>
        <v>0</v>
      </c>
      <c r="BV31" s="171">
        <f>$J31*Index!BU$17</f>
        <v>0</v>
      </c>
      <c r="BW31" s="171">
        <f>$J31*Index!BV$17</f>
        <v>0</v>
      </c>
      <c r="BX31" s="171">
        <f>$J31*Index!BW$17</f>
        <v>0</v>
      </c>
      <c r="BY31" s="171">
        <f>$J31*Index!BX$17</f>
        <v>0</v>
      </c>
      <c r="BZ31" s="171">
        <f>$J31*Index!BY$17</f>
        <v>0</v>
      </c>
      <c r="CA31" s="171">
        <f>$J31*Index!BZ$17</f>
        <v>0</v>
      </c>
      <c r="CB31" s="171">
        <f>$J31*Index!CA$17</f>
        <v>0</v>
      </c>
      <c r="CC31" s="171">
        <f>$J31*Index!CB$17</f>
        <v>0</v>
      </c>
      <c r="CD31" s="171">
        <f>$J31*Index!CC$17</f>
        <v>0</v>
      </c>
      <c r="CE31" s="171">
        <f>$J31*Index!CD$17</f>
        <v>0</v>
      </c>
      <c r="CF31" s="171">
        <f>$J31*Index!CE$17</f>
        <v>0</v>
      </c>
      <c r="CG31" s="171">
        <f>$J31*Index!CF$17</f>
        <v>0</v>
      </c>
      <c r="CH31" s="171">
        <f>$J31*Index!CG$17</f>
        <v>0</v>
      </c>
      <c r="CI31" s="171">
        <f>$J31*Index!CH$17</f>
        <v>0</v>
      </c>
      <c r="CJ31" s="171">
        <f>$J31*Index!CI$17</f>
        <v>0</v>
      </c>
      <c r="CK31" s="171">
        <f>$J31*Index!CJ$17</f>
        <v>0</v>
      </c>
      <c r="CL31" s="171">
        <f>$J31*Index!CK$17</f>
        <v>0</v>
      </c>
      <c r="CM31" s="171">
        <f>$J31*Index!CL$17</f>
        <v>0</v>
      </c>
      <c r="CN31" s="171">
        <f>$J31*Index!CM$17</f>
        <v>0</v>
      </c>
      <c r="CO31" s="171">
        <f>$J31*Index!CN$17</f>
        <v>0</v>
      </c>
      <c r="CP31" s="171">
        <f>$J31*Index!CO$17</f>
        <v>0</v>
      </c>
      <c r="CQ31" s="171">
        <f>$J31*Index!CP$17</f>
        <v>0</v>
      </c>
      <c r="CR31" s="171">
        <f>$J31*Index!CQ$17</f>
        <v>0</v>
      </c>
      <c r="CS31" s="171">
        <f>$J31*Index!CR$17</f>
        <v>0</v>
      </c>
      <c r="CT31" s="171">
        <f>$J31*Index!CS$17</f>
        <v>0</v>
      </c>
      <c r="CU31" s="171">
        <f>$J31*Index!CT$17</f>
        <v>0</v>
      </c>
      <c r="CV31" s="171">
        <f>$J31*Index!CU$17</f>
        <v>0</v>
      </c>
      <c r="CW31" s="171">
        <f>$J31*Index!CV$17</f>
        <v>0</v>
      </c>
      <c r="CX31" s="171">
        <f>$J31*Index!CW$17</f>
        <v>0</v>
      </c>
      <c r="CY31" s="171">
        <f>$J31*Index!CX$17</f>
        <v>0</v>
      </c>
      <c r="CZ31" s="171">
        <f>$J31*Index!CY$17</f>
        <v>0</v>
      </c>
      <c r="DA31" s="171">
        <f>$J31*Index!CZ$17</f>
        <v>0</v>
      </c>
      <c r="DB31" s="171">
        <f>$J31*Index!DA$17</f>
        <v>0</v>
      </c>
      <c r="DC31" s="171">
        <f>$J31*Index!DB$17</f>
        <v>0</v>
      </c>
      <c r="DD31" s="171">
        <f>$J31*Index!DC$17</f>
        <v>0</v>
      </c>
      <c r="DE31" s="171">
        <f>$J31*Index!DD$17</f>
        <v>0</v>
      </c>
      <c r="DF31" s="171">
        <f>$J31*Index!DE$17</f>
        <v>0</v>
      </c>
      <c r="DG31" s="171">
        <f>$J31*Index!DF$17</f>
        <v>0</v>
      </c>
      <c r="DH31" s="171">
        <f>$J31*Index!DG$17</f>
        <v>0</v>
      </c>
      <c r="DI31" s="171">
        <f>$J31*Index!DH$17</f>
        <v>0</v>
      </c>
      <c r="DJ31" s="171">
        <f>$J31*Index!DI$17</f>
        <v>0</v>
      </c>
      <c r="DK31" s="171">
        <f>$J31*Index!DJ$17</f>
        <v>0</v>
      </c>
      <c r="DL31" s="171">
        <f>$J31*Index!DK$17</f>
        <v>0</v>
      </c>
      <c r="DM31" s="171">
        <f>$J31*Index!DL$17</f>
        <v>0</v>
      </c>
      <c r="DN31" s="171">
        <f>$J31*Index!DM$17</f>
        <v>0</v>
      </c>
      <c r="DO31" s="171">
        <f>$J31*Index!DN$17</f>
        <v>0</v>
      </c>
      <c r="DP31" s="171">
        <f>$J31*Index!DO$17</f>
        <v>0</v>
      </c>
      <c r="DQ31" s="171">
        <f>$J31*Index!DP$17</f>
        <v>0</v>
      </c>
      <c r="DR31" s="171">
        <f>$J31*Index!DQ$17</f>
        <v>0</v>
      </c>
      <c r="DS31" s="171">
        <f>$J31*Index!DR$17</f>
        <v>0</v>
      </c>
      <c r="DT31" s="171">
        <f>$J31*Index!DS$17</f>
        <v>0</v>
      </c>
      <c r="DU31" s="171">
        <f>$J31*Index!DT$17</f>
        <v>0</v>
      </c>
      <c r="DV31" s="171">
        <f>$J31*Index!DU$17</f>
        <v>0</v>
      </c>
      <c r="DW31" s="171">
        <f>$J31*Index!DV$17</f>
        <v>0</v>
      </c>
      <c r="DX31" s="171">
        <f>$J31*Index!DW$17</f>
        <v>0</v>
      </c>
      <c r="DY31" s="171">
        <f>$J31*Index!DX$17</f>
        <v>0</v>
      </c>
      <c r="DZ31" s="171">
        <f>$J31*Index!DY$17</f>
        <v>0</v>
      </c>
      <c r="EA31" s="171">
        <f>$J31*Index!DZ$17</f>
        <v>0</v>
      </c>
      <c r="EB31" s="171">
        <f>$J31*Index!EA$17</f>
        <v>0</v>
      </c>
      <c r="EC31" s="171">
        <f>$J31*Index!EB$17</f>
        <v>0</v>
      </c>
      <c r="ED31" s="171">
        <f>$J31*Index!EC$17</f>
        <v>0</v>
      </c>
      <c r="EE31" s="171">
        <f>$J31*Index!ED$17</f>
        <v>0</v>
      </c>
      <c r="EF31" s="171">
        <f>$J31*Index!EE$17</f>
        <v>0</v>
      </c>
      <c r="EG31" s="171">
        <f>$J31*Index!EF$17</f>
        <v>0</v>
      </c>
      <c r="EH31" s="171">
        <f>$J31*Index!EG$17</f>
        <v>0</v>
      </c>
      <c r="EI31" s="171">
        <f>$J31*Index!EH$17</f>
        <v>0</v>
      </c>
      <c r="EJ31" s="171">
        <f>$J31*Index!EI$17</f>
        <v>0</v>
      </c>
      <c r="EK31" s="171">
        <f>$J31*Index!EJ$17</f>
        <v>0</v>
      </c>
      <c r="EL31" s="171">
        <f>$J31*Index!EK$17</f>
        <v>0</v>
      </c>
      <c r="EM31" s="171">
        <f>$J31*Index!EL$17</f>
        <v>0</v>
      </c>
      <c r="EN31" s="171">
        <f>$J31*Index!EM$17</f>
        <v>0</v>
      </c>
      <c r="EO31" s="171">
        <f>$J31*Index!EN$17</f>
        <v>0</v>
      </c>
      <c r="EP31" s="171">
        <f>$J31*Index!EO$17</f>
        <v>0</v>
      </c>
      <c r="EQ31" s="171">
        <f>$J31*Index!EP$17</f>
        <v>0</v>
      </c>
      <c r="ER31" s="171">
        <f>$J31*Index!EQ$17</f>
        <v>0</v>
      </c>
    </row>
    <row r="32" spans="3:148">
      <c r="C32" s="158" t="s">
        <v>178</v>
      </c>
      <c r="D32" s="159"/>
      <c r="E32" s="159"/>
      <c r="F32" s="193"/>
      <c r="G32" s="159"/>
      <c r="H32" s="159"/>
      <c r="I32" s="160"/>
      <c r="J32" s="822">
        <f>J33</f>
        <v>4380000</v>
      </c>
      <c r="K32" s="161">
        <f>K33</f>
        <v>4380000</v>
      </c>
      <c r="L32" s="98"/>
      <c r="M32" s="162">
        <f>M33</f>
        <v>4380000</v>
      </c>
      <c r="N32" s="162">
        <f t="shared" ref="N32:BY32" si="17">N33</f>
        <v>0</v>
      </c>
      <c r="O32" s="162">
        <f t="shared" si="17"/>
        <v>0</v>
      </c>
      <c r="P32" s="162">
        <f t="shared" si="17"/>
        <v>0</v>
      </c>
      <c r="Q32" s="162">
        <f t="shared" si="17"/>
        <v>0</v>
      </c>
      <c r="R32" s="162">
        <f t="shared" si="17"/>
        <v>0</v>
      </c>
      <c r="S32" s="162">
        <f t="shared" si="17"/>
        <v>0</v>
      </c>
      <c r="T32" s="162">
        <f t="shared" si="17"/>
        <v>0</v>
      </c>
      <c r="U32" s="162">
        <f t="shared" si="17"/>
        <v>0</v>
      </c>
      <c r="V32" s="162">
        <f t="shared" si="17"/>
        <v>0</v>
      </c>
      <c r="W32" s="162">
        <f t="shared" si="17"/>
        <v>0</v>
      </c>
      <c r="X32" s="162">
        <f t="shared" si="17"/>
        <v>0</v>
      </c>
      <c r="Y32" s="162">
        <f t="shared" si="17"/>
        <v>0</v>
      </c>
      <c r="Z32" s="162">
        <f t="shared" si="17"/>
        <v>0</v>
      </c>
      <c r="AA32" s="162">
        <f t="shared" si="17"/>
        <v>0</v>
      </c>
      <c r="AB32" s="162">
        <f t="shared" si="17"/>
        <v>0</v>
      </c>
      <c r="AC32" s="162">
        <f t="shared" si="17"/>
        <v>0</v>
      </c>
      <c r="AD32" s="162">
        <f t="shared" si="17"/>
        <v>0</v>
      </c>
      <c r="AE32" s="162">
        <f t="shared" si="17"/>
        <v>0</v>
      </c>
      <c r="AF32" s="162">
        <f t="shared" si="17"/>
        <v>0</v>
      </c>
      <c r="AG32" s="162">
        <f t="shared" si="17"/>
        <v>0</v>
      </c>
      <c r="AH32" s="162">
        <f t="shared" si="17"/>
        <v>0</v>
      </c>
      <c r="AI32" s="162">
        <f t="shared" si="17"/>
        <v>0</v>
      </c>
      <c r="AJ32" s="162">
        <f t="shared" si="17"/>
        <v>0</v>
      </c>
      <c r="AK32" s="162">
        <f t="shared" si="17"/>
        <v>0</v>
      </c>
      <c r="AL32" s="162">
        <f t="shared" si="17"/>
        <v>0</v>
      </c>
      <c r="AM32" s="162">
        <f t="shared" si="17"/>
        <v>0</v>
      </c>
      <c r="AN32" s="162">
        <f t="shared" si="17"/>
        <v>0</v>
      </c>
      <c r="AO32" s="162">
        <f t="shared" si="17"/>
        <v>0</v>
      </c>
      <c r="AP32" s="162">
        <f t="shared" si="17"/>
        <v>0</v>
      </c>
      <c r="AQ32" s="162">
        <f t="shared" si="17"/>
        <v>0</v>
      </c>
      <c r="AR32" s="162">
        <f t="shared" si="17"/>
        <v>0</v>
      </c>
      <c r="AS32" s="162">
        <f t="shared" si="17"/>
        <v>0</v>
      </c>
      <c r="AT32" s="162">
        <f t="shared" si="17"/>
        <v>0</v>
      </c>
      <c r="AU32" s="162">
        <f t="shared" si="17"/>
        <v>0</v>
      </c>
      <c r="AV32" s="162">
        <f t="shared" si="17"/>
        <v>0</v>
      </c>
      <c r="AW32" s="162">
        <f t="shared" si="17"/>
        <v>0</v>
      </c>
      <c r="AX32" s="162">
        <f t="shared" si="17"/>
        <v>0</v>
      </c>
      <c r="AY32" s="162">
        <f t="shared" si="17"/>
        <v>0</v>
      </c>
      <c r="AZ32" s="162">
        <f t="shared" si="17"/>
        <v>0</v>
      </c>
      <c r="BA32" s="162">
        <f t="shared" si="17"/>
        <v>0</v>
      </c>
      <c r="BB32" s="162">
        <f t="shared" si="17"/>
        <v>0</v>
      </c>
      <c r="BC32" s="162">
        <f t="shared" si="17"/>
        <v>0</v>
      </c>
      <c r="BD32" s="162">
        <f t="shared" si="17"/>
        <v>0</v>
      </c>
      <c r="BE32" s="162">
        <f t="shared" si="17"/>
        <v>0</v>
      </c>
      <c r="BF32" s="162">
        <f t="shared" si="17"/>
        <v>0</v>
      </c>
      <c r="BG32" s="162">
        <f t="shared" si="17"/>
        <v>0</v>
      </c>
      <c r="BH32" s="162">
        <f t="shared" si="17"/>
        <v>0</v>
      </c>
      <c r="BI32" s="162">
        <f t="shared" si="17"/>
        <v>0</v>
      </c>
      <c r="BJ32" s="162">
        <f t="shared" si="17"/>
        <v>0</v>
      </c>
      <c r="BK32" s="162">
        <f t="shared" si="17"/>
        <v>0</v>
      </c>
      <c r="BL32" s="162">
        <f t="shared" si="17"/>
        <v>0</v>
      </c>
      <c r="BM32" s="162">
        <f t="shared" si="17"/>
        <v>0</v>
      </c>
      <c r="BN32" s="162">
        <f t="shared" si="17"/>
        <v>0</v>
      </c>
      <c r="BO32" s="162">
        <f t="shared" si="17"/>
        <v>0</v>
      </c>
      <c r="BP32" s="162">
        <f t="shared" si="17"/>
        <v>0</v>
      </c>
      <c r="BQ32" s="162">
        <f t="shared" si="17"/>
        <v>0</v>
      </c>
      <c r="BR32" s="162">
        <f t="shared" si="17"/>
        <v>0</v>
      </c>
      <c r="BS32" s="162">
        <f t="shared" si="17"/>
        <v>0</v>
      </c>
      <c r="BT32" s="162">
        <f t="shared" si="17"/>
        <v>0</v>
      </c>
      <c r="BU32" s="162">
        <f t="shared" si="17"/>
        <v>0</v>
      </c>
      <c r="BV32" s="162">
        <f t="shared" si="17"/>
        <v>0</v>
      </c>
      <c r="BW32" s="162">
        <f t="shared" si="17"/>
        <v>0</v>
      </c>
      <c r="BX32" s="162">
        <f t="shared" si="17"/>
        <v>0</v>
      </c>
      <c r="BY32" s="162">
        <f t="shared" si="17"/>
        <v>0</v>
      </c>
      <c r="BZ32" s="162">
        <f t="shared" ref="BZ32:EK32" si="18">BZ33</f>
        <v>0</v>
      </c>
      <c r="CA32" s="162">
        <f t="shared" si="18"/>
        <v>0</v>
      </c>
      <c r="CB32" s="162">
        <f t="shared" si="18"/>
        <v>0</v>
      </c>
      <c r="CC32" s="162">
        <f t="shared" si="18"/>
        <v>0</v>
      </c>
      <c r="CD32" s="162">
        <f t="shared" si="18"/>
        <v>0</v>
      </c>
      <c r="CE32" s="162">
        <f t="shared" si="18"/>
        <v>0</v>
      </c>
      <c r="CF32" s="162">
        <f t="shared" si="18"/>
        <v>0</v>
      </c>
      <c r="CG32" s="162">
        <f t="shared" si="18"/>
        <v>0</v>
      </c>
      <c r="CH32" s="162">
        <f t="shared" si="18"/>
        <v>0</v>
      </c>
      <c r="CI32" s="162">
        <f t="shared" si="18"/>
        <v>0</v>
      </c>
      <c r="CJ32" s="162">
        <f t="shared" si="18"/>
        <v>0</v>
      </c>
      <c r="CK32" s="162">
        <f t="shared" si="18"/>
        <v>0</v>
      </c>
      <c r="CL32" s="162">
        <f t="shared" si="18"/>
        <v>0</v>
      </c>
      <c r="CM32" s="162">
        <f t="shared" si="18"/>
        <v>0</v>
      </c>
      <c r="CN32" s="162">
        <f t="shared" si="18"/>
        <v>0</v>
      </c>
      <c r="CO32" s="162">
        <f t="shared" si="18"/>
        <v>0</v>
      </c>
      <c r="CP32" s="162">
        <f t="shared" si="18"/>
        <v>0</v>
      </c>
      <c r="CQ32" s="162">
        <f t="shared" si="18"/>
        <v>0</v>
      </c>
      <c r="CR32" s="162">
        <f t="shared" si="18"/>
        <v>0</v>
      </c>
      <c r="CS32" s="162">
        <f t="shared" si="18"/>
        <v>0</v>
      </c>
      <c r="CT32" s="162">
        <f t="shared" si="18"/>
        <v>0</v>
      </c>
      <c r="CU32" s="162">
        <f t="shared" si="18"/>
        <v>0</v>
      </c>
      <c r="CV32" s="162">
        <f t="shared" si="18"/>
        <v>0</v>
      </c>
      <c r="CW32" s="162">
        <f t="shared" si="18"/>
        <v>0</v>
      </c>
      <c r="CX32" s="162">
        <f t="shared" si="18"/>
        <v>0</v>
      </c>
      <c r="CY32" s="162">
        <f t="shared" si="18"/>
        <v>0</v>
      </c>
      <c r="CZ32" s="162">
        <f t="shared" si="18"/>
        <v>0</v>
      </c>
      <c r="DA32" s="162">
        <f t="shared" si="18"/>
        <v>0</v>
      </c>
      <c r="DB32" s="162">
        <f t="shared" si="18"/>
        <v>0</v>
      </c>
      <c r="DC32" s="162">
        <f t="shared" si="18"/>
        <v>0</v>
      </c>
      <c r="DD32" s="162">
        <f t="shared" si="18"/>
        <v>0</v>
      </c>
      <c r="DE32" s="162">
        <f t="shared" si="18"/>
        <v>0</v>
      </c>
      <c r="DF32" s="162">
        <f t="shared" si="18"/>
        <v>0</v>
      </c>
      <c r="DG32" s="162">
        <f t="shared" si="18"/>
        <v>0</v>
      </c>
      <c r="DH32" s="162">
        <f t="shared" si="18"/>
        <v>0</v>
      </c>
      <c r="DI32" s="162">
        <f t="shared" si="18"/>
        <v>0</v>
      </c>
      <c r="DJ32" s="162">
        <f t="shared" si="18"/>
        <v>0</v>
      </c>
      <c r="DK32" s="162">
        <f t="shared" si="18"/>
        <v>0</v>
      </c>
      <c r="DL32" s="162">
        <f t="shared" si="18"/>
        <v>0</v>
      </c>
      <c r="DM32" s="162">
        <f t="shared" si="18"/>
        <v>0</v>
      </c>
      <c r="DN32" s="162">
        <f t="shared" si="18"/>
        <v>0</v>
      </c>
      <c r="DO32" s="162">
        <f t="shared" si="18"/>
        <v>0</v>
      </c>
      <c r="DP32" s="162">
        <f t="shared" si="18"/>
        <v>0</v>
      </c>
      <c r="DQ32" s="162">
        <f t="shared" si="18"/>
        <v>0</v>
      </c>
      <c r="DR32" s="162">
        <f t="shared" si="18"/>
        <v>0</v>
      </c>
      <c r="DS32" s="162">
        <f t="shared" si="18"/>
        <v>0</v>
      </c>
      <c r="DT32" s="162">
        <f t="shared" si="18"/>
        <v>0</v>
      </c>
      <c r="DU32" s="162">
        <f t="shared" si="18"/>
        <v>0</v>
      </c>
      <c r="DV32" s="162">
        <f t="shared" si="18"/>
        <v>0</v>
      </c>
      <c r="DW32" s="162">
        <f t="shared" si="18"/>
        <v>0</v>
      </c>
      <c r="DX32" s="162">
        <f t="shared" si="18"/>
        <v>0</v>
      </c>
      <c r="DY32" s="162">
        <f t="shared" si="18"/>
        <v>0</v>
      </c>
      <c r="DZ32" s="162">
        <f t="shared" si="18"/>
        <v>0</v>
      </c>
      <c r="EA32" s="162">
        <f t="shared" si="18"/>
        <v>0</v>
      </c>
      <c r="EB32" s="162">
        <f t="shared" si="18"/>
        <v>0</v>
      </c>
      <c r="EC32" s="162">
        <f t="shared" si="18"/>
        <v>0</v>
      </c>
      <c r="ED32" s="162">
        <f t="shared" si="18"/>
        <v>0</v>
      </c>
      <c r="EE32" s="162">
        <f t="shared" si="18"/>
        <v>0</v>
      </c>
      <c r="EF32" s="162">
        <f t="shared" si="18"/>
        <v>0</v>
      </c>
      <c r="EG32" s="162">
        <f t="shared" si="18"/>
        <v>0</v>
      </c>
      <c r="EH32" s="162">
        <f t="shared" si="18"/>
        <v>0</v>
      </c>
      <c r="EI32" s="162">
        <f t="shared" si="18"/>
        <v>0</v>
      </c>
      <c r="EJ32" s="162">
        <f t="shared" si="18"/>
        <v>0</v>
      </c>
      <c r="EK32" s="162">
        <f t="shared" si="18"/>
        <v>0</v>
      </c>
      <c r="EL32" s="162">
        <f t="shared" ref="EL32:ER32" si="19">EL33</f>
        <v>0</v>
      </c>
      <c r="EM32" s="162">
        <f t="shared" si="19"/>
        <v>0</v>
      </c>
      <c r="EN32" s="162">
        <f t="shared" si="19"/>
        <v>0</v>
      </c>
      <c r="EO32" s="162">
        <f t="shared" si="19"/>
        <v>0</v>
      </c>
      <c r="EP32" s="162">
        <f t="shared" si="19"/>
        <v>0</v>
      </c>
      <c r="EQ32" s="162">
        <f t="shared" si="19"/>
        <v>0</v>
      </c>
      <c r="ER32" s="162">
        <f t="shared" si="19"/>
        <v>0</v>
      </c>
    </row>
    <row r="33" spans="3:148">
      <c r="C33" s="163"/>
      <c r="D33" s="198" t="s">
        <v>179</v>
      </c>
      <c r="E33" s="199"/>
      <c r="F33" s="848"/>
      <c r="G33" s="847"/>
      <c r="H33" s="849"/>
      <c r="I33" s="200"/>
      <c r="J33" s="825">
        <f>'A&amp;R'!O23</f>
        <v>4380000</v>
      </c>
      <c r="K33" s="201">
        <f>SUM(M33:ER33)</f>
        <v>4380000</v>
      </c>
      <c r="L33" s="98"/>
      <c r="M33" s="171">
        <f>$J33*Index!L$17</f>
        <v>4380000</v>
      </c>
      <c r="N33" s="171">
        <f>$J33*Index!M$17</f>
        <v>0</v>
      </c>
      <c r="O33" s="171">
        <f>$J33*Index!N$17</f>
        <v>0</v>
      </c>
      <c r="P33" s="171">
        <f>$J33*Index!O$17</f>
        <v>0</v>
      </c>
      <c r="Q33" s="171">
        <f>$J33*Index!P$17</f>
        <v>0</v>
      </c>
      <c r="R33" s="171">
        <f>$J33*Index!Q$17</f>
        <v>0</v>
      </c>
      <c r="S33" s="171">
        <f>$J33*Index!R$17</f>
        <v>0</v>
      </c>
      <c r="T33" s="171">
        <f>$J33*Index!S$17</f>
        <v>0</v>
      </c>
      <c r="U33" s="171">
        <f>$J33*Index!T$17</f>
        <v>0</v>
      </c>
      <c r="V33" s="171">
        <f>$J33*Index!U$17</f>
        <v>0</v>
      </c>
      <c r="W33" s="171">
        <f>$J33*Index!V$17</f>
        <v>0</v>
      </c>
      <c r="X33" s="171">
        <f>$J33*Index!W$17</f>
        <v>0</v>
      </c>
      <c r="Y33" s="171">
        <f>$J33*Index!X$17</f>
        <v>0</v>
      </c>
      <c r="Z33" s="171">
        <f>$J33*Index!Y$17</f>
        <v>0</v>
      </c>
      <c r="AA33" s="171">
        <f>$J33*Index!Z$17</f>
        <v>0</v>
      </c>
      <c r="AB33" s="171">
        <f>$J33*Index!AA$17</f>
        <v>0</v>
      </c>
      <c r="AC33" s="171">
        <f>$J33*Index!AB$17</f>
        <v>0</v>
      </c>
      <c r="AD33" s="171">
        <f>$J33*Index!AC$17</f>
        <v>0</v>
      </c>
      <c r="AE33" s="171">
        <f>$J33*Index!AD$17</f>
        <v>0</v>
      </c>
      <c r="AF33" s="171">
        <f>$J33*Index!AE$17</f>
        <v>0</v>
      </c>
      <c r="AG33" s="171">
        <f>$J33*Index!AF$17</f>
        <v>0</v>
      </c>
      <c r="AH33" s="171">
        <f>$J33*Index!AG$17</f>
        <v>0</v>
      </c>
      <c r="AI33" s="171">
        <f>$J33*Index!AH$17</f>
        <v>0</v>
      </c>
      <c r="AJ33" s="171">
        <f>$J33*Index!AI$17</f>
        <v>0</v>
      </c>
      <c r="AK33" s="171">
        <f>$J33*Index!AJ$17</f>
        <v>0</v>
      </c>
      <c r="AL33" s="171">
        <f>$J33*Index!AK$17</f>
        <v>0</v>
      </c>
      <c r="AM33" s="171">
        <f>$J33*Index!AL$17</f>
        <v>0</v>
      </c>
      <c r="AN33" s="171">
        <f>$J33*Index!AM$17</f>
        <v>0</v>
      </c>
      <c r="AO33" s="171">
        <f>$J33*Index!AN$17</f>
        <v>0</v>
      </c>
      <c r="AP33" s="171">
        <f>$J33*Index!AO$17</f>
        <v>0</v>
      </c>
      <c r="AQ33" s="171">
        <f>$J33*Index!AP$17</f>
        <v>0</v>
      </c>
      <c r="AR33" s="171">
        <f>$J33*Index!AQ$17</f>
        <v>0</v>
      </c>
      <c r="AS33" s="171">
        <f>$J33*Index!AR$17</f>
        <v>0</v>
      </c>
      <c r="AT33" s="171">
        <f>$J33*Index!AS$17</f>
        <v>0</v>
      </c>
      <c r="AU33" s="171">
        <f>$J33*Index!AT$17</f>
        <v>0</v>
      </c>
      <c r="AV33" s="171">
        <f>$J33*Index!AU$17</f>
        <v>0</v>
      </c>
      <c r="AW33" s="171">
        <f>$J33*Index!AV$17</f>
        <v>0</v>
      </c>
      <c r="AX33" s="171">
        <f>$J33*Index!AW$17</f>
        <v>0</v>
      </c>
      <c r="AY33" s="171">
        <f>$J33*Index!AX$17</f>
        <v>0</v>
      </c>
      <c r="AZ33" s="171">
        <f>$J33*Index!AY$17</f>
        <v>0</v>
      </c>
      <c r="BA33" s="171">
        <f>$J33*Index!AZ$17</f>
        <v>0</v>
      </c>
      <c r="BB33" s="171">
        <f>$J33*Index!BA$17</f>
        <v>0</v>
      </c>
      <c r="BC33" s="171">
        <f>$J33*Index!BB$17</f>
        <v>0</v>
      </c>
      <c r="BD33" s="171">
        <f>$J33*Index!BC$17</f>
        <v>0</v>
      </c>
      <c r="BE33" s="171">
        <f>$J33*Index!BD$17</f>
        <v>0</v>
      </c>
      <c r="BF33" s="171">
        <f>$J33*Index!BE$17</f>
        <v>0</v>
      </c>
      <c r="BG33" s="171">
        <f>$J33*Index!BF$17</f>
        <v>0</v>
      </c>
      <c r="BH33" s="171">
        <f>$J33*Index!BG$17</f>
        <v>0</v>
      </c>
      <c r="BI33" s="171">
        <f>$J33*Index!BH$17</f>
        <v>0</v>
      </c>
      <c r="BJ33" s="171">
        <f>$J33*Index!BI$17</f>
        <v>0</v>
      </c>
      <c r="BK33" s="171">
        <f>$J33*Index!BJ$17</f>
        <v>0</v>
      </c>
      <c r="BL33" s="171">
        <f>$J33*Index!BK$17</f>
        <v>0</v>
      </c>
      <c r="BM33" s="171">
        <f>$J33*Index!BL$17</f>
        <v>0</v>
      </c>
      <c r="BN33" s="171">
        <f>$J33*Index!BM$17</f>
        <v>0</v>
      </c>
      <c r="BO33" s="171">
        <f>$J33*Index!BN$17</f>
        <v>0</v>
      </c>
      <c r="BP33" s="171">
        <f>$J33*Index!BO$17</f>
        <v>0</v>
      </c>
      <c r="BQ33" s="171">
        <f>$J33*Index!BP$17</f>
        <v>0</v>
      </c>
      <c r="BR33" s="171">
        <f>$J33*Index!BQ$17</f>
        <v>0</v>
      </c>
      <c r="BS33" s="171">
        <f>$J33*Index!BR$17</f>
        <v>0</v>
      </c>
      <c r="BT33" s="171">
        <f>$J33*Index!BS$17</f>
        <v>0</v>
      </c>
      <c r="BU33" s="171">
        <f>$J33*Index!BT$17</f>
        <v>0</v>
      </c>
      <c r="BV33" s="171">
        <f>$J33*Index!BU$17</f>
        <v>0</v>
      </c>
      <c r="BW33" s="171">
        <f>$J33*Index!BV$17</f>
        <v>0</v>
      </c>
      <c r="BX33" s="171">
        <f>$J33*Index!BW$17</f>
        <v>0</v>
      </c>
      <c r="BY33" s="171">
        <f>$J33*Index!BX$17</f>
        <v>0</v>
      </c>
      <c r="BZ33" s="171">
        <f>$J33*Index!BY$17</f>
        <v>0</v>
      </c>
      <c r="CA33" s="171">
        <f>$J33*Index!BZ$17</f>
        <v>0</v>
      </c>
      <c r="CB33" s="171">
        <f>$J33*Index!CA$17</f>
        <v>0</v>
      </c>
      <c r="CC33" s="171">
        <f>$J33*Index!CB$17</f>
        <v>0</v>
      </c>
      <c r="CD33" s="171">
        <f>$J33*Index!CC$17</f>
        <v>0</v>
      </c>
      <c r="CE33" s="171">
        <f>$J33*Index!CD$17</f>
        <v>0</v>
      </c>
      <c r="CF33" s="171">
        <f>$J33*Index!CE$17</f>
        <v>0</v>
      </c>
      <c r="CG33" s="171">
        <f>$J33*Index!CF$17</f>
        <v>0</v>
      </c>
      <c r="CH33" s="171">
        <f>$J33*Index!CG$17</f>
        <v>0</v>
      </c>
      <c r="CI33" s="171">
        <f>$J33*Index!CH$17</f>
        <v>0</v>
      </c>
      <c r="CJ33" s="171">
        <f>$J33*Index!CI$17</f>
        <v>0</v>
      </c>
      <c r="CK33" s="171">
        <f>$J33*Index!CJ$17</f>
        <v>0</v>
      </c>
      <c r="CL33" s="171">
        <f>$J33*Index!CK$17</f>
        <v>0</v>
      </c>
      <c r="CM33" s="171">
        <f>$J33*Index!CL$17</f>
        <v>0</v>
      </c>
      <c r="CN33" s="171">
        <f>$J33*Index!CM$17</f>
        <v>0</v>
      </c>
      <c r="CO33" s="171">
        <f>$J33*Index!CN$17</f>
        <v>0</v>
      </c>
      <c r="CP33" s="171">
        <f>$J33*Index!CO$17</f>
        <v>0</v>
      </c>
      <c r="CQ33" s="171">
        <f>$J33*Index!CP$17</f>
        <v>0</v>
      </c>
      <c r="CR33" s="171">
        <f>$J33*Index!CQ$17</f>
        <v>0</v>
      </c>
      <c r="CS33" s="171">
        <f>$J33*Index!CR$17</f>
        <v>0</v>
      </c>
      <c r="CT33" s="171">
        <f>$J33*Index!CS$17</f>
        <v>0</v>
      </c>
      <c r="CU33" s="171">
        <f>$J33*Index!CT$17</f>
        <v>0</v>
      </c>
      <c r="CV33" s="171">
        <f>$J33*Index!CU$17</f>
        <v>0</v>
      </c>
      <c r="CW33" s="171">
        <f>$J33*Index!CV$17</f>
        <v>0</v>
      </c>
      <c r="CX33" s="171">
        <f>$J33*Index!CW$17</f>
        <v>0</v>
      </c>
      <c r="CY33" s="171">
        <f>$J33*Index!CX$17</f>
        <v>0</v>
      </c>
      <c r="CZ33" s="171">
        <f>$J33*Index!CY$17</f>
        <v>0</v>
      </c>
      <c r="DA33" s="171">
        <f>$J33*Index!CZ$17</f>
        <v>0</v>
      </c>
      <c r="DB33" s="171">
        <f>$J33*Index!DA$17</f>
        <v>0</v>
      </c>
      <c r="DC33" s="171">
        <f>$J33*Index!DB$17</f>
        <v>0</v>
      </c>
      <c r="DD33" s="171">
        <f>$J33*Index!DC$17</f>
        <v>0</v>
      </c>
      <c r="DE33" s="171">
        <f>$J33*Index!DD$17</f>
        <v>0</v>
      </c>
      <c r="DF33" s="171">
        <f>$J33*Index!DE$17</f>
        <v>0</v>
      </c>
      <c r="DG33" s="171">
        <f>$J33*Index!DF$17</f>
        <v>0</v>
      </c>
      <c r="DH33" s="171">
        <f>$J33*Index!DG$17</f>
        <v>0</v>
      </c>
      <c r="DI33" s="171">
        <f>$J33*Index!DH$17</f>
        <v>0</v>
      </c>
      <c r="DJ33" s="171">
        <f>$J33*Index!DI$17</f>
        <v>0</v>
      </c>
      <c r="DK33" s="171">
        <f>$J33*Index!DJ$17</f>
        <v>0</v>
      </c>
      <c r="DL33" s="171">
        <f>$J33*Index!DK$17</f>
        <v>0</v>
      </c>
      <c r="DM33" s="171">
        <f>$J33*Index!DL$17</f>
        <v>0</v>
      </c>
      <c r="DN33" s="171">
        <f>$J33*Index!DM$17</f>
        <v>0</v>
      </c>
      <c r="DO33" s="171">
        <f>$J33*Index!DN$17</f>
        <v>0</v>
      </c>
      <c r="DP33" s="171">
        <f>$J33*Index!DO$17</f>
        <v>0</v>
      </c>
      <c r="DQ33" s="171">
        <f>$J33*Index!DP$17</f>
        <v>0</v>
      </c>
      <c r="DR33" s="171">
        <f>$J33*Index!DQ$17</f>
        <v>0</v>
      </c>
      <c r="DS33" s="171">
        <f>$J33*Index!DR$17</f>
        <v>0</v>
      </c>
      <c r="DT33" s="171">
        <f>$J33*Index!DS$17</f>
        <v>0</v>
      </c>
      <c r="DU33" s="171">
        <f>$J33*Index!DT$17</f>
        <v>0</v>
      </c>
      <c r="DV33" s="171">
        <f>$J33*Index!DU$17</f>
        <v>0</v>
      </c>
      <c r="DW33" s="171">
        <f>$J33*Index!DV$17</f>
        <v>0</v>
      </c>
      <c r="DX33" s="171">
        <f>$J33*Index!DW$17</f>
        <v>0</v>
      </c>
      <c r="DY33" s="171">
        <f>$J33*Index!DX$17</f>
        <v>0</v>
      </c>
      <c r="DZ33" s="171">
        <f>$J33*Index!DY$17</f>
        <v>0</v>
      </c>
      <c r="EA33" s="171">
        <f>$J33*Index!DZ$17</f>
        <v>0</v>
      </c>
      <c r="EB33" s="171">
        <f>$J33*Index!EA$17</f>
        <v>0</v>
      </c>
      <c r="EC33" s="171">
        <f>$J33*Index!EB$17</f>
        <v>0</v>
      </c>
      <c r="ED33" s="171">
        <f>$J33*Index!EC$17</f>
        <v>0</v>
      </c>
      <c r="EE33" s="171">
        <f>$J33*Index!ED$17</f>
        <v>0</v>
      </c>
      <c r="EF33" s="171">
        <f>$J33*Index!EE$17</f>
        <v>0</v>
      </c>
      <c r="EG33" s="171">
        <f>$J33*Index!EF$17</f>
        <v>0</v>
      </c>
      <c r="EH33" s="171">
        <f>$J33*Index!EG$17</f>
        <v>0</v>
      </c>
      <c r="EI33" s="171">
        <f>$J33*Index!EH$17</f>
        <v>0</v>
      </c>
      <c r="EJ33" s="171">
        <f>$J33*Index!EI$17</f>
        <v>0</v>
      </c>
      <c r="EK33" s="171">
        <f>$J33*Index!EJ$17</f>
        <v>0</v>
      </c>
      <c r="EL33" s="171">
        <f>$J33*Index!EK$17</f>
        <v>0</v>
      </c>
      <c r="EM33" s="171">
        <f>$J33*Index!EL$17</f>
        <v>0</v>
      </c>
      <c r="EN33" s="171">
        <f>$J33*Index!EM$17</f>
        <v>0</v>
      </c>
      <c r="EO33" s="171">
        <f>$J33*Index!EN$17</f>
        <v>0</v>
      </c>
      <c r="EP33" s="171">
        <f>$J33*Index!EO$17</f>
        <v>0</v>
      </c>
      <c r="EQ33" s="171">
        <f>$J33*Index!EP$17</f>
        <v>0</v>
      </c>
      <c r="ER33" s="171">
        <f>$J33*Index!EQ$17</f>
        <v>0</v>
      </c>
    </row>
    <row r="34" spans="3:148">
      <c r="C34" s="158" t="s">
        <v>246</v>
      </c>
      <c r="D34" s="159"/>
      <c r="E34" s="159"/>
      <c r="F34" s="193"/>
      <c r="G34" s="159"/>
      <c r="H34" s="159"/>
      <c r="I34" s="160"/>
      <c r="J34" s="822">
        <f>SUM(J35:J36)</f>
        <v>245384.77486795187</v>
      </c>
      <c r="K34" s="161">
        <f>SUM(K35:K36)</f>
        <v>245384.77486795187</v>
      </c>
      <c r="L34" s="98"/>
      <c r="M34" s="162">
        <f>SUM(M35:M36)</f>
        <v>245384.77486795187</v>
      </c>
      <c r="N34" s="162">
        <f t="shared" ref="N34:S34" si="20">SUM(N35:N36)</f>
        <v>0</v>
      </c>
      <c r="O34" s="162">
        <f t="shared" si="20"/>
        <v>0</v>
      </c>
      <c r="P34" s="162">
        <f t="shared" si="20"/>
        <v>0</v>
      </c>
      <c r="Q34" s="162">
        <f t="shared" si="20"/>
        <v>0</v>
      </c>
      <c r="R34" s="162">
        <f t="shared" si="20"/>
        <v>0</v>
      </c>
      <c r="S34" s="162">
        <f t="shared" si="20"/>
        <v>0</v>
      </c>
      <c r="T34" s="162">
        <f t="shared" ref="T34:CE34" si="21">SUM(T35:T36)</f>
        <v>0</v>
      </c>
      <c r="U34" s="162">
        <f t="shared" si="21"/>
        <v>0</v>
      </c>
      <c r="V34" s="162">
        <f t="shared" si="21"/>
        <v>0</v>
      </c>
      <c r="W34" s="162">
        <f t="shared" si="21"/>
        <v>0</v>
      </c>
      <c r="X34" s="162">
        <f t="shared" si="21"/>
        <v>0</v>
      </c>
      <c r="Y34" s="162">
        <f t="shared" si="21"/>
        <v>0</v>
      </c>
      <c r="Z34" s="162">
        <f t="shared" si="21"/>
        <v>0</v>
      </c>
      <c r="AA34" s="162">
        <f t="shared" si="21"/>
        <v>0</v>
      </c>
      <c r="AB34" s="162">
        <f t="shared" si="21"/>
        <v>0</v>
      </c>
      <c r="AC34" s="162">
        <f t="shared" si="21"/>
        <v>0</v>
      </c>
      <c r="AD34" s="162">
        <f t="shared" si="21"/>
        <v>0</v>
      </c>
      <c r="AE34" s="162">
        <f t="shared" si="21"/>
        <v>0</v>
      </c>
      <c r="AF34" s="162">
        <f t="shared" si="21"/>
        <v>0</v>
      </c>
      <c r="AG34" s="162">
        <f t="shared" si="21"/>
        <v>0</v>
      </c>
      <c r="AH34" s="162">
        <f t="shared" si="21"/>
        <v>0</v>
      </c>
      <c r="AI34" s="162">
        <f t="shared" si="21"/>
        <v>0</v>
      </c>
      <c r="AJ34" s="162">
        <f t="shared" si="21"/>
        <v>0</v>
      </c>
      <c r="AK34" s="162">
        <f t="shared" si="21"/>
        <v>0</v>
      </c>
      <c r="AL34" s="162">
        <f t="shared" si="21"/>
        <v>0</v>
      </c>
      <c r="AM34" s="162">
        <f t="shared" si="21"/>
        <v>0</v>
      </c>
      <c r="AN34" s="162">
        <f t="shared" si="21"/>
        <v>0</v>
      </c>
      <c r="AO34" s="162">
        <f t="shared" si="21"/>
        <v>0</v>
      </c>
      <c r="AP34" s="162">
        <f t="shared" si="21"/>
        <v>0</v>
      </c>
      <c r="AQ34" s="162">
        <f t="shared" si="21"/>
        <v>0</v>
      </c>
      <c r="AR34" s="162">
        <f t="shared" si="21"/>
        <v>0</v>
      </c>
      <c r="AS34" s="162">
        <f t="shared" si="21"/>
        <v>0</v>
      </c>
      <c r="AT34" s="162">
        <f t="shared" si="21"/>
        <v>0</v>
      </c>
      <c r="AU34" s="162">
        <f t="shared" si="21"/>
        <v>0</v>
      </c>
      <c r="AV34" s="162">
        <f t="shared" si="21"/>
        <v>0</v>
      </c>
      <c r="AW34" s="162">
        <f t="shared" si="21"/>
        <v>0</v>
      </c>
      <c r="AX34" s="162">
        <f t="shared" si="21"/>
        <v>0</v>
      </c>
      <c r="AY34" s="162">
        <f t="shared" si="21"/>
        <v>0</v>
      </c>
      <c r="AZ34" s="162">
        <f t="shared" si="21"/>
        <v>0</v>
      </c>
      <c r="BA34" s="162">
        <f t="shared" si="21"/>
        <v>0</v>
      </c>
      <c r="BB34" s="162">
        <f t="shared" si="21"/>
        <v>0</v>
      </c>
      <c r="BC34" s="162">
        <f t="shared" si="21"/>
        <v>0</v>
      </c>
      <c r="BD34" s="162">
        <f t="shared" si="21"/>
        <v>0</v>
      </c>
      <c r="BE34" s="162">
        <f t="shared" si="21"/>
        <v>0</v>
      </c>
      <c r="BF34" s="162">
        <f t="shared" si="21"/>
        <v>0</v>
      </c>
      <c r="BG34" s="162">
        <f t="shared" si="21"/>
        <v>0</v>
      </c>
      <c r="BH34" s="162">
        <f t="shared" si="21"/>
        <v>0</v>
      </c>
      <c r="BI34" s="162">
        <f t="shared" si="21"/>
        <v>0</v>
      </c>
      <c r="BJ34" s="162">
        <f t="shared" si="21"/>
        <v>0</v>
      </c>
      <c r="BK34" s="162">
        <f t="shared" si="21"/>
        <v>0</v>
      </c>
      <c r="BL34" s="162">
        <f t="shared" si="21"/>
        <v>0</v>
      </c>
      <c r="BM34" s="162">
        <f t="shared" si="21"/>
        <v>0</v>
      </c>
      <c r="BN34" s="162">
        <f t="shared" si="21"/>
        <v>0</v>
      </c>
      <c r="BO34" s="162">
        <f t="shared" si="21"/>
        <v>0</v>
      </c>
      <c r="BP34" s="162">
        <f t="shared" si="21"/>
        <v>0</v>
      </c>
      <c r="BQ34" s="162">
        <f t="shared" si="21"/>
        <v>0</v>
      </c>
      <c r="BR34" s="162">
        <f t="shared" si="21"/>
        <v>0</v>
      </c>
      <c r="BS34" s="162">
        <f t="shared" si="21"/>
        <v>0</v>
      </c>
      <c r="BT34" s="162">
        <f t="shared" si="21"/>
        <v>0</v>
      </c>
      <c r="BU34" s="162">
        <f t="shared" si="21"/>
        <v>0</v>
      </c>
      <c r="BV34" s="162">
        <f t="shared" si="21"/>
        <v>0</v>
      </c>
      <c r="BW34" s="162">
        <f t="shared" si="21"/>
        <v>0</v>
      </c>
      <c r="BX34" s="162">
        <f t="shared" si="21"/>
        <v>0</v>
      </c>
      <c r="BY34" s="162">
        <f t="shared" si="21"/>
        <v>0</v>
      </c>
      <c r="BZ34" s="162">
        <f t="shared" si="21"/>
        <v>0</v>
      </c>
      <c r="CA34" s="162">
        <f t="shared" si="21"/>
        <v>0</v>
      </c>
      <c r="CB34" s="162">
        <f t="shared" si="21"/>
        <v>0</v>
      </c>
      <c r="CC34" s="162">
        <f t="shared" si="21"/>
        <v>0</v>
      </c>
      <c r="CD34" s="162">
        <f t="shared" si="21"/>
        <v>0</v>
      </c>
      <c r="CE34" s="162">
        <f t="shared" si="21"/>
        <v>0</v>
      </c>
      <c r="CF34" s="162">
        <f t="shared" ref="CF34:EQ34" si="22">SUM(CF35:CF36)</f>
        <v>0</v>
      </c>
      <c r="CG34" s="162">
        <f t="shared" si="22"/>
        <v>0</v>
      </c>
      <c r="CH34" s="162">
        <f t="shared" si="22"/>
        <v>0</v>
      </c>
      <c r="CI34" s="162">
        <f t="shared" si="22"/>
        <v>0</v>
      </c>
      <c r="CJ34" s="162">
        <f t="shared" si="22"/>
        <v>0</v>
      </c>
      <c r="CK34" s="162">
        <f t="shared" si="22"/>
        <v>0</v>
      </c>
      <c r="CL34" s="162">
        <f t="shared" si="22"/>
        <v>0</v>
      </c>
      <c r="CM34" s="162">
        <f t="shared" si="22"/>
        <v>0</v>
      </c>
      <c r="CN34" s="162">
        <f t="shared" si="22"/>
        <v>0</v>
      </c>
      <c r="CO34" s="162">
        <f t="shared" si="22"/>
        <v>0</v>
      </c>
      <c r="CP34" s="162">
        <f t="shared" si="22"/>
        <v>0</v>
      </c>
      <c r="CQ34" s="162">
        <f t="shared" si="22"/>
        <v>0</v>
      </c>
      <c r="CR34" s="162">
        <f t="shared" si="22"/>
        <v>0</v>
      </c>
      <c r="CS34" s="162">
        <f t="shared" si="22"/>
        <v>0</v>
      </c>
      <c r="CT34" s="162">
        <f t="shared" si="22"/>
        <v>0</v>
      </c>
      <c r="CU34" s="162">
        <f t="shared" si="22"/>
        <v>0</v>
      </c>
      <c r="CV34" s="162">
        <f t="shared" si="22"/>
        <v>0</v>
      </c>
      <c r="CW34" s="162">
        <f t="shared" si="22"/>
        <v>0</v>
      </c>
      <c r="CX34" s="162">
        <f t="shared" si="22"/>
        <v>0</v>
      </c>
      <c r="CY34" s="162">
        <f t="shared" si="22"/>
        <v>0</v>
      </c>
      <c r="CZ34" s="162">
        <f t="shared" si="22"/>
        <v>0</v>
      </c>
      <c r="DA34" s="162">
        <f t="shared" si="22"/>
        <v>0</v>
      </c>
      <c r="DB34" s="162">
        <f t="shared" si="22"/>
        <v>0</v>
      </c>
      <c r="DC34" s="162">
        <f t="shared" si="22"/>
        <v>0</v>
      </c>
      <c r="DD34" s="162">
        <f t="shared" si="22"/>
        <v>0</v>
      </c>
      <c r="DE34" s="162">
        <f t="shared" si="22"/>
        <v>0</v>
      </c>
      <c r="DF34" s="162">
        <f t="shared" si="22"/>
        <v>0</v>
      </c>
      <c r="DG34" s="162">
        <f t="shared" si="22"/>
        <v>0</v>
      </c>
      <c r="DH34" s="162">
        <f t="shared" si="22"/>
        <v>0</v>
      </c>
      <c r="DI34" s="162">
        <f t="shared" si="22"/>
        <v>0</v>
      </c>
      <c r="DJ34" s="162">
        <f t="shared" si="22"/>
        <v>0</v>
      </c>
      <c r="DK34" s="162">
        <f t="shared" si="22"/>
        <v>0</v>
      </c>
      <c r="DL34" s="162">
        <f t="shared" si="22"/>
        <v>0</v>
      </c>
      <c r="DM34" s="162">
        <f t="shared" si="22"/>
        <v>0</v>
      </c>
      <c r="DN34" s="162">
        <f t="shared" si="22"/>
        <v>0</v>
      </c>
      <c r="DO34" s="162">
        <f t="shared" si="22"/>
        <v>0</v>
      </c>
      <c r="DP34" s="162">
        <f t="shared" si="22"/>
        <v>0</v>
      </c>
      <c r="DQ34" s="162">
        <f t="shared" si="22"/>
        <v>0</v>
      </c>
      <c r="DR34" s="162">
        <f t="shared" si="22"/>
        <v>0</v>
      </c>
      <c r="DS34" s="162">
        <f t="shared" si="22"/>
        <v>0</v>
      </c>
      <c r="DT34" s="162">
        <f t="shared" si="22"/>
        <v>0</v>
      </c>
      <c r="DU34" s="162">
        <f t="shared" si="22"/>
        <v>0</v>
      </c>
      <c r="DV34" s="162">
        <f t="shared" si="22"/>
        <v>0</v>
      </c>
      <c r="DW34" s="162">
        <f t="shared" si="22"/>
        <v>0</v>
      </c>
      <c r="DX34" s="162">
        <f t="shared" si="22"/>
        <v>0</v>
      </c>
      <c r="DY34" s="162">
        <f t="shared" si="22"/>
        <v>0</v>
      </c>
      <c r="DZ34" s="162">
        <f t="shared" si="22"/>
        <v>0</v>
      </c>
      <c r="EA34" s="162">
        <f t="shared" si="22"/>
        <v>0</v>
      </c>
      <c r="EB34" s="162">
        <f t="shared" si="22"/>
        <v>0</v>
      </c>
      <c r="EC34" s="162">
        <f t="shared" si="22"/>
        <v>0</v>
      </c>
      <c r="ED34" s="162">
        <f t="shared" si="22"/>
        <v>0</v>
      </c>
      <c r="EE34" s="162">
        <f t="shared" si="22"/>
        <v>0</v>
      </c>
      <c r="EF34" s="162">
        <f t="shared" si="22"/>
        <v>0</v>
      </c>
      <c r="EG34" s="162">
        <f t="shared" si="22"/>
        <v>0</v>
      </c>
      <c r="EH34" s="162">
        <f t="shared" si="22"/>
        <v>0</v>
      </c>
      <c r="EI34" s="162">
        <f t="shared" si="22"/>
        <v>0</v>
      </c>
      <c r="EJ34" s="162">
        <f t="shared" si="22"/>
        <v>0</v>
      </c>
      <c r="EK34" s="162">
        <f t="shared" si="22"/>
        <v>0</v>
      </c>
      <c r="EL34" s="162">
        <f t="shared" si="22"/>
        <v>0</v>
      </c>
      <c r="EM34" s="162">
        <f t="shared" si="22"/>
        <v>0</v>
      </c>
      <c r="EN34" s="162">
        <f t="shared" si="22"/>
        <v>0</v>
      </c>
      <c r="EO34" s="162">
        <f t="shared" si="22"/>
        <v>0</v>
      </c>
      <c r="EP34" s="162">
        <f t="shared" si="22"/>
        <v>0</v>
      </c>
      <c r="EQ34" s="162">
        <f t="shared" si="22"/>
        <v>0</v>
      </c>
      <c r="ER34" s="162">
        <f>SUM(ER35:ER36)</f>
        <v>0</v>
      </c>
    </row>
    <row r="35" spans="3:148">
      <c r="C35" s="163"/>
      <c r="D35" s="164" t="s">
        <v>586</v>
      </c>
      <c r="E35" s="165"/>
      <c r="F35" s="967"/>
      <c r="G35" s="185">
        <f>'A&amp;R'!K108</f>
        <v>4300000</v>
      </c>
      <c r="H35" s="165"/>
      <c r="I35" s="1007" t="s">
        <v>585</v>
      </c>
      <c r="J35" s="820">
        <f>F35</f>
        <v>0</v>
      </c>
      <c r="K35" s="167">
        <f>SUM(M35:ER35)</f>
        <v>0</v>
      </c>
      <c r="L35" s="98"/>
      <c r="M35" s="171">
        <f>$J35*Index!L$17</f>
        <v>0</v>
      </c>
      <c r="N35" s="171">
        <f>$J35*Index!M$17</f>
        <v>0</v>
      </c>
      <c r="O35" s="171">
        <f>$J35*Index!N$17</f>
        <v>0</v>
      </c>
      <c r="P35" s="171">
        <f>$J35*Index!O$17</f>
        <v>0</v>
      </c>
      <c r="Q35" s="171">
        <f>$J35*Index!P$17</f>
        <v>0</v>
      </c>
      <c r="R35" s="171">
        <f>$J35*Index!Q$17</f>
        <v>0</v>
      </c>
      <c r="S35" s="171">
        <f>$J35*Index!R$17</f>
        <v>0</v>
      </c>
      <c r="T35" s="171">
        <f>$J35*Index!S$17</f>
        <v>0</v>
      </c>
      <c r="U35" s="171">
        <f>$J35*Index!T$17</f>
        <v>0</v>
      </c>
      <c r="V35" s="171">
        <f>$J35*Index!U$17</f>
        <v>0</v>
      </c>
      <c r="W35" s="171">
        <f>$J35*Index!V$17</f>
        <v>0</v>
      </c>
      <c r="X35" s="171">
        <f>$J35*Index!W$17</f>
        <v>0</v>
      </c>
      <c r="Y35" s="171">
        <f>$J35*Index!X$17</f>
        <v>0</v>
      </c>
      <c r="Z35" s="171">
        <f>$J35*Index!Y$17</f>
        <v>0</v>
      </c>
      <c r="AA35" s="171">
        <f>$J35*Index!Z$17</f>
        <v>0</v>
      </c>
      <c r="AB35" s="171">
        <f>$J35*Index!AA$17</f>
        <v>0</v>
      </c>
      <c r="AC35" s="171">
        <f>$J35*Index!AB$17</f>
        <v>0</v>
      </c>
      <c r="AD35" s="171">
        <f>$J35*Index!AC$17</f>
        <v>0</v>
      </c>
      <c r="AE35" s="171">
        <f>$J35*Index!AD$17</f>
        <v>0</v>
      </c>
      <c r="AF35" s="171">
        <f>$J35*Index!AE$17</f>
        <v>0</v>
      </c>
      <c r="AG35" s="171">
        <f>$J35*Index!AF$17</f>
        <v>0</v>
      </c>
      <c r="AH35" s="171">
        <f>$J35*Index!AG$17</f>
        <v>0</v>
      </c>
      <c r="AI35" s="171">
        <f>$J35*Index!AH$17</f>
        <v>0</v>
      </c>
      <c r="AJ35" s="171">
        <f>$J35*Index!AI$17</f>
        <v>0</v>
      </c>
      <c r="AK35" s="171">
        <f>$J35*Index!AJ$17</f>
        <v>0</v>
      </c>
      <c r="AL35" s="171">
        <f>$J35*Index!AK$17</f>
        <v>0</v>
      </c>
      <c r="AM35" s="171">
        <f>$J35*Index!AL$17</f>
        <v>0</v>
      </c>
      <c r="AN35" s="171">
        <f>$J35*Index!AM$17</f>
        <v>0</v>
      </c>
      <c r="AO35" s="171">
        <f>$J35*Index!AN$17</f>
        <v>0</v>
      </c>
      <c r="AP35" s="171">
        <f>$J35*Index!AO$17</f>
        <v>0</v>
      </c>
      <c r="AQ35" s="171">
        <f>$J35*Index!AP$17</f>
        <v>0</v>
      </c>
      <c r="AR35" s="171">
        <f>$J35*Index!AQ$17</f>
        <v>0</v>
      </c>
      <c r="AS35" s="171">
        <f>$J35*Index!AR$17</f>
        <v>0</v>
      </c>
      <c r="AT35" s="171">
        <f>$J35*Index!AS$17</f>
        <v>0</v>
      </c>
      <c r="AU35" s="171">
        <f>$J35*Index!AT$17</f>
        <v>0</v>
      </c>
      <c r="AV35" s="171">
        <f>$J35*Index!AU$17</f>
        <v>0</v>
      </c>
      <c r="AW35" s="171">
        <f>$J35*Index!AV$17</f>
        <v>0</v>
      </c>
      <c r="AX35" s="171">
        <f>$J35*Index!AW$17</f>
        <v>0</v>
      </c>
      <c r="AY35" s="171">
        <f>$J35*Index!AX$17</f>
        <v>0</v>
      </c>
      <c r="AZ35" s="171">
        <f>$J35*Index!AY$17</f>
        <v>0</v>
      </c>
      <c r="BA35" s="171">
        <f>$J35*Index!AZ$17</f>
        <v>0</v>
      </c>
      <c r="BB35" s="171">
        <f>$J35*Index!BA$17</f>
        <v>0</v>
      </c>
      <c r="BC35" s="171">
        <f>$J35*Index!BB$17</f>
        <v>0</v>
      </c>
      <c r="BD35" s="171">
        <f>$J35*Index!BC$17</f>
        <v>0</v>
      </c>
      <c r="BE35" s="171">
        <f>$J35*Index!BD$17</f>
        <v>0</v>
      </c>
      <c r="BF35" s="171">
        <f>$J35*Index!BE$17</f>
        <v>0</v>
      </c>
      <c r="BG35" s="171">
        <f>$J35*Index!BF$17</f>
        <v>0</v>
      </c>
      <c r="BH35" s="171">
        <f>$J35*Index!BG$17</f>
        <v>0</v>
      </c>
      <c r="BI35" s="171">
        <f>$J35*Index!BH$17</f>
        <v>0</v>
      </c>
      <c r="BJ35" s="171">
        <f>$J35*Index!BI$17</f>
        <v>0</v>
      </c>
      <c r="BK35" s="171">
        <f>$J35*Index!BJ$17</f>
        <v>0</v>
      </c>
      <c r="BL35" s="171">
        <f>$J35*Index!BK$17</f>
        <v>0</v>
      </c>
      <c r="BM35" s="171">
        <f>$J35*Index!BL$17</f>
        <v>0</v>
      </c>
      <c r="BN35" s="171">
        <f>$J35*Index!BM$17</f>
        <v>0</v>
      </c>
      <c r="BO35" s="171">
        <f>$J35*Index!BN$17</f>
        <v>0</v>
      </c>
      <c r="BP35" s="171">
        <f>$J35*Index!BO$17</f>
        <v>0</v>
      </c>
      <c r="BQ35" s="171">
        <f>$J35*Index!BP$17</f>
        <v>0</v>
      </c>
      <c r="BR35" s="171">
        <f>$J35*Index!BQ$17</f>
        <v>0</v>
      </c>
      <c r="BS35" s="171">
        <f>$J35*Index!BR$17</f>
        <v>0</v>
      </c>
      <c r="BT35" s="171">
        <f>$J35*Index!BS$17</f>
        <v>0</v>
      </c>
      <c r="BU35" s="171">
        <f>$J35*Index!BT$17</f>
        <v>0</v>
      </c>
      <c r="BV35" s="171">
        <f>$J35*Index!BU$17</f>
        <v>0</v>
      </c>
      <c r="BW35" s="171">
        <f>$J35*Index!BV$17</f>
        <v>0</v>
      </c>
      <c r="BX35" s="171">
        <f>$J35*Index!BW$17</f>
        <v>0</v>
      </c>
      <c r="BY35" s="171">
        <f>$J35*Index!BX$17</f>
        <v>0</v>
      </c>
      <c r="BZ35" s="171">
        <f>$J35*Index!BY$17</f>
        <v>0</v>
      </c>
      <c r="CA35" s="171">
        <f>$J35*Index!BZ$17</f>
        <v>0</v>
      </c>
      <c r="CB35" s="171">
        <f>$J35*Index!CA$17</f>
        <v>0</v>
      </c>
      <c r="CC35" s="171">
        <f>$J35*Index!CB$17</f>
        <v>0</v>
      </c>
      <c r="CD35" s="171">
        <f>$J35*Index!CC$17</f>
        <v>0</v>
      </c>
      <c r="CE35" s="171">
        <f>$J35*Index!CD$17</f>
        <v>0</v>
      </c>
      <c r="CF35" s="171">
        <f>$J35*Index!CE$17</f>
        <v>0</v>
      </c>
      <c r="CG35" s="171">
        <f>$J35*Index!CF$17</f>
        <v>0</v>
      </c>
      <c r="CH35" s="171">
        <f>$J35*Index!CG$17</f>
        <v>0</v>
      </c>
      <c r="CI35" s="171">
        <f>$J35*Index!CH$17</f>
        <v>0</v>
      </c>
      <c r="CJ35" s="171">
        <f>$J35*Index!CI$17</f>
        <v>0</v>
      </c>
      <c r="CK35" s="171">
        <f>$J35*Index!CJ$17</f>
        <v>0</v>
      </c>
      <c r="CL35" s="171">
        <f>$J35*Index!CK$17</f>
        <v>0</v>
      </c>
      <c r="CM35" s="171">
        <f>$J35*Index!CL$17</f>
        <v>0</v>
      </c>
      <c r="CN35" s="171">
        <f>$J35*Index!CM$17</f>
        <v>0</v>
      </c>
      <c r="CO35" s="171">
        <f>$J35*Index!CN$17</f>
        <v>0</v>
      </c>
      <c r="CP35" s="171">
        <f>$J35*Index!CO$17</f>
        <v>0</v>
      </c>
      <c r="CQ35" s="171">
        <f>$J35*Index!CP$17</f>
        <v>0</v>
      </c>
      <c r="CR35" s="171">
        <f>$J35*Index!CQ$17</f>
        <v>0</v>
      </c>
      <c r="CS35" s="171">
        <f>$J35*Index!CR$17</f>
        <v>0</v>
      </c>
      <c r="CT35" s="171">
        <f>$J35*Index!CS$17</f>
        <v>0</v>
      </c>
      <c r="CU35" s="171">
        <f>$J35*Index!CT$17</f>
        <v>0</v>
      </c>
      <c r="CV35" s="171">
        <f>$J35*Index!CU$17</f>
        <v>0</v>
      </c>
      <c r="CW35" s="171">
        <f>$J35*Index!CV$17</f>
        <v>0</v>
      </c>
      <c r="CX35" s="171">
        <f>$J35*Index!CW$17</f>
        <v>0</v>
      </c>
      <c r="CY35" s="171">
        <f>$J35*Index!CX$17</f>
        <v>0</v>
      </c>
      <c r="CZ35" s="171">
        <f>$J35*Index!CY$17</f>
        <v>0</v>
      </c>
      <c r="DA35" s="171">
        <f>$J35*Index!CZ$17</f>
        <v>0</v>
      </c>
      <c r="DB35" s="171">
        <f>$J35*Index!DA$17</f>
        <v>0</v>
      </c>
      <c r="DC35" s="171">
        <f>$J35*Index!DB$17</f>
        <v>0</v>
      </c>
      <c r="DD35" s="171">
        <f>$J35*Index!DC$17</f>
        <v>0</v>
      </c>
      <c r="DE35" s="171">
        <f>$J35*Index!DD$17</f>
        <v>0</v>
      </c>
      <c r="DF35" s="171">
        <f>$J35*Index!DE$17</f>
        <v>0</v>
      </c>
      <c r="DG35" s="171">
        <f>$J35*Index!DF$17</f>
        <v>0</v>
      </c>
      <c r="DH35" s="171">
        <f>$J35*Index!DG$17</f>
        <v>0</v>
      </c>
      <c r="DI35" s="171">
        <f>$J35*Index!DH$17</f>
        <v>0</v>
      </c>
      <c r="DJ35" s="171">
        <f>$J35*Index!DI$17</f>
        <v>0</v>
      </c>
      <c r="DK35" s="171">
        <f>$J35*Index!DJ$17</f>
        <v>0</v>
      </c>
      <c r="DL35" s="171">
        <f>$J35*Index!DK$17</f>
        <v>0</v>
      </c>
      <c r="DM35" s="171">
        <f>$J35*Index!DL$17</f>
        <v>0</v>
      </c>
      <c r="DN35" s="171">
        <f>$J35*Index!DM$17</f>
        <v>0</v>
      </c>
      <c r="DO35" s="171">
        <f>$J35*Index!DN$17</f>
        <v>0</v>
      </c>
      <c r="DP35" s="171">
        <f>$J35*Index!DO$17</f>
        <v>0</v>
      </c>
      <c r="DQ35" s="171">
        <f>$J35*Index!DP$17</f>
        <v>0</v>
      </c>
      <c r="DR35" s="171">
        <f>$J35*Index!DQ$17</f>
        <v>0</v>
      </c>
      <c r="DS35" s="171">
        <f>$J35*Index!DR$17</f>
        <v>0</v>
      </c>
      <c r="DT35" s="171">
        <f>$J35*Index!DS$17</f>
        <v>0</v>
      </c>
      <c r="DU35" s="171">
        <f>$J35*Index!DT$17</f>
        <v>0</v>
      </c>
      <c r="DV35" s="171">
        <f>$J35*Index!DU$17</f>
        <v>0</v>
      </c>
      <c r="DW35" s="171">
        <f>$J35*Index!DV$17</f>
        <v>0</v>
      </c>
      <c r="DX35" s="171">
        <f>$J35*Index!DW$17</f>
        <v>0</v>
      </c>
      <c r="DY35" s="171">
        <f>$J35*Index!DX$17</f>
        <v>0</v>
      </c>
      <c r="DZ35" s="171">
        <f>$J35*Index!DY$17</f>
        <v>0</v>
      </c>
      <c r="EA35" s="171">
        <f>$J35*Index!DZ$17</f>
        <v>0</v>
      </c>
      <c r="EB35" s="171">
        <f>$J35*Index!EA$17</f>
        <v>0</v>
      </c>
      <c r="EC35" s="171">
        <f>$J35*Index!EB$17</f>
        <v>0</v>
      </c>
      <c r="ED35" s="171">
        <f>$J35*Index!EC$17</f>
        <v>0</v>
      </c>
      <c r="EE35" s="171">
        <f>$J35*Index!ED$17</f>
        <v>0</v>
      </c>
      <c r="EF35" s="171">
        <f>$J35*Index!EE$17</f>
        <v>0</v>
      </c>
      <c r="EG35" s="171">
        <f>$J35*Index!EF$17</f>
        <v>0</v>
      </c>
      <c r="EH35" s="171">
        <f>$J35*Index!EG$17</f>
        <v>0</v>
      </c>
      <c r="EI35" s="171">
        <f>$J35*Index!EH$17</f>
        <v>0</v>
      </c>
      <c r="EJ35" s="171">
        <f>$J35*Index!EI$17</f>
        <v>0</v>
      </c>
      <c r="EK35" s="171">
        <f>$J35*Index!EJ$17</f>
        <v>0</v>
      </c>
      <c r="EL35" s="171">
        <f>$J35*Index!EK$17</f>
        <v>0</v>
      </c>
      <c r="EM35" s="171">
        <f>$J35*Index!EL$17</f>
        <v>0</v>
      </c>
      <c r="EN35" s="171">
        <f>$J35*Index!EM$17</f>
        <v>0</v>
      </c>
      <c r="EO35" s="171">
        <f>$J35*Index!EN$17</f>
        <v>0</v>
      </c>
      <c r="EP35" s="171">
        <f>$J35*Index!EO$17</f>
        <v>0</v>
      </c>
      <c r="EQ35" s="171">
        <f>$J35*Index!EP$17</f>
        <v>0</v>
      </c>
      <c r="ER35" s="171">
        <f>$J35*Index!EQ$17</f>
        <v>0</v>
      </c>
    </row>
    <row r="36" spans="3:148">
      <c r="C36" s="163"/>
      <c r="D36" s="169" t="s">
        <v>177</v>
      </c>
      <c r="F36" s="853">
        <f>ROUNDUP(SUM(J15,J18,J20,J27,J32,J35),-5)+500000</f>
        <v>289200000</v>
      </c>
      <c r="G36" s="30" t="s">
        <v>509</v>
      </c>
      <c r="H36" s="13">
        <f>SUM(J15,J18,J20,J27,J32,J35)</f>
        <v>288654615.22513205</v>
      </c>
      <c r="I36" s="13">
        <f>F36-H36+100000-400000</f>
        <v>245384.77486795187</v>
      </c>
      <c r="J36" s="821">
        <v>245384.77486795187</v>
      </c>
      <c r="K36" s="170">
        <f>SUM(M36:ER36)</f>
        <v>245384.77486795187</v>
      </c>
      <c r="L36" s="98"/>
      <c r="M36" s="171">
        <f>$J36*Index!L$17</f>
        <v>245384.77486795187</v>
      </c>
      <c r="N36" s="171">
        <f>$J36*Index!M$17</f>
        <v>0</v>
      </c>
      <c r="O36" s="171">
        <f>$J36*Index!N$17</f>
        <v>0</v>
      </c>
      <c r="P36" s="171">
        <f>$J36*Index!O$17</f>
        <v>0</v>
      </c>
      <c r="Q36" s="171">
        <f>$J36*Index!P$17</f>
        <v>0</v>
      </c>
      <c r="R36" s="171">
        <f>$J36*Index!Q$17</f>
        <v>0</v>
      </c>
      <c r="S36" s="171">
        <f>$J36*Index!R$17</f>
        <v>0</v>
      </c>
      <c r="T36" s="171">
        <f>$J36*Index!S$17</f>
        <v>0</v>
      </c>
      <c r="U36" s="171">
        <f>$J36*Index!T$17</f>
        <v>0</v>
      </c>
      <c r="V36" s="171">
        <f>$J36*Index!U$17</f>
        <v>0</v>
      </c>
      <c r="W36" s="171">
        <f>$J36*Index!V$17</f>
        <v>0</v>
      </c>
      <c r="X36" s="171">
        <f>$J36*Index!W$17</f>
        <v>0</v>
      </c>
      <c r="Y36" s="171">
        <f>$J36*Index!X$17</f>
        <v>0</v>
      </c>
      <c r="Z36" s="171">
        <f>$J36*Index!Y$17</f>
        <v>0</v>
      </c>
      <c r="AA36" s="171">
        <f>$J36*Index!Z$17</f>
        <v>0</v>
      </c>
      <c r="AB36" s="171">
        <f>$J36*Index!AA$17</f>
        <v>0</v>
      </c>
      <c r="AC36" s="171">
        <f>$J36*Index!AB$17</f>
        <v>0</v>
      </c>
      <c r="AD36" s="171">
        <f>$J36*Index!AC$17</f>
        <v>0</v>
      </c>
      <c r="AE36" s="171">
        <f>$J36*Index!AD$17</f>
        <v>0</v>
      </c>
      <c r="AF36" s="171">
        <f>$J36*Index!AE$17</f>
        <v>0</v>
      </c>
      <c r="AG36" s="171">
        <f>$J36*Index!AF$17</f>
        <v>0</v>
      </c>
      <c r="AH36" s="171">
        <f>$J36*Index!AG$17</f>
        <v>0</v>
      </c>
      <c r="AI36" s="171">
        <f>$J36*Index!AH$17</f>
        <v>0</v>
      </c>
      <c r="AJ36" s="171">
        <f>$J36*Index!AI$17</f>
        <v>0</v>
      </c>
      <c r="AK36" s="171">
        <f>$J36*Index!AJ$17</f>
        <v>0</v>
      </c>
      <c r="AL36" s="171">
        <f>$J36*Index!AK$17</f>
        <v>0</v>
      </c>
      <c r="AM36" s="171">
        <f>$J36*Index!AL$17</f>
        <v>0</v>
      </c>
      <c r="AN36" s="171">
        <f>$J36*Index!AM$17</f>
        <v>0</v>
      </c>
      <c r="AO36" s="171">
        <f>$J36*Index!AN$17</f>
        <v>0</v>
      </c>
      <c r="AP36" s="171">
        <f>$J36*Index!AO$17</f>
        <v>0</v>
      </c>
      <c r="AQ36" s="171">
        <f>$J36*Index!AP$17</f>
        <v>0</v>
      </c>
      <c r="AR36" s="171">
        <f>$J36*Index!AQ$17</f>
        <v>0</v>
      </c>
      <c r="AS36" s="171">
        <f>$J36*Index!AR$17</f>
        <v>0</v>
      </c>
      <c r="AT36" s="171">
        <f>$J36*Index!AS$17</f>
        <v>0</v>
      </c>
      <c r="AU36" s="171">
        <f>$J36*Index!AT$17</f>
        <v>0</v>
      </c>
      <c r="AV36" s="171">
        <f>$J36*Index!AU$17</f>
        <v>0</v>
      </c>
      <c r="AW36" s="171">
        <f>$J36*Index!AV$17</f>
        <v>0</v>
      </c>
      <c r="AX36" s="171">
        <f>$J36*Index!AW$17</f>
        <v>0</v>
      </c>
      <c r="AY36" s="171">
        <f>$J36*Index!AX$17</f>
        <v>0</v>
      </c>
      <c r="AZ36" s="171">
        <f>$J36*Index!AY$17</f>
        <v>0</v>
      </c>
      <c r="BA36" s="171">
        <f>$J36*Index!AZ$17</f>
        <v>0</v>
      </c>
      <c r="BB36" s="171">
        <f>$J36*Index!BA$17</f>
        <v>0</v>
      </c>
      <c r="BC36" s="171">
        <f>$J36*Index!BB$17</f>
        <v>0</v>
      </c>
      <c r="BD36" s="171">
        <f>$J36*Index!BC$17</f>
        <v>0</v>
      </c>
      <c r="BE36" s="171">
        <f>$J36*Index!BD$17</f>
        <v>0</v>
      </c>
      <c r="BF36" s="171">
        <f>$J36*Index!BE$17</f>
        <v>0</v>
      </c>
      <c r="BG36" s="171">
        <f>$J36*Index!BF$17</f>
        <v>0</v>
      </c>
      <c r="BH36" s="171">
        <f>$J36*Index!BG$17</f>
        <v>0</v>
      </c>
      <c r="BI36" s="171">
        <f>$J36*Index!BH$17</f>
        <v>0</v>
      </c>
      <c r="BJ36" s="171">
        <f>$J36*Index!BI$17</f>
        <v>0</v>
      </c>
      <c r="BK36" s="171">
        <f>$J36*Index!BJ$17</f>
        <v>0</v>
      </c>
      <c r="BL36" s="171">
        <f>$J36*Index!BK$17</f>
        <v>0</v>
      </c>
      <c r="BM36" s="171">
        <f>$J36*Index!BL$17</f>
        <v>0</v>
      </c>
      <c r="BN36" s="171">
        <f>$J36*Index!BM$17</f>
        <v>0</v>
      </c>
      <c r="BO36" s="171">
        <f>$J36*Index!BN$17</f>
        <v>0</v>
      </c>
      <c r="BP36" s="171">
        <f>$J36*Index!BO$17</f>
        <v>0</v>
      </c>
      <c r="BQ36" s="171">
        <f>$J36*Index!BP$17</f>
        <v>0</v>
      </c>
      <c r="BR36" s="171">
        <f>$J36*Index!BQ$17</f>
        <v>0</v>
      </c>
      <c r="BS36" s="171">
        <f>$J36*Index!BR$17</f>
        <v>0</v>
      </c>
      <c r="BT36" s="171">
        <f>$J36*Index!BS$17</f>
        <v>0</v>
      </c>
      <c r="BU36" s="171">
        <f>$J36*Index!BT$17</f>
        <v>0</v>
      </c>
      <c r="BV36" s="171">
        <f>$J36*Index!BU$17</f>
        <v>0</v>
      </c>
      <c r="BW36" s="171">
        <f>$J36*Index!BV$17</f>
        <v>0</v>
      </c>
      <c r="BX36" s="171">
        <f>$J36*Index!BW$17</f>
        <v>0</v>
      </c>
      <c r="BY36" s="171">
        <f>$J36*Index!BX$17</f>
        <v>0</v>
      </c>
      <c r="BZ36" s="171">
        <f>$J36*Index!BY$17</f>
        <v>0</v>
      </c>
      <c r="CA36" s="171">
        <f>$J36*Index!BZ$17</f>
        <v>0</v>
      </c>
      <c r="CB36" s="171">
        <f>$J36*Index!CA$17</f>
        <v>0</v>
      </c>
      <c r="CC36" s="171">
        <f>$J36*Index!CB$17</f>
        <v>0</v>
      </c>
      <c r="CD36" s="171">
        <f>$J36*Index!CC$17</f>
        <v>0</v>
      </c>
      <c r="CE36" s="171">
        <f>$J36*Index!CD$17</f>
        <v>0</v>
      </c>
      <c r="CF36" s="171">
        <f>$J36*Index!CE$17</f>
        <v>0</v>
      </c>
      <c r="CG36" s="171">
        <f>$J36*Index!CF$17</f>
        <v>0</v>
      </c>
      <c r="CH36" s="171">
        <f>$J36*Index!CG$17</f>
        <v>0</v>
      </c>
      <c r="CI36" s="171">
        <f>$J36*Index!CH$17</f>
        <v>0</v>
      </c>
      <c r="CJ36" s="171">
        <f>$J36*Index!CI$17</f>
        <v>0</v>
      </c>
      <c r="CK36" s="171">
        <f>$J36*Index!CJ$17</f>
        <v>0</v>
      </c>
      <c r="CL36" s="171">
        <f>$J36*Index!CK$17</f>
        <v>0</v>
      </c>
      <c r="CM36" s="171">
        <f>$J36*Index!CL$17</f>
        <v>0</v>
      </c>
      <c r="CN36" s="171">
        <f>$J36*Index!CM$17</f>
        <v>0</v>
      </c>
      <c r="CO36" s="171">
        <f>$J36*Index!CN$17</f>
        <v>0</v>
      </c>
      <c r="CP36" s="171">
        <f>$J36*Index!CO$17</f>
        <v>0</v>
      </c>
      <c r="CQ36" s="171">
        <f>$J36*Index!CP$17</f>
        <v>0</v>
      </c>
      <c r="CR36" s="171">
        <f>$J36*Index!CQ$17</f>
        <v>0</v>
      </c>
      <c r="CS36" s="171">
        <f>$J36*Index!CR$17</f>
        <v>0</v>
      </c>
      <c r="CT36" s="171">
        <f>$J36*Index!CS$17</f>
        <v>0</v>
      </c>
      <c r="CU36" s="171">
        <f>$J36*Index!CT$17</f>
        <v>0</v>
      </c>
      <c r="CV36" s="171">
        <f>$J36*Index!CU$17</f>
        <v>0</v>
      </c>
      <c r="CW36" s="171">
        <f>$J36*Index!CV$17</f>
        <v>0</v>
      </c>
      <c r="CX36" s="171">
        <f>$J36*Index!CW$17</f>
        <v>0</v>
      </c>
      <c r="CY36" s="171">
        <f>$J36*Index!CX$17</f>
        <v>0</v>
      </c>
      <c r="CZ36" s="171">
        <f>$J36*Index!CY$17</f>
        <v>0</v>
      </c>
      <c r="DA36" s="171">
        <f>$J36*Index!CZ$17</f>
        <v>0</v>
      </c>
      <c r="DB36" s="171">
        <f>$J36*Index!DA$17</f>
        <v>0</v>
      </c>
      <c r="DC36" s="171">
        <f>$J36*Index!DB$17</f>
        <v>0</v>
      </c>
      <c r="DD36" s="171">
        <f>$J36*Index!DC$17</f>
        <v>0</v>
      </c>
      <c r="DE36" s="171">
        <f>$J36*Index!DD$17</f>
        <v>0</v>
      </c>
      <c r="DF36" s="171">
        <f>$J36*Index!DE$17</f>
        <v>0</v>
      </c>
      <c r="DG36" s="171">
        <f>$J36*Index!DF$17</f>
        <v>0</v>
      </c>
      <c r="DH36" s="171">
        <f>$J36*Index!DG$17</f>
        <v>0</v>
      </c>
      <c r="DI36" s="171">
        <f>$J36*Index!DH$17</f>
        <v>0</v>
      </c>
      <c r="DJ36" s="171">
        <f>$J36*Index!DI$17</f>
        <v>0</v>
      </c>
      <c r="DK36" s="171">
        <f>$J36*Index!DJ$17</f>
        <v>0</v>
      </c>
      <c r="DL36" s="171">
        <f>$J36*Index!DK$17</f>
        <v>0</v>
      </c>
      <c r="DM36" s="171">
        <f>$J36*Index!DL$17</f>
        <v>0</v>
      </c>
      <c r="DN36" s="171">
        <f>$J36*Index!DM$17</f>
        <v>0</v>
      </c>
      <c r="DO36" s="171">
        <f>$J36*Index!DN$17</f>
        <v>0</v>
      </c>
      <c r="DP36" s="171">
        <f>$J36*Index!DO$17</f>
        <v>0</v>
      </c>
      <c r="DQ36" s="171">
        <f>$J36*Index!DP$17</f>
        <v>0</v>
      </c>
      <c r="DR36" s="171">
        <f>$J36*Index!DQ$17</f>
        <v>0</v>
      </c>
      <c r="DS36" s="171">
        <f>$J36*Index!DR$17</f>
        <v>0</v>
      </c>
      <c r="DT36" s="171">
        <f>$J36*Index!DS$17</f>
        <v>0</v>
      </c>
      <c r="DU36" s="171">
        <f>$J36*Index!DT$17</f>
        <v>0</v>
      </c>
      <c r="DV36" s="171">
        <f>$J36*Index!DU$17</f>
        <v>0</v>
      </c>
      <c r="DW36" s="171">
        <f>$J36*Index!DV$17</f>
        <v>0</v>
      </c>
      <c r="DX36" s="171">
        <f>$J36*Index!DW$17</f>
        <v>0</v>
      </c>
      <c r="DY36" s="171">
        <f>$J36*Index!DX$17</f>
        <v>0</v>
      </c>
      <c r="DZ36" s="171">
        <f>$J36*Index!DY$17</f>
        <v>0</v>
      </c>
      <c r="EA36" s="171">
        <f>$J36*Index!DZ$17</f>
        <v>0</v>
      </c>
      <c r="EB36" s="171">
        <f>$J36*Index!EA$17</f>
        <v>0</v>
      </c>
      <c r="EC36" s="171">
        <f>$J36*Index!EB$17</f>
        <v>0</v>
      </c>
      <c r="ED36" s="171">
        <f>$J36*Index!EC$17</f>
        <v>0</v>
      </c>
      <c r="EE36" s="171">
        <f>$J36*Index!ED$17</f>
        <v>0</v>
      </c>
      <c r="EF36" s="171">
        <f>$J36*Index!EE$17</f>
        <v>0</v>
      </c>
      <c r="EG36" s="171">
        <f>$J36*Index!EF$17</f>
        <v>0</v>
      </c>
      <c r="EH36" s="171">
        <f>$J36*Index!EG$17</f>
        <v>0</v>
      </c>
      <c r="EI36" s="171">
        <f>$J36*Index!EH$17</f>
        <v>0</v>
      </c>
      <c r="EJ36" s="171">
        <f>$J36*Index!EI$17</f>
        <v>0</v>
      </c>
      <c r="EK36" s="171">
        <f>$J36*Index!EJ$17</f>
        <v>0</v>
      </c>
      <c r="EL36" s="171">
        <f>$J36*Index!EK$17</f>
        <v>0</v>
      </c>
      <c r="EM36" s="171">
        <f>$J36*Index!EL$17</f>
        <v>0</v>
      </c>
      <c r="EN36" s="171">
        <f>$J36*Index!EM$17</f>
        <v>0</v>
      </c>
      <c r="EO36" s="171">
        <f>$J36*Index!EN$17</f>
        <v>0</v>
      </c>
      <c r="EP36" s="171">
        <f>$J36*Index!EO$17</f>
        <v>0</v>
      </c>
      <c r="EQ36" s="171">
        <f>$J36*Index!EP$17</f>
        <v>0</v>
      </c>
      <c r="ER36" s="171">
        <f>$J36*Index!EQ$17</f>
        <v>0</v>
      </c>
    </row>
    <row r="37" spans="3:148">
      <c r="C37" s="202" t="s">
        <v>82</v>
      </c>
      <c r="D37" s="203"/>
      <c r="E37" s="203"/>
      <c r="F37" s="204"/>
      <c r="G37" s="203"/>
      <c r="H37" s="203"/>
      <c r="I37" s="205"/>
      <c r="J37" s="826">
        <f>SUM(J15,J18,J20,J27,J32,J34)</f>
        <v>288900000</v>
      </c>
      <c r="K37" s="206">
        <f>SUM(K15,K18,K20,K27,K32,K34)</f>
        <v>288900000</v>
      </c>
      <c r="L37" s="98"/>
      <c r="M37" s="207">
        <f t="shared" ref="M37:S37" si="23">SUM(M15,M18,M20,M27,M32,M34)</f>
        <v>288900000</v>
      </c>
      <c r="N37" s="207">
        <f t="shared" si="23"/>
        <v>0</v>
      </c>
      <c r="O37" s="207">
        <f t="shared" si="23"/>
        <v>0</v>
      </c>
      <c r="P37" s="207">
        <f t="shared" si="23"/>
        <v>0</v>
      </c>
      <c r="Q37" s="207">
        <f t="shared" si="23"/>
        <v>0</v>
      </c>
      <c r="R37" s="207">
        <f t="shared" si="23"/>
        <v>0</v>
      </c>
      <c r="S37" s="207">
        <f t="shared" si="23"/>
        <v>0</v>
      </c>
      <c r="T37" s="207">
        <f t="shared" ref="T37:CE37" si="24">SUM(T15,T18,T20,T27,T32,T34)</f>
        <v>0</v>
      </c>
      <c r="U37" s="207">
        <f t="shared" si="24"/>
        <v>0</v>
      </c>
      <c r="V37" s="207">
        <f t="shared" si="24"/>
        <v>0</v>
      </c>
      <c r="W37" s="207">
        <f t="shared" si="24"/>
        <v>0</v>
      </c>
      <c r="X37" s="207">
        <f t="shared" si="24"/>
        <v>0</v>
      </c>
      <c r="Y37" s="207">
        <f t="shared" si="24"/>
        <v>0</v>
      </c>
      <c r="Z37" s="207">
        <f t="shared" si="24"/>
        <v>0</v>
      </c>
      <c r="AA37" s="207">
        <f t="shared" si="24"/>
        <v>0</v>
      </c>
      <c r="AB37" s="207">
        <f t="shared" si="24"/>
        <v>0</v>
      </c>
      <c r="AC37" s="207">
        <f t="shared" si="24"/>
        <v>0</v>
      </c>
      <c r="AD37" s="207">
        <f t="shared" si="24"/>
        <v>0</v>
      </c>
      <c r="AE37" s="207">
        <f t="shared" si="24"/>
        <v>0</v>
      </c>
      <c r="AF37" s="207">
        <f t="shared" si="24"/>
        <v>0</v>
      </c>
      <c r="AG37" s="207">
        <f t="shared" si="24"/>
        <v>0</v>
      </c>
      <c r="AH37" s="207">
        <f t="shared" si="24"/>
        <v>0</v>
      </c>
      <c r="AI37" s="207">
        <f t="shared" si="24"/>
        <v>0</v>
      </c>
      <c r="AJ37" s="207">
        <f t="shared" si="24"/>
        <v>0</v>
      </c>
      <c r="AK37" s="207">
        <f t="shared" si="24"/>
        <v>0</v>
      </c>
      <c r="AL37" s="207">
        <f t="shared" si="24"/>
        <v>0</v>
      </c>
      <c r="AM37" s="207">
        <f t="shared" si="24"/>
        <v>0</v>
      </c>
      <c r="AN37" s="207">
        <f t="shared" si="24"/>
        <v>0</v>
      </c>
      <c r="AO37" s="207">
        <f t="shared" si="24"/>
        <v>0</v>
      </c>
      <c r="AP37" s="207">
        <f t="shared" si="24"/>
        <v>0</v>
      </c>
      <c r="AQ37" s="207">
        <f t="shared" si="24"/>
        <v>0</v>
      </c>
      <c r="AR37" s="207">
        <f t="shared" si="24"/>
        <v>0</v>
      </c>
      <c r="AS37" s="207">
        <f t="shared" si="24"/>
        <v>0</v>
      </c>
      <c r="AT37" s="207">
        <f t="shared" si="24"/>
        <v>0</v>
      </c>
      <c r="AU37" s="207">
        <f t="shared" si="24"/>
        <v>0</v>
      </c>
      <c r="AV37" s="207">
        <f t="shared" si="24"/>
        <v>0</v>
      </c>
      <c r="AW37" s="207">
        <f t="shared" si="24"/>
        <v>0</v>
      </c>
      <c r="AX37" s="207">
        <f t="shared" si="24"/>
        <v>0</v>
      </c>
      <c r="AY37" s="207">
        <f t="shared" si="24"/>
        <v>0</v>
      </c>
      <c r="AZ37" s="207">
        <f t="shared" si="24"/>
        <v>0</v>
      </c>
      <c r="BA37" s="207">
        <f t="shared" si="24"/>
        <v>0</v>
      </c>
      <c r="BB37" s="207">
        <f t="shared" si="24"/>
        <v>0</v>
      </c>
      <c r="BC37" s="207">
        <f t="shared" si="24"/>
        <v>0</v>
      </c>
      <c r="BD37" s="207">
        <f t="shared" si="24"/>
        <v>0</v>
      </c>
      <c r="BE37" s="207">
        <f t="shared" si="24"/>
        <v>0</v>
      </c>
      <c r="BF37" s="207">
        <f t="shared" si="24"/>
        <v>0</v>
      </c>
      <c r="BG37" s="207">
        <f t="shared" si="24"/>
        <v>0</v>
      </c>
      <c r="BH37" s="207">
        <f t="shared" si="24"/>
        <v>0</v>
      </c>
      <c r="BI37" s="207">
        <f t="shared" si="24"/>
        <v>0</v>
      </c>
      <c r="BJ37" s="207">
        <f t="shared" si="24"/>
        <v>0</v>
      </c>
      <c r="BK37" s="207">
        <f t="shared" si="24"/>
        <v>0</v>
      </c>
      <c r="BL37" s="207">
        <f t="shared" si="24"/>
        <v>0</v>
      </c>
      <c r="BM37" s="207">
        <f t="shared" si="24"/>
        <v>0</v>
      </c>
      <c r="BN37" s="207">
        <f t="shared" si="24"/>
        <v>0</v>
      </c>
      <c r="BO37" s="207">
        <f t="shared" si="24"/>
        <v>0</v>
      </c>
      <c r="BP37" s="207">
        <f t="shared" si="24"/>
        <v>0</v>
      </c>
      <c r="BQ37" s="207">
        <f t="shared" si="24"/>
        <v>0</v>
      </c>
      <c r="BR37" s="207">
        <f t="shared" si="24"/>
        <v>0</v>
      </c>
      <c r="BS37" s="207">
        <f t="shared" si="24"/>
        <v>0</v>
      </c>
      <c r="BT37" s="207">
        <f t="shared" si="24"/>
        <v>0</v>
      </c>
      <c r="BU37" s="207">
        <f t="shared" si="24"/>
        <v>0</v>
      </c>
      <c r="BV37" s="207">
        <f t="shared" si="24"/>
        <v>0</v>
      </c>
      <c r="BW37" s="207">
        <f t="shared" si="24"/>
        <v>0</v>
      </c>
      <c r="BX37" s="207">
        <f t="shared" si="24"/>
        <v>0</v>
      </c>
      <c r="BY37" s="207">
        <f t="shared" si="24"/>
        <v>0</v>
      </c>
      <c r="BZ37" s="207">
        <f t="shared" si="24"/>
        <v>0</v>
      </c>
      <c r="CA37" s="207">
        <f t="shared" si="24"/>
        <v>0</v>
      </c>
      <c r="CB37" s="207">
        <f t="shared" si="24"/>
        <v>0</v>
      </c>
      <c r="CC37" s="207">
        <f t="shared" si="24"/>
        <v>0</v>
      </c>
      <c r="CD37" s="207">
        <f t="shared" si="24"/>
        <v>0</v>
      </c>
      <c r="CE37" s="207">
        <f t="shared" si="24"/>
        <v>0</v>
      </c>
      <c r="CF37" s="207">
        <f t="shared" ref="CF37:EQ37" si="25">SUM(CF15,CF18,CF20,CF27,CF32,CF34)</f>
        <v>0</v>
      </c>
      <c r="CG37" s="207">
        <f t="shared" si="25"/>
        <v>0</v>
      </c>
      <c r="CH37" s="207">
        <f t="shared" si="25"/>
        <v>0</v>
      </c>
      <c r="CI37" s="207">
        <f t="shared" si="25"/>
        <v>0</v>
      </c>
      <c r="CJ37" s="207">
        <f t="shared" si="25"/>
        <v>0</v>
      </c>
      <c r="CK37" s="207">
        <f t="shared" si="25"/>
        <v>0</v>
      </c>
      <c r="CL37" s="207">
        <f t="shared" si="25"/>
        <v>0</v>
      </c>
      <c r="CM37" s="207">
        <f t="shared" si="25"/>
        <v>0</v>
      </c>
      <c r="CN37" s="207">
        <f t="shared" si="25"/>
        <v>0</v>
      </c>
      <c r="CO37" s="207">
        <f t="shared" si="25"/>
        <v>0</v>
      </c>
      <c r="CP37" s="207">
        <f t="shared" si="25"/>
        <v>0</v>
      </c>
      <c r="CQ37" s="207">
        <f t="shared" si="25"/>
        <v>0</v>
      </c>
      <c r="CR37" s="207">
        <f t="shared" si="25"/>
        <v>0</v>
      </c>
      <c r="CS37" s="207">
        <f t="shared" si="25"/>
        <v>0</v>
      </c>
      <c r="CT37" s="207">
        <f t="shared" si="25"/>
        <v>0</v>
      </c>
      <c r="CU37" s="207">
        <f t="shared" si="25"/>
        <v>0</v>
      </c>
      <c r="CV37" s="207">
        <f t="shared" si="25"/>
        <v>0</v>
      </c>
      <c r="CW37" s="207">
        <f t="shared" si="25"/>
        <v>0</v>
      </c>
      <c r="CX37" s="207">
        <f t="shared" si="25"/>
        <v>0</v>
      </c>
      <c r="CY37" s="207">
        <f t="shared" si="25"/>
        <v>0</v>
      </c>
      <c r="CZ37" s="207">
        <f t="shared" si="25"/>
        <v>0</v>
      </c>
      <c r="DA37" s="207">
        <f t="shared" si="25"/>
        <v>0</v>
      </c>
      <c r="DB37" s="207">
        <f t="shared" si="25"/>
        <v>0</v>
      </c>
      <c r="DC37" s="207">
        <f t="shared" si="25"/>
        <v>0</v>
      </c>
      <c r="DD37" s="207">
        <f t="shared" si="25"/>
        <v>0</v>
      </c>
      <c r="DE37" s="207">
        <f t="shared" si="25"/>
        <v>0</v>
      </c>
      <c r="DF37" s="207">
        <f t="shared" si="25"/>
        <v>0</v>
      </c>
      <c r="DG37" s="207">
        <f t="shared" si="25"/>
        <v>0</v>
      </c>
      <c r="DH37" s="207">
        <f t="shared" si="25"/>
        <v>0</v>
      </c>
      <c r="DI37" s="207">
        <f t="shared" si="25"/>
        <v>0</v>
      </c>
      <c r="DJ37" s="207">
        <f t="shared" si="25"/>
        <v>0</v>
      </c>
      <c r="DK37" s="207">
        <f t="shared" si="25"/>
        <v>0</v>
      </c>
      <c r="DL37" s="207">
        <f t="shared" si="25"/>
        <v>0</v>
      </c>
      <c r="DM37" s="207">
        <f t="shared" si="25"/>
        <v>0</v>
      </c>
      <c r="DN37" s="207">
        <f t="shared" si="25"/>
        <v>0</v>
      </c>
      <c r="DO37" s="207">
        <f t="shared" si="25"/>
        <v>0</v>
      </c>
      <c r="DP37" s="207">
        <f t="shared" si="25"/>
        <v>0</v>
      </c>
      <c r="DQ37" s="207">
        <f t="shared" si="25"/>
        <v>0</v>
      </c>
      <c r="DR37" s="207">
        <f t="shared" si="25"/>
        <v>0</v>
      </c>
      <c r="DS37" s="207">
        <f t="shared" si="25"/>
        <v>0</v>
      </c>
      <c r="DT37" s="207">
        <f t="shared" si="25"/>
        <v>0</v>
      </c>
      <c r="DU37" s="207">
        <f t="shared" si="25"/>
        <v>0</v>
      </c>
      <c r="DV37" s="207">
        <f t="shared" si="25"/>
        <v>0</v>
      </c>
      <c r="DW37" s="207">
        <f t="shared" si="25"/>
        <v>0</v>
      </c>
      <c r="DX37" s="207">
        <f t="shared" si="25"/>
        <v>0</v>
      </c>
      <c r="DY37" s="207">
        <f t="shared" si="25"/>
        <v>0</v>
      </c>
      <c r="DZ37" s="207">
        <f t="shared" si="25"/>
        <v>0</v>
      </c>
      <c r="EA37" s="207">
        <f t="shared" si="25"/>
        <v>0</v>
      </c>
      <c r="EB37" s="207">
        <f t="shared" si="25"/>
        <v>0</v>
      </c>
      <c r="EC37" s="207">
        <f t="shared" si="25"/>
        <v>0</v>
      </c>
      <c r="ED37" s="207">
        <f t="shared" si="25"/>
        <v>0</v>
      </c>
      <c r="EE37" s="207">
        <f t="shared" si="25"/>
        <v>0</v>
      </c>
      <c r="EF37" s="207">
        <f t="shared" si="25"/>
        <v>0</v>
      </c>
      <c r="EG37" s="207">
        <f t="shared" si="25"/>
        <v>0</v>
      </c>
      <c r="EH37" s="207">
        <f t="shared" si="25"/>
        <v>0</v>
      </c>
      <c r="EI37" s="207">
        <f t="shared" si="25"/>
        <v>0</v>
      </c>
      <c r="EJ37" s="207">
        <f t="shared" si="25"/>
        <v>0</v>
      </c>
      <c r="EK37" s="207">
        <f t="shared" si="25"/>
        <v>0</v>
      </c>
      <c r="EL37" s="207">
        <f t="shared" si="25"/>
        <v>0</v>
      </c>
      <c r="EM37" s="207">
        <f t="shared" si="25"/>
        <v>0</v>
      </c>
      <c r="EN37" s="207">
        <f t="shared" si="25"/>
        <v>0</v>
      </c>
      <c r="EO37" s="207">
        <f t="shared" si="25"/>
        <v>0</v>
      </c>
      <c r="EP37" s="207">
        <f t="shared" si="25"/>
        <v>0</v>
      </c>
      <c r="EQ37" s="207">
        <f t="shared" si="25"/>
        <v>0</v>
      </c>
      <c r="ER37" s="207">
        <f>SUM(ER15,ER18,ER20,ER27,ER32,ER34)</f>
        <v>0</v>
      </c>
    </row>
    <row r="38" spans="3:148" ht="11.25" customHeight="1">
      <c r="K38" s="5" t="b">
        <f>J37=K37</f>
        <v>1</v>
      </c>
    </row>
    <row r="39" spans="3:148" ht="11.25" customHeight="1">
      <c r="C39" s="1012" t="s">
        <v>648</v>
      </c>
    </row>
    <row r="40" spans="3:148" ht="11.25" customHeight="1"/>
    <row r="41" spans="3:148" ht="11.25" customHeight="1">
      <c r="C41" s="5" t="s">
        <v>24</v>
      </c>
      <c r="E41" s="270" t="s">
        <v>646</v>
      </c>
      <c r="F41" s="270" t="s">
        <v>647</v>
      </c>
      <c r="G41" s="270" t="s">
        <v>25</v>
      </c>
    </row>
    <row r="42" spans="3:148" ht="11.25" customHeight="1">
      <c r="C42" s="21" t="s">
        <v>645</v>
      </c>
      <c r="D42" s="21"/>
      <c r="E42" s="1148">
        <f>'A&amp;R'!P32</f>
        <v>160000000</v>
      </c>
      <c r="F42" s="1147">
        <f>'A&amp;R'!R32</f>
        <v>1.4500000000000001E-2</v>
      </c>
      <c r="G42" s="1148">
        <f>E42*F42</f>
        <v>2320000</v>
      </c>
      <c r="H42" s="90">
        <f>E42*0.2%</f>
        <v>320000</v>
      </c>
      <c r="I42" s="65"/>
    </row>
    <row r="43" spans="3:148" ht="11.25" customHeight="1">
      <c r="C43" s="2230" t="s">
        <v>1432</v>
      </c>
      <c r="D43" s="2230"/>
      <c r="E43" s="865">
        <f>'A&amp;R'!P35</f>
        <v>38000000</v>
      </c>
      <c r="F43" s="2231">
        <f>'A&amp;R'!R35</f>
        <v>0.01</v>
      </c>
      <c r="G43" s="865">
        <f>ROUNDUP(E43*F43,-4)</f>
        <v>380000</v>
      </c>
      <c r="H43" s="90"/>
    </row>
    <row r="44" spans="3:148" ht="11.25" customHeight="1">
      <c r="C44" s="5" t="s">
        <v>1081</v>
      </c>
      <c r="E44" s="90">
        <f>'A&amp;R'!P41</f>
        <v>24000000</v>
      </c>
      <c r="F44" s="65">
        <f>'A&amp;R'!U41</f>
        <v>0.02</v>
      </c>
      <c r="G44" s="90">
        <f>ROUNDUP(E44*F44,-4)</f>
        <v>480000</v>
      </c>
    </row>
    <row r="45" spans="3:148">
      <c r="C45" s="1310" t="s">
        <v>1082</v>
      </c>
      <c r="D45" s="1310"/>
      <c r="E45" s="2742">
        <f>'A&amp;R'!P42</f>
        <v>50000000</v>
      </c>
      <c r="F45" s="2743">
        <f>'A&amp;R'!U42</f>
        <v>0.02</v>
      </c>
      <c r="G45" s="2742">
        <v>1000000</v>
      </c>
    </row>
    <row r="46" spans="3:148">
      <c r="C46" s="2744" t="s">
        <v>19</v>
      </c>
      <c r="D46" s="2744"/>
      <c r="E46" s="2745">
        <f>'A&amp;R'!P44</f>
        <v>14800000</v>
      </c>
      <c r="F46" s="2746">
        <f>G46/E46</f>
        <v>1.3513513513513514E-2</v>
      </c>
      <c r="G46" s="2745">
        <v>200000</v>
      </c>
      <c r="H46" s="90"/>
      <c r="I46" s="90"/>
    </row>
    <row r="47" spans="3:148">
      <c r="C47" s="5" t="s">
        <v>649</v>
      </c>
      <c r="G47" s="90">
        <f>SUM(G42:G46)</f>
        <v>4380000</v>
      </c>
      <c r="H47" s="90"/>
    </row>
    <row r="49" spans="3:7">
      <c r="C49" s="1012" t="s">
        <v>1739</v>
      </c>
    </row>
    <row r="51" spans="3:7">
      <c r="D51" s="90">
        <f>'A&amp;R'!S96</f>
        <v>6354782.6086956523</v>
      </c>
      <c r="E51" s="30" t="s">
        <v>1740</v>
      </c>
      <c r="F51" s="65">
        <v>4.0000000000000001E-3</v>
      </c>
      <c r="G51" s="90">
        <f>D51*F51</f>
        <v>25419.130434782608</v>
      </c>
    </row>
    <row r="52" spans="3:7">
      <c r="D52" s="182">
        <f>G51</f>
        <v>25419.130434782608</v>
      </c>
      <c r="E52" s="2602" t="s">
        <v>1740</v>
      </c>
      <c r="F52" s="2603">
        <v>0.2</v>
      </c>
      <c r="G52" s="182">
        <f>D52*F52</f>
        <v>5083.826086956522</v>
      </c>
    </row>
    <row r="53" spans="3:7">
      <c r="G53" s="90">
        <f>SUM(G51:G52)</f>
        <v>30502.956521739128</v>
      </c>
    </row>
  </sheetData>
  <phoneticPr fontId="2"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00332-6320-46EB-BDDF-E8CB9AB20BA0}">
  <sheetPr codeName="Sheet22">
    <tabColor theme="7" tint="-0.499984740745262"/>
  </sheetPr>
  <dimension ref="A1:DZ125"/>
  <sheetViews>
    <sheetView showGridLines="0" topLeftCell="B1" zoomScaleNormal="100" workbookViewId="0">
      <selection activeCell="J20" sqref="J20"/>
    </sheetView>
  </sheetViews>
  <sheetFormatPr defaultColWidth="9" defaultRowHeight="12"/>
  <cols>
    <col min="1" max="1" width="2.625" style="5" customWidth="1"/>
    <col min="2" max="2" width="1.75" style="5" customWidth="1"/>
    <col min="3" max="3" width="1.875" style="5" customWidth="1"/>
    <col min="4" max="7" width="9" style="5"/>
    <col min="8" max="8" width="9.75" style="5" bestFit="1" customWidth="1"/>
    <col min="9" max="9" width="10.125" style="5" bestFit="1" customWidth="1"/>
    <col min="10" max="10" width="11" style="5" customWidth="1"/>
    <col min="11" max="11" width="2.625" style="5" customWidth="1"/>
    <col min="12" max="126" width="11" style="5" customWidth="1"/>
    <col min="127" max="16384" width="9" style="5"/>
  </cols>
  <sheetData>
    <row r="1" spans="1:130" s="3" customFormat="1" ht="11.25" customHeight="1">
      <c r="A1" s="2" t="s">
        <v>250</v>
      </c>
    </row>
    <row r="2" spans="1:130" s="4" customFormat="1" ht="11.25" customHeight="1">
      <c r="A2" s="4" t="s">
        <v>1076</v>
      </c>
    </row>
    <row r="4" spans="1:130" ht="11.25" customHeight="1">
      <c r="B4" s="187" t="s">
        <v>0</v>
      </c>
      <c r="C4" s="143"/>
      <c r="D4" s="143"/>
      <c r="E4" s="143"/>
      <c r="F4" s="143"/>
      <c r="G4" s="143"/>
      <c r="H4" s="208"/>
      <c r="I4" s="188"/>
      <c r="J4" s="144"/>
      <c r="L4" s="145">
        <f>'IS(FY)'!M5</f>
        <v>46326</v>
      </c>
      <c r="M4" s="145">
        <f>L5+1</f>
        <v>46327</v>
      </c>
      <c r="N4" s="145">
        <f>M5+1</f>
        <v>46692</v>
      </c>
      <c r="O4" s="145">
        <f t="shared" ref="O4:BZ4" si="0">N5+1</f>
        <v>47058</v>
      </c>
      <c r="P4" s="145">
        <f t="shared" si="0"/>
        <v>47423</v>
      </c>
      <c r="Q4" s="145">
        <f t="shared" si="0"/>
        <v>47788</v>
      </c>
      <c r="R4" s="145">
        <f t="shared" si="0"/>
        <v>48153</v>
      </c>
      <c r="S4" s="145">
        <f t="shared" si="0"/>
        <v>48519</v>
      </c>
      <c r="T4" s="145">
        <f t="shared" si="0"/>
        <v>48884</v>
      </c>
      <c r="U4" s="145">
        <f t="shared" si="0"/>
        <v>49249</v>
      </c>
      <c r="V4" s="145">
        <f t="shared" si="0"/>
        <v>49614</v>
      </c>
      <c r="W4" s="145">
        <f t="shared" si="0"/>
        <v>49980</v>
      </c>
      <c r="X4" s="145">
        <f t="shared" si="0"/>
        <v>50345</v>
      </c>
      <c r="Y4" s="145">
        <f t="shared" si="0"/>
        <v>50710</v>
      </c>
      <c r="Z4" s="145">
        <f t="shared" si="0"/>
        <v>51075</v>
      </c>
      <c r="AA4" s="145">
        <f t="shared" si="0"/>
        <v>51441</v>
      </c>
      <c r="AB4" s="145">
        <f t="shared" si="0"/>
        <v>51806</v>
      </c>
      <c r="AC4" s="145">
        <f t="shared" si="0"/>
        <v>52171</v>
      </c>
      <c r="AD4" s="145">
        <f t="shared" si="0"/>
        <v>52536</v>
      </c>
      <c r="AE4" s="145">
        <f t="shared" si="0"/>
        <v>52902</v>
      </c>
      <c r="AF4" s="145">
        <f t="shared" si="0"/>
        <v>53267</v>
      </c>
      <c r="AG4" s="145">
        <f t="shared" si="0"/>
        <v>53632</v>
      </c>
      <c r="AH4" s="145">
        <f t="shared" si="0"/>
        <v>53997</v>
      </c>
      <c r="AI4" s="145">
        <f t="shared" si="0"/>
        <v>54363</v>
      </c>
      <c r="AJ4" s="145">
        <f t="shared" si="0"/>
        <v>54728</v>
      </c>
      <c r="AK4" s="145">
        <f t="shared" si="0"/>
        <v>55093</v>
      </c>
      <c r="AL4" s="145">
        <f t="shared" si="0"/>
        <v>55458</v>
      </c>
      <c r="AM4" s="145">
        <f t="shared" si="0"/>
        <v>55824</v>
      </c>
      <c r="AN4" s="145">
        <f t="shared" si="0"/>
        <v>56189</v>
      </c>
      <c r="AO4" s="145">
        <f t="shared" si="0"/>
        <v>56554</v>
      </c>
      <c r="AP4" s="145">
        <f t="shared" si="0"/>
        <v>56919</v>
      </c>
      <c r="AQ4" s="145">
        <f t="shared" si="0"/>
        <v>57285</v>
      </c>
      <c r="AR4" s="145">
        <f t="shared" si="0"/>
        <v>57650</v>
      </c>
      <c r="AS4" s="145">
        <f t="shared" si="0"/>
        <v>58015</v>
      </c>
      <c r="AT4" s="145">
        <f t="shared" si="0"/>
        <v>58380</v>
      </c>
      <c r="AU4" s="145">
        <f t="shared" si="0"/>
        <v>58746</v>
      </c>
      <c r="AV4" s="145">
        <f t="shared" si="0"/>
        <v>59111</v>
      </c>
      <c r="AW4" s="145">
        <f t="shared" si="0"/>
        <v>59476</v>
      </c>
      <c r="AX4" s="145">
        <f t="shared" si="0"/>
        <v>59841</v>
      </c>
      <c r="AY4" s="145">
        <f t="shared" si="0"/>
        <v>60207</v>
      </c>
      <c r="AZ4" s="145">
        <f t="shared" si="0"/>
        <v>60572</v>
      </c>
      <c r="BA4" s="145">
        <f t="shared" si="0"/>
        <v>60937</v>
      </c>
      <c r="BB4" s="145">
        <f t="shared" si="0"/>
        <v>61302</v>
      </c>
      <c r="BC4" s="145">
        <f t="shared" si="0"/>
        <v>61668</v>
      </c>
      <c r="BD4" s="145">
        <f t="shared" si="0"/>
        <v>62033</v>
      </c>
      <c r="BE4" s="145">
        <f t="shared" si="0"/>
        <v>62398</v>
      </c>
      <c r="BF4" s="145">
        <f t="shared" si="0"/>
        <v>62763</v>
      </c>
      <c r="BG4" s="145">
        <f t="shared" si="0"/>
        <v>63129</v>
      </c>
      <c r="BH4" s="145">
        <f t="shared" si="0"/>
        <v>63494</v>
      </c>
      <c r="BI4" s="145">
        <f t="shared" si="0"/>
        <v>63859</v>
      </c>
      <c r="BJ4" s="145">
        <f t="shared" si="0"/>
        <v>64224</v>
      </c>
      <c r="BK4" s="145">
        <f t="shared" si="0"/>
        <v>64590</v>
      </c>
      <c r="BL4" s="145">
        <f t="shared" si="0"/>
        <v>64955</v>
      </c>
      <c r="BM4" s="145">
        <f t="shared" si="0"/>
        <v>65320</v>
      </c>
      <c r="BN4" s="145">
        <f t="shared" si="0"/>
        <v>65685</v>
      </c>
      <c r="BO4" s="145">
        <f t="shared" si="0"/>
        <v>66051</v>
      </c>
      <c r="BP4" s="145">
        <f t="shared" si="0"/>
        <v>66416</v>
      </c>
      <c r="BQ4" s="145">
        <f t="shared" si="0"/>
        <v>66781</v>
      </c>
      <c r="BR4" s="145">
        <f t="shared" si="0"/>
        <v>67146</v>
      </c>
      <c r="BS4" s="145">
        <f t="shared" si="0"/>
        <v>67512</v>
      </c>
      <c r="BT4" s="145">
        <f t="shared" si="0"/>
        <v>67877</v>
      </c>
      <c r="BU4" s="145">
        <f t="shared" si="0"/>
        <v>68242</v>
      </c>
      <c r="BV4" s="145">
        <f t="shared" si="0"/>
        <v>68607</v>
      </c>
      <c r="BW4" s="145">
        <f t="shared" si="0"/>
        <v>68973</v>
      </c>
      <c r="BX4" s="145">
        <f t="shared" si="0"/>
        <v>69338</v>
      </c>
      <c r="BY4" s="145">
        <f t="shared" si="0"/>
        <v>69703</v>
      </c>
      <c r="BZ4" s="145">
        <f t="shared" si="0"/>
        <v>70068</v>
      </c>
      <c r="CA4" s="145">
        <f t="shared" ref="CA4:DV4" si="1">BZ5+1</f>
        <v>70434</v>
      </c>
      <c r="CB4" s="145">
        <f t="shared" si="1"/>
        <v>70799</v>
      </c>
      <c r="CC4" s="145">
        <f t="shared" si="1"/>
        <v>71164</v>
      </c>
      <c r="CD4" s="145">
        <f t="shared" si="1"/>
        <v>71529</v>
      </c>
      <c r="CE4" s="145">
        <f t="shared" si="1"/>
        <v>71895</v>
      </c>
      <c r="CF4" s="145">
        <f t="shared" si="1"/>
        <v>72260</v>
      </c>
      <c r="CG4" s="145">
        <f t="shared" si="1"/>
        <v>72625</v>
      </c>
      <c r="CH4" s="145">
        <f t="shared" si="1"/>
        <v>72990</v>
      </c>
      <c r="CI4" s="145">
        <f t="shared" si="1"/>
        <v>73355</v>
      </c>
      <c r="CJ4" s="145">
        <f t="shared" si="1"/>
        <v>73720</v>
      </c>
      <c r="CK4" s="145">
        <f t="shared" si="1"/>
        <v>74085</v>
      </c>
      <c r="CL4" s="145">
        <f t="shared" si="1"/>
        <v>74450</v>
      </c>
      <c r="CM4" s="145">
        <f t="shared" si="1"/>
        <v>74816</v>
      </c>
      <c r="CN4" s="145">
        <f t="shared" si="1"/>
        <v>75181</v>
      </c>
      <c r="CO4" s="145">
        <f t="shared" si="1"/>
        <v>75546</v>
      </c>
      <c r="CP4" s="145">
        <f t="shared" si="1"/>
        <v>75911</v>
      </c>
      <c r="CQ4" s="145">
        <f t="shared" si="1"/>
        <v>76277</v>
      </c>
      <c r="CR4" s="145">
        <f t="shared" si="1"/>
        <v>76642</v>
      </c>
      <c r="CS4" s="145">
        <f t="shared" si="1"/>
        <v>77007</v>
      </c>
      <c r="CT4" s="145">
        <f t="shared" si="1"/>
        <v>77372</v>
      </c>
      <c r="CU4" s="145">
        <f t="shared" si="1"/>
        <v>77738</v>
      </c>
      <c r="CV4" s="145">
        <f t="shared" si="1"/>
        <v>78103</v>
      </c>
      <c r="CW4" s="145">
        <f t="shared" si="1"/>
        <v>78468</v>
      </c>
      <c r="CX4" s="145">
        <f t="shared" si="1"/>
        <v>78833</v>
      </c>
      <c r="CY4" s="145">
        <f t="shared" si="1"/>
        <v>79199</v>
      </c>
      <c r="CZ4" s="145">
        <f t="shared" si="1"/>
        <v>79564</v>
      </c>
      <c r="DA4" s="145">
        <f t="shared" si="1"/>
        <v>79929</v>
      </c>
      <c r="DB4" s="145">
        <f t="shared" si="1"/>
        <v>80294</v>
      </c>
      <c r="DC4" s="145">
        <f t="shared" si="1"/>
        <v>80660</v>
      </c>
      <c r="DD4" s="145">
        <f t="shared" si="1"/>
        <v>81025</v>
      </c>
      <c r="DE4" s="145">
        <f t="shared" si="1"/>
        <v>81390</v>
      </c>
      <c r="DF4" s="145">
        <f t="shared" si="1"/>
        <v>81755</v>
      </c>
      <c r="DG4" s="145">
        <f t="shared" si="1"/>
        <v>82121</v>
      </c>
      <c r="DH4" s="145">
        <f t="shared" si="1"/>
        <v>82486</v>
      </c>
      <c r="DI4" s="145">
        <f t="shared" si="1"/>
        <v>82851</v>
      </c>
      <c r="DJ4" s="145">
        <f t="shared" si="1"/>
        <v>83216</v>
      </c>
      <c r="DK4" s="145">
        <f t="shared" si="1"/>
        <v>83582</v>
      </c>
      <c r="DL4" s="145">
        <f t="shared" si="1"/>
        <v>83947</v>
      </c>
      <c r="DM4" s="145">
        <f t="shared" si="1"/>
        <v>84312</v>
      </c>
      <c r="DN4" s="145">
        <f t="shared" si="1"/>
        <v>84677</v>
      </c>
      <c r="DO4" s="145">
        <f t="shared" si="1"/>
        <v>85043</v>
      </c>
      <c r="DP4" s="145">
        <f t="shared" si="1"/>
        <v>85408</v>
      </c>
      <c r="DQ4" s="145">
        <f t="shared" si="1"/>
        <v>85773</v>
      </c>
      <c r="DR4" s="145">
        <f t="shared" si="1"/>
        <v>86138</v>
      </c>
      <c r="DS4" s="145">
        <f t="shared" si="1"/>
        <v>86504</v>
      </c>
      <c r="DT4" s="145">
        <f t="shared" si="1"/>
        <v>86869</v>
      </c>
      <c r="DU4" s="145">
        <f t="shared" si="1"/>
        <v>87234</v>
      </c>
      <c r="DV4" s="145">
        <f t="shared" si="1"/>
        <v>87599</v>
      </c>
      <c r="DW4" s="146"/>
      <c r="DX4" s="146"/>
      <c r="DY4" s="146"/>
      <c r="DZ4" s="146"/>
    </row>
    <row r="5" spans="1:130" ht="11.25" customHeight="1">
      <c r="B5" s="187" t="s">
        <v>1</v>
      </c>
      <c r="C5" s="143"/>
      <c r="D5" s="143"/>
      <c r="E5" s="143"/>
      <c r="F5" s="143"/>
      <c r="G5" s="143"/>
      <c r="H5" s="208"/>
      <c r="I5" s="188"/>
      <c r="J5" s="143"/>
      <c r="L5" s="145">
        <f>'IS(FY)'!M6</f>
        <v>46326</v>
      </c>
      <c r="M5" s="145">
        <f>EOMONTH(M4-1,12)</f>
        <v>46691</v>
      </c>
      <c r="N5" s="145">
        <f>EOMONTH(N4-1,12)</f>
        <v>47057</v>
      </c>
      <c r="O5" s="145">
        <f t="shared" ref="O5:BZ5" si="2">EOMONTH(O4-1,12)</f>
        <v>47422</v>
      </c>
      <c r="P5" s="145">
        <f t="shared" si="2"/>
        <v>47787</v>
      </c>
      <c r="Q5" s="145">
        <f t="shared" si="2"/>
        <v>48152</v>
      </c>
      <c r="R5" s="145">
        <f t="shared" si="2"/>
        <v>48518</v>
      </c>
      <c r="S5" s="145">
        <f t="shared" si="2"/>
        <v>48883</v>
      </c>
      <c r="T5" s="145">
        <f t="shared" si="2"/>
        <v>49248</v>
      </c>
      <c r="U5" s="145">
        <f t="shared" si="2"/>
        <v>49613</v>
      </c>
      <c r="V5" s="145">
        <f t="shared" si="2"/>
        <v>49979</v>
      </c>
      <c r="W5" s="145">
        <f t="shared" si="2"/>
        <v>50344</v>
      </c>
      <c r="X5" s="145">
        <f t="shared" si="2"/>
        <v>50709</v>
      </c>
      <c r="Y5" s="145">
        <f t="shared" si="2"/>
        <v>51074</v>
      </c>
      <c r="Z5" s="145">
        <f t="shared" si="2"/>
        <v>51440</v>
      </c>
      <c r="AA5" s="145">
        <f t="shared" si="2"/>
        <v>51805</v>
      </c>
      <c r="AB5" s="145">
        <f t="shared" si="2"/>
        <v>52170</v>
      </c>
      <c r="AC5" s="145">
        <f t="shared" si="2"/>
        <v>52535</v>
      </c>
      <c r="AD5" s="145">
        <f t="shared" si="2"/>
        <v>52901</v>
      </c>
      <c r="AE5" s="145">
        <f t="shared" si="2"/>
        <v>53266</v>
      </c>
      <c r="AF5" s="145">
        <f t="shared" si="2"/>
        <v>53631</v>
      </c>
      <c r="AG5" s="145">
        <f t="shared" si="2"/>
        <v>53996</v>
      </c>
      <c r="AH5" s="145">
        <f t="shared" si="2"/>
        <v>54362</v>
      </c>
      <c r="AI5" s="145">
        <f t="shared" si="2"/>
        <v>54727</v>
      </c>
      <c r="AJ5" s="145">
        <f t="shared" si="2"/>
        <v>55092</v>
      </c>
      <c r="AK5" s="145">
        <f t="shared" si="2"/>
        <v>55457</v>
      </c>
      <c r="AL5" s="145">
        <f t="shared" si="2"/>
        <v>55823</v>
      </c>
      <c r="AM5" s="145">
        <f t="shared" si="2"/>
        <v>56188</v>
      </c>
      <c r="AN5" s="145">
        <f t="shared" si="2"/>
        <v>56553</v>
      </c>
      <c r="AO5" s="145">
        <f t="shared" si="2"/>
        <v>56918</v>
      </c>
      <c r="AP5" s="145">
        <f t="shared" si="2"/>
        <v>57284</v>
      </c>
      <c r="AQ5" s="145">
        <f t="shared" si="2"/>
        <v>57649</v>
      </c>
      <c r="AR5" s="145">
        <f t="shared" si="2"/>
        <v>58014</v>
      </c>
      <c r="AS5" s="145">
        <f t="shared" si="2"/>
        <v>58379</v>
      </c>
      <c r="AT5" s="145">
        <f t="shared" si="2"/>
        <v>58745</v>
      </c>
      <c r="AU5" s="145">
        <f t="shared" si="2"/>
        <v>59110</v>
      </c>
      <c r="AV5" s="145">
        <f t="shared" si="2"/>
        <v>59475</v>
      </c>
      <c r="AW5" s="145">
        <f t="shared" si="2"/>
        <v>59840</v>
      </c>
      <c r="AX5" s="145">
        <f t="shared" si="2"/>
        <v>60206</v>
      </c>
      <c r="AY5" s="145">
        <f t="shared" si="2"/>
        <v>60571</v>
      </c>
      <c r="AZ5" s="145">
        <f t="shared" si="2"/>
        <v>60936</v>
      </c>
      <c r="BA5" s="145">
        <f t="shared" si="2"/>
        <v>61301</v>
      </c>
      <c r="BB5" s="145">
        <f t="shared" si="2"/>
        <v>61667</v>
      </c>
      <c r="BC5" s="145">
        <f t="shared" si="2"/>
        <v>62032</v>
      </c>
      <c r="BD5" s="145">
        <f t="shared" si="2"/>
        <v>62397</v>
      </c>
      <c r="BE5" s="145">
        <f t="shared" si="2"/>
        <v>62762</v>
      </c>
      <c r="BF5" s="145">
        <f t="shared" si="2"/>
        <v>63128</v>
      </c>
      <c r="BG5" s="145">
        <f t="shared" si="2"/>
        <v>63493</v>
      </c>
      <c r="BH5" s="145">
        <f t="shared" si="2"/>
        <v>63858</v>
      </c>
      <c r="BI5" s="145">
        <f t="shared" si="2"/>
        <v>64223</v>
      </c>
      <c r="BJ5" s="145">
        <f t="shared" si="2"/>
        <v>64589</v>
      </c>
      <c r="BK5" s="145">
        <f t="shared" si="2"/>
        <v>64954</v>
      </c>
      <c r="BL5" s="145">
        <f t="shared" si="2"/>
        <v>65319</v>
      </c>
      <c r="BM5" s="145">
        <f t="shared" si="2"/>
        <v>65684</v>
      </c>
      <c r="BN5" s="145">
        <f t="shared" si="2"/>
        <v>66050</v>
      </c>
      <c r="BO5" s="145">
        <f t="shared" si="2"/>
        <v>66415</v>
      </c>
      <c r="BP5" s="145">
        <f t="shared" si="2"/>
        <v>66780</v>
      </c>
      <c r="BQ5" s="145">
        <f t="shared" si="2"/>
        <v>67145</v>
      </c>
      <c r="BR5" s="145">
        <f t="shared" si="2"/>
        <v>67511</v>
      </c>
      <c r="BS5" s="145">
        <f t="shared" si="2"/>
        <v>67876</v>
      </c>
      <c r="BT5" s="145">
        <f t="shared" si="2"/>
        <v>68241</v>
      </c>
      <c r="BU5" s="145">
        <f t="shared" si="2"/>
        <v>68606</v>
      </c>
      <c r="BV5" s="145">
        <f t="shared" si="2"/>
        <v>68972</v>
      </c>
      <c r="BW5" s="145">
        <f t="shared" si="2"/>
        <v>69337</v>
      </c>
      <c r="BX5" s="145">
        <f t="shared" si="2"/>
        <v>69702</v>
      </c>
      <c r="BY5" s="145">
        <f t="shared" si="2"/>
        <v>70067</v>
      </c>
      <c r="BZ5" s="145">
        <f t="shared" si="2"/>
        <v>70433</v>
      </c>
      <c r="CA5" s="145">
        <f t="shared" ref="CA5:DV5" si="3">EOMONTH(CA4-1,12)</f>
        <v>70798</v>
      </c>
      <c r="CB5" s="145">
        <f t="shared" si="3"/>
        <v>71163</v>
      </c>
      <c r="CC5" s="145">
        <f t="shared" si="3"/>
        <v>71528</v>
      </c>
      <c r="CD5" s="145">
        <f t="shared" si="3"/>
        <v>71894</v>
      </c>
      <c r="CE5" s="145">
        <f t="shared" si="3"/>
        <v>72259</v>
      </c>
      <c r="CF5" s="145">
        <f t="shared" si="3"/>
        <v>72624</v>
      </c>
      <c r="CG5" s="145">
        <f t="shared" si="3"/>
        <v>72989</v>
      </c>
      <c r="CH5" s="145">
        <f t="shared" si="3"/>
        <v>73354</v>
      </c>
      <c r="CI5" s="145">
        <f t="shared" si="3"/>
        <v>73719</v>
      </c>
      <c r="CJ5" s="145">
        <f t="shared" si="3"/>
        <v>74084</v>
      </c>
      <c r="CK5" s="145">
        <f t="shared" si="3"/>
        <v>74449</v>
      </c>
      <c r="CL5" s="145">
        <f t="shared" si="3"/>
        <v>74815</v>
      </c>
      <c r="CM5" s="145">
        <f t="shared" si="3"/>
        <v>75180</v>
      </c>
      <c r="CN5" s="145">
        <f t="shared" si="3"/>
        <v>75545</v>
      </c>
      <c r="CO5" s="145">
        <f t="shared" si="3"/>
        <v>75910</v>
      </c>
      <c r="CP5" s="145">
        <f t="shared" si="3"/>
        <v>76276</v>
      </c>
      <c r="CQ5" s="145">
        <f t="shared" si="3"/>
        <v>76641</v>
      </c>
      <c r="CR5" s="145">
        <f t="shared" si="3"/>
        <v>77006</v>
      </c>
      <c r="CS5" s="145">
        <f t="shared" si="3"/>
        <v>77371</v>
      </c>
      <c r="CT5" s="145">
        <f t="shared" si="3"/>
        <v>77737</v>
      </c>
      <c r="CU5" s="145">
        <f t="shared" si="3"/>
        <v>78102</v>
      </c>
      <c r="CV5" s="145">
        <f t="shared" si="3"/>
        <v>78467</v>
      </c>
      <c r="CW5" s="145">
        <f t="shared" si="3"/>
        <v>78832</v>
      </c>
      <c r="CX5" s="145">
        <f t="shared" si="3"/>
        <v>79198</v>
      </c>
      <c r="CY5" s="145">
        <f t="shared" si="3"/>
        <v>79563</v>
      </c>
      <c r="CZ5" s="145">
        <f t="shared" si="3"/>
        <v>79928</v>
      </c>
      <c r="DA5" s="145">
        <f t="shared" si="3"/>
        <v>80293</v>
      </c>
      <c r="DB5" s="145">
        <f t="shared" si="3"/>
        <v>80659</v>
      </c>
      <c r="DC5" s="145">
        <f t="shared" si="3"/>
        <v>81024</v>
      </c>
      <c r="DD5" s="145">
        <f t="shared" si="3"/>
        <v>81389</v>
      </c>
      <c r="DE5" s="145">
        <f t="shared" si="3"/>
        <v>81754</v>
      </c>
      <c r="DF5" s="145">
        <f t="shared" si="3"/>
        <v>82120</v>
      </c>
      <c r="DG5" s="145">
        <f t="shared" si="3"/>
        <v>82485</v>
      </c>
      <c r="DH5" s="145">
        <f t="shared" si="3"/>
        <v>82850</v>
      </c>
      <c r="DI5" s="145">
        <f t="shared" si="3"/>
        <v>83215</v>
      </c>
      <c r="DJ5" s="145">
        <f t="shared" si="3"/>
        <v>83581</v>
      </c>
      <c r="DK5" s="145">
        <f t="shared" si="3"/>
        <v>83946</v>
      </c>
      <c r="DL5" s="145">
        <f t="shared" si="3"/>
        <v>84311</v>
      </c>
      <c r="DM5" s="145">
        <f t="shared" si="3"/>
        <v>84676</v>
      </c>
      <c r="DN5" s="145">
        <f t="shared" si="3"/>
        <v>85042</v>
      </c>
      <c r="DO5" s="145">
        <f t="shared" si="3"/>
        <v>85407</v>
      </c>
      <c r="DP5" s="145">
        <f t="shared" si="3"/>
        <v>85772</v>
      </c>
      <c r="DQ5" s="145">
        <f t="shared" si="3"/>
        <v>86137</v>
      </c>
      <c r="DR5" s="145">
        <f t="shared" si="3"/>
        <v>86503</v>
      </c>
      <c r="DS5" s="145">
        <f t="shared" si="3"/>
        <v>86868</v>
      </c>
      <c r="DT5" s="145">
        <f t="shared" si="3"/>
        <v>87233</v>
      </c>
      <c r="DU5" s="145">
        <f t="shared" si="3"/>
        <v>87598</v>
      </c>
      <c r="DV5" s="145">
        <f t="shared" si="3"/>
        <v>87964</v>
      </c>
      <c r="DW5" s="146"/>
      <c r="DX5" s="146"/>
      <c r="DY5" s="146"/>
      <c r="DZ5" s="146"/>
    </row>
    <row r="6" spans="1:130" ht="11.25" customHeight="1">
      <c r="B6" s="189" t="s">
        <v>155</v>
      </c>
      <c r="C6" s="148"/>
      <c r="D6" s="148"/>
      <c r="E6" s="148"/>
      <c r="F6" s="148"/>
      <c r="G6" s="148"/>
      <c r="H6" s="209"/>
      <c r="I6" s="190"/>
      <c r="J6" s="148"/>
      <c r="L6" s="153">
        <v>0</v>
      </c>
      <c r="M6" s="153">
        <f>L6+1</f>
        <v>1</v>
      </c>
      <c r="N6" s="153">
        <f t="shared" ref="N6:BY6" si="4">M6+1</f>
        <v>2</v>
      </c>
      <c r="O6" s="153">
        <f t="shared" si="4"/>
        <v>3</v>
      </c>
      <c r="P6" s="153">
        <f t="shared" si="4"/>
        <v>4</v>
      </c>
      <c r="Q6" s="153">
        <f t="shared" si="4"/>
        <v>5</v>
      </c>
      <c r="R6" s="153">
        <f t="shared" si="4"/>
        <v>6</v>
      </c>
      <c r="S6" s="153">
        <f t="shared" si="4"/>
        <v>7</v>
      </c>
      <c r="T6" s="153">
        <f t="shared" si="4"/>
        <v>8</v>
      </c>
      <c r="U6" s="153">
        <f t="shared" si="4"/>
        <v>9</v>
      </c>
      <c r="V6" s="153">
        <f t="shared" si="4"/>
        <v>10</v>
      </c>
      <c r="W6" s="153">
        <f t="shared" si="4"/>
        <v>11</v>
      </c>
      <c r="X6" s="153">
        <f t="shared" si="4"/>
        <v>12</v>
      </c>
      <c r="Y6" s="153">
        <f t="shared" si="4"/>
        <v>13</v>
      </c>
      <c r="Z6" s="153">
        <f t="shared" si="4"/>
        <v>14</v>
      </c>
      <c r="AA6" s="153">
        <f t="shared" si="4"/>
        <v>15</v>
      </c>
      <c r="AB6" s="153">
        <f t="shared" si="4"/>
        <v>16</v>
      </c>
      <c r="AC6" s="153">
        <f t="shared" si="4"/>
        <v>17</v>
      </c>
      <c r="AD6" s="153">
        <f t="shared" si="4"/>
        <v>18</v>
      </c>
      <c r="AE6" s="153">
        <f t="shared" si="4"/>
        <v>19</v>
      </c>
      <c r="AF6" s="153">
        <f t="shared" si="4"/>
        <v>20</v>
      </c>
      <c r="AG6" s="153">
        <f t="shared" si="4"/>
        <v>21</v>
      </c>
      <c r="AH6" s="153">
        <f t="shared" si="4"/>
        <v>22</v>
      </c>
      <c r="AI6" s="153">
        <f t="shared" si="4"/>
        <v>23</v>
      </c>
      <c r="AJ6" s="153">
        <f t="shared" si="4"/>
        <v>24</v>
      </c>
      <c r="AK6" s="153">
        <f t="shared" si="4"/>
        <v>25</v>
      </c>
      <c r="AL6" s="153">
        <f t="shared" si="4"/>
        <v>26</v>
      </c>
      <c r="AM6" s="153">
        <f t="shared" si="4"/>
        <v>27</v>
      </c>
      <c r="AN6" s="153">
        <f t="shared" si="4"/>
        <v>28</v>
      </c>
      <c r="AO6" s="153">
        <f t="shared" si="4"/>
        <v>29</v>
      </c>
      <c r="AP6" s="153">
        <f t="shared" si="4"/>
        <v>30</v>
      </c>
      <c r="AQ6" s="153">
        <f t="shared" si="4"/>
        <v>31</v>
      </c>
      <c r="AR6" s="153">
        <f t="shared" si="4"/>
        <v>32</v>
      </c>
      <c r="AS6" s="153">
        <f t="shared" si="4"/>
        <v>33</v>
      </c>
      <c r="AT6" s="153">
        <f t="shared" si="4"/>
        <v>34</v>
      </c>
      <c r="AU6" s="153">
        <f t="shared" si="4"/>
        <v>35</v>
      </c>
      <c r="AV6" s="153">
        <f t="shared" si="4"/>
        <v>36</v>
      </c>
      <c r="AW6" s="153">
        <f t="shared" si="4"/>
        <v>37</v>
      </c>
      <c r="AX6" s="153">
        <f t="shared" si="4"/>
        <v>38</v>
      </c>
      <c r="AY6" s="153">
        <f t="shared" si="4"/>
        <v>39</v>
      </c>
      <c r="AZ6" s="153">
        <f t="shared" si="4"/>
        <v>40</v>
      </c>
      <c r="BA6" s="153">
        <f t="shared" si="4"/>
        <v>41</v>
      </c>
      <c r="BB6" s="153">
        <f t="shared" si="4"/>
        <v>42</v>
      </c>
      <c r="BC6" s="153">
        <f t="shared" si="4"/>
        <v>43</v>
      </c>
      <c r="BD6" s="153">
        <f t="shared" si="4"/>
        <v>44</v>
      </c>
      <c r="BE6" s="153">
        <f t="shared" si="4"/>
        <v>45</v>
      </c>
      <c r="BF6" s="153">
        <f t="shared" si="4"/>
        <v>46</v>
      </c>
      <c r="BG6" s="153">
        <f t="shared" si="4"/>
        <v>47</v>
      </c>
      <c r="BH6" s="153">
        <f t="shared" si="4"/>
        <v>48</v>
      </c>
      <c r="BI6" s="153">
        <f t="shared" si="4"/>
        <v>49</v>
      </c>
      <c r="BJ6" s="153">
        <f t="shared" si="4"/>
        <v>50</v>
      </c>
      <c r="BK6" s="153">
        <f t="shared" si="4"/>
        <v>51</v>
      </c>
      <c r="BL6" s="153">
        <f t="shared" si="4"/>
        <v>52</v>
      </c>
      <c r="BM6" s="153">
        <f t="shared" si="4"/>
        <v>53</v>
      </c>
      <c r="BN6" s="153">
        <f t="shared" si="4"/>
        <v>54</v>
      </c>
      <c r="BO6" s="153">
        <f t="shared" si="4"/>
        <v>55</v>
      </c>
      <c r="BP6" s="153">
        <f t="shared" si="4"/>
        <v>56</v>
      </c>
      <c r="BQ6" s="153">
        <f t="shared" si="4"/>
        <v>57</v>
      </c>
      <c r="BR6" s="153">
        <f t="shared" si="4"/>
        <v>58</v>
      </c>
      <c r="BS6" s="153">
        <f t="shared" si="4"/>
        <v>59</v>
      </c>
      <c r="BT6" s="153">
        <f t="shared" si="4"/>
        <v>60</v>
      </c>
      <c r="BU6" s="153">
        <f t="shared" si="4"/>
        <v>61</v>
      </c>
      <c r="BV6" s="153">
        <f t="shared" si="4"/>
        <v>62</v>
      </c>
      <c r="BW6" s="153">
        <f t="shared" si="4"/>
        <v>63</v>
      </c>
      <c r="BX6" s="153">
        <f t="shared" si="4"/>
        <v>64</v>
      </c>
      <c r="BY6" s="153">
        <f t="shared" si="4"/>
        <v>65</v>
      </c>
      <c r="BZ6" s="153">
        <f t="shared" ref="BZ6:DV6" si="5">BY6+1</f>
        <v>66</v>
      </c>
      <c r="CA6" s="153">
        <f t="shared" si="5"/>
        <v>67</v>
      </c>
      <c r="CB6" s="153">
        <f t="shared" si="5"/>
        <v>68</v>
      </c>
      <c r="CC6" s="153">
        <f t="shared" si="5"/>
        <v>69</v>
      </c>
      <c r="CD6" s="153">
        <f t="shared" si="5"/>
        <v>70</v>
      </c>
      <c r="CE6" s="153">
        <f t="shared" si="5"/>
        <v>71</v>
      </c>
      <c r="CF6" s="153">
        <f t="shared" si="5"/>
        <v>72</v>
      </c>
      <c r="CG6" s="153">
        <f t="shared" si="5"/>
        <v>73</v>
      </c>
      <c r="CH6" s="153">
        <f t="shared" si="5"/>
        <v>74</v>
      </c>
      <c r="CI6" s="153">
        <f t="shared" si="5"/>
        <v>75</v>
      </c>
      <c r="CJ6" s="153">
        <f t="shared" si="5"/>
        <v>76</v>
      </c>
      <c r="CK6" s="153">
        <f t="shared" si="5"/>
        <v>77</v>
      </c>
      <c r="CL6" s="153">
        <f t="shared" si="5"/>
        <v>78</v>
      </c>
      <c r="CM6" s="153">
        <f t="shared" si="5"/>
        <v>79</v>
      </c>
      <c r="CN6" s="153">
        <f t="shared" si="5"/>
        <v>80</v>
      </c>
      <c r="CO6" s="153">
        <f t="shared" si="5"/>
        <v>81</v>
      </c>
      <c r="CP6" s="153">
        <f t="shared" si="5"/>
        <v>82</v>
      </c>
      <c r="CQ6" s="153">
        <f t="shared" si="5"/>
        <v>83</v>
      </c>
      <c r="CR6" s="153">
        <f t="shared" si="5"/>
        <v>84</v>
      </c>
      <c r="CS6" s="153">
        <f t="shared" si="5"/>
        <v>85</v>
      </c>
      <c r="CT6" s="153">
        <f t="shared" si="5"/>
        <v>86</v>
      </c>
      <c r="CU6" s="153">
        <f t="shared" si="5"/>
        <v>87</v>
      </c>
      <c r="CV6" s="153">
        <f t="shared" si="5"/>
        <v>88</v>
      </c>
      <c r="CW6" s="153">
        <f t="shared" si="5"/>
        <v>89</v>
      </c>
      <c r="CX6" s="153">
        <f t="shared" si="5"/>
        <v>90</v>
      </c>
      <c r="CY6" s="153">
        <f t="shared" si="5"/>
        <v>91</v>
      </c>
      <c r="CZ6" s="153">
        <f t="shared" si="5"/>
        <v>92</v>
      </c>
      <c r="DA6" s="153">
        <f t="shared" si="5"/>
        <v>93</v>
      </c>
      <c r="DB6" s="153">
        <f t="shared" si="5"/>
        <v>94</v>
      </c>
      <c r="DC6" s="153">
        <f t="shared" si="5"/>
        <v>95</v>
      </c>
      <c r="DD6" s="153">
        <f t="shared" si="5"/>
        <v>96</v>
      </c>
      <c r="DE6" s="153">
        <f t="shared" si="5"/>
        <v>97</v>
      </c>
      <c r="DF6" s="153">
        <f t="shared" si="5"/>
        <v>98</v>
      </c>
      <c r="DG6" s="153">
        <f t="shared" si="5"/>
        <v>99</v>
      </c>
      <c r="DH6" s="153">
        <f t="shared" si="5"/>
        <v>100</v>
      </c>
      <c r="DI6" s="153">
        <f t="shared" si="5"/>
        <v>101</v>
      </c>
      <c r="DJ6" s="153">
        <f t="shared" si="5"/>
        <v>102</v>
      </c>
      <c r="DK6" s="153">
        <f t="shared" si="5"/>
        <v>103</v>
      </c>
      <c r="DL6" s="153">
        <f t="shared" si="5"/>
        <v>104</v>
      </c>
      <c r="DM6" s="153">
        <f t="shared" si="5"/>
        <v>105</v>
      </c>
      <c r="DN6" s="153">
        <f t="shared" si="5"/>
        <v>106</v>
      </c>
      <c r="DO6" s="153">
        <f t="shared" si="5"/>
        <v>107</v>
      </c>
      <c r="DP6" s="153">
        <f t="shared" si="5"/>
        <v>108</v>
      </c>
      <c r="DQ6" s="153">
        <f t="shared" si="5"/>
        <v>109</v>
      </c>
      <c r="DR6" s="153">
        <f t="shared" si="5"/>
        <v>110</v>
      </c>
      <c r="DS6" s="153">
        <f t="shared" si="5"/>
        <v>111</v>
      </c>
      <c r="DT6" s="153">
        <f t="shared" si="5"/>
        <v>112</v>
      </c>
      <c r="DU6" s="153">
        <f t="shared" si="5"/>
        <v>113</v>
      </c>
      <c r="DV6" s="153">
        <f t="shared" si="5"/>
        <v>114</v>
      </c>
    </row>
    <row r="7" spans="1:130" ht="11.25" customHeight="1">
      <c r="C7" s="154"/>
      <c r="H7" s="146"/>
      <c r="I7" s="13"/>
    </row>
    <row r="8" spans="1:130" ht="11.25" customHeight="1">
      <c r="B8" s="155" t="s">
        <v>180</v>
      </c>
      <c r="C8" s="155"/>
      <c r="D8" s="155"/>
      <c r="E8" s="155"/>
      <c r="F8" s="155"/>
      <c r="G8" s="155"/>
      <c r="H8" s="191"/>
      <c r="I8" s="192"/>
      <c r="J8" s="156" t="s">
        <v>59</v>
      </c>
      <c r="L8" s="210">
        <f t="shared" ref="L8:BW8" si="6">L5</f>
        <v>46326</v>
      </c>
      <c r="M8" s="210">
        <f t="shared" si="6"/>
        <v>46691</v>
      </c>
      <c r="N8" s="210">
        <f t="shared" si="6"/>
        <v>47057</v>
      </c>
      <c r="O8" s="210">
        <f t="shared" si="6"/>
        <v>47422</v>
      </c>
      <c r="P8" s="210">
        <f t="shared" si="6"/>
        <v>47787</v>
      </c>
      <c r="Q8" s="210">
        <f t="shared" si="6"/>
        <v>48152</v>
      </c>
      <c r="R8" s="210">
        <f t="shared" si="6"/>
        <v>48518</v>
      </c>
      <c r="S8" s="210">
        <f t="shared" si="6"/>
        <v>48883</v>
      </c>
      <c r="T8" s="210">
        <f t="shared" si="6"/>
        <v>49248</v>
      </c>
      <c r="U8" s="210">
        <f t="shared" si="6"/>
        <v>49613</v>
      </c>
      <c r="V8" s="210">
        <f t="shared" si="6"/>
        <v>49979</v>
      </c>
      <c r="W8" s="210">
        <f t="shared" si="6"/>
        <v>50344</v>
      </c>
      <c r="X8" s="210">
        <f t="shared" si="6"/>
        <v>50709</v>
      </c>
      <c r="Y8" s="210">
        <f t="shared" si="6"/>
        <v>51074</v>
      </c>
      <c r="Z8" s="210">
        <f t="shared" si="6"/>
        <v>51440</v>
      </c>
      <c r="AA8" s="210">
        <f t="shared" si="6"/>
        <v>51805</v>
      </c>
      <c r="AB8" s="210">
        <f t="shared" si="6"/>
        <v>52170</v>
      </c>
      <c r="AC8" s="210">
        <f t="shared" si="6"/>
        <v>52535</v>
      </c>
      <c r="AD8" s="210">
        <f t="shared" si="6"/>
        <v>52901</v>
      </c>
      <c r="AE8" s="210">
        <f t="shared" si="6"/>
        <v>53266</v>
      </c>
      <c r="AF8" s="210">
        <f t="shared" si="6"/>
        <v>53631</v>
      </c>
      <c r="AG8" s="210">
        <f t="shared" si="6"/>
        <v>53996</v>
      </c>
      <c r="AH8" s="210">
        <f t="shared" si="6"/>
        <v>54362</v>
      </c>
      <c r="AI8" s="210">
        <f t="shared" si="6"/>
        <v>54727</v>
      </c>
      <c r="AJ8" s="210">
        <f t="shared" si="6"/>
        <v>55092</v>
      </c>
      <c r="AK8" s="210">
        <f t="shared" si="6"/>
        <v>55457</v>
      </c>
      <c r="AL8" s="210">
        <f t="shared" si="6"/>
        <v>55823</v>
      </c>
      <c r="AM8" s="210">
        <f t="shared" si="6"/>
        <v>56188</v>
      </c>
      <c r="AN8" s="210">
        <f t="shared" si="6"/>
        <v>56553</v>
      </c>
      <c r="AO8" s="210">
        <f t="shared" si="6"/>
        <v>56918</v>
      </c>
      <c r="AP8" s="210">
        <f t="shared" si="6"/>
        <v>57284</v>
      </c>
      <c r="AQ8" s="210">
        <f t="shared" si="6"/>
        <v>57649</v>
      </c>
      <c r="AR8" s="210">
        <f t="shared" si="6"/>
        <v>58014</v>
      </c>
      <c r="AS8" s="210">
        <f t="shared" si="6"/>
        <v>58379</v>
      </c>
      <c r="AT8" s="210">
        <f t="shared" si="6"/>
        <v>58745</v>
      </c>
      <c r="AU8" s="210">
        <f t="shared" si="6"/>
        <v>59110</v>
      </c>
      <c r="AV8" s="210">
        <f t="shared" si="6"/>
        <v>59475</v>
      </c>
      <c r="AW8" s="210">
        <f t="shared" si="6"/>
        <v>59840</v>
      </c>
      <c r="AX8" s="210">
        <f t="shared" si="6"/>
        <v>60206</v>
      </c>
      <c r="AY8" s="210">
        <f t="shared" si="6"/>
        <v>60571</v>
      </c>
      <c r="AZ8" s="210">
        <f t="shared" si="6"/>
        <v>60936</v>
      </c>
      <c r="BA8" s="210">
        <f t="shared" si="6"/>
        <v>61301</v>
      </c>
      <c r="BB8" s="210">
        <f t="shared" si="6"/>
        <v>61667</v>
      </c>
      <c r="BC8" s="210">
        <f t="shared" si="6"/>
        <v>62032</v>
      </c>
      <c r="BD8" s="210">
        <f t="shared" si="6"/>
        <v>62397</v>
      </c>
      <c r="BE8" s="210">
        <f t="shared" si="6"/>
        <v>62762</v>
      </c>
      <c r="BF8" s="210">
        <f t="shared" si="6"/>
        <v>63128</v>
      </c>
      <c r="BG8" s="210">
        <f t="shared" si="6"/>
        <v>63493</v>
      </c>
      <c r="BH8" s="210">
        <f t="shared" si="6"/>
        <v>63858</v>
      </c>
      <c r="BI8" s="210">
        <f t="shared" si="6"/>
        <v>64223</v>
      </c>
      <c r="BJ8" s="210">
        <f t="shared" si="6"/>
        <v>64589</v>
      </c>
      <c r="BK8" s="210">
        <f t="shared" si="6"/>
        <v>64954</v>
      </c>
      <c r="BL8" s="210">
        <f t="shared" si="6"/>
        <v>65319</v>
      </c>
      <c r="BM8" s="210">
        <f t="shared" si="6"/>
        <v>65684</v>
      </c>
      <c r="BN8" s="210">
        <f t="shared" si="6"/>
        <v>66050</v>
      </c>
      <c r="BO8" s="210">
        <f t="shared" si="6"/>
        <v>66415</v>
      </c>
      <c r="BP8" s="210">
        <f t="shared" si="6"/>
        <v>66780</v>
      </c>
      <c r="BQ8" s="210">
        <f t="shared" si="6"/>
        <v>67145</v>
      </c>
      <c r="BR8" s="210">
        <f t="shared" si="6"/>
        <v>67511</v>
      </c>
      <c r="BS8" s="210">
        <f t="shared" si="6"/>
        <v>67876</v>
      </c>
      <c r="BT8" s="210">
        <f t="shared" si="6"/>
        <v>68241</v>
      </c>
      <c r="BU8" s="210">
        <f t="shared" si="6"/>
        <v>68606</v>
      </c>
      <c r="BV8" s="210">
        <f t="shared" si="6"/>
        <v>68972</v>
      </c>
      <c r="BW8" s="210">
        <f t="shared" si="6"/>
        <v>69337</v>
      </c>
      <c r="BX8" s="210">
        <f t="shared" ref="BX8:DV8" si="7">BX5</f>
        <v>69702</v>
      </c>
      <c r="BY8" s="210">
        <f t="shared" si="7"/>
        <v>70067</v>
      </c>
      <c r="BZ8" s="210">
        <f t="shared" si="7"/>
        <v>70433</v>
      </c>
      <c r="CA8" s="210">
        <f t="shared" si="7"/>
        <v>70798</v>
      </c>
      <c r="CB8" s="210">
        <f t="shared" si="7"/>
        <v>71163</v>
      </c>
      <c r="CC8" s="210">
        <f t="shared" si="7"/>
        <v>71528</v>
      </c>
      <c r="CD8" s="210">
        <f t="shared" si="7"/>
        <v>71894</v>
      </c>
      <c r="CE8" s="210">
        <f t="shared" si="7"/>
        <v>72259</v>
      </c>
      <c r="CF8" s="210">
        <f t="shared" si="7"/>
        <v>72624</v>
      </c>
      <c r="CG8" s="210">
        <f t="shared" si="7"/>
        <v>72989</v>
      </c>
      <c r="CH8" s="210">
        <f t="shared" si="7"/>
        <v>73354</v>
      </c>
      <c r="CI8" s="210">
        <f t="shared" si="7"/>
        <v>73719</v>
      </c>
      <c r="CJ8" s="210">
        <f t="shared" si="7"/>
        <v>74084</v>
      </c>
      <c r="CK8" s="210">
        <f t="shared" si="7"/>
        <v>74449</v>
      </c>
      <c r="CL8" s="210">
        <f t="shared" si="7"/>
        <v>74815</v>
      </c>
      <c r="CM8" s="210">
        <f t="shared" si="7"/>
        <v>75180</v>
      </c>
      <c r="CN8" s="210">
        <f t="shared" si="7"/>
        <v>75545</v>
      </c>
      <c r="CO8" s="210">
        <f t="shared" si="7"/>
        <v>75910</v>
      </c>
      <c r="CP8" s="210">
        <f t="shared" si="7"/>
        <v>76276</v>
      </c>
      <c r="CQ8" s="210">
        <f t="shared" si="7"/>
        <v>76641</v>
      </c>
      <c r="CR8" s="210">
        <f t="shared" si="7"/>
        <v>77006</v>
      </c>
      <c r="CS8" s="210">
        <f t="shared" si="7"/>
        <v>77371</v>
      </c>
      <c r="CT8" s="210">
        <f t="shared" si="7"/>
        <v>77737</v>
      </c>
      <c r="CU8" s="210">
        <f t="shared" si="7"/>
        <v>78102</v>
      </c>
      <c r="CV8" s="210">
        <f t="shared" si="7"/>
        <v>78467</v>
      </c>
      <c r="CW8" s="210">
        <f t="shared" si="7"/>
        <v>78832</v>
      </c>
      <c r="CX8" s="210">
        <f t="shared" si="7"/>
        <v>79198</v>
      </c>
      <c r="CY8" s="210">
        <f t="shared" si="7"/>
        <v>79563</v>
      </c>
      <c r="CZ8" s="210">
        <f t="shared" si="7"/>
        <v>79928</v>
      </c>
      <c r="DA8" s="210">
        <f t="shared" si="7"/>
        <v>80293</v>
      </c>
      <c r="DB8" s="210">
        <f t="shared" si="7"/>
        <v>80659</v>
      </c>
      <c r="DC8" s="210">
        <f t="shared" si="7"/>
        <v>81024</v>
      </c>
      <c r="DD8" s="210">
        <f t="shared" si="7"/>
        <v>81389</v>
      </c>
      <c r="DE8" s="210">
        <f t="shared" si="7"/>
        <v>81754</v>
      </c>
      <c r="DF8" s="210">
        <f t="shared" si="7"/>
        <v>82120</v>
      </c>
      <c r="DG8" s="210">
        <f t="shared" si="7"/>
        <v>82485</v>
      </c>
      <c r="DH8" s="210">
        <f t="shared" si="7"/>
        <v>82850</v>
      </c>
      <c r="DI8" s="210">
        <f t="shared" si="7"/>
        <v>83215</v>
      </c>
      <c r="DJ8" s="210">
        <f t="shared" si="7"/>
        <v>83581</v>
      </c>
      <c r="DK8" s="210">
        <f t="shared" si="7"/>
        <v>83946</v>
      </c>
      <c r="DL8" s="210">
        <f t="shared" si="7"/>
        <v>84311</v>
      </c>
      <c r="DM8" s="210">
        <f t="shared" si="7"/>
        <v>84676</v>
      </c>
      <c r="DN8" s="210">
        <f t="shared" si="7"/>
        <v>85042</v>
      </c>
      <c r="DO8" s="210">
        <f t="shared" si="7"/>
        <v>85407</v>
      </c>
      <c r="DP8" s="210">
        <f t="shared" si="7"/>
        <v>85772</v>
      </c>
      <c r="DQ8" s="210">
        <f t="shared" si="7"/>
        <v>86137</v>
      </c>
      <c r="DR8" s="210">
        <f t="shared" si="7"/>
        <v>86503</v>
      </c>
      <c r="DS8" s="210">
        <f t="shared" si="7"/>
        <v>86868</v>
      </c>
      <c r="DT8" s="210">
        <f t="shared" si="7"/>
        <v>87233</v>
      </c>
      <c r="DU8" s="210">
        <f t="shared" si="7"/>
        <v>87598</v>
      </c>
      <c r="DV8" s="210">
        <f t="shared" si="7"/>
        <v>87964</v>
      </c>
    </row>
    <row r="9" spans="1:130" ht="11.25" customHeight="1">
      <c r="B9" s="211" t="s">
        <v>181</v>
      </c>
      <c r="C9" s="212"/>
      <c r="D9" s="212"/>
      <c r="E9" s="212"/>
      <c r="F9" s="212"/>
      <c r="G9" s="212"/>
      <c r="H9" s="213"/>
      <c r="I9" s="214"/>
      <c r="J9" s="215">
        <f ca="1">SUM(J10,J17,J29,J35,J44)</f>
        <v>43526238.642517343</v>
      </c>
      <c r="L9" s="216">
        <f t="shared" ref="L9:BW9" ca="1" si="8">SUM(L10,L17,L29,L35,L44)</f>
        <v>-12856669.630531998</v>
      </c>
      <c r="M9" s="217">
        <f t="shared" ca="1" si="8"/>
        <v>15232587.974094989</v>
      </c>
      <c r="N9" s="217">
        <f t="shared" ca="1" si="8"/>
        <v>2741952.3421930624</v>
      </c>
      <c r="O9" s="217">
        <f t="shared" ca="1" si="8"/>
        <v>-1956387.375504815</v>
      </c>
      <c r="P9" s="217">
        <f t="shared" ca="1" si="8"/>
        <v>4194280.701618047</v>
      </c>
      <c r="Q9" s="217">
        <f t="shared" ca="1" si="8"/>
        <v>4668019.9322713912</v>
      </c>
      <c r="R9" s="217">
        <f t="shared" ca="1" si="8"/>
        <v>5744145.0865494506</v>
      </c>
      <c r="S9" s="217">
        <f t="shared" ca="1" si="8"/>
        <v>6191487.8356066076</v>
      </c>
      <c r="T9" s="217">
        <f t="shared" ca="1" si="8"/>
        <v>5743094.9213929912</v>
      </c>
      <c r="U9" s="217">
        <f t="shared" ca="1" si="8"/>
        <v>6714246.9618273852</v>
      </c>
      <c r="V9" s="217">
        <f t="shared" ca="1" si="8"/>
        <v>7109479.8930001575</v>
      </c>
      <c r="W9" s="217">
        <f t="shared" ca="1" si="8"/>
        <v>0</v>
      </c>
      <c r="X9" s="217">
        <f t="shared" ca="1" si="8"/>
        <v>0</v>
      </c>
      <c r="Y9" s="217">
        <f t="shared" si="8"/>
        <v>0</v>
      </c>
      <c r="Z9" s="217">
        <f t="shared" si="8"/>
        <v>0</v>
      </c>
      <c r="AA9" s="217">
        <f t="shared" si="8"/>
        <v>0</v>
      </c>
      <c r="AB9" s="217">
        <f t="shared" si="8"/>
        <v>0</v>
      </c>
      <c r="AC9" s="217">
        <f t="shared" si="8"/>
        <v>0</v>
      </c>
      <c r="AD9" s="217">
        <f t="shared" si="8"/>
        <v>0</v>
      </c>
      <c r="AE9" s="217">
        <f t="shared" si="8"/>
        <v>0</v>
      </c>
      <c r="AF9" s="217">
        <f t="shared" si="8"/>
        <v>0</v>
      </c>
      <c r="AG9" s="217">
        <f t="shared" si="8"/>
        <v>0</v>
      </c>
      <c r="AH9" s="217">
        <f t="shared" si="8"/>
        <v>0</v>
      </c>
      <c r="AI9" s="217">
        <f t="shared" si="8"/>
        <v>0</v>
      </c>
      <c r="AJ9" s="217">
        <f t="shared" si="8"/>
        <v>0</v>
      </c>
      <c r="AK9" s="217">
        <f t="shared" si="8"/>
        <v>0</v>
      </c>
      <c r="AL9" s="217">
        <f t="shared" si="8"/>
        <v>0</v>
      </c>
      <c r="AM9" s="217">
        <f t="shared" si="8"/>
        <v>0</v>
      </c>
      <c r="AN9" s="217">
        <f t="shared" si="8"/>
        <v>0</v>
      </c>
      <c r="AO9" s="217">
        <f t="shared" si="8"/>
        <v>0</v>
      </c>
      <c r="AP9" s="217">
        <f t="shared" si="8"/>
        <v>0</v>
      </c>
      <c r="AQ9" s="217">
        <f t="shared" si="8"/>
        <v>0</v>
      </c>
      <c r="AR9" s="217">
        <f t="shared" si="8"/>
        <v>0</v>
      </c>
      <c r="AS9" s="217">
        <f t="shared" si="8"/>
        <v>0</v>
      </c>
      <c r="AT9" s="217">
        <f t="shared" si="8"/>
        <v>0</v>
      </c>
      <c r="AU9" s="217">
        <f t="shared" si="8"/>
        <v>0</v>
      </c>
      <c r="AV9" s="217">
        <f t="shared" si="8"/>
        <v>0</v>
      </c>
      <c r="AW9" s="217">
        <f t="shared" si="8"/>
        <v>0</v>
      </c>
      <c r="AX9" s="217">
        <f t="shared" si="8"/>
        <v>0</v>
      </c>
      <c r="AY9" s="217">
        <f t="shared" si="8"/>
        <v>0</v>
      </c>
      <c r="AZ9" s="217">
        <f t="shared" si="8"/>
        <v>0</v>
      </c>
      <c r="BA9" s="217">
        <f t="shared" si="8"/>
        <v>0</v>
      </c>
      <c r="BB9" s="217">
        <f t="shared" si="8"/>
        <v>0</v>
      </c>
      <c r="BC9" s="217">
        <f t="shared" si="8"/>
        <v>0</v>
      </c>
      <c r="BD9" s="217">
        <f t="shared" si="8"/>
        <v>0</v>
      </c>
      <c r="BE9" s="217">
        <f t="shared" si="8"/>
        <v>0</v>
      </c>
      <c r="BF9" s="217">
        <f t="shared" si="8"/>
        <v>0</v>
      </c>
      <c r="BG9" s="217">
        <f t="shared" si="8"/>
        <v>0</v>
      </c>
      <c r="BH9" s="217">
        <f t="shared" si="8"/>
        <v>0</v>
      </c>
      <c r="BI9" s="217">
        <f t="shared" si="8"/>
        <v>0</v>
      </c>
      <c r="BJ9" s="217">
        <f t="shared" si="8"/>
        <v>0</v>
      </c>
      <c r="BK9" s="217">
        <f t="shared" si="8"/>
        <v>0</v>
      </c>
      <c r="BL9" s="217">
        <f t="shared" si="8"/>
        <v>0</v>
      </c>
      <c r="BM9" s="217">
        <f t="shared" si="8"/>
        <v>0</v>
      </c>
      <c r="BN9" s="217">
        <f t="shared" si="8"/>
        <v>0</v>
      </c>
      <c r="BO9" s="217">
        <f t="shared" si="8"/>
        <v>0</v>
      </c>
      <c r="BP9" s="217">
        <f t="shared" si="8"/>
        <v>0</v>
      </c>
      <c r="BQ9" s="217">
        <f t="shared" si="8"/>
        <v>0</v>
      </c>
      <c r="BR9" s="217">
        <f t="shared" si="8"/>
        <v>0</v>
      </c>
      <c r="BS9" s="217">
        <f t="shared" si="8"/>
        <v>0</v>
      </c>
      <c r="BT9" s="217">
        <f t="shared" si="8"/>
        <v>0</v>
      </c>
      <c r="BU9" s="217">
        <f t="shared" si="8"/>
        <v>0</v>
      </c>
      <c r="BV9" s="217">
        <f t="shared" si="8"/>
        <v>0</v>
      </c>
      <c r="BW9" s="217">
        <f t="shared" si="8"/>
        <v>0</v>
      </c>
      <c r="BX9" s="217">
        <f t="shared" ref="BX9:DV9" si="9">SUM(BX10,BX17,BX29,BX35,BX44)</f>
        <v>0</v>
      </c>
      <c r="BY9" s="217">
        <f t="shared" si="9"/>
        <v>0</v>
      </c>
      <c r="BZ9" s="217">
        <f t="shared" si="9"/>
        <v>0</v>
      </c>
      <c r="CA9" s="217">
        <f t="shared" si="9"/>
        <v>0</v>
      </c>
      <c r="CB9" s="217">
        <f t="shared" si="9"/>
        <v>0</v>
      </c>
      <c r="CC9" s="217">
        <f t="shared" si="9"/>
        <v>0</v>
      </c>
      <c r="CD9" s="217">
        <f t="shared" si="9"/>
        <v>0</v>
      </c>
      <c r="CE9" s="217">
        <f t="shared" si="9"/>
        <v>0</v>
      </c>
      <c r="CF9" s="217">
        <f t="shared" si="9"/>
        <v>0</v>
      </c>
      <c r="CG9" s="217">
        <f t="shared" si="9"/>
        <v>0</v>
      </c>
      <c r="CH9" s="217">
        <f t="shared" si="9"/>
        <v>0</v>
      </c>
      <c r="CI9" s="217">
        <f t="shared" si="9"/>
        <v>0</v>
      </c>
      <c r="CJ9" s="217">
        <f t="shared" si="9"/>
        <v>0</v>
      </c>
      <c r="CK9" s="217">
        <f t="shared" si="9"/>
        <v>0</v>
      </c>
      <c r="CL9" s="217">
        <f t="shared" si="9"/>
        <v>0</v>
      </c>
      <c r="CM9" s="217">
        <f t="shared" si="9"/>
        <v>0</v>
      </c>
      <c r="CN9" s="217">
        <f t="shared" si="9"/>
        <v>0</v>
      </c>
      <c r="CO9" s="217">
        <f t="shared" si="9"/>
        <v>0</v>
      </c>
      <c r="CP9" s="217">
        <f t="shared" si="9"/>
        <v>0</v>
      </c>
      <c r="CQ9" s="217">
        <f t="shared" si="9"/>
        <v>0</v>
      </c>
      <c r="CR9" s="217">
        <f t="shared" si="9"/>
        <v>0</v>
      </c>
      <c r="CS9" s="217">
        <f t="shared" si="9"/>
        <v>0</v>
      </c>
      <c r="CT9" s="217">
        <f t="shared" si="9"/>
        <v>0</v>
      </c>
      <c r="CU9" s="217">
        <f t="shared" si="9"/>
        <v>0</v>
      </c>
      <c r="CV9" s="217">
        <f t="shared" si="9"/>
        <v>0</v>
      </c>
      <c r="CW9" s="217">
        <f t="shared" si="9"/>
        <v>0</v>
      </c>
      <c r="CX9" s="217">
        <f t="shared" si="9"/>
        <v>0</v>
      </c>
      <c r="CY9" s="217">
        <f t="shared" si="9"/>
        <v>0</v>
      </c>
      <c r="CZ9" s="217">
        <f t="shared" si="9"/>
        <v>0</v>
      </c>
      <c r="DA9" s="217">
        <f t="shared" si="9"/>
        <v>0</v>
      </c>
      <c r="DB9" s="217">
        <f t="shared" si="9"/>
        <v>0</v>
      </c>
      <c r="DC9" s="217">
        <f t="shared" si="9"/>
        <v>0</v>
      </c>
      <c r="DD9" s="217">
        <f t="shared" si="9"/>
        <v>0</v>
      </c>
      <c r="DE9" s="217">
        <f t="shared" si="9"/>
        <v>0</v>
      </c>
      <c r="DF9" s="217">
        <f t="shared" si="9"/>
        <v>0</v>
      </c>
      <c r="DG9" s="217">
        <f t="shared" si="9"/>
        <v>0</v>
      </c>
      <c r="DH9" s="217">
        <f t="shared" si="9"/>
        <v>0</v>
      </c>
      <c r="DI9" s="217">
        <f t="shared" si="9"/>
        <v>0</v>
      </c>
      <c r="DJ9" s="217">
        <f t="shared" si="9"/>
        <v>0</v>
      </c>
      <c r="DK9" s="217">
        <f t="shared" si="9"/>
        <v>0</v>
      </c>
      <c r="DL9" s="217">
        <f t="shared" si="9"/>
        <v>0</v>
      </c>
      <c r="DM9" s="217">
        <f t="shared" si="9"/>
        <v>0</v>
      </c>
      <c r="DN9" s="217">
        <f t="shared" si="9"/>
        <v>0</v>
      </c>
      <c r="DO9" s="217">
        <f t="shared" si="9"/>
        <v>0</v>
      </c>
      <c r="DP9" s="217">
        <f t="shared" si="9"/>
        <v>0</v>
      </c>
      <c r="DQ9" s="217">
        <f t="shared" si="9"/>
        <v>0</v>
      </c>
      <c r="DR9" s="217">
        <f t="shared" si="9"/>
        <v>0</v>
      </c>
      <c r="DS9" s="217">
        <f t="shared" si="9"/>
        <v>0</v>
      </c>
      <c r="DT9" s="217">
        <f t="shared" si="9"/>
        <v>0</v>
      </c>
      <c r="DU9" s="217">
        <f t="shared" si="9"/>
        <v>0</v>
      </c>
      <c r="DV9" s="217">
        <f t="shared" si="9"/>
        <v>0</v>
      </c>
    </row>
    <row r="10" spans="1:130" ht="11.25" customHeight="1">
      <c r="B10" s="218"/>
      <c r="C10" s="158" t="s">
        <v>182</v>
      </c>
      <c r="D10" s="159"/>
      <c r="E10" s="159"/>
      <c r="F10" s="159"/>
      <c r="G10" s="159"/>
      <c r="H10" s="160"/>
      <c r="I10" s="219"/>
      <c r="J10" s="220">
        <f ca="1">SUM(J11:J16)</f>
        <v>173411614.93373638</v>
      </c>
      <c r="K10" s="98"/>
      <c r="L10" s="162">
        <f>SUM(L11:L16)</f>
        <v>0</v>
      </c>
      <c r="M10" s="162">
        <f t="shared" ref="M10:BX10" ca="1" si="10">SUM(M11:M16)</f>
        <v>15337100.219276344</v>
      </c>
      <c r="N10" s="162">
        <f t="shared" ca="1" si="10"/>
        <v>15682859.408385647</v>
      </c>
      <c r="O10" s="162">
        <f t="shared" ca="1" si="10"/>
        <v>11366672.111531518</v>
      </c>
      <c r="P10" s="162">
        <f t="shared" ca="1" si="10"/>
        <v>17482771.279269997</v>
      </c>
      <c r="Q10" s="162">
        <f t="shared" ca="1" si="10"/>
        <v>17924190.017740354</v>
      </c>
      <c r="R10" s="162">
        <f t="shared" ca="1" si="10"/>
        <v>18366754.183811259</v>
      </c>
      <c r="S10" s="162">
        <f t="shared" ca="1" si="10"/>
        <v>18820382.454033937</v>
      </c>
      <c r="T10" s="162">
        <f t="shared" ca="1" si="10"/>
        <v>19064401.477767032</v>
      </c>
      <c r="U10" s="162">
        <f t="shared" ca="1" si="10"/>
        <v>19442248.085734565</v>
      </c>
      <c r="V10" s="162">
        <f t="shared" ca="1" si="10"/>
        <v>19924235.696185678</v>
      </c>
      <c r="W10" s="162">
        <f t="shared" ca="1" si="10"/>
        <v>0</v>
      </c>
      <c r="X10" s="162">
        <f t="shared" ca="1" si="10"/>
        <v>0</v>
      </c>
      <c r="Y10" s="162">
        <f t="shared" si="10"/>
        <v>0</v>
      </c>
      <c r="Z10" s="162">
        <f t="shared" si="10"/>
        <v>0</v>
      </c>
      <c r="AA10" s="162">
        <f t="shared" si="10"/>
        <v>0</v>
      </c>
      <c r="AB10" s="162">
        <f t="shared" si="10"/>
        <v>0</v>
      </c>
      <c r="AC10" s="162">
        <f t="shared" si="10"/>
        <v>0</v>
      </c>
      <c r="AD10" s="162">
        <f t="shared" si="10"/>
        <v>0</v>
      </c>
      <c r="AE10" s="162">
        <f t="shared" si="10"/>
        <v>0</v>
      </c>
      <c r="AF10" s="162">
        <f t="shared" si="10"/>
        <v>0</v>
      </c>
      <c r="AG10" s="162">
        <f t="shared" si="10"/>
        <v>0</v>
      </c>
      <c r="AH10" s="162">
        <f t="shared" si="10"/>
        <v>0</v>
      </c>
      <c r="AI10" s="162">
        <f t="shared" si="10"/>
        <v>0</v>
      </c>
      <c r="AJ10" s="162">
        <f t="shared" si="10"/>
        <v>0</v>
      </c>
      <c r="AK10" s="162">
        <f t="shared" si="10"/>
        <v>0</v>
      </c>
      <c r="AL10" s="162">
        <f t="shared" si="10"/>
        <v>0</v>
      </c>
      <c r="AM10" s="162">
        <f t="shared" si="10"/>
        <v>0</v>
      </c>
      <c r="AN10" s="162">
        <f t="shared" si="10"/>
        <v>0</v>
      </c>
      <c r="AO10" s="162">
        <f t="shared" si="10"/>
        <v>0</v>
      </c>
      <c r="AP10" s="162">
        <f t="shared" si="10"/>
        <v>0</v>
      </c>
      <c r="AQ10" s="162">
        <f t="shared" si="10"/>
        <v>0</v>
      </c>
      <c r="AR10" s="162">
        <f t="shared" si="10"/>
        <v>0</v>
      </c>
      <c r="AS10" s="162">
        <f t="shared" si="10"/>
        <v>0</v>
      </c>
      <c r="AT10" s="162">
        <f t="shared" si="10"/>
        <v>0</v>
      </c>
      <c r="AU10" s="162">
        <f t="shared" si="10"/>
        <v>0</v>
      </c>
      <c r="AV10" s="162">
        <f t="shared" si="10"/>
        <v>0</v>
      </c>
      <c r="AW10" s="162">
        <f t="shared" si="10"/>
        <v>0</v>
      </c>
      <c r="AX10" s="162">
        <f t="shared" si="10"/>
        <v>0</v>
      </c>
      <c r="AY10" s="162">
        <f t="shared" si="10"/>
        <v>0</v>
      </c>
      <c r="AZ10" s="162">
        <f t="shared" si="10"/>
        <v>0</v>
      </c>
      <c r="BA10" s="162">
        <f t="shared" si="10"/>
        <v>0</v>
      </c>
      <c r="BB10" s="162">
        <f t="shared" si="10"/>
        <v>0</v>
      </c>
      <c r="BC10" s="162">
        <f t="shared" si="10"/>
        <v>0</v>
      </c>
      <c r="BD10" s="162">
        <f t="shared" si="10"/>
        <v>0</v>
      </c>
      <c r="BE10" s="162">
        <f t="shared" si="10"/>
        <v>0</v>
      </c>
      <c r="BF10" s="162">
        <f t="shared" si="10"/>
        <v>0</v>
      </c>
      <c r="BG10" s="162">
        <f t="shared" si="10"/>
        <v>0</v>
      </c>
      <c r="BH10" s="162">
        <f t="shared" si="10"/>
        <v>0</v>
      </c>
      <c r="BI10" s="162">
        <f t="shared" si="10"/>
        <v>0</v>
      </c>
      <c r="BJ10" s="162">
        <f t="shared" si="10"/>
        <v>0</v>
      </c>
      <c r="BK10" s="162">
        <f t="shared" si="10"/>
        <v>0</v>
      </c>
      <c r="BL10" s="162">
        <f t="shared" si="10"/>
        <v>0</v>
      </c>
      <c r="BM10" s="162">
        <f t="shared" si="10"/>
        <v>0</v>
      </c>
      <c r="BN10" s="162">
        <f t="shared" si="10"/>
        <v>0</v>
      </c>
      <c r="BO10" s="162">
        <f t="shared" si="10"/>
        <v>0</v>
      </c>
      <c r="BP10" s="162">
        <f t="shared" si="10"/>
        <v>0</v>
      </c>
      <c r="BQ10" s="162">
        <f t="shared" si="10"/>
        <v>0</v>
      </c>
      <c r="BR10" s="162">
        <f t="shared" si="10"/>
        <v>0</v>
      </c>
      <c r="BS10" s="162">
        <f t="shared" si="10"/>
        <v>0</v>
      </c>
      <c r="BT10" s="162">
        <f t="shared" si="10"/>
        <v>0</v>
      </c>
      <c r="BU10" s="162">
        <f t="shared" si="10"/>
        <v>0</v>
      </c>
      <c r="BV10" s="162">
        <f t="shared" si="10"/>
        <v>0</v>
      </c>
      <c r="BW10" s="162">
        <f t="shared" si="10"/>
        <v>0</v>
      </c>
      <c r="BX10" s="162">
        <f t="shared" si="10"/>
        <v>0</v>
      </c>
      <c r="BY10" s="162">
        <f t="shared" ref="BY10:DV10" si="11">SUM(BY11:BY16)</f>
        <v>0</v>
      </c>
      <c r="BZ10" s="162">
        <f t="shared" si="11"/>
        <v>0</v>
      </c>
      <c r="CA10" s="162">
        <f t="shared" si="11"/>
        <v>0</v>
      </c>
      <c r="CB10" s="162">
        <f t="shared" si="11"/>
        <v>0</v>
      </c>
      <c r="CC10" s="162">
        <f t="shared" si="11"/>
        <v>0</v>
      </c>
      <c r="CD10" s="162">
        <f t="shared" si="11"/>
        <v>0</v>
      </c>
      <c r="CE10" s="162">
        <f t="shared" si="11"/>
        <v>0</v>
      </c>
      <c r="CF10" s="162">
        <f t="shared" si="11"/>
        <v>0</v>
      </c>
      <c r="CG10" s="162">
        <f t="shared" si="11"/>
        <v>0</v>
      </c>
      <c r="CH10" s="162">
        <f t="shared" si="11"/>
        <v>0</v>
      </c>
      <c r="CI10" s="162">
        <f t="shared" si="11"/>
        <v>0</v>
      </c>
      <c r="CJ10" s="162">
        <f t="shared" si="11"/>
        <v>0</v>
      </c>
      <c r="CK10" s="162">
        <f t="shared" si="11"/>
        <v>0</v>
      </c>
      <c r="CL10" s="162">
        <f t="shared" si="11"/>
        <v>0</v>
      </c>
      <c r="CM10" s="162">
        <f t="shared" si="11"/>
        <v>0</v>
      </c>
      <c r="CN10" s="162">
        <f t="shared" si="11"/>
        <v>0</v>
      </c>
      <c r="CO10" s="162">
        <f t="shared" si="11"/>
        <v>0</v>
      </c>
      <c r="CP10" s="162">
        <f t="shared" si="11"/>
        <v>0</v>
      </c>
      <c r="CQ10" s="162">
        <f t="shared" si="11"/>
        <v>0</v>
      </c>
      <c r="CR10" s="162">
        <f t="shared" si="11"/>
        <v>0</v>
      </c>
      <c r="CS10" s="162">
        <f t="shared" si="11"/>
        <v>0</v>
      </c>
      <c r="CT10" s="162">
        <f t="shared" si="11"/>
        <v>0</v>
      </c>
      <c r="CU10" s="162">
        <f t="shared" si="11"/>
        <v>0</v>
      </c>
      <c r="CV10" s="162">
        <f t="shared" si="11"/>
        <v>0</v>
      </c>
      <c r="CW10" s="162">
        <f t="shared" si="11"/>
        <v>0</v>
      </c>
      <c r="CX10" s="162">
        <f t="shared" si="11"/>
        <v>0</v>
      </c>
      <c r="CY10" s="162">
        <f t="shared" si="11"/>
        <v>0</v>
      </c>
      <c r="CZ10" s="162">
        <f t="shared" si="11"/>
        <v>0</v>
      </c>
      <c r="DA10" s="162">
        <f t="shared" si="11"/>
        <v>0</v>
      </c>
      <c r="DB10" s="162">
        <f t="shared" si="11"/>
        <v>0</v>
      </c>
      <c r="DC10" s="162">
        <f t="shared" si="11"/>
        <v>0</v>
      </c>
      <c r="DD10" s="162">
        <f t="shared" si="11"/>
        <v>0</v>
      </c>
      <c r="DE10" s="162">
        <f t="shared" si="11"/>
        <v>0</v>
      </c>
      <c r="DF10" s="162">
        <f t="shared" si="11"/>
        <v>0</v>
      </c>
      <c r="DG10" s="162">
        <f t="shared" si="11"/>
        <v>0</v>
      </c>
      <c r="DH10" s="162">
        <f t="shared" si="11"/>
        <v>0</v>
      </c>
      <c r="DI10" s="162">
        <f t="shared" si="11"/>
        <v>0</v>
      </c>
      <c r="DJ10" s="162">
        <f t="shared" si="11"/>
        <v>0</v>
      </c>
      <c r="DK10" s="162">
        <f t="shared" si="11"/>
        <v>0</v>
      </c>
      <c r="DL10" s="162">
        <f t="shared" si="11"/>
        <v>0</v>
      </c>
      <c r="DM10" s="162">
        <f t="shared" si="11"/>
        <v>0</v>
      </c>
      <c r="DN10" s="162">
        <f t="shared" si="11"/>
        <v>0</v>
      </c>
      <c r="DO10" s="162">
        <f t="shared" si="11"/>
        <v>0</v>
      </c>
      <c r="DP10" s="162">
        <f t="shared" si="11"/>
        <v>0</v>
      </c>
      <c r="DQ10" s="162">
        <f t="shared" si="11"/>
        <v>0</v>
      </c>
      <c r="DR10" s="162">
        <f t="shared" si="11"/>
        <v>0</v>
      </c>
      <c r="DS10" s="162">
        <f t="shared" si="11"/>
        <v>0</v>
      </c>
      <c r="DT10" s="162">
        <f t="shared" si="11"/>
        <v>0</v>
      </c>
      <c r="DU10" s="162">
        <f t="shared" si="11"/>
        <v>0</v>
      </c>
      <c r="DV10" s="162">
        <f t="shared" si="11"/>
        <v>0</v>
      </c>
    </row>
    <row r="11" spans="1:130" ht="11.25" customHeight="1">
      <c r="B11" s="218"/>
      <c r="C11" s="163"/>
      <c r="D11" s="164" t="s">
        <v>183</v>
      </c>
      <c r="E11" s="165"/>
      <c r="F11" s="165"/>
      <c r="G11" s="165"/>
      <c r="H11" s="166"/>
      <c r="I11" s="221"/>
      <c r="J11" s="168">
        <f>SUM(L11:DV11)</f>
        <v>170882854.58717033</v>
      </c>
      <c r="K11" s="98"/>
      <c r="L11" s="168">
        <f>SUMIF('CF(M)'!$L$11:$EQ$11,L$6,'CF(M)'!$L16:$EQ16)</f>
        <v>0</v>
      </c>
      <c r="M11" s="168">
        <f>SUMIF('CF(M)'!$L$11:$EQ$11,M$6,'CF(M)'!$L16:$EQ16)</f>
        <v>15119141.967331251</v>
      </c>
      <c r="N11" s="168">
        <f>SUMIF('CF(M)'!$L$11:$EQ$11,N$6,'CF(M)'!$L16:$EQ16)</f>
        <v>15464992.784514528</v>
      </c>
      <c r="O11" s="168">
        <f>SUMIF('CF(M)'!$L$11:$EQ$11,O$6,'CF(M)'!$L16:$EQ16)</f>
        <v>15934970.745352445</v>
      </c>
      <c r="P11" s="168">
        <f>SUMIF('CF(M)'!$L$11:$EQ$11,P$6,'CF(M)'!$L16:$EQ16)</f>
        <v>16617888.375131045</v>
      </c>
      <c r="Q11" s="168">
        <f>SUMIF('CF(M)'!$L$11:$EQ$11,Q$6,'CF(M)'!$L16:$EQ16)</f>
        <v>17043225.625370525</v>
      </c>
      <c r="R11" s="168">
        <f>SUMIF('CF(M)'!$L$11:$EQ$11,R$6,'CF(M)'!$L16:$EQ16)</f>
        <v>17469306.266004786</v>
      </c>
      <c r="S11" s="168">
        <f>SUMIF('CF(M)'!$L$11:$EQ$11,S$6,'CF(M)'!$L16:$EQ16)</f>
        <v>17906038.922654904</v>
      </c>
      <c r="T11" s="168">
        <f>SUMIF('CF(M)'!$L$11:$EQ$11,T$6,'CF(M)'!$L16:$EQ16)</f>
        <v>18132751.055113904</v>
      </c>
      <c r="U11" s="168">
        <f>SUMIF('CF(M)'!$L$11:$EQ$11,U$6,'CF(M)'!$L16:$EQ16)</f>
        <v>18366946.594082259</v>
      </c>
      <c r="V11" s="168">
        <f>SUMIF('CF(M)'!$L$11:$EQ$11,V$6,'CF(M)'!$L16:$EQ16)</f>
        <v>18827592.251614664</v>
      </c>
      <c r="W11" s="168">
        <f>SUMIF('CF(M)'!$L$11:$EQ$11,W$6,'CF(M)'!$L16:$EQ16)</f>
        <v>0</v>
      </c>
      <c r="X11" s="168">
        <f>SUMIF('CF(M)'!$L$11:$EQ$11,X$6,'CF(M)'!$L16:$EQ16)</f>
        <v>0</v>
      </c>
      <c r="Y11" s="168">
        <f>SUMIF('CF(M)'!$L$11:$EQ$11,Y$6,'CF(M)'!$L16:$EQ16)</f>
        <v>0</v>
      </c>
      <c r="Z11" s="168">
        <f>SUMIF('CF(M)'!$L$11:$EQ$11,Z$6,'CF(M)'!$L16:$EQ16)</f>
        <v>0</v>
      </c>
      <c r="AA11" s="168">
        <f>SUMIF('CF(M)'!$L$11:$EQ$11,AA$6,'CF(M)'!$L16:$EQ16)</f>
        <v>0</v>
      </c>
      <c r="AB11" s="168">
        <f>SUMIF('CF(M)'!$L$11:$EQ$11,AB$6,'CF(M)'!$L16:$EQ16)</f>
        <v>0</v>
      </c>
      <c r="AC11" s="168">
        <f>SUMIF('CF(M)'!$L$11:$EQ$11,AC$6,'CF(M)'!$L16:$EQ16)</f>
        <v>0</v>
      </c>
      <c r="AD11" s="168">
        <f>SUMIF('CF(M)'!$L$11:$EQ$11,AD$6,'CF(M)'!$L16:$EQ16)</f>
        <v>0</v>
      </c>
      <c r="AE11" s="168">
        <f>SUMIF('CF(M)'!$L$11:$EQ$11,AE$6,'CF(M)'!$L16:$EQ16)</f>
        <v>0</v>
      </c>
      <c r="AF11" s="168">
        <f>SUMIF('CF(M)'!$L$11:$EQ$11,AF$6,'CF(M)'!$L16:$EQ16)</f>
        <v>0</v>
      </c>
      <c r="AG11" s="168">
        <f>SUMIF('CF(M)'!$L$11:$EQ$11,AG$6,'CF(M)'!$L16:$EQ16)</f>
        <v>0</v>
      </c>
      <c r="AH11" s="168">
        <f>SUMIF('CF(M)'!$L$11:$EQ$11,AH$6,'CF(M)'!$L16:$EQ16)</f>
        <v>0</v>
      </c>
      <c r="AI11" s="168">
        <f>SUMIF('CF(M)'!$L$11:$EQ$11,AI$6,'CF(M)'!$L16:$EQ16)</f>
        <v>0</v>
      </c>
      <c r="AJ11" s="168">
        <f>SUMIF('CF(M)'!$L$11:$EQ$11,AJ$6,'CF(M)'!$L16:$EQ16)</f>
        <v>0</v>
      </c>
      <c r="AK11" s="168">
        <f>SUMIF('CF(M)'!$L$11:$EQ$11,AK$6,'CF(M)'!$L16:$EQ16)</f>
        <v>0</v>
      </c>
      <c r="AL11" s="168">
        <f>SUMIF('CF(M)'!$L$11:$EQ$11,AL$6,'CF(M)'!$L16:$EQ16)</f>
        <v>0</v>
      </c>
      <c r="AM11" s="168">
        <f>SUMIF('CF(M)'!$L$11:$EQ$11,AM$6,'CF(M)'!$L16:$EQ16)</f>
        <v>0</v>
      </c>
      <c r="AN11" s="168">
        <f>SUMIF('CF(M)'!$L$11:$EQ$11,AN$6,'CF(M)'!$L16:$EQ16)</f>
        <v>0</v>
      </c>
      <c r="AO11" s="168">
        <f>SUMIF('CF(M)'!$L$11:$EQ$11,AO$6,'CF(M)'!$L16:$EQ16)</f>
        <v>0</v>
      </c>
      <c r="AP11" s="168">
        <f>SUMIF('CF(M)'!$L$11:$EQ$11,AP$6,'CF(M)'!$L16:$EQ16)</f>
        <v>0</v>
      </c>
      <c r="AQ11" s="168">
        <f>SUMIF('CF(M)'!$L$11:$EQ$11,AQ$6,'CF(M)'!$L16:$EQ16)</f>
        <v>0</v>
      </c>
      <c r="AR11" s="168">
        <f>SUMIF('CF(M)'!$L$11:$EQ$11,AR$6,'CF(M)'!$L16:$EQ16)</f>
        <v>0</v>
      </c>
      <c r="AS11" s="168">
        <f>SUMIF('CF(M)'!$L$11:$EQ$11,AS$6,'CF(M)'!$L16:$EQ16)</f>
        <v>0</v>
      </c>
      <c r="AT11" s="168">
        <f>SUMIF('CF(M)'!$L$11:$EQ$11,AT$6,'CF(M)'!$L16:$EQ16)</f>
        <v>0</v>
      </c>
      <c r="AU11" s="168">
        <f>SUMIF('CF(M)'!$L$11:$EQ$11,AU$6,'CF(M)'!$L16:$EQ16)</f>
        <v>0</v>
      </c>
      <c r="AV11" s="168">
        <f>SUMIF('CF(M)'!$L$11:$EQ$11,AV$6,'CF(M)'!$L16:$EQ16)</f>
        <v>0</v>
      </c>
      <c r="AW11" s="168">
        <f>SUMIF('CF(M)'!$L$11:$EQ$11,AW$6,'CF(M)'!$L16:$EQ16)</f>
        <v>0</v>
      </c>
      <c r="AX11" s="168">
        <f>SUMIF('CF(M)'!$L$11:$EQ$11,AX$6,'CF(M)'!$L16:$EQ16)</f>
        <v>0</v>
      </c>
      <c r="AY11" s="168">
        <f>SUMIF('CF(M)'!$L$11:$EQ$11,AY$6,'CF(M)'!$L16:$EQ16)</f>
        <v>0</v>
      </c>
      <c r="AZ11" s="168">
        <f>SUMIF('CF(M)'!$L$11:$EQ$11,AZ$6,'CF(M)'!$L16:$EQ16)</f>
        <v>0</v>
      </c>
      <c r="BA11" s="168">
        <f>SUMIF('CF(M)'!$L$11:$EQ$11,BA$6,'CF(M)'!$L16:$EQ16)</f>
        <v>0</v>
      </c>
      <c r="BB11" s="168">
        <f>SUMIF('CF(M)'!$L$11:$EQ$11,BB$6,'CF(M)'!$L16:$EQ16)</f>
        <v>0</v>
      </c>
      <c r="BC11" s="168">
        <f>SUMIF('CF(M)'!$L$11:$EQ$11,BC$6,'CF(M)'!$L16:$EQ16)</f>
        <v>0</v>
      </c>
      <c r="BD11" s="168">
        <f>SUMIF('CF(M)'!$L$11:$EQ$11,BD$6,'CF(M)'!$L16:$EQ16)</f>
        <v>0</v>
      </c>
      <c r="BE11" s="168">
        <f>SUMIF('CF(M)'!$L$11:$EQ$11,BE$6,'CF(M)'!$L16:$EQ16)</f>
        <v>0</v>
      </c>
      <c r="BF11" s="168">
        <f>SUMIF('CF(M)'!$L$11:$EQ$11,BF$6,'CF(M)'!$L16:$EQ16)</f>
        <v>0</v>
      </c>
      <c r="BG11" s="168">
        <f>SUMIF('CF(M)'!$L$11:$EQ$11,BG$6,'CF(M)'!$L16:$EQ16)</f>
        <v>0</v>
      </c>
      <c r="BH11" s="168">
        <f>SUMIF('CF(M)'!$L$11:$EQ$11,BH$6,'CF(M)'!$L16:$EQ16)</f>
        <v>0</v>
      </c>
      <c r="BI11" s="168">
        <f>SUMIF('CF(M)'!$L$11:$EQ$11,BI$6,'CF(M)'!$L16:$EQ16)</f>
        <v>0</v>
      </c>
      <c r="BJ11" s="168">
        <f>SUMIF('CF(M)'!$L$11:$EQ$11,BJ$6,'CF(M)'!$L16:$EQ16)</f>
        <v>0</v>
      </c>
      <c r="BK11" s="168">
        <f>SUMIF('CF(M)'!$L$11:$EQ$11,BK$6,'CF(M)'!$L16:$EQ16)</f>
        <v>0</v>
      </c>
      <c r="BL11" s="168">
        <f>SUMIF('CF(M)'!$L$11:$EQ$11,BL$6,'CF(M)'!$L16:$EQ16)</f>
        <v>0</v>
      </c>
      <c r="BM11" s="168">
        <f>SUMIF('CF(M)'!$L$11:$EQ$11,BM$6,'CF(M)'!$L16:$EQ16)</f>
        <v>0</v>
      </c>
      <c r="BN11" s="168">
        <f>SUMIF('CF(M)'!$L$11:$EQ$11,BN$6,'CF(M)'!$L16:$EQ16)</f>
        <v>0</v>
      </c>
      <c r="BO11" s="168">
        <f>SUMIF('CF(M)'!$L$11:$EQ$11,BO$6,'CF(M)'!$L16:$EQ16)</f>
        <v>0</v>
      </c>
      <c r="BP11" s="168">
        <f>SUMIF('CF(M)'!$L$11:$EQ$11,BP$6,'CF(M)'!$L16:$EQ16)</f>
        <v>0</v>
      </c>
      <c r="BQ11" s="168">
        <f>SUMIF('CF(M)'!$L$11:$EQ$11,BQ$6,'CF(M)'!$L16:$EQ16)</f>
        <v>0</v>
      </c>
      <c r="BR11" s="168">
        <f>SUMIF('CF(M)'!$L$11:$EQ$11,BR$6,'CF(M)'!$L16:$EQ16)</f>
        <v>0</v>
      </c>
      <c r="BS11" s="168">
        <f>SUMIF('CF(M)'!$L$11:$EQ$11,BS$6,'CF(M)'!$L16:$EQ16)</f>
        <v>0</v>
      </c>
      <c r="BT11" s="168">
        <f>SUMIF('CF(M)'!$L$11:$EQ$11,BT$6,'CF(M)'!$L16:$EQ16)</f>
        <v>0</v>
      </c>
      <c r="BU11" s="168">
        <f>SUMIF('CF(M)'!$L$11:$EQ$11,BU$6,'CF(M)'!$L16:$EQ16)</f>
        <v>0</v>
      </c>
      <c r="BV11" s="168">
        <f>SUMIF('CF(M)'!$L$11:$EQ$11,BV$6,'CF(M)'!$L16:$EQ16)</f>
        <v>0</v>
      </c>
      <c r="BW11" s="168">
        <f>SUMIF('CF(M)'!$L$11:$EQ$11,BW$6,'CF(M)'!$L16:$EQ16)</f>
        <v>0</v>
      </c>
      <c r="BX11" s="168">
        <f>SUMIF('CF(M)'!$L$11:$EQ$11,BX$6,'CF(M)'!$L16:$EQ16)</f>
        <v>0</v>
      </c>
      <c r="BY11" s="168">
        <f>SUMIF('CF(M)'!$L$11:$EQ$11,BY$6,'CF(M)'!$L16:$EQ16)</f>
        <v>0</v>
      </c>
      <c r="BZ11" s="168">
        <f>SUMIF('CF(M)'!$L$11:$EQ$11,BZ$6,'CF(M)'!$L16:$EQ16)</f>
        <v>0</v>
      </c>
      <c r="CA11" s="168">
        <f>SUMIF('CF(M)'!$L$11:$EQ$11,CA$6,'CF(M)'!$L16:$EQ16)</f>
        <v>0</v>
      </c>
      <c r="CB11" s="168">
        <f>SUMIF('CF(M)'!$L$11:$EQ$11,CB$6,'CF(M)'!$L16:$EQ16)</f>
        <v>0</v>
      </c>
      <c r="CC11" s="168">
        <f>SUMIF('CF(M)'!$L$11:$EQ$11,CC$6,'CF(M)'!$L16:$EQ16)</f>
        <v>0</v>
      </c>
      <c r="CD11" s="168">
        <f>SUMIF('CF(M)'!$L$11:$EQ$11,CD$6,'CF(M)'!$L16:$EQ16)</f>
        <v>0</v>
      </c>
      <c r="CE11" s="168">
        <f>SUMIF('CF(M)'!$L$11:$EQ$11,CE$6,'CF(M)'!$L16:$EQ16)</f>
        <v>0</v>
      </c>
      <c r="CF11" s="168">
        <f>SUMIF('CF(M)'!$L$11:$EQ$11,CF$6,'CF(M)'!$L16:$EQ16)</f>
        <v>0</v>
      </c>
      <c r="CG11" s="168">
        <f>SUMIF('CF(M)'!$L$11:$EQ$11,CG$6,'CF(M)'!$L16:$EQ16)</f>
        <v>0</v>
      </c>
      <c r="CH11" s="168">
        <f>SUMIF('CF(M)'!$L$11:$EQ$11,CH$6,'CF(M)'!$L16:$EQ16)</f>
        <v>0</v>
      </c>
      <c r="CI11" s="168">
        <f>SUMIF('CF(M)'!$L$11:$EQ$11,CI$6,'CF(M)'!$L16:$EQ16)</f>
        <v>0</v>
      </c>
      <c r="CJ11" s="168">
        <f>SUMIF('CF(M)'!$L$11:$EQ$11,CJ$6,'CF(M)'!$L16:$EQ16)</f>
        <v>0</v>
      </c>
      <c r="CK11" s="168">
        <f>SUMIF('CF(M)'!$L$11:$EQ$11,CK$6,'CF(M)'!$L16:$EQ16)</f>
        <v>0</v>
      </c>
      <c r="CL11" s="168">
        <f>SUMIF('CF(M)'!$L$11:$EQ$11,CL$6,'CF(M)'!$L16:$EQ16)</f>
        <v>0</v>
      </c>
      <c r="CM11" s="168">
        <f>SUMIF('CF(M)'!$L$11:$EQ$11,CM$6,'CF(M)'!$L16:$EQ16)</f>
        <v>0</v>
      </c>
      <c r="CN11" s="168">
        <f>SUMIF('CF(M)'!$L$11:$EQ$11,CN$6,'CF(M)'!$L16:$EQ16)</f>
        <v>0</v>
      </c>
      <c r="CO11" s="168">
        <f>SUMIF('CF(M)'!$L$11:$EQ$11,CO$6,'CF(M)'!$L16:$EQ16)</f>
        <v>0</v>
      </c>
      <c r="CP11" s="168">
        <f>SUMIF('CF(M)'!$L$11:$EQ$11,CP$6,'CF(M)'!$L16:$EQ16)</f>
        <v>0</v>
      </c>
      <c r="CQ11" s="168">
        <f>SUMIF('CF(M)'!$L$11:$EQ$11,CQ$6,'CF(M)'!$L16:$EQ16)</f>
        <v>0</v>
      </c>
      <c r="CR11" s="168">
        <f>SUMIF('CF(M)'!$L$11:$EQ$11,CR$6,'CF(M)'!$L16:$EQ16)</f>
        <v>0</v>
      </c>
      <c r="CS11" s="168">
        <f>SUMIF('CF(M)'!$L$11:$EQ$11,CS$6,'CF(M)'!$L16:$EQ16)</f>
        <v>0</v>
      </c>
      <c r="CT11" s="168">
        <f>SUMIF('CF(M)'!$L$11:$EQ$11,CT$6,'CF(M)'!$L16:$EQ16)</f>
        <v>0</v>
      </c>
      <c r="CU11" s="168">
        <f>SUMIF('CF(M)'!$L$11:$EQ$11,CU$6,'CF(M)'!$L16:$EQ16)</f>
        <v>0</v>
      </c>
      <c r="CV11" s="168">
        <f>SUMIF('CF(M)'!$L$11:$EQ$11,CV$6,'CF(M)'!$L16:$EQ16)</f>
        <v>0</v>
      </c>
      <c r="CW11" s="168">
        <f>SUMIF('CF(M)'!$L$11:$EQ$11,CW$6,'CF(M)'!$L16:$EQ16)</f>
        <v>0</v>
      </c>
      <c r="CX11" s="168">
        <f>SUMIF('CF(M)'!$L$11:$EQ$11,CX$6,'CF(M)'!$L16:$EQ16)</f>
        <v>0</v>
      </c>
      <c r="CY11" s="168">
        <f>SUMIF('CF(M)'!$L$11:$EQ$11,CY$6,'CF(M)'!$L16:$EQ16)</f>
        <v>0</v>
      </c>
      <c r="CZ11" s="168">
        <f>SUMIF('CF(M)'!$L$11:$EQ$11,CZ$6,'CF(M)'!$L16:$EQ16)</f>
        <v>0</v>
      </c>
      <c r="DA11" s="168">
        <f>SUMIF('CF(M)'!$L$11:$EQ$11,DA$6,'CF(M)'!$L16:$EQ16)</f>
        <v>0</v>
      </c>
      <c r="DB11" s="168">
        <f>SUMIF('CF(M)'!$L$11:$EQ$11,DB$6,'CF(M)'!$L16:$EQ16)</f>
        <v>0</v>
      </c>
      <c r="DC11" s="168">
        <f>SUMIF('CF(M)'!$L$11:$EQ$11,DC$6,'CF(M)'!$L16:$EQ16)</f>
        <v>0</v>
      </c>
      <c r="DD11" s="168">
        <f>SUMIF('CF(M)'!$L$11:$EQ$11,DD$6,'CF(M)'!$L16:$EQ16)</f>
        <v>0</v>
      </c>
      <c r="DE11" s="168">
        <f>SUMIF('CF(M)'!$L$11:$EQ$11,DE$6,'CF(M)'!$L16:$EQ16)</f>
        <v>0</v>
      </c>
      <c r="DF11" s="168">
        <f>SUMIF('CF(M)'!$L$11:$EQ$11,DF$6,'CF(M)'!$L16:$EQ16)</f>
        <v>0</v>
      </c>
      <c r="DG11" s="168">
        <f>SUMIF('CF(M)'!$L$11:$EQ$11,DG$6,'CF(M)'!$L16:$EQ16)</f>
        <v>0</v>
      </c>
      <c r="DH11" s="168">
        <f>SUMIF('CF(M)'!$L$11:$EQ$11,DH$6,'CF(M)'!$L16:$EQ16)</f>
        <v>0</v>
      </c>
      <c r="DI11" s="168">
        <f>SUMIF('CF(M)'!$L$11:$EQ$11,DI$6,'CF(M)'!$L16:$EQ16)</f>
        <v>0</v>
      </c>
      <c r="DJ11" s="168">
        <f>SUMIF('CF(M)'!$L$11:$EQ$11,DJ$6,'CF(M)'!$L16:$EQ16)</f>
        <v>0</v>
      </c>
      <c r="DK11" s="168">
        <f>SUMIF('CF(M)'!$L$11:$EQ$11,DK$6,'CF(M)'!$L16:$EQ16)</f>
        <v>0</v>
      </c>
      <c r="DL11" s="168">
        <f>SUMIF('CF(M)'!$L$11:$EQ$11,DL$6,'CF(M)'!$L16:$EQ16)</f>
        <v>0</v>
      </c>
      <c r="DM11" s="168">
        <f>SUMIF('CF(M)'!$L$11:$EQ$11,DM$6,'CF(M)'!$L16:$EQ16)</f>
        <v>0</v>
      </c>
      <c r="DN11" s="168">
        <f>SUMIF('CF(M)'!$L$11:$EQ$11,DN$6,'CF(M)'!$L16:$EQ16)</f>
        <v>0</v>
      </c>
      <c r="DO11" s="168">
        <f>SUMIF('CF(M)'!$L$11:$EQ$11,DO$6,'CF(M)'!$L16:$EQ16)</f>
        <v>0</v>
      </c>
      <c r="DP11" s="168">
        <f>SUMIF('CF(M)'!$L$11:$EQ$11,DP$6,'CF(M)'!$L16:$EQ16)</f>
        <v>0</v>
      </c>
      <c r="DQ11" s="168">
        <f>SUMIF('CF(M)'!$L$11:$EQ$11,DQ$6,'CF(M)'!$L16:$EQ16)</f>
        <v>0</v>
      </c>
      <c r="DR11" s="168">
        <f>SUMIF('CF(M)'!$L$11:$EQ$11,DR$6,'CF(M)'!$L16:$EQ16)</f>
        <v>0</v>
      </c>
      <c r="DS11" s="168">
        <f>SUMIF('CF(M)'!$L$11:$EQ$11,DS$6,'CF(M)'!$L16:$EQ16)</f>
        <v>0</v>
      </c>
      <c r="DT11" s="168">
        <f>SUMIF('CF(M)'!$L$11:$EQ$11,DT$6,'CF(M)'!$L16:$EQ16)</f>
        <v>0</v>
      </c>
      <c r="DU11" s="168">
        <f>SUMIF('CF(M)'!$L$11:$EQ$11,DU$6,'CF(M)'!$L16:$EQ16)</f>
        <v>0</v>
      </c>
      <c r="DV11" s="168">
        <f>SUMIF('CF(M)'!$L$11:$EQ$11,DV$6,'CF(M)'!$L16:$EQ16)</f>
        <v>0</v>
      </c>
    </row>
    <row r="12" spans="1:130" ht="11.25" customHeight="1">
      <c r="B12" s="218"/>
      <c r="C12" s="163"/>
      <c r="D12" s="169" t="s">
        <v>184</v>
      </c>
      <c r="H12" s="146"/>
      <c r="I12" s="13"/>
      <c r="J12" s="171">
        <f t="shared" ref="J12:J48" si="12">SUM(L12:DV12)</f>
        <v>-7537336.1067134282</v>
      </c>
      <c r="K12" s="98"/>
      <c r="L12" s="171">
        <f>SUMIF('CF(M)'!$L$11:$EQ$11,L$6,'CF(M)'!$L17:$EQ17)</f>
        <v>0</v>
      </c>
      <c r="M12" s="171">
        <f>SUMIF('CF(M)'!$L$11:$EQ$11,M$6,'CF(M)'!$L17:$EQ17)</f>
        <v>-704339.85074999987</v>
      </c>
      <c r="N12" s="171">
        <f>SUMIF('CF(M)'!$L$11:$EQ$11,N$6,'CF(M)'!$L17:$EQ17)</f>
        <v>-721948.34701875004</v>
      </c>
      <c r="O12" s="171">
        <f>SUMIF('CF(M)'!$L$11:$EQ$11,O$6,'CF(M)'!$L17:$EQ17)</f>
        <v>-5526068.3946104441</v>
      </c>
      <c r="P12" s="171">
        <f>SUMIF('CF(M)'!$L$11:$EQ$11,P$6,'CF(M)'!$L17:$EQ17)</f>
        <v>-111290.51629770116</v>
      </c>
      <c r="Q12" s="171">
        <f>SUMIF('CF(M)'!$L$11:$EQ$11,Q$6,'CF(M)'!$L17:$EQ17)</f>
        <v>-114072.77920514367</v>
      </c>
      <c r="R12" s="171">
        <f>SUMIF('CF(M)'!$L$11:$EQ$11,R$6,'CF(M)'!$L17:$EQ17)</f>
        <v>-116924.59868527227</v>
      </c>
      <c r="S12" s="171">
        <f>SUMIF('CF(M)'!$L$11:$EQ$11,S$6,'CF(M)'!$L17:$EQ17)</f>
        <v>-119847.71365240405</v>
      </c>
      <c r="T12" s="171">
        <f>SUMIF('CF(M)'!$L$11:$EQ$11,T$6,'CF(M)'!$L17:$EQ17)</f>
        <v>-122843.90649371414</v>
      </c>
      <c r="U12" s="171">
        <f>SUMIF('CF(M)'!$L$11:$EQ$11,U$6,'CF(M)'!$L17:$EQ17)</f>
        <v>0</v>
      </c>
      <c r="V12" s="171">
        <f>SUMIF('CF(M)'!$L$11:$EQ$11,V$6,'CF(M)'!$L17:$EQ17)</f>
        <v>0</v>
      </c>
      <c r="W12" s="171">
        <f>SUMIF('CF(M)'!$L$11:$EQ$11,W$6,'CF(M)'!$L17:$EQ17)</f>
        <v>0</v>
      </c>
      <c r="X12" s="171">
        <f>SUMIF('CF(M)'!$L$11:$EQ$11,X$6,'CF(M)'!$L17:$EQ17)</f>
        <v>0</v>
      </c>
      <c r="Y12" s="171">
        <f>SUMIF('CF(M)'!$L$11:$EQ$11,Y$6,'CF(M)'!$L17:$EQ17)</f>
        <v>0</v>
      </c>
      <c r="Z12" s="171">
        <f>SUMIF('CF(M)'!$L$11:$EQ$11,Z$6,'CF(M)'!$L17:$EQ17)</f>
        <v>0</v>
      </c>
      <c r="AA12" s="171">
        <f>SUMIF('CF(M)'!$L$11:$EQ$11,AA$6,'CF(M)'!$L17:$EQ17)</f>
        <v>0</v>
      </c>
      <c r="AB12" s="171">
        <f>SUMIF('CF(M)'!$L$11:$EQ$11,AB$6,'CF(M)'!$L17:$EQ17)</f>
        <v>0</v>
      </c>
      <c r="AC12" s="171">
        <f>SUMIF('CF(M)'!$L$11:$EQ$11,AC$6,'CF(M)'!$L17:$EQ17)</f>
        <v>0</v>
      </c>
      <c r="AD12" s="171">
        <f>SUMIF('CF(M)'!$L$11:$EQ$11,AD$6,'CF(M)'!$L17:$EQ17)</f>
        <v>0</v>
      </c>
      <c r="AE12" s="171">
        <f>SUMIF('CF(M)'!$L$11:$EQ$11,AE$6,'CF(M)'!$L17:$EQ17)</f>
        <v>0</v>
      </c>
      <c r="AF12" s="171">
        <f>SUMIF('CF(M)'!$L$11:$EQ$11,AF$6,'CF(M)'!$L17:$EQ17)</f>
        <v>0</v>
      </c>
      <c r="AG12" s="171">
        <f>SUMIF('CF(M)'!$L$11:$EQ$11,AG$6,'CF(M)'!$L17:$EQ17)</f>
        <v>0</v>
      </c>
      <c r="AH12" s="171">
        <f>SUMIF('CF(M)'!$L$11:$EQ$11,AH$6,'CF(M)'!$L17:$EQ17)</f>
        <v>0</v>
      </c>
      <c r="AI12" s="171">
        <f>SUMIF('CF(M)'!$L$11:$EQ$11,AI$6,'CF(M)'!$L17:$EQ17)</f>
        <v>0</v>
      </c>
      <c r="AJ12" s="171">
        <f>SUMIF('CF(M)'!$L$11:$EQ$11,AJ$6,'CF(M)'!$L17:$EQ17)</f>
        <v>0</v>
      </c>
      <c r="AK12" s="171">
        <f>SUMIF('CF(M)'!$L$11:$EQ$11,AK$6,'CF(M)'!$L17:$EQ17)</f>
        <v>0</v>
      </c>
      <c r="AL12" s="171">
        <f>SUMIF('CF(M)'!$L$11:$EQ$11,AL$6,'CF(M)'!$L17:$EQ17)</f>
        <v>0</v>
      </c>
      <c r="AM12" s="171">
        <f>SUMIF('CF(M)'!$L$11:$EQ$11,AM$6,'CF(M)'!$L17:$EQ17)</f>
        <v>0</v>
      </c>
      <c r="AN12" s="171">
        <f>SUMIF('CF(M)'!$L$11:$EQ$11,AN$6,'CF(M)'!$L17:$EQ17)</f>
        <v>0</v>
      </c>
      <c r="AO12" s="171">
        <f>SUMIF('CF(M)'!$L$11:$EQ$11,AO$6,'CF(M)'!$L17:$EQ17)</f>
        <v>0</v>
      </c>
      <c r="AP12" s="171">
        <f>SUMIF('CF(M)'!$L$11:$EQ$11,AP$6,'CF(M)'!$L17:$EQ17)</f>
        <v>0</v>
      </c>
      <c r="AQ12" s="171">
        <f>SUMIF('CF(M)'!$L$11:$EQ$11,AQ$6,'CF(M)'!$L17:$EQ17)</f>
        <v>0</v>
      </c>
      <c r="AR12" s="171">
        <f>SUMIF('CF(M)'!$L$11:$EQ$11,AR$6,'CF(M)'!$L17:$EQ17)</f>
        <v>0</v>
      </c>
      <c r="AS12" s="171">
        <f>SUMIF('CF(M)'!$L$11:$EQ$11,AS$6,'CF(M)'!$L17:$EQ17)</f>
        <v>0</v>
      </c>
      <c r="AT12" s="171">
        <f>SUMIF('CF(M)'!$L$11:$EQ$11,AT$6,'CF(M)'!$L17:$EQ17)</f>
        <v>0</v>
      </c>
      <c r="AU12" s="171">
        <f>SUMIF('CF(M)'!$L$11:$EQ$11,AU$6,'CF(M)'!$L17:$EQ17)</f>
        <v>0</v>
      </c>
      <c r="AV12" s="171">
        <f>SUMIF('CF(M)'!$L$11:$EQ$11,AV$6,'CF(M)'!$L17:$EQ17)</f>
        <v>0</v>
      </c>
      <c r="AW12" s="171">
        <f>SUMIF('CF(M)'!$L$11:$EQ$11,AW$6,'CF(M)'!$L17:$EQ17)</f>
        <v>0</v>
      </c>
      <c r="AX12" s="171">
        <f>SUMIF('CF(M)'!$L$11:$EQ$11,AX$6,'CF(M)'!$L17:$EQ17)</f>
        <v>0</v>
      </c>
      <c r="AY12" s="171">
        <f>SUMIF('CF(M)'!$L$11:$EQ$11,AY$6,'CF(M)'!$L17:$EQ17)</f>
        <v>0</v>
      </c>
      <c r="AZ12" s="171">
        <f>SUMIF('CF(M)'!$L$11:$EQ$11,AZ$6,'CF(M)'!$L17:$EQ17)</f>
        <v>0</v>
      </c>
      <c r="BA12" s="171">
        <f>SUMIF('CF(M)'!$L$11:$EQ$11,BA$6,'CF(M)'!$L17:$EQ17)</f>
        <v>0</v>
      </c>
      <c r="BB12" s="171">
        <f>SUMIF('CF(M)'!$L$11:$EQ$11,BB$6,'CF(M)'!$L17:$EQ17)</f>
        <v>0</v>
      </c>
      <c r="BC12" s="171">
        <f>SUMIF('CF(M)'!$L$11:$EQ$11,BC$6,'CF(M)'!$L17:$EQ17)</f>
        <v>0</v>
      </c>
      <c r="BD12" s="171">
        <f>SUMIF('CF(M)'!$L$11:$EQ$11,BD$6,'CF(M)'!$L17:$EQ17)</f>
        <v>0</v>
      </c>
      <c r="BE12" s="171">
        <f>SUMIF('CF(M)'!$L$11:$EQ$11,BE$6,'CF(M)'!$L17:$EQ17)</f>
        <v>0</v>
      </c>
      <c r="BF12" s="171">
        <f>SUMIF('CF(M)'!$L$11:$EQ$11,BF$6,'CF(M)'!$L17:$EQ17)</f>
        <v>0</v>
      </c>
      <c r="BG12" s="171">
        <f>SUMIF('CF(M)'!$L$11:$EQ$11,BG$6,'CF(M)'!$L17:$EQ17)</f>
        <v>0</v>
      </c>
      <c r="BH12" s="171">
        <f>SUMIF('CF(M)'!$L$11:$EQ$11,BH$6,'CF(M)'!$L17:$EQ17)</f>
        <v>0</v>
      </c>
      <c r="BI12" s="171">
        <f>SUMIF('CF(M)'!$L$11:$EQ$11,BI$6,'CF(M)'!$L17:$EQ17)</f>
        <v>0</v>
      </c>
      <c r="BJ12" s="171">
        <f>SUMIF('CF(M)'!$L$11:$EQ$11,BJ$6,'CF(M)'!$L17:$EQ17)</f>
        <v>0</v>
      </c>
      <c r="BK12" s="171">
        <f>SUMIF('CF(M)'!$L$11:$EQ$11,BK$6,'CF(M)'!$L17:$EQ17)</f>
        <v>0</v>
      </c>
      <c r="BL12" s="171">
        <f>SUMIF('CF(M)'!$L$11:$EQ$11,BL$6,'CF(M)'!$L17:$EQ17)</f>
        <v>0</v>
      </c>
      <c r="BM12" s="171">
        <f>SUMIF('CF(M)'!$L$11:$EQ$11,BM$6,'CF(M)'!$L17:$EQ17)</f>
        <v>0</v>
      </c>
      <c r="BN12" s="171">
        <f>SUMIF('CF(M)'!$L$11:$EQ$11,BN$6,'CF(M)'!$L17:$EQ17)</f>
        <v>0</v>
      </c>
      <c r="BO12" s="171">
        <f>SUMIF('CF(M)'!$L$11:$EQ$11,BO$6,'CF(M)'!$L17:$EQ17)</f>
        <v>0</v>
      </c>
      <c r="BP12" s="171">
        <f>SUMIF('CF(M)'!$L$11:$EQ$11,BP$6,'CF(M)'!$L17:$EQ17)</f>
        <v>0</v>
      </c>
      <c r="BQ12" s="171">
        <f>SUMIF('CF(M)'!$L$11:$EQ$11,BQ$6,'CF(M)'!$L17:$EQ17)</f>
        <v>0</v>
      </c>
      <c r="BR12" s="171">
        <f>SUMIF('CF(M)'!$L$11:$EQ$11,BR$6,'CF(M)'!$L17:$EQ17)</f>
        <v>0</v>
      </c>
      <c r="BS12" s="171">
        <f>SUMIF('CF(M)'!$L$11:$EQ$11,BS$6,'CF(M)'!$L17:$EQ17)</f>
        <v>0</v>
      </c>
      <c r="BT12" s="171">
        <f>SUMIF('CF(M)'!$L$11:$EQ$11,BT$6,'CF(M)'!$L17:$EQ17)</f>
        <v>0</v>
      </c>
      <c r="BU12" s="171">
        <f>SUMIF('CF(M)'!$L$11:$EQ$11,BU$6,'CF(M)'!$L17:$EQ17)</f>
        <v>0</v>
      </c>
      <c r="BV12" s="171">
        <f>SUMIF('CF(M)'!$L$11:$EQ$11,BV$6,'CF(M)'!$L17:$EQ17)</f>
        <v>0</v>
      </c>
      <c r="BW12" s="171">
        <f>SUMIF('CF(M)'!$L$11:$EQ$11,BW$6,'CF(M)'!$L17:$EQ17)</f>
        <v>0</v>
      </c>
      <c r="BX12" s="171">
        <f>SUMIF('CF(M)'!$L$11:$EQ$11,BX$6,'CF(M)'!$L17:$EQ17)</f>
        <v>0</v>
      </c>
      <c r="BY12" s="171">
        <f>SUMIF('CF(M)'!$L$11:$EQ$11,BY$6,'CF(M)'!$L17:$EQ17)</f>
        <v>0</v>
      </c>
      <c r="BZ12" s="171">
        <f>SUMIF('CF(M)'!$L$11:$EQ$11,BZ$6,'CF(M)'!$L17:$EQ17)</f>
        <v>0</v>
      </c>
      <c r="CA12" s="171">
        <f>SUMIF('CF(M)'!$L$11:$EQ$11,CA$6,'CF(M)'!$L17:$EQ17)</f>
        <v>0</v>
      </c>
      <c r="CB12" s="171">
        <f>SUMIF('CF(M)'!$L$11:$EQ$11,CB$6,'CF(M)'!$L17:$EQ17)</f>
        <v>0</v>
      </c>
      <c r="CC12" s="171">
        <f>SUMIF('CF(M)'!$L$11:$EQ$11,CC$6,'CF(M)'!$L17:$EQ17)</f>
        <v>0</v>
      </c>
      <c r="CD12" s="171">
        <f>SUMIF('CF(M)'!$L$11:$EQ$11,CD$6,'CF(M)'!$L17:$EQ17)</f>
        <v>0</v>
      </c>
      <c r="CE12" s="171">
        <f>SUMIF('CF(M)'!$L$11:$EQ$11,CE$6,'CF(M)'!$L17:$EQ17)</f>
        <v>0</v>
      </c>
      <c r="CF12" s="171">
        <f>SUMIF('CF(M)'!$L$11:$EQ$11,CF$6,'CF(M)'!$L17:$EQ17)</f>
        <v>0</v>
      </c>
      <c r="CG12" s="171">
        <f>SUMIF('CF(M)'!$L$11:$EQ$11,CG$6,'CF(M)'!$L17:$EQ17)</f>
        <v>0</v>
      </c>
      <c r="CH12" s="171">
        <f>SUMIF('CF(M)'!$L$11:$EQ$11,CH$6,'CF(M)'!$L17:$EQ17)</f>
        <v>0</v>
      </c>
      <c r="CI12" s="171">
        <f>SUMIF('CF(M)'!$L$11:$EQ$11,CI$6,'CF(M)'!$L17:$EQ17)</f>
        <v>0</v>
      </c>
      <c r="CJ12" s="171">
        <f>SUMIF('CF(M)'!$L$11:$EQ$11,CJ$6,'CF(M)'!$L17:$EQ17)</f>
        <v>0</v>
      </c>
      <c r="CK12" s="171">
        <f>SUMIF('CF(M)'!$L$11:$EQ$11,CK$6,'CF(M)'!$L17:$EQ17)</f>
        <v>0</v>
      </c>
      <c r="CL12" s="171">
        <f>SUMIF('CF(M)'!$L$11:$EQ$11,CL$6,'CF(M)'!$L17:$EQ17)</f>
        <v>0</v>
      </c>
      <c r="CM12" s="171">
        <f>SUMIF('CF(M)'!$L$11:$EQ$11,CM$6,'CF(M)'!$L17:$EQ17)</f>
        <v>0</v>
      </c>
      <c r="CN12" s="171">
        <f>SUMIF('CF(M)'!$L$11:$EQ$11,CN$6,'CF(M)'!$L17:$EQ17)</f>
        <v>0</v>
      </c>
      <c r="CO12" s="171">
        <f>SUMIF('CF(M)'!$L$11:$EQ$11,CO$6,'CF(M)'!$L17:$EQ17)</f>
        <v>0</v>
      </c>
      <c r="CP12" s="171">
        <f>SUMIF('CF(M)'!$L$11:$EQ$11,CP$6,'CF(M)'!$L17:$EQ17)</f>
        <v>0</v>
      </c>
      <c r="CQ12" s="171">
        <f>SUMIF('CF(M)'!$L$11:$EQ$11,CQ$6,'CF(M)'!$L17:$EQ17)</f>
        <v>0</v>
      </c>
      <c r="CR12" s="171">
        <f>SUMIF('CF(M)'!$L$11:$EQ$11,CR$6,'CF(M)'!$L17:$EQ17)</f>
        <v>0</v>
      </c>
      <c r="CS12" s="171">
        <f>SUMIF('CF(M)'!$L$11:$EQ$11,CS$6,'CF(M)'!$L17:$EQ17)</f>
        <v>0</v>
      </c>
      <c r="CT12" s="171">
        <f>SUMIF('CF(M)'!$L$11:$EQ$11,CT$6,'CF(M)'!$L17:$EQ17)</f>
        <v>0</v>
      </c>
      <c r="CU12" s="171">
        <f>SUMIF('CF(M)'!$L$11:$EQ$11,CU$6,'CF(M)'!$L17:$EQ17)</f>
        <v>0</v>
      </c>
      <c r="CV12" s="171">
        <f>SUMIF('CF(M)'!$L$11:$EQ$11,CV$6,'CF(M)'!$L17:$EQ17)</f>
        <v>0</v>
      </c>
      <c r="CW12" s="171">
        <f>SUMIF('CF(M)'!$L$11:$EQ$11,CW$6,'CF(M)'!$L17:$EQ17)</f>
        <v>0</v>
      </c>
      <c r="CX12" s="171">
        <f>SUMIF('CF(M)'!$L$11:$EQ$11,CX$6,'CF(M)'!$L17:$EQ17)</f>
        <v>0</v>
      </c>
      <c r="CY12" s="171">
        <f>SUMIF('CF(M)'!$L$11:$EQ$11,CY$6,'CF(M)'!$L17:$EQ17)</f>
        <v>0</v>
      </c>
      <c r="CZ12" s="171">
        <f>SUMIF('CF(M)'!$L$11:$EQ$11,CZ$6,'CF(M)'!$L17:$EQ17)</f>
        <v>0</v>
      </c>
      <c r="DA12" s="171">
        <f>SUMIF('CF(M)'!$L$11:$EQ$11,DA$6,'CF(M)'!$L17:$EQ17)</f>
        <v>0</v>
      </c>
      <c r="DB12" s="171">
        <f>SUMIF('CF(M)'!$L$11:$EQ$11,DB$6,'CF(M)'!$L17:$EQ17)</f>
        <v>0</v>
      </c>
      <c r="DC12" s="171">
        <f>SUMIF('CF(M)'!$L$11:$EQ$11,DC$6,'CF(M)'!$L17:$EQ17)</f>
        <v>0</v>
      </c>
      <c r="DD12" s="171">
        <f>SUMIF('CF(M)'!$L$11:$EQ$11,DD$6,'CF(M)'!$L17:$EQ17)</f>
        <v>0</v>
      </c>
      <c r="DE12" s="171">
        <f>SUMIF('CF(M)'!$L$11:$EQ$11,DE$6,'CF(M)'!$L17:$EQ17)</f>
        <v>0</v>
      </c>
      <c r="DF12" s="171">
        <f>SUMIF('CF(M)'!$L$11:$EQ$11,DF$6,'CF(M)'!$L17:$EQ17)</f>
        <v>0</v>
      </c>
      <c r="DG12" s="171">
        <f>SUMIF('CF(M)'!$L$11:$EQ$11,DG$6,'CF(M)'!$L17:$EQ17)</f>
        <v>0</v>
      </c>
      <c r="DH12" s="171">
        <f>SUMIF('CF(M)'!$L$11:$EQ$11,DH$6,'CF(M)'!$L17:$EQ17)</f>
        <v>0</v>
      </c>
      <c r="DI12" s="171">
        <f>SUMIF('CF(M)'!$L$11:$EQ$11,DI$6,'CF(M)'!$L17:$EQ17)</f>
        <v>0</v>
      </c>
      <c r="DJ12" s="171">
        <f>SUMIF('CF(M)'!$L$11:$EQ$11,DJ$6,'CF(M)'!$L17:$EQ17)</f>
        <v>0</v>
      </c>
      <c r="DK12" s="171">
        <f>SUMIF('CF(M)'!$L$11:$EQ$11,DK$6,'CF(M)'!$L17:$EQ17)</f>
        <v>0</v>
      </c>
      <c r="DL12" s="171">
        <f>SUMIF('CF(M)'!$L$11:$EQ$11,DL$6,'CF(M)'!$L17:$EQ17)</f>
        <v>0</v>
      </c>
      <c r="DM12" s="171">
        <f>SUMIF('CF(M)'!$L$11:$EQ$11,DM$6,'CF(M)'!$L17:$EQ17)</f>
        <v>0</v>
      </c>
      <c r="DN12" s="171">
        <f>SUMIF('CF(M)'!$L$11:$EQ$11,DN$6,'CF(M)'!$L17:$EQ17)</f>
        <v>0</v>
      </c>
      <c r="DO12" s="171">
        <f>SUMIF('CF(M)'!$L$11:$EQ$11,DO$6,'CF(M)'!$L17:$EQ17)</f>
        <v>0</v>
      </c>
      <c r="DP12" s="171">
        <f>SUMIF('CF(M)'!$L$11:$EQ$11,DP$6,'CF(M)'!$L17:$EQ17)</f>
        <v>0</v>
      </c>
      <c r="DQ12" s="171">
        <f>SUMIF('CF(M)'!$L$11:$EQ$11,DQ$6,'CF(M)'!$L17:$EQ17)</f>
        <v>0</v>
      </c>
      <c r="DR12" s="171">
        <f>SUMIF('CF(M)'!$L$11:$EQ$11,DR$6,'CF(M)'!$L17:$EQ17)</f>
        <v>0</v>
      </c>
      <c r="DS12" s="171">
        <f>SUMIF('CF(M)'!$L$11:$EQ$11,DS$6,'CF(M)'!$L17:$EQ17)</f>
        <v>0</v>
      </c>
      <c r="DT12" s="171">
        <f>SUMIF('CF(M)'!$L$11:$EQ$11,DT$6,'CF(M)'!$L17:$EQ17)</f>
        <v>0</v>
      </c>
      <c r="DU12" s="171">
        <f>SUMIF('CF(M)'!$L$11:$EQ$11,DU$6,'CF(M)'!$L17:$EQ17)</f>
        <v>0</v>
      </c>
      <c r="DV12" s="171">
        <f>SUMIF('CF(M)'!$L$11:$EQ$11,DV$6,'CF(M)'!$L17:$EQ17)</f>
        <v>0</v>
      </c>
    </row>
    <row r="13" spans="1:130" ht="11.25" customHeight="1">
      <c r="B13" s="218"/>
      <c r="C13" s="163"/>
      <c r="D13" s="169" t="s">
        <v>185</v>
      </c>
      <c r="H13" s="146"/>
      <c r="I13" s="13"/>
      <c r="J13" s="171">
        <f t="shared" si="12"/>
        <v>8636664.3042394631</v>
      </c>
      <c r="K13" s="98"/>
      <c r="L13" s="171">
        <f>SUMIF('CF(M)'!$L$11:$EQ$11,L$6,'CF(M)'!$L18:$EQ18)</f>
        <v>0</v>
      </c>
      <c r="M13" s="171">
        <f>SUMIF('CF(M)'!$L$11:$EQ$11,M$6,'CF(M)'!$L18:$EQ18)</f>
        <v>779354.8877910939</v>
      </c>
      <c r="N13" s="171">
        <f>SUMIF('CF(M)'!$L$11:$EQ$11,N$6,'CF(M)'!$L18:$EQ18)</f>
        <v>796871.75598587084</v>
      </c>
      <c r="O13" s="171">
        <f>SUMIF('CF(M)'!$L$11:$EQ$11,O$6,'CF(M)'!$L18:$EQ18)</f>
        <v>814826.54588551773</v>
      </c>
      <c r="P13" s="171">
        <f>SUMIF('CF(M)'!$L$11:$EQ$11,P$6,'CF(M)'!$L18:$EQ18)</f>
        <v>833230.20553265582</v>
      </c>
      <c r="Q13" s="171">
        <f>SUMIF('CF(M)'!$L$11:$EQ$11,Q$6,'CF(M)'!$L18:$EQ18)</f>
        <v>852093.95667097205</v>
      </c>
      <c r="R13" s="171">
        <f>SUMIF('CF(M)'!$L$11:$EQ$11,R$6,'CF(M)'!$L18:$EQ18)</f>
        <v>871429.30158774613</v>
      </c>
      <c r="S13" s="171">
        <f>SUMIF('CF(M)'!$L$11:$EQ$11,S$6,'CF(M)'!$L18:$EQ18)</f>
        <v>891248.03012743988</v>
      </c>
      <c r="T13" s="171">
        <f>SUMIF('CF(M)'!$L$11:$EQ$11,T$6,'CF(M)'!$L18:$EQ18)</f>
        <v>911551.11424284324</v>
      </c>
      <c r="U13" s="171">
        <f>SUMIF('CF(M)'!$L$11:$EQ$11,U$6,'CF(M)'!$L18:$EQ18)</f>
        <v>932358.2767483081</v>
      </c>
      <c r="V13" s="171">
        <f>SUMIF('CF(M)'!$L$11:$EQ$11,V$6,'CF(M)'!$L18:$EQ18)</f>
        <v>953700.22966701572</v>
      </c>
      <c r="W13" s="171">
        <f>SUMIF('CF(M)'!$L$11:$EQ$11,W$6,'CF(M)'!$L18:$EQ18)</f>
        <v>0</v>
      </c>
      <c r="X13" s="171">
        <f>SUMIF('CF(M)'!$L$11:$EQ$11,X$6,'CF(M)'!$L18:$EQ18)</f>
        <v>0</v>
      </c>
      <c r="Y13" s="171">
        <f>SUMIF('CF(M)'!$L$11:$EQ$11,Y$6,'CF(M)'!$L18:$EQ18)</f>
        <v>0</v>
      </c>
      <c r="Z13" s="171">
        <f>SUMIF('CF(M)'!$L$11:$EQ$11,Z$6,'CF(M)'!$L18:$EQ18)</f>
        <v>0</v>
      </c>
      <c r="AA13" s="171">
        <f>SUMIF('CF(M)'!$L$11:$EQ$11,AA$6,'CF(M)'!$L18:$EQ18)</f>
        <v>0</v>
      </c>
      <c r="AB13" s="171">
        <f>SUMIF('CF(M)'!$L$11:$EQ$11,AB$6,'CF(M)'!$L18:$EQ18)</f>
        <v>0</v>
      </c>
      <c r="AC13" s="171">
        <f>SUMIF('CF(M)'!$L$11:$EQ$11,AC$6,'CF(M)'!$L18:$EQ18)</f>
        <v>0</v>
      </c>
      <c r="AD13" s="171">
        <f>SUMIF('CF(M)'!$L$11:$EQ$11,AD$6,'CF(M)'!$L18:$EQ18)</f>
        <v>0</v>
      </c>
      <c r="AE13" s="171">
        <f>SUMIF('CF(M)'!$L$11:$EQ$11,AE$6,'CF(M)'!$L18:$EQ18)</f>
        <v>0</v>
      </c>
      <c r="AF13" s="171">
        <f>SUMIF('CF(M)'!$L$11:$EQ$11,AF$6,'CF(M)'!$L18:$EQ18)</f>
        <v>0</v>
      </c>
      <c r="AG13" s="171">
        <f>SUMIF('CF(M)'!$L$11:$EQ$11,AG$6,'CF(M)'!$L18:$EQ18)</f>
        <v>0</v>
      </c>
      <c r="AH13" s="171">
        <f>SUMIF('CF(M)'!$L$11:$EQ$11,AH$6,'CF(M)'!$L18:$EQ18)</f>
        <v>0</v>
      </c>
      <c r="AI13" s="171">
        <f>SUMIF('CF(M)'!$L$11:$EQ$11,AI$6,'CF(M)'!$L18:$EQ18)</f>
        <v>0</v>
      </c>
      <c r="AJ13" s="171">
        <f>SUMIF('CF(M)'!$L$11:$EQ$11,AJ$6,'CF(M)'!$L18:$EQ18)</f>
        <v>0</v>
      </c>
      <c r="AK13" s="171">
        <f>SUMIF('CF(M)'!$L$11:$EQ$11,AK$6,'CF(M)'!$L18:$EQ18)</f>
        <v>0</v>
      </c>
      <c r="AL13" s="171">
        <f>SUMIF('CF(M)'!$L$11:$EQ$11,AL$6,'CF(M)'!$L18:$EQ18)</f>
        <v>0</v>
      </c>
      <c r="AM13" s="171">
        <f>SUMIF('CF(M)'!$L$11:$EQ$11,AM$6,'CF(M)'!$L18:$EQ18)</f>
        <v>0</v>
      </c>
      <c r="AN13" s="171">
        <f>SUMIF('CF(M)'!$L$11:$EQ$11,AN$6,'CF(M)'!$L18:$EQ18)</f>
        <v>0</v>
      </c>
      <c r="AO13" s="171">
        <f>SUMIF('CF(M)'!$L$11:$EQ$11,AO$6,'CF(M)'!$L18:$EQ18)</f>
        <v>0</v>
      </c>
      <c r="AP13" s="171">
        <f>SUMIF('CF(M)'!$L$11:$EQ$11,AP$6,'CF(M)'!$L18:$EQ18)</f>
        <v>0</v>
      </c>
      <c r="AQ13" s="171">
        <f>SUMIF('CF(M)'!$L$11:$EQ$11,AQ$6,'CF(M)'!$L18:$EQ18)</f>
        <v>0</v>
      </c>
      <c r="AR13" s="171">
        <f>SUMIF('CF(M)'!$L$11:$EQ$11,AR$6,'CF(M)'!$L18:$EQ18)</f>
        <v>0</v>
      </c>
      <c r="AS13" s="171">
        <f>SUMIF('CF(M)'!$L$11:$EQ$11,AS$6,'CF(M)'!$L18:$EQ18)</f>
        <v>0</v>
      </c>
      <c r="AT13" s="171">
        <f>SUMIF('CF(M)'!$L$11:$EQ$11,AT$6,'CF(M)'!$L18:$EQ18)</f>
        <v>0</v>
      </c>
      <c r="AU13" s="171">
        <f>SUMIF('CF(M)'!$L$11:$EQ$11,AU$6,'CF(M)'!$L18:$EQ18)</f>
        <v>0</v>
      </c>
      <c r="AV13" s="171">
        <f>SUMIF('CF(M)'!$L$11:$EQ$11,AV$6,'CF(M)'!$L18:$EQ18)</f>
        <v>0</v>
      </c>
      <c r="AW13" s="171">
        <f>SUMIF('CF(M)'!$L$11:$EQ$11,AW$6,'CF(M)'!$L18:$EQ18)</f>
        <v>0</v>
      </c>
      <c r="AX13" s="171">
        <f>SUMIF('CF(M)'!$L$11:$EQ$11,AX$6,'CF(M)'!$L18:$EQ18)</f>
        <v>0</v>
      </c>
      <c r="AY13" s="171">
        <f>SUMIF('CF(M)'!$L$11:$EQ$11,AY$6,'CF(M)'!$L18:$EQ18)</f>
        <v>0</v>
      </c>
      <c r="AZ13" s="171">
        <f>SUMIF('CF(M)'!$L$11:$EQ$11,AZ$6,'CF(M)'!$L18:$EQ18)</f>
        <v>0</v>
      </c>
      <c r="BA13" s="171">
        <f>SUMIF('CF(M)'!$L$11:$EQ$11,BA$6,'CF(M)'!$L18:$EQ18)</f>
        <v>0</v>
      </c>
      <c r="BB13" s="171">
        <f>SUMIF('CF(M)'!$L$11:$EQ$11,BB$6,'CF(M)'!$L18:$EQ18)</f>
        <v>0</v>
      </c>
      <c r="BC13" s="171">
        <f>SUMIF('CF(M)'!$L$11:$EQ$11,BC$6,'CF(M)'!$L18:$EQ18)</f>
        <v>0</v>
      </c>
      <c r="BD13" s="171">
        <f>SUMIF('CF(M)'!$L$11:$EQ$11,BD$6,'CF(M)'!$L18:$EQ18)</f>
        <v>0</v>
      </c>
      <c r="BE13" s="171">
        <f>SUMIF('CF(M)'!$L$11:$EQ$11,BE$6,'CF(M)'!$L18:$EQ18)</f>
        <v>0</v>
      </c>
      <c r="BF13" s="171">
        <f>SUMIF('CF(M)'!$L$11:$EQ$11,BF$6,'CF(M)'!$L18:$EQ18)</f>
        <v>0</v>
      </c>
      <c r="BG13" s="171">
        <f>SUMIF('CF(M)'!$L$11:$EQ$11,BG$6,'CF(M)'!$L18:$EQ18)</f>
        <v>0</v>
      </c>
      <c r="BH13" s="171">
        <f>SUMIF('CF(M)'!$L$11:$EQ$11,BH$6,'CF(M)'!$L18:$EQ18)</f>
        <v>0</v>
      </c>
      <c r="BI13" s="171">
        <f>SUMIF('CF(M)'!$L$11:$EQ$11,BI$6,'CF(M)'!$L18:$EQ18)</f>
        <v>0</v>
      </c>
      <c r="BJ13" s="171">
        <f>SUMIF('CF(M)'!$L$11:$EQ$11,BJ$6,'CF(M)'!$L18:$EQ18)</f>
        <v>0</v>
      </c>
      <c r="BK13" s="171">
        <f>SUMIF('CF(M)'!$L$11:$EQ$11,BK$6,'CF(M)'!$L18:$EQ18)</f>
        <v>0</v>
      </c>
      <c r="BL13" s="171">
        <f>SUMIF('CF(M)'!$L$11:$EQ$11,BL$6,'CF(M)'!$L18:$EQ18)</f>
        <v>0</v>
      </c>
      <c r="BM13" s="171">
        <f>SUMIF('CF(M)'!$L$11:$EQ$11,BM$6,'CF(M)'!$L18:$EQ18)</f>
        <v>0</v>
      </c>
      <c r="BN13" s="171">
        <f>SUMIF('CF(M)'!$L$11:$EQ$11,BN$6,'CF(M)'!$L18:$EQ18)</f>
        <v>0</v>
      </c>
      <c r="BO13" s="171">
        <f>SUMIF('CF(M)'!$L$11:$EQ$11,BO$6,'CF(M)'!$L18:$EQ18)</f>
        <v>0</v>
      </c>
      <c r="BP13" s="171">
        <f>SUMIF('CF(M)'!$L$11:$EQ$11,BP$6,'CF(M)'!$L18:$EQ18)</f>
        <v>0</v>
      </c>
      <c r="BQ13" s="171">
        <f>SUMIF('CF(M)'!$L$11:$EQ$11,BQ$6,'CF(M)'!$L18:$EQ18)</f>
        <v>0</v>
      </c>
      <c r="BR13" s="171">
        <f>SUMIF('CF(M)'!$L$11:$EQ$11,BR$6,'CF(M)'!$L18:$EQ18)</f>
        <v>0</v>
      </c>
      <c r="BS13" s="171">
        <f>SUMIF('CF(M)'!$L$11:$EQ$11,BS$6,'CF(M)'!$L18:$EQ18)</f>
        <v>0</v>
      </c>
      <c r="BT13" s="171">
        <f>SUMIF('CF(M)'!$L$11:$EQ$11,BT$6,'CF(M)'!$L18:$EQ18)</f>
        <v>0</v>
      </c>
      <c r="BU13" s="171">
        <f>SUMIF('CF(M)'!$L$11:$EQ$11,BU$6,'CF(M)'!$L18:$EQ18)</f>
        <v>0</v>
      </c>
      <c r="BV13" s="171">
        <f>SUMIF('CF(M)'!$L$11:$EQ$11,BV$6,'CF(M)'!$L18:$EQ18)</f>
        <v>0</v>
      </c>
      <c r="BW13" s="171">
        <f>SUMIF('CF(M)'!$L$11:$EQ$11,BW$6,'CF(M)'!$L18:$EQ18)</f>
        <v>0</v>
      </c>
      <c r="BX13" s="171">
        <f>SUMIF('CF(M)'!$L$11:$EQ$11,BX$6,'CF(M)'!$L18:$EQ18)</f>
        <v>0</v>
      </c>
      <c r="BY13" s="171">
        <f>SUMIF('CF(M)'!$L$11:$EQ$11,BY$6,'CF(M)'!$L18:$EQ18)</f>
        <v>0</v>
      </c>
      <c r="BZ13" s="171">
        <f>SUMIF('CF(M)'!$L$11:$EQ$11,BZ$6,'CF(M)'!$L18:$EQ18)</f>
        <v>0</v>
      </c>
      <c r="CA13" s="171">
        <f>SUMIF('CF(M)'!$L$11:$EQ$11,CA$6,'CF(M)'!$L18:$EQ18)</f>
        <v>0</v>
      </c>
      <c r="CB13" s="171">
        <f>SUMIF('CF(M)'!$L$11:$EQ$11,CB$6,'CF(M)'!$L18:$EQ18)</f>
        <v>0</v>
      </c>
      <c r="CC13" s="171">
        <f>SUMIF('CF(M)'!$L$11:$EQ$11,CC$6,'CF(M)'!$L18:$EQ18)</f>
        <v>0</v>
      </c>
      <c r="CD13" s="171">
        <f>SUMIF('CF(M)'!$L$11:$EQ$11,CD$6,'CF(M)'!$L18:$EQ18)</f>
        <v>0</v>
      </c>
      <c r="CE13" s="171">
        <f>SUMIF('CF(M)'!$L$11:$EQ$11,CE$6,'CF(M)'!$L18:$EQ18)</f>
        <v>0</v>
      </c>
      <c r="CF13" s="171">
        <f>SUMIF('CF(M)'!$L$11:$EQ$11,CF$6,'CF(M)'!$L18:$EQ18)</f>
        <v>0</v>
      </c>
      <c r="CG13" s="171">
        <f>SUMIF('CF(M)'!$L$11:$EQ$11,CG$6,'CF(M)'!$L18:$EQ18)</f>
        <v>0</v>
      </c>
      <c r="CH13" s="171">
        <f>SUMIF('CF(M)'!$L$11:$EQ$11,CH$6,'CF(M)'!$L18:$EQ18)</f>
        <v>0</v>
      </c>
      <c r="CI13" s="171">
        <f>SUMIF('CF(M)'!$L$11:$EQ$11,CI$6,'CF(M)'!$L18:$EQ18)</f>
        <v>0</v>
      </c>
      <c r="CJ13" s="171">
        <f>SUMIF('CF(M)'!$L$11:$EQ$11,CJ$6,'CF(M)'!$L18:$EQ18)</f>
        <v>0</v>
      </c>
      <c r="CK13" s="171">
        <f>SUMIF('CF(M)'!$L$11:$EQ$11,CK$6,'CF(M)'!$L18:$EQ18)</f>
        <v>0</v>
      </c>
      <c r="CL13" s="171">
        <f>SUMIF('CF(M)'!$L$11:$EQ$11,CL$6,'CF(M)'!$L18:$EQ18)</f>
        <v>0</v>
      </c>
      <c r="CM13" s="171">
        <f>SUMIF('CF(M)'!$L$11:$EQ$11,CM$6,'CF(M)'!$L18:$EQ18)</f>
        <v>0</v>
      </c>
      <c r="CN13" s="171">
        <f>SUMIF('CF(M)'!$L$11:$EQ$11,CN$6,'CF(M)'!$L18:$EQ18)</f>
        <v>0</v>
      </c>
      <c r="CO13" s="171">
        <f>SUMIF('CF(M)'!$L$11:$EQ$11,CO$6,'CF(M)'!$L18:$EQ18)</f>
        <v>0</v>
      </c>
      <c r="CP13" s="171">
        <f>SUMIF('CF(M)'!$L$11:$EQ$11,CP$6,'CF(M)'!$L18:$EQ18)</f>
        <v>0</v>
      </c>
      <c r="CQ13" s="171">
        <f>SUMIF('CF(M)'!$L$11:$EQ$11,CQ$6,'CF(M)'!$L18:$EQ18)</f>
        <v>0</v>
      </c>
      <c r="CR13" s="171">
        <f>SUMIF('CF(M)'!$L$11:$EQ$11,CR$6,'CF(M)'!$L18:$EQ18)</f>
        <v>0</v>
      </c>
      <c r="CS13" s="171">
        <f>SUMIF('CF(M)'!$L$11:$EQ$11,CS$6,'CF(M)'!$L18:$EQ18)</f>
        <v>0</v>
      </c>
      <c r="CT13" s="171">
        <f>SUMIF('CF(M)'!$L$11:$EQ$11,CT$6,'CF(M)'!$L18:$EQ18)</f>
        <v>0</v>
      </c>
      <c r="CU13" s="171">
        <f>SUMIF('CF(M)'!$L$11:$EQ$11,CU$6,'CF(M)'!$L18:$EQ18)</f>
        <v>0</v>
      </c>
      <c r="CV13" s="171">
        <f>SUMIF('CF(M)'!$L$11:$EQ$11,CV$6,'CF(M)'!$L18:$EQ18)</f>
        <v>0</v>
      </c>
      <c r="CW13" s="171">
        <f>SUMIF('CF(M)'!$L$11:$EQ$11,CW$6,'CF(M)'!$L18:$EQ18)</f>
        <v>0</v>
      </c>
      <c r="CX13" s="171">
        <f>SUMIF('CF(M)'!$L$11:$EQ$11,CX$6,'CF(M)'!$L18:$EQ18)</f>
        <v>0</v>
      </c>
      <c r="CY13" s="171">
        <f>SUMIF('CF(M)'!$L$11:$EQ$11,CY$6,'CF(M)'!$L18:$EQ18)</f>
        <v>0</v>
      </c>
      <c r="CZ13" s="171">
        <f>SUMIF('CF(M)'!$L$11:$EQ$11,CZ$6,'CF(M)'!$L18:$EQ18)</f>
        <v>0</v>
      </c>
      <c r="DA13" s="171">
        <f>SUMIF('CF(M)'!$L$11:$EQ$11,DA$6,'CF(M)'!$L18:$EQ18)</f>
        <v>0</v>
      </c>
      <c r="DB13" s="171">
        <f>SUMIF('CF(M)'!$L$11:$EQ$11,DB$6,'CF(M)'!$L18:$EQ18)</f>
        <v>0</v>
      </c>
      <c r="DC13" s="171">
        <f>SUMIF('CF(M)'!$L$11:$EQ$11,DC$6,'CF(M)'!$L18:$EQ18)</f>
        <v>0</v>
      </c>
      <c r="DD13" s="171">
        <f>SUMIF('CF(M)'!$L$11:$EQ$11,DD$6,'CF(M)'!$L18:$EQ18)</f>
        <v>0</v>
      </c>
      <c r="DE13" s="171">
        <f>SUMIF('CF(M)'!$L$11:$EQ$11,DE$6,'CF(M)'!$L18:$EQ18)</f>
        <v>0</v>
      </c>
      <c r="DF13" s="171">
        <f>SUMIF('CF(M)'!$L$11:$EQ$11,DF$6,'CF(M)'!$L18:$EQ18)</f>
        <v>0</v>
      </c>
      <c r="DG13" s="171">
        <f>SUMIF('CF(M)'!$L$11:$EQ$11,DG$6,'CF(M)'!$L18:$EQ18)</f>
        <v>0</v>
      </c>
      <c r="DH13" s="171">
        <f>SUMIF('CF(M)'!$L$11:$EQ$11,DH$6,'CF(M)'!$L18:$EQ18)</f>
        <v>0</v>
      </c>
      <c r="DI13" s="171">
        <f>SUMIF('CF(M)'!$L$11:$EQ$11,DI$6,'CF(M)'!$L18:$EQ18)</f>
        <v>0</v>
      </c>
      <c r="DJ13" s="171">
        <f>SUMIF('CF(M)'!$L$11:$EQ$11,DJ$6,'CF(M)'!$L18:$EQ18)</f>
        <v>0</v>
      </c>
      <c r="DK13" s="171">
        <f>SUMIF('CF(M)'!$L$11:$EQ$11,DK$6,'CF(M)'!$L18:$EQ18)</f>
        <v>0</v>
      </c>
      <c r="DL13" s="171">
        <f>SUMIF('CF(M)'!$L$11:$EQ$11,DL$6,'CF(M)'!$L18:$EQ18)</f>
        <v>0</v>
      </c>
      <c r="DM13" s="171">
        <f>SUMIF('CF(M)'!$L$11:$EQ$11,DM$6,'CF(M)'!$L18:$EQ18)</f>
        <v>0</v>
      </c>
      <c r="DN13" s="171">
        <f>SUMIF('CF(M)'!$L$11:$EQ$11,DN$6,'CF(M)'!$L18:$EQ18)</f>
        <v>0</v>
      </c>
      <c r="DO13" s="171">
        <f>SUMIF('CF(M)'!$L$11:$EQ$11,DO$6,'CF(M)'!$L18:$EQ18)</f>
        <v>0</v>
      </c>
      <c r="DP13" s="171">
        <f>SUMIF('CF(M)'!$L$11:$EQ$11,DP$6,'CF(M)'!$L18:$EQ18)</f>
        <v>0</v>
      </c>
      <c r="DQ13" s="171">
        <f>SUMIF('CF(M)'!$L$11:$EQ$11,DQ$6,'CF(M)'!$L18:$EQ18)</f>
        <v>0</v>
      </c>
      <c r="DR13" s="171">
        <f>SUMIF('CF(M)'!$L$11:$EQ$11,DR$6,'CF(M)'!$L18:$EQ18)</f>
        <v>0</v>
      </c>
      <c r="DS13" s="171">
        <f>SUMIF('CF(M)'!$L$11:$EQ$11,DS$6,'CF(M)'!$L18:$EQ18)</f>
        <v>0</v>
      </c>
      <c r="DT13" s="171">
        <f>SUMIF('CF(M)'!$L$11:$EQ$11,DT$6,'CF(M)'!$L18:$EQ18)</f>
        <v>0</v>
      </c>
      <c r="DU13" s="171">
        <f>SUMIF('CF(M)'!$L$11:$EQ$11,DU$6,'CF(M)'!$L18:$EQ18)</f>
        <v>0</v>
      </c>
      <c r="DV13" s="171">
        <f>SUMIF('CF(M)'!$L$11:$EQ$11,DV$6,'CF(M)'!$L18:$EQ18)</f>
        <v>0</v>
      </c>
    </row>
    <row r="14" spans="1:130" ht="11.25" customHeight="1">
      <c r="B14" s="218"/>
      <c r="C14" s="163"/>
      <c r="D14" s="169" t="s">
        <v>186</v>
      </c>
      <c r="H14" s="90"/>
      <c r="I14" s="222"/>
      <c r="J14" s="171">
        <f t="shared" si="12"/>
        <v>1429432.1490400003</v>
      </c>
      <c r="K14" s="98"/>
      <c r="L14" s="171">
        <f>SUMIF('CF(M)'!$L$11:$EQ$11,L$6,'CF(M)'!$L19:$EQ19)</f>
        <v>0</v>
      </c>
      <c r="M14" s="171">
        <f>SUMIF('CF(M)'!$L$11:$EQ$11,M$6,'CF(M)'!$L19:$EQ19)</f>
        <v>142943.21490399999</v>
      </c>
      <c r="N14" s="171">
        <f>SUMIF('CF(M)'!$L$11:$EQ$11,N$6,'CF(M)'!$L19:$EQ19)</f>
        <v>142943.21490399999</v>
      </c>
      <c r="O14" s="171">
        <f>SUMIF('CF(M)'!$L$11:$EQ$11,O$6,'CF(M)'!$L19:$EQ19)</f>
        <v>142943.21490399999</v>
      </c>
      <c r="P14" s="171">
        <f>SUMIF('CF(M)'!$L$11:$EQ$11,P$6,'CF(M)'!$L19:$EQ19)</f>
        <v>142943.21490399999</v>
      </c>
      <c r="Q14" s="171">
        <f>SUMIF('CF(M)'!$L$11:$EQ$11,Q$6,'CF(M)'!$L19:$EQ19)</f>
        <v>142943.21490399999</v>
      </c>
      <c r="R14" s="171">
        <f>SUMIF('CF(M)'!$L$11:$EQ$11,R$6,'CF(M)'!$L19:$EQ19)</f>
        <v>142943.21490399999</v>
      </c>
      <c r="S14" s="171">
        <f>SUMIF('CF(M)'!$L$11:$EQ$11,S$6,'CF(M)'!$L19:$EQ19)</f>
        <v>142943.21490399999</v>
      </c>
      <c r="T14" s="171">
        <f>SUMIF('CF(M)'!$L$11:$EQ$11,T$6,'CF(M)'!$L19:$EQ19)</f>
        <v>142943.21490399999</v>
      </c>
      <c r="U14" s="171">
        <f>SUMIF('CF(M)'!$L$11:$EQ$11,U$6,'CF(M)'!$L19:$EQ19)</f>
        <v>142943.21490399999</v>
      </c>
      <c r="V14" s="171">
        <f>SUMIF('CF(M)'!$L$11:$EQ$11,V$6,'CF(M)'!$L19:$EQ19)</f>
        <v>142943.21490399999</v>
      </c>
      <c r="W14" s="171">
        <f>SUMIF('CF(M)'!$L$11:$EQ$11,W$6,'CF(M)'!$L19:$EQ19)</f>
        <v>0</v>
      </c>
      <c r="X14" s="171">
        <f>SUMIF('CF(M)'!$L$11:$EQ$11,X$6,'CF(M)'!$L19:$EQ19)</f>
        <v>0</v>
      </c>
      <c r="Y14" s="171">
        <f>SUMIF('CF(M)'!$L$11:$EQ$11,Y$6,'CF(M)'!$L19:$EQ19)</f>
        <v>0</v>
      </c>
      <c r="Z14" s="171">
        <f>SUMIF('CF(M)'!$L$11:$EQ$11,Z$6,'CF(M)'!$L19:$EQ19)</f>
        <v>0</v>
      </c>
      <c r="AA14" s="171">
        <f>SUMIF('CF(M)'!$L$11:$EQ$11,AA$6,'CF(M)'!$L19:$EQ19)</f>
        <v>0</v>
      </c>
      <c r="AB14" s="171">
        <f>SUMIF('CF(M)'!$L$11:$EQ$11,AB$6,'CF(M)'!$L19:$EQ19)</f>
        <v>0</v>
      </c>
      <c r="AC14" s="171">
        <f>SUMIF('CF(M)'!$L$11:$EQ$11,AC$6,'CF(M)'!$L19:$EQ19)</f>
        <v>0</v>
      </c>
      <c r="AD14" s="171">
        <f>SUMIF('CF(M)'!$L$11:$EQ$11,AD$6,'CF(M)'!$L19:$EQ19)</f>
        <v>0</v>
      </c>
      <c r="AE14" s="171">
        <f>SUMIF('CF(M)'!$L$11:$EQ$11,AE$6,'CF(M)'!$L19:$EQ19)</f>
        <v>0</v>
      </c>
      <c r="AF14" s="171">
        <f>SUMIF('CF(M)'!$L$11:$EQ$11,AF$6,'CF(M)'!$L19:$EQ19)</f>
        <v>0</v>
      </c>
      <c r="AG14" s="171">
        <f>SUMIF('CF(M)'!$L$11:$EQ$11,AG$6,'CF(M)'!$L19:$EQ19)</f>
        <v>0</v>
      </c>
      <c r="AH14" s="171">
        <f>SUMIF('CF(M)'!$L$11:$EQ$11,AH$6,'CF(M)'!$L19:$EQ19)</f>
        <v>0</v>
      </c>
      <c r="AI14" s="171">
        <f>SUMIF('CF(M)'!$L$11:$EQ$11,AI$6,'CF(M)'!$L19:$EQ19)</f>
        <v>0</v>
      </c>
      <c r="AJ14" s="171">
        <f>SUMIF('CF(M)'!$L$11:$EQ$11,AJ$6,'CF(M)'!$L19:$EQ19)</f>
        <v>0</v>
      </c>
      <c r="AK14" s="171">
        <f>SUMIF('CF(M)'!$L$11:$EQ$11,AK$6,'CF(M)'!$L19:$EQ19)</f>
        <v>0</v>
      </c>
      <c r="AL14" s="171">
        <f>SUMIF('CF(M)'!$L$11:$EQ$11,AL$6,'CF(M)'!$L19:$EQ19)</f>
        <v>0</v>
      </c>
      <c r="AM14" s="171">
        <f>SUMIF('CF(M)'!$L$11:$EQ$11,AM$6,'CF(M)'!$L19:$EQ19)</f>
        <v>0</v>
      </c>
      <c r="AN14" s="171">
        <f>SUMIF('CF(M)'!$L$11:$EQ$11,AN$6,'CF(M)'!$L19:$EQ19)</f>
        <v>0</v>
      </c>
      <c r="AO14" s="171">
        <f>SUMIF('CF(M)'!$L$11:$EQ$11,AO$6,'CF(M)'!$L19:$EQ19)</f>
        <v>0</v>
      </c>
      <c r="AP14" s="171">
        <f>SUMIF('CF(M)'!$L$11:$EQ$11,AP$6,'CF(M)'!$L19:$EQ19)</f>
        <v>0</v>
      </c>
      <c r="AQ14" s="171">
        <f>SUMIF('CF(M)'!$L$11:$EQ$11,AQ$6,'CF(M)'!$L19:$EQ19)</f>
        <v>0</v>
      </c>
      <c r="AR14" s="171">
        <f>SUMIF('CF(M)'!$L$11:$EQ$11,AR$6,'CF(M)'!$L19:$EQ19)</f>
        <v>0</v>
      </c>
      <c r="AS14" s="171">
        <f>SUMIF('CF(M)'!$L$11:$EQ$11,AS$6,'CF(M)'!$L19:$EQ19)</f>
        <v>0</v>
      </c>
      <c r="AT14" s="171">
        <f>SUMIF('CF(M)'!$L$11:$EQ$11,AT$6,'CF(M)'!$L19:$EQ19)</f>
        <v>0</v>
      </c>
      <c r="AU14" s="171">
        <f>SUMIF('CF(M)'!$L$11:$EQ$11,AU$6,'CF(M)'!$L19:$EQ19)</f>
        <v>0</v>
      </c>
      <c r="AV14" s="171">
        <f>SUMIF('CF(M)'!$L$11:$EQ$11,AV$6,'CF(M)'!$L19:$EQ19)</f>
        <v>0</v>
      </c>
      <c r="AW14" s="171">
        <f>SUMIF('CF(M)'!$L$11:$EQ$11,AW$6,'CF(M)'!$L19:$EQ19)</f>
        <v>0</v>
      </c>
      <c r="AX14" s="171">
        <f>SUMIF('CF(M)'!$L$11:$EQ$11,AX$6,'CF(M)'!$L19:$EQ19)</f>
        <v>0</v>
      </c>
      <c r="AY14" s="171">
        <f>SUMIF('CF(M)'!$L$11:$EQ$11,AY$6,'CF(M)'!$L19:$EQ19)</f>
        <v>0</v>
      </c>
      <c r="AZ14" s="171">
        <f>SUMIF('CF(M)'!$L$11:$EQ$11,AZ$6,'CF(M)'!$L19:$EQ19)</f>
        <v>0</v>
      </c>
      <c r="BA14" s="171">
        <f>SUMIF('CF(M)'!$L$11:$EQ$11,BA$6,'CF(M)'!$L19:$EQ19)</f>
        <v>0</v>
      </c>
      <c r="BB14" s="171">
        <f>SUMIF('CF(M)'!$L$11:$EQ$11,BB$6,'CF(M)'!$L19:$EQ19)</f>
        <v>0</v>
      </c>
      <c r="BC14" s="171">
        <f>SUMIF('CF(M)'!$L$11:$EQ$11,BC$6,'CF(M)'!$L19:$EQ19)</f>
        <v>0</v>
      </c>
      <c r="BD14" s="171">
        <f>SUMIF('CF(M)'!$L$11:$EQ$11,BD$6,'CF(M)'!$L19:$EQ19)</f>
        <v>0</v>
      </c>
      <c r="BE14" s="171">
        <f>SUMIF('CF(M)'!$L$11:$EQ$11,BE$6,'CF(M)'!$L19:$EQ19)</f>
        <v>0</v>
      </c>
      <c r="BF14" s="171">
        <f>SUMIF('CF(M)'!$L$11:$EQ$11,BF$6,'CF(M)'!$L19:$EQ19)</f>
        <v>0</v>
      </c>
      <c r="BG14" s="171">
        <f>SUMIF('CF(M)'!$L$11:$EQ$11,BG$6,'CF(M)'!$L19:$EQ19)</f>
        <v>0</v>
      </c>
      <c r="BH14" s="171">
        <f>SUMIF('CF(M)'!$L$11:$EQ$11,BH$6,'CF(M)'!$L19:$EQ19)</f>
        <v>0</v>
      </c>
      <c r="BI14" s="171">
        <f>SUMIF('CF(M)'!$L$11:$EQ$11,BI$6,'CF(M)'!$L19:$EQ19)</f>
        <v>0</v>
      </c>
      <c r="BJ14" s="171">
        <f>SUMIF('CF(M)'!$L$11:$EQ$11,BJ$6,'CF(M)'!$L19:$EQ19)</f>
        <v>0</v>
      </c>
      <c r="BK14" s="171">
        <f>SUMIF('CF(M)'!$L$11:$EQ$11,BK$6,'CF(M)'!$L19:$EQ19)</f>
        <v>0</v>
      </c>
      <c r="BL14" s="171">
        <f>SUMIF('CF(M)'!$L$11:$EQ$11,BL$6,'CF(M)'!$L19:$EQ19)</f>
        <v>0</v>
      </c>
      <c r="BM14" s="171">
        <f>SUMIF('CF(M)'!$L$11:$EQ$11,BM$6,'CF(M)'!$L19:$EQ19)</f>
        <v>0</v>
      </c>
      <c r="BN14" s="171">
        <f>SUMIF('CF(M)'!$L$11:$EQ$11,BN$6,'CF(M)'!$L19:$EQ19)</f>
        <v>0</v>
      </c>
      <c r="BO14" s="171">
        <f>SUMIF('CF(M)'!$L$11:$EQ$11,BO$6,'CF(M)'!$L19:$EQ19)</f>
        <v>0</v>
      </c>
      <c r="BP14" s="171">
        <f>SUMIF('CF(M)'!$L$11:$EQ$11,BP$6,'CF(M)'!$L19:$EQ19)</f>
        <v>0</v>
      </c>
      <c r="BQ14" s="171">
        <f>SUMIF('CF(M)'!$L$11:$EQ$11,BQ$6,'CF(M)'!$L19:$EQ19)</f>
        <v>0</v>
      </c>
      <c r="BR14" s="171">
        <f>SUMIF('CF(M)'!$L$11:$EQ$11,BR$6,'CF(M)'!$L19:$EQ19)</f>
        <v>0</v>
      </c>
      <c r="BS14" s="171">
        <f>SUMIF('CF(M)'!$L$11:$EQ$11,BS$6,'CF(M)'!$L19:$EQ19)</f>
        <v>0</v>
      </c>
      <c r="BT14" s="171">
        <f>SUMIF('CF(M)'!$L$11:$EQ$11,BT$6,'CF(M)'!$L19:$EQ19)</f>
        <v>0</v>
      </c>
      <c r="BU14" s="171">
        <f>SUMIF('CF(M)'!$L$11:$EQ$11,BU$6,'CF(M)'!$L19:$EQ19)</f>
        <v>0</v>
      </c>
      <c r="BV14" s="171">
        <f>SUMIF('CF(M)'!$L$11:$EQ$11,BV$6,'CF(M)'!$L19:$EQ19)</f>
        <v>0</v>
      </c>
      <c r="BW14" s="171">
        <f>SUMIF('CF(M)'!$L$11:$EQ$11,BW$6,'CF(M)'!$L19:$EQ19)</f>
        <v>0</v>
      </c>
      <c r="BX14" s="171">
        <f>SUMIF('CF(M)'!$L$11:$EQ$11,BX$6,'CF(M)'!$L19:$EQ19)</f>
        <v>0</v>
      </c>
      <c r="BY14" s="171">
        <f>SUMIF('CF(M)'!$L$11:$EQ$11,BY$6,'CF(M)'!$L19:$EQ19)</f>
        <v>0</v>
      </c>
      <c r="BZ14" s="171">
        <f>SUMIF('CF(M)'!$L$11:$EQ$11,BZ$6,'CF(M)'!$L19:$EQ19)</f>
        <v>0</v>
      </c>
      <c r="CA14" s="171">
        <f>SUMIF('CF(M)'!$L$11:$EQ$11,CA$6,'CF(M)'!$L19:$EQ19)</f>
        <v>0</v>
      </c>
      <c r="CB14" s="171">
        <f>SUMIF('CF(M)'!$L$11:$EQ$11,CB$6,'CF(M)'!$L19:$EQ19)</f>
        <v>0</v>
      </c>
      <c r="CC14" s="171">
        <f>SUMIF('CF(M)'!$L$11:$EQ$11,CC$6,'CF(M)'!$L19:$EQ19)</f>
        <v>0</v>
      </c>
      <c r="CD14" s="171">
        <f>SUMIF('CF(M)'!$L$11:$EQ$11,CD$6,'CF(M)'!$L19:$EQ19)</f>
        <v>0</v>
      </c>
      <c r="CE14" s="171">
        <f>SUMIF('CF(M)'!$L$11:$EQ$11,CE$6,'CF(M)'!$L19:$EQ19)</f>
        <v>0</v>
      </c>
      <c r="CF14" s="171">
        <f>SUMIF('CF(M)'!$L$11:$EQ$11,CF$6,'CF(M)'!$L19:$EQ19)</f>
        <v>0</v>
      </c>
      <c r="CG14" s="171">
        <f>SUMIF('CF(M)'!$L$11:$EQ$11,CG$6,'CF(M)'!$L19:$EQ19)</f>
        <v>0</v>
      </c>
      <c r="CH14" s="171">
        <f>SUMIF('CF(M)'!$L$11:$EQ$11,CH$6,'CF(M)'!$L19:$EQ19)</f>
        <v>0</v>
      </c>
      <c r="CI14" s="171">
        <f>SUMIF('CF(M)'!$L$11:$EQ$11,CI$6,'CF(M)'!$L19:$EQ19)</f>
        <v>0</v>
      </c>
      <c r="CJ14" s="171">
        <f>SUMIF('CF(M)'!$L$11:$EQ$11,CJ$6,'CF(M)'!$L19:$EQ19)</f>
        <v>0</v>
      </c>
      <c r="CK14" s="171">
        <f>SUMIF('CF(M)'!$L$11:$EQ$11,CK$6,'CF(M)'!$L19:$EQ19)</f>
        <v>0</v>
      </c>
      <c r="CL14" s="171">
        <f>SUMIF('CF(M)'!$L$11:$EQ$11,CL$6,'CF(M)'!$L19:$EQ19)</f>
        <v>0</v>
      </c>
      <c r="CM14" s="171">
        <f>SUMIF('CF(M)'!$L$11:$EQ$11,CM$6,'CF(M)'!$L19:$EQ19)</f>
        <v>0</v>
      </c>
      <c r="CN14" s="171">
        <f>SUMIF('CF(M)'!$L$11:$EQ$11,CN$6,'CF(M)'!$L19:$EQ19)</f>
        <v>0</v>
      </c>
      <c r="CO14" s="171">
        <f>SUMIF('CF(M)'!$L$11:$EQ$11,CO$6,'CF(M)'!$L19:$EQ19)</f>
        <v>0</v>
      </c>
      <c r="CP14" s="171">
        <f>SUMIF('CF(M)'!$L$11:$EQ$11,CP$6,'CF(M)'!$L19:$EQ19)</f>
        <v>0</v>
      </c>
      <c r="CQ14" s="171">
        <f>SUMIF('CF(M)'!$L$11:$EQ$11,CQ$6,'CF(M)'!$L19:$EQ19)</f>
        <v>0</v>
      </c>
      <c r="CR14" s="171">
        <f>SUMIF('CF(M)'!$L$11:$EQ$11,CR$6,'CF(M)'!$L19:$EQ19)</f>
        <v>0</v>
      </c>
      <c r="CS14" s="171">
        <f>SUMIF('CF(M)'!$L$11:$EQ$11,CS$6,'CF(M)'!$L19:$EQ19)</f>
        <v>0</v>
      </c>
      <c r="CT14" s="171">
        <f>SUMIF('CF(M)'!$L$11:$EQ$11,CT$6,'CF(M)'!$L19:$EQ19)</f>
        <v>0</v>
      </c>
      <c r="CU14" s="171">
        <f>SUMIF('CF(M)'!$L$11:$EQ$11,CU$6,'CF(M)'!$L19:$EQ19)</f>
        <v>0</v>
      </c>
      <c r="CV14" s="171">
        <f>SUMIF('CF(M)'!$L$11:$EQ$11,CV$6,'CF(M)'!$L19:$EQ19)</f>
        <v>0</v>
      </c>
      <c r="CW14" s="171">
        <f>SUMIF('CF(M)'!$L$11:$EQ$11,CW$6,'CF(M)'!$L19:$EQ19)</f>
        <v>0</v>
      </c>
      <c r="CX14" s="171">
        <f>SUMIF('CF(M)'!$L$11:$EQ$11,CX$6,'CF(M)'!$L19:$EQ19)</f>
        <v>0</v>
      </c>
      <c r="CY14" s="171">
        <f>SUMIF('CF(M)'!$L$11:$EQ$11,CY$6,'CF(M)'!$L19:$EQ19)</f>
        <v>0</v>
      </c>
      <c r="CZ14" s="171">
        <f>SUMIF('CF(M)'!$L$11:$EQ$11,CZ$6,'CF(M)'!$L19:$EQ19)</f>
        <v>0</v>
      </c>
      <c r="DA14" s="171">
        <f>SUMIF('CF(M)'!$L$11:$EQ$11,DA$6,'CF(M)'!$L19:$EQ19)</f>
        <v>0</v>
      </c>
      <c r="DB14" s="171">
        <f>SUMIF('CF(M)'!$L$11:$EQ$11,DB$6,'CF(M)'!$L19:$EQ19)</f>
        <v>0</v>
      </c>
      <c r="DC14" s="171">
        <f>SUMIF('CF(M)'!$L$11:$EQ$11,DC$6,'CF(M)'!$L19:$EQ19)</f>
        <v>0</v>
      </c>
      <c r="DD14" s="171">
        <f>SUMIF('CF(M)'!$L$11:$EQ$11,DD$6,'CF(M)'!$L19:$EQ19)</f>
        <v>0</v>
      </c>
      <c r="DE14" s="171">
        <f>SUMIF('CF(M)'!$L$11:$EQ$11,DE$6,'CF(M)'!$L19:$EQ19)</f>
        <v>0</v>
      </c>
      <c r="DF14" s="171">
        <f>SUMIF('CF(M)'!$L$11:$EQ$11,DF$6,'CF(M)'!$L19:$EQ19)</f>
        <v>0</v>
      </c>
      <c r="DG14" s="171">
        <f>SUMIF('CF(M)'!$L$11:$EQ$11,DG$6,'CF(M)'!$L19:$EQ19)</f>
        <v>0</v>
      </c>
      <c r="DH14" s="171">
        <f>SUMIF('CF(M)'!$L$11:$EQ$11,DH$6,'CF(M)'!$L19:$EQ19)</f>
        <v>0</v>
      </c>
      <c r="DI14" s="171">
        <f>SUMIF('CF(M)'!$L$11:$EQ$11,DI$6,'CF(M)'!$L19:$EQ19)</f>
        <v>0</v>
      </c>
      <c r="DJ14" s="171">
        <f>SUMIF('CF(M)'!$L$11:$EQ$11,DJ$6,'CF(M)'!$L19:$EQ19)</f>
        <v>0</v>
      </c>
      <c r="DK14" s="171">
        <f>SUMIF('CF(M)'!$L$11:$EQ$11,DK$6,'CF(M)'!$L19:$EQ19)</f>
        <v>0</v>
      </c>
      <c r="DL14" s="171">
        <f>SUMIF('CF(M)'!$L$11:$EQ$11,DL$6,'CF(M)'!$L19:$EQ19)</f>
        <v>0</v>
      </c>
      <c r="DM14" s="171">
        <f>SUMIF('CF(M)'!$L$11:$EQ$11,DM$6,'CF(M)'!$L19:$EQ19)</f>
        <v>0</v>
      </c>
      <c r="DN14" s="171">
        <f>SUMIF('CF(M)'!$L$11:$EQ$11,DN$6,'CF(M)'!$L19:$EQ19)</f>
        <v>0</v>
      </c>
      <c r="DO14" s="171">
        <f>SUMIF('CF(M)'!$L$11:$EQ$11,DO$6,'CF(M)'!$L19:$EQ19)</f>
        <v>0</v>
      </c>
      <c r="DP14" s="171">
        <f>SUMIF('CF(M)'!$L$11:$EQ$11,DP$6,'CF(M)'!$L19:$EQ19)</f>
        <v>0</v>
      </c>
      <c r="DQ14" s="171">
        <f>SUMIF('CF(M)'!$L$11:$EQ$11,DQ$6,'CF(M)'!$L19:$EQ19)</f>
        <v>0</v>
      </c>
      <c r="DR14" s="171">
        <f>SUMIF('CF(M)'!$L$11:$EQ$11,DR$6,'CF(M)'!$L19:$EQ19)</f>
        <v>0</v>
      </c>
      <c r="DS14" s="171">
        <f>SUMIF('CF(M)'!$L$11:$EQ$11,DS$6,'CF(M)'!$L19:$EQ19)</f>
        <v>0</v>
      </c>
      <c r="DT14" s="171">
        <f>SUMIF('CF(M)'!$L$11:$EQ$11,DT$6,'CF(M)'!$L19:$EQ19)</f>
        <v>0</v>
      </c>
      <c r="DU14" s="171">
        <f>SUMIF('CF(M)'!$L$11:$EQ$11,DU$6,'CF(M)'!$L19:$EQ19)</f>
        <v>0</v>
      </c>
      <c r="DV14" s="171">
        <f>SUMIF('CF(M)'!$L$11:$EQ$11,DV$6,'CF(M)'!$L19:$EQ19)</f>
        <v>0</v>
      </c>
    </row>
    <row r="15" spans="1:130" ht="11.25" customHeight="1">
      <c r="B15" s="218"/>
      <c r="C15" s="163"/>
      <c r="D15" s="169" t="s">
        <v>1021</v>
      </c>
      <c r="H15" s="90"/>
      <c r="I15" s="222"/>
      <c r="J15" s="171">
        <f t="shared" ca="1" si="12"/>
        <v>0</v>
      </c>
      <c r="K15" s="98"/>
      <c r="L15" s="171">
        <f>SUMIF('CF(M)'!$L$11:$EQ$11,L$6,'CF(M)'!$L20:$EQ20)</f>
        <v>0</v>
      </c>
      <c r="M15" s="171">
        <f ca="1">SUMIF('CF(M)'!$L$11:$EQ$11,M$6,'CF(M)'!$L20:$EQ20)</f>
        <v>0</v>
      </c>
      <c r="N15" s="171">
        <f ca="1">SUMIF('CF(M)'!$L$11:$EQ$11,N$6,'CF(M)'!$L20:$EQ20)</f>
        <v>0</v>
      </c>
      <c r="O15" s="171">
        <f ca="1">SUMIF('CF(M)'!$L$11:$EQ$11,O$6,'CF(M)'!$L20:$EQ20)</f>
        <v>0</v>
      </c>
      <c r="P15" s="171">
        <f ca="1">SUMIF('CF(M)'!$L$11:$EQ$11,P$6,'CF(M)'!$L20:$EQ20)</f>
        <v>0</v>
      </c>
      <c r="Q15" s="171">
        <f ca="1">SUMIF('CF(M)'!$L$11:$EQ$11,Q$6,'CF(M)'!$L20:$EQ20)</f>
        <v>0</v>
      </c>
      <c r="R15" s="171">
        <f ca="1">SUMIF('CF(M)'!$L$11:$EQ$11,R$6,'CF(M)'!$L20:$EQ20)</f>
        <v>0</v>
      </c>
      <c r="S15" s="171">
        <f ca="1">SUMIF('CF(M)'!$L$11:$EQ$11,S$6,'CF(M)'!$L20:$EQ20)</f>
        <v>0</v>
      </c>
      <c r="T15" s="171">
        <f ca="1">SUMIF('CF(M)'!$L$11:$EQ$11,T$6,'CF(M)'!$L20:$EQ20)</f>
        <v>0</v>
      </c>
      <c r="U15" s="171">
        <f ca="1">SUMIF('CF(M)'!$L$11:$EQ$11,U$6,'CF(M)'!$L20:$EQ20)</f>
        <v>0</v>
      </c>
      <c r="V15" s="171">
        <f ca="1">SUMIF('CF(M)'!$L$11:$EQ$11,V$6,'CF(M)'!$L20:$EQ20)</f>
        <v>0</v>
      </c>
      <c r="W15" s="171">
        <f ca="1">SUMIF('CF(M)'!$L$11:$EQ$11,W$6,'CF(M)'!$L20:$EQ20)</f>
        <v>0</v>
      </c>
      <c r="X15" s="171">
        <f ca="1">SUMIF('CF(M)'!$L$11:$EQ$11,X$6,'CF(M)'!$L20:$EQ20)</f>
        <v>0</v>
      </c>
      <c r="Y15" s="171">
        <f>SUMIF('CF(M)'!$L$11:$EQ$11,Y$6,'CF(M)'!$L20:$EQ20)</f>
        <v>0</v>
      </c>
      <c r="Z15" s="171">
        <f>SUMIF('CF(M)'!$L$11:$EQ$11,Z$6,'CF(M)'!$L20:$EQ20)</f>
        <v>0</v>
      </c>
      <c r="AA15" s="171">
        <f>SUMIF('CF(M)'!$L$11:$EQ$11,AA$6,'CF(M)'!$L20:$EQ20)</f>
        <v>0</v>
      </c>
      <c r="AB15" s="171">
        <f>SUMIF('CF(M)'!$L$11:$EQ$11,AB$6,'CF(M)'!$L20:$EQ20)</f>
        <v>0</v>
      </c>
      <c r="AC15" s="171">
        <f>SUMIF('CF(M)'!$L$11:$EQ$11,AC$6,'CF(M)'!$L20:$EQ20)</f>
        <v>0</v>
      </c>
      <c r="AD15" s="171">
        <f>SUMIF('CF(M)'!$L$11:$EQ$11,AD$6,'CF(M)'!$L20:$EQ20)</f>
        <v>0</v>
      </c>
      <c r="AE15" s="171">
        <f>SUMIF('CF(M)'!$L$11:$EQ$11,AE$6,'CF(M)'!$L20:$EQ20)</f>
        <v>0</v>
      </c>
      <c r="AF15" s="171">
        <f>SUMIF('CF(M)'!$L$11:$EQ$11,AF$6,'CF(M)'!$L20:$EQ20)</f>
        <v>0</v>
      </c>
      <c r="AG15" s="171">
        <f>SUMIF('CF(M)'!$L$11:$EQ$11,AG$6,'CF(M)'!$L20:$EQ20)</f>
        <v>0</v>
      </c>
      <c r="AH15" s="171">
        <f>SUMIF('CF(M)'!$L$11:$EQ$11,AH$6,'CF(M)'!$L20:$EQ20)</f>
        <v>0</v>
      </c>
      <c r="AI15" s="171">
        <f>SUMIF('CF(M)'!$L$11:$EQ$11,AI$6,'CF(M)'!$L20:$EQ20)</f>
        <v>0</v>
      </c>
      <c r="AJ15" s="171">
        <f>SUMIF('CF(M)'!$L$11:$EQ$11,AJ$6,'CF(M)'!$L20:$EQ20)</f>
        <v>0</v>
      </c>
      <c r="AK15" s="171">
        <f>SUMIF('CF(M)'!$L$11:$EQ$11,AK$6,'CF(M)'!$L20:$EQ20)</f>
        <v>0</v>
      </c>
      <c r="AL15" s="171">
        <f>SUMIF('CF(M)'!$L$11:$EQ$11,AL$6,'CF(M)'!$L20:$EQ20)</f>
        <v>0</v>
      </c>
      <c r="AM15" s="171">
        <f>SUMIF('CF(M)'!$L$11:$EQ$11,AM$6,'CF(M)'!$L20:$EQ20)</f>
        <v>0</v>
      </c>
      <c r="AN15" s="171">
        <f>SUMIF('CF(M)'!$L$11:$EQ$11,AN$6,'CF(M)'!$L20:$EQ20)</f>
        <v>0</v>
      </c>
      <c r="AO15" s="171">
        <f>SUMIF('CF(M)'!$L$11:$EQ$11,AO$6,'CF(M)'!$L20:$EQ20)</f>
        <v>0</v>
      </c>
      <c r="AP15" s="171">
        <f>SUMIF('CF(M)'!$L$11:$EQ$11,AP$6,'CF(M)'!$L20:$EQ20)</f>
        <v>0</v>
      </c>
      <c r="AQ15" s="171">
        <f>SUMIF('CF(M)'!$L$11:$EQ$11,AQ$6,'CF(M)'!$L20:$EQ20)</f>
        <v>0</v>
      </c>
      <c r="AR15" s="171">
        <f>SUMIF('CF(M)'!$L$11:$EQ$11,AR$6,'CF(M)'!$L20:$EQ20)</f>
        <v>0</v>
      </c>
      <c r="AS15" s="171">
        <f>SUMIF('CF(M)'!$L$11:$EQ$11,AS$6,'CF(M)'!$L20:$EQ20)</f>
        <v>0</v>
      </c>
      <c r="AT15" s="171">
        <f>SUMIF('CF(M)'!$L$11:$EQ$11,AT$6,'CF(M)'!$L20:$EQ20)</f>
        <v>0</v>
      </c>
      <c r="AU15" s="171">
        <f>SUMIF('CF(M)'!$L$11:$EQ$11,AU$6,'CF(M)'!$L20:$EQ20)</f>
        <v>0</v>
      </c>
      <c r="AV15" s="171">
        <f>SUMIF('CF(M)'!$L$11:$EQ$11,AV$6,'CF(M)'!$L20:$EQ20)</f>
        <v>0</v>
      </c>
      <c r="AW15" s="171">
        <f>SUMIF('CF(M)'!$L$11:$EQ$11,AW$6,'CF(M)'!$L20:$EQ20)</f>
        <v>0</v>
      </c>
      <c r="AX15" s="171">
        <f>SUMIF('CF(M)'!$L$11:$EQ$11,AX$6,'CF(M)'!$L20:$EQ20)</f>
        <v>0</v>
      </c>
      <c r="AY15" s="171">
        <f>SUMIF('CF(M)'!$L$11:$EQ$11,AY$6,'CF(M)'!$L20:$EQ20)</f>
        <v>0</v>
      </c>
      <c r="AZ15" s="171">
        <f>SUMIF('CF(M)'!$L$11:$EQ$11,AZ$6,'CF(M)'!$L20:$EQ20)</f>
        <v>0</v>
      </c>
      <c r="BA15" s="171">
        <f>SUMIF('CF(M)'!$L$11:$EQ$11,BA$6,'CF(M)'!$L20:$EQ20)</f>
        <v>0</v>
      </c>
      <c r="BB15" s="171">
        <f>SUMIF('CF(M)'!$L$11:$EQ$11,BB$6,'CF(M)'!$L20:$EQ20)</f>
        <v>0</v>
      </c>
      <c r="BC15" s="171">
        <f>SUMIF('CF(M)'!$L$11:$EQ$11,BC$6,'CF(M)'!$L20:$EQ20)</f>
        <v>0</v>
      </c>
      <c r="BD15" s="171">
        <f>SUMIF('CF(M)'!$L$11:$EQ$11,BD$6,'CF(M)'!$L20:$EQ20)</f>
        <v>0</v>
      </c>
      <c r="BE15" s="171">
        <f>SUMIF('CF(M)'!$L$11:$EQ$11,BE$6,'CF(M)'!$L20:$EQ20)</f>
        <v>0</v>
      </c>
      <c r="BF15" s="171">
        <f>SUMIF('CF(M)'!$L$11:$EQ$11,BF$6,'CF(M)'!$L20:$EQ20)</f>
        <v>0</v>
      </c>
      <c r="BG15" s="171">
        <f>SUMIF('CF(M)'!$L$11:$EQ$11,BG$6,'CF(M)'!$L20:$EQ20)</f>
        <v>0</v>
      </c>
      <c r="BH15" s="171">
        <f>SUMIF('CF(M)'!$L$11:$EQ$11,BH$6,'CF(M)'!$L20:$EQ20)</f>
        <v>0</v>
      </c>
      <c r="BI15" s="171">
        <f>SUMIF('CF(M)'!$L$11:$EQ$11,BI$6,'CF(M)'!$L20:$EQ20)</f>
        <v>0</v>
      </c>
      <c r="BJ15" s="171">
        <f>SUMIF('CF(M)'!$L$11:$EQ$11,BJ$6,'CF(M)'!$L20:$EQ20)</f>
        <v>0</v>
      </c>
      <c r="BK15" s="171">
        <f>SUMIF('CF(M)'!$L$11:$EQ$11,BK$6,'CF(M)'!$L20:$EQ20)</f>
        <v>0</v>
      </c>
      <c r="BL15" s="171">
        <f>SUMIF('CF(M)'!$L$11:$EQ$11,BL$6,'CF(M)'!$L20:$EQ20)</f>
        <v>0</v>
      </c>
      <c r="BM15" s="171">
        <f>SUMIF('CF(M)'!$L$11:$EQ$11,BM$6,'CF(M)'!$L20:$EQ20)</f>
        <v>0</v>
      </c>
      <c r="BN15" s="171">
        <f>SUMIF('CF(M)'!$L$11:$EQ$11,BN$6,'CF(M)'!$L20:$EQ20)</f>
        <v>0</v>
      </c>
      <c r="BO15" s="171">
        <f>SUMIF('CF(M)'!$L$11:$EQ$11,BO$6,'CF(M)'!$L20:$EQ20)</f>
        <v>0</v>
      </c>
      <c r="BP15" s="171">
        <f>SUMIF('CF(M)'!$L$11:$EQ$11,BP$6,'CF(M)'!$L20:$EQ20)</f>
        <v>0</v>
      </c>
      <c r="BQ15" s="171">
        <f>SUMIF('CF(M)'!$L$11:$EQ$11,BQ$6,'CF(M)'!$L20:$EQ20)</f>
        <v>0</v>
      </c>
      <c r="BR15" s="171">
        <f>SUMIF('CF(M)'!$L$11:$EQ$11,BR$6,'CF(M)'!$L20:$EQ20)</f>
        <v>0</v>
      </c>
      <c r="BS15" s="171">
        <f>SUMIF('CF(M)'!$L$11:$EQ$11,BS$6,'CF(M)'!$L20:$EQ20)</f>
        <v>0</v>
      </c>
      <c r="BT15" s="171">
        <f>SUMIF('CF(M)'!$L$11:$EQ$11,BT$6,'CF(M)'!$L20:$EQ20)</f>
        <v>0</v>
      </c>
      <c r="BU15" s="171">
        <f>SUMIF('CF(M)'!$L$11:$EQ$11,BU$6,'CF(M)'!$L20:$EQ20)</f>
        <v>0</v>
      </c>
      <c r="BV15" s="171">
        <f>SUMIF('CF(M)'!$L$11:$EQ$11,BV$6,'CF(M)'!$L20:$EQ20)</f>
        <v>0</v>
      </c>
      <c r="BW15" s="171">
        <f>SUMIF('CF(M)'!$L$11:$EQ$11,BW$6,'CF(M)'!$L20:$EQ20)</f>
        <v>0</v>
      </c>
      <c r="BX15" s="171">
        <f>SUMIF('CF(M)'!$L$11:$EQ$11,BX$6,'CF(M)'!$L20:$EQ20)</f>
        <v>0</v>
      </c>
      <c r="BY15" s="171">
        <f>SUMIF('CF(M)'!$L$11:$EQ$11,BY$6,'CF(M)'!$L20:$EQ20)</f>
        <v>0</v>
      </c>
      <c r="BZ15" s="171">
        <f>SUMIF('CF(M)'!$L$11:$EQ$11,BZ$6,'CF(M)'!$L20:$EQ20)</f>
        <v>0</v>
      </c>
      <c r="CA15" s="171">
        <f>SUMIF('CF(M)'!$L$11:$EQ$11,CA$6,'CF(M)'!$L20:$EQ20)</f>
        <v>0</v>
      </c>
      <c r="CB15" s="171">
        <f>SUMIF('CF(M)'!$L$11:$EQ$11,CB$6,'CF(M)'!$L20:$EQ20)</f>
        <v>0</v>
      </c>
      <c r="CC15" s="171">
        <f>SUMIF('CF(M)'!$L$11:$EQ$11,CC$6,'CF(M)'!$L20:$EQ20)</f>
        <v>0</v>
      </c>
      <c r="CD15" s="171">
        <f>SUMIF('CF(M)'!$L$11:$EQ$11,CD$6,'CF(M)'!$L20:$EQ20)</f>
        <v>0</v>
      </c>
      <c r="CE15" s="171">
        <f>SUMIF('CF(M)'!$L$11:$EQ$11,CE$6,'CF(M)'!$L20:$EQ20)</f>
        <v>0</v>
      </c>
      <c r="CF15" s="171">
        <f>SUMIF('CF(M)'!$L$11:$EQ$11,CF$6,'CF(M)'!$L20:$EQ20)</f>
        <v>0</v>
      </c>
      <c r="CG15" s="171">
        <f>SUMIF('CF(M)'!$L$11:$EQ$11,CG$6,'CF(M)'!$L20:$EQ20)</f>
        <v>0</v>
      </c>
      <c r="CH15" s="171">
        <f>SUMIF('CF(M)'!$L$11:$EQ$11,CH$6,'CF(M)'!$L20:$EQ20)</f>
        <v>0</v>
      </c>
      <c r="CI15" s="171">
        <f>SUMIF('CF(M)'!$L$11:$EQ$11,CI$6,'CF(M)'!$L20:$EQ20)</f>
        <v>0</v>
      </c>
      <c r="CJ15" s="171">
        <f>SUMIF('CF(M)'!$L$11:$EQ$11,CJ$6,'CF(M)'!$L20:$EQ20)</f>
        <v>0</v>
      </c>
      <c r="CK15" s="171">
        <f>SUMIF('CF(M)'!$L$11:$EQ$11,CK$6,'CF(M)'!$L20:$EQ20)</f>
        <v>0</v>
      </c>
      <c r="CL15" s="171">
        <f>SUMIF('CF(M)'!$L$11:$EQ$11,CL$6,'CF(M)'!$L20:$EQ20)</f>
        <v>0</v>
      </c>
      <c r="CM15" s="171">
        <f>SUMIF('CF(M)'!$L$11:$EQ$11,CM$6,'CF(M)'!$L20:$EQ20)</f>
        <v>0</v>
      </c>
      <c r="CN15" s="171">
        <f>SUMIF('CF(M)'!$L$11:$EQ$11,CN$6,'CF(M)'!$L20:$EQ20)</f>
        <v>0</v>
      </c>
      <c r="CO15" s="171">
        <f>SUMIF('CF(M)'!$L$11:$EQ$11,CO$6,'CF(M)'!$L20:$EQ20)</f>
        <v>0</v>
      </c>
      <c r="CP15" s="171">
        <f>SUMIF('CF(M)'!$L$11:$EQ$11,CP$6,'CF(M)'!$L20:$EQ20)</f>
        <v>0</v>
      </c>
      <c r="CQ15" s="171">
        <f>SUMIF('CF(M)'!$L$11:$EQ$11,CQ$6,'CF(M)'!$L20:$EQ20)</f>
        <v>0</v>
      </c>
      <c r="CR15" s="171">
        <f>SUMIF('CF(M)'!$L$11:$EQ$11,CR$6,'CF(M)'!$L20:$EQ20)</f>
        <v>0</v>
      </c>
      <c r="CS15" s="171">
        <f>SUMIF('CF(M)'!$L$11:$EQ$11,CS$6,'CF(M)'!$L20:$EQ20)</f>
        <v>0</v>
      </c>
      <c r="CT15" s="171">
        <f>SUMIF('CF(M)'!$L$11:$EQ$11,CT$6,'CF(M)'!$L20:$EQ20)</f>
        <v>0</v>
      </c>
      <c r="CU15" s="171">
        <f>SUMIF('CF(M)'!$L$11:$EQ$11,CU$6,'CF(M)'!$L20:$EQ20)</f>
        <v>0</v>
      </c>
      <c r="CV15" s="171">
        <f>SUMIF('CF(M)'!$L$11:$EQ$11,CV$6,'CF(M)'!$L20:$EQ20)</f>
        <v>0</v>
      </c>
      <c r="CW15" s="171">
        <f>SUMIF('CF(M)'!$L$11:$EQ$11,CW$6,'CF(M)'!$L20:$EQ20)</f>
        <v>0</v>
      </c>
      <c r="CX15" s="171">
        <f>SUMIF('CF(M)'!$L$11:$EQ$11,CX$6,'CF(M)'!$L20:$EQ20)</f>
        <v>0</v>
      </c>
      <c r="CY15" s="171">
        <f>SUMIF('CF(M)'!$L$11:$EQ$11,CY$6,'CF(M)'!$L20:$EQ20)</f>
        <v>0</v>
      </c>
      <c r="CZ15" s="171">
        <f>SUMIF('CF(M)'!$L$11:$EQ$11,CZ$6,'CF(M)'!$L20:$EQ20)</f>
        <v>0</v>
      </c>
      <c r="DA15" s="171">
        <f>SUMIF('CF(M)'!$L$11:$EQ$11,DA$6,'CF(M)'!$L20:$EQ20)</f>
        <v>0</v>
      </c>
      <c r="DB15" s="171">
        <f>SUMIF('CF(M)'!$L$11:$EQ$11,DB$6,'CF(M)'!$L20:$EQ20)</f>
        <v>0</v>
      </c>
      <c r="DC15" s="171">
        <f>SUMIF('CF(M)'!$L$11:$EQ$11,DC$6,'CF(M)'!$L20:$EQ20)</f>
        <v>0</v>
      </c>
      <c r="DD15" s="171">
        <f>SUMIF('CF(M)'!$L$11:$EQ$11,DD$6,'CF(M)'!$L20:$EQ20)</f>
        <v>0</v>
      </c>
      <c r="DE15" s="171">
        <f>SUMIF('CF(M)'!$L$11:$EQ$11,DE$6,'CF(M)'!$L20:$EQ20)</f>
        <v>0</v>
      </c>
      <c r="DF15" s="171">
        <f>SUMIF('CF(M)'!$L$11:$EQ$11,DF$6,'CF(M)'!$L20:$EQ20)</f>
        <v>0</v>
      </c>
      <c r="DG15" s="171">
        <f>SUMIF('CF(M)'!$L$11:$EQ$11,DG$6,'CF(M)'!$L20:$EQ20)</f>
        <v>0</v>
      </c>
      <c r="DH15" s="171">
        <f>SUMIF('CF(M)'!$L$11:$EQ$11,DH$6,'CF(M)'!$L20:$EQ20)</f>
        <v>0</v>
      </c>
      <c r="DI15" s="171">
        <f>SUMIF('CF(M)'!$L$11:$EQ$11,DI$6,'CF(M)'!$L20:$EQ20)</f>
        <v>0</v>
      </c>
      <c r="DJ15" s="171">
        <f>SUMIF('CF(M)'!$L$11:$EQ$11,DJ$6,'CF(M)'!$L20:$EQ20)</f>
        <v>0</v>
      </c>
      <c r="DK15" s="171">
        <f>SUMIF('CF(M)'!$L$11:$EQ$11,DK$6,'CF(M)'!$L20:$EQ20)</f>
        <v>0</v>
      </c>
      <c r="DL15" s="171">
        <f>SUMIF('CF(M)'!$L$11:$EQ$11,DL$6,'CF(M)'!$L20:$EQ20)</f>
        <v>0</v>
      </c>
      <c r="DM15" s="171">
        <f>SUMIF('CF(M)'!$L$11:$EQ$11,DM$6,'CF(M)'!$L20:$EQ20)</f>
        <v>0</v>
      </c>
      <c r="DN15" s="171">
        <f>SUMIF('CF(M)'!$L$11:$EQ$11,DN$6,'CF(M)'!$L20:$EQ20)</f>
        <v>0</v>
      </c>
      <c r="DO15" s="171">
        <f>SUMIF('CF(M)'!$L$11:$EQ$11,DO$6,'CF(M)'!$L20:$EQ20)</f>
        <v>0</v>
      </c>
      <c r="DP15" s="171">
        <f>SUMIF('CF(M)'!$L$11:$EQ$11,DP$6,'CF(M)'!$L20:$EQ20)</f>
        <v>0</v>
      </c>
      <c r="DQ15" s="171">
        <f>SUMIF('CF(M)'!$L$11:$EQ$11,DQ$6,'CF(M)'!$L20:$EQ20)</f>
        <v>0</v>
      </c>
      <c r="DR15" s="171">
        <f>SUMIF('CF(M)'!$L$11:$EQ$11,DR$6,'CF(M)'!$L20:$EQ20)</f>
        <v>0</v>
      </c>
      <c r="DS15" s="171">
        <f>SUMIF('CF(M)'!$L$11:$EQ$11,DS$6,'CF(M)'!$L20:$EQ20)</f>
        <v>0</v>
      </c>
      <c r="DT15" s="171">
        <f>SUMIF('CF(M)'!$L$11:$EQ$11,DT$6,'CF(M)'!$L20:$EQ20)</f>
        <v>0</v>
      </c>
      <c r="DU15" s="171">
        <f>SUMIF('CF(M)'!$L$11:$EQ$11,DU$6,'CF(M)'!$L20:$EQ20)</f>
        <v>0</v>
      </c>
      <c r="DV15" s="171">
        <f>SUMIF('CF(M)'!$L$11:$EQ$11,DV$6,'CF(M)'!$L20:$EQ20)</f>
        <v>0</v>
      </c>
    </row>
    <row r="16" spans="1:130" ht="11.25" customHeight="1">
      <c r="B16" s="218"/>
      <c r="C16" s="163"/>
      <c r="D16" s="169" t="s">
        <v>187</v>
      </c>
      <c r="H16" s="146"/>
      <c r="I16" s="13"/>
      <c r="J16" s="171">
        <f t="shared" si="12"/>
        <v>0</v>
      </c>
      <c r="K16" s="98"/>
      <c r="L16" s="171">
        <f>SUMIF('CF(M)'!$L$11:$EQ$11,L$6,'CF(M)'!$L21:$EQ21)</f>
        <v>0</v>
      </c>
      <c r="M16" s="171">
        <f>SUMIF('CF(M)'!$L$11:$EQ$11,M$6,'CF(M)'!$L21:$EQ21)</f>
        <v>0</v>
      </c>
      <c r="N16" s="171">
        <f>SUMIF('CF(M)'!$L$11:$EQ$11,N$6,'CF(M)'!$L21:$EQ21)</f>
        <v>0</v>
      </c>
      <c r="O16" s="171">
        <f>SUMIF('CF(M)'!$L$11:$EQ$11,O$6,'CF(M)'!$L21:$EQ21)</f>
        <v>0</v>
      </c>
      <c r="P16" s="171">
        <f>SUMIF('CF(M)'!$L$11:$EQ$11,P$6,'CF(M)'!$L21:$EQ21)</f>
        <v>0</v>
      </c>
      <c r="Q16" s="171">
        <f>SUMIF('CF(M)'!$L$11:$EQ$11,Q$6,'CF(M)'!$L21:$EQ21)</f>
        <v>0</v>
      </c>
      <c r="R16" s="171">
        <f>SUMIF('CF(M)'!$L$11:$EQ$11,R$6,'CF(M)'!$L21:$EQ21)</f>
        <v>0</v>
      </c>
      <c r="S16" s="171">
        <f>SUMIF('CF(M)'!$L$11:$EQ$11,S$6,'CF(M)'!$L21:$EQ21)</f>
        <v>0</v>
      </c>
      <c r="T16" s="171">
        <f>SUMIF('CF(M)'!$L$11:$EQ$11,T$6,'CF(M)'!$L21:$EQ21)</f>
        <v>0</v>
      </c>
      <c r="U16" s="171">
        <f>SUMIF('CF(M)'!$L$11:$EQ$11,U$6,'CF(M)'!$L21:$EQ21)</f>
        <v>0</v>
      </c>
      <c r="V16" s="171">
        <f>SUMIF('CF(M)'!$L$11:$EQ$11,V$6,'CF(M)'!$L21:$EQ21)</f>
        <v>0</v>
      </c>
      <c r="W16" s="171">
        <f>SUMIF('CF(M)'!$L$11:$EQ$11,W$6,'CF(M)'!$L21:$EQ21)</f>
        <v>0</v>
      </c>
      <c r="X16" s="171">
        <f>SUMIF('CF(M)'!$L$11:$EQ$11,X$6,'CF(M)'!$L21:$EQ21)</f>
        <v>0</v>
      </c>
      <c r="Y16" s="171">
        <f>SUMIF('CF(M)'!$L$11:$EQ$11,Y$6,'CF(M)'!$L21:$EQ21)</f>
        <v>0</v>
      </c>
      <c r="Z16" s="171">
        <f>SUMIF('CF(M)'!$L$11:$EQ$11,Z$6,'CF(M)'!$L21:$EQ21)</f>
        <v>0</v>
      </c>
      <c r="AA16" s="171">
        <f>SUMIF('CF(M)'!$L$11:$EQ$11,AA$6,'CF(M)'!$L21:$EQ21)</f>
        <v>0</v>
      </c>
      <c r="AB16" s="171">
        <f>SUMIF('CF(M)'!$L$11:$EQ$11,AB$6,'CF(M)'!$L21:$EQ21)</f>
        <v>0</v>
      </c>
      <c r="AC16" s="171">
        <f>SUMIF('CF(M)'!$L$11:$EQ$11,AC$6,'CF(M)'!$L21:$EQ21)</f>
        <v>0</v>
      </c>
      <c r="AD16" s="171">
        <f>SUMIF('CF(M)'!$L$11:$EQ$11,AD$6,'CF(M)'!$L21:$EQ21)</f>
        <v>0</v>
      </c>
      <c r="AE16" s="171">
        <f>SUMIF('CF(M)'!$L$11:$EQ$11,AE$6,'CF(M)'!$L21:$EQ21)</f>
        <v>0</v>
      </c>
      <c r="AF16" s="171">
        <f>SUMIF('CF(M)'!$L$11:$EQ$11,AF$6,'CF(M)'!$L21:$EQ21)</f>
        <v>0</v>
      </c>
      <c r="AG16" s="171">
        <f>SUMIF('CF(M)'!$L$11:$EQ$11,AG$6,'CF(M)'!$L21:$EQ21)</f>
        <v>0</v>
      </c>
      <c r="AH16" s="171">
        <f>SUMIF('CF(M)'!$L$11:$EQ$11,AH$6,'CF(M)'!$L21:$EQ21)</f>
        <v>0</v>
      </c>
      <c r="AI16" s="171">
        <f>SUMIF('CF(M)'!$L$11:$EQ$11,AI$6,'CF(M)'!$L21:$EQ21)</f>
        <v>0</v>
      </c>
      <c r="AJ16" s="171">
        <f>SUMIF('CF(M)'!$L$11:$EQ$11,AJ$6,'CF(M)'!$L21:$EQ21)</f>
        <v>0</v>
      </c>
      <c r="AK16" s="171">
        <f>SUMIF('CF(M)'!$L$11:$EQ$11,AK$6,'CF(M)'!$L21:$EQ21)</f>
        <v>0</v>
      </c>
      <c r="AL16" s="171">
        <f>SUMIF('CF(M)'!$L$11:$EQ$11,AL$6,'CF(M)'!$L21:$EQ21)</f>
        <v>0</v>
      </c>
      <c r="AM16" s="171">
        <f>SUMIF('CF(M)'!$L$11:$EQ$11,AM$6,'CF(M)'!$L21:$EQ21)</f>
        <v>0</v>
      </c>
      <c r="AN16" s="171">
        <f>SUMIF('CF(M)'!$L$11:$EQ$11,AN$6,'CF(M)'!$L21:$EQ21)</f>
        <v>0</v>
      </c>
      <c r="AO16" s="171">
        <f>SUMIF('CF(M)'!$L$11:$EQ$11,AO$6,'CF(M)'!$L21:$EQ21)</f>
        <v>0</v>
      </c>
      <c r="AP16" s="171">
        <f>SUMIF('CF(M)'!$L$11:$EQ$11,AP$6,'CF(M)'!$L21:$EQ21)</f>
        <v>0</v>
      </c>
      <c r="AQ16" s="171">
        <f>SUMIF('CF(M)'!$L$11:$EQ$11,AQ$6,'CF(M)'!$L21:$EQ21)</f>
        <v>0</v>
      </c>
      <c r="AR16" s="171">
        <f>SUMIF('CF(M)'!$L$11:$EQ$11,AR$6,'CF(M)'!$L21:$EQ21)</f>
        <v>0</v>
      </c>
      <c r="AS16" s="171">
        <f>SUMIF('CF(M)'!$L$11:$EQ$11,AS$6,'CF(M)'!$L21:$EQ21)</f>
        <v>0</v>
      </c>
      <c r="AT16" s="171">
        <f>SUMIF('CF(M)'!$L$11:$EQ$11,AT$6,'CF(M)'!$L21:$EQ21)</f>
        <v>0</v>
      </c>
      <c r="AU16" s="171">
        <f>SUMIF('CF(M)'!$L$11:$EQ$11,AU$6,'CF(M)'!$L21:$EQ21)</f>
        <v>0</v>
      </c>
      <c r="AV16" s="171">
        <f>SUMIF('CF(M)'!$L$11:$EQ$11,AV$6,'CF(M)'!$L21:$EQ21)</f>
        <v>0</v>
      </c>
      <c r="AW16" s="171">
        <f>SUMIF('CF(M)'!$L$11:$EQ$11,AW$6,'CF(M)'!$L21:$EQ21)</f>
        <v>0</v>
      </c>
      <c r="AX16" s="171">
        <f>SUMIF('CF(M)'!$L$11:$EQ$11,AX$6,'CF(M)'!$L21:$EQ21)</f>
        <v>0</v>
      </c>
      <c r="AY16" s="171">
        <f>SUMIF('CF(M)'!$L$11:$EQ$11,AY$6,'CF(M)'!$L21:$EQ21)</f>
        <v>0</v>
      </c>
      <c r="AZ16" s="171">
        <f>SUMIF('CF(M)'!$L$11:$EQ$11,AZ$6,'CF(M)'!$L21:$EQ21)</f>
        <v>0</v>
      </c>
      <c r="BA16" s="171">
        <f>SUMIF('CF(M)'!$L$11:$EQ$11,BA$6,'CF(M)'!$L21:$EQ21)</f>
        <v>0</v>
      </c>
      <c r="BB16" s="171">
        <f>SUMIF('CF(M)'!$L$11:$EQ$11,BB$6,'CF(M)'!$L21:$EQ21)</f>
        <v>0</v>
      </c>
      <c r="BC16" s="171">
        <f>SUMIF('CF(M)'!$L$11:$EQ$11,BC$6,'CF(M)'!$L21:$EQ21)</f>
        <v>0</v>
      </c>
      <c r="BD16" s="171">
        <f>SUMIF('CF(M)'!$L$11:$EQ$11,BD$6,'CF(M)'!$L21:$EQ21)</f>
        <v>0</v>
      </c>
      <c r="BE16" s="171">
        <f>SUMIF('CF(M)'!$L$11:$EQ$11,BE$6,'CF(M)'!$L21:$EQ21)</f>
        <v>0</v>
      </c>
      <c r="BF16" s="171">
        <f>SUMIF('CF(M)'!$L$11:$EQ$11,BF$6,'CF(M)'!$L21:$EQ21)</f>
        <v>0</v>
      </c>
      <c r="BG16" s="171">
        <f>SUMIF('CF(M)'!$L$11:$EQ$11,BG$6,'CF(M)'!$L21:$EQ21)</f>
        <v>0</v>
      </c>
      <c r="BH16" s="171">
        <f>SUMIF('CF(M)'!$L$11:$EQ$11,BH$6,'CF(M)'!$L21:$EQ21)</f>
        <v>0</v>
      </c>
      <c r="BI16" s="171">
        <f>SUMIF('CF(M)'!$L$11:$EQ$11,BI$6,'CF(M)'!$L21:$EQ21)</f>
        <v>0</v>
      </c>
      <c r="BJ16" s="171">
        <f>SUMIF('CF(M)'!$L$11:$EQ$11,BJ$6,'CF(M)'!$L21:$EQ21)</f>
        <v>0</v>
      </c>
      <c r="BK16" s="171">
        <f>SUMIF('CF(M)'!$L$11:$EQ$11,BK$6,'CF(M)'!$L21:$EQ21)</f>
        <v>0</v>
      </c>
      <c r="BL16" s="171">
        <f>SUMIF('CF(M)'!$L$11:$EQ$11,BL$6,'CF(M)'!$L21:$EQ21)</f>
        <v>0</v>
      </c>
      <c r="BM16" s="171">
        <f>SUMIF('CF(M)'!$L$11:$EQ$11,BM$6,'CF(M)'!$L21:$EQ21)</f>
        <v>0</v>
      </c>
      <c r="BN16" s="171">
        <f>SUMIF('CF(M)'!$L$11:$EQ$11,BN$6,'CF(M)'!$L21:$EQ21)</f>
        <v>0</v>
      </c>
      <c r="BO16" s="171">
        <f>SUMIF('CF(M)'!$L$11:$EQ$11,BO$6,'CF(M)'!$L21:$EQ21)</f>
        <v>0</v>
      </c>
      <c r="BP16" s="171">
        <f>SUMIF('CF(M)'!$L$11:$EQ$11,BP$6,'CF(M)'!$L21:$EQ21)</f>
        <v>0</v>
      </c>
      <c r="BQ16" s="171">
        <f>SUMIF('CF(M)'!$L$11:$EQ$11,BQ$6,'CF(M)'!$L21:$EQ21)</f>
        <v>0</v>
      </c>
      <c r="BR16" s="171">
        <f>SUMIF('CF(M)'!$L$11:$EQ$11,BR$6,'CF(M)'!$L21:$EQ21)</f>
        <v>0</v>
      </c>
      <c r="BS16" s="171">
        <f>SUMIF('CF(M)'!$L$11:$EQ$11,BS$6,'CF(M)'!$L21:$EQ21)</f>
        <v>0</v>
      </c>
      <c r="BT16" s="171">
        <f>SUMIF('CF(M)'!$L$11:$EQ$11,BT$6,'CF(M)'!$L21:$EQ21)</f>
        <v>0</v>
      </c>
      <c r="BU16" s="171">
        <f>SUMIF('CF(M)'!$L$11:$EQ$11,BU$6,'CF(M)'!$L21:$EQ21)</f>
        <v>0</v>
      </c>
      <c r="BV16" s="171">
        <f>SUMIF('CF(M)'!$L$11:$EQ$11,BV$6,'CF(M)'!$L21:$EQ21)</f>
        <v>0</v>
      </c>
      <c r="BW16" s="171">
        <f>SUMIF('CF(M)'!$L$11:$EQ$11,BW$6,'CF(M)'!$L21:$EQ21)</f>
        <v>0</v>
      </c>
      <c r="BX16" s="171">
        <f>SUMIF('CF(M)'!$L$11:$EQ$11,BX$6,'CF(M)'!$L21:$EQ21)</f>
        <v>0</v>
      </c>
      <c r="BY16" s="171">
        <f>SUMIF('CF(M)'!$L$11:$EQ$11,BY$6,'CF(M)'!$L21:$EQ21)</f>
        <v>0</v>
      </c>
      <c r="BZ16" s="171">
        <f>SUMIF('CF(M)'!$L$11:$EQ$11,BZ$6,'CF(M)'!$L21:$EQ21)</f>
        <v>0</v>
      </c>
      <c r="CA16" s="171">
        <f>SUMIF('CF(M)'!$L$11:$EQ$11,CA$6,'CF(M)'!$L21:$EQ21)</f>
        <v>0</v>
      </c>
      <c r="CB16" s="171">
        <f>SUMIF('CF(M)'!$L$11:$EQ$11,CB$6,'CF(M)'!$L21:$EQ21)</f>
        <v>0</v>
      </c>
      <c r="CC16" s="171">
        <f>SUMIF('CF(M)'!$L$11:$EQ$11,CC$6,'CF(M)'!$L21:$EQ21)</f>
        <v>0</v>
      </c>
      <c r="CD16" s="171">
        <f>SUMIF('CF(M)'!$L$11:$EQ$11,CD$6,'CF(M)'!$L21:$EQ21)</f>
        <v>0</v>
      </c>
      <c r="CE16" s="171">
        <f>SUMIF('CF(M)'!$L$11:$EQ$11,CE$6,'CF(M)'!$L21:$EQ21)</f>
        <v>0</v>
      </c>
      <c r="CF16" s="171">
        <f>SUMIF('CF(M)'!$L$11:$EQ$11,CF$6,'CF(M)'!$L21:$EQ21)</f>
        <v>0</v>
      </c>
      <c r="CG16" s="171">
        <f>SUMIF('CF(M)'!$L$11:$EQ$11,CG$6,'CF(M)'!$L21:$EQ21)</f>
        <v>0</v>
      </c>
      <c r="CH16" s="171">
        <f>SUMIF('CF(M)'!$L$11:$EQ$11,CH$6,'CF(M)'!$L21:$EQ21)</f>
        <v>0</v>
      </c>
      <c r="CI16" s="171">
        <f>SUMIF('CF(M)'!$L$11:$EQ$11,CI$6,'CF(M)'!$L21:$EQ21)</f>
        <v>0</v>
      </c>
      <c r="CJ16" s="171">
        <f>SUMIF('CF(M)'!$L$11:$EQ$11,CJ$6,'CF(M)'!$L21:$EQ21)</f>
        <v>0</v>
      </c>
      <c r="CK16" s="171">
        <f>SUMIF('CF(M)'!$L$11:$EQ$11,CK$6,'CF(M)'!$L21:$EQ21)</f>
        <v>0</v>
      </c>
      <c r="CL16" s="171">
        <f>SUMIF('CF(M)'!$L$11:$EQ$11,CL$6,'CF(M)'!$L21:$EQ21)</f>
        <v>0</v>
      </c>
      <c r="CM16" s="171">
        <f>SUMIF('CF(M)'!$L$11:$EQ$11,CM$6,'CF(M)'!$L21:$EQ21)</f>
        <v>0</v>
      </c>
      <c r="CN16" s="171">
        <f>SUMIF('CF(M)'!$L$11:$EQ$11,CN$6,'CF(M)'!$L21:$EQ21)</f>
        <v>0</v>
      </c>
      <c r="CO16" s="171">
        <f>SUMIF('CF(M)'!$L$11:$EQ$11,CO$6,'CF(M)'!$L21:$EQ21)</f>
        <v>0</v>
      </c>
      <c r="CP16" s="171">
        <f>SUMIF('CF(M)'!$L$11:$EQ$11,CP$6,'CF(M)'!$L21:$EQ21)</f>
        <v>0</v>
      </c>
      <c r="CQ16" s="171">
        <f>SUMIF('CF(M)'!$L$11:$EQ$11,CQ$6,'CF(M)'!$L21:$EQ21)</f>
        <v>0</v>
      </c>
      <c r="CR16" s="171">
        <f>SUMIF('CF(M)'!$L$11:$EQ$11,CR$6,'CF(M)'!$L21:$EQ21)</f>
        <v>0</v>
      </c>
      <c r="CS16" s="171">
        <f>SUMIF('CF(M)'!$L$11:$EQ$11,CS$6,'CF(M)'!$L21:$EQ21)</f>
        <v>0</v>
      </c>
      <c r="CT16" s="171">
        <f>SUMIF('CF(M)'!$L$11:$EQ$11,CT$6,'CF(M)'!$L21:$EQ21)</f>
        <v>0</v>
      </c>
      <c r="CU16" s="171">
        <f>SUMIF('CF(M)'!$L$11:$EQ$11,CU$6,'CF(M)'!$L21:$EQ21)</f>
        <v>0</v>
      </c>
      <c r="CV16" s="171">
        <f>SUMIF('CF(M)'!$L$11:$EQ$11,CV$6,'CF(M)'!$L21:$EQ21)</f>
        <v>0</v>
      </c>
      <c r="CW16" s="171">
        <f>SUMIF('CF(M)'!$L$11:$EQ$11,CW$6,'CF(M)'!$L21:$EQ21)</f>
        <v>0</v>
      </c>
      <c r="CX16" s="171">
        <f>SUMIF('CF(M)'!$L$11:$EQ$11,CX$6,'CF(M)'!$L21:$EQ21)</f>
        <v>0</v>
      </c>
      <c r="CY16" s="171">
        <f>SUMIF('CF(M)'!$L$11:$EQ$11,CY$6,'CF(M)'!$L21:$EQ21)</f>
        <v>0</v>
      </c>
      <c r="CZ16" s="171">
        <f>SUMIF('CF(M)'!$L$11:$EQ$11,CZ$6,'CF(M)'!$L21:$EQ21)</f>
        <v>0</v>
      </c>
      <c r="DA16" s="171">
        <f>SUMIF('CF(M)'!$L$11:$EQ$11,DA$6,'CF(M)'!$L21:$EQ21)</f>
        <v>0</v>
      </c>
      <c r="DB16" s="171">
        <f>SUMIF('CF(M)'!$L$11:$EQ$11,DB$6,'CF(M)'!$L21:$EQ21)</f>
        <v>0</v>
      </c>
      <c r="DC16" s="171">
        <f>SUMIF('CF(M)'!$L$11:$EQ$11,DC$6,'CF(M)'!$L21:$EQ21)</f>
        <v>0</v>
      </c>
      <c r="DD16" s="171">
        <f>SUMIF('CF(M)'!$L$11:$EQ$11,DD$6,'CF(M)'!$L21:$EQ21)</f>
        <v>0</v>
      </c>
      <c r="DE16" s="171">
        <f>SUMIF('CF(M)'!$L$11:$EQ$11,DE$6,'CF(M)'!$L21:$EQ21)</f>
        <v>0</v>
      </c>
      <c r="DF16" s="171">
        <f>SUMIF('CF(M)'!$L$11:$EQ$11,DF$6,'CF(M)'!$L21:$EQ21)</f>
        <v>0</v>
      </c>
      <c r="DG16" s="171">
        <f>SUMIF('CF(M)'!$L$11:$EQ$11,DG$6,'CF(M)'!$L21:$EQ21)</f>
        <v>0</v>
      </c>
      <c r="DH16" s="171">
        <f>SUMIF('CF(M)'!$L$11:$EQ$11,DH$6,'CF(M)'!$L21:$EQ21)</f>
        <v>0</v>
      </c>
      <c r="DI16" s="171">
        <f>SUMIF('CF(M)'!$L$11:$EQ$11,DI$6,'CF(M)'!$L21:$EQ21)</f>
        <v>0</v>
      </c>
      <c r="DJ16" s="171">
        <f>SUMIF('CF(M)'!$L$11:$EQ$11,DJ$6,'CF(M)'!$L21:$EQ21)</f>
        <v>0</v>
      </c>
      <c r="DK16" s="171">
        <f>SUMIF('CF(M)'!$L$11:$EQ$11,DK$6,'CF(M)'!$L21:$EQ21)</f>
        <v>0</v>
      </c>
      <c r="DL16" s="171">
        <f>SUMIF('CF(M)'!$L$11:$EQ$11,DL$6,'CF(M)'!$L21:$EQ21)</f>
        <v>0</v>
      </c>
      <c r="DM16" s="171">
        <f>SUMIF('CF(M)'!$L$11:$EQ$11,DM$6,'CF(M)'!$L21:$EQ21)</f>
        <v>0</v>
      </c>
      <c r="DN16" s="171">
        <f>SUMIF('CF(M)'!$L$11:$EQ$11,DN$6,'CF(M)'!$L21:$EQ21)</f>
        <v>0</v>
      </c>
      <c r="DO16" s="171">
        <f>SUMIF('CF(M)'!$L$11:$EQ$11,DO$6,'CF(M)'!$L21:$EQ21)</f>
        <v>0</v>
      </c>
      <c r="DP16" s="171">
        <f>SUMIF('CF(M)'!$L$11:$EQ$11,DP$6,'CF(M)'!$L21:$EQ21)</f>
        <v>0</v>
      </c>
      <c r="DQ16" s="171">
        <f>SUMIF('CF(M)'!$L$11:$EQ$11,DQ$6,'CF(M)'!$L21:$EQ21)</f>
        <v>0</v>
      </c>
      <c r="DR16" s="171">
        <f>SUMIF('CF(M)'!$L$11:$EQ$11,DR$6,'CF(M)'!$L21:$EQ21)</f>
        <v>0</v>
      </c>
      <c r="DS16" s="171">
        <f>SUMIF('CF(M)'!$L$11:$EQ$11,DS$6,'CF(M)'!$L21:$EQ21)</f>
        <v>0</v>
      </c>
      <c r="DT16" s="171">
        <f>SUMIF('CF(M)'!$L$11:$EQ$11,DT$6,'CF(M)'!$L21:$EQ21)</f>
        <v>0</v>
      </c>
      <c r="DU16" s="171">
        <f>SUMIF('CF(M)'!$L$11:$EQ$11,DU$6,'CF(M)'!$L21:$EQ21)</f>
        <v>0</v>
      </c>
      <c r="DV16" s="171">
        <f>SUMIF('CF(M)'!$L$11:$EQ$11,DV$6,'CF(M)'!$L21:$EQ21)</f>
        <v>0</v>
      </c>
    </row>
    <row r="17" spans="2:126" ht="11.25" customHeight="1">
      <c r="B17" s="218"/>
      <c r="C17" s="158" t="s">
        <v>188</v>
      </c>
      <c r="D17" s="159"/>
      <c r="E17" s="159"/>
      <c r="F17" s="159"/>
      <c r="G17" s="159"/>
      <c r="H17" s="160"/>
      <c r="I17" s="219"/>
      <c r="J17" s="220">
        <f ca="1">SUM(J18:J28)</f>
        <v>-23206747.133190528</v>
      </c>
      <c r="K17" s="98"/>
      <c r="L17" s="162">
        <f ca="1">SUM(L18:L28)</f>
        <v>0</v>
      </c>
      <c r="M17" s="162">
        <f t="shared" ref="M17:BX17" ca="1" si="13">SUM(M18:M28)</f>
        <v>-2039786.0308631333</v>
      </c>
      <c r="N17" s="162">
        <f t="shared" ca="1" si="13"/>
        <v>-2218383.7715292852</v>
      </c>
      <c r="O17" s="162">
        <f t="shared" ca="1" si="13"/>
        <v>-2287722.7908509714</v>
      </c>
      <c r="P17" s="162">
        <f t="shared" ca="1" si="13"/>
        <v>-2264820.8250571578</v>
      </c>
      <c r="Q17" s="162">
        <f t="shared" ca="1" si="13"/>
        <v>-2223607.7966982289</v>
      </c>
      <c r="R17" s="162">
        <f t="shared" ca="1" si="13"/>
        <v>-2226953.3445234699</v>
      </c>
      <c r="S17" s="162">
        <f t="shared" ca="1" si="13"/>
        <v>-2231103.8136595865</v>
      </c>
      <c r="T17" s="162">
        <f t="shared" ca="1" si="13"/>
        <v>-2913599.6238864539</v>
      </c>
      <c r="U17" s="162">
        <f t="shared" ca="1" si="13"/>
        <v>-2333550.7352704266</v>
      </c>
      <c r="V17" s="162">
        <f t="shared" ca="1" si="13"/>
        <v>-2467218.4008518173</v>
      </c>
      <c r="W17" s="162">
        <f t="shared" ca="1" si="13"/>
        <v>0</v>
      </c>
      <c r="X17" s="162">
        <f t="shared" ca="1" si="13"/>
        <v>0</v>
      </c>
      <c r="Y17" s="162">
        <f t="shared" si="13"/>
        <v>0</v>
      </c>
      <c r="Z17" s="162">
        <f t="shared" si="13"/>
        <v>0</v>
      </c>
      <c r="AA17" s="162">
        <f t="shared" si="13"/>
        <v>0</v>
      </c>
      <c r="AB17" s="162">
        <f t="shared" si="13"/>
        <v>0</v>
      </c>
      <c r="AC17" s="162">
        <f t="shared" si="13"/>
        <v>0</v>
      </c>
      <c r="AD17" s="162">
        <f t="shared" si="13"/>
        <v>0</v>
      </c>
      <c r="AE17" s="162">
        <f t="shared" si="13"/>
        <v>0</v>
      </c>
      <c r="AF17" s="162">
        <f t="shared" si="13"/>
        <v>0</v>
      </c>
      <c r="AG17" s="162">
        <f t="shared" si="13"/>
        <v>0</v>
      </c>
      <c r="AH17" s="162">
        <f t="shared" si="13"/>
        <v>0</v>
      </c>
      <c r="AI17" s="162">
        <f t="shared" si="13"/>
        <v>0</v>
      </c>
      <c r="AJ17" s="162">
        <f t="shared" si="13"/>
        <v>0</v>
      </c>
      <c r="AK17" s="162">
        <f t="shared" si="13"/>
        <v>0</v>
      </c>
      <c r="AL17" s="162">
        <f t="shared" si="13"/>
        <v>0</v>
      </c>
      <c r="AM17" s="162">
        <f t="shared" si="13"/>
        <v>0</v>
      </c>
      <c r="AN17" s="162">
        <f t="shared" si="13"/>
        <v>0</v>
      </c>
      <c r="AO17" s="162">
        <f t="shared" si="13"/>
        <v>0</v>
      </c>
      <c r="AP17" s="162">
        <f t="shared" si="13"/>
        <v>0</v>
      </c>
      <c r="AQ17" s="162">
        <f t="shared" si="13"/>
        <v>0</v>
      </c>
      <c r="AR17" s="162">
        <f t="shared" si="13"/>
        <v>0</v>
      </c>
      <c r="AS17" s="162">
        <f t="shared" si="13"/>
        <v>0</v>
      </c>
      <c r="AT17" s="162">
        <f t="shared" si="13"/>
        <v>0</v>
      </c>
      <c r="AU17" s="162">
        <f t="shared" si="13"/>
        <v>0</v>
      </c>
      <c r="AV17" s="162">
        <f t="shared" si="13"/>
        <v>0</v>
      </c>
      <c r="AW17" s="162">
        <f t="shared" si="13"/>
        <v>0</v>
      </c>
      <c r="AX17" s="162">
        <f t="shared" si="13"/>
        <v>0</v>
      </c>
      <c r="AY17" s="162">
        <f t="shared" si="13"/>
        <v>0</v>
      </c>
      <c r="AZ17" s="162">
        <f t="shared" si="13"/>
        <v>0</v>
      </c>
      <c r="BA17" s="162">
        <f t="shared" si="13"/>
        <v>0</v>
      </c>
      <c r="BB17" s="162">
        <f t="shared" si="13"/>
        <v>0</v>
      </c>
      <c r="BC17" s="162">
        <f t="shared" si="13"/>
        <v>0</v>
      </c>
      <c r="BD17" s="162">
        <f t="shared" si="13"/>
        <v>0</v>
      </c>
      <c r="BE17" s="162">
        <f t="shared" si="13"/>
        <v>0</v>
      </c>
      <c r="BF17" s="162">
        <f t="shared" si="13"/>
        <v>0</v>
      </c>
      <c r="BG17" s="162">
        <f t="shared" si="13"/>
        <v>0</v>
      </c>
      <c r="BH17" s="162">
        <f t="shared" si="13"/>
        <v>0</v>
      </c>
      <c r="BI17" s="162">
        <f t="shared" si="13"/>
        <v>0</v>
      </c>
      <c r="BJ17" s="162">
        <f t="shared" si="13"/>
        <v>0</v>
      </c>
      <c r="BK17" s="162">
        <f t="shared" si="13"/>
        <v>0</v>
      </c>
      <c r="BL17" s="162">
        <f t="shared" si="13"/>
        <v>0</v>
      </c>
      <c r="BM17" s="162">
        <f t="shared" si="13"/>
        <v>0</v>
      </c>
      <c r="BN17" s="162">
        <f t="shared" si="13"/>
        <v>0</v>
      </c>
      <c r="BO17" s="162">
        <f t="shared" si="13"/>
        <v>0</v>
      </c>
      <c r="BP17" s="162">
        <f t="shared" si="13"/>
        <v>0</v>
      </c>
      <c r="BQ17" s="162">
        <f t="shared" si="13"/>
        <v>0</v>
      </c>
      <c r="BR17" s="162">
        <f t="shared" si="13"/>
        <v>0</v>
      </c>
      <c r="BS17" s="162">
        <f t="shared" si="13"/>
        <v>0</v>
      </c>
      <c r="BT17" s="162">
        <f t="shared" si="13"/>
        <v>0</v>
      </c>
      <c r="BU17" s="162">
        <f t="shared" si="13"/>
        <v>0</v>
      </c>
      <c r="BV17" s="162">
        <f t="shared" si="13"/>
        <v>0</v>
      </c>
      <c r="BW17" s="162">
        <f t="shared" si="13"/>
        <v>0</v>
      </c>
      <c r="BX17" s="162">
        <f t="shared" si="13"/>
        <v>0</v>
      </c>
      <c r="BY17" s="162">
        <f t="shared" ref="BY17:DV17" si="14">SUM(BY18:BY28)</f>
        <v>0</v>
      </c>
      <c r="BZ17" s="162">
        <f t="shared" si="14"/>
        <v>0</v>
      </c>
      <c r="CA17" s="162">
        <f t="shared" si="14"/>
        <v>0</v>
      </c>
      <c r="CB17" s="162">
        <f t="shared" si="14"/>
        <v>0</v>
      </c>
      <c r="CC17" s="162">
        <f t="shared" si="14"/>
        <v>0</v>
      </c>
      <c r="CD17" s="162">
        <f t="shared" si="14"/>
        <v>0</v>
      </c>
      <c r="CE17" s="162">
        <f t="shared" si="14"/>
        <v>0</v>
      </c>
      <c r="CF17" s="162">
        <f t="shared" si="14"/>
        <v>0</v>
      </c>
      <c r="CG17" s="162">
        <f t="shared" si="14"/>
        <v>0</v>
      </c>
      <c r="CH17" s="162">
        <f t="shared" si="14"/>
        <v>0</v>
      </c>
      <c r="CI17" s="162">
        <f t="shared" si="14"/>
        <v>0</v>
      </c>
      <c r="CJ17" s="162">
        <f t="shared" si="14"/>
        <v>0</v>
      </c>
      <c r="CK17" s="162">
        <f t="shared" si="14"/>
        <v>0</v>
      </c>
      <c r="CL17" s="162">
        <f t="shared" si="14"/>
        <v>0</v>
      </c>
      <c r="CM17" s="162">
        <f t="shared" si="14"/>
        <v>0</v>
      </c>
      <c r="CN17" s="162">
        <f t="shared" si="14"/>
        <v>0</v>
      </c>
      <c r="CO17" s="162">
        <f t="shared" si="14"/>
        <v>0</v>
      </c>
      <c r="CP17" s="162">
        <f t="shared" si="14"/>
        <v>0</v>
      </c>
      <c r="CQ17" s="162">
        <f t="shared" si="14"/>
        <v>0</v>
      </c>
      <c r="CR17" s="162">
        <f t="shared" si="14"/>
        <v>0</v>
      </c>
      <c r="CS17" s="162">
        <f t="shared" si="14"/>
        <v>0</v>
      </c>
      <c r="CT17" s="162">
        <f t="shared" si="14"/>
        <v>0</v>
      </c>
      <c r="CU17" s="162">
        <f t="shared" si="14"/>
        <v>0</v>
      </c>
      <c r="CV17" s="162">
        <f t="shared" si="14"/>
        <v>0</v>
      </c>
      <c r="CW17" s="162">
        <f t="shared" si="14"/>
        <v>0</v>
      </c>
      <c r="CX17" s="162">
        <f t="shared" si="14"/>
        <v>0</v>
      </c>
      <c r="CY17" s="162">
        <f t="shared" si="14"/>
        <v>0</v>
      </c>
      <c r="CZ17" s="162">
        <f t="shared" si="14"/>
        <v>0</v>
      </c>
      <c r="DA17" s="162">
        <f t="shared" si="14"/>
        <v>0</v>
      </c>
      <c r="DB17" s="162">
        <f t="shared" si="14"/>
        <v>0</v>
      </c>
      <c r="DC17" s="162">
        <f t="shared" si="14"/>
        <v>0</v>
      </c>
      <c r="DD17" s="162">
        <f t="shared" si="14"/>
        <v>0</v>
      </c>
      <c r="DE17" s="162">
        <f t="shared" si="14"/>
        <v>0</v>
      </c>
      <c r="DF17" s="162">
        <f t="shared" si="14"/>
        <v>0</v>
      </c>
      <c r="DG17" s="162">
        <f t="shared" si="14"/>
        <v>0</v>
      </c>
      <c r="DH17" s="162">
        <f t="shared" si="14"/>
        <v>0</v>
      </c>
      <c r="DI17" s="162">
        <f t="shared" si="14"/>
        <v>0</v>
      </c>
      <c r="DJ17" s="162">
        <f t="shared" si="14"/>
        <v>0</v>
      </c>
      <c r="DK17" s="162">
        <f t="shared" si="14"/>
        <v>0</v>
      </c>
      <c r="DL17" s="162">
        <f t="shared" si="14"/>
        <v>0</v>
      </c>
      <c r="DM17" s="162">
        <f t="shared" si="14"/>
        <v>0</v>
      </c>
      <c r="DN17" s="162">
        <f t="shared" si="14"/>
        <v>0</v>
      </c>
      <c r="DO17" s="162">
        <f t="shared" si="14"/>
        <v>0</v>
      </c>
      <c r="DP17" s="162">
        <f t="shared" si="14"/>
        <v>0</v>
      </c>
      <c r="DQ17" s="162">
        <f t="shared" si="14"/>
        <v>0</v>
      </c>
      <c r="DR17" s="162">
        <f t="shared" si="14"/>
        <v>0</v>
      </c>
      <c r="DS17" s="162">
        <f t="shared" si="14"/>
        <v>0</v>
      </c>
      <c r="DT17" s="162">
        <f t="shared" si="14"/>
        <v>0</v>
      </c>
      <c r="DU17" s="162">
        <f t="shared" si="14"/>
        <v>0</v>
      </c>
      <c r="DV17" s="162">
        <f t="shared" si="14"/>
        <v>0</v>
      </c>
    </row>
    <row r="18" spans="2:126" ht="11.25" customHeight="1">
      <c r="B18" s="218"/>
      <c r="C18" s="163"/>
      <c r="D18" s="164" t="s">
        <v>73</v>
      </c>
      <c r="E18" s="165"/>
      <c r="F18" s="165"/>
      <c r="G18" s="165"/>
      <c r="H18" s="166"/>
      <c r="I18" s="221"/>
      <c r="J18" s="168">
        <f t="shared" si="12"/>
        <v>-642163.3001006</v>
      </c>
      <c r="K18" s="98"/>
      <c r="L18" s="168">
        <f>SUMIF('CF(M)'!$L$11:$EQ$11,L$6,'CF(M)'!$L23:$EQ23)</f>
        <v>0</v>
      </c>
      <c r="M18" s="168">
        <f>SUMIF('CF(M)'!$L$11:$EQ$11,M$6,'CF(M)'!$L23:$EQ23)</f>
        <v>-60000</v>
      </c>
      <c r="N18" s="168">
        <f>SUMIF('CF(M)'!$L$11:$EQ$11,N$6,'CF(M)'!$L23:$EQ23)</f>
        <v>-60899.999999999993</v>
      </c>
      <c r="O18" s="168">
        <f>SUMIF('CF(M)'!$L$11:$EQ$11,O$6,'CF(M)'!$L23:$EQ23)</f>
        <v>-61813.499999999993</v>
      </c>
      <c r="P18" s="168">
        <f>SUMIF('CF(M)'!$L$11:$EQ$11,P$6,'CF(M)'!$L23:$EQ23)</f>
        <v>-62740.702499999992</v>
      </c>
      <c r="Q18" s="168">
        <f>SUMIF('CF(M)'!$L$11:$EQ$11,Q$6,'CF(M)'!$L23:$EQ23)</f>
        <v>-63681.813037499967</v>
      </c>
      <c r="R18" s="168">
        <f>SUMIF('CF(M)'!$L$11:$EQ$11,R$6,'CF(M)'!$L23:$EQ23)</f>
        <v>-64637.040233062457</v>
      </c>
      <c r="S18" s="168">
        <f>SUMIF('CF(M)'!$L$11:$EQ$11,S$6,'CF(M)'!$L23:$EQ23)</f>
        <v>-65606.595836558365</v>
      </c>
      <c r="T18" s="168">
        <f>SUMIF('CF(M)'!$L$11:$EQ$11,T$6,'CF(M)'!$L23:$EQ23)</f>
        <v>-66590.694774106756</v>
      </c>
      <c r="U18" s="168">
        <f>SUMIF('CF(M)'!$L$11:$EQ$11,U$6,'CF(M)'!$L23:$EQ23)</f>
        <v>-67589.555195718349</v>
      </c>
      <c r="V18" s="168">
        <f>SUMIF('CF(M)'!$L$11:$EQ$11,V$6,'CF(M)'!$L23:$EQ23)</f>
        <v>-68603.398523654119</v>
      </c>
      <c r="W18" s="168">
        <f>SUMIF('CF(M)'!$L$11:$EQ$11,W$6,'CF(M)'!$L23:$EQ23)</f>
        <v>0</v>
      </c>
      <c r="X18" s="168">
        <f>SUMIF('CF(M)'!$L$11:$EQ$11,X$6,'CF(M)'!$L23:$EQ23)</f>
        <v>0</v>
      </c>
      <c r="Y18" s="168">
        <f>SUMIF('CF(M)'!$L$11:$EQ$11,Y$6,'CF(M)'!$L23:$EQ23)</f>
        <v>0</v>
      </c>
      <c r="Z18" s="168">
        <f>SUMIF('CF(M)'!$L$11:$EQ$11,Z$6,'CF(M)'!$L23:$EQ23)</f>
        <v>0</v>
      </c>
      <c r="AA18" s="168">
        <f>SUMIF('CF(M)'!$L$11:$EQ$11,AA$6,'CF(M)'!$L23:$EQ23)</f>
        <v>0</v>
      </c>
      <c r="AB18" s="168">
        <f>SUMIF('CF(M)'!$L$11:$EQ$11,AB$6,'CF(M)'!$L23:$EQ23)</f>
        <v>0</v>
      </c>
      <c r="AC18" s="168">
        <f>SUMIF('CF(M)'!$L$11:$EQ$11,AC$6,'CF(M)'!$L23:$EQ23)</f>
        <v>0</v>
      </c>
      <c r="AD18" s="168">
        <f>SUMIF('CF(M)'!$L$11:$EQ$11,AD$6,'CF(M)'!$L23:$EQ23)</f>
        <v>0</v>
      </c>
      <c r="AE18" s="168">
        <f>SUMIF('CF(M)'!$L$11:$EQ$11,AE$6,'CF(M)'!$L23:$EQ23)</f>
        <v>0</v>
      </c>
      <c r="AF18" s="168">
        <f>SUMIF('CF(M)'!$L$11:$EQ$11,AF$6,'CF(M)'!$L23:$EQ23)</f>
        <v>0</v>
      </c>
      <c r="AG18" s="168">
        <f>SUMIF('CF(M)'!$L$11:$EQ$11,AG$6,'CF(M)'!$L23:$EQ23)</f>
        <v>0</v>
      </c>
      <c r="AH18" s="168">
        <f>SUMIF('CF(M)'!$L$11:$EQ$11,AH$6,'CF(M)'!$L23:$EQ23)</f>
        <v>0</v>
      </c>
      <c r="AI18" s="168">
        <f>SUMIF('CF(M)'!$L$11:$EQ$11,AI$6,'CF(M)'!$L23:$EQ23)</f>
        <v>0</v>
      </c>
      <c r="AJ18" s="168">
        <f>SUMIF('CF(M)'!$L$11:$EQ$11,AJ$6,'CF(M)'!$L23:$EQ23)</f>
        <v>0</v>
      </c>
      <c r="AK18" s="168">
        <f>SUMIF('CF(M)'!$L$11:$EQ$11,AK$6,'CF(M)'!$L23:$EQ23)</f>
        <v>0</v>
      </c>
      <c r="AL18" s="168">
        <f>SUMIF('CF(M)'!$L$11:$EQ$11,AL$6,'CF(M)'!$L23:$EQ23)</f>
        <v>0</v>
      </c>
      <c r="AM18" s="168">
        <f>SUMIF('CF(M)'!$L$11:$EQ$11,AM$6,'CF(M)'!$L23:$EQ23)</f>
        <v>0</v>
      </c>
      <c r="AN18" s="168">
        <f>SUMIF('CF(M)'!$L$11:$EQ$11,AN$6,'CF(M)'!$L23:$EQ23)</f>
        <v>0</v>
      </c>
      <c r="AO18" s="168">
        <f>SUMIF('CF(M)'!$L$11:$EQ$11,AO$6,'CF(M)'!$L23:$EQ23)</f>
        <v>0</v>
      </c>
      <c r="AP18" s="168">
        <f>SUMIF('CF(M)'!$L$11:$EQ$11,AP$6,'CF(M)'!$L23:$EQ23)</f>
        <v>0</v>
      </c>
      <c r="AQ18" s="168">
        <f>SUMIF('CF(M)'!$L$11:$EQ$11,AQ$6,'CF(M)'!$L23:$EQ23)</f>
        <v>0</v>
      </c>
      <c r="AR18" s="168">
        <f>SUMIF('CF(M)'!$L$11:$EQ$11,AR$6,'CF(M)'!$L23:$EQ23)</f>
        <v>0</v>
      </c>
      <c r="AS18" s="168">
        <f>SUMIF('CF(M)'!$L$11:$EQ$11,AS$6,'CF(M)'!$L23:$EQ23)</f>
        <v>0</v>
      </c>
      <c r="AT18" s="168">
        <f>SUMIF('CF(M)'!$L$11:$EQ$11,AT$6,'CF(M)'!$L23:$EQ23)</f>
        <v>0</v>
      </c>
      <c r="AU18" s="168">
        <f>SUMIF('CF(M)'!$L$11:$EQ$11,AU$6,'CF(M)'!$L23:$EQ23)</f>
        <v>0</v>
      </c>
      <c r="AV18" s="168">
        <f>SUMIF('CF(M)'!$L$11:$EQ$11,AV$6,'CF(M)'!$L23:$EQ23)</f>
        <v>0</v>
      </c>
      <c r="AW18" s="168">
        <f>SUMIF('CF(M)'!$L$11:$EQ$11,AW$6,'CF(M)'!$L23:$EQ23)</f>
        <v>0</v>
      </c>
      <c r="AX18" s="168">
        <f>SUMIF('CF(M)'!$L$11:$EQ$11,AX$6,'CF(M)'!$L23:$EQ23)</f>
        <v>0</v>
      </c>
      <c r="AY18" s="168">
        <f>SUMIF('CF(M)'!$L$11:$EQ$11,AY$6,'CF(M)'!$L23:$EQ23)</f>
        <v>0</v>
      </c>
      <c r="AZ18" s="168">
        <f>SUMIF('CF(M)'!$L$11:$EQ$11,AZ$6,'CF(M)'!$L23:$EQ23)</f>
        <v>0</v>
      </c>
      <c r="BA18" s="168">
        <f>SUMIF('CF(M)'!$L$11:$EQ$11,BA$6,'CF(M)'!$L23:$EQ23)</f>
        <v>0</v>
      </c>
      <c r="BB18" s="168">
        <f>SUMIF('CF(M)'!$L$11:$EQ$11,BB$6,'CF(M)'!$L23:$EQ23)</f>
        <v>0</v>
      </c>
      <c r="BC18" s="168">
        <f>SUMIF('CF(M)'!$L$11:$EQ$11,BC$6,'CF(M)'!$L23:$EQ23)</f>
        <v>0</v>
      </c>
      <c r="BD18" s="168">
        <f>SUMIF('CF(M)'!$L$11:$EQ$11,BD$6,'CF(M)'!$L23:$EQ23)</f>
        <v>0</v>
      </c>
      <c r="BE18" s="168">
        <f>SUMIF('CF(M)'!$L$11:$EQ$11,BE$6,'CF(M)'!$L23:$EQ23)</f>
        <v>0</v>
      </c>
      <c r="BF18" s="168">
        <f>SUMIF('CF(M)'!$L$11:$EQ$11,BF$6,'CF(M)'!$L23:$EQ23)</f>
        <v>0</v>
      </c>
      <c r="BG18" s="168">
        <f>SUMIF('CF(M)'!$L$11:$EQ$11,BG$6,'CF(M)'!$L23:$EQ23)</f>
        <v>0</v>
      </c>
      <c r="BH18" s="168">
        <f>SUMIF('CF(M)'!$L$11:$EQ$11,BH$6,'CF(M)'!$L23:$EQ23)</f>
        <v>0</v>
      </c>
      <c r="BI18" s="168">
        <f>SUMIF('CF(M)'!$L$11:$EQ$11,BI$6,'CF(M)'!$L23:$EQ23)</f>
        <v>0</v>
      </c>
      <c r="BJ18" s="168">
        <f>SUMIF('CF(M)'!$L$11:$EQ$11,BJ$6,'CF(M)'!$L23:$EQ23)</f>
        <v>0</v>
      </c>
      <c r="BK18" s="168">
        <f>SUMIF('CF(M)'!$L$11:$EQ$11,BK$6,'CF(M)'!$L23:$EQ23)</f>
        <v>0</v>
      </c>
      <c r="BL18" s="168">
        <f>SUMIF('CF(M)'!$L$11:$EQ$11,BL$6,'CF(M)'!$L23:$EQ23)</f>
        <v>0</v>
      </c>
      <c r="BM18" s="168">
        <f>SUMIF('CF(M)'!$L$11:$EQ$11,BM$6,'CF(M)'!$L23:$EQ23)</f>
        <v>0</v>
      </c>
      <c r="BN18" s="168">
        <f>SUMIF('CF(M)'!$L$11:$EQ$11,BN$6,'CF(M)'!$L23:$EQ23)</f>
        <v>0</v>
      </c>
      <c r="BO18" s="168">
        <f>SUMIF('CF(M)'!$L$11:$EQ$11,BO$6,'CF(M)'!$L23:$EQ23)</f>
        <v>0</v>
      </c>
      <c r="BP18" s="168">
        <f>SUMIF('CF(M)'!$L$11:$EQ$11,BP$6,'CF(M)'!$L23:$EQ23)</f>
        <v>0</v>
      </c>
      <c r="BQ18" s="168">
        <f>SUMIF('CF(M)'!$L$11:$EQ$11,BQ$6,'CF(M)'!$L23:$EQ23)</f>
        <v>0</v>
      </c>
      <c r="BR18" s="168">
        <f>SUMIF('CF(M)'!$L$11:$EQ$11,BR$6,'CF(M)'!$L23:$EQ23)</f>
        <v>0</v>
      </c>
      <c r="BS18" s="168">
        <f>SUMIF('CF(M)'!$L$11:$EQ$11,BS$6,'CF(M)'!$L23:$EQ23)</f>
        <v>0</v>
      </c>
      <c r="BT18" s="168">
        <f>SUMIF('CF(M)'!$L$11:$EQ$11,BT$6,'CF(M)'!$L23:$EQ23)</f>
        <v>0</v>
      </c>
      <c r="BU18" s="168">
        <f>SUMIF('CF(M)'!$L$11:$EQ$11,BU$6,'CF(M)'!$L23:$EQ23)</f>
        <v>0</v>
      </c>
      <c r="BV18" s="168">
        <f>SUMIF('CF(M)'!$L$11:$EQ$11,BV$6,'CF(M)'!$L23:$EQ23)</f>
        <v>0</v>
      </c>
      <c r="BW18" s="168">
        <f>SUMIF('CF(M)'!$L$11:$EQ$11,BW$6,'CF(M)'!$L23:$EQ23)</f>
        <v>0</v>
      </c>
      <c r="BX18" s="168">
        <f>SUMIF('CF(M)'!$L$11:$EQ$11,BX$6,'CF(M)'!$L23:$EQ23)</f>
        <v>0</v>
      </c>
      <c r="BY18" s="168">
        <f>SUMIF('CF(M)'!$L$11:$EQ$11,BY$6,'CF(M)'!$L23:$EQ23)</f>
        <v>0</v>
      </c>
      <c r="BZ18" s="168">
        <f>SUMIF('CF(M)'!$L$11:$EQ$11,BZ$6,'CF(M)'!$L23:$EQ23)</f>
        <v>0</v>
      </c>
      <c r="CA18" s="168">
        <f>SUMIF('CF(M)'!$L$11:$EQ$11,CA$6,'CF(M)'!$L23:$EQ23)</f>
        <v>0</v>
      </c>
      <c r="CB18" s="168">
        <f>SUMIF('CF(M)'!$L$11:$EQ$11,CB$6,'CF(M)'!$L23:$EQ23)</f>
        <v>0</v>
      </c>
      <c r="CC18" s="168">
        <f>SUMIF('CF(M)'!$L$11:$EQ$11,CC$6,'CF(M)'!$L23:$EQ23)</f>
        <v>0</v>
      </c>
      <c r="CD18" s="168">
        <f>SUMIF('CF(M)'!$L$11:$EQ$11,CD$6,'CF(M)'!$L23:$EQ23)</f>
        <v>0</v>
      </c>
      <c r="CE18" s="168">
        <f>SUMIF('CF(M)'!$L$11:$EQ$11,CE$6,'CF(M)'!$L23:$EQ23)</f>
        <v>0</v>
      </c>
      <c r="CF18" s="168">
        <f>SUMIF('CF(M)'!$L$11:$EQ$11,CF$6,'CF(M)'!$L23:$EQ23)</f>
        <v>0</v>
      </c>
      <c r="CG18" s="168">
        <f>SUMIF('CF(M)'!$L$11:$EQ$11,CG$6,'CF(M)'!$L23:$EQ23)</f>
        <v>0</v>
      </c>
      <c r="CH18" s="168">
        <f>SUMIF('CF(M)'!$L$11:$EQ$11,CH$6,'CF(M)'!$L23:$EQ23)</f>
        <v>0</v>
      </c>
      <c r="CI18" s="168">
        <f>SUMIF('CF(M)'!$L$11:$EQ$11,CI$6,'CF(M)'!$L23:$EQ23)</f>
        <v>0</v>
      </c>
      <c r="CJ18" s="168">
        <f>SUMIF('CF(M)'!$L$11:$EQ$11,CJ$6,'CF(M)'!$L23:$EQ23)</f>
        <v>0</v>
      </c>
      <c r="CK18" s="168">
        <f>SUMIF('CF(M)'!$L$11:$EQ$11,CK$6,'CF(M)'!$L23:$EQ23)</f>
        <v>0</v>
      </c>
      <c r="CL18" s="168">
        <f>SUMIF('CF(M)'!$L$11:$EQ$11,CL$6,'CF(M)'!$L23:$EQ23)</f>
        <v>0</v>
      </c>
      <c r="CM18" s="168">
        <f>SUMIF('CF(M)'!$L$11:$EQ$11,CM$6,'CF(M)'!$L23:$EQ23)</f>
        <v>0</v>
      </c>
      <c r="CN18" s="168">
        <f>SUMIF('CF(M)'!$L$11:$EQ$11,CN$6,'CF(M)'!$L23:$EQ23)</f>
        <v>0</v>
      </c>
      <c r="CO18" s="168">
        <f>SUMIF('CF(M)'!$L$11:$EQ$11,CO$6,'CF(M)'!$L23:$EQ23)</f>
        <v>0</v>
      </c>
      <c r="CP18" s="168">
        <f>SUMIF('CF(M)'!$L$11:$EQ$11,CP$6,'CF(M)'!$L23:$EQ23)</f>
        <v>0</v>
      </c>
      <c r="CQ18" s="168">
        <f>SUMIF('CF(M)'!$L$11:$EQ$11,CQ$6,'CF(M)'!$L23:$EQ23)</f>
        <v>0</v>
      </c>
      <c r="CR18" s="168">
        <f>SUMIF('CF(M)'!$L$11:$EQ$11,CR$6,'CF(M)'!$L23:$EQ23)</f>
        <v>0</v>
      </c>
      <c r="CS18" s="168">
        <f>SUMIF('CF(M)'!$L$11:$EQ$11,CS$6,'CF(M)'!$L23:$EQ23)</f>
        <v>0</v>
      </c>
      <c r="CT18" s="168">
        <f>SUMIF('CF(M)'!$L$11:$EQ$11,CT$6,'CF(M)'!$L23:$EQ23)</f>
        <v>0</v>
      </c>
      <c r="CU18" s="168">
        <f>SUMIF('CF(M)'!$L$11:$EQ$11,CU$6,'CF(M)'!$L23:$EQ23)</f>
        <v>0</v>
      </c>
      <c r="CV18" s="168">
        <f>SUMIF('CF(M)'!$L$11:$EQ$11,CV$6,'CF(M)'!$L23:$EQ23)</f>
        <v>0</v>
      </c>
      <c r="CW18" s="168">
        <f>SUMIF('CF(M)'!$L$11:$EQ$11,CW$6,'CF(M)'!$L23:$EQ23)</f>
        <v>0</v>
      </c>
      <c r="CX18" s="168">
        <f>SUMIF('CF(M)'!$L$11:$EQ$11,CX$6,'CF(M)'!$L23:$EQ23)</f>
        <v>0</v>
      </c>
      <c r="CY18" s="168">
        <f>SUMIF('CF(M)'!$L$11:$EQ$11,CY$6,'CF(M)'!$L23:$EQ23)</f>
        <v>0</v>
      </c>
      <c r="CZ18" s="168">
        <f>SUMIF('CF(M)'!$L$11:$EQ$11,CZ$6,'CF(M)'!$L23:$EQ23)</f>
        <v>0</v>
      </c>
      <c r="DA18" s="168">
        <f>SUMIF('CF(M)'!$L$11:$EQ$11,DA$6,'CF(M)'!$L23:$EQ23)</f>
        <v>0</v>
      </c>
      <c r="DB18" s="168">
        <f>SUMIF('CF(M)'!$L$11:$EQ$11,DB$6,'CF(M)'!$L23:$EQ23)</f>
        <v>0</v>
      </c>
      <c r="DC18" s="168">
        <f>SUMIF('CF(M)'!$L$11:$EQ$11,DC$6,'CF(M)'!$L23:$EQ23)</f>
        <v>0</v>
      </c>
      <c r="DD18" s="168">
        <f>SUMIF('CF(M)'!$L$11:$EQ$11,DD$6,'CF(M)'!$L23:$EQ23)</f>
        <v>0</v>
      </c>
      <c r="DE18" s="168">
        <f>SUMIF('CF(M)'!$L$11:$EQ$11,DE$6,'CF(M)'!$L23:$EQ23)</f>
        <v>0</v>
      </c>
      <c r="DF18" s="168">
        <f>SUMIF('CF(M)'!$L$11:$EQ$11,DF$6,'CF(M)'!$L23:$EQ23)</f>
        <v>0</v>
      </c>
      <c r="DG18" s="168">
        <f>SUMIF('CF(M)'!$L$11:$EQ$11,DG$6,'CF(M)'!$L23:$EQ23)</f>
        <v>0</v>
      </c>
      <c r="DH18" s="168">
        <f>SUMIF('CF(M)'!$L$11:$EQ$11,DH$6,'CF(M)'!$L23:$EQ23)</f>
        <v>0</v>
      </c>
      <c r="DI18" s="168">
        <f>SUMIF('CF(M)'!$L$11:$EQ$11,DI$6,'CF(M)'!$L23:$EQ23)</f>
        <v>0</v>
      </c>
      <c r="DJ18" s="168">
        <f>SUMIF('CF(M)'!$L$11:$EQ$11,DJ$6,'CF(M)'!$L23:$EQ23)</f>
        <v>0</v>
      </c>
      <c r="DK18" s="168">
        <f>SUMIF('CF(M)'!$L$11:$EQ$11,DK$6,'CF(M)'!$L23:$EQ23)</f>
        <v>0</v>
      </c>
      <c r="DL18" s="168">
        <f>SUMIF('CF(M)'!$L$11:$EQ$11,DL$6,'CF(M)'!$L23:$EQ23)</f>
        <v>0</v>
      </c>
      <c r="DM18" s="168">
        <f>SUMIF('CF(M)'!$L$11:$EQ$11,DM$6,'CF(M)'!$L23:$EQ23)</f>
        <v>0</v>
      </c>
      <c r="DN18" s="168">
        <f>SUMIF('CF(M)'!$L$11:$EQ$11,DN$6,'CF(M)'!$L23:$EQ23)</f>
        <v>0</v>
      </c>
      <c r="DO18" s="168">
        <f>SUMIF('CF(M)'!$L$11:$EQ$11,DO$6,'CF(M)'!$L23:$EQ23)</f>
        <v>0</v>
      </c>
      <c r="DP18" s="168">
        <f>SUMIF('CF(M)'!$L$11:$EQ$11,DP$6,'CF(M)'!$L23:$EQ23)</f>
        <v>0</v>
      </c>
      <c r="DQ18" s="168">
        <f>SUMIF('CF(M)'!$L$11:$EQ$11,DQ$6,'CF(M)'!$L23:$EQ23)</f>
        <v>0</v>
      </c>
      <c r="DR18" s="168">
        <f>SUMIF('CF(M)'!$L$11:$EQ$11,DR$6,'CF(M)'!$L23:$EQ23)</f>
        <v>0</v>
      </c>
      <c r="DS18" s="168">
        <f>SUMIF('CF(M)'!$L$11:$EQ$11,DS$6,'CF(M)'!$L23:$EQ23)</f>
        <v>0</v>
      </c>
      <c r="DT18" s="168">
        <f>SUMIF('CF(M)'!$L$11:$EQ$11,DT$6,'CF(M)'!$L23:$EQ23)</f>
        <v>0</v>
      </c>
      <c r="DU18" s="168">
        <f>SUMIF('CF(M)'!$L$11:$EQ$11,DU$6,'CF(M)'!$L23:$EQ23)</f>
        <v>0</v>
      </c>
      <c r="DV18" s="168">
        <f>SUMIF('CF(M)'!$L$11:$EQ$11,DV$6,'CF(M)'!$L23:$EQ23)</f>
        <v>0</v>
      </c>
    </row>
    <row r="19" spans="2:126" ht="11.25" customHeight="1">
      <c r="B19" s="218"/>
      <c r="C19" s="163"/>
      <c r="D19" s="169" t="s">
        <v>75</v>
      </c>
      <c r="H19" s="146"/>
      <c r="I19" s="13"/>
      <c r="J19" s="171">
        <f t="shared" si="12"/>
        <v>-6974980.3358780378</v>
      </c>
      <c r="K19" s="98"/>
      <c r="L19" s="171">
        <f>SUMIF('CF(M)'!$L$11:$EQ$11,L$6,'CF(M)'!$L24:$EQ24)</f>
        <v>0</v>
      </c>
      <c r="M19" s="171">
        <f>SUMIF('CF(M)'!$L$11:$EQ$11,M$6,'CF(M)'!$L24:$EQ24)</f>
        <v>-637000.73600459995</v>
      </c>
      <c r="N19" s="171">
        <f>SUMIF('CF(M)'!$L$11:$EQ$11,N$6,'CF(M)'!$L24:$EQ24)</f>
        <v>-649740.7507246919</v>
      </c>
      <c r="O19" s="171">
        <f>SUMIF('CF(M)'!$L$11:$EQ$11,O$6,'CF(M)'!$L24:$EQ24)</f>
        <v>-662735.5657391859</v>
      </c>
      <c r="P19" s="171">
        <f>SUMIF('CF(M)'!$L$11:$EQ$11,P$6,'CF(M)'!$L24:$EQ24)</f>
        <v>-675990.27705396945</v>
      </c>
      <c r="Q19" s="171">
        <f>SUMIF('CF(M)'!$L$11:$EQ$11,Q$6,'CF(M)'!$L24:$EQ24)</f>
        <v>-689510.08259504859</v>
      </c>
      <c r="R19" s="171">
        <f>SUMIF('CF(M)'!$L$11:$EQ$11,R$6,'CF(M)'!$L24:$EQ24)</f>
        <v>-703300.28424694983</v>
      </c>
      <c r="S19" s="171">
        <f>SUMIF('CF(M)'!$L$11:$EQ$11,S$6,'CF(M)'!$L24:$EQ24)</f>
        <v>-717366.28993188881</v>
      </c>
      <c r="T19" s="171">
        <f>SUMIF('CF(M)'!$L$11:$EQ$11,T$6,'CF(M)'!$L24:$EQ24)</f>
        <v>-731713.61573052674</v>
      </c>
      <c r="U19" s="171">
        <f>SUMIF('CF(M)'!$L$11:$EQ$11,U$6,'CF(M)'!$L24:$EQ24)</f>
        <v>-746347.88804513717</v>
      </c>
      <c r="V19" s="171">
        <f>SUMIF('CF(M)'!$L$11:$EQ$11,V$6,'CF(M)'!$L24:$EQ24)</f>
        <v>-761274.84580603987</v>
      </c>
      <c r="W19" s="171">
        <f>SUMIF('CF(M)'!$L$11:$EQ$11,W$6,'CF(M)'!$L24:$EQ24)</f>
        <v>0</v>
      </c>
      <c r="X19" s="171">
        <f>SUMIF('CF(M)'!$L$11:$EQ$11,X$6,'CF(M)'!$L24:$EQ24)</f>
        <v>0</v>
      </c>
      <c r="Y19" s="171">
        <f>SUMIF('CF(M)'!$L$11:$EQ$11,Y$6,'CF(M)'!$L24:$EQ24)</f>
        <v>0</v>
      </c>
      <c r="Z19" s="171">
        <f>SUMIF('CF(M)'!$L$11:$EQ$11,Z$6,'CF(M)'!$L24:$EQ24)</f>
        <v>0</v>
      </c>
      <c r="AA19" s="171">
        <f>SUMIF('CF(M)'!$L$11:$EQ$11,AA$6,'CF(M)'!$L24:$EQ24)</f>
        <v>0</v>
      </c>
      <c r="AB19" s="171">
        <f>SUMIF('CF(M)'!$L$11:$EQ$11,AB$6,'CF(M)'!$L24:$EQ24)</f>
        <v>0</v>
      </c>
      <c r="AC19" s="171">
        <f>SUMIF('CF(M)'!$L$11:$EQ$11,AC$6,'CF(M)'!$L24:$EQ24)</f>
        <v>0</v>
      </c>
      <c r="AD19" s="171">
        <f>SUMIF('CF(M)'!$L$11:$EQ$11,AD$6,'CF(M)'!$L24:$EQ24)</f>
        <v>0</v>
      </c>
      <c r="AE19" s="171">
        <f>SUMIF('CF(M)'!$L$11:$EQ$11,AE$6,'CF(M)'!$L24:$EQ24)</f>
        <v>0</v>
      </c>
      <c r="AF19" s="171">
        <f>SUMIF('CF(M)'!$L$11:$EQ$11,AF$6,'CF(M)'!$L24:$EQ24)</f>
        <v>0</v>
      </c>
      <c r="AG19" s="171">
        <f>SUMIF('CF(M)'!$L$11:$EQ$11,AG$6,'CF(M)'!$L24:$EQ24)</f>
        <v>0</v>
      </c>
      <c r="AH19" s="171">
        <f>SUMIF('CF(M)'!$L$11:$EQ$11,AH$6,'CF(M)'!$L24:$EQ24)</f>
        <v>0</v>
      </c>
      <c r="AI19" s="171">
        <f>SUMIF('CF(M)'!$L$11:$EQ$11,AI$6,'CF(M)'!$L24:$EQ24)</f>
        <v>0</v>
      </c>
      <c r="AJ19" s="171">
        <f>SUMIF('CF(M)'!$L$11:$EQ$11,AJ$6,'CF(M)'!$L24:$EQ24)</f>
        <v>0</v>
      </c>
      <c r="AK19" s="171">
        <f>SUMIF('CF(M)'!$L$11:$EQ$11,AK$6,'CF(M)'!$L24:$EQ24)</f>
        <v>0</v>
      </c>
      <c r="AL19" s="171">
        <f>SUMIF('CF(M)'!$L$11:$EQ$11,AL$6,'CF(M)'!$L24:$EQ24)</f>
        <v>0</v>
      </c>
      <c r="AM19" s="171">
        <f>SUMIF('CF(M)'!$L$11:$EQ$11,AM$6,'CF(M)'!$L24:$EQ24)</f>
        <v>0</v>
      </c>
      <c r="AN19" s="171">
        <f>SUMIF('CF(M)'!$L$11:$EQ$11,AN$6,'CF(M)'!$L24:$EQ24)</f>
        <v>0</v>
      </c>
      <c r="AO19" s="171">
        <f>SUMIF('CF(M)'!$L$11:$EQ$11,AO$6,'CF(M)'!$L24:$EQ24)</f>
        <v>0</v>
      </c>
      <c r="AP19" s="171">
        <f>SUMIF('CF(M)'!$L$11:$EQ$11,AP$6,'CF(M)'!$L24:$EQ24)</f>
        <v>0</v>
      </c>
      <c r="AQ19" s="171">
        <f>SUMIF('CF(M)'!$L$11:$EQ$11,AQ$6,'CF(M)'!$L24:$EQ24)</f>
        <v>0</v>
      </c>
      <c r="AR19" s="171">
        <f>SUMIF('CF(M)'!$L$11:$EQ$11,AR$6,'CF(M)'!$L24:$EQ24)</f>
        <v>0</v>
      </c>
      <c r="AS19" s="171">
        <f>SUMIF('CF(M)'!$L$11:$EQ$11,AS$6,'CF(M)'!$L24:$EQ24)</f>
        <v>0</v>
      </c>
      <c r="AT19" s="171">
        <f>SUMIF('CF(M)'!$L$11:$EQ$11,AT$6,'CF(M)'!$L24:$EQ24)</f>
        <v>0</v>
      </c>
      <c r="AU19" s="171">
        <f>SUMIF('CF(M)'!$L$11:$EQ$11,AU$6,'CF(M)'!$L24:$EQ24)</f>
        <v>0</v>
      </c>
      <c r="AV19" s="171">
        <f>SUMIF('CF(M)'!$L$11:$EQ$11,AV$6,'CF(M)'!$L24:$EQ24)</f>
        <v>0</v>
      </c>
      <c r="AW19" s="171">
        <f>SUMIF('CF(M)'!$L$11:$EQ$11,AW$6,'CF(M)'!$L24:$EQ24)</f>
        <v>0</v>
      </c>
      <c r="AX19" s="171">
        <f>SUMIF('CF(M)'!$L$11:$EQ$11,AX$6,'CF(M)'!$L24:$EQ24)</f>
        <v>0</v>
      </c>
      <c r="AY19" s="171">
        <f>SUMIF('CF(M)'!$L$11:$EQ$11,AY$6,'CF(M)'!$L24:$EQ24)</f>
        <v>0</v>
      </c>
      <c r="AZ19" s="171">
        <f>SUMIF('CF(M)'!$L$11:$EQ$11,AZ$6,'CF(M)'!$L24:$EQ24)</f>
        <v>0</v>
      </c>
      <c r="BA19" s="171">
        <f>SUMIF('CF(M)'!$L$11:$EQ$11,BA$6,'CF(M)'!$L24:$EQ24)</f>
        <v>0</v>
      </c>
      <c r="BB19" s="171">
        <f>SUMIF('CF(M)'!$L$11:$EQ$11,BB$6,'CF(M)'!$L24:$EQ24)</f>
        <v>0</v>
      </c>
      <c r="BC19" s="171">
        <f>SUMIF('CF(M)'!$L$11:$EQ$11,BC$6,'CF(M)'!$L24:$EQ24)</f>
        <v>0</v>
      </c>
      <c r="BD19" s="171">
        <f>SUMIF('CF(M)'!$L$11:$EQ$11,BD$6,'CF(M)'!$L24:$EQ24)</f>
        <v>0</v>
      </c>
      <c r="BE19" s="171">
        <f>SUMIF('CF(M)'!$L$11:$EQ$11,BE$6,'CF(M)'!$L24:$EQ24)</f>
        <v>0</v>
      </c>
      <c r="BF19" s="171">
        <f>SUMIF('CF(M)'!$L$11:$EQ$11,BF$6,'CF(M)'!$L24:$EQ24)</f>
        <v>0</v>
      </c>
      <c r="BG19" s="171">
        <f>SUMIF('CF(M)'!$L$11:$EQ$11,BG$6,'CF(M)'!$L24:$EQ24)</f>
        <v>0</v>
      </c>
      <c r="BH19" s="171">
        <f>SUMIF('CF(M)'!$L$11:$EQ$11,BH$6,'CF(M)'!$L24:$EQ24)</f>
        <v>0</v>
      </c>
      <c r="BI19" s="171">
        <f>SUMIF('CF(M)'!$L$11:$EQ$11,BI$6,'CF(M)'!$L24:$EQ24)</f>
        <v>0</v>
      </c>
      <c r="BJ19" s="171">
        <f>SUMIF('CF(M)'!$L$11:$EQ$11,BJ$6,'CF(M)'!$L24:$EQ24)</f>
        <v>0</v>
      </c>
      <c r="BK19" s="171">
        <f>SUMIF('CF(M)'!$L$11:$EQ$11,BK$6,'CF(M)'!$L24:$EQ24)</f>
        <v>0</v>
      </c>
      <c r="BL19" s="171">
        <f>SUMIF('CF(M)'!$L$11:$EQ$11,BL$6,'CF(M)'!$L24:$EQ24)</f>
        <v>0</v>
      </c>
      <c r="BM19" s="171">
        <f>SUMIF('CF(M)'!$L$11:$EQ$11,BM$6,'CF(M)'!$L24:$EQ24)</f>
        <v>0</v>
      </c>
      <c r="BN19" s="171">
        <f>SUMIF('CF(M)'!$L$11:$EQ$11,BN$6,'CF(M)'!$L24:$EQ24)</f>
        <v>0</v>
      </c>
      <c r="BO19" s="171">
        <f>SUMIF('CF(M)'!$L$11:$EQ$11,BO$6,'CF(M)'!$L24:$EQ24)</f>
        <v>0</v>
      </c>
      <c r="BP19" s="171">
        <f>SUMIF('CF(M)'!$L$11:$EQ$11,BP$6,'CF(M)'!$L24:$EQ24)</f>
        <v>0</v>
      </c>
      <c r="BQ19" s="171">
        <f>SUMIF('CF(M)'!$L$11:$EQ$11,BQ$6,'CF(M)'!$L24:$EQ24)</f>
        <v>0</v>
      </c>
      <c r="BR19" s="171">
        <f>SUMIF('CF(M)'!$L$11:$EQ$11,BR$6,'CF(M)'!$L24:$EQ24)</f>
        <v>0</v>
      </c>
      <c r="BS19" s="171">
        <f>SUMIF('CF(M)'!$L$11:$EQ$11,BS$6,'CF(M)'!$L24:$EQ24)</f>
        <v>0</v>
      </c>
      <c r="BT19" s="171">
        <f>SUMIF('CF(M)'!$L$11:$EQ$11,BT$6,'CF(M)'!$L24:$EQ24)</f>
        <v>0</v>
      </c>
      <c r="BU19" s="171">
        <f>SUMIF('CF(M)'!$L$11:$EQ$11,BU$6,'CF(M)'!$L24:$EQ24)</f>
        <v>0</v>
      </c>
      <c r="BV19" s="171">
        <f>SUMIF('CF(M)'!$L$11:$EQ$11,BV$6,'CF(M)'!$L24:$EQ24)</f>
        <v>0</v>
      </c>
      <c r="BW19" s="171">
        <f>SUMIF('CF(M)'!$L$11:$EQ$11,BW$6,'CF(M)'!$L24:$EQ24)</f>
        <v>0</v>
      </c>
      <c r="BX19" s="171">
        <f>SUMIF('CF(M)'!$L$11:$EQ$11,BX$6,'CF(M)'!$L24:$EQ24)</f>
        <v>0</v>
      </c>
      <c r="BY19" s="171">
        <f>SUMIF('CF(M)'!$L$11:$EQ$11,BY$6,'CF(M)'!$L24:$EQ24)</f>
        <v>0</v>
      </c>
      <c r="BZ19" s="171">
        <f>SUMIF('CF(M)'!$L$11:$EQ$11,BZ$6,'CF(M)'!$L24:$EQ24)</f>
        <v>0</v>
      </c>
      <c r="CA19" s="171">
        <f>SUMIF('CF(M)'!$L$11:$EQ$11,CA$6,'CF(M)'!$L24:$EQ24)</f>
        <v>0</v>
      </c>
      <c r="CB19" s="171">
        <f>SUMIF('CF(M)'!$L$11:$EQ$11,CB$6,'CF(M)'!$L24:$EQ24)</f>
        <v>0</v>
      </c>
      <c r="CC19" s="171">
        <f>SUMIF('CF(M)'!$L$11:$EQ$11,CC$6,'CF(M)'!$L24:$EQ24)</f>
        <v>0</v>
      </c>
      <c r="CD19" s="171">
        <f>SUMIF('CF(M)'!$L$11:$EQ$11,CD$6,'CF(M)'!$L24:$EQ24)</f>
        <v>0</v>
      </c>
      <c r="CE19" s="171">
        <f>SUMIF('CF(M)'!$L$11:$EQ$11,CE$6,'CF(M)'!$L24:$EQ24)</f>
        <v>0</v>
      </c>
      <c r="CF19" s="171">
        <f>SUMIF('CF(M)'!$L$11:$EQ$11,CF$6,'CF(M)'!$L24:$EQ24)</f>
        <v>0</v>
      </c>
      <c r="CG19" s="171">
        <f>SUMIF('CF(M)'!$L$11:$EQ$11,CG$6,'CF(M)'!$L24:$EQ24)</f>
        <v>0</v>
      </c>
      <c r="CH19" s="171">
        <f>SUMIF('CF(M)'!$L$11:$EQ$11,CH$6,'CF(M)'!$L24:$EQ24)</f>
        <v>0</v>
      </c>
      <c r="CI19" s="171">
        <f>SUMIF('CF(M)'!$L$11:$EQ$11,CI$6,'CF(M)'!$L24:$EQ24)</f>
        <v>0</v>
      </c>
      <c r="CJ19" s="171">
        <f>SUMIF('CF(M)'!$L$11:$EQ$11,CJ$6,'CF(M)'!$L24:$EQ24)</f>
        <v>0</v>
      </c>
      <c r="CK19" s="171">
        <f>SUMIF('CF(M)'!$L$11:$EQ$11,CK$6,'CF(M)'!$L24:$EQ24)</f>
        <v>0</v>
      </c>
      <c r="CL19" s="171">
        <f>SUMIF('CF(M)'!$L$11:$EQ$11,CL$6,'CF(M)'!$L24:$EQ24)</f>
        <v>0</v>
      </c>
      <c r="CM19" s="171">
        <f>SUMIF('CF(M)'!$L$11:$EQ$11,CM$6,'CF(M)'!$L24:$EQ24)</f>
        <v>0</v>
      </c>
      <c r="CN19" s="171">
        <f>SUMIF('CF(M)'!$L$11:$EQ$11,CN$6,'CF(M)'!$L24:$EQ24)</f>
        <v>0</v>
      </c>
      <c r="CO19" s="171">
        <f>SUMIF('CF(M)'!$L$11:$EQ$11,CO$6,'CF(M)'!$L24:$EQ24)</f>
        <v>0</v>
      </c>
      <c r="CP19" s="171">
        <f>SUMIF('CF(M)'!$L$11:$EQ$11,CP$6,'CF(M)'!$L24:$EQ24)</f>
        <v>0</v>
      </c>
      <c r="CQ19" s="171">
        <f>SUMIF('CF(M)'!$L$11:$EQ$11,CQ$6,'CF(M)'!$L24:$EQ24)</f>
        <v>0</v>
      </c>
      <c r="CR19" s="171">
        <f>SUMIF('CF(M)'!$L$11:$EQ$11,CR$6,'CF(M)'!$L24:$EQ24)</f>
        <v>0</v>
      </c>
      <c r="CS19" s="171">
        <f>SUMIF('CF(M)'!$L$11:$EQ$11,CS$6,'CF(M)'!$L24:$EQ24)</f>
        <v>0</v>
      </c>
      <c r="CT19" s="171">
        <f>SUMIF('CF(M)'!$L$11:$EQ$11,CT$6,'CF(M)'!$L24:$EQ24)</f>
        <v>0</v>
      </c>
      <c r="CU19" s="171">
        <f>SUMIF('CF(M)'!$L$11:$EQ$11,CU$6,'CF(M)'!$L24:$EQ24)</f>
        <v>0</v>
      </c>
      <c r="CV19" s="171">
        <f>SUMIF('CF(M)'!$L$11:$EQ$11,CV$6,'CF(M)'!$L24:$EQ24)</f>
        <v>0</v>
      </c>
      <c r="CW19" s="171">
        <f>SUMIF('CF(M)'!$L$11:$EQ$11,CW$6,'CF(M)'!$L24:$EQ24)</f>
        <v>0</v>
      </c>
      <c r="CX19" s="171">
        <f>SUMIF('CF(M)'!$L$11:$EQ$11,CX$6,'CF(M)'!$L24:$EQ24)</f>
        <v>0</v>
      </c>
      <c r="CY19" s="171">
        <f>SUMIF('CF(M)'!$L$11:$EQ$11,CY$6,'CF(M)'!$L24:$EQ24)</f>
        <v>0</v>
      </c>
      <c r="CZ19" s="171">
        <f>SUMIF('CF(M)'!$L$11:$EQ$11,CZ$6,'CF(M)'!$L24:$EQ24)</f>
        <v>0</v>
      </c>
      <c r="DA19" s="171">
        <f>SUMIF('CF(M)'!$L$11:$EQ$11,DA$6,'CF(M)'!$L24:$EQ24)</f>
        <v>0</v>
      </c>
      <c r="DB19" s="171">
        <f>SUMIF('CF(M)'!$L$11:$EQ$11,DB$6,'CF(M)'!$L24:$EQ24)</f>
        <v>0</v>
      </c>
      <c r="DC19" s="171">
        <f>SUMIF('CF(M)'!$L$11:$EQ$11,DC$6,'CF(M)'!$L24:$EQ24)</f>
        <v>0</v>
      </c>
      <c r="DD19" s="171">
        <f>SUMIF('CF(M)'!$L$11:$EQ$11,DD$6,'CF(M)'!$L24:$EQ24)</f>
        <v>0</v>
      </c>
      <c r="DE19" s="171">
        <f>SUMIF('CF(M)'!$L$11:$EQ$11,DE$6,'CF(M)'!$L24:$EQ24)</f>
        <v>0</v>
      </c>
      <c r="DF19" s="171">
        <f>SUMIF('CF(M)'!$L$11:$EQ$11,DF$6,'CF(M)'!$L24:$EQ24)</f>
        <v>0</v>
      </c>
      <c r="DG19" s="171">
        <f>SUMIF('CF(M)'!$L$11:$EQ$11,DG$6,'CF(M)'!$L24:$EQ24)</f>
        <v>0</v>
      </c>
      <c r="DH19" s="171">
        <f>SUMIF('CF(M)'!$L$11:$EQ$11,DH$6,'CF(M)'!$L24:$EQ24)</f>
        <v>0</v>
      </c>
      <c r="DI19" s="171">
        <f>SUMIF('CF(M)'!$L$11:$EQ$11,DI$6,'CF(M)'!$L24:$EQ24)</f>
        <v>0</v>
      </c>
      <c r="DJ19" s="171">
        <f>SUMIF('CF(M)'!$L$11:$EQ$11,DJ$6,'CF(M)'!$L24:$EQ24)</f>
        <v>0</v>
      </c>
      <c r="DK19" s="171">
        <f>SUMIF('CF(M)'!$L$11:$EQ$11,DK$6,'CF(M)'!$L24:$EQ24)</f>
        <v>0</v>
      </c>
      <c r="DL19" s="171">
        <f>SUMIF('CF(M)'!$L$11:$EQ$11,DL$6,'CF(M)'!$L24:$EQ24)</f>
        <v>0</v>
      </c>
      <c r="DM19" s="171">
        <f>SUMIF('CF(M)'!$L$11:$EQ$11,DM$6,'CF(M)'!$L24:$EQ24)</f>
        <v>0</v>
      </c>
      <c r="DN19" s="171">
        <f>SUMIF('CF(M)'!$L$11:$EQ$11,DN$6,'CF(M)'!$L24:$EQ24)</f>
        <v>0</v>
      </c>
      <c r="DO19" s="171">
        <f>SUMIF('CF(M)'!$L$11:$EQ$11,DO$6,'CF(M)'!$L24:$EQ24)</f>
        <v>0</v>
      </c>
      <c r="DP19" s="171">
        <f>SUMIF('CF(M)'!$L$11:$EQ$11,DP$6,'CF(M)'!$L24:$EQ24)</f>
        <v>0</v>
      </c>
      <c r="DQ19" s="171">
        <f>SUMIF('CF(M)'!$L$11:$EQ$11,DQ$6,'CF(M)'!$L24:$EQ24)</f>
        <v>0</v>
      </c>
      <c r="DR19" s="171">
        <f>SUMIF('CF(M)'!$L$11:$EQ$11,DR$6,'CF(M)'!$L24:$EQ24)</f>
        <v>0</v>
      </c>
      <c r="DS19" s="171">
        <f>SUMIF('CF(M)'!$L$11:$EQ$11,DS$6,'CF(M)'!$L24:$EQ24)</f>
        <v>0</v>
      </c>
      <c r="DT19" s="171">
        <f>SUMIF('CF(M)'!$L$11:$EQ$11,DT$6,'CF(M)'!$L24:$EQ24)</f>
        <v>0</v>
      </c>
      <c r="DU19" s="171">
        <f>SUMIF('CF(M)'!$L$11:$EQ$11,DU$6,'CF(M)'!$L24:$EQ24)</f>
        <v>0</v>
      </c>
      <c r="DV19" s="171">
        <f>SUMIF('CF(M)'!$L$11:$EQ$11,DV$6,'CF(M)'!$L24:$EQ24)</f>
        <v>0</v>
      </c>
    </row>
    <row r="20" spans="2:126" ht="11.25" customHeight="1">
      <c r="B20" s="218"/>
      <c r="C20" s="163"/>
      <c r="D20" s="169" t="s">
        <v>78</v>
      </c>
      <c r="H20" s="146"/>
      <c r="I20" s="13"/>
      <c r="J20" s="171">
        <f t="shared" si="12"/>
        <v>-341538.75420512701</v>
      </c>
      <c r="K20" s="98"/>
      <c r="L20" s="171">
        <f>SUMIF('CF(M)'!$L$11:$EQ$11,L$6,'CF(M)'!$L25:$EQ25)</f>
        <v>0</v>
      </c>
      <c r="M20" s="171">
        <f>SUMIF('CF(M)'!$L$11:$EQ$11,M$6,'CF(M)'!$L25:$EQ25)</f>
        <v>-31191.548553000004</v>
      </c>
      <c r="N20" s="171">
        <f>SUMIF('CF(M)'!$L$11:$EQ$11,N$6,'CF(M)'!$L25:$EQ25)</f>
        <v>-31815.37952405999</v>
      </c>
      <c r="O20" s="171">
        <f>SUMIF('CF(M)'!$L$11:$EQ$11,O$6,'CF(M)'!$L25:$EQ25)</f>
        <v>-32451.687114541204</v>
      </c>
      <c r="P20" s="171">
        <f>SUMIF('CF(M)'!$L$11:$EQ$11,P$6,'CF(M)'!$L25:$EQ25)</f>
        <v>-33100.72085683202</v>
      </c>
      <c r="Q20" s="171">
        <f>SUMIF('CF(M)'!$L$11:$EQ$11,Q$6,'CF(M)'!$L25:$EQ25)</f>
        <v>-33762.735273968654</v>
      </c>
      <c r="R20" s="171">
        <f>SUMIF('CF(M)'!$L$11:$EQ$11,R$6,'CF(M)'!$L25:$EQ25)</f>
        <v>-34437.989979448044</v>
      </c>
      <c r="S20" s="171">
        <f>SUMIF('CF(M)'!$L$11:$EQ$11,S$6,'CF(M)'!$L25:$EQ25)</f>
        <v>-35126.749779036989</v>
      </c>
      <c r="T20" s="171">
        <f>SUMIF('CF(M)'!$L$11:$EQ$11,T$6,'CF(M)'!$L25:$EQ25)</f>
        <v>-35829.284774617736</v>
      </c>
      <c r="U20" s="171">
        <f>SUMIF('CF(M)'!$L$11:$EQ$11,U$6,'CF(M)'!$L25:$EQ25)</f>
        <v>-36545.870470110087</v>
      </c>
      <c r="V20" s="171">
        <f>SUMIF('CF(M)'!$L$11:$EQ$11,V$6,'CF(M)'!$L25:$EQ25)</f>
        <v>-37276.787879512289</v>
      </c>
      <c r="W20" s="171">
        <f>SUMIF('CF(M)'!$L$11:$EQ$11,W$6,'CF(M)'!$L25:$EQ25)</f>
        <v>0</v>
      </c>
      <c r="X20" s="171">
        <f>SUMIF('CF(M)'!$L$11:$EQ$11,X$6,'CF(M)'!$L25:$EQ25)</f>
        <v>0</v>
      </c>
      <c r="Y20" s="171">
        <f>SUMIF('CF(M)'!$L$11:$EQ$11,Y$6,'CF(M)'!$L25:$EQ25)</f>
        <v>0</v>
      </c>
      <c r="Z20" s="171">
        <f>SUMIF('CF(M)'!$L$11:$EQ$11,Z$6,'CF(M)'!$L25:$EQ25)</f>
        <v>0</v>
      </c>
      <c r="AA20" s="171">
        <f>SUMIF('CF(M)'!$L$11:$EQ$11,AA$6,'CF(M)'!$L25:$EQ25)</f>
        <v>0</v>
      </c>
      <c r="AB20" s="171">
        <f>SUMIF('CF(M)'!$L$11:$EQ$11,AB$6,'CF(M)'!$L25:$EQ25)</f>
        <v>0</v>
      </c>
      <c r="AC20" s="171">
        <f>SUMIF('CF(M)'!$L$11:$EQ$11,AC$6,'CF(M)'!$L25:$EQ25)</f>
        <v>0</v>
      </c>
      <c r="AD20" s="171">
        <f>SUMIF('CF(M)'!$L$11:$EQ$11,AD$6,'CF(M)'!$L25:$EQ25)</f>
        <v>0</v>
      </c>
      <c r="AE20" s="171">
        <f>SUMIF('CF(M)'!$L$11:$EQ$11,AE$6,'CF(M)'!$L25:$EQ25)</f>
        <v>0</v>
      </c>
      <c r="AF20" s="171">
        <f>SUMIF('CF(M)'!$L$11:$EQ$11,AF$6,'CF(M)'!$L25:$EQ25)</f>
        <v>0</v>
      </c>
      <c r="AG20" s="171">
        <f>SUMIF('CF(M)'!$L$11:$EQ$11,AG$6,'CF(M)'!$L25:$EQ25)</f>
        <v>0</v>
      </c>
      <c r="AH20" s="171">
        <f>SUMIF('CF(M)'!$L$11:$EQ$11,AH$6,'CF(M)'!$L25:$EQ25)</f>
        <v>0</v>
      </c>
      <c r="AI20" s="171">
        <f>SUMIF('CF(M)'!$L$11:$EQ$11,AI$6,'CF(M)'!$L25:$EQ25)</f>
        <v>0</v>
      </c>
      <c r="AJ20" s="171">
        <f>SUMIF('CF(M)'!$L$11:$EQ$11,AJ$6,'CF(M)'!$L25:$EQ25)</f>
        <v>0</v>
      </c>
      <c r="AK20" s="171">
        <f>SUMIF('CF(M)'!$L$11:$EQ$11,AK$6,'CF(M)'!$L25:$EQ25)</f>
        <v>0</v>
      </c>
      <c r="AL20" s="171">
        <f>SUMIF('CF(M)'!$L$11:$EQ$11,AL$6,'CF(M)'!$L25:$EQ25)</f>
        <v>0</v>
      </c>
      <c r="AM20" s="171">
        <f>SUMIF('CF(M)'!$L$11:$EQ$11,AM$6,'CF(M)'!$L25:$EQ25)</f>
        <v>0</v>
      </c>
      <c r="AN20" s="171">
        <f>SUMIF('CF(M)'!$L$11:$EQ$11,AN$6,'CF(M)'!$L25:$EQ25)</f>
        <v>0</v>
      </c>
      <c r="AO20" s="171">
        <f>SUMIF('CF(M)'!$L$11:$EQ$11,AO$6,'CF(M)'!$L25:$EQ25)</f>
        <v>0</v>
      </c>
      <c r="AP20" s="171">
        <f>SUMIF('CF(M)'!$L$11:$EQ$11,AP$6,'CF(M)'!$L25:$EQ25)</f>
        <v>0</v>
      </c>
      <c r="AQ20" s="171">
        <f>SUMIF('CF(M)'!$L$11:$EQ$11,AQ$6,'CF(M)'!$L25:$EQ25)</f>
        <v>0</v>
      </c>
      <c r="AR20" s="171">
        <f>SUMIF('CF(M)'!$L$11:$EQ$11,AR$6,'CF(M)'!$L25:$EQ25)</f>
        <v>0</v>
      </c>
      <c r="AS20" s="171">
        <f>SUMIF('CF(M)'!$L$11:$EQ$11,AS$6,'CF(M)'!$L25:$EQ25)</f>
        <v>0</v>
      </c>
      <c r="AT20" s="171">
        <f>SUMIF('CF(M)'!$L$11:$EQ$11,AT$6,'CF(M)'!$L25:$EQ25)</f>
        <v>0</v>
      </c>
      <c r="AU20" s="171">
        <f>SUMIF('CF(M)'!$L$11:$EQ$11,AU$6,'CF(M)'!$L25:$EQ25)</f>
        <v>0</v>
      </c>
      <c r="AV20" s="171">
        <f>SUMIF('CF(M)'!$L$11:$EQ$11,AV$6,'CF(M)'!$L25:$EQ25)</f>
        <v>0</v>
      </c>
      <c r="AW20" s="171">
        <f>SUMIF('CF(M)'!$L$11:$EQ$11,AW$6,'CF(M)'!$L25:$EQ25)</f>
        <v>0</v>
      </c>
      <c r="AX20" s="171">
        <f>SUMIF('CF(M)'!$L$11:$EQ$11,AX$6,'CF(M)'!$L25:$EQ25)</f>
        <v>0</v>
      </c>
      <c r="AY20" s="171">
        <f>SUMIF('CF(M)'!$L$11:$EQ$11,AY$6,'CF(M)'!$L25:$EQ25)</f>
        <v>0</v>
      </c>
      <c r="AZ20" s="171">
        <f>SUMIF('CF(M)'!$L$11:$EQ$11,AZ$6,'CF(M)'!$L25:$EQ25)</f>
        <v>0</v>
      </c>
      <c r="BA20" s="171">
        <f>SUMIF('CF(M)'!$L$11:$EQ$11,BA$6,'CF(M)'!$L25:$EQ25)</f>
        <v>0</v>
      </c>
      <c r="BB20" s="171">
        <f>SUMIF('CF(M)'!$L$11:$EQ$11,BB$6,'CF(M)'!$L25:$EQ25)</f>
        <v>0</v>
      </c>
      <c r="BC20" s="171">
        <f>SUMIF('CF(M)'!$L$11:$EQ$11,BC$6,'CF(M)'!$L25:$EQ25)</f>
        <v>0</v>
      </c>
      <c r="BD20" s="171">
        <f>SUMIF('CF(M)'!$L$11:$EQ$11,BD$6,'CF(M)'!$L25:$EQ25)</f>
        <v>0</v>
      </c>
      <c r="BE20" s="171">
        <f>SUMIF('CF(M)'!$L$11:$EQ$11,BE$6,'CF(M)'!$L25:$EQ25)</f>
        <v>0</v>
      </c>
      <c r="BF20" s="171">
        <f>SUMIF('CF(M)'!$L$11:$EQ$11,BF$6,'CF(M)'!$L25:$EQ25)</f>
        <v>0</v>
      </c>
      <c r="BG20" s="171">
        <f>SUMIF('CF(M)'!$L$11:$EQ$11,BG$6,'CF(M)'!$L25:$EQ25)</f>
        <v>0</v>
      </c>
      <c r="BH20" s="171">
        <f>SUMIF('CF(M)'!$L$11:$EQ$11,BH$6,'CF(M)'!$L25:$EQ25)</f>
        <v>0</v>
      </c>
      <c r="BI20" s="171">
        <f>SUMIF('CF(M)'!$L$11:$EQ$11,BI$6,'CF(M)'!$L25:$EQ25)</f>
        <v>0</v>
      </c>
      <c r="BJ20" s="171">
        <f>SUMIF('CF(M)'!$L$11:$EQ$11,BJ$6,'CF(M)'!$L25:$EQ25)</f>
        <v>0</v>
      </c>
      <c r="BK20" s="171">
        <f>SUMIF('CF(M)'!$L$11:$EQ$11,BK$6,'CF(M)'!$L25:$EQ25)</f>
        <v>0</v>
      </c>
      <c r="BL20" s="171">
        <f>SUMIF('CF(M)'!$L$11:$EQ$11,BL$6,'CF(M)'!$L25:$EQ25)</f>
        <v>0</v>
      </c>
      <c r="BM20" s="171">
        <f>SUMIF('CF(M)'!$L$11:$EQ$11,BM$6,'CF(M)'!$L25:$EQ25)</f>
        <v>0</v>
      </c>
      <c r="BN20" s="171">
        <f>SUMIF('CF(M)'!$L$11:$EQ$11,BN$6,'CF(M)'!$L25:$EQ25)</f>
        <v>0</v>
      </c>
      <c r="BO20" s="171">
        <f>SUMIF('CF(M)'!$L$11:$EQ$11,BO$6,'CF(M)'!$L25:$EQ25)</f>
        <v>0</v>
      </c>
      <c r="BP20" s="171">
        <f>SUMIF('CF(M)'!$L$11:$EQ$11,BP$6,'CF(M)'!$L25:$EQ25)</f>
        <v>0</v>
      </c>
      <c r="BQ20" s="171">
        <f>SUMIF('CF(M)'!$L$11:$EQ$11,BQ$6,'CF(M)'!$L25:$EQ25)</f>
        <v>0</v>
      </c>
      <c r="BR20" s="171">
        <f>SUMIF('CF(M)'!$L$11:$EQ$11,BR$6,'CF(M)'!$L25:$EQ25)</f>
        <v>0</v>
      </c>
      <c r="BS20" s="171">
        <f>SUMIF('CF(M)'!$L$11:$EQ$11,BS$6,'CF(M)'!$L25:$EQ25)</f>
        <v>0</v>
      </c>
      <c r="BT20" s="171">
        <f>SUMIF('CF(M)'!$L$11:$EQ$11,BT$6,'CF(M)'!$L25:$EQ25)</f>
        <v>0</v>
      </c>
      <c r="BU20" s="171">
        <f>SUMIF('CF(M)'!$L$11:$EQ$11,BU$6,'CF(M)'!$L25:$EQ25)</f>
        <v>0</v>
      </c>
      <c r="BV20" s="171">
        <f>SUMIF('CF(M)'!$L$11:$EQ$11,BV$6,'CF(M)'!$L25:$EQ25)</f>
        <v>0</v>
      </c>
      <c r="BW20" s="171">
        <f>SUMIF('CF(M)'!$L$11:$EQ$11,BW$6,'CF(M)'!$L25:$EQ25)</f>
        <v>0</v>
      </c>
      <c r="BX20" s="171">
        <f>SUMIF('CF(M)'!$L$11:$EQ$11,BX$6,'CF(M)'!$L25:$EQ25)</f>
        <v>0</v>
      </c>
      <c r="BY20" s="171">
        <f>SUMIF('CF(M)'!$L$11:$EQ$11,BY$6,'CF(M)'!$L25:$EQ25)</f>
        <v>0</v>
      </c>
      <c r="BZ20" s="171">
        <f>SUMIF('CF(M)'!$L$11:$EQ$11,BZ$6,'CF(M)'!$L25:$EQ25)</f>
        <v>0</v>
      </c>
      <c r="CA20" s="171">
        <f>SUMIF('CF(M)'!$L$11:$EQ$11,CA$6,'CF(M)'!$L25:$EQ25)</f>
        <v>0</v>
      </c>
      <c r="CB20" s="171">
        <f>SUMIF('CF(M)'!$L$11:$EQ$11,CB$6,'CF(M)'!$L25:$EQ25)</f>
        <v>0</v>
      </c>
      <c r="CC20" s="171">
        <f>SUMIF('CF(M)'!$L$11:$EQ$11,CC$6,'CF(M)'!$L25:$EQ25)</f>
        <v>0</v>
      </c>
      <c r="CD20" s="171">
        <f>SUMIF('CF(M)'!$L$11:$EQ$11,CD$6,'CF(M)'!$L25:$EQ25)</f>
        <v>0</v>
      </c>
      <c r="CE20" s="171">
        <f>SUMIF('CF(M)'!$L$11:$EQ$11,CE$6,'CF(M)'!$L25:$EQ25)</f>
        <v>0</v>
      </c>
      <c r="CF20" s="171">
        <f>SUMIF('CF(M)'!$L$11:$EQ$11,CF$6,'CF(M)'!$L25:$EQ25)</f>
        <v>0</v>
      </c>
      <c r="CG20" s="171">
        <f>SUMIF('CF(M)'!$L$11:$EQ$11,CG$6,'CF(M)'!$L25:$EQ25)</f>
        <v>0</v>
      </c>
      <c r="CH20" s="171">
        <f>SUMIF('CF(M)'!$L$11:$EQ$11,CH$6,'CF(M)'!$L25:$EQ25)</f>
        <v>0</v>
      </c>
      <c r="CI20" s="171">
        <f>SUMIF('CF(M)'!$L$11:$EQ$11,CI$6,'CF(M)'!$L25:$EQ25)</f>
        <v>0</v>
      </c>
      <c r="CJ20" s="171">
        <f>SUMIF('CF(M)'!$L$11:$EQ$11,CJ$6,'CF(M)'!$L25:$EQ25)</f>
        <v>0</v>
      </c>
      <c r="CK20" s="171">
        <f>SUMIF('CF(M)'!$L$11:$EQ$11,CK$6,'CF(M)'!$L25:$EQ25)</f>
        <v>0</v>
      </c>
      <c r="CL20" s="171">
        <f>SUMIF('CF(M)'!$L$11:$EQ$11,CL$6,'CF(M)'!$L25:$EQ25)</f>
        <v>0</v>
      </c>
      <c r="CM20" s="171">
        <f>SUMIF('CF(M)'!$L$11:$EQ$11,CM$6,'CF(M)'!$L25:$EQ25)</f>
        <v>0</v>
      </c>
      <c r="CN20" s="171">
        <f>SUMIF('CF(M)'!$L$11:$EQ$11,CN$6,'CF(M)'!$L25:$EQ25)</f>
        <v>0</v>
      </c>
      <c r="CO20" s="171">
        <f>SUMIF('CF(M)'!$L$11:$EQ$11,CO$6,'CF(M)'!$L25:$EQ25)</f>
        <v>0</v>
      </c>
      <c r="CP20" s="171">
        <f>SUMIF('CF(M)'!$L$11:$EQ$11,CP$6,'CF(M)'!$L25:$EQ25)</f>
        <v>0</v>
      </c>
      <c r="CQ20" s="171">
        <f>SUMIF('CF(M)'!$L$11:$EQ$11,CQ$6,'CF(M)'!$L25:$EQ25)</f>
        <v>0</v>
      </c>
      <c r="CR20" s="171">
        <f>SUMIF('CF(M)'!$L$11:$EQ$11,CR$6,'CF(M)'!$L25:$EQ25)</f>
        <v>0</v>
      </c>
      <c r="CS20" s="171">
        <f>SUMIF('CF(M)'!$L$11:$EQ$11,CS$6,'CF(M)'!$L25:$EQ25)</f>
        <v>0</v>
      </c>
      <c r="CT20" s="171">
        <f>SUMIF('CF(M)'!$L$11:$EQ$11,CT$6,'CF(M)'!$L25:$EQ25)</f>
        <v>0</v>
      </c>
      <c r="CU20" s="171">
        <f>SUMIF('CF(M)'!$L$11:$EQ$11,CU$6,'CF(M)'!$L25:$EQ25)</f>
        <v>0</v>
      </c>
      <c r="CV20" s="171">
        <f>SUMIF('CF(M)'!$L$11:$EQ$11,CV$6,'CF(M)'!$L25:$EQ25)</f>
        <v>0</v>
      </c>
      <c r="CW20" s="171">
        <f>SUMIF('CF(M)'!$L$11:$EQ$11,CW$6,'CF(M)'!$L25:$EQ25)</f>
        <v>0</v>
      </c>
      <c r="CX20" s="171">
        <f>SUMIF('CF(M)'!$L$11:$EQ$11,CX$6,'CF(M)'!$L25:$EQ25)</f>
        <v>0</v>
      </c>
      <c r="CY20" s="171">
        <f>SUMIF('CF(M)'!$L$11:$EQ$11,CY$6,'CF(M)'!$L25:$EQ25)</f>
        <v>0</v>
      </c>
      <c r="CZ20" s="171">
        <f>SUMIF('CF(M)'!$L$11:$EQ$11,CZ$6,'CF(M)'!$L25:$EQ25)</f>
        <v>0</v>
      </c>
      <c r="DA20" s="171">
        <f>SUMIF('CF(M)'!$L$11:$EQ$11,DA$6,'CF(M)'!$L25:$EQ25)</f>
        <v>0</v>
      </c>
      <c r="DB20" s="171">
        <f>SUMIF('CF(M)'!$L$11:$EQ$11,DB$6,'CF(M)'!$L25:$EQ25)</f>
        <v>0</v>
      </c>
      <c r="DC20" s="171">
        <f>SUMIF('CF(M)'!$L$11:$EQ$11,DC$6,'CF(M)'!$L25:$EQ25)</f>
        <v>0</v>
      </c>
      <c r="DD20" s="171">
        <f>SUMIF('CF(M)'!$L$11:$EQ$11,DD$6,'CF(M)'!$L25:$EQ25)</f>
        <v>0</v>
      </c>
      <c r="DE20" s="171">
        <f>SUMIF('CF(M)'!$L$11:$EQ$11,DE$6,'CF(M)'!$L25:$EQ25)</f>
        <v>0</v>
      </c>
      <c r="DF20" s="171">
        <f>SUMIF('CF(M)'!$L$11:$EQ$11,DF$6,'CF(M)'!$L25:$EQ25)</f>
        <v>0</v>
      </c>
      <c r="DG20" s="171">
        <f>SUMIF('CF(M)'!$L$11:$EQ$11,DG$6,'CF(M)'!$L25:$EQ25)</f>
        <v>0</v>
      </c>
      <c r="DH20" s="171">
        <f>SUMIF('CF(M)'!$L$11:$EQ$11,DH$6,'CF(M)'!$L25:$EQ25)</f>
        <v>0</v>
      </c>
      <c r="DI20" s="171">
        <f>SUMIF('CF(M)'!$L$11:$EQ$11,DI$6,'CF(M)'!$L25:$EQ25)</f>
        <v>0</v>
      </c>
      <c r="DJ20" s="171">
        <f>SUMIF('CF(M)'!$L$11:$EQ$11,DJ$6,'CF(M)'!$L25:$EQ25)</f>
        <v>0</v>
      </c>
      <c r="DK20" s="171">
        <f>SUMIF('CF(M)'!$L$11:$EQ$11,DK$6,'CF(M)'!$L25:$EQ25)</f>
        <v>0</v>
      </c>
      <c r="DL20" s="171">
        <f>SUMIF('CF(M)'!$L$11:$EQ$11,DL$6,'CF(M)'!$L25:$EQ25)</f>
        <v>0</v>
      </c>
      <c r="DM20" s="171">
        <f>SUMIF('CF(M)'!$L$11:$EQ$11,DM$6,'CF(M)'!$L25:$EQ25)</f>
        <v>0</v>
      </c>
      <c r="DN20" s="171">
        <f>SUMIF('CF(M)'!$L$11:$EQ$11,DN$6,'CF(M)'!$L25:$EQ25)</f>
        <v>0</v>
      </c>
      <c r="DO20" s="171">
        <f>SUMIF('CF(M)'!$L$11:$EQ$11,DO$6,'CF(M)'!$L25:$EQ25)</f>
        <v>0</v>
      </c>
      <c r="DP20" s="171">
        <f>SUMIF('CF(M)'!$L$11:$EQ$11,DP$6,'CF(M)'!$L25:$EQ25)</f>
        <v>0</v>
      </c>
      <c r="DQ20" s="171">
        <f>SUMIF('CF(M)'!$L$11:$EQ$11,DQ$6,'CF(M)'!$L25:$EQ25)</f>
        <v>0</v>
      </c>
      <c r="DR20" s="171">
        <f>SUMIF('CF(M)'!$L$11:$EQ$11,DR$6,'CF(M)'!$L25:$EQ25)</f>
        <v>0</v>
      </c>
      <c r="DS20" s="171">
        <f>SUMIF('CF(M)'!$L$11:$EQ$11,DS$6,'CF(M)'!$L25:$EQ25)</f>
        <v>0</v>
      </c>
      <c r="DT20" s="171">
        <f>SUMIF('CF(M)'!$L$11:$EQ$11,DT$6,'CF(M)'!$L25:$EQ25)</f>
        <v>0</v>
      </c>
      <c r="DU20" s="171">
        <f>SUMIF('CF(M)'!$L$11:$EQ$11,DU$6,'CF(M)'!$L25:$EQ25)</f>
        <v>0</v>
      </c>
      <c r="DV20" s="171">
        <f>SUMIF('CF(M)'!$L$11:$EQ$11,DV$6,'CF(M)'!$L25:$EQ25)</f>
        <v>0</v>
      </c>
    </row>
    <row r="21" spans="2:126" ht="11.25" customHeight="1">
      <c r="B21" s="218"/>
      <c r="C21" s="163"/>
      <c r="D21" s="169" t="s">
        <v>80</v>
      </c>
      <c r="H21" s="146"/>
      <c r="I21" s="13"/>
      <c r="J21" s="171">
        <f t="shared" si="12"/>
        <v>0</v>
      </c>
      <c r="K21" s="98"/>
      <c r="L21" s="171">
        <f>SUMIF('CF(M)'!$L$11:$EQ$11,L$6,'CF(M)'!$L26:$EQ26)</f>
        <v>0</v>
      </c>
      <c r="M21" s="171">
        <f>SUMIF('CF(M)'!$L$11:$EQ$11,M$6,'CF(M)'!$L26:$EQ26)</f>
        <v>0</v>
      </c>
      <c r="N21" s="171">
        <f>SUMIF('CF(M)'!$L$11:$EQ$11,N$6,'CF(M)'!$L26:$EQ26)</f>
        <v>0</v>
      </c>
      <c r="O21" s="171">
        <f>SUMIF('CF(M)'!$L$11:$EQ$11,O$6,'CF(M)'!$L26:$EQ26)</f>
        <v>0</v>
      </c>
      <c r="P21" s="171">
        <f>SUMIF('CF(M)'!$L$11:$EQ$11,P$6,'CF(M)'!$L26:$EQ26)</f>
        <v>0</v>
      </c>
      <c r="Q21" s="171">
        <f>SUMIF('CF(M)'!$L$11:$EQ$11,Q$6,'CF(M)'!$L26:$EQ26)</f>
        <v>0</v>
      </c>
      <c r="R21" s="171">
        <f>SUMIF('CF(M)'!$L$11:$EQ$11,R$6,'CF(M)'!$L26:$EQ26)</f>
        <v>0</v>
      </c>
      <c r="S21" s="171">
        <f>SUMIF('CF(M)'!$L$11:$EQ$11,S$6,'CF(M)'!$L26:$EQ26)</f>
        <v>0</v>
      </c>
      <c r="T21" s="171">
        <f>SUMIF('CF(M)'!$L$11:$EQ$11,T$6,'CF(M)'!$L26:$EQ26)</f>
        <v>0</v>
      </c>
      <c r="U21" s="171">
        <f>SUMIF('CF(M)'!$L$11:$EQ$11,U$6,'CF(M)'!$L26:$EQ26)</f>
        <v>0</v>
      </c>
      <c r="V21" s="171">
        <f>SUMIF('CF(M)'!$L$11:$EQ$11,V$6,'CF(M)'!$L26:$EQ26)</f>
        <v>0</v>
      </c>
      <c r="W21" s="171">
        <f>SUMIF('CF(M)'!$L$11:$EQ$11,W$6,'CF(M)'!$L26:$EQ26)</f>
        <v>0</v>
      </c>
      <c r="X21" s="171">
        <f>SUMIF('CF(M)'!$L$11:$EQ$11,X$6,'CF(M)'!$L26:$EQ26)</f>
        <v>0</v>
      </c>
      <c r="Y21" s="171">
        <f>SUMIF('CF(M)'!$L$11:$EQ$11,Y$6,'CF(M)'!$L26:$EQ26)</f>
        <v>0</v>
      </c>
      <c r="Z21" s="171">
        <f>SUMIF('CF(M)'!$L$11:$EQ$11,Z$6,'CF(M)'!$L26:$EQ26)</f>
        <v>0</v>
      </c>
      <c r="AA21" s="171">
        <f>SUMIF('CF(M)'!$L$11:$EQ$11,AA$6,'CF(M)'!$L26:$EQ26)</f>
        <v>0</v>
      </c>
      <c r="AB21" s="171">
        <f>SUMIF('CF(M)'!$L$11:$EQ$11,AB$6,'CF(M)'!$L26:$EQ26)</f>
        <v>0</v>
      </c>
      <c r="AC21" s="171">
        <f>SUMIF('CF(M)'!$L$11:$EQ$11,AC$6,'CF(M)'!$L26:$EQ26)</f>
        <v>0</v>
      </c>
      <c r="AD21" s="171">
        <f>SUMIF('CF(M)'!$L$11:$EQ$11,AD$6,'CF(M)'!$L26:$EQ26)</f>
        <v>0</v>
      </c>
      <c r="AE21" s="171">
        <f>SUMIF('CF(M)'!$L$11:$EQ$11,AE$6,'CF(M)'!$L26:$EQ26)</f>
        <v>0</v>
      </c>
      <c r="AF21" s="171">
        <f>SUMIF('CF(M)'!$L$11:$EQ$11,AF$6,'CF(M)'!$L26:$EQ26)</f>
        <v>0</v>
      </c>
      <c r="AG21" s="171">
        <f>SUMIF('CF(M)'!$L$11:$EQ$11,AG$6,'CF(M)'!$L26:$EQ26)</f>
        <v>0</v>
      </c>
      <c r="AH21" s="171">
        <f>SUMIF('CF(M)'!$L$11:$EQ$11,AH$6,'CF(M)'!$L26:$EQ26)</f>
        <v>0</v>
      </c>
      <c r="AI21" s="171">
        <f>SUMIF('CF(M)'!$L$11:$EQ$11,AI$6,'CF(M)'!$L26:$EQ26)</f>
        <v>0</v>
      </c>
      <c r="AJ21" s="171">
        <f>SUMIF('CF(M)'!$L$11:$EQ$11,AJ$6,'CF(M)'!$L26:$EQ26)</f>
        <v>0</v>
      </c>
      <c r="AK21" s="171">
        <f>SUMIF('CF(M)'!$L$11:$EQ$11,AK$6,'CF(M)'!$L26:$EQ26)</f>
        <v>0</v>
      </c>
      <c r="AL21" s="171">
        <f>SUMIF('CF(M)'!$L$11:$EQ$11,AL$6,'CF(M)'!$L26:$EQ26)</f>
        <v>0</v>
      </c>
      <c r="AM21" s="171">
        <f>SUMIF('CF(M)'!$L$11:$EQ$11,AM$6,'CF(M)'!$L26:$EQ26)</f>
        <v>0</v>
      </c>
      <c r="AN21" s="171">
        <f>SUMIF('CF(M)'!$L$11:$EQ$11,AN$6,'CF(M)'!$L26:$EQ26)</f>
        <v>0</v>
      </c>
      <c r="AO21" s="171">
        <f>SUMIF('CF(M)'!$L$11:$EQ$11,AO$6,'CF(M)'!$L26:$EQ26)</f>
        <v>0</v>
      </c>
      <c r="AP21" s="171">
        <f>SUMIF('CF(M)'!$L$11:$EQ$11,AP$6,'CF(M)'!$L26:$EQ26)</f>
        <v>0</v>
      </c>
      <c r="AQ21" s="171">
        <f>SUMIF('CF(M)'!$L$11:$EQ$11,AQ$6,'CF(M)'!$L26:$EQ26)</f>
        <v>0</v>
      </c>
      <c r="AR21" s="171">
        <f>SUMIF('CF(M)'!$L$11:$EQ$11,AR$6,'CF(M)'!$L26:$EQ26)</f>
        <v>0</v>
      </c>
      <c r="AS21" s="171">
        <f>SUMIF('CF(M)'!$L$11:$EQ$11,AS$6,'CF(M)'!$L26:$EQ26)</f>
        <v>0</v>
      </c>
      <c r="AT21" s="171">
        <f>SUMIF('CF(M)'!$L$11:$EQ$11,AT$6,'CF(M)'!$L26:$EQ26)</f>
        <v>0</v>
      </c>
      <c r="AU21" s="171">
        <f>SUMIF('CF(M)'!$L$11:$EQ$11,AU$6,'CF(M)'!$L26:$EQ26)</f>
        <v>0</v>
      </c>
      <c r="AV21" s="171">
        <f>SUMIF('CF(M)'!$L$11:$EQ$11,AV$6,'CF(M)'!$L26:$EQ26)</f>
        <v>0</v>
      </c>
      <c r="AW21" s="171">
        <f>SUMIF('CF(M)'!$L$11:$EQ$11,AW$6,'CF(M)'!$L26:$EQ26)</f>
        <v>0</v>
      </c>
      <c r="AX21" s="171">
        <f>SUMIF('CF(M)'!$L$11:$EQ$11,AX$6,'CF(M)'!$L26:$EQ26)</f>
        <v>0</v>
      </c>
      <c r="AY21" s="171">
        <f>SUMIF('CF(M)'!$L$11:$EQ$11,AY$6,'CF(M)'!$L26:$EQ26)</f>
        <v>0</v>
      </c>
      <c r="AZ21" s="171">
        <f>SUMIF('CF(M)'!$L$11:$EQ$11,AZ$6,'CF(M)'!$L26:$EQ26)</f>
        <v>0</v>
      </c>
      <c r="BA21" s="171">
        <f>SUMIF('CF(M)'!$L$11:$EQ$11,BA$6,'CF(M)'!$L26:$EQ26)</f>
        <v>0</v>
      </c>
      <c r="BB21" s="171">
        <f>SUMIF('CF(M)'!$L$11:$EQ$11,BB$6,'CF(M)'!$L26:$EQ26)</f>
        <v>0</v>
      </c>
      <c r="BC21" s="171">
        <f>SUMIF('CF(M)'!$L$11:$EQ$11,BC$6,'CF(M)'!$L26:$EQ26)</f>
        <v>0</v>
      </c>
      <c r="BD21" s="171">
        <f>SUMIF('CF(M)'!$L$11:$EQ$11,BD$6,'CF(M)'!$L26:$EQ26)</f>
        <v>0</v>
      </c>
      <c r="BE21" s="171">
        <f>SUMIF('CF(M)'!$L$11:$EQ$11,BE$6,'CF(M)'!$L26:$EQ26)</f>
        <v>0</v>
      </c>
      <c r="BF21" s="171">
        <f>SUMIF('CF(M)'!$L$11:$EQ$11,BF$6,'CF(M)'!$L26:$EQ26)</f>
        <v>0</v>
      </c>
      <c r="BG21" s="171">
        <f>SUMIF('CF(M)'!$L$11:$EQ$11,BG$6,'CF(M)'!$L26:$EQ26)</f>
        <v>0</v>
      </c>
      <c r="BH21" s="171">
        <f>SUMIF('CF(M)'!$L$11:$EQ$11,BH$6,'CF(M)'!$L26:$EQ26)</f>
        <v>0</v>
      </c>
      <c r="BI21" s="171">
        <f>SUMIF('CF(M)'!$L$11:$EQ$11,BI$6,'CF(M)'!$L26:$EQ26)</f>
        <v>0</v>
      </c>
      <c r="BJ21" s="171">
        <f>SUMIF('CF(M)'!$L$11:$EQ$11,BJ$6,'CF(M)'!$L26:$EQ26)</f>
        <v>0</v>
      </c>
      <c r="BK21" s="171">
        <f>SUMIF('CF(M)'!$L$11:$EQ$11,BK$6,'CF(M)'!$L26:$EQ26)</f>
        <v>0</v>
      </c>
      <c r="BL21" s="171">
        <f>SUMIF('CF(M)'!$L$11:$EQ$11,BL$6,'CF(M)'!$L26:$EQ26)</f>
        <v>0</v>
      </c>
      <c r="BM21" s="171">
        <f>SUMIF('CF(M)'!$L$11:$EQ$11,BM$6,'CF(M)'!$L26:$EQ26)</f>
        <v>0</v>
      </c>
      <c r="BN21" s="171">
        <f>SUMIF('CF(M)'!$L$11:$EQ$11,BN$6,'CF(M)'!$L26:$EQ26)</f>
        <v>0</v>
      </c>
      <c r="BO21" s="171">
        <f>SUMIF('CF(M)'!$L$11:$EQ$11,BO$6,'CF(M)'!$L26:$EQ26)</f>
        <v>0</v>
      </c>
      <c r="BP21" s="171">
        <f>SUMIF('CF(M)'!$L$11:$EQ$11,BP$6,'CF(M)'!$L26:$EQ26)</f>
        <v>0</v>
      </c>
      <c r="BQ21" s="171">
        <f>SUMIF('CF(M)'!$L$11:$EQ$11,BQ$6,'CF(M)'!$L26:$EQ26)</f>
        <v>0</v>
      </c>
      <c r="BR21" s="171">
        <f>SUMIF('CF(M)'!$L$11:$EQ$11,BR$6,'CF(M)'!$L26:$EQ26)</f>
        <v>0</v>
      </c>
      <c r="BS21" s="171">
        <f>SUMIF('CF(M)'!$L$11:$EQ$11,BS$6,'CF(M)'!$L26:$EQ26)</f>
        <v>0</v>
      </c>
      <c r="BT21" s="171">
        <f>SUMIF('CF(M)'!$L$11:$EQ$11,BT$6,'CF(M)'!$L26:$EQ26)</f>
        <v>0</v>
      </c>
      <c r="BU21" s="171">
        <f>SUMIF('CF(M)'!$L$11:$EQ$11,BU$6,'CF(M)'!$L26:$EQ26)</f>
        <v>0</v>
      </c>
      <c r="BV21" s="171">
        <f>SUMIF('CF(M)'!$L$11:$EQ$11,BV$6,'CF(M)'!$L26:$EQ26)</f>
        <v>0</v>
      </c>
      <c r="BW21" s="171">
        <f>SUMIF('CF(M)'!$L$11:$EQ$11,BW$6,'CF(M)'!$L26:$EQ26)</f>
        <v>0</v>
      </c>
      <c r="BX21" s="171">
        <f>SUMIF('CF(M)'!$L$11:$EQ$11,BX$6,'CF(M)'!$L26:$EQ26)</f>
        <v>0</v>
      </c>
      <c r="BY21" s="171">
        <f>SUMIF('CF(M)'!$L$11:$EQ$11,BY$6,'CF(M)'!$L26:$EQ26)</f>
        <v>0</v>
      </c>
      <c r="BZ21" s="171">
        <f>SUMIF('CF(M)'!$L$11:$EQ$11,BZ$6,'CF(M)'!$L26:$EQ26)</f>
        <v>0</v>
      </c>
      <c r="CA21" s="171">
        <f>SUMIF('CF(M)'!$L$11:$EQ$11,CA$6,'CF(M)'!$L26:$EQ26)</f>
        <v>0</v>
      </c>
      <c r="CB21" s="171">
        <f>SUMIF('CF(M)'!$L$11:$EQ$11,CB$6,'CF(M)'!$L26:$EQ26)</f>
        <v>0</v>
      </c>
      <c r="CC21" s="171">
        <f>SUMIF('CF(M)'!$L$11:$EQ$11,CC$6,'CF(M)'!$L26:$EQ26)</f>
        <v>0</v>
      </c>
      <c r="CD21" s="171">
        <f>SUMIF('CF(M)'!$L$11:$EQ$11,CD$6,'CF(M)'!$L26:$EQ26)</f>
        <v>0</v>
      </c>
      <c r="CE21" s="171">
        <f>SUMIF('CF(M)'!$L$11:$EQ$11,CE$6,'CF(M)'!$L26:$EQ26)</f>
        <v>0</v>
      </c>
      <c r="CF21" s="171">
        <f>SUMIF('CF(M)'!$L$11:$EQ$11,CF$6,'CF(M)'!$L26:$EQ26)</f>
        <v>0</v>
      </c>
      <c r="CG21" s="171">
        <f>SUMIF('CF(M)'!$L$11:$EQ$11,CG$6,'CF(M)'!$L26:$EQ26)</f>
        <v>0</v>
      </c>
      <c r="CH21" s="171">
        <f>SUMIF('CF(M)'!$L$11:$EQ$11,CH$6,'CF(M)'!$L26:$EQ26)</f>
        <v>0</v>
      </c>
      <c r="CI21" s="171">
        <f>SUMIF('CF(M)'!$L$11:$EQ$11,CI$6,'CF(M)'!$L26:$EQ26)</f>
        <v>0</v>
      </c>
      <c r="CJ21" s="171">
        <f>SUMIF('CF(M)'!$L$11:$EQ$11,CJ$6,'CF(M)'!$L26:$EQ26)</f>
        <v>0</v>
      </c>
      <c r="CK21" s="171">
        <f>SUMIF('CF(M)'!$L$11:$EQ$11,CK$6,'CF(M)'!$L26:$EQ26)</f>
        <v>0</v>
      </c>
      <c r="CL21" s="171">
        <f>SUMIF('CF(M)'!$L$11:$EQ$11,CL$6,'CF(M)'!$L26:$EQ26)</f>
        <v>0</v>
      </c>
      <c r="CM21" s="171">
        <f>SUMIF('CF(M)'!$L$11:$EQ$11,CM$6,'CF(M)'!$L26:$EQ26)</f>
        <v>0</v>
      </c>
      <c r="CN21" s="171">
        <f>SUMIF('CF(M)'!$L$11:$EQ$11,CN$6,'CF(M)'!$L26:$EQ26)</f>
        <v>0</v>
      </c>
      <c r="CO21" s="171">
        <f>SUMIF('CF(M)'!$L$11:$EQ$11,CO$6,'CF(M)'!$L26:$EQ26)</f>
        <v>0</v>
      </c>
      <c r="CP21" s="171">
        <f>SUMIF('CF(M)'!$L$11:$EQ$11,CP$6,'CF(M)'!$L26:$EQ26)</f>
        <v>0</v>
      </c>
      <c r="CQ21" s="171">
        <f>SUMIF('CF(M)'!$L$11:$EQ$11,CQ$6,'CF(M)'!$L26:$EQ26)</f>
        <v>0</v>
      </c>
      <c r="CR21" s="171">
        <f>SUMIF('CF(M)'!$L$11:$EQ$11,CR$6,'CF(M)'!$L26:$EQ26)</f>
        <v>0</v>
      </c>
      <c r="CS21" s="171">
        <f>SUMIF('CF(M)'!$L$11:$EQ$11,CS$6,'CF(M)'!$L26:$EQ26)</f>
        <v>0</v>
      </c>
      <c r="CT21" s="171">
        <f>SUMIF('CF(M)'!$L$11:$EQ$11,CT$6,'CF(M)'!$L26:$EQ26)</f>
        <v>0</v>
      </c>
      <c r="CU21" s="171">
        <f>SUMIF('CF(M)'!$L$11:$EQ$11,CU$6,'CF(M)'!$L26:$EQ26)</f>
        <v>0</v>
      </c>
      <c r="CV21" s="171">
        <f>SUMIF('CF(M)'!$L$11:$EQ$11,CV$6,'CF(M)'!$L26:$EQ26)</f>
        <v>0</v>
      </c>
      <c r="CW21" s="171">
        <f>SUMIF('CF(M)'!$L$11:$EQ$11,CW$6,'CF(M)'!$L26:$EQ26)</f>
        <v>0</v>
      </c>
      <c r="CX21" s="171">
        <f>SUMIF('CF(M)'!$L$11:$EQ$11,CX$6,'CF(M)'!$L26:$EQ26)</f>
        <v>0</v>
      </c>
      <c r="CY21" s="171">
        <f>SUMIF('CF(M)'!$L$11:$EQ$11,CY$6,'CF(M)'!$L26:$EQ26)</f>
        <v>0</v>
      </c>
      <c r="CZ21" s="171">
        <f>SUMIF('CF(M)'!$L$11:$EQ$11,CZ$6,'CF(M)'!$L26:$EQ26)</f>
        <v>0</v>
      </c>
      <c r="DA21" s="171">
        <f>SUMIF('CF(M)'!$L$11:$EQ$11,DA$6,'CF(M)'!$L26:$EQ26)</f>
        <v>0</v>
      </c>
      <c r="DB21" s="171">
        <f>SUMIF('CF(M)'!$L$11:$EQ$11,DB$6,'CF(M)'!$L26:$EQ26)</f>
        <v>0</v>
      </c>
      <c r="DC21" s="171">
        <f>SUMIF('CF(M)'!$L$11:$EQ$11,DC$6,'CF(M)'!$L26:$EQ26)</f>
        <v>0</v>
      </c>
      <c r="DD21" s="171">
        <f>SUMIF('CF(M)'!$L$11:$EQ$11,DD$6,'CF(M)'!$L26:$EQ26)</f>
        <v>0</v>
      </c>
      <c r="DE21" s="171">
        <f>SUMIF('CF(M)'!$L$11:$EQ$11,DE$6,'CF(M)'!$L26:$EQ26)</f>
        <v>0</v>
      </c>
      <c r="DF21" s="171">
        <f>SUMIF('CF(M)'!$L$11:$EQ$11,DF$6,'CF(M)'!$L26:$EQ26)</f>
        <v>0</v>
      </c>
      <c r="DG21" s="171">
        <f>SUMIF('CF(M)'!$L$11:$EQ$11,DG$6,'CF(M)'!$L26:$EQ26)</f>
        <v>0</v>
      </c>
      <c r="DH21" s="171">
        <f>SUMIF('CF(M)'!$L$11:$EQ$11,DH$6,'CF(M)'!$L26:$EQ26)</f>
        <v>0</v>
      </c>
      <c r="DI21" s="171">
        <f>SUMIF('CF(M)'!$L$11:$EQ$11,DI$6,'CF(M)'!$L26:$EQ26)</f>
        <v>0</v>
      </c>
      <c r="DJ21" s="171">
        <f>SUMIF('CF(M)'!$L$11:$EQ$11,DJ$6,'CF(M)'!$L26:$EQ26)</f>
        <v>0</v>
      </c>
      <c r="DK21" s="171">
        <f>SUMIF('CF(M)'!$L$11:$EQ$11,DK$6,'CF(M)'!$L26:$EQ26)</f>
        <v>0</v>
      </c>
      <c r="DL21" s="171">
        <f>SUMIF('CF(M)'!$L$11:$EQ$11,DL$6,'CF(M)'!$L26:$EQ26)</f>
        <v>0</v>
      </c>
      <c r="DM21" s="171">
        <f>SUMIF('CF(M)'!$L$11:$EQ$11,DM$6,'CF(M)'!$L26:$EQ26)</f>
        <v>0</v>
      </c>
      <c r="DN21" s="171">
        <f>SUMIF('CF(M)'!$L$11:$EQ$11,DN$6,'CF(M)'!$L26:$EQ26)</f>
        <v>0</v>
      </c>
      <c r="DO21" s="171">
        <f>SUMIF('CF(M)'!$L$11:$EQ$11,DO$6,'CF(M)'!$L26:$EQ26)</f>
        <v>0</v>
      </c>
      <c r="DP21" s="171">
        <f>SUMIF('CF(M)'!$L$11:$EQ$11,DP$6,'CF(M)'!$L26:$EQ26)</f>
        <v>0</v>
      </c>
      <c r="DQ21" s="171">
        <f>SUMIF('CF(M)'!$L$11:$EQ$11,DQ$6,'CF(M)'!$L26:$EQ26)</f>
        <v>0</v>
      </c>
      <c r="DR21" s="171">
        <f>SUMIF('CF(M)'!$L$11:$EQ$11,DR$6,'CF(M)'!$L26:$EQ26)</f>
        <v>0</v>
      </c>
      <c r="DS21" s="171">
        <f>SUMIF('CF(M)'!$L$11:$EQ$11,DS$6,'CF(M)'!$L26:$EQ26)</f>
        <v>0</v>
      </c>
      <c r="DT21" s="171">
        <f>SUMIF('CF(M)'!$L$11:$EQ$11,DT$6,'CF(M)'!$L26:$EQ26)</f>
        <v>0</v>
      </c>
      <c r="DU21" s="171">
        <f>SUMIF('CF(M)'!$L$11:$EQ$11,DU$6,'CF(M)'!$L26:$EQ26)</f>
        <v>0</v>
      </c>
      <c r="DV21" s="171">
        <f>SUMIF('CF(M)'!$L$11:$EQ$11,DV$6,'CF(M)'!$L26:$EQ26)</f>
        <v>0</v>
      </c>
    </row>
    <row r="22" spans="2:126" ht="11.25" customHeight="1">
      <c r="B22" s="218"/>
      <c r="C22" s="163"/>
      <c r="D22" s="169" t="s">
        <v>83</v>
      </c>
      <c r="H22" s="146"/>
      <c r="I22" s="13"/>
      <c r="J22" s="171">
        <f t="shared" ca="1" si="12"/>
        <v>-6789202.8330659661</v>
      </c>
      <c r="K22" s="98"/>
      <c r="L22" s="171">
        <f ca="1">SUMIF('CF(M)'!$L$11:$EQ$11,L$6,'CF(M)'!$L27:$EQ27)</f>
        <v>0</v>
      </c>
      <c r="M22" s="171">
        <f ca="1">SUMIF('CF(M)'!$L$11:$EQ$11,M$6,'CF(M)'!$L27:$EQ27)</f>
        <v>-742284.70000000007</v>
      </c>
      <c r="N22" s="171">
        <f ca="1">SUMIF('CF(M)'!$L$11:$EQ$11,N$6,'CF(M)'!$L27:$EQ27)</f>
        <v>-727439.00600000017</v>
      </c>
      <c r="O22" s="171">
        <f ca="1">SUMIF('CF(M)'!$L$11:$EQ$11,O$6,'CF(M)'!$L27:$EQ27)</f>
        <v>-712890.22587999993</v>
      </c>
      <c r="P22" s="171">
        <f ca="1">SUMIF('CF(M)'!$L$11:$EQ$11,P$6,'CF(M)'!$L27:$EQ27)</f>
        <v>-698632.42136240005</v>
      </c>
      <c r="Q22" s="171">
        <f ca="1">SUMIF('CF(M)'!$L$11:$EQ$11,Q$6,'CF(M)'!$L27:$EQ27)</f>
        <v>-684659.77293515205</v>
      </c>
      <c r="R22" s="171">
        <f ca="1">SUMIF('CF(M)'!$L$11:$EQ$11,R$6,'CF(M)'!$L27:$EQ27)</f>
        <v>-670966.57747644885</v>
      </c>
      <c r="S22" s="171">
        <f ca="1">SUMIF('CF(M)'!$L$11:$EQ$11,S$6,'CF(M)'!$L27:$EQ27)</f>
        <v>-657547.24592691998</v>
      </c>
      <c r="T22" s="171">
        <f ca="1">SUMIF('CF(M)'!$L$11:$EQ$11,T$6,'CF(M)'!$L27:$EQ27)</f>
        <v>-644396.30100838176</v>
      </c>
      <c r="U22" s="171">
        <f ca="1">SUMIF('CF(M)'!$L$11:$EQ$11,U$6,'CF(M)'!$L27:$EQ27)</f>
        <v>-631508.37498821388</v>
      </c>
      <c r="V22" s="171">
        <f ca="1">SUMIF('CF(M)'!$L$11:$EQ$11,V$6,'CF(M)'!$L27:$EQ27)</f>
        <v>-618878.20748844964</v>
      </c>
      <c r="W22" s="171">
        <f ca="1">SUMIF('CF(M)'!$L$11:$EQ$11,W$6,'CF(M)'!$L27:$EQ27)</f>
        <v>0</v>
      </c>
      <c r="X22" s="171">
        <f ca="1">SUMIF('CF(M)'!$L$11:$EQ$11,X$6,'CF(M)'!$L27:$EQ27)</f>
        <v>0</v>
      </c>
      <c r="Y22" s="171">
        <f>SUMIF('CF(M)'!$L$11:$EQ$11,Y$6,'CF(M)'!$L27:$EQ27)</f>
        <v>0</v>
      </c>
      <c r="Z22" s="171">
        <f>SUMIF('CF(M)'!$L$11:$EQ$11,Z$6,'CF(M)'!$L27:$EQ27)</f>
        <v>0</v>
      </c>
      <c r="AA22" s="171">
        <f>SUMIF('CF(M)'!$L$11:$EQ$11,AA$6,'CF(M)'!$L27:$EQ27)</f>
        <v>0</v>
      </c>
      <c r="AB22" s="171">
        <f>SUMIF('CF(M)'!$L$11:$EQ$11,AB$6,'CF(M)'!$L27:$EQ27)</f>
        <v>0</v>
      </c>
      <c r="AC22" s="171">
        <f>SUMIF('CF(M)'!$L$11:$EQ$11,AC$6,'CF(M)'!$L27:$EQ27)</f>
        <v>0</v>
      </c>
      <c r="AD22" s="171">
        <f>SUMIF('CF(M)'!$L$11:$EQ$11,AD$6,'CF(M)'!$L27:$EQ27)</f>
        <v>0</v>
      </c>
      <c r="AE22" s="171">
        <f>SUMIF('CF(M)'!$L$11:$EQ$11,AE$6,'CF(M)'!$L27:$EQ27)</f>
        <v>0</v>
      </c>
      <c r="AF22" s="171">
        <f>SUMIF('CF(M)'!$L$11:$EQ$11,AF$6,'CF(M)'!$L27:$EQ27)</f>
        <v>0</v>
      </c>
      <c r="AG22" s="171">
        <f>SUMIF('CF(M)'!$L$11:$EQ$11,AG$6,'CF(M)'!$L27:$EQ27)</f>
        <v>0</v>
      </c>
      <c r="AH22" s="171">
        <f>SUMIF('CF(M)'!$L$11:$EQ$11,AH$6,'CF(M)'!$L27:$EQ27)</f>
        <v>0</v>
      </c>
      <c r="AI22" s="171">
        <f>SUMIF('CF(M)'!$L$11:$EQ$11,AI$6,'CF(M)'!$L27:$EQ27)</f>
        <v>0</v>
      </c>
      <c r="AJ22" s="171">
        <f>SUMIF('CF(M)'!$L$11:$EQ$11,AJ$6,'CF(M)'!$L27:$EQ27)</f>
        <v>0</v>
      </c>
      <c r="AK22" s="171">
        <f>SUMIF('CF(M)'!$L$11:$EQ$11,AK$6,'CF(M)'!$L27:$EQ27)</f>
        <v>0</v>
      </c>
      <c r="AL22" s="171">
        <f>SUMIF('CF(M)'!$L$11:$EQ$11,AL$6,'CF(M)'!$L27:$EQ27)</f>
        <v>0</v>
      </c>
      <c r="AM22" s="171">
        <f>SUMIF('CF(M)'!$L$11:$EQ$11,AM$6,'CF(M)'!$L27:$EQ27)</f>
        <v>0</v>
      </c>
      <c r="AN22" s="171">
        <f>SUMIF('CF(M)'!$L$11:$EQ$11,AN$6,'CF(M)'!$L27:$EQ27)</f>
        <v>0</v>
      </c>
      <c r="AO22" s="171">
        <f>SUMIF('CF(M)'!$L$11:$EQ$11,AO$6,'CF(M)'!$L27:$EQ27)</f>
        <v>0</v>
      </c>
      <c r="AP22" s="171">
        <f>SUMIF('CF(M)'!$L$11:$EQ$11,AP$6,'CF(M)'!$L27:$EQ27)</f>
        <v>0</v>
      </c>
      <c r="AQ22" s="171">
        <f>SUMIF('CF(M)'!$L$11:$EQ$11,AQ$6,'CF(M)'!$L27:$EQ27)</f>
        <v>0</v>
      </c>
      <c r="AR22" s="171">
        <f>SUMIF('CF(M)'!$L$11:$EQ$11,AR$6,'CF(M)'!$L27:$EQ27)</f>
        <v>0</v>
      </c>
      <c r="AS22" s="171">
        <f>SUMIF('CF(M)'!$L$11:$EQ$11,AS$6,'CF(M)'!$L27:$EQ27)</f>
        <v>0</v>
      </c>
      <c r="AT22" s="171">
        <f>SUMIF('CF(M)'!$L$11:$EQ$11,AT$6,'CF(M)'!$L27:$EQ27)</f>
        <v>0</v>
      </c>
      <c r="AU22" s="171">
        <f>SUMIF('CF(M)'!$L$11:$EQ$11,AU$6,'CF(M)'!$L27:$EQ27)</f>
        <v>0</v>
      </c>
      <c r="AV22" s="171">
        <f>SUMIF('CF(M)'!$L$11:$EQ$11,AV$6,'CF(M)'!$L27:$EQ27)</f>
        <v>0</v>
      </c>
      <c r="AW22" s="171">
        <f>SUMIF('CF(M)'!$L$11:$EQ$11,AW$6,'CF(M)'!$L27:$EQ27)</f>
        <v>0</v>
      </c>
      <c r="AX22" s="171">
        <f>SUMIF('CF(M)'!$L$11:$EQ$11,AX$6,'CF(M)'!$L27:$EQ27)</f>
        <v>0</v>
      </c>
      <c r="AY22" s="171">
        <f>SUMIF('CF(M)'!$L$11:$EQ$11,AY$6,'CF(M)'!$L27:$EQ27)</f>
        <v>0</v>
      </c>
      <c r="AZ22" s="171">
        <f>SUMIF('CF(M)'!$L$11:$EQ$11,AZ$6,'CF(M)'!$L27:$EQ27)</f>
        <v>0</v>
      </c>
      <c r="BA22" s="171">
        <f>SUMIF('CF(M)'!$L$11:$EQ$11,BA$6,'CF(M)'!$L27:$EQ27)</f>
        <v>0</v>
      </c>
      <c r="BB22" s="171">
        <f>SUMIF('CF(M)'!$L$11:$EQ$11,BB$6,'CF(M)'!$L27:$EQ27)</f>
        <v>0</v>
      </c>
      <c r="BC22" s="171">
        <f>SUMIF('CF(M)'!$L$11:$EQ$11,BC$6,'CF(M)'!$L27:$EQ27)</f>
        <v>0</v>
      </c>
      <c r="BD22" s="171">
        <f>SUMIF('CF(M)'!$L$11:$EQ$11,BD$6,'CF(M)'!$L27:$EQ27)</f>
        <v>0</v>
      </c>
      <c r="BE22" s="171">
        <f>SUMIF('CF(M)'!$L$11:$EQ$11,BE$6,'CF(M)'!$L27:$EQ27)</f>
        <v>0</v>
      </c>
      <c r="BF22" s="171">
        <f>SUMIF('CF(M)'!$L$11:$EQ$11,BF$6,'CF(M)'!$L27:$EQ27)</f>
        <v>0</v>
      </c>
      <c r="BG22" s="171">
        <f>SUMIF('CF(M)'!$L$11:$EQ$11,BG$6,'CF(M)'!$L27:$EQ27)</f>
        <v>0</v>
      </c>
      <c r="BH22" s="171">
        <f>SUMIF('CF(M)'!$L$11:$EQ$11,BH$6,'CF(M)'!$L27:$EQ27)</f>
        <v>0</v>
      </c>
      <c r="BI22" s="171">
        <f>SUMIF('CF(M)'!$L$11:$EQ$11,BI$6,'CF(M)'!$L27:$EQ27)</f>
        <v>0</v>
      </c>
      <c r="BJ22" s="171">
        <f>SUMIF('CF(M)'!$L$11:$EQ$11,BJ$6,'CF(M)'!$L27:$EQ27)</f>
        <v>0</v>
      </c>
      <c r="BK22" s="171">
        <f>SUMIF('CF(M)'!$L$11:$EQ$11,BK$6,'CF(M)'!$L27:$EQ27)</f>
        <v>0</v>
      </c>
      <c r="BL22" s="171">
        <f>SUMIF('CF(M)'!$L$11:$EQ$11,BL$6,'CF(M)'!$L27:$EQ27)</f>
        <v>0</v>
      </c>
      <c r="BM22" s="171">
        <f>SUMIF('CF(M)'!$L$11:$EQ$11,BM$6,'CF(M)'!$L27:$EQ27)</f>
        <v>0</v>
      </c>
      <c r="BN22" s="171">
        <f>SUMIF('CF(M)'!$L$11:$EQ$11,BN$6,'CF(M)'!$L27:$EQ27)</f>
        <v>0</v>
      </c>
      <c r="BO22" s="171">
        <f>SUMIF('CF(M)'!$L$11:$EQ$11,BO$6,'CF(M)'!$L27:$EQ27)</f>
        <v>0</v>
      </c>
      <c r="BP22" s="171">
        <f>SUMIF('CF(M)'!$L$11:$EQ$11,BP$6,'CF(M)'!$L27:$EQ27)</f>
        <v>0</v>
      </c>
      <c r="BQ22" s="171">
        <f>SUMIF('CF(M)'!$L$11:$EQ$11,BQ$6,'CF(M)'!$L27:$EQ27)</f>
        <v>0</v>
      </c>
      <c r="BR22" s="171">
        <f>SUMIF('CF(M)'!$L$11:$EQ$11,BR$6,'CF(M)'!$L27:$EQ27)</f>
        <v>0</v>
      </c>
      <c r="BS22" s="171">
        <f>SUMIF('CF(M)'!$L$11:$EQ$11,BS$6,'CF(M)'!$L27:$EQ27)</f>
        <v>0</v>
      </c>
      <c r="BT22" s="171">
        <f>SUMIF('CF(M)'!$L$11:$EQ$11,BT$6,'CF(M)'!$L27:$EQ27)</f>
        <v>0</v>
      </c>
      <c r="BU22" s="171">
        <f>SUMIF('CF(M)'!$L$11:$EQ$11,BU$6,'CF(M)'!$L27:$EQ27)</f>
        <v>0</v>
      </c>
      <c r="BV22" s="171">
        <f>SUMIF('CF(M)'!$L$11:$EQ$11,BV$6,'CF(M)'!$L27:$EQ27)</f>
        <v>0</v>
      </c>
      <c r="BW22" s="171">
        <f>SUMIF('CF(M)'!$L$11:$EQ$11,BW$6,'CF(M)'!$L27:$EQ27)</f>
        <v>0</v>
      </c>
      <c r="BX22" s="171">
        <f>SUMIF('CF(M)'!$L$11:$EQ$11,BX$6,'CF(M)'!$L27:$EQ27)</f>
        <v>0</v>
      </c>
      <c r="BY22" s="171">
        <f>SUMIF('CF(M)'!$L$11:$EQ$11,BY$6,'CF(M)'!$L27:$EQ27)</f>
        <v>0</v>
      </c>
      <c r="BZ22" s="171">
        <f>SUMIF('CF(M)'!$L$11:$EQ$11,BZ$6,'CF(M)'!$L27:$EQ27)</f>
        <v>0</v>
      </c>
      <c r="CA22" s="171">
        <f>SUMIF('CF(M)'!$L$11:$EQ$11,CA$6,'CF(M)'!$L27:$EQ27)</f>
        <v>0</v>
      </c>
      <c r="CB22" s="171">
        <f>SUMIF('CF(M)'!$L$11:$EQ$11,CB$6,'CF(M)'!$L27:$EQ27)</f>
        <v>0</v>
      </c>
      <c r="CC22" s="171">
        <f>SUMIF('CF(M)'!$L$11:$EQ$11,CC$6,'CF(M)'!$L27:$EQ27)</f>
        <v>0</v>
      </c>
      <c r="CD22" s="171">
        <f>SUMIF('CF(M)'!$L$11:$EQ$11,CD$6,'CF(M)'!$L27:$EQ27)</f>
        <v>0</v>
      </c>
      <c r="CE22" s="171">
        <f>SUMIF('CF(M)'!$L$11:$EQ$11,CE$6,'CF(M)'!$L27:$EQ27)</f>
        <v>0</v>
      </c>
      <c r="CF22" s="171">
        <f>SUMIF('CF(M)'!$L$11:$EQ$11,CF$6,'CF(M)'!$L27:$EQ27)</f>
        <v>0</v>
      </c>
      <c r="CG22" s="171">
        <f>SUMIF('CF(M)'!$L$11:$EQ$11,CG$6,'CF(M)'!$L27:$EQ27)</f>
        <v>0</v>
      </c>
      <c r="CH22" s="171">
        <f>SUMIF('CF(M)'!$L$11:$EQ$11,CH$6,'CF(M)'!$L27:$EQ27)</f>
        <v>0</v>
      </c>
      <c r="CI22" s="171">
        <f>SUMIF('CF(M)'!$L$11:$EQ$11,CI$6,'CF(M)'!$L27:$EQ27)</f>
        <v>0</v>
      </c>
      <c r="CJ22" s="171">
        <f>SUMIF('CF(M)'!$L$11:$EQ$11,CJ$6,'CF(M)'!$L27:$EQ27)</f>
        <v>0</v>
      </c>
      <c r="CK22" s="171">
        <f>SUMIF('CF(M)'!$L$11:$EQ$11,CK$6,'CF(M)'!$L27:$EQ27)</f>
        <v>0</v>
      </c>
      <c r="CL22" s="171">
        <f>SUMIF('CF(M)'!$L$11:$EQ$11,CL$6,'CF(M)'!$L27:$EQ27)</f>
        <v>0</v>
      </c>
      <c r="CM22" s="171">
        <f>SUMIF('CF(M)'!$L$11:$EQ$11,CM$6,'CF(M)'!$L27:$EQ27)</f>
        <v>0</v>
      </c>
      <c r="CN22" s="171">
        <f>SUMIF('CF(M)'!$L$11:$EQ$11,CN$6,'CF(M)'!$L27:$EQ27)</f>
        <v>0</v>
      </c>
      <c r="CO22" s="171">
        <f>SUMIF('CF(M)'!$L$11:$EQ$11,CO$6,'CF(M)'!$L27:$EQ27)</f>
        <v>0</v>
      </c>
      <c r="CP22" s="171">
        <f>SUMIF('CF(M)'!$L$11:$EQ$11,CP$6,'CF(M)'!$L27:$EQ27)</f>
        <v>0</v>
      </c>
      <c r="CQ22" s="171">
        <f>SUMIF('CF(M)'!$L$11:$EQ$11,CQ$6,'CF(M)'!$L27:$EQ27)</f>
        <v>0</v>
      </c>
      <c r="CR22" s="171">
        <f>SUMIF('CF(M)'!$L$11:$EQ$11,CR$6,'CF(M)'!$L27:$EQ27)</f>
        <v>0</v>
      </c>
      <c r="CS22" s="171">
        <f>SUMIF('CF(M)'!$L$11:$EQ$11,CS$6,'CF(M)'!$L27:$EQ27)</f>
        <v>0</v>
      </c>
      <c r="CT22" s="171">
        <f>SUMIF('CF(M)'!$L$11:$EQ$11,CT$6,'CF(M)'!$L27:$EQ27)</f>
        <v>0</v>
      </c>
      <c r="CU22" s="171">
        <f>SUMIF('CF(M)'!$L$11:$EQ$11,CU$6,'CF(M)'!$L27:$EQ27)</f>
        <v>0</v>
      </c>
      <c r="CV22" s="171">
        <f>SUMIF('CF(M)'!$L$11:$EQ$11,CV$6,'CF(M)'!$L27:$EQ27)</f>
        <v>0</v>
      </c>
      <c r="CW22" s="171">
        <f>SUMIF('CF(M)'!$L$11:$EQ$11,CW$6,'CF(M)'!$L27:$EQ27)</f>
        <v>0</v>
      </c>
      <c r="CX22" s="171">
        <f>SUMIF('CF(M)'!$L$11:$EQ$11,CX$6,'CF(M)'!$L27:$EQ27)</f>
        <v>0</v>
      </c>
      <c r="CY22" s="171">
        <f>SUMIF('CF(M)'!$L$11:$EQ$11,CY$6,'CF(M)'!$L27:$EQ27)</f>
        <v>0</v>
      </c>
      <c r="CZ22" s="171">
        <f>SUMIF('CF(M)'!$L$11:$EQ$11,CZ$6,'CF(M)'!$L27:$EQ27)</f>
        <v>0</v>
      </c>
      <c r="DA22" s="171">
        <f>SUMIF('CF(M)'!$L$11:$EQ$11,DA$6,'CF(M)'!$L27:$EQ27)</f>
        <v>0</v>
      </c>
      <c r="DB22" s="171">
        <f>SUMIF('CF(M)'!$L$11:$EQ$11,DB$6,'CF(M)'!$L27:$EQ27)</f>
        <v>0</v>
      </c>
      <c r="DC22" s="171">
        <f>SUMIF('CF(M)'!$L$11:$EQ$11,DC$6,'CF(M)'!$L27:$EQ27)</f>
        <v>0</v>
      </c>
      <c r="DD22" s="171">
        <f>SUMIF('CF(M)'!$L$11:$EQ$11,DD$6,'CF(M)'!$L27:$EQ27)</f>
        <v>0</v>
      </c>
      <c r="DE22" s="171">
        <f>SUMIF('CF(M)'!$L$11:$EQ$11,DE$6,'CF(M)'!$L27:$EQ27)</f>
        <v>0</v>
      </c>
      <c r="DF22" s="171">
        <f>SUMIF('CF(M)'!$L$11:$EQ$11,DF$6,'CF(M)'!$L27:$EQ27)</f>
        <v>0</v>
      </c>
      <c r="DG22" s="171">
        <f>SUMIF('CF(M)'!$L$11:$EQ$11,DG$6,'CF(M)'!$L27:$EQ27)</f>
        <v>0</v>
      </c>
      <c r="DH22" s="171">
        <f>SUMIF('CF(M)'!$L$11:$EQ$11,DH$6,'CF(M)'!$L27:$EQ27)</f>
        <v>0</v>
      </c>
      <c r="DI22" s="171">
        <f>SUMIF('CF(M)'!$L$11:$EQ$11,DI$6,'CF(M)'!$L27:$EQ27)</f>
        <v>0</v>
      </c>
      <c r="DJ22" s="171">
        <f>SUMIF('CF(M)'!$L$11:$EQ$11,DJ$6,'CF(M)'!$L27:$EQ27)</f>
        <v>0</v>
      </c>
      <c r="DK22" s="171">
        <f>SUMIF('CF(M)'!$L$11:$EQ$11,DK$6,'CF(M)'!$L27:$EQ27)</f>
        <v>0</v>
      </c>
      <c r="DL22" s="171">
        <f>SUMIF('CF(M)'!$L$11:$EQ$11,DL$6,'CF(M)'!$L27:$EQ27)</f>
        <v>0</v>
      </c>
      <c r="DM22" s="171">
        <f>SUMIF('CF(M)'!$L$11:$EQ$11,DM$6,'CF(M)'!$L27:$EQ27)</f>
        <v>0</v>
      </c>
      <c r="DN22" s="171">
        <f>SUMIF('CF(M)'!$L$11:$EQ$11,DN$6,'CF(M)'!$L27:$EQ27)</f>
        <v>0</v>
      </c>
      <c r="DO22" s="171">
        <f>SUMIF('CF(M)'!$L$11:$EQ$11,DO$6,'CF(M)'!$L27:$EQ27)</f>
        <v>0</v>
      </c>
      <c r="DP22" s="171">
        <f>SUMIF('CF(M)'!$L$11:$EQ$11,DP$6,'CF(M)'!$L27:$EQ27)</f>
        <v>0</v>
      </c>
      <c r="DQ22" s="171">
        <f>SUMIF('CF(M)'!$L$11:$EQ$11,DQ$6,'CF(M)'!$L27:$EQ27)</f>
        <v>0</v>
      </c>
      <c r="DR22" s="171">
        <f>SUMIF('CF(M)'!$L$11:$EQ$11,DR$6,'CF(M)'!$L27:$EQ27)</f>
        <v>0</v>
      </c>
      <c r="DS22" s="171">
        <f>SUMIF('CF(M)'!$L$11:$EQ$11,DS$6,'CF(M)'!$L27:$EQ27)</f>
        <v>0</v>
      </c>
      <c r="DT22" s="171">
        <f>SUMIF('CF(M)'!$L$11:$EQ$11,DT$6,'CF(M)'!$L27:$EQ27)</f>
        <v>0</v>
      </c>
      <c r="DU22" s="171">
        <f>SUMIF('CF(M)'!$L$11:$EQ$11,DU$6,'CF(M)'!$L27:$EQ27)</f>
        <v>0</v>
      </c>
      <c r="DV22" s="171">
        <f>SUMIF('CF(M)'!$L$11:$EQ$11,DV$6,'CF(M)'!$L27:$EQ27)</f>
        <v>0</v>
      </c>
    </row>
    <row r="23" spans="2:126" ht="11.25" customHeight="1">
      <c r="B23" s="218"/>
      <c r="C23" s="163"/>
      <c r="D23" s="169" t="s">
        <v>86</v>
      </c>
      <c r="H23" s="146"/>
      <c r="I23" s="13"/>
      <c r="J23" s="171">
        <f t="shared" si="12"/>
        <v>-2258398.7897160524</v>
      </c>
      <c r="K23" s="98"/>
      <c r="L23" s="171">
        <f>SUMIF('CF(M)'!$L$11:$EQ$11,L$6,'CF(M)'!$L28:$EQ28)</f>
        <v>0</v>
      </c>
      <c r="M23" s="171">
        <f>SUMIF('CF(M)'!$L$11:$EQ$11,M$6,'CF(M)'!$L28:$EQ28)</f>
        <v>-154688.79000000004</v>
      </c>
      <c r="N23" s="171">
        <f>SUMIF('CF(M)'!$L$11:$EQ$11,N$6,'CF(M)'!$L28:$EQ28)</f>
        <v>-209345.49579999995</v>
      </c>
      <c r="O23" s="171">
        <f>SUMIF('CF(M)'!$L$11:$EQ$11,O$6,'CF(M)'!$L28:$EQ28)</f>
        <v>-213532.40571599995</v>
      </c>
      <c r="P23" s="171">
        <f>SUMIF('CF(M)'!$L$11:$EQ$11,P$6,'CF(M)'!$L28:$EQ28)</f>
        <v>-217803.05383031996</v>
      </c>
      <c r="Q23" s="171">
        <f>SUMIF('CF(M)'!$L$11:$EQ$11,Q$6,'CF(M)'!$L28:$EQ28)</f>
        <v>-222159.11490692641</v>
      </c>
      <c r="R23" s="171">
        <f>SUMIF('CF(M)'!$L$11:$EQ$11,R$6,'CF(M)'!$L28:$EQ28)</f>
        <v>-226602.29720506494</v>
      </c>
      <c r="S23" s="171">
        <f>SUMIF('CF(M)'!$L$11:$EQ$11,S$6,'CF(M)'!$L28:$EQ28)</f>
        <v>-231134.34314916629</v>
      </c>
      <c r="T23" s="171">
        <f>SUMIF('CF(M)'!$L$11:$EQ$11,T$6,'CF(M)'!$L28:$EQ28)</f>
        <v>-235757.03001214948</v>
      </c>
      <c r="U23" s="171">
        <f>SUMIF('CF(M)'!$L$11:$EQ$11,U$6,'CF(M)'!$L28:$EQ28)</f>
        <v>-240472.17061239254</v>
      </c>
      <c r="V23" s="171">
        <f>SUMIF('CF(M)'!$L$11:$EQ$11,V$6,'CF(M)'!$L28:$EQ28)</f>
        <v>-306904.08848403284</v>
      </c>
      <c r="W23" s="171">
        <f>SUMIF('CF(M)'!$L$11:$EQ$11,W$6,'CF(M)'!$L28:$EQ28)</f>
        <v>0</v>
      </c>
      <c r="X23" s="171">
        <f>SUMIF('CF(M)'!$L$11:$EQ$11,X$6,'CF(M)'!$L28:$EQ28)</f>
        <v>0</v>
      </c>
      <c r="Y23" s="171">
        <f>SUMIF('CF(M)'!$L$11:$EQ$11,Y$6,'CF(M)'!$L28:$EQ28)</f>
        <v>0</v>
      </c>
      <c r="Z23" s="171">
        <f>SUMIF('CF(M)'!$L$11:$EQ$11,Z$6,'CF(M)'!$L28:$EQ28)</f>
        <v>0</v>
      </c>
      <c r="AA23" s="171">
        <f>SUMIF('CF(M)'!$L$11:$EQ$11,AA$6,'CF(M)'!$L28:$EQ28)</f>
        <v>0</v>
      </c>
      <c r="AB23" s="171">
        <f>SUMIF('CF(M)'!$L$11:$EQ$11,AB$6,'CF(M)'!$L28:$EQ28)</f>
        <v>0</v>
      </c>
      <c r="AC23" s="171">
        <f>SUMIF('CF(M)'!$L$11:$EQ$11,AC$6,'CF(M)'!$L28:$EQ28)</f>
        <v>0</v>
      </c>
      <c r="AD23" s="171">
        <f>SUMIF('CF(M)'!$L$11:$EQ$11,AD$6,'CF(M)'!$L28:$EQ28)</f>
        <v>0</v>
      </c>
      <c r="AE23" s="171">
        <f>SUMIF('CF(M)'!$L$11:$EQ$11,AE$6,'CF(M)'!$L28:$EQ28)</f>
        <v>0</v>
      </c>
      <c r="AF23" s="171">
        <f>SUMIF('CF(M)'!$L$11:$EQ$11,AF$6,'CF(M)'!$L28:$EQ28)</f>
        <v>0</v>
      </c>
      <c r="AG23" s="171">
        <f>SUMIF('CF(M)'!$L$11:$EQ$11,AG$6,'CF(M)'!$L28:$EQ28)</f>
        <v>0</v>
      </c>
      <c r="AH23" s="171">
        <f>SUMIF('CF(M)'!$L$11:$EQ$11,AH$6,'CF(M)'!$L28:$EQ28)</f>
        <v>0</v>
      </c>
      <c r="AI23" s="171">
        <f>SUMIF('CF(M)'!$L$11:$EQ$11,AI$6,'CF(M)'!$L28:$EQ28)</f>
        <v>0</v>
      </c>
      <c r="AJ23" s="171">
        <f>SUMIF('CF(M)'!$L$11:$EQ$11,AJ$6,'CF(M)'!$L28:$EQ28)</f>
        <v>0</v>
      </c>
      <c r="AK23" s="171">
        <f>SUMIF('CF(M)'!$L$11:$EQ$11,AK$6,'CF(M)'!$L28:$EQ28)</f>
        <v>0</v>
      </c>
      <c r="AL23" s="171">
        <f>SUMIF('CF(M)'!$L$11:$EQ$11,AL$6,'CF(M)'!$L28:$EQ28)</f>
        <v>0</v>
      </c>
      <c r="AM23" s="171">
        <f>SUMIF('CF(M)'!$L$11:$EQ$11,AM$6,'CF(M)'!$L28:$EQ28)</f>
        <v>0</v>
      </c>
      <c r="AN23" s="171">
        <f>SUMIF('CF(M)'!$L$11:$EQ$11,AN$6,'CF(M)'!$L28:$EQ28)</f>
        <v>0</v>
      </c>
      <c r="AO23" s="171">
        <f>SUMIF('CF(M)'!$L$11:$EQ$11,AO$6,'CF(M)'!$L28:$EQ28)</f>
        <v>0</v>
      </c>
      <c r="AP23" s="171">
        <f>SUMIF('CF(M)'!$L$11:$EQ$11,AP$6,'CF(M)'!$L28:$EQ28)</f>
        <v>0</v>
      </c>
      <c r="AQ23" s="171">
        <f>SUMIF('CF(M)'!$L$11:$EQ$11,AQ$6,'CF(M)'!$L28:$EQ28)</f>
        <v>0</v>
      </c>
      <c r="AR23" s="171">
        <f>SUMIF('CF(M)'!$L$11:$EQ$11,AR$6,'CF(M)'!$L28:$EQ28)</f>
        <v>0</v>
      </c>
      <c r="AS23" s="171">
        <f>SUMIF('CF(M)'!$L$11:$EQ$11,AS$6,'CF(M)'!$L28:$EQ28)</f>
        <v>0</v>
      </c>
      <c r="AT23" s="171">
        <f>SUMIF('CF(M)'!$L$11:$EQ$11,AT$6,'CF(M)'!$L28:$EQ28)</f>
        <v>0</v>
      </c>
      <c r="AU23" s="171">
        <f>SUMIF('CF(M)'!$L$11:$EQ$11,AU$6,'CF(M)'!$L28:$EQ28)</f>
        <v>0</v>
      </c>
      <c r="AV23" s="171">
        <f>SUMIF('CF(M)'!$L$11:$EQ$11,AV$6,'CF(M)'!$L28:$EQ28)</f>
        <v>0</v>
      </c>
      <c r="AW23" s="171">
        <f>SUMIF('CF(M)'!$L$11:$EQ$11,AW$6,'CF(M)'!$L28:$EQ28)</f>
        <v>0</v>
      </c>
      <c r="AX23" s="171">
        <f>SUMIF('CF(M)'!$L$11:$EQ$11,AX$6,'CF(M)'!$L28:$EQ28)</f>
        <v>0</v>
      </c>
      <c r="AY23" s="171">
        <f>SUMIF('CF(M)'!$L$11:$EQ$11,AY$6,'CF(M)'!$L28:$EQ28)</f>
        <v>0</v>
      </c>
      <c r="AZ23" s="171">
        <f>SUMIF('CF(M)'!$L$11:$EQ$11,AZ$6,'CF(M)'!$L28:$EQ28)</f>
        <v>0</v>
      </c>
      <c r="BA23" s="171">
        <f>SUMIF('CF(M)'!$L$11:$EQ$11,BA$6,'CF(M)'!$L28:$EQ28)</f>
        <v>0</v>
      </c>
      <c r="BB23" s="171">
        <f>SUMIF('CF(M)'!$L$11:$EQ$11,BB$6,'CF(M)'!$L28:$EQ28)</f>
        <v>0</v>
      </c>
      <c r="BC23" s="171">
        <f>SUMIF('CF(M)'!$L$11:$EQ$11,BC$6,'CF(M)'!$L28:$EQ28)</f>
        <v>0</v>
      </c>
      <c r="BD23" s="171">
        <f>SUMIF('CF(M)'!$L$11:$EQ$11,BD$6,'CF(M)'!$L28:$EQ28)</f>
        <v>0</v>
      </c>
      <c r="BE23" s="171">
        <f>SUMIF('CF(M)'!$L$11:$EQ$11,BE$6,'CF(M)'!$L28:$EQ28)</f>
        <v>0</v>
      </c>
      <c r="BF23" s="171">
        <f>SUMIF('CF(M)'!$L$11:$EQ$11,BF$6,'CF(M)'!$L28:$EQ28)</f>
        <v>0</v>
      </c>
      <c r="BG23" s="171">
        <f>SUMIF('CF(M)'!$L$11:$EQ$11,BG$6,'CF(M)'!$L28:$EQ28)</f>
        <v>0</v>
      </c>
      <c r="BH23" s="171">
        <f>SUMIF('CF(M)'!$L$11:$EQ$11,BH$6,'CF(M)'!$L28:$EQ28)</f>
        <v>0</v>
      </c>
      <c r="BI23" s="171">
        <f>SUMIF('CF(M)'!$L$11:$EQ$11,BI$6,'CF(M)'!$L28:$EQ28)</f>
        <v>0</v>
      </c>
      <c r="BJ23" s="171">
        <f>SUMIF('CF(M)'!$L$11:$EQ$11,BJ$6,'CF(M)'!$L28:$EQ28)</f>
        <v>0</v>
      </c>
      <c r="BK23" s="171">
        <f>SUMIF('CF(M)'!$L$11:$EQ$11,BK$6,'CF(M)'!$L28:$EQ28)</f>
        <v>0</v>
      </c>
      <c r="BL23" s="171">
        <f>SUMIF('CF(M)'!$L$11:$EQ$11,BL$6,'CF(M)'!$L28:$EQ28)</f>
        <v>0</v>
      </c>
      <c r="BM23" s="171">
        <f>SUMIF('CF(M)'!$L$11:$EQ$11,BM$6,'CF(M)'!$L28:$EQ28)</f>
        <v>0</v>
      </c>
      <c r="BN23" s="171">
        <f>SUMIF('CF(M)'!$L$11:$EQ$11,BN$6,'CF(M)'!$L28:$EQ28)</f>
        <v>0</v>
      </c>
      <c r="BO23" s="171">
        <f>SUMIF('CF(M)'!$L$11:$EQ$11,BO$6,'CF(M)'!$L28:$EQ28)</f>
        <v>0</v>
      </c>
      <c r="BP23" s="171">
        <f>SUMIF('CF(M)'!$L$11:$EQ$11,BP$6,'CF(M)'!$L28:$EQ28)</f>
        <v>0</v>
      </c>
      <c r="BQ23" s="171">
        <f>SUMIF('CF(M)'!$L$11:$EQ$11,BQ$6,'CF(M)'!$L28:$EQ28)</f>
        <v>0</v>
      </c>
      <c r="BR23" s="171">
        <f>SUMIF('CF(M)'!$L$11:$EQ$11,BR$6,'CF(M)'!$L28:$EQ28)</f>
        <v>0</v>
      </c>
      <c r="BS23" s="171">
        <f>SUMIF('CF(M)'!$L$11:$EQ$11,BS$6,'CF(M)'!$L28:$EQ28)</f>
        <v>0</v>
      </c>
      <c r="BT23" s="171">
        <f>SUMIF('CF(M)'!$L$11:$EQ$11,BT$6,'CF(M)'!$L28:$EQ28)</f>
        <v>0</v>
      </c>
      <c r="BU23" s="171">
        <f>SUMIF('CF(M)'!$L$11:$EQ$11,BU$6,'CF(M)'!$L28:$EQ28)</f>
        <v>0</v>
      </c>
      <c r="BV23" s="171">
        <f>SUMIF('CF(M)'!$L$11:$EQ$11,BV$6,'CF(M)'!$L28:$EQ28)</f>
        <v>0</v>
      </c>
      <c r="BW23" s="171">
        <f>SUMIF('CF(M)'!$L$11:$EQ$11,BW$6,'CF(M)'!$L28:$EQ28)</f>
        <v>0</v>
      </c>
      <c r="BX23" s="171">
        <f>SUMIF('CF(M)'!$L$11:$EQ$11,BX$6,'CF(M)'!$L28:$EQ28)</f>
        <v>0</v>
      </c>
      <c r="BY23" s="171">
        <f>SUMIF('CF(M)'!$L$11:$EQ$11,BY$6,'CF(M)'!$L28:$EQ28)</f>
        <v>0</v>
      </c>
      <c r="BZ23" s="171">
        <f>SUMIF('CF(M)'!$L$11:$EQ$11,BZ$6,'CF(M)'!$L28:$EQ28)</f>
        <v>0</v>
      </c>
      <c r="CA23" s="171">
        <f>SUMIF('CF(M)'!$L$11:$EQ$11,CA$6,'CF(M)'!$L28:$EQ28)</f>
        <v>0</v>
      </c>
      <c r="CB23" s="171">
        <f>SUMIF('CF(M)'!$L$11:$EQ$11,CB$6,'CF(M)'!$L28:$EQ28)</f>
        <v>0</v>
      </c>
      <c r="CC23" s="171">
        <f>SUMIF('CF(M)'!$L$11:$EQ$11,CC$6,'CF(M)'!$L28:$EQ28)</f>
        <v>0</v>
      </c>
      <c r="CD23" s="171">
        <f>SUMIF('CF(M)'!$L$11:$EQ$11,CD$6,'CF(M)'!$L28:$EQ28)</f>
        <v>0</v>
      </c>
      <c r="CE23" s="171">
        <f>SUMIF('CF(M)'!$L$11:$EQ$11,CE$6,'CF(M)'!$L28:$EQ28)</f>
        <v>0</v>
      </c>
      <c r="CF23" s="171">
        <f>SUMIF('CF(M)'!$L$11:$EQ$11,CF$6,'CF(M)'!$L28:$EQ28)</f>
        <v>0</v>
      </c>
      <c r="CG23" s="171">
        <f>SUMIF('CF(M)'!$L$11:$EQ$11,CG$6,'CF(M)'!$L28:$EQ28)</f>
        <v>0</v>
      </c>
      <c r="CH23" s="171">
        <f>SUMIF('CF(M)'!$L$11:$EQ$11,CH$6,'CF(M)'!$L28:$EQ28)</f>
        <v>0</v>
      </c>
      <c r="CI23" s="171">
        <f>SUMIF('CF(M)'!$L$11:$EQ$11,CI$6,'CF(M)'!$L28:$EQ28)</f>
        <v>0</v>
      </c>
      <c r="CJ23" s="171">
        <f>SUMIF('CF(M)'!$L$11:$EQ$11,CJ$6,'CF(M)'!$L28:$EQ28)</f>
        <v>0</v>
      </c>
      <c r="CK23" s="171">
        <f>SUMIF('CF(M)'!$L$11:$EQ$11,CK$6,'CF(M)'!$L28:$EQ28)</f>
        <v>0</v>
      </c>
      <c r="CL23" s="171">
        <f>SUMIF('CF(M)'!$L$11:$EQ$11,CL$6,'CF(M)'!$L28:$EQ28)</f>
        <v>0</v>
      </c>
      <c r="CM23" s="171">
        <f>SUMIF('CF(M)'!$L$11:$EQ$11,CM$6,'CF(M)'!$L28:$EQ28)</f>
        <v>0</v>
      </c>
      <c r="CN23" s="171">
        <f>SUMIF('CF(M)'!$L$11:$EQ$11,CN$6,'CF(M)'!$L28:$EQ28)</f>
        <v>0</v>
      </c>
      <c r="CO23" s="171">
        <f>SUMIF('CF(M)'!$L$11:$EQ$11,CO$6,'CF(M)'!$L28:$EQ28)</f>
        <v>0</v>
      </c>
      <c r="CP23" s="171">
        <f>SUMIF('CF(M)'!$L$11:$EQ$11,CP$6,'CF(M)'!$L28:$EQ28)</f>
        <v>0</v>
      </c>
      <c r="CQ23" s="171">
        <f>SUMIF('CF(M)'!$L$11:$EQ$11,CQ$6,'CF(M)'!$L28:$EQ28)</f>
        <v>0</v>
      </c>
      <c r="CR23" s="171">
        <f>SUMIF('CF(M)'!$L$11:$EQ$11,CR$6,'CF(M)'!$L28:$EQ28)</f>
        <v>0</v>
      </c>
      <c r="CS23" s="171">
        <f>SUMIF('CF(M)'!$L$11:$EQ$11,CS$6,'CF(M)'!$L28:$EQ28)</f>
        <v>0</v>
      </c>
      <c r="CT23" s="171">
        <f>SUMIF('CF(M)'!$L$11:$EQ$11,CT$6,'CF(M)'!$L28:$EQ28)</f>
        <v>0</v>
      </c>
      <c r="CU23" s="171">
        <f>SUMIF('CF(M)'!$L$11:$EQ$11,CU$6,'CF(M)'!$L28:$EQ28)</f>
        <v>0</v>
      </c>
      <c r="CV23" s="171">
        <f>SUMIF('CF(M)'!$L$11:$EQ$11,CV$6,'CF(M)'!$L28:$EQ28)</f>
        <v>0</v>
      </c>
      <c r="CW23" s="171">
        <f>SUMIF('CF(M)'!$L$11:$EQ$11,CW$6,'CF(M)'!$L28:$EQ28)</f>
        <v>0</v>
      </c>
      <c r="CX23" s="171">
        <f>SUMIF('CF(M)'!$L$11:$EQ$11,CX$6,'CF(M)'!$L28:$EQ28)</f>
        <v>0</v>
      </c>
      <c r="CY23" s="171">
        <f>SUMIF('CF(M)'!$L$11:$EQ$11,CY$6,'CF(M)'!$L28:$EQ28)</f>
        <v>0</v>
      </c>
      <c r="CZ23" s="171">
        <f>SUMIF('CF(M)'!$L$11:$EQ$11,CZ$6,'CF(M)'!$L28:$EQ28)</f>
        <v>0</v>
      </c>
      <c r="DA23" s="171">
        <f>SUMIF('CF(M)'!$L$11:$EQ$11,DA$6,'CF(M)'!$L28:$EQ28)</f>
        <v>0</v>
      </c>
      <c r="DB23" s="171">
        <f>SUMIF('CF(M)'!$L$11:$EQ$11,DB$6,'CF(M)'!$L28:$EQ28)</f>
        <v>0</v>
      </c>
      <c r="DC23" s="171">
        <f>SUMIF('CF(M)'!$L$11:$EQ$11,DC$6,'CF(M)'!$L28:$EQ28)</f>
        <v>0</v>
      </c>
      <c r="DD23" s="171">
        <f>SUMIF('CF(M)'!$L$11:$EQ$11,DD$6,'CF(M)'!$L28:$EQ28)</f>
        <v>0</v>
      </c>
      <c r="DE23" s="171">
        <f>SUMIF('CF(M)'!$L$11:$EQ$11,DE$6,'CF(M)'!$L28:$EQ28)</f>
        <v>0</v>
      </c>
      <c r="DF23" s="171">
        <f>SUMIF('CF(M)'!$L$11:$EQ$11,DF$6,'CF(M)'!$L28:$EQ28)</f>
        <v>0</v>
      </c>
      <c r="DG23" s="171">
        <f>SUMIF('CF(M)'!$L$11:$EQ$11,DG$6,'CF(M)'!$L28:$EQ28)</f>
        <v>0</v>
      </c>
      <c r="DH23" s="171">
        <f>SUMIF('CF(M)'!$L$11:$EQ$11,DH$6,'CF(M)'!$L28:$EQ28)</f>
        <v>0</v>
      </c>
      <c r="DI23" s="171">
        <f>SUMIF('CF(M)'!$L$11:$EQ$11,DI$6,'CF(M)'!$L28:$EQ28)</f>
        <v>0</v>
      </c>
      <c r="DJ23" s="171">
        <f>SUMIF('CF(M)'!$L$11:$EQ$11,DJ$6,'CF(M)'!$L28:$EQ28)</f>
        <v>0</v>
      </c>
      <c r="DK23" s="171">
        <f>SUMIF('CF(M)'!$L$11:$EQ$11,DK$6,'CF(M)'!$L28:$EQ28)</f>
        <v>0</v>
      </c>
      <c r="DL23" s="171">
        <f>SUMIF('CF(M)'!$L$11:$EQ$11,DL$6,'CF(M)'!$L28:$EQ28)</f>
        <v>0</v>
      </c>
      <c r="DM23" s="171">
        <f>SUMIF('CF(M)'!$L$11:$EQ$11,DM$6,'CF(M)'!$L28:$EQ28)</f>
        <v>0</v>
      </c>
      <c r="DN23" s="171">
        <f>SUMIF('CF(M)'!$L$11:$EQ$11,DN$6,'CF(M)'!$L28:$EQ28)</f>
        <v>0</v>
      </c>
      <c r="DO23" s="171">
        <f>SUMIF('CF(M)'!$L$11:$EQ$11,DO$6,'CF(M)'!$L28:$EQ28)</f>
        <v>0</v>
      </c>
      <c r="DP23" s="171">
        <f>SUMIF('CF(M)'!$L$11:$EQ$11,DP$6,'CF(M)'!$L28:$EQ28)</f>
        <v>0</v>
      </c>
      <c r="DQ23" s="171">
        <f>SUMIF('CF(M)'!$L$11:$EQ$11,DQ$6,'CF(M)'!$L28:$EQ28)</f>
        <v>0</v>
      </c>
      <c r="DR23" s="171">
        <f>SUMIF('CF(M)'!$L$11:$EQ$11,DR$6,'CF(M)'!$L28:$EQ28)</f>
        <v>0</v>
      </c>
      <c r="DS23" s="171">
        <f>SUMIF('CF(M)'!$L$11:$EQ$11,DS$6,'CF(M)'!$L28:$EQ28)</f>
        <v>0</v>
      </c>
      <c r="DT23" s="171">
        <f>SUMIF('CF(M)'!$L$11:$EQ$11,DT$6,'CF(M)'!$L28:$EQ28)</f>
        <v>0</v>
      </c>
      <c r="DU23" s="171">
        <f>SUMIF('CF(M)'!$L$11:$EQ$11,DU$6,'CF(M)'!$L28:$EQ28)</f>
        <v>0</v>
      </c>
      <c r="DV23" s="171">
        <f>SUMIF('CF(M)'!$L$11:$EQ$11,DV$6,'CF(M)'!$L28:$EQ28)</f>
        <v>0</v>
      </c>
    </row>
    <row r="24" spans="2:126" ht="11.25" customHeight="1">
      <c r="B24" s="218"/>
      <c r="C24" s="163"/>
      <c r="D24" s="169" t="s">
        <v>138</v>
      </c>
      <c r="H24" s="146"/>
      <c r="I24" s="13"/>
      <c r="J24" s="171">
        <f t="shared" si="12"/>
        <v>-1412997.0011594817</v>
      </c>
      <c r="K24" s="98"/>
      <c r="L24" s="171">
        <f>SUMIF('CF(M)'!$L$11:$EQ$11,L$6,'CF(M)'!$L29:$EQ29)</f>
        <v>0</v>
      </c>
      <c r="M24" s="171">
        <f>SUMIF('CF(M)'!$L$11:$EQ$11,M$6,'CF(M)'!$L29:$EQ29)</f>
        <v>-21507.351666666666</v>
      </c>
      <c r="N24" s="171">
        <f>SUMIF('CF(M)'!$L$11:$EQ$11,N$6,'CF(M)'!$L29:$EQ29)</f>
        <v>-129474.25703333331</v>
      </c>
      <c r="O24" s="171">
        <f>SUMIF('CF(M)'!$L$11:$EQ$11,O$6,'CF(M)'!$L29:$EQ29)</f>
        <v>-132063.74217399998</v>
      </c>
      <c r="P24" s="171">
        <f>SUMIF('CF(M)'!$L$11:$EQ$11,P$6,'CF(M)'!$L29:$EQ29)</f>
        <v>-134705.01701747999</v>
      </c>
      <c r="Q24" s="171">
        <f>SUMIF('CF(M)'!$L$11:$EQ$11,Q$6,'CF(M)'!$L29:$EQ29)</f>
        <v>-137399.11735782961</v>
      </c>
      <c r="R24" s="171">
        <f>SUMIF('CF(M)'!$L$11:$EQ$11,R$6,'CF(M)'!$L29:$EQ29)</f>
        <v>-140147.09970498618</v>
      </c>
      <c r="S24" s="171">
        <f>SUMIF('CF(M)'!$L$11:$EQ$11,S$6,'CF(M)'!$L29:$EQ29)</f>
        <v>-142950.04169908594</v>
      </c>
      <c r="T24" s="171">
        <f>SUMIF('CF(M)'!$L$11:$EQ$11,T$6,'CF(M)'!$L29:$EQ29)</f>
        <v>-145809.04253306764</v>
      </c>
      <c r="U24" s="171">
        <f>SUMIF('CF(M)'!$L$11:$EQ$11,U$6,'CF(M)'!$L29:$EQ29)</f>
        <v>-148725.22338372894</v>
      </c>
      <c r="V24" s="171">
        <f>SUMIF('CF(M)'!$L$11:$EQ$11,V$6,'CF(M)'!$L29:$EQ29)</f>
        <v>-280216.10858930356</v>
      </c>
      <c r="W24" s="171">
        <f>SUMIF('CF(M)'!$L$11:$EQ$11,W$6,'CF(M)'!$L29:$EQ29)</f>
        <v>0</v>
      </c>
      <c r="X24" s="171">
        <f>SUMIF('CF(M)'!$L$11:$EQ$11,X$6,'CF(M)'!$L29:$EQ29)</f>
        <v>0</v>
      </c>
      <c r="Y24" s="171">
        <f>SUMIF('CF(M)'!$L$11:$EQ$11,Y$6,'CF(M)'!$L29:$EQ29)</f>
        <v>0</v>
      </c>
      <c r="Z24" s="171">
        <f>SUMIF('CF(M)'!$L$11:$EQ$11,Z$6,'CF(M)'!$L29:$EQ29)</f>
        <v>0</v>
      </c>
      <c r="AA24" s="171">
        <f>SUMIF('CF(M)'!$L$11:$EQ$11,AA$6,'CF(M)'!$L29:$EQ29)</f>
        <v>0</v>
      </c>
      <c r="AB24" s="171">
        <f>SUMIF('CF(M)'!$L$11:$EQ$11,AB$6,'CF(M)'!$L29:$EQ29)</f>
        <v>0</v>
      </c>
      <c r="AC24" s="171">
        <f>SUMIF('CF(M)'!$L$11:$EQ$11,AC$6,'CF(M)'!$L29:$EQ29)</f>
        <v>0</v>
      </c>
      <c r="AD24" s="171">
        <f>SUMIF('CF(M)'!$L$11:$EQ$11,AD$6,'CF(M)'!$L29:$EQ29)</f>
        <v>0</v>
      </c>
      <c r="AE24" s="171">
        <f>SUMIF('CF(M)'!$L$11:$EQ$11,AE$6,'CF(M)'!$L29:$EQ29)</f>
        <v>0</v>
      </c>
      <c r="AF24" s="171">
        <f>SUMIF('CF(M)'!$L$11:$EQ$11,AF$6,'CF(M)'!$L29:$EQ29)</f>
        <v>0</v>
      </c>
      <c r="AG24" s="171">
        <f>SUMIF('CF(M)'!$L$11:$EQ$11,AG$6,'CF(M)'!$L29:$EQ29)</f>
        <v>0</v>
      </c>
      <c r="AH24" s="171">
        <f>SUMIF('CF(M)'!$L$11:$EQ$11,AH$6,'CF(M)'!$L29:$EQ29)</f>
        <v>0</v>
      </c>
      <c r="AI24" s="171">
        <f>SUMIF('CF(M)'!$L$11:$EQ$11,AI$6,'CF(M)'!$L29:$EQ29)</f>
        <v>0</v>
      </c>
      <c r="AJ24" s="171">
        <f>SUMIF('CF(M)'!$L$11:$EQ$11,AJ$6,'CF(M)'!$L29:$EQ29)</f>
        <v>0</v>
      </c>
      <c r="AK24" s="171">
        <f>SUMIF('CF(M)'!$L$11:$EQ$11,AK$6,'CF(M)'!$L29:$EQ29)</f>
        <v>0</v>
      </c>
      <c r="AL24" s="171">
        <f>SUMIF('CF(M)'!$L$11:$EQ$11,AL$6,'CF(M)'!$L29:$EQ29)</f>
        <v>0</v>
      </c>
      <c r="AM24" s="171">
        <f>SUMIF('CF(M)'!$L$11:$EQ$11,AM$6,'CF(M)'!$L29:$EQ29)</f>
        <v>0</v>
      </c>
      <c r="AN24" s="171">
        <f>SUMIF('CF(M)'!$L$11:$EQ$11,AN$6,'CF(M)'!$L29:$EQ29)</f>
        <v>0</v>
      </c>
      <c r="AO24" s="171">
        <f>SUMIF('CF(M)'!$L$11:$EQ$11,AO$6,'CF(M)'!$L29:$EQ29)</f>
        <v>0</v>
      </c>
      <c r="AP24" s="171">
        <f>SUMIF('CF(M)'!$L$11:$EQ$11,AP$6,'CF(M)'!$L29:$EQ29)</f>
        <v>0</v>
      </c>
      <c r="AQ24" s="171">
        <f>SUMIF('CF(M)'!$L$11:$EQ$11,AQ$6,'CF(M)'!$L29:$EQ29)</f>
        <v>0</v>
      </c>
      <c r="AR24" s="171">
        <f>SUMIF('CF(M)'!$L$11:$EQ$11,AR$6,'CF(M)'!$L29:$EQ29)</f>
        <v>0</v>
      </c>
      <c r="AS24" s="171">
        <f>SUMIF('CF(M)'!$L$11:$EQ$11,AS$6,'CF(M)'!$L29:$EQ29)</f>
        <v>0</v>
      </c>
      <c r="AT24" s="171">
        <f>SUMIF('CF(M)'!$L$11:$EQ$11,AT$6,'CF(M)'!$L29:$EQ29)</f>
        <v>0</v>
      </c>
      <c r="AU24" s="171">
        <f>SUMIF('CF(M)'!$L$11:$EQ$11,AU$6,'CF(M)'!$L29:$EQ29)</f>
        <v>0</v>
      </c>
      <c r="AV24" s="171">
        <f>SUMIF('CF(M)'!$L$11:$EQ$11,AV$6,'CF(M)'!$L29:$EQ29)</f>
        <v>0</v>
      </c>
      <c r="AW24" s="171">
        <f>SUMIF('CF(M)'!$L$11:$EQ$11,AW$6,'CF(M)'!$L29:$EQ29)</f>
        <v>0</v>
      </c>
      <c r="AX24" s="171">
        <f>SUMIF('CF(M)'!$L$11:$EQ$11,AX$6,'CF(M)'!$L29:$EQ29)</f>
        <v>0</v>
      </c>
      <c r="AY24" s="171">
        <f>SUMIF('CF(M)'!$L$11:$EQ$11,AY$6,'CF(M)'!$L29:$EQ29)</f>
        <v>0</v>
      </c>
      <c r="AZ24" s="171">
        <f>SUMIF('CF(M)'!$L$11:$EQ$11,AZ$6,'CF(M)'!$L29:$EQ29)</f>
        <v>0</v>
      </c>
      <c r="BA24" s="171">
        <f>SUMIF('CF(M)'!$L$11:$EQ$11,BA$6,'CF(M)'!$L29:$EQ29)</f>
        <v>0</v>
      </c>
      <c r="BB24" s="171">
        <f>SUMIF('CF(M)'!$L$11:$EQ$11,BB$6,'CF(M)'!$L29:$EQ29)</f>
        <v>0</v>
      </c>
      <c r="BC24" s="171">
        <f>SUMIF('CF(M)'!$L$11:$EQ$11,BC$6,'CF(M)'!$L29:$EQ29)</f>
        <v>0</v>
      </c>
      <c r="BD24" s="171">
        <f>SUMIF('CF(M)'!$L$11:$EQ$11,BD$6,'CF(M)'!$L29:$EQ29)</f>
        <v>0</v>
      </c>
      <c r="BE24" s="171">
        <f>SUMIF('CF(M)'!$L$11:$EQ$11,BE$6,'CF(M)'!$L29:$EQ29)</f>
        <v>0</v>
      </c>
      <c r="BF24" s="171">
        <f>SUMIF('CF(M)'!$L$11:$EQ$11,BF$6,'CF(M)'!$L29:$EQ29)</f>
        <v>0</v>
      </c>
      <c r="BG24" s="171">
        <f>SUMIF('CF(M)'!$L$11:$EQ$11,BG$6,'CF(M)'!$L29:$EQ29)</f>
        <v>0</v>
      </c>
      <c r="BH24" s="171">
        <f>SUMIF('CF(M)'!$L$11:$EQ$11,BH$6,'CF(M)'!$L29:$EQ29)</f>
        <v>0</v>
      </c>
      <c r="BI24" s="171">
        <f>SUMIF('CF(M)'!$L$11:$EQ$11,BI$6,'CF(M)'!$L29:$EQ29)</f>
        <v>0</v>
      </c>
      <c r="BJ24" s="171">
        <f>SUMIF('CF(M)'!$L$11:$EQ$11,BJ$6,'CF(M)'!$L29:$EQ29)</f>
        <v>0</v>
      </c>
      <c r="BK24" s="171">
        <f>SUMIF('CF(M)'!$L$11:$EQ$11,BK$6,'CF(M)'!$L29:$EQ29)</f>
        <v>0</v>
      </c>
      <c r="BL24" s="171">
        <f>SUMIF('CF(M)'!$L$11:$EQ$11,BL$6,'CF(M)'!$L29:$EQ29)</f>
        <v>0</v>
      </c>
      <c r="BM24" s="171">
        <f>SUMIF('CF(M)'!$L$11:$EQ$11,BM$6,'CF(M)'!$L29:$EQ29)</f>
        <v>0</v>
      </c>
      <c r="BN24" s="171">
        <f>SUMIF('CF(M)'!$L$11:$EQ$11,BN$6,'CF(M)'!$L29:$EQ29)</f>
        <v>0</v>
      </c>
      <c r="BO24" s="171">
        <f>SUMIF('CF(M)'!$L$11:$EQ$11,BO$6,'CF(M)'!$L29:$EQ29)</f>
        <v>0</v>
      </c>
      <c r="BP24" s="171">
        <f>SUMIF('CF(M)'!$L$11:$EQ$11,BP$6,'CF(M)'!$L29:$EQ29)</f>
        <v>0</v>
      </c>
      <c r="BQ24" s="171">
        <f>SUMIF('CF(M)'!$L$11:$EQ$11,BQ$6,'CF(M)'!$L29:$EQ29)</f>
        <v>0</v>
      </c>
      <c r="BR24" s="171">
        <f>SUMIF('CF(M)'!$L$11:$EQ$11,BR$6,'CF(M)'!$L29:$EQ29)</f>
        <v>0</v>
      </c>
      <c r="BS24" s="171">
        <f>SUMIF('CF(M)'!$L$11:$EQ$11,BS$6,'CF(M)'!$L29:$EQ29)</f>
        <v>0</v>
      </c>
      <c r="BT24" s="171">
        <f>SUMIF('CF(M)'!$L$11:$EQ$11,BT$6,'CF(M)'!$L29:$EQ29)</f>
        <v>0</v>
      </c>
      <c r="BU24" s="171">
        <f>SUMIF('CF(M)'!$L$11:$EQ$11,BU$6,'CF(M)'!$L29:$EQ29)</f>
        <v>0</v>
      </c>
      <c r="BV24" s="171">
        <f>SUMIF('CF(M)'!$L$11:$EQ$11,BV$6,'CF(M)'!$L29:$EQ29)</f>
        <v>0</v>
      </c>
      <c r="BW24" s="171">
        <f>SUMIF('CF(M)'!$L$11:$EQ$11,BW$6,'CF(M)'!$L29:$EQ29)</f>
        <v>0</v>
      </c>
      <c r="BX24" s="171">
        <f>SUMIF('CF(M)'!$L$11:$EQ$11,BX$6,'CF(M)'!$L29:$EQ29)</f>
        <v>0</v>
      </c>
      <c r="BY24" s="171">
        <f>SUMIF('CF(M)'!$L$11:$EQ$11,BY$6,'CF(M)'!$L29:$EQ29)</f>
        <v>0</v>
      </c>
      <c r="BZ24" s="171">
        <f>SUMIF('CF(M)'!$L$11:$EQ$11,BZ$6,'CF(M)'!$L29:$EQ29)</f>
        <v>0</v>
      </c>
      <c r="CA24" s="171">
        <f>SUMIF('CF(M)'!$L$11:$EQ$11,CA$6,'CF(M)'!$L29:$EQ29)</f>
        <v>0</v>
      </c>
      <c r="CB24" s="171">
        <f>SUMIF('CF(M)'!$L$11:$EQ$11,CB$6,'CF(M)'!$L29:$EQ29)</f>
        <v>0</v>
      </c>
      <c r="CC24" s="171">
        <f>SUMIF('CF(M)'!$L$11:$EQ$11,CC$6,'CF(M)'!$L29:$EQ29)</f>
        <v>0</v>
      </c>
      <c r="CD24" s="171">
        <f>SUMIF('CF(M)'!$L$11:$EQ$11,CD$6,'CF(M)'!$L29:$EQ29)</f>
        <v>0</v>
      </c>
      <c r="CE24" s="171">
        <f>SUMIF('CF(M)'!$L$11:$EQ$11,CE$6,'CF(M)'!$L29:$EQ29)</f>
        <v>0</v>
      </c>
      <c r="CF24" s="171">
        <f>SUMIF('CF(M)'!$L$11:$EQ$11,CF$6,'CF(M)'!$L29:$EQ29)</f>
        <v>0</v>
      </c>
      <c r="CG24" s="171">
        <f>SUMIF('CF(M)'!$L$11:$EQ$11,CG$6,'CF(M)'!$L29:$EQ29)</f>
        <v>0</v>
      </c>
      <c r="CH24" s="171">
        <f>SUMIF('CF(M)'!$L$11:$EQ$11,CH$6,'CF(M)'!$L29:$EQ29)</f>
        <v>0</v>
      </c>
      <c r="CI24" s="171">
        <f>SUMIF('CF(M)'!$L$11:$EQ$11,CI$6,'CF(M)'!$L29:$EQ29)</f>
        <v>0</v>
      </c>
      <c r="CJ24" s="171">
        <f>SUMIF('CF(M)'!$L$11:$EQ$11,CJ$6,'CF(M)'!$L29:$EQ29)</f>
        <v>0</v>
      </c>
      <c r="CK24" s="171">
        <f>SUMIF('CF(M)'!$L$11:$EQ$11,CK$6,'CF(M)'!$L29:$EQ29)</f>
        <v>0</v>
      </c>
      <c r="CL24" s="171">
        <f>SUMIF('CF(M)'!$L$11:$EQ$11,CL$6,'CF(M)'!$L29:$EQ29)</f>
        <v>0</v>
      </c>
      <c r="CM24" s="171">
        <f>SUMIF('CF(M)'!$L$11:$EQ$11,CM$6,'CF(M)'!$L29:$EQ29)</f>
        <v>0</v>
      </c>
      <c r="CN24" s="171">
        <f>SUMIF('CF(M)'!$L$11:$EQ$11,CN$6,'CF(M)'!$L29:$EQ29)</f>
        <v>0</v>
      </c>
      <c r="CO24" s="171">
        <f>SUMIF('CF(M)'!$L$11:$EQ$11,CO$6,'CF(M)'!$L29:$EQ29)</f>
        <v>0</v>
      </c>
      <c r="CP24" s="171">
        <f>SUMIF('CF(M)'!$L$11:$EQ$11,CP$6,'CF(M)'!$L29:$EQ29)</f>
        <v>0</v>
      </c>
      <c r="CQ24" s="171">
        <f>SUMIF('CF(M)'!$L$11:$EQ$11,CQ$6,'CF(M)'!$L29:$EQ29)</f>
        <v>0</v>
      </c>
      <c r="CR24" s="171">
        <f>SUMIF('CF(M)'!$L$11:$EQ$11,CR$6,'CF(M)'!$L29:$EQ29)</f>
        <v>0</v>
      </c>
      <c r="CS24" s="171">
        <f>SUMIF('CF(M)'!$L$11:$EQ$11,CS$6,'CF(M)'!$L29:$EQ29)</f>
        <v>0</v>
      </c>
      <c r="CT24" s="171">
        <f>SUMIF('CF(M)'!$L$11:$EQ$11,CT$6,'CF(M)'!$L29:$EQ29)</f>
        <v>0</v>
      </c>
      <c r="CU24" s="171">
        <f>SUMIF('CF(M)'!$L$11:$EQ$11,CU$6,'CF(M)'!$L29:$EQ29)</f>
        <v>0</v>
      </c>
      <c r="CV24" s="171">
        <f>SUMIF('CF(M)'!$L$11:$EQ$11,CV$6,'CF(M)'!$L29:$EQ29)</f>
        <v>0</v>
      </c>
      <c r="CW24" s="171">
        <f>SUMIF('CF(M)'!$L$11:$EQ$11,CW$6,'CF(M)'!$L29:$EQ29)</f>
        <v>0</v>
      </c>
      <c r="CX24" s="171">
        <f>SUMIF('CF(M)'!$L$11:$EQ$11,CX$6,'CF(M)'!$L29:$EQ29)</f>
        <v>0</v>
      </c>
      <c r="CY24" s="171">
        <f>SUMIF('CF(M)'!$L$11:$EQ$11,CY$6,'CF(M)'!$L29:$EQ29)</f>
        <v>0</v>
      </c>
      <c r="CZ24" s="171">
        <f>SUMIF('CF(M)'!$L$11:$EQ$11,CZ$6,'CF(M)'!$L29:$EQ29)</f>
        <v>0</v>
      </c>
      <c r="DA24" s="171">
        <f>SUMIF('CF(M)'!$L$11:$EQ$11,DA$6,'CF(M)'!$L29:$EQ29)</f>
        <v>0</v>
      </c>
      <c r="DB24" s="171">
        <f>SUMIF('CF(M)'!$L$11:$EQ$11,DB$6,'CF(M)'!$L29:$EQ29)</f>
        <v>0</v>
      </c>
      <c r="DC24" s="171">
        <f>SUMIF('CF(M)'!$L$11:$EQ$11,DC$6,'CF(M)'!$L29:$EQ29)</f>
        <v>0</v>
      </c>
      <c r="DD24" s="171">
        <f>SUMIF('CF(M)'!$L$11:$EQ$11,DD$6,'CF(M)'!$L29:$EQ29)</f>
        <v>0</v>
      </c>
      <c r="DE24" s="171">
        <f>SUMIF('CF(M)'!$L$11:$EQ$11,DE$6,'CF(M)'!$L29:$EQ29)</f>
        <v>0</v>
      </c>
      <c r="DF24" s="171">
        <f>SUMIF('CF(M)'!$L$11:$EQ$11,DF$6,'CF(M)'!$L29:$EQ29)</f>
        <v>0</v>
      </c>
      <c r="DG24" s="171">
        <f>SUMIF('CF(M)'!$L$11:$EQ$11,DG$6,'CF(M)'!$L29:$EQ29)</f>
        <v>0</v>
      </c>
      <c r="DH24" s="171">
        <f>SUMIF('CF(M)'!$L$11:$EQ$11,DH$6,'CF(M)'!$L29:$EQ29)</f>
        <v>0</v>
      </c>
      <c r="DI24" s="171">
        <f>SUMIF('CF(M)'!$L$11:$EQ$11,DI$6,'CF(M)'!$L29:$EQ29)</f>
        <v>0</v>
      </c>
      <c r="DJ24" s="171">
        <f>SUMIF('CF(M)'!$L$11:$EQ$11,DJ$6,'CF(M)'!$L29:$EQ29)</f>
        <v>0</v>
      </c>
      <c r="DK24" s="171">
        <f>SUMIF('CF(M)'!$L$11:$EQ$11,DK$6,'CF(M)'!$L29:$EQ29)</f>
        <v>0</v>
      </c>
      <c r="DL24" s="171">
        <f>SUMIF('CF(M)'!$L$11:$EQ$11,DL$6,'CF(M)'!$L29:$EQ29)</f>
        <v>0</v>
      </c>
      <c r="DM24" s="171">
        <f>SUMIF('CF(M)'!$L$11:$EQ$11,DM$6,'CF(M)'!$L29:$EQ29)</f>
        <v>0</v>
      </c>
      <c r="DN24" s="171">
        <f>SUMIF('CF(M)'!$L$11:$EQ$11,DN$6,'CF(M)'!$L29:$EQ29)</f>
        <v>0</v>
      </c>
      <c r="DO24" s="171">
        <f>SUMIF('CF(M)'!$L$11:$EQ$11,DO$6,'CF(M)'!$L29:$EQ29)</f>
        <v>0</v>
      </c>
      <c r="DP24" s="171">
        <f>SUMIF('CF(M)'!$L$11:$EQ$11,DP$6,'CF(M)'!$L29:$EQ29)</f>
        <v>0</v>
      </c>
      <c r="DQ24" s="171">
        <f>SUMIF('CF(M)'!$L$11:$EQ$11,DQ$6,'CF(M)'!$L29:$EQ29)</f>
        <v>0</v>
      </c>
      <c r="DR24" s="171">
        <f>SUMIF('CF(M)'!$L$11:$EQ$11,DR$6,'CF(M)'!$L29:$EQ29)</f>
        <v>0</v>
      </c>
      <c r="DS24" s="171">
        <f>SUMIF('CF(M)'!$L$11:$EQ$11,DS$6,'CF(M)'!$L29:$EQ29)</f>
        <v>0</v>
      </c>
      <c r="DT24" s="171">
        <f>SUMIF('CF(M)'!$L$11:$EQ$11,DT$6,'CF(M)'!$L29:$EQ29)</f>
        <v>0</v>
      </c>
      <c r="DU24" s="171">
        <f>SUMIF('CF(M)'!$L$11:$EQ$11,DU$6,'CF(M)'!$L29:$EQ29)</f>
        <v>0</v>
      </c>
      <c r="DV24" s="171">
        <f>SUMIF('CF(M)'!$L$11:$EQ$11,DV$6,'CF(M)'!$L29:$EQ29)</f>
        <v>0</v>
      </c>
    </row>
    <row r="25" spans="2:126" ht="11.25" customHeight="1">
      <c r="B25" s="218"/>
      <c r="C25" s="163"/>
      <c r="D25" s="169" t="s">
        <v>92</v>
      </c>
      <c r="H25" s="146"/>
      <c r="I25" s="13"/>
      <c r="J25" s="171">
        <f t="shared" si="12"/>
        <v>-3686229.9268934703</v>
      </c>
      <c r="K25" s="98"/>
      <c r="L25" s="171">
        <f>SUMIF('CF(M)'!$L$11:$EQ$11,L$6,'CF(M)'!$L30:$EQ30)</f>
        <v>0</v>
      </c>
      <c r="M25" s="171">
        <f>SUMIF('CF(M)'!$L$11:$EQ$11,M$6,'CF(M)'!$L30:$EQ30)</f>
        <v>-361344.7016666666</v>
      </c>
      <c r="N25" s="171">
        <f>SUMIF('CF(M)'!$L$11:$EQ$11,N$6,'CF(M)'!$L30:$EQ30)</f>
        <v>-388774.04947499995</v>
      </c>
      <c r="O25" s="171">
        <f>SUMIF('CF(M)'!$L$11:$EQ$11,O$6,'CF(M)'!$L30:$EQ30)</f>
        <v>-382942.43873287499</v>
      </c>
      <c r="P25" s="171">
        <f>SUMIF('CF(M)'!$L$11:$EQ$11,P$6,'CF(M)'!$L30:$EQ30)</f>
        <v>-377198.30215188186</v>
      </c>
      <c r="Q25" s="171">
        <f>SUMIF('CF(M)'!$L$11:$EQ$11,Q$6,'CF(M)'!$L30:$EQ30)</f>
        <v>-371540.3276196036</v>
      </c>
      <c r="R25" s="171">
        <f>SUMIF('CF(M)'!$L$11:$EQ$11,R$6,'CF(M)'!$L30:$EQ30)</f>
        <v>-365967.22270530969</v>
      </c>
      <c r="S25" s="171">
        <f>SUMIF('CF(M)'!$L$11:$EQ$11,S$6,'CF(M)'!$L30:$EQ30)</f>
        <v>-360477.71436473</v>
      </c>
      <c r="T25" s="171">
        <f>SUMIF('CF(M)'!$L$11:$EQ$11,T$6,'CF(M)'!$L30:$EQ30)</f>
        <v>-355070.54864925909</v>
      </c>
      <c r="U25" s="171">
        <f>SUMIF('CF(M)'!$L$11:$EQ$11,U$6,'CF(M)'!$L30:$EQ30)</f>
        <v>-349744.49041952012</v>
      </c>
      <c r="V25" s="171">
        <f>SUMIF('CF(M)'!$L$11:$EQ$11,V$6,'CF(M)'!$L30:$EQ30)</f>
        <v>-373170.13110862474</v>
      </c>
      <c r="W25" s="171">
        <f>SUMIF('CF(M)'!$L$11:$EQ$11,W$6,'CF(M)'!$L30:$EQ30)</f>
        <v>0</v>
      </c>
      <c r="X25" s="171">
        <f>SUMIF('CF(M)'!$L$11:$EQ$11,X$6,'CF(M)'!$L30:$EQ30)</f>
        <v>0</v>
      </c>
      <c r="Y25" s="171">
        <f>SUMIF('CF(M)'!$L$11:$EQ$11,Y$6,'CF(M)'!$L30:$EQ30)</f>
        <v>0</v>
      </c>
      <c r="Z25" s="171">
        <f>SUMIF('CF(M)'!$L$11:$EQ$11,Z$6,'CF(M)'!$L30:$EQ30)</f>
        <v>0</v>
      </c>
      <c r="AA25" s="171">
        <f>SUMIF('CF(M)'!$L$11:$EQ$11,AA$6,'CF(M)'!$L30:$EQ30)</f>
        <v>0</v>
      </c>
      <c r="AB25" s="171">
        <f>SUMIF('CF(M)'!$L$11:$EQ$11,AB$6,'CF(M)'!$L30:$EQ30)</f>
        <v>0</v>
      </c>
      <c r="AC25" s="171">
        <f>SUMIF('CF(M)'!$L$11:$EQ$11,AC$6,'CF(M)'!$L30:$EQ30)</f>
        <v>0</v>
      </c>
      <c r="AD25" s="171">
        <f>SUMIF('CF(M)'!$L$11:$EQ$11,AD$6,'CF(M)'!$L30:$EQ30)</f>
        <v>0</v>
      </c>
      <c r="AE25" s="171">
        <f>SUMIF('CF(M)'!$L$11:$EQ$11,AE$6,'CF(M)'!$L30:$EQ30)</f>
        <v>0</v>
      </c>
      <c r="AF25" s="171">
        <f>SUMIF('CF(M)'!$L$11:$EQ$11,AF$6,'CF(M)'!$L30:$EQ30)</f>
        <v>0</v>
      </c>
      <c r="AG25" s="171">
        <f>SUMIF('CF(M)'!$L$11:$EQ$11,AG$6,'CF(M)'!$L30:$EQ30)</f>
        <v>0</v>
      </c>
      <c r="AH25" s="171">
        <f>SUMIF('CF(M)'!$L$11:$EQ$11,AH$6,'CF(M)'!$L30:$EQ30)</f>
        <v>0</v>
      </c>
      <c r="AI25" s="171">
        <f>SUMIF('CF(M)'!$L$11:$EQ$11,AI$6,'CF(M)'!$L30:$EQ30)</f>
        <v>0</v>
      </c>
      <c r="AJ25" s="171">
        <f>SUMIF('CF(M)'!$L$11:$EQ$11,AJ$6,'CF(M)'!$L30:$EQ30)</f>
        <v>0</v>
      </c>
      <c r="AK25" s="171">
        <f>SUMIF('CF(M)'!$L$11:$EQ$11,AK$6,'CF(M)'!$L30:$EQ30)</f>
        <v>0</v>
      </c>
      <c r="AL25" s="171">
        <f>SUMIF('CF(M)'!$L$11:$EQ$11,AL$6,'CF(M)'!$L30:$EQ30)</f>
        <v>0</v>
      </c>
      <c r="AM25" s="171">
        <f>SUMIF('CF(M)'!$L$11:$EQ$11,AM$6,'CF(M)'!$L30:$EQ30)</f>
        <v>0</v>
      </c>
      <c r="AN25" s="171">
        <f>SUMIF('CF(M)'!$L$11:$EQ$11,AN$6,'CF(M)'!$L30:$EQ30)</f>
        <v>0</v>
      </c>
      <c r="AO25" s="171">
        <f>SUMIF('CF(M)'!$L$11:$EQ$11,AO$6,'CF(M)'!$L30:$EQ30)</f>
        <v>0</v>
      </c>
      <c r="AP25" s="171">
        <f>SUMIF('CF(M)'!$L$11:$EQ$11,AP$6,'CF(M)'!$L30:$EQ30)</f>
        <v>0</v>
      </c>
      <c r="AQ25" s="171">
        <f>SUMIF('CF(M)'!$L$11:$EQ$11,AQ$6,'CF(M)'!$L30:$EQ30)</f>
        <v>0</v>
      </c>
      <c r="AR25" s="171">
        <f>SUMIF('CF(M)'!$L$11:$EQ$11,AR$6,'CF(M)'!$L30:$EQ30)</f>
        <v>0</v>
      </c>
      <c r="AS25" s="171">
        <f>SUMIF('CF(M)'!$L$11:$EQ$11,AS$6,'CF(M)'!$L30:$EQ30)</f>
        <v>0</v>
      </c>
      <c r="AT25" s="171">
        <f>SUMIF('CF(M)'!$L$11:$EQ$11,AT$6,'CF(M)'!$L30:$EQ30)</f>
        <v>0</v>
      </c>
      <c r="AU25" s="171">
        <f>SUMIF('CF(M)'!$L$11:$EQ$11,AU$6,'CF(M)'!$L30:$EQ30)</f>
        <v>0</v>
      </c>
      <c r="AV25" s="171">
        <f>SUMIF('CF(M)'!$L$11:$EQ$11,AV$6,'CF(M)'!$L30:$EQ30)</f>
        <v>0</v>
      </c>
      <c r="AW25" s="171">
        <f>SUMIF('CF(M)'!$L$11:$EQ$11,AW$6,'CF(M)'!$L30:$EQ30)</f>
        <v>0</v>
      </c>
      <c r="AX25" s="171">
        <f>SUMIF('CF(M)'!$L$11:$EQ$11,AX$6,'CF(M)'!$L30:$EQ30)</f>
        <v>0</v>
      </c>
      <c r="AY25" s="171">
        <f>SUMIF('CF(M)'!$L$11:$EQ$11,AY$6,'CF(M)'!$L30:$EQ30)</f>
        <v>0</v>
      </c>
      <c r="AZ25" s="171">
        <f>SUMIF('CF(M)'!$L$11:$EQ$11,AZ$6,'CF(M)'!$L30:$EQ30)</f>
        <v>0</v>
      </c>
      <c r="BA25" s="171">
        <f>SUMIF('CF(M)'!$L$11:$EQ$11,BA$6,'CF(M)'!$L30:$EQ30)</f>
        <v>0</v>
      </c>
      <c r="BB25" s="171">
        <f>SUMIF('CF(M)'!$L$11:$EQ$11,BB$6,'CF(M)'!$L30:$EQ30)</f>
        <v>0</v>
      </c>
      <c r="BC25" s="171">
        <f>SUMIF('CF(M)'!$L$11:$EQ$11,BC$6,'CF(M)'!$L30:$EQ30)</f>
        <v>0</v>
      </c>
      <c r="BD25" s="171">
        <f>SUMIF('CF(M)'!$L$11:$EQ$11,BD$6,'CF(M)'!$L30:$EQ30)</f>
        <v>0</v>
      </c>
      <c r="BE25" s="171">
        <f>SUMIF('CF(M)'!$L$11:$EQ$11,BE$6,'CF(M)'!$L30:$EQ30)</f>
        <v>0</v>
      </c>
      <c r="BF25" s="171">
        <f>SUMIF('CF(M)'!$L$11:$EQ$11,BF$6,'CF(M)'!$L30:$EQ30)</f>
        <v>0</v>
      </c>
      <c r="BG25" s="171">
        <f>SUMIF('CF(M)'!$L$11:$EQ$11,BG$6,'CF(M)'!$L30:$EQ30)</f>
        <v>0</v>
      </c>
      <c r="BH25" s="171">
        <f>SUMIF('CF(M)'!$L$11:$EQ$11,BH$6,'CF(M)'!$L30:$EQ30)</f>
        <v>0</v>
      </c>
      <c r="BI25" s="171">
        <f>SUMIF('CF(M)'!$L$11:$EQ$11,BI$6,'CF(M)'!$L30:$EQ30)</f>
        <v>0</v>
      </c>
      <c r="BJ25" s="171">
        <f>SUMIF('CF(M)'!$L$11:$EQ$11,BJ$6,'CF(M)'!$L30:$EQ30)</f>
        <v>0</v>
      </c>
      <c r="BK25" s="171">
        <f>SUMIF('CF(M)'!$L$11:$EQ$11,BK$6,'CF(M)'!$L30:$EQ30)</f>
        <v>0</v>
      </c>
      <c r="BL25" s="171">
        <f>SUMIF('CF(M)'!$L$11:$EQ$11,BL$6,'CF(M)'!$L30:$EQ30)</f>
        <v>0</v>
      </c>
      <c r="BM25" s="171">
        <f>SUMIF('CF(M)'!$L$11:$EQ$11,BM$6,'CF(M)'!$L30:$EQ30)</f>
        <v>0</v>
      </c>
      <c r="BN25" s="171">
        <f>SUMIF('CF(M)'!$L$11:$EQ$11,BN$6,'CF(M)'!$L30:$EQ30)</f>
        <v>0</v>
      </c>
      <c r="BO25" s="171">
        <f>SUMIF('CF(M)'!$L$11:$EQ$11,BO$6,'CF(M)'!$L30:$EQ30)</f>
        <v>0</v>
      </c>
      <c r="BP25" s="171">
        <f>SUMIF('CF(M)'!$L$11:$EQ$11,BP$6,'CF(M)'!$L30:$EQ30)</f>
        <v>0</v>
      </c>
      <c r="BQ25" s="171">
        <f>SUMIF('CF(M)'!$L$11:$EQ$11,BQ$6,'CF(M)'!$L30:$EQ30)</f>
        <v>0</v>
      </c>
      <c r="BR25" s="171">
        <f>SUMIF('CF(M)'!$L$11:$EQ$11,BR$6,'CF(M)'!$L30:$EQ30)</f>
        <v>0</v>
      </c>
      <c r="BS25" s="171">
        <f>SUMIF('CF(M)'!$L$11:$EQ$11,BS$6,'CF(M)'!$L30:$EQ30)</f>
        <v>0</v>
      </c>
      <c r="BT25" s="171">
        <f>SUMIF('CF(M)'!$L$11:$EQ$11,BT$6,'CF(M)'!$L30:$EQ30)</f>
        <v>0</v>
      </c>
      <c r="BU25" s="171">
        <f>SUMIF('CF(M)'!$L$11:$EQ$11,BU$6,'CF(M)'!$L30:$EQ30)</f>
        <v>0</v>
      </c>
      <c r="BV25" s="171">
        <f>SUMIF('CF(M)'!$L$11:$EQ$11,BV$6,'CF(M)'!$L30:$EQ30)</f>
        <v>0</v>
      </c>
      <c r="BW25" s="171">
        <f>SUMIF('CF(M)'!$L$11:$EQ$11,BW$6,'CF(M)'!$L30:$EQ30)</f>
        <v>0</v>
      </c>
      <c r="BX25" s="171">
        <f>SUMIF('CF(M)'!$L$11:$EQ$11,BX$6,'CF(M)'!$L30:$EQ30)</f>
        <v>0</v>
      </c>
      <c r="BY25" s="171">
        <f>SUMIF('CF(M)'!$L$11:$EQ$11,BY$6,'CF(M)'!$L30:$EQ30)</f>
        <v>0</v>
      </c>
      <c r="BZ25" s="171">
        <f>SUMIF('CF(M)'!$L$11:$EQ$11,BZ$6,'CF(M)'!$L30:$EQ30)</f>
        <v>0</v>
      </c>
      <c r="CA25" s="171">
        <f>SUMIF('CF(M)'!$L$11:$EQ$11,CA$6,'CF(M)'!$L30:$EQ30)</f>
        <v>0</v>
      </c>
      <c r="CB25" s="171">
        <f>SUMIF('CF(M)'!$L$11:$EQ$11,CB$6,'CF(M)'!$L30:$EQ30)</f>
        <v>0</v>
      </c>
      <c r="CC25" s="171">
        <f>SUMIF('CF(M)'!$L$11:$EQ$11,CC$6,'CF(M)'!$L30:$EQ30)</f>
        <v>0</v>
      </c>
      <c r="CD25" s="171">
        <f>SUMIF('CF(M)'!$L$11:$EQ$11,CD$6,'CF(M)'!$L30:$EQ30)</f>
        <v>0</v>
      </c>
      <c r="CE25" s="171">
        <f>SUMIF('CF(M)'!$L$11:$EQ$11,CE$6,'CF(M)'!$L30:$EQ30)</f>
        <v>0</v>
      </c>
      <c r="CF25" s="171">
        <f>SUMIF('CF(M)'!$L$11:$EQ$11,CF$6,'CF(M)'!$L30:$EQ30)</f>
        <v>0</v>
      </c>
      <c r="CG25" s="171">
        <f>SUMIF('CF(M)'!$L$11:$EQ$11,CG$6,'CF(M)'!$L30:$EQ30)</f>
        <v>0</v>
      </c>
      <c r="CH25" s="171">
        <f>SUMIF('CF(M)'!$L$11:$EQ$11,CH$6,'CF(M)'!$L30:$EQ30)</f>
        <v>0</v>
      </c>
      <c r="CI25" s="171">
        <f>SUMIF('CF(M)'!$L$11:$EQ$11,CI$6,'CF(M)'!$L30:$EQ30)</f>
        <v>0</v>
      </c>
      <c r="CJ25" s="171">
        <f>SUMIF('CF(M)'!$L$11:$EQ$11,CJ$6,'CF(M)'!$L30:$EQ30)</f>
        <v>0</v>
      </c>
      <c r="CK25" s="171">
        <f>SUMIF('CF(M)'!$L$11:$EQ$11,CK$6,'CF(M)'!$L30:$EQ30)</f>
        <v>0</v>
      </c>
      <c r="CL25" s="171">
        <f>SUMIF('CF(M)'!$L$11:$EQ$11,CL$6,'CF(M)'!$L30:$EQ30)</f>
        <v>0</v>
      </c>
      <c r="CM25" s="171">
        <f>SUMIF('CF(M)'!$L$11:$EQ$11,CM$6,'CF(M)'!$L30:$EQ30)</f>
        <v>0</v>
      </c>
      <c r="CN25" s="171">
        <f>SUMIF('CF(M)'!$L$11:$EQ$11,CN$6,'CF(M)'!$L30:$EQ30)</f>
        <v>0</v>
      </c>
      <c r="CO25" s="171">
        <f>SUMIF('CF(M)'!$L$11:$EQ$11,CO$6,'CF(M)'!$L30:$EQ30)</f>
        <v>0</v>
      </c>
      <c r="CP25" s="171">
        <f>SUMIF('CF(M)'!$L$11:$EQ$11,CP$6,'CF(M)'!$L30:$EQ30)</f>
        <v>0</v>
      </c>
      <c r="CQ25" s="171">
        <f>SUMIF('CF(M)'!$L$11:$EQ$11,CQ$6,'CF(M)'!$L30:$EQ30)</f>
        <v>0</v>
      </c>
      <c r="CR25" s="171">
        <f>SUMIF('CF(M)'!$L$11:$EQ$11,CR$6,'CF(M)'!$L30:$EQ30)</f>
        <v>0</v>
      </c>
      <c r="CS25" s="171">
        <f>SUMIF('CF(M)'!$L$11:$EQ$11,CS$6,'CF(M)'!$L30:$EQ30)</f>
        <v>0</v>
      </c>
      <c r="CT25" s="171">
        <f>SUMIF('CF(M)'!$L$11:$EQ$11,CT$6,'CF(M)'!$L30:$EQ30)</f>
        <v>0</v>
      </c>
      <c r="CU25" s="171">
        <f>SUMIF('CF(M)'!$L$11:$EQ$11,CU$6,'CF(M)'!$L30:$EQ30)</f>
        <v>0</v>
      </c>
      <c r="CV25" s="171">
        <f>SUMIF('CF(M)'!$L$11:$EQ$11,CV$6,'CF(M)'!$L30:$EQ30)</f>
        <v>0</v>
      </c>
      <c r="CW25" s="171">
        <f>SUMIF('CF(M)'!$L$11:$EQ$11,CW$6,'CF(M)'!$L30:$EQ30)</f>
        <v>0</v>
      </c>
      <c r="CX25" s="171">
        <f>SUMIF('CF(M)'!$L$11:$EQ$11,CX$6,'CF(M)'!$L30:$EQ30)</f>
        <v>0</v>
      </c>
      <c r="CY25" s="171">
        <f>SUMIF('CF(M)'!$L$11:$EQ$11,CY$6,'CF(M)'!$L30:$EQ30)</f>
        <v>0</v>
      </c>
      <c r="CZ25" s="171">
        <f>SUMIF('CF(M)'!$L$11:$EQ$11,CZ$6,'CF(M)'!$L30:$EQ30)</f>
        <v>0</v>
      </c>
      <c r="DA25" s="171">
        <f>SUMIF('CF(M)'!$L$11:$EQ$11,DA$6,'CF(M)'!$L30:$EQ30)</f>
        <v>0</v>
      </c>
      <c r="DB25" s="171">
        <f>SUMIF('CF(M)'!$L$11:$EQ$11,DB$6,'CF(M)'!$L30:$EQ30)</f>
        <v>0</v>
      </c>
      <c r="DC25" s="171">
        <f>SUMIF('CF(M)'!$L$11:$EQ$11,DC$6,'CF(M)'!$L30:$EQ30)</f>
        <v>0</v>
      </c>
      <c r="DD25" s="171">
        <f>SUMIF('CF(M)'!$L$11:$EQ$11,DD$6,'CF(M)'!$L30:$EQ30)</f>
        <v>0</v>
      </c>
      <c r="DE25" s="171">
        <f>SUMIF('CF(M)'!$L$11:$EQ$11,DE$6,'CF(M)'!$L30:$EQ30)</f>
        <v>0</v>
      </c>
      <c r="DF25" s="171">
        <f>SUMIF('CF(M)'!$L$11:$EQ$11,DF$6,'CF(M)'!$L30:$EQ30)</f>
        <v>0</v>
      </c>
      <c r="DG25" s="171">
        <f>SUMIF('CF(M)'!$L$11:$EQ$11,DG$6,'CF(M)'!$L30:$EQ30)</f>
        <v>0</v>
      </c>
      <c r="DH25" s="171">
        <f>SUMIF('CF(M)'!$L$11:$EQ$11,DH$6,'CF(M)'!$L30:$EQ30)</f>
        <v>0</v>
      </c>
      <c r="DI25" s="171">
        <f>SUMIF('CF(M)'!$L$11:$EQ$11,DI$6,'CF(M)'!$L30:$EQ30)</f>
        <v>0</v>
      </c>
      <c r="DJ25" s="171">
        <f>SUMIF('CF(M)'!$L$11:$EQ$11,DJ$6,'CF(M)'!$L30:$EQ30)</f>
        <v>0</v>
      </c>
      <c r="DK25" s="171">
        <f>SUMIF('CF(M)'!$L$11:$EQ$11,DK$6,'CF(M)'!$L30:$EQ30)</f>
        <v>0</v>
      </c>
      <c r="DL25" s="171">
        <f>SUMIF('CF(M)'!$L$11:$EQ$11,DL$6,'CF(M)'!$L30:$EQ30)</f>
        <v>0</v>
      </c>
      <c r="DM25" s="171">
        <f>SUMIF('CF(M)'!$L$11:$EQ$11,DM$6,'CF(M)'!$L30:$EQ30)</f>
        <v>0</v>
      </c>
      <c r="DN25" s="171">
        <f>SUMIF('CF(M)'!$L$11:$EQ$11,DN$6,'CF(M)'!$L30:$EQ30)</f>
        <v>0</v>
      </c>
      <c r="DO25" s="171">
        <f>SUMIF('CF(M)'!$L$11:$EQ$11,DO$6,'CF(M)'!$L30:$EQ30)</f>
        <v>0</v>
      </c>
      <c r="DP25" s="171">
        <f>SUMIF('CF(M)'!$L$11:$EQ$11,DP$6,'CF(M)'!$L30:$EQ30)</f>
        <v>0</v>
      </c>
      <c r="DQ25" s="171">
        <f>SUMIF('CF(M)'!$L$11:$EQ$11,DQ$6,'CF(M)'!$L30:$EQ30)</f>
        <v>0</v>
      </c>
      <c r="DR25" s="171">
        <f>SUMIF('CF(M)'!$L$11:$EQ$11,DR$6,'CF(M)'!$L30:$EQ30)</f>
        <v>0</v>
      </c>
      <c r="DS25" s="171">
        <f>SUMIF('CF(M)'!$L$11:$EQ$11,DS$6,'CF(M)'!$L30:$EQ30)</f>
        <v>0</v>
      </c>
      <c r="DT25" s="171">
        <f>SUMIF('CF(M)'!$L$11:$EQ$11,DT$6,'CF(M)'!$L30:$EQ30)</f>
        <v>0</v>
      </c>
      <c r="DU25" s="171">
        <f>SUMIF('CF(M)'!$L$11:$EQ$11,DU$6,'CF(M)'!$L30:$EQ30)</f>
        <v>0</v>
      </c>
      <c r="DV25" s="171">
        <f>SUMIF('CF(M)'!$L$11:$EQ$11,DV$6,'CF(M)'!$L30:$EQ30)</f>
        <v>0</v>
      </c>
    </row>
    <row r="26" spans="2:126" ht="11.25" customHeight="1">
      <c r="B26" s="218"/>
      <c r="C26" s="163"/>
      <c r="D26" s="169" t="s">
        <v>93</v>
      </c>
      <c r="H26" s="90"/>
      <c r="I26" s="222"/>
      <c r="J26" s="171">
        <f t="shared" si="12"/>
        <v>0</v>
      </c>
      <c r="K26" s="98"/>
      <c r="L26" s="171">
        <f>SUMIF('CF(M)'!$L$11:$EQ$11,L$6,'CF(M)'!$L31:$EQ31)</f>
        <v>0</v>
      </c>
      <c r="M26" s="171">
        <f>SUMIF('CF(M)'!$L$11:$EQ$11,M$6,'CF(M)'!$L31:$EQ31)</f>
        <v>0</v>
      </c>
      <c r="N26" s="171">
        <f>SUMIF('CF(M)'!$L$11:$EQ$11,N$6,'CF(M)'!$L31:$EQ31)</f>
        <v>0</v>
      </c>
      <c r="O26" s="171">
        <f>SUMIF('CF(M)'!$L$11:$EQ$11,O$6,'CF(M)'!$L31:$EQ31)</f>
        <v>0</v>
      </c>
      <c r="P26" s="171">
        <f>SUMIF('CF(M)'!$L$11:$EQ$11,P$6,'CF(M)'!$L31:$EQ31)</f>
        <v>0</v>
      </c>
      <c r="Q26" s="171">
        <f>SUMIF('CF(M)'!$L$11:$EQ$11,Q$6,'CF(M)'!$L31:$EQ31)</f>
        <v>0</v>
      </c>
      <c r="R26" s="171">
        <f>SUMIF('CF(M)'!$L$11:$EQ$11,R$6,'CF(M)'!$L31:$EQ31)</f>
        <v>0</v>
      </c>
      <c r="S26" s="171">
        <f>SUMIF('CF(M)'!$L$11:$EQ$11,S$6,'CF(M)'!$L31:$EQ31)</f>
        <v>0</v>
      </c>
      <c r="T26" s="171">
        <f>SUMIF('CF(M)'!$L$11:$EQ$11,T$6,'CF(M)'!$L31:$EQ31)</f>
        <v>0</v>
      </c>
      <c r="U26" s="171">
        <f>SUMIF('CF(M)'!$L$11:$EQ$11,U$6,'CF(M)'!$L31:$EQ31)</f>
        <v>0</v>
      </c>
      <c r="V26" s="171">
        <f>SUMIF('CF(M)'!$L$11:$EQ$11,V$6,'CF(M)'!$L31:$EQ31)</f>
        <v>0</v>
      </c>
      <c r="W26" s="171">
        <f>SUMIF('CF(M)'!$L$11:$EQ$11,W$6,'CF(M)'!$L31:$EQ31)</f>
        <v>0</v>
      </c>
      <c r="X26" s="171">
        <f>SUMIF('CF(M)'!$L$11:$EQ$11,X$6,'CF(M)'!$L31:$EQ31)</f>
        <v>0</v>
      </c>
      <c r="Y26" s="171">
        <f>SUMIF('CF(M)'!$L$11:$EQ$11,Y$6,'CF(M)'!$L31:$EQ31)</f>
        <v>0</v>
      </c>
      <c r="Z26" s="171">
        <f>SUMIF('CF(M)'!$L$11:$EQ$11,Z$6,'CF(M)'!$L31:$EQ31)</f>
        <v>0</v>
      </c>
      <c r="AA26" s="171">
        <f>SUMIF('CF(M)'!$L$11:$EQ$11,AA$6,'CF(M)'!$L31:$EQ31)</f>
        <v>0</v>
      </c>
      <c r="AB26" s="171">
        <f>SUMIF('CF(M)'!$L$11:$EQ$11,AB$6,'CF(M)'!$L31:$EQ31)</f>
        <v>0</v>
      </c>
      <c r="AC26" s="171">
        <f>SUMIF('CF(M)'!$L$11:$EQ$11,AC$6,'CF(M)'!$L31:$EQ31)</f>
        <v>0</v>
      </c>
      <c r="AD26" s="171">
        <f>SUMIF('CF(M)'!$L$11:$EQ$11,AD$6,'CF(M)'!$L31:$EQ31)</f>
        <v>0</v>
      </c>
      <c r="AE26" s="171">
        <f>SUMIF('CF(M)'!$L$11:$EQ$11,AE$6,'CF(M)'!$L31:$EQ31)</f>
        <v>0</v>
      </c>
      <c r="AF26" s="171">
        <f>SUMIF('CF(M)'!$L$11:$EQ$11,AF$6,'CF(M)'!$L31:$EQ31)</f>
        <v>0</v>
      </c>
      <c r="AG26" s="171">
        <f>SUMIF('CF(M)'!$L$11:$EQ$11,AG$6,'CF(M)'!$L31:$EQ31)</f>
        <v>0</v>
      </c>
      <c r="AH26" s="171">
        <f>SUMIF('CF(M)'!$L$11:$EQ$11,AH$6,'CF(M)'!$L31:$EQ31)</f>
        <v>0</v>
      </c>
      <c r="AI26" s="171">
        <f>SUMIF('CF(M)'!$L$11:$EQ$11,AI$6,'CF(M)'!$L31:$EQ31)</f>
        <v>0</v>
      </c>
      <c r="AJ26" s="171">
        <f>SUMIF('CF(M)'!$L$11:$EQ$11,AJ$6,'CF(M)'!$L31:$EQ31)</f>
        <v>0</v>
      </c>
      <c r="AK26" s="171">
        <f>SUMIF('CF(M)'!$L$11:$EQ$11,AK$6,'CF(M)'!$L31:$EQ31)</f>
        <v>0</v>
      </c>
      <c r="AL26" s="171">
        <f>SUMIF('CF(M)'!$L$11:$EQ$11,AL$6,'CF(M)'!$L31:$EQ31)</f>
        <v>0</v>
      </c>
      <c r="AM26" s="171">
        <f>SUMIF('CF(M)'!$L$11:$EQ$11,AM$6,'CF(M)'!$L31:$EQ31)</f>
        <v>0</v>
      </c>
      <c r="AN26" s="171">
        <f>SUMIF('CF(M)'!$L$11:$EQ$11,AN$6,'CF(M)'!$L31:$EQ31)</f>
        <v>0</v>
      </c>
      <c r="AO26" s="171">
        <f>SUMIF('CF(M)'!$L$11:$EQ$11,AO$6,'CF(M)'!$L31:$EQ31)</f>
        <v>0</v>
      </c>
      <c r="AP26" s="171">
        <f>SUMIF('CF(M)'!$L$11:$EQ$11,AP$6,'CF(M)'!$L31:$EQ31)</f>
        <v>0</v>
      </c>
      <c r="AQ26" s="171">
        <f>SUMIF('CF(M)'!$L$11:$EQ$11,AQ$6,'CF(M)'!$L31:$EQ31)</f>
        <v>0</v>
      </c>
      <c r="AR26" s="171">
        <f>SUMIF('CF(M)'!$L$11:$EQ$11,AR$6,'CF(M)'!$L31:$EQ31)</f>
        <v>0</v>
      </c>
      <c r="AS26" s="171">
        <f>SUMIF('CF(M)'!$L$11:$EQ$11,AS$6,'CF(M)'!$L31:$EQ31)</f>
        <v>0</v>
      </c>
      <c r="AT26" s="171">
        <f>SUMIF('CF(M)'!$L$11:$EQ$11,AT$6,'CF(M)'!$L31:$EQ31)</f>
        <v>0</v>
      </c>
      <c r="AU26" s="171">
        <f>SUMIF('CF(M)'!$L$11:$EQ$11,AU$6,'CF(M)'!$L31:$EQ31)</f>
        <v>0</v>
      </c>
      <c r="AV26" s="171">
        <f>SUMIF('CF(M)'!$L$11:$EQ$11,AV$6,'CF(M)'!$L31:$EQ31)</f>
        <v>0</v>
      </c>
      <c r="AW26" s="171">
        <f>SUMIF('CF(M)'!$L$11:$EQ$11,AW$6,'CF(M)'!$L31:$EQ31)</f>
        <v>0</v>
      </c>
      <c r="AX26" s="171">
        <f>SUMIF('CF(M)'!$L$11:$EQ$11,AX$6,'CF(M)'!$L31:$EQ31)</f>
        <v>0</v>
      </c>
      <c r="AY26" s="171">
        <f>SUMIF('CF(M)'!$L$11:$EQ$11,AY$6,'CF(M)'!$L31:$EQ31)</f>
        <v>0</v>
      </c>
      <c r="AZ26" s="171">
        <f>SUMIF('CF(M)'!$L$11:$EQ$11,AZ$6,'CF(M)'!$L31:$EQ31)</f>
        <v>0</v>
      </c>
      <c r="BA26" s="171">
        <f>SUMIF('CF(M)'!$L$11:$EQ$11,BA$6,'CF(M)'!$L31:$EQ31)</f>
        <v>0</v>
      </c>
      <c r="BB26" s="171">
        <f>SUMIF('CF(M)'!$L$11:$EQ$11,BB$6,'CF(M)'!$L31:$EQ31)</f>
        <v>0</v>
      </c>
      <c r="BC26" s="171">
        <f>SUMIF('CF(M)'!$L$11:$EQ$11,BC$6,'CF(M)'!$L31:$EQ31)</f>
        <v>0</v>
      </c>
      <c r="BD26" s="171">
        <f>SUMIF('CF(M)'!$L$11:$EQ$11,BD$6,'CF(M)'!$L31:$EQ31)</f>
        <v>0</v>
      </c>
      <c r="BE26" s="171">
        <f>SUMIF('CF(M)'!$L$11:$EQ$11,BE$6,'CF(M)'!$L31:$EQ31)</f>
        <v>0</v>
      </c>
      <c r="BF26" s="171">
        <f>SUMIF('CF(M)'!$L$11:$EQ$11,BF$6,'CF(M)'!$L31:$EQ31)</f>
        <v>0</v>
      </c>
      <c r="BG26" s="171">
        <f>SUMIF('CF(M)'!$L$11:$EQ$11,BG$6,'CF(M)'!$L31:$EQ31)</f>
        <v>0</v>
      </c>
      <c r="BH26" s="171">
        <f>SUMIF('CF(M)'!$L$11:$EQ$11,BH$6,'CF(M)'!$L31:$EQ31)</f>
        <v>0</v>
      </c>
      <c r="BI26" s="171">
        <f>SUMIF('CF(M)'!$L$11:$EQ$11,BI$6,'CF(M)'!$L31:$EQ31)</f>
        <v>0</v>
      </c>
      <c r="BJ26" s="171">
        <f>SUMIF('CF(M)'!$L$11:$EQ$11,BJ$6,'CF(M)'!$L31:$EQ31)</f>
        <v>0</v>
      </c>
      <c r="BK26" s="171">
        <f>SUMIF('CF(M)'!$L$11:$EQ$11,BK$6,'CF(M)'!$L31:$EQ31)</f>
        <v>0</v>
      </c>
      <c r="BL26" s="171">
        <f>SUMIF('CF(M)'!$L$11:$EQ$11,BL$6,'CF(M)'!$L31:$EQ31)</f>
        <v>0</v>
      </c>
      <c r="BM26" s="171">
        <f>SUMIF('CF(M)'!$L$11:$EQ$11,BM$6,'CF(M)'!$L31:$EQ31)</f>
        <v>0</v>
      </c>
      <c r="BN26" s="171">
        <f>SUMIF('CF(M)'!$L$11:$EQ$11,BN$6,'CF(M)'!$L31:$EQ31)</f>
        <v>0</v>
      </c>
      <c r="BO26" s="171">
        <f>SUMIF('CF(M)'!$L$11:$EQ$11,BO$6,'CF(M)'!$L31:$EQ31)</f>
        <v>0</v>
      </c>
      <c r="BP26" s="171">
        <f>SUMIF('CF(M)'!$L$11:$EQ$11,BP$6,'CF(M)'!$L31:$EQ31)</f>
        <v>0</v>
      </c>
      <c r="BQ26" s="171">
        <f>SUMIF('CF(M)'!$L$11:$EQ$11,BQ$6,'CF(M)'!$L31:$EQ31)</f>
        <v>0</v>
      </c>
      <c r="BR26" s="171">
        <f>SUMIF('CF(M)'!$L$11:$EQ$11,BR$6,'CF(M)'!$L31:$EQ31)</f>
        <v>0</v>
      </c>
      <c r="BS26" s="171">
        <f>SUMIF('CF(M)'!$L$11:$EQ$11,BS$6,'CF(M)'!$L31:$EQ31)</f>
        <v>0</v>
      </c>
      <c r="BT26" s="171">
        <f>SUMIF('CF(M)'!$L$11:$EQ$11,BT$6,'CF(M)'!$L31:$EQ31)</f>
        <v>0</v>
      </c>
      <c r="BU26" s="171">
        <f>SUMIF('CF(M)'!$L$11:$EQ$11,BU$6,'CF(M)'!$L31:$EQ31)</f>
        <v>0</v>
      </c>
      <c r="BV26" s="171">
        <f>SUMIF('CF(M)'!$L$11:$EQ$11,BV$6,'CF(M)'!$L31:$EQ31)</f>
        <v>0</v>
      </c>
      <c r="BW26" s="171">
        <f>SUMIF('CF(M)'!$L$11:$EQ$11,BW$6,'CF(M)'!$L31:$EQ31)</f>
        <v>0</v>
      </c>
      <c r="BX26" s="171">
        <f>SUMIF('CF(M)'!$L$11:$EQ$11,BX$6,'CF(M)'!$L31:$EQ31)</f>
        <v>0</v>
      </c>
      <c r="BY26" s="171">
        <f>SUMIF('CF(M)'!$L$11:$EQ$11,BY$6,'CF(M)'!$L31:$EQ31)</f>
        <v>0</v>
      </c>
      <c r="BZ26" s="171">
        <f>SUMIF('CF(M)'!$L$11:$EQ$11,BZ$6,'CF(M)'!$L31:$EQ31)</f>
        <v>0</v>
      </c>
      <c r="CA26" s="171">
        <f>SUMIF('CF(M)'!$L$11:$EQ$11,CA$6,'CF(M)'!$L31:$EQ31)</f>
        <v>0</v>
      </c>
      <c r="CB26" s="171">
        <f>SUMIF('CF(M)'!$L$11:$EQ$11,CB$6,'CF(M)'!$L31:$EQ31)</f>
        <v>0</v>
      </c>
      <c r="CC26" s="171">
        <f>SUMIF('CF(M)'!$L$11:$EQ$11,CC$6,'CF(M)'!$L31:$EQ31)</f>
        <v>0</v>
      </c>
      <c r="CD26" s="171">
        <f>SUMIF('CF(M)'!$L$11:$EQ$11,CD$6,'CF(M)'!$L31:$EQ31)</f>
        <v>0</v>
      </c>
      <c r="CE26" s="171">
        <f>SUMIF('CF(M)'!$L$11:$EQ$11,CE$6,'CF(M)'!$L31:$EQ31)</f>
        <v>0</v>
      </c>
      <c r="CF26" s="171">
        <f>SUMIF('CF(M)'!$L$11:$EQ$11,CF$6,'CF(M)'!$L31:$EQ31)</f>
        <v>0</v>
      </c>
      <c r="CG26" s="171">
        <f>SUMIF('CF(M)'!$L$11:$EQ$11,CG$6,'CF(M)'!$L31:$EQ31)</f>
        <v>0</v>
      </c>
      <c r="CH26" s="171">
        <f>SUMIF('CF(M)'!$L$11:$EQ$11,CH$6,'CF(M)'!$L31:$EQ31)</f>
        <v>0</v>
      </c>
      <c r="CI26" s="171">
        <f>SUMIF('CF(M)'!$L$11:$EQ$11,CI$6,'CF(M)'!$L31:$EQ31)</f>
        <v>0</v>
      </c>
      <c r="CJ26" s="171">
        <f>SUMIF('CF(M)'!$L$11:$EQ$11,CJ$6,'CF(M)'!$L31:$EQ31)</f>
        <v>0</v>
      </c>
      <c r="CK26" s="171">
        <f>SUMIF('CF(M)'!$L$11:$EQ$11,CK$6,'CF(M)'!$L31:$EQ31)</f>
        <v>0</v>
      </c>
      <c r="CL26" s="171">
        <f>SUMIF('CF(M)'!$L$11:$EQ$11,CL$6,'CF(M)'!$L31:$EQ31)</f>
        <v>0</v>
      </c>
      <c r="CM26" s="171">
        <f>SUMIF('CF(M)'!$L$11:$EQ$11,CM$6,'CF(M)'!$L31:$EQ31)</f>
        <v>0</v>
      </c>
      <c r="CN26" s="171">
        <f>SUMIF('CF(M)'!$L$11:$EQ$11,CN$6,'CF(M)'!$L31:$EQ31)</f>
        <v>0</v>
      </c>
      <c r="CO26" s="171">
        <f>SUMIF('CF(M)'!$L$11:$EQ$11,CO$6,'CF(M)'!$L31:$EQ31)</f>
        <v>0</v>
      </c>
      <c r="CP26" s="171">
        <f>SUMIF('CF(M)'!$L$11:$EQ$11,CP$6,'CF(M)'!$L31:$EQ31)</f>
        <v>0</v>
      </c>
      <c r="CQ26" s="171">
        <f>SUMIF('CF(M)'!$L$11:$EQ$11,CQ$6,'CF(M)'!$L31:$EQ31)</f>
        <v>0</v>
      </c>
      <c r="CR26" s="171">
        <f>SUMIF('CF(M)'!$L$11:$EQ$11,CR$6,'CF(M)'!$L31:$EQ31)</f>
        <v>0</v>
      </c>
      <c r="CS26" s="171">
        <f>SUMIF('CF(M)'!$L$11:$EQ$11,CS$6,'CF(M)'!$L31:$EQ31)</f>
        <v>0</v>
      </c>
      <c r="CT26" s="171">
        <f>SUMIF('CF(M)'!$L$11:$EQ$11,CT$6,'CF(M)'!$L31:$EQ31)</f>
        <v>0</v>
      </c>
      <c r="CU26" s="171">
        <f>SUMIF('CF(M)'!$L$11:$EQ$11,CU$6,'CF(M)'!$L31:$EQ31)</f>
        <v>0</v>
      </c>
      <c r="CV26" s="171">
        <f>SUMIF('CF(M)'!$L$11:$EQ$11,CV$6,'CF(M)'!$L31:$EQ31)</f>
        <v>0</v>
      </c>
      <c r="CW26" s="171">
        <f>SUMIF('CF(M)'!$L$11:$EQ$11,CW$6,'CF(M)'!$L31:$EQ31)</f>
        <v>0</v>
      </c>
      <c r="CX26" s="171">
        <f>SUMIF('CF(M)'!$L$11:$EQ$11,CX$6,'CF(M)'!$L31:$EQ31)</f>
        <v>0</v>
      </c>
      <c r="CY26" s="171">
        <f>SUMIF('CF(M)'!$L$11:$EQ$11,CY$6,'CF(M)'!$L31:$EQ31)</f>
        <v>0</v>
      </c>
      <c r="CZ26" s="171">
        <f>SUMIF('CF(M)'!$L$11:$EQ$11,CZ$6,'CF(M)'!$L31:$EQ31)</f>
        <v>0</v>
      </c>
      <c r="DA26" s="171">
        <f>SUMIF('CF(M)'!$L$11:$EQ$11,DA$6,'CF(M)'!$L31:$EQ31)</f>
        <v>0</v>
      </c>
      <c r="DB26" s="171">
        <f>SUMIF('CF(M)'!$L$11:$EQ$11,DB$6,'CF(M)'!$L31:$EQ31)</f>
        <v>0</v>
      </c>
      <c r="DC26" s="171">
        <f>SUMIF('CF(M)'!$L$11:$EQ$11,DC$6,'CF(M)'!$L31:$EQ31)</f>
        <v>0</v>
      </c>
      <c r="DD26" s="171">
        <f>SUMIF('CF(M)'!$L$11:$EQ$11,DD$6,'CF(M)'!$L31:$EQ31)</f>
        <v>0</v>
      </c>
      <c r="DE26" s="171">
        <f>SUMIF('CF(M)'!$L$11:$EQ$11,DE$6,'CF(M)'!$L31:$EQ31)</f>
        <v>0</v>
      </c>
      <c r="DF26" s="171">
        <f>SUMIF('CF(M)'!$L$11:$EQ$11,DF$6,'CF(M)'!$L31:$EQ31)</f>
        <v>0</v>
      </c>
      <c r="DG26" s="171">
        <f>SUMIF('CF(M)'!$L$11:$EQ$11,DG$6,'CF(M)'!$L31:$EQ31)</f>
        <v>0</v>
      </c>
      <c r="DH26" s="171">
        <f>SUMIF('CF(M)'!$L$11:$EQ$11,DH$6,'CF(M)'!$L31:$EQ31)</f>
        <v>0</v>
      </c>
      <c r="DI26" s="171">
        <f>SUMIF('CF(M)'!$L$11:$EQ$11,DI$6,'CF(M)'!$L31:$EQ31)</f>
        <v>0</v>
      </c>
      <c r="DJ26" s="171">
        <f>SUMIF('CF(M)'!$L$11:$EQ$11,DJ$6,'CF(M)'!$L31:$EQ31)</f>
        <v>0</v>
      </c>
      <c r="DK26" s="171">
        <f>SUMIF('CF(M)'!$L$11:$EQ$11,DK$6,'CF(M)'!$L31:$EQ31)</f>
        <v>0</v>
      </c>
      <c r="DL26" s="171">
        <f>SUMIF('CF(M)'!$L$11:$EQ$11,DL$6,'CF(M)'!$L31:$EQ31)</f>
        <v>0</v>
      </c>
      <c r="DM26" s="171">
        <f>SUMIF('CF(M)'!$L$11:$EQ$11,DM$6,'CF(M)'!$L31:$EQ31)</f>
        <v>0</v>
      </c>
      <c r="DN26" s="171">
        <f>SUMIF('CF(M)'!$L$11:$EQ$11,DN$6,'CF(M)'!$L31:$EQ31)</f>
        <v>0</v>
      </c>
      <c r="DO26" s="171">
        <f>SUMIF('CF(M)'!$L$11:$EQ$11,DO$6,'CF(M)'!$L31:$EQ31)</f>
        <v>0</v>
      </c>
      <c r="DP26" s="171">
        <f>SUMIF('CF(M)'!$L$11:$EQ$11,DP$6,'CF(M)'!$L31:$EQ31)</f>
        <v>0</v>
      </c>
      <c r="DQ26" s="171">
        <f>SUMIF('CF(M)'!$L$11:$EQ$11,DQ$6,'CF(M)'!$L31:$EQ31)</f>
        <v>0</v>
      </c>
      <c r="DR26" s="171">
        <f>SUMIF('CF(M)'!$L$11:$EQ$11,DR$6,'CF(M)'!$L31:$EQ31)</f>
        <v>0</v>
      </c>
      <c r="DS26" s="171">
        <f>SUMIF('CF(M)'!$L$11:$EQ$11,DS$6,'CF(M)'!$L31:$EQ31)</f>
        <v>0</v>
      </c>
      <c r="DT26" s="171">
        <f>SUMIF('CF(M)'!$L$11:$EQ$11,DT$6,'CF(M)'!$L31:$EQ31)</f>
        <v>0</v>
      </c>
      <c r="DU26" s="171">
        <f>SUMIF('CF(M)'!$L$11:$EQ$11,DU$6,'CF(M)'!$L31:$EQ31)</f>
        <v>0</v>
      </c>
      <c r="DV26" s="171">
        <f>SUMIF('CF(M)'!$L$11:$EQ$11,DV$6,'CF(M)'!$L31:$EQ31)</f>
        <v>0</v>
      </c>
    </row>
    <row r="27" spans="2:126" ht="11.25" customHeight="1">
      <c r="B27" s="218"/>
      <c r="C27" s="163"/>
      <c r="D27" s="169" t="s">
        <v>99</v>
      </c>
      <c r="H27" s="146"/>
      <c r="I27" s="13"/>
      <c r="J27" s="171">
        <f t="shared" si="12"/>
        <v>-208948.32972200002</v>
      </c>
      <c r="K27" s="98"/>
      <c r="L27" s="171">
        <f>SUMIF('CF(M)'!$L$11:$EQ$11,L$6,'CF(M)'!$L32:$EQ32)</f>
        <v>0</v>
      </c>
      <c r="M27" s="171">
        <f>SUMIF('CF(M)'!$L$11:$EQ$11,M$6,'CF(M)'!$L32:$EQ32)</f>
        <v>-20894.832972200002</v>
      </c>
      <c r="N27" s="171">
        <f>SUMIF('CF(M)'!$L$11:$EQ$11,N$6,'CF(M)'!$L32:$EQ32)</f>
        <v>-20894.832972200002</v>
      </c>
      <c r="O27" s="171">
        <f>SUMIF('CF(M)'!$L$11:$EQ$11,O$6,'CF(M)'!$L32:$EQ32)</f>
        <v>-20894.832972200002</v>
      </c>
      <c r="P27" s="171">
        <f>SUMIF('CF(M)'!$L$11:$EQ$11,P$6,'CF(M)'!$L32:$EQ32)</f>
        <v>-20894.832972200002</v>
      </c>
      <c r="Q27" s="171">
        <f>SUMIF('CF(M)'!$L$11:$EQ$11,Q$6,'CF(M)'!$L32:$EQ32)</f>
        <v>-20894.832972200002</v>
      </c>
      <c r="R27" s="171">
        <f>SUMIF('CF(M)'!$L$11:$EQ$11,R$6,'CF(M)'!$L32:$EQ32)</f>
        <v>-20894.832972200002</v>
      </c>
      <c r="S27" s="171">
        <f>SUMIF('CF(M)'!$L$11:$EQ$11,S$6,'CF(M)'!$L32:$EQ32)</f>
        <v>-20894.832972200002</v>
      </c>
      <c r="T27" s="171">
        <f>SUMIF('CF(M)'!$L$11:$EQ$11,T$6,'CF(M)'!$L32:$EQ32)</f>
        <v>-20894.832972200002</v>
      </c>
      <c r="U27" s="171">
        <f>SUMIF('CF(M)'!$L$11:$EQ$11,U$6,'CF(M)'!$L32:$EQ32)</f>
        <v>-20894.832972200002</v>
      </c>
      <c r="V27" s="171">
        <f>SUMIF('CF(M)'!$L$11:$EQ$11,V$6,'CF(M)'!$L32:$EQ32)</f>
        <v>-20894.832972200002</v>
      </c>
      <c r="W27" s="171">
        <f>SUMIF('CF(M)'!$L$11:$EQ$11,W$6,'CF(M)'!$L32:$EQ32)</f>
        <v>0</v>
      </c>
      <c r="X27" s="171">
        <f>SUMIF('CF(M)'!$L$11:$EQ$11,X$6,'CF(M)'!$L32:$EQ32)</f>
        <v>0</v>
      </c>
      <c r="Y27" s="171">
        <f>SUMIF('CF(M)'!$L$11:$EQ$11,Y$6,'CF(M)'!$L32:$EQ32)</f>
        <v>0</v>
      </c>
      <c r="Z27" s="171">
        <f>SUMIF('CF(M)'!$L$11:$EQ$11,Z$6,'CF(M)'!$L32:$EQ32)</f>
        <v>0</v>
      </c>
      <c r="AA27" s="171">
        <f>SUMIF('CF(M)'!$L$11:$EQ$11,AA$6,'CF(M)'!$L32:$EQ32)</f>
        <v>0</v>
      </c>
      <c r="AB27" s="171">
        <f>SUMIF('CF(M)'!$L$11:$EQ$11,AB$6,'CF(M)'!$L32:$EQ32)</f>
        <v>0</v>
      </c>
      <c r="AC27" s="171">
        <f>SUMIF('CF(M)'!$L$11:$EQ$11,AC$6,'CF(M)'!$L32:$EQ32)</f>
        <v>0</v>
      </c>
      <c r="AD27" s="171">
        <f>SUMIF('CF(M)'!$L$11:$EQ$11,AD$6,'CF(M)'!$L32:$EQ32)</f>
        <v>0</v>
      </c>
      <c r="AE27" s="171">
        <f>SUMIF('CF(M)'!$L$11:$EQ$11,AE$6,'CF(M)'!$L32:$EQ32)</f>
        <v>0</v>
      </c>
      <c r="AF27" s="171">
        <f>SUMIF('CF(M)'!$L$11:$EQ$11,AF$6,'CF(M)'!$L32:$EQ32)</f>
        <v>0</v>
      </c>
      <c r="AG27" s="171">
        <f>SUMIF('CF(M)'!$L$11:$EQ$11,AG$6,'CF(M)'!$L32:$EQ32)</f>
        <v>0</v>
      </c>
      <c r="AH27" s="171">
        <f>SUMIF('CF(M)'!$L$11:$EQ$11,AH$6,'CF(M)'!$L32:$EQ32)</f>
        <v>0</v>
      </c>
      <c r="AI27" s="171">
        <f>SUMIF('CF(M)'!$L$11:$EQ$11,AI$6,'CF(M)'!$L32:$EQ32)</f>
        <v>0</v>
      </c>
      <c r="AJ27" s="171">
        <f>SUMIF('CF(M)'!$L$11:$EQ$11,AJ$6,'CF(M)'!$L32:$EQ32)</f>
        <v>0</v>
      </c>
      <c r="AK27" s="171">
        <f>SUMIF('CF(M)'!$L$11:$EQ$11,AK$6,'CF(M)'!$L32:$EQ32)</f>
        <v>0</v>
      </c>
      <c r="AL27" s="171">
        <f>SUMIF('CF(M)'!$L$11:$EQ$11,AL$6,'CF(M)'!$L32:$EQ32)</f>
        <v>0</v>
      </c>
      <c r="AM27" s="171">
        <f>SUMIF('CF(M)'!$L$11:$EQ$11,AM$6,'CF(M)'!$L32:$EQ32)</f>
        <v>0</v>
      </c>
      <c r="AN27" s="171">
        <f>SUMIF('CF(M)'!$L$11:$EQ$11,AN$6,'CF(M)'!$L32:$EQ32)</f>
        <v>0</v>
      </c>
      <c r="AO27" s="171">
        <f>SUMIF('CF(M)'!$L$11:$EQ$11,AO$6,'CF(M)'!$L32:$EQ32)</f>
        <v>0</v>
      </c>
      <c r="AP27" s="171">
        <f>SUMIF('CF(M)'!$L$11:$EQ$11,AP$6,'CF(M)'!$L32:$EQ32)</f>
        <v>0</v>
      </c>
      <c r="AQ27" s="171">
        <f>SUMIF('CF(M)'!$L$11:$EQ$11,AQ$6,'CF(M)'!$L32:$EQ32)</f>
        <v>0</v>
      </c>
      <c r="AR27" s="171">
        <f>SUMIF('CF(M)'!$L$11:$EQ$11,AR$6,'CF(M)'!$L32:$EQ32)</f>
        <v>0</v>
      </c>
      <c r="AS27" s="171">
        <f>SUMIF('CF(M)'!$L$11:$EQ$11,AS$6,'CF(M)'!$L32:$EQ32)</f>
        <v>0</v>
      </c>
      <c r="AT27" s="171">
        <f>SUMIF('CF(M)'!$L$11:$EQ$11,AT$6,'CF(M)'!$L32:$EQ32)</f>
        <v>0</v>
      </c>
      <c r="AU27" s="171">
        <f>SUMIF('CF(M)'!$L$11:$EQ$11,AU$6,'CF(M)'!$L32:$EQ32)</f>
        <v>0</v>
      </c>
      <c r="AV27" s="171">
        <f>SUMIF('CF(M)'!$L$11:$EQ$11,AV$6,'CF(M)'!$L32:$EQ32)</f>
        <v>0</v>
      </c>
      <c r="AW27" s="171">
        <f>SUMIF('CF(M)'!$L$11:$EQ$11,AW$6,'CF(M)'!$L32:$EQ32)</f>
        <v>0</v>
      </c>
      <c r="AX27" s="171">
        <f>SUMIF('CF(M)'!$L$11:$EQ$11,AX$6,'CF(M)'!$L32:$EQ32)</f>
        <v>0</v>
      </c>
      <c r="AY27" s="171">
        <f>SUMIF('CF(M)'!$L$11:$EQ$11,AY$6,'CF(M)'!$L32:$EQ32)</f>
        <v>0</v>
      </c>
      <c r="AZ27" s="171">
        <f>SUMIF('CF(M)'!$L$11:$EQ$11,AZ$6,'CF(M)'!$L32:$EQ32)</f>
        <v>0</v>
      </c>
      <c r="BA27" s="171">
        <f>SUMIF('CF(M)'!$L$11:$EQ$11,BA$6,'CF(M)'!$L32:$EQ32)</f>
        <v>0</v>
      </c>
      <c r="BB27" s="171">
        <f>SUMIF('CF(M)'!$L$11:$EQ$11,BB$6,'CF(M)'!$L32:$EQ32)</f>
        <v>0</v>
      </c>
      <c r="BC27" s="171">
        <f>SUMIF('CF(M)'!$L$11:$EQ$11,BC$6,'CF(M)'!$L32:$EQ32)</f>
        <v>0</v>
      </c>
      <c r="BD27" s="171">
        <f>SUMIF('CF(M)'!$L$11:$EQ$11,BD$6,'CF(M)'!$L32:$EQ32)</f>
        <v>0</v>
      </c>
      <c r="BE27" s="171">
        <f>SUMIF('CF(M)'!$L$11:$EQ$11,BE$6,'CF(M)'!$L32:$EQ32)</f>
        <v>0</v>
      </c>
      <c r="BF27" s="171">
        <f>SUMIF('CF(M)'!$L$11:$EQ$11,BF$6,'CF(M)'!$L32:$EQ32)</f>
        <v>0</v>
      </c>
      <c r="BG27" s="171">
        <f>SUMIF('CF(M)'!$L$11:$EQ$11,BG$6,'CF(M)'!$L32:$EQ32)</f>
        <v>0</v>
      </c>
      <c r="BH27" s="171">
        <f>SUMIF('CF(M)'!$L$11:$EQ$11,BH$6,'CF(M)'!$L32:$EQ32)</f>
        <v>0</v>
      </c>
      <c r="BI27" s="171">
        <f>SUMIF('CF(M)'!$L$11:$EQ$11,BI$6,'CF(M)'!$L32:$EQ32)</f>
        <v>0</v>
      </c>
      <c r="BJ27" s="171">
        <f>SUMIF('CF(M)'!$L$11:$EQ$11,BJ$6,'CF(M)'!$L32:$EQ32)</f>
        <v>0</v>
      </c>
      <c r="BK27" s="171">
        <f>SUMIF('CF(M)'!$L$11:$EQ$11,BK$6,'CF(M)'!$L32:$EQ32)</f>
        <v>0</v>
      </c>
      <c r="BL27" s="171">
        <f>SUMIF('CF(M)'!$L$11:$EQ$11,BL$6,'CF(M)'!$L32:$EQ32)</f>
        <v>0</v>
      </c>
      <c r="BM27" s="171">
        <f>SUMIF('CF(M)'!$L$11:$EQ$11,BM$6,'CF(M)'!$L32:$EQ32)</f>
        <v>0</v>
      </c>
      <c r="BN27" s="171">
        <f>SUMIF('CF(M)'!$L$11:$EQ$11,BN$6,'CF(M)'!$L32:$EQ32)</f>
        <v>0</v>
      </c>
      <c r="BO27" s="171">
        <f>SUMIF('CF(M)'!$L$11:$EQ$11,BO$6,'CF(M)'!$L32:$EQ32)</f>
        <v>0</v>
      </c>
      <c r="BP27" s="171">
        <f>SUMIF('CF(M)'!$L$11:$EQ$11,BP$6,'CF(M)'!$L32:$EQ32)</f>
        <v>0</v>
      </c>
      <c r="BQ27" s="171">
        <f>SUMIF('CF(M)'!$L$11:$EQ$11,BQ$6,'CF(M)'!$L32:$EQ32)</f>
        <v>0</v>
      </c>
      <c r="BR27" s="171">
        <f>SUMIF('CF(M)'!$L$11:$EQ$11,BR$6,'CF(M)'!$L32:$EQ32)</f>
        <v>0</v>
      </c>
      <c r="BS27" s="171">
        <f>SUMIF('CF(M)'!$L$11:$EQ$11,BS$6,'CF(M)'!$L32:$EQ32)</f>
        <v>0</v>
      </c>
      <c r="BT27" s="171">
        <f>SUMIF('CF(M)'!$L$11:$EQ$11,BT$6,'CF(M)'!$L32:$EQ32)</f>
        <v>0</v>
      </c>
      <c r="BU27" s="171">
        <f>SUMIF('CF(M)'!$L$11:$EQ$11,BU$6,'CF(M)'!$L32:$EQ32)</f>
        <v>0</v>
      </c>
      <c r="BV27" s="171">
        <f>SUMIF('CF(M)'!$L$11:$EQ$11,BV$6,'CF(M)'!$L32:$EQ32)</f>
        <v>0</v>
      </c>
      <c r="BW27" s="171">
        <f>SUMIF('CF(M)'!$L$11:$EQ$11,BW$6,'CF(M)'!$L32:$EQ32)</f>
        <v>0</v>
      </c>
      <c r="BX27" s="171">
        <f>SUMIF('CF(M)'!$L$11:$EQ$11,BX$6,'CF(M)'!$L32:$EQ32)</f>
        <v>0</v>
      </c>
      <c r="BY27" s="171">
        <f>SUMIF('CF(M)'!$L$11:$EQ$11,BY$6,'CF(M)'!$L32:$EQ32)</f>
        <v>0</v>
      </c>
      <c r="BZ27" s="171">
        <f>SUMIF('CF(M)'!$L$11:$EQ$11,BZ$6,'CF(M)'!$L32:$EQ32)</f>
        <v>0</v>
      </c>
      <c r="CA27" s="171">
        <f>SUMIF('CF(M)'!$L$11:$EQ$11,CA$6,'CF(M)'!$L32:$EQ32)</f>
        <v>0</v>
      </c>
      <c r="CB27" s="171">
        <f>SUMIF('CF(M)'!$L$11:$EQ$11,CB$6,'CF(M)'!$L32:$EQ32)</f>
        <v>0</v>
      </c>
      <c r="CC27" s="171">
        <f>SUMIF('CF(M)'!$L$11:$EQ$11,CC$6,'CF(M)'!$L32:$EQ32)</f>
        <v>0</v>
      </c>
      <c r="CD27" s="171">
        <f>SUMIF('CF(M)'!$L$11:$EQ$11,CD$6,'CF(M)'!$L32:$EQ32)</f>
        <v>0</v>
      </c>
      <c r="CE27" s="171">
        <f>SUMIF('CF(M)'!$L$11:$EQ$11,CE$6,'CF(M)'!$L32:$EQ32)</f>
        <v>0</v>
      </c>
      <c r="CF27" s="171">
        <f>SUMIF('CF(M)'!$L$11:$EQ$11,CF$6,'CF(M)'!$L32:$EQ32)</f>
        <v>0</v>
      </c>
      <c r="CG27" s="171">
        <f>SUMIF('CF(M)'!$L$11:$EQ$11,CG$6,'CF(M)'!$L32:$EQ32)</f>
        <v>0</v>
      </c>
      <c r="CH27" s="171">
        <f>SUMIF('CF(M)'!$L$11:$EQ$11,CH$6,'CF(M)'!$L32:$EQ32)</f>
        <v>0</v>
      </c>
      <c r="CI27" s="171">
        <f>SUMIF('CF(M)'!$L$11:$EQ$11,CI$6,'CF(M)'!$L32:$EQ32)</f>
        <v>0</v>
      </c>
      <c r="CJ27" s="171">
        <f>SUMIF('CF(M)'!$L$11:$EQ$11,CJ$6,'CF(M)'!$L32:$EQ32)</f>
        <v>0</v>
      </c>
      <c r="CK27" s="171">
        <f>SUMIF('CF(M)'!$L$11:$EQ$11,CK$6,'CF(M)'!$L32:$EQ32)</f>
        <v>0</v>
      </c>
      <c r="CL27" s="171">
        <f>SUMIF('CF(M)'!$L$11:$EQ$11,CL$6,'CF(M)'!$L32:$EQ32)</f>
        <v>0</v>
      </c>
      <c r="CM27" s="171">
        <f>SUMIF('CF(M)'!$L$11:$EQ$11,CM$6,'CF(M)'!$L32:$EQ32)</f>
        <v>0</v>
      </c>
      <c r="CN27" s="171">
        <f>SUMIF('CF(M)'!$L$11:$EQ$11,CN$6,'CF(M)'!$L32:$EQ32)</f>
        <v>0</v>
      </c>
      <c r="CO27" s="171">
        <f>SUMIF('CF(M)'!$L$11:$EQ$11,CO$6,'CF(M)'!$L32:$EQ32)</f>
        <v>0</v>
      </c>
      <c r="CP27" s="171">
        <f>SUMIF('CF(M)'!$L$11:$EQ$11,CP$6,'CF(M)'!$L32:$EQ32)</f>
        <v>0</v>
      </c>
      <c r="CQ27" s="171">
        <f>SUMIF('CF(M)'!$L$11:$EQ$11,CQ$6,'CF(M)'!$L32:$EQ32)</f>
        <v>0</v>
      </c>
      <c r="CR27" s="171">
        <f>SUMIF('CF(M)'!$L$11:$EQ$11,CR$6,'CF(M)'!$L32:$EQ32)</f>
        <v>0</v>
      </c>
      <c r="CS27" s="171">
        <f>SUMIF('CF(M)'!$L$11:$EQ$11,CS$6,'CF(M)'!$L32:$EQ32)</f>
        <v>0</v>
      </c>
      <c r="CT27" s="171">
        <f>SUMIF('CF(M)'!$L$11:$EQ$11,CT$6,'CF(M)'!$L32:$EQ32)</f>
        <v>0</v>
      </c>
      <c r="CU27" s="171">
        <f>SUMIF('CF(M)'!$L$11:$EQ$11,CU$6,'CF(M)'!$L32:$EQ32)</f>
        <v>0</v>
      </c>
      <c r="CV27" s="171">
        <f>SUMIF('CF(M)'!$L$11:$EQ$11,CV$6,'CF(M)'!$L32:$EQ32)</f>
        <v>0</v>
      </c>
      <c r="CW27" s="171">
        <f>SUMIF('CF(M)'!$L$11:$EQ$11,CW$6,'CF(M)'!$L32:$EQ32)</f>
        <v>0</v>
      </c>
      <c r="CX27" s="171">
        <f>SUMIF('CF(M)'!$L$11:$EQ$11,CX$6,'CF(M)'!$L32:$EQ32)</f>
        <v>0</v>
      </c>
      <c r="CY27" s="171">
        <f>SUMIF('CF(M)'!$L$11:$EQ$11,CY$6,'CF(M)'!$L32:$EQ32)</f>
        <v>0</v>
      </c>
      <c r="CZ27" s="171">
        <f>SUMIF('CF(M)'!$L$11:$EQ$11,CZ$6,'CF(M)'!$L32:$EQ32)</f>
        <v>0</v>
      </c>
      <c r="DA27" s="171">
        <f>SUMIF('CF(M)'!$L$11:$EQ$11,DA$6,'CF(M)'!$L32:$EQ32)</f>
        <v>0</v>
      </c>
      <c r="DB27" s="171">
        <f>SUMIF('CF(M)'!$L$11:$EQ$11,DB$6,'CF(M)'!$L32:$EQ32)</f>
        <v>0</v>
      </c>
      <c r="DC27" s="171">
        <f>SUMIF('CF(M)'!$L$11:$EQ$11,DC$6,'CF(M)'!$L32:$EQ32)</f>
        <v>0</v>
      </c>
      <c r="DD27" s="171">
        <f>SUMIF('CF(M)'!$L$11:$EQ$11,DD$6,'CF(M)'!$L32:$EQ32)</f>
        <v>0</v>
      </c>
      <c r="DE27" s="171">
        <f>SUMIF('CF(M)'!$L$11:$EQ$11,DE$6,'CF(M)'!$L32:$EQ32)</f>
        <v>0</v>
      </c>
      <c r="DF27" s="171">
        <f>SUMIF('CF(M)'!$L$11:$EQ$11,DF$6,'CF(M)'!$L32:$EQ32)</f>
        <v>0</v>
      </c>
      <c r="DG27" s="171">
        <f>SUMIF('CF(M)'!$L$11:$EQ$11,DG$6,'CF(M)'!$L32:$EQ32)</f>
        <v>0</v>
      </c>
      <c r="DH27" s="171">
        <f>SUMIF('CF(M)'!$L$11:$EQ$11,DH$6,'CF(M)'!$L32:$EQ32)</f>
        <v>0</v>
      </c>
      <c r="DI27" s="171">
        <f>SUMIF('CF(M)'!$L$11:$EQ$11,DI$6,'CF(M)'!$L32:$EQ32)</f>
        <v>0</v>
      </c>
      <c r="DJ27" s="171">
        <f>SUMIF('CF(M)'!$L$11:$EQ$11,DJ$6,'CF(M)'!$L32:$EQ32)</f>
        <v>0</v>
      </c>
      <c r="DK27" s="171">
        <f>SUMIF('CF(M)'!$L$11:$EQ$11,DK$6,'CF(M)'!$L32:$EQ32)</f>
        <v>0</v>
      </c>
      <c r="DL27" s="171">
        <f>SUMIF('CF(M)'!$L$11:$EQ$11,DL$6,'CF(M)'!$L32:$EQ32)</f>
        <v>0</v>
      </c>
      <c r="DM27" s="171">
        <f>SUMIF('CF(M)'!$L$11:$EQ$11,DM$6,'CF(M)'!$L32:$EQ32)</f>
        <v>0</v>
      </c>
      <c r="DN27" s="171">
        <f>SUMIF('CF(M)'!$L$11:$EQ$11,DN$6,'CF(M)'!$L32:$EQ32)</f>
        <v>0</v>
      </c>
      <c r="DO27" s="171">
        <f>SUMIF('CF(M)'!$L$11:$EQ$11,DO$6,'CF(M)'!$L32:$EQ32)</f>
        <v>0</v>
      </c>
      <c r="DP27" s="171">
        <f>SUMIF('CF(M)'!$L$11:$EQ$11,DP$6,'CF(M)'!$L32:$EQ32)</f>
        <v>0</v>
      </c>
      <c r="DQ27" s="171">
        <f>SUMIF('CF(M)'!$L$11:$EQ$11,DQ$6,'CF(M)'!$L32:$EQ32)</f>
        <v>0</v>
      </c>
      <c r="DR27" s="171">
        <f>SUMIF('CF(M)'!$L$11:$EQ$11,DR$6,'CF(M)'!$L32:$EQ32)</f>
        <v>0</v>
      </c>
      <c r="DS27" s="171">
        <f>SUMIF('CF(M)'!$L$11:$EQ$11,DS$6,'CF(M)'!$L32:$EQ32)</f>
        <v>0</v>
      </c>
      <c r="DT27" s="171">
        <f>SUMIF('CF(M)'!$L$11:$EQ$11,DT$6,'CF(M)'!$L32:$EQ32)</f>
        <v>0</v>
      </c>
      <c r="DU27" s="171">
        <f>SUMIF('CF(M)'!$L$11:$EQ$11,DU$6,'CF(M)'!$L32:$EQ32)</f>
        <v>0</v>
      </c>
      <c r="DV27" s="171">
        <f>SUMIF('CF(M)'!$L$11:$EQ$11,DV$6,'CF(M)'!$L32:$EQ32)</f>
        <v>0</v>
      </c>
    </row>
    <row r="28" spans="2:126" ht="11.25" customHeight="1">
      <c r="B28" s="218"/>
      <c r="C28" s="163"/>
      <c r="D28" s="169" t="s">
        <v>465</v>
      </c>
      <c r="H28" s="146"/>
      <c r="I28" s="13"/>
      <c r="J28" s="171">
        <f t="shared" si="12"/>
        <v>-892287.86244979396</v>
      </c>
      <c r="K28" s="98"/>
      <c r="L28" s="171">
        <f>SUMIF('CF(M)'!$L$11:$EQ$11,L$6,'CF(M)'!$L33:$EQ33)</f>
        <v>0</v>
      </c>
      <c r="M28" s="171">
        <f>SUMIF('CF(M)'!$L$11:$EQ$11,M$6,'CF(M)'!$L33:$EQ33)</f>
        <v>-10873.369999999999</v>
      </c>
      <c r="N28" s="171">
        <f>SUMIF('CF(M)'!$L$11:$EQ$11,N$6,'CF(M)'!$L33:$EQ33)</f>
        <v>0</v>
      </c>
      <c r="O28" s="171">
        <f>SUMIF('CF(M)'!$L$11:$EQ$11,O$6,'CF(M)'!$L33:$EQ33)</f>
        <v>-68398.392522169117</v>
      </c>
      <c r="P28" s="171">
        <f>SUMIF('CF(M)'!$L$11:$EQ$11,P$6,'CF(M)'!$L33:$EQ33)</f>
        <v>-43755.497312074367</v>
      </c>
      <c r="Q28" s="171">
        <f>SUMIF('CF(M)'!$L$11:$EQ$11,Q$6,'CF(M)'!$L33:$EQ33)</f>
        <v>0</v>
      </c>
      <c r="R28" s="171">
        <f>SUMIF('CF(M)'!$L$11:$EQ$11,R$6,'CF(M)'!$L33:$EQ33)</f>
        <v>0</v>
      </c>
      <c r="S28" s="171">
        <f>SUMIF('CF(M)'!$L$11:$EQ$11,S$6,'CF(M)'!$L33:$EQ33)</f>
        <v>0</v>
      </c>
      <c r="T28" s="171">
        <f>SUMIF('CF(M)'!$L$11:$EQ$11,T$6,'CF(M)'!$L33:$EQ33)</f>
        <v>-677538.27343214501</v>
      </c>
      <c r="U28" s="171">
        <f>SUMIF('CF(M)'!$L$11:$EQ$11,U$6,'CF(M)'!$L33:$EQ33)</f>
        <v>-91722.329183405498</v>
      </c>
      <c r="V28" s="171">
        <f>SUMIF('CF(M)'!$L$11:$EQ$11,V$6,'CF(M)'!$L33:$EQ33)</f>
        <v>0</v>
      </c>
      <c r="W28" s="171">
        <f>SUMIF('CF(M)'!$L$11:$EQ$11,W$6,'CF(M)'!$L33:$EQ33)</f>
        <v>0</v>
      </c>
      <c r="X28" s="171">
        <f>SUMIF('CF(M)'!$L$11:$EQ$11,X$6,'CF(M)'!$L33:$EQ33)</f>
        <v>0</v>
      </c>
      <c r="Y28" s="171">
        <f>SUMIF('CF(M)'!$L$11:$EQ$11,Y$6,'CF(M)'!$L33:$EQ33)</f>
        <v>0</v>
      </c>
      <c r="Z28" s="171">
        <f>SUMIF('CF(M)'!$L$11:$EQ$11,Z$6,'CF(M)'!$L33:$EQ33)</f>
        <v>0</v>
      </c>
      <c r="AA28" s="171">
        <f>SUMIF('CF(M)'!$L$11:$EQ$11,AA$6,'CF(M)'!$L33:$EQ33)</f>
        <v>0</v>
      </c>
      <c r="AB28" s="171">
        <f>SUMIF('CF(M)'!$L$11:$EQ$11,AB$6,'CF(M)'!$L33:$EQ33)</f>
        <v>0</v>
      </c>
      <c r="AC28" s="171">
        <f>SUMIF('CF(M)'!$L$11:$EQ$11,AC$6,'CF(M)'!$L33:$EQ33)</f>
        <v>0</v>
      </c>
      <c r="AD28" s="171">
        <f>SUMIF('CF(M)'!$L$11:$EQ$11,AD$6,'CF(M)'!$L33:$EQ33)</f>
        <v>0</v>
      </c>
      <c r="AE28" s="171">
        <f>SUMIF('CF(M)'!$L$11:$EQ$11,AE$6,'CF(M)'!$L33:$EQ33)</f>
        <v>0</v>
      </c>
      <c r="AF28" s="171">
        <f>SUMIF('CF(M)'!$L$11:$EQ$11,AF$6,'CF(M)'!$L33:$EQ33)</f>
        <v>0</v>
      </c>
      <c r="AG28" s="171">
        <f>SUMIF('CF(M)'!$L$11:$EQ$11,AG$6,'CF(M)'!$L33:$EQ33)</f>
        <v>0</v>
      </c>
      <c r="AH28" s="171">
        <f>SUMIF('CF(M)'!$L$11:$EQ$11,AH$6,'CF(M)'!$L33:$EQ33)</f>
        <v>0</v>
      </c>
      <c r="AI28" s="171">
        <f>SUMIF('CF(M)'!$L$11:$EQ$11,AI$6,'CF(M)'!$L33:$EQ33)</f>
        <v>0</v>
      </c>
      <c r="AJ28" s="171">
        <f>SUMIF('CF(M)'!$L$11:$EQ$11,AJ$6,'CF(M)'!$L33:$EQ33)</f>
        <v>0</v>
      </c>
      <c r="AK28" s="171">
        <f>SUMIF('CF(M)'!$L$11:$EQ$11,AK$6,'CF(M)'!$L33:$EQ33)</f>
        <v>0</v>
      </c>
      <c r="AL28" s="171">
        <f>SUMIF('CF(M)'!$L$11:$EQ$11,AL$6,'CF(M)'!$L33:$EQ33)</f>
        <v>0</v>
      </c>
      <c r="AM28" s="171">
        <f>SUMIF('CF(M)'!$L$11:$EQ$11,AM$6,'CF(M)'!$L33:$EQ33)</f>
        <v>0</v>
      </c>
      <c r="AN28" s="171">
        <f>SUMIF('CF(M)'!$L$11:$EQ$11,AN$6,'CF(M)'!$L33:$EQ33)</f>
        <v>0</v>
      </c>
      <c r="AO28" s="171">
        <f>SUMIF('CF(M)'!$L$11:$EQ$11,AO$6,'CF(M)'!$L33:$EQ33)</f>
        <v>0</v>
      </c>
      <c r="AP28" s="171">
        <f>SUMIF('CF(M)'!$L$11:$EQ$11,AP$6,'CF(M)'!$L33:$EQ33)</f>
        <v>0</v>
      </c>
      <c r="AQ28" s="171">
        <f>SUMIF('CF(M)'!$L$11:$EQ$11,AQ$6,'CF(M)'!$L33:$EQ33)</f>
        <v>0</v>
      </c>
      <c r="AR28" s="171">
        <f>SUMIF('CF(M)'!$L$11:$EQ$11,AR$6,'CF(M)'!$L33:$EQ33)</f>
        <v>0</v>
      </c>
      <c r="AS28" s="171">
        <f>SUMIF('CF(M)'!$L$11:$EQ$11,AS$6,'CF(M)'!$L33:$EQ33)</f>
        <v>0</v>
      </c>
      <c r="AT28" s="171">
        <f>SUMIF('CF(M)'!$L$11:$EQ$11,AT$6,'CF(M)'!$L33:$EQ33)</f>
        <v>0</v>
      </c>
      <c r="AU28" s="171">
        <f>SUMIF('CF(M)'!$L$11:$EQ$11,AU$6,'CF(M)'!$L33:$EQ33)</f>
        <v>0</v>
      </c>
      <c r="AV28" s="171">
        <f>SUMIF('CF(M)'!$L$11:$EQ$11,AV$6,'CF(M)'!$L33:$EQ33)</f>
        <v>0</v>
      </c>
      <c r="AW28" s="171">
        <f>SUMIF('CF(M)'!$L$11:$EQ$11,AW$6,'CF(M)'!$L33:$EQ33)</f>
        <v>0</v>
      </c>
      <c r="AX28" s="171">
        <f>SUMIF('CF(M)'!$L$11:$EQ$11,AX$6,'CF(M)'!$L33:$EQ33)</f>
        <v>0</v>
      </c>
      <c r="AY28" s="171">
        <f>SUMIF('CF(M)'!$L$11:$EQ$11,AY$6,'CF(M)'!$L33:$EQ33)</f>
        <v>0</v>
      </c>
      <c r="AZ28" s="171">
        <f>SUMIF('CF(M)'!$L$11:$EQ$11,AZ$6,'CF(M)'!$L33:$EQ33)</f>
        <v>0</v>
      </c>
      <c r="BA28" s="171">
        <f>SUMIF('CF(M)'!$L$11:$EQ$11,BA$6,'CF(M)'!$L33:$EQ33)</f>
        <v>0</v>
      </c>
      <c r="BB28" s="171">
        <f>SUMIF('CF(M)'!$L$11:$EQ$11,BB$6,'CF(M)'!$L33:$EQ33)</f>
        <v>0</v>
      </c>
      <c r="BC28" s="171">
        <f>SUMIF('CF(M)'!$L$11:$EQ$11,BC$6,'CF(M)'!$L33:$EQ33)</f>
        <v>0</v>
      </c>
      <c r="BD28" s="171">
        <f>SUMIF('CF(M)'!$L$11:$EQ$11,BD$6,'CF(M)'!$L33:$EQ33)</f>
        <v>0</v>
      </c>
      <c r="BE28" s="171">
        <f>SUMIF('CF(M)'!$L$11:$EQ$11,BE$6,'CF(M)'!$L33:$EQ33)</f>
        <v>0</v>
      </c>
      <c r="BF28" s="171">
        <f>SUMIF('CF(M)'!$L$11:$EQ$11,BF$6,'CF(M)'!$L33:$EQ33)</f>
        <v>0</v>
      </c>
      <c r="BG28" s="171">
        <f>SUMIF('CF(M)'!$L$11:$EQ$11,BG$6,'CF(M)'!$L33:$EQ33)</f>
        <v>0</v>
      </c>
      <c r="BH28" s="171">
        <f>SUMIF('CF(M)'!$L$11:$EQ$11,BH$6,'CF(M)'!$L33:$EQ33)</f>
        <v>0</v>
      </c>
      <c r="BI28" s="171">
        <f>SUMIF('CF(M)'!$L$11:$EQ$11,BI$6,'CF(M)'!$L33:$EQ33)</f>
        <v>0</v>
      </c>
      <c r="BJ28" s="171">
        <f>SUMIF('CF(M)'!$L$11:$EQ$11,BJ$6,'CF(M)'!$L33:$EQ33)</f>
        <v>0</v>
      </c>
      <c r="BK28" s="171">
        <f>SUMIF('CF(M)'!$L$11:$EQ$11,BK$6,'CF(M)'!$L33:$EQ33)</f>
        <v>0</v>
      </c>
      <c r="BL28" s="171">
        <f>SUMIF('CF(M)'!$L$11:$EQ$11,BL$6,'CF(M)'!$L33:$EQ33)</f>
        <v>0</v>
      </c>
      <c r="BM28" s="171">
        <f>SUMIF('CF(M)'!$L$11:$EQ$11,BM$6,'CF(M)'!$L33:$EQ33)</f>
        <v>0</v>
      </c>
      <c r="BN28" s="171">
        <f>SUMIF('CF(M)'!$L$11:$EQ$11,BN$6,'CF(M)'!$L33:$EQ33)</f>
        <v>0</v>
      </c>
      <c r="BO28" s="171">
        <f>SUMIF('CF(M)'!$L$11:$EQ$11,BO$6,'CF(M)'!$L33:$EQ33)</f>
        <v>0</v>
      </c>
      <c r="BP28" s="171">
        <f>SUMIF('CF(M)'!$L$11:$EQ$11,BP$6,'CF(M)'!$L33:$EQ33)</f>
        <v>0</v>
      </c>
      <c r="BQ28" s="171">
        <f>SUMIF('CF(M)'!$L$11:$EQ$11,BQ$6,'CF(M)'!$L33:$EQ33)</f>
        <v>0</v>
      </c>
      <c r="BR28" s="171">
        <f>SUMIF('CF(M)'!$L$11:$EQ$11,BR$6,'CF(M)'!$L33:$EQ33)</f>
        <v>0</v>
      </c>
      <c r="BS28" s="171">
        <f>SUMIF('CF(M)'!$L$11:$EQ$11,BS$6,'CF(M)'!$L33:$EQ33)</f>
        <v>0</v>
      </c>
      <c r="BT28" s="171">
        <f>SUMIF('CF(M)'!$L$11:$EQ$11,BT$6,'CF(M)'!$L33:$EQ33)</f>
        <v>0</v>
      </c>
      <c r="BU28" s="171">
        <f>SUMIF('CF(M)'!$L$11:$EQ$11,BU$6,'CF(M)'!$L33:$EQ33)</f>
        <v>0</v>
      </c>
      <c r="BV28" s="171">
        <f>SUMIF('CF(M)'!$L$11:$EQ$11,BV$6,'CF(M)'!$L33:$EQ33)</f>
        <v>0</v>
      </c>
      <c r="BW28" s="171">
        <f>SUMIF('CF(M)'!$L$11:$EQ$11,BW$6,'CF(M)'!$L33:$EQ33)</f>
        <v>0</v>
      </c>
      <c r="BX28" s="171">
        <f>SUMIF('CF(M)'!$L$11:$EQ$11,BX$6,'CF(M)'!$L33:$EQ33)</f>
        <v>0</v>
      </c>
      <c r="BY28" s="171">
        <f>SUMIF('CF(M)'!$L$11:$EQ$11,BY$6,'CF(M)'!$L33:$EQ33)</f>
        <v>0</v>
      </c>
      <c r="BZ28" s="171">
        <f>SUMIF('CF(M)'!$L$11:$EQ$11,BZ$6,'CF(M)'!$L33:$EQ33)</f>
        <v>0</v>
      </c>
      <c r="CA28" s="171">
        <f>SUMIF('CF(M)'!$L$11:$EQ$11,CA$6,'CF(M)'!$L33:$EQ33)</f>
        <v>0</v>
      </c>
      <c r="CB28" s="171">
        <f>SUMIF('CF(M)'!$L$11:$EQ$11,CB$6,'CF(M)'!$L33:$EQ33)</f>
        <v>0</v>
      </c>
      <c r="CC28" s="171">
        <f>SUMIF('CF(M)'!$L$11:$EQ$11,CC$6,'CF(M)'!$L33:$EQ33)</f>
        <v>0</v>
      </c>
      <c r="CD28" s="171">
        <f>SUMIF('CF(M)'!$L$11:$EQ$11,CD$6,'CF(M)'!$L33:$EQ33)</f>
        <v>0</v>
      </c>
      <c r="CE28" s="171">
        <f>SUMIF('CF(M)'!$L$11:$EQ$11,CE$6,'CF(M)'!$L33:$EQ33)</f>
        <v>0</v>
      </c>
      <c r="CF28" s="171">
        <f>SUMIF('CF(M)'!$L$11:$EQ$11,CF$6,'CF(M)'!$L33:$EQ33)</f>
        <v>0</v>
      </c>
      <c r="CG28" s="171">
        <f>SUMIF('CF(M)'!$L$11:$EQ$11,CG$6,'CF(M)'!$L33:$EQ33)</f>
        <v>0</v>
      </c>
      <c r="CH28" s="171">
        <f>SUMIF('CF(M)'!$L$11:$EQ$11,CH$6,'CF(M)'!$L33:$EQ33)</f>
        <v>0</v>
      </c>
      <c r="CI28" s="171">
        <f>SUMIF('CF(M)'!$L$11:$EQ$11,CI$6,'CF(M)'!$L33:$EQ33)</f>
        <v>0</v>
      </c>
      <c r="CJ28" s="171">
        <f>SUMIF('CF(M)'!$L$11:$EQ$11,CJ$6,'CF(M)'!$L33:$EQ33)</f>
        <v>0</v>
      </c>
      <c r="CK28" s="171">
        <f>SUMIF('CF(M)'!$L$11:$EQ$11,CK$6,'CF(M)'!$L33:$EQ33)</f>
        <v>0</v>
      </c>
      <c r="CL28" s="171">
        <f>SUMIF('CF(M)'!$L$11:$EQ$11,CL$6,'CF(M)'!$L33:$EQ33)</f>
        <v>0</v>
      </c>
      <c r="CM28" s="171">
        <f>SUMIF('CF(M)'!$L$11:$EQ$11,CM$6,'CF(M)'!$L33:$EQ33)</f>
        <v>0</v>
      </c>
      <c r="CN28" s="171">
        <f>SUMIF('CF(M)'!$L$11:$EQ$11,CN$6,'CF(M)'!$L33:$EQ33)</f>
        <v>0</v>
      </c>
      <c r="CO28" s="171">
        <f>SUMIF('CF(M)'!$L$11:$EQ$11,CO$6,'CF(M)'!$L33:$EQ33)</f>
        <v>0</v>
      </c>
      <c r="CP28" s="171">
        <f>SUMIF('CF(M)'!$L$11:$EQ$11,CP$6,'CF(M)'!$L33:$EQ33)</f>
        <v>0</v>
      </c>
      <c r="CQ28" s="171">
        <f>SUMIF('CF(M)'!$L$11:$EQ$11,CQ$6,'CF(M)'!$L33:$EQ33)</f>
        <v>0</v>
      </c>
      <c r="CR28" s="171">
        <f>SUMIF('CF(M)'!$L$11:$EQ$11,CR$6,'CF(M)'!$L33:$EQ33)</f>
        <v>0</v>
      </c>
      <c r="CS28" s="171">
        <f>SUMIF('CF(M)'!$L$11:$EQ$11,CS$6,'CF(M)'!$L33:$EQ33)</f>
        <v>0</v>
      </c>
      <c r="CT28" s="171">
        <f>SUMIF('CF(M)'!$L$11:$EQ$11,CT$6,'CF(M)'!$L33:$EQ33)</f>
        <v>0</v>
      </c>
      <c r="CU28" s="171">
        <f>SUMIF('CF(M)'!$L$11:$EQ$11,CU$6,'CF(M)'!$L33:$EQ33)</f>
        <v>0</v>
      </c>
      <c r="CV28" s="171">
        <f>SUMIF('CF(M)'!$L$11:$EQ$11,CV$6,'CF(M)'!$L33:$EQ33)</f>
        <v>0</v>
      </c>
      <c r="CW28" s="171">
        <f>SUMIF('CF(M)'!$L$11:$EQ$11,CW$6,'CF(M)'!$L33:$EQ33)</f>
        <v>0</v>
      </c>
      <c r="CX28" s="171">
        <f>SUMIF('CF(M)'!$L$11:$EQ$11,CX$6,'CF(M)'!$L33:$EQ33)</f>
        <v>0</v>
      </c>
      <c r="CY28" s="171">
        <f>SUMIF('CF(M)'!$L$11:$EQ$11,CY$6,'CF(M)'!$L33:$EQ33)</f>
        <v>0</v>
      </c>
      <c r="CZ28" s="171">
        <f>SUMIF('CF(M)'!$L$11:$EQ$11,CZ$6,'CF(M)'!$L33:$EQ33)</f>
        <v>0</v>
      </c>
      <c r="DA28" s="171">
        <f>SUMIF('CF(M)'!$L$11:$EQ$11,DA$6,'CF(M)'!$L33:$EQ33)</f>
        <v>0</v>
      </c>
      <c r="DB28" s="171">
        <f>SUMIF('CF(M)'!$L$11:$EQ$11,DB$6,'CF(M)'!$L33:$EQ33)</f>
        <v>0</v>
      </c>
      <c r="DC28" s="171">
        <f>SUMIF('CF(M)'!$L$11:$EQ$11,DC$6,'CF(M)'!$L33:$EQ33)</f>
        <v>0</v>
      </c>
      <c r="DD28" s="171">
        <f>SUMIF('CF(M)'!$L$11:$EQ$11,DD$6,'CF(M)'!$L33:$EQ33)</f>
        <v>0</v>
      </c>
      <c r="DE28" s="171">
        <f>SUMIF('CF(M)'!$L$11:$EQ$11,DE$6,'CF(M)'!$L33:$EQ33)</f>
        <v>0</v>
      </c>
      <c r="DF28" s="171">
        <f>SUMIF('CF(M)'!$L$11:$EQ$11,DF$6,'CF(M)'!$L33:$EQ33)</f>
        <v>0</v>
      </c>
      <c r="DG28" s="171">
        <f>SUMIF('CF(M)'!$L$11:$EQ$11,DG$6,'CF(M)'!$L33:$EQ33)</f>
        <v>0</v>
      </c>
      <c r="DH28" s="171">
        <f>SUMIF('CF(M)'!$L$11:$EQ$11,DH$6,'CF(M)'!$L33:$EQ33)</f>
        <v>0</v>
      </c>
      <c r="DI28" s="171">
        <f>SUMIF('CF(M)'!$L$11:$EQ$11,DI$6,'CF(M)'!$L33:$EQ33)</f>
        <v>0</v>
      </c>
      <c r="DJ28" s="171">
        <f>SUMIF('CF(M)'!$L$11:$EQ$11,DJ$6,'CF(M)'!$L33:$EQ33)</f>
        <v>0</v>
      </c>
      <c r="DK28" s="171">
        <f>SUMIF('CF(M)'!$L$11:$EQ$11,DK$6,'CF(M)'!$L33:$EQ33)</f>
        <v>0</v>
      </c>
      <c r="DL28" s="171">
        <f>SUMIF('CF(M)'!$L$11:$EQ$11,DL$6,'CF(M)'!$L33:$EQ33)</f>
        <v>0</v>
      </c>
      <c r="DM28" s="171">
        <f>SUMIF('CF(M)'!$L$11:$EQ$11,DM$6,'CF(M)'!$L33:$EQ33)</f>
        <v>0</v>
      </c>
      <c r="DN28" s="171">
        <f>SUMIF('CF(M)'!$L$11:$EQ$11,DN$6,'CF(M)'!$L33:$EQ33)</f>
        <v>0</v>
      </c>
      <c r="DO28" s="171">
        <f>SUMIF('CF(M)'!$L$11:$EQ$11,DO$6,'CF(M)'!$L33:$EQ33)</f>
        <v>0</v>
      </c>
      <c r="DP28" s="171">
        <f>SUMIF('CF(M)'!$L$11:$EQ$11,DP$6,'CF(M)'!$L33:$EQ33)</f>
        <v>0</v>
      </c>
      <c r="DQ28" s="171">
        <f>SUMIF('CF(M)'!$L$11:$EQ$11,DQ$6,'CF(M)'!$L33:$EQ33)</f>
        <v>0</v>
      </c>
      <c r="DR28" s="171">
        <f>SUMIF('CF(M)'!$L$11:$EQ$11,DR$6,'CF(M)'!$L33:$EQ33)</f>
        <v>0</v>
      </c>
      <c r="DS28" s="171">
        <f>SUMIF('CF(M)'!$L$11:$EQ$11,DS$6,'CF(M)'!$L33:$EQ33)</f>
        <v>0</v>
      </c>
      <c r="DT28" s="171">
        <f>SUMIF('CF(M)'!$L$11:$EQ$11,DT$6,'CF(M)'!$L33:$EQ33)</f>
        <v>0</v>
      </c>
      <c r="DU28" s="171">
        <f>SUMIF('CF(M)'!$L$11:$EQ$11,DU$6,'CF(M)'!$L33:$EQ33)</f>
        <v>0</v>
      </c>
      <c r="DV28" s="171">
        <f>SUMIF('CF(M)'!$L$11:$EQ$11,DV$6,'CF(M)'!$L33:$EQ33)</f>
        <v>0</v>
      </c>
    </row>
    <row r="29" spans="2:126" ht="11.25" customHeight="1">
      <c r="B29" s="218"/>
      <c r="C29" s="158" t="s">
        <v>189</v>
      </c>
      <c r="D29" s="159"/>
      <c r="E29" s="159"/>
      <c r="F29" s="159"/>
      <c r="G29" s="159"/>
      <c r="H29" s="160"/>
      <c r="I29" s="219"/>
      <c r="J29" s="220">
        <f>SUM(J30:J34)</f>
        <v>-8096991.6246850528</v>
      </c>
      <c r="K29" s="98"/>
      <c r="L29" s="162">
        <f>SUM(L30:L34)</f>
        <v>0</v>
      </c>
      <c r="M29" s="162">
        <f t="shared" ref="M29:BX29" si="15">SUM(M30:M34)</f>
        <v>-800581.84087102185</v>
      </c>
      <c r="N29" s="162">
        <f t="shared" si="15"/>
        <v>-802501.84087102185</v>
      </c>
      <c r="O29" s="162">
        <f t="shared" si="15"/>
        <v>-804460.24087102187</v>
      </c>
      <c r="P29" s="162">
        <f t="shared" si="15"/>
        <v>-806457.80887102184</v>
      </c>
      <c r="Q29" s="162">
        <f t="shared" si="15"/>
        <v>-808495.32823102188</v>
      </c>
      <c r="R29" s="162">
        <f t="shared" si="15"/>
        <v>-810573.59797822183</v>
      </c>
      <c r="S29" s="162">
        <f t="shared" si="15"/>
        <v>-812693.43312036584</v>
      </c>
      <c r="T29" s="162">
        <f t="shared" si="15"/>
        <v>-814855.66496535274</v>
      </c>
      <c r="U29" s="162">
        <f t="shared" si="15"/>
        <v>-817061.14144723932</v>
      </c>
      <c r="V29" s="162">
        <f t="shared" si="15"/>
        <v>-819310.72745876363</v>
      </c>
      <c r="W29" s="162">
        <f t="shared" si="15"/>
        <v>0</v>
      </c>
      <c r="X29" s="162">
        <f t="shared" si="15"/>
        <v>0</v>
      </c>
      <c r="Y29" s="162">
        <f t="shared" si="15"/>
        <v>0</v>
      </c>
      <c r="Z29" s="162">
        <f t="shared" si="15"/>
        <v>0</v>
      </c>
      <c r="AA29" s="162">
        <f t="shared" si="15"/>
        <v>0</v>
      </c>
      <c r="AB29" s="162">
        <f t="shared" si="15"/>
        <v>0</v>
      </c>
      <c r="AC29" s="162">
        <f t="shared" si="15"/>
        <v>0</v>
      </c>
      <c r="AD29" s="162">
        <f t="shared" si="15"/>
        <v>0</v>
      </c>
      <c r="AE29" s="162">
        <f t="shared" si="15"/>
        <v>0</v>
      </c>
      <c r="AF29" s="162">
        <f t="shared" si="15"/>
        <v>0</v>
      </c>
      <c r="AG29" s="162">
        <f t="shared" si="15"/>
        <v>0</v>
      </c>
      <c r="AH29" s="162">
        <f t="shared" si="15"/>
        <v>0</v>
      </c>
      <c r="AI29" s="162">
        <f t="shared" si="15"/>
        <v>0</v>
      </c>
      <c r="AJ29" s="162">
        <f t="shared" si="15"/>
        <v>0</v>
      </c>
      <c r="AK29" s="162">
        <f t="shared" si="15"/>
        <v>0</v>
      </c>
      <c r="AL29" s="162">
        <f t="shared" si="15"/>
        <v>0</v>
      </c>
      <c r="AM29" s="162">
        <f t="shared" si="15"/>
        <v>0</v>
      </c>
      <c r="AN29" s="162">
        <f t="shared" si="15"/>
        <v>0</v>
      </c>
      <c r="AO29" s="162">
        <f t="shared" si="15"/>
        <v>0</v>
      </c>
      <c r="AP29" s="162">
        <f t="shared" si="15"/>
        <v>0</v>
      </c>
      <c r="AQ29" s="162">
        <f t="shared" si="15"/>
        <v>0</v>
      </c>
      <c r="AR29" s="162">
        <f t="shared" si="15"/>
        <v>0</v>
      </c>
      <c r="AS29" s="162">
        <f t="shared" si="15"/>
        <v>0</v>
      </c>
      <c r="AT29" s="162">
        <f t="shared" si="15"/>
        <v>0</v>
      </c>
      <c r="AU29" s="162">
        <f t="shared" si="15"/>
        <v>0</v>
      </c>
      <c r="AV29" s="162">
        <f t="shared" si="15"/>
        <v>0</v>
      </c>
      <c r="AW29" s="162">
        <f t="shared" si="15"/>
        <v>0</v>
      </c>
      <c r="AX29" s="162">
        <f t="shared" si="15"/>
        <v>0</v>
      </c>
      <c r="AY29" s="162">
        <f t="shared" si="15"/>
        <v>0</v>
      </c>
      <c r="AZ29" s="162">
        <f t="shared" si="15"/>
        <v>0</v>
      </c>
      <c r="BA29" s="162">
        <f t="shared" si="15"/>
        <v>0</v>
      </c>
      <c r="BB29" s="162">
        <f t="shared" si="15"/>
        <v>0</v>
      </c>
      <c r="BC29" s="162">
        <f t="shared" si="15"/>
        <v>0</v>
      </c>
      <c r="BD29" s="162">
        <f t="shared" si="15"/>
        <v>0</v>
      </c>
      <c r="BE29" s="162">
        <f t="shared" si="15"/>
        <v>0</v>
      </c>
      <c r="BF29" s="162">
        <f t="shared" si="15"/>
        <v>0</v>
      </c>
      <c r="BG29" s="162">
        <f t="shared" si="15"/>
        <v>0</v>
      </c>
      <c r="BH29" s="162">
        <f t="shared" si="15"/>
        <v>0</v>
      </c>
      <c r="BI29" s="162">
        <f t="shared" si="15"/>
        <v>0</v>
      </c>
      <c r="BJ29" s="162">
        <f t="shared" si="15"/>
        <v>0</v>
      </c>
      <c r="BK29" s="162">
        <f t="shared" si="15"/>
        <v>0</v>
      </c>
      <c r="BL29" s="162">
        <f t="shared" si="15"/>
        <v>0</v>
      </c>
      <c r="BM29" s="162">
        <f t="shared" si="15"/>
        <v>0</v>
      </c>
      <c r="BN29" s="162">
        <f t="shared" si="15"/>
        <v>0</v>
      </c>
      <c r="BO29" s="162">
        <f t="shared" si="15"/>
        <v>0</v>
      </c>
      <c r="BP29" s="162">
        <f t="shared" si="15"/>
        <v>0</v>
      </c>
      <c r="BQ29" s="162">
        <f t="shared" si="15"/>
        <v>0</v>
      </c>
      <c r="BR29" s="162">
        <f t="shared" si="15"/>
        <v>0</v>
      </c>
      <c r="BS29" s="162">
        <f t="shared" si="15"/>
        <v>0</v>
      </c>
      <c r="BT29" s="162">
        <f t="shared" si="15"/>
        <v>0</v>
      </c>
      <c r="BU29" s="162">
        <f t="shared" si="15"/>
        <v>0</v>
      </c>
      <c r="BV29" s="162">
        <f t="shared" si="15"/>
        <v>0</v>
      </c>
      <c r="BW29" s="162">
        <f t="shared" si="15"/>
        <v>0</v>
      </c>
      <c r="BX29" s="162">
        <f t="shared" si="15"/>
        <v>0</v>
      </c>
      <c r="BY29" s="162">
        <f t="shared" ref="BY29:DV29" si="16">SUM(BY30:BY34)</f>
        <v>0</v>
      </c>
      <c r="BZ29" s="162">
        <f t="shared" si="16"/>
        <v>0</v>
      </c>
      <c r="CA29" s="162">
        <f t="shared" si="16"/>
        <v>0</v>
      </c>
      <c r="CB29" s="162">
        <f t="shared" si="16"/>
        <v>0</v>
      </c>
      <c r="CC29" s="162">
        <f t="shared" si="16"/>
        <v>0</v>
      </c>
      <c r="CD29" s="162">
        <f t="shared" si="16"/>
        <v>0</v>
      </c>
      <c r="CE29" s="162">
        <f t="shared" si="16"/>
        <v>0</v>
      </c>
      <c r="CF29" s="162">
        <f t="shared" si="16"/>
        <v>0</v>
      </c>
      <c r="CG29" s="162">
        <f t="shared" si="16"/>
        <v>0</v>
      </c>
      <c r="CH29" s="162">
        <f t="shared" si="16"/>
        <v>0</v>
      </c>
      <c r="CI29" s="162">
        <f t="shared" si="16"/>
        <v>0</v>
      </c>
      <c r="CJ29" s="162">
        <f t="shared" si="16"/>
        <v>0</v>
      </c>
      <c r="CK29" s="162">
        <f t="shared" si="16"/>
        <v>0</v>
      </c>
      <c r="CL29" s="162">
        <f t="shared" si="16"/>
        <v>0</v>
      </c>
      <c r="CM29" s="162">
        <f t="shared" si="16"/>
        <v>0</v>
      </c>
      <c r="CN29" s="162">
        <f t="shared" si="16"/>
        <v>0</v>
      </c>
      <c r="CO29" s="162">
        <f t="shared" si="16"/>
        <v>0</v>
      </c>
      <c r="CP29" s="162">
        <f t="shared" si="16"/>
        <v>0</v>
      </c>
      <c r="CQ29" s="162">
        <f t="shared" si="16"/>
        <v>0</v>
      </c>
      <c r="CR29" s="162">
        <f t="shared" si="16"/>
        <v>0</v>
      </c>
      <c r="CS29" s="162">
        <f t="shared" si="16"/>
        <v>0</v>
      </c>
      <c r="CT29" s="162">
        <f t="shared" si="16"/>
        <v>0</v>
      </c>
      <c r="CU29" s="162">
        <f t="shared" si="16"/>
        <v>0</v>
      </c>
      <c r="CV29" s="162">
        <f t="shared" si="16"/>
        <v>0</v>
      </c>
      <c r="CW29" s="162">
        <f t="shared" si="16"/>
        <v>0</v>
      </c>
      <c r="CX29" s="162">
        <f t="shared" si="16"/>
        <v>0</v>
      </c>
      <c r="CY29" s="162">
        <f t="shared" si="16"/>
        <v>0</v>
      </c>
      <c r="CZ29" s="162">
        <f t="shared" si="16"/>
        <v>0</v>
      </c>
      <c r="DA29" s="162">
        <f t="shared" si="16"/>
        <v>0</v>
      </c>
      <c r="DB29" s="162">
        <f t="shared" si="16"/>
        <v>0</v>
      </c>
      <c r="DC29" s="162">
        <f t="shared" si="16"/>
        <v>0</v>
      </c>
      <c r="DD29" s="162">
        <f t="shared" si="16"/>
        <v>0</v>
      </c>
      <c r="DE29" s="162">
        <f t="shared" si="16"/>
        <v>0</v>
      </c>
      <c r="DF29" s="162">
        <f t="shared" si="16"/>
        <v>0</v>
      </c>
      <c r="DG29" s="162">
        <f t="shared" si="16"/>
        <v>0</v>
      </c>
      <c r="DH29" s="162">
        <f t="shared" si="16"/>
        <v>0</v>
      </c>
      <c r="DI29" s="162">
        <f t="shared" si="16"/>
        <v>0</v>
      </c>
      <c r="DJ29" s="162">
        <f t="shared" si="16"/>
        <v>0</v>
      </c>
      <c r="DK29" s="162">
        <f t="shared" si="16"/>
        <v>0</v>
      </c>
      <c r="DL29" s="162">
        <f t="shared" si="16"/>
        <v>0</v>
      </c>
      <c r="DM29" s="162">
        <f t="shared" si="16"/>
        <v>0</v>
      </c>
      <c r="DN29" s="162">
        <f t="shared" si="16"/>
        <v>0</v>
      </c>
      <c r="DO29" s="162">
        <f t="shared" si="16"/>
        <v>0</v>
      </c>
      <c r="DP29" s="162">
        <f t="shared" si="16"/>
        <v>0</v>
      </c>
      <c r="DQ29" s="162">
        <f t="shared" si="16"/>
        <v>0</v>
      </c>
      <c r="DR29" s="162">
        <f t="shared" si="16"/>
        <v>0</v>
      </c>
      <c r="DS29" s="162">
        <f t="shared" si="16"/>
        <v>0</v>
      </c>
      <c r="DT29" s="162">
        <f t="shared" si="16"/>
        <v>0</v>
      </c>
      <c r="DU29" s="162">
        <f t="shared" si="16"/>
        <v>0</v>
      </c>
      <c r="DV29" s="162">
        <f t="shared" si="16"/>
        <v>0</v>
      </c>
    </row>
    <row r="30" spans="2:126" ht="11.25" customHeight="1">
      <c r="B30" s="218"/>
      <c r="C30" s="163"/>
      <c r="D30" s="164" t="s">
        <v>463</v>
      </c>
      <c r="E30" s="165"/>
      <c r="F30" s="165"/>
      <c r="G30" s="165"/>
      <c r="H30" s="166"/>
      <c r="I30" s="221"/>
      <c r="J30" s="168">
        <f t="shared" si="12"/>
        <v>-262793.30399370857</v>
      </c>
      <c r="K30" s="98"/>
      <c r="L30" s="168">
        <f>SUMIF('CF(M)'!$L$11:$EQ$11,L$6,'CF(M)'!$L35:$EQ35)</f>
        <v>0</v>
      </c>
      <c r="M30" s="168">
        <f>SUMIF('CF(M)'!$L$11:$EQ$11,M$6,'CF(M)'!$L35:$EQ35)</f>
        <v>-24000</v>
      </c>
      <c r="N30" s="168">
        <f>SUMIF('CF(M)'!$L$11:$EQ$11,N$6,'CF(M)'!$L35:$EQ35)</f>
        <v>-24480</v>
      </c>
      <c r="O30" s="168">
        <f>SUMIF('CF(M)'!$L$11:$EQ$11,O$6,'CF(M)'!$L35:$EQ35)</f>
        <v>-24969.599999999995</v>
      </c>
      <c r="P30" s="168">
        <f>SUMIF('CF(M)'!$L$11:$EQ$11,P$6,'CF(M)'!$L35:$EQ35)</f>
        <v>-25468.992000000002</v>
      </c>
      <c r="Q30" s="168">
        <f>SUMIF('CF(M)'!$L$11:$EQ$11,Q$6,'CF(M)'!$L35:$EQ35)</f>
        <v>-25978.371840000003</v>
      </c>
      <c r="R30" s="168">
        <f>SUMIF('CF(M)'!$L$11:$EQ$11,R$6,'CF(M)'!$L35:$EQ35)</f>
        <v>-26497.939276800007</v>
      </c>
      <c r="S30" s="168">
        <f>SUMIF('CF(M)'!$L$11:$EQ$11,S$6,'CF(M)'!$L35:$EQ35)</f>
        <v>-27027.898062336011</v>
      </c>
      <c r="T30" s="168">
        <f>SUMIF('CF(M)'!$L$11:$EQ$11,T$6,'CF(M)'!$L35:$EQ35)</f>
        <v>-27568.456023582708</v>
      </c>
      <c r="U30" s="168">
        <f>SUMIF('CF(M)'!$L$11:$EQ$11,U$6,'CF(M)'!$L35:$EQ35)</f>
        <v>-28119.825144054379</v>
      </c>
      <c r="V30" s="168">
        <f>SUMIF('CF(M)'!$L$11:$EQ$11,V$6,'CF(M)'!$L35:$EQ35)</f>
        <v>-28682.221646935461</v>
      </c>
      <c r="W30" s="168">
        <f>SUMIF('CF(M)'!$L$11:$EQ$11,W$6,'CF(M)'!$L35:$EQ35)</f>
        <v>0</v>
      </c>
      <c r="X30" s="168">
        <f>SUMIF('CF(M)'!$L$11:$EQ$11,X$6,'CF(M)'!$L35:$EQ35)</f>
        <v>0</v>
      </c>
      <c r="Y30" s="168">
        <f>SUMIF('CF(M)'!$L$11:$EQ$11,Y$6,'CF(M)'!$L35:$EQ35)</f>
        <v>0</v>
      </c>
      <c r="Z30" s="168">
        <f>SUMIF('CF(M)'!$L$11:$EQ$11,Z$6,'CF(M)'!$L35:$EQ35)</f>
        <v>0</v>
      </c>
      <c r="AA30" s="168">
        <f>SUMIF('CF(M)'!$L$11:$EQ$11,AA$6,'CF(M)'!$L35:$EQ35)</f>
        <v>0</v>
      </c>
      <c r="AB30" s="168">
        <f>SUMIF('CF(M)'!$L$11:$EQ$11,AB$6,'CF(M)'!$L35:$EQ35)</f>
        <v>0</v>
      </c>
      <c r="AC30" s="168">
        <f>SUMIF('CF(M)'!$L$11:$EQ$11,AC$6,'CF(M)'!$L35:$EQ35)</f>
        <v>0</v>
      </c>
      <c r="AD30" s="168">
        <f>SUMIF('CF(M)'!$L$11:$EQ$11,AD$6,'CF(M)'!$L35:$EQ35)</f>
        <v>0</v>
      </c>
      <c r="AE30" s="168">
        <f>SUMIF('CF(M)'!$L$11:$EQ$11,AE$6,'CF(M)'!$L35:$EQ35)</f>
        <v>0</v>
      </c>
      <c r="AF30" s="168">
        <f>SUMIF('CF(M)'!$L$11:$EQ$11,AF$6,'CF(M)'!$L35:$EQ35)</f>
        <v>0</v>
      </c>
      <c r="AG30" s="168">
        <f>SUMIF('CF(M)'!$L$11:$EQ$11,AG$6,'CF(M)'!$L35:$EQ35)</f>
        <v>0</v>
      </c>
      <c r="AH30" s="168">
        <f>SUMIF('CF(M)'!$L$11:$EQ$11,AH$6,'CF(M)'!$L35:$EQ35)</f>
        <v>0</v>
      </c>
      <c r="AI30" s="168">
        <f>SUMIF('CF(M)'!$L$11:$EQ$11,AI$6,'CF(M)'!$L35:$EQ35)</f>
        <v>0</v>
      </c>
      <c r="AJ30" s="168">
        <f>SUMIF('CF(M)'!$L$11:$EQ$11,AJ$6,'CF(M)'!$L35:$EQ35)</f>
        <v>0</v>
      </c>
      <c r="AK30" s="168">
        <f>SUMIF('CF(M)'!$L$11:$EQ$11,AK$6,'CF(M)'!$L35:$EQ35)</f>
        <v>0</v>
      </c>
      <c r="AL30" s="168">
        <f>SUMIF('CF(M)'!$L$11:$EQ$11,AL$6,'CF(M)'!$L35:$EQ35)</f>
        <v>0</v>
      </c>
      <c r="AM30" s="168">
        <f>SUMIF('CF(M)'!$L$11:$EQ$11,AM$6,'CF(M)'!$L35:$EQ35)</f>
        <v>0</v>
      </c>
      <c r="AN30" s="168">
        <f>SUMIF('CF(M)'!$L$11:$EQ$11,AN$6,'CF(M)'!$L35:$EQ35)</f>
        <v>0</v>
      </c>
      <c r="AO30" s="168">
        <f>SUMIF('CF(M)'!$L$11:$EQ$11,AO$6,'CF(M)'!$L35:$EQ35)</f>
        <v>0</v>
      </c>
      <c r="AP30" s="168">
        <f>SUMIF('CF(M)'!$L$11:$EQ$11,AP$6,'CF(M)'!$L35:$EQ35)</f>
        <v>0</v>
      </c>
      <c r="AQ30" s="168">
        <f>SUMIF('CF(M)'!$L$11:$EQ$11,AQ$6,'CF(M)'!$L35:$EQ35)</f>
        <v>0</v>
      </c>
      <c r="AR30" s="168">
        <f>SUMIF('CF(M)'!$L$11:$EQ$11,AR$6,'CF(M)'!$L35:$EQ35)</f>
        <v>0</v>
      </c>
      <c r="AS30" s="168">
        <f>SUMIF('CF(M)'!$L$11:$EQ$11,AS$6,'CF(M)'!$L35:$EQ35)</f>
        <v>0</v>
      </c>
      <c r="AT30" s="168">
        <f>SUMIF('CF(M)'!$L$11:$EQ$11,AT$6,'CF(M)'!$L35:$EQ35)</f>
        <v>0</v>
      </c>
      <c r="AU30" s="168">
        <f>SUMIF('CF(M)'!$L$11:$EQ$11,AU$6,'CF(M)'!$L35:$EQ35)</f>
        <v>0</v>
      </c>
      <c r="AV30" s="168">
        <f>SUMIF('CF(M)'!$L$11:$EQ$11,AV$6,'CF(M)'!$L35:$EQ35)</f>
        <v>0</v>
      </c>
      <c r="AW30" s="168">
        <f>SUMIF('CF(M)'!$L$11:$EQ$11,AW$6,'CF(M)'!$L35:$EQ35)</f>
        <v>0</v>
      </c>
      <c r="AX30" s="168">
        <f>SUMIF('CF(M)'!$L$11:$EQ$11,AX$6,'CF(M)'!$L35:$EQ35)</f>
        <v>0</v>
      </c>
      <c r="AY30" s="168">
        <f>SUMIF('CF(M)'!$L$11:$EQ$11,AY$6,'CF(M)'!$L35:$EQ35)</f>
        <v>0</v>
      </c>
      <c r="AZ30" s="168">
        <f>SUMIF('CF(M)'!$L$11:$EQ$11,AZ$6,'CF(M)'!$L35:$EQ35)</f>
        <v>0</v>
      </c>
      <c r="BA30" s="168">
        <f>SUMIF('CF(M)'!$L$11:$EQ$11,BA$6,'CF(M)'!$L35:$EQ35)</f>
        <v>0</v>
      </c>
      <c r="BB30" s="168">
        <f>SUMIF('CF(M)'!$L$11:$EQ$11,BB$6,'CF(M)'!$L35:$EQ35)</f>
        <v>0</v>
      </c>
      <c r="BC30" s="168">
        <f>SUMIF('CF(M)'!$L$11:$EQ$11,BC$6,'CF(M)'!$L35:$EQ35)</f>
        <v>0</v>
      </c>
      <c r="BD30" s="168">
        <f>SUMIF('CF(M)'!$L$11:$EQ$11,BD$6,'CF(M)'!$L35:$EQ35)</f>
        <v>0</v>
      </c>
      <c r="BE30" s="168">
        <f>SUMIF('CF(M)'!$L$11:$EQ$11,BE$6,'CF(M)'!$L35:$EQ35)</f>
        <v>0</v>
      </c>
      <c r="BF30" s="168">
        <f>SUMIF('CF(M)'!$L$11:$EQ$11,BF$6,'CF(M)'!$L35:$EQ35)</f>
        <v>0</v>
      </c>
      <c r="BG30" s="168">
        <f>SUMIF('CF(M)'!$L$11:$EQ$11,BG$6,'CF(M)'!$L35:$EQ35)</f>
        <v>0</v>
      </c>
      <c r="BH30" s="168">
        <f>SUMIF('CF(M)'!$L$11:$EQ$11,BH$6,'CF(M)'!$L35:$EQ35)</f>
        <v>0</v>
      </c>
      <c r="BI30" s="168">
        <f>SUMIF('CF(M)'!$L$11:$EQ$11,BI$6,'CF(M)'!$L35:$EQ35)</f>
        <v>0</v>
      </c>
      <c r="BJ30" s="168">
        <f>SUMIF('CF(M)'!$L$11:$EQ$11,BJ$6,'CF(M)'!$L35:$EQ35)</f>
        <v>0</v>
      </c>
      <c r="BK30" s="168">
        <f>SUMIF('CF(M)'!$L$11:$EQ$11,BK$6,'CF(M)'!$L35:$EQ35)</f>
        <v>0</v>
      </c>
      <c r="BL30" s="168">
        <f>SUMIF('CF(M)'!$L$11:$EQ$11,BL$6,'CF(M)'!$L35:$EQ35)</f>
        <v>0</v>
      </c>
      <c r="BM30" s="168">
        <f>SUMIF('CF(M)'!$L$11:$EQ$11,BM$6,'CF(M)'!$L35:$EQ35)</f>
        <v>0</v>
      </c>
      <c r="BN30" s="168">
        <f>SUMIF('CF(M)'!$L$11:$EQ$11,BN$6,'CF(M)'!$L35:$EQ35)</f>
        <v>0</v>
      </c>
      <c r="BO30" s="168">
        <f>SUMIF('CF(M)'!$L$11:$EQ$11,BO$6,'CF(M)'!$L35:$EQ35)</f>
        <v>0</v>
      </c>
      <c r="BP30" s="168">
        <f>SUMIF('CF(M)'!$L$11:$EQ$11,BP$6,'CF(M)'!$L35:$EQ35)</f>
        <v>0</v>
      </c>
      <c r="BQ30" s="168">
        <f>SUMIF('CF(M)'!$L$11:$EQ$11,BQ$6,'CF(M)'!$L35:$EQ35)</f>
        <v>0</v>
      </c>
      <c r="BR30" s="168">
        <f>SUMIF('CF(M)'!$L$11:$EQ$11,BR$6,'CF(M)'!$L35:$EQ35)</f>
        <v>0</v>
      </c>
      <c r="BS30" s="168">
        <f>SUMIF('CF(M)'!$L$11:$EQ$11,BS$6,'CF(M)'!$L35:$EQ35)</f>
        <v>0</v>
      </c>
      <c r="BT30" s="168">
        <f>SUMIF('CF(M)'!$L$11:$EQ$11,BT$6,'CF(M)'!$L35:$EQ35)</f>
        <v>0</v>
      </c>
      <c r="BU30" s="168">
        <f>SUMIF('CF(M)'!$L$11:$EQ$11,BU$6,'CF(M)'!$L35:$EQ35)</f>
        <v>0</v>
      </c>
      <c r="BV30" s="168">
        <f>SUMIF('CF(M)'!$L$11:$EQ$11,BV$6,'CF(M)'!$L35:$EQ35)</f>
        <v>0</v>
      </c>
      <c r="BW30" s="168">
        <f>SUMIF('CF(M)'!$L$11:$EQ$11,BW$6,'CF(M)'!$L35:$EQ35)</f>
        <v>0</v>
      </c>
      <c r="BX30" s="168">
        <f>SUMIF('CF(M)'!$L$11:$EQ$11,BX$6,'CF(M)'!$L35:$EQ35)</f>
        <v>0</v>
      </c>
      <c r="BY30" s="168">
        <f>SUMIF('CF(M)'!$L$11:$EQ$11,BY$6,'CF(M)'!$L35:$EQ35)</f>
        <v>0</v>
      </c>
      <c r="BZ30" s="168">
        <f>SUMIF('CF(M)'!$L$11:$EQ$11,BZ$6,'CF(M)'!$L35:$EQ35)</f>
        <v>0</v>
      </c>
      <c r="CA30" s="168">
        <f>SUMIF('CF(M)'!$L$11:$EQ$11,CA$6,'CF(M)'!$L35:$EQ35)</f>
        <v>0</v>
      </c>
      <c r="CB30" s="168">
        <f>SUMIF('CF(M)'!$L$11:$EQ$11,CB$6,'CF(M)'!$L35:$EQ35)</f>
        <v>0</v>
      </c>
      <c r="CC30" s="168">
        <f>SUMIF('CF(M)'!$L$11:$EQ$11,CC$6,'CF(M)'!$L35:$EQ35)</f>
        <v>0</v>
      </c>
      <c r="CD30" s="168">
        <f>SUMIF('CF(M)'!$L$11:$EQ$11,CD$6,'CF(M)'!$L35:$EQ35)</f>
        <v>0</v>
      </c>
      <c r="CE30" s="168">
        <f>SUMIF('CF(M)'!$L$11:$EQ$11,CE$6,'CF(M)'!$L35:$EQ35)</f>
        <v>0</v>
      </c>
      <c r="CF30" s="168">
        <f>SUMIF('CF(M)'!$L$11:$EQ$11,CF$6,'CF(M)'!$L35:$EQ35)</f>
        <v>0</v>
      </c>
      <c r="CG30" s="168">
        <f>SUMIF('CF(M)'!$L$11:$EQ$11,CG$6,'CF(M)'!$L35:$EQ35)</f>
        <v>0</v>
      </c>
      <c r="CH30" s="168">
        <f>SUMIF('CF(M)'!$L$11:$EQ$11,CH$6,'CF(M)'!$L35:$EQ35)</f>
        <v>0</v>
      </c>
      <c r="CI30" s="168">
        <f>SUMIF('CF(M)'!$L$11:$EQ$11,CI$6,'CF(M)'!$L35:$EQ35)</f>
        <v>0</v>
      </c>
      <c r="CJ30" s="168">
        <f>SUMIF('CF(M)'!$L$11:$EQ$11,CJ$6,'CF(M)'!$L35:$EQ35)</f>
        <v>0</v>
      </c>
      <c r="CK30" s="168">
        <f>SUMIF('CF(M)'!$L$11:$EQ$11,CK$6,'CF(M)'!$L35:$EQ35)</f>
        <v>0</v>
      </c>
      <c r="CL30" s="168">
        <f>SUMIF('CF(M)'!$L$11:$EQ$11,CL$6,'CF(M)'!$L35:$EQ35)</f>
        <v>0</v>
      </c>
      <c r="CM30" s="168">
        <f>SUMIF('CF(M)'!$L$11:$EQ$11,CM$6,'CF(M)'!$L35:$EQ35)</f>
        <v>0</v>
      </c>
      <c r="CN30" s="168">
        <f>SUMIF('CF(M)'!$L$11:$EQ$11,CN$6,'CF(M)'!$L35:$EQ35)</f>
        <v>0</v>
      </c>
      <c r="CO30" s="168">
        <f>SUMIF('CF(M)'!$L$11:$EQ$11,CO$6,'CF(M)'!$L35:$EQ35)</f>
        <v>0</v>
      </c>
      <c r="CP30" s="168">
        <f>SUMIF('CF(M)'!$L$11:$EQ$11,CP$6,'CF(M)'!$L35:$EQ35)</f>
        <v>0</v>
      </c>
      <c r="CQ30" s="168">
        <f>SUMIF('CF(M)'!$L$11:$EQ$11,CQ$6,'CF(M)'!$L35:$EQ35)</f>
        <v>0</v>
      </c>
      <c r="CR30" s="168">
        <f>SUMIF('CF(M)'!$L$11:$EQ$11,CR$6,'CF(M)'!$L35:$EQ35)</f>
        <v>0</v>
      </c>
      <c r="CS30" s="168">
        <f>SUMIF('CF(M)'!$L$11:$EQ$11,CS$6,'CF(M)'!$L35:$EQ35)</f>
        <v>0</v>
      </c>
      <c r="CT30" s="168">
        <f>SUMIF('CF(M)'!$L$11:$EQ$11,CT$6,'CF(M)'!$L35:$EQ35)</f>
        <v>0</v>
      </c>
      <c r="CU30" s="168">
        <f>SUMIF('CF(M)'!$L$11:$EQ$11,CU$6,'CF(M)'!$L35:$EQ35)</f>
        <v>0</v>
      </c>
      <c r="CV30" s="168">
        <f>SUMIF('CF(M)'!$L$11:$EQ$11,CV$6,'CF(M)'!$L35:$EQ35)</f>
        <v>0</v>
      </c>
      <c r="CW30" s="168">
        <f>SUMIF('CF(M)'!$L$11:$EQ$11,CW$6,'CF(M)'!$L35:$EQ35)</f>
        <v>0</v>
      </c>
      <c r="CX30" s="168">
        <f>SUMIF('CF(M)'!$L$11:$EQ$11,CX$6,'CF(M)'!$L35:$EQ35)</f>
        <v>0</v>
      </c>
      <c r="CY30" s="168">
        <f>SUMIF('CF(M)'!$L$11:$EQ$11,CY$6,'CF(M)'!$L35:$EQ35)</f>
        <v>0</v>
      </c>
      <c r="CZ30" s="168">
        <f>SUMIF('CF(M)'!$L$11:$EQ$11,CZ$6,'CF(M)'!$L35:$EQ35)</f>
        <v>0</v>
      </c>
      <c r="DA30" s="168">
        <f>SUMIF('CF(M)'!$L$11:$EQ$11,DA$6,'CF(M)'!$L35:$EQ35)</f>
        <v>0</v>
      </c>
      <c r="DB30" s="168">
        <f>SUMIF('CF(M)'!$L$11:$EQ$11,DB$6,'CF(M)'!$L35:$EQ35)</f>
        <v>0</v>
      </c>
      <c r="DC30" s="168">
        <f>SUMIF('CF(M)'!$L$11:$EQ$11,DC$6,'CF(M)'!$L35:$EQ35)</f>
        <v>0</v>
      </c>
      <c r="DD30" s="168">
        <f>SUMIF('CF(M)'!$L$11:$EQ$11,DD$6,'CF(M)'!$L35:$EQ35)</f>
        <v>0</v>
      </c>
      <c r="DE30" s="168">
        <f>SUMIF('CF(M)'!$L$11:$EQ$11,DE$6,'CF(M)'!$L35:$EQ35)</f>
        <v>0</v>
      </c>
      <c r="DF30" s="168">
        <f>SUMIF('CF(M)'!$L$11:$EQ$11,DF$6,'CF(M)'!$L35:$EQ35)</f>
        <v>0</v>
      </c>
      <c r="DG30" s="168">
        <f>SUMIF('CF(M)'!$L$11:$EQ$11,DG$6,'CF(M)'!$L35:$EQ35)</f>
        <v>0</v>
      </c>
      <c r="DH30" s="168">
        <f>SUMIF('CF(M)'!$L$11:$EQ$11,DH$6,'CF(M)'!$L35:$EQ35)</f>
        <v>0</v>
      </c>
      <c r="DI30" s="168">
        <f>SUMIF('CF(M)'!$L$11:$EQ$11,DI$6,'CF(M)'!$L35:$EQ35)</f>
        <v>0</v>
      </c>
      <c r="DJ30" s="168">
        <f>SUMIF('CF(M)'!$L$11:$EQ$11,DJ$6,'CF(M)'!$L35:$EQ35)</f>
        <v>0</v>
      </c>
      <c r="DK30" s="168">
        <f>SUMIF('CF(M)'!$L$11:$EQ$11,DK$6,'CF(M)'!$L35:$EQ35)</f>
        <v>0</v>
      </c>
      <c r="DL30" s="168">
        <f>SUMIF('CF(M)'!$L$11:$EQ$11,DL$6,'CF(M)'!$L35:$EQ35)</f>
        <v>0</v>
      </c>
      <c r="DM30" s="168">
        <f>SUMIF('CF(M)'!$L$11:$EQ$11,DM$6,'CF(M)'!$L35:$EQ35)</f>
        <v>0</v>
      </c>
      <c r="DN30" s="168">
        <f>SUMIF('CF(M)'!$L$11:$EQ$11,DN$6,'CF(M)'!$L35:$EQ35)</f>
        <v>0</v>
      </c>
      <c r="DO30" s="168">
        <f>SUMIF('CF(M)'!$L$11:$EQ$11,DO$6,'CF(M)'!$L35:$EQ35)</f>
        <v>0</v>
      </c>
      <c r="DP30" s="168">
        <f>SUMIF('CF(M)'!$L$11:$EQ$11,DP$6,'CF(M)'!$L35:$EQ35)</f>
        <v>0</v>
      </c>
      <c r="DQ30" s="168">
        <f>SUMIF('CF(M)'!$L$11:$EQ$11,DQ$6,'CF(M)'!$L35:$EQ35)</f>
        <v>0</v>
      </c>
      <c r="DR30" s="168">
        <f>SUMIF('CF(M)'!$L$11:$EQ$11,DR$6,'CF(M)'!$L35:$EQ35)</f>
        <v>0</v>
      </c>
      <c r="DS30" s="168">
        <f>SUMIF('CF(M)'!$L$11:$EQ$11,DS$6,'CF(M)'!$L35:$EQ35)</f>
        <v>0</v>
      </c>
      <c r="DT30" s="168">
        <f>SUMIF('CF(M)'!$L$11:$EQ$11,DT$6,'CF(M)'!$L35:$EQ35)</f>
        <v>0</v>
      </c>
      <c r="DU30" s="168">
        <f>SUMIF('CF(M)'!$L$11:$EQ$11,DU$6,'CF(M)'!$L35:$EQ35)</f>
        <v>0</v>
      </c>
      <c r="DV30" s="168">
        <f>SUMIF('CF(M)'!$L$11:$EQ$11,DV$6,'CF(M)'!$L35:$EQ35)</f>
        <v>0</v>
      </c>
    </row>
    <row r="31" spans="2:126" ht="11.25" customHeight="1">
      <c r="B31" s="218"/>
      <c r="C31" s="163"/>
      <c r="D31" s="169" t="s">
        <v>190</v>
      </c>
      <c r="H31" s="146"/>
      <c r="I31" s="13"/>
      <c r="J31" s="171">
        <f>SUM(L31:DV31)</f>
        <v>-6665470.0000000009</v>
      </c>
      <c r="K31" s="98"/>
      <c r="L31" s="171">
        <f>SUMIF('CF(M)'!$L$11:$EQ$11,L$6,'CF(M)'!$L36:$EQ36)</f>
        <v>0</v>
      </c>
      <c r="M31" s="171">
        <f>SUMIF('CF(M)'!$L$11:$EQ$11,M$6,'CF(M)'!$L36:$EQ36)</f>
        <v>-666547.00000000012</v>
      </c>
      <c r="N31" s="171">
        <f>SUMIF('CF(M)'!$L$11:$EQ$11,N$6,'CF(M)'!$L36:$EQ36)</f>
        <v>-666547.00000000012</v>
      </c>
      <c r="O31" s="171">
        <f>SUMIF('CF(M)'!$L$11:$EQ$11,O$6,'CF(M)'!$L36:$EQ36)</f>
        <v>-666547.00000000012</v>
      </c>
      <c r="P31" s="171">
        <f>SUMIF('CF(M)'!$L$11:$EQ$11,P$6,'CF(M)'!$L36:$EQ36)</f>
        <v>-666547.00000000012</v>
      </c>
      <c r="Q31" s="171">
        <f>SUMIF('CF(M)'!$L$11:$EQ$11,Q$6,'CF(M)'!$L36:$EQ36)</f>
        <v>-666547.00000000012</v>
      </c>
      <c r="R31" s="171">
        <f>SUMIF('CF(M)'!$L$11:$EQ$11,R$6,'CF(M)'!$L36:$EQ36)</f>
        <v>-666547.00000000012</v>
      </c>
      <c r="S31" s="171">
        <f>SUMIF('CF(M)'!$L$11:$EQ$11,S$6,'CF(M)'!$L36:$EQ36)</f>
        <v>-666547.00000000012</v>
      </c>
      <c r="T31" s="171">
        <f>SUMIF('CF(M)'!$L$11:$EQ$11,T$6,'CF(M)'!$L36:$EQ36)</f>
        <v>-666547.00000000012</v>
      </c>
      <c r="U31" s="171">
        <f>SUMIF('CF(M)'!$L$11:$EQ$11,U$6,'CF(M)'!$L36:$EQ36)</f>
        <v>-666547.00000000012</v>
      </c>
      <c r="V31" s="171">
        <f>SUMIF('CF(M)'!$L$11:$EQ$11,V$6,'CF(M)'!$L36:$EQ36)</f>
        <v>-666547.00000000012</v>
      </c>
      <c r="W31" s="171">
        <f>SUMIF('CF(M)'!$L$11:$EQ$11,W$6,'CF(M)'!$L36:$EQ36)</f>
        <v>0</v>
      </c>
      <c r="X31" s="171">
        <f>SUMIF('CF(M)'!$L$11:$EQ$11,X$6,'CF(M)'!$L36:$EQ36)</f>
        <v>0</v>
      </c>
      <c r="Y31" s="171">
        <f>SUMIF('CF(M)'!$L$11:$EQ$11,Y$6,'CF(M)'!$L36:$EQ36)</f>
        <v>0</v>
      </c>
      <c r="Z31" s="171">
        <f>SUMIF('CF(M)'!$L$11:$EQ$11,Z$6,'CF(M)'!$L36:$EQ36)</f>
        <v>0</v>
      </c>
      <c r="AA31" s="171">
        <f>SUMIF('CF(M)'!$L$11:$EQ$11,AA$6,'CF(M)'!$L36:$EQ36)</f>
        <v>0</v>
      </c>
      <c r="AB31" s="171">
        <f>SUMIF('CF(M)'!$L$11:$EQ$11,AB$6,'CF(M)'!$L36:$EQ36)</f>
        <v>0</v>
      </c>
      <c r="AC31" s="171">
        <f>SUMIF('CF(M)'!$L$11:$EQ$11,AC$6,'CF(M)'!$L36:$EQ36)</f>
        <v>0</v>
      </c>
      <c r="AD31" s="171">
        <f>SUMIF('CF(M)'!$L$11:$EQ$11,AD$6,'CF(M)'!$L36:$EQ36)</f>
        <v>0</v>
      </c>
      <c r="AE31" s="171">
        <f>SUMIF('CF(M)'!$L$11:$EQ$11,AE$6,'CF(M)'!$L36:$EQ36)</f>
        <v>0</v>
      </c>
      <c r="AF31" s="171">
        <f>SUMIF('CF(M)'!$L$11:$EQ$11,AF$6,'CF(M)'!$L36:$EQ36)</f>
        <v>0</v>
      </c>
      <c r="AG31" s="171">
        <f>SUMIF('CF(M)'!$L$11:$EQ$11,AG$6,'CF(M)'!$L36:$EQ36)</f>
        <v>0</v>
      </c>
      <c r="AH31" s="171">
        <f>SUMIF('CF(M)'!$L$11:$EQ$11,AH$6,'CF(M)'!$L36:$EQ36)</f>
        <v>0</v>
      </c>
      <c r="AI31" s="171">
        <f>SUMIF('CF(M)'!$L$11:$EQ$11,AI$6,'CF(M)'!$L36:$EQ36)</f>
        <v>0</v>
      </c>
      <c r="AJ31" s="171">
        <f>SUMIF('CF(M)'!$L$11:$EQ$11,AJ$6,'CF(M)'!$L36:$EQ36)</f>
        <v>0</v>
      </c>
      <c r="AK31" s="171">
        <f>SUMIF('CF(M)'!$L$11:$EQ$11,AK$6,'CF(M)'!$L36:$EQ36)</f>
        <v>0</v>
      </c>
      <c r="AL31" s="171">
        <f>SUMIF('CF(M)'!$L$11:$EQ$11,AL$6,'CF(M)'!$L36:$EQ36)</f>
        <v>0</v>
      </c>
      <c r="AM31" s="171">
        <f>SUMIF('CF(M)'!$L$11:$EQ$11,AM$6,'CF(M)'!$L36:$EQ36)</f>
        <v>0</v>
      </c>
      <c r="AN31" s="171">
        <f>SUMIF('CF(M)'!$L$11:$EQ$11,AN$6,'CF(M)'!$L36:$EQ36)</f>
        <v>0</v>
      </c>
      <c r="AO31" s="171">
        <f>SUMIF('CF(M)'!$L$11:$EQ$11,AO$6,'CF(M)'!$L36:$EQ36)</f>
        <v>0</v>
      </c>
      <c r="AP31" s="171">
        <f>SUMIF('CF(M)'!$L$11:$EQ$11,AP$6,'CF(M)'!$L36:$EQ36)</f>
        <v>0</v>
      </c>
      <c r="AQ31" s="171">
        <f>SUMIF('CF(M)'!$L$11:$EQ$11,AQ$6,'CF(M)'!$L36:$EQ36)</f>
        <v>0</v>
      </c>
      <c r="AR31" s="171">
        <f>SUMIF('CF(M)'!$L$11:$EQ$11,AR$6,'CF(M)'!$L36:$EQ36)</f>
        <v>0</v>
      </c>
      <c r="AS31" s="171">
        <f>SUMIF('CF(M)'!$L$11:$EQ$11,AS$6,'CF(M)'!$L36:$EQ36)</f>
        <v>0</v>
      </c>
      <c r="AT31" s="171">
        <f>SUMIF('CF(M)'!$L$11:$EQ$11,AT$6,'CF(M)'!$L36:$EQ36)</f>
        <v>0</v>
      </c>
      <c r="AU31" s="171">
        <f>SUMIF('CF(M)'!$L$11:$EQ$11,AU$6,'CF(M)'!$L36:$EQ36)</f>
        <v>0</v>
      </c>
      <c r="AV31" s="171">
        <f>SUMIF('CF(M)'!$L$11:$EQ$11,AV$6,'CF(M)'!$L36:$EQ36)</f>
        <v>0</v>
      </c>
      <c r="AW31" s="171">
        <f>SUMIF('CF(M)'!$L$11:$EQ$11,AW$6,'CF(M)'!$L36:$EQ36)</f>
        <v>0</v>
      </c>
      <c r="AX31" s="171">
        <f>SUMIF('CF(M)'!$L$11:$EQ$11,AX$6,'CF(M)'!$L36:$EQ36)</f>
        <v>0</v>
      </c>
      <c r="AY31" s="171">
        <f>SUMIF('CF(M)'!$L$11:$EQ$11,AY$6,'CF(M)'!$L36:$EQ36)</f>
        <v>0</v>
      </c>
      <c r="AZ31" s="171">
        <f>SUMIF('CF(M)'!$L$11:$EQ$11,AZ$6,'CF(M)'!$L36:$EQ36)</f>
        <v>0</v>
      </c>
      <c r="BA31" s="171">
        <f>SUMIF('CF(M)'!$L$11:$EQ$11,BA$6,'CF(M)'!$L36:$EQ36)</f>
        <v>0</v>
      </c>
      <c r="BB31" s="171">
        <f>SUMIF('CF(M)'!$L$11:$EQ$11,BB$6,'CF(M)'!$L36:$EQ36)</f>
        <v>0</v>
      </c>
      <c r="BC31" s="171">
        <f>SUMIF('CF(M)'!$L$11:$EQ$11,BC$6,'CF(M)'!$L36:$EQ36)</f>
        <v>0</v>
      </c>
      <c r="BD31" s="171">
        <f>SUMIF('CF(M)'!$L$11:$EQ$11,BD$6,'CF(M)'!$L36:$EQ36)</f>
        <v>0</v>
      </c>
      <c r="BE31" s="171">
        <f>SUMIF('CF(M)'!$L$11:$EQ$11,BE$6,'CF(M)'!$L36:$EQ36)</f>
        <v>0</v>
      </c>
      <c r="BF31" s="171">
        <f>SUMIF('CF(M)'!$L$11:$EQ$11,BF$6,'CF(M)'!$L36:$EQ36)</f>
        <v>0</v>
      </c>
      <c r="BG31" s="171">
        <f>SUMIF('CF(M)'!$L$11:$EQ$11,BG$6,'CF(M)'!$L36:$EQ36)</f>
        <v>0</v>
      </c>
      <c r="BH31" s="171">
        <f>SUMIF('CF(M)'!$L$11:$EQ$11,BH$6,'CF(M)'!$L36:$EQ36)</f>
        <v>0</v>
      </c>
      <c r="BI31" s="171">
        <f>SUMIF('CF(M)'!$L$11:$EQ$11,BI$6,'CF(M)'!$L36:$EQ36)</f>
        <v>0</v>
      </c>
      <c r="BJ31" s="171">
        <f>SUMIF('CF(M)'!$L$11:$EQ$11,BJ$6,'CF(M)'!$L36:$EQ36)</f>
        <v>0</v>
      </c>
      <c r="BK31" s="171">
        <f>SUMIF('CF(M)'!$L$11:$EQ$11,BK$6,'CF(M)'!$L36:$EQ36)</f>
        <v>0</v>
      </c>
      <c r="BL31" s="171">
        <f>SUMIF('CF(M)'!$L$11:$EQ$11,BL$6,'CF(M)'!$L36:$EQ36)</f>
        <v>0</v>
      </c>
      <c r="BM31" s="171">
        <f>SUMIF('CF(M)'!$L$11:$EQ$11,BM$6,'CF(M)'!$L36:$EQ36)</f>
        <v>0</v>
      </c>
      <c r="BN31" s="171">
        <f>SUMIF('CF(M)'!$L$11:$EQ$11,BN$6,'CF(M)'!$L36:$EQ36)</f>
        <v>0</v>
      </c>
      <c r="BO31" s="171">
        <f>SUMIF('CF(M)'!$L$11:$EQ$11,BO$6,'CF(M)'!$L36:$EQ36)</f>
        <v>0</v>
      </c>
      <c r="BP31" s="171">
        <f>SUMIF('CF(M)'!$L$11:$EQ$11,BP$6,'CF(M)'!$L36:$EQ36)</f>
        <v>0</v>
      </c>
      <c r="BQ31" s="171">
        <f>SUMIF('CF(M)'!$L$11:$EQ$11,BQ$6,'CF(M)'!$L36:$EQ36)</f>
        <v>0</v>
      </c>
      <c r="BR31" s="171">
        <f>SUMIF('CF(M)'!$L$11:$EQ$11,BR$6,'CF(M)'!$L36:$EQ36)</f>
        <v>0</v>
      </c>
      <c r="BS31" s="171">
        <f>SUMIF('CF(M)'!$L$11:$EQ$11,BS$6,'CF(M)'!$L36:$EQ36)</f>
        <v>0</v>
      </c>
      <c r="BT31" s="171">
        <f>SUMIF('CF(M)'!$L$11:$EQ$11,BT$6,'CF(M)'!$L36:$EQ36)</f>
        <v>0</v>
      </c>
      <c r="BU31" s="171">
        <f>SUMIF('CF(M)'!$L$11:$EQ$11,BU$6,'CF(M)'!$L36:$EQ36)</f>
        <v>0</v>
      </c>
      <c r="BV31" s="171">
        <f>SUMIF('CF(M)'!$L$11:$EQ$11,BV$6,'CF(M)'!$L36:$EQ36)</f>
        <v>0</v>
      </c>
      <c r="BW31" s="171">
        <f>SUMIF('CF(M)'!$L$11:$EQ$11,BW$6,'CF(M)'!$L36:$EQ36)</f>
        <v>0</v>
      </c>
      <c r="BX31" s="171">
        <f>SUMIF('CF(M)'!$L$11:$EQ$11,BX$6,'CF(M)'!$L36:$EQ36)</f>
        <v>0</v>
      </c>
      <c r="BY31" s="171">
        <f>SUMIF('CF(M)'!$L$11:$EQ$11,BY$6,'CF(M)'!$L36:$EQ36)</f>
        <v>0</v>
      </c>
      <c r="BZ31" s="171">
        <f>SUMIF('CF(M)'!$L$11:$EQ$11,BZ$6,'CF(M)'!$L36:$EQ36)</f>
        <v>0</v>
      </c>
      <c r="CA31" s="171">
        <f>SUMIF('CF(M)'!$L$11:$EQ$11,CA$6,'CF(M)'!$L36:$EQ36)</f>
        <v>0</v>
      </c>
      <c r="CB31" s="171">
        <f>SUMIF('CF(M)'!$L$11:$EQ$11,CB$6,'CF(M)'!$L36:$EQ36)</f>
        <v>0</v>
      </c>
      <c r="CC31" s="171">
        <f>SUMIF('CF(M)'!$L$11:$EQ$11,CC$6,'CF(M)'!$L36:$EQ36)</f>
        <v>0</v>
      </c>
      <c r="CD31" s="171">
        <f>SUMIF('CF(M)'!$L$11:$EQ$11,CD$6,'CF(M)'!$L36:$EQ36)</f>
        <v>0</v>
      </c>
      <c r="CE31" s="171">
        <f>SUMIF('CF(M)'!$L$11:$EQ$11,CE$6,'CF(M)'!$L36:$EQ36)</f>
        <v>0</v>
      </c>
      <c r="CF31" s="171">
        <f>SUMIF('CF(M)'!$L$11:$EQ$11,CF$6,'CF(M)'!$L36:$EQ36)</f>
        <v>0</v>
      </c>
      <c r="CG31" s="171">
        <f>SUMIF('CF(M)'!$L$11:$EQ$11,CG$6,'CF(M)'!$L36:$EQ36)</f>
        <v>0</v>
      </c>
      <c r="CH31" s="171">
        <f>SUMIF('CF(M)'!$L$11:$EQ$11,CH$6,'CF(M)'!$L36:$EQ36)</f>
        <v>0</v>
      </c>
      <c r="CI31" s="171">
        <f>SUMIF('CF(M)'!$L$11:$EQ$11,CI$6,'CF(M)'!$L36:$EQ36)</f>
        <v>0</v>
      </c>
      <c r="CJ31" s="171">
        <f>SUMIF('CF(M)'!$L$11:$EQ$11,CJ$6,'CF(M)'!$L36:$EQ36)</f>
        <v>0</v>
      </c>
      <c r="CK31" s="171">
        <f>SUMIF('CF(M)'!$L$11:$EQ$11,CK$6,'CF(M)'!$L36:$EQ36)</f>
        <v>0</v>
      </c>
      <c r="CL31" s="171">
        <f>SUMIF('CF(M)'!$L$11:$EQ$11,CL$6,'CF(M)'!$L36:$EQ36)</f>
        <v>0</v>
      </c>
      <c r="CM31" s="171">
        <f>SUMIF('CF(M)'!$L$11:$EQ$11,CM$6,'CF(M)'!$L36:$EQ36)</f>
        <v>0</v>
      </c>
      <c r="CN31" s="171">
        <f>SUMIF('CF(M)'!$L$11:$EQ$11,CN$6,'CF(M)'!$L36:$EQ36)</f>
        <v>0</v>
      </c>
      <c r="CO31" s="171">
        <f>SUMIF('CF(M)'!$L$11:$EQ$11,CO$6,'CF(M)'!$L36:$EQ36)</f>
        <v>0</v>
      </c>
      <c r="CP31" s="171">
        <f>SUMIF('CF(M)'!$L$11:$EQ$11,CP$6,'CF(M)'!$L36:$EQ36)</f>
        <v>0</v>
      </c>
      <c r="CQ31" s="171">
        <f>SUMIF('CF(M)'!$L$11:$EQ$11,CQ$6,'CF(M)'!$L36:$EQ36)</f>
        <v>0</v>
      </c>
      <c r="CR31" s="171">
        <f>SUMIF('CF(M)'!$L$11:$EQ$11,CR$6,'CF(M)'!$L36:$EQ36)</f>
        <v>0</v>
      </c>
      <c r="CS31" s="171">
        <f>SUMIF('CF(M)'!$L$11:$EQ$11,CS$6,'CF(M)'!$L36:$EQ36)</f>
        <v>0</v>
      </c>
      <c r="CT31" s="171">
        <f>SUMIF('CF(M)'!$L$11:$EQ$11,CT$6,'CF(M)'!$L36:$EQ36)</f>
        <v>0</v>
      </c>
      <c r="CU31" s="171">
        <f>SUMIF('CF(M)'!$L$11:$EQ$11,CU$6,'CF(M)'!$L36:$EQ36)</f>
        <v>0</v>
      </c>
      <c r="CV31" s="171">
        <f>SUMIF('CF(M)'!$L$11:$EQ$11,CV$6,'CF(M)'!$L36:$EQ36)</f>
        <v>0</v>
      </c>
      <c r="CW31" s="171">
        <f>SUMIF('CF(M)'!$L$11:$EQ$11,CW$6,'CF(M)'!$L36:$EQ36)</f>
        <v>0</v>
      </c>
      <c r="CX31" s="171">
        <f>SUMIF('CF(M)'!$L$11:$EQ$11,CX$6,'CF(M)'!$L36:$EQ36)</f>
        <v>0</v>
      </c>
      <c r="CY31" s="171">
        <f>SUMIF('CF(M)'!$L$11:$EQ$11,CY$6,'CF(M)'!$L36:$EQ36)</f>
        <v>0</v>
      </c>
      <c r="CZ31" s="171">
        <f>SUMIF('CF(M)'!$L$11:$EQ$11,CZ$6,'CF(M)'!$L36:$EQ36)</f>
        <v>0</v>
      </c>
      <c r="DA31" s="171">
        <f>SUMIF('CF(M)'!$L$11:$EQ$11,DA$6,'CF(M)'!$L36:$EQ36)</f>
        <v>0</v>
      </c>
      <c r="DB31" s="171">
        <f>SUMIF('CF(M)'!$L$11:$EQ$11,DB$6,'CF(M)'!$L36:$EQ36)</f>
        <v>0</v>
      </c>
      <c r="DC31" s="171">
        <f>SUMIF('CF(M)'!$L$11:$EQ$11,DC$6,'CF(M)'!$L36:$EQ36)</f>
        <v>0</v>
      </c>
      <c r="DD31" s="171">
        <f>SUMIF('CF(M)'!$L$11:$EQ$11,DD$6,'CF(M)'!$L36:$EQ36)</f>
        <v>0</v>
      </c>
      <c r="DE31" s="171">
        <f>SUMIF('CF(M)'!$L$11:$EQ$11,DE$6,'CF(M)'!$L36:$EQ36)</f>
        <v>0</v>
      </c>
      <c r="DF31" s="171">
        <f>SUMIF('CF(M)'!$L$11:$EQ$11,DF$6,'CF(M)'!$L36:$EQ36)</f>
        <v>0</v>
      </c>
      <c r="DG31" s="171">
        <f>SUMIF('CF(M)'!$L$11:$EQ$11,DG$6,'CF(M)'!$L36:$EQ36)</f>
        <v>0</v>
      </c>
      <c r="DH31" s="171">
        <f>SUMIF('CF(M)'!$L$11:$EQ$11,DH$6,'CF(M)'!$L36:$EQ36)</f>
        <v>0</v>
      </c>
      <c r="DI31" s="171">
        <f>SUMIF('CF(M)'!$L$11:$EQ$11,DI$6,'CF(M)'!$L36:$EQ36)</f>
        <v>0</v>
      </c>
      <c r="DJ31" s="171">
        <f>SUMIF('CF(M)'!$L$11:$EQ$11,DJ$6,'CF(M)'!$L36:$EQ36)</f>
        <v>0</v>
      </c>
      <c r="DK31" s="171">
        <f>SUMIF('CF(M)'!$L$11:$EQ$11,DK$6,'CF(M)'!$L36:$EQ36)</f>
        <v>0</v>
      </c>
      <c r="DL31" s="171">
        <f>SUMIF('CF(M)'!$L$11:$EQ$11,DL$6,'CF(M)'!$L36:$EQ36)</f>
        <v>0</v>
      </c>
      <c r="DM31" s="171">
        <f>SUMIF('CF(M)'!$L$11:$EQ$11,DM$6,'CF(M)'!$L36:$EQ36)</f>
        <v>0</v>
      </c>
      <c r="DN31" s="171">
        <f>SUMIF('CF(M)'!$L$11:$EQ$11,DN$6,'CF(M)'!$L36:$EQ36)</f>
        <v>0</v>
      </c>
      <c r="DO31" s="171">
        <f>SUMIF('CF(M)'!$L$11:$EQ$11,DO$6,'CF(M)'!$L36:$EQ36)</f>
        <v>0</v>
      </c>
      <c r="DP31" s="171">
        <f>SUMIF('CF(M)'!$L$11:$EQ$11,DP$6,'CF(M)'!$L36:$EQ36)</f>
        <v>0</v>
      </c>
      <c r="DQ31" s="171">
        <f>SUMIF('CF(M)'!$L$11:$EQ$11,DQ$6,'CF(M)'!$L36:$EQ36)</f>
        <v>0</v>
      </c>
      <c r="DR31" s="171">
        <f>SUMIF('CF(M)'!$L$11:$EQ$11,DR$6,'CF(M)'!$L36:$EQ36)</f>
        <v>0</v>
      </c>
      <c r="DS31" s="171">
        <f>SUMIF('CF(M)'!$L$11:$EQ$11,DS$6,'CF(M)'!$L36:$EQ36)</f>
        <v>0</v>
      </c>
      <c r="DT31" s="171">
        <f>SUMIF('CF(M)'!$L$11:$EQ$11,DT$6,'CF(M)'!$L36:$EQ36)</f>
        <v>0</v>
      </c>
      <c r="DU31" s="171">
        <f>SUMIF('CF(M)'!$L$11:$EQ$11,DU$6,'CF(M)'!$L36:$EQ36)</f>
        <v>0</v>
      </c>
      <c r="DV31" s="171">
        <f>SUMIF('CF(M)'!$L$11:$EQ$11,DV$6,'CF(M)'!$L36:$EQ36)</f>
        <v>0</v>
      </c>
    </row>
    <row r="32" spans="2:126" ht="11.25" customHeight="1">
      <c r="B32" s="218"/>
      <c r="C32" s="163"/>
      <c r="D32" s="169" t="s">
        <v>191</v>
      </c>
      <c r="H32" s="146"/>
      <c r="I32" s="13"/>
      <c r="J32" s="171">
        <f t="shared" si="12"/>
        <v>-120000</v>
      </c>
      <c r="K32" s="98"/>
      <c r="L32" s="171">
        <f>SUMIF('CF(M)'!$L$11:$EQ$11,L$6,'CF(M)'!$L37:$EQ37)</f>
        <v>0</v>
      </c>
      <c r="M32" s="171">
        <f>SUMIF('CF(M)'!$L$11:$EQ$11,M$6,'CF(M)'!$L37:$EQ37)</f>
        <v>-12000</v>
      </c>
      <c r="N32" s="171">
        <f>SUMIF('CF(M)'!$L$11:$EQ$11,N$6,'CF(M)'!$L37:$EQ37)</f>
        <v>-12000</v>
      </c>
      <c r="O32" s="171">
        <f>SUMIF('CF(M)'!$L$11:$EQ$11,O$6,'CF(M)'!$L37:$EQ37)</f>
        <v>-12000</v>
      </c>
      <c r="P32" s="171">
        <f>SUMIF('CF(M)'!$L$11:$EQ$11,P$6,'CF(M)'!$L37:$EQ37)</f>
        <v>-12000</v>
      </c>
      <c r="Q32" s="171">
        <f>SUMIF('CF(M)'!$L$11:$EQ$11,Q$6,'CF(M)'!$L37:$EQ37)</f>
        <v>-12000</v>
      </c>
      <c r="R32" s="171">
        <f>SUMIF('CF(M)'!$L$11:$EQ$11,R$6,'CF(M)'!$L37:$EQ37)</f>
        <v>-12000</v>
      </c>
      <c r="S32" s="171">
        <f>SUMIF('CF(M)'!$L$11:$EQ$11,S$6,'CF(M)'!$L37:$EQ37)</f>
        <v>-12000</v>
      </c>
      <c r="T32" s="171">
        <f>SUMIF('CF(M)'!$L$11:$EQ$11,T$6,'CF(M)'!$L37:$EQ37)</f>
        <v>-12000</v>
      </c>
      <c r="U32" s="171">
        <f>SUMIF('CF(M)'!$L$11:$EQ$11,U$6,'CF(M)'!$L37:$EQ37)</f>
        <v>-12000</v>
      </c>
      <c r="V32" s="171">
        <f>SUMIF('CF(M)'!$L$11:$EQ$11,V$6,'CF(M)'!$L37:$EQ37)</f>
        <v>-12000</v>
      </c>
      <c r="W32" s="171">
        <f>SUMIF('CF(M)'!$L$11:$EQ$11,W$6,'CF(M)'!$L37:$EQ37)</f>
        <v>0</v>
      </c>
      <c r="X32" s="171">
        <f>SUMIF('CF(M)'!$L$11:$EQ$11,X$6,'CF(M)'!$L37:$EQ37)</f>
        <v>0</v>
      </c>
      <c r="Y32" s="171">
        <f>SUMIF('CF(M)'!$L$11:$EQ$11,Y$6,'CF(M)'!$L37:$EQ37)</f>
        <v>0</v>
      </c>
      <c r="Z32" s="171">
        <f>SUMIF('CF(M)'!$L$11:$EQ$11,Z$6,'CF(M)'!$L37:$EQ37)</f>
        <v>0</v>
      </c>
      <c r="AA32" s="171">
        <f>SUMIF('CF(M)'!$L$11:$EQ$11,AA$6,'CF(M)'!$L37:$EQ37)</f>
        <v>0</v>
      </c>
      <c r="AB32" s="171">
        <f>SUMIF('CF(M)'!$L$11:$EQ$11,AB$6,'CF(M)'!$L37:$EQ37)</f>
        <v>0</v>
      </c>
      <c r="AC32" s="171">
        <f>SUMIF('CF(M)'!$L$11:$EQ$11,AC$6,'CF(M)'!$L37:$EQ37)</f>
        <v>0</v>
      </c>
      <c r="AD32" s="171">
        <f>SUMIF('CF(M)'!$L$11:$EQ$11,AD$6,'CF(M)'!$L37:$EQ37)</f>
        <v>0</v>
      </c>
      <c r="AE32" s="171">
        <f>SUMIF('CF(M)'!$L$11:$EQ$11,AE$6,'CF(M)'!$L37:$EQ37)</f>
        <v>0</v>
      </c>
      <c r="AF32" s="171">
        <f>SUMIF('CF(M)'!$L$11:$EQ$11,AF$6,'CF(M)'!$L37:$EQ37)</f>
        <v>0</v>
      </c>
      <c r="AG32" s="171">
        <f>SUMIF('CF(M)'!$L$11:$EQ$11,AG$6,'CF(M)'!$L37:$EQ37)</f>
        <v>0</v>
      </c>
      <c r="AH32" s="171">
        <f>SUMIF('CF(M)'!$L$11:$EQ$11,AH$6,'CF(M)'!$L37:$EQ37)</f>
        <v>0</v>
      </c>
      <c r="AI32" s="171">
        <f>SUMIF('CF(M)'!$L$11:$EQ$11,AI$6,'CF(M)'!$L37:$EQ37)</f>
        <v>0</v>
      </c>
      <c r="AJ32" s="171">
        <f>SUMIF('CF(M)'!$L$11:$EQ$11,AJ$6,'CF(M)'!$L37:$EQ37)</f>
        <v>0</v>
      </c>
      <c r="AK32" s="171">
        <f>SUMIF('CF(M)'!$L$11:$EQ$11,AK$6,'CF(M)'!$L37:$EQ37)</f>
        <v>0</v>
      </c>
      <c r="AL32" s="171">
        <f>SUMIF('CF(M)'!$L$11:$EQ$11,AL$6,'CF(M)'!$L37:$EQ37)</f>
        <v>0</v>
      </c>
      <c r="AM32" s="171">
        <f>SUMIF('CF(M)'!$L$11:$EQ$11,AM$6,'CF(M)'!$L37:$EQ37)</f>
        <v>0</v>
      </c>
      <c r="AN32" s="171">
        <f>SUMIF('CF(M)'!$L$11:$EQ$11,AN$6,'CF(M)'!$L37:$EQ37)</f>
        <v>0</v>
      </c>
      <c r="AO32" s="171">
        <f>SUMIF('CF(M)'!$L$11:$EQ$11,AO$6,'CF(M)'!$L37:$EQ37)</f>
        <v>0</v>
      </c>
      <c r="AP32" s="171">
        <f>SUMIF('CF(M)'!$L$11:$EQ$11,AP$6,'CF(M)'!$L37:$EQ37)</f>
        <v>0</v>
      </c>
      <c r="AQ32" s="171">
        <f>SUMIF('CF(M)'!$L$11:$EQ$11,AQ$6,'CF(M)'!$L37:$EQ37)</f>
        <v>0</v>
      </c>
      <c r="AR32" s="171">
        <f>SUMIF('CF(M)'!$L$11:$EQ$11,AR$6,'CF(M)'!$L37:$EQ37)</f>
        <v>0</v>
      </c>
      <c r="AS32" s="171">
        <f>SUMIF('CF(M)'!$L$11:$EQ$11,AS$6,'CF(M)'!$L37:$EQ37)</f>
        <v>0</v>
      </c>
      <c r="AT32" s="171">
        <f>SUMIF('CF(M)'!$L$11:$EQ$11,AT$6,'CF(M)'!$L37:$EQ37)</f>
        <v>0</v>
      </c>
      <c r="AU32" s="171">
        <f>SUMIF('CF(M)'!$L$11:$EQ$11,AU$6,'CF(M)'!$L37:$EQ37)</f>
        <v>0</v>
      </c>
      <c r="AV32" s="171">
        <f>SUMIF('CF(M)'!$L$11:$EQ$11,AV$6,'CF(M)'!$L37:$EQ37)</f>
        <v>0</v>
      </c>
      <c r="AW32" s="171">
        <f>SUMIF('CF(M)'!$L$11:$EQ$11,AW$6,'CF(M)'!$L37:$EQ37)</f>
        <v>0</v>
      </c>
      <c r="AX32" s="171">
        <f>SUMIF('CF(M)'!$L$11:$EQ$11,AX$6,'CF(M)'!$L37:$EQ37)</f>
        <v>0</v>
      </c>
      <c r="AY32" s="171">
        <f>SUMIF('CF(M)'!$L$11:$EQ$11,AY$6,'CF(M)'!$L37:$EQ37)</f>
        <v>0</v>
      </c>
      <c r="AZ32" s="171">
        <f>SUMIF('CF(M)'!$L$11:$EQ$11,AZ$6,'CF(M)'!$L37:$EQ37)</f>
        <v>0</v>
      </c>
      <c r="BA32" s="171">
        <f>SUMIF('CF(M)'!$L$11:$EQ$11,BA$6,'CF(M)'!$L37:$EQ37)</f>
        <v>0</v>
      </c>
      <c r="BB32" s="171">
        <f>SUMIF('CF(M)'!$L$11:$EQ$11,BB$6,'CF(M)'!$L37:$EQ37)</f>
        <v>0</v>
      </c>
      <c r="BC32" s="171">
        <f>SUMIF('CF(M)'!$L$11:$EQ$11,BC$6,'CF(M)'!$L37:$EQ37)</f>
        <v>0</v>
      </c>
      <c r="BD32" s="171">
        <f>SUMIF('CF(M)'!$L$11:$EQ$11,BD$6,'CF(M)'!$L37:$EQ37)</f>
        <v>0</v>
      </c>
      <c r="BE32" s="171">
        <f>SUMIF('CF(M)'!$L$11:$EQ$11,BE$6,'CF(M)'!$L37:$EQ37)</f>
        <v>0</v>
      </c>
      <c r="BF32" s="171">
        <f>SUMIF('CF(M)'!$L$11:$EQ$11,BF$6,'CF(M)'!$L37:$EQ37)</f>
        <v>0</v>
      </c>
      <c r="BG32" s="171">
        <f>SUMIF('CF(M)'!$L$11:$EQ$11,BG$6,'CF(M)'!$L37:$EQ37)</f>
        <v>0</v>
      </c>
      <c r="BH32" s="171">
        <f>SUMIF('CF(M)'!$L$11:$EQ$11,BH$6,'CF(M)'!$L37:$EQ37)</f>
        <v>0</v>
      </c>
      <c r="BI32" s="171">
        <f>SUMIF('CF(M)'!$L$11:$EQ$11,BI$6,'CF(M)'!$L37:$EQ37)</f>
        <v>0</v>
      </c>
      <c r="BJ32" s="171">
        <f>SUMIF('CF(M)'!$L$11:$EQ$11,BJ$6,'CF(M)'!$L37:$EQ37)</f>
        <v>0</v>
      </c>
      <c r="BK32" s="171">
        <f>SUMIF('CF(M)'!$L$11:$EQ$11,BK$6,'CF(M)'!$L37:$EQ37)</f>
        <v>0</v>
      </c>
      <c r="BL32" s="171">
        <f>SUMIF('CF(M)'!$L$11:$EQ$11,BL$6,'CF(M)'!$L37:$EQ37)</f>
        <v>0</v>
      </c>
      <c r="BM32" s="171">
        <f>SUMIF('CF(M)'!$L$11:$EQ$11,BM$6,'CF(M)'!$L37:$EQ37)</f>
        <v>0</v>
      </c>
      <c r="BN32" s="171">
        <f>SUMIF('CF(M)'!$L$11:$EQ$11,BN$6,'CF(M)'!$L37:$EQ37)</f>
        <v>0</v>
      </c>
      <c r="BO32" s="171">
        <f>SUMIF('CF(M)'!$L$11:$EQ$11,BO$6,'CF(M)'!$L37:$EQ37)</f>
        <v>0</v>
      </c>
      <c r="BP32" s="171">
        <f>SUMIF('CF(M)'!$L$11:$EQ$11,BP$6,'CF(M)'!$L37:$EQ37)</f>
        <v>0</v>
      </c>
      <c r="BQ32" s="171">
        <f>SUMIF('CF(M)'!$L$11:$EQ$11,BQ$6,'CF(M)'!$L37:$EQ37)</f>
        <v>0</v>
      </c>
      <c r="BR32" s="171">
        <f>SUMIF('CF(M)'!$L$11:$EQ$11,BR$6,'CF(M)'!$L37:$EQ37)</f>
        <v>0</v>
      </c>
      <c r="BS32" s="171">
        <f>SUMIF('CF(M)'!$L$11:$EQ$11,BS$6,'CF(M)'!$L37:$EQ37)</f>
        <v>0</v>
      </c>
      <c r="BT32" s="171">
        <f>SUMIF('CF(M)'!$L$11:$EQ$11,BT$6,'CF(M)'!$L37:$EQ37)</f>
        <v>0</v>
      </c>
      <c r="BU32" s="171">
        <f>SUMIF('CF(M)'!$L$11:$EQ$11,BU$6,'CF(M)'!$L37:$EQ37)</f>
        <v>0</v>
      </c>
      <c r="BV32" s="171">
        <f>SUMIF('CF(M)'!$L$11:$EQ$11,BV$6,'CF(M)'!$L37:$EQ37)</f>
        <v>0</v>
      </c>
      <c r="BW32" s="171">
        <f>SUMIF('CF(M)'!$L$11:$EQ$11,BW$6,'CF(M)'!$L37:$EQ37)</f>
        <v>0</v>
      </c>
      <c r="BX32" s="171">
        <f>SUMIF('CF(M)'!$L$11:$EQ$11,BX$6,'CF(M)'!$L37:$EQ37)</f>
        <v>0</v>
      </c>
      <c r="BY32" s="171">
        <f>SUMIF('CF(M)'!$L$11:$EQ$11,BY$6,'CF(M)'!$L37:$EQ37)</f>
        <v>0</v>
      </c>
      <c r="BZ32" s="171">
        <f>SUMIF('CF(M)'!$L$11:$EQ$11,BZ$6,'CF(M)'!$L37:$EQ37)</f>
        <v>0</v>
      </c>
      <c r="CA32" s="171">
        <f>SUMIF('CF(M)'!$L$11:$EQ$11,CA$6,'CF(M)'!$L37:$EQ37)</f>
        <v>0</v>
      </c>
      <c r="CB32" s="171">
        <f>SUMIF('CF(M)'!$L$11:$EQ$11,CB$6,'CF(M)'!$L37:$EQ37)</f>
        <v>0</v>
      </c>
      <c r="CC32" s="171">
        <f>SUMIF('CF(M)'!$L$11:$EQ$11,CC$6,'CF(M)'!$L37:$EQ37)</f>
        <v>0</v>
      </c>
      <c r="CD32" s="171">
        <f>SUMIF('CF(M)'!$L$11:$EQ$11,CD$6,'CF(M)'!$L37:$EQ37)</f>
        <v>0</v>
      </c>
      <c r="CE32" s="171">
        <f>SUMIF('CF(M)'!$L$11:$EQ$11,CE$6,'CF(M)'!$L37:$EQ37)</f>
        <v>0</v>
      </c>
      <c r="CF32" s="171">
        <f>SUMIF('CF(M)'!$L$11:$EQ$11,CF$6,'CF(M)'!$L37:$EQ37)</f>
        <v>0</v>
      </c>
      <c r="CG32" s="171">
        <f>SUMIF('CF(M)'!$L$11:$EQ$11,CG$6,'CF(M)'!$L37:$EQ37)</f>
        <v>0</v>
      </c>
      <c r="CH32" s="171">
        <f>SUMIF('CF(M)'!$L$11:$EQ$11,CH$6,'CF(M)'!$L37:$EQ37)</f>
        <v>0</v>
      </c>
      <c r="CI32" s="171">
        <f>SUMIF('CF(M)'!$L$11:$EQ$11,CI$6,'CF(M)'!$L37:$EQ37)</f>
        <v>0</v>
      </c>
      <c r="CJ32" s="171">
        <f>SUMIF('CF(M)'!$L$11:$EQ$11,CJ$6,'CF(M)'!$L37:$EQ37)</f>
        <v>0</v>
      </c>
      <c r="CK32" s="171">
        <f>SUMIF('CF(M)'!$L$11:$EQ$11,CK$6,'CF(M)'!$L37:$EQ37)</f>
        <v>0</v>
      </c>
      <c r="CL32" s="171">
        <f>SUMIF('CF(M)'!$L$11:$EQ$11,CL$6,'CF(M)'!$L37:$EQ37)</f>
        <v>0</v>
      </c>
      <c r="CM32" s="171">
        <f>SUMIF('CF(M)'!$L$11:$EQ$11,CM$6,'CF(M)'!$L37:$EQ37)</f>
        <v>0</v>
      </c>
      <c r="CN32" s="171">
        <f>SUMIF('CF(M)'!$L$11:$EQ$11,CN$6,'CF(M)'!$L37:$EQ37)</f>
        <v>0</v>
      </c>
      <c r="CO32" s="171">
        <f>SUMIF('CF(M)'!$L$11:$EQ$11,CO$6,'CF(M)'!$L37:$EQ37)</f>
        <v>0</v>
      </c>
      <c r="CP32" s="171">
        <f>SUMIF('CF(M)'!$L$11:$EQ$11,CP$6,'CF(M)'!$L37:$EQ37)</f>
        <v>0</v>
      </c>
      <c r="CQ32" s="171">
        <f>SUMIF('CF(M)'!$L$11:$EQ$11,CQ$6,'CF(M)'!$L37:$EQ37)</f>
        <v>0</v>
      </c>
      <c r="CR32" s="171">
        <f>SUMIF('CF(M)'!$L$11:$EQ$11,CR$6,'CF(M)'!$L37:$EQ37)</f>
        <v>0</v>
      </c>
      <c r="CS32" s="171">
        <f>SUMIF('CF(M)'!$L$11:$EQ$11,CS$6,'CF(M)'!$L37:$EQ37)</f>
        <v>0</v>
      </c>
      <c r="CT32" s="171">
        <f>SUMIF('CF(M)'!$L$11:$EQ$11,CT$6,'CF(M)'!$L37:$EQ37)</f>
        <v>0</v>
      </c>
      <c r="CU32" s="171">
        <f>SUMIF('CF(M)'!$L$11:$EQ$11,CU$6,'CF(M)'!$L37:$EQ37)</f>
        <v>0</v>
      </c>
      <c r="CV32" s="171">
        <f>SUMIF('CF(M)'!$L$11:$EQ$11,CV$6,'CF(M)'!$L37:$EQ37)</f>
        <v>0</v>
      </c>
      <c r="CW32" s="171">
        <f>SUMIF('CF(M)'!$L$11:$EQ$11,CW$6,'CF(M)'!$L37:$EQ37)</f>
        <v>0</v>
      </c>
      <c r="CX32" s="171">
        <f>SUMIF('CF(M)'!$L$11:$EQ$11,CX$6,'CF(M)'!$L37:$EQ37)</f>
        <v>0</v>
      </c>
      <c r="CY32" s="171">
        <f>SUMIF('CF(M)'!$L$11:$EQ$11,CY$6,'CF(M)'!$L37:$EQ37)</f>
        <v>0</v>
      </c>
      <c r="CZ32" s="171">
        <f>SUMIF('CF(M)'!$L$11:$EQ$11,CZ$6,'CF(M)'!$L37:$EQ37)</f>
        <v>0</v>
      </c>
      <c r="DA32" s="171">
        <f>SUMIF('CF(M)'!$L$11:$EQ$11,DA$6,'CF(M)'!$L37:$EQ37)</f>
        <v>0</v>
      </c>
      <c r="DB32" s="171">
        <f>SUMIF('CF(M)'!$L$11:$EQ$11,DB$6,'CF(M)'!$L37:$EQ37)</f>
        <v>0</v>
      </c>
      <c r="DC32" s="171">
        <f>SUMIF('CF(M)'!$L$11:$EQ$11,DC$6,'CF(M)'!$L37:$EQ37)</f>
        <v>0</v>
      </c>
      <c r="DD32" s="171">
        <f>SUMIF('CF(M)'!$L$11:$EQ$11,DD$6,'CF(M)'!$L37:$EQ37)</f>
        <v>0</v>
      </c>
      <c r="DE32" s="171">
        <f>SUMIF('CF(M)'!$L$11:$EQ$11,DE$6,'CF(M)'!$L37:$EQ37)</f>
        <v>0</v>
      </c>
      <c r="DF32" s="171">
        <f>SUMIF('CF(M)'!$L$11:$EQ$11,DF$6,'CF(M)'!$L37:$EQ37)</f>
        <v>0</v>
      </c>
      <c r="DG32" s="171">
        <f>SUMIF('CF(M)'!$L$11:$EQ$11,DG$6,'CF(M)'!$L37:$EQ37)</f>
        <v>0</v>
      </c>
      <c r="DH32" s="171">
        <f>SUMIF('CF(M)'!$L$11:$EQ$11,DH$6,'CF(M)'!$L37:$EQ37)</f>
        <v>0</v>
      </c>
      <c r="DI32" s="171">
        <f>SUMIF('CF(M)'!$L$11:$EQ$11,DI$6,'CF(M)'!$L37:$EQ37)</f>
        <v>0</v>
      </c>
      <c r="DJ32" s="171">
        <f>SUMIF('CF(M)'!$L$11:$EQ$11,DJ$6,'CF(M)'!$L37:$EQ37)</f>
        <v>0</v>
      </c>
      <c r="DK32" s="171">
        <f>SUMIF('CF(M)'!$L$11:$EQ$11,DK$6,'CF(M)'!$L37:$EQ37)</f>
        <v>0</v>
      </c>
      <c r="DL32" s="171">
        <f>SUMIF('CF(M)'!$L$11:$EQ$11,DL$6,'CF(M)'!$L37:$EQ37)</f>
        <v>0</v>
      </c>
      <c r="DM32" s="171">
        <f>SUMIF('CF(M)'!$L$11:$EQ$11,DM$6,'CF(M)'!$L37:$EQ37)</f>
        <v>0</v>
      </c>
      <c r="DN32" s="171">
        <f>SUMIF('CF(M)'!$L$11:$EQ$11,DN$6,'CF(M)'!$L37:$EQ37)</f>
        <v>0</v>
      </c>
      <c r="DO32" s="171">
        <f>SUMIF('CF(M)'!$L$11:$EQ$11,DO$6,'CF(M)'!$L37:$EQ37)</f>
        <v>0</v>
      </c>
      <c r="DP32" s="171">
        <f>SUMIF('CF(M)'!$L$11:$EQ$11,DP$6,'CF(M)'!$L37:$EQ37)</f>
        <v>0</v>
      </c>
      <c r="DQ32" s="171">
        <f>SUMIF('CF(M)'!$L$11:$EQ$11,DQ$6,'CF(M)'!$L37:$EQ37)</f>
        <v>0</v>
      </c>
      <c r="DR32" s="171">
        <f>SUMIF('CF(M)'!$L$11:$EQ$11,DR$6,'CF(M)'!$L37:$EQ37)</f>
        <v>0</v>
      </c>
      <c r="DS32" s="171">
        <f>SUMIF('CF(M)'!$L$11:$EQ$11,DS$6,'CF(M)'!$L37:$EQ37)</f>
        <v>0</v>
      </c>
      <c r="DT32" s="171">
        <f>SUMIF('CF(M)'!$L$11:$EQ$11,DT$6,'CF(M)'!$L37:$EQ37)</f>
        <v>0</v>
      </c>
      <c r="DU32" s="171">
        <f>SUMIF('CF(M)'!$L$11:$EQ$11,DU$6,'CF(M)'!$L37:$EQ37)</f>
        <v>0</v>
      </c>
      <c r="DV32" s="171">
        <f>SUMIF('CF(M)'!$L$11:$EQ$11,DV$6,'CF(M)'!$L37:$EQ37)</f>
        <v>0</v>
      </c>
    </row>
    <row r="33" spans="2:126" ht="11.25" customHeight="1">
      <c r="B33" s="218"/>
      <c r="C33" s="163"/>
      <c r="D33" s="169" t="s">
        <v>192</v>
      </c>
      <c r="H33" s="146"/>
      <c r="I33" s="13"/>
      <c r="J33" s="171">
        <f t="shared" si="12"/>
        <v>-260348.40871021769</v>
      </c>
      <c r="K33" s="98"/>
      <c r="L33" s="171">
        <f>SUMIF('CF(M)'!$L$11:$EQ$11,L$6,'CF(M)'!$L38:$EQ38)</f>
        <v>0</v>
      </c>
      <c r="M33" s="171">
        <f>SUMIF('CF(M)'!$L$11:$EQ$11,M$6,'CF(M)'!$L38:$EQ38)</f>
        <v>-26034.840871021774</v>
      </c>
      <c r="N33" s="171">
        <f>SUMIF('CF(M)'!$L$11:$EQ$11,N$6,'CF(M)'!$L38:$EQ38)</f>
        <v>-26034.840871021774</v>
      </c>
      <c r="O33" s="171">
        <f>SUMIF('CF(M)'!$L$11:$EQ$11,O$6,'CF(M)'!$L38:$EQ38)</f>
        <v>-26034.840871021774</v>
      </c>
      <c r="P33" s="171">
        <f>SUMIF('CF(M)'!$L$11:$EQ$11,P$6,'CF(M)'!$L38:$EQ38)</f>
        <v>-26034.840871021774</v>
      </c>
      <c r="Q33" s="171">
        <f>SUMIF('CF(M)'!$L$11:$EQ$11,Q$6,'CF(M)'!$L38:$EQ38)</f>
        <v>-26034.840871021774</v>
      </c>
      <c r="R33" s="171">
        <f>SUMIF('CF(M)'!$L$11:$EQ$11,R$6,'CF(M)'!$L38:$EQ38)</f>
        <v>-26034.840871021774</v>
      </c>
      <c r="S33" s="171">
        <f>SUMIF('CF(M)'!$L$11:$EQ$11,S$6,'CF(M)'!$L38:$EQ38)</f>
        <v>-26034.840871021774</v>
      </c>
      <c r="T33" s="171">
        <f>SUMIF('CF(M)'!$L$11:$EQ$11,T$6,'CF(M)'!$L38:$EQ38)</f>
        <v>-26034.840871021774</v>
      </c>
      <c r="U33" s="171">
        <f>SUMIF('CF(M)'!$L$11:$EQ$11,U$6,'CF(M)'!$L38:$EQ38)</f>
        <v>-26034.840871021774</v>
      </c>
      <c r="V33" s="171">
        <f>SUMIF('CF(M)'!$L$11:$EQ$11,V$6,'CF(M)'!$L38:$EQ38)</f>
        <v>-26034.840871021774</v>
      </c>
      <c r="W33" s="171">
        <f>SUMIF('CF(M)'!$L$11:$EQ$11,W$6,'CF(M)'!$L38:$EQ38)</f>
        <v>0</v>
      </c>
      <c r="X33" s="171">
        <f>SUMIF('CF(M)'!$L$11:$EQ$11,X$6,'CF(M)'!$L38:$EQ38)</f>
        <v>0</v>
      </c>
      <c r="Y33" s="171">
        <f>SUMIF('CF(M)'!$L$11:$EQ$11,Y$6,'CF(M)'!$L38:$EQ38)</f>
        <v>0</v>
      </c>
      <c r="Z33" s="171">
        <f>SUMIF('CF(M)'!$L$11:$EQ$11,Z$6,'CF(M)'!$L38:$EQ38)</f>
        <v>0</v>
      </c>
      <c r="AA33" s="171">
        <f>SUMIF('CF(M)'!$L$11:$EQ$11,AA$6,'CF(M)'!$L38:$EQ38)</f>
        <v>0</v>
      </c>
      <c r="AB33" s="171">
        <f>SUMIF('CF(M)'!$L$11:$EQ$11,AB$6,'CF(M)'!$L38:$EQ38)</f>
        <v>0</v>
      </c>
      <c r="AC33" s="171">
        <f>SUMIF('CF(M)'!$L$11:$EQ$11,AC$6,'CF(M)'!$L38:$EQ38)</f>
        <v>0</v>
      </c>
      <c r="AD33" s="171">
        <f>SUMIF('CF(M)'!$L$11:$EQ$11,AD$6,'CF(M)'!$L38:$EQ38)</f>
        <v>0</v>
      </c>
      <c r="AE33" s="171">
        <f>SUMIF('CF(M)'!$L$11:$EQ$11,AE$6,'CF(M)'!$L38:$EQ38)</f>
        <v>0</v>
      </c>
      <c r="AF33" s="171">
        <f>SUMIF('CF(M)'!$L$11:$EQ$11,AF$6,'CF(M)'!$L38:$EQ38)</f>
        <v>0</v>
      </c>
      <c r="AG33" s="171">
        <f>SUMIF('CF(M)'!$L$11:$EQ$11,AG$6,'CF(M)'!$L38:$EQ38)</f>
        <v>0</v>
      </c>
      <c r="AH33" s="171">
        <f>SUMIF('CF(M)'!$L$11:$EQ$11,AH$6,'CF(M)'!$L38:$EQ38)</f>
        <v>0</v>
      </c>
      <c r="AI33" s="171">
        <f>SUMIF('CF(M)'!$L$11:$EQ$11,AI$6,'CF(M)'!$L38:$EQ38)</f>
        <v>0</v>
      </c>
      <c r="AJ33" s="171">
        <f>SUMIF('CF(M)'!$L$11:$EQ$11,AJ$6,'CF(M)'!$L38:$EQ38)</f>
        <v>0</v>
      </c>
      <c r="AK33" s="171">
        <f>SUMIF('CF(M)'!$L$11:$EQ$11,AK$6,'CF(M)'!$L38:$EQ38)</f>
        <v>0</v>
      </c>
      <c r="AL33" s="171">
        <f>SUMIF('CF(M)'!$L$11:$EQ$11,AL$6,'CF(M)'!$L38:$EQ38)</f>
        <v>0</v>
      </c>
      <c r="AM33" s="171">
        <f>SUMIF('CF(M)'!$L$11:$EQ$11,AM$6,'CF(M)'!$L38:$EQ38)</f>
        <v>0</v>
      </c>
      <c r="AN33" s="171">
        <f>SUMIF('CF(M)'!$L$11:$EQ$11,AN$6,'CF(M)'!$L38:$EQ38)</f>
        <v>0</v>
      </c>
      <c r="AO33" s="171">
        <f>SUMIF('CF(M)'!$L$11:$EQ$11,AO$6,'CF(M)'!$L38:$EQ38)</f>
        <v>0</v>
      </c>
      <c r="AP33" s="171">
        <f>SUMIF('CF(M)'!$L$11:$EQ$11,AP$6,'CF(M)'!$L38:$EQ38)</f>
        <v>0</v>
      </c>
      <c r="AQ33" s="171">
        <f>SUMIF('CF(M)'!$L$11:$EQ$11,AQ$6,'CF(M)'!$L38:$EQ38)</f>
        <v>0</v>
      </c>
      <c r="AR33" s="171">
        <f>SUMIF('CF(M)'!$L$11:$EQ$11,AR$6,'CF(M)'!$L38:$EQ38)</f>
        <v>0</v>
      </c>
      <c r="AS33" s="171">
        <f>SUMIF('CF(M)'!$L$11:$EQ$11,AS$6,'CF(M)'!$L38:$EQ38)</f>
        <v>0</v>
      </c>
      <c r="AT33" s="171">
        <f>SUMIF('CF(M)'!$L$11:$EQ$11,AT$6,'CF(M)'!$L38:$EQ38)</f>
        <v>0</v>
      </c>
      <c r="AU33" s="171">
        <f>SUMIF('CF(M)'!$L$11:$EQ$11,AU$6,'CF(M)'!$L38:$EQ38)</f>
        <v>0</v>
      </c>
      <c r="AV33" s="171">
        <f>SUMIF('CF(M)'!$L$11:$EQ$11,AV$6,'CF(M)'!$L38:$EQ38)</f>
        <v>0</v>
      </c>
      <c r="AW33" s="171">
        <f>SUMIF('CF(M)'!$L$11:$EQ$11,AW$6,'CF(M)'!$L38:$EQ38)</f>
        <v>0</v>
      </c>
      <c r="AX33" s="171">
        <f>SUMIF('CF(M)'!$L$11:$EQ$11,AX$6,'CF(M)'!$L38:$EQ38)</f>
        <v>0</v>
      </c>
      <c r="AY33" s="171">
        <f>SUMIF('CF(M)'!$L$11:$EQ$11,AY$6,'CF(M)'!$L38:$EQ38)</f>
        <v>0</v>
      </c>
      <c r="AZ33" s="171">
        <f>SUMIF('CF(M)'!$L$11:$EQ$11,AZ$6,'CF(M)'!$L38:$EQ38)</f>
        <v>0</v>
      </c>
      <c r="BA33" s="171">
        <f>SUMIF('CF(M)'!$L$11:$EQ$11,BA$6,'CF(M)'!$L38:$EQ38)</f>
        <v>0</v>
      </c>
      <c r="BB33" s="171">
        <f>SUMIF('CF(M)'!$L$11:$EQ$11,BB$6,'CF(M)'!$L38:$EQ38)</f>
        <v>0</v>
      </c>
      <c r="BC33" s="171">
        <f>SUMIF('CF(M)'!$L$11:$EQ$11,BC$6,'CF(M)'!$L38:$EQ38)</f>
        <v>0</v>
      </c>
      <c r="BD33" s="171">
        <f>SUMIF('CF(M)'!$L$11:$EQ$11,BD$6,'CF(M)'!$L38:$EQ38)</f>
        <v>0</v>
      </c>
      <c r="BE33" s="171">
        <f>SUMIF('CF(M)'!$L$11:$EQ$11,BE$6,'CF(M)'!$L38:$EQ38)</f>
        <v>0</v>
      </c>
      <c r="BF33" s="171">
        <f>SUMIF('CF(M)'!$L$11:$EQ$11,BF$6,'CF(M)'!$L38:$EQ38)</f>
        <v>0</v>
      </c>
      <c r="BG33" s="171">
        <f>SUMIF('CF(M)'!$L$11:$EQ$11,BG$6,'CF(M)'!$L38:$EQ38)</f>
        <v>0</v>
      </c>
      <c r="BH33" s="171">
        <f>SUMIF('CF(M)'!$L$11:$EQ$11,BH$6,'CF(M)'!$L38:$EQ38)</f>
        <v>0</v>
      </c>
      <c r="BI33" s="171">
        <f>SUMIF('CF(M)'!$L$11:$EQ$11,BI$6,'CF(M)'!$L38:$EQ38)</f>
        <v>0</v>
      </c>
      <c r="BJ33" s="171">
        <f>SUMIF('CF(M)'!$L$11:$EQ$11,BJ$6,'CF(M)'!$L38:$EQ38)</f>
        <v>0</v>
      </c>
      <c r="BK33" s="171">
        <f>SUMIF('CF(M)'!$L$11:$EQ$11,BK$6,'CF(M)'!$L38:$EQ38)</f>
        <v>0</v>
      </c>
      <c r="BL33" s="171">
        <f>SUMIF('CF(M)'!$L$11:$EQ$11,BL$6,'CF(M)'!$L38:$EQ38)</f>
        <v>0</v>
      </c>
      <c r="BM33" s="171">
        <f>SUMIF('CF(M)'!$L$11:$EQ$11,BM$6,'CF(M)'!$L38:$EQ38)</f>
        <v>0</v>
      </c>
      <c r="BN33" s="171">
        <f>SUMIF('CF(M)'!$L$11:$EQ$11,BN$6,'CF(M)'!$L38:$EQ38)</f>
        <v>0</v>
      </c>
      <c r="BO33" s="171">
        <f>SUMIF('CF(M)'!$L$11:$EQ$11,BO$6,'CF(M)'!$L38:$EQ38)</f>
        <v>0</v>
      </c>
      <c r="BP33" s="171">
        <f>SUMIF('CF(M)'!$L$11:$EQ$11,BP$6,'CF(M)'!$L38:$EQ38)</f>
        <v>0</v>
      </c>
      <c r="BQ33" s="171">
        <f>SUMIF('CF(M)'!$L$11:$EQ$11,BQ$6,'CF(M)'!$L38:$EQ38)</f>
        <v>0</v>
      </c>
      <c r="BR33" s="171">
        <f>SUMIF('CF(M)'!$L$11:$EQ$11,BR$6,'CF(M)'!$L38:$EQ38)</f>
        <v>0</v>
      </c>
      <c r="BS33" s="171">
        <f>SUMIF('CF(M)'!$L$11:$EQ$11,BS$6,'CF(M)'!$L38:$EQ38)</f>
        <v>0</v>
      </c>
      <c r="BT33" s="171">
        <f>SUMIF('CF(M)'!$L$11:$EQ$11,BT$6,'CF(M)'!$L38:$EQ38)</f>
        <v>0</v>
      </c>
      <c r="BU33" s="171">
        <f>SUMIF('CF(M)'!$L$11:$EQ$11,BU$6,'CF(M)'!$L38:$EQ38)</f>
        <v>0</v>
      </c>
      <c r="BV33" s="171">
        <f>SUMIF('CF(M)'!$L$11:$EQ$11,BV$6,'CF(M)'!$L38:$EQ38)</f>
        <v>0</v>
      </c>
      <c r="BW33" s="171">
        <f>SUMIF('CF(M)'!$L$11:$EQ$11,BW$6,'CF(M)'!$L38:$EQ38)</f>
        <v>0</v>
      </c>
      <c r="BX33" s="171">
        <f>SUMIF('CF(M)'!$L$11:$EQ$11,BX$6,'CF(M)'!$L38:$EQ38)</f>
        <v>0</v>
      </c>
      <c r="BY33" s="171">
        <f>SUMIF('CF(M)'!$L$11:$EQ$11,BY$6,'CF(M)'!$L38:$EQ38)</f>
        <v>0</v>
      </c>
      <c r="BZ33" s="171">
        <f>SUMIF('CF(M)'!$L$11:$EQ$11,BZ$6,'CF(M)'!$L38:$EQ38)</f>
        <v>0</v>
      </c>
      <c r="CA33" s="171">
        <f>SUMIF('CF(M)'!$L$11:$EQ$11,CA$6,'CF(M)'!$L38:$EQ38)</f>
        <v>0</v>
      </c>
      <c r="CB33" s="171">
        <f>SUMIF('CF(M)'!$L$11:$EQ$11,CB$6,'CF(M)'!$L38:$EQ38)</f>
        <v>0</v>
      </c>
      <c r="CC33" s="171">
        <f>SUMIF('CF(M)'!$L$11:$EQ$11,CC$6,'CF(M)'!$L38:$EQ38)</f>
        <v>0</v>
      </c>
      <c r="CD33" s="171">
        <f>SUMIF('CF(M)'!$L$11:$EQ$11,CD$6,'CF(M)'!$L38:$EQ38)</f>
        <v>0</v>
      </c>
      <c r="CE33" s="171">
        <f>SUMIF('CF(M)'!$L$11:$EQ$11,CE$6,'CF(M)'!$L38:$EQ38)</f>
        <v>0</v>
      </c>
      <c r="CF33" s="171">
        <f>SUMIF('CF(M)'!$L$11:$EQ$11,CF$6,'CF(M)'!$L38:$EQ38)</f>
        <v>0</v>
      </c>
      <c r="CG33" s="171">
        <f>SUMIF('CF(M)'!$L$11:$EQ$11,CG$6,'CF(M)'!$L38:$EQ38)</f>
        <v>0</v>
      </c>
      <c r="CH33" s="171">
        <f>SUMIF('CF(M)'!$L$11:$EQ$11,CH$6,'CF(M)'!$L38:$EQ38)</f>
        <v>0</v>
      </c>
      <c r="CI33" s="171">
        <f>SUMIF('CF(M)'!$L$11:$EQ$11,CI$6,'CF(M)'!$L38:$EQ38)</f>
        <v>0</v>
      </c>
      <c r="CJ33" s="171">
        <f>SUMIF('CF(M)'!$L$11:$EQ$11,CJ$6,'CF(M)'!$L38:$EQ38)</f>
        <v>0</v>
      </c>
      <c r="CK33" s="171">
        <f>SUMIF('CF(M)'!$L$11:$EQ$11,CK$6,'CF(M)'!$L38:$EQ38)</f>
        <v>0</v>
      </c>
      <c r="CL33" s="171">
        <f>SUMIF('CF(M)'!$L$11:$EQ$11,CL$6,'CF(M)'!$L38:$EQ38)</f>
        <v>0</v>
      </c>
      <c r="CM33" s="171">
        <f>SUMIF('CF(M)'!$L$11:$EQ$11,CM$6,'CF(M)'!$L38:$EQ38)</f>
        <v>0</v>
      </c>
      <c r="CN33" s="171">
        <f>SUMIF('CF(M)'!$L$11:$EQ$11,CN$6,'CF(M)'!$L38:$EQ38)</f>
        <v>0</v>
      </c>
      <c r="CO33" s="171">
        <f>SUMIF('CF(M)'!$L$11:$EQ$11,CO$6,'CF(M)'!$L38:$EQ38)</f>
        <v>0</v>
      </c>
      <c r="CP33" s="171">
        <f>SUMIF('CF(M)'!$L$11:$EQ$11,CP$6,'CF(M)'!$L38:$EQ38)</f>
        <v>0</v>
      </c>
      <c r="CQ33" s="171">
        <f>SUMIF('CF(M)'!$L$11:$EQ$11,CQ$6,'CF(M)'!$L38:$EQ38)</f>
        <v>0</v>
      </c>
      <c r="CR33" s="171">
        <f>SUMIF('CF(M)'!$L$11:$EQ$11,CR$6,'CF(M)'!$L38:$EQ38)</f>
        <v>0</v>
      </c>
      <c r="CS33" s="171">
        <f>SUMIF('CF(M)'!$L$11:$EQ$11,CS$6,'CF(M)'!$L38:$EQ38)</f>
        <v>0</v>
      </c>
      <c r="CT33" s="171">
        <f>SUMIF('CF(M)'!$L$11:$EQ$11,CT$6,'CF(M)'!$L38:$EQ38)</f>
        <v>0</v>
      </c>
      <c r="CU33" s="171">
        <f>SUMIF('CF(M)'!$L$11:$EQ$11,CU$6,'CF(M)'!$L38:$EQ38)</f>
        <v>0</v>
      </c>
      <c r="CV33" s="171">
        <f>SUMIF('CF(M)'!$L$11:$EQ$11,CV$6,'CF(M)'!$L38:$EQ38)</f>
        <v>0</v>
      </c>
      <c r="CW33" s="171">
        <f>SUMIF('CF(M)'!$L$11:$EQ$11,CW$6,'CF(M)'!$L38:$EQ38)</f>
        <v>0</v>
      </c>
      <c r="CX33" s="171">
        <f>SUMIF('CF(M)'!$L$11:$EQ$11,CX$6,'CF(M)'!$L38:$EQ38)</f>
        <v>0</v>
      </c>
      <c r="CY33" s="171">
        <f>SUMIF('CF(M)'!$L$11:$EQ$11,CY$6,'CF(M)'!$L38:$EQ38)</f>
        <v>0</v>
      </c>
      <c r="CZ33" s="171">
        <f>SUMIF('CF(M)'!$L$11:$EQ$11,CZ$6,'CF(M)'!$L38:$EQ38)</f>
        <v>0</v>
      </c>
      <c r="DA33" s="171">
        <f>SUMIF('CF(M)'!$L$11:$EQ$11,DA$6,'CF(M)'!$L38:$EQ38)</f>
        <v>0</v>
      </c>
      <c r="DB33" s="171">
        <f>SUMIF('CF(M)'!$L$11:$EQ$11,DB$6,'CF(M)'!$L38:$EQ38)</f>
        <v>0</v>
      </c>
      <c r="DC33" s="171">
        <f>SUMIF('CF(M)'!$L$11:$EQ$11,DC$6,'CF(M)'!$L38:$EQ38)</f>
        <v>0</v>
      </c>
      <c r="DD33" s="171">
        <f>SUMIF('CF(M)'!$L$11:$EQ$11,DD$6,'CF(M)'!$L38:$EQ38)</f>
        <v>0</v>
      </c>
      <c r="DE33" s="171">
        <f>SUMIF('CF(M)'!$L$11:$EQ$11,DE$6,'CF(M)'!$L38:$EQ38)</f>
        <v>0</v>
      </c>
      <c r="DF33" s="171">
        <f>SUMIF('CF(M)'!$L$11:$EQ$11,DF$6,'CF(M)'!$L38:$EQ38)</f>
        <v>0</v>
      </c>
      <c r="DG33" s="171">
        <f>SUMIF('CF(M)'!$L$11:$EQ$11,DG$6,'CF(M)'!$L38:$EQ38)</f>
        <v>0</v>
      </c>
      <c r="DH33" s="171">
        <f>SUMIF('CF(M)'!$L$11:$EQ$11,DH$6,'CF(M)'!$L38:$EQ38)</f>
        <v>0</v>
      </c>
      <c r="DI33" s="171">
        <f>SUMIF('CF(M)'!$L$11:$EQ$11,DI$6,'CF(M)'!$L38:$EQ38)</f>
        <v>0</v>
      </c>
      <c r="DJ33" s="171">
        <f>SUMIF('CF(M)'!$L$11:$EQ$11,DJ$6,'CF(M)'!$L38:$EQ38)</f>
        <v>0</v>
      </c>
      <c r="DK33" s="171">
        <f>SUMIF('CF(M)'!$L$11:$EQ$11,DK$6,'CF(M)'!$L38:$EQ38)</f>
        <v>0</v>
      </c>
      <c r="DL33" s="171">
        <f>SUMIF('CF(M)'!$L$11:$EQ$11,DL$6,'CF(M)'!$L38:$EQ38)</f>
        <v>0</v>
      </c>
      <c r="DM33" s="171">
        <f>SUMIF('CF(M)'!$L$11:$EQ$11,DM$6,'CF(M)'!$L38:$EQ38)</f>
        <v>0</v>
      </c>
      <c r="DN33" s="171">
        <f>SUMIF('CF(M)'!$L$11:$EQ$11,DN$6,'CF(M)'!$L38:$EQ38)</f>
        <v>0</v>
      </c>
      <c r="DO33" s="171">
        <f>SUMIF('CF(M)'!$L$11:$EQ$11,DO$6,'CF(M)'!$L38:$EQ38)</f>
        <v>0</v>
      </c>
      <c r="DP33" s="171">
        <f>SUMIF('CF(M)'!$L$11:$EQ$11,DP$6,'CF(M)'!$L38:$EQ38)</f>
        <v>0</v>
      </c>
      <c r="DQ33" s="171">
        <f>SUMIF('CF(M)'!$L$11:$EQ$11,DQ$6,'CF(M)'!$L38:$EQ38)</f>
        <v>0</v>
      </c>
      <c r="DR33" s="171">
        <f>SUMIF('CF(M)'!$L$11:$EQ$11,DR$6,'CF(M)'!$L38:$EQ38)</f>
        <v>0</v>
      </c>
      <c r="DS33" s="171">
        <f>SUMIF('CF(M)'!$L$11:$EQ$11,DS$6,'CF(M)'!$L38:$EQ38)</f>
        <v>0</v>
      </c>
      <c r="DT33" s="171">
        <f>SUMIF('CF(M)'!$L$11:$EQ$11,DT$6,'CF(M)'!$L38:$EQ38)</f>
        <v>0</v>
      </c>
      <c r="DU33" s="171">
        <f>SUMIF('CF(M)'!$L$11:$EQ$11,DU$6,'CF(M)'!$L38:$EQ38)</f>
        <v>0</v>
      </c>
      <c r="DV33" s="171">
        <f>SUMIF('CF(M)'!$L$11:$EQ$11,DV$6,'CF(M)'!$L38:$EQ38)</f>
        <v>0</v>
      </c>
    </row>
    <row r="34" spans="2:126" ht="11.25" customHeight="1">
      <c r="B34" s="218"/>
      <c r="C34" s="163"/>
      <c r="D34" s="169" t="s">
        <v>533</v>
      </c>
      <c r="H34" s="146"/>
      <c r="I34" s="13"/>
      <c r="J34" s="171">
        <f t="shared" si="12"/>
        <v>-788379.9119811256</v>
      </c>
      <c r="K34" s="98"/>
      <c r="L34" s="171">
        <f>SUMIF('CF(M)'!$L$11:$EQ$11,L$6,'CF(M)'!$L39:$EQ39)</f>
        <v>0</v>
      </c>
      <c r="M34" s="171">
        <f>SUMIF('CF(M)'!$L$11:$EQ$11,M$6,'CF(M)'!$L39:$EQ39)</f>
        <v>-72000</v>
      </c>
      <c r="N34" s="171">
        <f>SUMIF('CF(M)'!$L$11:$EQ$11,N$6,'CF(M)'!$L39:$EQ39)</f>
        <v>-73440</v>
      </c>
      <c r="O34" s="171">
        <f>SUMIF('CF(M)'!$L$11:$EQ$11,O$6,'CF(M)'!$L39:$EQ39)</f>
        <v>-74908.800000000003</v>
      </c>
      <c r="P34" s="171">
        <f>SUMIF('CF(M)'!$L$11:$EQ$11,P$6,'CF(M)'!$L39:$EQ39)</f>
        <v>-76406.975999999995</v>
      </c>
      <c r="Q34" s="171">
        <f>SUMIF('CF(M)'!$L$11:$EQ$11,Q$6,'CF(M)'!$L39:$EQ39)</f>
        <v>-77935.115520000007</v>
      </c>
      <c r="R34" s="171">
        <f>SUMIF('CF(M)'!$L$11:$EQ$11,R$6,'CF(M)'!$L39:$EQ39)</f>
        <v>-79493.817830400003</v>
      </c>
      <c r="S34" s="171">
        <f>SUMIF('CF(M)'!$L$11:$EQ$11,S$6,'CF(M)'!$L39:$EQ39)</f>
        <v>-81083.694187008005</v>
      </c>
      <c r="T34" s="171">
        <f>SUMIF('CF(M)'!$L$11:$EQ$11,T$6,'CF(M)'!$L39:$EQ39)</f>
        <v>-82705.368070748154</v>
      </c>
      <c r="U34" s="171">
        <f>SUMIF('CF(M)'!$L$11:$EQ$11,U$6,'CF(M)'!$L39:$EQ39)</f>
        <v>-84359.475432163119</v>
      </c>
      <c r="V34" s="171">
        <f>SUMIF('CF(M)'!$L$11:$EQ$11,V$6,'CF(M)'!$L39:$EQ39)</f>
        <v>-86046.664940806368</v>
      </c>
      <c r="W34" s="171">
        <f>SUMIF('CF(M)'!$L$11:$EQ$11,W$6,'CF(M)'!$L39:$EQ39)</f>
        <v>0</v>
      </c>
      <c r="X34" s="171">
        <f>SUMIF('CF(M)'!$L$11:$EQ$11,X$6,'CF(M)'!$L39:$EQ39)</f>
        <v>0</v>
      </c>
      <c r="Y34" s="171">
        <f>SUMIF('CF(M)'!$L$11:$EQ$11,Y$6,'CF(M)'!$L39:$EQ39)</f>
        <v>0</v>
      </c>
      <c r="Z34" s="171">
        <f>SUMIF('CF(M)'!$L$11:$EQ$11,Z$6,'CF(M)'!$L39:$EQ39)</f>
        <v>0</v>
      </c>
      <c r="AA34" s="171">
        <f>SUMIF('CF(M)'!$L$11:$EQ$11,AA$6,'CF(M)'!$L39:$EQ39)</f>
        <v>0</v>
      </c>
      <c r="AB34" s="171">
        <f>SUMIF('CF(M)'!$L$11:$EQ$11,AB$6,'CF(M)'!$L39:$EQ39)</f>
        <v>0</v>
      </c>
      <c r="AC34" s="171">
        <f>SUMIF('CF(M)'!$L$11:$EQ$11,AC$6,'CF(M)'!$L39:$EQ39)</f>
        <v>0</v>
      </c>
      <c r="AD34" s="171">
        <f>SUMIF('CF(M)'!$L$11:$EQ$11,AD$6,'CF(M)'!$L39:$EQ39)</f>
        <v>0</v>
      </c>
      <c r="AE34" s="171">
        <f>SUMIF('CF(M)'!$L$11:$EQ$11,AE$6,'CF(M)'!$L39:$EQ39)</f>
        <v>0</v>
      </c>
      <c r="AF34" s="171">
        <f>SUMIF('CF(M)'!$L$11:$EQ$11,AF$6,'CF(M)'!$L39:$EQ39)</f>
        <v>0</v>
      </c>
      <c r="AG34" s="171">
        <f>SUMIF('CF(M)'!$L$11:$EQ$11,AG$6,'CF(M)'!$L39:$EQ39)</f>
        <v>0</v>
      </c>
      <c r="AH34" s="171">
        <f>SUMIF('CF(M)'!$L$11:$EQ$11,AH$6,'CF(M)'!$L39:$EQ39)</f>
        <v>0</v>
      </c>
      <c r="AI34" s="171">
        <f>SUMIF('CF(M)'!$L$11:$EQ$11,AI$6,'CF(M)'!$L39:$EQ39)</f>
        <v>0</v>
      </c>
      <c r="AJ34" s="171">
        <f>SUMIF('CF(M)'!$L$11:$EQ$11,AJ$6,'CF(M)'!$L39:$EQ39)</f>
        <v>0</v>
      </c>
      <c r="AK34" s="171">
        <f>SUMIF('CF(M)'!$L$11:$EQ$11,AK$6,'CF(M)'!$L39:$EQ39)</f>
        <v>0</v>
      </c>
      <c r="AL34" s="171">
        <f>SUMIF('CF(M)'!$L$11:$EQ$11,AL$6,'CF(M)'!$L39:$EQ39)</f>
        <v>0</v>
      </c>
      <c r="AM34" s="171">
        <f>SUMIF('CF(M)'!$L$11:$EQ$11,AM$6,'CF(M)'!$L39:$EQ39)</f>
        <v>0</v>
      </c>
      <c r="AN34" s="171">
        <f>SUMIF('CF(M)'!$L$11:$EQ$11,AN$6,'CF(M)'!$L39:$EQ39)</f>
        <v>0</v>
      </c>
      <c r="AO34" s="171">
        <f>SUMIF('CF(M)'!$L$11:$EQ$11,AO$6,'CF(M)'!$L39:$EQ39)</f>
        <v>0</v>
      </c>
      <c r="AP34" s="171">
        <f>SUMIF('CF(M)'!$L$11:$EQ$11,AP$6,'CF(M)'!$L39:$EQ39)</f>
        <v>0</v>
      </c>
      <c r="AQ34" s="171">
        <f>SUMIF('CF(M)'!$L$11:$EQ$11,AQ$6,'CF(M)'!$L39:$EQ39)</f>
        <v>0</v>
      </c>
      <c r="AR34" s="171">
        <f>SUMIF('CF(M)'!$L$11:$EQ$11,AR$6,'CF(M)'!$L39:$EQ39)</f>
        <v>0</v>
      </c>
      <c r="AS34" s="171">
        <f>SUMIF('CF(M)'!$L$11:$EQ$11,AS$6,'CF(M)'!$L39:$EQ39)</f>
        <v>0</v>
      </c>
      <c r="AT34" s="171">
        <f>SUMIF('CF(M)'!$L$11:$EQ$11,AT$6,'CF(M)'!$L39:$EQ39)</f>
        <v>0</v>
      </c>
      <c r="AU34" s="171">
        <f>SUMIF('CF(M)'!$L$11:$EQ$11,AU$6,'CF(M)'!$L39:$EQ39)</f>
        <v>0</v>
      </c>
      <c r="AV34" s="171">
        <f>SUMIF('CF(M)'!$L$11:$EQ$11,AV$6,'CF(M)'!$L39:$EQ39)</f>
        <v>0</v>
      </c>
      <c r="AW34" s="171">
        <f>SUMIF('CF(M)'!$L$11:$EQ$11,AW$6,'CF(M)'!$L39:$EQ39)</f>
        <v>0</v>
      </c>
      <c r="AX34" s="171">
        <f>SUMIF('CF(M)'!$L$11:$EQ$11,AX$6,'CF(M)'!$L39:$EQ39)</f>
        <v>0</v>
      </c>
      <c r="AY34" s="171">
        <f>SUMIF('CF(M)'!$L$11:$EQ$11,AY$6,'CF(M)'!$L39:$EQ39)</f>
        <v>0</v>
      </c>
      <c r="AZ34" s="171">
        <f>SUMIF('CF(M)'!$L$11:$EQ$11,AZ$6,'CF(M)'!$L39:$EQ39)</f>
        <v>0</v>
      </c>
      <c r="BA34" s="171">
        <f>SUMIF('CF(M)'!$L$11:$EQ$11,BA$6,'CF(M)'!$L39:$EQ39)</f>
        <v>0</v>
      </c>
      <c r="BB34" s="171">
        <f>SUMIF('CF(M)'!$L$11:$EQ$11,BB$6,'CF(M)'!$L39:$EQ39)</f>
        <v>0</v>
      </c>
      <c r="BC34" s="171">
        <f>SUMIF('CF(M)'!$L$11:$EQ$11,BC$6,'CF(M)'!$L39:$EQ39)</f>
        <v>0</v>
      </c>
      <c r="BD34" s="171">
        <f>SUMIF('CF(M)'!$L$11:$EQ$11,BD$6,'CF(M)'!$L39:$EQ39)</f>
        <v>0</v>
      </c>
      <c r="BE34" s="171">
        <f>SUMIF('CF(M)'!$L$11:$EQ$11,BE$6,'CF(M)'!$L39:$EQ39)</f>
        <v>0</v>
      </c>
      <c r="BF34" s="171">
        <f>SUMIF('CF(M)'!$L$11:$EQ$11,BF$6,'CF(M)'!$L39:$EQ39)</f>
        <v>0</v>
      </c>
      <c r="BG34" s="171">
        <f>SUMIF('CF(M)'!$L$11:$EQ$11,BG$6,'CF(M)'!$L39:$EQ39)</f>
        <v>0</v>
      </c>
      <c r="BH34" s="171">
        <f>SUMIF('CF(M)'!$L$11:$EQ$11,BH$6,'CF(M)'!$L39:$EQ39)</f>
        <v>0</v>
      </c>
      <c r="BI34" s="171">
        <f>SUMIF('CF(M)'!$L$11:$EQ$11,BI$6,'CF(M)'!$L39:$EQ39)</f>
        <v>0</v>
      </c>
      <c r="BJ34" s="171">
        <f>SUMIF('CF(M)'!$L$11:$EQ$11,BJ$6,'CF(M)'!$L39:$EQ39)</f>
        <v>0</v>
      </c>
      <c r="BK34" s="171">
        <f>SUMIF('CF(M)'!$L$11:$EQ$11,BK$6,'CF(M)'!$L39:$EQ39)</f>
        <v>0</v>
      </c>
      <c r="BL34" s="171">
        <f>SUMIF('CF(M)'!$L$11:$EQ$11,BL$6,'CF(M)'!$L39:$EQ39)</f>
        <v>0</v>
      </c>
      <c r="BM34" s="171">
        <f>SUMIF('CF(M)'!$L$11:$EQ$11,BM$6,'CF(M)'!$L39:$EQ39)</f>
        <v>0</v>
      </c>
      <c r="BN34" s="171">
        <f>SUMIF('CF(M)'!$L$11:$EQ$11,BN$6,'CF(M)'!$L39:$EQ39)</f>
        <v>0</v>
      </c>
      <c r="BO34" s="171">
        <f>SUMIF('CF(M)'!$L$11:$EQ$11,BO$6,'CF(M)'!$L39:$EQ39)</f>
        <v>0</v>
      </c>
      <c r="BP34" s="171">
        <f>SUMIF('CF(M)'!$L$11:$EQ$11,BP$6,'CF(M)'!$L39:$EQ39)</f>
        <v>0</v>
      </c>
      <c r="BQ34" s="171">
        <f>SUMIF('CF(M)'!$L$11:$EQ$11,BQ$6,'CF(M)'!$L39:$EQ39)</f>
        <v>0</v>
      </c>
      <c r="BR34" s="171">
        <f>SUMIF('CF(M)'!$L$11:$EQ$11,BR$6,'CF(M)'!$L39:$EQ39)</f>
        <v>0</v>
      </c>
      <c r="BS34" s="171">
        <f>SUMIF('CF(M)'!$L$11:$EQ$11,BS$6,'CF(M)'!$L39:$EQ39)</f>
        <v>0</v>
      </c>
      <c r="BT34" s="171">
        <f>SUMIF('CF(M)'!$L$11:$EQ$11,BT$6,'CF(M)'!$L39:$EQ39)</f>
        <v>0</v>
      </c>
      <c r="BU34" s="171">
        <f>SUMIF('CF(M)'!$L$11:$EQ$11,BU$6,'CF(M)'!$L39:$EQ39)</f>
        <v>0</v>
      </c>
      <c r="BV34" s="171">
        <f>SUMIF('CF(M)'!$L$11:$EQ$11,BV$6,'CF(M)'!$L39:$EQ39)</f>
        <v>0</v>
      </c>
      <c r="BW34" s="171">
        <f>SUMIF('CF(M)'!$L$11:$EQ$11,BW$6,'CF(M)'!$L39:$EQ39)</f>
        <v>0</v>
      </c>
      <c r="BX34" s="171">
        <f>SUMIF('CF(M)'!$L$11:$EQ$11,BX$6,'CF(M)'!$L39:$EQ39)</f>
        <v>0</v>
      </c>
      <c r="BY34" s="171">
        <f>SUMIF('CF(M)'!$L$11:$EQ$11,BY$6,'CF(M)'!$L39:$EQ39)</f>
        <v>0</v>
      </c>
      <c r="BZ34" s="171">
        <f>SUMIF('CF(M)'!$L$11:$EQ$11,BZ$6,'CF(M)'!$L39:$EQ39)</f>
        <v>0</v>
      </c>
      <c r="CA34" s="171">
        <f>SUMIF('CF(M)'!$L$11:$EQ$11,CA$6,'CF(M)'!$L39:$EQ39)</f>
        <v>0</v>
      </c>
      <c r="CB34" s="171">
        <f>SUMIF('CF(M)'!$L$11:$EQ$11,CB$6,'CF(M)'!$L39:$EQ39)</f>
        <v>0</v>
      </c>
      <c r="CC34" s="171">
        <f>SUMIF('CF(M)'!$L$11:$EQ$11,CC$6,'CF(M)'!$L39:$EQ39)</f>
        <v>0</v>
      </c>
      <c r="CD34" s="171">
        <f>SUMIF('CF(M)'!$L$11:$EQ$11,CD$6,'CF(M)'!$L39:$EQ39)</f>
        <v>0</v>
      </c>
      <c r="CE34" s="171">
        <f>SUMIF('CF(M)'!$L$11:$EQ$11,CE$6,'CF(M)'!$L39:$EQ39)</f>
        <v>0</v>
      </c>
      <c r="CF34" s="171">
        <f>SUMIF('CF(M)'!$L$11:$EQ$11,CF$6,'CF(M)'!$L39:$EQ39)</f>
        <v>0</v>
      </c>
      <c r="CG34" s="171">
        <f>SUMIF('CF(M)'!$L$11:$EQ$11,CG$6,'CF(M)'!$L39:$EQ39)</f>
        <v>0</v>
      </c>
      <c r="CH34" s="171">
        <f>SUMIF('CF(M)'!$L$11:$EQ$11,CH$6,'CF(M)'!$L39:$EQ39)</f>
        <v>0</v>
      </c>
      <c r="CI34" s="171">
        <f>SUMIF('CF(M)'!$L$11:$EQ$11,CI$6,'CF(M)'!$L39:$EQ39)</f>
        <v>0</v>
      </c>
      <c r="CJ34" s="171">
        <f>SUMIF('CF(M)'!$L$11:$EQ$11,CJ$6,'CF(M)'!$L39:$EQ39)</f>
        <v>0</v>
      </c>
      <c r="CK34" s="171">
        <f>SUMIF('CF(M)'!$L$11:$EQ$11,CK$6,'CF(M)'!$L39:$EQ39)</f>
        <v>0</v>
      </c>
      <c r="CL34" s="171">
        <f>SUMIF('CF(M)'!$L$11:$EQ$11,CL$6,'CF(M)'!$L39:$EQ39)</f>
        <v>0</v>
      </c>
      <c r="CM34" s="171">
        <f>SUMIF('CF(M)'!$L$11:$EQ$11,CM$6,'CF(M)'!$L39:$EQ39)</f>
        <v>0</v>
      </c>
      <c r="CN34" s="171">
        <f>SUMIF('CF(M)'!$L$11:$EQ$11,CN$6,'CF(M)'!$L39:$EQ39)</f>
        <v>0</v>
      </c>
      <c r="CO34" s="171">
        <f>SUMIF('CF(M)'!$L$11:$EQ$11,CO$6,'CF(M)'!$L39:$EQ39)</f>
        <v>0</v>
      </c>
      <c r="CP34" s="171">
        <f>SUMIF('CF(M)'!$L$11:$EQ$11,CP$6,'CF(M)'!$L39:$EQ39)</f>
        <v>0</v>
      </c>
      <c r="CQ34" s="171">
        <f>SUMIF('CF(M)'!$L$11:$EQ$11,CQ$6,'CF(M)'!$L39:$EQ39)</f>
        <v>0</v>
      </c>
      <c r="CR34" s="171">
        <f>SUMIF('CF(M)'!$L$11:$EQ$11,CR$6,'CF(M)'!$L39:$EQ39)</f>
        <v>0</v>
      </c>
      <c r="CS34" s="171">
        <f>SUMIF('CF(M)'!$L$11:$EQ$11,CS$6,'CF(M)'!$L39:$EQ39)</f>
        <v>0</v>
      </c>
      <c r="CT34" s="171">
        <f>SUMIF('CF(M)'!$L$11:$EQ$11,CT$6,'CF(M)'!$L39:$EQ39)</f>
        <v>0</v>
      </c>
      <c r="CU34" s="171">
        <f>SUMIF('CF(M)'!$L$11:$EQ$11,CU$6,'CF(M)'!$L39:$EQ39)</f>
        <v>0</v>
      </c>
      <c r="CV34" s="171">
        <f>SUMIF('CF(M)'!$L$11:$EQ$11,CV$6,'CF(M)'!$L39:$EQ39)</f>
        <v>0</v>
      </c>
      <c r="CW34" s="171">
        <f>SUMIF('CF(M)'!$L$11:$EQ$11,CW$6,'CF(M)'!$L39:$EQ39)</f>
        <v>0</v>
      </c>
      <c r="CX34" s="171">
        <f>SUMIF('CF(M)'!$L$11:$EQ$11,CX$6,'CF(M)'!$L39:$EQ39)</f>
        <v>0</v>
      </c>
      <c r="CY34" s="171">
        <f>SUMIF('CF(M)'!$L$11:$EQ$11,CY$6,'CF(M)'!$L39:$EQ39)</f>
        <v>0</v>
      </c>
      <c r="CZ34" s="171">
        <f>SUMIF('CF(M)'!$L$11:$EQ$11,CZ$6,'CF(M)'!$L39:$EQ39)</f>
        <v>0</v>
      </c>
      <c r="DA34" s="171">
        <f>SUMIF('CF(M)'!$L$11:$EQ$11,DA$6,'CF(M)'!$L39:$EQ39)</f>
        <v>0</v>
      </c>
      <c r="DB34" s="171">
        <f>SUMIF('CF(M)'!$L$11:$EQ$11,DB$6,'CF(M)'!$L39:$EQ39)</f>
        <v>0</v>
      </c>
      <c r="DC34" s="171">
        <f>SUMIF('CF(M)'!$L$11:$EQ$11,DC$6,'CF(M)'!$L39:$EQ39)</f>
        <v>0</v>
      </c>
      <c r="DD34" s="171">
        <f>SUMIF('CF(M)'!$L$11:$EQ$11,DD$6,'CF(M)'!$L39:$EQ39)</f>
        <v>0</v>
      </c>
      <c r="DE34" s="171">
        <f>SUMIF('CF(M)'!$L$11:$EQ$11,DE$6,'CF(M)'!$L39:$EQ39)</f>
        <v>0</v>
      </c>
      <c r="DF34" s="171">
        <f>SUMIF('CF(M)'!$L$11:$EQ$11,DF$6,'CF(M)'!$L39:$EQ39)</f>
        <v>0</v>
      </c>
      <c r="DG34" s="171">
        <f>SUMIF('CF(M)'!$L$11:$EQ$11,DG$6,'CF(M)'!$L39:$EQ39)</f>
        <v>0</v>
      </c>
      <c r="DH34" s="171">
        <f>SUMIF('CF(M)'!$L$11:$EQ$11,DH$6,'CF(M)'!$L39:$EQ39)</f>
        <v>0</v>
      </c>
      <c r="DI34" s="171">
        <f>SUMIF('CF(M)'!$L$11:$EQ$11,DI$6,'CF(M)'!$L39:$EQ39)</f>
        <v>0</v>
      </c>
      <c r="DJ34" s="171">
        <f>SUMIF('CF(M)'!$L$11:$EQ$11,DJ$6,'CF(M)'!$L39:$EQ39)</f>
        <v>0</v>
      </c>
      <c r="DK34" s="171">
        <f>SUMIF('CF(M)'!$L$11:$EQ$11,DK$6,'CF(M)'!$L39:$EQ39)</f>
        <v>0</v>
      </c>
      <c r="DL34" s="171">
        <f>SUMIF('CF(M)'!$L$11:$EQ$11,DL$6,'CF(M)'!$L39:$EQ39)</f>
        <v>0</v>
      </c>
      <c r="DM34" s="171">
        <f>SUMIF('CF(M)'!$L$11:$EQ$11,DM$6,'CF(M)'!$L39:$EQ39)</f>
        <v>0</v>
      </c>
      <c r="DN34" s="171">
        <f>SUMIF('CF(M)'!$L$11:$EQ$11,DN$6,'CF(M)'!$L39:$EQ39)</f>
        <v>0</v>
      </c>
      <c r="DO34" s="171">
        <f>SUMIF('CF(M)'!$L$11:$EQ$11,DO$6,'CF(M)'!$L39:$EQ39)</f>
        <v>0</v>
      </c>
      <c r="DP34" s="171">
        <f>SUMIF('CF(M)'!$L$11:$EQ$11,DP$6,'CF(M)'!$L39:$EQ39)</f>
        <v>0</v>
      </c>
      <c r="DQ34" s="171">
        <f>SUMIF('CF(M)'!$L$11:$EQ$11,DQ$6,'CF(M)'!$L39:$EQ39)</f>
        <v>0</v>
      </c>
      <c r="DR34" s="171">
        <f>SUMIF('CF(M)'!$L$11:$EQ$11,DR$6,'CF(M)'!$L39:$EQ39)</f>
        <v>0</v>
      </c>
      <c r="DS34" s="171">
        <f>SUMIF('CF(M)'!$L$11:$EQ$11,DS$6,'CF(M)'!$L39:$EQ39)</f>
        <v>0</v>
      </c>
      <c r="DT34" s="171">
        <f>SUMIF('CF(M)'!$L$11:$EQ$11,DT$6,'CF(M)'!$L39:$EQ39)</f>
        <v>0</v>
      </c>
      <c r="DU34" s="171">
        <f>SUMIF('CF(M)'!$L$11:$EQ$11,DU$6,'CF(M)'!$L39:$EQ39)</f>
        <v>0</v>
      </c>
      <c r="DV34" s="171">
        <f>SUMIF('CF(M)'!$L$11:$EQ$11,DV$6,'CF(M)'!$L39:$EQ39)</f>
        <v>0</v>
      </c>
    </row>
    <row r="35" spans="2:126" ht="11.25" customHeight="1">
      <c r="B35" s="218"/>
      <c r="C35" s="158" t="s">
        <v>193</v>
      </c>
      <c r="D35" s="159"/>
      <c r="E35" s="159"/>
      <c r="F35" s="159"/>
      <c r="G35" s="159"/>
      <c r="H35" s="160"/>
      <c r="I35" s="219"/>
      <c r="J35" s="220">
        <f>SUM(J36:J43)</f>
        <v>-98581637.533343479</v>
      </c>
      <c r="K35" s="98"/>
      <c r="L35" s="162">
        <f>SUM(L36:L43)</f>
        <v>0</v>
      </c>
      <c r="M35" s="162">
        <f t="shared" ref="M35:BX35" si="17">SUM(M36:M43)</f>
        <v>-10064637.533343485</v>
      </c>
      <c r="N35" s="162">
        <f t="shared" si="17"/>
        <v>-9920000</v>
      </c>
      <c r="O35" s="162">
        <f t="shared" si="17"/>
        <v>-10224000</v>
      </c>
      <c r="P35" s="162">
        <f t="shared" si="17"/>
        <v>-10224000</v>
      </c>
      <c r="Q35" s="162">
        <f t="shared" si="17"/>
        <v>-10224000</v>
      </c>
      <c r="R35" s="162">
        <f t="shared" si="17"/>
        <v>-9585000</v>
      </c>
      <c r="S35" s="162">
        <f t="shared" si="17"/>
        <v>-9585000</v>
      </c>
      <c r="T35" s="162">
        <f t="shared" si="17"/>
        <v>-9585000</v>
      </c>
      <c r="U35" s="162">
        <f t="shared" si="17"/>
        <v>-9585000</v>
      </c>
      <c r="V35" s="162">
        <f t="shared" si="17"/>
        <v>-9585000</v>
      </c>
      <c r="W35" s="162">
        <f t="shared" si="17"/>
        <v>0</v>
      </c>
      <c r="X35" s="162">
        <f t="shared" si="17"/>
        <v>0</v>
      </c>
      <c r="Y35" s="162">
        <f t="shared" si="17"/>
        <v>0</v>
      </c>
      <c r="Z35" s="162">
        <f t="shared" si="17"/>
        <v>0</v>
      </c>
      <c r="AA35" s="162">
        <f t="shared" si="17"/>
        <v>0</v>
      </c>
      <c r="AB35" s="162">
        <f t="shared" si="17"/>
        <v>0</v>
      </c>
      <c r="AC35" s="162">
        <f t="shared" si="17"/>
        <v>0</v>
      </c>
      <c r="AD35" s="162">
        <f t="shared" si="17"/>
        <v>0</v>
      </c>
      <c r="AE35" s="162">
        <f t="shared" si="17"/>
        <v>0</v>
      </c>
      <c r="AF35" s="162">
        <f t="shared" si="17"/>
        <v>0</v>
      </c>
      <c r="AG35" s="162">
        <f t="shared" si="17"/>
        <v>0</v>
      </c>
      <c r="AH35" s="162">
        <f t="shared" si="17"/>
        <v>0</v>
      </c>
      <c r="AI35" s="162">
        <f t="shared" si="17"/>
        <v>0</v>
      </c>
      <c r="AJ35" s="162">
        <f t="shared" si="17"/>
        <v>0</v>
      </c>
      <c r="AK35" s="162">
        <f t="shared" si="17"/>
        <v>0</v>
      </c>
      <c r="AL35" s="162">
        <f t="shared" si="17"/>
        <v>0</v>
      </c>
      <c r="AM35" s="162">
        <f t="shared" si="17"/>
        <v>0</v>
      </c>
      <c r="AN35" s="162">
        <f t="shared" si="17"/>
        <v>0</v>
      </c>
      <c r="AO35" s="162">
        <f t="shared" si="17"/>
        <v>0</v>
      </c>
      <c r="AP35" s="162">
        <f t="shared" si="17"/>
        <v>0</v>
      </c>
      <c r="AQ35" s="162">
        <f t="shared" si="17"/>
        <v>0</v>
      </c>
      <c r="AR35" s="162">
        <f t="shared" si="17"/>
        <v>0</v>
      </c>
      <c r="AS35" s="162">
        <f t="shared" si="17"/>
        <v>0</v>
      </c>
      <c r="AT35" s="162">
        <f t="shared" si="17"/>
        <v>0</v>
      </c>
      <c r="AU35" s="162">
        <f t="shared" si="17"/>
        <v>0</v>
      </c>
      <c r="AV35" s="162">
        <f t="shared" si="17"/>
        <v>0</v>
      </c>
      <c r="AW35" s="162">
        <f t="shared" si="17"/>
        <v>0</v>
      </c>
      <c r="AX35" s="162">
        <f t="shared" si="17"/>
        <v>0</v>
      </c>
      <c r="AY35" s="162">
        <f t="shared" si="17"/>
        <v>0</v>
      </c>
      <c r="AZ35" s="162">
        <f t="shared" si="17"/>
        <v>0</v>
      </c>
      <c r="BA35" s="162">
        <f t="shared" si="17"/>
        <v>0</v>
      </c>
      <c r="BB35" s="162">
        <f t="shared" si="17"/>
        <v>0</v>
      </c>
      <c r="BC35" s="162">
        <f t="shared" si="17"/>
        <v>0</v>
      </c>
      <c r="BD35" s="162">
        <f t="shared" si="17"/>
        <v>0</v>
      </c>
      <c r="BE35" s="162">
        <f t="shared" si="17"/>
        <v>0</v>
      </c>
      <c r="BF35" s="162">
        <f t="shared" si="17"/>
        <v>0</v>
      </c>
      <c r="BG35" s="162">
        <f t="shared" si="17"/>
        <v>0</v>
      </c>
      <c r="BH35" s="162">
        <f t="shared" si="17"/>
        <v>0</v>
      </c>
      <c r="BI35" s="162">
        <f t="shared" si="17"/>
        <v>0</v>
      </c>
      <c r="BJ35" s="162">
        <f t="shared" si="17"/>
        <v>0</v>
      </c>
      <c r="BK35" s="162">
        <f t="shared" si="17"/>
        <v>0</v>
      </c>
      <c r="BL35" s="162">
        <f t="shared" si="17"/>
        <v>0</v>
      </c>
      <c r="BM35" s="162">
        <f t="shared" si="17"/>
        <v>0</v>
      </c>
      <c r="BN35" s="162">
        <f t="shared" si="17"/>
        <v>0</v>
      </c>
      <c r="BO35" s="162">
        <f t="shared" si="17"/>
        <v>0</v>
      </c>
      <c r="BP35" s="162">
        <f t="shared" si="17"/>
        <v>0</v>
      </c>
      <c r="BQ35" s="162">
        <f t="shared" si="17"/>
        <v>0</v>
      </c>
      <c r="BR35" s="162">
        <f t="shared" si="17"/>
        <v>0</v>
      </c>
      <c r="BS35" s="162">
        <f t="shared" si="17"/>
        <v>0</v>
      </c>
      <c r="BT35" s="162">
        <f t="shared" si="17"/>
        <v>0</v>
      </c>
      <c r="BU35" s="162">
        <f t="shared" si="17"/>
        <v>0</v>
      </c>
      <c r="BV35" s="162">
        <f t="shared" si="17"/>
        <v>0</v>
      </c>
      <c r="BW35" s="162">
        <f t="shared" si="17"/>
        <v>0</v>
      </c>
      <c r="BX35" s="162">
        <f t="shared" si="17"/>
        <v>0</v>
      </c>
      <c r="BY35" s="162">
        <f t="shared" ref="BY35:DV35" si="18">SUM(BY36:BY43)</f>
        <v>0</v>
      </c>
      <c r="BZ35" s="162">
        <f t="shared" si="18"/>
        <v>0</v>
      </c>
      <c r="CA35" s="162">
        <f t="shared" si="18"/>
        <v>0</v>
      </c>
      <c r="CB35" s="162">
        <f t="shared" si="18"/>
        <v>0</v>
      </c>
      <c r="CC35" s="162">
        <f t="shared" si="18"/>
        <v>0</v>
      </c>
      <c r="CD35" s="162">
        <f t="shared" si="18"/>
        <v>0</v>
      </c>
      <c r="CE35" s="162">
        <f t="shared" si="18"/>
        <v>0</v>
      </c>
      <c r="CF35" s="162">
        <f t="shared" si="18"/>
        <v>0</v>
      </c>
      <c r="CG35" s="162">
        <f t="shared" si="18"/>
        <v>0</v>
      </c>
      <c r="CH35" s="162">
        <f t="shared" si="18"/>
        <v>0</v>
      </c>
      <c r="CI35" s="162">
        <f t="shared" si="18"/>
        <v>0</v>
      </c>
      <c r="CJ35" s="162">
        <f t="shared" si="18"/>
        <v>0</v>
      </c>
      <c r="CK35" s="162">
        <f t="shared" si="18"/>
        <v>0</v>
      </c>
      <c r="CL35" s="162">
        <f t="shared" si="18"/>
        <v>0</v>
      </c>
      <c r="CM35" s="162">
        <f t="shared" si="18"/>
        <v>0</v>
      </c>
      <c r="CN35" s="162">
        <f t="shared" si="18"/>
        <v>0</v>
      </c>
      <c r="CO35" s="162">
        <f t="shared" si="18"/>
        <v>0</v>
      </c>
      <c r="CP35" s="162">
        <f t="shared" si="18"/>
        <v>0</v>
      </c>
      <c r="CQ35" s="162">
        <f t="shared" si="18"/>
        <v>0</v>
      </c>
      <c r="CR35" s="162">
        <f t="shared" si="18"/>
        <v>0</v>
      </c>
      <c r="CS35" s="162">
        <f t="shared" si="18"/>
        <v>0</v>
      </c>
      <c r="CT35" s="162">
        <f t="shared" si="18"/>
        <v>0</v>
      </c>
      <c r="CU35" s="162">
        <f t="shared" si="18"/>
        <v>0</v>
      </c>
      <c r="CV35" s="162">
        <f t="shared" si="18"/>
        <v>0</v>
      </c>
      <c r="CW35" s="162">
        <f t="shared" si="18"/>
        <v>0</v>
      </c>
      <c r="CX35" s="162">
        <f t="shared" si="18"/>
        <v>0</v>
      </c>
      <c r="CY35" s="162">
        <f t="shared" si="18"/>
        <v>0</v>
      </c>
      <c r="CZ35" s="162">
        <f t="shared" si="18"/>
        <v>0</v>
      </c>
      <c r="DA35" s="162">
        <f t="shared" si="18"/>
        <v>0</v>
      </c>
      <c r="DB35" s="162">
        <f t="shared" si="18"/>
        <v>0</v>
      </c>
      <c r="DC35" s="162">
        <f t="shared" si="18"/>
        <v>0</v>
      </c>
      <c r="DD35" s="162">
        <f t="shared" si="18"/>
        <v>0</v>
      </c>
      <c r="DE35" s="162">
        <f t="shared" si="18"/>
        <v>0</v>
      </c>
      <c r="DF35" s="162">
        <f t="shared" si="18"/>
        <v>0</v>
      </c>
      <c r="DG35" s="162">
        <f t="shared" si="18"/>
        <v>0</v>
      </c>
      <c r="DH35" s="162">
        <f t="shared" si="18"/>
        <v>0</v>
      </c>
      <c r="DI35" s="162">
        <f t="shared" si="18"/>
        <v>0</v>
      </c>
      <c r="DJ35" s="162">
        <f t="shared" si="18"/>
        <v>0</v>
      </c>
      <c r="DK35" s="162">
        <f t="shared" si="18"/>
        <v>0</v>
      </c>
      <c r="DL35" s="162">
        <f t="shared" si="18"/>
        <v>0</v>
      </c>
      <c r="DM35" s="162">
        <f t="shared" si="18"/>
        <v>0</v>
      </c>
      <c r="DN35" s="162">
        <f t="shared" si="18"/>
        <v>0</v>
      </c>
      <c r="DO35" s="162">
        <f t="shared" si="18"/>
        <v>0</v>
      </c>
      <c r="DP35" s="162">
        <f t="shared" si="18"/>
        <v>0</v>
      </c>
      <c r="DQ35" s="162">
        <f t="shared" si="18"/>
        <v>0</v>
      </c>
      <c r="DR35" s="162">
        <f t="shared" si="18"/>
        <v>0</v>
      </c>
      <c r="DS35" s="162">
        <f t="shared" si="18"/>
        <v>0</v>
      </c>
      <c r="DT35" s="162">
        <f t="shared" si="18"/>
        <v>0</v>
      </c>
      <c r="DU35" s="162">
        <f t="shared" si="18"/>
        <v>0</v>
      </c>
      <c r="DV35" s="162">
        <f t="shared" si="18"/>
        <v>0</v>
      </c>
    </row>
    <row r="36" spans="2:126" ht="11.25" customHeight="1">
      <c r="B36" s="218"/>
      <c r="C36" s="163"/>
      <c r="D36" s="164" t="str">
        <f>'CF(M)'!D41</f>
        <v>담보대출 이자비용</v>
      </c>
      <c r="E36" s="165"/>
      <c r="F36" s="165"/>
      <c r="G36" s="165"/>
      <c r="H36" s="166"/>
      <c r="I36" s="221"/>
      <c r="J36" s="168">
        <f t="shared" si="12"/>
        <v>-15280000</v>
      </c>
      <c r="K36" s="98"/>
      <c r="L36" s="168">
        <f>SUMIF('CF(M)'!$L$11:$EQ$11,L$6,'CF(M)'!$L41:$EQ41)</f>
        <v>0</v>
      </c>
      <c r="M36" s="168">
        <f>SUMIF('CF(M)'!$L$11:$EQ$11,M$6,'CF(M)'!$L41:$EQ41)</f>
        <v>-7640000</v>
      </c>
      <c r="N36" s="168">
        <f>SUMIF('CF(M)'!$L$11:$EQ$11,N$6,'CF(M)'!$L41:$EQ41)</f>
        <v>-7640000</v>
      </c>
      <c r="O36" s="168">
        <f>SUMIF('CF(M)'!$L$11:$EQ$11,O$6,'CF(M)'!$L41:$EQ41)</f>
        <v>0</v>
      </c>
      <c r="P36" s="168">
        <f>SUMIF('CF(M)'!$L$11:$EQ$11,P$6,'CF(M)'!$L41:$EQ41)</f>
        <v>0</v>
      </c>
      <c r="Q36" s="168">
        <f>SUMIF('CF(M)'!$L$11:$EQ$11,Q$6,'CF(M)'!$L41:$EQ41)</f>
        <v>0</v>
      </c>
      <c r="R36" s="168">
        <f>SUMIF('CF(M)'!$L$11:$EQ$11,R$6,'CF(M)'!$L41:$EQ41)</f>
        <v>0</v>
      </c>
      <c r="S36" s="168">
        <f>SUMIF('CF(M)'!$L$11:$EQ$11,S$6,'CF(M)'!$L41:$EQ41)</f>
        <v>0</v>
      </c>
      <c r="T36" s="168">
        <f>SUMIF('CF(M)'!$L$11:$EQ$11,T$6,'CF(M)'!$L41:$EQ41)</f>
        <v>0</v>
      </c>
      <c r="U36" s="168">
        <f>SUMIF('CF(M)'!$L$11:$EQ$11,U$6,'CF(M)'!$L41:$EQ41)</f>
        <v>0</v>
      </c>
      <c r="V36" s="168">
        <f>SUMIF('CF(M)'!$L$11:$EQ$11,V$6,'CF(M)'!$L41:$EQ41)</f>
        <v>0</v>
      </c>
      <c r="W36" s="168">
        <f>SUMIF('CF(M)'!$L$11:$EQ$11,W$6,'CF(M)'!$L41:$EQ41)</f>
        <v>0</v>
      </c>
      <c r="X36" s="168">
        <f>SUMIF('CF(M)'!$L$11:$EQ$11,X$6,'CF(M)'!$L41:$EQ41)</f>
        <v>0</v>
      </c>
      <c r="Y36" s="168">
        <f>SUMIF('CF(M)'!$L$11:$EQ$11,Y$6,'CF(M)'!$L41:$EQ41)</f>
        <v>0</v>
      </c>
      <c r="Z36" s="168">
        <f>SUMIF('CF(M)'!$L$11:$EQ$11,Z$6,'CF(M)'!$L41:$EQ41)</f>
        <v>0</v>
      </c>
      <c r="AA36" s="168">
        <f>SUMIF('CF(M)'!$L$11:$EQ$11,AA$6,'CF(M)'!$L41:$EQ41)</f>
        <v>0</v>
      </c>
      <c r="AB36" s="168">
        <f>SUMIF('CF(M)'!$L$11:$EQ$11,AB$6,'CF(M)'!$L41:$EQ41)</f>
        <v>0</v>
      </c>
      <c r="AC36" s="168">
        <f>SUMIF('CF(M)'!$L$11:$EQ$11,AC$6,'CF(M)'!$L41:$EQ41)</f>
        <v>0</v>
      </c>
      <c r="AD36" s="168">
        <f>SUMIF('CF(M)'!$L$11:$EQ$11,AD$6,'CF(M)'!$L41:$EQ41)</f>
        <v>0</v>
      </c>
      <c r="AE36" s="168">
        <f>SUMIF('CF(M)'!$L$11:$EQ$11,AE$6,'CF(M)'!$L41:$EQ41)</f>
        <v>0</v>
      </c>
      <c r="AF36" s="168">
        <f>SUMIF('CF(M)'!$L$11:$EQ$11,AF$6,'CF(M)'!$L41:$EQ41)</f>
        <v>0</v>
      </c>
      <c r="AG36" s="168">
        <f>SUMIF('CF(M)'!$L$11:$EQ$11,AG$6,'CF(M)'!$L41:$EQ41)</f>
        <v>0</v>
      </c>
      <c r="AH36" s="168">
        <f>SUMIF('CF(M)'!$L$11:$EQ$11,AH$6,'CF(M)'!$L41:$EQ41)</f>
        <v>0</v>
      </c>
      <c r="AI36" s="168">
        <f>SUMIF('CF(M)'!$L$11:$EQ$11,AI$6,'CF(M)'!$L41:$EQ41)</f>
        <v>0</v>
      </c>
      <c r="AJ36" s="168">
        <f>SUMIF('CF(M)'!$L$11:$EQ$11,AJ$6,'CF(M)'!$L41:$EQ41)</f>
        <v>0</v>
      </c>
      <c r="AK36" s="168">
        <f>SUMIF('CF(M)'!$L$11:$EQ$11,AK$6,'CF(M)'!$L41:$EQ41)</f>
        <v>0</v>
      </c>
      <c r="AL36" s="168">
        <f>SUMIF('CF(M)'!$L$11:$EQ$11,AL$6,'CF(M)'!$L41:$EQ41)</f>
        <v>0</v>
      </c>
      <c r="AM36" s="168">
        <f>SUMIF('CF(M)'!$L$11:$EQ$11,AM$6,'CF(M)'!$L41:$EQ41)</f>
        <v>0</v>
      </c>
      <c r="AN36" s="168">
        <f>SUMIF('CF(M)'!$L$11:$EQ$11,AN$6,'CF(M)'!$L41:$EQ41)</f>
        <v>0</v>
      </c>
      <c r="AO36" s="168">
        <f>SUMIF('CF(M)'!$L$11:$EQ$11,AO$6,'CF(M)'!$L41:$EQ41)</f>
        <v>0</v>
      </c>
      <c r="AP36" s="168">
        <f>SUMIF('CF(M)'!$L$11:$EQ$11,AP$6,'CF(M)'!$L41:$EQ41)</f>
        <v>0</v>
      </c>
      <c r="AQ36" s="168">
        <f>SUMIF('CF(M)'!$L$11:$EQ$11,AQ$6,'CF(M)'!$L41:$EQ41)</f>
        <v>0</v>
      </c>
      <c r="AR36" s="168">
        <f>SUMIF('CF(M)'!$L$11:$EQ$11,AR$6,'CF(M)'!$L41:$EQ41)</f>
        <v>0</v>
      </c>
      <c r="AS36" s="168">
        <f>SUMIF('CF(M)'!$L$11:$EQ$11,AS$6,'CF(M)'!$L41:$EQ41)</f>
        <v>0</v>
      </c>
      <c r="AT36" s="168">
        <f>SUMIF('CF(M)'!$L$11:$EQ$11,AT$6,'CF(M)'!$L41:$EQ41)</f>
        <v>0</v>
      </c>
      <c r="AU36" s="168">
        <f>SUMIF('CF(M)'!$L$11:$EQ$11,AU$6,'CF(M)'!$L41:$EQ41)</f>
        <v>0</v>
      </c>
      <c r="AV36" s="168">
        <f>SUMIF('CF(M)'!$L$11:$EQ$11,AV$6,'CF(M)'!$L41:$EQ41)</f>
        <v>0</v>
      </c>
      <c r="AW36" s="168">
        <f>SUMIF('CF(M)'!$L$11:$EQ$11,AW$6,'CF(M)'!$L41:$EQ41)</f>
        <v>0</v>
      </c>
      <c r="AX36" s="168">
        <f>SUMIF('CF(M)'!$L$11:$EQ$11,AX$6,'CF(M)'!$L41:$EQ41)</f>
        <v>0</v>
      </c>
      <c r="AY36" s="168">
        <f>SUMIF('CF(M)'!$L$11:$EQ$11,AY$6,'CF(M)'!$L41:$EQ41)</f>
        <v>0</v>
      </c>
      <c r="AZ36" s="168">
        <f>SUMIF('CF(M)'!$L$11:$EQ$11,AZ$6,'CF(M)'!$L41:$EQ41)</f>
        <v>0</v>
      </c>
      <c r="BA36" s="168">
        <f>SUMIF('CF(M)'!$L$11:$EQ$11,BA$6,'CF(M)'!$L41:$EQ41)</f>
        <v>0</v>
      </c>
      <c r="BB36" s="168">
        <f>SUMIF('CF(M)'!$L$11:$EQ$11,BB$6,'CF(M)'!$L41:$EQ41)</f>
        <v>0</v>
      </c>
      <c r="BC36" s="168">
        <f>SUMIF('CF(M)'!$L$11:$EQ$11,BC$6,'CF(M)'!$L41:$EQ41)</f>
        <v>0</v>
      </c>
      <c r="BD36" s="168">
        <f>SUMIF('CF(M)'!$L$11:$EQ$11,BD$6,'CF(M)'!$L41:$EQ41)</f>
        <v>0</v>
      </c>
      <c r="BE36" s="168">
        <f>SUMIF('CF(M)'!$L$11:$EQ$11,BE$6,'CF(M)'!$L41:$EQ41)</f>
        <v>0</v>
      </c>
      <c r="BF36" s="168">
        <f>SUMIF('CF(M)'!$L$11:$EQ$11,BF$6,'CF(M)'!$L41:$EQ41)</f>
        <v>0</v>
      </c>
      <c r="BG36" s="168">
        <f>SUMIF('CF(M)'!$L$11:$EQ$11,BG$6,'CF(M)'!$L41:$EQ41)</f>
        <v>0</v>
      </c>
      <c r="BH36" s="168">
        <f>SUMIF('CF(M)'!$L$11:$EQ$11,BH$6,'CF(M)'!$L41:$EQ41)</f>
        <v>0</v>
      </c>
      <c r="BI36" s="168">
        <f>SUMIF('CF(M)'!$L$11:$EQ$11,BI$6,'CF(M)'!$L41:$EQ41)</f>
        <v>0</v>
      </c>
      <c r="BJ36" s="168">
        <f>SUMIF('CF(M)'!$L$11:$EQ$11,BJ$6,'CF(M)'!$L41:$EQ41)</f>
        <v>0</v>
      </c>
      <c r="BK36" s="168">
        <f>SUMIF('CF(M)'!$L$11:$EQ$11,BK$6,'CF(M)'!$L41:$EQ41)</f>
        <v>0</v>
      </c>
      <c r="BL36" s="168">
        <f>SUMIF('CF(M)'!$L$11:$EQ$11,BL$6,'CF(M)'!$L41:$EQ41)</f>
        <v>0</v>
      </c>
      <c r="BM36" s="168">
        <f>SUMIF('CF(M)'!$L$11:$EQ$11,BM$6,'CF(M)'!$L41:$EQ41)</f>
        <v>0</v>
      </c>
      <c r="BN36" s="168">
        <f>SUMIF('CF(M)'!$L$11:$EQ$11,BN$6,'CF(M)'!$L41:$EQ41)</f>
        <v>0</v>
      </c>
      <c r="BO36" s="168">
        <f>SUMIF('CF(M)'!$L$11:$EQ$11,BO$6,'CF(M)'!$L41:$EQ41)</f>
        <v>0</v>
      </c>
      <c r="BP36" s="168">
        <f>SUMIF('CF(M)'!$L$11:$EQ$11,BP$6,'CF(M)'!$L41:$EQ41)</f>
        <v>0</v>
      </c>
      <c r="BQ36" s="168">
        <f>SUMIF('CF(M)'!$L$11:$EQ$11,BQ$6,'CF(M)'!$L41:$EQ41)</f>
        <v>0</v>
      </c>
      <c r="BR36" s="168">
        <f>SUMIF('CF(M)'!$L$11:$EQ$11,BR$6,'CF(M)'!$L41:$EQ41)</f>
        <v>0</v>
      </c>
      <c r="BS36" s="168">
        <f>SUMIF('CF(M)'!$L$11:$EQ$11,BS$6,'CF(M)'!$L41:$EQ41)</f>
        <v>0</v>
      </c>
      <c r="BT36" s="168">
        <f>SUMIF('CF(M)'!$L$11:$EQ$11,BT$6,'CF(M)'!$L41:$EQ41)</f>
        <v>0</v>
      </c>
      <c r="BU36" s="168">
        <f>SUMIF('CF(M)'!$L$11:$EQ$11,BU$6,'CF(M)'!$L41:$EQ41)</f>
        <v>0</v>
      </c>
      <c r="BV36" s="168">
        <f>SUMIF('CF(M)'!$L$11:$EQ$11,BV$6,'CF(M)'!$L41:$EQ41)</f>
        <v>0</v>
      </c>
      <c r="BW36" s="168">
        <f>SUMIF('CF(M)'!$L$11:$EQ$11,BW$6,'CF(M)'!$L41:$EQ41)</f>
        <v>0</v>
      </c>
      <c r="BX36" s="168">
        <f>SUMIF('CF(M)'!$L$11:$EQ$11,BX$6,'CF(M)'!$L41:$EQ41)</f>
        <v>0</v>
      </c>
      <c r="BY36" s="168">
        <f>SUMIF('CF(M)'!$L$11:$EQ$11,BY$6,'CF(M)'!$L41:$EQ41)</f>
        <v>0</v>
      </c>
      <c r="BZ36" s="168">
        <f>SUMIF('CF(M)'!$L$11:$EQ$11,BZ$6,'CF(M)'!$L41:$EQ41)</f>
        <v>0</v>
      </c>
      <c r="CA36" s="168">
        <f>SUMIF('CF(M)'!$L$11:$EQ$11,CA$6,'CF(M)'!$L41:$EQ41)</f>
        <v>0</v>
      </c>
      <c r="CB36" s="168">
        <f>SUMIF('CF(M)'!$L$11:$EQ$11,CB$6,'CF(M)'!$L41:$EQ41)</f>
        <v>0</v>
      </c>
      <c r="CC36" s="168">
        <f>SUMIF('CF(M)'!$L$11:$EQ$11,CC$6,'CF(M)'!$L41:$EQ41)</f>
        <v>0</v>
      </c>
      <c r="CD36" s="168">
        <f>SUMIF('CF(M)'!$L$11:$EQ$11,CD$6,'CF(M)'!$L41:$EQ41)</f>
        <v>0</v>
      </c>
      <c r="CE36" s="168">
        <f>SUMIF('CF(M)'!$L$11:$EQ$11,CE$6,'CF(M)'!$L41:$EQ41)</f>
        <v>0</v>
      </c>
      <c r="CF36" s="168">
        <f>SUMIF('CF(M)'!$L$11:$EQ$11,CF$6,'CF(M)'!$L41:$EQ41)</f>
        <v>0</v>
      </c>
      <c r="CG36" s="168">
        <f>SUMIF('CF(M)'!$L$11:$EQ$11,CG$6,'CF(M)'!$L41:$EQ41)</f>
        <v>0</v>
      </c>
      <c r="CH36" s="168">
        <f>SUMIF('CF(M)'!$L$11:$EQ$11,CH$6,'CF(M)'!$L41:$EQ41)</f>
        <v>0</v>
      </c>
      <c r="CI36" s="168">
        <f>SUMIF('CF(M)'!$L$11:$EQ$11,CI$6,'CF(M)'!$L41:$EQ41)</f>
        <v>0</v>
      </c>
      <c r="CJ36" s="168">
        <f>SUMIF('CF(M)'!$L$11:$EQ$11,CJ$6,'CF(M)'!$L41:$EQ41)</f>
        <v>0</v>
      </c>
      <c r="CK36" s="168">
        <f>SUMIF('CF(M)'!$L$11:$EQ$11,CK$6,'CF(M)'!$L41:$EQ41)</f>
        <v>0</v>
      </c>
      <c r="CL36" s="168">
        <f>SUMIF('CF(M)'!$L$11:$EQ$11,CL$6,'CF(M)'!$L41:$EQ41)</f>
        <v>0</v>
      </c>
      <c r="CM36" s="168">
        <f>SUMIF('CF(M)'!$L$11:$EQ$11,CM$6,'CF(M)'!$L41:$EQ41)</f>
        <v>0</v>
      </c>
      <c r="CN36" s="168">
        <f>SUMIF('CF(M)'!$L$11:$EQ$11,CN$6,'CF(M)'!$L41:$EQ41)</f>
        <v>0</v>
      </c>
      <c r="CO36" s="168">
        <f>SUMIF('CF(M)'!$L$11:$EQ$11,CO$6,'CF(M)'!$L41:$EQ41)</f>
        <v>0</v>
      </c>
      <c r="CP36" s="168">
        <f>SUMIF('CF(M)'!$L$11:$EQ$11,CP$6,'CF(M)'!$L41:$EQ41)</f>
        <v>0</v>
      </c>
      <c r="CQ36" s="168">
        <f>SUMIF('CF(M)'!$L$11:$EQ$11,CQ$6,'CF(M)'!$L41:$EQ41)</f>
        <v>0</v>
      </c>
      <c r="CR36" s="168">
        <f>SUMIF('CF(M)'!$L$11:$EQ$11,CR$6,'CF(M)'!$L41:$EQ41)</f>
        <v>0</v>
      </c>
      <c r="CS36" s="168">
        <f>SUMIF('CF(M)'!$L$11:$EQ$11,CS$6,'CF(M)'!$L41:$EQ41)</f>
        <v>0</v>
      </c>
      <c r="CT36" s="168">
        <f>SUMIF('CF(M)'!$L$11:$EQ$11,CT$6,'CF(M)'!$L41:$EQ41)</f>
        <v>0</v>
      </c>
      <c r="CU36" s="168">
        <f>SUMIF('CF(M)'!$L$11:$EQ$11,CU$6,'CF(M)'!$L41:$EQ41)</f>
        <v>0</v>
      </c>
      <c r="CV36" s="168">
        <f>SUMIF('CF(M)'!$L$11:$EQ$11,CV$6,'CF(M)'!$L41:$EQ41)</f>
        <v>0</v>
      </c>
      <c r="CW36" s="168">
        <f>SUMIF('CF(M)'!$L$11:$EQ$11,CW$6,'CF(M)'!$L41:$EQ41)</f>
        <v>0</v>
      </c>
      <c r="CX36" s="168">
        <f>SUMIF('CF(M)'!$L$11:$EQ$11,CX$6,'CF(M)'!$L41:$EQ41)</f>
        <v>0</v>
      </c>
      <c r="CY36" s="168">
        <f>SUMIF('CF(M)'!$L$11:$EQ$11,CY$6,'CF(M)'!$L41:$EQ41)</f>
        <v>0</v>
      </c>
      <c r="CZ36" s="168">
        <f>SUMIF('CF(M)'!$L$11:$EQ$11,CZ$6,'CF(M)'!$L41:$EQ41)</f>
        <v>0</v>
      </c>
      <c r="DA36" s="168">
        <f>SUMIF('CF(M)'!$L$11:$EQ$11,DA$6,'CF(M)'!$L41:$EQ41)</f>
        <v>0</v>
      </c>
      <c r="DB36" s="168">
        <f>SUMIF('CF(M)'!$L$11:$EQ$11,DB$6,'CF(M)'!$L41:$EQ41)</f>
        <v>0</v>
      </c>
      <c r="DC36" s="168">
        <f>SUMIF('CF(M)'!$L$11:$EQ$11,DC$6,'CF(M)'!$L41:$EQ41)</f>
        <v>0</v>
      </c>
      <c r="DD36" s="168">
        <f>SUMIF('CF(M)'!$L$11:$EQ$11,DD$6,'CF(M)'!$L41:$EQ41)</f>
        <v>0</v>
      </c>
      <c r="DE36" s="168">
        <f>SUMIF('CF(M)'!$L$11:$EQ$11,DE$6,'CF(M)'!$L41:$EQ41)</f>
        <v>0</v>
      </c>
      <c r="DF36" s="168">
        <f>SUMIF('CF(M)'!$L$11:$EQ$11,DF$6,'CF(M)'!$L41:$EQ41)</f>
        <v>0</v>
      </c>
      <c r="DG36" s="168">
        <f>SUMIF('CF(M)'!$L$11:$EQ$11,DG$6,'CF(M)'!$L41:$EQ41)</f>
        <v>0</v>
      </c>
      <c r="DH36" s="168">
        <f>SUMIF('CF(M)'!$L$11:$EQ$11,DH$6,'CF(M)'!$L41:$EQ41)</f>
        <v>0</v>
      </c>
      <c r="DI36" s="168">
        <f>SUMIF('CF(M)'!$L$11:$EQ$11,DI$6,'CF(M)'!$L41:$EQ41)</f>
        <v>0</v>
      </c>
      <c r="DJ36" s="168">
        <f>SUMIF('CF(M)'!$L$11:$EQ$11,DJ$6,'CF(M)'!$L41:$EQ41)</f>
        <v>0</v>
      </c>
      <c r="DK36" s="168">
        <f>SUMIF('CF(M)'!$L$11:$EQ$11,DK$6,'CF(M)'!$L41:$EQ41)</f>
        <v>0</v>
      </c>
      <c r="DL36" s="168">
        <f>SUMIF('CF(M)'!$L$11:$EQ$11,DL$6,'CF(M)'!$L41:$EQ41)</f>
        <v>0</v>
      </c>
      <c r="DM36" s="168">
        <f>SUMIF('CF(M)'!$L$11:$EQ$11,DM$6,'CF(M)'!$L41:$EQ41)</f>
        <v>0</v>
      </c>
      <c r="DN36" s="168">
        <f>SUMIF('CF(M)'!$L$11:$EQ$11,DN$6,'CF(M)'!$L41:$EQ41)</f>
        <v>0</v>
      </c>
      <c r="DO36" s="168">
        <f>SUMIF('CF(M)'!$L$11:$EQ$11,DO$6,'CF(M)'!$L41:$EQ41)</f>
        <v>0</v>
      </c>
      <c r="DP36" s="168">
        <f>SUMIF('CF(M)'!$L$11:$EQ$11,DP$6,'CF(M)'!$L41:$EQ41)</f>
        <v>0</v>
      </c>
      <c r="DQ36" s="168">
        <f>SUMIF('CF(M)'!$L$11:$EQ$11,DQ$6,'CF(M)'!$L41:$EQ41)</f>
        <v>0</v>
      </c>
      <c r="DR36" s="168">
        <f>SUMIF('CF(M)'!$L$11:$EQ$11,DR$6,'CF(M)'!$L41:$EQ41)</f>
        <v>0</v>
      </c>
      <c r="DS36" s="168">
        <f>SUMIF('CF(M)'!$L$11:$EQ$11,DS$6,'CF(M)'!$L41:$EQ41)</f>
        <v>0</v>
      </c>
      <c r="DT36" s="168">
        <f>SUMIF('CF(M)'!$L$11:$EQ$11,DT$6,'CF(M)'!$L41:$EQ41)</f>
        <v>0</v>
      </c>
      <c r="DU36" s="168">
        <f>SUMIF('CF(M)'!$L$11:$EQ$11,DU$6,'CF(M)'!$L41:$EQ41)</f>
        <v>0</v>
      </c>
      <c r="DV36" s="168">
        <f>SUMIF('CF(M)'!$L$11:$EQ$11,DV$6,'CF(M)'!$L41:$EQ41)</f>
        <v>0</v>
      </c>
    </row>
    <row r="37" spans="2:126" ht="11.25" customHeight="1">
      <c r="B37" s="218"/>
      <c r="C37" s="163"/>
      <c r="D37" s="169" t="str">
        <f>'CF(M)'!D42</f>
        <v>담보대출(2nd) 이자비용</v>
      </c>
      <c r="H37" s="146"/>
      <c r="I37" s="13"/>
      <c r="J37" s="171">
        <f t="shared" si="12"/>
        <v>-30672000</v>
      </c>
      <c r="K37" s="98"/>
      <c r="L37" s="171">
        <f>SUMIF('CF(M)'!$L$11:$EQ$11,L$6,'CF(M)'!$L42:$EQ42)</f>
        <v>0</v>
      </c>
      <c r="M37" s="171">
        <f>SUMIF('CF(M)'!$L$11:$EQ$11,M$6,'CF(M)'!$L42:$EQ42)</f>
        <v>0</v>
      </c>
      <c r="N37" s="171">
        <f>SUMIF('CF(M)'!$L$11:$EQ$11,N$6,'CF(M)'!$L42:$EQ42)</f>
        <v>0</v>
      </c>
      <c r="O37" s="171">
        <f>SUMIF('CF(M)'!$L$11:$EQ$11,O$6,'CF(M)'!$L42:$EQ42)</f>
        <v>-10224000</v>
      </c>
      <c r="P37" s="171">
        <f>SUMIF('CF(M)'!$L$11:$EQ$11,P$6,'CF(M)'!$L42:$EQ42)</f>
        <v>-10224000</v>
      </c>
      <c r="Q37" s="171">
        <f>SUMIF('CF(M)'!$L$11:$EQ$11,Q$6,'CF(M)'!$L42:$EQ42)</f>
        <v>-10224000</v>
      </c>
      <c r="R37" s="171">
        <f>SUMIF('CF(M)'!$L$11:$EQ$11,R$6,'CF(M)'!$L42:$EQ42)</f>
        <v>0</v>
      </c>
      <c r="S37" s="171">
        <f>SUMIF('CF(M)'!$L$11:$EQ$11,S$6,'CF(M)'!$L42:$EQ42)</f>
        <v>0</v>
      </c>
      <c r="T37" s="171">
        <f>SUMIF('CF(M)'!$L$11:$EQ$11,T$6,'CF(M)'!$L42:$EQ42)</f>
        <v>0</v>
      </c>
      <c r="U37" s="171">
        <f>SUMIF('CF(M)'!$L$11:$EQ$11,U$6,'CF(M)'!$L42:$EQ42)</f>
        <v>0</v>
      </c>
      <c r="V37" s="171">
        <f>SUMIF('CF(M)'!$L$11:$EQ$11,V$6,'CF(M)'!$L42:$EQ42)</f>
        <v>0</v>
      </c>
      <c r="W37" s="171">
        <f>SUMIF('CF(M)'!$L$11:$EQ$11,W$6,'CF(M)'!$L42:$EQ42)</f>
        <v>0</v>
      </c>
      <c r="X37" s="171">
        <f>SUMIF('CF(M)'!$L$11:$EQ$11,X$6,'CF(M)'!$L42:$EQ42)</f>
        <v>0</v>
      </c>
      <c r="Y37" s="171">
        <f>SUMIF('CF(M)'!$L$11:$EQ$11,Y$6,'CF(M)'!$L42:$EQ42)</f>
        <v>0</v>
      </c>
      <c r="Z37" s="171">
        <f>SUMIF('CF(M)'!$L$11:$EQ$11,Z$6,'CF(M)'!$L42:$EQ42)</f>
        <v>0</v>
      </c>
      <c r="AA37" s="171">
        <f>SUMIF('CF(M)'!$L$11:$EQ$11,AA$6,'CF(M)'!$L42:$EQ42)</f>
        <v>0</v>
      </c>
      <c r="AB37" s="171">
        <f>SUMIF('CF(M)'!$L$11:$EQ$11,AB$6,'CF(M)'!$L42:$EQ42)</f>
        <v>0</v>
      </c>
      <c r="AC37" s="171">
        <f>SUMIF('CF(M)'!$L$11:$EQ$11,AC$6,'CF(M)'!$L42:$EQ42)</f>
        <v>0</v>
      </c>
      <c r="AD37" s="171">
        <f>SUMIF('CF(M)'!$L$11:$EQ$11,AD$6,'CF(M)'!$L42:$EQ42)</f>
        <v>0</v>
      </c>
      <c r="AE37" s="171">
        <f>SUMIF('CF(M)'!$L$11:$EQ$11,AE$6,'CF(M)'!$L42:$EQ42)</f>
        <v>0</v>
      </c>
      <c r="AF37" s="171">
        <f>SUMIF('CF(M)'!$L$11:$EQ$11,AF$6,'CF(M)'!$L42:$EQ42)</f>
        <v>0</v>
      </c>
      <c r="AG37" s="171">
        <f>SUMIF('CF(M)'!$L$11:$EQ$11,AG$6,'CF(M)'!$L42:$EQ42)</f>
        <v>0</v>
      </c>
      <c r="AH37" s="171">
        <f>SUMIF('CF(M)'!$L$11:$EQ$11,AH$6,'CF(M)'!$L42:$EQ42)</f>
        <v>0</v>
      </c>
      <c r="AI37" s="171">
        <f>SUMIF('CF(M)'!$L$11:$EQ$11,AI$6,'CF(M)'!$L42:$EQ42)</f>
        <v>0</v>
      </c>
      <c r="AJ37" s="171">
        <f>SUMIF('CF(M)'!$L$11:$EQ$11,AJ$6,'CF(M)'!$L42:$EQ42)</f>
        <v>0</v>
      </c>
      <c r="AK37" s="171">
        <f>SUMIF('CF(M)'!$L$11:$EQ$11,AK$6,'CF(M)'!$L42:$EQ42)</f>
        <v>0</v>
      </c>
      <c r="AL37" s="171">
        <f>SUMIF('CF(M)'!$L$11:$EQ$11,AL$6,'CF(M)'!$L42:$EQ42)</f>
        <v>0</v>
      </c>
      <c r="AM37" s="171">
        <f>SUMIF('CF(M)'!$L$11:$EQ$11,AM$6,'CF(M)'!$L42:$EQ42)</f>
        <v>0</v>
      </c>
      <c r="AN37" s="171">
        <f>SUMIF('CF(M)'!$L$11:$EQ$11,AN$6,'CF(M)'!$L42:$EQ42)</f>
        <v>0</v>
      </c>
      <c r="AO37" s="171">
        <f>SUMIF('CF(M)'!$L$11:$EQ$11,AO$6,'CF(M)'!$L42:$EQ42)</f>
        <v>0</v>
      </c>
      <c r="AP37" s="171">
        <f>SUMIF('CF(M)'!$L$11:$EQ$11,AP$6,'CF(M)'!$L42:$EQ42)</f>
        <v>0</v>
      </c>
      <c r="AQ37" s="171">
        <f>SUMIF('CF(M)'!$L$11:$EQ$11,AQ$6,'CF(M)'!$L42:$EQ42)</f>
        <v>0</v>
      </c>
      <c r="AR37" s="171">
        <f>SUMIF('CF(M)'!$L$11:$EQ$11,AR$6,'CF(M)'!$L42:$EQ42)</f>
        <v>0</v>
      </c>
      <c r="AS37" s="171">
        <f>SUMIF('CF(M)'!$L$11:$EQ$11,AS$6,'CF(M)'!$L42:$EQ42)</f>
        <v>0</v>
      </c>
      <c r="AT37" s="171">
        <f>SUMIF('CF(M)'!$L$11:$EQ$11,AT$6,'CF(M)'!$L42:$EQ42)</f>
        <v>0</v>
      </c>
      <c r="AU37" s="171">
        <f>SUMIF('CF(M)'!$L$11:$EQ$11,AU$6,'CF(M)'!$L42:$EQ42)</f>
        <v>0</v>
      </c>
      <c r="AV37" s="171">
        <f>SUMIF('CF(M)'!$L$11:$EQ$11,AV$6,'CF(M)'!$L42:$EQ42)</f>
        <v>0</v>
      </c>
      <c r="AW37" s="171">
        <f>SUMIF('CF(M)'!$L$11:$EQ$11,AW$6,'CF(M)'!$L42:$EQ42)</f>
        <v>0</v>
      </c>
      <c r="AX37" s="171">
        <f>SUMIF('CF(M)'!$L$11:$EQ$11,AX$6,'CF(M)'!$L42:$EQ42)</f>
        <v>0</v>
      </c>
      <c r="AY37" s="171">
        <f>SUMIF('CF(M)'!$L$11:$EQ$11,AY$6,'CF(M)'!$L42:$EQ42)</f>
        <v>0</v>
      </c>
      <c r="AZ37" s="171">
        <f>SUMIF('CF(M)'!$L$11:$EQ$11,AZ$6,'CF(M)'!$L42:$EQ42)</f>
        <v>0</v>
      </c>
      <c r="BA37" s="171">
        <f>SUMIF('CF(M)'!$L$11:$EQ$11,BA$6,'CF(M)'!$L42:$EQ42)</f>
        <v>0</v>
      </c>
      <c r="BB37" s="171">
        <f>SUMIF('CF(M)'!$L$11:$EQ$11,BB$6,'CF(M)'!$L42:$EQ42)</f>
        <v>0</v>
      </c>
      <c r="BC37" s="171">
        <f>SUMIF('CF(M)'!$L$11:$EQ$11,BC$6,'CF(M)'!$L42:$EQ42)</f>
        <v>0</v>
      </c>
      <c r="BD37" s="171">
        <f>SUMIF('CF(M)'!$L$11:$EQ$11,BD$6,'CF(M)'!$L42:$EQ42)</f>
        <v>0</v>
      </c>
      <c r="BE37" s="171">
        <f>SUMIF('CF(M)'!$L$11:$EQ$11,BE$6,'CF(M)'!$L42:$EQ42)</f>
        <v>0</v>
      </c>
      <c r="BF37" s="171">
        <f>SUMIF('CF(M)'!$L$11:$EQ$11,BF$6,'CF(M)'!$L42:$EQ42)</f>
        <v>0</v>
      </c>
      <c r="BG37" s="171">
        <f>SUMIF('CF(M)'!$L$11:$EQ$11,BG$6,'CF(M)'!$L42:$EQ42)</f>
        <v>0</v>
      </c>
      <c r="BH37" s="171">
        <f>SUMIF('CF(M)'!$L$11:$EQ$11,BH$6,'CF(M)'!$L42:$EQ42)</f>
        <v>0</v>
      </c>
      <c r="BI37" s="171">
        <f>SUMIF('CF(M)'!$L$11:$EQ$11,BI$6,'CF(M)'!$L42:$EQ42)</f>
        <v>0</v>
      </c>
      <c r="BJ37" s="171">
        <f>SUMIF('CF(M)'!$L$11:$EQ$11,BJ$6,'CF(M)'!$L42:$EQ42)</f>
        <v>0</v>
      </c>
      <c r="BK37" s="171">
        <f>SUMIF('CF(M)'!$L$11:$EQ$11,BK$6,'CF(M)'!$L42:$EQ42)</f>
        <v>0</v>
      </c>
      <c r="BL37" s="171">
        <f>SUMIF('CF(M)'!$L$11:$EQ$11,BL$6,'CF(M)'!$L42:$EQ42)</f>
        <v>0</v>
      </c>
      <c r="BM37" s="171">
        <f>SUMIF('CF(M)'!$L$11:$EQ$11,BM$6,'CF(M)'!$L42:$EQ42)</f>
        <v>0</v>
      </c>
      <c r="BN37" s="171">
        <f>SUMIF('CF(M)'!$L$11:$EQ$11,BN$6,'CF(M)'!$L42:$EQ42)</f>
        <v>0</v>
      </c>
      <c r="BO37" s="171">
        <f>SUMIF('CF(M)'!$L$11:$EQ$11,BO$6,'CF(M)'!$L42:$EQ42)</f>
        <v>0</v>
      </c>
      <c r="BP37" s="171">
        <f>SUMIF('CF(M)'!$L$11:$EQ$11,BP$6,'CF(M)'!$L42:$EQ42)</f>
        <v>0</v>
      </c>
      <c r="BQ37" s="171">
        <f>SUMIF('CF(M)'!$L$11:$EQ$11,BQ$6,'CF(M)'!$L42:$EQ42)</f>
        <v>0</v>
      </c>
      <c r="BR37" s="171">
        <f>SUMIF('CF(M)'!$L$11:$EQ$11,BR$6,'CF(M)'!$L42:$EQ42)</f>
        <v>0</v>
      </c>
      <c r="BS37" s="171">
        <f>SUMIF('CF(M)'!$L$11:$EQ$11,BS$6,'CF(M)'!$L42:$EQ42)</f>
        <v>0</v>
      </c>
      <c r="BT37" s="171">
        <f>SUMIF('CF(M)'!$L$11:$EQ$11,BT$6,'CF(M)'!$L42:$EQ42)</f>
        <v>0</v>
      </c>
      <c r="BU37" s="171">
        <f>SUMIF('CF(M)'!$L$11:$EQ$11,BU$6,'CF(M)'!$L42:$EQ42)</f>
        <v>0</v>
      </c>
      <c r="BV37" s="171">
        <f>SUMIF('CF(M)'!$L$11:$EQ$11,BV$6,'CF(M)'!$L42:$EQ42)</f>
        <v>0</v>
      </c>
      <c r="BW37" s="171">
        <f>SUMIF('CF(M)'!$L$11:$EQ$11,BW$6,'CF(M)'!$L42:$EQ42)</f>
        <v>0</v>
      </c>
      <c r="BX37" s="171">
        <f>SUMIF('CF(M)'!$L$11:$EQ$11,BX$6,'CF(M)'!$L42:$EQ42)</f>
        <v>0</v>
      </c>
      <c r="BY37" s="171">
        <f>SUMIF('CF(M)'!$L$11:$EQ$11,BY$6,'CF(M)'!$L42:$EQ42)</f>
        <v>0</v>
      </c>
      <c r="BZ37" s="171">
        <f>SUMIF('CF(M)'!$L$11:$EQ$11,BZ$6,'CF(M)'!$L42:$EQ42)</f>
        <v>0</v>
      </c>
      <c r="CA37" s="171">
        <f>SUMIF('CF(M)'!$L$11:$EQ$11,CA$6,'CF(M)'!$L42:$EQ42)</f>
        <v>0</v>
      </c>
      <c r="CB37" s="171">
        <f>SUMIF('CF(M)'!$L$11:$EQ$11,CB$6,'CF(M)'!$L42:$EQ42)</f>
        <v>0</v>
      </c>
      <c r="CC37" s="171">
        <f>SUMIF('CF(M)'!$L$11:$EQ$11,CC$6,'CF(M)'!$L42:$EQ42)</f>
        <v>0</v>
      </c>
      <c r="CD37" s="171">
        <f>SUMIF('CF(M)'!$L$11:$EQ$11,CD$6,'CF(M)'!$L42:$EQ42)</f>
        <v>0</v>
      </c>
      <c r="CE37" s="171">
        <f>SUMIF('CF(M)'!$L$11:$EQ$11,CE$6,'CF(M)'!$L42:$EQ42)</f>
        <v>0</v>
      </c>
      <c r="CF37" s="171">
        <f>SUMIF('CF(M)'!$L$11:$EQ$11,CF$6,'CF(M)'!$L42:$EQ42)</f>
        <v>0</v>
      </c>
      <c r="CG37" s="171">
        <f>SUMIF('CF(M)'!$L$11:$EQ$11,CG$6,'CF(M)'!$L42:$EQ42)</f>
        <v>0</v>
      </c>
      <c r="CH37" s="171">
        <f>SUMIF('CF(M)'!$L$11:$EQ$11,CH$6,'CF(M)'!$L42:$EQ42)</f>
        <v>0</v>
      </c>
      <c r="CI37" s="171">
        <f>SUMIF('CF(M)'!$L$11:$EQ$11,CI$6,'CF(M)'!$L42:$EQ42)</f>
        <v>0</v>
      </c>
      <c r="CJ37" s="171">
        <f>SUMIF('CF(M)'!$L$11:$EQ$11,CJ$6,'CF(M)'!$L42:$EQ42)</f>
        <v>0</v>
      </c>
      <c r="CK37" s="171">
        <f>SUMIF('CF(M)'!$L$11:$EQ$11,CK$6,'CF(M)'!$L42:$EQ42)</f>
        <v>0</v>
      </c>
      <c r="CL37" s="171">
        <f>SUMIF('CF(M)'!$L$11:$EQ$11,CL$6,'CF(M)'!$L42:$EQ42)</f>
        <v>0</v>
      </c>
      <c r="CM37" s="171">
        <f>SUMIF('CF(M)'!$L$11:$EQ$11,CM$6,'CF(M)'!$L42:$EQ42)</f>
        <v>0</v>
      </c>
      <c r="CN37" s="171">
        <f>SUMIF('CF(M)'!$L$11:$EQ$11,CN$6,'CF(M)'!$L42:$EQ42)</f>
        <v>0</v>
      </c>
      <c r="CO37" s="171">
        <f>SUMIF('CF(M)'!$L$11:$EQ$11,CO$6,'CF(M)'!$L42:$EQ42)</f>
        <v>0</v>
      </c>
      <c r="CP37" s="171">
        <f>SUMIF('CF(M)'!$L$11:$EQ$11,CP$6,'CF(M)'!$L42:$EQ42)</f>
        <v>0</v>
      </c>
      <c r="CQ37" s="171">
        <f>SUMIF('CF(M)'!$L$11:$EQ$11,CQ$6,'CF(M)'!$L42:$EQ42)</f>
        <v>0</v>
      </c>
      <c r="CR37" s="171">
        <f>SUMIF('CF(M)'!$L$11:$EQ$11,CR$6,'CF(M)'!$L42:$EQ42)</f>
        <v>0</v>
      </c>
      <c r="CS37" s="171">
        <f>SUMIF('CF(M)'!$L$11:$EQ$11,CS$6,'CF(M)'!$L42:$EQ42)</f>
        <v>0</v>
      </c>
      <c r="CT37" s="171">
        <f>SUMIF('CF(M)'!$L$11:$EQ$11,CT$6,'CF(M)'!$L42:$EQ42)</f>
        <v>0</v>
      </c>
      <c r="CU37" s="171">
        <f>SUMIF('CF(M)'!$L$11:$EQ$11,CU$6,'CF(M)'!$L42:$EQ42)</f>
        <v>0</v>
      </c>
      <c r="CV37" s="171">
        <f>SUMIF('CF(M)'!$L$11:$EQ$11,CV$6,'CF(M)'!$L42:$EQ42)</f>
        <v>0</v>
      </c>
      <c r="CW37" s="171">
        <f>SUMIF('CF(M)'!$L$11:$EQ$11,CW$6,'CF(M)'!$L42:$EQ42)</f>
        <v>0</v>
      </c>
      <c r="CX37" s="171">
        <f>SUMIF('CF(M)'!$L$11:$EQ$11,CX$6,'CF(M)'!$L42:$EQ42)</f>
        <v>0</v>
      </c>
      <c r="CY37" s="171">
        <f>SUMIF('CF(M)'!$L$11:$EQ$11,CY$6,'CF(M)'!$L42:$EQ42)</f>
        <v>0</v>
      </c>
      <c r="CZ37" s="171">
        <f>SUMIF('CF(M)'!$L$11:$EQ$11,CZ$6,'CF(M)'!$L42:$EQ42)</f>
        <v>0</v>
      </c>
      <c r="DA37" s="171">
        <f>SUMIF('CF(M)'!$L$11:$EQ$11,DA$6,'CF(M)'!$L42:$EQ42)</f>
        <v>0</v>
      </c>
      <c r="DB37" s="171">
        <f>SUMIF('CF(M)'!$L$11:$EQ$11,DB$6,'CF(M)'!$L42:$EQ42)</f>
        <v>0</v>
      </c>
      <c r="DC37" s="171">
        <f>SUMIF('CF(M)'!$L$11:$EQ$11,DC$6,'CF(M)'!$L42:$EQ42)</f>
        <v>0</v>
      </c>
      <c r="DD37" s="171">
        <f>SUMIF('CF(M)'!$L$11:$EQ$11,DD$6,'CF(M)'!$L42:$EQ42)</f>
        <v>0</v>
      </c>
      <c r="DE37" s="171">
        <f>SUMIF('CF(M)'!$L$11:$EQ$11,DE$6,'CF(M)'!$L42:$EQ42)</f>
        <v>0</v>
      </c>
      <c r="DF37" s="171">
        <f>SUMIF('CF(M)'!$L$11:$EQ$11,DF$6,'CF(M)'!$L42:$EQ42)</f>
        <v>0</v>
      </c>
      <c r="DG37" s="171">
        <f>SUMIF('CF(M)'!$L$11:$EQ$11,DG$6,'CF(M)'!$L42:$EQ42)</f>
        <v>0</v>
      </c>
      <c r="DH37" s="171">
        <f>SUMIF('CF(M)'!$L$11:$EQ$11,DH$6,'CF(M)'!$L42:$EQ42)</f>
        <v>0</v>
      </c>
      <c r="DI37" s="171">
        <f>SUMIF('CF(M)'!$L$11:$EQ$11,DI$6,'CF(M)'!$L42:$EQ42)</f>
        <v>0</v>
      </c>
      <c r="DJ37" s="171">
        <f>SUMIF('CF(M)'!$L$11:$EQ$11,DJ$6,'CF(M)'!$L42:$EQ42)</f>
        <v>0</v>
      </c>
      <c r="DK37" s="171">
        <f>SUMIF('CF(M)'!$L$11:$EQ$11,DK$6,'CF(M)'!$L42:$EQ42)</f>
        <v>0</v>
      </c>
      <c r="DL37" s="171">
        <f>SUMIF('CF(M)'!$L$11:$EQ$11,DL$6,'CF(M)'!$L42:$EQ42)</f>
        <v>0</v>
      </c>
      <c r="DM37" s="171">
        <f>SUMIF('CF(M)'!$L$11:$EQ$11,DM$6,'CF(M)'!$L42:$EQ42)</f>
        <v>0</v>
      </c>
      <c r="DN37" s="171">
        <f>SUMIF('CF(M)'!$L$11:$EQ$11,DN$6,'CF(M)'!$L42:$EQ42)</f>
        <v>0</v>
      </c>
      <c r="DO37" s="171">
        <f>SUMIF('CF(M)'!$L$11:$EQ$11,DO$6,'CF(M)'!$L42:$EQ42)</f>
        <v>0</v>
      </c>
      <c r="DP37" s="171">
        <f>SUMIF('CF(M)'!$L$11:$EQ$11,DP$6,'CF(M)'!$L42:$EQ42)</f>
        <v>0</v>
      </c>
      <c r="DQ37" s="171">
        <f>SUMIF('CF(M)'!$L$11:$EQ$11,DQ$6,'CF(M)'!$L42:$EQ42)</f>
        <v>0</v>
      </c>
      <c r="DR37" s="171">
        <f>SUMIF('CF(M)'!$L$11:$EQ$11,DR$6,'CF(M)'!$L42:$EQ42)</f>
        <v>0</v>
      </c>
      <c r="DS37" s="171">
        <f>SUMIF('CF(M)'!$L$11:$EQ$11,DS$6,'CF(M)'!$L42:$EQ42)</f>
        <v>0</v>
      </c>
      <c r="DT37" s="171">
        <f>SUMIF('CF(M)'!$L$11:$EQ$11,DT$6,'CF(M)'!$L42:$EQ42)</f>
        <v>0</v>
      </c>
      <c r="DU37" s="171">
        <f>SUMIF('CF(M)'!$L$11:$EQ$11,DU$6,'CF(M)'!$L42:$EQ42)</f>
        <v>0</v>
      </c>
      <c r="DV37" s="171">
        <f>SUMIF('CF(M)'!$L$11:$EQ$11,DV$6,'CF(M)'!$L42:$EQ42)</f>
        <v>0</v>
      </c>
    </row>
    <row r="38" spans="2:126" ht="11.25" customHeight="1">
      <c r="B38" s="218"/>
      <c r="C38" s="163"/>
      <c r="D38" s="169" t="str">
        <f>'CF(M)'!D43</f>
        <v>담보대출(3rd) 이자비용</v>
      </c>
      <c r="H38" s="146"/>
      <c r="I38" s="13"/>
      <c r="J38" s="171">
        <f t="shared" si="12"/>
        <v>-47925000</v>
      </c>
      <c r="K38" s="98"/>
      <c r="L38" s="171">
        <f>SUMIF('CF(M)'!$L$11:$EQ$11,L$6,'CF(M)'!$L43:$EQ43)</f>
        <v>0</v>
      </c>
      <c r="M38" s="171">
        <f>SUMIF('CF(M)'!$L$11:$EQ$11,M$6,'CF(M)'!$L43:$EQ43)</f>
        <v>0</v>
      </c>
      <c r="N38" s="171">
        <f>SUMIF('CF(M)'!$L$11:$EQ$11,N$6,'CF(M)'!$L43:$EQ43)</f>
        <v>0</v>
      </c>
      <c r="O38" s="171">
        <f>SUMIF('CF(M)'!$L$11:$EQ$11,O$6,'CF(M)'!$L43:$EQ43)</f>
        <v>0</v>
      </c>
      <c r="P38" s="171">
        <f>SUMIF('CF(M)'!$L$11:$EQ$11,P$6,'CF(M)'!$L43:$EQ43)</f>
        <v>0</v>
      </c>
      <c r="Q38" s="171">
        <f>SUMIF('CF(M)'!$L$11:$EQ$11,Q$6,'CF(M)'!$L43:$EQ43)</f>
        <v>0</v>
      </c>
      <c r="R38" s="171">
        <f>SUMIF('CF(M)'!$L$11:$EQ$11,R$6,'CF(M)'!$L43:$EQ43)</f>
        <v>-9585000</v>
      </c>
      <c r="S38" s="171">
        <f>SUMIF('CF(M)'!$L$11:$EQ$11,S$6,'CF(M)'!$L43:$EQ43)</f>
        <v>-9585000</v>
      </c>
      <c r="T38" s="171">
        <f>SUMIF('CF(M)'!$L$11:$EQ$11,T$6,'CF(M)'!$L43:$EQ43)</f>
        <v>-9585000</v>
      </c>
      <c r="U38" s="171">
        <f>SUMIF('CF(M)'!$L$11:$EQ$11,U$6,'CF(M)'!$L43:$EQ43)</f>
        <v>-9585000</v>
      </c>
      <c r="V38" s="171">
        <f>SUMIF('CF(M)'!$L$11:$EQ$11,V$6,'CF(M)'!$L43:$EQ43)</f>
        <v>-9585000</v>
      </c>
      <c r="W38" s="171">
        <f>SUMIF('CF(M)'!$L$11:$EQ$11,W$6,'CF(M)'!$L43:$EQ43)</f>
        <v>0</v>
      </c>
      <c r="X38" s="171">
        <f>SUMIF('CF(M)'!$L$11:$EQ$11,X$6,'CF(M)'!$L43:$EQ43)</f>
        <v>0</v>
      </c>
      <c r="Y38" s="171">
        <f>SUMIF('CF(M)'!$L$11:$EQ$11,Y$6,'CF(M)'!$L43:$EQ43)</f>
        <v>0</v>
      </c>
      <c r="Z38" s="171">
        <f>SUMIF('CF(M)'!$L$11:$EQ$11,Z$6,'CF(M)'!$L43:$EQ43)</f>
        <v>0</v>
      </c>
      <c r="AA38" s="171">
        <f>SUMIF('CF(M)'!$L$11:$EQ$11,AA$6,'CF(M)'!$L43:$EQ43)</f>
        <v>0</v>
      </c>
      <c r="AB38" s="171">
        <f>SUMIF('CF(M)'!$L$11:$EQ$11,AB$6,'CF(M)'!$L43:$EQ43)</f>
        <v>0</v>
      </c>
      <c r="AC38" s="171">
        <f>SUMIF('CF(M)'!$L$11:$EQ$11,AC$6,'CF(M)'!$L43:$EQ43)</f>
        <v>0</v>
      </c>
      <c r="AD38" s="171">
        <f>SUMIF('CF(M)'!$L$11:$EQ$11,AD$6,'CF(M)'!$L43:$EQ43)</f>
        <v>0</v>
      </c>
      <c r="AE38" s="171">
        <f>SUMIF('CF(M)'!$L$11:$EQ$11,AE$6,'CF(M)'!$L43:$EQ43)</f>
        <v>0</v>
      </c>
      <c r="AF38" s="171">
        <f>SUMIF('CF(M)'!$L$11:$EQ$11,AF$6,'CF(M)'!$L43:$EQ43)</f>
        <v>0</v>
      </c>
      <c r="AG38" s="171">
        <f>SUMIF('CF(M)'!$L$11:$EQ$11,AG$6,'CF(M)'!$L43:$EQ43)</f>
        <v>0</v>
      </c>
      <c r="AH38" s="171">
        <f>SUMIF('CF(M)'!$L$11:$EQ$11,AH$6,'CF(M)'!$L43:$EQ43)</f>
        <v>0</v>
      </c>
      <c r="AI38" s="171">
        <f>SUMIF('CF(M)'!$L$11:$EQ$11,AI$6,'CF(M)'!$L43:$EQ43)</f>
        <v>0</v>
      </c>
      <c r="AJ38" s="171">
        <f>SUMIF('CF(M)'!$L$11:$EQ$11,AJ$6,'CF(M)'!$L43:$EQ43)</f>
        <v>0</v>
      </c>
      <c r="AK38" s="171">
        <f>SUMIF('CF(M)'!$L$11:$EQ$11,AK$6,'CF(M)'!$L43:$EQ43)</f>
        <v>0</v>
      </c>
      <c r="AL38" s="171">
        <f>SUMIF('CF(M)'!$L$11:$EQ$11,AL$6,'CF(M)'!$L43:$EQ43)</f>
        <v>0</v>
      </c>
      <c r="AM38" s="171">
        <f>SUMIF('CF(M)'!$L$11:$EQ$11,AM$6,'CF(M)'!$L43:$EQ43)</f>
        <v>0</v>
      </c>
      <c r="AN38" s="171">
        <f>SUMIF('CF(M)'!$L$11:$EQ$11,AN$6,'CF(M)'!$L43:$EQ43)</f>
        <v>0</v>
      </c>
      <c r="AO38" s="171">
        <f>SUMIF('CF(M)'!$L$11:$EQ$11,AO$6,'CF(M)'!$L43:$EQ43)</f>
        <v>0</v>
      </c>
      <c r="AP38" s="171">
        <f>SUMIF('CF(M)'!$L$11:$EQ$11,AP$6,'CF(M)'!$L43:$EQ43)</f>
        <v>0</v>
      </c>
      <c r="AQ38" s="171">
        <f>SUMIF('CF(M)'!$L$11:$EQ$11,AQ$6,'CF(M)'!$L43:$EQ43)</f>
        <v>0</v>
      </c>
      <c r="AR38" s="171">
        <f>SUMIF('CF(M)'!$L$11:$EQ$11,AR$6,'CF(M)'!$L43:$EQ43)</f>
        <v>0</v>
      </c>
      <c r="AS38" s="171">
        <f>SUMIF('CF(M)'!$L$11:$EQ$11,AS$6,'CF(M)'!$L43:$EQ43)</f>
        <v>0</v>
      </c>
      <c r="AT38" s="171">
        <f>SUMIF('CF(M)'!$L$11:$EQ$11,AT$6,'CF(M)'!$L43:$EQ43)</f>
        <v>0</v>
      </c>
      <c r="AU38" s="171">
        <f>SUMIF('CF(M)'!$L$11:$EQ$11,AU$6,'CF(M)'!$L43:$EQ43)</f>
        <v>0</v>
      </c>
      <c r="AV38" s="171">
        <f>SUMIF('CF(M)'!$L$11:$EQ$11,AV$6,'CF(M)'!$L43:$EQ43)</f>
        <v>0</v>
      </c>
      <c r="AW38" s="171">
        <f>SUMIF('CF(M)'!$L$11:$EQ$11,AW$6,'CF(M)'!$L43:$EQ43)</f>
        <v>0</v>
      </c>
      <c r="AX38" s="171">
        <f>SUMIF('CF(M)'!$L$11:$EQ$11,AX$6,'CF(M)'!$L43:$EQ43)</f>
        <v>0</v>
      </c>
      <c r="AY38" s="171">
        <f>SUMIF('CF(M)'!$L$11:$EQ$11,AY$6,'CF(M)'!$L43:$EQ43)</f>
        <v>0</v>
      </c>
      <c r="AZ38" s="171">
        <f>SUMIF('CF(M)'!$L$11:$EQ$11,AZ$6,'CF(M)'!$L43:$EQ43)</f>
        <v>0</v>
      </c>
      <c r="BA38" s="171">
        <f>SUMIF('CF(M)'!$L$11:$EQ$11,BA$6,'CF(M)'!$L43:$EQ43)</f>
        <v>0</v>
      </c>
      <c r="BB38" s="171">
        <f>SUMIF('CF(M)'!$L$11:$EQ$11,BB$6,'CF(M)'!$L43:$EQ43)</f>
        <v>0</v>
      </c>
      <c r="BC38" s="171">
        <f>SUMIF('CF(M)'!$L$11:$EQ$11,BC$6,'CF(M)'!$L43:$EQ43)</f>
        <v>0</v>
      </c>
      <c r="BD38" s="171">
        <f>SUMIF('CF(M)'!$L$11:$EQ$11,BD$6,'CF(M)'!$L43:$EQ43)</f>
        <v>0</v>
      </c>
      <c r="BE38" s="171">
        <f>SUMIF('CF(M)'!$L$11:$EQ$11,BE$6,'CF(M)'!$L43:$EQ43)</f>
        <v>0</v>
      </c>
      <c r="BF38" s="171">
        <f>SUMIF('CF(M)'!$L$11:$EQ$11,BF$6,'CF(M)'!$L43:$EQ43)</f>
        <v>0</v>
      </c>
      <c r="BG38" s="171">
        <f>SUMIF('CF(M)'!$L$11:$EQ$11,BG$6,'CF(M)'!$L43:$EQ43)</f>
        <v>0</v>
      </c>
      <c r="BH38" s="171">
        <f>SUMIF('CF(M)'!$L$11:$EQ$11,BH$6,'CF(M)'!$L43:$EQ43)</f>
        <v>0</v>
      </c>
      <c r="BI38" s="171">
        <f>SUMIF('CF(M)'!$L$11:$EQ$11,BI$6,'CF(M)'!$L43:$EQ43)</f>
        <v>0</v>
      </c>
      <c r="BJ38" s="171">
        <f>SUMIF('CF(M)'!$L$11:$EQ$11,BJ$6,'CF(M)'!$L43:$EQ43)</f>
        <v>0</v>
      </c>
      <c r="BK38" s="171">
        <f>SUMIF('CF(M)'!$L$11:$EQ$11,BK$6,'CF(M)'!$L43:$EQ43)</f>
        <v>0</v>
      </c>
      <c r="BL38" s="171">
        <f>SUMIF('CF(M)'!$L$11:$EQ$11,BL$6,'CF(M)'!$L43:$EQ43)</f>
        <v>0</v>
      </c>
      <c r="BM38" s="171">
        <f>SUMIF('CF(M)'!$L$11:$EQ$11,BM$6,'CF(M)'!$L43:$EQ43)</f>
        <v>0</v>
      </c>
      <c r="BN38" s="171">
        <f>SUMIF('CF(M)'!$L$11:$EQ$11,BN$6,'CF(M)'!$L43:$EQ43)</f>
        <v>0</v>
      </c>
      <c r="BO38" s="171">
        <f>SUMIF('CF(M)'!$L$11:$EQ$11,BO$6,'CF(M)'!$L43:$EQ43)</f>
        <v>0</v>
      </c>
      <c r="BP38" s="171">
        <f>SUMIF('CF(M)'!$L$11:$EQ$11,BP$6,'CF(M)'!$L43:$EQ43)</f>
        <v>0</v>
      </c>
      <c r="BQ38" s="171">
        <f>SUMIF('CF(M)'!$L$11:$EQ$11,BQ$6,'CF(M)'!$L43:$EQ43)</f>
        <v>0</v>
      </c>
      <c r="BR38" s="171">
        <f>SUMIF('CF(M)'!$L$11:$EQ$11,BR$6,'CF(M)'!$L43:$EQ43)</f>
        <v>0</v>
      </c>
      <c r="BS38" s="171">
        <f>SUMIF('CF(M)'!$L$11:$EQ$11,BS$6,'CF(M)'!$L43:$EQ43)</f>
        <v>0</v>
      </c>
      <c r="BT38" s="171">
        <f>SUMIF('CF(M)'!$L$11:$EQ$11,BT$6,'CF(M)'!$L43:$EQ43)</f>
        <v>0</v>
      </c>
      <c r="BU38" s="171">
        <f>SUMIF('CF(M)'!$L$11:$EQ$11,BU$6,'CF(M)'!$L43:$EQ43)</f>
        <v>0</v>
      </c>
      <c r="BV38" s="171">
        <f>SUMIF('CF(M)'!$L$11:$EQ$11,BV$6,'CF(M)'!$L43:$EQ43)</f>
        <v>0</v>
      </c>
      <c r="BW38" s="171">
        <f>SUMIF('CF(M)'!$L$11:$EQ$11,BW$6,'CF(M)'!$L43:$EQ43)</f>
        <v>0</v>
      </c>
      <c r="BX38" s="171">
        <f>SUMIF('CF(M)'!$L$11:$EQ$11,BX$6,'CF(M)'!$L43:$EQ43)</f>
        <v>0</v>
      </c>
      <c r="BY38" s="171">
        <f>SUMIF('CF(M)'!$L$11:$EQ$11,BY$6,'CF(M)'!$L43:$EQ43)</f>
        <v>0</v>
      </c>
      <c r="BZ38" s="171">
        <f>SUMIF('CF(M)'!$L$11:$EQ$11,BZ$6,'CF(M)'!$L43:$EQ43)</f>
        <v>0</v>
      </c>
      <c r="CA38" s="171">
        <f>SUMIF('CF(M)'!$L$11:$EQ$11,CA$6,'CF(M)'!$L43:$EQ43)</f>
        <v>0</v>
      </c>
      <c r="CB38" s="171">
        <f>SUMIF('CF(M)'!$L$11:$EQ$11,CB$6,'CF(M)'!$L43:$EQ43)</f>
        <v>0</v>
      </c>
      <c r="CC38" s="171">
        <f>SUMIF('CF(M)'!$L$11:$EQ$11,CC$6,'CF(M)'!$L43:$EQ43)</f>
        <v>0</v>
      </c>
      <c r="CD38" s="171">
        <f>SUMIF('CF(M)'!$L$11:$EQ$11,CD$6,'CF(M)'!$L43:$EQ43)</f>
        <v>0</v>
      </c>
      <c r="CE38" s="171">
        <f>SUMIF('CF(M)'!$L$11:$EQ$11,CE$6,'CF(M)'!$L43:$EQ43)</f>
        <v>0</v>
      </c>
      <c r="CF38" s="171">
        <f>SUMIF('CF(M)'!$L$11:$EQ$11,CF$6,'CF(M)'!$L43:$EQ43)</f>
        <v>0</v>
      </c>
      <c r="CG38" s="171">
        <f>SUMIF('CF(M)'!$L$11:$EQ$11,CG$6,'CF(M)'!$L43:$EQ43)</f>
        <v>0</v>
      </c>
      <c r="CH38" s="171">
        <f>SUMIF('CF(M)'!$L$11:$EQ$11,CH$6,'CF(M)'!$L43:$EQ43)</f>
        <v>0</v>
      </c>
      <c r="CI38" s="171">
        <f>SUMIF('CF(M)'!$L$11:$EQ$11,CI$6,'CF(M)'!$L43:$EQ43)</f>
        <v>0</v>
      </c>
      <c r="CJ38" s="171">
        <f>SUMIF('CF(M)'!$L$11:$EQ$11,CJ$6,'CF(M)'!$L43:$EQ43)</f>
        <v>0</v>
      </c>
      <c r="CK38" s="171">
        <f>SUMIF('CF(M)'!$L$11:$EQ$11,CK$6,'CF(M)'!$L43:$EQ43)</f>
        <v>0</v>
      </c>
      <c r="CL38" s="171">
        <f>SUMIF('CF(M)'!$L$11:$EQ$11,CL$6,'CF(M)'!$L43:$EQ43)</f>
        <v>0</v>
      </c>
      <c r="CM38" s="171">
        <f>SUMIF('CF(M)'!$L$11:$EQ$11,CM$6,'CF(M)'!$L43:$EQ43)</f>
        <v>0</v>
      </c>
      <c r="CN38" s="171">
        <f>SUMIF('CF(M)'!$L$11:$EQ$11,CN$6,'CF(M)'!$L43:$EQ43)</f>
        <v>0</v>
      </c>
      <c r="CO38" s="171">
        <f>SUMIF('CF(M)'!$L$11:$EQ$11,CO$6,'CF(M)'!$L43:$EQ43)</f>
        <v>0</v>
      </c>
      <c r="CP38" s="171">
        <f>SUMIF('CF(M)'!$L$11:$EQ$11,CP$6,'CF(M)'!$L43:$EQ43)</f>
        <v>0</v>
      </c>
      <c r="CQ38" s="171">
        <f>SUMIF('CF(M)'!$L$11:$EQ$11,CQ$6,'CF(M)'!$L43:$EQ43)</f>
        <v>0</v>
      </c>
      <c r="CR38" s="171">
        <f>SUMIF('CF(M)'!$L$11:$EQ$11,CR$6,'CF(M)'!$L43:$EQ43)</f>
        <v>0</v>
      </c>
      <c r="CS38" s="171">
        <f>SUMIF('CF(M)'!$L$11:$EQ$11,CS$6,'CF(M)'!$L43:$EQ43)</f>
        <v>0</v>
      </c>
      <c r="CT38" s="171">
        <f>SUMIF('CF(M)'!$L$11:$EQ$11,CT$6,'CF(M)'!$L43:$EQ43)</f>
        <v>0</v>
      </c>
      <c r="CU38" s="171">
        <f>SUMIF('CF(M)'!$L$11:$EQ$11,CU$6,'CF(M)'!$L43:$EQ43)</f>
        <v>0</v>
      </c>
      <c r="CV38" s="171">
        <f>SUMIF('CF(M)'!$L$11:$EQ$11,CV$6,'CF(M)'!$L43:$EQ43)</f>
        <v>0</v>
      </c>
      <c r="CW38" s="171">
        <f>SUMIF('CF(M)'!$L$11:$EQ$11,CW$6,'CF(M)'!$L43:$EQ43)</f>
        <v>0</v>
      </c>
      <c r="CX38" s="171">
        <f>SUMIF('CF(M)'!$L$11:$EQ$11,CX$6,'CF(M)'!$L43:$EQ43)</f>
        <v>0</v>
      </c>
      <c r="CY38" s="171">
        <f>SUMIF('CF(M)'!$L$11:$EQ$11,CY$6,'CF(M)'!$L43:$EQ43)</f>
        <v>0</v>
      </c>
      <c r="CZ38" s="171">
        <f>SUMIF('CF(M)'!$L$11:$EQ$11,CZ$6,'CF(M)'!$L43:$EQ43)</f>
        <v>0</v>
      </c>
      <c r="DA38" s="171">
        <f>SUMIF('CF(M)'!$L$11:$EQ$11,DA$6,'CF(M)'!$L43:$EQ43)</f>
        <v>0</v>
      </c>
      <c r="DB38" s="171">
        <f>SUMIF('CF(M)'!$L$11:$EQ$11,DB$6,'CF(M)'!$L43:$EQ43)</f>
        <v>0</v>
      </c>
      <c r="DC38" s="171">
        <f>SUMIF('CF(M)'!$L$11:$EQ$11,DC$6,'CF(M)'!$L43:$EQ43)</f>
        <v>0</v>
      </c>
      <c r="DD38" s="171">
        <f>SUMIF('CF(M)'!$L$11:$EQ$11,DD$6,'CF(M)'!$L43:$EQ43)</f>
        <v>0</v>
      </c>
      <c r="DE38" s="171">
        <f>SUMIF('CF(M)'!$L$11:$EQ$11,DE$6,'CF(M)'!$L43:$EQ43)</f>
        <v>0</v>
      </c>
      <c r="DF38" s="171">
        <f>SUMIF('CF(M)'!$L$11:$EQ$11,DF$6,'CF(M)'!$L43:$EQ43)</f>
        <v>0</v>
      </c>
      <c r="DG38" s="171">
        <f>SUMIF('CF(M)'!$L$11:$EQ$11,DG$6,'CF(M)'!$L43:$EQ43)</f>
        <v>0</v>
      </c>
      <c r="DH38" s="171">
        <f>SUMIF('CF(M)'!$L$11:$EQ$11,DH$6,'CF(M)'!$L43:$EQ43)</f>
        <v>0</v>
      </c>
      <c r="DI38" s="171">
        <f>SUMIF('CF(M)'!$L$11:$EQ$11,DI$6,'CF(M)'!$L43:$EQ43)</f>
        <v>0</v>
      </c>
      <c r="DJ38" s="171">
        <f>SUMIF('CF(M)'!$L$11:$EQ$11,DJ$6,'CF(M)'!$L43:$EQ43)</f>
        <v>0</v>
      </c>
      <c r="DK38" s="171">
        <f>SUMIF('CF(M)'!$L$11:$EQ$11,DK$6,'CF(M)'!$L43:$EQ43)</f>
        <v>0</v>
      </c>
      <c r="DL38" s="171">
        <f>SUMIF('CF(M)'!$L$11:$EQ$11,DL$6,'CF(M)'!$L43:$EQ43)</f>
        <v>0</v>
      </c>
      <c r="DM38" s="171">
        <f>SUMIF('CF(M)'!$L$11:$EQ$11,DM$6,'CF(M)'!$L43:$EQ43)</f>
        <v>0</v>
      </c>
      <c r="DN38" s="171">
        <f>SUMIF('CF(M)'!$L$11:$EQ$11,DN$6,'CF(M)'!$L43:$EQ43)</f>
        <v>0</v>
      </c>
      <c r="DO38" s="171">
        <f>SUMIF('CF(M)'!$L$11:$EQ$11,DO$6,'CF(M)'!$L43:$EQ43)</f>
        <v>0</v>
      </c>
      <c r="DP38" s="171">
        <f>SUMIF('CF(M)'!$L$11:$EQ$11,DP$6,'CF(M)'!$L43:$EQ43)</f>
        <v>0</v>
      </c>
      <c r="DQ38" s="171">
        <f>SUMIF('CF(M)'!$L$11:$EQ$11,DQ$6,'CF(M)'!$L43:$EQ43)</f>
        <v>0</v>
      </c>
      <c r="DR38" s="171">
        <f>SUMIF('CF(M)'!$L$11:$EQ$11,DR$6,'CF(M)'!$L43:$EQ43)</f>
        <v>0</v>
      </c>
      <c r="DS38" s="171">
        <f>SUMIF('CF(M)'!$L$11:$EQ$11,DS$6,'CF(M)'!$L43:$EQ43)</f>
        <v>0</v>
      </c>
      <c r="DT38" s="171">
        <f>SUMIF('CF(M)'!$L$11:$EQ$11,DT$6,'CF(M)'!$L43:$EQ43)</f>
        <v>0</v>
      </c>
      <c r="DU38" s="171">
        <f>SUMIF('CF(M)'!$L$11:$EQ$11,DU$6,'CF(M)'!$L43:$EQ43)</f>
        <v>0</v>
      </c>
      <c r="DV38" s="171">
        <f>SUMIF('CF(M)'!$L$11:$EQ$11,DV$6,'CF(M)'!$L43:$EQ43)</f>
        <v>0</v>
      </c>
    </row>
    <row r="39" spans="2:126" ht="11.25" customHeight="1">
      <c r="B39" s="218"/>
      <c r="C39" s="163"/>
      <c r="D39" s="885" t="str">
        <f>'CF(M)'!D44</f>
        <v>중순위대출 이자비용</v>
      </c>
      <c r="E39" s="886"/>
      <c r="F39" s="886"/>
      <c r="G39" s="886"/>
      <c r="H39" s="1647"/>
      <c r="I39" s="887"/>
      <c r="J39" s="888">
        <f t="shared" si="12"/>
        <v>-4560000</v>
      </c>
      <c r="K39" s="98"/>
      <c r="L39" s="888">
        <f>SUMIF('CF(M)'!$L$11:$EQ$11,L$6,'CF(M)'!$L44:$EQ44)</f>
        <v>0</v>
      </c>
      <c r="M39" s="888">
        <f>SUMIF('CF(M)'!$L$11:$EQ$11,M$6,'CF(M)'!$L44:$EQ44)</f>
        <v>-2280000</v>
      </c>
      <c r="N39" s="888">
        <f>SUMIF('CF(M)'!$L$11:$EQ$11,N$6,'CF(M)'!$L44:$EQ44)</f>
        <v>-2280000</v>
      </c>
      <c r="O39" s="888">
        <f>SUMIF('CF(M)'!$L$11:$EQ$11,O$6,'CF(M)'!$L44:$EQ44)</f>
        <v>0</v>
      </c>
      <c r="P39" s="888">
        <f>SUMIF('CF(M)'!$L$11:$EQ$11,P$6,'CF(M)'!$L44:$EQ44)</f>
        <v>0</v>
      </c>
      <c r="Q39" s="888">
        <f>SUMIF('CF(M)'!$L$11:$EQ$11,Q$6,'CF(M)'!$L44:$EQ44)</f>
        <v>0</v>
      </c>
      <c r="R39" s="888">
        <f>SUMIF('CF(M)'!$L$11:$EQ$11,R$6,'CF(M)'!$L44:$EQ44)</f>
        <v>0</v>
      </c>
      <c r="S39" s="888">
        <f>SUMIF('CF(M)'!$L$11:$EQ$11,S$6,'CF(M)'!$L44:$EQ44)</f>
        <v>0</v>
      </c>
      <c r="T39" s="888">
        <f>SUMIF('CF(M)'!$L$11:$EQ$11,T$6,'CF(M)'!$L44:$EQ44)</f>
        <v>0</v>
      </c>
      <c r="U39" s="888">
        <f>SUMIF('CF(M)'!$L$11:$EQ$11,U$6,'CF(M)'!$L44:$EQ44)</f>
        <v>0</v>
      </c>
      <c r="V39" s="888">
        <f>SUMIF('CF(M)'!$L$11:$EQ$11,V$6,'CF(M)'!$L44:$EQ44)</f>
        <v>0</v>
      </c>
      <c r="W39" s="888">
        <f>SUMIF('CF(M)'!$L$11:$EQ$11,W$6,'CF(M)'!$L44:$EQ44)</f>
        <v>0</v>
      </c>
      <c r="X39" s="888">
        <f>SUMIF('CF(M)'!$L$11:$EQ$11,X$6,'CF(M)'!$L44:$EQ44)</f>
        <v>0</v>
      </c>
      <c r="Y39" s="888">
        <f>SUMIF('CF(M)'!$L$11:$EQ$11,Y$6,'CF(M)'!$L44:$EQ44)</f>
        <v>0</v>
      </c>
      <c r="Z39" s="888">
        <f>SUMIF('CF(M)'!$L$11:$EQ$11,Z$6,'CF(M)'!$L44:$EQ44)</f>
        <v>0</v>
      </c>
      <c r="AA39" s="888">
        <f>SUMIF('CF(M)'!$L$11:$EQ$11,AA$6,'CF(M)'!$L44:$EQ44)</f>
        <v>0</v>
      </c>
      <c r="AB39" s="888">
        <f>SUMIF('CF(M)'!$L$11:$EQ$11,AB$6,'CF(M)'!$L44:$EQ44)</f>
        <v>0</v>
      </c>
      <c r="AC39" s="888">
        <f>SUMIF('CF(M)'!$L$11:$EQ$11,AC$6,'CF(M)'!$L44:$EQ44)</f>
        <v>0</v>
      </c>
      <c r="AD39" s="888">
        <f>SUMIF('CF(M)'!$L$11:$EQ$11,AD$6,'CF(M)'!$L44:$EQ44)</f>
        <v>0</v>
      </c>
      <c r="AE39" s="888">
        <f>SUMIF('CF(M)'!$L$11:$EQ$11,AE$6,'CF(M)'!$L44:$EQ44)</f>
        <v>0</v>
      </c>
      <c r="AF39" s="888">
        <f>SUMIF('CF(M)'!$L$11:$EQ$11,AF$6,'CF(M)'!$L44:$EQ44)</f>
        <v>0</v>
      </c>
      <c r="AG39" s="888">
        <f>SUMIF('CF(M)'!$L$11:$EQ$11,AG$6,'CF(M)'!$L44:$EQ44)</f>
        <v>0</v>
      </c>
      <c r="AH39" s="888">
        <f>SUMIF('CF(M)'!$L$11:$EQ$11,AH$6,'CF(M)'!$L44:$EQ44)</f>
        <v>0</v>
      </c>
      <c r="AI39" s="888">
        <f>SUMIF('CF(M)'!$L$11:$EQ$11,AI$6,'CF(M)'!$L44:$EQ44)</f>
        <v>0</v>
      </c>
      <c r="AJ39" s="888">
        <f>SUMIF('CF(M)'!$L$11:$EQ$11,AJ$6,'CF(M)'!$L44:$EQ44)</f>
        <v>0</v>
      </c>
      <c r="AK39" s="888">
        <f>SUMIF('CF(M)'!$L$11:$EQ$11,AK$6,'CF(M)'!$L44:$EQ44)</f>
        <v>0</v>
      </c>
      <c r="AL39" s="888">
        <f>SUMIF('CF(M)'!$L$11:$EQ$11,AL$6,'CF(M)'!$L44:$EQ44)</f>
        <v>0</v>
      </c>
      <c r="AM39" s="888">
        <f>SUMIF('CF(M)'!$L$11:$EQ$11,AM$6,'CF(M)'!$L44:$EQ44)</f>
        <v>0</v>
      </c>
      <c r="AN39" s="888">
        <f>SUMIF('CF(M)'!$L$11:$EQ$11,AN$6,'CF(M)'!$L44:$EQ44)</f>
        <v>0</v>
      </c>
      <c r="AO39" s="888">
        <f>SUMIF('CF(M)'!$L$11:$EQ$11,AO$6,'CF(M)'!$L44:$EQ44)</f>
        <v>0</v>
      </c>
      <c r="AP39" s="888">
        <f>SUMIF('CF(M)'!$L$11:$EQ$11,AP$6,'CF(M)'!$L44:$EQ44)</f>
        <v>0</v>
      </c>
      <c r="AQ39" s="888">
        <f>SUMIF('CF(M)'!$L$11:$EQ$11,AQ$6,'CF(M)'!$L44:$EQ44)</f>
        <v>0</v>
      </c>
      <c r="AR39" s="888">
        <f>SUMIF('CF(M)'!$L$11:$EQ$11,AR$6,'CF(M)'!$L44:$EQ44)</f>
        <v>0</v>
      </c>
      <c r="AS39" s="888">
        <f>SUMIF('CF(M)'!$L$11:$EQ$11,AS$6,'CF(M)'!$L44:$EQ44)</f>
        <v>0</v>
      </c>
      <c r="AT39" s="888">
        <f>SUMIF('CF(M)'!$L$11:$EQ$11,AT$6,'CF(M)'!$L44:$EQ44)</f>
        <v>0</v>
      </c>
      <c r="AU39" s="888">
        <f>SUMIF('CF(M)'!$L$11:$EQ$11,AU$6,'CF(M)'!$L44:$EQ44)</f>
        <v>0</v>
      </c>
      <c r="AV39" s="888">
        <f>SUMIF('CF(M)'!$L$11:$EQ$11,AV$6,'CF(M)'!$L44:$EQ44)</f>
        <v>0</v>
      </c>
      <c r="AW39" s="888">
        <f>SUMIF('CF(M)'!$L$11:$EQ$11,AW$6,'CF(M)'!$L44:$EQ44)</f>
        <v>0</v>
      </c>
      <c r="AX39" s="888">
        <f>SUMIF('CF(M)'!$L$11:$EQ$11,AX$6,'CF(M)'!$L44:$EQ44)</f>
        <v>0</v>
      </c>
      <c r="AY39" s="888">
        <f>SUMIF('CF(M)'!$L$11:$EQ$11,AY$6,'CF(M)'!$L44:$EQ44)</f>
        <v>0</v>
      </c>
      <c r="AZ39" s="888">
        <f>SUMIF('CF(M)'!$L$11:$EQ$11,AZ$6,'CF(M)'!$L44:$EQ44)</f>
        <v>0</v>
      </c>
      <c r="BA39" s="888">
        <f>SUMIF('CF(M)'!$L$11:$EQ$11,BA$6,'CF(M)'!$L44:$EQ44)</f>
        <v>0</v>
      </c>
      <c r="BB39" s="888">
        <f>SUMIF('CF(M)'!$L$11:$EQ$11,BB$6,'CF(M)'!$L44:$EQ44)</f>
        <v>0</v>
      </c>
      <c r="BC39" s="888">
        <f>SUMIF('CF(M)'!$L$11:$EQ$11,BC$6,'CF(M)'!$L44:$EQ44)</f>
        <v>0</v>
      </c>
      <c r="BD39" s="888">
        <f>SUMIF('CF(M)'!$L$11:$EQ$11,BD$6,'CF(M)'!$L44:$EQ44)</f>
        <v>0</v>
      </c>
      <c r="BE39" s="888">
        <f>SUMIF('CF(M)'!$L$11:$EQ$11,BE$6,'CF(M)'!$L44:$EQ44)</f>
        <v>0</v>
      </c>
      <c r="BF39" s="888">
        <f>SUMIF('CF(M)'!$L$11:$EQ$11,BF$6,'CF(M)'!$L44:$EQ44)</f>
        <v>0</v>
      </c>
      <c r="BG39" s="888">
        <f>SUMIF('CF(M)'!$L$11:$EQ$11,BG$6,'CF(M)'!$L44:$EQ44)</f>
        <v>0</v>
      </c>
      <c r="BH39" s="888">
        <f>SUMIF('CF(M)'!$L$11:$EQ$11,BH$6,'CF(M)'!$L44:$EQ44)</f>
        <v>0</v>
      </c>
      <c r="BI39" s="888">
        <f>SUMIF('CF(M)'!$L$11:$EQ$11,BI$6,'CF(M)'!$L44:$EQ44)</f>
        <v>0</v>
      </c>
      <c r="BJ39" s="888">
        <f>SUMIF('CF(M)'!$L$11:$EQ$11,BJ$6,'CF(M)'!$L44:$EQ44)</f>
        <v>0</v>
      </c>
      <c r="BK39" s="888">
        <f>SUMIF('CF(M)'!$L$11:$EQ$11,BK$6,'CF(M)'!$L44:$EQ44)</f>
        <v>0</v>
      </c>
      <c r="BL39" s="888">
        <f>SUMIF('CF(M)'!$L$11:$EQ$11,BL$6,'CF(M)'!$L44:$EQ44)</f>
        <v>0</v>
      </c>
      <c r="BM39" s="888">
        <f>SUMIF('CF(M)'!$L$11:$EQ$11,BM$6,'CF(M)'!$L44:$EQ44)</f>
        <v>0</v>
      </c>
      <c r="BN39" s="888">
        <f>SUMIF('CF(M)'!$L$11:$EQ$11,BN$6,'CF(M)'!$L44:$EQ44)</f>
        <v>0</v>
      </c>
      <c r="BO39" s="888">
        <f>SUMIF('CF(M)'!$L$11:$EQ$11,BO$6,'CF(M)'!$L44:$EQ44)</f>
        <v>0</v>
      </c>
      <c r="BP39" s="888">
        <f>SUMIF('CF(M)'!$L$11:$EQ$11,BP$6,'CF(M)'!$L44:$EQ44)</f>
        <v>0</v>
      </c>
      <c r="BQ39" s="888">
        <f>SUMIF('CF(M)'!$L$11:$EQ$11,BQ$6,'CF(M)'!$L44:$EQ44)</f>
        <v>0</v>
      </c>
      <c r="BR39" s="888">
        <f>SUMIF('CF(M)'!$L$11:$EQ$11,BR$6,'CF(M)'!$L44:$EQ44)</f>
        <v>0</v>
      </c>
      <c r="BS39" s="888">
        <f>SUMIF('CF(M)'!$L$11:$EQ$11,BS$6,'CF(M)'!$L44:$EQ44)</f>
        <v>0</v>
      </c>
      <c r="BT39" s="888">
        <f>SUMIF('CF(M)'!$L$11:$EQ$11,BT$6,'CF(M)'!$L44:$EQ44)</f>
        <v>0</v>
      </c>
      <c r="BU39" s="888">
        <f>SUMIF('CF(M)'!$L$11:$EQ$11,BU$6,'CF(M)'!$L44:$EQ44)</f>
        <v>0</v>
      </c>
      <c r="BV39" s="888">
        <f>SUMIF('CF(M)'!$L$11:$EQ$11,BV$6,'CF(M)'!$L44:$EQ44)</f>
        <v>0</v>
      </c>
      <c r="BW39" s="888">
        <f>SUMIF('CF(M)'!$L$11:$EQ$11,BW$6,'CF(M)'!$L44:$EQ44)</f>
        <v>0</v>
      </c>
      <c r="BX39" s="888">
        <f>SUMIF('CF(M)'!$L$11:$EQ$11,BX$6,'CF(M)'!$L44:$EQ44)</f>
        <v>0</v>
      </c>
      <c r="BY39" s="888">
        <f>SUMIF('CF(M)'!$L$11:$EQ$11,BY$6,'CF(M)'!$L44:$EQ44)</f>
        <v>0</v>
      </c>
      <c r="BZ39" s="888">
        <f>SUMIF('CF(M)'!$L$11:$EQ$11,BZ$6,'CF(M)'!$L44:$EQ44)</f>
        <v>0</v>
      </c>
      <c r="CA39" s="888">
        <f>SUMIF('CF(M)'!$L$11:$EQ$11,CA$6,'CF(M)'!$L44:$EQ44)</f>
        <v>0</v>
      </c>
      <c r="CB39" s="888">
        <f>SUMIF('CF(M)'!$L$11:$EQ$11,CB$6,'CF(M)'!$L44:$EQ44)</f>
        <v>0</v>
      </c>
      <c r="CC39" s="888">
        <f>SUMIF('CF(M)'!$L$11:$EQ$11,CC$6,'CF(M)'!$L44:$EQ44)</f>
        <v>0</v>
      </c>
      <c r="CD39" s="888">
        <f>SUMIF('CF(M)'!$L$11:$EQ$11,CD$6,'CF(M)'!$L44:$EQ44)</f>
        <v>0</v>
      </c>
      <c r="CE39" s="888">
        <f>SUMIF('CF(M)'!$L$11:$EQ$11,CE$6,'CF(M)'!$L44:$EQ44)</f>
        <v>0</v>
      </c>
      <c r="CF39" s="888">
        <f>SUMIF('CF(M)'!$L$11:$EQ$11,CF$6,'CF(M)'!$L44:$EQ44)</f>
        <v>0</v>
      </c>
      <c r="CG39" s="888">
        <f>SUMIF('CF(M)'!$L$11:$EQ$11,CG$6,'CF(M)'!$L44:$EQ44)</f>
        <v>0</v>
      </c>
      <c r="CH39" s="888">
        <f>SUMIF('CF(M)'!$L$11:$EQ$11,CH$6,'CF(M)'!$L44:$EQ44)</f>
        <v>0</v>
      </c>
      <c r="CI39" s="888">
        <f>SUMIF('CF(M)'!$L$11:$EQ$11,CI$6,'CF(M)'!$L44:$EQ44)</f>
        <v>0</v>
      </c>
      <c r="CJ39" s="888">
        <f>SUMIF('CF(M)'!$L$11:$EQ$11,CJ$6,'CF(M)'!$L44:$EQ44)</f>
        <v>0</v>
      </c>
      <c r="CK39" s="888">
        <f>SUMIF('CF(M)'!$L$11:$EQ$11,CK$6,'CF(M)'!$L44:$EQ44)</f>
        <v>0</v>
      </c>
      <c r="CL39" s="888">
        <f>SUMIF('CF(M)'!$L$11:$EQ$11,CL$6,'CF(M)'!$L44:$EQ44)</f>
        <v>0</v>
      </c>
      <c r="CM39" s="888">
        <f>SUMIF('CF(M)'!$L$11:$EQ$11,CM$6,'CF(M)'!$L44:$EQ44)</f>
        <v>0</v>
      </c>
      <c r="CN39" s="888">
        <f>SUMIF('CF(M)'!$L$11:$EQ$11,CN$6,'CF(M)'!$L44:$EQ44)</f>
        <v>0</v>
      </c>
      <c r="CO39" s="888">
        <f>SUMIF('CF(M)'!$L$11:$EQ$11,CO$6,'CF(M)'!$L44:$EQ44)</f>
        <v>0</v>
      </c>
      <c r="CP39" s="888">
        <f>SUMIF('CF(M)'!$L$11:$EQ$11,CP$6,'CF(M)'!$L44:$EQ44)</f>
        <v>0</v>
      </c>
      <c r="CQ39" s="888">
        <f>SUMIF('CF(M)'!$L$11:$EQ$11,CQ$6,'CF(M)'!$L44:$EQ44)</f>
        <v>0</v>
      </c>
      <c r="CR39" s="888">
        <f>SUMIF('CF(M)'!$L$11:$EQ$11,CR$6,'CF(M)'!$L44:$EQ44)</f>
        <v>0</v>
      </c>
      <c r="CS39" s="888">
        <f>SUMIF('CF(M)'!$L$11:$EQ$11,CS$6,'CF(M)'!$L44:$EQ44)</f>
        <v>0</v>
      </c>
      <c r="CT39" s="888">
        <f>SUMIF('CF(M)'!$L$11:$EQ$11,CT$6,'CF(M)'!$L44:$EQ44)</f>
        <v>0</v>
      </c>
      <c r="CU39" s="888">
        <f>SUMIF('CF(M)'!$L$11:$EQ$11,CU$6,'CF(M)'!$L44:$EQ44)</f>
        <v>0</v>
      </c>
      <c r="CV39" s="888">
        <f>SUMIF('CF(M)'!$L$11:$EQ$11,CV$6,'CF(M)'!$L44:$EQ44)</f>
        <v>0</v>
      </c>
      <c r="CW39" s="888">
        <f>SUMIF('CF(M)'!$L$11:$EQ$11,CW$6,'CF(M)'!$L44:$EQ44)</f>
        <v>0</v>
      </c>
      <c r="CX39" s="888">
        <f>SUMIF('CF(M)'!$L$11:$EQ$11,CX$6,'CF(M)'!$L44:$EQ44)</f>
        <v>0</v>
      </c>
      <c r="CY39" s="888">
        <f>SUMIF('CF(M)'!$L$11:$EQ$11,CY$6,'CF(M)'!$L44:$EQ44)</f>
        <v>0</v>
      </c>
      <c r="CZ39" s="888">
        <f>SUMIF('CF(M)'!$L$11:$EQ$11,CZ$6,'CF(M)'!$L44:$EQ44)</f>
        <v>0</v>
      </c>
      <c r="DA39" s="888">
        <f>SUMIF('CF(M)'!$L$11:$EQ$11,DA$6,'CF(M)'!$L44:$EQ44)</f>
        <v>0</v>
      </c>
      <c r="DB39" s="888">
        <f>SUMIF('CF(M)'!$L$11:$EQ$11,DB$6,'CF(M)'!$L44:$EQ44)</f>
        <v>0</v>
      </c>
      <c r="DC39" s="888">
        <f>SUMIF('CF(M)'!$L$11:$EQ$11,DC$6,'CF(M)'!$L44:$EQ44)</f>
        <v>0</v>
      </c>
      <c r="DD39" s="888">
        <f>SUMIF('CF(M)'!$L$11:$EQ$11,DD$6,'CF(M)'!$L44:$EQ44)</f>
        <v>0</v>
      </c>
      <c r="DE39" s="888">
        <f>SUMIF('CF(M)'!$L$11:$EQ$11,DE$6,'CF(M)'!$L44:$EQ44)</f>
        <v>0</v>
      </c>
      <c r="DF39" s="888">
        <f>SUMIF('CF(M)'!$L$11:$EQ$11,DF$6,'CF(M)'!$L44:$EQ44)</f>
        <v>0</v>
      </c>
      <c r="DG39" s="888">
        <f>SUMIF('CF(M)'!$L$11:$EQ$11,DG$6,'CF(M)'!$L44:$EQ44)</f>
        <v>0</v>
      </c>
      <c r="DH39" s="888">
        <f>SUMIF('CF(M)'!$L$11:$EQ$11,DH$6,'CF(M)'!$L44:$EQ44)</f>
        <v>0</v>
      </c>
      <c r="DI39" s="888">
        <f>SUMIF('CF(M)'!$L$11:$EQ$11,DI$6,'CF(M)'!$L44:$EQ44)</f>
        <v>0</v>
      </c>
      <c r="DJ39" s="888">
        <f>SUMIF('CF(M)'!$L$11:$EQ$11,DJ$6,'CF(M)'!$L44:$EQ44)</f>
        <v>0</v>
      </c>
      <c r="DK39" s="888">
        <f>SUMIF('CF(M)'!$L$11:$EQ$11,DK$6,'CF(M)'!$L44:$EQ44)</f>
        <v>0</v>
      </c>
      <c r="DL39" s="888">
        <f>SUMIF('CF(M)'!$L$11:$EQ$11,DL$6,'CF(M)'!$L44:$EQ44)</f>
        <v>0</v>
      </c>
      <c r="DM39" s="888">
        <f>SUMIF('CF(M)'!$L$11:$EQ$11,DM$6,'CF(M)'!$L44:$EQ44)</f>
        <v>0</v>
      </c>
      <c r="DN39" s="888">
        <f>SUMIF('CF(M)'!$L$11:$EQ$11,DN$6,'CF(M)'!$L44:$EQ44)</f>
        <v>0</v>
      </c>
      <c r="DO39" s="888">
        <f>SUMIF('CF(M)'!$L$11:$EQ$11,DO$6,'CF(M)'!$L44:$EQ44)</f>
        <v>0</v>
      </c>
      <c r="DP39" s="888">
        <f>SUMIF('CF(M)'!$L$11:$EQ$11,DP$6,'CF(M)'!$L44:$EQ44)</f>
        <v>0</v>
      </c>
      <c r="DQ39" s="888">
        <f>SUMIF('CF(M)'!$L$11:$EQ$11,DQ$6,'CF(M)'!$L44:$EQ44)</f>
        <v>0</v>
      </c>
      <c r="DR39" s="888">
        <f>SUMIF('CF(M)'!$L$11:$EQ$11,DR$6,'CF(M)'!$L44:$EQ44)</f>
        <v>0</v>
      </c>
      <c r="DS39" s="888">
        <f>SUMIF('CF(M)'!$L$11:$EQ$11,DS$6,'CF(M)'!$L44:$EQ44)</f>
        <v>0</v>
      </c>
      <c r="DT39" s="888">
        <f>SUMIF('CF(M)'!$L$11:$EQ$11,DT$6,'CF(M)'!$L44:$EQ44)</f>
        <v>0</v>
      </c>
      <c r="DU39" s="888">
        <f>SUMIF('CF(M)'!$L$11:$EQ$11,DU$6,'CF(M)'!$L44:$EQ44)</f>
        <v>0</v>
      </c>
      <c r="DV39" s="888">
        <f>SUMIF('CF(M)'!$L$11:$EQ$11,DV$6,'CF(M)'!$L44:$EQ44)</f>
        <v>0</v>
      </c>
    </row>
    <row r="40" spans="2:126" ht="11.25" customHeight="1">
      <c r="B40" s="218"/>
      <c r="C40" s="163"/>
      <c r="D40" s="169" t="str">
        <f>'CF(M)'!D45</f>
        <v>중순위대출(2nd) 이자비용</v>
      </c>
      <c r="H40" s="146"/>
      <c r="I40" s="13"/>
      <c r="J40" s="171">
        <f t="shared" si="12"/>
        <v>0</v>
      </c>
      <c r="K40" s="98"/>
      <c r="L40" s="171">
        <f>SUMIF('CF(M)'!$L$11:$EQ$11,L$6,'CF(M)'!$L45:$EQ45)</f>
        <v>0</v>
      </c>
      <c r="M40" s="171">
        <f>SUMIF('CF(M)'!$L$11:$EQ$11,M$6,'CF(M)'!$L45:$EQ45)</f>
        <v>0</v>
      </c>
      <c r="N40" s="171">
        <f>SUMIF('CF(M)'!$L$11:$EQ$11,N$6,'CF(M)'!$L45:$EQ45)</f>
        <v>0</v>
      </c>
      <c r="O40" s="171">
        <f>SUMIF('CF(M)'!$L$11:$EQ$11,O$6,'CF(M)'!$L45:$EQ45)</f>
        <v>0</v>
      </c>
      <c r="P40" s="171">
        <f>SUMIF('CF(M)'!$L$11:$EQ$11,P$6,'CF(M)'!$L45:$EQ45)</f>
        <v>0</v>
      </c>
      <c r="Q40" s="171">
        <f>SUMIF('CF(M)'!$L$11:$EQ$11,Q$6,'CF(M)'!$L45:$EQ45)</f>
        <v>0</v>
      </c>
      <c r="R40" s="171">
        <f>SUMIF('CF(M)'!$L$11:$EQ$11,R$6,'CF(M)'!$L45:$EQ45)</f>
        <v>0</v>
      </c>
      <c r="S40" s="171">
        <f>SUMIF('CF(M)'!$L$11:$EQ$11,S$6,'CF(M)'!$L45:$EQ45)</f>
        <v>0</v>
      </c>
      <c r="T40" s="171">
        <f>SUMIF('CF(M)'!$L$11:$EQ$11,T$6,'CF(M)'!$L45:$EQ45)</f>
        <v>0</v>
      </c>
      <c r="U40" s="171">
        <f>SUMIF('CF(M)'!$L$11:$EQ$11,U$6,'CF(M)'!$L45:$EQ45)</f>
        <v>0</v>
      </c>
      <c r="V40" s="171">
        <f>SUMIF('CF(M)'!$L$11:$EQ$11,V$6,'CF(M)'!$L45:$EQ45)</f>
        <v>0</v>
      </c>
      <c r="W40" s="171">
        <f>SUMIF('CF(M)'!$L$11:$EQ$11,W$6,'CF(M)'!$L45:$EQ45)</f>
        <v>0</v>
      </c>
      <c r="X40" s="171">
        <f>SUMIF('CF(M)'!$L$11:$EQ$11,X$6,'CF(M)'!$L45:$EQ45)</f>
        <v>0</v>
      </c>
      <c r="Y40" s="171">
        <f>SUMIF('CF(M)'!$L$11:$EQ$11,Y$6,'CF(M)'!$L45:$EQ45)</f>
        <v>0</v>
      </c>
      <c r="Z40" s="171">
        <f>SUMIF('CF(M)'!$L$11:$EQ$11,Z$6,'CF(M)'!$L45:$EQ45)</f>
        <v>0</v>
      </c>
      <c r="AA40" s="171">
        <f>SUMIF('CF(M)'!$L$11:$EQ$11,AA$6,'CF(M)'!$L45:$EQ45)</f>
        <v>0</v>
      </c>
      <c r="AB40" s="171">
        <f>SUMIF('CF(M)'!$L$11:$EQ$11,AB$6,'CF(M)'!$L45:$EQ45)</f>
        <v>0</v>
      </c>
      <c r="AC40" s="171">
        <f>SUMIF('CF(M)'!$L$11:$EQ$11,AC$6,'CF(M)'!$L45:$EQ45)</f>
        <v>0</v>
      </c>
      <c r="AD40" s="171">
        <f>SUMIF('CF(M)'!$L$11:$EQ$11,AD$6,'CF(M)'!$L45:$EQ45)</f>
        <v>0</v>
      </c>
      <c r="AE40" s="171">
        <f>SUMIF('CF(M)'!$L$11:$EQ$11,AE$6,'CF(M)'!$L45:$EQ45)</f>
        <v>0</v>
      </c>
      <c r="AF40" s="171">
        <f>SUMIF('CF(M)'!$L$11:$EQ$11,AF$6,'CF(M)'!$L45:$EQ45)</f>
        <v>0</v>
      </c>
      <c r="AG40" s="171">
        <f>SUMIF('CF(M)'!$L$11:$EQ$11,AG$6,'CF(M)'!$L45:$EQ45)</f>
        <v>0</v>
      </c>
      <c r="AH40" s="171">
        <f>SUMIF('CF(M)'!$L$11:$EQ$11,AH$6,'CF(M)'!$L45:$EQ45)</f>
        <v>0</v>
      </c>
      <c r="AI40" s="171">
        <f>SUMIF('CF(M)'!$L$11:$EQ$11,AI$6,'CF(M)'!$L45:$EQ45)</f>
        <v>0</v>
      </c>
      <c r="AJ40" s="171">
        <f>SUMIF('CF(M)'!$L$11:$EQ$11,AJ$6,'CF(M)'!$L45:$EQ45)</f>
        <v>0</v>
      </c>
      <c r="AK40" s="171">
        <f>SUMIF('CF(M)'!$L$11:$EQ$11,AK$6,'CF(M)'!$L45:$EQ45)</f>
        <v>0</v>
      </c>
      <c r="AL40" s="171">
        <f>SUMIF('CF(M)'!$L$11:$EQ$11,AL$6,'CF(M)'!$L45:$EQ45)</f>
        <v>0</v>
      </c>
      <c r="AM40" s="171">
        <f>SUMIF('CF(M)'!$L$11:$EQ$11,AM$6,'CF(M)'!$L45:$EQ45)</f>
        <v>0</v>
      </c>
      <c r="AN40" s="171">
        <f>SUMIF('CF(M)'!$L$11:$EQ$11,AN$6,'CF(M)'!$L45:$EQ45)</f>
        <v>0</v>
      </c>
      <c r="AO40" s="171">
        <f>SUMIF('CF(M)'!$L$11:$EQ$11,AO$6,'CF(M)'!$L45:$EQ45)</f>
        <v>0</v>
      </c>
      <c r="AP40" s="171">
        <f>SUMIF('CF(M)'!$L$11:$EQ$11,AP$6,'CF(M)'!$L45:$EQ45)</f>
        <v>0</v>
      </c>
      <c r="AQ40" s="171">
        <f>SUMIF('CF(M)'!$L$11:$EQ$11,AQ$6,'CF(M)'!$L45:$EQ45)</f>
        <v>0</v>
      </c>
      <c r="AR40" s="171">
        <f>SUMIF('CF(M)'!$L$11:$EQ$11,AR$6,'CF(M)'!$L45:$EQ45)</f>
        <v>0</v>
      </c>
      <c r="AS40" s="171">
        <f>SUMIF('CF(M)'!$L$11:$EQ$11,AS$6,'CF(M)'!$L45:$EQ45)</f>
        <v>0</v>
      </c>
      <c r="AT40" s="171">
        <f>SUMIF('CF(M)'!$L$11:$EQ$11,AT$6,'CF(M)'!$L45:$EQ45)</f>
        <v>0</v>
      </c>
      <c r="AU40" s="171">
        <f>SUMIF('CF(M)'!$L$11:$EQ$11,AU$6,'CF(M)'!$L45:$EQ45)</f>
        <v>0</v>
      </c>
      <c r="AV40" s="171">
        <f>SUMIF('CF(M)'!$L$11:$EQ$11,AV$6,'CF(M)'!$L45:$EQ45)</f>
        <v>0</v>
      </c>
      <c r="AW40" s="171">
        <f>SUMIF('CF(M)'!$L$11:$EQ$11,AW$6,'CF(M)'!$L45:$EQ45)</f>
        <v>0</v>
      </c>
      <c r="AX40" s="171">
        <f>SUMIF('CF(M)'!$L$11:$EQ$11,AX$6,'CF(M)'!$L45:$EQ45)</f>
        <v>0</v>
      </c>
      <c r="AY40" s="171">
        <f>SUMIF('CF(M)'!$L$11:$EQ$11,AY$6,'CF(M)'!$L45:$EQ45)</f>
        <v>0</v>
      </c>
      <c r="AZ40" s="171">
        <f>SUMIF('CF(M)'!$L$11:$EQ$11,AZ$6,'CF(M)'!$L45:$EQ45)</f>
        <v>0</v>
      </c>
      <c r="BA40" s="171">
        <f>SUMIF('CF(M)'!$L$11:$EQ$11,BA$6,'CF(M)'!$L45:$EQ45)</f>
        <v>0</v>
      </c>
      <c r="BB40" s="171">
        <f>SUMIF('CF(M)'!$L$11:$EQ$11,BB$6,'CF(M)'!$L45:$EQ45)</f>
        <v>0</v>
      </c>
      <c r="BC40" s="171">
        <f>SUMIF('CF(M)'!$L$11:$EQ$11,BC$6,'CF(M)'!$L45:$EQ45)</f>
        <v>0</v>
      </c>
      <c r="BD40" s="171">
        <f>SUMIF('CF(M)'!$L$11:$EQ$11,BD$6,'CF(M)'!$L45:$EQ45)</f>
        <v>0</v>
      </c>
      <c r="BE40" s="171">
        <f>SUMIF('CF(M)'!$L$11:$EQ$11,BE$6,'CF(M)'!$L45:$EQ45)</f>
        <v>0</v>
      </c>
      <c r="BF40" s="171">
        <f>SUMIF('CF(M)'!$L$11:$EQ$11,BF$6,'CF(M)'!$L45:$EQ45)</f>
        <v>0</v>
      </c>
      <c r="BG40" s="171">
        <f>SUMIF('CF(M)'!$L$11:$EQ$11,BG$6,'CF(M)'!$L45:$EQ45)</f>
        <v>0</v>
      </c>
      <c r="BH40" s="171">
        <f>SUMIF('CF(M)'!$L$11:$EQ$11,BH$6,'CF(M)'!$L45:$EQ45)</f>
        <v>0</v>
      </c>
      <c r="BI40" s="171">
        <f>SUMIF('CF(M)'!$L$11:$EQ$11,BI$6,'CF(M)'!$L45:$EQ45)</f>
        <v>0</v>
      </c>
      <c r="BJ40" s="171">
        <f>SUMIF('CF(M)'!$L$11:$EQ$11,BJ$6,'CF(M)'!$L45:$EQ45)</f>
        <v>0</v>
      </c>
      <c r="BK40" s="171">
        <f>SUMIF('CF(M)'!$L$11:$EQ$11,BK$6,'CF(M)'!$L45:$EQ45)</f>
        <v>0</v>
      </c>
      <c r="BL40" s="171">
        <f>SUMIF('CF(M)'!$L$11:$EQ$11,BL$6,'CF(M)'!$L45:$EQ45)</f>
        <v>0</v>
      </c>
      <c r="BM40" s="171">
        <f>SUMIF('CF(M)'!$L$11:$EQ$11,BM$6,'CF(M)'!$L45:$EQ45)</f>
        <v>0</v>
      </c>
      <c r="BN40" s="171">
        <f>SUMIF('CF(M)'!$L$11:$EQ$11,BN$6,'CF(M)'!$L45:$EQ45)</f>
        <v>0</v>
      </c>
      <c r="BO40" s="171">
        <f>SUMIF('CF(M)'!$L$11:$EQ$11,BO$6,'CF(M)'!$L45:$EQ45)</f>
        <v>0</v>
      </c>
      <c r="BP40" s="171">
        <f>SUMIF('CF(M)'!$L$11:$EQ$11,BP$6,'CF(M)'!$L45:$EQ45)</f>
        <v>0</v>
      </c>
      <c r="BQ40" s="171">
        <f>SUMIF('CF(M)'!$L$11:$EQ$11,BQ$6,'CF(M)'!$L45:$EQ45)</f>
        <v>0</v>
      </c>
      <c r="BR40" s="171">
        <f>SUMIF('CF(M)'!$L$11:$EQ$11,BR$6,'CF(M)'!$L45:$EQ45)</f>
        <v>0</v>
      </c>
      <c r="BS40" s="171">
        <f>SUMIF('CF(M)'!$L$11:$EQ$11,BS$6,'CF(M)'!$L45:$EQ45)</f>
        <v>0</v>
      </c>
      <c r="BT40" s="171">
        <f>SUMIF('CF(M)'!$L$11:$EQ$11,BT$6,'CF(M)'!$L45:$EQ45)</f>
        <v>0</v>
      </c>
      <c r="BU40" s="171">
        <f>SUMIF('CF(M)'!$L$11:$EQ$11,BU$6,'CF(M)'!$L45:$EQ45)</f>
        <v>0</v>
      </c>
      <c r="BV40" s="171">
        <f>SUMIF('CF(M)'!$L$11:$EQ$11,BV$6,'CF(M)'!$L45:$EQ45)</f>
        <v>0</v>
      </c>
      <c r="BW40" s="171">
        <f>SUMIF('CF(M)'!$L$11:$EQ$11,BW$6,'CF(M)'!$L45:$EQ45)</f>
        <v>0</v>
      </c>
      <c r="BX40" s="171">
        <f>SUMIF('CF(M)'!$L$11:$EQ$11,BX$6,'CF(M)'!$L45:$EQ45)</f>
        <v>0</v>
      </c>
      <c r="BY40" s="171">
        <f>SUMIF('CF(M)'!$L$11:$EQ$11,BY$6,'CF(M)'!$L45:$EQ45)</f>
        <v>0</v>
      </c>
      <c r="BZ40" s="171">
        <f>SUMIF('CF(M)'!$L$11:$EQ$11,BZ$6,'CF(M)'!$L45:$EQ45)</f>
        <v>0</v>
      </c>
      <c r="CA40" s="171">
        <f>SUMIF('CF(M)'!$L$11:$EQ$11,CA$6,'CF(M)'!$L45:$EQ45)</f>
        <v>0</v>
      </c>
      <c r="CB40" s="171">
        <f>SUMIF('CF(M)'!$L$11:$EQ$11,CB$6,'CF(M)'!$L45:$EQ45)</f>
        <v>0</v>
      </c>
      <c r="CC40" s="171">
        <f>SUMIF('CF(M)'!$L$11:$EQ$11,CC$6,'CF(M)'!$L45:$EQ45)</f>
        <v>0</v>
      </c>
      <c r="CD40" s="171">
        <f>SUMIF('CF(M)'!$L$11:$EQ$11,CD$6,'CF(M)'!$L45:$EQ45)</f>
        <v>0</v>
      </c>
      <c r="CE40" s="171">
        <f>SUMIF('CF(M)'!$L$11:$EQ$11,CE$6,'CF(M)'!$L45:$EQ45)</f>
        <v>0</v>
      </c>
      <c r="CF40" s="171">
        <f>SUMIF('CF(M)'!$L$11:$EQ$11,CF$6,'CF(M)'!$L45:$EQ45)</f>
        <v>0</v>
      </c>
      <c r="CG40" s="171">
        <f>SUMIF('CF(M)'!$L$11:$EQ$11,CG$6,'CF(M)'!$L45:$EQ45)</f>
        <v>0</v>
      </c>
      <c r="CH40" s="171">
        <f>SUMIF('CF(M)'!$L$11:$EQ$11,CH$6,'CF(M)'!$L45:$EQ45)</f>
        <v>0</v>
      </c>
      <c r="CI40" s="171">
        <f>SUMIF('CF(M)'!$L$11:$EQ$11,CI$6,'CF(M)'!$L45:$EQ45)</f>
        <v>0</v>
      </c>
      <c r="CJ40" s="171">
        <f>SUMIF('CF(M)'!$L$11:$EQ$11,CJ$6,'CF(M)'!$L45:$EQ45)</f>
        <v>0</v>
      </c>
      <c r="CK40" s="171">
        <f>SUMIF('CF(M)'!$L$11:$EQ$11,CK$6,'CF(M)'!$L45:$EQ45)</f>
        <v>0</v>
      </c>
      <c r="CL40" s="171">
        <f>SUMIF('CF(M)'!$L$11:$EQ$11,CL$6,'CF(M)'!$L45:$EQ45)</f>
        <v>0</v>
      </c>
      <c r="CM40" s="171">
        <f>SUMIF('CF(M)'!$L$11:$EQ$11,CM$6,'CF(M)'!$L45:$EQ45)</f>
        <v>0</v>
      </c>
      <c r="CN40" s="171">
        <f>SUMIF('CF(M)'!$L$11:$EQ$11,CN$6,'CF(M)'!$L45:$EQ45)</f>
        <v>0</v>
      </c>
      <c r="CO40" s="171">
        <f>SUMIF('CF(M)'!$L$11:$EQ$11,CO$6,'CF(M)'!$L45:$EQ45)</f>
        <v>0</v>
      </c>
      <c r="CP40" s="171">
        <f>SUMIF('CF(M)'!$L$11:$EQ$11,CP$6,'CF(M)'!$L45:$EQ45)</f>
        <v>0</v>
      </c>
      <c r="CQ40" s="171">
        <f>SUMIF('CF(M)'!$L$11:$EQ$11,CQ$6,'CF(M)'!$L45:$EQ45)</f>
        <v>0</v>
      </c>
      <c r="CR40" s="171">
        <f>SUMIF('CF(M)'!$L$11:$EQ$11,CR$6,'CF(M)'!$L45:$EQ45)</f>
        <v>0</v>
      </c>
      <c r="CS40" s="171">
        <f>SUMIF('CF(M)'!$L$11:$EQ$11,CS$6,'CF(M)'!$L45:$EQ45)</f>
        <v>0</v>
      </c>
      <c r="CT40" s="171">
        <f>SUMIF('CF(M)'!$L$11:$EQ$11,CT$6,'CF(M)'!$L45:$EQ45)</f>
        <v>0</v>
      </c>
      <c r="CU40" s="171">
        <f>SUMIF('CF(M)'!$L$11:$EQ$11,CU$6,'CF(M)'!$L45:$EQ45)</f>
        <v>0</v>
      </c>
      <c r="CV40" s="171">
        <f>SUMIF('CF(M)'!$L$11:$EQ$11,CV$6,'CF(M)'!$L45:$EQ45)</f>
        <v>0</v>
      </c>
      <c r="CW40" s="171">
        <f>SUMIF('CF(M)'!$L$11:$EQ$11,CW$6,'CF(M)'!$L45:$EQ45)</f>
        <v>0</v>
      </c>
      <c r="CX40" s="171">
        <f>SUMIF('CF(M)'!$L$11:$EQ$11,CX$6,'CF(M)'!$L45:$EQ45)</f>
        <v>0</v>
      </c>
      <c r="CY40" s="171">
        <f>SUMIF('CF(M)'!$L$11:$EQ$11,CY$6,'CF(M)'!$L45:$EQ45)</f>
        <v>0</v>
      </c>
      <c r="CZ40" s="171">
        <f>SUMIF('CF(M)'!$L$11:$EQ$11,CZ$6,'CF(M)'!$L45:$EQ45)</f>
        <v>0</v>
      </c>
      <c r="DA40" s="171">
        <f>SUMIF('CF(M)'!$L$11:$EQ$11,DA$6,'CF(M)'!$L45:$EQ45)</f>
        <v>0</v>
      </c>
      <c r="DB40" s="171">
        <f>SUMIF('CF(M)'!$L$11:$EQ$11,DB$6,'CF(M)'!$L45:$EQ45)</f>
        <v>0</v>
      </c>
      <c r="DC40" s="171">
        <f>SUMIF('CF(M)'!$L$11:$EQ$11,DC$6,'CF(M)'!$L45:$EQ45)</f>
        <v>0</v>
      </c>
      <c r="DD40" s="171">
        <f>SUMIF('CF(M)'!$L$11:$EQ$11,DD$6,'CF(M)'!$L45:$EQ45)</f>
        <v>0</v>
      </c>
      <c r="DE40" s="171">
        <f>SUMIF('CF(M)'!$L$11:$EQ$11,DE$6,'CF(M)'!$L45:$EQ45)</f>
        <v>0</v>
      </c>
      <c r="DF40" s="171">
        <f>SUMIF('CF(M)'!$L$11:$EQ$11,DF$6,'CF(M)'!$L45:$EQ45)</f>
        <v>0</v>
      </c>
      <c r="DG40" s="171">
        <f>SUMIF('CF(M)'!$L$11:$EQ$11,DG$6,'CF(M)'!$L45:$EQ45)</f>
        <v>0</v>
      </c>
      <c r="DH40" s="171">
        <f>SUMIF('CF(M)'!$L$11:$EQ$11,DH$6,'CF(M)'!$L45:$EQ45)</f>
        <v>0</v>
      </c>
      <c r="DI40" s="171">
        <f>SUMIF('CF(M)'!$L$11:$EQ$11,DI$6,'CF(M)'!$L45:$EQ45)</f>
        <v>0</v>
      </c>
      <c r="DJ40" s="171">
        <f>SUMIF('CF(M)'!$L$11:$EQ$11,DJ$6,'CF(M)'!$L45:$EQ45)</f>
        <v>0</v>
      </c>
      <c r="DK40" s="171">
        <f>SUMIF('CF(M)'!$L$11:$EQ$11,DK$6,'CF(M)'!$L45:$EQ45)</f>
        <v>0</v>
      </c>
      <c r="DL40" s="171">
        <f>SUMIF('CF(M)'!$L$11:$EQ$11,DL$6,'CF(M)'!$L45:$EQ45)</f>
        <v>0</v>
      </c>
      <c r="DM40" s="171">
        <f>SUMIF('CF(M)'!$L$11:$EQ$11,DM$6,'CF(M)'!$L45:$EQ45)</f>
        <v>0</v>
      </c>
      <c r="DN40" s="171">
        <f>SUMIF('CF(M)'!$L$11:$EQ$11,DN$6,'CF(M)'!$L45:$EQ45)</f>
        <v>0</v>
      </c>
      <c r="DO40" s="171">
        <f>SUMIF('CF(M)'!$L$11:$EQ$11,DO$6,'CF(M)'!$L45:$EQ45)</f>
        <v>0</v>
      </c>
      <c r="DP40" s="171">
        <f>SUMIF('CF(M)'!$L$11:$EQ$11,DP$6,'CF(M)'!$L45:$EQ45)</f>
        <v>0</v>
      </c>
      <c r="DQ40" s="171">
        <f>SUMIF('CF(M)'!$L$11:$EQ$11,DQ$6,'CF(M)'!$L45:$EQ45)</f>
        <v>0</v>
      </c>
      <c r="DR40" s="171">
        <f>SUMIF('CF(M)'!$L$11:$EQ$11,DR$6,'CF(M)'!$L45:$EQ45)</f>
        <v>0</v>
      </c>
      <c r="DS40" s="171">
        <f>SUMIF('CF(M)'!$L$11:$EQ$11,DS$6,'CF(M)'!$L45:$EQ45)</f>
        <v>0</v>
      </c>
      <c r="DT40" s="171">
        <f>SUMIF('CF(M)'!$L$11:$EQ$11,DT$6,'CF(M)'!$L45:$EQ45)</f>
        <v>0</v>
      </c>
      <c r="DU40" s="171">
        <f>SUMIF('CF(M)'!$L$11:$EQ$11,DU$6,'CF(M)'!$L45:$EQ45)</f>
        <v>0</v>
      </c>
      <c r="DV40" s="171">
        <f>SUMIF('CF(M)'!$L$11:$EQ$11,DV$6,'CF(M)'!$L45:$EQ45)</f>
        <v>0</v>
      </c>
    </row>
    <row r="41" spans="2:126" ht="11.25" customHeight="1">
      <c r="B41" s="218"/>
      <c r="C41" s="163"/>
      <c r="D41" s="1017" t="str">
        <f>'CF(M)'!D46</f>
        <v>중순위대출(3rd) 이자비용</v>
      </c>
      <c r="E41" s="1018"/>
      <c r="F41" s="1018"/>
      <c r="G41" s="1018"/>
      <c r="H41" s="1020"/>
      <c r="I41" s="1648"/>
      <c r="J41" s="997">
        <f t="shared" si="12"/>
        <v>0</v>
      </c>
      <c r="K41" s="98"/>
      <c r="L41" s="997">
        <f>SUMIF('CF(M)'!$L$11:$EQ$11,L$6,'CF(M)'!$L46:$EQ46)</f>
        <v>0</v>
      </c>
      <c r="M41" s="997">
        <f>SUMIF('CF(M)'!$L$11:$EQ$11,M$6,'CF(M)'!$L46:$EQ46)</f>
        <v>0</v>
      </c>
      <c r="N41" s="997">
        <f>SUMIF('CF(M)'!$L$11:$EQ$11,N$6,'CF(M)'!$L46:$EQ46)</f>
        <v>0</v>
      </c>
      <c r="O41" s="997">
        <f>SUMIF('CF(M)'!$L$11:$EQ$11,O$6,'CF(M)'!$L46:$EQ46)</f>
        <v>0</v>
      </c>
      <c r="P41" s="997">
        <f>SUMIF('CF(M)'!$L$11:$EQ$11,P$6,'CF(M)'!$L46:$EQ46)</f>
        <v>0</v>
      </c>
      <c r="Q41" s="997">
        <f>SUMIF('CF(M)'!$L$11:$EQ$11,Q$6,'CF(M)'!$L46:$EQ46)</f>
        <v>0</v>
      </c>
      <c r="R41" s="997">
        <f>SUMIF('CF(M)'!$L$11:$EQ$11,R$6,'CF(M)'!$L46:$EQ46)</f>
        <v>0</v>
      </c>
      <c r="S41" s="997">
        <f>SUMIF('CF(M)'!$L$11:$EQ$11,S$6,'CF(M)'!$L46:$EQ46)</f>
        <v>0</v>
      </c>
      <c r="T41" s="997">
        <f>SUMIF('CF(M)'!$L$11:$EQ$11,T$6,'CF(M)'!$L46:$EQ46)</f>
        <v>0</v>
      </c>
      <c r="U41" s="997">
        <f>SUMIF('CF(M)'!$L$11:$EQ$11,U$6,'CF(M)'!$L46:$EQ46)</f>
        <v>0</v>
      </c>
      <c r="V41" s="997">
        <f>SUMIF('CF(M)'!$L$11:$EQ$11,V$6,'CF(M)'!$L46:$EQ46)</f>
        <v>0</v>
      </c>
      <c r="W41" s="997">
        <f>SUMIF('CF(M)'!$L$11:$EQ$11,W$6,'CF(M)'!$L46:$EQ46)</f>
        <v>0</v>
      </c>
      <c r="X41" s="997">
        <f>SUMIF('CF(M)'!$L$11:$EQ$11,X$6,'CF(M)'!$L46:$EQ46)</f>
        <v>0</v>
      </c>
      <c r="Y41" s="997">
        <f>SUMIF('CF(M)'!$L$11:$EQ$11,Y$6,'CF(M)'!$L46:$EQ46)</f>
        <v>0</v>
      </c>
      <c r="Z41" s="997">
        <f>SUMIF('CF(M)'!$L$11:$EQ$11,Z$6,'CF(M)'!$L46:$EQ46)</f>
        <v>0</v>
      </c>
      <c r="AA41" s="997">
        <f>SUMIF('CF(M)'!$L$11:$EQ$11,AA$6,'CF(M)'!$L46:$EQ46)</f>
        <v>0</v>
      </c>
      <c r="AB41" s="997">
        <f>SUMIF('CF(M)'!$L$11:$EQ$11,AB$6,'CF(M)'!$L46:$EQ46)</f>
        <v>0</v>
      </c>
      <c r="AC41" s="997">
        <f>SUMIF('CF(M)'!$L$11:$EQ$11,AC$6,'CF(M)'!$L46:$EQ46)</f>
        <v>0</v>
      </c>
      <c r="AD41" s="997">
        <f>SUMIF('CF(M)'!$L$11:$EQ$11,AD$6,'CF(M)'!$L46:$EQ46)</f>
        <v>0</v>
      </c>
      <c r="AE41" s="997">
        <f>SUMIF('CF(M)'!$L$11:$EQ$11,AE$6,'CF(M)'!$L46:$EQ46)</f>
        <v>0</v>
      </c>
      <c r="AF41" s="997">
        <f>SUMIF('CF(M)'!$L$11:$EQ$11,AF$6,'CF(M)'!$L46:$EQ46)</f>
        <v>0</v>
      </c>
      <c r="AG41" s="997">
        <f>SUMIF('CF(M)'!$L$11:$EQ$11,AG$6,'CF(M)'!$L46:$EQ46)</f>
        <v>0</v>
      </c>
      <c r="AH41" s="997">
        <f>SUMIF('CF(M)'!$L$11:$EQ$11,AH$6,'CF(M)'!$L46:$EQ46)</f>
        <v>0</v>
      </c>
      <c r="AI41" s="997">
        <f>SUMIF('CF(M)'!$L$11:$EQ$11,AI$6,'CF(M)'!$L46:$EQ46)</f>
        <v>0</v>
      </c>
      <c r="AJ41" s="997">
        <f>SUMIF('CF(M)'!$L$11:$EQ$11,AJ$6,'CF(M)'!$L46:$EQ46)</f>
        <v>0</v>
      </c>
      <c r="AK41" s="997">
        <f>SUMIF('CF(M)'!$L$11:$EQ$11,AK$6,'CF(M)'!$L46:$EQ46)</f>
        <v>0</v>
      </c>
      <c r="AL41" s="997">
        <f>SUMIF('CF(M)'!$L$11:$EQ$11,AL$6,'CF(M)'!$L46:$EQ46)</f>
        <v>0</v>
      </c>
      <c r="AM41" s="997">
        <f>SUMIF('CF(M)'!$L$11:$EQ$11,AM$6,'CF(M)'!$L46:$EQ46)</f>
        <v>0</v>
      </c>
      <c r="AN41" s="997">
        <f>SUMIF('CF(M)'!$L$11:$EQ$11,AN$6,'CF(M)'!$L46:$EQ46)</f>
        <v>0</v>
      </c>
      <c r="AO41" s="997">
        <f>SUMIF('CF(M)'!$L$11:$EQ$11,AO$6,'CF(M)'!$L46:$EQ46)</f>
        <v>0</v>
      </c>
      <c r="AP41" s="997">
        <f>SUMIF('CF(M)'!$L$11:$EQ$11,AP$6,'CF(M)'!$L46:$EQ46)</f>
        <v>0</v>
      </c>
      <c r="AQ41" s="997">
        <f>SUMIF('CF(M)'!$L$11:$EQ$11,AQ$6,'CF(M)'!$L46:$EQ46)</f>
        <v>0</v>
      </c>
      <c r="AR41" s="997">
        <f>SUMIF('CF(M)'!$L$11:$EQ$11,AR$6,'CF(M)'!$L46:$EQ46)</f>
        <v>0</v>
      </c>
      <c r="AS41" s="997">
        <f>SUMIF('CF(M)'!$L$11:$EQ$11,AS$6,'CF(M)'!$L46:$EQ46)</f>
        <v>0</v>
      </c>
      <c r="AT41" s="997">
        <f>SUMIF('CF(M)'!$L$11:$EQ$11,AT$6,'CF(M)'!$L46:$EQ46)</f>
        <v>0</v>
      </c>
      <c r="AU41" s="997">
        <f>SUMIF('CF(M)'!$L$11:$EQ$11,AU$6,'CF(M)'!$L46:$EQ46)</f>
        <v>0</v>
      </c>
      <c r="AV41" s="997">
        <f>SUMIF('CF(M)'!$L$11:$EQ$11,AV$6,'CF(M)'!$L46:$EQ46)</f>
        <v>0</v>
      </c>
      <c r="AW41" s="997">
        <f>SUMIF('CF(M)'!$L$11:$EQ$11,AW$6,'CF(M)'!$L46:$EQ46)</f>
        <v>0</v>
      </c>
      <c r="AX41" s="997">
        <f>SUMIF('CF(M)'!$L$11:$EQ$11,AX$6,'CF(M)'!$L46:$EQ46)</f>
        <v>0</v>
      </c>
      <c r="AY41" s="997">
        <f>SUMIF('CF(M)'!$L$11:$EQ$11,AY$6,'CF(M)'!$L46:$EQ46)</f>
        <v>0</v>
      </c>
      <c r="AZ41" s="997">
        <f>SUMIF('CF(M)'!$L$11:$EQ$11,AZ$6,'CF(M)'!$L46:$EQ46)</f>
        <v>0</v>
      </c>
      <c r="BA41" s="997">
        <f>SUMIF('CF(M)'!$L$11:$EQ$11,BA$6,'CF(M)'!$L46:$EQ46)</f>
        <v>0</v>
      </c>
      <c r="BB41" s="997">
        <f>SUMIF('CF(M)'!$L$11:$EQ$11,BB$6,'CF(M)'!$L46:$EQ46)</f>
        <v>0</v>
      </c>
      <c r="BC41" s="997">
        <f>SUMIF('CF(M)'!$L$11:$EQ$11,BC$6,'CF(M)'!$L46:$EQ46)</f>
        <v>0</v>
      </c>
      <c r="BD41" s="997">
        <f>SUMIF('CF(M)'!$L$11:$EQ$11,BD$6,'CF(M)'!$L46:$EQ46)</f>
        <v>0</v>
      </c>
      <c r="BE41" s="997">
        <f>SUMIF('CF(M)'!$L$11:$EQ$11,BE$6,'CF(M)'!$L46:$EQ46)</f>
        <v>0</v>
      </c>
      <c r="BF41" s="997">
        <f>SUMIF('CF(M)'!$L$11:$EQ$11,BF$6,'CF(M)'!$L46:$EQ46)</f>
        <v>0</v>
      </c>
      <c r="BG41" s="997">
        <f>SUMIF('CF(M)'!$L$11:$EQ$11,BG$6,'CF(M)'!$L46:$EQ46)</f>
        <v>0</v>
      </c>
      <c r="BH41" s="997">
        <f>SUMIF('CF(M)'!$L$11:$EQ$11,BH$6,'CF(M)'!$L46:$EQ46)</f>
        <v>0</v>
      </c>
      <c r="BI41" s="997">
        <f>SUMIF('CF(M)'!$L$11:$EQ$11,BI$6,'CF(M)'!$L46:$EQ46)</f>
        <v>0</v>
      </c>
      <c r="BJ41" s="997">
        <f>SUMIF('CF(M)'!$L$11:$EQ$11,BJ$6,'CF(M)'!$L46:$EQ46)</f>
        <v>0</v>
      </c>
      <c r="BK41" s="997">
        <f>SUMIF('CF(M)'!$L$11:$EQ$11,BK$6,'CF(M)'!$L46:$EQ46)</f>
        <v>0</v>
      </c>
      <c r="BL41" s="997">
        <f>SUMIF('CF(M)'!$L$11:$EQ$11,BL$6,'CF(M)'!$L46:$EQ46)</f>
        <v>0</v>
      </c>
      <c r="BM41" s="997">
        <f>SUMIF('CF(M)'!$L$11:$EQ$11,BM$6,'CF(M)'!$L46:$EQ46)</f>
        <v>0</v>
      </c>
      <c r="BN41" s="997">
        <f>SUMIF('CF(M)'!$L$11:$EQ$11,BN$6,'CF(M)'!$L46:$EQ46)</f>
        <v>0</v>
      </c>
      <c r="BO41" s="997">
        <f>SUMIF('CF(M)'!$L$11:$EQ$11,BO$6,'CF(M)'!$L46:$EQ46)</f>
        <v>0</v>
      </c>
      <c r="BP41" s="997">
        <f>SUMIF('CF(M)'!$L$11:$EQ$11,BP$6,'CF(M)'!$L46:$EQ46)</f>
        <v>0</v>
      </c>
      <c r="BQ41" s="997">
        <f>SUMIF('CF(M)'!$L$11:$EQ$11,BQ$6,'CF(M)'!$L46:$EQ46)</f>
        <v>0</v>
      </c>
      <c r="BR41" s="997">
        <f>SUMIF('CF(M)'!$L$11:$EQ$11,BR$6,'CF(M)'!$L46:$EQ46)</f>
        <v>0</v>
      </c>
      <c r="BS41" s="997">
        <f>SUMIF('CF(M)'!$L$11:$EQ$11,BS$6,'CF(M)'!$L46:$EQ46)</f>
        <v>0</v>
      </c>
      <c r="BT41" s="997">
        <f>SUMIF('CF(M)'!$L$11:$EQ$11,BT$6,'CF(M)'!$L46:$EQ46)</f>
        <v>0</v>
      </c>
      <c r="BU41" s="997">
        <f>SUMIF('CF(M)'!$L$11:$EQ$11,BU$6,'CF(M)'!$L46:$EQ46)</f>
        <v>0</v>
      </c>
      <c r="BV41" s="997">
        <f>SUMIF('CF(M)'!$L$11:$EQ$11,BV$6,'CF(M)'!$L46:$EQ46)</f>
        <v>0</v>
      </c>
      <c r="BW41" s="997">
        <f>SUMIF('CF(M)'!$L$11:$EQ$11,BW$6,'CF(M)'!$L46:$EQ46)</f>
        <v>0</v>
      </c>
      <c r="BX41" s="997">
        <f>SUMIF('CF(M)'!$L$11:$EQ$11,BX$6,'CF(M)'!$L46:$EQ46)</f>
        <v>0</v>
      </c>
      <c r="BY41" s="997">
        <f>SUMIF('CF(M)'!$L$11:$EQ$11,BY$6,'CF(M)'!$L46:$EQ46)</f>
        <v>0</v>
      </c>
      <c r="BZ41" s="997">
        <f>SUMIF('CF(M)'!$L$11:$EQ$11,BZ$6,'CF(M)'!$L46:$EQ46)</f>
        <v>0</v>
      </c>
      <c r="CA41" s="997">
        <f>SUMIF('CF(M)'!$L$11:$EQ$11,CA$6,'CF(M)'!$L46:$EQ46)</f>
        <v>0</v>
      </c>
      <c r="CB41" s="997">
        <f>SUMIF('CF(M)'!$L$11:$EQ$11,CB$6,'CF(M)'!$L46:$EQ46)</f>
        <v>0</v>
      </c>
      <c r="CC41" s="997">
        <f>SUMIF('CF(M)'!$L$11:$EQ$11,CC$6,'CF(M)'!$L46:$EQ46)</f>
        <v>0</v>
      </c>
      <c r="CD41" s="997">
        <f>SUMIF('CF(M)'!$L$11:$EQ$11,CD$6,'CF(M)'!$L46:$EQ46)</f>
        <v>0</v>
      </c>
      <c r="CE41" s="997">
        <f>SUMIF('CF(M)'!$L$11:$EQ$11,CE$6,'CF(M)'!$L46:$EQ46)</f>
        <v>0</v>
      </c>
      <c r="CF41" s="997">
        <f>SUMIF('CF(M)'!$L$11:$EQ$11,CF$6,'CF(M)'!$L46:$EQ46)</f>
        <v>0</v>
      </c>
      <c r="CG41" s="997">
        <f>SUMIF('CF(M)'!$L$11:$EQ$11,CG$6,'CF(M)'!$L46:$EQ46)</f>
        <v>0</v>
      </c>
      <c r="CH41" s="997">
        <f>SUMIF('CF(M)'!$L$11:$EQ$11,CH$6,'CF(M)'!$L46:$EQ46)</f>
        <v>0</v>
      </c>
      <c r="CI41" s="997">
        <f>SUMIF('CF(M)'!$L$11:$EQ$11,CI$6,'CF(M)'!$L46:$EQ46)</f>
        <v>0</v>
      </c>
      <c r="CJ41" s="997">
        <f>SUMIF('CF(M)'!$L$11:$EQ$11,CJ$6,'CF(M)'!$L46:$EQ46)</f>
        <v>0</v>
      </c>
      <c r="CK41" s="997">
        <f>SUMIF('CF(M)'!$L$11:$EQ$11,CK$6,'CF(M)'!$L46:$EQ46)</f>
        <v>0</v>
      </c>
      <c r="CL41" s="997">
        <f>SUMIF('CF(M)'!$L$11:$EQ$11,CL$6,'CF(M)'!$L46:$EQ46)</f>
        <v>0</v>
      </c>
      <c r="CM41" s="997">
        <f>SUMIF('CF(M)'!$L$11:$EQ$11,CM$6,'CF(M)'!$L46:$EQ46)</f>
        <v>0</v>
      </c>
      <c r="CN41" s="997">
        <f>SUMIF('CF(M)'!$L$11:$EQ$11,CN$6,'CF(M)'!$L46:$EQ46)</f>
        <v>0</v>
      </c>
      <c r="CO41" s="997">
        <f>SUMIF('CF(M)'!$L$11:$EQ$11,CO$6,'CF(M)'!$L46:$EQ46)</f>
        <v>0</v>
      </c>
      <c r="CP41" s="997">
        <f>SUMIF('CF(M)'!$L$11:$EQ$11,CP$6,'CF(M)'!$L46:$EQ46)</f>
        <v>0</v>
      </c>
      <c r="CQ41" s="997">
        <f>SUMIF('CF(M)'!$L$11:$EQ$11,CQ$6,'CF(M)'!$L46:$EQ46)</f>
        <v>0</v>
      </c>
      <c r="CR41" s="997">
        <f>SUMIF('CF(M)'!$L$11:$EQ$11,CR$6,'CF(M)'!$L46:$EQ46)</f>
        <v>0</v>
      </c>
      <c r="CS41" s="997">
        <f>SUMIF('CF(M)'!$L$11:$EQ$11,CS$6,'CF(M)'!$L46:$EQ46)</f>
        <v>0</v>
      </c>
      <c r="CT41" s="997">
        <f>SUMIF('CF(M)'!$L$11:$EQ$11,CT$6,'CF(M)'!$L46:$EQ46)</f>
        <v>0</v>
      </c>
      <c r="CU41" s="997">
        <f>SUMIF('CF(M)'!$L$11:$EQ$11,CU$6,'CF(M)'!$L46:$EQ46)</f>
        <v>0</v>
      </c>
      <c r="CV41" s="997">
        <f>SUMIF('CF(M)'!$L$11:$EQ$11,CV$6,'CF(M)'!$L46:$EQ46)</f>
        <v>0</v>
      </c>
      <c r="CW41" s="997">
        <f>SUMIF('CF(M)'!$L$11:$EQ$11,CW$6,'CF(M)'!$L46:$EQ46)</f>
        <v>0</v>
      </c>
      <c r="CX41" s="997">
        <f>SUMIF('CF(M)'!$L$11:$EQ$11,CX$6,'CF(M)'!$L46:$EQ46)</f>
        <v>0</v>
      </c>
      <c r="CY41" s="997">
        <f>SUMIF('CF(M)'!$L$11:$EQ$11,CY$6,'CF(M)'!$L46:$EQ46)</f>
        <v>0</v>
      </c>
      <c r="CZ41" s="997">
        <f>SUMIF('CF(M)'!$L$11:$EQ$11,CZ$6,'CF(M)'!$L46:$EQ46)</f>
        <v>0</v>
      </c>
      <c r="DA41" s="997">
        <f>SUMIF('CF(M)'!$L$11:$EQ$11,DA$6,'CF(M)'!$L46:$EQ46)</f>
        <v>0</v>
      </c>
      <c r="DB41" s="997">
        <f>SUMIF('CF(M)'!$L$11:$EQ$11,DB$6,'CF(M)'!$L46:$EQ46)</f>
        <v>0</v>
      </c>
      <c r="DC41" s="997">
        <f>SUMIF('CF(M)'!$L$11:$EQ$11,DC$6,'CF(M)'!$L46:$EQ46)</f>
        <v>0</v>
      </c>
      <c r="DD41" s="997">
        <f>SUMIF('CF(M)'!$L$11:$EQ$11,DD$6,'CF(M)'!$L46:$EQ46)</f>
        <v>0</v>
      </c>
      <c r="DE41" s="997">
        <f>SUMIF('CF(M)'!$L$11:$EQ$11,DE$6,'CF(M)'!$L46:$EQ46)</f>
        <v>0</v>
      </c>
      <c r="DF41" s="997">
        <f>SUMIF('CF(M)'!$L$11:$EQ$11,DF$6,'CF(M)'!$L46:$EQ46)</f>
        <v>0</v>
      </c>
      <c r="DG41" s="997">
        <f>SUMIF('CF(M)'!$L$11:$EQ$11,DG$6,'CF(M)'!$L46:$EQ46)</f>
        <v>0</v>
      </c>
      <c r="DH41" s="997">
        <f>SUMIF('CF(M)'!$L$11:$EQ$11,DH$6,'CF(M)'!$L46:$EQ46)</f>
        <v>0</v>
      </c>
      <c r="DI41" s="997">
        <f>SUMIF('CF(M)'!$L$11:$EQ$11,DI$6,'CF(M)'!$L46:$EQ46)</f>
        <v>0</v>
      </c>
      <c r="DJ41" s="997">
        <f>SUMIF('CF(M)'!$L$11:$EQ$11,DJ$6,'CF(M)'!$L46:$EQ46)</f>
        <v>0</v>
      </c>
      <c r="DK41" s="997">
        <f>SUMIF('CF(M)'!$L$11:$EQ$11,DK$6,'CF(M)'!$L46:$EQ46)</f>
        <v>0</v>
      </c>
      <c r="DL41" s="997">
        <f>SUMIF('CF(M)'!$L$11:$EQ$11,DL$6,'CF(M)'!$L46:$EQ46)</f>
        <v>0</v>
      </c>
      <c r="DM41" s="997">
        <f>SUMIF('CF(M)'!$L$11:$EQ$11,DM$6,'CF(M)'!$L46:$EQ46)</f>
        <v>0</v>
      </c>
      <c r="DN41" s="997">
        <f>SUMIF('CF(M)'!$L$11:$EQ$11,DN$6,'CF(M)'!$L46:$EQ46)</f>
        <v>0</v>
      </c>
      <c r="DO41" s="997">
        <f>SUMIF('CF(M)'!$L$11:$EQ$11,DO$6,'CF(M)'!$L46:$EQ46)</f>
        <v>0</v>
      </c>
      <c r="DP41" s="997">
        <f>SUMIF('CF(M)'!$L$11:$EQ$11,DP$6,'CF(M)'!$L46:$EQ46)</f>
        <v>0</v>
      </c>
      <c r="DQ41" s="997">
        <f>SUMIF('CF(M)'!$L$11:$EQ$11,DQ$6,'CF(M)'!$L46:$EQ46)</f>
        <v>0</v>
      </c>
      <c r="DR41" s="997">
        <f>SUMIF('CF(M)'!$L$11:$EQ$11,DR$6,'CF(M)'!$L46:$EQ46)</f>
        <v>0</v>
      </c>
      <c r="DS41" s="997">
        <f>SUMIF('CF(M)'!$L$11:$EQ$11,DS$6,'CF(M)'!$L46:$EQ46)</f>
        <v>0</v>
      </c>
      <c r="DT41" s="997">
        <f>SUMIF('CF(M)'!$L$11:$EQ$11,DT$6,'CF(M)'!$L46:$EQ46)</f>
        <v>0</v>
      </c>
      <c r="DU41" s="997">
        <f>SUMIF('CF(M)'!$L$11:$EQ$11,DU$6,'CF(M)'!$L46:$EQ46)</f>
        <v>0</v>
      </c>
      <c r="DV41" s="997">
        <f>SUMIF('CF(M)'!$L$11:$EQ$11,DV$6,'CF(M)'!$L46:$EQ46)</f>
        <v>0</v>
      </c>
    </row>
    <row r="42" spans="2:126" ht="11.25" customHeight="1">
      <c r="B42" s="218"/>
      <c r="C42" s="163"/>
      <c r="D42" s="169" t="s">
        <v>467</v>
      </c>
      <c r="H42" s="146"/>
      <c r="I42" s="13"/>
      <c r="J42" s="171">
        <f t="shared" si="12"/>
        <v>-144637.53334348497</v>
      </c>
      <c r="K42" s="98"/>
      <c r="L42" s="171">
        <f>SUMIF('CF(M)'!$L$11:$EQ$11,L$6,'CF(M)'!$L47:$EQ47)</f>
        <v>0</v>
      </c>
      <c r="M42" s="171">
        <f>SUMIF('CF(M)'!$L$11:$EQ$11,M$6,'CF(M)'!$L47:$EQ47)</f>
        <v>-144637.53334348497</v>
      </c>
      <c r="N42" s="171">
        <f>SUMIF('CF(M)'!$L$11:$EQ$11,N$6,'CF(M)'!$L47:$EQ47)</f>
        <v>0</v>
      </c>
      <c r="O42" s="171">
        <f>SUMIF('CF(M)'!$L$11:$EQ$11,O$6,'CF(M)'!$L47:$EQ47)</f>
        <v>0</v>
      </c>
      <c r="P42" s="171">
        <f>SUMIF('CF(M)'!$L$11:$EQ$11,P$6,'CF(M)'!$L47:$EQ47)</f>
        <v>0</v>
      </c>
      <c r="Q42" s="171">
        <f>SUMIF('CF(M)'!$L$11:$EQ$11,Q$6,'CF(M)'!$L47:$EQ47)</f>
        <v>0</v>
      </c>
      <c r="R42" s="171">
        <f>SUMIF('CF(M)'!$L$11:$EQ$11,R$6,'CF(M)'!$L47:$EQ47)</f>
        <v>0</v>
      </c>
      <c r="S42" s="171">
        <f>SUMIF('CF(M)'!$L$11:$EQ$11,S$6,'CF(M)'!$L47:$EQ47)</f>
        <v>0</v>
      </c>
      <c r="T42" s="171">
        <f>SUMIF('CF(M)'!$L$11:$EQ$11,T$6,'CF(M)'!$L47:$EQ47)</f>
        <v>0</v>
      </c>
      <c r="U42" s="171">
        <f>SUMIF('CF(M)'!$L$11:$EQ$11,U$6,'CF(M)'!$L47:$EQ47)</f>
        <v>0</v>
      </c>
      <c r="V42" s="171">
        <f>SUMIF('CF(M)'!$L$11:$EQ$11,V$6,'CF(M)'!$L47:$EQ47)</f>
        <v>0</v>
      </c>
      <c r="W42" s="171">
        <f>SUMIF('CF(M)'!$L$11:$EQ$11,W$6,'CF(M)'!$L47:$EQ47)</f>
        <v>0</v>
      </c>
      <c r="X42" s="171">
        <f>SUMIF('CF(M)'!$L$11:$EQ$11,X$6,'CF(M)'!$L47:$EQ47)</f>
        <v>0</v>
      </c>
      <c r="Y42" s="171">
        <f>SUMIF('CF(M)'!$L$11:$EQ$11,Y$6,'CF(M)'!$L47:$EQ47)</f>
        <v>0</v>
      </c>
      <c r="Z42" s="171">
        <f>SUMIF('CF(M)'!$L$11:$EQ$11,Z$6,'CF(M)'!$L47:$EQ47)</f>
        <v>0</v>
      </c>
      <c r="AA42" s="171">
        <f>SUMIF('CF(M)'!$L$11:$EQ$11,AA$6,'CF(M)'!$L47:$EQ47)</f>
        <v>0</v>
      </c>
      <c r="AB42" s="171">
        <f>SUMIF('CF(M)'!$L$11:$EQ$11,AB$6,'CF(M)'!$L47:$EQ47)</f>
        <v>0</v>
      </c>
      <c r="AC42" s="171">
        <f>SUMIF('CF(M)'!$L$11:$EQ$11,AC$6,'CF(M)'!$L47:$EQ47)</f>
        <v>0</v>
      </c>
      <c r="AD42" s="171">
        <f>SUMIF('CF(M)'!$L$11:$EQ$11,AD$6,'CF(M)'!$L47:$EQ47)</f>
        <v>0</v>
      </c>
      <c r="AE42" s="171">
        <f>SUMIF('CF(M)'!$L$11:$EQ$11,AE$6,'CF(M)'!$L47:$EQ47)</f>
        <v>0</v>
      </c>
      <c r="AF42" s="171">
        <f>SUMIF('CF(M)'!$L$11:$EQ$11,AF$6,'CF(M)'!$L47:$EQ47)</f>
        <v>0</v>
      </c>
      <c r="AG42" s="171">
        <f>SUMIF('CF(M)'!$L$11:$EQ$11,AG$6,'CF(M)'!$L47:$EQ47)</f>
        <v>0</v>
      </c>
      <c r="AH42" s="171">
        <f>SUMIF('CF(M)'!$L$11:$EQ$11,AH$6,'CF(M)'!$L47:$EQ47)</f>
        <v>0</v>
      </c>
      <c r="AI42" s="171">
        <f>SUMIF('CF(M)'!$L$11:$EQ$11,AI$6,'CF(M)'!$L47:$EQ47)</f>
        <v>0</v>
      </c>
      <c r="AJ42" s="171">
        <f>SUMIF('CF(M)'!$L$11:$EQ$11,AJ$6,'CF(M)'!$L47:$EQ47)</f>
        <v>0</v>
      </c>
      <c r="AK42" s="171">
        <f>SUMIF('CF(M)'!$L$11:$EQ$11,AK$6,'CF(M)'!$L47:$EQ47)</f>
        <v>0</v>
      </c>
      <c r="AL42" s="171">
        <f>SUMIF('CF(M)'!$L$11:$EQ$11,AL$6,'CF(M)'!$L47:$EQ47)</f>
        <v>0</v>
      </c>
      <c r="AM42" s="171">
        <f>SUMIF('CF(M)'!$L$11:$EQ$11,AM$6,'CF(M)'!$L47:$EQ47)</f>
        <v>0</v>
      </c>
      <c r="AN42" s="171">
        <f>SUMIF('CF(M)'!$L$11:$EQ$11,AN$6,'CF(M)'!$L47:$EQ47)</f>
        <v>0</v>
      </c>
      <c r="AO42" s="171">
        <f>SUMIF('CF(M)'!$L$11:$EQ$11,AO$6,'CF(M)'!$L47:$EQ47)</f>
        <v>0</v>
      </c>
      <c r="AP42" s="171">
        <f>SUMIF('CF(M)'!$L$11:$EQ$11,AP$6,'CF(M)'!$L47:$EQ47)</f>
        <v>0</v>
      </c>
      <c r="AQ42" s="171">
        <f>SUMIF('CF(M)'!$L$11:$EQ$11,AQ$6,'CF(M)'!$L47:$EQ47)</f>
        <v>0</v>
      </c>
      <c r="AR42" s="171">
        <f>SUMIF('CF(M)'!$L$11:$EQ$11,AR$6,'CF(M)'!$L47:$EQ47)</f>
        <v>0</v>
      </c>
      <c r="AS42" s="171">
        <f>SUMIF('CF(M)'!$L$11:$EQ$11,AS$6,'CF(M)'!$L47:$EQ47)</f>
        <v>0</v>
      </c>
      <c r="AT42" s="171">
        <f>SUMIF('CF(M)'!$L$11:$EQ$11,AT$6,'CF(M)'!$L47:$EQ47)</f>
        <v>0</v>
      </c>
      <c r="AU42" s="171">
        <f>SUMIF('CF(M)'!$L$11:$EQ$11,AU$6,'CF(M)'!$L47:$EQ47)</f>
        <v>0</v>
      </c>
      <c r="AV42" s="171">
        <f>SUMIF('CF(M)'!$L$11:$EQ$11,AV$6,'CF(M)'!$L47:$EQ47)</f>
        <v>0</v>
      </c>
      <c r="AW42" s="171">
        <f>SUMIF('CF(M)'!$L$11:$EQ$11,AW$6,'CF(M)'!$L47:$EQ47)</f>
        <v>0</v>
      </c>
      <c r="AX42" s="171">
        <f>SUMIF('CF(M)'!$L$11:$EQ$11,AX$6,'CF(M)'!$L47:$EQ47)</f>
        <v>0</v>
      </c>
      <c r="AY42" s="171">
        <f>SUMIF('CF(M)'!$L$11:$EQ$11,AY$6,'CF(M)'!$L47:$EQ47)</f>
        <v>0</v>
      </c>
      <c r="AZ42" s="171">
        <f>SUMIF('CF(M)'!$L$11:$EQ$11,AZ$6,'CF(M)'!$L47:$EQ47)</f>
        <v>0</v>
      </c>
      <c r="BA42" s="171">
        <f>SUMIF('CF(M)'!$L$11:$EQ$11,BA$6,'CF(M)'!$L47:$EQ47)</f>
        <v>0</v>
      </c>
      <c r="BB42" s="171">
        <f>SUMIF('CF(M)'!$L$11:$EQ$11,BB$6,'CF(M)'!$L47:$EQ47)</f>
        <v>0</v>
      </c>
      <c r="BC42" s="171">
        <f>SUMIF('CF(M)'!$L$11:$EQ$11,BC$6,'CF(M)'!$L47:$EQ47)</f>
        <v>0</v>
      </c>
      <c r="BD42" s="171">
        <f>SUMIF('CF(M)'!$L$11:$EQ$11,BD$6,'CF(M)'!$L47:$EQ47)</f>
        <v>0</v>
      </c>
      <c r="BE42" s="171">
        <f>SUMIF('CF(M)'!$L$11:$EQ$11,BE$6,'CF(M)'!$L47:$EQ47)</f>
        <v>0</v>
      </c>
      <c r="BF42" s="171">
        <f>SUMIF('CF(M)'!$L$11:$EQ$11,BF$6,'CF(M)'!$L47:$EQ47)</f>
        <v>0</v>
      </c>
      <c r="BG42" s="171">
        <f>SUMIF('CF(M)'!$L$11:$EQ$11,BG$6,'CF(M)'!$L47:$EQ47)</f>
        <v>0</v>
      </c>
      <c r="BH42" s="171">
        <f>SUMIF('CF(M)'!$L$11:$EQ$11,BH$6,'CF(M)'!$L47:$EQ47)</f>
        <v>0</v>
      </c>
      <c r="BI42" s="171">
        <f>SUMIF('CF(M)'!$L$11:$EQ$11,BI$6,'CF(M)'!$L47:$EQ47)</f>
        <v>0</v>
      </c>
      <c r="BJ42" s="171">
        <f>SUMIF('CF(M)'!$L$11:$EQ$11,BJ$6,'CF(M)'!$L47:$EQ47)</f>
        <v>0</v>
      </c>
      <c r="BK42" s="171">
        <f>SUMIF('CF(M)'!$L$11:$EQ$11,BK$6,'CF(M)'!$L47:$EQ47)</f>
        <v>0</v>
      </c>
      <c r="BL42" s="171">
        <f>SUMIF('CF(M)'!$L$11:$EQ$11,BL$6,'CF(M)'!$L47:$EQ47)</f>
        <v>0</v>
      </c>
      <c r="BM42" s="171">
        <f>SUMIF('CF(M)'!$L$11:$EQ$11,BM$6,'CF(M)'!$L47:$EQ47)</f>
        <v>0</v>
      </c>
      <c r="BN42" s="171">
        <f>SUMIF('CF(M)'!$L$11:$EQ$11,BN$6,'CF(M)'!$L47:$EQ47)</f>
        <v>0</v>
      </c>
      <c r="BO42" s="171">
        <f>SUMIF('CF(M)'!$L$11:$EQ$11,BO$6,'CF(M)'!$L47:$EQ47)</f>
        <v>0</v>
      </c>
      <c r="BP42" s="171">
        <f>SUMIF('CF(M)'!$L$11:$EQ$11,BP$6,'CF(M)'!$L47:$EQ47)</f>
        <v>0</v>
      </c>
      <c r="BQ42" s="171">
        <f>SUMIF('CF(M)'!$L$11:$EQ$11,BQ$6,'CF(M)'!$L47:$EQ47)</f>
        <v>0</v>
      </c>
      <c r="BR42" s="171">
        <f>SUMIF('CF(M)'!$L$11:$EQ$11,BR$6,'CF(M)'!$L47:$EQ47)</f>
        <v>0</v>
      </c>
      <c r="BS42" s="171">
        <f>SUMIF('CF(M)'!$L$11:$EQ$11,BS$6,'CF(M)'!$L47:$EQ47)</f>
        <v>0</v>
      </c>
      <c r="BT42" s="171">
        <f>SUMIF('CF(M)'!$L$11:$EQ$11,BT$6,'CF(M)'!$L47:$EQ47)</f>
        <v>0</v>
      </c>
      <c r="BU42" s="171">
        <f>SUMIF('CF(M)'!$L$11:$EQ$11,BU$6,'CF(M)'!$L47:$EQ47)</f>
        <v>0</v>
      </c>
      <c r="BV42" s="171">
        <f>SUMIF('CF(M)'!$L$11:$EQ$11,BV$6,'CF(M)'!$L47:$EQ47)</f>
        <v>0</v>
      </c>
      <c r="BW42" s="171">
        <f>SUMIF('CF(M)'!$L$11:$EQ$11,BW$6,'CF(M)'!$L47:$EQ47)</f>
        <v>0</v>
      </c>
      <c r="BX42" s="171">
        <f>SUMIF('CF(M)'!$L$11:$EQ$11,BX$6,'CF(M)'!$L47:$EQ47)</f>
        <v>0</v>
      </c>
      <c r="BY42" s="171">
        <f>SUMIF('CF(M)'!$L$11:$EQ$11,BY$6,'CF(M)'!$L47:$EQ47)</f>
        <v>0</v>
      </c>
      <c r="BZ42" s="171">
        <f>SUMIF('CF(M)'!$L$11:$EQ$11,BZ$6,'CF(M)'!$L47:$EQ47)</f>
        <v>0</v>
      </c>
      <c r="CA42" s="171">
        <f>SUMIF('CF(M)'!$L$11:$EQ$11,CA$6,'CF(M)'!$L47:$EQ47)</f>
        <v>0</v>
      </c>
      <c r="CB42" s="171">
        <f>SUMIF('CF(M)'!$L$11:$EQ$11,CB$6,'CF(M)'!$L47:$EQ47)</f>
        <v>0</v>
      </c>
      <c r="CC42" s="171">
        <f>SUMIF('CF(M)'!$L$11:$EQ$11,CC$6,'CF(M)'!$L47:$EQ47)</f>
        <v>0</v>
      </c>
      <c r="CD42" s="171">
        <f>SUMIF('CF(M)'!$L$11:$EQ$11,CD$6,'CF(M)'!$L47:$EQ47)</f>
        <v>0</v>
      </c>
      <c r="CE42" s="171">
        <f>SUMIF('CF(M)'!$L$11:$EQ$11,CE$6,'CF(M)'!$L47:$EQ47)</f>
        <v>0</v>
      </c>
      <c r="CF42" s="171">
        <f>SUMIF('CF(M)'!$L$11:$EQ$11,CF$6,'CF(M)'!$L47:$EQ47)</f>
        <v>0</v>
      </c>
      <c r="CG42" s="171">
        <f>SUMIF('CF(M)'!$L$11:$EQ$11,CG$6,'CF(M)'!$L47:$EQ47)</f>
        <v>0</v>
      </c>
      <c r="CH42" s="171">
        <f>SUMIF('CF(M)'!$L$11:$EQ$11,CH$6,'CF(M)'!$L47:$EQ47)</f>
        <v>0</v>
      </c>
      <c r="CI42" s="171">
        <f>SUMIF('CF(M)'!$L$11:$EQ$11,CI$6,'CF(M)'!$L47:$EQ47)</f>
        <v>0</v>
      </c>
      <c r="CJ42" s="171">
        <f>SUMIF('CF(M)'!$L$11:$EQ$11,CJ$6,'CF(M)'!$L47:$EQ47)</f>
        <v>0</v>
      </c>
      <c r="CK42" s="171">
        <f>SUMIF('CF(M)'!$L$11:$EQ$11,CK$6,'CF(M)'!$L47:$EQ47)</f>
        <v>0</v>
      </c>
      <c r="CL42" s="171">
        <f>SUMIF('CF(M)'!$L$11:$EQ$11,CL$6,'CF(M)'!$L47:$EQ47)</f>
        <v>0</v>
      </c>
      <c r="CM42" s="171">
        <f>SUMIF('CF(M)'!$L$11:$EQ$11,CM$6,'CF(M)'!$L47:$EQ47)</f>
        <v>0</v>
      </c>
      <c r="CN42" s="171">
        <f>SUMIF('CF(M)'!$L$11:$EQ$11,CN$6,'CF(M)'!$L47:$EQ47)</f>
        <v>0</v>
      </c>
      <c r="CO42" s="171">
        <f>SUMIF('CF(M)'!$L$11:$EQ$11,CO$6,'CF(M)'!$L47:$EQ47)</f>
        <v>0</v>
      </c>
      <c r="CP42" s="171">
        <f>SUMIF('CF(M)'!$L$11:$EQ$11,CP$6,'CF(M)'!$L47:$EQ47)</f>
        <v>0</v>
      </c>
      <c r="CQ42" s="171">
        <f>SUMIF('CF(M)'!$L$11:$EQ$11,CQ$6,'CF(M)'!$L47:$EQ47)</f>
        <v>0</v>
      </c>
      <c r="CR42" s="171">
        <f>SUMIF('CF(M)'!$L$11:$EQ$11,CR$6,'CF(M)'!$L47:$EQ47)</f>
        <v>0</v>
      </c>
      <c r="CS42" s="171">
        <f>SUMIF('CF(M)'!$L$11:$EQ$11,CS$6,'CF(M)'!$L47:$EQ47)</f>
        <v>0</v>
      </c>
      <c r="CT42" s="171">
        <f>SUMIF('CF(M)'!$L$11:$EQ$11,CT$6,'CF(M)'!$L47:$EQ47)</f>
        <v>0</v>
      </c>
      <c r="CU42" s="171">
        <f>SUMIF('CF(M)'!$L$11:$EQ$11,CU$6,'CF(M)'!$L47:$EQ47)</f>
        <v>0</v>
      </c>
      <c r="CV42" s="171">
        <f>SUMIF('CF(M)'!$L$11:$EQ$11,CV$6,'CF(M)'!$L47:$EQ47)</f>
        <v>0</v>
      </c>
      <c r="CW42" s="171">
        <f>SUMIF('CF(M)'!$L$11:$EQ$11,CW$6,'CF(M)'!$L47:$EQ47)</f>
        <v>0</v>
      </c>
      <c r="CX42" s="171">
        <f>SUMIF('CF(M)'!$L$11:$EQ$11,CX$6,'CF(M)'!$L47:$EQ47)</f>
        <v>0</v>
      </c>
      <c r="CY42" s="171">
        <f>SUMIF('CF(M)'!$L$11:$EQ$11,CY$6,'CF(M)'!$L47:$EQ47)</f>
        <v>0</v>
      </c>
      <c r="CZ42" s="171">
        <f>SUMIF('CF(M)'!$L$11:$EQ$11,CZ$6,'CF(M)'!$L47:$EQ47)</f>
        <v>0</v>
      </c>
      <c r="DA42" s="171">
        <f>SUMIF('CF(M)'!$L$11:$EQ$11,DA$6,'CF(M)'!$L47:$EQ47)</f>
        <v>0</v>
      </c>
      <c r="DB42" s="171">
        <f>SUMIF('CF(M)'!$L$11:$EQ$11,DB$6,'CF(M)'!$L47:$EQ47)</f>
        <v>0</v>
      </c>
      <c r="DC42" s="171">
        <f>SUMIF('CF(M)'!$L$11:$EQ$11,DC$6,'CF(M)'!$L47:$EQ47)</f>
        <v>0</v>
      </c>
      <c r="DD42" s="171">
        <f>SUMIF('CF(M)'!$L$11:$EQ$11,DD$6,'CF(M)'!$L47:$EQ47)</f>
        <v>0</v>
      </c>
      <c r="DE42" s="171">
        <f>SUMIF('CF(M)'!$L$11:$EQ$11,DE$6,'CF(M)'!$L47:$EQ47)</f>
        <v>0</v>
      </c>
      <c r="DF42" s="171">
        <f>SUMIF('CF(M)'!$L$11:$EQ$11,DF$6,'CF(M)'!$L47:$EQ47)</f>
        <v>0</v>
      </c>
      <c r="DG42" s="171">
        <f>SUMIF('CF(M)'!$L$11:$EQ$11,DG$6,'CF(M)'!$L47:$EQ47)</f>
        <v>0</v>
      </c>
      <c r="DH42" s="171">
        <f>SUMIF('CF(M)'!$L$11:$EQ$11,DH$6,'CF(M)'!$L47:$EQ47)</f>
        <v>0</v>
      </c>
      <c r="DI42" s="171">
        <f>SUMIF('CF(M)'!$L$11:$EQ$11,DI$6,'CF(M)'!$L47:$EQ47)</f>
        <v>0</v>
      </c>
      <c r="DJ42" s="171">
        <f>SUMIF('CF(M)'!$L$11:$EQ$11,DJ$6,'CF(M)'!$L47:$EQ47)</f>
        <v>0</v>
      </c>
      <c r="DK42" s="171">
        <f>SUMIF('CF(M)'!$L$11:$EQ$11,DK$6,'CF(M)'!$L47:$EQ47)</f>
        <v>0</v>
      </c>
      <c r="DL42" s="171">
        <f>SUMIF('CF(M)'!$L$11:$EQ$11,DL$6,'CF(M)'!$L47:$EQ47)</f>
        <v>0</v>
      </c>
      <c r="DM42" s="171">
        <f>SUMIF('CF(M)'!$L$11:$EQ$11,DM$6,'CF(M)'!$L47:$EQ47)</f>
        <v>0</v>
      </c>
      <c r="DN42" s="171">
        <f>SUMIF('CF(M)'!$L$11:$EQ$11,DN$6,'CF(M)'!$L47:$EQ47)</f>
        <v>0</v>
      </c>
      <c r="DO42" s="171">
        <f>SUMIF('CF(M)'!$L$11:$EQ$11,DO$6,'CF(M)'!$L47:$EQ47)</f>
        <v>0</v>
      </c>
      <c r="DP42" s="171">
        <f>SUMIF('CF(M)'!$L$11:$EQ$11,DP$6,'CF(M)'!$L47:$EQ47)</f>
        <v>0</v>
      </c>
      <c r="DQ42" s="171">
        <f>SUMIF('CF(M)'!$L$11:$EQ$11,DQ$6,'CF(M)'!$L47:$EQ47)</f>
        <v>0</v>
      </c>
      <c r="DR42" s="171">
        <f>SUMIF('CF(M)'!$L$11:$EQ$11,DR$6,'CF(M)'!$L47:$EQ47)</f>
        <v>0</v>
      </c>
      <c r="DS42" s="171">
        <f>SUMIF('CF(M)'!$L$11:$EQ$11,DS$6,'CF(M)'!$L47:$EQ47)</f>
        <v>0</v>
      </c>
      <c r="DT42" s="171">
        <f>SUMIF('CF(M)'!$L$11:$EQ$11,DT$6,'CF(M)'!$L47:$EQ47)</f>
        <v>0</v>
      </c>
      <c r="DU42" s="171">
        <f>SUMIF('CF(M)'!$L$11:$EQ$11,DU$6,'CF(M)'!$L47:$EQ47)</f>
        <v>0</v>
      </c>
      <c r="DV42" s="171">
        <f>SUMIF('CF(M)'!$L$11:$EQ$11,DV$6,'CF(M)'!$L47:$EQ47)</f>
        <v>0</v>
      </c>
    </row>
    <row r="43" spans="2:126" ht="11.25" customHeight="1">
      <c r="B43" s="218"/>
      <c r="C43" s="163"/>
      <c r="D43" s="169" t="s">
        <v>615</v>
      </c>
      <c r="H43" s="146"/>
      <c r="I43" s="13"/>
      <c r="J43" s="171">
        <f t="shared" si="12"/>
        <v>0</v>
      </c>
      <c r="K43" s="98"/>
      <c r="L43" s="171">
        <f>SUMIF('CF(M)'!$L$11:$EQ$11,L$6,'CF(M)'!$L48:$EQ48)</f>
        <v>0</v>
      </c>
      <c r="M43" s="171">
        <f>SUMIF('CF(M)'!$L$11:$EQ$11,M$6,'CF(M)'!$L48:$EQ48)</f>
        <v>0</v>
      </c>
      <c r="N43" s="171">
        <f>SUMIF('CF(M)'!$L$11:$EQ$11,N$6,'CF(M)'!$L48:$EQ48)</f>
        <v>0</v>
      </c>
      <c r="O43" s="171">
        <f>SUMIF('CF(M)'!$L$11:$EQ$11,O$6,'CF(M)'!$L48:$EQ48)</f>
        <v>0</v>
      </c>
      <c r="P43" s="171">
        <f>SUMIF('CF(M)'!$L$11:$EQ$11,P$6,'CF(M)'!$L48:$EQ48)</f>
        <v>0</v>
      </c>
      <c r="Q43" s="171">
        <f>SUMIF('CF(M)'!$L$11:$EQ$11,Q$6,'CF(M)'!$L48:$EQ48)</f>
        <v>0</v>
      </c>
      <c r="R43" s="171">
        <f>SUMIF('CF(M)'!$L$11:$EQ$11,R$6,'CF(M)'!$L48:$EQ48)</f>
        <v>0</v>
      </c>
      <c r="S43" s="171">
        <f>SUMIF('CF(M)'!$L$11:$EQ$11,S$6,'CF(M)'!$L48:$EQ48)</f>
        <v>0</v>
      </c>
      <c r="T43" s="171">
        <f>SUMIF('CF(M)'!$L$11:$EQ$11,T$6,'CF(M)'!$L48:$EQ48)</f>
        <v>0</v>
      </c>
      <c r="U43" s="171">
        <f>SUMIF('CF(M)'!$L$11:$EQ$11,U$6,'CF(M)'!$L48:$EQ48)</f>
        <v>0</v>
      </c>
      <c r="V43" s="171">
        <f>SUMIF('CF(M)'!$L$11:$EQ$11,V$6,'CF(M)'!$L48:$EQ48)</f>
        <v>0</v>
      </c>
      <c r="W43" s="171">
        <f>SUMIF('CF(M)'!$L$11:$EQ$11,W$6,'CF(M)'!$L48:$EQ48)</f>
        <v>0</v>
      </c>
      <c r="X43" s="171">
        <f>SUMIF('CF(M)'!$L$11:$EQ$11,X$6,'CF(M)'!$L48:$EQ48)</f>
        <v>0</v>
      </c>
      <c r="Y43" s="171">
        <f>SUMIF('CF(M)'!$L$11:$EQ$11,Y$6,'CF(M)'!$L48:$EQ48)</f>
        <v>0</v>
      </c>
      <c r="Z43" s="171">
        <f>SUMIF('CF(M)'!$L$11:$EQ$11,Z$6,'CF(M)'!$L48:$EQ48)</f>
        <v>0</v>
      </c>
      <c r="AA43" s="171">
        <f>SUMIF('CF(M)'!$L$11:$EQ$11,AA$6,'CF(M)'!$L48:$EQ48)</f>
        <v>0</v>
      </c>
      <c r="AB43" s="171">
        <f>SUMIF('CF(M)'!$L$11:$EQ$11,AB$6,'CF(M)'!$L48:$EQ48)</f>
        <v>0</v>
      </c>
      <c r="AC43" s="171">
        <f>SUMIF('CF(M)'!$L$11:$EQ$11,AC$6,'CF(M)'!$L48:$EQ48)</f>
        <v>0</v>
      </c>
      <c r="AD43" s="171">
        <f>SUMIF('CF(M)'!$L$11:$EQ$11,AD$6,'CF(M)'!$L48:$EQ48)</f>
        <v>0</v>
      </c>
      <c r="AE43" s="171">
        <f>SUMIF('CF(M)'!$L$11:$EQ$11,AE$6,'CF(M)'!$L48:$EQ48)</f>
        <v>0</v>
      </c>
      <c r="AF43" s="171">
        <f>SUMIF('CF(M)'!$L$11:$EQ$11,AF$6,'CF(M)'!$L48:$EQ48)</f>
        <v>0</v>
      </c>
      <c r="AG43" s="171">
        <f>SUMIF('CF(M)'!$L$11:$EQ$11,AG$6,'CF(M)'!$L48:$EQ48)</f>
        <v>0</v>
      </c>
      <c r="AH43" s="171">
        <f>SUMIF('CF(M)'!$L$11:$EQ$11,AH$6,'CF(M)'!$L48:$EQ48)</f>
        <v>0</v>
      </c>
      <c r="AI43" s="171">
        <f>SUMIF('CF(M)'!$L$11:$EQ$11,AI$6,'CF(M)'!$L48:$EQ48)</f>
        <v>0</v>
      </c>
      <c r="AJ43" s="171">
        <f>SUMIF('CF(M)'!$L$11:$EQ$11,AJ$6,'CF(M)'!$L48:$EQ48)</f>
        <v>0</v>
      </c>
      <c r="AK43" s="171">
        <f>SUMIF('CF(M)'!$L$11:$EQ$11,AK$6,'CF(M)'!$L48:$EQ48)</f>
        <v>0</v>
      </c>
      <c r="AL43" s="171">
        <f>SUMIF('CF(M)'!$L$11:$EQ$11,AL$6,'CF(M)'!$L48:$EQ48)</f>
        <v>0</v>
      </c>
      <c r="AM43" s="171">
        <f>SUMIF('CF(M)'!$L$11:$EQ$11,AM$6,'CF(M)'!$L48:$EQ48)</f>
        <v>0</v>
      </c>
      <c r="AN43" s="171">
        <f>SUMIF('CF(M)'!$L$11:$EQ$11,AN$6,'CF(M)'!$L48:$EQ48)</f>
        <v>0</v>
      </c>
      <c r="AO43" s="171">
        <f>SUMIF('CF(M)'!$L$11:$EQ$11,AO$6,'CF(M)'!$L48:$EQ48)</f>
        <v>0</v>
      </c>
      <c r="AP43" s="171">
        <f>SUMIF('CF(M)'!$L$11:$EQ$11,AP$6,'CF(M)'!$L48:$EQ48)</f>
        <v>0</v>
      </c>
      <c r="AQ43" s="171">
        <f>SUMIF('CF(M)'!$L$11:$EQ$11,AQ$6,'CF(M)'!$L48:$EQ48)</f>
        <v>0</v>
      </c>
      <c r="AR43" s="171">
        <f>SUMIF('CF(M)'!$L$11:$EQ$11,AR$6,'CF(M)'!$L48:$EQ48)</f>
        <v>0</v>
      </c>
      <c r="AS43" s="171">
        <f>SUMIF('CF(M)'!$L$11:$EQ$11,AS$6,'CF(M)'!$L48:$EQ48)</f>
        <v>0</v>
      </c>
      <c r="AT43" s="171">
        <f>SUMIF('CF(M)'!$L$11:$EQ$11,AT$6,'CF(M)'!$L48:$EQ48)</f>
        <v>0</v>
      </c>
      <c r="AU43" s="171">
        <f>SUMIF('CF(M)'!$L$11:$EQ$11,AU$6,'CF(M)'!$L48:$EQ48)</f>
        <v>0</v>
      </c>
      <c r="AV43" s="171">
        <f>SUMIF('CF(M)'!$L$11:$EQ$11,AV$6,'CF(M)'!$L48:$EQ48)</f>
        <v>0</v>
      </c>
      <c r="AW43" s="171">
        <f>SUMIF('CF(M)'!$L$11:$EQ$11,AW$6,'CF(M)'!$L48:$EQ48)</f>
        <v>0</v>
      </c>
      <c r="AX43" s="171">
        <f>SUMIF('CF(M)'!$L$11:$EQ$11,AX$6,'CF(M)'!$L48:$EQ48)</f>
        <v>0</v>
      </c>
      <c r="AY43" s="171">
        <f>SUMIF('CF(M)'!$L$11:$EQ$11,AY$6,'CF(M)'!$L48:$EQ48)</f>
        <v>0</v>
      </c>
      <c r="AZ43" s="171">
        <f>SUMIF('CF(M)'!$L$11:$EQ$11,AZ$6,'CF(M)'!$L48:$EQ48)</f>
        <v>0</v>
      </c>
      <c r="BA43" s="171">
        <f>SUMIF('CF(M)'!$L$11:$EQ$11,BA$6,'CF(M)'!$L48:$EQ48)</f>
        <v>0</v>
      </c>
      <c r="BB43" s="171">
        <f>SUMIF('CF(M)'!$L$11:$EQ$11,BB$6,'CF(M)'!$L48:$EQ48)</f>
        <v>0</v>
      </c>
      <c r="BC43" s="171">
        <f>SUMIF('CF(M)'!$L$11:$EQ$11,BC$6,'CF(M)'!$L48:$EQ48)</f>
        <v>0</v>
      </c>
      <c r="BD43" s="171">
        <f>SUMIF('CF(M)'!$L$11:$EQ$11,BD$6,'CF(M)'!$L48:$EQ48)</f>
        <v>0</v>
      </c>
      <c r="BE43" s="171">
        <f>SUMIF('CF(M)'!$L$11:$EQ$11,BE$6,'CF(M)'!$L48:$EQ48)</f>
        <v>0</v>
      </c>
      <c r="BF43" s="171">
        <f>SUMIF('CF(M)'!$L$11:$EQ$11,BF$6,'CF(M)'!$L48:$EQ48)</f>
        <v>0</v>
      </c>
      <c r="BG43" s="171">
        <f>SUMIF('CF(M)'!$L$11:$EQ$11,BG$6,'CF(M)'!$L48:$EQ48)</f>
        <v>0</v>
      </c>
      <c r="BH43" s="171">
        <f>SUMIF('CF(M)'!$L$11:$EQ$11,BH$6,'CF(M)'!$L48:$EQ48)</f>
        <v>0</v>
      </c>
      <c r="BI43" s="171">
        <f>SUMIF('CF(M)'!$L$11:$EQ$11,BI$6,'CF(M)'!$L48:$EQ48)</f>
        <v>0</v>
      </c>
      <c r="BJ43" s="171">
        <f>SUMIF('CF(M)'!$L$11:$EQ$11,BJ$6,'CF(M)'!$L48:$EQ48)</f>
        <v>0</v>
      </c>
      <c r="BK43" s="171">
        <f>SUMIF('CF(M)'!$L$11:$EQ$11,BK$6,'CF(M)'!$L48:$EQ48)</f>
        <v>0</v>
      </c>
      <c r="BL43" s="171">
        <f>SUMIF('CF(M)'!$L$11:$EQ$11,BL$6,'CF(M)'!$L48:$EQ48)</f>
        <v>0</v>
      </c>
      <c r="BM43" s="171">
        <f>SUMIF('CF(M)'!$L$11:$EQ$11,BM$6,'CF(M)'!$L48:$EQ48)</f>
        <v>0</v>
      </c>
      <c r="BN43" s="171">
        <f>SUMIF('CF(M)'!$L$11:$EQ$11,BN$6,'CF(M)'!$L48:$EQ48)</f>
        <v>0</v>
      </c>
      <c r="BO43" s="171">
        <f>SUMIF('CF(M)'!$L$11:$EQ$11,BO$6,'CF(M)'!$L48:$EQ48)</f>
        <v>0</v>
      </c>
      <c r="BP43" s="171">
        <f>SUMIF('CF(M)'!$L$11:$EQ$11,BP$6,'CF(M)'!$L48:$EQ48)</f>
        <v>0</v>
      </c>
      <c r="BQ43" s="171">
        <f>SUMIF('CF(M)'!$L$11:$EQ$11,BQ$6,'CF(M)'!$L48:$EQ48)</f>
        <v>0</v>
      </c>
      <c r="BR43" s="171">
        <f>SUMIF('CF(M)'!$L$11:$EQ$11,BR$6,'CF(M)'!$L48:$EQ48)</f>
        <v>0</v>
      </c>
      <c r="BS43" s="171">
        <f>SUMIF('CF(M)'!$L$11:$EQ$11,BS$6,'CF(M)'!$L48:$EQ48)</f>
        <v>0</v>
      </c>
      <c r="BT43" s="171">
        <f>SUMIF('CF(M)'!$L$11:$EQ$11,BT$6,'CF(M)'!$L48:$EQ48)</f>
        <v>0</v>
      </c>
      <c r="BU43" s="171">
        <f>SUMIF('CF(M)'!$L$11:$EQ$11,BU$6,'CF(M)'!$L48:$EQ48)</f>
        <v>0</v>
      </c>
      <c r="BV43" s="171">
        <f>SUMIF('CF(M)'!$L$11:$EQ$11,BV$6,'CF(M)'!$L48:$EQ48)</f>
        <v>0</v>
      </c>
      <c r="BW43" s="171">
        <f>SUMIF('CF(M)'!$L$11:$EQ$11,BW$6,'CF(M)'!$L48:$EQ48)</f>
        <v>0</v>
      </c>
      <c r="BX43" s="171">
        <f>SUMIF('CF(M)'!$L$11:$EQ$11,BX$6,'CF(M)'!$L48:$EQ48)</f>
        <v>0</v>
      </c>
      <c r="BY43" s="171">
        <f>SUMIF('CF(M)'!$L$11:$EQ$11,BY$6,'CF(M)'!$L48:$EQ48)</f>
        <v>0</v>
      </c>
      <c r="BZ43" s="171">
        <f>SUMIF('CF(M)'!$L$11:$EQ$11,BZ$6,'CF(M)'!$L48:$EQ48)</f>
        <v>0</v>
      </c>
      <c r="CA43" s="171">
        <f>SUMIF('CF(M)'!$L$11:$EQ$11,CA$6,'CF(M)'!$L48:$EQ48)</f>
        <v>0</v>
      </c>
      <c r="CB43" s="171">
        <f>SUMIF('CF(M)'!$L$11:$EQ$11,CB$6,'CF(M)'!$L48:$EQ48)</f>
        <v>0</v>
      </c>
      <c r="CC43" s="171">
        <f>SUMIF('CF(M)'!$L$11:$EQ$11,CC$6,'CF(M)'!$L48:$EQ48)</f>
        <v>0</v>
      </c>
      <c r="CD43" s="171">
        <f>SUMIF('CF(M)'!$L$11:$EQ$11,CD$6,'CF(M)'!$L48:$EQ48)</f>
        <v>0</v>
      </c>
      <c r="CE43" s="171">
        <f>SUMIF('CF(M)'!$L$11:$EQ$11,CE$6,'CF(M)'!$L48:$EQ48)</f>
        <v>0</v>
      </c>
      <c r="CF43" s="171">
        <f>SUMIF('CF(M)'!$L$11:$EQ$11,CF$6,'CF(M)'!$L48:$EQ48)</f>
        <v>0</v>
      </c>
      <c r="CG43" s="171">
        <f>SUMIF('CF(M)'!$L$11:$EQ$11,CG$6,'CF(M)'!$L48:$EQ48)</f>
        <v>0</v>
      </c>
      <c r="CH43" s="171">
        <f>SUMIF('CF(M)'!$L$11:$EQ$11,CH$6,'CF(M)'!$L48:$EQ48)</f>
        <v>0</v>
      </c>
      <c r="CI43" s="171">
        <f>SUMIF('CF(M)'!$L$11:$EQ$11,CI$6,'CF(M)'!$L48:$EQ48)</f>
        <v>0</v>
      </c>
      <c r="CJ43" s="171">
        <f>SUMIF('CF(M)'!$L$11:$EQ$11,CJ$6,'CF(M)'!$L48:$EQ48)</f>
        <v>0</v>
      </c>
      <c r="CK43" s="171">
        <f>SUMIF('CF(M)'!$L$11:$EQ$11,CK$6,'CF(M)'!$L48:$EQ48)</f>
        <v>0</v>
      </c>
      <c r="CL43" s="171">
        <f>SUMIF('CF(M)'!$L$11:$EQ$11,CL$6,'CF(M)'!$L48:$EQ48)</f>
        <v>0</v>
      </c>
      <c r="CM43" s="171">
        <f>SUMIF('CF(M)'!$L$11:$EQ$11,CM$6,'CF(M)'!$L48:$EQ48)</f>
        <v>0</v>
      </c>
      <c r="CN43" s="171">
        <f>SUMIF('CF(M)'!$L$11:$EQ$11,CN$6,'CF(M)'!$L48:$EQ48)</f>
        <v>0</v>
      </c>
      <c r="CO43" s="171">
        <f>SUMIF('CF(M)'!$L$11:$EQ$11,CO$6,'CF(M)'!$L48:$EQ48)</f>
        <v>0</v>
      </c>
      <c r="CP43" s="171">
        <f>SUMIF('CF(M)'!$L$11:$EQ$11,CP$6,'CF(M)'!$L48:$EQ48)</f>
        <v>0</v>
      </c>
      <c r="CQ43" s="171">
        <f>SUMIF('CF(M)'!$L$11:$EQ$11,CQ$6,'CF(M)'!$L48:$EQ48)</f>
        <v>0</v>
      </c>
      <c r="CR43" s="171">
        <f>SUMIF('CF(M)'!$L$11:$EQ$11,CR$6,'CF(M)'!$L48:$EQ48)</f>
        <v>0</v>
      </c>
      <c r="CS43" s="171">
        <f>SUMIF('CF(M)'!$L$11:$EQ$11,CS$6,'CF(M)'!$L48:$EQ48)</f>
        <v>0</v>
      </c>
      <c r="CT43" s="171">
        <f>SUMIF('CF(M)'!$L$11:$EQ$11,CT$6,'CF(M)'!$L48:$EQ48)</f>
        <v>0</v>
      </c>
      <c r="CU43" s="171">
        <f>SUMIF('CF(M)'!$L$11:$EQ$11,CU$6,'CF(M)'!$L48:$EQ48)</f>
        <v>0</v>
      </c>
      <c r="CV43" s="171">
        <f>SUMIF('CF(M)'!$L$11:$EQ$11,CV$6,'CF(M)'!$L48:$EQ48)</f>
        <v>0</v>
      </c>
      <c r="CW43" s="171">
        <f>SUMIF('CF(M)'!$L$11:$EQ$11,CW$6,'CF(M)'!$L48:$EQ48)</f>
        <v>0</v>
      </c>
      <c r="CX43" s="171">
        <f>SUMIF('CF(M)'!$L$11:$EQ$11,CX$6,'CF(M)'!$L48:$EQ48)</f>
        <v>0</v>
      </c>
      <c r="CY43" s="171">
        <f>SUMIF('CF(M)'!$L$11:$EQ$11,CY$6,'CF(M)'!$L48:$EQ48)</f>
        <v>0</v>
      </c>
      <c r="CZ43" s="171">
        <f>SUMIF('CF(M)'!$L$11:$EQ$11,CZ$6,'CF(M)'!$L48:$EQ48)</f>
        <v>0</v>
      </c>
      <c r="DA43" s="171">
        <f>SUMIF('CF(M)'!$L$11:$EQ$11,DA$6,'CF(M)'!$L48:$EQ48)</f>
        <v>0</v>
      </c>
      <c r="DB43" s="171">
        <f>SUMIF('CF(M)'!$L$11:$EQ$11,DB$6,'CF(M)'!$L48:$EQ48)</f>
        <v>0</v>
      </c>
      <c r="DC43" s="171">
        <f>SUMIF('CF(M)'!$L$11:$EQ$11,DC$6,'CF(M)'!$L48:$EQ48)</f>
        <v>0</v>
      </c>
      <c r="DD43" s="171">
        <f>SUMIF('CF(M)'!$L$11:$EQ$11,DD$6,'CF(M)'!$L48:$EQ48)</f>
        <v>0</v>
      </c>
      <c r="DE43" s="171">
        <f>SUMIF('CF(M)'!$L$11:$EQ$11,DE$6,'CF(M)'!$L48:$EQ48)</f>
        <v>0</v>
      </c>
      <c r="DF43" s="171">
        <f>SUMIF('CF(M)'!$L$11:$EQ$11,DF$6,'CF(M)'!$L48:$EQ48)</f>
        <v>0</v>
      </c>
      <c r="DG43" s="171">
        <f>SUMIF('CF(M)'!$L$11:$EQ$11,DG$6,'CF(M)'!$L48:$EQ48)</f>
        <v>0</v>
      </c>
      <c r="DH43" s="171">
        <f>SUMIF('CF(M)'!$L$11:$EQ$11,DH$6,'CF(M)'!$L48:$EQ48)</f>
        <v>0</v>
      </c>
      <c r="DI43" s="171">
        <f>SUMIF('CF(M)'!$L$11:$EQ$11,DI$6,'CF(M)'!$L48:$EQ48)</f>
        <v>0</v>
      </c>
      <c r="DJ43" s="171">
        <f>SUMIF('CF(M)'!$L$11:$EQ$11,DJ$6,'CF(M)'!$L48:$EQ48)</f>
        <v>0</v>
      </c>
      <c r="DK43" s="171">
        <f>SUMIF('CF(M)'!$L$11:$EQ$11,DK$6,'CF(M)'!$L48:$EQ48)</f>
        <v>0</v>
      </c>
      <c r="DL43" s="171">
        <f>SUMIF('CF(M)'!$L$11:$EQ$11,DL$6,'CF(M)'!$L48:$EQ48)</f>
        <v>0</v>
      </c>
      <c r="DM43" s="171">
        <f>SUMIF('CF(M)'!$L$11:$EQ$11,DM$6,'CF(M)'!$L48:$EQ48)</f>
        <v>0</v>
      </c>
      <c r="DN43" s="171">
        <f>SUMIF('CF(M)'!$L$11:$EQ$11,DN$6,'CF(M)'!$L48:$EQ48)</f>
        <v>0</v>
      </c>
      <c r="DO43" s="171">
        <f>SUMIF('CF(M)'!$L$11:$EQ$11,DO$6,'CF(M)'!$L48:$EQ48)</f>
        <v>0</v>
      </c>
      <c r="DP43" s="171">
        <f>SUMIF('CF(M)'!$L$11:$EQ$11,DP$6,'CF(M)'!$L48:$EQ48)</f>
        <v>0</v>
      </c>
      <c r="DQ43" s="171">
        <f>SUMIF('CF(M)'!$L$11:$EQ$11,DQ$6,'CF(M)'!$L48:$EQ48)</f>
        <v>0</v>
      </c>
      <c r="DR43" s="171">
        <f>SUMIF('CF(M)'!$L$11:$EQ$11,DR$6,'CF(M)'!$L48:$EQ48)</f>
        <v>0</v>
      </c>
      <c r="DS43" s="171">
        <f>SUMIF('CF(M)'!$L$11:$EQ$11,DS$6,'CF(M)'!$L48:$EQ48)</f>
        <v>0</v>
      </c>
      <c r="DT43" s="171">
        <f>SUMIF('CF(M)'!$L$11:$EQ$11,DT$6,'CF(M)'!$L48:$EQ48)</f>
        <v>0</v>
      </c>
      <c r="DU43" s="171">
        <f>SUMIF('CF(M)'!$L$11:$EQ$11,DU$6,'CF(M)'!$L48:$EQ48)</f>
        <v>0</v>
      </c>
      <c r="DV43" s="171">
        <f>SUMIF('CF(M)'!$L$11:$EQ$11,DV$6,'CF(M)'!$L48:$EQ48)</f>
        <v>0</v>
      </c>
    </row>
    <row r="44" spans="2:126" ht="11.25" customHeight="1">
      <c r="B44" s="218"/>
      <c r="C44" s="158" t="s">
        <v>194</v>
      </c>
      <c r="D44" s="159"/>
      <c r="E44" s="159"/>
      <c r="F44" s="159"/>
      <c r="G44" s="159"/>
      <c r="H44" s="160"/>
      <c r="I44" s="219"/>
      <c r="J44" s="220">
        <f>SUM(J45:J48)</f>
        <v>0</v>
      </c>
      <c r="K44" s="98"/>
      <c r="L44" s="162">
        <f>SUM(L45:L48)</f>
        <v>-12856669.630531998</v>
      </c>
      <c r="M44" s="162">
        <f t="shared" ref="M44:BX44" si="19">SUM(M45:M48)</f>
        <v>12800493.159896284</v>
      </c>
      <c r="N44" s="162">
        <f t="shared" si="19"/>
        <v>-21.4537922788586</v>
      </c>
      <c r="O44" s="162">
        <f t="shared" si="19"/>
        <v>-6876.4553143410303</v>
      </c>
      <c r="P44" s="162">
        <f t="shared" si="19"/>
        <v>6788.0562762297923</v>
      </c>
      <c r="Q44" s="162">
        <f t="shared" si="19"/>
        <v>-66.960539711668389</v>
      </c>
      <c r="R44" s="162">
        <f t="shared" si="19"/>
        <v>-82.154760116158286</v>
      </c>
      <c r="S44" s="162">
        <f t="shared" si="19"/>
        <v>-97.371647377556656</v>
      </c>
      <c r="T44" s="162">
        <f t="shared" si="19"/>
        <v>-7851.2675222336547</v>
      </c>
      <c r="U44" s="162">
        <f t="shared" si="19"/>
        <v>7610.7528104851081</v>
      </c>
      <c r="V44" s="162">
        <f t="shared" si="19"/>
        <v>56773.325125059084</v>
      </c>
      <c r="W44" s="162">
        <f t="shared" si="19"/>
        <v>0</v>
      </c>
      <c r="X44" s="162">
        <f t="shared" si="19"/>
        <v>0</v>
      </c>
      <c r="Y44" s="162">
        <f t="shared" si="19"/>
        <v>0</v>
      </c>
      <c r="Z44" s="162">
        <f t="shared" si="19"/>
        <v>0</v>
      </c>
      <c r="AA44" s="162">
        <f t="shared" si="19"/>
        <v>0</v>
      </c>
      <c r="AB44" s="162">
        <f t="shared" si="19"/>
        <v>0</v>
      </c>
      <c r="AC44" s="162">
        <f t="shared" si="19"/>
        <v>0</v>
      </c>
      <c r="AD44" s="162">
        <f t="shared" si="19"/>
        <v>0</v>
      </c>
      <c r="AE44" s="162">
        <f t="shared" si="19"/>
        <v>0</v>
      </c>
      <c r="AF44" s="162">
        <f t="shared" si="19"/>
        <v>0</v>
      </c>
      <c r="AG44" s="162">
        <f t="shared" si="19"/>
        <v>0</v>
      </c>
      <c r="AH44" s="162">
        <f t="shared" si="19"/>
        <v>0</v>
      </c>
      <c r="AI44" s="162">
        <f t="shared" si="19"/>
        <v>0</v>
      </c>
      <c r="AJ44" s="162">
        <f t="shared" si="19"/>
        <v>0</v>
      </c>
      <c r="AK44" s="162">
        <f t="shared" si="19"/>
        <v>0</v>
      </c>
      <c r="AL44" s="162">
        <f t="shared" si="19"/>
        <v>0</v>
      </c>
      <c r="AM44" s="162">
        <f t="shared" si="19"/>
        <v>0</v>
      </c>
      <c r="AN44" s="162">
        <f t="shared" si="19"/>
        <v>0</v>
      </c>
      <c r="AO44" s="162">
        <f t="shared" si="19"/>
        <v>0</v>
      </c>
      <c r="AP44" s="162">
        <f t="shared" si="19"/>
        <v>0</v>
      </c>
      <c r="AQ44" s="162">
        <f t="shared" si="19"/>
        <v>0</v>
      </c>
      <c r="AR44" s="162">
        <f t="shared" si="19"/>
        <v>0</v>
      </c>
      <c r="AS44" s="162">
        <f t="shared" si="19"/>
        <v>0</v>
      </c>
      <c r="AT44" s="162">
        <f t="shared" si="19"/>
        <v>0</v>
      </c>
      <c r="AU44" s="162">
        <f t="shared" si="19"/>
        <v>0</v>
      </c>
      <c r="AV44" s="162">
        <f t="shared" si="19"/>
        <v>0</v>
      </c>
      <c r="AW44" s="162">
        <f t="shared" si="19"/>
        <v>0</v>
      </c>
      <c r="AX44" s="162">
        <f t="shared" si="19"/>
        <v>0</v>
      </c>
      <c r="AY44" s="162">
        <f t="shared" si="19"/>
        <v>0</v>
      </c>
      <c r="AZ44" s="162">
        <f t="shared" si="19"/>
        <v>0</v>
      </c>
      <c r="BA44" s="162">
        <f t="shared" si="19"/>
        <v>0</v>
      </c>
      <c r="BB44" s="162">
        <f t="shared" si="19"/>
        <v>0</v>
      </c>
      <c r="BC44" s="162">
        <f t="shared" si="19"/>
        <v>0</v>
      </c>
      <c r="BD44" s="162">
        <f t="shared" si="19"/>
        <v>0</v>
      </c>
      <c r="BE44" s="162">
        <f t="shared" si="19"/>
        <v>0</v>
      </c>
      <c r="BF44" s="162">
        <f t="shared" si="19"/>
        <v>0</v>
      </c>
      <c r="BG44" s="162">
        <f t="shared" si="19"/>
        <v>0</v>
      </c>
      <c r="BH44" s="162">
        <f t="shared" si="19"/>
        <v>0</v>
      </c>
      <c r="BI44" s="162">
        <f t="shared" si="19"/>
        <v>0</v>
      </c>
      <c r="BJ44" s="162">
        <f t="shared" si="19"/>
        <v>0</v>
      </c>
      <c r="BK44" s="162">
        <f t="shared" si="19"/>
        <v>0</v>
      </c>
      <c r="BL44" s="162">
        <f t="shared" si="19"/>
        <v>0</v>
      </c>
      <c r="BM44" s="162">
        <f t="shared" si="19"/>
        <v>0</v>
      </c>
      <c r="BN44" s="162">
        <f t="shared" si="19"/>
        <v>0</v>
      </c>
      <c r="BO44" s="162">
        <f t="shared" si="19"/>
        <v>0</v>
      </c>
      <c r="BP44" s="162">
        <f t="shared" si="19"/>
        <v>0</v>
      </c>
      <c r="BQ44" s="162">
        <f t="shared" si="19"/>
        <v>0</v>
      </c>
      <c r="BR44" s="162">
        <f t="shared" si="19"/>
        <v>0</v>
      </c>
      <c r="BS44" s="162">
        <f t="shared" si="19"/>
        <v>0</v>
      </c>
      <c r="BT44" s="162">
        <f t="shared" si="19"/>
        <v>0</v>
      </c>
      <c r="BU44" s="162">
        <f t="shared" si="19"/>
        <v>0</v>
      </c>
      <c r="BV44" s="162">
        <f t="shared" si="19"/>
        <v>0</v>
      </c>
      <c r="BW44" s="162">
        <f t="shared" si="19"/>
        <v>0</v>
      </c>
      <c r="BX44" s="162">
        <f t="shared" si="19"/>
        <v>0</v>
      </c>
      <c r="BY44" s="162">
        <f t="shared" ref="BY44:DV44" si="20">SUM(BY45:BY48)</f>
        <v>0</v>
      </c>
      <c r="BZ44" s="162">
        <f t="shared" si="20"/>
        <v>0</v>
      </c>
      <c r="CA44" s="162">
        <f t="shared" si="20"/>
        <v>0</v>
      </c>
      <c r="CB44" s="162">
        <f t="shared" si="20"/>
        <v>0</v>
      </c>
      <c r="CC44" s="162">
        <f t="shared" si="20"/>
        <v>0</v>
      </c>
      <c r="CD44" s="162">
        <f t="shared" si="20"/>
        <v>0</v>
      </c>
      <c r="CE44" s="162">
        <f t="shared" si="20"/>
        <v>0</v>
      </c>
      <c r="CF44" s="162">
        <f t="shared" si="20"/>
        <v>0</v>
      </c>
      <c r="CG44" s="162">
        <f t="shared" si="20"/>
        <v>0</v>
      </c>
      <c r="CH44" s="162">
        <f t="shared" si="20"/>
        <v>0</v>
      </c>
      <c r="CI44" s="162">
        <f t="shared" si="20"/>
        <v>0</v>
      </c>
      <c r="CJ44" s="162">
        <f t="shared" si="20"/>
        <v>0</v>
      </c>
      <c r="CK44" s="162">
        <f t="shared" si="20"/>
        <v>0</v>
      </c>
      <c r="CL44" s="162">
        <f t="shared" si="20"/>
        <v>0</v>
      </c>
      <c r="CM44" s="162">
        <f t="shared" si="20"/>
        <v>0</v>
      </c>
      <c r="CN44" s="162">
        <f t="shared" si="20"/>
        <v>0</v>
      </c>
      <c r="CO44" s="162">
        <f t="shared" si="20"/>
        <v>0</v>
      </c>
      <c r="CP44" s="162">
        <f t="shared" si="20"/>
        <v>0</v>
      </c>
      <c r="CQ44" s="162">
        <f t="shared" si="20"/>
        <v>0</v>
      </c>
      <c r="CR44" s="162">
        <f t="shared" si="20"/>
        <v>0</v>
      </c>
      <c r="CS44" s="162">
        <f t="shared" si="20"/>
        <v>0</v>
      </c>
      <c r="CT44" s="162">
        <f t="shared" si="20"/>
        <v>0</v>
      </c>
      <c r="CU44" s="162">
        <f t="shared" si="20"/>
        <v>0</v>
      </c>
      <c r="CV44" s="162">
        <f t="shared" si="20"/>
        <v>0</v>
      </c>
      <c r="CW44" s="162">
        <f t="shared" si="20"/>
        <v>0</v>
      </c>
      <c r="CX44" s="162">
        <f t="shared" si="20"/>
        <v>0</v>
      </c>
      <c r="CY44" s="162">
        <f t="shared" si="20"/>
        <v>0</v>
      </c>
      <c r="CZ44" s="162">
        <f t="shared" si="20"/>
        <v>0</v>
      </c>
      <c r="DA44" s="162">
        <f t="shared" si="20"/>
        <v>0</v>
      </c>
      <c r="DB44" s="162">
        <f t="shared" si="20"/>
        <v>0</v>
      </c>
      <c r="DC44" s="162">
        <f t="shared" si="20"/>
        <v>0</v>
      </c>
      <c r="DD44" s="162">
        <f t="shared" si="20"/>
        <v>0</v>
      </c>
      <c r="DE44" s="162">
        <f t="shared" si="20"/>
        <v>0</v>
      </c>
      <c r="DF44" s="162">
        <f t="shared" si="20"/>
        <v>0</v>
      </c>
      <c r="DG44" s="162">
        <f t="shared" si="20"/>
        <v>0</v>
      </c>
      <c r="DH44" s="162">
        <f t="shared" si="20"/>
        <v>0</v>
      </c>
      <c r="DI44" s="162">
        <f t="shared" si="20"/>
        <v>0</v>
      </c>
      <c r="DJ44" s="162">
        <f t="shared" si="20"/>
        <v>0</v>
      </c>
      <c r="DK44" s="162">
        <f t="shared" si="20"/>
        <v>0</v>
      </c>
      <c r="DL44" s="162">
        <f t="shared" si="20"/>
        <v>0</v>
      </c>
      <c r="DM44" s="162">
        <f t="shared" si="20"/>
        <v>0</v>
      </c>
      <c r="DN44" s="162">
        <f t="shared" si="20"/>
        <v>0</v>
      </c>
      <c r="DO44" s="162">
        <f t="shared" si="20"/>
        <v>0</v>
      </c>
      <c r="DP44" s="162">
        <f t="shared" si="20"/>
        <v>0</v>
      </c>
      <c r="DQ44" s="162">
        <f t="shared" si="20"/>
        <v>0</v>
      </c>
      <c r="DR44" s="162">
        <f t="shared" si="20"/>
        <v>0</v>
      </c>
      <c r="DS44" s="162">
        <f t="shared" si="20"/>
        <v>0</v>
      </c>
      <c r="DT44" s="162">
        <f t="shared" si="20"/>
        <v>0</v>
      </c>
      <c r="DU44" s="162">
        <f t="shared" si="20"/>
        <v>0</v>
      </c>
      <c r="DV44" s="162">
        <f t="shared" si="20"/>
        <v>0</v>
      </c>
    </row>
    <row r="45" spans="2:126" ht="11.25" customHeight="1">
      <c r="B45" s="218"/>
      <c r="C45" s="163"/>
      <c r="D45" s="164" t="s">
        <v>195</v>
      </c>
      <c r="E45" s="165"/>
      <c r="F45" s="165"/>
      <c r="G45" s="165"/>
      <c r="H45" s="166"/>
      <c r="I45" s="221"/>
      <c r="J45" s="168">
        <f t="shared" si="12"/>
        <v>17198218.278469633</v>
      </c>
      <c r="K45" s="98"/>
      <c r="L45" s="168">
        <f>SUMIF('CF(M)'!$L$11:$EQ$11,L$6,'CF(M)'!$L50:$EQ50)</f>
        <v>0</v>
      </c>
      <c r="M45" s="168">
        <f>SUMIF('CF(M)'!$L$11:$EQ$11,M$6,'CF(M)'!$L50:$EQ50)</f>
        <v>1519415.700437234</v>
      </c>
      <c r="N45" s="168">
        <f>SUMIF('CF(M)'!$L$11:$EQ$11,N$6,'CF(M)'!$L50:$EQ50)</f>
        <v>1553991.6193481651</v>
      </c>
      <c r="O45" s="168">
        <f>SUMIF('CF(M)'!$L$11:$EQ$11,O$6,'CF(M)'!$L50:$EQ50)</f>
        <v>1122372.8896627519</v>
      </c>
      <c r="P45" s="168">
        <f>SUMIF('CF(M)'!$L$11:$EQ$11,P$6,'CF(M)'!$L50:$EQ50)</f>
        <v>1733982.8064365999</v>
      </c>
      <c r="Q45" s="168">
        <f>SUMIF('CF(M)'!$L$11:$EQ$11,Q$6,'CF(M)'!$L50:$EQ50)</f>
        <v>1778124.6802836354</v>
      </c>
      <c r="R45" s="168">
        <f>SUMIF('CF(M)'!$L$11:$EQ$11,R$6,'CF(M)'!$L50:$EQ50)</f>
        <v>1822381.0968907259</v>
      </c>
      <c r="S45" s="168">
        <f>SUMIF('CF(M)'!$L$11:$EQ$11,S$6,'CF(M)'!$L50:$EQ50)</f>
        <v>1867743.9239129946</v>
      </c>
      <c r="T45" s="168">
        <f>SUMIF('CF(M)'!$L$11:$EQ$11,T$6,'CF(M)'!$L50:$EQ50)</f>
        <v>1892145.8262863038</v>
      </c>
      <c r="U45" s="168">
        <f>SUMIF('CF(M)'!$L$11:$EQ$11,U$6,'CF(M)'!$L50:$EQ50)</f>
        <v>1929930.4870830562</v>
      </c>
      <c r="V45" s="168">
        <f>SUMIF('CF(M)'!$L$11:$EQ$11,V$6,'CF(M)'!$L50:$EQ50)</f>
        <v>1978129.2481281681</v>
      </c>
      <c r="W45" s="168">
        <f>SUMIF('CF(M)'!$L$11:$EQ$11,W$6,'CF(M)'!$L50:$EQ50)</f>
        <v>0</v>
      </c>
      <c r="X45" s="168">
        <f>SUMIF('CF(M)'!$L$11:$EQ$11,X$6,'CF(M)'!$L50:$EQ50)</f>
        <v>0</v>
      </c>
      <c r="Y45" s="168">
        <f>SUMIF('CF(M)'!$L$11:$EQ$11,Y$6,'CF(M)'!$L50:$EQ50)</f>
        <v>0</v>
      </c>
      <c r="Z45" s="168">
        <f>SUMIF('CF(M)'!$L$11:$EQ$11,Z$6,'CF(M)'!$L50:$EQ50)</f>
        <v>0</v>
      </c>
      <c r="AA45" s="168">
        <f>SUMIF('CF(M)'!$L$11:$EQ$11,AA$6,'CF(M)'!$L50:$EQ50)</f>
        <v>0</v>
      </c>
      <c r="AB45" s="168">
        <f>SUMIF('CF(M)'!$L$11:$EQ$11,AB$6,'CF(M)'!$L50:$EQ50)</f>
        <v>0</v>
      </c>
      <c r="AC45" s="168">
        <f>SUMIF('CF(M)'!$L$11:$EQ$11,AC$6,'CF(M)'!$L50:$EQ50)</f>
        <v>0</v>
      </c>
      <c r="AD45" s="168">
        <f>SUMIF('CF(M)'!$L$11:$EQ$11,AD$6,'CF(M)'!$L50:$EQ50)</f>
        <v>0</v>
      </c>
      <c r="AE45" s="168">
        <f>SUMIF('CF(M)'!$L$11:$EQ$11,AE$6,'CF(M)'!$L50:$EQ50)</f>
        <v>0</v>
      </c>
      <c r="AF45" s="168">
        <f>SUMIF('CF(M)'!$L$11:$EQ$11,AF$6,'CF(M)'!$L50:$EQ50)</f>
        <v>0</v>
      </c>
      <c r="AG45" s="168">
        <f>SUMIF('CF(M)'!$L$11:$EQ$11,AG$6,'CF(M)'!$L50:$EQ50)</f>
        <v>0</v>
      </c>
      <c r="AH45" s="168">
        <f>SUMIF('CF(M)'!$L$11:$EQ$11,AH$6,'CF(M)'!$L50:$EQ50)</f>
        <v>0</v>
      </c>
      <c r="AI45" s="168">
        <f>SUMIF('CF(M)'!$L$11:$EQ$11,AI$6,'CF(M)'!$L50:$EQ50)</f>
        <v>0</v>
      </c>
      <c r="AJ45" s="168">
        <f>SUMIF('CF(M)'!$L$11:$EQ$11,AJ$6,'CF(M)'!$L50:$EQ50)</f>
        <v>0</v>
      </c>
      <c r="AK45" s="168">
        <f>SUMIF('CF(M)'!$L$11:$EQ$11,AK$6,'CF(M)'!$L50:$EQ50)</f>
        <v>0</v>
      </c>
      <c r="AL45" s="168">
        <f>SUMIF('CF(M)'!$L$11:$EQ$11,AL$6,'CF(M)'!$L50:$EQ50)</f>
        <v>0</v>
      </c>
      <c r="AM45" s="168">
        <f>SUMIF('CF(M)'!$L$11:$EQ$11,AM$6,'CF(M)'!$L50:$EQ50)</f>
        <v>0</v>
      </c>
      <c r="AN45" s="168">
        <f>SUMIF('CF(M)'!$L$11:$EQ$11,AN$6,'CF(M)'!$L50:$EQ50)</f>
        <v>0</v>
      </c>
      <c r="AO45" s="168">
        <f>SUMIF('CF(M)'!$L$11:$EQ$11,AO$6,'CF(M)'!$L50:$EQ50)</f>
        <v>0</v>
      </c>
      <c r="AP45" s="168">
        <f>SUMIF('CF(M)'!$L$11:$EQ$11,AP$6,'CF(M)'!$L50:$EQ50)</f>
        <v>0</v>
      </c>
      <c r="AQ45" s="168">
        <f>SUMIF('CF(M)'!$L$11:$EQ$11,AQ$6,'CF(M)'!$L50:$EQ50)</f>
        <v>0</v>
      </c>
      <c r="AR45" s="168">
        <f>SUMIF('CF(M)'!$L$11:$EQ$11,AR$6,'CF(M)'!$L50:$EQ50)</f>
        <v>0</v>
      </c>
      <c r="AS45" s="168">
        <f>SUMIF('CF(M)'!$L$11:$EQ$11,AS$6,'CF(M)'!$L50:$EQ50)</f>
        <v>0</v>
      </c>
      <c r="AT45" s="168">
        <f>SUMIF('CF(M)'!$L$11:$EQ$11,AT$6,'CF(M)'!$L50:$EQ50)</f>
        <v>0</v>
      </c>
      <c r="AU45" s="168">
        <f>SUMIF('CF(M)'!$L$11:$EQ$11,AU$6,'CF(M)'!$L50:$EQ50)</f>
        <v>0</v>
      </c>
      <c r="AV45" s="168">
        <f>SUMIF('CF(M)'!$L$11:$EQ$11,AV$6,'CF(M)'!$L50:$EQ50)</f>
        <v>0</v>
      </c>
      <c r="AW45" s="168">
        <f>SUMIF('CF(M)'!$L$11:$EQ$11,AW$6,'CF(M)'!$L50:$EQ50)</f>
        <v>0</v>
      </c>
      <c r="AX45" s="168">
        <f>SUMIF('CF(M)'!$L$11:$EQ$11,AX$6,'CF(M)'!$L50:$EQ50)</f>
        <v>0</v>
      </c>
      <c r="AY45" s="168">
        <f>SUMIF('CF(M)'!$L$11:$EQ$11,AY$6,'CF(M)'!$L50:$EQ50)</f>
        <v>0</v>
      </c>
      <c r="AZ45" s="168">
        <f>SUMIF('CF(M)'!$L$11:$EQ$11,AZ$6,'CF(M)'!$L50:$EQ50)</f>
        <v>0</v>
      </c>
      <c r="BA45" s="168">
        <f>SUMIF('CF(M)'!$L$11:$EQ$11,BA$6,'CF(M)'!$L50:$EQ50)</f>
        <v>0</v>
      </c>
      <c r="BB45" s="168">
        <f>SUMIF('CF(M)'!$L$11:$EQ$11,BB$6,'CF(M)'!$L50:$EQ50)</f>
        <v>0</v>
      </c>
      <c r="BC45" s="168">
        <f>SUMIF('CF(M)'!$L$11:$EQ$11,BC$6,'CF(M)'!$L50:$EQ50)</f>
        <v>0</v>
      </c>
      <c r="BD45" s="168">
        <f>SUMIF('CF(M)'!$L$11:$EQ$11,BD$6,'CF(M)'!$L50:$EQ50)</f>
        <v>0</v>
      </c>
      <c r="BE45" s="168">
        <f>SUMIF('CF(M)'!$L$11:$EQ$11,BE$6,'CF(M)'!$L50:$EQ50)</f>
        <v>0</v>
      </c>
      <c r="BF45" s="168">
        <f>SUMIF('CF(M)'!$L$11:$EQ$11,BF$6,'CF(M)'!$L50:$EQ50)</f>
        <v>0</v>
      </c>
      <c r="BG45" s="168">
        <f>SUMIF('CF(M)'!$L$11:$EQ$11,BG$6,'CF(M)'!$L50:$EQ50)</f>
        <v>0</v>
      </c>
      <c r="BH45" s="168">
        <f>SUMIF('CF(M)'!$L$11:$EQ$11,BH$6,'CF(M)'!$L50:$EQ50)</f>
        <v>0</v>
      </c>
      <c r="BI45" s="168">
        <f>SUMIF('CF(M)'!$L$11:$EQ$11,BI$6,'CF(M)'!$L50:$EQ50)</f>
        <v>0</v>
      </c>
      <c r="BJ45" s="168">
        <f>SUMIF('CF(M)'!$L$11:$EQ$11,BJ$6,'CF(M)'!$L50:$EQ50)</f>
        <v>0</v>
      </c>
      <c r="BK45" s="168">
        <f>SUMIF('CF(M)'!$L$11:$EQ$11,BK$6,'CF(M)'!$L50:$EQ50)</f>
        <v>0</v>
      </c>
      <c r="BL45" s="168">
        <f>SUMIF('CF(M)'!$L$11:$EQ$11,BL$6,'CF(M)'!$L50:$EQ50)</f>
        <v>0</v>
      </c>
      <c r="BM45" s="168">
        <f>SUMIF('CF(M)'!$L$11:$EQ$11,BM$6,'CF(M)'!$L50:$EQ50)</f>
        <v>0</v>
      </c>
      <c r="BN45" s="168">
        <f>SUMIF('CF(M)'!$L$11:$EQ$11,BN$6,'CF(M)'!$L50:$EQ50)</f>
        <v>0</v>
      </c>
      <c r="BO45" s="168">
        <f>SUMIF('CF(M)'!$L$11:$EQ$11,BO$6,'CF(M)'!$L50:$EQ50)</f>
        <v>0</v>
      </c>
      <c r="BP45" s="168">
        <f>SUMIF('CF(M)'!$L$11:$EQ$11,BP$6,'CF(M)'!$L50:$EQ50)</f>
        <v>0</v>
      </c>
      <c r="BQ45" s="168">
        <f>SUMIF('CF(M)'!$L$11:$EQ$11,BQ$6,'CF(M)'!$L50:$EQ50)</f>
        <v>0</v>
      </c>
      <c r="BR45" s="168">
        <f>SUMIF('CF(M)'!$L$11:$EQ$11,BR$6,'CF(M)'!$L50:$EQ50)</f>
        <v>0</v>
      </c>
      <c r="BS45" s="168">
        <f>SUMIF('CF(M)'!$L$11:$EQ$11,BS$6,'CF(M)'!$L50:$EQ50)</f>
        <v>0</v>
      </c>
      <c r="BT45" s="168">
        <f>SUMIF('CF(M)'!$L$11:$EQ$11,BT$6,'CF(M)'!$L50:$EQ50)</f>
        <v>0</v>
      </c>
      <c r="BU45" s="168">
        <f>SUMIF('CF(M)'!$L$11:$EQ$11,BU$6,'CF(M)'!$L50:$EQ50)</f>
        <v>0</v>
      </c>
      <c r="BV45" s="168">
        <f>SUMIF('CF(M)'!$L$11:$EQ$11,BV$6,'CF(M)'!$L50:$EQ50)</f>
        <v>0</v>
      </c>
      <c r="BW45" s="168">
        <f>SUMIF('CF(M)'!$L$11:$EQ$11,BW$6,'CF(M)'!$L50:$EQ50)</f>
        <v>0</v>
      </c>
      <c r="BX45" s="168">
        <f>SUMIF('CF(M)'!$L$11:$EQ$11,BX$6,'CF(M)'!$L50:$EQ50)</f>
        <v>0</v>
      </c>
      <c r="BY45" s="168">
        <f>SUMIF('CF(M)'!$L$11:$EQ$11,BY$6,'CF(M)'!$L50:$EQ50)</f>
        <v>0</v>
      </c>
      <c r="BZ45" s="168">
        <f>SUMIF('CF(M)'!$L$11:$EQ$11,BZ$6,'CF(M)'!$L50:$EQ50)</f>
        <v>0</v>
      </c>
      <c r="CA45" s="168">
        <f>SUMIF('CF(M)'!$L$11:$EQ$11,CA$6,'CF(M)'!$L50:$EQ50)</f>
        <v>0</v>
      </c>
      <c r="CB45" s="168">
        <f>SUMIF('CF(M)'!$L$11:$EQ$11,CB$6,'CF(M)'!$L50:$EQ50)</f>
        <v>0</v>
      </c>
      <c r="CC45" s="168">
        <f>SUMIF('CF(M)'!$L$11:$EQ$11,CC$6,'CF(M)'!$L50:$EQ50)</f>
        <v>0</v>
      </c>
      <c r="CD45" s="168">
        <f>SUMIF('CF(M)'!$L$11:$EQ$11,CD$6,'CF(M)'!$L50:$EQ50)</f>
        <v>0</v>
      </c>
      <c r="CE45" s="168">
        <f>SUMIF('CF(M)'!$L$11:$EQ$11,CE$6,'CF(M)'!$L50:$EQ50)</f>
        <v>0</v>
      </c>
      <c r="CF45" s="168">
        <f>SUMIF('CF(M)'!$L$11:$EQ$11,CF$6,'CF(M)'!$L50:$EQ50)</f>
        <v>0</v>
      </c>
      <c r="CG45" s="168">
        <f>SUMIF('CF(M)'!$L$11:$EQ$11,CG$6,'CF(M)'!$L50:$EQ50)</f>
        <v>0</v>
      </c>
      <c r="CH45" s="168">
        <f>SUMIF('CF(M)'!$L$11:$EQ$11,CH$6,'CF(M)'!$L50:$EQ50)</f>
        <v>0</v>
      </c>
      <c r="CI45" s="168">
        <f>SUMIF('CF(M)'!$L$11:$EQ$11,CI$6,'CF(M)'!$L50:$EQ50)</f>
        <v>0</v>
      </c>
      <c r="CJ45" s="168">
        <f>SUMIF('CF(M)'!$L$11:$EQ$11,CJ$6,'CF(M)'!$L50:$EQ50)</f>
        <v>0</v>
      </c>
      <c r="CK45" s="168">
        <f>SUMIF('CF(M)'!$L$11:$EQ$11,CK$6,'CF(M)'!$L50:$EQ50)</f>
        <v>0</v>
      </c>
      <c r="CL45" s="168">
        <f>SUMIF('CF(M)'!$L$11:$EQ$11,CL$6,'CF(M)'!$L50:$EQ50)</f>
        <v>0</v>
      </c>
      <c r="CM45" s="168">
        <f>SUMIF('CF(M)'!$L$11:$EQ$11,CM$6,'CF(M)'!$L50:$EQ50)</f>
        <v>0</v>
      </c>
      <c r="CN45" s="168">
        <f>SUMIF('CF(M)'!$L$11:$EQ$11,CN$6,'CF(M)'!$L50:$EQ50)</f>
        <v>0</v>
      </c>
      <c r="CO45" s="168">
        <f>SUMIF('CF(M)'!$L$11:$EQ$11,CO$6,'CF(M)'!$L50:$EQ50)</f>
        <v>0</v>
      </c>
      <c r="CP45" s="168">
        <f>SUMIF('CF(M)'!$L$11:$EQ$11,CP$6,'CF(M)'!$L50:$EQ50)</f>
        <v>0</v>
      </c>
      <c r="CQ45" s="168">
        <f>SUMIF('CF(M)'!$L$11:$EQ$11,CQ$6,'CF(M)'!$L50:$EQ50)</f>
        <v>0</v>
      </c>
      <c r="CR45" s="168">
        <f>SUMIF('CF(M)'!$L$11:$EQ$11,CR$6,'CF(M)'!$L50:$EQ50)</f>
        <v>0</v>
      </c>
      <c r="CS45" s="168">
        <f>SUMIF('CF(M)'!$L$11:$EQ$11,CS$6,'CF(M)'!$L50:$EQ50)</f>
        <v>0</v>
      </c>
      <c r="CT45" s="168">
        <f>SUMIF('CF(M)'!$L$11:$EQ$11,CT$6,'CF(M)'!$L50:$EQ50)</f>
        <v>0</v>
      </c>
      <c r="CU45" s="168">
        <f>SUMIF('CF(M)'!$L$11:$EQ$11,CU$6,'CF(M)'!$L50:$EQ50)</f>
        <v>0</v>
      </c>
      <c r="CV45" s="168">
        <f>SUMIF('CF(M)'!$L$11:$EQ$11,CV$6,'CF(M)'!$L50:$EQ50)</f>
        <v>0</v>
      </c>
      <c r="CW45" s="168">
        <f>SUMIF('CF(M)'!$L$11:$EQ$11,CW$6,'CF(M)'!$L50:$EQ50)</f>
        <v>0</v>
      </c>
      <c r="CX45" s="168">
        <f>SUMIF('CF(M)'!$L$11:$EQ$11,CX$6,'CF(M)'!$L50:$EQ50)</f>
        <v>0</v>
      </c>
      <c r="CY45" s="168">
        <f>SUMIF('CF(M)'!$L$11:$EQ$11,CY$6,'CF(M)'!$L50:$EQ50)</f>
        <v>0</v>
      </c>
      <c r="CZ45" s="168">
        <f>SUMIF('CF(M)'!$L$11:$EQ$11,CZ$6,'CF(M)'!$L50:$EQ50)</f>
        <v>0</v>
      </c>
      <c r="DA45" s="168">
        <f>SUMIF('CF(M)'!$L$11:$EQ$11,DA$6,'CF(M)'!$L50:$EQ50)</f>
        <v>0</v>
      </c>
      <c r="DB45" s="168">
        <f>SUMIF('CF(M)'!$L$11:$EQ$11,DB$6,'CF(M)'!$L50:$EQ50)</f>
        <v>0</v>
      </c>
      <c r="DC45" s="168">
        <f>SUMIF('CF(M)'!$L$11:$EQ$11,DC$6,'CF(M)'!$L50:$EQ50)</f>
        <v>0</v>
      </c>
      <c r="DD45" s="168">
        <f>SUMIF('CF(M)'!$L$11:$EQ$11,DD$6,'CF(M)'!$L50:$EQ50)</f>
        <v>0</v>
      </c>
      <c r="DE45" s="168">
        <f>SUMIF('CF(M)'!$L$11:$EQ$11,DE$6,'CF(M)'!$L50:$EQ50)</f>
        <v>0</v>
      </c>
      <c r="DF45" s="168">
        <f>SUMIF('CF(M)'!$L$11:$EQ$11,DF$6,'CF(M)'!$L50:$EQ50)</f>
        <v>0</v>
      </c>
      <c r="DG45" s="168">
        <f>SUMIF('CF(M)'!$L$11:$EQ$11,DG$6,'CF(M)'!$L50:$EQ50)</f>
        <v>0</v>
      </c>
      <c r="DH45" s="168">
        <f>SUMIF('CF(M)'!$L$11:$EQ$11,DH$6,'CF(M)'!$L50:$EQ50)</f>
        <v>0</v>
      </c>
      <c r="DI45" s="168">
        <f>SUMIF('CF(M)'!$L$11:$EQ$11,DI$6,'CF(M)'!$L50:$EQ50)</f>
        <v>0</v>
      </c>
      <c r="DJ45" s="168">
        <f>SUMIF('CF(M)'!$L$11:$EQ$11,DJ$6,'CF(M)'!$L50:$EQ50)</f>
        <v>0</v>
      </c>
      <c r="DK45" s="168">
        <f>SUMIF('CF(M)'!$L$11:$EQ$11,DK$6,'CF(M)'!$L50:$EQ50)</f>
        <v>0</v>
      </c>
      <c r="DL45" s="168">
        <f>SUMIF('CF(M)'!$L$11:$EQ$11,DL$6,'CF(M)'!$L50:$EQ50)</f>
        <v>0</v>
      </c>
      <c r="DM45" s="168">
        <f>SUMIF('CF(M)'!$L$11:$EQ$11,DM$6,'CF(M)'!$L50:$EQ50)</f>
        <v>0</v>
      </c>
      <c r="DN45" s="168">
        <f>SUMIF('CF(M)'!$L$11:$EQ$11,DN$6,'CF(M)'!$L50:$EQ50)</f>
        <v>0</v>
      </c>
      <c r="DO45" s="168">
        <f>SUMIF('CF(M)'!$L$11:$EQ$11,DO$6,'CF(M)'!$L50:$EQ50)</f>
        <v>0</v>
      </c>
      <c r="DP45" s="168">
        <f>SUMIF('CF(M)'!$L$11:$EQ$11,DP$6,'CF(M)'!$L50:$EQ50)</f>
        <v>0</v>
      </c>
      <c r="DQ45" s="168">
        <f>SUMIF('CF(M)'!$L$11:$EQ$11,DQ$6,'CF(M)'!$L50:$EQ50)</f>
        <v>0</v>
      </c>
      <c r="DR45" s="168">
        <f>SUMIF('CF(M)'!$L$11:$EQ$11,DR$6,'CF(M)'!$L50:$EQ50)</f>
        <v>0</v>
      </c>
      <c r="DS45" s="168">
        <f>SUMIF('CF(M)'!$L$11:$EQ$11,DS$6,'CF(M)'!$L50:$EQ50)</f>
        <v>0</v>
      </c>
      <c r="DT45" s="168">
        <f>SUMIF('CF(M)'!$L$11:$EQ$11,DT$6,'CF(M)'!$L50:$EQ50)</f>
        <v>0</v>
      </c>
      <c r="DU45" s="168">
        <f>SUMIF('CF(M)'!$L$11:$EQ$11,DU$6,'CF(M)'!$L50:$EQ50)</f>
        <v>0</v>
      </c>
      <c r="DV45" s="168">
        <f>SUMIF('CF(M)'!$L$11:$EQ$11,DV$6,'CF(M)'!$L50:$EQ50)</f>
        <v>0</v>
      </c>
    </row>
    <row r="46" spans="2:126" ht="11.25" customHeight="1">
      <c r="B46" s="218"/>
      <c r="C46" s="163"/>
      <c r="D46" s="169" t="s">
        <v>9</v>
      </c>
      <c r="H46" s="146"/>
      <c r="I46" s="13"/>
      <c r="J46" s="171">
        <f t="shared" si="12"/>
        <v>-17198218.278469637</v>
      </c>
      <c r="K46" s="98"/>
      <c r="L46" s="171">
        <f>SUMIF('CF(M)'!$L$11:$EQ$11,L$6,'CF(M)'!$L51:$EQ51)</f>
        <v>0</v>
      </c>
      <c r="M46" s="171">
        <f>SUMIF('CF(M)'!$L$11:$EQ$11,M$6,'CF(M)'!$L51:$EQ51)</f>
        <v>-1519415.7004372342</v>
      </c>
      <c r="N46" s="171">
        <f>SUMIF('CF(M)'!$L$11:$EQ$11,N$6,'CF(M)'!$L51:$EQ51)</f>
        <v>-1553991.6193481651</v>
      </c>
      <c r="O46" s="171">
        <f>SUMIF('CF(M)'!$L$11:$EQ$11,O$6,'CF(M)'!$L51:$EQ51)</f>
        <v>-1122372.8896627517</v>
      </c>
      <c r="P46" s="171">
        <f>SUMIF('CF(M)'!$L$11:$EQ$11,P$6,'CF(M)'!$L51:$EQ51)</f>
        <v>-1733982.8064366002</v>
      </c>
      <c r="Q46" s="171">
        <f>SUMIF('CF(M)'!$L$11:$EQ$11,Q$6,'CF(M)'!$L51:$EQ51)</f>
        <v>-1778124.6802836354</v>
      </c>
      <c r="R46" s="171">
        <f>SUMIF('CF(M)'!$L$11:$EQ$11,R$6,'CF(M)'!$L51:$EQ51)</f>
        <v>-1822381.0968907261</v>
      </c>
      <c r="S46" s="171">
        <f>SUMIF('CF(M)'!$L$11:$EQ$11,S$6,'CF(M)'!$L51:$EQ51)</f>
        <v>-1867743.9239129946</v>
      </c>
      <c r="T46" s="171">
        <f>SUMIF('CF(M)'!$L$11:$EQ$11,T$6,'CF(M)'!$L51:$EQ51)</f>
        <v>-1892145.8262863033</v>
      </c>
      <c r="U46" s="171">
        <f>SUMIF('CF(M)'!$L$11:$EQ$11,U$6,'CF(M)'!$L51:$EQ51)</f>
        <v>-1929930.4870830569</v>
      </c>
      <c r="V46" s="171">
        <f>SUMIF('CF(M)'!$L$11:$EQ$11,V$6,'CF(M)'!$L51:$EQ51)</f>
        <v>-1978129.2481281681</v>
      </c>
      <c r="W46" s="171">
        <f>SUMIF('CF(M)'!$L$11:$EQ$11,W$6,'CF(M)'!$L51:$EQ51)</f>
        <v>0</v>
      </c>
      <c r="X46" s="171">
        <f>SUMIF('CF(M)'!$L$11:$EQ$11,X$6,'CF(M)'!$L51:$EQ51)</f>
        <v>0</v>
      </c>
      <c r="Y46" s="171">
        <f>SUMIF('CF(M)'!$L$11:$EQ$11,Y$6,'CF(M)'!$L51:$EQ51)</f>
        <v>0</v>
      </c>
      <c r="Z46" s="171">
        <f>SUMIF('CF(M)'!$L$11:$EQ$11,Z$6,'CF(M)'!$L51:$EQ51)</f>
        <v>0</v>
      </c>
      <c r="AA46" s="171">
        <f>SUMIF('CF(M)'!$L$11:$EQ$11,AA$6,'CF(M)'!$L51:$EQ51)</f>
        <v>0</v>
      </c>
      <c r="AB46" s="171">
        <f>SUMIF('CF(M)'!$L$11:$EQ$11,AB$6,'CF(M)'!$L51:$EQ51)</f>
        <v>0</v>
      </c>
      <c r="AC46" s="171">
        <f>SUMIF('CF(M)'!$L$11:$EQ$11,AC$6,'CF(M)'!$L51:$EQ51)</f>
        <v>0</v>
      </c>
      <c r="AD46" s="171">
        <f>SUMIF('CF(M)'!$L$11:$EQ$11,AD$6,'CF(M)'!$L51:$EQ51)</f>
        <v>0</v>
      </c>
      <c r="AE46" s="171">
        <f>SUMIF('CF(M)'!$L$11:$EQ$11,AE$6,'CF(M)'!$L51:$EQ51)</f>
        <v>0</v>
      </c>
      <c r="AF46" s="171">
        <f>SUMIF('CF(M)'!$L$11:$EQ$11,AF$6,'CF(M)'!$L51:$EQ51)</f>
        <v>0</v>
      </c>
      <c r="AG46" s="171">
        <f>SUMIF('CF(M)'!$L$11:$EQ$11,AG$6,'CF(M)'!$L51:$EQ51)</f>
        <v>0</v>
      </c>
      <c r="AH46" s="171">
        <f>SUMIF('CF(M)'!$L$11:$EQ$11,AH$6,'CF(M)'!$L51:$EQ51)</f>
        <v>0</v>
      </c>
      <c r="AI46" s="171">
        <f>SUMIF('CF(M)'!$L$11:$EQ$11,AI$6,'CF(M)'!$L51:$EQ51)</f>
        <v>0</v>
      </c>
      <c r="AJ46" s="171">
        <f>SUMIF('CF(M)'!$L$11:$EQ$11,AJ$6,'CF(M)'!$L51:$EQ51)</f>
        <v>0</v>
      </c>
      <c r="AK46" s="171">
        <f>SUMIF('CF(M)'!$L$11:$EQ$11,AK$6,'CF(M)'!$L51:$EQ51)</f>
        <v>0</v>
      </c>
      <c r="AL46" s="171">
        <f>SUMIF('CF(M)'!$L$11:$EQ$11,AL$6,'CF(M)'!$L51:$EQ51)</f>
        <v>0</v>
      </c>
      <c r="AM46" s="171">
        <f>SUMIF('CF(M)'!$L$11:$EQ$11,AM$6,'CF(M)'!$L51:$EQ51)</f>
        <v>0</v>
      </c>
      <c r="AN46" s="171">
        <f>SUMIF('CF(M)'!$L$11:$EQ$11,AN$6,'CF(M)'!$L51:$EQ51)</f>
        <v>0</v>
      </c>
      <c r="AO46" s="171">
        <f>SUMIF('CF(M)'!$L$11:$EQ$11,AO$6,'CF(M)'!$L51:$EQ51)</f>
        <v>0</v>
      </c>
      <c r="AP46" s="171">
        <f>SUMIF('CF(M)'!$L$11:$EQ$11,AP$6,'CF(M)'!$L51:$EQ51)</f>
        <v>0</v>
      </c>
      <c r="AQ46" s="171">
        <f>SUMIF('CF(M)'!$L$11:$EQ$11,AQ$6,'CF(M)'!$L51:$EQ51)</f>
        <v>0</v>
      </c>
      <c r="AR46" s="171">
        <f>SUMIF('CF(M)'!$L$11:$EQ$11,AR$6,'CF(M)'!$L51:$EQ51)</f>
        <v>0</v>
      </c>
      <c r="AS46" s="171">
        <f>SUMIF('CF(M)'!$L$11:$EQ$11,AS$6,'CF(M)'!$L51:$EQ51)</f>
        <v>0</v>
      </c>
      <c r="AT46" s="171">
        <f>SUMIF('CF(M)'!$L$11:$EQ$11,AT$6,'CF(M)'!$L51:$EQ51)</f>
        <v>0</v>
      </c>
      <c r="AU46" s="171">
        <f>SUMIF('CF(M)'!$L$11:$EQ$11,AU$6,'CF(M)'!$L51:$EQ51)</f>
        <v>0</v>
      </c>
      <c r="AV46" s="171">
        <f>SUMIF('CF(M)'!$L$11:$EQ$11,AV$6,'CF(M)'!$L51:$EQ51)</f>
        <v>0</v>
      </c>
      <c r="AW46" s="171">
        <f>SUMIF('CF(M)'!$L$11:$EQ$11,AW$6,'CF(M)'!$L51:$EQ51)</f>
        <v>0</v>
      </c>
      <c r="AX46" s="171">
        <f>SUMIF('CF(M)'!$L$11:$EQ$11,AX$6,'CF(M)'!$L51:$EQ51)</f>
        <v>0</v>
      </c>
      <c r="AY46" s="171">
        <f>SUMIF('CF(M)'!$L$11:$EQ$11,AY$6,'CF(M)'!$L51:$EQ51)</f>
        <v>0</v>
      </c>
      <c r="AZ46" s="171">
        <f>SUMIF('CF(M)'!$L$11:$EQ$11,AZ$6,'CF(M)'!$L51:$EQ51)</f>
        <v>0</v>
      </c>
      <c r="BA46" s="171">
        <f>SUMIF('CF(M)'!$L$11:$EQ$11,BA$6,'CF(M)'!$L51:$EQ51)</f>
        <v>0</v>
      </c>
      <c r="BB46" s="171">
        <f>SUMIF('CF(M)'!$L$11:$EQ$11,BB$6,'CF(M)'!$L51:$EQ51)</f>
        <v>0</v>
      </c>
      <c r="BC46" s="171">
        <f>SUMIF('CF(M)'!$L$11:$EQ$11,BC$6,'CF(M)'!$L51:$EQ51)</f>
        <v>0</v>
      </c>
      <c r="BD46" s="171">
        <f>SUMIF('CF(M)'!$L$11:$EQ$11,BD$6,'CF(M)'!$L51:$EQ51)</f>
        <v>0</v>
      </c>
      <c r="BE46" s="171">
        <f>SUMIF('CF(M)'!$L$11:$EQ$11,BE$6,'CF(M)'!$L51:$EQ51)</f>
        <v>0</v>
      </c>
      <c r="BF46" s="171">
        <f>SUMIF('CF(M)'!$L$11:$EQ$11,BF$6,'CF(M)'!$L51:$EQ51)</f>
        <v>0</v>
      </c>
      <c r="BG46" s="171">
        <f>SUMIF('CF(M)'!$L$11:$EQ$11,BG$6,'CF(M)'!$L51:$EQ51)</f>
        <v>0</v>
      </c>
      <c r="BH46" s="171">
        <f>SUMIF('CF(M)'!$L$11:$EQ$11,BH$6,'CF(M)'!$L51:$EQ51)</f>
        <v>0</v>
      </c>
      <c r="BI46" s="171">
        <f>SUMIF('CF(M)'!$L$11:$EQ$11,BI$6,'CF(M)'!$L51:$EQ51)</f>
        <v>0</v>
      </c>
      <c r="BJ46" s="171">
        <f>SUMIF('CF(M)'!$L$11:$EQ$11,BJ$6,'CF(M)'!$L51:$EQ51)</f>
        <v>0</v>
      </c>
      <c r="BK46" s="171">
        <f>SUMIF('CF(M)'!$L$11:$EQ$11,BK$6,'CF(M)'!$L51:$EQ51)</f>
        <v>0</v>
      </c>
      <c r="BL46" s="171">
        <f>SUMIF('CF(M)'!$L$11:$EQ$11,BL$6,'CF(M)'!$L51:$EQ51)</f>
        <v>0</v>
      </c>
      <c r="BM46" s="171">
        <f>SUMIF('CF(M)'!$L$11:$EQ$11,BM$6,'CF(M)'!$L51:$EQ51)</f>
        <v>0</v>
      </c>
      <c r="BN46" s="171">
        <f>SUMIF('CF(M)'!$L$11:$EQ$11,BN$6,'CF(M)'!$L51:$EQ51)</f>
        <v>0</v>
      </c>
      <c r="BO46" s="171">
        <f>SUMIF('CF(M)'!$L$11:$EQ$11,BO$6,'CF(M)'!$L51:$EQ51)</f>
        <v>0</v>
      </c>
      <c r="BP46" s="171">
        <f>SUMIF('CF(M)'!$L$11:$EQ$11,BP$6,'CF(M)'!$L51:$EQ51)</f>
        <v>0</v>
      </c>
      <c r="BQ46" s="171">
        <f>SUMIF('CF(M)'!$L$11:$EQ$11,BQ$6,'CF(M)'!$L51:$EQ51)</f>
        <v>0</v>
      </c>
      <c r="BR46" s="171">
        <f>SUMIF('CF(M)'!$L$11:$EQ$11,BR$6,'CF(M)'!$L51:$EQ51)</f>
        <v>0</v>
      </c>
      <c r="BS46" s="171">
        <f>SUMIF('CF(M)'!$L$11:$EQ$11,BS$6,'CF(M)'!$L51:$EQ51)</f>
        <v>0</v>
      </c>
      <c r="BT46" s="171">
        <f>SUMIF('CF(M)'!$L$11:$EQ$11,BT$6,'CF(M)'!$L51:$EQ51)</f>
        <v>0</v>
      </c>
      <c r="BU46" s="171">
        <f>SUMIF('CF(M)'!$L$11:$EQ$11,BU$6,'CF(M)'!$L51:$EQ51)</f>
        <v>0</v>
      </c>
      <c r="BV46" s="171">
        <f>SUMIF('CF(M)'!$L$11:$EQ$11,BV$6,'CF(M)'!$L51:$EQ51)</f>
        <v>0</v>
      </c>
      <c r="BW46" s="171">
        <f>SUMIF('CF(M)'!$L$11:$EQ$11,BW$6,'CF(M)'!$L51:$EQ51)</f>
        <v>0</v>
      </c>
      <c r="BX46" s="171">
        <f>SUMIF('CF(M)'!$L$11:$EQ$11,BX$6,'CF(M)'!$L51:$EQ51)</f>
        <v>0</v>
      </c>
      <c r="BY46" s="171">
        <f>SUMIF('CF(M)'!$L$11:$EQ$11,BY$6,'CF(M)'!$L51:$EQ51)</f>
        <v>0</v>
      </c>
      <c r="BZ46" s="171">
        <f>SUMIF('CF(M)'!$L$11:$EQ$11,BZ$6,'CF(M)'!$L51:$EQ51)</f>
        <v>0</v>
      </c>
      <c r="CA46" s="171">
        <f>SUMIF('CF(M)'!$L$11:$EQ$11,CA$6,'CF(M)'!$L51:$EQ51)</f>
        <v>0</v>
      </c>
      <c r="CB46" s="171">
        <f>SUMIF('CF(M)'!$L$11:$EQ$11,CB$6,'CF(M)'!$L51:$EQ51)</f>
        <v>0</v>
      </c>
      <c r="CC46" s="171">
        <f>SUMIF('CF(M)'!$L$11:$EQ$11,CC$6,'CF(M)'!$L51:$EQ51)</f>
        <v>0</v>
      </c>
      <c r="CD46" s="171">
        <f>SUMIF('CF(M)'!$L$11:$EQ$11,CD$6,'CF(M)'!$L51:$EQ51)</f>
        <v>0</v>
      </c>
      <c r="CE46" s="171">
        <f>SUMIF('CF(M)'!$L$11:$EQ$11,CE$6,'CF(M)'!$L51:$EQ51)</f>
        <v>0</v>
      </c>
      <c r="CF46" s="171">
        <f>SUMIF('CF(M)'!$L$11:$EQ$11,CF$6,'CF(M)'!$L51:$EQ51)</f>
        <v>0</v>
      </c>
      <c r="CG46" s="171">
        <f>SUMIF('CF(M)'!$L$11:$EQ$11,CG$6,'CF(M)'!$L51:$EQ51)</f>
        <v>0</v>
      </c>
      <c r="CH46" s="171">
        <f>SUMIF('CF(M)'!$L$11:$EQ$11,CH$6,'CF(M)'!$L51:$EQ51)</f>
        <v>0</v>
      </c>
      <c r="CI46" s="171">
        <f>SUMIF('CF(M)'!$L$11:$EQ$11,CI$6,'CF(M)'!$L51:$EQ51)</f>
        <v>0</v>
      </c>
      <c r="CJ46" s="171">
        <f>SUMIF('CF(M)'!$L$11:$EQ$11,CJ$6,'CF(M)'!$L51:$EQ51)</f>
        <v>0</v>
      </c>
      <c r="CK46" s="171">
        <f>SUMIF('CF(M)'!$L$11:$EQ$11,CK$6,'CF(M)'!$L51:$EQ51)</f>
        <v>0</v>
      </c>
      <c r="CL46" s="171">
        <f>SUMIF('CF(M)'!$L$11:$EQ$11,CL$6,'CF(M)'!$L51:$EQ51)</f>
        <v>0</v>
      </c>
      <c r="CM46" s="171">
        <f>SUMIF('CF(M)'!$L$11:$EQ$11,CM$6,'CF(M)'!$L51:$EQ51)</f>
        <v>0</v>
      </c>
      <c r="CN46" s="171">
        <f>SUMIF('CF(M)'!$L$11:$EQ$11,CN$6,'CF(M)'!$L51:$EQ51)</f>
        <v>0</v>
      </c>
      <c r="CO46" s="171">
        <f>SUMIF('CF(M)'!$L$11:$EQ$11,CO$6,'CF(M)'!$L51:$EQ51)</f>
        <v>0</v>
      </c>
      <c r="CP46" s="171">
        <f>SUMIF('CF(M)'!$L$11:$EQ$11,CP$6,'CF(M)'!$L51:$EQ51)</f>
        <v>0</v>
      </c>
      <c r="CQ46" s="171">
        <f>SUMIF('CF(M)'!$L$11:$EQ$11,CQ$6,'CF(M)'!$L51:$EQ51)</f>
        <v>0</v>
      </c>
      <c r="CR46" s="171">
        <f>SUMIF('CF(M)'!$L$11:$EQ$11,CR$6,'CF(M)'!$L51:$EQ51)</f>
        <v>0</v>
      </c>
      <c r="CS46" s="171">
        <f>SUMIF('CF(M)'!$L$11:$EQ$11,CS$6,'CF(M)'!$L51:$EQ51)</f>
        <v>0</v>
      </c>
      <c r="CT46" s="171">
        <f>SUMIF('CF(M)'!$L$11:$EQ$11,CT$6,'CF(M)'!$L51:$EQ51)</f>
        <v>0</v>
      </c>
      <c r="CU46" s="171">
        <f>SUMIF('CF(M)'!$L$11:$EQ$11,CU$6,'CF(M)'!$L51:$EQ51)</f>
        <v>0</v>
      </c>
      <c r="CV46" s="171">
        <f>SUMIF('CF(M)'!$L$11:$EQ$11,CV$6,'CF(M)'!$L51:$EQ51)</f>
        <v>0</v>
      </c>
      <c r="CW46" s="171">
        <f>SUMIF('CF(M)'!$L$11:$EQ$11,CW$6,'CF(M)'!$L51:$EQ51)</f>
        <v>0</v>
      </c>
      <c r="CX46" s="171">
        <f>SUMIF('CF(M)'!$L$11:$EQ$11,CX$6,'CF(M)'!$L51:$EQ51)</f>
        <v>0</v>
      </c>
      <c r="CY46" s="171">
        <f>SUMIF('CF(M)'!$L$11:$EQ$11,CY$6,'CF(M)'!$L51:$EQ51)</f>
        <v>0</v>
      </c>
      <c r="CZ46" s="171">
        <f>SUMIF('CF(M)'!$L$11:$EQ$11,CZ$6,'CF(M)'!$L51:$EQ51)</f>
        <v>0</v>
      </c>
      <c r="DA46" s="171">
        <f>SUMIF('CF(M)'!$L$11:$EQ$11,DA$6,'CF(M)'!$L51:$EQ51)</f>
        <v>0</v>
      </c>
      <c r="DB46" s="171">
        <f>SUMIF('CF(M)'!$L$11:$EQ$11,DB$6,'CF(M)'!$L51:$EQ51)</f>
        <v>0</v>
      </c>
      <c r="DC46" s="171">
        <f>SUMIF('CF(M)'!$L$11:$EQ$11,DC$6,'CF(M)'!$L51:$EQ51)</f>
        <v>0</v>
      </c>
      <c r="DD46" s="171">
        <f>SUMIF('CF(M)'!$L$11:$EQ$11,DD$6,'CF(M)'!$L51:$EQ51)</f>
        <v>0</v>
      </c>
      <c r="DE46" s="171">
        <f>SUMIF('CF(M)'!$L$11:$EQ$11,DE$6,'CF(M)'!$L51:$EQ51)</f>
        <v>0</v>
      </c>
      <c r="DF46" s="171">
        <f>SUMIF('CF(M)'!$L$11:$EQ$11,DF$6,'CF(M)'!$L51:$EQ51)</f>
        <v>0</v>
      </c>
      <c r="DG46" s="171">
        <f>SUMIF('CF(M)'!$L$11:$EQ$11,DG$6,'CF(M)'!$L51:$EQ51)</f>
        <v>0</v>
      </c>
      <c r="DH46" s="171">
        <f>SUMIF('CF(M)'!$L$11:$EQ$11,DH$6,'CF(M)'!$L51:$EQ51)</f>
        <v>0</v>
      </c>
      <c r="DI46" s="171">
        <f>SUMIF('CF(M)'!$L$11:$EQ$11,DI$6,'CF(M)'!$L51:$EQ51)</f>
        <v>0</v>
      </c>
      <c r="DJ46" s="171">
        <f>SUMIF('CF(M)'!$L$11:$EQ$11,DJ$6,'CF(M)'!$L51:$EQ51)</f>
        <v>0</v>
      </c>
      <c r="DK46" s="171">
        <f>SUMIF('CF(M)'!$L$11:$EQ$11,DK$6,'CF(M)'!$L51:$EQ51)</f>
        <v>0</v>
      </c>
      <c r="DL46" s="171">
        <f>SUMIF('CF(M)'!$L$11:$EQ$11,DL$6,'CF(M)'!$L51:$EQ51)</f>
        <v>0</v>
      </c>
      <c r="DM46" s="171">
        <f>SUMIF('CF(M)'!$L$11:$EQ$11,DM$6,'CF(M)'!$L51:$EQ51)</f>
        <v>0</v>
      </c>
      <c r="DN46" s="171">
        <f>SUMIF('CF(M)'!$L$11:$EQ$11,DN$6,'CF(M)'!$L51:$EQ51)</f>
        <v>0</v>
      </c>
      <c r="DO46" s="171">
        <f>SUMIF('CF(M)'!$L$11:$EQ$11,DO$6,'CF(M)'!$L51:$EQ51)</f>
        <v>0</v>
      </c>
      <c r="DP46" s="171">
        <f>SUMIF('CF(M)'!$L$11:$EQ$11,DP$6,'CF(M)'!$L51:$EQ51)</f>
        <v>0</v>
      </c>
      <c r="DQ46" s="171">
        <f>SUMIF('CF(M)'!$L$11:$EQ$11,DQ$6,'CF(M)'!$L51:$EQ51)</f>
        <v>0</v>
      </c>
      <c r="DR46" s="171">
        <f>SUMIF('CF(M)'!$L$11:$EQ$11,DR$6,'CF(M)'!$L51:$EQ51)</f>
        <v>0</v>
      </c>
      <c r="DS46" s="171">
        <f>SUMIF('CF(M)'!$L$11:$EQ$11,DS$6,'CF(M)'!$L51:$EQ51)</f>
        <v>0</v>
      </c>
      <c r="DT46" s="171">
        <f>SUMIF('CF(M)'!$L$11:$EQ$11,DT$6,'CF(M)'!$L51:$EQ51)</f>
        <v>0</v>
      </c>
      <c r="DU46" s="171">
        <f>SUMIF('CF(M)'!$L$11:$EQ$11,DU$6,'CF(M)'!$L51:$EQ51)</f>
        <v>0</v>
      </c>
      <c r="DV46" s="171">
        <f>SUMIF('CF(M)'!$L$11:$EQ$11,DV$6,'CF(M)'!$L51:$EQ51)</f>
        <v>0</v>
      </c>
    </row>
    <row r="47" spans="2:126" ht="11.25" customHeight="1">
      <c r="B47" s="218"/>
      <c r="C47" s="163"/>
      <c r="D47" s="169" t="s">
        <v>196</v>
      </c>
      <c r="H47" s="146"/>
      <c r="I47" s="13"/>
      <c r="J47" s="171">
        <f t="shared" si="12"/>
        <v>-15204106.771171087</v>
      </c>
      <c r="K47" s="98"/>
      <c r="L47" s="171">
        <f>SUMIF('CF(M)'!$L$11:$EQ$11,L$6,'CF(M)'!$L52:$EQ52)</f>
        <v>-12856669.630531998</v>
      </c>
      <c r="M47" s="171">
        <f>SUMIF('CF(M)'!$L$11:$EQ$11,M$6,'CF(M)'!$L52:$EQ52)</f>
        <v>-225793.21954286221</v>
      </c>
      <c r="N47" s="171">
        <f>SUMIF('CF(M)'!$L$11:$EQ$11,N$6,'CF(M)'!$L52:$EQ52)</f>
        <v>-224791.69771197744</v>
      </c>
      <c r="O47" s="171">
        <f>SUMIF('CF(M)'!$L$11:$EQ$11,O$6,'CF(M)'!$L52:$EQ52)</f>
        <v>-231778.0012126918</v>
      </c>
      <c r="P47" s="171">
        <f>SUMIF('CF(M)'!$L$11:$EQ$11,P$6,'CF(M)'!$L52:$EQ52)</f>
        <v>-229520.84359562979</v>
      </c>
      <c r="Q47" s="171">
        <f>SUMIF('CF(M)'!$L$11:$EQ$11,Q$6,'CF(M)'!$L52:$EQ52)</f>
        <v>-225413.13602326912</v>
      </c>
      <c r="R47" s="171">
        <f>SUMIF('CF(M)'!$L$11:$EQ$11,R$6,'CF(M)'!$L52:$EQ52)</f>
        <v>-225741.75506373306</v>
      </c>
      <c r="S47" s="171">
        <f>SUMIF('CF(M)'!$L$11:$EQ$11,S$6,'CF(M)'!$L52:$EQ52)</f>
        <v>-226131.24165324334</v>
      </c>
      <c r="T47" s="171">
        <f>SUMIF('CF(M)'!$L$11:$EQ$11,T$6,'CF(M)'!$L52:$EQ52)</f>
        <v>-294335.5378661548</v>
      </c>
      <c r="U47" s="171">
        <f>SUMIF('CF(M)'!$L$11:$EQ$11,U$6,'CF(M)'!$L52:$EQ52)</f>
        <v>-236265.53341857696</v>
      </c>
      <c r="V47" s="171">
        <f>SUMIF('CF(M)'!$L$11:$EQ$11,V$6,'CF(M)'!$L52:$EQ52)</f>
        <v>-227666.17455094846</v>
      </c>
      <c r="W47" s="171">
        <f>SUMIF('CF(M)'!$L$11:$EQ$11,W$6,'CF(M)'!$L52:$EQ52)</f>
        <v>0</v>
      </c>
      <c r="X47" s="171">
        <f>SUMIF('CF(M)'!$L$11:$EQ$11,X$6,'CF(M)'!$L52:$EQ52)</f>
        <v>0</v>
      </c>
      <c r="Y47" s="171">
        <f>SUMIF('CF(M)'!$L$11:$EQ$11,Y$6,'CF(M)'!$L52:$EQ52)</f>
        <v>0</v>
      </c>
      <c r="Z47" s="171">
        <f>SUMIF('CF(M)'!$L$11:$EQ$11,Z$6,'CF(M)'!$L52:$EQ52)</f>
        <v>0</v>
      </c>
      <c r="AA47" s="171">
        <f>SUMIF('CF(M)'!$L$11:$EQ$11,AA$6,'CF(M)'!$L52:$EQ52)</f>
        <v>0</v>
      </c>
      <c r="AB47" s="171">
        <f>SUMIF('CF(M)'!$L$11:$EQ$11,AB$6,'CF(M)'!$L52:$EQ52)</f>
        <v>0</v>
      </c>
      <c r="AC47" s="171">
        <f>SUMIF('CF(M)'!$L$11:$EQ$11,AC$6,'CF(M)'!$L52:$EQ52)</f>
        <v>0</v>
      </c>
      <c r="AD47" s="171">
        <f>SUMIF('CF(M)'!$L$11:$EQ$11,AD$6,'CF(M)'!$L52:$EQ52)</f>
        <v>0</v>
      </c>
      <c r="AE47" s="171">
        <f>SUMIF('CF(M)'!$L$11:$EQ$11,AE$6,'CF(M)'!$L52:$EQ52)</f>
        <v>0</v>
      </c>
      <c r="AF47" s="171">
        <f>SUMIF('CF(M)'!$L$11:$EQ$11,AF$6,'CF(M)'!$L52:$EQ52)</f>
        <v>0</v>
      </c>
      <c r="AG47" s="171">
        <f>SUMIF('CF(M)'!$L$11:$EQ$11,AG$6,'CF(M)'!$L52:$EQ52)</f>
        <v>0</v>
      </c>
      <c r="AH47" s="171">
        <f>SUMIF('CF(M)'!$L$11:$EQ$11,AH$6,'CF(M)'!$L52:$EQ52)</f>
        <v>0</v>
      </c>
      <c r="AI47" s="171">
        <f>SUMIF('CF(M)'!$L$11:$EQ$11,AI$6,'CF(M)'!$L52:$EQ52)</f>
        <v>0</v>
      </c>
      <c r="AJ47" s="171">
        <f>SUMIF('CF(M)'!$L$11:$EQ$11,AJ$6,'CF(M)'!$L52:$EQ52)</f>
        <v>0</v>
      </c>
      <c r="AK47" s="171">
        <f>SUMIF('CF(M)'!$L$11:$EQ$11,AK$6,'CF(M)'!$L52:$EQ52)</f>
        <v>0</v>
      </c>
      <c r="AL47" s="171">
        <f>SUMIF('CF(M)'!$L$11:$EQ$11,AL$6,'CF(M)'!$L52:$EQ52)</f>
        <v>0</v>
      </c>
      <c r="AM47" s="171">
        <f>SUMIF('CF(M)'!$L$11:$EQ$11,AM$6,'CF(M)'!$L52:$EQ52)</f>
        <v>0</v>
      </c>
      <c r="AN47" s="171">
        <f>SUMIF('CF(M)'!$L$11:$EQ$11,AN$6,'CF(M)'!$L52:$EQ52)</f>
        <v>0</v>
      </c>
      <c r="AO47" s="171">
        <f>SUMIF('CF(M)'!$L$11:$EQ$11,AO$6,'CF(M)'!$L52:$EQ52)</f>
        <v>0</v>
      </c>
      <c r="AP47" s="171">
        <f>SUMIF('CF(M)'!$L$11:$EQ$11,AP$6,'CF(M)'!$L52:$EQ52)</f>
        <v>0</v>
      </c>
      <c r="AQ47" s="171">
        <f>SUMIF('CF(M)'!$L$11:$EQ$11,AQ$6,'CF(M)'!$L52:$EQ52)</f>
        <v>0</v>
      </c>
      <c r="AR47" s="171">
        <f>SUMIF('CF(M)'!$L$11:$EQ$11,AR$6,'CF(M)'!$L52:$EQ52)</f>
        <v>0</v>
      </c>
      <c r="AS47" s="171">
        <f>SUMIF('CF(M)'!$L$11:$EQ$11,AS$6,'CF(M)'!$L52:$EQ52)</f>
        <v>0</v>
      </c>
      <c r="AT47" s="171">
        <f>SUMIF('CF(M)'!$L$11:$EQ$11,AT$6,'CF(M)'!$L52:$EQ52)</f>
        <v>0</v>
      </c>
      <c r="AU47" s="171">
        <f>SUMIF('CF(M)'!$L$11:$EQ$11,AU$6,'CF(M)'!$L52:$EQ52)</f>
        <v>0</v>
      </c>
      <c r="AV47" s="171">
        <f>SUMIF('CF(M)'!$L$11:$EQ$11,AV$6,'CF(M)'!$L52:$EQ52)</f>
        <v>0</v>
      </c>
      <c r="AW47" s="171">
        <f>SUMIF('CF(M)'!$L$11:$EQ$11,AW$6,'CF(M)'!$L52:$EQ52)</f>
        <v>0</v>
      </c>
      <c r="AX47" s="171">
        <f>SUMIF('CF(M)'!$L$11:$EQ$11,AX$6,'CF(M)'!$L52:$EQ52)</f>
        <v>0</v>
      </c>
      <c r="AY47" s="171">
        <f>SUMIF('CF(M)'!$L$11:$EQ$11,AY$6,'CF(M)'!$L52:$EQ52)</f>
        <v>0</v>
      </c>
      <c r="AZ47" s="171">
        <f>SUMIF('CF(M)'!$L$11:$EQ$11,AZ$6,'CF(M)'!$L52:$EQ52)</f>
        <v>0</v>
      </c>
      <c r="BA47" s="171">
        <f>SUMIF('CF(M)'!$L$11:$EQ$11,BA$6,'CF(M)'!$L52:$EQ52)</f>
        <v>0</v>
      </c>
      <c r="BB47" s="171">
        <f>SUMIF('CF(M)'!$L$11:$EQ$11,BB$6,'CF(M)'!$L52:$EQ52)</f>
        <v>0</v>
      </c>
      <c r="BC47" s="171">
        <f>SUMIF('CF(M)'!$L$11:$EQ$11,BC$6,'CF(M)'!$L52:$EQ52)</f>
        <v>0</v>
      </c>
      <c r="BD47" s="171">
        <f>SUMIF('CF(M)'!$L$11:$EQ$11,BD$6,'CF(M)'!$L52:$EQ52)</f>
        <v>0</v>
      </c>
      <c r="BE47" s="171">
        <f>SUMIF('CF(M)'!$L$11:$EQ$11,BE$6,'CF(M)'!$L52:$EQ52)</f>
        <v>0</v>
      </c>
      <c r="BF47" s="171">
        <f>SUMIF('CF(M)'!$L$11:$EQ$11,BF$6,'CF(M)'!$L52:$EQ52)</f>
        <v>0</v>
      </c>
      <c r="BG47" s="171">
        <f>SUMIF('CF(M)'!$L$11:$EQ$11,BG$6,'CF(M)'!$L52:$EQ52)</f>
        <v>0</v>
      </c>
      <c r="BH47" s="171">
        <f>SUMIF('CF(M)'!$L$11:$EQ$11,BH$6,'CF(M)'!$L52:$EQ52)</f>
        <v>0</v>
      </c>
      <c r="BI47" s="171">
        <f>SUMIF('CF(M)'!$L$11:$EQ$11,BI$6,'CF(M)'!$L52:$EQ52)</f>
        <v>0</v>
      </c>
      <c r="BJ47" s="171">
        <f>SUMIF('CF(M)'!$L$11:$EQ$11,BJ$6,'CF(M)'!$L52:$EQ52)</f>
        <v>0</v>
      </c>
      <c r="BK47" s="171">
        <f>SUMIF('CF(M)'!$L$11:$EQ$11,BK$6,'CF(M)'!$L52:$EQ52)</f>
        <v>0</v>
      </c>
      <c r="BL47" s="171">
        <f>SUMIF('CF(M)'!$L$11:$EQ$11,BL$6,'CF(M)'!$L52:$EQ52)</f>
        <v>0</v>
      </c>
      <c r="BM47" s="171">
        <f>SUMIF('CF(M)'!$L$11:$EQ$11,BM$6,'CF(M)'!$L52:$EQ52)</f>
        <v>0</v>
      </c>
      <c r="BN47" s="171">
        <f>SUMIF('CF(M)'!$L$11:$EQ$11,BN$6,'CF(M)'!$L52:$EQ52)</f>
        <v>0</v>
      </c>
      <c r="BO47" s="171">
        <f>SUMIF('CF(M)'!$L$11:$EQ$11,BO$6,'CF(M)'!$L52:$EQ52)</f>
        <v>0</v>
      </c>
      <c r="BP47" s="171">
        <f>SUMIF('CF(M)'!$L$11:$EQ$11,BP$6,'CF(M)'!$L52:$EQ52)</f>
        <v>0</v>
      </c>
      <c r="BQ47" s="171">
        <f>SUMIF('CF(M)'!$L$11:$EQ$11,BQ$6,'CF(M)'!$L52:$EQ52)</f>
        <v>0</v>
      </c>
      <c r="BR47" s="171">
        <f>SUMIF('CF(M)'!$L$11:$EQ$11,BR$6,'CF(M)'!$L52:$EQ52)</f>
        <v>0</v>
      </c>
      <c r="BS47" s="171">
        <f>SUMIF('CF(M)'!$L$11:$EQ$11,BS$6,'CF(M)'!$L52:$EQ52)</f>
        <v>0</v>
      </c>
      <c r="BT47" s="171">
        <f>SUMIF('CF(M)'!$L$11:$EQ$11,BT$6,'CF(M)'!$L52:$EQ52)</f>
        <v>0</v>
      </c>
      <c r="BU47" s="171">
        <f>SUMIF('CF(M)'!$L$11:$EQ$11,BU$6,'CF(M)'!$L52:$EQ52)</f>
        <v>0</v>
      </c>
      <c r="BV47" s="171">
        <f>SUMIF('CF(M)'!$L$11:$EQ$11,BV$6,'CF(M)'!$L52:$EQ52)</f>
        <v>0</v>
      </c>
      <c r="BW47" s="171">
        <f>SUMIF('CF(M)'!$L$11:$EQ$11,BW$6,'CF(M)'!$L52:$EQ52)</f>
        <v>0</v>
      </c>
      <c r="BX47" s="171">
        <f>SUMIF('CF(M)'!$L$11:$EQ$11,BX$6,'CF(M)'!$L52:$EQ52)</f>
        <v>0</v>
      </c>
      <c r="BY47" s="171">
        <f>SUMIF('CF(M)'!$L$11:$EQ$11,BY$6,'CF(M)'!$L52:$EQ52)</f>
        <v>0</v>
      </c>
      <c r="BZ47" s="171">
        <f>SUMIF('CF(M)'!$L$11:$EQ$11,BZ$6,'CF(M)'!$L52:$EQ52)</f>
        <v>0</v>
      </c>
      <c r="CA47" s="171">
        <f>SUMIF('CF(M)'!$L$11:$EQ$11,CA$6,'CF(M)'!$L52:$EQ52)</f>
        <v>0</v>
      </c>
      <c r="CB47" s="171">
        <f>SUMIF('CF(M)'!$L$11:$EQ$11,CB$6,'CF(M)'!$L52:$EQ52)</f>
        <v>0</v>
      </c>
      <c r="CC47" s="171">
        <f>SUMIF('CF(M)'!$L$11:$EQ$11,CC$6,'CF(M)'!$L52:$EQ52)</f>
        <v>0</v>
      </c>
      <c r="CD47" s="171">
        <f>SUMIF('CF(M)'!$L$11:$EQ$11,CD$6,'CF(M)'!$L52:$EQ52)</f>
        <v>0</v>
      </c>
      <c r="CE47" s="171">
        <f>SUMIF('CF(M)'!$L$11:$EQ$11,CE$6,'CF(M)'!$L52:$EQ52)</f>
        <v>0</v>
      </c>
      <c r="CF47" s="171">
        <f>SUMIF('CF(M)'!$L$11:$EQ$11,CF$6,'CF(M)'!$L52:$EQ52)</f>
        <v>0</v>
      </c>
      <c r="CG47" s="171">
        <f>SUMIF('CF(M)'!$L$11:$EQ$11,CG$6,'CF(M)'!$L52:$EQ52)</f>
        <v>0</v>
      </c>
      <c r="CH47" s="171">
        <f>SUMIF('CF(M)'!$L$11:$EQ$11,CH$6,'CF(M)'!$L52:$EQ52)</f>
        <v>0</v>
      </c>
      <c r="CI47" s="171">
        <f>SUMIF('CF(M)'!$L$11:$EQ$11,CI$6,'CF(M)'!$L52:$EQ52)</f>
        <v>0</v>
      </c>
      <c r="CJ47" s="171">
        <f>SUMIF('CF(M)'!$L$11:$EQ$11,CJ$6,'CF(M)'!$L52:$EQ52)</f>
        <v>0</v>
      </c>
      <c r="CK47" s="171">
        <f>SUMIF('CF(M)'!$L$11:$EQ$11,CK$6,'CF(M)'!$L52:$EQ52)</f>
        <v>0</v>
      </c>
      <c r="CL47" s="171">
        <f>SUMIF('CF(M)'!$L$11:$EQ$11,CL$6,'CF(M)'!$L52:$EQ52)</f>
        <v>0</v>
      </c>
      <c r="CM47" s="171">
        <f>SUMIF('CF(M)'!$L$11:$EQ$11,CM$6,'CF(M)'!$L52:$EQ52)</f>
        <v>0</v>
      </c>
      <c r="CN47" s="171">
        <f>SUMIF('CF(M)'!$L$11:$EQ$11,CN$6,'CF(M)'!$L52:$EQ52)</f>
        <v>0</v>
      </c>
      <c r="CO47" s="171">
        <f>SUMIF('CF(M)'!$L$11:$EQ$11,CO$6,'CF(M)'!$L52:$EQ52)</f>
        <v>0</v>
      </c>
      <c r="CP47" s="171">
        <f>SUMIF('CF(M)'!$L$11:$EQ$11,CP$6,'CF(M)'!$L52:$EQ52)</f>
        <v>0</v>
      </c>
      <c r="CQ47" s="171">
        <f>SUMIF('CF(M)'!$L$11:$EQ$11,CQ$6,'CF(M)'!$L52:$EQ52)</f>
        <v>0</v>
      </c>
      <c r="CR47" s="171">
        <f>SUMIF('CF(M)'!$L$11:$EQ$11,CR$6,'CF(M)'!$L52:$EQ52)</f>
        <v>0</v>
      </c>
      <c r="CS47" s="171">
        <f>SUMIF('CF(M)'!$L$11:$EQ$11,CS$6,'CF(M)'!$L52:$EQ52)</f>
        <v>0</v>
      </c>
      <c r="CT47" s="171">
        <f>SUMIF('CF(M)'!$L$11:$EQ$11,CT$6,'CF(M)'!$L52:$EQ52)</f>
        <v>0</v>
      </c>
      <c r="CU47" s="171">
        <f>SUMIF('CF(M)'!$L$11:$EQ$11,CU$6,'CF(M)'!$L52:$EQ52)</f>
        <v>0</v>
      </c>
      <c r="CV47" s="171">
        <f>SUMIF('CF(M)'!$L$11:$EQ$11,CV$6,'CF(M)'!$L52:$EQ52)</f>
        <v>0</v>
      </c>
      <c r="CW47" s="171">
        <f>SUMIF('CF(M)'!$L$11:$EQ$11,CW$6,'CF(M)'!$L52:$EQ52)</f>
        <v>0</v>
      </c>
      <c r="CX47" s="171">
        <f>SUMIF('CF(M)'!$L$11:$EQ$11,CX$6,'CF(M)'!$L52:$EQ52)</f>
        <v>0</v>
      </c>
      <c r="CY47" s="171">
        <f>SUMIF('CF(M)'!$L$11:$EQ$11,CY$6,'CF(M)'!$L52:$EQ52)</f>
        <v>0</v>
      </c>
      <c r="CZ47" s="171">
        <f>SUMIF('CF(M)'!$L$11:$EQ$11,CZ$6,'CF(M)'!$L52:$EQ52)</f>
        <v>0</v>
      </c>
      <c r="DA47" s="171">
        <f>SUMIF('CF(M)'!$L$11:$EQ$11,DA$6,'CF(M)'!$L52:$EQ52)</f>
        <v>0</v>
      </c>
      <c r="DB47" s="171">
        <f>SUMIF('CF(M)'!$L$11:$EQ$11,DB$6,'CF(M)'!$L52:$EQ52)</f>
        <v>0</v>
      </c>
      <c r="DC47" s="171">
        <f>SUMIF('CF(M)'!$L$11:$EQ$11,DC$6,'CF(M)'!$L52:$EQ52)</f>
        <v>0</v>
      </c>
      <c r="DD47" s="171">
        <f>SUMIF('CF(M)'!$L$11:$EQ$11,DD$6,'CF(M)'!$L52:$EQ52)</f>
        <v>0</v>
      </c>
      <c r="DE47" s="171">
        <f>SUMIF('CF(M)'!$L$11:$EQ$11,DE$6,'CF(M)'!$L52:$EQ52)</f>
        <v>0</v>
      </c>
      <c r="DF47" s="171">
        <f>SUMIF('CF(M)'!$L$11:$EQ$11,DF$6,'CF(M)'!$L52:$EQ52)</f>
        <v>0</v>
      </c>
      <c r="DG47" s="171">
        <f>SUMIF('CF(M)'!$L$11:$EQ$11,DG$6,'CF(M)'!$L52:$EQ52)</f>
        <v>0</v>
      </c>
      <c r="DH47" s="171">
        <f>SUMIF('CF(M)'!$L$11:$EQ$11,DH$6,'CF(M)'!$L52:$EQ52)</f>
        <v>0</v>
      </c>
      <c r="DI47" s="171">
        <f>SUMIF('CF(M)'!$L$11:$EQ$11,DI$6,'CF(M)'!$L52:$EQ52)</f>
        <v>0</v>
      </c>
      <c r="DJ47" s="171">
        <f>SUMIF('CF(M)'!$L$11:$EQ$11,DJ$6,'CF(M)'!$L52:$EQ52)</f>
        <v>0</v>
      </c>
      <c r="DK47" s="171">
        <f>SUMIF('CF(M)'!$L$11:$EQ$11,DK$6,'CF(M)'!$L52:$EQ52)</f>
        <v>0</v>
      </c>
      <c r="DL47" s="171">
        <f>SUMIF('CF(M)'!$L$11:$EQ$11,DL$6,'CF(M)'!$L52:$EQ52)</f>
        <v>0</v>
      </c>
      <c r="DM47" s="171">
        <f>SUMIF('CF(M)'!$L$11:$EQ$11,DM$6,'CF(M)'!$L52:$EQ52)</f>
        <v>0</v>
      </c>
      <c r="DN47" s="171">
        <f>SUMIF('CF(M)'!$L$11:$EQ$11,DN$6,'CF(M)'!$L52:$EQ52)</f>
        <v>0</v>
      </c>
      <c r="DO47" s="171">
        <f>SUMIF('CF(M)'!$L$11:$EQ$11,DO$6,'CF(M)'!$L52:$EQ52)</f>
        <v>0</v>
      </c>
      <c r="DP47" s="171">
        <f>SUMIF('CF(M)'!$L$11:$EQ$11,DP$6,'CF(M)'!$L52:$EQ52)</f>
        <v>0</v>
      </c>
      <c r="DQ47" s="171">
        <f>SUMIF('CF(M)'!$L$11:$EQ$11,DQ$6,'CF(M)'!$L52:$EQ52)</f>
        <v>0</v>
      </c>
      <c r="DR47" s="171">
        <f>SUMIF('CF(M)'!$L$11:$EQ$11,DR$6,'CF(M)'!$L52:$EQ52)</f>
        <v>0</v>
      </c>
      <c r="DS47" s="171">
        <f>SUMIF('CF(M)'!$L$11:$EQ$11,DS$6,'CF(M)'!$L52:$EQ52)</f>
        <v>0</v>
      </c>
      <c r="DT47" s="171">
        <f>SUMIF('CF(M)'!$L$11:$EQ$11,DT$6,'CF(M)'!$L52:$EQ52)</f>
        <v>0</v>
      </c>
      <c r="DU47" s="171">
        <f>SUMIF('CF(M)'!$L$11:$EQ$11,DU$6,'CF(M)'!$L52:$EQ52)</f>
        <v>0</v>
      </c>
      <c r="DV47" s="171">
        <f>SUMIF('CF(M)'!$L$11:$EQ$11,DV$6,'CF(M)'!$L52:$EQ52)</f>
        <v>0</v>
      </c>
    </row>
    <row r="48" spans="2:126" ht="11.25" customHeight="1">
      <c r="B48" s="218"/>
      <c r="C48" s="163"/>
      <c r="D48" s="169" t="s">
        <v>10</v>
      </c>
      <c r="H48" s="146"/>
      <c r="I48" s="13"/>
      <c r="J48" s="171">
        <f t="shared" si="12"/>
        <v>15204106.771171087</v>
      </c>
      <c r="K48" s="98"/>
      <c r="L48" s="177">
        <f>SUMIF('CF(M)'!$L$11:$EQ$11,L$6,'CF(M)'!$L53:$EQ53)</f>
        <v>0</v>
      </c>
      <c r="M48" s="177">
        <f>SUMIF('CF(M)'!$L$11:$EQ$11,M$6,'CF(M)'!$L53:$EQ53)</f>
        <v>13026286.379439147</v>
      </c>
      <c r="N48" s="177">
        <f>SUMIF('CF(M)'!$L$11:$EQ$11,N$6,'CF(M)'!$L53:$EQ53)</f>
        <v>224770.24391969858</v>
      </c>
      <c r="O48" s="177">
        <f>SUMIF('CF(M)'!$L$11:$EQ$11,O$6,'CF(M)'!$L53:$EQ53)</f>
        <v>224901.54589835054</v>
      </c>
      <c r="P48" s="177">
        <f>SUMIF('CF(M)'!$L$11:$EQ$11,P$6,'CF(M)'!$L53:$EQ53)</f>
        <v>236308.89987185982</v>
      </c>
      <c r="Q48" s="177">
        <f>SUMIF('CF(M)'!$L$11:$EQ$11,Q$6,'CF(M)'!$L53:$EQ53)</f>
        <v>225346.17548355745</v>
      </c>
      <c r="R48" s="177">
        <f>SUMIF('CF(M)'!$L$11:$EQ$11,R$6,'CF(M)'!$L53:$EQ53)</f>
        <v>225659.60030361713</v>
      </c>
      <c r="S48" s="177">
        <f>SUMIF('CF(M)'!$L$11:$EQ$11,S$6,'CF(M)'!$L53:$EQ53)</f>
        <v>226033.87000586579</v>
      </c>
      <c r="T48" s="177">
        <f>SUMIF('CF(M)'!$L$11:$EQ$11,T$6,'CF(M)'!$L53:$EQ53)</f>
        <v>286484.27034392068</v>
      </c>
      <c r="U48" s="177">
        <f>SUMIF('CF(M)'!$L$11:$EQ$11,U$6,'CF(M)'!$L53:$EQ53)</f>
        <v>243876.28622906277</v>
      </c>
      <c r="V48" s="177">
        <f>SUMIF('CF(M)'!$L$11:$EQ$11,V$6,'CF(M)'!$L53:$EQ53)</f>
        <v>284439.49967600754</v>
      </c>
      <c r="W48" s="177">
        <f>SUMIF('CF(M)'!$L$11:$EQ$11,W$6,'CF(M)'!$L53:$EQ53)</f>
        <v>0</v>
      </c>
      <c r="X48" s="177">
        <f>SUMIF('CF(M)'!$L$11:$EQ$11,X$6,'CF(M)'!$L53:$EQ53)</f>
        <v>0</v>
      </c>
      <c r="Y48" s="177">
        <f>SUMIF('CF(M)'!$L$11:$EQ$11,Y$6,'CF(M)'!$L53:$EQ53)</f>
        <v>0</v>
      </c>
      <c r="Z48" s="177">
        <f>SUMIF('CF(M)'!$L$11:$EQ$11,Z$6,'CF(M)'!$L53:$EQ53)</f>
        <v>0</v>
      </c>
      <c r="AA48" s="177">
        <f>SUMIF('CF(M)'!$L$11:$EQ$11,AA$6,'CF(M)'!$L53:$EQ53)</f>
        <v>0</v>
      </c>
      <c r="AB48" s="177">
        <f>SUMIF('CF(M)'!$L$11:$EQ$11,AB$6,'CF(M)'!$L53:$EQ53)</f>
        <v>0</v>
      </c>
      <c r="AC48" s="177">
        <f>SUMIF('CF(M)'!$L$11:$EQ$11,AC$6,'CF(M)'!$L53:$EQ53)</f>
        <v>0</v>
      </c>
      <c r="AD48" s="177">
        <f>SUMIF('CF(M)'!$L$11:$EQ$11,AD$6,'CF(M)'!$L53:$EQ53)</f>
        <v>0</v>
      </c>
      <c r="AE48" s="177">
        <f>SUMIF('CF(M)'!$L$11:$EQ$11,AE$6,'CF(M)'!$L53:$EQ53)</f>
        <v>0</v>
      </c>
      <c r="AF48" s="177">
        <f>SUMIF('CF(M)'!$L$11:$EQ$11,AF$6,'CF(M)'!$L53:$EQ53)</f>
        <v>0</v>
      </c>
      <c r="AG48" s="177">
        <f>SUMIF('CF(M)'!$L$11:$EQ$11,AG$6,'CF(M)'!$L53:$EQ53)</f>
        <v>0</v>
      </c>
      <c r="AH48" s="177">
        <f>SUMIF('CF(M)'!$L$11:$EQ$11,AH$6,'CF(M)'!$L53:$EQ53)</f>
        <v>0</v>
      </c>
      <c r="AI48" s="177">
        <f>SUMIF('CF(M)'!$L$11:$EQ$11,AI$6,'CF(M)'!$L53:$EQ53)</f>
        <v>0</v>
      </c>
      <c r="AJ48" s="177">
        <f>SUMIF('CF(M)'!$L$11:$EQ$11,AJ$6,'CF(M)'!$L53:$EQ53)</f>
        <v>0</v>
      </c>
      <c r="AK48" s="177">
        <f>SUMIF('CF(M)'!$L$11:$EQ$11,AK$6,'CF(M)'!$L53:$EQ53)</f>
        <v>0</v>
      </c>
      <c r="AL48" s="177">
        <f>SUMIF('CF(M)'!$L$11:$EQ$11,AL$6,'CF(M)'!$L53:$EQ53)</f>
        <v>0</v>
      </c>
      <c r="AM48" s="177">
        <f>SUMIF('CF(M)'!$L$11:$EQ$11,AM$6,'CF(M)'!$L53:$EQ53)</f>
        <v>0</v>
      </c>
      <c r="AN48" s="177">
        <f>SUMIF('CF(M)'!$L$11:$EQ$11,AN$6,'CF(M)'!$L53:$EQ53)</f>
        <v>0</v>
      </c>
      <c r="AO48" s="177">
        <f>SUMIF('CF(M)'!$L$11:$EQ$11,AO$6,'CF(M)'!$L53:$EQ53)</f>
        <v>0</v>
      </c>
      <c r="AP48" s="177">
        <f>SUMIF('CF(M)'!$L$11:$EQ$11,AP$6,'CF(M)'!$L53:$EQ53)</f>
        <v>0</v>
      </c>
      <c r="AQ48" s="177">
        <f>SUMIF('CF(M)'!$L$11:$EQ$11,AQ$6,'CF(M)'!$L53:$EQ53)</f>
        <v>0</v>
      </c>
      <c r="AR48" s="177">
        <f>SUMIF('CF(M)'!$L$11:$EQ$11,AR$6,'CF(M)'!$L53:$EQ53)</f>
        <v>0</v>
      </c>
      <c r="AS48" s="177">
        <f>SUMIF('CF(M)'!$L$11:$EQ$11,AS$6,'CF(M)'!$L53:$EQ53)</f>
        <v>0</v>
      </c>
      <c r="AT48" s="177">
        <f>SUMIF('CF(M)'!$L$11:$EQ$11,AT$6,'CF(M)'!$L53:$EQ53)</f>
        <v>0</v>
      </c>
      <c r="AU48" s="177">
        <f>SUMIF('CF(M)'!$L$11:$EQ$11,AU$6,'CF(M)'!$L53:$EQ53)</f>
        <v>0</v>
      </c>
      <c r="AV48" s="177">
        <f>SUMIF('CF(M)'!$L$11:$EQ$11,AV$6,'CF(M)'!$L53:$EQ53)</f>
        <v>0</v>
      </c>
      <c r="AW48" s="177">
        <f>SUMIF('CF(M)'!$L$11:$EQ$11,AW$6,'CF(M)'!$L53:$EQ53)</f>
        <v>0</v>
      </c>
      <c r="AX48" s="177">
        <f>SUMIF('CF(M)'!$L$11:$EQ$11,AX$6,'CF(M)'!$L53:$EQ53)</f>
        <v>0</v>
      </c>
      <c r="AY48" s="177">
        <f>SUMIF('CF(M)'!$L$11:$EQ$11,AY$6,'CF(M)'!$L53:$EQ53)</f>
        <v>0</v>
      </c>
      <c r="AZ48" s="177">
        <f>SUMIF('CF(M)'!$L$11:$EQ$11,AZ$6,'CF(M)'!$L53:$EQ53)</f>
        <v>0</v>
      </c>
      <c r="BA48" s="177">
        <f>SUMIF('CF(M)'!$L$11:$EQ$11,BA$6,'CF(M)'!$L53:$EQ53)</f>
        <v>0</v>
      </c>
      <c r="BB48" s="177">
        <f>SUMIF('CF(M)'!$L$11:$EQ$11,BB$6,'CF(M)'!$L53:$EQ53)</f>
        <v>0</v>
      </c>
      <c r="BC48" s="177">
        <f>SUMIF('CF(M)'!$L$11:$EQ$11,BC$6,'CF(M)'!$L53:$EQ53)</f>
        <v>0</v>
      </c>
      <c r="BD48" s="177">
        <f>SUMIF('CF(M)'!$L$11:$EQ$11,BD$6,'CF(M)'!$L53:$EQ53)</f>
        <v>0</v>
      </c>
      <c r="BE48" s="177">
        <f>SUMIF('CF(M)'!$L$11:$EQ$11,BE$6,'CF(M)'!$L53:$EQ53)</f>
        <v>0</v>
      </c>
      <c r="BF48" s="177">
        <f>SUMIF('CF(M)'!$L$11:$EQ$11,BF$6,'CF(M)'!$L53:$EQ53)</f>
        <v>0</v>
      </c>
      <c r="BG48" s="177">
        <f>SUMIF('CF(M)'!$L$11:$EQ$11,BG$6,'CF(M)'!$L53:$EQ53)</f>
        <v>0</v>
      </c>
      <c r="BH48" s="177">
        <f>SUMIF('CF(M)'!$L$11:$EQ$11,BH$6,'CF(M)'!$L53:$EQ53)</f>
        <v>0</v>
      </c>
      <c r="BI48" s="177">
        <f>SUMIF('CF(M)'!$L$11:$EQ$11,BI$6,'CF(M)'!$L53:$EQ53)</f>
        <v>0</v>
      </c>
      <c r="BJ48" s="177">
        <f>SUMIF('CF(M)'!$L$11:$EQ$11,BJ$6,'CF(M)'!$L53:$EQ53)</f>
        <v>0</v>
      </c>
      <c r="BK48" s="177">
        <f>SUMIF('CF(M)'!$L$11:$EQ$11,BK$6,'CF(M)'!$L53:$EQ53)</f>
        <v>0</v>
      </c>
      <c r="BL48" s="177">
        <f>SUMIF('CF(M)'!$L$11:$EQ$11,BL$6,'CF(M)'!$L53:$EQ53)</f>
        <v>0</v>
      </c>
      <c r="BM48" s="177">
        <f>SUMIF('CF(M)'!$L$11:$EQ$11,BM$6,'CF(M)'!$L53:$EQ53)</f>
        <v>0</v>
      </c>
      <c r="BN48" s="177">
        <f>SUMIF('CF(M)'!$L$11:$EQ$11,BN$6,'CF(M)'!$L53:$EQ53)</f>
        <v>0</v>
      </c>
      <c r="BO48" s="177">
        <f>SUMIF('CF(M)'!$L$11:$EQ$11,BO$6,'CF(M)'!$L53:$EQ53)</f>
        <v>0</v>
      </c>
      <c r="BP48" s="177">
        <f>SUMIF('CF(M)'!$L$11:$EQ$11,BP$6,'CF(M)'!$L53:$EQ53)</f>
        <v>0</v>
      </c>
      <c r="BQ48" s="177">
        <f>SUMIF('CF(M)'!$L$11:$EQ$11,BQ$6,'CF(M)'!$L53:$EQ53)</f>
        <v>0</v>
      </c>
      <c r="BR48" s="177">
        <f>SUMIF('CF(M)'!$L$11:$EQ$11,BR$6,'CF(M)'!$L53:$EQ53)</f>
        <v>0</v>
      </c>
      <c r="BS48" s="177">
        <f>SUMIF('CF(M)'!$L$11:$EQ$11,BS$6,'CF(M)'!$L53:$EQ53)</f>
        <v>0</v>
      </c>
      <c r="BT48" s="177">
        <f>SUMIF('CF(M)'!$L$11:$EQ$11,BT$6,'CF(M)'!$L53:$EQ53)</f>
        <v>0</v>
      </c>
      <c r="BU48" s="177">
        <f>SUMIF('CF(M)'!$L$11:$EQ$11,BU$6,'CF(M)'!$L53:$EQ53)</f>
        <v>0</v>
      </c>
      <c r="BV48" s="177">
        <f>SUMIF('CF(M)'!$L$11:$EQ$11,BV$6,'CF(M)'!$L53:$EQ53)</f>
        <v>0</v>
      </c>
      <c r="BW48" s="177">
        <f>SUMIF('CF(M)'!$L$11:$EQ$11,BW$6,'CF(M)'!$L53:$EQ53)</f>
        <v>0</v>
      </c>
      <c r="BX48" s="177">
        <f>SUMIF('CF(M)'!$L$11:$EQ$11,BX$6,'CF(M)'!$L53:$EQ53)</f>
        <v>0</v>
      </c>
      <c r="BY48" s="177">
        <f>SUMIF('CF(M)'!$L$11:$EQ$11,BY$6,'CF(M)'!$L53:$EQ53)</f>
        <v>0</v>
      </c>
      <c r="BZ48" s="177">
        <f>SUMIF('CF(M)'!$L$11:$EQ$11,BZ$6,'CF(M)'!$L53:$EQ53)</f>
        <v>0</v>
      </c>
      <c r="CA48" s="177">
        <f>SUMIF('CF(M)'!$L$11:$EQ$11,CA$6,'CF(M)'!$L53:$EQ53)</f>
        <v>0</v>
      </c>
      <c r="CB48" s="177">
        <f>SUMIF('CF(M)'!$L$11:$EQ$11,CB$6,'CF(M)'!$L53:$EQ53)</f>
        <v>0</v>
      </c>
      <c r="CC48" s="177">
        <f>SUMIF('CF(M)'!$L$11:$EQ$11,CC$6,'CF(M)'!$L53:$EQ53)</f>
        <v>0</v>
      </c>
      <c r="CD48" s="177">
        <f>SUMIF('CF(M)'!$L$11:$EQ$11,CD$6,'CF(M)'!$L53:$EQ53)</f>
        <v>0</v>
      </c>
      <c r="CE48" s="177">
        <f>SUMIF('CF(M)'!$L$11:$EQ$11,CE$6,'CF(M)'!$L53:$EQ53)</f>
        <v>0</v>
      </c>
      <c r="CF48" s="177">
        <f>SUMIF('CF(M)'!$L$11:$EQ$11,CF$6,'CF(M)'!$L53:$EQ53)</f>
        <v>0</v>
      </c>
      <c r="CG48" s="177">
        <f>SUMIF('CF(M)'!$L$11:$EQ$11,CG$6,'CF(M)'!$L53:$EQ53)</f>
        <v>0</v>
      </c>
      <c r="CH48" s="177">
        <f>SUMIF('CF(M)'!$L$11:$EQ$11,CH$6,'CF(M)'!$L53:$EQ53)</f>
        <v>0</v>
      </c>
      <c r="CI48" s="177">
        <f>SUMIF('CF(M)'!$L$11:$EQ$11,CI$6,'CF(M)'!$L53:$EQ53)</f>
        <v>0</v>
      </c>
      <c r="CJ48" s="177">
        <f>SUMIF('CF(M)'!$L$11:$EQ$11,CJ$6,'CF(M)'!$L53:$EQ53)</f>
        <v>0</v>
      </c>
      <c r="CK48" s="177">
        <f>SUMIF('CF(M)'!$L$11:$EQ$11,CK$6,'CF(M)'!$L53:$EQ53)</f>
        <v>0</v>
      </c>
      <c r="CL48" s="177">
        <f>SUMIF('CF(M)'!$L$11:$EQ$11,CL$6,'CF(M)'!$L53:$EQ53)</f>
        <v>0</v>
      </c>
      <c r="CM48" s="177">
        <f>SUMIF('CF(M)'!$L$11:$EQ$11,CM$6,'CF(M)'!$L53:$EQ53)</f>
        <v>0</v>
      </c>
      <c r="CN48" s="177">
        <f>SUMIF('CF(M)'!$L$11:$EQ$11,CN$6,'CF(M)'!$L53:$EQ53)</f>
        <v>0</v>
      </c>
      <c r="CO48" s="177">
        <f>SUMIF('CF(M)'!$L$11:$EQ$11,CO$6,'CF(M)'!$L53:$EQ53)</f>
        <v>0</v>
      </c>
      <c r="CP48" s="177">
        <f>SUMIF('CF(M)'!$L$11:$EQ$11,CP$6,'CF(M)'!$L53:$EQ53)</f>
        <v>0</v>
      </c>
      <c r="CQ48" s="177">
        <f>SUMIF('CF(M)'!$L$11:$EQ$11,CQ$6,'CF(M)'!$L53:$EQ53)</f>
        <v>0</v>
      </c>
      <c r="CR48" s="177">
        <f>SUMIF('CF(M)'!$L$11:$EQ$11,CR$6,'CF(M)'!$L53:$EQ53)</f>
        <v>0</v>
      </c>
      <c r="CS48" s="177">
        <f>SUMIF('CF(M)'!$L$11:$EQ$11,CS$6,'CF(M)'!$L53:$EQ53)</f>
        <v>0</v>
      </c>
      <c r="CT48" s="177">
        <f>SUMIF('CF(M)'!$L$11:$EQ$11,CT$6,'CF(M)'!$L53:$EQ53)</f>
        <v>0</v>
      </c>
      <c r="CU48" s="177">
        <f>SUMIF('CF(M)'!$L$11:$EQ$11,CU$6,'CF(M)'!$L53:$EQ53)</f>
        <v>0</v>
      </c>
      <c r="CV48" s="177">
        <f>SUMIF('CF(M)'!$L$11:$EQ$11,CV$6,'CF(M)'!$L53:$EQ53)</f>
        <v>0</v>
      </c>
      <c r="CW48" s="177">
        <f>SUMIF('CF(M)'!$L$11:$EQ$11,CW$6,'CF(M)'!$L53:$EQ53)</f>
        <v>0</v>
      </c>
      <c r="CX48" s="177">
        <f>SUMIF('CF(M)'!$L$11:$EQ$11,CX$6,'CF(M)'!$L53:$EQ53)</f>
        <v>0</v>
      </c>
      <c r="CY48" s="177">
        <f>SUMIF('CF(M)'!$L$11:$EQ$11,CY$6,'CF(M)'!$L53:$EQ53)</f>
        <v>0</v>
      </c>
      <c r="CZ48" s="177">
        <f>SUMIF('CF(M)'!$L$11:$EQ$11,CZ$6,'CF(M)'!$L53:$EQ53)</f>
        <v>0</v>
      </c>
      <c r="DA48" s="177">
        <f>SUMIF('CF(M)'!$L$11:$EQ$11,DA$6,'CF(M)'!$L53:$EQ53)</f>
        <v>0</v>
      </c>
      <c r="DB48" s="177">
        <f>SUMIF('CF(M)'!$L$11:$EQ$11,DB$6,'CF(M)'!$L53:$EQ53)</f>
        <v>0</v>
      </c>
      <c r="DC48" s="177">
        <f>SUMIF('CF(M)'!$L$11:$EQ$11,DC$6,'CF(M)'!$L53:$EQ53)</f>
        <v>0</v>
      </c>
      <c r="DD48" s="177">
        <f>SUMIF('CF(M)'!$L$11:$EQ$11,DD$6,'CF(M)'!$L53:$EQ53)</f>
        <v>0</v>
      </c>
      <c r="DE48" s="177">
        <f>SUMIF('CF(M)'!$L$11:$EQ$11,DE$6,'CF(M)'!$L53:$EQ53)</f>
        <v>0</v>
      </c>
      <c r="DF48" s="177">
        <f>SUMIF('CF(M)'!$L$11:$EQ$11,DF$6,'CF(M)'!$L53:$EQ53)</f>
        <v>0</v>
      </c>
      <c r="DG48" s="177">
        <f>SUMIF('CF(M)'!$L$11:$EQ$11,DG$6,'CF(M)'!$L53:$EQ53)</f>
        <v>0</v>
      </c>
      <c r="DH48" s="177">
        <f>SUMIF('CF(M)'!$L$11:$EQ$11,DH$6,'CF(M)'!$L53:$EQ53)</f>
        <v>0</v>
      </c>
      <c r="DI48" s="177">
        <f>SUMIF('CF(M)'!$L$11:$EQ$11,DI$6,'CF(M)'!$L53:$EQ53)</f>
        <v>0</v>
      </c>
      <c r="DJ48" s="177">
        <f>SUMIF('CF(M)'!$L$11:$EQ$11,DJ$6,'CF(M)'!$L53:$EQ53)</f>
        <v>0</v>
      </c>
      <c r="DK48" s="177">
        <f>SUMIF('CF(M)'!$L$11:$EQ$11,DK$6,'CF(M)'!$L53:$EQ53)</f>
        <v>0</v>
      </c>
      <c r="DL48" s="177">
        <f>SUMIF('CF(M)'!$L$11:$EQ$11,DL$6,'CF(M)'!$L53:$EQ53)</f>
        <v>0</v>
      </c>
      <c r="DM48" s="177">
        <f>SUMIF('CF(M)'!$L$11:$EQ$11,DM$6,'CF(M)'!$L53:$EQ53)</f>
        <v>0</v>
      </c>
      <c r="DN48" s="177">
        <f>SUMIF('CF(M)'!$L$11:$EQ$11,DN$6,'CF(M)'!$L53:$EQ53)</f>
        <v>0</v>
      </c>
      <c r="DO48" s="177">
        <f>SUMIF('CF(M)'!$L$11:$EQ$11,DO$6,'CF(M)'!$L53:$EQ53)</f>
        <v>0</v>
      </c>
      <c r="DP48" s="177">
        <f>SUMIF('CF(M)'!$L$11:$EQ$11,DP$6,'CF(M)'!$L53:$EQ53)</f>
        <v>0</v>
      </c>
      <c r="DQ48" s="177">
        <f>SUMIF('CF(M)'!$L$11:$EQ$11,DQ$6,'CF(M)'!$L53:$EQ53)</f>
        <v>0</v>
      </c>
      <c r="DR48" s="177">
        <f>SUMIF('CF(M)'!$L$11:$EQ$11,DR$6,'CF(M)'!$L53:$EQ53)</f>
        <v>0</v>
      </c>
      <c r="DS48" s="177">
        <f>SUMIF('CF(M)'!$L$11:$EQ$11,DS$6,'CF(M)'!$L53:$EQ53)</f>
        <v>0</v>
      </c>
      <c r="DT48" s="177">
        <f>SUMIF('CF(M)'!$L$11:$EQ$11,DT$6,'CF(M)'!$L53:$EQ53)</f>
        <v>0</v>
      </c>
      <c r="DU48" s="177">
        <f>SUMIF('CF(M)'!$L$11:$EQ$11,DU$6,'CF(M)'!$L53:$EQ53)</f>
        <v>0</v>
      </c>
      <c r="DV48" s="177">
        <f>SUMIF('CF(M)'!$L$11:$EQ$11,DV$6,'CF(M)'!$L53:$EQ53)</f>
        <v>0</v>
      </c>
    </row>
    <row r="49" spans="2:126" ht="11.25" customHeight="1">
      <c r="B49" s="223" t="s">
        <v>197</v>
      </c>
      <c r="C49" s="224"/>
      <c r="D49" s="224"/>
      <c r="E49" s="224"/>
      <c r="F49" s="224"/>
      <c r="G49" s="224"/>
      <c r="H49" s="225"/>
      <c r="I49" s="226"/>
      <c r="J49" s="227">
        <f>SUM(J50,J55)</f>
        <v>70721828.045317352</v>
      </c>
      <c r="L49" s="216">
        <f>SUM(L50,L55)</f>
        <v>-288900000</v>
      </c>
      <c r="M49" s="216">
        <f t="shared" ref="M49:BX49" si="21">SUM(M50,M55)</f>
        <v>0</v>
      </c>
      <c r="N49" s="216">
        <f t="shared" si="21"/>
        <v>0</v>
      </c>
      <c r="O49" s="216">
        <f t="shared" si="21"/>
        <v>0</v>
      </c>
      <c r="P49" s="216">
        <f t="shared" si="21"/>
        <v>0</v>
      </c>
      <c r="Q49" s="216">
        <f t="shared" si="21"/>
        <v>0</v>
      </c>
      <c r="R49" s="216">
        <f t="shared" si="21"/>
        <v>0</v>
      </c>
      <c r="S49" s="216">
        <f t="shared" si="21"/>
        <v>0</v>
      </c>
      <c r="T49" s="216">
        <f t="shared" si="21"/>
        <v>0</v>
      </c>
      <c r="U49" s="216">
        <f t="shared" si="21"/>
        <v>0</v>
      </c>
      <c r="V49" s="216">
        <f t="shared" si="21"/>
        <v>359621828.04531735</v>
      </c>
      <c r="W49" s="216">
        <f t="shared" si="21"/>
        <v>0</v>
      </c>
      <c r="X49" s="216">
        <f t="shared" si="21"/>
        <v>0</v>
      </c>
      <c r="Y49" s="216">
        <f t="shared" si="21"/>
        <v>0</v>
      </c>
      <c r="Z49" s="216">
        <f t="shared" si="21"/>
        <v>0</v>
      </c>
      <c r="AA49" s="216">
        <f t="shared" si="21"/>
        <v>0</v>
      </c>
      <c r="AB49" s="216">
        <f t="shared" si="21"/>
        <v>0</v>
      </c>
      <c r="AC49" s="216">
        <f t="shared" si="21"/>
        <v>0</v>
      </c>
      <c r="AD49" s="216">
        <f t="shared" si="21"/>
        <v>0</v>
      </c>
      <c r="AE49" s="216">
        <f t="shared" si="21"/>
        <v>0</v>
      </c>
      <c r="AF49" s="216">
        <f t="shared" si="21"/>
        <v>0</v>
      </c>
      <c r="AG49" s="216">
        <f t="shared" si="21"/>
        <v>0</v>
      </c>
      <c r="AH49" s="216">
        <f t="shared" si="21"/>
        <v>0</v>
      </c>
      <c r="AI49" s="216">
        <f t="shared" si="21"/>
        <v>0</v>
      </c>
      <c r="AJ49" s="216">
        <f t="shared" si="21"/>
        <v>0</v>
      </c>
      <c r="AK49" s="216">
        <f t="shared" si="21"/>
        <v>0</v>
      </c>
      <c r="AL49" s="216">
        <f t="shared" si="21"/>
        <v>0</v>
      </c>
      <c r="AM49" s="216">
        <f t="shared" si="21"/>
        <v>0</v>
      </c>
      <c r="AN49" s="216">
        <f t="shared" si="21"/>
        <v>0</v>
      </c>
      <c r="AO49" s="216">
        <f t="shared" si="21"/>
        <v>0</v>
      </c>
      <c r="AP49" s="216">
        <f t="shared" si="21"/>
        <v>0</v>
      </c>
      <c r="AQ49" s="216">
        <f t="shared" si="21"/>
        <v>0</v>
      </c>
      <c r="AR49" s="216">
        <f t="shared" si="21"/>
        <v>0</v>
      </c>
      <c r="AS49" s="216">
        <f t="shared" si="21"/>
        <v>0</v>
      </c>
      <c r="AT49" s="216">
        <f t="shared" si="21"/>
        <v>0</v>
      </c>
      <c r="AU49" s="216">
        <f t="shared" si="21"/>
        <v>0</v>
      </c>
      <c r="AV49" s="216">
        <f t="shared" si="21"/>
        <v>0</v>
      </c>
      <c r="AW49" s="216">
        <f t="shared" si="21"/>
        <v>0</v>
      </c>
      <c r="AX49" s="216">
        <f t="shared" si="21"/>
        <v>0</v>
      </c>
      <c r="AY49" s="216">
        <f t="shared" si="21"/>
        <v>0</v>
      </c>
      <c r="AZ49" s="216">
        <f t="shared" si="21"/>
        <v>0</v>
      </c>
      <c r="BA49" s="216">
        <f t="shared" si="21"/>
        <v>0</v>
      </c>
      <c r="BB49" s="216">
        <f t="shared" si="21"/>
        <v>0</v>
      </c>
      <c r="BC49" s="216">
        <f t="shared" si="21"/>
        <v>0</v>
      </c>
      <c r="BD49" s="216">
        <f t="shared" si="21"/>
        <v>0</v>
      </c>
      <c r="BE49" s="216">
        <f t="shared" si="21"/>
        <v>0</v>
      </c>
      <c r="BF49" s="216">
        <f t="shared" si="21"/>
        <v>0</v>
      </c>
      <c r="BG49" s="216">
        <f t="shared" si="21"/>
        <v>0</v>
      </c>
      <c r="BH49" s="216">
        <f t="shared" si="21"/>
        <v>0</v>
      </c>
      <c r="BI49" s="216">
        <f t="shared" si="21"/>
        <v>0</v>
      </c>
      <c r="BJ49" s="216">
        <f t="shared" si="21"/>
        <v>0</v>
      </c>
      <c r="BK49" s="216">
        <f t="shared" si="21"/>
        <v>0</v>
      </c>
      <c r="BL49" s="216">
        <f t="shared" si="21"/>
        <v>0</v>
      </c>
      <c r="BM49" s="216">
        <f t="shared" si="21"/>
        <v>0</v>
      </c>
      <c r="BN49" s="216">
        <f t="shared" si="21"/>
        <v>0</v>
      </c>
      <c r="BO49" s="216">
        <f t="shared" si="21"/>
        <v>0</v>
      </c>
      <c r="BP49" s="216">
        <f t="shared" si="21"/>
        <v>0</v>
      </c>
      <c r="BQ49" s="216">
        <f t="shared" si="21"/>
        <v>0</v>
      </c>
      <c r="BR49" s="216">
        <f t="shared" si="21"/>
        <v>0</v>
      </c>
      <c r="BS49" s="216">
        <f t="shared" si="21"/>
        <v>0</v>
      </c>
      <c r="BT49" s="216">
        <f t="shared" si="21"/>
        <v>0</v>
      </c>
      <c r="BU49" s="216">
        <f t="shared" si="21"/>
        <v>0</v>
      </c>
      <c r="BV49" s="216">
        <f t="shared" si="21"/>
        <v>0</v>
      </c>
      <c r="BW49" s="216">
        <f t="shared" si="21"/>
        <v>0</v>
      </c>
      <c r="BX49" s="216">
        <f t="shared" si="21"/>
        <v>0</v>
      </c>
      <c r="BY49" s="216">
        <f t="shared" ref="BY49:DV49" si="22">SUM(BY50,BY55)</f>
        <v>0</v>
      </c>
      <c r="BZ49" s="216">
        <f t="shared" si="22"/>
        <v>0</v>
      </c>
      <c r="CA49" s="216">
        <f t="shared" si="22"/>
        <v>0</v>
      </c>
      <c r="CB49" s="216">
        <f t="shared" si="22"/>
        <v>0</v>
      </c>
      <c r="CC49" s="216">
        <f t="shared" si="22"/>
        <v>0</v>
      </c>
      <c r="CD49" s="216">
        <f t="shared" si="22"/>
        <v>0</v>
      </c>
      <c r="CE49" s="216">
        <f t="shared" si="22"/>
        <v>0</v>
      </c>
      <c r="CF49" s="216">
        <f t="shared" si="22"/>
        <v>0</v>
      </c>
      <c r="CG49" s="216">
        <f t="shared" si="22"/>
        <v>0</v>
      </c>
      <c r="CH49" s="216">
        <f t="shared" si="22"/>
        <v>0</v>
      </c>
      <c r="CI49" s="216">
        <f t="shared" si="22"/>
        <v>0</v>
      </c>
      <c r="CJ49" s="216">
        <f t="shared" si="22"/>
        <v>0</v>
      </c>
      <c r="CK49" s="216">
        <f t="shared" si="22"/>
        <v>0</v>
      </c>
      <c r="CL49" s="216">
        <f t="shared" si="22"/>
        <v>0</v>
      </c>
      <c r="CM49" s="216">
        <f t="shared" si="22"/>
        <v>0</v>
      </c>
      <c r="CN49" s="216">
        <f t="shared" si="22"/>
        <v>0</v>
      </c>
      <c r="CO49" s="216">
        <f t="shared" si="22"/>
        <v>0</v>
      </c>
      <c r="CP49" s="216">
        <f t="shared" si="22"/>
        <v>0</v>
      </c>
      <c r="CQ49" s="216">
        <f t="shared" si="22"/>
        <v>0</v>
      </c>
      <c r="CR49" s="216">
        <f t="shared" si="22"/>
        <v>0</v>
      </c>
      <c r="CS49" s="216">
        <f t="shared" si="22"/>
        <v>0</v>
      </c>
      <c r="CT49" s="216">
        <f t="shared" si="22"/>
        <v>0</v>
      </c>
      <c r="CU49" s="216">
        <f t="shared" si="22"/>
        <v>0</v>
      </c>
      <c r="CV49" s="216">
        <f t="shared" si="22"/>
        <v>0</v>
      </c>
      <c r="CW49" s="216">
        <f t="shared" si="22"/>
        <v>0</v>
      </c>
      <c r="CX49" s="216">
        <f t="shared" si="22"/>
        <v>0</v>
      </c>
      <c r="CY49" s="216">
        <f t="shared" si="22"/>
        <v>0</v>
      </c>
      <c r="CZ49" s="216">
        <f t="shared" si="22"/>
        <v>0</v>
      </c>
      <c r="DA49" s="216">
        <f t="shared" si="22"/>
        <v>0</v>
      </c>
      <c r="DB49" s="216">
        <f t="shared" si="22"/>
        <v>0</v>
      </c>
      <c r="DC49" s="216">
        <f t="shared" si="22"/>
        <v>0</v>
      </c>
      <c r="DD49" s="216">
        <f t="shared" si="22"/>
        <v>0</v>
      </c>
      <c r="DE49" s="216">
        <f t="shared" si="22"/>
        <v>0</v>
      </c>
      <c r="DF49" s="216">
        <f t="shared" si="22"/>
        <v>0</v>
      </c>
      <c r="DG49" s="216">
        <f t="shared" si="22"/>
        <v>0</v>
      </c>
      <c r="DH49" s="216">
        <f t="shared" si="22"/>
        <v>0</v>
      </c>
      <c r="DI49" s="216">
        <f t="shared" si="22"/>
        <v>0</v>
      </c>
      <c r="DJ49" s="216">
        <f t="shared" si="22"/>
        <v>0</v>
      </c>
      <c r="DK49" s="216">
        <f t="shared" si="22"/>
        <v>0</v>
      </c>
      <c r="DL49" s="216">
        <f t="shared" si="22"/>
        <v>0</v>
      </c>
      <c r="DM49" s="216">
        <f t="shared" si="22"/>
        <v>0</v>
      </c>
      <c r="DN49" s="216">
        <f t="shared" si="22"/>
        <v>0</v>
      </c>
      <c r="DO49" s="216">
        <f t="shared" si="22"/>
        <v>0</v>
      </c>
      <c r="DP49" s="216">
        <f t="shared" si="22"/>
        <v>0</v>
      </c>
      <c r="DQ49" s="216">
        <f t="shared" si="22"/>
        <v>0</v>
      </c>
      <c r="DR49" s="216">
        <f t="shared" si="22"/>
        <v>0</v>
      </c>
      <c r="DS49" s="216">
        <f t="shared" si="22"/>
        <v>0</v>
      </c>
      <c r="DT49" s="216">
        <f t="shared" si="22"/>
        <v>0</v>
      </c>
      <c r="DU49" s="216">
        <f t="shared" si="22"/>
        <v>0</v>
      </c>
      <c r="DV49" s="216">
        <f t="shared" si="22"/>
        <v>0</v>
      </c>
    </row>
    <row r="50" spans="2:126" ht="11.25" customHeight="1">
      <c r="B50" s="218"/>
      <c r="C50" s="158" t="s">
        <v>198</v>
      </c>
      <c r="D50" s="159"/>
      <c r="E50" s="159"/>
      <c r="F50" s="159"/>
      <c r="G50" s="159"/>
      <c r="H50" s="160"/>
      <c r="I50" s="219"/>
      <c r="J50" s="220">
        <f>SUM(J51:J54)</f>
        <v>359621828.04531735</v>
      </c>
      <c r="K50" s="98"/>
      <c r="L50" s="162">
        <f>SUM(L51:L54)</f>
        <v>0</v>
      </c>
      <c r="M50" s="162">
        <f t="shared" ref="M50:BX50" si="23">SUM(M51:M54)</f>
        <v>0</v>
      </c>
      <c r="N50" s="162">
        <f t="shared" si="23"/>
        <v>0</v>
      </c>
      <c r="O50" s="162">
        <f t="shared" si="23"/>
        <v>0</v>
      </c>
      <c r="P50" s="162">
        <f t="shared" si="23"/>
        <v>0</v>
      </c>
      <c r="Q50" s="162">
        <f t="shared" si="23"/>
        <v>0</v>
      </c>
      <c r="R50" s="162">
        <f t="shared" si="23"/>
        <v>0</v>
      </c>
      <c r="S50" s="162">
        <f t="shared" si="23"/>
        <v>0</v>
      </c>
      <c r="T50" s="162">
        <f t="shared" si="23"/>
        <v>0</v>
      </c>
      <c r="U50" s="162">
        <f t="shared" si="23"/>
        <v>0</v>
      </c>
      <c r="V50" s="162">
        <f t="shared" si="23"/>
        <v>359621828.04531735</v>
      </c>
      <c r="W50" s="162">
        <f t="shared" si="23"/>
        <v>0</v>
      </c>
      <c r="X50" s="162">
        <f t="shared" si="23"/>
        <v>0</v>
      </c>
      <c r="Y50" s="162">
        <f t="shared" si="23"/>
        <v>0</v>
      </c>
      <c r="Z50" s="162">
        <f t="shared" si="23"/>
        <v>0</v>
      </c>
      <c r="AA50" s="162">
        <f t="shared" si="23"/>
        <v>0</v>
      </c>
      <c r="AB50" s="162">
        <f t="shared" si="23"/>
        <v>0</v>
      </c>
      <c r="AC50" s="162">
        <f t="shared" si="23"/>
        <v>0</v>
      </c>
      <c r="AD50" s="162">
        <f t="shared" si="23"/>
        <v>0</v>
      </c>
      <c r="AE50" s="162">
        <f t="shared" si="23"/>
        <v>0</v>
      </c>
      <c r="AF50" s="162">
        <f t="shared" si="23"/>
        <v>0</v>
      </c>
      <c r="AG50" s="162">
        <f t="shared" si="23"/>
        <v>0</v>
      </c>
      <c r="AH50" s="162">
        <f t="shared" si="23"/>
        <v>0</v>
      </c>
      <c r="AI50" s="162">
        <f t="shared" si="23"/>
        <v>0</v>
      </c>
      <c r="AJ50" s="162">
        <f t="shared" si="23"/>
        <v>0</v>
      </c>
      <c r="AK50" s="162">
        <f t="shared" si="23"/>
        <v>0</v>
      </c>
      <c r="AL50" s="162">
        <f t="shared" si="23"/>
        <v>0</v>
      </c>
      <c r="AM50" s="162">
        <f t="shared" si="23"/>
        <v>0</v>
      </c>
      <c r="AN50" s="162">
        <f t="shared" si="23"/>
        <v>0</v>
      </c>
      <c r="AO50" s="162">
        <f t="shared" si="23"/>
        <v>0</v>
      </c>
      <c r="AP50" s="162">
        <f t="shared" si="23"/>
        <v>0</v>
      </c>
      <c r="AQ50" s="162">
        <f t="shared" si="23"/>
        <v>0</v>
      </c>
      <c r="AR50" s="162">
        <f t="shared" si="23"/>
        <v>0</v>
      </c>
      <c r="AS50" s="162">
        <f t="shared" si="23"/>
        <v>0</v>
      </c>
      <c r="AT50" s="162">
        <f t="shared" si="23"/>
        <v>0</v>
      </c>
      <c r="AU50" s="162">
        <f t="shared" si="23"/>
        <v>0</v>
      </c>
      <c r="AV50" s="162">
        <f t="shared" si="23"/>
        <v>0</v>
      </c>
      <c r="AW50" s="162">
        <f t="shared" si="23"/>
        <v>0</v>
      </c>
      <c r="AX50" s="162">
        <f t="shared" si="23"/>
        <v>0</v>
      </c>
      <c r="AY50" s="162">
        <f t="shared" si="23"/>
        <v>0</v>
      </c>
      <c r="AZ50" s="162">
        <f t="shared" si="23"/>
        <v>0</v>
      </c>
      <c r="BA50" s="162">
        <f t="shared" si="23"/>
        <v>0</v>
      </c>
      <c r="BB50" s="162">
        <f t="shared" si="23"/>
        <v>0</v>
      </c>
      <c r="BC50" s="162">
        <f t="shared" si="23"/>
        <v>0</v>
      </c>
      <c r="BD50" s="162">
        <f t="shared" si="23"/>
        <v>0</v>
      </c>
      <c r="BE50" s="162">
        <f t="shared" si="23"/>
        <v>0</v>
      </c>
      <c r="BF50" s="162">
        <f t="shared" si="23"/>
        <v>0</v>
      </c>
      <c r="BG50" s="162">
        <f t="shared" si="23"/>
        <v>0</v>
      </c>
      <c r="BH50" s="162">
        <f t="shared" si="23"/>
        <v>0</v>
      </c>
      <c r="BI50" s="162">
        <f t="shared" si="23"/>
        <v>0</v>
      </c>
      <c r="BJ50" s="162">
        <f t="shared" si="23"/>
        <v>0</v>
      </c>
      <c r="BK50" s="162">
        <f t="shared" si="23"/>
        <v>0</v>
      </c>
      <c r="BL50" s="162">
        <f t="shared" si="23"/>
        <v>0</v>
      </c>
      <c r="BM50" s="162">
        <f t="shared" si="23"/>
        <v>0</v>
      </c>
      <c r="BN50" s="162">
        <f t="shared" si="23"/>
        <v>0</v>
      </c>
      <c r="BO50" s="162">
        <f t="shared" si="23"/>
        <v>0</v>
      </c>
      <c r="BP50" s="162">
        <f t="shared" si="23"/>
        <v>0</v>
      </c>
      <c r="BQ50" s="162">
        <f t="shared" si="23"/>
        <v>0</v>
      </c>
      <c r="BR50" s="162">
        <f t="shared" si="23"/>
        <v>0</v>
      </c>
      <c r="BS50" s="162">
        <f t="shared" si="23"/>
        <v>0</v>
      </c>
      <c r="BT50" s="162">
        <f t="shared" si="23"/>
        <v>0</v>
      </c>
      <c r="BU50" s="162">
        <f t="shared" si="23"/>
        <v>0</v>
      </c>
      <c r="BV50" s="162">
        <f t="shared" si="23"/>
        <v>0</v>
      </c>
      <c r="BW50" s="162">
        <f t="shared" si="23"/>
        <v>0</v>
      </c>
      <c r="BX50" s="162">
        <f t="shared" si="23"/>
        <v>0</v>
      </c>
      <c r="BY50" s="162">
        <f t="shared" ref="BY50:DV50" si="24">SUM(BY51:BY54)</f>
        <v>0</v>
      </c>
      <c r="BZ50" s="162">
        <f t="shared" si="24"/>
        <v>0</v>
      </c>
      <c r="CA50" s="162">
        <f t="shared" si="24"/>
        <v>0</v>
      </c>
      <c r="CB50" s="162">
        <f t="shared" si="24"/>
        <v>0</v>
      </c>
      <c r="CC50" s="162">
        <f t="shared" si="24"/>
        <v>0</v>
      </c>
      <c r="CD50" s="162">
        <f t="shared" si="24"/>
        <v>0</v>
      </c>
      <c r="CE50" s="162">
        <f t="shared" si="24"/>
        <v>0</v>
      </c>
      <c r="CF50" s="162">
        <f t="shared" si="24"/>
        <v>0</v>
      </c>
      <c r="CG50" s="162">
        <f t="shared" si="24"/>
        <v>0</v>
      </c>
      <c r="CH50" s="162">
        <f t="shared" si="24"/>
        <v>0</v>
      </c>
      <c r="CI50" s="162">
        <f t="shared" si="24"/>
        <v>0</v>
      </c>
      <c r="CJ50" s="162">
        <f t="shared" si="24"/>
        <v>0</v>
      </c>
      <c r="CK50" s="162">
        <f t="shared" si="24"/>
        <v>0</v>
      </c>
      <c r="CL50" s="162">
        <f t="shared" si="24"/>
        <v>0</v>
      </c>
      <c r="CM50" s="162">
        <f t="shared" si="24"/>
        <v>0</v>
      </c>
      <c r="CN50" s="162">
        <f t="shared" si="24"/>
        <v>0</v>
      </c>
      <c r="CO50" s="162">
        <f t="shared" si="24"/>
        <v>0</v>
      </c>
      <c r="CP50" s="162">
        <f t="shared" si="24"/>
        <v>0</v>
      </c>
      <c r="CQ50" s="162">
        <f t="shared" si="24"/>
        <v>0</v>
      </c>
      <c r="CR50" s="162">
        <f t="shared" si="24"/>
        <v>0</v>
      </c>
      <c r="CS50" s="162">
        <f t="shared" si="24"/>
        <v>0</v>
      </c>
      <c r="CT50" s="162">
        <f t="shared" si="24"/>
        <v>0</v>
      </c>
      <c r="CU50" s="162">
        <f t="shared" si="24"/>
        <v>0</v>
      </c>
      <c r="CV50" s="162">
        <f t="shared" si="24"/>
        <v>0</v>
      </c>
      <c r="CW50" s="162">
        <f t="shared" si="24"/>
        <v>0</v>
      </c>
      <c r="CX50" s="162">
        <f t="shared" si="24"/>
        <v>0</v>
      </c>
      <c r="CY50" s="162">
        <f t="shared" si="24"/>
        <v>0</v>
      </c>
      <c r="CZ50" s="162">
        <f t="shared" si="24"/>
        <v>0</v>
      </c>
      <c r="DA50" s="162">
        <f t="shared" si="24"/>
        <v>0</v>
      </c>
      <c r="DB50" s="162">
        <f t="shared" si="24"/>
        <v>0</v>
      </c>
      <c r="DC50" s="162">
        <f t="shared" si="24"/>
        <v>0</v>
      </c>
      <c r="DD50" s="162">
        <f t="shared" si="24"/>
        <v>0</v>
      </c>
      <c r="DE50" s="162">
        <f t="shared" si="24"/>
        <v>0</v>
      </c>
      <c r="DF50" s="162">
        <f t="shared" si="24"/>
        <v>0</v>
      </c>
      <c r="DG50" s="162">
        <f t="shared" si="24"/>
        <v>0</v>
      </c>
      <c r="DH50" s="162">
        <f t="shared" si="24"/>
        <v>0</v>
      </c>
      <c r="DI50" s="162">
        <f t="shared" si="24"/>
        <v>0</v>
      </c>
      <c r="DJ50" s="162">
        <f t="shared" si="24"/>
        <v>0</v>
      </c>
      <c r="DK50" s="162">
        <f t="shared" si="24"/>
        <v>0</v>
      </c>
      <c r="DL50" s="162">
        <f t="shared" si="24"/>
        <v>0</v>
      </c>
      <c r="DM50" s="162">
        <f t="shared" si="24"/>
        <v>0</v>
      </c>
      <c r="DN50" s="162">
        <f t="shared" si="24"/>
        <v>0</v>
      </c>
      <c r="DO50" s="162">
        <f t="shared" si="24"/>
        <v>0</v>
      </c>
      <c r="DP50" s="162">
        <f t="shared" si="24"/>
        <v>0</v>
      </c>
      <c r="DQ50" s="162">
        <f t="shared" si="24"/>
        <v>0</v>
      </c>
      <c r="DR50" s="162">
        <f t="shared" si="24"/>
        <v>0</v>
      </c>
      <c r="DS50" s="162">
        <f t="shared" si="24"/>
        <v>0</v>
      </c>
      <c r="DT50" s="162">
        <f t="shared" si="24"/>
        <v>0</v>
      </c>
      <c r="DU50" s="162">
        <f t="shared" si="24"/>
        <v>0</v>
      </c>
      <c r="DV50" s="162">
        <f t="shared" si="24"/>
        <v>0</v>
      </c>
    </row>
    <row r="51" spans="2:126" ht="11.25" customHeight="1">
      <c r="B51" s="218"/>
      <c r="C51" s="163"/>
      <c r="D51" s="164" t="s">
        <v>199</v>
      </c>
      <c r="E51" s="165"/>
      <c r="F51" s="165"/>
      <c r="G51" s="165"/>
      <c r="H51" s="166"/>
      <c r="I51" s="228">
        <f>'A&amp;R'!AJ58</f>
        <v>375860758.22378767</v>
      </c>
      <c r="J51" s="168">
        <f>SUM(L51:DV51)</f>
        <v>375860758.22378767</v>
      </c>
      <c r="K51" s="98"/>
      <c r="L51" s="168">
        <f>SUMIF('CF(M)'!$L$11:$EQ$11,L$6,'CF(M)'!$L56:$EQ56)</f>
        <v>0</v>
      </c>
      <c r="M51" s="168">
        <f>SUMIF('CF(M)'!$L$11:$EQ$11,M$6,'CF(M)'!$L56:$EQ56)</f>
        <v>0</v>
      </c>
      <c r="N51" s="168">
        <f>SUMIF('CF(M)'!$L$11:$EQ$11,N$6,'CF(M)'!$L56:$EQ56)</f>
        <v>0</v>
      </c>
      <c r="O51" s="168">
        <f>SUMIF('CF(M)'!$L$11:$EQ$11,O$6,'CF(M)'!$L56:$EQ56)</f>
        <v>0</v>
      </c>
      <c r="P51" s="168">
        <f>SUMIF('CF(M)'!$L$11:$EQ$11,P$6,'CF(M)'!$L56:$EQ56)</f>
        <v>0</v>
      </c>
      <c r="Q51" s="168">
        <f>SUMIF('CF(M)'!$L$11:$EQ$11,Q$6,'CF(M)'!$L56:$EQ56)</f>
        <v>0</v>
      </c>
      <c r="R51" s="168">
        <f>SUMIF('CF(M)'!$L$11:$EQ$11,R$6,'CF(M)'!$L56:$EQ56)</f>
        <v>0</v>
      </c>
      <c r="S51" s="168">
        <f>SUMIF('CF(M)'!$L$11:$EQ$11,S$6,'CF(M)'!$L56:$EQ56)</f>
        <v>0</v>
      </c>
      <c r="T51" s="168">
        <f>SUMIF('CF(M)'!$L$11:$EQ$11,T$6,'CF(M)'!$L56:$EQ56)</f>
        <v>0</v>
      </c>
      <c r="U51" s="168">
        <f>SUMIF('CF(M)'!$L$11:$EQ$11,U$6,'CF(M)'!$L56:$EQ56)</f>
        <v>0</v>
      </c>
      <c r="V51" s="168">
        <f>SUMIF('CF(M)'!$L$11:$EQ$11,V$6,'CF(M)'!$L56:$EQ56)</f>
        <v>375860758.22378767</v>
      </c>
      <c r="W51" s="168">
        <f>SUMIF('CF(M)'!$L$11:$EQ$11,W$6,'CF(M)'!$L56:$EQ56)</f>
        <v>0</v>
      </c>
      <c r="X51" s="168">
        <f>SUMIF('CF(M)'!$L$11:$EQ$11,X$6,'CF(M)'!$L56:$EQ56)</f>
        <v>0</v>
      </c>
      <c r="Y51" s="168">
        <f>SUMIF('CF(M)'!$L$11:$EQ$11,Y$6,'CF(M)'!$L56:$EQ56)</f>
        <v>0</v>
      </c>
      <c r="Z51" s="168">
        <f>SUMIF('CF(M)'!$L$11:$EQ$11,Z$6,'CF(M)'!$L56:$EQ56)</f>
        <v>0</v>
      </c>
      <c r="AA51" s="168">
        <f>SUMIF('CF(M)'!$L$11:$EQ$11,AA$6,'CF(M)'!$L56:$EQ56)</f>
        <v>0</v>
      </c>
      <c r="AB51" s="168">
        <f>SUMIF('CF(M)'!$L$11:$EQ$11,AB$6,'CF(M)'!$L56:$EQ56)</f>
        <v>0</v>
      </c>
      <c r="AC51" s="168">
        <f>SUMIF('CF(M)'!$L$11:$EQ$11,AC$6,'CF(M)'!$L56:$EQ56)</f>
        <v>0</v>
      </c>
      <c r="AD51" s="168">
        <f>SUMIF('CF(M)'!$L$11:$EQ$11,AD$6,'CF(M)'!$L56:$EQ56)</f>
        <v>0</v>
      </c>
      <c r="AE51" s="168">
        <f>SUMIF('CF(M)'!$L$11:$EQ$11,AE$6,'CF(M)'!$L56:$EQ56)</f>
        <v>0</v>
      </c>
      <c r="AF51" s="168">
        <f>SUMIF('CF(M)'!$L$11:$EQ$11,AF$6,'CF(M)'!$L56:$EQ56)</f>
        <v>0</v>
      </c>
      <c r="AG51" s="168">
        <f>SUMIF('CF(M)'!$L$11:$EQ$11,AG$6,'CF(M)'!$L56:$EQ56)</f>
        <v>0</v>
      </c>
      <c r="AH51" s="168">
        <f>SUMIF('CF(M)'!$L$11:$EQ$11,AH$6,'CF(M)'!$L56:$EQ56)</f>
        <v>0</v>
      </c>
      <c r="AI51" s="168">
        <f>SUMIF('CF(M)'!$L$11:$EQ$11,AI$6,'CF(M)'!$L56:$EQ56)</f>
        <v>0</v>
      </c>
      <c r="AJ51" s="168">
        <f>SUMIF('CF(M)'!$L$11:$EQ$11,AJ$6,'CF(M)'!$L56:$EQ56)</f>
        <v>0</v>
      </c>
      <c r="AK51" s="168">
        <f>SUMIF('CF(M)'!$L$11:$EQ$11,AK$6,'CF(M)'!$L56:$EQ56)</f>
        <v>0</v>
      </c>
      <c r="AL51" s="168">
        <f>SUMIF('CF(M)'!$L$11:$EQ$11,AL$6,'CF(M)'!$L56:$EQ56)</f>
        <v>0</v>
      </c>
      <c r="AM51" s="168">
        <f>SUMIF('CF(M)'!$L$11:$EQ$11,AM$6,'CF(M)'!$L56:$EQ56)</f>
        <v>0</v>
      </c>
      <c r="AN51" s="168">
        <f>SUMIF('CF(M)'!$L$11:$EQ$11,AN$6,'CF(M)'!$L56:$EQ56)</f>
        <v>0</v>
      </c>
      <c r="AO51" s="168">
        <f>SUMIF('CF(M)'!$L$11:$EQ$11,AO$6,'CF(M)'!$L56:$EQ56)</f>
        <v>0</v>
      </c>
      <c r="AP51" s="168">
        <f>SUMIF('CF(M)'!$L$11:$EQ$11,AP$6,'CF(M)'!$L56:$EQ56)</f>
        <v>0</v>
      </c>
      <c r="AQ51" s="168">
        <f>SUMIF('CF(M)'!$L$11:$EQ$11,AQ$6,'CF(M)'!$L56:$EQ56)</f>
        <v>0</v>
      </c>
      <c r="AR51" s="168">
        <f>SUMIF('CF(M)'!$L$11:$EQ$11,AR$6,'CF(M)'!$L56:$EQ56)</f>
        <v>0</v>
      </c>
      <c r="AS51" s="168">
        <f>SUMIF('CF(M)'!$L$11:$EQ$11,AS$6,'CF(M)'!$L56:$EQ56)</f>
        <v>0</v>
      </c>
      <c r="AT51" s="168">
        <f>SUMIF('CF(M)'!$L$11:$EQ$11,AT$6,'CF(M)'!$L56:$EQ56)</f>
        <v>0</v>
      </c>
      <c r="AU51" s="168">
        <f>SUMIF('CF(M)'!$L$11:$EQ$11,AU$6,'CF(M)'!$L56:$EQ56)</f>
        <v>0</v>
      </c>
      <c r="AV51" s="168">
        <f>SUMIF('CF(M)'!$L$11:$EQ$11,AV$6,'CF(M)'!$L56:$EQ56)</f>
        <v>0</v>
      </c>
      <c r="AW51" s="168">
        <f>SUMIF('CF(M)'!$L$11:$EQ$11,AW$6,'CF(M)'!$L56:$EQ56)</f>
        <v>0</v>
      </c>
      <c r="AX51" s="168">
        <f>SUMIF('CF(M)'!$L$11:$EQ$11,AX$6,'CF(M)'!$L56:$EQ56)</f>
        <v>0</v>
      </c>
      <c r="AY51" s="168">
        <f>SUMIF('CF(M)'!$L$11:$EQ$11,AY$6,'CF(M)'!$L56:$EQ56)</f>
        <v>0</v>
      </c>
      <c r="AZ51" s="168">
        <f>SUMIF('CF(M)'!$L$11:$EQ$11,AZ$6,'CF(M)'!$L56:$EQ56)</f>
        <v>0</v>
      </c>
      <c r="BA51" s="168">
        <f>SUMIF('CF(M)'!$L$11:$EQ$11,BA$6,'CF(M)'!$L56:$EQ56)</f>
        <v>0</v>
      </c>
      <c r="BB51" s="168">
        <f>SUMIF('CF(M)'!$L$11:$EQ$11,BB$6,'CF(M)'!$L56:$EQ56)</f>
        <v>0</v>
      </c>
      <c r="BC51" s="168">
        <f>SUMIF('CF(M)'!$L$11:$EQ$11,BC$6,'CF(M)'!$L56:$EQ56)</f>
        <v>0</v>
      </c>
      <c r="BD51" s="168">
        <f>SUMIF('CF(M)'!$L$11:$EQ$11,BD$6,'CF(M)'!$L56:$EQ56)</f>
        <v>0</v>
      </c>
      <c r="BE51" s="168">
        <f>SUMIF('CF(M)'!$L$11:$EQ$11,BE$6,'CF(M)'!$L56:$EQ56)</f>
        <v>0</v>
      </c>
      <c r="BF51" s="168">
        <f>SUMIF('CF(M)'!$L$11:$EQ$11,BF$6,'CF(M)'!$L56:$EQ56)</f>
        <v>0</v>
      </c>
      <c r="BG51" s="168">
        <f>SUMIF('CF(M)'!$L$11:$EQ$11,BG$6,'CF(M)'!$L56:$EQ56)</f>
        <v>0</v>
      </c>
      <c r="BH51" s="168">
        <f>SUMIF('CF(M)'!$L$11:$EQ$11,BH$6,'CF(M)'!$L56:$EQ56)</f>
        <v>0</v>
      </c>
      <c r="BI51" s="168">
        <f>SUMIF('CF(M)'!$L$11:$EQ$11,BI$6,'CF(M)'!$L56:$EQ56)</f>
        <v>0</v>
      </c>
      <c r="BJ51" s="168">
        <f>SUMIF('CF(M)'!$L$11:$EQ$11,BJ$6,'CF(M)'!$L56:$EQ56)</f>
        <v>0</v>
      </c>
      <c r="BK51" s="168">
        <f>SUMIF('CF(M)'!$L$11:$EQ$11,BK$6,'CF(M)'!$L56:$EQ56)</f>
        <v>0</v>
      </c>
      <c r="BL51" s="168">
        <f>SUMIF('CF(M)'!$L$11:$EQ$11,BL$6,'CF(M)'!$L56:$EQ56)</f>
        <v>0</v>
      </c>
      <c r="BM51" s="168">
        <f>SUMIF('CF(M)'!$L$11:$EQ$11,BM$6,'CF(M)'!$L56:$EQ56)</f>
        <v>0</v>
      </c>
      <c r="BN51" s="168">
        <f>SUMIF('CF(M)'!$L$11:$EQ$11,BN$6,'CF(M)'!$L56:$EQ56)</f>
        <v>0</v>
      </c>
      <c r="BO51" s="168">
        <f>SUMIF('CF(M)'!$L$11:$EQ$11,BO$6,'CF(M)'!$L56:$EQ56)</f>
        <v>0</v>
      </c>
      <c r="BP51" s="168">
        <f>SUMIF('CF(M)'!$L$11:$EQ$11,BP$6,'CF(M)'!$L56:$EQ56)</f>
        <v>0</v>
      </c>
      <c r="BQ51" s="168">
        <f>SUMIF('CF(M)'!$L$11:$EQ$11,BQ$6,'CF(M)'!$L56:$EQ56)</f>
        <v>0</v>
      </c>
      <c r="BR51" s="168">
        <f>SUMIF('CF(M)'!$L$11:$EQ$11,BR$6,'CF(M)'!$L56:$EQ56)</f>
        <v>0</v>
      </c>
      <c r="BS51" s="168">
        <f>SUMIF('CF(M)'!$L$11:$EQ$11,BS$6,'CF(M)'!$L56:$EQ56)</f>
        <v>0</v>
      </c>
      <c r="BT51" s="168">
        <f>SUMIF('CF(M)'!$L$11:$EQ$11,BT$6,'CF(M)'!$L56:$EQ56)</f>
        <v>0</v>
      </c>
      <c r="BU51" s="168">
        <f>SUMIF('CF(M)'!$L$11:$EQ$11,BU$6,'CF(M)'!$L56:$EQ56)</f>
        <v>0</v>
      </c>
      <c r="BV51" s="168">
        <f>SUMIF('CF(M)'!$L$11:$EQ$11,BV$6,'CF(M)'!$L56:$EQ56)</f>
        <v>0</v>
      </c>
      <c r="BW51" s="168">
        <f>SUMIF('CF(M)'!$L$11:$EQ$11,BW$6,'CF(M)'!$L56:$EQ56)</f>
        <v>0</v>
      </c>
      <c r="BX51" s="168">
        <f>SUMIF('CF(M)'!$L$11:$EQ$11,BX$6,'CF(M)'!$L56:$EQ56)</f>
        <v>0</v>
      </c>
      <c r="BY51" s="168">
        <f>SUMIF('CF(M)'!$L$11:$EQ$11,BY$6,'CF(M)'!$L56:$EQ56)</f>
        <v>0</v>
      </c>
      <c r="BZ51" s="168">
        <f>SUMIF('CF(M)'!$L$11:$EQ$11,BZ$6,'CF(M)'!$L56:$EQ56)</f>
        <v>0</v>
      </c>
      <c r="CA51" s="168">
        <f>SUMIF('CF(M)'!$L$11:$EQ$11,CA$6,'CF(M)'!$L56:$EQ56)</f>
        <v>0</v>
      </c>
      <c r="CB51" s="168">
        <f>SUMIF('CF(M)'!$L$11:$EQ$11,CB$6,'CF(M)'!$L56:$EQ56)</f>
        <v>0</v>
      </c>
      <c r="CC51" s="168">
        <f>SUMIF('CF(M)'!$L$11:$EQ$11,CC$6,'CF(M)'!$L56:$EQ56)</f>
        <v>0</v>
      </c>
      <c r="CD51" s="168">
        <f>SUMIF('CF(M)'!$L$11:$EQ$11,CD$6,'CF(M)'!$L56:$EQ56)</f>
        <v>0</v>
      </c>
      <c r="CE51" s="168">
        <f>SUMIF('CF(M)'!$L$11:$EQ$11,CE$6,'CF(M)'!$L56:$EQ56)</f>
        <v>0</v>
      </c>
      <c r="CF51" s="168">
        <f>SUMIF('CF(M)'!$L$11:$EQ$11,CF$6,'CF(M)'!$L56:$EQ56)</f>
        <v>0</v>
      </c>
      <c r="CG51" s="168">
        <f>SUMIF('CF(M)'!$L$11:$EQ$11,CG$6,'CF(M)'!$L56:$EQ56)</f>
        <v>0</v>
      </c>
      <c r="CH51" s="168">
        <f>SUMIF('CF(M)'!$L$11:$EQ$11,CH$6,'CF(M)'!$L56:$EQ56)</f>
        <v>0</v>
      </c>
      <c r="CI51" s="168">
        <f>SUMIF('CF(M)'!$L$11:$EQ$11,CI$6,'CF(M)'!$L56:$EQ56)</f>
        <v>0</v>
      </c>
      <c r="CJ51" s="168">
        <f>SUMIF('CF(M)'!$L$11:$EQ$11,CJ$6,'CF(M)'!$L56:$EQ56)</f>
        <v>0</v>
      </c>
      <c r="CK51" s="168">
        <f>SUMIF('CF(M)'!$L$11:$EQ$11,CK$6,'CF(M)'!$L56:$EQ56)</f>
        <v>0</v>
      </c>
      <c r="CL51" s="168">
        <f>SUMIF('CF(M)'!$L$11:$EQ$11,CL$6,'CF(M)'!$L56:$EQ56)</f>
        <v>0</v>
      </c>
      <c r="CM51" s="168">
        <f>SUMIF('CF(M)'!$L$11:$EQ$11,CM$6,'CF(M)'!$L56:$EQ56)</f>
        <v>0</v>
      </c>
      <c r="CN51" s="168">
        <f>SUMIF('CF(M)'!$L$11:$EQ$11,CN$6,'CF(M)'!$L56:$EQ56)</f>
        <v>0</v>
      </c>
      <c r="CO51" s="168">
        <f>SUMIF('CF(M)'!$L$11:$EQ$11,CO$6,'CF(M)'!$L56:$EQ56)</f>
        <v>0</v>
      </c>
      <c r="CP51" s="168">
        <f>SUMIF('CF(M)'!$L$11:$EQ$11,CP$6,'CF(M)'!$L56:$EQ56)</f>
        <v>0</v>
      </c>
      <c r="CQ51" s="168">
        <f>SUMIF('CF(M)'!$L$11:$EQ$11,CQ$6,'CF(M)'!$L56:$EQ56)</f>
        <v>0</v>
      </c>
      <c r="CR51" s="168">
        <f>SUMIF('CF(M)'!$L$11:$EQ$11,CR$6,'CF(M)'!$L56:$EQ56)</f>
        <v>0</v>
      </c>
      <c r="CS51" s="168">
        <f>SUMIF('CF(M)'!$L$11:$EQ$11,CS$6,'CF(M)'!$L56:$EQ56)</f>
        <v>0</v>
      </c>
      <c r="CT51" s="168">
        <f>SUMIF('CF(M)'!$L$11:$EQ$11,CT$6,'CF(M)'!$L56:$EQ56)</f>
        <v>0</v>
      </c>
      <c r="CU51" s="168">
        <f>SUMIF('CF(M)'!$L$11:$EQ$11,CU$6,'CF(M)'!$L56:$EQ56)</f>
        <v>0</v>
      </c>
      <c r="CV51" s="168">
        <f>SUMIF('CF(M)'!$L$11:$EQ$11,CV$6,'CF(M)'!$L56:$EQ56)</f>
        <v>0</v>
      </c>
      <c r="CW51" s="168">
        <f>SUMIF('CF(M)'!$L$11:$EQ$11,CW$6,'CF(M)'!$L56:$EQ56)</f>
        <v>0</v>
      </c>
      <c r="CX51" s="168">
        <f>SUMIF('CF(M)'!$L$11:$EQ$11,CX$6,'CF(M)'!$L56:$EQ56)</f>
        <v>0</v>
      </c>
      <c r="CY51" s="168">
        <f>SUMIF('CF(M)'!$L$11:$EQ$11,CY$6,'CF(M)'!$L56:$EQ56)</f>
        <v>0</v>
      </c>
      <c r="CZ51" s="168">
        <f>SUMIF('CF(M)'!$L$11:$EQ$11,CZ$6,'CF(M)'!$L56:$EQ56)</f>
        <v>0</v>
      </c>
      <c r="DA51" s="168">
        <f>SUMIF('CF(M)'!$L$11:$EQ$11,DA$6,'CF(M)'!$L56:$EQ56)</f>
        <v>0</v>
      </c>
      <c r="DB51" s="168">
        <f>SUMIF('CF(M)'!$L$11:$EQ$11,DB$6,'CF(M)'!$L56:$EQ56)</f>
        <v>0</v>
      </c>
      <c r="DC51" s="168">
        <f>SUMIF('CF(M)'!$L$11:$EQ$11,DC$6,'CF(M)'!$L56:$EQ56)</f>
        <v>0</v>
      </c>
      <c r="DD51" s="168">
        <f>SUMIF('CF(M)'!$L$11:$EQ$11,DD$6,'CF(M)'!$L56:$EQ56)</f>
        <v>0</v>
      </c>
      <c r="DE51" s="168">
        <f>SUMIF('CF(M)'!$L$11:$EQ$11,DE$6,'CF(M)'!$L56:$EQ56)</f>
        <v>0</v>
      </c>
      <c r="DF51" s="168">
        <f>SUMIF('CF(M)'!$L$11:$EQ$11,DF$6,'CF(M)'!$L56:$EQ56)</f>
        <v>0</v>
      </c>
      <c r="DG51" s="168">
        <f>SUMIF('CF(M)'!$L$11:$EQ$11,DG$6,'CF(M)'!$L56:$EQ56)</f>
        <v>0</v>
      </c>
      <c r="DH51" s="168">
        <f>SUMIF('CF(M)'!$L$11:$EQ$11,DH$6,'CF(M)'!$L56:$EQ56)</f>
        <v>0</v>
      </c>
      <c r="DI51" s="168">
        <f>SUMIF('CF(M)'!$L$11:$EQ$11,DI$6,'CF(M)'!$L56:$EQ56)</f>
        <v>0</v>
      </c>
      <c r="DJ51" s="168">
        <f>SUMIF('CF(M)'!$L$11:$EQ$11,DJ$6,'CF(M)'!$L56:$EQ56)</f>
        <v>0</v>
      </c>
      <c r="DK51" s="168">
        <f>SUMIF('CF(M)'!$L$11:$EQ$11,DK$6,'CF(M)'!$L56:$EQ56)</f>
        <v>0</v>
      </c>
      <c r="DL51" s="168">
        <f>SUMIF('CF(M)'!$L$11:$EQ$11,DL$6,'CF(M)'!$L56:$EQ56)</f>
        <v>0</v>
      </c>
      <c r="DM51" s="168">
        <f>SUMIF('CF(M)'!$L$11:$EQ$11,DM$6,'CF(M)'!$L56:$EQ56)</f>
        <v>0</v>
      </c>
      <c r="DN51" s="168">
        <f>SUMIF('CF(M)'!$L$11:$EQ$11,DN$6,'CF(M)'!$L56:$EQ56)</f>
        <v>0</v>
      </c>
      <c r="DO51" s="168">
        <f>SUMIF('CF(M)'!$L$11:$EQ$11,DO$6,'CF(M)'!$L56:$EQ56)</f>
        <v>0</v>
      </c>
      <c r="DP51" s="168">
        <f>SUMIF('CF(M)'!$L$11:$EQ$11,DP$6,'CF(M)'!$L56:$EQ56)</f>
        <v>0</v>
      </c>
      <c r="DQ51" s="168">
        <f>SUMIF('CF(M)'!$L$11:$EQ$11,DQ$6,'CF(M)'!$L56:$EQ56)</f>
        <v>0</v>
      </c>
      <c r="DR51" s="168">
        <f>SUMIF('CF(M)'!$L$11:$EQ$11,DR$6,'CF(M)'!$L56:$EQ56)</f>
        <v>0</v>
      </c>
      <c r="DS51" s="168">
        <f>SUMIF('CF(M)'!$L$11:$EQ$11,DS$6,'CF(M)'!$L56:$EQ56)</f>
        <v>0</v>
      </c>
      <c r="DT51" s="168">
        <f>SUMIF('CF(M)'!$L$11:$EQ$11,DT$6,'CF(M)'!$L56:$EQ56)</f>
        <v>0</v>
      </c>
      <c r="DU51" s="168">
        <f>SUMIF('CF(M)'!$L$11:$EQ$11,DU$6,'CF(M)'!$L56:$EQ56)</f>
        <v>0</v>
      </c>
      <c r="DV51" s="168">
        <f>SUMIF('CF(M)'!$L$11:$EQ$11,DV$6,'CF(M)'!$L56:$EQ56)</f>
        <v>0</v>
      </c>
    </row>
    <row r="52" spans="2:126" ht="11.25" customHeight="1">
      <c r="B52" s="218"/>
      <c r="C52" s="163"/>
      <c r="D52" s="169" t="s">
        <v>200</v>
      </c>
      <c r="H52" s="146"/>
      <c r="I52" s="229">
        <f>-'A&amp;R'!AJ62</f>
        <v>-1879303.7911189385</v>
      </c>
      <c r="J52" s="171">
        <f t="shared" ref="J52:J61" si="25">SUM(L52:DV52)</f>
        <v>-1879303.7911189385</v>
      </c>
      <c r="K52" s="98"/>
      <c r="L52" s="171">
        <f>SUMIF('CF(M)'!$L$11:$EQ$11,L$6,'CF(M)'!$L57:$EQ57)</f>
        <v>0</v>
      </c>
      <c r="M52" s="171">
        <f>SUMIF('CF(M)'!$L$11:$EQ$11,M$6,'CF(M)'!$L57:$EQ57)</f>
        <v>0</v>
      </c>
      <c r="N52" s="171">
        <f>SUMIF('CF(M)'!$L$11:$EQ$11,N$6,'CF(M)'!$L57:$EQ57)</f>
        <v>0</v>
      </c>
      <c r="O52" s="171">
        <f>SUMIF('CF(M)'!$L$11:$EQ$11,O$6,'CF(M)'!$L57:$EQ57)</f>
        <v>0</v>
      </c>
      <c r="P52" s="171">
        <f>SUMIF('CF(M)'!$L$11:$EQ$11,P$6,'CF(M)'!$L57:$EQ57)</f>
        <v>0</v>
      </c>
      <c r="Q52" s="171">
        <f>SUMIF('CF(M)'!$L$11:$EQ$11,Q$6,'CF(M)'!$L57:$EQ57)</f>
        <v>0</v>
      </c>
      <c r="R52" s="171">
        <f>SUMIF('CF(M)'!$L$11:$EQ$11,R$6,'CF(M)'!$L57:$EQ57)</f>
        <v>0</v>
      </c>
      <c r="S52" s="171">
        <f>SUMIF('CF(M)'!$L$11:$EQ$11,S$6,'CF(M)'!$L57:$EQ57)</f>
        <v>0</v>
      </c>
      <c r="T52" s="171">
        <f>SUMIF('CF(M)'!$L$11:$EQ$11,T$6,'CF(M)'!$L57:$EQ57)</f>
        <v>0</v>
      </c>
      <c r="U52" s="171">
        <f>SUMIF('CF(M)'!$L$11:$EQ$11,U$6,'CF(M)'!$L57:$EQ57)</f>
        <v>0</v>
      </c>
      <c r="V52" s="171">
        <f>SUMIF('CF(M)'!$L$11:$EQ$11,V$6,'CF(M)'!$L57:$EQ57)</f>
        <v>-1879303.7911189385</v>
      </c>
      <c r="W52" s="171">
        <f>SUMIF('CF(M)'!$L$11:$EQ$11,W$6,'CF(M)'!$L57:$EQ57)</f>
        <v>0</v>
      </c>
      <c r="X52" s="171">
        <f>SUMIF('CF(M)'!$L$11:$EQ$11,X$6,'CF(M)'!$L57:$EQ57)</f>
        <v>0</v>
      </c>
      <c r="Y52" s="171">
        <f>SUMIF('CF(M)'!$L$11:$EQ$11,Y$6,'CF(M)'!$L57:$EQ57)</f>
        <v>0</v>
      </c>
      <c r="Z52" s="171">
        <f>SUMIF('CF(M)'!$L$11:$EQ$11,Z$6,'CF(M)'!$L57:$EQ57)</f>
        <v>0</v>
      </c>
      <c r="AA52" s="171">
        <f>SUMIF('CF(M)'!$L$11:$EQ$11,AA$6,'CF(M)'!$L57:$EQ57)</f>
        <v>0</v>
      </c>
      <c r="AB52" s="171">
        <f>SUMIF('CF(M)'!$L$11:$EQ$11,AB$6,'CF(M)'!$L57:$EQ57)</f>
        <v>0</v>
      </c>
      <c r="AC52" s="171">
        <f>SUMIF('CF(M)'!$L$11:$EQ$11,AC$6,'CF(M)'!$L57:$EQ57)</f>
        <v>0</v>
      </c>
      <c r="AD52" s="171">
        <f>SUMIF('CF(M)'!$L$11:$EQ$11,AD$6,'CF(M)'!$L57:$EQ57)</f>
        <v>0</v>
      </c>
      <c r="AE52" s="171">
        <f>SUMIF('CF(M)'!$L$11:$EQ$11,AE$6,'CF(M)'!$L57:$EQ57)</f>
        <v>0</v>
      </c>
      <c r="AF52" s="171">
        <f>SUMIF('CF(M)'!$L$11:$EQ$11,AF$6,'CF(M)'!$L57:$EQ57)</f>
        <v>0</v>
      </c>
      <c r="AG52" s="171">
        <f>SUMIF('CF(M)'!$L$11:$EQ$11,AG$6,'CF(M)'!$L57:$EQ57)</f>
        <v>0</v>
      </c>
      <c r="AH52" s="171">
        <f>SUMIF('CF(M)'!$L$11:$EQ$11,AH$6,'CF(M)'!$L57:$EQ57)</f>
        <v>0</v>
      </c>
      <c r="AI52" s="171">
        <f>SUMIF('CF(M)'!$L$11:$EQ$11,AI$6,'CF(M)'!$L57:$EQ57)</f>
        <v>0</v>
      </c>
      <c r="AJ52" s="171">
        <f>SUMIF('CF(M)'!$L$11:$EQ$11,AJ$6,'CF(M)'!$L57:$EQ57)</f>
        <v>0</v>
      </c>
      <c r="AK52" s="171">
        <f>SUMIF('CF(M)'!$L$11:$EQ$11,AK$6,'CF(M)'!$L57:$EQ57)</f>
        <v>0</v>
      </c>
      <c r="AL52" s="171">
        <f>SUMIF('CF(M)'!$L$11:$EQ$11,AL$6,'CF(M)'!$L57:$EQ57)</f>
        <v>0</v>
      </c>
      <c r="AM52" s="171">
        <f>SUMIF('CF(M)'!$L$11:$EQ$11,AM$6,'CF(M)'!$L57:$EQ57)</f>
        <v>0</v>
      </c>
      <c r="AN52" s="171">
        <f>SUMIF('CF(M)'!$L$11:$EQ$11,AN$6,'CF(M)'!$L57:$EQ57)</f>
        <v>0</v>
      </c>
      <c r="AO52" s="171">
        <f>SUMIF('CF(M)'!$L$11:$EQ$11,AO$6,'CF(M)'!$L57:$EQ57)</f>
        <v>0</v>
      </c>
      <c r="AP52" s="171">
        <f>SUMIF('CF(M)'!$L$11:$EQ$11,AP$6,'CF(M)'!$L57:$EQ57)</f>
        <v>0</v>
      </c>
      <c r="AQ52" s="171">
        <f>SUMIF('CF(M)'!$L$11:$EQ$11,AQ$6,'CF(M)'!$L57:$EQ57)</f>
        <v>0</v>
      </c>
      <c r="AR52" s="171">
        <f>SUMIF('CF(M)'!$L$11:$EQ$11,AR$6,'CF(M)'!$L57:$EQ57)</f>
        <v>0</v>
      </c>
      <c r="AS52" s="171">
        <f>SUMIF('CF(M)'!$L$11:$EQ$11,AS$6,'CF(M)'!$L57:$EQ57)</f>
        <v>0</v>
      </c>
      <c r="AT52" s="171">
        <f>SUMIF('CF(M)'!$L$11:$EQ$11,AT$6,'CF(M)'!$L57:$EQ57)</f>
        <v>0</v>
      </c>
      <c r="AU52" s="171">
        <f>SUMIF('CF(M)'!$L$11:$EQ$11,AU$6,'CF(M)'!$L57:$EQ57)</f>
        <v>0</v>
      </c>
      <c r="AV52" s="171">
        <f>SUMIF('CF(M)'!$L$11:$EQ$11,AV$6,'CF(M)'!$L57:$EQ57)</f>
        <v>0</v>
      </c>
      <c r="AW52" s="171">
        <f>SUMIF('CF(M)'!$L$11:$EQ$11,AW$6,'CF(M)'!$L57:$EQ57)</f>
        <v>0</v>
      </c>
      <c r="AX52" s="171">
        <f>SUMIF('CF(M)'!$L$11:$EQ$11,AX$6,'CF(M)'!$L57:$EQ57)</f>
        <v>0</v>
      </c>
      <c r="AY52" s="171">
        <f>SUMIF('CF(M)'!$L$11:$EQ$11,AY$6,'CF(M)'!$L57:$EQ57)</f>
        <v>0</v>
      </c>
      <c r="AZ52" s="171">
        <f>SUMIF('CF(M)'!$L$11:$EQ$11,AZ$6,'CF(M)'!$L57:$EQ57)</f>
        <v>0</v>
      </c>
      <c r="BA52" s="171">
        <f>SUMIF('CF(M)'!$L$11:$EQ$11,BA$6,'CF(M)'!$L57:$EQ57)</f>
        <v>0</v>
      </c>
      <c r="BB52" s="171">
        <f>SUMIF('CF(M)'!$L$11:$EQ$11,BB$6,'CF(M)'!$L57:$EQ57)</f>
        <v>0</v>
      </c>
      <c r="BC52" s="171">
        <f>SUMIF('CF(M)'!$L$11:$EQ$11,BC$6,'CF(M)'!$L57:$EQ57)</f>
        <v>0</v>
      </c>
      <c r="BD52" s="171">
        <f>SUMIF('CF(M)'!$L$11:$EQ$11,BD$6,'CF(M)'!$L57:$EQ57)</f>
        <v>0</v>
      </c>
      <c r="BE52" s="171">
        <f>SUMIF('CF(M)'!$L$11:$EQ$11,BE$6,'CF(M)'!$L57:$EQ57)</f>
        <v>0</v>
      </c>
      <c r="BF52" s="171">
        <f>SUMIF('CF(M)'!$L$11:$EQ$11,BF$6,'CF(M)'!$L57:$EQ57)</f>
        <v>0</v>
      </c>
      <c r="BG52" s="171">
        <f>SUMIF('CF(M)'!$L$11:$EQ$11,BG$6,'CF(M)'!$L57:$EQ57)</f>
        <v>0</v>
      </c>
      <c r="BH52" s="171">
        <f>SUMIF('CF(M)'!$L$11:$EQ$11,BH$6,'CF(M)'!$L57:$EQ57)</f>
        <v>0</v>
      </c>
      <c r="BI52" s="171">
        <f>SUMIF('CF(M)'!$L$11:$EQ$11,BI$6,'CF(M)'!$L57:$EQ57)</f>
        <v>0</v>
      </c>
      <c r="BJ52" s="171">
        <f>SUMIF('CF(M)'!$L$11:$EQ$11,BJ$6,'CF(M)'!$L57:$EQ57)</f>
        <v>0</v>
      </c>
      <c r="BK52" s="171">
        <f>SUMIF('CF(M)'!$L$11:$EQ$11,BK$6,'CF(M)'!$L57:$EQ57)</f>
        <v>0</v>
      </c>
      <c r="BL52" s="171">
        <f>SUMIF('CF(M)'!$L$11:$EQ$11,BL$6,'CF(M)'!$L57:$EQ57)</f>
        <v>0</v>
      </c>
      <c r="BM52" s="171">
        <f>SUMIF('CF(M)'!$L$11:$EQ$11,BM$6,'CF(M)'!$L57:$EQ57)</f>
        <v>0</v>
      </c>
      <c r="BN52" s="171">
        <f>SUMIF('CF(M)'!$L$11:$EQ$11,BN$6,'CF(M)'!$L57:$EQ57)</f>
        <v>0</v>
      </c>
      <c r="BO52" s="171">
        <f>SUMIF('CF(M)'!$L$11:$EQ$11,BO$6,'CF(M)'!$L57:$EQ57)</f>
        <v>0</v>
      </c>
      <c r="BP52" s="171">
        <f>SUMIF('CF(M)'!$L$11:$EQ$11,BP$6,'CF(M)'!$L57:$EQ57)</f>
        <v>0</v>
      </c>
      <c r="BQ52" s="171">
        <f>SUMIF('CF(M)'!$L$11:$EQ$11,BQ$6,'CF(M)'!$L57:$EQ57)</f>
        <v>0</v>
      </c>
      <c r="BR52" s="171">
        <f>SUMIF('CF(M)'!$L$11:$EQ$11,BR$6,'CF(M)'!$L57:$EQ57)</f>
        <v>0</v>
      </c>
      <c r="BS52" s="171">
        <f>SUMIF('CF(M)'!$L$11:$EQ$11,BS$6,'CF(M)'!$L57:$EQ57)</f>
        <v>0</v>
      </c>
      <c r="BT52" s="171">
        <f>SUMIF('CF(M)'!$L$11:$EQ$11,BT$6,'CF(M)'!$L57:$EQ57)</f>
        <v>0</v>
      </c>
      <c r="BU52" s="171">
        <f>SUMIF('CF(M)'!$L$11:$EQ$11,BU$6,'CF(M)'!$L57:$EQ57)</f>
        <v>0</v>
      </c>
      <c r="BV52" s="171">
        <f>SUMIF('CF(M)'!$L$11:$EQ$11,BV$6,'CF(M)'!$L57:$EQ57)</f>
        <v>0</v>
      </c>
      <c r="BW52" s="171">
        <f>SUMIF('CF(M)'!$L$11:$EQ$11,BW$6,'CF(M)'!$L57:$EQ57)</f>
        <v>0</v>
      </c>
      <c r="BX52" s="171">
        <f>SUMIF('CF(M)'!$L$11:$EQ$11,BX$6,'CF(M)'!$L57:$EQ57)</f>
        <v>0</v>
      </c>
      <c r="BY52" s="171">
        <f>SUMIF('CF(M)'!$L$11:$EQ$11,BY$6,'CF(M)'!$L57:$EQ57)</f>
        <v>0</v>
      </c>
      <c r="BZ52" s="171">
        <f>SUMIF('CF(M)'!$L$11:$EQ$11,BZ$6,'CF(M)'!$L57:$EQ57)</f>
        <v>0</v>
      </c>
      <c r="CA52" s="171">
        <f>SUMIF('CF(M)'!$L$11:$EQ$11,CA$6,'CF(M)'!$L57:$EQ57)</f>
        <v>0</v>
      </c>
      <c r="CB52" s="171">
        <f>SUMIF('CF(M)'!$L$11:$EQ$11,CB$6,'CF(M)'!$L57:$EQ57)</f>
        <v>0</v>
      </c>
      <c r="CC52" s="171">
        <f>SUMIF('CF(M)'!$L$11:$EQ$11,CC$6,'CF(M)'!$L57:$EQ57)</f>
        <v>0</v>
      </c>
      <c r="CD52" s="171">
        <f>SUMIF('CF(M)'!$L$11:$EQ$11,CD$6,'CF(M)'!$L57:$EQ57)</f>
        <v>0</v>
      </c>
      <c r="CE52" s="171">
        <f>SUMIF('CF(M)'!$L$11:$EQ$11,CE$6,'CF(M)'!$L57:$EQ57)</f>
        <v>0</v>
      </c>
      <c r="CF52" s="171">
        <f>SUMIF('CF(M)'!$L$11:$EQ$11,CF$6,'CF(M)'!$L57:$EQ57)</f>
        <v>0</v>
      </c>
      <c r="CG52" s="171">
        <f>SUMIF('CF(M)'!$L$11:$EQ$11,CG$6,'CF(M)'!$L57:$EQ57)</f>
        <v>0</v>
      </c>
      <c r="CH52" s="171">
        <f>SUMIF('CF(M)'!$L$11:$EQ$11,CH$6,'CF(M)'!$L57:$EQ57)</f>
        <v>0</v>
      </c>
      <c r="CI52" s="171">
        <f>SUMIF('CF(M)'!$L$11:$EQ$11,CI$6,'CF(M)'!$L57:$EQ57)</f>
        <v>0</v>
      </c>
      <c r="CJ52" s="171">
        <f>SUMIF('CF(M)'!$L$11:$EQ$11,CJ$6,'CF(M)'!$L57:$EQ57)</f>
        <v>0</v>
      </c>
      <c r="CK52" s="171">
        <f>SUMIF('CF(M)'!$L$11:$EQ$11,CK$6,'CF(M)'!$L57:$EQ57)</f>
        <v>0</v>
      </c>
      <c r="CL52" s="171">
        <f>SUMIF('CF(M)'!$L$11:$EQ$11,CL$6,'CF(M)'!$L57:$EQ57)</f>
        <v>0</v>
      </c>
      <c r="CM52" s="171">
        <f>SUMIF('CF(M)'!$L$11:$EQ$11,CM$6,'CF(M)'!$L57:$EQ57)</f>
        <v>0</v>
      </c>
      <c r="CN52" s="171">
        <f>SUMIF('CF(M)'!$L$11:$EQ$11,CN$6,'CF(M)'!$L57:$EQ57)</f>
        <v>0</v>
      </c>
      <c r="CO52" s="171">
        <f>SUMIF('CF(M)'!$L$11:$EQ$11,CO$6,'CF(M)'!$L57:$EQ57)</f>
        <v>0</v>
      </c>
      <c r="CP52" s="171">
        <f>SUMIF('CF(M)'!$L$11:$EQ$11,CP$6,'CF(M)'!$L57:$EQ57)</f>
        <v>0</v>
      </c>
      <c r="CQ52" s="171">
        <f>SUMIF('CF(M)'!$L$11:$EQ$11,CQ$6,'CF(M)'!$L57:$EQ57)</f>
        <v>0</v>
      </c>
      <c r="CR52" s="171">
        <f>SUMIF('CF(M)'!$L$11:$EQ$11,CR$6,'CF(M)'!$L57:$EQ57)</f>
        <v>0</v>
      </c>
      <c r="CS52" s="171">
        <f>SUMIF('CF(M)'!$L$11:$EQ$11,CS$6,'CF(M)'!$L57:$EQ57)</f>
        <v>0</v>
      </c>
      <c r="CT52" s="171">
        <f>SUMIF('CF(M)'!$L$11:$EQ$11,CT$6,'CF(M)'!$L57:$EQ57)</f>
        <v>0</v>
      </c>
      <c r="CU52" s="171">
        <f>SUMIF('CF(M)'!$L$11:$EQ$11,CU$6,'CF(M)'!$L57:$EQ57)</f>
        <v>0</v>
      </c>
      <c r="CV52" s="171">
        <f>SUMIF('CF(M)'!$L$11:$EQ$11,CV$6,'CF(M)'!$L57:$EQ57)</f>
        <v>0</v>
      </c>
      <c r="CW52" s="171">
        <f>SUMIF('CF(M)'!$L$11:$EQ$11,CW$6,'CF(M)'!$L57:$EQ57)</f>
        <v>0</v>
      </c>
      <c r="CX52" s="171">
        <f>SUMIF('CF(M)'!$L$11:$EQ$11,CX$6,'CF(M)'!$L57:$EQ57)</f>
        <v>0</v>
      </c>
      <c r="CY52" s="171">
        <f>SUMIF('CF(M)'!$L$11:$EQ$11,CY$6,'CF(M)'!$L57:$EQ57)</f>
        <v>0</v>
      </c>
      <c r="CZ52" s="171">
        <f>SUMIF('CF(M)'!$L$11:$EQ$11,CZ$6,'CF(M)'!$L57:$EQ57)</f>
        <v>0</v>
      </c>
      <c r="DA52" s="171">
        <f>SUMIF('CF(M)'!$L$11:$EQ$11,DA$6,'CF(M)'!$L57:$EQ57)</f>
        <v>0</v>
      </c>
      <c r="DB52" s="171">
        <f>SUMIF('CF(M)'!$L$11:$EQ$11,DB$6,'CF(M)'!$L57:$EQ57)</f>
        <v>0</v>
      </c>
      <c r="DC52" s="171">
        <f>SUMIF('CF(M)'!$L$11:$EQ$11,DC$6,'CF(M)'!$L57:$EQ57)</f>
        <v>0</v>
      </c>
      <c r="DD52" s="171">
        <f>SUMIF('CF(M)'!$L$11:$EQ$11,DD$6,'CF(M)'!$L57:$EQ57)</f>
        <v>0</v>
      </c>
      <c r="DE52" s="171">
        <f>SUMIF('CF(M)'!$L$11:$EQ$11,DE$6,'CF(M)'!$L57:$EQ57)</f>
        <v>0</v>
      </c>
      <c r="DF52" s="171">
        <f>SUMIF('CF(M)'!$L$11:$EQ$11,DF$6,'CF(M)'!$L57:$EQ57)</f>
        <v>0</v>
      </c>
      <c r="DG52" s="171">
        <f>SUMIF('CF(M)'!$L$11:$EQ$11,DG$6,'CF(M)'!$L57:$EQ57)</f>
        <v>0</v>
      </c>
      <c r="DH52" s="171">
        <f>SUMIF('CF(M)'!$L$11:$EQ$11,DH$6,'CF(M)'!$L57:$EQ57)</f>
        <v>0</v>
      </c>
      <c r="DI52" s="171">
        <f>SUMIF('CF(M)'!$L$11:$EQ$11,DI$6,'CF(M)'!$L57:$EQ57)</f>
        <v>0</v>
      </c>
      <c r="DJ52" s="171">
        <f>SUMIF('CF(M)'!$L$11:$EQ$11,DJ$6,'CF(M)'!$L57:$EQ57)</f>
        <v>0</v>
      </c>
      <c r="DK52" s="171">
        <f>SUMIF('CF(M)'!$L$11:$EQ$11,DK$6,'CF(M)'!$L57:$EQ57)</f>
        <v>0</v>
      </c>
      <c r="DL52" s="171">
        <f>SUMIF('CF(M)'!$L$11:$EQ$11,DL$6,'CF(M)'!$L57:$EQ57)</f>
        <v>0</v>
      </c>
      <c r="DM52" s="171">
        <f>SUMIF('CF(M)'!$L$11:$EQ$11,DM$6,'CF(M)'!$L57:$EQ57)</f>
        <v>0</v>
      </c>
      <c r="DN52" s="171">
        <f>SUMIF('CF(M)'!$L$11:$EQ$11,DN$6,'CF(M)'!$L57:$EQ57)</f>
        <v>0</v>
      </c>
      <c r="DO52" s="171">
        <f>SUMIF('CF(M)'!$L$11:$EQ$11,DO$6,'CF(M)'!$L57:$EQ57)</f>
        <v>0</v>
      </c>
      <c r="DP52" s="171">
        <f>SUMIF('CF(M)'!$L$11:$EQ$11,DP$6,'CF(M)'!$L57:$EQ57)</f>
        <v>0</v>
      </c>
      <c r="DQ52" s="171">
        <f>SUMIF('CF(M)'!$L$11:$EQ$11,DQ$6,'CF(M)'!$L57:$EQ57)</f>
        <v>0</v>
      </c>
      <c r="DR52" s="171">
        <f>SUMIF('CF(M)'!$L$11:$EQ$11,DR$6,'CF(M)'!$L57:$EQ57)</f>
        <v>0</v>
      </c>
      <c r="DS52" s="171">
        <f>SUMIF('CF(M)'!$L$11:$EQ$11,DS$6,'CF(M)'!$L57:$EQ57)</f>
        <v>0</v>
      </c>
      <c r="DT52" s="171">
        <f>SUMIF('CF(M)'!$L$11:$EQ$11,DT$6,'CF(M)'!$L57:$EQ57)</f>
        <v>0</v>
      </c>
      <c r="DU52" s="171">
        <f>SUMIF('CF(M)'!$L$11:$EQ$11,DU$6,'CF(M)'!$L57:$EQ57)</f>
        <v>0</v>
      </c>
      <c r="DV52" s="171">
        <f>SUMIF('CF(M)'!$L$11:$EQ$11,DV$6,'CF(M)'!$L57:$EQ57)</f>
        <v>0</v>
      </c>
    </row>
    <row r="53" spans="2:126" ht="11.25" customHeight="1">
      <c r="B53" s="218"/>
      <c r="C53" s="163"/>
      <c r="D53" s="169" t="s">
        <v>201</v>
      </c>
      <c r="H53" s="146"/>
      <c r="I53" s="229">
        <f>-'A&amp;R'!AJ63</f>
        <v>-1879303.7911189385</v>
      </c>
      <c r="J53" s="171">
        <f t="shared" si="25"/>
        <v>-1879303.7911189385</v>
      </c>
      <c r="K53" s="98"/>
      <c r="L53" s="171">
        <f>SUMIF('CF(M)'!$L$11:$EQ$11,L$6,'CF(M)'!$L58:$EQ58)</f>
        <v>0</v>
      </c>
      <c r="M53" s="171">
        <f>SUMIF('CF(M)'!$L$11:$EQ$11,M$6,'CF(M)'!$L58:$EQ58)</f>
        <v>0</v>
      </c>
      <c r="N53" s="171">
        <f>SUMIF('CF(M)'!$L$11:$EQ$11,N$6,'CF(M)'!$L58:$EQ58)</f>
        <v>0</v>
      </c>
      <c r="O53" s="171">
        <f>SUMIF('CF(M)'!$L$11:$EQ$11,O$6,'CF(M)'!$L58:$EQ58)</f>
        <v>0</v>
      </c>
      <c r="P53" s="171">
        <f>SUMIF('CF(M)'!$L$11:$EQ$11,P$6,'CF(M)'!$L58:$EQ58)</f>
        <v>0</v>
      </c>
      <c r="Q53" s="171">
        <f>SUMIF('CF(M)'!$L$11:$EQ$11,Q$6,'CF(M)'!$L58:$EQ58)</f>
        <v>0</v>
      </c>
      <c r="R53" s="171">
        <f>SUMIF('CF(M)'!$L$11:$EQ$11,R$6,'CF(M)'!$L58:$EQ58)</f>
        <v>0</v>
      </c>
      <c r="S53" s="171">
        <f>SUMIF('CF(M)'!$L$11:$EQ$11,S$6,'CF(M)'!$L58:$EQ58)</f>
        <v>0</v>
      </c>
      <c r="T53" s="171">
        <f>SUMIF('CF(M)'!$L$11:$EQ$11,T$6,'CF(M)'!$L58:$EQ58)</f>
        <v>0</v>
      </c>
      <c r="U53" s="171">
        <f>SUMIF('CF(M)'!$L$11:$EQ$11,U$6,'CF(M)'!$L58:$EQ58)</f>
        <v>0</v>
      </c>
      <c r="V53" s="171">
        <f>SUMIF('CF(M)'!$L$11:$EQ$11,V$6,'CF(M)'!$L58:$EQ58)</f>
        <v>-1879303.7911189385</v>
      </c>
      <c r="W53" s="171">
        <f>SUMIF('CF(M)'!$L$11:$EQ$11,W$6,'CF(M)'!$L58:$EQ58)</f>
        <v>0</v>
      </c>
      <c r="X53" s="171">
        <f>SUMIF('CF(M)'!$L$11:$EQ$11,X$6,'CF(M)'!$L58:$EQ58)</f>
        <v>0</v>
      </c>
      <c r="Y53" s="171">
        <f>SUMIF('CF(M)'!$L$11:$EQ$11,Y$6,'CF(M)'!$L58:$EQ58)</f>
        <v>0</v>
      </c>
      <c r="Z53" s="171">
        <f>SUMIF('CF(M)'!$L$11:$EQ$11,Z$6,'CF(M)'!$L58:$EQ58)</f>
        <v>0</v>
      </c>
      <c r="AA53" s="171">
        <f>SUMIF('CF(M)'!$L$11:$EQ$11,AA$6,'CF(M)'!$L58:$EQ58)</f>
        <v>0</v>
      </c>
      <c r="AB53" s="171">
        <f>SUMIF('CF(M)'!$L$11:$EQ$11,AB$6,'CF(M)'!$L58:$EQ58)</f>
        <v>0</v>
      </c>
      <c r="AC53" s="171">
        <f>SUMIF('CF(M)'!$L$11:$EQ$11,AC$6,'CF(M)'!$L58:$EQ58)</f>
        <v>0</v>
      </c>
      <c r="AD53" s="171">
        <f>SUMIF('CF(M)'!$L$11:$EQ$11,AD$6,'CF(M)'!$L58:$EQ58)</f>
        <v>0</v>
      </c>
      <c r="AE53" s="171">
        <f>SUMIF('CF(M)'!$L$11:$EQ$11,AE$6,'CF(M)'!$L58:$EQ58)</f>
        <v>0</v>
      </c>
      <c r="AF53" s="171">
        <f>SUMIF('CF(M)'!$L$11:$EQ$11,AF$6,'CF(M)'!$L58:$EQ58)</f>
        <v>0</v>
      </c>
      <c r="AG53" s="171">
        <f>SUMIF('CF(M)'!$L$11:$EQ$11,AG$6,'CF(M)'!$L58:$EQ58)</f>
        <v>0</v>
      </c>
      <c r="AH53" s="171">
        <f>SUMIF('CF(M)'!$L$11:$EQ$11,AH$6,'CF(M)'!$L58:$EQ58)</f>
        <v>0</v>
      </c>
      <c r="AI53" s="171">
        <f>SUMIF('CF(M)'!$L$11:$EQ$11,AI$6,'CF(M)'!$L58:$EQ58)</f>
        <v>0</v>
      </c>
      <c r="AJ53" s="171">
        <f>SUMIF('CF(M)'!$L$11:$EQ$11,AJ$6,'CF(M)'!$L58:$EQ58)</f>
        <v>0</v>
      </c>
      <c r="AK53" s="171">
        <f>SUMIF('CF(M)'!$L$11:$EQ$11,AK$6,'CF(M)'!$L58:$EQ58)</f>
        <v>0</v>
      </c>
      <c r="AL53" s="171">
        <f>SUMIF('CF(M)'!$L$11:$EQ$11,AL$6,'CF(M)'!$L58:$EQ58)</f>
        <v>0</v>
      </c>
      <c r="AM53" s="171">
        <f>SUMIF('CF(M)'!$L$11:$EQ$11,AM$6,'CF(M)'!$L58:$EQ58)</f>
        <v>0</v>
      </c>
      <c r="AN53" s="171">
        <f>SUMIF('CF(M)'!$L$11:$EQ$11,AN$6,'CF(M)'!$L58:$EQ58)</f>
        <v>0</v>
      </c>
      <c r="AO53" s="171">
        <f>SUMIF('CF(M)'!$L$11:$EQ$11,AO$6,'CF(M)'!$L58:$EQ58)</f>
        <v>0</v>
      </c>
      <c r="AP53" s="171">
        <f>SUMIF('CF(M)'!$L$11:$EQ$11,AP$6,'CF(M)'!$L58:$EQ58)</f>
        <v>0</v>
      </c>
      <c r="AQ53" s="171">
        <f>SUMIF('CF(M)'!$L$11:$EQ$11,AQ$6,'CF(M)'!$L58:$EQ58)</f>
        <v>0</v>
      </c>
      <c r="AR53" s="171">
        <f>SUMIF('CF(M)'!$L$11:$EQ$11,AR$6,'CF(M)'!$L58:$EQ58)</f>
        <v>0</v>
      </c>
      <c r="AS53" s="171">
        <f>SUMIF('CF(M)'!$L$11:$EQ$11,AS$6,'CF(M)'!$L58:$EQ58)</f>
        <v>0</v>
      </c>
      <c r="AT53" s="171">
        <f>SUMIF('CF(M)'!$L$11:$EQ$11,AT$6,'CF(M)'!$L58:$EQ58)</f>
        <v>0</v>
      </c>
      <c r="AU53" s="171">
        <f>SUMIF('CF(M)'!$L$11:$EQ$11,AU$6,'CF(M)'!$L58:$EQ58)</f>
        <v>0</v>
      </c>
      <c r="AV53" s="171">
        <f>SUMIF('CF(M)'!$L$11:$EQ$11,AV$6,'CF(M)'!$L58:$EQ58)</f>
        <v>0</v>
      </c>
      <c r="AW53" s="171">
        <f>SUMIF('CF(M)'!$L$11:$EQ$11,AW$6,'CF(M)'!$L58:$EQ58)</f>
        <v>0</v>
      </c>
      <c r="AX53" s="171">
        <f>SUMIF('CF(M)'!$L$11:$EQ$11,AX$6,'CF(M)'!$L58:$EQ58)</f>
        <v>0</v>
      </c>
      <c r="AY53" s="171">
        <f>SUMIF('CF(M)'!$L$11:$EQ$11,AY$6,'CF(M)'!$L58:$EQ58)</f>
        <v>0</v>
      </c>
      <c r="AZ53" s="171">
        <f>SUMIF('CF(M)'!$L$11:$EQ$11,AZ$6,'CF(M)'!$L58:$EQ58)</f>
        <v>0</v>
      </c>
      <c r="BA53" s="171">
        <f>SUMIF('CF(M)'!$L$11:$EQ$11,BA$6,'CF(M)'!$L58:$EQ58)</f>
        <v>0</v>
      </c>
      <c r="BB53" s="171">
        <f>SUMIF('CF(M)'!$L$11:$EQ$11,BB$6,'CF(M)'!$L58:$EQ58)</f>
        <v>0</v>
      </c>
      <c r="BC53" s="171">
        <f>SUMIF('CF(M)'!$L$11:$EQ$11,BC$6,'CF(M)'!$L58:$EQ58)</f>
        <v>0</v>
      </c>
      <c r="BD53" s="171">
        <f>SUMIF('CF(M)'!$L$11:$EQ$11,BD$6,'CF(M)'!$L58:$EQ58)</f>
        <v>0</v>
      </c>
      <c r="BE53" s="171">
        <f>SUMIF('CF(M)'!$L$11:$EQ$11,BE$6,'CF(M)'!$L58:$EQ58)</f>
        <v>0</v>
      </c>
      <c r="BF53" s="171">
        <f>SUMIF('CF(M)'!$L$11:$EQ$11,BF$6,'CF(M)'!$L58:$EQ58)</f>
        <v>0</v>
      </c>
      <c r="BG53" s="171">
        <f>SUMIF('CF(M)'!$L$11:$EQ$11,BG$6,'CF(M)'!$L58:$EQ58)</f>
        <v>0</v>
      </c>
      <c r="BH53" s="171">
        <f>SUMIF('CF(M)'!$L$11:$EQ$11,BH$6,'CF(M)'!$L58:$EQ58)</f>
        <v>0</v>
      </c>
      <c r="BI53" s="171">
        <f>SUMIF('CF(M)'!$L$11:$EQ$11,BI$6,'CF(M)'!$L58:$EQ58)</f>
        <v>0</v>
      </c>
      <c r="BJ53" s="171">
        <f>SUMIF('CF(M)'!$L$11:$EQ$11,BJ$6,'CF(M)'!$L58:$EQ58)</f>
        <v>0</v>
      </c>
      <c r="BK53" s="171">
        <f>SUMIF('CF(M)'!$L$11:$EQ$11,BK$6,'CF(M)'!$L58:$EQ58)</f>
        <v>0</v>
      </c>
      <c r="BL53" s="171">
        <f>SUMIF('CF(M)'!$L$11:$EQ$11,BL$6,'CF(M)'!$L58:$EQ58)</f>
        <v>0</v>
      </c>
      <c r="BM53" s="171">
        <f>SUMIF('CF(M)'!$L$11:$EQ$11,BM$6,'CF(M)'!$L58:$EQ58)</f>
        <v>0</v>
      </c>
      <c r="BN53" s="171">
        <f>SUMIF('CF(M)'!$L$11:$EQ$11,BN$6,'CF(M)'!$L58:$EQ58)</f>
        <v>0</v>
      </c>
      <c r="BO53" s="171">
        <f>SUMIF('CF(M)'!$L$11:$EQ$11,BO$6,'CF(M)'!$L58:$EQ58)</f>
        <v>0</v>
      </c>
      <c r="BP53" s="171">
        <f>SUMIF('CF(M)'!$L$11:$EQ$11,BP$6,'CF(M)'!$L58:$EQ58)</f>
        <v>0</v>
      </c>
      <c r="BQ53" s="171">
        <f>SUMIF('CF(M)'!$L$11:$EQ$11,BQ$6,'CF(M)'!$L58:$EQ58)</f>
        <v>0</v>
      </c>
      <c r="BR53" s="171">
        <f>SUMIF('CF(M)'!$L$11:$EQ$11,BR$6,'CF(M)'!$L58:$EQ58)</f>
        <v>0</v>
      </c>
      <c r="BS53" s="171">
        <f>SUMIF('CF(M)'!$L$11:$EQ$11,BS$6,'CF(M)'!$L58:$EQ58)</f>
        <v>0</v>
      </c>
      <c r="BT53" s="171">
        <f>SUMIF('CF(M)'!$L$11:$EQ$11,BT$6,'CF(M)'!$L58:$EQ58)</f>
        <v>0</v>
      </c>
      <c r="BU53" s="171">
        <f>SUMIF('CF(M)'!$L$11:$EQ$11,BU$6,'CF(M)'!$L58:$EQ58)</f>
        <v>0</v>
      </c>
      <c r="BV53" s="171">
        <f>SUMIF('CF(M)'!$L$11:$EQ$11,BV$6,'CF(M)'!$L58:$EQ58)</f>
        <v>0</v>
      </c>
      <c r="BW53" s="171">
        <f>SUMIF('CF(M)'!$L$11:$EQ$11,BW$6,'CF(M)'!$L58:$EQ58)</f>
        <v>0</v>
      </c>
      <c r="BX53" s="171">
        <f>SUMIF('CF(M)'!$L$11:$EQ$11,BX$6,'CF(M)'!$L58:$EQ58)</f>
        <v>0</v>
      </c>
      <c r="BY53" s="171">
        <f>SUMIF('CF(M)'!$L$11:$EQ$11,BY$6,'CF(M)'!$L58:$EQ58)</f>
        <v>0</v>
      </c>
      <c r="BZ53" s="171">
        <f>SUMIF('CF(M)'!$L$11:$EQ$11,BZ$6,'CF(M)'!$L58:$EQ58)</f>
        <v>0</v>
      </c>
      <c r="CA53" s="171">
        <f>SUMIF('CF(M)'!$L$11:$EQ$11,CA$6,'CF(M)'!$L58:$EQ58)</f>
        <v>0</v>
      </c>
      <c r="CB53" s="171">
        <f>SUMIF('CF(M)'!$L$11:$EQ$11,CB$6,'CF(M)'!$L58:$EQ58)</f>
        <v>0</v>
      </c>
      <c r="CC53" s="171">
        <f>SUMIF('CF(M)'!$L$11:$EQ$11,CC$6,'CF(M)'!$L58:$EQ58)</f>
        <v>0</v>
      </c>
      <c r="CD53" s="171">
        <f>SUMIF('CF(M)'!$L$11:$EQ$11,CD$6,'CF(M)'!$L58:$EQ58)</f>
        <v>0</v>
      </c>
      <c r="CE53" s="171">
        <f>SUMIF('CF(M)'!$L$11:$EQ$11,CE$6,'CF(M)'!$L58:$EQ58)</f>
        <v>0</v>
      </c>
      <c r="CF53" s="171">
        <f>SUMIF('CF(M)'!$L$11:$EQ$11,CF$6,'CF(M)'!$L58:$EQ58)</f>
        <v>0</v>
      </c>
      <c r="CG53" s="171">
        <f>SUMIF('CF(M)'!$L$11:$EQ$11,CG$6,'CF(M)'!$L58:$EQ58)</f>
        <v>0</v>
      </c>
      <c r="CH53" s="171">
        <f>SUMIF('CF(M)'!$L$11:$EQ$11,CH$6,'CF(M)'!$L58:$EQ58)</f>
        <v>0</v>
      </c>
      <c r="CI53" s="171">
        <f>SUMIF('CF(M)'!$L$11:$EQ$11,CI$6,'CF(M)'!$L58:$EQ58)</f>
        <v>0</v>
      </c>
      <c r="CJ53" s="171">
        <f>SUMIF('CF(M)'!$L$11:$EQ$11,CJ$6,'CF(M)'!$L58:$EQ58)</f>
        <v>0</v>
      </c>
      <c r="CK53" s="171">
        <f>SUMIF('CF(M)'!$L$11:$EQ$11,CK$6,'CF(M)'!$L58:$EQ58)</f>
        <v>0</v>
      </c>
      <c r="CL53" s="171">
        <f>SUMIF('CF(M)'!$L$11:$EQ$11,CL$6,'CF(M)'!$L58:$EQ58)</f>
        <v>0</v>
      </c>
      <c r="CM53" s="171">
        <f>SUMIF('CF(M)'!$L$11:$EQ$11,CM$6,'CF(M)'!$L58:$EQ58)</f>
        <v>0</v>
      </c>
      <c r="CN53" s="171">
        <f>SUMIF('CF(M)'!$L$11:$EQ$11,CN$6,'CF(M)'!$L58:$EQ58)</f>
        <v>0</v>
      </c>
      <c r="CO53" s="171">
        <f>SUMIF('CF(M)'!$L$11:$EQ$11,CO$6,'CF(M)'!$L58:$EQ58)</f>
        <v>0</v>
      </c>
      <c r="CP53" s="171">
        <f>SUMIF('CF(M)'!$L$11:$EQ$11,CP$6,'CF(M)'!$L58:$EQ58)</f>
        <v>0</v>
      </c>
      <c r="CQ53" s="171">
        <f>SUMIF('CF(M)'!$L$11:$EQ$11,CQ$6,'CF(M)'!$L58:$EQ58)</f>
        <v>0</v>
      </c>
      <c r="CR53" s="171">
        <f>SUMIF('CF(M)'!$L$11:$EQ$11,CR$6,'CF(M)'!$L58:$EQ58)</f>
        <v>0</v>
      </c>
      <c r="CS53" s="171">
        <f>SUMIF('CF(M)'!$L$11:$EQ$11,CS$6,'CF(M)'!$L58:$EQ58)</f>
        <v>0</v>
      </c>
      <c r="CT53" s="171">
        <f>SUMIF('CF(M)'!$L$11:$EQ$11,CT$6,'CF(M)'!$L58:$EQ58)</f>
        <v>0</v>
      </c>
      <c r="CU53" s="171">
        <f>SUMIF('CF(M)'!$L$11:$EQ$11,CU$6,'CF(M)'!$L58:$EQ58)</f>
        <v>0</v>
      </c>
      <c r="CV53" s="171">
        <f>SUMIF('CF(M)'!$L$11:$EQ$11,CV$6,'CF(M)'!$L58:$EQ58)</f>
        <v>0</v>
      </c>
      <c r="CW53" s="171">
        <f>SUMIF('CF(M)'!$L$11:$EQ$11,CW$6,'CF(M)'!$L58:$EQ58)</f>
        <v>0</v>
      </c>
      <c r="CX53" s="171">
        <f>SUMIF('CF(M)'!$L$11:$EQ$11,CX$6,'CF(M)'!$L58:$EQ58)</f>
        <v>0</v>
      </c>
      <c r="CY53" s="171">
        <f>SUMIF('CF(M)'!$L$11:$EQ$11,CY$6,'CF(M)'!$L58:$EQ58)</f>
        <v>0</v>
      </c>
      <c r="CZ53" s="171">
        <f>SUMIF('CF(M)'!$L$11:$EQ$11,CZ$6,'CF(M)'!$L58:$EQ58)</f>
        <v>0</v>
      </c>
      <c r="DA53" s="171">
        <f>SUMIF('CF(M)'!$L$11:$EQ$11,DA$6,'CF(M)'!$L58:$EQ58)</f>
        <v>0</v>
      </c>
      <c r="DB53" s="171">
        <f>SUMIF('CF(M)'!$L$11:$EQ$11,DB$6,'CF(M)'!$L58:$EQ58)</f>
        <v>0</v>
      </c>
      <c r="DC53" s="171">
        <f>SUMIF('CF(M)'!$L$11:$EQ$11,DC$6,'CF(M)'!$L58:$EQ58)</f>
        <v>0</v>
      </c>
      <c r="DD53" s="171">
        <f>SUMIF('CF(M)'!$L$11:$EQ$11,DD$6,'CF(M)'!$L58:$EQ58)</f>
        <v>0</v>
      </c>
      <c r="DE53" s="171">
        <f>SUMIF('CF(M)'!$L$11:$EQ$11,DE$6,'CF(M)'!$L58:$EQ58)</f>
        <v>0</v>
      </c>
      <c r="DF53" s="171">
        <f>SUMIF('CF(M)'!$L$11:$EQ$11,DF$6,'CF(M)'!$L58:$EQ58)</f>
        <v>0</v>
      </c>
      <c r="DG53" s="171">
        <f>SUMIF('CF(M)'!$L$11:$EQ$11,DG$6,'CF(M)'!$L58:$EQ58)</f>
        <v>0</v>
      </c>
      <c r="DH53" s="171">
        <f>SUMIF('CF(M)'!$L$11:$EQ$11,DH$6,'CF(M)'!$L58:$EQ58)</f>
        <v>0</v>
      </c>
      <c r="DI53" s="171">
        <f>SUMIF('CF(M)'!$L$11:$EQ$11,DI$6,'CF(M)'!$L58:$EQ58)</f>
        <v>0</v>
      </c>
      <c r="DJ53" s="171">
        <f>SUMIF('CF(M)'!$L$11:$EQ$11,DJ$6,'CF(M)'!$L58:$EQ58)</f>
        <v>0</v>
      </c>
      <c r="DK53" s="171">
        <f>SUMIF('CF(M)'!$L$11:$EQ$11,DK$6,'CF(M)'!$L58:$EQ58)</f>
        <v>0</v>
      </c>
      <c r="DL53" s="171">
        <f>SUMIF('CF(M)'!$L$11:$EQ$11,DL$6,'CF(M)'!$L58:$EQ58)</f>
        <v>0</v>
      </c>
      <c r="DM53" s="171">
        <f>SUMIF('CF(M)'!$L$11:$EQ$11,DM$6,'CF(M)'!$L58:$EQ58)</f>
        <v>0</v>
      </c>
      <c r="DN53" s="171">
        <f>SUMIF('CF(M)'!$L$11:$EQ$11,DN$6,'CF(M)'!$L58:$EQ58)</f>
        <v>0</v>
      </c>
      <c r="DO53" s="171">
        <f>SUMIF('CF(M)'!$L$11:$EQ$11,DO$6,'CF(M)'!$L58:$EQ58)</f>
        <v>0</v>
      </c>
      <c r="DP53" s="171">
        <f>SUMIF('CF(M)'!$L$11:$EQ$11,DP$6,'CF(M)'!$L58:$EQ58)</f>
        <v>0</v>
      </c>
      <c r="DQ53" s="171">
        <f>SUMIF('CF(M)'!$L$11:$EQ$11,DQ$6,'CF(M)'!$L58:$EQ58)</f>
        <v>0</v>
      </c>
      <c r="DR53" s="171">
        <f>SUMIF('CF(M)'!$L$11:$EQ$11,DR$6,'CF(M)'!$L58:$EQ58)</f>
        <v>0</v>
      </c>
      <c r="DS53" s="171">
        <f>SUMIF('CF(M)'!$L$11:$EQ$11,DS$6,'CF(M)'!$L58:$EQ58)</f>
        <v>0</v>
      </c>
      <c r="DT53" s="171">
        <f>SUMIF('CF(M)'!$L$11:$EQ$11,DT$6,'CF(M)'!$L58:$EQ58)</f>
        <v>0</v>
      </c>
      <c r="DU53" s="171">
        <f>SUMIF('CF(M)'!$L$11:$EQ$11,DU$6,'CF(M)'!$L58:$EQ58)</f>
        <v>0</v>
      </c>
      <c r="DV53" s="171">
        <f>SUMIF('CF(M)'!$L$11:$EQ$11,DV$6,'CF(M)'!$L58:$EQ58)</f>
        <v>0</v>
      </c>
    </row>
    <row r="54" spans="2:126" ht="11.25" customHeight="1">
      <c r="B54" s="218"/>
      <c r="C54" s="163"/>
      <c r="D54" s="169" t="s">
        <v>202</v>
      </c>
      <c r="H54" s="90"/>
      <c r="I54" s="229">
        <f>-'A&amp;R'!AJ64</f>
        <v>-12480322.596232468</v>
      </c>
      <c r="J54" s="171">
        <f t="shared" si="25"/>
        <v>-12480322.596232468</v>
      </c>
      <c r="K54" s="98"/>
      <c r="L54" s="171">
        <f>SUMIF('CF(M)'!$L$11:$EQ$11,L$6,'CF(M)'!$L59:$EQ59)</f>
        <v>0</v>
      </c>
      <c r="M54" s="171">
        <f>SUMIF('CF(M)'!$L$11:$EQ$11,M$6,'CF(M)'!$L59:$EQ59)</f>
        <v>0</v>
      </c>
      <c r="N54" s="171">
        <f>SUMIF('CF(M)'!$L$11:$EQ$11,N$6,'CF(M)'!$L59:$EQ59)</f>
        <v>0</v>
      </c>
      <c r="O54" s="171">
        <f>SUMIF('CF(M)'!$L$11:$EQ$11,O$6,'CF(M)'!$L59:$EQ59)</f>
        <v>0</v>
      </c>
      <c r="P54" s="171">
        <f>SUMIF('CF(M)'!$L$11:$EQ$11,P$6,'CF(M)'!$L59:$EQ59)</f>
        <v>0</v>
      </c>
      <c r="Q54" s="171">
        <f>SUMIF('CF(M)'!$L$11:$EQ$11,Q$6,'CF(M)'!$L59:$EQ59)</f>
        <v>0</v>
      </c>
      <c r="R54" s="171">
        <f>SUMIF('CF(M)'!$L$11:$EQ$11,R$6,'CF(M)'!$L59:$EQ59)</f>
        <v>0</v>
      </c>
      <c r="S54" s="171">
        <f>SUMIF('CF(M)'!$L$11:$EQ$11,S$6,'CF(M)'!$L59:$EQ59)</f>
        <v>0</v>
      </c>
      <c r="T54" s="171">
        <f>SUMIF('CF(M)'!$L$11:$EQ$11,T$6,'CF(M)'!$L59:$EQ59)</f>
        <v>0</v>
      </c>
      <c r="U54" s="171">
        <f>SUMIF('CF(M)'!$L$11:$EQ$11,U$6,'CF(M)'!$L59:$EQ59)</f>
        <v>0</v>
      </c>
      <c r="V54" s="171">
        <f>SUMIF('CF(M)'!$L$11:$EQ$11,V$6,'CF(M)'!$L59:$EQ59)</f>
        <v>-12480322.596232468</v>
      </c>
      <c r="W54" s="171">
        <f>SUMIF('CF(M)'!$L$11:$EQ$11,W$6,'CF(M)'!$L59:$EQ59)</f>
        <v>0</v>
      </c>
      <c r="X54" s="171">
        <f>SUMIF('CF(M)'!$L$11:$EQ$11,X$6,'CF(M)'!$L59:$EQ59)</f>
        <v>0</v>
      </c>
      <c r="Y54" s="171">
        <f>SUMIF('CF(M)'!$L$11:$EQ$11,Y$6,'CF(M)'!$L59:$EQ59)</f>
        <v>0</v>
      </c>
      <c r="Z54" s="171">
        <f>SUMIF('CF(M)'!$L$11:$EQ$11,Z$6,'CF(M)'!$L59:$EQ59)</f>
        <v>0</v>
      </c>
      <c r="AA54" s="171">
        <f>SUMIF('CF(M)'!$L$11:$EQ$11,AA$6,'CF(M)'!$L59:$EQ59)</f>
        <v>0</v>
      </c>
      <c r="AB54" s="171">
        <f>SUMIF('CF(M)'!$L$11:$EQ$11,AB$6,'CF(M)'!$L59:$EQ59)</f>
        <v>0</v>
      </c>
      <c r="AC54" s="171">
        <f>SUMIF('CF(M)'!$L$11:$EQ$11,AC$6,'CF(M)'!$L59:$EQ59)</f>
        <v>0</v>
      </c>
      <c r="AD54" s="171">
        <f>SUMIF('CF(M)'!$L$11:$EQ$11,AD$6,'CF(M)'!$L59:$EQ59)</f>
        <v>0</v>
      </c>
      <c r="AE54" s="171">
        <f>SUMIF('CF(M)'!$L$11:$EQ$11,AE$6,'CF(M)'!$L59:$EQ59)</f>
        <v>0</v>
      </c>
      <c r="AF54" s="171">
        <f>SUMIF('CF(M)'!$L$11:$EQ$11,AF$6,'CF(M)'!$L59:$EQ59)</f>
        <v>0</v>
      </c>
      <c r="AG54" s="171">
        <f>SUMIF('CF(M)'!$L$11:$EQ$11,AG$6,'CF(M)'!$L59:$EQ59)</f>
        <v>0</v>
      </c>
      <c r="AH54" s="171">
        <f>SUMIF('CF(M)'!$L$11:$EQ$11,AH$6,'CF(M)'!$L59:$EQ59)</f>
        <v>0</v>
      </c>
      <c r="AI54" s="171">
        <f>SUMIF('CF(M)'!$L$11:$EQ$11,AI$6,'CF(M)'!$L59:$EQ59)</f>
        <v>0</v>
      </c>
      <c r="AJ54" s="171">
        <f>SUMIF('CF(M)'!$L$11:$EQ$11,AJ$6,'CF(M)'!$L59:$EQ59)</f>
        <v>0</v>
      </c>
      <c r="AK54" s="171">
        <f>SUMIF('CF(M)'!$L$11:$EQ$11,AK$6,'CF(M)'!$L59:$EQ59)</f>
        <v>0</v>
      </c>
      <c r="AL54" s="171">
        <f>SUMIF('CF(M)'!$L$11:$EQ$11,AL$6,'CF(M)'!$L59:$EQ59)</f>
        <v>0</v>
      </c>
      <c r="AM54" s="171">
        <f>SUMIF('CF(M)'!$L$11:$EQ$11,AM$6,'CF(M)'!$L59:$EQ59)</f>
        <v>0</v>
      </c>
      <c r="AN54" s="171">
        <f>SUMIF('CF(M)'!$L$11:$EQ$11,AN$6,'CF(M)'!$L59:$EQ59)</f>
        <v>0</v>
      </c>
      <c r="AO54" s="171">
        <f>SUMIF('CF(M)'!$L$11:$EQ$11,AO$6,'CF(M)'!$L59:$EQ59)</f>
        <v>0</v>
      </c>
      <c r="AP54" s="171">
        <f>SUMIF('CF(M)'!$L$11:$EQ$11,AP$6,'CF(M)'!$L59:$EQ59)</f>
        <v>0</v>
      </c>
      <c r="AQ54" s="171">
        <f>SUMIF('CF(M)'!$L$11:$EQ$11,AQ$6,'CF(M)'!$L59:$EQ59)</f>
        <v>0</v>
      </c>
      <c r="AR54" s="171">
        <f>SUMIF('CF(M)'!$L$11:$EQ$11,AR$6,'CF(M)'!$L59:$EQ59)</f>
        <v>0</v>
      </c>
      <c r="AS54" s="171">
        <f>SUMIF('CF(M)'!$L$11:$EQ$11,AS$6,'CF(M)'!$L59:$EQ59)</f>
        <v>0</v>
      </c>
      <c r="AT54" s="171">
        <f>SUMIF('CF(M)'!$L$11:$EQ$11,AT$6,'CF(M)'!$L59:$EQ59)</f>
        <v>0</v>
      </c>
      <c r="AU54" s="171">
        <f>SUMIF('CF(M)'!$L$11:$EQ$11,AU$6,'CF(M)'!$L59:$EQ59)</f>
        <v>0</v>
      </c>
      <c r="AV54" s="171">
        <f>SUMIF('CF(M)'!$L$11:$EQ$11,AV$6,'CF(M)'!$L59:$EQ59)</f>
        <v>0</v>
      </c>
      <c r="AW54" s="171">
        <f>SUMIF('CF(M)'!$L$11:$EQ$11,AW$6,'CF(M)'!$L59:$EQ59)</f>
        <v>0</v>
      </c>
      <c r="AX54" s="171">
        <f>SUMIF('CF(M)'!$L$11:$EQ$11,AX$6,'CF(M)'!$L59:$EQ59)</f>
        <v>0</v>
      </c>
      <c r="AY54" s="171">
        <f>SUMIF('CF(M)'!$L$11:$EQ$11,AY$6,'CF(M)'!$L59:$EQ59)</f>
        <v>0</v>
      </c>
      <c r="AZ54" s="171">
        <f>SUMIF('CF(M)'!$L$11:$EQ$11,AZ$6,'CF(M)'!$L59:$EQ59)</f>
        <v>0</v>
      </c>
      <c r="BA54" s="171">
        <f>SUMIF('CF(M)'!$L$11:$EQ$11,BA$6,'CF(M)'!$L59:$EQ59)</f>
        <v>0</v>
      </c>
      <c r="BB54" s="171">
        <f>SUMIF('CF(M)'!$L$11:$EQ$11,BB$6,'CF(M)'!$L59:$EQ59)</f>
        <v>0</v>
      </c>
      <c r="BC54" s="171">
        <f>SUMIF('CF(M)'!$L$11:$EQ$11,BC$6,'CF(M)'!$L59:$EQ59)</f>
        <v>0</v>
      </c>
      <c r="BD54" s="171">
        <f>SUMIF('CF(M)'!$L$11:$EQ$11,BD$6,'CF(M)'!$L59:$EQ59)</f>
        <v>0</v>
      </c>
      <c r="BE54" s="171">
        <f>SUMIF('CF(M)'!$L$11:$EQ$11,BE$6,'CF(M)'!$L59:$EQ59)</f>
        <v>0</v>
      </c>
      <c r="BF54" s="171">
        <f>SUMIF('CF(M)'!$L$11:$EQ$11,BF$6,'CF(M)'!$L59:$EQ59)</f>
        <v>0</v>
      </c>
      <c r="BG54" s="171">
        <f>SUMIF('CF(M)'!$L$11:$EQ$11,BG$6,'CF(M)'!$L59:$EQ59)</f>
        <v>0</v>
      </c>
      <c r="BH54" s="171">
        <f>SUMIF('CF(M)'!$L$11:$EQ$11,BH$6,'CF(M)'!$L59:$EQ59)</f>
        <v>0</v>
      </c>
      <c r="BI54" s="171">
        <f>SUMIF('CF(M)'!$L$11:$EQ$11,BI$6,'CF(M)'!$L59:$EQ59)</f>
        <v>0</v>
      </c>
      <c r="BJ54" s="171">
        <f>SUMIF('CF(M)'!$L$11:$EQ$11,BJ$6,'CF(M)'!$L59:$EQ59)</f>
        <v>0</v>
      </c>
      <c r="BK54" s="171">
        <f>SUMIF('CF(M)'!$L$11:$EQ$11,BK$6,'CF(M)'!$L59:$EQ59)</f>
        <v>0</v>
      </c>
      <c r="BL54" s="171">
        <f>SUMIF('CF(M)'!$L$11:$EQ$11,BL$6,'CF(M)'!$L59:$EQ59)</f>
        <v>0</v>
      </c>
      <c r="BM54" s="171">
        <f>SUMIF('CF(M)'!$L$11:$EQ$11,BM$6,'CF(M)'!$L59:$EQ59)</f>
        <v>0</v>
      </c>
      <c r="BN54" s="171">
        <f>SUMIF('CF(M)'!$L$11:$EQ$11,BN$6,'CF(M)'!$L59:$EQ59)</f>
        <v>0</v>
      </c>
      <c r="BO54" s="171">
        <f>SUMIF('CF(M)'!$L$11:$EQ$11,BO$6,'CF(M)'!$L59:$EQ59)</f>
        <v>0</v>
      </c>
      <c r="BP54" s="171">
        <f>SUMIF('CF(M)'!$L$11:$EQ$11,BP$6,'CF(M)'!$L59:$EQ59)</f>
        <v>0</v>
      </c>
      <c r="BQ54" s="171">
        <f>SUMIF('CF(M)'!$L$11:$EQ$11,BQ$6,'CF(M)'!$L59:$EQ59)</f>
        <v>0</v>
      </c>
      <c r="BR54" s="171">
        <f>SUMIF('CF(M)'!$L$11:$EQ$11,BR$6,'CF(M)'!$L59:$EQ59)</f>
        <v>0</v>
      </c>
      <c r="BS54" s="171">
        <f>SUMIF('CF(M)'!$L$11:$EQ$11,BS$6,'CF(M)'!$L59:$EQ59)</f>
        <v>0</v>
      </c>
      <c r="BT54" s="171">
        <f>SUMIF('CF(M)'!$L$11:$EQ$11,BT$6,'CF(M)'!$L59:$EQ59)</f>
        <v>0</v>
      </c>
      <c r="BU54" s="171">
        <f>SUMIF('CF(M)'!$L$11:$EQ$11,BU$6,'CF(M)'!$L59:$EQ59)</f>
        <v>0</v>
      </c>
      <c r="BV54" s="171">
        <f>SUMIF('CF(M)'!$L$11:$EQ$11,BV$6,'CF(M)'!$L59:$EQ59)</f>
        <v>0</v>
      </c>
      <c r="BW54" s="171">
        <f>SUMIF('CF(M)'!$L$11:$EQ$11,BW$6,'CF(M)'!$L59:$EQ59)</f>
        <v>0</v>
      </c>
      <c r="BX54" s="171">
        <f>SUMIF('CF(M)'!$L$11:$EQ$11,BX$6,'CF(M)'!$L59:$EQ59)</f>
        <v>0</v>
      </c>
      <c r="BY54" s="171">
        <f>SUMIF('CF(M)'!$L$11:$EQ$11,BY$6,'CF(M)'!$L59:$EQ59)</f>
        <v>0</v>
      </c>
      <c r="BZ54" s="171">
        <f>SUMIF('CF(M)'!$L$11:$EQ$11,BZ$6,'CF(M)'!$L59:$EQ59)</f>
        <v>0</v>
      </c>
      <c r="CA54" s="171">
        <f>SUMIF('CF(M)'!$L$11:$EQ$11,CA$6,'CF(M)'!$L59:$EQ59)</f>
        <v>0</v>
      </c>
      <c r="CB54" s="171">
        <f>SUMIF('CF(M)'!$L$11:$EQ$11,CB$6,'CF(M)'!$L59:$EQ59)</f>
        <v>0</v>
      </c>
      <c r="CC54" s="171">
        <f>SUMIF('CF(M)'!$L$11:$EQ$11,CC$6,'CF(M)'!$L59:$EQ59)</f>
        <v>0</v>
      </c>
      <c r="CD54" s="171">
        <f>SUMIF('CF(M)'!$L$11:$EQ$11,CD$6,'CF(M)'!$L59:$EQ59)</f>
        <v>0</v>
      </c>
      <c r="CE54" s="171">
        <f>SUMIF('CF(M)'!$L$11:$EQ$11,CE$6,'CF(M)'!$L59:$EQ59)</f>
        <v>0</v>
      </c>
      <c r="CF54" s="171">
        <f>SUMIF('CF(M)'!$L$11:$EQ$11,CF$6,'CF(M)'!$L59:$EQ59)</f>
        <v>0</v>
      </c>
      <c r="CG54" s="171">
        <f>SUMIF('CF(M)'!$L$11:$EQ$11,CG$6,'CF(M)'!$L59:$EQ59)</f>
        <v>0</v>
      </c>
      <c r="CH54" s="171">
        <f>SUMIF('CF(M)'!$L$11:$EQ$11,CH$6,'CF(M)'!$L59:$EQ59)</f>
        <v>0</v>
      </c>
      <c r="CI54" s="171">
        <f>SUMIF('CF(M)'!$L$11:$EQ$11,CI$6,'CF(M)'!$L59:$EQ59)</f>
        <v>0</v>
      </c>
      <c r="CJ54" s="171">
        <f>SUMIF('CF(M)'!$L$11:$EQ$11,CJ$6,'CF(M)'!$L59:$EQ59)</f>
        <v>0</v>
      </c>
      <c r="CK54" s="171">
        <f>SUMIF('CF(M)'!$L$11:$EQ$11,CK$6,'CF(M)'!$L59:$EQ59)</f>
        <v>0</v>
      </c>
      <c r="CL54" s="171">
        <f>SUMIF('CF(M)'!$L$11:$EQ$11,CL$6,'CF(M)'!$L59:$EQ59)</f>
        <v>0</v>
      </c>
      <c r="CM54" s="171">
        <f>SUMIF('CF(M)'!$L$11:$EQ$11,CM$6,'CF(M)'!$L59:$EQ59)</f>
        <v>0</v>
      </c>
      <c r="CN54" s="171">
        <f>SUMIF('CF(M)'!$L$11:$EQ$11,CN$6,'CF(M)'!$L59:$EQ59)</f>
        <v>0</v>
      </c>
      <c r="CO54" s="171">
        <f>SUMIF('CF(M)'!$L$11:$EQ$11,CO$6,'CF(M)'!$L59:$EQ59)</f>
        <v>0</v>
      </c>
      <c r="CP54" s="171">
        <f>SUMIF('CF(M)'!$L$11:$EQ$11,CP$6,'CF(M)'!$L59:$EQ59)</f>
        <v>0</v>
      </c>
      <c r="CQ54" s="171">
        <f>SUMIF('CF(M)'!$L$11:$EQ$11,CQ$6,'CF(M)'!$L59:$EQ59)</f>
        <v>0</v>
      </c>
      <c r="CR54" s="171">
        <f>SUMIF('CF(M)'!$L$11:$EQ$11,CR$6,'CF(M)'!$L59:$EQ59)</f>
        <v>0</v>
      </c>
      <c r="CS54" s="171">
        <f>SUMIF('CF(M)'!$L$11:$EQ$11,CS$6,'CF(M)'!$L59:$EQ59)</f>
        <v>0</v>
      </c>
      <c r="CT54" s="171">
        <f>SUMIF('CF(M)'!$L$11:$EQ$11,CT$6,'CF(M)'!$L59:$EQ59)</f>
        <v>0</v>
      </c>
      <c r="CU54" s="171">
        <f>SUMIF('CF(M)'!$L$11:$EQ$11,CU$6,'CF(M)'!$L59:$EQ59)</f>
        <v>0</v>
      </c>
      <c r="CV54" s="171">
        <f>SUMIF('CF(M)'!$L$11:$EQ$11,CV$6,'CF(M)'!$L59:$EQ59)</f>
        <v>0</v>
      </c>
      <c r="CW54" s="171">
        <f>SUMIF('CF(M)'!$L$11:$EQ$11,CW$6,'CF(M)'!$L59:$EQ59)</f>
        <v>0</v>
      </c>
      <c r="CX54" s="171">
        <f>SUMIF('CF(M)'!$L$11:$EQ$11,CX$6,'CF(M)'!$L59:$EQ59)</f>
        <v>0</v>
      </c>
      <c r="CY54" s="171">
        <f>SUMIF('CF(M)'!$L$11:$EQ$11,CY$6,'CF(M)'!$L59:$EQ59)</f>
        <v>0</v>
      </c>
      <c r="CZ54" s="171">
        <f>SUMIF('CF(M)'!$L$11:$EQ$11,CZ$6,'CF(M)'!$L59:$EQ59)</f>
        <v>0</v>
      </c>
      <c r="DA54" s="171">
        <f>SUMIF('CF(M)'!$L$11:$EQ$11,DA$6,'CF(M)'!$L59:$EQ59)</f>
        <v>0</v>
      </c>
      <c r="DB54" s="171">
        <f>SUMIF('CF(M)'!$L$11:$EQ$11,DB$6,'CF(M)'!$L59:$EQ59)</f>
        <v>0</v>
      </c>
      <c r="DC54" s="171">
        <f>SUMIF('CF(M)'!$L$11:$EQ$11,DC$6,'CF(M)'!$L59:$EQ59)</f>
        <v>0</v>
      </c>
      <c r="DD54" s="171">
        <f>SUMIF('CF(M)'!$L$11:$EQ$11,DD$6,'CF(M)'!$L59:$EQ59)</f>
        <v>0</v>
      </c>
      <c r="DE54" s="171">
        <f>SUMIF('CF(M)'!$L$11:$EQ$11,DE$6,'CF(M)'!$L59:$EQ59)</f>
        <v>0</v>
      </c>
      <c r="DF54" s="171">
        <f>SUMIF('CF(M)'!$L$11:$EQ$11,DF$6,'CF(M)'!$L59:$EQ59)</f>
        <v>0</v>
      </c>
      <c r="DG54" s="171">
        <f>SUMIF('CF(M)'!$L$11:$EQ$11,DG$6,'CF(M)'!$L59:$EQ59)</f>
        <v>0</v>
      </c>
      <c r="DH54" s="171">
        <f>SUMIF('CF(M)'!$L$11:$EQ$11,DH$6,'CF(M)'!$L59:$EQ59)</f>
        <v>0</v>
      </c>
      <c r="DI54" s="171">
        <f>SUMIF('CF(M)'!$L$11:$EQ$11,DI$6,'CF(M)'!$L59:$EQ59)</f>
        <v>0</v>
      </c>
      <c r="DJ54" s="171">
        <f>SUMIF('CF(M)'!$L$11:$EQ$11,DJ$6,'CF(M)'!$L59:$EQ59)</f>
        <v>0</v>
      </c>
      <c r="DK54" s="171">
        <f>SUMIF('CF(M)'!$L$11:$EQ$11,DK$6,'CF(M)'!$L59:$EQ59)</f>
        <v>0</v>
      </c>
      <c r="DL54" s="171">
        <f>SUMIF('CF(M)'!$L$11:$EQ$11,DL$6,'CF(M)'!$L59:$EQ59)</f>
        <v>0</v>
      </c>
      <c r="DM54" s="171">
        <f>SUMIF('CF(M)'!$L$11:$EQ$11,DM$6,'CF(M)'!$L59:$EQ59)</f>
        <v>0</v>
      </c>
      <c r="DN54" s="171">
        <f>SUMIF('CF(M)'!$L$11:$EQ$11,DN$6,'CF(M)'!$L59:$EQ59)</f>
        <v>0</v>
      </c>
      <c r="DO54" s="171">
        <f>SUMIF('CF(M)'!$L$11:$EQ$11,DO$6,'CF(M)'!$L59:$EQ59)</f>
        <v>0</v>
      </c>
      <c r="DP54" s="171">
        <f>SUMIF('CF(M)'!$L$11:$EQ$11,DP$6,'CF(M)'!$L59:$EQ59)</f>
        <v>0</v>
      </c>
      <c r="DQ54" s="171">
        <f>SUMIF('CF(M)'!$L$11:$EQ$11,DQ$6,'CF(M)'!$L59:$EQ59)</f>
        <v>0</v>
      </c>
      <c r="DR54" s="171">
        <f>SUMIF('CF(M)'!$L$11:$EQ$11,DR$6,'CF(M)'!$L59:$EQ59)</f>
        <v>0</v>
      </c>
      <c r="DS54" s="171">
        <f>SUMIF('CF(M)'!$L$11:$EQ$11,DS$6,'CF(M)'!$L59:$EQ59)</f>
        <v>0</v>
      </c>
      <c r="DT54" s="171">
        <f>SUMIF('CF(M)'!$L$11:$EQ$11,DT$6,'CF(M)'!$L59:$EQ59)</f>
        <v>0</v>
      </c>
      <c r="DU54" s="171">
        <f>SUMIF('CF(M)'!$L$11:$EQ$11,DU$6,'CF(M)'!$L59:$EQ59)</f>
        <v>0</v>
      </c>
      <c r="DV54" s="171">
        <f>SUMIF('CF(M)'!$L$11:$EQ$11,DV$6,'CF(M)'!$L59:$EQ59)</f>
        <v>0</v>
      </c>
    </row>
    <row r="55" spans="2:126" ht="11.25" customHeight="1">
      <c r="B55" s="218"/>
      <c r="C55" s="158" t="s">
        <v>203</v>
      </c>
      <c r="D55" s="159"/>
      <c r="E55" s="159"/>
      <c r="F55" s="159"/>
      <c r="G55" s="159"/>
      <c r="H55" s="160"/>
      <c r="I55" s="219"/>
      <c r="J55" s="220">
        <f>SUM(J56:J61)</f>
        <v>-288900000</v>
      </c>
      <c r="K55" s="98"/>
      <c r="L55" s="162">
        <f>SUM(L56:L61)</f>
        <v>-288900000</v>
      </c>
      <c r="M55" s="162">
        <f t="shared" ref="M55:BX55" si="26">SUM(M56:M61)</f>
        <v>0</v>
      </c>
      <c r="N55" s="162">
        <f t="shared" si="26"/>
        <v>0</v>
      </c>
      <c r="O55" s="162">
        <f t="shared" si="26"/>
        <v>0</v>
      </c>
      <c r="P55" s="162">
        <f t="shared" si="26"/>
        <v>0</v>
      </c>
      <c r="Q55" s="162">
        <f t="shared" si="26"/>
        <v>0</v>
      </c>
      <c r="R55" s="162">
        <f t="shared" si="26"/>
        <v>0</v>
      </c>
      <c r="S55" s="162">
        <f t="shared" si="26"/>
        <v>0</v>
      </c>
      <c r="T55" s="162">
        <f t="shared" si="26"/>
        <v>0</v>
      </c>
      <c r="U55" s="162">
        <f t="shared" si="26"/>
        <v>0</v>
      </c>
      <c r="V55" s="162">
        <f t="shared" si="26"/>
        <v>0</v>
      </c>
      <c r="W55" s="162">
        <f t="shared" si="26"/>
        <v>0</v>
      </c>
      <c r="X55" s="162">
        <f t="shared" si="26"/>
        <v>0</v>
      </c>
      <c r="Y55" s="162">
        <f t="shared" si="26"/>
        <v>0</v>
      </c>
      <c r="Z55" s="162">
        <f t="shared" si="26"/>
        <v>0</v>
      </c>
      <c r="AA55" s="162">
        <f t="shared" si="26"/>
        <v>0</v>
      </c>
      <c r="AB55" s="162">
        <f t="shared" si="26"/>
        <v>0</v>
      </c>
      <c r="AC55" s="162">
        <f t="shared" si="26"/>
        <v>0</v>
      </c>
      <c r="AD55" s="162">
        <f t="shared" si="26"/>
        <v>0</v>
      </c>
      <c r="AE55" s="162">
        <f t="shared" si="26"/>
        <v>0</v>
      </c>
      <c r="AF55" s="162">
        <f t="shared" si="26"/>
        <v>0</v>
      </c>
      <c r="AG55" s="162">
        <f t="shared" si="26"/>
        <v>0</v>
      </c>
      <c r="AH55" s="162">
        <f t="shared" si="26"/>
        <v>0</v>
      </c>
      <c r="AI55" s="162">
        <f t="shared" si="26"/>
        <v>0</v>
      </c>
      <c r="AJ55" s="162">
        <f t="shared" si="26"/>
        <v>0</v>
      </c>
      <c r="AK55" s="162">
        <f t="shared" si="26"/>
        <v>0</v>
      </c>
      <c r="AL55" s="162">
        <f t="shared" si="26"/>
        <v>0</v>
      </c>
      <c r="AM55" s="162">
        <f t="shared" si="26"/>
        <v>0</v>
      </c>
      <c r="AN55" s="162">
        <f t="shared" si="26"/>
        <v>0</v>
      </c>
      <c r="AO55" s="162">
        <f t="shared" si="26"/>
        <v>0</v>
      </c>
      <c r="AP55" s="162">
        <f t="shared" si="26"/>
        <v>0</v>
      </c>
      <c r="AQ55" s="162">
        <f t="shared" si="26"/>
        <v>0</v>
      </c>
      <c r="AR55" s="162">
        <f t="shared" si="26"/>
        <v>0</v>
      </c>
      <c r="AS55" s="162">
        <f t="shared" si="26"/>
        <v>0</v>
      </c>
      <c r="AT55" s="162">
        <f t="shared" si="26"/>
        <v>0</v>
      </c>
      <c r="AU55" s="162">
        <f t="shared" si="26"/>
        <v>0</v>
      </c>
      <c r="AV55" s="162">
        <f t="shared" si="26"/>
        <v>0</v>
      </c>
      <c r="AW55" s="162">
        <f t="shared" si="26"/>
        <v>0</v>
      </c>
      <c r="AX55" s="162">
        <f t="shared" si="26"/>
        <v>0</v>
      </c>
      <c r="AY55" s="162">
        <f t="shared" si="26"/>
        <v>0</v>
      </c>
      <c r="AZ55" s="162">
        <f t="shared" si="26"/>
        <v>0</v>
      </c>
      <c r="BA55" s="162">
        <f t="shared" si="26"/>
        <v>0</v>
      </c>
      <c r="BB55" s="162">
        <f t="shared" si="26"/>
        <v>0</v>
      </c>
      <c r="BC55" s="162">
        <f t="shared" si="26"/>
        <v>0</v>
      </c>
      <c r="BD55" s="162">
        <f t="shared" si="26"/>
        <v>0</v>
      </c>
      <c r="BE55" s="162">
        <f t="shared" si="26"/>
        <v>0</v>
      </c>
      <c r="BF55" s="162">
        <f t="shared" si="26"/>
        <v>0</v>
      </c>
      <c r="BG55" s="162">
        <f t="shared" si="26"/>
        <v>0</v>
      </c>
      <c r="BH55" s="162">
        <f t="shared" si="26"/>
        <v>0</v>
      </c>
      <c r="BI55" s="162">
        <f t="shared" si="26"/>
        <v>0</v>
      </c>
      <c r="BJ55" s="162">
        <f t="shared" si="26"/>
        <v>0</v>
      </c>
      <c r="BK55" s="162">
        <f t="shared" si="26"/>
        <v>0</v>
      </c>
      <c r="BL55" s="162">
        <f t="shared" si="26"/>
        <v>0</v>
      </c>
      <c r="BM55" s="162">
        <f t="shared" si="26"/>
        <v>0</v>
      </c>
      <c r="BN55" s="162">
        <f t="shared" si="26"/>
        <v>0</v>
      </c>
      <c r="BO55" s="162">
        <f t="shared" si="26"/>
        <v>0</v>
      </c>
      <c r="BP55" s="162">
        <f t="shared" si="26"/>
        <v>0</v>
      </c>
      <c r="BQ55" s="162">
        <f t="shared" si="26"/>
        <v>0</v>
      </c>
      <c r="BR55" s="162">
        <f t="shared" si="26"/>
        <v>0</v>
      </c>
      <c r="BS55" s="162">
        <f t="shared" si="26"/>
        <v>0</v>
      </c>
      <c r="BT55" s="162">
        <f t="shared" si="26"/>
        <v>0</v>
      </c>
      <c r="BU55" s="162">
        <f t="shared" si="26"/>
        <v>0</v>
      </c>
      <c r="BV55" s="162">
        <f t="shared" si="26"/>
        <v>0</v>
      </c>
      <c r="BW55" s="162">
        <f t="shared" si="26"/>
        <v>0</v>
      </c>
      <c r="BX55" s="162">
        <f t="shared" si="26"/>
        <v>0</v>
      </c>
      <c r="BY55" s="162">
        <f t="shared" ref="BY55:DV55" si="27">SUM(BY56:BY61)</f>
        <v>0</v>
      </c>
      <c r="BZ55" s="162">
        <f t="shared" si="27"/>
        <v>0</v>
      </c>
      <c r="CA55" s="162">
        <f t="shared" si="27"/>
        <v>0</v>
      </c>
      <c r="CB55" s="162">
        <f t="shared" si="27"/>
        <v>0</v>
      </c>
      <c r="CC55" s="162">
        <f t="shared" si="27"/>
        <v>0</v>
      </c>
      <c r="CD55" s="162">
        <f t="shared" si="27"/>
        <v>0</v>
      </c>
      <c r="CE55" s="162">
        <f t="shared" si="27"/>
        <v>0</v>
      </c>
      <c r="CF55" s="162">
        <f t="shared" si="27"/>
        <v>0</v>
      </c>
      <c r="CG55" s="162">
        <f t="shared" si="27"/>
        <v>0</v>
      </c>
      <c r="CH55" s="162">
        <f t="shared" si="27"/>
        <v>0</v>
      </c>
      <c r="CI55" s="162">
        <f t="shared" si="27"/>
        <v>0</v>
      </c>
      <c r="CJ55" s="162">
        <f t="shared" si="27"/>
        <v>0</v>
      </c>
      <c r="CK55" s="162">
        <f t="shared" si="27"/>
        <v>0</v>
      </c>
      <c r="CL55" s="162">
        <f t="shared" si="27"/>
        <v>0</v>
      </c>
      <c r="CM55" s="162">
        <f t="shared" si="27"/>
        <v>0</v>
      </c>
      <c r="CN55" s="162">
        <f t="shared" si="27"/>
        <v>0</v>
      </c>
      <c r="CO55" s="162">
        <f t="shared" si="27"/>
        <v>0</v>
      </c>
      <c r="CP55" s="162">
        <f t="shared" si="27"/>
        <v>0</v>
      </c>
      <c r="CQ55" s="162">
        <f t="shared" si="27"/>
        <v>0</v>
      </c>
      <c r="CR55" s="162">
        <f t="shared" si="27"/>
        <v>0</v>
      </c>
      <c r="CS55" s="162">
        <f t="shared" si="27"/>
        <v>0</v>
      </c>
      <c r="CT55" s="162">
        <f t="shared" si="27"/>
        <v>0</v>
      </c>
      <c r="CU55" s="162">
        <f t="shared" si="27"/>
        <v>0</v>
      </c>
      <c r="CV55" s="162">
        <f t="shared" si="27"/>
        <v>0</v>
      </c>
      <c r="CW55" s="162">
        <f t="shared" si="27"/>
        <v>0</v>
      </c>
      <c r="CX55" s="162">
        <f t="shared" si="27"/>
        <v>0</v>
      </c>
      <c r="CY55" s="162">
        <f t="shared" si="27"/>
        <v>0</v>
      </c>
      <c r="CZ55" s="162">
        <f t="shared" si="27"/>
        <v>0</v>
      </c>
      <c r="DA55" s="162">
        <f t="shared" si="27"/>
        <v>0</v>
      </c>
      <c r="DB55" s="162">
        <f t="shared" si="27"/>
        <v>0</v>
      </c>
      <c r="DC55" s="162">
        <f t="shared" si="27"/>
        <v>0</v>
      </c>
      <c r="DD55" s="162">
        <f t="shared" si="27"/>
        <v>0</v>
      </c>
      <c r="DE55" s="162">
        <f t="shared" si="27"/>
        <v>0</v>
      </c>
      <c r="DF55" s="162">
        <f t="shared" si="27"/>
        <v>0</v>
      </c>
      <c r="DG55" s="162">
        <f t="shared" si="27"/>
        <v>0</v>
      </c>
      <c r="DH55" s="162">
        <f t="shared" si="27"/>
        <v>0</v>
      </c>
      <c r="DI55" s="162">
        <f t="shared" si="27"/>
        <v>0</v>
      </c>
      <c r="DJ55" s="162">
        <f t="shared" si="27"/>
        <v>0</v>
      </c>
      <c r="DK55" s="162">
        <f t="shared" si="27"/>
        <v>0</v>
      </c>
      <c r="DL55" s="162">
        <f t="shared" si="27"/>
        <v>0</v>
      </c>
      <c r="DM55" s="162">
        <f t="shared" si="27"/>
        <v>0</v>
      </c>
      <c r="DN55" s="162">
        <f t="shared" si="27"/>
        <v>0</v>
      </c>
      <c r="DO55" s="162">
        <f t="shared" si="27"/>
        <v>0</v>
      </c>
      <c r="DP55" s="162">
        <f t="shared" si="27"/>
        <v>0</v>
      </c>
      <c r="DQ55" s="162">
        <f t="shared" si="27"/>
        <v>0</v>
      </c>
      <c r="DR55" s="162">
        <f t="shared" si="27"/>
        <v>0</v>
      </c>
      <c r="DS55" s="162">
        <f t="shared" si="27"/>
        <v>0</v>
      </c>
      <c r="DT55" s="162">
        <f t="shared" si="27"/>
        <v>0</v>
      </c>
      <c r="DU55" s="162">
        <f t="shared" si="27"/>
        <v>0</v>
      </c>
      <c r="DV55" s="162">
        <f t="shared" si="27"/>
        <v>0</v>
      </c>
    </row>
    <row r="56" spans="2:126" ht="11.25" customHeight="1">
      <c r="B56" s="218"/>
      <c r="C56" s="163"/>
      <c r="D56" s="164" t="s">
        <v>171</v>
      </c>
      <c r="E56" s="165"/>
      <c r="F56" s="165"/>
      <c r="G56" s="165"/>
      <c r="H56" s="166"/>
      <c r="I56" s="228"/>
      <c r="J56" s="168">
        <f t="shared" si="25"/>
        <v>-270000000</v>
      </c>
      <c r="K56" s="98"/>
      <c r="L56" s="168">
        <f>SUMIF('CF(M)'!$L$11:$EQ$11,L$6,'CF(M)'!$L61:$EQ61)</f>
        <v>-270000000</v>
      </c>
      <c r="M56" s="168">
        <f>SUMIF('CF(M)'!$L$11:$EQ$11,M$6,'CF(M)'!$L61:$EQ61)</f>
        <v>0</v>
      </c>
      <c r="N56" s="168">
        <f>SUMIF('CF(M)'!$L$11:$EQ$11,N$6,'CF(M)'!$L61:$EQ61)</f>
        <v>0</v>
      </c>
      <c r="O56" s="168">
        <f>SUMIF('CF(M)'!$L$11:$EQ$11,O$6,'CF(M)'!$L61:$EQ61)</f>
        <v>0</v>
      </c>
      <c r="P56" s="168">
        <f>SUMIF('CF(M)'!$L$11:$EQ$11,P$6,'CF(M)'!$L61:$EQ61)</f>
        <v>0</v>
      </c>
      <c r="Q56" s="168">
        <f>SUMIF('CF(M)'!$L$11:$EQ$11,Q$6,'CF(M)'!$L61:$EQ61)</f>
        <v>0</v>
      </c>
      <c r="R56" s="168">
        <f>SUMIF('CF(M)'!$L$11:$EQ$11,R$6,'CF(M)'!$L61:$EQ61)</f>
        <v>0</v>
      </c>
      <c r="S56" s="168">
        <f>SUMIF('CF(M)'!$L$11:$EQ$11,S$6,'CF(M)'!$L61:$EQ61)</f>
        <v>0</v>
      </c>
      <c r="T56" s="168">
        <f>SUMIF('CF(M)'!$L$11:$EQ$11,T$6,'CF(M)'!$L61:$EQ61)</f>
        <v>0</v>
      </c>
      <c r="U56" s="168">
        <f>SUMIF('CF(M)'!$L$11:$EQ$11,U$6,'CF(M)'!$L61:$EQ61)</f>
        <v>0</v>
      </c>
      <c r="V56" s="168">
        <f>SUMIF('CF(M)'!$L$11:$EQ$11,V$6,'CF(M)'!$L61:$EQ61)</f>
        <v>0</v>
      </c>
      <c r="W56" s="168">
        <f>SUMIF('CF(M)'!$L$11:$EQ$11,W$6,'CF(M)'!$L61:$EQ61)</f>
        <v>0</v>
      </c>
      <c r="X56" s="168">
        <f>SUMIF('CF(M)'!$L$11:$EQ$11,X$6,'CF(M)'!$L61:$EQ61)</f>
        <v>0</v>
      </c>
      <c r="Y56" s="168">
        <f>SUMIF('CF(M)'!$L$11:$EQ$11,Y$6,'CF(M)'!$L61:$EQ61)</f>
        <v>0</v>
      </c>
      <c r="Z56" s="168">
        <f>SUMIF('CF(M)'!$L$11:$EQ$11,Z$6,'CF(M)'!$L61:$EQ61)</f>
        <v>0</v>
      </c>
      <c r="AA56" s="168">
        <f>SUMIF('CF(M)'!$L$11:$EQ$11,AA$6,'CF(M)'!$L61:$EQ61)</f>
        <v>0</v>
      </c>
      <c r="AB56" s="168">
        <f>SUMIF('CF(M)'!$L$11:$EQ$11,AB$6,'CF(M)'!$L61:$EQ61)</f>
        <v>0</v>
      </c>
      <c r="AC56" s="168">
        <f>SUMIF('CF(M)'!$L$11:$EQ$11,AC$6,'CF(M)'!$L61:$EQ61)</f>
        <v>0</v>
      </c>
      <c r="AD56" s="168">
        <f>SUMIF('CF(M)'!$L$11:$EQ$11,AD$6,'CF(M)'!$L61:$EQ61)</f>
        <v>0</v>
      </c>
      <c r="AE56" s="168">
        <f>SUMIF('CF(M)'!$L$11:$EQ$11,AE$6,'CF(M)'!$L61:$EQ61)</f>
        <v>0</v>
      </c>
      <c r="AF56" s="168">
        <f>SUMIF('CF(M)'!$L$11:$EQ$11,AF$6,'CF(M)'!$L61:$EQ61)</f>
        <v>0</v>
      </c>
      <c r="AG56" s="168">
        <f>SUMIF('CF(M)'!$L$11:$EQ$11,AG$6,'CF(M)'!$L61:$EQ61)</f>
        <v>0</v>
      </c>
      <c r="AH56" s="168">
        <f>SUMIF('CF(M)'!$L$11:$EQ$11,AH$6,'CF(M)'!$L61:$EQ61)</f>
        <v>0</v>
      </c>
      <c r="AI56" s="168">
        <f>SUMIF('CF(M)'!$L$11:$EQ$11,AI$6,'CF(M)'!$L61:$EQ61)</f>
        <v>0</v>
      </c>
      <c r="AJ56" s="168">
        <f>SUMIF('CF(M)'!$L$11:$EQ$11,AJ$6,'CF(M)'!$L61:$EQ61)</f>
        <v>0</v>
      </c>
      <c r="AK56" s="168">
        <f>SUMIF('CF(M)'!$L$11:$EQ$11,AK$6,'CF(M)'!$L61:$EQ61)</f>
        <v>0</v>
      </c>
      <c r="AL56" s="168">
        <f>SUMIF('CF(M)'!$L$11:$EQ$11,AL$6,'CF(M)'!$L61:$EQ61)</f>
        <v>0</v>
      </c>
      <c r="AM56" s="168">
        <f>SUMIF('CF(M)'!$L$11:$EQ$11,AM$6,'CF(M)'!$L61:$EQ61)</f>
        <v>0</v>
      </c>
      <c r="AN56" s="168">
        <f>SUMIF('CF(M)'!$L$11:$EQ$11,AN$6,'CF(M)'!$L61:$EQ61)</f>
        <v>0</v>
      </c>
      <c r="AO56" s="168">
        <f>SUMIF('CF(M)'!$L$11:$EQ$11,AO$6,'CF(M)'!$L61:$EQ61)</f>
        <v>0</v>
      </c>
      <c r="AP56" s="168">
        <f>SUMIF('CF(M)'!$L$11:$EQ$11,AP$6,'CF(M)'!$L61:$EQ61)</f>
        <v>0</v>
      </c>
      <c r="AQ56" s="168">
        <f>SUMIF('CF(M)'!$L$11:$EQ$11,AQ$6,'CF(M)'!$L61:$EQ61)</f>
        <v>0</v>
      </c>
      <c r="AR56" s="168">
        <f>SUMIF('CF(M)'!$L$11:$EQ$11,AR$6,'CF(M)'!$L61:$EQ61)</f>
        <v>0</v>
      </c>
      <c r="AS56" s="168">
        <f>SUMIF('CF(M)'!$L$11:$EQ$11,AS$6,'CF(M)'!$L61:$EQ61)</f>
        <v>0</v>
      </c>
      <c r="AT56" s="168">
        <f>SUMIF('CF(M)'!$L$11:$EQ$11,AT$6,'CF(M)'!$L61:$EQ61)</f>
        <v>0</v>
      </c>
      <c r="AU56" s="168">
        <f>SUMIF('CF(M)'!$L$11:$EQ$11,AU$6,'CF(M)'!$L61:$EQ61)</f>
        <v>0</v>
      </c>
      <c r="AV56" s="168">
        <f>SUMIF('CF(M)'!$L$11:$EQ$11,AV$6,'CF(M)'!$L61:$EQ61)</f>
        <v>0</v>
      </c>
      <c r="AW56" s="168">
        <f>SUMIF('CF(M)'!$L$11:$EQ$11,AW$6,'CF(M)'!$L61:$EQ61)</f>
        <v>0</v>
      </c>
      <c r="AX56" s="168">
        <f>SUMIF('CF(M)'!$L$11:$EQ$11,AX$6,'CF(M)'!$L61:$EQ61)</f>
        <v>0</v>
      </c>
      <c r="AY56" s="168">
        <f>SUMIF('CF(M)'!$L$11:$EQ$11,AY$6,'CF(M)'!$L61:$EQ61)</f>
        <v>0</v>
      </c>
      <c r="AZ56" s="168">
        <f>SUMIF('CF(M)'!$L$11:$EQ$11,AZ$6,'CF(M)'!$L61:$EQ61)</f>
        <v>0</v>
      </c>
      <c r="BA56" s="168">
        <f>SUMIF('CF(M)'!$L$11:$EQ$11,BA$6,'CF(M)'!$L61:$EQ61)</f>
        <v>0</v>
      </c>
      <c r="BB56" s="168">
        <f>SUMIF('CF(M)'!$L$11:$EQ$11,BB$6,'CF(M)'!$L61:$EQ61)</f>
        <v>0</v>
      </c>
      <c r="BC56" s="168">
        <f>SUMIF('CF(M)'!$L$11:$EQ$11,BC$6,'CF(M)'!$L61:$EQ61)</f>
        <v>0</v>
      </c>
      <c r="BD56" s="168">
        <f>SUMIF('CF(M)'!$L$11:$EQ$11,BD$6,'CF(M)'!$L61:$EQ61)</f>
        <v>0</v>
      </c>
      <c r="BE56" s="168">
        <f>SUMIF('CF(M)'!$L$11:$EQ$11,BE$6,'CF(M)'!$L61:$EQ61)</f>
        <v>0</v>
      </c>
      <c r="BF56" s="168">
        <f>SUMIF('CF(M)'!$L$11:$EQ$11,BF$6,'CF(M)'!$L61:$EQ61)</f>
        <v>0</v>
      </c>
      <c r="BG56" s="168">
        <f>SUMIF('CF(M)'!$L$11:$EQ$11,BG$6,'CF(M)'!$L61:$EQ61)</f>
        <v>0</v>
      </c>
      <c r="BH56" s="168">
        <f>SUMIF('CF(M)'!$L$11:$EQ$11,BH$6,'CF(M)'!$L61:$EQ61)</f>
        <v>0</v>
      </c>
      <c r="BI56" s="168">
        <f>SUMIF('CF(M)'!$L$11:$EQ$11,BI$6,'CF(M)'!$L61:$EQ61)</f>
        <v>0</v>
      </c>
      <c r="BJ56" s="168">
        <f>SUMIF('CF(M)'!$L$11:$EQ$11,BJ$6,'CF(M)'!$L61:$EQ61)</f>
        <v>0</v>
      </c>
      <c r="BK56" s="168">
        <f>SUMIF('CF(M)'!$L$11:$EQ$11,BK$6,'CF(M)'!$L61:$EQ61)</f>
        <v>0</v>
      </c>
      <c r="BL56" s="168">
        <f>SUMIF('CF(M)'!$L$11:$EQ$11,BL$6,'CF(M)'!$L61:$EQ61)</f>
        <v>0</v>
      </c>
      <c r="BM56" s="168">
        <f>SUMIF('CF(M)'!$L$11:$EQ$11,BM$6,'CF(M)'!$L61:$EQ61)</f>
        <v>0</v>
      </c>
      <c r="BN56" s="168">
        <f>SUMIF('CF(M)'!$L$11:$EQ$11,BN$6,'CF(M)'!$L61:$EQ61)</f>
        <v>0</v>
      </c>
      <c r="BO56" s="168">
        <f>SUMIF('CF(M)'!$L$11:$EQ$11,BO$6,'CF(M)'!$L61:$EQ61)</f>
        <v>0</v>
      </c>
      <c r="BP56" s="168">
        <f>SUMIF('CF(M)'!$L$11:$EQ$11,BP$6,'CF(M)'!$L61:$EQ61)</f>
        <v>0</v>
      </c>
      <c r="BQ56" s="168">
        <f>SUMIF('CF(M)'!$L$11:$EQ$11,BQ$6,'CF(M)'!$L61:$EQ61)</f>
        <v>0</v>
      </c>
      <c r="BR56" s="168">
        <f>SUMIF('CF(M)'!$L$11:$EQ$11,BR$6,'CF(M)'!$L61:$EQ61)</f>
        <v>0</v>
      </c>
      <c r="BS56" s="168">
        <f>SUMIF('CF(M)'!$L$11:$EQ$11,BS$6,'CF(M)'!$L61:$EQ61)</f>
        <v>0</v>
      </c>
      <c r="BT56" s="168">
        <f>SUMIF('CF(M)'!$L$11:$EQ$11,BT$6,'CF(M)'!$L61:$EQ61)</f>
        <v>0</v>
      </c>
      <c r="BU56" s="168">
        <f>SUMIF('CF(M)'!$L$11:$EQ$11,BU$6,'CF(M)'!$L61:$EQ61)</f>
        <v>0</v>
      </c>
      <c r="BV56" s="168">
        <f>SUMIF('CF(M)'!$L$11:$EQ$11,BV$6,'CF(M)'!$L61:$EQ61)</f>
        <v>0</v>
      </c>
      <c r="BW56" s="168">
        <f>SUMIF('CF(M)'!$L$11:$EQ$11,BW$6,'CF(M)'!$L61:$EQ61)</f>
        <v>0</v>
      </c>
      <c r="BX56" s="168">
        <f>SUMIF('CF(M)'!$L$11:$EQ$11,BX$6,'CF(M)'!$L61:$EQ61)</f>
        <v>0</v>
      </c>
      <c r="BY56" s="168">
        <f>SUMIF('CF(M)'!$L$11:$EQ$11,BY$6,'CF(M)'!$L61:$EQ61)</f>
        <v>0</v>
      </c>
      <c r="BZ56" s="168">
        <f>SUMIF('CF(M)'!$L$11:$EQ$11,BZ$6,'CF(M)'!$L61:$EQ61)</f>
        <v>0</v>
      </c>
      <c r="CA56" s="168">
        <f>SUMIF('CF(M)'!$L$11:$EQ$11,CA$6,'CF(M)'!$L61:$EQ61)</f>
        <v>0</v>
      </c>
      <c r="CB56" s="168">
        <f>SUMIF('CF(M)'!$L$11:$EQ$11,CB$6,'CF(M)'!$L61:$EQ61)</f>
        <v>0</v>
      </c>
      <c r="CC56" s="168">
        <f>SUMIF('CF(M)'!$L$11:$EQ$11,CC$6,'CF(M)'!$L61:$EQ61)</f>
        <v>0</v>
      </c>
      <c r="CD56" s="168">
        <f>SUMIF('CF(M)'!$L$11:$EQ$11,CD$6,'CF(M)'!$L61:$EQ61)</f>
        <v>0</v>
      </c>
      <c r="CE56" s="168">
        <f>SUMIF('CF(M)'!$L$11:$EQ$11,CE$6,'CF(M)'!$L61:$EQ61)</f>
        <v>0</v>
      </c>
      <c r="CF56" s="168">
        <f>SUMIF('CF(M)'!$L$11:$EQ$11,CF$6,'CF(M)'!$L61:$EQ61)</f>
        <v>0</v>
      </c>
      <c r="CG56" s="168">
        <f>SUMIF('CF(M)'!$L$11:$EQ$11,CG$6,'CF(M)'!$L61:$EQ61)</f>
        <v>0</v>
      </c>
      <c r="CH56" s="168">
        <f>SUMIF('CF(M)'!$L$11:$EQ$11,CH$6,'CF(M)'!$L61:$EQ61)</f>
        <v>0</v>
      </c>
      <c r="CI56" s="168">
        <f>SUMIF('CF(M)'!$L$11:$EQ$11,CI$6,'CF(M)'!$L61:$EQ61)</f>
        <v>0</v>
      </c>
      <c r="CJ56" s="168">
        <f>SUMIF('CF(M)'!$L$11:$EQ$11,CJ$6,'CF(M)'!$L61:$EQ61)</f>
        <v>0</v>
      </c>
      <c r="CK56" s="168">
        <f>SUMIF('CF(M)'!$L$11:$EQ$11,CK$6,'CF(M)'!$L61:$EQ61)</f>
        <v>0</v>
      </c>
      <c r="CL56" s="168">
        <f>SUMIF('CF(M)'!$L$11:$EQ$11,CL$6,'CF(M)'!$L61:$EQ61)</f>
        <v>0</v>
      </c>
      <c r="CM56" s="168">
        <f>SUMIF('CF(M)'!$L$11:$EQ$11,CM$6,'CF(M)'!$L61:$EQ61)</f>
        <v>0</v>
      </c>
      <c r="CN56" s="168">
        <f>SUMIF('CF(M)'!$L$11:$EQ$11,CN$6,'CF(M)'!$L61:$EQ61)</f>
        <v>0</v>
      </c>
      <c r="CO56" s="168">
        <f>SUMIF('CF(M)'!$L$11:$EQ$11,CO$6,'CF(M)'!$L61:$EQ61)</f>
        <v>0</v>
      </c>
      <c r="CP56" s="168">
        <f>SUMIF('CF(M)'!$L$11:$EQ$11,CP$6,'CF(M)'!$L61:$EQ61)</f>
        <v>0</v>
      </c>
      <c r="CQ56" s="168">
        <f>SUMIF('CF(M)'!$L$11:$EQ$11,CQ$6,'CF(M)'!$L61:$EQ61)</f>
        <v>0</v>
      </c>
      <c r="CR56" s="168">
        <f>SUMIF('CF(M)'!$L$11:$EQ$11,CR$6,'CF(M)'!$L61:$EQ61)</f>
        <v>0</v>
      </c>
      <c r="CS56" s="168">
        <f>SUMIF('CF(M)'!$L$11:$EQ$11,CS$6,'CF(M)'!$L61:$EQ61)</f>
        <v>0</v>
      </c>
      <c r="CT56" s="168">
        <f>SUMIF('CF(M)'!$L$11:$EQ$11,CT$6,'CF(M)'!$L61:$EQ61)</f>
        <v>0</v>
      </c>
      <c r="CU56" s="168">
        <f>SUMIF('CF(M)'!$L$11:$EQ$11,CU$6,'CF(M)'!$L61:$EQ61)</f>
        <v>0</v>
      </c>
      <c r="CV56" s="168">
        <f>SUMIF('CF(M)'!$L$11:$EQ$11,CV$6,'CF(M)'!$L61:$EQ61)</f>
        <v>0</v>
      </c>
      <c r="CW56" s="168">
        <f>SUMIF('CF(M)'!$L$11:$EQ$11,CW$6,'CF(M)'!$L61:$EQ61)</f>
        <v>0</v>
      </c>
      <c r="CX56" s="168">
        <f>SUMIF('CF(M)'!$L$11:$EQ$11,CX$6,'CF(M)'!$L61:$EQ61)</f>
        <v>0</v>
      </c>
      <c r="CY56" s="168">
        <f>SUMIF('CF(M)'!$L$11:$EQ$11,CY$6,'CF(M)'!$L61:$EQ61)</f>
        <v>0</v>
      </c>
      <c r="CZ56" s="168">
        <f>SUMIF('CF(M)'!$L$11:$EQ$11,CZ$6,'CF(M)'!$L61:$EQ61)</f>
        <v>0</v>
      </c>
      <c r="DA56" s="168">
        <f>SUMIF('CF(M)'!$L$11:$EQ$11,DA$6,'CF(M)'!$L61:$EQ61)</f>
        <v>0</v>
      </c>
      <c r="DB56" s="168">
        <f>SUMIF('CF(M)'!$L$11:$EQ$11,DB$6,'CF(M)'!$L61:$EQ61)</f>
        <v>0</v>
      </c>
      <c r="DC56" s="168">
        <f>SUMIF('CF(M)'!$L$11:$EQ$11,DC$6,'CF(M)'!$L61:$EQ61)</f>
        <v>0</v>
      </c>
      <c r="DD56" s="168">
        <f>SUMIF('CF(M)'!$L$11:$EQ$11,DD$6,'CF(M)'!$L61:$EQ61)</f>
        <v>0</v>
      </c>
      <c r="DE56" s="168">
        <f>SUMIF('CF(M)'!$L$11:$EQ$11,DE$6,'CF(M)'!$L61:$EQ61)</f>
        <v>0</v>
      </c>
      <c r="DF56" s="168">
        <f>SUMIF('CF(M)'!$L$11:$EQ$11,DF$6,'CF(M)'!$L61:$EQ61)</f>
        <v>0</v>
      </c>
      <c r="DG56" s="168">
        <f>SUMIF('CF(M)'!$L$11:$EQ$11,DG$6,'CF(M)'!$L61:$EQ61)</f>
        <v>0</v>
      </c>
      <c r="DH56" s="168">
        <f>SUMIF('CF(M)'!$L$11:$EQ$11,DH$6,'CF(M)'!$L61:$EQ61)</f>
        <v>0</v>
      </c>
      <c r="DI56" s="168">
        <f>SUMIF('CF(M)'!$L$11:$EQ$11,DI$6,'CF(M)'!$L61:$EQ61)</f>
        <v>0</v>
      </c>
      <c r="DJ56" s="168">
        <f>SUMIF('CF(M)'!$L$11:$EQ$11,DJ$6,'CF(M)'!$L61:$EQ61)</f>
        <v>0</v>
      </c>
      <c r="DK56" s="168">
        <f>SUMIF('CF(M)'!$L$11:$EQ$11,DK$6,'CF(M)'!$L61:$EQ61)</f>
        <v>0</v>
      </c>
      <c r="DL56" s="168">
        <f>SUMIF('CF(M)'!$L$11:$EQ$11,DL$6,'CF(M)'!$L61:$EQ61)</f>
        <v>0</v>
      </c>
      <c r="DM56" s="168">
        <f>SUMIF('CF(M)'!$L$11:$EQ$11,DM$6,'CF(M)'!$L61:$EQ61)</f>
        <v>0</v>
      </c>
      <c r="DN56" s="168">
        <f>SUMIF('CF(M)'!$L$11:$EQ$11,DN$6,'CF(M)'!$L61:$EQ61)</f>
        <v>0</v>
      </c>
      <c r="DO56" s="168">
        <f>SUMIF('CF(M)'!$L$11:$EQ$11,DO$6,'CF(M)'!$L61:$EQ61)</f>
        <v>0</v>
      </c>
      <c r="DP56" s="168">
        <f>SUMIF('CF(M)'!$L$11:$EQ$11,DP$6,'CF(M)'!$L61:$EQ61)</f>
        <v>0</v>
      </c>
      <c r="DQ56" s="168">
        <f>SUMIF('CF(M)'!$L$11:$EQ$11,DQ$6,'CF(M)'!$L61:$EQ61)</f>
        <v>0</v>
      </c>
      <c r="DR56" s="168">
        <f>SUMIF('CF(M)'!$L$11:$EQ$11,DR$6,'CF(M)'!$L61:$EQ61)</f>
        <v>0</v>
      </c>
      <c r="DS56" s="168">
        <f>SUMIF('CF(M)'!$L$11:$EQ$11,DS$6,'CF(M)'!$L61:$EQ61)</f>
        <v>0</v>
      </c>
      <c r="DT56" s="168">
        <f>SUMIF('CF(M)'!$L$11:$EQ$11,DT$6,'CF(M)'!$L61:$EQ61)</f>
        <v>0</v>
      </c>
      <c r="DU56" s="168">
        <f>SUMIF('CF(M)'!$L$11:$EQ$11,DU$6,'CF(M)'!$L61:$EQ61)</f>
        <v>0</v>
      </c>
      <c r="DV56" s="168">
        <f>SUMIF('CF(M)'!$L$11:$EQ$11,DV$6,'CF(M)'!$L61:$EQ61)</f>
        <v>0</v>
      </c>
    </row>
    <row r="57" spans="2:126" ht="11.25" customHeight="1">
      <c r="B57" s="218"/>
      <c r="C57" s="163"/>
      <c r="D57" s="169" t="s">
        <v>249</v>
      </c>
      <c r="H57" s="146"/>
      <c r="I57" s="229"/>
      <c r="J57" s="171">
        <f t="shared" si="25"/>
        <v>-1350000</v>
      </c>
      <c r="K57" s="98"/>
      <c r="L57" s="171">
        <f>SUMIF('CF(M)'!$L$11:$EQ$11,L$6,'CF(M)'!$L62:$EQ62)</f>
        <v>-1350000</v>
      </c>
      <c r="M57" s="171">
        <f>SUMIF('CF(M)'!$L$11:$EQ$11,M$6,'CF(M)'!$L62:$EQ62)</f>
        <v>0</v>
      </c>
      <c r="N57" s="171">
        <f>SUMIF('CF(M)'!$L$11:$EQ$11,N$6,'CF(M)'!$L62:$EQ62)</f>
        <v>0</v>
      </c>
      <c r="O57" s="171">
        <f>SUMIF('CF(M)'!$L$11:$EQ$11,O$6,'CF(M)'!$L62:$EQ62)</f>
        <v>0</v>
      </c>
      <c r="P57" s="171">
        <f>SUMIF('CF(M)'!$L$11:$EQ$11,P$6,'CF(M)'!$L62:$EQ62)</f>
        <v>0</v>
      </c>
      <c r="Q57" s="171">
        <f>SUMIF('CF(M)'!$L$11:$EQ$11,Q$6,'CF(M)'!$L62:$EQ62)</f>
        <v>0</v>
      </c>
      <c r="R57" s="171">
        <f>SUMIF('CF(M)'!$L$11:$EQ$11,R$6,'CF(M)'!$L62:$EQ62)</f>
        <v>0</v>
      </c>
      <c r="S57" s="171">
        <f>SUMIF('CF(M)'!$L$11:$EQ$11,S$6,'CF(M)'!$L62:$EQ62)</f>
        <v>0</v>
      </c>
      <c r="T57" s="171">
        <f>SUMIF('CF(M)'!$L$11:$EQ$11,T$6,'CF(M)'!$L62:$EQ62)</f>
        <v>0</v>
      </c>
      <c r="U57" s="171">
        <f>SUMIF('CF(M)'!$L$11:$EQ$11,U$6,'CF(M)'!$L62:$EQ62)</f>
        <v>0</v>
      </c>
      <c r="V57" s="171">
        <f>SUMIF('CF(M)'!$L$11:$EQ$11,V$6,'CF(M)'!$L62:$EQ62)</f>
        <v>0</v>
      </c>
      <c r="W57" s="171">
        <f>SUMIF('CF(M)'!$L$11:$EQ$11,W$6,'CF(M)'!$L62:$EQ62)</f>
        <v>0</v>
      </c>
      <c r="X57" s="171">
        <f>SUMIF('CF(M)'!$L$11:$EQ$11,X$6,'CF(M)'!$L62:$EQ62)</f>
        <v>0</v>
      </c>
      <c r="Y57" s="171">
        <f>SUMIF('CF(M)'!$L$11:$EQ$11,Y$6,'CF(M)'!$L62:$EQ62)</f>
        <v>0</v>
      </c>
      <c r="Z57" s="171">
        <f>SUMIF('CF(M)'!$L$11:$EQ$11,Z$6,'CF(M)'!$L62:$EQ62)</f>
        <v>0</v>
      </c>
      <c r="AA57" s="171">
        <f>SUMIF('CF(M)'!$L$11:$EQ$11,AA$6,'CF(M)'!$L62:$EQ62)</f>
        <v>0</v>
      </c>
      <c r="AB57" s="171">
        <f>SUMIF('CF(M)'!$L$11:$EQ$11,AB$6,'CF(M)'!$L62:$EQ62)</f>
        <v>0</v>
      </c>
      <c r="AC57" s="171">
        <f>SUMIF('CF(M)'!$L$11:$EQ$11,AC$6,'CF(M)'!$L62:$EQ62)</f>
        <v>0</v>
      </c>
      <c r="AD57" s="171">
        <f>SUMIF('CF(M)'!$L$11:$EQ$11,AD$6,'CF(M)'!$L62:$EQ62)</f>
        <v>0</v>
      </c>
      <c r="AE57" s="171">
        <f>SUMIF('CF(M)'!$L$11:$EQ$11,AE$6,'CF(M)'!$L62:$EQ62)</f>
        <v>0</v>
      </c>
      <c r="AF57" s="171">
        <f>SUMIF('CF(M)'!$L$11:$EQ$11,AF$6,'CF(M)'!$L62:$EQ62)</f>
        <v>0</v>
      </c>
      <c r="AG57" s="171">
        <f>SUMIF('CF(M)'!$L$11:$EQ$11,AG$6,'CF(M)'!$L62:$EQ62)</f>
        <v>0</v>
      </c>
      <c r="AH57" s="171">
        <f>SUMIF('CF(M)'!$L$11:$EQ$11,AH$6,'CF(M)'!$L62:$EQ62)</f>
        <v>0</v>
      </c>
      <c r="AI57" s="171">
        <f>SUMIF('CF(M)'!$L$11:$EQ$11,AI$6,'CF(M)'!$L62:$EQ62)</f>
        <v>0</v>
      </c>
      <c r="AJ57" s="171">
        <f>SUMIF('CF(M)'!$L$11:$EQ$11,AJ$6,'CF(M)'!$L62:$EQ62)</f>
        <v>0</v>
      </c>
      <c r="AK57" s="171">
        <f>SUMIF('CF(M)'!$L$11:$EQ$11,AK$6,'CF(M)'!$L62:$EQ62)</f>
        <v>0</v>
      </c>
      <c r="AL57" s="171">
        <f>SUMIF('CF(M)'!$L$11:$EQ$11,AL$6,'CF(M)'!$L62:$EQ62)</f>
        <v>0</v>
      </c>
      <c r="AM57" s="171">
        <f>SUMIF('CF(M)'!$L$11:$EQ$11,AM$6,'CF(M)'!$L62:$EQ62)</f>
        <v>0</v>
      </c>
      <c r="AN57" s="171">
        <f>SUMIF('CF(M)'!$L$11:$EQ$11,AN$6,'CF(M)'!$L62:$EQ62)</f>
        <v>0</v>
      </c>
      <c r="AO57" s="171">
        <f>SUMIF('CF(M)'!$L$11:$EQ$11,AO$6,'CF(M)'!$L62:$EQ62)</f>
        <v>0</v>
      </c>
      <c r="AP57" s="171">
        <f>SUMIF('CF(M)'!$L$11:$EQ$11,AP$6,'CF(M)'!$L62:$EQ62)</f>
        <v>0</v>
      </c>
      <c r="AQ57" s="171">
        <f>SUMIF('CF(M)'!$L$11:$EQ$11,AQ$6,'CF(M)'!$L62:$EQ62)</f>
        <v>0</v>
      </c>
      <c r="AR57" s="171">
        <f>SUMIF('CF(M)'!$L$11:$EQ$11,AR$6,'CF(M)'!$L62:$EQ62)</f>
        <v>0</v>
      </c>
      <c r="AS57" s="171">
        <f>SUMIF('CF(M)'!$L$11:$EQ$11,AS$6,'CF(M)'!$L62:$EQ62)</f>
        <v>0</v>
      </c>
      <c r="AT57" s="171">
        <f>SUMIF('CF(M)'!$L$11:$EQ$11,AT$6,'CF(M)'!$L62:$EQ62)</f>
        <v>0</v>
      </c>
      <c r="AU57" s="171">
        <f>SUMIF('CF(M)'!$L$11:$EQ$11,AU$6,'CF(M)'!$L62:$EQ62)</f>
        <v>0</v>
      </c>
      <c r="AV57" s="171">
        <f>SUMIF('CF(M)'!$L$11:$EQ$11,AV$6,'CF(M)'!$L62:$EQ62)</f>
        <v>0</v>
      </c>
      <c r="AW57" s="171">
        <f>SUMIF('CF(M)'!$L$11:$EQ$11,AW$6,'CF(M)'!$L62:$EQ62)</f>
        <v>0</v>
      </c>
      <c r="AX57" s="171">
        <f>SUMIF('CF(M)'!$L$11:$EQ$11,AX$6,'CF(M)'!$L62:$EQ62)</f>
        <v>0</v>
      </c>
      <c r="AY57" s="171">
        <f>SUMIF('CF(M)'!$L$11:$EQ$11,AY$6,'CF(M)'!$L62:$EQ62)</f>
        <v>0</v>
      </c>
      <c r="AZ57" s="171">
        <f>SUMIF('CF(M)'!$L$11:$EQ$11,AZ$6,'CF(M)'!$L62:$EQ62)</f>
        <v>0</v>
      </c>
      <c r="BA57" s="171">
        <f>SUMIF('CF(M)'!$L$11:$EQ$11,BA$6,'CF(M)'!$L62:$EQ62)</f>
        <v>0</v>
      </c>
      <c r="BB57" s="171">
        <f>SUMIF('CF(M)'!$L$11:$EQ$11,BB$6,'CF(M)'!$L62:$EQ62)</f>
        <v>0</v>
      </c>
      <c r="BC57" s="171">
        <f>SUMIF('CF(M)'!$L$11:$EQ$11,BC$6,'CF(M)'!$L62:$EQ62)</f>
        <v>0</v>
      </c>
      <c r="BD57" s="171">
        <f>SUMIF('CF(M)'!$L$11:$EQ$11,BD$6,'CF(M)'!$L62:$EQ62)</f>
        <v>0</v>
      </c>
      <c r="BE57" s="171">
        <f>SUMIF('CF(M)'!$L$11:$EQ$11,BE$6,'CF(M)'!$L62:$EQ62)</f>
        <v>0</v>
      </c>
      <c r="BF57" s="171">
        <f>SUMIF('CF(M)'!$L$11:$EQ$11,BF$6,'CF(M)'!$L62:$EQ62)</f>
        <v>0</v>
      </c>
      <c r="BG57" s="171">
        <f>SUMIF('CF(M)'!$L$11:$EQ$11,BG$6,'CF(M)'!$L62:$EQ62)</f>
        <v>0</v>
      </c>
      <c r="BH57" s="171">
        <f>SUMIF('CF(M)'!$L$11:$EQ$11,BH$6,'CF(M)'!$L62:$EQ62)</f>
        <v>0</v>
      </c>
      <c r="BI57" s="171">
        <f>SUMIF('CF(M)'!$L$11:$EQ$11,BI$6,'CF(M)'!$L62:$EQ62)</f>
        <v>0</v>
      </c>
      <c r="BJ57" s="171">
        <f>SUMIF('CF(M)'!$L$11:$EQ$11,BJ$6,'CF(M)'!$L62:$EQ62)</f>
        <v>0</v>
      </c>
      <c r="BK57" s="171">
        <f>SUMIF('CF(M)'!$L$11:$EQ$11,BK$6,'CF(M)'!$L62:$EQ62)</f>
        <v>0</v>
      </c>
      <c r="BL57" s="171">
        <f>SUMIF('CF(M)'!$L$11:$EQ$11,BL$6,'CF(M)'!$L62:$EQ62)</f>
        <v>0</v>
      </c>
      <c r="BM57" s="171">
        <f>SUMIF('CF(M)'!$L$11:$EQ$11,BM$6,'CF(M)'!$L62:$EQ62)</f>
        <v>0</v>
      </c>
      <c r="BN57" s="171">
        <f>SUMIF('CF(M)'!$L$11:$EQ$11,BN$6,'CF(M)'!$L62:$EQ62)</f>
        <v>0</v>
      </c>
      <c r="BO57" s="171">
        <f>SUMIF('CF(M)'!$L$11:$EQ$11,BO$6,'CF(M)'!$L62:$EQ62)</f>
        <v>0</v>
      </c>
      <c r="BP57" s="171">
        <f>SUMIF('CF(M)'!$L$11:$EQ$11,BP$6,'CF(M)'!$L62:$EQ62)</f>
        <v>0</v>
      </c>
      <c r="BQ57" s="171">
        <f>SUMIF('CF(M)'!$L$11:$EQ$11,BQ$6,'CF(M)'!$L62:$EQ62)</f>
        <v>0</v>
      </c>
      <c r="BR57" s="171">
        <f>SUMIF('CF(M)'!$L$11:$EQ$11,BR$6,'CF(M)'!$L62:$EQ62)</f>
        <v>0</v>
      </c>
      <c r="BS57" s="171">
        <f>SUMIF('CF(M)'!$L$11:$EQ$11,BS$6,'CF(M)'!$L62:$EQ62)</f>
        <v>0</v>
      </c>
      <c r="BT57" s="171">
        <f>SUMIF('CF(M)'!$L$11:$EQ$11,BT$6,'CF(M)'!$L62:$EQ62)</f>
        <v>0</v>
      </c>
      <c r="BU57" s="171">
        <f>SUMIF('CF(M)'!$L$11:$EQ$11,BU$6,'CF(M)'!$L62:$EQ62)</f>
        <v>0</v>
      </c>
      <c r="BV57" s="171">
        <f>SUMIF('CF(M)'!$L$11:$EQ$11,BV$6,'CF(M)'!$L62:$EQ62)</f>
        <v>0</v>
      </c>
      <c r="BW57" s="171">
        <f>SUMIF('CF(M)'!$L$11:$EQ$11,BW$6,'CF(M)'!$L62:$EQ62)</f>
        <v>0</v>
      </c>
      <c r="BX57" s="171">
        <f>SUMIF('CF(M)'!$L$11:$EQ$11,BX$6,'CF(M)'!$L62:$EQ62)</f>
        <v>0</v>
      </c>
      <c r="BY57" s="171">
        <f>SUMIF('CF(M)'!$L$11:$EQ$11,BY$6,'CF(M)'!$L62:$EQ62)</f>
        <v>0</v>
      </c>
      <c r="BZ57" s="171">
        <f>SUMIF('CF(M)'!$L$11:$EQ$11,BZ$6,'CF(M)'!$L62:$EQ62)</f>
        <v>0</v>
      </c>
      <c r="CA57" s="171">
        <f>SUMIF('CF(M)'!$L$11:$EQ$11,CA$6,'CF(M)'!$L62:$EQ62)</f>
        <v>0</v>
      </c>
      <c r="CB57" s="171">
        <f>SUMIF('CF(M)'!$L$11:$EQ$11,CB$6,'CF(M)'!$L62:$EQ62)</f>
        <v>0</v>
      </c>
      <c r="CC57" s="171">
        <f>SUMIF('CF(M)'!$L$11:$EQ$11,CC$6,'CF(M)'!$L62:$EQ62)</f>
        <v>0</v>
      </c>
      <c r="CD57" s="171">
        <f>SUMIF('CF(M)'!$L$11:$EQ$11,CD$6,'CF(M)'!$L62:$EQ62)</f>
        <v>0</v>
      </c>
      <c r="CE57" s="171">
        <f>SUMIF('CF(M)'!$L$11:$EQ$11,CE$6,'CF(M)'!$L62:$EQ62)</f>
        <v>0</v>
      </c>
      <c r="CF57" s="171">
        <f>SUMIF('CF(M)'!$L$11:$EQ$11,CF$6,'CF(M)'!$L62:$EQ62)</f>
        <v>0</v>
      </c>
      <c r="CG57" s="171">
        <f>SUMIF('CF(M)'!$L$11:$EQ$11,CG$6,'CF(M)'!$L62:$EQ62)</f>
        <v>0</v>
      </c>
      <c r="CH57" s="171">
        <f>SUMIF('CF(M)'!$L$11:$EQ$11,CH$6,'CF(M)'!$L62:$EQ62)</f>
        <v>0</v>
      </c>
      <c r="CI57" s="171">
        <f>SUMIF('CF(M)'!$L$11:$EQ$11,CI$6,'CF(M)'!$L62:$EQ62)</f>
        <v>0</v>
      </c>
      <c r="CJ57" s="171">
        <f>SUMIF('CF(M)'!$L$11:$EQ$11,CJ$6,'CF(M)'!$L62:$EQ62)</f>
        <v>0</v>
      </c>
      <c r="CK57" s="171">
        <f>SUMIF('CF(M)'!$L$11:$EQ$11,CK$6,'CF(M)'!$L62:$EQ62)</f>
        <v>0</v>
      </c>
      <c r="CL57" s="171">
        <f>SUMIF('CF(M)'!$L$11:$EQ$11,CL$6,'CF(M)'!$L62:$EQ62)</f>
        <v>0</v>
      </c>
      <c r="CM57" s="171">
        <f>SUMIF('CF(M)'!$L$11:$EQ$11,CM$6,'CF(M)'!$L62:$EQ62)</f>
        <v>0</v>
      </c>
      <c r="CN57" s="171">
        <f>SUMIF('CF(M)'!$L$11:$EQ$11,CN$6,'CF(M)'!$L62:$EQ62)</f>
        <v>0</v>
      </c>
      <c r="CO57" s="171">
        <f>SUMIF('CF(M)'!$L$11:$EQ$11,CO$6,'CF(M)'!$L62:$EQ62)</f>
        <v>0</v>
      </c>
      <c r="CP57" s="171">
        <f>SUMIF('CF(M)'!$L$11:$EQ$11,CP$6,'CF(M)'!$L62:$EQ62)</f>
        <v>0</v>
      </c>
      <c r="CQ57" s="171">
        <f>SUMIF('CF(M)'!$L$11:$EQ$11,CQ$6,'CF(M)'!$L62:$EQ62)</f>
        <v>0</v>
      </c>
      <c r="CR57" s="171">
        <f>SUMIF('CF(M)'!$L$11:$EQ$11,CR$6,'CF(M)'!$L62:$EQ62)</f>
        <v>0</v>
      </c>
      <c r="CS57" s="171">
        <f>SUMIF('CF(M)'!$L$11:$EQ$11,CS$6,'CF(M)'!$L62:$EQ62)</f>
        <v>0</v>
      </c>
      <c r="CT57" s="171">
        <f>SUMIF('CF(M)'!$L$11:$EQ$11,CT$6,'CF(M)'!$L62:$EQ62)</f>
        <v>0</v>
      </c>
      <c r="CU57" s="171">
        <f>SUMIF('CF(M)'!$L$11:$EQ$11,CU$6,'CF(M)'!$L62:$EQ62)</f>
        <v>0</v>
      </c>
      <c r="CV57" s="171">
        <f>SUMIF('CF(M)'!$L$11:$EQ$11,CV$6,'CF(M)'!$L62:$EQ62)</f>
        <v>0</v>
      </c>
      <c r="CW57" s="171">
        <f>SUMIF('CF(M)'!$L$11:$EQ$11,CW$6,'CF(M)'!$L62:$EQ62)</f>
        <v>0</v>
      </c>
      <c r="CX57" s="171">
        <f>SUMIF('CF(M)'!$L$11:$EQ$11,CX$6,'CF(M)'!$L62:$EQ62)</f>
        <v>0</v>
      </c>
      <c r="CY57" s="171">
        <f>SUMIF('CF(M)'!$L$11:$EQ$11,CY$6,'CF(M)'!$L62:$EQ62)</f>
        <v>0</v>
      </c>
      <c r="CZ57" s="171">
        <f>SUMIF('CF(M)'!$L$11:$EQ$11,CZ$6,'CF(M)'!$L62:$EQ62)</f>
        <v>0</v>
      </c>
      <c r="DA57" s="171">
        <f>SUMIF('CF(M)'!$L$11:$EQ$11,DA$6,'CF(M)'!$L62:$EQ62)</f>
        <v>0</v>
      </c>
      <c r="DB57" s="171">
        <f>SUMIF('CF(M)'!$L$11:$EQ$11,DB$6,'CF(M)'!$L62:$EQ62)</f>
        <v>0</v>
      </c>
      <c r="DC57" s="171">
        <f>SUMIF('CF(M)'!$L$11:$EQ$11,DC$6,'CF(M)'!$L62:$EQ62)</f>
        <v>0</v>
      </c>
      <c r="DD57" s="171">
        <f>SUMIF('CF(M)'!$L$11:$EQ$11,DD$6,'CF(M)'!$L62:$EQ62)</f>
        <v>0</v>
      </c>
      <c r="DE57" s="171">
        <f>SUMIF('CF(M)'!$L$11:$EQ$11,DE$6,'CF(M)'!$L62:$EQ62)</f>
        <v>0</v>
      </c>
      <c r="DF57" s="171">
        <f>SUMIF('CF(M)'!$L$11:$EQ$11,DF$6,'CF(M)'!$L62:$EQ62)</f>
        <v>0</v>
      </c>
      <c r="DG57" s="171">
        <f>SUMIF('CF(M)'!$L$11:$EQ$11,DG$6,'CF(M)'!$L62:$EQ62)</f>
        <v>0</v>
      </c>
      <c r="DH57" s="171">
        <f>SUMIF('CF(M)'!$L$11:$EQ$11,DH$6,'CF(M)'!$L62:$EQ62)</f>
        <v>0</v>
      </c>
      <c r="DI57" s="171">
        <f>SUMIF('CF(M)'!$L$11:$EQ$11,DI$6,'CF(M)'!$L62:$EQ62)</f>
        <v>0</v>
      </c>
      <c r="DJ57" s="171">
        <f>SUMIF('CF(M)'!$L$11:$EQ$11,DJ$6,'CF(M)'!$L62:$EQ62)</f>
        <v>0</v>
      </c>
      <c r="DK57" s="171">
        <f>SUMIF('CF(M)'!$L$11:$EQ$11,DK$6,'CF(M)'!$L62:$EQ62)</f>
        <v>0</v>
      </c>
      <c r="DL57" s="171">
        <f>SUMIF('CF(M)'!$L$11:$EQ$11,DL$6,'CF(M)'!$L62:$EQ62)</f>
        <v>0</v>
      </c>
      <c r="DM57" s="171">
        <f>SUMIF('CF(M)'!$L$11:$EQ$11,DM$6,'CF(M)'!$L62:$EQ62)</f>
        <v>0</v>
      </c>
      <c r="DN57" s="171">
        <f>SUMIF('CF(M)'!$L$11:$EQ$11,DN$6,'CF(M)'!$L62:$EQ62)</f>
        <v>0</v>
      </c>
      <c r="DO57" s="171">
        <f>SUMIF('CF(M)'!$L$11:$EQ$11,DO$6,'CF(M)'!$L62:$EQ62)</f>
        <v>0</v>
      </c>
      <c r="DP57" s="171">
        <f>SUMIF('CF(M)'!$L$11:$EQ$11,DP$6,'CF(M)'!$L62:$EQ62)</f>
        <v>0</v>
      </c>
      <c r="DQ57" s="171">
        <f>SUMIF('CF(M)'!$L$11:$EQ$11,DQ$6,'CF(M)'!$L62:$EQ62)</f>
        <v>0</v>
      </c>
      <c r="DR57" s="171">
        <f>SUMIF('CF(M)'!$L$11:$EQ$11,DR$6,'CF(M)'!$L62:$EQ62)</f>
        <v>0</v>
      </c>
      <c r="DS57" s="171">
        <f>SUMIF('CF(M)'!$L$11:$EQ$11,DS$6,'CF(M)'!$L62:$EQ62)</f>
        <v>0</v>
      </c>
      <c r="DT57" s="171">
        <f>SUMIF('CF(M)'!$L$11:$EQ$11,DT$6,'CF(M)'!$L62:$EQ62)</f>
        <v>0</v>
      </c>
      <c r="DU57" s="171">
        <f>SUMIF('CF(M)'!$L$11:$EQ$11,DU$6,'CF(M)'!$L62:$EQ62)</f>
        <v>0</v>
      </c>
      <c r="DV57" s="171">
        <f>SUMIF('CF(M)'!$L$11:$EQ$11,DV$6,'CF(M)'!$L62:$EQ62)</f>
        <v>0</v>
      </c>
    </row>
    <row r="58" spans="2:126" ht="11.25" customHeight="1">
      <c r="B58" s="218"/>
      <c r="C58" s="163"/>
      <c r="D58" s="169" t="s">
        <v>175</v>
      </c>
      <c r="H58" s="146"/>
      <c r="I58" s="229"/>
      <c r="J58" s="171">
        <f t="shared" si="25"/>
        <v>-346315.1</v>
      </c>
      <c r="K58" s="98"/>
      <c r="L58" s="171">
        <f>SUMIF('CF(M)'!$L$11:$EQ$11,L$6,'CF(M)'!$L63:$EQ63)</f>
        <v>-346315.1</v>
      </c>
      <c r="M58" s="171">
        <f>SUMIF('CF(M)'!$L$11:$EQ$11,M$6,'CF(M)'!$L63:$EQ63)</f>
        <v>0</v>
      </c>
      <c r="N58" s="171">
        <f>SUMIF('CF(M)'!$L$11:$EQ$11,N$6,'CF(M)'!$L63:$EQ63)</f>
        <v>0</v>
      </c>
      <c r="O58" s="171">
        <f>SUMIF('CF(M)'!$L$11:$EQ$11,O$6,'CF(M)'!$L63:$EQ63)</f>
        <v>0</v>
      </c>
      <c r="P58" s="171">
        <f>SUMIF('CF(M)'!$L$11:$EQ$11,P$6,'CF(M)'!$L63:$EQ63)</f>
        <v>0</v>
      </c>
      <c r="Q58" s="171">
        <f>SUMIF('CF(M)'!$L$11:$EQ$11,Q$6,'CF(M)'!$L63:$EQ63)</f>
        <v>0</v>
      </c>
      <c r="R58" s="171">
        <f>SUMIF('CF(M)'!$L$11:$EQ$11,R$6,'CF(M)'!$L63:$EQ63)</f>
        <v>0</v>
      </c>
      <c r="S58" s="171">
        <f>SUMIF('CF(M)'!$L$11:$EQ$11,S$6,'CF(M)'!$L63:$EQ63)</f>
        <v>0</v>
      </c>
      <c r="T58" s="171">
        <f>SUMIF('CF(M)'!$L$11:$EQ$11,T$6,'CF(M)'!$L63:$EQ63)</f>
        <v>0</v>
      </c>
      <c r="U58" s="171">
        <f>SUMIF('CF(M)'!$L$11:$EQ$11,U$6,'CF(M)'!$L63:$EQ63)</f>
        <v>0</v>
      </c>
      <c r="V58" s="171">
        <f>SUMIF('CF(M)'!$L$11:$EQ$11,V$6,'CF(M)'!$L63:$EQ63)</f>
        <v>0</v>
      </c>
      <c r="W58" s="171">
        <f>SUMIF('CF(M)'!$L$11:$EQ$11,W$6,'CF(M)'!$L63:$EQ63)</f>
        <v>0</v>
      </c>
      <c r="X58" s="171">
        <f>SUMIF('CF(M)'!$L$11:$EQ$11,X$6,'CF(M)'!$L63:$EQ63)</f>
        <v>0</v>
      </c>
      <c r="Y58" s="171">
        <f>SUMIF('CF(M)'!$L$11:$EQ$11,Y$6,'CF(M)'!$L63:$EQ63)</f>
        <v>0</v>
      </c>
      <c r="Z58" s="171">
        <f>SUMIF('CF(M)'!$L$11:$EQ$11,Z$6,'CF(M)'!$L63:$EQ63)</f>
        <v>0</v>
      </c>
      <c r="AA58" s="171">
        <f>SUMIF('CF(M)'!$L$11:$EQ$11,AA$6,'CF(M)'!$L63:$EQ63)</f>
        <v>0</v>
      </c>
      <c r="AB58" s="171">
        <f>SUMIF('CF(M)'!$L$11:$EQ$11,AB$6,'CF(M)'!$L63:$EQ63)</f>
        <v>0</v>
      </c>
      <c r="AC58" s="171">
        <f>SUMIF('CF(M)'!$L$11:$EQ$11,AC$6,'CF(M)'!$L63:$EQ63)</f>
        <v>0</v>
      </c>
      <c r="AD58" s="171">
        <f>SUMIF('CF(M)'!$L$11:$EQ$11,AD$6,'CF(M)'!$L63:$EQ63)</f>
        <v>0</v>
      </c>
      <c r="AE58" s="171">
        <f>SUMIF('CF(M)'!$L$11:$EQ$11,AE$6,'CF(M)'!$L63:$EQ63)</f>
        <v>0</v>
      </c>
      <c r="AF58" s="171">
        <f>SUMIF('CF(M)'!$L$11:$EQ$11,AF$6,'CF(M)'!$L63:$EQ63)</f>
        <v>0</v>
      </c>
      <c r="AG58" s="171">
        <f>SUMIF('CF(M)'!$L$11:$EQ$11,AG$6,'CF(M)'!$L63:$EQ63)</f>
        <v>0</v>
      </c>
      <c r="AH58" s="171">
        <f>SUMIF('CF(M)'!$L$11:$EQ$11,AH$6,'CF(M)'!$L63:$EQ63)</f>
        <v>0</v>
      </c>
      <c r="AI58" s="171">
        <f>SUMIF('CF(M)'!$L$11:$EQ$11,AI$6,'CF(M)'!$L63:$EQ63)</f>
        <v>0</v>
      </c>
      <c r="AJ58" s="171">
        <f>SUMIF('CF(M)'!$L$11:$EQ$11,AJ$6,'CF(M)'!$L63:$EQ63)</f>
        <v>0</v>
      </c>
      <c r="AK58" s="171">
        <f>SUMIF('CF(M)'!$L$11:$EQ$11,AK$6,'CF(M)'!$L63:$EQ63)</f>
        <v>0</v>
      </c>
      <c r="AL58" s="171">
        <f>SUMIF('CF(M)'!$L$11:$EQ$11,AL$6,'CF(M)'!$L63:$EQ63)</f>
        <v>0</v>
      </c>
      <c r="AM58" s="171">
        <f>SUMIF('CF(M)'!$L$11:$EQ$11,AM$6,'CF(M)'!$L63:$EQ63)</f>
        <v>0</v>
      </c>
      <c r="AN58" s="171">
        <f>SUMIF('CF(M)'!$L$11:$EQ$11,AN$6,'CF(M)'!$L63:$EQ63)</f>
        <v>0</v>
      </c>
      <c r="AO58" s="171">
        <f>SUMIF('CF(M)'!$L$11:$EQ$11,AO$6,'CF(M)'!$L63:$EQ63)</f>
        <v>0</v>
      </c>
      <c r="AP58" s="171">
        <f>SUMIF('CF(M)'!$L$11:$EQ$11,AP$6,'CF(M)'!$L63:$EQ63)</f>
        <v>0</v>
      </c>
      <c r="AQ58" s="171">
        <f>SUMIF('CF(M)'!$L$11:$EQ$11,AQ$6,'CF(M)'!$L63:$EQ63)</f>
        <v>0</v>
      </c>
      <c r="AR58" s="171">
        <f>SUMIF('CF(M)'!$L$11:$EQ$11,AR$6,'CF(M)'!$L63:$EQ63)</f>
        <v>0</v>
      </c>
      <c r="AS58" s="171">
        <f>SUMIF('CF(M)'!$L$11:$EQ$11,AS$6,'CF(M)'!$L63:$EQ63)</f>
        <v>0</v>
      </c>
      <c r="AT58" s="171">
        <f>SUMIF('CF(M)'!$L$11:$EQ$11,AT$6,'CF(M)'!$L63:$EQ63)</f>
        <v>0</v>
      </c>
      <c r="AU58" s="171">
        <f>SUMIF('CF(M)'!$L$11:$EQ$11,AU$6,'CF(M)'!$L63:$EQ63)</f>
        <v>0</v>
      </c>
      <c r="AV58" s="171">
        <f>SUMIF('CF(M)'!$L$11:$EQ$11,AV$6,'CF(M)'!$L63:$EQ63)</f>
        <v>0</v>
      </c>
      <c r="AW58" s="171">
        <f>SUMIF('CF(M)'!$L$11:$EQ$11,AW$6,'CF(M)'!$L63:$EQ63)</f>
        <v>0</v>
      </c>
      <c r="AX58" s="171">
        <f>SUMIF('CF(M)'!$L$11:$EQ$11,AX$6,'CF(M)'!$L63:$EQ63)</f>
        <v>0</v>
      </c>
      <c r="AY58" s="171">
        <f>SUMIF('CF(M)'!$L$11:$EQ$11,AY$6,'CF(M)'!$L63:$EQ63)</f>
        <v>0</v>
      </c>
      <c r="AZ58" s="171">
        <f>SUMIF('CF(M)'!$L$11:$EQ$11,AZ$6,'CF(M)'!$L63:$EQ63)</f>
        <v>0</v>
      </c>
      <c r="BA58" s="171">
        <f>SUMIF('CF(M)'!$L$11:$EQ$11,BA$6,'CF(M)'!$L63:$EQ63)</f>
        <v>0</v>
      </c>
      <c r="BB58" s="171">
        <f>SUMIF('CF(M)'!$L$11:$EQ$11,BB$6,'CF(M)'!$L63:$EQ63)</f>
        <v>0</v>
      </c>
      <c r="BC58" s="171">
        <f>SUMIF('CF(M)'!$L$11:$EQ$11,BC$6,'CF(M)'!$L63:$EQ63)</f>
        <v>0</v>
      </c>
      <c r="BD58" s="171">
        <f>SUMIF('CF(M)'!$L$11:$EQ$11,BD$6,'CF(M)'!$L63:$EQ63)</f>
        <v>0</v>
      </c>
      <c r="BE58" s="171">
        <f>SUMIF('CF(M)'!$L$11:$EQ$11,BE$6,'CF(M)'!$L63:$EQ63)</f>
        <v>0</v>
      </c>
      <c r="BF58" s="171">
        <f>SUMIF('CF(M)'!$L$11:$EQ$11,BF$6,'CF(M)'!$L63:$EQ63)</f>
        <v>0</v>
      </c>
      <c r="BG58" s="171">
        <f>SUMIF('CF(M)'!$L$11:$EQ$11,BG$6,'CF(M)'!$L63:$EQ63)</f>
        <v>0</v>
      </c>
      <c r="BH58" s="171">
        <f>SUMIF('CF(M)'!$L$11:$EQ$11,BH$6,'CF(M)'!$L63:$EQ63)</f>
        <v>0</v>
      </c>
      <c r="BI58" s="171">
        <f>SUMIF('CF(M)'!$L$11:$EQ$11,BI$6,'CF(M)'!$L63:$EQ63)</f>
        <v>0</v>
      </c>
      <c r="BJ58" s="171">
        <f>SUMIF('CF(M)'!$L$11:$EQ$11,BJ$6,'CF(M)'!$L63:$EQ63)</f>
        <v>0</v>
      </c>
      <c r="BK58" s="171">
        <f>SUMIF('CF(M)'!$L$11:$EQ$11,BK$6,'CF(M)'!$L63:$EQ63)</f>
        <v>0</v>
      </c>
      <c r="BL58" s="171">
        <f>SUMIF('CF(M)'!$L$11:$EQ$11,BL$6,'CF(M)'!$L63:$EQ63)</f>
        <v>0</v>
      </c>
      <c r="BM58" s="171">
        <f>SUMIF('CF(M)'!$L$11:$EQ$11,BM$6,'CF(M)'!$L63:$EQ63)</f>
        <v>0</v>
      </c>
      <c r="BN58" s="171">
        <f>SUMIF('CF(M)'!$L$11:$EQ$11,BN$6,'CF(M)'!$L63:$EQ63)</f>
        <v>0</v>
      </c>
      <c r="BO58" s="171">
        <f>SUMIF('CF(M)'!$L$11:$EQ$11,BO$6,'CF(M)'!$L63:$EQ63)</f>
        <v>0</v>
      </c>
      <c r="BP58" s="171">
        <f>SUMIF('CF(M)'!$L$11:$EQ$11,BP$6,'CF(M)'!$L63:$EQ63)</f>
        <v>0</v>
      </c>
      <c r="BQ58" s="171">
        <f>SUMIF('CF(M)'!$L$11:$EQ$11,BQ$6,'CF(M)'!$L63:$EQ63)</f>
        <v>0</v>
      </c>
      <c r="BR58" s="171">
        <f>SUMIF('CF(M)'!$L$11:$EQ$11,BR$6,'CF(M)'!$L63:$EQ63)</f>
        <v>0</v>
      </c>
      <c r="BS58" s="171">
        <f>SUMIF('CF(M)'!$L$11:$EQ$11,BS$6,'CF(M)'!$L63:$EQ63)</f>
        <v>0</v>
      </c>
      <c r="BT58" s="171">
        <f>SUMIF('CF(M)'!$L$11:$EQ$11,BT$6,'CF(M)'!$L63:$EQ63)</f>
        <v>0</v>
      </c>
      <c r="BU58" s="171">
        <f>SUMIF('CF(M)'!$L$11:$EQ$11,BU$6,'CF(M)'!$L63:$EQ63)</f>
        <v>0</v>
      </c>
      <c r="BV58" s="171">
        <f>SUMIF('CF(M)'!$L$11:$EQ$11,BV$6,'CF(M)'!$L63:$EQ63)</f>
        <v>0</v>
      </c>
      <c r="BW58" s="171">
        <f>SUMIF('CF(M)'!$L$11:$EQ$11,BW$6,'CF(M)'!$L63:$EQ63)</f>
        <v>0</v>
      </c>
      <c r="BX58" s="171">
        <f>SUMIF('CF(M)'!$L$11:$EQ$11,BX$6,'CF(M)'!$L63:$EQ63)</f>
        <v>0</v>
      </c>
      <c r="BY58" s="171">
        <f>SUMIF('CF(M)'!$L$11:$EQ$11,BY$6,'CF(M)'!$L63:$EQ63)</f>
        <v>0</v>
      </c>
      <c r="BZ58" s="171">
        <f>SUMIF('CF(M)'!$L$11:$EQ$11,BZ$6,'CF(M)'!$L63:$EQ63)</f>
        <v>0</v>
      </c>
      <c r="CA58" s="171">
        <f>SUMIF('CF(M)'!$L$11:$EQ$11,CA$6,'CF(M)'!$L63:$EQ63)</f>
        <v>0</v>
      </c>
      <c r="CB58" s="171">
        <f>SUMIF('CF(M)'!$L$11:$EQ$11,CB$6,'CF(M)'!$L63:$EQ63)</f>
        <v>0</v>
      </c>
      <c r="CC58" s="171">
        <f>SUMIF('CF(M)'!$L$11:$EQ$11,CC$6,'CF(M)'!$L63:$EQ63)</f>
        <v>0</v>
      </c>
      <c r="CD58" s="171">
        <f>SUMIF('CF(M)'!$L$11:$EQ$11,CD$6,'CF(M)'!$L63:$EQ63)</f>
        <v>0</v>
      </c>
      <c r="CE58" s="171">
        <f>SUMIF('CF(M)'!$L$11:$EQ$11,CE$6,'CF(M)'!$L63:$EQ63)</f>
        <v>0</v>
      </c>
      <c r="CF58" s="171">
        <f>SUMIF('CF(M)'!$L$11:$EQ$11,CF$6,'CF(M)'!$L63:$EQ63)</f>
        <v>0</v>
      </c>
      <c r="CG58" s="171">
        <f>SUMIF('CF(M)'!$L$11:$EQ$11,CG$6,'CF(M)'!$L63:$EQ63)</f>
        <v>0</v>
      </c>
      <c r="CH58" s="171">
        <f>SUMIF('CF(M)'!$L$11:$EQ$11,CH$6,'CF(M)'!$L63:$EQ63)</f>
        <v>0</v>
      </c>
      <c r="CI58" s="171">
        <f>SUMIF('CF(M)'!$L$11:$EQ$11,CI$6,'CF(M)'!$L63:$EQ63)</f>
        <v>0</v>
      </c>
      <c r="CJ58" s="171">
        <f>SUMIF('CF(M)'!$L$11:$EQ$11,CJ$6,'CF(M)'!$L63:$EQ63)</f>
        <v>0</v>
      </c>
      <c r="CK58" s="171">
        <f>SUMIF('CF(M)'!$L$11:$EQ$11,CK$6,'CF(M)'!$L63:$EQ63)</f>
        <v>0</v>
      </c>
      <c r="CL58" s="171">
        <f>SUMIF('CF(M)'!$L$11:$EQ$11,CL$6,'CF(M)'!$L63:$EQ63)</f>
        <v>0</v>
      </c>
      <c r="CM58" s="171">
        <f>SUMIF('CF(M)'!$L$11:$EQ$11,CM$6,'CF(M)'!$L63:$EQ63)</f>
        <v>0</v>
      </c>
      <c r="CN58" s="171">
        <f>SUMIF('CF(M)'!$L$11:$EQ$11,CN$6,'CF(M)'!$L63:$EQ63)</f>
        <v>0</v>
      </c>
      <c r="CO58" s="171">
        <f>SUMIF('CF(M)'!$L$11:$EQ$11,CO$6,'CF(M)'!$L63:$EQ63)</f>
        <v>0</v>
      </c>
      <c r="CP58" s="171">
        <f>SUMIF('CF(M)'!$L$11:$EQ$11,CP$6,'CF(M)'!$L63:$EQ63)</f>
        <v>0</v>
      </c>
      <c r="CQ58" s="171">
        <f>SUMIF('CF(M)'!$L$11:$EQ$11,CQ$6,'CF(M)'!$L63:$EQ63)</f>
        <v>0</v>
      </c>
      <c r="CR58" s="171">
        <f>SUMIF('CF(M)'!$L$11:$EQ$11,CR$6,'CF(M)'!$L63:$EQ63)</f>
        <v>0</v>
      </c>
      <c r="CS58" s="171">
        <f>SUMIF('CF(M)'!$L$11:$EQ$11,CS$6,'CF(M)'!$L63:$EQ63)</f>
        <v>0</v>
      </c>
      <c r="CT58" s="171">
        <f>SUMIF('CF(M)'!$L$11:$EQ$11,CT$6,'CF(M)'!$L63:$EQ63)</f>
        <v>0</v>
      </c>
      <c r="CU58" s="171">
        <f>SUMIF('CF(M)'!$L$11:$EQ$11,CU$6,'CF(M)'!$L63:$EQ63)</f>
        <v>0</v>
      </c>
      <c r="CV58" s="171">
        <f>SUMIF('CF(M)'!$L$11:$EQ$11,CV$6,'CF(M)'!$L63:$EQ63)</f>
        <v>0</v>
      </c>
      <c r="CW58" s="171">
        <f>SUMIF('CF(M)'!$L$11:$EQ$11,CW$6,'CF(M)'!$L63:$EQ63)</f>
        <v>0</v>
      </c>
      <c r="CX58" s="171">
        <f>SUMIF('CF(M)'!$L$11:$EQ$11,CX$6,'CF(M)'!$L63:$EQ63)</f>
        <v>0</v>
      </c>
      <c r="CY58" s="171">
        <f>SUMIF('CF(M)'!$L$11:$EQ$11,CY$6,'CF(M)'!$L63:$EQ63)</f>
        <v>0</v>
      </c>
      <c r="CZ58" s="171">
        <f>SUMIF('CF(M)'!$L$11:$EQ$11,CZ$6,'CF(M)'!$L63:$EQ63)</f>
        <v>0</v>
      </c>
      <c r="DA58" s="171">
        <f>SUMIF('CF(M)'!$L$11:$EQ$11,DA$6,'CF(M)'!$L63:$EQ63)</f>
        <v>0</v>
      </c>
      <c r="DB58" s="171">
        <f>SUMIF('CF(M)'!$L$11:$EQ$11,DB$6,'CF(M)'!$L63:$EQ63)</f>
        <v>0</v>
      </c>
      <c r="DC58" s="171">
        <f>SUMIF('CF(M)'!$L$11:$EQ$11,DC$6,'CF(M)'!$L63:$EQ63)</f>
        <v>0</v>
      </c>
      <c r="DD58" s="171">
        <f>SUMIF('CF(M)'!$L$11:$EQ$11,DD$6,'CF(M)'!$L63:$EQ63)</f>
        <v>0</v>
      </c>
      <c r="DE58" s="171">
        <f>SUMIF('CF(M)'!$L$11:$EQ$11,DE$6,'CF(M)'!$L63:$EQ63)</f>
        <v>0</v>
      </c>
      <c r="DF58" s="171">
        <f>SUMIF('CF(M)'!$L$11:$EQ$11,DF$6,'CF(M)'!$L63:$EQ63)</f>
        <v>0</v>
      </c>
      <c r="DG58" s="171">
        <f>SUMIF('CF(M)'!$L$11:$EQ$11,DG$6,'CF(M)'!$L63:$EQ63)</f>
        <v>0</v>
      </c>
      <c r="DH58" s="171">
        <f>SUMIF('CF(M)'!$L$11:$EQ$11,DH$6,'CF(M)'!$L63:$EQ63)</f>
        <v>0</v>
      </c>
      <c r="DI58" s="171">
        <f>SUMIF('CF(M)'!$L$11:$EQ$11,DI$6,'CF(M)'!$L63:$EQ63)</f>
        <v>0</v>
      </c>
      <c r="DJ58" s="171">
        <f>SUMIF('CF(M)'!$L$11:$EQ$11,DJ$6,'CF(M)'!$L63:$EQ63)</f>
        <v>0</v>
      </c>
      <c r="DK58" s="171">
        <f>SUMIF('CF(M)'!$L$11:$EQ$11,DK$6,'CF(M)'!$L63:$EQ63)</f>
        <v>0</v>
      </c>
      <c r="DL58" s="171">
        <f>SUMIF('CF(M)'!$L$11:$EQ$11,DL$6,'CF(M)'!$L63:$EQ63)</f>
        <v>0</v>
      </c>
      <c r="DM58" s="171">
        <f>SUMIF('CF(M)'!$L$11:$EQ$11,DM$6,'CF(M)'!$L63:$EQ63)</f>
        <v>0</v>
      </c>
      <c r="DN58" s="171">
        <f>SUMIF('CF(M)'!$L$11:$EQ$11,DN$6,'CF(M)'!$L63:$EQ63)</f>
        <v>0</v>
      </c>
      <c r="DO58" s="171">
        <f>SUMIF('CF(M)'!$L$11:$EQ$11,DO$6,'CF(M)'!$L63:$EQ63)</f>
        <v>0</v>
      </c>
      <c r="DP58" s="171">
        <f>SUMIF('CF(M)'!$L$11:$EQ$11,DP$6,'CF(M)'!$L63:$EQ63)</f>
        <v>0</v>
      </c>
      <c r="DQ58" s="171">
        <f>SUMIF('CF(M)'!$L$11:$EQ$11,DQ$6,'CF(M)'!$L63:$EQ63)</f>
        <v>0</v>
      </c>
      <c r="DR58" s="171">
        <f>SUMIF('CF(M)'!$L$11:$EQ$11,DR$6,'CF(M)'!$L63:$EQ63)</f>
        <v>0</v>
      </c>
      <c r="DS58" s="171">
        <f>SUMIF('CF(M)'!$L$11:$EQ$11,DS$6,'CF(M)'!$L63:$EQ63)</f>
        <v>0</v>
      </c>
      <c r="DT58" s="171">
        <f>SUMIF('CF(M)'!$L$11:$EQ$11,DT$6,'CF(M)'!$L63:$EQ63)</f>
        <v>0</v>
      </c>
      <c r="DU58" s="171">
        <f>SUMIF('CF(M)'!$L$11:$EQ$11,DU$6,'CF(M)'!$L63:$EQ63)</f>
        <v>0</v>
      </c>
      <c r="DV58" s="171">
        <f>SUMIF('CF(M)'!$L$11:$EQ$11,DV$6,'CF(M)'!$L63:$EQ63)</f>
        <v>0</v>
      </c>
    </row>
    <row r="59" spans="2:126" ht="11.25" customHeight="1">
      <c r="B59" s="218"/>
      <c r="C59" s="163"/>
      <c r="D59" s="169" t="s">
        <v>176</v>
      </c>
      <c r="H59" s="90"/>
      <c r="I59" s="229"/>
      <c r="J59" s="171">
        <f t="shared" si="25"/>
        <v>-12578300.125132002</v>
      </c>
      <c r="K59" s="98"/>
      <c r="L59" s="171">
        <f>SUMIF('CF(M)'!$L$11:$EQ$11,L$6,'CF(M)'!$L64:$EQ64)</f>
        <v>-12578300.125132002</v>
      </c>
      <c r="M59" s="171">
        <f>SUMIF('CF(M)'!$L$11:$EQ$11,M$6,'CF(M)'!$L64:$EQ64)</f>
        <v>0</v>
      </c>
      <c r="N59" s="171">
        <f>SUMIF('CF(M)'!$L$11:$EQ$11,N$6,'CF(M)'!$L64:$EQ64)</f>
        <v>0</v>
      </c>
      <c r="O59" s="171">
        <f>SUMIF('CF(M)'!$L$11:$EQ$11,O$6,'CF(M)'!$L64:$EQ64)</f>
        <v>0</v>
      </c>
      <c r="P59" s="171">
        <f>SUMIF('CF(M)'!$L$11:$EQ$11,P$6,'CF(M)'!$L64:$EQ64)</f>
        <v>0</v>
      </c>
      <c r="Q59" s="171">
        <f>SUMIF('CF(M)'!$L$11:$EQ$11,Q$6,'CF(M)'!$L64:$EQ64)</f>
        <v>0</v>
      </c>
      <c r="R59" s="171">
        <f>SUMIF('CF(M)'!$L$11:$EQ$11,R$6,'CF(M)'!$L64:$EQ64)</f>
        <v>0</v>
      </c>
      <c r="S59" s="171">
        <f>SUMIF('CF(M)'!$L$11:$EQ$11,S$6,'CF(M)'!$L64:$EQ64)</f>
        <v>0</v>
      </c>
      <c r="T59" s="171">
        <f>SUMIF('CF(M)'!$L$11:$EQ$11,T$6,'CF(M)'!$L64:$EQ64)</f>
        <v>0</v>
      </c>
      <c r="U59" s="171">
        <f>SUMIF('CF(M)'!$L$11:$EQ$11,U$6,'CF(M)'!$L64:$EQ64)</f>
        <v>0</v>
      </c>
      <c r="V59" s="171">
        <f>SUMIF('CF(M)'!$L$11:$EQ$11,V$6,'CF(M)'!$L64:$EQ64)</f>
        <v>0</v>
      </c>
      <c r="W59" s="171">
        <f>SUMIF('CF(M)'!$L$11:$EQ$11,W$6,'CF(M)'!$L64:$EQ64)</f>
        <v>0</v>
      </c>
      <c r="X59" s="171">
        <f>SUMIF('CF(M)'!$L$11:$EQ$11,X$6,'CF(M)'!$L64:$EQ64)</f>
        <v>0</v>
      </c>
      <c r="Y59" s="171">
        <f>SUMIF('CF(M)'!$L$11:$EQ$11,Y$6,'CF(M)'!$L64:$EQ64)</f>
        <v>0</v>
      </c>
      <c r="Z59" s="171">
        <f>SUMIF('CF(M)'!$L$11:$EQ$11,Z$6,'CF(M)'!$L64:$EQ64)</f>
        <v>0</v>
      </c>
      <c r="AA59" s="171">
        <f>SUMIF('CF(M)'!$L$11:$EQ$11,AA$6,'CF(M)'!$L64:$EQ64)</f>
        <v>0</v>
      </c>
      <c r="AB59" s="171">
        <f>SUMIF('CF(M)'!$L$11:$EQ$11,AB$6,'CF(M)'!$L64:$EQ64)</f>
        <v>0</v>
      </c>
      <c r="AC59" s="171">
        <f>SUMIF('CF(M)'!$L$11:$EQ$11,AC$6,'CF(M)'!$L64:$EQ64)</f>
        <v>0</v>
      </c>
      <c r="AD59" s="171">
        <f>SUMIF('CF(M)'!$L$11:$EQ$11,AD$6,'CF(M)'!$L64:$EQ64)</f>
        <v>0</v>
      </c>
      <c r="AE59" s="171">
        <f>SUMIF('CF(M)'!$L$11:$EQ$11,AE$6,'CF(M)'!$L64:$EQ64)</f>
        <v>0</v>
      </c>
      <c r="AF59" s="171">
        <f>SUMIF('CF(M)'!$L$11:$EQ$11,AF$6,'CF(M)'!$L64:$EQ64)</f>
        <v>0</v>
      </c>
      <c r="AG59" s="171">
        <f>SUMIF('CF(M)'!$L$11:$EQ$11,AG$6,'CF(M)'!$L64:$EQ64)</f>
        <v>0</v>
      </c>
      <c r="AH59" s="171">
        <f>SUMIF('CF(M)'!$L$11:$EQ$11,AH$6,'CF(M)'!$L64:$EQ64)</f>
        <v>0</v>
      </c>
      <c r="AI59" s="171">
        <f>SUMIF('CF(M)'!$L$11:$EQ$11,AI$6,'CF(M)'!$L64:$EQ64)</f>
        <v>0</v>
      </c>
      <c r="AJ59" s="171">
        <f>SUMIF('CF(M)'!$L$11:$EQ$11,AJ$6,'CF(M)'!$L64:$EQ64)</f>
        <v>0</v>
      </c>
      <c r="AK59" s="171">
        <f>SUMIF('CF(M)'!$L$11:$EQ$11,AK$6,'CF(M)'!$L64:$EQ64)</f>
        <v>0</v>
      </c>
      <c r="AL59" s="171">
        <f>SUMIF('CF(M)'!$L$11:$EQ$11,AL$6,'CF(M)'!$L64:$EQ64)</f>
        <v>0</v>
      </c>
      <c r="AM59" s="171">
        <f>SUMIF('CF(M)'!$L$11:$EQ$11,AM$6,'CF(M)'!$L64:$EQ64)</f>
        <v>0</v>
      </c>
      <c r="AN59" s="171">
        <f>SUMIF('CF(M)'!$L$11:$EQ$11,AN$6,'CF(M)'!$L64:$EQ64)</f>
        <v>0</v>
      </c>
      <c r="AO59" s="171">
        <f>SUMIF('CF(M)'!$L$11:$EQ$11,AO$6,'CF(M)'!$L64:$EQ64)</f>
        <v>0</v>
      </c>
      <c r="AP59" s="171">
        <f>SUMIF('CF(M)'!$L$11:$EQ$11,AP$6,'CF(M)'!$L64:$EQ64)</f>
        <v>0</v>
      </c>
      <c r="AQ59" s="171">
        <f>SUMIF('CF(M)'!$L$11:$EQ$11,AQ$6,'CF(M)'!$L64:$EQ64)</f>
        <v>0</v>
      </c>
      <c r="AR59" s="171">
        <f>SUMIF('CF(M)'!$L$11:$EQ$11,AR$6,'CF(M)'!$L64:$EQ64)</f>
        <v>0</v>
      </c>
      <c r="AS59" s="171">
        <f>SUMIF('CF(M)'!$L$11:$EQ$11,AS$6,'CF(M)'!$L64:$EQ64)</f>
        <v>0</v>
      </c>
      <c r="AT59" s="171">
        <f>SUMIF('CF(M)'!$L$11:$EQ$11,AT$6,'CF(M)'!$L64:$EQ64)</f>
        <v>0</v>
      </c>
      <c r="AU59" s="171">
        <f>SUMIF('CF(M)'!$L$11:$EQ$11,AU$6,'CF(M)'!$L64:$EQ64)</f>
        <v>0</v>
      </c>
      <c r="AV59" s="171">
        <f>SUMIF('CF(M)'!$L$11:$EQ$11,AV$6,'CF(M)'!$L64:$EQ64)</f>
        <v>0</v>
      </c>
      <c r="AW59" s="171">
        <f>SUMIF('CF(M)'!$L$11:$EQ$11,AW$6,'CF(M)'!$L64:$EQ64)</f>
        <v>0</v>
      </c>
      <c r="AX59" s="171">
        <f>SUMIF('CF(M)'!$L$11:$EQ$11,AX$6,'CF(M)'!$L64:$EQ64)</f>
        <v>0</v>
      </c>
      <c r="AY59" s="171">
        <f>SUMIF('CF(M)'!$L$11:$EQ$11,AY$6,'CF(M)'!$L64:$EQ64)</f>
        <v>0</v>
      </c>
      <c r="AZ59" s="171">
        <f>SUMIF('CF(M)'!$L$11:$EQ$11,AZ$6,'CF(M)'!$L64:$EQ64)</f>
        <v>0</v>
      </c>
      <c r="BA59" s="171">
        <f>SUMIF('CF(M)'!$L$11:$EQ$11,BA$6,'CF(M)'!$L64:$EQ64)</f>
        <v>0</v>
      </c>
      <c r="BB59" s="171">
        <f>SUMIF('CF(M)'!$L$11:$EQ$11,BB$6,'CF(M)'!$L64:$EQ64)</f>
        <v>0</v>
      </c>
      <c r="BC59" s="171">
        <f>SUMIF('CF(M)'!$L$11:$EQ$11,BC$6,'CF(M)'!$L64:$EQ64)</f>
        <v>0</v>
      </c>
      <c r="BD59" s="171">
        <f>SUMIF('CF(M)'!$L$11:$EQ$11,BD$6,'CF(M)'!$L64:$EQ64)</f>
        <v>0</v>
      </c>
      <c r="BE59" s="171">
        <f>SUMIF('CF(M)'!$L$11:$EQ$11,BE$6,'CF(M)'!$L64:$EQ64)</f>
        <v>0</v>
      </c>
      <c r="BF59" s="171">
        <f>SUMIF('CF(M)'!$L$11:$EQ$11,BF$6,'CF(M)'!$L64:$EQ64)</f>
        <v>0</v>
      </c>
      <c r="BG59" s="171">
        <f>SUMIF('CF(M)'!$L$11:$EQ$11,BG$6,'CF(M)'!$L64:$EQ64)</f>
        <v>0</v>
      </c>
      <c r="BH59" s="171">
        <f>SUMIF('CF(M)'!$L$11:$EQ$11,BH$6,'CF(M)'!$L64:$EQ64)</f>
        <v>0</v>
      </c>
      <c r="BI59" s="171">
        <f>SUMIF('CF(M)'!$L$11:$EQ$11,BI$6,'CF(M)'!$L64:$EQ64)</f>
        <v>0</v>
      </c>
      <c r="BJ59" s="171">
        <f>SUMIF('CF(M)'!$L$11:$EQ$11,BJ$6,'CF(M)'!$L64:$EQ64)</f>
        <v>0</v>
      </c>
      <c r="BK59" s="171">
        <f>SUMIF('CF(M)'!$L$11:$EQ$11,BK$6,'CF(M)'!$L64:$EQ64)</f>
        <v>0</v>
      </c>
      <c r="BL59" s="171">
        <f>SUMIF('CF(M)'!$L$11:$EQ$11,BL$6,'CF(M)'!$L64:$EQ64)</f>
        <v>0</v>
      </c>
      <c r="BM59" s="171">
        <f>SUMIF('CF(M)'!$L$11:$EQ$11,BM$6,'CF(M)'!$L64:$EQ64)</f>
        <v>0</v>
      </c>
      <c r="BN59" s="171">
        <f>SUMIF('CF(M)'!$L$11:$EQ$11,BN$6,'CF(M)'!$L64:$EQ64)</f>
        <v>0</v>
      </c>
      <c r="BO59" s="171">
        <f>SUMIF('CF(M)'!$L$11:$EQ$11,BO$6,'CF(M)'!$L64:$EQ64)</f>
        <v>0</v>
      </c>
      <c r="BP59" s="171">
        <f>SUMIF('CF(M)'!$L$11:$EQ$11,BP$6,'CF(M)'!$L64:$EQ64)</f>
        <v>0</v>
      </c>
      <c r="BQ59" s="171">
        <f>SUMIF('CF(M)'!$L$11:$EQ$11,BQ$6,'CF(M)'!$L64:$EQ64)</f>
        <v>0</v>
      </c>
      <c r="BR59" s="171">
        <f>SUMIF('CF(M)'!$L$11:$EQ$11,BR$6,'CF(M)'!$L64:$EQ64)</f>
        <v>0</v>
      </c>
      <c r="BS59" s="171">
        <f>SUMIF('CF(M)'!$L$11:$EQ$11,BS$6,'CF(M)'!$L64:$EQ64)</f>
        <v>0</v>
      </c>
      <c r="BT59" s="171">
        <f>SUMIF('CF(M)'!$L$11:$EQ$11,BT$6,'CF(M)'!$L64:$EQ64)</f>
        <v>0</v>
      </c>
      <c r="BU59" s="171">
        <f>SUMIF('CF(M)'!$L$11:$EQ$11,BU$6,'CF(M)'!$L64:$EQ64)</f>
        <v>0</v>
      </c>
      <c r="BV59" s="171">
        <f>SUMIF('CF(M)'!$L$11:$EQ$11,BV$6,'CF(M)'!$L64:$EQ64)</f>
        <v>0</v>
      </c>
      <c r="BW59" s="171">
        <f>SUMIF('CF(M)'!$L$11:$EQ$11,BW$6,'CF(M)'!$L64:$EQ64)</f>
        <v>0</v>
      </c>
      <c r="BX59" s="171">
        <f>SUMIF('CF(M)'!$L$11:$EQ$11,BX$6,'CF(M)'!$L64:$EQ64)</f>
        <v>0</v>
      </c>
      <c r="BY59" s="171">
        <f>SUMIF('CF(M)'!$L$11:$EQ$11,BY$6,'CF(M)'!$L64:$EQ64)</f>
        <v>0</v>
      </c>
      <c r="BZ59" s="171">
        <f>SUMIF('CF(M)'!$L$11:$EQ$11,BZ$6,'CF(M)'!$L64:$EQ64)</f>
        <v>0</v>
      </c>
      <c r="CA59" s="171">
        <f>SUMIF('CF(M)'!$L$11:$EQ$11,CA$6,'CF(M)'!$L64:$EQ64)</f>
        <v>0</v>
      </c>
      <c r="CB59" s="171">
        <f>SUMIF('CF(M)'!$L$11:$EQ$11,CB$6,'CF(M)'!$L64:$EQ64)</f>
        <v>0</v>
      </c>
      <c r="CC59" s="171">
        <f>SUMIF('CF(M)'!$L$11:$EQ$11,CC$6,'CF(M)'!$L64:$EQ64)</f>
        <v>0</v>
      </c>
      <c r="CD59" s="171">
        <f>SUMIF('CF(M)'!$L$11:$EQ$11,CD$6,'CF(M)'!$L64:$EQ64)</f>
        <v>0</v>
      </c>
      <c r="CE59" s="171">
        <f>SUMIF('CF(M)'!$L$11:$EQ$11,CE$6,'CF(M)'!$L64:$EQ64)</f>
        <v>0</v>
      </c>
      <c r="CF59" s="171">
        <f>SUMIF('CF(M)'!$L$11:$EQ$11,CF$6,'CF(M)'!$L64:$EQ64)</f>
        <v>0</v>
      </c>
      <c r="CG59" s="171">
        <f>SUMIF('CF(M)'!$L$11:$EQ$11,CG$6,'CF(M)'!$L64:$EQ64)</f>
        <v>0</v>
      </c>
      <c r="CH59" s="171">
        <f>SUMIF('CF(M)'!$L$11:$EQ$11,CH$6,'CF(M)'!$L64:$EQ64)</f>
        <v>0</v>
      </c>
      <c r="CI59" s="171">
        <f>SUMIF('CF(M)'!$L$11:$EQ$11,CI$6,'CF(M)'!$L64:$EQ64)</f>
        <v>0</v>
      </c>
      <c r="CJ59" s="171">
        <f>SUMIF('CF(M)'!$L$11:$EQ$11,CJ$6,'CF(M)'!$L64:$EQ64)</f>
        <v>0</v>
      </c>
      <c r="CK59" s="171">
        <f>SUMIF('CF(M)'!$L$11:$EQ$11,CK$6,'CF(M)'!$L64:$EQ64)</f>
        <v>0</v>
      </c>
      <c r="CL59" s="171">
        <f>SUMIF('CF(M)'!$L$11:$EQ$11,CL$6,'CF(M)'!$L64:$EQ64)</f>
        <v>0</v>
      </c>
      <c r="CM59" s="171">
        <f>SUMIF('CF(M)'!$L$11:$EQ$11,CM$6,'CF(M)'!$L64:$EQ64)</f>
        <v>0</v>
      </c>
      <c r="CN59" s="171">
        <f>SUMIF('CF(M)'!$L$11:$EQ$11,CN$6,'CF(M)'!$L64:$EQ64)</f>
        <v>0</v>
      </c>
      <c r="CO59" s="171">
        <f>SUMIF('CF(M)'!$L$11:$EQ$11,CO$6,'CF(M)'!$L64:$EQ64)</f>
        <v>0</v>
      </c>
      <c r="CP59" s="171">
        <f>SUMIF('CF(M)'!$L$11:$EQ$11,CP$6,'CF(M)'!$L64:$EQ64)</f>
        <v>0</v>
      </c>
      <c r="CQ59" s="171">
        <f>SUMIF('CF(M)'!$L$11:$EQ$11,CQ$6,'CF(M)'!$L64:$EQ64)</f>
        <v>0</v>
      </c>
      <c r="CR59" s="171">
        <f>SUMIF('CF(M)'!$L$11:$EQ$11,CR$6,'CF(M)'!$L64:$EQ64)</f>
        <v>0</v>
      </c>
      <c r="CS59" s="171">
        <f>SUMIF('CF(M)'!$L$11:$EQ$11,CS$6,'CF(M)'!$L64:$EQ64)</f>
        <v>0</v>
      </c>
      <c r="CT59" s="171">
        <f>SUMIF('CF(M)'!$L$11:$EQ$11,CT$6,'CF(M)'!$L64:$EQ64)</f>
        <v>0</v>
      </c>
      <c r="CU59" s="171">
        <f>SUMIF('CF(M)'!$L$11:$EQ$11,CU$6,'CF(M)'!$L64:$EQ64)</f>
        <v>0</v>
      </c>
      <c r="CV59" s="171">
        <f>SUMIF('CF(M)'!$L$11:$EQ$11,CV$6,'CF(M)'!$L64:$EQ64)</f>
        <v>0</v>
      </c>
      <c r="CW59" s="171">
        <f>SUMIF('CF(M)'!$L$11:$EQ$11,CW$6,'CF(M)'!$L64:$EQ64)</f>
        <v>0</v>
      </c>
      <c r="CX59" s="171">
        <f>SUMIF('CF(M)'!$L$11:$EQ$11,CX$6,'CF(M)'!$L64:$EQ64)</f>
        <v>0</v>
      </c>
      <c r="CY59" s="171">
        <f>SUMIF('CF(M)'!$L$11:$EQ$11,CY$6,'CF(M)'!$L64:$EQ64)</f>
        <v>0</v>
      </c>
      <c r="CZ59" s="171">
        <f>SUMIF('CF(M)'!$L$11:$EQ$11,CZ$6,'CF(M)'!$L64:$EQ64)</f>
        <v>0</v>
      </c>
      <c r="DA59" s="171">
        <f>SUMIF('CF(M)'!$L$11:$EQ$11,DA$6,'CF(M)'!$L64:$EQ64)</f>
        <v>0</v>
      </c>
      <c r="DB59" s="171">
        <f>SUMIF('CF(M)'!$L$11:$EQ$11,DB$6,'CF(M)'!$L64:$EQ64)</f>
        <v>0</v>
      </c>
      <c r="DC59" s="171">
        <f>SUMIF('CF(M)'!$L$11:$EQ$11,DC$6,'CF(M)'!$L64:$EQ64)</f>
        <v>0</v>
      </c>
      <c r="DD59" s="171">
        <f>SUMIF('CF(M)'!$L$11:$EQ$11,DD$6,'CF(M)'!$L64:$EQ64)</f>
        <v>0</v>
      </c>
      <c r="DE59" s="171">
        <f>SUMIF('CF(M)'!$L$11:$EQ$11,DE$6,'CF(M)'!$L64:$EQ64)</f>
        <v>0</v>
      </c>
      <c r="DF59" s="171">
        <f>SUMIF('CF(M)'!$L$11:$EQ$11,DF$6,'CF(M)'!$L64:$EQ64)</f>
        <v>0</v>
      </c>
      <c r="DG59" s="171">
        <f>SUMIF('CF(M)'!$L$11:$EQ$11,DG$6,'CF(M)'!$L64:$EQ64)</f>
        <v>0</v>
      </c>
      <c r="DH59" s="171">
        <f>SUMIF('CF(M)'!$L$11:$EQ$11,DH$6,'CF(M)'!$L64:$EQ64)</f>
        <v>0</v>
      </c>
      <c r="DI59" s="171">
        <f>SUMIF('CF(M)'!$L$11:$EQ$11,DI$6,'CF(M)'!$L64:$EQ64)</f>
        <v>0</v>
      </c>
      <c r="DJ59" s="171">
        <f>SUMIF('CF(M)'!$L$11:$EQ$11,DJ$6,'CF(M)'!$L64:$EQ64)</f>
        <v>0</v>
      </c>
      <c r="DK59" s="171">
        <f>SUMIF('CF(M)'!$L$11:$EQ$11,DK$6,'CF(M)'!$L64:$EQ64)</f>
        <v>0</v>
      </c>
      <c r="DL59" s="171">
        <f>SUMIF('CF(M)'!$L$11:$EQ$11,DL$6,'CF(M)'!$L64:$EQ64)</f>
        <v>0</v>
      </c>
      <c r="DM59" s="171">
        <f>SUMIF('CF(M)'!$L$11:$EQ$11,DM$6,'CF(M)'!$L64:$EQ64)</f>
        <v>0</v>
      </c>
      <c r="DN59" s="171">
        <f>SUMIF('CF(M)'!$L$11:$EQ$11,DN$6,'CF(M)'!$L64:$EQ64)</f>
        <v>0</v>
      </c>
      <c r="DO59" s="171">
        <f>SUMIF('CF(M)'!$L$11:$EQ$11,DO$6,'CF(M)'!$L64:$EQ64)</f>
        <v>0</v>
      </c>
      <c r="DP59" s="171">
        <f>SUMIF('CF(M)'!$L$11:$EQ$11,DP$6,'CF(M)'!$L64:$EQ64)</f>
        <v>0</v>
      </c>
      <c r="DQ59" s="171">
        <f>SUMIF('CF(M)'!$L$11:$EQ$11,DQ$6,'CF(M)'!$L64:$EQ64)</f>
        <v>0</v>
      </c>
      <c r="DR59" s="171">
        <f>SUMIF('CF(M)'!$L$11:$EQ$11,DR$6,'CF(M)'!$L64:$EQ64)</f>
        <v>0</v>
      </c>
      <c r="DS59" s="171">
        <f>SUMIF('CF(M)'!$L$11:$EQ$11,DS$6,'CF(M)'!$L64:$EQ64)</f>
        <v>0</v>
      </c>
      <c r="DT59" s="171">
        <f>SUMIF('CF(M)'!$L$11:$EQ$11,DT$6,'CF(M)'!$L64:$EQ64)</f>
        <v>0</v>
      </c>
      <c r="DU59" s="171">
        <f>SUMIF('CF(M)'!$L$11:$EQ$11,DU$6,'CF(M)'!$L64:$EQ64)</f>
        <v>0</v>
      </c>
      <c r="DV59" s="171">
        <f>SUMIF('CF(M)'!$L$11:$EQ$11,DV$6,'CF(M)'!$L64:$EQ64)</f>
        <v>0</v>
      </c>
    </row>
    <row r="60" spans="2:126" ht="11.25" customHeight="1">
      <c r="B60" s="218"/>
      <c r="C60" s="163"/>
      <c r="D60" s="169" t="s">
        <v>178</v>
      </c>
      <c r="H60" s="90"/>
      <c r="I60" s="229"/>
      <c r="J60" s="171">
        <f t="shared" si="25"/>
        <v>-4380000</v>
      </c>
      <c r="K60" s="98"/>
      <c r="L60" s="171">
        <f>SUMIF('CF(M)'!$L$11:$EQ$11,L$6,'CF(M)'!$L65:$EQ65)</f>
        <v>-4380000</v>
      </c>
      <c r="M60" s="171">
        <f>SUMIF('CF(M)'!$L$11:$EQ$11,M$6,'CF(M)'!$L65:$EQ65)</f>
        <v>0</v>
      </c>
      <c r="N60" s="171">
        <f>SUMIF('CF(M)'!$L$11:$EQ$11,N$6,'CF(M)'!$L65:$EQ65)</f>
        <v>0</v>
      </c>
      <c r="O60" s="171">
        <f>SUMIF('CF(M)'!$L$11:$EQ$11,O$6,'CF(M)'!$L65:$EQ65)</f>
        <v>0</v>
      </c>
      <c r="P60" s="171">
        <f>SUMIF('CF(M)'!$L$11:$EQ$11,P$6,'CF(M)'!$L65:$EQ65)</f>
        <v>0</v>
      </c>
      <c r="Q60" s="171">
        <f>SUMIF('CF(M)'!$L$11:$EQ$11,Q$6,'CF(M)'!$L65:$EQ65)</f>
        <v>0</v>
      </c>
      <c r="R60" s="171">
        <f>SUMIF('CF(M)'!$L$11:$EQ$11,R$6,'CF(M)'!$L65:$EQ65)</f>
        <v>0</v>
      </c>
      <c r="S60" s="171">
        <f>SUMIF('CF(M)'!$L$11:$EQ$11,S$6,'CF(M)'!$L65:$EQ65)</f>
        <v>0</v>
      </c>
      <c r="T60" s="171">
        <f>SUMIF('CF(M)'!$L$11:$EQ$11,T$6,'CF(M)'!$L65:$EQ65)</f>
        <v>0</v>
      </c>
      <c r="U60" s="171">
        <f>SUMIF('CF(M)'!$L$11:$EQ$11,U$6,'CF(M)'!$L65:$EQ65)</f>
        <v>0</v>
      </c>
      <c r="V60" s="171">
        <f>SUMIF('CF(M)'!$L$11:$EQ$11,V$6,'CF(M)'!$L65:$EQ65)</f>
        <v>0</v>
      </c>
      <c r="W60" s="171">
        <f>SUMIF('CF(M)'!$L$11:$EQ$11,W$6,'CF(M)'!$L65:$EQ65)</f>
        <v>0</v>
      </c>
      <c r="X60" s="171">
        <f>SUMIF('CF(M)'!$L$11:$EQ$11,X$6,'CF(M)'!$L65:$EQ65)</f>
        <v>0</v>
      </c>
      <c r="Y60" s="171">
        <f>SUMIF('CF(M)'!$L$11:$EQ$11,Y$6,'CF(M)'!$L65:$EQ65)</f>
        <v>0</v>
      </c>
      <c r="Z60" s="171">
        <f>SUMIF('CF(M)'!$L$11:$EQ$11,Z$6,'CF(M)'!$L65:$EQ65)</f>
        <v>0</v>
      </c>
      <c r="AA60" s="171">
        <f>SUMIF('CF(M)'!$L$11:$EQ$11,AA$6,'CF(M)'!$L65:$EQ65)</f>
        <v>0</v>
      </c>
      <c r="AB60" s="171">
        <f>SUMIF('CF(M)'!$L$11:$EQ$11,AB$6,'CF(M)'!$L65:$EQ65)</f>
        <v>0</v>
      </c>
      <c r="AC60" s="171">
        <f>SUMIF('CF(M)'!$L$11:$EQ$11,AC$6,'CF(M)'!$L65:$EQ65)</f>
        <v>0</v>
      </c>
      <c r="AD60" s="171">
        <f>SUMIF('CF(M)'!$L$11:$EQ$11,AD$6,'CF(M)'!$L65:$EQ65)</f>
        <v>0</v>
      </c>
      <c r="AE60" s="171">
        <f>SUMIF('CF(M)'!$L$11:$EQ$11,AE$6,'CF(M)'!$L65:$EQ65)</f>
        <v>0</v>
      </c>
      <c r="AF60" s="171">
        <f>SUMIF('CF(M)'!$L$11:$EQ$11,AF$6,'CF(M)'!$L65:$EQ65)</f>
        <v>0</v>
      </c>
      <c r="AG60" s="171">
        <f>SUMIF('CF(M)'!$L$11:$EQ$11,AG$6,'CF(M)'!$L65:$EQ65)</f>
        <v>0</v>
      </c>
      <c r="AH60" s="171">
        <f>SUMIF('CF(M)'!$L$11:$EQ$11,AH$6,'CF(M)'!$L65:$EQ65)</f>
        <v>0</v>
      </c>
      <c r="AI60" s="171">
        <f>SUMIF('CF(M)'!$L$11:$EQ$11,AI$6,'CF(M)'!$L65:$EQ65)</f>
        <v>0</v>
      </c>
      <c r="AJ60" s="171">
        <f>SUMIF('CF(M)'!$L$11:$EQ$11,AJ$6,'CF(M)'!$L65:$EQ65)</f>
        <v>0</v>
      </c>
      <c r="AK60" s="171">
        <f>SUMIF('CF(M)'!$L$11:$EQ$11,AK$6,'CF(M)'!$L65:$EQ65)</f>
        <v>0</v>
      </c>
      <c r="AL60" s="171">
        <f>SUMIF('CF(M)'!$L$11:$EQ$11,AL$6,'CF(M)'!$L65:$EQ65)</f>
        <v>0</v>
      </c>
      <c r="AM60" s="171">
        <f>SUMIF('CF(M)'!$L$11:$EQ$11,AM$6,'CF(M)'!$L65:$EQ65)</f>
        <v>0</v>
      </c>
      <c r="AN60" s="171">
        <f>SUMIF('CF(M)'!$L$11:$EQ$11,AN$6,'CF(M)'!$L65:$EQ65)</f>
        <v>0</v>
      </c>
      <c r="AO60" s="171">
        <f>SUMIF('CF(M)'!$L$11:$EQ$11,AO$6,'CF(M)'!$L65:$EQ65)</f>
        <v>0</v>
      </c>
      <c r="AP60" s="171">
        <f>SUMIF('CF(M)'!$L$11:$EQ$11,AP$6,'CF(M)'!$L65:$EQ65)</f>
        <v>0</v>
      </c>
      <c r="AQ60" s="171">
        <f>SUMIF('CF(M)'!$L$11:$EQ$11,AQ$6,'CF(M)'!$L65:$EQ65)</f>
        <v>0</v>
      </c>
      <c r="AR60" s="171">
        <f>SUMIF('CF(M)'!$L$11:$EQ$11,AR$6,'CF(M)'!$L65:$EQ65)</f>
        <v>0</v>
      </c>
      <c r="AS60" s="171">
        <f>SUMIF('CF(M)'!$L$11:$EQ$11,AS$6,'CF(M)'!$L65:$EQ65)</f>
        <v>0</v>
      </c>
      <c r="AT60" s="171">
        <f>SUMIF('CF(M)'!$L$11:$EQ$11,AT$6,'CF(M)'!$L65:$EQ65)</f>
        <v>0</v>
      </c>
      <c r="AU60" s="171">
        <f>SUMIF('CF(M)'!$L$11:$EQ$11,AU$6,'CF(M)'!$L65:$EQ65)</f>
        <v>0</v>
      </c>
      <c r="AV60" s="171">
        <f>SUMIF('CF(M)'!$L$11:$EQ$11,AV$6,'CF(M)'!$L65:$EQ65)</f>
        <v>0</v>
      </c>
      <c r="AW60" s="171">
        <f>SUMIF('CF(M)'!$L$11:$EQ$11,AW$6,'CF(M)'!$L65:$EQ65)</f>
        <v>0</v>
      </c>
      <c r="AX60" s="171">
        <f>SUMIF('CF(M)'!$L$11:$EQ$11,AX$6,'CF(M)'!$L65:$EQ65)</f>
        <v>0</v>
      </c>
      <c r="AY60" s="171">
        <f>SUMIF('CF(M)'!$L$11:$EQ$11,AY$6,'CF(M)'!$L65:$EQ65)</f>
        <v>0</v>
      </c>
      <c r="AZ60" s="171">
        <f>SUMIF('CF(M)'!$L$11:$EQ$11,AZ$6,'CF(M)'!$L65:$EQ65)</f>
        <v>0</v>
      </c>
      <c r="BA60" s="171">
        <f>SUMIF('CF(M)'!$L$11:$EQ$11,BA$6,'CF(M)'!$L65:$EQ65)</f>
        <v>0</v>
      </c>
      <c r="BB60" s="171">
        <f>SUMIF('CF(M)'!$L$11:$EQ$11,BB$6,'CF(M)'!$L65:$EQ65)</f>
        <v>0</v>
      </c>
      <c r="BC60" s="171">
        <f>SUMIF('CF(M)'!$L$11:$EQ$11,BC$6,'CF(M)'!$L65:$EQ65)</f>
        <v>0</v>
      </c>
      <c r="BD60" s="171">
        <f>SUMIF('CF(M)'!$L$11:$EQ$11,BD$6,'CF(M)'!$L65:$EQ65)</f>
        <v>0</v>
      </c>
      <c r="BE60" s="171">
        <f>SUMIF('CF(M)'!$L$11:$EQ$11,BE$6,'CF(M)'!$L65:$EQ65)</f>
        <v>0</v>
      </c>
      <c r="BF60" s="171">
        <f>SUMIF('CF(M)'!$L$11:$EQ$11,BF$6,'CF(M)'!$L65:$EQ65)</f>
        <v>0</v>
      </c>
      <c r="BG60" s="171">
        <f>SUMIF('CF(M)'!$L$11:$EQ$11,BG$6,'CF(M)'!$L65:$EQ65)</f>
        <v>0</v>
      </c>
      <c r="BH60" s="171">
        <f>SUMIF('CF(M)'!$L$11:$EQ$11,BH$6,'CF(M)'!$L65:$EQ65)</f>
        <v>0</v>
      </c>
      <c r="BI60" s="171">
        <f>SUMIF('CF(M)'!$L$11:$EQ$11,BI$6,'CF(M)'!$L65:$EQ65)</f>
        <v>0</v>
      </c>
      <c r="BJ60" s="171">
        <f>SUMIF('CF(M)'!$L$11:$EQ$11,BJ$6,'CF(M)'!$L65:$EQ65)</f>
        <v>0</v>
      </c>
      <c r="BK60" s="171">
        <f>SUMIF('CF(M)'!$L$11:$EQ$11,BK$6,'CF(M)'!$L65:$EQ65)</f>
        <v>0</v>
      </c>
      <c r="BL60" s="171">
        <f>SUMIF('CF(M)'!$L$11:$EQ$11,BL$6,'CF(M)'!$L65:$EQ65)</f>
        <v>0</v>
      </c>
      <c r="BM60" s="171">
        <f>SUMIF('CF(M)'!$L$11:$EQ$11,BM$6,'CF(M)'!$L65:$EQ65)</f>
        <v>0</v>
      </c>
      <c r="BN60" s="171">
        <f>SUMIF('CF(M)'!$L$11:$EQ$11,BN$6,'CF(M)'!$L65:$EQ65)</f>
        <v>0</v>
      </c>
      <c r="BO60" s="171">
        <f>SUMIF('CF(M)'!$L$11:$EQ$11,BO$6,'CF(M)'!$L65:$EQ65)</f>
        <v>0</v>
      </c>
      <c r="BP60" s="171">
        <f>SUMIF('CF(M)'!$L$11:$EQ$11,BP$6,'CF(M)'!$L65:$EQ65)</f>
        <v>0</v>
      </c>
      <c r="BQ60" s="171">
        <f>SUMIF('CF(M)'!$L$11:$EQ$11,BQ$6,'CF(M)'!$L65:$EQ65)</f>
        <v>0</v>
      </c>
      <c r="BR60" s="171">
        <f>SUMIF('CF(M)'!$L$11:$EQ$11,BR$6,'CF(M)'!$L65:$EQ65)</f>
        <v>0</v>
      </c>
      <c r="BS60" s="171">
        <f>SUMIF('CF(M)'!$L$11:$EQ$11,BS$6,'CF(M)'!$L65:$EQ65)</f>
        <v>0</v>
      </c>
      <c r="BT60" s="171">
        <f>SUMIF('CF(M)'!$L$11:$EQ$11,BT$6,'CF(M)'!$L65:$EQ65)</f>
        <v>0</v>
      </c>
      <c r="BU60" s="171">
        <f>SUMIF('CF(M)'!$L$11:$EQ$11,BU$6,'CF(M)'!$L65:$EQ65)</f>
        <v>0</v>
      </c>
      <c r="BV60" s="171">
        <f>SUMIF('CF(M)'!$L$11:$EQ$11,BV$6,'CF(M)'!$L65:$EQ65)</f>
        <v>0</v>
      </c>
      <c r="BW60" s="171">
        <f>SUMIF('CF(M)'!$L$11:$EQ$11,BW$6,'CF(M)'!$L65:$EQ65)</f>
        <v>0</v>
      </c>
      <c r="BX60" s="171">
        <f>SUMIF('CF(M)'!$L$11:$EQ$11,BX$6,'CF(M)'!$L65:$EQ65)</f>
        <v>0</v>
      </c>
      <c r="BY60" s="171">
        <f>SUMIF('CF(M)'!$L$11:$EQ$11,BY$6,'CF(M)'!$L65:$EQ65)</f>
        <v>0</v>
      </c>
      <c r="BZ60" s="171">
        <f>SUMIF('CF(M)'!$L$11:$EQ$11,BZ$6,'CF(M)'!$L65:$EQ65)</f>
        <v>0</v>
      </c>
      <c r="CA60" s="171">
        <f>SUMIF('CF(M)'!$L$11:$EQ$11,CA$6,'CF(M)'!$L65:$EQ65)</f>
        <v>0</v>
      </c>
      <c r="CB60" s="171">
        <f>SUMIF('CF(M)'!$L$11:$EQ$11,CB$6,'CF(M)'!$L65:$EQ65)</f>
        <v>0</v>
      </c>
      <c r="CC60" s="171">
        <f>SUMIF('CF(M)'!$L$11:$EQ$11,CC$6,'CF(M)'!$L65:$EQ65)</f>
        <v>0</v>
      </c>
      <c r="CD60" s="171">
        <f>SUMIF('CF(M)'!$L$11:$EQ$11,CD$6,'CF(M)'!$L65:$EQ65)</f>
        <v>0</v>
      </c>
      <c r="CE60" s="171">
        <f>SUMIF('CF(M)'!$L$11:$EQ$11,CE$6,'CF(M)'!$L65:$EQ65)</f>
        <v>0</v>
      </c>
      <c r="CF60" s="171">
        <f>SUMIF('CF(M)'!$L$11:$EQ$11,CF$6,'CF(M)'!$L65:$EQ65)</f>
        <v>0</v>
      </c>
      <c r="CG60" s="171">
        <f>SUMIF('CF(M)'!$L$11:$EQ$11,CG$6,'CF(M)'!$L65:$EQ65)</f>
        <v>0</v>
      </c>
      <c r="CH60" s="171">
        <f>SUMIF('CF(M)'!$L$11:$EQ$11,CH$6,'CF(M)'!$L65:$EQ65)</f>
        <v>0</v>
      </c>
      <c r="CI60" s="171">
        <f>SUMIF('CF(M)'!$L$11:$EQ$11,CI$6,'CF(M)'!$L65:$EQ65)</f>
        <v>0</v>
      </c>
      <c r="CJ60" s="171">
        <f>SUMIF('CF(M)'!$L$11:$EQ$11,CJ$6,'CF(M)'!$L65:$EQ65)</f>
        <v>0</v>
      </c>
      <c r="CK60" s="171">
        <f>SUMIF('CF(M)'!$L$11:$EQ$11,CK$6,'CF(M)'!$L65:$EQ65)</f>
        <v>0</v>
      </c>
      <c r="CL60" s="171">
        <f>SUMIF('CF(M)'!$L$11:$EQ$11,CL$6,'CF(M)'!$L65:$EQ65)</f>
        <v>0</v>
      </c>
      <c r="CM60" s="171">
        <f>SUMIF('CF(M)'!$L$11:$EQ$11,CM$6,'CF(M)'!$L65:$EQ65)</f>
        <v>0</v>
      </c>
      <c r="CN60" s="171">
        <f>SUMIF('CF(M)'!$L$11:$EQ$11,CN$6,'CF(M)'!$L65:$EQ65)</f>
        <v>0</v>
      </c>
      <c r="CO60" s="171">
        <f>SUMIF('CF(M)'!$L$11:$EQ$11,CO$6,'CF(M)'!$L65:$EQ65)</f>
        <v>0</v>
      </c>
      <c r="CP60" s="171">
        <f>SUMIF('CF(M)'!$L$11:$EQ$11,CP$6,'CF(M)'!$L65:$EQ65)</f>
        <v>0</v>
      </c>
      <c r="CQ60" s="171">
        <f>SUMIF('CF(M)'!$L$11:$EQ$11,CQ$6,'CF(M)'!$L65:$EQ65)</f>
        <v>0</v>
      </c>
      <c r="CR60" s="171">
        <f>SUMIF('CF(M)'!$L$11:$EQ$11,CR$6,'CF(M)'!$L65:$EQ65)</f>
        <v>0</v>
      </c>
      <c r="CS60" s="171">
        <f>SUMIF('CF(M)'!$L$11:$EQ$11,CS$6,'CF(M)'!$L65:$EQ65)</f>
        <v>0</v>
      </c>
      <c r="CT60" s="171">
        <f>SUMIF('CF(M)'!$L$11:$EQ$11,CT$6,'CF(M)'!$L65:$EQ65)</f>
        <v>0</v>
      </c>
      <c r="CU60" s="171">
        <f>SUMIF('CF(M)'!$L$11:$EQ$11,CU$6,'CF(M)'!$L65:$EQ65)</f>
        <v>0</v>
      </c>
      <c r="CV60" s="171">
        <f>SUMIF('CF(M)'!$L$11:$EQ$11,CV$6,'CF(M)'!$L65:$EQ65)</f>
        <v>0</v>
      </c>
      <c r="CW60" s="171">
        <f>SUMIF('CF(M)'!$L$11:$EQ$11,CW$6,'CF(M)'!$L65:$EQ65)</f>
        <v>0</v>
      </c>
      <c r="CX60" s="171">
        <f>SUMIF('CF(M)'!$L$11:$EQ$11,CX$6,'CF(M)'!$L65:$EQ65)</f>
        <v>0</v>
      </c>
      <c r="CY60" s="171">
        <f>SUMIF('CF(M)'!$L$11:$EQ$11,CY$6,'CF(M)'!$L65:$EQ65)</f>
        <v>0</v>
      </c>
      <c r="CZ60" s="171">
        <f>SUMIF('CF(M)'!$L$11:$EQ$11,CZ$6,'CF(M)'!$L65:$EQ65)</f>
        <v>0</v>
      </c>
      <c r="DA60" s="171">
        <f>SUMIF('CF(M)'!$L$11:$EQ$11,DA$6,'CF(M)'!$L65:$EQ65)</f>
        <v>0</v>
      </c>
      <c r="DB60" s="171">
        <f>SUMIF('CF(M)'!$L$11:$EQ$11,DB$6,'CF(M)'!$L65:$EQ65)</f>
        <v>0</v>
      </c>
      <c r="DC60" s="171">
        <f>SUMIF('CF(M)'!$L$11:$EQ$11,DC$6,'CF(M)'!$L65:$EQ65)</f>
        <v>0</v>
      </c>
      <c r="DD60" s="171">
        <f>SUMIF('CF(M)'!$L$11:$EQ$11,DD$6,'CF(M)'!$L65:$EQ65)</f>
        <v>0</v>
      </c>
      <c r="DE60" s="171">
        <f>SUMIF('CF(M)'!$L$11:$EQ$11,DE$6,'CF(M)'!$L65:$EQ65)</f>
        <v>0</v>
      </c>
      <c r="DF60" s="171">
        <f>SUMIF('CF(M)'!$L$11:$EQ$11,DF$6,'CF(M)'!$L65:$EQ65)</f>
        <v>0</v>
      </c>
      <c r="DG60" s="171">
        <f>SUMIF('CF(M)'!$L$11:$EQ$11,DG$6,'CF(M)'!$L65:$EQ65)</f>
        <v>0</v>
      </c>
      <c r="DH60" s="171">
        <f>SUMIF('CF(M)'!$L$11:$EQ$11,DH$6,'CF(M)'!$L65:$EQ65)</f>
        <v>0</v>
      </c>
      <c r="DI60" s="171">
        <f>SUMIF('CF(M)'!$L$11:$EQ$11,DI$6,'CF(M)'!$L65:$EQ65)</f>
        <v>0</v>
      </c>
      <c r="DJ60" s="171">
        <f>SUMIF('CF(M)'!$L$11:$EQ$11,DJ$6,'CF(M)'!$L65:$EQ65)</f>
        <v>0</v>
      </c>
      <c r="DK60" s="171">
        <f>SUMIF('CF(M)'!$L$11:$EQ$11,DK$6,'CF(M)'!$L65:$EQ65)</f>
        <v>0</v>
      </c>
      <c r="DL60" s="171">
        <f>SUMIF('CF(M)'!$L$11:$EQ$11,DL$6,'CF(M)'!$L65:$EQ65)</f>
        <v>0</v>
      </c>
      <c r="DM60" s="171">
        <f>SUMIF('CF(M)'!$L$11:$EQ$11,DM$6,'CF(M)'!$L65:$EQ65)</f>
        <v>0</v>
      </c>
      <c r="DN60" s="171">
        <f>SUMIF('CF(M)'!$L$11:$EQ$11,DN$6,'CF(M)'!$L65:$EQ65)</f>
        <v>0</v>
      </c>
      <c r="DO60" s="171">
        <f>SUMIF('CF(M)'!$L$11:$EQ$11,DO$6,'CF(M)'!$L65:$EQ65)</f>
        <v>0</v>
      </c>
      <c r="DP60" s="171">
        <f>SUMIF('CF(M)'!$L$11:$EQ$11,DP$6,'CF(M)'!$L65:$EQ65)</f>
        <v>0</v>
      </c>
      <c r="DQ60" s="171">
        <f>SUMIF('CF(M)'!$L$11:$EQ$11,DQ$6,'CF(M)'!$L65:$EQ65)</f>
        <v>0</v>
      </c>
      <c r="DR60" s="171">
        <f>SUMIF('CF(M)'!$L$11:$EQ$11,DR$6,'CF(M)'!$L65:$EQ65)</f>
        <v>0</v>
      </c>
      <c r="DS60" s="171">
        <f>SUMIF('CF(M)'!$L$11:$EQ$11,DS$6,'CF(M)'!$L65:$EQ65)</f>
        <v>0</v>
      </c>
      <c r="DT60" s="171">
        <f>SUMIF('CF(M)'!$L$11:$EQ$11,DT$6,'CF(M)'!$L65:$EQ65)</f>
        <v>0</v>
      </c>
      <c r="DU60" s="171">
        <f>SUMIF('CF(M)'!$L$11:$EQ$11,DU$6,'CF(M)'!$L65:$EQ65)</f>
        <v>0</v>
      </c>
      <c r="DV60" s="171">
        <f>SUMIF('CF(M)'!$L$11:$EQ$11,DV$6,'CF(M)'!$L65:$EQ65)</f>
        <v>0</v>
      </c>
    </row>
    <row r="61" spans="2:126" ht="11.25" customHeight="1">
      <c r="B61" s="218"/>
      <c r="C61" s="163"/>
      <c r="D61" s="169" t="s">
        <v>77</v>
      </c>
      <c r="H61" s="90"/>
      <c r="I61" s="229"/>
      <c r="J61" s="171">
        <f t="shared" si="25"/>
        <v>-245384.77486795187</v>
      </c>
      <c r="K61" s="98"/>
      <c r="L61" s="171">
        <f>SUMIF('CF(M)'!$L$11:$EQ$11,L$6,'CF(M)'!$L66:$EQ66)</f>
        <v>-245384.77486795187</v>
      </c>
      <c r="M61" s="171">
        <f>SUMIF('CF(M)'!$L$11:$EQ$11,M$6,'CF(M)'!$L66:$EQ66)</f>
        <v>0</v>
      </c>
      <c r="N61" s="171">
        <f>SUMIF('CF(M)'!$L$11:$EQ$11,N$6,'CF(M)'!$L66:$EQ66)</f>
        <v>0</v>
      </c>
      <c r="O61" s="171">
        <f>SUMIF('CF(M)'!$L$11:$EQ$11,O$6,'CF(M)'!$L66:$EQ66)</f>
        <v>0</v>
      </c>
      <c r="P61" s="171">
        <f>SUMIF('CF(M)'!$L$11:$EQ$11,P$6,'CF(M)'!$L66:$EQ66)</f>
        <v>0</v>
      </c>
      <c r="Q61" s="171">
        <f>SUMIF('CF(M)'!$L$11:$EQ$11,Q$6,'CF(M)'!$L66:$EQ66)</f>
        <v>0</v>
      </c>
      <c r="R61" s="171">
        <f>SUMIF('CF(M)'!$L$11:$EQ$11,R$6,'CF(M)'!$L66:$EQ66)</f>
        <v>0</v>
      </c>
      <c r="S61" s="171">
        <f>SUMIF('CF(M)'!$L$11:$EQ$11,S$6,'CF(M)'!$L66:$EQ66)</f>
        <v>0</v>
      </c>
      <c r="T61" s="171">
        <f>SUMIF('CF(M)'!$L$11:$EQ$11,T$6,'CF(M)'!$L66:$EQ66)</f>
        <v>0</v>
      </c>
      <c r="U61" s="171">
        <f>SUMIF('CF(M)'!$L$11:$EQ$11,U$6,'CF(M)'!$L66:$EQ66)</f>
        <v>0</v>
      </c>
      <c r="V61" s="171">
        <f>SUMIF('CF(M)'!$L$11:$EQ$11,V$6,'CF(M)'!$L66:$EQ66)</f>
        <v>0</v>
      </c>
      <c r="W61" s="171">
        <f>SUMIF('CF(M)'!$L$11:$EQ$11,W$6,'CF(M)'!$L66:$EQ66)</f>
        <v>0</v>
      </c>
      <c r="X61" s="171">
        <f>SUMIF('CF(M)'!$L$11:$EQ$11,X$6,'CF(M)'!$L66:$EQ66)</f>
        <v>0</v>
      </c>
      <c r="Y61" s="171">
        <f>SUMIF('CF(M)'!$L$11:$EQ$11,Y$6,'CF(M)'!$L66:$EQ66)</f>
        <v>0</v>
      </c>
      <c r="Z61" s="171">
        <f>SUMIF('CF(M)'!$L$11:$EQ$11,Z$6,'CF(M)'!$L66:$EQ66)</f>
        <v>0</v>
      </c>
      <c r="AA61" s="171">
        <f>SUMIF('CF(M)'!$L$11:$EQ$11,AA$6,'CF(M)'!$L66:$EQ66)</f>
        <v>0</v>
      </c>
      <c r="AB61" s="171">
        <f>SUMIF('CF(M)'!$L$11:$EQ$11,AB$6,'CF(M)'!$L66:$EQ66)</f>
        <v>0</v>
      </c>
      <c r="AC61" s="171">
        <f>SUMIF('CF(M)'!$L$11:$EQ$11,AC$6,'CF(M)'!$L66:$EQ66)</f>
        <v>0</v>
      </c>
      <c r="AD61" s="171">
        <f>SUMIF('CF(M)'!$L$11:$EQ$11,AD$6,'CF(M)'!$L66:$EQ66)</f>
        <v>0</v>
      </c>
      <c r="AE61" s="171">
        <f>SUMIF('CF(M)'!$L$11:$EQ$11,AE$6,'CF(M)'!$L66:$EQ66)</f>
        <v>0</v>
      </c>
      <c r="AF61" s="171">
        <f>SUMIF('CF(M)'!$L$11:$EQ$11,AF$6,'CF(M)'!$L66:$EQ66)</f>
        <v>0</v>
      </c>
      <c r="AG61" s="171">
        <f>SUMIF('CF(M)'!$L$11:$EQ$11,AG$6,'CF(M)'!$L66:$EQ66)</f>
        <v>0</v>
      </c>
      <c r="AH61" s="171">
        <f>SUMIF('CF(M)'!$L$11:$EQ$11,AH$6,'CF(M)'!$L66:$EQ66)</f>
        <v>0</v>
      </c>
      <c r="AI61" s="171">
        <f>SUMIF('CF(M)'!$L$11:$EQ$11,AI$6,'CF(M)'!$L66:$EQ66)</f>
        <v>0</v>
      </c>
      <c r="AJ61" s="171">
        <f>SUMIF('CF(M)'!$L$11:$EQ$11,AJ$6,'CF(M)'!$L66:$EQ66)</f>
        <v>0</v>
      </c>
      <c r="AK61" s="171">
        <f>SUMIF('CF(M)'!$L$11:$EQ$11,AK$6,'CF(M)'!$L66:$EQ66)</f>
        <v>0</v>
      </c>
      <c r="AL61" s="171">
        <f>SUMIF('CF(M)'!$L$11:$EQ$11,AL$6,'CF(M)'!$L66:$EQ66)</f>
        <v>0</v>
      </c>
      <c r="AM61" s="171">
        <f>SUMIF('CF(M)'!$L$11:$EQ$11,AM$6,'CF(M)'!$L66:$EQ66)</f>
        <v>0</v>
      </c>
      <c r="AN61" s="171">
        <f>SUMIF('CF(M)'!$L$11:$EQ$11,AN$6,'CF(M)'!$L66:$EQ66)</f>
        <v>0</v>
      </c>
      <c r="AO61" s="171">
        <f>SUMIF('CF(M)'!$L$11:$EQ$11,AO$6,'CF(M)'!$L66:$EQ66)</f>
        <v>0</v>
      </c>
      <c r="AP61" s="171">
        <f>SUMIF('CF(M)'!$L$11:$EQ$11,AP$6,'CF(M)'!$L66:$EQ66)</f>
        <v>0</v>
      </c>
      <c r="AQ61" s="171">
        <f>SUMIF('CF(M)'!$L$11:$EQ$11,AQ$6,'CF(M)'!$L66:$EQ66)</f>
        <v>0</v>
      </c>
      <c r="AR61" s="171">
        <f>SUMIF('CF(M)'!$L$11:$EQ$11,AR$6,'CF(M)'!$L66:$EQ66)</f>
        <v>0</v>
      </c>
      <c r="AS61" s="171">
        <f>SUMIF('CF(M)'!$L$11:$EQ$11,AS$6,'CF(M)'!$L66:$EQ66)</f>
        <v>0</v>
      </c>
      <c r="AT61" s="171">
        <f>SUMIF('CF(M)'!$L$11:$EQ$11,AT$6,'CF(M)'!$L66:$EQ66)</f>
        <v>0</v>
      </c>
      <c r="AU61" s="171">
        <f>SUMIF('CF(M)'!$L$11:$EQ$11,AU$6,'CF(M)'!$L66:$EQ66)</f>
        <v>0</v>
      </c>
      <c r="AV61" s="171">
        <f>SUMIF('CF(M)'!$L$11:$EQ$11,AV$6,'CF(M)'!$L66:$EQ66)</f>
        <v>0</v>
      </c>
      <c r="AW61" s="171">
        <f>SUMIF('CF(M)'!$L$11:$EQ$11,AW$6,'CF(M)'!$L66:$EQ66)</f>
        <v>0</v>
      </c>
      <c r="AX61" s="171">
        <f>SUMIF('CF(M)'!$L$11:$EQ$11,AX$6,'CF(M)'!$L66:$EQ66)</f>
        <v>0</v>
      </c>
      <c r="AY61" s="171">
        <f>SUMIF('CF(M)'!$L$11:$EQ$11,AY$6,'CF(M)'!$L66:$EQ66)</f>
        <v>0</v>
      </c>
      <c r="AZ61" s="171">
        <f>SUMIF('CF(M)'!$L$11:$EQ$11,AZ$6,'CF(M)'!$L66:$EQ66)</f>
        <v>0</v>
      </c>
      <c r="BA61" s="171">
        <f>SUMIF('CF(M)'!$L$11:$EQ$11,BA$6,'CF(M)'!$L66:$EQ66)</f>
        <v>0</v>
      </c>
      <c r="BB61" s="171">
        <f>SUMIF('CF(M)'!$L$11:$EQ$11,BB$6,'CF(M)'!$L66:$EQ66)</f>
        <v>0</v>
      </c>
      <c r="BC61" s="171">
        <f>SUMIF('CF(M)'!$L$11:$EQ$11,BC$6,'CF(M)'!$L66:$EQ66)</f>
        <v>0</v>
      </c>
      <c r="BD61" s="171">
        <f>SUMIF('CF(M)'!$L$11:$EQ$11,BD$6,'CF(M)'!$L66:$EQ66)</f>
        <v>0</v>
      </c>
      <c r="BE61" s="171">
        <f>SUMIF('CF(M)'!$L$11:$EQ$11,BE$6,'CF(M)'!$L66:$EQ66)</f>
        <v>0</v>
      </c>
      <c r="BF61" s="171">
        <f>SUMIF('CF(M)'!$L$11:$EQ$11,BF$6,'CF(M)'!$L66:$EQ66)</f>
        <v>0</v>
      </c>
      <c r="BG61" s="171">
        <f>SUMIF('CF(M)'!$L$11:$EQ$11,BG$6,'CF(M)'!$L66:$EQ66)</f>
        <v>0</v>
      </c>
      <c r="BH61" s="171">
        <f>SUMIF('CF(M)'!$L$11:$EQ$11,BH$6,'CF(M)'!$L66:$EQ66)</f>
        <v>0</v>
      </c>
      <c r="BI61" s="171">
        <f>SUMIF('CF(M)'!$L$11:$EQ$11,BI$6,'CF(M)'!$L66:$EQ66)</f>
        <v>0</v>
      </c>
      <c r="BJ61" s="171">
        <f>SUMIF('CF(M)'!$L$11:$EQ$11,BJ$6,'CF(M)'!$L66:$EQ66)</f>
        <v>0</v>
      </c>
      <c r="BK61" s="171">
        <f>SUMIF('CF(M)'!$L$11:$EQ$11,BK$6,'CF(M)'!$L66:$EQ66)</f>
        <v>0</v>
      </c>
      <c r="BL61" s="171">
        <f>SUMIF('CF(M)'!$L$11:$EQ$11,BL$6,'CF(M)'!$L66:$EQ66)</f>
        <v>0</v>
      </c>
      <c r="BM61" s="171">
        <f>SUMIF('CF(M)'!$L$11:$EQ$11,BM$6,'CF(M)'!$L66:$EQ66)</f>
        <v>0</v>
      </c>
      <c r="BN61" s="171">
        <f>SUMIF('CF(M)'!$L$11:$EQ$11,BN$6,'CF(M)'!$L66:$EQ66)</f>
        <v>0</v>
      </c>
      <c r="BO61" s="171">
        <f>SUMIF('CF(M)'!$L$11:$EQ$11,BO$6,'CF(M)'!$L66:$EQ66)</f>
        <v>0</v>
      </c>
      <c r="BP61" s="171">
        <f>SUMIF('CF(M)'!$L$11:$EQ$11,BP$6,'CF(M)'!$L66:$EQ66)</f>
        <v>0</v>
      </c>
      <c r="BQ61" s="171">
        <f>SUMIF('CF(M)'!$L$11:$EQ$11,BQ$6,'CF(M)'!$L66:$EQ66)</f>
        <v>0</v>
      </c>
      <c r="BR61" s="171">
        <f>SUMIF('CF(M)'!$L$11:$EQ$11,BR$6,'CF(M)'!$L66:$EQ66)</f>
        <v>0</v>
      </c>
      <c r="BS61" s="171">
        <f>SUMIF('CF(M)'!$L$11:$EQ$11,BS$6,'CF(M)'!$L66:$EQ66)</f>
        <v>0</v>
      </c>
      <c r="BT61" s="171">
        <f>SUMIF('CF(M)'!$L$11:$EQ$11,BT$6,'CF(M)'!$L66:$EQ66)</f>
        <v>0</v>
      </c>
      <c r="BU61" s="171">
        <f>SUMIF('CF(M)'!$L$11:$EQ$11,BU$6,'CF(M)'!$L66:$EQ66)</f>
        <v>0</v>
      </c>
      <c r="BV61" s="171">
        <f>SUMIF('CF(M)'!$L$11:$EQ$11,BV$6,'CF(M)'!$L66:$EQ66)</f>
        <v>0</v>
      </c>
      <c r="BW61" s="171">
        <f>SUMIF('CF(M)'!$L$11:$EQ$11,BW$6,'CF(M)'!$L66:$EQ66)</f>
        <v>0</v>
      </c>
      <c r="BX61" s="171">
        <f>SUMIF('CF(M)'!$L$11:$EQ$11,BX$6,'CF(M)'!$L66:$EQ66)</f>
        <v>0</v>
      </c>
      <c r="BY61" s="171">
        <f>SUMIF('CF(M)'!$L$11:$EQ$11,BY$6,'CF(M)'!$L66:$EQ66)</f>
        <v>0</v>
      </c>
      <c r="BZ61" s="171">
        <f>SUMIF('CF(M)'!$L$11:$EQ$11,BZ$6,'CF(M)'!$L66:$EQ66)</f>
        <v>0</v>
      </c>
      <c r="CA61" s="171">
        <f>SUMIF('CF(M)'!$L$11:$EQ$11,CA$6,'CF(M)'!$L66:$EQ66)</f>
        <v>0</v>
      </c>
      <c r="CB61" s="171">
        <f>SUMIF('CF(M)'!$L$11:$EQ$11,CB$6,'CF(M)'!$L66:$EQ66)</f>
        <v>0</v>
      </c>
      <c r="CC61" s="171">
        <f>SUMIF('CF(M)'!$L$11:$EQ$11,CC$6,'CF(M)'!$L66:$EQ66)</f>
        <v>0</v>
      </c>
      <c r="CD61" s="171">
        <f>SUMIF('CF(M)'!$L$11:$EQ$11,CD$6,'CF(M)'!$L66:$EQ66)</f>
        <v>0</v>
      </c>
      <c r="CE61" s="171">
        <f>SUMIF('CF(M)'!$L$11:$EQ$11,CE$6,'CF(M)'!$L66:$EQ66)</f>
        <v>0</v>
      </c>
      <c r="CF61" s="171">
        <f>SUMIF('CF(M)'!$L$11:$EQ$11,CF$6,'CF(M)'!$L66:$EQ66)</f>
        <v>0</v>
      </c>
      <c r="CG61" s="171">
        <f>SUMIF('CF(M)'!$L$11:$EQ$11,CG$6,'CF(M)'!$L66:$EQ66)</f>
        <v>0</v>
      </c>
      <c r="CH61" s="171">
        <f>SUMIF('CF(M)'!$L$11:$EQ$11,CH$6,'CF(M)'!$L66:$EQ66)</f>
        <v>0</v>
      </c>
      <c r="CI61" s="171">
        <f>SUMIF('CF(M)'!$L$11:$EQ$11,CI$6,'CF(M)'!$L66:$EQ66)</f>
        <v>0</v>
      </c>
      <c r="CJ61" s="171">
        <f>SUMIF('CF(M)'!$L$11:$EQ$11,CJ$6,'CF(M)'!$L66:$EQ66)</f>
        <v>0</v>
      </c>
      <c r="CK61" s="171">
        <f>SUMIF('CF(M)'!$L$11:$EQ$11,CK$6,'CF(M)'!$L66:$EQ66)</f>
        <v>0</v>
      </c>
      <c r="CL61" s="171">
        <f>SUMIF('CF(M)'!$L$11:$EQ$11,CL$6,'CF(M)'!$L66:$EQ66)</f>
        <v>0</v>
      </c>
      <c r="CM61" s="171">
        <f>SUMIF('CF(M)'!$L$11:$EQ$11,CM$6,'CF(M)'!$L66:$EQ66)</f>
        <v>0</v>
      </c>
      <c r="CN61" s="171">
        <f>SUMIF('CF(M)'!$L$11:$EQ$11,CN$6,'CF(M)'!$L66:$EQ66)</f>
        <v>0</v>
      </c>
      <c r="CO61" s="171">
        <f>SUMIF('CF(M)'!$L$11:$EQ$11,CO$6,'CF(M)'!$L66:$EQ66)</f>
        <v>0</v>
      </c>
      <c r="CP61" s="171">
        <f>SUMIF('CF(M)'!$L$11:$EQ$11,CP$6,'CF(M)'!$L66:$EQ66)</f>
        <v>0</v>
      </c>
      <c r="CQ61" s="171">
        <f>SUMIF('CF(M)'!$L$11:$EQ$11,CQ$6,'CF(M)'!$L66:$EQ66)</f>
        <v>0</v>
      </c>
      <c r="CR61" s="171">
        <f>SUMIF('CF(M)'!$L$11:$EQ$11,CR$6,'CF(M)'!$L66:$EQ66)</f>
        <v>0</v>
      </c>
      <c r="CS61" s="171">
        <f>SUMIF('CF(M)'!$L$11:$EQ$11,CS$6,'CF(M)'!$L66:$EQ66)</f>
        <v>0</v>
      </c>
      <c r="CT61" s="171">
        <f>SUMIF('CF(M)'!$L$11:$EQ$11,CT$6,'CF(M)'!$L66:$EQ66)</f>
        <v>0</v>
      </c>
      <c r="CU61" s="171">
        <f>SUMIF('CF(M)'!$L$11:$EQ$11,CU$6,'CF(M)'!$L66:$EQ66)</f>
        <v>0</v>
      </c>
      <c r="CV61" s="171">
        <f>SUMIF('CF(M)'!$L$11:$EQ$11,CV$6,'CF(M)'!$L66:$EQ66)</f>
        <v>0</v>
      </c>
      <c r="CW61" s="171">
        <f>SUMIF('CF(M)'!$L$11:$EQ$11,CW$6,'CF(M)'!$L66:$EQ66)</f>
        <v>0</v>
      </c>
      <c r="CX61" s="171">
        <f>SUMIF('CF(M)'!$L$11:$EQ$11,CX$6,'CF(M)'!$L66:$EQ66)</f>
        <v>0</v>
      </c>
      <c r="CY61" s="171">
        <f>SUMIF('CF(M)'!$L$11:$EQ$11,CY$6,'CF(M)'!$L66:$EQ66)</f>
        <v>0</v>
      </c>
      <c r="CZ61" s="171">
        <f>SUMIF('CF(M)'!$L$11:$EQ$11,CZ$6,'CF(M)'!$L66:$EQ66)</f>
        <v>0</v>
      </c>
      <c r="DA61" s="171">
        <f>SUMIF('CF(M)'!$L$11:$EQ$11,DA$6,'CF(M)'!$L66:$EQ66)</f>
        <v>0</v>
      </c>
      <c r="DB61" s="171">
        <f>SUMIF('CF(M)'!$L$11:$EQ$11,DB$6,'CF(M)'!$L66:$EQ66)</f>
        <v>0</v>
      </c>
      <c r="DC61" s="171">
        <f>SUMIF('CF(M)'!$L$11:$EQ$11,DC$6,'CF(M)'!$L66:$EQ66)</f>
        <v>0</v>
      </c>
      <c r="DD61" s="171">
        <f>SUMIF('CF(M)'!$L$11:$EQ$11,DD$6,'CF(M)'!$L66:$EQ66)</f>
        <v>0</v>
      </c>
      <c r="DE61" s="171">
        <f>SUMIF('CF(M)'!$L$11:$EQ$11,DE$6,'CF(M)'!$L66:$EQ66)</f>
        <v>0</v>
      </c>
      <c r="DF61" s="171">
        <f>SUMIF('CF(M)'!$L$11:$EQ$11,DF$6,'CF(M)'!$L66:$EQ66)</f>
        <v>0</v>
      </c>
      <c r="DG61" s="171">
        <f>SUMIF('CF(M)'!$L$11:$EQ$11,DG$6,'CF(M)'!$L66:$EQ66)</f>
        <v>0</v>
      </c>
      <c r="DH61" s="171">
        <f>SUMIF('CF(M)'!$L$11:$EQ$11,DH$6,'CF(M)'!$L66:$EQ66)</f>
        <v>0</v>
      </c>
      <c r="DI61" s="171">
        <f>SUMIF('CF(M)'!$L$11:$EQ$11,DI$6,'CF(M)'!$L66:$EQ66)</f>
        <v>0</v>
      </c>
      <c r="DJ61" s="171">
        <f>SUMIF('CF(M)'!$L$11:$EQ$11,DJ$6,'CF(M)'!$L66:$EQ66)</f>
        <v>0</v>
      </c>
      <c r="DK61" s="171">
        <f>SUMIF('CF(M)'!$L$11:$EQ$11,DK$6,'CF(M)'!$L66:$EQ66)</f>
        <v>0</v>
      </c>
      <c r="DL61" s="171">
        <f>SUMIF('CF(M)'!$L$11:$EQ$11,DL$6,'CF(M)'!$L66:$EQ66)</f>
        <v>0</v>
      </c>
      <c r="DM61" s="171">
        <f>SUMIF('CF(M)'!$L$11:$EQ$11,DM$6,'CF(M)'!$L66:$EQ66)</f>
        <v>0</v>
      </c>
      <c r="DN61" s="171">
        <f>SUMIF('CF(M)'!$L$11:$EQ$11,DN$6,'CF(M)'!$L66:$EQ66)</f>
        <v>0</v>
      </c>
      <c r="DO61" s="171">
        <f>SUMIF('CF(M)'!$L$11:$EQ$11,DO$6,'CF(M)'!$L66:$EQ66)</f>
        <v>0</v>
      </c>
      <c r="DP61" s="171">
        <f>SUMIF('CF(M)'!$L$11:$EQ$11,DP$6,'CF(M)'!$L66:$EQ66)</f>
        <v>0</v>
      </c>
      <c r="DQ61" s="171">
        <f>SUMIF('CF(M)'!$L$11:$EQ$11,DQ$6,'CF(M)'!$L66:$EQ66)</f>
        <v>0</v>
      </c>
      <c r="DR61" s="171">
        <f>SUMIF('CF(M)'!$L$11:$EQ$11,DR$6,'CF(M)'!$L66:$EQ66)</f>
        <v>0</v>
      </c>
      <c r="DS61" s="171">
        <f>SUMIF('CF(M)'!$L$11:$EQ$11,DS$6,'CF(M)'!$L66:$EQ66)</f>
        <v>0</v>
      </c>
      <c r="DT61" s="171">
        <f>SUMIF('CF(M)'!$L$11:$EQ$11,DT$6,'CF(M)'!$L66:$EQ66)</f>
        <v>0</v>
      </c>
      <c r="DU61" s="171">
        <f>SUMIF('CF(M)'!$L$11:$EQ$11,DU$6,'CF(M)'!$L66:$EQ66)</f>
        <v>0</v>
      </c>
      <c r="DV61" s="171">
        <f>SUMIF('CF(M)'!$L$11:$EQ$11,DV$6,'CF(M)'!$L66:$EQ66)</f>
        <v>0</v>
      </c>
    </row>
    <row r="62" spans="2:126" ht="11.25" customHeight="1">
      <c r="B62" s="223" t="s">
        <v>204</v>
      </c>
      <c r="C62" s="224"/>
      <c r="D62" s="224"/>
      <c r="E62" s="224"/>
      <c r="F62" s="224"/>
      <c r="G62" s="224"/>
      <c r="H62" s="225"/>
      <c r="I62" s="226"/>
      <c r="J62" s="227">
        <f ca="1">SUM(J63,J66,J87,J105,J90,J84,J75,J69,J72,J78,J81,J110,J95,J100)</f>
        <v>-114248066.68783468</v>
      </c>
      <c r="L62" s="216">
        <f ca="1">SUM(L63,L66,L87,L105,L90,L84,L75,L69,L72,L78,L81,L110,L95,L100)</f>
        <v>311756669.63053203</v>
      </c>
      <c r="M62" s="216">
        <f t="shared" ref="M62:BX62" ca="1" si="28">SUM(M63,M66,M87,M105,M90,M84,M75,M69,M72,M78,M81,M110,M95,M100)</f>
        <v>-19396669.630531996</v>
      </c>
      <c r="N62" s="216">
        <f t="shared" ca="1" si="28"/>
        <v>-430000</v>
      </c>
      <c r="O62" s="216">
        <f t="shared" ca="1" si="28"/>
        <v>-5430000</v>
      </c>
      <c r="P62" s="216">
        <f t="shared" ca="1" si="28"/>
        <v>-4955764.0118692797</v>
      </c>
      <c r="Q62" s="216">
        <f t="shared" ca="1" si="28"/>
        <v>-4668019.9322713865</v>
      </c>
      <c r="R62" s="216">
        <f t="shared" ca="1" si="28"/>
        <v>-5744145.0865494525</v>
      </c>
      <c r="S62" s="216">
        <f t="shared" ca="1" si="28"/>
        <v>-6191487.8356066123</v>
      </c>
      <c r="T62" s="216">
        <f t="shared" ca="1" si="28"/>
        <v>-5590583.1337032691</v>
      </c>
      <c r="U62" s="216">
        <f t="shared" ca="1" si="28"/>
        <v>-5430000</v>
      </c>
      <c r="V62" s="216">
        <f t="shared" ca="1" si="28"/>
        <v>-368168066.68783468</v>
      </c>
      <c r="W62" s="216">
        <f t="shared" ca="1" si="28"/>
        <v>0</v>
      </c>
      <c r="X62" s="216">
        <f t="shared" ca="1" si="28"/>
        <v>0</v>
      </c>
      <c r="Y62" s="216">
        <f t="shared" si="28"/>
        <v>0</v>
      </c>
      <c r="Z62" s="216">
        <f t="shared" si="28"/>
        <v>0</v>
      </c>
      <c r="AA62" s="216">
        <f t="shared" si="28"/>
        <v>0</v>
      </c>
      <c r="AB62" s="216">
        <f t="shared" si="28"/>
        <v>0</v>
      </c>
      <c r="AC62" s="216">
        <f t="shared" si="28"/>
        <v>0</v>
      </c>
      <c r="AD62" s="216">
        <f t="shared" si="28"/>
        <v>0</v>
      </c>
      <c r="AE62" s="216">
        <f t="shared" si="28"/>
        <v>0</v>
      </c>
      <c r="AF62" s="216">
        <f t="shared" si="28"/>
        <v>0</v>
      </c>
      <c r="AG62" s="216">
        <f t="shared" si="28"/>
        <v>0</v>
      </c>
      <c r="AH62" s="216">
        <f t="shared" si="28"/>
        <v>0</v>
      </c>
      <c r="AI62" s="216">
        <f t="shared" si="28"/>
        <v>0</v>
      </c>
      <c r="AJ62" s="216">
        <f t="shared" si="28"/>
        <v>0</v>
      </c>
      <c r="AK62" s="216">
        <f t="shared" si="28"/>
        <v>0</v>
      </c>
      <c r="AL62" s="216">
        <f t="shared" si="28"/>
        <v>0</v>
      </c>
      <c r="AM62" s="216">
        <f t="shared" si="28"/>
        <v>0</v>
      </c>
      <c r="AN62" s="216">
        <f t="shared" si="28"/>
        <v>0</v>
      </c>
      <c r="AO62" s="216">
        <f t="shared" si="28"/>
        <v>0</v>
      </c>
      <c r="AP62" s="216">
        <f t="shared" si="28"/>
        <v>0</v>
      </c>
      <c r="AQ62" s="216">
        <f t="shared" si="28"/>
        <v>0</v>
      </c>
      <c r="AR62" s="216">
        <f t="shared" si="28"/>
        <v>0</v>
      </c>
      <c r="AS62" s="216">
        <f t="shared" si="28"/>
        <v>0</v>
      </c>
      <c r="AT62" s="216">
        <f t="shared" si="28"/>
        <v>0</v>
      </c>
      <c r="AU62" s="216">
        <f t="shared" si="28"/>
        <v>0</v>
      </c>
      <c r="AV62" s="216">
        <f t="shared" si="28"/>
        <v>0</v>
      </c>
      <c r="AW62" s="216">
        <f t="shared" si="28"/>
        <v>0</v>
      </c>
      <c r="AX62" s="216">
        <f t="shared" si="28"/>
        <v>0</v>
      </c>
      <c r="AY62" s="216">
        <f t="shared" si="28"/>
        <v>0</v>
      </c>
      <c r="AZ62" s="216">
        <f t="shared" si="28"/>
        <v>0</v>
      </c>
      <c r="BA62" s="216">
        <f t="shared" si="28"/>
        <v>0</v>
      </c>
      <c r="BB62" s="216">
        <f t="shared" si="28"/>
        <v>0</v>
      </c>
      <c r="BC62" s="216">
        <f t="shared" si="28"/>
        <v>0</v>
      </c>
      <c r="BD62" s="216">
        <f t="shared" si="28"/>
        <v>0</v>
      </c>
      <c r="BE62" s="216">
        <f t="shared" si="28"/>
        <v>0</v>
      </c>
      <c r="BF62" s="216">
        <f t="shared" si="28"/>
        <v>0</v>
      </c>
      <c r="BG62" s="216">
        <f t="shared" si="28"/>
        <v>0</v>
      </c>
      <c r="BH62" s="216">
        <f t="shared" si="28"/>
        <v>0</v>
      </c>
      <c r="BI62" s="216">
        <f t="shared" si="28"/>
        <v>0</v>
      </c>
      <c r="BJ62" s="216">
        <f t="shared" si="28"/>
        <v>0</v>
      </c>
      <c r="BK62" s="216">
        <f t="shared" si="28"/>
        <v>0</v>
      </c>
      <c r="BL62" s="216">
        <f t="shared" si="28"/>
        <v>0</v>
      </c>
      <c r="BM62" s="216">
        <f t="shared" si="28"/>
        <v>0</v>
      </c>
      <c r="BN62" s="216">
        <f t="shared" si="28"/>
        <v>0</v>
      </c>
      <c r="BO62" s="216">
        <f t="shared" si="28"/>
        <v>0</v>
      </c>
      <c r="BP62" s="216">
        <f t="shared" si="28"/>
        <v>0</v>
      </c>
      <c r="BQ62" s="216">
        <f t="shared" si="28"/>
        <v>0</v>
      </c>
      <c r="BR62" s="216">
        <f t="shared" si="28"/>
        <v>0</v>
      </c>
      <c r="BS62" s="216">
        <f t="shared" si="28"/>
        <v>0</v>
      </c>
      <c r="BT62" s="216">
        <f t="shared" si="28"/>
        <v>0</v>
      </c>
      <c r="BU62" s="216">
        <f t="shared" si="28"/>
        <v>0</v>
      </c>
      <c r="BV62" s="216">
        <f t="shared" si="28"/>
        <v>0</v>
      </c>
      <c r="BW62" s="216">
        <f t="shared" si="28"/>
        <v>0</v>
      </c>
      <c r="BX62" s="216">
        <f t="shared" si="28"/>
        <v>0</v>
      </c>
      <c r="BY62" s="216">
        <f t="shared" ref="BY62:DV62" si="29">SUM(BY63,BY66,BY87,BY105,BY90,BY84,BY75,BY69,BY72,BY78,BY81,BY110,BY95,BY100)</f>
        <v>0</v>
      </c>
      <c r="BZ62" s="216">
        <f t="shared" si="29"/>
        <v>0</v>
      </c>
      <c r="CA62" s="216">
        <f t="shared" si="29"/>
        <v>0</v>
      </c>
      <c r="CB62" s="216">
        <f t="shared" si="29"/>
        <v>0</v>
      </c>
      <c r="CC62" s="216">
        <f t="shared" si="29"/>
        <v>0</v>
      </c>
      <c r="CD62" s="216">
        <f t="shared" si="29"/>
        <v>0</v>
      </c>
      <c r="CE62" s="216">
        <f t="shared" si="29"/>
        <v>0</v>
      </c>
      <c r="CF62" s="216">
        <f t="shared" si="29"/>
        <v>0</v>
      </c>
      <c r="CG62" s="216">
        <f t="shared" si="29"/>
        <v>0</v>
      </c>
      <c r="CH62" s="216">
        <f t="shared" si="29"/>
        <v>0</v>
      </c>
      <c r="CI62" s="216">
        <f t="shared" si="29"/>
        <v>0</v>
      </c>
      <c r="CJ62" s="216">
        <f t="shared" si="29"/>
        <v>0</v>
      </c>
      <c r="CK62" s="216">
        <f t="shared" si="29"/>
        <v>0</v>
      </c>
      <c r="CL62" s="216">
        <f t="shared" si="29"/>
        <v>0</v>
      </c>
      <c r="CM62" s="216">
        <f t="shared" si="29"/>
        <v>0</v>
      </c>
      <c r="CN62" s="216">
        <f t="shared" si="29"/>
        <v>0</v>
      </c>
      <c r="CO62" s="216">
        <f t="shared" si="29"/>
        <v>0</v>
      </c>
      <c r="CP62" s="216">
        <f t="shared" si="29"/>
        <v>0</v>
      </c>
      <c r="CQ62" s="216">
        <f t="shared" si="29"/>
        <v>0</v>
      </c>
      <c r="CR62" s="216">
        <f t="shared" si="29"/>
        <v>0</v>
      </c>
      <c r="CS62" s="216">
        <f t="shared" si="29"/>
        <v>0</v>
      </c>
      <c r="CT62" s="216">
        <f t="shared" si="29"/>
        <v>0</v>
      </c>
      <c r="CU62" s="216">
        <f t="shared" si="29"/>
        <v>0</v>
      </c>
      <c r="CV62" s="216">
        <f t="shared" si="29"/>
        <v>0</v>
      </c>
      <c r="CW62" s="216">
        <f t="shared" si="29"/>
        <v>0</v>
      </c>
      <c r="CX62" s="216">
        <f t="shared" si="29"/>
        <v>0</v>
      </c>
      <c r="CY62" s="216">
        <f t="shared" si="29"/>
        <v>0</v>
      </c>
      <c r="CZ62" s="216">
        <f t="shared" si="29"/>
        <v>0</v>
      </c>
      <c r="DA62" s="216">
        <f t="shared" si="29"/>
        <v>0</v>
      </c>
      <c r="DB62" s="216">
        <f t="shared" si="29"/>
        <v>0</v>
      </c>
      <c r="DC62" s="216">
        <f t="shared" si="29"/>
        <v>0</v>
      </c>
      <c r="DD62" s="216">
        <f t="shared" si="29"/>
        <v>0</v>
      </c>
      <c r="DE62" s="216">
        <f t="shared" si="29"/>
        <v>0</v>
      </c>
      <c r="DF62" s="216">
        <f t="shared" si="29"/>
        <v>0</v>
      </c>
      <c r="DG62" s="216">
        <f t="shared" si="29"/>
        <v>0</v>
      </c>
      <c r="DH62" s="216">
        <f t="shared" si="29"/>
        <v>0</v>
      </c>
      <c r="DI62" s="216">
        <f t="shared" si="29"/>
        <v>0</v>
      </c>
      <c r="DJ62" s="216">
        <f t="shared" si="29"/>
        <v>0</v>
      </c>
      <c r="DK62" s="216">
        <f t="shared" si="29"/>
        <v>0</v>
      </c>
      <c r="DL62" s="216">
        <f t="shared" si="29"/>
        <v>0</v>
      </c>
      <c r="DM62" s="216">
        <f t="shared" si="29"/>
        <v>0</v>
      </c>
      <c r="DN62" s="216">
        <f t="shared" si="29"/>
        <v>0</v>
      </c>
      <c r="DO62" s="216">
        <f t="shared" si="29"/>
        <v>0</v>
      </c>
      <c r="DP62" s="216">
        <f t="shared" si="29"/>
        <v>0</v>
      </c>
      <c r="DQ62" s="216">
        <f t="shared" si="29"/>
        <v>0</v>
      </c>
      <c r="DR62" s="216">
        <f t="shared" si="29"/>
        <v>0</v>
      </c>
      <c r="DS62" s="216">
        <f t="shared" si="29"/>
        <v>0</v>
      </c>
      <c r="DT62" s="216">
        <f t="shared" si="29"/>
        <v>0</v>
      </c>
      <c r="DU62" s="216">
        <f t="shared" si="29"/>
        <v>0</v>
      </c>
      <c r="DV62" s="216">
        <f t="shared" si="29"/>
        <v>0</v>
      </c>
    </row>
    <row r="63" spans="2:126" ht="11.25" customHeight="1">
      <c r="B63" s="218"/>
      <c r="C63" s="158" t="s">
        <v>205</v>
      </c>
      <c r="D63" s="159"/>
      <c r="E63" s="159"/>
      <c r="F63" s="159"/>
      <c r="G63" s="159"/>
      <c r="H63" s="160"/>
      <c r="I63" s="219"/>
      <c r="J63" s="220">
        <f>SUM(J64:J65)</f>
        <v>0</v>
      </c>
      <c r="K63" s="98"/>
      <c r="L63" s="162">
        <f>SUM(L64:L65)</f>
        <v>2100000</v>
      </c>
      <c r="M63" s="162">
        <f t="shared" ref="M63:BX63" si="30">SUM(M64:M65)</f>
        <v>0</v>
      </c>
      <c r="N63" s="162">
        <f t="shared" si="30"/>
        <v>0</v>
      </c>
      <c r="O63" s="162">
        <f t="shared" si="30"/>
        <v>0</v>
      </c>
      <c r="P63" s="162">
        <f t="shared" si="30"/>
        <v>0</v>
      </c>
      <c r="Q63" s="162">
        <f t="shared" si="30"/>
        <v>0</v>
      </c>
      <c r="R63" s="162">
        <f t="shared" si="30"/>
        <v>0</v>
      </c>
      <c r="S63" s="162">
        <f t="shared" si="30"/>
        <v>0</v>
      </c>
      <c r="T63" s="162">
        <f t="shared" si="30"/>
        <v>0</v>
      </c>
      <c r="U63" s="162">
        <f t="shared" si="30"/>
        <v>0</v>
      </c>
      <c r="V63" s="162">
        <f t="shared" si="30"/>
        <v>-2100000</v>
      </c>
      <c r="W63" s="162">
        <f t="shared" si="30"/>
        <v>0</v>
      </c>
      <c r="X63" s="162">
        <f t="shared" si="30"/>
        <v>0</v>
      </c>
      <c r="Y63" s="162">
        <f t="shared" si="30"/>
        <v>0</v>
      </c>
      <c r="Z63" s="162">
        <f t="shared" si="30"/>
        <v>0</v>
      </c>
      <c r="AA63" s="162">
        <f t="shared" si="30"/>
        <v>0</v>
      </c>
      <c r="AB63" s="162">
        <f t="shared" si="30"/>
        <v>0</v>
      </c>
      <c r="AC63" s="162">
        <f t="shared" si="30"/>
        <v>0</v>
      </c>
      <c r="AD63" s="162">
        <f t="shared" si="30"/>
        <v>0</v>
      </c>
      <c r="AE63" s="162">
        <f t="shared" si="30"/>
        <v>0</v>
      </c>
      <c r="AF63" s="162">
        <f t="shared" si="30"/>
        <v>0</v>
      </c>
      <c r="AG63" s="162">
        <f t="shared" si="30"/>
        <v>0</v>
      </c>
      <c r="AH63" s="162">
        <f t="shared" si="30"/>
        <v>0</v>
      </c>
      <c r="AI63" s="162">
        <f t="shared" si="30"/>
        <v>0</v>
      </c>
      <c r="AJ63" s="162">
        <f t="shared" si="30"/>
        <v>0</v>
      </c>
      <c r="AK63" s="162">
        <f t="shared" si="30"/>
        <v>0</v>
      </c>
      <c r="AL63" s="162">
        <f t="shared" si="30"/>
        <v>0</v>
      </c>
      <c r="AM63" s="162">
        <f t="shared" si="30"/>
        <v>0</v>
      </c>
      <c r="AN63" s="162">
        <f t="shared" si="30"/>
        <v>0</v>
      </c>
      <c r="AO63" s="162">
        <f t="shared" si="30"/>
        <v>0</v>
      </c>
      <c r="AP63" s="162">
        <f t="shared" si="30"/>
        <v>0</v>
      </c>
      <c r="AQ63" s="162">
        <f t="shared" si="30"/>
        <v>0</v>
      </c>
      <c r="AR63" s="162">
        <f t="shared" si="30"/>
        <v>0</v>
      </c>
      <c r="AS63" s="162">
        <f t="shared" si="30"/>
        <v>0</v>
      </c>
      <c r="AT63" s="162">
        <f t="shared" si="30"/>
        <v>0</v>
      </c>
      <c r="AU63" s="162">
        <f t="shared" si="30"/>
        <v>0</v>
      </c>
      <c r="AV63" s="162">
        <f t="shared" si="30"/>
        <v>0</v>
      </c>
      <c r="AW63" s="162">
        <f t="shared" si="30"/>
        <v>0</v>
      </c>
      <c r="AX63" s="162">
        <f t="shared" si="30"/>
        <v>0</v>
      </c>
      <c r="AY63" s="162">
        <f t="shared" si="30"/>
        <v>0</v>
      </c>
      <c r="AZ63" s="162">
        <f t="shared" si="30"/>
        <v>0</v>
      </c>
      <c r="BA63" s="162">
        <f t="shared" si="30"/>
        <v>0</v>
      </c>
      <c r="BB63" s="162">
        <f t="shared" si="30"/>
        <v>0</v>
      </c>
      <c r="BC63" s="162">
        <f t="shared" si="30"/>
        <v>0</v>
      </c>
      <c r="BD63" s="162">
        <f t="shared" si="30"/>
        <v>0</v>
      </c>
      <c r="BE63" s="162">
        <f t="shared" si="30"/>
        <v>0</v>
      </c>
      <c r="BF63" s="162">
        <f t="shared" si="30"/>
        <v>0</v>
      </c>
      <c r="BG63" s="162">
        <f t="shared" si="30"/>
        <v>0</v>
      </c>
      <c r="BH63" s="162">
        <f t="shared" si="30"/>
        <v>0</v>
      </c>
      <c r="BI63" s="162">
        <f t="shared" si="30"/>
        <v>0</v>
      </c>
      <c r="BJ63" s="162">
        <f t="shared" si="30"/>
        <v>0</v>
      </c>
      <c r="BK63" s="162">
        <f t="shared" si="30"/>
        <v>0</v>
      </c>
      <c r="BL63" s="162">
        <f t="shared" si="30"/>
        <v>0</v>
      </c>
      <c r="BM63" s="162">
        <f t="shared" si="30"/>
        <v>0</v>
      </c>
      <c r="BN63" s="162">
        <f t="shared" si="30"/>
        <v>0</v>
      </c>
      <c r="BO63" s="162">
        <f t="shared" si="30"/>
        <v>0</v>
      </c>
      <c r="BP63" s="162">
        <f t="shared" si="30"/>
        <v>0</v>
      </c>
      <c r="BQ63" s="162">
        <f t="shared" si="30"/>
        <v>0</v>
      </c>
      <c r="BR63" s="162">
        <f t="shared" si="30"/>
        <v>0</v>
      </c>
      <c r="BS63" s="162">
        <f t="shared" si="30"/>
        <v>0</v>
      </c>
      <c r="BT63" s="162">
        <f t="shared" si="30"/>
        <v>0</v>
      </c>
      <c r="BU63" s="162">
        <f t="shared" si="30"/>
        <v>0</v>
      </c>
      <c r="BV63" s="162">
        <f t="shared" si="30"/>
        <v>0</v>
      </c>
      <c r="BW63" s="162">
        <f t="shared" si="30"/>
        <v>0</v>
      </c>
      <c r="BX63" s="162">
        <f t="shared" si="30"/>
        <v>0</v>
      </c>
      <c r="BY63" s="162">
        <f t="shared" ref="BY63:DV63" si="31">SUM(BY64:BY65)</f>
        <v>0</v>
      </c>
      <c r="BZ63" s="162">
        <f t="shared" si="31"/>
        <v>0</v>
      </c>
      <c r="CA63" s="162">
        <f t="shared" si="31"/>
        <v>0</v>
      </c>
      <c r="CB63" s="162">
        <f t="shared" si="31"/>
        <v>0</v>
      </c>
      <c r="CC63" s="162">
        <f t="shared" si="31"/>
        <v>0</v>
      </c>
      <c r="CD63" s="162">
        <f t="shared" si="31"/>
        <v>0</v>
      </c>
      <c r="CE63" s="162">
        <f t="shared" si="31"/>
        <v>0</v>
      </c>
      <c r="CF63" s="162">
        <f t="shared" si="31"/>
        <v>0</v>
      </c>
      <c r="CG63" s="162">
        <f t="shared" si="31"/>
        <v>0</v>
      </c>
      <c r="CH63" s="162">
        <f t="shared" si="31"/>
        <v>0</v>
      </c>
      <c r="CI63" s="162">
        <f t="shared" si="31"/>
        <v>0</v>
      </c>
      <c r="CJ63" s="162">
        <f t="shared" si="31"/>
        <v>0</v>
      </c>
      <c r="CK63" s="162">
        <f t="shared" si="31"/>
        <v>0</v>
      </c>
      <c r="CL63" s="162">
        <f t="shared" si="31"/>
        <v>0</v>
      </c>
      <c r="CM63" s="162">
        <f t="shared" si="31"/>
        <v>0</v>
      </c>
      <c r="CN63" s="162">
        <f t="shared" si="31"/>
        <v>0</v>
      </c>
      <c r="CO63" s="162">
        <f t="shared" si="31"/>
        <v>0</v>
      </c>
      <c r="CP63" s="162">
        <f t="shared" si="31"/>
        <v>0</v>
      </c>
      <c r="CQ63" s="162">
        <f t="shared" si="31"/>
        <v>0</v>
      </c>
      <c r="CR63" s="162">
        <f t="shared" si="31"/>
        <v>0</v>
      </c>
      <c r="CS63" s="162">
        <f t="shared" si="31"/>
        <v>0</v>
      </c>
      <c r="CT63" s="162">
        <f t="shared" si="31"/>
        <v>0</v>
      </c>
      <c r="CU63" s="162">
        <f t="shared" si="31"/>
        <v>0</v>
      </c>
      <c r="CV63" s="162">
        <f t="shared" si="31"/>
        <v>0</v>
      </c>
      <c r="CW63" s="162">
        <f t="shared" si="31"/>
        <v>0</v>
      </c>
      <c r="CX63" s="162">
        <f t="shared" si="31"/>
        <v>0</v>
      </c>
      <c r="CY63" s="162">
        <f t="shared" si="31"/>
        <v>0</v>
      </c>
      <c r="CZ63" s="162">
        <f t="shared" si="31"/>
        <v>0</v>
      </c>
      <c r="DA63" s="162">
        <f t="shared" si="31"/>
        <v>0</v>
      </c>
      <c r="DB63" s="162">
        <f t="shared" si="31"/>
        <v>0</v>
      </c>
      <c r="DC63" s="162">
        <f t="shared" si="31"/>
        <v>0</v>
      </c>
      <c r="DD63" s="162">
        <f t="shared" si="31"/>
        <v>0</v>
      </c>
      <c r="DE63" s="162">
        <f t="shared" si="31"/>
        <v>0</v>
      </c>
      <c r="DF63" s="162">
        <f t="shared" si="31"/>
        <v>0</v>
      </c>
      <c r="DG63" s="162">
        <f t="shared" si="31"/>
        <v>0</v>
      </c>
      <c r="DH63" s="162">
        <f t="shared" si="31"/>
        <v>0</v>
      </c>
      <c r="DI63" s="162">
        <f t="shared" si="31"/>
        <v>0</v>
      </c>
      <c r="DJ63" s="162">
        <f t="shared" si="31"/>
        <v>0</v>
      </c>
      <c r="DK63" s="162">
        <f t="shared" si="31"/>
        <v>0</v>
      </c>
      <c r="DL63" s="162">
        <f t="shared" si="31"/>
        <v>0</v>
      </c>
      <c r="DM63" s="162">
        <f t="shared" si="31"/>
        <v>0</v>
      </c>
      <c r="DN63" s="162">
        <f t="shared" si="31"/>
        <v>0</v>
      </c>
      <c r="DO63" s="162">
        <f t="shared" si="31"/>
        <v>0</v>
      </c>
      <c r="DP63" s="162">
        <f t="shared" si="31"/>
        <v>0</v>
      </c>
      <c r="DQ63" s="162">
        <f t="shared" si="31"/>
        <v>0</v>
      </c>
      <c r="DR63" s="162">
        <f t="shared" si="31"/>
        <v>0</v>
      </c>
      <c r="DS63" s="162">
        <f t="shared" si="31"/>
        <v>0</v>
      </c>
      <c r="DT63" s="162">
        <f t="shared" si="31"/>
        <v>0</v>
      </c>
      <c r="DU63" s="162">
        <f t="shared" si="31"/>
        <v>0</v>
      </c>
      <c r="DV63" s="162">
        <f t="shared" si="31"/>
        <v>0</v>
      </c>
    </row>
    <row r="64" spans="2:126" ht="11.25" customHeight="1">
      <c r="B64" s="218"/>
      <c r="C64" s="163"/>
      <c r="D64" s="164" t="s">
        <v>206</v>
      </c>
      <c r="E64" s="165"/>
      <c r="F64" s="165"/>
      <c r="G64" s="165"/>
      <c r="H64" s="166"/>
      <c r="I64" s="228"/>
      <c r="J64" s="168">
        <f>SUM(L64:DV64)</f>
        <v>2100000</v>
      </c>
      <c r="K64" s="98"/>
      <c r="L64" s="168">
        <f>SUMIF('CF(M)'!$L$11:$EQ$11,L$6,'CF(M)'!$L69:$EQ69)</f>
        <v>2100000</v>
      </c>
      <c r="M64" s="168">
        <f>SUMIF('CF(M)'!$L$11:$EQ$11,M$6,'CF(M)'!$L69:$EQ69)</f>
        <v>0</v>
      </c>
      <c r="N64" s="168">
        <f>SUMIF('CF(M)'!$L$11:$EQ$11,N$6,'CF(M)'!$L69:$EQ69)</f>
        <v>0</v>
      </c>
      <c r="O64" s="168">
        <f>SUMIF('CF(M)'!$L$11:$EQ$11,O$6,'CF(M)'!$L69:$EQ69)</f>
        <v>0</v>
      </c>
      <c r="P64" s="168">
        <f>SUMIF('CF(M)'!$L$11:$EQ$11,P$6,'CF(M)'!$L69:$EQ69)</f>
        <v>0</v>
      </c>
      <c r="Q64" s="168">
        <f>SUMIF('CF(M)'!$L$11:$EQ$11,Q$6,'CF(M)'!$L69:$EQ69)</f>
        <v>0</v>
      </c>
      <c r="R64" s="168">
        <f>SUMIF('CF(M)'!$L$11:$EQ$11,R$6,'CF(M)'!$L69:$EQ69)</f>
        <v>0</v>
      </c>
      <c r="S64" s="168">
        <f>SUMIF('CF(M)'!$L$11:$EQ$11,S$6,'CF(M)'!$L69:$EQ69)</f>
        <v>0</v>
      </c>
      <c r="T64" s="168">
        <f>SUMIF('CF(M)'!$L$11:$EQ$11,T$6,'CF(M)'!$L69:$EQ69)</f>
        <v>0</v>
      </c>
      <c r="U64" s="168">
        <f>SUMIF('CF(M)'!$L$11:$EQ$11,U$6,'CF(M)'!$L69:$EQ69)</f>
        <v>0</v>
      </c>
      <c r="V64" s="168">
        <f>SUMIF('CF(M)'!$L$11:$EQ$11,V$6,'CF(M)'!$L69:$EQ69)</f>
        <v>0</v>
      </c>
      <c r="W64" s="168">
        <f>SUMIF('CF(M)'!$L$11:$EQ$11,W$6,'CF(M)'!$L69:$EQ69)</f>
        <v>0</v>
      </c>
      <c r="X64" s="168">
        <f>SUMIF('CF(M)'!$L$11:$EQ$11,X$6,'CF(M)'!$L69:$EQ69)</f>
        <v>0</v>
      </c>
      <c r="Y64" s="168">
        <f>SUMIF('CF(M)'!$L$11:$EQ$11,Y$6,'CF(M)'!$L69:$EQ69)</f>
        <v>0</v>
      </c>
      <c r="Z64" s="168">
        <f>SUMIF('CF(M)'!$L$11:$EQ$11,Z$6,'CF(M)'!$L69:$EQ69)</f>
        <v>0</v>
      </c>
      <c r="AA64" s="168">
        <f>SUMIF('CF(M)'!$L$11:$EQ$11,AA$6,'CF(M)'!$L69:$EQ69)</f>
        <v>0</v>
      </c>
      <c r="AB64" s="168">
        <f>SUMIF('CF(M)'!$L$11:$EQ$11,AB$6,'CF(M)'!$L69:$EQ69)</f>
        <v>0</v>
      </c>
      <c r="AC64" s="168">
        <f>SUMIF('CF(M)'!$L$11:$EQ$11,AC$6,'CF(M)'!$L69:$EQ69)</f>
        <v>0</v>
      </c>
      <c r="AD64" s="168">
        <f>SUMIF('CF(M)'!$L$11:$EQ$11,AD$6,'CF(M)'!$L69:$EQ69)</f>
        <v>0</v>
      </c>
      <c r="AE64" s="168">
        <f>SUMIF('CF(M)'!$L$11:$EQ$11,AE$6,'CF(M)'!$L69:$EQ69)</f>
        <v>0</v>
      </c>
      <c r="AF64" s="168">
        <f>SUMIF('CF(M)'!$L$11:$EQ$11,AF$6,'CF(M)'!$L69:$EQ69)</f>
        <v>0</v>
      </c>
      <c r="AG64" s="168">
        <f>SUMIF('CF(M)'!$L$11:$EQ$11,AG$6,'CF(M)'!$L69:$EQ69)</f>
        <v>0</v>
      </c>
      <c r="AH64" s="168">
        <f>SUMIF('CF(M)'!$L$11:$EQ$11,AH$6,'CF(M)'!$L69:$EQ69)</f>
        <v>0</v>
      </c>
      <c r="AI64" s="168">
        <f>SUMIF('CF(M)'!$L$11:$EQ$11,AI$6,'CF(M)'!$L69:$EQ69)</f>
        <v>0</v>
      </c>
      <c r="AJ64" s="168">
        <f>SUMIF('CF(M)'!$L$11:$EQ$11,AJ$6,'CF(M)'!$L69:$EQ69)</f>
        <v>0</v>
      </c>
      <c r="AK64" s="168">
        <f>SUMIF('CF(M)'!$L$11:$EQ$11,AK$6,'CF(M)'!$L69:$EQ69)</f>
        <v>0</v>
      </c>
      <c r="AL64" s="168">
        <f>SUMIF('CF(M)'!$L$11:$EQ$11,AL$6,'CF(M)'!$L69:$EQ69)</f>
        <v>0</v>
      </c>
      <c r="AM64" s="168">
        <f>SUMIF('CF(M)'!$L$11:$EQ$11,AM$6,'CF(M)'!$L69:$EQ69)</f>
        <v>0</v>
      </c>
      <c r="AN64" s="168">
        <f>SUMIF('CF(M)'!$L$11:$EQ$11,AN$6,'CF(M)'!$L69:$EQ69)</f>
        <v>0</v>
      </c>
      <c r="AO64" s="168">
        <f>SUMIF('CF(M)'!$L$11:$EQ$11,AO$6,'CF(M)'!$L69:$EQ69)</f>
        <v>0</v>
      </c>
      <c r="AP64" s="168">
        <f>SUMIF('CF(M)'!$L$11:$EQ$11,AP$6,'CF(M)'!$L69:$EQ69)</f>
        <v>0</v>
      </c>
      <c r="AQ64" s="168">
        <f>SUMIF('CF(M)'!$L$11:$EQ$11,AQ$6,'CF(M)'!$L69:$EQ69)</f>
        <v>0</v>
      </c>
      <c r="AR64" s="168">
        <f>SUMIF('CF(M)'!$L$11:$EQ$11,AR$6,'CF(M)'!$L69:$EQ69)</f>
        <v>0</v>
      </c>
      <c r="AS64" s="168">
        <f>SUMIF('CF(M)'!$L$11:$EQ$11,AS$6,'CF(M)'!$L69:$EQ69)</f>
        <v>0</v>
      </c>
      <c r="AT64" s="168">
        <f>SUMIF('CF(M)'!$L$11:$EQ$11,AT$6,'CF(M)'!$L69:$EQ69)</f>
        <v>0</v>
      </c>
      <c r="AU64" s="168">
        <f>SUMIF('CF(M)'!$L$11:$EQ$11,AU$6,'CF(M)'!$L69:$EQ69)</f>
        <v>0</v>
      </c>
      <c r="AV64" s="168">
        <f>SUMIF('CF(M)'!$L$11:$EQ$11,AV$6,'CF(M)'!$L69:$EQ69)</f>
        <v>0</v>
      </c>
      <c r="AW64" s="168">
        <f>SUMIF('CF(M)'!$L$11:$EQ$11,AW$6,'CF(M)'!$L69:$EQ69)</f>
        <v>0</v>
      </c>
      <c r="AX64" s="168">
        <f>SUMIF('CF(M)'!$L$11:$EQ$11,AX$6,'CF(M)'!$L69:$EQ69)</f>
        <v>0</v>
      </c>
      <c r="AY64" s="168">
        <f>SUMIF('CF(M)'!$L$11:$EQ$11,AY$6,'CF(M)'!$L69:$EQ69)</f>
        <v>0</v>
      </c>
      <c r="AZ64" s="168">
        <f>SUMIF('CF(M)'!$L$11:$EQ$11,AZ$6,'CF(M)'!$L69:$EQ69)</f>
        <v>0</v>
      </c>
      <c r="BA64" s="168">
        <f>SUMIF('CF(M)'!$L$11:$EQ$11,BA$6,'CF(M)'!$L69:$EQ69)</f>
        <v>0</v>
      </c>
      <c r="BB64" s="168">
        <f>SUMIF('CF(M)'!$L$11:$EQ$11,BB$6,'CF(M)'!$L69:$EQ69)</f>
        <v>0</v>
      </c>
      <c r="BC64" s="168">
        <f>SUMIF('CF(M)'!$L$11:$EQ$11,BC$6,'CF(M)'!$L69:$EQ69)</f>
        <v>0</v>
      </c>
      <c r="BD64" s="168">
        <f>SUMIF('CF(M)'!$L$11:$EQ$11,BD$6,'CF(M)'!$L69:$EQ69)</f>
        <v>0</v>
      </c>
      <c r="BE64" s="168">
        <f>SUMIF('CF(M)'!$L$11:$EQ$11,BE$6,'CF(M)'!$L69:$EQ69)</f>
        <v>0</v>
      </c>
      <c r="BF64" s="168">
        <f>SUMIF('CF(M)'!$L$11:$EQ$11,BF$6,'CF(M)'!$L69:$EQ69)</f>
        <v>0</v>
      </c>
      <c r="BG64" s="168">
        <f>SUMIF('CF(M)'!$L$11:$EQ$11,BG$6,'CF(M)'!$L69:$EQ69)</f>
        <v>0</v>
      </c>
      <c r="BH64" s="168">
        <f>SUMIF('CF(M)'!$L$11:$EQ$11,BH$6,'CF(M)'!$L69:$EQ69)</f>
        <v>0</v>
      </c>
      <c r="BI64" s="168">
        <f>SUMIF('CF(M)'!$L$11:$EQ$11,BI$6,'CF(M)'!$L69:$EQ69)</f>
        <v>0</v>
      </c>
      <c r="BJ64" s="168">
        <f>SUMIF('CF(M)'!$L$11:$EQ$11,BJ$6,'CF(M)'!$L69:$EQ69)</f>
        <v>0</v>
      </c>
      <c r="BK64" s="168">
        <f>SUMIF('CF(M)'!$L$11:$EQ$11,BK$6,'CF(M)'!$L69:$EQ69)</f>
        <v>0</v>
      </c>
      <c r="BL64" s="168">
        <f>SUMIF('CF(M)'!$L$11:$EQ$11,BL$6,'CF(M)'!$L69:$EQ69)</f>
        <v>0</v>
      </c>
      <c r="BM64" s="168">
        <f>SUMIF('CF(M)'!$L$11:$EQ$11,BM$6,'CF(M)'!$L69:$EQ69)</f>
        <v>0</v>
      </c>
      <c r="BN64" s="168">
        <f>SUMIF('CF(M)'!$L$11:$EQ$11,BN$6,'CF(M)'!$L69:$EQ69)</f>
        <v>0</v>
      </c>
      <c r="BO64" s="168">
        <f>SUMIF('CF(M)'!$L$11:$EQ$11,BO$6,'CF(M)'!$L69:$EQ69)</f>
        <v>0</v>
      </c>
      <c r="BP64" s="168">
        <f>SUMIF('CF(M)'!$L$11:$EQ$11,BP$6,'CF(M)'!$L69:$EQ69)</f>
        <v>0</v>
      </c>
      <c r="BQ64" s="168">
        <f>SUMIF('CF(M)'!$L$11:$EQ$11,BQ$6,'CF(M)'!$L69:$EQ69)</f>
        <v>0</v>
      </c>
      <c r="BR64" s="168">
        <f>SUMIF('CF(M)'!$L$11:$EQ$11,BR$6,'CF(M)'!$L69:$EQ69)</f>
        <v>0</v>
      </c>
      <c r="BS64" s="168">
        <f>SUMIF('CF(M)'!$L$11:$EQ$11,BS$6,'CF(M)'!$L69:$EQ69)</f>
        <v>0</v>
      </c>
      <c r="BT64" s="168">
        <f>SUMIF('CF(M)'!$L$11:$EQ$11,BT$6,'CF(M)'!$L69:$EQ69)</f>
        <v>0</v>
      </c>
      <c r="BU64" s="168">
        <f>SUMIF('CF(M)'!$L$11:$EQ$11,BU$6,'CF(M)'!$L69:$EQ69)</f>
        <v>0</v>
      </c>
      <c r="BV64" s="168">
        <f>SUMIF('CF(M)'!$L$11:$EQ$11,BV$6,'CF(M)'!$L69:$EQ69)</f>
        <v>0</v>
      </c>
      <c r="BW64" s="168">
        <f>SUMIF('CF(M)'!$L$11:$EQ$11,BW$6,'CF(M)'!$L69:$EQ69)</f>
        <v>0</v>
      </c>
      <c r="BX64" s="168">
        <f>SUMIF('CF(M)'!$L$11:$EQ$11,BX$6,'CF(M)'!$L69:$EQ69)</f>
        <v>0</v>
      </c>
      <c r="BY64" s="168">
        <f>SUMIF('CF(M)'!$L$11:$EQ$11,BY$6,'CF(M)'!$L69:$EQ69)</f>
        <v>0</v>
      </c>
      <c r="BZ64" s="168">
        <f>SUMIF('CF(M)'!$L$11:$EQ$11,BZ$6,'CF(M)'!$L69:$EQ69)</f>
        <v>0</v>
      </c>
      <c r="CA64" s="168">
        <f>SUMIF('CF(M)'!$L$11:$EQ$11,CA$6,'CF(M)'!$L69:$EQ69)</f>
        <v>0</v>
      </c>
      <c r="CB64" s="168">
        <f>SUMIF('CF(M)'!$L$11:$EQ$11,CB$6,'CF(M)'!$L69:$EQ69)</f>
        <v>0</v>
      </c>
      <c r="CC64" s="168">
        <f>SUMIF('CF(M)'!$L$11:$EQ$11,CC$6,'CF(M)'!$L69:$EQ69)</f>
        <v>0</v>
      </c>
      <c r="CD64" s="168">
        <f>SUMIF('CF(M)'!$L$11:$EQ$11,CD$6,'CF(M)'!$L69:$EQ69)</f>
        <v>0</v>
      </c>
      <c r="CE64" s="168">
        <f>SUMIF('CF(M)'!$L$11:$EQ$11,CE$6,'CF(M)'!$L69:$EQ69)</f>
        <v>0</v>
      </c>
      <c r="CF64" s="168">
        <f>SUMIF('CF(M)'!$L$11:$EQ$11,CF$6,'CF(M)'!$L69:$EQ69)</f>
        <v>0</v>
      </c>
      <c r="CG64" s="168">
        <f>SUMIF('CF(M)'!$L$11:$EQ$11,CG$6,'CF(M)'!$L69:$EQ69)</f>
        <v>0</v>
      </c>
      <c r="CH64" s="168">
        <f>SUMIF('CF(M)'!$L$11:$EQ$11,CH$6,'CF(M)'!$L69:$EQ69)</f>
        <v>0</v>
      </c>
      <c r="CI64" s="168">
        <f>SUMIF('CF(M)'!$L$11:$EQ$11,CI$6,'CF(M)'!$L69:$EQ69)</f>
        <v>0</v>
      </c>
      <c r="CJ64" s="168">
        <f>SUMIF('CF(M)'!$L$11:$EQ$11,CJ$6,'CF(M)'!$L69:$EQ69)</f>
        <v>0</v>
      </c>
      <c r="CK64" s="168">
        <f>SUMIF('CF(M)'!$L$11:$EQ$11,CK$6,'CF(M)'!$L69:$EQ69)</f>
        <v>0</v>
      </c>
      <c r="CL64" s="168">
        <f>SUMIF('CF(M)'!$L$11:$EQ$11,CL$6,'CF(M)'!$L69:$EQ69)</f>
        <v>0</v>
      </c>
      <c r="CM64" s="168">
        <f>SUMIF('CF(M)'!$L$11:$EQ$11,CM$6,'CF(M)'!$L69:$EQ69)</f>
        <v>0</v>
      </c>
      <c r="CN64" s="168">
        <f>SUMIF('CF(M)'!$L$11:$EQ$11,CN$6,'CF(M)'!$L69:$EQ69)</f>
        <v>0</v>
      </c>
      <c r="CO64" s="168">
        <f>SUMIF('CF(M)'!$L$11:$EQ$11,CO$6,'CF(M)'!$L69:$EQ69)</f>
        <v>0</v>
      </c>
      <c r="CP64" s="168">
        <f>SUMIF('CF(M)'!$L$11:$EQ$11,CP$6,'CF(M)'!$L69:$EQ69)</f>
        <v>0</v>
      </c>
      <c r="CQ64" s="168">
        <f>SUMIF('CF(M)'!$L$11:$EQ$11,CQ$6,'CF(M)'!$L69:$EQ69)</f>
        <v>0</v>
      </c>
      <c r="CR64" s="168">
        <f>SUMIF('CF(M)'!$L$11:$EQ$11,CR$6,'CF(M)'!$L69:$EQ69)</f>
        <v>0</v>
      </c>
      <c r="CS64" s="168">
        <f>SUMIF('CF(M)'!$L$11:$EQ$11,CS$6,'CF(M)'!$L69:$EQ69)</f>
        <v>0</v>
      </c>
      <c r="CT64" s="168">
        <f>SUMIF('CF(M)'!$L$11:$EQ$11,CT$6,'CF(M)'!$L69:$EQ69)</f>
        <v>0</v>
      </c>
      <c r="CU64" s="168">
        <f>SUMIF('CF(M)'!$L$11:$EQ$11,CU$6,'CF(M)'!$L69:$EQ69)</f>
        <v>0</v>
      </c>
      <c r="CV64" s="168">
        <f>SUMIF('CF(M)'!$L$11:$EQ$11,CV$6,'CF(M)'!$L69:$EQ69)</f>
        <v>0</v>
      </c>
      <c r="CW64" s="168">
        <f>SUMIF('CF(M)'!$L$11:$EQ$11,CW$6,'CF(M)'!$L69:$EQ69)</f>
        <v>0</v>
      </c>
      <c r="CX64" s="168">
        <f>SUMIF('CF(M)'!$L$11:$EQ$11,CX$6,'CF(M)'!$L69:$EQ69)</f>
        <v>0</v>
      </c>
      <c r="CY64" s="168">
        <f>SUMIF('CF(M)'!$L$11:$EQ$11,CY$6,'CF(M)'!$L69:$EQ69)</f>
        <v>0</v>
      </c>
      <c r="CZ64" s="168">
        <f>SUMIF('CF(M)'!$L$11:$EQ$11,CZ$6,'CF(M)'!$L69:$EQ69)</f>
        <v>0</v>
      </c>
      <c r="DA64" s="168">
        <f>SUMIF('CF(M)'!$L$11:$EQ$11,DA$6,'CF(M)'!$L69:$EQ69)</f>
        <v>0</v>
      </c>
      <c r="DB64" s="168">
        <f>SUMIF('CF(M)'!$L$11:$EQ$11,DB$6,'CF(M)'!$L69:$EQ69)</f>
        <v>0</v>
      </c>
      <c r="DC64" s="168">
        <f>SUMIF('CF(M)'!$L$11:$EQ$11,DC$6,'CF(M)'!$L69:$EQ69)</f>
        <v>0</v>
      </c>
      <c r="DD64" s="168">
        <f>SUMIF('CF(M)'!$L$11:$EQ$11,DD$6,'CF(M)'!$L69:$EQ69)</f>
        <v>0</v>
      </c>
      <c r="DE64" s="168">
        <f>SUMIF('CF(M)'!$L$11:$EQ$11,DE$6,'CF(M)'!$L69:$EQ69)</f>
        <v>0</v>
      </c>
      <c r="DF64" s="168">
        <f>SUMIF('CF(M)'!$L$11:$EQ$11,DF$6,'CF(M)'!$L69:$EQ69)</f>
        <v>0</v>
      </c>
      <c r="DG64" s="168">
        <f>SUMIF('CF(M)'!$L$11:$EQ$11,DG$6,'CF(M)'!$L69:$EQ69)</f>
        <v>0</v>
      </c>
      <c r="DH64" s="168">
        <f>SUMIF('CF(M)'!$L$11:$EQ$11,DH$6,'CF(M)'!$L69:$EQ69)</f>
        <v>0</v>
      </c>
      <c r="DI64" s="168">
        <f>SUMIF('CF(M)'!$L$11:$EQ$11,DI$6,'CF(M)'!$L69:$EQ69)</f>
        <v>0</v>
      </c>
      <c r="DJ64" s="168">
        <f>SUMIF('CF(M)'!$L$11:$EQ$11,DJ$6,'CF(M)'!$L69:$EQ69)</f>
        <v>0</v>
      </c>
      <c r="DK64" s="168">
        <f>SUMIF('CF(M)'!$L$11:$EQ$11,DK$6,'CF(M)'!$L69:$EQ69)</f>
        <v>0</v>
      </c>
      <c r="DL64" s="168">
        <f>SUMIF('CF(M)'!$L$11:$EQ$11,DL$6,'CF(M)'!$L69:$EQ69)</f>
        <v>0</v>
      </c>
      <c r="DM64" s="168">
        <f>SUMIF('CF(M)'!$L$11:$EQ$11,DM$6,'CF(M)'!$L69:$EQ69)</f>
        <v>0</v>
      </c>
      <c r="DN64" s="168">
        <f>SUMIF('CF(M)'!$L$11:$EQ$11,DN$6,'CF(M)'!$L69:$EQ69)</f>
        <v>0</v>
      </c>
      <c r="DO64" s="168">
        <f>SUMIF('CF(M)'!$L$11:$EQ$11,DO$6,'CF(M)'!$L69:$EQ69)</f>
        <v>0</v>
      </c>
      <c r="DP64" s="168">
        <f>SUMIF('CF(M)'!$L$11:$EQ$11,DP$6,'CF(M)'!$L69:$EQ69)</f>
        <v>0</v>
      </c>
      <c r="DQ64" s="168">
        <f>SUMIF('CF(M)'!$L$11:$EQ$11,DQ$6,'CF(M)'!$L69:$EQ69)</f>
        <v>0</v>
      </c>
      <c r="DR64" s="168">
        <f>SUMIF('CF(M)'!$L$11:$EQ$11,DR$6,'CF(M)'!$L69:$EQ69)</f>
        <v>0</v>
      </c>
      <c r="DS64" s="168">
        <f>SUMIF('CF(M)'!$L$11:$EQ$11,DS$6,'CF(M)'!$L69:$EQ69)</f>
        <v>0</v>
      </c>
      <c r="DT64" s="168">
        <f>SUMIF('CF(M)'!$L$11:$EQ$11,DT$6,'CF(M)'!$L69:$EQ69)</f>
        <v>0</v>
      </c>
      <c r="DU64" s="168">
        <f>SUMIF('CF(M)'!$L$11:$EQ$11,DU$6,'CF(M)'!$L69:$EQ69)</f>
        <v>0</v>
      </c>
      <c r="DV64" s="168">
        <f>SUMIF('CF(M)'!$L$11:$EQ$11,DV$6,'CF(M)'!$L69:$EQ69)</f>
        <v>0</v>
      </c>
    </row>
    <row r="65" spans="2:126" ht="11.25" customHeight="1">
      <c r="B65" s="218"/>
      <c r="C65" s="163"/>
      <c r="D65" s="169" t="s">
        <v>207</v>
      </c>
      <c r="H65" s="146"/>
      <c r="I65" s="229"/>
      <c r="J65" s="171">
        <f>SUM(L65:DV65)</f>
        <v>-2100000</v>
      </c>
      <c r="K65" s="98"/>
      <c r="L65" s="171">
        <f>SUMIF('CF(M)'!$L$11:$EQ$11,L$6,'CF(M)'!$L70:$EQ70)</f>
        <v>0</v>
      </c>
      <c r="M65" s="171">
        <f>SUMIF('CF(M)'!$L$11:$EQ$11,M$6,'CF(M)'!$L70:$EQ70)</f>
        <v>0</v>
      </c>
      <c r="N65" s="171">
        <f>SUMIF('CF(M)'!$L$11:$EQ$11,N$6,'CF(M)'!$L70:$EQ70)</f>
        <v>0</v>
      </c>
      <c r="O65" s="171">
        <f>SUMIF('CF(M)'!$L$11:$EQ$11,O$6,'CF(M)'!$L70:$EQ70)</f>
        <v>0</v>
      </c>
      <c r="P65" s="171">
        <f>SUMIF('CF(M)'!$L$11:$EQ$11,P$6,'CF(M)'!$L70:$EQ70)</f>
        <v>0</v>
      </c>
      <c r="Q65" s="171">
        <f>SUMIF('CF(M)'!$L$11:$EQ$11,Q$6,'CF(M)'!$L70:$EQ70)</f>
        <v>0</v>
      </c>
      <c r="R65" s="171">
        <f>SUMIF('CF(M)'!$L$11:$EQ$11,R$6,'CF(M)'!$L70:$EQ70)</f>
        <v>0</v>
      </c>
      <c r="S65" s="171">
        <f>SUMIF('CF(M)'!$L$11:$EQ$11,S$6,'CF(M)'!$L70:$EQ70)</f>
        <v>0</v>
      </c>
      <c r="T65" s="171">
        <f>SUMIF('CF(M)'!$L$11:$EQ$11,T$6,'CF(M)'!$L70:$EQ70)</f>
        <v>0</v>
      </c>
      <c r="U65" s="171">
        <f>SUMIF('CF(M)'!$L$11:$EQ$11,U$6,'CF(M)'!$L70:$EQ70)</f>
        <v>0</v>
      </c>
      <c r="V65" s="171">
        <f>SUMIF('CF(M)'!$L$11:$EQ$11,V$6,'CF(M)'!$L70:$EQ70)</f>
        <v>-2100000</v>
      </c>
      <c r="W65" s="171">
        <f>SUMIF('CF(M)'!$L$11:$EQ$11,W$6,'CF(M)'!$L70:$EQ70)</f>
        <v>0</v>
      </c>
      <c r="X65" s="171">
        <f>SUMIF('CF(M)'!$L$11:$EQ$11,X$6,'CF(M)'!$L70:$EQ70)</f>
        <v>0</v>
      </c>
      <c r="Y65" s="171">
        <f>SUMIF('CF(M)'!$L$11:$EQ$11,Y$6,'CF(M)'!$L70:$EQ70)</f>
        <v>0</v>
      </c>
      <c r="Z65" s="171">
        <f>SUMIF('CF(M)'!$L$11:$EQ$11,Z$6,'CF(M)'!$L70:$EQ70)</f>
        <v>0</v>
      </c>
      <c r="AA65" s="171">
        <f>SUMIF('CF(M)'!$L$11:$EQ$11,AA$6,'CF(M)'!$L70:$EQ70)</f>
        <v>0</v>
      </c>
      <c r="AB65" s="171">
        <f>SUMIF('CF(M)'!$L$11:$EQ$11,AB$6,'CF(M)'!$L70:$EQ70)</f>
        <v>0</v>
      </c>
      <c r="AC65" s="171">
        <f>SUMIF('CF(M)'!$L$11:$EQ$11,AC$6,'CF(M)'!$L70:$EQ70)</f>
        <v>0</v>
      </c>
      <c r="AD65" s="171">
        <f>SUMIF('CF(M)'!$L$11:$EQ$11,AD$6,'CF(M)'!$L70:$EQ70)</f>
        <v>0</v>
      </c>
      <c r="AE65" s="171">
        <f>SUMIF('CF(M)'!$L$11:$EQ$11,AE$6,'CF(M)'!$L70:$EQ70)</f>
        <v>0</v>
      </c>
      <c r="AF65" s="171">
        <f>SUMIF('CF(M)'!$L$11:$EQ$11,AF$6,'CF(M)'!$L70:$EQ70)</f>
        <v>0</v>
      </c>
      <c r="AG65" s="171">
        <f>SUMIF('CF(M)'!$L$11:$EQ$11,AG$6,'CF(M)'!$L70:$EQ70)</f>
        <v>0</v>
      </c>
      <c r="AH65" s="171">
        <f>SUMIF('CF(M)'!$L$11:$EQ$11,AH$6,'CF(M)'!$L70:$EQ70)</f>
        <v>0</v>
      </c>
      <c r="AI65" s="171">
        <f>SUMIF('CF(M)'!$L$11:$EQ$11,AI$6,'CF(M)'!$L70:$EQ70)</f>
        <v>0</v>
      </c>
      <c r="AJ65" s="171">
        <f>SUMIF('CF(M)'!$L$11:$EQ$11,AJ$6,'CF(M)'!$L70:$EQ70)</f>
        <v>0</v>
      </c>
      <c r="AK65" s="171">
        <f>SUMIF('CF(M)'!$L$11:$EQ$11,AK$6,'CF(M)'!$L70:$EQ70)</f>
        <v>0</v>
      </c>
      <c r="AL65" s="171">
        <f>SUMIF('CF(M)'!$L$11:$EQ$11,AL$6,'CF(M)'!$L70:$EQ70)</f>
        <v>0</v>
      </c>
      <c r="AM65" s="171">
        <f>SUMIF('CF(M)'!$L$11:$EQ$11,AM$6,'CF(M)'!$L70:$EQ70)</f>
        <v>0</v>
      </c>
      <c r="AN65" s="171">
        <f>SUMIF('CF(M)'!$L$11:$EQ$11,AN$6,'CF(M)'!$L70:$EQ70)</f>
        <v>0</v>
      </c>
      <c r="AO65" s="171">
        <f>SUMIF('CF(M)'!$L$11:$EQ$11,AO$6,'CF(M)'!$L70:$EQ70)</f>
        <v>0</v>
      </c>
      <c r="AP65" s="171">
        <f>SUMIF('CF(M)'!$L$11:$EQ$11,AP$6,'CF(M)'!$L70:$EQ70)</f>
        <v>0</v>
      </c>
      <c r="AQ65" s="171">
        <f>SUMIF('CF(M)'!$L$11:$EQ$11,AQ$6,'CF(M)'!$L70:$EQ70)</f>
        <v>0</v>
      </c>
      <c r="AR65" s="171">
        <f>SUMIF('CF(M)'!$L$11:$EQ$11,AR$6,'CF(M)'!$L70:$EQ70)</f>
        <v>0</v>
      </c>
      <c r="AS65" s="171">
        <f>SUMIF('CF(M)'!$L$11:$EQ$11,AS$6,'CF(M)'!$L70:$EQ70)</f>
        <v>0</v>
      </c>
      <c r="AT65" s="171">
        <f>SUMIF('CF(M)'!$L$11:$EQ$11,AT$6,'CF(M)'!$L70:$EQ70)</f>
        <v>0</v>
      </c>
      <c r="AU65" s="171">
        <f>SUMIF('CF(M)'!$L$11:$EQ$11,AU$6,'CF(M)'!$L70:$EQ70)</f>
        <v>0</v>
      </c>
      <c r="AV65" s="171">
        <f>SUMIF('CF(M)'!$L$11:$EQ$11,AV$6,'CF(M)'!$L70:$EQ70)</f>
        <v>0</v>
      </c>
      <c r="AW65" s="171">
        <f>SUMIF('CF(M)'!$L$11:$EQ$11,AW$6,'CF(M)'!$L70:$EQ70)</f>
        <v>0</v>
      </c>
      <c r="AX65" s="171">
        <f>SUMIF('CF(M)'!$L$11:$EQ$11,AX$6,'CF(M)'!$L70:$EQ70)</f>
        <v>0</v>
      </c>
      <c r="AY65" s="171">
        <f>SUMIF('CF(M)'!$L$11:$EQ$11,AY$6,'CF(M)'!$L70:$EQ70)</f>
        <v>0</v>
      </c>
      <c r="AZ65" s="171">
        <f>SUMIF('CF(M)'!$L$11:$EQ$11,AZ$6,'CF(M)'!$L70:$EQ70)</f>
        <v>0</v>
      </c>
      <c r="BA65" s="171">
        <f>SUMIF('CF(M)'!$L$11:$EQ$11,BA$6,'CF(M)'!$L70:$EQ70)</f>
        <v>0</v>
      </c>
      <c r="BB65" s="171">
        <f>SUMIF('CF(M)'!$L$11:$EQ$11,BB$6,'CF(M)'!$L70:$EQ70)</f>
        <v>0</v>
      </c>
      <c r="BC65" s="171">
        <f>SUMIF('CF(M)'!$L$11:$EQ$11,BC$6,'CF(M)'!$L70:$EQ70)</f>
        <v>0</v>
      </c>
      <c r="BD65" s="171">
        <f>SUMIF('CF(M)'!$L$11:$EQ$11,BD$6,'CF(M)'!$L70:$EQ70)</f>
        <v>0</v>
      </c>
      <c r="BE65" s="171">
        <f>SUMIF('CF(M)'!$L$11:$EQ$11,BE$6,'CF(M)'!$L70:$EQ70)</f>
        <v>0</v>
      </c>
      <c r="BF65" s="171">
        <f>SUMIF('CF(M)'!$L$11:$EQ$11,BF$6,'CF(M)'!$L70:$EQ70)</f>
        <v>0</v>
      </c>
      <c r="BG65" s="171">
        <f>SUMIF('CF(M)'!$L$11:$EQ$11,BG$6,'CF(M)'!$L70:$EQ70)</f>
        <v>0</v>
      </c>
      <c r="BH65" s="171">
        <f>SUMIF('CF(M)'!$L$11:$EQ$11,BH$6,'CF(M)'!$L70:$EQ70)</f>
        <v>0</v>
      </c>
      <c r="BI65" s="171">
        <f>SUMIF('CF(M)'!$L$11:$EQ$11,BI$6,'CF(M)'!$L70:$EQ70)</f>
        <v>0</v>
      </c>
      <c r="BJ65" s="171">
        <f>SUMIF('CF(M)'!$L$11:$EQ$11,BJ$6,'CF(M)'!$L70:$EQ70)</f>
        <v>0</v>
      </c>
      <c r="BK65" s="171">
        <f>SUMIF('CF(M)'!$L$11:$EQ$11,BK$6,'CF(M)'!$L70:$EQ70)</f>
        <v>0</v>
      </c>
      <c r="BL65" s="171">
        <f>SUMIF('CF(M)'!$L$11:$EQ$11,BL$6,'CF(M)'!$L70:$EQ70)</f>
        <v>0</v>
      </c>
      <c r="BM65" s="171">
        <f>SUMIF('CF(M)'!$L$11:$EQ$11,BM$6,'CF(M)'!$L70:$EQ70)</f>
        <v>0</v>
      </c>
      <c r="BN65" s="171">
        <f>SUMIF('CF(M)'!$L$11:$EQ$11,BN$6,'CF(M)'!$L70:$EQ70)</f>
        <v>0</v>
      </c>
      <c r="BO65" s="171">
        <f>SUMIF('CF(M)'!$L$11:$EQ$11,BO$6,'CF(M)'!$L70:$EQ70)</f>
        <v>0</v>
      </c>
      <c r="BP65" s="171">
        <f>SUMIF('CF(M)'!$L$11:$EQ$11,BP$6,'CF(M)'!$L70:$EQ70)</f>
        <v>0</v>
      </c>
      <c r="BQ65" s="171">
        <f>SUMIF('CF(M)'!$L$11:$EQ$11,BQ$6,'CF(M)'!$L70:$EQ70)</f>
        <v>0</v>
      </c>
      <c r="BR65" s="171">
        <f>SUMIF('CF(M)'!$L$11:$EQ$11,BR$6,'CF(M)'!$L70:$EQ70)</f>
        <v>0</v>
      </c>
      <c r="BS65" s="171">
        <f>SUMIF('CF(M)'!$L$11:$EQ$11,BS$6,'CF(M)'!$L70:$EQ70)</f>
        <v>0</v>
      </c>
      <c r="BT65" s="171">
        <f>SUMIF('CF(M)'!$L$11:$EQ$11,BT$6,'CF(M)'!$L70:$EQ70)</f>
        <v>0</v>
      </c>
      <c r="BU65" s="171">
        <f>SUMIF('CF(M)'!$L$11:$EQ$11,BU$6,'CF(M)'!$L70:$EQ70)</f>
        <v>0</v>
      </c>
      <c r="BV65" s="171">
        <f>SUMIF('CF(M)'!$L$11:$EQ$11,BV$6,'CF(M)'!$L70:$EQ70)</f>
        <v>0</v>
      </c>
      <c r="BW65" s="171">
        <f>SUMIF('CF(M)'!$L$11:$EQ$11,BW$6,'CF(M)'!$L70:$EQ70)</f>
        <v>0</v>
      </c>
      <c r="BX65" s="171">
        <f>SUMIF('CF(M)'!$L$11:$EQ$11,BX$6,'CF(M)'!$L70:$EQ70)</f>
        <v>0</v>
      </c>
      <c r="BY65" s="171">
        <f>SUMIF('CF(M)'!$L$11:$EQ$11,BY$6,'CF(M)'!$L70:$EQ70)</f>
        <v>0</v>
      </c>
      <c r="BZ65" s="171">
        <f>SUMIF('CF(M)'!$L$11:$EQ$11,BZ$6,'CF(M)'!$L70:$EQ70)</f>
        <v>0</v>
      </c>
      <c r="CA65" s="171">
        <f>SUMIF('CF(M)'!$L$11:$EQ$11,CA$6,'CF(M)'!$L70:$EQ70)</f>
        <v>0</v>
      </c>
      <c r="CB65" s="171">
        <f>SUMIF('CF(M)'!$L$11:$EQ$11,CB$6,'CF(M)'!$L70:$EQ70)</f>
        <v>0</v>
      </c>
      <c r="CC65" s="171">
        <f>SUMIF('CF(M)'!$L$11:$EQ$11,CC$6,'CF(M)'!$L70:$EQ70)</f>
        <v>0</v>
      </c>
      <c r="CD65" s="171">
        <f>SUMIF('CF(M)'!$L$11:$EQ$11,CD$6,'CF(M)'!$L70:$EQ70)</f>
        <v>0</v>
      </c>
      <c r="CE65" s="171">
        <f>SUMIF('CF(M)'!$L$11:$EQ$11,CE$6,'CF(M)'!$L70:$EQ70)</f>
        <v>0</v>
      </c>
      <c r="CF65" s="171">
        <f>SUMIF('CF(M)'!$L$11:$EQ$11,CF$6,'CF(M)'!$L70:$EQ70)</f>
        <v>0</v>
      </c>
      <c r="CG65" s="171">
        <f>SUMIF('CF(M)'!$L$11:$EQ$11,CG$6,'CF(M)'!$L70:$EQ70)</f>
        <v>0</v>
      </c>
      <c r="CH65" s="171">
        <f>SUMIF('CF(M)'!$L$11:$EQ$11,CH$6,'CF(M)'!$L70:$EQ70)</f>
        <v>0</v>
      </c>
      <c r="CI65" s="171">
        <f>SUMIF('CF(M)'!$L$11:$EQ$11,CI$6,'CF(M)'!$L70:$EQ70)</f>
        <v>0</v>
      </c>
      <c r="CJ65" s="171">
        <f>SUMIF('CF(M)'!$L$11:$EQ$11,CJ$6,'CF(M)'!$L70:$EQ70)</f>
        <v>0</v>
      </c>
      <c r="CK65" s="171">
        <f>SUMIF('CF(M)'!$L$11:$EQ$11,CK$6,'CF(M)'!$L70:$EQ70)</f>
        <v>0</v>
      </c>
      <c r="CL65" s="171">
        <f>SUMIF('CF(M)'!$L$11:$EQ$11,CL$6,'CF(M)'!$L70:$EQ70)</f>
        <v>0</v>
      </c>
      <c r="CM65" s="171">
        <f>SUMIF('CF(M)'!$L$11:$EQ$11,CM$6,'CF(M)'!$L70:$EQ70)</f>
        <v>0</v>
      </c>
      <c r="CN65" s="171">
        <f>SUMIF('CF(M)'!$L$11:$EQ$11,CN$6,'CF(M)'!$L70:$EQ70)</f>
        <v>0</v>
      </c>
      <c r="CO65" s="171">
        <f>SUMIF('CF(M)'!$L$11:$EQ$11,CO$6,'CF(M)'!$L70:$EQ70)</f>
        <v>0</v>
      </c>
      <c r="CP65" s="171">
        <f>SUMIF('CF(M)'!$L$11:$EQ$11,CP$6,'CF(M)'!$L70:$EQ70)</f>
        <v>0</v>
      </c>
      <c r="CQ65" s="171">
        <f>SUMIF('CF(M)'!$L$11:$EQ$11,CQ$6,'CF(M)'!$L70:$EQ70)</f>
        <v>0</v>
      </c>
      <c r="CR65" s="171">
        <f>SUMIF('CF(M)'!$L$11:$EQ$11,CR$6,'CF(M)'!$L70:$EQ70)</f>
        <v>0</v>
      </c>
      <c r="CS65" s="171">
        <f>SUMIF('CF(M)'!$L$11:$EQ$11,CS$6,'CF(M)'!$L70:$EQ70)</f>
        <v>0</v>
      </c>
      <c r="CT65" s="171">
        <f>SUMIF('CF(M)'!$L$11:$EQ$11,CT$6,'CF(M)'!$L70:$EQ70)</f>
        <v>0</v>
      </c>
      <c r="CU65" s="171">
        <f>SUMIF('CF(M)'!$L$11:$EQ$11,CU$6,'CF(M)'!$L70:$EQ70)</f>
        <v>0</v>
      </c>
      <c r="CV65" s="171">
        <f>SUMIF('CF(M)'!$L$11:$EQ$11,CV$6,'CF(M)'!$L70:$EQ70)</f>
        <v>0</v>
      </c>
      <c r="CW65" s="171">
        <f>SUMIF('CF(M)'!$L$11:$EQ$11,CW$6,'CF(M)'!$L70:$EQ70)</f>
        <v>0</v>
      </c>
      <c r="CX65" s="171">
        <f>SUMIF('CF(M)'!$L$11:$EQ$11,CX$6,'CF(M)'!$L70:$EQ70)</f>
        <v>0</v>
      </c>
      <c r="CY65" s="171">
        <f>SUMIF('CF(M)'!$L$11:$EQ$11,CY$6,'CF(M)'!$L70:$EQ70)</f>
        <v>0</v>
      </c>
      <c r="CZ65" s="171">
        <f>SUMIF('CF(M)'!$L$11:$EQ$11,CZ$6,'CF(M)'!$L70:$EQ70)</f>
        <v>0</v>
      </c>
      <c r="DA65" s="171">
        <f>SUMIF('CF(M)'!$L$11:$EQ$11,DA$6,'CF(M)'!$L70:$EQ70)</f>
        <v>0</v>
      </c>
      <c r="DB65" s="171">
        <f>SUMIF('CF(M)'!$L$11:$EQ$11,DB$6,'CF(M)'!$L70:$EQ70)</f>
        <v>0</v>
      </c>
      <c r="DC65" s="171">
        <f>SUMIF('CF(M)'!$L$11:$EQ$11,DC$6,'CF(M)'!$L70:$EQ70)</f>
        <v>0</v>
      </c>
      <c r="DD65" s="171">
        <f>SUMIF('CF(M)'!$L$11:$EQ$11,DD$6,'CF(M)'!$L70:$EQ70)</f>
        <v>0</v>
      </c>
      <c r="DE65" s="171">
        <f>SUMIF('CF(M)'!$L$11:$EQ$11,DE$6,'CF(M)'!$L70:$EQ70)</f>
        <v>0</v>
      </c>
      <c r="DF65" s="171">
        <f>SUMIF('CF(M)'!$L$11:$EQ$11,DF$6,'CF(M)'!$L70:$EQ70)</f>
        <v>0</v>
      </c>
      <c r="DG65" s="171">
        <f>SUMIF('CF(M)'!$L$11:$EQ$11,DG$6,'CF(M)'!$L70:$EQ70)</f>
        <v>0</v>
      </c>
      <c r="DH65" s="171">
        <f>SUMIF('CF(M)'!$L$11:$EQ$11,DH$6,'CF(M)'!$L70:$EQ70)</f>
        <v>0</v>
      </c>
      <c r="DI65" s="171">
        <f>SUMIF('CF(M)'!$L$11:$EQ$11,DI$6,'CF(M)'!$L70:$EQ70)</f>
        <v>0</v>
      </c>
      <c r="DJ65" s="171">
        <f>SUMIF('CF(M)'!$L$11:$EQ$11,DJ$6,'CF(M)'!$L70:$EQ70)</f>
        <v>0</v>
      </c>
      <c r="DK65" s="171">
        <f>SUMIF('CF(M)'!$L$11:$EQ$11,DK$6,'CF(M)'!$L70:$EQ70)</f>
        <v>0</v>
      </c>
      <c r="DL65" s="171">
        <f>SUMIF('CF(M)'!$L$11:$EQ$11,DL$6,'CF(M)'!$L70:$EQ70)</f>
        <v>0</v>
      </c>
      <c r="DM65" s="171">
        <f>SUMIF('CF(M)'!$L$11:$EQ$11,DM$6,'CF(M)'!$L70:$EQ70)</f>
        <v>0</v>
      </c>
      <c r="DN65" s="171">
        <f>SUMIF('CF(M)'!$L$11:$EQ$11,DN$6,'CF(M)'!$L70:$EQ70)</f>
        <v>0</v>
      </c>
      <c r="DO65" s="171">
        <f>SUMIF('CF(M)'!$L$11:$EQ$11,DO$6,'CF(M)'!$L70:$EQ70)</f>
        <v>0</v>
      </c>
      <c r="DP65" s="171">
        <f>SUMIF('CF(M)'!$L$11:$EQ$11,DP$6,'CF(M)'!$L70:$EQ70)</f>
        <v>0</v>
      </c>
      <c r="DQ65" s="171">
        <f>SUMIF('CF(M)'!$L$11:$EQ$11,DQ$6,'CF(M)'!$L70:$EQ70)</f>
        <v>0</v>
      </c>
      <c r="DR65" s="171">
        <f>SUMIF('CF(M)'!$L$11:$EQ$11,DR$6,'CF(M)'!$L70:$EQ70)</f>
        <v>0</v>
      </c>
      <c r="DS65" s="171">
        <f>SUMIF('CF(M)'!$L$11:$EQ$11,DS$6,'CF(M)'!$L70:$EQ70)</f>
        <v>0</v>
      </c>
      <c r="DT65" s="171">
        <f>SUMIF('CF(M)'!$L$11:$EQ$11,DT$6,'CF(M)'!$L70:$EQ70)</f>
        <v>0</v>
      </c>
      <c r="DU65" s="171">
        <f>SUMIF('CF(M)'!$L$11:$EQ$11,DU$6,'CF(M)'!$L70:$EQ70)</f>
        <v>0</v>
      </c>
      <c r="DV65" s="171">
        <f>SUMIF('CF(M)'!$L$11:$EQ$11,DV$6,'CF(M)'!$L70:$EQ70)</f>
        <v>0</v>
      </c>
    </row>
    <row r="66" spans="2:126" ht="11.25" customHeight="1">
      <c r="B66" s="218"/>
      <c r="C66" s="158" t="s">
        <v>273</v>
      </c>
      <c r="D66" s="159"/>
      <c r="E66" s="159"/>
      <c r="F66" s="159"/>
      <c r="G66" s="159"/>
      <c r="H66" s="160"/>
      <c r="I66" s="219"/>
      <c r="J66" s="220">
        <f>SUM(J67:J68)</f>
        <v>0</v>
      </c>
      <c r="K66" s="98"/>
      <c r="L66" s="162">
        <f>SUM(L67:L68)</f>
        <v>160000000</v>
      </c>
      <c r="M66" s="162">
        <f t="shared" ref="M66:BX66" si="32">SUM(M67:M68)</f>
        <v>0</v>
      </c>
      <c r="N66" s="162">
        <f t="shared" si="32"/>
        <v>-160000000</v>
      </c>
      <c r="O66" s="162">
        <f t="shared" si="32"/>
        <v>0</v>
      </c>
      <c r="P66" s="162">
        <f t="shared" si="32"/>
        <v>0</v>
      </c>
      <c r="Q66" s="162">
        <f t="shared" si="32"/>
        <v>0</v>
      </c>
      <c r="R66" s="162">
        <f t="shared" si="32"/>
        <v>0</v>
      </c>
      <c r="S66" s="162">
        <f t="shared" si="32"/>
        <v>0</v>
      </c>
      <c r="T66" s="162">
        <f t="shared" si="32"/>
        <v>0</v>
      </c>
      <c r="U66" s="162">
        <f t="shared" si="32"/>
        <v>0</v>
      </c>
      <c r="V66" s="162">
        <f t="shared" si="32"/>
        <v>0</v>
      </c>
      <c r="W66" s="162">
        <f t="shared" si="32"/>
        <v>0</v>
      </c>
      <c r="X66" s="162">
        <f t="shared" si="32"/>
        <v>0</v>
      </c>
      <c r="Y66" s="162">
        <f t="shared" si="32"/>
        <v>0</v>
      </c>
      <c r="Z66" s="162">
        <f t="shared" si="32"/>
        <v>0</v>
      </c>
      <c r="AA66" s="162">
        <f t="shared" si="32"/>
        <v>0</v>
      </c>
      <c r="AB66" s="162">
        <f t="shared" si="32"/>
        <v>0</v>
      </c>
      <c r="AC66" s="162">
        <f t="shared" si="32"/>
        <v>0</v>
      </c>
      <c r="AD66" s="162">
        <f t="shared" si="32"/>
        <v>0</v>
      </c>
      <c r="AE66" s="162">
        <f t="shared" si="32"/>
        <v>0</v>
      </c>
      <c r="AF66" s="162">
        <f t="shared" si="32"/>
        <v>0</v>
      </c>
      <c r="AG66" s="162">
        <f t="shared" si="32"/>
        <v>0</v>
      </c>
      <c r="AH66" s="162">
        <f t="shared" si="32"/>
        <v>0</v>
      </c>
      <c r="AI66" s="162">
        <f t="shared" si="32"/>
        <v>0</v>
      </c>
      <c r="AJ66" s="162">
        <f t="shared" si="32"/>
        <v>0</v>
      </c>
      <c r="AK66" s="162">
        <f t="shared" si="32"/>
        <v>0</v>
      </c>
      <c r="AL66" s="162">
        <f t="shared" si="32"/>
        <v>0</v>
      </c>
      <c r="AM66" s="162">
        <f t="shared" si="32"/>
        <v>0</v>
      </c>
      <c r="AN66" s="162">
        <f t="shared" si="32"/>
        <v>0</v>
      </c>
      <c r="AO66" s="162">
        <f t="shared" si="32"/>
        <v>0</v>
      </c>
      <c r="AP66" s="162">
        <f t="shared" si="32"/>
        <v>0</v>
      </c>
      <c r="AQ66" s="162">
        <f t="shared" si="32"/>
        <v>0</v>
      </c>
      <c r="AR66" s="162">
        <f t="shared" si="32"/>
        <v>0</v>
      </c>
      <c r="AS66" s="162">
        <f t="shared" si="32"/>
        <v>0</v>
      </c>
      <c r="AT66" s="162">
        <f t="shared" si="32"/>
        <v>0</v>
      </c>
      <c r="AU66" s="162">
        <f t="shared" si="32"/>
        <v>0</v>
      </c>
      <c r="AV66" s="162">
        <f t="shared" si="32"/>
        <v>0</v>
      </c>
      <c r="AW66" s="162">
        <f t="shared" si="32"/>
        <v>0</v>
      </c>
      <c r="AX66" s="162">
        <f t="shared" si="32"/>
        <v>0</v>
      </c>
      <c r="AY66" s="162">
        <f t="shared" si="32"/>
        <v>0</v>
      </c>
      <c r="AZ66" s="162">
        <f t="shared" si="32"/>
        <v>0</v>
      </c>
      <c r="BA66" s="162">
        <f t="shared" si="32"/>
        <v>0</v>
      </c>
      <c r="BB66" s="162">
        <f t="shared" si="32"/>
        <v>0</v>
      </c>
      <c r="BC66" s="162">
        <f t="shared" si="32"/>
        <v>0</v>
      </c>
      <c r="BD66" s="162">
        <f t="shared" si="32"/>
        <v>0</v>
      </c>
      <c r="BE66" s="162">
        <f t="shared" si="32"/>
        <v>0</v>
      </c>
      <c r="BF66" s="162">
        <f t="shared" si="32"/>
        <v>0</v>
      </c>
      <c r="BG66" s="162">
        <f t="shared" si="32"/>
        <v>0</v>
      </c>
      <c r="BH66" s="162">
        <f t="shared" si="32"/>
        <v>0</v>
      </c>
      <c r="BI66" s="162">
        <f t="shared" si="32"/>
        <v>0</v>
      </c>
      <c r="BJ66" s="162">
        <f t="shared" si="32"/>
        <v>0</v>
      </c>
      <c r="BK66" s="162">
        <f t="shared" si="32"/>
        <v>0</v>
      </c>
      <c r="BL66" s="162">
        <f t="shared" si="32"/>
        <v>0</v>
      </c>
      <c r="BM66" s="162">
        <f t="shared" si="32"/>
        <v>0</v>
      </c>
      <c r="BN66" s="162">
        <f t="shared" si="32"/>
        <v>0</v>
      </c>
      <c r="BO66" s="162">
        <f t="shared" si="32"/>
        <v>0</v>
      </c>
      <c r="BP66" s="162">
        <f t="shared" si="32"/>
        <v>0</v>
      </c>
      <c r="BQ66" s="162">
        <f t="shared" si="32"/>
        <v>0</v>
      </c>
      <c r="BR66" s="162">
        <f t="shared" si="32"/>
        <v>0</v>
      </c>
      <c r="BS66" s="162">
        <f t="shared" si="32"/>
        <v>0</v>
      </c>
      <c r="BT66" s="162">
        <f t="shared" si="32"/>
        <v>0</v>
      </c>
      <c r="BU66" s="162">
        <f t="shared" si="32"/>
        <v>0</v>
      </c>
      <c r="BV66" s="162">
        <f t="shared" si="32"/>
        <v>0</v>
      </c>
      <c r="BW66" s="162">
        <f t="shared" si="32"/>
        <v>0</v>
      </c>
      <c r="BX66" s="162">
        <f t="shared" si="32"/>
        <v>0</v>
      </c>
      <c r="BY66" s="162">
        <f t="shared" ref="BY66:DV66" si="33">SUM(BY67:BY68)</f>
        <v>0</v>
      </c>
      <c r="BZ66" s="162">
        <f t="shared" si="33"/>
        <v>0</v>
      </c>
      <c r="CA66" s="162">
        <f t="shared" si="33"/>
        <v>0</v>
      </c>
      <c r="CB66" s="162">
        <f t="shared" si="33"/>
        <v>0</v>
      </c>
      <c r="CC66" s="162">
        <f t="shared" si="33"/>
        <v>0</v>
      </c>
      <c r="CD66" s="162">
        <f t="shared" si="33"/>
        <v>0</v>
      </c>
      <c r="CE66" s="162">
        <f t="shared" si="33"/>
        <v>0</v>
      </c>
      <c r="CF66" s="162">
        <f t="shared" si="33"/>
        <v>0</v>
      </c>
      <c r="CG66" s="162">
        <f t="shared" si="33"/>
        <v>0</v>
      </c>
      <c r="CH66" s="162">
        <f t="shared" si="33"/>
        <v>0</v>
      </c>
      <c r="CI66" s="162">
        <f t="shared" si="33"/>
        <v>0</v>
      </c>
      <c r="CJ66" s="162">
        <f t="shared" si="33"/>
        <v>0</v>
      </c>
      <c r="CK66" s="162">
        <f t="shared" si="33"/>
        <v>0</v>
      </c>
      <c r="CL66" s="162">
        <f t="shared" si="33"/>
        <v>0</v>
      </c>
      <c r="CM66" s="162">
        <f t="shared" si="33"/>
        <v>0</v>
      </c>
      <c r="CN66" s="162">
        <f t="shared" si="33"/>
        <v>0</v>
      </c>
      <c r="CO66" s="162">
        <f t="shared" si="33"/>
        <v>0</v>
      </c>
      <c r="CP66" s="162">
        <f t="shared" si="33"/>
        <v>0</v>
      </c>
      <c r="CQ66" s="162">
        <f t="shared" si="33"/>
        <v>0</v>
      </c>
      <c r="CR66" s="162">
        <f t="shared" si="33"/>
        <v>0</v>
      </c>
      <c r="CS66" s="162">
        <f t="shared" si="33"/>
        <v>0</v>
      </c>
      <c r="CT66" s="162">
        <f t="shared" si="33"/>
        <v>0</v>
      </c>
      <c r="CU66" s="162">
        <f t="shared" si="33"/>
        <v>0</v>
      </c>
      <c r="CV66" s="162">
        <f t="shared" si="33"/>
        <v>0</v>
      </c>
      <c r="CW66" s="162">
        <f t="shared" si="33"/>
        <v>0</v>
      </c>
      <c r="CX66" s="162">
        <f t="shared" si="33"/>
        <v>0</v>
      </c>
      <c r="CY66" s="162">
        <f t="shared" si="33"/>
        <v>0</v>
      </c>
      <c r="CZ66" s="162">
        <f t="shared" si="33"/>
        <v>0</v>
      </c>
      <c r="DA66" s="162">
        <f t="shared" si="33"/>
        <v>0</v>
      </c>
      <c r="DB66" s="162">
        <f t="shared" si="33"/>
        <v>0</v>
      </c>
      <c r="DC66" s="162">
        <f t="shared" si="33"/>
        <v>0</v>
      </c>
      <c r="DD66" s="162">
        <f t="shared" si="33"/>
        <v>0</v>
      </c>
      <c r="DE66" s="162">
        <f t="shared" si="33"/>
        <v>0</v>
      </c>
      <c r="DF66" s="162">
        <f t="shared" si="33"/>
        <v>0</v>
      </c>
      <c r="DG66" s="162">
        <f t="shared" si="33"/>
        <v>0</v>
      </c>
      <c r="DH66" s="162">
        <f t="shared" si="33"/>
        <v>0</v>
      </c>
      <c r="DI66" s="162">
        <f t="shared" si="33"/>
        <v>0</v>
      </c>
      <c r="DJ66" s="162">
        <f t="shared" si="33"/>
        <v>0</v>
      </c>
      <c r="DK66" s="162">
        <f t="shared" si="33"/>
        <v>0</v>
      </c>
      <c r="DL66" s="162">
        <f t="shared" si="33"/>
        <v>0</v>
      </c>
      <c r="DM66" s="162">
        <f t="shared" si="33"/>
        <v>0</v>
      </c>
      <c r="DN66" s="162">
        <f t="shared" si="33"/>
        <v>0</v>
      </c>
      <c r="DO66" s="162">
        <f t="shared" si="33"/>
        <v>0</v>
      </c>
      <c r="DP66" s="162">
        <f t="shared" si="33"/>
        <v>0</v>
      </c>
      <c r="DQ66" s="162">
        <f t="shared" si="33"/>
        <v>0</v>
      </c>
      <c r="DR66" s="162">
        <f t="shared" si="33"/>
        <v>0</v>
      </c>
      <c r="DS66" s="162">
        <f t="shared" si="33"/>
        <v>0</v>
      </c>
      <c r="DT66" s="162">
        <f t="shared" si="33"/>
        <v>0</v>
      </c>
      <c r="DU66" s="162">
        <f t="shared" si="33"/>
        <v>0</v>
      </c>
      <c r="DV66" s="162">
        <f t="shared" si="33"/>
        <v>0</v>
      </c>
    </row>
    <row r="67" spans="2:126" ht="11.25" customHeight="1">
      <c r="B67" s="218"/>
      <c r="C67" s="163"/>
      <c r="D67" s="164" t="s">
        <v>208</v>
      </c>
      <c r="E67" s="165"/>
      <c r="F67" s="165"/>
      <c r="G67" s="165"/>
      <c r="H67" s="166"/>
      <c r="I67" s="228"/>
      <c r="J67" s="168">
        <f>SUM(L67:DV67)</f>
        <v>160000000</v>
      </c>
      <c r="K67" s="98"/>
      <c r="L67" s="168">
        <f>SUMIF('CF(M)'!$L$11:$EQ$11,L$6,'CF(M)'!$L72:$EQ72)</f>
        <v>160000000</v>
      </c>
      <c r="M67" s="168">
        <f>SUMIF('CF(M)'!$L$11:$EQ$11,M$6,'CF(M)'!$L72:$EQ72)</f>
        <v>0</v>
      </c>
      <c r="N67" s="168">
        <f>SUMIF('CF(M)'!$L$11:$EQ$11,N$6,'CF(M)'!$L72:$EQ72)</f>
        <v>0</v>
      </c>
      <c r="O67" s="168">
        <f>SUMIF('CF(M)'!$L$11:$EQ$11,O$6,'CF(M)'!$L72:$EQ72)</f>
        <v>0</v>
      </c>
      <c r="P67" s="168">
        <f>SUMIF('CF(M)'!$L$11:$EQ$11,P$6,'CF(M)'!$L72:$EQ72)</f>
        <v>0</v>
      </c>
      <c r="Q67" s="168">
        <f>SUMIF('CF(M)'!$L$11:$EQ$11,Q$6,'CF(M)'!$L72:$EQ72)</f>
        <v>0</v>
      </c>
      <c r="R67" s="168">
        <f>SUMIF('CF(M)'!$L$11:$EQ$11,R$6,'CF(M)'!$L72:$EQ72)</f>
        <v>0</v>
      </c>
      <c r="S67" s="168">
        <f>SUMIF('CF(M)'!$L$11:$EQ$11,S$6,'CF(M)'!$L72:$EQ72)</f>
        <v>0</v>
      </c>
      <c r="T67" s="168">
        <f>SUMIF('CF(M)'!$L$11:$EQ$11,T$6,'CF(M)'!$L72:$EQ72)</f>
        <v>0</v>
      </c>
      <c r="U67" s="168">
        <f>SUMIF('CF(M)'!$L$11:$EQ$11,U$6,'CF(M)'!$L72:$EQ72)</f>
        <v>0</v>
      </c>
      <c r="V67" s="168">
        <f>SUMIF('CF(M)'!$L$11:$EQ$11,V$6,'CF(M)'!$L72:$EQ72)</f>
        <v>0</v>
      </c>
      <c r="W67" s="168">
        <f>SUMIF('CF(M)'!$L$11:$EQ$11,W$6,'CF(M)'!$L72:$EQ72)</f>
        <v>0</v>
      </c>
      <c r="X67" s="168">
        <f>SUMIF('CF(M)'!$L$11:$EQ$11,X$6,'CF(M)'!$L72:$EQ72)</f>
        <v>0</v>
      </c>
      <c r="Y67" s="168">
        <f>SUMIF('CF(M)'!$L$11:$EQ$11,Y$6,'CF(M)'!$L72:$EQ72)</f>
        <v>0</v>
      </c>
      <c r="Z67" s="168">
        <f>SUMIF('CF(M)'!$L$11:$EQ$11,Z$6,'CF(M)'!$L72:$EQ72)</f>
        <v>0</v>
      </c>
      <c r="AA67" s="168">
        <f>SUMIF('CF(M)'!$L$11:$EQ$11,AA$6,'CF(M)'!$L72:$EQ72)</f>
        <v>0</v>
      </c>
      <c r="AB67" s="168">
        <f>SUMIF('CF(M)'!$L$11:$EQ$11,AB$6,'CF(M)'!$L72:$EQ72)</f>
        <v>0</v>
      </c>
      <c r="AC67" s="168">
        <f>SUMIF('CF(M)'!$L$11:$EQ$11,AC$6,'CF(M)'!$L72:$EQ72)</f>
        <v>0</v>
      </c>
      <c r="AD67" s="168">
        <f>SUMIF('CF(M)'!$L$11:$EQ$11,AD$6,'CF(M)'!$L72:$EQ72)</f>
        <v>0</v>
      </c>
      <c r="AE67" s="168">
        <f>SUMIF('CF(M)'!$L$11:$EQ$11,AE$6,'CF(M)'!$L72:$EQ72)</f>
        <v>0</v>
      </c>
      <c r="AF67" s="168">
        <f>SUMIF('CF(M)'!$L$11:$EQ$11,AF$6,'CF(M)'!$L72:$EQ72)</f>
        <v>0</v>
      </c>
      <c r="AG67" s="168">
        <f>SUMIF('CF(M)'!$L$11:$EQ$11,AG$6,'CF(M)'!$L72:$EQ72)</f>
        <v>0</v>
      </c>
      <c r="AH67" s="168">
        <f>SUMIF('CF(M)'!$L$11:$EQ$11,AH$6,'CF(M)'!$L72:$EQ72)</f>
        <v>0</v>
      </c>
      <c r="AI67" s="168">
        <f>SUMIF('CF(M)'!$L$11:$EQ$11,AI$6,'CF(M)'!$L72:$EQ72)</f>
        <v>0</v>
      </c>
      <c r="AJ67" s="168">
        <f>SUMIF('CF(M)'!$L$11:$EQ$11,AJ$6,'CF(M)'!$L72:$EQ72)</f>
        <v>0</v>
      </c>
      <c r="AK67" s="168">
        <f>SUMIF('CF(M)'!$L$11:$EQ$11,AK$6,'CF(M)'!$L72:$EQ72)</f>
        <v>0</v>
      </c>
      <c r="AL67" s="168">
        <f>SUMIF('CF(M)'!$L$11:$EQ$11,AL$6,'CF(M)'!$L72:$EQ72)</f>
        <v>0</v>
      </c>
      <c r="AM67" s="168">
        <f>SUMIF('CF(M)'!$L$11:$EQ$11,AM$6,'CF(M)'!$L72:$EQ72)</f>
        <v>0</v>
      </c>
      <c r="AN67" s="168">
        <f>SUMIF('CF(M)'!$L$11:$EQ$11,AN$6,'CF(M)'!$L72:$EQ72)</f>
        <v>0</v>
      </c>
      <c r="AO67" s="168">
        <f>SUMIF('CF(M)'!$L$11:$EQ$11,AO$6,'CF(M)'!$L72:$EQ72)</f>
        <v>0</v>
      </c>
      <c r="AP67" s="168">
        <f>SUMIF('CF(M)'!$L$11:$EQ$11,AP$6,'CF(M)'!$L72:$EQ72)</f>
        <v>0</v>
      </c>
      <c r="AQ67" s="168">
        <f>SUMIF('CF(M)'!$L$11:$EQ$11,AQ$6,'CF(M)'!$L72:$EQ72)</f>
        <v>0</v>
      </c>
      <c r="AR67" s="168">
        <f>SUMIF('CF(M)'!$L$11:$EQ$11,AR$6,'CF(M)'!$L72:$EQ72)</f>
        <v>0</v>
      </c>
      <c r="AS67" s="168">
        <f>SUMIF('CF(M)'!$L$11:$EQ$11,AS$6,'CF(M)'!$L72:$EQ72)</f>
        <v>0</v>
      </c>
      <c r="AT67" s="168">
        <f>SUMIF('CF(M)'!$L$11:$EQ$11,AT$6,'CF(M)'!$L72:$EQ72)</f>
        <v>0</v>
      </c>
      <c r="AU67" s="168">
        <f>SUMIF('CF(M)'!$L$11:$EQ$11,AU$6,'CF(M)'!$L72:$EQ72)</f>
        <v>0</v>
      </c>
      <c r="AV67" s="168">
        <f>SUMIF('CF(M)'!$L$11:$EQ$11,AV$6,'CF(M)'!$L72:$EQ72)</f>
        <v>0</v>
      </c>
      <c r="AW67" s="168">
        <f>SUMIF('CF(M)'!$L$11:$EQ$11,AW$6,'CF(M)'!$L72:$EQ72)</f>
        <v>0</v>
      </c>
      <c r="AX67" s="168">
        <f>SUMIF('CF(M)'!$L$11:$EQ$11,AX$6,'CF(M)'!$L72:$EQ72)</f>
        <v>0</v>
      </c>
      <c r="AY67" s="168">
        <f>SUMIF('CF(M)'!$L$11:$EQ$11,AY$6,'CF(M)'!$L72:$EQ72)</f>
        <v>0</v>
      </c>
      <c r="AZ67" s="168">
        <f>SUMIF('CF(M)'!$L$11:$EQ$11,AZ$6,'CF(M)'!$L72:$EQ72)</f>
        <v>0</v>
      </c>
      <c r="BA67" s="168">
        <f>SUMIF('CF(M)'!$L$11:$EQ$11,BA$6,'CF(M)'!$L72:$EQ72)</f>
        <v>0</v>
      </c>
      <c r="BB67" s="168">
        <f>SUMIF('CF(M)'!$L$11:$EQ$11,BB$6,'CF(M)'!$L72:$EQ72)</f>
        <v>0</v>
      </c>
      <c r="BC67" s="168">
        <f>SUMIF('CF(M)'!$L$11:$EQ$11,BC$6,'CF(M)'!$L72:$EQ72)</f>
        <v>0</v>
      </c>
      <c r="BD67" s="168">
        <f>SUMIF('CF(M)'!$L$11:$EQ$11,BD$6,'CF(M)'!$L72:$EQ72)</f>
        <v>0</v>
      </c>
      <c r="BE67" s="168">
        <f>SUMIF('CF(M)'!$L$11:$EQ$11,BE$6,'CF(M)'!$L72:$EQ72)</f>
        <v>0</v>
      </c>
      <c r="BF67" s="168">
        <f>SUMIF('CF(M)'!$L$11:$EQ$11,BF$6,'CF(M)'!$L72:$EQ72)</f>
        <v>0</v>
      </c>
      <c r="BG67" s="168">
        <f>SUMIF('CF(M)'!$L$11:$EQ$11,BG$6,'CF(M)'!$L72:$EQ72)</f>
        <v>0</v>
      </c>
      <c r="BH67" s="168">
        <f>SUMIF('CF(M)'!$L$11:$EQ$11,BH$6,'CF(M)'!$L72:$EQ72)</f>
        <v>0</v>
      </c>
      <c r="BI67" s="168">
        <f>SUMIF('CF(M)'!$L$11:$EQ$11,BI$6,'CF(M)'!$L72:$EQ72)</f>
        <v>0</v>
      </c>
      <c r="BJ67" s="168">
        <f>SUMIF('CF(M)'!$L$11:$EQ$11,BJ$6,'CF(M)'!$L72:$EQ72)</f>
        <v>0</v>
      </c>
      <c r="BK67" s="168">
        <f>SUMIF('CF(M)'!$L$11:$EQ$11,BK$6,'CF(M)'!$L72:$EQ72)</f>
        <v>0</v>
      </c>
      <c r="BL67" s="168">
        <f>SUMIF('CF(M)'!$L$11:$EQ$11,BL$6,'CF(M)'!$L72:$EQ72)</f>
        <v>0</v>
      </c>
      <c r="BM67" s="168">
        <f>SUMIF('CF(M)'!$L$11:$EQ$11,BM$6,'CF(M)'!$L72:$EQ72)</f>
        <v>0</v>
      </c>
      <c r="BN67" s="168">
        <f>SUMIF('CF(M)'!$L$11:$EQ$11,BN$6,'CF(M)'!$L72:$EQ72)</f>
        <v>0</v>
      </c>
      <c r="BO67" s="168">
        <f>SUMIF('CF(M)'!$L$11:$EQ$11,BO$6,'CF(M)'!$L72:$EQ72)</f>
        <v>0</v>
      </c>
      <c r="BP67" s="168">
        <f>SUMIF('CF(M)'!$L$11:$EQ$11,BP$6,'CF(M)'!$L72:$EQ72)</f>
        <v>0</v>
      </c>
      <c r="BQ67" s="168">
        <f>SUMIF('CF(M)'!$L$11:$EQ$11,BQ$6,'CF(M)'!$L72:$EQ72)</f>
        <v>0</v>
      </c>
      <c r="BR67" s="168">
        <f>SUMIF('CF(M)'!$L$11:$EQ$11,BR$6,'CF(M)'!$L72:$EQ72)</f>
        <v>0</v>
      </c>
      <c r="BS67" s="168">
        <f>SUMIF('CF(M)'!$L$11:$EQ$11,BS$6,'CF(M)'!$L72:$EQ72)</f>
        <v>0</v>
      </c>
      <c r="BT67" s="168">
        <f>SUMIF('CF(M)'!$L$11:$EQ$11,BT$6,'CF(M)'!$L72:$EQ72)</f>
        <v>0</v>
      </c>
      <c r="BU67" s="168">
        <f>SUMIF('CF(M)'!$L$11:$EQ$11,BU$6,'CF(M)'!$L72:$EQ72)</f>
        <v>0</v>
      </c>
      <c r="BV67" s="168">
        <f>SUMIF('CF(M)'!$L$11:$EQ$11,BV$6,'CF(M)'!$L72:$EQ72)</f>
        <v>0</v>
      </c>
      <c r="BW67" s="168">
        <f>SUMIF('CF(M)'!$L$11:$EQ$11,BW$6,'CF(M)'!$L72:$EQ72)</f>
        <v>0</v>
      </c>
      <c r="BX67" s="168">
        <f>SUMIF('CF(M)'!$L$11:$EQ$11,BX$6,'CF(M)'!$L72:$EQ72)</f>
        <v>0</v>
      </c>
      <c r="BY67" s="168">
        <f>SUMIF('CF(M)'!$L$11:$EQ$11,BY$6,'CF(M)'!$L72:$EQ72)</f>
        <v>0</v>
      </c>
      <c r="BZ67" s="168">
        <f>SUMIF('CF(M)'!$L$11:$EQ$11,BZ$6,'CF(M)'!$L72:$EQ72)</f>
        <v>0</v>
      </c>
      <c r="CA67" s="168">
        <f>SUMIF('CF(M)'!$L$11:$EQ$11,CA$6,'CF(M)'!$L72:$EQ72)</f>
        <v>0</v>
      </c>
      <c r="CB67" s="168">
        <f>SUMIF('CF(M)'!$L$11:$EQ$11,CB$6,'CF(M)'!$L72:$EQ72)</f>
        <v>0</v>
      </c>
      <c r="CC67" s="168">
        <f>SUMIF('CF(M)'!$L$11:$EQ$11,CC$6,'CF(M)'!$L72:$EQ72)</f>
        <v>0</v>
      </c>
      <c r="CD67" s="168">
        <f>SUMIF('CF(M)'!$L$11:$EQ$11,CD$6,'CF(M)'!$L72:$EQ72)</f>
        <v>0</v>
      </c>
      <c r="CE67" s="168">
        <f>SUMIF('CF(M)'!$L$11:$EQ$11,CE$6,'CF(M)'!$L72:$EQ72)</f>
        <v>0</v>
      </c>
      <c r="CF67" s="168">
        <f>SUMIF('CF(M)'!$L$11:$EQ$11,CF$6,'CF(M)'!$L72:$EQ72)</f>
        <v>0</v>
      </c>
      <c r="CG67" s="168">
        <f>SUMIF('CF(M)'!$L$11:$EQ$11,CG$6,'CF(M)'!$L72:$EQ72)</f>
        <v>0</v>
      </c>
      <c r="CH67" s="168">
        <f>SUMIF('CF(M)'!$L$11:$EQ$11,CH$6,'CF(M)'!$L72:$EQ72)</f>
        <v>0</v>
      </c>
      <c r="CI67" s="168">
        <f>SUMIF('CF(M)'!$L$11:$EQ$11,CI$6,'CF(M)'!$L72:$EQ72)</f>
        <v>0</v>
      </c>
      <c r="CJ67" s="168">
        <f>SUMIF('CF(M)'!$L$11:$EQ$11,CJ$6,'CF(M)'!$L72:$EQ72)</f>
        <v>0</v>
      </c>
      <c r="CK67" s="168">
        <f>SUMIF('CF(M)'!$L$11:$EQ$11,CK$6,'CF(M)'!$L72:$EQ72)</f>
        <v>0</v>
      </c>
      <c r="CL67" s="168">
        <f>SUMIF('CF(M)'!$L$11:$EQ$11,CL$6,'CF(M)'!$L72:$EQ72)</f>
        <v>0</v>
      </c>
      <c r="CM67" s="168">
        <f>SUMIF('CF(M)'!$L$11:$EQ$11,CM$6,'CF(M)'!$L72:$EQ72)</f>
        <v>0</v>
      </c>
      <c r="CN67" s="168">
        <f>SUMIF('CF(M)'!$L$11:$EQ$11,CN$6,'CF(M)'!$L72:$EQ72)</f>
        <v>0</v>
      </c>
      <c r="CO67" s="168">
        <f>SUMIF('CF(M)'!$L$11:$EQ$11,CO$6,'CF(M)'!$L72:$EQ72)</f>
        <v>0</v>
      </c>
      <c r="CP67" s="168">
        <f>SUMIF('CF(M)'!$L$11:$EQ$11,CP$6,'CF(M)'!$L72:$EQ72)</f>
        <v>0</v>
      </c>
      <c r="CQ67" s="168">
        <f>SUMIF('CF(M)'!$L$11:$EQ$11,CQ$6,'CF(M)'!$L72:$EQ72)</f>
        <v>0</v>
      </c>
      <c r="CR67" s="168">
        <f>SUMIF('CF(M)'!$L$11:$EQ$11,CR$6,'CF(M)'!$L72:$EQ72)</f>
        <v>0</v>
      </c>
      <c r="CS67" s="168">
        <f>SUMIF('CF(M)'!$L$11:$EQ$11,CS$6,'CF(M)'!$L72:$EQ72)</f>
        <v>0</v>
      </c>
      <c r="CT67" s="168">
        <f>SUMIF('CF(M)'!$L$11:$EQ$11,CT$6,'CF(M)'!$L72:$EQ72)</f>
        <v>0</v>
      </c>
      <c r="CU67" s="168">
        <f>SUMIF('CF(M)'!$L$11:$EQ$11,CU$6,'CF(M)'!$L72:$EQ72)</f>
        <v>0</v>
      </c>
      <c r="CV67" s="168">
        <f>SUMIF('CF(M)'!$L$11:$EQ$11,CV$6,'CF(M)'!$L72:$EQ72)</f>
        <v>0</v>
      </c>
      <c r="CW67" s="168">
        <f>SUMIF('CF(M)'!$L$11:$EQ$11,CW$6,'CF(M)'!$L72:$EQ72)</f>
        <v>0</v>
      </c>
      <c r="CX67" s="168">
        <f>SUMIF('CF(M)'!$L$11:$EQ$11,CX$6,'CF(M)'!$L72:$EQ72)</f>
        <v>0</v>
      </c>
      <c r="CY67" s="168">
        <f>SUMIF('CF(M)'!$L$11:$EQ$11,CY$6,'CF(M)'!$L72:$EQ72)</f>
        <v>0</v>
      </c>
      <c r="CZ67" s="168">
        <f>SUMIF('CF(M)'!$L$11:$EQ$11,CZ$6,'CF(M)'!$L72:$EQ72)</f>
        <v>0</v>
      </c>
      <c r="DA67" s="168">
        <f>SUMIF('CF(M)'!$L$11:$EQ$11,DA$6,'CF(M)'!$L72:$EQ72)</f>
        <v>0</v>
      </c>
      <c r="DB67" s="168">
        <f>SUMIF('CF(M)'!$L$11:$EQ$11,DB$6,'CF(M)'!$L72:$EQ72)</f>
        <v>0</v>
      </c>
      <c r="DC67" s="168">
        <f>SUMIF('CF(M)'!$L$11:$EQ$11,DC$6,'CF(M)'!$L72:$EQ72)</f>
        <v>0</v>
      </c>
      <c r="DD67" s="168">
        <f>SUMIF('CF(M)'!$L$11:$EQ$11,DD$6,'CF(M)'!$L72:$EQ72)</f>
        <v>0</v>
      </c>
      <c r="DE67" s="168">
        <f>SUMIF('CF(M)'!$L$11:$EQ$11,DE$6,'CF(M)'!$L72:$EQ72)</f>
        <v>0</v>
      </c>
      <c r="DF67" s="168">
        <f>SUMIF('CF(M)'!$L$11:$EQ$11,DF$6,'CF(M)'!$L72:$EQ72)</f>
        <v>0</v>
      </c>
      <c r="DG67" s="168">
        <f>SUMIF('CF(M)'!$L$11:$EQ$11,DG$6,'CF(M)'!$L72:$EQ72)</f>
        <v>0</v>
      </c>
      <c r="DH67" s="168">
        <f>SUMIF('CF(M)'!$L$11:$EQ$11,DH$6,'CF(M)'!$L72:$EQ72)</f>
        <v>0</v>
      </c>
      <c r="DI67" s="168">
        <f>SUMIF('CF(M)'!$L$11:$EQ$11,DI$6,'CF(M)'!$L72:$EQ72)</f>
        <v>0</v>
      </c>
      <c r="DJ67" s="168">
        <f>SUMIF('CF(M)'!$L$11:$EQ$11,DJ$6,'CF(M)'!$L72:$EQ72)</f>
        <v>0</v>
      </c>
      <c r="DK67" s="168">
        <f>SUMIF('CF(M)'!$L$11:$EQ$11,DK$6,'CF(M)'!$L72:$EQ72)</f>
        <v>0</v>
      </c>
      <c r="DL67" s="168">
        <f>SUMIF('CF(M)'!$L$11:$EQ$11,DL$6,'CF(M)'!$L72:$EQ72)</f>
        <v>0</v>
      </c>
      <c r="DM67" s="168">
        <f>SUMIF('CF(M)'!$L$11:$EQ$11,DM$6,'CF(M)'!$L72:$EQ72)</f>
        <v>0</v>
      </c>
      <c r="DN67" s="168">
        <f>SUMIF('CF(M)'!$L$11:$EQ$11,DN$6,'CF(M)'!$L72:$EQ72)</f>
        <v>0</v>
      </c>
      <c r="DO67" s="168">
        <f>SUMIF('CF(M)'!$L$11:$EQ$11,DO$6,'CF(M)'!$L72:$EQ72)</f>
        <v>0</v>
      </c>
      <c r="DP67" s="168">
        <f>SUMIF('CF(M)'!$L$11:$EQ$11,DP$6,'CF(M)'!$L72:$EQ72)</f>
        <v>0</v>
      </c>
      <c r="DQ67" s="168">
        <f>SUMIF('CF(M)'!$L$11:$EQ$11,DQ$6,'CF(M)'!$L72:$EQ72)</f>
        <v>0</v>
      </c>
      <c r="DR67" s="168">
        <f>SUMIF('CF(M)'!$L$11:$EQ$11,DR$6,'CF(M)'!$L72:$EQ72)</f>
        <v>0</v>
      </c>
      <c r="DS67" s="168">
        <f>SUMIF('CF(M)'!$L$11:$EQ$11,DS$6,'CF(M)'!$L72:$EQ72)</f>
        <v>0</v>
      </c>
      <c r="DT67" s="168">
        <f>SUMIF('CF(M)'!$L$11:$EQ$11,DT$6,'CF(M)'!$L72:$EQ72)</f>
        <v>0</v>
      </c>
      <c r="DU67" s="168">
        <f>SUMIF('CF(M)'!$L$11:$EQ$11,DU$6,'CF(M)'!$L72:$EQ72)</f>
        <v>0</v>
      </c>
      <c r="DV67" s="168">
        <f>SUMIF('CF(M)'!$L$11:$EQ$11,DV$6,'CF(M)'!$L72:$EQ72)</f>
        <v>0</v>
      </c>
    </row>
    <row r="68" spans="2:126" ht="11.25" customHeight="1">
      <c r="B68" s="218"/>
      <c r="C68" s="163"/>
      <c r="D68" s="169" t="s">
        <v>209</v>
      </c>
      <c r="H68" s="146"/>
      <c r="I68" s="229"/>
      <c r="J68" s="171">
        <f>SUM(L68:DV68)</f>
        <v>-160000000</v>
      </c>
      <c r="K68" s="98"/>
      <c r="L68" s="171">
        <f>SUMIF('CF(M)'!$L$11:$EQ$11,L$6,'CF(M)'!$L73:$EQ73)</f>
        <v>0</v>
      </c>
      <c r="M68" s="171">
        <f>SUMIF('CF(M)'!$L$11:$EQ$11,M$6,'CF(M)'!$L73:$EQ73)</f>
        <v>0</v>
      </c>
      <c r="N68" s="171">
        <f>SUMIF('CF(M)'!$L$11:$EQ$11,N$6,'CF(M)'!$L73:$EQ73)</f>
        <v>-160000000</v>
      </c>
      <c r="O68" s="171">
        <f>SUMIF('CF(M)'!$L$11:$EQ$11,O$6,'CF(M)'!$L73:$EQ73)</f>
        <v>0</v>
      </c>
      <c r="P68" s="171">
        <f>SUMIF('CF(M)'!$L$11:$EQ$11,P$6,'CF(M)'!$L73:$EQ73)</f>
        <v>0</v>
      </c>
      <c r="Q68" s="171">
        <f>SUMIF('CF(M)'!$L$11:$EQ$11,Q$6,'CF(M)'!$L73:$EQ73)</f>
        <v>0</v>
      </c>
      <c r="R68" s="171">
        <f>SUMIF('CF(M)'!$L$11:$EQ$11,R$6,'CF(M)'!$L73:$EQ73)</f>
        <v>0</v>
      </c>
      <c r="S68" s="171">
        <f>SUMIF('CF(M)'!$L$11:$EQ$11,S$6,'CF(M)'!$L73:$EQ73)</f>
        <v>0</v>
      </c>
      <c r="T68" s="171">
        <f>SUMIF('CF(M)'!$L$11:$EQ$11,T$6,'CF(M)'!$L73:$EQ73)</f>
        <v>0</v>
      </c>
      <c r="U68" s="171">
        <f>SUMIF('CF(M)'!$L$11:$EQ$11,U$6,'CF(M)'!$L73:$EQ73)</f>
        <v>0</v>
      </c>
      <c r="V68" s="171">
        <f>SUMIF('CF(M)'!$L$11:$EQ$11,V$6,'CF(M)'!$L73:$EQ73)</f>
        <v>0</v>
      </c>
      <c r="W68" s="171">
        <f>SUMIF('CF(M)'!$L$11:$EQ$11,W$6,'CF(M)'!$L73:$EQ73)</f>
        <v>0</v>
      </c>
      <c r="X68" s="171">
        <f>SUMIF('CF(M)'!$L$11:$EQ$11,X$6,'CF(M)'!$L73:$EQ73)</f>
        <v>0</v>
      </c>
      <c r="Y68" s="171">
        <f>SUMIF('CF(M)'!$L$11:$EQ$11,Y$6,'CF(M)'!$L73:$EQ73)</f>
        <v>0</v>
      </c>
      <c r="Z68" s="171">
        <f>SUMIF('CF(M)'!$L$11:$EQ$11,Z$6,'CF(M)'!$L73:$EQ73)</f>
        <v>0</v>
      </c>
      <c r="AA68" s="171">
        <f>SUMIF('CF(M)'!$L$11:$EQ$11,AA$6,'CF(M)'!$L73:$EQ73)</f>
        <v>0</v>
      </c>
      <c r="AB68" s="171">
        <f>SUMIF('CF(M)'!$L$11:$EQ$11,AB$6,'CF(M)'!$L73:$EQ73)</f>
        <v>0</v>
      </c>
      <c r="AC68" s="171">
        <f>SUMIF('CF(M)'!$L$11:$EQ$11,AC$6,'CF(M)'!$L73:$EQ73)</f>
        <v>0</v>
      </c>
      <c r="AD68" s="171">
        <f>SUMIF('CF(M)'!$L$11:$EQ$11,AD$6,'CF(M)'!$L73:$EQ73)</f>
        <v>0</v>
      </c>
      <c r="AE68" s="171">
        <f>SUMIF('CF(M)'!$L$11:$EQ$11,AE$6,'CF(M)'!$L73:$EQ73)</f>
        <v>0</v>
      </c>
      <c r="AF68" s="171">
        <f>SUMIF('CF(M)'!$L$11:$EQ$11,AF$6,'CF(M)'!$L73:$EQ73)</f>
        <v>0</v>
      </c>
      <c r="AG68" s="171">
        <f>SUMIF('CF(M)'!$L$11:$EQ$11,AG$6,'CF(M)'!$L73:$EQ73)</f>
        <v>0</v>
      </c>
      <c r="AH68" s="171">
        <f>SUMIF('CF(M)'!$L$11:$EQ$11,AH$6,'CF(M)'!$L73:$EQ73)</f>
        <v>0</v>
      </c>
      <c r="AI68" s="171">
        <f>SUMIF('CF(M)'!$L$11:$EQ$11,AI$6,'CF(M)'!$L73:$EQ73)</f>
        <v>0</v>
      </c>
      <c r="AJ68" s="171">
        <f>SUMIF('CF(M)'!$L$11:$EQ$11,AJ$6,'CF(M)'!$L73:$EQ73)</f>
        <v>0</v>
      </c>
      <c r="AK68" s="171">
        <f>SUMIF('CF(M)'!$L$11:$EQ$11,AK$6,'CF(M)'!$L73:$EQ73)</f>
        <v>0</v>
      </c>
      <c r="AL68" s="171">
        <f>SUMIF('CF(M)'!$L$11:$EQ$11,AL$6,'CF(M)'!$L73:$EQ73)</f>
        <v>0</v>
      </c>
      <c r="AM68" s="171">
        <f>SUMIF('CF(M)'!$L$11:$EQ$11,AM$6,'CF(M)'!$L73:$EQ73)</f>
        <v>0</v>
      </c>
      <c r="AN68" s="171">
        <f>SUMIF('CF(M)'!$L$11:$EQ$11,AN$6,'CF(M)'!$L73:$EQ73)</f>
        <v>0</v>
      </c>
      <c r="AO68" s="171">
        <f>SUMIF('CF(M)'!$L$11:$EQ$11,AO$6,'CF(M)'!$L73:$EQ73)</f>
        <v>0</v>
      </c>
      <c r="AP68" s="171">
        <f>SUMIF('CF(M)'!$L$11:$EQ$11,AP$6,'CF(M)'!$L73:$EQ73)</f>
        <v>0</v>
      </c>
      <c r="AQ68" s="171">
        <f>SUMIF('CF(M)'!$L$11:$EQ$11,AQ$6,'CF(M)'!$L73:$EQ73)</f>
        <v>0</v>
      </c>
      <c r="AR68" s="171">
        <f>SUMIF('CF(M)'!$L$11:$EQ$11,AR$6,'CF(M)'!$L73:$EQ73)</f>
        <v>0</v>
      </c>
      <c r="AS68" s="171">
        <f>SUMIF('CF(M)'!$L$11:$EQ$11,AS$6,'CF(M)'!$L73:$EQ73)</f>
        <v>0</v>
      </c>
      <c r="AT68" s="171">
        <f>SUMIF('CF(M)'!$L$11:$EQ$11,AT$6,'CF(M)'!$L73:$EQ73)</f>
        <v>0</v>
      </c>
      <c r="AU68" s="171">
        <f>SUMIF('CF(M)'!$L$11:$EQ$11,AU$6,'CF(M)'!$L73:$EQ73)</f>
        <v>0</v>
      </c>
      <c r="AV68" s="171">
        <f>SUMIF('CF(M)'!$L$11:$EQ$11,AV$6,'CF(M)'!$L73:$EQ73)</f>
        <v>0</v>
      </c>
      <c r="AW68" s="171">
        <f>SUMIF('CF(M)'!$L$11:$EQ$11,AW$6,'CF(M)'!$L73:$EQ73)</f>
        <v>0</v>
      </c>
      <c r="AX68" s="171">
        <f>SUMIF('CF(M)'!$L$11:$EQ$11,AX$6,'CF(M)'!$L73:$EQ73)</f>
        <v>0</v>
      </c>
      <c r="AY68" s="171">
        <f>SUMIF('CF(M)'!$L$11:$EQ$11,AY$6,'CF(M)'!$L73:$EQ73)</f>
        <v>0</v>
      </c>
      <c r="AZ68" s="171">
        <f>SUMIF('CF(M)'!$L$11:$EQ$11,AZ$6,'CF(M)'!$L73:$EQ73)</f>
        <v>0</v>
      </c>
      <c r="BA68" s="171">
        <f>SUMIF('CF(M)'!$L$11:$EQ$11,BA$6,'CF(M)'!$L73:$EQ73)</f>
        <v>0</v>
      </c>
      <c r="BB68" s="171">
        <f>SUMIF('CF(M)'!$L$11:$EQ$11,BB$6,'CF(M)'!$L73:$EQ73)</f>
        <v>0</v>
      </c>
      <c r="BC68" s="171">
        <f>SUMIF('CF(M)'!$L$11:$EQ$11,BC$6,'CF(M)'!$L73:$EQ73)</f>
        <v>0</v>
      </c>
      <c r="BD68" s="171">
        <f>SUMIF('CF(M)'!$L$11:$EQ$11,BD$6,'CF(M)'!$L73:$EQ73)</f>
        <v>0</v>
      </c>
      <c r="BE68" s="171">
        <f>SUMIF('CF(M)'!$L$11:$EQ$11,BE$6,'CF(M)'!$L73:$EQ73)</f>
        <v>0</v>
      </c>
      <c r="BF68" s="171">
        <f>SUMIF('CF(M)'!$L$11:$EQ$11,BF$6,'CF(M)'!$L73:$EQ73)</f>
        <v>0</v>
      </c>
      <c r="BG68" s="171">
        <f>SUMIF('CF(M)'!$L$11:$EQ$11,BG$6,'CF(M)'!$L73:$EQ73)</f>
        <v>0</v>
      </c>
      <c r="BH68" s="171">
        <f>SUMIF('CF(M)'!$L$11:$EQ$11,BH$6,'CF(M)'!$L73:$EQ73)</f>
        <v>0</v>
      </c>
      <c r="BI68" s="171">
        <f>SUMIF('CF(M)'!$L$11:$EQ$11,BI$6,'CF(M)'!$L73:$EQ73)</f>
        <v>0</v>
      </c>
      <c r="BJ68" s="171">
        <f>SUMIF('CF(M)'!$L$11:$EQ$11,BJ$6,'CF(M)'!$L73:$EQ73)</f>
        <v>0</v>
      </c>
      <c r="BK68" s="171">
        <f>SUMIF('CF(M)'!$L$11:$EQ$11,BK$6,'CF(M)'!$L73:$EQ73)</f>
        <v>0</v>
      </c>
      <c r="BL68" s="171">
        <f>SUMIF('CF(M)'!$L$11:$EQ$11,BL$6,'CF(M)'!$L73:$EQ73)</f>
        <v>0</v>
      </c>
      <c r="BM68" s="171">
        <f>SUMIF('CF(M)'!$L$11:$EQ$11,BM$6,'CF(M)'!$L73:$EQ73)</f>
        <v>0</v>
      </c>
      <c r="BN68" s="171">
        <f>SUMIF('CF(M)'!$L$11:$EQ$11,BN$6,'CF(M)'!$L73:$EQ73)</f>
        <v>0</v>
      </c>
      <c r="BO68" s="171">
        <f>SUMIF('CF(M)'!$L$11:$EQ$11,BO$6,'CF(M)'!$L73:$EQ73)</f>
        <v>0</v>
      </c>
      <c r="BP68" s="171">
        <f>SUMIF('CF(M)'!$L$11:$EQ$11,BP$6,'CF(M)'!$L73:$EQ73)</f>
        <v>0</v>
      </c>
      <c r="BQ68" s="171">
        <f>SUMIF('CF(M)'!$L$11:$EQ$11,BQ$6,'CF(M)'!$L73:$EQ73)</f>
        <v>0</v>
      </c>
      <c r="BR68" s="171">
        <f>SUMIF('CF(M)'!$L$11:$EQ$11,BR$6,'CF(M)'!$L73:$EQ73)</f>
        <v>0</v>
      </c>
      <c r="BS68" s="171">
        <f>SUMIF('CF(M)'!$L$11:$EQ$11,BS$6,'CF(M)'!$L73:$EQ73)</f>
        <v>0</v>
      </c>
      <c r="BT68" s="171">
        <f>SUMIF('CF(M)'!$L$11:$EQ$11,BT$6,'CF(M)'!$L73:$EQ73)</f>
        <v>0</v>
      </c>
      <c r="BU68" s="171">
        <f>SUMIF('CF(M)'!$L$11:$EQ$11,BU$6,'CF(M)'!$L73:$EQ73)</f>
        <v>0</v>
      </c>
      <c r="BV68" s="171">
        <f>SUMIF('CF(M)'!$L$11:$EQ$11,BV$6,'CF(M)'!$L73:$EQ73)</f>
        <v>0</v>
      </c>
      <c r="BW68" s="171">
        <f>SUMIF('CF(M)'!$L$11:$EQ$11,BW$6,'CF(M)'!$L73:$EQ73)</f>
        <v>0</v>
      </c>
      <c r="BX68" s="171">
        <f>SUMIF('CF(M)'!$L$11:$EQ$11,BX$6,'CF(M)'!$L73:$EQ73)</f>
        <v>0</v>
      </c>
      <c r="BY68" s="171">
        <f>SUMIF('CF(M)'!$L$11:$EQ$11,BY$6,'CF(M)'!$L73:$EQ73)</f>
        <v>0</v>
      </c>
      <c r="BZ68" s="171">
        <f>SUMIF('CF(M)'!$L$11:$EQ$11,BZ$6,'CF(M)'!$L73:$EQ73)</f>
        <v>0</v>
      </c>
      <c r="CA68" s="171">
        <f>SUMIF('CF(M)'!$L$11:$EQ$11,CA$6,'CF(M)'!$L73:$EQ73)</f>
        <v>0</v>
      </c>
      <c r="CB68" s="171">
        <f>SUMIF('CF(M)'!$L$11:$EQ$11,CB$6,'CF(M)'!$L73:$EQ73)</f>
        <v>0</v>
      </c>
      <c r="CC68" s="171">
        <f>SUMIF('CF(M)'!$L$11:$EQ$11,CC$6,'CF(M)'!$L73:$EQ73)</f>
        <v>0</v>
      </c>
      <c r="CD68" s="171">
        <f>SUMIF('CF(M)'!$L$11:$EQ$11,CD$6,'CF(M)'!$L73:$EQ73)</f>
        <v>0</v>
      </c>
      <c r="CE68" s="171">
        <f>SUMIF('CF(M)'!$L$11:$EQ$11,CE$6,'CF(M)'!$L73:$EQ73)</f>
        <v>0</v>
      </c>
      <c r="CF68" s="171">
        <f>SUMIF('CF(M)'!$L$11:$EQ$11,CF$6,'CF(M)'!$L73:$EQ73)</f>
        <v>0</v>
      </c>
      <c r="CG68" s="171">
        <f>SUMIF('CF(M)'!$L$11:$EQ$11,CG$6,'CF(M)'!$L73:$EQ73)</f>
        <v>0</v>
      </c>
      <c r="CH68" s="171">
        <f>SUMIF('CF(M)'!$L$11:$EQ$11,CH$6,'CF(M)'!$L73:$EQ73)</f>
        <v>0</v>
      </c>
      <c r="CI68" s="171">
        <f>SUMIF('CF(M)'!$L$11:$EQ$11,CI$6,'CF(M)'!$L73:$EQ73)</f>
        <v>0</v>
      </c>
      <c r="CJ68" s="171">
        <f>SUMIF('CF(M)'!$L$11:$EQ$11,CJ$6,'CF(M)'!$L73:$EQ73)</f>
        <v>0</v>
      </c>
      <c r="CK68" s="171">
        <f>SUMIF('CF(M)'!$L$11:$EQ$11,CK$6,'CF(M)'!$L73:$EQ73)</f>
        <v>0</v>
      </c>
      <c r="CL68" s="171">
        <f>SUMIF('CF(M)'!$L$11:$EQ$11,CL$6,'CF(M)'!$L73:$EQ73)</f>
        <v>0</v>
      </c>
      <c r="CM68" s="171">
        <f>SUMIF('CF(M)'!$L$11:$EQ$11,CM$6,'CF(M)'!$L73:$EQ73)</f>
        <v>0</v>
      </c>
      <c r="CN68" s="171">
        <f>SUMIF('CF(M)'!$L$11:$EQ$11,CN$6,'CF(M)'!$L73:$EQ73)</f>
        <v>0</v>
      </c>
      <c r="CO68" s="171">
        <f>SUMIF('CF(M)'!$L$11:$EQ$11,CO$6,'CF(M)'!$L73:$EQ73)</f>
        <v>0</v>
      </c>
      <c r="CP68" s="171">
        <f>SUMIF('CF(M)'!$L$11:$EQ$11,CP$6,'CF(M)'!$L73:$EQ73)</f>
        <v>0</v>
      </c>
      <c r="CQ68" s="171">
        <f>SUMIF('CF(M)'!$L$11:$EQ$11,CQ$6,'CF(M)'!$L73:$EQ73)</f>
        <v>0</v>
      </c>
      <c r="CR68" s="171">
        <f>SUMIF('CF(M)'!$L$11:$EQ$11,CR$6,'CF(M)'!$L73:$EQ73)</f>
        <v>0</v>
      </c>
      <c r="CS68" s="171">
        <f>SUMIF('CF(M)'!$L$11:$EQ$11,CS$6,'CF(M)'!$L73:$EQ73)</f>
        <v>0</v>
      </c>
      <c r="CT68" s="171">
        <f>SUMIF('CF(M)'!$L$11:$EQ$11,CT$6,'CF(M)'!$L73:$EQ73)</f>
        <v>0</v>
      </c>
      <c r="CU68" s="171">
        <f>SUMIF('CF(M)'!$L$11:$EQ$11,CU$6,'CF(M)'!$L73:$EQ73)</f>
        <v>0</v>
      </c>
      <c r="CV68" s="171">
        <f>SUMIF('CF(M)'!$L$11:$EQ$11,CV$6,'CF(M)'!$L73:$EQ73)</f>
        <v>0</v>
      </c>
      <c r="CW68" s="171">
        <f>SUMIF('CF(M)'!$L$11:$EQ$11,CW$6,'CF(M)'!$L73:$EQ73)</f>
        <v>0</v>
      </c>
      <c r="CX68" s="171">
        <f>SUMIF('CF(M)'!$L$11:$EQ$11,CX$6,'CF(M)'!$L73:$EQ73)</f>
        <v>0</v>
      </c>
      <c r="CY68" s="171">
        <f>SUMIF('CF(M)'!$L$11:$EQ$11,CY$6,'CF(M)'!$L73:$EQ73)</f>
        <v>0</v>
      </c>
      <c r="CZ68" s="171">
        <f>SUMIF('CF(M)'!$L$11:$EQ$11,CZ$6,'CF(M)'!$L73:$EQ73)</f>
        <v>0</v>
      </c>
      <c r="DA68" s="171">
        <f>SUMIF('CF(M)'!$L$11:$EQ$11,DA$6,'CF(M)'!$L73:$EQ73)</f>
        <v>0</v>
      </c>
      <c r="DB68" s="171">
        <f>SUMIF('CF(M)'!$L$11:$EQ$11,DB$6,'CF(M)'!$L73:$EQ73)</f>
        <v>0</v>
      </c>
      <c r="DC68" s="171">
        <f>SUMIF('CF(M)'!$L$11:$EQ$11,DC$6,'CF(M)'!$L73:$EQ73)</f>
        <v>0</v>
      </c>
      <c r="DD68" s="171">
        <f>SUMIF('CF(M)'!$L$11:$EQ$11,DD$6,'CF(M)'!$L73:$EQ73)</f>
        <v>0</v>
      </c>
      <c r="DE68" s="171">
        <f>SUMIF('CF(M)'!$L$11:$EQ$11,DE$6,'CF(M)'!$L73:$EQ73)</f>
        <v>0</v>
      </c>
      <c r="DF68" s="171">
        <f>SUMIF('CF(M)'!$L$11:$EQ$11,DF$6,'CF(M)'!$L73:$EQ73)</f>
        <v>0</v>
      </c>
      <c r="DG68" s="171">
        <f>SUMIF('CF(M)'!$L$11:$EQ$11,DG$6,'CF(M)'!$L73:$EQ73)</f>
        <v>0</v>
      </c>
      <c r="DH68" s="171">
        <f>SUMIF('CF(M)'!$L$11:$EQ$11,DH$6,'CF(M)'!$L73:$EQ73)</f>
        <v>0</v>
      </c>
      <c r="DI68" s="171">
        <f>SUMIF('CF(M)'!$L$11:$EQ$11,DI$6,'CF(M)'!$L73:$EQ73)</f>
        <v>0</v>
      </c>
      <c r="DJ68" s="171">
        <f>SUMIF('CF(M)'!$L$11:$EQ$11,DJ$6,'CF(M)'!$L73:$EQ73)</f>
        <v>0</v>
      </c>
      <c r="DK68" s="171">
        <f>SUMIF('CF(M)'!$L$11:$EQ$11,DK$6,'CF(M)'!$L73:$EQ73)</f>
        <v>0</v>
      </c>
      <c r="DL68" s="171">
        <f>SUMIF('CF(M)'!$L$11:$EQ$11,DL$6,'CF(M)'!$L73:$EQ73)</f>
        <v>0</v>
      </c>
      <c r="DM68" s="171">
        <f>SUMIF('CF(M)'!$L$11:$EQ$11,DM$6,'CF(M)'!$L73:$EQ73)</f>
        <v>0</v>
      </c>
      <c r="DN68" s="171">
        <f>SUMIF('CF(M)'!$L$11:$EQ$11,DN$6,'CF(M)'!$L73:$EQ73)</f>
        <v>0</v>
      </c>
      <c r="DO68" s="171">
        <f>SUMIF('CF(M)'!$L$11:$EQ$11,DO$6,'CF(M)'!$L73:$EQ73)</f>
        <v>0</v>
      </c>
      <c r="DP68" s="171">
        <f>SUMIF('CF(M)'!$L$11:$EQ$11,DP$6,'CF(M)'!$L73:$EQ73)</f>
        <v>0</v>
      </c>
      <c r="DQ68" s="171">
        <f>SUMIF('CF(M)'!$L$11:$EQ$11,DQ$6,'CF(M)'!$L73:$EQ73)</f>
        <v>0</v>
      </c>
      <c r="DR68" s="171">
        <f>SUMIF('CF(M)'!$L$11:$EQ$11,DR$6,'CF(M)'!$L73:$EQ73)</f>
        <v>0</v>
      </c>
      <c r="DS68" s="171">
        <f>SUMIF('CF(M)'!$L$11:$EQ$11,DS$6,'CF(M)'!$L73:$EQ73)</f>
        <v>0</v>
      </c>
      <c r="DT68" s="171">
        <f>SUMIF('CF(M)'!$L$11:$EQ$11,DT$6,'CF(M)'!$L73:$EQ73)</f>
        <v>0</v>
      </c>
      <c r="DU68" s="171">
        <f>SUMIF('CF(M)'!$L$11:$EQ$11,DU$6,'CF(M)'!$L73:$EQ73)</f>
        <v>0</v>
      </c>
      <c r="DV68" s="171">
        <f>SUMIF('CF(M)'!$L$11:$EQ$11,DV$6,'CF(M)'!$L73:$EQ73)</f>
        <v>0</v>
      </c>
    </row>
    <row r="69" spans="2:126" ht="11.25" customHeight="1">
      <c r="B69" s="218"/>
      <c r="C69" s="158" t="str">
        <f>'CF(M)'!C74</f>
        <v>담보대출(2nd)</v>
      </c>
      <c r="D69" s="159"/>
      <c r="E69" s="159"/>
      <c r="F69" s="159"/>
      <c r="G69" s="159"/>
      <c r="H69" s="160"/>
      <c r="I69" s="219"/>
      <c r="J69" s="220">
        <f>SUM(J70:J71)</f>
        <v>0</v>
      </c>
      <c r="K69" s="98"/>
      <c r="L69" s="162">
        <f>SUM(L70:L71)</f>
        <v>0</v>
      </c>
      <c r="M69" s="162">
        <f t="shared" ref="M69:BX69" si="34">SUM(M70:M71)</f>
        <v>0</v>
      </c>
      <c r="N69" s="162">
        <f t="shared" si="34"/>
        <v>213000000</v>
      </c>
      <c r="O69" s="162">
        <f t="shared" si="34"/>
        <v>0</v>
      </c>
      <c r="P69" s="162">
        <f t="shared" si="34"/>
        <v>0</v>
      </c>
      <c r="Q69" s="162">
        <f t="shared" si="34"/>
        <v>-213000000</v>
      </c>
      <c r="R69" s="162">
        <f t="shared" si="34"/>
        <v>0</v>
      </c>
      <c r="S69" s="162">
        <f t="shared" si="34"/>
        <v>0</v>
      </c>
      <c r="T69" s="162">
        <f t="shared" si="34"/>
        <v>0</v>
      </c>
      <c r="U69" s="162">
        <f t="shared" si="34"/>
        <v>0</v>
      </c>
      <c r="V69" s="162">
        <f t="shared" si="34"/>
        <v>0</v>
      </c>
      <c r="W69" s="162">
        <f t="shared" si="34"/>
        <v>0</v>
      </c>
      <c r="X69" s="162">
        <f t="shared" si="34"/>
        <v>0</v>
      </c>
      <c r="Y69" s="162">
        <f t="shared" si="34"/>
        <v>0</v>
      </c>
      <c r="Z69" s="162">
        <f t="shared" si="34"/>
        <v>0</v>
      </c>
      <c r="AA69" s="162">
        <f t="shared" si="34"/>
        <v>0</v>
      </c>
      <c r="AB69" s="162">
        <f t="shared" si="34"/>
        <v>0</v>
      </c>
      <c r="AC69" s="162">
        <f t="shared" si="34"/>
        <v>0</v>
      </c>
      <c r="AD69" s="162">
        <f t="shared" si="34"/>
        <v>0</v>
      </c>
      <c r="AE69" s="162">
        <f t="shared" si="34"/>
        <v>0</v>
      </c>
      <c r="AF69" s="162">
        <f t="shared" si="34"/>
        <v>0</v>
      </c>
      <c r="AG69" s="162">
        <f t="shared" si="34"/>
        <v>0</v>
      </c>
      <c r="AH69" s="162">
        <f t="shared" si="34"/>
        <v>0</v>
      </c>
      <c r="AI69" s="162">
        <f t="shared" si="34"/>
        <v>0</v>
      </c>
      <c r="AJ69" s="162">
        <f t="shared" si="34"/>
        <v>0</v>
      </c>
      <c r="AK69" s="162">
        <f t="shared" si="34"/>
        <v>0</v>
      </c>
      <c r="AL69" s="162">
        <f t="shared" si="34"/>
        <v>0</v>
      </c>
      <c r="AM69" s="162">
        <f t="shared" si="34"/>
        <v>0</v>
      </c>
      <c r="AN69" s="162">
        <f t="shared" si="34"/>
        <v>0</v>
      </c>
      <c r="AO69" s="162">
        <f t="shared" si="34"/>
        <v>0</v>
      </c>
      <c r="AP69" s="162">
        <f t="shared" si="34"/>
        <v>0</v>
      </c>
      <c r="AQ69" s="162">
        <f t="shared" si="34"/>
        <v>0</v>
      </c>
      <c r="AR69" s="162">
        <f t="shared" si="34"/>
        <v>0</v>
      </c>
      <c r="AS69" s="162">
        <f t="shared" si="34"/>
        <v>0</v>
      </c>
      <c r="AT69" s="162">
        <f t="shared" si="34"/>
        <v>0</v>
      </c>
      <c r="AU69" s="162">
        <f t="shared" si="34"/>
        <v>0</v>
      </c>
      <c r="AV69" s="162">
        <f t="shared" si="34"/>
        <v>0</v>
      </c>
      <c r="AW69" s="162">
        <f t="shared" si="34"/>
        <v>0</v>
      </c>
      <c r="AX69" s="162">
        <f t="shared" si="34"/>
        <v>0</v>
      </c>
      <c r="AY69" s="162">
        <f t="shared" si="34"/>
        <v>0</v>
      </c>
      <c r="AZ69" s="162">
        <f t="shared" si="34"/>
        <v>0</v>
      </c>
      <c r="BA69" s="162">
        <f t="shared" si="34"/>
        <v>0</v>
      </c>
      <c r="BB69" s="162">
        <f t="shared" si="34"/>
        <v>0</v>
      </c>
      <c r="BC69" s="162">
        <f t="shared" si="34"/>
        <v>0</v>
      </c>
      <c r="BD69" s="162">
        <f t="shared" si="34"/>
        <v>0</v>
      </c>
      <c r="BE69" s="162">
        <f t="shared" si="34"/>
        <v>0</v>
      </c>
      <c r="BF69" s="162">
        <f t="shared" si="34"/>
        <v>0</v>
      </c>
      <c r="BG69" s="162">
        <f t="shared" si="34"/>
        <v>0</v>
      </c>
      <c r="BH69" s="162">
        <f t="shared" si="34"/>
        <v>0</v>
      </c>
      <c r="BI69" s="162">
        <f t="shared" si="34"/>
        <v>0</v>
      </c>
      <c r="BJ69" s="162">
        <f t="shared" si="34"/>
        <v>0</v>
      </c>
      <c r="BK69" s="162">
        <f t="shared" si="34"/>
        <v>0</v>
      </c>
      <c r="BL69" s="162">
        <f t="shared" si="34"/>
        <v>0</v>
      </c>
      <c r="BM69" s="162">
        <f t="shared" si="34"/>
        <v>0</v>
      </c>
      <c r="BN69" s="162">
        <f t="shared" si="34"/>
        <v>0</v>
      </c>
      <c r="BO69" s="162">
        <f t="shared" si="34"/>
        <v>0</v>
      </c>
      <c r="BP69" s="162">
        <f t="shared" si="34"/>
        <v>0</v>
      </c>
      <c r="BQ69" s="162">
        <f t="shared" si="34"/>
        <v>0</v>
      </c>
      <c r="BR69" s="162">
        <f t="shared" si="34"/>
        <v>0</v>
      </c>
      <c r="BS69" s="162">
        <f t="shared" si="34"/>
        <v>0</v>
      </c>
      <c r="BT69" s="162">
        <f t="shared" si="34"/>
        <v>0</v>
      </c>
      <c r="BU69" s="162">
        <f t="shared" si="34"/>
        <v>0</v>
      </c>
      <c r="BV69" s="162">
        <f t="shared" si="34"/>
        <v>0</v>
      </c>
      <c r="BW69" s="162">
        <f t="shared" si="34"/>
        <v>0</v>
      </c>
      <c r="BX69" s="162">
        <f t="shared" si="34"/>
        <v>0</v>
      </c>
      <c r="BY69" s="162">
        <f t="shared" ref="BY69:DV69" si="35">SUM(BY70:BY71)</f>
        <v>0</v>
      </c>
      <c r="BZ69" s="162">
        <f t="shared" si="35"/>
        <v>0</v>
      </c>
      <c r="CA69" s="162">
        <f t="shared" si="35"/>
        <v>0</v>
      </c>
      <c r="CB69" s="162">
        <f t="shared" si="35"/>
        <v>0</v>
      </c>
      <c r="CC69" s="162">
        <f t="shared" si="35"/>
        <v>0</v>
      </c>
      <c r="CD69" s="162">
        <f t="shared" si="35"/>
        <v>0</v>
      </c>
      <c r="CE69" s="162">
        <f t="shared" si="35"/>
        <v>0</v>
      </c>
      <c r="CF69" s="162">
        <f t="shared" si="35"/>
        <v>0</v>
      </c>
      <c r="CG69" s="162">
        <f t="shared" si="35"/>
        <v>0</v>
      </c>
      <c r="CH69" s="162">
        <f t="shared" si="35"/>
        <v>0</v>
      </c>
      <c r="CI69" s="162">
        <f t="shared" si="35"/>
        <v>0</v>
      </c>
      <c r="CJ69" s="162">
        <f t="shared" si="35"/>
        <v>0</v>
      </c>
      <c r="CK69" s="162">
        <f t="shared" si="35"/>
        <v>0</v>
      </c>
      <c r="CL69" s="162">
        <f t="shared" si="35"/>
        <v>0</v>
      </c>
      <c r="CM69" s="162">
        <f t="shared" si="35"/>
        <v>0</v>
      </c>
      <c r="CN69" s="162">
        <f t="shared" si="35"/>
        <v>0</v>
      </c>
      <c r="CO69" s="162">
        <f t="shared" si="35"/>
        <v>0</v>
      </c>
      <c r="CP69" s="162">
        <f t="shared" si="35"/>
        <v>0</v>
      </c>
      <c r="CQ69" s="162">
        <f t="shared" si="35"/>
        <v>0</v>
      </c>
      <c r="CR69" s="162">
        <f t="shared" si="35"/>
        <v>0</v>
      </c>
      <c r="CS69" s="162">
        <f t="shared" si="35"/>
        <v>0</v>
      </c>
      <c r="CT69" s="162">
        <f t="shared" si="35"/>
        <v>0</v>
      </c>
      <c r="CU69" s="162">
        <f t="shared" si="35"/>
        <v>0</v>
      </c>
      <c r="CV69" s="162">
        <f t="shared" si="35"/>
        <v>0</v>
      </c>
      <c r="CW69" s="162">
        <f t="shared" si="35"/>
        <v>0</v>
      </c>
      <c r="CX69" s="162">
        <f t="shared" si="35"/>
        <v>0</v>
      </c>
      <c r="CY69" s="162">
        <f t="shared" si="35"/>
        <v>0</v>
      </c>
      <c r="CZ69" s="162">
        <f t="shared" si="35"/>
        <v>0</v>
      </c>
      <c r="DA69" s="162">
        <f t="shared" si="35"/>
        <v>0</v>
      </c>
      <c r="DB69" s="162">
        <f t="shared" si="35"/>
        <v>0</v>
      </c>
      <c r="DC69" s="162">
        <f t="shared" si="35"/>
        <v>0</v>
      </c>
      <c r="DD69" s="162">
        <f t="shared" si="35"/>
        <v>0</v>
      </c>
      <c r="DE69" s="162">
        <f t="shared" si="35"/>
        <v>0</v>
      </c>
      <c r="DF69" s="162">
        <f t="shared" si="35"/>
        <v>0</v>
      </c>
      <c r="DG69" s="162">
        <f t="shared" si="35"/>
        <v>0</v>
      </c>
      <c r="DH69" s="162">
        <f t="shared" si="35"/>
        <v>0</v>
      </c>
      <c r="DI69" s="162">
        <f t="shared" si="35"/>
        <v>0</v>
      </c>
      <c r="DJ69" s="162">
        <f t="shared" si="35"/>
        <v>0</v>
      </c>
      <c r="DK69" s="162">
        <f t="shared" si="35"/>
        <v>0</v>
      </c>
      <c r="DL69" s="162">
        <f t="shared" si="35"/>
        <v>0</v>
      </c>
      <c r="DM69" s="162">
        <f t="shared" si="35"/>
        <v>0</v>
      </c>
      <c r="DN69" s="162">
        <f t="shared" si="35"/>
        <v>0</v>
      </c>
      <c r="DO69" s="162">
        <f t="shared" si="35"/>
        <v>0</v>
      </c>
      <c r="DP69" s="162">
        <f t="shared" si="35"/>
        <v>0</v>
      </c>
      <c r="DQ69" s="162">
        <f t="shared" si="35"/>
        <v>0</v>
      </c>
      <c r="DR69" s="162">
        <f t="shared" si="35"/>
        <v>0</v>
      </c>
      <c r="DS69" s="162">
        <f t="shared" si="35"/>
        <v>0</v>
      </c>
      <c r="DT69" s="162">
        <f t="shared" si="35"/>
        <v>0</v>
      </c>
      <c r="DU69" s="162">
        <f t="shared" si="35"/>
        <v>0</v>
      </c>
      <c r="DV69" s="162">
        <f t="shared" si="35"/>
        <v>0</v>
      </c>
    </row>
    <row r="70" spans="2:126" ht="11.25" customHeight="1">
      <c r="B70" s="218"/>
      <c r="C70" s="163"/>
      <c r="D70" s="164" t="s">
        <v>208</v>
      </c>
      <c r="E70" s="165"/>
      <c r="F70" s="165"/>
      <c r="G70" s="165"/>
      <c r="H70" s="166"/>
      <c r="I70" s="228"/>
      <c r="J70" s="168">
        <f>SUM(L70:DV70)</f>
        <v>213000000</v>
      </c>
      <c r="K70" s="98"/>
      <c r="L70" s="168">
        <f>SUMIF('CF(M)'!$L$11:$EQ$11,L$6,'CF(M)'!$L75:$EQ75)</f>
        <v>0</v>
      </c>
      <c r="M70" s="168">
        <f>SUMIF('CF(M)'!$L$11:$EQ$11,M$6,'CF(M)'!$L75:$EQ75)</f>
        <v>0</v>
      </c>
      <c r="N70" s="168">
        <f>SUMIF('CF(M)'!$L$11:$EQ$11,N$6,'CF(M)'!$L75:$EQ75)</f>
        <v>213000000</v>
      </c>
      <c r="O70" s="168">
        <f>SUMIF('CF(M)'!$L$11:$EQ$11,O$6,'CF(M)'!$L75:$EQ75)</f>
        <v>0</v>
      </c>
      <c r="P70" s="168">
        <f>SUMIF('CF(M)'!$L$11:$EQ$11,P$6,'CF(M)'!$L75:$EQ75)</f>
        <v>0</v>
      </c>
      <c r="Q70" s="168">
        <f>SUMIF('CF(M)'!$L$11:$EQ$11,Q$6,'CF(M)'!$L75:$EQ75)</f>
        <v>0</v>
      </c>
      <c r="R70" s="168">
        <f>SUMIF('CF(M)'!$L$11:$EQ$11,R$6,'CF(M)'!$L75:$EQ75)</f>
        <v>0</v>
      </c>
      <c r="S70" s="168">
        <f>SUMIF('CF(M)'!$L$11:$EQ$11,S$6,'CF(M)'!$L75:$EQ75)</f>
        <v>0</v>
      </c>
      <c r="T70" s="168">
        <f>SUMIF('CF(M)'!$L$11:$EQ$11,T$6,'CF(M)'!$L75:$EQ75)</f>
        <v>0</v>
      </c>
      <c r="U70" s="168">
        <f>SUMIF('CF(M)'!$L$11:$EQ$11,U$6,'CF(M)'!$L75:$EQ75)</f>
        <v>0</v>
      </c>
      <c r="V70" s="168">
        <f>SUMIF('CF(M)'!$L$11:$EQ$11,V$6,'CF(M)'!$L75:$EQ75)</f>
        <v>0</v>
      </c>
      <c r="W70" s="168">
        <f>SUMIF('CF(M)'!$L$11:$EQ$11,W$6,'CF(M)'!$L75:$EQ75)</f>
        <v>0</v>
      </c>
      <c r="X70" s="168">
        <f>SUMIF('CF(M)'!$L$11:$EQ$11,X$6,'CF(M)'!$L75:$EQ75)</f>
        <v>0</v>
      </c>
      <c r="Y70" s="168">
        <f>SUMIF('CF(M)'!$L$11:$EQ$11,Y$6,'CF(M)'!$L75:$EQ75)</f>
        <v>0</v>
      </c>
      <c r="Z70" s="168">
        <f>SUMIF('CF(M)'!$L$11:$EQ$11,Z$6,'CF(M)'!$L75:$EQ75)</f>
        <v>0</v>
      </c>
      <c r="AA70" s="168">
        <f>SUMIF('CF(M)'!$L$11:$EQ$11,AA$6,'CF(M)'!$L75:$EQ75)</f>
        <v>0</v>
      </c>
      <c r="AB70" s="168">
        <f>SUMIF('CF(M)'!$L$11:$EQ$11,AB$6,'CF(M)'!$L75:$EQ75)</f>
        <v>0</v>
      </c>
      <c r="AC70" s="168">
        <f>SUMIF('CF(M)'!$L$11:$EQ$11,AC$6,'CF(M)'!$L75:$EQ75)</f>
        <v>0</v>
      </c>
      <c r="AD70" s="168">
        <f>SUMIF('CF(M)'!$L$11:$EQ$11,AD$6,'CF(M)'!$L75:$EQ75)</f>
        <v>0</v>
      </c>
      <c r="AE70" s="168">
        <f>SUMIF('CF(M)'!$L$11:$EQ$11,AE$6,'CF(M)'!$L75:$EQ75)</f>
        <v>0</v>
      </c>
      <c r="AF70" s="168">
        <f>SUMIF('CF(M)'!$L$11:$EQ$11,AF$6,'CF(M)'!$L75:$EQ75)</f>
        <v>0</v>
      </c>
      <c r="AG70" s="168">
        <f>SUMIF('CF(M)'!$L$11:$EQ$11,AG$6,'CF(M)'!$L75:$EQ75)</f>
        <v>0</v>
      </c>
      <c r="AH70" s="168">
        <f>SUMIF('CF(M)'!$L$11:$EQ$11,AH$6,'CF(M)'!$L75:$EQ75)</f>
        <v>0</v>
      </c>
      <c r="AI70" s="168">
        <f>SUMIF('CF(M)'!$L$11:$EQ$11,AI$6,'CF(M)'!$L75:$EQ75)</f>
        <v>0</v>
      </c>
      <c r="AJ70" s="168">
        <f>SUMIF('CF(M)'!$L$11:$EQ$11,AJ$6,'CF(M)'!$L75:$EQ75)</f>
        <v>0</v>
      </c>
      <c r="AK70" s="168">
        <f>SUMIF('CF(M)'!$L$11:$EQ$11,AK$6,'CF(M)'!$L75:$EQ75)</f>
        <v>0</v>
      </c>
      <c r="AL70" s="168">
        <f>SUMIF('CF(M)'!$L$11:$EQ$11,AL$6,'CF(M)'!$L75:$EQ75)</f>
        <v>0</v>
      </c>
      <c r="AM70" s="168">
        <f>SUMIF('CF(M)'!$L$11:$EQ$11,AM$6,'CF(M)'!$L75:$EQ75)</f>
        <v>0</v>
      </c>
      <c r="AN70" s="168">
        <f>SUMIF('CF(M)'!$L$11:$EQ$11,AN$6,'CF(M)'!$L75:$EQ75)</f>
        <v>0</v>
      </c>
      <c r="AO70" s="168">
        <f>SUMIF('CF(M)'!$L$11:$EQ$11,AO$6,'CF(M)'!$L75:$EQ75)</f>
        <v>0</v>
      </c>
      <c r="AP70" s="168">
        <f>SUMIF('CF(M)'!$L$11:$EQ$11,AP$6,'CF(M)'!$L75:$EQ75)</f>
        <v>0</v>
      </c>
      <c r="AQ70" s="168">
        <f>SUMIF('CF(M)'!$L$11:$EQ$11,AQ$6,'CF(M)'!$L75:$EQ75)</f>
        <v>0</v>
      </c>
      <c r="AR70" s="168">
        <f>SUMIF('CF(M)'!$L$11:$EQ$11,AR$6,'CF(M)'!$L75:$EQ75)</f>
        <v>0</v>
      </c>
      <c r="AS70" s="168">
        <f>SUMIF('CF(M)'!$L$11:$EQ$11,AS$6,'CF(M)'!$L75:$EQ75)</f>
        <v>0</v>
      </c>
      <c r="AT70" s="168">
        <f>SUMIF('CF(M)'!$L$11:$EQ$11,AT$6,'CF(M)'!$L75:$EQ75)</f>
        <v>0</v>
      </c>
      <c r="AU70" s="168">
        <f>SUMIF('CF(M)'!$L$11:$EQ$11,AU$6,'CF(M)'!$L75:$EQ75)</f>
        <v>0</v>
      </c>
      <c r="AV70" s="168">
        <f>SUMIF('CF(M)'!$L$11:$EQ$11,AV$6,'CF(M)'!$L75:$EQ75)</f>
        <v>0</v>
      </c>
      <c r="AW70" s="168">
        <f>SUMIF('CF(M)'!$L$11:$EQ$11,AW$6,'CF(M)'!$L75:$EQ75)</f>
        <v>0</v>
      </c>
      <c r="AX70" s="168">
        <f>SUMIF('CF(M)'!$L$11:$EQ$11,AX$6,'CF(M)'!$L75:$EQ75)</f>
        <v>0</v>
      </c>
      <c r="AY70" s="168">
        <f>SUMIF('CF(M)'!$L$11:$EQ$11,AY$6,'CF(M)'!$L75:$EQ75)</f>
        <v>0</v>
      </c>
      <c r="AZ70" s="168">
        <f>SUMIF('CF(M)'!$L$11:$EQ$11,AZ$6,'CF(M)'!$L75:$EQ75)</f>
        <v>0</v>
      </c>
      <c r="BA70" s="168">
        <f>SUMIF('CF(M)'!$L$11:$EQ$11,BA$6,'CF(M)'!$L75:$EQ75)</f>
        <v>0</v>
      </c>
      <c r="BB70" s="168">
        <f>SUMIF('CF(M)'!$L$11:$EQ$11,BB$6,'CF(M)'!$L75:$EQ75)</f>
        <v>0</v>
      </c>
      <c r="BC70" s="168">
        <f>SUMIF('CF(M)'!$L$11:$EQ$11,BC$6,'CF(M)'!$L75:$EQ75)</f>
        <v>0</v>
      </c>
      <c r="BD70" s="168">
        <f>SUMIF('CF(M)'!$L$11:$EQ$11,BD$6,'CF(M)'!$L75:$EQ75)</f>
        <v>0</v>
      </c>
      <c r="BE70" s="168">
        <f>SUMIF('CF(M)'!$L$11:$EQ$11,BE$6,'CF(M)'!$L75:$EQ75)</f>
        <v>0</v>
      </c>
      <c r="BF70" s="168">
        <f>SUMIF('CF(M)'!$L$11:$EQ$11,BF$6,'CF(M)'!$L75:$EQ75)</f>
        <v>0</v>
      </c>
      <c r="BG70" s="168">
        <f>SUMIF('CF(M)'!$L$11:$EQ$11,BG$6,'CF(M)'!$L75:$EQ75)</f>
        <v>0</v>
      </c>
      <c r="BH70" s="168">
        <f>SUMIF('CF(M)'!$L$11:$EQ$11,BH$6,'CF(M)'!$L75:$EQ75)</f>
        <v>0</v>
      </c>
      <c r="BI70" s="168">
        <f>SUMIF('CF(M)'!$L$11:$EQ$11,BI$6,'CF(M)'!$L75:$EQ75)</f>
        <v>0</v>
      </c>
      <c r="BJ70" s="168">
        <f>SUMIF('CF(M)'!$L$11:$EQ$11,BJ$6,'CF(M)'!$L75:$EQ75)</f>
        <v>0</v>
      </c>
      <c r="BK70" s="168">
        <f>SUMIF('CF(M)'!$L$11:$EQ$11,BK$6,'CF(M)'!$L75:$EQ75)</f>
        <v>0</v>
      </c>
      <c r="BL70" s="168">
        <f>SUMIF('CF(M)'!$L$11:$EQ$11,BL$6,'CF(M)'!$L75:$EQ75)</f>
        <v>0</v>
      </c>
      <c r="BM70" s="168">
        <f>SUMIF('CF(M)'!$L$11:$EQ$11,BM$6,'CF(M)'!$L75:$EQ75)</f>
        <v>0</v>
      </c>
      <c r="BN70" s="168">
        <f>SUMIF('CF(M)'!$L$11:$EQ$11,BN$6,'CF(M)'!$L75:$EQ75)</f>
        <v>0</v>
      </c>
      <c r="BO70" s="168">
        <f>SUMIF('CF(M)'!$L$11:$EQ$11,BO$6,'CF(M)'!$L75:$EQ75)</f>
        <v>0</v>
      </c>
      <c r="BP70" s="168">
        <f>SUMIF('CF(M)'!$L$11:$EQ$11,BP$6,'CF(M)'!$L75:$EQ75)</f>
        <v>0</v>
      </c>
      <c r="BQ70" s="168">
        <f>SUMIF('CF(M)'!$L$11:$EQ$11,BQ$6,'CF(M)'!$L75:$EQ75)</f>
        <v>0</v>
      </c>
      <c r="BR70" s="168">
        <f>SUMIF('CF(M)'!$L$11:$EQ$11,BR$6,'CF(M)'!$L75:$EQ75)</f>
        <v>0</v>
      </c>
      <c r="BS70" s="168">
        <f>SUMIF('CF(M)'!$L$11:$EQ$11,BS$6,'CF(M)'!$L75:$EQ75)</f>
        <v>0</v>
      </c>
      <c r="BT70" s="168">
        <f>SUMIF('CF(M)'!$L$11:$EQ$11,BT$6,'CF(M)'!$L75:$EQ75)</f>
        <v>0</v>
      </c>
      <c r="BU70" s="168">
        <f>SUMIF('CF(M)'!$L$11:$EQ$11,BU$6,'CF(M)'!$L75:$EQ75)</f>
        <v>0</v>
      </c>
      <c r="BV70" s="168">
        <f>SUMIF('CF(M)'!$L$11:$EQ$11,BV$6,'CF(M)'!$L75:$EQ75)</f>
        <v>0</v>
      </c>
      <c r="BW70" s="168">
        <f>SUMIF('CF(M)'!$L$11:$EQ$11,BW$6,'CF(M)'!$L75:$EQ75)</f>
        <v>0</v>
      </c>
      <c r="BX70" s="168">
        <f>SUMIF('CF(M)'!$L$11:$EQ$11,BX$6,'CF(M)'!$L75:$EQ75)</f>
        <v>0</v>
      </c>
      <c r="BY70" s="168">
        <f>SUMIF('CF(M)'!$L$11:$EQ$11,BY$6,'CF(M)'!$L75:$EQ75)</f>
        <v>0</v>
      </c>
      <c r="BZ70" s="168">
        <f>SUMIF('CF(M)'!$L$11:$EQ$11,BZ$6,'CF(M)'!$L75:$EQ75)</f>
        <v>0</v>
      </c>
      <c r="CA70" s="168">
        <f>SUMIF('CF(M)'!$L$11:$EQ$11,CA$6,'CF(M)'!$L75:$EQ75)</f>
        <v>0</v>
      </c>
      <c r="CB70" s="168">
        <f>SUMIF('CF(M)'!$L$11:$EQ$11,CB$6,'CF(M)'!$L75:$EQ75)</f>
        <v>0</v>
      </c>
      <c r="CC70" s="168">
        <f>SUMIF('CF(M)'!$L$11:$EQ$11,CC$6,'CF(M)'!$L75:$EQ75)</f>
        <v>0</v>
      </c>
      <c r="CD70" s="168">
        <f>SUMIF('CF(M)'!$L$11:$EQ$11,CD$6,'CF(M)'!$L75:$EQ75)</f>
        <v>0</v>
      </c>
      <c r="CE70" s="168">
        <f>SUMIF('CF(M)'!$L$11:$EQ$11,CE$6,'CF(M)'!$L75:$EQ75)</f>
        <v>0</v>
      </c>
      <c r="CF70" s="168">
        <f>SUMIF('CF(M)'!$L$11:$EQ$11,CF$6,'CF(M)'!$L75:$EQ75)</f>
        <v>0</v>
      </c>
      <c r="CG70" s="168">
        <f>SUMIF('CF(M)'!$L$11:$EQ$11,CG$6,'CF(M)'!$L75:$EQ75)</f>
        <v>0</v>
      </c>
      <c r="CH70" s="168">
        <f>SUMIF('CF(M)'!$L$11:$EQ$11,CH$6,'CF(M)'!$L75:$EQ75)</f>
        <v>0</v>
      </c>
      <c r="CI70" s="168">
        <f>SUMIF('CF(M)'!$L$11:$EQ$11,CI$6,'CF(M)'!$L75:$EQ75)</f>
        <v>0</v>
      </c>
      <c r="CJ70" s="168">
        <f>SUMIF('CF(M)'!$L$11:$EQ$11,CJ$6,'CF(M)'!$L75:$EQ75)</f>
        <v>0</v>
      </c>
      <c r="CK70" s="168">
        <f>SUMIF('CF(M)'!$L$11:$EQ$11,CK$6,'CF(M)'!$L75:$EQ75)</f>
        <v>0</v>
      </c>
      <c r="CL70" s="168">
        <f>SUMIF('CF(M)'!$L$11:$EQ$11,CL$6,'CF(M)'!$L75:$EQ75)</f>
        <v>0</v>
      </c>
      <c r="CM70" s="168">
        <f>SUMIF('CF(M)'!$L$11:$EQ$11,CM$6,'CF(M)'!$L75:$EQ75)</f>
        <v>0</v>
      </c>
      <c r="CN70" s="168">
        <f>SUMIF('CF(M)'!$L$11:$EQ$11,CN$6,'CF(M)'!$L75:$EQ75)</f>
        <v>0</v>
      </c>
      <c r="CO70" s="168">
        <f>SUMIF('CF(M)'!$L$11:$EQ$11,CO$6,'CF(M)'!$L75:$EQ75)</f>
        <v>0</v>
      </c>
      <c r="CP70" s="168">
        <f>SUMIF('CF(M)'!$L$11:$EQ$11,CP$6,'CF(M)'!$L75:$EQ75)</f>
        <v>0</v>
      </c>
      <c r="CQ70" s="168">
        <f>SUMIF('CF(M)'!$L$11:$EQ$11,CQ$6,'CF(M)'!$L75:$EQ75)</f>
        <v>0</v>
      </c>
      <c r="CR70" s="168">
        <f>SUMIF('CF(M)'!$L$11:$EQ$11,CR$6,'CF(M)'!$L75:$EQ75)</f>
        <v>0</v>
      </c>
      <c r="CS70" s="168">
        <f>SUMIF('CF(M)'!$L$11:$EQ$11,CS$6,'CF(M)'!$L75:$EQ75)</f>
        <v>0</v>
      </c>
      <c r="CT70" s="168">
        <f>SUMIF('CF(M)'!$L$11:$EQ$11,CT$6,'CF(M)'!$L75:$EQ75)</f>
        <v>0</v>
      </c>
      <c r="CU70" s="168">
        <f>SUMIF('CF(M)'!$L$11:$EQ$11,CU$6,'CF(M)'!$L75:$EQ75)</f>
        <v>0</v>
      </c>
      <c r="CV70" s="168">
        <f>SUMIF('CF(M)'!$L$11:$EQ$11,CV$6,'CF(M)'!$L75:$EQ75)</f>
        <v>0</v>
      </c>
      <c r="CW70" s="168">
        <f>SUMIF('CF(M)'!$L$11:$EQ$11,CW$6,'CF(M)'!$L75:$EQ75)</f>
        <v>0</v>
      </c>
      <c r="CX70" s="168">
        <f>SUMIF('CF(M)'!$L$11:$EQ$11,CX$6,'CF(M)'!$L75:$EQ75)</f>
        <v>0</v>
      </c>
      <c r="CY70" s="168">
        <f>SUMIF('CF(M)'!$L$11:$EQ$11,CY$6,'CF(M)'!$L75:$EQ75)</f>
        <v>0</v>
      </c>
      <c r="CZ70" s="168">
        <f>SUMIF('CF(M)'!$L$11:$EQ$11,CZ$6,'CF(M)'!$L75:$EQ75)</f>
        <v>0</v>
      </c>
      <c r="DA70" s="168">
        <f>SUMIF('CF(M)'!$L$11:$EQ$11,DA$6,'CF(M)'!$L75:$EQ75)</f>
        <v>0</v>
      </c>
      <c r="DB70" s="168">
        <f>SUMIF('CF(M)'!$L$11:$EQ$11,DB$6,'CF(M)'!$L75:$EQ75)</f>
        <v>0</v>
      </c>
      <c r="DC70" s="168">
        <f>SUMIF('CF(M)'!$L$11:$EQ$11,DC$6,'CF(M)'!$L75:$EQ75)</f>
        <v>0</v>
      </c>
      <c r="DD70" s="168">
        <f>SUMIF('CF(M)'!$L$11:$EQ$11,DD$6,'CF(M)'!$L75:$EQ75)</f>
        <v>0</v>
      </c>
      <c r="DE70" s="168">
        <f>SUMIF('CF(M)'!$L$11:$EQ$11,DE$6,'CF(M)'!$L75:$EQ75)</f>
        <v>0</v>
      </c>
      <c r="DF70" s="168">
        <f>SUMIF('CF(M)'!$L$11:$EQ$11,DF$6,'CF(M)'!$L75:$EQ75)</f>
        <v>0</v>
      </c>
      <c r="DG70" s="168">
        <f>SUMIF('CF(M)'!$L$11:$EQ$11,DG$6,'CF(M)'!$L75:$EQ75)</f>
        <v>0</v>
      </c>
      <c r="DH70" s="168">
        <f>SUMIF('CF(M)'!$L$11:$EQ$11,DH$6,'CF(M)'!$L75:$EQ75)</f>
        <v>0</v>
      </c>
      <c r="DI70" s="168">
        <f>SUMIF('CF(M)'!$L$11:$EQ$11,DI$6,'CF(M)'!$L75:$EQ75)</f>
        <v>0</v>
      </c>
      <c r="DJ70" s="168">
        <f>SUMIF('CF(M)'!$L$11:$EQ$11,DJ$6,'CF(M)'!$L75:$EQ75)</f>
        <v>0</v>
      </c>
      <c r="DK70" s="168">
        <f>SUMIF('CF(M)'!$L$11:$EQ$11,DK$6,'CF(M)'!$L75:$EQ75)</f>
        <v>0</v>
      </c>
      <c r="DL70" s="168">
        <f>SUMIF('CF(M)'!$L$11:$EQ$11,DL$6,'CF(M)'!$L75:$EQ75)</f>
        <v>0</v>
      </c>
      <c r="DM70" s="168">
        <f>SUMIF('CF(M)'!$L$11:$EQ$11,DM$6,'CF(M)'!$L75:$EQ75)</f>
        <v>0</v>
      </c>
      <c r="DN70" s="168">
        <f>SUMIF('CF(M)'!$L$11:$EQ$11,DN$6,'CF(M)'!$L75:$EQ75)</f>
        <v>0</v>
      </c>
      <c r="DO70" s="168">
        <f>SUMIF('CF(M)'!$L$11:$EQ$11,DO$6,'CF(M)'!$L75:$EQ75)</f>
        <v>0</v>
      </c>
      <c r="DP70" s="168">
        <f>SUMIF('CF(M)'!$L$11:$EQ$11,DP$6,'CF(M)'!$L75:$EQ75)</f>
        <v>0</v>
      </c>
      <c r="DQ70" s="168">
        <f>SUMIF('CF(M)'!$L$11:$EQ$11,DQ$6,'CF(M)'!$L75:$EQ75)</f>
        <v>0</v>
      </c>
      <c r="DR70" s="168">
        <f>SUMIF('CF(M)'!$L$11:$EQ$11,DR$6,'CF(M)'!$L75:$EQ75)</f>
        <v>0</v>
      </c>
      <c r="DS70" s="168">
        <f>SUMIF('CF(M)'!$L$11:$EQ$11,DS$6,'CF(M)'!$L75:$EQ75)</f>
        <v>0</v>
      </c>
      <c r="DT70" s="168">
        <f>SUMIF('CF(M)'!$L$11:$EQ$11,DT$6,'CF(M)'!$L75:$EQ75)</f>
        <v>0</v>
      </c>
      <c r="DU70" s="168">
        <f>SUMIF('CF(M)'!$L$11:$EQ$11,DU$6,'CF(M)'!$L75:$EQ75)</f>
        <v>0</v>
      </c>
      <c r="DV70" s="168">
        <f>SUMIF('CF(M)'!$L$11:$EQ$11,DV$6,'CF(M)'!$L75:$EQ75)</f>
        <v>0</v>
      </c>
    </row>
    <row r="71" spans="2:126" ht="11.25" customHeight="1">
      <c r="B71" s="218"/>
      <c r="C71" s="163"/>
      <c r="D71" s="169" t="s">
        <v>209</v>
      </c>
      <c r="H71" s="146"/>
      <c r="I71" s="229"/>
      <c r="J71" s="171">
        <f>SUM(L71:DV71)</f>
        <v>-213000000</v>
      </c>
      <c r="K71" s="98"/>
      <c r="L71" s="171">
        <f>SUMIF('CF(M)'!$L$11:$EQ$11,L$6,'CF(M)'!$L76:$EQ76)</f>
        <v>0</v>
      </c>
      <c r="M71" s="171">
        <f>SUMIF('CF(M)'!$L$11:$EQ$11,M$6,'CF(M)'!$L76:$EQ76)</f>
        <v>0</v>
      </c>
      <c r="N71" s="171">
        <f>SUMIF('CF(M)'!$L$11:$EQ$11,N$6,'CF(M)'!$L76:$EQ76)</f>
        <v>0</v>
      </c>
      <c r="O71" s="171">
        <f>SUMIF('CF(M)'!$L$11:$EQ$11,O$6,'CF(M)'!$L76:$EQ76)</f>
        <v>0</v>
      </c>
      <c r="P71" s="171">
        <f>SUMIF('CF(M)'!$L$11:$EQ$11,P$6,'CF(M)'!$L76:$EQ76)</f>
        <v>0</v>
      </c>
      <c r="Q71" s="171">
        <f>SUMIF('CF(M)'!$L$11:$EQ$11,Q$6,'CF(M)'!$L76:$EQ76)</f>
        <v>-213000000</v>
      </c>
      <c r="R71" s="171">
        <f>SUMIF('CF(M)'!$L$11:$EQ$11,R$6,'CF(M)'!$L76:$EQ76)</f>
        <v>0</v>
      </c>
      <c r="S71" s="171">
        <f>SUMIF('CF(M)'!$L$11:$EQ$11,S$6,'CF(M)'!$L76:$EQ76)</f>
        <v>0</v>
      </c>
      <c r="T71" s="171">
        <f>SUMIF('CF(M)'!$L$11:$EQ$11,T$6,'CF(M)'!$L76:$EQ76)</f>
        <v>0</v>
      </c>
      <c r="U71" s="171">
        <f>SUMIF('CF(M)'!$L$11:$EQ$11,U$6,'CF(M)'!$L76:$EQ76)</f>
        <v>0</v>
      </c>
      <c r="V71" s="171">
        <f>SUMIF('CF(M)'!$L$11:$EQ$11,V$6,'CF(M)'!$L76:$EQ76)</f>
        <v>0</v>
      </c>
      <c r="W71" s="171">
        <f>SUMIF('CF(M)'!$L$11:$EQ$11,W$6,'CF(M)'!$L76:$EQ76)</f>
        <v>0</v>
      </c>
      <c r="X71" s="171">
        <f>SUMIF('CF(M)'!$L$11:$EQ$11,X$6,'CF(M)'!$L76:$EQ76)</f>
        <v>0</v>
      </c>
      <c r="Y71" s="171">
        <f>SUMIF('CF(M)'!$L$11:$EQ$11,Y$6,'CF(M)'!$L76:$EQ76)</f>
        <v>0</v>
      </c>
      <c r="Z71" s="171">
        <f>SUMIF('CF(M)'!$L$11:$EQ$11,Z$6,'CF(M)'!$L76:$EQ76)</f>
        <v>0</v>
      </c>
      <c r="AA71" s="171">
        <f>SUMIF('CF(M)'!$L$11:$EQ$11,AA$6,'CF(M)'!$L76:$EQ76)</f>
        <v>0</v>
      </c>
      <c r="AB71" s="171">
        <f>SUMIF('CF(M)'!$L$11:$EQ$11,AB$6,'CF(M)'!$L76:$EQ76)</f>
        <v>0</v>
      </c>
      <c r="AC71" s="171">
        <f>SUMIF('CF(M)'!$L$11:$EQ$11,AC$6,'CF(M)'!$L76:$EQ76)</f>
        <v>0</v>
      </c>
      <c r="AD71" s="171">
        <f>SUMIF('CF(M)'!$L$11:$EQ$11,AD$6,'CF(M)'!$L76:$EQ76)</f>
        <v>0</v>
      </c>
      <c r="AE71" s="171">
        <f>SUMIF('CF(M)'!$L$11:$EQ$11,AE$6,'CF(M)'!$L76:$EQ76)</f>
        <v>0</v>
      </c>
      <c r="AF71" s="171">
        <f>SUMIF('CF(M)'!$L$11:$EQ$11,AF$6,'CF(M)'!$L76:$EQ76)</f>
        <v>0</v>
      </c>
      <c r="AG71" s="171">
        <f>SUMIF('CF(M)'!$L$11:$EQ$11,AG$6,'CF(M)'!$L76:$EQ76)</f>
        <v>0</v>
      </c>
      <c r="AH71" s="171">
        <f>SUMIF('CF(M)'!$L$11:$EQ$11,AH$6,'CF(M)'!$L76:$EQ76)</f>
        <v>0</v>
      </c>
      <c r="AI71" s="171">
        <f>SUMIF('CF(M)'!$L$11:$EQ$11,AI$6,'CF(M)'!$L76:$EQ76)</f>
        <v>0</v>
      </c>
      <c r="AJ71" s="171">
        <f>SUMIF('CF(M)'!$L$11:$EQ$11,AJ$6,'CF(M)'!$L76:$EQ76)</f>
        <v>0</v>
      </c>
      <c r="AK71" s="171">
        <f>SUMIF('CF(M)'!$L$11:$EQ$11,AK$6,'CF(M)'!$L76:$EQ76)</f>
        <v>0</v>
      </c>
      <c r="AL71" s="171">
        <f>SUMIF('CF(M)'!$L$11:$EQ$11,AL$6,'CF(M)'!$L76:$EQ76)</f>
        <v>0</v>
      </c>
      <c r="AM71" s="171">
        <f>SUMIF('CF(M)'!$L$11:$EQ$11,AM$6,'CF(M)'!$L76:$EQ76)</f>
        <v>0</v>
      </c>
      <c r="AN71" s="171">
        <f>SUMIF('CF(M)'!$L$11:$EQ$11,AN$6,'CF(M)'!$L76:$EQ76)</f>
        <v>0</v>
      </c>
      <c r="AO71" s="171">
        <f>SUMIF('CF(M)'!$L$11:$EQ$11,AO$6,'CF(M)'!$L76:$EQ76)</f>
        <v>0</v>
      </c>
      <c r="AP71" s="171">
        <f>SUMIF('CF(M)'!$L$11:$EQ$11,AP$6,'CF(M)'!$L76:$EQ76)</f>
        <v>0</v>
      </c>
      <c r="AQ71" s="171">
        <f>SUMIF('CF(M)'!$L$11:$EQ$11,AQ$6,'CF(M)'!$L76:$EQ76)</f>
        <v>0</v>
      </c>
      <c r="AR71" s="171">
        <f>SUMIF('CF(M)'!$L$11:$EQ$11,AR$6,'CF(M)'!$L76:$EQ76)</f>
        <v>0</v>
      </c>
      <c r="AS71" s="171">
        <f>SUMIF('CF(M)'!$L$11:$EQ$11,AS$6,'CF(M)'!$L76:$EQ76)</f>
        <v>0</v>
      </c>
      <c r="AT71" s="171">
        <f>SUMIF('CF(M)'!$L$11:$EQ$11,AT$6,'CF(M)'!$L76:$EQ76)</f>
        <v>0</v>
      </c>
      <c r="AU71" s="171">
        <f>SUMIF('CF(M)'!$L$11:$EQ$11,AU$6,'CF(M)'!$L76:$EQ76)</f>
        <v>0</v>
      </c>
      <c r="AV71" s="171">
        <f>SUMIF('CF(M)'!$L$11:$EQ$11,AV$6,'CF(M)'!$L76:$EQ76)</f>
        <v>0</v>
      </c>
      <c r="AW71" s="171">
        <f>SUMIF('CF(M)'!$L$11:$EQ$11,AW$6,'CF(M)'!$L76:$EQ76)</f>
        <v>0</v>
      </c>
      <c r="AX71" s="171">
        <f>SUMIF('CF(M)'!$L$11:$EQ$11,AX$6,'CF(M)'!$L76:$EQ76)</f>
        <v>0</v>
      </c>
      <c r="AY71" s="171">
        <f>SUMIF('CF(M)'!$L$11:$EQ$11,AY$6,'CF(M)'!$L76:$EQ76)</f>
        <v>0</v>
      </c>
      <c r="AZ71" s="171">
        <f>SUMIF('CF(M)'!$L$11:$EQ$11,AZ$6,'CF(M)'!$L76:$EQ76)</f>
        <v>0</v>
      </c>
      <c r="BA71" s="171">
        <f>SUMIF('CF(M)'!$L$11:$EQ$11,BA$6,'CF(M)'!$L76:$EQ76)</f>
        <v>0</v>
      </c>
      <c r="BB71" s="171">
        <f>SUMIF('CF(M)'!$L$11:$EQ$11,BB$6,'CF(M)'!$L76:$EQ76)</f>
        <v>0</v>
      </c>
      <c r="BC71" s="171">
        <f>SUMIF('CF(M)'!$L$11:$EQ$11,BC$6,'CF(M)'!$L76:$EQ76)</f>
        <v>0</v>
      </c>
      <c r="BD71" s="171">
        <f>SUMIF('CF(M)'!$L$11:$EQ$11,BD$6,'CF(M)'!$L76:$EQ76)</f>
        <v>0</v>
      </c>
      <c r="BE71" s="171">
        <f>SUMIF('CF(M)'!$L$11:$EQ$11,BE$6,'CF(M)'!$L76:$EQ76)</f>
        <v>0</v>
      </c>
      <c r="BF71" s="171">
        <f>SUMIF('CF(M)'!$L$11:$EQ$11,BF$6,'CF(M)'!$L76:$EQ76)</f>
        <v>0</v>
      </c>
      <c r="BG71" s="171">
        <f>SUMIF('CF(M)'!$L$11:$EQ$11,BG$6,'CF(M)'!$L76:$EQ76)</f>
        <v>0</v>
      </c>
      <c r="BH71" s="171">
        <f>SUMIF('CF(M)'!$L$11:$EQ$11,BH$6,'CF(M)'!$L76:$EQ76)</f>
        <v>0</v>
      </c>
      <c r="BI71" s="171">
        <f>SUMIF('CF(M)'!$L$11:$EQ$11,BI$6,'CF(M)'!$L76:$EQ76)</f>
        <v>0</v>
      </c>
      <c r="BJ71" s="171">
        <f>SUMIF('CF(M)'!$L$11:$EQ$11,BJ$6,'CF(M)'!$L76:$EQ76)</f>
        <v>0</v>
      </c>
      <c r="BK71" s="171">
        <f>SUMIF('CF(M)'!$L$11:$EQ$11,BK$6,'CF(M)'!$L76:$EQ76)</f>
        <v>0</v>
      </c>
      <c r="BL71" s="171">
        <f>SUMIF('CF(M)'!$L$11:$EQ$11,BL$6,'CF(M)'!$L76:$EQ76)</f>
        <v>0</v>
      </c>
      <c r="BM71" s="171">
        <f>SUMIF('CF(M)'!$L$11:$EQ$11,BM$6,'CF(M)'!$L76:$EQ76)</f>
        <v>0</v>
      </c>
      <c r="BN71" s="171">
        <f>SUMIF('CF(M)'!$L$11:$EQ$11,BN$6,'CF(M)'!$L76:$EQ76)</f>
        <v>0</v>
      </c>
      <c r="BO71" s="171">
        <f>SUMIF('CF(M)'!$L$11:$EQ$11,BO$6,'CF(M)'!$L76:$EQ76)</f>
        <v>0</v>
      </c>
      <c r="BP71" s="171">
        <f>SUMIF('CF(M)'!$L$11:$EQ$11,BP$6,'CF(M)'!$L76:$EQ76)</f>
        <v>0</v>
      </c>
      <c r="BQ71" s="171">
        <f>SUMIF('CF(M)'!$L$11:$EQ$11,BQ$6,'CF(M)'!$L76:$EQ76)</f>
        <v>0</v>
      </c>
      <c r="BR71" s="171">
        <f>SUMIF('CF(M)'!$L$11:$EQ$11,BR$6,'CF(M)'!$L76:$EQ76)</f>
        <v>0</v>
      </c>
      <c r="BS71" s="171">
        <f>SUMIF('CF(M)'!$L$11:$EQ$11,BS$6,'CF(M)'!$L76:$EQ76)</f>
        <v>0</v>
      </c>
      <c r="BT71" s="171">
        <f>SUMIF('CF(M)'!$L$11:$EQ$11,BT$6,'CF(M)'!$L76:$EQ76)</f>
        <v>0</v>
      </c>
      <c r="BU71" s="171">
        <f>SUMIF('CF(M)'!$L$11:$EQ$11,BU$6,'CF(M)'!$L76:$EQ76)</f>
        <v>0</v>
      </c>
      <c r="BV71" s="171">
        <f>SUMIF('CF(M)'!$L$11:$EQ$11,BV$6,'CF(M)'!$L76:$EQ76)</f>
        <v>0</v>
      </c>
      <c r="BW71" s="171">
        <f>SUMIF('CF(M)'!$L$11:$EQ$11,BW$6,'CF(M)'!$L76:$EQ76)</f>
        <v>0</v>
      </c>
      <c r="BX71" s="171">
        <f>SUMIF('CF(M)'!$L$11:$EQ$11,BX$6,'CF(M)'!$L76:$EQ76)</f>
        <v>0</v>
      </c>
      <c r="BY71" s="171">
        <f>SUMIF('CF(M)'!$L$11:$EQ$11,BY$6,'CF(M)'!$L76:$EQ76)</f>
        <v>0</v>
      </c>
      <c r="BZ71" s="171">
        <f>SUMIF('CF(M)'!$L$11:$EQ$11,BZ$6,'CF(M)'!$L76:$EQ76)</f>
        <v>0</v>
      </c>
      <c r="CA71" s="171">
        <f>SUMIF('CF(M)'!$L$11:$EQ$11,CA$6,'CF(M)'!$L76:$EQ76)</f>
        <v>0</v>
      </c>
      <c r="CB71" s="171">
        <f>SUMIF('CF(M)'!$L$11:$EQ$11,CB$6,'CF(M)'!$L76:$EQ76)</f>
        <v>0</v>
      </c>
      <c r="CC71" s="171">
        <f>SUMIF('CF(M)'!$L$11:$EQ$11,CC$6,'CF(M)'!$L76:$EQ76)</f>
        <v>0</v>
      </c>
      <c r="CD71" s="171">
        <f>SUMIF('CF(M)'!$L$11:$EQ$11,CD$6,'CF(M)'!$L76:$EQ76)</f>
        <v>0</v>
      </c>
      <c r="CE71" s="171">
        <f>SUMIF('CF(M)'!$L$11:$EQ$11,CE$6,'CF(M)'!$L76:$EQ76)</f>
        <v>0</v>
      </c>
      <c r="CF71" s="171">
        <f>SUMIF('CF(M)'!$L$11:$EQ$11,CF$6,'CF(M)'!$L76:$EQ76)</f>
        <v>0</v>
      </c>
      <c r="CG71" s="171">
        <f>SUMIF('CF(M)'!$L$11:$EQ$11,CG$6,'CF(M)'!$L76:$EQ76)</f>
        <v>0</v>
      </c>
      <c r="CH71" s="171">
        <f>SUMIF('CF(M)'!$L$11:$EQ$11,CH$6,'CF(M)'!$L76:$EQ76)</f>
        <v>0</v>
      </c>
      <c r="CI71" s="171">
        <f>SUMIF('CF(M)'!$L$11:$EQ$11,CI$6,'CF(M)'!$L76:$EQ76)</f>
        <v>0</v>
      </c>
      <c r="CJ71" s="171">
        <f>SUMIF('CF(M)'!$L$11:$EQ$11,CJ$6,'CF(M)'!$L76:$EQ76)</f>
        <v>0</v>
      </c>
      <c r="CK71" s="171">
        <f>SUMIF('CF(M)'!$L$11:$EQ$11,CK$6,'CF(M)'!$L76:$EQ76)</f>
        <v>0</v>
      </c>
      <c r="CL71" s="171">
        <f>SUMIF('CF(M)'!$L$11:$EQ$11,CL$6,'CF(M)'!$L76:$EQ76)</f>
        <v>0</v>
      </c>
      <c r="CM71" s="171">
        <f>SUMIF('CF(M)'!$L$11:$EQ$11,CM$6,'CF(M)'!$L76:$EQ76)</f>
        <v>0</v>
      </c>
      <c r="CN71" s="171">
        <f>SUMIF('CF(M)'!$L$11:$EQ$11,CN$6,'CF(M)'!$L76:$EQ76)</f>
        <v>0</v>
      </c>
      <c r="CO71" s="171">
        <f>SUMIF('CF(M)'!$L$11:$EQ$11,CO$6,'CF(M)'!$L76:$EQ76)</f>
        <v>0</v>
      </c>
      <c r="CP71" s="171">
        <f>SUMIF('CF(M)'!$L$11:$EQ$11,CP$6,'CF(M)'!$L76:$EQ76)</f>
        <v>0</v>
      </c>
      <c r="CQ71" s="171">
        <f>SUMIF('CF(M)'!$L$11:$EQ$11,CQ$6,'CF(M)'!$L76:$EQ76)</f>
        <v>0</v>
      </c>
      <c r="CR71" s="171">
        <f>SUMIF('CF(M)'!$L$11:$EQ$11,CR$6,'CF(M)'!$L76:$EQ76)</f>
        <v>0</v>
      </c>
      <c r="CS71" s="171">
        <f>SUMIF('CF(M)'!$L$11:$EQ$11,CS$6,'CF(M)'!$L76:$EQ76)</f>
        <v>0</v>
      </c>
      <c r="CT71" s="171">
        <f>SUMIF('CF(M)'!$L$11:$EQ$11,CT$6,'CF(M)'!$L76:$EQ76)</f>
        <v>0</v>
      </c>
      <c r="CU71" s="171">
        <f>SUMIF('CF(M)'!$L$11:$EQ$11,CU$6,'CF(M)'!$L76:$EQ76)</f>
        <v>0</v>
      </c>
      <c r="CV71" s="171">
        <f>SUMIF('CF(M)'!$L$11:$EQ$11,CV$6,'CF(M)'!$L76:$EQ76)</f>
        <v>0</v>
      </c>
      <c r="CW71" s="171">
        <f>SUMIF('CF(M)'!$L$11:$EQ$11,CW$6,'CF(M)'!$L76:$EQ76)</f>
        <v>0</v>
      </c>
      <c r="CX71" s="171">
        <f>SUMIF('CF(M)'!$L$11:$EQ$11,CX$6,'CF(M)'!$L76:$EQ76)</f>
        <v>0</v>
      </c>
      <c r="CY71" s="171">
        <f>SUMIF('CF(M)'!$L$11:$EQ$11,CY$6,'CF(M)'!$L76:$EQ76)</f>
        <v>0</v>
      </c>
      <c r="CZ71" s="171">
        <f>SUMIF('CF(M)'!$L$11:$EQ$11,CZ$6,'CF(M)'!$L76:$EQ76)</f>
        <v>0</v>
      </c>
      <c r="DA71" s="171">
        <f>SUMIF('CF(M)'!$L$11:$EQ$11,DA$6,'CF(M)'!$L76:$EQ76)</f>
        <v>0</v>
      </c>
      <c r="DB71" s="171">
        <f>SUMIF('CF(M)'!$L$11:$EQ$11,DB$6,'CF(M)'!$L76:$EQ76)</f>
        <v>0</v>
      </c>
      <c r="DC71" s="171">
        <f>SUMIF('CF(M)'!$L$11:$EQ$11,DC$6,'CF(M)'!$L76:$EQ76)</f>
        <v>0</v>
      </c>
      <c r="DD71" s="171">
        <f>SUMIF('CF(M)'!$L$11:$EQ$11,DD$6,'CF(M)'!$L76:$EQ76)</f>
        <v>0</v>
      </c>
      <c r="DE71" s="171">
        <f>SUMIF('CF(M)'!$L$11:$EQ$11,DE$6,'CF(M)'!$L76:$EQ76)</f>
        <v>0</v>
      </c>
      <c r="DF71" s="171">
        <f>SUMIF('CF(M)'!$L$11:$EQ$11,DF$6,'CF(M)'!$L76:$EQ76)</f>
        <v>0</v>
      </c>
      <c r="DG71" s="171">
        <f>SUMIF('CF(M)'!$L$11:$EQ$11,DG$6,'CF(M)'!$L76:$EQ76)</f>
        <v>0</v>
      </c>
      <c r="DH71" s="171">
        <f>SUMIF('CF(M)'!$L$11:$EQ$11,DH$6,'CF(M)'!$L76:$EQ76)</f>
        <v>0</v>
      </c>
      <c r="DI71" s="171">
        <f>SUMIF('CF(M)'!$L$11:$EQ$11,DI$6,'CF(M)'!$L76:$EQ76)</f>
        <v>0</v>
      </c>
      <c r="DJ71" s="171">
        <f>SUMIF('CF(M)'!$L$11:$EQ$11,DJ$6,'CF(M)'!$L76:$EQ76)</f>
        <v>0</v>
      </c>
      <c r="DK71" s="171">
        <f>SUMIF('CF(M)'!$L$11:$EQ$11,DK$6,'CF(M)'!$L76:$EQ76)</f>
        <v>0</v>
      </c>
      <c r="DL71" s="171">
        <f>SUMIF('CF(M)'!$L$11:$EQ$11,DL$6,'CF(M)'!$L76:$EQ76)</f>
        <v>0</v>
      </c>
      <c r="DM71" s="171">
        <f>SUMIF('CF(M)'!$L$11:$EQ$11,DM$6,'CF(M)'!$L76:$EQ76)</f>
        <v>0</v>
      </c>
      <c r="DN71" s="171">
        <f>SUMIF('CF(M)'!$L$11:$EQ$11,DN$6,'CF(M)'!$L76:$EQ76)</f>
        <v>0</v>
      </c>
      <c r="DO71" s="171">
        <f>SUMIF('CF(M)'!$L$11:$EQ$11,DO$6,'CF(M)'!$L76:$EQ76)</f>
        <v>0</v>
      </c>
      <c r="DP71" s="171">
        <f>SUMIF('CF(M)'!$L$11:$EQ$11,DP$6,'CF(M)'!$L76:$EQ76)</f>
        <v>0</v>
      </c>
      <c r="DQ71" s="171">
        <f>SUMIF('CF(M)'!$L$11:$EQ$11,DQ$6,'CF(M)'!$L76:$EQ76)</f>
        <v>0</v>
      </c>
      <c r="DR71" s="171">
        <f>SUMIF('CF(M)'!$L$11:$EQ$11,DR$6,'CF(M)'!$L76:$EQ76)</f>
        <v>0</v>
      </c>
      <c r="DS71" s="171">
        <f>SUMIF('CF(M)'!$L$11:$EQ$11,DS$6,'CF(M)'!$L76:$EQ76)</f>
        <v>0</v>
      </c>
      <c r="DT71" s="171">
        <f>SUMIF('CF(M)'!$L$11:$EQ$11,DT$6,'CF(M)'!$L76:$EQ76)</f>
        <v>0</v>
      </c>
      <c r="DU71" s="171">
        <f>SUMIF('CF(M)'!$L$11:$EQ$11,DU$6,'CF(M)'!$L76:$EQ76)</f>
        <v>0</v>
      </c>
      <c r="DV71" s="171">
        <f>SUMIF('CF(M)'!$L$11:$EQ$11,DV$6,'CF(M)'!$L76:$EQ76)</f>
        <v>0</v>
      </c>
    </row>
    <row r="72" spans="2:126" ht="11.25" customHeight="1">
      <c r="B72" s="218"/>
      <c r="C72" s="158" t="str">
        <f>'CF(M)'!C77</f>
        <v>담보대출(3rd)</v>
      </c>
      <c r="D72" s="159"/>
      <c r="E72" s="159"/>
      <c r="F72" s="159"/>
      <c r="G72" s="159"/>
      <c r="H72" s="160"/>
      <c r="I72" s="219"/>
      <c r="J72" s="220">
        <f>SUM(J73:J74)</f>
        <v>0</v>
      </c>
      <c r="K72" s="98"/>
      <c r="L72" s="162">
        <f>SUM(L73:L74)</f>
        <v>0</v>
      </c>
      <c r="M72" s="162">
        <f t="shared" ref="M72:BX72" si="36">SUM(M73:M74)</f>
        <v>0</v>
      </c>
      <c r="N72" s="162">
        <f t="shared" si="36"/>
        <v>0</v>
      </c>
      <c r="O72" s="162">
        <f t="shared" si="36"/>
        <v>0</v>
      </c>
      <c r="P72" s="162">
        <f t="shared" si="36"/>
        <v>0</v>
      </c>
      <c r="Q72" s="162">
        <f t="shared" si="36"/>
        <v>213000000</v>
      </c>
      <c r="R72" s="162">
        <f t="shared" si="36"/>
        <v>0</v>
      </c>
      <c r="S72" s="162">
        <f t="shared" si="36"/>
        <v>0</v>
      </c>
      <c r="T72" s="162">
        <f t="shared" si="36"/>
        <v>0</v>
      </c>
      <c r="U72" s="162">
        <f t="shared" si="36"/>
        <v>0</v>
      </c>
      <c r="V72" s="162">
        <f t="shared" si="36"/>
        <v>-213000000</v>
      </c>
      <c r="W72" s="162">
        <f t="shared" si="36"/>
        <v>0</v>
      </c>
      <c r="X72" s="162">
        <f t="shared" si="36"/>
        <v>0</v>
      </c>
      <c r="Y72" s="162">
        <f t="shared" si="36"/>
        <v>0</v>
      </c>
      <c r="Z72" s="162">
        <f t="shared" si="36"/>
        <v>0</v>
      </c>
      <c r="AA72" s="162">
        <f t="shared" si="36"/>
        <v>0</v>
      </c>
      <c r="AB72" s="162">
        <f t="shared" si="36"/>
        <v>0</v>
      </c>
      <c r="AC72" s="162">
        <f t="shared" si="36"/>
        <v>0</v>
      </c>
      <c r="AD72" s="162">
        <f t="shared" si="36"/>
        <v>0</v>
      </c>
      <c r="AE72" s="162">
        <f t="shared" si="36"/>
        <v>0</v>
      </c>
      <c r="AF72" s="162">
        <f t="shared" si="36"/>
        <v>0</v>
      </c>
      <c r="AG72" s="162">
        <f t="shared" si="36"/>
        <v>0</v>
      </c>
      <c r="AH72" s="162">
        <f t="shared" si="36"/>
        <v>0</v>
      </c>
      <c r="AI72" s="162">
        <f t="shared" si="36"/>
        <v>0</v>
      </c>
      <c r="AJ72" s="162">
        <f t="shared" si="36"/>
        <v>0</v>
      </c>
      <c r="AK72" s="162">
        <f t="shared" si="36"/>
        <v>0</v>
      </c>
      <c r="AL72" s="162">
        <f t="shared" si="36"/>
        <v>0</v>
      </c>
      <c r="AM72" s="162">
        <f t="shared" si="36"/>
        <v>0</v>
      </c>
      <c r="AN72" s="162">
        <f t="shared" si="36"/>
        <v>0</v>
      </c>
      <c r="AO72" s="162">
        <f t="shared" si="36"/>
        <v>0</v>
      </c>
      <c r="AP72" s="162">
        <f t="shared" si="36"/>
        <v>0</v>
      </c>
      <c r="AQ72" s="162">
        <f t="shared" si="36"/>
        <v>0</v>
      </c>
      <c r="AR72" s="162">
        <f t="shared" si="36"/>
        <v>0</v>
      </c>
      <c r="AS72" s="162">
        <f t="shared" si="36"/>
        <v>0</v>
      </c>
      <c r="AT72" s="162">
        <f t="shared" si="36"/>
        <v>0</v>
      </c>
      <c r="AU72" s="162">
        <f t="shared" si="36"/>
        <v>0</v>
      </c>
      <c r="AV72" s="162">
        <f t="shared" si="36"/>
        <v>0</v>
      </c>
      <c r="AW72" s="162">
        <f t="shared" si="36"/>
        <v>0</v>
      </c>
      <c r="AX72" s="162">
        <f t="shared" si="36"/>
        <v>0</v>
      </c>
      <c r="AY72" s="162">
        <f t="shared" si="36"/>
        <v>0</v>
      </c>
      <c r="AZ72" s="162">
        <f t="shared" si="36"/>
        <v>0</v>
      </c>
      <c r="BA72" s="162">
        <f t="shared" si="36"/>
        <v>0</v>
      </c>
      <c r="BB72" s="162">
        <f t="shared" si="36"/>
        <v>0</v>
      </c>
      <c r="BC72" s="162">
        <f t="shared" si="36"/>
        <v>0</v>
      </c>
      <c r="BD72" s="162">
        <f t="shared" si="36"/>
        <v>0</v>
      </c>
      <c r="BE72" s="162">
        <f t="shared" si="36"/>
        <v>0</v>
      </c>
      <c r="BF72" s="162">
        <f t="shared" si="36"/>
        <v>0</v>
      </c>
      <c r="BG72" s="162">
        <f t="shared" si="36"/>
        <v>0</v>
      </c>
      <c r="BH72" s="162">
        <f t="shared" si="36"/>
        <v>0</v>
      </c>
      <c r="BI72" s="162">
        <f t="shared" si="36"/>
        <v>0</v>
      </c>
      <c r="BJ72" s="162">
        <f t="shared" si="36"/>
        <v>0</v>
      </c>
      <c r="BK72" s="162">
        <f t="shared" si="36"/>
        <v>0</v>
      </c>
      <c r="BL72" s="162">
        <f t="shared" si="36"/>
        <v>0</v>
      </c>
      <c r="BM72" s="162">
        <f t="shared" si="36"/>
        <v>0</v>
      </c>
      <c r="BN72" s="162">
        <f t="shared" si="36"/>
        <v>0</v>
      </c>
      <c r="BO72" s="162">
        <f t="shared" si="36"/>
        <v>0</v>
      </c>
      <c r="BP72" s="162">
        <f t="shared" si="36"/>
        <v>0</v>
      </c>
      <c r="BQ72" s="162">
        <f t="shared" si="36"/>
        <v>0</v>
      </c>
      <c r="BR72" s="162">
        <f t="shared" si="36"/>
        <v>0</v>
      </c>
      <c r="BS72" s="162">
        <f t="shared" si="36"/>
        <v>0</v>
      </c>
      <c r="BT72" s="162">
        <f t="shared" si="36"/>
        <v>0</v>
      </c>
      <c r="BU72" s="162">
        <f t="shared" si="36"/>
        <v>0</v>
      </c>
      <c r="BV72" s="162">
        <f t="shared" si="36"/>
        <v>0</v>
      </c>
      <c r="BW72" s="162">
        <f t="shared" si="36"/>
        <v>0</v>
      </c>
      <c r="BX72" s="162">
        <f t="shared" si="36"/>
        <v>0</v>
      </c>
      <c r="BY72" s="162">
        <f t="shared" ref="BY72:DV72" si="37">SUM(BY73:BY74)</f>
        <v>0</v>
      </c>
      <c r="BZ72" s="162">
        <f t="shared" si="37"/>
        <v>0</v>
      </c>
      <c r="CA72" s="162">
        <f t="shared" si="37"/>
        <v>0</v>
      </c>
      <c r="CB72" s="162">
        <f t="shared" si="37"/>
        <v>0</v>
      </c>
      <c r="CC72" s="162">
        <f t="shared" si="37"/>
        <v>0</v>
      </c>
      <c r="CD72" s="162">
        <f t="shared" si="37"/>
        <v>0</v>
      </c>
      <c r="CE72" s="162">
        <f t="shared" si="37"/>
        <v>0</v>
      </c>
      <c r="CF72" s="162">
        <f t="shared" si="37"/>
        <v>0</v>
      </c>
      <c r="CG72" s="162">
        <f t="shared" si="37"/>
        <v>0</v>
      </c>
      <c r="CH72" s="162">
        <f t="shared" si="37"/>
        <v>0</v>
      </c>
      <c r="CI72" s="162">
        <f t="shared" si="37"/>
        <v>0</v>
      </c>
      <c r="CJ72" s="162">
        <f t="shared" si="37"/>
        <v>0</v>
      </c>
      <c r="CK72" s="162">
        <f t="shared" si="37"/>
        <v>0</v>
      </c>
      <c r="CL72" s="162">
        <f t="shared" si="37"/>
        <v>0</v>
      </c>
      <c r="CM72" s="162">
        <f t="shared" si="37"/>
        <v>0</v>
      </c>
      <c r="CN72" s="162">
        <f t="shared" si="37"/>
        <v>0</v>
      </c>
      <c r="CO72" s="162">
        <f t="shared" si="37"/>
        <v>0</v>
      </c>
      <c r="CP72" s="162">
        <f t="shared" si="37"/>
        <v>0</v>
      </c>
      <c r="CQ72" s="162">
        <f t="shared" si="37"/>
        <v>0</v>
      </c>
      <c r="CR72" s="162">
        <f t="shared" si="37"/>
        <v>0</v>
      </c>
      <c r="CS72" s="162">
        <f t="shared" si="37"/>
        <v>0</v>
      </c>
      <c r="CT72" s="162">
        <f t="shared" si="37"/>
        <v>0</v>
      </c>
      <c r="CU72" s="162">
        <f t="shared" si="37"/>
        <v>0</v>
      </c>
      <c r="CV72" s="162">
        <f t="shared" si="37"/>
        <v>0</v>
      </c>
      <c r="CW72" s="162">
        <f t="shared" si="37"/>
        <v>0</v>
      </c>
      <c r="CX72" s="162">
        <f t="shared" si="37"/>
        <v>0</v>
      </c>
      <c r="CY72" s="162">
        <f t="shared" si="37"/>
        <v>0</v>
      </c>
      <c r="CZ72" s="162">
        <f t="shared" si="37"/>
        <v>0</v>
      </c>
      <c r="DA72" s="162">
        <f t="shared" si="37"/>
        <v>0</v>
      </c>
      <c r="DB72" s="162">
        <f t="shared" si="37"/>
        <v>0</v>
      </c>
      <c r="DC72" s="162">
        <f t="shared" si="37"/>
        <v>0</v>
      </c>
      <c r="DD72" s="162">
        <f t="shared" si="37"/>
        <v>0</v>
      </c>
      <c r="DE72" s="162">
        <f t="shared" si="37"/>
        <v>0</v>
      </c>
      <c r="DF72" s="162">
        <f t="shared" si="37"/>
        <v>0</v>
      </c>
      <c r="DG72" s="162">
        <f t="shared" si="37"/>
        <v>0</v>
      </c>
      <c r="DH72" s="162">
        <f t="shared" si="37"/>
        <v>0</v>
      </c>
      <c r="DI72" s="162">
        <f t="shared" si="37"/>
        <v>0</v>
      </c>
      <c r="DJ72" s="162">
        <f t="shared" si="37"/>
        <v>0</v>
      </c>
      <c r="DK72" s="162">
        <f t="shared" si="37"/>
        <v>0</v>
      </c>
      <c r="DL72" s="162">
        <f t="shared" si="37"/>
        <v>0</v>
      </c>
      <c r="DM72" s="162">
        <f t="shared" si="37"/>
        <v>0</v>
      </c>
      <c r="DN72" s="162">
        <f t="shared" si="37"/>
        <v>0</v>
      </c>
      <c r="DO72" s="162">
        <f t="shared" si="37"/>
        <v>0</v>
      </c>
      <c r="DP72" s="162">
        <f t="shared" si="37"/>
        <v>0</v>
      </c>
      <c r="DQ72" s="162">
        <f t="shared" si="37"/>
        <v>0</v>
      </c>
      <c r="DR72" s="162">
        <f t="shared" si="37"/>
        <v>0</v>
      </c>
      <c r="DS72" s="162">
        <f t="shared" si="37"/>
        <v>0</v>
      </c>
      <c r="DT72" s="162">
        <f t="shared" si="37"/>
        <v>0</v>
      </c>
      <c r="DU72" s="162">
        <f t="shared" si="37"/>
        <v>0</v>
      </c>
      <c r="DV72" s="162">
        <f t="shared" si="37"/>
        <v>0</v>
      </c>
    </row>
    <row r="73" spans="2:126" ht="11.25" customHeight="1">
      <c r="B73" s="218"/>
      <c r="C73" s="163"/>
      <c r="D73" s="164" t="s">
        <v>208</v>
      </c>
      <c r="E73" s="165"/>
      <c r="F73" s="165"/>
      <c r="G73" s="165"/>
      <c r="H73" s="166"/>
      <c r="I73" s="228"/>
      <c r="J73" s="168">
        <f>SUM(L73:DV73)</f>
        <v>213000000</v>
      </c>
      <c r="K73" s="98"/>
      <c r="L73" s="168">
        <f>SUMIF('CF(M)'!$L$11:$EQ$11,L$6,'CF(M)'!$L78:$EQ78)</f>
        <v>0</v>
      </c>
      <c r="M73" s="168">
        <f>SUMIF('CF(M)'!$L$11:$EQ$11,M$6,'CF(M)'!$L78:$EQ78)</f>
        <v>0</v>
      </c>
      <c r="N73" s="168">
        <f>SUMIF('CF(M)'!$L$11:$EQ$11,N$6,'CF(M)'!$L78:$EQ78)</f>
        <v>0</v>
      </c>
      <c r="O73" s="168">
        <f>SUMIF('CF(M)'!$L$11:$EQ$11,O$6,'CF(M)'!$L78:$EQ78)</f>
        <v>0</v>
      </c>
      <c r="P73" s="168">
        <f>SUMIF('CF(M)'!$L$11:$EQ$11,P$6,'CF(M)'!$L78:$EQ78)</f>
        <v>0</v>
      </c>
      <c r="Q73" s="168">
        <f>SUMIF('CF(M)'!$L$11:$EQ$11,Q$6,'CF(M)'!$L78:$EQ78)</f>
        <v>213000000</v>
      </c>
      <c r="R73" s="168">
        <f>SUMIF('CF(M)'!$L$11:$EQ$11,R$6,'CF(M)'!$L78:$EQ78)</f>
        <v>0</v>
      </c>
      <c r="S73" s="168">
        <f>SUMIF('CF(M)'!$L$11:$EQ$11,S$6,'CF(M)'!$L78:$EQ78)</f>
        <v>0</v>
      </c>
      <c r="T73" s="168">
        <f>SUMIF('CF(M)'!$L$11:$EQ$11,T$6,'CF(M)'!$L78:$EQ78)</f>
        <v>0</v>
      </c>
      <c r="U73" s="168">
        <f>SUMIF('CF(M)'!$L$11:$EQ$11,U$6,'CF(M)'!$L78:$EQ78)</f>
        <v>0</v>
      </c>
      <c r="V73" s="168">
        <f>SUMIF('CF(M)'!$L$11:$EQ$11,V$6,'CF(M)'!$L78:$EQ78)</f>
        <v>0</v>
      </c>
      <c r="W73" s="168">
        <f>SUMIF('CF(M)'!$L$11:$EQ$11,W$6,'CF(M)'!$L78:$EQ78)</f>
        <v>0</v>
      </c>
      <c r="X73" s="168">
        <f>SUMIF('CF(M)'!$L$11:$EQ$11,X$6,'CF(M)'!$L78:$EQ78)</f>
        <v>0</v>
      </c>
      <c r="Y73" s="168">
        <f>SUMIF('CF(M)'!$L$11:$EQ$11,Y$6,'CF(M)'!$L78:$EQ78)</f>
        <v>0</v>
      </c>
      <c r="Z73" s="168">
        <f>SUMIF('CF(M)'!$L$11:$EQ$11,Z$6,'CF(M)'!$L78:$EQ78)</f>
        <v>0</v>
      </c>
      <c r="AA73" s="168">
        <f>SUMIF('CF(M)'!$L$11:$EQ$11,AA$6,'CF(M)'!$L78:$EQ78)</f>
        <v>0</v>
      </c>
      <c r="AB73" s="168">
        <f>SUMIF('CF(M)'!$L$11:$EQ$11,AB$6,'CF(M)'!$L78:$EQ78)</f>
        <v>0</v>
      </c>
      <c r="AC73" s="168">
        <f>SUMIF('CF(M)'!$L$11:$EQ$11,AC$6,'CF(M)'!$L78:$EQ78)</f>
        <v>0</v>
      </c>
      <c r="AD73" s="168">
        <f>SUMIF('CF(M)'!$L$11:$EQ$11,AD$6,'CF(M)'!$L78:$EQ78)</f>
        <v>0</v>
      </c>
      <c r="AE73" s="168">
        <f>SUMIF('CF(M)'!$L$11:$EQ$11,AE$6,'CF(M)'!$L78:$EQ78)</f>
        <v>0</v>
      </c>
      <c r="AF73" s="168">
        <f>SUMIF('CF(M)'!$L$11:$EQ$11,AF$6,'CF(M)'!$L78:$EQ78)</f>
        <v>0</v>
      </c>
      <c r="AG73" s="168">
        <f>SUMIF('CF(M)'!$L$11:$EQ$11,AG$6,'CF(M)'!$L78:$EQ78)</f>
        <v>0</v>
      </c>
      <c r="AH73" s="168">
        <f>SUMIF('CF(M)'!$L$11:$EQ$11,AH$6,'CF(M)'!$L78:$EQ78)</f>
        <v>0</v>
      </c>
      <c r="AI73" s="168">
        <f>SUMIF('CF(M)'!$L$11:$EQ$11,AI$6,'CF(M)'!$L78:$EQ78)</f>
        <v>0</v>
      </c>
      <c r="AJ73" s="168">
        <f>SUMIF('CF(M)'!$L$11:$EQ$11,AJ$6,'CF(M)'!$L78:$EQ78)</f>
        <v>0</v>
      </c>
      <c r="AK73" s="168">
        <f>SUMIF('CF(M)'!$L$11:$EQ$11,AK$6,'CF(M)'!$L78:$EQ78)</f>
        <v>0</v>
      </c>
      <c r="AL73" s="168">
        <f>SUMIF('CF(M)'!$L$11:$EQ$11,AL$6,'CF(M)'!$L78:$EQ78)</f>
        <v>0</v>
      </c>
      <c r="AM73" s="168">
        <f>SUMIF('CF(M)'!$L$11:$EQ$11,AM$6,'CF(M)'!$L78:$EQ78)</f>
        <v>0</v>
      </c>
      <c r="AN73" s="168">
        <f>SUMIF('CF(M)'!$L$11:$EQ$11,AN$6,'CF(M)'!$L78:$EQ78)</f>
        <v>0</v>
      </c>
      <c r="AO73" s="168">
        <f>SUMIF('CF(M)'!$L$11:$EQ$11,AO$6,'CF(M)'!$L78:$EQ78)</f>
        <v>0</v>
      </c>
      <c r="AP73" s="168">
        <f>SUMIF('CF(M)'!$L$11:$EQ$11,AP$6,'CF(M)'!$L78:$EQ78)</f>
        <v>0</v>
      </c>
      <c r="AQ73" s="168">
        <f>SUMIF('CF(M)'!$L$11:$EQ$11,AQ$6,'CF(M)'!$L78:$EQ78)</f>
        <v>0</v>
      </c>
      <c r="AR73" s="168">
        <f>SUMIF('CF(M)'!$L$11:$EQ$11,AR$6,'CF(M)'!$L78:$EQ78)</f>
        <v>0</v>
      </c>
      <c r="AS73" s="168">
        <f>SUMIF('CF(M)'!$L$11:$EQ$11,AS$6,'CF(M)'!$L78:$EQ78)</f>
        <v>0</v>
      </c>
      <c r="AT73" s="168">
        <f>SUMIF('CF(M)'!$L$11:$EQ$11,AT$6,'CF(M)'!$L78:$EQ78)</f>
        <v>0</v>
      </c>
      <c r="AU73" s="168">
        <f>SUMIF('CF(M)'!$L$11:$EQ$11,AU$6,'CF(M)'!$L78:$EQ78)</f>
        <v>0</v>
      </c>
      <c r="AV73" s="168">
        <f>SUMIF('CF(M)'!$L$11:$EQ$11,AV$6,'CF(M)'!$L78:$EQ78)</f>
        <v>0</v>
      </c>
      <c r="AW73" s="168">
        <f>SUMIF('CF(M)'!$L$11:$EQ$11,AW$6,'CF(M)'!$L78:$EQ78)</f>
        <v>0</v>
      </c>
      <c r="AX73" s="168">
        <f>SUMIF('CF(M)'!$L$11:$EQ$11,AX$6,'CF(M)'!$L78:$EQ78)</f>
        <v>0</v>
      </c>
      <c r="AY73" s="168">
        <f>SUMIF('CF(M)'!$L$11:$EQ$11,AY$6,'CF(M)'!$L78:$EQ78)</f>
        <v>0</v>
      </c>
      <c r="AZ73" s="168">
        <f>SUMIF('CF(M)'!$L$11:$EQ$11,AZ$6,'CF(M)'!$L78:$EQ78)</f>
        <v>0</v>
      </c>
      <c r="BA73" s="168">
        <f>SUMIF('CF(M)'!$L$11:$EQ$11,BA$6,'CF(M)'!$L78:$EQ78)</f>
        <v>0</v>
      </c>
      <c r="BB73" s="168">
        <f>SUMIF('CF(M)'!$L$11:$EQ$11,BB$6,'CF(M)'!$L78:$EQ78)</f>
        <v>0</v>
      </c>
      <c r="BC73" s="168">
        <f>SUMIF('CF(M)'!$L$11:$EQ$11,BC$6,'CF(M)'!$L78:$EQ78)</f>
        <v>0</v>
      </c>
      <c r="BD73" s="168">
        <f>SUMIF('CF(M)'!$L$11:$EQ$11,BD$6,'CF(M)'!$L78:$EQ78)</f>
        <v>0</v>
      </c>
      <c r="BE73" s="168">
        <f>SUMIF('CF(M)'!$L$11:$EQ$11,BE$6,'CF(M)'!$L78:$EQ78)</f>
        <v>0</v>
      </c>
      <c r="BF73" s="168">
        <f>SUMIF('CF(M)'!$L$11:$EQ$11,BF$6,'CF(M)'!$L78:$EQ78)</f>
        <v>0</v>
      </c>
      <c r="BG73" s="168">
        <f>SUMIF('CF(M)'!$L$11:$EQ$11,BG$6,'CF(M)'!$L78:$EQ78)</f>
        <v>0</v>
      </c>
      <c r="BH73" s="168">
        <f>SUMIF('CF(M)'!$L$11:$EQ$11,BH$6,'CF(M)'!$L78:$EQ78)</f>
        <v>0</v>
      </c>
      <c r="BI73" s="168">
        <f>SUMIF('CF(M)'!$L$11:$EQ$11,BI$6,'CF(M)'!$L78:$EQ78)</f>
        <v>0</v>
      </c>
      <c r="BJ73" s="168">
        <f>SUMIF('CF(M)'!$L$11:$EQ$11,BJ$6,'CF(M)'!$L78:$EQ78)</f>
        <v>0</v>
      </c>
      <c r="BK73" s="168">
        <f>SUMIF('CF(M)'!$L$11:$EQ$11,BK$6,'CF(M)'!$L78:$EQ78)</f>
        <v>0</v>
      </c>
      <c r="BL73" s="168">
        <f>SUMIF('CF(M)'!$L$11:$EQ$11,BL$6,'CF(M)'!$L78:$EQ78)</f>
        <v>0</v>
      </c>
      <c r="BM73" s="168">
        <f>SUMIF('CF(M)'!$L$11:$EQ$11,BM$6,'CF(M)'!$L78:$EQ78)</f>
        <v>0</v>
      </c>
      <c r="BN73" s="168">
        <f>SUMIF('CF(M)'!$L$11:$EQ$11,BN$6,'CF(M)'!$L78:$EQ78)</f>
        <v>0</v>
      </c>
      <c r="BO73" s="168">
        <f>SUMIF('CF(M)'!$L$11:$EQ$11,BO$6,'CF(M)'!$L78:$EQ78)</f>
        <v>0</v>
      </c>
      <c r="BP73" s="168">
        <f>SUMIF('CF(M)'!$L$11:$EQ$11,BP$6,'CF(M)'!$L78:$EQ78)</f>
        <v>0</v>
      </c>
      <c r="BQ73" s="168">
        <f>SUMIF('CF(M)'!$L$11:$EQ$11,BQ$6,'CF(M)'!$L78:$EQ78)</f>
        <v>0</v>
      </c>
      <c r="BR73" s="168">
        <f>SUMIF('CF(M)'!$L$11:$EQ$11,BR$6,'CF(M)'!$L78:$EQ78)</f>
        <v>0</v>
      </c>
      <c r="BS73" s="168">
        <f>SUMIF('CF(M)'!$L$11:$EQ$11,BS$6,'CF(M)'!$L78:$EQ78)</f>
        <v>0</v>
      </c>
      <c r="BT73" s="168">
        <f>SUMIF('CF(M)'!$L$11:$EQ$11,BT$6,'CF(M)'!$L78:$EQ78)</f>
        <v>0</v>
      </c>
      <c r="BU73" s="168">
        <f>SUMIF('CF(M)'!$L$11:$EQ$11,BU$6,'CF(M)'!$L78:$EQ78)</f>
        <v>0</v>
      </c>
      <c r="BV73" s="168">
        <f>SUMIF('CF(M)'!$L$11:$EQ$11,BV$6,'CF(M)'!$L78:$EQ78)</f>
        <v>0</v>
      </c>
      <c r="BW73" s="168">
        <f>SUMIF('CF(M)'!$L$11:$EQ$11,BW$6,'CF(M)'!$L78:$EQ78)</f>
        <v>0</v>
      </c>
      <c r="BX73" s="168">
        <f>SUMIF('CF(M)'!$L$11:$EQ$11,BX$6,'CF(M)'!$L78:$EQ78)</f>
        <v>0</v>
      </c>
      <c r="BY73" s="168">
        <f>SUMIF('CF(M)'!$L$11:$EQ$11,BY$6,'CF(M)'!$L78:$EQ78)</f>
        <v>0</v>
      </c>
      <c r="BZ73" s="168">
        <f>SUMIF('CF(M)'!$L$11:$EQ$11,BZ$6,'CF(M)'!$L78:$EQ78)</f>
        <v>0</v>
      </c>
      <c r="CA73" s="168">
        <f>SUMIF('CF(M)'!$L$11:$EQ$11,CA$6,'CF(M)'!$L78:$EQ78)</f>
        <v>0</v>
      </c>
      <c r="CB73" s="168">
        <f>SUMIF('CF(M)'!$L$11:$EQ$11,CB$6,'CF(M)'!$L78:$EQ78)</f>
        <v>0</v>
      </c>
      <c r="CC73" s="168">
        <f>SUMIF('CF(M)'!$L$11:$EQ$11,CC$6,'CF(M)'!$L78:$EQ78)</f>
        <v>0</v>
      </c>
      <c r="CD73" s="168">
        <f>SUMIF('CF(M)'!$L$11:$EQ$11,CD$6,'CF(M)'!$L78:$EQ78)</f>
        <v>0</v>
      </c>
      <c r="CE73" s="168">
        <f>SUMIF('CF(M)'!$L$11:$EQ$11,CE$6,'CF(M)'!$L78:$EQ78)</f>
        <v>0</v>
      </c>
      <c r="CF73" s="168">
        <f>SUMIF('CF(M)'!$L$11:$EQ$11,CF$6,'CF(M)'!$L78:$EQ78)</f>
        <v>0</v>
      </c>
      <c r="CG73" s="168">
        <f>SUMIF('CF(M)'!$L$11:$EQ$11,CG$6,'CF(M)'!$L78:$EQ78)</f>
        <v>0</v>
      </c>
      <c r="CH73" s="168">
        <f>SUMIF('CF(M)'!$L$11:$EQ$11,CH$6,'CF(M)'!$L78:$EQ78)</f>
        <v>0</v>
      </c>
      <c r="CI73" s="168">
        <f>SUMIF('CF(M)'!$L$11:$EQ$11,CI$6,'CF(M)'!$L78:$EQ78)</f>
        <v>0</v>
      </c>
      <c r="CJ73" s="168">
        <f>SUMIF('CF(M)'!$L$11:$EQ$11,CJ$6,'CF(M)'!$L78:$EQ78)</f>
        <v>0</v>
      </c>
      <c r="CK73" s="168">
        <f>SUMIF('CF(M)'!$L$11:$EQ$11,CK$6,'CF(M)'!$L78:$EQ78)</f>
        <v>0</v>
      </c>
      <c r="CL73" s="168">
        <f>SUMIF('CF(M)'!$L$11:$EQ$11,CL$6,'CF(M)'!$L78:$EQ78)</f>
        <v>0</v>
      </c>
      <c r="CM73" s="168">
        <f>SUMIF('CF(M)'!$L$11:$EQ$11,CM$6,'CF(M)'!$L78:$EQ78)</f>
        <v>0</v>
      </c>
      <c r="CN73" s="168">
        <f>SUMIF('CF(M)'!$L$11:$EQ$11,CN$6,'CF(M)'!$L78:$EQ78)</f>
        <v>0</v>
      </c>
      <c r="CO73" s="168">
        <f>SUMIF('CF(M)'!$L$11:$EQ$11,CO$6,'CF(M)'!$L78:$EQ78)</f>
        <v>0</v>
      </c>
      <c r="CP73" s="168">
        <f>SUMIF('CF(M)'!$L$11:$EQ$11,CP$6,'CF(M)'!$L78:$EQ78)</f>
        <v>0</v>
      </c>
      <c r="CQ73" s="168">
        <f>SUMIF('CF(M)'!$L$11:$EQ$11,CQ$6,'CF(M)'!$L78:$EQ78)</f>
        <v>0</v>
      </c>
      <c r="CR73" s="168">
        <f>SUMIF('CF(M)'!$L$11:$EQ$11,CR$6,'CF(M)'!$L78:$EQ78)</f>
        <v>0</v>
      </c>
      <c r="CS73" s="168">
        <f>SUMIF('CF(M)'!$L$11:$EQ$11,CS$6,'CF(M)'!$L78:$EQ78)</f>
        <v>0</v>
      </c>
      <c r="CT73" s="168">
        <f>SUMIF('CF(M)'!$L$11:$EQ$11,CT$6,'CF(M)'!$L78:$EQ78)</f>
        <v>0</v>
      </c>
      <c r="CU73" s="168">
        <f>SUMIF('CF(M)'!$L$11:$EQ$11,CU$6,'CF(M)'!$L78:$EQ78)</f>
        <v>0</v>
      </c>
      <c r="CV73" s="168">
        <f>SUMIF('CF(M)'!$L$11:$EQ$11,CV$6,'CF(M)'!$L78:$EQ78)</f>
        <v>0</v>
      </c>
      <c r="CW73" s="168">
        <f>SUMIF('CF(M)'!$L$11:$EQ$11,CW$6,'CF(M)'!$L78:$EQ78)</f>
        <v>0</v>
      </c>
      <c r="CX73" s="168">
        <f>SUMIF('CF(M)'!$L$11:$EQ$11,CX$6,'CF(M)'!$L78:$EQ78)</f>
        <v>0</v>
      </c>
      <c r="CY73" s="168">
        <f>SUMIF('CF(M)'!$L$11:$EQ$11,CY$6,'CF(M)'!$L78:$EQ78)</f>
        <v>0</v>
      </c>
      <c r="CZ73" s="168">
        <f>SUMIF('CF(M)'!$L$11:$EQ$11,CZ$6,'CF(M)'!$L78:$EQ78)</f>
        <v>0</v>
      </c>
      <c r="DA73" s="168">
        <f>SUMIF('CF(M)'!$L$11:$EQ$11,DA$6,'CF(M)'!$L78:$EQ78)</f>
        <v>0</v>
      </c>
      <c r="DB73" s="168">
        <f>SUMIF('CF(M)'!$L$11:$EQ$11,DB$6,'CF(M)'!$L78:$EQ78)</f>
        <v>0</v>
      </c>
      <c r="DC73" s="168">
        <f>SUMIF('CF(M)'!$L$11:$EQ$11,DC$6,'CF(M)'!$L78:$EQ78)</f>
        <v>0</v>
      </c>
      <c r="DD73" s="168">
        <f>SUMIF('CF(M)'!$L$11:$EQ$11,DD$6,'CF(M)'!$L78:$EQ78)</f>
        <v>0</v>
      </c>
      <c r="DE73" s="168">
        <f>SUMIF('CF(M)'!$L$11:$EQ$11,DE$6,'CF(M)'!$L78:$EQ78)</f>
        <v>0</v>
      </c>
      <c r="DF73" s="168">
        <f>SUMIF('CF(M)'!$L$11:$EQ$11,DF$6,'CF(M)'!$L78:$EQ78)</f>
        <v>0</v>
      </c>
      <c r="DG73" s="168">
        <f>SUMIF('CF(M)'!$L$11:$EQ$11,DG$6,'CF(M)'!$L78:$EQ78)</f>
        <v>0</v>
      </c>
      <c r="DH73" s="168">
        <f>SUMIF('CF(M)'!$L$11:$EQ$11,DH$6,'CF(M)'!$L78:$EQ78)</f>
        <v>0</v>
      </c>
      <c r="DI73" s="168">
        <f>SUMIF('CF(M)'!$L$11:$EQ$11,DI$6,'CF(M)'!$L78:$EQ78)</f>
        <v>0</v>
      </c>
      <c r="DJ73" s="168">
        <f>SUMIF('CF(M)'!$L$11:$EQ$11,DJ$6,'CF(M)'!$L78:$EQ78)</f>
        <v>0</v>
      </c>
      <c r="DK73" s="168">
        <f>SUMIF('CF(M)'!$L$11:$EQ$11,DK$6,'CF(M)'!$L78:$EQ78)</f>
        <v>0</v>
      </c>
      <c r="DL73" s="168">
        <f>SUMIF('CF(M)'!$L$11:$EQ$11,DL$6,'CF(M)'!$L78:$EQ78)</f>
        <v>0</v>
      </c>
      <c r="DM73" s="168">
        <f>SUMIF('CF(M)'!$L$11:$EQ$11,DM$6,'CF(M)'!$L78:$EQ78)</f>
        <v>0</v>
      </c>
      <c r="DN73" s="168">
        <f>SUMIF('CF(M)'!$L$11:$EQ$11,DN$6,'CF(M)'!$L78:$EQ78)</f>
        <v>0</v>
      </c>
      <c r="DO73" s="168">
        <f>SUMIF('CF(M)'!$L$11:$EQ$11,DO$6,'CF(M)'!$L78:$EQ78)</f>
        <v>0</v>
      </c>
      <c r="DP73" s="168">
        <f>SUMIF('CF(M)'!$L$11:$EQ$11,DP$6,'CF(M)'!$L78:$EQ78)</f>
        <v>0</v>
      </c>
      <c r="DQ73" s="168">
        <f>SUMIF('CF(M)'!$L$11:$EQ$11,DQ$6,'CF(M)'!$L78:$EQ78)</f>
        <v>0</v>
      </c>
      <c r="DR73" s="168">
        <f>SUMIF('CF(M)'!$L$11:$EQ$11,DR$6,'CF(M)'!$L78:$EQ78)</f>
        <v>0</v>
      </c>
      <c r="DS73" s="168">
        <f>SUMIF('CF(M)'!$L$11:$EQ$11,DS$6,'CF(M)'!$L78:$EQ78)</f>
        <v>0</v>
      </c>
      <c r="DT73" s="168">
        <f>SUMIF('CF(M)'!$L$11:$EQ$11,DT$6,'CF(M)'!$L78:$EQ78)</f>
        <v>0</v>
      </c>
      <c r="DU73" s="168">
        <f>SUMIF('CF(M)'!$L$11:$EQ$11,DU$6,'CF(M)'!$L78:$EQ78)</f>
        <v>0</v>
      </c>
      <c r="DV73" s="168">
        <f>SUMIF('CF(M)'!$L$11:$EQ$11,DV$6,'CF(M)'!$L78:$EQ78)</f>
        <v>0</v>
      </c>
    </row>
    <row r="74" spans="2:126" ht="11.25" customHeight="1">
      <c r="B74" s="218"/>
      <c r="C74" s="163"/>
      <c r="D74" s="169" t="s">
        <v>209</v>
      </c>
      <c r="H74" s="146"/>
      <c r="I74" s="229"/>
      <c r="J74" s="171">
        <f>SUM(L74:DV74)</f>
        <v>-213000000</v>
      </c>
      <c r="K74" s="98"/>
      <c r="L74" s="171">
        <f>SUMIF('CF(M)'!$L$11:$EQ$11,L$6,'CF(M)'!$L79:$EQ79)</f>
        <v>0</v>
      </c>
      <c r="M74" s="171">
        <f>SUMIF('CF(M)'!$L$11:$EQ$11,M$6,'CF(M)'!$L79:$EQ79)</f>
        <v>0</v>
      </c>
      <c r="N74" s="171">
        <f>SUMIF('CF(M)'!$L$11:$EQ$11,N$6,'CF(M)'!$L79:$EQ79)</f>
        <v>0</v>
      </c>
      <c r="O74" s="171">
        <f>SUMIF('CF(M)'!$L$11:$EQ$11,O$6,'CF(M)'!$L79:$EQ79)</f>
        <v>0</v>
      </c>
      <c r="P74" s="171">
        <f>SUMIF('CF(M)'!$L$11:$EQ$11,P$6,'CF(M)'!$L79:$EQ79)</f>
        <v>0</v>
      </c>
      <c r="Q74" s="171">
        <f>SUMIF('CF(M)'!$L$11:$EQ$11,Q$6,'CF(M)'!$L79:$EQ79)</f>
        <v>0</v>
      </c>
      <c r="R74" s="171">
        <f>SUMIF('CF(M)'!$L$11:$EQ$11,R$6,'CF(M)'!$L79:$EQ79)</f>
        <v>0</v>
      </c>
      <c r="S74" s="171">
        <f>SUMIF('CF(M)'!$L$11:$EQ$11,S$6,'CF(M)'!$L79:$EQ79)</f>
        <v>0</v>
      </c>
      <c r="T74" s="171">
        <f>SUMIF('CF(M)'!$L$11:$EQ$11,T$6,'CF(M)'!$L79:$EQ79)</f>
        <v>0</v>
      </c>
      <c r="U74" s="171">
        <f>SUMIF('CF(M)'!$L$11:$EQ$11,U$6,'CF(M)'!$L79:$EQ79)</f>
        <v>0</v>
      </c>
      <c r="V74" s="171">
        <f>SUMIF('CF(M)'!$L$11:$EQ$11,V$6,'CF(M)'!$L79:$EQ79)</f>
        <v>-213000000</v>
      </c>
      <c r="W74" s="171">
        <f>SUMIF('CF(M)'!$L$11:$EQ$11,W$6,'CF(M)'!$L79:$EQ79)</f>
        <v>0</v>
      </c>
      <c r="X74" s="171">
        <f>SUMIF('CF(M)'!$L$11:$EQ$11,X$6,'CF(M)'!$L79:$EQ79)</f>
        <v>0</v>
      </c>
      <c r="Y74" s="171">
        <f>SUMIF('CF(M)'!$L$11:$EQ$11,Y$6,'CF(M)'!$L79:$EQ79)</f>
        <v>0</v>
      </c>
      <c r="Z74" s="171">
        <f>SUMIF('CF(M)'!$L$11:$EQ$11,Z$6,'CF(M)'!$L79:$EQ79)</f>
        <v>0</v>
      </c>
      <c r="AA74" s="171">
        <f>SUMIF('CF(M)'!$L$11:$EQ$11,AA$6,'CF(M)'!$L79:$EQ79)</f>
        <v>0</v>
      </c>
      <c r="AB74" s="171">
        <f>SUMIF('CF(M)'!$L$11:$EQ$11,AB$6,'CF(M)'!$L79:$EQ79)</f>
        <v>0</v>
      </c>
      <c r="AC74" s="171">
        <f>SUMIF('CF(M)'!$L$11:$EQ$11,AC$6,'CF(M)'!$L79:$EQ79)</f>
        <v>0</v>
      </c>
      <c r="AD74" s="171">
        <f>SUMIF('CF(M)'!$L$11:$EQ$11,AD$6,'CF(M)'!$L79:$EQ79)</f>
        <v>0</v>
      </c>
      <c r="AE74" s="171">
        <f>SUMIF('CF(M)'!$L$11:$EQ$11,AE$6,'CF(M)'!$L79:$EQ79)</f>
        <v>0</v>
      </c>
      <c r="AF74" s="171">
        <f>SUMIF('CF(M)'!$L$11:$EQ$11,AF$6,'CF(M)'!$L79:$EQ79)</f>
        <v>0</v>
      </c>
      <c r="AG74" s="171">
        <f>SUMIF('CF(M)'!$L$11:$EQ$11,AG$6,'CF(M)'!$L79:$EQ79)</f>
        <v>0</v>
      </c>
      <c r="AH74" s="171">
        <f>SUMIF('CF(M)'!$L$11:$EQ$11,AH$6,'CF(M)'!$L79:$EQ79)</f>
        <v>0</v>
      </c>
      <c r="AI74" s="171">
        <f>SUMIF('CF(M)'!$L$11:$EQ$11,AI$6,'CF(M)'!$L79:$EQ79)</f>
        <v>0</v>
      </c>
      <c r="AJ74" s="171">
        <f>SUMIF('CF(M)'!$L$11:$EQ$11,AJ$6,'CF(M)'!$L79:$EQ79)</f>
        <v>0</v>
      </c>
      <c r="AK74" s="171">
        <f>SUMIF('CF(M)'!$L$11:$EQ$11,AK$6,'CF(M)'!$L79:$EQ79)</f>
        <v>0</v>
      </c>
      <c r="AL74" s="171">
        <f>SUMIF('CF(M)'!$L$11:$EQ$11,AL$6,'CF(M)'!$L79:$EQ79)</f>
        <v>0</v>
      </c>
      <c r="AM74" s="171">
        <f>SUMIF('CF(M)'!$L$11:$EQ$11,AM$6,'CF(M)'!$L79:$EQ79)</f>
        <v>0</v>
      </c>
      <c r="AN74" s="171">
        <f>SUMIF('CF(M)'!$L$11:$EQ$11,AN$6,'CF(M)'!$L79:$EQ79)</f>
        <v>0</v>
      </c>
      <c r="AO74" s="171">
        <f>SUMIF('CF(M)'!$L$11:$EQ$11,AO$6,'CF(M)'!$L79:$EQ79)</f>
        <v>0</v>
      </c>
      <c r="AP74" s="171">
        <f>SUMIF('CF(M)'!$L$11:$EQ$11,AP$6,'CF(M)'!$L79:$EQ79)</f>
        <v>0</v>
      </c>
      <c r="AQ74" s="171">
        <f>SUMIF('CF(M)'!$L$11:$EQ$11,AQ$6,'CF(M)'!$L79:$EQ79)</f>
        <v>0</v>
      </c>
      <c r="AR74" s="171">
        <f>SUMIF('CF(M)'!$L$11:$EQ$11,AR$6,'CF(M)'!$L79:$EQ79)</f>
        <v>0</v>
      </c>
      <c r="AS74" s="171">
        <f>SUMIF('CF(M)'!$L$11:$EQ$11,AS$6,'CF(M)'!$L79:$EQ79)</f>
        <v>0</v>
      </c>
      <c r="AT74" s="171">
        <f>SUMIF('CF(M)'!$L$11:$EQ$11,AT$6,'CF(M)'!$L79:$EQ79)</f>
        <v>0</v>
      </c>
      <c r="AU74" s="171">
        <f>SUMIF('CF(M)'!$L$11:$EQ$11,AU$6,'CF(M)'!$L79:$EQ79)</f>
        <v>0</v>
      </c>
      <c r="AV74" s="171">
        <f>SUMIF('CF(M)'!$L$11:$EQ$11,AV$6,'CF(M)'!$L79:$EQ79)</f>
        <v>0</v>
      </c>
      <c r="AW74" s="171">
        <f>SUMIF('CF(M)'!$L$11:$EQ$11,AW$6,'CF(M)'!$L79:$EQ79)</f>
        <v>0</v>
      </c>
      <c r="AX74" s="171">
        <f>SUMIF('CF(M)'!$L$11:$EQ$11,AX$6,'CF(M)'!$L79:$EQ79)</f>
        <v>0</v>
      </c>
      <c r="AY74" s="171">
        <f>SUMIF('CF(M)'!$L$11:$EQ$11,AY$6,'CF(M)'!$L79:$EQ79)</f>
        <v>0</v>
      </c>
      <c r="AZ74" s="171">
        <f>SUMIF('CF(M)'!$L$11:$EQ$11,AZ$6,'CF(M)'!$L79:$EQ79)</f>
        <v>0</v>
      </c>
      <c r="BA74" s="171">
        <f>SUMIF('CF(M)'!$L$11:$EQ$11,BA$6,'CF(M)'!$L79:$EQ79)</f>
        <v>0</v>
      </c>
      <c r="BB74" s="171">
        <f>SUMIF('CF(M)'!$L$11:$EQ$11,BB$6,'CF(M)'!$L79:$EQ79)</f>
        <v>0</v>
      </c>
      <c r="BC74" s="171">
        <f>SUMIF('CF(M)'!$L$11:$EQ$11,BC$6,'CF(M)'!$L79:$EQ79)</f>
        <v>0</v>
      </c>
      <c r="BD74" s="171">
        <f>SUMIF('CF(M)'!$L$11:$EQ$11,BD$6,'CF(M)'!$L79:$EQ79)</f>
        <v>0</v>
      </c>
      <c r="BE74" s="171">
        <f>SUMIF('CF(M)'!$L$11:$EQ$11,BE$6,'CF(M)'!$L79:$EQ79)</f>
        <v>0</v>
      </c>
      <c r="BF74" s="171">
        <f>SUMIF('CF(M)'!$L$11:$EQ$11,BF$6,'CF(M)'!$L79:$EQ79)</f>
        <v>0</v>
      </c>
      <c r="BG74" s="171">
        <f>SUMIF('CF(M)'!$L$11:$EQ$11,BG$6,'CF(M)'!$L79:$EQ79)</f>
        <v>0</v>
      </c>
      <c r="BH74" s="171">
        <f>SUMIF('CF(M)'!$L$11:$EQ$11,BH$6,'CF(M)'!$L79:$EQ79)</f>
        <v>0</v>
      </c>
      <c r="BI74" s="171">
        <f>SUMIF('CF(M)'!$L$11:$EQ$11,BI$6,'CF(M)'!$L79:$EQ79)</f>
        <v>0</v>
      </c>
      <c r="BJ74" s="171">
        <f>SUMIF('CF(M)'!$L$11:$EQ$11,BJ$6,'CF(M)'!$L79:$EQ79)</f>
        <v>0</v>
      </c>
      <c r="BK74" s="171">
        <f>SUMIF('CF(M)'!$L$11:$EQ$11,BK$6,'CF(M)'!$L79:$EQ79)</f>
        <v>0</v>
      </c>
      <c r="BL74" s="171">
        <f>SUMIF('CF(M)'!$L$11:$EQ$11,BL$6,'CF(M)'!$L79:$EQ79)</f>
        <v>0</v>
      </c>
      <c r="BM74" s="171">
        <f>SUMIF('CF(M)'!$L$11:$EQ$11,BM$6,'CF(M)'!$L79:$EQ79)</f>
        <v>0</v>
      </c>
      <c r="BN74" s="171">
        <f>SUMIF('CF(M)'!$L$11:$EQ$11,BN$6,'CF(M)'!$L79:$EQ79)</f>
        <v>0</v>
      </c>
      <c r="BO74" s="171">
        <f>SUMIF('CF(M)'!$L$11:$EQ$11,BO$6,'CF(M)'!$L79:$EQ79)</f>
        <v>0</v>
      </c>
      <c r="BP74" s="171">
        <f>SUMIF('CF(M)'!$L$11:$EQ$11,BP$6,'CF(M)'!$L79:$EQ79)</f>
        <v>0</v>
      </c>
      <c r="BQ74" s="171">
        <f>SUMIF('CF(M)'!$L$11:$EQ$11,BQ$6,'CF(M)'!$L79:$EQ79)</f>
        <v>0</v>
      </c>
      <c r="BR74" s="171">
        <f>SUMIF('CF(M)'!$L$11:$EQ$11,BR$6,'CF(M)'!$L79:$EQ79)</f>
        <v>0</v>
      </c>
      <c r="BS74" s="171">
        <f>SUMIF('CF(M)'!$L$11:$EQ$11,BS$6,'CF(M)'!$L79:$EQ79)</f>
        <v>0</v>
      </c>
      <c r="BT74" s="171">
        <f>SUMIF('CF(M)'!$L$11:$EQ$11,BT$6,'CF(M)'!$L79:$EQ79)</f>
        <v>0</v>
      </c>
      <c r="BU74" s="171">
        <f>SUMIF('CF(M)'!$L$11:$EQ$11,BU$6,'CF(M)'!$L79:$EQ79)</f>
        <v>0</v>
      </c>
      <c r="BV74" s="171">
        <f>SUMIF('CF(M)'!$L$11:$EQ$11,BV$6,'CF(M)'!$L79:$EQ79)</f>
        <v>0</v>
      </c>
      <c r="BW74" s="171">
        <f>SUMIF('CF(M)'!$L$11:$EQ$11,BW$6,'CF(M)'!$L79:$EQ79)</f>
        <v>0</v>
      </c>
      <c r="BX74" s="171">
        <f>SUMIF('CF(M)'!$L$11:$EQ$11,BX$6,'CF(M)'!$L79:$EQ79)</f>
        <v>0</v>
      </c>
      <c r="BY74" s="171">
        <f>SUMIF('CF(M)'!$L$11:$EQ$11,BY$6,'CF(M)'!$L79:$EQ79)</f>
        <v>0</v>
      </c>
      <c r="BZ74" s="171">
        <f>SUMIF('CF(M)'!$L$11:$EQ$11,BZ$6,'CF(M)'!$L79:$EQ79)</f>
        <v>0</v>
      </c>
      <c r="CA74" s="171">
        <f>SUMIF('CF(M)'!$L$11:$EQ$11,CA$6,'CF(M)'!$L79:$EQ79)</f>
        <v>0</v>
      </c>
      <c r="CB74" s="171">
        <f>SUMIF('CF(M)'!$L$11:$EQ$11,CB$6,'CF(M)'!$L79:$EQ79)</f>
        <v>0</v>
      </c>
      <c r="CC74" s="171">
        <f>SUMIF('CF(M)'!$L$11:$EQ$11,CC$6,'CF(M)'!$L79:$EQ79)</f>
        <v>0</v>
      </c>
      <c r="CD74" s="171">
        <f>SUMIF('CF(M)'!$L$11:$EQ$11,CD$6,'CF(M)'!$L79:$EQ79)</f>
        <v>0</v>
      </c>
      <c r="CE74" s="171">
        <f>SUMIF('CF(M)'!$L$11:$EQ$11,CE$6,'CF(M)'!$L79:$EQ79)</f>
        <v>0</v>
      </c>
      <c r="CF74" s="171">
        <f>SUMIF('CF(M)'!$L$11:$EQ$11,CF$6,'CF(M)'!$L79:$EQ79)</f>
        <v>0</v>
      </c>
      <c r="CG74" s="171">
        <f>SUMIF('CF(M)'!$L$11:$EQ$11,CG$6,'CF(M)'!$L79:$EQ79)</f>
        <v>0</v>
      </c>
      <c r="CH74" s="171">
        <f>SUMIF('CF(M)'!$L$11:$EQ$11,CH$6,'CF(M)'!$L79:$EQ79)</f>
        <v>0</v>
      </c>
      <c r="CI74" s="171">
        <f>SUMIF('CF(M)'!$L$11:$EQ$11,CI$6,'CF(M)'!$L79:$EQ79)</f>
        <v>0</v>
      </c>
      <c r="CJ74" s="171">
        <f>SUMIF('CF(M)'!$L$11:$EQ$11,CJ$6,'CF(M)'!$L79:$EQ79)</f>
        <v>0</v>
      </c>
      <c r="CK74" s="171">
        <f>SUMIF('CF(M)'!$L$11:$EQ$11,CK$6,'CF(M)'!$L79:$EQ79)</f>
        <v>0</v>
      </c>
      <c r="CL74" s="171">
        <f>SUMIF('CF(M)'!$L$11:$EQ$11,CL$6,'CF(M)'!$L79:$EQ79)</f>
        <v>0</v>
      </c>
      <c r="CM74" s="171">
        <f>SUMIF('CF(M)'!$L$11:$EQ$11,CM$6,'CF(M)'!$L79:$EQ79)</f>
        <v>0</v>
      </c>
      <c r="CN74" s="171">
        <f>SUMIF('CF(M)'!$L$11:$EQ$11,CN$6,'CF(M)'!$L79:$EQ79)</f>
        <v>0</v>
      </c>
      <c r="CO74" s="171">
        <f>SUMIF('CF(M)'!$L$11:$EQ$11,CO$6,'CF(M)'!$L79:$EQ79)</f>
        <v>0</v>
      </c>
      <c r="CP74" s="171">
        <f>SUMIF('CF(M)'!$L$11:$EQ$11,CP$6,'CF(M)'!$L79:$EQ79)</f>
        <v>0</v>
      </c>
      <c r="CQ74" s="171">
        <f>SUMIF('CF(M)'!$L$11:$EQ$11,CQ$6,'CF(M)'!$L79:$EQ79)</f>
        <v>0</v>
      </c>
      <c r="CR74" s="171">
        <f>SUMIF('CF(M)'!$L$11:$EQ$11,CR$6,'CF(M)'!$L79:$EQ79)</f>
        <v>0</v>
      </c>
      <c r="CS74" s="171">
        <f>SUMIF('CF(M)'!$L$11:$EQ$11,CS$6,'CF(M)'!$L79:$EQ79)</f>
        <v>0</v>
      </c>
      <c r="CT74" s="171">
        <f>SUMIF('CF(M)'!$L$11:$EQ$11,CT$6,'CF(M)'!$L79:$EQ79)</f>
        <v>0</v>
      </c>
      <c r="CU74" s="171">
        <f>SUMIF('CF(M)'!$L$11:$EQ$11,CU$6,'CF(M)'!$L79:$EQ79)</f>
        <v>0</v>
      </c>
      <c r="CV74" s="171">
        <f>SUMIF('CF(M)'!$L$11:$EQ$11,CV$6,'CF(M)'!$L79:$EQ79)</f>
        <v>0</v>
      </c>
      <c r="CW74" s="171">
        <f>SUMIF('CF(M)'!$L$11:$EQ$11,CW$6,'CF(M)'!$L79:$EQ79)</f>
        <v>0</v>
      </c>
      <c r="CX74" s="171">
        <f>SUMIF('CF(M)'!$L$11:$EQ$11,CX$6,'CF(M)'!$L79:$EQ79)</f>
        <v>0</v>
      </c>
      <c r="CY74" s="171">
        <f>SUMIF('CF(M)'!$L$11:$EQ$11,CY$6,'CF(M)'!$L79:$EQ79)</f>
        <v>0</v>
      </c>
      <c r="CZ74" s="171">
        <f>SUMIF('CF(M)'!$L$11:$EQ$11,CZ$6,'CF(M)'!$L79:$EQ79)</f>
        <v>0</v>
      </c>
      <c r="DA74" s="171">
        <f>SUMIF('CF(M)'!$L$11:$EQ$11,DA$6,'CF(M)'!$L79:$EQ79)</f>
        <v>0</v>
      </c>
      <c r="DB74" s="171">
        <f>SUMIF('CF(M)'!$L$11:$EQ$11,DB$6,'CF(M)'!$L79:$EQ79)</f>
        <v>0</v>
      </c>
      <c r="DC74" s="171">
        <f>SUMIF('CF(M)'!$L$11:$EQ$11,DC$6,'CF(M)'!$L79:$EQ79)</f>
        <v>0</v>
      </c>
      <c r="DD74" s="171">
        <f>SUMIF('CF(M)'!$L$11:$EQ$11,DD$6,'CF(M)'!$L79:$EQ79)</f>
        <v>0</v>
      </c>
      <c r="DE74" s="171">
        <f>SUMIF('CF(M)'!$L$11:$EQ$11,DE$6,'CF(M)'!$L79:$EQ79)</f>
        <v>0</v>
      </c>
      <c r="DF74" s="171">
        <f>SUMIF('CF(M)'!$L$11:$EQ$11,DF$6,'CF(M)'!$L79:$EQ79)</f>
        <v>0</v>
      </c>
      <c r="DG74" s="171">
        <f>SUMIF('CF(M)'!$L$11:$EQ$11,DG$6,'CF(M)'!$L79:$EQ79)</f>
        <v>0</v>
      </c>
      <c r="DH74" s="171">
        <f>SUMIF('CF(M)'!$L$11:$EQ$11,DH$6,'CF(M)'!$L79:$EQ79)</f>
        <v>0</v>
      </c>
      <c r="DI74" s="171">
        <f>SUMIF('CF(M)'!$L$11:$EQ$11,DI$6,'CF(M)'!$L79:$EQ79)</f>
        <v>0</v>
      </c>
      <c r="DJ74" s="171">
        <f>SUMIF('CF(M)'!$L$11:$EQ$11,DJ$6,'CF(M)'!$L79:$EQ79)</f>
        <v>0</v>
      </c>
      <c r="DK74" s="171">
        <f>SUMIF('CF(M)'!$L$11:$EQ$11,DK$6,'CF(M)'!$L79:$EQ79)</f>
        <v>0</v>
      </c>
      <c r="DL74" s="171">
        <f>SUMIF('CF(M)'!$L$11:$EQ$11,DL$6,'CF(M)'!$L79:$EQ79)</f>
        <v>0</v>
      </c>
      <c r="DM74" s="171">
        <f>SUMIF('CF(M)'!$L$11:$EQ$11,DM$6,'CF(M)'!$L79:$EQ79)</f>
        <v>0</v>
      </c>
      <c r="DN74" s="171">
        <f>SUMIF('CF(M)'!$L$11:$EQ$11,DN$6,'CF(M)'!$L79:$EQ79)</f>
        <v>0</v>
      </c>
      <c r="DO74" s="171">
        <f>SUMIF('CF(M)'!$L$11:$EQ$11,DO$6,'CF(M)'!$L79:$EQ79)</f>
        <v>0</v>
      </c>
      <c r="DP74" s="171">
        <f>SUMIF('CF(M)'!$L$11:$EQ$11,DP$6,'CF(M)'!$L79:$EQ79)</f>
        <v>0</v>
      </c>
      <c r="DQ74" s="171">
        <f>SUMIF('CF(M)'!$L$11:$EQ$11,DQ$6,'CF(M)'!$L79:$EQ79)</f>
        <v>0</v>
      </c>
      <c r="DR74" s="171">
        <f>SUMIF('CF(M)'!$L$11:$EQ$11,DR$6,'CF(M)'!$L79:$EQ79)</f>
        <v>0</v>
      </c>
      <c r="DS74" s="171">
        <f>SUMIF('CF(M)'!$L$11:$EQ$11,DS$6,'CF(M)'!$L79:$EQ79)</f>
        <v>0</v>
      </c>
      <c r="DT74" s="171">
        <f>SUMIF('CF(M)'!$L$11:$EQ$11,DT$6,'CF(M)'!$L79:$EQ79)</f>
        <v>0</v>
      </c>
      <c r="DU74" s="171">
        <f>SUMIF('CF(M)'!$L$11:$EQ$11,DU$6,'CF(M)'!$L79:$EQ79)</f>
        <v>0</v>
      </c>
      <c r="DV74" s="171">
        <f>SUMIF('CF(M)'!$L$11:$EQ$11,DV$6,'CF(M)'!$L79:$EQ79)</f>
        <v>0</v>
      </c>
    </row>
    <row r="75" spans="2:126" ht="11.25" customHeight="1">
      <c r="B75" s="218"/>
      <c r="C75" s="158" t="str">
        <f>'CF(M)'!C80</f>
        <v>중순위대출</v>
      </c>
      <c r="D75" s="159"/>
      <c r="E75" s="159"/>
      <c r="F75" s="159"/>
      <c r="G75" s="159"/>
      <c r="H75" s="160"/>
      <c r="I75" s="219"/>
      <c r="J75" s="220">
        <f>SUM(J76:J77)</f>
        <v>0</v>
      </c>
      <c r="K75" s="98"/>
      <c r="L75" s="162">
        <f>SUM(L76:L77)</f>
        <v>38000000</v>
      </c>
      <c r="M75" s="162">
        <f t="shared" ref="M75:BX75" si="38">SUM(M76:M77)</f>
        <v>0</v>
      </c>
      <c r="N75" s="162">
        <f t="shared" si="38"/>
        <v>-38000000</v>
      </c>
      <c r="O75" s="162">
        <f t="shared" si="38"/>
        <v>0</v>
      </c>
      <c r="P75" s="162">
        <f t="shared" si="38"/>
        <v>0</v>
      </c>
      <c r="Q75" s="162">
        <f t="shared" si="38"/>
        <v>0</v>
      </c>
      <c r="R75" s="162">
        <f t="shared" si="38"/>
        <v>0</v>
      </c>
      <c r="S75" s="162">
        <f t="shared" si="38"/>
        <v>0</v>
      </c>
      <c r="T75" s="162">
        <f t="shared" si="38"/>
        <v>0</v>
      </c>
      <c r="U75" s="162">
        <f t="shared" si="38"/>
        <v>0</v>
      </c>
      <c r="V75" s="162">
        <f t="shared" si="38"/>
        <v>0</v>
      </c>
      <c r="W75" s="162">
        <f t="shared" si="38"/>
        <v>0</v>
      </c>
      <c r="X75" s="162">
        <f t="shared" si="38"/>
        <v>0</v>
      </c>
      <c r="Y75" s="162">
        <f t="shared" si="38"/>
        <v>0</v>
      </c>
      <c r="Z75" s="162">
        <f t="shared" si="38"/>
        <v>0</v>
      </c>
      <c r="AA75" s="162">
        <f t="shared" si="38"/>
        <v>0</v>
      </c>
      <c r="AB75" s="162">
        <f t="shared" si="38"/>
        <v>0</v>
      </c>
      <c r="AC75" s="162">
        <f t="shared" si="38"/>
        <v>0</v>
      </c>
      <c r="AD75" s="162">
        <f t="shared" si="38"/>
        <v>0</v>
      </c>
      <c r="AE75" s="162">
        <f t="shared" si="38"/>
        <v>0</v>
      </c>
      <c r="AF75" s="162">
        <f t="shared" si="38"/>
        <v>0</v>
      </c>
      <c r="AG75" s="162">
        <f t="shared" si="38"/>
        <v>0</v>
      </c>
      <c r="AH75" s="162">
        <f t="shared" si="38"/>
        <v>0</v>
      </c>
      <c r="AI75" s="162">
        <f t="shared" si="38"/>
        <v>0</v>
      </c>
      <c r="AJ75" s="162">
        <f t="shared" si="38"/>
        <v>0</v>
      </c>
      <c r="AK75" s="162">
        <f t="shared" si="38"/>
        <v>0</v>
      </c>
      <c r="AL75" s="162">
        <f t="shared" si="38"/>
        <v>0</v>
      </c>
      <c r="AM75" s="162">
        <f t="shared" si="38"/>
        <v>0</v>
      </c>
      <c r="AN75" s="162">
        <f t="shared" si="38"/>
        <v>0</v>
      </c>
      <c r="AO75" s="162">
        <f t="shared" si="38"/>
        <v>0</v>
      </c>
      <c r="AP75" s="162">
        <f t="shared" si="38"/>
        <v>0</v>
      </c>
      <c r="AQ75" s="162">
        <f t="shared" si="38"/>
        <v>0</v>
      </c>
      <c r="AR75" s="162">
        <f t="shared" si="38"/>
        <v>0</v>
      </c>
      <c r="AS75" s="162">
        <f t="shared" si="38"/>
        <v>0</v>
      </c>
      <c r="AT75" s="162">
        <f t="shared" si="38"/>
        <v>0</v>
      </c>
      <c r="AU75" s="162">
        <f t="shared" si="38"/>
        <v>0</v>
      </c>
      <c r="AV75" s="162">
        <f t="shared" si="38"/>
        <v>0</v>
      </c>
      <c r="AW75" s="162">
        <f t="shared" si="38"/>
        <v>0</v>
      </c>
      <c r="AX75" s="162">
        <f t="shared" si="38"/>
        <v>0</v>
      </c>
      <c r="AY75" s="162">
        <f t="shared" si="38"/>
        <v>0</v>
      </c>
      <c r="AZ75" s="162">
        <f t="shared" si="38"/>
        <v>0</v>
      </c>
      <c r="BA75" s="162">
        <f t="shared" si="38"/>
        <v>0</v>
      </c>
      <c r="BB75" s="162">
        <f t="shared" si="38"/>
        <v>0</v>
      </c>
      <c r="BC75" s="162">
        <f t="shared" si="38"/>
        <v>0</v>
      </c>
      <c r="BD75" s="162">
        <f t="shared" si="38"/>
        <v>0</v>
      </c>
      <c r="BE75" s="162">
        <f t="shared" si="38"/>
        <v>0</v>
      </c>
      <c r="BF75" s="162">
        <f t="shared" si="38"/>
        <v>0</v>
      </c>
      <c r="BG75" s="162">
        <f t="shared" si="38"/>
        <v>0</v>
      </c>
      <c r="BH75" s="162">
        <f t="shared" si="38"/>
        <v>0</v>
      </c>
      <c r="BI75" s="162">
        <f t="shared" si="38"/>
        <v>0</v>
      </c>
      <c r="BJ75" s="162">
        <f t="shared" si="38"/>
        <v>0</v>
      </c>
      <c r="BK75" s="162">
        <f t="shared" si="38"/>
        <v>0</v>
      </c>
      <c r="BL75" s="162">
        <f t="shared" si="38"/>
        <v>0</v>
      </c>
      <c r="BM75" s="162">
        <f t="shared" si="38"/>
        <v>0</v>
      </c>
      <c r="BN75" s="162">
        <f t="shared" si="38"/>
        <v>0</v>
      </c>
      <c r="BO75" s="162">
        <f t="shared" si="38"/>
        <v>0</v>
      </c>
      <c r="BP75" s="162">
        <f t="shared" si="38"/>
        <v>0</v>
      </c>
      <c r="BQ75" s="162">
        <f t="shared" si="38"/>
        <v>0</v>
      </c>
      <c r="BR75" s="162">
        <f t="shared" si="38"/>
        <v>0</v>
      </c>
      <c r="BS75" s="162">
        <f t="shared" si="38"/>
        <v>0</v>
      </c>
      <c r="BT75" s="162">
        <f t="shared" si="38"/>
        <v>0</v>
      </c>
      <c r="BU75" s="162">
        <f t="shared" si="38"/>
        <v>0</v>
      </c>
      <c r="BV75" s="162">
        <f t="shared" si="38"/>
        <v>0</v>
      </c>
      <c r="BW75" s="162">
        <f t="shared" si="38"/>
        <v>0</v>
      </c>
      <c r="BX75" s="162">
        <f t="shared" si="38"/>
        <v>0</v>
      </c>
      <c r="BY75" s="162">
        <f t="shared" ref="BY75:DV75" si="39">SUM(BY76:BY77)</f>
        <v>0</v>
      </c>
      <c r="BZ75" s="162">
        <f t="shared" si="39"/>
        <v>0</v>
      </c>
      <c r="CA75" s="162">
        <f t="shared" si="39"/>
        <v>0</v>
      </c>
      <c r="CB75" s="162">
        <f t="shared" si="39"/>
        <v>0</v>
      </c>
      <c r="CC75" s="162">
        <f t="shared" si="39"/>
        <v>0</v>
      </c>
      <c r="CD75" s="162">
        <f t="shared" si="39"/>
        <v>0</v>
      </c>
      <c r="CE75" s="162">
        <f t="shared" si="39"/>
        <v>0</v>
      </c>
      <c r="CF75" s="162">
        <f t="shared" si="39"/>
        <v>0</v>
      </c>
      <c r="CG75" s="162">
        <f t="shared" si="39"/>
        <v>0</v>
      </c>
      <c r="CH75" s="162">
        <f t="shared" si="39"/>
        <v>0</v>
      </c>
      <c r="CI75" s="162">
        <f t="shared" si="39"/>
        <v>0</v>
      </c>
      <c r="CJ75" s="162">
        <f t="shared" si="39"/>
        <v>0</v>
      </c>
      <c r="CK75" s="162">
        <f t="shared" si="39"/>
        <v>0</v>
      </c>
      <c r="CL75" s="162">
        <f t="shared" si="39"/>
        <v>0</v>
      </c>
      <c r="CM75" s="162">
        <f t="shared" si="39"/>
        <v>0</v>
      </c>
      <c r="CN75" s="162">
        <f t="shared" si="39"/>
        <v>0</v>
      </c>
      <c r="CO75" s="162">
        <f t="shared" si="39"/>
        <v>0</v>
      </c>
      <c r="CP75" s="162">
        <f t="shared" si="39"/>
        <v>0</v>
      </c>
      <c r="CQ75" s="162">
        <f t="shared" si="39"/>
        <v>0</v>
      </c>
      <c r="CR75" s="162">
        <f t="shared" si="39"/>
        <v>0</v>
      </c>
      <c r="CS75" s="162">
        <f t="shared" si="39"/>
        <v>0</v>
      </c>
      <c r="CT75" s="162">
        <f t="shared" si="39"/>
        <v>0</v>
      </c>
      <c r="CU75" s="162">
        <f t="shared" si="39"/>
        <v>0</v>
      </c>
      <c r="CV75" s="162">
        <f t="shared" si="39"/>
        <v>0</v>
      </c>
      <c r="CW75" s="162">
        <f t="shared" si="39"/>
        <v>0</v>
      </c>
      <c r="CX75" s="162">
        <f t="shared" si="39"/>
        <v>0</v>
      </c>
      <c r="CY75" s="162">
        <f t="shared" si="39"/>
        <v>0</v>
      </c>
      <c r="CZ75" s="162">
        <f t="shared" si="39"/>
        <v>0</v>
      </c>
      <c r="DA75" s="162">
        <f t="shared" si="39"/>
        <v>0</v>
      </c>
      <c r="DB75" s="162">
        <f t="shared" si="39"/>
        <v>0</v>
      </c>
      <c r="DC75" s="162">
        <f t="shared" si="39"/>
        <v>0</v>
      </c>
      <c r="DD75" s="162">
        <f t="shared" si="39"/>
        <v>0</v>
      </c>
      <c r="DE75" s="162">
        <f t="shared" si="39"/>
        <v>0</v>
      </c>
      <c r="DF75" s="162">
        <f t="shared" si="39"/>
        <v>0</v>
      </c>
      <c r="DG75" s="162">
        <f t="shared" si="39"/>
        <v>0</v>
      </c>
      <c r="DH75" s="162">
        <f t="shared" si="39"/>
        <v>0</v>
      </c>
      <c r="DI75" s="162">
        <f t="shared" si="39"/>
        <v>0</v>
      </c>
      <c r="DJ75" s="162">
        <f t="shared" si="39"/>
        <v>0</v>
      </c>
      <c r="DK75" s="162">
        <f t="shared" si="39"/>
        <v>0</v>
      </c>
      <c r="DL75" s="162">
        <f t="shared" si="39"/>
        <v>0</v>
      </c>
      <c r="DM75" s="162">
        <f t="shared" si="39"/>
        <v>0</v>
      </c>
      <c r="DN75" s="162">
        <f t="shared" si="39"/>
        <v>0</v>
      </c>
      <c r="DO75" s="162">
        <f t="shared" si="39"/>
        <v>0</v>
      </c>
      <c r="DP75" s="162">
        <f t="shared" si="39"/>
        <v>0</v>
      </c>
      <c r="DQ75" s="162">
        <f t="shared" si="39"/>
        <v>0</v>
      </c>
      <c r="DR75" s="162">
        <f t="shared" si="39"/>
        <v>0</v>
      </c>
      <c r="DS75" s="162">
        <f t="shared" si="39"/>
        <v>0</v>
      </c>
      <c r="DT75" s="162">
        <f t="shared" si="39"/>
        <v>0</v>
      </c>
      <c r="DU75" s="162">
        <f t="shared" si="39"/>
        <v>0</v>
      </c>
      <c r="DV75" s="162">
        <f t="shared" si="39"/>
        <v>0</v>
      </c>
    </row>
    <row r="76" spans="2:126" ht="11.25" customHeight="1">
      <c r="B76" s="218"/>
      <c r="C76" s="163"/>
      <c r="D76" s="164" t="s">
        <v>208</v>
      </c>
      <c r="E76" s="165"/>
      <c r="F76" s="165"/>
      <c r="G76" s="165"/>
      <c r="H76" s="166"/>
      <c r="I76" s="228"/>
      <c r="J76" s="168">
        <f>SUM(L76:DV76)</f>
        <v>38000000</v>
      </c>
      <c r="K76" s="98"/>
      <c r="L76" s="168">
        <f>SUMIF('CF(M)'!$L$11:$EQ$11,L$6,'CF(M)'!$L81:$EQ81)</f>
        <v>38000000</v>
      </c>
      <c r="M76" s="168">
        <f>SUMIF('CF(M)'!$L$11:$EQ$11,M$6,'CF(M)'!$L81:$EQ81)</f>
        <v>0</v>
      </c>
      <c r="N76" s="168">
        <f>SUMIF('CF(M)'!$L$11:$EQ$11,N$6,'CF(M)'!$L81:$EQ81)</f>
        <v>0</v>
      </c>
      <c r="O76" s="168">
        <f>SUMIF('CF(M)'!$L$11:$EQ$11,O$6,'CF(M)'!$L81:$EQ81)</f>
        <v>0</v>
      </c>
      <c r="P76" s="168">
        <f>SUMIF('CF(M)'!$L$11:$EQ$11,P$6,'CF(M)'!$L81:$EQ81)</f>
        <v>0</v>
      </c>
      <c r="Q76" s="168">
        <f>SUMIF('CF(M)'!$L$11:$EQ$11,Q$6,'CF(M)'!$L81:$EQ81)</f>
        <v>0</v>
      </c>
      <c r="R76" s="168">
        <f>SUMIF('CF(M)'!$L$11:$EQ$11,R$6,'CF(M)'!$L81:$EQ81)</f>
        <v>0</v>
      </c>
      <c r="S76" s="168">
        <f>SUMIF('CF(M)'!$L$11:$EQ$11,S$6,'CF(M)'!$L81:$EQ81)</f>
        <v>0</v>
      </c>
      <c r="T76" s="168">
        <f>SUMIF('CF(M)'!$L$11:$EQ$11,T$6,'CF(M)'!$L81:$EQ81)</f>
        <v>0</v>
      </c>
      <c r="U76" s="168">
        <f>SUMIF('CF(M)'!$L$11:$EQ$11,U$6,'CF(M)'!$L81:$EQ81)</f>
        <v>0</v>
      </c>
      <c r="V76" s="168">
        <f>SUMIF('CF(M)'!$L$11:$EQ$11,V$6,'CF(M)'!$L81:$EQ81)</f>
        <v>0</v>
      </c>
      <c r="W76" s="168">
        <f>SUMIF('CF(M)'!$L$11:$EQ$11,W$6,'CF(M)'!$L81:$EQ81)</f>
        <v>0</v>
      </c>
      <c r="X76" s="168">
        <f>SUMIF('CF(M)'!$L$11:$EQ$11,X$6,'CF(M)'!$L81:$EQ81)</f>
        <v>0</v>
      </c>
      <c r="Y76" s="168">
        <f>SUMIF('CF(M)'!$L$11:$EQ$11,Y$6,'CF(M)'!$L81:$EQ81)</f>
        <v>0</v>
      </c>
      <c r="Z76" s="168">
        <f>SUMIF('CF(M)'!$L$11:$EQ$11,Z$6,'CF(M)'!$L81:$EQ81)</f>
        <v>0</v>
      </c>
      <c r="AA76" s="168">
        <f>SUMIF('CF(M)'!$L$11:$EQ$11,AA$6,'CF(M)'!$L81:$EQ81)</f>
        <v>0</v>
      </c>
      <c r="AB76" s="168">
        <f>SUMIF('CF(M)'!$L$11:$EQ$11,AB$6,'CF(M)'!$L81:$EQ81)</f>
        <v>0</v>
      </c>
      <c r="AC76" s="168">
        <f>SUMIF('CF(M)'!$L$11:$EQ$11,AC$6,'CF(M)'!$L81:$EQ81)</f>
        <v>0</v>
      </c>
      <c r="AD76" s="168">
        <f>SUMIF('CF(M)'!$L$11:$EQ$11,AD$6,'CF(M)'!$L81:$EQ81)</f>
        <v>0</v>
      </c>
      <c r="AE76" s="168">
        <f>SUMIF('CF(M)'!$L$11:$EQ$11,AE$6,'CF(M)'!$L81:$EQ81)</f>
        <v>0</v>
      </c>
      <c r="AF76" s="168">
        <f>SUMIF('CF(M)'!$L$11:$EQ$11,AF$6,'CF(M)'!$L81:$EQ81)</f>
        <v>0</v>
      </c>
      <c r="AG76" s="168">
        <f>SUMIF('CF(M)'!$L$11:$EQ$11,AG$6,'CF(M)'!$L81:$EQ81)</f>
        <v>0</v>
      </c>
      <c r="AH76" s="168">
        <f>SUMIF('CF(M)'!$L$11:$EQ$11,AH$6,'CF(M)'!$L81:$EQ81)</f>
        <v>0</v>
      </c>
      <c r="AI76" s="168">
        <f>SUMIF('CF(M)'!$L$11:$EQ$11,AI$6,'CF(M)'!$L81:$EQ81)</f>
        <v>0</v>
      </c>
      <c r="AJ76" s="168">
        <f>SUMIF('CF(M)'!$L$11:$EQ$11,AJ$6,'CF(M)'!$L81:$EQ81)</f>
        <v>0</v>
      </c>
      <c r="AK76" s="168">
        <f>SUMIF('CF(M)'!$L$11:$EQ$11,AK$6,'CF(M)'!$L81:$EQ81)</f>
        <v>0</v>
      </c>
      <c r="AL76" s="168">
        <f>SUMIF('CF(M)'!$L$11:$EQ$11,AL$6,'CF(M)'!$L81:$EQ81)</f>
        <v>0</v>
      </c>
      <c r="AM76" s="168">
        <f>SUMIF('CF(M)'!$L$11:$EQ$11,AM$6,'CF(M)'!$L81:$EQ81)</f>
        <v>0</v>
      </c>
      <c r="AN76" s="168">
        <f>SUMIF('CF(M)'!$L$11:$EQ$11,AN$6,'CF(M)'!$L81:$EQ81)</f>
        <v>0</v>
      </c>
      <c r="AO76" s="168">
        <f>SUMIF('CF(M)'!$L$11:$EQ$11,AO$6,'CF(M)'!$L81:$EQ81)</f>
        <v>0</v>
      </c>
      <c r="AP76" s="168">
        <f>SUMIF('CF(M)'!$L$11:$EQ$11,AP$6,'CF(M)'!$L81:$EQ81)</f>
        <v>0</v>
      </c>
      <c r="AQ76" s="168">
        <f>SUMIF('CF(M)'!$L$11:$EQ$11,AQ$6,'CF(M)'!$L81:$EQ81)</f>
        <v>0</v>
      </c>
      <c r="AR76" s="168">
        <f>SUMIF('CF(M)'!$L$11:$EQ$11,AR$6,'CF(M)'!$L81:$EQ81)</f>
        <v>0</v>
      </c>
      <c r="AS76" s="168">
        <f>SUMIF('CF(M)'!$L$11:$EQ$11,AS$6,'CF(M)'!$L81:$EQ81)</f>
        <v>0</v>
      </c>
      <c r="AT76" s="168">
        <f>SUMIF('CF(M)'!$L$11:$EQ$11,AT$6,'CF(M)'!$L81:$EQ81)</f>
        <v>0</v>
      </c>
      <c r="AU76" s="168">
        <f>SUMIF('CF(M)'!$L$11:$EQ$11,AU$6,'CF(M)'!$L81:$EQ81)</f>
        <v>0</v>
      </c>
      <c r="AV76" s="168">
        <f>SUMIF('CF(M)'!$L$11:$EQ$11,AV$6,'CF(M)'!$L81:$EQ81)</f>
        <v>0</v>
      </c>
      <c r="AW76" s="168">
        <f>SUMIF('CF(M)'!$L$11:$EQ$11,AW$6,'CF(M)'!$L81:$EQ81)</f>
        <v>0</v>
      </c>
      <c r="AX76" s="168">
        <f>SUMIF('CF(M)'!$L$11:$EQ$11,AX$6,'CF(M)'!$L81:$EQ81)</f>
        <v>0</v>
      </c>
      <c r="AY76" s="168">
        <f>SUMIF('CF(M)'!$L$11:$EQ$11,AY$6,'CF(M)'!$L81:$EQ81)</f>
        <v>0</v>
      </c>
      <c r="AZ76" s="168">
        <f>SUMIF('CF(M)'!$L$11:$EQ$11,AZ$6,'CF(M)'!$L81:$EQ81)</f>
        <v>0</v>
      </c>
      <c r="BA76" s="168">
        <f>SUMIF('CF(M)'!$L$11:$EQ$11,BA$6,'CF(M)'!$L81:$EQ81)</f>
        <v>0</v>
      </c>
      <c r="BB76" s="168">
        <f>SUMIF('CF(M)'!$L$11:$EQ$11,BB$6,'CF(M)'!$L81:$EQ81)</f>
        <v>0</v>
      </c>
      <c r="BC76" s="168">
        <f>SUMIF('CF(M)'!$L$11:$EQ$11,BC$6,'CF(M)'!$L81:$EQ81)</f>
        <v>0</v>
      </c>
      <c r="BD76" s="168">
        <f>SUMIF('CF(M)'!$L$11:$EQ$11,BD$6,'CF(M)'!$L81:$EQ81)</f>
        <v>0</v>
      </c>
      <c r="BE76" s="168">
        <f>SUMIF('CF(M)'!$L$11:$EQ$11,BE$6,'CF(M)'!$L81:$EQ81)</f>
        <v>0</v>
      </c>
      <c r="BF76" s="168">
        <f>SUMIF('CF(M)'!$L$11:$EQ$11,BF$6,'CF(M)'!$L81:$EQ81)</f>
        <v>0</v>
      </c>
      <c r="BG76" s="168">
        <f>SUMIF('CF(M)'!$L$11:$EQ$11,BG$6,'CF(M)'!$L81:$EQ81)</f>
        <v>0</v>
      </c>
      <c r="BH76" s="168">
        <f>SUMIF('CF(M)'!$L$11:$EQ$11,BH$6,'CF(M)'!$L81:$EQ81)</f>
        <v>0</v>
      </c>
      <c r="BI76" s="168">
        <f>SUMIF('CF(M)'!$L$11:$EQ$11,BI$6,'CF(M)'!$L81:$EQ81)</f>
        <v>0</v>
      </c>
      <c r="BJ76" s="168">
        <f>SUMIF('CF(M)'!$L$11:$EQ$11,BJ$6,'CF(M)'!$L81:$EQ81)</f>
        <v>0</v>
      </c>
      <c r="BK76" s="168">
        <f>SUMIF('CF(M)'!$L$11:$EQ$11,BK$6,'CF(M)'!$L81:$EQ81)</f>
        <v>0</v>
      </c>
      <c r="BL76" s="168">
        <f>SUMIF('CF(M)'!$L$11:$EQ$11,BL$6,'CF(M)'!$L81:$EQ81)</f>
        <v>0</v>
      </c>
      <c r="BM76" s="168">
        <f>SUMIF('CF(M)'!$L$11:$EQ$11,BM$6,'CF(M)'!$L81:$EQ81)</f>
        <v>0</v>
      </c>
      <c r="BN76" s="168">
        <f>SUMIF('CF(M)'!$L$11:$EQ$11,BN$6,'CF(M)'!$L81:$EQ81)</f>
        <v>0</v>
      </c>
      <c r="BO76" s="168">
        <f>SUMIF('CF(M)'!$L$11:$EQ$11,BO$6,'CF(M)'!$L81:$EQ81)</f>
        <v>0</v>
      </c>
      <c r="BP76" s="168">
        <f>SUMIF('CF(M)'!$L$11:$EQ$11,BP$6,'CF(M)'!$L81:$EQ81)</f>
        <v>0</v>
      </c>
      <c r="BQ76" s="168">
        <f>SUMIF('CF(M)'!$L$11:$EQ$11,BQ$6,'CF(M)'!$L81:$EQ81)</f>
        <v>0</v>
      </c>
      <c r="BR76" s="168">
        <f>SUMIF('CF(M)'!$L$11:$EQ$11,BR$6,'CF(M)'!$L81:$EQ81)</f>
        <v>0</v>
      </c>
      <c r="BS76" s="168">
        <f>SUMIF('CF(M)'!$L$11:$EQ$11,BS$6,'CF(M)'!$L81:$EQ81)</f>
        <v>0</v>
      </c>
      <c r="BT76" s="168">
        <f>SUMIF('CF(M)'!$L$11:$EQ$11,BT$6,'CF(M)'!$L81:$EQ81)</f>
        <v>0</v>
      </c>
      <c r="BU76" s="168">
        <f>SUMIF('CF(M)'!$L$11:$EQ$11,BU$6,'CF(M)'!$L81:$EQ81)</f>
        <v>0</v>
      </c>
      <c r="BV76" s="168">
        <f>SUMIF('CF(M)'!$L$11:$EQ$11,BV$6,'CF(M)'!$L81:$EQ81)</f>
        <v>0</v>
      </c>
      <c r="BW76" s="168">
        <f>SUMIF('CF(M)'!$L$11:$EQ$11,BW$6,'CF(M)'!$L81:$EQ81)</f>
        <v>0</v>
      </c>
      <c r="BX76" s="168">
        <f>SUMIF('CF(M)'!$L$11:$EQ$11,BX$6,'CF(M)'!$L81:$EQ81)</f>
        <v>0</v>
      </c>
      <c r="BY76" s="168">
        <f>SUMIF('CF(M)'!$L$11:$EQ$11,BY$6,'CF(M)'!$L81:$EQ81)</f>
        <v>0</v>
      </c>
      <c r="BZ76" s="168">
        <f>SUMIF('CF(M)'!$L$11:$EQ$11,BZ$6,'CF(M)'!$L81:$EQ81)</f>
        <v>0</v>
      </c>
      <c r="CA76" s="168">
        <f>SUMIF('CF(M)'!$L$11:$EQ$11,CA$6,'CF(M)'!$L81:$EQ81)</f>
        <v>0</v>
      </c>
      <c r="CB76" s="168">
        <f>SUMIF('CF(M)'!$L$11:$EQ$11,CB$6,'CF(M)'!$L81:$EQ81)</f>
        <v>0</v>
      </c>
      <c r="CC76" s="168">
        <f>SUMIF('CF(M)'!$L$11:$EQ$11,CC$6,'CF(M)'!$L81:$EQ81)</f>
        <v>0</v>
      </c>
      <c r="CD76" s="168">
        <f>SUMIF('CF(M)'!$L$11:$EQ$11,CD$6,'CF(M)'!$L81:$EQ81)</f>
        <v>0</v>
      </c>
      <c r="CE76" s="168">
        <f>SUMIF('CF(M)'!$L$11:$EQ$11,CE$6,'CF(M)'!$L81:$EQ81)</f>
        <v>0</v>
      </c>
      <c r="CF76" s="168">
        <f>SUMIF('CF(M)'!$L$11:$EQ$11,CF$6,'CF(M)'!$L81:$EQ81)</f>
        <v>0</v>
      </c>
      <c r="CG76" s="168">
        <f>SUMIF('CF(M)'!$L$11:$EQ$11,CG$6,'CF(M)'!$L81:$EQ81)</f>
        <v>0</v>
      </c>
      <c r="CH76" s="168">
        <f>SUMIF('CF(M)'!$L$11:$EQ$11,CH$6,'CF(M)'!$L81:$EQ81)</f>
        <v>0</v>
      </c>
      <c r="CI76" s="168">
        <f>SUMIF('CF(M)'!$L$11:$EQ$11,CI$6,'CF(M)'!$L81:$EQ81)</f>
        <v>0</v>
      </c>
      <c r="CJ76" s="168">
        <f>SUMIF('CF(M)'!$L$11:$EQ$11,CJ$6,'CF(M)'!$L81:$EQ81)</f>
        <v>0</v>
      </c>
      <c r="CK76" s="168">
        <f>SUMIF('CF(M)'!$L$11:$EQ$11,CK$6,'CF(M)'!$L81:$EQ81)</f>
        <v>0</v>
      </c>
      <c r="CL76" s="168">
        <f>SUMIF('CF(M)'!$L$11:$EQ$11,CL$6,'CF(M)'!$L81:$EQ81)</f>
        <v>0</v>
      </c>
      <c r="CM76" s="168">
        <f>SUMIF('CF(M)'!$L$11:$EQ$11,CM$6,'CF(M)'!$L81:$EQ81)</f>
        <v>0</v>
      </c>
      <c r="CN76" s="168">
        <f>SUMIF('CF(M)'!$L$11:$EQ$11,CN$6,'CF(M)'!$L81:$EQ81)</f>
        <v>0</v>
      </c>
      <c r="CO76" s="168">
        <f>SUMIF('CF(M)'!$L$11:$EQ$11,CO$6,'CF(M)'!$L81:$EQ81)</f>
        <v>0</v>
      </c>
      <c r="CP76" s="168">
        <f>SUMIF('CF(M)'!$L$11:$EQ$11,CP$6,'CF(M)'!$L81:$EQ81)</f>
        <v>0</v>
      </c>
      <c r="CQ76" s="168">
        <f>SUMIF('CF(M)'!$L$11:$EQ$11,CQ$6,'CF(M)'!$L81:$EQ81)</f>
        <v>0</v>
      </c>
      <c r="CR76" s="168">
        <f>SUMIF('CF(M)'!$L$11:$EQ$11,CR$6,'CF(M)'!$L81:$EQ81)</f>
        <v>0</v>
      </c>
      <c r="CS76" s="168">
        <f>SUMIF('CF(M)'!$L$11:$EQ$11,CS$6,'CF(M)'!$L81:$EQ81)</f>
        <v>0</v>
      </c>
      <c r="CT76" s="168">
        <f>SUMIF('CF(M)'!$L$11:$EQ$11,CT$6,'CF(M)'!$L81:$EQ81)</f>
        <v>0</v>
      </c>
      <c r="CU76" s="168">
        <f>SUMIF('CF(M)'!$L$11:$EQ$11,CU$6,'CF(M)'!$L81:$EQ81)</f>
        <v>0</v>
      </c>
      <c r="CV76" s="168">
        <f>SUMIF('CF(M)'!$L$11:$EQ$11,CV$6,'CF(M)'!$L81:$EQ81)</f>
        <v>0</v>
      </c>
      <c r="CW76" s="168">
        <f>SUMIF('CF(M)'!$L$11:$EQ$11,CW$6,'CF(M)'!$L81:$EQ81)</f>
        <v>0</v>
      </c>
      <c r="CX76" s="168">
        <f>SUMIF('CF(M)'!$L$11:$EQ$11,CX$6,'CF(M)'!$L81:$EQ81)</f>
        <v>0</v>
      </c>
      <c r="CY76" s="168">
        <f>SUMIF('CF(M)'!$L$11:$EQ$11,CY$6,'CF(M)'!$L81:$EQ81)</f>
        <v>0</v>
      </c>
      <c r="CZ76" s="168">
        <f>SUMIF('CF(M)'!$L$11:$EQ$11,CZ$6,'CF(M)'!$L81:$EQ81)</f>
        <v>0</v>
      </c>
      <c r="DA76" s="168">
        <f>SUMIF('CF(M)'!$L$11:$EQ$11,DA$6,'CF(M)'!$L81:$EQ81)</f>
        <v>0</v>
      </c>
      <c r="DB76" s="168">
        <f>SUMIF('CF(M)'!$L$11:$EQ$11,DB$6,'CF(M)'!$L81:$EQ81)</f>
        <v>0</v>
      </c>
      <c r="DC76" s="168">
        <f>SUMIF('CF(M)'!$L$11:$EQ$11,DC$6,'CF(M)'!$L81:$EQ81)</f>
        <v>0</v>
      </c>
      <c r="DD76" s="168">
        <f>SUMIF('CF(M)'!$L$11:$EQ$11,DD$6,'CF(M)'!$L81:$EQ81)</f>
        <v>0</v>
      </c>
      <c r="DE76" s="168">
        <f>SUMIF('CF(M)'!$L$11:$EQ$11,DE$6,'CF(M)'!$L81:$EQ81)</f>
        <v>0</v>
      </c>
      <c r="DF76" s="168">
        <f>SUMIF('CF(M)'!$L$11:$EQ$11,DF$6,'CF(M)'!$L81:$EQ81)</f>
        <v>0</v>
      </c>
      <c r="DG76" s="168">
        <f>SUMIF('CF(M)'!$L$11:$EQ$11,DG$6,'CF(M)'!$L81:$EQ81)</f>
        <v>0</v>
      </c>
      <c r="DH76" s="168">
        <f>SUMIF('CF(M)'!$L$11:$EQ$11,DH$6,'CF(M)'!$L81:$EQ81)</f>
        <v>0</v>
      </c>
      <c r="DI76" s="168">
        <f>SUMIF('CF(M)'!$L$11:$EQ$11,DI$6,'CF(M)'!$L81:$EQ81)</f>
        <v>0</v>
      </c>
      <c r="DJ76" s="168">
        <f>SUMIF('CF(M)'!$L$11:$EQ$11,DJ$6,'CF(M)'!$L81:$EQ81)</f>
        <v>0</v>
      </c>
      <c r="DK76" s="168">
        <f>SUMIF('CF(M)'!$L$11:$EQ$11,DK$6,'CF(M)'!$L81:$EQ81)</f>
        <v>0</v>
      </c>
      <c r="DL76" s="168">
        <f>SUMIF('CF(M)'!$L$11:$EQ$11,DL$6,'CF(M)'!$L81:$EQ81)</f>
        <v>0</v>
      </c>
      <c r="DM76" s="168">
        <f>SUMIF('CF(M)'!$L$11:$EQ$11,DM$6,'CF(M)'!$L81:$EQ81)</f>
        <v>0</v>
      </c>
      <c r="DN76" s="168">
        <f>SUMIF('CF(M)'!$L$11:$EQ$11,DN$6,'CF(M)'!$L81:$EQ81)</f>
        <v>0</v>
      </c>
      <c r="DO76" s="168">
        <f>SUMIF('CF(M)'!$L$11:$EQ$11,DO$6,'CF(M)'!$L81:$EQ81)</f>
        <v>0</v>
      </c>
      <c r="DP76" s="168">
        <f>SUMIF('CF(M)'!$L$11:$EQ$11,DP$6,'CF(M)'!$L81:$EQ81)</f>
        <v>0</v>
      </c>
      <c r="DQ76" s="168">
        <f>SUMIF('CF(M)'!$L$11:$EQ$11,DQ$6,'CF(M)'!$L81:$EQ81)</f>
        <v>0</v>
      </c>
      <c r="DR76" s="168">
        <f>SUMIF('CF(M)'!$L$11:$EQ$11,DR$6,'CF(M)'!$L81:$EQ81)</f>
        <v>0</v>
      </c>
      <c r="DS76" s="168">
        <f>SUMIF('CF(M)'!$L$11:$EQ$11,DS$6,'CF(M)'!$L81:$EQ81)</f>
        <v>0</v>
      </c>
      <c r="DT76" s="168">
        <f>SUMIF('CF(M)'!$L$11:$EQ$11,DT$6,'CF(M)'!$L81:$EQ81)</f>
        <v>0</v>
      </c>
      <c r="DU76" s="168">
        <f>SUMIF('CF(M)'!$L$11:$EQ$11,DU$6,'CF(M)'!$L81:$EQ81)</f>
        <v>0</v>
      </c>
      <c r="DV76" s="168">
        <f>SUMIF('CF(M)'!$L$11:$EQ$11,DV$6,'CF(M)'!$L81:$EQ81)</f>
        <v>0</v>
      </c>
    </row>
    <row r="77" spans="2:126" ht="11.25" customHeight="1">
      <c r="B77" s="218"/>
      <c r="C77" s="163"/>
      <c r="D77" s="169" t="s">
        <v>209</v>
      </c>
      <c r="H77" s="146"/>
      <c r="I77" s="229"/>
      <c r="J77" s="171">
        <f>SUM(L77:DV77)</f>
        <v>-38000000</v>
      </c>
      <c r="K77" s="98"/>
      <c r="L77" s="171">
        <f>SUMIF('CF(M)'!$L$11:$EQ$11,L$6,'CF(M)'!$L82:$EQ82)</f>
        <v>0</v>
      </c>
      <c r="M77" s="171">
        <f>SUMIF('CF(M)'!$L$11:$EQ$11,M$6,'CF(M)'!$L82:$EQ82)</f>
        <v>0</v>
      </c>
      <c r="N77" s="171">
        <f>SUMIF('CF(M)'!$L$11:$EQ$11,N$6,'CF(M)'!$L82:$EQ82)</f>
        <v>-38000000</v>
      </c>
      <c r="O77" s="171">
        <f>SUMIF('CF(M)'!$L$11:$EQ$11,O$6,'CF(M)'!$L82:$EQ82)</f>
        <v>0</v>
      </c>
      <c r="P77" s="171">
        <f>SUMIF('CF(M)'!$L$11:$EQ$11,P$6,'CF(M)'!$L82:$EQ82)</f>
        <v>0</v>
      </c>
      <c r="Q77" s="171">
        <f>SUMIF('CF(M)'!$L$11:$EQ$11,Q$6,'CF(M)'!$L82:$EQ82)</f>
        <v>0</v>
      </c>
      <c r="R77" s="171">
        <f>SUMIF('CF(M)'!$L$11:$EQ$11,R$6,'CF(M)'!$L82:$EQ82)</f>
        <v>0</v>
      </c>
      <c r="S77" s="171">
        <f>SUMIF('CF(M)'!$L$11:$EQ$11,S$6,'CF(M)'!$L82:$EQ82)</f>
        <v>0</v>
      </c>
      <c r="T77" s="171">
        <f>SUMIF('CF(M)'!$L$11:$EQ$11,T$6,'CF(M)'!$L82:$EQ82)</f>
        <v>0</v>
      </c>
      <c r="U77" s="171">
        <f>SUMIF('CF(M)'!$L$11:$EQ$11,U$6,'CF(M)'!$L82:$EQ82)</f>
        <v>0</v>
      </c>
      <c r="V77" s="171">
        <f>SUMIF('CF(M)'!$L$11:$EQ$11,V$6,'CF(M)'!$L82:$EQ82)</f>
        <v>0</v>
      </c>
      <c r="W77" s="171">
        <f>SUMIF('CF(M)'!$L$11:$EQ$11,W$6,'CF(M)'!$L82:$EQ82)</f>
        <v>0</v>
      </c>
      <c r="X77" s="171">
        <f>SUMIF('CF(M)'!$L$11:$EQ$11,X$6,'CF(M)'!$L82:$EQ82)</f>
        <v>0</v>
      </c>
      <c r="Y77" s="171">
        <f>SUMIF('CF(M)'!$L$11:$EQ$11,Y$6,'CF(M)'!$L82:$EQ82)</f>
        <v>0</v>
      </c>
      <c r="Z77" s="171">
        <f>SUMIF('CF(M)'!$L$11:$EQ$11,Z$6,'CF(M)'!$L82:$EQ82)</f>
        <v>0</v>
      </c>
      <c r="AA77" s="171">
        <f>SUMIF('CF(M)'!$L$11:$EQ$11,AA$6,'CF(M)'!$L82:$EQ82)</f>
        <v>0</v>
      </c>
      <c r="AB77" s="171">
        <f>SUMIF('CF(M)'!$L$11:$EQ$11,AB$6,'CF(M)'!$L82:$EQ82)</f>
        <v>0</v>
      </c>
      <c r="AC77" s="171">
        <f>SUMIF('CF(M)'!$L$11:$EQ$11,AC$6,'CF(M)'!$L82:$EQ82)</f>
        <v>0</v>
      </c>
      <c r="AD77" s="171">
        <f>SUMIF('CF(M)'!$L$11:$EQ$11,AD$6,'CF(M)'!$L82:$EQ82)</f>
        <v>0</v>
      </c>
      <c r="AE77" s="171">
        <f>SUMIF('CF(M)'!$L$11:$EQ$11,AE$6,'CF(M)'!$L82:$EQ82)</f>
        <v>0</v>
      </c>
      <c r="AF77" s="171">
        <f>SUMIF('CF(M)'!$L$11:$EQ$11,AF$6,'CF(M)'!$L82:$EQ82)</f>
        <v>0</v>
      </c>
      <c r="AG77" s="171">
        <f>SUMIF('CF(M)'!$L$11:$EQ$11,AG$6,'CF(M)'!$L82:$EQ82)</f>
        <v>0</v>
      </c>
      <c r="AH77" s="171">
        <f>SUMIF('CF(M)'!$L$11:$EQ$11,AH$6,'CF(M)'!$L82:$EQ82)</f>
        <v>0</v>
      </c>
      <c r="AI77" s="171">
        <f>SUMIF('CF(M)'!$L$11:$EQ$11,AI$6,'CF(M)'!$L82:$EQ82)</f>
        <v>0</v>
      </c>
      <c r="AJ77" s="171">
        <f>SUMIF('CF(M)'!$L$11:$EQ$11,AJ$6,'CF(M)'!$L82:$EQ82)</f>
        <v>0</v>
      </c>
      <c r="AK77" s="171">
        <f>SUMIF('CF(M)'!$L$11:$EQ$11,AK$6,'CF(M)'!$L82:$EQ82)</f>
        <v>0</v>
      </c>
      <c r="AL77" s="171">
        <f>SUMIF('CF(M)'!$L$11:$EQ$11,AL$6,'CF(M)'!$L82:$EQ82)</f>
        <v>0</v>
      </c>
      <c r="AM77" s="171">
        <f>SUMIF('CF(M)'!$L$11:$EQ$11,AM$6,'CF(M)'!$L82:$EQ82)</f>
        <v>0</v>
      </c>
      <c r="AN77" s="171">
        <f>SUMIF('CF(M)'!$L$11:$EQ$11,AN$6,'CF(M)'!$L82:$EQ82)</f>
        <v>0</v>
      </c>
      <c r="AO77" s="171">
        <f>SUMIF('CF(M)'!$L$11:$EQ$11,AO$6,'CF(M)'!$L82:$EQ82)</f>
        <v>0</v>
      </c>
      <c r="AP77" s="171">
        <f>SUMIF('CF(M)'!$L$11:$EQ$11,AP$6,'CF(M)'!$L82:$EQ82)</f>
        <v>0</v>
      </c>
      <c r="AQ77" s="171">
        <f>SUMIF('CF(M)'!$L$11:$EQ$11,AQ$6,'CF(M)'!$L82:$EQ82)</f>
        <v>0</v>
      </c>
      <c r="AR77" s="171">
        <f>SUMIF('CF(M)'!$L$11:$EQ$11,AR$6,'CF(M)'!$L82:$EQ82)</f>
        <v>0</v>
      </c>
      <c r="AS77" s="171">
        <f>SUMIF('CF(M)'!$L$11:$EQ$11,AS$6,'CF(M)'!$L82:$EQ82)</f>
        <v>0</v>
      </c>
      <c r="AT77" s="171">
        <f>SUMIF('CF(M)'!$L$11:$EQ$11,AT$6,'CF(M)'!$L82:$EQ82)</f>
        <v>0</v>
      </c>
      <c r="AU77" s="171">
        <f>SUMIF('CF(M)'!$L$11:$EQ$11,AU$6,'CF(M)'!$L82:$EQ82)</f>
        <v>0</v>
      </c>
      <c r="AV77" s="171">
        <f>SUMIF('CF(M)'!$L$11:$EQ$11,AV$6,'CF(M)'!$L82:$EQ82)</f>
        <v>0</v>
      </c>
      <c r="AW77" s="171">
        <f>SUMIF('CF(M)'!$L$11:$EQ$11,AW$6,'CF(M)'!$L82:$EQ82)</f>
        <v>0</v>
      </c>
      <c r="AX77" s="171">
        <f>SUMIF('CF(M)'!$L$11:$EQ$11,AX$6,'CF(M)'!$L82:$EQ82)</f>
        <v>0</v>
      </c>
      <c r="AY77" s="171">
        <f>SUMIF('CF(M)'!$L$11:$EQ$11,AY$6,'CF(M)'!$L82:$EQ82)</f>
        <v>0</v>
      </c>
      <c r="AZ77" s="171">
        <f>SUMIF('CF(M)'!$L$11:$EQ$11,AZ$6,'CF(M)'!$L82:$EQ82)</f>
        <v>0</v>
      </c>
      <c r="BA77" s="171">
        <f>SUMIF('CF(M)'!$L$11:$EQ$11,BA$6,'CF(M)'!$L82:$EQ82)</f>
        <v>0</v>
      </c>
      <c r="BB77" s="171">
        <f>SUMIF('CF(M)'!$L$11:$EQ$11,BB$6,'CF(M)'!$L82:$EQ82)</f>
        <v>0</v>
      </c>
      <c r="BC77" s="171">
        <f>SUMIF('CF(M)'!$L$11:$EQ$11,BC$6,'CF(M)'!$L82:$EQ82)</f>
        <v>0</v>
      </c>
      <c r="BD77" s="171">
        <f>SUMIF('CF(M)'!$L$11:$EQ$11,BD$6,'CF(M)'!$L82:$EQ82)</f>
        <v>0</v>
      </c>
      <c r="BE77" s="171">
        <f>SUMIF('CF(M)'!$L$11:$EQ$11,BE$6,'CF(M)'!$L82:$EQ82)</f>
        <v>0</v>
      </c>
      <c r="BF77" s="171">
        <f>SUMIF('CF(M)'!$L$11:$EQ$11,BF$6,'CF(M)'!$L82:$EQ82)</f>
        <v>0</v>
      </c>
      <c r="BG77" s="171">
        <f>SUMIF('CF(M)'!$L$11:$EQ$11,BG$6,'CF(M)'!$L82:$EQ82)</f>
        <v>0</v>
      </c>
      <c r="BH77" s="171">
        <f>SUMIF('CF(M)'!$L$11:$EQ$11,BH$6,'CF(M)'!$L82:$EQ82)</f>
        <v>0</v>
      </c>
      <c r="BI77" s="171">
        <f>SUMIF('CF(M)'!$L$11:$EQ$11,BI$6,'CF(M)'!$L82:$EQ82)</f>
        <v>0</v>
      </c>
      <c r="BJ77" s="171">
        <f>SUMIF('CF(M)'!$L$11:$EQ$11,BJ$6,'CF(M)'!$L82:$EQ82)</f>
        <v>0</v>
      </c>
      <c r="BK77" s="171">
        <f>SUMIF('CF(M)'!$L$11:$EQ$11,BK$6,'CF(M)'!$L82:$EQ82)</f>
        <v>0</v>
      </c>
      <c r="BL77" s="171">
        <f>SUMIF('CF(M)'!$L$11:$EQ$11,BL$6,'CF(M)'!$L82:$EQ82)</f>
        <v>0</v>
      </c>
      <c r="BM77" s="171">
        <f>SUMIF('CF(M)'!$L$11:$EQ$11,BM$6,'CF(M)'!$L82:$EQ82)</f>
        <v>0</v>
      </c>
      <c r="BN77" s="171">
        <f>SUMIF('CF(M)'!$L$11:$EQ$11,BN$6,'CF(M)'!$L82:$EQ82)</f>
        <v>0</v>
      </c>
      <c r="BO77" s="171">
        <f>SUMIF('CF(M)'!$L$11:$EQ$11,BO$6,'CF(M)'!$L82:$EQ82)</f>
        <v>0</v>
      </c>
      <c r="BP77" s="171">
        <f>SUMIF('CF(M)'!$L$11:$EQ$11,BP$6,'CF(M)'!$L82:$EQ82)</f>
        <v>0</v>
      </c>
      <c r="BQ77" s="171">
        <f>SUMIF('CF(M)'!$L$11:$EQ$11,BQ$6,'CF(M)'!$L82:$EQ82)</f>
        <v>0</v>
      </c>
      <c r="BR77" s="171">
        <f>SUMIF('CF(M)'!$L$11:$EQ$11,BR$6,'CF(M)'!$L82:$EQ82)</f>
        <v>0</v>
      </c>
      <c r="BS77" s="171">
        <f>SUMIF('CF(M)'!$L$11:$EQ$11,BS$6,'CF(M)'!$L82:$EQ82)</f>
        <v>0</v>
      </c>
      <c r="BT77" s="171">
        <f>SUMIF('CF(M)'!$L$11:$EQ$11,BT$6,'CF(M)'!$L82:$EQ82)</f>
        <v>0</v>
      </c>
      <c r="BU77" s="171">
        <f>SUMIF('CF(M)'!$L$11:$EQ$11,BU$6,'CF(M)'!$L82:$EQ82)</f>
        <v>0</v>
      </c>
      <c r="BV77" s="171">
        <f>SUMIF('CF(M)'!$L$11:$EQ$11,BV$6,'CF(M)'!$L82:$EQ82)</f>
        <v>0</v>
      </c>
      <c r="BW77" s="171">
        <f>SUMIF('CF(M)'!$L$11:$EQ$11,BW$6,'CF(M)'!$L82:$EQ82)</f>
        <v>0</v>
      </c>
      <c r="BX77" s="171">
        <f>SUMIF('CF(M)'!$L$11:$EQ$11,BX$6,'CF(M)'!$L82:$EQ82)</f>
        <v>0</v>
      </c>
      <c r="BY77" s="171">
        <f>SUMIF('CF(M)'!$L$11:$EQ$11,BY$6,'CF(M)'!$L82:$EQ82)</f>
        <v>0</v>
      </c>
      <c r="BZ77" s="171">
        <f>SUMIF('CF(M)'!$L$11:$EQ$11,BZ$6,'CF(M)'!$L82:$EQ82)</f>
        <v>0</v>
      </c>
      <c r="CA77" s="171">
        <f>SUMIF('CF(M)'!$L$11:$EQ$11,CA$6,'CF(M)'!$L82:$EQ82)</f>
        <v>0</v>
      </c>
      <c r="CB77" s="171">
        <f>SUMIF('CF(M)'!$L$11:$EQ$11,CB$6,'CF(M)'!$L82:$EQ82)</f>
        <v>0</v>
      </c>
      <c r="CC77" s="171">
        <f>SUMIF('CF(M)'!$L$11:$EQ$11,CC$6,'CF(M)'!$L82:$EQ82)</f>
        <v>0</v>
      </c>
      <c r="CD77" s="171">
        <f>SUMIF('CF(M)'!$L$11:$EQ$11,CD$6,'CF(M)'!$L82:$EQ82)</f>
        <v>0</v>
      </c>
      <c r="CE77" s="171">
        <f>SUMIF('CF(M)'!$L$11:$EQ$11,CE$6,'CF(M)'!$L82:$EQ82)</f>
        <v>0</v>
      </c>
      <c r="CF77" s="171">
        <f>SUMIF('CF(M)'!$L$11:$EQ$11,CF$6,'CF(M)'!$L82:$EQ82)</f>
        <v>0</v>
      </c>
      <c r="CG77" s="171">
        <f>SUMIF('CF(M)'!$L$11:$EQ$11,CG$6,'CF(M)'!$L82:$EQ82)</f>
        <v>0</v>
      </c>
      <c r="CH77" s="171">
        <f>SUMIF('CF(M)'!$L$11:$EQ$11,CH$6,'CF(M)'!$L82:$EQ82)</f>
        <v>0</v>
      </c>
      <c r="CI77" s="171">
        <f>SUMIF('CF(M)'!$L$11:$EQ$11,CI$6,'CF(M)'!$L82:$EQ82)</f>
        <v>0</v>
      </c>
      <c r="CJ77" s="171">
        <f>SUMIF('CF(M)'!$L$11:$EQ$11,CJ$6,'CF(M)'!$L82:$EQ82)</f>
        <v>0</v>
      </c>
      <c r="CK77" s="171">
        <f>SUMIF('CF(M)'!$L$11:$EQ$11,CK$6,'CF(M)'!$L82:$EQ82)</f>
        <v>0</v>
      </c>
      <c r="CL77" s="171">
        <f>SUMIF('CF(M)'!$L$11:$EQ$11,CL$6,'CF(M)'!$L82:$EQ82)</f>
        <v>0</v>
      </c>
      <c r="CM77" s="171">
        <f>SUMIF('CF(M)'!$L$11:$EQ$11,CM$6,'CF(M)'!$L82:$EQ82)</f>
        <v>0</v>
      </c>
      <c r="CN77" s="171">
        <f>SUMIF('CF(M)'!$L$11:$EQ$11,CN$6,'CF(M)'!$L82:$EQ82)</f>
        <v>0</v>
      </c>
      <c r="CO77" s="171">
        <f>SUMIF('CF(M)'!$L$11:$EQ$11,CO$6,'CF(M)'!$L82:$EQ82)</f>
        <v>0</v>
      </c>
      <c r="CP77" s="171">
        <f>SUMIF('CF(M)'!$L$11:$EQ$11,CP$6,'CF(M)'!$L82:$EQ82)</f>
        <v>0</v>
      </c>
      <c r="CQ77" s="171">
        <f>SUMIF('CF(M)'!$L$11:$EQ$11,CQ$6,'CF(M)'!$L82:$EQ82)</f>
        <v>0</v>
      </c>
      <c r="CR77" s="171">
        <f>SUMIF('CF(M)'!$L$11:$EQ$11,CR$6,'CF(M)'!$L82:$EQ82)</f>
        <v>0</v>
      </c>
      <c r="CS77" s="171">
        <f>SUMIF('CF(M)'!$L$11:$EQ$11,CS$6,'CF(M)'!$L82:$EQ82)</f>
        <v>0</v>
      </c>
      <c r="CT77" s="171">
        <f>SUMIF('CF(M)'!$L$11:$EQ$11,CT$6,'CF(M)'!$L82:$EQ82)</f>
        <v>0</v>
      </c>
      <c r="CU77" s="171">
        <f>SUMIF('CF(M)'!$L$11:$EQ$11,CU$6,'CF(M)'!$L82:$EQ82)</f>
        <v>0</v>
      </c>
      <c r="CV77" s="171">
        <f>SUMIF('CF(M)'!$L$11:$EQ$11,CV$6,'CF(M)'!$L82:$EQ82)</f>
        <v>0</v>
      </c>
      <c r="CW77" s="171">
        <f>SUMIF('CF(M)'!$L$11:$EQ$11,CW$6,'CF(M)'!$L82:$EQ82)</f>
        <v>0</v>
      </c>
      <c r="CX77" s="171">
        <f>SUMIF('CF(M)'!$L$11:$EQ$11,CX$6,'CF(M)'!$L82:$EQ82)</f>
        <v>0</v>
      </c>
      <c r="CY77" s="171">
        <f>SUMIF('CF(M)'!$L$11:$EQ$11,CY$6,'CF(M)'!$L82:$EQ82)</f>
        <v>0</v>
      </c>
      <c r="CZ77" s="171">
        <f>SUMIF('CF(M)'!$L$11:$EQ$11,CZ$6,'CF(M)'!$L82:$EQ82)</f>
        <v>0</v>
      </c>
      <c r="DA77" s="171">
        <f>SUMIF('CF(M)'!$L$11:$EQ$11,DA$6,'CF(M)'!$L82:$EQ82)</f>
        <v>0</v>
      </c>
      <c r="DB77" s="171">
        <f>SUMIF('CF(M)'!$L$11:$EQ$11,DB$6,'CF(M)'!$L82:$EQ82)</f>
        <v>0</v>
      </c>
      <c r="DC77" s="171">
        <f>SUMIF('CF(M)'!$L$11:$EQ$11,DC$6,'CF(M)'!$L82:$EQ82)</f>
        <v>0</v>
      </c>
      <c r="DD77" s="171">
        <f>SUMIF('CF(M)'!$L$11:$EQ$11,DD$6,'CF(M)'!$L82:$EQ82)</f>
        <v>0</v>
      </c>
      <c r="DE77" s="171">
        <f>SUMIF('CF(M)'!$L$11:$EQ$11,DE$6,'CF(M)'!$L82:$EQ82)</f>
        <v>0</v>
      </c>
      <c r="DF77" s="171">
        <f>SUMIF('CF(M)'!$L$11:$EQ$11,DF$6,'CF(M)'!$L82:$EQ82)</f>
        <v>0</v>
      </c>
      <c r="DG77" s="171">
        <f>SUMIF('CF(M)'!$L$11:$EQ$11,DG$6,'CF(M)'!$L82:$EQ82)</f>
        <v>0</v>
      </c>
      <c r="DH77" s="171">
        <f>SUMIF('CF(M)'!$L$11:$EQ$11,DH$6,'CF(M)'!$L82:$EQ82)</f>
        <v>0</v>
      </c>
      <c r="DI77" s="171">
        <f>SUMIF('CF(M)'!$L$11:$EQ$11,DI$6,'CF(M)'!$L82:$EQ82)</f>
        <v>0</v>
      </c>
      <c r="DJ77" s="171">
        <f>SUMIF('CF(M)'!$L$11:$EQ$11,DJ$6,'CF(M)'!$L82:$EQ82)</f>
        <v>0</v>
      </c>
      <c r="DK77" s="171">
        <f>SUMIF('CF(M)'!$L$11:$EQ$11,DK$6,'CF(M)'!$L82:$EQ82)</f>
        <v>0</v>
      </c>
      <c r="DL77" s="171">
        <f>SUMIF('CF(M)'!$L$11:$EQ$11,DL$6,'CF(M)'!$L82:$EQ82)</f>
        <v>0</v>
      </c>
      <c r="DM77" s="171">
        <f>SUMIF('CF(M)'!$L$11:$EQ$11,DM$6,'CF(M)'!$L82:$EQ82)</f>
        <v>0</v>
      </c>
      <c r="DN77" s="171">
        <f>SUMIF('CF(M)'!$L$11:$EQ$11,DN$6,'CF(M)'!$L82:$EQ82)</f>
        <v>0</v>
      </c>
      <c r="DO77" s="171">
        <f>SUMIF('CF(M)'!$L$11:$EQ$11,DO$6,'CF(M)'!$L82:$EQ82)</f>
        <v>0</v>
      </c>
      <c r="DP77" s="171">
        <f>SUMIF('CF(M)'!$L$11:$EQ$11,DP$6,'CF(M)'!$L82:$EQ82)</f>
        <v>0</v>
      </c>
      <c r="DQ77" s="171">
        <f>SUMIF('CF(M)'!$L$11:$EQ$11,DQ$6,'CF(M)'!$L82:$EQ82)</f>
        <v>0</v>
      </c>
      <c r="DR77" s="171">
        <f>SUMIF('CF(M)'!$L$11:$EQ$11,DR$6,'CF(M)'!$L82:$EQ82)</f>
        <v>0</v>
      </c>
      <c r="DS77" s="171">
        <f>SUMIF('CF(M)'!$L$11:$EQ$11,DS$6,'CF(M)'!$L82:$EQ82)</f>
        <v>0</v>
      </c>
      <c r="DT77" s="171">
        <f>SUMIF('CF(M)'!$L$11:$EQ$11,DT$6,'CF(M)'!$L82:$EQ82)</f>
        <v>0</v>
      </c>
      <c r="DU77" s="171">
        <f>SUMIF('CF(M)'!$L$11:$EQ$11,DU$6,'CF(M)'!$L82:$EQ82)</f>
        <v>0</v>
      </c>
      <c r="DV77" s="171">
        <f>SUMIF('CF(M)'!$L$11:$EQ$11,DV$6,'CF(M)'!$L82:$EQ82)</f>
        <v>0</v>
      </c>
    </row>
    <row r="78" spans="2:126" ht="11.25" customHeight="1">
      <c r="B78" s="218"/>
      <c r="C78" s="158" t="str">
        <f>'CF(M)'!C83</f>
        <v>중순위대출(2nd)</v>
      </c>
      <c r="D78" s="159"/>
      <c r="E78" s="159"/>
      <c r="F78" s="159"/>
      <c r="G78" s="159"/>
      <c r="H78" s="160"/>
      <c r="I78" s="219"/>
      <c r="J78" s="220">
        <f>SUM(J79:J80)</f>
        <v>0</v>
      </c>
      <c r="K78" s="98"/>
      <c r="L78" s="162">
        <f>SUM(L79:L80)</f>
        <v>0</v>
      </c>
      <c r="M78" s="162">
        <f t="shared" ref="M78:BX78" si="40">SUM(M79:M80)</f>
        <v>0</v>
      </c>
      <c r="N78" s="162">
        <f t="shared" si="40"/>
        <v>0</v>
      </c>
      <c r="O78" s="162">
        <f t="shared" si="40"/>
        <v>0</v>
      </c>
      <c r="P78" s="162">
        <f t="shared" si="40"/>
        <v>0</v>
      </c>
      <c r="Q78" s="162">
        <f t="shared" si="40"/>
        <v>0</v>
      </c>
      <c r="R78" s="162">
        <f t="shared" si="40"/>
        <v>0</v>
      </c>
      <c r="S78" s="162">
        <f t="shared" si="40"/>
        <v>0</v>
      </c>
      <c r="T78" s="162">
        <f t="shared" si="40"/>
        <v>0</v>
      </c>
      <c r="U78" s="162">
        <f t="shared" si="40"/>
        <v>0</v>
      </c>
      <c r="V78" s="162">
        <f t="shared" si="40"/>
        <v>0</v>
      </c>
      <c r="W78" s="162">
        <f t="shared" si="40"/>
        <v>0</v>
      </c>
      <c r="X78" s="162">
        <f t="shared" si="40"/>
        <v>0</v>
      </c>
      <c r="Y78" s="162">
        <f t="shared" si="40"/>
        <v>0</v>
      </c>
      <c r="Z78" s="162">
        <f t="shared" si="40"/>
        <v>0</v>
      </c>
      <c r="AA78" s="162">
        <f t="shared" si="40"/>
        <v>0</v>
      </c>
      <c r="AB78" s="162">
        <f t="shared" si="40"/>
        <v>0</v>
      </c>
      <c r="AC78" s="162">
        <f t="shared" si="40"/>
        <v>0</v>
      </c>
      <c r="AD78" s="162">
        <f t="shared" si="40"/>
        <v>0</v>
      </c>
      <c r="AE78" s="162">
        <f t="shared" si="40"/>
        <v>0</v>
      </c>
      <c r="AF78" s="162">
        <f t="shared" si="40"/>
        <v>0</v>
      </c>
      <c r="AG78" s="162">
        <f t="shared" si="40"/>
        <v>0</v>
      </c>
      <c r="AH78" s="162">
        <f t="shared" si="40"/>
        <v>0</v>
      </c>
      <c r="AI78" s="162">
        <f t="shared" si="40"/>
        <v>0</v>
      </c>
      <c r="AJ78" s="162">
        <f t="shared" si="40"/>
        <v>0</v>
      </c>
      <c r="AK78" s="162">
        <f t="shared" si="40"/>
        <v>0</v>
      </c>
      <c r="AL78" s="162">
        <f t="shared" si="40"/>
        <v>0</v>
      </c>
      <c r="AM78" s="162">
        <f t="shared" si="40"/>
        <v>0</v>
      </c>
      <c r="AN78" s="162">
        <f t="shared" si="40"/>
        <v>0</v>
      </c>
      <c r="AO78" s="162">
        <f t="shared" si="40"/>
        <v>0</v>
      </c>
      <c r="AP78" s="162">
        <f t="shared" si="40"/>
        <v>0</v>
      </c>
      <c r="AQ78" s="162">
        <f t="shared" si="40"/>
        <v>0</v>
      </c>
      <c r="AR78" s="162">
        <f t="shared" si="40"/>
        <v>0</v>
      </c>
      <c r="AS78" s="162">
        <f t="shared" si="40"/>
        <v>0</v>
      </c>
      <c r="AT78" s="162">
        <f t="shared" si="40"/>
        <v>0</v>
      </c>
      <c r="AU78" s="162">
        <f t="shared" si="40"/>
        <v>0</v>
      </c>
      <c r="AV78" s="162">
        <f t="shared" si="40"/>
        <v>0</v>
      </c>
      <c r="AW78" s="162">
        <f t="shared" si="40"/>
        <v>0</v>
      </c>
      <c r="AX78" s="162">
        <f t="shared" si="40"/>
        <v>0</v>
      </c>
      <c r="AY78" s="162">
        <f t="shared" si="40"/>
        <v>0</v>
      </c>
      <c r="AZ78" s="162">
        <f t="shared" si="40"/>
        <v>0</v>
      </c>
      <c r="BA78" s="162">
        <f t="shared" si="40"/>
        <v>0</v>
      </c>
      <c r="BB78" s="162">
        <f t="shared" si="40"/>
        <v>0</v>
      </c>
      <c r="BC78" s="162">
        <f t="shared" si="40"/>
        <v>0</v>
      </c>
      <c r="BD78" s="162">
        <f t="shared" si="40"/>
        <v>0</v>
      </c>
      <c r="BE78" s="162">
        <f t="shared" si="40"/>
        <v>0</v>
      </c>
      <c r="BF78" s="162">
        <f t="shared" si="40"/>
        <v>0</v>
      </c>
      <c r="BG78" s="162">
        <f t="shared" si="40"/>
        <v>0</v>
      </c>
      <c r="BH78" s="162">
        <f t="shared" si="40"/>
        <v>0</v>
      </c>
      <c r="BI78" s="162">
        <f t="shared" si="40"/>
        <v>0</v>
      </c>
      <c r="BJ78" s="162">
        <f t="shared" si="40"/>
        <v>0</v>
      </c>
      <c r="BK78" s="162">
        <f t="shared" si="40"/>
        <v>0</v>
      </c>
      <c r="BL78" s="162">
        <f t="shared" si="40"/>
        <v>0</v>
      </c>
      <c r="BM78" s="162">
        <f t="shared" si="40"/>
        <v>0</v>
      </c>
      <c r="BN78" s="162">
        <f t="shared" si="40"/>
        <v>0</v>
      </c>
      <c r="BO78" s="162">
        <f t="shared" si="40"/>
        <v>0</v>
      </c>
      <c r="BP78" s="162">
        <f t="shared" si="40"/>
        <v>0</v>
      </c>
      <c r="BQ78" s="162">
        <f t="shared" si="40"/>
        <v>0</v>
      </c>
      <c r="BR78" s="162">
        <f t="shared" si="40"/>
        <v>0</v>
      </c>
      <c r="BS78" s="162">
        <f t="shared" si="40"/>
        <v>0</v>
      </c>
      <c r="BT78" s="162">
        <f t="shared" si="40"/>
        <v>0</v>
      </c>
      <c r="BU78" s="162">
        <f t="shared" si="40"/>
        <v>0</v>
      </c>
      <c r="BV78" s="162">
        <f t="shared" si="40"/>
        <v>0</v>
      </c>
      <c r="BW78" s="162">
        <f t="shared" si="40"/>
        <v>0</v>
      </c>
      <c r="BX78" s="162">
        <f t="shared" si="40"/>
        <v>0</v>
      </c>
      <c r="BY78" s="162">
        <f t="shared" ref="BY78:DV78" si="41">SUM(BY79:BY80)</f>
        <v>0</v>
      </c>
      <c r="BZ78" s="162">
        <f t="shared" si="41"/>
        <v>0</v>
      </c>
      <c r="CA78" s="162">
        <f t="shared" si="41"/>
        <v>0</v>
      </c>
      <c r="CB78" s="162">
        <f t="shared" si="41"/>
        <v>0</v>
      </c>
      <c r="CC78" s="162">
        <f t="shared" si="41"/>
        <v>0</v>
      </c>
      <c r="CD78" s="162">
        <f t="shared" si="41"/>
        <v>0</v>
      </c>
      <c r="CE78" s="162">
        <f t="shared" si="41"/>
        <v>0</v>
      </c>
      <c r="CF78" s="162">
        <f t="shared" si="41"/>
        <v>0</v>
      </c>
      <c r="CG78" s="162">
        <f t="shared" si="41"/>
        <v>0</v>
      </c>
      <c r="CH78" s="162">
        <f t="shared" si="41"/>
        <v>0</v>
      </c>
      <c r="CI78" s="162">
        <f t="shared" si="41"/>
        <v>0</v>
      </c>
      <c r="CJ78" s="162">
        <f t="shared" si="41"/>
        <v>0</v>
      </c>
      <c r="CK78" s="162">
        <f t="shared" si="41"/>
        <v>0</v>
      </c>
      <c r="CL78" s="162">
        <f t="shared" si="41"/>
        <v>0</v>
      </c>
      <c r="CM78" s="162">
        <f t="shared" si="41"/>
        <v>0</v>
      </c>
      <c r="CN78" s="162">
        <f t="shared" si="41"/>
        <v>0</v>
      </c>
      <c r="CO78" s="162">
        <f t="shared" si="41"/>
        <v>0</v>
      </c>
      <c r="CP78" s="162">
        <f t="shared" si="41"/>
        <v>0</v>
      </c>
      <c r="CQ78" s="162">
        <f t="shared" si="41"/>
        <v>0</v>
      </c>
      <c r="CR78" s="162">
        <f t="shared" si="41"/>
        <v>0</v>
      </c>
      <c r="CS78" s="162">
        <f t="shared" si="41"/>
        <v>0</v>
      </c>
      <c r="CT78" s="162">
        <f t="shared" si="41"/>
        <v>0</v>
      </c>
      <c r="CU78" s="162">
        <f t="shared" si="41"/>
        <v>0</v>
      </c>
      <c r="CV78" s="162">
        <f t="shared" si="41"/>
        <v>0</v>
      </c>
      <c r="CW78" s="162">
        <f t="shared" si="41"/>
        <v>0</v>
      </c>
      <c r="CX78" s="162">
        <f t="shared" si="41"/>
        <v>0</v>
      </c>
      <c r="CY78" s="162">
        <f t="shared" si="41"/>
        <v>0</v>
      </c>
      <c r="CZ78" s="162">
        <f t="shared" si="41"/>
        <v>0</v>
      </c>
      <c r="DA78" s="162">
        <f t="shared" si="41"/>
        <v>0</v>
      </c>
      <c r="DB78" s="162">
        <f t="shared" si="41"/>
        <v>0</v>
      </c>
      <c r="DC78" s="162">
        <f t="shared" si="41"/>
        <v>0</v>
      </c>
      <c r="DD78" s="162">
        <f t="shared" si="41"/>
        <v>0</v>
      </c>
      <c r="DE78" s="162">
        <f t="shared" si="41"/>
        <v>0</v>
      </c>
      <c r="DF78" s="162">
        <f t="shared" si="41"/>
        <v>0</v>
      </c>
      <c r="DG78" s="162">
        <f t="shared" si="41"/>
        <v>0</v>
      </c>
      <c r="DH78" s="162">
        <f t="shared" si="41"/>
        <v>0</v>
      </c>
      <c r="DI78" s="162">
        <f t="shared" si="41"/>
        <v>0</v>
      </c>
      <c r="DJ78" s="162">
        <f t="shared" si="41"/>
        <v>0</v>
      </c>
      <c r="DK78" s="162">
        <f t="shared" si="41"/>
        <v>0</v>
      </c>
      <c r="DL78" s="162">
        <f t="shared" si="41"/>
        <v>0</v>
      </c>
      <c r="DM78" s="162">
        <f t="shared" si="41"/>
        <v>0</v>
      </c>
      <c r="DN78" s="162">
        <f t="shared" si="41"/>
        <v>0</v>
      </c>
      <c r="DO78" s="162">
        <f t="shared" si="41"/>
        <v>0</v>
      </c>
      <c r="DP78" s="162">
        <f t="shared" si="41"/>
        <v>0</v>
      </c>
      <c r="DQ78" s="162">
        <f t="shared" si="41"/>
        <v>0</v>
      </c>
      <c r="DR78" s="162">
        <f t="shared" si="41"/>
        <v>0</v>
      </c>
      <c r="DS78" s="162">
        <f t="shared" si="41"/>
        <v>0</v>
      </c>
      <c r="DT78" s="162">
        <f t="shared" si="41"/>
        <v>0</v>
      </c>
      <c r="DU78" s="162">
        <f t="shared" si="41"/>
        <v>0</v>
      </c>
      <c r="DV78" s="162">
        <f t="shared" si="41"/>
        <v>0</v>
      </c>
    </row>
    <row r="79" spans="2:126" ht="11.25" customHeight="1">
      <c r="B79" s="218"/>
      <c r="C79" s="163"/>
      <c r="D79" s="164" t="s">
        <v>208</v>
      </c>
      <c r="E79" s="165"/>
      <c r="F79" s="165"/>
      <c r="G79" s="165"/>
      <c r="H79" s="166"/>
      <c r="I79" s="228"/>
      <c r="J79" s="168">
        <f>SUM(L79:DV79)</f>
        <v>0</v>
      </c>
      <c r="K79" s="98"/>
      <c r="L79" s="168">
        <f>SUMIF('CF(M)'!$L$11:$EQ$11,L$6,'CF(M)'!$L84:$EQ84)</f>
        <v>0</v>
      </c>
      <c r="M79" s="168">
        <f>SUMIF('CF(M)'!$L$11:$EQ$11,M$6,'CF(M)'!$L84:$EQ84)</f>
        <v>0</v>
      </c>
      <c r="N79" s="168">
        <f>SUMIF('CF(M)'!$L$11:$EQ$11,N$6,'CF(M)'!$L84:$EQ84)</f>
        <v>0</v>
      </c>
      <c r="O79" s="168">
        <f>SUMIF('CF(M)'!$L$11:$EQ$11,O$6,'CF(M)'!$L84:$EQ84)</f>
        <v>0</v>
      </c>
      <c r="P79" s="168">
        <f>SUMIF('CF(M)'!$L$11:$EQ$11,P$6,'CF(M)'!$L84:$EQ84)</f>
        <v>0</v>
      </c>
      <c r="Q79" s="168">
        <f>SUMIF('CF(M)'!$L$11:$EQ$11,Q$6,'CF(M)'!$L84:$EQ84)</f>
        <v>0</v>
      </c>
      <c r="R79" s="168">
        <f>SUMIF('CF(M)'!$L$11:$EQ$11,R$6,'CF(M)'!$L84:$EQ84)</f>
        <v>0</v>
      </c>
      <c r="S79" s="168">
        <f>SUMIF('CF(M)'!$L$11:$EQ$11,S$6,'CF(M)'!$L84:$EQ84)</f>
        <v>0</v>
      </c>
      <c r="T79" s="168">
        <f>SUMIF('CF(M)'!$L$11:$EQ$11,T$6,'CF(M)'!$L84:$EQ84)</f>
        <v>0</v>
      </c>
      <c r="U79" s="168">
        <f>SUMIF('CF(M)'!$L$11:$EQ$11,U$6,'CF(M)'!$L84:$EQ84)</f>
        <v>0</v>
      </c>
      <c r="V79" s="168">
        <f>SUMIF('CF(M)'!$L$11:$EQ$11,V$6,'CF(M)'!$L84:$EQ84)</f>
        <v>0</v>
      </c>
      <c r="W79" s="168">
        <f>SUMIF('CF(M)'!$L$11:$EQ$11,W$6,'CF(M)'!$L84:$EQ84)</f>
        <v>0</v>
      </c>
      <c r="X79" s="168">
        <f>SUMIF('CF(M)'!$L$11:$EQ$11,X$6,'CF(M)'!$L84:$EQ84)</f>
        <v>0</v>
      </c>
      <c r="Y79" s="168">
        <f>SUMIF('CF(M)'!$L$11:$EQ$11,Y$6,'CF(M)'!$L84:$EQ84)</f>
        <v>0</v>
      </c>
      <c r="Z79" s="168">
        <f>SUMIF('CF(M)'!$L$11:$EQ$11,Z$6,'CF(M)'!$L84:$EQ84)</f>
        <v>0</v>
      </c>
      <c r="AA79" s="168">
        <f>SUMIF('CF(M)'!$L$11:$EQ$11,AA$6,'CF(M)'!$L84:$EQ84)</f>
        <v>0</v>
      </c>
      <c r="AB79" s="168">
        <f>SUMIF('CF(M)'!$L$11:$EQ$11,AB$6,'CF(M)'!$L84:$EQ84)</f>
        <v>0</v>
      </c>
      <c r="AC79" s="168">
        <f>SUMIF('CF(M)'!$L$11:$EQ$11,AC$6,'CF(M)'!$L84:$EQ84)</f>
        <v>0</v>
      </c>
      <c r="AD79" s="168">
        <f>SUMIF('CF(M)'!$L$11:$EQ$11,AD$6,'CF(M)'!$L84:$EQ84)</f>
        <v>0</v>
      </c>
      <c r="AE79" s="168">
        <f>SUMIF('CF(M)'!$L$11:$EQ$11,AE$6,'CF(M)'!$L84:$EQ84)</f>
        <v>0</v>
      </c>
      <c r="AF79" s="168">
        <f>SUMIF('CF(M)'!$L$11:$EQ$11,AF$6,'CF(M)'!$L84:$EQ84)</f>
        <v>0</v>
      </c>
      <c r="AG79" s="168">
        <f>SUMIF('CF(M)'!$L$11:$EQ$11,AG$6,'CF(M)'!$L84:$EQ84)</f>
        <v>0</v>
      </c>
      <c r="AH79" s="168">
        <f>SUMIF('CF(M)'!$L$11:$EQ$11,AH$6,'CF(M)'!$L84:$EQ84)</f>
        <v>0</v>
      </c>
      <c r="AI79" s="168">
        <f>SUMIF('CF(M)'!$L$11:$EQ$11,AI$6,'CF(M)'!$L84:$EQ84)</f>
        <v>0</v>
      </c>
      <c r="AJ79" s="168">
        <f>SUMIF('CF(M)'!$L$11:$EQ$11,AJ$6,'CF(M)'!$L84:$EQ84)</f>
        <v>0</v>
      </c>
      <c r="AK79" s="168">
        <f>SUMIF('CF(M)'!$L$11:$EQ$11,AK$6,'CF(M)'!$L84:$EQ84)</f>
        <v>0</v>
      </c>
      <c r="AL79" s="168">
        <f>SUMIF('CF(M)'!$L$11:$EQ$11,AL$6,'CF(M)'!$L84:$EQ84)</f>
        <v>0</v>
      </c>
      <c r="AM79" s="168">
        <f>SUMIF('CF(M)'!$L$11:$EQ$11,AM$6,'CF(M)'!$L84:$EQ84)</f>
        <v>0</v>
      </c>
      <c r="AN79" s="168">
        <f>SUMIF('CF(M)'!$L$11:$EQ$11,AN$6,'CF(M)'!$L84:$EQ84)</f>
        <v>0</v>
      </c>
      <c r="AO79" s="168">
        <f>SUMIF('CF(M)'!$L$11:$EQ$11,AO$6,'CF(M)'!$L84:$EQ84)</f>
        <v>0</v>
      </c>
      <c r="AP79" s="168">
        <f>SUMIF('CF(M)'!$L$11:$EQ$11,AP$6,'CF(M)'!$L84:$EQ84)</f>
        <v>0</v>
      </c>
      <c r="AQ79" s="168">
        <f>SUMIF('CF(M)'!$L$11:$EQ$11,AQ$6,'CF(M)'!$L84:$EQ84)</f>
        <v>0</v>
      </c>
      <c r="AR79" s="168">
        <f>SUMIF('CF(M)'!$L$11:$EQ$11,AR$6,'CF(M)'!$L84:$EQ84)</f>
        <v>0</v>
      </c>
      <c r="AS79" s="168">
        <f>SUMIF('CF(M)'!$L$11:$EQ$11,AS$6,'CF(M)'!$L84:$EQ84)</f>
        <v>0</v>
      </c>
      <c r="AT79" s="168">
        <f>SUMIF('CF(M)'!$L$11:$EQ$11,AT$6,'CF(M)'!$L84:$EQ84)</f>
        <v>0</v>
      </c>
      <c r="AU79" s="168">
        <f>SUMIF('CF(M)'!$L$11:$EQ$11,AU$6,'CF(M)'!$L84:$EQ84)</f>
        <v>0</v>
      </c>
      <c r="AV79" s="168">
        <f>SUMIF('CF(M)'!$L$11:$EQ$11,AV$6,'CF(M)'!$L84:$EQ84)</f>
        <v>0</v>
      </c>
      <c r="AW79" s="168">
        <f>SUMIF('CF(M)'!$L$11:$EQ$11,AW$6,'CF(M)'!$L84:$EQ84)</f>
        <v>0</v>
      </c>
      <c r="AX79" s="168">
        <f>SUMIF('CF(M)'!$L$11:$EQ$11,AX$6,'CF(M)'!$L84:$EQ84)</f>
        <v>0</v>
      </c>
      <c r="AY79" s="168">
        <f>SUMIF('CF(M)'!$L$11:$EQ$11,AY$6,'CF(M)'!$L84:$EQ84)</f>
        <v>0</v>
      </c>
      <c r="AZ79" s="168">
        <f>SUMIF('CF(M)'!$L$11:$EQ$11,AZ$6,'CF(M)'!$L84:$EQ84)</f>
        <v>0</v>
      </c>
      <c r="BA79" s="168">
        <f>SUMIF('CF(M)'!$L$11:$EQ$11,BA$6,'CF(M)'!$L84:$EQ84)</f>
        <v>0</v>
      </c>
      <c r="BB79" s="168">
        <f>SUMIF('CF(M)'!$L$11:$EQ$11,BB$6,'CF(M)'!$L84:$EQ84)</f>
        <v>0</v>
      </c>
      <c r="BC79" s="168">
        <f>SUMIF('CF(M)'!$L$11:$EQ$11,BC$6,'CF(M)'!$L84:$EQ84)</f>
        <v>0</v>
      </c>
      <c r="BD79" s="168">
        <f>SUMIF('CF(M)'!$L$11:$EQ$11,BD$6,'CF(M)'!$L84:$EQ84)</f>
        <v>0</v>
      </c>
      <c r="BE79" s="168">
        <f>SUMIF('CF(M)'!$L$11:$EQ$11,BE$6,'CF(M)'!$L84:$EQ84)</f>
        <v>0</v>
      </c>
      <c r="BF79" s="168">
        <f>SUMIF('CF(M)'!$L$11:$EQ$11,BF$6,'CF(M)'!$L84:$EQ84)</f>
        <v>0</v>
      </c>
      <c r="BG79" s="168">
        <f>SUMIF('CF(M)'!$L$11:$EQ$11,BG$6,'CF(M)'!$L84:$EQ84)</f>
        <v>0</v>
      </c>
      <c r="BH79" s="168">
        <f>SUMIF('CF(M)'!$L$11:$EQ$11,BH$6,'CF(M)'!$L84:$EQ84)</f>
        <v>0</v>
      </c>
      <c r="BI79" s="168">
        <f>SUMIF('CF(M)'!$L$11:$EQ$11,BI$6,'CF(M)'!$L84:$EQ84)</f>
        <v>0</v>
      </c>
      <c r="BJ79" s="168">
        <f>SUMIF('CF(M)'!$L$11:$EQ$11,BJ$6,'CF(M)'!$L84:$EQ84)</f>
        <v>0</v>
      </c>
      <c r="BK79" s="168">
        <f>SUMIF('CF(M)'!$L$11:$EQ$11,BK$6,'CF(M)'!$L84:$EQ84)</f>
        <v>0</v>
      </c>
      <c r="BL79" s="168">
        <f>SUMIF('CF(M)'!$L$11:$EQ$11,BL$6,'CF(M)'!$L84:$EQ84)</f>
        <v>0</v>
      </c>
      <c r="BM79" s="168">
        <f>SUMIF('CF(M)'!$L$11:$EQ$11,BM$6,'CF(M)'!$L84:$EQ84)</f>
        <v>0</v>
      </c>
      <c r="BN79" s="168">
        <f>SUMIF('CF(M)'!$L$11:$EQ$11,BN$6,'CF(M)'!$L84:$EQ84)</f>
        <v>0</v>
      </c>
      <c r="BO79" s="168">
        <f>SUMIF('CF(M)'!$L$11:$EQ$11,BO$6,'CF(M)'!$L84:$EQ84)</f>
        <v>0</v>
      </c>
      <c r="BP79" s="168">
        <f>SUMIF('CF(M)'!$L$11:$EQ$11,BP$6,'CF(M)'!$L84:$EQ84)</f>
        <v>0</v>
      </c>
      <c r="BQ79" s="168">
        <f>SUMIF('CF(M)'!$L$11:$EQ$11,BQ$6,'CF(M)'!$L84:$EQ84)</f>
        <v>0</v>
      </c>
      <c r="BR79" s="168">
        <f>SUMIF('CF(M)'!$L$11:$EQ$11,BR$6,'CF(M)'!$L84:$EQ84)</f>
        <v>0</v>
      </c>
      <c r="BS79" s="168">
        <f>SUMIF('CF(M)'!$L$11:$EQ$11,BS$6,'CF(M)'!$L84:$EQ84)</f>
        <v>0</v>
      </c>
      <c r="BT79" s="168">
        <f>SUMIF('CF(M)'!$L$11:$EQ$11,BT$6,'CF(M)'!$L84:$EQ84)</f>
        <v>0</v>
      </c>
      <c r="BU79" s="168">
        <f>SUMIF('CF(M)'!$L$11:$EQ$11,BU$6,'CF(M)'!$L84:$EQ84)</f>
        <v>0</v>
      </c>
      <c r="BV79" s="168">
        <f>SUMIF('CF(M)'!$L$11:$EQ$11,BV$6,'CF(M)'!$L84:$EQ84)</f>
        <v>0</v>
      </c>
      <c r="BW79" s="168">
        <f>SUMIF('CF(M)'!$L$11:$EQ$11,BW$6,'CF(M)'!$L84:$EQ84)</f>
        <v>0</v>
      </c>
      <c r="BX79" s="168">
        <f>SUMIF('CF(M)'!$L$11:$EQ$11,BX$6,'CF(M)'!$L84:$EQ84)</f>
        <v>0</v>
      </c>
      <c r="BY79" s="168">
        <f>SUMIF('CF(M)'!$L$11:$EQ$11,BY$6,'CF(M)'!$L84:$EQ84)</f>
        <v>0</v>
      </c>
      <c r="BZ79" s="168">
        <f>SUMIF('CF(M)'!$L$11:$EQ$11,BZ$6,'CF(M)'!$L84:$EQ84)</f>
        <v>0</v>
      </c>
      <c r="CA79" s="168">
        <f>SUMIF('CF(M)'!$L$11:$EQ$11,CA$6,'CF(M)'!$L84:$EQ84)</f>
        <v>0</v>
      </c>
      <c r="CB79" s="168">
        <f>SUMIF('CF(M)'!$L$11:$EQ$11,CB$6,'CF(M)'!$L84:$EQ84)</f>
        <v>0</v>
      </c>
      <c r="CC79" s="168">
        <f>SUMIF('CF(M)'!$L$11:$EQ$11,CC$6,'CF(M)'!$L84:$EQ84)</f>
        <v>0</v>
      </c>
      <c r="CD79" s="168">
        <f>SUMIF('CF(M)'!$L$11:$EQ$11,CD$6,'CF(M)'!$L84:$EQ84)</f>
        <v>0</v>
      </c>
      <c r="CE79" s="168">
        <f>SUMIF('CF(M)'!$L$11:$EQ$11,CE$6,'CF(M)'!$L84:$EQ84)</f>
        <v>0</v>
      </c>
      <c r="CF79" s="168">
        <f>SUMIF('CF(M)'!$L$11:$EQ$11,CF$6,'CF(M)'!$L84:$EQ84)</f>
        <v>0</v>
      </c>
      <c r="CG79" s="168">
        <f>SUMIF('CF(M)'!$L$11:$EQ$11,CG$6,'CF(M)'!$L84:$EQ84)</f>
        <v>0</v>
      </c>
      <c r="CH79" s="168">
        <f>SUMIF('CF(M)'!$L$11:$EQ$11,CH$6,'CF(M)'!$L84:$EQ84)</f>
        <v>0</v>
      </c>
      <c r="CI79" s="168">
        <f>SUMIF('CF(M)'!$L$11:$EQ$11,CI$6,'CF(M)'!$L84:$EQ84)</f>
        <v>0</v>
      </c>
      <c r="CJ79" s="168">
        <f>SUMIF('CF(M)'!$L$11:$EQ$11,CJ$6,'CF(M)'!$L84:$EQ84)</f>
        <v>0</v>
      </c>
      <c r="CK79" s="168">
        <f>SUMIF('CF(M)'!$L$11:$EQ$11,CK$6,'CF(M)'!$L84:$EQ84)</f>
        <v>0</v>
      </c>
      <c r="CL79" s="168">
        <f>SUMIF('CF(M)'!$L$11:$EQ$11,CL$6,'CF(M)'!$L84:$EQ84)</f>
        <v>0</v>
      </c>
      <c r="CM79" s="168">
        <f>SUMIF('CF(M)'!$L$11:$EQ$11,CM$6,'CF(M)'!$L84:$EQ84)</f>
        <v>0</v>
      </c>
      <c r="CN79" s="168">
        <f>SUMIF('CF(M)'!$L$11:$EQ$11,CN$6,'CF(M)'!$L84:$EQ84)</f>
        <v>0</v>
      </c>
      <c r="CO79" s="168">
        <f>SUMIF('CF(M)'!$L$11:$EQ$11,CO$6,'CF(M)'!$L84:$EQ84)</f>
        <v>0</v>
      </c>
      <c r="CP79" s="168">
        <f>SUMIF('CF(M)'!$L$11:$EQ$11,CP$6,'CF(M)'!$L84:$EQ84)</f>
        <v>0</v>
      </c>
      <c r="CQ79" s="168">
        <f>SUMIF('CF(M)'!$L$11:$EQ$11,CQ$6,'CF(M)'!$L84:$EQ84)</f>
        <v>0</v>
      </c>
      <c r="CR79" s="168">
        <f>SUMIF('CF(M)'!$L$11:$EQ$11,CR$6,'CF(M)'!$L84:$EQ84)</f>
        <v>0</v>
      </c>
      <c r="CS79" s="168">
        <f>SUMIF('CF(M)'!$L$11:$EQ$11,CS$6,'CF(M)'!$L84:$EQ84)</f>
        <v>0</v>
      </c>
      <c r="CT79" s="168">
        <f>SUMIF('CF(M)'!$L$11:$EQ$11,CT$6,'CF(M)'!$L84:$EQ84)</f>
        <v>0</v>
      </c>
      <c r="CU79" s="168">
        <f>SUMIF('CF(M)'!$L$11:$EQ$11,CU$6,'CF(M)'!$L84:$EQ84)</f>
        <v>0</v>
      </c>
      <c r="CV79" s="168">
        <f>SUMIF('CF(M)'!$L$11:$EQ$11,CV$6,'CF(M)'!$L84:$EQ84)</f>
        <v>0</v>
      </c>
      <c r="CW79" s="168">
        <f>SUMIF('CF(M)'!$L$11:$EQ$11,CW$6,'CF(M)'!$L84:$EQ84)</f>
        <v>0</v>
      </c>
      <c r="CX79" s="168">
        <f>SUMIF('CF(M)'!$L$11:$EQ$11,CX$6,'CF(M)'!$L84:$EQ84)</f>
        <v>0</v>
      </c>
      <c r="CY79" s="168">
        <f>SUMIF('CF(M)'!$L$11:$EQ$11,CY$6,'CF(M)'!$L84:$EQ84)</f>
        <v>0</v>
      </c>
      <c r="CZ79" s="168">
        <f>SUMIF('CF(M)'!$L$11:$EQ$11,CZ$6,'CF(M)'!$L84:$EQ84)</f>
        <v>0</v>
      </c>
      <c r="DA79" s="168">
        <f>SUMIF('CF(M)'!$L$11:$EQ$11,DA$6,'CF(M)'!$L84:$EQ84)</f>
        <v>0</v>
      </c>
      <c r="DB79" s="168">
        <f>SUMIF('CF(M)'!$L$11:$EQ$11,DB$6,'CF(M)'!$L84:$EQ84)</f>
        <v>0</v>
      </c>
      <c r="DC79" s="168">
        <f>SUMIF('CF(M)'!$L$11:$EQ$11,DC$6,'CF(M)'!$L84:$EQ84)</f>
        <v>0</v>
      </c>
      <c r="DD79" s="168">
        <f>SUMIF('CF(M)'!$L$11:$EQ$11,DD$6,'CF(M)'!$L84:$EQ84)</f>
        <v>0</v>
      </c>
      <c r="DE79" s="168">
        <f>SUMIF('CF(M)'!$L$11:$EQ$11,DE$6,'CF(M)'!$L84:$EQ84)</f>
        <v>0</v>
      </c>
      <c r="DF79" s="168">
        <f>SUMIF('CF(M)'!$L$11:$EQ$11,DF$6,'CF(M)'!$L84:$EQ84)</f>
        <v>0</v>
      </c>
      <c r="DG79" s="168">
        <f>SUMIF('CF(M)'!$L$11:$EQ$11,DG$6,'CF(M)'!$L84:$EQ84)</f>
        <v>0</v>
      </c>
      <c r="DH79" s="168">
        <f>SUMIF('CF(M)'!$L$11:$EQ$11,DH$6,'CF(M)'!$L84:$EQ84)</f>
        <v>0</v>
      </c>
      <c r="DI79" s="168">
        <f>SUMIF('CF(M)'!$L$11:$EQ$11,DI$6,'CF(M)'!$L84:$EQ84)</f>
        <v>0</v>
      </c>
      <c r="DJ79" s="168">
        <f>SUMIF('CF(M)'!$L$11:$EQ$11,DJ$6,'CF(M)'!$L84:$EQ84)</f>
        <v>0</v>
      </c>
      <c r="DK79" s="168">
        <f>SUMIF('CF(M)'!$L$11:$EQ$11,DK$6,'CF(M)'!$L84:$EQ84)</f>
        <v>0</v>
      </c>
      <c r="DL79" s="168">
        <f>SUMIF('CF(M)'!$L$11:$EQ$11,DL$6,'CF(M)'!$L84:$EQ84)</f>
        <v>0</v>
      </c>
      <c r="DM79" s="168">
        <f>SUMIF('CF(M)'!$L$11:$EQ$11,DM$6,'CF(M)'!$L84:$EQ84)</f>
        <v>0</v>
      </c>
      <c r="DN79" s="168">
        <f>SUMIF('CF(M)'!$L$11:$EQ$11,DN$6,'CF(M)'!$L84:$EQ84)</f>
        <v>0</v>
      </c>
      <c r="DO79" s="168">
        <f>SUMIF('CF(M)'!$L$11:$EQ$11,DO$6,'CF(M)'!$L84:$EQ84)</f>
        <v>0</v>
      </c>
      <c r="DP79" s="168">
        <f>SUMIF('CF(M)'!$L$11:$EQ$11,DP$6,'CF(M)'!$L84:$EQ84)</f>
        <v>0</v>
      </c>
      <c r="DQ79" s="168">
        <f>SUMIF('CF(M)'!$L$11:$EQ$11,DQ$6,'CF(M)'!$L84:$EQ84)</f>
        <v>0</v>
      </c>
      <c r="DR79" s="168">
        <f>SUMIF('CF(M)'!$L$11:$EQ$11,DR$6,'CF(M)'!$L84:$EQ84)</f>
        <v>0</v>
      </c>
      <c r="DS79" s="168">
        <f>SUMIF('CF(M)'!$L$11:$EQ$11,DS$6,'CF(M)'!$L84:$EQ84)</f>
        <v>0</v>
      </c>
      <c r="DT79" s="168">
        <f>SUMIF('CF(M)'!$L$11:$EQ$11,DT$6,'CF(M)'!$L84:$EQ84)</f>
        <v>0</v>
      </c>
      <c r="DU79" s="168">
        <f>SUMIF('CF(M)'!$L$11:$EQ$11,DU$6,'CF(M)'!$L84:$EQ84)</f>
        <v>0</v>
      </c>
      <c r="DV79" s="168">
        <f>SUMIF('CF(M)'!$L$11:$EQ$11,DV$6,'CF(M)'!$L84:$EQ84)</f>
        <v>0</v>
      </c>
    </row>
    <row r="80" spans="2:126" ht="11.25" customHeight="1">
      <c r="B80" s="218"/>
      <c r="C80" s="163"/>
      <c r="D80" s="169" t="s">
        <v>209</v>
      </c>
      <c r="H80" s="146"/>
      <c r="I80" s="229"/>
      <c r="J80" s="171">
        <f>SUM(L80:DV80)</f>
        <v>0</v>
      </c>
      <c r="K80" s="98"/>
      <c r="L80" s="171">
        <f>SUMIF('CF(M)'!$L$11:$EQ$11,L$6,'CF(M)'!$L85:$EQ85)</f>
        <v>0</v>
      </c>
      <c r="M80" s="171">
        <f>SUMIF('CF(M)'!$L$11:$EQ$11,M$6,'CF(M)'!$L85:$EQ85)</f>
        <v>0</v>
      </c>
      <c r="N80" s="171">
        <f>SUMIF('CF(M)'!$L$11:$EQ$11,N$6,'CF(M)'!$L85:$EQ85)</f>
        <v>0</v>
      </c>
      <c r="O80" s="171">
        <f>SUMIF('CF(M)'!$L$11:$EQ$11,O$6,'CF(M)'!$L85:$EQ85)</f>
        <v>0</v>
      </c>
      <c r="P80" s="171">
        <f>SUMIF('CF(M)'!$L$11:$EQ$11,P$6,'CF(M)'!$L85:$EQ85)</f>
        <v>0</v>
      </c>
      <c r="Q80" s="171">
        <f>SUMIF('CF(M)'!$L$11:$EQ$11,Q$6,'CF(M)'!$L85:$EQ85)</f>
        <v>0</v>
      </c>
      <c r="R80" s="171">
        <f>SUMIF('CF(M)'!$L$11:$EQ$11,R$6,'CF(M)'!$L85:$EQ85)</f>
        <v>0</v>
      </c>
      <c r="S80" s="171">
        <f>SUMIF('CF(M)'!$L$11:$EQ$11,S$6,'CF(M)'!$L85:$EQ85)</f>
        <v>0</v>
      </c>
      <c r="T80" s="171">
        <f>SUMIF('CF(M)'!$L$11:$EQ$11,T$6,'CF(M)'!$L85:$EQ85)</f>
        <v>0</v>
      </c>
      <c r="U80" s="171">
        <f>SUMIF('CF(M)'!$L$11:$EQ$11,U$6,'CF(M)'!$L85:$EQ85)</f>
        <v>0</v>
      </c>
      <c r="V80" s="171">
        <f>SUMIF('CF(M)'!$L$11:$EQ$11,V$6,'CF(M)'!$L85:$EQ85)</f>
        <v>0</v>
      </c>
      <c r="W80" s="171">
        <f>SUMIF('CF(M)'!$L$11:$EQ$11,W$6,'CF(M)'!$L85:$EQ85)</f>
        <v>0</v>
      </c>
      <c r="X80" s="171">
        <f>SUMIF('CF(M)'!$L$11:$EQ$11,X$6,'CF(M)'!$L85:$EQ85)</f>
        <v>0</v>
      </c>
      <c r="Y80" s="171">
        <f>SUMIF('CF(M)'!$L$11:$EQ$11,Y$6,'CF(M)'!$L85:$EQ85)</f>
        <v>0</v>
      </c>
      <c r="Z80" s="171">
        <f>SUMIF('CF(M)'!$L$11:$EQ$11,Z$6,'CF(M)'!$L85:$EQ85)</f>
        <v>0</v>
      </c>
      <c r="AA80" s="171">
        <f>SUMIF('CF(M)'!$L$11:$EQ$11,AA$6,'CF(M)'!$L85:$EQ85)</f>
        <v>0</v>
      </c>
      <c r="AB80" s="171">
        <f>SUMIF('CF(M)'!$L$11:$EQ$11,AB$6,'CF(M)'!$L85:$EQ85)</f>
        <v>0</v>
      </c>
      <c r="AC80" s="171">
        <f>SUMIF('CF(M)'!$L$11:$EQ$11,AC$6,'CF(M)'!$L85:$EQ85)</f>
        <v>0</v>
      </c>
      <c r="AD80" s="171">
        <f>SUMIF('CF(M)'!$L$11:$EQ$11,AD$6,'CF(M)'!$L85:$EQ85)</f>
        <v>0</v>
      </c>
      <c r="AE80" s="171">
        <f>SUMIF('CF(M)'!$L$11:$EQ$11,AE$6,'CF(M)'!$L85:$EQ85)</f>
        <v>0</v>
      </c>
      <c r="AF80" s="171">
        <f>SUMIF('CF(M)'!$L$11:$EQ$11,AF$6,'CF(M)'!$L85:$EQ85)</f>
        <v>0</v>
      </c>
      <c r="AG80" s="171">
        <f>SUMIF('CF(M)'!$L$11:$EQ$11,AG$6,'CF(M)'!$L85:$EQ85)</f>
        <v>0</v>
      </c>
      <c r="AH80" s="171">
        <f>SUMIF('CF(M)'!$L$11:$EQ$11,AH$6,'CF(M)'!$L85:$EQ85)</f>
        <v>0</v>
      </c>
      <c r="AI80" s="171">
        <f>SUMIF('CF(M)'!$L$11:$EQ$11,AI$6,'CF(M)'!$L85:$EQ85)</f>
        <v>0</v>
      </c>
      <c r="AJ80" s="171">
        <f>SUMIF('CF(M)'!$L$11:$EQ$11,AJ$6,'CF(M)'!$L85:$EQ85)</f>
        <v>0</v>
      </c>
      <c r="AK80" s="171">
        <f>SUMIF('CF(M)'!$L$11:$EQ$11,AK$6,'CF(M)'!$L85:$EQ85)</f>
        <v>0</v>
      </c>
      <c r="AL80" s="171">
        <f>SUMIF('CF(M)'!$L$11:$EQ$11,AL$6,'CF(M)'!$L85:$EQ85)</f>
        <v>0</v>
      </c>
      <c r="AM80" s="171">
        <f>SUMIF('CF(M)'!$L$11:$EQ$11,AM$6,'CF(M)'!$L85:$EQ85)</f>
        <v>0</v>
      </c>
      <c r="AN80" s="171">
        <f>SUMIF('CF(M)'!$L$11:$EQ$11,AN$6,'CF(M)'!$L85:$EQ85)</f>
        <v>0</v>
      </c>
      <c r="AO80" s="171">
        <f>SUMIF('CF(M)'!$L$11:$EQ$11,AO$6,'CF(M)'!$L85:$EQ85)</f>
        <v>0</v>
      </c>
      <c r="AP80" s="171">
        <f>SUMIF('CF(M)'!$L$11:$EQ$11,AP$6,'CF(M)'!$L85:$EQ85)</f>
        <v>0</v>
      </c>
      <c r="AQ80" s="171">
        <f>SUMIF('CF(M)'!$L$11:$EQ$11,AQ$6,'CF(M)'!$L85:$EQ85)</f>
        <v>0</v>
      </c>
      <c r="AR80" s="171">
        <f>SUMIF('CF(M)'!$L$11:$EQ$11,AR$6,'CF(M)'!$L85:$EQ85)</f>
        <v>0</v>
      </c>
      <c r="AS80" s="171">
        <f>SUMIF('CF(M)'!$L$11:$EQ$11,AS$6,'CF(M)'!$L85:$EQ85)</f>
        <v>0</v>
      </c>
      <c r="AT80" s="171">
        <f>SUMIF('CF(M)'!$L$11:$EQ$11,AT$6,'CF(M)'!$L85:$EQ85)</f>
        <v>0</v>
      </c>
      <c r="AU80" s="171">
        <f>SUMIF('CF(M)'!$L$11:$EQ$11,AU$6,'CF(M)'!$L85:$EQ85)</f>
        <v>0</v>
      </c>
      <c r="AV80" s="171">
        <f>SUMIF('CF(M)'!$L$11:$EQ$11,AV$6,'CF(M)'!$L85:$EQ85)</f>
        <v>0</v>
      </c>
      <c r="AW80" s="171">
        <f>SUMIF('CF(M)'!$L$11:$EQ$11,AW$6,'CF(M)'!$L85:$EQ85)</f>
        <v>0</v>
      </c>
      <c r="AX80" s="171">
        <f>SUMIF('CF(M)'!$L$11:$EQ$11,AX$6,'CF(M)'!$L85:$EQ85)</f>
        <v>0</v>
      </c>
      <c r="AY80" s="171">
        <f>SUMIF('CF(M)'!$L$11:$EQ$11,AY$6,'CF(M)'!$L85:$EQ85)</f>
        <v>0</v>
      </c>
      <c r="AZ80" s="171">
        <f>SUMIF('CF(M)'!$L$11:$EQ$11,AZ$6,'CF(M)'!$L85:$EQ85)</f>
        <v>0</v>
      </c>
      <c r="BA80" s="171">
        <f>SUMIF('CF(M)'!$L$11:$EQ$11,BA$6,'CF(M)'!$L85:$EQ85)</f>
        <v>0</v>
      </c>
      <c r="BB80" s="171">
        <f>SUMIF('CF(M)'!$L$11:$EQ$11,BB$6,'CF(M)'!$L85:$EQ85)</f>
        <v>0</v>
      </c>
      <c r="BC80" s="171">
        <f>SUMIF('CF(M)'!$L$11:$EQ$11,BC$6,'CF(M)'!$L85:$EQ85)</f>
        <v>0</v>
      </c>
      <c r="BD80" s="171">
        <f>SUMIF('CF(M)'!$L$11:$EQ$11,BD$6,'CF(M)'!$L85:$EQ85)</f>
        <v>0</v>
      </c>
      <c r="BE80" s="171">
        <f>SUMIF('CF(M)'!$L$11:$EQ$11,BE$6,'CF(M)'!$L85:$EQ85)</f>
        <v>0</v>
      </c>
      <c r="BF80" s="171">
        <f>SUMIF('CF(M)'!$L$11:$EQ$11,BF$6,'CF(M)'!$L85:$EQ85)</f>
        <v>0</v>
      </c>
      <c r="BG80" s="171">
        <f>SUMIF('CF(M)'!$L$11:$EQ$11,BG$6,'CF(M)'!$L85:$EQ85)</f>
        <v>0</v>
      </c>
      <c r="BH80" s="171">
        <f>SUMIF('CF(M)'!$L$11:$EQ$11,BH$6,'CF(M)'!$L85:$EQ85)</f>
        <v>0</v>
      </c>
      <c r="BI80" s="171">
        <f>SUMIF('CF(M)'!$L$11:$EQ$11,BI$6,'CF(M)'!$L85:$EQ85)</f>
        <v>0</v>
      </c>
      <c r="BJ80" s="171">
        <f>SUMIF('CF(M)'!$L$11:$EQ$11,BJ$6,'CF(M)'!$L85:$EQ85)</f>
        <v>0</v>
      </c>
      <c r="BK80" s="171">
        <f>SUMIF('CF(M)'!$L$11:$EQ$11,BK$6,'CF(M)'!$L85:$EQ85)</f>
        <v>0</v>
      </c>
      <c r="BL80" s="171">
        <f>SUMIF('CF(M)'!$L$11:$EQ$11,BL$6,'CF(M)'!$L85:$EQ85)</f>
        <v>0</v>
      </c>
      <c r="BM80" s="171">
        <f>SUMIF('CF(M)'!$L$11:$EQ$11,BM$6,'CF(M)'!$L85:$EQ85)</f>
        <v>0</v>
      </c>
      <c r="BN80" s="171">
        <f>SUMIF('CF(M)'!$L$11:$EQ$11,BN$6,'CF(M)'!$L85:$EQ85)</f>
        <v>0</v>
      </c>
      <c r="BO80" s="171">
        <f>SUMIF('CF(M)'!$L$11:$EQ$11,BO$6,'CF(M)'!$L85:$EQ85)</f>
        <v>0</v>
      </c>
      <c r="BP80" s="171">
        <f>SUMIF('CF(M)'!$L$11:$EQ$11,BP$6,'CF(M)'!$L85:$EQ85)</f>
        <v>0</v>
      </c>
      <c r="BQ80" s="171">
        <f>SUMIF('CF(M)'!$L$11:$EQ$11,BQ$6,'CF(M)'!$L85:$EQ85)</f>
        <v>0</v>
      </c>
      <c r="BR80" s="171">
        <f>SUMIF('CF(M)'!$L$11:$EQ$11,BR$6,'CF(M)'!$L85:$EQ85)</f>
        <v>0</v>
      </c>
      <c r="BS80" s="171">
        <f>SUMIF('CF(M)'!$L$11:$EQ$11,BS$6,'CF(M)'!$L85:$EQ85)</f>
        <v>0</v>
      </c>
      <c r="BT80" s="171">
        <f>SUMIF('CF(M)'!$L$11:$EQ$11,BT$6,'CF(M)'!$L85:$EQ85)</f>
        <v>0</v>
      </c>
      <c r="BU80" s="171">
        <f>SUMIF('CF(M)'!$L$11:$EQ$11,BU$6,'CF(M)'!$L85:$EQ85)</f>
        <v>0</v>
      </c>
      <c r="BV80" s="171">
        <f>SUMIF('CF(M)'!$L$11:$EQ$11,BV$6,'CF(M)'!$L85:$EQ85)</f>
        <v>0</v>
      </c>
      <c r="BW80" s="171">
        <f>SUMIF('CF(M)'!$L$11:$EQ$11,BW$6,'CF(M)'!$L85:$EQ85)</f>
        <v>0</v>
      </c>
      <c r="BX80" s="171">
        <f>SUMIF('CF(M)'!$L$11:$EQ$11,BX$6,'CF(M)'!$L85:$EQ85)</f>
        <v>0</v>
      </c>
      <c r="BY80" s="171">
        <f>SUMIF('CF(M)'!$L$11:$EQ$11,BY$6,'CF(M)'!$L85:$EQ85)</f>
        <v>0</v>
      </c>
      <c r="BZ80" s="171">
        <f>SUMIF('CF(M)'!$L$11:$EQ$11,BZ$6,'CF(M)'!$L85:$EQ85)</f>
        <v>0</v>
      </c>
      <c r="CA80" s="171">
        <f>SUMIF('CF(M)'!$L$11:$EQ$11,CA$6,'CF(M)'!$L85:$EQ85)</f>
        <v>0</v>
      </c>
      <c r="CB80" s="171">
        <f>SUMIF('CF(M)'!$L$11:$EQ$11,CB$6,'CF(M)'!$L85:$EQ85)</f>
        <v>0</v>
      </c>
      <c r="CC80" s="171">
        <f>SUMIF('CF(M)'!$L$11:$EQ$11,CC$6,'CF(M)'!$L85:$EQ85)</f>
        <v>0</v>
      </c>
      <c r="CD80" s="171">
        <f>SUMIF('CF(M)'!$L$11:$EQ$11,CD$6,'CF(M)'!$L85:$EQ85)</f>
        <v>0</v>
      </c>
      <c r="CE80" s="171">
        <f>SUMIF('CF(M)'!$L$11:$EQ$11,CE$6,'CF(M)'!$L85:$EQ85)</f>
        <v>0</v>
      </c>
      <c r="CF80" s="171">
        <f>SUMIF('CF(M)'!$L$11:$EQ$11,CF$6,'CF(M)'!$L85:$EQ85)</f>
        <v>0</v>
      </c>
      <c r="CG80" s="171">
        <f>SUMIF('CF(M)'!$L$11:$EQ$11,CG$6,'CF(M)'!$L85:$EQ85)</f>
        <v>0</v>
      </c>
      <c r="CH80" s="171">
        <f>SUMIF('CF(M)'!$L$11:$EQ$11,CH$6,'CF(M)'!$L85:$EQ85)</f>
        <v>0</v>
      </c>
      <c r="CI80" s="171">
        <f>SUMIF('CF(M)'!$L$11:$EQ$11,CI$6,'CF(M)'!$L85:$EQ85)</f>
        <v>0</v>
      </c>
      <c r="CJ80" s="171">
        <f>SUMIF('CF(M)'!$L$11:$EQ$11,CJ$6,'CF(M)'!$L85:$EQ85)</f>
        <v>0</v>
      </c>
      <c r="CK80" s="171">
        <f>SUMIF('CF(M)'!$L$11:$EQ$11,CK$6,'CF(M)'!$L85:$EQ85)</f>
        <v>0</v>
      </c>
      <c r="CL80" s="171">
        <f>SUMIF('CF(M)'!$L$11:$EQ$11,CL$6,'CF(M)'!$L85:$EQ85)</f>
        <v>0</v>
      </c>
      <c r="CM80" s="171">
        <f>SUMIF('CF(M)'!$L$11:$EQ$11,CM$6,'CF(M)'!$L85:$EQ85)</f>
        <v>0</v>
      </c>
      <c r="CN80" s="171">
        <f>SUMIF('CF(M)'!$L$11:$EQ$11,CN$6,'CF(M)'!$L85:$EQ85)</f>
        <v>0</v>
      </c>
      <c r="CO80" s="171">
        <f>SUMIF('CF(M)'!$L$11:$EQ$11,CO$6,'CF(M)'!$L85:$EQ85)</f>
        <v>0</v>
      </c>
      <c r="CP80" s="171">
        <f>SUMIF('CF(M)'!$L$11:$EQ$11,CP$6,'CF(M)'!$L85:$EQ85)</f>
        <v>0</v>
      </c>
      <c r="CQ80" s="171">
        <f>SUMIF('CF(M)'!$L$11:$EQ$11,CQ$6,'CF(M)'!$L85:$EQ85)</f>
        <v>0</v>
      </c>
      <c r="CR80" s="171">
        <f>SUMIF('CF(M)'!$L$11:$EQ$11,CR$6,'CF(M)'!$L85:$EQ85)</f>
        <v>0</v>
      </c>
      <c r="CS80" s="171">
        <f>SUMIF('CF(M)'!$L$11:$EQ$11,CS$6,'CF(M)'!$L85:$EQ85)</f>
        <v>0</v>
      </c>
      <c r="CT80" s="171">
        <f>SUMIF('CF(M)'!$L$11:$EQ$11,CT$6,'CF(M)'!$L85:$EQ85)</f>
        <v>0</v>
      </c>
      <c r="CU80" s="171">
        <f>SUMIF('CF(M)'!$L$11:$EQ$11,CU$6,'CF(M)'!$L85:$EQ85)</f>
        <v>0</v>
      </c>
      <c r="CV80" s="171">
        <f>SUMIF('CF(M)'!$L$11:$EQ$11,CV$6,'CF(M)'!$L85:$EQ85)</f>
        <v>0</v>
      </c>
      <c r="CW80" s="171">
        <f>SUMIF('CF(M)'!$L$11:$EQ$11,CW$6,'CF(M)'!$L85:$EQ85)</f>
        <v>0</v>
      </c>
      <c r="CX80" s="171">
        <f>SUMIF('CF(M)'!$L$11:$EQ$11,CX$6,'CF(M)'!$L85:$EQ85)</f>
        <v>0</v>
      </c>
      <c r="CY80" s="171">
        <f>SUMIF('CF(M)'!$L$11:$EQ$11,CY$6,'CF(M)'!$L85:$EQ85)</f>
        <v>0</v>
      </c>
      <c r="CZ80" s="171">
        <f>SUMIF('CF(M)'!$L$11:$EQ$11,CZ$6,'CF(M)'!$L85:$EQ85)</f>
        <v>0</v>
      </c>
      <c r="DA80" s="171">
        <f>SUMIF('CF(M)'!$L$11:$EQ$11,DA$6,'CF(M)'!$L85:$EQ85)</f>
        <v>0</v>
      </c>
      <c r="DB80" s="171">
        <f>SUMIF('CF(M)'!$L$11:$EQ$11,DB$6,'CF(M)'!$L85:$EQ85)</f>
        <v>0</v>
      </c>
      <c r="DC80" s="171">
        <f>SUMIF('CF(M)'!$L$11:$EQ$11,DC$6,'CF(M)'!$L85:$EQ85)</f>
        <v>0</v>
      </c>
      <c r="DD80" s="171">
        <f>SUMIF('CF(M)'!$L$11:$EQ$11,DD$6,'CF(M)'!$L85:$EQ85)</f>
        <v>0</v>
      </c>
      <c r="DE80" s="171">
        <f>SUMIF('CF(M)'!$L$11:$EQ$11,DE$6,'CF(M)'!$L85:$EQ85)</f>
        <v>0</v>
      </c>
      <c r="DF80" s="171">
        <f>SUMIF('CF(M)'!$L$11:$EQ$11,DF$6,'CF(M)'!$L85:$EQ85)</f>
        <v>0</v>
      </c>
      <c r="DG80" s="171">
        <f>SUMIF('CF(M)'!$L$11:$EQ$11,DG$6,'CF(M)'!$L85:$EQ85)</f>
        <v>0</v>
      </c>
      <c r="DH80" s="171">
        <f>SUMIF('CF(M)'!$L$11:$EQ$11,DH$6,'CF(M)'!$L85:$EQ85)</f>
        <v>0</v>
      </c>
      <c r="DI80" s="171">
        <f>SUMIF('CF(M)'!$L$11:$EQ$11,DI$6,'CF(M)'!$L85:$EQ85)</f>
        <v>0</v>
      </c>
      <c r="DJ80" s="171">
        <f>SUMIF('CF(M)'!$L$11:$EQ$11,DJ$6,'CF(M)'!$L85:$EQ85)</f>
        <v>0</v>
      </c>
      <c r="DK80" s="171">
        <f>SUMIF('CF(M)'!$L$11:$EQ$11,DK$6,'CF(M)'!$L85:$EQ85)</f>
        <v>0</v>
      </c>
      <c r="DL80" s="171">
        <f>SUMIF('CF(M)'!$L$11:$EQ$11,DL$6,'CF(M)'!$L85:$EQ85)</f>
        <v>0</v>
      </c>
      <c r="DM80" s="171">
        <f>SUMIF('CF(M)'!$L$11:$EQ$11,DM$6,'CF(M)'!$L85:$EQ85)</f>
        <v>0</v>
      </c>
      <c r="DN80" s="171">
        <f>SUMIF('CF(M)'!$L$11:$EQ$11,DN$6,'CF(M)'!$L85:$EQ85)</f>
        <v>0</v>
      </c>
      <c r="DO80" s="171">
        <f>SUMIF('CF(M)'!$L$11:$EQ$11,DO$6,'CF(M)'!$L85:$EQ85)</f>
        <v>0</v>
      </c>
      <c r="DP80" s="171">
        <f>SUMIF('CF(M)'!$L$11:$EQ$11,DP$6,'CF(M)'!$L85:$EQ85)</f>
        <v>0</v>
      </c>
      <c r="DQ80" s="171">
        <f>SUMIF('CF(M)'!$L$11:$EQ$11,DQ$6,'CF(M)'!$L85:$EQ85)</f>
        <v>0</v>
      </c>
      <c r="DR80" s="171">
        <f>SUMIF('CF(M)'!$L$11:$EQ$11,DR$6,'CF(M)'!$L85:$EQ85)</f>
        <v>0</v>
      </c>
      <c r="DS80" s="171">
        <f>SUMIF('CF(M)'!$L$11:$EQ$11,DS$6,'CF(M)'!$L85:$EQ85)</f>
        <v>0</v>
      </c>
      <c r="DT80" s="171">
        <f>SUMIF('CF(M)'!$L$11:$EQ$11,DT$6,'CF(M)'!$L85:$EQ85)</f>
        <v>0</v>
      </c>
      <c r="DU80" s="171">
        <f>SUMIF('CF(M)'!$L$11:$EQ$11,DU$6,'CF(M)'!$L85:$EQ85)</f>
        <v>0</v>
      </c>
      <c r="DV80" s="171">
        <f>SUMIF('CF(M)'!$L$11:$EQ$11,DV$6,'CF(M)'!$L85:$EQ85)</f>
        <v>0</v>
      </c>
    </row>
    <row r="81" spans="2:126" ht="11.25" customHeight="1">
      <c r="B81" s="218"/>
      <c r="C81" s="158" t="str">
        <f>'CF(M)'!C86</f>
        <v>중순위대출(3rd)</v>
      </c>
      <c r="D81" s="159"/>
      <c r="E81" s="159"/>
      <c r="F81" s="159"/>
      <c r="G81" s="159"/>
      <c r="H81" s="160"/>
      <c r="I81" s="219"/>
      <c r="J81" s="220">
        <f>SUM(J82:J83)</f>
        <v>0</v>
      </c>
      <c r="K81" s="98"/>
      <c r="L81" s="162">
        <f>SUM(L82:L83)</f>
        <v>0</v>
      </c>
      <c r="M81" s="162">
        <f t="shared" ref="M81:BX81" si="42">SUM(M82:M83)</f>
        <v>0</v>
      </c>
      <c r="N81" s="162">
        <f t="shared" si="42"/>
        <v>0</v>
      </c>
      <c r="O81" s="162">
        <f t="shared" si="42"/>
        <v>0</v>
      </c>
      <c r="P81" s="162">
        <f t="shared" si="42"/>
        <v>0</v>
      </c>
      <c r="Q81" s="162">
        <f t="shared" si="42"/>
        <v>0</v>
      </c>
      <c r="R81" s="162">
        <f t="shared" si="42"/>
        <v>0</v>
      </c>
      <c r="S81" s="162">
        <f t="shared" si="42"/>
        <v>0</v>
      </c>
      <c r="T81" s="162">
        <f t="shared" si="42"/>
        <v>0</v>
      </c>
      <c r="U81" s="162">
        <f t="shared" si="42"/>
        <v>0</v>
      </c>
      <c r="V81" s="162">
        <f t="shared" si="42"/>
        <v>0</v>
      </c>
      <c r="W81" s="162">
        <f t="shared" si="42"/>
        <v>0</v>
      </c>
      <c r="X81" s="162">
        <f t="shared" si="42"/>
        <v>0</v>
      </c>
      <c r="Y81" s="162">
        <f t="shared" si="42"/>
        <v>0</v>
      </c>
      <c r="Z81" s="162">
        <f t="shared" si="42"/>
        <v>0</v>
      </c>
      <c r="AA81" s="162">
        <f t="shared" si="42"/>
        <v>0</v>
      </c>
      <c r="AB81" s="162">
        <f t="shared" si="42"/>
        <v>0</v>
      </c>
      <c r="AC81" s="162">
        <f t="shared" si="42"/>
        <v>0</v>
      </c>
      <c r="AD81" s="162">
        <f t="shared" si="42"/>
        <v>0</v>
      </c>
      <c r="AE81" s="162">
        <f t="shared" si="42"/>
        <v>0</v>
      </c>
      <c r="AF81" s="162">
        <f t="shared" si="42"/>
        <v>0</v>
      </c>
      <c r="AG81" s="162">
        <f t="shared" si="42"/>
        <v>0</v>
      </c>
      <c r="AH81" s="162">
        <f t="shared" si="42"/>
        <v>0</v>
      </c>
      <c r="AI81" s="162">
        <f t="shared" si="42"/>
        <v>0</v>
      </c>
      <c r="AJ81" s="162">
        <f t="shared" si="42"/>
        <v>0</v>
      </c>
      <c r="AK81" s="162">
        <f t="shared" si="42"/>
        <v>0</v>
      </c>
      <c r="AL81" s="162">
        <f t="shared" si="42"/>
        <v>0</v>
      </c>
      <c r="AM81" s="162">
        <f t="shared" si="42"/>
        <v>0</v>
      </c>
      <c r="AN81" s="162">
        <f t="shared" si="42"/>
        <v>0</v>
      </c>
      <c r="AO81" s="162">
        <f t="shared" si="42"/>
        <v>0</v>
      </c>
      <c r="AP81" s="162">
        <f t="shared" si="42"/>
        <v>0</v>
      </c>
      <c r="AQ81" s="162">
        <f t="shared" si="42"/>
        <v>0</v>
      </c>
      <c r="AR81" s="162">
        <f t="shared" si="42"/>
        <v>0</v>
      </c>
      <c r="AS81" s="162">
        <f t="shared" si="42"/>
        <v>0</v>
      </c>
      <c r="AT81" s="162">
        <f t="shared" si="42"/>
        <v>0</v>
      </c>
      <c r="AU81" s="162">
        <f t="shared" si="42"/>
        <v>0</v>
      </c>
      <c r="AV81" s="162">
        <f t="shared" si="42"/>
        <v>0</v>
      </c>
      <c r="AW81" s="162">
        <f t="shared" si="42"/>
        <v>0</v>
      </c>
      <c r="AX81" s="162">
        <f t="shared" si="42"/>
        <v>0</v>
      </c>
      <c r="AY81" s="162">
        <f t="shared" si="42"/>
        <v>0</v>
      </c>
      <c r="AZ81" s="162">
        <f t="shared" si="42"/>
        <v>0</v>
      </c>
      <c r="BA81" s="162">
        <f t="shared" si="42"/>
        <v>0</v>
      </c>
      <c r="BB81" s="162">
        <f t="shared" si="42"/>
        <v>0</v>
      </c>
      <c r="BC81" s="162">
        <f t="shared" si="42"/>
        <v>0</v>
      </c>
      <c r="BD81" s="162">
        <f t="shared" si="42"/>
        <v>0</v>
      </c>
      <c r="BE81" s="162">
        <f t="shared" si="42"/>
        <v>0</v>
      </c>
      <c r="BF81" s="162">
        <f t="shared" si="42"/>
        <v>0</v>
      </c>
      <c r="BG81" s="162">
        <f t="shared" si="42"/>
        <v>0</v>
      </c>
      <c r="BH81" s="162">
        <f t="shared" si="42"/>
        <v>0</v>
      </c>
      <c r="BI81" s="162">
        <f t="shared" si="42"/>
        <v>0</v>
      </c>
      <c r="BJ81" s="162">
        <f t="shared" si="42"/>
        <v>0</v>
      </c>
      <c r="BK81" s="162">
        <f t="shared" si="42"/>
        <v>0</v>
      </c>
      <c r="BL81" s="162">
        <f t="shared" si="42"/>
        <v>0</v>
      </c>
      <c r="BM81" s="162">
        <f t="shared" si="42"/>
        <v>0</v>
      </c>
      <c r="BN81" s="162">
        <f t="shared" si="42"/>
        <v>0</v>
      </c>
      <c r="BO81" s="162">
        <f t="shared" si="42"/>
        <v>0</v>
      </c>
      <c r="BP81" s="162">
        <f t="shared" si="42"/>
        <v>0</v>
      </c>
      <c r="BQ81" s="162">
        <f t="shared" si="42"/>
        <v>0</v>
      </c>
      <c r="BR81" s="162">
        <f t="shared" si="42"/>
        <v>0</v>
      </c>
      <c r="BS81" s="162">
        <f t="shared" si="42"/>
        <v>0</v>
      </c>
      <c r="BT81" s="162">
        <f t="shared" si="42"/>
        <v>0</v>
      </c>
      <c r="BU81" s="162">
        <f t="shared" si="42"/>
        <v>0</v>
      </c>
      <c r="BV81" s="162">
        <f t="shared" si="42"/>
        <v>0</v>
      </c>
      <c r="BW81" s="162">
        <f t="shared" si="42"/>
        <v>0</v>
      </c>
      <c r="BX81" s="162">
        <f t="shared" si="42"/>
        <v>0</v>
      </c>
      <c r="BY81" s="162">
        <f t="shared" ref="BY81:DV81" si="43">SUM(BY82:BY83)</f>
        <v>0</v>
      </c>
      <c r="BZ81" s="162">
        <f t="shared" si="43"/>
        <v>0</v>
      </c>
      <c r="CA81" s="162">
        <f t="shared" si="43"/>
        <v>0</v>
      </c>
      <c r="CB81" s="162">
        <f t="shared" si="43"/>
        <v>0</v>
      </c>
      <c r="CC81" s="162">
        <f t="shared" si="43"/>
        <v>0</v>
      </c>
      <c r="CD81" s="162">
        <f t="shared" si="43"/>
        <v>0</v>
      </c>
      <c r="CE81" s="162">
        <f t="shared" si="43"/>
        <v>0</v>
      </c>
      <c r="CF81" s="162">
        <f t="shared" si="43"/>
        <v>0</v>
      </c>
      <c r="CG81" s="162">
        <f t="shared" si="43"/>
        <v>0</v>
      </c>
      <c r="CH81" s="162">
        <f t="shared" si="43"/>
        <v>0</v>
      </c>
      <c r="CI81" s="162">
        <f t="shared" si="43"/>
        <v>0</v>
      </c>
      <c r="CJ81" s="162">
        <f t="shared" si="43"/>
        <v>0</v>
      </c>
      <c r="CK81" s="162">
        <f t="shared" si="43"/>
        <v>0</v>
      </c>
      <c r="CL81" s="162">
        <f t="shared" si="43"/>
        <v>0</v>
      </c>
      <c r="CM81" s="162">
        <f t="shared" si="43"/>
        <v>0</v>
      </c>
      <c r="CN81" s="162">
        <f t="shared" si="43"/>
        <v>0</v>
      </c>
      <c r="CO81" s="162">
        <f t="shared" si="43"/>
        <v>0</v>
      </c>
      <c r="CP81" s="162">
        <f t="shared" si="43"/>
        <v>0</v>
      </c>
      <c r="CQ81" s="162">
        <f t="shared" si="43"/>
        <v>0</v>
      </c>
      <c r="CR81" s="162">
        <f t="shared" si="43"/>
        <v>0</v>
      </c>
      <c r="CS81" s="162">
        <f t="shared" si="43"/>
        <v>0</v>
      </c>
      <c r="CT81" s="162">
        <f t="shared" si="43"/>
        <v>0</v>
      </c>
      <c r="CU81" s="162">
        <f t="shared" si="43"/>
        <v>0</v>
      </c>
      <c r="CV81" s="162">
        <f t="shared" si="43"/>
        <v>0</v>
      </c>
      <c r="CW81" s="162">
        <f t="shared" si="43"/>
        <v>0</v>
      </c>
      <c r="CX81" s="162">
        <f t="shared" si="43"/>
        <v>0</v>
      </c>
      <c r="CY81" s="162">
        <f t="shared" si="43"/>
        <v>0</v>
      </c>
      <c r="CZ81" s="162">
        <f t="shared" si="43"/>
        <v>0</v>
      </c>
      <c r="DA81" s="162">
        <f t="shared" si="43"/>
        <v>0</v>
      </c>
      <c r="DB81" s="162">
        <f t="shared" si="43"/>
        <v>0</v>
      </c>
      <c r="DC81" s="162">
        <f t="shared" si="43"/>
        <v>0</v>
      </c>
      <c r="DD81" s="162">
        <f t="shared" si="43"/>
        <v>0</v>
      </c>
      <c r="DE81" s="162">
        <f t="shared" si="43"/>
        <v>0</v>
      </c>
      <c r="DF81" s="162">
        <f t="shared" si="43"/>
        <v>0</v>
      </c>
      <c r="DG81" s="162">
        <f t="shared" si="43"/>
        <v>0</v>
      </c>
      <c r="DH81" s="162">
        <f t="shared" si="43"/>
        <v>0</v>
      </c>
      <c r="DI81" s="162">
        <f t="shared" si="43"/>
        <v>0</v>
      </c>
      <c r="DJ81" s="162">
        <f t="shared" si="43"/>
        <v>0</v>
      </c>
      <c r="DK81" s="162">
        <f t="shared" si="43"/>
        <v>0</v>
      </c>
      <c r="DL81" s="162">
        <f t="shared" si="43"/>
        <v>0</v>
      </c>
      <c r="DM81" s="162">
        <f t="shared" si="43"/>
        <v>0</v>
      </c>
      <c r="DN81" s="162">
        <f t="shared" si="43"/>
        <v>0</v>
      </c>
      <c r="DO81" s="162">
        <f t="shared" si="43"/>
        <v>0</v>
      </c>
      <c r="DP81" s="162">
        <f t="shared" si="43"/>
        <v>0</v>
      </c>
      <c r="DQ81" s="162">
        <f t="shared" si="43"/>
        <v>0</v>
      </c>
      <c r="DR81" s="162">
        <f t="shared" si="43"/>
        <v>0</v>
      </c>
      <c r="DS81" s="162">
        <f t="shared" si="43"/>
        <v>0</v>
      </c>
      <c r="DT81" s="162">
        <f t="shared" si="43"/>
        <v>0</v>
      </c>
      <c r="DU81" s="162">
        <f t="shared" si="43"/>
        <v>0</v>
      </c>
      <c r="DV81" s="162">
        <f t="shared" si="43"/>
        <v>0</v>
      </c>
    </row>
    <row r="82" spans="2:126" ht="11.25" customHeight="1">
      <c r="B82" s="218"/>
      <c r="C82" s="163"/>
      <c r="D82" s="164" t="s">
        <v>208</v>
      </c>
      <c r="E82" s="165"/>
      <c r="F82" s="165"/>
      <c r="G82" s="165"/>
      <c r="H82" s="166"/>
      <c r="I82" s="228"/>
      <c r="J82" s="168">
        <f>SUM(L82:DV82)</f>
        <v>0</v>
      </c>
      <c r="K82" s="98"/>
      <c r="L82" s="168">
        <f>SUMIF('CF(M)'!$L$11:$EQ$11,L$6,'CF(M)'!$L87:$EQ87)</f>
        <v>0</v>
      </c>
      <c r="M82" s="168">
        <f>SUMIF('CF(M)'!$L$11:$EQ$11,M$6,'CF(M)'!$L87:$EQ87)</f>
        <v>0</v>
      </c>
      <c r="N82" s="168">
        <f>SUMIF('CF(M)'!$L$11:$EQ$11,N$6,'CF(M)'!$L87:$EQ87)</f>
        <v>0</v>
      </c>
      <c r="O82" s="168">
        <f>SUMIF('CF(M)'!$L$11:$EQ$11,O$6,'CF(M)'!$L87:$EQ87)</f>
        <v>0</v>
      </c>
      <c r="P82" s="168">
        <f>SUMIF('CF(M)'!$L$11:$EQ$11,P$6,'CF(M)'!$L87:$EQ87)</f>
        <v>0</v>
      </c>
      <c r="Q82" s="168">
        <f>SUMIF('CF(M)'!$L$11:$EQ$11,Q$6,'CF(M)'!$L87:$EQ87)</f>
        <v>0</v>
      </c>
      <c r="R82" s="168">
        <f>SUMIF('CF(M)'!$L$11:$EQ$11,R$6,'CF(M)'!$L87:$EQ87)</f>
        <v>0</v>
      </c>
      <c r="S82" s="168">
        <f>SUMIF('CF(M)'!$L$11:$EQ$11,S$6,'CF(M)'!$L87:$EQ87)</f>
        <v>0</v>
      </c>
      <c r="T82" s="168">
        <f>SUMIF('CF(M)'!$L$11:$EQ$11,T$6,'CF(M)'!$L87:$EQ87)</f>
        <v>0</v>
      </c>
      <c r="U82" s="168">
        <f>SUMIF('CF(M)'!$L$11:$EQ$11,U$6,'CF(M)'!$L87:$EQ87)</f>
        <v>0</v>
      </c>
      <c r="V82" s="168">
        <f>SUMIF('CF(M)'!$L$11:$EQ$11,V$6,'CF(M)'!$L87:$EQ87)</f>
        <v>0</v>
      </c>
      <c r="W82" s="168">
        <f>SUMIF('CF(M)'!$L$11:$EQ$11,W$6,'CF(M)'!$L87:$EQ87)</f>
        <v>0</v>
      </c>
      <c r="X82" s="168">
        <f>SUMIF('CF(M)'!$L$11:$EQ$11,X$6,'CF(M)'!$L87:$EQ87)</f>
        <v>0</v>
      </c>
      <c r="Y82" s="168">
        <f>SUMIF('CF(M)'!$L$11:$EQ$11,Y$6,'CF(M)'!$L87:$EQ87)</f>
        <v>0</v>
      </c>
      <c r="Z82" s="168">
        <f>SUMIF('CF(M)'!$L$11:$EQ$11,Z$6,'CF(M)'!$L87:$EQ87)</f>
        <v>0</v>
      </c>
      <c r="AA82" s="168">
        <f>SUMIF('CF(M)'!$L$11:$EQ$11,AA$6,'CF(M)'!$L87:$EQ87)</f>
        <v>0</v>
      </c>
      <c r="AB82" s="168">
        <f>SUMIF('CF(M)'!$L$11:$EQ$11,AB$6,'CF(M)'!$L87:$EQ87)</f>
        <v>0</v>
      </c>
      <c r="AC82" s="168">
        <f>SUMIF('CF(M)'!$L$11:$EQ$11,AC$6,'CF(M)'!$L87:$EQ87)</f>
        <v>0</v>
      </c>
      <c r="AD82" s="168">
        <f>SUMIF('CF(M)'!$L$11:$EQ$11,AD$6,'CF(M)'!$L87:$EQ87)</f>
        <v>0</v>
      </c>
      <c r="AE82" s="168">
        <f>SUMIF('CF(M)'!$L$11:$EQ$11,AE$6,'CF(M)'!$L87:$EQ87)</f>
        <v>0</v>
      </c>
      <c r="AF82" s="168">
        <f>SUMIF('CF(M)'!$L$11:$EQ$11,AF$6,'CF(M)'!$L87:$EQ87)</f>
        <v>0</v>
      </c>
      <c r="AG82" s="168">
        <f>SUMIF('CF(M)'!$L$11:$EQ$11,AG$6,'CF(M)'!$L87:$EQ87)</f>
        <v>0</v>
      </c>
      <c r="AH82" s="168">
        <f>SUMIF('CF(M)'!$L$11:$EQ$11,AH$6,'CF(M)'!$L87:$EQ87)</f>
        <v>0</v>
      </c>
      <c r="AI82" s="168">
        <f>SUMIF('CF(M)'!$L$11:$EQ$11,AI$6,'CF(M)'!$L87:$EQ87)</f>
        <v>0</v>
      </c>
      <c r="AJ82" s="168">
        <f>SUMIF('CF(M)'!$L$11:$EQ$11,AJ$6,'CF(M)'!$L87:$EQ87)</f>
        <v>0</v>
      </c>
      <c r="AK82" s="168">
        <f>SUMIF('CF(M)'!$L$11:$EQ$11,AK$6,'CF(M)'!$L87:$EQ87)</f>
        <v>0</v>
      </c>
      <c r="AL82" s="168">
        <f>SUMIF('CF(M)'!$L$11:$EQ$11,AL$6,'CF(M)'!$L87:$EQ87)</f>
        <v>0</v>
      </c>
      <c r="AM82" s="168">
        <f>SUMIF('CF(M)'!$L$11:$EQ$11,AM$6,'CF(M)'!$L87:$EQ87)</f>
        <v>0</v>
      </c>
      <c r="AN82" s="168">
        <f>SUMIF('CF(M)'!$L$11:$EQ$11,AN$6,'CF(M)'!$L87:$EQ87)</f>
        <v>0</v>
      </c>
      <c r="AO82" s="168">
        <f>SUMIF('CF(M)'!$L$11:$EQ$11,AO$6,'CF(M)'!$L87:$EQ87)</f>
        <v>0</v>
      </c>
      <c r="AP82" s="168">
        <f>SUMIF('CF(M)'!$L$11:$EQ$11,AP$6,'CF(M)'!$L87:$EQ87)</f>
        <v>0</v>
      </c>
      <c r="AQ82" s="168">
        <f>SUMIF('CF(M)'!$L$11:$EQ$11,AQ$6,'CF(M)'!$L87:$EQ87)</f>
        <v>0</v>
      </c>
      <c r="AR82" s="168">
        <f>SUMIF('CF(M)'!$L$11:$EQ$11,AR$6,'CF(M)'!$L87:$EQ87)</f>
        <v>0</v>
      </c>
      <c r="AS82" s="168">
        <f>SUMIF('CF(M)'!$L$11:$EQ$11,AS$6,'CF(M)'!$L87:$EQ87)</f>
        <v>0</v>
      </c>
      <c r="AT82" s="168">
        <f>SUMIF('CF(M)'!$L$11:$EQ$11,AT$6,'CF(M)'!$L87:$EQ87)</f>
        <v>0</v>
      </c>
      <c r="AU82" s="168">
        <f>SUMIF('CF(M)'!$L$11:$EQ$11,AU$6,'CF(M)'!$L87:$EQ87)</f>
        <v>0</v>
      </c>
      <c r="AV82" s="168">
        <f>SUMIF('CF(M)'!$L$11:$EQ$11,AV$6,'CF(M)'!$L87:$EQ87)</f>
        <v>0</v>
      </c>
      <c r="AW82" s="168">
        <f>SUMIF('CF(M)'!$L$11:$EQ$11,AW$6,'CF(M)'!$L87:$EQ87)</f>
        <v>0</v>
      </c>
      <c r="AX82" s="168">
        <f>SUMIF('CF(M)'!$L$11:$EQ$11,AX$6,'CF(M)'!$L87:$EQ87)</f>
        <v>0</v>
      </c>
      <c r="AY82" s="168">
        <f>SUMIF('CF(M)'!$L$11:$EQ$11,AY$6,'CF(M)'!$L87:$EQ87)</f>
        <v>0</v>
      </c>
      <c r="AZ82" s="168">
        <f>SUMIF('CF(M)'!$L$11:$EQ$11,AZ$6,'CF(M)'!$L87:$EQ87)</f>
        <v>0</v>
      </c>
      <c r="BA82" s="168">
        <f>SUMIF('CF(M)'!$L$11:$EQ$11,BA$6,'CF(M)'!$L87:$EQ87)</f>
        <v>0</v>
      </c>
      <c r="BB82" s="168">
        <f>SUMIF('CF(M)'!$L$11:$EQ$11,BB$6,'CF(M)'!$L87:$EQ87)</f>
        <v>0</v>
      </c>
      <c r="BC82" s="168">
        <f>SUMIF('CF(M)'!$L$11:$EQ$11,BC$6,'CF(M)'!$L87:$EQ87)</f>
        <v>0</v>
      </c>
      <c r="BD82" s="168">
        <f>SUMIF('CF(M)'!$L$11:$EQ$11,BD$6,'CF(M)'!$L87:$EQ87)</f>
        <v>0</v>
      </c>
      <c r="BE82" s="168">
        <f>SUMIF('CF(M)'!$L$11:$EQ$11,BE$6,'CF(M)'!$L87:$EQ87)</f>
        <v>0</v>
      </c>
      <c r="BF82" s="168">
        <f>SUMIF('CF(M)'!$L$11:$EQ$11,BF$6,'CF(M)'!$L87:$EQ87)</f>
        <v>0</v>
      </c>
      <c r="BG82" s="168">
        <f>SUMIF('CF(M)'!$L$11:$EQ$11,BG$6,'CF(M)'!$L87:$EQ87)</f>
        <v>0</v>
      </c>
      <c r="BH82" s="168">
        <f>SUMIF('CF(M)'!$L$11:$EQ$11,BH$6,'CF(M)'!$L87:$EQ87)</f>
        <v>0</v>
      </c>
      <c r="BI82" s="168">
        <f>SUMIF('CF(M)'!$L$11:$EQ$11,BI$6,'CF(M)'!$L87:$EQ87)</f>
        <v>0</v>
      </c>
      <c r="BJ82" s="168">
        <f>SUMIF('CF(M)'!$L$11:$EQ$11,BJ$6,'CF(M)'!$L87:$EQ87)</f>
        <v>0</v>
      </c>
      <c r="BK82" s="168">
        <f>SUMIF('CF(M)'!$L$11:$EQ$11,BK$6,'CF(M)'!$L87:$EQ87)</f>
        <v>0</v>
      </c>
      <c r="BL82" s="168">
        <f>SUMIF('CF(M)'!$L$11:$EQ$11,BL$6,'CF(M)'!$L87:$EQ87)</f>
        <v>0</v>
      </c>
      <c r="BM82" s="168">
        <f>SUMIF('CF(M)'!$L$11:$EQ$11,BM$6,'CF(M)'!$L87:$EQ87)</f>
        <v>0</v>
      </c>
      <c r="BN82" s="168">
        <f>SUMIF('CF(M)'!$L$11:$EQ$11,BN$6,'CF(M)'!$L87:$EQ87)</f>
        <v>0</v>
      </c>
      <c r="BO82" s="168">
        <f>SUMIF('CF(M)'!$L$11:$EQ$11,BO$6,'CF(M)'!$L87:$EQ87)</f>
        <v>0</v>
      </c>
      <c r="BP82" s="168">
        <f>SUMIF('CF(M)'!$L$11:$EQ$11,BP$6,'CF(M)'!$L87:$EQ87)</f>
        <v>0</v>
      </c>
      <c r="BQ82" s="168">
        <f>SUMIF('CF(M)'!$L$11:$EQ$11,BQ$6,'CF(M)'!$L87:$EQ87)</f>
        <v>0</v>
      </c>
      <c r="BR82" s="168">
        <f>SUMIF('CF(M)'!$L$11:$EQ$11,BR$6,'CF(M)'!$L87:$EQ87)</f>
        <v>0</v>
      </c>
      <c r="BS82" s="168">
        <f>SUMIF('CF(M)'!$L$11:$EQ$11,BS$6,'CF(M)'!$L87:$EQ87)</f>
        <v>0</v>
      </c>
      <c r="BT82" s="168">
        <f>SUMIF('CF(M)'!$L$11:$EQ$11,BT$6,'CF(M)'!$L87:$EQ87)</f>
        <v>0</v>
      </c>
      <c r="BU82" s="168">
        <f>SUMIF('CF(M)'!$L$11:$EQ$11,BU$6,'CF(M)'!$L87:$EQ87)</f>
        <v>0</v>
      </c>
      <c r="BV82" s="168">
        <f>SUMIF('CF(M)'!$L$11:$EQ$11,BV$6,'CF(M)'!$L87:$EQ87)</f>
        <v>0</v>
      </c>
      <c r="BW82" s="168">
        <f>SUMIF('CF(M)'!$L$11:$EQ$11,BW$6,'CF(M)'!$L87:$EQ87)</f>
        <v>0</v>
      </c>
      <c r="BX82" s="168">
        <f>SUMIF('CF(M)'!$L$11:$EQ$11,BX$6,'CF(M)'!$L87:$EQ87)</f>
        <v>0</v>
      </c>
      <c r="BY82" s="168">
        <f>SUMIF('CF(M)'!$L$11:$EQ$11,BY$6,'CF(M)'!$L87:$EQ87)</f>
        <v>0</v>
      </c>
      <c r="BZ82" s="168">
        <f>SUMIF('CF(M)'!$L$11:$EQ$11,BZ$6,'CF(M)'!$L87:$EQ87)</f>
        <v>0</v>
      </c>
      <c r="CA82" s="168">
        <f>SUMIF('CF(M)'!$L$11:$EQ$11,CA$6,'CF(M)'!$L87:$EQ87)</f>
        <v>0</v>
      </c>
      <c r="CB82" s="168">
        <f>SUMIF('CF(M)'!$L$11:$EQ$11,CB$6,'CF(M)'!$L87:$EQ87)</f>
        <v>0</v>
      </c>
      <c r="CC82" s="168">
        <f>SUMIF('CF(M)'!$L$11:$EQ$11,CC$6,'CF(M)'!$L87:$EQ87)</f>
        <v>0</v>
      </c>
      <c r="CD82" s="168">
        <f>SUMIF('CF(M)'!$L$11:$EQ$11,CD$6,'CF(M)'!$L87:$EQ87)</f>
        <v>0</v>
      </c>
      <c r="CE82" s="168">
        <f>SUMIF('CF(M)'!$L$11:$EQ$11,CE$6,'CF(M)'!$L87:$EQ87)</f>
        <v>0</v>
      </c>
      <c r="CF82" s="168">
        <f>SUMIF('CF(M)'!$L$11:$EQ$11,CF$6,'CF(M)'!$L87:$EQ87)</f>
        <v>0</v>
      </c>
      <c r="CG82" s="168">
        <f>SUMIF('CF(M)'!$L$11:$EQ$11,CG$6,'CF(M)'!$L87:$EQ87)</f>
        <v>0</v>
      </c>
      <c r="CH82" s="168">
        <f>SUMIF('CF(M)'!$L$11:$EQ$11,CH$6,'CF(M)'!$L87:$EQ87)</f>
        <v>0</v>
      </c>
      <c r="CI82" s="168">
        <f>SUMIF('CF(M)'!$L$11:$EQ$11,CI$6,'CF(M)'!$L87:$EQ87)</f>
        <v>0</v>
      </c>
      <c r="CJ82" s="168">
        <f>SUMIF('CF(M)'!$L$11:$EQ$11,CJ$6,'CF(M)'!$L87:$EQ87)</f>
        <v>0</v>
      </c>
      <c r="CK82" s="168">
        <f>SUMIF('CF(M)'!$L$11:$EQ$11,CK$6,'CF(M)'!$L87:$EQ87)</f>
        <v>0</v>
      </c>
      <c r="CL82" s="168">
        <f>SUMIF('CF(M)'!$L$11:$EQ$11,CL$6,'CF(M)'!$L87:$EQ87)</f>
        <v>0</v>
      </c>
      <c r="CM82" s="168">
        <f>SUMIF('CF(M)'!$L$11:$EQ$11,CM$6,'CF(M)'!$L87:$EQ87)</f>
        <v>0</v>
      </c>
      <c r="CN82" s="168">
        <f>SUMIF('CF(M)'!$L$11:$EQ$11,CN$6,'CF(M)'!$L87:$EQ87)</f>
        <v>0</v>
      </c>
      <c r="CO82" s="168">
        <f>SUMIF('CF(M)'!$L$11:$EQ$11,CO$6,'CF(M)'!$L87:$EQ87)</f>
        <v>0</v>
      </c>
      <c r="CP82" s="168">
        <f>SUMIF('CF(M)'!$L$11:$EQ$11,CP$6,'CF(M)'!$L87:$EQ87)</f>
        <v>0</v>
      </c>
      <c r="CQ82" s="168">
        <f>SUMIF('CF(M)'!$L$11:$EQ$11,CQ$6,'CF(M)'!$L87:$EQ87)</f>
        <v>0</v>
      </c>
      <c r="CR82" s="168">
        <f>SUMIF('CF(M)'!$L$11:$EQ$11,CR$6,'CF(M)'!$L87:$EQ87)</f>
        <v>0</v>
      </c>
      <c r="CS82" s="168">
        <f>SUMIF('CF(M)'!$L$11:$EQ$11,CS$6,'CF(M)'!$L87:$EQ87)</f>
        <v>0</v>
      </c>
      <c r="CT82" s="168">
        <f>SUMIF('CF(M)'!$L$11:$EQ$11,CT$6,'CF(M)'!$L87:$EQ87)</f>
        <v>0</v>
      </c>
      <c r="CU82" s="168">
        <f>SUMIF('CF(M)'!$L$11:$EQ$11,CU$6,'CF(M)'!$L87:$EQ87)</f>
        <v>0</v>
      </c>
      <c r="CV82" s="168">
        <f>SUMIF('CF(M)'!$L$11:$EQ$11,CV$6,'CF(M)'!$L87:$EQ87)</f>
        <v>0</v>
      </c>
      <c r="CW82" s="168">
        <f>SUMIF('CF(M)'!$L$11:$EQ$11,CW$6,'CF(M)'!$L87:$EQ87)</f>
        <v>0</v>
      </c>
      <c r="CX82" s="168">
        <f>SUMIF('CF(M)'!$L$11:$EQ$11,CX$6,'CF(M)'!$L87:$EQ87)</f>
        <v>0</v>
      </c>
      <c r="CY82" s="168">
        <f>SUMIF('CF(M)'!$L$11:$EQ$11,CY$6,'CF(M)'!$L87:$EQ87)</f>
        <v>0</v>
      </c>
      <c r="CZ82" s="168">
        <f>SUMIF('CF(M)'!$L$11:$EQ$11,CZ$6,'CF(M)'!$L87:$EQ87)</f>
        <v>0</v>
      </c>
      <c r="DA82" s="168">
        <f>SUMIF('CF(M)'!$L$11:$EQ$11,DA$6,'CF(M)'!$L87:$EQ87)</f>
        <v>0</v>
      </c>
      <c r="DB82" s="168">
        <f>SUMIF('CF(M)'!$L$11:$EQ$11,DB$6,'CF(M)'!$L87:$EQ87)</f>
        <v>0</v>
      </c>
      <c r="DC82" s="168">
        <f>SUMIF('CF(M)'!$L$11:$EQ$11,DC$6,'CF(M)'!$L87:$EQ87)</f>
        <v>0</v>
      </c>
      <c r="DD82" s="168">
        <f>SUMIF('CF(M)'!$L$11:$EQ$11,DD$6,'CF(M)'!$L87:$EQ87)</f>
        <v>0</v>
      </c>
      <c r="DE82" s="168">
        <f>SUMIF('CF(M)'!$L$11:$EQ$11,DE$6,'CF(M)'!$L87:$EQ87)</f>
        <v>0</v>
      </c>
      <c r="DF82" s="168">
        <f>SUMIF('CF(M)'!$L$11:$EQ$11,DF$6,'CF(M)'!$L87:$EQ87)</f>
        <v>0</v>
      </c>
      <c r="DG82" s="168">
        <f>SUMIF('CF(M)'!$L$11:$EQ$11,DG$6,'CF(M)'!$L87:$EQ87)</f>
        <v>0</v>
      </c>
      <c r="DH82" s="168">
        <f>SUMIF('CF(M)'!$L$11:$EQ$11,DH$6,'CF(M)'!$L87:$EQ87)</f>
        <v>0</v>
      </c>
      <c r="DI82" s="168">
        <f>SUMIF('CF(M)'!$L$11:$EQ$11,DI$6,'CF(M)'!$L87:$EQ87)</f>
        <v>0</v>
      </c>
      <c r="DJ82" s="168">
        <f>SUMIF('CF(M)'!$L$11:$EQ$11,DJ$6,'CF(M)'!$L87:$EQ87)</f>
        <v>0</v>
      </c>
      <c r="DK82" s="168">
        <f>SUMIF('CF(M)'!$L$11:$EQ$11,DK$6,'CF(M)'!$L87:$EQ87)</f>
        <v>0</v>
      </c>
      <c r="DL82" s="168">
        <f>SUMIF('CF(M)'!$L$11:$EQ$11,DL$6,'CF(M)'!$L87:$EQ87)</f>
        <v>0</v>
      </c>
      <c r="DM82" s="168">
        <f>SUMIF('CF(M)'!$L$11:$EQ$11,DM$6,'CF(M)'!$L87:$EQ87)</f>
        <v>0</v>
      </c>
      <c r="DN82" s="168">
        <f>SUMIF('CF(M)'!$L$11:$EQ$11,DN$6,'CF(M)'!$L87:$EQ87)</f>
        <v>0</v>
      </c>
      <c r="DO82" s="168">
        <f>SUMIF('CF(M)'!$L$11:$EQ$11,DO$6,'CF(M)'!$L87:$EQ87)</f>
        <v>0</v>
      </c>
      <c r="DP82" s="168">
        <f>SUMIF('CF(M)'!$L$11:$EQ$11,DP$6,'CF(M)'!$L87:$EQ87)</f>
        <v>0</v>
      </c>
      <c r="DQ82" s="168">
        <f>SUMIF('CF(M)'!$L$11:$EQ$11,DQ$6,'CF(M)'!$L87:$EQ87)</f>
        <v>0</v>
      </c>
      <c r="DR82" s="168">
        <f>SUMIF('CF(M)'!$L$11:$EQ$11,DR$6,'CF(M)'!$L87:$EQ87)</f>
        <v>0</v>
      </c>
      <c r="DS82" s="168">
        <f>SUMIF('CF(M)'!$L$11:$EQ$11,DS$6,'CF(M)'!$L87:$EQ87)</f>
        <v>0</v>
      </c>
      <c r="DT82" s="168">
        <f>SUMIF('CF(M)'!$L$11:$EQ$11,DT$6,'CF(M)'!$L87:$EQ87)</f>
        <v>0</v>
      </c>
      <c r="DU82" s="168">
        <f>SUMIF('CF(M)'!$L$11:$EQ$11,DU$6,'CF(M)'!$L87:$EQ87)</f>
        <v>0</v>
      </c>
      <c r="DV82" s="168">
        <f>SUMIF('CF(M)'!$L$11:$EQ$11,DV$6,'CF(M)'!$L87:$EQ87)</f>
        <v>0</v>
      </c>
    </row>
    <row r="83" spans="2:126" ht="11.25" customHeight="1">
      <c r="B83" s="218"/>
      <c r="C83" s="163"/>
      <c r="D83" s="169" t="s">
        <v>209</v>
      </c>
      <c r="H83" s="146"/>
      <c r="I83" s="229"/>
      <c r="J83" s="171">
        <f>SUM(L83:DV83)</f>
        <v>0</v>
      </c>
      <c r="K83" s="98"/>
      <c r="L83" s="171">
        <f>SUMIF('CF(M)'!$L$11:$EQ$11,L$6,'CF(M)'!$L88:$EQ88)</f>
        <v>0</v>
      </c>
      <c r="M83" s="171">
        <f>SUMIF('CF(M)'!$L$11:$EQ$11,M$6,'CF(M)'!$L88:$EQ88)</f>
        <v>0</v>
      </c>
      <c r="N83" s="171">
        <f>SUMIF('CF(M)'!$L$11:$EQ$11,N$6,'CF(M)'!$L88:$EQ88)</f>
        <v>0</v>
      </c>
      <c r="O83" s="171">
        <f>SUMIF('CF(M)'!$L$11:$EQ$11,O$6,'CF(M)'!$L88:$EQ88)</f>
        <v>0</v>
      </c>
      <c r="P83" s="171">
        <f>SUMIF('CF(M)'!$L$11:$EQ$11,P$6,'CF(M)'!$L88:$EQ88)</f>
        <v>0</v>
      </c>
      <c r="Q83" s="171">
        <f>SUMIF('CF(M)'!$L$11:$EQ$11,Q$6,'CF(M)'!$L88:$EQ88)</f>
        <v>0</v>
      </c>
      <c r="R83" s="171">
        <f>SUMIF('CF(M)'!$L$11:$EQ$11,R$6,'CF(M)'!$L88:$EQ88)</f>
        <v>0</v>
      </c>
      <c r="S83" s="171">
        <f>SUMIF('CF(M)'!$L$11:$EQ$11,S$6,'CF(M)'!$L88:$EQ88)</f>
        <v>0</v>
      </c>
      <c r="T83" s="171">
        <f>SUMIF('CF(M)'!$L$11:$EQ$11,T$6,'CF(M)'!$L88:$EQ88)</f>
        <v>0</v>
      </c>
      <c r="U83" s="171">
        <f>SUMIF('CF(M)'!$L$11:$EQ$11,U$6,'CF(M)'!$L88:$EQ88)</f>
        <v>0</v>
      </c>
      <c r="V83" s="171">
        <f>SUMIF('CF(M)'!$L$11:$EQ$11,V$6,'CF(M)'!$L88:$EQ88)</f>
        <v>0</v>
      </c>
      <c r="W83" s="171">
        <f>SUMIF('CF(M)'!$L$11:$EQ$11,W$6,'CF(M)'!$L88:$EQ88)</f>
        <v>0</v>
      </c>
      <c r="X83" s="171">
        <f>SUMIF('CF(M)'!$L$11:$EQ$11,X$6,'CF(M)'!$L88:$EQ88)</f>
        <v>0</v>
      </c>
      <c r="Y83" s="171">
        <f>SUMIF('CF(M)'!$L$11:$EQ$11,Y$6,'CF(M)'!$L88:$EQ88)</f>
        <v>0</v>
      </c>
      <c r="Z83" s="171">
        <f>SUMIF('CF(M)'!$L$11:$EQ$11,Z$6,'CF(M)'!$L88:$EQ88)</f>
        <v>0</v>
      </c>
      <c r="AA83" s="171">
        <f>SUMIF('CF(M)'!$L$11:$EQ$11,AA$6,'CF(M)'!$L88:$EQ88)</f>
        <v>0</v>
      </c>
      <c r="AB83" s="171">
        <f>SUMIF('CF(M)'!$L$11:$EQ$11,AB$6,'CF(M)'!$L88:$EQ88)</f>
        <v>0</v>
      </c>
      <c r="AC83" s="171">
        <f>SUMIF('CF(M)'!$L$11:$EQ$11,AC$6,'CF(M)'!$L88:$EQ88)</f>
        <v>0</v>
      </c>
      <c r="AD83" s="171">
        <f>SUMIF('CF(M)'!$L$11:$EQ$11,AD$6,'CF(M)'!$L88:$EQ88)</f>
        <v>0</v>
      </c>
      <c r="AE83" s="171">
        <f>SUMIF('CF(M)'!$L$11:$EQ$11,AE$6,'CF(M)'!$L88:$EQ88)</f>
        <v>0</v>
      </c>
      <c r="AF83" s="171">
        <f>SUMIF('CF(M)'!$L$11:$EQ$11,AF$6,'CF(M)'!$L88:$EQ88)</f>
        <v>0</v>
      </c>
      <c r="AG83" s="171">
        <f>SUMIF('CF(M)'!$L$11:$EQ$11,AG$6,'CF(M)'!$L88:$EQ88)</f>
        <v>0</v>
      </c>
      <c r="AH83" s="171">
        <f>SUMIF('CF(M)'!$L$11:$EQ$11,AH$6,'CF(M)'!$L88:$EQ88)</f>
        <v>0</v>
      </c>
      <c r="AI83" s="171">
        <f>SUMIF('CF(M)'!$L$11:$EQ$11,AI$6,'CF(M)'!$L88:$EQ88)</f>
        <v>0</v>
      </c>
      <c r="AJ83" s="171">
        <f>SUMIF('CF(M)'!$L$11:$EQ$11,AJ$6,'CF(M)'!$L88:$EQ88)</f>
        <v>0</v>
      </c>
      <c r="AK83" s="171">
        <f>SUMIF('CF(M)'!$L$11:$EQ$11,AK$6,'CF(M)'!$L88:$EQ88)</f>
        <v>0</v>
      </c>
      <c r="AL83" s="171">
        <f>SUMIF('CF(M)'!$L$11:$EQ$11,AL$6,'CF(M)'!$L88:$EQ88)</f>
        <v>0</v>
      </c>
      <c r="AM83" s="171">
        <f>SUMIF('CF(M)'!$L$11:$EQ$11,AM$6,'CF(M)'!$L88:$EQ88)</f>
        <v>0</v>
      </c>
      <c r="AN83" s="171">
        <f>SUMIF('CF(M)'!$L$11:$EQ$11,AN$6,'CF(M)'!$L88:$EQ88)</f>
        <v>0</v>
      </c>
      <c r="AO83" s="171">
        <f>SUMIF('CF(M)'!$L$11:$EQ$11,AO$6,'CF(M)'!$L88:$EQ88)</f>
        <v>0</v>
      </c>
      <c r="AP83" s="171">
        <f>SUMIF('CF(M)'!$L$11:$EQ$11,AP$6,'CF(M)'!$L88:$EQ88)</f>
        <v>0</v>
      </c>
      <c r="AQ83" s="171">
        <f>SUMIF('CF(M)'!$L$11:$EQ$11,AQ$6,'CF(M)'!$L88:$EQ88)</f>
        <v>0</v>
      </c>
      <c r="AR83" s="171">
        <f>SUMIF('CF(M)'!$L$11:$EQ$11,AR$6,'CF(M)'!$L88:$EQ88)</f>
        <v>0</v>
      </c>
      <c r="AS83" s="171">
        <f>SUMIF('CF(M)'!$L$11:$EQ$11,AS$6,'CF(M)'!$L88:$EQ88)</f>
        <v>0</v>
      </c>
      <c r="AT83" s="171">
        <f>SUMIF('CF(M)'!$L$11:$EQ$11,AT$6,'CF(M)'!$L88:$EQ88)</f>
        <v>0</v>
      </c>
      <c r="AU83" s="171">
        <f>SUMIF('CF(M)'!$L$11:$EQ$11,AU$6,'CF(M)'!$L88:$EQ88)</f>
        <v>0</v>
      </c>
      <c r="AV83" s="171">
        <f>SUMIF('CF(M)'!$L$11:$EQ$11,AV$6,'CF(M)'!$L88:$EQ88)</f>
        <v>0</v>
      </c>
      <c r="AW83" s="171">
        <f>SUMIF('CF(M)'!$L$11:$EQ$11,AW$6,'CF(M)'!$L88:$EQ88)</f>
        <v>0</v>
      </c>
      <c r="AX83" s="171">
        <f>SUMIF('CF(M)'!$L$11:$EQ$11,AX$6,'CF(M)'!$L88:$EQ88)</f>
        <v>0</v>
      </c>
      <c r="AY83" s="171">
        <f>SUMIF('CF(M)'!$L$11:$EQ$11,AY$6,'CF(M)'!$L88:$EQ88)</f>
        <v>0</v>
      </c>
      <c r="AZ83" s="171">
        <f>SUMIF('CF(M)'!$L$11:$EQ$11,AZ$6,'CF(M)'!$L88:$EQ88)</f>
        <v>0</v>
      </c>
      <c r="BA83" s="171">
        <f>SUMIF('CF(M)'!$L$11:$EQ$11,BA$6,'CF(M)'!$L88:$EQ88)</f>
        <v>0</v>
      </c>
      <c r="BB83" s="171">
        <f>SUMIF('CF(M)'!$L$11:$EQ$11,BB$6,'CF(M)'!$L88:$EQ88)</f>
        <v>0</v>
      </c>
      <c r="BC83" s="171">
        <f>SUMIF('CF(M)'!$L$11:$EQ$11,BC$6,'CF(M)'!$L88:$EQ88)</f>
        <v>0</v>
      </c>
      <c r="BD83" s="171">
        <f>SUMIF('CF(M)'!$L$11:$EQ$11,BD$6,'CF(M)'!$L88:$EQ88)</f>
        <v>0</v>
      </c>
      <c r="BE83" s="171">
        <f>SUMIF('CF(M)'!$L$11:$EQ$11,BE$6,'CF(M)'!$L88:$EQ88)</f>
        <v>0</v>
      </c>
      <c r="BF83" s="171">
        <f>SUMIF('CF(M)'!$L$11:$EQ$11,BF$6,'CF(M)'!$L88:$EQ88)</f>
        <v>0</v>
      </c>
      <c r="BG83" s="171">
        <f>SUMIF('CF(M)'!$L$11:$EQ$11,BG$6,'CF(M)'!$L88:$EQ88)</f>
        <v>0</v>
      </c>
      <c r="BH83" s="171">
        <f>SUMIF('CF(M)'!$L$11:$EQ$11,BH$6,'CF(M)'!$L88:$EQ88)</f>
        <v>0</v>
      </c>
      <c r="BI83" s="171">
        <f>SUMIF('CF(M)'!$L$11:$EQ$11,BI$6,'CF(M)'!$L88:$EQ88)</f>
        <v>0</v>
      </c>
      <c r="BJ83" s="171">
        <f>SUMIF('CF(M)'!$L$11:$EQ$11,BJ$6,'CF(M)'!$L88:$EQ88)</f>
        <v>0</v>
      </c>
      <c r="BK83" s="171">
        <f>SUMIF('CF(M)'!$L$11:$EQ$11,BK$6,'CF(M)'!$L88:$EQ88)</f>
        <v>0</v>
      </c>
      <c r="BL83" s="171">
        <f>SUMIF('CF(M)'!$L$11:$EQ$11,BL$6,'CF(M)'!$L88:$EQ88)</f>
        <v>0</v>
      </c>
      <c r="BM83" s="171">
        <f>SUMIF('CF(M)'!$L$11:$EQ$11,BM$6,'CF(M)'!$L88:$EQ88)</f>
        <v>0</v>
      </c>
      <c r="BN83" s="171">
        <f>SUMIF('CF(M)'!$L$11:$EQ$11,BN$6,'CF(M)'!$L88:$EQ88)</f>
        <v>0</v>
      </c>
      <c r="BO83" s="171">
        <f>SUMIF('CF(M)'!$L$11:$EQ$11,BO$6,'CF(M)'!$L88:$EQ88)</f>
        <v>0</v>
      </c>
      <c r="BP83" s="171">
        <f>SUMIF('CF(M)'!$L$11:$EQ$11,BP$6,'CF(M)'!$L88:$EQ88)</f>
        <v>0</v>
      </c>
      <c r="BQ83" s="171">
        <f>SUMIF('CF(M)'!$L$11:$EQ$11,BQ$6,'CF(M)'!$L88:$EQ88)</f>
        <v>0</v>
      </c>
      <c r="BR83" s="171">
        <f>SUMIF('CF(M)'!$L$11:$EQ$11,BR$6,'CF(M)'!$L88:$EQ88)</f>
        <v>0</v>
      </c>
      <c r="BS83" s="171">
        <f>SUMIF('CF(M)'!$L$11:$EQ$11,BS$6,'CF(M)'!$L88:$EQ88)</f>
        <v>0</v>
      </c>
      <c r="BT83" s="171">
        <f>SUMIF('CF(M)'!$L$11:$EQ$11,BT$6,'CF(M)'!$L88:$EQ88)</f>
        <v>0</v>
      </c>
      <c r="BU83" s="171">
        <f>SUMIF('CF(M)'!$L$11:$EQ$11,BU$6,'CF(M)'!$L88:$EQ88)</f>
        <v>0</v>
      </c>
      <c r="BV83" s="171">
        <f>SUMIF('CF(M)'!$L$11:$EQ$11,BV$6,'CF(M)'!$L88:$EQ88)</f>
        <v>0</v>
      </c>
      <c r="BW83" s="171">
        <f>SUMIF('CF(M)'!$L$11:$EQ$11,BW$6,'CF(M)'!$L88:$EQ88)</f>
        <v>0</v>
      </c>
      <c r="BX83" s="171">
        <f>SUMIF('CF(M)'!$L$11:$EQ$11,BX$6,'CF(M)'!$L88:$EQ88)</f>
        <v>0</v>
      </c>
      <c r="BY83" s="171">
        <f>SUMIF('CF(M)'!$L$11:$EQ$11,BY$6,'CF(M)'!$L88:$EQ88)</f>
        <v>0</v>
      </c>
      <c r="BZ83" s="171">
        <f>SUMIF('CF(M)'!$L$11:$EQ$11,BZ$6,'CF(M)'!$L88:$EQ88)</f>
        <v>0</v>
      </c>
      <c r="CA83" s="171">
        <f>SUMIF('CF(M)'!$L$11:$EQ$11,CA$6,'CF(M)'!$L88:$EQ88)</f>
        <v>0</v>
      </c>
      <c r="CB83" s="171">
        <f>SUMIF('CF(M)'!$L$11:$EQ$11,CB$6,'CF(M)'!$L88:$EQ88)</f>
        <v>0</v>
      </c>
      <c r="CC83" s="171">
        <f>SUMIF('CF(M)'!$L$11:$EQ$11,CC$6,'CF(M)'!$L88:$EQ88)</f>
        <v>0</v>
      </c>
      <c r="CD83" s="171">
        <f>SUMIF('CF(M)'!$L$11:$EQ$11,CD$6,'CF(M)'!$L88:$EQ88)</f>
        <v>0</v>
      </c>
      <c r="CE83" s="171">
        <f>SUMIF('CF(M)'!$L$11:$EQ$11,CE$6,'CF(M)'!$L88:$EQ88)</f>
        <v>0</v>
      </c>
      <c r="CF83" s="171">
        <f>SUMIF('CF(M)'!$L$11:$EQ$11,CF$6,'CF(M)'!$L88:$EQ88)</f>
        <v>0</v>
      </c>
      <c r="CG83" s="171">
        <f>SUMIF('CF(M)'!$L$11:$EQ$11,CG$6,'CF(M)'!$L88:$EQ88)</f>
        <v>0</v>
      </c>
      <c r="CH83" s="171">
        <f>SUMIF('CF(M)'!$L$11:$EQ$11,CH$6,'CF(M)'!$L88:$EQ88)</f>
        <v>0</v>
      </c>
      <c r="CI83" s="171">
        <f>SUMIF('CF(M)'!$L$11:$EQ$11,CI$6,'CF(M)'!$L88:$EQ88)</f>
        <v>0</v>
      </c>
      <c r="CJ83" s="171">
        <f>SUMIF('CF(M)'!$L$11:$EQ$11,CJ$6,'CF(M)'!$L88:$EQ88)</f>
        <v>0</v>
      </c>
      <c r="CK83" s="171">
        <f>SUMIF('CF(M)'!$L$11:$EQ$11,CK$6,'CF(M)'!$L88:$EQ88)</f>
        <v>0</v>
      </c>
      <c r="CL83" s="171">
        <f>SUMIF('CF(M)'!$L$11:$EQ$11,CL$6,'CF(M)'!$L88:$EQ88)</f>
        <v>0</v>
      </c>
      <c r="CM83" s="171">
        <f>SUMIF('CF(M)'!$L$11:$EQ$11,CM$6,'CF(M)'!$L88:$EQ88)</f>
        <v>0</v>
      </c>
      <c r="CN83" s="171">
        <f>SUMIF('CF(M)'!$L$11:$EQ$11,CN$6,'CF(M)'!$L88:$EQ88)</f>
        <v>0</v>
      </c>
      <c r="CO83" s="171">
        <f>SUMIF('CF(M)'!$L$11:$EQ$11,CO$6,'CF(M)'!$L88:$EQ88)</f>
        <v>0</v>
      </c>
      <c r="CP83" s="171">
        <f>SUMIF('CF(M)'!$L$11:$EQ$11,CP$6,'CF(M)'!$L88:$EQ88)</f>
        <v>0</v>
      </c>
      <c r="CQ83" s="171">
        <f>SUMIF('CF(M)'!$L$11:$EQ$11,CQ$6,'CF(M)'!$L88:$EQ88)</f>
        <v>0</v>
      </c>
      <c r="CR83" s="171">
        <f>SUMIF('CF(M)'!$L$11:$EQ$11,CR$6,'CF(M)'!$L88:$EQ88)</f>
        <v>0</v>
      </c>
      <c r="CS83" s="171">
        <f>SUMIF('CF(M)'!$L$11:$EQ$11,CS$6,'CF(M)'!$L88:$EQ88)</f>
        <v>0</v>
      </c>
      <c r="CT83" s="171">
        <f>SUMIF('CF(M)'!$L$11:$EQ$11,CT$6,'CF(M)'!$L88:$EQ88)</f>
        <v>0</v>
      </c>
      <c r="CU83" s="171">
        <f>SUMIF('CF(M)'!$L$11:$EQ$11,CU$6,'CF(M)'!$L88:$EQ88)</f>
        <v>0</v>
      </c>
      <c r="CV83" s="171">
        <f>SUMIF('CF(M)'!$L$11:$EQ$11,CV$6,'CF(M)'!$L88:$EQ88)</f>
        <v>0</v>
      </c>
      <c r="CW83" s="171">
        <f>SUMIF('CF(M)'!$L$11:$EQ$11,CW$6,'CF(M)'!$L88:$EQ88)</f>
        <v>0</v>
      </c>
      <c r="CX83" s="171">
        <f>SUMIF('CF(M)'!$L$11:$EQ$11,CX$6,'CF(M)'!$L88:$EQ88)</f>
        <v>0</v>
      </c>
      <c r="CY83" s="171">
        <f>SUMIF('CF(M)'!$L$11:$EQ$11,CY$6,'CF(M)'!$L88:$EQ88)</f>
        <v>0</v>
      </c>
      <c r="CZ83" s="171">
        <f>SUMIF('CF(M)'!$L$11:$EQ$11,CZ$6,'CF(M)'!$L88:$EQ88)</f>
        <v>0</v>
      </c>
      <c r="DA83" s="171">
        <f>SUMIF('CF(M)'!$L$11:$EQ$11,DA$6,'CF(M)'!$L88:$EQ88)</f>
        <v>0</v>
      </c>
      <c r="DB83" s="171">
        <f>SUMIF('CF(M)'!$L$11:$EQ$11,DB$6,'CF(M)'!$L88:$EQ88)</f>
        <v>0</v>
      </c>
      <c r="DC83" s="171">
        <f>SUMIF('CF(M)'!$L$11:$EQ$11,DC$6,'CF(M)'!$L88:$EQ88)</f>
        <v>0</v>
      </c>
      <c r="DD83" s="171">
        <f>SUMIF('CF(M)'!$L$11:$EQ$11,DD$6,'CF(M)'!$L88:$EQ88)</f>
        <v>0</v>
      </c>
      <c r="DE83" s="171">
        <f>SUMIF('CF(M)'!$L$11:$EQ$11,DE$6,'CF(M)'!$L88:$EQ88)</f>
        <v>0</v>
      </c>
      <c r="DF83" s="171">
        <f>SUMIF('CF(M)'!$L$11:$EQ$11,DF$6,'CF(M)'!$L88:$EQ88)</f>
        <v>0</v>
      </c>
      <c r="DG83" s="171">
        <f>SUMIF('CF(M)'!$L$11:$EQ$11,DG$6,'CF(M)'!$L88:$EQ88)</f>
        <v>0</v>
      </c>
      <c r="DH83" s="171">
        <f>SUMIF('CF(M)'!$L$11:$EQ$11,DH$6,'CF(M)'!$L88:$EQ88)</f>
        <v>0</v>
      </c>
      <c r="DI83" s="171">
        <f>SUMIF('CF(M)'!$L$11:$EQ$11,DI$6,'CF(M)'!$L88:$EQ88)</f>
        <v>0</v>
      </c>
      <c r="DJ83" s="171">
        <f>SUMIF('CF(M)'!$L$11:$EQ$11,DJ$6,'CF(M)'!$L88:$EQ88)</f>
        <v>0</v>
      </c>
      <c r="DK83" s="171">
        <f>SUMIF('CF(M)'!$L$11:$EQ$11,DK$6,'CF(M)'!$L88:$EQ88)</f>
        <v>0</v>
      </c>
      <c r="DL83" s="171">
        <f>SUMIF('CF(M)'!$L$11:$EQ$11,DL$6,'CF(M)'!$L88:$EQ88)</f>
        <v>0</v>
      </c>
      <c r="DM83" s="171">
        <f>SUMIF('CF(M)'!$L$11:$EQ$11,DM$6,'CF(M)'!$L88:$EQ88)</f>
        <v>0</v>
      </c>
      <c r="DN83" s="171">
        <f>SUMIF('CF(M)'!$L$11:$EQ$11,DN$6,'CF(M)'!$L88:$EQ88)</f>
        <v>0</v>
      </c>
      <c r="DO83" s="171">
        <f>SUMIF('CF(M)'!$L$11:$EQ$11,DO$6,'CF(M)'!$L88:$EQ88)</f>
        <v>0</v>
      </c>
      <c r="DP83" s="171">
        <f>SUMIF('CF(M)'!$L$11:$EQ$11,DP$6,'CF(M)'!$L88:$EQ88)</f>
        <v>0</v>
      </c>
      <c r="DQ83" s="171">
        <f>SUMIF('CF(M)'!$L$11:$EQ$11,DQ$6,'CF(M)'!$L88:$EQ88)</f>
        <v>0</v>
      </c>
      <c r="DR83" s="171">
        <f>SUMIF('CF(M)'!$L$11:$EQ$11,DR$6,'CF(M)'!$L88:$EQ88)</f>
        <v>0</v>
      </c>
      <c r="DS83" s="171">
        <f>SUMIF('CF(M)'!$L$11:$EQ$11,DS$6,'CF(M)'!$L88:$EQ88)</f>
        <v>0</v>
      </c>
      <c r="DT83" s="171">
        <f>SUMIF('CF(M)'!$L$11:$EQ$11,DT$6,'CF(M)'!$L88:$EQ88)</f>
        <v>0</v>
      </c>
      <c r="DU83" s="171">
        <f>SUMIF('CF(M)'!$L$11:$EQ$11,DU$6,'CF(M)'!$L88:$EQ88)</f>
        <v>0</v>
      </c>
      <c r="DV83" s="171">
        <f>SUMIF('CF(M)'!$L$11:$EQ$11,DV$6,'CF(M)'!$L88:$EQ88)</f>
        <v>0</v>
      </c>
    </row>
    <row r="84" spans="2:126" ht="11.25" customHeight="1">
      <c r="B84" s="218"/>
      <c r="C84" s="158" t="s">
        <v>617</v>
      </c>
      <c r="D84" s="159"/>
      <c r="E84" s="159"/>
      <c r="F84" s="159"/>
      <c r="G84" s="159"/>
      <c r="H84" s="160"/>
      <c r="I84" s="219"/>
      <c r="J84" s="220">
        <f>SUM(J85:J86)</f>
        <v>0</v>
      </c>
      <c r="K84" s="98"/>
      <c r="L84" s="162">
        <f>SUM(L85:L86)</f>
        <v>0</v>
      </c>
      <c r="M84" s="162">
        <f t="shared" ref="M84:BX84" si="44">SUM(M85:M86)</f>
        <v>0</v>
      </c>
      <c r="N84" s="162">
        <f t="shared" si="44"/>
        <v>0</v>
      </c>
      <c r="O84" s="162">
        <f t="shared" si="44"/>
        <v>0</v>
      </c>
      <c r="P84" s="162">
        <f t="shared" si="44"/>
        <v>0</v>
      </c>
      <c r="Q84" s="162">
        <f t="shared" si="44"/>
        <v>0</v>
      </c>
      <c r="R84" s="162">
        <f t="shared" si="44"/>
        <v>0</v>
      </c>
      <c r="S84" s="162">
        <f t="shared" si="44"/>
        <v>0</v>
      </c>
      <c r="T84" s="162">
        <f t="shared" si="44"/>
        <v>0</v>
      </c>
      <c r="U84" s="162">
        <f t="shared" si="44"/>
        <v>0</v>
      </c>
      <c r="V84" s="162">
        <f t="shared" si="44"/>
        <v>0</v>
      </c>
      <c r="W84" s="162">
        <f t="shared" si="44"/>
        <v>0</v>
      </c>
      <c r="X84" s="162">
        <f t="shared" si="44"/>
        <v>0</v>
      </c>
      <c r="Y84" s="162">
        <f t="shared" si="44"/>
        <v>0</v>
      </c>
      <c r="Z84" s="162">
        <f t="shared" si="44"/>
        <v>0</v>
      </c>
      <c r="AA84" s="162">
        <f t="shared" si="44"/>
        <v>0</v>
      </c>
      <c r="AB84" s="162">
        <f t="shared" si="44"/>
        <v>0</v>
      </c>
      <c r="AC84" s="162">
        <f t="shared" si="44"/>
        <v>0</v>
      </c>
      <c r="AD84" s="162">
        <f t="shared" si="44"/>
        <v>0</v>
      </c>
      <c r="AE84" s="162">
        <f t="shared" si="44"/>
        <v>0</v>
      </c>
      <c r="AF84" s="162">
        <f t="shared" si="44"/>
        <v>0</v>
      </c>
      <c r="AG84" s="162">
        <f t="shared" si="44"/>
        <v>0</v>
      </c>
      <c r="AH84" s="162">
        <f t="shared" si="44"/>
        <v>0</v>
      </c>
      <c r="AI84" s="162">
        <f t="shared" si="44"/>
        <v>0</v>
      </c>
      <c r="AJ84" s="162">
        <f t="shared" si="44"/>
        <v>0</v>
      </c>
      <c r="AK84" s="162">
        <f t="shared" si="44"/>
        <v>0</v>
      </c>
      <c r="AL84" s="162">
        <f t="shared" si="44"/>
        <v>0</v>
      </c>
      <c r="AM84" s="162">
        <f t="shared" si="44"/>
        <v>0</v>
      </c>
      <c r="AN84" s="162">
        <f t="shared" si="44"/>
        <v>0</v>
      </c>
      <c r="AO84" s="162">
        <f t="shared" si="44"/>
        <v>0</v>
      </c>
      <c r="AP84" s="162">
        <f t="shared" si="44"/>
        <v>0</v>
      </c>
      <c r="AQ84" s="162">
        <f t="shared" si="44"/>
        <v>0</v>
      </c>
      <c r="AR84" s="162">
        <f t="shared" si="44"/>
        <v>0</v>
      </c>
      <c r="AS84" s="162">
        <f t="shared" si="44"/>
        <v>0</v>
      </c>
      <c r="AT84" s="162">
        <f t="shared" si="44"/>
        <v>0</v>
      </c>
      <c r="AU84" s="162">
        <f t="shared" si="44"/>
        <v>0</v>
      </c>
      <c r="AV84" s="162">
        <f t="shared" si="44"/>
        <v>0</v>
      </c>
      <c r="AW84" s="162">
        <f t="shared" si="44"/>
        <v>0</v>
      </c>
      <c r="AX84" s="162">
        <f t="shared" si="44"/>
        <v>0</v>
      </c>
      <c r="AY84" s="162">
        <f t="shared" si="44"/>
        <v>0</v>
      </c>
      <c r="AZ84" s="162">
        <f t="shared" si="44"/>
        <v>0</v>
      </c>
      <c r="BA84" s="162">
        <f t="shared" si="44"/>
        <v>0</v>
      </c>
      <c r="BB84" s="162">
        <f t="shared" si="44"/>
        <v>0</v>
      </c>
      <c r="BC84" s="162">
        <f t="shared" si="44"/>
        <v>0</v>
      </c>
      <c r="BD84" s="162">
        <f t="shared" si="44"/>
        <v>0</v>
      </c>
      <c r="BE84" s="162">
        <f t="shared" si="44"/>
        <v>0</v>
      </c>
      <c r="BF84" s="162">
        <f t="shared" si="44"/>
        <v>0</v>
      </c>
      <c r="BG84" s="162">
        <f t="shared" si="44"/>
        <v>0</v>
      </c>
      <c r="BH84" s="162">
        <f t="shared" si="44"/>
        <v>0</v>
      </c>
      <c r="BI84" s="162">
        <f t="shared" si="44"/>
        <v>0</v>
      </c>
      <c r="BJ84" s="162">
        <f t="shared" si="44"/>
        <v>0</v>
      </c>
      <c r="BK84" s="162">
        <f t="shared" si="44"/>
        <v>0</v>
      </c>
      <c r="BL84" s="162">
        <f t="shared" si="44"/>
        <v>0</v>
      </c>
      <c r="BM84" s="162">
        <f t="shared" si="44"/>
        <v>0</v>
      </c>
      <c r="BN84" s="162">
        <f t="shared" si="44"/>
        <v>0</v>
      </c>
      <c r="BO84" s="162">
        <f t="shared" si="44"/>
        <v>0</v>
      </c>
      <c r="BP84" s="162">
        <f t="shared" si="44"/>
        <v>0</v>
      </c>
      <c r="BQ84" s="162">
        <f t="shared" si="44"/>
        <v>0</v>
      </c>
      <c r="BR84" s="162">
        <f t="shared" si="44"/>
        <v>0</v>
      </c>
      <c r="BS84" s="162">
        <f t="shared" si="44"/>
        <v>0</v>
      </c>
      <c r="BT84" s="162">
        <f t="shared" si="44"/>
        <v>0</v>
      </c>
      <c r="BU84" s="162">
        <f t="shared" si="44"/>
        <v>0</v>
      </c>
      <c r="BV84" s="162">
        <f t="shared" si="44"/>
        <v>0</v>
      </c>
      <c r="BW84" s="162">
        <f t="shared" si="44"/>
        <v>0</v>
      </c>
      <c r="BX84" s="162">
        <f t="shared" si="44"/>
        <v>0</v>
      </c>
      <c r="BY84" s="162">
        <f t="shared" ref="BY84:DV84" si="45">SUM(BY85:BY86)</f>
        <v>0</v>
      </c>
      <c r="BZ84" s="162">
        <f t="shared" si="45"/>
        <v>0</v>
      </c>
      <c r="CA84" s="162">
        <f t="shared" si="45"/>
        <v>0</v>
      </c>
      <c r="CB84" s="162">
        <f t="shared" si="45"/>
        <v>0</v>
      </c>
      <c r="CC84" s="162">
        <f t="shared" si="45"/>
        <v>0</v>
      </c>
      <c r="CD84" s="162">
        <f t="shared" si="45"/>
        <v>0</v>
      </c>
      <c r="CE84" s="162">
        <f t="shared" si="45"/>
        <v>0</v>
      </c>
      <c r="CF84" s="162">
        <f t="shared" si="45"/>
        <v>0</v>
      </c>
      <c r="CG84" s="162">
        <f t="shared" si="45"/>
        <v>0</v>
      </c>
      <c r="CH84" s="162">
        <f t="shared" si="45"/>
        <v>0</v>
      </c>
      <c r="CI84" s="162">
        <f t="shared" si="45"/>
        <v>0</v>
      </c>
      <c r="CJ84" s="162">
        <f t="shared" si="45"/>
        <v>0</v>
      </c>
      <c r="CK84" s="162">
        <f t="shared" si="45"/>
        <v>0</v>
      </c>
      <c r="CL84" s="162">
        <f t="shared" si="45"/>
        <v>0</v>
      </c>
      <c r="CM84" s="162">
        <f t="shared" si="45"/>
        <v>0</v>
      </c>
      <c r="CN84" s="162">
        <f t="shared" si="45"/>
        <v>0</v>
      </c>
      <c r="CO84" s="162">
        <f t="shared" si="45"/>
        <v>0</v>
      </c>
      <c r="CP84" s="162">
        <f t="shared" si="45"/>
        <v>0</v>
      </c>
      <c r="CQ84" s="162">
        <f t="shared" si="45"/>
        <v>0</v>
      </c>
      <c r="CR84" s="162">
        <f t="shared" si="45"/>
        <v>0</v>
      </c>
      <c r="CS84" s="162">
        <f t="shared" si="45"/>
        <v>0</v>
      </c>
      <c r="CT84" s="162">
        <f t="shared" si="45"/>
        <v>0</v>
      </c>
      <c r="CU84" s="162">
        <f t="shared" si="45"/>
        <v>0</v>
      </c>
      <c r="CV84" s="162">
        <f t="shared" si="45"/>
        <v>0</v>
      </c>
      <c r="CW84" s="162">
        <f t="shared" si="45"/>
        <v>0</v>
      </c>
      <c r="CX84" s="162">
        <f t="shared" si="45"/>
        <v>0</v>
      </c>
      <c r="CY84" s="162">
        <f t="shared" si="45"/>
        <v>0</v>
      </c>
      <c r="CZ84" s="162">
        <f t="shared" si="45"/>
        <v>0</v>
      </c>
      <c r="DA84" s="162">
        <f t="shared" si="45"/>
        <v>0</v>
      </c>
      <c r="DB84" s="162">
        <f t="shared" si="45"/>
        <v>0</v>
      </c>
      <c r="DC84" s="162">
        <f t="shared" si="45"/>
        <v>0</v>
      </c>
      <c r="DD84" s="162">
        <f t="shared" si="45"/>
        <v>0</v>
      </c>
      <c r="DE84" s="162">
        <f t="shared" si="45"/>
        <v>0</v>
      </c>
      <c r="DF84" s="162">
        <f t="shared" si="45"/>
        <v>0</v>
      </c>
      <c r="DG84" s="162">
        <f t="shared" si="45"/>
        <v>0</v>
      </c>
      <c r="DH84" s="162">
        <f t="shared" si="45"/>
        <v>0</v>
      </c>
      <c r="DI84" s="162">
        <f t="shared" si="45"/>
        <v>0</v>
      </c>
      <c r="DJ84" s="162">
        <f t="shared" si="45"/>
        <v>0</v>
      </c>
      <c r="DK84" s="162">
        <f t="shared" si="45"/>
        <v>0</v>
      </c>
      <c r="DL84" s="162">
        <f t="shared" si="45"/>
        <v>0</v>
      </c>
      <c r="DM84" s="162">
        <f t="shared" si="45"/>
        <v>0</v>
      </c>
      <c r="DN84" s="162">
        <f t="shared" si="45"/>
        <v>0</v>
      </c>
      <c r="DO84" s="162">
        <f t="shared" si="45"/>
        <v>0</v>
      </c>
      <c r="DP84" s="162">
        <f t="shared" si="45"/>
        <v>0</v>
      </c>
      <c r="DQ84" s="162">
        <f t="shared" si="45"/>
        <v>0</v>
      </c>
      <c r="DR84" s="162">
        <f t="shared" si="45"/>
        <v>0</v>
      </c>
      <c r="DS84" s="162">
        <f t="shared" si="45"/>
        <v>0</v>
      </c>
      <c r="DT84" s="162">
        <f t="shared" si="45"/>
        <v>0</v>
      </c>
      <c r="DU84" s="162">
        <f t="shared" si="45"/>
        <v>0</v>
      </c>
      <c r="DV84" s="162">
        <f t="shared" si="45"/>
        <v>0</v>
      </c>
    </row>
    <row r="85" spans="2:126" ht="11.25" customHeight="1">
      <c r="B85" s="218"/>
      <c r="C85" s="163"/>
      <c r="D85" s="164" t="s">
        <v>208</v>
      </c>
      <c r="E85" s="165"/>
      <c r="F85" s="165"/>
      <c r="G85" s="165"/>
      <c r="H85" s="166"/>
      <c r="I85" s="228"/>
      <c r="J85" s="168">
        <f>SUM(L85:DV85)</f>
        <v>0</v>
      </c>
      <c r="K85" s="98"/>
      <c r="L85" s="168">
        <f>SUMIF('CF(M)'!$L$11:$EQ$11,L$6,'CF(M)'!$L90:$EQ90)</f>
        <v>0</v>
      </c>
      <c r="M85" s="168">
        <f>SUMIF('CF(M)'!$L$11:$EQ$11,M$6,'CF(M)'!$L90:$EQ90)</f>
        <v>0</v>
      </c>
      <c r="N85" s="168">
        <f>SUMIF('CF(M)'!$L$11:$EQ$11,N$6,'CF(M)'!$L90:$EQ90)</f>
        <v>0</v>
      </c>
      <c r="O85" s="168">
        <f>SUMIF('CF(M)'!$L$11:$EQ$11,O$6,'CF(M)'!$L90:$EQ90)</f>
        <v>0</v>
      </c>
      <c r="P85" s="168">
        <f>SUMIF('CF(M)'!$L$11:$EQ$11,P$6,'CF(M)'!$L90:$EQ90)</f>
        <v>0</v>
      </c>
      <c r="Q85" s="168">
        <f>SUMIF('CF(M)'!$L$11:$EQ$11,Q$6,'CF(M)'!$L90:$EQ90)</f>
        <v>0</v>
      </c>
      <c r="R85" s="168">
        <f>SUMIF('CF(M)'!$L$11:$EQ$11,R$6,'CF(M)'!$L90:$EQ90)</f>
        <v>0</v>
      </c>
      <c r="S85" s="168">
        <f>SUMIF('CF(M)'!$L$11:$EQ$11,S$6,'CF(M)'!$L90:$EQ90)</f>
        <v>0</v>
      </c>
      <c r="T85" s="168">
        <f>SUMIF('CF(M)'!$L$11:$EQ$11,T$6,'CF(M)'!$L90:$EQ90)</f>
        <v>0</v>
      </c>
      <c r="U85" s="168">
        <f>SUMIF('CF(M)'!$L$11:$EQ$11,U$6,'CF(M)'!$L90:$EQ90)</f>
        <v>0</v>
      </c>
      <c r="V85" s="168">
        <f>SUMIF('CF(M)'!$L$11:$EQ$11,V$6,'CF(M)'!$L90:$EQ90)</f>
        <v>0</v>
      </c>
      <c r="W85" s="168">
        <f>SUMIF('CF(M)'!$L$11:$EQ$11,W$6,'CF(M)'!$L90:$EQ90)</f>
        <v>0</v>
      </c>
      <c r="X85" s="168">
        <f>SUMIF('CF(M)'!$L$11:$EQ$11,X$6,'CF(M)'!$L90:$EQ90)</f>
        <v>0</v>
      </c>
      <c r="Y85" s="168">
        <f>SUMIF('CF(M)'!$L$11:$EQ$11,Y$6,'CF(M)'!$L90:$EQ90)</f>
        <v>0</v>
      </c>
      <c r="Z85" s="168">
        <f>SUMIF('CF(M)'!$L$11:$EQ$11,Z$6,'CF(M)'!$L90:$EQ90)</f>
        <v>0</v>
      </c>
      <c r="AA85" s="168">
        <f>SUMIF('CF(M)'!$L$11:$EQ$11,AA$6,'CF(M)'!$L90:$EQ90)</f>
        <v>0</v>
      </c>
      <c r="AB85" s="168">
        <f>SUMIF('CF(M)'!$L$11:$EQ$11,AB$6,'CF(M)'!$L90:$EQ90)</f>
        <v>0</v>
      </c>
      <c r="AC85" s="168">
        <f>SUMIF('CF(M)'!$L$11:$EQ$11,AC$6,'CF(M)'!$L90:$EQ90)</f>
        <v>0</v>
      </c>
      <c r="AD85" s="168">
        <f>SUMIF('CF(M)'!$L$11:$EQ$11,AD$6,'CF(M)'!$L90:$EQ90)</f>
        <v>0</v>
      </c>
      <c r="AE85" s="168">
        <f>SUMIF('CF(M)'!$L$11:$EQ$11,AE$6,'CF(M)'!$L90:$EQ90)</f>
        <v>0</v>
      </c>
      <c r="AF85" s="168">
        <f>SUMIF('CF(M)'!$L$11:$EQ$11,AF$6,'CF(M)'!$L90:$EQ90)</f>
        <v>0</v>
      </c>
      <c r="AG85" s="168">
        <f>SUMIF('CF(M)'!$L$11:$EQ$11,AG$6,'CF(M)'!$L90:$EQ90)</f>
        <v>0</v>
      </c>
      <c r="AH85" s="168">
        <f>SUMIF('CF(M)'!$L$11:$EQ$11,AH$6,'CF(M)'!$L90:$EQ90)</f>
        <v>0</v>
      </c>
      <c r="AI85" s="168">
        <f>SUMIF('CF(M)'!$L$11:$EQ$11,AI$6,'CF(M)'!$L90:$EQ90)</f>
        <v>0</v>
      </c>
      <c r="AJ85" s="168">
        <f>SUMIF('CF(M)'!$L$11:$EQ$11,AJ$6,'CF(M)'!$L90:$EQ90)</f>
        <v>0</v>
      </c>
      <c r="AK85" s="168">
        <f>SUMIF('CF(M)'!$L$11:$EQ$11,AK$6,'CF(M)'!$L90:$EQ90)</f>
        <v>0</v>
      </c>
      <c r="AL85" s="168">
        <f>SUMIF('CF(M)'!$L$11:$EQ$11,AL$6,'CF(M)'!$L90:$EQ90)</f>
        <v>0</v>
      </c>
      <c r="AM85" s="168">
        <f>SUMIF('CF(M)'!$L$11:$EQ$11,AM$6,'CF(M)'!$L90:$EQ90)</f>
        <v>0</v>
      </c>
      <c r="AN85" s="168">
        <f>SUMIF('CF(M)'!$L$11:$EQ$11,AN$6,'CF(M)'!$L90:$EQ90)</f>
        <v>0</v>
      </c>
      <c r="AO85" s="168">
        <f>SUMIF('CF(M)'!$L$11:$EQ$11,AO$6,'CF(M)'!$L90:$EQ90)</f>
        <v>0</v>
      </c>
      <c r="AP85" s="168">
        <f>SUMIF('CF(M)'!$L$11:$EQ$11,AP$6,'CF(M)'!$L90:$EQ90)</f>
        <v>0</v>
      </c>
      <c r="AQ85" s="168">
        <f>SUMIF('CF(M)'!$L$11:$EQ$11,AQ$6,'CF(M)'!$L90:$EQ90)</f>
        <v>0</v>
      </c>
      <c r="AR85" s="168">
        <f>SUMIF('CF(M)'!$L$11:$EQ$11,AR$6,'CF(M)'!$L90:$EQ90)</f>
        <v>0</v>
      </c>
      <c r="AS85" s="168">
        <f>SUMIF('CF(M)'!$L$11:$EQ$11,AS$6,'CF(M)'!$L90:$EQ90)</f>
        <v>0</v>
      </c>
      <c r="AT85" s="168">
        <f>SUMIF('CF(M)'!$L$11:$EQ$11,AT$6,'CF(M)'!$L90:$EQ90)</f>
        <v>0</v>
      </c>
      <c r="AU85" s="168">
        <f>SUMIF('CF(M)'!$L$11:$EQ$11,AU$6,'CF(M)'!$L90:$EQ90)</f>
        <v>0</v>
      </c>
      <c r="AV85" s="168">
        <f>SUMIF('CF(M)'!$L$11:$EQ$11,AV$6,'CF(M)'!$L90:$EQ90)</f>
        <v>0</v>
      </c>
      <c r="AW85" s="168">
        <f>SUMIF('CF(M)'!$L$11:$EQ$11,AW$6,'CF(M)'!$L90:$EQ90)</f>
        <v>0</v>
      </c>
      <c r="AX85" s="168">
        <f>SUMIF('CF(M)'!$L$11:$EQ$11,AX$6,'CF(M)'!$L90:$EQ90)</f>
        <v>0</v>
      </c>
      <c r="AY85" s="168">
        <f>SUMIF('CF(M)'!$L$11:$EQ$11,AY$6,'CF(M)'!$L90:$EQ90)</f>
        <v>0</v>
      </c>
      <c r="AZ85" s="168">
        <f>SUMIF('CF(M)'!$L$11:$EQ$11,AZ$6,'CF(M)'!$L90:$EQ90)</f>
        <v>0</v>
      </c>
      <c r="BA85" s="168">
        <f>SUMIF('CF(M)'!$L$11:$EQ$11,BA$6,'CF(M)'!$L90:$EQ90)</f>
        <v>0</v>
      </c>
      <c r="BB85" s="168">
        <f>SUMIF('CF(M)'!$L$11:$EQ$11,BB$6,'CF(M)'!$L90:$EQ90)</f>
        <v>0</v>
      </c>
      <c r="BC85" s="168">
        <f>SUMIF('CF(M)'!$L$11:$EQ$11,BC$6,'CF(M)'!$L90:$EQ90)</f>
        <v>0</v>
      </c>
      <c r="BD85" s="168">
        <f>SUMIF('CF(M)'!$L$11:$EQ$11,BD$6,'CF(M)'!$L90:$EQ90)</f>
        <v>0</v>
      </c>
      <c r="BE85" s="168">
        <f>SUMIF('CF(M)'!$L$11:$EQ$11,BE$6,'CF(M)'!$L90:$EQ90)</f>
        <v>0</v>
      </c>
      <c r="BF85" s="168">
        <f>SUMIF('CF(M)'!$L$11:$EQ$11,BF$6,'CF(M)'!$L90:$EQ90)</f>
        <v>0</v>
      </c>
      <c r="BG85" s="168">
        <f>SUMIF('CF(M)'!$L$11:$EQ$11,BG$6,'CF(M)'!$L90:$EQ90)</f>
        <v>0</v>
      </c>
      <c r="BH85" s="168">
        <f>SUMIF('CF(M)'!$L$11:$EQ$11,BH$6,'CF(M)'!$L90:$EQ90)</f>
        <v>0</v>
      </c>
      <c r="BI85" s="168">
        <f>SUMIF('CF(M)'!$L$11:$EQ$11,BI$6,'CF(M)'!$L90:$EQ90)</f>
        <v>0</v>
      </c>
      <c r="BJ85" s="168">
        <f>SUMIF('CF(M)'!$L$11:$EQ$11,BJ$6,'CF(M)'!$L90:$EQ90)</f>
        <v>0</v>
      </c>
      <c r="BK85" s="168">
        <f>SUMIF('CF(M)'!$L$11:$EQ$11,BK$6,'CF(M)'!$L90:$EQ90)</f>
        <v>0</v>
      </c>
      <c r="BL85" s="168">
        <f>SUMIF('CF(M)'!$L$11:$EQ$11,BL$6,'CF(M)'!$L90:$EQ90)</f>
        <v>0</v>
      </c>
      <c r="BM85" s="168">
        <f>SUMIF('CF(M)'!$L$11:$EQ$11,BM$6,'CF(M)'!$L90:$EQ90)</f>
        <v>0</v>
      </c>
      <c r="BN85" s="168">
        <f>SUMIF('CF(M)'!$L$11:$EQ$11,BN$6,'CF(M)'!$L90:$EQ90)</f>
        <v>0</v>
      </c>
      <c r="BO85" s="168">
        <f>SUMIF('CF(M)'!$L$11:$EQ$11,BO$6,'CF(M)'!$L90:$EQ90)</f>
        <v>0</v>
      </c>
      <c r="BP85" s="168">
        <f>SUMIF('CF(M)'!$L$11:$EQ$11,BP$6,'CF(M)'!$L90:$EQ90)</f>
        <v>0</v>
      </c>
      <c r="BQ85" s="168">
        <f>SUMIF('CF(M)'!$L$11:$EQ$11,BQ$6,'CF(M)'!$L90:$EQ90)</f>
        <v>0</v>
      </c>
      <c r="BR85" s="168">
        <f>SUMIF('CF(M)'!$L$11:$EQ$11,BR$6,'CF(M)'!$L90:$EQ90)</f>
        <v>0</v>
      </c>
      <c r="BS85" s="168">
        <f>SUMIF('CF(M)'!$L$11:$EQ$11,BS$6,'CF(M)'!$L90:$EQ90)</f>
        <v>0</v>
      </c>
      <c r="BT85" s="168">
        <f>SUMIF('CF(M)'!$L$11:$EQ$11,BT$6,'CF(M)'!$L90:$EQ90)</f>
        <v>0</v>
      </c>
      <c r="BU85" s="168">
        <f>SUMIF('CF(M)'!$L$11:$EQ$11,BU$6,'CF(M)'!$L90:$EQ90)</f>
        <v>0</v>
      </c>
      <c r="BV85" s="168">
        <f>SUMIF('CF(M)'!$L$11:$EQ$11,BV$6,'CF(M)'!$L90:$EQ90)</f>
        <v>0</v>
      </c>
      <c r="BW85" s="168">
        <f>SUMIF('CF(M)'!$L$11:$EQ$11,BW$6,'CF(M)'!$L90:$EQ90)</f>
        <v>0</v>
      </c>
      <c r="BX85" s="168">
        <f>SUMIF('CF(M)'!$L$11:$EQ$11,BX$6,'CF(M)'!$L90:$EQ90)</f>
        <v>0</v>
      </c>
      <c r="BY85" s="168">
        <f>SUMIF('CF(M)'!$L$11:$EQ$11,BY$6,'CF(M)'!$L90:$EQ90)</f>
        <v>0</v>
      </c>
      <c r="BZ85" s="168">
        <f>SUMIF('CF(M)'!$L$11:$EQ$11,BZ$6,'CF(M)'!$L90:$EQ90)</f>
        <v>0</v>
      </c>
      <c r="CA85" s="168">
        <f>SUMIF('CF(M)'!$L$11:$EQ$11,CA$6,'CF(M)'!$L90:$EQ90)</f>
        <v>0</v>
      </c>
      <c r="CB85" s="168">
        <f>SUMIF('CF(M)'!$L$11:$EQ$11,CB$6,'CF(M)'!$L90:$EQ90)</f>
        <v>0</v>
      </c>
      <c r="CC85" s="168">
        <f>SUMIF('CF(M)'!$L$11:$EQ$11,CC$6,'CF(M)'!$L90:$EQ90)</f>
        <v>0</v>
      </c>
      <c r="CD85" s="168">
        <f>SUMIF('CF(M)'!$L$11:$EQ$11,CD$6,'CF(M)'!$L90:$EQ90)</f>
        <v>0</v>
      </c>
      <c r="CE85" s="168">
        <f>SUMIF('CF(M)'!$L$11:$EQ$11,CE$6,'CF(M)'!$L90:$EQ90)</f>
        <v>0</v>
      </c>
      <c r="CF85" s="168">
        <f>SUMIF('CF(M)'!$L$11:$EQ$11,CF$6,'CF(M)'!$L90:$EQ90)</f>
        <v>0</v>
      </c>
      <c r="CG85" s="168">
        <f>SUMIF('CF(M)'!$L$11:$EQ$11,CG$6,'CF(M)'!$L90:$EQ90)</f>
        <v>0</v>
      </c>
      <c r="CH85" s="168">
        <f>SUMIF('CF(M)'!$L$11:$EQ$11,CH$6,'CF(M)'!$L90:$EQ90)</f>
        <v>0</v>
      </c>
      <c r="CI85" s="168">
        <f>SUMIF('CF(M)'!$L$11:$EQ$11,CI$6,'CF(M)'!$L90:$EQ90)</f>
        <v>0</v>
      </c>
      <c r="CJ85" s="168">
        <f>SUMIF('CF(M)'!$L$11:$EQ$11,CJ$6,'CF(M)'!$L90:$EQ90)</f>
        <v>0</v>
      </c>
      <c r="CK85" s="168">
        <f>SUMIF('CF(M)'!$L$11:$EQ$11,CK$6,'CF(M)'!$L90:$EQ90)</f>
        <v>0</v>
      </c>
      <c r="CL85" s="168">
        <f>SUMIF('CF(M)'!$L$11:$EQ$11,CL$6,'CF(M)'!$L90:$EQ90)</f>
        <v>0</v>
      </c>
      <c r="CM85" s="168">
        <f>SUMIF('CF(M)'!$L$11:$EQ$11,CM$6,'CF(M)'!$L90:$EQ90)</f>
        <v>0</v>
      </c>
      <c r="CN85" s="168">
        <f>SUMIF('CF(M)'!$L$11:$EQ$11,CN$6,'CF(M)'!$L90:$EQ90)</f>
        <v>0</v>
      </c>
      <c r="CO85" s="168">
        <f>SUMIF('CF(M)'!$L$11:$EQ$11,CO$6,'CF(M)'!$L90:$EQ90)</f>
        <v>0</v>
      </c>
      <c r="CP85" s="168">
        <f>SUMIF('CF(M)'!$L$11:$EQ$11,CP$6,'CF(M)'!$L90:$EQ90)</f>
        <v>0</v>
      </c>
      <c r="CQ85" s="168">
        <f>SUMIF('CF(M)'!$L$11:$EQ$11,CQ$6,'CF(M)'!$L90:$EQ90)</f>
        <v>0</v>
      </c>
      <c r="CR85" s="168">
        <f>SUMIF('CF(M)'!$L$11:$EQ$11,CR$6,'CF(M)'!$L90:$EQ90)</f>
        <v>0</v>
      </c>
      <c r="CS85" s="168">
        <f>SUMIF('CF(M)'!$L$11:$EQ$11,CS$6,'CF(M)'!$L90:$EQ90)</f>
        <v>0</v>
      </c>
      <c r="CT85" s="168">
        <f>SUMIF('CF(M)'!$L$11:$EQ$11,CT$6,'CF(M)'!$L90:$EQ90)</f>
        <v>0</v>
      </c>
      <c r="CU85" s="168">
        <f>SUMIF('CF(M)'!$L$11:$EQ$11,CU$6,'CF(M)'!$L90:$EQ90)</f>
        <v>0</v>
      </c>
      <c r="CV85" s="168">
        <f>SUMIF('CF(M)'!$L$11:$EQ$11,CV$6,'CF(M)'!$L90:$EQ90)</f>
        <v>0</v>
      </c>
      <c r="CW85" s="168">
        <f>SUMIF('CF(M)'!$L$11:$EQ$11,CW$6,'CF(M)'!$L90:$EQ90)</f>
        <v>0</v>
      </c>
      <c r="CX85" s="168">
        <f>SUMIF('CF(M)'!$L$11:$EQ$11,CX$6,'CF(M)'!$L90:$EQ90)</f>
        <v>0</v>
      </c>
      <c r="CY85" s="168">
        <f>SUMIF('CF(M)'!$L$11:$EQ$11,CY$6,'CF(M)'!$L90:$EQ90)</f>
        <v>0</v>
      </c>
      <c r="CZ85" s="168">
        <f>SUMIF('CF(M)'!$L$11:$EQ$11,CZ$6,'CF(M)'!$L90:$EQ90)</f>
        <v>0</v>
      </c>
      <c r="DA85" s="168">
        <f>SUMIF('CF(M)'!$L$11:$EQ$11,DA$6,'CF(M)'!$L90:$EQ90)</f>
        <v>0</v>
      </c>
      <c r="DB85" s="168">
        <f>SUMIF('CF(M)'!$L$11:$EQ$11,DB$6,'CF(M)'!$L90:$EQ90)</f>
        <v>0</v>
      </c>
      <c r="DC85" s="168">
        <f>SUMIF('CF(M)'!$L$11:$EQ$11,DC$6,'CF(M)'!$L90:$EQ90)</f>
        <v>0</v>
      </c>
      <c r="DD85" s="168">
        <f>SUMIF('CF(M)'!$L$11:$EQ$11,DD$6,'CF(M)'!$L90:$EQ90)</f>
        <v>0</v>
      </c>
      <c r="DE85" s="168">
        <f>SUMIF('CF(M)'!$L$11:$EQ$11,DE$6,'CF(M)'!$L90:$EQ90)</f>
        <v>0</v>
      </c>
      <c r="DF85" s="168">
        <f>SUMIF('CF(M)'!$L$11:$EQ$11,DF$6,'CF(M)'!$L90:$EQ90)</f>
        <v>0</v>
      </c>
      <c r="DG85" s="168">
        <f>SUMIF('CF(M)'!$L$11:$EQ$11,DG$6,'CF(M)'!$L90:$EQ90)</f>
        <v>0</v>
      </c>
      <c r="DH85" s="168">
        <f>SUMIF('CF(M)'!$L$11:$EQ$11,DH$6,'CF(M)'!$L90:$EQ90)</f>
        <v>0</v>
      </c>
      <c r="DI85" s="168">
        <f>SUMIF('CF(M)'!$L$11:$EQ$11,DI$6,'CF(M)'!$L90:$EQ90)</f>
        <v>0</v>
      </c>
      <c r="DJ85" s="168">
        <f>SUMIF('CF(M)'!$L$11:$EQ$11,DJ$6,'CF(M)'!$L90:$EQ90)</f>
        <v>0</v>
      </c>
      <c r="DK85" s="168">
        <f>SUMIF('CF(M)'!$L$11:$EQ$11,DK$6,'CF(M)'!$L90:$EQ90)</f>
        <v>0</v>
      </c>
      <c r="DL85" s="168">
        <f>SUMIF('CF(M)'!$L$11:$EQ$11,DL$6,'CF(M)'!$L90:$EQ90)</f>
        <v>0</v>
      </c>
      <c r="DM85" s="168">
        <f>SUMIF('CF(M)'!$L$11:$EQ$11,DM$6,'CF(M)'!$L90:$EQ90)</f>
        <v>0</v>
      </c>
      <c r="DN85" s="168">
        <f>SUMIF('CF(M)'!$L$11:$EQ$11,DN$6,'CF(M)'!$L90:$EQ90)</f>
        <v>0</v>
      </c>
      <c r="DO85" s="168">
        <f>SUMIF('CF(M)'!$L$11:$EQ$11,DO$6,'CF(M)'!$L90:$EQ90)</f>
        <v>0</v>
      </c>
      <c r="DP85" s="168">
        <f>SUMIF('CF(M)'!$L$11:$EQ$11,DP$6,'CF(M)'!$L90:$EQ90)</f>
        <v>0</v>
      </c>
      <c r="DQ85" s="168">
        <f>SUMIF('CF(M)'!$L$11:$EQ$11,DQ$6,'CF(M)'!$L90:$EQ90)</f>
        <v>0</v>
      </c>
      <c r="DR85" s="168">
        <f>SUMIF('CF(M)'!$L$11:$EQ$11,DR$6,'CF(M)'!$L90:$EQ90)</f>
        <v>0</v>
      </c>
      <c r="DS85" s="168">
        <f>SUMIF('CF(M)'!$L$11:$EQ$11,DS$6,'CF(M)'!$L90:$EQ90)</f>
        <v>0</v>
      </c>
      <c r="DT85" s="168">
        <f>SUMIF('CF(M)'!$L$11:$EQ$11,DT$6,'CF(M)'!$L90:$EQ90)</f>
        <v>0</v>
      </c>
      <c r="DU85" s="168">
        <f>SUMIF('CF(M)'!$L$11:$EQ$11,DU$6,'CF(M)'!$L90:$EQ90)</f>
        <v>0</v>
      </c>
      <c r="DV85" s="168">
        <f>SUMIF('CF(M)'!$L$11:$EQ$11,DV$6,'CF(M)'!$L90:$EQ90)</f>
        <v>0</v>
      </c>
    </row>
    <row r="86" spans="2:126" ht="11.25" customHeight="1">
      <c r="B86" s="218"/>
      <c r="C86" s="163"/>
      <c r="D86" s="169" t="s">
        <v>209</v>
      </c>
      <c r="H86" s="146"/>
      <c r="I86" s="229"/>
      <c r="J86" s="171">
        <f>SUM(L86:DV86)</f>
        <v>0</v>
      </c>
      <c r="K86" s="98"/>
      <c r="L86" s="171">
        <f>SUMIF('CF(M)'!$L$11:$EQ$11,L$6,'CF(M)'!$L91:$EQ91)</f>
        <v>0</v>
      </c>
      <c r="M86" s="171">
        <f>SUMIF('CF(M)'!$L$11:$EQ$11,M$6,'CF(M)'!$L91:$EQ91)</f>
        <v>0</v>
      </c>
      <c r="N86" s="171">
        <f>SUMIF('CF(M)'!$L$11:$EQ$11,N$6,'CF(M)'!$L91:$EQ91)</f>
        <v>0</v>
      </c>
      <c r="O86" s="171">
        <f>SUMIF('CF(M)'!$L$11:$EQ$11,O$6,'CF(M)'!$L91:$EQ91)</f>
        <v>0</v>
      </c>
      <c r="P86" s="171">
        <f>SUMIF('CF(M)'!$L$11:$EQ$11,P$6,'CF(M)'!$L91:$EQ91)</f>
        <v>0</v>
      </c>
      <c r="Q86" s="171">
        <f>SUMIF('CF(M)'!$L$11:$EQ$11,Q$6,'CF(M)'!$L91:$EQ91)</f>
        <v>0</v>
      </c>
      <c r="R86" s="171">
        <f>SUMIF('CF(M)'!$L$11:$EQ$11,R$6,'CF(M)'!$L91:$EQ91)</f>
        <v>0</v>
      </c>
      <c r="S86" s="171">
        <f>SUMIF('CF(M)'!$L$11:$EQ$11,S$6,'CF(M)'!$L91:$EQ91)</f>
        <v>0</v>
      </c>
      <c r="T86" s="171">
        <f>SUMIF('CF(M)'!$L$11:$EQ$11,T$6,'CF(M)'!$L91:$EQ91)</f>
        <v>0</v>
      </c>
      <c r="U86" s="171">
        <f>SUMIF('CF(M)'!$L$11:$EQ$11,U$6,'CF(M)'!$L91:$EQ91)</f>
        <v>0</v>
      </c>
      <c r="V86" s="171">
        <f>SUMIF('CF(M)'!$L$11:$EQ$11,V$6,'CF(M)'!$L91:$EQ91)</f>
        <v>0</v>
      </c>
      <c r="W86" s="171">
        <f>SUMIF('CF(M)'!$L$11:$EQ$11,W$6,'CF(M)'!$L91:$EQ91)</f>
        <v>0</v>
      </c>
      <c r="X86" s="171">
        <f>SUMIF('CF(M)'!$L$11:$EQ$11,X$6,'CF(M)'!$L91:$EQ91)</f>
        <v>0</v>
      </c>
      <c r="Y86" s="171">
        <f>SUMIF('CF(M)'!$L$11:$EQ$11,Y$6,'CF(M)'!$L91:$EQ91)</f>
        <v>0</v>
      </c>
      <c r="Z86" s="171">
        <f>SUMIF('CF(M)'!$L$11:$EQ$11,Z$6,'CF(M)'!$L91:$EQ91)</f>
        <v>0</v>
      </c>
      <c r="AA86" s="171">
        <f>SUMIF('CF(M)'!$L$11:$EQ$11,AA$6,'CF(M)'!$L91:$EQ91)</f>
        <v>0</v>
      </c>
      <c r="AB86" s="171">
        <f>SUMIF('CF(M)'!$L$11:$EQ$11,AB$6,'CF(M)'!$L91:$EQ91)</f>
        <v>0</v>
      </c>
      <c r="AC86" s="171">
        <f>SUMIF('CF(M)'!$L$11:$EQ$11,AC$6,'CF(M)'!$L91:$EQ91)</f>
        <v>0</v>
      </c>
      <c r="AD86" s="171">
        <f>SUMIF('CF(M)'!$L$11:$EQ$11,AD$6,'CF(M)'!$L91:$EQ91)</f>
        <v>0</v>
      </c>
      <c r="AE86" s="171">
        <f>SUMIF('CF(M)'!$L$11:$EQ$11,AE$6,'CF(M)'!$L91:$EQ91)</f>
        <v>0</v>
      </c>
      <c r="AF86" s="171">
        <f>SUMIF('CF(M)'!$L$11:$EQ$11,AF$6,'CF(M)'!$L91:$EQ91)</f>
        <v>0</v>
      </c>
      <c r="AG86" s="171">
        <f>SUMIF('CF(M)'!$L$11:$EQ$11,AG$6,'CF(M)'!$L91:$EQ91)</f>
        <v>0</v>
      </c>
      <c r="AH86" s="171">
        <f>SUMIF('CF(M)'!$L$11:$EQ$11,AH$6,'CF(M)'!$L91:$EQ91)</f>
        <v>0</v>
      </c>
      <c r="AI86" s="171">
        <f>SUMIF('CF(M)'!$L$11:$EQ$11,AI$6,'CF(M)'!$L91:$EQ91)</f>
        <v>0</v>
      </c>
      <c r="AJ86" s="171">
        <f>SUMIF('CF(M)'!$L$11:$EQ$11,AJ$6,'CF(M)'!$L91:$EQ91)</f>
        <v>0</v>
      </c>
      <c r="AK86" s="171">
        <f>SUMIF('CF(M)'!$L$11:$EQ$11,AK$6,'CF(M)'!$L91:$EQ91)</f>
        <v>0</v>
      </c>
      <c r="AL86" s="171">
        <f>SUMIF('CF(M)'!$L$11:$EQ$11,AL$6,'CF(M)'!$L91:$EQ91)</f>
        <v>0</v>
      </c>
      <c r="AM86" s="171">
        <f>SUMIF('CF(M)'!$L$11:$EQ$11,AM$6,'CF(M)'!$L91:$EQ91)</f>
        <v>0</v>
      </c>
      <c r="AN86" s="171">
        <f>SUMIF('CF(M)'!$L$11:$EQ$11,AN$6,'CF(M)'!$L91:$EQ91)</f>
        <v>0</v>
      </c>
      <c r="AO86" s="171">
        <f>SUMIF('CF(M)'!$L$11:$EQ$11,AO$6,'CF(M)'!$L91:$EQ91)</f>
        <v>0</v>
      </c>
      <c r="AP86" s="171">
        <f>SUMIF('CF(M)'!$L$11:$EQ$11,AP$6,'CF(M)'!$L91:$EQ91)</f>
        <v>0</v>
      </c>
      <c r="AQ86" s="171">
        <f>SUMIF('CF(M)'!$L$11:$EQ$11,AQ$6,'CF(M)'!$L91:$EQ91)</f>
        <v>0</v>
      </c>
      <c r="AR86" s="171">
        <f>SUMIF('CF(M)'!$L$11:$EQ$11,AR$6,'CF(M)'!$L91:$EQ91)</f>
        <v>0</v>
      </c>
      <c r="AS86" s="171">
        <f>SUMIF('CF(M)'!$L$11:$EQ$11,AS$6,'CF(M)'!$L91:$EQ91)</f>
        <v>0</v>
      </c>
      <c r="AT86" s="171">
        <f>SUMIF('CF(M)'!$L$11:$EQ$11,AT$6,'CF(M)'!$L91:$EQ91)</f>
        <v>0</v>
      </c>
      <c r="AU86" s="171">
        <f>SUMIF('CF(M)'!$L$11:$EQ$11,AU$6,'CF(M)'!$L91:$EQ91)</f>
        <v>0</v>
      </c>
      <c r="AV86" s="171">
        <f>SUMIF('CF(M)'!$L$11:$EQ$11,AV$6,'CF(M)'!$L91:$EQ91)</f>
        <v>0</v>
      </c>
      <c r="AW86" s="171">
        <f>SUMIF('CF(M)'!$L$11:$EQ$11,AW$6,'CF(M)'!$L91:$EQ91)</f>
        <v>0</v>
      </c>
      <c r="AX86" s="171">
        <f>SUMIF('CF(M)'!$L$11:$EQ$11,AX$6,'CF(M)'!$L91:$EQ91)</f>
        <v>0</v>
      </c>
      <c r="AY86" s="171">
        <f>SUMIF('CF(M)'!$L$11:$EQ$11,AY$6,'CF(M)'!$L91:$EQ91)</f>
        <v>0</v>
      </c>
      <c r="AZ86" s="171">
        <f>SUMIF('CF(M)'!$L$11:$EQ$11,AZ$6,'CF(M)'!$L91:$EQ91)</f>
        <v>0</v>
      </c>
      <c r="BA86" s="171">
        <f>SUMIF('CF(M)'!$L$11:$EQ$11,BA$6,'CF(M)'!$L91:$EQ91)</f>
        <v>0</v>
      </c>
      <c r="BB86" s="171">
        <f>SUMIF('CF(M)'!$L$11:$EQ$11,BB$6,'CF(M)'!$L91:$EQ91)</f>
        <v>0</v>
      </c>
      <c r="BC86" s="171">
        <f>SUMIF('CF(M)'!$L$11:$EQ$11,BC$6,'CF(M)'!$L91:$EQ91)</f>
        <v>0</v>
      </c>
      <c r="BD86" s="171">
        <f>SUMIF('CF(M)'!$L$11:$EQ$11,BD$6,'CF(M)'!$L91:$EQ91)</f>
        <v>0</v>
      </c>
      <c r="BE86" s="171">
        <f>SUMIF('CF(M)'!$L$11:$EQ$11,BE$6,'CF(M)'!$L91:$EQ91)</f>
        <v>0</v>
      </c>
      <c r="BF86" s="171">
        <f>SUMIF('CF(M)'!$L$11:$EQ$11,BF$6,'CF(M)'!$L91:$EQ91)</f>
        <v>0</v>
      </c>
      <c r="BG86" s="171">
        <f>SUMIF('CF(M)'!$L$11:$EQ$11,BG$6,'CF(M)'!$L91:$EQ91)</f>
        <v>0</v>
      </c>
      <c r="BH86" s="171">
        <f>SUMIF('CF(M)'!$L$11:$EQ$11,BH$6,'CF(M)'!$L91:$EQ91)</f>
        <v>0</v>
      </c>
      <c r="BI86" s="171">
        <f>SUMIF('CF(M)'!$L$11:$EQ$11,BI$6,'CF(M)'!$L91:$EQ91)</f>
        <v>0</v>
      </c>
      <c r="BJ86" s="171">
        <f>SUMIF('CF(M)'!$L$11:$EQ$11,BJ$6,'CF(M)'!$L91:$EQ91)</f>
        <v>0</v>
      </c>
      <c r="BK86" s="171">
        <f>SUMIF('CF(M)'!$L$11:$EQ$11,BK$6,'CF(M)'!$L91:$EQ91)</f>
        <v>0</v>
      </c>
      <c r="BL86" s="171">
        <f>SUMIF('CF(M)'!$L$11:$EQ$11,BL$6,'CF(M)'!$L91:$EQ91)</f>
        <v>0</v>
      </c>
      <c r="BM86" s="171">
        <f>SUMIF('CF(M)'!$L$11:$EQ$11,BM$6,'CF(M)'!$L91:$EQ91)</f>
        <v>0</v>
      </c>
      <c r="BN86" s="171">
        <f>SUMIF('CF(M)'!$L$11:$EQ$11,BN$6,'CF(M)'!$L91:$EQ91)</f>
        <v>0</v>
      </c>
      <c r="BO86" s="171">
        <f>SUMIF('CF(M)'!$L$11:$EQ$11,BO$6,'CF(M)'!$L91:$EQ91)</f>
        <v>0</v>
      </c>
      <c r="BP86" s="171">
        <f>SUMIF('CF(M)'!$L$11:$EQ$11,BP$6,'CF(M)'!$L91:$EQ91)</f>
        <v>0</v>
      </c>
      <c r="BQ86" s="171">
        <f>SUMIF('CF(M)'!$L$11:$EQ$11,BQ$6,'CF(M)'!$L91:$EQ91)</f>
        <v>0</v>
      </c>
      <c r="BR86" s="171">
        <f>SUMIF('CF(M)'!$L$11:$EQ$11,BR$6,'CF(M)'!$L91:$EQ91)</f>
        <v>0</v>
      </c>
      <c r="BS86" s="171">
        <f>SUMIF('CF(M)'!$L$11:$EQ$11,BS$6,'CF(M)'!$L91:$EQ91)</f>
        <v>0</v>
      </c>
      <c r="BT86" s="171">
        <f>SUMIF('CF(M)'!$L$11:$EQ$11,BT$6,'CF(M)'!$L91:$EQ91)</f>
        <v>0</v>
      </c>
      <c r="BU86" s="171">
        <f>SUMIF('CF(M)'!$L$11:$EQ$11,BU$6,'CF(M)'!$L91:$EQ91)</f>
        <v>0</v>
      </c>
      <c r="BV86" s="171">
        <f>SUMIF('CF(M)'!$L$11:$EQ$11,BV$6,'CF(M)'!$L91:$EQ91)</f>
        <v>0</v>
      </c>
      <c r="BW86" s="171">
        <f>SUMIF('CF(M)'!$L$11:$EQ$11,BW$6,'CF(M)'!$L91:$EQ91)</f>
        <v>0</v>
      </c>
      <c r="BX86" s="171">
        <f>SUMIF('CF(M)'!$L$11:$EQ$11,BX$6,'CF(M)'!$L91:$EQ91)</f>
        <v>0</v>
      </c>
      <c r="BY86" s="171">
        <f>SUMIF('CF(M)'!$L$11:$EQ$11,BY$6,'CF(M)'!$L91:$EQ91)</f>
        <v>0</v>
      </c>
      <c r="BZ86" s="171">
        <f>SUMIF('CF(M)'!$L$11:$EQ$11,BZ$6,'CF(M)'!$L91:$EQ91)</f>
        <v>0</v>
      </c>
      <c r="CA86" s="171">
        <f>SUMIF('CF(M)'!$L$11:$EQ$11,CA$6,'CF(M)'!$L91:$EQ91)</f>
        <v>0</v>
      </c>
      <c r="CB86" s="171">
        <f>SUMIF('CF(M)'!$L$11:$EQ$11,CB$6,'CF(M)'!$L91:$EQ91)</f>
        <v>0</v>
      </c>
      <c r="CC86" s="171">
        <f>SUMIF('CF(M)'!$L$11:$EQ$11,CC$6,'CF(M)'!$L91:$EQ91)</f>
        <v>0</v>
      </c>
      <c r="CD86" s="171">
        <f>SUMIF('CF(M)'!$L$11:$EQ$11,CD$6,'CF(M)'!$L91:$EQ91)</f>
        <v>0</v>
      </c>
      <c r="CE86" s="171">
        <f>SUMIF('CF(M)'!$L$11:$EQ$11,CE$6,'CF(M)'!$L91:$EQ91)</f>
        <v>0</v>
      </c>
      <c r="CF86" s="171">
        <f>SUMIF('CF(M)'!$L$11:$EQ$11,CF$6,'CF(M)'!$L91:$EQ91)</f>
        <v>0</v>
      </c>
      <c r="CG86" s="171">
        <f>SUMIF('CF(M)'!$L$11:$EQ$11,CG$6,'CF(M)'!$L91:$EQ91)</f>
        <v>0</v>
      </c>
      <c r="CH86" s="171">
        <f>SUMIF('CF(M)'!$L$11:$EQ$11,CH$6,'CF(M)'!$L91:$EQ91)</f>
        <v>0</v>
      </c>
      <c r="CI86" s="171">
        <f>SUMIF('CF(M)'!$L$11:$EQ$11,CI$6,'CF(M)'!$L91:$EQ91)</f>
        <v>0</v>
      </c>
      <c r="CJ86" s="171">
        <f>SUMIF('CF(M)'!$L$11:$EQ$11,CJ$6,'CF(M)'!$L91:$EQ91)</f>
        <v>0</v>
      </c>
      <c r="CK86" s="171">
        <f>SUMIF('CF(M)'!$L$11:$EQ$11,CK$6,'CF(M)'!$L91:$EQ91)</f>
        <v>0</v>
      </c>
      <c r="CL86" s="171">
        <f>SUMIF('CF(M)'!$L$11:$EQ$11,CL$6,'CF(M)'!$L91:$EQ91)</f>
        <v>0</v>
      </c>
      <c r="CM86" s="171">
        <f>SUMIF('CF(M)'!$L$11:$EQ$11,CM$6,'CF(M)'!$L91:$EQ91)</f>
        <v>0</v>
      </c>
      <c r="CN86" s="171">
        <f>SUMIF('CF(M)'!$L$11:$EQ$11,CN$6,'CF(M)'!$L91:$EQ91)</f>
        <v>0</v>
      </c>
      <c r="CO86" s="171">
        <f>SUMIF('CF(M)'!$L$11:$EQ$11,CO$6,'CF(M)'!$L91:$EQ91)</f>
        <v>0</v>
      </c>
      <c r="CP86" s="171">
        <f>SUMIF('CF(M)'!$L$11:$EQ$11,CP$6,'CF(M)'!$L91:$EQ91)</f>
        <v>0</v>
      </c>
      <c r="CQ86" s="171">
        <f>SUMIF('CF(M)'!$L$11:$EQ$11,CQ$6,'CF(M)'!$L91:$EQ91)</f>
        <v>0</v>
      </c>
      <c r="CR86" s="171">
        <f>SUMIF('CF(M)'!$L$11:$EQ$11,CR$6,'CF(M)'!$L91:$EQ91)</f>
        <v>0</v>
      </c>
      <c r="CS86" s="171">
        <f>SUMIF('CF(M)'!$L$11:$EQ$11,CS$6,'CF(M)'!$L91:$EQ91)</f>
        <v>0</v>
      </c>
      <c r="CT86" s="171">
        <f>SUMIF('CF(M)'!$L$11:$EQ$11,CT$6,'CF(M)'!$L91:$EQ91)</f>
        <v>0</v>
      </c>
      <c r="CU86" s="171">
        <f>SUMIF('CF(M)'!$L$11:$EQ$11,CU$6,'CF(M)'!$L91:$EQ91)</f>
        <v>0</v>
      </c>
      <c r="CV86" s="171">
        <f>SUMIF('CF(M)'!$L$11:$EQ$11,CV$6,'CF(M)'!$L91:$EQ91)</f>
        <v>0</v>
      </c>
      <c r="CW86" s="171">
        <f>SUMIF('CF(M)'!$L$11:$EQ$11,CW$6,'CF(M)'!$L91:$EQ91)</f>
        <v>0</v>
      </c>
      <c r="CX86" s="171">
        <f>SUMIF('CF(M)'!$L$11:$EQ$11,CX$6,'CF(M)'!$L91:$EQ91)</f>
        <v>0</v>
      </c>
      <c r="CY86" s="171">
        <f>SUMIF('CF(M)'!$L$11:$EQ$11,CY$6,'CF(M)'!$L91:$EQ91)</f>
        <v>0</v>
      </c>
      <c r="CZ86" s="171">
        <f>SUMIF('CF(M)'!$L$11:$EQ$11,CZ$6,'CF(M)'!$L91:$EQ91)</f>
        <v>0</v>
      </c>
      <c r="DA86" s="171">
        <f>SUMIF('CF(M)'!$L$11:$EQ$11,DA$6,'CF(M)'!$L91:$EQ91)</f>
        <v>0</v>
      </c>
      <c r="DB86" s="171">
        <f>SUMIF('CF(M)'!$L$11:$EQ$11,DB$6,'CF(M)'!$L91:$EQ91)</f>
        <v>0</v>
      </c>
      <c r="DC86" s="171">
        <f>SUMIF('CF(M)'!$L$11:$EQ$11,DC$6,'CF(M)'!$L91:$EQ91)</f>
        <v>0</v>
      </c>
      <c r="DD86" s="171">
        <f>SUMIF('CF(M)'!$L$11:$EQ$11,DD$6,'CF(M)'!$L91:$EQ91)</f>
        <v>0</v>
      </c>
      <c r="DE86" s="171">
        <f>SUMIF('CF(M)'!$L$11:$EQ$11,DE$6,'CF(M)'!$L91:$EQ91)</f>
        <v>0</v>
      </c>
      <c r="DF86" s="171">
        <f>SUMIF('CF(M)'!$L$11:$EQ$11,DF$6,'CF(M)'!$L91:$EQ91)</f>
        <v>0</v>
      </c>
      <c r="DG86" s="171">
        <f>SUMIF('CF(M)'!$L$11:$EQ$11,DG$6,'CF(M)'!$L91:$EQ91)</f>
        <v>0</v>
      </c>
      <c r="DH86" s="171">
        <f>SUMIF('CF(M)'!$L$11:$EQ$11,DH$6,'CF(M)'!$L91:$EQ91)</f>
        <v>0</v>
      </c>
      <c r="DI86" s="171">
        <f>SUMIF('CF(M)'!$L$11:$EQ$11,DI$6,'CF(M)'!$L91:$EQ91)</f>
        <v>0</v>
      </c>
      <c r="DJ86" s="171">
        <f>SUMIF('CF(M)'!$L$11:$EQ$11,DJ$6,'CF(M)'!$L91:$EQ91)</f>
        <v>0</v>
      </c>
      <c r="DK86" s="171">
        <f>SUMIF('CF(M)'!$L$11:$EQ$11,DK$6,'CF(M)'!$L91:$EQ91)</f>
        <v>0</v>
      </c>
      <c r="DL86" s="171">
        <f>SUMIF('CF(M)'!$L$11:$EQ$11,DL$6,'CF(M)'!$L91:$EQ91)</f>
        <v>0</v>
      </c>
      <c r="DM86" s="171">
        <f>SUMIF('CF(M)'!$L$11:$EQ$11,DM$6,'CF(M)'!$L91:$EQ91)</f>
        <v>0</v>
      </c>
      <c r="DN86" s="171">
        <f>SUMIF('CF(M)'!$L$11:$EQ$11,DN$6,'CF(M)'!$L91:$EQ91)</f>
        <v>0</v>
      </c>
      <c r="DO86" s="171">
        <f>SUMIF('CF(M)'!$L$11:$EQ$11,DO$6,'CF(M)'!$L91:$EQ91)</f>
        <v>0</v>
      </c>
      <c r="DP86" s="171">
        <f>SUMIF('CF(M)'!$L$11:$EQ$11,DP$6,'CF(M)'!$L91:$EQ91)</f>
        <v>0</v>
      </c>
      <c r="DQ86" s="171">
        <f>SUMIF('CF(M)'!$L$11:$EQ$11,DQ$6,'CF(M)'!$L91:$EQ91)</f>
        <v>0</v>
      </c>
      <c r="DR86" s="171">
        <f>SUMIF('CF(M)'!$L$11:$EQ$11,DR$6,'CF(M)'!$L91:$EQ91)</f>
        <v>0</v>
      </c>
      <c r="DS86" s="171">
        <f>SUMIF('CF(M)'!$L$11:$EQ$11,DS$6,'CF(M)'!$L91:$EQ91)</f>
        <v>0</v>
      </c>
      <c r="DT86" s="171">
        <f>SUMIF('CF(M)'!$L$11:$EQ$11,DT$6,'CF(M)'!$L91:$EQ91)</f>
        <v>0</v>
      </c>
      <c r="DU86" s="171">
        <f>SUMIF('CF(M)'!$L$11:$EQ$11,DU$6,'CF(M)'!$L91:$EQ91)</f>
        <v>0</v>
      </c>
      <c r="DV86" s="171">
        <f>SUMIF('CF(M)'!$L$11:$EQ$11,DV$6,'CF(M)'!$L91:$EQ91)</f>
        <v>0</v>
      </c>
    </row>
    <row r="87" spans="2:126" ht="11.25" customHeight="1">
      <c r="B87" s="218"/>
      <c r="C87" s="158" t="s">
        <v>210</v>
      </c>
      <c r="D87" s="159"/>
      <c r="E87" s="159"/>
      <c r="F87" s="159"/>
      <c r="G87" s="159"/>
      <c r="H87" s="160"/>
      <c r="I87" s="219"/>
      <c r="J87" s="220">
        <f>SUM(J88:J89)</f>
        <v>0</v>
      </c>
      <c r="K87" s="98"/>
      <c r="L87" s="162">
        <f>SUM(L88:L89)</f>
        <v>12856669.630531998</v>
      </c>
      <c r="M87" s="162">
        <f t="shared" ref="M87:BX87" si="46">SUM(M88:M89)</f>
        <v>-12856669.630531998</v>
      </c>
      <c r="N87" s="162">
        <f t="shared" si="46"/>
        <v>0</v>
      </c>
      <c r="O87" s="162">
        <f t="shared" si="46"/>
        <v>0</v>
      </c>
      <c r="P87" s="162">
        <f t="shared" si="46"/>
        <v>0</v>
      </c>
      <c r="Q87" s="162">
        <f t="shared" si="46"/>
        <v>0</v>
      </c>
      <c r="R87" s="162">
        <f t="shared" si="46"/>
        <v>0</v>
      </c>
      <c r="S87" s="162">
        <f t="shared" si="46"/>
        <v>0</v>
      </c>
      <c r="T87" s="162">
        <f t="shared" si="46"/>
        <v>0</v>
      </c>
      <c r="U87" s="162">
        <f t="shared" si="46"/>
        <v>0</v>
      </c>
      <c r="V87" s="162">
        <f t="shared" si="46"/>
        <v>0</v>
      </c>
      <c r="W87" s="162">
        <f t="shared" si="46"/>
        <v>0</v>
      </c>
      <c r="X87" s="162">
        <f t="shared" si="46"/>
        <v>0</v>
      </c>
      <c r="Y87" s="162">
        <f t="shared" si="46"/>
        <v>0</v>
      </c>
      <c r="Z87" s="162">
        <f t="shared" si="46"/>
        <v>0</v>
      </c>
      <c r="AA87" s="162">
        <f t="shared" si="46"/>
        <v>0</v>
      </c>
      <c r="AB87" s="162">
        <f t="shared" si="46"/>
        <v>0</v>
      </c>
      <c r="AC87" s="162">
        <f t="shared" si="46"/>
        <v>0</v>
      </c>
      <c r="AD87" s="162">
        <f t="shared" si="46"/>
        <v>0</v>
      </c>
      <c r="AE87" s="162">
        <f t="shared" si="46"/>
        <v>0</v>
      </c>
      <c r="AF87" s="162">
        <f t="shared" si="46"/>
        <v>0</v>
      </c>
      <c r="AG87" s="162">
        <f t="shared" si="46"/>
        <v>0</v>
      </c>
      <c r="AH87" s="162">
        <f t="shared" si="46"/>
        <v>0</v>
      </c>
      <c r="AI87" s="162">
        <f t="shared" si="46"/>
        <v>0</v>
      </c>
      <c r="AJ87" s="162">
        <f t="shared" si="46"/>
        <v>0</v>
      </c>
      <c r="AK87" s="162">
        <f t="shared" si="46"/>
        <v>0</v>
      </c>
      <c r="AL87" s="162">
        <f t="shared" si="46"/>
        <v>0</v>
      </c>
      <c r="AM87" s="162">
        <f t="shared" si="46"/>
        <v>0</v>
      </c>
      <c r="AN87" s="162">
        <f t="shared" si="46"/>
        <v>0</v>
      </c>
      <c r="AO87" s="162">
        <f t="shared" si="46"/>
        <v>0</v>
      </c>
      <c r="AP87" s="162">
        <f t="shared" si="46"/>
        <v>0</v>
      </c>
      <c r="AQ87" s="162">
        <f t="shared" si="46"/>
        <v>0</v>
      </c>
      <c r="AR87" s="162">
        <f t="shared" si="46"/>
        <v>0</v>
      </c>
      <c r="AS87" s="162">
        <f t="shared" si="46"/>
        <v>0</v>
      </c>
      <c r="AT87" s="162">
        <f t="shared" si="46"/>
        <v>0</v>
      </c>
      <c r="AU87" s="162">
        <f t="shared" si="46"/>
        <v>0</v>
      </c>
      <c r="AV87" s="162">
        <f t="shared" si="46"/>
        <v>0</v>
      </c>
      <c r="AW87" s="162">
        <f t="shared" si="46"/>
        <v>0</v>
      </c>
      <c r="AX87" s="162">
        <f t="shared" si="46"/>
        <v>0</v>
      </c>
      <c r="AY87" s="162">
        <f t="shared" si="46"/>
        <v>0</v>
      </c>
      <c r="AZ87" s="162">
        <f t="shared" si="46"/>
        <v>0</v>
      </c>
      <c r="BA87" s="162">
        <f t="shared" si="46"/>
        <v>0</v>
      </c>
      <c r="BB87" s="162">
        <f t="shared" si="46"/>
        <v>0</v>
      </c>
      <c r="BC87" s="162">
        <f t="shared" si="46"/>
        <v>0</v>
      </c>
      <c r="BD87" s="162">
        <f t="shared" si="46"/>
        <v>0</v>
      </c>
      <c r="BE87" s="162">
        <f t="shared" si="46"/>
        <v>0</v>
      </c>
      <c r="BF87" s="162">
        <f t="shared" si="46"/>
        <v>0</v>
      </c>
      <c r="BG87" s="162">
        <f t="shared" si="46"/>
        <v>0</v>
      </c>
      <c r="BH87" s="162">
        <f t="shared" si="46"/>
        <v>0</v>
      </c>
      <c r="BI87" s="162">
        <f t="shared" si="46"/>
        <v>0</v>
      </c>
      <c r="BJ87" s="162">
        <f t="shared" si="46"/>
        <v>0</v>
      </c>
      <c r="BK87" s="162">
        <f t="shared" si="46"/>
        <v>0</v>
      </c>
      <c r="BL87" s="162">
        <f t="shared" si="46"/>
        <v>0</v>
      </c>
      <c r="BM87" s="162">
        <f t="shared" si="46"/>
        <v>0</v>
      </c>
      <c r="BN87" s="162">
        <f t="shared" si="46"/>
        <v>0</v>
      </c>
      <c r="BO87" s="162">
        <f t="shared" si="46"/>
        <v>0</v>
      </c>
      <c r="BP87" s="162">
        <f t="shared" si="46"/>
        <v>0</v>
      </c>
      <c r="BQ87" s="162">
        <f t="shared" si="46"/>
        <v>0</v>
      </c>
      <c r="BR87" s="162">
        <f t="shared" si="46"/>
        <v>0</v>
      </c>
      <c r="BS87" s="162">
        <f t="shared" si="46"/>
        <v>0</v>
      </c>
      <c r="BT87" s="162">
        <f t="shared" si="46"/>
        <v>0</v>
      </c>
      <c r="BU87" s="162">
        <f t="shared" si="46"/>
        <v>0</v>
      </c>
      <c r="BV87" s="162">
        <f t="shared" si="46"/>
        <v>0</v>
      </c>
      <c r="BW87" s="162">
        <f t="shared" si="46"/>
        <v>0</v>
      </c>
      <c r="BX87" s="162">
        <f t="shared" si="46"/>
        <v>0</v>
      </c>
      <c r="BY87" s="162">
        <f t="shared" ref="BY87:DV87" si="47">SUM(BY88:BY89)</f>
        <v>0</v>
      </c>
      <c r="BZ87" s="162">
        <f t="shared" si="47"/>
        <v>0</v>
      </c>
      <c r="CA87" s="162">
        <f t="shared" si="47"/>
        <v>0</v>
      </c>
      <c r="CB87" s="162">
        <f t="shared" si="47"/>
        <v>0</v>
      </c>
      <c r="CC87" s="162">
        <f t="shared" si="47"/>
        <v>0</v>
      </c>
      <c r="CD87" s="162">
        <f t="shared" si="47"/>
        <v>0</v>
      </c>
      <c r="CE87" s="162">
        <f t="shared" si="47"/>
        <v>0</v>
      </c>
      <c r="CF87" s="162">
        <f t="shared" si="47"/>
        <v>0</v>
      </c>
      <c r="CG87" s="162">
        <f t="shared" si="47"/>
        <v>0</v>
      </c>
      <c r="CH87" s="162">
        <f t="shared" si="47"/>
        <v>0</v>
      </c>
      <c r="CI87" s="162">
        <f t="shared" si="47"/>
        <v>0</v>
      </c>
      <c r="CJ87" s="162">
        <f t="shared" si="47"/>
        <v>0</v>
      </c>
      <c r="CK87" s="162">
        <f t="shared" si="47"/>
        <v>0</v>
      </c>
      <c r="CL87" s="162">
        <f t="shared" si="47"/>
        <v>0</v>
      </c>
      <c r="CM87" s="162">
        <f t="shared" si="47"/>
        <v>0</v>
      </c>
      <c r="CN87" s="162">
        <f t="shared" si="47"/>
        <v>0</v>
      </c>
      <c r="CO87" s="162">
        <f t="shared" si="47"/>
        <v>0</v>
      </c>
      <c r="CP87" s="162">
        <f t="shared" si="47"/>
        <v>0</v>
      </c>
      <c r="CQ87" s="162">
        <f t="shared" si="47"/>
        <v>0</v>
      </c>
      <c r="CR87" s="162">
        <f t="shared" si="47"/>
        <v>0</v>
      </c>
      <c r="CS87" s="162">
        <f t="shared" si="47"/>
        <v>0</v>
      </c>
      <c r="CT87" s="162">
        <f t="shared" si="47"/>
        <v>0</v>
      </c>
      <c r="CU87" s="162">
        <f t="shared" si="47"/>
        <v>0</v>
      </c>
      <c r="CV87" s="162">
        <f t="shared" si="47"/>
        <v>0</v>
      </c>
      <c r="CW87" s="162">
        <f t="shared" si="47"/>
        <v>0</v>
      </c>
      <c r="CX87" s="162">
        <f t="shared" si="47"/>
        <v>0</v>
      </c>
      <c r="CY87" s="162">
        <f t="shared" si="47"/>
        <v>0</v>
      </c>
      <c r="CZ87" s="162">
        <f t="shared" si="47"/>
        <v>0</v>
      </c>
      <c r="DA87" s="162">
        <f t="shared" si="47"/>
        <v>0</v>
      </c>
      <c r="DB87" s="162">
        <f t="shared" si="47"/>
        <v>0</v>
      </c>
      <c r="DC87" s="162">
        <f t="shared" si="47"/>
        <v>0</v>
      </c>
      <c r="DD87" s="162">
        <f t="shared" si="47"/>
        <v>0</v>
      </c>
      <c r="DE87" s="162">
        <f t="shared" si="47"/>
        <v>0</v>
      </c>
      <c r="DF87" s="162">
        <f t="shared" si="47"/>
        <v>0</v>
      </c>
      <c r="DG87" s="162">
        <f t="shared" si="47"/>
        <v>0</v>
      </c>
      <c r="DH87" s="162">
        <f t="shared" si="47"/>
        <v>0</v>
      </c>
      <c r="DI87" s="162">
        <f t="shared" si="47"/>
        <v>0</v>
      </c>
      <c r="DJ87" s="162">
        <f t="shared" si="47"/>
        <v>0</v>
      </c>
      <c r="DK87" s="162">
        <f t="shared" si="47"/>
        <v>0</v>
      </c>
      <c r="DL87" s="162">
        <f t="shared" si="47"/>
        <v>0</v>
      </c>
      <c r="DM87" s="162">
        <f t="shared" si="47"/>
        <v>0</v>
      </c>
      <c r="DN87" s="162">
        <f t="shared" si="47"/>
        <v>0</v>
      </c>
      <c r="DO87" s="162">
        <f t="shared" si="47"/>
        <v>0</v>
      </c>
      <c r="DP87" s="162">
        <f t="shared" si="47"/>
        <v>0</v>
      </c>
      <c r="DQ87" s="162">
        <f t="shared" si="47"/>
        <v>0</v>
      </c>
      <c r="DR87" s="162">
        <f t="shared" si="47"/>
        <v>0</v>
      </c>
      <c r="DS87" s="162">
        <f t="shared" si="47"/>
        <v>0</v>
      </c>
      <c r="DT87" s="162">
        <f t="shared" si="47"/>
        <v>0</v>
      </c>
      <c r="DU87" s="162">
        <f t="shared" si="47"/>
        <v>0</v>
      </c>
      <c r="DV87" s="162">
        <f t="shared" si="47"/>
        <v>0</v>
      </c>
    </row>
    <row r="88" spans="2:126" ht="11.25" customHeight="1">
      <c r="B88" s="218"/>
      <c r="C88" s="163"/>
      <c r="D88" s="164" t="s">
        <v>208</v>
      </c>
      <c r="E88" s="165"/>
      <c r="F88" s="165"/>
      <c r="G88" s="165"/>
      <c r="H88" s="166"/>
      <c r="I88" s="228"/>
      <c r="J88" s="168">
        <f t="shared" ref="J88:J94" si="48">SUM(L88:DV88)</f>
        <v>12856669.630531998</v>
      </c>
      <c r="K88" s="98"/>
      <c r="L88" s="168">
        <f>SUMIF('CF(M)'!$L$11:$EQ$11,L$6,'CF(M)'!$L93:$EQ93)</f>
        <v>12856669.630531998</v>
      </c>
      <c r="M88" s="168">
        <f>SUMIF('CF(M)'!$L$11:$EQ$11,M$6,'CF(M)'!$L93:$EQ93)</f>
        <v>0</v>
      </c>
      <c r="N88" s="168">
        <f>SUMIF('CF(M)'!$L$11:$EQ$11,N$6,'CF(M)'!$L93:$EQ93)</f>
        <v>0</v>
      </c>
      <c r="O88" s="168">
        <f>SUMIF('CF(M)'!$L$11:$EQ$11,O$6,'CF(M)'!$L93:$EQ93)</f>
        <v>0</v>
      </c>
      <c r="P88" s="168">
        <f>SUMIF('CF(M)'!$L$11:$EQ$11,P$6,'CF(M)'!$L93:$EQ93)</f>
        <v>0</v>
      </c>
      <c r="Q88" s="168">
        <f>SUMIF('CF(M)'!$L$11:$EQ$11,Q$6,'CF(M)'!$L93:$EQ93)</f>
        <v>0</v>
      </c>
      <c r="R88" s="168">
        <f>SUMIF('CF(M)'!$L$11:$EQ$11,R$6,'CF(M)'!$L93:$EQ93)</f>
        <v>0</v>
      </c>
      <c r="S88" s="168">
        <f>SUMIF('CF(M)'!$L$11:$EQ$11,S$6,'CF(M)'!$L93:$EQ93)</f>
        <v>0</v>
      </c>
      <c r="T88" s="168">
        <f>SUMIF('CF(M)'!$L$11:$EQ$11,T$6,'CF(M)'!$L93:$EQ93)</f>
        <v>0</v>
      </c>
      <c r="U88" s="168">
        <f>SUMIF('CF(M)'!$L$11:$EQ$11,U$6,'CF(M)'!$L93:$EQ93)</f>
        <v>0</v>
      </c>
      <c r="V88" s="168">
        <f>SUMIF('CF(M)'!$L$11:$EQ$11,V$6,'CF(M)'!$L93:$EQ93)</f>
        <v>0</v>
      </c>
      <c r="W88" s="168">
        <f>SUMIF('CF(M)'!$L$11:$EQ$11,W$6,'CF(M)'!$L93:$EQ93)</f>
        <v>0</v>
      </c>
      <c r="X88" s="168">
        <f>SUMIF('CF(M)'!$L$11:$EQ$11,X$6,'CF(M)'!$L93:$EQ93)</f>
        <v>0</v>
      </c>
      <c r="Y88" s="168">
        <f>SUMIF('CF(M)'!$L$11:$EQ$11,Y$6,'CF(M)'!$L93:$EQ93)</f>
        <v>0</v>
      </c>
      <c r="Z88" s="168">
        <f>SUMIF('CF(M)'!$L$11:$EQ$11,Z$6,'CF(M)'!$L93:$EQ93)</f>
        <v>0</v>
      </c>
      <c r="AA88" s="168">
        <f>SUMIF('CF(M)'!$L$11:$EQ$11,AA$6,'CF(M)'!$L93:$EQ93)</f>
        <v>0</v>
      </c>
      <c r="AB88" s="168">
        <f>SUMIF('CF(M)'!$L$11:$EQ$11,AB$6,'CF(M)'!$L93:$EQ93)</f>
        <v>0</v>
      </c>
      <c r="AC88" s="168">
        <f>SUMIF('CF(M)'!$L$11:$EQ$11,AC$6,'CF(M)'!$L93:$EQ93)</f>
        <v>0</v>
      </c>
      <c r="AD88" s="168">
        <f>SUMIF('CF(M)'!$L$11:$EQ$11,AD$6,'CF(M)'!$L93:$EQ93)</f>
        <v>0</v>
      </c>
      <c r="AE88" s="168">
        <f>SUMIF('CF(M)'!$L$11:$EQ$11,AE$6,'CF(M)'!$L93:$EQ93)</f>
        <v>0</v>
      </c>
      <c r="AF88" s="168">
        <f>SUMIF('CF(M)'!$L$11:$EQ$11,AF$6,'CF(M)'!$L93:$EQ93)</f>
        <v>0</v>
      </c>
      <c r="AG88" s="168">
        <f>SUMIF('CF(M)'!$L$11:$EQ$11,AG$6,'CF(M)'!$L93:$EQ93)</f>
        <v>0</v>
      </c>
      <c r="AH88" s="168">
        <f>SUMIF('CF(M)'!$L$11:$EQ$11,AH$6,'CF(M)'!$L93:$EQ93)</f>
        <v>0</v>
      </c>
      <c r="AI88" s="168">
        <f>SUMIF('CF(M)'!$L$11:$EQ$11,AI$6,'CF(M)'!$L93:$EQ93)</f>
        <v>0</v>
      </c>
      <c r="AJ88" s="168">
        <f>SUMIF('CF(M)'!$L$11:$EQ$11,AJ$6,'CF(M)'!$L93:$EQ93)</f>
        <v>0</v>
      </c>
      <c r="AK88" s="168">
        <f>SUMIF('CF(M)'!$L$11:$EQ$11,AK$6,'CF(M)'!$L93:$EQ93)</f>
        <v>0</v>
      </c>
      <c r="AL88" s="168">
        <f>SUMIF('CF(M)'!$L$11:$EQ$11,AL$6,'CF(M)'!$L93:$EQ93)</f>
        <v>0</v>
      </c>
      <c r="AM88" s="168">
        <f>SUMIF('CF(M)'!$L$11:$EQ$11,AM$6,'CF(M)'!$L93:$EQ93)</f>
        <v>0</v>
      </c>
      <c r="AN88" s="168">
        <f>SUMIF('CF(M)'!$L$11:$EQ$11,AN$6,'CF(M)'!$L93:$EQ93)</f>
        <v>0</v>
      </c>
      <c r="AO88" s="168">
        <f>SUMIF('CF(M)'!$L$11:$EQ$11,AO$6,'CF(M)'!$L93:$EQ93)</f>
        <v>0</v>
      </c>
      <c r="AP88" s="168">
        <f>SUMIF('CF(M)'!$L$11:$EQ$11,AP$6,'CF(M)'!$L93:$EQ93)</f>
        <v>0</v>
      </c>
      <c r="AQ88" s="168">
        <f>SUMIF('CF(M)'!$L$11:$EQ$11,AQ$6,'CF(M)'!$L93:$EQ93)</f>
        <v>0</v>
      </c>
      <c r="AR88" s="168">
        <f>SUMIF('CF(M)'!$L$11:$EQ$11,AR$6,'CF(M)'!$L93:$EQ93)</f>
        <v>0</v>
      </c>
      <c r="AS88" s="168">
        <f>SUMIF('CF(M)'!$L$11:$EQ$11,AS$6,'CF(M)'!$L93:$EQ93)</f>
        <v>0</v>
      </c>
      <c r="AT88" s="168">
        <f>SUMIF('CF(M)'!$L$11:$EQ$11,AT$6,'CF(M)'!$L93:$EQ93)</f>
        <v>0</v>
      </c>
      <c r="AU88" s="168">
        <f>SUMIF('CF(M)'!$L$11:$EQ$11,AU$6,'CF(M)'!$L93:$EQ93)</f>
        <v>0</v>
      </c>
      <c r="AV88" s="168">
        <f>SUMIF('CF(M)'!$L$11:$EQ$11,AV$6,'CF(M)'!$L93:$EQ93)</f>
        <v>0</v>
      </c>
      <c r="AW88" s="168">
        <f>SUMIF('CF(M)'!$L$11:$EQ$11,AW$6,'CF(M)'!$L93:$EQ93)</f>
        <v>0</v>
      </c>
      <c r="AX88" s="168">
        <f>SUMIF('CF(M)'!$L$11:$EQ$11,AX$6,'CF(M)'!$L93:$EQ93)</f>
        <v>0</v>
      </c>
      <c r="AY88" s="168">
        <f>SUMIF('CF(M)'!$L$11:$EQ$11,AY$6,'CF(M)'!$L93:$EQ93)</f>
        <v>0</v>
      </c>
      <c r="AZ88" s="168">
        <f>SUMIF('CF(M)'!$L$11:$EQ$11,AZ$6,'CF(M)'!$L93:$EQ93)</f>
        <v>0</v>
      </c>
      <c r="BA88" s="168">
        <f>SUMIF('CF(M)'!$L$11:$EQ$11,BA$6,'CF(M)'!$L93:$EQ93)</f>
        <v>0</v>
      </c>
      <c r="BB88" s="168">
        <f>SUMIF('CF(M)'!$L$11:$EQ$11,BB$6,'CF(M)'!$L93:$EQ93)</f>
        <v>0</v>
      </c>
      <c r="BC88" s="168">
        <f>SUMIF('CF(M)'!$L$11:$EQ$11,BC$6,'CF(M)'!$L93:$EQ93)</f>
        <v>0</v>
      </c>
      <c r="BD88" s="168">
        <f>SUMIF('CF(M)'!$L$11:$EQ$11,BD$6,'CF(M)'!$L93:$EQ93)</f>
        <v>0</v>
      </c>
      <c r="BE88" s="168">
        <f>SUMIF('CF(M)'!$L$11:$EQ$11,BE$6,'CF(M)'!$L93:$EQ93)</f>
        <v>0</v>
      </c>
      <c r="BF88" s="168">
        <f>SUMIF('CF(M)'!$L$11:$EQ$11,BF$6,'CF(M)'!$L93:$EQ93)</f>
        <v>0</v>
      </c>
      <c r="BG88" s="168">
        <f>SUMIF('CF(M)'!$L$11:$EQ$11,BG$6,'CF(M)'!$L93:$EQ93)</f>
        <v>0</v>
      </c>
      <c r="BH88" s="168">
        <f>SUMIF('CF(M)'!$L$11:$EQ$11,BH$6,'CF(M)'!$L93:$EQ93)</f>
        <v>0</v>
      </c>
      <c r="BI88" s="168">
        <f>SUMIF('CF(M)'!$L$11:$EQ$11,BI$6,'CF(M)'!$L93:$EQ93)</f>
        <v>0</v>
      </c>
      <c r="BJ88" s="168">
        <f>SUMIF('CF(M)'!$L$11:$EQ$11,BJ$6,'CF(M)'!$L93:$EQ93)</f>
        <v>0</v>
      </c>
      <c r="BK88" s="168">
        <f>SUMIF('CF(M)'!$L$11:$EQ$11,BK$6,'CF(M)'!$L93:$EQ93)</f>
        <v>0</v>
      </c>
      <c r="BL88" s="168">
        <f>SUMIF('CF(M)'!$L$11:$EQ$11,BL$6,'CF(M)'!$L93:$EQ93)</f>
        <v>0</v>
      </c>
      <c r="BM88" s="168">
        <f>SUMIF('CF(M)'!$L$11:$EQ$11,BM$6,'CF(M)'!$L93:$EQ93)</f>
        <v>0</v>
      </c>
      <c r="BN88" s="168">
        <f>SUMIF('CF(M)'!$L$11:$EQ$11,BN$6,'CF(M)'!$L93:$EQ93)</f>
        <v>0</v>
      </c>
      <c r="BO88" s="168">
        <f>SUMIF('CF(M)'!$L$11:$EQ$11,BO$6,'CF(M)'!$L93:$EQ93)</f>
        <v>0</v>
      </c>
      <c r="BP88" s="168">
        <f>SUMIF('CF(M)'!$L$11:$EQ$11,BP$6,'CF(M)'!$L93:$EQ93)</f>
        <v>0</v>
      </c>
      <c r="BQ88" s="168">
        <f>SUMIF('CF(M)'!$L$11:$EQ$11,BQ$6,'CF(M)'!$L93:$EQ93)</f>
        <v>0</v>
      </c>
      <c r="BR88" s="168">
        <f>SUMIF('CF(M)'!$L$11:$EQ$11,BR$6,'CF(M)'!$L93:$EQ93)</f>
        <v>0</v>
      </c>
      <c r="BS88" s="168">
        <f>SUMIF('CF(M)'!$L$11:$EQ$11,BS$6,'CF(M)'!$L93:$EQ93)</f>
        <v>0</v>
      </c>
      <c r="BT88" s="168">
        <f>SUMIF('CF(M)'!$L$11:$EQ$11,BT$6,'CF(M)'!$L93:$EQ93)</f>
        <v>0</v>
      </c>
      <c r="BU88" s="168">
        <f>SUMIF('CF(M)'!$L$11:$EQ$11,BU$6,'CF(M)'!$L93:$EQ93)</f>
        <v>0</v>
      </c>
      <c r="BV88" s="168">
        <f>SUMIF('CF(M)'!$L$11:$EQ$11,BV$6,'CF(M)'!$L93:$EQ93)</f>
        <v>0</v>
      </c>
      <c r="BW88" s="168">
        <f>SUMIF('CF(M)'!$L$11:$EQ$11,BW$6,'CF(M)'!$L93:$EQ93)</f>
        <v>0</v>
      </c>
      <c r="BX88" s="168">
        <f>SUMIF('CF(M)'!$L$11:$EQ$11,BX$6,'CF(M)'!$L93:$EQ93)</f>
        <v>0</v>
      </c>
      <c r="BY88" s="168">
        <f>SUMIF('CF(M)'!$L$11:$EQ$11,BY$6,'CF(M)'!$L93:$EQ93)</f>
        <v>0</v>
      </c>
      <c r="BZ88" s="168">
        <f>SUMIF('CF(M)'!$L$11:$EQ$11,BZ$6,'CF(M)'!$L93:$EQ93)</f>
        <v>0</v>
      </c>
      <c r="CA88" s="168">
        <f>SUMIF('CF(M)'!$L$11:$EQ$11,CA$6,'CF(M)'!$L93:$EQ93)</f>
        <v>0</v>
      </c>
      <c r="CB88" s="168">
        <f>SUMIF('CF(M)'!$L$11:$EQ$11,CB$6,'CF(M)'!$L93:$EQ93)</f>
        <v>0</v>
      </c>
      <c r="CC88" s="168">
        <f>SUMIF('CF(M)'!$L$11:$EQ$11,CC$6,'CF(M)'!$L93:$EQ93)</f>
        <v>0</v>
      </c>
      <c r="CD88" s="168">
        <f>SUMIF('CF(M)'!$L$11:$EQ$11,CD$6,'CF(M)'!$L93:$EQ93)</f>
        <v>0</v>
      </c>
      <c r="CE88" s="168">
        <f>SUMIF('CF(M)'!$L$11:$EQ$11,CE$6,'CF(M)'!$L93:$EQ93)</f>
        <v>0</v>
      </c>
      <c r="CF88" s="168">
        <f>SUMIF('CF(M)'!$L$11:$EQ$11,CF$6,'CF(M)'!$L93:$EQ93)</f>
        <v>0</v>
      </c>
      <c r="CG88" s="168">
        <f>SUMIF('CF(M)'!$L$11:$EQ$11,CG$6,'CF(M)'!$L93:$EQ93)</f>
        <v>0</v>
      </c>
      <c r="CH88" s="168">
        <f>SUMIF('CF(M)'!$L$11:$EQ$11,CH$6,'CF(M)'!$L93:$EQ93)</f>
        <v>0</v>
      </c>
      <c r="CI88" s="168">
        <f>SUMIF('CF(M)'!$L$11:$EQ$11,CI$6,'CF(M)'!$L93:$EQ93)</f>
        <v>0</v>
      </c>
      <c r="CJ88" s="168">
        <f>SUMIF('CF(M)'!$L$11:$EQ$11,CJ$6,'CF(M)'!$L93:$EQ93)</f>
        <v>0</v>
      </c>
      <c r="CK88" s="168">
        <f>SUMIF('CF(M)'!$L$11:$EQ$11,CK$6,'CF(M)'!$L93:$EQ93)</f>
        <v>0</v>
      </c>
      <c r="CL88" s="168">
        <f>SUMIF('CF(M)'!$L$11:$EQ$11,CL$6,'CF(M)'!$L93:$EQ93)</f>
        <v>0</v>
      </c>
      <c r="CM88" s="168">
        <f>SUMIF('CF(M)'!$L$11:$EQ$11,CM$6,'CF(M)'!$L93:$EQ93)</f>
        <v>0</v>
      </c>
      <c r="CN88" s="168">
        <f>SUMIF('CF(M)'!$L$11:$EQ$11,CN$6,'CF(M)'!$L93:$EQ93)</f>
        <v>0</v>
      </c>
      <c r="CO88" s="168">
        <f>SUMIF('CF(M)'!$L$11:$EQ$11,CO$6,'CF(M)'!$L93:$EQ93)</f>
        <v>0</v>
      </c>
      <c r="CP88" s="168">
        <f>SUMIF('CF(M)'!$L$11:$EQ$11,CP$6,'CF(M)'!$L93:$EQ93)</f>
        <v>0</v>
      </c>
      <c r="CQ88" s="168">
        <f>SUMIF('CF(M)'!$L$11:$EQ$11,CQ$6,'CF(M)'!$L93:$EQ93)</f>
        <v>0</v>
      </c>
      <c r="CR88" s="168">
        <f>SUMIF('CF(M)'!$L$11:$EQ$11,CR$6,'CF(M)'!$L93:$EQ93)</f>
        <v>0</v>
      </c>
      <c r="CS88" s="168">
        <f>SUMIF('CF(M)'!$L$11:$EQ$11,CS$6,'CF(M)'!$L93:$EQ93)</f>
        <v>0</v>
      </c>
      <c r="CT88" s="168">
        <f>SUMIF('CF(M)'!$L$11:$EQ$11,CT$6,'CF(M)'!$L93:$EQ93)</f>
        <v>0</v>
      </c>
      <c r="CU88" s="168">
        <f>SUMIF('CF(M)'!$L$11:$EQ$11,CU$6,'CF(M)'!$L93:$EQ93)</f>
        <v>0</v>
      </c>
      <c r="CV88" s="168">
        <f>SUMIF('CF(M)'!$L$11:$EQ$11,CV$6,'CF(M)'!$L93:$EQ93)</f>
        <v>0</v>
      </c>
      <c r="CW88" s="168">
        <f>SUMIF('CF(M)'!$L$11:$EQ$11,CW$6,'CF(M)'!$L93:$EQ93)</f>
        <v>0</v>
      </c>
      <c r="CX88" s="168">
        <f>SUMIF('CF(M)'!$L$11:$EQ$11,CX$6,'CF(M)'!$L93:$EQ93)</f>
        <v>0</v>
      </c>
      <c r="CY88" s="168">
        <f>SUMIF('CF(M)'!$L$11:$EQ$11,CY$6,'CF(M)'!$L93:$EQ93)</f>
        <v>0</v>
      </c>
      <c r="CZ88" s="168">
        <f>SUMIF('CF(M)'!$L$11:$EQ$11,CZ$6,'CF(M)'!$L93:$EQ93)</f>
        <v>0</v>
      </c>
      <c r="DA88" s="168">
        <f>SUMIF('CF(M)'!$L$11:$EQ$11,DA$6,'CF(M)'!$L93:$EQ93)</f>
        <v>0</v>
      </c>
      <c r="DB88" s="168">
        <f>SUMIF('CF(M)'!$L$11:$EQ$11,DB$6,'CF(M)'!$L93:$EQ93)</f>
        <v>0</v>
      </c>
      <c r="DC88" s="168">
        <f>SUMIF('CF(M)'!$L$11:$EQ$11,DC$6,'CF(M)'!$L93:$EQ93)</f>
        <v>0</v>
      </c>
      <c r="DD88" s="168">
        <f>SUMIF('CF(M)'!$L$11:$EQ$11,DD$6,'CF(M)'!$L93:$EQ93)</f>
        <v>0</v>
      </c>
      <c r="DE88" s="168">
        <f>SUMIF('CF(M)'!$L$11:$EQ$11,DE$6,'CF(M)'!$L93:$EQ93)</f>
        <v>0</v>
      </c>
      <c r="DF88" s="168">
        <f>SUMIF('CF(M)'!$L$11:$EQ$11,DF$6,'CF(M)'!$L93:$EQ93)</f>
        <v>0</v>
      </c>
      <c r="DG88" s="168">
        <f>SUMIF('CF(M)'!$L$11:$EQ$11,DG$6,'CF(M)'!$L93:$EQ93)</f>
        <v>0</v>
      </c>
      <c r="DH88" s="168">
        <f>SUMIF('CF(M)'!$L$11:$EQ$11,DH$6,'CF(M)'!$L93:$EQ93)</f>
        <v>0</v>
      </c>
      <c r="DI88" s="168">
        <f>SUMIF('CF(M)'!$L$11:$EQ$11,DI$6,'CF(M)'!$L93:$EQ93)</f>
        <v>0</v>
      </c>
      <c r="DJ88" s="168">
        <f>SUMIF('CF(M)'!$L$11:$EQ$11,DJ$6,'CF(M)'!$L93:$EQ93)</f>
        <v>0</v>
      </c>
      <c r="DK88" s="168">
        <f>SUMIF('CF(M)'!$L$11:$EQ$11,DK$6,'CF(M)'!$L93:$EQ93)</f>
        <v>0</v>
      </c>
      <c r="DL88" s="168">
        <f>SUMIF('CF(M)'!$L$11:$EQ$11,DL$6,'CF(M)'!$L93:$EQ93)</f>
        <v>0</v>
      </c>
      <c r="DM88" s="168">
        <f>SUMIF('CF(M)'!$L$11:$EQ$11,DM$6,'CF(M)'!$L93:$EQ93)</f>
        <v>0</v>
      </c>
      <c r="DN88" s="168">
        <f>SUMIF('CF(M)'!$L$11:$EQ$11,DN$6,'CF(M)'!$L93:$EQ93)</f>
        <v>0</v>
      </c>
      <c r="DO88" s="168">
        <f>SUMIF('CF(M)'!$L$11:$EQ$11,DO$6,'CF(M)'!$L93:$EQ93)</f>
        <v>0</v>
      </c>
      <c r="DP88" s="168">
        <f>SUMIF('CF(M)'!$L$11:$EQ$11,DP$6,'CF(M)'!$L93:$EQ93)</f>
        <v>0</v>
      </c>
      <c r="DQ88" s="168">
        <f>SUMIF('CF(M)'!$L$11:$EQ$11,DQ$6,'CF(M)'!$L93:$EQ93)</f>
        <v>0</v>
      </c>
      <c r="DR88" s="168">
        <f>SUMIF('CF(M)'!$L$11:$EQ$11,DR$6,'CF(M)'!$L93:$EQ93)</f>
        <v>0</v>
      </c>
      <c r="DS88" s="168">
        <f>SUMIF('CF(M)'!$L$11:$EQ$11,DS$6,'CF(M)'!$L93:$EQ93)</f>
        <v>0</v>
      </c>
      <c r="DT88" s="168">
        <f>SUMIF('CF(M)'!$L$11:$EQ$11,DT$6,'CF(M)'!$L93:$EQ93)</f>
        <v>0</v>
      </c>
      <c r="DU88" s="168">
        <f>SUMIF('CF(M)'!$L$11:$EQ$11,DU$6,'CF(M)'!$L93:$EQ93)</f>
        <v>0</v>
      </c>
      <c r="DV88" s="168">
        <f>SUMIF('CF(M)'!$L$11:$EQ$11,DV$6,'CF(M)'!$L93:$EQ93)</f>
        <v>0</v>
      </c>
    </row>
    <row r="89" spans="2:126" ht="11.25" customHeight="1">
      <c r="B89" s="218"/>
      <c r="C89" s="163"/>
      <c r="D89" s="169" t="s">
        <v>209</v>
      </c>
      <c r="H89" s="146"/>
      <c r="I89" s="229"/>
      <c r="J89" s="171">
        <f t="shared" si="48"/>
        <v>-12856669.630531998</v>
      </c>
      <c r="K89" s="98"/>
      <c r="L89" s="171">
        <f>SUMIF('CF(M)'!$L$11:$EQ$11,L$6,'CF(M)'!$L94:$EQ94)</f>
        <v>0</v>
      </c>
      <c r="M89" s="171">
        <f>SUMIF('CF(M)'!$L$11:$EQ$11,M$6,'CF(M)'!$L94:$EQ94)</f>
        <v>-12856669.630531998</v>
      </c>
      <c r="N89" s="171">
        <f>SUMIF('CF(M)'!$L$11:$EQ$11,N$6,'CF(M)'!$L94:$EQ94)</f>
        <v>0</v>
      </c>
      <c r="O89" s="171">
        <f>SUMIF('CF(M)'!$L$11:$EQ$11,O$6,'CF(M)'!$L94:$EQ94)</f>
        <v>0</v>
      </c>
      <c r="P89" s="171">
        <f>SUMIF('CF(M)'!$L$11:$EQ$11,P$6,'CF(M)'!$L94:$EQ94)</f>
        <v>0</v>
      </c>
      <c r="Q89" s="171">
        <f>SUMIF('CF(M)'!$L$11:$EQ$11,Q$6,'CF(M)'!$L94:$EQ94)</f>
        <v>0</v>
      </c>
      <c r="R89" s="171">
        <f>SUMIF('CF(M)'!$L$11:$EQ$11,R$6,'CF(M)'!$L94:$EQ94)</f>
        <v>0</v>
      </c>
      <c r="S89" s="171">
        <f>SUMIF('CF(M)'!$L$11:$EQ$11,S$6,'CF(M)'!$L94:$EQ94)</f>
        <v>0</v>
      </c>
      <c r="T89" s="171">
        <f>SUMIF('CF(M)'!$L$11:$EQ$11,T$6,'CF(M)'!$L94:$EQ94)</f>
        <v>0</v>
      </c>
      <c r="U89" s="171">
        <f>SUMIF('CF(M)'!$L$11:$EQ$11,U$6,'CF(M)'!$L94:$EQ94)</f>
        <v>0</v>
      </c>
      <c r="V89" s="171">
        <f>SUMIF('CF(M)'!$L$11:$EQ$11,V$6,'CF(M)'!$L94:$EQ94)</f>
        <v>0</v>
      </c>
      <c r="W89" s="171">
        <f>SUMIF('CF(M)'!$L$11:$EQ$11,W$6,'CF(M)'!$L94:$EQ94)</f>
        <v>0</v>
      </c>
      <c r="X89" s="171">
        <f>SUMIF('CF(M)'!$L$11:$EQ$11,X$6,'CF(M)'!$L94:$EQ94)</f>
        <v>0</v>
      </c>
      <c r="Y89" s="171">
        <f>SUMIF('CF(M)'!$L$11:$EQ$11,Y$6,'CF(M)'!$L94:$EQ94)</f>
        <v>0</v>
      </c>
      <c r="Z89" s="171">
        <f>SUMIF('CF(M)'!$L$11:$EQ$11,Z$6,'CF(M)'!$L94:$EQ94)</f>
        <v>0</v>
      </c>
      <c r="AA89" s="171">
        <f>SUMIF('CF(M)'!$L$11:$EQ$11,AA$6,'CF(M)'!$L94:$EQ94)</f>
        <v>0</v>
      </c>
      <c r="AB89" s="171">
        <f>SUMIF('CF(M)'!$L$11:$EQ$11,AB$6,'CF(M)'!$L94:$EQ94)</f>
        <v>0</v>
      </c>
      <c r="AC89" s="171">
        <f>SUMIF('CF(M)'!$L$11:$EQ$11,AC$6,'CF(M)'!$L94:$EQ94)</f>
        <v>0</v>
      </c>
      <c r="AD89" s="171">
        <f>SUMIF('CF(M)'!$L$11:$EQ$11,AD$6,'CF(M)'!$L94:$EQ94)</f>
        <v>0</v>
      </c>
      <c r="AE89" s="171">
        <f>SUMIF('CF(M)'!$L$11:$EQ$11,AE$6,'CF(M)'!$L94:$EQ94)</f>
        <v>0</v>
      </c>
      <c r="AF89" s="171">
        <f>SUMIF('CF(M)'!$L$11:$EQ$11,AF$6,'CF(M)'!$L94:$EQ94)</f>
        <v>0</v>
      </c>
      <c r="AG89" s="171">
        <f>SUMIF('CF(M)'!$L$11:$EQ$11,AG$6,'CF(M)'!$L94:$EQ94)</f>
        <v>0</v>
      </c>
      <c r="AH89" s="171">
        <f>SUMIF('CF(M)'!$L$11:$EQ$11,AH$6,'CF(M)'!$L94:$EQ94)</f>
        <v>0</v>
      </c>
      <c r="AI89" s="171">
        <f>SUMIF('CF(M)'!$L$11:$EQ$11,AI$6,'CF(M)'!$L94:$EQ94)</f>
        <v>0</v>
      </c>
      <c r="AJ89" s="171">
        <f>SUMIF('CF(M)'!$L$11:$EQ$11,AJ$6,'CF(M)'!$L94:$EQ94)</f>
        <v>0</v>
      </c>
      <c r="AK89" s="171">
        <f>SUMIF('CF(M)'!$L$11:$EQ$11,AK$6,'CF(M)'!$L94:$EQ94)</f>
        <v>0</v>
      </c>
      <c r="AL89" s="171">
        <f>SUMIF('CF(M)'!$L$11:$EQ$11,AL$6,'CF(M)'!$L94:$EQ94)</f>
        <v>0</v>
      </c>
      <c r="AM89" s="171">
        <f>SUMIF('CF(M)'!$L$11:$EQ$11,AM$6,'CF(M)'!$L94:$EQ94)</f>
        <v>0</v>
      </c>
      <c r="AN89" s="171">
        <f>SUMIF('CF(M)'!$L$11:$EQ$11,AN$6,'CF(M)'!$L94:$EQ94)</f>
        <v>0</v>
      </c>
      <c r="AO89" s="171">
        <f>SUMIF('CF(M)'!$L$11:$EQ$11,AO$6,'CF(M)'!$L94:$EQ94)</f>
        <v>0</v>
      </c>
      <c r="AP89" s="171">
        <f>SUMIF('CF(M)'!$L$11:$EQ$11,AP$6,'CF(M)'!$L94:$EQ94)</f>
        <v>0</v>
      </c>
      <c r="AQ89" s="171">
        <f>SUMIF('CF(M)'!$L$11:$EQ$11,AQ$6,'CF(M)'!$L94:$EQ94)</f>
        <v>0</v>
      </c>
      <c r="AR89" s="171">
        <f>SUMIF('CF(M)'!$L$11:$EQ$11,AR$6,'CF(M)'!$L94:$EQ94)</f>
        <v>0</v>
      </c>
      <c r="AS89" s="171">
        <f>SUMIF('CF(M)'!$L$11:$EQ$11,AS$6,'CF(M)'!$L94:$EQ94)</f>
        <v>0</v>
      </c>
      <c r="AT89" s="171">
        <f>SUMIF('CF(M)'!$L$11:$EQ$11,AT$6,'CF(M)'!$L94:$EQ94)</f>
        <v>0</v>
      </c>
      <c r="AU89" s="171">
        <f>SUMIF('CF(M)'!$L$11:$EQ$11,AU$6,'CF(M)'!$L94:$EQ94)</f>
        <v>0</v>
      </c>
      <c r="AV89" s="171">
        <f>SUMIF('CF(M)'!$L$11:$EQ$11,AV$6,'CF(M)'!$L94:$EQ94)</f>
        <v>0</v>
      </c>
      <c r="AW89" s="171">
        <f>SUMIF('CF(M)'!$L$11:$EQ$11,AW$6,'CF(M)'!$L94:$EQ94)</f>
        <v>0</v>
      </c>
      <c r="AX89" s="171">
        <f>SUMIF('CF(M)'!$L$11:$EQ$11,AX$6,'CF(M)'!$L94:$EQ94)</f>
        <v>0</v>
      </c>
      <c r="AY89" s="171">
        <f>SUMIF('CF(M)'!$L$11:$EQ$11,AY$6,'CF(M)'!$L94:$EQ94)</f>
        <v>0</v>
      </c>
      <c r="AZ89" s="171">
        <f>SUMIF('CF(M)'!$L$11:$EQ$11,AZ$6,'CF(M)'!$L94:$EQ94)</f>
        <v>0</v>
      </c>
      <c r="BA89" s="171">
        <f>SUMIF('CF(M)'!$L$11:$EQ$11,BA$6,'CF(M)'!$L94:$EQ94)</f>
        <v>0</v>
      </c>
      <c r="BB89" s="171">
        <f>SUMIF('CF(M)'!$L$11:$EQ$11,BB$6,'CF(M)'!$L94:$EQ94)</f>
        <v>0</v>
      </c>
      <c r="BC89" s="171">
        <f>SUMIF('CF(M)'!$L$11:$EQ$11,BC$6,'CF(M)'!$L94:$EQ94)</f>
        <v>0</v>
      </c>
      <c r="BD89" s="171">
        <f>SUMIF('CF(M)'!$L$11:$EQ$11,BD$6,'CF(M)'!$L94:$EQ94)</f>
        <v>0</v>
      </c>
      <c r="BE89" s="171">
        <f>SUMIF('CF(M)'!$L$11:$EQ$11,BE$6,'CF(M)'!$L94:$EQ94)</f>
        <v>0</v>
      </c>
      <c r="BF89" s="171">
        <f>SUMIF('CF(M)'!$L$11:$EQ$11,BF$6,'CF(M)'!$L94:$EQ94)</f>
        <v>0</v>
      </c>
      <c r="BG89" s="171">
        <f>SUMIF('CF(M)'!$L$11:$EQ$11,BG$6,'CF(M)'!$L94:$EQ94)</f>
        <v>0</v>
      </c>
      <c r="BH89" s="171">
        <f>SUMIF('CF(M)'!$L$11:$EQ$11,BH$6,'CF(M)'!$L94:$EQ94)</f>
        <v>0</v>
      </c>
      <c r="BI89" s="171">
        <f>SUMIF('CF(M)'!$L$11:$EQ$11,BI$6,'CF(M)'!$L94:$EQ94)</f>
        <v>0</v>
      </c>
      <c r="BJ89" s="171">
        <f>SUMIF('CF(M)'!$L$11:$EQ$11,BJ$6,'CF(M)'!$L94:$EQ94)</f>
        <v>0</v>
      </c>
      <c r="BK89" s="171">
        <f>SUMIF('CF(M)'!$L$11:$EQ$11,BK$6,'CF(M)'!$L94:$EQ94)</f>
        <v>0</v>
      </c>
      <c r="BL89" s="171">
        <f>SUMIF('CF(M)'!$L$11:$EQ$11,BL$6,'CF(M)'!$L94:$EQ94)</f>
        <v>0</v>
      </c>
      <c r="BM89" s="171">
        <f>SUMIF('CF(M)'!$L$11:$EQ$11,BM$6,'CF(M)'!$L94:$EQ94)</f>
        <v>0</v>
      </c>
      <c r="BN89" s="171">
        <f>SUMIF('CF(M)'!$L$11:$EQ$11,BN$6,'CF(M)'!$L94:$EQ94)</f>
        <v>0</v>
      </c>
      <c r="BO89" s="171">
        <f>SUMIF('CF(M)'!$L$11:$EQ$11,BO$6,'CF(M)'!$L94:$EQ94)</f>
        <v>0</v>
      </c>
      <c r="BP89" s="171">
        <f>SUMIF('CF(M)'!$L$11:$EQ$11,BP$6,'CF(M)'!$L94:$EQ94)</f>
        <v>0</v>
      </c>
      <c r="BQ89" s="171">
        <f>SUMIF('CF(M)'!$L$11:$EQ$11,BQ$6,'CF(M)'!$L94:$EQ94)</f>
        <v>0</v>
      </c>
      <c r="BR89" s="171">
        <f>SUMIF('CF(M)'!$L$11:$EQ$11,BR$6,'CF(M)'!$L94:$EQ94)</f>
        <v>0</v>
      </c>
      <c r="BS89" s="171">
        <f>SUMIF('CF(M)'!$L$11:$EQ$11,BS$6,'CF(M)'!$L94:$EQ94)</f>
        <v>0</v>
      </c>
      <c r="BT89" s="171">
        <f>SUMIF('CF(M)'!$L$11:$EQ$11,BT$6,'CF(M)'!$L94:$EQ94)</f>
        <v>0</v>
      </c>
      <c r="BU89" s="171">
        <f>SUMIF('CF(M)'!$L$11:$EQ$11,BU$6,'CF(M)'!$L94:$EQ94)</f>
        <v>0</v>
      </c>
      <c r="BV89" s="171">
        <f>SUMIF('CF(M)'!$L$11:$EQ$11,BV$6,'CF(M)'!$L94:$EQ94)</f>
        <v>0</v>
      </c>
      <c r="BW89" s="171">
        <f>SUMIF('CF(M)'!$L$11:$EQ$11,BW$6,'CF(M)'!$L94:$EQ94)</f>
        <v>0</v>
      </c>
      <c r="BX89" s="171">
        <f>SUMIF('CF(M)'!$L$11:$EQ$11,BX$6,'CF(M)'!$L94:$EQ94)</f>
        <v>0</v>
      </c>
      <c r="BY89" s="171">
        <f>SUMIF('CF(M)'!$L$11:$EQ$11,BY$6,'CF(M)'!$L94:$EQ94)</f>
        <v>0</v>
      </c>
      <c r="BZ89" s="171">
        <f>SUMIF('CF(M)'!$L$11:$EQ$11,BZ$6,'CF(M)'!$L94:$EQ94)</f>
        <v>0</v>
      </c>
      <c r="CA89" s="171">
        <f>SUMIF('CF(M)'!$L$11:$EQ$11,CA$6,'CF(M)'!$L94:$EQ94)</f>
        <v>0</v>
      </c>
      <c r="CB89" s="171">
        <f>SUMIF('CF(M)'!$L$11:$EQ$11,CB$6,'CF(M)'!$L94:$EQ94)</f>
        <v>0</v>
      </c>
      <c r="CC89" s="171">
        <f>SUMIF('CF(M)'!$L$11:$EQ$11,CC$6,'CF(M)'!$L94:$EQ94)</f>
        <v>0</v>
      </c>
      <c r="CD89" s="171">
        <f>SUMIF('CF(M)'!$L$11:$EQ$11,CD$6,'CF(M)'!$L94:$EQ94)</f>
        <v>0</v>
      </c>
      <c r="CE89" s="171">
        <f>SUMIF('CF(M)'!$L$11:$EQ$11,CE$6,'CF(M)'!$L94:$EQ94)</f>
        <v>0</v>
      </c>
      <c r="CF89" s="171">
        <f>SUMIF('CF(M)'!$L$11:$EQ$11,CF$6,'CF(M)'!$L94:$EQ94)</f>
        <v>0</v>
      </c>
      <c r="CG89" s="171">
        <f>SUMIF('CF(M)'!$L$11:$EQ$11,CG$6,'CF(M)'!$L94:$EQ94)</f>
        <v>0</v>
      </c>
      <c r="CH89" s="171">
        <f>SUMIF('CF(M)'!$L$11:$EQ$11,CH$6,'CF(M)'!$L94:$EQ94)</f>
        <v>0</v>
      </c>
      <c r="CI89" s="171">
        <f>SUMIF('CF(M)'!$L$11:$EQ$11,CI$6,'CF(M)'!$L94:$EQ94)</f>
        <v>0</v>
      </c>
      <c r="CJ89" s="171">
        <f>SUMIF('CF(M)'!$L$11:$EQ$11,CJ$6,'CF(M)'!$L94:$EQ94)</f>
        <v>0</v>
      </c>
      <c r="CK89" s="171">
        <f>SUMIF('CF(M)'!$L$11:$EQ$11,CK$6,'CF(M)'!$L94:$EQ94)</f>
        <v>0</v>
      </c>
      <c r="CL89" s="171">
        <f>SUMIF('CF(M)'!$L$11:$EQ$11,CL$6,'CF(M)'!$L94:$EQ94)</f>
        <v>0</v>
      </c>
      <c r="CM89" s="171">
        <f>SUMIF('CF(M)'!$L$11:$EQ$11,CM$6,'CF(M)'!$L94:$EQ94)</f>
        <v>0</v>
      </c>
      <c r="CN89" s="171">
        <f>SUMIF('CF(M)'!$L$11:$EQ$11,CN$6,'CF(M)'!$L94:$EQ94)</f>
        <v>0</v>
      </c>
      <c r="CO89" s="171">
        <f>SUMIF('CF(M)'!$L$11:$EQ$11,CO$6,'CF(M)'!$L94:$EQ94)</f>
        <v>0</v>
      </c>
      <c r="CP89" s="171">
        <f>SUMIF('CF(M)'!$L$11:$EQ$11,CP$6,'CF(M)'!$L94:$EQ94)</f>
        <v>0</v>
      </c>
      <c r="CQ89" s="171">
        <f>SUMIF('CF(M)'!$L$11:$EQ$11,CQ$6,'CF(M)'!$L94:$EQ94)</f>
        <v>0</v>
      </c>
      <c r="CR89" s="171">
        <f>SUMIF('CF(M)'!$L$11:$EQ$11,CR$6,'CF(M)'!$L94:$EQ94)</f>
        <v>0</v>
      </c>
      <c r="CS89" s="171">
        <f>SUMIF('CF(M)'!$L$11:$EQ$11,CS$6,'CF(M)'!$L94:$EQ94)</f>
        <v>0</v>
      </c>
      <c r="CT89" s="171">
        <f>SUMIF('CF(M)'!$L$11:$EQ$11,CT$6,'CF(M)'!$L94:$EQ94)</f>
        <v>0</v>
      </c>
      <c r="CU89" s="171">
        <f>SUMIF('CF(M)'!$L$11:$EQ$11,CU$6,'CF(M)'!$L94:$EQ94)</f>
        <v>0</v>
      </c>
      <c r="CV89" s="171">
        <f>SUMIF('CF(M)'!$L$11:$EQ$11,CV$6,'CF(M)'!$L94:$EQ94)</f>
        <v>0</v>
      </c>
      <c r="CW89" s="171">
        <f>SUMIF('CF(M)'!$L$11:$EQ$11,CW$6,'CF(M)'!$L94:$EQ94)</f>
        <v>0</v>
      </c>
      <c r="CX89" s="171">
        <f>SUMIF('CF(M)'!$L$11:$EQ$11,CX$6,'CF(M)'!$L94:$EQ94)</f>
        <v>0</v>
      </c>
      <c r="CY89" s="171">
        <f>SUMIF('CF(M)'!$L$11:$EQ$11,CY$6,'CF(M)'!$L94:$EQ94)</f>
        <v>0</v>
      </c>
      <c r="CZ89" s="171">
        <f>SUMIF('CF(M)'!$L$11:$EQ$11,CZ$6,'CF(M)'!$L94:$EQ94)</f>
        <v>0</v>
      </c>
      <c r="DA89" s="171">
        <f>SUMIF('CF(M)'!$L$11:$EQ$11,DA$6,'CF(M)'!$L94:$EQ94)</f>
        <v>0</v>
      </c>
      <c r="DB89" s="171">
        <f>SUMIF('CF(M)'!$L$11:$EQ$11,DB$6,'CF(M)'!$L94:$EQ94)</f>
        <v>0</v>
      </c>
      <c r="DC89" s="171">
        <f>SUMIF('CF(M)'!$L$11:$EQ$11,DC$6,'CF(M)'!$L94:$EQ94)</f>
        <v>0</v>
      </c>
      <c r="DD89" s="171">
        <f>SUMIF('CF(M)'!$L$11:$EQ$11,DD$6,'CF(M)'!$L94:$EQ94)</f>
        <v>0</v>
      </c>
      <c r="DE89" s="171">
        <f>SUMIF('CF(M)'!$L$11:$EQ$11,DE$6,'CF(M)'!$L94:$EQ94)</f>
        <v>0</v>
      </c>
      <c r="DF89" s="171">
        <f>SUMIF('CF(M)'!$L$11:$EQ$11,DF$6,'CF(M)'!$L94:$EQ94)</f>
        <v>0</v>
      </c>
      <c r="DG89" s="171">
        <f>SUMIF('CF(M)'!$L$11:$EQ$11,DG$6,'CF(M)'!$L94:$EQ94)</f>
        <v>0</v>
      </c>
      <c r="DH89" s="171">
        <f>SUMIF('CF(M)'!$L$11:$EQ$11,DH$6,'CF(M)'!$L94:$EQ94)</f>
        <v>0</v>
      </c>
      <c r="DI89" s="171">
        <f>SUMIF('CF(M)'!$L$11:$EQ$11,DI$6,'CF(M)'!$L94:$EQ94)</f>
        <v>0</v>
      </c>
      <c r="DJ89" s="171">
        <f>SUMIF('CF(M)'!$L$11:$EQ$11,DJ$6,'CF(M)'!$L94:$EQ94)</f>
        <v>0</v>
      </c>
      <c r="DK89" s="171">
        <f>SUMIF('CF(M)'!$L$11:$EQ$11,DK$6,'CF(M)'!$L94:$EQ94)</f>
        <v>0</v>
      </c>
      <c r="DL89" s="171">
        <f>SUMIF('CF(M)'!$L$11:$EQ$11,DL$6,'CF(M)'!$L94:$EQ94)</f>
        <v>0</v>
      </c>
      <c r="DM89" s="171">
        <f>SUMIF('CF(M)'!$L$11:$EQ$11,DM$6,'CF(M)'!$L94:$EQ94)</f>
        <v>0</v>
      </c>
      <c r="DN89" s="171">
        <f>SUMIF('CF(M)'!$L$11:$EQ$11,DN$6,'CF(M)'!$L94:$EQ94)</f>
        <v>0</v>
      </c>
      <c r="DO89" s="171">
        <f>SUMIF('CF(M)'!$L$11:$EQ$11,DO$6,'CF(M)'!$L94:$EQ94)</f>
        <v>0</v>
      </c>
      <c r="DP89" s="171">
        <f>SUMIF('CF(M)'!$L$11:$EQ$11,DP$6,'CF(M)'!$L94:$EQ94)</f>
        <v>0</v>
      </c>
      <c r="DQ89" s="171">
        <f>SUMIF('CF(M)'!$L$11:$EQ$11,DQ$6,'CF(M)'!$L94:$EQ94)</f>
        <v>0</v>
      </c>
      <c r="DR89" s="171">
        <f>SUMIF('CF(M)'!$L$11:$EQ$11,DR$6,'CF(M)'!$L94:$EQ94)</f>
        <v>0</v>
      </c>
      <c r="DS89" s="171">
        <f>SUMIF('CF(M)'!$L$11:$EQ$11,DS$6,'CF(M)'!$L94:$EQ94)</f>
        <v>0</v>
      </c>
      <c r="DT89" s="171">
        <f>SUMIF('CF(M)'!$L$11:$EQ$11,DT$6,'CF(M)'!$L94:$EQ94)</f>
        <v>0</v>
      </c>
      <c r="DU89" s="171">
        <f>SUMIF('CF(M)'!$L$11:$EQ$11,DU$6,'CF(M)'!$L94:$EQ94)</f>
        <v>0</v>
      </c>
      <c r="DV89" s="171">
        <f>SUMIF('CF(M)'!$L$11:$EQ$11,DV$6,'CF(M)'!$L94:$EQ94)</f>
        <v>0</v>
      </c>
    </row>
    <row r="90" spans="2:126" ht="11.25" customHeight="1">
      <c r="B90" s="218"/>
      <c r="C90" s="158" t="str">
        <f>'CF(FY)'!C90</f>
        <v>1종 우선주</v>
      </c>
      <c r="D90" s="159"/>
      <c r="E90" s="159"/>
      <c r="F90" s="159"/>
      <c r="G90" s="159"/>
      <c r="H90" s="160"/>
      <c r="I90" s="219"/>
      <c r="J90" s="220">
        <f ca="1">SUM(J91:J94)</f>
        <v>-16800000.000000004</v>
      </c>
      <c r="K90" s="98"/>
      <c r="L90" s="162">
        <f ca="1">SUM(L91:L94)</f>
        <v>24000000</v>
      </c>
      <c r="M90" s="162">
        <f t="shared" ref="M90:BX90" ca="1" si="49">SUM(M91:M94)</f>
        <v>-1680000.0000000002</v>
      </c>
      <c r="N90" s="162">
        <f t="shared" ca="1" si="49"/>
        <v>-1680000.0000000002</v>
      </c>
      <c r="O90" s="162">
        <f t="shared" ca="1" si="49"/>
        <v>-1680000.0000000002</v>
      </c>
      <c r="P90" s="162">
        <f t="shared" ca="1" si="49"/>
        <v>-1680000.0000000002</v>
      </c>
      <c r="Q90" s="162">
        <f t="shared" ca="1" si="49"/>
        <v>-1680000.0000000002</v>
      </c>
      <c r="R90" s="162">
        <f t="shared" ca="1" si="49"/>
        <v>-1680000.0000000002</v>
      </c>
      <c r="S90" s="162">
        <f t="shared" ca="1" si="49"/>
        <v>-1680000.0000000002</v>
      </c>
      <c r="T90" s="162">
        <f t="shared" ca="1" si="49"/>
        <v>-1680000.0000000002</v>
      </c>
      <c r="U90" s="162">
        <f t="shared" ca="1" si="49"/>
        <v>-1680000.0000000002</v>
      </c>
      <c r="V90" s="162">
        <f t="shared" ca="1" si="49"/>
        <v>-25680000</v>
      </c>
      <c r="W90" s="162">
        <f t="shared" ca="1" si="49"/>
        <v>0</v>
      </c>
      <c r="X90" s="162">
        <f t="shared" ca="1" si="49"/>
        <v>0</v>
      </c>
      <c r="Y90" s="162">
        <f t="shared" si="49"/>
        <v>0</v>
      </c>
      <c r="Z90" s="162">
        <f t="shared" si="49"/>
        <v>0</v>
      </c>
      <c r="AA90" s="162">
        <f t="shared" si="49"/>
        <v>0</v>
      </c>
      <c r="AB90" s="162">
        <f t="shared" si="49"/>
        <v>0</v>
      </c>
      <c r="AC90" s="162">
        <f t="shared" si="49"/>
        <v>0</v>
      </c>
      <c r="AD90" s="162">
        <f t="shared" si="49"/>
        <v>0</v>
      </c>
      <c r="AE90" s="162">
        <f t="shared" si="49"/>
        <v>0</v>
      </c>
      <c r="AF90" s="162">
        <f t="shared" si="49"/>
        <v>0</v>
      </c>
      <c r="AG90" s="162">
        <f t="shared" si="49"/>
        <v>0</v>
      </c>
      <c r="AH90" s="162">
        <f t="shared" si="49"/>
        <v>0</v>
      </c>
      <c r="AI90" s="162">
        <f t="shared" si="49"/>
        <v>0</v>
      </c>
      <c r="AJ90" s="162">
        <f t="shared" si="49"/>
        <v>0</v>
      </c>
      <c r="AK90" s="162">
        <f t="shared" si="49"/>
        <v>0</v>
      </c>
      <c r="AL90" s="162">
        <f t="shared" si="49"/>
        <v>0</v>
      </c>
      <c r="AM90" s="162">
        <f t="shared" si="49"/>
        <v>0</v>
      </c>
      <c r="AN90" s="162">
        <f t="shared" si="49"/>
        <v>0</v>
      </c>
      <c r="AO90" s="162">
        <f t="shared" si="49"/>
        <v>0</v>
      </c>
      <c r="AP90" s="162">
        <f t="shared" si="49"/>
        <v>0</v>
      </c>
      <c r="AQ90" s="162">
        <f t="shared" si="49"/>
        <v>0</v>
      </c>
      <c r="AR90" s="162">
        <f t="shared" si="49"/>
        <v>0</v>
      </c>
      <c r="AS90" s="162">
        <f t="shared" si="49"/>
        <v>0</v>
      </c>
      <c r="AT90" s="162">
        <f t="shared" si="49"/>
        <v>0</v>
      </c>
      <c r="AU90" s="162">
        <f t="shared" si="49"/>
        <v>0</v>
      </c>
      <c r="AV90" s="162">
        <f t="shared" si="49"/>
        <v>0</v>
      </c>
      <c r="AW90" s="162">
        <f t="shared" si="49"/>
        <v>0</v>
      </c>
      <c r="AX90" s="162">
        <f t="shared" si="49"/>
        <v>0</v>
      </c>
      <c r="AY90" s="162">
        <f t="shared" si="49"/>
        <v>0</v>
      </c>
      <c r="AZ90" s="162">
        <f t="shared" si="49"/>
        <v>0</v>
      </c>
      <c r="BA90" s="162">
        <f t="shared" si="49"/>
        <v>0</v>
      </c>
      <c r="BB90" s="162">
        <f t="shared" si="49"/>
        <v>0</v>
      </c>
      <c r="BC90" s="162">
        <f t="shared" si="49"/>
        <v>0</v>
      </c>
      <c r="BD90" s="162">
        <f t="shared" si="49"/>
        <v>0</v>
      </c>
      <c r="BE90" s="162">
        <f t="shared" si="49"/>
        <v>0</v>
      </c>
      <c r="BF90" s="162">
        <f t="shared" si="49"/>
        <v>0</v>
      </c>
      <c r="BG90" s="162">
        <f t="shared" si="49"/>
        <v>0</v>
      </c>
      <c r="BH90" s="162">
        <f t="shared" si="49"/>
        <v>0</v>
      </c>
      <c r="BI90" s="162">
        <f t="shared" si="49"/>
        <v>0</v>
      </c>
      <c r="BJ90" s="162">
        <f t="shared" si="49"/>
        <v>0</v>
      </c>
      <c r="BK90" s="162">
        <f t="shared" si="49"/>
        <v>0</v>
      </c>
      <c r="BL90" s="162">
        <f t="shared" si="49"/>
        <v>0</v>
      </c>
      <c r="BM90" s="162">
        <f t="shared" si="49"/>
        <v>0</v>
      </c>
      <c r="BN90" s="162">
        <f t="shared" si="49"/>
        <v>0</v>
      </c>
      <c r="BO90" s="162">
        <f t="shared" si="49"/>
        <v>0</v>
      </c>
      <c r="BP90" s="162">
        <f t="shared" si="49"/>
        <v>0</v>
      </c>
      <c r="BQ90" s="162">
        <f t="shared" si="49"/>
        <v>0</v>
      </c>
      <c r="BR90" s="162">
        <f t="shared" si="49"/>
        <v>0</v>
      </c>
      <c r="BS90" s="162">
        <f t="shared" si="49"/>
        <v>0</v>
      </c>
      <c r="BT90" s="162">
        <f t="shared" si="49"/>
        <v>0</v>
      </c>
      <c r="BU90" s="162">
        <f t="shared" si="49"/>
        <v>0</v>
      </c>
      <c r="BV90" s="162">
        <f t="shared" si="49"/>
        <v>0</v>
      </c>
      <c r="BW90" s="162">
        <f t="shared" si="49"/>
        <v>0</v>
      </c>
      <c r="BX90" s="162">
        <f t="shared" si="49"/>
        <v>0</v>
      </c>
      <c r="BY90" s="162">
        <f t="shared" ref="BY90:DV90" si="50">SUM(BY91:BY94)</f>
        <v>0</v>
      </c>
      <c r="BZ90" s="162">
        <f t="shared" si="50"/>
        <v>0</v>
      </c>
      <c r="CA90" s="162">
        <f t="shared" si="50"/>
        <v>0</v>
      </c>
      <c r="CB90" s="162">
        <f t="shared" si="50"/>
        <v>0</v>
      </c>
      <c r="CC90" s="162">
        <f t="shared" si="50"/>
        <v>0</v>
      </c>
      <c r="CD90" s="162">
        <f t="shared" si="50"/>
        <v>0</v>
      </c>
      <c r="CE90" s="162">
        <f t="shared" si="50"/>
        <v>0</v>
      </c>
      <c r="CF90" s="162">
        <f t="shared" si="50"/>
        <v>0</v>
      </c>
      <c r="CG90" s="162">
        <f t="shared" si="50"/>
        <v>0</v>
      </c>
      <c r="CH90" s="162">
        <f t="shared" si="50"/>
        <v>0</v>
      </c>
      <c r="CI90" s="162">
        <f t="shared" si="50"/>
        <v>0</v>
      </c>
      <c r="CJ90" s="162">
        <f t="shared" si="50"/>
        <v>0</v>
      </c>
      <c r="CK90" s="162">
        <f t="shared" si="50"/>
        <v>0</v>
      </c>
      <c r="CL90" s="162">
        <f t="shared" si="50"/>
        <v>0</v>
      </c>
      <c r="CM90" s="162">
        <f t="shared" si="50"/>
        <v>0</v>
      </c>
      <c r="CN90" s="162">
        <f t="shared" si="50"/>
        <v>0</v>
      </c>
      <c r="CO90" s="162">
        <f t="shared" si="50"/>
        <v>0</v>
      </c>
      <c r="CP90" s="162">
        <f t="shared" si="50"/>
        <v>0</v>
      </c>
      <c r="CQ90" s="162">
        <f t="shared" si="50"/>
        <v>0</v>
      </c>
      <c r="CR90" s="162">
        <f t="shared" si="50"/>
        <v>0</v>
      </c>
      <c r="CS90" s="162">
        <f t="shared" si="50"/>
        <v>0</v>
      </c>
      <c r="CT90" s="162">
        <f t="shared" si="50"/>
        <v>0</v>
      </c>
      <c r="CU90" s="162">
        <f t="shared" si="50"/>
        <v>0</v>
      </c>
      <c r="CV90" s="162">
        <f t="shared" si="50"/>
        <v>0</v>
      </c>
      <c r="CW90" s="162">
        <f t="shared" si="50"/>
        <v>0</v>
      </c>
      <c r="CX90" s="162">
        <f t="shared" si="50"/>
        <v>0</v>
      </c>
      <c r="CY90" s="162">
        <f t="shared" si="50"/>
        <v>0</v>
      </c>
      <c r="CZ90" s="162">
        <f t="shared" si="50"/>
        <v>0</v>
      </c>
      <c r="DA90" s="162">
        <f t="shared" si="50"/>
        <v>0</v>
      </c>
      <c r="DB90" s="162">
        <f t="shared" si="50"/>
        <v>0</v>
      </c>
      <c r="DC90" s="162">
        <f t="shared" si="50"/>
        <v>0</v>
      </c>
      <c r="DD90" s="162">
        <f t="shared" si="50"/>
        <v>0</v>
      </c>
      <c r="DE90" s="162">
        <f t="shared" si="50"/>
        <v>0</v>
      </c>
      <c r="DF90" s="162">
        <f t="shared" si="50"/>
        <v>0</v>
      </c>
      <c r="DG90" s="162">
        <f t="shared" si="50"/>
        <v>0</v>
      </c>
      <c r="DH90" s="162">
        <f t="shared" si="50"/>
        <v>0</v>
      </c>
      <c r="DI90" s="162">
        <f t="shared" si="50"/>
        <v>0</v>
      </c>
      <c r="DJ90" s="162">
        <f t="shared" si="50"/>
        <v>0</v>
      </c>
      <c r="DK90" s="162">
        <f t="shared" si="50"/>
        <v>0</v>
      </c>
      <c r="DL90" s="162">
        <f t="shared" si="50"/>
        <v>0</v>
      </c>
      <c r="DM90" s="162">
        <f t="shared" si="50"/>
        <v>0</v>
      </c>
      <c r="DN90" s="162">
        <f t="shared" si="50"/>
        <v>0</v>
      </c>
      <c r="DO90" s="162">
        <f t="shared" si="50"/>
        <v>0</v>
      </c>
      <c r="DP90" s="162">
        <f t="shared" si="50"/>
        <v>0</v>
      </c>
      <c r="DQ90" s="162">
        <f t="shared" si="50"/>
        <v>0</v>
      </c>
      <c r="DR90" s="162">
        <f t="shared" si="50"/>
        <v>0</v>
      </c>
      <c r="DS90" s="162">
        <f t="shared" si="50"/>
        <v>0</v>
      </c>
      <c r="DT90" s="162">
        <f t="shared" si="50"/>
        <v>0</v>
      </c>
      <c r="DU90" s="162">
        <f t="shared" si="50"/>
        <v>0</v>
      </c>
      <c r="DV90" s="162">
        <f t="shared" si="50"/>
        <v>0</v>
      </c>
    </row>
    <row r="91" spans="2:126" ht="11.25" customHeight="1">
      <c r="B91" s="218"/>
      <c r="C91" s="163"/>
      <c r="D91" s="164" t="s">
        <v>208</v>
      </c>
      <c r="E91" s="165"/>
      <c r="F91" s="165"/>
      <c r="G91" s="165"/>
      <c r="H91" s="166"/>
      <c r="I91" s="228"/>
      <c r="J91" s="168">
        <f t="shared" si="48"/>
        <v>24000000</v>
      </c>
      <c r="K91" s="98"/>
      <c r="L91" s="168">
        <f>SUMIF('CF(M)'!$L$11:$EQ$11,L$6,'CF(M)'!$L96:$EQ96)</f>
        <v>24000000</v>
      </c>
      <c r="M91" s="168">
        <f>SUMIF('CF(M)'!$L$11:$EQ$11,M$6,'CF(M)'!$L96:$EQ96)</f>
        <v>0</v>
      </c>
      <c r="N91" s="168">
        <f>SUMIF('CF(M)'!$L$11:$EQ$11,N$6,'CF(M)'!$L96:$EQ96)</f>
        <v>0</v>
      </c>
      <c r="O91" s="168">
        <f>SUMIF('CF(M)'!$L$11:$EQ$11,O$6,'CF(M)'!$L96:$EQ96)</f>
        <v>0</v>
      </c>
      <c r="P91" s="168">
        <f>SUMIF('CF(M)'!$L$11:$EQ$11,P$6,'CF(M)'!$L96:$EQ96)</f>
        <v>0</v>
      </c>
      <c r="Q91" s="168">
        <f>SUMIF('CF(M)'!$L$11:$EQ$11,Q$6,'CF(M)'!$L96:$EQ96)</f>
        <v>0</v>
      </c>
      <c r="R91" s="168">
        <f>SUMIF('CF(M)'!$L$11:$EQ$11,R$6,'CF(M)'!$L96:$EQ96)</f>
        <v>0</v>
      </c>
      <c r="S91" s="168">
        <f>SUMIF('CF(M)'!$L$11:$EQ$11,S$6,'CF(M)'!$L96:$EQ96)</f>
        <v>0</v>
      </c>
      <c r="T91" s="168">
        <f>SUMIF('CF(M)'!$L$11:$EQ$11,T$6,'CF(M)'!$L96:$EQ96)</f>
        <v>0</v>
      </c>
      <c r="U91" s="168">
        <f>SUMIF('CF(M)'!$L$11:$EQ$11,U$6,'CF(M)'!$L96:$EQ96)</f>
        <v>0</v>
      </c>
      <c r="V91" s="168">
        <f>SUMIF('CF(M)'!$L$11:$EQ$11,V$6,'CF(M)'!$L96:$EQ96)</f>
        <v>0</v>
      </c>
      <c r="W91" s="168">
        <f>SUMIF('CF(M)'!$L$11:$EQ$11,W$6,'CF(M)'!$L96:$EQ96)</f>
        <v>0</v>
      </c>
      <c r="X91" s="168">
        <f>SUMIF('CF(M)'!$L$11:$EQ$11,X$6,'CF(M)'!$L96:$EQ96)</f>
        <v>0</v>
      </c>
      <c r="Y91" s="168">
        <f>SUMIF('CF(M)'!$L$11:$EQ$11,Y$6,'CF(M)'!$L96:$EQ96)</f>
        <v>0</v>
      </c>
      <c r="Z91" s="168">
        <f>SUMIF('CF(M)'!$L$11:$EQ$11,Z$6,'CF(M)'!$L96:$EQ96)</f>
        <v>0</v>
      </c>
      <c r="AA91" s="168">
        <f>SUMIF('CF(M)'!$L$11:$EQ$11,AA$6,'CF(M)'!$L96:$EQ96)</f>
        <v>0</v>
      </c>
      <c r="AB91" s="168">
        <f>SUMIF('CF(M)'!$L$11:$EQ$11,AB$6,'CF(M)'!$L96:$EQ96)</f>
        <v>0</v>
      </c>
      <c r="AC91" s="168">
        <f>SUMIF('CF(M)'!$L$11:$EQ$11,AC$6,'CF(M)'!$L96:$EQ96)</f>
        <v>0</v>
      </c>
      <c r="AD91" s="168">
        <f>SUMIF('CF(M)'!$L$11:$EQ$11,AD$6,'CF(M)'!$L96:$EQ96)</f>
        <v>0</v>
      </c>
      <c r="AE91" s="168">
        <f>SUMIF('CF(M)'!$L$11:$EQ$11,AE$6,'CF(M)'!$L96:$EQ96)</f>
        <v>0</v>
      </c>
      <c r="AF91" s="168">
        <f>SUMIF('CF(M)'!$L$11:$EQ$11,AF$6,'CF(M)'!$L96:$EQ96)</f>
        <v>0</v>
      </c>
      <c r="AG91" s="168">
        <f>SUMIF('CF(M)'!$L$11:$EQ$11,AG$6,'CF(M)'!$L96:$EQ96)</f>
        <v>0</v>
      </c>
      <c r="AH91" s="168">
        <f>SUMIF('CF(M)'!$L$11:$EQ$11,AH$6,'CF(M)'!$L96:$EQ96)</f>
        <v>0</v>
      </c>
      <c r="AI91" s="168">
        <f>SUMIF('CF(M)'!$L$11:$EQ$11,AI$6,'CF(M)'!$L96:$EQ96)</f>
        <v>0</v>
      </c>
      <c r="AJ91" s="168">
        <f>SUMIF('CF(M)'!$L$11:$EQ$11,AJ$6,'CF(M)'!$L96:$EQ96)</f>
        <v>0</v>
      </c>
      <c r="AK91" s="168">
        <f>SUMIF('CF(M)'!$L$11:$EQ$11,AK$6,'CF(M)'!$L96:$EQ96)</f>
        <v>0</v>
      </c>
      <c r="AL91" s="168">
        <f>SUMIF('CF(M)'!$L$11:$EQ$11,AL$6,'CF(M)'!$L96:$EQ96)</f>
        <v>0</v>
      </c>
      <c r="AM91" s="168">
        <f>SUMIF('CF(M)'!$L$11:$EQ$11,AM$6,'CF(M)'!$L96:$EQ96)</f>
        <v>0</v>
      </c>
      <c r="AN91" s="168">
        <f>SUMIF('CF(M)'!$L$11:$EQ$11,AN$6,'CF(M)'!$L96:$EQ96)</f>
        <v>0</v>
      </c>
      <c r="AO91" s="168">
        <f>SUMIF('CF(M)'!$L$11:$EQ$11,AO$6,'CF(M)'!$L96:$EQ96)</f>
        <v>0</v>
      </c>
      <c r="AP91" s="168">
        <f>SUMIF('CF(M)'!$L$11:$EQ$11,AP$6,'CF(M)'!$L96:$EQ96)</f>
        <v>0</v>
      </c>
      <c r="AQ91" s="168">
        <f>SUMIF('CF(M)'!$L$11:$EQ$11,AQ$6,'CF(M)'!$L96:$EQ96)</f>
        <v>0</v>
      </c>
      <c r="AR91" s="168">
        <f>SUMIF('CF(M)'!$L$11:$EQ$11,AR$6,'CF(M)'!$L96:$EQ96)</f>
        <v>0</v>
      </c>
      <c r="AS91" s="168">
        <f>SUMIF('CF(M)'!$L$11:$EQ$11,AS$6,'CF(M)'!$L96:$EQ96)</f>
        <v>0</v>
      </c>
      <c r="AT91" s="168">
        <f>SUMIF('CF(M)'!$L$11:$EQ$11,AT$6,'CF(M)'!$L96:$EQ96)</f>
        <v>0</v>
      </c>
      <c r="AU91" s="168">
        <f>SUMIF('CF(M)'!$L$11:$EQ$11,AU$6,'CF(M)'!$L96:$EQ96)</f>
        <v>0</v>
      </c>
      <c r="AV91" s="168">
        <f>SUMIF('CF(M)'!$L$11:$EQ$11,AV$6,'CF(M)'!$L96:$EQ96)</f>
        <v>0</v>
      </c>
      <c r="AW91" s="168">
        <f>SUMIF('CF(M)'!$L$11:$EQ$11,AW$6,'CF(M)'!$L96:$EQ96)</f>
        <v>0</v>
      </c>
      <c r="AX91" s="168">
        <f>SUMIF('CF(M)'!$L$11:$EQ$11,AX$6,'CF(M)'!$L96:$EQ96)</f>
        <v>0</v>
      </c>
      <c r="AY91" s="168">
        <f>SUMIF('CF(M)'!$L$11:$EQ$11,AY$6,'CF(M)'!$L96:$EQ96)</f>
        <v>0</v>
      </c>
      <c r="AZ91" s="168">
        <f>SUMIF('CF(M)'!$L$11:$EQ$11,AZ$6,'CF(M)'!$L96:$EQ96)</f>
        <v>0</v>
      </c>
      <c r="BA91" s="168">
        <f>SUMIF('CF(M)'!$L$11:$EQ$11,BA$6,'CF(M)'!$L96:$EQ96)</f>
        <v>0</v>
      </c>
      <c r="BB91" s="168">
        <f>SUMIF('CF(M)'!$L$11:$EQ$11,BB$6,'CF(M)'!$L96:$EQ96)</f>
        <v>0</v>
      </c>
      <c r="BC91" s="168">
        <f>SUMIF('CF(M)'!$L$11:$EQ$11,BC$6,'CF(M)'!$L96:$EQ96)</f>
        <v>0</v>
      </c>
      <c r="BD91" s="168">
        <f>SUMIF('CF(M)'!$L$11:$EQ$11,BD$6,'CF(M)'!$L96:$EQ96)</f>
        <v>0</v>
      </c>
      <c r="BE91" s="168">
        <f>SUMIF('CF(M)'!$L$11:$EQ$11,BE$6,'CF(M)'!$L96:$EQ96)</f>
        <v>0</v>
      </c>
      <c r="BF91" s="168">
        <f>SUMIF('CF(M)'!$L$11:$EQ$11,BF$6,'CF(M)'!$L96:$EQ96)</f>
        <v>0</v>
      </c>
      <c r="BG91" s="168">
        <f>SUMIF('CF(M)'!$L$11:$EQ$11,BG$6,'CF(M)'!$L96:$EQ96)</f>
        <v>0</v>
      </c>
      <c r="BH91" s="168">
        <f>SUMIF('CF(M)'!$L$11:$EQ$11,BH$6,'CF(M)'!$L96:$EQ96)</f>
        <v>0</v>
      </c>
      <c r="BI91" s="168">
        <f>SUMIF('CF(M)'!$L$11:$EQ$11,BI$6,'CF(M)'!$L96:$EQ96)</f>
        <v>0</v>
      </c>
      <c r="BJ91" s="168">
        <f>SUMIF('CF(M)'!$L$11:$EQ$11,BJ$6,'CF(M)'!$L96:$EQ96)</f>
        <v>0</v>
      </c>
      <c r="BK91" s="168">
        <f>SUMIF('CF(M)'!$L$11:$EQ$11,BK$6,'CF(M)'!$L96:$EQ96)</f>
        <v>0</v>
      </c>
      <c r="BL91" s="168">
        <f>SUMIF('CF(M)'!$L$11:$EQ$11,BL$6,'CF(M)'!$L96:$EQ96)</f>
        <v>0</v>
      </c>
      <c r="BM91" s="168">
        <f>SUMIF('CF(M)'!$L$11:$EQ$11,BM$6,'CF(M)'!$L96:$EQ96)</f>
        <v>0</v>
      </c>
      <c r="BN91" s="168">
        <f>SUMIF('CF(M)'!$L$11:$EQ$11,BN$6,'CF(M)'!$L96:$EQ96)</f>
        <v>0</v>
      </c>
      <c r="BO91" s="168">
        <f>SUMIF('CF(M)'!$L$11:$EQ$11,BO$6,'CF(M)'!$L96:$EQ96)</f>
        <v>0</v>
      </c>
      <c r="BP91" s="168">
        <f>SUMIF('CF(M)'!$L$11:$EQ$11,BP$6,'CF(M)'!$L96:$EQ96)</f>
        <v>0</v>
      </c>
      <c r="BQ91" s="168">
        <f>SUMIF('CF(M)'!$L$11:$EQ$11,BQ$6,'CF(M)'!$L96:$EQ96)</f>
        <v>0</v>
      </c>
      <c r="BR91" s="168">
        <f>SUMIF('CF(M)'!$L$11:$EQ$11,BR$6,'CF(M)'!$L96:$EQ96)</f>
        <v>0</v>
      </c>
      <c r="BS91" s="168">
        <f>SUMIF('CF(M)'!$L$11:$EQ$11,BS$6,'CF(M)'!$L96:$EQ96)</f>
        <v>0</v>
      </c>
      <c r="BT91" s="168">
        <f>SUMIF('CF(M)'!$L$11:$EQ$11,BT$6,'CF(M)'!$L96:$EQ96)</f>
        <v>0</v>
      </c>
      <c r="BU91" s="168">
        <f>SUMIF('CF(M)'!$L$11:$EQ$11,BU$6,'CF(M)'!$L96:$EQ96)</f>
        <v>0</v>
      </c>
      <c r="BV91" s="168">
        <f>SUMIF('CF(M)'!$L$11:$EQ$11,BV$6,'CF(M)'!$L96:$EQ96)</f>
        <v>0</v>
      </c>
      <c r="BW91" s="168">
        <f>SUMIF('CF(M)'!$L$11:$EQ$11,BW$6,'CF(M)'!$L96:$EQ96)</f>
        <v>0</v>
      </c>
      <c r="BX91" s="168">
        <f>SUMIF('CF(M)'!$L$11:$EQ$11,BX$6,'CF(M)'!$L96:$EQ96)</f>
        <v>0</v>
      </c>
      <c r="BY91" s="168">
        <f>SUMIF('CF(M)'!$L$11:$EQ$11,BY$6,'CF(M)'!$L96:$EQ96)</f>
        <v>0</v>
      </c>
      <c r="BZ91" s="168">
        <f>SUMIF('CF(M)'!$L$11:$EQ$11,BZ$6,'CF(M)'!$L96:$EQ96)</f>
        <v>0</v>
      </c>
      <c r="CA91" s="168">
        <f>SUMIF('CF(M)'!$L$11:$EQ$11,CA$6,'CF(M)'!$L96:$EQ96)</f>
        <v>0</v>
      </c>
      <c r="CB91" s="168">
        <f>SUMIF('CF(M)'!$L$11:$EQ$11,CB$6,'CF(M)'!$L96:$EQ96)</f>
        <v>0</v>
      </c>
      <c r="CC91" s="168">
        <f>SUMIF('CF(M)'!$L$11:$EQ$11,CC$6,'CF(M)'!$L96:$EQ96)</f>
        <v>0</v>
      </c>
      <c r="CD91" s="168">
        <f>SUMIF('CF(M)'!$L$11:$EQ$11,CD$6,'CF(M)'!$L96:$EQ96)</f>
        <v>0</v>
      </c>
      <c r="CE91" s="168">
        <f>SUMIF('CF(M)'!$L$11:$EQ$11,CE$6,'CF(M)'!$L96:$EQ96)</f>
        <v>0</v>
      </c>
      <c r="CF91" s="168">
        <f>SUMIF('CF(M)'!$L$11:$EQ$11,CF$6,'CF(M)'!$L96:$EQ96)</f>
        <v>0</v>
      </c>
      <c r="CG91" s="168">
        <f>SUMIF('CF(M)'!$L$11:$EQ$11,CG$6,'CF(M)'!$L96:$EQ96)</f>
        <v>0</v>
      </c>
      <c r="CH91" s="168">
        <f>SUMIF('CF(M)'!$L$11:$EQ$11,CH$6,'CF(M)'!$L96:$EQ96)</f>
        <v>0</v>
      </c>
      <c r="CI91" s="168">
        <f>SUMIF('CF(M)'!$L$11:$EQ$11,CI$6,'CF(M)'!$L96:$EQ96)</f>
        <v>0</v>
      </c>
      <c r="CJ91" s="168">
        <f>SUMIF('CF(M)'!$L$11:$EQ$11,CJ$6,'CF(M)'!$L96:$EQ96)</f>
        <v>0</v>
      </c>
      <c r="CK91" s="168">
        <f>SUMIF('CF(M)'!$L$11:$EQ$11,CK$6,'CF(M)'!$L96:$EQ96)</f>
        <v>0</v>
      </c>
      <c r="CL91" s="168">
        <f>SUMIF('CF(M)'!$L$11:$EQ$11,CL$6,'CF(M)'!$L96:$EQ96)</f>
        <v>0</v>
      </c>
      <c r="CM91" s="168">
        <f>SUMIF('CF(M)'!$L$11:$EQ$11,CM$6,'CF(M)'!$L96:$EQ96)</f>
        <v>0</v>
      </c>
      <c r="CN91" s="168">
        <f>SUMIF('CF(M)'!$L$11:$EQ$11,CN$6,'CF(M)'!$L96:$EQ96)</f>
        <v>0</v>
      </c>
      <c r="CO91" s="168">
        <f>SUMIF('CF(M)'!$L$11:$EQ$11,CO$6,'CF(M)'!$L96:$EQ96)</f>
        <v>0</v>
      </c>
      <c r="CP91" s="168">
        <f>SUMIF('CF(M)'!$L$11:$EQ$11,CP$6,'CF(M)'!$L96:$EQ96)</f>
        <v>0</v>
      </c>
      <c r="CQ91" s="168">
        <f>SUMIF('CF(M)'!$L$11:$EQ$11,CQ$6,'CF(M)'!$L96:$EQ96)</f>
        <v>0</v>
      </c>
      <c r="CR91" s="168">
        <f>SUMIF('CF(M)'!$L$11:$EQ$11,CR$6,'CF(M)'!$L96:$EQ96)</f>
        <v>0</v>
      </c>
      <c r="CS91" s="168">
        <f>SUMIF('CF(M)'!$L$11:$EQ$11,CS$6,'CF(M)'!$L96:$EQ96)</f>
        <v>0</v>
      </c>
      <c r="CT91" s="168">
        <f>SUMIF('CF(M)'!$L$11:$EQ$11,CT$6,'CF(M)'!$L96:$EQ96)</f>
        <v>0</v>
      </c>
      <c r="CU91" s="168">
        <f>SUMIF('CF(M)'!$L$11:$EQ$11,CU$6,'CF(M)'!$L96:$EQ96)</f>
        <v>0</v>
      </c>
      <c r="CV91" s="168">
        <f>SUMIF('CF(M)'!$L$11:$EQ$11,CV$6,'CF(M)'!$L96:$EQ96)</f>
        <v>0</v>
      </c>
      <c r="CW91" s="168">
        <f>SUMIF('CF(M)'!$L$11:$EQ$11,CW$6,'CF(M)'!$L96:$EQ96)</f>
        <v>0</v>
      </c>
      <c r="CX91" s="168">
        <f>SUMIF('CF(M)'!$L$11:$EQ$11,CX$6,'CF(M)'!$L96:$EQ96)</f>
        <v>0</v>
      </c>
      <c r="CY91" s="168">
        <f>SUMIF('CF(M)'!$L$11:$EQ$11,CY$6,'CF(M)'!$L96:$EQ96)</f>
        <v>0</v>
      </c>
      <c r="CZ91" s="168">
        <f>SUMIF('CF(M)'!$L$11:$EQ$11,CZ$6,'CF(M)'!$L96:$EQ96)</f>
        <v>0</v>
      </c>
      <c r="DA91" s="168">
        <f>SUMIF('CF(M)'!$L$11:$EQ$11,DA$6,'CF(M)'!$L96:$EQ96)</f>
        <v>0</v>
      </c>
      <c r="DB91" s="168">
        <f>SUMIF('CF(M)'!$L$11:$EQ$11,DB$6,'CF(M)'!$L96:$EQ96)</f>
        <v>0</v>
      </c>
      <c r="DC91" s="168">
        <f>SUMIF('CF(M)'!$L$11:$EQ$11,DC$6,'CF(M)'!$L96:$EQ96)</f>
        <v>0</v>
      </c>
      <c r="DD91" s="168">
        <f>SUMIF('CF(M)'!$L$11:$EQ$11,DD$6,'CF(M)'!$L96:$EQ96)</f>
        <v>0</v>
      </c>
      <c r="DE91" s="168">
        <f>SUMIF('CF(M)'!$L$11:$EQ$11,DE$6,'CF(M)'!$L96:$EQ96)</f>
        <v>0</v>
      </c>
      <c r="DF91" s="168">
        <f>SUMIF('CF(M)'!$L$11:$EQ$11,DF$6,'CF(M)'!$L96:$EQ96)</f>
        <v>0</v>
      </c>
      <c r="DG91" s="168">
        <f>SUMIF('CF(M)'!$L$11:$EQ$11,DG$6,'CF(M)'!$L96:$EQ96)</f>
        <v>0</v>
      </c>
      <c r="DH91" s="168">
        <f>SUMIF('CF(M)'!$L$11:$EQ$11,DH$6,'CF(M)'!$L96:$EQ96)</f>
        <v>0</v>
      </c>
      <c r="DI91" s="168">
        <f>SUMIF('CF(M)'!$L$11:$EQ$11,DI$6,'CF(M)'!$L96:$EQ96)</f>
        <v>0</v>
      </c>
      <c r="DJ91" s="168">
        <f>SUMIF('CF(M)'!$L$11:$EQ$11,DJ$6,'CF(M)'!$L96:$EQ96)</f>
        <v>0</v>
      </c>
      <c r="DK91" s="168">
        <f>SUMIF('CF(M)'!$L$11:$EQ$11,DK$6,'CF(M)'!$L96:$EQ96)</f>
        <v>0</v>
      </c>
      <c r="DL91" s="168">
        <f>SUMIF('CF(M)'!$L$11:$EQ$11,DL$6,'CF(M)'!$L96:$EQ96)</f>
        <v>0</v>
      </c>
      <c r="DM91" s="168">
        <f>SUMIF('CF(M)'!$L$11:$EQ$11,DM$6,'CF(M)'!$L96:$EQ96)</f>
        <v>0</v>
      </c>
      <c r="DN91" s="168">
        <f>SUMIF('CF(M)'!$L$11:$EQ$11,DN$6,'CF(M)'!$L96:$EQ96)</f>
        <v>0</v>
      </c>
      <c r="DO91" s="168">
        <f>SUMIF('CF(M)'!$L$11:$EQ$11,DO$6,'CF(M)'!$L96:$EQ96)</f>
        <v>0</v>
      </c>
      <c r="DP91" s="168">
        <f>SUMIF('CF(M)'!$L$11:$EQ$11,DP$6,'CF(M)'!$L96:$EQ96)</f>
        <v>0</v>
      </c>
      <c r="DQ91" s="168">
        <f>SUMIF('CF(M)'!$L$11:$EQ$11,DQ$6,'CF(M)'!$L96:$EQ96)</f>
        <v>0</v>
      </c>
      <c r="DR91" s="168">
        <f>SUMIF('CF(M)'!$L$11:$EQ$11,DR$6,'CF(M)'!$L96:$EQ96)</f>
        <v>0</v>
      </c>
      <c r="DS91" s="168">
        <f>SUMIF('CF(M)'!$L$11:$EQ$11,DS$6,'CF(M)'!$L96:$EQ96)</f>
        <v>0</v>
      </c>
      <c r="DT91" s="168">
        <f>SUMIF('CF(M)'!$L$11:$EQ$11,DT$6,'CF(M)'!$L96:$EQ96)</f>
        <v>0</v>
      </c>
      <c r="DU91" s="168">
        <f>SUMIF('CF(M)'!$L$11:$EQ$11,DU$6,'CF(M)'!$L96:$EQ96)</f>
        <v>0</v>
      </c>
      <c r="DV91" s="168">
        <f>SUMIF('CF(M)'!$L$11:$EQ$11,DV$6,'CF(M)'!$L96:$EQ96)</f>
        <v>0</v>
      </c>
    </row>
    <row r="92" spans="2:126" ht="11.25" customHeight="1">
      <c r="B92" s="218"/>
      <c r="C92" s="163"/>
      <c r="D92" s="169" t="s">
        <v>551</v>
      </c>
      <c r="H92" s="146"/>
      <c r="I92" s="229"/>
      <c r="J92" s="171">
        <f t="shared" si="48"/>
        <v>-24000000</v>
      </c>
      <c r="K92" s="98"/>
      <c r="L92" s="171">
        <f>SUMIF('CF(M)'!$L$11:$EQ$11,L$6,'CF(M)'!$L97:$EQ97)</f>
        <v>0</v>
      </c>
      <c r="M92" s="171">
        <f>SUMIF('CF(M)'!$L$11:$EQ$11,M$6,'CF(M)'!$L97:$EQ97)</f>
        <v>0</v>
      </c>
      <c r="N92" s="171">
        <f>SUMIF('CF(M)'!$L$11:$EQ$11,N$6,'CF(M)'!$L97:$EQ97)</f>
        <v>0</v>
      </c>
      <c r="O92" s="171">
        <f>SUMIF('CF(M)'!$L$11:$EQ$11,O$6,'CF(M)'!$L97:$EQ97)</f>
        <v>0</v>
      </c>
      <c r="P92" s="171">
        <f>SUMIF('CF(M)'!$L$11:$EQ$11,P$6,'CF(M)'!$L97:$EQ97)</f>
        <v>0</v>
      </c>
      <c r="Q92" s="171">
        <f>SUMIF('CF(M)'!$L$11:$EQ$11,Q$6,'CF(M)'!$L97:$EQ97)</f>
        <v>0</v>
      </c>
      <c r="R92" s="171">
        <f>SUMIF('CF(M)'!$L$11:$EQ$11,R$6,'CF(M)'!$L97:$EQ97)</f>
        <v>0</v>
      </c>
      <c r="S92" s="171">
        <f>SUMIF('CF(M)'!$L$11:$EQ$11,S$6,'CF(M)'!$L97:$EQ97)</f>
        <v>0</v>
      </c>
      <c r="T92" s="171">
        <f>SUMIF('CF(M)'!$L$11:$EQ$11,T$6,'CF(M)'!$L97:$EQ97)</f>
        <v>0</v>
      </c>
      <c r="U92" s="171">
        <f>SUMIF('CF(M)'!$L$11:$EQ$11,U$6,'CF(M)'!$L97:$EQ97)</f>
        <v>0</v>
      </c>
      <c r="V92" s="171">
        <f>SUMIF('CF(M)'!$L$11:$EQ$11,V$6,'CF(M)'!$L97:$EQ97)</f>
        <v>-24000000</v>
      </c>
      <c r="W92" s="171">
        <f>SUMIF('CF(M)'!$L$11:$EQ$11,W$6,'CF(M)'!$L97:$EQ97)</f>
        <v>0</v>
      </c>
      <c r="X92" s="171">
        <f>SUMIF('CF(M)'!$L$11:$EQ$11,X$6,'CF(M)'!$L97:$EQ97)</f>
        <v>0</v>
      </c>
      <c r="Y92" s="171">
        <f>SUMIF('CF(M)'!$L$11:$EQ$11,Y$6,'CF(M)'!$L97:$EQ97)</f>
        <v>0</v>
      </c>
      <c r="Z92" s="171">
        <f>SUMIF('CF(M)'!$L$11:$EQ$11,Z$6,'CF(M)'!$L97:$EQ97)</f>
        <v>0</v>
      </c>
      <c r="AA92" s="171">
        <f>SUMIF('CF(M)'!$L$11:$EQ$11,AA$6,'CF(M)'!$L97:$EQ97)</f>
        <v>0</v>
      </c>
      <c r="AB92" s="171">
        <f>SUMIF('CF(M)'!$L$11:$EQ$11,AB$6,'CF(M)'!$L97:$EQ97)</f>
        <v>0</v>
      </c>
      <c r="AC92" s="171">
        <f>SUMIF('CF(M)'!$L$11:$EQ$11,AC$6,'CF(M)'!$L97:$EQ97)</f>
        <v>0</v>
      </c>
      <c r="AD92" s="171">
        <f>SUMIF('CF(M)'!$L$11:$EQ$11,AD$6,'CF(M)'!$L97:$EQ97)</f>
        <v>0</v>
      </c>
      <c r="AE92" s="171">
        <f>SUMIF('CF(M)'!$L$11:$EQ$11,AE$6,'CF(M)'!$L97:$EQ97)</f>
        <v>0</v>
      </c>
      <c r="AF92" s="171">
        <f>SUMIF('CF(M)'!$L$11:$EQ$11,AF$6,'CF(M)'!$L97:$EQ97)</f>
        <v>0</v>
      </c>
      <c r="AG92" s="171">
        <f>SUMIF('CF(M)'!$L$11:$EQ$11,AG$6,'CF(M)'!$L97:$EQ97)</f>
        <v>0</v>
      </c>
      <c r="AH92" s="171">
        <f>SUMIF('CF(M)'!$L$11:$EQ$11,AH$6,'CF(M)'!$L97:$EQ97)</f>
        <v>0</v>
      </c>
      <c r="AI92" s="171">
        <f>SUMIF('CF(M)'!$L$11:$EQ$11,AI$6,'CF(M)'!$L97:$EQ97)</f>
        <v>0</v>
      </c>
      <c r="AJ92" s="171">
        <f>SUMIF('CF(M)'!$L$11:$EQ$11,AJ$6,'CF(M)'!$L97:$EQ97)</f>
        <v>0</v>
      </c>
      <c r="AK92" s="171">
        <f>SUMIF('CF(M)'!$L$11:$EQ$11,AK$6,'CF(M)'!$L97:$EQ97)</f>
        <v>0</v>
      </c>
      <c r="AL92" s="171">
        <f>SUMIF('CF(M)'!$L$11:$EQ$11,AL$6,'CF(M)'!$L97:$EQ97)</f>
        <v>0</v>
      </c>
      <c r="AM92" s="171">
        <f>SUMIF('CF(M)'!$L$11:$EQ$11,AM$6,'CF(M)'!$L97:$EQ97)</f>
        <v>0</v>
      </c>
      <c r="AN92" s="171">
        <f>SUMIF('CF(M)'!$L$11:$EQ$11,AN$6,'CF(M)'!$L97:$EQ97)</f>
        <v>0</v>
      </c>
      <c r="AO92" s="171">
        <f>SUMIF('CF(M)'!$L$11:$EQ$11,AO$6,'CF(M)'!$L97:$EQ97)</f>
        <v>0</v>
      </c>
      <c r="AP92" s="171">
        <f>SUMIF('CF(M)'!$L$11:$EQ$11,AP$6,'CF(M)'!$L97:$EQ97)</f>
        <v>0</v>
      </c>
      <c r="AQ92" s="171">
        <f>SUMIF('CF(M)'!$L$11:$EQ$11,AQ$6,'CF(M)'!$L97:$EQ97)</f>
        <v>0</v>
      </c>
      <c r="AR92" s="171">
        <f>SUMIF('CF(M)'!$L$11:$EQ$11,AR$6,'CF(M)'!$L97:$EQ97)</f>
        <v>0</v>
      </c>
      <c r="AS92" s="171">
        <f>SUMIF('CF(M)'!$L$11:$EQ$11,AS$6,'CF(M)'!$L97:$EQ97)</f>
        <v>0</v>
      </c>
      <c r="AT92" s="171">
        <f>SUMIF('CF(M)'!$L$11:$EQ$11,AT$6,'CF(M)'!$L97:$EQ97)</f>
        <v>0</v>
      </c>
      <c r="AU92" s="171">
        <f>SUMIF('CF(M)'!$L$11:$EQ$11,AU$6,'CF(M)'!$L97:$EQ97)</f>
        <v>0</v>
      </c>
      <c r="AV92" s="171">
        <f>SUMIF('CF(M)'!$L$11:$EQ$11,AV$6,'CF(M)'!$L97:$EQ97)</f>
        <v>0</v>
      </c>
      <c r="AW92" s="171">
        <f>SUMIF('CF(M)'!$L$11:$EQ$11,AW$6,'CF(M)'!$L97:$EQ97)</f>
        <v>0</v>
      </c>
      <c r="AX92" s="171">
        <f>SUMIF('CF(M)'!$L$11:$EQ$11,AX$6,'CF(M)'!$L97:$EQ97)</f>
        <v>0</v>
      </c>
      <c r="AY92" s="171">
        <f>SUMIF('CF(M)'!$L$11:$EQ$11,AY$6,'CF(M)'!$L97:$EQ97)</f>
        <v>0</v>
      </c>
      <c r="AZ92" s="171">
        <f>SUMIF('CF(M)'!$L$11:$EQ$11,AZ$6,'CF(M)'!$L97:$EQ97)</f>
        <v>0</v>
      </c>
      <c r="BA92" s="171">
        <f>SUMIF('CF(M)'!$L$11:$EQ$11,BA$6,'CF(M)'!$L97:$EQ97)</f>
        <v>0</v>
      </c>
      <c r="BB92" s="171">
        <f>SUMIF('CF(M)'!$L$11:$EQ$11,BB$6,'CF(M)'!$L97:$EQ97)</f>
        <v>0</v>
      </c>
      <c r="BC92" s="171">
        <f>SUMIF('CF(M)'!$L$11:$EQ$11,BC$6,'CF(M)'!$L97:$EQ97)</f>
        <v>0</v>
      </c>
      <c r="BD92" s="171">
        <f>SUMIF('CF(M)'!$L$11:$EQ$11,BD$6,'CF(M)'!$L97:$EQ97)</f>
        <v>0</v>
      </c>
      <c r="BE92" s="171">
        <f>SUMIF('CF(M)'!$L$11:$EQ$11,BE$6,'CF(M)'!$L97:$EQ97)</f>
        <v>0</v>
      </c>
      <c r="BF92" s="171">
        <f>SUMIF('CF(M)'!$L$11:$EQ$11,BF$6,'CF(M)'!$L97:$EQ97)</f>
        <v>0</v>
      </c>
      <c r="BG92" s="171">
        <f>SUMIF('CF(M)'!$L$11:$EQ$11,BG$6,'CF(M)'!$L97:$EQ97)</f>
        <v>0</v>
      </c>
      <c r="BH92" s="171">
        <f>SUMIF('CF(M)'!$L$11:$EQ$11,BH$6,'CF(M)'!$L97:$EQ97)</f>
        <v>0</v>
      </c>
      <c r="BI92" s="171">
        <f>SUMIF('CF(M)'!$L$11:$EQ$11,BI$6,'CF(M)'!$L97:$EQ97)</f>
        <v>0</v>
      </c>
      <c r="BJ92" s="171">
        <f>SUMIF('CF(M)'!$L$11:$EQ$11,BJ$6,'CF(M)'!$L97:$EQ97)</f>
        <v>0</v>
      </c>
      <c r="BK92" s="171">
        <f>SUMIF('CF(M)'!$L$11:$EQ$11,BK$6,'CF(M)'!$L97:$EQ97)</f>
        <v>0</v>
      </c>
      <c r="BL92" s="171">
        <f>SUMIF('CF(M)'!$L$11:$EQ$11,BL$6,'CF(M)'!$L97:$EQ97)</f>
        <v>0</v>
      </c>
      <c r="BM92" s="171">
        <f>SUMIF('CF(M)'!$L$11:$EQ$11,BM$6,'CF(M)'!$L97:$EQ97)</f>
        <v>0</v>
      </c>
      <c r="BN92" s="171">
        <f>SUMIF('CF(M)'!$L$11:$EQ$11,BN$6,'CF(M)'!$L97:$EQ97)</f>
        <v>0</v>
      </c>
      <c r="BO92" s="171">
        <f>SUMIF('CF(M)'!$L$11:$EQ$11,BO$6,'CF(M)'!$L97:$EQ97)</f>
        <v>0</v>
      </c>
      <c r="BP92" s="171">
        <f>SUMIF('CF(M)'!$L$11:$EQ$11,BP$6,'CF(M)'!$L97:$EQ97)</f>
        <v>0</v>
      </c>
      <c r="BQ92" s="171">
        <f>SUMIF('CF(M)'!$L$11:$EQ$11,BQ$6,'CF(M)'!$L97:$EQ97)</f>
        <v>0</v>
      </c>
      <c r="BR92" s="171">
        <f>SUMIF('CF(M)'!$L$11:$EQ$11,BR$6,'CF(M)'!$L97:$EQ97)</f>
        <v>0</v>
      </c>
      <c r="BS92" s="171">
        <f>SUMIF('CF(M)'!$L$11:$EQ$11,BS$6,'CF(M)'!$L97:$EQ97)</f>
        <v>0</v>
      </c>
      <c r="BT92" s="171">
        <f>SUMIF('CF(M)'!$L$11:$EQ$11,BT$6,'CF(M)'!$L97:$EQ97)</f>
        <v>0</v>
      </c>
      <c r="BU92" s="171">
        <f>SUMIF('CF(M)'!$L$11:$EQ$11,BU$6,'CF(M)'!$L97:$EQ97)</f>
        <v>0</v>
      </c>
      <c r="BV92" s="171">
        <f>SUMIF('CF(M)'!$L$11:$EQ$11,BV$6,'CF(M)'!$L97:$EQ97)</f>
        <v>0</v>
      </c>
      <c r="BW92" s="171">
        <f>SUMIF('CF(M)'!$L$11:$EQ$11,BW$6,'CF(M)'!$L97:$EQ97)</f>
        <v>0</v>
      </c>
      <c r="BX92" s="171">
        <f>SUMIF('CF(M)'!$L$11:$EQ$11,BX$6,'CF(M)'!$L97:$EQ97)</f>
        <v>0</v>
      </c>
      <c r="BY92" s="171">
        <f>SUMIF('CF(M)'!$L$11:$EQ$11,BY$6,'CF(M)'!$L97:$EQ97)</f>
        <v>0</v>
      </c>
      <c r="BZ92" s="171">
        <f>SUMIF('CF(M)'!$L$11:$EQ$11,BZ$6,'CF(M)'!$L97:$EQ97)</f>
        <v>0</v>
      </c>
      <c r="CA92" s="171">
        <f>SUMIF('CF(M)'!$L$11:$EQ$11,CA$6,'CF(M)'!$L97:$EQ97)</f>
        <v>0</v>
      </c>
      <c r="CB92" s="171">
        <f>SUMIF('CF(M)'!$L$11:$EQ$11,CB$6,'CF(M)'!$L97:$EQ97)</f>
        <v>0</v>
      </c>
      <c r="CC92" s="171">
        <f>SUMIF('CF(M)'!$L$11:$EQ$11,CC$6,'CF(M)'!$L97:$EQ97)</f>
        <v>0</v>
      </c>
      <c r="CD92" s="171">
        <f>SUMIF('CF(M)'!$L$11:$EQ$11,CD$6,'CF(M)'!$L97:$EQ97)</f>
        <v>0</v>
      </c>
      <c r="CE92" s="171">
        <f>SUMIF('CF(M)'!$L$11:$EQ$11,CE$6,'CF(M)'!$L97:$EQ97)</f>
        <v>0</v>
      </c>
      <c r="CF92" s="171">
        <f>SUMIF('CF(M)'!$L$11:$EQ$11,CF$6,'CF(M)'!$L97:$EQ97)</f>
        <v>0</v>
      </c>
      <c r="CG92" s="171">
        <f>SUMIF('CF(M)'!$L$11:$EQ$11,CG$6,'CF(M)'!$L97:$EQ97)</f>
        <v>0</v>
      </c>
      <c r="CH92" s="171">
        <f>SUMIF('CF(M)'!$L$11:$EQ$11,CH$6,'CF(M)'!$L97:$EQ97)</f>
        <v>0</v>
      </c>
      <c r="CI92" s="171">
        <f>SUMIF('CF(M)'!$L$11:$EQ$11,CI$6,'CF(M)'!$L97:$EQ97)</f>
        <v>0</v>
      </c>
      <c r="CJ92" s="171">
        <f>SUMIF('CF(M)'!$L$11:$EQ$11,CJ$6,'CF(M)'!$L97:$EQ97)</f>
        <v>0</v>
      </c>
      <c r="CK92" s="171">
        <f>SUMIF('CF(M)'!$L$11:$EQ$11,CK$6,'CF(M)'!$L97:$EQ97)</f>
        <v>0</v>
      </c>
      <c r="CL92" s="171">
        <f>SUMIF('CF(M)'!$L$11:$EQ$11,CL$6,'CF(M)'!$L97:$EQ97)</f>
        <v>0</v>
      </c>
      <c r="CM92" s="171">
        <f>SUMIF('CF(M)'!$L$11:$EQ$11,CM$6,'CF(M)'!$L97:$EQ97)</f>
        <v>0</v>
      </c>
      <c r="CN92" s="171">
        <f>SUMIF('CF(M)'!$L$11:$EQ$11,CN$6,'CF(M)'!$L97:$EQ97)</f>
        <v>0</v>
      </c>
      <c r="CO92" s="171">
        <f>SUMIF('CF(M)'!$L$11:$EQ$11,CO$6,'CF(M)'!$L97:$EQ97)</f>
        <v>0</v>
      </c>
      <c r="CP92" s="171">
        <f>SUMIF('CF(M)'!$L$11:$EQ$11,CP$6,'CF(M)'!$L97:$EQ97)</f>
        <v>0</v>
      </c>
      <c r="CQ92" s="171">
        <f>SUMIF('CF(M)'!$L$11:$EQ$11,CQ$6,'CF(M)'!$L97:$EQ97)</f>
        <v>0</v>
      </c>
      <c r="CR92" s="171">
        <f>SUMIF('CF(M)'!$L$11:$EQ$11,CR$6,'CF(M)'!$L97:$EQ97)</f>
        <v>0</v>
      </c>
      <c r="CS92" s="171">
        <f>SUMIF('CF(M)'!$L$11:$EQ$11,CS$6,'CF(M)'!$L97:$EQ97)</f>
        <v>0</v>
      </c>
      <c r="CT92" s="171">
        <f>SUMIF('CF(M)'!$L$11:$EQ$11,CT$6,'CF(M)'!$L97:$EQ97)</f>
        <v>0</v>
      </c>
      <c r="CU92" s="171">
        <f>SUMIF('CF(M)'!$L$11:$EQ$11,CU$6,'CF(M)'!$L97:$EQ97)</f>
        <v>0</v>
      </c>
      <c r="CV92" s="171">
        <f>SUMIF('CF(M)'!$L$11:$EQ$11,CV$6,'CF(M)'!$L97:$EQ97)</f>
        <v>0</v>
      </c>
      <c r="CW92" s="171">
        <f>SUMIF('CF(M)'!$L$11:$EQ$11,CW$6,'CF(M)'!$L97:$EQ97)</f>
        <v>0</v>
      </c>
      <c r="CX92" s="171">
        <f>SUMIF('CF(M)'!$L$11:$EQ$11,CX$6,'CF(M)'!$L97:$EQ97)</f>
        <v>0</v>
      </c>
      <c r="CY92" s="171">
        <f>SUMIF('CF(M)'!$L$11:$EQ$11,CY$6,'CF(M)'!$L97:$EQ97)</f>
        <v>0</v>
      </c>
      <c r="CZ92" s="171">
        <f>SUMIF('CF(M)'!$L$11:$EQ$11,CZ$6,'CF(M)'!$L97:$EQ97)</f>
        <v>0</v>
      </c>
      <c r="DA92" s="171">
        <f>SUMIF('CF(M)'!$L$11:$EQ$11,DA$6,'CF(M)'!$L97:$EQ97)</f>
        <v>0</v>
      </c>
      <c r="DB92" s="171">
        <f>SUMIF('CF(M)'!$L$11:$EQ$11,DB$6,'CF(M)'!$L97:$EQ97)</f>
        <v>0</v>
      </c>
      <c r="DC92" s="171">
        <f>SUMIF('CF(M)'!$L$11:$EQ$11,DC$6,'CF(M)'!$L97:$EQ97)</f>
        <v>0</v>
      </c>
      <c r="DD92" s="171">
        <f>SUMIF('CF(M)'!$L$11:$EQ$11,DD$6,'CF(M)'!$L97:$EQ97)</f>
        <v>0</v>
      </c>
      <c r="DE92" s="171">
        <f>SUMIF('CF(M)'!$L$11:$EQ$11,DE$6,'CF(M)'!$L97:$EQ97)</f>
        <v>0</v>
      </c>
      <c r="DF92" s="171">
        <f>SUMIF('CF(M)'!$L$11:$EQ$11,DF$6,'CF(M)'!$L97:$EQ97)</f>
        <v>0</v>
      </c>
      <c r="DG92" s="171">
        <f>SUMIF('CF(M)'!$L$11:$EQ$11,DG$6,'CF(M)'!$L97:$EQ97)</f>
        <v>0</v>
      </c>
      <c r="DH92" s="171">
        <f>SUMIF('CF(M)'!$L$11:$EQ$11,DH$6,'CF(M)'!$L97:$EQ97)</f>
        <v>0</v>
      </c>
      <c r="DI92" s="171">
        <f>SUMIF('CF(M)'!$L$11:$EQ$11,DI$6,'CF(M)'!$L97:$EQ97)</f>
        <v>0</v>
      </c>
      <c r="DJ92" s="171">
        <f>SUMIF('CF(M)'!$L$11:$EQ$11,DJ$6,'CF(M)'!$L97:$EQ97)</f>
        <v>0</v>
      </c>
      <c r="DK92" s="171">
        <f>SUMIF('CF(M)'!$L$11:$EQ$11,DK$6,'CF(M)'!$L97:$EQ97)</f>
        <v>0</v>
      </c>
      <c r="DL92" s="171">
        <f>SUMIF('CF(M)'!$L$11:$EQ$11,DL$6,'CF(M)'!$L97:$EQ97)</f>
        <v>0</v>
      </c>
      <c r="DM92" s="171">
        <f>SUMIF('CF(M)'!$L$11:$EQ$11,DM$6,'CF(M)'!$L97:$EQ97)</f>
        <v>0</v>
      </c>
      <c r="DN92" s="171">
        <f>SUMIF('CF(M)'!$L$11:$EQ$11,DN$6,'CF(M)'!$L97:$EQ97)</f>
        <v>0</v>
      </c>
      <c r="DO92" s="171">
        <f>SUMIF('CF(M)'!$L$11:$EQ$11,DO$6,'CF(M)'!$L97:$EQ97)</f>
        <v>0</v>
      </c>
      <c r="DP92" s="171">
        <f>SUMIF('CF(M)'!$L$11:$EQ$11,DP$6,'CF(M)'!$L97:$EQ97)</f>
        <v>0</v>
      </c>
      <c r="DQ92" s="171">
        <f>SUMIF('CF(M)'!$L$11:$EQ$11,DQ$6,'CF(M)'!$L97:$EQ97)</f>
        <v>0</v>
      </c>
      <c r="DR92" s="171">
        <f>SUMIF('CF(M)'!$L$11:$EQ$11,DR$6,'CF(M)'!$L97:$EQ97)</f>
        <v>0</v>
      </c>
      <c r="DS92" s="171">
        <f>SUMIF('CF(M)'!$L$11:$EQ$11,DS$6,'CF(M)'!$L97:$EQ97)</f>
        <v>0</v>
      </c>
      <c r="DT92" s="171">
        <f>SUMIF('CF(M)'!$L$11:$EQ$11,DT$6,'CF(M)'!$L97:$EQ97)</f>
        <v>0</v>
      </c>
      <c r="DU92" s="171">
        <f>SUMIF('CF(M)'!$L$11:$EQ$11,DU$6,'CF(M)'!$L97:$EQ97)</f>
        <v>0</v>
      </c>
      <c r="DV92" s="171">
        <f>SUMIF('CF(M)'!$L$11:$EQ$11,DV$6,'CF(M)'!$L97:$EQ97)</f>
        <v>0</v>
      </c>
    </row>
    <row r="93" spans="2:126" ht="11.25" customHeight="1">
      <c r="B93" s="218"/>
      <c r="C93" s="163"/>
      <c r="D93" s="169" t="s">
        <v>261</v>
      </c>
      <c r="H93" s="146"/>
      <c r="I93" s="229"/>
      <c r="J93" s="171">
        <f t="shared" ca="1" si="48"/>
        <v>-16800000.000000004</v>
      </c>
      <c r="K93" s="98"/>
      <c r="L93" s="171">
        <f ca="1">SUMIF('CF(M)'!$L$11:$EQ$11,L$6,'CF(M)'!$L98:$EQ98)</f>
        <v>0</v>
      </c>
      <c r="M93" s="171">
        <f ca="1">SUMIF('CF(M)'!$L$11:$EQ$11,M$6,'CF(M)'!$L98:$EQ98)</f>
        <v>-1680000.0000000002</v>
      </c>
      <c r="N93" s="171">
        <f ca="1">SUMIF('CF(M)'!$L$11:$EQ$11,N$6,'CF(M)'!$L98:$EQ98)</f>
        <v>-1680000.0000000002</v>
      </c>
      <c r="O93" s="171">
        <f ca="1">SUMIF('CF(M)'!$L$11:$EQ$11,O$6,'CF(M)'!$L98:$EQ98)</f>
        <v>-1680000.0000000002</v>
      </c>
      <c r="P93" s="171">
        <f ca="1">SUMIF('CF(M)'!$L$11:$EQ$11,P$6,'CF(M)'!$L98:$EQ98)</f>
        <v>-1680000.0000000002</v>
      </c>
      <c r="Q93" s="171">
        <f ca="1">SUMIF('CF(M)'!$L$11:$EQ$11,Q$6,'CF(M)'!$L98:$EQ98)</f>
        <v>-1680000.0000000002</v>
      </c>
      <c r="R93" s="171">
        <f ca="1">SUMIF('CF(M)'!$L$11:$EQ$11,R$6,'CF(M)'!$L98:$EQ98)</f>
        <v>-1680000.0000000002</v>
      </c>
      <c r="S93" s="171">
        <f ca="1">SUMIF('CF(M)'!$L$11:$EQ$11,S$6,'CF(M)'!$L98:$EQ98)</f>
        <v>-1680000.0000000002</v>
      </c>
      <c r="T93" s="171">
        <f ca="1">SUMIF('CF(M)'!$L$11:$EQ$11,T$6,'CF(M)'!$L98:$EQ98)</f>
        <v>-1680000.0000000002</v>
      </c>
      <c r="U93" s="171">
        <f ca="1">SUMIF('CF(M)'!$L$11:$EQ$11,U$6,'CF(M)'!$L98:$EQ98)</f>
        <v>-1680000.0000000002</v>
      </c>
      <c r="V93" s="171">
        <f ca="1">SUMIF('CF(M)'!$L$11:$EQ$11,V$6,'CF(M)'!$L98:$EQ98)</f>
        <v>-1680000.0000000002</v>
      </c>
      <c r="W93" s="171">
        <f ca="1">SUMIF('CF(M)'!$L$11:$EQ$11,W$6,'CF(M)'!$L98:$EQ98)</f>
        <v>0</v>
      </c>
      <c r="X93" s="171">
        <f ca="1">SUMIF('CF(M)'!$L$11:$EQ$11,X$6,'CF(M)'!$L98:$EQ98)</f>
        <v>0</v>
      </c>
      <c r="Y93" s="171">
        <f>SUMIF('CF(M)'!$L$11:$EQ$11,Y$6,'CF(M)'!$L98:$EQ98)</f>
        <v>0</v>
      </c>
      <c r="Z93" s="171">
        <f>SUMIF('CF(M)'!$L$11:$EQ$11,Z$6,'CF(M)'!$L98:$EQ98)</f>
        <v>0</v>
      </c>
      <c r="AA93" s="171">
        <f>SUMIF('CF(M)'!$L$11:$EQ$11,AA$6,'CF(M)'!$L98:$EQ98)</f>
        <v>0</v>
      </c>
      <c r="AB93" s="171">
        <f>SUMIF('CF(M)'!$L$11:$EQ$11,AB$6,'CF(M)'!$L98:$EQ98)</f>
        <v>0</v>
      </c>
      <c r="AC93" s="171">
        <f>SUMIF('CF(M)'!$L$11:$EQ$11,AC$6,'CF(M)'!$L98:$EQ98)</f>
        <v>0</v>
      </c>
      <c r="AD93" s="171">
        <f>SUMIF('CF(M)'!$L$11:$EQ$11,AD$6,'CF(M)'!$L98:$EQ98)</f>
        <v>0</v>
      </c>
      <c r="AE93" s="171">
        <f>SUMIF('CF(M)'!$L$11:$EQ$11,AE$6,'CF(M)'!$L98:$EQ98)</f>
        <v>0</v>
      </c>
      <c r="AF93" s="171">
        <f>SUMIF('CF(M)'!$L$11:$EQ$11,AF$6,'CF(M)'!$L98:$EQ98)</f>
        <v>0</v>
      </c>
      <c r="AG93" s="171">
        <f>SUMIF('CF(M)'!$L$11:$EQ$11,AG$6,'CF(M)'!$L98:$EQ98)</f>
        <v>0</v>
      </c>
      <c r="AH93" s="171">
        <f>SUMIF('CF(M)'!$L$11:$EQ$11,AH$6,'CF(M)'!$L98:$EQ98)</f>
        <v>0</v>
      </c>
      <c r="AI93" s="171">
        <f>SUMIF('CF(M)'!$L$11:$EQ$11,AI$6,'CF(M)'!$L98:$EQ98)</f>
        <v>0</v>
      </c>
      <c r="AJ93" s="171">
        <f>SUMIF('CF(M)'!$L$11:$EQ$11,AJ$6,'CF(M)'!$L98:$EQ98)</f>
        <v>0</v>
      </c>
      <c r="AK93" s="171">
        <f>SUMIF('CF(M)'!$L$11:$EQ$11,AK$6,'CF(M)'!$L98:$EQ98)</f>
        <v>0</v>
      </c>
      <c r="AL93" s="171">
        <f>SUMIF('CF(M)'!$L$11:$EQ$11,AL$6,'CF(M)'!$L98:$EQ98)</f>
        <v>0</v>
      </c>
      <c r="AM93" s="171">
        <f>SUMIF('CF(M)'!$L$11:$EQ$11,AM$6,'CF(M)'!$L98:$EQ98)</f>
        <v>0</v>
      </c>
      <c r="AN93" s="171">
        <f>SUMIF('CF(M)'!$L$11:$EQ$11,AN$6,'CF(M)'!$L98:$EQ98)</f>
        <v>0</v>
      </c>
      <c r="AO93" s="171">
        <f>SUMIF('CF(M)'!$L$11:$EQ$11,AO$6,'CF(M)'!$L98:$EQ98)</f>
        <v>0</v>
      </c>
      <c r="AP93" s="171">
        <f>SUMIF('CF(M)'!$L$11:$EQ$11,AP$6,'CF(M)'!$L98:$EQ98)</f>
        <v>0</v>
      </c>
      <c r="AQ93" s="171">
        <f>SUMIF('CF(M)'!$L$11:$EQ$11,AQ$6,'CF(M)'!$L98:$EQ98)</f>
        <v>0</v>
      </c>
      <c r="AR93" s="171">
        <f>SUMIF('CF(M)'!$L$11:$EQ$11,AR$6,'CF(M)'!$L98:$EQ98)</f>
        <v>0</v>
      </c>
      <c r="AS93" s="171">
        <f>SUMIF('CF(M)'!$L$11:$EQ$11,AS$6,'CF(M)'!$L98:$EQ98)</f>
        <v>0</v>
      </c>
      <c r="AT93" s="171">
        <f>SUMIF('CF(M)'!$L$11:$EQ$11,AT$6,'CF(M)'!$L98:$EQ98)</f>
        <v>0</v>
      </c>
      <c r="AU93" s="171">
        <f>SUMIF('CF(M)'!$L$11:$EQ$11,AU$6,'CF(M)'!$L98:$EQ98)</f>
        <v>0</v>
      </c>
      <c r="AV93" s="171">
        <f>SUMIF('CF(M)'!$L$11:$EQ$11,AV$6,'CF(M)'!$L98:$EQ98)</f>
        <v>0</v>
      </c>
      <c r="AW93" s="171">
        <f>SUMIF('CF(M)'!$L$11:$EQ$11,AW$6,'CF(M)'!$L98:$EQ98)</f>
        <v>0</v>
      </c>
      <c r="AX93" s="171">
        <f>SUMIF('CF(M)'!$L$11:$EQ$11,AX$6,'CF(M)'!$L98:$EQ98)</f>
        <v>0</v>
      </c>
      <c r="AY93" s="171">
        <f>SUMIF('CF(M)'!$L$11:$EQ$11,AY$6,'CF(M)'!$L98:$EQ98)</f>
        <v>0</v>
      </c>
      <c r="AZ93" s="171">
        <f>SUMIF('CF(M)'!$L$11:$EQ$11,AZ$6,'CF(M)'!$L98:$EQ98)</f>
        <v>0</v>
      </c>
      <c r="BA93" s="171">
        <f>SUMIF('CF(M)'!$L$11:$EQ$11,BA$6,'CF(M)'!$L98:$EQ98)</f>
        <v>0</v>
      </c>
      <c r="BB93" s="171">
        <f>SUMIF('CF(M)'!$L$11:$EQ$11,BB$6,'CF(M)'!$L98:$EQ98)</f>
        <v>0</v>
      </c>
      <c r="BC93" s="171">
        <f>SUMIF('CF(M)'!$L$11:$EQ$11,BC$6,'CF(M)'!$L98:$EQ98)</f>
        <v>0</v>
      </c>
      <c r="BD93" s="171">
        <f>SUMIF('CF(M)'!$L$11:$EQ$11,BD$6,'CF(M)'!$L98:$EQ98)</f>
        <v>0</v>
      </c>
      <c r="BE93" s="171">
        <f>SUMIF('CF(M)'!$L$11:$EQ$11,BE$6,'CF(M)'!$L98:$EQ98)</f>
        <v>0</v>
      </c>
      <c r="BF93" s="171">
        <f>SUMIF('CF(M)'!$L$11:$EQ$11,BF$6,'CF(M)'!$L98:$EQ98)</f>
        <v>0</v>
      </c>
      <c r="BG93" s="171">
        <f>SUMIF('CF(M)'!$L$11:$EQ$11,BG$6,'CF(M)'!$L98:$EQ98)</f>
        <v>0</v>
      </c>
      <c r="BH93" s="171">
        <f>SUMIF('CF(M)'!$L$11:$EQ$11,BH$6,'CF(M)'!$L98:$EQ98)</f>
        <v>0</v>
      </c>
      <c r="BI93" s="171">
        <f>SUMIF('CF(M)'!$L$11:$EQ$11,BI$6,'CF(M)'!$L98:$EQ98)</f>
        <v>0</v>
      </c>
      <c r="BJ93" s="171">
        <f>SUMIF('CF(M)'!$L$11:$EQ$11,BJ$6,'CF(M)'!$L98:$EQ98)</f>
        <v>0</v>
      </c>
      <c r="BK93" s="171">
        <f>SUMIF('CF(M)'!$L$11:$EQ$11,BK$6,'CF(M)'!$L98:$EQ98)</f>
        <v>0</v>
      </c>
      <c r="BL93" s="171">
        <f>SUMIF('CF(M)'!$L$11:$EQ$11,BL$6,'CF(M)'!$L98:$EQ98)</f>
        <v>0</v>
      </c>
      <c r="BM93" s="171">
        <f>SUMIF('CF(M)'!$L$11:$EQ$11,BM$6,'CF(M)'!$L98:$EQ98)</f>
        <v>0</v>
      </c>
      <c r="BN93" s="171">
        <f>SUMIF('CF(M)'!$L$11:$EQ$11,BN$6,'CF(M)'!$L98:$EQ98)</f>
        <v>0</v>
      </c>
      <c r="BO93" s="171">
        <f>SUMIF('CF(M)'!$L$11:$EQ$11,BO$6,'CF(M)'!$L98:$EQ98)</f>
        <v>0</v>
      </c>
      <c r="BP93" s="171">
        <f>SUMIF('CF(M)'!$L$11:$EQ$11,BP$6,'CF(M)'!$L98:$EQ98)</f>
        <v>0</v>
      </c>
      <c r="BQ93" s="171">
        <f>SUMIF('CF(M)'!$L$11:$EQ$11,BQ$6,'CF(M)'!$L98:$EQ98)</f>
        <v>0</v>
      </c>
      <c r="BR93" s="171">
        <f>SUMIF('CF(M)'!$L$11:$EQ$11,BR$6,'CF(M)'!$L98:$EQ98)</f>
        <v>0</v>
      </c>
      <c r="BS93" s="171">
        <f>SUMIF('CF(M)'!$L$11:$EQ$11,BS$6,'CF(M)'!$L98:$EQ98)</f>
        <v>0</v>
      </c>
      <c r="BT93" s="171">
        <f>SUMIF('CF(M)'!$L$11:$EQ$11,BT$6,'CF(M)'!$L98:$EQ98)</f>
        <v>0</v>
      </c>
      <c r="BU93" s="171">
        <f>SUMIF('CF(M)'!$L$11:$EQ$11,BU$6,'CF(M)'!$L98:$EQ98)</f>
        <v>0</v>
      </c>
      <c r="BV93" s="171">
        <f>SUMIF('CF(M)'!$L$11:$EQ$11,BV$6,'CF(M)'!$L98:$EQ98)</f>
        <v>0</v>
      </c>
      <c r="BW93" s="171">
        <f>SUMIF('CF(M)'!$L$11:$EQ$11,BW$6,'CF(M)'!$L98:$EQ98)</f>
        <v>0</v>
      </c>
      <c r="BX93" s="171">
        <f>SUMIF('CF(M)'!$L$11:$EQ$11,BX$6,'CF(M)'!$L98:$EQ98)</f>
        <v>0</v>
      </c>
      <c r="BY93" s="171">
        <f>SUMIF('CF(M)'!$L$11:$EQ$11,BY$6,'CF(M)'!$L98:$EQ98)</f>
        <v>0</v>
      </c>
      <c r="BZ93" s="171">
        <f>SUMIF('CF(M)'!$L$11:$EQ$11,BZ$6,'CF(M)'!$L98:$EQ98)</f>
        <v>0</v>
      </c>
      <c r="CA93" s="171">
        <f>SUMIF('CF(M)'!$L$11:$EQ$11,CA$6,'CF(M)'!$L98:$EQ98)</f>
        <v>0</v>
      </c>
      <c r="CB93" s="171">
        <f>SUMIF('CF(M)'!$L$11:$EQ$11,CB$6,'CF(M)'!$L98:$EQ98)</f>
        <v>0</v>
      </c>
      <c r="CC93" s="171">
        <f>SUMIF('CF(M)'!$L$11:$EQ$11,CC$6,'CF(M)'!$L98:$EQ98)</f>
        <v>0</v>
      </c>
      <c r="CD93" s="171">
        <f>SUMIF('CF(M)'!$L$11:$EQ$11,CD$6,'CF(M)'!$L98:$EQ98)</f>
        <v>0</v>
      </c>
      <c r="CE93" s="171">
        <f>SUMIF('CF(M)'!$L$11:$EQ$11,CE$6,'CF(M)'!$L98:$EQ98)</f>
        <v>0</v>
      </c>
      <c r="CF93" s="171">
        <f>SUMIF('CF(M)'!$L$11:$EQ$11,CF$6,'CF(M)'!$L98:$EQ98)</f>
        <v>0</v>
      </c>
      <c r="CG93" s="171">
        <f>SUMIF('CF(M)'!$L$11:$EQ$11,CG$6,'CF(M)'!$L98:$EQ98)</f>
        <v>0</v>
      </c>
      <c r="CH93" s="171">
        <f>SUMIF('CF(M)'!$L$11:$EQ$11,CH$6,'CF(M)'!$L98:$EQ98)</f>
        <v>0</v>
      </c>
      <c r="CI93" s="171">
        <f>SUMIF('CF(M)'!$L$11:$EQ$11,CI$6,'CF(M)'!$L98:$EQ98)</f>
        <v>0</v>
      </c>
      <c r="CJ93" s="171">
        <f>SUMIF('CF(M)'!$L$11:$EQ$11,CJ$6,'CF(M)'!$L98:$EQ98)</f>
        <v>0</v>
      </c>
      <c r="CK93" s="171">
        <f>SUMIF('CF(M)'!$L$11:$EQ$11,CK$6,'CF(M)'!$L98:$EQ98)</f>
        <v>0</v>
      </c>
      <c r="CL93" s="171">
        <f>SUMIF('CF(M)'!$L$11:$EQ$11,CL$6,'CF(M)'!$L98:$EQ98)</f>
        <v>0</v>
      </c>
      <c r="CM93" s="171">
        <f>SUMIF('CF(M)'!$L$11:$EQ$11,CM$6,'CF(M)'!$L98:$EQ98)</f>
        <v>0</v>
      </c>
      <c r="CN93" s="171">
        <f>SUMIF('CF(M)'!$L$11:$EQ$11,CN$6,'CF(M)'!$L98:$EQ98)</f>
        <v>0</v>
      </c>
      <c r="CO93" s="171">
        <f>SUMIF('CF(M)'!$L$11:$EQ$11,CO$6,'CF(M)'!$L98:$EQ98)</f>
        <v>0</v>
      </c>
      <c r="CP93" s="171">
        <f>SUMIF('CF(M)'!$L$11:$EQ$11,CP$6,'CF(M)'!$L98:$EQ98)</f>
        <v>0</v>
      </c>
      <c r="CQ93" s="171">
        <f>SUMIF('CF(M)'!$L$11:$EQ$11,CQ$6,'CF(M)'!$L98:$EQ98)</f>
        <v>0</v>
      </c>
      <c r="CR93" s="171">
        <f>SUMIF('CF(M)'!$L$11:$EQ$11,CR$6,'CF(M)'!$L98:$EQ98)</f>
        <v>0</v>
      </c>
      <c r="CS93" s="171">
        <f>SUMIF('CF(M)'!$L$11:$EQ$11,CS$6,'CF(M)'!$L98:$EQ98)</f>
        <v>0</v>
      </c>
      <c r="CT93" s="171">
        <f>SUMIF('CF(M)'!$L$11:$EQ$11,CT$6,'CF(M)'!$L98:$EQ98)</f>
        <v>0</v>
      </c>
      <c r="CU93" s="171">
        <f>SUMIF('CF(M)'!$L$11:$EQ$11,CU$6,'CF(M)'!$L98:$EQ98)</f>
        <v>0</v>
      </c>
      <c r="CV93" s="171">
        <f>SUMIF('CF(M)'!$L$11:$EQ$11,CV$6,'CF(M)'!$L98:$EQ98)</f>
        <v>0</v>
      </c>
      <c r="CW93" s="171">
        <f>SUMIF('CF(M)'!$L$11:$EQ$11,CW$6,'CF(M)'!$L98:$EQ98)</f>
        <v>0</v>
      </c>
      <c r="CX93" s="171">
        <f>SUMIF('CF(M)'!$L$11:$EQ$11,CX$6,'CF(M)'!$L98:$EQ98)</f>
        <v>0</v>
      </c>
      <c r="CY93" s="171">
        <f>SUMIF('CF(M)'!$L$11:$EQ$11,CY$6,'CF(M)'!$L98:$EQ98)</f>
        <v>0</v>
      </c>
      <c r="CZ93" s="171">
        <f>SUMIF('CF(M)'!$L$11:$EQ$11,CZ$6,'CF(M)'!$L98:$EQ98)</f>
        <v>0</v>
      </c>
      <c r="DA93" s="171">
        <f>SUMIF('CF(M)'!$L$11:$EQ$11,DA$6,'CF(M)'!$L98:$EQ98)</f>
        <v>0</v>
      </c>
      <c r="DB93" s="171">
        <f>SUMIF('CF(M)'!$L$11:$EQ$11,DB$6,'CF(M)'!$L98:$EQ98)</f>
        <v>0</v>
      </c>
      <c r="DC93" s="171">
        <f>SUMIF('CF(M)'!$L$11:$EQ$11,DC$6,'CF(M)'!$L98:$EQ98)</f>
        <v>0</v>
      </c>
      <c r="DD93" s="171">
        <f>SUMIF('CF(M)'!$L$11:$EQ$11,DD$6,'CF(M)'!$L98:$EQ98)</f>
        <v>0</v>
      </c>
      <c r="DE93" s="171">
        <f>SUMIF('CF(M)'!$L$11:$EQ$11,DE$6,'CF(M)'!$L98:$EQ98)</f>
        <v>0</v>
      </c>
      <c r="DF93" s="171">
        <f>SUMIF('CF(M)'!$L$11:$EQ$11,DF$6,'CF(M)'!$L98:$EQ98)</f>
        <v>0</v>
      </c>
      <c r="DG93" s="171">
        <f>SUMIF('CF(M)'!$L$11:$EQ$11,DG$6,'CF(M)'!$L98:$EQ98)</f>
        <v>0</v>
      </c>
      <c r="DH93" s="171">
        <f>SUMIF('CF(M)'!$L$11:$EQ$11,DH$6,'CF(M)'!$L98:$EQ98)</f>
        <v>0</v>
      </c>
      <c r="DI93" s="171">
        <f>SUMIF('CF(M)'!$L$11:$EQ$11,DI$6,'CF(M)'!$L98:$EQ98)</f>
        <v>0</v>
      </c>
      <c r="DJ93" s="171">
        <f>SUMIF('CF(M)'!$L$11:$EQ$11,DJ$6,'CF(M)'!$L98:$EQ98)</f>
        <v>0</v>
      </c>
      <c r="DK93" s="171">
        <f>SUMIF('CF(M)'!$L$11:$EQ$11,DK$6,'CF(M)'!$L98:$EQ98)</f>
        <v>0</v>
      </c>
      <c r="DL93" s="171">
        <f>SUMIF('CF(M)'!$L$11:$EQ$11,DL$6,'CF(M)'!$L98:$EQ98)</f>
        <v>0</v>
      </c>
      <c r="DM93" s="171">
        <f>SUMIF('CF(M)'!$L$11:$EQ$11,DM$6,'CF(M)'!$L98:$EQ98)</f>
        <v>0</v>
      </c>
      <c r="DN93" s="171">
        <f>SUMIF('CF(M)'!$L$11:$EQ$11,DN$6,'CF(M)'!$L98:$EQ98)</f>
        <v>0</v>
      </c>
      <c r="DO93" s="171">
        <f>SUMIF('CF(M)'!$L$11:$EQ$11,DO$6,'CF(M)'!$L98:$EQ98)</f>
        <v>0</v>
      </c>
      <c r="DP93" s="171">
        <f>SUMIF('CF(M)'!$L$11:$EQ$11,DP$6,'CF(M)'!$L98:$EQ98)</f>
        <v>0</v>
      </c>
      <c r="DQ93" s="171">
        <f>SUMIF('CF(M)'!$L$11:$EQ$11,DQ$6,'CF(M)'!$L98:$EQ98)</f>
        <v>0</v>
      </c>
      <c r="DR93" s="171">
        <f>SUMIF('CF(M)'!$L$11:$EQ$11,DR$6,'CF(M)'!$L98:$EQ98)</f>
        <v>0</v>
      </c>
      <c r="DS93" s="171">
        <f>SUMIF('CF(M)'!$L$11:$EQ$11,DS$6,'CF(M)'!$L98:$EQ98)</f>
        <v>0</v>
      </c>
      <c r="DT93" s="171">
        <f>SUMIF('CF(M)'!$L$11:$EQ$11,DT$6,'CF(M)'!$L98:$EQ98)</f>
        <v>0</v>
      </c>
      <c r="DU93" s="171">
        <f>SUMIF('CF(M)'!$L$11:$EQ$11,DU$6,'CF(M)'!$L98:$EQ98)</f>
        <v>0</v>
      </c>
      <c r="DV93" s="171">
        <f>SUMIF('CF(M)'!$L$11:$EQ$11,DV$6,'CF(M)'!$L98:$EQ98)</f>
        <v>0</v>
      </c>
    </row>
    <row r="94" spans="2:126" ht="11.25" customHeight="1">
      <c r="B94" s="218"/>
      <c r="C94" s="163"/>
      <c r="D94" s="169" t="s">
        <v>469</v>
      </c>
      <c r="G94" s="65"/>
      <c r="H94" s="146"/>
      <c r="I94" s="229"/>
      <c r="J94" s="171">
        <f t="shared" si="48"/>
        <v>0</v>
      </c>
      <c r="K94" s="98"/>
      <c r="L94" s="171">
        <f>SUMIF('CF(M)'!$L$11:$EQ$11,L$6,'CF(M)'!$L99:$EQ99)</f>
        <v>0</v>
      </c>
      <c r="M94" s="171">
        <f>SUMIF('CF(M)'!$L$11:$EQ$11,M$6,'CF(M)'!$L99:$EQ99)</f>
        <v>0</v>
      </c>
      <c r="N94" s="171">
        <f>SUMIF('CF(M)'!$L$11:$EQ$11,N$6,'CF(M)'!$L99:$EQ99)</f>
        <v>0</v>
      </c>
      <c r="O94" s="171">
        <f>SUMIF('CF(M)'!$L$11:$EQ$11,O$6,'CF(M)'!$L99:$EQ99)</f>
        <v>0</v>
      </c>
      <c r="P94" s="171">
        <f>SUMIF('CF(M)'!$L$11:$EQ$11,P$6,'CF(M)'!$L99:$EQ99)</f>
        <v>0</v>
      </c>
      <c r="Q94" s="171">
        <f>SUMIF('CF(M)'!$L$11:$EQ$11,Q$6,'CF(M)'!$L99:$EQ99)</f>
        <v>0</v>
      </c>
      <c r="R94" s="171">
        <f>SUMIF('CF(M)'!$L$11:$EQ$11,R$6,'CF(M)'!$L99:$EQ99)</f>
        <v>0</v>
      </c>
      <c r="S94" s="171">
        <f>SUMIF('CF(M)'!$L$11:$EQ$11,S$6,'CF(M)'!$L99:$EQ99)</f>
        <v>0</v>
      </c>
      <c r="T94" s="171">
        <f>SUMIF('CF(M)'!$L$11:$EQ$11,T$6,'CF(M)'!$L99:$EQ99)</f>
        <v>0</v>
      </c>
      <c r="U94" s="171">
        <f>SUMIF('CF(M)'!$L$11:$EQ$11,U$6,'CF(M)'!$L99:$EQ99)</f>
        <v>0</v>
      </c>
      <c r="V94" s="171">
        <f>SUMIF('CF(M)'!$L$11:$EQ$11,V$6,'CF(M)'!$L99:$EQ99)</f>
        <v>0</v>
      </c>
      <c r="W94" s="171">
        <f>SUMIF('CF(M)'!$L$11:$EQ$11,W$6,'CF(M)'!$L99:$EQ99)</f>
        <v>0</v>
      </c>
      <c r="X94" s="171">
        <f>SUMIF('CF(M)'!$L$11:$EQ$11,X$6,'CF(M)'!$L99:$EQ99)</f>
        <v>0</v>
      </c>
      <c r="Y94" s="171">
        <f>SUMIF('CF(M)'!$L$11:$EQ$11,Y$6,'CF(M)'!$L99:$EQ99)</f>
        <v>0</v>
      </c>
      <c r="Z94" s="171">
        <f>SUMIF('CF(M)'!$L$11:$EQ$11,Z$6,'CF(M)'!$L99:$EQ99)</f>
        <v>0</v>
      </c>
      <c r="AA94" s="171">
        <f>SUMIF('CF(M)'!$L$11:$EQ$11,AA$6,'CF(M)'!$L99:$EQ99)</f>
        <v>0</v>
      </c>
      <c r="AB94" s="171">
        <f>SUMIF('CF(M)'!$L$11:$EQ$11,AB$6,'CF(M)'!$L99:$EQ99)</f>
        <v>0</v>
      </c>
      <c r="AC94" s="171">
        <f>SUMIF('CF(M)'!$L$11:$EQ$11,AC$6,'CF(M)'!$L99:$EQ99)</f>
        <v>0</v>
      </c>
      <c r="AD94" s="171">
        <f>SUMIF('CF(M)'!$L$11:$EQ$11,AD$6,'CF(M)'!$L99:$EQ99)</f>
        <v>0</v>
      </c>
      <c r="AE94" s="171">
        <f>SUMIF('CF(M)'!$L$11:$EQ$11,AE$6,'CF(M)'!$L99:$EQ99)</f>
        <v>0</v>
      </c>
      <c r="AF94" s="171">
        <f>SUMIF('CF(M)'!$L$11:$EQ$11,AF$6,'CF(M)'!$L99:$EQ99)</f>
        <v>0</v>
      </c>
      <c r="AG94" s="171">
        <f>SUMIF('CF(M)'!$L$11:$EQ$11,AG$6,'CF(M)'!$L99:$EQ99)</f>
        <v>0</v>
      </c>
      <c r="AH94" s="171">
        <f>SUMIF('CF(M)'!$L$11:$EQ$11,AH$6,'CF(M)'!$L99:$EQ99)</f>
        <v>0</v>
      </c>
      <c r="AI94" s="171">
        <f>SUMIF('CF(M)'!$L$11:$EQ$11,AI$6,'CF(M)'!$L99:$EQ99)</f>
        <v>0</v>
      </c>
      <c r="AJ94" s="171">
        <f>SUMIF('CF(M)'!$L$11:$EQ$11,AJ$6,'CF(M)'!$L99:$EQ99)</f>
        <v>0</v>
      </c>
      <c r="AK94" s="171">
        <f>SUMIF('CF(M)'!$L$11:$EQ$11,AK$6,'CF(M)'!$L99:$EQ99)</f>
        <v>0</v>
      </c>
      <c r="AL94" s="171">
        <f>SUMIF('CF(M)'!$L$11:$EQ$11,AL$6,'CF(M)'!$L99:$EQ99)</f>
        <v>0</v>
      </c>
      <c r="AM94" s="171">
        <f>SUMIF('CF(M)'!$L$11:$EQ$11,AM$6,'CF(M)'!$L99:$EQ99)</f>
        <v>0</v>
      </c>
      <c r="AN94" s="171">
        <f>SUMIF('CF(M)'!$L$11:$EQ$11,AN$6,'CF(M)'!$L99:$EQ99)</f>
        <v>0</v>
      </c>
      <c r="AO94" s="171">
        <f>SUMIF('CF(M)'!$L$11:$EQ$11,AO$6,'CF(M)'!$L99:$EQ99)</f>
        <v>0</v>
      </c>
      <c r="AP94" s="171">
        <f>SUMIF('CF(M)'!$L$11:$EQ$11,AP$6,'CF(M)'!$L99:$EQ99)</f>
        <v>0</v>
      </c>
      <c r="AQ94" s="171">
        <f>SUMIF('CF(M)'!$L$11:$EQ$11,AQ$6,'CF(M)'!$L99:$EQ99)</f>
        <v>0</v>
      </c>
      <c r="AR94" s="171">
        <f>SUMIF('CF(M)'!$L$11:$EQ$11,AR$6,'CF(M)'!$L99:$EQ99)</f>
        <v>0</v>
      </c>
      <c r="AS94" s="171">
        <f>SUMIF('CF(M)'!$L$11:$EQ$11,AS$6,'CF(M)'!$L99:$EQ99)</f>
        <v>0</v>
      </c>
      <c r="AT94" s="171">
        <f>SUMIF('CF(M)'!$L$11:$EQ$11,AT$6,'CF(M)'!$L99:$EQ99)</f>
        <v>0</v>
      </c>
      <c r="AU94" s="171">
        <f>SUMIF('CF(M)'!$L$11:$EQ$11,AU$6,'CF(M)'!$L99:$EQ99)</f>
        <v>0</v>
      </c>
      <c r="AV94" s="171">
        <f>SUMIF('CF(M)'!$L$11:$EQ$11,AV$6,'CF(M)'!$L99:$EQ99)</f>
        <v>0</v>
      </c>
      <c r="AW94" s="171">
        <f>SUMIF('CF(M)'!$L$11:$EQ$11,AW$6,'CF(M)'!$L99:$EQ99)</f>
        <v>0</v>
      </c>
      <c r="AX94" s="171">
        <f>SUMIF('CF(M)'!$L$11:$EQ$11,AX$6,'CF(M)'!$L99:$EQ99)</f>
        <v>0</v>
      </c>
      <c r="AY94" s="171">
        <f>SUMIF('CF(M)'!$L$11:$EQ$11,AY$6,'CF(M)'!$L99:$EQ99)</f>
        <v>0</v>
      </c>
      <c r="AZ94" s="171">
        <f>SUMIF('CF(M)'!$L$11:$EQ$11,AZ$6,'CF(M)'!$L99:$EQ99)</f>
        <v>0</v>
      </c>
      <c r="BA94" s="171">
        <f>SUMIF('CF(M)'!$L$11:$EQ$11,BA$6,'CF(M)'!$L99:$EQ99)</f>
        <v>0</v>
      </c>
      <c r="BB94" s="171">
        <f>SUMIF('CF(M)'!$L$11:$EQ$11,BB$6,'CF(M)'!$L99:$EQ99)</f>
        <v>0</v>
      </c>
      <c r="BC94" s="171">
        <f>SUMIF('CF(M)'!$L$11:$EQ$11,BC$6,'CF(M)'!$L99:$EQ99)</f>
        <v>0</v>
      </c>
      <c r="BD94" s="171">
        <f>SUMIF('CF(M)'!$L$11:$EQ$11,BD$6,'CF(M)'!$L99:$EQ99)</f>
        <v>0</v>
      </c>
      <c r="BE94" s="171">
        <f>SUMIF('CF(M)'!$L$11:$EQ$11,BE$6,'CF(M)'!$L99:$EQ99)</f>
        <v>0</v>
      </c>
      <c r="BF94" s="171">
        <f>SUMIF('CF(M)'!$L$11:$EQ$11,BF$6,'CF(M)'!$L99:$EQ99)</f>
        <v>0</v>
      </c>
      <c r="BG94" s="171">
        <f>SUMIF('CF(M)'!$L$11:$EQ$11,BG$6,'CF(M)'!$L99:$EQ99)</f>
        <v>0</v>
      </c>
      <c r="BH94" s="171">
        <f>SUMIF('CF(M)'!$L$11:$EQ$11,BH$6,'CF(M)'!$L99:$EQ99)</f>
        <v>0</v>
      </c>
      <c r="BI94" s="171">
        <f>SUMIF('CF(M)'!$L$11:$EQ$11,BI$6,'CF(M)'!$L99:$EQ99)</f>
        <v>0</v>
      </c>
      <c r="BJ94" s="171">
        <f>SUMIF('CF(M)'!$L$11:$EQ$11,BJ$6,'CF(M)'!$L99:$EQ99)</f>
        <v>0</v>
      </c>
      <c r="BK94" s="171">
        <f>SUMIF('CF(M)'!$L$11:$EQ$11,BK$6,'CF(M)'!$L99:$EQ99)</f>
        <v>0</v>
      </c>
      <c r="BL94" s="171">
        <f>SUMIF('CF(M)'!$L$11:$EQ$11,BL$6,'CF(M)'!$L99:$EQ99)</f>
        <v>0</v>
      </c>
      <c r="BM94" s="171">
        <f>SUMIF('CF(M)'!$L$11:$EQ$11,BM$6,'CF(M)'!$L99:$EQ99)</f>
        <v>0</v>
      </c>
      <c r="BN94" s="171">
        <f>SUMIF('CF(M)'!$L$11:$EQ$11,BN$6,'CF(M)'!$L99:$EQ99)</f>
        <v>0</v>
      </c>
      <c r="BO94" s="171">
        <f>SUMIF('CF(M)'!$L$11:$EQ$11,BO$6,'CF(M)'!$L99:$EQ99)</f>
        <v>0</v>
      </c>
      <c r="BP94" s="171">
        <f>SUMIF('CF(M)'!$L$11:$EQ$11,BP$6,'CF(M)'!$L99:$EQ99)</f>
        <v>0</v>
      </c>
      <c r="BQ94" s="171">
        <f>SUMIF('CF(M)'!$L$11:$EQ$11,BQ$6,'CF(M)'!$L99:$EQ99)</f>
        <v>0</v>
      </c>
      <c r="BR94" s="171">
        <f>SUMIF('CF(M)'!$L$11:$EQ$11,BR$6,'CF(M)'!$L99:$EQ99)</f>
        <v>0</v>
      </c>
      <c r="BS94" s="171">
        <f>SUMIF('CF(M)'!$L$11:$EQ$11,BS$6,'CF(M)'!$L99:$EQ99)</f>
        <v>0</v>
      </c>
      <c r="BT94" s="171">
        <f>SUMIF('CF(M)'!$L$11:$EQ$11,BT$6,'CF(M)'!$L99:$EQ99)</f>
        <v>0</v>
      </c>
      <c r="BU94" s="171">
        <f>SUMIF('CF(M)'!$L$11:$EQ$11,BU$6,'CF(M)'!$L99:$EQ99)</f>
        <v>0</v>
      </c>
      <c r="BV94" s="171">
        <f>SUMIF('CF(M)'!$L$11:$EQ$11,BV$6,'CF(M)'!$L99:$EQ99)</f>
        <v>0</v>
      </c>
      <c r="BW94" s="171">
        <f>SUMIF('CF(M)'!$L$11:$EQ$11,BW$6,'CF(M)'!$L99:$EQ99)</f>
        <v>0</v>
      </c>
      <c r="BX94" s="171">
        <f>SUMIF('CF(M)'!$L$11:$EQ$11,BX$6,'CF(M)'!$L99:$EQ99)</f>
        <v>0</v>
      </c>
      <c r="BY94" s="171">
        <f>SUMIF('CF(M)'!$L$11:$EQ$11,BY$6,'CF(M)'!$L99:$EQ99)</f>
        <v>0</v>
      </c>
      <c r="BZ94" s="171">
        <f>SUMIF('CF(M)'!$L$11:$EQ$11,BZ$6,'CF(M)'!$L99:$EQ99)</f>
        <v>0</v>
      </c>
      <c r="CA94" s="171">
        <f>SUMIF('CF(M)'!$L$11:$EQ$11,CA$6,'CF(M)'!$L99:$EQ99)</f>
        <v>0</v>
      </c>
      <c r="CB94" s="171">
        <f>SUMIF('CF(M)'!$L$11:$EQ$11,CB$6,'CF(M)'!$L99:$EQ99)</f>
        <v>0</v>
      </c>
      <c r="CC94" s="171">
        <f>SUMIF('CF(M)'!$L$11:$EQ$11,CC$6,'CF(M)'!$L99:$EQ99)</f>
        <v>0</v>
      </c>
      <c r="CD94" s="171">
        <f>SUMIF('CF(M)'!$L$11:$EQ$11,CD$6,'CF(M)'!$L99:$EQ99)</f>
        <v>0</v>
      </c>
      <c r="CE94" s="171">
        <f>SUMIF('CF(M)'!$L$11:$EQ$11,CE$6,'CF(M)'!$L99:$EQ99)</f>
        <v>0</v>
      </c>
      <c r="CF94" s="171">
        <f>SUMIF('CF(M)'!$L$11:$EQ$11,CF$6,'CF(M)'!$L99:$EQ99)</f>
        <v>0</v>
      </c>
      <c r="CG94" s="171">
        <f>SUMIF('CF(M)'!$L$11:$EQ$11,CG$6,'CF(M)'!$L99:$EQ99)</f>
        <v>0</v>
      </c>
      <c r="CH94" s="171">
        <f>SUMIF('CF(M)'!$L$11:$EQ$11,CH$6,'CF(M)'!$L99:$EQ99)</f>
        <v>0</v>
      </c>
      <c r="CI94" s="171">
        <f>SUMIF('CF(M)'!$L$11:$EQ$11,CI$6,'CF(M)'!$L99:$EQ99)</f>
        <v>0</v>
      </c>
      <c r="CJ94" s="171">
        <f>SUMIF('CF(M)'!$L$11:$EQ$11,CJ$6,'CF(M)'!$L99:$EQ99)</f>
        <v>0</v>
      </c>
      <c r="CK94" s="171">
        <f>SUMIF('CF(M)'!$L$11:$EQ$11,CK$6,'CF(M)'!$L99:$EQ99)</f>
        <v>0</v>
      </c>
      <c r="CL94" s="171">
        <f>SUMIF('CF(M)'!$L$11:$EQ$11,CL$6,'CF(M)'!$L99:$EQ99)</f>
        <v>0</v>
      </c>
      <c r="CM94" s="171">
        <f>SUMIF('CF(M)'!$L$11:$EQ$11,CM$6,'CF(M)'!$L99:$EQ99)</f>
        <v>0</v>
      </c>
      <c r="CN94" s="171">
        <f>SUMIF('CF(M)'!$L$11:$EQ$11,CN$6,'CF(M)'!$L99:$EQ99)</f>
        <v>0</v>
      </c>
      <c r="CO94" s="171">
        <f>SUMIF('CF(M)'!$L$11:$EQ$11,CO$6,'CF(M)'!$L99:$EQ99)</f>
        <v>0</v>
      </c>
      <c r="CP94" s="171">
        <f>SUMIF('CF(M)'!$L$11:$EQ$11,CP$6,'CF(M)'!$L99:$EQ99)</f>
        <v>0</v>
      </c>
      <c r="CQ94" s="171">
        <f>SUMIF('CF(M)'!$L$11:$EQ$11,CQ$6,'CF(M)'!$L99:$EQ99)</f>
        <v>0</v>
      </c>
      <c r="CR94" s="171">
        <f>SUMIF('CF(M)'!$L$11:$EQ$11,CR$6,'CF(M)'!$L99:$EQ99)</f>
        <v>0</v>
      </c>
      <c r="CS94" s="171">
        <f>SUMIF('CF(M)'!$L$11:$EQ$11,CS$6,'CF(M)'!$L99:$EQ99)</f>
        <v>0</v>
      </c>
      <c r="CT94" s="171">
        <f>SUMIF('CF(M)'!$L$11:$EQ$11,CT$6,'CF(M)'!$L99:$EQ99)</f>
        <v>0</v>
      </c>
      <c r="CU94" s="171">
        <f>SUMIF('CF(M)'!$L$11:$EQ$11,CU$6,'CF(M)'!$L99:$EQ99)</f>
        <v>0</v>
      </c>
      <c r="CV94" s="171">
        <f>SUMIF('CF(M)'!$L$11:$EQ$11,CV$6,'CF(M)'!$L99:$EQ99)</f>
        <v>0</v>
      </c>
      <c r="CW94" s="171">
        <f>SUMIF('CF(M)'!$L$11:$EQ$11,CW$6,'CF(M)'!$L99:$EQ99)</f>
        <v>0</v>
      </c>
      <c r="CX94" s="171">
        <f>SUMIF('CF(M)'!$L$11:$EQ$11,CX$6,'CF(M)'!$L99:$EQ99)</f>
        <v>0</v>
      </c>
      <c r="CY94" s="171">
        <f>SUMIF('CF(M)'!$L$11:$EQ$11,CY$6,'CF(M)'!$L99:$EQ99)</f>
        <v>0</v>
      </c>
      <c r="CZ94" s="171">
        <f>SUMIF('CF(M)'!$L$11:$EQ$11,CZ$6,'CF(M)'!$L99:$EQ99)</f>
        <v>0</v>
      </c>
      <c r="DA94" s="171">
        <f>SUMIF('CF(M)'!$L$11:$EQ$11,DA$6,'CF(M)'!$L99:$EQ99)</f>
        <v>0</v>
      </c>
      <c r="DB94" s="171">
        <f>SUMIF('CF(M)'!$L$11:$EQ$11,DB$6,'CF(M)'!$L99:$EQ99)</f>
        <v>0</v>
      </c>
      <c r="DC94" s="171">
        <f>SUMIF('CF(M)'!$L$11:$EQ$11,DC$6,'CF(M)'!$L99:$EQ99)</f>
        <v>0</v>
      </c>
      <c r="DD94" s="171">
        <f>SUMIF('CF(M)'!$L$11:$EQ$11,DD$6,'CF(M)'!$L99:$EQ99)</f>
        <v>0</v>
      </c>
      <c r="DE94" s="171">
        <f>SUMIF('CF(M)'!$L$11:$EQ$11,DE$6,'CF(M)'!$L99:$EQ99)</f>
        <v>0</v>
      </c>
      <c r="DF94" s="171">
        <f>SUMIF('CF(M)'!$L$11:$EQ$11,DF$6,'CF(M)'!$L99:$EQ99)</f>
        <v>0</v>
      </c>
      <c r="DG94" s="171">
        <f>SUMIF('CF(M)'!$L$11:$EQ$11,DG$6,'CF(M)'!$L99:$EQ99)</f>
        <v>0</v>
      </c>
      <c r="DH94" s="171">
        <f>SUMIF('CF(M)'!$L$11:$EQ$11,DH$6,'CF(M)'!$L99:$EQ99)</f>
        <v>0</v>
      </c>
      <c r="DI94" s="171">
        <f>SUMIF('CF(M)'!$L$11:$EQ$11,DI$6,'CF(M)'!$L99:$EQ99)</f>
        <v>0</v>
      </c>
      <c r="DJ94" s="171">
        <f>SUMIF('CF(M)'!$L$11:$EQ$11,DJ$6,'CF(M)'!$L99:$EQ99)</f>
        <v>0</v>
      </c>
      <c r="DK94" s="171">
        <f>SUMIF('CF(M)'!$L$11:$EQ$11,DK$6,'CF(M)'!$L99:$EQ99)</f>
        <v>0</v>
      </c>
      <c r="DL94" s="171">
        <f>SUMIF('CF(M)'!$L$11:$EQ$11,DL$6,'CF(M)'!$L99:$EQ99)</f>
        <v>0</v>
      </c>
      <c r="DM94" s="171">
        <f>SUMIF('CF(M)'!$L$11:$EQ$11,DM$6,'CF(M)'!$L99:$EQ99)</f>
        <v>0</v>
      </c>
      <c r="DN94" s="171">
        <f>SUMIF('CF(M)'!$L$11:$EQ$11,DN$6,'CF(M)'!$L99:$EQ99)</f>
        <v>0</v>
      </c>
      <c r="DO94" s="171">
        <f>SUMIF('CF(M)'!$L$11:$EQ$11,DO$6,'CF(M)'!$L99:$EQ99)</f>
        <v>0</v>
      </c>
      <c r="DP94" s="171">
        <f>SUMIF('CF(M)'!$L$11:$EQ$11,DP$6,'CF(M)'!$L99:$EQ99)</f>
        <v>0</v>
      </c>
      <c r="DQ94" s="171">
        <f>SUMIF('CF(M)'!$L$11:$EQ$11,DQ$6,'CF(M)'!$L99:$EQ99)</f>
        <v>0</v>
      </c>
      <c r="DR94" s="171">
        <f>SUMIF('CF(M)'!$L$11:$EQ$11,DR$6,'CF(M)'!$L99:$EQ99)</f>
        <v>0</v>
      </c>
      <c r="DS94" s="171">
        <f>SUMIF('CF(M)'!$L$11:$EQ$11,DS$6,'CF(M)'!$L99:$EQ99)</f>
        <v>0</v>
      </c>
      <c r="DT94" s="171">
        <f>SUMIF('CF(M)'!$L$11:$EQ$11,DT$6,'CF(M)'!$L99:$EQ99)</f>
        <v>0</v>
      </c>
      <c r="DU94" s="171">
        <f>SUMIF('CF(M)'!$L$11:$EQ$11,DU$6,'CF(M)'!$L99:$EQ99)</f>
        <v>0</v>
      </c>
      <c r="DV94" s="171">
        <f>SUMIF('CF(M)'!$L$11:$EQ$11,DV$6,'CF(M)'!$L99:$EQ99)</f>
        <v>0</v>
      </c>
    </row>
    <row r="95" spans="2:126" ht="11.25" customHeight="1">
      <c r="B95" s="218"/>
      <c r="C95" s="158" t="str">
        <f>'CF(FY)'!C95</f>
        <v>2종 우선주(삼성)</v>
      </c>
      <c r="D95" s="159"/>
      <c r="E95" s="159"/>
      <c r="F95" s="159"/>
      <c r="G95" s="159"/>
      <c r="H95" s="160"/>
      <c r="I95" s="219"/>
      <c r="J95" s="220">
        <f ca="1">SUM(J96:J99)</f>
        <v>-49267613.337566935</v>
      </c>
      <c r="K95" s="98"/>
      <c r="L95" s="162">
        <f ca="1">SUM(L96:L99)</f>
        <v>50000000</v>
      </c>
      <c r="M95" s="162">
        <f t="shared" ref="M95:BX95" ca="1" si="51">SUM(M96:M99)</f>
        <v>-3750000</v>
      </c>
      <c r="N95" s="162">
        <f t="shared" ca="1" si="51"/>
        <v>-3750000</v>
      </c>
      <c r="O95" s="162">
        <f t="shared" ca="1" si="51"/>
        <v>-3750000</v>
      </c>
      <c r="P95" s="162">
        <f t="shared" ca="1" si="51"/>
        <v>-3275764.0118692792</v>
      </c>
      <c r="Q95" s="162">
        <f t="shared" ca="1" si="51"/>
        <v>-2988019.9322713865</v>
      </c>
      <c r="R95" s="162">
        <f t="shared" ca="1" si="51"/>
        <v>-4064145.0865494525</v>
      </c>
      <c r="S95" s="162">
        <f t="shared" ca="1" si="51"/>
        <v>-4511487.8356066123</v>
      </c>
      <c r="T95" s="162">
        <f t="shared" ca="1" si="51"/>
        <v>-3910583.1337032691</v>
      </c>
      <c r="U95" s="162">
        <f t="shared" ca="1" si="51"/>
        <v>-3750000</v>
      </c>
      <c r="V95" s="162">
        <f t="shared" ca="1" si="51"/>
        <v>-65517613.337566935</v>
      </c>
      <c r="W95" s="162">
        <f t="shared" ca="1" si="51"/>
        <v>0</v>
      </c>
      <c r="X95" s="162">
        <f t="shared" ca="1" si="51"/>
        <v>0</v>
      </c>
      <c r="Y95" s="162">
        <f t="shared" si="51"/>
        <v>0</v>
      </c>
      <c r="Z95" s="162">
        <f t="shared" si="51"/>
        <v>0</v>
      </c>
      <c r="AA95" s="162">
        <f t="shared" si="51"/>
        <v>0</v>
      </c>
      <c r="AB95" s="162">
        <f t="shared" si="51"/>
        <v>0</v>
      </c>
      <c r="AC95" s="162">
        <f t="shared" si="51"/>
        <v>0</v>
      </c>
      <c r="AD95" s="162">
        <f t="shared" si="51"/>
        <v>0</v>
      </c>
      <c r="AE95" s="162">
        <f t="shared" si="51"/>
        <v>0</v>
      </c>
      <c r="AF95" s="162">
        <f t="shared" si="51"/>
        <v>0</v>
      </c>
      <c r="AG95" s="162">
        <f t="shared" si="51"/>
        <v>0</v>
      </c>
      <c r="AH95" s="162">
        <f t="shared" si="51"/>
        <v>0</v>
      </c>
      <c r="AI95" s="162">
        <f t="shared" si="51"/>
        <v>0</v>
      </c>
      <c r="AJ95" s="162">
        <f t="shared" si="51"/>
        <v>0</v>
      </c>
      <c r="AK95" s="162">
        <f t="shared" si="51"/>
        <v>0</v>
      </c>
      <c r="AL95" s="162">
        <f t="shared" si="51"/>
        <v>0</v>
      </c>
      <c r="AM95" s="162">
        <f t="shared" si="51"/>
        <v>0</v>
      </c>
      <c r="AN95" s="162">
        <f t="shared" si="51"/>
        <v>0</v>
      </c>
      <c r="AO95" s="162">
        <f t="shared" si="51"/>
        <v>0</v>
      </c>
      <c r="AP95" s="162">
        <f t="shared" si="51"/>
        <v>0</v>
      </c>
      <c r="AQ95" s="162">
        <f t="shared" si="51"/>
        <v>0</v>
      </c>
      <c r="AR95" s="162">
        <f t="shared" si="51"/>
        <v>0</v>
      </c>
      <c r="AS95" s="162">
        <f t="shared" si="51"/>
        <v>0</v>
      </c>
      <c r="AT95" s="162">
        <f t="shared" si="51"/>
        <v>0</v>
      </c>
      <c r="AU95" s="162">
        <f t="shared" si="51"/>
        <v>0</v>
      </c>
      <c r="AV95" s="162">
        <f t="shared" si="51"/>
        <v>0</v>
      </c>
      <c r="AW95" s="162">
        <f t="shared" si="51"/>
        <v>0</v>
      </c>
      <c r="AX95" s="162">
        <f t="shared" si="51"/>
        <v>0</v>
      </c>
      <c r="AY95" s="162">
        <f t="shared" si="51"/>
        <v>0</v>
      </c>
      <c r="AZ95" s="162">
        <f t="shared" si="51"/>
        <v>0</v>
      </c>
      <c r="BA95" s="162">
        <f t="shared" si="51"/>
        <v>0</v>
      </c>
      <c r="BB95" s="162">
        <f t="shared" si="51"/>
        <v>0</v>
      </c>
      <c r="BC95" s="162">
        <f t="shared" si="51"/>
        <v>0</v>
      </c>
      <c r="BD95" s="162">
        <f t="shared" si="51"/>
        <v>0</v>
      </c>
      <c r="BE95" s="162">
        <f t="shared" si="51"/>
        <v>0</v>
      </c>
      <c r="BF95" s="162">
        <f t="shared" si="51"/>
        <v>0</v>
      </c>
      <c r="BG95" s="162">
        <f t="shared" si="51"/>
        <v>0</v>
      </c>
      <c r="BH95" s="162">
        <f t="shared" si="51"/>
        <v>0</v>
      </c>
      <c r="BI95" s="162">
        <f t="shared" si="51"/>
        <v>0</v>
      </c>
      <c r="BJ95" s="162">
        <f t="shared" si="51"/>
        <v>0</v>
      </c>
      <c r="BK95" s="162">
        <f t="shared" si="51"/>
        <v>0</v>
      </c>
      <c r="BL95" s="162">
        <f t="shared" si="51"/>
        <v>0</v>
      </c>
      <c r="BM95" s="162">
        <f t="shared" si="51"/>
        <v>0</v>
      </c>
      <c r="BN95" s="162">
        <f t="shared" si="51"/>
        <v>0</v>
      </c>
      <c r="BO95" s="162">
        <f t="shared" si="51"/>
        <v>0</v>
      </c>
      <c r="BP95" s="162">
        <f t="shared" si="51"/>
        <v>0</v>
      </c>
      <c r="BQ95" s="162">
        <f t="shared" si="51"/>
        <v>0</v>
      </c>
      <c r="BR95" s="162">
        <f t="shared" si="51"/>
        <v>0</v>
      </c>
      <c r="BS95" s="162">
        <f t="shared" si="51"/>
        <v>0</v>
      </c>
      <c r="BT95" s="162">
        <f t="shared" si="51"/>
        <v>0</v>
      </c>
      <c r="BU95" s="162">
        <f t="shared" si="51"/>
        <v>0</v>
      </c>
      <c r="BV95" s="162">
        <f t="shared" si="51"/>
        <v>0</v>
      </c>
      <c r="BW95" s="162">
        <f t="shared" si="51"/>
        <v>0</v>
      </c>
      <c r="BX95" s="162">
        <f t="shared" si="51"/>
        <v>0</v>
      </c>
      <c r="BY95" s="162">
        <f t="shared" ref="BY95:DV95" si="52">SUM(BY96:BY99)</f>
        <v>0</v>
      </c>
      <c r="BZ95" s="162">
        <f t="shared" si="52"/>
        <v>0</v>
      </c>
      <c r="CA95" s="162">
        <f t="shared" si="52"/>
        <v>0</v>
      </c>
      <c r="CB95" s="162">
        <f t="shared" si="52"/>
        <v>0</v>
      </c>
      <c r="CC95" s="162">
        <f t="shared" si="52"/>
        <v>0</v>
      </c>
      <c r="CD95" s="162">
        <f t="shared" si="52"/>
        <v>0</v>
      </c>
      <c r="CE95" s="162">
        <f t="shared" si="52"/>
        <v>0</v>
      </c>
      <c r="CF95" s="162">
        <f t="shared" si="52"/>
        <v>0</v>
      </c>
      <c r="CG95" s="162">
        <f t="shared" si="52"/>
        <v>0</v>
      </c>
      <c r="CH95" s="162">
        <f t="shared" si="52"/>
        <v>0</v>
      </c>
      <c r="CI95" s="162">
        <f t="shared" si="52"/>
        <v>0</v>
      </c>
      <c r="CJ95" s="162">
        <f t="shared" si="52"/>
        <v>0</v>
      </c>
      <c r="CK95" s="162">
        <f t="shared" si="52"/>
        <v>0</v>
      </c>
      <c r="CL95" s="162">
        <f t="shared" si="52"/>
        <v>0</v>
      </c>
      <c r="CM95" s="162">
        <f t="shared" si="52"/>
        <v>0</v>
      </c>
      <c r="CN95" s="162">
        <f t="shared" si="52"/>
        <v>0</v>
      </c>
      <c r="CO95" s="162">
        <f t="shared" si="52"/>
        <v>0</v>
      </c>
      <c r="CP95" s="162">
        <f t="shared" si="52"/>
        <v>0</v>
      </c>
      <c r="CQ95" s="162">
        <f t="shared" si="52"/>
        <v>0</v>
      </c>
      <c r="CR95" s="162">
        <f t="shared" si="52"/>
        <v>0</v>
      </c>
      <c r="CS95" s="162">
        <f t="shared" si="52"/>
        <v>0</v>
      </c>
      <c r="CT95" s="162">
        <f t="shared" si="52"/>
        <v>0</v>
      </c>
      <c r="CU95" s="162">
        <f t="shared" si="52"/>
        <v>0</v>
      </c>
      <c r="CV95" s="162">
        <f t="shared" si="52"/>
        <v>0</v>
      </c>
      <c r="CW95" s="162">
        <f t="shared" si="52"/>
        <v>0</v>
      </c>
      <c r="CX95" s="162">
        <f t="shared" si="52"/>
        <v>0</v>
      </c>
      <c r="CY95" s="162">
        <f t="shared" si="52"/>
        <v>0</v>
      </c>
      <c r="CZ95" s="162">
        <f t="shared" si="52"/>
        <v>0</v>
      </c>
      <c r="DA95" s="162">
        <f t="shared" si="52"/>
        <v>0</v>
      </c>
      <c r="DB95" s="162">
        <f t="shared" si="52"/>
        <v>0</v>
      </c>
      <c r="DC95" s="162">
        <f t="shared" si="52"/>
        <v>0</v>
      </c>
      <c r="DD95" s="162">
        <f t="shared" si="52"/>
        <v>0</v>
      </c>
      <c r="DE95" s="162">
        <f t="shared" si="52"/>
        <v>0</v>
      </c>
      <c r="DF95" s="162">
        <f t="shared" si="52"/>
        <v>0</v>
      </c>
      <c r="DG95" s="162">
        <f t="shared" si="52"/>
        <v>0</v>
      </c>
      <c r="DH95" s="162">
        <f t="shared" si="52"/>
        <v>0</v>
      </c>
      <c r="DI95" s="162">
        <f t="shared" si="52"/>
        <v>0</v>
      </c>
      <c r="DJ95" s="162">
        <f t="shared" si="52"/>
        <v>0</v>
      </c>
      <c r="DK95" s="162">
        <f t="shared" si="52"/>
        <v>0</v>
      </c>
      <c r="DL95" s="162">
        <f t="shared" si="52"/>
        <v>0</v>
      </c>
      <c r="DM95" s="162">
        <f t="shared" si="52"/>
        <v>0</v>
      </c>
      <c r="DN95" s="162">
        <f t="shared" si="52"/>
        <v>0</v>
      </c>
      <c r="DO95" s="162">
        <f t="shared" si="52"/>
        <v>0</v>
      </c>
      <c r="DP95" s="162">
        <f t="shared" si="52"/>
        <v>0</v>
      </c>
      <c r="DQ95" s="162">
        <f t="shared" si="52"/>
        <v>0</v>
      </c>
      <c r="DR95" s="162">
        <f t="shared" si="52"/>
        <v>0</v>
      </c>
      <c r="DS95" s="162">
        <f t="shared" si="52"/>
        <v>0</v>
      </c>
      <c r="DT95" s="162">
        <f t="shared" si="52"/>
        <v>0</v>
      </c>
      <c r="DU95" s="162">
        <f t="shared" si="52"/>
        <v>0</v>
      </c>
      <c r="DV95" s="162">
        <f t="shared" si="52"/>
        <v>0</v>
      </c>
    </row>
    <row r="96" spans="2:126" ht="11.25" customHeight="1">
      <c r="B96" s="218"/>
      <c r="C96" s="163"/>
      <c r="D96" s="164" t="s">
        <v>208</v>
      </c>
      <c r="E96" s="165"/>
      <c r="F96" s="165"/>
      <c r="G96" s="165"/>
      <c r="H96" s="166"/>
      <c r="I96" s="228"/>
      <c r="J96" s="168">
        <f>SUM(L96:DV96)</f>
        <v>50000000</v>
      </c>
      <c r="K96" s="98"/>
      <c r="L96" s="168">
        <f>SUMIF('CF(M)'!$L$11:$EQ$11,L$6,'CF(M)'!$L101:$EQ101)</f>
        <v>50000000</v>
      </c>
      <c r="M96" s="168">
        <f>SUMIF('CF(M)'!$L$11:$EQ$11,M$6,'CF(M)'!$L101:$EQ101)</f>
        <v>0</v>
      </c>
      <c r="N96" s="168">
        <f>SUMIF('CF(M)'!$L$11:$EQ$11,N$6,'CF(M)'!$L101:$EQ101)</f>
        <v>0</v>
      </c>
      <c r="O96" s="168">
        <f>SUMIF('CF(M)'!$L$11:$EQ$11,O$6,'CF(M)'!$L101:$EQ101)</f>
        <v>0</v>
      </c>
      <c r="P96" s="168">
        <f>SUMIF('CF(M)'!$L$11:$EQ$11,P$6,'CF(M)'!$L101:$EQ101)</f>
        <v>0</v>
      </c>
      <c r="Q96" s="168">
        <f>SUMIF('CF(M)'!$L$11:$EQ$11,Q$6,'CF(M)'!$L101:$EQ101)</f>
        <v>0</v>
      </c>
      <c r="R96" s="168">
        <f>SUMIF('CF(M)'!$L$11:$EQ$11,R$6,'CF(M)'!$L101:$EQ101)</f>
        <v>0</v>
      </c>
      <c r="S96" s="168">
        <f>SUMIF('CF(M)'!$L$11:$EQ$11,S$6,'CF(M)'!$L101:$EQ101)</f>
        <v>0</v>
      </c>
      <c r="T96" s="168">
        <f>SUMIF('CF(M)'!$L$11:$EQ$11,T$6,'CF(M)'!$L101:$EQ101)</f>
        <v>0</v>
      </c>
      <c r="U96" s="168">
        <f>SUMIF('CF(M)'!$L$11:$EQ$11,U$6,'CF(M)'!$L101:$EQ101)</f>
        <v>0</v>
      </c>
      <c r="V96" s="168">
        <f>SUMIF('CF(M)'!$L$11:$EQ$11,V$6,'CF(M)'!$L101:$EQ101)</f>
        <v>0</v>
      </c>
      <c r="W96" s="168">
        <f>SUMIF('CF(M)'!$L$11:$EQ$11,W$6,'CF(M)'!$L101:$EQ101)</f>
        <v>0</v>
      </c>
      <c r="X96" s="168">
        <f>SUMIF('CF(M)'!$L$11:$EQ$11,X$6,'CF(M)'!$L101:$EQ101)</f>
        <v>0</v>
      </c>
      <c r="Y96" s="168">
        <f>SUMIF('CF(M)'!$L$11:$EQ$11,Y$6,'CF(M)'!$L101:$EQ101)</f>
        <v>0</v>
      </c>
      <c r="Z96" s="168">
        <f>SUMIF('CF(M)'!$L$11:$EQ$11,Z$6,'CF(M)'!$L101:$EQ101)</f>
        <v>0</v>
      </c>
      <c r="AA96" s="168">
        <f>SUMIF('CF(M)'!$L$11:$EQ$11,AA$6,'CF(M)'!$L101:$EQ101)</f>
        <v>0</v>
      </c>
      <c r="AB96" s="168">
        <f>SUMIF('CF(M)'!$L$11:$EQ$11,AB$6,'CF(M)'!$L101:$EQ101)</f>
        <v>0</v>
      </c>
      <c r="AC96" s="168">
        <f>SUMIF('CF(M)'!$L$11:$EQ$11,AC$6,'CF(M)'!$L101:$EQ101)</f>
        <v>0</v>
      </c>
      <c r="AD96" s="168">
        <f>SUMIF('CF(M)'!$L$11:$EQ$11,AD$6,'CF(M)'!$L101:$EQ101)</f>
        <v>0</v>
      </c>
      <c r="AE96" s="168">
        <f>SUMIF('CF(M)'!$L$11:$EQ$11,AE$6,'CF(M)'!$L101:$EQ101)</f>
        <v>0</v>
      </c>
      <c r="AF96" s="168">
        <f>SUMIF('CF(M)'!$L$11:$EQ$11,AF$6,'CF(M)'!$L101:$EQ101)</f>
        <v>0</v>
      </c>
      <c r="AG96" s="168">
        <f>SUMIF('CF(M)'!$L$11:$EQ$11,AG$6,'CF(M)'!$L101:$EQ101)</f>
        <v>0</v>
      </c>
      <c r="AH96" s="168">
        <f>SUMIF('CF(M)'!$L$11:$EQ$11,AH$6,'CF(M)'!$L101:$EQ101)</f>
        <v>0</v>
      </c>
      <c r="AI96" s="168">
        <f>SUMIF('CF(M)'!$L$11:$EQ$11,AI$6,'CF(M)'!$L101:$EQ101)</f>
        <v>0</v>
      </c>
      <c r="AJ96" s="168">
        <f>SUMIF('CF(M)'!$L$11:$EQ$11,AJ$6,'CF(M)'!$L101:$EQ101)</f>
        <v>0</v>
      </c>
      <c r="AK96" s="168">
        <f>SUMIF('CF(M)'!$L$11:$EQ$11,AK$6,'CF(M)'!$L101:$EQ101)</f>
        <v>0</v>
      </c>
      <c r="AL96" s="168">
        <f>SUMIF('CF(M)'!$L$11:$EQ$11,AL$6,'CF(M)'!$L101:$EQ101)</f>
        <v>0</v>
      </c>
      <c r="AM96" s="168">
        <f>SUMIF('CF(M)'!$L$11:$EQ$11,AM$6,'CF(M)'!$L101:$EQ101)</f>
        <v>0</v>
      </c>
      <c r="AN96" s="168">
        <f>SUMIF('CF(M)'!$L$11:$EQ$11,AN$6,'CF(M)'!$L101:$EQ101)</f>
        <v>0</v>
      </c>
      <c r="AO96" s="168">
        <f>SUMIF('CF(M)'!$L$11:$EQ$11,AO$6,'CF(M)'!$L101:$EQ101)</f>
        <v>0</v>
      </c>
      <c r="AP96" s="168">
        <f>SUMIF('CF(M)'!$L$11:$EQ$11,AP$6,'CF(M)'!$L101:$EQ101)</f>
        <v>0</v>
      </c>
      <c r="AQ96" s="168">
        <f>SUMIF('CF(M)'!$L$11:$EQ$11,AQ$6,'CF(M)'!$L101:$EQ101)</f>
        <v>0</v>
      </c>
      <c r="AR96" s="168">
        <f>SUMIF('CF(M)'!$L$11:$EQ$11,AR$6,'CF(M)'!$L101:$EQ101)</f>
        <v>0</v>
      </c>
      <c r="AS96" s="168">
        <f>SUMIF('CF(M)'!$L$11:$EQ$11,AS$6,'CF(M)'!$L101:$EQ101)</f>
        <v>0</v>
      </c>
      <c r="AT96" s="168">
        <f>SUMIF('CF(M)'!$L$11:$EQ$11,AT$6,'CF(M)'!$L101:$EQ101)</f>
        <v>0</v>
      </c>
      <c r="AU96" s="168">
        <f>SUMIF('CF(M)'!$L$11:$EQ$11,AU$6,'CF(M)'!$L101:$EQ101)</f>
        <v>0</v>
      </c>
      <c r="AV96" s="168">
        <f>SUMIF('CF(M)'!$L$11:$EQ$11,AV$6,'CF(M)'!$L101:$EQ101)</f>
        <v>0</v>
      </c>
      <c r="AW96" s="168">
        <f>SUMIF('CF(M)'!$L$11:$EQ$11,AW$6,'CF(M)'!$L101:$EQ101)</f>
        <v>0</v>
      </c>
      <c r="AX96" s="168">
        <f>SUMIF('CF(M)'!$L$11:$EQ$11,AX$6,'CF(M)'!$L101:$EQ101)</f>
        <v>0</v>
      </c>
      <c r="AY96" s="168">
        <f>SUMIF('CF(M)'!$L$11:$EQ$11,AY$6,'CF(M)'!$L101:$EQ101)</f>
        <v>0</v>
      </c>
      <c r="AZ96" s="168">
        <f>SUMIF('CF(M)'!$L$11:$EQ$11,AZ$6,'CF(M)'!$L101:$EQ101)</f>
        <v>0</v>
      </c>
      <c r="BA96" s="168">
        <f>SUMIF('CF(M)'!$L$11:$EQ$11,BA$6,'CF(M)'!$L101:$EQ101)</f>
        <v>0</v>
      </c>
      <c r="BB96" s="168">
        <f>SUMIF('CF(M)'!$L$11:$EQ$11,BB$6,'CF(M)'!$L101:$EQ101)</f>
        <v>0</v>
      </c>
      <c r="BC96" s="168">
        <f>SUMIF('CF(M)'!$L$11:$EQ$11,BC$6,'CF(M)'!$L101:$EQ101)</f>
        <v>0</v>
      </c>
      <c r="BD96" s="168">
        <f>SUMIF('CF(M)'!$L$11:$EQ$11,BD$6,'CF(M)'!$L101:$EQ101)</f>
        <v>0</v>
      </c>
      <c r="BE96" s="168">
        <f>SUMIF('CF(M)'!$L$11:$EQ$11,BE$6,'CF(M)'!$L101:$EQ101)</f>
        <v>0</v>
      </c>
      <c r="BF96" s="168">
        <f>SUMIF('CF(M)'!$L$11:$EQ$11,BF$6,'CF(M)'!$L101:$EQ101)</f>
        <v>0</v>
      </c>
      <c r="BG96" s="168">
        <f>SUMIF('CF(M)'!$L$11:$EQ$11,BG$6,'CF(M)'!$L101:$EQ101)</f>
        <v>0</v>
      </c>
      <c r="BH96" s="168">
        <f>SUMIF('CF(M)'!$L$11:$EQ$11,BH$6,'CF(M)'!$L101:$EQ101)</f>
        <v>0</v>
      </c>
      <c r="BI96" s="168">
        <f>SUMIF('CF(M)'!$L$11:$EQ$11,BI$6,'CF(M)'!$L101:$EQ101)</f>
        <v>0</v>
      </c>
      <c r="BJ96" s="168">
        <f>SUMIF('CF(M)'!$L$11:$EQ$11,BJ$6,'CF(M)'!$L101:$EQ101)</f>
        <v>0</v>
      </c>
      <c r="BK96" s="168">
        <f>SUMIF('CF(M)'!$L$11:$EQ$11,BK$6,'CF(M)'!$L101:$EQ101)</f>
        <v>0</v>
      </c>
      <c r="BL96" s="168">
        <f>SUMIF('CF(M)'!$L$11:$EQ$11,BL$6,'CF(M)'!$L101:$EQ101)</f>
        <v>0</v>
      </c>
      <c r="BM96" s="168">
        <f>SUMIF('CF(M)'!$L$11:$EQ$11,BM$6,'CF(M)'!$L101:$EQ101)</f>
        <v>0</v>
      </c>
      <c r="BN96" s="168">
        <f>SUMIF('CF(M)'!$L$11:$EQ$11,BN$6,'CF(M)'!$L101:$EQ101)</f>
        <v>0</v>
      </c>
      <c r="BO96" s="168">
        <f>SUMIF('CF(M)'!$L$11:$EQ$11,BO$6,'CF(M)'!$L101:$EQ101)</f>
        <v>0</v>
      </c>
      <c r="BP96" s="168">
        <f>SUMIF('CF(M)'!$L$11:$EQ$11,BP$6,'CF(M)'!$L101:$EQ101)</f>
        <v>0</v>
      </c>
      <c r="BQ96" s="168">
        <f>SUMIF('CF(M)'!$L$11:$EQ$11,BQ$6,'CF(M)'!$L101:$EQ101)</f>
        <v>0</v>
      </c>
      <c r="BR96" s="168">
        <f>SUMIF('CF(M)'!$L$11:$EQ$11,BR$6,'CF(M)'!$L101:$EQ101)</f>
        <v>0</v>
      </c>
      <c r="BS96" s="168">
        <f>SUMIF('CF(M)'!$L$11:$EQ$11,BS$6,'CF(M)'!$L101:$EQ101)</f>
        <v>0</v>
      </c>
      <c r="BT96" s="168">
        <f>SUMIF('CF(M)'!$L$11:$EQ$11,BT$6,'CF(M)'!$L101:$EQ101)</f>
        <v>0</v>
      </c>
      <c r="BU96" s="168">
        <f>SUMIF('CF(M)'!$L$11:$EQ$11,BU$6,'CF(M)'!$L101:$EQ101)</f>
        <v>0</v>
      </c>
      <c r="BV96" s="168">
        <f>SUMIF('CF(M)'!$L$11:$EQ$11,BV$6,'CF(M)'!$L101:$EQ101)</f>
        <v>0</v>
      </c>
      <c r="BW96" s="168">
        <f>SUMIF('CF(M)'!$L$11:$EQ$11,BW$6,'CF(M)'!$L101:$EQ101)</f>
        <v>0</v>
      </c>
      <c r="BX96" s="168">
        <f>SUMIF('CF(M)'!$L$11:$EQ$11,BX$6,'CF(M)'!$L101:$EQ101)</f>
        <v>0</v>
      </c>
      <c r="BY96" s="168">
        <f>SUMIF('CF(M)'!$L$11:$EQ$11,BY$6,'CF(M)'!$L101:$EQ101)</f>
        <v>0</v>
      </c>
      <c r="BZ96" s="168">
        <f>SUMIF('CF(M)'!$L$11:$EQ$11,BZ$6,'CF(M)'!$L101:$EQ101)</f>
        <v>0</v>
      </c>
      <c r="CA96" s="168">
        <f>SUMIF('CF(M)'!$L$11:$EQ$11,CA$6,'CF(M)'!$L101:$EQ101)</f>
        <v>0</v>
      </c>
      <c r="CB96" s="168">
        <f>SUMIF('CF(M)'!$L$11:$EQ$11,CB$6,'CF(M)'!$L101:$EQ101)</f>
        <v>0</v>
      </c>
      <c r="CC96" s="168">
        <f>SUMIF('CF(M)'!$L$11:$EQ$11,CC$6,'CF(M)'!$L101:$EQ101)</f>
        <v>0</v>
      </c>
      <c r="CD96" s="168">
        <f>SUMIF('CF(M)'!$L$11:$EQ$11,CD$6,'CF(M)'!$L101:$EQ101)</f>
        <v>0</v>
      </c>
      <c r="CE96" s="168">
        <f>SUMIF('CF(M)'!$L$11:$EQ$11,CE$6,'CF(M)'!$L101:$EQ101)</f>
        <v>0</v>
      </c>
      <c r="CF96" s="168">
        <f>SUMIF('CF(M)'!$L$11:$EQ$11,CF$6,'CF(M)'!$L101:$EQ101)</f>
        <v>0</v>
      </c>
      <c r="CG96" s="168">
        <f>SUMIF('CF(M)'!$L$11:$EQ$11,CG$6,'CF(M)'!$L101:$EQ101)</f>
        <v>0</v>
      </c>
      <c r="CH96" s="168">
        <f>SUMIF('CF(M)'!$L$11:$EQ$11,CH$6,'CF(M)'!$L101:$EQ101)</f>
        <v>0</v>
      </c>
      <c r="CI96" s="168">
        <f>SUMIF('CF(M)'!$L$11:$EQ$11,CI$6,'CF(M)'!$L101:$EQ101)</f>
        <v>0</v>
      </c>
      <c r="CJ96" s="168">
        <f>SUMIF('CF(M)'!$L$11:$EQ$11,CJ$6,'CF(M)'!$L101:$EQ101)</f>
        <v>0</v>
      </c>
      <c r="CK96" s="168">
        <f>SUMIF('CF(M)'!$L$11:$EQ$11,CK$6,'CF(M)'!$L101:$EQ101)</f>
        <v>0</v>
      </c>
      <c r="CL96" s="168">
        <f>SUMIF('CF(M)'!$L$11:$EQ$11,CL$6,'CF(M)'!$L101:$EQ101)</f>
        <v>0</v>
      </c>
      <c r="CM96" s="168">
        <f>SUMIF('CF(M)'!$L$11:$EQ$11,CM$6,'CF(M)'!$L101:$EQ101)</f>
        <v>0</v>
      </c>
      <c r="CN96" s="168">
        <f>SUMIF('CF(M)'!$L$11:$EQ$11,CN$6,'CF(M)'!$L101:$EQ101)</f>
        <v>0</v>
      </c>
      <c r="CO96" s="168">
        <f>SUMIF('CF(M)'!$L$11:$EQ$11,CO$6,'CF(M)'!$L101:$EQ101)</f>
        <v>0</v>
      </c>
      <c r="CP96" s="168">
        <f>SUMIF('CF(M)'!$L$11:$EQ$11,CP$6,'CF(M)'!$L101:$EQ101)</f>
        <v>0</v>
      </c>
      <c r="CQ96" s="168">
        <f>SUMIF('CF(M)'!$L$11:$EQ$11,CQ$6,'CF(M)'!$L101:$EQ101)</f>
        <v>0</v>
      </c>
      <c r="CR96" s="168">
        <f>SUMIF('CF(M)'!$L$11:$EQ$11,CR$6,'CF(M)'!$L101:$EQ101)</f>
        <v>0</v>
      </c>
      <c r="CS96" s="168">
        <f>SUMIF('CF(M)'!$L$11:$EQ$11,CS$6,'CF(M)'!$L101:$EQ101)</f>
        <v>0</v>
      </c>
      <c r="CT96" s="168">
        <f>SUMIF('CF(M)'!$L$11:$EQ$11,CT$6,'CF(M)'!$L101:$EQ101)</f>
        <v>0</v>
      </c>
      <c r="CU96" s="168">
        <f>SUMIF('CF(M)'!$L$11:$EQ$11,CU$6,'CF(M)'!$L101:$EQ101)</f>
        <v>0</v>
      </c>
      <c r="CV96" s="168">
        <f>SUMIF('CF(M)'!$L$11:$EQ$11,CV$6,'CF(M)'!$L101:$EQ101)</f>
        <v>0</v>
      </c>
      <c r="CW96" s="168">
        <f>SUMIF('CF(M)'!$L$11:$EQ$11,CW$6,'CF(M)'!$L101:$EQ101)</f>
        <v>0</v>
      </c>
      <c r="CX96" s="168">
        <f>SUMIF('CF(M)'!$L$11:$EQ$11,CX$6,'CF(M)'!$L101:$EQ101)</f>
        <v>0</v>
      </c>
      <c r="CY96" s="168">
        <f>SUMIF('CF(M)'!$L$11:$EQ$11,CY$6,'CF(M)'!$L101:$EQ101)</f>
        <v>0</v>
      </c>
      <c r="CZ96" s="168">
        <f>SUMIF('CF(M)'!$L$11:$EQ$11,CZ$6,'CF(M)'!$L101:$EQ101)</f>
        <v>0</v>
      </c>
      <c r="DA96" s="168">
        <f>SUMIF('CF(M)'!$L$11:$EQ$11,DA$6,'CF(M)'!$L101:$EQ101)</f>
        <v>0</v>
      </c>
      <c r="DB96" s="168">
        <f>SUMIF('CF(M)'!$L$11:$EQ$11,DB$6,'CF(M)'!$L101:$EQ101)</f>
        <v>0</v>
      </c>
      <c r="DC96" s="168">
        <f>SUMIF('CF(M)'!$L$11:$EQ$11,DC$6,'CF(M)'!$L101:$EQ101)</f>
        <v>0</v>
      </c>
      <c r="DD96" s="168">
        <f>SUMIF('CF(M)'!$L$11:$EQ$11,DD$6,'CF(M)'!$L101:$EQ101)</f>
        <v>0</v>
      </c>
      <c r="DE96" s="168">
        <f>SUMIF('CF(M)'!$L$11:$EQ$11,DE$6,'CF(M)'!$L101:$EQ101)</f>
        <v>0</v>
      </c>
      <c r="DF96" s="168">
        <f>SUMIF('CF(M)'!$L$11:$EQ$11,DF$6,'CF(M)'!$L101:$EQ101)</f>
        <v>0</v>
      </c>
      <c r="DG96" s="168">
        <f>SUMIF('CF(M)'!$L$11:$EQ$11,DG$6,'CF(M)'!$L101:$EQ101)</f>
        <v>0</v>
      </c>
      <c r="DH96" s="168">
        <f>SUMIF('CF(M)'!$L$11:$EQ$11,DH$6,'CF(M)'!$L101:$EQ101)</f>
        <v>0</v>
      </c>
      <c r="DI96" s="168">
        <f>SUMIF('CF(M)'!$L$11:$EQ$11,DI$6,'CF(M)'!$L101:$EQ101)</f>
        <v>0</v>
      </c>
      <c r="DJ96" s="168">
        <f>SUMIF('CF(M)'!$L$11:$EQ$11,DJ$6,'CF(M)'!$L101:$EQ101)</f>
        <v>0</v>
      </c>
      <c r="DK96" s="168">
        <f>SUMIF('CF(M)'!$L$11:$EQ$11,DK$6,'CF(M)'!$L101:$EQ101)</f>
        <v>0</v>
      </c>
      <c r="DL96" s="168">
        <f>SUMIF('CF(M)'!$L$11:$EQ$11,DL$6,'CF(M)'!$L101:$EQ101)</f>
        <v>0</v>
      </c>
      <c r="DM96" s="168">
        <f>SUMIF('CF(M)'!$L$11:$EQ$11,DM$6,'CF(M)'!$L101:$EQ101)</f>
        <v>0</v>
      </c>
      <c r="DN96" s="168">
        <f>SUMIF('CF(M)'!$L$11:$EQ$11,DN$6,'CF(M)'!$L101:$EQ101)</f>
        <v>0</v>
      </c>
      <c r="DO96" s="168">
        <f>SUMIF('CF(M)'!$L$11:$EQ$11,DO$6,'CF(M)'!$L101:$EQ101)</f>
        <v>0</v>
      </c>
      <c r="DP96" s="168">
        <f>SUMIF('CF(M)'!$L$11:$EQ$11,DP$6,'CF(M)'!$L101:$EQ101)</f>
        <v>0</v>
      </c>
      <c r="DQ96" s="168">
        <f>SUMIF('CF(M)'!$L$11:$EQ$11,DQ$6,'CF(M)'!$L101:$EQ101)</f>
        <v>0</v>
      </c>
      <c r="DR96" s="168">
        <f>SUMIF('CF(M)'!$L$11:$EQ$11,DR$6,'CF(M)'!$L101:$EQ101)</f>
        <v>0</v>
      </c>
      <c r="DS96" s="168">
        <f>SUMIF('CF(M)'!$L$11:$EQ$11,DS$6,'CF(M)'!$L101:$EQ101)</f>
        <v>0</v>
      </c>
      <c r="DT96" s="168">
        <f>SUMIF('CF(M)'!$L$11:$EQ$11,DT$6,'CF(M)'!$L101:$EQ101)</f>
        <v>0</v>
      </c>
      <c r="DU96" s="168">
        <f>SUMIF('CF(M)'!$L$11:$EQ$11,DU$6,'CF(M)'!$L101:$EQ101)</f>
        <v>0</v>
      </c>
      <c r="DV96" s="168">
        <f>SUMIF('CF(M)'!$L$11:$EQ$11,DV$6,'CF(M)'!$L101:$EQ101)</f>
        <v>0</v>
      </c>
    </row>
    <row r="97" spans="2:126" ht="11.25" customHeight="1">
      <c r="B97" s="218"/>
      <c r="C97" s="163"/>
      <c r="D97" s="169" t="s">
        <v>551</v>
      </c>
      <c r="H97" s="146"/>
      <c r="I97" s="229"/>
      <c r="J97" s="171">
        <f>SUM(L97:DV97)</f>
        <v>-50000000</v>
      </c>
      <c r="K97" s="98"/>
      <c r="L97" s="171">
        <f>SUMIF('CF(M)'!$L$11:$EQ$11,L$6,'CF(M)'!$L102:$EQ102)</f>
        <v>0</v>
      </c>
      <c r="M97" s="171">
        <f>SUMIF('CF(M)'!$L$11:$EQ$11,M$6,'CF(M)'!$L102:$EQ102)</f>
        <v>0</v>
      </c>
      <c r="N97" s="171">
        <f>SUMIF('CF(M)'!$L$11:$EQ$11,N$6,'CF(M)'!$L102:$EQ102)</f>
        <v>0</v>
      </c>
      <c r="O97" s="171">
        <f>SUMIF('CF(M)'!$L$11:$EQ$11,O$6,'CF(M)'!$L102:$EQ102)</f>
        <v>0</v>
      </c>
      <c r="P97" s="171">
        <f>SUMIF('CF(M)'!$L$11:$EQ$11,P$6,'CF(M)'!$L102:$EQ102)</f>
        <v>0</v>
      </c>
      <c r="Q97" s="171">
        <f>SUMIF('CF(M)'!$L$11:$EQ$11,Q$6,'CF(M)'!$L102:$EQ102)</f>
        <v>0</v>
      </c>
      <c r="R97" s="171">
        <f>SUMIF('CF(M)'!$L$11:$EQ$11,R$6,'CF(M)'!$L102:$EQ102)</f>
        <v>0</v>
      </c>
      <c r="S97" s="171">
        <f>SUMIF('CF(M)'!$L$11:$EQ$11,S$6,'CF(M)'!$L102:$EQ102)</f>
        <v>0</v>
      </c>
      <c r="T97" s="171">
        <f>SUMIF('CF(M)'!$L$11:$EQ$11,T$6,'CF(M)'!$L102:$EQ102)</f>
        <v>0</v>
      </c>
      <c r="U97" s="171">
        <f>SUMIF('CF(M)'!$L$11:$EQ$11,U$6,'CF(M)'!$L102:$EQ102)</f>
        <v>0</v>
      </c>
      <c r="V97" s="171">
        <f>SUMIF('CF(M)'!$L$11:$EQ$11,V$6,'CF(M)'!$L102:$EQ102)</f>
        <v>-50000000</v>
      </c>
      <c r="W97" s="171">
        <f>SUMIF('CF(M)'!$L$11:$EQ$11,W$6,'CF(M)'!$L102:$EQ102)</f>
        <v>0</v>
      </c>
      <c r="X97" s="171">
        <f>SUMIF('CF(M)'!$L$11:$EQ$11,X$6,'CF(M)'!$L102:$EQ102)</f>
        <v>0</v>
      </c>
      <c r="Y97" s="171">
        <f>SUMIF('CF(M)'!$L$11:$EQ$11,Y$6,'CF(M)'!$L102:$EQ102)</f>
        <v>0</v>
      </c>
      <c r="Z97" s="171">
        <f>SUMIF('CF(M)'!$L$11:$EQ$11,Z$6,'CF(M)'!$L102:$EQ102)</f>
        <v>0</v>
      </c>
      <c r="AA97" s="171">
        <f>SUMIF('CF(M)'!$L$11:$EQ$11,AA$6,'CF(M)'!$L102:$EQ102)</f>
        <v>0</v>
      </c>
      <c r="AB97" s="171">
        <f>SUMIF('CF(M)'!$L$11:$EQ$11,AB$6,'CF(M)'!$L102:$EQ102)</f>
        <v>0</v>
      </c>
      <c r="AC97" s="171">
        <f>SUMIF('CF(M)'!$L$11:$EQ$11,AC$6,'CF(M)'!$L102:$EQ102)</f>
        <v>0</v>
      </c>
      <c r="AD97" s="171">
        <f>SUMIF('CF(M)'!$L$11:$EQ$11,AD$6,'CF(M)'!$L102:$EQ102)</f>
        <v>0</v>
      </c>
      <c r="AE97" s="171">
        <f>SUMIF('CF(M)'!$L$11:$EQ$11,AE$6,'CF(M)'!$L102:$EQ102)</f>
        <v>0</v>
      </c>
      <c r="AF97" s="171">
        <f>SUMIF('CF(M)'!$L$11:$EQ$11,AF$6,'CF(M)'!$L102:$EQ102)</f>
        <v>0</v>
      </c>
      <c r="AG97" s="171">
        <f>SUMIF('CF(M)'!$L$11:$EQ$11,AG$6,'CF(M)'!$L102:$EQ102)</f>
        <v>0</v>
      </c>
      <c r="AH97" s="171">
        <f>SUMIF('CF(M)'!$L$11:$EQ$11,AH$6,'CF(M)'!$L102:$EQ102)</f>
        <v>0</v>
      </c>
      <c r="AI97" s="171">
        <f>SUMIF('CF(M)'!$L$11:$EQ$11,AI$6,'CF(M)'!$L102:$EQ102)</f>
        <v>0</v>
      </c>
      <c r="AJ97" s="171">
        <f>SUMIF('CF(M)'!$L$11:$EQ$11,AJ$6,'CF(M)'!$L102:$EQ102)</f>
        <v>0</v>
      </c>
      <c r="AK97" s="171">
        <f>SUMIF('CF(M)'!$L$11:$EQ$11,AK$6,'CF(M)'!$L102:$EQ102)</f>
        <v>0</v>
      </c>
      <c r="AL97" s="171">
        <f>SUMIF('CF(M)'!$L$11:$EQ$11,AL$6,'CF(M)'!$L102:$EQ102)</f>
        <v>0</v>
      </c>
      <c r="AM97" s="171">
        <f>SUMIF('CF(M)'!$L$11:$EQ$11,AM$6,'CF(M)'!$L102:$EQ102)</f>
        <v>0</v>
      </c>
      <c r="AN97" s="171">
        <f>SUMIF('CF(M)'!$L$11:$EQ$11,AN$6,'CF(M)'!$L102:$EQ102)</f>
        <v>0</v>
      </c>
      <c r="AO97" s="171">
        <f>SUMIF('CF(M)'!$L$11:$EQ$11,AO$6,'CF(M)'!$L102:$EQ102)</f>
        <v>0</v>
      </c>
      <c r="AP97" s="171">
        <f>SUMIF('CF(M)'!$L$11:$EQ$11,AP$6,'CF(M)'!$L102:$EQ102)</f>
        <v>0</v>
      </c>
      <c r="AQ97" s="171">
        <f>SUMIF('CF(M)'!$L$11:$EQ$11,AQ$6,'CF(M)'!$L102:$EQ102)</f>
        <v>0</v>
      </c>
      <c r="AR97" s="171">
        <f>SUMIF('CF(M)'!$L$11:$EQ$11,AR$6,'CF(M)'!$L102:$EQ102)</f>
        <v>0</v>
      </c>
      <c r="AS97" s="171">
        <f>SUMIF('CF(M)'!$L$11:$EQ$11,AS$6,'CF(M)'!$L102:$EQ102)</f>
        <v>0</v>
      </c>
      <c r="AT97" s="171">
        <f>SUMIF('CF(M)'!$L$11:$EQ$11,AT$6,'CF(M)'!$L102:$EQ102)</f>
        <v>0</v>
      </c>
      <c r="AU97" s="171">
        <f>SUMIF('CF(M)'!$L$11:$EQ$11,AU$6,'CF(M)'!$L102:$EQ102)</f>
        <v>0</v>
      </c>
      <c r="AV97" s="171">
        <f>SUMIF('CF(M)'!$L$11:$EQ$11,AV$6,'CF(M)'!$L102:$EQ102)</f>
        <v>0</v>
      </c>
      <c r="AW97" s="171">
        <f>SUMIF('CF(M)'!$L$11:$EQ$11,AW$6,'CF(M)'!$L102:$EQ102)</f>
        <v>0</v>
      </c>
      <c r="AX97" s="171">
        <f>SUMIF('CF(M)'!$L$11:$EQ$11,AX$6,'CF(M)'!$L102:$EQ102)</f>
        <v>0</v>
      </c>
      <c r="AY97" s="171">
        <f>SUMIF('CF(M)'!$L$11:$EQ$11,AY$6,'CF(M)'!$L102:$EQ102)</f>
        <v>0</v>
      </c>
      <c r="AZ97" s="171">
        <f>SUMIF('CF(M)'!$L$11:$EQ$11,AZ$6,'CF(M)'!$L102:$EQ102)</f>
        <v>0</v>
      </c>
      <c r="BA97" s="171">
        <f>SUMIF('CF(M)'!$L$11:$EQ$11,BA$6,'CF(M)'!$L102:$EQ102)</f>
        <v>0</v>
      </c>
      <c r="BB97" s="171">
        <f>SUMIF('CF(M)'!$L$11:$EQ$11,BB$6,'CF(M)'!$L102:$EQ102)</f>
        <v>0</v>
      </c>
      <c r="BC97" s="171">
        <f>SUMIF('CF(M)'!$L$11:$EQ$11,BC$6,'CF(M)'!$L102:$EQ102)</f>
        <v>0</v>
      </c>
      <c r="BD97" s="171">
        <f>SUMIF('CF(M)'!$L$11:$EQ$11,BD$6,'CF(M)'!$L102:$EQ102)</f>
        <v>0</v>
      </c>
      <c r="BE97" s="171">
        <f>SUMIF('CF(M)'!$L$11:$EQ$11,BE$6,'CF(M)'!$L102:$EQ102)</f>
        <v>0</v>
      </c>
      <c r="BF97" s="171">
        <f>SUMIF('CF(M)'!$L$11:$EQ$11,BF$6,'CF(M)'!$L102:$EQ102)</f>
        <v>0</v>
      </c>
      <c r="BG97" s="171">
        <f>SUMIF('CF(M)'!$L$11:$EQ$11,BG$6,'CF(M)'!$L102:$EQ102)</f>
        <v>0</v>
      </c>
      <c r="BH97" s="171">
        <f>SUMIF('CF(M)'!$L$11:$EQ$11,BH$6,'CF(M)'!$L102:$EQ102)</f>
        <v>0</v>
      </c>
      <c r="BI97" s="171">
        <f>SUMIF('CF(M)'!$L$11:$EQ$11,BI$6,'CF(M)'!$L102:$EQ102)</f>
        <v>0</v>
      </c>
      <c r="BJ97" s="171">
        <f>SUMIF('CF(M)'!$L$11:$EQ$11,BJ$6,'CF(M)'!$L102:$EQ102)</f>
        <v>0</v>
      </c>
      <c r="BK97" s="171">
        <f>SUMIF('CF(M)'!$L$11:$EQ$11,BK$6,'CF(M)'!$L102:$EQ102)</f>
        <v>0</v>
      </c>
      <c r="BL97" s="171">
        <f>SUMIF('CF(M)'!$L$11:$EQ$11,BL$6,'CF(M)'!$L102:$EQ102)</f>
        <v>0</v>
      </c>
      <c r="BM97" s="171">
        <f>SUMIF('CF(M)'!$L$11:$EQ$11,BM$6,'CF(M)'!$L102:$EQ102)</f>
        <v>0</v>
      </c>
      <c r="BN97" s="171">
        <f>SUMIF('CF(M)'!$L$11:$EQ$11,BN$6,'CF(M)'!$L102:$EQ102)</f>
        <v>0</v>
      </c>
      <c r="BO97" s="171">
        <f>SUMIF('CF(M)'!$L$11:$EQ$11,BO$6,'CF(M)'!$L102:$EQ102)</f>
        <v>0</v>
      </c>
      <c r="BP97" s="171">
        <f>SUMIF('CF(M)'!$L$11:$EQ$11,BP$6,'CF(M)'!$L102:$EQ102)</f>
        <v>0</v>
      </c>
      <c r="BQ97" s="171">
        <f>SUMIF('CF(M)'!$L$11:$EQ$11,BQ$6,'CF(M)'!$L102:$EQ102)</f>
        <v>0</v>
      </c>
      <c r="BR97" s="171">
        <f>SUMIF('CF(M)'!$L$11:$EQ$11,BR$6,'CF(M)'!$L102:$EQ102)</f>
        <v>0</v>
      </c>
      <c r="BS97" s="171">
        <f>SUMIF('CF(M)'!$L$11:$EQ$11,BS$6,'CF(M)'!$L102:$EQ102)</f>
        <v>0</v>
      </c>
      <c r="BT97" s="171">
        <f>SUMIF('CF(M)'!$L$11:$EQ$11,BT$6,'CF(M)'!$L102:$EQ102)</f>
        <v>0</v>
      </c>
      <c r="BU97" s="171">
        <f>SUMIF('CF(M)'!$L$11:$EQ$11,BU$6,'CF(M)'!$L102:$EQ102)</f>
        <v>0</v>
      </c>
      <c r="BV97" s="171">
        <f>SUMIF('CF(M)'!$L$11:$EQ$11,BV$6,'CF(M)'!$L102:$EQ102)</f>
        <v>0</v>
      </c>
      <c r="BW97" s="171">
        <f>SUMIF('CF(M)'!$L$11:$EQ$11,BW$6,'CF(M)'!$L102:$EQ102)</f>
        <v>0</v>
      </c>
      <c r="BX97" s="171">
        <f>SUMIF('CF(M)'!$L$11:$EQ$11,BX$6,'CF(M)'!$L102:$EQ102)</f>
        <v>0</v>
      </c>
      <c r="BY97" s="171">
        <f>SUMIF('CF(M)'!$L$11:$EQ$11,BY$6,'CF(M)'!$L102:$EQ102)</f>
        <v>0</v>
      </c>
      <c r="BZ97" s="171">
        <f>SUMIF('CF(M)'!$L$11:$EQ$11,BZ$6,'CF(M)'!$L102:$EQ102)</f>
        <v>0</v>
      </c>
      <c r="CA97" s="171">
        <f>SUMIF('CF(M)'!$L$11:$EQ$11,CA$6,'CF(M)'!$L102:$EQ102)</f>
        <v>0</v>
      </c>
      <c r="CB97" s="171">
        <f>SUMIF('CF(M)'!$L$11:$EQ$11,CB$6,'CF(M)'!$L102:$EQ102)</f>
        <v>0</v>
      </c>
      <c r="CC97" s="171">
        <f>SUMIF('CF(M)'!$L$11:$EQ$11,CC$6,'CF(M)'!$L102:$EQ102)</f>
        <v>0</v>
      </c>
      <c r="CD97" s="171">
        <f>SUMIF('CF(M)'!$L$11:$EQ$11,CD$6,'CF(M)'!$L102:$EQ102)</f>
        <v>0</v>
      </c>
      <c r="CE97" s="171">
        <f>SUMIF('CF(M)'!$L$11:$EQ$11,CE$6,'CF(M)'!$L102:$EQ102)</f>
        <v>0</v>
      </c>
      <c r="CF97" s="171">
        <f>SUMIF('CF(M)'!$L$11:$EQ$11,CF$6,'CF(M)'!$L102:$EQ102)</f>
        <v>0</v>
      </c>
      <c r="CG97" s="171">
        <f>SUMIF('CF(M)'!$L$11:$EQ$11,CG$6,'CF(M)'!$L102:$EQ102)</f>
        <v>0</v>
      </c>
      <c r="CH97" s="171">
        <f>SUMIF('CF(M)'!$L$11:$EQ$11,CH$6,'CF(M)'!$L102:$EQ102)</f>
        <v>0</v>
      </c>
      <c r="CI97" s="171">
        <f>SUMIF('CF(M)'!$L$11:$EQ$11,CI$6,'CF(M)'!$L102:$EQ102)</f>
        <v>0</v>
      </c>
      <c r="CJ97" s="171">
        <f>SUMIF('CF(M)'!$L$11:$EQ$11,CJ$6,'CF(M)'!$L102:$EQ102)</f>
        <v>0</v>
      </c>
      <c r="CK97" s="171">
        <f>SUMIF('CF(M)'!$L$11:$EQ$11,CK$6,'CF(M)'!$L102:$EQ102)</f>
        <v>0</v>
      </c>
      <c r="CL97" s="171">
        <f>SUMIF('CF(M)'!$L$11:$EQ$11,CL$6,'CF(M)'!$L102:$EQ102)</f>
        <v>0</v>
      </c>
      <c r="CM97" s="171">
        <f>SUMIF('CF(M)'!$L$11:$EQ$11,CM$6,'CF(M)'!$L102:$EQ102)</f>
        <v>0</v>
      </c>
      <c r="CN97" s="171">
        <f>SUMIF('CF(M)'!$L$11:$EQ$11,CN$6,'CF(M)'!$L102:$EQ102)</f>
        <v>0</v>
      </c>
      <c r="CO97" s="171">
        <f>SUMIF('CF(M)'!$L$11:$EQ$11,CO$6,'CF(M)'!$L102:$EQ102)</f>
        <v>0</v>
      </c>
      <c r="CP97" s="171">
        <f>SUMIF('CF(M)'!$L$11:$EQ$11,CP$6,'CF(M)'!$L102:$EQ102)</f>
        <v>0</v>
      </c>
      <c r="CQ97" s="171">
        <f>SUMIF('CF(M)'!$L$11:$EQ$11,CQ$6,'CF(M)'!$L102:$EQ102)</f>
        <v>0</v>
      </c>
      <c r="CR97" s="171">
        <f>SUMIF('CF(M)'!$L$11:$EQ$11,CR$6,'CF(M)'!$L102:$EQ102)</f>
        <v>0</v>
      </c>
      <c r="CS97" s="171">
        <f>SUMIF('CF(M)'!$L$11:$EQ$11,CS$6,'CF(M)'!$L102:$EQ102)</f>
        <v>0</v>
      </c>
      <c r="CT97" s="171">
        <f>SUMIF('CF(M)'!$L$11:$EQ$11,CT$6,'CF(M)'!$L102:$EQ102)</f>
        <v>0</v>
      </c>
      <c r="CU97" s="171">
        <f>SUMIF('CF(M)'!$L$11:$EQ$11,CU$6,'CF(M)'!$L102:$EQ102)</f>
        <v>0</v>
      </c>
      <c r="CV97" s="171">
        <f>SUMIF('CF(M)'!$L$11:$EQ$11,CV$6,'CF(M)'!$L102:$EQ102)</f>
        <v>0</v>
      </c>
      <c r="CW97" s="171">
        <f>SUMIF('CF(M)'!$L$11:$EQ$11,CW$6,'CF(M)'!$L102:$EQ102)</f>
        <v>0</v>
      </c>
      <c r="CX97" s="171">
        <f>SUMIF('CF(M)'!$L$11:$EQ$11,CX$6,'CF(M)'!$L102:$EQ102)</f>
        <v>0</v>
      </c>
      <c r="CY97" s="171">
        <f>SUMIF('CF(M)'!$L$11:$EQ$11,CY$6,'CF(M)'!$L102:$EQ102)</f>
        <v>0</v>
      </c>
      <c r="CZ97" s="171">
        <f>SUMIF('CF(M)'!$L$11:$EQ$11,CZ$6,'CF(M)'!$L102:$EQ102)</f>
        <v>0</v>
      </c>
      <c r="DA97" s="171">
        <f>SUMIF('CF(M)'!$L$11:$EQ$11,DA$6,'CF(M)'!$L102:$EQ102)</f>
        <v>0</v>
      </c>
      <c r="DB97" s="171">
        <f>SUMIF('CF(M)'!$L$11:$EQ$11,DB$6,'CF(M)'!$L102:$EQ102)</f>
        <v>0</v>
      </c>
      <c r="DC97" s="171">
        <f>SUMIF('CF(M)'!$L$11:$EQ$11,DC$6,'CF(M)'!$L102:$EQ102)</f>
        <v>0</v>
      </c>
      <c r="DD97" s="171">
        <f>SUMIF('CF(M)'!$L$11:$EQ$11,DD$6,'CF(M)'!$L102:$EQ102)</f>
        <v>0</v>
      </c>
      <c r="DE97" s="171">
        <f>SUMIF('CF(M)'!$L$11:$EQ$11,DE$6,'CF(M)'!$L102:$EQ102)</f>
        <v>0</v>
      </c>
      <c r="DF97" s="171">
        <f>SUMIF('CF(M)'!$L$11:$EQ$11,DF$6,'CF(M)'!$L102:$EQ102)</f>
        <v>0</v>
      </c>
      <c r="DG97" s="171">
        <f>SUMIF('CF(M)'!$L$11:$EQ$11,DG$6,'CF(M)'!$L102:$EQ102)</f>
        <v>0</v>
      </c>
      <c r="DH97" s="171">
        <f>SUMIF('CF(M)'!$L$11:$EQ$11,DH$6,'CF(M)'!$L102:$EQ102)</f>
        <v>0</v>
      </c>
      <c r="DI97" s="171">
        <f>SUMIF('CF(M)'!$L$11:$EQ$11,DI$6,'CF(M)'!$L102:$EQ102)</f>
        <v>0</v>
      </c>
      <c r="DJ97" s="171">
        <f>SUMIF('CF(M)'!$L$11:$EQ$11,DJ$6,'CF(M)'!$L102:$EQ102)</f>
        <v>0</v>
      </c>
      <c r="DK97" s="171">
        <f>SUMIF('CF(M)'!$L$11:$EQ$11,DK$6,'CF(M)'!$L102:$EQ102)</f>
        <v>0</v>
      </c>
      <c r="DL97" s="171">
        <f>SUMIF('CF(M)'!$L$11:$EQ$11,DL$6,'CF(M)'!$L102:$EQ102)</f>
        <v>0</v>
      </c>
      <c r="DM97" s="171">
        <f>SUMIF('CF(M)'!$L$11:$EQ$11,DM$6,'CF(M)'!$L102:$EQ102)</f>
        <v>0</v>
      </c>
      <c r="DN97" s="171">
        <f>SUMIF('CF(M)'!$L$11:$EQ$11,DN$6,'CF(M)'!$L102:$EQ102)</f>
        <v>0</v>
      </c>
      <c r="DO97" s="171">
        <f>SUMIF('CF(M)'!$L$11:$EQ$11,DO$6,'CF(M)'!$L102:$EQ102)</f>
        <v>0</v>
      </c>
      <c r="DP97" s="171">
        <f>SUMIF('CF(M)'!$L$11:$EQ$11,DP$6,'CF(M)'!$L102:$EQ102)</f>
        <v>0</v>
      </c>
      <c r="DQ97" s="171">
        <f>SUMIF('CF(M)'!$L$11:$EQ$11,DQ$6,'CF(M)'!$L102:$EQ102)</f>
        <v>0</v>
      </c>
      <c r="DR97" s="171">
        <f>SUMIF('CF(M)'!$L$11:$EQ$11,DR$6,'CF(M)'!$L102:$EQ102)</f>
        <v>0</v>
      </c>
      <c r="DS97" s="171">
        <f>SUMIF('CF(M)'!$L$11:$EQ$11,DS$6,'CF(M)'!$L102:$EQ102)</f>
        <v>0</v>
      </c>
      <c r="DT97" s="171">
        <f>SUMIF('CF(M)'!$L$11:$EQ$11,DT$6,'CF(M)'!$L102:$EQ102)</f>
        <v>0</v>
      </c>
      <c r="DU97" s="171">
        <f>SUMIF('CF(M)'!$L$11:$EQ$11,DU$6,'CF(M)'!$L102:$EQ102)</f>
        <v>0</v>
      </c>
      <c r="DV97" s="171">
        <f>SUMIF('CF(M)'!$L$11:$EQ$11,DV$6,'CF(M)'!$L102:$EQ102)</f>
        <v>0</v>
      </c>
    </row>
    <row r="98" spans="2:126" ht="11.25" customHeight="1">
      <c r="B98" s="218"/>
      <c r="C98" s="163"/>
      <c r="D98" s="169" t="s">
        <v>261</v>
      </c>
      <c r="H98" s="146"/>
      <c r="I98" s="229"/>
      <c r="J98" s="171">
        <f ca="1">SUM(L98:DV98)</f>
        <v>-37500000</v>
      </c>
      <c r="K98" s="98"/>
      <c r="L98" s="171">
        <f ca="1">SUMIF('CF(M)'!$L$11:$EQ$11,L$6,'CF(M)'!$L103:$EQ103)</f>
        <v>0</v>
      </c>
      <c r="M98" s="171">
        <f ca="1">SUMIF('CF(M)'!$L$11:$EQ$11,M$6,'CF(M)'!$L103:$EQ103)</f>
        <v>-3750000</v>
      </c>
      <c r="N98" s="171">
        <f ca="1">SUMIF('CF(M)'!$L$11:$EQ$11,N$6,'CF(M)'!$L103:$EQ103)</f>
        <v>-3750000</v>
      </c>
      <c r="O98" s="171">
        <f ca="1">SUMIF('CF(M)'!$L$11:$EQ$11,O$6,'CF(M)'!$L103:$EQ103)</f>
        <v>-3750000</v>
      </c>
      <c r="P98" s="171">
        <f ca="1">SUMIF('CF(M)'!$L$11:$EQ$11,P$6,'CF(M)'!$L103:$EQ103)</f>
        <v>-3275764.0118692792</v>
      </c>
      <c r="Q98" s="171">
        <f ca="1">SUMIF('CF(M)'!$L$11:$EQ$11,Q$6,'CF(M)'!$L103:$EQ103)</f>
        <v>-2988019.9322713865</v>
      </c>
      <c r="R98" s="171">
        <f ca="1">SUMIF('CF(M)'!$L$11:$EQ$11,R$6,'CF(M)'!$L103:$EQ103)</f>
        <v>-4064145.0865494525</v>
      </c>
      <c r="S98" s="171">
        <f ca="1">SUMIF('CF(M)'!$L$11:$EQ$11,S$6,'CF(M)'!$L103:$EQ103)</f>
        <v>-4511487.8356066123</v>
      </c>
      <c r="T98" s="171">
        <f ca="1">SUMIF('CF(M)'!$L$11:$EQ$11,T$6,'CF(M)'!$L103:$EQ103)</f>
        <v>-3910583.1337032691</v>
      </c>
      <c r="U98" s="171">
        <f ca="1">SUMIF('CF(M)'!$L$11:$EQ$11,U$6,'CF(M)'!$L103:$EQ103)</f>
        <v>-3750000</v>
      </c>
      <c r="V98" s="171">
        <f ca="1">SUMIF('CF(M)'!$L$11:$EQ$11,V$6,'CF(M)'!$L103:$EQ103)</f>
        <v>-3750000</v>
      </c>
      <c r="W98" s="171">
        <f ca="1">SUMIF('CF(M)'!$L$11:$EQ$11,W$6,'CF(M)'!$L103:$EQ103)</f>
        <v>0</v>
      </c>
      <c r="X98" s="171">
        <f ca="1">SUMIF('CF(M)'!$L$11:$EQ$11,X$6,'CF(M)'!$L103:$EQ103)</f>
        <v>0</v>
      </c>
      <c r="Y98" s="171">
        <f>SUMIF('CF(M)'!$L$11:$EQ$11,Y$6,'CF(M)'!$L103:$EQ103)</f>
        <v>0</v>
      </c>
      <c r="Z98" s="171">
        <f>SUMIF('CF(M)'!$L$11:$EQ$11,Z$6,'CF(M)'!$L103:$EQ103)</f>
        <v>0</v>
      </c>
      <c r="AA98" s="171">
        <f>SUMIF('CF(M)'!$L$11:$EQ$11,AA$6,'CF(M)'!$L103:$EQ103)</f>
        <v>0</v>
      </c>
      <c r="AB98" s="171">
        <f>SUMIF('CF(M)'!$L$11:$EQ$11,AB$6,'CF(M)'!$L103:$EQ103)</f>
        <v>0</v>
      </c>
      <c r="AC98" s="171">
        <f>SUMIF('CF(M)'!$L$11:$EQ$11,AC$6,'CF(M)'!$L103:$EQ103)</f>
        <v>0</v>
      </c>
      <c r="AD98" s="171">
        <f>SUMIF('CF(M)'!$L$11:$EQ$11,AD$6,'CF(M)'!$L103:$EQ103)</f>
        <v>0</v>
      </c>
      <c r="AE98" s="171">
        <f>SUMIF('CF(M)'!$L$11:$EQ$11,AE$6,'CF(M)'!$L103:$EQ103)</f>
        <v>0</v>
      </c>
      <c r="AF98" s="171">
        <f>SUMIF('CF(M)'!$L$11:$EQ$11,AF$6,'CF(M)'!$L103:$EQ103)</f>
        <v>0</v>
      </c>
      <c r="AG98" s="171">
        <f>SUMIF('CF(M)'!$L$11:$EQ$11,AG$6,'CF(M)'!$L103:$EQ103)</f>
        <v>0</v>
      </c>
      <c r="AH98" s="171">
        <f>SUMIF('CF(M)'!$L$11:$EQ$11,AH$6,'CF(M)'!$L103:$EQ103)</f>
        <v>0</v>
      </c>
      <c r="AI98" s="171">
        <f>SUMIF('CF(M)'!$L$11:$EQ$11,AI$6,'CF(M)'!$L103:$EQ103)</f>
        <v>0</v>
      </c>
      <c r="AJ98" s="171">
        <f>SUMIF('CF(M)'!$L$11:$EQ$11,AJ$6,'CF(M)'!$L103:$EQ103)</f>
        <v>0</v>
      </c>
      <c r="AK98" s="171">
        <f>SUMIF('CF(M)'!$L$11:$EQ$11,AK$6,'CF(M)'!$L103:$EQ103)</f>
        <v>0</v>
      </c>
      <c r="AL98" s="171">
        <f>SUMIF('CF(M)'!$L$11:$EQ$11,AL$6,'CF(M)'!$L103:$EQ103)</f>
        <v>0</v>
      </c>
      <c r="AM98" s="171">
        <f>SUMIF('CF(M)'!$L$11:$EQ$11,AM$6,'CF(M)'!$L103:$EQ103)</f>
        <v>0</v>
      </c>
      <c r="AN98" s="171">
        <f>SUMIF('CF(M)'!$L$11:$EQ$11,AN$6,'CF(M)'!$L103:$EQ103)</f>
        <v>0</v>
      </c>
      <c r="AO98" s="171">
        <f>SUMIF('CF(M)'!$L$11:$EQ$11,AO$6,'CF(M)'!$L103:$EQ103)</f>
        <v>0</v>
      </c>
      <c r="AP98" s="171">
        <f>SUMIF('CF(M)'!$L$11:$EQ$11,AP$6,'CF(M)'!$L103:$EQ103)</f>
        <v>0</v>
      </c>
      <c r="AQ98" s="171">
        <f>SUMIF('CF(M)'!$L$11:$EQ$11,AQ$6,'CF(M)'!$L103:$EQ103)</f>
        <v>0</v>
      </c>
      <c r="AR98" s="171">
        <f>SUMIF('CF(M)'!$L$11:$EQ$11,AR$6,'CF(M)'!$L103:$EQ103)</f>
        <v>0</v>
      </c>
      <c r="AS98" s="171">
        <f>SUMIF('CF(M)'!$L$11:$EQ$11,AS$6,'CF(M)'!$L103:$EQ103)</f>
        <v>0</v>
      </c>
      <c r="AT98" s="171">
        <f>SUMIF('CF(M)'!$L$11:$EQ$11,AT$6,'CF(M)'!$L103:$EQ103)</f>
        <v>0</v>
      </c>
      <c r="AU98" s="171">
        <f>SUMIF('CF(M)'!$L$11:$EQ$11,AU$6,'CF(M)'!$L103:$EQ103)</f>
        <v>0</v>
      </c>
      <c r="AV98" s="171">
        <f>SUMIF('CF(M)'!$L$11:$EQ$11,AV$6,'CF(M)'!$L103:$EQ103)</f>
        <v>0</v>
      </c>
      <c r="AW98" s="171">
        <f>SUMIF('CF(M)'!$L$11:$EQ$11,AW$6,'CF(M)'!$L103:$EQ103)</f>
        <v>0</v>
      </c>
      <c r="AX98" s="171">
        <f>SUMIF('CF(M)'!$L$11:$EQ$11,AX$6,'CF(M)'!$L103:$EQ103)</f>
        <v>0</v>
      </c>
      <c r="AY98" s="171">
        <f>SUMIF('CF(M)'!$L$11:$EQ$11,AY$6,'CF(M)'!$L103:$EQ103)</f>
        <v>0</v>
      </c>
      <c r="AZ98" s="171">
        <f>SUMIF('CF(M)'!$L$11:$EQ$11,AZ$6,'CF(M)'!$L103:$EQ103)</f>
        <v>0</v>
      </c>
      <c r="BA98" s="171">
        <f>SUMIF('CF(M)'!$L$11:$EQ$11,BA$6,'CF(M)'!$L103:$EQ103)</f>
        <v>0</v>
      </c>
      <c r="BB98" s="171">
        <f>SUMIF('CF(M)'!$L$11:$EQ$11,BB$6,'CF(M)'!$L103:$EQ103)</f>
        <v>0</v>
      </c>
      <c r="BC98" s="171">
        <f>SUMIF('CF(M)'!$L$11:$EQ$11,BC$6,'CF(M)'!$L103:$EQ103)</f>
        <v>0</v>
      </c>
      <c r="BD98" s="171">
        <f>SUMIF('CF(M)'!$L$11:$EQ$11,BD$6,'CF(M)'!$L103:$EQ103)</f>
        <v>0</v>
      </c>
      <c r="BE98" s="171">
        <f>SUMIF('CF(M)'!$L$11:$EQ$11,BE$6,'CF(M)'!$L103:$EQ103)</f>
        <v>0</v>
      </c>
      <c r="BF98" s="171">
        <f>SUMIF('CF(M)'!$L$11:$EQ$11,BF$6,'CF(M)'!$L103:$EQ103)</f>
        <v>0</v>
      </c>
      <c r="BG98" s="171">
        <f>SUMIF('CF(M)'!$L$11:$EQ$11,BG$6,'CF(M)'!$L103:$EQ103)</f>
        <v>0</v>
      </c>
      <c r="BH98" s="171">
        <f>SUMIF('CF(M)'!$L$11:$EQ$11,BH$6,'CF(M)'!$L103:$EQ103)</f>
        <v>0</v>
      </c>
      <c r="BI98" s="171">
        <f>SUMIF('CF(M)'!$L$11:$EQ$11,BI$6,'CF(M)'!$L103:$EQ103)</f>
        <v>0</v>
      </c>
      <c r="BJ98" s="171">
        <f>SUMIF('CF(M)'!$L$11:$EQ$11,BJ$6,'CF(M)'!$L103:$EQ103)</f>
        <v>0</v>
      </c>
      <c r="BK98" s="171">
        <f>SUMIF('CF(M)'!$L$11:$EQ$11,BK$6,'CF(M)'!$L103:$EQ103)</f>
        <v>0</v>
      </c>
      <c r="BL98" s="171">
        <f>SUMIF('CF(M)'!$L$11:$EQ$11,BL$6,'CF(M)'!$L103:$EQ103)</f>
        <v>0</v>
      </c>
      <c r="BM98" s="171">
        <f>SUMIF('CF(M)'!$L$11:$EQ$11,BM$6,'CF(M)'!$L103:$EQ103)</f>
        <v>0</v>
      </c>
      <c r="BN98" s="171">
        <f>SUMIF('CF(M)'!$L$11:$EQ$11,BN$6,'CF(M)'!$L103:$EQ103)</f>
        <v>0</v>
      </c>
      <c r="BO98" s="171">
        <f>SUMIF('CF(M)'!$L$11:$EQ$11,BO$6,'CF(M)'!$L103:$EQ103)</f>
        <v>0</v>
      </c>
      <c r="BP98" s="171">
        <f>SUMIF('CF(M)'!$L$11:$EQ$11,BP$6,'CF(M)'!$L103:$EQ103)</f>
        <v>0</v>
      </c>
      <c r="BQ98" s="171">
        <f>SUMIF('CF(M)'!$L$11:$EQ$11,BQ$6,'CF(M)'!$L103:$EQ103)</f>
        <v>0</v>
      </c>
      <c r="BR98" s="171">
        <f>SUMIF('CF(M)'!$L$11:$EQ$11,BR$6,'CF(M)'!$L103:$EQ103)</f>
        <v>0</v>
      </c>
      <c r="BS98" s="171">
        <f>SUMIF('CF(M)'!$L$11:$EQ$11,BS$6,'CF(M)'!$L103:$EQ103)</f>
        <v>0</v>
      </c>
      <c r="BT98" s="171">
        <f>SUMIF('CF(M)'!$L$11:$EQ$11,BT$6,'CF(M)'!$L103:$EQ103)</f>
        <v>0</v>
      </c>
      <c r="BU98" s="171">
        <f>SUMIF('CF(M)'!$L$11:$EQ$11,BU$6,'CF(M)'!$L103:$EQ103)</f>
        <v>0</v>
      </c>
      <c r="BV98" s="171">
        <f>SUMIF('CF(M)'!$L$11:$EQ$11,BV$6,'CF(M)'!$L103:$EQ103)</f>
        <v>0</v>
      </c>
      <c r="BW98" s="171">
        <f>SUMIF('CF(M)'!$L$11:$EQ$11,BW$6,'CF(M)'!$L103:$EQ103)</f>
        <v>0</v>
      </c>
      <c r="BX98" s="171">
        <f>SUMIF('CF(M)'!$L$11:$EQ$11,BX$6,'CF(M)'!$L103:$EQ103)</f>
        <v>0</v>
      </c>
      <c r="BY98" s="171">
        <f>SUMIF('CF(M)'!$L$11:$EQ$11,BY$6,'CF(M)'!$L103:$EQ103)</f>
        <v>0</v>
      </c>
      <c r="BZ98" s="171">
        <f>SUMIF('CF(M)'!$L$11:$EQ$11,BZ$6,'CF(M)'!$L103:$EQ103)</f>
        <v>0</v>
      </c>
      <c r="CA98" s="171">
        <f>SUMIF('CF(M)'!$L$11:$EQ$11,CA$6,'CF(M)'!$L103:$EQ103)</f>
        <v>0</v>
      </c>
      <c r="CB98" s="171">
        <f>SUMIF('CF(M)'!$L$11:$EQ$11,CB$6,'CF(M)'!$L103:$EQ103)</f>
        <v>0</v>
      </c>
      <c r="CC98" s="171">
        <f>SUMIF('CF(M)'!$L$11:$EQ$11,CC$6,'CF(M)'!$L103:$EQ103)</f>
        <v>0</v>
      </c>
      <c r="CD98" s="171">
        <f>SUMIF('CF(M)'!$L$11:$EQ$11,CD$6,'CF(M)'!$L103:$EQ103)</f>
        <v>0</v>
      </c>
      <c r="CE98" s="171">
        <f>SUMIF('CF(M)'!$L$11:$EQ$11,CE$6,'CF(M)'!$L103:$EQ103)</f>
        <v>0</v>
      </c>
      <c r="CF98" s="171">
        <f>SUMIF('CF(M)'!$L$11:$EQ$11,CF$6,'CF(M)'!$L103:$EQ103)</f>
        <v>0</v>
      </c>
      <c r="CG98" s="171">
        <f>SUMIF('CF(M)'!$L$11:$EQ$11,CG$6,'CF(M)'!$L103:$EQ103)</f>
        <v>0</v>
      </c>
      <c r="CH98" s="171">
        <f>SUMIF('CF(M)'!$L$11:$EQ$11,CH$6,'CF(M)'!$L103:$EQ103)</f>
        <v>0</v>
      </c>
      <c r="CI98" s="171">
        <f>SUMIF('CF(M)'!$L$11:$EQ$11,CI$6,'CF(M)'!$L103:$EQ103)</f>
        <v>0</v>
      </c>
      <c r="CJ98" s="171">
        <f>SUMIF('CF(M)'!$L$11:$EQ$11,CJ$6,'CF(M)'!$L103:$EQ103)</f>
        <v>0</v>
      </c>
      <c r="CK98" s="171">
        <f>SUMIF('CF(M)'!$L$11:$EQ$11,CK$6,'CF(M)'!$L103:$EQ103)</f>
        <v>0</v>
      </c>
      <c r="CL98" s="171">
        <f>SUMIF('CF(M)'!$L$11:$EQ$11,CL$6,'CF(M)'!$L103:$EQ103)</f>
        <v>0</v>
      </c>
      <c r="CM98" s="171">
        <f>SUMIF('CF(M)'!$L$11:$EQ$11,CM$6,'CF(M)'!$L103:$EQ103)</f>
        <v>0</v>
      </c>
      <c r="CN98" s="171">
        <f>SUMIF('CF(M)'!$L$11:$EQ$11,CN$6,'CF(M)'!$L103:$EQ103)</f>
        <v>0</v>
      </c>
      <c r="CO98" s="171">
        <f>SUMIF('CF(M)'!$L$11:$EQ$11,CO$6,'CF(M)'!$L103:$EQ103)</f>
        <v>0</v>
      </c>
      <c r="CP98" s="171">
        <f>SUMIF('CF(M)'!$L$11:$EQ$11,CP$6,'CF(M)'!$L103:$EQ103)</f>
        <v>0</v>
      </c>
      <c r="CQ98" s="171">
        <f>SUMIF('CF(M)'!$L$11:$EQ$11,CQ$6,'CF(M)'!$L103:$EQ103)</f>
        <v>0</v>
      </c>
      <c r="CR98" s="171">
        <f>SUMIF('CF(M)'!$L$11:$EQ$11,CR$6,'CF(M)'!$L103:$EQ103)</f>
        <v>0</v>
      </c>
      <c r="CS98" s="171">
        <f>SUMIF('CF(M)'!$L$11:$EQ$11,CS$6,'CF(M)'!$L103:$EQ103)</f>
        <v>0</v>
      </c>
      <c r="CT98" s="171">
        <f>SUMIF('CF(M)'!$L$11:$EQ$11,CT$6,'CF(M)'!$L103:$EQ103)</f>
        <v>0</v>
      </c>
      <c r="CU98" s="171">
        <f>SUMIF('CF(M)'!$L$11:$EQ$11,CU$6,'CF(M)'!$L103:$EQ103)</f>
        <v>0</v>
      </c>
      <c r="CV98" s="171">
        <f>SUMIF('CF(M)'!$L$11:$EQ$11,CV$6,'CF(M)'!$L103:$EQ103)</f>
        <v>0</v>
      </c>
      <c r="CW98" s="171">
        <f>SUMIF('CF(M)'!$L$11:$EQ$11,CW$6,'CF(M)'!$L103:$EQ103)</f>
        <v>0</v>
      </c>
      <c r="CX98" s="171">
        <f>SUMIF('CF(M)'!$L$11:$EQ$11,CX$6,'CF(M)'!$L103:$EQ103)</f>
        <v>0</v>
      </c>
      <c r="CY98" s="171">
        <f>SUMIF('CF(M)'!$L$11:$EQ$11,CY$6,'CF(M)'!$L103:$EQ103)</f>
        <v>0</v>
      </c>
      <c r="CZ98" s="171">
        <f>SUMIF('CF(M)'!$L$11:$EQ$11,CZ$6,'CF(M)'!$L103:$EQ103)</f>
        <v>0</v>
      </c>
      <c r="DA98" s="171">
        <f>SUMIF('CF(M)'!$L$11:$EQ$11,DA$6,'CF(M)'!$L103:$EQ103)</f>
        <v>0</v>
      </c>
      <c r="DB98" s="171">
        <f>SUMIF('CF(M)'!$L$11:$EQ$11,DB$6,'CF(M)'!$L103:$EQ103)</f>
        <v>0</v>
      </c>
      <c r="DC98" s="171">
        <f>SUMIF('CF(M)'!$L$11:$EQ$11,DC$6,'CF(M)'!$L103:$EQ103)</f>
        <v>0</v>
      </c>
      <c r="DD98" s="171">
        <f>SUMIF('CF(M)'!$L$11:$EQ$11,DD$6,'CF(M)'!$L103:$EQ103)</f>
        <v>0</v>
      </c>
      <c r="DE98" s="171">
        <f>SUMIF('CF(M)'!$L$11:$EQ$11,DE$6,'CF(M)'!$L103:$EQ103)</f>
        <v>0</v>
      </c>
      <c r="DF98" s="171">
        <f>SUMIF('CF(M)'!$L$11:$EQ$11,DF$6,'CF(M)'!$L103:$EQ103)</f>
        <v>0</v>
      </c>
      <c r="DG98" s="171">
        <f>SUMIF('CF(M)'!$L$11:$EQ$11,DG$6,'CF(M)'!$L103:$EQ103)</f>
        <v>0</v>
      </c>
      <c r="DH98" s="171">
        <f>SUMIF('CF(M)'!$L$11:$EQ$11,DH$6,'CF(M)'!$L103:$EQ103)</f>
        <v>0</v>
      </c>
      <c r="DI98" s="171">
        <f>SUMIF('CF(M)'!$L$11:$EQ$11,DI$6,'CF(M)'!$L103:$EQ103)</f>
        <v>0</v>
      </c>
      <c r="DJ98" s="171">
        <f>SUMIF('CF(M)'!$L$11:$EQ$11,DJ$6,'CF(M)'!$L103:$EQ103)</f>
        <v>0</v>
      </c>
      <c r="DK98" s="171">
        <f>SUMIF('CF(M)'!$L$11:$EQ$11,DK$6,'CF(M)'!$L103:$EQ103)</f>
        <v>0</v>
      </c>
      <c r="DL98" s="171">
        <f>SUMIF('CF(M)'!$L$11:$EQ$11,DL$6,'CF(M)'!$L103:$EQ103)</f>
        <v>0</v>
      </c>
      <c r="DM98" s="171">
        <f>SUMIF('CF(M)'!$L$11:$EQ$11,DM$6,'CF(M)'!$L103:$EQ103)</f>
        <v>0</v>
      </c>
      <c r="DN98" s="171">
        <f>SUMIF('CF(M)'!$L$11:$EQ$11,DN$6,'CF(M)'!$L103:$EQ103)</f>
        <v>0</v>
      </c>
      <c r="DO98" s="171">
        <f>SUMIF('CF(M)'!$L$11:$EQ$11,DO$6,'CF(M)'!$L103:$EQ103)</f>
        <v>0</v>
      </c>
      <c r="DP98" s="171">
        <f>SUMIF('CF(M)'!$L$11:$EQ$11,DP$6,'CF(M)'!$L103:$EQ103)</f>
        <v>0</v>
      </c>
      <c r="DQ98" s="171">
        <f>SUMIF('CF(M)'!$L$11:$EQ$11,DQ$6,'CF(M)'!$L103:$EQ103)</f>
        <v>0</v>
      </c>
      <c r="DR98" s="171">
        <f>SUMIF('CF(M)'!$L$11:$EQ$11,DR$6,'CF(M)'!$L103:$EQ103)</f>
        <v>0</v>
      </c>
      <c r="DS98" s="171">
        <f>SUMIF('CF(M)'!$L$11:$EQ$11,DS$6,'CF(M)'!$L103:$EQ103)</f>
        <v>0</v>
      </c>
      <c r="DT98" s="171">
        <f>SUMIF('CF(M)'!$L$11:$EQ$11,DT$6,'CF(M)'!$L103:$EQ103)</f>
        <v>0</v>
      </c>
      <c r="DU98" s="171">
        <f>SUMIF('CF(M)'!$L$11:$EQ$11,DU$6,'CF(M)'!$L103:$EQ103)</f>
        <v>0</v>
      </c>
      <c r="DV98" s="171">
        <f>SUMIF('CF(M)'!$L$11:$EQ$11,DV$6,'CF(M)'!$L103:$EQ103)</f>
        <v>0</v>
      </c>
    </row>
    <row r="99" spans="2:126" ht="11.25" customHeight="1">
      <c r="B99" s="218"/>
      <c r="C99" s="163"/>
      <c r="D99" s="169" t="s">
        <v>469</v>
      </c>
      <c r="G99" s="65"/>
      <c r="H99" s="146"/>
      <c r="I99" s="229"/>
      <c r="J99" s="171">
        <f>SUM(L99:DV99)</f>
        <v>-11767613.337566935</v>
      </c>
      <c r="K99" s="98"/>
      <c r="L99" s="171">
        <f>SUMIF('CF(M)'!$L$11:$EQ$11,L$6,'CF(M)'!$L104:$EQ104)</f>
        <v>0</v>
      </c>
      <c r="M99" s="171">
        <f>SUMIF('CF(M)'!$L$11:$EQ$11,M$6,'CF(M)'!$L104:$EQ104)</f>
        <v>0</v>
      </c>
      <c r="N99" s="171">
        <f>SUMIF('CF(M)'!$L$11:$EQ$11,N$6,'CF(M)'!$L104:$EQ104)</f>
        <v>0</v>
      </c>
      <c r="O99" s="171">
        <f>SUMIF('CF(M)'!$L$11:$EQ$11,O$6,'CF(M)'!$L104:$EQ104)</f>
        <v>0</v>
      </c>
      <c r="P99" s="171">
        <f>SUMIF('CF(M)'!$L$11:$EQ$11,P$6,'CF(M)'!$L104:$EQ104)</f>
        <v>0</v>
      </c>
      <c r="Q99" s="171">
        <f>SUMIF('CF(M)'!$L$11:$EQ$11,Q$6,'CF(M)'!$L104:$EQ104)</f>
        <v>0</v>
      </c>
      <c r="R99" s="171">
        <f>SUMIF('CF(M)'!$L$11:$EQ$11,R$6,'CF(M)'!$L104:$EQ104)</f>
        <v>0</v>
      </c>
      <c r="S99" s="171">
        <f>SUMIF('CF(M)'!$L$11:$EQ$11,S$6,'CF(M)'!$L104:$EQ104)</f>
        <v>0</v>
      </c>
      <c r="T99" s="171">
        <f>SUMIF('CF(M)'!$L$11:$EQ$11,T$6,'CF(M)'!$L104:$EQ104)</f>
        <v>0</v>
      </c>
      <c r="U99" s="171">
        <f>SUMIF('CF(M)'!$L$11:$EQ$11,U$6,'CF(M)'!$L104:$EQ104)</f>
        <v>0</v>
      </c>
      <c r="V99" s="171">
        <f>SUMIF('CF(M)'!$L$11:$EQ$11,V$6,'CF(M)'!$L104:$EQ104)</f>
        <v>-11767613.337566935</v>
      </c>
      <c r="W99" s="171">
        <f>SUMIF('CF(M)'!$L$11:$EQ$11,W$6,'CF(M)'!$L104:$EQ104)</f>
        <v>0</v>
      </c>
      <c r="X99" s="171">
        <f>SUMIF('CF(M)'!$L$11:$EQ$11,X$6,'CF(M)'!$L104:$EQ104)</f>
        <v>0</v>
      </c>
      <c r="Y99" s="171">
        <f>SUMIF('CF(M)'!$L$11:$EQ$11,Y$6,'CF(M)'!$L104:$EQ104)</f>
        <v>0</v>
      </c>
      <c r="Z99" s="171">
        <f>SUMIF('CF(M)'!$L$11:$EQ$11,Z$6,'CF(M)'!$L104:$EQ104)</f>
        <v>0</v>
      </c>
      <c r="AA99" s="171">
        <f>SUMIF('CF(M)'!$L$11:$EQ$11,AA$6,'CF(M)'!$L104:$EQ104)</f>
        <v>0</v>
      </c>
      <c r="AB99" s="171">
        <f>SUMIF('CF(M)'!$L$11:$EQ$11,AB$6,'CF(M)'!$L104:$EQ104)</f>
        <v>0</v>
      </c>
      <c r="AC99" s="171">
        <f>SUMIF('CF(M)'!$L$11:$EQ$11,AC$6,'CF(M)'!$L104:$EQ104)</f>
        <v>0</v>
      </c>
      <c r="AD99" s="171">
        <f>SUMIF('CF(M)'!$L$11:$EQ$11,AD$6,'CF(M)'!$L104:$EQ104)</f>
        <v>0</v>
      </c>
      <c r="AE99" s="171">
        <f>SUMIF('CF(M)'!$L$11:$EQ$11,AE$6,'CF(M)'!$L104:$EQ104)</f>
        <v>0</v>
      </c>
      <c r="AF99" s="171">
        <f>SUMIF('CF(M)'!$L$11:$EQ$11,AF$6,'CF(M)'!$L104:$EQ104)</f>
        <v>0</v>
      </c>
      <c r="AG99" s="171">
        <f>SUMIF('CF(M)'!$L$11:$EQ$11,AG$6,'CF(M)'!$L104:$EQ104)</f>
        <v>0</v>
      </c>
      <c r="AH99" s="171">
        <f>SUMIF('CF(M)'!$L$11:$EQ$11,AH$6,'CF(M)'!$L104:$EQ104)</f>
        <v>0</v>
      </c>
      <c r="AI99" s="171">
        <f>SUMIF('CF(M)'!$L$11:$EQ$11,AI$6,'CF(M)'!$L104:$EQ104)</f>
        <v>0</v>
      </c>
      <c r="AJ99" s="171">
        <f>SUMIF('CF(M)'!$L$11:$EQ$11,AJ$6,'CF(M)'!$L104:$EQ104)</f>
        <v>0</v>
      </c>
      <c r="AK99" s="171">
        <f>SUMIF('CF(M)'!$L$11:$EQ$11,AK$6,'CF(M)'!$L104:$EQ104)</f>
        <v>0</v>
      </c>
      <c r="AL99" s="171">
        <f>SUMIF('CF(M)'!$L$11:$EQ$11,AL$6,'CF(M)'!$L104:$EQ104)</f>
        <v>0</v>
      </c>
      <c r="AM99" s="171">
        <f>SUMIF('CF(M)'!$L$11:$EQ$11,AM$6,'CF(M)'!$L104:$EQ104)</f>
        <v>0</v>
      </c>
      <c r="AN99" s="171">
        <f>SUMIF('CF(M)'!$L$11:$EQ$11,AN$6,'CF(M)'!$L104:$EQ104)</f>
        <v>0</v>
      </c>
      <c r="AO99" s="171">
        <f>SUMIF('CF(M)'!$L$11:$EQ$11,AO$6,'CF(M)'!$L104:$EQ104)</f>
        <v>0</v>
      </c>
      <c r="AP99" s="171">
        <f>SUMIF('CF(M)'!$L$11:$EQ$11,AP$6,'CF(M)'!$L104:$EQ104)</f>
        <v>0</v>
      </c>
      <c r="AQ99" s="171">
        <f>SUMIF('CF(M)'!$L$11:$EQ$11,AQ$6,'CF(M)'!$L104:$EQ104)</f>
        <v>0</v>
      </c>
      <c r="AR99" s="171">
        <f>SUMIF('CF(M)'!$L$11:$EQ$11,AR$6,'CF(M)'!$L104:$EQ104)</f>
        <v>0</v>
      </c>
      <c r="AS99" s="171">
        <f>SUMIF('CF(M)'!$L$11:$EQ$11,AS$6,'CF(M)'!$L104:$EQ104)</f>
        <v>0</v>
      </c>
      <c r="AT99" s="171">
        <f>SUMIF('CF(M)'!$L$11:$EQ$11,AT$6,'CF(M)'!$L104:$EQ104)</f>
        <v>0</v>
      </c>
      <c r="AU99" s="171">
        <f>SUMIF('CF(M)'!$L$11:$EQ$11,AU$6,'CF(M)'!$L104:$EQ104)</f>
        <v>0</v>
      </c>
      <c r="AV99" s="171">
        <f>SUMIF('CF(M)'!$L$11:$EQ$11,AV$6,'CF(M)'!$L104:$EQ104)</f>
        <v>0</v>
      </c>
      <c r="AW99" s="171">
        <f>SUMIF('CF(M)'!$L$11:$EQ$11,AW$6,'CF(M)'!$L104:$EQ104)</f>
        <v>0</v>
      </c>
      <c r="AX99" s="171">
        <f>SUMIF('CF(M)'!$L$11:$EQ$11,AX$6,'CF(M)'!$L104:$EQ104)</f>
        <v>0</v>
      </c>
      <c r="AY99" s="171">
        <f>SUMIF('CF(M)'!$L$11:$EQ$11,AY$6,'CF(M)'!$L104:$EQ104)</f>
        <v>0</v>
      </c>
      <c r="AZ99" s="171">
        <f>SUMIF('CF(M)'!$L$11:$EQ$11,AZ$6,'CF(M)'!$L104:$EQ104)</f>
        <v>0</v>
      </c>
      <c r="BA99" s="171">
        <f>SUMIF('CF(M)'!$L$11:$EQ$11,BA$6,'CF(M)'!$L104:$EQ104)</f>
        <v>0</v>
      </c>
      <c r="BB99" s="171">
        <f>SUMIF('CF(M)'!$L$11:$EQ$11,BB$6,'CF(M)'!$L104:$EQ104)</f>
        <v>0</v>
      </c>
      <c r="BC99" s="171">
        <f>SUMIF('CF(M)'!$L$11:$EQ$11,BC$6,'CF(M)'!$L104:$EQ104)</f>
        <v>0</v>
      </c>
      <c r="BD99" s="171">
        <f>SUMIF('CF(M)'!$L$11:$EQ$11,BD$6,'CF(M)'!$L104:$EQ104)</f>
        <v>0</v>
      </c>
      <c r="BE99" s="171">
        <f>SUMIF('CF(M)'!$L$11:$EQ$11,BE$6,'CF(M)'!$L104:$EQ104)</f>
        <v>0</v>
      </c>
      <c r="BF99" s="171">
        <f>SUMIF('CF(M)'!$L$11:$EQ$11,BF$6,'CF(M)'!$L104:$EQ104)</f>
        <v>0</v>
      </c>
      <c r="BG99" s="171">
        <f>SUMIF('CF(M)'!$L$11:$EQ$11,BG$6,'CF(M)'!$L104:$EQ104)</f>
        <v>0</v>
      </c>
      <c r="BH99" s="171">
        <f>SUMIF('CF(M)'!$L$11:$EQ$11,BH$6,'CF(M)'!$L104:$EQ104)</f>
        <v>0</v>
      </c>
      <c r="BI99" s="171">
        <f>SUMIF('CF(M)'!$L$11:$EQ$11,BI$6,'CF(M)'!$L104:$EQ104)</f>
        <v>0</v>
      </c>
      <c r="BJ99" s="171">
        <f>SUMIF('CF(M)'!$L$11:$EQ$11,BJ$6,'CF(M)'!$L104:$EQ104)</f>
        <v>0</v>
      </c>
      <c r="BK99" s="171">
        <f>SUMIF('CF(M)'!$L$11:$EQ$11,BK$6,'CF(M)'!$L104:$EQ104)</f>
        <v>0</v>
      </c>
      <c r="BL99" s="171">
        <f>SUMIF('CF(M)'!$L$11:$EQ$11,BL$6,'CF(M)'!$L104:$EQ104)</f>
        <v>0</v>
      </c>
      <c r="BM99" s="171">
        <f>SUMIF('CF(M)'!$L$11:$EQ$11,BM$6,'CF(M)'!$L104:$EQ104)</f>
        <v>0</v>
      </c>
      <c r="BN99" s="171">
        <f>SUMIF('CF(M)'!$L$11:$EQ$11,BN$6,'CF(M)'!$L104:$EQ104)</f>
        <v>0</v>
      </c>
      <c r="BO99" s="171">
        <f>SUMIF('CF(M)'!$L$11:$EQ$11,BO$6,'CF(M)'!$L104:$EQ104)</f>
        <v>0</v>
      </c>
      <c r="BP99" s="171">
        <f>SUMIF('CF(M)'!$L$11:$EQ$11,BP$6,'CF(M)'!$L104:$EQ104)</f>
        <v>0</v>
      </c>
      <c r="BQ99" s="171">
        <f>SUMIF('CF(M)'!$L$11:$EQ$11,BQ$6,'CF(M)'!$L104:$EQ104)</f>
        <v>0</v>
      </c>
      <c r="BR99" s="171">
        <f>SUMIF('CF(M)'!$L$11:$EQ$11,BR$6,'CF(M)'!$L104:$EQ104)</f>
        <v>0</v>
      </c>
      <c r="BS99" s="171">
        <f>SUMIF('CF(M)'!$L$11:$EQ$11,BS$6,'CF(M)'!$L104:$EQ104)</f>
        <v>0</v>
      </c>
      <c r="BT99" s="171">
        <f>SUMIF('CF(M)'!$L$11:$EQ$11,BT$6,'CF(M)'!$L104:$EQ104)</f>
        <v>0</v>
      </c>
      <c r="BU99" s="171">
        <f>SUMIF('CF(M)'!$L$11:$EQ$11,BU$6,'CF(M)'!$L104:$EQ104)</f>
        <v>0</v>
      </c>
      <c r="BV99" s="171">
        <f>SUMIF('CF(M)'!$L$11:$EQ$11,BV$6,'CF(M)'!$L104:$EQ104)</f>
        <v>0</v>
      </c>
      <c r="BW99" s="171">
        <f>SUMIF('CF(M)'!$L$11:$EQ$11,BW$6,'CF(M)'!$L104:$EQ104)</f>
        <v>0</v>
      </c>
      <c r="BX99" s="171">
        <f>SUMIF('CF(M)'!$L$11:$EQ$11,BX$6,'CF(M)'!$L104:$EQ104)</f>
        <v>0</v>
      </c>
      <c r="BY99" s="171">
        <f>SUMIF('CF(M)'!$L$11:$EQ$11,BY$6,'CF(M)'!$L104:$EQ104)</f>
        <v>0</v>
      </c>
      <c r="BZ99" s="171">
        <f>SUMIF('CF(M)'!$L$11:$EQ$11,BZ$6,'CF(M)'!$L104:$EQ104)</f>
        <v>0</v>
      </c>
      <c r="CA99" s="171">
        <f>SUMIF('CF(M)'!$L$11:$EQ$11,CA$6,'CF(M)'!$L104:$EQ104)</f>
        <v>0</v>
      </c>
      <c r="CB99" s="171">
        <f>SUMIF('CF(M)'!$L$11:$EQ$11,CB$6,'CF(M)'!$L104:$EQ104)</f>
        <v>0</v>
      </c>
      <c r="CC99" s="171">
        <f>SUMIF('CF(M)'!$L$11:$EQ$11,CC$6,'CF(M)'!$L104:$EQ104)</f>
        <v>0</v>
      </c>
      <c r="CD99" s="171">
        <f>SUMIF('CF(M)'!$L$11:$EQ$11,CD$6,'CF(M)'!$L104:$EQ104)</f>
        <v>0</v>
      </c>
      <c r="CE99" s="171">
        <f>SUMIF('CF(M)'!$L$11:$EQ$11,CE$6,'CF(M)'!$L104:$EQ104)</f>
        <v>0</v>
      </c>
      <c r="CF99" s="171">
        <f>SUMIF('CF(M)'!$L$11:$EQ$11,CF$6,'CF(M)'!$L104:$EQ104)</f>
        <v>0</v>
      </c>
      <c r="CG99" s="171">
        <f>SUMIF('CF(M)'!$L$11:$EQ$11,CG$6,'CF(M)'!$L104:$EQ104)</f>
        <v>0</v>
      </c>
      <c r="CH99" s="171">
        <f>SUMIF('CF(M)'!$L$11:$EQ$11,CH$6,'CF(M)'!$L104:$EQ104)</f>
        <v>0</v>
      </c>
      <c r="CI99" s="171">
        <f>SUMIF('CF(M)'!$L$11:$EQ$11,CI$6,'CF(M)'!$L104:$EQ104)</f>
        <v>0</v>
      </c>
      <c r="CJ99" s="171">
        <f>SUMIF('CF(M)'!$L$11:$EQ$11,CJ$6,'CF(M)'!$L104:$EQ104)</f>
        <v>0</v>
      </c>
      <c r="CK99" s="171">
        <f>SUMIF('CF(M)'!$L$11:$EQ$11,CK$6,'CF(M)'!$L104:$EQ104)</f>
        <v>0</v>
      </c>
      <c r="CL99" s="171">
        <f>SUMIF('CF(M)'!$L$11:$EQ$11,CL$6,'CF(M)'!$L104:$EQ104)</f>
        <v>0</v>
      </c>
      <c r="CM99" s="171">
        <f>SUMIF('CF(M)'!$L$11:$EQ$11,CM$6,'CF(M)'!$L104:$EQ104)</f>
        <v>0</v>
      </c>
      <c r="CN99" s="171">
        <f>SUMIF('CF(M)'!$L$11:$EQ$11,CN$6,'CF(M)'!$L104:$EQ104)</f>
        <v>0</v>
      </c>
      <c r="CO99" s="171">
        <f>SUMIF('CF(M)'!$L$11:$EQ$11,CO$6,'CF(M)'!$L104:$EQ104)</f>
        <v>0</v>
      </c>
      <c r="CP99" s="171">
        <f>SUMIF('CF(M)'!$L$11:$EQ$11,CP$6,'CF(M)'!$L104:$EQ104)</f>
        <v>0</v>
      </c>
      <c r="CQ99" s="171">
        <f>SUMIF('CF(M)'!$L$11:$EQ$11,CQ$6,'CF(M)'!$L104:$EQ104)</f>
        <v>0</v>
      </c>
      <c r="CR99" s="171">
        <f>SUMIF('CF(M)'!$L$11:$EQ$11,CR$6,'CF(M)'!$L104:$EQ104)</f>
        <v>0</v>
      </c>
      <c r="CS99" s="171">
        <f>SUMIF('CF(M)'!$L$11:$EQ$11,CS$6,'CF(M)'!$L104:$EQ104)</f>
        <v>0</v>
      </c>
      <c r="CT99" s="171">
        <f>SUMIF('CF(M)'!$L$11:$EQ$11,CT$6,'CF(M)'!$L104:$EQ104)</f>
        <v>0</v>
      </c>
      <c r="CU99" s="171">
        <f>SUMIF('CF(M)'!$L$11:$EQ$11,CU$6,'CF(M)'!$L104:$EQ104)</f>
        <v>0</v>
      </c>
      <c r="CV99" s="171">
        <f>SUMIF('CF(M)'!$L$11:$EQ$11,CV$6,'CF(M)'!$L104:$EQ104)</f>
        <v>0</v>
      </c>
      <c r="CW99" s="171">
        <f>SUMIF('CF(M)'!$L$11:$EQ$11,CW$6,'CF(M)'!$L104:$EQ104)</f>
        <v>0</v>
      </c>
      <c r="CX99" s="171">
        <f>SUMIF('CF(M)'!$L$11:$EQ$11,CX$6,'CF(M)'!$L104:$EQ104)</f>
        <v>0</v>
      </c>
      <c r="CY99" s="171">
        <f>SUMIF('CF(M)'!$L$11:$EQ$11,CY$6,'CF(M)'!$L104:$EQ104)</f>
        <v>0</v>
      </c>
      <c r="CZ99" s="171">
        <f>SUMIF('CF(M)'!$L$11:$EQ$11,CZ$6,'CF(M)'!$L104:$EQ104)</f>
        <v>0</v>
      </c>
      <c r="DA99" s="171">
        <f>SUMIF('CF(M)'!$L$11:$EQ$11,DA$6,'CF(M)'!$L104:$EQ104)</f>
        <v>0</v>
      </c>
      <c r="DB99" s="171">
        <f>SUMIF('CF(M)'!$L$11:$EQ$11,DB$6,'CF(M)'!$L104:$EQ104)</f>
        <v>0</v>
      </c>
      <c r="DC99" s="171">
        <f>SUMIF('CF(M)'!$L$11:$EQ$11,DC$6,'CF(M)'!$L104:$EQ104)</f>
        <v>0</v>
      </c>
      <c r="DD99" s="171">
        <f>SUMIF('CF(M)'!$L$11:$EQ$11,DD$6,'CF(M)'!$L104:$EQ104)</f>
        <v>0</v>
      </c>
      <c r="DE99" s="171">
        <f>SUMIF('CF(M)'!$L$11:$EQ$11,DE$6,'CF(M)'!$L104:$EQ104)</f>
        <v>0</v>
      </c>
      <c r="DF99" s="171">
        <f>SUMIF('CF(M)'!$L$11:$EQ$11,DF$6,'CF(M)'!$L104:$EQ104)</f>
        <v>0</v>
      </c>
      <c r="DG99" s="171">
        <f>SUMIF('CF(M)'!$L$11:$EQ$11,DG$6,'CF(M)'!$L104:$EQ104)</f>
        <v>0</v>
      </c>
      <c r="DH99" s="171">
        <f>SUMIF('CF(M)'!$L$11:$EQ$11,DH$6,'CF(M)'!$L104:$EQ104)</f>
        <v>0</v>
      </c>
      <c r="DI99" s="171">
        <f>SUMIF('CF(M)'!$L$11:$EQ$11,DI$6,'CF(M)'!$L104:$EQ104)</f>
        <v>0</v>
      </c>
      <c r="DJ99" s="171">
        <f>SUMIF('CF(M)'!$L$11:$EQ$11,DJ$6,'CF(M)'!$L104:$EQ104)</f>
        <v>0</v>
      </c>
      <c r="DK99" s="171">
        <f>SUMIF('CF(M)'!$L$11:$EQ$11,DK$6,'CF(M)'!$L104:$EQ104)</f>
        <v>0</v>
      </c>
      <c r="DL99" s="171">
        <f>SUMIF('CF(M)'!$L$11:$EQ$11,DL$6,'CF(M)'!$L104:$EQ104)</f>
        <v>0</v>
      </c>
      <c r="DM99" s="171">
        <f>SUMIF('CF(M)'!$L$11:$EQ$11,DM$6,'CF(M)'!$L104:$EQ104)</f>
        <v>0</v>
      </c>
      <c r="DN99" s="171">
        <f>SUMIF('CF(M)'!$L$11:$EQ$11,DN$6,'CF(M)'!$L104:$EQ104)</f>
        <v>0</v>
      </c>
      <c r="DO99" s="171">
        <f>SUMIF('CF(M)'!$L$11:$EQ$11,DO$6,'CF(M)'!$L104:$EQ104)</f>
        <v>0</v>
      </c>
      <c r="DP99" s="171">
        <f>SUMIF('CF(M)'!$L$11:$EQ$11,DP$6,'CF(M)'!$L104:$EQ104)</f>
        <v>0</v>
      </c>
      <c r="DQ99" s="171">
        <f>SUMIF('CF(M)'!$L$11:$EQ$11,DQ$6,'CF(M)'!$L104:$EQ104)</f>
        <v>0</v>
      </c>
      <c r="DR99" s="171">
        <f>SUMIF('CF(M)'!$L$11:$EQ$11,DR$6,'CF(M)'!$L104:$EQ104)</f>
        <v>0</v>
      </c>
      <c r="DS99" s="171">
        <f>SUMIF('CF(M)'!$L$11:$EQ$11,DS$6,'CF(M)'!$L104:$EQ104)</f>
        <v>0</v>
      </c>
      <c r="DT99" s="171">
        <f>SUMIF('CF(M)'!$L$11:$EQ$11,DT$6,'CF(M)'!$L104:$EQ104)</f>
        <v>0</v>
      </c>
      <c r="DU99" s="171">
        <f>SUMIF('CF(M)'!$L$11:$EQ$11,DU$6,'CF(M)'!$L104:$EQ104)</f>
        <v>0</v>
      </c>
      <c r="DV99" s="171">
        <f>SUMIF('CF(M)'!$L$11:$EQ$11,DV$6,'CF(M)'!$L104:$EQ104)</f>
        <v>0</v>
      </c>
    </row>
    <row r="100" spans="2:126" ht="11.25" customHeight="1">
      <c r="B100" s="218"/>
      <c r="C100" s="158" t="str">
        <f>'CF(FY)'!C100</f>
        <v>3종 우선주(LF)</v>
      </c>
      <c r="D100" s="159"/>
      <c r="E100" s="159"/>
      <c r="F100" s="159"/>
      <c r="G100" s="159"/>
      <c r="H100" s="160"/>
      <c r="I100" s="219"/>
      <c r="J100" s="220">
        <f>SUM(J101:J104)</f>
        <v>0</v>
      </c>
      <c r="K100" s="98"/>
      <c r="L100" s="162">
        <f>SUM(L101:L104)</f>
        <v>10000000</v>
      </c>
      <c r="M100" s="162">
        <f t="shared" ref="M100:BX100" si="53">SUM(M101:M104)</f>
        <v>0</v>
      </c>
      <c r="N100" s="162">
        <f t="shared" si="53"/>
        <v>-10000000</v>
      </c>
      <c r="O100" s="162">
        <f t="shared" si="53"/>
        <v>0</v>
      </c>
      <c r="P100" s="162">
        <f t="shared" si="53"/>
        <v>0</v>
      </c>
      <c r="Q100" s="162">
        <f t="shared" si="53"/>
        <v>0</v>
      </c>
      <c r="R100" s="162">
        <f t="shared" si="53"/>
        <v>0</v>
      </c>
      <c r="S100" s="162">
        <f t="shared" si="53"/>
        <v>0</v>
      </c>
      <c r="T100" s="162">
        <f t="shared" si="53"/>
        <v>0</v>
      </c>
      <c r="U100" s="162">
        <f t="shared" si="53"/>
        <v>0</v>
      </c>
      <c r="V100" s="162">
        <f t="shared" si="53"/>
        <v>0</v>
      </c>
      <c r="W100" s="162">
        <f t="shared" si="53"/>
        <v>0</v>
      </c>
      <c r="X100" s="162">
        <f t="shared" si="53"/>
        <v>0</v>
      </c>
      <c r="Y100" s="162">
        <f t="shared" si="53"/>
        <v>0</v>
      </c>
      <c r="Z100" s="162">
        <f t="shared" si="53"/>
        <v>0</v>
      </c>
      <c r="AA100" s="162">
        <f t="shared" si="53"/>
        <v>0</v>
      </c>
      <c r="AB100" s="162">
        <f t="shared" si="53"/>
        <v>0</v>
      </c>
      <c r="AC100" s="162">
        <f t="shared" si="53"/>
        <v>0</v>
      </c>
      <c r="AD100" s="162">
        <f t="shared" si="53"/>
        <v>0</v>
      </c>
      <c r="AE100" s="162">
        <f t="shared" si="53"/>
        <v>0</v>
      </c>
      <c r="AF100" s="162">
        <f t="shared" si="53"/>
        <v>0</v>
      </c>
      <c r="AG100" s="162">
        <f t="shared" si="53"/>
        <v>0</v>
      </c>
      <c r="AH100" s="162">
        <f t="shared" si="53"/>
        <v>0</v>
      </c>
      <c r="AI100" s="162">
        <f t="shared" si="53"/>
        <v>0</v>
      </c>
      <c r="AJ100" s="162">
        <f t="shared" si="53"/>
        <v>0</v>
      </c>
      <c r="AK100" s="162">
        <f t="shared" si="53"/>
        <v>0</v>
      </c>
      <c r="AL100" s="162">
        <f t="shared" si="53"/>
        <v>0</v>
      </c>
      <c r="AM100" s="162">
        <f t="shared" si="53"/>
        <v>0</v>
      </c>
      <c r="AN100" s="162">
        <f t="shared" si="53"/>
        <v>0</v>
      </c>
      <c r="AO100" s="162">
        <f t="shared" si="53"/>
        <v>0</v>
      </c>
      <c r="AP100" s="162">
        <f t="shared" si="53"/>
        <v>0</v>
      </c>
      <c r="AQ100" s="162">
        <f t="shared" si="53"/>
        <v>0</v>
      </c>
      <c r="AR100" s="162">
        <f t="shared" si="53"/>
        <v>0</v>
      </c>
      <c r="AS100" s="162">
        <f t="shared" si="53"/>
        <v>0</v>
      </c>
      <c r="AT100" s="162">
        <f t="shared" si="53"/>
        <v>0</v>
      </c>
      <c r="AU100" s="162">
        <f t="shared" si="53"/>
        <v>0</v>
      </c>
      <c r="AV100" s="162">
        <f t="shared" si="53"/>
        <v>0</v>
      </c>
      <c r="AW100" s="162">
        <f t="shared" si="53"/>
        <v>0</v>
      </c>
      <c r="AX100" s="162">
        <f t="shared" si="53"/>
        <v>0</v>
      </c>
      <c r="AY100" s="162">
        <f t="shared" si="53"/>
        <v>0</v>
      </c>
      <c r="AZ100" s="162">
        <f t="shared" si="53"/>
        <v>0</v>
      </c>
      <c r="BA100" s="162">
        <f t="shared" si="53"/>
        <v>0</v>
      </c>
      <c r="BB100" s="162">
        <f t="shared" si="53"/>
        <v>0</v>
      </c>
      <c r="BC100" s="162">
        <f t="shared" si="53"/>
        <v>0</v>
      </c>
      <c r="BD100" s="162">
        <f t="shared" si="53"/>
        <v>0</v>
      </c>
      <c r="BE100" s="162">
        <f t="shared" si="53"/>
        <v>0</v>
      </c>
      <c r="BF100" s="162">
        <f t="shared" si="53"/>
        <v>0</v>
      </c>
      <c r="BG100" s="162">
        <f t="shared" si="53"/>
        <v>0</v>
      </c>
      <c r="BH100" s="162">
        <f t="shared" si="53"/>
        <v>0</v>
      </c>
      <c r="BI100" s="162">
        <f t="shared" si="53"/>
        <v>0</v>
      </c>
      <c r="BJ100" s="162">
        <f t="shared" si="53"/>
        <v>0</v>
      </c>
      <c r="BK100" s="162">
        <f t="shared" si="53"/>
        <v>0</v>
      </c>
      <c r="BL100" s="162">
        <f t="shared" si="53"/>
        <v>0</v>
      </c>
      <c r="BM100" s="162">
        <f t="shared" si="53"/>
        <v>0</v>
      </c>
      <c r="BN100" s="162">
        <f t="shared" si="53"/>
        <v>0</v>
      </c>
      <c r="BO100" s="162">
        <f t="shared" si="53"/>
        <v>0</v>
      </c>
      <c r="BP100" s="162">
        <f t="shared" si="53"/>
        <v>0</v>
      </c>
      <c r="BQ100" s="162">
        <f t="shared" si="53"/>
        <v>0</v>
      </c>
      <c r="BR100" s="162">
        <f t="shared" si="53"/>
        <v>0</v>
      </c>
      <c r="BS100" s="162">
        <f t="shared" si="53"/>
        <v>0</v>
      </c>
      <c r="BT100" s="162">
        <f t="shared" si="53"/>
        <v>0</v>
      </c>
      <c r="BU100" s="162">
        <f t="shared" si="53"/>
        <v>0</v>
      </c>
      <c r="BV100" s="162">
        <f t="shared" si="53"/>
        <v>0</v>
      </c>
      <c r="BW100" s="162">
        <f t="shared" si="53"/>
        <v>0</v>
      </c>
      <c r="BX100" s="162">
        <f t="shared" si="53"/>
        <v>0</v>
      </c>
      <c r="BY100" s="162">
        <f t="shared" ref="BY100:DV100" si="54">SUM(BY101:BY104)</f>
        <v>0</v>
      </c>
      <c r="BZ100" s="162">
        <f t="shared" si="54"/>
        <v>0</v>
      </c>
      <c r="CA100" s="162">
        <f t="shared" si="54"/>
        <v>0</v>
      </c>
      <c r="CB100" s="162">
        <f t="shared" si="54"/>
        <v>0</v>
      </c>
      <c r="CC100" s="162">
        <f t="shared" si="54"/>
        <v>0</v>
      </c>
      <c r="CD100" s="162">
        <f t="shared" si="54"/>
        <v>0</v>
      </c>
      <c r="CE100" s="162">
        <f t="shared" si="54"/>
        <v>0</v>
      </c>
      <c r="CF100" s="162">
        <f t="shared" si="54"/>
        <v>0</v>
      </c>
      <c r="CG100" s="162">
        <f t="shared" si="54"/>
        <v>0</v>
      </c>
      <c r="CH100" s="162">
        <f t="shared" si="54"/>
        <v>0</v>
      </c>
      <c r="CI100" s="162">
        <f t="shared" si="54"/>
        <v>0</v>
      </c>
      <c r="CJ100" s="162">
        <f t="shared" si="54"/>
        <v>0</v>
      </c>
      <c r="CK100" s="162">
        <f t="shared" si="54"/>
        <v>0</v>
      </c>
      <c r="CL100" s="162">
        <f t="shared" si="54"/>
        <v>0</v>
      </c>
      <c r="CM100" s="162">
        <f t="shared" si="54"/>
        <v>0</v>
      </c>
      <c r="CN100" s="162">
        <f t="shared" si="54"/>
        <v>0</v>
      </c>
      <c r="CO100" s="162">
        <f t="shared" si="54"/>
        <v>0</v>
      </c>
      <c r="CP100" s="162">
        <f t="shared" si="54"/>
        <v>0</v>
      </c>
      <c r="CQ100" s="162">
        <f t="shared" si="54"/>
        <v>0</v>
      </c>
      <c r="CR100" s="162">
        <f t="shared" si="54"/>
        <v>0</v>
      </c>
      <c r="CS100" s="162">
        <f t="shared" si="54"/>
        <v>0</v>
      </c>
      <c r="CT100" s="162">
        <f t="shared" si="54"/>
        <v>0</v>
      </c>
      <c r="CU100" s="162">
        <f t="shared" si="54"/>
        <v>0</v>
      </c>
      <c r="CV100" s="162">
        <f t="shared" si="54"/>
        <v>0</v>
      </c>
      <c r="CW100" s="162">
        <f t="shared" si="54"/>
        <v>0</v>
      </c>
      <c r="CX100" s="162">
        <f t="shared" si="54"/>
        <v>0</v>
      </c>
      <c r="CY100" s="162">
        <f t="shared" si="54"/>
        <v>0</v>
      </c>
      <c r="CZ100" s="162">
        <f t="shared" si="54"/>
        <v>0</v>
      </c>
      <c r="DA100" s="162">
        <f t="shared" si="54"/>
        <v>0</v>
      </c>
      <c r="DB100" s="162">
        <f t="shared" si="54"/>
        <v>0</v>
      </c>
      <c r="DC100" s="162">
        <f t="shared" si="54"/>
        <v>0</v>
      </c>
      <c r="DD100" s="162">
        <f t="shared" si="54"/>
        <v>0</v>
      </c>
      <c r="DE100" s="162">
        <f t="shared" si="54"/>
        <v>0</v>
      </c>
      <c r="DF100" s="162">
        <f t="shared" si="54"/>
        <v>0</v>
      </c>
      <c r="DG100" s="162">
        <f t="shared" si="54"/>
        <v>0</v>
      </c>
      <c r="DH100" s="162">
        <f t="shared" si="54"/>
        <v>0</v>
      </c>
      <c r="DI100" s="162">
        <f t="shared" si="54"/>
        <v>0</v>
      </c>
      <c r="DJ100" s="162">
        <f t="shared" si="54"/>
        <v>0</v>
      </c>
      <c r="DK100" s="162">
        <f t="shared" si="54"/>
        <v>0</v>
      </c>
      <c r="DL100" s="162">
        <f t="shared" si="54"/>
        <v>0</v>
      </c>
      <c r="DM100" s="162">
        <f t="shared" si="54"/>
        <v>0</v>
      </c>
      <c r="DN100" s="162">
        <f t="shared" si="54"/>
        <v>0</v>
      </c>
      <c r="DO100" s="162">
        <f t="shared" si="54"/>
        <v>0</v>
      </c>
      <c r="DP100" s="162">
        <f t="shared" si="54"/>
        <v>0</v>
      </c>
      <c r="DQ100" s="162">
        <f t="shared" si="54"/>
        <v>0</v>
      </c>
      <c r="DR100" s="162">
        <f t="shared" si="54"/>
        <v>0</v>
      </c>
      <c r="DS100" s="162">
        <f t="shared" si="54"/>
        <v>0</v>
      </c>
      <c r="DT100" s="162">
        <f t="shared" si="54"/>
        <v>0</v>
      </c>
      <c r="DU100" s="162">
        <f t="shared" si="54"/>
        <v>0</v>
      </c>
      <c r="DV100" s="162">
        <f t="shared" si="54"/>
        <v>0</v>
      </c>
    </row>
    <row r="101" spans="2:126" ht="11.25" customHeight="1">
      <c r="B101" s="218"/>
      <c r="C101" s="163"/>
      <c r="D101" s="164" t="s">
        <v>208</v>
      </c>
      <c r="E101" s="165"/>
      <c r="F101" s="165"/>
      <c r="G101" s="165"/>
      <c r="H101" s="166"/>
      <c r="I101" s="228"/>
      <c r="J101" s="168">
        <f>SUM(L101:DV101)</f>
        <v>10000000</v>
      </c>
      <c r="K101" s="98"/>
      <c r="L101" s="168">
        <f>SUMIF('CF(M)'!$L$11:$EQ$11,L$6,'CF(M)'!$L106:$EQ106)</f>
        <v>10000000</v>
      </c>
      <c r="M101" s="168">
        <f>SUMIF('CF(M)'!$L$11:$EQ$11,M$6,'CF(M)'!$L106:$EQ106)</f>
        <v>0</v>
      </c>
      <c r="N101" s="168">
        <f>SUMIF('CF(M)'!$L$11:$EQ$11,N$6,'CF(M)'!$L106:$EQ106)</f>
        <v>0</v>
      </c>
      <c r="O101" s="168">
        <f>SUMIF('CF(M)'!$L$11:$EQ$11,O$6,'CF(M)'!$L106:$EQ106)</f>
        <v>0</v>
      </c>
      <c r="P101" s="168">
        <f>SUMIF('CF(M)'!$L$11:$EQ$11,P$6,'CF(M)'!$L106:$EQ106)</f>
        <v>0</v>
      </c>
      <c r="Q101" s="168">
        <f>SUMIF('CF(M)'!$L$11:$EQ$11,Q$6,'CF(M)'!$L106:$EQ106)</f>
        <v>0</v>
      </c>
      <c r="R101" s="168">
        <f>SUMIF('CF(M)'!$L$11:$EQ$11,R$6,'CF(M)'!$L106:$EQ106)</f>
        <v>0</v>
      </c>
      <c r="S101" s="168">
        <f>SUMIF('CF(M)'!$L$11:$EQ$11,S$6,'CF(M)'!$L106:$EQ106)</f>
        <v>0</v>
      </c>
      <c r="T101" s="168">
        <f>SUMIF('CF(M)'!$L$11:$EQ$11,T$6,'CF(M)'!$L106:$EQ106)</f>
        <v>0</v>
      </c>
      <c r="U101" s="168">
        <f>SUMIF('CF(M)'!$L$11:$EQ$11,U$6,'CF(M)'!$L106:$EQ106)</f>
        <v>0</v>
      </c>
      <c r="V101" s="168">
        <f>SUMIF('CF(M)'!$L$11:$EQ$11,V$6,'CF(M)'!$L106:$EQ106)</f>
        <v>0</v>
      </c>
      <c r="W101" s="168">
        <f>SUMIF('CF(M)'!$L$11:$EQ$11,W$6,'CF(M)'!$L106:$EQ106)</f>
        <v>0</v>
      </c>
      <c r="X101" s="168">
        <f>SUMIF('CF(M)'!$L$11:$EQ$11,X$6,'CF(M)'!$L106:$EQ106)</f>
        <v>0</v>
      </c>
      <c r="Y101" s="168">
        <f>SUMIF('CF(M)'!$L$11:$EQ$11,Y$6,'CF(M)'!$L106:$EQ106)</f>
        <v>0</v>
      </c>
      <c r="Z101" s="168">
        <f>SUMIF('CF(M)'!$L$11:$EQ$11,Z$6,'CF(M)'!$L106:$EQ106)</f>
        <v>0</v>
      </c>
      <c r="AA101" s="168">
        <f>SUMIF('CF(M)'!$L$11:$EQ$11,AA$6,'CF(M)'!$L106:$EQ106)</f>
        <v>0</v>
      </c>
      <c r="AB101" s="168">
        <f>SUMIF('CF(M)'!$L$11:$EQ$11,AB$6,'CF(M)'!$L106:$EQ106)</f>
        <v>0</v>
      </c>
      <c r="AC101" s="168">
        <f>SUMIF('CF(M)'!$L$11:$EQ$11,AC$6,'CF(M)'!$L106:$EQ106)</f>
        <v>0</v>
      </c>
      <c r="AD101" s="168">
        <f>SUMIF('CF(M)'!$L$11:$EQ$11,AD$6,'CF(M)'!$L106:$EQ106)</f>
        <v>0</v>
      </c>
      <c r="AE101" s="168">
        <f>SUMIF('CF(M)'!$L$11:$EQ$11,AE$6,'CF(M)'!$L106:$EQ106)</f>
        <v>0</v>
      </c>
      <c r="AF101" s="168">
        <f>SUMIF('CF(M)'!$L$11:$EQ$11,AF$6,'CF(M)'!$L106:$EQ106)</f>
        <v>0</v>
      </c>
      <c r="AG101" s="168">
        <f>SUMIF('CF(M)'!$L$11:$EQ$11,AG$6,'CF(M)'!$L106:$EQ106)</f>
        <v>0</v>
      </c>
      <c r="AH101" s="168">
        <f>SUMIF('CF(M)'!$L$11:$EQ$11,AH$6,'CF(M)'!$L106:$EQ106)</f>
        <v>0</v>
      </c>
      <c r="AI101" s="168">
        <f>SUMIF('CF(M)'!$L$11:$EQ$11,AI$6,'CF(M)'!$L106:$EQ106)</f>
        <v>0</v>
      </c>
      <c r="AJ101" s="168">
        <f>SUMIF('CF(M)'!$L$11:$EQ$11,AJ$6,'CF(M)'!$L106:$EQ106)</f>
        <v>0</v>
      </c>
      <c r="AK101" s="168">
        <f>SUMIF('CF(M)'!$L$11:$EQ$11,AK$6,'CF(M)'!$L106:$EQ106)</f>
        <v>0</v>
      </c>
      <c r="AL101" s="168">
        <f>SUMIF('CF(M)'!$L$11:$EQ$11,AL$6,'CF(M)'!$L106:$EQ106)</f>
        <v>0</v>
      </c>
      <c r="AM101" s="168">
        <f>SUMIF('CF(M)'!$L$11:$EQ$11,AM$6,'CF(M)'!$L106:$EQ106)</f>
        <v>0</v>
      </c>
      <c r="AN101" s="168">
        <f>SUMIF('CF(M)'!$L$11:$EQ$11,AN$6,'CF(M)'!$L106:$EQ106)</f>
        <v>0</v>
      </c>
      <c r="AO101" s="168">
        <f>SUMIF('CF(M)'!$L$11:$EQ$11,AO$6,'CF(M)'!$L106:$EQ106)</f>
        <v>0</v>
      </c>
      <c r="AP101" s="168">
        <f>SUMIF('CF(M)'!$L$11:$EQ$11,AP$6,'CF(M)'!$L106:$EQ106)</f>
        <v>0</v>
      </c>
      <c r="AQ101" s="168">
        <f>SUMIF('CF(M)'!$L$11:$EQ$11,AQ$6,'CF(M)'!$L106:$EQ106)</f>
        <v>0</v>
      </c>
      <c r="AR101" s="168">
        <f>SUMIF('CF(M)'!$L$11:$EQ$11,AR$6,'CF(M)'!$L106:$EQ106)</f>
        <v>0</v>
      </c>
      <c r="AS101" s="168">
        <f>SUMIF('CF(M)'!$L$11:$EQ$11,AS$6,'CF(M)'!$L106:$EQ106)</f>
        <v>0</v>
      </c>
      <c r="AT101" s="168">
        <f>SUMIF('CF(M)'!$L$11:$EQ$11,AT$6,'CF(M)'!$L106:$EQ106)</f>
        <v>0</v>
      </c>
      <c r="AU101" s="168">
        <f>SUMIF('CF(M)'!$L$11:$EQ$11,AU$6,'CF(M)'!$L106:$EQ106)</f>
        <v>0</v>
      </c>
      <c r="AV101" s="168">
        <f>SUMIF('CF(M)'!$L$11:$EQ$11,AV$6,'CF(M)'!$L106:$EQ106)</f>
        <v>0</v>
      </c>
      <c r="AW101" s="168">
        <f>SUMIF('CF(M)'!$L$11:$EQ$11,AW$6,'CF(M)'!$L106:$EQ106)</f>
        <v>0</v>
      </c>
      <c r="AX101" s="168">
        <f>SUMIF('CF(M)'!$L$11:$EQ$11,AX$6,'CF(M)'!$L106:$EQ106)</f>
        <v>0</v>
      </c>
      <c r="AY101" s="168">
        <f>SUMIF('CF(M)'!$L$11:$EQ$11,AY$6,'CF(M)'!$L106:$EQ106)</f>
        <v>0</v>
      </c>
      <c r="AZ101" s="168">
        <f>SUMIF('CF(M)'!$L$11:$EQ$11,AZ$6,'CF(M)'!$L106:$EQ106)</f>
        <v>0</v>
      </c>
      <c r="BA101" s="168">
        <f>SUMIF('CF(M)'!$L$11:$EQ$11,BA$6,'CF(M)'!$L106:$EQ106)</f>
        <v>0</v>
      </c>
      <c r="BB101" s="168">
        <f>SUMIF('CF(M)'!$L$11:$EQ$11,BB$6,'CF(M)'!$L106:$EQ106)</f>
        <v>0</v>
      </c>
      <c r="BC101" s="168">
        <f>SUMIF('CF(M)'!$L$11:$EQ$11,BC$6,'CF(M)'!$L106:$EQ106)</f>
        <v>0</v>
      </c>
      <c r="BD101" s="168">
        <f>SUMIF('CF(M)'!$L$11:$EQ$11,BD$6,'CF(M)'!$L106:$EQ106)</f>
        <v>0</v>
      </c>
      <c r="BE101" s="168">
        <f>SUMIF('CF(M)'!$L$11:$EQ$11,BE$6,'CF(M)'!$L106:$EQ106)</f>
        <v>0</v>
      </c>
      <c r="BF101" s="168">
        <f>SUMIF('CF(M)'!$L$11:$EQ$11,BF$6,'CF(M)'!$L106:$EQ106)</f>
        <v>0</v>
      </c>
      <c r="BG101" s="168">
        <f>SUMIF('CF(M)'!$L$11:$EQ$11,BG$6,'CF(M)'!$L106:$EQ106)</f>
        <v>0</v>
      </c>
      <c r="BH101" s="168">
        <f>SUMIF('CF(M)'!$L$11:$EQ$11,BH$6,'CF(M)'!$L106:$EQ106)</f>
        <v>0</v>
      </c>
      <c r="BI101" s="168">
        <f>SUMIF('CF(M)'!$L$11:$EQ$11,BI$6,'CF(M)'!$L106:$EQ106)</f>
        <v>0</v>
      </c>
      <c r="BJ101" s="168">
        <f>SUMIF('CF(M)'!$L$11:$EQ$11,BJ$6,'CF(M)'!$L106:$EQ106)</f>
        <v>0</v>
      </c>
      <c r="BK101" s="168">
        <f>SUMIF('CF(M)'!$L$11:$EQ$11,BK$6,'CF(M)'!$L106:$EQ106)</f>
        <v>0</v>
      </c>
      <c r="BL101" s="168">
        <f>SUMIF('CF(M)'!$L$11:$EQ$11,BL$6,'CF(M)'!$L106:$EQ106)</f>
        <v>0</v>
      </c>
      <c r="BM101" s="168">
        <f>SUMIF('CF(M)'!$L$11:$EQ$11,BM$6,'CF(M)'!$L106:$EQ106)</f>
        <v>0</v>
      </c>
      <c r="BN101" s="168">
        <f>SUMIF('CF(M)'!$L$11:$EQ$11,BN$6,'CF(M)'!$L106:$EQ106)</f>
        <v>0</v>
      </c>
      <c r="BO101" s="168">
        <f>SUMIF('CF(M)'!$L$11:$EQ$11,BO$6,'CF(M)'!$L106:$EQ106)</f>
        <v>0</v>
      </c>
      <c r="BP101" s="168">
        <f>SUMIF('CF(M)'!$L$11:$EQ$11,BP$6,'CF(M)'!$L106:$EQ106)</f>
        <v>0</v>
      </c>
      <c r="BQ101" s="168">
        <f>SUMIF('CF(M)'!$L$11:$EQ$11,BQ$6,'CF(M)'!$L106:$EQ106)</f>
        <v>0</v>
      </c>
      <c r="BR101" s="168">
        <f>SUMIF('CF(M)'!$L$11:$EQ$11,BR$6,'CF(M)'!$L106:$EQ106)</f>
        <v>0</v>
      </c>
      <c r="BS101" s="168">
        <f>SUMIF('CF(M)'!$L$11:$EQ$11,BS$6,'CF(M)'!$L106:$EQ106)</f>
        <v>0</v>
      </c>
      <c r="BT101" s="168">
        <f>SUMIF('CF(M)'!$L$11:$EQ$11,BT$6,'CF(M)'!$L106:$EQ106)</f>
        <v>0</v>
      </c>
      <c r="BU101" s="168">
        <f>SUMIF('CF(M)'!$L$11:$EQ$11,BU$6,'CF(M)'!$L106:$EQ106)</f>
        <v>0</v>
      </c>
      <c r="BV101" s="168">
        <f>SUMIF('CF(M)'!$L$11:$EQ$11,BV$6,'CF(M)'!$L106:$EQ106)</f>
        <v>0</v>
      </c>
      <c r="BW101" s="168">
        <f>SUMIF('CF(M)'!$L$11:$EQ$11,BW$6,'CF(M)'!$L106:$EQ106)</f>
        <v>0</v>
      </c>
      <c r="BX101" s="168">
        <f>SUMIF('CF(M)'!$L$11:$EQ$11,BX$6,'CF(M)'!$L106:$EQ106)</f>
        <v>0</v>
      </c>
      <c r="BY101" s="168">
        <f>SUMIF('CF(M)'!$L$11:$EQ$11,BY$6,'CF(M)'!$L106:$EQ106)</f>
        <v>0</v>
      </c>
      <c r="BZ101" s="168">
        <f>SUMIF('CF(M)'!$L$11:$EQ$11,BZ$6,'CF(M)'!$L106:$EQ106)</f>
        <v>0</v>
      </c>
      <c r="CA101" s="168">
        <f>SUMIF('CF(M)'!$L$11:$EQ$11,CA$6,'CF(M)'!$L106:$EQ106)</f>
        <v>0</v>
      </c>
      <c r="CB101" s="168">
        <f>SUMIF('CF(M)'!$L$11:$EQ$11,CB$6,'CF(M)'!$L106:$EQ106)</f>
        <v>0</v>
      </c>
      <c r="CC101" s="168">
        <f>SUMIF('CF(M)'!$L$11:$EQ$11,CC$6,'CF(M)'!$L106:$EQ106)</f>
        <v>0</v>
      </c>
      <c r="CD101" s="168">
        <f>SUMIF('CF(M)'!$L$11:$EQ$11,CD$6,'CF(M)'!$L106:$EQ106)</f>
        <v>0</v>
      </c>
      <c r="CE101" s="168">
        <f>SUMIF('CF(M)'!$L$11:$EQ$11,CE$6,'CF(M)'!$L106:$EQ106)</f>
        <v>0</v>
      </c>
      <c r="CF101" s="168">
        <f>SUMIF('CF(M)'!$L$11:$EQ$11,CF$6,'CF(M)'!$L106:$EQ106)</f>
        <v>0</v>
      </c>
      <c r="CG101" s="168">
        <f>SUMIF('CF(M)'!$L$11:$EQ$11,CG$6,'CF(M)'!$L106:$EQ106)</f>
        <v>0</v>
      </c>
      <c r="CH101" s="168">
        <f>SUMIF('CF(M)'!$L$11:$EQ$11,CH$6,'CF(M)'!$L106:$EQ106)</f>
        <v>0</v>
      </c>
      <c r="CI101" s="168">
        <f>SUMIF('CF(M)'!$L$11:$EQ$11,CI$6,'CF(M)'!$L106:$EQ106)</f>
        <v>0</v>
      </c>
      <c r="CJ101" s="168">
        <f>SUMIF('CF(M)'!$L$11:$EQ$11,CJ$6,'CF(M)'!$L106:$EQ106)</f>
        <v>0</v>
      </c>
      <c r="CK101" s="168">
        <f>SUMIF('CF(M)'!$L$11:$EQ$11,CK$6,'CF(M)'!$L106:$EQ106)</f>
        <v>0</v>
      </c>
      <c r="CL101" s="168">
        <f>SUMIF('CF(M)'!$L$11:$EQ$11,CL$6,'CF(M)'!$L106:$EQ106)</f>
        <v>0</v>
      </c>
      <c r="CM101" s="168">
        <f>SUMIF('CF(M)'!$L$11:$EQ$11,CM$6,'CF(M)'!$L106:$EQ106)</f>
        <v>0</v>
      </c>
      <c r="CN101" s="168">
        <f>SUMIF('CF(M)'!$L$11:$EQ$11,CN$6,'CF(M)'!$L106:$EQ106)</f>
        <v>0</v>
      </c>
      <c r="CO101" s="168">
        <f>SUMIF('CF(M)'!$L$11:$EQ$11,CO$6,'CF(M)'!$L106:$EQ106)</f>
        <v>0</v>
      </c>
      <c r="CP101" s="168">
        <f>SUMIF('CF(M)'!$L$11:$EQ$11,CP$6,'CF(M)'!$L106:$EQ106)</f>
        <v>0</v>
      </c>
      <c r="CQ101" s="168">
        <f>SUMIF('CF(M)'!$L$11:$EQ$11,CQ$6,'CF(M)'!$L106:$EQ106)</f>
        <v>0</v>
      </c>
      <c r="CR101" s="168">
        <f>SUMIF('CF(M)'!$L$11:$EQ$11,CR$6,'CF(M)'!$L106:$EQ106)</f>
        <v>0</v>
      </c>
      <c r="CS101" s="168">
        <f>SUMIF('CF(M)'!$L$11:$EQ$11,CS$6,'CF(M)'!$L106:$EQ106)</f>
        <v>0</v>
      </c>
      <c r="CT101" s="168">
        <f>SUMIF('CF(M)'!$L$11:$EQ$11,CT$6,'CF(M)'!$L106:$EQ106)</f>
        <v>0</v>
      </c>
      <c r="CU101" s="168">
        <f>SUMIF('CF(M)'!$L$11:$EQ$11,CU$6,'CF(M)'!$L106:$EQ106)</f>
        <v>0</v>
      </c>
      <c r="CV101" s="168">
        <f>SUMIF('CF(M)'!$L$11:$EQ$11,CV$6,'CF(M)'!$L106:$EQ106)</f>
        <v>0</v>
      </c>
      <c r="CW101" s="168">
        <f>SUMIF('CF(M)'!$L$11:$EQ$11,CW$6,'CF(M)'!$L106:$EQ106)</f>
        <v>0</v>
      </c>
      <c r="CX101" s="168">
        <f>SUMIF('CF(M)'!$L$11:$EQ$11,CX$6,'CF(M)'!$L106:$EQ106)</f>
        <v>0</v>
      </c>
      <c r="CY101" s="168">
        <f>SUMIF('CF(M)'!$L$11:$EQ$11,CY$6,'CF(M)'!$L106:$EQ106)</f>
        <v>0</v>
      </c>
      <c r="CZ101" s="168">
        <f>SUMIF('CF(M)'!$L$11:$EQ$11,CZ$6,'CF(M)'!$L106:$EQ106)</f>
        <v>0</v>
      </c>
      <c r="DA101" s="168">
        <f>SUMIF('CF(M)'!$L$11:$EQ$11,DA$6,'CF(M)'!$L106:$EQ106)</f>
        <v>0</v>
      </c>
      <c r="DB101" s="168">
        <f>SUMIF('CF(M)'!$L$11:$EQ$11,DB$6,'CF(M)'!$L106:$EQ106)</f>
        <v>0</v>
      </c>
      <c r="DC101" s="168">
        <f>SUMIF('CF(M)'!$L$11:$EQ$11,DC$6,'CF(M)'!$L106:$EQ106)</f>
        <v>0</v>
      </c>
      <c r="DD101" s="168">
        <f>SUMIF('CF(M)'!$L$11:$EQ$11,DD$6,'CF(M)'!$L106:$EQ106)</f>
        <v>0</v>
      </c>
      <c r="DE101" s="168">
        <f>SUMIF('CF(M)'!$L$11:$EQ$11,DE$6,'CF(M)'!$L106:$EQ106)</f>
        <v>0</v>
      </c>
      <c r="DF101" s="168">
        <f>SUMIF('CF(M)'!$L$11:$EQ$11,DF$6,'CF(M)'!$L106:$EQ106)</f>
        <v>0</v>
      </c>
      <c r="DG101" s="168">
        <f>SUMIF('CF(M)'!$L$11:$EQ$11,DG$6,'CF(M)'!$L106:$EQ106)</f>
        <v>0</v>
      </c>
      <c r="DH101" s="168">
        <f>SUMIF('CF(M)'!$L$11:$EQ$11,DH$6,'CF(M)'!$L106:$EQ106)</f>
        <v>0</v>
      </c>
      <c r="DI101" s="168">
        <f>SUMIF('CF(M)'!$L$11:$EQ$11,DI$6,'CF(M)'!$L106:$EQ106)</f>
        <v>0</v>
      </c>
      <c r="DJ101" s="168">
        <f>SUMIF('CF(M)'!$L$11:$EQ$11,DJ$6,'CF(M)'!$L106:$EQ106)</f>
        <v>0</v>
      </c>
      <c r="DK101" s="168">
        <f>SUMIF('CF(M)'!$L$11:$EQ$11,DK$6,'CF(M)'!$L106:$EQ106)</f>
        <v>0</v>
      </c>
      <c r="DL101" s="168">
        <f>SUMIF('CF(M)'!$L$11:$EQ$11,DL$6,'CF(M)'!$L106:$EQ106)</f>
        <v>0</v>
      </c>
      <c r="DM101" s="168">
        <f>SUMIF('CF(M)'!$L$11:$EQ$11,DM$6,'CF(M)'!$L106:$EQ106)</f>
        <v>0</v>
      </c>
      <c r="DN101" s="168">
        <f>SUMIF('CF(M)'!$L$11:$EQ$11,DN$6,'CF(M)'!$L106:$EQ106)</f>
        <v>0</v>
      </c>
      <c r="DO101" s="168">
        <f>SUMIF('CF(M)'!$L$11:$EQ$11,DO$6,'CF(M)'!$L106:$EQ106)</f>
        <v>0</v>
      </c>
      <c r="DP101" s="168">
        <f>SUMIF('CF(M)'!$L$11:$EQ$11,DP$6,'CF(M)'!$L106:$EQ106)</f>
        <v>0</v>
      </c>
      <c r="DQ101" s="168">
        <f>SUMIF('CF(M)'!$L$11:$EQ$11,DQ$6,'CF(M)'!$L106:$EQ106)</f>
        <v>0</v>
      </c>
      <c r="DR101" s="168">
        <f>SUMIF('CF(M)'!$L$11:$EQ$11,DR$6,'CF(M)'!$L106:$EQ106)</f>
        <v>0</v>
      </c>
      <c r="DS101" s="168">
        <f>SUMIF('CF(M)'!$L$11:$EQ$11,DS$6,'CF(M)'!$L106:$EQ106)</f>
        <v>0</v>
      </c>
      <c r="DT101" s="168">
        <f>SUMIF('CF(M)'!$L$11:$EQ$11,DT$6,'CF(M)'!$L106:$EQ106)</f>
        <v>0</v>
      </c>
      <c r="DU101" s="168">
        <f>SUMIF('CF(M)'!$L$11:$EQ$11,DU$6,'CF(M)'!$L106:$EQ106)</f>
        <v>0</v>
      </c>
      <c r="DV101" s="168">
        <f>SUMIF('CF(M)'!$L$11:$EQ$11,DV$6,'CF(M)'!$L106:$EQ106)</f>
        <v>0</v>
      </c>
    </row>
    <row r="102" spans="2:126" ht="11.25" customHeight="1">
      <c r="B102" s="218"/>
      <c r="C102" s="163"/>
      <c r="D102" s="169" t="s">
        <v>551</v>
      </c>
      <c r="H102" s="146"/>
      <c r="I102" s="229"/>
      <c r="J102" s="171">
        <f>SUM(L102:DV102)</f>
        <v>-10000000</v>
      </c>
      <c r="K102" s="98"/>
      <c r="L102" s="171">
        <f>SUMIF('CF(M)'!$L$11:$EQ$11,L$6,'CF(M)'!$L107:$EQ107)</f>
        <v>0</v>
      </c>
      <c r="M102" s="171">
        <f>SUMIF('CF(M)'!$L$11:$EQ$11,M$6,'CF(M)'!$L107:$EQ107)</f>
        <v>0</v>
      </c>
      <c r="N102" s="171">
        <f>SUMIF('CF(M)'!$L$11:$EQ$11,N$6,'CF(M)'!$L107:$EQ107)</f>
        <v>-10000000</v>
      </c>
      <c r="O102" s="171">
        <f>SUMIF('CF(M)'!$L$11:$EQ$11,O$6,'CF(M)'!$L107:$EQ107)</f>
        <v>0</v>
      </c>
      <c r="P102" s="171">
        <f>SUMIF('CF(M)'!$L$11:$EQ$11,P$6,'CF(M)'!$L107:$EQ107)</f>
        <v>0</v>
      </c>
      <c r="Q102" s="171">
        <f>SUMIF('CF(M)'!$L$11:$EQ$11,Q$6,'CF(M)'!$L107:$EQ107)</f>
        <v>0</v>
      </c>
      <c r="R102" s="171">
        <f>SUMIF('CF(M)'!$L$11:$EQ$11,R$6,'CF(M)'!$L107:$EQ107)</f>
        <v>0</v>
      </c>
      <c r="S102" s="171">
        <f>SUMIF('CF(M)'!$L$11:$EQ$11,S$6,'CF(M)'!$L107:$EQ107)</f>
        <v>0</v>
      </c>
      <c r="T102" s="171">
        <f>SUMIF('CF(M)'!$L$11:$EQ$11,T$6,'CF(M)'!$L107:$EQ107)</f>
        <v>0</v>
      </c>
      <c r="U102" s="171">
        <f>SUMIF('CF(M)'!$L$11:$EQ$11,U$6,'CF(M)'!$L107:$EQ107)</f>
        <v>0</v>
      </c>
      <c r="V102" s="171">
        <f>SUMIF('CF(M)'!$L$11:$EQ$11,V$6,'CF(M)'!$L107:$EQ107)</f>
        <v>0</v>
      </c>
      <c r="W102" s="171">
        <f>SUMIF('CF(M)'!$L$11:$EQ$11,W$6,'CF(M)'!$L107:$EQ107)</f>
        <v>0</v>
      </c>
      <c r="X102" s="171">
        <f>SUMIF('CF(M)'!$L$11:$EQ$11,X$6,'CF(M)'!$L107:$EQ107)</f>
        <v>0</v>
      </c>
      <c r="Y102" s="171">
        <f>SUMIF('CF(M)'!$L$11:$EQ$11,Y$6,'CF(M)'!$L107:$EQ107)</f>
        <v>0</v>
      </c>
      <c r="Z102" s="171">
        <f>SUMIF('CF(M)'!$L$11:$EQ$11,Z$6,'CF(M)'!$L107:$EQ107)</f>
        <v>0</v>
      </c>
      <c r="AA102" s="171">
        <f>SUMIF('CF(M)'!$L$11:$EQ$11,AA$6,'CF(M)'!$L107:$EQ107)</f>
        <v>0</v>
      </c>
      <c r="AB102" s="171">
        <f>SUMIF('CF(M)'!$L$11:$EQ$11,AB$6,'CF(M)'!$L107:$EQ107)</f>
        <v>0</v>
      </c>
      <c r="AC102" s="171">
        <f>SUMIF('CF(M)'!$L$11:$EQ$11,AC$6,'CF(M)'!$L107:$EQ107)</f>
        <v>0</v>
      </c>
      <c r="AD102" s="171">
        <f>SUMIF('CF(M)'!$L$11:$EQ$11,AD$6,'CF(M)'!$L107:$EQ107)</f>
        <v>0</v>
      </c>
      <c r="AE102" s="171">
        <f>SUMIF('CF(M)'!$L$11:$EQ$11,AE$6,'CF(M)'!$L107:$EQ107)</f>
        <v>0</v>
      </c>
      <c r="AF102" s="171">
        <f>SUMIF('CF(M)'!$L$11:$EQ$11,AF$6,'CF(M)'!$L107:$EQ107)</f>
        <v>0</v>
      </c>
      <c r="AG102" s="171">
        <f>SUMIF('CF(M)'!$L$11:$EQ$11,AG$6,'CF(M)'!$L107:$EQ107)</f>
        <v>0</v>
      </c>
      <c r="AH102" s="171">
        <f>SUMIF('CF(M)'!$L$11:$EQ$11,AH$6,'CF(M)'!$L107:$EQ107)</f>
        <v>0</v>
      </c>
      <c r="AI102" s="171">
        <f>SUMIF('CF(M)'!$L$11:$EQ$11,AI$6,'CF(M)'!$L107:$EQ107)</f>
        <v>0</v>
      </c>
      <c r="AJ102" s="171">
        <f>SUMIF('CF(M)'!$L$11:$EQ$11,AJ$6,'CF(M)'!$L107:$EQ107)</f>
        <v>0</v>
      </c>
      <c r="AK102" s="171">
        <f>SUMIF('CF(M)'!$L$11:$EQ$11,AK$6,'CF(M)'!$L107:$EQ107)</f>
        <v>0</v>
      </c>
      <c r="AL102" s="171">
        <f>SUMIF('CF(M)'!$L$11:$EQ$11,AL$6,'CF(M)'!$L107:$EQ107)</f>
        <v>0</v>
      </c>
      <c r="AM102" s="171">
        <f>SUMIF('CF(M)'!$L$11:$EQ$11,AM$6,'CF(M)'!$L107:$EQ107)</f>
        <v>0</v>
      </c>
      <c r="AN102" s="171">
        <f>SUMIF('CF(M)'!$L$11:$EQ$11,AN$6,'CF(M)'!$L107:$EQ107)</f>
        <v>0</v>
      </c>
      <c r="AO102" s="171">
        <f>SUMIF('CF(M)'!$L$11:$EQ$11,AO$6,'CF(M)'!$L107:$EQ107)</f>
        <v>0</v>
      </c>
      <c r="AP102" s="171">
        <f>SUMIF('CF(M)'!$L$11:$EQ$11,AP$6,'CF(M)'!$L107:$EQ107)</f>
        <v>0</v>
      </c>
      <c r="AQ102" s="171">
        <f>SUMIF('CF(M)'!$L$11:$EQ$11,AQ$6,'CF(M)'!$L107:$EQ107)</f>
        <v>0</v>
      </c>
      <c r="AR102" s="171">
        <f>SUMIF('CF(M)'!$L$11:$EQ$11,AR$6,'CF(M)'!$L107:$EQ107)</f>
        <v>0</v>
      </c>
      <c r="AS102" s="171">
        <f>SUMIF('CF(M)'!$L$11:$EQ$11,AS$6,'CF(M)'!$L107:$EQ107)</f>
        <v>0</v>
      </c>
      <c r="AT102" s="171">
        <f>SUMIF('CF(M)'!$L$11:$EQ$11,AT$6,'CF(M)'!$L107:$EQ107)</f>
        <v>0</v>
      </c>
      <c r="AU102" s="171">
        <f>SUMIF('CF(M)'!$L$11:$EQ$11,AU$6,'CF(M)'!$L107:$EQ107)</f>
        <v>0</v>
      </c>
      <c r="AV102" s="171">
        <f>SUMIF('CF(M)'!$L$11:$EQ$11,AV$6,'CF(M)'!$L107:$EQ107)</f>
        <v>0</v>
      </c>
      <c r="AW102" s="171">
        <f>SUMIF('CF(M)'!$L$11:$EQ$11,AW$6,'CF(M)'!$L107:$EQ107)</f>
        <v>0</v>
      </c>
      <c r="AX102" s="171">
        <f>SUMIF('CF(M)'!$L$11:$EQ$11,AX$6,'CF(M)'!$L107:$EQ107)</f>
        <v>0</v>
      </c>
      <c r="AY102" s="171">
        <f>SUMIF('CF(M)'!$L$11:$EQ$11,AY$6,'CF(M)'!$L107:$EQ107)</f>
        <v>0</v>
      </c>
      <c r="AZ102" s="171">
        <f>SUMIF('CF(M)'!$L$11:$EQ$11,AZ$6,'CF(M)'!$L107:$EQ107)</f>
        <v>0</v>
      </c>
      <c r="BA102" s="171">
        <f>SUMIF('CF(M)'!$L$11:$EQ$11,BA$6,'CF(M)'!$L107:$EQ107)</f>
        <v>0</v>
      </c>
      <c r="BB102" s="171">
        <f>SUMIF('CF(M)'!$L$11:$EQ$11,BB$6,'CF(M)'!$L107:$EQ107)</f>
        <v>0</v>
      </c>
      <c r="BC102" s="171">
        <f>SUMIF('CF(M)'!$L$11:$EQ$11,BC$6,'CF(M)'!$L107:$EQ107)</f>
        <v>0</v>
      </c>
      <c r="BD102" s="171">
        <f>SUMIF('CF(M)'!$L$11:$EQ$11,BD$6,'CF(M)'!$L107:$EQ107)</f>
        <v>0</v>
      </c>
      <c r="BE102" s="171">
        <f>SUMIF('CF(M)'!$L$11:$EQ$11,BE$6,'CF(M)'!$L107:$EQ107)</f>
        <v>0</v>
      </c>
      <c r="BF102" s="171">
        <f>SUMIF('CF(M)'!$L$11:$EQ$11,BF$6,'CF(M)'!$L107:$EQ107)</f>
        <v>0</v>
      </c>
      <c r="BG102" s="171">
        <f>SUMIF('CF(M)'!$L$11:$EQ$11,BG$6,'CF(M)'!$L107:$EQ107)</f>
        <v>0</v>
      </c>
      <c r="BH102" s="171">
        <f>SUMIF('CF(M)'!$L$11:$EQ$11,BH$6,'CF(M)'!$L107:$EQ107)</f>
        <v>0</v>
      </c>
      <c r="BI102" s="171">
        <f>SUMIF('CF(M)'!$L$11:$EQ$11,BI$6,'CF(M)'!$L107:$EQ107)</f>
        <v>0</v>
      </c>
      <c r="BJ102" s="171">
        <f>SUMIF('CF(M)'!$L$11:$EQ$11,BJ$6,'CF(M)'!$L107:$EQ107)</f>
        <v>0</v>
      </c>
      <c r="BK102" s="171">
        <f>SUMIF('CF(M)'!$L$11:$EQ$11,BK$6,'CF(M)'!$L107:$EQ107)</f>
        <v>0</v>
      </c>
      <c r="BL102" s="171">
        <f>SUMIF('CF(M)'!$L$11:$EQ$11,BL$6,'CF(M)'!$L107:$EQ107)</f>
        <v>0</v>
      </c>
      <c r="BM102" s="171">
        <f>SUMIF('CF(M)'!$L$11:$EQ$11,BM$6,'CF(M)'!$L107:$EQ107)</f>
        <v>0</v>
      </c>
      <c r="BN102" s="171">
        <f>SUMIF('CF(M)'!$L$11:$EQ$11,BN$6,'CF(M)'!$L107:$EQ107)</f>
        <v>0</v>
      </c>
      <c r="BO102" s="171">
        <f>SUMIF('CF(M)'!$L$11:$EQ$11,BO$6,'CF(M)'!$L107:$EQ107)</f>
        <v>0</v>
      </c>
      <c r="BP102" s="171">
        <f>SUMIF('CF(M)'!$L$11:$EQ$11,BP$6,'CF(M)'!$L107:$EQ107)</f>
        <v>0</v>
      </c>
      <c r="BQ102" s="171">
        <f>SUMIF('CF(M)'!$L$11:$EQ$11,BQ$6,'CF(M)'!$L107:$EQ107)</f>
        <v>0</v>
      </c>
      <c r="BR102" s="171">
        <f>SUMIF('CF(M)'!$L$11:$EQ$11,BR$6,'CF(M)'!$L107:$EQ107)</f>
        <v>0</v>
      </c>
      <c r="BS102" s="171">
        <f>SUMIF('CF(M)'!$L$11:$EQ$11,BS$6,'CF(M)'!$L107:$EQ107)</f>
        <v>0</v>
      </c>
      <c r="BT102" s="171">
        <f>SUMIF('CF(M)'!$L$11:$EQ$11,BT$6,'CF(M)'!$L107:$EQ107)</f>
        <v>0</v>
      </c>
      <c r="BU102" s="171">
        <f>SUMIF('CF(M)'!$L$11:$EQ$11,BU$6,'CF(M)'!$L107:$EQ107)</f>
        <v>0</v>
      </c>
      <c r="BV102" s="171">
        <f>SUMIF('CF(M)'!$L$11:$EQ$11,BV$6,'CF(M)'!$L107:$EQ107)</f>
        <v>0</v>
      </c>
      <c r="BW102" s="171">
        <f>SUMIF('CF(M)'!$L$11:$EQ$11,BW$6,'CF(M)'!$L107:$EQ107)</f>
        <v>0</v>
      </c>
      <c r="BX102" s="171">
        <f>SUMIF('CF(M)'!$L$11:$EQ$11,BX$6,'CF(M)'!$L107:$EQ107)</f>
        <v>0</v>
      </c>
      <c r="BY102" s="171">
        <f>SUMIF('CF(M)'!$L$11:$EQ$11,BY$6,'CF(M)'!$L107:$EQ107)</f>
        <v>0</v>
      </c>
      <c r="BZ102" s="171">
        <f>SUMIF('CF(M)'!$L$11:$EQ$11,BZ$6,'CF(M)'!$L107:$EQ107)</f>
        <v>0</v>
      </c>
      <c r="CA102" s="171">
        <f>SUMIF('CF(M)'!$L$11:$EQ$11,CA$6,'CF(M)'!$L107:$EQ107)</f>
        <v>0</v>
      </c>
      <c r="CB102" s="171">
        <f>SUMIF('CF(M)'!$L$11:$EQ$11,CB$6,'CF(M)'!$L107:$EQ107)</f>
        <v>0</v>
      </c>
      <c r="CC102" s="171">
        <f>SUMIF('CF(M)'!$L$11:$EQ$11,CC$6,'CF(M)'!$L107:$EQ107)</f>
        <v>0</v>
      </c>
      <c r="CD102" s="171">
        <f>SUMIF('CF(M)'!$L$11:$EQ$11,CD$6,'CF(M)'!$L107:$EQ107)</f>
        <v>0</v>
      </c>
      <c r="CE102" s="171">
        <f>SUMIF('CF(M)'!$L$11:$EQ$11,CE$6,'CF(M)'!$L107:$EQ107)</f>
        <v>0</v>
      </c>
      <c r="CF102" s="171">
        <f>SUMIF('CF(M)'!$L$11:$EQ$11,CF$6,'CF(M)'!$L107:$EQ107)</f>
        <v>0</v>
      </c>
      <c r="CG102" s="171">
        <f>SUMIF('CF(M)'!$L$11:$EQ$11,CG$6,'CF(M)'!$L107:$EQ107)</f>
        <v>0</v>
      </c>
      <c r="CH102" s="171">
        <f>SUMIF('CF(M)'!$L$11:$EQ$11,CH$6,'CF(M)'!$L107:$EQ107)</f>
        <v>0</v>
      </c>
      <c r="CI102" s="171">
        <f>SUMIF('CF(M)'!$L$11:$EQ$11,CI$6,'CF(M)'!$L107:$EQ107)</f>
        <v>0</v>
      </c>
      <c r="CJ102" s="171">
        <f>SUMIF('CF(M)'!$L$11:$EQ$11,CJ$6,'CF(M)'!$L107:$EQ107)</f>
        <v>0</v>
      </c>
      <c r="CK102" s="171">
        <f>SUMIF('CF(M)'!$L$11:$EQ$11,CK$6,'CF(M)'!$L107:$EQ107)</f>
        <v>0</v>
      </c>
      <c r="CL102" s="171">
        <f>SUMIF('CF(M)'!$L$11:$EQ$11,CL$6,'CF(M)'!$L107:$EQ107)</f>
        <v>0</v>
      </c>
      <c r="CM102" s="171">
        <f>SUMIF('CF(M)'!$L$11:$EQ$11,CM$6,'CF(M)'!$L107:$EQ107)</f>
        <v>0</v>
      </c>
      <c r="CN102" s="171">
        <f>SUMIF('CF(M)'!$L$11:$EQ$11,CN$6,'CF(M)'!$L107:$EQ107)</f>
        <v>0</v>
      </c>
      <c r="CO102" s="171">
        <f>SUMIF('CF(M)'!$L$11:$EQ$11,CO$6,'CF(M)'!$L107:$EQ107)</f>
        <v>0</v>
      </c>
      <c r="CP102" s="171">
        <f>SUMIF('CF(M)'!$L$11:$EQ$11,CP$6,'CF(M)'!$L107:$EQ107)</f>
        <v>0</v>
      </c>
      <c r="CQ102" s="171">
        <f>SUMIF('CF(M)'!$L$11:$EQ$11,CQ$6,'CF(M)'!$L107:$EQ107)</f>
        <v>0</v>
      </c>
      <c r="CR102" s="171">
        <f>SUMIF('CF(M)'!$L$11:$EQ$11,CR$6,'CF(M)'!$L107:$EQ107)</f>
        <v>0</v>
      </c>
      <c r="CS102" s="171">
        <f>SUMIF('CF(M)'!$L$11:$EQ$11,CS$6,'CF(M)'!$L107:$EQ107)</f>
        <v>0</v>
      </c>
      <c r="CT102" s="171">
        <f>SUMIF('CF(M)'!$L$11:$EQ$11,CT$6,'CF(M)'!$L107:$EQ107)</f>
        <v>0</v>
      </c>
      <c r="CU102" s="171">
        <f>SUMIF('CF(M)'!$L$11:$EQ$11,CU$6,'CF(M)'!$L107:$EQ107)</f>
        <v>0</v>
      </c>
      <c r="CV102" s="171">
        <f>SUMIF('CF(M)'!$L$11:$EQ$11,CV$6,'CF(M)'!$L107:$EQ107)</f>
        <v>0</v>
      </c>
      <c r="CW102" s="171">
        <f>SUMIF('CF(M)'!$L$11:$EQ$11,CW$6,'CF(M)'!$L107:$EQ107)</f>
        <v>0</v>
      </c>
      <c r="CX102" s="171">
        <f>SUMIF('CF(M)'!$L$11:$EQ$11,CX$6,'CF(M)'!$L107:$EQ107)</f>
        <v>0</v>
      </c>
      <c r="CY102" s="171">
        <f>SUMIF('CF(M)'!$L$11:$EQ$11,CY$6,'CF(M)'!$L107:$EQ107)</f>
        <v>0</v>
      </c>
      <c r="CZ102" s="171">
        <f>SUMIF('CF(M)'!$L$11:$EQ$11,CZ$6,'CF(M)'!$L107:$EQ107)</f>
        <v>0</v>
      </c>
      <c r="DA102" s="171">
        <f>SUMIF('CF(M)'!$L$11:$EQ$11,DA$6,'CF(M)'!$L107:$EQ107)</f>
        <v>0</v>
      </c>
      <c r="DB102" s="171">
        <f>SUMIF('CF(M)'!$L$11:$EQ$11,DB$6,'CF(M)'!$L107:$EQ107)</f>
        <v>0</v>
      </c>
      <c r="DC102" s="171">
        <f>SUMIF('CF(M)'!$L$11:$EQ$11,DC$6,'CF(M)'!$L107:$EQ107)</f>
        <v>0</v>
      </c>
      <c r="DD102" s="171">
        <f>SUMIF('CF(M)'!$L$11:$EQ$11,DD$6,'CF(M)'!$L107:$EQ107)</f>
        <v>0</v>
      </c>
      <c r="DE102" s="171">
        <f>SUMIF('CF(M)'!$L$11:$EQ$11,DE$6,'CF(M)'!$L107:$EQ107)</f>
        <v>0</v>
      </c>
      <c r="DF102" s="171">
        <f>SUMIF('CF(M)'!$L$11:$EQ$11,DF$6,'CF(M)'!$L107:$EQ107)</f>
        <v>0</v>
      </c>
      <c r="DG102" s="171">
        <f>SUMIF('CF(M)'!$L$11:$EQ$11,DG$6,'CF(M)'!$L107:$EQ107)</f>
        <v>0</v>
      </c>
      <c r="DH102" s="171">
        <f>SUMIF('CF(M)'!$L$11:$EQ$11,DH$6,'CF(M)'!$L107:$EQ107)</f>
        <v>0</v>
      </c>
      <c r="DI102" s="171">
        <f>SUMIF('CF(M)'!$L$11:$EQ$11,DI$6,'CF(M)'!$L107:$EQ107)</f>
        <v>0</v>
      </c>
      <c r="DJ102" s="171">
        <f>SUMIF('CF(M)'!$L$11:$EQ$11,DJ$6,'CF(M)'!$L107:$EQ107)</f>
        <v>0</v>
      </c>
      <c r="DK102" s="171">
        <f>SUMIF('CF(M)'!$L$11:$EQ$11,DK$6,'CF(M)'!$L107:$EQ107)</f>
        <v>0</v>
      </c>
      <c r="DL102" s="171">
        <f>SUMIF('CF(M)'!$L$11:$EQ$11,DL$6,'CF(M)'!$L107:$EQ107)</f>
        <v>0</v>
      </c>
      <c r="DM102" s="171">
        <f>SUMIF('CF(M)'!$L$11:$EQ$11,DM$6,'CF(M)'!$L107:$EQ107)</f>
        <v>0</v>
      </c>
      <c r="DN102" s="171">
        <f>SUMIF('CF(M)'!$L$11:$EQ$11,DN$6,'CF(M)'!$L107:$EQ107)</f>
        <v>0</v>
      </c>
      <c r="DO102" s="171">
        <f>SUMIF('CF(M)'!$L$11:$EQ$11,DO$6,'CF(M)'!$L107:$EQ107)</f>
        <v>0</v>
      </c>
      <c r="DP102" s="171">
        <f>SUMIF('CF(M)'!$L$11:$EQ$11,DP$6,'CF(M)'!$L107:$EQ107)</f>
        <v>0</v>
      </c>
      <c r="DQ102" s="171">
        <f>SUMIF('CF(M)'!$L$11:$EQ$11,DQ$6,'CF(M)'!$L107:$EQ107)</f>
        <v>0</v>
      </c>
      <c r="DR102" s="171">
        <f>SUMIF('CF(M)'!$L$11:$EQ$11,DR$6,'CF(M)'!$L107:$EQ107)</f>
        <v>0</v>
      </c>
      <c r="DS102" s="171">
        <f>SUMIF('CF(M)'!$L$11:$EQ$11,DS$6,'CF(M)'!$L107:$EQ107)</f>
        <v>0</v>
      </c>
      <c r="DT102" s="171">
        <f>SUMIF('CF(M)'!$L$11:$EQ$11,DT$6,'CF(M)'!$L107:$EQ107)</f>
        <v>0</v>
      </c>
      <c r="DU102" s="171">
        <f>SUMIF('CF(M)'!$L$11:$EQ$11,DU$6,'CF(M)'!$L107:$EQ107)</f>
        <v>0</v>
      </c>
      <c r="DV102" s="171">
        <f>SUMIF('CF(M)'!$L$11:$EQ$11,DV$6,'CF(M)'!$L107:$EQ107)</f>
        <v>0</v>
      </c>
    </row>
    <row r="103" spans="2:126" ht="11.25" customHeight="1">
      <c r="B103" s="218"/>
      <c r="C103" s="163"/>
      <c r="D103" s="169" t="s">
        <v>261</v>
      </c>
      <c r="H103" s="146"/>
      <c r="I103" s="229"/>
      <c r="J103" s="171">
        <f>SUM(L103:DV103)</f>
        <v>0</v>
      </c>
      <c r="K103" s="98"/>
      <c r="L103" s="171">
        <f>SUMIF('CF(M)'!$L$11:$EQ$11,L$6,'CF(M)'!$L108:$EQ108)</f>
        <v>0</v>
      </c>
      <c r="M103" s="171">
        <f>SUMIF('CF(M)'!$L$11:$EQ$11,M$6,'CF(M)'!$L108:$EQ108)</f>
        <v>0</v>
      </c>
      <c r="N103" s="171">
        <f>SUMIF('CF(M)'!$L$11:$EQ$11,N$6,'CF(M)'!$L108:$EQ108)</f>
        <v>0</v>
      </c>
      <c r="O103" s="171">
        <f>SUMIF('CF(M)'!$L$11:$EQ$11,O$6,'CF(M)'!$L108:$EQ108)</f>
        <v>0</v>
      </c>
      <c r="P103" s="171">
        <f>SUMIF('CF(M)'!$L$11:$EQ$11,P$6,'CF(M)'!$L108:$EQ108)</f>
        <v>0</v>
      </c>
      <c r="Q103" s="171">
        <f>SUMIF('CF(M)'!$L$11:$EQ$11,Q$6,'CF(M)'!$L108:$EQ108)</f>
        <v>0</v>
      </c>
      <c r="R103" s="171">
        <f>SUMIF('CF(M)'!$L$11:$EQ$11,R$6,'CF(M)'!$L108:$EQ108)</f>
        <v>0</v>
      </c>
      <c r="S103" s="171">
        <f>SUMIF('CF(M)'!$L$11:$EQ$11,S$6,'CF(M)'!$L108:$EQ108)</f>
        <v>0</v>
      </c>
      <c r="T103" s="171">
        <f>SUMIF('CF(M)'!$L$11:$EQ$11,T$6,'CF(M)'!$L108:$EQ108)</f>
        <v>0</v>
      </c>
      <c r="U103" s="171">
        <f>SUMIF('CF(M)'!$L$11:$EQ$11,U$6,'CF(M)'!$L108:$EQ108)</f>
        <v>0</v>
      </c>
      <c r="V103" s="171">
        <f>SUMIF('CF(M)'!$L$11:$EQ$11,V$6,'CF(M)'!$L108:$EQ108)</f>
        <v>0</v>
      </c>
      <c r="W103" s="171">
        <f>SUMIF('CF(M)'!$L$11:$EQ$11,W$6,'CF(M)'!$L108:$EQ108)</f>
        <v>0</v>
      </c>
      <c r="X103" s="171">
        <f>SUMIF('CF(M)'!$L$11:$EQ$11,X$6,'CF(M)'!$L108:$EQ108)</f>
        <v>0</v>
      </c>
      <c r="Y103" s="171">
        <f>SUMIF('CF(M)'!$L$11:$EQ$11,Y$6,'CF(M)'!$L108:$EQ108)</f>
        <v>0</v>
      </c>
      <c r="Z103" s="171">
        <f>SUMIF('CF(M)'!$L$11:$EQ$11,Z$6,'CF(M)'!$L108:$EQ108)</f>
        <v>0</v>
      </c>
      <c r="AA103" s="171">
        <f>SUMIF('CF(M)'!$L$11:$EQ$11,AA$6,'CF(M)'!$L108:$EQ108)</f>
        <v>0</v>
      </c>
      <c r="AB103" s="171">
        <f>SUMIF('CF(M)'!$L$11:$EQ$11,AB$6,'CF(M)'!$L108:$EQ108)</f>
        <v>0</v>
      </c>
      <c r="AC103" s="171">
        <f>SUMIF('CF(M)'!$L$11:$EQ$11,AC$6,'CF(M)'!$L108:$EQ108)</f>
        <v>0</v>
      </c>
      <c r="AD103" s="171">
        <f>SUMIF('CF(M)'!$L$11:$EQ$11,AD$6,'CF(M)'!$L108:$EQ108)</f>
        <v>0</v>
      </c>
      <c r="AE103" s="171">
        <f>SUMIF('CF(M)'!$L$11:$EQ$11,AE$6,'CF(M)'!$L108:$EQ108)</f>
        <v>0</v>
      </c>
      <c r="AF103" s="171">
        <f>SUMIF('CF(M)'!$L$11:$EQ$11,AF$6,'CF(M)'!$L108:$EQ108)</f>
        <v>0</v>
      </c>
      <c r="AG103" s="171">
        <f>SUMIF('CF(M)'!$L$11:$EQ$11,AG$6,'CF(M)'!$L108:$EQ108)</f>
        <v>0</v>
      </c>
      <c r="AH103" s="171">
        <f>SUMIF('CF(M)'!$L$11:$EQ$11,AH$6,'CF(M)'!$L108:$EQ108)</f>
        <v>0</v>
      </c>
      <c r="AI103" s="171">
        <f>SUMIF('CF(M)'!$L$11:$EQ$11,AI$6,'CF(M)'!$L108:$EQ108)</f>
        <v>0</v>
      </c>
      <c r="AJ103" s="171">
        <f>SUMIF('CF(M)'!$L$11:$EQ$11,AJ$6,'CF(M)'!$L108:$EQ108)</f>
        <v>0</v>
      </c>
      <c r="AK103" s="171">
        <f>SUMIF('CF(M)'!$L$11:$EQ$11,AK$6,'CF(M)'!$L108:$EQ108)</f>
        <v>0</v>
      </c>
      <c r="AL103" s="171">
        <f>SUMIF('CF(M)'!$L$11:$EQ$11,AL$6,'CF(M)'!$L108:$EQ108)</f>
        <v>0</v>
      </c>
      <c r="AM103" s="171">
        <f>SUMIF('CF(M)'!$L$11:$EQ$11,AM$6,'CF(M)'!$L108:$EQ108)</f>
        <v>0</v>
      </c>
      <c r="AN103" s="171">
        <f>SUMIF('CF(M)'!$L$11:$EQ$11,AN$6,'CF(M)'!$L108:$EQ108)</f>
        <v>0</v>
      </c>
      <c r="AO103" s="171">
        <f>SUMIF('CF(M)'!$L$11:$EQ$11,AO$6,'CF(M)'!$L108:$EQ108)</f>
        <v>0</v>
      </c>
      <c r="AP103" s="171">
        <f>SUMIF('CF(M)'!$L$11:$EQ$11,AP$6,'CF(M)'!$L108:$EQ108)</f>
        <v>0</v>
      </c>
      <c r="AQ103" s="171">
        <f>SUMIF('CF(M)'!$L$11:$EQ$11,AQ$6,'CF(M)'!$L108:$EQ108)</f>
        <v>0</v>
      </c>
      <c r="AR103" s="171">
        <f>SUMIF('CF(M)'!$L$11:$EQ$11,AR$6,'CF(M)'!$L108:$EQ108)</f>
        <v>0</v>
      </c>
      <c r="AS103" s="171">
        <f>SUMIF('CF(M)'!$L$11:$EQ$11,AS$6,'CF(M)'!$L108:$EQ108)</f>
        <v>0</v>
      </c>
      <c r="AT103" s="171">
        <f>SUMIF('CF(M)'!$L$11:$EQ$11,AT$6,'CF(M)'!$L108:$EQ108)</f>
        <v>0</v>
      </c>
      <c r="AU103" s="171">
        <f>SUMIF('CF(M)'!$L$11:$EQ$11,AU$6,'CF(M)'!$L108:$EQ108)</f>
        <v>0</v>
      </c>
      <c r="AV103" s="171">
        <f>SUMIF('CF(M)'!$L$11:$EQ$11,AV$6,'CF(M)'!$L108:$EQ108)</f>
        <v>0</v>
      </c>
      <c r="AW103" s="171">
        <f>SUMIF('CF(M)'!$L$11:$EQ$11,AW$6,'CF(M)'!$L108:$EQ108)</f>
        <v>0</v>
      </c>
      <c r="AX103" s="171">
        <f>SUMIF('CF(M)'!$L$11:$EQ$11,AX$6,'CF(M)'!$L108:$EQ108)</f>
        <v>0</v>
      </c>
      <c r="AY103" s="171">
        <f>SUMIF('CF(M)'!$L$11:$EQ$11,AY$6,'CF(M)'!$L108:$EQ108)</f>
        <v>0</v>
      </c>
      <c r="AZ103" s="171">
        <f>SUMIF('CF(M)'!$L$11:$EQ$11,AZ$6,'CF(M)'!$L108:$EQ108)</f>
        <v>0</v>
      </c>
      <c r="BA103" s="171">
        <f>SUMIF('CF(M)'!$L$11:$EQ$11,BA$6,'CF(M)'!$L108:$EQ108)</f>
        <v>0</v>
      </c>
      <c r="BB103" s="171">
        <f>SUMIF('CF(M)'!$L$11:$EQ$11,BB$6,'CF(M)'!$L108:$EQ108)</f>
        <v>0</v>
      </c>
      <c r="BC103" s="171">
        <f>SUMIF('CF(M)'!$L$11:$EQ$11,BC$6,'CF(M)'!$L108:$EQ108)</f>
        <v>0</v>
      </c>
      <c r="BD103" s="171">
        <f>SUMIF('CF(M)'!$L$11:$EQ$11,BD$6,'CF(M)'!$L108:$EQ108)</f>
        <v>0</v>
      </c>
      <c r="BE103" s="171">
        <f>SUMIF('CF(M)'!$L$11:$EQ$11,BE$6,'CF(M)'!$L108:$EQ108)</f>
        <v>0</v>
      </c>
      <c r="BF103" s="171">
        <f>SUMIF('CF(M)'!$L$11:$EQ$11,BF$6,'CF(M)'!$L108:$EQ108)</f>
        <v>0</v>
      </c>
      <c r="BG103" s="171">
        <f>SUMIF('CF(M)'!$L$11:$EQ$11,BG$6,'CF(M)'!$L108:$EQ108)</f>
        <v>0</v>
      </c>
      <c r="BH103" s="171">
        <f>SUMIF('CF(M)'!$L$11:$EQ$11,BH$6,'CF(M)'!$L108:$EQ108)</f>
        <v>0</v>
      </c>
      <c r="BI103" s="171">
        <f>SUMIF('CF(M)'!$L$11:$EQ$11,BI$6,'CF(M)'!$L108:$EQ108)</f>
        <v>0</v>
      </c>
      <c r="BJ103" s="171">
        <f>SUMIF('CF(M)'!$L$11:$EQ$11,BJ$6,'CF(M)'!$L108:$EQ108)</f>
        <v>0</v>
      </c>
      <c r="BK103" s="171">
        <f>SUMIF('CF(M)'!$L$11:$EQ$11,BK$6,'CF(M)'!$L108:$EQ108)</f>
        <v>0</v>
      </c>
      <c r="BL103" s="171">
        <f>SUMIF('CF(M)'!$L$11:$EQ$11,BL$6,'CF(M)'!$L108:$EQ108)</f>
        <v>0</v>
      </c>
      <c r="BM103" s="171">
        <f>SUMIF('CF(M)'!$L$11:$EQ$11,BM$6,'CF(M)'!$L108:$EQ108)</f>
        <v>0</v>
      </c>
      <c r="BN103" s="171">
        <f>SUMIF('CF(M)'!$L$11:$EQ$11,BN$6,'CF(M)'!$L108:$EQ108)</f>
        <v>0</v>
      </c>
      <c r="BO103" s="171">
        <f>SUMIF('CF(M)'!$L$11:$EQ$11,BO$6,'CF(M)'!$L108:$EQ108)</f>
        <v>0</v>
      </c>
      <c r="BP103" s="171">
        <f>SUMIF('CF(M)'!$L$11:$EQ$11,BP$6,'CF(M)'!$L108:$EQ108)</f>
        <v>0</v>
      </c>
      <c r="BQ103" s="171">
        <f>SUMIF('CF(M)'!$L$11:$EQ$11,BQ$6,'CF(M)'!$L108:$EQ108)</f>
        <v>0</v>
      </c>
      <c r="BR103" s="171">
        <f>SUMIF('CF(M)'!$L$11:$EQ$11,BR$6,'CF(M)'!$L108:$EQ108)</f>
        <v>0</v>
      </c>
      <c r="BS103" s="171">
        <f>SUMIF('CF(M)'!$L$11:$EQ$11,BS$6,'CF(M)'!$L108:$EQ108)</f>
        <v>0</v>
      </c>
      <c r="BT103" s="171">
        <f>SUMIF('CF(M)'!$L$11:$EQ$11,BT$6,'CF(M)'!$L108:$EQ108)</f>
        <v>0</v>
      </c>
      <c r="BU103" s="171">
        <f>SUMIF('CF(M)'!$L$11:$EQ$11,BU$6,'CF(M)'!$L108:$EQ108)</f>
        <v>0</v>
      </c>
      <c r="BV103" s="171">
        <f>SUMIF('CF(M)'!$L$11:$EQ$11,BV$6,'CF(M)'!$L108:$EQ108)</f>
        <v>0</v>
      </c>
      <c r="BW103" s="171">
        <f>SUMIF('CF(M)'!$L$11:$EQ$11,BW$6,'CF(M)'!$L108:$EQ108)</f>
        <v>0</v>
      </c>
      <c r="BX103" s="171">
        <f>SUMIF('CF(M)'!$L$11:$EQ$11,BX$6,'CF(M)'!$L108:$EQ108)</f>
        <v>0</v>
      </c>
      <c r="BY103" s="171">
        <f>SUMIF('CF(M)'!$L$11:$EQ$11,BY$6,'CF(M)'!$L108:$EQ108)</f>
        <v>0</v>
      </c>
      <c r="BZ103" s="171">
        <f>SUMIF('CF(M)'!$L$11:$EQ$11,BZ$6,'CF(M)'!$L108:$EQ108)</f>
        <v>0</v>
      </c>
      <c r="CA103" s="171">
        <f>SUMIF('CF(M)'!$L$11:$EQ$11,CA$6,'CF(M)'!$L108:$EQ108)</f>
        <v>0</v>
      </c>
      <c r="CB103" s="171">
        <f>SUMIF('CF(M)'!$L$11:$EQ$11,CB$6,'CF(M)'!$L108:$EQ108)</f>
        <v>0</v>
      </c>
      <c r="CC103" s="171">
        <f>SUMIF('CF(M)'!$L$11:$EQ$11,CC$6,'CF(M)'!$L108:$EQ108)</f>
        <v>0</v>
      </c>
      <c r="CD103" s="171">
        <f>SUMIF('CF(M)'!$L$11:$EQ$11,CD$6,'CF(M)'!$L108:$EQ108)</f>
        <v>0</v>
      </c>
      <c r="CE103" s="171">
        <f>SUMIF('CF(M)'!$L$11:$EQ$11,CE$6,'CF(M)'!$L108:$EQ108)</f>
        <v>0</v>
      </c>
      <c r="CF103" s="171">
        <f>SUMIF('CF(M)'!$L$11:$EQ$11,CF$6,'CF(M)'!$L108:$EQ108)</f>
        <v>0</v>
      </c>
      <c r="CG103" s="171">
        <f>SUMIF('CF(M)'!$L$11:$EQ$11,CG$6,'CF(M)'!$L108:$EQ108)</f>
        <v>0</v>
      </c>
      <c r="CH103" s="171">
        <f>SUMIF('CF(M)'!$L$11:$EQ$11,CH$6,'CF(M)'!$L108:$EQ108)</f>
        <v>0</v>
      </c>
      <c r="CI103" s="171">
        <f>SUMIF('CF(M)'!$L$11:$EQ$11,CI$6,'CF(M)'!$L108:$EQ108)</f>
        <v>0</v>
      </c>
      <c r="CJ103" s="171">
        <f>SUMIF('CF(M)'!$L$11:$EQ$11,CJ$6,'CF(M)'!$L108:$EQ108)</f>
        <v>0</v>
      </c>
      <c r="CK103" s="171">
        <f>SUMIF('CF(M)'!$L$11:$EQ$11,CK$6,'CF(M)'!$L108:$EQ108)</f>
        <v>0</v>
      </c>
      <c r="CL103" s="171">
        <f>SUMIF('CF(M)'!$L$11:$EQ$11,CL$6,'CF(M)'!$L108:$EQ108)</f>
        <v>0</v>
      </c>
      <c r="CM103" s="171">
        <f>SUMIF('CF(M)'!$L$11:$EQ$11,CM$6,'CF(M)'!$L108:$EQ108)</f>
        <v>0</v>
      </c>
      <c r="CN103" s="171">
        <f>SUMIF('CF(M)'!$L$11:$EQ$11,CN$6,'CF(M)'!$L108:$EQ108)</f>
        <v>0</v>
      </c>
      <c r="CO103" s="171">
        <f>SUMIF('CF(M)'!$L$11:$EQ$11,CO$6,'CF(M)'!$L108:$EQ108)</f>
        <v>0</v>
      </c>
      <c r="CP103" s="171">
        <f>SUMIF('CF(M)'!$L$11:$EQ$11,CP$6,'CF(M)'!$L108:$EQ108)</f>
        <v>0</v>
      </c>
      <c r="CQ103" s="171">
        <f>SUMIF('CF(M)'!$L$11:$EQ$11,CQ$6,'CF(M)'!$L108:$EQ108)</f>
        <v>0</v>
      </c>
      <c r="CR103" s="171">
        <f>SUMIF('CF(M)'!$L$11:$EQ$11,CR$6,'CF(M)'!$L108:$EQ108)</f>
        <v>0</v>
      </c>
      <c r="CS103" s="171">
        <f>SUMIF('CF(M)'!$L$11:$EQ$11,CS$6,'CF(M)'!$L108:$EQ108)</f>
        <v>0</v>
      </c>
      <c r="CT103" s="171">
        <f>SUMIF('CF(M)'!$L$11:$EQ$11,CT$6,'CF(M)'!$L108:$EQ108)</f>
        <v>0</v>
      </c>
      <c r="CU103" s="171">
        <f>SUMIF('CF(M)'!$L$11:$EQ$11,CU$6,'CF(M)'!$L108:$EQ108)</f>
        <v>0</v>
      </c>
      <c r="CV103" s="171">
        <f>SUMIF('CF(M)'!$L$11:$EQ$11,CV$6,'CF(M)'!$L108:$EQ108)</f>
        <v>0</v>
      </c>
      <c r="CW103" s="171">
        <f>SUMIF('CF(M)'!$L$11:$EQ$11,CW$6,'CF(M)'!$L108:$EQ108)</f>
        <v>0</v>
      </c>
      <c r="CX103" s="171">
        <f>SUMIF('CF(M)'!$L$11:$EQ$11,CX$6,'CF(M)'!$L108:$EQ108)</f>
        <v>0</v>
      </c>
      <c r="CY103" s="171">
        <f>SUMIF('CF(M)'!$L$11:$EQ$11,CY$6,'CF(M)'!$L108:$EQ108)</f>
        <v>0</v>
      </c>
      <c r="CZ103" s="171">
        <f>SUMIF('CF(M)'!$L$11:$EQ$11,CZ$6,'CF(M)'!$L108:$EQ108)</f>
        <v>0</v>
      </c>
      <c r="DA103" s="171">
        <f>SUMIF('CF(M)'!$L$11:$EQ$11,DA$6,'CF(M)'!$L108:$EQ108)</f>
        <v>0</v>
      </c>
      <c r="DB103" s="171">
        <f>SUMIF('CF(M)'!$L$11:$EQ$11,DB$6,'CF(M)'!$L108:$EQ108)</f>
        <v>0</v>
      </c>
      <c r="DC103" s="171">
        <f>SUMIF('CF(M)'!$L$11:$EQ$11,DC$6,'CF(M)'!$L108:$EQ108)</f>
        <v>0</v>
      </c>
      <c r="DD103" s="171">
        <f>SUMIF('CF(M)'!$L$11:$EQ$11,DD$6,'CF(M)'!$L108:$EQ108)</f>
        <v>0</v>
      </c>
      <c r="DE103" s="171">
        <f>SUMIF('CF(M)'!$L$11:$EQ$11,DE$6,'CF(M)'!$L108:$EQ108)</f>
        <v>0</v>
      </c>
      <c r="DF103" s="171">
        <f>SUMIF('CF(M)'!$L$11:$EQ$11,DF$6,'CF(M)'!$L108:$EQ108)</f>
        <v>0</v>
      </c>
      <c r="DG103" s="171">
        <f>SUMIF('CF(M)'!$L$11:$EQ$11,DG$6,'CF(M)'!$L108:$EQ108)</f>
        <v>0</v>
      </c>
      <c r="DH103" s="171">
        <f>SUMIF('CF(M)'!$L$11:$EQ$11,DH$6,'CF(M)'!$L108:$EQ108)</f>
        <v>0</v>
      </c>
      <c r="DI103" s="171">
        <f>SUMIF('CF(M)'!$L$11:$EQ$11,DI$6,'CF(M)'!$L108:$EQ108)</f>
        <v>0</v>
      </c>
      <c r="DJ103" s="171">
        <f>SUMIF('CF(M)'!$L$11:$EQ$11,DJ$6,'CF(M)'!$L108:$EQ108)</f>
        <v>0</v>
      </c>
      <c r="DK103" s="171">
        <f>SUMIF('CF(M)'!$L$11:$EQ$11,DK$6,'CF(M)'!$L108:$EQ108)</f>
        <v>0</v>
      </c>
      <c r="DL103" s="171">
        <f>SUMIF('CF(M)'!$L$11:$EQ$11,DL$6,'CF(M)'!$L108:$EQ108)</f>
        <v>0</v>
      </c>
      <c r="DM103" s="171">
        <f>SUMIF('CF(M)'!$L$11:$EQ$11,DM$6,'CF(M)'!$L108:$EQ108)</f>
        <v>0</v>
      </c>
      <c r="DN103" s="171">
        <f>SUMIF('CF(M)'!$L$11:$EQ$11,DN$6,'CF(M)'!$L108:$EQ108)</f>
        <v>0</v>
      </c>
      <c r="DO103" s="171">
        <f>SUMIF('CF(M)'!$L$11:$EQ$11,DO$6,'CF(M)'!$L108:$EQ108)</f>
        <v>0</v>
      </c>
      <c r="DP103" s="171">
        <f>SUMIF('CF(M)'!$L$11:$EQ$11,DP$6,'CF(M)'!$L108:$EQ108)</f>
        <v>0</v>
      </c>
      <c r="DQ103" s="171">
        <f>SUMIF('CF(M)'!$L$11:$EQ$11,DQ$6,'CF(M)'!$L108:$EQ108)</f>
        <v>0</v>
      </c>
      <c r="DR103" s="171">
        <f>SUMIF('CF(M)'!$L$11:$EQ$11,DR$6,'CF(M)'!$L108:$EQ108)</f>
        <v>0</v>
      </c>
      <c r="DS103" s="171">
        <f>SUMIF('CF(M)'!$L$11:$EQ$11,DS$6,'CF(M)'!$L108:$EQ108)</f>
        <v>0</v>
      </c>
      <c r="DT103" s="171">
        <f>SUMIF('CF(M)'!$L$11:$EQ$11,DT$6,'CF(M)'!$L108:$EQ108)</f>
        <v>0</v>
      </c>
      <c r="DU103" s="171">
        <f>SUMIF('CF(M)'!$L$11:$EQ$11,DU$6,'CF(M)'!$L108:$EQ108)</f>
        <v>0</v>
      </c>
      <c r="DV103" s="171">
        <f>SUMIF('CF(M)'!$L$11:$EQ$11,DV$6,'CF(M)'!$L108:$EQ108)</f>
        <v>0</v>
      </c>
    </row>
    <row r="104" spans="2:126" ht="11.25" customHeight="1">
      <c r="B104" s="218"/>
      <c r="C104" s="163"/>
      <c r="D104" s="169" t="s">
        <v>469</v>
      </c>
      <c r="G104" s="65"/>
      <c r="H104" s="146"/>
      <c r="I104" s="229"/>
      <c r="J104" s="171">
        <f>SUM(L104:DV104)</f>
        <v>0</v>
      </c>
      <c r="K104" s="98"/>
      <c r="L104" s="171">
        <f>SUMIF('CF(M)'!$L$11:$EQ$11,L$6,'CF(M)'!$L109:$EQ109)</f>
        <v>0</v>
      </c>
      <c r="M104" s="171">
        <f>SUMIF('CF(M)'!$L$11:$EQ$11,M$6,'CF(M)'!$L109:$EQ109)</f>
        <v>0</v>
      </c>
      <c r="N104" s="171">
        <f>SUMIF('CF(M)'!$L$11:$EQ$11,N$6,'CF(M)'!$L109:$EQ109)</f>
        <v>0</v>
      </c>
      <c r="O104" s="171">
        <f>SUMIF('CF(M)'!$L$11:$EQ$11,O$6,'CF(M)'!$L109:$EQ109)</f>
        <v>0</v>
      </c>
      <c r="P104" s="171">
        <f>SUMIF('CF(M)'!$L$11:$EQ$11,P$6,'CF(M)'!$L109:$EQ109)</f>
        <v>0</v>
      </c>
      <c r="Q104" s="171">
        <f>SUMIF('CF(M)'!$L$11:$EQ$11,Q$6,'CF(M)'!$L109:$EQ109)</f>
        <v>0</v>
      </c>
      <c r="R104" s="171">
        <f>SUMIF('CF(M)'!$L$11:$EQ$11,R$6,'CF(M)'!$L109:$EQ109)</f>
        <v>0</v>
      </c>
      <c r="S104" s="171">
        <f>SUMIF('CF(M)'!$L$11:$EQ$11,S$6,'CF(M)'!$L109:$EQ109)</f>
        <v>0</v>
      </c>
      <c r="T104" s="171">
        <f>SUMIF('CF(M)'!$L$11:$EQ$11,T$6,'CF(M)'!$L109:$EQ109)</f>
        <v>0</v>
      </c>
      <c r="U104" s="171">
        <f>SUMIF('CF(M)'!$L$11:$EQ$11,U$6,'CF(M)'!$L109:$EQ109)</f>
        <v>0</v>
      </c>
      <c r="V104" s="171">
        <f>SUMIF('CF(M)'!$L$11:$EQ$11,V$6,'CF(M)'!$L109:$EQ109)</f>
        <v>0</v>
      </c>
      <c r="W104" s="171">
        <f>SUMIF('CF(M)'!$L$11:$EQ$11,W$6,'CF(M)'!$L109:$EQ109)</f>
        <v>0</v>
      </c>
      <c r="X104" s="171">
        <f>SUMIF('CF(M)'!$L$11:$EQ$11,X$6,'CF(M)'!$L109:$EQ109)</f>
        <v>0</v>
      </c>
      <c r="Y104" s="171">
        <f>SUMIF('CF(M)'!$L$11:$EQ$11,Y$6,'CF(M)'!$L109:$EQ109)</f>
        <v>0</v>
      </c>
      <c r="Z104" s="171">
        <f>SUMIF('CF(M)'!$L$11:$EQ$11,Z$6,'CF(M)'!$L109:$EQ109)</f>
        <v>0</v>
      </c>
      <c r="AA104" s="171">
        <f>SUMIF('CF(M)'!$L$11:$EQ$11,AA$6,'CF(M)'!$L109:$EQ109)</f>
        <v>0</v>
      </c>
      <c r="AB104" s="171">
        <f>SUMIF('CF(M)'!$L$11:$EQ$11,AB$6,'CF(M)'!$L109:$EQ109)</f>
        <v>0</v>
      </c>
      <c r="AC104" s="171">
        <f>SUMIF('CF(M)'!$L$11:$EQ$11,AC$6,'CF(M)'!$L109:$EQ109)</f>
        <v>0</v>
      </c>
      <c r="AD104" s="171">
        <f>SUMIF('CF(M)'!$L$11:$EQ$11,AD$6,'CF(M)'!$L109:$EQ109)</f>
        <v>0</v>
      </c>
      <c r="AE104" s="171">
        <f>SUMIF('CF(M)'!$L$11:$EQ$11,AE$6,'CF(M)'!$L109:$EQ109)</f>
        <v>0</v>
      </c>
      <c r="AF104" s="171">
        <f>SUMIF('CF(M)'!$L$11:$EQ$11,AF$6,'CF(M)'!$L109:$EQ109)</f>
        <v>0</v>
      </c>
      <c r="AG104" s="171">
        <f>SUMIF('CF(M)'!$L$11:$EQ$11,AG$6,'CF(M)'!$L109:$EQ109)</f>
        <v>0</v>
      </c>
      <c r="AH104" s="171">
        <f>SUMIF('CF(M)'!$L$11:$EQ$11,AH$6,'CF(M)'!$L109:$EQ109)</f>
        <v>0</v>
      </c>
      <c r="AI104" s="171">
        <f>SUMIF('CF(M)'!$L$11:$EQ$11,AI$6,'CF(M)'!$L109:$EQ109)</f>
        <v>0</v>
      </c>
      <c r="AJ104" s="171">
        <f>SUMIF('CF(M)'!$L$11:$EQ$11,AJ$6,'CF(M)'!$L109:$EQ109)</f>
        <v>0</v>
      </c>
      <c r="AK104" s="171">
        <f>SUMIF('CF(M)'!$L$11:$EQ$11,AK$6,'CF(M)'!$L109:$EQ109)</f>
        <v>0</v>
      </c>
      <c r="AL104" s="171">
        <f>SUMIF('CF(M)'!$L$11:$EQ$11,AL$6,'CF(M)'!$L109:$EQ109)</f>
        <v>0</v>
      </c>
      <c r="AM104" s="171">
        <f>SUMIF('CF(M)'!$L$11:$EQ$11,AM$6,'CF(M)'!$L109:$EQ109)</f>
        <v>0</v>
      </c>
      <c r="AN104" s="171">
        <f>SUMIF('CF(M)'!$L$11:$EQ$11,AN$6,'CF(M)'!$L109:$EQ109)</f>
        <v>0</v>
      </c>
      <c r="AO104" s="171">
        <f>SUMIF('CF(M)'!$L$11:$EQ$11,AO$6,'CF(M)'!$L109:$EQ109)</f>
        <v>0</v>
      </c>
      <c r="AP104" s="171">
        <f>SUMIF('CF(M)'!$L$11:$EQ$11,AP$6,'CF(M)'!$L109:$EQ109)</f>
        <v>0</v>
      </c>
      <c r="AQ104" s="171">
        <f>SUMIF('CF(M)'!$L$11:$EQ$11,AQ$6,'CF(M)'!$L109:$EQ109)</f>
        <v>0</v>
      </c>
      <c r="AR104" s="171">
        <f>SUMIF('CF(M)'!$L$11:$EQ$11,AR$6,'CF(M)'!$L109:$EQ109)</f>
        <v>0</v>
      </c>
      <c r="AS104" s="171">
        <f>SUMIF('CF(M)'!$L$11:$EQ$11,AS$6,'CF(M)'!$L109:$EQ109)</f>
        <v>0</v>
      </c>
      <c r="AT104" s="171">
        <f>SUMIF('CF(M)'!$L$11:$EQ$11,AT$6,'CF(M)'!$L109:$EQ109)</f>
        <v>0</v>
      </c>
      <c r="AU104" s="171">
        <f>SUMIF('CF(M)'!$L$11:$EQ$11,AU$6,'CF(M)'!$L109:$EQ109)</f>
        <v>0</v>
      </c>
      <c r="AV104" s="171">
        <f>SUMIF('CF(M)'!$L$11:$EQ$11,AV$6,'CF(M)'!$L109:$EQ109)</f>
        <v>0</v>
      </c>
      <c r="AW104" s="171">
        <f>SUMIF('CF(M)'!$L$11:$EQ$11,AW$6,'CF(M)'!$L109:$EQ109)</f>
        <v>0</v>
      </c>
      <c r="AX104" s="171">
        <f>SUMIF('CF(M)'!$L$11:$EQ$11,AX$6,'CF(M)'!$L109:$EQ109)</f>
        <v>0</v>
      </c>
      <c r="AY104" s="171">
        <f>SUMIF('CF(M)'!$L$11:$EQ$11,AY$6,'CF(M)'!$L109:$EQ109)</f>
        <v>0</v>
      </c>
      <c r="AZ104" s="171">
        <f>SUMIF('CF(M)'!$L$11:$EQ$11,AZ$6,'CF(M)'!$L109:$EQ109)</f>
        <v>0</v>
      </c>
      <c r="BA104" s="171">
        <f>SUMIF('CF(M)'!$L$11:$EQ$11,BA$6,'CF(M)'!$L109:$EQ109)</f>
        <v>0</v>
      </c>
      <c r="BB104" s="171">
        <f>SUMIF('CF(M)'!$L$11:$EQ$11,BB$6,'CF(M)'!$L109:$EQ109)</f>
        <v>0</v>
      </c>
      <c r="BC104" s="171">
        <f>SUMIF('CF(M)'!$L$11:$EQ$11,BC$6,'CF(M)'!$L109:$EQ109)</f>
        <v>0</v>
      </c>
      <c r="BD104" s="171">
        <f>SUMIF('CF(M)'!$L$11:$EQ$11,BD$6,'CF(M)'!$L109:$EQ109)</f>
        <v>0</v>
      </c>
      <c r="BE104" s="171">
        <f>SUMIF('CF(M)'!$L$11:$EQ$11,BE$6,'CF(M)'!$L109:$EQ109)</f>
        <v>0</v>
      </c>
      <c r="BF104" s="171">
        <f>SUMIF('CF(M)'!$L$11:$EQ$11,BF$6,'CF(M)'!$L109:$EQ109)</f>
        <v>0</v>
      </c>
      <c r="BG104" s="171">
        <f>SUMIF('CF(M)'!$L$11:$EQ$11,BG$6,'CF(M)'!$L109:$EQ109)</f>
        <v>0</v>
      </c>
      <c r="BH104" s="171">
        <f>SUMIF('CF(M)'!$L$11:$EQ$11,BH$6,'CF(M)'!$L109:$EQ109)</f>
        <v>0</v>
      </c>
      <c r="BI104" s="171">
        <f>SUMIF('CF(M)'!$L$11:$EQ$11,BI$6,'CF(M)'!$L109:$EQ109)</f>
        <v>0</v>
      </c>
      <c r="BJ104" s="171">
        <f>SUMIF('CF(M)'!$L$11:$EQ$11,BJ$6,'CF(M)'!$L109:$EQ109)</f>
        <v>0</v>
      </c>
      <c r="BK104" s="171">
        <f>SUMIF('CF(M)'!$L$11:$EQ$11,BK$6,'CF(M)'!$L109:$EQ109)</f>
        <v>0</v>
      </c>
      <c r="BL104" s="171">
        <f>SUMIF('CF(M)'!$L$11:$EQ$11,BL$6,'CF(M)'!$L109:$EQ109)</f>
        <v>0</v>
      </c>
      <c r="BM104" s="171">
        <f>SUMIF('CF(M)'!$L$11:$EQ$11,BM$6,'CF(M)'!$L109:$EQ109)</f>
        <v>0</v>
      </c>
      <c r="BN104" s="171">
        <f>SUMIF('CF(M)'!$L$11:$EQ$11,BN$6,'CF(M)'!$L109:$EQ109)</f>
        <v>0</v>
      </c>
      <c r="BO104" s="171">
        <f>SUMIF('CF(M)'!$L$11:$EQ$11,BO$6,'CF(M)'!$L109:$EQ109)</f>
        <v>0</v>
      </c>
      <c r="BP104" s="171">
        <f>SUMIF('CF(M)'!$L$11:$EQ$11,BP$6,'CF(M)'!$L109:$EQ109)</f>
        <v>0</v>
      </c>
      <c r="BQ104" s="171">
        <f>SUMIF('CF(M)'!$L$11:$EQ$11,BQ$6,'CF(M)'!$L109:$EQ109)</f>
        <v>0</v>
      </c>
      <c r="BR104" s="171">
        <f>SUMIF('CF(M)'!$L$11:$EQ$11,BR$6,'CF(M)'!$L109:$EQ109)</f>
        <v>0</v>
      </c>
      <c r="BS104" s="171">
        <f>SUMIF('CF(M)'!$L$11:$EQ$11,BS$6,'CF(M)'!$L109:$EQ109)</f>
        <v>0</v>
      </c>
      <c r="BT104" s="171">
        <f>SUMIF('CF(M)'!$L$11:$EQ$11,BT$6,'CF(M)'!$L109:$EQ109)</f>
        <v>0</v>
      </c>
      <c r="BU104" s="171">
        <f>SUMIF('CF(M)'!$L$11:$EQ$11,BU$6,'CF(M)'!$L109:$EQ109)</f>
        <v>0</v>
      </c>
      <c r="BV104" s="171">
        <f>SUMIF('CF(M)'!$L$11:$EQ$11,BV$6,'CF(M)'!$L109:$EQ109)</f>
        <v>0</v>
      </c>
      <c r="BW104" s="171">
        <f>SUMIF('CF(M)'!$L$11:$EQ$11,BW$6,'CF(M)'!$L109:$EQ109)</f>
        <v>0</v>
      </c>
      <c r="BX104" s="171">
        <f>SUMIF('CF(M)'!$L$11:$EQ$11,BX$6,'CF(M)'!$L109:$EQ109)</f>
        <v>0</v>
      </c>
      <c r="BY104" s="171">
        <f>SUMIF('CF(M)'!$L$11:$EQ$11,BY$6,'CF(M)'!$L109:$EQ109)</f>
        <v>0</v>
      </c>
      <c r="BZ104" s="171">
        <f>SUMIF('CF(M)'!$L$11:$EQ$11,BZ$6,'CF(M)'!$L109:$EQ109)</f>
        <v>0</v>
      </c>
      <c r="CA104" s="171">
        <f>SUMIF('CF(M)'!$L$11:$EQ$11,CA$6,'CF(M)'!$L109:$EQ109)</f>
        <v>0</v>
      </c>
      <c r="CB104" s="171">
        <f>SUMIF('CF(M)'!$L$11:$EQ$11,CB$6,'CF(M)'!$L109:$EQ109)</f>
        <v>0</v>
      </c>
      <c r="CC104" s="171">
        <f>SUMIF('CF(M)'!$L$11:$EQ$11,CC$6,'CF(M)'!$L109:$EQ109)</f>
        <v>0</v>
      </c>
      <c r="CD104" s="171">
        <f>SUMIF('CF(M)'!$L$11:$EQ$11,CD$6,'CF(M)'!$L109:$EQ109)</f>
        <v>0</v>
      </c>
      <c r="CE104" s="171">
        <f>SUMIF('CF(M)'!$L$11:$EQ$11,CE$6,'CF(M)'!$L109:$EQ109)</f>
        <v>0</v>
      </c>
      <c r="CF104" s="171">
        <f>SUMIF('CF(M)'!$L$11:$EQ$11,CF$6,'CF(M)'!$L109:$EQ109)</f>
        <v>0</v>
      </c>
      <c r="CG104" s="171">
        <f>SUMIF('CF(M)'!$L$11:$EQ$11,CG$6,'CF(M)'!$L109:$EQ109)</f>
        <v>0</v>
      </c>
      <c r="CH104" s="171">
        <f>SUMIF('CF(M)'!$L$11:$EQ$11,CH$6,'CF(M)'!$L109:$EQ109)</f>
        <v>0</v>
      </c>
      <c r="CI104" s="171">
        <f>SUMIF('CF(M)'!$L$11:$EQ$11,CI$6,'CF(M)'!$L109:$EQ109)</f>
        <v>0</v>
      </c>
      <c r="CJ104" s="171">
        <f>SUMIF('CF(M)'!$L$11:$EQ$11,CJ$6,'CF(M)'!$L109:$EQ109)</f>
        <v>0</v>
      </c>
      <c r="CK104" s="171">
        <f>SUMIF('CF(M)'!$L$11:$EQ$11,CK$6,'CF(M)'!$L109:$EQ109)</f>
        <v>0</v>
      </c>
      <c r="CL104" s="171">
        <f>SUMIF('CF(M)'!$L$11:$EQ$11,CL$6,'CF(M)'!$L109:$EQ109)</f>
        <v>0</v>
      </c>
      <c r="CM104" s="171">
        <f>SUMIF('CF(M)'!$L$11:$EQ$11,CM$6,'CF(M)'!$L109:$EQ109)</f>
        <v>0</v>
      </c>
      <c r="CN104" s="171">
        <f>SUMIF('CF(M)'!$L$11:$EQ$11,CN$6,'CF(M)'!$L109:$EQ109)</f>
        <v>0</v>
      </c>
      <c r="CO104" s="171">
        <f>SUMIF('CF(M)'!$L$11:$EQ$11,CO$6,'CF(M)'!$L109:$EQ109)</f>
        <v>0</v>
      </c>
      <c r="CP104" s="171">
        <f>SUMIF('CF(M)'!$L$11:$EQ$11,CP$6,'CF(M)'!$L109:$EQ109)</f>
        <v>0</v>
      </c>
      <c r="CQ104" s="171">
        <f>SUMIF('CF(M)'!$L$11:$EQ$11,CQ$6,'CF(M)'!$L109:$EQ109)</f>
        <v>0</v>
      </c>
      <c r="CR104" s="171">
        <f>SUMIF('CF(M)'!$L$11:$EQ$11,CR$6,'CF(M)'!$L109:$EQ109)</f>
        <v>0</v>
      </c>
      <c r="CS104" s="171">
        <f>SUMIF('CF(M)'!$L$11:$EQ$11,CS$6,'CF(M)'!$L109:$EQ109)</f>
        <v>0</v>
      </c>
      <c r="CT104" s="171">
        <f>SUMIF('CF(M)'!$L$11:$EQ$11,CT$6,'CF(M)'!$L109:$EQ109)</f>
        <v>0</v>
      </c>
      <c r="CU104" s="171">
        <f>SUMIF('CF(M)'!$L$11:$EQ$11,CU$6,'CF(M)'!$L109:$EQ109)</f>
        <v>0</v>
      </c>
      <c r="CV104" s="171">
        <f>SUMIF('CF(M)'!$L$11:$EQ$11,CV$6,'CF(M)'!$L109:$EQ109)</f>
        <v>0</v>
      </c>
      <c r="CW104" s="171">
        <f>SUMIF('CF(M)'!$L$11:$EQ$11,CW$6,'CF(M)'!$L109:$EQ109)</f>
        <v>0</v>
      </c>
      <c r="CX104" s="171">
        <f>SUMIF('CF(M)'!$L$11:$EQ$11,CX$6,'CF(M)'!$L109:$EQ109)</f>
        <v>0</v>
      </c>
      <c r="CY104" s="171">
        <f>SUMIF('CF(M)'!$L$11:$EQ$11,CY$6,'CF(M)'!$L109:$EQ109)</f>
        <v>0</v>
      </c>
      <c r="CZ104" s="171">
        <f>SUMIF('CF(M)'!$L$11:$EQ$11,CZ$6,'CF(M)'!$L109:$EQ109)</f>
        <v>0</v>
      </c>
      <c r="DA104" s="171">
        <f>SUMIF('CF(M)'!$L$11:$EQ$11,DA$6,'CF(M)'!$L109:$EQ109)</f>
        <v>0</v>
      </c>
      <c r="DB104" s="171">
        <f>SUMIF('CF(M)'!$L$11:$EQ$11,DB$6,'CF(M)'!$L109:$EQ109)</f>
        <v>0</v>
      </c>
      <c r="DC104" s="171">
        <f>SUMIF('CF(M)'!$L$11:$EQ$11,DC$6,'CF(M)'!$L109:$EQ109)</f>
        <v>0</v>
      </c>
      <c r="DD104" s="171">
        <f>SUMIF('CF(M)'!$L$11:$EQ$11,DD$6,'CF(M)'!$L109:$EQ109)</f>
        <v>0</v>
      </c>
      <c r="DE104" s="171">
        <f>SUMIF('CF(M)'!$L$11:$EQ$11,DE$6,'CF(M)'!$L109:$EQ109)</f>
        <v>0</v>
      </c>
      <c r="DF104" s="171">
        <f>SUMIF('CF(M)'!$L$11:$EQ$11,DF$6,'CF(M)'!$L109:$EQ109)</f>
        <v>0</v>
      </c>
      <c r="DG104" s="171">
        <f>SUMIF('CF(M)'!$L$11:$EQ$11,DG$6,'CF(M)'!$L109:$EQ109)</f>
        <v>0</v>
      </c>
      <c r="DH104" s="171">
        <f>SUMIF('CF(M)'!$L$11:$EQ$11,DH$6,'CF(M)'!$L109:$EQ109)</f>
        <v>0</v>
      </c>
      <c r="DI104" s="171">
        <f>SUMIF('CF(M)'!$L$11:$EQ$11,DI$6,'CF(M)'!$L109:$EQ109)</f>
        <v>0</v>
      </c>
      <c r="DJ104" s="171">
        <f>SUMIF('CF(M)'!$L$11:$EQ$11,DJ$6,'CF(M)'!$L109:$EQ109)</f>
        <v>0</v>
      </c>
      <c r="DK104" s="171">
        <f>SUMIF('CF(M)'!$L$11:$EQ$11,DK$6,'CF(M)'!$L109:$EQ109)</f>
        <v>0</v>
      </c>
      <c r="DL104" s="171">
        <f>SUMIF('CF(M)'!$L$11:$EQ$11,DL$6,'CF(M)'!$L109:$EQ109)</f>
        <v>0</v>
      </c>
      <c r="DM104" s="171">
        <f>SUMIF('CF(M)'!$L$11:$EQ$11,DM$6,'CF(M)'!$L109:$EQ109)</f>
        <v>0</v>
      </c>
      <c r="DN104" s="171">
        <f>SUMIF('CF(M)'!$L$11:$EQ$11,DN$6,'CF(M)'!$L109:$EQ109)</f>
        <v>0</v>
      </c>
      <c r="DO104" s="171">
        <f>SUMIF('CF(M)'!$L$11:$EQ$11,DO$6,'CF(M)'!$L109:$EQ109)</f>
        <v>0</v>
      </c>
      <c r="DP104" s="171">
        <f>SUMIF('CF(M)'!$L$11:$EQ$11,DP$6,'CF(M)'!$L109:$EQ109)</f>
        <v>0</v>
      </c>
      <c r="DQ104" s="171">
        <f>SUMIF('CF(M)'!$L$11:$EQ$11,DQ$6,'CF(M)'!$L109:$EQ109)</f>
        <v>0</v>
      </c>
      <c r="DR104" s="171">
        <f>SUMIF('CF(M)'!$L$11:$EQ$11,DR$6,'CF(M)'!$L109:$EQ109)</f>
        <v>0</v>
      </c>
      <c r="DS104" s="171">
        <f>SUMIF('CF(M)'!$L$11:$EQ$11,DS$6,'CF(M)'!$L109:$EQ109)</f>
        <v>0</v>
      </c>
      <c r="DT104" s="171">
        <f>SUMIF('CF(M)'!$L$11:$EQ$11,DT$6,'CF(M)'!$L109:$EQ109)</f>
        <v>0</v>
      </c>
      <c r="DU104" s="171">
        <f>SUMIF('CF(M)'!$L$11:$EQ$11,DU$6,'CF(M)'!$L109:$EQ109)</f>
        <v>0</v>
      </c>
      <c r="DV104" s="171">
        <f>SUMIF('CF(M)'!$L$11:$EQ$11,DV$6,'CF(M)'!$L109:$EQ109)</f>
        <v>0</v>
      </c>
    </row>
    <row r="105" spans="2:126" ht="11.25" customHeight="1">
      <c r="B105" s="218"/>
      <c r="C105" s="158" t="s">
        <v>19</v>
      </c>
      <c r="D105" s="159"/>
      <c r="E105" s="159"/>
      <c r="F105" s="159"/>
      <c r="G105" s="159"/>
      <c r="H105" s="160"/>
      <c r="I105" s="219"/>
      <c r="J105" s="220">
        <f ca="1">SUM(J106:J109)</f>
        <v>-48180453.350267738</v>
      </c>
      <c r="K105" s="98"/>
      <c r="L105" s="162">
        <f ca="1">SUM(L106:L109)</f>
        <v>14800000</v>
      </c>
      <c r="M105" s="162">
        <f t="shared" ref="M105:BX105" ca="1" si="55">SUM(M106:M109)</f>
        <v>-1110000</v>
      </c>
      <c r="N105" s="162">
        <f t="shared" ca="1" si="55"/>
        <v>0</v>
      </c>
      <c r="O105" s="162">
        <f t="shared" ca="1" si="55"/>
        <v>0</v>
      </c>
      <c r="P105" s="162">
        <f t="shared" ca="1" si="55"/>
        <v>0</v>
      </c>
      <c r="Q105" s="162">
        <f t="shared" ca="1" si="55"/>
        <v>0</v>
      </c>
      <c r="R105" s="162">
        <f t="shared" ca="1" si="55"/>
        <v>0</v>
      </c>
      <c r="S105" s="162">
        <f t="shared" ca="1" si="55"/>
        <v>0</v>
      </c>
      <c r="T105" s="162">
        <f t="shared" ca="1" si="55"/>
        <v>0</v>
      </c>
      <c r="U105" s="162">
        <f t="shared" ca="1" si="55"/>
        <v>0</v>
      </c>
      <c r="V105" s="162">
        <f t="shared" ca="1" si="55"/>
        <v>-61870453.350267738</v>
      </c>
      <c r="W105" s="162">
        <f t="shared" ca="1" si="55"/>
        <v>0</v>
      </c>
      <c r="X105" s="162">
        <f t="shared" ca="1" si="55"/>
        <v>0</v>
      </c>
      <c r="Y105" s="162">
        <f t="shared" si="55"/>
        <v>0</v>
      </c>
      <c r="Z105" s="162">
        <f t="shared" si="55"/>
        <v>0</v>
      </c>
      <c r="AA105" s="162">
        <f t="shared" si="55"/>
        <v>0</v>
      </c>
      <c r="AB105" s="162">
        <f t="shared" si="55"/>
        <v>0</v>
      </c>
      <c r="AC105" s="162">
        <f t="shared" si="55"/>
        <v>0</v>
      </c>
      <c r="AD105" s="162">
        <f t="shared" si="55"/>
        <v>0</v>
      </c>
      <c r="AE105" s="162">
        <f t="shared" si="55"/>
        <v>0</v>
      </c>
      <c r="AF105" s="162">
        <f t="shared" si="55"/>
        <v>0</v>
      </c>
      <c r="AG105" s="162">
        <f t="shared" si="55"/>
        <v>0</v>
      </c>
      <c r="AH105" s="162">
        <f t="shared" si="55"/>
        <v>0</v>
      </c>
      <c r="AI105" s="162">
        <f t="shared" si="55"/>
        <v>0</v>
      </c>
      <c r="AJ105" s="162">
        <f t="shared" si="55"/>
        <v>0</v>
      </c>
      <c r="AK105" s="162">
        <f t="shared" si="55"/>
        <v>0</v>
      </c>
      <c r="AL105" s="162">
        <f t="shared" si="55"/>
        <v>0</v>
      </c>
      <c r="AM105" s="162">
        <f t="shared" si="55"/>
        <v>0</v>
      </c>
      <c r="AN105" s="162">
        <f t="shared" si="55"/>
        <v>0</v>
      </c>
      <c r="AO105" s="162">
        <f t="shared" si="55"/>
        <v>0</v>
      </c>
      <c r="AP105" s="162">
        <f t="shared" si="55"/>
        <v>0</v>
      </c>
      <c r="AQ105" s="162">
        <f t="shared" si="55"/>
        <v>0</v>
      </c>
      <c r="AR105" s="162">
        <f t="shared" si="55"/>
        <v>0</v>
      </c>
      <c r="AS105" s="162">
        <f t="shared" si="55"/>
        <v>0</v>
      </c>
      <c r="AT105" s="162">
        <f t="shared" si="55"/>
        <v>0</v>
      </c>
      <c r="AU105" s="162">
        <f t="shared" si="55"/>
        <v>0</v>
      </c>
      <c r="AV105" s="162">
        <f t="shared" si="55"/>
        <v>0</v>
      </c>
      <c r="AW105" s="162">
        <f t="shared" si="55"/>
        <v>0</v>
      </c>
      <c r="AX105" s="162">
        <f t="shared" si="55"/>
        <v>0</v>
      </c>
      <c r="AY105" s="162">
        <f t="shared" si="55"/>
        <v>0</v>
      </c>
      <c r="AZ105" s="162">
        <f t="shared" si="55"/>
        <v>0</v>
      </c>
      <c r="BA105" s="162">
        <f t="shared" si="55"/>
        <v>0</v>
      </c>
      <c r="BB105" s="162">
        <f t="shared" si="55"/>
        <v>0</v>
      </c>
      <c r="BC105" s="162">
        <f t="shared" si="55"/>
        <v>0</v>
      </c>
      <c r="BD105" s="162">
        <f t="shared" si="55"/>
        <v>0</v>
      </c>
      <c r="BE105" s="162">
        <f t="shared" si="55"/>
        <v>0</v>
      </c>
      <c r="BF105" s="162">
        <f t="shared" si="55"/>
        <v>0</v>
      </c>
      <c r="BG105" s="162">
        <f t="shared" si="55"/>
        <v>0</v>
      </c>
      <c r="BH105" s="162">
        <f t="shared" si="55"/>
        <v>0</v>
      </c>
      <c r="BI105" s="162">
        <f t="shared" si="55"/>
        <v>0</v>
      </c>
      <c r="BJ105" s="162">
        <f t="shared" si="55"/>
        <v>0</v>
      </c>
      <c r="BK105" s="162">
        <f t="shared" si="55"/>
        <v>0</v>
      </c>
      <c r="BL105" s="162">
        <f t="shared" si="55"/>
        <v>0</v>
      </c>
      <c r="BM105" s="162">
        <f t="shared" si="55"/>
        <v>0</v>
      </c>
      <c r="BN105" s="162">
        <f t="shared" si="55"/>
        <v>0</v>
      </c>
      <c r="BO105" s="162">
        <f t="shared" si="55"/>
        <v>0</v>
      </c>
      <c r="BP105" s="162">
        <f t="shared" si="55"/>
        <v>0</v>
      </c>
      <c r="BQ105" s="162">
        <f t="shared" si="55"/>
        <v>0</v>
      </c>
      <c r="BR105" s="162">
        <f t="shared" si="55"/>
        <v>0</v>
      </c>
      <c r="BS105" s="162">
        <f t="shared" si="55"/>
        <v>0</v>
      </c>
      <c r="BT105" s="162">
        <f t="shared" si="55"/>
        <v>0</v>
      </c>
      <c r="BU105" s="162">
        <f t="shared" si="55"/>
        <v>0</v>
      </c>
      <c r="BV105" s="162">
        <f t="shared" si="55"/>
        <v>0</v>
      </c>
      <c r="BW105" s="162">
        <f t="shared" si="55"/>
        <v>0</v>
      </c>
      <c r="BX105" s="162">
        <f t="shared" si="55"/>
        <v>0</v>
      </c>
      <c r="BY105" s="162">
        <f t="shared" ref="BY105:DV105" si="56">SUM(BY106:BY109)</f>
        <v>0</v>
      </c>
      <c r="BZ105" s="162">
        <f t="shared" si="56"/>
        <v>0</v>
      </c>
      <c r="CA105" s="162">
        <f t="shared" si="56"/>
        <v>0</v>
      </c>
      <c r="CB105" s="162">
        <f t="shared" si="56"/>
        <v>0</v>
      </c>
      <c r="CC105" s="162">
        <f t="shared" si="56"/>
        <v>0</v>
      </c>
      <c r="CD105" s="162">
        <f t="shared" si="56"/>
        <v>0</v>
      </c>
      <c r="CE105" s="162">
        <f t="shared" si="56"/>
        <v>0</v>
      </c>
      <c r="CF105" s="162">
        <f t="shared" si="56"/>
        <v>0</v>
      </c>
      <c r="CG105" s="162">
        <f t="shared" si="56"/>
        <v>0</v>
      </c>
      <c r="CH105" s="162">
        <f t="shared" si="56"/>
        <v>0</v>
      </c>
      <c r="CI105" s="162">
        <f t="shared" si="56"/>
        <v>0</v>
      </c>
      <c r="CJ105" s="162">
        <f t="shared" si="56"/>
        <v>0</v>
      </c>
      <c r="CK105" s="162">
        <f t="shared" si="56"/>
        <v>0</v>
      </c>
      <c r="CL105" s="162">
        <f t="shared" si="56"/>
        <v>0</v>
      </c>
      <c r="CM105" s="162">
        <f t="shared" si="56"/>
        <v>0</v>
      </c>
      <c r="CN105" s="162">
        <f t="shared" si="56"/>
        <v>0</v>
      </c>
      <c r="CO105" s="162">
        <f t="shared" si="56"/>
        <v>0</v>
      </c>
      <c r="CP105" s="162">
        <f t="shared" si="56"/>
        <v>0</v>
      </c>
      <c r="CQ105" s="162">
        <f t="shared" si="56"/>
        <v>0</v>
      </c>
      <c r="CR105" s="162">
        <f t="shared" si="56"/>
        <v>0</v>
      </c>
      <c r="CS105" s="162">
        <f t="shared" si="56"/>
        <v>0</v>
      </c>
      <c r="CT105" s="162">
        <f t="shared" si="56"/>
        <v>0</v>
      </c>
      <c r="CU105" s="162">
        <f t="shared" si="56"/>
        <v>0</v>
      </c>
      <c r="CV105" s="162">
        <f t="shared" si="56"/>
        <v>0</v>
      </c>
      <c r="CW105" s="162">
        <f t="shared" si="56"/>
        <v>0</v>
      </c>
      <c r="CX105" s="162">
        <f t="shared" si="56"/>
        <v>0</v>
      </c>
      <c r="CY105" s="162">
        <f t="shared" si="56"/>
        <v>0</v>
      </c>
      <c r="CZ105" s="162">
        <f t="shared" si="56"/>
        <v>0</v>
      </c>
      <c r="DA105" s="162">
        <f t="shared" si="56"/>
        <v>0</v>
      </c>
      <c r="DB105" s="162">
        <f t="shared" si="56"/>
        <v>0</v>
      </c>
      <c r="DC105" s="162">
        <f t="shared" si="56"/>
        <v>0</v>
      </c>
      <c r="DD105" s="162">
        <f t="shared" si="56"/>
        <v>0</v>
      </c>
      <c r="DE105" s="162">
        <f t="shared" si="56"/>
        <v>0</v>
      </c>
      <c r="DF105" s="162">
        <f t="shared" si="56"/>
        <v>0</v>
      </c>
      <c r="DG105" s="162">
        <f t="shared" si="56"/>
        <v>0</v>
      </c>
      <c r="DH105" s="162">
        <f t="shared" si="56"/>
        <v>0</v>
      </c>
      <c r="DI105" s="162">
        <f t="shared" si="56"/>
        <v>0</v>
      </c>
      <c r="DJ105" s="162">
        <f t="shared" si="56"/>
        <v>0</v>
      </c>
      <c r="DK105" s="162">
        <f t="shared" si="56"/>
        <v>0</v>
      </c>
      <c r="DL105" s="162">
        <f t="shared" si="56"/>
        <v>0</v>
      </c>
      <c r="DM105" s="162">
        <f t="shared" si="56"/>
        <v>0</v>
      </c>
      <c r="DN105" s="162">
        <f t="shared" si="56"/>
        <v>0</v>
      </c>
      <c r="DO105" s="162">
        <f t="shared" si="56"/>
        <v>0</v>
      </c>
      <c r="DP105" s="162">
        <f t="shared" si="56"/>
        <v>0</v>
      </c>
      <c r="DQ105" s="162">
        <f t="shared" si="56"/>
        <v>0</v>
      </c>
      <c r="DR105" s="162">
        <f t="shared" si="56"/>
        <v>0</v>
      </c>
      <c r="DS105" s="162">
        <f t="shared" si="56"/>
        <v>0</v>
      </c>
      <c r="DT105" s="162">
        <f t="shared" si="56"/>
        <v>0</v>
      </c>
      <c r="DU105" s="162">
        <f t="shared" si="56"/>
        <v>0</v>
      </c>
      <c r="DV105" s="162">
        <f t="shared" si="56"/>
        <v>0</v>
      </c>
    </row>
    <row r="106" spans="2:126" ht="11.25" customHeight="1">
      <c r="B106" s="218"/>
      <c r="C106" s="163"/>
      <c r="D106" s="164" t="s">
        <v>208</v>
      </c>
      <c r="E106" s="165"/>
      <c r="F106" s="165"/>
      <c r="G106" s="165"/>
      <c r="H106" s="166"/>
      <c r="I106" s="228"/>
      <c r="J106" s="168">
        <f>SUM(L106:DV106)</f>
        <v>14800000</v>
      </c>
      <c r="K106" s="98"/>
      <c r="L106" s="168">
        <f>SUMIF('CF(M)'!$L$11:$EQ$11,L$6,'CF(M)'!$L111:$EQ111)</f>
        <v>14800000</v>
      </c>
      <c r="M106" s="168">
        <f>SUMIF('CF(M)'!$L$11:$EQ$11,M$6,'CF(M)'!$L111:$EQ111)</f>
        <v>0</v>
      </c>
      <c r="N106" s="168">
        <f>SUMIF('CF(M)'!$L$11:$EQ$11,N$6,'CF(M)'!$L111:$EQ111)</f>
        <v>0</v>
      </c>
      <c r="O106" s="168">
        <f>SUMIF('CF(M)'!$L$11:$EQ$11,O$6,'CF(M)'!$L111:$EQ111)</f>
        <v>0</v>
      </c>
      <c r="P106" s="168">
        <f>SUMIF('CF(M)'!$L$11:$EQ$11,P$6,'CF(M)'!$L111:$EQ111)</f>
        <v>0</v>
      </c>
      <c r="Q106" s="168">
        <f>SUMIF('CF(M)'!$L$11:$EQ$11,Q$6,'CF(M)'!$L111:$EQ111)</f>
        <v>0</v>
      </c>
      <c r="R106" s="168">
        <f>SUMIF('CF(M)'!$L$11:$EQ$11,R$6,'CF(M)'!$L111:$EQ111)</f>
        <v>0</v>
      </c>
      <c r="S106" s="168">
        <f>SUMIF('CF(M)'!$L$11:$EQ$11,S$6,'CF(M)'!$L111:$EQ111)</f>
        <v>0</v>
      </c>
      <c r="T106" s="168">
        <f>SUMIF('CF(M)'!$L$11:$EQ$11,T$6,'CF(M)'!$L111:$EQ111)</f>
        <v>0</v>
      </c>
      <c r="U106" s="168">
        <f>SUMIF('CF(M)'!$L$11:$EQ$11,U$6,'CF(M)'!$L111:$EQ111)</f>
        <v>0</v>
      </c>
      <c r="V106" s="168">
        <f>SUMIF('CF(M)'!$L$11:$EQ$11,V$6,'CF(M)'!$L111:$EQ111)</f>
        <v>0</v>
      </c>
      <c r="W106" s="168">
        <f>SUMIF('CF(M)'!$L$11:$EQ$11,W$6,'CF(M)'!$L111:$EQ111)</f>
        <v>0</v>
      </c>
      <c r="X106" s="168">
        <f>SUMIF('CF(M)'!$L$11:$EQ$11,X$6,'CF(M)'!$L111:$EQ111)</f>
        <v>0</v>
      </c>
      <c r="Y106" s="168">
        <f>SUMIF('CF(M)'!$L$11:$EQ$11,Y$6,'CF(M)'!$L111:$EQ111)</f>
        <v>0</v>
      </c>
      <c r="Z106" s="168">
        <f>SUMIF('CF(M)'!$L$11:$EQ$11,Z$6,'CF(M)'!$L111:$EQ111)</f>
        <v>0</v>
      </c>
      <c r="AA106" s="168">
        <f>SUMIF('CF(M)'!$L$11:$EQ$11,AA$6,'CF(M)'!$L111:$EQ111)</f>
        <v>0</v>
      </c>
      <c r="AB106" s="168">
        <f>SUMIF('CF(M)'!$L$11:$EQ$11,AB$6,'CF(M)'!$L111:$EQ111)</f>
        <v>0</v>
      </c>
      <c r="AC106" s="168">
        <f>SUMIF('CF(M)'!$L$11:$EQ$11,AC$6,'CF(M)'!$L111:$EQ111)</f>
        <v>0</v>
      </c>
      <c r="AD106" s="168">
        <f>SUMIF('CF(M)'!$L$11:$EQ$11,AD$6,'CF(M)'!$L111:$EQ111)</f>
        <v>0</v>
      </c>
      <c r="AE106" s="168">
        <f>SUMIF('CF(M)'!$L$11:$EQ$11,AE$6,'CF(M)'!$L111:$EQ111)</f>
        <v>0</v>
      </c>
      <c r="AF106" s="168">
        <f>SUMIF('CF(M)'!$L$11:$EQ$11,AF$6,'CF(M)'!$L111:$EQ111)</f>
        <v>0</v>
      </c>
      <c r="AG106" s="168">
        <f>SUMIF('CF(M)'!$L$11:$EQ$11,AG$6,'CF(M)'!$L111:$EQ111)</f>
        <v>0</v>
      </c>
      <c r="AH106" s="168">
        <f>SUMIF('CF(M)'!$L$11:$EQ$11,AH$6,'CF(M)'!$L111:$EQ111)</f>
        <v>0</v>
      </c>
      <c r="AI106" s="168">
        <f>SUMIF('CF(M)'!$L$11:$EQ$11,AI$6,'CF(M)'!$L111:$EQ111)</f>
        <v>0</v>
      </c>
      <c r="AJ106" s="168">
        <f>SUMIF('CF(M)'!$L$11:$EQ$11,AJ$6,'CF(M)'!$L111:$EQ111)</f>
        <v>0</v>
      </c>
      <c r="AK106" s="168">
        <f>SUMIF('CF(M)'!$L$11:$EQ$11,AK$6,'CF(M)'!$L111:$EQ111)</f>
        <v>0</v>
      </c>
      <c r="AL106" s="168">
        <f>SUMIF('CF(M)'!$L$11:$EQ$11,AL$6,'CF(M)'!$L111:$EQ111)</f>
        <v>0</v>
      </c>
      <c r="AM106" s="168">
        <f>SUMIF('CF(M)'!$L$11:$EQ$11,AM$6,'CF(M)'!$L111:$EQ111)</f>
        <v>0</v>
      </c>
      <c r="AN106" s="168">
        <f>SUMIF('CF(M)'!$L$11:$EQ$11,AN$6,'CF(M)'!$L111:$EQ111)</f>
        <v>0</v>
      </c>
      <c r="AO106" s="168">
        <f>SUMIF('CF(M)'!$L$11:$EQ$11,AO$6,'CF(M)'!$L111:$EQ111)</f>
        <v>0</v>
      </c>
      <c r="AP106" s="168">
        <f>SUMIF('CF(M)'!$L$11:$EQ$11,AP$6,'CF(M)'!$L111:$EQ111)</f>
        <v>0</v>
      </c>
      <c r="AQ106" s="168">
        <f>SUMIF('CF(M)'!$L$11:$EQ$11,AQ$6,'CF(M)'!$L111:$EQ111)</f>
        <v>0</v>
      </c>
      <c r="AR106" s="168">
        <f>SUMIF('CF(M)'!$L$11:$EQ$11,AR$6,'CF(M)'!$L111:$EQ111)</f>
        <v>0</v>
      </c>
      <c r="AS106" s="168">
        <f>SUMIF('CF(M)'!$L$11:$EQ$11,AS$6,'CF(M)'!$L111:$EQ111)</f>
        <v>0</v>
      </c>
      <c r="AT106" s="168">
        <f>SUMIF('CF(M)'!$L$11:$EQ$11,AT$6,'CF(M)'!$L111:$EQ111)</f>
        <v>0</v>
      </c>
      <c r="AU106" s="168">
        <f>SUMIF('CF(M)'!$L$11:$EQ$11,AU$6,'CF(M)'!$L111:$EQ111)</f>
        <v>0</v>
      </c>
      <c r="AV106" s="168">
        <f>SUMIF('CF(M)'!$L$11:$EQ$11,AV$6,'CF(M)'!$L111:$EQ111)</f>
        <v>0</v>
      </c>
      <c r="AW106" s="168">
        <f>SUMIF('CF(M)'!$L$11:$EQ$11,AW$6,'CF(M)'!$L111:$EQ111)</f>
        <v>0</v>
      </c>
      <c r="AX106" s="168">
        <f>SUMIF('CF(M)'!$L$11:$EQ$11,AX$6,'CF(M)'!$L111:$EQ111)</f>
        <v>0</v>
      </c>
      <c r="AY106" s="168">
        <f>SUMIF('CF(M)'!$L$11:$EQ$11,AY$6,'CF(M)'!$L111:$EQ111)</f>
        <v>0</v>
      </c>
      <c r="AZ106" s="168">
        <f>SUMIF('CF(M)'!$L$11:$EQ$11,AZ$6,'CF(M)'!$L111:$EQ111)</f>
        <v>0</v>
      </c>
      <c r="BA106" s="168">
        <f>SUMIF('CF(M)'!$L$11:$EQ$11,BA$6,'CF(M)'!$L111:$EQ111)</f>
        <v>0</v>
      </c>
      <c r="BB106" s="168">
        <f>SUMIF('CF(M)'!$L$11:$EQ$11,BB$6,'CF(M)'!$L111:$EQ111)</f>
        <v>0</v>
      </c>
      <c r="BC106" s="168">
        <f>SUMIF('CF(M)'!$L$11:$EQ$11,BC$6,'CF(M)'!$L111:$EQ111)</f>
        <v>0</v>
      </c>
      <c r="BD106" s="168">
        <f>SUMIF('CF(M)'!$L$11:$EQ$11,BD$6,'CF(M)'!$L111:$EQ111)</f>
        <v>0</v>
      </c>
      <c r="BE106" s="168">
        <f>SUMIF('CF(M)'!$L$11:$EQ$11,BE$6,'CF(M)'!$L111:$EQ111)</f>
        <v>0</v>
      </c>
      <c r="BF106" s="168">
        <f>SUMIF('CF(M)'!$L$11:$EQ$11,BF$6,'CF(M)'!$L111:$EQ111)</f>
        <v>0</v>
      </c>
      <c r="BG106" s="168">
        <f>SUMIF('CF(M)'!$L$11:$EQ$11,BG$6,'CF(M)'!$L111:$EQ111)</f>
        <v>0</v>
      </c>
      <c r="BH106" s="168">
        <f>SUMIF('CF(M)'!$L$11:$EQ$11,BH$6,'CF(M)'!$L111:$EQ111)</f>
        <v>0</v>
      </c>
      <c r="BI106" s="168">
        <f>SUMIF('CF(M)'!$L$11:$EQ$11,BI$6,'CF(M)'!$L111:$EQ111)</f>
        <v>0</v>
      </c>
      <c r="BJ106" s="168">
        <f>SUMIF('CF(M)'!$L$11:$EQ$11,BJ$6,'CF(M)'!$L111:$EQ111)</f>
        <v>0</v>
      </c>
      <c r="BK106" s="168">
        <f>SUMIF('CF(M)'!$L$11:$EQ$11,BK$6,'CF(M)'!$L111:$EQ111)</f>
        <v>0</v>
      </c>
      <c r="BL106" s="168">
        <f>SUMIF('CF(M)'!$L$11:$EQ$11,BL$6,'CF(M)'!$L111:$EQ111)</f>
        <v>0</v>
      </c>
      <c r="BM106" s="168">
        <f>SUMIF('CF(M)'!$L$11:$EQ$11,BM$6,'CF(M)'!$L111:$EQ111)</f>
        <v>0</v>
      </c>
      <c r="BN106" s="168">
        <f>SUMIF('CF(M)'!$L$11:$EQ$11,BN$6,'CF(M)'!$L111:$EQ111)</f>
        <v>0</v>
      </c>
      <c r="BO106" s="168">
        <f>SUMIF('CF(M)'!$L$11:$EQ$11,BO$6,'CF(M)'!$L111:$EQ111)</f>
        <v>0</v>
      </c>
      <c r="BP106" s="168">
        <f>SUMIF('CF(M)'!$L$11:$EQ$11,BP$6,'CF(M)'!$L111:$EQ111)</f>
        <v>0</v>
      </c>
      <c r="BQ106" s="168">
        <f>SUMIF('CF(M)'!$L$11:$EQ$11,BQ$6,'CF(M)'!$L111:$EQ111)</f>
        <v>0</v>
      </c>
      <c r="BR106" s="168">
        <f>SUMIF('CF(M)'!$L$11:$EQ$11,BR$6,'CF(M)'!$L111:$EQ111)</f>
        <v>0</v>
      </c>
      <c r="BS106" s="168">
        <f>SUMIF('CF(M)'!$L$11:$EQ$11,BS$6,'CF(M)'!$L111:$EQ111)</f>
        <v>0</v>
      </c>
      <c r="BT106" s="168">
        <f>SUMIF('CF(M)'!$L$11:$EQ$11,BT$6,'CF(M)'!$L111:$EQ111)</f>
        <v>0</v>
      </c>
      <c r="BU106" s="168">
        <f>SUMIF('CF(M)'!$L$11:$EQ$11,BU$6,'CF(M)'!$L111:$EQ111)</f>
        <v>0</v>
      </c>
      <c r="BV106" s="168">
        <f>SUMIF('CF(M)'!$L$11:$EQ$11,BV$6,'CF(M)'!$L111:$EQ111)</f>
        <v>0</v>
      </c>
      <c r="BW106" s="168">
        <f>SUMIF('CF(M)'!$L$11:$EQ$11,BW$6,'CF(M)'!$L111:$EQ111)</f>
        <v>0</v>
      </c>
      <c r="BX106" s="168">
        <f>SUMIF('CF(M)'!$L$11:$EQ$11,BX$6,'CF(M)'!$L111:$EQ111)</f>
        <v>0</v>
      </c>
      <c r="BY106" s="168">
        <f>SUMIF('CF(M)'!$L$11:$EQ$11,BY$6,'CF(M)'!$L111:$EQ111)</f>
        <v>0</v>
      </c>
      <c r="BZ106" s="168">
        <f>SUMIF('CF(M)'!$L$11:$EQ$11,BZ$6,'CF(M)'!$L111:$EQ111)</f>
        <v>0</v>
      </c>
      <c r="CA106" s="168">
        <f>SUMIF('CF(M)'!$L$11:$EQ$11,CA$6,'CF(M)'!$L111:$EQ111)</f>
        <v>0</v>
      </c>
      <c r="CB106" s="168">
        <f>SUMIF('CF(M)'!$L$11:$EQ$11,CB$6,'CF(M)'!$L111:$EQ111)</f>
        <v>0</v>
      </c>
      <c r="CC106" s="168">
        <f>SUMIF('CF(M)'!$L$11:$EQ$11,CC$6,'CF(M)'!$L111:$EQ111)</f>
        <v>0</v>
      </c>
      <c r="CD106" s="168">
        <f>SUMIF('CF(M)'!$L$11:$EQ$11,CD$6,'CF(M)'!$L111:$EQ111)</f>
        <v>0</v>
      </c>
      <c r="CE106" s="168">
        <f>SUMIF('CF(M)'!$L$11:$EQ$11,CE$6,'CF(M)'!$L111:$EQ111)</f>
        <v>0</v>
      </c>
      <c r="CF106" s="168">
        <f>SUMIF('CF(M)'!$L$11:$EQ$11,CF$6,'CF(M)'!$L111:$EQ111)</f>
        <v>0</v>
      </c>
      <c r="CG106" s="168">
        <f>SUMIF('CF(M)'!$L$11:$EQ$11,CG$6,'CF(M)'!$L111:$EQ111)</f>
        <v>0</v>
      </c>
      <c r="CH106" s="168">
        <f>SUMIF('CF(M)'!$L$11:$EQ$11,CH$6,'CF(M)'!$L111:$EQ111)</f>
        <v>0</v>
      </c>
      <c r="CI106" s="168">
        <f>SUMIF('CF(M)'!$L$11:$EQ$11,CI$6,'CF(M)'!$L111:$EQ111)</f>
        <v>0</v>
      </c>
      <c r="CJ106" s="168">
        <f>SUMIF('CF(M)'!$L$11:$EQ$11,CJ$6,'CF(M)'!$L111:$EQ111)</f>
        <v>0</v>
      </c>
      <c r="CK106" s="168">
        <f>SUMIF('CF(M)'!$L$11:$EQ$11,CK$6,'CF(M)'!$L111:$EQ111)</f>
        <v>0</v>
      </c>
      <c r="CL106" s="168">
        <f>SUMIF('CF(M)'!$L$11:$EQ$11,CL$6,'CF(M)'!$L111:$EQ111)</f>
        <v>0</v>
      </c>
      <c r="CM106" s="168">
        <f>SUMIF('CF(M)'!$L$11:$EQ$11,CM$6,'CF(M)'!$L111:$EQ111)</f>
        <v>0</v>
      </c>
      <c r="CN106" s="168">
        <f>SUMIF('CF(M)'!$L$11:$EQ$11,CN$6,'CF(M)'!$L111:$EQ111)</f>
        <v>0</v>
      </c>
      <c r="CO106" s="168">
        <f>SUMIF('CF(M)'!$L$11:$EQ$11,CO$6,'CF(M)'!$L111:$EQ111)</f>
        <v>0</v>
      </c>
      <c r="CP106" s="168">
        <f>SUMIF('CF(M)'!$L$11:$EQ$11,CP$6,'CF(M)'!$L111:$EQ111)</f>
        <v>0</v>
      </c>
      <c r="CQ106" s="168">
        <f>SUMIF('CF(M)'!$L$11:$EQ$11,CQ$6,'CF(M)'!$L111:$EQ111)</f>
        <v>0</v>
      </c>
      <c r="CR106" s="168">
        <f>SUMIF('CF(M)'!$L$11:$EQ$11,CR$6,'CF(M)'!$L111:$EQ111)</f>
        <v>0</v>
      </c>
      <c r="CS106" s="168">
        <f>SUMIF('CF(M)'!$L$11:$EQ$11,CS$6,'CF(M)'!$L111:$EQ111)</f>
        <v>0</v>
      </c>
      <c r="CT106" s="168">
        <f>SUMIF('CF(M)'!$L$11:$EQ$11,CT$6,'CF(M)'!$L111:$EQ111)</f>
        <v>0</v>
      </c>
      <c r="CU106" s="168">
        <f>SUMIF('CF(M)'!$L$11:$EQ$11,CU$6,'CF(M)'!$L111:$EQ111)</f>
        <v>0</v>
      </c>
      <c r="CV106" s="168">
        <f>SUMIF('CF(M)'!$L$11:$EQ$11,CV$6,'CF(M)'!$L111:$EQ111)</f>
        <v>0</v>
      </c>
      <c r="CW106" s="168">
        <f>SUMIF('CF(M)'!$L$11:$EQ$11,CW$6,'CF(M)'!$L111:$EQ111)</f>
        <v>0</v>
      </c>
      <c r="CX106" s="168">
        <f>SUMIF('CF(M)'!$L$11:$EQ$11,CX$6,'CF(M)'!$L111:$EQ111)</f>
        <v>0</v>
      </c>
      <c r="CY106" s="168">
        <f>SUMIF('CF(M)'!$L$11:$EQ$11,CY$6,'CF(M)'!$L111:$EQ111)</f>
        <v>0</v>
      </c>
      <c r="CZ106" s="168">
        <f>SUMIF('CF(M)'!$L$11:$EQ$11,CZ$6,'CF(M)'!$L111:$EQ111)</f>
        <v>0</v>
      </c>
      <c r="DA106" s="168">
        <f>SUMIF('CF(M)'!$L$11:$EQ$11,DA$6,'CF(M)'!$L111:$EQ111)</f>
        <v>0</v>
      </c>
      <c r="DB106" s="168">
        <f>SUMIF('CF(M)'!$L$11:$EQ$11,DB$6,'CF(M)'!$L111:$EQ111)</f>
        <v>0</v>
      </c>
      <c r="DC106" s="168">
        <f>SUMIF('CF(M)'!$L$11:$EQ$11,DC$6,'CF(M)'!$L111:$EQ111)</f>
        <v>0</v>
      </c>
      <c r="DD106" s="168">
        <f>SUMIF('CF(M)'!$L$11:$EQ$11,DD$6,'CF(M)'!$L111:$EQ111)</f>
        <v>0</v>
      </c>
      <c r="DE106" s="168">
        <f>SUMIF('CF(M)'!$L$11:$EQ$11,DE$6,'CF(M)'!$L111:$EQ111)</f>
        <v>0</v>
      </c>
      <c r="DF106" s="168">
        <f>SUMIF('CF(M)'!$L$11:$EQ$11,DF$6,'CF(M)'!$L111:$EQ111)</f>
        <v>0</v>
      </c>
      <c r="DG106" s="168">
        <f>SUMIF('CF(M)'!$L$11:$EQ$11,DG$6,'CF(M)'!$L111:$EQ111)</f>
        <v>0</v>
      </c>
      <c r="DH106" s="168">
        <f>SUMIF('CF(M)'!$L$11:$EQ$11,DH$6,'CF(M)'!$L111:$EQ111)</f>
        <v>0</v>
      </c>
      <c r="DI106" s="168">
        <f>SUMIF('CF(M)'!$L$11:$EQ$11,DI$6,'CF(M)'!$L111:$EQ111)</f>
        <v>0</v>
      </c>
      <c r="DJ106" s="168">
        <f>SUMIF('CF(M)'!$L$11:$EQ$11,DJ$6,'CF(M)'!$L111:$EQ111)</f>
        <v>0</v>
      </c>
      <c r="DK106" s="168">
        <f>SUMIF('CF(M)'!$L$11:$EQ$11,DK$6,'CF(M)'!$L111:$EQ111)</f>
        <v>0</v>
      </c>
      <c r="DL106" s="168">
        <f>SUMIF('CF(M)'!$L$11:$EQ$11,DL$6,'CF(M)'!$L111:$EQ111)</f>
        <v>0</v>
      </c>
      <c r="DM106" s="168">
        <f>SUMIF('CF(M)'!$L$11:$EQ$11,DM$6,'CF(M)'!$L111:$EQ111)</f>
        <v>0</v>
      </c>
      <c r="DN106" s="168">
        <f>SUMIF('CF(M)'!$L$11:$EQ$11,DN$6,'CF(M)'!$L111:$EQ111)</f>
        <v>0</v>
      </c>
      <c r="DO106" s="168">
        <f>SUMIF('CF(M)'!$L$11:$EQ$11,DO$6,'CF(M)'!$L111:$EQ111)</f>
        <v>0</v>
      </c>
      <c r="DP106" s="168">
        <f>SUMIF('CF(M)'!$L$11:$EQ$11,DP$6,'CF(M)'!$L111:$EQ111)</f>
        <v>0</v>
      </c>
      <c r="DQ106" s="168">
        <f>SUMIF('CF(M)'!$L$11:$EQ$11,DQ$6,'CF(M)'!$L111:$EQ111)</f>
        <v>0</v>
      </c>
      <c r="DR106" s="168">
        <f>SUMIF('CF(M)'!$L$11:$EQ$11,DR$6,'CF(M)'!$L111:$EQ111)</f>
        <v>0</v>
      </c>
      <c r="DS106" s="168">
        <f>SUMIF('CF(M)'!$L$11:$EQ$11,DS$6,'CF(M)'!$L111:$EQ111)</f>
        <v>0</v>
      </c>
      <c r="DT106" s="168">
        <f>SUMIF('CF(M)'!$L$11:$EQ$11,DT$6,'CF(M)'!$L111:$EQ111)</f>
        <v>0</v>
      </c>
      <c r="DU106" s="168">
        <f>SUMIF('CF(M)'!$L$11:$EQ$11,DU$6,'CF(M)'!$L111:$EQ111)</f>
        <v>0</v>
      </c>
      <c r="DV106" s="168">
        <f>SUMIF('CF(M)'!$L$11:$EQ$11,DV$6,'CF(M)'!$L111:$EQ111)</f>
        <v>0</v>
      </c>
    </row>
    <row r="107" spans="2:126" ht="11.25" customHeight="1">
      <c r="B107" s="218"/>
      <c r="C107" s="163"/>
      <c r="D107" s="169" t="s">
        <v>551</v>
      </c>
      <c r="H107" s="146"/>
      <c r="I107" s="229"/>
      <c r="J107" s="171">
        <f>SUM(L107:DV107)</f>
        <v>-14800000</v>
      </c>
      <c r="K107" s="98"/>
      <c r="L107" s="171">
        <f>SUMIF('CF(M)'!$L$11:$EQ$11,L$6,'CF(M)'!$L112:$EQ112)</f>
        <v>0</v>
      </c>
      <c r="M107" s="171">
        <f>SUMIF('CF(M)'!$L$11:$EQ$11,M$6,'CF(M)'!$L112:$EQ112)</f>
        <v>0</v>
      </c>
      <c r="N107" s="171">
        <f>SUMIF('CF(M)'!$L$11:$EQ$11,N$6,'CF(M)'!$L112:$EQ112)</f>
        <v>0</v>
      </c>
      <c r="O107" s="171">
        <f>SUMIF('CF(M)'!$L$11:$EQ$11,O$6,'CF(M)'!$L112:$EQ112)</f>
        <v>0</v>
      </c>
      <c r="P107" s="171">
        <f>SUMIF('CF(M)'!$L$11:$EQ$11,P$6,'CF(M)'!$L112:$EQ112)</f>
        <v>0</v>
      </c>
      <c r="Q107" s="171">
        <f>SUMIF('CF(M)'!$L$11:$EQ$11,Q$6,'CF(M)'!$L112:$EQ112)</f>
        <v>0</v>
      </c>
      <c r="R107" s="171">
        <f>SUMIF('CF(M)'!$L$11:$EQ$11,R$6,'CF(M)'!$L112:$EQ112)</f>
        <v>0</v>
      </c>
      <c r="S107" s="171">
        <f>SUMIF('CF(M)'!$L$11:$EQ$11,S$6,'CF(M)'!$L112:$EQ112)</f>
        <v>0</v>
      </c>
      <c r="T107" s="171">
        <f>SUMIF('CF(M)'!$L$11:$EQ$11,T$6,'CF(M)'!$L112:$EQ112)</f>
        <v>0</v>
      </c>
      <c r="U107" s="171">
        <f>SUMIF('CF(M)'!$L$11:$EQ$11,U$6,'CF(M)'!$L112:$EQ112)</f>
        <v>0</v>
      </c>
      <c r="V107" s="171">
        <f>SUMIF('CF(M)'!$L$11:$EQ$11,V$6,'CF(M)'!$L112:$EQ112)</f>
        <v>-14800000</v>
      </c>
      <c r="W107" s="171">
        <f>SUMIF('CF(M)'!$L$11:$EQ$11,W$6,'CF(M)'!$L112:$EQ112)</f>
        <v>0</v>
      </c>
      <c r="X107" s="171">
        <f>SUMIF('CF(M)'!$L$11:$EQ$11,X$6,'CF(M)'!$L112:$EQ112)</f>
        <v>0</v>
      </c>
      <c r="Y107" s="171">
        <f>SUMIF('CF(M)'!$L$11:$EQ$11,Y$6,'CF(M)'!$L112:$EQ112)</f>
        <v>0</v>
      </c>
      <c r="Z107" s="171">
        <f>SUMIF('CF(M)'!$L$11:$EQ$11,Z$6,'CF(M)'!$L112:$EQ112)</f>
        <v>0</v>
      </c>
      <c r="AA107" s="171">
        <f>SUMIF('CF(M)'!$L$11:$EQ$11,AA$6,'CF(M)'!$L112:$EQ112)</f>
        <v>0</v>
      </c>
      <c r="AB107" s="171">
        <f>SUMIF('CF(M)'!$L$11:$EQ$11,AB$6,'CF(M)'!$L112:$EQ112)</f>
        <v>0</v>
      </c>
      <c r="AC107" s="171">
        <f>SUMIF('CF(M)'!$L$11:$EQ$11,AC$6,'CF(M)'!$L112:$EQ112)</f>
        <v>0</v>
      </c>
      <c r="AD107" s="171">
        <f>SUMIF('CF(M)'!$L$11:$EQ$11,AD$6,'CF(M)'!$L112:$EQ112)</f>
        <v>0</v>
      </c>
      <c r="AE107" s="171">
        <f>SUMIF('CF(M)'!$L$11:$EQ$11,AE$6,'CF(M)'!$L112:$EQ112)</f>
        <v>0</v>
      </c>
      <c r="AF107" s="171">
        <f>SUMIF('CF(M)'!$L$11:$EQ$11,AF$6,'CF(M)'!$L112:$EQ112)</f>
        <v>0</v>
      </c>
      <c r="AG107" s="171">
        <f>SUMIF('CF(M)'!$L$11:$EQ$11,AG$6,'CF(M)'!$L112:$EQ112)</f>
        <v>0</v>
      </c>
      <c r="AH107" s="171">
        <f>SUMIF('CF(M)'!$L$11:$EQ$11,AH$6,'CF(M)'!$L112:$EQ112)</f>
        <v>0</v>
      </c>
      <c r="AI107" s="171">
        <f>SUMIF('CF(M)'!$L$11:$EQ$11,AI$6,'CF(M)'!$L112:$EQ112)</f>
        <v>0</v>
      </c>
      <c r="AJ107" s="171">
        <f>SUMIF('CF(M)'!$L$11:$EQ$11,AJ$6,'CF(M)'!$L112:$EQ112)</f>
        <v>0</v>
      </c>
      <c r="AK107" s="171">
        <f>SUMIF('CF(M)'!$L$11:$EQ$11,AK$6,'CF(M)'!$L112:$EQ112)</f>
        <v>0</v>
      </c>
      <c r="AL107" s="171">
        <f>SUMIF('CF(M)'!$L$11:$EQ$11,AL$6,'CF(M)'!$L112:$EQ112)</f>
        <v>0</v>
      </c>
      <c r="AM107" s="171">
        <f>SUMIF('CF(M)'!$L$11:$EQ$11,AM$6,'CF(M)'!$L112:$EQ112)</f>
        <v>0</v>
      </c>
      <c r="AN107" s="171">
        <f>SUMIF('CF(M)'!$L$11:$EQ$11,AN$6,'CF(M)'!$L112:$EQ112)</f>
        <v>0</v>
      </c>
      <c r="AO107" s="171">
        <f>SUMIF('CF(M)'!$L$11:$EQ$11,AO$6,'CF(M)'!$L112:$EQ112)</f>
        <v>0</v>
      </c>
      <c r="AP107" s="171">
        <f>SUMIF('CF(M)'!$L$11:$EQ$11,AP$6,'CF(M)'!$L112:$EQ112)</f>
        <v>0</v>
      </c>
      <c r="AQ107" s="171">
        <f>SUMIF('CF(M)'!$L$11:$EQ$11,AQ$6,'CF(M)'!$L112:$EQ112)</f>
        <v>0</v>
      </c>
      <c r="AR107" s="171">
        <f>SUMIF('CF(M)'!$L$11:$EQ$11,AR$6,'CF(M)'!$L112:$EQ112)</f>
        <v>0</v>
      </c>
      <c r="AS107" s="171">
        <f>SUMIF('CF(M)'!$L$11:$EQ$11,AS$6,'CF(M)'!$L112:$EQ112)</f>
        <v>0</v>
      </c>
      <c r="AT107" s="171">
        <f>SUMIF('CF(M)'!$L$11:$EQ$11,AT$6,'CF(M)'!$L112:$EQ112)</f>
        <v>0</v>
      </c>
      <c r="AU107" s="171">
        <f>SUMIF('CF(M)'!$L$11:$EQ$11,AU$6,'CF(M)'!$L112:$EQ112)</f>
        <v>0</v>
      </c>
      <c r="AV107" s="171">
        <f>SUMIF('CF(M)'!$L$11:$EQ$11,AV$6,'CF(M)'!$L112:$EQ112)</f>
        <v>0</v>
      </c>
      <c r="AW107" s="171">
        <f>SUMIF('CF(M)'!$L$11:$EQ$11,AW$6,'CF(M)'!$L112:$EQ112)</f>
        <v>0</v>
      </c>
      <c r="AX107" s="171">
        <f>SUMIF('CF(M)'!$L$11:$EQ$11,AX$6,'CF(M)'!$L112:$EQ112)</f>
        <v>0</v>
      </c>
      <c r="AY107" s="171">
        <f>SUMIF('CF(M)'!$L$11:$EQ$11,AY$6,'CF(M)'!$L112:$EQ112)</f>
        <v>0</v>
      </c>
      <c r="AZ107" s="171">
        <f>SUMIF('CF(M)'!$L$11:$EQ$11,AZ$6,'CF(M)'!$L112:$EQ112)</f>
        <v>0</v>
      </c>
      <c r="BA107" s="171">
        <f>SUMIF('CF(M)'!$L$11:$EQ$11,BA$6,'CF(M)'!$L112:$EQ112)</f>
        <v>0</v>
      </c>
      <c r="BB107" s="171">
        <f>SUMIF('CF(M)'!$L$11:$EQ$11,BB$6,'CF(M)'!$L112:$EQ112)</f>
        <v>0</v>
      </c>
      <c r="BC107" s="171">
        <f>SUMIF('CF(M)'!$L$11:$EQ$11,BC$6,'CF(M)'!$L112:$EQ112)</f>
        <v>0</v>
      </c>
      <c r="BD107" s="171">
        <f>SUMIF('CF(M)'!$L$11:$EQ$11,BD$6,'CF(M)'!$L112:$EQ112)</f>
        <v>0</v>
      </c>
      <c r="BE107" s="171">
        <f>SUMIF('CF(M)'!$L$11:$EQ$11,BE$6,'CF(M)'!$L112:$EQ112)</f>
        <v>0</v>
      </c>
      <c r="BF107" s="171">
        <f>SUMIF('CF(M)'!$L$11:$EQ$11,BF$6,'CF(M)'!$L112:$EQ112)</f>
        <v>0</v>
      </c>
      <c r="BG107" s="171">
        <f>SUMIF('CF(M)'!$L$11:$EQ$11,BG$6,'CF(M)'!$L112:$EQ112)</f>
        <v>0</v>
      </c>
      <c r="BH107" s="171">
        <f>SUMIF('CF(M)'!$L$11:$EQ$11,BH$6,'CF(M)'!$L112:$EQ112)</f>
        <v>0</v>
      </c>
      <c r="BI107" s="171">
        <f>SUMIF('CF(M)'!$L$11:$EQ$11,BI$6,'CF(M)'!$L112:$EQ112)</f>
        <v>0</v>
      </c>
      <c r="BJ107" s="171">
        <f>SUMIF('CF(M)'!$L$11:$EQ$11,BJ$6,'CF(M)'!$L112:$EQ112)</f>
        <v>0</v>
      </c>
      <c r="BK107" s="171">
        <f>SUMIF('CF(M)'!$L$11:$EQ$11,BK$6,'CF(M)'!$L112:$EQ112)</f>
        <v>0</v>
      </c>
      <c r="BL107" s="171">
        <f>SUMIF('CF(M)'!$L$11:$EQ$11,BL$6,'CF(M)'!$L112:$EQ112)</f>
        <v>0</v>
      </c>
      <c r="BM107" s="171">
        <f>SUMIF('CF(M)'!$L$11:$EQ$11,BM$6,'CF(M)'!$L112:$EQ112)</f>
        <v>0</v>
      </c>
      <c r="BN107" s="171">
        <f>SUMIF('CF(M)'!$L$11:$EQ$11,BN$6,'CF(M)'!$L112:$EQ112)</f>
        <v>0</v>
      </c>
      <c r="BO107" s="171">
        <f>SUMIF('CF(M)'!$L$11:$EQ$11,BO$6,'CF(M)'!$L112:$EQ112)</f>
        <v>0</v>
      </c>
      <c r="BP107" s="171">
        <f>SUMIF('CF(M)'!$L$11:$EQ$11,BP$6,'CF(M)'!$L112:$EQ112)</f>
        <v>0</v>
      </c>
      <c r="BQ107" s="171">
        <f>SUMIF('CF(M)'!$L$11:$EQ$11,BQ$6,'CF(M)'!$L112:$EQ112)</f>
        <v>0</v>
      </c>
      <c r="BR107" s="171">
        <f>SUMIF('CF(M)'!$L$11:$EQ$11,BR$6,'CF(M)'!$L112:$EQ112)</f>
        <v>0</v>
      </c>
      <c r="BS107" s="171">
        <f>SUMIF('CF(M)'!$L$11:$EQ$11,BS$6,'CF(M)'!$L112:$EQ112)</f>
        <v>0</v>
      </c>
      <c r="BT107" s="171">
        <f>SUMIF('CF(M)'!$L$11:$EQ$11,BT$6,'CF(M)'!$L112:$EQ112)</f>
        <v>0</v>
      </c>
      <c r="BU107" s="171">
        <f>SUMIF('CF(M)'!$L$11:$EQ$11,BU$6,'CF(M)'!$L112:$EQ112)</f>
        <v>0</v>
      </c>
      <c r="BV107" s="171">
        <f>SUMIF('CF(M)'!$L$11:$EQ$11,BV$6,'CF(M)'!$L112:$EQ112)</f>
        <v>0</v>
      </c>
      <c r="BW107" s="171">
        <f>SUMIF('CF(M)'!$L$11:$EQ$11,BW$6,'CF(M)'!$L112:$EQ112)</f>
        <v>0</v>
      </c>
      <c r="BX107" s="171">
        <f>SUMIF('CF(M)'!$L$11:$EQ$11,BX$6,'CF(M)'!$L112:$EQ112)</f>
        <v>0</v>
      </c>
      <c r="BY107" s="171">
        <f>SUMIF('CF(M)'!$L$11:$EQ$11,BY$6,'CF(M)'!$L112:$EQ112)</f>
        <v>0</v>
      </c>
      <c r="BZ107" s="171">
        <f>SUMIF('CF(M)'!$L$11:$EQ$11,BZ$6,'CF(M)'!$L112:$EQ112)</f>
        <v>0</v>
      </c>
      <c r="CA107" s="171">
        <f>SUMIF('CF(M)'!$L$11:$EQ$11,CA$6,'CF(M)'!$L112:$EQ112)</f>
        <v>0</v>
      </c>
      <c r="CB107" s="171">
        <f>SUMIF('CF(M)'!$L$11:$EQ$11,CB$6,'CF(M)'!$L112:$EQ112)</f>
        <v>0</v>
      </c>
      <c r="CC107" s="171">
        <f>SUMIF('CF(M)'!$L$11:$EQ$11,CC$6,'CF(M)'!$L112:$EQ112)</f>
        <v>0</v>
      </c>
      <c r="CD107" s="171">
        <f>SUMIF('CF(M)'!$L$11:$EQ$11,CD$6,'CF(M)'!$L112:$EQ112)</f>
        <v>0</v>
      </c>
      <c r="CE107" s="171">
        <f>SUMIF('CF(M)'!$L$11:$EQ$11,CE$6,'CF(M)'!$L112:$EQ112)</f>
        <v>0</v>
      </c>
      <c r="CF107" s="171">
        <f>SUMIF('CF(M)'!$L$11:$EQ$11,CF$6,'CF(M)'!$L112:$EQ112)</f>
        <v>0</v>
      </c>
      <c r="CG107" s="171">
        <f>SUMIF('CF(M)'!$L$11:$EQ$11,CG$6,'CF(M)'!$L112:$EQ112)</f>
        <v>0</v>
      </c>
      <c r="CH107" s="171">
        <f>SUMIF('CF(M)'!$L$11:$EQ$11,CH$6,'CF(M)'!$L112:$EQ112)</f>
        <v>0</v>
      </c>
      <c r="CI107" s="171">
        <f>SUMIF('CF(M)'!$L$11:$EQ$11,CI$6,'CF(M)'!$L112:$EQ112)</f>
        <v>0</v>
      </c>
      <c r="CJ107" s="171">
        <f>SUMIF('CF(M)'!$L$11:$EQ$11,CJ$6,'CF(M)'!$L112:$EQ112)</f>
        <v>0</v>
      </c>
      <c r="CK107" s="171">
        <f>SUMIF('CF(M)'!$L$11:$EQ$11,CK$6,'CF(M)'!$L112:$EQ112)</f>
        <v>0</v>
      </c>
      <c r="CL107" s="171">
        <f>SUMIF('CF(M)'!$L$11:$EQ$11,CL$6,'CF(M)'!$L112:$EQ112)</f>
        <v>0</v>
      </c>
      <c r="CM107" s="171">
        <f>SUMIF('CF(M)'!$L$11:$EQ$11,CM$6,'CF(M)'!$L112:$EQ112)</f>
        <v>0</v>
      </c>
      <c r="CN107" s="171">
        <f>SUMIF('CF(M)'!$L$11:$EQ$11,CN$6,'CF(M)'!$L112:$EQ112)</f>
        <v>0</v>
      </c>
      <c r="CO107" s="171">
        <f>SUMIF('CF(M)'!$L$11:$EQ$11,CO$6,'CF(M)'!$L112:$EQ112)</f>
        <v>0</v>
      </c>
      <c r="CP107" s="171">
        <f>SUMIF('CF(M)'!$L$11:$EQ$11,CP$6,'CF(M)'!$L112:$EQ112)</f>
        <v>0</v>
      </c>
      <c r="CQ107" s="171">
        <f>SUMIF('CF(M)'!$L$11:$EQ$11,CQ$6,'CF(M)'!$L112:$EQ112)</f>
        <v>0</v>
      </c>
      <c r="CR107" s="171">
        <f>SUMIF('CF(M)'!$L$11:$EQ$11,CR$6,'CF(M)'!$L112:$EQ112)</f>
        <v>0</v>
      </c>
      <c r="CS107" s="171">
        <f>SUMIF('CF(M)'!$L$11:$EQ$11,CS$6,'CF(M)'!$L112:$EQ112)</f>
        <v>0</v>
      </c>
      <c r="CT107" s="171">
        <f>SUMIF('CF(M)'!$L$11:$EQ$11,CT$6,'CF(M)'!$L112:$EQ112)</f>
        <v>0</v>
      </c>
      <c r="CU107" s="171">
        <f>SUMIF('CF(M)'!$L$11:$EQ$11,CU$6,'CF(M)'!$L112:$EQ112)</f>
        <v>0</v>
      </c>
      <c r="CV107" s="171">
        <f>SUMIF('CF(M)'!$L$11:$EQ$11,CV$6,'CF(M)'!$L112:$EQ112)</f>
        <v>0</v>
      </c>
      <c r="CW107" s="171">
        <f>SUMIF('CF(M)'!$L$11:$EQ$11,CW$6,'CF(M)'!$L112:$EQ112)</f>
        <v>0</v>
      </c>
      <c r="CX107" s="171">
        <f>SUMIF('CF(M)'!$L$11:$EQ$11,CX$6,'CF(M)'!$L112:$EQ112)</f>
        <v>0</v>
      </c>
      <c r="CY107" s="171">
        <f>SUMIF('CF(M)'!$L$11:$EQ$11,CY$6,'CF(M)'!$L112:$EQ112)</f>
        <v>0</v>
      </c>
      <c r="CZ107" s="171">
        <f>SUMIF('CF(M)'!$L$11:$EQ$11,CZ$6,'CF(M)'!$L112:$EQ112)</f>
        <v>0</v>
      </c>
      <c r="DA107" s="171">
        <f>SUMIF('CF(M)'!$L$11:$EQ$11,DA$6,'CF(M)'!$L112:$EQ112)</f>
        <v>0</v>
      </c>
      <c r="DB107" s="171">
        <f>SUMIF('CF(M)'!$L$11:$EQ$11,DB$6,'CF(M)'!$L112:$EQ112)</f>
        <v>0</v>
      </c>
      <c r="DC107" s="171">
        <f>SUMIF('CF(M)'!$L$11:$EQ$11,DC$6,'CF(M)'!$L112:$EQ112)</f>
        <v>0</v>
      </c>
      <c r="DD107" s="171">
        <f>SUMIF('CF(M)'!$L$11:$EQ$11,DD$6,'CF(M)'!$L112:$EQ112)</f>
        <v>0</v>
      </c>
      <c r="DE107" s="171">
        <f>SUMIF('CF(M)'!$L$11:$EQ$11,DE$6,'CF(M)'!$L112:$EQ112)</f>
        <v>0</v>
      </c>
      <c r="DF107" s="171">
        <f>SUMIF('CF(M)'!$L$11:$EQ$11,DF$6,'CF(M)'!$L112:$EQ112)</f>
        <v>0</v>
      </c>
      <c r="DG107" s="171">
        <f>SUMIF('CF(M)'!$L$11:$EQ$11,DG$6,'CF(M)'!$L112:$EQ112)</f>
        <v>0</v>
      </c>
      <c r="DH107" s="171">
        <f>SUMIF('CF(M)'!$L$11:$EQ$11,DH$6,'CF(M)'!$L112:$EQ112)</f>
        <v>0</v>
      </c>
      <c r="DI107" s="171">
        <f>SUMIF('CF(M)'!$L$11:$EQ$11,DI$6,'CF(M)'!$L112:$EQ112)</f>
        <v>0</v>
      </c>
      <c r="DJ107" s="171">
        <f>SUMIF('CF(M)'!$L$11:$EQ$11,DJ$6,'CF(M)'!$L112:$EQ112)</f>
        <v>0</v>
      </c>
      <c r="DK107" s="171">
        <f>SUMIF('CF(M)'!$L$11:$EQ$11,DK$6,'CF(M)'!$L112:$EQ112)</f>
        <v>0</v>
      </c>
      <c r="DL107" s="171">
        <f>SUMIF('CF(M)'!$L$11:$EQ$11,DL$6,'CF(M)'!$L112:$EQ112)</f>
        <v>0</v>
      </c>
      <c r="DM107" s="171">
        <f>SUMIF('CF(M)'!$L$11:$EQ$11,DM$6,'CF(M)'!$L112:$EQ112)</f>
        <v>0</v>
      </c>
      <c r="DN107" s="171">
        <f>SUMIF('CF(M)'!$L$11:$EQ$11,DN$6,'CF(M)'!$L112:$EQ112)</f>
        <v>0</v>
      </c>
      <c r="DO107" s="171">
        <f>SUMIF('CF(M)'!$L$11:$EQ$11,DO$6,'CF(M)'!$L112:$EQ112)</f>
        <v>0</v>
      </c>
      <c r="DP107" s="171">
        <f>SUMIF('CF(M)'!$L$11:$EQ$11,DP$6,'CF(M)'!$L112:$EQ112)</f>
        <v>0</v>
      </c>
      <c r="DQ107" s="171">
        <f>SUMIF('CF(M)'!$L$11:$EQ$11,DQ$6,'CF(M)'!$L112:$EQ112)</f>
        <v>0</v>
      </c>
      <c r="DR107" s="171">
        <f>SUMIF('CF(M)'!$L$11:$EQ$11,DR$6,'CF(M)'!$L112:$EQ112)</f>
        <v>0</v>
      </c>
      <c r="DS107" s="171">
        <f>SUMIF('CF(M)'!$L$11:$EQ$11,DS$6,'CF(M)'!$L112:$EQ112)</f>
        <v>0</v>
      </c>
      <c r="DT107" s="171">
        <f>SUMIF('CF(M)'!$L$11:$EQ$11,DT$6,'CF(M)'!$L112:$EQ112)</f>
        <v>0</v>
      </c>
      <c r="DU107" s="171">
        <f>SUMIF('CF(M)'!$L$11:$EQ$11,DU$6,'CF(M)'!$L112:$EQ112)</f>
        <v>0</v>
      </c>
      <c r="DV107" s="171">
        <f>SUMIF('CF(M)'!$L$11:$EQ$11,DV$6,'CF(M)'!$L112:$EQ112)</f>
        <v>0</v>
      </c>
    </row>
    <row r="108" spans="2:126" ht="11.25" customHeight="1">
      <c r="B108" s="218"/>
      <c r="C108" s="163"/>
      <c r="D108" s="169" t="s">
        <v>130</v>
      </c>
      <c r="H108" s="146"/>
      <c r="I108" s="229"/>
      <c r="J108" s="171">
        <f ca="1">SUM(L108:DV108)</f>
        <v>-1110000</v>
      </c>
      <c r="K108" s="98"/>
      <c r="L108" s="171">
        <f ca="1">SUMIF('CF(M)'!$L$11:$EQ$11,L$6,'CF(M)'!$L113:$EQ113)</f>
        <v>0</v>
      </c>
      <c r="M108" s="171">
        <f ca="1">SUMIF('CF(M)'!$L$11:$EQ$11,M$6,'CF(M)'!$L113:$EQ113)</f>
        <v>-1110000</v>
      </c>
      <c r="N108" s="171">
        <f ca="1">SUMIF('CF(M)'!$L$11:$EQ$11,N$6,'CF(M)'!$L113:$EQ113)</f>
        <v>0</v>
      </c>
      <c r="O108" s="171">
        <f ca="1">SUMIF('CF(M)'!$L$11:$EQ$11,O$6,'CF(M)'!$L113:$EQ113)</f>
        <v>0</v>
      </c>
      <c r="P108" s="171">
        <f ca="1">SUMIF('CF(M)'!$L$11:$EQ$11,P$6,'CF(M)'!$L113:$EQ113)</f>
        <v>0</v>
      </c>
      <c r="Q108" s="171">
        <f ca="1">SUMIF('CF(M)'!$L$11:$EQ$11,Q$6,'CF(M)'!$L113:$EQ113)</f>
        <v>0</v>
      </c>
      <c r="R108" s="171">
        <f ca="1">SUMIF('CF(M)'!$L$11:$EQ$11,R$6,'CF(M)'!$L113:$EQ113)</f>
        <v>0</v>
      </c>
      <c r="S108" s="171">
        <f ca="1">SUMIF('CF(M)'!$L$11:$EQ$11,S$6,'CF(M)'!$L113:$EQ113)</f>
        <v>0</v>
      </c>
      <c r="T108" s="171">
        <f ca="1">SUMIF('CF(M)'!$L$11:$EQ$11,T$6,'CF(M)'!$L113:$EQ113)</f>
        <v>0</v>
      </c>
      <c r="U108" s="171">
        <f ca="1">SUMIF('CF(M)'!$L$11:$EQ$11,U$6,'CF(M)'!$L113:$EQ113)</f>
        <v>0</v>
      </c>
      <c r="V108" s="171">
        <f ca="1">SUMIF('CF(M)'!$L$11:$EQ$11,V$6,'CF(M)'!$L113:$EQ113)</f>
        <v>0</v>
      </c>
      <c r="W108" s="171">
        <f ca="1">SUMIF('CF(M)'!$L$11:$EQ$11,W$6,'CF(M)'!$L113:$EQ113)</f>
        <v>0</v>
      </c>
      <c r="X108" s="171">
        <f ca="1">SUMIF('CF(M)'!$L$11:$EQ$11,X$6,'CF(M)'!$L113:$EQ113)</f>
        <v>0</v>
      </c>
      <c r="Y108" s="171">
        <f>SUMIF('CF(M)'!$L$11:$EQ$11,Y$6,'CF(M)'!$L113:$EQ113)</f>
        <v>0</v>
      </c>
      <c r="Z108" s="171">
        <f>SUMIF('CF(M)'!$L$11:$EQ$11,Z$6,'CF(M)'!$L113:$EQ113)</f>
        <v>0</v>
      </c>
      <c r="AA108" s="171">
        <f>SUMIF('CF(M)'!$L$11:$EQ$11,AA$6,'CF(M)'!$L113:$EQ113)</f>
        <v>0</v>
      </c>
      <c r="AB108" s="171">
        <f>SUMIF('CF(M)'!$L$11:$EQ$11,AB$6,'CF(M)'!$L113:$EQ113)</f>
        <v>0</v>
      </c>
      <c r="AC108" s="171">
        <f>SUMIF('CF(M)'!$L$11:$EQ$11,AC$6,'CF(M)'!$L113:$EQ113)</f>
        <v>0</v>
      </c>
      <c r="AD108" s="171">
        <f>SUMIF('CF(M)'!$L$11:$EQ$11,AD$6,'CF(M)'!$L113:$EQ113)</f>
        <v>0</v>
      </c>
      <c r="AE108" s="171">
        <f>SUMIF('CF(M)'!$L$11:$EQ$11,AE$6,'CF(M)'!$L113:$EQ113)</f>
        <v>0</v>
      </c>
      <c r="AF108" s="171">
        <f>SUMIF('CF(M)'!$L$11:$EQ$11,AF$6,'CF(M)'!$L113:$EQ113)</f>
        <v>0</v>
      </c>
      <c r="AG108" s="171">
        <f>SUMIF('CF(M)'!$L$11:$EQ$11,AG$6,'CF(M)'!$L113:$EQ113)</f>
        <v>0</v>
      </c>
      <c r="AH108" s="171">
        <f>SUMIF('CF(M)'!$L$11:$EQ$11,AH$6,'CF(M)'!$L113:$EQ113)</f>
        <v>0</v>
      </c>
      <c r="AI108" s="171">
        <f>SUMIF('CF(M)'!$L$11:$EQ$11,AI$6,'CF(M)'!$L113:$EQ113)</f>
        <v>0</v>
      </c>
      <c r="AJ108" s="171">
        <f>SUMIF('CF(M)'!$L$11:$EQ$11,AJ$6,'CF(M)'!$L113:$EQ113)</f>
        <v>0</v>
      </c>
      <c r="AK108" s="171">
        <f>SUMIF('CF(M)'!$L$11:$EQ$11,AK$6,'CF(M)'!$L113:$EQ113)</f>
        <v>0</v>
      </c>
      <c r="AL108" s="171">
        <f>SUMIF('CF(M)'!$L$11:$EQ$11,AL$6,'CF(M)'!$L113:$EQ113)</f>
        <v>0</v>
      </c>
      <c r="AM108" s="171">
        <f>SUMIF('CF(M)'!$L$11:$EQ$11,AM$6,'CF(M)'!$L113:$EQ113)</f>
        <v>0</v>
      </c>
      <c r="AN108" s="171">
        <f>SUMIF('CF(M)'!$L$11:$EQ$11,AN$6,'CF(M)'!$L113:$EQ113)</f>
        <v>0</v>
      </c>
      <c r="AO108" s="171">
        <f>SUMIF('CF(M)'!$L$11:$EQ$11,AO$6,'CF(M)'!$L113:$EQ113)</f>
        <v>0</v>
      </c>
      <c r="AP108" s="171">
        <f>SUMIF('CF(M)'!$L$11:$EQ$11,AP$6,'CF(M)'!$L113:$EQ113)</f>
        <v>0</v>
      </c>
      <c r="AQ108" s="171">
        <f>SUMIF('CF(M)'!$L$11:$EQ$11,AQ$6,'CF(M)'!$L113:$EQ113)</f>
        <v>0</v>
      </c>
      <c r="AR108" s="171">
        <f>SUMIF('CF(M)'!$L$11:$EQ$11,AR$6,'CF(M)'!$L113:$EQ113)</f>
        <v>0</v>
      </c>
      <c r="AS108" s="171">
        <f>SUMIF('CF(M)'!$L$11:$EQ$11,AS$6,'CF(M)'!$L113:$EQ113)</f>
        <v>0</v>
      </c>
      <c r="AT108" s="171">
        <f>SUMIF('CF(M)'!$L$11:$EQ$11,AT$6,'CF(M)'!$L113:$EQ113)</f>
        <v>0</v>
      </c>
      <c r="AU108" s="171">
        <f>SUMIF('CF(M)'!$L$11:$EQ$11,AU$6,'CF(M)'!$L113:$EQ113)</f>
        <v>0</v>
      </c>
      <c r="AV108" s="171">
        <f>SUMIF('CF(M)'!$L$11:$EQ$11,AV$6,'CF(M)'!$L113:$EQ113)</f>
        <v>0</v>
      </c>
      <c r="AW108" s="171">
        <f>SUMIF('CF(M)'!$L$11:$EQ$11,AW$6,'CF(M)'!$L113:$EQ113)</f>
        <v>0</v>
      </c>
      <c r="AX108" s="171">
        <f>SUMIF('CF(M)'!$L$11:$EQ$11,AX$6,'CF(M)'!$L113:$EQ113)</f>
        <v>0</v>
      </c>
      <c r="AY108" s="171">
        <f>SUMIF('CF(M)'!$L$11:$EQ$11,AY$6,'CF(M)'!$L113:$EQ113)</f>
        <v>0</v>
      </c>
      <c r="AZ108" s="171">
        <f>SUMIF('CF(M)'!$L$11:$EQ$11,AZ$6,'CF(M)'!$L113:$EQ113)</f>
        <v>0</v>
      </c>
      <c r="BA108" s="171">
        <f>SUMIF('CF(M)'!$L$11:$EQ$11,BA$6,'CF(M)'!$L113:$EQ113)</f>
        <v>0</v>
      </c>
      <c r="BB108" s="171">
        <f>SUMIF('CF(M)'!$L$11:$EQ$11,BB$6,'CF(M)'!$L113:$EQ113)</f>
        <v>0</v>
      </c>
      <c r="BC108" s="171">
        <f>SUMIF('CF(M)'!$L$11:$EQ$11,BC$6,'CF(M)'!$L113:$EQ113)</f>
        <v>0</v>
      </c>
      <c r="BD108" s="171">
        <f>SUMIF('CF(M)'!$L$11:$EQ$11,BD$6,'CF(M)'!$L113:$EQ113)</f>
        <v>0</v>
      </c>
      <c r="BE108" s="171">
        <f>SUMIF('CF(M)'!$L$11:$EQ$11,BE$6,'CF(M)'!$L113:$EQ113)</f>
        <v>0</v>
      </c>
      <c r="BF108" s="171">
        <f>SUMIF('CF(M)'!$L$11:$EQ$11,BF$6,'CF(M)'!$L113:$EQ113)</f>
        <v>0</v>
      </c>
      <c r="BG108" s="171">
        <f>SUMIF('CF(M)'!$L$11:$EQ$11,BG$6,'CF(M)'!$L113:$EQ113)</f>
        <v>0</v>
      </c>
      <c r="BH108" s="171">
        <f>SUMIF('CF(M)'!$L$11:$EQ$11,BH$6,'CF(M)'!$L113:$EQ113)</f>
        <v>0</v>
      </c>
      <c r="BI108" s="171">
        <f>SUMIF('CF(M)'!$L$11:$EQ$11,BI$6,'CF(M)'!$L113:$EQ113)</f>
        <v>0</v>
      </c>
      <c r="BJ108" s="171">
        <f>SUMIF('CF(M)'!$L$11:$EQ$11,BJ$6,'CF(M)'!$L113:$EQ113)</f>
        <v>0</v>
      </c>
      <c r="BK108" s="171">
        <f>SUMIF('CF(M)'!$L$11:$EQ$11,BK$6,'CF(M)'!$L113:$EQ113)</f>
        <v>0</v>
      </c>
      <c r="BL108" s="171">
        <f>SUMIF('CF(M)'!$L$11:$EQ$11,BL$6,'CF(M)'!$L113:$EQ113)</f>
        <v>0</v>
      </c>
      <c r="BM108" s="171">
        <f>SUMIF('CF(M)'!$L$11:$EQ$11,BM$6,'CF(M)'!$L113:$EQ113)</f>
        <v>0</v>
      </c>
      <c r="BN108" s="171">
        <f>SUMIF('CF(M)'!$L$11:$EQ$11,BN$6,'CF(M)'!$L113:$EQ113)</f>
        <v>0</v>
      </c>
      <c r="BO108" s="171">
        <f>SUMIF('CF(M)'!$L$11:$EQ$11,BO$6,'CF(M)'!$L113:$EQ113)</f>
        <v>0</v>
      </c>
      <c r="BP108" s="171">
        <f>SUMIF('CF(M)'!$L$11:$EQ$11,BP$6,'CF(M)'!$L113:$EQ113)</f>
        <v>0</v>
      </c>
      <c r="BQ108" s="171">
        <f>SUMIF('CF(M)'!$L$11:$EQ$11,BQ$6,'CF(M)'!$L113:$EQ113)</f>
        <v>0</v>
      </c>
      <c r="BR108" s="171">
        <f>SUMIF('CF(M)'!$L$11:$EQ$11,BR$6,'CF(M)'!$L113:$EQ113)</f>
        <v>0</v>
      </c>
      <c r="BS108" s="171">
        <f>SUMIF('CF(M)'!$L$11:$EQ$11,BS$6,'CF(M)'!$L113:$EQ113)</f>
        <v>0</v>
      </c>
      <c r="BT108" s="171">
        <f>SUMIF('CF(M)'!$L$11:$EQ$11,BT$6,'CF(M)'!$L113:$EQ113)</f>
        <v>0</v>
      </c>
      <c r="BU108" s="171">
        <f>SUMIF('CF(M)'!$L$11:$EQ$11,BU$6,'CF(M)'!$L113:$EQ113)</f>
        <v>0</v>
      </c>
      <c r="BV108" s="171">
        <f>SUMIF('CF(M)'!$L$11:$EQ$11,BV$6,'CF(M)'!$L113:$EQ113)</f>
        <v>0</v>
      </c>
      <c r="BW108" s="171">
        <f>SUMIF('CF(M)'!$L$11:$EQ$11,BW$6,'CF(M)'!$L113:$EQ113)</f>
        <v>0</v>
      </c>
      <c r="BX108" s="171">
        <f>SUMIF('CF(M)'!$L$11:$EQ$11,BX$6,'CF(M)'!$L113:$EQ113)</f>
        <v>0</v>
      </c>
      <c r="BY108" s="171">
        <f>SUMIF('CF(M)'!$L$11:$EQ$11,BY$6,'CF(M)'!$L113:$EQ113)</f>
        <v>0</v>
      </c>
      <c r="BZ108" s="171">
        <f>SUMIF('CF(M)'!$L$11:$EQ$11,BZ$6,'CF(M)'!$L113:$EQ113)</f>
        <v>0</v>
      </c>
      <c r="CA108" s="171">
        <f>SUMIF('CF(M)'!$L$11:$EQ$11,CA$6,'CF(M)'!$L113:$EQ113)</f>
        <v>0</v>
      </c>
      <c r="CB108" s="171">
        <f>SUMIF('CF(M)'!$L$11:$EQ$11,CB$6,'CF(M)'!$L113:$EQ113)</f>
        <v>0</v>
      </c>
      <c r="CC108" s="171">
        <f>SUMIF('CF(M)'!$L$11:$EQ$11,CC$6,'CF(M)'!$L113:$EQ113)</f>
        <v>0</v>
      </c>
      <c r="CD108" s="171">
        <f>SUMIF('CF(M)'!$L$11:$EQ$11,CD$6,'CF(M)'!$L113:$EQ113)</f>
        <v>0</v>
      </c>
      <c r="CE108" s="171">
        <f>SUMIF('CF(M)'!$L$11:$EQ$11,CE$6,'CF(M)'!$L113:$EQ113)</f>
        <v>0</v>
      </c>
      <c r="CF108" s="171">
        <f>SUMIF('CF(M)'!$L$11:$EQ$11,CF$6,'CF(M)'!$L113:$EQ113)</f>
        <v>0</v>
      </c>
      <c r="CG108" s="171">
        <f>SUMIF('CF(M)'!$L$11:$EQ$11,CG$6,'CF(M)'!$L113:$EQ113)</f>
        <v>0</v>
      </c>
      <c r="CH108" s="171">
        <f>SUMIF('CF(M)'!$L$11:$EQ$11,CH$6,'CF(M)'!$L113:$EQ113)</f>
        <v>0</v>
      </c>
      <c r="CI108" s="171">
        <f>SUMIF('CF(M)'!$L$11:$EQ$11,CI$6,'CF(M)'!$L113:$EQ113)</f>
        <v>0</v>
      </c>
      <c r="CJ108" s="171">
        <f>SUMIF('CF(M)'!$L$11:$EQ$11,CJ$6,'CF(M)'!$L113:$EQ113)</f>
        <v>0</v>
      </c>
      <c r="CK108" s="171">
        <f>SUMIF('CF(M)'!$L$11:$EQ$11,CK$6,'CF(M)'!$L113:$EQ113)</f>
        <v>0</v>
      </c>
      <c r="CL108" s="171">
        <f>SUMIF('CF(M)'!$L$11:$EQ$11,CL$6,'CF(M)'!$L113:$EQ113)</f>
        <v>0</v>
      </c>
      <c r="CM108" s="171">
        <f>SUMIF('CF(M)'!$L$11:$EQ$11,CM$6,'CF(M)'!$L113:$EQ113)</f>
        <v>0</v>
      </c>
      <c r="CN108" s="171">
        <f>SUMIF('CF(M)'!$L$11:$EQ$11,CN$6,'CF(M)'!$L113:$EQ113)</f>
        <v>0</v>
      </c>
      <c r="CO108" s="171">
        <f>SUMIF('CF(M)'!$L$11:$EQ$11,CO$6,'CF(M)'!$L113:$EQ113)</f>
        <v>0</v>
      </c>
      <c r="CP108" s="171">
        <f>SUMIF('CF(M)'!$L$11:$EQ$11,CP$6,'CF(M)'!$L113:$EQ113)</f>
        <v>0</v>
      </c>
      <c r="CQ108" s="171">
        <f>SUMIF('CF(M)'!$L$11:$EQ$11,CQ$6,'CF(M)'!$L113:$EQ113)</f>
        <v>0</v>
      </c>
      <c r="CR108" s="171">
        <f>SUMIF('CF(M)'!$L$11:$EQ$11,CR$6,'CF(M)'!$L113:$EQ113)</f>
        <v>0</v>
      </c>
      <c r="CS108" s="171">
        <f>SUMIF('CF(M)'!$L$11:$EQ$11,CS$6,'CF(M)'!$L113:$EQ113)</f>
        <v>0</v>
      </c>
      <c r="CT108" s="171">
        <f>SUMIF('CF(M)'!$L$11:$EQ$11,CT$6,'CF(M)'!$L113:$EQ113)</f>
        <v>0</v>
      </c>
      <c r="CU108" s="171">
        <f>SUMIF('CF(M)'!$L$11:$EQ$11,CU$6,'CF(M)'!$L113:$EQ113)</f>
        <v>0</v>
      </c>
      <c r="CV108" s="171">
        <f>SUMIF('CF(M)'!$L$11:$EQ$11,CV$6,'CF(M)'!$L113:$EQ113)</f>
        <v>0</v>
      </c>
      <c r="CW108" s="171">
        <f>SUMIF('CF(M)'!$L$11:$EQ$11,CW$6,'CF(M)'!$L113:$EQ113)</f>
        <v>0</v>
      </c>
      <c r="CX108" s="171">
        <f>SUMIF('CF(M)'!$L$11:$EQ$11,CX$6,'CF(M)'!$L113:$EQ113)</f>
        <v>0</v>
      </c>
      <c r="CY108" s="171">
        <f>SUMIF('CF(M)'!$L$11:$EQ$11,CY$6,'CF(M)'!$L113:$EQ113)</f>
        <v>0</v>
      </c>
      <c r="CZ108" s="171">
        <f>SUMIF('CF(M)'!$L$11:$EQ$11,CZ$6,'CF(M)'!$L113:$EQ113)</f>
        <v>0</v>
      </c>
      <c r="DA108" s="171">
        <f>SUMIF('CF(M)'!$L$11:$EQ$11,DA$6,'CF(M)'!$L113:$EQ113)</f>
        <v>0</v>
      </c>
      <c r="DB108" s="171">
        <f>SUMIF('CF(M)'!$L$11:$EQ$11,DB$6,'CF(M)'!$L113:$EQ113)</f>
        <v>0</v>
      </c>
      <c r="DC108" s="171">
        <f>SUMIF('CF(M)'!$L$11:$EQ$11,DC$6,'CF(M)'!$L113:$EQ113)</f>
        <v>0</v>
      </c>
      <c r="DD108" s="171">
        <f>SUMIF('CF(M)'!$L$11:$EQ$11,DD$6,'CF(M)'!$L113:$EQ113)</f>
        <v>0</v>
      </c>
      <c r="DE108" s="171">
        <f>SUMIF('CF(M)'!$L$11:$EQ$11,DE$6,'CF(M)'!$L113:$EQ113)</f>
        <v>0</v>
      </c>
      <c r="DF108" s="171">
        <f>SUMIF('CF(M)'!$L$11:$EQ$11,DF$6,'CF(M)'!$L113:$EQ113)</f>
        <v>0</v>
      </c>
      <c r="DG108" s="171">
        <f>SUMIF('CF(M)'!$L$11:$EQ$11,DG$6,'CF(M)'!$L113:$EQ113)</f>
        <v>0</v>
      </c>
      <c r="DH108" s="171">
        <f>SUMIF('CF(M)'!$L$11:$EQ$11,DH$6,'CF(M)'!$L113:$EQ113)</f>
        <v>0</v>
      </c>
      <c r="DI108" s="171">
        <f>SUMIF('CF(M)'!$L$11:$EQ$11,DI$6,'CF(M)'!$L113:$EQ113)</f>
        <v>0</v>
      </c>
      <c r="DJ108" s="171">
        <f>SUMIF('CF(M)'!$L$11:$EQ$11,DJ$6,'CF(M)'!$L113:$EQ113)</f>
        <v>0</v>
      </c>
      <c r="DK108" s="171">
        <f>SUMIF('CF(M)'!$L$11:$EQ$11,DK$6,'CF(M)'!$L113:$EQ113)</f>
        <v>0</v>
      </c>
      <c r="DL108" s="171">
        <f>SUMIF('CF(M)'!$L$11:$EQ$11,DL$6,'CF(M)'!$L113:$EQ113)</f>
        <v>0</v>
      </c>
      <c r="DM108" s="171">
        <f>SUMIF('CF(M)'!$L$11:$EQ$11,DM$6,'CF(M)'!$L113:$EQ113)</f>
        <v>0</v>
      </c>
      <c r="DN108" s="171">
        <f>SUMIF('CF(M)'!$L$11:$EQ$11,DN$6,'CF(M)'!$L113:$EQ113)</f>
        <v>0</v>
      </c>
      <c r="DO108" s="171">
        <f>SUMIF('CF(M)'!$L$11:$EQ$11,DO$6,'CF(M)'!$L113:$EQ113)</f>
        <v>0</v>
      </c>
      <c r="DP108" s="171">
        <f>SUMIF('CF(M)'!$L$11:$EQ$11,DP$6,'CF(M)'!$L113:$EQ113)</f>
        <v>0</v>
      </c>
      <c r="DQ108" s="171">
        <f>SUMIF('CF(M)'!$L$11:$EQ$11,DQ$6,'CF(M)'!$L113:$EQ113)</f>
        <v>0</v>
      </c>
      <c r="DR108" s="171">
        <f>SUMIF('CF(M)'!$L$11:$EQ$11,DR$6,'CF(M)'!$L113:$EQ113)</f>
        <v>0</v>
      </c>
      <c r="DS108" s="171">
        <f>SUMIF('CF(M)'!$L$11:$EQ$11,DS$6,'CF(M)'!$L113:$EQ113)</f>
        <v>0</v>
      </c>
      <c r="DT108" s="171">
        <f>SUMIF('CF(M)'!$L$11:$EQ$11,DT$6,'CF(M)'!$L113:$EQ113)</f>
        <v>0</v>
      </c>
      <c r="DU108" s="171">
        <f>SUMIF('CF(M)'!$L$11:$EQ$11,DU$6,'CF(M)'!$L113:$EQ113)</f>
        <v>0</v>
      </c>
      <c r="DV108" s="171">
        <f>SUMIF('CF(M)'!$L$11:$EQ$11,DV$6,'CF(M)'!$L113:$EQ113)</f>
        <v>0</v>
      </c>
    </row>
    <row r="109" spans="2:126" ht="11.25" customHeight="1">
      <c r="B109" s="218"/>
      <c r="C109" s="163"/>
      <c r="D109" s="169" t="s">
        <v>211</v>
      </c>
      <c r="G109" s="65"/>
      <c r="H109" s="146"/>
      <c r="I109" s="229"/>
      <c r="J109" s="171">
        <f>SUM(L109:DV109)</f>
        <v>-47070453.350267738</v>
      </c>
      <c r="K109" s="98"/>
      <c r="L109" s="171">
        <f>SUMIF('CF(M)'!$L$11:$EQ$11,L$6,'CF(M)'!$L114:$EQ114)</f>
        <v>0</v>
      </c>
      <c r="M109" s="171">
        <f>SUMIF('CF(M)'!$L$11:$EQ$11,M$6,'CF(M)'!$L114:$EQ114)</f>
        <v>0</v>
      </c>
      <c r="N109" s="171">
        <f>SUMIF('CF(M)'!$L$11:$EQ$11,N$6,'CF(M)'!$L114:$EQ114)</f>
        <v>0</v>
      </c>
      <c r="O109" s="171">
        <f>SUMIF('CF(M)'!$L$11:$EQ$11,O$6,'CF(M)'!$L114:$EQ114)</f>
        <v>0</v>
      </c>
      <c r="P109" s="171">
        <f>SUMIF('CF(M)'!$L$11:$EQ$11,P$6,'CF(M)'!$L114:$EQ114)</f>
        <v>0</v>
      </c>
      <c r="Q109" s="171">
        <f>SUMIF('CF(M)'!$L$11:$EQ$11,Q$6,'CF(M)'!$L114:$EQ114)</f>
        <v>0</v>
      </c>
      <c r="R109" s="171">
        <f>SUMIF('CF(M)'!$L$11:$EQ$11,R$6,'CF(M)'!$L114:$EQ114)</f>
        <v>0</v>
      </c>
      <c r="S109" s="171">
        <f>SUMIF('CF(M)'!$L$11:$EQ$11,S$6,'CF(M)'!$L114:$EQ114)</f>
        <v>0</v>
      </c>
      <c r="T109" s="171">
        <f>SUMIF('CF(M)'!$L$11:$EQ$11,T$6,'CF(M)'!$L114:$EQ114)</f>
        <v>0</v>
      </c>
      <c r="U109" s="171">
        <f>SUMIF('CF(M)'!$L$11:$EQ$11,U$6,'CF(M)'!$L114:$EQ114)</f>
        <v>0</v>
      </c>
      <c r="V109" s="171">
        <f>SUMIF('CF(M)'!$L$11:$EQ$11,V$6,'CF(M)'!$L114:$EQ114)</f>
        <v>-47070453.350267738</v>
      </c>
      <c r="W109" s="171">
        <f>SUMIF('CF(M)'!$L$11:$EQ$11,W$6,'CF(M)'!$L114:$EQ114)</f>
        <v>0</v>
      </c>
      <c r="X109" s="171">
        <f>SUMIF('CF(M)'!$L$11:$EQ$11,X$6,'CF(M)'!$L114:$EQ114)</f>
        <v>0</v>
      </c>
      <c r="Y109" s="171">
        <f>SUMIF('CF(M)'!$L$11:$EQ$11,Y$6,'CF(M)'!$L114:$EQ114)</f>
        <v>0</v>
      </c>
      <c r="Z109" s="171">
        <f>SUMIF('CF(M)'!$L$11:$EQ$11,Z$6,'CF(M)'!$L114:$EQ114)</f>
        <v>0</v>
      </c>
      <c r="AA109" s="171">
        <f>SUMIF('CF(M)'!$L$11:$EQ$11,AA$6,'CF(M)'!$L114:$EQ114)</f>
        <v>0</v>
      </c>
      <c r="AB109" s="171">
        <f>SUMIF('CF(M)'!$L$11:$EQ$11,AB$6,'CF(M)'!$L114:$EQ114)</f>
        <v>0</v>
      </c>
      <c r="AC109" s="171">
        <f>SUMIF('CF(M)'!$L$11:$EQ$11,AC$6,'CF(M)'!$L114:$EQ114)</f>
        <v>0</v>
      </c>
      <c r="AD109" s="171">
        <f>SUMIF('CF(M)'!$L$11:$EQ$11,AD$6,'CF(M)'!$L114:$EQ114)</f>
        <v>0</v>
      </c>
      <c r="AE109" s="171">
        <f>SUMIF('CF(M)'!$L$11:$EQ$11,AE$6,'CF(M)'!$L114:$EQ114)</f>
        <v>0</v>
      </c>
      <c r="AF109" s="171">
        <f>SUMIF('CF(M)'!$L$11:$EQ$11,AF$6,'CF(M)'!$L114:$EQ114)</f>
        <v>0</v>
      </c>
      <c r="AG109" s="171">
        <f>SUMIF('CF(M)'!$L$11:$EQ$11,AG$6,'CF(M)'!$L114:$EQ114)</f>
        <v>0</v>
      </c>
      <c r="AH109" s="171">
        <f>SUMIF('CF(M)'!$L$11:$EQ$11,AH$6,'CF(M)'!$L114:$EQ114)</f>
        <v>0</v>
      </c>
      <c r="AI109" s="171">
        <f>SUMIF('CF(M)'!$L$11:$EQ$11,AI$6,'CF(M)'!$L114:$EQ114)</f>
        <v>0</v>
      </c>
      <c r="AJ109" s="171">
        <f>SUMIF('CF(M)'!$L$11:$EQ$11,AJ$6,'CF(M)'!$L114:$EQ114)</f>
        <v>0</v>
      </c>
      <c r="AK109" s="171">
        <f>SUMIF('CF(M)'!$L$11:$EQ$11,AK$6,'CF(M)'!$L114:$EQ114)</f>
        <v>0</v>
      </c>
      <c r="AL109" s="171">
        <f>SUMIF('CF(M)'!$L$11:$EQ$11,AL$6,'CF(M)'!$L114:$EQ114)</f>
        <v>0</v>
      </c>
      <c r="AM109" s="171">
        <f>SUMIF('CF(M)'!$L$11:$EQ$11,AM$6,'CF(M)'!$L114:$EQ114)</f>
        <v>0</v>
      </c>
      <c r="AN109" s="171">
        <f>SUMIF('CF(M)'!$L$11:$EQ$11,AN$6,'CF(M)'!$L114:$EQ114)</f>
        <v>0</v>
      </c>
      <c r="AO109" s="171">
        <f>SUMIF('CF(M)'!$L$11:$EQ$11,AO$6,'CF(M)'!$L114:$EQ114)</f>
        <v>0</v>
      </c>
      <c r="AP109" s="171">
        <f>SUMIF('CF(M)'!$L$11:$EQ$11,AP$6,'CF(M)'!$L114:$EQ114)</f>
        <v>0</v>
      </c>
      <c r="AQ109" s="171">
        <f>SUMIF('CF(M)'!$L$11:$EQ$11,AQ$6,'CF(M)'!$L114:$EQ114)</f>
        <v>0</v>
      </c>
      <c r="AR109" s="171">
        <f>SUMIF('CF(M)'!$L$11:$EQ$11,AR$6,'CF(M)'!$L114:$EQ114)</f>
        <v>0</v>
      </c>
      <c r="AS109" s="171">
        <f>SUMIF('CF(M)'!$L$11:$EQ$11,AS$6,'CF(M)'!$L114:$EQ114)</f>
        <v>0</v>
      </c>
      <c r="AT109" s="171">
        <f>SUMIF('CF(M)'!$L$11:$EQ$11,AT$6,'CF(M)'!$L114:$EQ114)</f>
        <v>0</v>
      </c>
      <c r="AU109" s="171">
        <f>SUMIF('CF(M)'!$L$11:$EQ$11,AU$6,'CF(M)'!$L114:$EQ114)</f>
        <v>0</v>
      </c>
      <c r="AV109" s="171">
        <f>SUMIF('CF(M)'!$L$11:$EQ$11,AV$6,'CF(M)'!$L114:$EQ114)</f>
        <v>0</v>
      </c>
      <c r="AW109" s="171">
        <f>SUMIF('CF(M)'!$L$11:$EQ$11,AW$6,'CF(M)'!$L114:$EQ114)</f>
        <v>0</v>
      </c>
      <c r="AX109" s="171">
        <f>SUMIF('CF(M)'!$L$11:$EQ$11,AX$6,'CF(M)'!$L114:$EQ114)</f>
        <v>0</v>
      </c>
      <c r="AY109" s="171">
        <f>SUMIF('CF(M)'!$L$11:$EQ$11,AY$6,'CF(M)'!$L114:$EQ114)</f>
        <v>0</v>
      </c>
      <c r="AZ109" s="171">
        <f>SUMIF('CF(M)'!$L$11:$EQ$11,AZ$6,'CF(M)'!$L114:$EQ114)</f>
        <v>0</v>
      </c>
      <c r="BA109" s="171">
        <f>SUMIF('CF(M)'!$L$11:$EQ$11,BA$6,'CF(M)'!$L114:$EQ114)</f>
        <v>0</v>
      </c>
      <c r="BB109" s="171">
        <f>SUMIF('CF(M)'!$L$11:$EQ$11,BB$6,'CF(M)'!$L114:$EQ114)</f>
        <v>0</v>
      </c>
      <c r="BC109" s="171">
        <f>SUMIF('CF(M)'!$L$11:$EQ$11,BC$6,'CF(M)'!$L114:$EQ114)</f>
        <v>0</v>
      </c>
      <c r="BD109" s="171">
        <f>SUMIF('CF(M)'!$L$11:$EQ$11,BD$6,'CF(M)'!$L114:$EQ114)</f>
        <v>0</v>
      </c>
      <c r="BE109" s="171">
        <f>SUMIF('CF(M)'!$L$11:$EQ$11,BE$6,'CF(M)'!$L114:$EQ114)</f>
        <v>0</v>
      </c>
      <c r="BF109" s="171">
        <f>SUMIF('CF(M)'!$L$11:$EQ$11,BF$6,'CF(M)'!$L114:$EQ114)</f>
        <v>0</v>
      </c>
      <c r="BG109" s="171">
        <f>SUMIF('CF(M)'!$L$11:$EQ$11,BG$6,'CF(M)'!$L114:$EQ114)</f>
        <v>0</v>
      </c>
      <c r="BH109" s="171">
        <f>SUMIF('CF(M)'!$L$11:$EQ$11,BH$6,'CF(M)'!$L114:$EQ114)</f>
        <v>0</v>
      </c>
      <c r="BI109" s="171">
        <f>SUMIF('CF(M)'!$L$11:$EQ$11,BI$6,'CF(M)'!$L114:$EQ114)</f>
        <v>0</v>
      </c>
      <c r="BJ109" s="171">
        <f>SUMIF('CF(M)'!$L$11:$EQ$11,BJ$6,'CF(M)'!$L114:$EQ114)</f>
        <v>0</v>
      </c>
      <c r="BK109" s="171">
        <f>SUMIF('CF(M)'!$L$11:$EQ$11,BK$6,'CF(M)'!$L114:$EQ114)</f>
        <v>0</v>
      </c>
      <c r="BL109" s="171">
        <f>SUMIF('CF(M)'!$L$11:$EQ$11,BL$6,'CF(M)'!$L114:$EQ114)</f>
        <v>0</v>
      </c>
      <c r="BM109" s="171">
        <f>SUMIF('CF(M)'!$L$11:$EQ$11,BM$6,'CF(M)'!$L114:$EQ114)</f>
        <v>0</v>
      </c>
      <c r="BN109" s="171">
        <f>SUMIF('CF(M)'!$L$11:$EQ$11,BN$6,'CF(M)'!$L114:$EQ114)</f>
        <v>0</v>
      </c>
      <c r="BO109" s="171">
        <f>SUMIF('CF(M)'!$L$11:$EQ$11,BO$6,'CF(M)'!$L114:$EQ114)</f>
        <v>0</v>
      </c>
      <c r="BP109" s="171">
        <f>SUMIF('CF(M)'!$L$11:$EQ$11,BP$6,'CF(M)'!$L114:$EQ114)</f>
        <v>0</v>
      </c>
      <c r="BQ109" s="171">
        <f>SUMIF('CF(M)'!$L$11:$EQ$11,BQ$6,'CF(M)'!$L114:$EQ114)</f>
        <v>0</v>
      </c>
      <c r="BR109" s="171">
        <f>SUMIF('CF(M)'!$L$11:$EQ$11,BR$6,'CF(M)'!$L114:$EQ114)</f>
        <v>0</v>
      </c>
      <c r="BS109" s="171">
        <f>SUMIF('CF(M)'!$L$11:$EQ$11,BS$6,'CF(M)'!$L114:$EQ114)</f>
        <v>0</v>
      </c>
      <c r="BT109" s="171">
        <f>SUMIF('CF(M)'!$L$11:$EQ$11,BT$6,'CF(M)'!$L114:$EQ114)</f>
        <v>0</v>
      </c>
      <c r="BU109" s="171">
        <f>SUMIF('CF(M)'!$L$11:$EQ$11,BU$6,'CF(M)'!$L114:$EQ114)</f>
        <v>0</v>
      </c>
      <c r="BV109" s="171">
        <f>SUMIF('CF(M)'!$L$11:$EQ$11,BV$6,'CF(M)'!$L114:$EQ114)</f>
        <v>0</v>
      </c>
      <c r="BW109" s="171">
        <f>SUMIF('CF(M)'!$L$11:$EQ$11,BW$6,'CF(M)'!$L114:$EQ114)</f>
        <v>0</v>
      </c>
      <c r="BX109" s="171">
        <f>SUMIF('CF(M)'!$L$11:$EQ$11,BX$6,'CF(M)'!$L114:$EQ114)</f>
        <v>0</v>
      </c>
      <c r="BY109" s="171">
        <f>SUMIF('CF(M)'!$L$11:$EQ$11,BY$6,'CF(M)'!$L114:$EQ114)</f>
        <v>0</v>
      </c>
      <c r="BZ109" s="171">
        <f>SUMIF('CF(M)'!$L$11:$EQ$11,BZ$6,'CF(M)'!$L114:$EQ114)</f>
        <v>0</v>
      </c>
      <c r="CA109" s="171">
        <f>SUMIF('CF(M)'!$L$11:$EQ$11,CA$6,'CF(M)'!$L114:$EQ114)</f>
        <v>0</v>
      </c>
      <c r="CB109" s="171">
        <f>SUMIF('CF(M)'!$L$11:$EQ$11,CB$6,'CF(M)'!$L114:$EQ114)</f>
        <v>0</v>
      </c>
      <c r="CC109" s="171">
        <f>SUMIF('CF(M)'!$L$11:$EQ$11,CC$6,'CF(M)'!$L114:$EQ114)</f>
        <v>0</v>
      </c>
      <c r="CD109" s="171">
        <f>SUMIF('CF(M)'!$L$11:$EQ$11,CD$6,'CF(M)'!$L114:$EQ114)</f>
        <v>0</v>
      </c>
      <c r="CE109" s="171">
        <f>SUMIF('CF(M)'!$L$11:$EQ$11,CE$6,'CF(M)'!$L114:$EQ114)</f>
        <v>0</v>
      </c>
      <c r="CF109" s="171">
        <f>SUMIF('CF(M)'!$L$11:$EQ$11,CF$6,'CF(M)'!$L114:$EQ114)</f>
        <v>0</v>
      </c>
      <c r="CG109" s="171">
        <f>SUMIF('CF(M)'!$L$11:$EQ$11,CG$6,'CF(M)'!$L114:$EQ114)</f>
        <v>0</v>
      </c>
      <c r="CH109" s="171">
        <f>SUMIF('CF(M)'!$L$11:$EQ$11,CH$6,'CF(M)'!$L114:$EQ114)</f>
        <v>0</v>
      </c>
      <c r="CI109" s="171">
        <f>SUMIF('CF(M)'!$L$11:$EQ$11,CI$6,'CF(M)'!$L114:$EQ114)</f>
        <v>0</v>
      </c>
      <c r="CJ109" s="171">
        <f>SUMIF('CF(M)'!$L$11:$EQ$11,CJ$6,'CF(M)'!$L114:$EQ114)</f>
        <v>0</v>
      </c>
      <c r="CK109" s="171">
        <f>SUMIF('CF(M)'!$L$11:$EQ$11,CK$6,'CF(M)'!$L114:$EQ114)</f>
        <v>0</v>
      </c>
      <c r="CL109" s="171">
        <f>SUMIF('CF(M)'!$L$11:$EQ$11,CL$6,'CF(M)'!$L114:$EQ114)</f>
        <v>0</v>
      </c>
      <c r="CM109" s="171">
        <f>SUMIF('CF(M)'!$L$11:$EQ$11,CM$6,'CF(M)'!$L114:$EQ114)</f>
        <v>0</v>
      </c>
      <c r="CN109" s="171">
        <f>SUMIF('CF(M)'!$L$11:$EQ$11,CN$6,'CF(M)'!$L114:$EQ114)</f>
        <v>0</v>
      </c>
      <c r="CO109" s="171">
        <f>SUMIF('CF(M)'!$L$11:$EQ$11,CO$6,'CF(M)'!$L114:$EQ114)</f>
        <v>0</v>
      </c>
      <c r="CP109" s="171">
        <f>SUMIF('CF(M)'!$L$11:$EQ$11,CP$6,'CF(M)'!$L114:$EQ114)</f>
        <v>0</v>
      </c>
      <c r="CQ109" s="171">
        <f>SUMIF('CF(M)'!$L$11:$EQ$11,CQ$6,'CF(M)'!$L114:$EQ114)</f>
        <v>0</v>
      </c>
      <c r="CR109" s="171">
        <f>SUMIF('CF(M)'!$L$11:$EQ$11,CR$6,'CF(M)'!$L114:$EQ114)</f>
        <v>0</v>
      </c>
      <c r="CS109" s="171">
        <f>SUMIF('CF(M)'!$L$11:$EQ$11,CS$6,'CF(M)'!$L114:$EQ114)</f>
        <v>0</v>
      </c>
      <c r="CT109" s="171">
        <f>SUMIF('CF(M)'!$L$11:$EQ$11,CT$6,'CF(M)'!$L114:$EQ114)</f>
        <v>0</v>
      </c>
      <c r="CU109" s="171">
        <f>SUMIF('CF(M)'!$L$11:$EQ$11,CU$6,'CF(M)'!$L114:$EQ114)</f>
        <v>0</v>
      </c>
      <c r="CV109" s="171">
        <f>SUMIF('CF(M)'!$L$11:$EQ$11,CV$6,'CF(M)'!$L114:$EQ114)</f>
        <v>0</v>
      </c>
      <c r="CW109" s="171">
        <f>SUMIF('CF(M)'!$L$11:$EQ$11,CW$6,'CF(M)'!$L114:$EQ114)</f>
        <v>0</v>
      </c>
      <c r="CX109" s="171">
        <f>SUMIF('CF(M)'!$L$11:$EQ$11,CX$6,'CF(M)'!$L114:$EQ114)</f>
        <v>0</v>
      </c>
      <c r="CY109" s="171">
        <f>SUMIF('CF(M)'!$L$11:$EQ$11,CY$6,'CF(M)'!$L114:$EQ114)</f>
        <v>0</v>
      </c>
      <c r="CZ109" s="171">
        <f>SUMIF('CF(M)'!$L$11:$EQ$11,CZ$6,'CF(M)'!$L114:$EQ114)</f>
        <v>0</v>
      </c>
      <c r="DA109" s="171">
        <f>SUMIF('CF(M)'!$L$11:$EQ$11,DA$6,'CF(M)'!$L114:$EQ114)</f>
        <v>0</v>
      </c>
      <c r="DB109" s="171">
        <f>SUMIF('CF(M)'!$L$11:$EQ$11,DB$6,'CF(M)'!$L114:$EQ114)</f>
        <v>0</v>
      </c>
      <c r="DC109" s="171">
        <f>SUMIF('CF(M)'!$L$11:$EQ$11,DC$6,'CF(M)'!$L114:$EQ114)</f>
        <v>0</v>
      </c>
      <c r="DD109" s="171">
        <f>SUMIF('CF(M)'!$L$11:$EQ$11,DD$6,'CF(M)'!$L114:$EQ114)</f>
        <v>0</v>
      </c>
      <c r="DE109" s="171">
        <f>SUMIF('CF(M)'!$L$11:$EQ$11,DE$6,'CF(M)'!$L114:$EQ114)</f>
        <v>0</v>
      </c>
      <c r="DF109" s="171">
        <f>SUMIF('CF(M)'!$L$11:$EQ$11,DF$6,'CF(M)'!$L114:$EQ114)</f>
        <v>0</v>
      </c>
      <c r="DG109" s="171">
        <f>SUMIF('CF(M)'!$L$11:$EQ$11,DG$6,'CF(M)'!$L114:$EQ114)</f>
        <v>0</v>
      </c>
      <c r="DH109" s="171">
        <f>SUMIF('CF(M)'!$L$11:$EQ$11,DH$6,'CF(M)'!$L114:$EQ114)</f>
        <v>0</v>
      </c>
      <c r="DI109" s="171">
        <f>SUMIF('CF(M)'!$L$11:$EQ$11,DI$6,'CF(M)'!$L114:$EQ114)</f>
        <v>0</v>
      </c>
      <c r="DJ109" s="171">
        <f>SUMIF('CF(M)'!$L$11:$EQ$11,DJ$6,'CF(M)'!$L114:$EQ114)</f>
        <v>0</v>
      </c>
      <c r="DK109" s="171">
        <f>SUMIF('CF(M)'!$L$11:$EQ$11,DK$6,'CF(M)'!$L114:$EQ114)</f>
        <v>0</v>
      </c>
      <c r="DL109" s="171">
        <f>SUMIF('CF(M)'!$L$11:$EQ$11,DL$6,'CF(M)'!$L114:$EQ114)</f>
        <v>0</v>
      </c>
      <c r="DM109" s="171">
        <f>SUMIF('CF(M)'!$L$11:$EQ$11,DM$6,'CF(M)'!$L114:$EQ114)</f>
        <v>0</v>
      </c>
      <c r="DN109" s="171">
        <f>SUMIF('CF(M)'!$L$11:$EQ$11,DN$6,'CF(M)'!$L114:$EQ114)</f>
        <v>0</v>
      </c>
      <c r="DO109" s="171">
        <f>SUMIF('CF(M)'!$L$11:$EQ$11,DO$6,'CF(M)'!$L114:$EQ114)</f>
        <v>0</v>
      </c>
      <c r="DP109" s="171">
        <f>SUMIF('CF(M)'!$L$11:$EQ$11,DP$6,'CF(M)'!$L114:$EQ114)</f>
        <v>0</v>
      </c>
      <c r="DQ109" s="171">
        <f>SUMIF('CF(M)'!$L$11:$EQ$11,DQ$6,'CF(M)'!$L114:$EQ114)</f>
        <v>0</v>
      </c>
      <c r="DR109" s="171">
        <f>SUMIF('CF(M)'!$L$11:$EQ$11,DR$6,'CF(M)'!$L114:$EQ114)</f>
        <v>0</v>
      </c>
      <c r="DS109" s="171">
        <f>SUMIF('CF(M)'!$L$11:$EQ$11,DS$6,'CF(M)'!$L114:$EQ114)</f>
        <v>0</v>
      </c>
      <c r="DT109" s="171">
        <f>SUMIF('CF(M)'!$L$11:$EQ$11,DT$6,'CF(M)'!$L114:$EQ114)</f>
        <v>0</v>
      </c>
      <c r="DU109" s="171">
        <f>SUMIF('CF(M)'!$L$11:$EQ$11,DU$6,'CF(M)'!$L114:$EQ114)</f>
        <v>0</v>
      </c>
      <c r="DV109" s="171">
        <f>SUMIF('CF(M)'!$L$11:$EQ$11,DV$6,'CF(M)'!$L114:$EQ114)</f>
        <v>0</v>
      </c>
    </row>
    <row r="110" spans="2:126" ht="11.25" customHeight="1">
      <c r="B110" s="218"/>
      <c r="C110" s="158" t="str">
        <f>'CF(M)'!C115</f>
        <v>열후주</v>
      </c>
      <c r="D110" s="159"/>
      <c r="E110" s="159"/>
      <c r="F110" s="159"/>
      <c r="G110" s="159"/>
      <c r="H110" s="160"/>
      <c r="I110" s="219"/>
      <c r="J110" s="220">
        <f>SUM(J111:J114)</f>
        <v>0</v>
      </c>
      <c r="K110" s="98"/>
      <c r="L110" s="162">
        <f>SUM(L111:L114)</f>
        <v>0</v>
      </c>
      <c r="M110" s="162">
        <f t="shared" ref="M110:BX110" si="57">SUM(M111:M114)</f>
        <v>0</v>
      </c>
      <c r="N110" s="162">
        <f t="shared" si="57"/>
        <v>0</v>
      </c>
      <c r="O110" s="162">
        <f t="shared" si="57"/>
        <v>0</v>
      </c>
      <c r="P110" s="162">
        <f t="shared" si="57"/>
        <v>0</v>
      </c>
      <c r="Q110" s="162">
        <f t="shared" si="57"/>
        <v>0</v>
      </c>
      <c r="R110" s="162">
        <f t="shared" si="57"/>
        <v>0</v>
      </c>
      <c r="S110" s="162">
        <f t="shared" si="57"/>
        <v>0</v>
      </c>
      <c r="T110" s="162">
        <f t="shared" si="57"/>
        <v>0</v>
      </c>
      <c r="U110" s="162">
        <f t="shared" si="57"/>
        <v>0</v>
      </c>
      <c r="V110" s="162">
        <f t="shared" si="57"/>
        <v>0</v>
      </c>
      <c r="W110" s="162">
        <f t="shared" si="57"/>
        <v>0</v>
      </c>
      <c r="X110" s="162">
        <f t="shared" si="57"/>
        <v>0</v>
      </c>
      <c r="Y110" s="162">
        <f t="shared" si="57"/>
        <v>0</v>
      </c>
      <c r="Z110" s="162">
        <f t="shared" si="57"/>
        <v>0</v>
      </c>
      <c r="AA110" s="162">
        <f t="shared" si="57"/>
        <v>0</v>
      </c>
      <c r="AB110" s="162">
        <f t="shared" si="57"/>
        <v>0</v>
      </c>
      <c r="AC110" s="162">
        <f t="shared" si="57"/>
        <v>0</v>
      </c>
      <c r="AD110" s="162">
        <f t="shared" si="57"/>
        <v>0</v>
      </c>
      <c r="AE110" s="162">
        <f t="shared" si="57"/>
        <v>0</v>
      </c>
      <c r="AF110" s="162">
        <f t="shared" si="57"/>
        <v>0</v>
      </c>
      <c r="AG110" s="162">
        <f t="shared" si="57"/>
        <v>0</v>
      </c>
      <c r="AH110" s="162">
        <f t="shared" si="57"/>
        <v>0</v>
      </c>
      <c r="AI110" s="162">
        <f t="shared" si="57"/>
        <v>0</v>
      </c>
      <c r="AJ110" s="162">
        <f t="shared" si="57"/>
        <v>0</v>
      </c>
      <c r="AK110" s="162">
        <f t="shared" si="57"/>
        <v>0</v>
      </c>
      <c r="AL110" s="162">
        <f t="shared" si="57"/>
        <v>0</v>
      </c>
      <c r="AM110" s="162">
        <f t="shared" si="57"/>
        <v>0</v>
      </c>
      <c r="AN110" s="162">
        <f t="shared" si="57"/>
        <v>0</v>
      </c>
      <c r="AO110" s="162">
        <f t="shared" si="57"/>
        <v>0</v>
      </c>
      <c r="AP110" s="162">
        <f t="shared" si="57"/>
        <v>0</v>
      </c>
      <c r="AQ110" s="162">
        <f t="shared" si="57"/>
        <v>0</v>
      </c>
      <c r="AR110" s="162">
        <f t="shared" si="57"/>
        <v>0</v>
      </c>
      <c r="AS110" s="162">
        <f t="shared" si="57"/>
        <v>0</v>
      </c>
      <c r="AT110" s="162">
        <f t="shared" si="57"/>
        <v>0</v>
      </c>
      <c r="AU110" s="162">
        <f t="shared" si="57"/>
        <v>0</v>
      </c>
      <c r="AV110" s="162">
        <f t="shared" si="57"/>
        <v>0</v>
      </c>
      <c r="AW110" s="162">
        <f t="shared" si="57"/>
        <v>0</v>
      </c>
      <c r="AX110" s="162">
        <f t="shared" si="57"/>
        <v>0</v>
      </c>
      <c r="AY110" s="162">
        <f t="shared" si="57"/>
        <v>0</v>
      </c>
      <c r="AZ110" s="162">
        <f t="shared" si="57"/>
        <v>0</v>
      </c>
      <c r="BA110" s="162">
        <f t="shared" si="57"/>
        <v>0</v>
      </c>
      <c r="BB110" s="162">
        <f t="shared" si="57"/>
        <v>0</v>
      </c>
      <c r="BC110" s="162">
        <f t="shared" si="57"/>
        <v>0</v>
      </c>
      <c r="BD110" s="162">
        <f t="shared" si="57"/>
        <v>0</v>
      </c>
      <c r="BE110" s="162">
        <f t="shared" si="57"/>
        <v>0</v>
      </c>
      <c r="BF110" s="162">
        <f t="shared" si="57"/>
        <v>0</v>
      </c>
      <c r="BG110" s="162">
        <f t="shared" si="57"/>
        <v>0</v>
      </c>
      <c r="BH110" s="162">
        <f t="shared" si="57"/>
        <v>0</v>
      </c>
      <c r="BI110" s="162">
        <f t="shared" si="57"/>
        <v>0</v>
      </c>
      <c r="BJ110" s="162">
        <f t="shared" si="57"/>
        <v>0</v>
      </c>
      <c r="BK110" s="162">
        <f t="shared" si="57"/>
        <v>0</v>
      </c>
      <c r="BL110" s="162">
        <f t="shared" si="57"/>
        <v>0</v>
      </c>
      <c r="BM110" s="162">
        <f t="shared" si="57"/>
        <v>0</v>
      </c>
      <c r="BN110" s="162">
        <f t="shared" si="57"/>
        <v>0</v>
      </c>
      <c r="BO110" s="162">
        <f t="shared" si="57"/>
        <v>0</v>
      </c>
      <c r="BP110" s="162">
        <f t="shared" si="57"/>
        <v>0</v>
      </c>
      <c r="BQ110" s="162">
        <f t="shared" si="57"/>
        <v>0</v>
      </c>
      <c r="BR110" s="162">
        <f t="shared" si="57"/>
        <v>0</v>
      </c>
      <c r="BS110" s="162">
        <f t="shared" si="57"/>
        <v>0</v>
      </c>
      <c r="BT110" s="162">
        <f t="shared" si="57"/>
        <v>0</v>
      </c>
      <c r="BU110" s="162">
        <f t="shared" si="57"/>
        <v>0</v>
      </c>
      <c r="BV110" s="162">
        <f t="shared" si="57"/>
        <v>0</v>
      </c>
      <c r="BW110" s="162">
        <f t="shared" si="57"/>
        <v>0</v>
      </c>
      <c r="BX110" s="162">
        <f t="shared" si="57"/>
        <v>0</v>
      </c>
      <c r="BY110" s="162">
        <f t="shared" ref="BY110:DV110" si="58">SUM(BY111:BY114)</f>
        <v>0</v>
      </c>
      <c r="BZ110" s="162">
        <f t="shared" si="58"/>
        <v>0</v>
      </c>
      <c r="CA110" s="162">
        <f t="shared" si="58"/>
        <v>0</v>
      </c>
      <c r="CB110" s="162">
        <f t="shared" si="58"/>
        <v>0</v>
      </c>
      <c r="CC110" s="162">
        <f t="shared" si="58"/>
        <v>0</v>
      </c>
      <c r="CD110" s="162">
        <f t="shared" si="58"/>
        <v>0</v>
      </c>
      <c r="CE110" s="162">
        <f t="shared" si="58"/>
        <v>0</v>
      </c>
      <c r="CF110" s="162">
        <f t="shared" si="58"/>
        <v>0</v>
      </c>
      <c r="CG110" s="162">
        <f t="shared" si="58"/>
        <v>0</v>
      </c>
      <c r="CH110" s="162">
        <f t="shared" si="58"/>
        <v>0</v>
      </c>
      <c r="CI110" s="162">
        <f t="shared" si="58"/>
        <v>0</v>
      </c>
      <c r="CJ110" s="162">
        <f t="shared" si="58"/>
        <v>0</v>
      </c>
      <c r="CK110" s="162">
        <f t="shared" si="58"/>
        <v>0</v>
      </c>
      <c r="CL110" s="162">
        <f t="shared" si="58"/>
        <v>0</v>
      </c>
      <c r="CM110" s="162">
        <f t="shared" si="58"/>
        <v>0</v>
      </c>
      <c r="CN110" s="162">
        <f t="shared" si="58"/>
        <v>0</v>
      </c>
      <c r="CO110" s="162">
        <f t="shared" si="58"/>
        <v>0</v>
      </c>
      <c r="CP110" s="162">
        <f t="shared" si="58"/>
        <v>0</v>
      </c>
      <c r="CQ110" s="162">
        <f t="shared" si="58"/>
        <v>0</v>
      </c>
      <c r="CR110" s="162">
        <f t="shared" si="58"/>
        <v>0</v>
      </c>
      <c r="CS110" s="162">
        <f t="shared" si="58"/>
        <v>0</v>
      </c>
      <c r="CT110" s="162">
        <f t="shared" si="58"/>
        <v>0</v>
      </c>
      <c r="CU110" s="162">
        <f t="shared" si="58"/>
        <v>0</v>
      </c>
      <c r="CV110" s="162">
        <f t="shared" si="58"/>
        <v>0</v>
      </c>
      <c r="CW110" s="162">
        <f t="shared" si="58"/>
        <v>0</v>
      </c>
      <c r="CX110" s="162">
        <f t="shared" si="58"/>
        <v>0</v>
      </c>
      <c r="CY110" s="162">
        <f t="shared" si="58"/>
        <v>0</v>
      </c>
      <c r="CZ110" s="162">
        <f t="shared" si="58"/>
        <v>0</v>
      </c>
      <c r="DA110" s="162">
        <f t="shared" si="58"/>
        <v>0</v>
      </c>
      <c r="DB110" s="162">
        <f t="shared" si="58"/>
        <v>0</v>
      </c>
      <c r="DC110" s="162">
        <f t="shared" si="58"/>
        <v>0</v>
      </c>
      <c r="DD110" s="162">
        <f t="shared" si="58"/>
        <v>0</v>
      </c>
      <c r="DE110" s="162">
        <f t="shared" si="58"/>
        <v>0</v>
      </c>
      <c r="DF110" s="162">
        <f t="shared" si="58"/>
        <v>0</v>
      </c>
      <c r="DG110" s="162">
        <f t="shared" si="58"/>
        <v>0</v>
      </c>
      <c r="DH110" s="162">
        <f t="shared" si="58"/>
        <v>0</v>
      </c>
      <c r="DI110" s="162">
        <f t="shared" si="58"/>
        <v>0</v>
      </c>
      <c r="DJ110" s="162">
        <f t="shared" si="58"/>
        <v>0</v>
      </c>
      <c r="DK110" s="162">
        <f t="shared" si="58"/>
        <v>0</v>
      </c>
      <c r="DL110" s="162">
        <f t="shared" si="58"/>
        <v>0</v>
      </c>
      <c r="DM110" s="162">
        <f t="shared" si="58"/>
        <v>0</v>
      </c>
      <c r="DN110" s="162">
        <f t="shared" si="58"/>
        <v>0</v>
      </c>
      <c r="DO110" s="162">
        <f t="shared" si="58"/>
        <v>0</v>
      </c>
      <c r="DP110" s="162">
        <f t="shared" si="58"/>
        <v>0</v>
      </c>
      <c r="DQ110" s="162">
        <f t="shared" si="58"/>
        <v>0</v>
      </c>
      <c r="DR110" s="162">
        <f t="shared" si="58"/>
        <v>0</v>
      </c>
      <c r="DS110" s="162">
        <f t="shared" si="58"/>
        <v>0</v>
      </c>
      <c r="DT110" s="162">
        <f t="shared" si="58"/>
        <v>0</v>
      </c>
      <c r="DU110" s="162">
        <f t="shared" si="58"/>
        <v>0</v>
      </c>
      <c r="DV110" s="162">
        <f t="shared" si="58"/>
        <v>0</v>
      </c>
    </row>
    <row r="111" spans="2:126" ht="11.25" customHeight="1">
      <c r="B111" s="218"/>
      <c r="C111" s="163"/>
      <c r="D111" s="164" t="s">
        <v>208</v>
      </c>
      <c r="E111" s="165"/>
      <c r="F111" s="165"/>
      <c r="G111" s="165"/>
      <c r="H111" s="166"/>
      <c r="I111" s="228"/>
      <c r="J111" s="168">
        <f>SUM(L111:DV111)</f>
        <v>0</v>
      </c>
      <c r="K111" s="98"/>
      <c r="L111" s="168">
        <f>SUMIF('CF(M)'!$L$11:$EQ$11,L$6,'CF(M)'!$L116:$EQ116)</f>
        <v>0</v>
      </c>
      <c r="M111" s="168">
        <f>SUMIF('CF(M)'!$L$11:$EQ$11,M$6,'CF(M)'!$L116:$EQ116)</f>
        <v>0</v>
      </c>
      <c r="N111" s="168">
        <f>SUMIF('CF(M)'!$L$11:$EQ$11,N$6,'CF(M)'!$L116:$EQ116)</f>
        <v>0</v>
      </c>
      <c r="O111" s="168">
        <f>SUMIF('CF(M)'!$L$11:$EQ$11,O$6,'CF(M)'!$L116:$EQ116)</f>
        <v>0</v>
      </c>
      <c r="P111" s="168">
        <f>SUMIF('CF(M)'!$L$11:$EQ$11,P$6,'CF(M)'!$L116:$EQ116)</f>
        <v>0</v>
      </c>
      <c r="Q111" s="168">
        <f>SUMIF('CF(M)'!$L$11:$EQ$11,Q$6,'CF(M)'!$L116:$EQ116)</f>
        <v>0</v>
      </c>
      <c r="R111" s="168">
        <f>SUMIF('CF(M)'!$L$11:$EQ$11,R$6,'CF(M)'!$L116:$EQ116)</f>
        <v>0</v>
      </c>
      <c r="S111" s="168">
        <f>SUMIF('CF(M)'!$L$11:$EQ$11,S$6,'CF(M)'!$L116:$EQ116)</f>
        <v>0</v>
      </c>
      <c r="T111" s="168">
        <f>SUMIF('CF(M)'!$L$11:$EQ$11,T$6,'CF(M)'!$L116:$EQ116)</f>
        <v>0</v>
      </c>
      <c r="U111" s="168">
        <f>SUMIF('CF(M)'!$L$11:$EQ$11,U$6,'CF(M)'!$L116:$EQ116)</f>
        <v>0</v>
      </c>
      <c r="V111" s="168">
        <f>SUMIF('CF(M)'!$L$11:$EQ$11,V$6,'CF(M)'!$L116:$EQ116)</f>
        <v>0</v>
      </c>
      <c r="W111" s="168">
        <f>SUMIF('CF(M)'!$L$11:$EQ$11,W$6,'CF(M)'!$L116:$EQ116)</f>
        <v>0</v>
      </c>
      <c r="X111" s="168">
        <f>SUMIF('CF(M)'!$L$11:$EQ$11,X$6,'CF(M)'!$L116:$EQ116)</f>
        <v>0</v>
      </c>
      <c r="Y111" s="168">
        <f>SUMIF('CF(M)'!$L$11:$EQ$11,Y$6,'CF(M)'!$L116:$EQ116)</f>
        <v>0</v>
      </c>
      <c r="Z111" s="168">
        <f>SUMIF('CF(M)'!$L$11:$EQ$11,Z$6,'CF(M)'!$L116:$EQ116)</f>
        <v>0</v>
      </c>
      <c r="AA111" s="168">
        <f>SUMIF('CF(M)'!$L$11:$EQ$11,AA$6,'CF(M)'!$L116:$EQ116)</f>
        <v>0</v>
      </c>
      <c r="AB111" s="168">
        <f>SUMIF('CF(M)'!$L$11:$EQ$11,AB$6,'CF(M)'!$L116:$EQ116)</f>
        <v>0</v>
      </c>
      <c r="AC111" s="168">
        <f>SUMIF('CF(M)'!$L$11:$EQ$11,AC$6,'CF(M)'!$L116:$EQ116)</f>
        <v>0</v>
      </c>
      <c r="AD111" s="168">
        <f>SUMIF('CF(M)'!$L$11:$EQ$11,AD$6,'CF(M)'!$L116:$EQ116)</f>
        <v>0</v>
      </c>
      <c r="AE111" s="168">
        <f>SUMIF('CF(M)'!$L$11:$EQ$11,AE$6,'CF(M)'!$L116:$EQ116)</f>
        <v>0</v>
      </c>
      <c r="AF111" s="168">
        <f>SUMIF('CF(M)'!$L$11:$EQ$11,AF$6,'CF(M)'!$L116:$EQ116)</f>
        <v>0</v>
      </c>
      <c r="AG111" s="168">
        <f>SUMIF('CF(M)'!$L$11:$EQ$11,AG$6,'CF(M)'!$L116:$EQ116)</f>
        <v>0</v>
      </c>
      <c r="AH111" s="168">
        <f>SUMIF('CF(M)'!$L$11:$EQ$11,AH$6,'CF(M)'!$L116:$EQ116)</f>
        <v>0</v>
      </c>
      <c r="AI111" s="168">
        <f>SUMIF('CF(M)'!$L$11:$EQ$11,AI$6,'CF(M)'!$L116:$EQ116)</f>
        <v>0</v>
      </c>
      <c r="AJ111" s="168">
        <f>SUMIF('CF(M)'!$L$11:$EQ$11,AJ$6,'CF(M)'!$L116:$EQ116)</f>
        <v>0</v>
      </c>
      <c r="AK111" s="168">
        <f>SUMIF('CF(M)'!$L$11:$EQ$11,AK$6,'CF(M)'!$L116:$EQ116)</f>
        <v>0</v>
      </c>
      <c r="AL111" s="168">
        <f>SUMIF('CF(M)'!$L$11:$EQ$11,AL$6,'CF(M)'!$L116:$EQ116)</f>
        <v>0</v>
      </c>
      <c r="AM111" s="168">
        <f>SUMIF('CF(M)'!$L$11:$EQ$11,AM$6,'CF(M)'!$L116:$EQ116)</f>
        <v>0</v>
      </c>
      <c r="AN111" s="168">
        <f>SUMIF('CF(M)'!$L$11:$EQ$11,AN$6,'CF(M)'!$L116:$EQ116)</f>
        <v>0</v>
      </c>
      <c r="AO111" s="168">
        <f>SUMIF('CF(M)'!$L$11:$EQ$11,AO$6,'CF(M)'!$L116:$EQ116)</f>
        <v>0</v>
      </c>
      <c r="AP111" s="168">
        <f>SUMIF('CF(M)'!$L$11:$EQ$11,AP$6,'CF(M)'!$L116:$EQ116)</f>
        <v>0</v>
      </c>
      <c r="AQ111" s="168">
        <f>SUMIF('CF(M)'!$L$11:$EQ$11,AQ$6,'CF(M)'!$L116:$EQ116)</f>
        <v>0</v>
      </c>
      <c r="AR111" s="168">
        <f>SUMIF('CF(M)'!$L$11:$EQ$11,AR$6,'CF(M)'!$L116:$EQ116)</f>
        <v>0</v>
      </c>
      <c r="AS111" s="168">
        <f>SUMIF('CF(M)'!$L$11:$EQ$11,AS$6,'CF(M)'!$L116:$EQ116)</f>
        <v>0</v>
      </c>
      <c r="AT111" s="168">
        <f>SUMIF('CF(M)'!$L$11:$EQ$11,AT$6,'CF(M)'!$L116:$EQ116)</f>
        <v>0</v>
      </c>
      <c r="AU111" s="168">
        <f>SUMIF('CF(M)'!$L$11:$EQ$11,AU$6,'CF(M)'!$L116:$EQ116)</f>
        <v>0</v>
      </c>
      <c r="AV111" s="168">
        <f>SUMIF('CF(M)'!$L$11:$EQ$11,AV$6,'CF(M)'!$L116:$EQ116)</f>
        <v>0</v>
      </c>
      <c r="AW111" s="168">
        <f>SUMIF('CF(M)'!$L$11:$EQ$11,AW$6,'CF(M)'!$L116:$EQ116)</f>
        <v>0</v>
      </c>
      <c r="AX111" s="168">
        <f>SUMIF('CF(M)'!$L$11:$EQ$11,AX$6,'CF(M)'!$L116:$EQ116)</f>
        <v>0</v>
      </c>
      <c r="AY111" s="168">
        <f>SUMIF('CF(M)'!$L$11:$EQ$11,AY$6,'CF(M)'!$L116:$EQ116)</f>
        <v>0</v>
      </c>
      <c r="AZ111" s="168">
        <f>SUMIF('CF(M)'!$L$11:$EQ$11,AZ$6,'CF(M)'!$L116:$EQ116)</f>
        <v>0</v>
      </c>
      <c r="BA111" s="168">
        <f>SUMIF('CF(M)'!$L$11:$EQ$11,BA$6,'CF(M)'!$L116:$EQ116)</f>
        <v>0</v>
      </c>
      <c r="BB111" s="168">
        <f>SUMIF('CF(M)'!$L$11:$EQ$11,BB$6,'CF(M)'!$L116:$EQ116)</f>
        <v>0</v>
      </c>
      <c r="BC111" s="168">
        <f>SUMIF('CF(M)'!$L$11:$EQ$11,BC$6,'CF(M)'!$L116:$EQ116)</f>
        <v>0</v>
      </c>
      <c r="BD111" s="168">
        <f>SUMIF('CF(M)'!$L$11:$EQ$11,BD$6,'CF(M)'!$L116:$EQ116)</f>
        <v>0</v>
      </c>
      <c r="BE111" s="168">
        <f>SUMIF('CF(M)'!$L$11:$EQ$11,BE$6,'CF(M)'!$L116:$EQ116)</f>
        <v>0</v>
      </c>
      <c r="BF111" s="168">
        <f>SUMIF('CF(M)'!$L$11:$EQ$11,BF$6,'CF(M)'!$L116:$EQ116)</f>
        <v>0</v>
      </c>
      <c r="BG111" s="168">
        <f>SUMIF('CF(M)'!$L$11:$EQ$11,BG$6,'CF(M)'!$L116:$EQ116)</f>
        <v>0</v>
      </c>
      <c r="BH111" s="168">
        <f>SUMIF('CF(M)'!$L$11:$EQ$11,BH$6,'CF(M)'!$L116:$EQ116)</f>
        <v>0</v>
      </c>
      <c r="BI111" s="168">
        <f>SUMIF('CF(M)'!$L$11:$EQ$11,BI$6,'CF(M)'!$L116:$EQ116)</f>
        <v>0</v>
      </c>
      <c r="BJ111" s="168">
        <f>SUMIF('CF(M)'!$L$11:$EQ$11,BJ$6,'CF(M)'!$L116:$EQ116)</f>
        <v>0</v>
      </c>
      <c r="BK111" s="168">
        <f>SUMIF('CF(M)'!$L$11:$EQ$11,BK$6,'CF(M)'!$L116:$EQ116)</f>
        <v>0</v>
      </c>
      <c r="BL111" s="168">
        <f>SUMIF('CF(M)'!$L$11:$EQ$11,BL$6,'CF(M)'!$L116:$EQ116)</f>
        <v>0</v>
      </c>
      <c r="BM111" s="168">
        <f>SUMIF('CF(M)'!$L$11:$EQ$11,BM$6,'CF(M)'!$L116:$EQ116)</f>
        <v>0</v>
      </c>
      <c r="BN111" s="168">
        <f>SUMIF('CF(M)'!$L$11:$EQ$11,BN$6,'CF(M)'!$L116:$EQ116)</f>
        <v>0</v>
      </c>
      <c r="BO111" s="168">
        <f>SUMIF('CF(M)'!$L$11:$EQ$11,BO$6,'CF(M)'!$L116:$EQ116)</f>
        <v>0</v>
      </c>
      <c r="BP111" s="168">
        <f>SUMIF('CF(M)'!$L$11:$EQ$11,BP$6,'CF(M)'!$L116:$EQ116)</f>
        <v>0</v>
      </c>
      <c r="BQ111" s="168">
        <f>SUMIF('CF(M)'!$L$11:$EQ$11,BQ$6,'CF(M)'!$L116:$EQ116)</f>
        <v>0</v>
      </c>
      <c r="BR111" s="168">
        <f>SUMIF('CF(M)'!$L$11:$EQ$11,BR$6,'CF(M)'!$L116:$EQ116)</f>
        <v>0</v>
      </c>
      <c r="BS111" s="168">
        <f>SUMIF('CF(M)'!$L$11:$EQ$11,BS$6,'CF(M)'!$L116:$EQ116)</f>
        <v>0</v>
      </c>
      <c r="BT111" s="168">
        <f>SUMIF('CF(M)'!$L$11:$EQ$11,BT$6,'CF(M)'!$L116:$EQ116)</f>
        <v>0</v>
      </c>
      <c r="BU111" s="168">
        <f>SUMIF('CF(M)'!$L$11:$EQ$11,BU$6,'CF(M)'!$L116:$EQ116)</f>
        <v>0</v>
      </c>
      <c r="BV111" s="168">
        <f>SUMIF('CF(M)'!$L$11:$EQ$11,BV$6,'CF(M)'!$L116:$EQ116)</f>
        <v>0</v>
      </c>
      <c r="BW111" s="168">
        <f>SUMIF('CF(M)'!$L$11:$EQ$11,BW$6,'CF(M)'!$L116:$EQ116)</f>
        <v>0</v>
      </c>
      <c r="BX111" s="168">
        <f>SUMIF('CF(M)'!$L$11:$EQ$11,BX$6,'CF(M)'!$L116:$EQ116)</f>
        <v>0</v>
      </c>
      <c r="BY111" s="168">
        <f>SUMIF('CF(M)'!$L$11:$EQ$11,BY$6,'CF(M)'!$L116:$EQ116)</f>
        <v>0</v>
      </c>
      <c r="BZ111" s="168">
        <f>SUMIF('CF(M)'!$L$11:$EQ$11,BZ$6,'CF(M)'!$L116:$EQ116)</f>
        <v>0</v>
      </c>
      <c r="CA111" s="168">
        <f>SUMIF('CF(M)'!$L$11:$EQ$11,CA$6,'CF(M)'!$L116:$EQ116)</f>
        <v>0</v>
      </c>
      <c r="CB111" s="168">
        <f>SUMIF('CF(M)'!$L$11:$EQ$11,CB$6,'CF(M)'!$L116:$EQ116)</f>
        <v>0</v>
      </c>
      <c r="CC111" s="168">
        <f>SUMIF('CF(M)'!$L$11:$EQ$11,CC$6,'CF(M)'!$L116:$EQ116)</f>
        <v>0</v>
      </c>
      <c r="CD111" s="168">
        <f>SUMIF('CF(M)'!$L$11:$EQ$11,CD$6,'CF(M)'!$L116:$EQ116)</f>
        <v>0</v>
      </c>
      <c r="CE111" s="168">
        <f>SUMIF('CF(M)'!$L$11:$EQ$11,CE$6,'CF(M)'!$L116:$EQ116)</f>
        <v>0</v>
      </c>
      <c r="CF111" s="168">
        <f>SUMIF('CF(M)'!$L$11:$EQ$11,CF$6,'CF(M)'!$L116:$EQ116)</f>
        <v>0</v>
      </c>
      <c r="CG111" s="168">
        <f>SUMIF('CF(M)'!$L$11:$EQ$11,CG$6,'CF(M)'!$L116:$EQ116)</f>
        <v>0</v>
      </c>
      <c r="CH111" s="168">
        <f>SUMIF('CF(M)'!$L$11:$EQ$11,CH$6,'CF(M)'!$L116:$EQ116)</f>
        <v>0</v>
      </c>
      <c r="CI111" s="168">
        <f>SUMIF('CF(M)'!$L$11:$EQ$11,CI$6,'CF(M)'!$L116:$EQ116)</f>
        <v>0</v>
      </c>
      <c r="CJ111" s="168">
        <f>SUMIF('CF(M)'!$L$11:$EQ$11,CJ$6,'CF(M)'!$L116:$EQ116)</f>
        <v>0</v>
      </c>
      <c r="CK111" s="168">
        <f>SUMIF('CF(M)'!$L$11:$EQ$11,CK$6,'CF(M)'!$L116:$EQ116)</f>
        <v>0</v>
      </c>
      <c r="CL111" s="168">
        <f>SUMIF('CF(M)'!$L$11:$EQ$11,CL$6,'CF(M)'!$L116:$EQ116)</f>
        <v>0</v>
      </c>
      <c r="CM111" s="168">
        <f>SUMIF('CF(M)'!$L$11:$EQ$11,CM$6,'CF(M)'!$L116:$EQ116)</f>
        <v>0</v>
      </c>
      <c r="CN111" s="168">
        <f>SUMIF('CF(M)'!$L$11:$EQ$11,CN$6,'CF(M)'!$L116:$EQ116)</f>
        <v>0</v>
      </c>
      <c r="CO111" s="168">
        <f>SUMIF('CF(M)'!$L$11:$EQ$11,CO$6,'CF(M)'!$L116:$EQ116)</f>
        <v>0</v>
      </c>
      <c r="CP111" s="168">
        <f>SUMIF('CF(M)'!$L$11:$EQ$11,CP$6,'CF(M)'!$L116:$EQ116)</f>
        <v>0</v>
      </c>
      <c r="CQ111" s="168">
        <f>SUMIF('CF(M)'!$L$11:$EQ$11,CQ$6,'CF(M)'!$L116:$EQ116)</f>
        <v>0</v>
      </c>
      <c r="CR111" s="168">
        <f>SUMIF('CF(M)'!$L$11:$EQ$11,CR$6,'CF(M)'!$L116:$EQ116)</f>
        <v>0</v>
      </c>
      <c r="CS111" s="168">
        <f>SUMIF('CF(M)'!$L$11:$EQ$11,CS$6,'CF(M)'!$L116:$EQ116)</f>
        <v>0</v>
      </c>
      <c r="CT111" s="168">
        <f>SUMIF('CF(M)'!$L$11:$EQ$11,CT$6,'CF(M)'!$L116:$EQ116)</f>
        <v>0</v>
      </c>
      <c r="CU111" s="168">
        <f>SUMIF('CF(M)'!$L$11:$EQ$11,CU$6,'CF(M)'!$L116:$EQ116)</f>
        <v>0</v>
      </c>
      <c r="CV111" s="168">
        <f>SUMIF('CF(M)'!$L$11:$EQ$11,CV$6,'CF(M)'!$L116:$EQ116)</f>
        <v>0</v>
      </c>
      <c r="CW111" s="168">
        <f>SUMIF('CF(M)'!$L$11:$EQ$11,CW$6,'CF(M)'!$L116:$EQ116)</f>
        <v>0</v>
      </c>
      <c r="CX111" s="168">
        <f>SUMIF('CF(M)'!$L$11:$EQ$11,CX$6,'CF(M)'!$L116:$EQ116)</f>
        <v>0</v>
      </c>
      <c r="CY111" s="168">
        <f>SUMIF('CF(M)'!$L$11:$EQ$11,CY$6,'CF(M)'!$L116:$EQ116)</f>
        <v>0</v>
      </c>
      <c r="CZ111" s="168">
        <f>SUMIF('CF(M)'!$L$11:$EQ$11,CZ$6,'CF(M)'!$L116:$EQ116)</f>
        <v>0</v>
      </c>
      <c r="DA111" s="168">
        <f>SUMIF('CF(M)'!$L$11:$EQ$11,DA$6,'CF(M)'!$L116:$EQ116)</f>
        <v>0</v>
      </c>
      <c r="DB111" s="168">
        <f>SUMIF('CF(M)'!$L$11:$EQ$11,DB$6,'CF(M)'!$L116:$EQ116)</f>
        <v>0</v>
      </c>
      <c r="DC111" s="168">
        <f>SUMIF('CF(M)'!$L$11:$EQ$11,DC$6,'CF(M)'!$L116:$EQ116)</f>
        <v>0</v>
      </c>
      <c r="DD111" s="168">
        <f>SUMIF('CF(M)'!$L$11:$EQ$11,DD$6,'CF(M)'!$L116:$EQ116)</f>
        <v>0</v>
      </c>
      <c r="DE111" s="168">
        <f>SUMIF('CF(M)'!$L$11:$EQ$11,DE$6,'CF(M)'!$L116:$EQ116)</f>
        <v>0</v>
      </c>
      <c r="DF111" s="168">
        <f>SUMIF('CF(M)'!$L$11:$EQ$11,DF$6,'CF(M)'!$L116:$EQ116)</f>
        <v>0</v>
      </c>
      <c r="DG111" s="168">
        <f>SUMIF('CF(M)'!$L$11:$EQ$11,DG$6,'CF(M)'!$L116:$EQ116)</f>
        <v>0</v>
      </c>
      <c r="DH111" s="168">
        <f>SUMIF('CF(M)'!$L$11:$EQ$11,DH$6,'CF(M)'!$L116:$EQ116)</f>
        <v>0</v>
      </c>
      <c r="DI111" s="168">
        <f>SUMIF('CF(M)'!$L$11:$EQ$11,DI$6,'CF(M)'!$L116:$EQ116)</f>
        <v>0</v>
      </c>
      <c r="DJ111" s="168">
        <f>SUMIF('CF(M)'!$L$11:$EQ$11,DJ$6,'CF(M)'!$L116:$EQ116)</f>
        <v>0</v>
      </c>
      <c r="DK111" s="168">
        <f>SUMIF('CF(M)'!$L$11:$EQ$11,DK$6,'CF(M)'!$L116:$EQ116)</f>
        <v>0</v>
      </c>
      <c r="DL111" s="168">
        <f>SUMIF('CF(M)'!$L$11:$EQ$11,DL$6,'CF(M)'!$L116:$EQ116)</f>
        <v>0</v>
      </c>
      <c r="DM111" s="168">
        <f>SUMIF('CF(M)'!$L$11:$EQ$11,DM$6,'CF(M)'!$L116:$EQ116)</f>
        <v>0</v>
      </c>
      <c r="DN111" s="168">
        <f>SUMIF('CF(M)'!$L$11:$EQ$11,DN$6,'CF(M)'!$L116:$EQ116)</f>
        <v>0</v>
      </c>
      <c r="DO111" s="168">
        <f>SUMIF('CF(M)'!$L$11:$EQ$11,DO$6,'CF(M)'!$L116:$EQ116)</f>
        <v>0</v>
      </c>
      <c r="DP111" s="168">
        <f>SUMIF('CF(M)'!$L$11:$EQ$11,DP$6,'CF(M)'!$L116:$EQ116)</f>
        <v>0</v>
      </c>
      <c r="DQ111" s="168">
        <f>SUMIF('CF(M)'!$L$11:$EQ$11,DQ$6,'CF(M)'!$L116:$EQ116)</f>
        <v>0</v>
      </c>
      <c r="DR111" s="168">
        <f>SUMIF('CF(M)'!$L$11:$EQ$11,DR$6,'CF(M)'!$L116:$EQ116)</f>
        <v>0</v>
      </c>
      <c r="DS111" s="168">
        <f>SUMIF('CF(M)'!$L$11:$EQ$11,DS$6,'CF(M)'!$L116:$EQ116)</f>
        <v>0</v>
      </c>
      <c r="DT111" s="168">
        <f>SUMIF('CF(M)'!$L$11:$EQ$11,DT$6,'CF(M)'!$L116:$EQ116)</f>
        <v>0</v>
      </c>
      <c r="DU111" s="168">
        <f>SUMIF('CF(M)'!$L$11:$EQ$11,DU$6,'CF(M)'!$L116:$EQ116)</f>
        <v>0</v>
      </c>
      <c r="DV111" s="168">
        <f>SUMIF('CF(M)'!$L$11:$EQ$11,DV$6,'CF(M)'!$L116:$EQ116)</f>
        <v>0</v>
      </c>
    </row>
    <row r="112" spans="2:126" ht="11.25" customHeight="1">
      <c r="B112" s="218"/>
      <c r="C112" s="163"/>
      <c r="D112" s="169" t="s">
        <v>551</v>
      </c>
      <c r="H112" s="146"/>
      <c r="I112" s="229"/>
      <c r="J112" s="171">
        <f>SUM(L112:DV112)</f>
        <v>0</v>
      </c>
      <c r="K112" s="98"/>
      <c r="L112" s="171">
        <f>SUMIF('CF(M)'!$L$11:$EQ$11,L$6,'CF(M)'!$L117:$EQ117)</f>
        <v>0</v>
      </c>
      <c r="M112" s="171">
        <f>SUMIF('CF(M)'!$L$11:$EQ$11,M$6,'CF(M)'!$L117:$EQ117)</f>
        <v>0</v>
      </c>
      <c r="N112" s="171">
        <f>SUMIF('CF(M)'!$L$11:$EQ$11,N$6,'CF(M)'!$L117:$EQ117)</f>
        <v>0</v>
      </c>
      <c r="O112" s="171">
        <f>SUMIF('CF(M)'!$L$11:$EQ$11,O$6,'CF(M)'!$L117:$EQ117)</f>
        <v>0</v>
      </c>
      <c r="P112" s="171">
        <f>SUMIF('CF(M)'!$L$11:$EQ$11,P$6,'CF(M)'!$L117:$EQ117)</f>
        <v>0</v>
      </c>
      <c r="Q112" s="171">
        <f>SUMIF('CF(M)'!$L$11:$EQ$11,Q$6,'CF(M)'!$L117:$EQ117)</f>
        <v>0</v>
      </c>
      <c r="R112" s="171">
        <f>SUMIF('CF(M)'!$L$11:$EQ$11,R$6,'CF(M)'!$L117:$EQ117)</f>
        <v>0</v>
      </c>
      <c r="S112" s="171">
        <f>SUMIF('CF(M)'!$L$11:$EQ$11,S$6,'CF(M)'!$L117:$EQ117)</f>
        <v>0</v>
      </c>
      <c r="T112" s="171">
        <f>SUMIF('CF(M)'!$L$11:$EQ$11,T$6,'CF(M)'!$L117:$EQ117)</f>
        <v>0</v>
      </c>
      <c r="U112" s="171">
        <f>SUMIF('CF(M)'!$L$11:$EQ$11,U$6,'CF(M)'!$L117:$EQ117)</f>
        <v>0</v>
      </c>
      <c r="V112" s="171">
        <f>SUMIF('CF(M)'!$L$11:$EQ$11,V$6,'CF(M)'!$L117:$EQ117)</f>
        <v>0</v>
      </c>
      <c r="W112" s="171">
        <f>SUMIF('CF(M)'!$L$11:$EQ$11,W$6,'CF(M)'!$L117:$EQ117)</f>
        <v>0</v>
      </c>
      <c r="X112" s="171">
        <f>SUMIF('CF(M)'!$L$11:$EQ$11,X$6,'CF(M)'!$L117:$EQ117)</f>
        <v>0</v>
      </c>
      <c r="Y112" s="171">
        <f>SUMIF('CF(M)'!$L$11:$EQ$11,Y$6,'CF(M)'!$L117:$EQ117)</f>
        <v>0</v>
      </c>
      <c r="Z112" s="171">
        <f>SUMIF('CF(M)'!$L$11:$EQ$11,Z$6,'CF(M)'!$L117:$EQ117)</f>
        <v>0</v>
      </c>
      <c r="AA112" s="171">
        <f>SUMIF('CF(M)'!$L$11:$EQ$11,AA$6,'CF(M)'!$L117:$EQ117)</f>
        <v>0</v>
      </c>
      <c r="AB112" s="171">
        <f>SUMIF('CF(M)'!$L$11:$EQ$11,AB$6,'CF(M)'!$L117:$EQ117)</f>
        <v>0</v>
      </c>
      <c r="AC112" s="171">
        <f>SUMIF('CF(M)'!$L$11:$EQ$11,AC$6,'CF(M)'!$L117:$EQ117)</f>
        <v>0</v>
      </c>
      <c r="AD112" s="171">
        <f>SUMIF('CF(M)'!$L$11:$EQ$11,AD$6,'CF(M)'!$L117:$EQ117)</f>
        <v>0</v>
      </c>
      <c r="AE112" s="171">
        <f>SUMIF('CF(M)'!$L$11:$EQ$11,AE$6,'CF(M)'!$L117:$EQ117)</f>
        <v>0</v>
      </c>
      <c r="AF112" s="171">
        <f>SUMIF('CF(M)'!$L$11:$EQ$11,AF$6,'CF(M)'!$L117:$EQ117)</f>
        <v>0</v>
      </c>
      <c r="AG112" s="171">
        <f>SUMIF('CF(M)'!$L$11:$EQ$11,AG$6,'CF(M)'!$L117:$EQ117)</f>
        <v>0</v>
      </c>
      <c r="AH112" s="171">
        <f>SUMIF('CF(M)'!$L$11:$EQ$11,AH$6,'CF(M)'!$L117:$EQ117)</f>
        <v>0</v>
      </c>
      <c r="AI112" s="171">
        <f>SUMIF('CF(M)'!$L$11:$EQ$11,AI$6,'CF(M)'!$L117:$EQ117)</f>
        <v>0</v>
      </c>
      <c r="AJ112" s="171">
        <f>SUMIF('CF(M)'!$L$11:$EQ$11,AJ$6,'CF(M)'!$L117:$EQ117)</f>
        <v>0</v>
      </c>
      <c r="AK112" s="171">
        <f>SUMIF('CF(M)'!$L$11:$EQ$11,AK$6,'CF(M)'!$L117:$EQ117)</f>
        <v>0</v>
      </c>
      <c r="AL112" s="171">
        <f>SUMIF('CF(M)'!$L$11:$EQ$11,AL$6,'CF(M)'!$L117:$EQ117)</f>
        <v>0</v>
      </c>
      <c r="AM112" s="171">
        <f>SUMIF('CF(M)'!$L$11:$EQ$11,AM$6,'CF(M)'!$L117:$EQ117)</f>
        <v>0</v>
      </c>
      <c r="AN112" s="171">
        <f>SUMIF('CF(M)'!$L$11:$EQ$11,AN$6,'CF(M)'!$L117:$EQ117)</f>
        <v>0</v>
      </c>
      <c r="AO112" s="171">
        <f>SUMIF('CF(M)'!$L$11:$EQ$11,AO$6,'CF(M)'!$L117:$EQ117)</f>
        <v>0</v>
      </c>
      <c r="AP112" s="171">
        <f>SUMIF('CF(M)'!$L$11:$EQ$11,AP$6,'CF(M)'!$L117:$EQ117)</f>
        <v>0</v>
      </c>
      <c r="AQ112" s="171">
        <f>SUMIF('CF(M)'!$L$11:$EQ$11,AQ$6,'CF(M)'!$L117:$EQ117)</f>
        <v>0</v>
      </c>
      <c r="AR112" s="171">
        <f>SUMIF('CF(M)'!$L$11:$EQ$11,AR$6,'CF(M)'!$L117:$EQ117)</f>
        <v>0</v>
      </c>
      <c r="AS112" s="171">
        <f>SUMIF('CF(M)'!$L$11:$EQ$11,AS$6,'CF(M)'!$L117:$EQ117)</f>
        <v>0</v>
      </c>
      <c r="AT112" s="171">
        <f>SUMIF('CF(M)'!$L$11:$EQ$11,AT$6,'CF(M)'!$L117:$EQ117)</f>
        <v>0</v>
      </c>
      <c r="AU112" s="171">
        <f>SUMIF('CF(M)'!$L$11:$EQ$11,AU$6,'CF(M)'!$L117:$EQ117)</f>
        <v>0</v>
      </c>
      <c r="AV112" s="171">
        <f>SUMIF('CF(M)'!$L$11:$EQ$11,AV$6,'CF(M)'!$L117:$EQ117)</f>
        <v>0</v>
      </c>
      <c r="AW112" s="171">
        <f>SUMIF('CF(M)'!$L$11:$EQ$11,AW$6,'CF(M)'!$L117:$EQ117)</f>
        <v>0</v>
      </c>
      <c r="AX112" s="171">
        <f>SUMIF('CF(M)'!$L$11:$EQ$11,AX$6,'CF(M)'!$L117:$EQ117)</f>
        <v>0</v>
      </c>
      <c r="AY112" s="171">
        <f>SUMIF('CF(M)'!$L$11:$EQ$11,AY$6,'CF(M)'!$L117:$EQ117)</f>
        <v>0</v>
      </c>
      <c r="AZ112" s="171">
        <f>SUMIF('CF(M)'!$L$11:$EQ$11,AZ$6,'CF(M)'!$L117:$EQ117)</f>
        <v>0</v>
      </c>
      <c r="BA112" s="171">
        <f>SUMIF('CF(M)'!$L$11:$EQ$11,BA$6,'CF(M)'!$L117:$EQ117)</f>
        <v>0</v>
      </c>
      <c r="BB112" s="171">
        <f>SUMIF('CF(M)'!$L$11:$EQ$11,BB$6,'CF(M)'!$L117:$EQ117)</f>
        <v>0</v>
      </c>
      <c r="BC112" s="171">
        <f>SUMIF('CF(M)'!$L$11:$EQ$11,BC$6,'CF(M)'!$L117:$EQ117)</f>
        <v>0</v>
      </c>
      <c r="BD112" s="171">
        <f>SUMIF('CF(M)'!$L$11:$EQ$11,BD$6,'CF(M)'!$L117:$EQ117)</f>
        <v>0</v>
      </c>
      <c r="BE112" s="171">
        <f>SUMIF('CF(M)'!$L$11:$EQ$11,BE$6,'CF(M)'!$L117:$EQ117)</f>
        <v>0</v>
      </c>
      <c r="BF112" s="171">
        <f>SUMIF('CF(M)'!$L$11:$EQ$11,BF$6,'CF(M)'!$L117:$EQ117)</f>
        <v>0</v>
      </c>
      <c r="BG112" s="171">
        <f>SUMIF('CF(M)'!$L$11:$EQ$11,BG$6,'CF(M)'!$L117:$EQ117)</f>
        <v>0</v>
      </c>
      <c r="BH112" s="171">
        <f>SUMIF('CF(M)'!$L$11:$EQ$11,BH$6,'CF(M)'!$L117:$EQ117)</f>
        <v>0</v>
      </c>
      <c r="BI112" s="171">
        <f>SUMIF('CF(M)'!$L$11:$EQ$11,BI$6,'CF(M)'!$L117:$EQ117)</f>
        <v>0</v>
      </c>
      <c r="BJ112" s="171">
        <f>SUMIF('CF(M)'!$L$11:$EQ$11,BJ$6,'CF(M)'!$L117:$EQ117)</f>
        <v>0</v>
      </c>
      <c r="BK112" s="171">
        <f>SUMIF('CF(M)'!$L$11:$EQ$11,BK$6,'CF(M)'!$L117:$EQ117)</f>
        <v>0</v>
      </c>
      <c r="BL112" s="171">
        <f>SUMIF('CF(M)'!$L$11:$EQ$11,BL$6,'CF(M)'!$L117:$EQ117)</f>
        <v>0</v>
      </c>
      <c r="BM112" s="171">
        <f>SUMIF('CF(M)'!$L$11:$EQ$11,BM$6,'CF(M)'!$L117:$EQ117)</f>
        <v>0</v>
      </c>
      <c r="BN112" s="171">
        <f>SUMIF('CF(M)'!$L$11:$EQ$11,BN$6,'CF(M)'!$L117:$EQ117)</f>
        <v>0</v>
      </c>
      <c r="BO112" s="171">
        <f>SUMIF('CF(M)'!$L$11:$EQ$11,BO$6,'CF(M)'!$L117:$EQ117)</f>
        <v>0</v>
      </c>
      <c r="BP112" s="171">
        <f>SUMIF('CF(M)'!$L$11:$EQ$11,BP$6,'CF(M)'!$L117:$EQ117)</f>
        <v>0</v>
      </c>
      <c r="BQ112" s="171">
        <f>SUMIF('CF(M)'!$L$11:$EQ$11,BQ$6,'CF(M)'!$L117:$EQ117)</f>
        <v>0</v>
      </c>
      <c r="BR112" s="171">
        <f>SUMIF('CF(M)'!$L$11:$EQ$11,BR$6,'CF(M)'!$L117:$EQ117)</f>
        <v>0</v>
      </c>
      <c r="BS112" s="171">
        <f>SUMIF('CF(M)'!$L$11:$EQ$11,BS$6,'CF(M)'!$L117:$EQ117)</f>
        <v>0</v>
      </c>
      <c r="BT112" s="171">
        <f>SUMIF('CF(M)'!$L$11:$EQ$11,BT$6,'CF(M)'!$L117:$EQ117)</f>
        <v>0</v>
      </c>
      <c r="BU112" s="171">
        <f>SUMIF('CF(M)'!$L$11:$EQ$11,BU$6,'CF(M)'!$L117:$EQ117)</f>
        <v>0</v>
      </c>
      <c r="BV112" s="171">
        <f>SUMIF('CF(M)'!$L$11:$EQ$11,BV$6,'CF(M)'!$L117:$EQ117)</f>
        <v>0</v>
      </c>
      <c r="BW112" s="171">
        <f>SUMIF('CF(M)'!$L$11:$EQ$11,BW$6,'CF(M)'!$L117:$EQ117)</f>
        <v>0</v>
      </c>
      <c r="BX112" s="171">
        <f>SUMIF('CF(M)'!$L$11:$EQ$11,BX$6,'CF(M)'!$L117:$EQ117)</f>
        <v>0</v>
      </c>
      <c r="BY112" s="171">
        <f>SUMIF('CF(M)'!$L$11:$EQ$11,BY$6,'CF(M)'!$L117:$EQ117)</f>
        <v>0</v>
      </c>
      <c r="BZ112" s="171">
        <f>SUMIF('CF(M)'!$L$11:$EQ$11,BZ$6,'CF(M)'!$L117:$EQ117)</f>
        <v>0</v>
      </c>
      <c r="CA112" s="171">
        <f>SUMIF('CF(M)'!$L$11:$EQ$11,CA$6,'CF(M)'!$L117:$EQ117)</f>
        <v>0</v>
      </c>
      <c r="CB112" s="171">
        <f>SUMIF('CF(M)'!$L$11:$EQ$11,CB$6,'CF(M)'!$L117:$EQ117)</f>
        <v>0</v>
      </c>
      <c r="CC112" s="171">
        <f>SUMIF('CF(M)'!$L$11:$EQ$11,CC$6,'CF(M)'!$L117:$EQ117)</f>
        <v>0</v>
      </c>
      <c r="CD112" s="171">
        <f>SUMIF('CF(M)'!$L$11:$EQ$11,CD$6,'CF(M)'!$L117:$EQ117)</f>
        <v>0</v>
      </c>
      <c r="CE112" s="171">
        <f>SUMIF('CF(M)'!$L$11:$EQ$11,CE$6,'CF(M)'!$L117:$EQ117)</f>
        <v>0</v>
      </c>
      <c r="CF112" s="171">
        <f>SUMIF('CF(M)'!$L$11:$EQ$11,CF$6,'CF(M)'!$L117:$EQ117)</f>
        <v>0</v>
      </c>
      <c r="CG112" s="171">
        <f>SUMIF('CF(M)'!$L$11:$EQ$11,CG$6,'CF(M)'!$L117:$EQ117)</f>
        <v>0</v>
      </c>
      <c r="CH112" s="171">
        <f>SUMIF('CF(M)'!$L$11:$EQ$11,CH$6,'CF(M)'!$L117:$EQ117)</f>
        <v>0</v>
      </c>
      <c r="CI112" s="171">
        <f>SUMIF('CF(M)'!$L$11:$EQ$11,CI$6,'CF(M)'!$L117:$EQ117)</f>
        <v>0</v>
      </c>
      <c r="CJ112" s="171">
        <f>SUMIF('CF(M)'!$L$11:$EQ$11,CJ$6,'CF(M)'!$L117:$EQ117)</f>
        <v>0</v>
      </c>
      <c r="CK112" s="171">
        <f>SUMIF('CF(M)'!$L$11:$EQ$11,CK$6,'CF(M)'!$L117:$EQ117)</f>
        <v>0</v>
      </c>
      <c r="CL112" s="171">
        <f>SUMIF('CF(M)'!$L$11:$EQ$11,CL$6,'CF(M)'!$L117:$EQ117)</f>
        <v>0</v>
      </c>
      <c r="CM112" s="171">
        <f>SUMIF('CF(M)'!$L$11:$EQ$11,CM$6,'CF(M)'!$L117:$EQ117)</f>
        <v>0</v>
      </c>
      <c r="CN112" s="171">
        <f>SUMIF('CF(M)'!$L$11:$EQ$11,CN$6,'CF(M)'!$L117:$EQ117)</f>
        <v>0</v>
      </c>
      <c r="CO112" s="171">
        <f>SUMIF('CF(M)'!$L$11:$EQ$11,CO$6,'CF(M)'!$L117:$EQ117)</f>
        <v>0</v>
      </c>
      <c r="CP112" s="171">
        <f>SUMIF('CF(M)'!$L$11:$EQ$11,CP$6,'CF(M)'!$L117:$EQ117)</f>
        <v>0</v>
      </c>
      <c r="CQ112" s="171">
        <f>SUMIF('CF(M)'!$L$11:$EQ$11,CQ$6,'CF(M)'!$L117:$EQ117)</f>
        <v>0</v>
      </c>
      <c r="CR112" s="171">
        <f>SUMIF('CF(M)'!$L$11:$EQ$11,CR$6,'CF(M)'!$L117:$EQ117)</f>
        <v>0</v>
      </c>
      <c r="CS112" s="171">
        <f>SUMIF('CF(M)'!$L$11:$EQ$11,CS$6,'CF(M)'!$L117:$EQ117)</f>
        <v>0</v>
      </c>
      <c r="CT112" s="171">
        <f>SUMIF('CF(M)'!$L$11:$EQ$11,CT$6,'CF(M)'!$L117:$EQ117)</f>
        <v>0</v>
      </c>
      <c r="CU112" s="171">
        <f>SUMIF('CF(M)'!$L$11:$EQ$11,CU$6,'CF(M)'!$L117:$EQ117)</f>
        <v>0</v>
      </c>
      <c r="CV112" s="171">
        <f>SUMIF('CF(M)'!$L$11:$EQ$11,CV$6,'CF(M)'!$L117:$EQ117)</f>
        <v>0</v>
      </c>
      <c r="CW112" s="171">
        <f>SUMIF('CF(M)'!$L$11:$EQ$11,CW$6,'CF(M)'!$L117:$EQ117)</f>
        <v>0</v>
      </c>
      <c r="CX112" s="171">
        <f>SUMIF('CF(M)'!$L$11:$EQ$11,CX$6,'CF(M)'!$L117:$EQ117)</f>
        <v>0</v>
      </c>
      <c r="CY112" s="171">
        <f>SUMIF('CF(M)'!$L$11:$EQ$11,CY$6,'CF(M)'!$L117:$EQ117)</f>
        <v>0</v>
      </c>
      <c r="CZ112" s="171">
        <f>SUMIF('CF(M)'!$L$11:$EQ$11,CZ$6,'CF(M)'!$L117:$EQ117)</f>
        <v>0</v>
      </c>
      <c r="DA112" s="171">
        <f>SUMIF('CF(M)'!$L$11:$EQ$11,DA$6,'CF(M)'!$L117:$EQ117)</f>
        <v>0</v>
      </c>
      <c r="DB112" s="171">
        <f>SUMIF('CF(M)'!$L$11:$EQ$11,DB$6,'CF(M)'!$L117:$EQ117)</f>
        <v>0</v>
      </c>
      <c r="DC112" s="171">
        <f>SUMIF('CF(M)'!$L$11:$EQ$11,DC$6,'CF(M)'!$L117:$EQ117)</f>
        <v>0</v>
      </c>
      <c r="DD112" s="171">
        <f>SUMIF('CF(M)'!$L$11:$EQ$11,DD$6,'CF(M)'!$L117:$EQ117)</f>
        <v>0</v>
      </c>
      <c r="DE112" s="171">
        <f>SUMIF('CF(M)'!$L$11:$EQ$11,DE$6,'CF(M)'!$L117:$EQ117)</f>
        <v>0</v>
      </c>
      <c r="DF112" s="171">
        <f>SUMIF('CF(M)'!$L$11:$EQ$11,DF$6,'CF(M)'!$L117:$EQ117)</f>
        <v>0</v>
      </c>
      <c r="DG112" s="171">
        <f>SUMIF('CF(M)'!$L$11:$EQ$11,DG$6,'CF(M)'!$L117:$EQ117)</f>
        <v>0</v>
      </c>
      <c r="DH112" s="171">
        <f>SUMIF('CF(M)'!$L$11:$EQ$11,DH$6,'CF(M)'!$L117:$EQ117)</f>
        <v>0</v>
      </c>
      <c r="DI112" s="171">
        <f>SUMIF('CF(M)'!$L$11:$EQ$11,DI$6,'CF(M)'!$L117:$EQ117)</f>
        <v>0</v>
      </c>
      <c r="DJ112" s="171">
        <f>SUMIF('CF(M)'!$L$11:$EQ$11,DJ$6,'CF(M)'!$L117:$EQ117)</f>
        <v>0</v>
      </c>
      <c r="DK112" s="171">
        <f>SUMIF('CF(M)'!$L$11:$EQ$11,DK$6,'CF(M)'!$L117:$EQ117)</f>
        <v>0</v>
      </c>
      <c r="DL112" s="171">
        <f>SUMIF('CF(M)'!$L$11:$EQ$11,DL$6,'CF(M)'!$L117:$EQ117)</f>
        <v>0</v>
      </c>
      <c r="DM112" s="171">
        <f>SUMIF('CF(M)'!$L$11:$EQ$11,DM$6,'CF(M)'!$L117:$EQ117)</f>
        <v>0</v>
      </c>
      <c r="DN112" s="171">
        <f>SUMIF('CF(M)'!$L$11:$EQ$11,DN$6,'CF(M)'!$L117:$EQ117)</f>
        <v>0</v>
      </c>
      <c r="DO112" s="171">
        <f>SUMIF('CF(M)'!$L$11:$EQ$11,DO$6,'CF(M)'!$L117:$EQ117)</f>
        <v>0</v>
      </c>
      <c r="DP112" s="171">
        <f>SUMIF('CF(M)'!$L$11:$EQ$11,DP$6,'CF(M)'!$L117:$EQ117)</f>
        <v>0</v>
      </c>
      <c r="DQ112" s="171">
        <f>SUMIF('CF(M)'!$L$11:$EQ$11,DQ$6,'CF(M)'!$L117:$EQ117)</f>
        <v>0</v>
      </c>
      <c r="DR112" s="171">
        <f>SUMIF('CF(M)'!$L$11:$EQ$11,DR$6,'CF(M)'!$L117:$EQ117)</f>
        <v>0</v>
      </c>
      <c r="DS112" s="171">
        <f>SUMIF('CF(M)'!$L$11:$EQ$11,DS$6,'CF(M)'!$L117:$EQ117)</f>
        <v>0</v>
      </c>
      <c r="DT112" s="171">
        <f>SUMIF('CF(M)'!$L$11:$EQ$11,DT$6,'CF(M)'!$L117:$EQ117)</f>
        <v>0</v>
      </c>
      <c r="DU112" s="171">
        <f>SUMIF('CF(M)'!$L$11:$EQ$11,DU$6,'CF(M)'!$L117:$EQ117)</f>
        <v>0</v>
      </c>
      <c r="DV112" s="171">
        <f>SUMIF('CF(M)'!$L$11:$EQ$11,DV$6,'CF(M)'!$L117:$EQ117)</f>
        <v>0</v>
      </c>
    </row>
    <row r="113" spans="2:126" ht="11.25" customHeight="1">
      <c r="B113" s="218"/>
      <c r="C113" s="163"/>
      <c r="D113" s="169" t="s">
        <v>130</v>
      </c>
      <c r="H113" s="146"/>
      <c r="I113" s="229"/>
      <c r="J113" s="171">
        <f>SUM(L113:DV113)</f>
        <v>0</v>
      </c>
      <c r="K113" s="98"/>
      <c r="L113" s="171">
        <f>SUMIF('CF(M)'!$L$11:$EQ$11,L$6,'CF(M)'!$L118:$EQ118)</f>
        <v>0</v>
      </c>
      <c r="M113" s="171">
        <f>SUMIF('CF(M)'!$L$11:$EQ$11,M$6,'CF(M)'!$L118:$EQ118)</f>
        <v>0</v>
      </c>
      <c r="N113" s="171">
        <f>SUMIF('CF(M)'!$L$11:$EQ$11,N$6,'CF(M)'!$L118:$EQ118)</f>
        <v>0</v>
      </c>
      <c r="O113" s="171">
        <f>SUMIF('CF(M)'!$L$11:$EQ$11,O$6,'CF(M)'!$L118:$EQ118)</f>
        <v>0</v>
      </c>
      <c r="P113" s="171">
        <f>SUMIF('CF(M)'!$L$11:$EQ$11,P$6,'CF(M)'!$L118:$EQ118)</f>
        <v>0</v>
      </c>
      <c r="Q113" s="171">
        <f>SUMIF('CF(M)'!$L$11:$EQ$11,Q$6,'CF(M)'!$L118:$EQ118)</f>
        <v>0</v>
      </c>
      <c r="R113" s="171">
        <f>SUMIF('CF(M)'!$L$11:$EQ$11,R$6,'CF(M)'!$L118:$EQ118)</f>
        <v>0</v>
      </c>
      <c r="S113" s="171">
        <f>SUMIF('CF(M)'!$L$11:$EQ$11,S$6,'CF(M)'!$L118:$EQ118)</f>
        <v>0</v>
      </c>
      <c r="T113" s="171">
        <f>SUMIF('CF(M)'!$L$11:$EQ$11,T$6,'CF(M)'!$L118:$EQ118)</f>
        <v>0</v>
      </c>
      <c r="U113" s="171">
        <f>SUMIF('CF(M)'!$L$11:$EQ$11,U$6,'CF(M)'!$L118:$EQ118)</f>
        <v>0</v>
      </c>
      <c r="V113" s="171">
        <f>SUMIF('CF(M)'!$L$11:$EQ$11,V$6,'CF(M)'!$L118:$EQ118)</f>
        <v>0</v>
      </c>
      <c r="W113" s="171">
        <f>SUMIF('CF(M)'!$L$11:$EQ$11,W$6,'CF(M)'!$L118:$EQ118)</f>
        <v>0</v>
      </c>
      <c r="X113" s="171">
        <f>SUMIF('CF(M)'!$L$11:$EQ$11,X$6,'CF(M)'!$L118:$EQ118)</f>
        <v>0</v>
      </c>
      <c r="Y113" s="171">
        <f>SUMIF('CF(M)'!$L$11:$EQ$11,Y$6,'CF(M)'!$L118:$EQ118)</f>
        <v>0</v>
      </c>
      <c r="Z113" s="171">
        <f>SUMIF('CF(M)'!$L$11:$EQ$11,Z$6,'CF(M)'!$L118:$EQ118)</f>
        <v>0</v>
      </c>
      <c r="AA113" s="171">
        <f>SUMIF('CF(M)'!$L$11:$EQ$11,AA$6,'CF(M)'!$L118:$EQ118)</f>
        <v>0</v>
      </c>
      <c r="AB113" s="171">
        <f>SUMIF('CF(M)'!$L$11:$EQ$11,AB$6,'CF(M)'!$L118:$EQ118)</f>
        <v>0</v>
      </c>
      <c r="AC113" s="171">
        <f>SUMIF('CF(M)'!$L$11:$EQ$11,AC$6,'CF(M)'!$L118:$EQ118)</f>
        <v>0</v>
      </c>
      <c r="AD113" s="171">
        <f>SUMIF('CF(M)'!$L$11:$EQ$11,AD$6,'CF(M)'!$L118:$EQ118)</f>
        <v>0</v>
      </c>
      <c r="AE113" s="171">
        <f>SUMIF('CF(M)'!$L$11:$EQ$11,AE$6,'CF(M)'!$L118:$EQ118)</f>
        <v>0</v>
      </c>
      <c r="AF113" s="171">
        <f>SUMIF('CF(M)'!$L$11:$EQ$11,AF$6,'CF(M)'!$L118:$EQ118)</f>
        <v>0</v>
      </c>
      <c r="AG113" s="171">
        <f>SUMIF('CF(M)'!$L$11:$EQ$11,AG$6,'CF(M)'!$L118:$EQ118)</f>
        <v>0</v>
      </c>
      <c r="AH113" s="171">
        <f>SUMIF('CF(M)'!$L$11:$EQ$11,AH$6,'CF(M)'!$L118:$EQ118)</f>
        <v>0</v>
      </c>
      <c r="AI113" s="171">
        <f>SUMIF('CF(M)'!$L$11:$EQ$11,AI$6,'CF(M)'!$L118:$EQ118)</f>
        <v>0</v>
      </c>
      <c r="AJ113" s="171">
        <f>SUMIF('CF(M)'!$L$11:$EQ$11,AJ$6,'CF(M)'!$L118:$EQ118)</f>
        <v>0</v>
      </c>
      <c r="AK113" s="171">
        <f>SUMIF('CF(M)'!$L$11:$EQ$11,AK$6,'CF(M)'!$L118:$EQ118)</f>
        <v>0</v>
      </c>
      <c r="AL113" s="171">
        <f>SUMIF('CF(M)'!$L$11:$EQ$11,AL$6,'CF(M)'!$L118:$EQ118)</f>
        <v>0</v>
      </c>
      <c r="AM113" s="171">
        <f>SUMIF('CF(M)'!$L$11:$EQ$11,AM$6,'CF(M)'!$L118:$EQ118)</f>
        <v>0</v>
      </c>
      <c r="AN113" s="171">
        <f>SUMIF('CF(M)'!$L$11:$EQ$11,AN$6,'CF(M)'!$L118:$EQ118)</f>
        <v>0</v>
      </c>
      <c r="AO113" s="171">
        <f>SUMIF('CF(M)'!$L$11:$EQ$11,AO$6,'CF(M)'!$L118:$EQ118)</f>
        <v>0</v>
      </c>
      <c r="AP113" s="171">
        <f>SUMIF('CF(M)'!$L$11:$EQ$11,AP$6,'CF(M)'!$L118:$EQ118)</f>
        <v>0</v>
      </c>
      <c r="AQ113" s="171">
        <f>SUMIF('CF(M)'!$L$11:$EQ$11,AQ$6,'CF(M)'!$L118:$EQ118)</f>
        <v>0</v>
      </c>
      <c r="AR113" s="171">
        <f>SUMIF('CF(M)'!$L$11:$EQ$11,AR$6,'CF(M)'!$L118:$EQ118)</f>
        <v>0</v>
      </c>
      <c r="AS113" s="171">
        <f>SUMIF('CF(M)'!$L$11:$EQ$11,AS$6,'CF(M)'!$L118:$EQ118)</f>
        <v>0</v>
      </c>
      <c r="AT113" s="171">
        <f>SUMIF('CF(M)'!$L$11:$EQ$11,AT$6,'CF(M)'!$L118:$EQ118)</f>
        <v>0</v>
      </c>
      <c r="AU113" s="171">
        <f>SUMIF('CF(M)'!$L$11:$EQ$11,AU$6,'CF(M)'!$L118:$EQ118)</f>
        <v>0</v>
      </c>
      <c r="AV113" s="171">
        <f>SUMIF('CF(M)'!$L$11:$EQ$11,AV$6,'CF(M)'!$L118:$EQ118)</f>
        <v>0</v>
      </c>
      <c r="AW113" s="171">
        <f>SUMIF('CF(M)'!$L$11:$EQ$11,AW$6,'CF(M)'!$L118:$EQ118)</f>
        <v>0</v>
      </c>
      <c r="AX113" s="171">
        <f>SUMIF('CF(M)'!$L$11:$EQ$11,AX$6,'CF(M)'!$L118:$EQ118)</f>
        <v>0</v>
      </c>
      <c r="AY113" s="171">
        <f>SUMIF('CF(M)'!$L$11:$EQ$11,AY$6,'CF(M)'!$L118:$EQ118)</f>
        <v>0</v>
      </c>
      <c r="AZ113" s="171">
        <f>SUMIF('CF(M)'!$L$11:$EQ$11,AZ$6,'CF(M)'!$L118:$EQ118)</f>
        <v>0</v>
      </c>
      <c r="BA113" s="171">
        <f>SUMIF('CF(M)'!$L$11:$EQ$11,BA$6,'CF(M)'!$L118:$EQ118)</f>
        <v>0</v>
      </c>
      <c r="BB113" s="171">
        <f>SUMIF('CF(M)'!$L$11:$EQ$11,BB$6,'CF(M)'!$L118:$EQ118)</f>
        <v>0</v>
      </c>
      <c r="BC113" s="171">
        <f>SUMIF('CF(M)'!$L$11:$EQ$11,BC$6,'CF(M)'!$L118:$EQ118)</f>
        <v>0</v>
      </c>
      <c r="BD113" s="171">
        <f>SUMIF('CF(M)'!$L$11:$EQ$11,BD$6,'CF(M)'!$L118:$EQ118)</f>
        <v>0</v>
      </c>
      <c r="BE113" s="171">
        <f>SUMIF('CF(M)'!$L$11:$EQ$11,BE$6,'CF(M)'!$L118:$EQ118)</f>
        <v>0</v>
      </c>
      <c r="BF113" s="171">
        <f>SUMIF('CF(M)'!$L$11:$EQ$11,BF$6,'CF(M)'!$L118:$EQ118)</f>
        <v>0</v>
      </c>
      <c r="BG113" s="171">
        <f>SUMIF('CF(M)'!$L$11:$EQ$11,BG$6,'CF(M)'!$L118:$EQ118)</f>
        <v>0</v>
      </c>
      <c r="BH113" s="171">
        <f>SUMIF('CF(M)'!$L$11:$EQ$11,BH$6,'CF(M)'!$L118:$EQ118)</f>
        <v>0</v>
      </c>
      <c r="BI113" s="171">
        <f>SUMIF('CF(M)'!$L$11:$EQ$11,BI$6,'CF(M)'!$L118:$EQ118)</f>
        <v>0</v>
      </c>
      <c r="BJ113" s="171">
        <f>SUMIF('CF(M)'!$L$11:$EQ$11,BJ$6,'CF(M)'!$L118:$EQ118)</f>
        <v>0</v>
      </c>
      <c r="BK113" s="171">
        <f>SUMIF('CF(M)'!$L$11:$EQ$11,BK$6,'CF(M)'!$L118:$EQ118)</f>
        <v>0</v>
      </c>
      <c r="BL113" s="171">
        <f>SUMIF('CF(M)'!$L$11:$EQ$11,BL$6,'CF(M)'!$L118:$EQ118)</f>
        <v>0</v>
      </c>
      <c r="BM113" s="171">
        <f>SUMIF('CF(M)'!$L$11:$EQ$11,BM$6,'CF(M)'!$L118:$EQ118)</f>
        <v>0</v>
      </c>
      <c r="BN113" s="171">
        <f>SUMIF('CF(M)'!$L$11:$EQ$11,BN$6,'CF(M)'!$L118:$EQ118)</f>
        <v>0</v>
      </c>
      <c r="BO113" s="171">
        <f>SUMIF('CF(M)'!$L$11:$EQ$11,BO$6,'CF(M)'!$L118:$EQ118)</f>
        <v>0</v>
      </c>
      <c r="BP113" s="171">
        <f>SUMIF('CF(M)'!$L$11:$EQ$11,BP$6,'CF(M)'!$L118:$EQ118)</f>
        <v>0</v>
      </c>
      <c r="BQ113" s="171">
        <f>SUMIF('CF(M)'!$L$11:$EQ$11,BQ$6,'CF(M)'!$L118:$EQ118)</f>
        <v>0</v>
      </c>
      <c r="BR113" s="171">
        <f>SUMIF('CF(M)'!$L$11:$EQ$11,BR$6,'CF(M)'!$L118:$EQ118)</f>
        <v>0</v>
      </c>
      <c r="BS113" s="171">
        <f>SUMIF('CF(M)'!$L$11:$EQ$11,BS$6,'CF(M)'!$L118:$EQ118)</f>
        <v>0</v>
      </c>
      <c r="BT113" s="171">
        <f>SUMIF('CF(M)'!$L$11:$EQ$11,BT$6,'CF(M)'!$L118:$EQ118)</f>
        <v>0</v>
      </c>
      <c r="BU113" s="171">
        <f>SUMIF('CF(M)'!$L$11:$EQ$11,BU$6,'CF(M)'!$L118:$EQ118)</f>
        <v>0</v>
      </c>
      <c r="BV113" s="171">
        <f>SUMIF('CF(M)'!$L$11:$EQ$11,BV$6,'CF(M)'!$L118:$EQ118)</f>
        <v>0</v>
      </c>
      <c r="BW113" s="171">
        <f>SUMIF('CF(M)'!$L$11:$EQ$11,BW$6,'CF(M)'!$L118:$EQ118)</f>
        <v>0</v>
      </c>
      <c r="BX113" s="171">
        <f>SUMIF('CF(M)'!$L$11:$EQ$11,BX$6,'CF(M)'!$L118:$EQ118)</f>
        <v>0</v>
      </c>
      <c r="BY113" s="171">
        <f>SUMIF('CF(M)'!$L$11:$EQ$11,BY$6,'CF(M)'!$L118:$EQ118)</f>
        <v>0</v>
      </c>
      <c r="BZ113" s="171">
        <f>SUMIF('CF(M)'!$L$11:$EQ$11,BZ$6,'CF(M)'!$L118:$EQ118)</f>
        <v>0</v>
      </c>
      <c r="CA113" s="171">
        <f>SUMIF('CF(M)'!$L$11:$EQ$11,CA$6,'CF(M)'!$L118:$EQ118)</f>
        <v>0</v>
      </c>
      <c r="CB113" s="171">
        <f>SUMIF('CF(M)'!$L$11:$EQ$11,CB$6,'CF(M)'!$L118:$EQ118)</f>
        <v>0</v>
      </c>
      <c r="CC113" s="171">
        <f>SUMIF('CF(M)'!$L$11:$EQ$11,CC$6,'CF(M)'!$L118:$EQ118)</f>
        <v>0</v>
      </c>
      <c r="CD113" s="171">
        <f>SUMIF('CF(M)'!$L$11:$EQ$11,CD$6,'CF(M)'!$L118:$EQ118)</f>
        <v>0</v>
      </c>
      <c r="CE113" s="171">
        <f>SUMIF('CF(M)'!$L$11:$EQ$11,CE$6,'CF(M)'!$L118:$EQ118)</f>
        <v>0</v>
      </c>
      <c r="CF113" s="171">
        <f>SUMIF('CF(M)'!$L$11:$EQ$11,CF$6,'CF(M)'!$L118:$EQ118)</f>
        <v>0</v>
      </c>
      <c r="CG113" s="171">
        <f>SUMIF('CF(M)'!$L$11:$EQ$11,CG$6,'CF(M)'!$L118:$EQ118)</f>
        <v>0</v>
      </c>
      <c r="CH113" s="171">
        <f>SUMIF('CF(M)'!$L$11:$EQ$11,CH$6,'CF(M)'!$L118:$EQ118)</f>
        <v>0</v>
      </c>
      <c r="CI113" s="171">
        <f>SUMIF('CF(M)'!$L$11:$EQ$11,CI$6,'CF(M)'!$L118:$EQ118)</f>
        <v>0</v>
      </c>
      <c r="CJ113" s="171">
        <f>SUMIF('CF(M)'!$L$11:$EQ$11,CJ$6,'CF(M)'!$L118:$EQ118)</f>
        <v>0</v>
      </c>
      <c r="CK113" s="171">
        <f>SUMIF('CF(M)'!$L$11:$EQ$11,CK$6,'CF(M)'!$L118:$EQ118)</f>
        <v>0</v>
      </c>
      <c r="CL113" s="171">
        <f>SUMIF('CF(M)'!$L$11:$EQ$11,CL$6,'CF(M)'!$L118:$EQ118)</f>
        <v>0</v>
      </c>
      <c r="CM113" s="171">
        <f>SUMIF('CF(M)'!$L$11:$EQ$11,CM$6,'CF(M)'!$L118:$EQ118)</f>
        <v>0</v>
      </c>
      <c r="CN113" s="171">
        <f>SUMIF('CF(M)'!$L$11:$EQ$11,CN$6,'CF(M)'!$L118:$EQ118)</f>
        <v>0</v>
      </c>
      <c r="CO113" s="171">
        <f>SUMIF('CF(M)'!$L$11:$EQ$11,CO$6,'CF(M)'!$L118:$EQ118)</f>
        <v>0</v>
      </c>
      <c r="CP113" s="171">
        <f>SUMIF('CF(M)'!$L$11:$EQ$11,CP$6,'CF(M)'!$L118:$EQ118)</f>
        <v>0</v>
      </c>
      <c r="CQ113" s="171">
        <f>SUMIF('CF(M)'!$L$11:$EQ$11,CQ$6,'CF(M)'!$L118:$EQ118)</f>
        <v>0</v>
      </c>
      <c r="CR113" s="171">
        <f>SUMIF('CF(M)'!$L$11:$EQ$11,CR$6,'CF(M)'!$L118:$EQ118)</f>
        <v>0</v>
      </c>
      <c r="CS113" s="171">
        <f>SUMIF('CF(M)'!$L$11:$EQ$11,CS$6,'CF(M)'!$L118:$EQ118)</f>
        <v>0</v>
      </c>
      <c r="CT113" s="171">
        <f>SUMIF('CF(M)'!$L$11:$EQ$11,CT$6,'CF(M)'!$L118:$EQ118)</f>
        <v>0</v>
      </c>
      <c r="CU113" s="171">
        <f>SUMIF('CF(M)'!$L$11:$EQ$11,CU$6,'CF(M)'!$L118:$EQ118)</f>
        <v>0</v>
      </c>
      <c r="CV113" s="171">
        <f>SUMIF('CF(M)'!$L$11:$EQ$11,CV$6,'CF(M)'!$L118:$EQ118)</f>
        <v>0</v>
      </c>
      <c r="CW113" s="171">
        <f>SUMIF('CF(M)'!$L$11:$EQ$11,CW$6,'CF(M)'!$L118:$EQ118)</f>
        <v>0</v>
      </c>
      <c r="CX113" s="171">
        <f>SUMIF('CF(M)'!$L$11:$EQ$11,CX$6,'CF(M)'!$L118:$EQ118)</f>
        <v>0</v>
      </c>
      <c r="CY113" s="171">
        <f>SUMIF('CF(M)'!$L$11:$EQ$11,CY$6,'CF(M)'!$L118:$EQ118)</f>
        <v>0</v>
      </c>
      <c r="CZ113" s="171">
        <f>SUMIF('CF(M)'!$L$11:$EQ$11,CZ$6,'CF(M)'!$L118:$EQ118)</f>
        <v>0</v>
      </c>
      <c r="DA113" s="171">
        <f>SUMIF('CF(M)'!$L$11:$EQ$11,DA$6,'CF(M)'!$L118:$EQ118)</f>
        <v>0</v>
      </c>
      <c r="DB113" s="171">
        <f>SUMIF('CF(M)'!$L$11:$EQ$11,DB$6,'CF(M)'!$L118:$EQ118)</f>
        <v>0</v>
      </c>
      <c r="DC113" s="171">
        <f>SUMIF('CF(M)'!$L$11:$EQ$11,DC$6,'CF(M)'!$L118:$EQ118)</f>
        <v>0</v>
      </c>
      <c r="DD113" s="171">
        <f>SUMIF('CF(M)'!$L$11:$EQ$11,DD$6,'CF(M)'!$L118:$EQ118)</f>
        <v>0</v>
      </c>
      <c r="DE113" s="171">
        <f>SUMIF('CF(M)'!$L$11:$EQ$11,DE$6,'CF(M)'!$L118:$EQ118)</f>
        <v>0</v>
      </c>
      <c r="DF113" s="171">
        <f>SUMIF('CF(M)'!$L$11:$EQ$11,DF$6,'CF(M)'!$L118:$EQ118)</f>
        <v>0</v>
      </c>
      <c r="DG113" s="171">
        <f>SUMIF('CF(M)'!$L$11:$EQ$11,DG$6,'CF(M)'!$L118:$EQ118)</f>
        <v>0</v>
      </c>
      <c r="DH113" s="171">
        <f>SUMIF('CF(M)'!$L$11:$EQ$11,DH$6,'CF(M)'!$L118:$EQ118)</f>
        <v>0</v>
      </c>
      <c r="DI113" s="171">
        <f>SUMIF('CF(M)'!$L$11:$EQ$11,DI$6,'CF(M)'!$L118:$EQ118)</f>
        <v>0</v>
      </c>
      <c r="DJ113" s="171">
        <f>SUMIF('CF(M)'!$L$11:$EQ$11,DJ$6,'CF(M)'!$L118:$EQ118)</f>
        <v>0</v>
      </c>
      <c r="DK113" s="171">
        <f>SUMIF('CF(M)'!$L$11:$EQ$11,DK$6,'CF(M)'!$L118:$EQ118)</f>
        <v>0</v>
      </c>
      <c r="DL113" s="171">
        <f>SUMIF('CF(M)'!$L$11:$EQ$11,DL$6,'CF(M)'!$L118:$EQ118)</f>
        <v>0</v>
      </c>
      <c r="DM113" s="171">
        <f>SUMIF('CF(M)'!$L$11:$EQ$11,DM$6,'CF(M)'!$L118:$EQ118)</f>
        <v>0</v>
      </c>
      <c r="DN113" s="171">
        <f>SUMIF('CF(M)'!$L$11:$EQ$11,DN$6,'CF(M)'!$L118:$EQ118)</f>
        <v>0</v>
      </c>
      <c r="DO113" s="171">
        <f>SUMIF('CF(M)'!$L$11:$EQ$11,DO$6,'CF(M)'!$L118:$EQ118)</f>
        <v>0</v>
      </c>
      <c r="DP113" s="171">
        <f>SUMIF('CF(M)'!$L$11:$EQ$11,DP$6,'CF(M)'!$L118:$EQ118)</f>
        <v>0</v>
      </c>
      <c r="DQ113" s="171">
        <f>SUMIF('CF(M)'!$L$11:$EQ$11,DQ$6,'CF(M)'!$L118:$EQ118)</f>
        <v>0</v>
      </c>
      <c r="DR113" s="171">
        <f>SUMIF('CF(M)'!$L$11:$EQ$11,DR$6,'CF(M)'!$L118:$EQ118)</f>
        <v>0</v>
      </c>
      <c r="DS113" s="171">
        <f>SUMIF('CF(M)'!$L$11:$EQ$11,DS$6,'CF(M)'!$L118:$EQ118)</f>
        <v>0</v>
      </c>
      <c r="DT113" s="171">
        <f>SUMIF('CF(M)'!$L$11:$EQ$11,DT$6,'CF(M)'!$L118:$EQ118)</f>
        <v>0</v>
      </c>
      <c r="DU113" s="171">
        <f>SUMIF('CF(M)'!$L$11:$EQ$11,DU$6,'CF(M)'!$L118:$EQ118)</f>
        <v>0</v>
      </c>
      <c r="DV113" s="171">
        <f>SUMIF('CF(M)'!$L$11:$EQ$11,DV$6,'CF(M)'!$L118:$EQ118)</f>
        <v>0</v>
      </c>
    </row>
    <row r="114" spans="2:126" ht="11.25" customHeight="1">
      <c r="B114" s="218"/>
      <c r="C114" s="163"/>
      <c r="D114" s="169" t="s">
        <v>211</v>
      </c>
      <c r="G114" s="65"/>
      <c r="H114" s="146"/>
      <c r="I114" s="229"/>
      <c r="J114" s="171">
        <f>SUM(L114:DV114)</f>
        <v>0</v>
      </c>
      <c r="K114" s="98"/>
      <c r="L114" s="171">
        <f>SUMIF('CF(M)'!$L$11:$EQ$11,L$6,'CF(M)'!$L119:$EQ119)</f>
        <v>0</v>
      </c>
      <c r="M114" s="171">
        <f>SUMIF('CF(M)'!$L$11:$EQ$11,M$6,'CF(M)'!$L119:$EQ119)</f>
        <v>0</v>
      </c>
      <c r="N114" s="171">
        <f>SUMIF('CF(M)'!$L$11:$EQ$11,N$6,'CF(M)'!$L119:$EQ119)</f>
        <v>0</v>
      </c>
      <c r="O114" s="171">
        <f>SUMIF('CF(M)'!$L$11:$EQ$11,O$6,'CF(M)'!$L119:$EQ119)</f>
        <v>0</v>
      </c>
      <c r="P114" s="171">
        <f>SUMIF('CF(M)'!$L$11:$EQ$11,P$6,'CF(M)'!$L119:$EQ119)</f>
        <v>0</v>
      </c>
      <c r="Q114" s="171">
        <f>SUMIF('CF(M)'!$L$11:$EQ$11,Q$6,'CF(M)'!$L119:$EQ119)</f>
        <v>0</v>
      </c>
      <c r="R114" s="171">
        <f>SUMIF('CF(M)'!$L$11:$EQ$11,R$6,'CF(M)'!$L119:$EQ119)</f>
        <v>0</v>
      </c>
      <c r="S114" s="171">
        <f>SUMIF('CF(M)'!$L$11:$EQ$11,S$6,'CF(M)'!$L119:$EQ119)</f>
        <v>0</v>
      </c>
      <c r="T114" s="171">
        <f>SUMIF('CF(M)'!$L$11:$EQ$11,T$6,'CF(M)'!$L119:$EQ119)</f>
        <v>0</v>
      </c>
      <c r="U114" s="171">
        <f>SUMIF('CF(M)'!$L$11:$EQ$11,U$6,'CF(M)'!$L119:$EQ119)</f>
        <v>0</v>
      </c>
      <c r="V114" s="171">
        <f>SUMIF('CF(M)'!$L$11:$EQ$11,V$6,'CF(M)'!$L119:$EQ119)</f>
        <v>0</v>
      </c>
      <c r="W114" s="171">
        <f>SUMIF('CF(M)'!$L$11:$EQ$11,W$6,'CF(M)'!$L119:$EQ119)</f>
        <v>0</v>
      </c>
      <c r="X114" s="171">
        <f>SUMIF('CF(M)'!$L$11:$EQ$11,X$6,'CF(M)'!$L119:$EQ119)</f>
        <v>0</v>
      </c>
      <c r="Y114" s="171">
        <f>SUMIF('CF(M)'!$L$11:$EQ$11,Y$6,'CF(M)'!$L119:$EQ119)</f>
        <v>0</v>
      </c>
      <c r="Z114" s="171">
        <f>SUMIF('CF(M)'!$L$11:$EQ$11,Z$6,'CF(M)'!$L119:$EQ119)</f>
        <v>0</v>
      </c>
      <c r="AA114" s="171">
        <f>SUMIF('CF(M)'!$L$11:$EQ$11,AA$6,'CF(M)'!$L119:$EQ119)</f>
        <v>0</v>
      </c>
      <c r="AB114" s="171">
        <f>SUMIF('CF(M)'!$L$11:$EQ$11,AB$6,'CF(M)'!$L119:$EQ119)</f>
        <v>0</v>
      </c>
      <c r="AC114" s="171">
        <f>SUMIF('CF(M)'!$L$11:$EQ$11,AC$6,'CF(M)'!$L119:$EQ119)</f>
        <v>0</v>
      </c>
      <c r="AD114" s="171">
        <f>SUMIF('CF(M)'!$L$11:$EQ$11,AD$6,'CF(M)'!$L119:$EQ119)</f>
        <v>0</v>
      </c>
      <c r="AE114" s="171">
        <f>SUMIF('CF(M)'!$L$11:$EQ$11,AE$6,'CF(M)'!$L119:$EQ119)</f>
        <v>0</v>
      </c>
      <c r="AF114" s="171">
        <f>SUMIF('CF(M)'!$L$11:$EQ$11,AF$6,'CF(M)'!$L119:$EQ119)</f>
        <v>0</v>
      </c>
      <c r="AG114" s="171">
        <f>SUMIF('CF(M)'!$L$11:$EQ$11,AG$6,'CF(M)'!$L119:$EQ119)</f>
        <v>0</v>
      </c>
      <c r="AH114" s="171">
        <f>SUMIF('CF(M)'!$L$11:$EQ$11,AH$6,'CF(M)'!$L119:$EQ119)</f>
        <v>0</v>
      </c>
      <c r="AI114" s="171">
        <f>SUMIF('CF(M)'!$L$11:$EQ$11,AI$6,'CF(M)'!$L119:$EQ119)</f>
        <v>0</v>
      </c>
      <c r="AJ114" s="171">
        <f>SUMIF('CF(M)'!$L$11:$EQ$11,AJ$6,'CF(M)'!$L119:$EQ119)</f>
        <v>0</v>
      </c>
      <c r="AK114" s="171">
        <f>SUMIF('CF(M)'!$L$11:$EQ$11,AK$6,'CF(M)'!$L119:$EQ119)</f>
        <v>0</v>
      </c>
      <c r="AL114" s="171">
        <f>SUMIF('CF(M)'!$L$11:$EQ$11,AL$6,'CF(M)'!$L119:$EQ119)</f>
        <v>0</v>
      </c>
      <c r="AM114" s="171">
        <f>SUMIF('CF(M)'!$L$11:$EQ$11,AM$6,'CF(M)'!$L119:$EQ119)</f>
        <v>0</v>
      </c>
      <c r="AN114" s="171">
        <f>SUMIF('CF(M)'!$L$11:$EQ$11,AN$6,'CF(M)'!$L119:$EQ119)</f>
        <v>0</v>
      </c>
      <c r="AO114" s="171">
        <f>SUMIF('CF(M)'!$L$11:$EQ$11,AO$6,'CF(M)'!$L119:$EQ119)</f>
        <v>0</v>
      </c>
      <c r="AP114" s="171">
        <f>SUMIF('CF(M)'!$L$11:$EQ$11,AP$6,'CF(M)'!$L119:$EQ119)</f>
        <v>0</v>
      </c>
      <c r="AQ114" s="171">
        <f>SUMIF('CF(M)'!$L$11:$EQ$11,AQ$6,'CF(M)'!$L119:$EQ119)</f>
        <v>0</v>
      </c>
      <c r="AR114" s="171">
        <f>SUMIF('CF(M)'!$L$11:$EQ$11,AR$6,'CF(M)'!$L119:$EQ119)</f>
        <v>0</v>
      </c>
      <c r="AS114" s="171">
        <f>SUMIF('CF(M)'!$L$11:$EQ$11,AS$6,'CF(M)'!$L119:$EQ119)</f>
        <v>0</v>
      </c>
      <c r="AT114" s="171">
        <f>SUMIF('CF(M)'!$L$11:$EQ$11,AT$6,'CF(M)'!$L119:$EQ119)</f>
        <v>0</v>
      </c>
      <c r="AU114" s="171">
        <f>SUMIF('CF(M)'!$L$11:$EQ$11,AU$6,'CF(M)'!$L119:$EQ119)</f>
        <v>0</v>
      </c>
      <c r="AV114" s="171">
        <f>SUMIF('CF(M)'!$L$11:$EQ$11,AV$6,'CF(M)'!$L119:$EQ119)</f>
        <v>0</v>
      </c>
      <c r="AW114" s="171">
        <f>SUMIF('CF(M)'!$L$11:$EQ$11,AW$6,'CF(M)'!$L119:$EQ119)</f>
        <v>0</v>
      </c>
      <c r="AX114" s="171">
        <f>SUMIF('CF(M)'!$L$11:$EQ$11,AX$6,'CF(M)'!$L119:$EQ119)</f>
        <v>0</v>
      </c>
      <c r="AY114" s="171">
        <f>SUMIF('CF(M)'!$L$11:$EQ$11,AY$6,'CF(M)'!$L119:$EQ119)</f>
        <v>0</v>
      </c>
      <c r="AZ114" s="171">
        <f>SUMIF('CF(M)'!$L$11:$EQ$11,AZ$6,'CF(M)'!$L119:$EQ119)</f>
        <v>0</v>
      </c>
      <c r="BA114" s="171">
        <f>SUMIF('CF(M)'!$L$11:$EQ$11,BA$6,'CF(M)'!$L119:$EQ119)</f>
        <v>0</v>
      </c>
      <c r="BB114" s="171">
        <f>SUMIF('CF(M)'!$L$11:$EQ$11,BB$6,'CF(M)'!$L119:$EQ119)</f>
        <v>0</v>
      </c>
      <c r="BC114" s="171">
        <f>SUMIF('CF(M)'!$L$11:$EQ$11,BC$6,'CF(M)'!$L119:$EQ119)</f>
        <v>0</v>
      </c>
      <c r="BD114" s="171">
        <f>SUMIF('CF(M)'!$L$11:$EQ$11,BD$6,'CF(M)'!$L119:$EQ119)</f>
        <v>0</v>
      </c>
      <c r="BE114" s="171">
        <f>SUMIF('CF(M)'!$L$11:$EQ$11,BE$6,'CF(M)'!$L119:$EQ119)</f>
        <v>0</v>
      </c>
      <c r="BF114" s="171">
        <f>SUMIF('CF(M)'!$L$11:$EQ$11,BF$6,'CF(M)'!$L119:$EQ119)</f>
        <v>0</v>
      </c>
      <c r="BG114" s="171">
        <f>SUMIF('CF(M)'!$L$11:$EQ$11,BG$6,'CF(M)'!$L119:$EQ119)</f>
        <v>0</v>
      </c>
      <c r="BH114" s="171">
        <f>SUMIF('CF(M)'!$L$11:$EQ$11,BH$6,'CF(M)'!$L119:$EQ119)</f>
        <v>0</v>
      </c>
      <c r="BI114" s="171">
        <f>SUMIF('CF(M)'!$L$11:$EQ$11,BI$6,'CF(M)'!$L119:$EQ119)</f>
        <v>0</v>
      </c>
      <c r="BJ114" s="171">
        <f>SUMIF('CF(M)'!$L$11:$EQ$11,BJ$6,'CF(M)'!$L119:$EQ119)</f>
        <v>0</v>
      </c>
      <c r="BK114" s="171">
        <f>SUMIF('CF(M)'!$L$11:$EQ$11,BK$6,'CF(M)'!$L119:$EQ119)</f>
        <v>0</v>
      </c>
      <c r="BL114" s="171">
        <f>SUMIF('CF(M)'!$L$11:$EQ$11,BL$6,'CF(M)'!$L119:$EQ119)</f>
        <v>0</v>
      </c>
      <c r="BM114" s="171">
        <f>SUMIF('CF(M)'!$L$11:$EQ$11,BM$6,'CF(M)'!$L119:$EQ119)</f>
        <v>0</v>
      </c>
      <c r="BN114" s="171">
        <f>SUMIF('CF(M)'!$L$11:$EQ$11,BN$6,'CF(M)'!$L119:$EQ119)</f>
        <v>0</v>
      </c>
      <c r="BO114" s="171">
        <f>SUMIF('CF(M)'!$L$11:$EQ$11,BO$6,'CF(M)'!$L119:$EQ119)</f>
        <v>0</v>
      </c>
      <c r="BP114" s="171">
        <f>SUMIF('CF(M)'!$L$11:$EQ$11,BP$6,'CF(M)'!$L119:$EQ119)</f>
        <v>0</v>
      </c>
      <c r="BQ114" s="171">
        <f>SUMIF('CF(M)'!$L$11:$EQ$11,BQ$6,'CF(M)'!$L119:$EQ119)</f>
        <v>0</v>
      </c>
      <c r="BR114" s="171">
        <f>SUMIF('CF(M)'!$L$11:$EQ$11,BR$6,'CF(M)'!$L119:$EQ119)</f>
        <v>0</v>
      </c>
      <c r="BS114" s="171">
        <f>SUMIF('CF(M)'!$L$11:$EQ$11,BS$6,'CF(M)'!$L119:$EQ119)</f>
        <v>0</v>
      </c>
      <c r="BT114" s="171">
        <f>SUMIF('CF(M)'!$L$11:$EQ$11,BT$6,'CF(M)'!$L119:$EQ119)</f>
        <v>0</v>
      </c>
      <c r="BU114" s="171">
        <f>SUMIF('CF(M)'!$L$11:$EQ$11,BU$6,'CF(M)'!$L119:$EQ119)</f>
        <v>0</v>
      </c>
      <c r="BV114" s="171">
        <f>SUMIF('CF(M)'!$L$11:$EQ$11,BV$6,'CF(M)'!$L119:$EQ119)</f>
        <v>0</v>
      </c>
      <c r="BW114" s="171">
        <f>SUMIF('CF(M)'!$L$11:$EQ$11,BW$6,'CF(M)'!$L119:$EQ119)</f>
        <v>0</v>
      </c>
      <c r="BX114" s="171">
        <f>SUMIF('CF(M)'!$L$11:$EQ$11,BX$6,'CF(M)'!$L119:$EQ119)</f>
        <v>0</v>
      </c>
      <c r="BY114" s="171">
        <f>SUMIF('CF(M)'!$L$11:$EQ$11,BY$6,'CF(M)'!$L119:$EQ119)</f>
        <v>0</v>
      </c>
      <c r="BZ114" s="171">
        <f>SUMIF('CF(M)'!$L$11:$EQ$11,BZ$6,'CF(M)'!$L119:$EQ119)</f>
        <v>0</v>
      </c>
      <c r="CA114" s="171">
        <f>SUMIF('CF(M)'!$L$11:$EQ$11,CA$6,'CF(M)'!$L119:$EQ119)</f>
        <v>0</v>
      </c>
      <c r="CB114" s="171">
        <f>SUMIF('CF(M)'!$L$11:$EQ$11,CB$6,'CF(M)'!$L119:$EQ119)</f>
        <v>0</v>
      </c>
      <c r="CC114" s="171">
        <f>SUMIF('CF(M)'!$L$11:$EQ$11,CC$6,'CF(M)'!$L119:$EQ119)</f>
        <v>0</v>
      </c>
      <c r="CD114" s="171">
        <f>SUMIF('CF(M)'!$L$11:$EQ$11,CD$6,'CF(M)'!$L119:$EQ119)</f>
        <v>0</v>
      </c>
      <c r="CE114" s="171">
        <f>SUMIF('CF(M)'!$L$11:$EQ$11,CE$6,'CF(M)'!$L119:$EQ119)</f>
        <v>0</v>
      </c>
      <c r="CF114" s="171">
        <f>SUMIF('CF(M)'!$L$11:$EQ$11,CF$6,'CF(M)'!$L119:$EQ119)</f>
        <v>0</v>
      </c>
      <c r="CG114" s="171">
        <f>SUMIF('CF(M)'!$L$11:$EQ$11,CG$6,'CF(M)'!$L119:$EQ119)</f>
        <v>0</v>
      </c>
      <c r="CH114" s="171">
        <f>SUMIF('CF(M)'!$L$11:$EQ$11,CH$6,'CF(M)'!$L119:$EQ119)</f>
        <v>0</v>
      </c>
      <c r="CI114" s="171">
        <f>SUMIF('CF(M)'!$L$11:$EQ$11,CI$6,'CF(M)'!$L119:$EQ119)</f>
        <v>0</v>
      </c>
      <c r="CJ114" s="171">
        <f>SUMIF('CF(M)'!$L$11:$EQ$11,CJ$6,'CF(M)'!$L119:$EQ119)</f>
        <v>0</v>
      </c>
      <c r="CK114" s="171">
        <f>SUMIF('CF(M)'!$L$11:$EQ$11,CK$6,'CF(M)'!$L119:$EQ119)</f>
        <v>0</v>
      </c>
      <c r="CL114" s="171">
        <f>SUMIF('CF(M)'!$L$11:$EQ$11,CL$6,'CF(M)'!$L119:$EQ119)</f>
        <v>0</v>
      </c>
      <c r="CM114" s="171">
        <f>SUMIF('CF(M)'!$L$11:$EQ$11,CM$6,'CF(M)'!$L119:$EQ119)</f>
        <v>0</v>
      </c>
      <c r="CN114" s="171">
        <f>SUMIF('CF(M)'!$L$11:$EQ$11,CN$6,'CF(M)'!$L119:$EQ119)</f>
        <v>0</v>
      </c>
      <c r="CO114" s="171">
        <f>SUMIF('CF(M)'!$L$11:$EQ$11,CO$6,'CF(M)'!$L119:$EQ119)</f>
        <v>0</v>
      </c>
      <c r="CP114" s="171">
        <f>SUMIF('CF(M)'!$L$11:$EQ$11,CP$6,'CF(M)'!$L119:$EQ119)</f>
        <v>0</v>
      </c>
      <c r="CQ114" s="171">
        <f>SUMIF('CF(M)'!$L$11:$EQ$11,CQ$6,'CF(M)'!$L119:$EQ119)</f>
        <v>0</v>
      </c>
      <c r="CR114" s="171">
        <f>SUMIF('CF(M)'!$L$11:$EQ$11,CR$6,'CF(M)'!$L119:$EQ119)</f>
        <v>0</v>
      </c>
      <c r="CS114" s="171">
        <f>SUMIF('CF(M)'!$L$11:$EQ$11,CS$6,'CF(M)'!$L119:$EQ119)</f>
        <v>0</v>
      </c>
      <c r="CT114" s="171">
        <f>SUMIF('CF(M)'!$L$11:$EQ$11,CT$6,'CF(M)'!$L119:$EQ119)</f>
        <v>0</v>
      </c>
      <c r="CU114" s="171">
        <f>SUMIF('CF(M)'!$L$11:$EQ$11,CU$6,'CF(M)'!$L119:$EQ119)</f>
        <v>0</v>
      </c>
      <c r="CV114" s="171">
        <f>SUMIF('CF(M)'!$L$11:$EQ$11,CV$6,'CF(M)'!$L119:$EQ119)</f>
        <v>0</v>
      </c>
      <c r="CW114" s="171">
        <f>SUMIF('CF(M)'!$L$11:$EQ$11,CW$6,'CF(M)'!$L119:$EQ119)</f>
        <v>0</v>
      </c>
      <c r="CX114" s="171">
        <f>SUMIF('CF(M)'!$L$11:$EQ$11,CX$6,'CF(M)'!$L119:$EQ119)</f>
        <v>0</v>
      </c>
      <c r="CY114" s="171">
        <f>SUMIF('CF(M)'!$L$11:$EQ$11,CY$6,'CF(M)'!$L119:$EQ119)</f>
        <v>0</v>
      </c>
      <c r="CZ114" s="171">
        <f>SUMIF('CF(M)'!$L$11:$EQ$11,CZ$6,'CF(M)'!$L119:$EQ119)</f>
        <v>0</v>
      </c>
      <c r="DA114" s="171">
        <f>SUMIF('CF(M)'!$L$11:$EQ$11,DA$6,'CF(M)'!$L119:$EQ119)</f>
        <v>0</v>
      </c>
      <c r="DB114" s="171">
        <f>SUMIF('CF(M)'!$L$11:$EQ$11,DB$6,'CF(M)'!$L119:$EQ119)</f>
        <v>0</v>
      </c>
      <c r="DC114" s="171">
        <f>SUMIF('CF(M)'!$L$11:$EQ$11,DC$6,'CF(M)'!$L119:$EQ119)</f>
        <v>0</v>
      </c>
      <c r="DD114" s="171">
        <f>SUMIF('CF(M)'!$L$11:$EQ$11,DD$6,'CF(M)'!$L119:$EQ119)</f>
        <v>0</v>
      </c>
      <c r="DE114" s="171">
        <f>SUMIF('CF(M)'!$L$11:$EQ$11,DE$6,'CF(M)'!$L119:$EQ119)</f>
        <v>0</v>
      </c>
      <c r="DF114" s="171">
        <f>SUMIF('CF(M)'!$L$11:$EQ$11,DF$6,'CF(M)'!$L119:$EQ119)</f>
        <v>0</v>
      </c>
      <c r="DG114" s="171">
        <f>SUMIF('CF(M)'!$L$11:$EQ$11,DG$6,'CF(M)'!$L119:$EQ119)</f>
        <v>0</v>
      </c>
      <c r="DH114" s="171">
        <f>SUMIF('CF(M)'!$L$11:$EQ$11,DH$6,'CF(M)'!$L119:$EQ119)</f>
        <v>0</v>
      </c>
      <c r="DI114" s="171">
        <f>SUMIF('CF(M)'!$L$11:$EQ$11,DI$6,'CF(M)'!$L119:$EQ119)</f>
        <v>0</v>
      </c>
      <c r="DJ114" s="171">
        <f>SUMIF('CF(M)'!$L$11:$EQ$11,DJ$6,'CF(M)'!$L119:$EQ119)</f>
        <v>0</v>
      </c>
      <c r="DK114" s="171">
        <f>SUMIF('CF(M)'!$L$11:$EQ$11,DK$6,'CF(M)'!$L119:$EQ119)</f>
        <v>0</v>
      </c>
      <c r="DL114" s="171">
        <f>SUMIF('CF(M)'!$L$11:$EQ$11,DL$6,'CF(M)'!$L119:$EQ119)</f>
        <v>0</v>
      </c>
      <c r="DM114" s="171">
        <f>SUMIF('CF(M)'!$L$11:$EQ$11,DM$6,'CF(M)'!$L119:$EQ119)</f>
        <v>0</v>
      </c>
      <c r="DN114" s="171">
        <f>SUMIF('CF(M)'!$L$11:$EQ$11,DN$6,'CF(M)'!$L119:$EQ119)</f>
        <v>0</v>
      </c>
      <c r="DO114" s="171">
        <f>SUMIF('CF(M)'!$L$11:$EQ$11,DO$6,'CF(M)'!$L119:$EQ119)</f>
        <v>0</v>
      </c>
      <c r="DP114" s="171">
        <f>SUMIF('CF(M)'!$L$11:$EQ$11,DP$6,'CF(M)'!$L119:$EQ119)</f>
        <v>0</v>
      </c>
      <c r="DQ114" s="171">
        <f>SUMIF('CF(M)'!$L$11:$EQ$11,DQ$6,'CF(M)'!$L119:$EQ119)</f>
        <v>0</v>
      </c>
      <c r="DR114" s="171">
        <f>SUMIF('CF(M)'!$L$11:$EQ$11,DR$6,'CF(M)'!$L119:$EQ119)</f>
        <v>0</v>
      </c>
      <c r="DS114" s="171">
        <f>SUMIF('CF(M)'!$L$11:$EQ$11,DS$6,'CF(M)'!$L119:$EQ119)</f>
        <v>0</v>
      </c>
      <c r="DT114" s="171">
        <f>SUMIF('CF(M)'!$L$11:$EQ$11,DT$6,'CF(M)'!$L119:$EQ119)</f>
        <v>0</v>
      </c>
      <c r="DU114" s="171">
        <f>SUMIF('CF(M)'!$L$11:$EQ$11,DU$6,'CF(M)'!$L119:$EQ119)</f>
        <v>0</v>
      </c>
      <c r="DV114" s="171">
        <f>SUMIF('CF(M)'!$L$11:$EQ$11,DV$6,'CF(M)'!$L119:$EQ119)</f>
        <v>0</v>
      </c>
    </row>
    <row r="115" spans="2:126" ht="11.25" customHeight="1">
      <c r="B115" s="230" t="s">
        <v>212</v>
      </c>
      <c r="C115" s="231"/>
      <c r="D115" s="231"/>
      <c r="E115" s="231"/>
      <c r="F115" s="231"/>
      <c r="G115" s="231"/>
      <c r="H115" s="232"/>
      <c r="I115" s="233"/>
      <c r="J115" s="234">
        <f ca="1">SUM(J9,J49,J62)</f>
        <v>0</v>
      </c>
      <c r="L115" s="235">
        <f t="shared" ref="L115:BW115" ca="1" si="59">SUM(L9,L49,L62)</f>
        <v>10000000</v>
      </c>
      <c r="M115" s="235">
        <f t="shared" ca="1" si="59"/>
        <v>-4164081.6564370077</v>
      </c>
      <c r="N115" s="235">
        <f t="shared" ca="1" si="59"/>
        <v>2311952.3421930624</v>
      </c>
      <c r="O115" s="235">
        <f t="shared" ca="1" si="59"/>
        <v>-7386387.375504815</v>
      </c>
      <c r="P115" s="235">
        <f t="shared" ca="1" si="59"/>
        <v>-761483.3102512327</v>
      </c>
      <c r="Q115" s="235">
        <f t="shared" ca="1" si="59"/>
        <v>0</v>
      </c>
      <c r="R115" s="235">
        <f t="shared" ca="1" si="59"/>
        <v>0</v>
      </c>
      <c r="S115" s="235">
        <f t="shared" ca="1" si="59"/>
        <v>0</v>
      </c>
      <c r="T115" s="235">
        <f t="shared" ca="1" si="59"/>
        <v>152511.78768972214</v>
      </c>
      <c r="U115" s="235">
        <f t="shared" ca="1" si="59"/>
        <v>1284246.9618273852</v>
      </c>
      <c r="V115" s="235">
        <f t="shared" ca="1" si="59"/>
        <v>-1436758.7495171428</v>
      </c>
      <c r="W115" s="235">
        <f t="shared" ca="1" si="59"/>
        <v>0</v>
      </c>
      <c r="X115" s="235">
        <f t="shared" ca="1" si="59"/>
        <v>0</v>
      </c>
      <c r="Y115" s="235">
        <f t="shared" si="59"/>
        <v>0</v>
      </c>
      <c r="Z115" s="235">
        <f t="shared" si="59"/>
        <v>0</v>
      </c>
      <c r="AA115" s="235">
        <f t="shared" si="59"/>
        <v>0</v>
      </c>
      <c r="AB115" s="235">
        <f t="shared" si="59"/>
        <v>0</v>
      </c>
      <c r="AC115" s="235">
        <f t="shared" si="59"/>
        <v>0</v>
      </c>
      <c r="AD115" s="235">
        <f t="shared" si="59"/>
        <v>0</v>
      </c>
      <c r="AE115" s="235">
        <f t="shared" si="59"/>
        <v>0</v>
      </c>
      <c r="AF115" s="235">
        <f t="shared" si="59"/>
        <v>0</v>
      </c>
      <c r="AG115" s="235">
        <f t="shared" si="59"/>
        <v>0</v>
      </c>
      <c r="AH115" s="235">
        <f t="shared" si="59"/>
        <v>0</v>
      </c>
      <c r="AI115" s="235">
        <f t="shared" si="59"/>
        <v>0</v>
      </c>
      <c r="AJ115" s="235">
        <f t="shared" si="59"/>
        <v>0</v>
      </c>
      <c r="AK115" s="235">
        <f t="shared" si="59"/>
        <v>0</v>
      </c>
      <c r="AL115" s="235">
        <f t="shared" si="59"/>
        <v>0</v>
      </c>
      <c r="AM115" s="235">
        <f t="shared" si="59"/>
        <v>0</v>
      </c>
      <c r="AN115" s="235">
        <f t="shared" si="59"/>
        <v>0</v>
      </c>
      <c r="AO115" s="235">
        <f t="shared" si="59"/>
        <v>0</v>
      </c>
      <c r="AP115" s="235">
        <f t="shared" si="59"/>
        <v>0</v>
      </c>
      <c r="AQ115" s="235">
        <f t="shared" si="59"/>
        <v>0</v>
      </c>
      <c r="AR115" s="235">
        <f t="shared" si="59"/>
        <v>0</v>
      </c>
      <c r="AS115" s="235">
        <f t="shared" si="59"/>
        <v>0</v>
      </c>
      <c r="AT115" s="235">
        <f t="shared" si="59"/>
        <v>0</v>
      </c>
      <c r="AU115" s="235">
        <f t="shared" si="59"/>
        <v>0</v>
      </c>
      <c r="AV115" s="235">
        <f t="shared" si="59"/>
        <v>0</v>
      </c>
      <c r="AW115" s="235">
        <f t="shared" si="59"/>
        <v>0</v>
      </c>
      <c r="AX115" s="235">
        <f t="shared" si="59"/>
        <v>0</v>
      </c>
      <c r="AY115" s="235">
        <f t="shared" si="59"/>
        <v>0</v>
      </c>
      <c r="AZ115" s="235">
        <f t="shared" si="59"/>
        <v>0</v>
      </c>
      <c r="BA115" s="235">
        <f t="shared" si="59"/>
        <v>0</v>
      </c>
      <c r="BB115" s="235">
        <f t="shared" si="59"/>
        <v>0</v>
      </c>
      <c r="BC115" s="235">
        <f t="shared" si="59"/>
        <v>0</v>
      </c>
      <c r="BD115" s="235">
        <f t="shared" si="59"/>
        <v>0</v>
      </c>
      <c r="BE115" s="235">
        <f t="shared" si="59"/>
        <v>0</v>
      </c>
      <c r="BF115" s="235">
        <f t="shared" si="59"/>
        <v>0</v>
      </c>
      <c r="BG115" s="235">
        <f t="shared" si="59"/>
        <v>0</v>
      </c>
      <c r="BH115" s="235">
        <f t="shared" si="59"/>
        <v>0</v>
      </c>
      <c r="BI115" s="235">
        <f t="shared" si="59"/>
        <v>0</v>
      </c>
      <c r="BJ115" s="235">
        <f t="shared" si="59"/>
        <v>0</v>
      </c>
      <c r="BK115" s="235">
        <f t="shared" si="59"/>
        <v>0</v>
      </c>
      <c r="BL115" s="235">
        <f t="shared" si="59"/>
        <v>0</v>
      </c>
      <c r="BM115" s="235">
        <f t="shared" si="59"/>
        <v>0</v>
      </c>
      <c r="BN115" s="235">
        <f t="shared" si="59"/>
        <v>0</v>
      </c>
      <c r="BO115" s="235">
        <f t="shared" si="59"/>
        <v>0</v>
      </c>
      <c r="BP115" s="235">
        <f t="shared" si="59"/>
        <v>0</v>
      </c>
      <c r="BQ115" s="235">
        <f t="shared" si="59"/>
        <v>0</v>
      </c>
      <c r="BR115" s="235">
        <f t="shared" si="59"/>
        <v>0</v>
      </c>
      <c r="BS115" s="235">
        <f t="shared" si="59"/>
        <v>0</v>
      </c>
      <c r="BT115" s="235">
        <f t="shared" si="59"/>
        <v>0</v>
      </c>
      <c r="BU115" s="235">
        <f t="shared" si="59"/>
        <v>0</v>
      </c>
      <c r="BV115" s="235">
        <f t="shared" si="59"/>
        <v>0</v>
      </c>
      <c r="BW115" s="235">
        <f t="shared" si="59"/>
        <v>0</v>
      </c>
      <c r="BX115" s="235">
        <f t="shared" ref="BX115:DV115" si="60">SUM(BX9,BX49,BX62)</f>
        <v>0</v>
      </c>
      <c r="BY115" s="235">
        <f t="shared" si="60"/>
        <v>0</v>
      </c>
      <c r="BZ115" s="235">
        <f t="shared" si="60"/>
        <v>0</v>
      </c>
      <c r="CA115" s="235">
        <f t="shared" si="60"/>
        <v>0</v>
      </c>
      <c r="CB115" s="235">
        <f t="shared" si="60"/>
        <v>0</v>
      </c>
      <c r="CC115" s="235">
        <f t="shared" si="60"/>
        <v>0</v>
      </c>
      <c r="CD115" s="235">
        <f t="shared" si="60"/>
        <v>0</v>
      </c>
      <c r="CE115" s="235">
        <f t="shared" si="60"/>
        <v>0</v>
      </c>
      <c r="CF115" s="235">
        <f t="shared" si="60"/>
        <v>0</v>
      </c>
      <c r="CG115" s="235">
        <f t="shared" si="60"/>
        <v>0</v>
      </c>
      <c r="CH115" s="235">
        <f t="shared" si="60"/>
        <v>0</v>
      </c>
      <c r="CI115" s="235">
        <f t="shared" si="60"/>
        <v>0</v>
      </c>
      <c r="CJ115" s="235">
        <f t="shared" si="60"/>
        <v>0</v>
      </c>
      <c r="CK115" s="235">
        <f t="shared" si="60"/>
        <v>0</v>
      </c>
      <c r="CL115" s="235">
        <f t="shared" si="60"/>
        <v>0</v>
      </c>
      <c r="CM115" s="235">
        <f t="shared" si="60"/>
        <v>0</v>
      </c>
      <c r="CN115" s="235">
        <f t="shared" si="60"/>
        <v>0</v>
      </c>
      <c r="CO115" s="235">
        <f t="shared" si="60"/>
        <v>0</v>
      </c>
      <c r="CP115" s="235">
        <f t="shared" si="60"/>
        <v>0</v>
      </c>
      <c r="CQ115" s="235">
        <f t="shared" si="60"/>
        <v>0</v>
      </c>
      <c r="CR115" s="235">
        <f t="shared" si="60"/>
        <v>0</v>
      </c>
      <c r="CS115" s="235">
        <f t="shared" si="60"/>
        <v>0</v>
      </c>
      <c r="CT115" s="235">
        <f t="shared" si="60"/>
        <v>0</v>
      </c>
      <c r="CU115" s="235">
        <f t="shared" si="60"/>
        <v>0</v>
      </c>
      <c r="CV115" s="235">
        <f t="shared" si="60"/>
        <v>0</v>
      </c>
      <c r="CW115" s="235">
        <f t="shared" si="60"/>
        <v>0</v>
      </c>
      <c r="CX115" s="235">
        <f t="shared" si="60"/>
        <v>0</v>
      </c>
      <c r="CY115" s="235">
        <f t="shared" si="60"/>
        <v>0</v>
      </c>
      <c r="CZ115" s="235">
        <f t="shared" si="60"/>
        <v>0</v>
      </c>
      <c r="DA115" s="235">
        <f t="shared" si="60"/>
        <v>0</v>
      </c>
      <c r="DB115" s="235">
        <f t="shared" si="60"/>
        <v>0</v>
      </c>
      <c r="DC115" s="235">
        <f t="shared" si="60"/>
        <v>0</v>
      </c>
      <c r="DD115" s="235">
        <f t="shared" si="60"/>
        <v>0</v>
      </c>
      <c r="DE115" s="235">
        <f t="shared" si="60"/>
        <v>0</v>
      </c>
      <c r="DF115" s="235">
        <f t="shared" si="60"/>
        <v>0</v>
      </c>
      <c r="DG115" s="235">
        <f t="shared" si="60"/>
        <v>0</v>
      </c>
      <c r="DH115" s="235">
        <f t="shared" si="60"/>
        <v>0</v>
      </c>
      <c r="DI115" s="235">
        <f t="shared" si="60"/>
        <v>0</v>
      </c>
      <c r="DJ115" s="235">
        <f t="shared" si="60"/>
        <v>0</v>
      </c>
      <c r="DK115" s="235">
        <f t="shared" si="60"/>
        <v>0</v>
      </c>
      <c r="DL115" s="235">
        <f t="shared" si="60"/>
        <v>0</v>
      </c>
      <c r="DM115" s="235">
        <f t="shared" si="60"/>
        <v>0</v>
      </c>
      <c r="DN115" s="235">
        <f t="shared" si="60"/>
        <v>0</v>
      </c>
      <c r="DO115" s="235">
        <f t="shared" si="60"/>
        <v>0</v>
      </c>
      <c r="DP115" s="235">
        <f t="shared" si="60"/>
        <v>0</v>
      </c>
      <c r="DQ115" s="235">
        <f t="shared" si="60"/>
        <v>0</v>
      </c>
      <c r="DR115" s="235">
        <f t="shared" si="60"/>
        <v>0</v>
      </c>
      <c r="DS115" s="235">
        <f t="shared" si="60"/>
        <v>0</v>
      </c>
      <c r="DT115" s="235">
        <f t="shared" si="60"/>
        <v>0</v>
      </c>
      <c r="DU115" s="235">
        <f t="shared" si="60"/>
        <v>0</v>
      </c>
      <c r="DV115" s="235">
        <f t="shared" si="60"/>
        <v>0</v>
      </c>
    </row>
    <row r="116" spans="2:126" ht="11.25" customHeight="1">
      <c r="B116" s="223" t="s">
        <v>213</v>
      </c>
      <c r="C116" s="224"/>
      <c r="D116" s="224"/>
      <c r="E116" s="224"/>
      <c r="F116" s="224"/>
      <c r="G116" s="224"/>
      <c r="H116" s="225"/>
      <c r="I116" s="226"/>
      <c r="J116" s="236">
        <f>L116</f>
        <v>0</v>
      </c>
      <c r="L116" s="216">
        <v>0</v>
      </c>
      <c r="M116" s="216">
        <f ca="1">L117</f>
        <v>10000000</v>
      </c>
      <c r="N116" s="216">
        <f t="shared" ref="N116:BY116" ca="1" si="61">M117</f>
        <v>5835918.3435629923</v>
      </c>
      <c r="O116" s="216">
        <f t="shared" ca="1" si="61"/>
        <v>8147870.6857560547</v>
      </c>
      <c r="P116" s="216">
        <f t="shared" ca="1" si="61"/>
        <v>761483.31025123969</v>
      </c>
      <c r="Q116" s="216">
        <f t="shared" ca="1" si="61"/>
        <v>6.9849193096160889E-9</v>
      </c>
      <c r="R116" s="216">
        <f t="shared" ca="1" si="61"/>
        <v>6.9849193096160889E-9</v>
      </c>
      <c r="S116" s="216">
        <f t="shared" ca="1" si="61"/>
        <v>6.9849193096160889E-9</v>
      </c>
      <c r="T116" s="216">
        <f t="shared" ca="1" si="61"/>
        <v>6.9849193096160889E-9</v>
      </c>
      <c r="U116" s="216">
        <f t="shared" ca="1" si="61"/>
        <v>152511.78768972913</v>
      </c>
      <c r="V116" s="216">
        <f t="shared" ca="1" si="61"/>
        <v>1436758.7495171144</v>
      </c>
      <c r="W116" s="216">
        <f t="shared" ca="1" si="61"/>
        <v>-2.8405338525772095E-8</v>
      </c>
      <c r="X116" s="216">
        <f t="shared" ca="1" si="61"/>
        <v>-2.8405338525772095E-8</v>
      </c>
      <c r="Y116" s="216">
        <f t="shared" ca="1" si="61"/>
        <v>-2.8405338525772095E-8</v>
      </c>
      <c r="Z116" s="216">
        <f t="shared" ca="1" si="61"/>
        <v>-2.8405338525772095E-8</v>
      </c>
      <c r="AA116" s="216">
        <f t="shared" ca="1" si="61"/>
        <v>-2.8405338525772095E-8</v>
      </c>
      <c r="AB116" s="216">
        <f t="shared" ca="1" si="61"/>
        <v>-2.8405338525772095E-8</v>
      </c>
      <c r="AC116" s="216">
        <f t="shared" ca="1" si="61"/>
        <v>-2.8405338525772095E-8</v>
      </c>
      <c r="AD116" s="216">
        <f t="shared" ca="1" si="61"/>
        <v>-2.8405338525772095E-8</v>
      </c>
      <c r="AE116" s="216">
        <f t="shared" ca="1" si="61"/>
        <v>-2.8405338525772095E-8</v>
      </c>
      <c r="AF116" s="216">
        <f t="shared" ca="1" si="61"/>
        <v>-2.8405338525772095E-8</v>
      </c>
      <c r="AG116" s="216">
        <f t="shared" ca="1" si="61"/>
        <v>-2.8405338525772095E-8</v>
      </c>
      <c r="AH116" s="216">
        <f t="shared" ca="1" si="61"/>
        <v>-2.8405338525772095E-8</v>
      </c>
      <c r="AI116" s="216">
        <f t="shared" ca="1" si="61"/>
        <v>-2.8405338525772095E-8</v>
      </c>
      <c r="AJ116" s="216">
        <f t="shared" ca="1" si="61"/>
        <v>-2.8405338525772095E-8</v>
      </c>
      <c r="AK116" s="216">
        <f t="shared" ca="1" si="61"/>
        <v>-2.8405338525772095E-8</v>
      </c>
      <c r="AL116" s="216">
        <f t="shared" ca="1" si="61"/>
        <v>-2.8405338525772095E-8</v>
      </c>
      <c r="AM116" s="216">
        <f t="shared" ca="1" si="61"/>
        <v>-2.8405338525772095E-8</v>
      </c>
      <c r="AN116" s="216">
        <f t="shared" ca="1" si="61"/>
        <v>-2.8405338525772095E-8</v>
      </c>
      <c r="AO116" s="216">
        <f t="shared" ca="1" si="61"/>
        <v>-2.8405338525772095E-8</v>
      </c>
      <c r="AP116" s="216">
        <f t="shared" ca="1" si="61"/>
        <v>-2.8405338525772095E-8</v>
      </c>
      <c r="AQ116" s="216">
        <f t="shared" ca="1" si="61"/>
        <v>-2.8405338525772095E-8</v>
      </c>
      <c r="AR116" s="216">
        <f t="shared" ca="1" si="61"/>
        <v>-2.8405338525772095E-8</v>
      </c>
      <c r="AS116" s="216">
        <f t="shared" ca="1" si="61"/>
        <v>-2.8405338525772095E-8</v>
      </c>
      <c r="AT116" s="216">
        <f t="shared" ca="1" si="61"/>
        <v>-2.8405338525772095E-8</v>
      </c>
      <c r="AU116" s="216">
        <f t="shared" ca="1" si="61"/>
        <v>-2.8405338525772095E-8</v>
      </c>
      <c r="AV116" s="216">
        <f t="shared" ca="1" si="61"/>
        <v>-2.8405338525772095E-8</v>
      </c>
      <c r="AW116" s="216">
        <f t="shared" ca="1" si="61"/>
        <v>-2.8405338525772095E-8</v>
      </c>
      <c r="AX116" s="216">
        <f t="shared" ca="1" si="61"/>
        <v>-2.8405338525772095E-8</v>
      </c>
      <c r="AY116" s="216">
        <f t="shared" ca="1" si="61"/>
        <v>-2.8405338525772095E-8</v>
      </c>
      <c r="AZ116" s="216">
        <f t="shared" ca="1" si="61"/>
        <v>-2.8405338525772095E-8</v>
      </c>
      <c r="BA116" s="216">
        <f t="shared" ca="1" si="61"/>
        <v>-2.8405338525772095E-8</v>
      </c>
      <c r="BB116" s="216">
        <f t="shared" ca="1" si="61"/>
        <v>-2.8405338525772095E-8</v>
      </c>
      <c r="BC116" s="216">
        <f t="shared" ca="1" si="61"/>
        <v>-2.8405338525772095E-8</v>
      </c>
      <c r="BD116" s="216">
        <f t="shared" ca="1" si="61"/>
        <v>-2.8405338525772095E-8</v>
      </c>
      <c r="BE116" s="216">
        <f t="shared" ca="1" si="61"/>
        <v>-2.8405338525772095E-8</v>
      </c>
      <c r="BF116" s="216">
        <f t="shared" ca="1" si="61"/>
        <v>-2.8405338525772095E-8</v>
      </c>
      <c r="BG116" s="216">
        <f t="shared" ca="1" si="61"/>
        <v>-2.8405338525772095E-8</v>
      </c>
      <c r="BH116" s="216">
        <f t="shared" ca="1" si="61"/>
        <v>-2.8405338525772095E-8</v>
      </c>
      <c r="BI116" s="216">
        <f t="shared" ca="1" si="61"/>
        <v>-2.8405338525772095E-8</v>
      </c>
      <c r="BJ116" s="216">
        <f t="shared" ca="1" si="61"/>
        <v>-2.8405338525772095E-8</v>
      </c>
      <c r="BK116" s="216">
        <f t="shared" ca="1" si="61"/>
        <v>-2.8405338525772095E-8</v>
      </c>
      <c r="BL116" s="216">
        <f t="shared" ca="1" si="61"/>
        <v>-2.8405338525772095E-8</v>
      </c>
      <c r="BM116" s="216">
        <f t="shared" ca="1" si="61"/>
        <v>-2.8405338525772095E-8</v>
      </c>
      <c r="BN116" s="216">
        <f t="shared" ca="1" si="61"/>
        <v>-2.8405338525772095E-8</v>
      </c>
      <c r="BO116" s="216">
        <f t="shared" ca="1" si="61"/>
        <v>-2.8405338525772095E-8</v>
      </c>
      <c r="BP116" s="216">
        <f t="shared" ca="1" si="61"/>
        <v>-2.8405338525772095E-8</v>
      </c>
      <c r="BQ116" s="216">
        <f t="shared" ca="1" si="61"/>
        <v>-2.8405338525772095E-8</v>
      </c>
      <c r="BR116" s="216">
        <f t="shared" ca="1" si="61"/>
        <v>-2.8405338525772095E-8</v>
      </c>
      <c r="BS116" s="216">
        <f t="shared" ca="1" si="61"/>
        <v>-2.8405338525772095E-8</v>
      </c>
      <c r="BT116" s="216">
        <f t="shared" ca="1" si="61"/>
        <v>-2.8405338525772095E-8</v>
      </c>
      <c r="BU116" s="216">
        <f t="shared" ca="1" si="61"/>
        <v>-2.8405338525772095E-8</v>
      </c>
      <c r="BV116" s="216">
        <f t="shared" ca="1" si="61"/>
        <v>-2.8405338525772095E-8</v>
      </c>
      <c r="BW116" s="216">
        <f t="shared" ca="1" si="61"/>
        <v>-2.8405338525772095E-8</v>
      </c>
      <c r="BX116" s="216">
        <f t="shared" ca="1" si="61"/>
        <v>-2.8405338525772095E-8</v>
      </c>
      <c r="BY116" s="216">
        <f t="shared" ca="1" si="61"/>
        <v>-2.8405338525772095E-8</v>
      </c>
      <c r="BZ116" s="216">
        <f t="shared" ref="BZ116:DV116" ca="1" si="62">BY117</f>
        <v>-2.8405338525772095E-8</v>
      </c>
      <c r="CA116" s="216">
        <f t="shared" ca="1" si="62"/>
        <v>-2.8405338525772095E-8</v>
      </c>
      <c r="CB116" s="216">
        <f t="shared" ca="1" si="62"/>
        <v>-2.8405338525772095E-8</v>
      </c>
      <c r="CC116" s="216">
        <f t="shared" ca="1" si="62"/>
        <v>-2.8405338525772095E-8</v>
      </c>
      <c r="CD116" s="216">
        <f t="shared" ca="1" si="62"/>
        <v>-2.8405338525772095E-8</v>
      </c>
      <c r="CE116" s="216">
        <f t="shared" ca="1" si="62"/>
        <v>-2.8405338525772095E-8</v>
      </c>
      <c r="CF116" s="216">
        <f t="shared" ca="1" si="62"/>
        <v>-2.8405338525772095E-8</v>
      </c>
      <c r="CG116" s="216">
        <f t="shared" ca="1" si="62"/>
        <v>-2.8405338525772095E-8</v>
      </c>
      <c r="CH116" s="216">
        <f t="shared" ca="1" si="62"/>
        <v>-2.8405338525772095E-8</v>
      </c>
      <c r="CI116" s="216">
        <f t="shared" ca="1" si="62"/>
        <v>-2.8405338525772095E-8</v>
      </c>
      <c r="CJ116" s="216">
        <f t="shared" ca="1" si="62"/>
        <v>-2.8405338525772095E-8</v>
      </c>
      <c r="CK116" s="216">
        <f t="shared" ca="1" si="62"/>
        <v>-2.8405338525772095E-8</v>
      </c>
      <c r="CL116" s="216">
        <f t="shared" ca="1" si="62"/>
        <v>-2.8405338525772095E-8</v>
      </c>
      <c r="CM116" s="216">
        <f t="shared" ca="1" si="62"/>
        <v>-2.8405338525772095E-8</v>
      </c>
      <c r="CN116" s="216">
        <f t="shared" ca="1" si="62"/>
        <v>-2.8405338525772095E-8</v>
      </c>
      <c r="CO116" s="216">
        <f t="shared" ca="1" si="62"/>
        <v>-2.8405338525772095E-8</v>
      </c>
      <c r="CP116" s="216">
        <f t="shared" ca="1" si="62"/>
        <v>-2.8405338525772095E-8</v>
      </c>
      <c r="CQ116" s="216">
        <f t="shared" ca="1" si="62"/>
        <v>-2.8405338525772095E-8</v>
      </c>
      <c r="CR116" s="216">
        <f t="shared" ca="1" si="62"/>
        <v>-2.8405338525772095E-8</v>
      </c>
      <c r="CS116" s="216">
        <f t="shared" ca="1" si="62"/>
        <v>-2.8405338525772095E-8</v>
      </c>
      <c r="CT116" s="216">
        <f t="shared" ca="1" si="62"/>
        <v>-2.8405338525772095E-8</v>
      </c>
      <c r="CU116" s="216">
        <f t="shared" ca="1" si="62"/>
        <v>-2.8405338525772095E-8</v>
      </c>
      <c r="CV116" s="216">
        <f t="shared" ca="1" si="62"/>
        <v>-2.8405338525772095E-8</v>
      </c>
      <c r="CW116" s="216">
        <f t="shared" ca="1" si="62"/>
        <v>-2.8405338525772095E-8</v>
      </c>
      <c r="CX116" s="216">
        <f t="shared" ca="1" si="62"/>
        <v>-2.8405338525772095E-8</v>
      </c>
      <c r="CY116" s="216">
        <f t="shared" ca="1" si="62"/>
        <v>-2.8405338525772095E-8</v>
      </c>
      <c r="CZ116" s="216">
        <f t="shared" ca="1" si="62"/>
        <v>-2.8405338525772095E-8</v>
      </c>
      <c r="DA116" s="216">
        <f t="shared" ca="1" si="62"/>
        <v>-2.8405338525772095E-8</v>
      </c>
      <c r="DB116" s="216">
        <f t="shared" ca="1" si="62"/>
        <v>-2.8405338525772095E-8</v>
      </c>
      <c r="DC116" s="216">
        <f t="shared" ca="1" si="62"/>
        <v>-2.8405338525772095E-8</v>
      </c>
      <c r="DD116" s="216">
        <f t="shared" ca="1" si="62"/>
        <v>-2.8405338525772095E-8</v>
      </c>
      <c r="DE116" s="216">
        <f t="shared" ca="1" si="62"/>
        <v>-2.8405338525772095E-8</v>
      </c>
      <c r="DF116" s="216">
        <f t="shared" ca="1" si="62"/>
        <v>-2.8405338525772095E-8</v>
      </c>
      <c r="DG116" s="216">
        <f t="shared" ca="1" si="62"/>
        <v>-2.8405338525772095E-8</v>
      </c>
      <c r="DH116" s="216">
        <f t="shared" ca="1" si="62"/>
        <v>-2.8405338525772095E-8</v>
      </c>
      <c r="DI116" s="216">
        <f t="shared" ca="1" si="62"/>
        <v>-2.8405338525772095E-8</v>
      </c>
      <c r="DJ116" s="216">
        <f t="shared" ca="1" si="62"/>
        <v>-2.8405338525772095E-8</v>
      </c>
      <c r="DK116" s="216">
        <f t="shared" ca="1" si="62"/>
        <v>-2.8405338525772095E-8</v>
      </c>
      <c r="DL116" s="216">
        <f t="shared" ca="1" si="62"/>
        <v>-2.8405338525772095E-8</v>
      </c>
      <c r="DM116" s="216">
        <f t="shared" ca="1" si="62"/>
        <v>-2.8405338525772095E-8</v>
      </c>
      <c r="DN116" s="216">
        <f t="shared" ca="1" si="62"/>
        <v>-2.8405338525772095E-8</v>
      </c>
      <c r="DO116" s="216">
        <f t="shared" ca="1" si="62"/>
        <v>-2.8405338525772095E-8</v>
      </c>
      <c r="DP116" s="216">
        <f t="shared" ca="1" si="62"/>
        <v>-2.8405338525772095E-8</v>
      </c>
      <c r="DQ116" s="216">
        <f t="shared" ca="1" si="62"/>
        <v>-2.8405338525772095E-8</v>
      </c>
      <c r="DR116" s="216">
        <f t="shared" ca="1" si="62"/>
        <v>-2.8405338525772095E-8</v>
      </c>
      <c r="DS116" s="216">
        <f t="shared" ca="1" si="62"/>
        <v>-2.8405338525772095E-8</v>
      </c>
      <c r="DT116" s="216">
        <f t="shared" ca="1" si="62"/>
        <v>-2.8405338525772095E-8</v>
      </c>
      <c r="DU116" s="216">
        <f t="shared" ca="1" si="62"/>
        <v>-2.8405338525772095E-8</v>
      </c>
      <c r="DV116" s="216">
        <f t="shared" ca="1" si="62"/>
        <v>-2.8405338525772095E-8</v>
      </c>
    </row>
    <row r="117" spans="2:126" ht="11.25" customHeight="1">
      <c r="B117" s="237" t="s">
        <v>214</v>
      </c>
      <c r="C117" s="238"/>
      <c r="D117" s="238"/>
      <c r="E117" s="238"/>
      <c r="F117" s="238"/>
      <c r="G117" s="238"/>
      <c r="H117" s="239"/>
      <c r="I117" s="240" t="str">
        <f ca="1">IF(COUNTIF($L$117:$DV$117,"&lt;-0.001")&gt;0,"Shortage","TRUE")</f>
        <v>TRUE</v>
      </c>
      <c r="J117" s="241">
        <v>5.9604644775390625E-8</v>
      </c>
      <c r="L117" s="235">
        <f ca="1">L116+L115</f>
        <v>10000000</v>
      </c>
      <c r="M117" s="235">
        <f t="shared" ref="M117:BX117" ca="1" si="63">M116+M115</f>
        <v>5835918.3435629923</v>
      </c>
      <c r="N117" s="235">
        <f t="shared" ca="1" si="63"/>
        <v>8147870.6857560547</v>
      </c>
      <c r="O117" s="235">
        <f t="shared" ca="1" si="63"/>
        <v>761483.31025123969</v>
      </c>
      <c r="P117" s="235">
        <f t="shared" ca="1" si="63"/>
        <v>6.9849193096160889E-9</v>
      </c>
      <c r="Q117" s="235">
        <f t="shared" ca="1" si="63"/>
        <v>6.9849193096160889E-9</v>
      </c>
      <c r="R117" s="235">
        <f t="shared" ca="1" si="63"/>
        <v>6.9849193096160889E-9</v>
      </c>
      <c r="S117" s="235">
        <f t="shared" ca="1" si="63"/>
        <v>6.9849193096160889E-9</v>
      </c>
      <c r="T117" s="235">
        <f t="shared" ca="1" si="63"/>
        <v>152511.78768972913</v>
      </c>
      <c r="U117" s="235">
        <f t="shared" ca="1" si="63"/>
        <v>1436758.7495171144</v>
      </c>
      <c r="V117" s="235">
        <f t="shared" ca="1" si="63"/>
        <v>-2.8405338525772095E-8</v>
      </c>
      <c r="W117" s="235">
        <f t="shared" ca="1" si="63"/>
        <v>-2.8405338525772095E-8</v>
      </c>
      <c r="X117" s="235">
        <f t="shared" ca="1" si="63"/>
        <v>-2.8405338525772095E-8</v>
      </c>
      <c r="Y117" s="235">
        <f t="shared" ca="1" si="63"/>
        <v>-2.8405338525772095E-8</v>
      </c>
      <c r="Z117" s="235">
        <f t="shared" ca="1" si="63"/>
        <v>-2.8405338525772095E-8</v>
      </c>
      <c r="AA117" s="235">
        <f t="shared" ca="1" si="63"/>
        <v>-2.8405338525772095E-8</v>
      </c>
      <c r="AB117" s="235">
        <f t="shared" ca="1" si="63"/>
        <v>-2.8405338525772095E-8</v>
      </c>
      <c r="AC117" s="235">
        <f t="shared" ca="1" si="63"/>
        <v>-2.8405338525772095E-8</v>
      </c>
      <c r="AD117" s="235">
        <f t="shared" ca="1" si="63"/>
        <v>-2.8405338525772095E-8</v>
      </c>
      <c r="AE117" s="235">
        <f t="shared" ca="1" si="63"/>
        <v>-2.8405338525772095E-8</v>
      </c>
      <c r="AF117" s="235">
        <f t="shared" ca="1" si="63"/>
        <v>-2.8405338525772095E-8</v>
      </c>
      <c r="AG117" s="235">
        <f t="shared" ca="1" si="63"/>
        <v>-2.8405338525772095E-8</v>
      </c>
      <c r="AH117" s="235">
        <f t="shared" ca="1" si="63"/>
        <v>-2.8405338525772095E-8</v>
      </c>
      <c r="AI117" s="235">
        <f t="shared" ca="1" si="63"/>
        <v>-2.8405338525772095E-8</v>
      </c>
      <c r="AJ117" s="235">
        <f t="shared" ca="1" si="63"/>
        <v>-2.8405338525772095E-8</v>
      </c>
      <c r="AK117" s="235">
        <f t="shared" ca="1" si="63"/>
        <v>-2.8405338525772095E-8</v>
      </c>
      <c r="AL117" s="235">
        <f t="shared" ca="1" si="63"/>
        <v>-2.8405338525772095E-8</v>
      </c>
      <c r="AM117" s="235">
        <f t="shared" ca="1" si="63"/>
        <v>-2.8405338525772095E-8</v>
      </c>
      <c r="AN117" s="235">
        <f t="shared" ca="1" si="63"/>
        <v>-2.8405338525772095E-8</v>
      </c>
      <c r="AO117" s="235">
        <f t="shared" ca="1" si="63"/>
        <v>-2.8405338525772095E-8</v>
      </c>
      <c r="AP117" s="235">
        <f t="shared" ca="1" si="63"/>
        <v>-2.8405338525772095E-8</v>
      </c>
      <c r="AQ117" s="235">
        <f t="shared" ca="1" si="63"/>
        <v>-2.8405338525772095E-8</v>
      </c>
      <c r="AR117" s="235">
        <f t="shared" ca="1" si="63"/>
        <v>-2.8405338525772095E-8</v>
      </c>
      <c r="AS117" s="235">
        <f t="shared" ca="1" si="63"/>
        <v>-2.8405338525772095E-8</v>
      </c>
      <c r="AT117" s="235">
        <f t="shared" ca="1" si="63"/>
        <v>-2.8405338525772095E-8</v>
      </c>
      <c r="AU117" s="235">
        <f t="shared" ca="1" si="63"/>
        <v>-2.8405338525772095E-8</v>
      </c>
      <c r="AV117" s="235">
        <f t="shared" ca="1" si="63"/>
        <v>-2.8405338525772095E-8</v>
      </c>
      <c r="AW117" s="235">
        <f t="shared" ca="1" si="63"/>
        <v>-2.8405338525772095E-8</v>
      </c>
      <c r="AX117" s="235">
        <f t="shared" ca="1" si="63"/>
        <v>-2.8405338525772095E-8</v>
      </c>
      <c r="AY117" s="235">
        <f t="shared" ca="1" si="63"/>
        <v>-2.8405338525772095E-8</v>
      </c>
      <c r="AZ117" s="235">
        <f t="shared" ca="1" si="63"/>
        <v>-2.8405338525772095E-8</v>
      </c>
      <c r="BA117" s="235">
        <f t="shared" ca="1" si="63"/>
        <v>-2.8405338525772095E-8</v>
      </c>
      <c r="BB117" s="235">
        <f t="shared" ca="1" si="63"/>
        <v>-2.8405338525772095E-8</v>
      </c>
      <c r="BC117" s="235">
        <f t="shared" ca="1" si="63"/>
        <v>-2.8405338525772095E-8</v>
      </c>
      <c r="BD117" s="235">
        <f t="shared" ca="1" si="63"/>
        <v>-2.8405338525772095E-8</v>
      </c>
      <c r="BE117" s="235">
        <f t="shared" ca="1" si="63"/>
        <v>-2.8405338525772095E-8</v>
      </c>
      <c r="BF117" s="235">
        <f t="shared" ca="1" si="63"/>
        <v>-2.8405338525772095E-8</v>
      </c>
      <c r="BG117" s="235">
        <f t="shared" ca="1" si="63"/>
        <v>-2.8405338525772095E-8</v>
      </c>
      <c r="BH117" s="235">
        <f t="shared" ca="1" si="63"/>
        <v>-2.8405338525772095E-8</v>
      </c>
      <c r="BI117" s="235">
        <f t="shared" ca="1" si="63"/>
        <v>-2.8405338525772095E-8</v>
      </c>
      <c r="BJ117" s="235">
        <f t="shared" ca="1" si="63"/>
        <v>-2.8405338525772095E-8</v>
      </c>
      <c r="BK117" s="235">
        <f t="shared" ca="1" si="63"/>
        <v>-2.8405338525772095E-8</v>
      </c>
      <c r="BL117" s="235">
        <f t="shared" ca="1" si="63"/>
        <v>-2.8405338525772095E-8</v>
      </c>
      <c r="BM117" s="235">
        <f t="shared" ca="1" si="63"/>
        <v>-2.8405338525772095E-8</v>
      </c>
      <c r="BN117" s="235">
        <f t="shared" ca="1" si="63"/>
        <v>-2.8405338525772095E-8</v>
      </c>
      <c r="BO117" s="235">
        <f t="shared" ca="1" si="63"/>
        <v>-2.8405338525772095E-8</v>
      </c>
      <c r="BP117" s="235">
        <f t="shared" ca="1" si="63"/>
        <v>-2.8405338525772095E-8</v>
      </c>
      <c r="BQ117" s="235">
        <f t="shared" ca="1" si="63"/>
        <v>-2.8405338525772095E-8</v>
      </c>
      <c r="BR117" s="235">
        <f t="shared" ca="1" si="63"/>
        <v>-2.8405338525772095E-8</v>
      </c>
      <c r="BS117" s="235">
        <f t="shared" ca="1" si="63"/>
        <v>-2.8405338525772095E-8</v>
      </c>
      <c r="BT117" s="235">
        <f t="shared" ca="1" si="63"/>
        <v>-2.8405338525772095E-8</v>
      </c>
      <c r="BU117" s="235">
        <f t="shared" ca="1" si="63"/>
        <v>-2.8405338525772095E-8</v>
      </c>
      <c r="BV117" s="235">
        <f t="shared" ca="1" si="63"/>
        <v>-2.8405338525772095E-8</v>
      </c>
      <c r="BW117" s="235">
        <f t="shared" ca="1" si="63"/>
        <v>-2.8405338525772095E-8</v>
      </c>
      <c r="BX117" s="235">
        <f t="shared" ca="1" si="63"/>
        <v>-2.8405338525772095E-8</v>
      </c>
      <c r="BY117" s="235">
        <f t="shared" ref="BY117:DV117" ca="1" si="64">BY116+BY115</f>
        <v>-2.8405338525772095E-8</v>
      </c>
      <c r="BZ117" s="235">
        <f t="shared" ca="1" si="64"/>
        <v>-2.8405338525772095E-8</v>
      </c>
      <c r="CA117" s="235">
        <f t="shared" ca="1" si="64"/>
        <v>-2.8405338525772095E-8</v>
      </c>
      <c r="CB117" s="235">
        <f t="shared" ca="1" si="64"/>
        <v>-2.8405338525772095E-8</v>
      </c>
      <c r="CC117" s="235">
        <f t="shared" ca="1" si="64"/>
        <v>-2.8405338525772095E-8</v>
      </c>
      <c r="CD117" s="235">
        <f t="shared" ca="1" si="64"/>
        <v>-2.8405338525772095E-8</v>
      </c>
      <c r="CE117" s="235">
        <f t="shared" ca="1" si="64"/>
        <v>-2.8405338525772095E-8</v>
      </c>
      <c r="CF117" s="235">
        <f t="shared" ca="1" si="64"/>
        <v>-2.8405338525772095E-8</v>
      </c>
      <c r="CG117" s="235">
        <f t="shared" ca="1" si="64"/>
        <v>-2.8405338525772095E-8</v>
      </c>
      <c r="CH117" s="235">
        <f t="shared" ca="1" si="64"/>
        <v>-2.8405338525772095E-8</v>
      </c>
      <c r="CI117" s="235">
        <f t="shared" ca="1" si="64"/>
        <v>-2.8405338525772095E-8</v>
      </c>
      <c r="CJ117" s="235">
        <f t="shared" ca="1" si="64"/>
        <v>-2.8405338525772095E-8</v>
      </c>
      <c r="CK117" s="235">
        <f t="shared" ca="1" si="64"/>
        <v>-2.8405338525772095E-8</v>
      </c>
      <c r="CL117" s="235">
        <f t="shared" ca="1" si="64"/>
        <v>-2.8405338525772095E-8</v>
      </c>
      <c r="CM117" s="235">
        <f t="shared" ca="1" si="64"/>
        <v>-2.8405338525772095E-8</v>
      </c>
      <c r="CN117" s="235">
        <f t="shared" ca="1" si="64"/>
        <v>-2.8405338525772095E-8</v>
      </c>
      <c r="CO117" s="235">
        <f t="shared" ca="1" si="64"/>
        <v>-2.8405338525772095E-8</v>
      </c>
      <c r="CP117" s="235">
        <f t="shared" ca="1" si="64"/>
        <v>-2.8405338525772095E-8</v>
      </c>
      <c r="CQ117" s="235">
        <f t="shared" ca="1" si="64"/>
        <v>-2.8405338525772095E-8</v>
      </c>
      <c r="CR117" s="235">
        <f t="shared" ca="1" si="64"/>
        <v>-2.8405338525772095E-8</v>
      </c>
      <c r="CS117" s="235">
        <f t="shared" ca="1" si="64"/>
        <v>-2.8405338525772095E-8</v>
      </c>
      <c r="CT117" s="235">
        <f t="shared" ca="1" si="64"/>
        <v>-2.8405338525772095E-8</v>
      </c>
      <c r="CU117" s="235">
        <f t="shared" ca="1" si="64"/>
        <v>-2.8405338525772095E-8</v>
      </c>
      <c r="CV117" s="235">
        <f t="shared" ca="1" si="64"/>
        <v>-2.8405338525772095E-8</v>
      </c>
      <c r="CW117" s="235">
        <f t="shared" ca="1" si="64"/>
        <v>-2.8405338525772095E-8</v>
      </c>
      <c r="CX117" s="235">
        <f t="shared" ca="1" si="64"/>
        <v>-2.8405338525772095E-8</v>
      </c>
      <c r="CY117" s="235">
        <f t="shared" ca="1" si="64"/>
        <v>-2.8405338525772095E-8</v>
      </c>
      <c r="CZ117" s="235">
        <f t="shared" ca="1" si="64"/>
        <v>-2.8405338525772095E-8</v>
      </c>
      <c r="DA117" s="235">
        <f t="shared" ca="1" si="64"/>
        <v>-2.8405338525772095E-8</v>
      </c>
      <c r="DB117" s="235">
        <f t="shared" ca="1" si="64"/>
        <v>-2.8405338525772095E-8</v>
      </c>
      <c r="DC117" s="235">
        <f t="shared" ca="1" si="64"/>
        <v>-2.8405338525772095E-8</v>
      </c>
      <c r="DD117" s="235">
        <f t="shared" ca="1" si="64"/>
        <v>-2.8405338525772095E-8</v>
      </c>
      <c r="DE117" s="235">
        <f t="shared" ca="1" si="64"/>
        <v>-2.8405338525772095E-8</v>
      </c>
      <c r="DF117" s="235">
        <f t="shared" ca="1" si="64"/>
        <v>-2.8405338525772095E-8</v>
      </c>
      <c r="DG117" s="235">
        <f t="shared" ca="1" si="64"/>
        <v>-2.8405338525772095E-8</v>
      </c>
      <c r="DH117" s="235">
        <f t="shared" ca="1" si="64"/>
        <v>-2.8405338525772095E-8</v>
      </c>
      <c r="DI117" s="235">
        <f t="shared" ca="1" si="64"/>
        <v>-2.8405338525772095E-8</v>
      </c>
      <c r="DJ117" s="235">
        <f t="shared" ca="1" si="64"/>
        <v>-2.8405338525772095E-8</v>
      </c>
      <c r="DK117" s="235">
        <f t="shared" ca="1" si="64"/>
        <v>-2.8405338525772095E-8</v>
      </c>
      <c r="DL117" s="235">
        <f t="shared" ca="1" si="64"/>
        <v>-2.8405338525772095E-8</v>
      </c>
      <c r="DM117" s="235">
        <f t="shared" ca="1" si="64"/>
        <v>-2.8405338525772095E-8</v>
      </c>
      <c r="DN117" s="235">
        <f t="shared" ca="1" si="64"/>
        <v>-2.8405338525772095E-8</v>
      </c>
      <c r="DO117" s="235">
        <f t="shared" ca="1" si="64"/>
        <v>-2.8405338525772095E-8</v>
      </c>
      <c r="DP117" s="235">
        <f t="shared" ca="1" si="64"/>
        <v>-2.8405338525772095E-8</v>
      </c>
      <c r="DQ117" s="235">
        <f t="shared" ca="1" si="64"/>
        <v>-2.8405338525772095E-8</v>
      </c>
      <c r="DR117" s="235">
        <f t="shared" ca="1" si="64"/>
        <v>-2.8405338525772095E-8</v>
      </c>
      <c r="DS117" s="235">
        <f t="shared" ca="1" si="64"/>
        <v>-2.8405338525772095E-8</v>
      </c>
      <c r="DT117" s="235">
        <f t="shared" ca="1" si="64"/>
        <v>-2.8405338525772095E-8</v>
      </c>
      <c r="DU117" s="235">
        <f t="shared" ca="1" si="64"/>
        <v>-2.8405338525772095E-8</v>
      </c>
      <c r="DV117" s="235">
        <f t="shared" ca="1" si="64"/>
        <v>-2.8405338525772095E-8</v>
      </c>
    </row>
    <row r="118" spans="2:126" ht="11.25" customHeight="1">
      <c r="B118" s="211" t="s">
        <v>470</v>
      </c>
      <c r="C118" s="212"/>
      <c r="D118" s="212"/>
      <c r="E118" s="212"/>
      <c r="F118" s="212"/>
      <c r="G118" s="212"/>
      <c r="H118" s="213"/>
      <c r="I118" s="242">
        <f t="shared" ref="I118:I125" ca="1" si="65">IFERROR((IRR($L118:$DV118,0.001)+1)-1,)</f>
        <v>6.999999999999984E-2</v>
      </c>
      <c r="J118" s="216">
        <f t="shared" ref="J118:J125" ca="1" si="66">SUM(L118:DV118)</f>
        <v>16800000</v>
      </c>
      <c r="L118" s="216">
        <f ca="1">-(L90-L94)</f>
        <v>-24000000</v>
      </c>
      <c r="M118" s="216">
        <f t="shared" ref="M118:BX118" ca="1" si="67">-(M90-M94)</f>
        <v>1680000.0000000002</v>
      </c>
      <c r="N118" s="216">
        <f t="shared" ca="1" si="67"/>
        <v>1680000.0000000002</v>
      </c>
      <c r="O118" s="216">
        <f t="shared" ca="1" si="67"/>
        <v>1680000.0000000002</v>
      </c>
      <c r="P118" s="216">
        <f t="shared" ca="1" si="67"/>
        <v>1680000.0000000002</v>
      </c>
      <c r="Q118" s="216">
        <f t="shared" ca="1" si="67"/>
        <v>1680000.0000000002</v>
      </c>
      <c r="R118" s="216">
        <f t="shared" ca="1" si="67"/>
        <v>1680000.0000000002</v>
      </c>
      <c r="S118" s="216">
        <f t="shared" ca="1" si="67"/>
        <v>1680000.0000000002</v>
      </c>
      <c r="T118" s="216">
        <f t="shared" ca="1" si="67"/>
        <v>1680000.0000000002</v>
      </c>
      <c r="U118" s="216">
        <f t="shared" ca="1" si="67"/>
        <v>1680000.0000000002</v>
      </c>
      <c r="V118" s="216">
        <f t="shared" ca="1" si="67"/>
        <v>25680000</v>
      </c>
      <c r="W118" s="216">
        <f t="shared" ca="1" si="67"/>
        <v>0</v>
      </c>
      <c r="X118" s="216">
        <f t="shared" ca="1" si="67"/>
        <v>0</v>
      </c>
      <c r="Y118" s="216">
        <f t="shared" si="67"/>
        <v>0</v>
      </c>
      <c r="Z118" s="216">
        <f t="shared" si="67"/>
        <v>0</v>
      </c>
      <c r="AA118" s="216">
        <f t="shared" si="67"/>
        <v>0</v>
      </c>
      <c r="AB118" s="216">
        <f t="shared" si="67"/>
        <v>0</v>
      </c>
      <c r="AC118" s="216">
        <f t="shared" si="67"/>
        <v>0</v>
      </c>
      <c r="AD118" s="216">
        <f t="shared" si="67"/>
        <v>0</v>
      </c>
      <c r="AE118" s="216">
        <f t="shared" si="67"/>
        <v>0</v>
      </c>
      <c r="AF118" s="216">
        <f t="shared" si="67"/>
        <v>0</v>
      </c>
      <c r="AG118" s="216">
        <f t="shared" si="67"/>
        <v>0</v>
      </c>
      <c r="AH118" s="216">
        <f t="shared" si="67"/>
        <v>0</v>
      </c>
      <c r="AI118" s="216">
        <f t="shared" si="67"/>
        <v>0</v>
      </c>
      <c r="AJ118" s="216">
        <f t="shared" si="67"/>
        <v>0</v>
      </c>
      <c r="AK118" s="216">
        <f t="shared" si="67"/>
        <v>0</v>
      </c>
      <c r="AL118" s="216">
        <f t="shared" si="67"/>
        <v>0</v>
      </c>
      <c r="AM118" s="216">
        <f t="shared" si="67"/>
        <v>0</v>
      </c>
      <c r="AN118" s="216">
        <f t="shared" si="67"/>
        <v>0</v>
      </c>
      <c r="AO118" s="216">
        <f t="shared" si="67"/>
        <v>0</v>
      </c>
      <c r="AP118" s="216">
        <f t="shared" si="67"/>
        <v>0</v>
      </c>
      <c r="AQ118" s="216">
        <f t="shared" si="67"/>
        <v>0</v>
      </c>
      <c r="AR118" s="216">
        <f t="shared" si="67"/>
        <v>0</v>
      </c>
      <c r="AS118" s="216">
        <f t="shared" si="67"/>
        <v>0</v>
      </c>
      <c r="AT118" s="216">
        <f t="shared" si="67"/>
        <v>0</v>
      </c>
      <c r="AU118" s="216">
        <f t="shared" si="67"/>
        <v>0</v>
      </c>
      <c r="AV118" s="216">
        <f t="shared" si="67"/>
        <v>0</v>
      </c>
      <c r="AW118" s="216">
        <f t="shared" si="67"/>
        <v>0</v>
      </c>
      <c r="AX118" s="216">
        <f t="shared" si="67"/>
        <v>0</v>
      </c>
      <c r="AY118" s="216">
        <f t="shared" si="67"/>
        <v>0</v>
      </c>
      <c r="AZ118" s="216">
        <f t="shared" si="67"/>
        <v>0</v>
      </c>
      <c r="BA118" s="216">
        <f t="shared" si="67"/>
        <v>0</v>
      </c>
      <c r="BB118" s="216">
        <f t="shared" si="67"/>
        <v>0</v>
      </c>
      <c r="BC118" s="216">
        <f t="shared" si="67"/>
        <v>0</v>
      </c>
      <c r="BD118" s="216">
        <f t="shared" si="67"/>
        <v>0</v>
      </c>
      <c r="BE118" s="216">
        <f t="shared" si="67"/>
        <v>0</v>
      </c>
      <c r="BF118" s="216">
        <f t="shared" si="67"/>
        <v>0</v>
      </c>
      <c r="BG118" s="216">
        <f t="shared" si="67"/>
        <v>0</v>
      </c>
      <c r="BH118" s="216">
        <f t="shared" si="67"/>
        <v>0</v>
      </c>
      <c r="BI118" s="216">
        <f t="shared" si="67"/>
        <v>0</v>
      </c>
      <c r="BJ118" s="216">
        <f t="shared" si="67"/>
        <v>0</v>
      </c>
      <c r="BK118" s="216">
        <f t="shared" si="67"/>
        <v>0</v>
      </c>
      <c r="BL118" s="216">
        <f t="shared" si="67"/>
        <v>0</v>
      </c>
      <c r="BM118" s="216">
        <f t="shared" si="67"/>
        <v>0</v>
      </c>
      <c r="BN118" s="216">
        <f t="shared" si="67"/>
        <v>0</v>
      </c>
      <c r="BO118" s="216">
        <f t="shared" si="67"/>
        <v>0</v>
      </c>
      <c r="BP118" s="216">
        <f t="shared" si="67"/>
        <v>0</v>
      </c>
      <c r="BQ118" s="216">
        <f t="shared" si="67"/>
        <v>0</v>
      </c>
      <c r="BR118" s="216">
        <f t="shared" si="67"/>
        <v>0</v>
      </c>
      <c r="BS118" s="216">
        <f t="shared" si="67"/>
        <v>0</v>
      </c>
      <c r="BT118" s="216">
        <f t="shared" si="67"/>
        <v>0</v>
      </c>
      <c r="BU118" s="216">
        <f t="shared" si="67"/>
        <v>0</v>
      </c>
      <c r="BV118" s="216">
        <f t="shared" si="67"/>
        <v>0</v>
      </c>
      <c r="BW118" s="216">
        <f t="shared" si="67"/>
        <v>0</v>
      </c>
      <c r="BX118" s="216">
        <f t="shared" si="67"/>
        <v>0</v>
      </c>
      <c r="BY118" s="216">
        <f t="shared" ref="BY118:DV118" si="68">-(BY90-BY94)</f>
        <v>0</v>
      </c>
      <c r="BZ118" s="216">
        <f t="shared" si="68"/>
        <v>0</v>
      </c>
      <c r="CA118" s="216">
        <f t="shared" si="68"/>
        <v>0</v>
      </c>
      <c r="CB118" s="216">
        <f t="shared" si="68"/>
        <v>0</v>
      </c>
      <c r="CC118" s="216">
        <f t="shared" si="68"/>
        <v>0</v>
      </c>
      <c r="CD118" s="216">
        <f t="shared" si="68"/>
        <v>0</v>
      </c>
      <c r="CE118" s="216">
        <f t="shared" si="68"/>
        <v>0</v>
      </c>
      <c r="CF118" s="216">
        <f t="shared" si="68"/>
        <v>0</v>
      </c>
      <c r="CG118" s="216">
        <f t="shared" si="68"/>
        <v>0</v>
      </c>
      <c r="CH118" s="216">
        <f t="shared" si="68"/>
        <v>0</v>
      </c>
      <c r="CI118" s="216">
        <f t="shared" si="68"/>
        <v>0</v>
      </c>
      <c r="CJ118" s="216">
        <f t="shared" si="68"/>
        <v>0</v>
      </c>
      <c r="CK118" s="216">
        <f t="shared" si="68"/>
        <v>0</v>
      </c>
      <c r="CL118" s="216">
        <f t="shared" si="68"/>
        <v>0</v>
      </c>
      <c r="CM118" s="216">
        <f t="shared" si="68"/>
        <v>0</v>
      </c>
      <c r="CN118" s="216">
        <f t="shared" si="68"/>
        <v>0</v>
      </c>
      <c r="CO118" s="216">
        <f t="shared" si="68"/>
        <v>0</v>
      </c>
      <c r="CP118" s="216">
        <f t="shared" si="68"/>
        <v>0</v>
      </c>
      <c r="CQ118" s="216">
        <f t="shared" si="68"/>
        <v>0</v>
      </c>
      <c r="CR118" s="216">
        <f t="shared" si="68"/>
        <v>0</v>
      </c>
      <c r="CS118" s="216">
        <f t="shared" si="68"/>
        <v>0</v>
      </c>
      <c r="CT118" s="216">
        <f t="shared" si="68"/>
        <v>0</v>
      </c>
      <c r="CU118" s="216">
        <f t="shared" si="68"/>
        <v>0</v>
      </c>
      <c r="CV118" s="216">
        <f t="shared" si="68"/>
        <v>0</v>
      </c>
      <c r="CW118" s="216">
        <f t="shared" si="68"/>
        <v>0</v>
      </c>
      <c r="CX118" s="216">
        <f t="shared" si="68"/>
        <v>0</v>
      </c>
      <c r="CY118" s="216">
        <f t="shared" si="68"/>
        <v>0</v>
      </c>
      <c r="CZ118" s="216">
        <f t="shared" si="68"/>
        <v>0</v>
      </c>
      <c r="DA118" s="216">
        <f t="shared" si="68"/>
        <v>0</v>
      </c>
      <c r="DB118" s="216">
        <f t="shared" si="68"/>
        <v>0</v>
      </c>
      <c r="DC118" s="216">
        <f t="shared" si="68"/>
        <v>0</v>
      </c>
      <c r="DD118" s="216">
        <f t="shared" si="68"/>
        <v>0</v>
      </c>
      <c r="DE118" s="216">
        <f t="shared" si="68"/>
        <v>0</v>
      </c>
      <c r="DF118" s="216">
        <f t="shared" si="68"/>
        <v>0</v>
      </c>
      <c r="DG118" s="216">
        <f t="shared" si="68"/>
        <v>0</v>
      </c>
      <c r="DH118" s="216">
        <f t="shared" si="68"/>
        <v>0</v>
      </c>
      <c r="DI118" s="216">
        <f t="shared" si="68"/>
        <v>0</v>
      </c>
      <c r="DJ118" s="216">
        <f t="shared" si="68"/>
        <v>0</v>
      </c>
      <c r="DK118" s="216">
        <f t="shared" si="68"/>
        <v>0</v>
      </c>
      <c r="DL118" s="216">
        <f t="shared" si="68"/>
        <v>0</v>
      </c>
      <c r="DM118" s="216">
        <f t="shared" si="68"/>
        <v>0</v>
      </c>
      <c r="DN118" s="216">
        <f t="shared" si="68"/>
        <v>0</v>
      </c>
      <c r="DO118" s="216">
        <f t="shared" si="68"/>
        <v>0</v>
      </c>
      <c r="DP118" s="216">
        <f t="shared" si="68"/>
        <v>0</v>
      </c>
      <c r="DQ118" s="216">
        <f t="shared" si="68"/>
        <v>0</v>
      </c>
      <c r="DR118" s="216">
        <f t="shared" si="68"/>
        <v>0</v>
      </c>
      <c r="DS118" s="216">
        <f t="shared" si="68"/>
        <v>0</v>
      </c>
      <c r="DT118" s="216">
        <f t="shared" si="68"/>
        <v>0</v>
      </c>
      <c r="DU118" s="216">
        <f t="shared" si="68"/>
        <v>0</v>
      </c>
      <c r="DV118" s="216">
        <f t="shared" si="68"/>
        <v>0</v>
      </c>
    </row>
    <row r="119" spans="2:126" ht="11.25" customHeight="1">
      <c r="B119" s="237" t="s">
        <v>471</v>
      </c>
      <c r="C119" s="238"/>
      <c r="D119" s="238"/>
      <c r="E119" s="238"/>
      <c r="F119" s="238"/>
      <c r="G119" s="238"/>
      <c r="H119" s="239"/>
      <c r="I119" s="243">
        <f t="shared" ca="1" si="65"/>
        <v>6.999999999999984E-2</v>
      </c>
      <c r="J119" s="241">
        <f t="shared" ca="1" si="66"/>
        <v>16800000</v>
      </c>
      <c r="L119" s="235">
        <f ca="1">-L90</f>
        <v>-24000000</v>
      </c>
      <c r="M119" s="235">
        <f t="shared" ref="M119:BX119" ca="1" si="69">-M90</f>
        <v>1680000.0000000002</v>
      </c>
      <c r="N119" s="235">
        <f t="shared" ca="1" si="69"/>
        <v>1680000.0000000002</v>
      </c>
      <c r="O119" s="235">
        <f t="shared" ca="1" si="69"/>
        <v>1680000.0000000002</v>
      </c>
      <c r="P119" s="235">
        <f t="shared" ca="1" si="69"/>
        <v>1680000.0000000002</v>
      </c>
      <c r="Q119" s="235">
        <f t="shared" ca="1" si="69"/>
        <v>1680000.0000000002</v>
      </c>
      <c r="R119" s="235">
        <f t="shared" ca="1" si="69"/>
        <v>1680000.0000000002</v>
      </c>
      <c r="S119" s="235">
        <f t="shared" ca="1" si="69"/>
        <v>1680000.0000000002</v>
      </c>
      <c r="T119" s="235">
        <f t="shared" ca="1" si="69"/>
        <v>1680000.0000000002</v>
      </c>
      <c r="U119" s="235">
        <f t="shared" ca="1" si="69"/>
        <v>1680000.0000000002</v>
      </c>
      <c r="V119" s="235">
        <f t="shared" ca="1" si="69"/>
        <v>25680000</v>
      </c>
      <c r="W119" s="235">
        <f t="shared" ca="1" si="69"/>
        <v>0</v>
      </c>
      <c r="X119" s="235">
        <f t="shared" ca="1" si="69"/>
        <v>0</v>
      </c>
      <c r="Y119" s="235">
        <f t="shared" si="69"/>
        <v>0</v>
      </c>
      <c r="Z119" s="235">
        <f t="shared" si="69"/>
        <v>0</v>
      </c>
      <c r="AA119" s="235">
        <f t="shared" si="69"/>
        <v>0</v>
      </c>
      <c r="AB119" s="235">
        <f t="shared" si="69"/>
        <v>0</v>
      </c>
      <c r="AC119" s="235">
        <f t="shared" si="69"/>
        <v>0</v>
      </c>
      <c r="AD119" s="235">
        <f t="shared" si="69"/>
        <v>0</v>
      </c>
      <c r="AE119" s="235">
        <f t="shared" si="69"/>
        <v>0</v>
      </c>
      <c r="AF119" s="235">
        <f t="shared" si="69"/>
        <v>0</v>
      </c>
      <c r="AG119" s="235">
        <f t="shared" si="69"/>
        <v>0</v>
      </c>
      <c r="AH119" s="235">
        <f t="shared" si="69"/>
        <v>0</v>
      </c>
      <c r="AI119" s="235">
        <f t="shared" si="69"/>
        <v>0</v>
      </c>
      <c r="AJ119" s="235">
        <f t="shared" si="69"/>
        <v>0</v>
      </c>
      <c r="AK119" s="235">
        <f t="shared" si="69"/>
        <v>0</v>
      </c>
      <c r="AL119" s="235">
        <f t="shared" si="69"/>
        <v>0</v>
      </c>
      <c r="AM119" s="235">
        <f t="shared" si="69"/>
        <v>0</v>
      </c>
      <c r="AN119" s="235">
        <f t="shared" si="69"/>
        <v>0</v>
      </c>
      <c r="AO119" s="235">
        <f t="shared" si="69"/>
        <v>0</v>
      </c>
      <c r="AP119" s="235">
        <f t="shared" si="69"/>
        <v>0</v>
      </c>
      <c r="AQ119" s="235">
        <f t="shared" si="69"/>
        <v>0</v>
      </c>
      <c r="AR119" s="235">
        <f t="shared" si="69"/>
        <v>0</v>
      </c>
      <c r="AS119" s="235">
        <f t="shared" si="69"/>
        <v>0</v>
      </c>
      <c r="AT119" s="235">
        <f t="shared" si="69"/>
        <v>0</v>
      </c>
      <c r="AU119" s="235">
        <f t="shared" si="69"/>
        <v>0</v>
      </c>
      <c r="AV119" s="235">
        <f t="shared" si="69"/>
        <v>0</v>
      </c>
      <c r="AW119" s="235">
        <f t="shared" si="69"/>
        <v>0</v>
      </c>
      <c r="AX119" s="235">
        <f t="shared" si="69"/>
        <v>0</v>
      </c>
      <c r="AY119" s="235">
        <f t="shared" si="69"/>
        <v>0</v>
      </c>
      <c r="AZ119" s="235">
        <f t="shared" si="69"/>
        <v>0</v>
      </c>
      <c r="BA119" s="235">
        <f t="shared" si="69"/>
        <v>0</v>
      </c>
      <c r="BB119" s="235">
        <f t="shared" si="69"/>
        <v>0</v>
      </c>
      <c r="BC119" s="235">
        <f t="shared" si="69"/>
        <v>0</v>
      </c>
      <c r="BD119" s="235">
        <f t="shared" si="69"/>
        <v>0</v>
      </c>
      <c r="BE119" s="235">
        <f t="shared" si="69"/>
        <v>0</v>
      </c>
      <c r="BF119" s="235">
        <f t="shared" si="69"/>
        <v>0</v>
      </c>
      <c r="BG119" s="235">
        <f t="shared" si="69"/>
        <v>0</v>
      </c>
      <c r="BH119" s="235">
        <f t="shared" si="69"/>
        <v>0</v>
      </c>
      <c r="BI119" s="235">
        <f t="shared" si="69"/>
        <v>0</v>
      </c>
      <c r="BJ119" s="235">
        <f t="shared" si="69"/>
        <v>0</v>
      </c>
      <c r="BK119" s="235">
        <f t="shared" si="69"/>
        <v>0</v>
      </c>
      <c r="BL119" s="235">
        <f t="shared" si="69"/>
        <v>0</v>
      </c>
      <c r="BM119" s="235">
        <f t="shared" si="69"/>
        <v>0</v>
      </c>
      <c r="BN119" s="235">
        <f t="shared" si="69"/>
        <v>0</v>
      </c>
      <c r="BO119" s="235">
        <f t="shared" si="69"/>
        <v>0</v>
      </c>
      <c r="BP119" s="235">
        <f t="shared" si="69"/>
        <v>0</v>
      </c>
      <c r="BQ119" s="235">
        <f t="shared" si="69"/>
        <v>0</v>
      </c>
      <c r="BR119" s="235">
        <f t="shared" si="69"/>
        <v>0</v>
      </c>
      <c r="BS119" s="235">
        <f t="shared" si="69"/>
        <v>0</v>
      </c>
      <c r="BT119" s="235">
        <f t="shared" si="69"/>
        <v>0</v>
      </c>
      <c r="BU119" s="235">
        <f t="shared" si="69"/>
        <v>0</v>
      </c>
      <c r="BV119" s="235">
        <f t="shared" si="69"/>
        <v>0</v>
      </c>
      <c r="BW119" s="235">
        <f t="shared" si="69"/>
        <v>0</v>
      </c>
      <c r="BX119" s="235">
        <f t="shared" si="69"/>
        <v>0</v>
      </c>
      <c r="BY119" s="235">
        <f t="shared" ref="BY119:DV119" si="70">-BY90</f>
        <v>0</v>
      </c>
      <c r="BZ119" s="235">
        <f t="shared" si="70"/>
        <v>0</v>
      </c>
      <c r="CA119" s="235">
        <f t="shared" si="70"/>
        <v>0</v>
      </c>
      <c r="CB119" s="235">
        <f t="shared" si="70"/>
        <v>0</v>
      </c>
      <c r="CC119" s="235">
        <f t="shared" si="70"/>
        <v>0</v>
      </c>
      <c r="CD119" s="235">
        <f t="shared" si="70"/>
        <v>0</v>
      </c>
      <c r="CE119" s="235">
        <f t="shared" si="70"/>
        <v>0</v>
      </c>
      <c r="CF119" s="235">
        <f t="shared" si="70"/>
        <v>0</v>
      </c>
      <c r="CG119" s="235">
        <f t="shared" si="70"/>
        <v>0</v>
      </c>
      <c r="CH119" s="235">
        <f t="shared" si="70"/>
        <v>0</v>
      </c>
      <c r="CI119" s="235">
        <f t="shared" si="70"/>
        <v>0</v>
      </c>
      <c r="CJ119" s="235">
        <f t="shared" si="70"/>
        <v>0</v>
      </c>
      <c r="CK119" s="235">
        <f t="shared" si="70"/>
        <v>0</v>
      </c>
      <c r="CL119" s="235">
        <f t="shared" si="70"/>
        <v>0</v>
      </c>
      <c r="CM119" s="235">
        <f t="shared" si="70"/>
        <v>0</v>
      </c>
      <c r="CN119" s="235">
        <f t="shared" si="70"/>
        <v>0</v>
      </c>
      <c r="CO119" s="235">
        <f t="shared" si="70"/>
        <v>0</v>
      </c>
      <c r="CP119" s="235">
        <f t="shared" si="70"/>
        <v>0</v>
      </c>
      <c r="CQ119" s="235">
        <f t="shared" si="70"/>
        <v>0</v>
      </c>
      <c r="CR119" s="235">
        <f t="shared" si="70"/>
        <v>0</v>
      </c>
      <c r="CS119" s="235">
        <f t="shared" si="70"/>
        <v>0</v>
      </c>
      <c r="CT119" s="235">
        <f t="shared" si="70"/>
        <v>0</v>
      </c>
      <c r="CU119" s="235">
        <f t="shared" si="70"/>
        <v>0</v>
      </c>
      <c r="CV119" s="235">
        <f t="shared" si="70"/>
        <v>0</v>
      </c>
      <c r="CW119" s="235">
        <f t="shared" si="70"/>
        <v>0</v>
      </c>
      <c r="CX119" s="235">
        <f t="shared" si="70"/>
        <v>0</v>
      </c>
      <c r="CY119" s="235">
        <f t="shared" si="70"/>
        <v>0</v>
      </c>
      <c r="CZ119" s="235">
        <f t="shared" si="70"/>
        <v>0</v>
      </c>
      <c r="DA119" s="235">
        <f t="shared" si="70"/>
        <v>0</v>
      </c>
      <c r="DB119" s="235">
        <f t="shared" si="70"/>
        <v>0</v>
      </c>
      <c r="DC119" s="235">
        <f t="shared" si="70"/>
        <v>0</v>
      </c>
      <c r="DD119" s="235">
        <f t="shared" si="70"/>
        <v>0</v>
      </c>
      <c r="DE119" s="235">
        <f t="shared" si="70"/>
        <v>0</v>
      </c>
      <c r="DF119" s="235">
        <f t="shared" si="70"/>
        <v>0</v>
      </c>
      <c r="DG119" s="235">
        <f t="shared" si="70"/>
        <v>0</v>
      </c>
      <c r="DH119" s="235">
        <f t="shared" si="70"/>
        <v>0</v>
      </c>
      <c r="DI119" s="235">
        <f t="shared" si="70"/>
        <v>0</v>
      </c>
      <c r="DJ119" s="235">
        <f t="shared" si="70"/>
        <v>0</v>
      </c>
      <c r="DK119" s="235">
        <f t="shared" si="70"/>
        <v>0</v>
      </c>
      <c r="DL119" s="235">
        <f t="shared" si="70"/>
        <v>0</v>
      </c>
      <c r="DM119" s="235">
        <f t="shared" si="70"/>
        <v>0</v>
      </c>
      <c r="DN119" s="235">
        <f t="shared" si="70"/>
        <v>0</v>
      </c>
      <c r="DO119" s="235">
        <f t="shared" si="70"/>
        <v>0</v>
      </c>
      <c r="DP119" s="235">
        <f t="shared" si="70"/>
        <v>0</v>
      </c>
      <c r="DQ119" s="235">
        <f t="shared" si="70"/>
        <v>0</v>
      </c>
      <c r="DR119" s="235">
        <f t="shared" si="70"/>
        <v>0</v>
      </c>
      <c r="DS119" s="235">
        <f t="shared" si="70"/>
        <v>0</v>
      </c>
      <c r="DT119" s="235">
        <f t="shared" si="70"/>
        <v>0</v>
      </c>
      <c r="DU119" s="235">
        <f t="shared" si="70"/>
        <v>0</v>
      </c>
      <c r="DV119" s="235">
        <f t="shared" si="70"/>
        <v>0</v>
      </c>
    </row>
    <row r="120" spans="2:126" ht="11.25" customHeight="1">
      <c r="B120" s="211" t="str">
        <f>'CF(M)'!B127</f>
        <v>2종 우선주 CF_매각차익 제외</v>
      </c>
      <c r="C120" s="212"/>
      <c r="D120" s="212"/>
      <c r="E120" s="212"/>
      <c r="F120" s="212"/>
      <c r="G120" s="212"/>
      <c r="H120" s="213"/>
      <c r="I120" s="242">
        <f t="shared" ca="1" si="65"/>
        <v>7.4613454141676527E-2</v>
      </c>
      <c r="J120" s="216">
        <f t="shared" ca="1" si="66"/>
        <v>37500000</v>
      </c>
      <c r="L120" s="216">
        <f ca="1">-(L95-L99)</f>
        <v>-50000000</v>
      </c>
      <c r="M120" s="216">
        <f t="shared" ref="M120:BX120" ca="1" si="71">-(M95-M99)</f>
        <v>3750000</v>
      </c>
      <c r="N120" s="216">
        <f t="shared" ca="1" si="71"/>
        <v>3750000</v>
      </c>
      <c r="O120" s="216">
        <f t="shared" ca="1" si="71"/>
        <v>3750000</v>
      </c>
      <c r="P120" s="216">
        <f t="shared" ca="1" si="71"/>
        <v>3275764.0118692792</v>
      </c>
      <c r="Q120" s="216">
        <f t="shared" ca="1" si="71"/>
        <v>2988019.9322713865</v>
      </c>
      <c r="R120" s="216">
        <f t="shared" ca="1" si="71"/>
        <v>4064145.0865494525</v>
      </c>
      <c r="S120" s="216">
        <f t="shared" ca="1" si="71"/>
        <v>4511487.8356066123</v>
      </c>
      <c r="T120" s="216">
        <f t="shared" ca="1" si="71"/>
        <v>3910583.1337032691</v>
      </c>
      <c r="U120" s="216">
        <f t="shared" ca="1" si="71"/>
        <v>3750000</v>
      </c>
      <c r="V120" s="216">
        <f t="shared" ca="1" si="71"/>
        <v>53750000</v>
      </c>
      <c r="W120" s="216">
        <f t="shared" ca="1" si="71"/>
        <v>0</v>
      </c>
      <c r="X120" s="216">
        <f t="shared" ca="1" si="71"/>
        <v>0</v>
      </c>
      <c r="Y120" s="216">
        <f t="shared" si="71"/>
        <v>0</v>
      </c>
      <c r="Z120" s="216">
        <f t="shared" si="71"/>
        <v>0</v>
      </c>
      <c r="AA120" s="216">
        <f t="shared" si="71"/>
        <v>0</v>
      </c>
      <c r="AB120" s="216">
        <f t="shared" si="71"/>
        <v>0</v>
      </c>
      <c r="AC120" s="216">
        <f t="shared" si="71"/>
        <v>0</v>
      </c>
      <c r="AD120" s="216">
        <f t="shared" si="71"/>
        <v>0</v>
      </c>
      <c r="AE120" s="216">
        <f t="shared" si="71"/>
        <v>0</v>
      </c>
      <c r="AF120" s="216">
        <f t="shared" si="71"/>
        <v>0</v>
      </c>
      <c r="AG120" s="216">
        <f t="shared" si="71"/>
        <v>0</v>
      </c>
      <c r="AH120" s="216">
        <f t="shared" si="71"/>
        <v>0</v>
      </c>
      <c r="AI120" s="216">
        <f t="shared" si="71"/>
        <v>0</v>
      </c>
      <c r="AJ120" s="216">
        <f t="shared" si="71"/>
        <v>0</v>
      </c>
      <c r="AK120" s="216">
        <f t="shared" si="71"/>
        <v>0</v>
      </c>
      <c r="AL120" s="216">
        <f t="shared" si="71"/>
        <v>0</v>
      </c>
      <c r="AM120" s="216">
        <f t="shared" si="71"/>
        <v>0</v>
      </c>
      <c r="AN120" s="216">
        <f t="shared" si="71"/>
        <v>0</v>
      </c>
      <c r="AO120" s="216">
        <f t="shared" si="71"/>
        <v>0</v>
      </c>
      <c r="AP120" s="216">
        <f t="shared" si="71"/>
        <v>0</v>
      </c>
      <c r="AQ120" s="216">
        <f t="shared" si="71"/>
        <v>0</v>
      </c>
      <c r="AR120" s="216">
        <f t="shared" si="71"/>
        <v>0</v>
      </c>
      <c r="AS120" s="216">
        <f t="shared" si="71"/>
        <v>0</v>
      </c>
      <c r="AT120" s="216">
        <f t="shared" si="71"/>
        <v>0</v>
      </c>
      <c r="AU120" s="216">
        <f t="shared" si="71"/>
        <v>0</v>
      </c>
      <c r="AV120" s="216">
        <f t="shared" si="71"/>
        <v>0</v>
      </c>
      <c r="AW120" s="216">
        <f t="shared" si="71"/>
        <v>0</v>
      </c>
      <c r="AX120" s="216">
        <f t="shared" si="71"/>
        <v>0</v>
      </c>
      <c r="AY120" s="216">
        <f t="shared" si="71"/>
        <v>0</v>
      </c>
      <c r="AZ120" s="216">
        <f t="shared" si="71"/>
        <v>0</v>
      </c>
      <c r="BA120" s="216">
        <f t="shared" si="71"/>
        <v>0</v>
      </c>
      <c r="BB120" s="216">
        <f t="shared" si="71"/>
        <v>0</v>
      </c>
      <c r="BC120" s="216">
        <f t="shared" si="71"/>
        <v>0</v>
      </c>
      <c r="BD120" s="216">
        <f t="shared" si="71"/>
        <v>0</v>
      </c>
      <c r="BE120" s="216">
        <f t="shared" si="71"/>
        <v>0</v>
      </c>
      <c r="BF120" s="216">
        <f t="shared" si="71"/>
        <v>0</v>
      </c>
      <c r="BG120" s="216">
        <f t="shared" si="71"/>
        <v>0</v>
      </c>
      <c r="BH120" s="216">
        <f t="shared" si="71"/>
        <v>0</v>
      </c>
      <c r="BI120" s="216">
        <f t="shared" si="71"/>
        <v>0</v>
      </c>
      <c r="BJ120" s="216">
        <f t="shared" si="71"/>
        <v>0</v>
      </c>
      <c r="BK120" s="216">
        <f t="shared" si="71"/>
        <v>0</v>
      </c>
      <c r="BL120" s="216">
        <f t="shared" si="71"/>
        <v>0</v>
      </c>
      <c r="BM120" s="216">
        <f t="shared" si="71"/>
        <v>0</v>
      </c>
      <c r="BN120" s="216">
        <f t="shared" si="71"/>
        <v>0</v>
      </c>
      <c r="BO120" s="216">
        <f t="shared" si="71"/>
        <v>0</v>
      </c>
      <c r="BP120" s="216">
        <f t="shared" si="71"/>
        <v>0</v>
      </c>
      <c r="BQ120" s="216">
        <f t="shared" si="71"/>
        <v>0</v>
      </c>
      <c r="BR120" s="216">
        <f t="shared" si="71"/>
        <v>0</v>
      </c>
      <c r="BS120" s="216">
        <f t="shared" si="71"/>
        <v>0</v>
      </c>
      <c r="BT120" s="216">
        <f t="shared" si="71"/>
        <v>0</v>
      </c>
      <c r="BU120" s="216">
        <f t="shared" si="71"/>
        <v>0</v>
      </c>
      <c r="BV120" s="216">
        <f t="shared" si="71"/>
        <v>0</v>
      </c>
      <c r="BW120" s="216">
        <f t="shared" si="71"/>
        <v>0</v>
      </c>
      <c r="BX120" s="216">
        <f t="shared" si="71"/>
        <v>0</v>
      </c>
      <c r="BY120" s="216">
        <f t="shared" ref="BY120:DV120" si="72">-(BY95-BY99)</f>
        <v>0</v>
      </c>
      <c r="BZ120" s="216">
        <f t="shared" si="72"/>
        <v>0</v>
      </c>
      <c r="CA120" s="216">
        <f t="shared" si="72"/>
        <v>0</v>
      </c>
      <c r="CB120" s="216">
        <f t="shared" si="72"/>
        <v>0</v>
      </c>
      <c r="CC120" s="216">
        <f t="shared" si="72"/>
        <v>0</v>
      </c>
      <c r="CD120" s="216">
        <f t="shared" si="72"/>
        <v>0</v>
      </c>
      <c r="CE120" s="216">
        <f t="shared" si="72"/>
        <v>0</v>
      </c>
      <c r="CF120" s="216">
        <f t="shared" si="72"/>
        <v>0</v>
      </c>
      <c r="CG120" s="216">
        <f t="shared" si="72"/>
        <v>0</v>
      </c>
      <c r="CH120" s="216">
        <f t="shared" si="72"/>
        <v>0</v>
      </c>
      <c r="CI120" s="216">
        <f t="shared" si="72"/>
        <v>0</v>
      </c>
      <c r="CJ120" s="216">
        <f t="shared" si="72"/>
        <v>0</v>
      </c>
      <c r="CK120" s="216">
        <f t="shared" si="72"/>
        <v>0</v>
      </c>
      <c r="CL120" s="216">
        <f t="shared" si="72"/>
        <v>0</v>
      </c>
      <c r="CM120" s="216">
        <f t="shared" si="72"/>
        <v>0</v>
      </c>
      <c r="CN120" s="216">
        <f t="shared" si="72"/>
        <v>0</v>
      </c>
      <c r="CO120" s="216">
        <f t="shared" si="72"/>
        <v>0</v>
      </c>
      <c r="CP120" s="216">
        <f t="shared" si="72"/>
        <v>0</v>
      </c>
      <c r="CQ120" s="216">
        <f t="shared" si="72"/>
        <v>0</v>
      </c>
      <c r="CR120" s="216">
        <f t="shared" si="72"/>
        <v>0</v>
      </c>
      <c r="CS120" s="216">
        <f t="shared" si="72"/>
        <v>0</v>
      </c>
      <c r="CT120" s="216">
        <f t="shared" si="72"/>
        <v>0</v>
      </c>
      <c r="CU120" s="216">
        <f t="shared" si="72"/>
        <v>0</v>
      </c>
      <c r="CV120" s="216">
        <f t="shared" si="72"/>
        <v>0</v>
      </c>
      <c r="CW120" s="216">
        <f t="shared" si="72"/>
        <v>0</v>
      </c>
      <c r="CX120" s="216">
        <f t="shared" si="72"/>
        <v>0</v>
      </c>
      <c r="CY120" s="216">
        <f t="shared" si="72"/>
        <v>0</v>
      </c>
      <c r="CZ120" s="216">
        <f t="shared" si="72"/>
        <v>0</v>
      </c>
      <c r="DA120" s="216">
        <f t="shared" si="72"/>
        <v>0</v>
      </c>
      <c r="DB120" s="216">
        <f t="shared" si="72"/>
        <v>0</v>
      </c>
      <c r="DC120" s="216">
        <f t="shared" si="72"/>
        <v>0</v>
      </c>
      <c r="DD120" s="216">
        <f t="shared" si="72"/>
        <v>0</v>
      </c>
      <c r="DE120" s="216">
        <f t="shared" si="72"/>
        <v>0</v>
      </c>
      <c r="DF120" s="216">
        <f t="shared" si="72"/>
        <v>0</v>
      </c>
      <c r="DG120" s="216">
        <f t="shared" si="72"/>
        <v>0</v>
      </c>
      <c r="DH120" s="216">
        <f t="shared" si="72"/>
        <v>0</v>
      </c>
      <c r="DI120" s="216">
        <f t="shared" si="72"/>
        <v>0</v>
      </c>
      <c r="DJ120" s="216">
        <f t="shared" si="72"/>
        <v>0</v>
      </c>
      <c r="DK120" s="216">
        <f t="shared" si="72"/>
        <v>0</v>
      </c>
      <c r="DL120" s="216">
        <f t="shared" si="72"/>
        <v>0</v>
      </c>
      <c r="DM120" s="216">
        <f t="shared" si="72"/>
        <v>0</v>
      </c>
      <c r="DN120" s="216">
        <f t="shared" si="72"/>
        <v>0</v>
      </c>
      <c r="DO120" s="216">
        <f t="shared" si="72"/>
        <v>0</v>
      </c>
      <c r="DP120" s="216">
        <f t="shared" si="72"/>
        <v>0</v>
      </c>
      <c r="DQ120" s="216">
        <f t="shared" si="72"/>
        <v>0</v>
      </c>
      <c r="DR120" s="216">
        <f t="shared" si="72"/>
        <v>0</v>
      </c>
      <c r="DS120" s="216">
        <f t="shared" si="72"/>
        <v>0</v>
      </c>
      <c r="DT120" s="216">
        <f t="shared" si="72"/>
        <v>0</v>
      </c>
      <c r="DU120" s="216">
        <f t="shared" si="72"/>
        <v>0</v>
      </c>
      <c r="DV120" s="216">
        <f t="shared" si="72"/>
        <v>0</v>
      </c>
    </row>
    <row r="121" spans="2:126" ht="11.25" customHeight="1">
      <c r="B121" s="237" t="str">
        <f>'CF(M)'!B128</f>
        <v>2종 우선주 CF_매각차익 포함</v>
      </c>
      <c r="C121" s="238"/>
      <c r="D121" s="238"/>
      <c r="E121" s="238"/>
      <c r="F121" s="238"/>
      <c r="G121" s="238"/>
      <c r="H121" s="239"/>
      <c r="I121" s="243">
        <f t="shared" ca="1" si="65"/>
        <v>9.0031192296739837E-2</v>
      </c>
      <c r="J121" s="241">
        <f t="shared" ca="1" si="66"/>
        <v>49267613.337566942</v>
      </c>
      <c r="L121" s="235">
        <f ca="1">-L95</f>
        <v>-50000000</v>
      </c>
      <c r="M121" s="235">
        <f t="shared" ref="M121:BX121" ca="1" si="73">-M95</f>
        <v>3750000</v>
      </c>
      <c r="N121" s="235">
        <f t="shared" ca="1" si="73"/>
        <v>3750000</v>
      </c>
      <c r="O121" s="235">
        <f t="shared" ca="1" si="73"/>
        <v>3750000</v>
      </c>
      <c r="P121" s="235">
        <f t="shared" ca="1" si="73"/>
        <v>3275764.0118692792</v>
      </c>
      <c r="Q121" s="235">
        <f t="shared" ca="1" si="73"/>
        <v>2988019.9322713865</v>
      </c>
      <c r="R121" s="235">
        <f t="shared" ca="1" si="73"/>
        <v>4064145.0865494525</v>
      </c>
      <c r="S121" s="235">
        <f t="shared" ca="1" si="73"/>
        <v>4511487.8356066123</v>
      </c>
      <c r="T121" s="235">
        <f t="shared" ca="1" si="73"/>
        <v>3910583.1337032691</v>
      </c>
      <c r="U121" s="235">
        <f t="shared" ca="1" si="73"/>
        <v>3750000</v>
      </c>
      <c r="V121" s="235">
        <f t="shared" ca="1" si="73"/>
        <v>65517613.337566935</v>
      </c>
      <c r="W121" s="235">
        <f t="shared" ca="1" si="73"/>
        <v>0</v>
      </c>
      <c r="X121" s="235">
        <f t="shared" ca="1" si="73"/>
        <v>0</v>
      </c>
      <c r="Y121" s="235">
        <f t="shared" si="73"/>
        <v>0</v>
      </c>
      <c r="Z121" s="235">
        <f t="shared" si="73"/>
        <v>0</v>
      </c>
      <c r="AA121" s="235">
        <f t="shared" si="73"/>
        <v>0</v>
      </c>
      <c r="AB121" s="235">
        <f t="shared" si="73"/>
        <v>0</v>
      </c>
      <c r="AC121" s="235">
        <f t="shared" si="73"/>
        <v>0</v>
      </c>
      <c r="AD121" s="235">
        <f t="shared" si="73"/>
        <v>0</v>
      </c>
      <c r="AE121" s="235">
        <f t="shared" si="73"/>
        <v>0</v>
      </c>
      <c r="AF121" s="235">
        <f t="shared" si="73"/>
        <v>0</v>
      </c>
      <c r="AG121" s="235">
        <f t="shared" si="73"/>
        <v>0</v>
      </c>
      <c r="AH121" s="235">
        <f t="shared" si="73"/>
        <v>0</v>
      </c>
      <c r="AI121" s="235">
        <f t="shared" si="73"/>
        <v>0</v>
      </c>
      <c r="AJ121" s="235">
        <f t="shared" si="73"/>
        <v>0</v>
      </c>
      <c r="AK121" s="235">
        <f t="shared" si="73"/>
        <v>0</v>
      </c>
      <c r="AL121" s="235">
        <f t="shared" si="73"/>
        <v>0</v>
      </c>
      <c r="AM121" s="235">
        <f t="shared" si="73"/>
        <v>0</v>
      </c>
      <c r="AN121" s="235">
        <f t="shared" si="73"/>
        <v>0</v>
      </c>
      <c r="AO121" s="235">
        <f t="shared" si="73"/>
        <v>0</v>
      </c>
      <c r="AP121" s="235">
        <f t="shared" si="73"/>
        <v>0</v>
      </c>
      <c r="AQ121" s="235">
        <f t="shared" si="73"/>
        <v>0</v>
      </c>
      <c r="AR121" s="235">
        <f t="shared" si="73"/>
        <v>0</v>
      </c>
      <c r="AS121" s="235">
        <f t="shared" si="73"/>
        <v>0</v>
      </c>
      <c r="AT121" s="235">
        <f t="shared" si="73"/>
        <v>0</v>
      </c>
      <c r="AU121" s="235">
        <f t="shared" si="73"/>
        <v>0</v>
      </c>
      <c r="AV121" s="235">
        <f t="shared" si="73"/>
        <v>0</v>
      </c>
      <c r="AW121" s="235">
        <f t="shared" si="73"/>
        <v>0</v>
      </c>
      <c r="AX121" s="235">
        <f t="shared" si="73"/>
        <v>0</v>
      </c>
      <c r="AY121" s="235">
        <f t="shared" si="73"/>
        <v>0</v>
      </c>
      <c r="AZ121" s="235">
        <f t="shared" si="73"/>
        <v>0</v>
      </c>
      <c r="BA121" s="235">
        <f t="shared" si="73"/>
        <v>0</v>
      </c>
      <c r="BB121" s="235">
        <f t="shared" si="73"/>
        <v>0</v>
      </c>
      <c r="BC121" s="235">
        <f t="shared" si="73"/>
        <v>0</v>
      </c>
      <c r="BD121" s="235">
        <f t="shared" si="73"/>
        <v>0</v>
      </c>
      <c r="BE121" s="235">
        <f t="shared" si="73"/>
        <v>0</v>
      </c>
      <c r="BF121" s="235">
        <f t="shared" si="73"/>
        <v>0</v>
      </c>
      <c r="BG121" s="235">
        <f t="shared" si="73"/>
        <v>0</v>
      </c>
      <c r="BH121" s="235">
        <f t="shared" si="73"/>
        <v>0</v>
      </c>
      <c r="BI121" s="235">
        <f t="shared" si="73"/>
        <v>0</v>
      </c>
      <c r="BJ121" s="235">
        <f t="shared" si="73"/>
        <v>0</v>
      </c>
      <c r="BK121" s="235">
        <f t="shared" si="73"/>
        <v>0</v>
      </c>
      <c r="BL121" s="235">
        <f t="shared" si="73"/>
        <v>0</v>
      </c>
      <c r="BM121" s="235">
        <f t="shared" si="73"/>
        <v>0</v>
      </c>
      <c r="BN121" s="235">
        <f t="shared" si="73"/>
        <v>0</v>
      </c>
      <c r="BO121" s="235">
        <f t="shared" si="73"/>
        <v>0</v>
      </c>
      <c r="BP121" s="235">
        <f t="shared" si="73"/>
        <v>0</v>
      </c>
      <c r="BQ121" s="235">
        <f t="shared" si="73"/>
        <v>0</v>
      </c>
      <c r="BR121" s="235">
        <f t="shared" si="73"/>
        <v>0</v>
      </c>
      <c r="BS121" s="235">
        <f t="shared" si="73"/>
        <v>0</v>
      </c>
      <c r="BT121" s="235">
        <f t="shared" si="73"/>
        <v>0</v>
      </c>
      <c r="BU121" s="235">
        <f t="shared" si="73"/>
        <v>0</v>
      </c>
      <c r="BV121" s="235">
        <f t="shared" si="73"/>
        <v>0</v>
      </c>
      <c r="BW121" s="235">
        <f t="shared" si="73"/>
        <v>0</v>
      </c>
      <c r="BX121" s="235">
        <f t="shared" si="73"/>
        <v>0</v>
      </c>
      <c r="BY121" s="235">
        <f t="shared" ref="BY121:DV121" si="74">-BY95</f>
        <v>0</v>
      </c>
      <c r="BZ121" s="235">
        <f t="shared" si="74"/>
        <v>0</v>
      </c>
      <c r="CA121" s="235">
        <f t="shared" si="74"/>
        <v>0</v>
      </c>
      <c r="CB121" s="235">
        <f t="shared" si="74"/>
        <v>0</v>
      </c>
      <c r="CC121" s="235">
        <f t="shared" si="74"/>
        <v>0</v>
      </c>
      <c r="CD121" s="235">
        <f t="shared" si="74"/>
        <v>0</v>
      </c>
      <c r="CE121" s="235">
        <f t="shared" si="74"/>
        <v>0</v>
      </c>
      <c r="CF121" s="235">
        <f t="shared" si="74"/>
        <v>0</v>
      </c>
      <c r="CG121" s="235">
        <f t="shared" si="74"/>
        <v>0</v>
      </c>
      <c r="CH121" s="235">
        <f t="shared" si="74"/>
        <v>0</v>
      </c>
      <c r="CI121" s="235">
        <f t="shared" si="74"/>
        <v>0</v>
      </c>
      <c r="CJ121" s="235">
        <f t="shared" si="74"/>
        <v>0</v>
      </c>
      <c r="CK121" s="235">
        <f t="shared" si="74"/>
        <v>0</v>
      </c>
      <c r="CL121" s="235">
        <f t="shared" si="74"/>
        <v>0</v>
      </c>
      <c r="CM121" s="235">
        <f t="shared" si="74"/>
        <v>0</v>
      </c>
      <c r="CN121" s="235">
        <f t="shared" si="74"/>
        <v>0</v>
      </c>
      <c r="CO121" s="235">
        <f t="shared" si="74"/>
        <v>0</v>
      </c>
      <c r="CP121" s="235">
        <f t="shared" si="74"/>
        <v>0</v>
      </c>
      <c r="CQ121" s="235">
        <f t="shared" si="74"/>
        <v>0</v>
      </c>
      <c r="CR121" s="235">
        <f t="shared" si="74"/>
        <v>0</v>
      </c>
      <c r="CS121" s="235">
        <f t="shared" si="74"/>
        <v>0</v>
      </c>
      <c r="CT121" s="235">
        <f t="shared" si="74"/>
        <v>0</v>
      </c>
      <c r="CU121" s="235">
        <f t="shared" si="74"/>
        <v>0</v>
      </c>
      <c r="CV121" s="235">
        <f t="shared" si="74"/>
        <v>0</v>
      </c>
      <c r="CW121" s="235">
        <f t="shared" si="74"/>
        <v>0</v>
      </c>
      <c r="CX121" s="235">
        <f t="shared" si="74"/>
        <v>0</v>
      </c>
      <c r="CY121" s="235">
        <f t="shared" si="74"/>
        <v>0</v>
      </c>
      <c r="CZ121" s="235">
        <f t="shared" si="74"/>
        <v>0</v>
      </c>
      <c r="DA121" s="235">
        <f t="shared" si="74"/>
        <v>0</v>
      </c>
      <c r="DB121" s="235">
        <f t="shared" si="74"/>
        <v>0</v>
      </c>
      <c r="DC121" s="235">
        <f t="shared" si="74"/>
        <v>0</v>
      </c>
      <c r="DD121" s="235">
        <f t="shared" si="74"/>
        <v>0</v>
      </c>
      <c r="DE121" s="235">
        <f t="shared" si="74"/>
        <v>0</v>
      </c>
      <c r="DF121" s="235">
        <f t="shared" si="74"/>
        <v>0</v>
      </c>
      <c r="DG121" s="235">
        <f t="shared" si="74"/>
        <v>0</v>
      </c>
      <c r="DH121" s="235">
        <f t="shared" si="74"/>
        <v>0</v>
      </c>
      <c r="DI121" s="235">
        <f t="shared" si="74"/>
        <v>0</v>
      </c>
      <c r="DJ121" s="235">
        <f t="shared" si="74"/>
        <v>0</v>
      </c>
      <c r="DK121" s="235">
        <f t="shared" si="74"/>
        <v>0</v>
      </c>
      <c r="DL121" s="235">
        <f t="shared" si="74"/>
        <v>0</v>
      </c>
      <c r="DM121" s="235">
        <f t="shared" si="74"/>
        <v>0</v>
      </c>
      <c r="DN121" s="235">
        <f t="shared" si="74"/>
        <v>0</v>
      </c>
      <c r="DO121" s="235">
        <f t="shared" si="74"/>
        <v>0</v>
      </c>
      <c r="DP121" s="235">
        <f t="shared" si="74"/>
        <v>0</v>
      </c>
      <c r="DQ121" s="235">
        <f t="shared" si="74"/>
        <v>0</v>
      </c>
      <c r="DR121" s="235">
        <f t="shared" si="74"/>
        <v>0</v>
      </c>
      <c r="DS121" s="235">
        <f t="shared" si="74"/>
        <v>0</v>
      </c>
      <c r="DT121" s="235">
        <f t="shared" si="74"/>
        <v>0</v>
      </c>
      <c r="DU121" s="235">
        <f t="shared" si="74"/>
        <v>0</v>
      </c>
      <c r="DV121" s="235">
        <f t="shared" si="74"/>
        <v>0</v>
      </c>
    </row>
    <row r="122" spans="2:126" ht="11.25" customHeight="1">
      <c r="B122" s="211" t="str">
        <f>'CF(M)'!B129</f>
        <v>3종 우선주 CF_매각차익 제외</v>
      </c>
      <c r="C122" s="212"/>
      <c r="D122" s="212"/>
      <c r="E122" s="212"/>
      <c r="F122" s="212"/>
      <c r="G122" s="212"/>
      <c r="H122" s="213"/>
      <c r="I122" s="242">
        <f t="shared" si="65"/>
        <v>4.4408920985006262E-16</v>
      </c>
      <c r="J122" s="216">
        <f t="shared" si="66"/>
        <v>0</v>
      </c>
      <c r="L122" s="216">
        <f>-(L100-L104)</f>
        <v>-10000000</v>
      </c>
      <c r="M122" s="216">
        <f t="shared" ref="M122:BX122" si="75">-(M100-M104)</f>
        <v>0</v>
      </c>
      <c r="N122" s="216">
        <f t="shared" si="75"/>
        <v>10000000</v>
      </c>
      <c r="O122" s="216">
        <f t="shared" si="75"/>
        <v>0</v>
      </c>
      <c r="P122" s="216">
        <f t="shared" si="75"/>
        <v>0</v>
      </c>
      <c r="Q122" s="216">
        <f t="shared" si="75"/>
        <v>0</v>
      </c>
      <c r="R122" s="216">
        <f t="shared" si="75"/>
        <v>0</v>
      </c>
      <c r="S122" s="216">
        <f t="shared" si="75"/>
        <v>0</v>
      </c>
      <c r="T122" s="216">
        <f t="shared" si="75"/>
        <v>0</v>
      </c>
      <c r="U122" s="216">
        <f t="shared" si="75"/>
        <v>0</v>
      </c>
      <c r="V122" s="216">
        <f t="shared" si="75"/>
        <v>0</v>
      </c>
      <c r="W122" s="216">
        <f t="shared" si="75"/>
        <v>0</v>
      </c>
      <c r="X122" s="216">
        <f t="shared" si="75"/>
        <v>0</v>
      </c>
      <c r="Y122" s="216">
        <f t="shared" si="75"/>
        <v>0</v>
      </c>
      <c r="Z122" s="216">
        <f t="shared" si="75"/>
        <v>0</v>
      </c>
      <c r="AA122" s="216">
        <f t="shared" si="75"/>
        <v>0</v>
      </c>
      <c r="AB122" s="216">
        <f t="shared" si="75"/>
        <v>0</v>
      </c>
      <c r="AC122" s="216">
        <f t="shared" si="75"/>
        <v>0</v>
      </c>
      <c r="AD122" s="216">
        <f t="shared" si="75"/>
        <v>0</v>
      </c>
      <c r="AE122" s="216">
        <f t="shared" si="75"/>
        <v>0</v>
      </c>
      <c r="AF122" s="216">
        <f t="shared" si="75"/>
        <v>0</v>
      </c>
      <c r="AG122" s="216">
        <f t="shared" si="75"/>
        <v>0</v>
      </c>
      <c r="AH122" s="216">
        <f t="shared" si="75"/>
        <v>0</v>
      </c>
      <c r="AI122" s="216">
        <f t="shared" si="75"/>
        <v>0</v>
      </c>
      <c r="AJ122" s="216">
        <f t="shared" si="75"/>
        <v>0</v>
      </c>
      <c r="AK122" s="216">
        <f t="shared" si="75"/>
        <v>0</v>
      </c>
      <c r="AL122" s="216">
        <f t="shared" si="75"/>
        <v>0</v>
      </c>
      <c r="AM122" s="216">
        <f t="shared" si="75"/>
        <v>0</v>
      </c>
      <c r="AN122" s="216">
        <f t="shared" si="75"/>
        <v>0</v>
      </c>
      <c r="AO122" s="216">
        <f t="shared" si="75"/>
        <v>0</v>
      </c>
      <c r="AP122" s="216">
        <f t="shared" si="75"/>
        <v>0</v>
      </c>
      <c r="AQ122" s="216">
        <f t="shared" si="75"/>
        <v>0</v>
      </c>
      <c r="AR122" s="216">
        <f t="shared" si="75"/>
        <v>0</v>
      </c>
      <c r="AS122" s="216">
        <f t="shared" si="75"/>
        <v>0</v>
      </c>
      <c r="AT122" s="216">
        <f t="shared" si="75"/>
        <v>0</v>
      </c>
      <c r="AU122" s="216">
        <f t="shared" si="75"/>
        <v>0</v>
      </c>
      <c r="AV122" s="216">
        <f t="shared" si="75"/>
        <v>0</v>
      </c>
      <c r="AW122" s="216">
        <f t="shared" si="75"/>
        <v>0</v>
      </c>
      <c r="AX122" s="216">
        <f t="shared" si="75"/>
        <v>0</v>
      </c>
      <c r="AY122" s="216">
        <f t="shared" si="75"/>
        <v>0</v>
      </c>
      <c r="AZ122" s="216">
        <f t="shared" si="75"/>
        <v>0</v>
      </c>
      <c r="BA122" s="216">
        <f t="shared" si="75"/>
        <v>0</v>
      </c>
      <c r="BB122" s="216">
        <f t="shared" si="75"/>
        <v>0</v>
      </c>
      <c r="BC122" s="216">
        <f t="shared" si="75"/>
        <v>0</v>
      </c>
      <c r="BD122" s="216">
        <f t="shared" si="75"/>
        <v>0</v>
      </c>
      <c r="BE122" s="216">
        <f t="shared" si="75"/>
        <v>0</v>
      </c>
      <c r="BF122" s="216">
        <f t="shared" si="75"/>
        <v>0</v>
      </c>
      <c r="BG122" s="216">
        <f t="shared" si="75"/>
        <v>0</v>
      </c>
      <c r="BH122" s="216">
        <f t="shared" si="75"/>
        <v>0</v>
      </c>
      <c r="BI122" s="216">
        <f t="shared" si="75"/>
        <v>0</v>
      </c>
      <c r="BJ122" s="216">
        <f t="shared" si="75"/>
        <v>0</v>
      </c>
      <c r="BK122" s="216">
        <f t="shared" si="75"/>
        <v>0</v>
      </c>
      <c r="BL122" s="216">
        <f t="shared" si="75"/>
        <v>0</v>
      </c>
      <c r="BM122" s="216">
        <f t="shared" si="75"/>
        <v>0</v>
      </c>
      <c r="BN122" s="216">
        <f t="shared" si="75"/>
        <v>0</v>
      </c>
      <c r="BO122" s="216">
        <f t="shared" si="75"/>
        <v>0</v>
      </c>
      <c r="BP122" s="216">
        <f t="shared" si="75"/>
        <v>0</v>
      </c>
      <c r="BQ122" s="216">
        <f t="shared" si="75"/>
        <v>0</v>
      </c>
      <c r="BR122" s="216">
        <f t="shared" si="75"/>
        <v>0</v>
      </c>
      <c r="BS122" s="216">
        <f t="shared" si="75"/>
        <v>0</v>
      </c>
      <c r="BT122" s="216">
        <f t="shared" si="75"/>
        <v>0</v>
      </c>
      <c r="BU122" s="216">
        <f t="shared" si="75"/>
        <v>0</v>
      </c>
      <c r="BV122" s="216">
        <f t="shared" si="75"/>
        <v>0</v>
      </c>
      <c r="BW122" s="216">
        <f t="shared" si="75"/>
        <v>0</v>
      </c>
      <c r="BX122" s="216">
        <f t="shared" si="75"/>
        <v>0</v>
      </c>
      <c r="BY122" s="216">
        <f t="shared" ref="BY122:DV122" si="76">-(BY100-BY104)</f>
        <v>0</v>
      </c>
      <c r="BZ122" s="216">
        <f t="shared" si="76"/>
        <v>0</v>
      </c>
      <c r="CA122" s="216">
        <f t="shared" si="76"/>
        <v>0</v>
      </c>
      <c r="CB122" s="216">
        <f t="shared" si="76"/>
        <v>0</v>
      </c>
      <c r="CC122" s="216">
        <f t="shared" si="76"/>
        <v>0</v>
      </c>
      <c r="CD122" s="216">
        <f t="shared" si="76"/>
        <v>0</v>
      </c>
      <c r="CE122" s="216">
        <f t="shared" si="76"/>
        <v>0</v>
      </c>
      <c r="CF122" s="216">
        <f t="shared" si="76"/>
        <v>0</v>
      </c>
      <c r="CG122" s="216">
        <f t="shared" si="76"/>
        <v>0</v>
      </c>
      <c r="CH122" s="216">
        <f t="shared" si="76"/>
        <v>0</v>
      </c>
      <c r="CI122" s="216">
        <f t="shared" si="76"/>
        <v>0</v>
      </c>
      <c r="CJ122" s="216">
        <f t="shared" si="76"/>
        <v>0</v>
      </c>
      <c r="CK122" s="216">
        <f t="shared" si="76"/>
        <v>0</v>
      </c>
      <c r="CL122" s="216">
        <f t="shared" si="76"/>
        <v>0</v>
      </c>
      <c r="CM122" s="216">
        <f t="shared" si="76"/>
        <v>0</v>
      </c>
      <c r="CN122" s="216">
        <f t="shared" si="76"/>
        <v>0</v>
      </c>
      <c r="CO122" s="216">
        <f t="shared" si="76"/>
        <v>0</v>
      </c>
      <c r="CP122" s="216">
        <f t="shared" si="76"/>
        <v>0</v>
      </c>
      <c r="CQ122" s="216">
        <f t="shared" si="76"/>
        <v>0</v>
      </c>
      <c r="CR122" s="216">
        <f t="shared" si="76"/>
        <v>0</v>
      </c>
      <c r="CS122" s="216">
        <f t="shared" si="76"/>
        <v>0</v>
      </c>
      <c r="CT122" s="216">
        <f t="shared" si="76"/>
        <v>0</v>
      </c>
      <c r="CU122" s="216">
        <f t="shared" si="76"/>
        <v>0</v>
      </c>
      <c r="CV122" s="216">
        <f t="shared" si="76"/>
        <v>0</v>
      </c>
      <c r="CW122" s="216">
        <f t="shared" si="76"/>
        <v>0</v>
      </c>
      <c r="CX122" s="216">
        <f t="shared" si="76"/>
        <v>0</v>
      </c>
      <c r="CY122" s="216">
        <f t="shared" si="76"/>
        <v>0</v>
      </c>
      <c r="CZ122" s="216">
        <f t="shared" si="76"/>
        <v>0</v>
      </c>
      <c r="DA122" s="216">
        <f t="shared" si="76"/>
        <v>0</v>
      </c>
      <c r="DB122" s="216">
        <f t="shared" si="76"/>
        <v>0</v>
      </c>
      <c r="DC122" s="216">
        <f t="shared" si="76"/>
        <v>0</v>
      </c>
      <c r="DD122" s="216">
        <f t="shared" si="76"/>
        <v>0</v>
      </c>
      <c r="DE122" s="216">
        <f t="shared" si="76"/>
        <v>0</v>
      </c>
      <c r="DF122" s="216">
        <f t="shared" si="76"/>
        <v>0</v>
      </c>
      <c r="DG122" s="216">
        <f t="shared" si="76"/>
        <v>0</v>
      </c>
      <c r="DH122" s="216">
        <f t="shared" si="76"/>
        <v>0</v>
      </c>
      <c r="DI122" s="216">
        <f t="shared" si="76"/>
        <v>0</v>
      </c>
      <c r="DJ122" s="216">
        <f t="shared" si="76"/>
        <v>0</v>
      </c>
      <c r="DK122" s="216">
        <f t="shared" si="76"/>
        <v>0</v>
      </c>
      <c r="DL122" s="216">
        <f t="shared" si="76"/>
        <v>0</v>
      </c>
      <c r="DM122" s="216">
        <f t="shared" si="76"/>
        <v>0</v>
      </c>
      <c r="DN122" s="216">
        <f t="shared" si="76"/>
        <v>0</v>
      </c>
      <c r="DO122" s="216">
        <f t="shared" si="76"/>
        <v>0</v>
      </c>
      <c r="DP122" s="216">
        <f t="shared" si="76"/>
        <v>0</v>
      </c>
      <c r="DQ122" s="216">
        <f t="shared" si="76"/>
        <v>0</v>
      </c>
      <c r="DR122" s="216">
        <f t="shared" si="76"/>
        <v>0</v>
      </c>
      <c r="DS122" s="216">
        <f t="shared" si="76"/>
        <v>0</v>
      </c>
      <c r="DT122" s="216">
        <f t="shared" si="76"/>
        <v>0</v>
      </c>
      <c r="DU122" s="216">
        <f t="shared" si="76"/>
        <v>0</v>
      </c>
      <c r="DV122" s="216">
        <f t="shared" si="76"/>
        <v>0</v>
      </c>
    </row>
    <row r="123" spans="2:126" ht="11.25" customHeight="1">
      <c r="B123" s="237" t="str">
        <f>'CF(M)'!B130</f>
        <v>3종 우선주 CF_매각차익 포함</v>
      </c>
      <c r="C123" s="238"/>
      <c r="D123" s="238"/>
      <c r="E123" s="238"/>
      <c r="F123" s="238"/>
      <c r="G123" s="238"/>
      <c r="H123" s="239"/>
      <c r="I123" s="243">
        <f t="shared" si="65"/>
        <v>4.4408920985006262E-16</v>
      </c>
      <c r="J123" s="241">
        <f t="shared" si="66"/>
        <v>0</v>
      </c>
      <c r="L123" s="235">
        <f>-L100</f>
        <v>-10000000</v>
      </c>
      <c r="M123" s="235">
        <f t="shared" ref="M123:BX123" si="77">-M100</f>
        <v>0</v>
      </c>
      <c r="N123" s="235">
        <f t="shared" si="77"/>
        <v>10000000</v>
      </c>
      <c r="O123" s="235">
        <f t="shared" si="77"/>
        <v>0</v>
      </c>
      <c r="P123" s="235">
        <f t="shared" si="77"/>
        <v>0</v>
      </c>
      <c r="Q123" s="235">
        <f t="shared" si="77"/>
        <v>0</v>
      </c>
      <c r="R123" s="235">
        <f t="shared" si="77"/>
        <v>0</v>
      </c>
      <c r="S123" s="235">
        <f t="shared" si="77"/>
        <v>0</v>
      </c>
      <c r="T123" s="235">
        <f t="shared" si="77"/>
        <v>0</v>
      </c>
      <c r="U123" s="235">
        <f t="shared" si="77"/>
        <v>0</v>
      </c>
      <c r="V123" s="235">
        <f t="shared" si="77"/>
        <v>0</v>
      </c>
      <c r="W123" s="235">
        <f t="shared" si="77"/>
        <v>0</v>
      </c>
      <c r="X123" s="235">
        <f t="shared" si="77"/>
        <v>0</v>
      </c>
      <c r="Y123" s="235">
        <f t="shared" si="77"/>
        <v>0</v>
      </c>
      <c r="Z123" s="235">
        <f t="shared" si="77"/>
        <v>0</v>
      </c>
      <c r="AA123" s="235">
        <f t="shared" si="77"/>
        <v>0</v>
      </c>
      <c r="AB123" s="235">
        <f t="shared" si="77"/>
        <v>0</v>
      </c>
      <c r="AC123" s="235">
        <f t="shared" si="77"/>
        <v>0</v>
      </c>
      <c r="AD123" s="235">
        <f t="shared" si="77"/>
        <v>0</v>
      </c>
      <c r="AE123" s="235">
        <f t="shared" si="77"/>
        <v>0</v>
      </c>
      <c r="AF123" s="235">
        <f t="shared" si="77"/>
        <v>0</v>
      </c>
      <c r="AG123" s="235">
        <f t="shared" si="77"/>
        <v>0</v>
      </c>
      <c r="AH123" s="235">
        <f t="shared" si="77"/>
        <v>0</v>
      </c>
      <c r="AI123" s="235">
        <f t="shared" si="77"/>
        <v>0</v>
      </c>
      <c r="AJ123" s="235">
        <f t="shared" si="77"/>
        <v>0</v>
      </c>
      <c r="AK123" s="235">
        <f t="shared" si="77"/>
        <v>0</v>
      </c>
      <c r="AL123" s="235">
        <f t="shared" si="77"/>
        <v>0</v>
      </c>
      <c r="AM123" s="235">
        <f t="shared" si="77"/>
        <v>0</v>
      </c>
      <c r="AN123" s="235">
        <f t="shared" si="77"/>
        <v>0</v>
      </c>
      <c r="AO123" s="235">
        <f t="shared" si="77"/>
        <v>0</v>
      </c>
      <c r="AP123" s="235">
        <f t="shared" si="77"/>
        <v>0</v>
      </c>
      <c r="AQ123" s="235">
        <f t="shared" si="77"/>
        <v>0</v>
      </c>
      <c r="AR123" s="235">
        <f t="shared" si="77"/>
        <v>0</v>
      </c>
      <c r="AS123" s="235">
        <f t="shared" si="77"/>
        <v>0</v>
      </c>
      <c r="AT123" s="235">
        <f t="shared" si="77"/>
        <v>0</v>
      </c>
      <c r="AU123" s="235">
        <f t="shared" si="77"/>
        <v>0</v>
      </c>
      <c r="AV123" s="235">
        <f t="shared" si="77"/>
        <v>0</v>
      </c>
      <c r="AW123" s="235">
        <f t="shared" si="77"/>
        <v>0</v>
      </c>
      <c r="AX123" s="235">
        <f t="shared" si="77"/>
        <v>0</v>
      </c>
      <c r="AY123" s="235">
        <f t="shared" si="77"/>
        <v>0</v>
      </c>
      <c r="AZ123" s="235">
        <f t="shared" si="77"/>
        <v>0</v>
      </c>
      <c r="BA123" s="235">
        <f t="shared" si="77"/>
        <v>0</v>
      </c>
      <c r="BB123" s="235">
        <f t="shared" si="77"/>
        <v>0</v>
      </c>
      <c r="BC123" s="235">
        <f t="shared" si="77"/>
        <v>0</v>
      </c>
      <c r="BD123" s="235">
        <f t="shared" si="77"/>
        <v>0</v>
      </c>
      <c r="BE123" s="235">
        <f t="shared" si="77"/>
        <v>0</v>
      </c>
      <c r="BF123" s="235">
        <f t="shared" si="77"/>
        <v>0</v>
      </c>
      <c r="BG123" s="235">
        <f t="shared" si="77"/>
        <v>0</v>
      </c>
      <c r="BH123" s="235">
        <f t="shared" si="77"/>
        <v>0</v>
      </c>
      <c r="BI123" s="235">
        <f t="shared" si="77"/>
        <v>0</v>
      </c>
      <c r="BJ123" s="235">
        <f t="shared" si="77"/>
        <v>0</v>
      </c>
      <c r="BK123" s="235">
        <f t="shared" si="77"/>
        <v>0</v>
      </c>
      <c r="BL123" s="235">
        <f t="shared" si="77"/>
        <v>0</v>
      </c>
      <c r="BM123" s="235">
        <f t="shared" si="77"/>
        <v>0</v>
      </c>
      <c r="BN123" s="235">
        <f t="shared" si="77"/>
        <v>0</v>
      </c>
      <c r="BO123" s="235">
        <f t="shared" si="77"/>
        <v>0</v>
      </c>
      <c r="BP123" s="235">
        <f t="shared" si="77"/>
        <v>0</v>
      </c>
      <c r="BQ123" s="235">
        <f t="shared" si="77"/>
        <v>0</v>
      </c>
      <c r="BR123" s="235">
        <f t="shared" si="77"/>
        <v>0</v>
      </c>
      <c r="BS123" s="235">
        <f t="shared" si="77"/>
        <v>0</v>
      </c>
      <c r="BT123" s="235">
        <f t="shared" si="77"/>
        <v>0</v>
      </c>
      <c r="BU123" s="235">
        <f t="shared" si="77"/>
        <v>0</v>
      </c>
      <c r="BV123" s="235">
        <f t="shared" si="77"/>
        <v>0</v>
      </c>
      <c r="BW123" s="235">
        <f t="shared" si="77"/>
        <v>0</v>
      </c>
      <c r="BX123" s="235">
        <f t="shared" si="77"/>
        <v>0</v>
      </c>
      <c r="BY123" s="235">
        <f t="shared" ref="BY123:DV123" si="78">-BY100</f>
        <v>0</v>
      </c>
      <c r="BZ123" s="235">
        <f t="shared" si="78"/>
        <v>0</v>
      </c>
      <c r="CA123" s="235">
        <f t="shared" si="78"/>
        <v>0</v>
      </c>
      <c r="CB123" s="235">
        <f t="shared" si="78"/>
        <v>0</v>
      </c>
      <c r="CC123" s="235">
        <f t="shared" si="78"/>
        <v>0</v>
      </c>
      <c r="CD123" s="235">
        <f t="shared" si="78"/>
        <v>0</v>
      </c>
      <c r="CE123" s="235">
        <f t="shared" si="78"/>
        <v>0</v>
      </c>
      <c r="CF123" s="235">
        <f t="shared" si="78"/>
        <v>0</v>
      </c>
      <c r="CG123" s="235">
        <f t="shared" si="78"/>
        <v>0</v>
      </c>
      <c r="CH123" s="235">
        <f t="shared" si="78"/>
        <v>0</v>
      </c>
      <c r="CI123" s="235">
        <f t="shared" si="78"/>
        <v>0</v>
      </c>
      <c r="CJ123" s="235">
        <f t="shared" si="78"/>
        <v>0</v>
      </c>
      <c r="CK123" s="235">
        <f t="shared" si="78"/>
        <v>0</v>
      </c>
      <c r="CL123" s="235">
        <f t="shared" si="78"/>
        <v>0</v>
      </c>
      <c r="CM123" s="235">
        <f t="shared" si="78"/>
        <v>0</v>
      </c>
      <c r="CN123" s="235">
        <f t="shared" si="78"/>
        <v>0</v>
      </c>
      <c r="CO123" s="235">
        <f t="shared" si="78"/>
        <v>0</v>
      </c>
      <c r="CP123" s="235">
        <f t="shared" si="78"/>
        <v>0</v>
      </c>
      <c r="CQ123" s="235">
        <f t="shared" si="78"/>
        <v>0</v>
      </c>
      <c r="CR123" s="235">
        <f t="shared" si="78"/>
        <v>0</v>
      </c>
      <c r="CS123" s="235">
        <f t="shared" si="78"/>
        <v>0</v>
      </c>
      <c r="CT123" s="235">
        <f t="shared" si="78"/>
        <v>0</v>
      </c>
      <c r="CU123" s="235">
        <f t="shared" si="78"/>
        <v>0</v>
      </c>
      <c r="CV123" s="235">
        <f t="shared" si="78"/>
        <v>0</v>
      </c>
      <c r="CW123" s="235">
        <f t="shared" si="78"/>
        <v>0</v>
      </c>
      <c r="CX123" s="235">
        <f t="shared" si="78"/>
        <v>0</v>
      </c>
      <c r="CY123" s="235">
        <f t="shared" si="78"/>
        <v>0</v>
      </c>
      <c r="CZ123" s="235">
        <f t="shared" si="78"/>
        <v>0</v>
      </c>
      <c r="DA123" s="235">
        <f t="shared" si="78"/>
        <v>0</v>
      </c>
      <c r="DB123" s="235">
        <f t="shared" si="78"/>
        <v>0</v>
      </c>
      <c r="DC123" s="235">
        <f t="shared" si="78"/>
        <v>0</v>
      </c>
      <c r="DD123" s="235">
        <f t="shared" si="78"/>
        <v>0</v>
      </c>
      <c r="DE123" s="235">
        <f t="shared" si="78"/>
        <v>0</v>
      </c>
      <c r="DF123" s="235">
        <f t="shared" si="78"/>
        <v>0</v>
      </c>
      <c r="DG123" s="235">
        <f t="shared" si="78"/>
        <v>0</v>
      </c>
      <c r="DH123" s="235">
        <f t="shared" si="78"/>
        <v>0</v>
      </c>
      <c r="DI123" s="235">
        <f t="shared" si="78"/>
        <v>0</v>
      </c>
      <c r="DJ123" s="235">
        <f t="shared" si="78"/>
        <v>0</v>
      </c>
      <c r="DK123" s="235">
        <f t="shared" si="78"/>
        <v>0</v>
      </c>
      <c r="DL123" s="235">
        <f t="shared" si="78"/>
        <v>0</v>
      </c>
      <c r="DM123" s="235">
        <f t="shared" si="78"/>
        <v>0</v>
      </c>
      <c r="DN123" s="235">
        <f t="shared" si="78"/>
        <v>0</v>
      </c>
      <c r="DO123" s="235">
        <f t="shared" si="78"/>
        <v>0</v>
      </c>
      <c r="DP123" s="235">
        <f t="shared" si="78"/>
        <v>0</v>
      </c>
      <c r="DQ123" s="235">
        <f t="shared" si="78"/>
        <v>0</v>
      </c>
      <c r="DR123" s="235">
        <f t="shared" si="78"/>
        <v>0</v>
      </c>
      <c r="DS123" s="235">
        <f t="shared" si="78"/>
        <v>0</v>
      </c>
      <c r="DT123" s="235">
        <f t="shared" si="78"/>
        <v>0</v>
      </c>
      <c r="DU123" s="235">
        <f t="shared" si="78"/>
        <v>0</v>
      </c>
      <c r="DV123" s="235">
        <f t="shared" si="78"/>
        <v>0</v>
      </c>
    </row>
    <row r="124" spans="2:126" ht="11.25" customHeight="1">
      <c r="B124" s="211" t="s">
        <v>215</v>
      </c>
      <c r="C124" s="212"/>
      <c r="D124" s="212"/>
      <c r="E124" s="212"/>
      <c r="F124" s="212"/>
      <c r="G124" s="212"/>
      <c r="H124" s="213"/>
      <c r="I124" s="242">
        <f t="shared" ca="1" si="65"/>
        <v>7.763692118077925E-3</v>
      </c>
      <c r="J124" s="216">
        <f t="shared" ca="1" si="66"/>
        <v>1110000</v>
      </c>
      <c r="L124" s="216">
        <f t="shared" ref="L124:BW124" ca="1" si="79">-(L105-L109)</f>
        <v>-14800000</v>
      </c>
      <c r="M124" s="216">
        <f t="shared" ca="1" si="79"/>
        <v>1110000</v>
      </c>
      <c r="N124" s="216">
        <f t="shared" ca="1" si="79"/>
        <v>0</v>
      </c>
      <c r="O124" s="216">
        <f t="shared" ca="1" si="79"/>
        <v>0</v>
      </c>
      <c r="P124" s="216">
        <f t="shared" ca="1" si="79"/>
        <v>0</v>
      </c>
      <c r="Q124" s="216">
        <f t="shared" ca="1" si="79"/>
        <v>0</v>
      </c>
      <c r="R124" s="216">
        <f t="shared" ca="1" si="79"/>
        <v>0</v>
      </c>
      <c r="S124" s="216">
        <f t="shared" ca="1" si="79"/>
        <v>0</v>
      </c>
      <c r="T124" s="216">
        <f t="shared" ca="1" si="79"/>
        <v>0</v>
      </c>
      <c r="U124" s="216">
        <f t="shared" ca="1" si="79"/>
        <v>0</v>
      </c>
      <c r="V124" s="216">
        <f t="shared" ca="1" si="79"/>
        <v>14800000</v>
      </c>
      <c r="W124" s="216">
        <f t="shared" ca="1" si="79"/>
        <v>0</v>
      </c>
      <c r="X124" s="216">
        <f t="shared" ca="1" si="79"/>
        <v>0</v>
      </c>
      <c r="Y124" s="216">
        <f t="shared" si="79"/>
        <v>0</v>
      </c>
      <c r="Z124" s="216">
        <f t="shared" si="79"/>
        <v>0</v>
      </c>
      <c r="AA124" s="216">
        <f t="shared" si="79"/>
        <v>0</v>
      </c>
      <c r="AB124" s="216">
        <f t="shared" si="79"/>
        <v>0</v>
      </c>
      <c r="AC124" s="216">
        <f t="shared" si="79"/>
        <v>0</v>
      </c>
      <c r="AD124" s="216">
        <f t="shared" si="79"/>
        <v>0</v>
      </c>
      <c r="AE124" s="216">
        <f t="shared" si="79"/>
        <v>0</v>
      </c>
      <c r="AF124" s="216">
        <f t="shared" si="79"/>
        <v>0</v>
      </c>
      <c r="AG124" s="216">
        <f t="shared" si="79"/>
        <v>0</v>
      </c>
      <c r="AH124" s="216">
        <f t="shared" si="79"/>
        <v>0</v>
      </c>
      <c r="AI124" s="216">
        <f t="shared" si="79"/>
        <v>0</v>
      </c>
      <c r="AJ124" s="216">
        <f t="shared" si="79"/>
        <v>0</v>
      </c>
      <c r="AK124" s="216">
        <f t="shared" si="79"/>
        <v>0</v>
      </c>
      <c r="AL124" s="216">
        <f t="shared" si="79"/>
        <v>0</v>
      </c>
      <c r="AM124" s="216">
        <f t="shared" si="79"/>
        <v>0</v>
      </c>
      <c r="AN124" s="216">
        <f t="shared" si="79"/>
        <v>0</v>
      </c>
      <c r="AO124" s="216">
        <f t="shared" si="79"/>
        <v>0</v>
      </c>
      <c r="AP124" s="216">
        <f t="shared" si="79"/>
        <v>0</v>
      </c>
      <c r="AQ124" s="216">
        <f t="shared" si="79"/>
        <v>0</v>
      </c>
      <c r="AR124" s="216">
        <f t="shared" si="79"/>
        <v>0</v>
      </c>
      <c r="AS124" s="216">
        <f t="shared" si="79"/>
        <v>0</v>
      </c>
      <c r="AT124" s="216">
        <f t="shared" si="79"/>
        <v>0</v>
      </c>
      <c r="AU124" s="216">
        <f t="shared" si="79"/>
        <v>0</v>
      </c>
      <c r="AV124" s="216">
        <f t="shared" si="79"/>
        <v>0</v>
      </c>
      <c r="AW124" s="216">
        <f t="shared" si="79"/>
        <v>0</v>
      </c>
      <c r="AX124" s="216">
        <f t="shared" si="79"/>
        <v>0</v>
      </c>
      <c r="AY124" s="216">
        <f t="shared" si="79"/>
        <v>0</v>
      </c>
      <c r="AZ124" s="216">
        <f t="shared" si="79"/>
        <v>0</v>
      </c>
      <c r="BA124" s="216">
        <f t="shared" si="79"/>
        <v>0</v>
      </c>
      <c r="BB124" s="216">
        <f t="shared" si="79"/>
        <v>0</v>
      </c>
      <c r="BC124" s="216">
        <f t="shared" si="79"/>
        <v>0</v>
      </c>
      <c r="BD124" s="216">
        <f t="shared" si="79"/>
        <v>0</v>
      </c>
      <c r="BE124" s="216">
        <f t="shared" si="79"/>
        <v>0</v>
      </c>
      <c r="BF124" s="216">
        <f t="shared" si="79"/>
        <v>0</v>
      </c>
      <c r="BG124" s="216">
        <f t="shared" si="79"/>
        <v>0</v>
      </c>
      <c r="BH124" s="216">
        <f t="shared" si="79"/>
        <v>0</v>
      </c>
      <c r="BI124" s="216">
        <f t="shared" si="79"/>
        <v>0</v>
      </c>
      <c r="BJ124" s="216">
        <f t="shared" si="79"/>
        <v>0</v>
      </c>
      <c r="BK124" s="216">
        <f t="shared" si="79"/>
        <v>0</v>
      </c>
      <c r="BL124" s="216">
        <f t="shared" si="79"/>
        <v>0</v>
      </c>
      <c r="BM124" s="216">
        <f t="shared" si="79"/>
        <v>0</v>
      </c>
      <c r="BN124" s="216">
        <f t="shared" si="79"/>
        <v>0</v>
      </c>
      <c r="BO124" s="216">
        <f t="shared" si="79"/>
        <v>0</v>
      </c>
      <c r="BP124" s="216">
        <f t="shared" si="79"/>
        <v>0</v>
      </c>
      <c r="BQ124" s="216">
        <f t="shared" si="79"/>
        <v>0</v>
      </c>
      <c r="BR124" s="216">
        <f t="shared" si="79"/>
        <v>0</v>
      </c>
      <c r="BS124" s="216">
        <f t="shared" si="79"/>
        <v>0</v>
      </c>
      <c r="BT124" s="216">
        <f t="shared" si="79"/>
        <v>0</v>
      </c>
      <c r="BU124" s="216">
        <f t="shared" si="79"/>
        <v>0</v>
      </c>
      <c r="BV124" s="216">
        <f t="shared" si="79"/>
        <v>0</v>
      </c>
      <c r="BW124" s="216">
        <f t="shared" si="79"/>
        <v>0</v>
      </c>
      <c r="BX124" s="216">
        <f t="shared" ref="BX124:DV124" si="80">-(BX105-BX109)</f>
        <v>0</v>
      </c>
      <c r="BY124" s="216">
        <f t="shared" si="80"/>
        <v>0</v>
      </c>
      <c r="BZ124" s="216">
        <f t="shared" si="80"/>
        <v>0</v>
      </c>
      <c r="CA124" s="216">
        <f t="shared" si="80"/>
        <v>0</v>
      </c>
      <c r="CB124" s="216">
        <f t="shared" si="80"/>
        <v>0</v>
      </c>
      <c r="CC124" s="216">
        <f t="shared" si="80"/>
        <v>0</v>
      </c>
      <c r="CD124" s="216">
        <f t="shared" si="80"/>
        <v>0</v>
      </c>
      <c r="CE124" s="216">
        <f t="shared" si="80"/>
        <v>0</v>
      </c>
      <c r="CF124" s="216">
        <f t="shared" si="80"/>
        <v>0</v>
      </c>
      <c r="CG124" s="216">
        <f t="shared" si="80"/>
        <v>0</v>
      </c>
      <c r="CH124" s="216">
        <f t="shared" si="80"/>
        <v>0</v>
      </c>
      <c r="CI124" s="216">
        <f t="shared" si="80"/>
        <v>0</v>
      </c>
      <c r="CJ124" s="216">
        <f t="shared" si="80"/>
        <v>0</v>
      </c>
      <c r="CK124" s="216">
        <f t="shared" si="80"/>
        <v>0</v>
      </c>
      <c r="CL124" s="216">
        <f t="shared" si="80"/>
        <v>0</v>
      </c>
      <c r="CM124" s="216">
        <f t="shared" si="80"/>
        <v>0</v>
      </c>
      <c r="CN124" s="216">
        <f t="shared" si="80"/>
        <v>0</v>
      </c>
      <c r="CO124" s="216">
        <f t="shared" si="80"/>
        <v>0</v>
      </c>
      <c r="CP124" s="216">
        <f t="shared" si="80"/>
        <v>0</v>
      </c>
      <c r="CQ124" s="216">
        <f t="shared" si="80"/>
        <v>0</v>
      </c>
      <c r="CR124" s="216">
        <f t="shared" si="80"/>
        <v>0</v>
      </c>
      <c r="CS124" s="216">
        <f t="shared" si="80"/>
        <v>0</v>
      </c>
      <c r="CT124" s="216">
        <f t="shared" si="80"/>
        <v>0</v>
      </c>
      <c r="CU124" s="216">
        <f t="shared" si="80"/>
        <v>0</v>
      </c>
      <c r="CV124" s="216">
        <f t="shared" si="80"/>
        <v>0</v>
      </c>
      <c r="CW124" s="216">
        <f t="shared" si="80"/>
        <v>0</v>
      </c>
      <c r="CX124" s="216">
        <f t="shared" si="80"/>
        <v>0</v>
      </c>
      <c r="CY124" s="216">
        <f t="shared" si="80"/>
        <v>0</v>
      </c>
      <c r="CZ124" s="216">
        <f t="shared" si="80"/>
        <v>0</v>
      </c>
      <c r="DA124" s="216">
        <f t="shared" si="80"/>
        <v>0</v>
      </c>
      <c r="DB124" s="216">
        <f t="shared" si="80"/>
        <v>0</v>
      </c>
      <c r="DC124" s="216">
        <f t="shared" si="80"/>
        <v>0</v>
      </c>
      <c r="DD124" s="216">
        <f t="shared" si="80"/>
        <v>0</v>
      </c>
      <c r="DE124" s="216">
        <f t="shared" si="80"/>
        <v>0</v>
      </c>
      <c r="DF124" s="216">
        <f t="shared" si="80"/>
        <v>0</v>
      </c>
      <c r="DG124" s="216">
        <f t="shared" si="80"/>
        <v>0</v>
      </c>
      <c r="DH124" s="216">
        <f t="shared" si="80"/>
        <v>0</v>
      </c>
      <c r="DI124" s="216">
        <f t="shared" si="80"/>
        <v>0</v>
      </c>
      <c r="DJ124" s="216">
        <f t="shared" si="80"/>
        <v>0</v>
      </c>
      <c r="DK124" s="216">
        <f t="shared" si="80"/>
        <v>0</v>
      </c>
      <c r="DL124" s="216">
        <f t="shared" si="80"/>
        <v>0</v>
      </c>
      <c r="DM124" s="216">
        <f t="shared" si="80"/>
        <v>0</v>
      </c>
      <c r="DN124" s="216">
        <f t="shared" si="80"/>
        <v>0</v>
      </c>
      <c r="DO124" s="216">
        <f t="shared" si="80"/>
        <v>0</v>
      </c>
      <c r="DP124" s="216">
        <f t="shared" si="80"/>
        <v>0</v>
      </c>
      <c r="DQ124" s="216">
        <f t="shared" si="80"/>
        <v>0</v>
      </c>
      <c r="DR124" s="216">
        <f t="shared" si="80"/>
        <v>0</v>
      </c>
      <c r="DS124" s="216">
        <f t="shared" si="80"/>
        <v>0</v>
      </c>
      <c r="DT124" s="216">
        <f t="shared" si="80"/>
        <v>0</v>
      </c>
      <c r="DU124" s="216">
        <f t="shared" si="80"/>
        <v>0</v>
      </c>
      <c r="DV124" s="216">
        <f t="shared" si="80"/>
        <v>0</v>
      </c>
    </row>
    <row r="125" spans="2:126" ht="11.25" customHeight="1">
      <c r="B125" s="237" t="s">
        <v>216</v>
      </c>
      <c r="C125" s="238"/>
      <c r="D125" s="238"/>
      <c r="E125" s="238"/>
      <c r="F125" s="238"/>
      <c r="G125" s="238"/>
      <c r="H125" s="239"/>
      <c r="I125" s="243">
        <f t="shared" ca="1" si="65"/>
        <v>0.16150502671583777</v>
      </c>
      <c r="J125" s="241">
        <f t="shared" ca="1" si="66"/>
        <v>48180453.350267738</v>
      </c>
      <c r="L125" s="235">
        <f t="shared" ref="L125:BW125" ca="1" si="81">-L105</f>
        <v>-14800000</v>
      </c>
      <c r="M125" s="235">
        <f t="shared" ca="1" si="81"/>
        <v>1110000</v>
      </c>
      <c r="N125" s="235">
        <f t="shared" ca="1" si="81"/>
        <v>0</v>
      </c>
      <c r="O125" s="235">
        <f t="shared" ca="1" si="81"/>
        <v>0</v>
      </c>
      <c r="P125" s="235">
        <f t="shared" ca="1" si="81"/>
        <v>0</v>
      </c>
      <c r="Q125" s="235">
        <f t="shared" ca="1" si="81"/>
        <v>0</v>
      </c>
      <c r="R125" s="235">
        <f t="shared" ca="1" si="81"/>
        <v>0</v>
      </c>
      <c r="S125" s="235">
        <f t="shared" ca="1" si="81"/>
        <v>0</v>
      </c>
      <c r="T125" s="235">
        <f t="shared" ca="1" si="81"/>
        <v>0</v>
      </c>
      <c r="U125" s="235">
        <f t="shared" ca="1" si="81"/>
        <v>0</v>
      </c>
      <c r="V125" s="235">
        <f t="shared" ca="1" si="81"/>
        <v>61870453.350267738</v>
      </c>
      <c r="W125" s="235">
        <f t="shared" ca="1" si="81"/>
        <v>0</v>
      </c>
      <c r="X125" s="235">
        <f t="shared" ca="1" si="81"/>
        <v>0</v>
      </c>
      <c r="Y125" s="235">
        <f t="shared" si="81"/>
        <v>0</v>
      </c>
      <c r="Z125" s="235">
        <f t="shared" si="81"/>
        <v>0</v>
      </c>
      <c r="AA125" s="235">
        <f t="shared" si="81"/>
        <v>0</v>
      </c>
      <c r="AB125" s="235">
        <f t="shared" si="81"/>
        <v>0</v>
      </c>
      <c r="AC125" s="235">
        <f t="shared" si="81"/>
        <v>0</v>
      </c>
      <c r="AD125" s="235">
        <f t="shared" si="81"/>
        <v>0</v>
      </c>
      <c r="AE125" s="235">
        <f t="shared" si="81"/>
        <v>0</v>
      </c>
      <c r="AF125" s="235">
        <f t="shared" si="81"/>
        <v>0</v>
      </c>
      <c r="AG125" s="235">
        <f t="shared" si="81"/>
        <v>0</v>
      </c>
      <c r="AH125" s="235">
        <f t="shared" si="81"/>
        <v>0</v>
      </c>
      <c r="AI125" s="235">
        <f t="shared" si="81"/>
        <v>0</v>
      </c>
      <c r="AJ125" s="235">
        <f t="shared" si="81"/>
        <v>0</v>
      </c>
      <c r="AK125" s="235">
        <f t="shared" si="81"/>
        <v>0</v>
      </c>
      <c r="AL125" s="235">
        <f t="shared" si="81"/>
        <v>0</v>
      </c>
      <c r="AM125" s="235">
        <f t="shared" si="81"/>
        <v>0</v>
      </c>
      <c r="AN125" s="235">
        <f t="shared" si="81"/>
        <v>0</v>
      </c>
      <c r="AO125" s="235">
        <f t="shared" si="81"/>
        <v>0</v>
      </c>
      <c r="AP125" s="235">
        <f t="shared" si="81"/>
        <v>0</v>
      </c>
      <c r="AQ125" s="235">
        <f t="shared" si="81"/>
        <v>0</v>
      </c>
      <c r="AR125" s="235">
        <f t="shared" si="81"/>
        <v>0</v>
      </c>
      <c r="AS125" s="235">
        <f t="shared" si="81"/>
        <v>0</v>
      </c>
      <c r="AT125" s="235">
        <f t="shared" si="81"/>
        <v>0</v>
      </c>
      <c r="AU125" s="235">
        <f t="shared" si="81"/>
        <v>0</v>
      </c>
      <c r="AV125" s="235">
        <f t="shared" si="81"/>
        <v>0</v>
      </c>
      <c r="AW125" s="235">
        <f t="shared" si="81"/>
        <v>0</v>
      </c>
      <c r="AX125" s="235">
        <f t="shared" si="81"/>
        <v>0</v>
      </c>
      <c r="AY125" s="235">
        <f t="shared" si="81"/>
        <v>0</v>
      </c>
      <c r="AZ125" s="235">
        <f t="shared" si="81"/>
        <v>0</v>
      </c>
      <c r="BA125" s="235">
        <f t="shared" si="81"/>
        <v>0</v>
      </c>
      <c r="BB125" s="235">
        <f t="shared" si="81"/>
        <v>0</v>
      </c>
      <c r="BC125" s="235">
        <f t="shared" si="81"/>
        <v>0</v>
      </c>
      <c r="BD125" s="235">
        <f t="shared" si="81"/>
        <v>0</v>
      </c>
      <c r="BE125" s="235">
        <f t="shared" si="81"/>
        <v>0</v>
      </c>
      <c r="BF125" s="235">
        <f t="shared" si="81"/>
        <v>0</v>
      </c>
      <c r="BG125" s="235">
        <f t="shared" si="81"/>
        <v>0</v>
      </c>
      <c r="BH125" s="235">
        <f t="shared" si="81"/>
        <v>0</v>
      </c>
      <c r="BI125" s="235">
        <f t="shared" si="81"/>
        <v>0</v>
      </c>
      <c r="BJ125" s="235">
        <f t="shared" si="81"/>
        <v>0</v>
      </c>
      <c r="BK125" s="235">
        <f t="shared" si="81"/>
        <v>0</v>
      </c>
      <c r="BL125" s="235">
        <f t="shared" si="81"/>
        <v>0</v>
      </c>
      <c r="BM125" s="235">
        <f t="shared" si="81"/>
        <v>0</v>
      </c>
      <c r="BN125" s="235">
        <f t="shared" si="81"/>
        <v>0</v>
      </c>
      <c r="BO125" s="235">
        <f t="shared" si="81"/>
        <v>0</v>
      </c>
      <c r="BP125" s="235">
        <f t="shared" si="81"/>
        <v>0</v>
      </c>
      <c r="BQ125" s="235">
        <f t="shared" si="81"/>
        <v>0</v>
      </c>
      <c r="BR125" s="235">
        <f t="shared" si="81"/>
        <v>0</v>
      </c>
      <c r="BS125" s="235">
        <f t="shared" si="81"/>
        <v>0</v>
      </c>
      <c r="BT125" s="235">
        <f t="shared" si="81"/>
        <v>0</v>
      </c>
      <c r="BU125" s="235">
        <f t="shared" si="81"/>
        <v>0</v>
      </c>
      <c r="BV125" s="235">
        <f t="shared" si="81"/>
        <v>0</v>
      </c>
      <c r="BW125" s="235">
        <f t="shared" si="81"/>
        <v>0</v>
      </c>
      <c r="BX125" s="235">
        <f t="shared" ref="BX125:DV125" si="82">-BX105</f>
        <v>0</v>
      </c>
      <c r="BY125" s="235">
        <f t="shared" si="82"/>
        <v>0</v>
      </c>
      <c r="BZ125" s="235">
        <f t="shared" si="82"/>
        <v>0</v>
      </c>
      <c r="CA125" s="235">
        <f t="shared" si="82"/>
        <v>0</v>
      </c>
      <c r="CB125" s="235">
        <f t="shared" si="82"/>
        <v>0</v>
      </c>
      <c r="CC125" s="235">
        <f t="shared" si="82"/>
        <v>0</v>
      </c>
      <c r="CD125" s="235">
        <f t="shared" si="82"/>
        <v>0</v>
      </c>
      <c r="CE125" s="235">
        <f t="shared" si="82"/>
        <v>0</v>
      </c>
      <c r="CF125" s="235">
        <f t="shared" si="82"/>
        <v>0</v>
      </c>
      <c r="CG125" s="235">
        <f t="shared" si="82"/>
        <v>0</v>
      </c>
      <c r="CH125" s="235">
        <f t="shared" si="82"/>
        <v>0</v>
      </c>
      <c r="CI125" s="235">
        <f t="shared" si="82"/>
        <v>0</v>
      </c>
      <c r="CJ125" s="235">
        <f t="shared" si="82"/>
        <v>0</v>
      </c>
      <c r="CK125" s="235">
        <f t="shared" si="82"/>
        <v>0</v>
      </c>
      <c r="CL125" s="235">
        <f t="shared" si="82"/>
        <v>0</v>
      </c>
      <c r="CM125" s="235">
        <f t="shared" si="82"/>
        <v>0</v>
      </c>
      <c r="CN125" s="235">
        <f t="shared" si="82"/>
        <v>0</v>
      </c>
      <c r="CO125" s="235">
        <f t="shared" si="82"/>
        <v>0</v>
      </c>
      <c r="CP125" s="235">
        <f t="shared" si="82"/>
        <v>0</v>
      </c>
      <c r="CQ125" s="235">
        <f t="shared" si="82"/>
        <v>0</v>
      </c>
      <c r="CR125" s="235">
        <f t="shared" si="82"/>
        <v>0</v>
      </c>
      <c r="CS125" s="235">
        <f t="shared" si="82"/>
        <v>0</v>
      </c>
      <c r="CT125" s="235">
        <f t="shared" si="82"/>
        <v>0</v>
      </c>
      <c r="CU125" s="235">
        <f t="shared" si="82"/>
        <v>0</v>
      </c>
      <c r="CV125" s="235">
        <f t="shared" si="82"/>
        <v>0</v>
      </c>
      <c r="CW125" s="235">
        <f t="shared" si="82"/>
        <v>0</v>
      </c>
      <c r="CX125" s="235">
        <f t="shared" si="82"/>
        <v>0</v>
      </c>
      <c r="CY125" s="235">
        <f t="shared" si="82"/>
        <v>0</v>
      </c>
      <c r="CZ125" s="235">
        <f t="shared" si="82"/>
        <v>0</v>
      </c>
      <c r="DA125" s="235">
        <f t="shared" si="82"/>
        <v>0</v>
      </c>
      <c r="DB125" s="235">
        <f t="shared" si="82"/>
        <v>0</v>
      </c>
      <c r="DC125" s="235">
        <f t="shared" si="82"/>
        <v>0</v>
      </c>
      <c r="DD125" s="235">
        <f t="shared" si="82"/>
        <v>0</v>
      </c>
      <c r="DE125" s="235">
        <f t="shared" si="82"/>
        <v>0</v>
      </c>
      <c r="DF125" s="235">
        <f t="shared" si="82"/>
        <v>0</v>
      </c>
      <c r="DG125" s="235">
        <f t="shared" si="82"/>
        <v>0</v>
      </c>
      <c r="DH125" s="235">
        <f t="shared" si="82"/>
        <v>0</v>
      </c>
      <c r="DI125" s="235">
        <f t="shared" si="82"/>
        <v>0</v>
      </c>
      <c r="DJ125" s="235">
        <f t="shared" si="82"/>
        <v>0</v>
      </c>
      <c r="DK125" s="235">
        <f t="shared" si="82"/>
        <v>0</v>
      </c>
      <c r="DL125" s="235">
        <f t="shared" si="82"/>
        <v>0</v>
      </c>
      <c r="DM125" s="235">
        <f t="shared" si="82"/>
        <v>0</v>
      </c>
      <c r="DN125" s="235">
        <f t="shared" si="82"/>
        <v>0</v>
      </c>
      <c r="DO125" s="235">
        <f t="shared" si="82"/>
        <v>0</v>
      </c>
      <c r="DP125" s="235">
        <f t="shared" si="82"/>
        <v>0</v>
      </c>
      <c r="DQ125" s="235">
        <f t="shared" si="82"/>
        <v>0</v>
      </c>
      <c r="DR125" s="235">
        <f t="shared" si="82"/>
        <v>0</v>
      </c>
      <c r="DS125" s="235">
        <f t="shared" si="82"/>
        <v>0</v>
      </c>
      <c r="DT125" s="235">
        <f t="shared" si="82"/>
        <v>0</v>
      </c>
      <c r="DU125" s="235">
        <f t="shared" si="82"/>
        <v>0</v>
      </c>
      <c r="DV125" s="235">
        <f t="shared" si="82"/>
        <v>0</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E1284-D5C8-4DE6-A749-5CAA447778BC}">
  <sheetPr codeName="Sheet12">
    <tabColor theme="7" tint="-0.499984740745262"/>
  </sheetPr>
  <dimension ref="A1:EU85"/>
  <sheetViews>
    <sheetView showGridLines="0" topLeftCell="A8" zoomScale="85" zoomScaleNormal="85" workbookViewId="0">
      <selection activeCell="R30" sqref="R30"/>
    </sheetView>
  </sheetViews>
  <sheetFormatPr defaultColWidth="9" defaultRowHeight="12"/>
  <cols>
    <col min="1" max="2" width="2.625" style="5" customWidth="1"/>
    <col min="3" max="3" width="1.75" style="5" customWidth="1"/>
    <col min="4" max="5" width="9" style="5"/>
    <col min="6" max="9" width="9.75" style="5" bestFit="1" customWidth="1"/>
    <col min="10" max="10" width="9" style="5"/>
    <col min="11" max="11" width="2.625" style="5" customWidth="1"/>
    <col min="12" max="147" width="9.75" style="5" bestFit="1" customWidth="1"/>
    <col min="148" max="16384" width="9" style="5"/>
  </cols>
  <sheetData>
    <row r="1" spans="1:151" s="3" customFormat="1" ht="11.25" customHeight="1">
      <c r="A1" s="2" t="s">
        <v>250</v>
      </c>
    </row>
    <row r="2" spans="1:151" s="4" customFormat="1" ht="11.25" customHeight="1">
      <c r="A2" s="4" t="s">
        <v>4</v>
      </c>
    </row>
    <row r="3" spans="1:151" ht="11.25" customHeight="1"/>
    <row r="4" spans="1:151" ht="11.25" customHeight="1">
      <c r="C4" s="142" t="s">
        <v>0</v>
      </c>
      <c r="D4" s="143"/>
      <c r="E4" s="143"/>
      <c r="F4" s="143"/>
      <c r="G4" s="143"/>
      <c r="H4" s="143"/>
      <c r="I4" s="143"/>
      <c r="J4" s="144"/>
      <c r="L4" s="145">
        <f>'A&amp;R'!$D$35</f>
        <v>46326</v>
      </c>
      <c r="M4" s="145">
        <f>L5+1</f>
        <v>46327</v>
      </c>
      <c r="N4" s="145">
        <f t="shared" ref="N4:BY4" si="0">M5+1</f>
        <v>46357</v>
      </c>
      <c r="O4" s="145">
        <f t="shared" si="0"/>
        <v>46388</v>
      </c>
      <c r="P4" s="145">
        <f t="shared" si="0"/>
        <v>46419</v>
      </c>
      <c r="Q4" s="145">
        <f t="shared" si="0"/>
        <v>46447</v>
      </c>
      <c r="R4" s="145">
        <f t="shared" si="0"/>
        <v>46478</v>
      </c>
      <c r="S4" s="145">
        <f t="shared" si="0"/>
        <v>46508</v>
      </c>
      <c r="T4" s="145">
        <f t="shared" si="0"/>
        <v>46539</v>
      </c>
      <c r="U4" s="145">
        <f t="shared" si="0"/>
        <v>46569</v>
      </c>
      <c r="V4" s="145">
        <f t="shared" si="0"/>
        <v>46600</v>
      </c>
      <c r="W4" s="145">
        <f t="shared" si="0"/>
        <v>46631</v>
      </c>
      <c r="X4" s="145">
        <f t="shared" si="0"/>
        <v>46661</v>
      </c>
      <c r="Y4" s="145">
        <f t="shared" si="0"/>
        <v>46692</v>
      </c>
      <c r="Z4" s="145">
        <f t="shared" si="0"/>
        <v>46722</v>
      </c>
      <c r="AA4" s="145">
        <f t="shared" si="0"/>
        <v>46753</v>
      </c>
      <c r="AB4" s="145">
        <f t="shared" si="0"/>
        <v>46784</v>
      </c>
      <c r="AC4" s="145">
        <f t="shared" si="0"/>
        <v>46813</v>
      </c>
      <c r="AD4" s="145">
        <f t="shared" si="0"/>
        <v>46844</v>
      </c>
      <c r="AE4" s="145">
        <f t="shared" si="0"/>
        <v>46874</v>
      </c>
      <c r="AF4" s="145">
        <f t="shared" si="0"/>
        <v>46905</v>
      </c>
      <c r="AG4" s="145">
        <f t="shared" si="0"/>
        <v>46935</v>
      </c>
      <c r="AH4" s="145">
        <f t="shared" si="0"/>
        <v>46966</v>
      </c>
      <c r="AI4" s="145">
        <f t="shared" si="0"/>
        <v>46997</v>
      </c>
      <c r="AJ4" s="145">
        <f t="shared" si="0"/>
        <v>47027</v>
      </c>
      <c r="AK4" s="145">
        <f t="shared" si="0"/>
        <v>47058</v>
      </c>
      <c r="AL4" s="145">
        <f t="shared" si="0"/>
        <v>47088</v>
      </c>
      <c r="AM4" s="145">
        <f t="shared" si="0"/>
        <v>47119</v>
      </c>
      <c r="AN4" s="145">
        <f t="shared" si="0"/>
        <v>47150</v>
      </c>
      <c r="AO4" s="145">
        <f t="shared" si="0"/>
        <v>47178</v>
      </c>
      <c r="AP4" s="145">
        <f t="shared" si="0"/>
        <v>47209</v>
      </c>
      <c r="AQ4" s="145">
        <f t="shared" si="0"/>
        <v>47239</v>
      </c>
      <c r="AR4" s="145">
        <f t="shared" si="0"/>
        <v>47270</v>
      </c>
      <c r="AS4" s="145">
        <f t="shared" si="0"/>
        <v>47300</v>
      </c>
      <c r="AT4" s="145">
        <f t="shared" si="0"/>
        <v>47331</v>
      </c>
      <c r="AU4" s="145">
        <f t="shared" si="0"/>
        <v>47362</v>
      </c>
      <c r="AV4" s="145">
        <f t="shared" si="0"/>
        <v>47392</v>
      </c>
      <c r="AW4" s="145">
        <f t="shared" si="0"/>
        <v>47423</v>
      </c>
      <c r="AX4" s="145">
        <f t="shared" si="0"/>
        <v>47453</v>
      </c>
      <c r="AY4" s="145">
        <f t="shared" si="0"/>
        <v>47484</v>
      </c>
      <c r="AZ4" s="145">
        <f t="shared" si="0"/>
        <v>47515</v>
      </c>
      <c r="BA4" s="145">
        <f t="shared" si="0"/>
        <v>47543</v>
      </c>
      <c r="BB4" s="145">
        <f t="shared" si="0"/>
        <v>47574</v>
      </c>
      <c r="BC4" s="145">
        <f t="shared" si="0"/>
        <v>47604</v>
      </c>
      <c r="BD4" s="145">
        <f t="shared" si="0"/>
        <v>47635</v>
      </c>
      <c r="BE4" s="145">
        <f t="shared" si="0"/>
        <v>47665</v>
      </c>
      <c r="BF4" s="145">
        <f t="shared" si="0"/>
        <v>47696</v>
      </c>
      <c r="BG4" s="145">
        <f t="shared" si="0"/>
        <v>47727</v>
      </c>
      <c r="BH4" s="145">
        <f t="shared" si="0"/>
        <v>47757</v>
      </c>
      <c r="BI4" s="145">
        <f t="shared" si="0"/>
        <v>47788</v>
      </c>
      <c r="BJ4" s="145">
        <f t="shared" si="0"/>
        <v>47818</v>
      </c>
      <c r="BK4" s="145">
        <f t="shared" si="0"/>
        <v>47849</v>
      </c>
      <c r="BL4" s="145">
        <f t="shared" si="0"/>
        <v>47880</v>
      </c>
      <c r="BM4" s="145">
        <f t="shared" si="0"/>
        <v>47908</v>
      </c>
      <c r="BN4" s="145">
        <f t="shared" si="0"/>
        <v>47939</v>
      </c>
      <c r="BO4" s="145">
        <f t="shared" si="0"/>
        <v>47969</v>
      </c>
      <c r="BP4" s="145">
        <f t="shared" si="0"/>
        <v>48000</v>
      </c>
      <c r="BQ4" s="145">
        <f t="shared" si="0"/>
        <v>48030</v>
      </c>
      <c r="BR4" s="145">
        <f t="shared" si="0"/>
        <v>48061</v>
      </c>
      <c r="BS4" s="145">
        <f t="shared" si="0"/>
        <v>48092</v>
      </c>
      <c r="BT4" s="145">
        <f t="shared" si="0"/>
        <v>48122</v>
      </c>
      <c r="BU4" s="145">
        <f t="shared" si="0"/>
        <v>48153</v>
      </c>
      <c r="BV4" s="145">
        <f t="shared" si="0"/>
        <v>48183</v>
      </c>
      <c r="BW4" s="145">
        <f t="shared" si="0"/>
        <v>48214</v>
      </c>
      <c r="BX4" s="145">
        <f t="shared" si="0"/>
        <v>48245</v>
      </c>
      <c r="BY4" s="145">
        <f t="shared" si="0"/>
        <v>48274</v>
      </c>
      <c r="BZ4" s="145">
        <f t="shared" ref="BZ4:DU4" si="1">BY5+1</f>
        <v>48305</v>
      </c>
      <c r="CA4" s="145">
        <f t="shared" si="1"/>
        <v>48335</v>
      </c>
      <c r="CB4" s="145">
        <f t="shared" si="1"/>
        <v>48366</v>
      </c>
      <c r="CC4" s="145">
        <f t="shared" si="1"/>
        <v>48396</v>
      </c>
      <c r="CD4" s="145">
        <f t="shared" si="1"/>
        <v>48427</v>
      </c>
      <c r="CE4" s="145">
        <f t="shared" si="1"/>
        <v>48458</v>
      </c>
      <c r="CF4" s="145">
        <f t="shared" si="1"/>
        <v>48488</v>
      </c>
      <c r="CG4" s="145">
        <f t="shared" si="1"/>
        <v>48519</v>
      </c>
      <c r="CH4" s="145">
        <f t="shared" si="1"/>
        <v>48549</v>
      </c>
      <c r="CI4" s="145">
        <f t="shared" si="1"/>
        <v>48580</v>
      </c>
      <c r="CJ4" s="145">
        <f t="shared" si="1"/>
        <v>48611</v>
      </c>
      <c r="CK4" s="145">
        <f t="shared" si="1"/>
        <v>48639</v>
      </c>
      <c r="CL4" s="145">
        <f t="shared" si="1"/>
        <v>48670</v>
      </c>
      <c r="CM4" s="145">
        <f t="shared" si="1"/>
        <v>48700</v>
      </c>
      <c r="CN4" s="145">
        <f t="shared" si="1"/>
        <v>48731</v>
      </c>
      <c r="CO4" s="145">
        <f t="shared" si="1"/>
        <v>48761</v>
      </c>
      <c r="CP4" s="145">
        <f t="shared" si="1"/>
        <v>48792</v>
      </c>
      <c r="CQ4" s="145">
        <f t="shared" si="1"/>
        <v>48823</v>
      </c>
      <c r="CR4" s="145">
        <f t="shared" si="1"/>
        <v>48853</v>
      </c>
      <c r="CS4" s="145">
        <f t="shared" si="1"/>
        <v>48884</v>
      </c>
      <c r="CT4" s="145">
        <f t="shared" si="1"/>
        <v>48914</v>
      </c>
      <c r="CU4" s="145">
        <f t="shared" si="1"/>
        <v>48945</v>
      </c>
      <c r="CV4" s="145">
        <f t="shared" si="1"/>
        <v>48976</v>
      </c>
      <c r="CW4" s="145">
        <f t="shared" si="1"/>
        <v>49004</v>
      </c>
      <c r="CX4" s="145">
        <f t="shared" si="1"/>
        <v>49035</v>
      </c>
      <c r="CY4" s="145">
        <f t="shared" si="1"/>
        <v>49065</v>
      </c>
      <c r="CZ4" s="145">
        <f t="shared" si="1"/>
        <v>49096</v>
      </c>
      <c r="DA4" s="145">
        <f t="shared" si="1"/>
        <v>49126</v>
      </c>
      <c r="DB4" s="145">
        <f t="shared" si="1"/>
        <v>49157</v>
      </c>
      <c r="DC4" s="145">
        <f t="shared" si="1"/>
        <v>49188</v>
      </c>
      <c r="DD4" s="145">
        <f t="shared" si="1"/>
        <v>49218</v>
      </c>
      <c r="DE4" s="145">
        <f t="shared" si="1"/>
        <v>49249</v>
      </c>
      <c r="DF4" s="145">
        <f t="shared" si="1"/>
        <v>49279</v>
      </c>
      <c r="DG4" s="145">
        <f t="shared" si="1"/>
        <v>49310</v>
      </c>
      <c r="DH4" s="145">
        <f t="shared" si="1"/>
        <v>49341</v>
      </c>
      <c r="DI4" s="145">
        <f t="shared" si="1"/>
        <v>49369</v>
      </c>
      <c r="DJ4" s="145">
        <f t="shared" si="1"/>
        <v>49400</v>
      </c>
      <c r="DK4" s="145">
        <f t="shared" si="1"/>
        <v>49430</v>
      </c>
      <c r="DL4" s="145">
        <f t="shared" si="1"/>
        <v>49461</v>
      </c>
      <c r="DM4" s="145">
        <f t="shared" si="1"/>
        <v>49491</v>
      </c>
      <c r="DN4" s="145">
        <f t="shared" si="1"/>
        <v>49522</v>
      </c>
      <c r="DO4" s="145">
        <f t="shared" si="1"/>
        <v>49553</v>
      </c>
      <c r="DP4" s="145">
        <f t="shared" si="1"/>
        <v>49583</v>
      </c>
      <c r="DQ4" s="145">
        <f t="shared" si="1"/>
        <v>49614</v>
      </c>
      <c r="DR4" s="145">
        <f t="shared" si="1"/>
        <v>49644</v>
      </c>
      <c r="DS4" s="145">
        <f t="shared" si="1"/>
        <v>49675</v>
      </c>
      <c r="DT4" s="145">
        <f t="shared" si="1"/>
        <v>49706</v>
      </c>
      <c r="DU4" s="145">
        <f t="shared" si="1"/>
        <v>49735</v>
      </c>
      <c r="DV4" s="145">
        <f t="shared" ref="DV4:EQ4" si="2">DU5+1</f>
        <v>49766</v>
      </c>
      <c r="DW4" s="145">
        <f t="shared" si="2"/>
        <v>49796</v>
      </c>
      <c r="DX4" s="145">
        <f t="shared" si="2"/>
        <v>49827</v>
      </c>
      <c r="DY4" s="145">
        <f t="shared" si="2"/>
        <v>49857</v>
      </c>
      <c r="DZ4" s="145">
        <f t="shared" si="2"/>
        <v>49888</v>
      </c>
      <c r="EA4" s="145">
        <f t="shared" si="2"/>
        <v>49919</v>
      </c>
      <c r="EB4" s="145">
        <f t="shared" si="2"/>
        <v>49949</v>
      </c>
      <c r="EC4" s="145">
        <f t="shared" si="2"/>
        <v>49980</v>
      </c>
      <c r="ED4" s="145">
        <f t="shared" si="2"/>
        <v>50010</v>
      </c>
      <c r="EE4" s="145">
        <f t="shared" si="2"/>
        <v>50041</v>
      </c>
      <c r="EF4" s="145">
        <f t="shared" si="2"/>
        <v>50072</v>
      </c>
      <c r="EG4" s="145">
        <f t="shared" si="2"/>
        <v>50100</v>
      </c>
      <c r="EH4" s="145">
        <f t="shared" si="2"/>
        <v>50131</v>
      </c>
      <c r="EI4" s="145">
        <f t="shared" si="2"/>
        <v>50161</v>
      </c>
      <c r="EJ4" s="145">
        <f t="shared" si="2"/>
        <v>50192</v>
      </c>
      <c r="EK4" s="145">
        <f t="shared" si="2"/>
        <v>50222</v>
      </c>
      <c r="EL4" s="145">
        <f t="shared" si="2"/>
        <v>50253</v>
      </c>
      <c r="EM4" s="145">
        <f t="shared" si="2"/>
        <v>50284</v>
      </c>
      <c r="EN4" s="145">
        <f t="shared" si="2"/>
        <v>50314</v>
      </c>
      <c r="EO4" s="145">
        <f t="shared" si="2"/>
        <v>50345</v>
      </c>
      <c r="EP4" s="145">
        <f t="shared" si="2"/>
        <v>50375</v>
      </c>
      <c r="EQ4" s="145">
        <f t="shared" si="2"/>
        <v>50406</v>
      </c>
      <c r="ER4" s="146"/>
      <c r="ES4" s="146"/>
      <c r="ET4" s="146"/>
      <c r="EU4" s="146"/>
    </row>
    <row r="5" spans="1:151" ht="11.25" customHeight="1">
      <c r="C5" s="142" t="s">
        <v>1</v>
      </c>
      <c r="D5" s="143"/>
      <c r="E5" s="143"/>
      <c r="F5" s="143"/>
      <c r="G5" s="143"/>
      <c r="H5" s="143"/>
      <c r="I5" s="143"/>
      <c r="J5" s="143"/>
      <c r="L5" s="145">
        <f>EOMONTH(L4,0)</f>
        <v>46326</v>
      </c>
      <c r="M5" s="145">
        <f>EOMONTH(M4,0)</f>
        <v>46356</v>
      </c>
      <c r="N5" s="145">
        <f t="shared" ref="N5:BY5" si="3">EOMONTH(N4,0)</f>
        <v>46387</v>
      </c>
      <c r="O5" s="145">
        <f t="shared" si="3"/>
        <v>46418</v>
      </c>
      <c r="P5" s="145">
        <f t="shared" si="3"/>
        <v>46446</v>
      </c>
      <c r="Q5" s="145">
        <f t="shared" si="3"/>
        <v>46477</v>
      </c>
      <c r="R5" s="145">
        <f t="shared" si="3"/>
        <v>46507</v>
      </c>
      <c r="S5" s="145">
        <f t="shared" si="3"/>
        <v>46538</v>
      </c>
      <c r="T5" s="145">
        <f t="shared" si="3"/>
        <v>46568</v>
      </c>
      <c r="U5" s="145">
        <f t="shared" si="3"/>
        <v>46599</v>
      </c>
      <c r="V5" s="145">
        <f t="shared" si="3"/>
        <v>46630</v>
      </c>
      <c r="W5" s="145">
        <f t="shared" si="3"/>
        <v>46660</v>
      </c>
      <c r="X5" s="145">
        <f t="shared" si="3"/>
        <v>46691</v>
      </c>
      <c r="Y5" s="145">
        <f t="shared" si="3"/>
        <v>46721</v>
      </c>
      <c r="Z5" s="145">
        <f t="shared" si="3"/>
        <v>46752</v>
      </c>
      <c r="AA5" s="145">
        <f t="shared" si="3"/>
        <v>46783</v>
      </c>
      <c r="AB5" s="145">
        <f t="shared" si="3"/>
        <v>46812</v>
      </c>
      <c r="AC5" s="145">
        <f t="shared" si="3"/>
        <v>46843</v>
      </c>
      <c r="AD5" s="145">
        <f t="shared" si="3"/>
        <v>46873</v>
      </c>
      <c r="AE5" s="145">
        <f t="shared" si="3"/>
        <v>46904</v>
      </c>
      <c r="AF5" s="145">
        <f t="shared" si="3"/>
        <v>46934</v>
      </c>
      <c r="AG5" s="145">
        <f t="shared" si="3"/>
        <v>46965</v>
      </c>
      <c r="AH5" s="145">
        <f t="shared" si="3"/>
        <v>46996</v>
      </c>
      <c r="AI5" s="145">
        <f t="shared" si="3"/>
        <v>47026</v>
      </c>
      <c r="AJ5" s="145">
        <f t="shared" si="3"/>
        <v>47057</v>
      </c>
      <c r="AK5" s="145">
        <f t="shared" si="3"/>
        <v>47087</v>
      </c>
      <c r="AL5" s="145">
        <f t="shared" si="3"/>
        <v>47118</v>
      </c>
      <c r="AM5" s="145">
        <f t="shared" si="3"/>
        <v>47149</v>
      </c>
      <c r="AN5" s="145">
        <f t="shared" si="3"/>
        <v>47177</v>
      </c>
      <c r="AO5" s="145">
        <f t="shared" si="3"/>
        <v>47208</v>
      </c>
      <c r="AP5" s="145">
        <f t="shared" si="3"/>
        <v>47238</v>
      </c>
      <c r="AQ5" s="145">
        <f t="shared" si="3"/>
        <v>47269</v>
      </c>
      <c r="AR5" s="145">
        <f t="shared" si="3"/>
        <v>47299</v>
      </c>
      <c r="AS5" s="145">
        <f t="shared" si="3"/>
        <v>47330</v>
      </c>
      <c r="AT5" s="145">
        <f t="shared" si="3"/>
        <v>47361</v>
      </c>
      <c r="AU5" s="145">
        <f t="shared" si="3"/>
        <v>47391</v>
      </c>
      <c r="AV5" s="145">
        <f t="shared" si="3"/>
        <v>47422</v>
      </c>
      <c r="AW5" s="145">
        <f t="shared" si="3"/>
        <v>47452</v>
      </c>
      <c r="AX5" s="145">
        <f t="shared" si="3"/>
        <v>47483</v>
      </c>
      <c r="AY5" s="145">
        <f t="shared" si="3"/>
        <v>47514</v>
      </c>
      <c r="AZ5" s="145">
        <f t="shared" si="3"/>
        <v>47542</v>
      </c>
      <c r="BA5" s="145">
        <f t="shared" si="3"/>
        <v>47573</v>
      </c>
      <c r="BB5" s="145">
        <f t="shared" si="3"/>
        <v>47603</v>
      </c>
      <c r="BC5" s="145">
        <f t="shared" si="3"/>
        <v>47634</v>
      </c>
      <c r="BD5" s="145">
        <f t="shared" si="3"/>
        <v>47664</v>
      </c>
      <c r="BE5" s="145">
        <f t="shared" si="3"/>
        <v>47695</v>
      </c>
      <c r="BF5" s="145">
        <f t="shared" si="3"/>
        <v>47726</v>
      </c>
      <c r="BG5" s="145">
        <f t="shared" si="3"/>
        <v>47756</v>
      </c>
      <c r="BH5" s="145">
        <f t="shared" si="3"/>
        <v>47787</v>
      </c>
      <c r="BI5" s="145">
        <f t="shared" si="3"/>
        <v>47817</v>
      </c>
      <c r="BJ5" s="145">
        <f t="shared" si="3"/>
        <v>47848</v>
      </c>
      <c r="BK5" s="145">
        <f t="shared" si="3"/>
        <v>47879</v>
      </c>
      <c r="BL5" s="145">
        <f t="shared" si="3"/>
        <v>47907</v>
      </c>
      <c r="BM5" s="145">
        <f t="shared" si="3"/>
        <v>47938</v>
      </c>
      <c r="BN5" s="145">
        <f t="shared" si="3"/>
        <v>47968</v>
      </c>
      <c r="BO5" s="145">
        <f t="shared" si="3"/>
        <v>47999</v>
      </c>
      <c r="BP5" s="145">
        <f t="shared" si="3"/>
        <v>48029</v>
      </c>
      <c r="BQ5" s="145">
        <f t="shared" si="3"/>
        <v>48060</v>
      </c>
      <c r="BR5" s="145">
        <f t="shared" si="3"/>
        <v>48091</v>
      </c>
      <c r="BS5" s="145">
        <f t="shared" si="3"/>
        <v>48121</v>
      </c>
      <c r="BT5" s="145">
        <f t="shared" si="3"/>
        <v>48152</v>
      </c>
      <c r="BU5" s="145">
        <f t="shared" si="3"/>
        <v>48182</v>
      </c>
      <c r="BV5" s="145">
        <f t="shared" si="3"/>
        <v>48213</v>
      </c>
      <c r="BW5" s="145">
        <f t="shared" si="3"/>
        <v>48244</v>
      </c>
      <c r="BX5" s="145">
        <f t="shared" si="3"/>
        <v>48273</v>
      </c>
      <c r="BY5" s="145">
        <f t="shared" si="3"/>
        <v>48304</v>
      </c>
      <c r="BZ5" s="145">
        <f t="shared" ref="BZ5:DU5" si="4">EOMONTH(BZ4,0)</f>
        <v>48334</v>
      </c>
      <c r="CA5" s="145">
        <f t="shared" si="4"/>
        <v>48365</v>
      </c>
      <c r="CB5" s="145">
        <f t="shared" si="4"/>
        <v>48395</v>
      </c>
      <c r="CC5" s="145">
        <f t="shared" si="4"/>
        <v>48426</v>
      </c>
      <c r="CD5" s="145">
        <f t="shared" si="4"/>
        <v>48457</v>
      </c>
      <c r="CE5" s="145">
        <f t="shared" si="4"/>
        <v>48487</v>
      </c>
      <c r="CF5" s="145">
        <f t="shared" si="4"/>
        <v>48518</v>
      </c>
      <c r="CG5" s="145">
        <f t="shared" si="4"/>
        <v>48548</v>
      </c>
      <c r="CH5" s="145">
        <f t="shared" si="4"/>
        <v>48579</v>
      </c>
      <c r="CI5" s="145">
        <f t="shared" si="4"/>
        <v>48610</v>
      </c>
      <c r="CJ5" s="145">
        <f t="shared" si="4"/>
        <v>48638</v>
      </c>
      <c r="CK5" s="145">
        <f t="shared" si="4"/>
        <v>48669</v>
      </c>
      <c r="CL5" s="145">
        <f t="shared" si="4"/>
        <v>48699</v>
      </c>
      <c r="CM5" s="145">
        <f t="shared" si="4"/>
        <v>48730</v>
      </c>
      <c r="CN5" s="145">
        <f t="shared" si="4"/>
        <v>48760</v>
      </c>
      <c r="CO5" s="145">
        <f t="shared" si="4"/>
        <v>48791</v>
      </c>
      <c r="CP5" s="145">
        <f t="shared" si="4"/>
        <v>48822</v>
      </c>
      <c r="CQ5" s="145">
        <f t="shared" si="4"/>
        <v>48852</v>
      </c>
      <c r="CR5" s="145">
        <f t="shared" si="4"/>
        <v>48883</v>
      </c>
      <c r="CS5" s="145">
        <f t="shared" si="4"/>
        <v>48913</v>
      </c>
      <c r="CT5" s="145">
        <f t="shared" si="4"/>
        <v>48944</v>
      </c>
      <c r="CU5" s="145">
        <f t="shared" si="4"/>
        <v>48975</v>
      </c>
      <c r="CV5" s="145">
        <f t="shared" si="4"/>
        <v>49003</v>
      </c>
      <c r="CW5" s="145">
        <f t="shared" si="4"/>
        <v>49034</v>
      </c>
      <c r="CX5" s="145">
        <f t="shared" si="4"/>
        <v>49064</v>
      </c>
      <c r="CY5" s="145">
        <f t="shared" si="4"/>
        <v>49095</v>
      </c>
      <c r="CZ5" s="145">
        <f t="shared" si="4"/>
        <v>49125</v>
      </c>
      <c r="DA5" s="145">
        <f t="shared" si="4"/>
        <v>49156</v>
      </c>
      <c r="DB5" s="145">
        <f t="shared" si="4"/>
        <v>49187</v>
      </c>
      <c r="DC5" s="145">
        <f t="shared" si="4"/>
        <v>49217</v>
      </c>
      <c r="DD5" s="145">
        <f t="shared" si="4"/>
        <v>49248</v>
      </c>
      <c r="DE5" s="145">
        <f t="shared" si="4"/>
        <v>49278</v>
      </c>
      <c r="DF5" s="145">
        <f t="shared" si="4"/>
        <v>49309</v>
      </c>
      <c r="DG5" s="145">
        <f t="shared" si="4"/>
        <v>49340</v>
      </c>
      <c r="DH5" s="145">
        <f t="shared" si="4"/>
        <v>49368</v>
      </c>
      <c r="DI5" s="145">
        <f t="shared" si="4"/>
        <v>49399</v>
      </c>
      <c r="DJ5" s="145">
        <f t="shared" si="4"/>
        <v>49429</v>
      </c>
      <c r="DK5" s="145">
        <f t="shared" si="4"/>
        <v>49460</v>
      </c>
      <c r="DL5" s="145">
        <f t="shared" si="4"/>
        <v>49490</v>
      </c>
      <c r="DM5" s="145">
        <f t="shared" si="4"/>
        <v>49521</v>
      </c>
      <c r="DN5" s="145">
        <f t="shared" si="4"/>
        <v>49552</v>
      </c>
      <c r="DO5" s="145">
        <f t="shared" si="4"/>
        <v>49582</v>
      </c>
      <c r="DP5" s="145">
        <f t="shared" si="4"/>
        <v>49613</v>
      </c>
      <c r="DQ5" s="145">
        <f t="shared" si="4"/>
        <v>49643</v>
      </c>
      <c r="DR5" s="145">
        <f t="shared" si="4"/>
        <v>49674</v>
      </c>
      <c r="DS5" s="145">
        <f t="shared" si="4"/>
        <v>49705</v>
      </c>
      <c r="DT5" s="145">
        <f t="shared" si="4"/>
        <v>49734</v>
      </c>
      <c r="DU5" s="145">
        <f t="shared" si="4"/>
        <v>49765</v>
      </c>
      <c r="DV5" s="145">
        <f t="shared" ref="DV5:EA5" si="5">EOMONTH(DV4,0)</f>
        <v>49795</v>
      </c>
      <c r="DW5" s="145">
        <f t="shared" si="5"/>
        <v>49826</v>
      </c>
      <c r="DX5" s="145">
        <f t="shared" si="5"/>
        <v>49856</v>
      </c>
      <c r="DY5" s="145">
        <f t="shared" si="5"/>
        <v>49887</v>
      </c>
      <c r="DZ5" s="145">
        <f t="shared" si="5"/>
        <v>49918</v>
      </c>
      <c r="EA5" s="145">
        <f t="shared" si="5"/>
        <v>49948</v>
      </c>
      <c r="EB5" s="145">
        <f>EOMONTH(EB4,0)</f>
        <v>49979</v>
      </c>
      <c r="EC5" s="145">
        <f>EOMONTH(EC4,0)</f>
        <v>50009</v>
      </c>
      <c r="ED5" s="145">
        <f>EOMONTH(ED4,0)</f>
        <v>50040</v>
      </c>
      <c r="EE5" s="145">
        <f>EOMONTH(EE4,0)</f>
        <v>50071</v>
      </c>
      <c r="EF5" s="145">
        <f t="shared" ref="EF5:EP5" si="6">EOMONTH(EF4,0)</f>
        <v>50099</v>
      </c>
      <c r="EG5" s="145">
        <f t="shared" si="6"/>
        <v>50130</v>
      </c>
      <c r="EH5" s="145">
        <f t="shared" si="6"/>
        <v>50160</v>
      </c>
      <c r="EI5" s="145">
        <f t="shared" si="6"/>
        <v>50191</v>
      </c>
      <c r="EJ5" s="145">
        <f t="shared" si="6"/>
        <v>50221</v>
      </c>
      <c r="EK5" s="145">
        <f t="shared" si="6"/>
        <v>50252</v>
      </c>
      <c r="EL5" s="145">
        <f t="shared" si="6"/>
        <v>50283</v>
      </c>
      <c r="EM5" s="145">
        <f t="shared" si="6"/>
        <v>50313</v>
      </c>
      <c r="EN5" s="145">
        <f t="shared" si="6"/>
        <v>50344</v>
      </c>
      <c r="EO5" s="145">
        <f t="shared" si="6"/>
        <v>50374</v>
      </c>
      <c r="EP5" s="145">
        <f t="shared" si="6"/>
        <v>50405</v>
      </c>
      <c r="EQ5" s="145">
        <f>EOMONTH(EQ4,0)</f>
        <v>50436</v>
      </c>
      <c r="ER5" s="146"/>
      <c r="ES5" s="146"/>
      <c r="ET5" s="146"/>
      <c r="EU5" s="146"/>
    </row>
    <row r="6" spans="1:151" ht="11.25" customHeight="1">
      <c r="C6" s="147" t="s">
        <v>2</v>
      </c>
      <c r="D6" s="148"/>
      <c r="E6" s="148"/>
      <c r="F6" s="148"/>
      <c r="G6" s="148"/>
      <c r="H6" s="148"/>
      <c r="I6" s="148"/>
      <c r="J6" s="148"/>
      <c r="L6" s="149">
        <f>YEAR(L$5)</f>
        <v>2026</v>
      </c>
      <c r="M6" s="149">
        <f t="shared" ref="M6:BX6" si="7">YEAR(M$5)</f>
        <v>2026</v>
      </c>
      <c r="N6" s="149">
        <f t="shared" si="7"/>
        <v>2026</v>
      </c>
      <c r="O6" s="149">
        <f t="shared" si="7"/>
        <v>2027</v>
      </c>
      <c r="P6" s="149">
        <f t="shared" si="7"/>
        <v>2027</v>
      </c>
      <c r="Q6" s="149">
        <f t="shared" si="7"/>
        <v>2027</v>
      </c>
      <c r="R6" s="149">
        <f t="shared" si="7"/>
        <v>2027</v>
      </c>
      <c r="S6" s="149">
        <f t="shared" si="7"/>
        <v>2027</v>
      </c>
      <c r="T6" s="149">
        <f t="shared" si="7"/>
        <v>2027</v>
      </c>
      <c r="U6" s="149">
        <f t="shared" si="7"/>
        <v>2027</v>
      </c>
      <c r="V6" s="149">
        <f t="shared" si="7"/>
        <v>2027</v>
      </c>
      <c r="W6" s="149">
        <f t="shared" si="7"/>
        <v>2027</v>
      </c>
      <c r="X6" s="149">
        <f t="shared" si="7"/>
        <v>2027</v>
      </c>
      <c r="Y6" s="149">
        <f t="shared" si="7"/>
        <v>2027</v>
      </c>
      <c r="Z6" s="149">
        <f t="shared" si="7"/>
        <v>2027</v>
      </c>
      <c r="AA6" s="149">
        <f t="shared" si="7"/>
        <v>2028</v>
      </c>
      <c r="AB6" s="149">
        <f t="shared" si="7"/>
        <v>2028</v>
      </c>
      <c r="AC6" s="149">
        <f t="shared" si="7"/>
        <v>2028</v>
      </c>
      <c r="AD6" s="149">
        <f t="shared" si="7"/>
        <v>2028</v>
      </c>
      <c r="AE6" s="149">
        <f t="shared" si="7"/>
        <v>2028</v>
      </c>
      <c r="AF6" s="149">
        <f t="shared" si="7"/>
        <v>2028</v>
      </c>
      <c r="AG6" s="149">
        <f t="shared" si="7"/>
        <v>2028</v>
      </c>
      <c r="AH6" s="149">
        <f t="shared" si="7"/>
        <v>2028</v>
      </c>
      <c r="AI6" s="149">
        <f t="shared" si="7"/>
        <v>2028</v>
      </c>
      <c r="AJ6" s="149">
        <f t="shared" si="7"/>
        <v>2028</v>
      </c>
      <c r="AK6" s="149">
        <f t="shared" si="7"/>
        <v>2028</v>
      </c>
      <c r="AL6" s="149">
        <f t="shared" si="7"/>
        <v>2028</v>
      </c>
      <c r="AM6" s="149">
        <f t="shared" si="7"/>
        <v>2029</v>
      </c>
      <c r="AN6" s="149">
        <f t="shared" si="7"/>
        <v>2029</v>
      </c>
      <c r="AO6" s="149">
        <f t="shared" si="7"/>
        <v>2029</v>
      </c>
      <c r="AP6" s="149">
        <f t="shared" si="7"/>
        <v>2029</v>
      </c>
      <c r="AQ6" s="149">
        <f t="shared" si="7"/>
        <v>2029</v>
      </c>
      <c r="AR6" s="149">
        <f t="shared" si="7"/>
        <v>2029</v>
      </c>
      <c r="AS6" s="149">
        <f t="shared" si="7"/>
        <v>2029</v>
      </c>
      <c r="AT6" s="149">
        <f t="shared" si="7"/>
        <v>2029</v>
      </c>
      <c r="AU6" s="149">
        <f t="shared" si="7"/>
        <v>2029</v>
      </c>
      <c r="AV6" s="149">
        <f t="shared" si="7"/>
        <v>2029</v>
      </c>
      <c r="AW6" s="149">
        <f t="shared" si="7"/>
        <v>2029</v>
      </c>
      <c r="AX6" s="149">
        <f t="shared" si="7"/>
        <v>2029</v>
      </c>
      <c r="AY6" s="149">
        <f t="shared" si="7"/>
        <v>2030</v>
      </c>
      <c r="AZ6" s="149">
        <f t="shared" si="7"/>
        <v>2030</v>
      </c>
      <c r="BA6" s="149">
        <f t="shared" si="7"/>
        <v>2030</v>
      </c>
      <c r="BB6" s="149">
        <f t="shared" si="7"/>
        <v>2030</v>
      </c>
      <c r="BC6" s="149">
        <f t="shared" si="7"/>
        <v>2030</v>
      </c>
      <c r="BD6" s="149">
        <f t="shared" si="7"/>
        <v>2030</v>
      </c>
      <c r="BE6" s="149">
        <f t="shared" si="7"/>
        <v>2030</v>
      </c>
      <c r="BF6" s="149">
        <f t="shared" si="7"/>
        <v>2030</v>
      </c>
      <c r="BG6" s="149">
        <f t="shared" si="7"/>
        <v>2030</v>
      </c>
      <c r="BH6" s="149">
        <f t="shared" si="7"/>
        <v>2030</v>
      </c>
      <c r="BI6" s="149">
        <f t="shared" si="7"/>
        <v>2030</v>
      </c>
      <c r="BJ6" s="149">
        <f t="shared" si="7"/>
        <v>2030</v>
      </c>
      <c r="BK6" s="149">
        <f t="shared" si="7"/>
        <v>2031</v>
      </c>
      <c r="BL6" s="149">
        <f t="shared" si="7"/>
        <v>2031</v>
      </c>
      <c r="BM6" s="149">
        <f t="shared" si="7"/>
        <v>2031</v>
      </c>
      <c r="BN6" s="149">
        <f t="shared" si="7"/>
        <v>2031</v>
      </c>
      <c r="BO6" s="149">
        <f t="shared" si="7"/>
        <v>2031</v>
      </c>
      <c r="BP6" s="149">
        <f t="shared" si="7"/>
        <v>2031</v>
      </c>
      <c r="BQ6" s="149">
        <f t="shared" si="7"/>
        <v>2031</v>
      </c>
      <c r="BR6" s="149">
        <f t="shared" si="7"/>
        <v>2031</v>
      </c>
      <c r="BS6" s="149">
        <f t="shared" si="7"/>
        <v>2031</v>
      </c>
      <c r="BT6" s="149">
        <f t="shared" si="7"/>
        <v>2031</v>
      </c>
      <c r="BU6" s="149">
        <f t="shared" si="7"/>
        <v>2031</v>
      </c>
      <c r="BV6" s="149">
        <f t="shared" si="7"/>
        <v>2031</v>
      </c>
      <c r="BW6" s="149">
        <f t="shared" si="7"/>
        <v>2032</v>
      </c>
      <c r="BX6" s="149">
        <f t="shared" si="7"/>
        <v>2032</v>
      </c>
      <c r="BY6" s="149">
        <f t="shared" ref="BY6:EQ6" si="8">YEAR(BY$5)</f>
        <v>2032</v>
      </c>
      <c r="BZ6" s="149">
        <f t="shared" si="8"/>
        <v>2032</v>
      </c>
      <c r="CA6" s="149">
        <f t="shared" si="8"/>
        <v>2032</v>
      </c>
      <c r="CB6" s="149">
        <f t="shared" si="8"/>
        <v>2032</v>
      </c>
      <c r="CC6" s="149">
        <f t="shared" si="8"/>
        <v>2032</v>
      </c>
      <c r="CD6" s="149">
        <f t="shared" si="8"/>
        <v>2032</v>
      </c>
      <c r="CE6" s="149">
        <f t="shared" si="8"/>
        <v>2032</v>
      </c>
      <c r="CF6" s="149">
        <f t="shared" si="8"/>
        <v>2032</v>
      </c>
      <c r="CG6" s="149">
        <f t="shared" si="8"/>
        <v>2032</v>
      </c>
      <c r="CH6" s="149">
        <f t="shared" si="8"/>
        <v>2032</v>
      </c>
      <c r="CI6" s="149">
        <f t="shared" si="8"/>
        <v>2033</v>
      </c>
      <c r="CJ6" s="149">
        <f t="shared" si="8"/>
        <v>2033</v>
      </c>
      <c r="CK6" s="149">
        <f t="shared" si="8"/>
        <v>2033</v>
      </c>
      <c r="CL6" s="149">
        <f t="shared" si="8"/>
        <v>2033</v>
      </c>
      <c r="CM6" s="149">
        <f t="shared" si="8"/>
        <v>2033</v>
      </c>
      <c r="CN6" s="149">
        <f t="shared" si="8"/>
        <v>2033</v>
      </c>
      <c r="CO6" s="149">
        <f t="shared" si="8"/>
        <v>2033</v>
      </c>
      <c r="CP6" s="149">
        <f t="shared" si="8"/>
        <v>2033</v>
      </c>
      <c r="CQ6" s="149">
        <f t="shared" si="8"/>
        <v>2033</v>
      </c>
      <c r="CR6" s="149">
        <f t="shared" si="8"/>
        <v>2033</v>
      </c>
      <c r="CS6" s="149">
        <f t="shared" si="8"/>
        <v>2033</v>
      </c>
      <c r="CT6" s="149">
        <f t="shared" si="8"/>
        <v>2033</v>
      </c>
      <c r="CU6" s="149">
        <f t="shared" si="8"/>
        <v>2034</v>
      </c>
      <c r="CV6" s="149">
        <f t="shared" si="8"/>
        <v>2034</v>
      </c>
      <c r="CW6" s="149">
        <f t="shared" si="8"/>
        <v>2034</v>
      </c>
      <c r="CX6" s="149">
        <f t="shared" si="8"/>
        <v>2034</v>
      </c>
      <c r="CY6" s="149">
        <f t="shared" si="8"/>
        <v>2034</v>
      </c>
      <c r="CZ6" s="149">
        <f t="shared" si="8"/>
        <v>2034</v>
      </c>
      <c r="DA6" s="149">
        <f t="shared" si="8"/>
        <v>2034</v>
      </c>
      <c r="DB6" s="149">
        <f t="shared" si="8"/>
        <v>2034</v>
      </c>
      <c r="DC6" s="149">
        <f t="shared" si="8"/>
        <v>2034</v>
      </c>
      <c r="DD6" s="149">
        <f t="shared" si="8"/>
        <v>2034</v>
      </c>
      <c r="DE6" s="149">
        <f t="shared" si="8"/>
        <v>2034</v>
      </c>
      <c r="DF6" s="149">
        <f t="shared" si="8"/>
        <v>2034</v>
      </c>
      <c r="DG6" s="149">
        <f t="shared" si="8"/>
        <v>2035</v>
      </c>
      <c r="DH6" s="149">
        <f t="shared" si="8"/>
        <v>2035</v>
      </c>
      <c r="DI6" s="149">
        <f t="shared" si="8"/>
        <v>2035</v>
      </c>
      <c r="DJ6" s="149">
        <f t="shared" si="8"/>
        <v>2035</v>
      </c>
      <c r="DK6" s="149">
        <f t="shared" si="8"/>
        <v>2035</v>
      </c>
      <c r="DL6" s="149">
        <f t="shared" si="8"/>
        <v>2035</v>
      </c>
      <c r="DM6" s="149">
        <f t="shared" si="8"/>
        <v>2035</v>
      </c>
      <c r="DN6" s="149">
        <f t="shared" si="8"/>
        <v>2035</v>
      </c>
      <c r="DO6" s="149">
        <f t="shared" si="8"/>
        <v>2035</v>
      </c>
      <c r="DP6" s="149">
        <f t="shared" si="8"/>
        <v>2035</v>
      </c>
      <c r="DQ6" s="149">
        <f t="shared" si="8"/>
        <v>2035</v>
      </c>
      <c r="DR6" s="149">
        <f t="shared" si="8"/>
        <v>2035</v>
      </c>
      <c r="DS6" s="149">
        <f t="shared" si="8"/>
        <v>2036</v>
      </c>
      <c r="DT6" s="149">
        <f t="shared" si="8"/>
        <v>2036</v>
      </c>
      <c r="DU6" s="149">
        <f t="shared" si="8"/>
        <v>2036</v>
      </c>
      <c r="DV6" s="149">
        <f t="shared" si="8"/>
        <v>2036</v>
      </c>
      <c r="DW6" s="149">
        <f t="shared" si="8"/>
        <v>2036</v>
      </c>
      <c r="DX6" s="149">
        <f t="shared" si="8"/>
        <v>2036</v>
      </c>
      <c r="DY6" s="149">
        <f t="shared" si="8"/>
        <v>2036</v>
      </c>
      <c r="DZ6" s="149">
        <f t="shared" si="8"/>
        <v>2036</v>
      </c>
      <c r="EA6" s="149">
        <f t="shared" si="8"/>
        <v>2036</v>
      </c>
      <c r="EB6" s="149">
        <f t="shared" si="8"/>
        <v>2036</v>
      </c>
      <c r="EC6" s="149">
        <f t="shared" si="8"/>
        <v>2036</v>
      </c>
      <c r="ED6" s="149">
        <f t="shared" si="8"/>
        <v>2036</v>
      </c>
      <c r="EE6" s="149">
        <f t="shared" si="8"/>
        <v>2037</v>
      </c>
      <c r="EF6" s="149">
        <f t="shared" si="8"/>
        <v>2037</v>
      </c>
      <c r="EG6" s="149">
        <f t="shared" si="8"/>
        <v>2037</v>
      </c>
      <c r="EH6" s="149">
        <f t="shared" si="8"/>
        <v>2037</v>
      </c>
      <c r="EI6" s="149">
        <f t="shared" si="8"/>
        <v>2037</v>
      </c>
      <c r="EJ6" s="149">
        <f t="shared" si="8"/>
        <v>2037</v>
      </c>
      <c r="EK6" s="149">
        <f t="shared" si="8"/>
        <v>2037</v>
      </c>
      <c r="EL6" s="149">
        <f t="shared" si="8"/>
        <v>2037</v>
      </c>
      <c r="EM6" s="149">
        <f t="shared" si="8"/>
        <v>2037</v>
      </c>
      <c r="EN6" s="149">
        <f t="shared" si="8"/>
        <v>2037</v>
      </c>
      <c r="EO6" s="149">
        <f t="shared" si="8"/>
        <v>2037</v>
      </c>
      <c r="EP6" s="149">
        <f t="shared" si="8"/>
        <v>2037</v>
      </c>
      <c r="EQ6" s="149">
        <f t="shared" si="8"/>
        <v>2038</v>
      </c>
      <c r="ER6" s="146"/>
      <c r="ES6" s="146"/>
      <c r="ET6" s="146"/>
      <c r="EU6" s="146"/>
    </row>
    <row r="7" spans="1:151" ht="11.25" customHeight="1">
      <c r="C7" s="147" t="s">
        <v>3</v>
      </c>
      <c r="D7" s="148"/>
      <c r="E7" s="148"/>
      <c r="F7" s="148"/>
      <c r="G7" s="148"/>
      <c r="H7" s="148"/>
      <c r="I7" s="148"/>
      <c r="J7" s="148"/>
      <c r="L7" s="149">
        <f>MONTH(L$5)</f>
        <v>10</v>
      </c>
      <c r="M7" s="149">
        <f t="shared" ref="M7:BX7" si="9">MONTH(M$5)</f>
        <v>11</v>
      </c>
      <c r="N7" s="149">
        <f t="shared" si="9"/>
        <v>12</v>
      </c>
      <c r="O7" s="149">
        <f t="shared" si="9"/>
        <v>1</v>
      </c>
      <c r="P7" s="149">
        <f t="shared" si="9"/>
        <v>2</v>
      </c>
      <c r="Q7" s="149">
        <f t="shared" si="9"/>
        <v>3</v>
      </c>
      <c r="R7" s="149">
        <f t="shared" si="9"/>
        <v>4</v>
      </c>
      <c r="S7" s="149">
        <f t="shared" si="9"/>
        <v>5</v>
      </c>
      <c r="T7" s="149">
        <f t="shared" si="9"/>
        <v>6</v>
      </c>
      <c r="U7" s="149">
        <f t="shared" si="9"/>
        <v>7</v>
      </c>
      <c r="V7" s="149">
        <f t="shared" si="9"/>
        <v>8</v>
      </c>
      <c r="W7" s="149">
        <f t="shared" si="9"/>
        <v>9</v>
      </c>
      <c r="X7" s="149">
        <f t="shared" si="9"/>
        <v>10</v>
      </c>
      <c r="Y7" s="149">
        <f t="shared" si="9"/>
        <v>11</v>
      </c>
      <c r="Z7" s="149">
        <f t="shared" si="9"/>
        <v>12</v>
      </c>
      <c r="AA7" s="149">
        <f t="shared" si="9"/>
        <v>1</v>
      </c>
      <c r="AB7" s="149">
        <f t="shared" si="9"/>
        <v>2</v>
      </c>
      <c r="AC7" s="149">
        <f t="shared" si="9"/>
        <v>3</v>
      </c>
      <c r="AD7" s="149">
        <f t="shared" si="9"/>
        <v>4</v>
      </c>
      <c r="AE7" s="149">
        <f t="shared" si="9"/>
        <v>5</v>
      </c>
      <c r="AF7" s="149">
        <f t="shared" si="9"/>
        <v>6</v>
      </c>
      <c r="AG7" s="149">
        <f t="shared" si="9"/>
        <v>7</v>
      </c>
      <c r="AH7" s="149">
        <f t="shared" si="9"/>
        <v>8</v>
      </c>
      <c r="AI7" s="149">
        <f t="shared" si="9"/>
        <v>9</v>
      </c>
      <c r="AJ7" s="149">
        <f t="shared" si="9"/>
        <v>10</v>
      </c>
      <c r="AK7" s="149">
        <f t="shared" si="9"/>
        <v>11</v>
      </c>
      <c r="AL7" s="149">
        <f t="shared" si="9"/>
        <v>12</v>
      </c>
      <c r="AM7" s="149">
        <f t="shared" si="9"/>
        <v>1</v>
      </c>
      <c r="AN7" s="149">
        <f t="shared" si="9"/>
        <v>2</v>
      </c>
      <c r="AO7" s="149">
        <f t="shared" si="9"/>
        <v>3</v>
      </c>
      <c r="AP7" s="149">
        <f t="shared" si="9"/>
        <v>4</v>
      </c>
      <c r="AQ7" s="149">
        <f t="shared" si="9"/>
        <v>5</v>
      </c>
      <c r="AR7" s="149">
        <f t="shared" si="9"/>
        <v>6</v>
      </c>
      <c r="AS7" s="149">
        <f t="shared" si="9"/>
        <v>7</v>
      </c>
      <c r="AT7" s="149">
        <f t="shared" si="9"/>
        <v>8</v>
      </c>
      <c r="AU7" s="149">
        <f t="shared" si="9"/>
        <v>9</v>
      </c>
      <c r="AV7" s="149">
        <f t="shared" si="9"/>
        <v>10</v>
      </c>
      <c r="AW7" s="149">
        <f t="shared" si="9"/>
        <v>11</v>
      </c>
      <c r="AX7" s="149">
        <f t="shared" si="9"/>
        <v>12</v>
      </c>
      <c r="AY7" s="149">
        <f t="shared" si="9"/>
        <v>1</v>
      </c>
      <c r="AZ7" s="149">
        <f t="shared" si="9"/>
        <v>2</v>
      </c>
      <c r="BA7" s="149">
        <f t="shared" si="9"/>
        <v>3</v>
      </c>
      <c r="BB7" s="149">
        <f t="shared" si="9"/>
        <v>4</v>
      </c>
      <c r="BC7" s="149">
        <f t="shared" si="9"/>
        <v>5</v>
      </c>
      <c r="BD7" s="149">
        <f t="shared" si="9"/>
        <v>6</v>
      </c>
      <c r="BE7" s="149">
        <f t="shared" si="9"/>
        <v>7</v>
      </c>
      <c r="BF7" s="149">
        <f t="shared" si="9"/>
        <v>8</v>
      </c>
      <c r="BG7" s="149">
        <f t="shared" si="9"/>
        <v>9</v>
      </c>
      <c r="BH7" s="149">
        <f t="shared" si="9"/>
        <v>10</v>
      </c>
      <c r="BI7" s="149">
        <f t="shared" si="9"/>
        <v>11</v>
      </c>
      <c r="BJ7" s="149">
        <f t="shared" si="9"/>
        <v>12</v>
      </c>
      <c r="BK7" s="149">
        <f t="shared" si="9"/>
        <v>1</v>
      </c>
      <c r="BL7" s="149">
        <f t="shared" si="9"/>
        <v>2</v>
      </c>
      <c r="BM7" s="149">
        <f t="shared" si="9"/>
        <v>3</v>
      </c>
      <c r="BN7" s="149">
        <f t="shared" si="9"/>
        <v>4</v>
      </c>
      <c r="BO7" s="149">
        <f t="shared" si="9"/>
        <v>5</v>
      </c>
      <c r="BP7" s="149">
        <f t="shared" si="9"/>
        <v>6</v>
      </c>
      <c r="BQ7" s="149">
        <f t="shared" si="9"/>
        <v>7</v>
      </c>
      <c r="BR7" s="149">
        <f t="shared" si="9"/>
        <v>8</v>
      </c>
      <c r="BS7" s="149">
        <f t="shared" si="9"/>
        <v>9</v>
      </c>
      <c r="BT7" s="149">
        <f t="shared" si="9"/>
        <v>10</v>
      </c>
      <c r="BU7" s="149">
        <f t="shared" si="9"/>
        <v>11</v>
      </c>
      <c r="BV7" s="149">
        <f t="shared" si="9"/>
        <v>12</v>
      </c>
      <c r="BW7" s="149">
        <f t="shared" si="9"/>
        <v>1</v>
      </c>
      <c r="BX7" s="149">
        <f t="shared" si="9"/>
        <v>2</v>
      </c>
      <c r="BY7" s="149">
        <f t="shared" ref="BY7:EQ7" si="10">MONTH(BY$5)</f>
        <v>3</v>
      </c>
      <c r="BZ7" s="149">
        <f t="shared" si="10"/>
        <v>4</v>
      </c>
      <c r="CA7" s="149">
        <f t="shared" si="10"/>
        <v>5</v>
      </c>
      <c r="CB7" s="149">
        <f t="shared" si="10"/>
        <v>6</v>
      </c>
      <c r="CC7" s="149">
        <f t="shared" si="10"/>
        <v>7</v>
      </c>
      <c r="CD7" s="149">
        <f t="shared" si="10"/>
        <v>8</v>
      </c>
      <c r="CE7" s="149">
        <f t="shared" si="10"/>
        <v>9</v>
      </c>
      <c r="CF7" s="149">
        <f t="shared" si="10"/>
        <v>10</v>
      </c>
      <c r="CG7" s="149">
        <f t="shared" si="10"/>
        <v>11</v>
      </c>
      <c r="CH7" s="149">
        <f t="shared" si="10"/>
        <v>12</v>
      </c>
      <c r="CI7" s="149">
        <f t="shared" si="10"/>
        <v>1</v>
      </c>
      <c r="CJ7" s="149">
        <f t="shared" si="10"/>
        <v>2</v>
      </c>
      <c r="CK7" s="149">
        <f t="shared" si="10"/>
        <v>3</v>
      </c>
      <c r="CL7" s="149">
        <f t="shared" si="10"/>
        <v>4</v>
      </c>
      <c r="CM7" s="149">
        <f t="shared" si="10"/>
        <v>5</v>
      </c>
      <c r="CN7" s="149">
        <f t="shared" si="10"/>
        <v>6</v>
      </c>
      <c r="CO7" s="149">
        <f t="shared" si="10"/>
        <v>7</v>
      </c>
      <c r="CP7" s="149">
        <f t="shared" si="10"/>
        <v>8</v>
      </c>
      <c r="CQ7" s="149">
        <f t="shared" si="10"/>
        <v>9</v>
      </c>
      <c r="CR7" s="149">
        <f t="shared" si="10"/>
        <v>10</v>
      </c>
      <c r="CS7" s="149">
        <f t="shared" si="10"/>
        <v>11</v>
      </c>
      <c r="CT7" s="149">
        <f t="shared" si="10"/>
        <v>12</v>
      </c>
      <c r="CU7" s="149">
        <f t="shared" si="10"/>
        <v>1</v>
      </c>
      <c r="CV7" s="149">
        <f t="shared" si="10"/>
        <v>2</v>
      </c>
      <c r="CW7" s="149">
        <f t="shared" si="10"/>
        <v>3</v>
      </c>
      <c r="CX7" s="149">
        <f t="shared" si="10"/>
        <v>4</v>
      </c>
      <c r="CY7" s="149">
        <f t="shared" si="10"/>
        <v>5</v>
      </c>
      <c r="CZ7" s="149">
        <f t="shared" si="10"/>
        <v>6</v>
      </c>
      <c r="DA7" s="149">
        <f t="shared" si="10"/>
        <v>7</v>
      </c>
      <c r="DB7" s="149">
        <f t="shared" si="10"/>
        <v>8</v>
      </c>
      <c r="DC7" s="149">
        <f t="shared" si="10"/>
        <v>9</v>
      </c>
      <c r="DD7" s="149">
        <f t="shared" si="10"/>
        <v>10</v>
      </c>
      <c r="DE7" s="149">
        <f t="shared" si="10"/>
        <v>11</v>
      </c>
      <c r="DF7" s="149">
        <f t="shared" si="10"/>
        <v>12</v>
      </c>
      <c r="DG7" s="149">
        <f t="shared" si="10"/>
        <v>1</v>
      </c>
      <c r="DH7" s="149">
        <f t="shared" si="10"/>
        <v>2</v>
      </c>
      <c r="DI7" s="149">
        <f t="shared" si="10"/>
        <v>3</v>
      </c>
      <c r="DJ7" s="149">
        <f t="shared" si="10"/>
        <v>4</v>
      </c>
      <c r="DK7" s="149">
        <f t="shared" si="10"/>
        <v>5</v>
      </c>
      <c r="DL7" s="149">
        <f t="shared" si="10"/>
        <v>6</v>
      </c>
      <c r="DM7" s="149">
        <f t="shared" si="10"/>
        <v>7</v>
      </c>
      <c r="DN7" s="149">
        <f t="shared" si="10"/>
        <v>8</v>
      </c>
      <c r="DO7" s="149">
        <f t="shared" si="10"/>
        <v>9</v>
      </c>
      <c r="DP7" s="149">
        <f t="shared" si="10"/>
        <v>10</v>
      </c>
      <c r="DQ7" s="149">
        <f t="shared" si="10"/>
        <v>11</v>
      </c>
      <c r="DR7" s="149">
        <f t="shared" si="10"/>
        <v>12</v>
      </c>
      <c r="DS7" s="149">
        <f t="shared" si="10"/>
        <v>1</v>
      </c>
      <c r="DT7" s="149">
        <f t="shared" si="10"/>
        <v>2</v>
      </c>
      <c r="DU7" s="149">
        <f t="shared" si="10"/>
        <v>3</v>
      </c>
      <c r="DV7" s="149">
        <f t="shared" si="10"/>
        <v>4</v>
      </c>
      <c r="DW7" s="149">
        <f t="shared" si="10"/>
        <v>5</v>
      </c>
      <c r="DX7" s="149">
        <f t="shared" si="10"/>
        <v>6</v>
      </c>
      <c r="DY7" s="149">
        <f t="shared" si="10"/>
        <v>7</v>
      </c>
      <c r="DZ7" s="149">
        <f t="shared" si="10"/>
        <v>8</v>
      </c>
      <c r="EA7" s="149">
        <f t="shared" si="10"/>
        <v>9</v>
      </c>
      <c r="EB7" s="149">
        <f t="shared" si="10"/>
        <v>10</v>
      </c>
      <c r="EC7" s="149">
        <f t="shared" si="10"/>
        <v>11</v>
      </c>
      <c r="ED7" s="149">
        <f t="shared" si="10"/>
        <v>12</v>
      </c>
      <c r="EE7" s="149">
        <f t="shared" si="10"/>
        <v>1</v>
      </c>
      <c r="EF7" s="149">
        <f t="shared" si="10"/>
        <v>2</v>
      </c>
      <c r="EG7" s="149">
        <f t="shared" si="10"/>
        <v>3</v>
      </c>
      <c r="EH7" s="149">
        <f t="shared" si="10"/>
        <v>4</v>
      </c>
      <c r="EI7" s="149">
        <f t="shared" si="10"/>
        <v>5</v>
      </c>
      <c r="EJ7" s="149">
        <f t="shared" si="10"/>
        <v>6</v>
      </c>
      <c r="EK7" s="149">
        <f t="shared" si="10"/>
        <v>7</v>
      </c>
      <c r="EL7" s="149">
        <f t="shared" si="10"/>
        <v>8</v>
      </c>
      <c r="EM7" s="149">
        <f t="shared" si="10"/>
        <v>9</v>
      </c>
      <c r="EN7" s="149">
        <f t="shared" si="10"/>
        <v>10</v>
      </c>
      <c r="EO7" s="149">
        <f t="shared" si="10"/>
        <v>11</v>
      </c>
      <c r="EP7" s="149">
        <f t="shared" si="10"/>
        <v>12</v>
      </c>
      <c r="EQ7" s="149">
        <f t="shared" si="10"/>
        <v>1</v>
      </c>
      <c r="ER7" s="146"/>
      <c r="ES7" s="146"/>
      <c r="ET7" s="146"/>
      <c r="EU7" s="146"/>
    </row>
    <row r="8" spans="1:151" ht="11.25" customHeight="1">
      <c r="C8" s="147" t="s">
        <v>153</v>
      </c>
      <c r="D8" s="148"/>
      <c r="E8" s="148"/>
      <c r="F8" s="148"/>
      <c r="G8" s="148"/>
      <c r="H8" s="148"/>
      <c r="I8" s="148"/>
      <c r="J8" s="148"/>
      <c r="L8" s="150">
        <f>L44</f>
        <v>0</v>
      </c>
      <c r="M8" s="150">
        <f t="shared" ref="M8:BX9" si="11">M44</f>
        <v>1</v>
      </c>
      <c r="N8" s="150">
        <f t="shared" si="11"/>
        <v>2</v>
      </c>
      <c r="O8" s="150">
        <f t="shared" si="11"/>
        <v>3</v>
      </c>
      <c r="P8" s="150">
        <f t="shared" si="11"/>
        <v>4</v>
      </c>
      <c r="Q8" s="150">
        <f t="shared" si="11"/>
        <v>5</v>
      </c>
      <c r="R8" s="150">
        <f t="shared" si="11"/>
        <v>6</v>
      </c>
      <c r="S8" s="150">
        <f t="shared" si="11"/>
        <v>7</v>
      </c>
      <c r="T8" s="150">
        <f t="shared" si="11"/>
        <v>8</v>
      </c>
      <c r="U8" s="150">
        <f t="shared" si="11"/>
        <v>9</v>
      </c>
      <c r="V8" s="150">
        <f t="shared" si="11"/>
        <v>10</v>
      </c>
      <c r="W8" s="150">
        <f t="shared" si="11"/>
        <v>11</v>
      </c>
      <c r="X8" s="150">
        <f t="shared" si="11"/>
        <v>12</v>
      </c>
      <c r="Y8" s="150">
        <f t="shared" si="11"/>
        <v>13</v>
      </c>
      <c r="Z8" s="150">
        <f t="shared" si="11"/>
        <v>14</v>
      </c>
      <c r="AA8" s="150">
        <f t="shared" si="11"/>
        <v>15</v>
      </c>
      <c r="AB8" s="150">
        <f t="shared" si="11"/>
        <v>16</v>
      </c>
      <c r="AC8" s="150">
        <f t="shared" si="11"/>
        <v>17</v>
      </c>
      <c r="AD8" s="150">
        <f t="shared" si="11"/>
        <v>18</v>
      </c>
      <c r="AE8" s="150">
        <f t="shared" si="11"/>
        <v>19</v>
      </c>
      <c r="AF8" s="150">
        <f t="shared" si="11"/>
        <v>20</v>
      </c>
      <c r="AG8" s="150">
        <f t="shared" si="11"/>
        <v>21</v>
      </c>
      <c r="AH8" s="150">
        <f t="shared" si="11"/>
        <v>22</v>
      </c>
      <c r="AI8" s="150">
        <f t="shared" si="11"/>
        <v>23</v>
      </c>
      <c r="AJ8" s="150">
        <f t="shared" si="11"/>
        <v>24</v>
      </c>
      <c r="AK8" s="150">
        <f t="shared" si="11"/>
        <v>25</v>
      </c>
      <c r="AL8" s="150">
        <f t="shared" si="11"/>
        <v>26</v>
      </c>
      <c r="AM8" s="150">
        <f t="shared" si="11"/>
        <v>27</v>
      </c>
      <c r="AN8" s="150">
        <f t="shared" si="11"/>
        <v>28</v>
      </c>
      <c r="AO8" s="150">
        <f t="shared" si="11"/>
        <v>29</v>
      </c>
      <c r="AP8" s="150">
        <f t="shared" si="11"/>
        <v>30</v>
      </c>
      <c r="AQ8" s="150">
        <f t="shared" si="11"/>
        <v>31</v>
      </c>
      <c r="AR8" s="150">
        <f t="shared" si="11"/>
        <v>32</v>
      </c>
      <c r="AS8" s="150">
        <f t="shared" si="11"/>
        <v>33</v>
      </c>
      <c r="AT8" s="150">
        <f t="shared" si="11"/>
        <v>34</v>
      </c>
      <c r="AU8" s="150">
        <f t="shared" si="11"/>
        <v>35</v>
      </c>
      <c r="AV8" s="150">
        <f t="shared" si="11"/>
        <v>36</v>
      </c>
      <c r="AW8" s="150">
        <f t="shared" si="11"/>
        <v>37</v>
      </c>
      <c r="AX8" s="150">
        <f t="shared" si="11"/>
        <v>38</v>
      </c>
      <c r="AY8" s="150">
        <f t="shared" si="11"/>
        <v>39</v>
      </c>
      <c r="AZ8" s="150">
        <f t="shared" si="11"/>
        <v>40</v>
      </c>
      <c r="BA8" s="150">
        <f t="shared" si="11"/>
        <v>41</v>
      </c>
      <c r="BB8" s="150">
        <f t="shared" si="11"/>
        <v>42</v>
      </c>
      <c r="BC8" s="150">
        <f t="shared" si="11"/>
        <v>43</v>
      </c>
      <c r="BD8" s="150">
        <f t="shared" si="11"/>
        <v>44</v>
      </c>
      <c r="BE8" s="150">
        <f t="shared" si="11"/>
        <v>45</v>
      </c>
      <c r="BF8" s="150">
        <f t="shared" si="11"/>
        <v>46</v>
      </c>
      <c r="BG8" s="150">
        <f t="shared" si="11"/>
        <v>47</v>
      </c>
      <c r="BH8" s="150">
        <f t="shared" si="11"/>
        <v>48</v>
      </c>
      <c r="BI8" s="150">
        <f t="shared" si="11"/>
        <v>49</v>
      </c>
      <c r="BJ8" s="150">
        <f t="shared" si="11"/>
        <v>50</v>
      </c>
      <c r="BK8" s="150">
        <f t="shared" si="11"/>
        <v>51</v>
      </c>
      <c r="BL8" s="150">
        <f t="shared" si="11"/>
        <v>52</v>
      </c>
      <c r="BM8" s="150">
        <f t="shared" si="11"/>
        <v>53</v>
      </c>
      <c r="BN8" s="150">
        <f t="shared" si="11"/>
        <v>54</v>
      </c>
      <c r="BO8" s="150">
        <f t="shared" si="11"/>
        <v>55</v>
      </c>
      <c r="BP8" s="150">
        <f t="shared" si="11"/>
        <v>56</v>
      </c>
      <c r="BQ8" s="150">
        <f t="shared" si="11"/>
        <v>57</v>
      </c>
      <c r="BR8" s="150">
        <f t="shared" si="11"/>
        <v>58</v>
      </c>
      <c r="BS8" s="150">
        <f t="shared" si="11"/>
        <v>59</v>
      </c>
      <c r="BT8" s="150">
        <f t="shared" si="11"/>
        <v>60</v>
      </c>
      <c r="BU8" s="150">
        <f t="shared" si="11"/>
        <v>61</v>
      </c>
      <c r="BV8" s="150">
        <f t="shared" si="11"/>
        <v>62</v>
      </c>
      <c r="BW8" s="150">
        <f t="shared" si="11"/>
        <v>63</v>
      </c>
      <c r="BX8" s="150">
        <f t="shared" si="11"/>
        <v>64</v>
      </c>
      <c r="BY8" s="150">
        <f t="shared" ref="BY8:DU11" si="12">BY44</f>
        <v>65</v>
      </c>
      <c r="BZ8" s="150">
        <f t="shared" si="12"/>
        <v>66</v>
      </c>
      <c r="CA8" s="150">
        <f t="shared" si="12"/>
        <v>67</v>
      </c>
      <c r="CB8" s="150">
        <f t="shared" si="12"/>
        <v>68</v>
      </c>
      <c r="CC8" s="150">
        <f t="shared" si="12"/>
        <v>69</v>
      </c>
      <c r="CD8" s="150">
        <f t="shared" si="12"/>
        <v>70</v>
      </c>
      <c r="CE8" s="150">
        <f t="shared" si="12"/>
        <v>71</v>
      </c>
      <c r="CF8" s="150">
        <f t="shared" si="12"/>
        <v>72</v>
      </c>
      <c r="CG8" s="150">
        <f t="shared" si="12"/>
        <v>73</v>
      </c>
      <c r="CH8" s="150">
        <f t="shared" si="12"/>
        <v>74</v>
      </c>
      <c r="CI8" s="150">
        <f t="shared" si="12"/>
        <v>75</v>
      </c>
      <c r="CJ8" s="150">
        <f t="shared" si="12"/>
        <v>76</v>
      </c>
      <c r="CK8" s="150">
        <f t="shared" si="12"/>
        <v>77</v>
      </c>
      <c r="CL8" s="150">
        <f t="shared" si="12"/>
        <v>78</v>
      </c>
      <c r="CM8" s="150">
        <f t="shared" si="12"/>
        <v>79</v>
      </c>
      <c r="CN8" s="150">
        <f t="shared" si="12"/>
        <v>80</v>
      </c>
      <c r="CO8" s="150">
        <f t="shared" si="12"/>
        <v>81</v>
      </c>
      <c r="CP8" s="150">
        <f t="shared" si="12"/>
        <v>82</v>
      </c>
      <c r="CQ8" s="150">
        <f t="shared" si="12"/>
        <v>83</v>
      </c>
      <c r="CR8" s="150">
        <f t="shared" si="12"/>
        <v>84</v>
      </c>
      <c r="CS8" s="150">
        <f t="shared" si="12"/>
        <v>85</v>
      </c>
      <c r="CT8" s="150">
        <f t="shared" si="12"/>
        <v>86</v>
      </c>
      <c r="CU8" s="150">
        <f t="shared" si="12"/>
        <v>87</v>
      </c>
      <c r="CV8" s="150">
        <f t="shared" si="12"/>
        <v>88</v>
      </c>
      <c r="CW8" s="150">
        <f t="shared" si="12"/>
        <v>89</v>
      </c>
      <c r="CX8" s="150">
        <f t="shared" si="12"/>
        <v>90</v>
      </c>
      <c r="CY8" s="150">
        <f t="shared" si="12"/>
        <v>91</v>
      </c>
      <c r="CZ8" s="150">
        <f t="shared" si="12"/>
        <v>92</v>
      </c>
      <c r="DA8" s="150">
        <f t="shared" si="12"/>
        <v>93</v>
      </c>
      <c r="DB8" s="150">
        <f t="shared" si="12"/>
        <v>94</v>
      </c>
      <c r="DC8" s="150">
        <f t="shared" si="12"/>
        <v>95</v>
      </c>
      <c r="DD8" s="150">
        <f t="shared" si="12"/>
        <v>96</v>
      </c>
      <c r="DE8" s="150">
        <f t="shared" si="12"/>
        <v>97</v>
      </c>
      <c r="DF8" s="150">
        <f t="shared" si="12"/>
        <v>98</v>
      </c>
      <c r="DG8" s="150">
        <f t="shared" si="12"/>
        <v>99</v>
      </c>
      <c r="DH8" s="150">
        <f t="shared" si="12"/>
        <v>100</v>
      </c>
      <c r="DI8" s="150">
        <f t="shared" si="12"/>
        <v>101</v>
      </c>
      <c r="DJ8" s="150">
        <f t="shared" si="12"/>
        <v>102</v>
      </c>
      <c r="DK8" s="150">
        <f t="shared" si="12"/>
        <v>103</v>
      </c>
      <c r="DL8" s="150">
        <f t="shared" si="12"/>
        <v>104</v>
      </c>
      <c r="DM8" s="150">
        <f t="shared" si="12"/>
        <v>105</v>
      </c>
      <c r="DN8" s="150">
        <f t="shared" si="12"/>
        <v>106</v>
      </c>
      <c r="DO8" s="150">
        <f t="shared" si="12"/>
        <v>107</v>
      </c>
      <c r="DP8" s="150">
        <f t="shared" si="12"/>
        <v>108</v>
      </c>
      <c r="DQ8" s="150">
        <f t="shared" si="12"/>
        <v>109</v>
      </c>
      <c r="DR8" s="150">
        <f t="shared" si="12"/>
        <v>110</v>
      </c>
      <c r="DS8" s="150">
        <f t="shared" si="12"/>
        <v>111</v>
      </c>
      <c r="DT8" s="150">
        <f t="shared" si="12"/>
        <v>112</v>
      </c>
      <c r="DU8" s="150">
        <f t="shared" si="12"/>
        <v>113</v>
      </c>
      <c r="DV8" s="150">
        <f t="shared" ref="DV8:EA8" si="13">DV44</f>
        <v>114</v>
      </c>
      <c r="DW8" s="150">
        <f t="shared" si="13"/>
        <v>115</v>
      </c>
      <c r="DX8" s="150">
        <f t="shared" si="13"/>
        <v>116</v>
      </c>
      <c r="DY8" s="150">
        <f t="shared" si="13"/>
        <v>117</v>
      </c>
      <c r="DZ8" s="150">
        <f t="shared" si="13"/>
        <v>118</v>
      </c>
      <c r="EA8" s="150">
        <f t="shared" si="13"/>
        <v>119</v>
      </c>
      <c r="EB8" s="150">
        <f t="shared" ref="EB8:EE11" si="14">EB44</f>
        <v>120</v>
      </c>
      <c r="EC8" s="150">
        <f t="shared" si="14"/>
        <v>121</v>
      </c>
      <c r="ED8" s="150">
        <f t="shared" si="14"/>
        <v>122</v>
      </c>
      <c r="EE8" s="150">
        <f t="shared" si="14"/>
        <v>123</v>
      </c>
      <c r="EF8" s="150">
        <f t="shared" ref="EF8:EP8" si="15">EF44</f>
        <v>124</v>
      </c>
      <c r="EG8" s="150">
        <f t="shared" si="15"/>
        <v>125</v>
      </c>
      <c r="EH8" s="150">
        <f t="shared" si="15"/>
        <v>126</v>
      </c>
      <c r="EI8" s="150">
        <f t="shared" si="15"/>
        <v>127</v>
      </c>
      <c r="EJ8" s="150">
        <f t="shared" si="15"/>
        <v>128</v>
      </c>
      <c r="EK8" s="150">
        <f t="shared" si="15"/>
        <v>129</v>
      </c>
      <c r="EL8" s="150">
        <f t="shared" si="15"/>
        <v>130</v>
      </c>
      <c r="EM8" s="150">
        <f t="shared" si="15"/>
        <v>131</v>
      </c>
      <c r="EN8" s="150">
        <f t="shared" si="15"/>
        <v>132</v>
      </c>
      <c r="EO8" s="150">
        <f t="shared" si="15"/>
        <v>133</v>
      </c>
      <c r="EP8" s="150">
        <f t="shared" si="15"/>
        <v>134</v>
      </c>
      <c r="EQ8" s="150">
        <f>EQ44</f>
        <v>135</v>
      </c>
    </row>
    <row r="9" spans="1:151" ht="11.25" customHeight="1">
      <c r="C9" s="147" t="s">
        <v>154</v>
      </c>
      <c r="D9" s="148"/>
      <c r="E9" s="148"/>
      <c r="F9" s="148"/>
      <c r="G9" s="148"/>
      <c r="H9" s="148"/>
      <c r="I9" s="148"/>
      <c r="J9" s="148"/>
      <c r="L9" s="151">
        <f>L45</f>
        <v>0</v>
      </c>
      <c r="M9" s="151">
        <f t="shared" ref="M9:AA9" si="16">M45</f>
        <v>1</v>
      </c>
      <c r="N9" s="151">
        <f t="shared" si="16"/>
        <v>1</v>
      </c>
      <c r="O9" s="151">
        <f t="shared" si="16"/>
        <v>1</v>
      </c>
      <c r="P9" s="151">
        <f t="shared" si="16"/>
        <v>2</v>
      </c>
      <c r="Q9" s="151">
        <f t="shared" si="16"/>
        <v>2</v>
      </c>
      <c r="R9" s="151">
        <f t="shared" si="16"/>
        <v>2</v>
      </c>
      <c r="S9" s="151">
        <f t="shared" si="16"/>
        <v>3</v>
      </c>
      <c r="T9" s="151">
        <f t="shared" si="16"/>
        <v>3</v>
      </c>
      <c r="U9" s="151">
        <f t="shared" si="16"/>
        <v>3</v>
      </c>
      <c r="V9" s="151">
        <f t="shared" si="16"/>
        <v>4</v>
      </c>
      <c r="W9" s="151">
        <f t="shared" si="16"/>
        <v>4</v>
      </c>
      <c r="X9" s="151">
        <f t="shared" si="16"/>
        <v>4</v>
      </c>
      <c r="Y9" s="151">
        <f t="shared" si="16"/>
        <v>5</v>
      </c>
      <c r="Z9" s="151">
        <f t="shared" si="16"/>
        <v>5</v>
      </c>
      <c r="AA9" s="151">
        <f t="shared" si="16"/>
        <v>5</v>
      </c>
      <c r="AB9" s="151">
        <f t="shared" si="11"/>
        <v>6</v>
      </c>
      <c r="AC9" s="151">
        <f t="shared" si="11"/>
        <v>6</v>
      </c>
      <c r="AD9" s="151">
        <f t="shared" si="11"/>
        <v>6</v>
      </c>
      <c r="AE9" s="151">
        <f t="shared" si="11"/>
        <v>7</v>
      </c>
      <c r="AF9" s="151">
        <f t="shared" si="11"/>
        <v>7</v>
      </c>
      <c r="AG9" s="151">
        <f t="shared" si="11"/>
        <v>7</v>
      </c>
      <c r="AH9" s="151">
        <f t="shared" si="11"/>
        <v>8</v>
      </c>
      <c r="AI9" s="151">
        <f t="shared" si="11"/>
        <v>8</v>
      </c>
      <c r="AJ9" s="151">
        <f t="shared" si="11"/>
        <v>8</v>
      </c>
      <c r="AK9" s="151">
        <f t="shared" si="11"/>
        <v>9</v>
      </c>
      <c r="AL9" s="151">
        <f t="shared" si="11"/>
        <v>9</v>
      </c>
      <c r="AM9" s="151">
        <f t="shared" si="11"/>
        <v>9</v>
      </c>
      <c r="AN9" s="151">
        <f t="shared" si="11"/>
        <v>10</v>
      </c>
      <c r="AO9" s="151">
        <f t="shared" si="11"/>
        <v>10</v>
      </c>
      <c r="AP9" s="151">
        <f t="shared" si="11"/>
        <v>10</v>
      </c>
      <c r="AQ9" s="151">
        <f t="shared" si="11"/>
        <v>11</v>
      </c>
      <c r="AR9" s="151">
        <f t="shared" si="11"/>
        <v>11</v>
      </c>
      <c r="AS9" s="151">
        <f t="shared" si="11"/>
        <v>11</v>
      </c>
      <c r="AT9" s="151">
        <f t="shared" si="11"/>
        <v>12</v>
      </c>
      <c r="AU9" s="151">
        <f t="shared" si="11"/>
        <v>12</v>
      </c>
      <c r="AV9" s="151">
        <f t="shared" si="11"/>
        <v>12</v>
      </c>
      <c r="AW9" s="151">
        <f t="shared" si="11"/>
        <v>13</v>
      </c>
      <c r="AX9" s="151">
        <f t="shared" si="11"/>
        <v>13</v>
      </c>
      <c r="AY9" s="151">
        <f t="shared" si="11"/>
        <v>13</v>
      </c>
      <c r="AZ9" s="151">
        <f t="shared" si="11"/>
        <v>14</v>
      </c>
      <c r="BA9" s="151">
        <f t="shared" si="11"/>
        <v>14</v>
      </c>
      <c r="BB9" s="151">
        <f t="shared" si="11"/>
        <v>14</v>
      </c>
      <c r="BC9" s="151">
        <f t="shared" si="11"/>
        <v>15</v>
      </c>
      <c r="BD9" s="151">
        <f t="shared" si="11"/>
        <v>15</v>
      </c>
      <c r="BE9" s="151">
        <f t="shared" si="11"/>
        <v>15</v>
      </c>
      <c r="BF9" s="151">
        <f t="shared" si="11"/>
        <v>16</v>
      </c>
      <c r="BG9" s="151">
        <f t="shared" si="11"/>
        <v>16</v>
      </c>
      <c r="BH9" s="151">
        <f t="shared" si="11"/>
        <v>16</v>
      </c>
      <c r="BI9" s="151">
        <f t="shared" si="11"/>
        <v>17</v>
      </c>
      <c r="BJ9" s="151">
        <f t="shared" si="11"/>
        <v>17</v>
      </c>
      <c r="BK9" s="151">
        <f t="shared" si="11"/>
        <v>17</v>
      </c>
      <c r="BL9" s="151">
        <f t="shared" si="11"/>
        <v>18</v>
      </c>
      <c r="BM9" s="151">
        <f t="shared" si="11"/>
        <v>18</v>
      </c>
      <c r="BN9" s="151">
        <f t="shared" si="11"/>
        <v>18</v>
      </c>
      <c r="BO9" s="151">
        <f t="shared" si="11"/>
        <v>19</v>
      </c>
      <c r="BP9" s="151">
        <f t="shared" si="11"/>
        <v>19</v>
      </c>
      <c r="BQ9" s="151">
        <f t="shared" si="11"/>
        <v>19</v>
      </c>
      <c r="BR9" s="151">
        <f t="shared" si="11"/>
        <v>20</v>
      </c>
      <c r="BS9" s="151">
        <f t="shared" si="11"/>
        <v>20</v>
      </c>
      <c r="BT9" s="151">
        <f t="shared" si="11"/>
        <v>20</v>
      </c>
      <c r="BU9" s="151">
        <f t="shared" si="11"/>
        <v>21</v>
      </c>
      <c r="BV9" s="151">
        <f t="shared" si="11"/>
        <v>21</v>
      </c>
      <c r="BW9" s="151">
        <f t="shared" si="11"/>
        <v>21</v>
      </c>
      <c r="BX9" s="151">
        <f t="shared" si="11"/>
        <v>22</v>
      </c>
      <c r="BY9" s="151">
        <f t="shared" si="12"/>
        <v>22</v>
      </c>
      <c r="BZ9" s="151">
        <f t="shared" si="12"/>
        <v>22</v>
      </c>
      <c r="CA9" s="151">
        <f t="shared" si="12"/>
        <v>23</v>
      </c>
      <c r="CB9" s="151">
        <f t="shared" si="12"/>
        <v>23</v>
      </c>
      <c r="CC9" s="151">
        <f t="shared" si="12"/>
        <v>23</v>
      </c>
      <c r="CD9" s="151">
        <f t="shared" si="12"/>
        <v>24</v>
      </c>
      <c r="CE9" s="151">
        <f t="shared" si="12"/>
        <v>24</v>
      </c>
      <c r="CF9" s="151">
        <f t="shared" si="12"/>
        <v>24</v>
      </c>
      <c r="CG9" s="151">
        <f t="shared" si="12"/>
        <v>25</v>
      </c>
      <c r="CH9" s="151">
        <f t="shared" si="12"/>
        <v>25</v>
      </c>
      <c r="CI9" s="151">
        <f t="shared" si="12"/>
        <v>25</v>
      </c>
      <c r="CJ9" s="151">
        <f t="shared" si="12"/>
        <v>26</v>
      </c>
      <c r="CK9" s="151">
        <f t="shared" si="12"/>
        <v>26</v>
      </c>
      <c r="CL9" s="151">
        <f t="shared" si="12"/>
        <v>26</v>
      </c>
      <c r="CM9" s="151">
        <f t="shared" si="12"/>
        <v>27</v>
      </c>
      <c r="CN9" s="151">
        <f t="shared" si="12"/>
        <v>27</v>
      </c>
      <c r="CO9" s="151">
        <f t="shared" si="12"/>
        <v>27</v>
      </c>
      <c r="CP9" s="151">
        <f t="shared" si="12"/>
        <v>28</v>
      </c>
      <c r="CQ9" s="151">
        <f t="shared" si="12"/>
        <v>28</v>
      </c>
      <c r="CR9" s="151">
        <f t="shared" si="12"/>
        <v>28</v>
      </c>
      <c r="CS9" s="151">
        <f t="shared" si="12"/>
        <v>29</v>
      </c>
      <c r="CT9" s="151">
        <f t="shared" si="12"/>
        <v>29</v>
      </c>
      <c r="CU9" s="151">
        <f t="shared" si="12"/>
        <v>29</v>
      </c>
      <c r="CV9" s="151">
        <f t="shared" si="12"/>
        <v>30</v>
      </c>
      <c r="CW9" s="151">
        <f t="shared" si="12"/>
        <v>30</v>
      </c>
      <c r="CX9" s="151">
        <f t="shared" si="12"/>
        <v>30</v>
      </c>
      <c r="CY9" s="151">
        <f t="shared" si="12"/>
        <v>31</v>
      </c>
      <c r="CZ9" s="151">
        <f t="shared" si="12"/>
        <v>31</v>
      </c>
      <c r="DA9" s="151">
        <f t="shared" si="12"/>
        <v>31</v>
      </c>
      <c r="DB9" s="151">
        <f t="shared" si="12"/>
        <v>32</v>
      </c>
      <c r="DC9" s="151">
        <f t="shared" si="12"/>
        <v>32</v>
      </c>
      <c r="DD9" s="151">
        <f t="shared" si="12"/>
        <v>32</v>
      </c>
      <c r="DE9" s="151">
        <f t="shared" si="12"/>
        <v>33</v>
      </c>
      <c r="DF9" s="151">
        <f t="shared" si="12"/>
        <v>33</v>
      </c>
      <c r="DG9" s="151">
        <f t="shared" si="12"/>
        <v>33</v>
      </c>
      <c r="DH9" s="151">
        <f t="shared" si="12"/>
        <v>34</v>
      </c>
      <c r="DI9" s="151">
        <f t="shared" si="12"/>
        <v>34</v>
      </c>
      <c r="DJ9" s="151">
        <f t="shared" si="12"/>
        <v>34</v>
      </c>
      <c r="DK9" s="151">
        <f t="shared" si="12"/>
        <v>35</v>
      </c>
      <c r="DL9" s="151">
        <f t="shared" si="12"/>
        <v>35</v>
      </c>
      <c r="DM9" s="151">
        <f t="shared" si="12"/>
        <v>35</v>
      </c>
      <c r="DN9" s="151">
        <f t="shared" si="12"/>
        <v>36</v>
      </c>
      <c r="DO9" s="151">
        <f t="shared" si="12"/>
        <v>36</v>
      </c>
      <c r="DP9" s="151">
        <f t="shared" si="12"/>
        <v>36</v>
      </c>
      <c r="DQ9" s="151">
        <f t="shared" si="12"/>
        <v>37</v>
      </c>
      <c r="DR9" s="151">
        <f t="shared" si="12"/>
        <v>37</v>
      </c>
      <c r="DS9" s="151">
        <f t="shared" si="12"/>
        <v>37</v>
      </c>
      <c r="DT9" s="151">
        <f t="shared" si="12"/>
        <v>38</v>
      </c>
      <c r="DU9" s="151">
        <f t="shared" si="12"/>
        <v>38</v>
      </c>
      <c r="DV9" s="151">
        <f t="shared" ref="DV9:EA9" si="17">DV45</f>
        <v>38</v>
      </c>
      <c r="DW9" s="151">
        <f t="shared" si="17"/>
        <v>39</v>
      </c>
      <c r="DX9" s="151">
        <f t="shared" si="17"/>
        <v>39</v>
      </c>
      <c r="DY9" s="151">
        <f t="shared" si="17"/>
        <v>39</v>
      </c>
      <c r="DZ9" s="151">
        <f t="shared" si="17"/>
        <v>40</v>
      </c>
      <c r="EA9" s="151">
        <f t="shared" si="17"/>
        <v>40</v>
      </c>
      <c r="EB9" s="151">
        <f t="shared" si="14"/>
        <v>40</v>
      </c>
      <c r="EC9" s="151">
        <f t="shared" si="14"/>
        <v>41</v>
      </c>
      <c r="ED9" s="151">
        <f t="shared" si="14"/>
        <v>41</v>
      </c>
      <c r="EE9" s="151">
        <f t="shared" si="14"/>
        <v>41</v>
      </c>
      <c r="EF9" s="151">
        <f t="shared" ref="EF9:EP9" si="18">EF45</f>
        <v>42</v>
      </c>
      <c r="EG9" s="151">
        <f t="shared" si="18"/>
        <v>42</v>
      </c>
      <c r="EH9" s="151">
        <f t="shared" si="18"/>
        <v>42</v>
      </c>
      <c r="EI9" s="151">
        <f t="shared" si="18"/>
        <v>43</v>
      </c>
      <c r="EJ9" s="151">
        <f t="shared" si="18"/>
        <v>43</v>
      </c>
      <c r="EK9" s="151">
        <f t="shared" si="18"/>
        <v>43</v>
      </c>
      <c r="EL9" s="151">
        <f t="shared" si="18"/>
        <v>44</v>
      </c>
      <c r="EM9" s="151">
        <f t="shared" si="18"/>
        <v>44</v>
      </c>
      <c r="EN9" s="151">
        <f t="shared" si="18"/>
        <v>44</v>
      </c>
      <c r="EO9" s="151">
        <f t="shared" si="18"/>
        <v>45</v>
      </c>
      <c r="EP9" s="151">
        <f t="shared" si="18"/>
        <v>45</v>
      </c>
      <c r="EQ9" s="151">
        <f>EQ45</f>
        <v>45</v>
      </c>
    </row>
    <row r="10" spans="1:151" ht="11.25" customHeight="1">
      <c r="C10" s="147" t="s">
        <v>155</v>
      </c>
      <c r="D10" s="148"/>
      <c r="E10" s="148"/>
      <c r="F10" s="148"/>
      <c r="G10" s="148"/>
      <c r="H10" s="148"/>
      <c r="I10" s="148"/>
      <c r="J10" s="148"/>
      <c r="L10" s="152">
        <f>L46</f>
        <v>0</v>
      </c>
      <c r="M10" s="152">
        <f t="shared" ref="M10:BX11" si="19">M46</f>
        <v>1</v>
      </c>
      <c r="N10" s="152">
        <f t="shared" si="19"/>
        <v>1</v>
      </c>
      <c r="O10" s="152">
        <f t="shared" si="19"/>
        <v>1</v>
      </c>
      <c r="P10" s="152">
        <f t="shared" si="19"/>
        <v>1</v>
      </c>
      <c r="Q10" s="152">
        <f t="shared" si="19"/>
        <v>1</v>
      </c>
      <c r="R10" s="152">
        <f t="shared" si="19"/>
        <v>1</v>
      </c>
      <c r="S10" s="152">
        <f t="shared" si="19"/>
        <v>2</v>
      </c>
      <c r="T10" s="152">
        <f t="shared" si="19"/>
        <v>2</v>
      </c>
      <c r="U10" s="152">
        <f t="shared" si="19"/>
        <v>2</v>
      </c>
      <c r="V10" s="152">
        <f t="shared" si="19"/>
        <v>2</v>
      </c>
      <c r="W10" s="152">
        <f t="shared" si="19"/>
        <v>2</v>
      </c>
      <c r="X10" s="152">
        <f t="shared" si="19"/>
        <v>2</v>
      </c>
      <c r="Y10" s="152">
        <f t="shared" si="19"/>
        <v>3</v>
      </c>
      <c r="Z10" s="152">
        <f t="shared" si="19"/>
        <v>3</v>
      </c>
      <c r="AA10" s="152">
        <f t="shared" si="19"/>
        <v>3</v>
      </c>
      <c r="AB10" s="152">
        <f t="shared" si="19"/>
        <v>3</v>
      </c>
      <c r="AC10" s="152">
        <f t="shared" si="19"/>
        <v>3</v>
      </c>
      <c r="AD10" s="152">
        <f t="shared" si="19"/>
        <v>3</v>
      </c>
      <c r="AE10" s="152">
        <f t="shared" si="19"/>
        <v>4</v>
      </c>
      <c r="AF10" s="152">
        <f t="shared" si="19"/>
        <v>4</v>
      </c>
      <c r="AG10" s="152">
        <f t="shared" si="19"/>
        <v>4</v>
      </c>
      <c r="AH10" s="152">
        <f t="shared" si="19"/>
        <v>4</v>
      </c>
      <c r="AI10" s="152">
        <f t="shared" si="19"/>
        <v>4</v>
      </c>
      <c r="AJ10" s="152">
        <f t="shared" si="19"/>
        <v>4</v>
      </c>
      <c r="AK10" s="152">
        <f t="shared" si="19"/>
        <v>5</v>
      </c>
      <c r="AL10" s="152">
        <f t="shared" si="19"/>
        <v>5</v>
      </c>
      <c r="AM10" s="152">
        <f t="shared" si="19"/>
        <v>5</v>
      </c>
      <c r="AN10" s="152">
        <f t="shared" si="19"/>
        <v>5</v>
      </c>
      <c r="AO10" s="152">
        <f t="shared" si="19"/>
        <v>5</v>
      </c>
      <c r="AP10" s="152">
        <f t="shared" si="19"/>
        <v>5</v>
      </c>
      <c r="AQ10" s="152">
        <f t="shared" si="19"/>
        <v>6</v>
      </c>
      <c r="AR10" s="152">
        <f t="shared" si="19"/>
        <v>6</v>
      </c>
      <c r="AS10" s="152">
        <f t="shared" si="19"/>
        <v>6</v>
      </c>
      <c r="AT10" s="152">
        <f t="shared" si="19"/>
        <v>6</v>
      </c>
      <c r="AU10" s="152">
        <f t="shared" si="19"/>
        <v>6</v>
      </c>
      <c r="AV10" s="152">
        <f t="shared" si="19"/>
        <v>6</v>
      </c>
      <c r="AW10" s="152">
        <f t="shared" si="19"/>
        <v>7</v>
      </c>
      <c r="AX10" s="152">
        <f t="shared" si="19"/>
        <v>7</v>
      </c>
      <c r="AY10" s="152">
        <f t="shared" si="19"/>
        <v>7</v>
      </c>
      <c r="AZ10" s="152">
        <f t="shared" si="19"/>
        <v>7</v>
      </c>
      <c r="BA10" s="152">
        <f t="shared" si="19"/>
        <v>7</v>
      </c>
      <c r="BB10" s="152">
        <f t="shared" si="19"/>
        <v>7</v>
      </c>
      <c r="BC10" s="152">
        <f t="shared" si="19"/>
        <v>8</v>
      </c>
      <c r="BD10" s="152">
        <f t="shared" si="19"/>
        <v>8</v>
      </c>
      <c r="BE10" s="152">
        <f t="shared" si="19"/>
        <v>8</v>
      </c>
      <c r="BF10" s="152">
        <f t="shared" si="19"/>
        <v>8</v>
      </c>
      <c r="BG10" s="152">
        <f t="shared" si="19"/>
        <v>8</v>
      </c>
      <c r="BH10" s="152">
        <f t="shared" si="19"/>
        <v>8</v>
      </c>
      <c r="BI10" s="152">
        <f t="shared" si="19"/>
        <v>9</v>
      </c>
      <c r="BJ10" s="152">
        <f t="shared" si="19"/>
        <v>9</v>
      </c>
      <c r="BK10" s="152">
        <f t="shared" si="19"/>
        <v>9</v>
      </c>
      <c r="BL10" s="152">
        <f t="shared" si="19"/>
        <v>9</v>
      </c>
      <c r="BM10" s="152">
        <f t="shared" si="19"/>
        <v>9</v>
      </c>
      <c r="BN10" s="152">
        <f t="shared" si="19"/>
        <v>9</v>
      </c>
      <c r="BO10" s="152">
        <f t="shared" si="19"/>
        <v>10</v>
      </c>
      <c r="BP10" s="152">
        <f t="shared" si="19"/>
        <v>10</v>
      </c>
      <c r="BQ10" s="152">
        <f t="shared" si="19"/>
        <v>10</v>
      </c>
      <c r="BR10" s="152">
        <f t="shared" si="19"/>
        <v>10</v>
      </c>
      <c r="BS10" s="152">
        <f t="shared" si="19"/>
        <v>10</v>
      </c>
      <c r="BT10" s="152">
        <f t="shared" si="19"/>
        <v>10</v>
      </c>
      <c r="BU10" s="152">
        <f t="shared" si="19"/>
        <v>11</v>
      </c>
      <c r="BV10" s="152">
        <f t="shared" si="19"/>
        <v>11</v>
      </c>
      <c r="BW10" s="152">
        <f t="shared" si="19"/>
        <v>11</v>
      </c>
      <c r="BX10" s="152">
        <f t="shared" si="19"/>
        <v>11</v>
      </c>
      <c r="BY10" s="152">
        <f t="shared" si="12"/>
        <v>11</v>
      </c>
      <c r="BZ10" s="152">
        <f t="shared" si="12"/>
        <v>11</v>
      </c>
      <c r="CA10" s="152">
        <f t="shared" si="12"/>
        <v>12</v>
      </c>
      <c r="CB10" s="152">
        <f t="shared" si="12"/>
        <v>12</v>
      </c>
      <c r="CC10" s="152">
        <f t="shared" si="12"/>
        <v>12</v>
      </c>
      <c r="CD10" s="152">
        <f t="shared" si="12"/>
        <v>12</v>
      </c>
      <c r="CE10" s="152">
        <f t="shared" si="12"/>
        <v>12</v>
      </c>
      <c r="CF10" s="152">
        <f t="shared" si="12"/>
        <v>12</v>
      </c>
      <c r="CG10" s="152">
        <f t="shared" si="12"/>
        <v>13</v>
      </c>
      <c r="CH10" s="152">
        <f t="shared" si="12"/>
        <v>13</v>
      </c>
      <c r="CI10" s="152">
        <f t="shared" si="12"/>
        <v>13</v>
      </c>
      <c r="CJ10" s="152">
        <f t="shared" si="12"/>
        <v>13</v>
      </c>
      <c r="CK10" s="152">
        <f t="shared" si="12"/>
        <v>13</v>
      </c>
      <c r="CL10" s="152">
        <f t="shared" si="12"/>
        <v>13</v>
      </c>
      <c r="CM10" s="152">
        <f t="shared" si="12"/>
        <v>14</v>
      </c>
      <c r="CN10" s="152">
        <f t="shared" si="12"/>
        <v>14</v>
      </c>
      <c r="CO10" s="152">
        <f t="shared" si="12"/>
        <v>14</v>
      </c>
      <c r="CP10" s="152">
        <f t="shared" si="12"/>
        <v>14</v>
      </c>
      <c r="CQ10" s="152">
        <f t="shared" si="12"/>
        <v>14</v>
      </c>
      <c r="CR10" s="152">
        <f t="shared" si="12"/>
        <v>14</v>
      </c>
      <c r="CS10" s="152">
        <f t="shared" si="12"/>
        <v>15</v>
      </c>
      <c r="CT10" s="152">
        <f t="shared" si="12"/>
        <v>15</v>
      </c>
      <c r="CU10" s="152">
        <f t="shared" si="12"/>
        <v>15</v>
      </c>
      <c r="CV10" s="152">
        <f t="shared" si="12"/>
        <v>15</v>
      </c>
      <c r="CW10" s="152">
        <f t="shared" si="12"/>
        <v>15</v>
      </c>
      <c r="CX10" s="152">
        <f t="shared" si="12"/>
        <v>15</v>
      </c>
      <c r="CY10" s="152">
        <f t="shared" si="12"/>
        <v>16</v>
      </c>
      <c r="CZ10" s="152">
        <f t="shared" si="12"/>
        <v>16</v>
      </c>
      <c r="DA10" s="152">
        <f t="shared" si="12"/>
        <v>16</v>
      </c>
      <c r="DB10" s="152">
        <f t="shared" si="12"/>
        <v>16</v>
      </c>
      <c r="DC10" s="152">
        <f t="shared" si="12"/>
        <v>16</v>
      </c>
      <c r="DD10" s="152">
        <f t="shared" si="12"/>
        <v>16</v>
      </c>
      <c r="DE10" s="152">
        <f t="shared" si="12"/>
        <v>17</v>
      </c>
      <c r="DF10" s="152">
        <f t="shared" si="12"/>
        <v>17</v>
      </c>
      <c r="DG10" s="152">
        <f t="shared" si="12"/>
        <v>17</v>
      </c>
      <c r="DH10" s="152">
        <f t="shared" si="12"/>
        <v>17</v>
      </c>
      <c r="DI10" s="152">
        <f t="shared" si="12"/>
        <v>17</v>
      </c>
      <c r="DJ10" s="152">
        <f t="shared" si="12"/>
        <v>17</v>
      </c>
      <c r="DK10" s="152">
        <f t="shared" si="12"/>
        <v>18</v>
      </c>
      <c r="DL10" s="152">
        <f t="shared" si="12"/>
        <v>18</v>
      </c>
      <c r="DM10" s="152">
        <f t="shared" si="12"/>
        <v>18</v>
      </c>
      <c r="DN10" s="152">
        <f t="shared" si="12"/>
        <v>18</v>
      </c>
      <c r="DO10" s="152">
        <f t="shared" si="12"/>
        <v>18</v>
      </c>
      <c r="DP10" s="152">
        <f t="shared" si="12"/>
        <v>18</v>
      </c>
      <c r="DQ10" s="152">
        <f t="shared" si="12"/>
        <v>19</v>
      </c>
      <c r="DR10" s="152">
        <f t="shared" si="12"/>
        <v>19</v>
      </c>
      <c r="DS10" s="152">
        <f t="shared" si="12"/>
        <v>19</v>
      </c>
      <c r="DT10" s="152">
        <f t="shared" si="12"/>
        <v>19</v>
      </c>
      <c r="DU10" s="152">
        <f t="shared" si="12"/>
        <v>19</v>
      </c>
      <c r="DV10" s="152">
        <f t="shared" ref="DV10:EA10" si="20">DV46</f>
        <v>19</v>
      </c>
      <c r="DW10" s="152">
        <f t="shared" si="20"/>
        <v>20</v>
      </c>
      <c r="DX10" s="152">
        <f t="shared" si="20"/>
        <v>20</v>
      </c>
      <c r="DY10" s="152">
        <f t="shared" si="20"/>
        <v>20</v>
      </c>
      <c r="DZ10" s="152">
        <f t="shared" si="20"/>
        <v>20</v>
      </c>
      <c r="EA10" s="152">
        <f t="shared" si="20"/>
        <v>20</v>
      </c>
      <c r="EB10" s="152">
        <f t="shared" si="14"/>
        <v>20</v>
      </c>
      <c r="EC10" s="152">
        <f t="shared" si="14"/>
        <v>21</v>
      </c>
      <c r="ED10" s="152">
        <f t="shared" si="14"/>
        <v>21</v>
      </c>
      <c r="EE10" s="152">
        <f t="shared" si="14"/>
        <v>21</v>
      </c>
      <c r="EF10" s="152">
        <f t="shared" ref="EF10:EP10" si="21">EF46</f>
        <v>21</v>
      </c>
      <c r="EG10" s="152">
        <f t="shared" si="21"/>
        <v>21</v>
      </c>
      <c r="EH10" s="152">
        <f t="shared" si="21"/>
        <v>21</v>
      </c>
      <c r="EI10" s="152">
        <f t="shared" si="21"/>
        <v>22</v>
      </c>
      <c r="EJ10" s="152">
        <f t="shared" si="21"/>
        <v>22</v>
      </c>
      <c r="EK10" s="152">
        <f t="shared" si="21"/>
        <v>22</v>
      </c>
      <c r="EL10" s="152">
        <f t="shared" si="21"/>
        <v>22</v>
      </c>
      <c r="EM10" s="152">
        <f t="shared" si="21"/>
        <v>22</v>
      </c>
      <c r="EN10" s="152">
        <f t="shared" si="21"/>
        <v>22</v>
      </c>
      <c r="EO10" s="152">
        <f t="shared" si="21"/>
        <v>23</v>
      </c>
      <c r="EP10" s="152">
        <f t="shared" si="21"/>
        <v>23</v>
      </c>
      <c r="EQ10" s="152">
        <f>EQ46</f>
        <v>23</v>
      </c>
    </row>
    <row r="11" spans="1:151" ht="11.25" customHeight="1">
      <c r="C11" s="147" t="s">
        <v>156</v>
      </c>
      <c r="D11" s="148"/>
      <c r="E11" s="148"/>
      <c r="F11" s="148"/>
      <c r="G11" s="148"/>
      <c r="H11" s="148"/>
      <c r="I11" s="148"/>
      <c r="J11" s="148"/>
      <c r="L11" s="153">
        <f>L47</f>
        <v>0</v>
      </c>
      <c r="M11" s="153">
        <f t="shared" si="19"/>
        <v>1</v>
      </c>
      <c r="N11" s="153">
        <f t="shared" si="19"/>
        <v>1</v>
      </c>
      <c r="O11" s="153">
        <f t="shared" si="19"/>
        <v>1</v>
      </c>
      <c r="P11" s="153">
        <f t="shared" si="19"/>
        <v>1</v>
      </c>
      <c r="Q11" s="153">
        <f t="shared" si="19"/>
        <v>1</v>
      </c>
      <c r="R11" s="153">
        <f t="shared" si="19"/>
        <v>1</v>
      </c>
      <c r="S11" s="153">
        <f t="shared" si="19"/>
        <v>1</v>
      </c>
      <c r="T11" s="153">
        <f t="shared" si="19"/>
        <v>1</v>
      </c>
      <c r="U11" s="153">
        <f t="shared" si="19"/>
        <v>1</v>
      </c>
      <c r="V11" s="153">
        <f t="shared" si="19"/>
        <v>1</v>
      </c>
      <c r="W11" s="153">
        <f t="shared" si="19"/>
        <v>1</v>
      </c>
      <c r="X11" s="153">
        <f t="shared" si="19"/>
        <v>1</v>
      </c>
      <c r="Y11" s="153">
        <f t="shared" si="19"/>
        <v>2</v>
      </c>
      <c r="Z11" s="153">
        <f t="shared" si="19"/>
        <v>2</v>
      </c>
      <c r="AA11" s="153">
        <f t="shared" si="19"/>
        <v>2</v>
      </c>
      <c r="AB11" s="153">
        <f t="shared" si="19"/>
        <v>2</v>
      </c>
      <c r="AC11" s="153">
        <f t="shared" si="19"/>
        <v>2</v>
      </c>
      <c r="AD11" s="153">
        <f t="shared" si="19"/>
        <v>2</v>
      </c>
      <c r="AE11" s="153">
        <f t="shared" si="19"/>
        <v>2</v>
      </c>
      <c r="AF11" s="153">
        <f t="shared" si="19"/>
        <v>2</v>
      </c>
      <c r="AG11" s="153">
        <f t="shared" si="19"/>
        <v>2</v>
      </c>
      <c r="AH11" s="153">
        <f t="shared" si="19"/>
        <v>2</v>
      </c>
      <c r="AI11" s="153">
        <f t="shared" si="19"/>
        <v>2</v>
      </c>
      <c r="AJ11" s="153">
        <f t="shared" si="19"/>
        <v>2</v>
      </c>
      <c r="AK11" s="153">
        <f t="shared" si="19"/>
        <v>3</v>
      </c>
      <c r="AL11" s="153">
        <f t="shared" si="19"/>
        <v>3</v>
      </c>
      <c r="AM11" s="153">
        <f t="shared" si="19"/>
        <v>3</v>
      </c>
      <c r="AN11" s="153">
        <f t="shared" si="19"/>
        <v>3</v>
      </c>
      <c r="AO11" s="153">
        <f t="shared" si="19"/>
        <v>3</v>
      </c>
      <c r="AP11" s="153">
        <f t="shared" si="19"/>
        <v>3</v>
      </c>
      <c r="AQ11" s="153">
        <f t="shared" si="19"/>
        <v>3</v>
      </c>
      <c r="AR11" s="153">
        <f t="shared" si="19"/>
        <v>3</v>
      </c>
      <c r="AS11" s="153">
        <f t="shared" si="19"/>
        <v>3</v>
      </c>
      <c r="AT11" s="153">
        <f t="shared" si="19"/>
        <v>3</v>
      </c>
      <c r="AU11" s="153">
        <f t="shared" si="19"/>
        <v>3</v>
      </c>
      <c r="AV11" s="153">
        <f t="shared" si="19"/>
        <v>3</v>
      </c>
      <c r="AW11" s="153">
        <f t="shared" si="19"/>
        <v>4</v>
      </c>
      <c r="AX11" s="153">
        <f t="shared" si="19"/>
        <v>4</v>
      </c>
      <c r="AY11" s="153">
        <f t="shared" si="19"/>
        <v>4</v>
      </c>
      <c r="AZ11" s="153">
        <f t="shared" si="19"/>
        <v>4</v>
      </c>
      <c r="BA11" s="153">
        <f t="shared" si="19"/>
        <v>4</v>
      </c>
      <c r="BB11" s="153">
        <f t="shared" si="19"/>
        <v>4</v>
      </c>
      <c r="BC11" s="153">
        <f t="shared" si="19"/>
        <v>4</v>
      </c>
      <c r="BD11" s="153">
        <f t="shared" si="19"/>
        <v>4</v>
      </c>
      <c r="BE11" s="153">
        <f t="shared" si="19"/>
        <v>4</v>
      </c>
      <c r="BF11" s="153">
        <f t="shared" si="19"/>
        <v>4</v>
      </c>
      <c r="BG11" s="153">
        <f t="shared" si="19"/>
        <v>4</v>
      </c>
      <c r="BH11" s="153">
        <f t="shared" si="19"/>
        <v>4</v>
      </c>
      <c r="BI11" s="153">
        <f t="shared" si="19"/>
        <v>5</v>
      </c>
      <c r="BJ11" s="153">
        <f t="shared" si="19"/>
        <v>5</v>
      </c>
      <c r="BK11" s="153">
        <f t="shared" si="19"/>
        <v>5</v>
      </c>
      <c r="BL11" s="153">
        <f t="shared" si="19"/>
        <v>5</v>
      </c>
      <c r="BM11" s="153">
        <f t="shared" si="19"/>
        <v>5</v>
      </c>
      <c r="BN11" s="153">
        <f t="shared" si="19"/>
        <v>5</v>
      </c>
      <c r="BO11" s="153">
        <f t="shared" si="19"/>
        <v>5</v>
      </c>
      <c r="BP11" s="153">
        <f t="shared" si="19"/>
        <v>5</v>
      </c>
      <c r="BQ11" s="153">
        <f t="shared" si="19"/>
        <v>5</v>
      </c>
      <c r="BR11" s="153">
        <f t="shared" si="19"/>
        <v>5</v>
      </c>
      <c r="BS11" s="153">
        <f t="shared" si="19"/>
        <v>5</v>
      </c>
      <c r="BT11" s="153">
        <f t="shared" si="19"/>
        <v>5</v>
      </c>
      <c r="BU11" s="153">
        <f t="shared" si="19"/>
        <v>6</v>
      </c>
      <c r="BV11" s="153">
        <f t="shared" si="19"/>
        <v>6</v>
      </c>
      <c r="BW11" s="153">
        <f t="shared" si="19"/>
        <v>6</v>
      </c>
      <c r="BX11" s="153">
        <f t="shared" si="19"/>
        <v>6</v>
      </c>
      <c r="BY11" s="153">
        <f t="shared" si="12"/>
        <v>6</v>
      </c>
      <c r="BZ11" s="153">
        <f t="shared" si="12"/>
        <v>6</v>
      </c>
      <c r="CA11" s="153">
        <f t="shared" si="12"/>
        <v>6</v>
      </c>
      <c r="CB11" s="153">
        <f t="shared" si="12"/>
        <v>6</v>
      </c>
      <c r="CC11" s="153">
        <f t="shared" si="12"/>
        <v>6</v>
      </c>
      <c r="CD11" s="153">
        <f t="shared" si="12"/>
        <v>6</v>
      </c>
      <c r="CE11" s="153">
        <f t="shared" si="12"/>
        <v>6</v>
      </c>
      <c r="CF11" s="153">
        <f t="shared" si="12"/>
        <v>6</v>
      </c>
      <c r="CG11" s="153">
        <f t="shared" si="12"/>
        <v>7</v>
      </c>
      <c r="CH11" s="153">
        <f t="shared" si="12"/>
        <v>7</v>
      </c>
      <c r="CI11" s="153">
        <f t="shared" si="12"/>
        <v>7</v>
      </c>
      <c r="CJ11" s="153">
        <f t="shared" si="12"/>
        <v>7</v>
      </c>
      <c r="CK11" s="153">
        <f t="shared" si="12"/>
        <v>7</v>
      </c>
      <c r="CL11" s="153">
        <f t="shared" si="12"/>
        <v>7</v>
      </c>
      <c r="CM11" s="153">
        <f t="shared" si="12"/>
        <v>7</v>
      </c>
      <c r="CN11" s="153">
        <f t="shared" si="12"/>
        <v>7</v>
      </c>
      <c r="CO11" s="153">
        <f t="shared" si="12"/>
        <v>7</v>
      </c>
      <c r="CP11" s="153">
        <f t="shared" si="12"/>
        <v>7</v>
      </c>
      <c r="CQ11" s="153">
        <f t="shared" si="12"/>
        <v>7</v>
      </c>
      <c r="CR11" s="153">
        <f t="shared" si="12"/>
        <v>7</v>
      </c>
      <c r="CS11" s="153">
        <f t="shared" si="12"/>
        <v>8</v>
      </c>
      <c r="CT11" s="153">
        <f t="shared" si="12"/>
        <v>8</v>
      </c>
      <c r="CU11" s="153">
        <f t="shared" si="12"/>
        <v>8</v>
      </c>
      <c r="CV11" s="153">
        <f t="shared" si="12"/>
        <v>8</v>
      </c>
      <c r="CW11" s="153">
        <f t="shared" si="12"/>
        <v>8</v>
      </c>
      <c r="CX11" s="153">
        <f t="shared" si="12"/>
        <v>8</v>
      </c>
      <c r="CY11" s="153">
        <f t="shared" si="12"/>
        <v>8</v>
      </c>
      <c r="CZ11" s="153">
        <f t="shared" si="12"/>
        <v>8</v>
      </c>
      <c r="DA11" s="153">
        <f t="shared" si="12"/>
        <v>8</v>
      </c>
      <c r="DB11" s="153">
        <f t="shared" si="12"/>
        <v>8</v>
      </c>
      <c r="DC11" s="153">
        <f t="shared" si="12"/>
        <v>8</v>
      </c>
      <c r="DD11" s="153">
        <f t="shared" si="12"/>
        <v>8</v>
      </c>
      <c r="DE11" s="153">
        <f t="shared" si="12"/>
        <v>9</v>
      </c>
      <c r="DF11" s="153">
        <f t="shared" si="12"/>
        <v>9</v>
      </c>
      <c r="DG11" s="153">
        <f t="shared" si="12"/>
        <v>9</v>
      </c>
      <c r="DH11" s="153">
        <f t="shared" si="12"/>
        <v>9</v>
      </c>
      <c r="DI11" s="153">
        <f t="shared" si="12"/>
        <v>9</v>
      </c>
      <c r="DJ11" s="153">
        <f t="shared" si="12"/>
        <v>9</v>
      </c>
      <c r="DK11" s="153">
        <f t="shared" si="12"/>
        <v>9</v>
      </c>
      <c r="DL11" s="153">
        <f t="shared" si="12"/>
        <v>9</v>
      </c>
      <c r="DM11" s="153">
        <f t="shared" si="12"/>
        <v>9</v>
      </c>
      <c r="DN11" s="153">
        <f t="shared" si="12"/>
        <v>9</v>
      </c>
      <c r="DO11" s="153">
        <f t="shared" si="12"/>
        <v>9</v>
      </c>
      <c r="DP11" s="153">
        <f t="shared" si="12"/>
        <v>9</v>
      </c>
      <c r="DQ11" s="153">
        <f t="shared" si="12"/>
        <v>10</v>
      </c>
      <c r="DR11" s="153">
        <f t="shared" si="12"/>
        <v>10</v>
      </c>
      <c r="DS11" s="153">
        <f t="shared" si="12"/>
        <v>10</v>
      </c>
      <c r="DT11" s="153">
        <f t="shared" si="12"/>
        <v>10</v>
      </c>
      <c r="DU11" s="153">
        <f t="shared" si="12"/>
        <v>10</v>
      </c>
      <c r="DV11" s="153">
        <f t="shared" ref="DV11:EA11" si="22">DV47</f>
        <v>10</v>
      </c>
      <c r="DW11" s="153">
        <f t="shared" si="22"/>
        <v>10</v>
      </c>
      <c r="DX11" s="153">
        <f t="shared" si="22"/>
        <v>10</v>
      </c>
      <c r="DY11" s="153">
        <f t="shared" si="22"/>
        <v>10</v>
      </c>
      <c r="DZ11" s="153">
        <f t="shared" si="22"/>
        <v>10</v>
      </c>
      <c r="EA11" s="153">
        <f t="shared" si="22"/>
        <v>10</v>
      </c>
      <c r="EB11" s="153">
        <f t="shared" si="14"/>
        <v>10</v>
      </c>
      <c r="EC11" s="153">
        <f t="shared" si="14"/>
        <v>11</v>
      </c>
      <c r="ED11" s="153">
        <f t="shared" si="14"/>
        <v>11</v>
      </c>
      <c r="EE11" s="153">
        <f t="shared" si="14"/>
        <v>11</v>
      </c>
      <c r="EF11" s="153">
        <f t="shared" ref="EF11:EP11" si="23">EF47</f>
        <v>11</v>
      </c>
      <c r="EG11" s="153">
        <f t="shared" si="23"/>
        <v>11</v>
      </c>
      <c r="EH11" s="153">
        <f t="shared" si="23"/>
        <v>11</v>
      </c>
      <c r="EI11" s="153">
        <f t="shared" si="23"/>
        <v>11</v>
      </c>
      <c r="EJ11" s="153">
        <f t="shared" si="23"/>
        <v>11</v>
      </c>
      <c r="EK11" s="153">
        <f t="shared" si="23"/>
        <v>11</v>
      </c>
      <c r="EL11" s="153">
        <f t="shared" si="23"/>
        <v>11</v>
      </c>
      <c r="EM11" s="153">
        <f t="shared" si="23"/>
        <v>11</v>
      </c>
      <c r="EN11" s="153">
        <f t="shared" si="23"/>
        <v>11</v>
      </c>
      <c r="EO11" s="153">
        <f t="shared" si="23"/>
        <v>12</v>
      </c>
      <c r="EP11" s="153">
        <f t="shared" si="23"/>
        <v>12</v>
      </c>
      <c r="EQ11" s="153">
        <f>EQ47</f>
        <v>12</v>
      </c>
    </row>
    <row r="12" spans="1:151" ht="11.25" customHeight="1"/>
    <row r="13" spans="1:151" ht="11.25" customHeight="1">
      <c r="C13" s="154"/>
    </row>
    <row r="14" spans="1:151" ht="11.25" customHeight="1">
      <c r="C14" s="155" t="s">
        <v>4</v>
      </c>
      <c r="D14" s="155"/>
      <c r="E14" s="155"/>
      <c r="F14" s="155"/>
      <c r="G14" s="155"/>
      <c r="H14" s="155"/>
      <c r="I14" s="155"/>
      <c r="J14" s="156"/>
      <c r="L14" s="157">
        <f>L5</f>
        <v>46326</v>
      </c>
      <c r="M14" s="157">
        <f t="shared" ref="M14:BX14" si="24">M5</f>
        <v>46356</v>
      </c>
      <c r="N14" s="157">
        <f t="shared" si="24"/>
        <v>46387</v>
      </c>
      <c r="O14" s="157">
        <f t="shared" si="24"/>
        <v>46418</v>
      </c>
      <c r="P14" s="157">
        <f t="shared" si="24"/>
        <v>46446</v>
      </c>
      <c r="Q14" s="157">
        <f t="shared" si="24"/>
        <v>46477</v>
      </c>
      <c r="R14" s="157">
        <f t="shared" si="24"/>
        <v>46507</v>
      </c>
      <c r="S14" s="157">
        <f t="shared" si="24"/>
        <v>46538</v>
      </c>
      <c r="T14" s="157">
        <f t="shared" si="24"/>
        <v>46568</v>
      </c>
      <c r="U14" s="157">
        <f t="shared" si="24"/>
        <v>46599</v>
      </c>
      <c r="V14" s="157">
        <f t="shared" si="24"/>
        <v>46630</v>
      </c>
      <c r="W14" s="157">
        <f t="shared" si="24"/>
        <v>46660</v>
      </c>
      <c r="X14" s="157">
        <f t="shared" si="24"/>
        <v>46691</v>
      </c>
      <c r="Y14" s="157">
        <f t="shared" si="24"/>
        <v>46721</v>
      </c>
      <c r="Z14" s="157">
        <f t="shared" si="24"/>
        <v>46752</v>
      </c>
      <c r="AA14" s="157">
        <f t="shared" si="24"/>
        <v>46783</v>
      </c>
      <c r="AB14" s="157">
        <f t="shared" si="24"/>
        <v>46812</v>
      </c>
      <c r="AC14" s="157">
        <f t="shared" si="24"/>
        <v>46843</v>
      </c>
      <c r="AD14" s="157">
        <f t="shared" si="24"/>
        <v>46873</v>
      </c>
      <c r="AE14" s="157">
        <f t="shared" si="24"/>
        <v>46904</v>
      </c>
      <c r="AF14" s="157">
        <f t="shared" si="24"/>
        <v>46934</v>
      </c>
      <c r="AG14" s="157">
        <f t="shared" si="24"/>
        <v>46965</v>
      </c>
      <c r="AH14" s="157">
        <f t="shared" si="24"/>
        <v>46996</v>
      </c>
      <c r="AI14" s="157">
        <f t="shared" si="24"/>
        <v>47026</v>
      </c>
      <c r="AJ14" s="157">
        <f t="shared" si="24"/>
        <v>47057</v>
      </c>
      <c r="AK14" s="157">
        <f t="shared" si="24"/>
        <v>47087</v>
      </c>
      <c r="AL14" s="157">
        <f t="shared" si="24"/>
        <v>47118</v>
      </c>
      <c r="AM14" s="157">
        <f t="shared" si="24"/>
        <v>47149</v>
      </c>
      <c r="AN14" s="157">
        <f t="shared" si="24"/>
        <v>47177</v>
      </c>
      <c r="AO14" s="157">
        <f t="shared" si="24"/>
        <v>47208</v>
      </c>
      <c r="AP14" s="157">
        <f t="shared" si="24"/>
        <v>47238</v>
      </c>
      <c r="AQ14" s="157">
        <f t="shared" si="24"/>
        <v>47269</v>
      </c>
      <c r="AR14" s="157">
        <f t="shared" si="24"/>
        <v>47299</v>
      </c>
      <c r="AS14" s="157">
        <f t="shared" si="24"/>
        <v>47330</v>
      </c>
      <c r="AT14" s="157">
        <f t="shared" si="24"/>
        <v>47361</v>
      </c>
      <c r="AU14" s="157">
        <f t="shared" si="24"/>
        <v>47391</v>
      </c>
      <c r="AV14" s="157">
        <f t="shared" si="24"/>
        <v>47422</v>
      </c>
      <c r="AW14" s="157">
        <f t="shared" si="24"/>
        <v>47452</v>
      </c>
      <c r="AX14" s="157">
        <f t="shared" si="24"/>
        <v>47483</v>
      </c>
      <c r="AY14" s="157">
        <f t="shared" si="24"/>
        <v>47514</v>
      </c>
      <c r="AZ14" s="157">
        <f t="shared" si="24"/>
        <v>47542</v>
      </c>
      <c r="BA14" s="157">
        <f t="shared" si="24"/>
        <v>47573</v>
      </c>
      <c r="BB14" s="157">
        <f t="shared" si="24"/>
        <v>47603</v>
      </c>
      <c r="BC14" s="157">
        <f t="shared" si="24"/>
        <v>47634</v>
      </c>
      <c r="BD14" s="157">
        <f t="shared" si="24"/>
        <v>47664</v>
      </c>
      <c r="BE14" s="157">
        <f t="shared" si="24"/>
        <v>47695</v>
      </c>
      <c r="BF14" s="157">
        <f t="shared" si="24"/>
        <v>47726</v>
      </c>
      <c r="BG14" s="157">
        <f t="shared" si="24"/>
        <v>47756</v>
      </c>
      <c r="BH14" s="157">
        <f t="shared" si="24"/>
        <v>47787</v>
      </c>
      <c r="BI14" s="157">
        <f t="shared" si="24"/>
        <v>47817</v>
      </c>
      <c r="BJ14" s="157">
        <f t="shared" si="24"/>
        <v>47848</v>
      </c>
      <c r="BK14" s="157">
        <f t="shared" si="24"/>
        <v>47879</v>
      </c>
      <c r="BL14" s="157">
        <f t="shared" si="24"/>
        <v>47907</v>
      </c>
      <c r="BM14" s="157">
        <f t="shared" si="24"/>
        <v>47938</v>
      </c>
      <c r="BN14" s="157">
        <f t="shared" si="24"/>
        <v>47968</v>
      </c>
      <c r="BO14" s="157">
        <f t="shared" si="24"/>
        <v>47999</v>
      </c>
      <c r="BP14" s="157">
        <f t="shared" si="24"/>
        <v>48029</v>
      </c>
      <c r="BQ14" s="157">
        <f t="shared" si="24"/>
        <v>48060</v>
      </c>
      <c r="BR14" s="157">
        <f t="shared" si="24"/>
        <v>48091</v>
      </c>
      <c r="BS14" s="157">
        <f t="shared" si="24"/>
        <v>48121</v>
      </c>
      <c r="BT14" s="157">
        <f t="shared" si="24"/>
        <v>48152</v>
      </c>
      <c r="BU14" s="157">
        <f t="shared" si="24"/>
        <v>48182</v>
      </c>
      <c r="BV14" s="157">
        <f t="shared" si="24"/>
        <v>48213</v>
      </c>
      <c r="BW14" s="157">
        <f t="shared" si="24"/>
        <v>48244</v>
      </c>
      <c r="BX14" s="157">
        <f t="shared" si="24"/>
        <v>48273</v>
      </c>
      <c r="BY14" s="157">
        <f t="shared" ref="BY14:DU14" si="25">BY5</f>
        <v>48304</v>
      </c>
      <c r="BZ14" s="157">
        <f t="shared" si="25"/>
        <v>48334</v>
      </c>
      <c r="CA14" s="157">
        <f t="shared" si="25"/>
        <v>48365</v>
      </c>
      <c r="CB14" s="157">
        <f t="shared" si="25"/>
        <v>48395</v>
      </c>
      <c r="CC14" s="157">
        <f t="shared" si="25"/>
        <v>48426</v>
      </c>
      <c r="CD14" s="157">
        <f t="shared" si="25"/>
        <v>48457</v>
      </c>
      <c r="CE14" s="157">
        <f t="shared" si="25"/>
        <v>48487</v>
      </c>
      <c r="CF14" s="157">
        <f t="shared" si="25"/>
        <v>48518</v>
      </c>
      <c r="CG14" s="157">
        <f t="shared" si="25"/>
        <v>48548</v>
      </c>
      <c r="CH14" s="157">
        <f t="shared" si="25"/>
        <v>48579</v>
      </c>
      <c r="CI14" s="157">
        <f t="shared" si="25"/>
        <v>48610</v>
      </c>
      <c r="CJ14" s="157">
        <f t="shared" si="25"/>
        <v>48638</v>
      </c>
      <c r="CK14" s="157">
        <f t="shared" si="25"/>
        <v>48669</v>
      </c>
      <c r="CL14" s="157">
        <f t="shared" si="25"/>
        <v>48699</v>
      </c>
      <c r="CM14" s="157">
        <f t="shared" si="25"/>
        <v>48730</v>
      </c>
      <c r="CN14" s="157">
        <f t="shared" si="25"/>
        <v>48760</v>
      </c>
      <c r="CO14" s="157">
        <f t="shared" si="25"/>
        <v>48791</v>
      </c>
      <c r="CP14" s="157">
        <f t="shared" si="25"/>
        <v>48822</v>
      </c>
      <c r="CQ14" s="157">
        <f t="shared" si="25"/>
        <v>48852</v>
      </c>
      <c r="CR14" s="157">
        <f t="shared" si="25"/>
        <v>48883</v>
      </c>
      <c r="CS14" s="157">
        <f t="shared" si="25"/>
        <v>48913</v>
      </c>
      <c r="CT14" s="157">
        <f t="shared" si="25"/>
        <v>48944</v>
      </c>
      <c r="CU14" s="157">
        <f t="shared" si="25"/>
        <v>48975</v>
      </c>
      <c r="CV14" s="157">
        <f t="shared" si="25"/>
        <v>49003</v>
      </c>
      <c r="CW14" s="157">
        <f t="shared" si="25"/>
        <v>49034</v>
      </c>
      <c r="CX14" s="157">
        <f t="shared" si="25"/>
        <v>49064</v>
      </c>
      <c r="CY14" s="157">
        <f t="shared" si="25"/>
        <v>49095</v>
      </c>
      <c r="CZ14" s="157">
        <f t="shared" si="25"/>
        <v>49125</v>
      </c>
      <c r="DA14" s="157">
        <f t="shared" si="25"/>
        <v>49156</v>
      </c>
      <c r="DB14" s="157">
        <f t="shared" si="25"/>
        <v>49187</v>
      </c>
      <c r="DC14" s="157">
        <f t="shared" si="25"/>
        <v>49217</v>
      </c>
      <c r="DD14" s="157">
        <f t="shared" si="25"/>
        <v>49248</v>
      </c>
      <c r="DE14" s="157">
        <f t="shared" si="25"/>
        <v>49278</v>
      </c>
      <c r="DF14" s="157">
        <f t="shared" si="25"/>
        <v>49309</v>
      </c>
      <c r="DG14" s="157">
        <f t="shared" si="25"/>
        <v>49340</v>
      </c>
      <c r="DH14" s="157">
        <f t="shared" si="25"/>
        <v>49368</v>
      </c>
      <c r="DI14" s="157">
        <f t="shared" si="25"/>
        <v>49399</v>
      </c>
      <c r="DJ14" s="157">
        <f t="shared" si="25"/>
        <v>49429</v>
      </c>
      <c r="DK14" s="157">
        <f t="shared" si="25"/>
        <v>49460</v>
      </c>
      <c r="DL14" s="157">
        <f t="shared" si="25"/>
        <v>49490</v>
      </c>
      <c r="DM14" s="157">
        <f t="shared" si="25"/>
        <v>49521</v>
      </c>
      <c r="DN14" s="157">
        <f t="shared" si="25"/>
        <v>49552</v>
      </c>
      <c r="DO14" s="157">
        <f t="shared" si="25"/>
        <v>49582</v>
      </c>
      <c r="DP14" s="157">
        <f t="shared" si="25"/>
        <v>49613</v>
      </c>
      <c r="DQ14" s="157">
        <f t="shared" si="25"/>
        <v>49643</v>
      </c>
      <c r="DR14" s="157">
        <f t="shared" si="25"/>
        <v>49674</v>
      </c>
      <c r="DS14" s="157">
        <f t="shared" si="25"/>
        <v>49705</v>
      </c>
      <c r="DT14" s="157">
        <f t="shared" si="25"/>
        <v>49734</v>
      </c>
      <c r="DU14" s="157">
        <f t="shared" si="25"/>
        <v>49765</v>
      </c>
      <c r="DV14" s="157">
        <f t="shared" ref="DV14:EA14" si="26">DV5</f>
        <v>49795</v>
      </c>
      <c r="DW14" s="157">
        <f t="shared" si="26"/>
        <v>49826</v>
      </c>
      <c r="DX14" s="157">
        <f t="shared" si="26"/>
        <v>49856</v>
      </c>
      <c r="DY14" s="157">
        <f t="shared" si="26"/>
        <v>49887</v>
      </c>
      <c r="DZ14" s="157">
        <f t="shared" si="26"/>
        <v>49918</v>
      </c>
      <c r="EA14" s="157">
        <f t="shared" si="26"/>
        <v>49948</v>
      </c>
      <c r="EB14" s="157">
        <f>EB5</f>
        <v>49979</v>
      </c>
      <c r="EC14" s="157">
        <f>EC5</f>
        <v>50009</v>
      </c>
      <c r="ED14" s="157">
        <f>ED5</f>
        <v>50040</v>
      </c>
      <c r="EE14" s="157">
        <f>EE5</f>
        <v>50071</v>
      </c>
      <c r="EF14" s="157">
        <f t="shared" ref="EF14:EP14" si="27">EF5</f>
        <v>50099</v>
      </c>
      <c r="EG14" s="157">
        <f t="shared" si="27"/>
        <v>50130</v>
      </c>
      <c r="EH14" s="157">
        <f t="shared" si="27"/>
        <v>50160</v>
      </c>
      <c r="EI14" s="157">
        <f t="shared" si="27"/>
        <v>50191</v>
      </c>
      <c r="EJ14" s="157">
        <f t="shared" si="27"/>
        <v>50221</v>
      </c>
      <c r="EK14" s="157">
        <f t="shared" si="27"/>
        <v>50252</v>
      </c>
      <c r="EL14" s="157">
        <f t="shared" si="27"/>
        <v>50283</v>
      </c>
      <c r="EM14" s="157">
        <f t="shared" si="27"/>
        <v>50313</v>
      </c>
      <c r="EN14" s="157">
        <f t="shared" si="27"/>
        <v>50344</v>
      </c>
      <c r="EO14" s="157">
        <f t="shared" si="27"/>
        <v>50374</v>
      </c>
      <c r="EP14" s="157">
        <f t="shared" si="27"/>
        <v>50405</v>
      </c>
      <c r="EQ14" s="157">
        <f>EQ5</f>
        <v>50436</v>
      </c>
    </row>
    <row r="15" spans="1:151" ht="11.25" customHeight="1">
      <c r="C15" s="158" t="s">
        <v>157</v>
      </c>
      <c r="D15" s="159"/>
      <c r="E15" s="159"/>
      <c r="F15" s="159"/>
      <c r="G15" s="159"/>
      <c r="H15" s="159"/>
      <c r="I15" s="160"/>
      <c r="J15" s="161"/>
      <c r="K15" s="98"/>
      <c r="L15" s="162"/>
      <c r="M15" s="162"/>
      <c r="N15" s="162"/>
      <c r="O15" s="162"/>
      <c r="P15" s="162"/>
      <c r="Q15" s="162"/>
      <c r="R15" s="162"/>
      <c r="S15" s="162"/>
      <c r="T15" s="162"/>
      <c r="U15" s="162"/>
      <c r="V15" s="162"/>
      <c r="W15" s="162"/>
      <c r="X15" s="162"/>
      <c r="Y15" s="162"/>
      <c r="Z15" s="162"/>
      <c r="AA15" s="162"/>
      <c r="AB15" s="162"/>
      <c r="AC15" s="162"/>
      <c r="AD15" s="162"/>
      <c r="AE15" s="162"/>
      <c r="AF15" s="162"/>
      <c r="AG15" s="162"/>
      <c r="AH15" s="162"/>
      <c r="AI15" s="162"/>
      <c r="AJ15" s="162"/>
      <c r="AK15" s="162"/>
      <c r="AL15" s="162"/>
      <c r="AM15" s="162"/>
      <c r="AN15" s="162"/>
      <c r="AO15" s="162"/>
      <c r="AP15" s="162"/>
      <c r="AQ15" s="162"/>
      <c r="AR15" s="162"/>
      <c r="AS15" s="162"/>
      <c r="AT15" s="162"/>
      <c r="AU15" s="162"/>
      <c r="AV15" s="162"/>
      <c r="AW15" s="162"/>
      <c r="AX15" s="162"/>
      <c r="AY15" s="162"/>
      <c r="AZ15" s="162"/>
      <c r="BA15" s="162"/>
      <c r="BB15" s="162"/>
      <c r="BC15" s="162"/>
      <c r="BD15" s="162"/>
      <c r="BE15" s="162"/>
      <c r="BF15" s="162"/>
      <c r="BG15" s="162"/>
      <c r="BH15" s="162"/>
      <c r="BI15" s="162"/>
      <c r="BJ15" s="162"/>
      <c r="BK15" s="162"/>
      <c r="BL15" s="162"/>
      <c r="BM15" s="162"/>
      <c r="BN15" s="162"/>
      <c r="BO15" s="162"/>
      <c r="BP15" s="162"/>
      <c r="BQ15" s="162"/>
      <c r="BR15" s="162"/>
      <c r="BS15" s="162"/>
      <c r="BT15" s="162"/>
      <c r="BU15" s="162"/>
      <c r="BV15" s="162"/>
      <c r="BW15" s="162"/>
      <c r="BX15" s="162"/>
      <c r="BY15" s="162"/>
      <c r="BZ15" s="162"/>
      <c r="CA15" s="162"/>
      <c r="CB15" s="162"/>
      <c r="CC15" s="162"/>
      <c r="CD15" s="162"/>
      <c r="CE15" s="162"/>
      <c r="CF15" s="162"/>
      <c r="CG15" s="162"/>
      <c r="CH15" s="162"/>
      <c r="CI15" s="162"/>
      <c r="CJ15" s="162"/>
      <c r="CK15" s="162"/>
      <c r="CL15" s="162"/>
      <c r="CM15" s="162"/>
      <c r="CN15" s="162"/>
      <c r="CO15" s="162"/>
      <c r="CP15" s="162"/>
      <c r="CQ15" s="162"/>
      <c r="CR15" s="162"/>
      <c r="CS15" s="162"/>
      <c r="CT15" s="162"/>
      <c r="CU15" s="162"/>
      <c r="CV15" s="162"/>
      <c r="CW15" s="162"/>
      <c r="CX15" s="162"/>
      <c r="CY15" s="162"/>
      <c r="CZ15" s="162"/>
      <c r="DA15" s="162"/>
      <c r="DB15" s="162"/>
      <c r="DC15" s="162"/>
      <c r="DD15" s="162"/>
      <c r="DE15" s="162"/>
      <c r="DF15" s="162"/>
      <c r="DG15" s="162"/>
      <c r="DH15" s="162"/>
      <c r="DI15" s="162"/>
      <c r="DJ15" s="162"/>
      <c r="DK15" s="162"/>
      <c r="DL15" s="162"/>
      <c r="DM15" s="162"/>
      <c r="DN15" s="162"/>
      <c r="DO15" s="162"/>
      <c r="DP15" s="162"/>
      <c r="DQ15" s="162"/>
      <c r="DR15" s="162"/>
      <c r="DS15" s="162"/>
      <c r="DT15" s="162"/>
      <c r="DU15" s="162"/>
      <c r="DV15" s="162"/>
      <c r="DW15" s="162"/>
      <c r="DX15" s="162"/>
      <c r="DY15" s="162"/>
      <c r="DZ15" s="162"/>
      <c r="EA15" s="162"/>
      <c r="EB15" s="162"/>
      <c r="EC15" s="162"/>
      <c r="ED15" s="162"/>
      <c r="EE15" s="162"/>
      <c r="EF15" s="162"/>
      <c r="EG15" s="162"/>
      <c r="EH15" s="162"/>
      <c r="EI15" s="162"/>
      <c r="EJ15" s="162"/>
      <c r="EK15" s="162"/>
      <c r="EL15" s="162"/>
      <c r="EM15" s="162"/>
      <c r="EN15" s="162"/>
      <c r="EO15" s="162"/>
      <c r="EP15" s="162"/>
      <c r="EQ15" s="162"/>
    </row>
    <row r="16" spans="1:151" ht="11.25" customHeight="1">
      <c r="C16" s="163"/>
      <c r="D16" s="164" t="s">
        <v>447</v>
      </c>
      <c r="E16" s="165"/>
      <c r="F16" s="165"/>
      <c r="G16" s="165"/>
      <c r="H16" s="165"/>
      <c r="I16" s="166">
        <f>'A&amp;R'!D35</f>
        <v>46326</v>
      </c>
      <c r="J16" s="167"/>
      <c r="K16" s="98"/>
      <c r="L16" s="168">
        <f>(L$14=$I16)*1</f>
        <v>1</v>
      </c>
      <c r="M16" s="168">
        <f t="shared" ref="M16:BX17" si="28">(M$14=$I16)*1</f>
        <v>0</v>
      </c>
      <c r="N16" s="168">
        <f t="shared" si="28"/>
        <v>0</v>
      </c>
      <c r="O16" s="168">
        <f t="shared" si="28"/>
        <v>0</v>
      </c>
      <c r="P16" s="168">
        <f t="shared" si="28"/>
        <v>0</v>
      </c>
      <c r="Q16" s="168">
        <f t="shared" si="28"/>
        <v>0</v>
      </c>
      <c r="R16" s="168">
        <f t="shared" si="28"/>
        <v>0</v>
      </c>
      <c r="S16" s="168">
        <f t="shared" si="28"/>
        <v>0</v>
      </c>
      <c r="T16" s="168">
        <f t="shared" si="28"/>
        <v>0</v>
      </c>
      <c r="U16" s="168">
        <f t="shared" si="28"/>
        <v>0</v>
      </c>
      <c r="V16" s="168">
        <f t="shared" si="28"/>
        <v>0</v>
      </c>
      <c r="W16" s="168">
        <f t="shared" si="28"/>
        <v>0</v>
      </c>
      <c r="X16" s="168">
        <f t="shared" si="28"/>
        <v>0</v>
      </c>
      <c r="Y16" s="168">
        <f t="shared" si="28"/>
        <v>0</v>
      </c>
      <c r="Z16" s="168">
        <f t="shared" si="28"/>
        <v>0</v>
      </c>
      <c r="AA16" s="168">
        <f t="shared" si="28"/>
        <v>0</v>
      </c>
      <c r="AB16" s="168">
        <f t="shared" si="28"/>
        <v>0</v>
      </c>
      <c r="AC16" s="168">
        <f t="shared" si="28"/>
        <v>0</v>
      </c>
      <c r="AD16" s="168">
        <f t="shared" si="28"/>
        <v>0</v>
      </c>
      <c r="AE16" s="168">
        <f t="shared" si="28"/>
        <v>0</v>
      </c>
      <c r="AF16" s="168">
        <f t="shared" si="28"/>
        <v>0</v>
      </c>
      <c r="AG16" s="168">
        <f t="shared" si="28"/>
        <v>0</v>
      </c>
      <c r="AH16" s="168">
        <f t="shared" si="28"/>
        <v>0</v>
      </c>
      <c r="AI16" s="168">
        <f t="shared" si="28"/>
        <v>0</v>
      </c>
      <c r="AJ16" s="168">
        <f t="shared" si="28"/>
        <v>0</v>
      </c>
      <c r="AK16" s="168">
        <f t="shared" si="28"/>
        <v>0</v>
      </c>
      <c r="AL16" s="168">
        <f t="shared" si="28"/>
        <v>0</v>
      </c>
      <c r="AM16" s="168">
        <f t="shared" si="28"/>
        <v>0</v>
      </c>
      <c r="AN16" s="168">
        <f t="shared" si="28"/>
        <v>0</v>
      </c>
      <c r="AO16" s="168">
        <f t="shared" si="28"/>
        <v>0</v>
      </c>
      <c r="AP16" s="168">
        <f t="shared" si="28"/>
        <v>0</v>
      </c>
      <c r="AQ16" s="168">
        <f t="shared" si="28"/>
        <v>0</v>
      </c>
      <c r="AR16" s="168">
        <f t="shared" si="28"/>
        <v>0</v>
      </c>
      <c r="AS16" s="168">
        <f t="shared" si="28"/>
        <v>0</v>
      </c>
      <c r="AT16" s="168">
        <f t="shared" si="28"/>
        <v>0</v>
      </c>
      <c r="AU16" s="168">
        <f t="shared" si="28"/>
        <v>0</v>
      </c>
      <c r="AV16" s="168">
        <f t="shared" si="28"/>
        <v>0</v>
      </c>
      <c r="AW16" s="168">
        <f t="shared" si="28"/>
        <v>0</v>
      </c>
      <c r="AX16" s="168">
        <f t="shared" si="28"/>
        <v>0</v>
      </c>
      <c r="AY16" s="168">
        <f t="shared" si="28"/>
        <v>0</v>
      </c>
      <c r="AZ16" s="168">
        <f t="shared" si="28"/>
        <v>0</v>
      </c>
      <c r="BA16" s="168">
        <f t="shared" si="28"/>
        <v>0</v>
      </c>
      <c r="BB16" s="168">
        <f t="shared" si="28"/>
        <v>0</v>
      </c>
      <c r="BC16" s="168">
        <f t="shared" si="28"/>
        <v>0</v>
      </c>
      <c r="BD16" s="168">
        <f t="shared" si="28"/>
        <v>0</v>
      </c>
      <c r="BE16" s="168">
        <f t="shared" si="28"/>
        <v>0</v>
      </c>
      <c r="BF16" s="168">
        <f t="shared" si="28"/>
        <v>0</v>
      </c>
      <c r="BG16" s="168">
        <f t="shared" si="28"/>
        <v>0</v>
      </c>
      <c r="BH16" s="168">
        <f t="shared" si="28"/>
        <v>0</v>
      </c>
      <c r="BI16" s="168">
        <f t="shared" si="28"/>
        <v>0</v>
      </c>
      <c r="BJ16" s="168">
        <f t="shared" si="28"/>
        <v>0</v>
      </c>
      <c r="BK16" s="168">
        <f t="shared" si="28"/>
        <v>0</v>
      </c>
      <c r="BL16" s="168">
        <f t="shared" si="28"/>
        <v>0</v>
      </c>
      <c r="BM16" s="168">
        <f t="shared" si="28"/>
        <v>0</v>
      </c>
      <c r="BN16" s="168">
        <f t="shared" si="28"/>
        <v>0</v>
      </c>
      <c r="BO16" s="168">
        <f t="shared" si="28"/>
        <v>0</v>
      </c>
      <c r="BP16" s="168">
        <f t="shared" si="28"/>
        <v>0</v>
      </c>
      <c r="BQ16" s="168">
        <f t="shared" si="28"/>
        <v>0</v>
      </c>
      <c r="BR16" s="168">
        <f t="shared" si="28"/>
        <v>0</v>
      </c>
      <c r="BS16" s="168">
        <f t="shared" si="28"/>
        <v>0</v>
      </c>
      <c r="BT16" s="168">
        <f t="shared" si="28"/>
        <v>0</v>
      </c>
      <c r="BU16" s="168">
        <f t="shared" si="28"/>
        <v>0</v>
      </c>
      <c r="BV16" s="168">
        <f t="shared" si="28"/>
        <v>0</v>
      </c>
      <c r="BW16" s="168">
        <f t="shared" si="28"/>
        <v>0</v>
      </c>
      <c r="BX16" s="168">
        <f t="shared" si="28"/>
        <v>0</v>
      </c>
      <c r="BY16" s="168">
        <f t="shared" ref="BY16:EQ17" si="29">(BY$14=$I16)*1</f>
        <v>0</v>
      </c>
      <c r="BZ16" s="168">
        <f t="shared" si="29"/>
        <v>0</v>
      </c>
      <c r="CA16" s="168">
        <f t="shared" si="29"/>
        <v>0</v>
      </c>
      <c r="CB16" s="168">
        <f t="shared" si="29"/>
        <v>0</v>
      </c>
      <c r="CC16" s="168">
        <f t="shared" si="29"/>
        <v>0</v>
      </c>
      <c r="CD16" s="168">
        <f t="shared" si="29"/>
        <v>0</v>
      </c>
      <c r="CE16" s="168">
        <f t="shared" si="29"/>
        <v>0</v>
      </c>
      <c r="CF16" s="168">
        <f t="shared" si="29"/>
        <v>0</v>
      </c>
      <c r="CG16" s="168">
        <f t="shared" si="29"/>
        <v>0</v>
      </c>
      <c r="CH16" s="168">
        <f t="shared" si="29"/>
        <v>0</v>
      </c>
      <c r="CI16" s="168">
        <f t="shared" si="29"/>
        <v>0</v>
      </c>
      <c r="CJ16" s="168">
        <f t="shared" si="29"/>
        <v>0</v>
      </c>
      <c r="CK16" s="168">
        <f t="shared" si="29"/>
        <v>0</v>
      </c>
      <c r="CL16" s="168">
        <f t="shared" si="29"/>
        <v>0</v>
      </c>
      <c r="CM16" s="168">
        <f t="shared" si="29"/>
        <v>0</v>
      </c>
      <c r="CN16" s="168">
        <f t="shared" si="29"/>
        <v>0</v>
      </c>
      <c r="CO16" s="168">
        <f t="shared" si="29"/>
        <v>0</v>
      </c>
      <c r="CP16" s="168">
        <f t="shared" si="29"/>
        <v>0</v>
      </c>
      <c r="CQ16" s="168">
        <f t="shared" si="29"/>
        <v>0</v>
      </c>
      <c r="CR16" s="168">
        <f t="shared" si="29"/>
        <v>0</v>
      </c>
      <c r="CS16" s="168">
        <f t="shared" si="29"/>
        <v>0</v>
      </c>
      <c r="CT16" s="168">
        <f t="shared" si="29"/>
        <v>0</v>
      </c>
      <c r="CU16" s="168">
        <f t="shared" si="29"/>
        <v>0</v>
      </c>
      <c r="CV16" s="168">
        <f t="shared" si="29"/>
        <v>0</v>
      </c>
      <c r="CW16" s="168">
        <f t="shared" si="29"/>
        <v>0</v>
      </c>
      <c r="CX16" s="168">
        <f t="shared" si="29"/>
        <v>0</v>
      </c>
      <c r="CY16" s="168">
        <f t="shared" si="29"/>
        <v>0</v>
      </c>
      <c r="CZ16" s="168">
        <f t="shared" si="29"/>
        <v>0</v>
      </c>
      <c r="DA16" s="168">
        <f t="shared" si="29"/>
        <v>0</v>
      </c>
      <c r="DB16" s="168">
        <f t="shared" si="29"/>
        <v>0</v>
      </c>
      <c r="DC16" s="168">
        <f t="shared" si="29"/>
        <v>0</v>
      </c>
      <c r="DD16" s="168">
        <f t="shared" si="29"/>
        <v>0</v>
      </c>
      <c r="DE16" s="168">
        <f t="shared" si="29"/>
        <v>0</v>
      </c>
      <c r="DF16" s="168">
        <f t="shared" si="29"/>
        <v>0</v>
      </c>
      <c r="DG16" s="168">
        <f t="shared" si="29"/>
        <v>0</v>
      </c>
      <c r="DH16" s="168">
        <f t="shared" si="29"/>
        <v>0</v>
      </c>
      <c r="DI16" s="168">
        <f t="shared" si="29"/>
        <v>0</v>
      </c>
      <c r="DJ16" s="168">
        <f t="shared" si="29"/>
        <v>0</v>
      </c>
      <c r="DK16" s="168">
        <f t="shared" si="29"/>
        <v>0</v>
      </c>
      <c r="DL16" s="168">
        <f t="shared" si="29"/>
        <v>0</v>
      </c>
      <c r="DM16" s="168">
        <f t="shared" si="29"/>
        <v>0</v>
      </c>
      <c r="DN16" s="168">
        <f t="shared" si="29"/>
        <v>0</v>
      </c>
      <c r="DO16" s="168">
        <f t="shared" si="29"/>
        <v>0</v>
      </c>
      <c r="DP16" s="168">
        <f t="shared" si="29"/>
        <v>0</v>
      </c>
      <c r="DQ16" s="168">
        <f t="shared" si="29"/>
        <v>0</v>
      </c>
      <c r="DR16" s="168">
        <f t="shared" si="29"/>
        <v>0</v>
      </c>
      <c r="DS16" s="168">
        <f t="shared" si="29"/>
        <v>0</v>
      </c>
      <c r="DT16" s="168">
        <f t="shared" si="29"/>
        <v>0</v>
      </c>
      <c r="DU16" s="168">
        <f t="shared" si="29"/>
        <v>0</v>
      </c>
      <c r="DV16" s="168">
        <f t="shared" si="29"/>
        <v>0</v>
      </c>
      <c r="DW16" s="168">
        <f t="shared" si="29"/>
        <v>0</v>
      </c>
      <c r="DX16" s="168">
        <f t="shared" si="29"/>
        <v>0</v>
      </c>
      <c r="DY16" s="168">
        <f t="shared" si="29"/>
        <v>0</v>
      </c>
      <c r="DZ16" s="168">
        <f t="shared" si="29"/>
        <v>0</v>
      </c>
      <c r="EA16" s="168">
        <f t="shared" si="29"/>
        <v>0</v>
      </c>
      <c r="EB16" s="168">
        <f t="shared" si="29"/>
        <v>0</v>
      </c>
      <c r="EC16" s="168">
        <f t="shared" si="29"/>
        <v>0</v>
      </c>
      <c r="ED16" s="168">
        <f t="shared" si="29"/>
        <v>0</v>
      </c>
      <c r="EE16" s="168">
        <f t="shared" si="29"/>
        <v>0</v>
      </c>
      <c r="EF16" s="168">
        <f t="shared" si="29"/>
        <v>0</v>
      </c>
      <c r="EG16" s="168">
        <f t="shared" si="29"/>
        <v>0</v>
      </c>
      <c r="EH16" s="168">
        <f t="shared" si="29"/>
        <v>0</v>
      </c>
      <c r="EI16" s="168">
        <f t="shared" si="29"/>
        <v>0</v>
      </c>
      <c r="EJ16" s="168">
        <f t="shared" si="29"/>
        <v>0</v>
      </c>
      <c r="EK16" s="168">
        <f t="shared" si="29"/>
        <v>0</v>
      </c>
      <c r="EL16" s="168">
        <f t="shared" si="29"/>
        <v>0</v>
      </c>
      <c r="EM16" s="168">
        <f t="shared" si="29"/>
        <v>0</v>
      </c>
      <c r="EN16" s="168">
        <f t="shared" si="29"/>
        <v>0</v>
      </c>
      <c r="EO16" s="168">
        <f t="shared" si="29"/>
        <v>0</v>
      </c>
      <c r="EP16" s="168">
        <f t="shared" si="29"/>
        <v>0</v>
      </c>
      <c r="EQ16" s="168">
        <f t="shared" si="29"/>
        <v>0</v>
      </c>
    </row>
    <row r="17" spans="3:147" ht="11.25" customHeight="1">
      <c r="C17" s="163"/>
      <c r="D17" s="169" t="s">
        <v>448</v>
      </c>
      <c r="I17" s="146">
        <f>'A&amp;R'!E35</f>
        <v>46326</v>
      </c>
      <c r="J17" s="170"/>
      <c r="K17" s="98"/>
      <c r="L17" s="171">
        <f t="shared" ref="L17:BW17" si="30">(L$14=$I17)*1</f>
        <v>1</v>
      </c>
      <c r="M17" s="171">
        <f t="shared" si="30"/>
        <v>0</v>
      </c>
      <c r="N17" s="171">
        <f t="shared" si="30"/>
        <v>0</v>
      </c>
      <c r="O17" s="171">
        <f t="shared" si="30"/>
        <v>0</v>
      </c>
      <c r="P17" s="171">
        <f t="shared" si="30"/>
        <v>0</v>
      </c>
      <c r="Q17" s="171">
        <f t="shared" si="30"/>
        <v>0</v>
      </c>
      <c r="R17" s="171">
        <f t="shared" si="30"/>
        <v>0</v>
      </c>
      <c r="S17" s="171">
        <f t="shared" si="30"/>
        <v>0</v>
      </c>
      <c r="T17" s="171">
        <f t="shared" si="30"/>
        <v>0</v>
      </c>
      <c r="U17" s="171">
        <f t="shared" si="30"/>
        <v>0</v>
      </c>
      <c r="V17" s="171">
        <f t="shared" si="30"/>
        <v>0</v>
      </c>
      <c r="W17" s="171">
        <f t="shared" si="30"/>
        <v>0</v>
      </c>
      <c r="X17" s="171">
        <f t="shared" si="30"/>
        <v>0</v>
      </c>
      <c r="Y17" s="171">
        <f t="shared" si="30"/>
        <v>0</v>
      </c>
      <c r="Z17" s="171">
        <f t="shared" si="30"/>
        <v>0</v>
      </c>
      <c r="AA17" s="171">
        <f t="shared" si="30"/>
        <v>0</v>
      </c>
      <c r="AB17" s="171">
        <f t="shared" si="30"/>
        <v>0</v>
      </c>
      <c r="AC17" s="171">
        <f t="shared" si="30"/>
        <v>0</v>
      </c>
      <c r="AD17" s="171">
        <f t="shared" si="30"/>
        <v>0</v>
      </c>
      <c r="AE17" s="171">
        <f t="shared" si="30"/>
        <v>0</v>
      </c>
      <c r="AF17" s="171">
        <f t="shared" si="30"/>
        <v>0</v>
      </c>
      <c r="AG17" s="171">
        <f t="shared" si="30"/>
        <v>0</v>
      </c>
      <c r="AH17" s="171">
        <f t="shared" si="30"/>
        <v>0</v>
      </c>
      <c r="AI17" s="171">
        <f t="shared" si="30"/>
        <v>0</v>
      </c>
      <c r="AJ17" s="171">
        <f t="shared" si="30"/>
        <v>0</v>
      </c>
      <c r="AK17" s="171">
        <f t="shared" si="30"/>
        <v>0</v>
      </c>
      <c r="AL17" s="171">
        <f t="shared" si="30"/>
        <v>0</v>
      </c>
      <c r="AM17" s="171">
        <f t="shared" si="30"/>
        <v>0</v>
      </c>
      <c r="AN17" s="171">
        <f t="shared" si="30"/>
        <v>0</v>
      </c>
      <c r="AO17" s="171">
        <f t="shared" si="30"/>
        <v>0</v>
      </c>
      <c r="AP17" s="171">
        <f t="shared" si="30"/>
        <v>0</v>
      </c>
      <c r="AQ17" s="171">
        <f t="shared" si="30"/>
        <v>0</v>
      </c>
      <c r="AR17" s="171">
        <f t="shared" si="30"/>
        <v>0</v>
      </c>
      <c r="AS17" s="171">
        <f t="shared" si="30"/>
        <v>0</v>
      </c>
      <c r="AT17" s="171">
        <f t="shared" si="30"/>
        <v>0</v>
      </c>
      <c r="AU17" s="171">
        <f t="shared" si="30"/>
        <v>0</v>
      </c>
      <c r="AV17" s="171">
        <f t="shared" si="30"/>
        <v>0</v>
      </c>
      <c r="AW17" s="171">
        <f t="shared" si="30"/>
        <v>0</v>
      </c>
      <c r="AX17" s="171">
        <f t="shared" si="30"/>
        <v>0</v>
      </c>
      <c r="AY17" s="171">
        <f t="shared" si="30"/>
        <v>0</v>
      </c>
      <c r="AZ17" s="171">
        <f t="shared" si="30"/>
        <v>0</v>
      </c>
      <c r="BA17" s="171">
        <f t="shared" si="30"/>
        <v>0</v>
      </c>
      <c r="BB17" s="171">
        <f t="shared" si="30"/>
        <v>0</v>
      </c>
      <c r="BC17" s="171">
        <f t="shared" si="30"/>
        <v>0</v>
      </c>
      <c r="BD17" s="171">
        <f t="shared" si="30"/>
        <v>0</v>
      </c>
      <c r="BE17" s="171">
        <f t="shared" si="30"/>
        <v>0</v>
      </c>
      <c r="BF17" s="171">
        <f t="shared" si="30"/>
        <v>0</v>
      </c>
      <c r="BG17" s="171">
        <f t="shared" si="30"/>
        <v>0</v>
      </c>
      <c r="BH17" s="171">
        <f t="shared" si="30"/>
        <v>0</v>
      </c>
      <c r="BI17" s="171">
        <f t="shared" si="30"/>
        <v>0</v>
      </c>
      <c r="BJ17" s="171">
        <f t="shared" si="30"/>
        <v>0</v>
      </c>
      <c r="BK17" s="171">
        <f t="shared" si="30"/>
        <v>0</v>
      </c>
      <c r="BL17" s="171">
        <f t="shared" si="30"/>
        <v>0</v>
      </c>
      <c r="BM17" s="171">
        <f t="shared" si="30"/>
        <v>0</v>
      </c>
      <c r="BN17" s="171">
        <f t="shared" si="30"/>
        <v>0</v>
      </c>
      <c r="BO17" s="171">
        <f t="shared" si="30"/>
        <v>0</v>
      </c>
      <c r="BP17" s="171">
        <f t="shared" si="30"/>
        <v>0</v>
      </c>
      <c r="BQ17" s="171">
        <f t="shared" si="30"/>
        <v>0</v>
      </c>
      <c r="BR17" s="171">
        <f t="shared" si="30"/>
        <v>0</v>
      </c>
      <c r="BS17" s="171">
        <f t="shared" si="30"/>
        <v>0</v>
      </c>
      <c r="BT17" s="171">
        <f t="shared" si="30"/>
        <v>0</v>
      </c>
      <c r="BU17" s="171">
        <f t="shared" si="30"/>
        <v>0</v>
      </c>
      <c r="BV17" s="171">
        <f t="shared" si="30"/>
        <v>0</v>
      </c>
      <c r="BW17" s="171">
        <f t="shared" si="30"/>
        <v>0</v>
      </c>
      <c r="BX17" s="171">
        <f t="shared" si="28"/>
        <v>0</v>
      </c>
      <c r="BY17" s="171">
        <f t="shared" si="29"/>
        <v>0</v>
      </c>
      <c r="BZ17" s="171">
        <f t="shared" si="29"/>
        <v>0</v>
      </c>
      <c r="CA17" s="171">
        <f t="shared" si="29"/>
        <v>0</v>
      </c>
      <c r="CB17" s="171">
        <f t="shared" si="29"/>
        <v>0</v>
      </c>
      <c r="CC17" s="171">
        <f t="shared" si="29"/>
        <v>0</v>
      </c>
      <c r="CD17" s="171">
        <f t="shared" si="29"/>
        <v>0</v>
      </c>
      <c r="CE17" s="171">
        <f t="shared" si="29"/>
        <v>0</v>
      </c>
      <c r="CF17" s="171">
        <f t="shared" si="29"/>
        <v>0</v>
      </c>
      <c r="CG17" s="171">
        <f t="shared" si="29"/>
        <v>0</v>
      </c>
      <c r="CH17" s="171">
        <f t="shared" si="29"/>
        <v>0</v>
      </c>
      <c r="CI17" s="171">
        <f t="shared" si="29"/>
        <v>0</v>
      </c>
      <c r="CJ17" s="171">
        <f t="shared" si="29"/>
        <v>0</v>
      </c>
      <c r="CK17" s="171">
        <f t="shared" si="29"/>
        <v>0</v>
      </c>
      <c r="CL17" s="171">
        <f t="shared" si="29"/>
        <v>0</v>
      </c>
      <c r="CM17" s="171">
        <f t="shared" si="29"/>
        <v>0</v>
      </c>
      <c r="CN17" s="171">
        <f t="shared" si="29"/>
        <v>0</v>
      </c>
      <c r="CO17" s="171">
        <f t="shared" si="29"/>
        <v>0</v>
      </c>
      <c r="CP17" s="171">
        <f t="shared" si="29"/>
        <v>0</v>
      </c>
      <c r="CQ17" s="171">
        <f t="shared" si="29"/>
        <v>0</v>
      </c>
      <c r="CR17" s="171">
        <f t="shared" si="29"/>
        <v>0</v>
      </c>
      <c r="CS17" s="171">
        <f t="shared" si="29"/>
        <v>0</v>
      </c>
      <c r="CT17" s="171">
        <f t="shared" si="29"/>
        <v>0</v>
      </c>
      <c r="CU17" s="171">
        <f t="shared" si="29"/>
        <v>0</v>
      </c>
      <c r="CV17" s="171">
        <f t="shared" si="29"/>
        <v>0</v>
      </c>
      <c r="CW17" s="171">
        <f t="shared" si="29"/>
        <v>0</v>
      </c>
      <c r="CX17" s="171">
        <f t="shared" si="29"/>
        <v>0</v>
      </c>
      <c r="CY17" s="171">
        <f t="shared" si="29"/>
        <v>0</v>
      </c>
      <c r="CZ17" s="171">
        <f t="shared" si="29"/>
        <v>0</v>
      </c>
      <c r="DA17" s="171">
        <f t="shared" si="29"/>
        <v>0</v>
      </c>
      <c r="DB17" s="171">
        <f t="shared" si="29"/>
        <v>0</v>
      </c>
      <c r="DC17" s="171">
        <f t="shared" si="29"/>
        <v>0</v>
      </c>
      <c r="DD17" s="171">
        <f t="shared" si="29"/>
        <v>0</v>
      </c>
      <c r="DE17" s="171">
        <f t="shared" si="29"/>
        <v>0</v>
      </c>
      <c r="DF17" s="171">
        <f t="shared" si="29"/>
        <v>0</v>
      </c>
      <c r="DG17" s="171">
        <f t="shared" si="29"/>
        <v>0</v>
      </c>
      <c r="DH17" s="171">
        <f t="shared" si="29"/>
        <v>0</v>
      </c>
      <c r="DI17" s="171">
        <f t="shared" si="29"/>
        <v>0</v>
      </c>
      <c r="DJ17" s="171">
        <f t="shared" si="29"/>
        <v>0</v>
      </c>
      <c r="DK17" s="171">
        <f t="shared" si="29"/>
        <v>0</v>
      </c>
      <c r="DL17" s="171">
        <f t="shared" si="29"/>
        <v>0</v>
      </c>
      <c r="DM17" s="171">
        <f t="shared" si="29"/>
        <v>0</v>
      </c>
      <c r="DN17" s="171">
        <f t="shared" si="29"/>
        <v>0</v>
      </c>
      <c r="DO17" s="171">
        <f t="shared" si="29"/>
        <v>0</v>
      </c>
      <c r="DP17" s="171">
        <f t="shared" si="29"/>
        <v>0</v>
      </c>
      <c r="DQ17" s="171">
        <f t="shared" si="29"/>
        <v>0</v>
      </c>
      <c r="DR17" s="171">
        <f t="shared" si="29"/>
        <v>0</v>
      </c>
      <c r="DS17" s="171">
        <f t="shared" si="29"/>
        <v>0</v>
      </c>
      <c r="DT17" s="171">
        <f t="shared" si="29"/>
        <v>0</v>
      </c>
      <c r="DU17" s="171">
        <f t="shared" si="29"/>
        <v>0</v>
      </c>
      <c r="DV17" s="171">
        <f t="shared" si="29"/>
        <v>0</v>
      </c>
      <c r="DW17" s="171">
        <f t="shared" si="29"/>
        <v>0</v>
      </c>
      <c r="DX17" s="171">
        <f t="shared" si="29"/>
        <v>0</v>
      </c>
      <c r="DY17" s="171">
        <f t="shared" si="29"/>
        <v>0</v>
      </c>
      <c r="DZ17" s="171">
        <f t="shared" si="29"/>
        <v>0</v>
      </c>
      <c r="EA17" s="171">
        <f t="shared" si="29"/>
        <v>0</v>
      </c>
      <c r="EB17" s="171">
        <f t="shared" si="29"/>
        <v>0</v>
      </c>
      <c r="EC17" s="171">
        <f t="shared" si="29"/>
        <v>0</v>
      </c>
      <c r="ED17" s="171">
        <f t="shared" si="29"/>
        <v>0</v>
      </c>
      <c r="EE17" s="171">
        <f t="shared" si="29"/>
        <v>0</v>
      </c>
      <c r="EF17" s="171">
        <f t="shared" si="29"/>
        <v>0</v>
      </c>
      <c r="EG17" s="171">
        <f t="shared" si="29"/>
        <v>0</v>
      </c>
      <c r="EH17" s="171">
        <f t="shared" si="29"/>
        <v>0</v>
      </c>
      <c r="EI17" s="171">
        <f t="shared" si="29"/>
        <v>0</v>
      </c>
      <c r="EJ17" s="171">
        <f t="shared" si="29"/>
        <v>0</v>
      </c>
      <c r="EK17" s="171">
        <f t="shared" si="29"/>
        <v>0</v>
      </c>
      <c r="EL17" s="171">
        <f t="shared" si="29"/>
        <v>0</v>
      </c>
      <c r="EM17" s="171">
        <f t="shared" si="29"/>
        <v>0</v>
      </c>
      <c r="EN17" s="171">
        <f t="shared" si="29"/>
        <v>0</v>
      </c>
      <c r="EO17" s="171">
        <f t="shared" si="29"/>
        <v>0</v>
      </c>
      <c r="EP17" s="171">
        <f t="shared" si="29"/>
        <v>0</v>
      </c>
      <c r="EQ17" s="171">
        <f t="shared" si="29"/>
        <v>0</v>
      </c>
    </row>
    <row r="18" spans="3:147" ht="11.25" customHeight="1">
      <c r="C18" s="163"/>
      <c r="D18" s="169" t="s">
        <v>449</v>
      </c>
      <c r="H18" s="146">
        <f>I16</f>
        <v>46326</v>
      </c>
      <c r="I18" s="146">
        <f>I17</f>
        <v>46326</v>
      </c>
      <c r="J18" s="170"/>
      <c r="K18" s="98"/>
      <c r="L18" s="171">
        <f>(L$14&gt;$H18)*(L$14&lt;=$I18)*1</f>
        <v>0</v>
      </c>
      <c r="M18" s="171">
        <f t="shared" ref="M18:BX18" si="31">(M$14&gt;$H18)*(M$14&lt;=$I18)*1</f>
        <v>0</v>
      </c>
      <c r="N18" s="171">
        <f t="shared" si="31"/>
        <v>0</v>
      </c>
      <c r="O18" s="171">
        <f t="shared" si="31"/>
        <v>0</v>
      </c>
      <c r="P18" s="171">
        <f t="shared" si="31"/>
        <v>0</v>
      </c>
      <c r="Q18" s="171">
        <f t="shared" si="31"/>
        <v>0</v>
      </c>
      <c r="R18" s="171">
        <f t="shared" si="31"/>
        <v>0</v>
      </c>
      <c r="S18" s="171">
        <f t="shared" si="31"/>
        <v>0</v>
      </c>
      <c r="T18" s="171">
        <f t="shared" si="31"/>
        <v>0</v>
      </c>
      <c r="U18" s="171">
        <f t="shared" si="31"/>
        <v>0</v>
      </c>
      <c r="V18" s="171">
        <f t="shared" si="31"/>
        <v>0</v>
      </c>
      <c r="W18" s="171">
        <f t="shared" si="31"/>
        <v>0</v>
      </c>
      <c r="X18" s="171">
        <f t="shared" si="31"/>
        <v>0</v>
      </c>
      <c r="Y18" s="171">
        <f t="shared" si="31"/>
        <v>0</v>
      </c>
      <c r="Z18" s="171">
        <f t="shared" si="31"/>
        <v>0</v>
      </c>
      <c r="AA18" s="171">
        <f t="shared" si="31"/>
        <v>0</v>
      </c>
      <c r="AB18" s="171">
        <f t="shared" si="31"/>
        <v>0</v>
      </c>
      <c r="AC18" s="171">
        <f t="shared" si="31"/>
        <v>0</v>
      </c>
      <c r="AD18" s="171">
        <f t="shared" si="31"/>
        <v>0</v>
      </c>
      <c r="AE18" s="171">
        <f t="shared" si="31"/>
        <v>0</v>
      </c>
      <c r="AF18" s="171">
        <f t="shared" si="31"/>
        <v>0</v>
      </c>
      <c r="AG18" s="171">
        <f t="shared" si="31"/>
        <v>0</v>
      </c>
      <c r="AH18" s="171">
        <f t="shared" si="31"/>
        <v>0</v>
      </c>
      <c r="AI18" s="171">
        <f t="shared" si="31"/>
        <v>0</v>
      </c>
      <c r="AJ18" s="171">
        <f t="shared" si="31"/>
        <v>0</v>
      </c>
      <c r="AK18" s="171">
        <f t="shared" si="31"/>
        <v>0</v>
      </c>
      <c r="AL18" s="171">
        <f t="shared" si="31"/>
        <v>0</v>
      </c>
      <c r="AM18" s="171">
        <f t="shared" si="31"/>
        <v>0</v>
      </c>
      <c r="AN18" s="171">
        <f t="shared" si="31"/>
        <v>0</v>
      </c>
      <c r="AO18" s="171">
        <f t="shared" si="31"/>
        <v>0</v>
      </c>
      <c r="AP18" s="171">
        <f t="shared" si="31"/>
        <v>0</v>
      </c>
      <c r="AQ18" s="171">
        <f t="shared" si="31"/>
        <v>0</v>
      </c>
      <c r="AR18" s="171">
        <f t="shared" si="31"/>
        <v>0</v>
      </c>
      <c r="AS18" s="171">
        <f t="shared" si="31"/>
        <v>0</v>
      </c>
      <c r="AT18" s="171">
        <f t="shared" si="31"/>
        <v>0</v>
      </c>
      <c r="AU18" s="171">
        <f t="shared" si="31"/>
        <v>0</v>
      </c>
      <c r="AV18" s="171">
        <f t="shared" si="31"/>
        <v>0</v>
      </c>
      <c r="AW18" s="171">
        <f t="shared" si="31"/>
        <v>0</v>
      </c>
      <c r="AX18" s="171">
        <f t="shared" si="31"/>
        <v>0</v>
      </c>
      <c r="AY18" s="171">
        <f t="shared" si="31"/>
        <v>0</v>
      </c>
      <c r="AZ18" s="171">
        <f t="shared" si="31"/>
        <v>0</v>
      </c>
      <c r="BA18" s="171">
        <f t="shared" si="31"/>
        <v>0</v>
      </c>
      <c r="BB18" s="171">
        <f t="shared" si="31"/>
        <v>0</v>
      </c>
      <c r="BC18" s="171">
        <f t="shared" si="31"/>
        <v>0</v>
      </c>
      <c r="BD18" s="171">
        <f t="shared" si="31"/>
        <v>0</v>
      </c>
      <c r="BE18" s="171">
        <f t="shared" si="31"/>
        <v>0</v>
      </c>
      <c r="BF18" s="171">
        <f t="shared" si="31"/>
        <v>0</v>
      </c>
      <c r="BG18" s="171">
        <f t="shared" si="31"/>
        <v>0</v>
      </c>
      <c r="BH18" s="171">
        <f t="shared" si="31"/>
        <v>0</v>
      </c>
      <c r="BI18" s="171">
        <f t="shared" si="31"/>
        <v>0</v>
      </c>
      <c r="BJ18" s="171">
        <f t="shared" si="31"/>
        <v>0</v>
      </c>
      <c r="BK18" s="171">
        <f t="shared" si="31"/>
        <v>0</v>
      </c>
      <c r="BL18" s="171">
        <f t="shared" si="31"/>
        <v>0</v>
      </c>
      <c r="BM18" s="171">
        <f t="shared" si="31"/>
        <v>0</v>
      </c>
      <c r="BN18" s="171">
        <f t="shared" si="31"/>
        <v>0</v>
      </c>
      <c r="BO18" s="171">
        <f t="shared" si="31"/>
        <v>0</v>
      </c>
      <c r="BP18" s="171">
        <f t="shared" si="31"/>
        <v>0</v>
      </c>
      <c r="BQ18" s="171">
        <f t="shared" si="31"/>
        <v>0</v>
      </c>
      <c r="BR18" s="171">
        <f t="shared" si="31"/>
        <v>0</v>
      </c>
      <c r="BS18" s="171">
        <f t="shared" si="31"/>
        <v>0</v>
      </c>
      <c r="BT18" s="171">
        <f t="shared" si="31"/>
        <v>0</v>
      </c>
      <c r="BU18" s="171">
        <f t="shared" si="31"/>
        <v>0</v>
      </c>
      <c r="BV18" s="171">
        <f t="shared" si="31"/>
        <v>0</v>
      </c>
      <c r="BW18" s="171">
        <f t="shared" si="31"/>
        <v>0</v>
      </c>
      <c r="BX18" s="171">
        <f t="shared" si="31"/>
        <v>0</v>
      </c>
      <c r="BY18" s="171">
        <f t="shared" ref="BY18:EQ18" si="32">(BY$14&gt;$H18)*(BY$14&lt;=$I18)*1</f>
        <v>0</v>
      </c>
      <c r="BZ18" s="171">
        <f t="shared" si="32"/>
        <v>0</v>
      </c>
      <c r="CA18" s="171">
        <f t="shared" si="32"/>
        <v>0</v>
      </c>
      <c r="CB18" s="171">
        <f t="shared" si="32"/>
        <v>0</v>
      </c>
      <c r="CC18" s="171">
        <f t="shared" si="32"/>
        <v>0</v>
      </c>
      <c r="CD18" s="171">
        <f t="shared" si="32"/>
        <v>0</v>
      </c>
      <c r="CE18" s="171">
        <f t="shared" si="32"/>
        <v>0</v>
      </c>
      <c r="CF18" s="171">
        <f t="shared" si="32"/>
        <v>0</v>
      </c>
      <c r="CG18" s="171">
        <f t="shared" si="32"/>
        <v>0</v>
      </c>
      <c r="CH18" s="171">
        <f t="shared" si="32"/>
        <v>0</v>
      </c>
      <c r="CI18" s="171">
        <f t="shared" si="32"/>
        <v>0</v>
      </c>
      <c r="CJ18" s="171">
        <f t="shared" si="32"/>
        <v>0</v>
      </c>
      <c r="CK18" s="171">
        <f t="shared" si="32"/>
        <v>0</v>
      </c>
      <c r="CL18" s="171">
        <f t="shared" si="32"/>
        <v>0</v>
      </c>
      <c r="CM18" s="171">
        <f t="shared" si="32"/>
        <v>0</v>
      </c>
      <c r="CN18" s="171">
        <f t="shared" si="32"/>
        <v>0</v>
      </c>
      <c r="CO18" s="171">
        <f t="shared" si="32"/>
        <v>0</v>
      </c>
      <c r="CP18" s="171">
        <f t="shared" si="32"/>
        <v>0</v>
      </c>
      <c r="CQ18" s="171">
        <f t="shared" si="32"/>
        <v>0</v>
      </c>
      <c r="CR18" s="171">
        <f t="shared" si="32"/>
        <v>0</v>
      </c>
      <c r="CS18" s="171">
        <f t="shared" si="32"/>
        <v>0</v>
      </c>
      <c r="CT18" s="171">
        <f t="shared" si="32"/>
        <v>0</v>
      </c>
      <c r="CU18" s="171">
        <f t="shared" si="32"/>
        <v>0</v>
      </c>
      <c r="CV18" s="171">
        <f t="shared" si="32"/>
        <v>0</v>
      </c>
      <c r="CW18" s="171">
        <f t="shared" si="32"/>
        <v>0</v>
      </c>
      <c r="CX18" s="171">
        <f t="shared" si="32"/>
        <v>0</v>
      </c>
      <c r="CY18" s="171">
        <f t="shared" si="32"/>
        <v>0</v>
      </c>
      <c r="CZ18" s="171">
        <f t="shared" si="32"/>
        <v>0</v>
      </c>
      <c r="DA18" s="171">
        <f t="shared" si="32"/>
        <v>0</v>
      </c>
      <c r="DB18" s="171">
        <f t="shared" si="32"/>
        <v>0</v>
      </c>
      <c r="DC18" s="171">
        <f t="shared" si="32"/>
        <v>0</v>
      </c>
      <c r="DD18" s="171">
        <f t="shared" si="32"/>
        <v>0</v>
      </c>
      <c r="DE18" s="171">
        <f t="shared" si="32"/>
        <v>0</v>
      </c>
      <c r="DF18" s="171">
        <f t="shared" si="32"/>
        <v>0</v>
      </c>
      <c r="DG18" s="171">
        <f t="shared" si="32"/>
        <v>0</v>
      </c>
      <c r="DH18" s="171">
        <f t="shared" si="32"/>
        <v>0</v>
      </c>
      <c r="DI18" s="171">
        <f t="shared" si="32"/>
        <v>0</v>
      </c>
      <c r="DJ18" s="171">
        <f t="shared" si="32"/>
        <v>0</v>
      </c>
      <c r="DK18" s="171">
        <f t="shared" si="32"/>
        <v>0</v>
      </c>
      <c r="DL18" s="171">
        <f t="shared" si="32"/>
        <v>0</v>
      </c>
      <c r="DM18" s="171">
        <f t="shared" si="32"/>
        <v>0</v>
      </c>
      <c r="DN18" s="171">
        <f t="shared" si="32"/>
        <v>0</v>
      </c>
      <c r="DO18" s="171">
        <f t="shared" si="32"/>
        <v>0</v>
      </c>
      <c r="DP18" s="171">
        <f t="shared" si="32"/>
        <v>0</v>
      </c>
      <c r="DQ18" s="171">
        <f t="shared" si="32"/>
        <v>0</v>
      </c>
      <c r="DR18" s="171">
        <f t="shared" si="32"/>
        <v>0</v>
      </c>
      <c r="DS18" s="171">
        <f t="shared" si="32"/>
        <v>0</v>
      </c>
      <c r="DT18" s="171">
        <f t="shared" si="32"/>
        <v>0</v>
      </c>
      <c r="DU18" s="171">
        <f t="shared" si="32"/>
        <v>0</v>
      </c>
      <c r="DV18" s="171">
        <f t="shared" si="32"/>
        <v>0</v>
      </c>
      <c r="DW18" s="171">
        <f t="shared" si="32"/>
        <v>0</v>
      </c>
      <c r="DX18" s="171">
        <f t="shared" si="32"/>
        <v>0</v>
      </c>
      <c r="DY18" s="171">
        <f t="shared" si="32"/>
        <v>0</v>
      </c>
      <c r="DZ18" s="171">
        <f t="shared" si="32"/>
        <v>0</v>
      </c>
      <c r="EA18" s="171">
        <f t="shared" si="32"/>
        <v>0</v>
      </c>
      <c r="EB18" s="171">
        <f t="shared" si="32"/>
        <v>0</v>
      </c>
      <c r="EC18" s="171">
        <f t="shared" si="32"/>
        <v>0</v>
      </c>
      <c r="ED18" s="171">
        <f t="shared" si="32"/>
        <v>0</v>
      </c>
      <c r="EE18" s="171">
        <f t="shared" si="32"/>
        <v>0</v>
      </c>
      <c r="EF18" s="171">
        <f t="shared" si="32"/>
        <v>0</v>
      </c>
      <c r="EG18" s="171">
        <f t="shared" si="32"/>
        <v>0</v>
      </c>
      <c r="EH18" s="171">
        <f t="shared" si="32"/>
        <v>0</v>
      </c>
      <c r="EI18" s="171">
        <f t="shared" si="32"/>
        <v>0</v>
      </c>
      <c r="EJ18" s="171">
        <f t="shared" si="32"/>
        <v>0</v>
      </c>
      <c r="EK18" s="171">
        <f t="shared" si="32"/>
        <v>0</v>
      </c>
      <c r="EL18" s="171">
        <f t="shared" si="32"/>
        <v>0</v>
      </c>
      <c r="EM18" s="171">
        <f t="shared" si="32"/>
        <v>0</v>
      </c>
      <c r="EN18" s="171">
        <f t="shared" si="32"/>
        <v>0</v>
      </c>
      <c r="EO18" s="171">
        <f t="shared" si="32"/>
        <v>0</v>
      </c>
      <c r="EP18" s="171">
        <f t="shared" si="32"/>
        <v>0</v>
      </c>
      <c r="EQ18" s="171">
        <f t="shared" si="32"/>
        <v>0</v>
      </c>
    </row>
    <row r="19" spans="3:147" ht="11.25" customHeight="1">
      <c r="C19" s="158" t="s">
        <v>5</v>
      </c>
      <c r="D19" s="159"/>
      <c r="E19" s="159"/>
      <c r="F19" s="159"/>
      <c r="G19" s="159"/>
      <c r="H19" s="159"/>
      <c r="I19" s="160"/>
      <c r="J19" s="161"/>
      <c r="K19" s="98"/>
      <c r="L19" s="162"/>
      <c r="M19" s="162"/>
      <c r="N19" s="162"/>
      <c r="O19" s="162"/>
      <c r="P19" s="162"/>
      <c r="Q19" s="162"/>
      <c r="R19" s="162"/>
      <c r="S19" s="162"/>
      <c r="T19" s="162"/>
      <c r="U19" s="162"/>
      <c r="V19" s="162"/>
      <c r="W19" s="162"/>
      <c r="X19" s="162"/>
      <c r="Y19" s="162"/>
      <c r="Z19" s="162"/>
      <c r="AA19" s="162"/>
      <c r="AB19" s="162"/>
      <c r="AC19" s="162"/>
      <c r="AD19" s="162"/>
      <c r="AE19" s="162"/>
      <c r="AF19" s="162"/>
      <c r="AG19" s="162"/>
      <c r="AH19" s="162"/>
      <c r="AI19" s="162"/>
      <c r="AJ19" s="162"/>
      <c r="AK19" s="162"/>
      <c r="AL19" s="162"/>
      <c r="AM19" s="162"/>
      <c r="AN19" s="162"/>
      <c r="AO19" s="162"/>
      <c r="AP19" s="162"/>
      <c r="AQ19" s="162"/>
      <c r="AR19" s="162"/>
      <c r="AS19" s="162"/>
      <c r="AT19" s="162"/>
      <c r="AU19" s="162"/>
      <c r="AV19" s="162"/>
      <c r="AW19" s="162"/>
      <c r="AX19" s="162"/>
      <c r="AY19" s="162"/>
      <c r="AZ19" s="162"/>
      <c r="BA19" s="162"/>
      <c r="BB19" s="162"/>
      <c r="BC19" s="162"/>
      <c r="BD19" s="162"/>
      <c r="BE19" s="162"/>
      <c r="BF19" s="162"/>
      <c r="BG19" s="162"/>
      <c r="BH19" s="162"/>
      <c r="BI19" s="162"/>
      <c r="BJ19" s="162"/>
      <c r="BK19" s="162"/>
      <c r="BL19" s="162"/>
      <c r="BM19" s="162"/>
      <c r="BN19" s="162"/>
      <c r="BO19" s="162"/>
      <c r="BP19" s="162"/>
      <c r="BQ19" s="162"/>
      <c r="BR19" s="162"/>
      <c r="BS19" s="162"/>
      <c r="BT19" s="162"/>
      <c r="BU19" s="162"/>
      <c r="BV19" s="162"/>
      <c r="BW19" s="162"/>
      <c r="BX19" s="162"/>
      <c r="BY19" s="162"/>
      <c r="BZ19" s="162"/>
      <c r="CA19" s="162"/>
      <c r="CB19" s="162"/>
      <c r="CC19" s="162"/>
      <c r="CD19" s="162"/>
      <c r="CE19" s="162"/>
      <c r="CF19" s="162"/>
      <c r="CG19" s="162"/>
      <c r="CH19" s="162"/>
      <c r="CI19" s="162"/>
      <c r="CJ19" s="162"/>
      <c r="CK19" s="162"/>
      <c r="CL19" s="162"/>
      <c r="CM19" s="162"/>
      <c r="CN19" s="162"/>
      <c r="CO19" s="162"/>
      <c r="CP19" s="162"/>
      <c r="CQ19" s="162"/>
      <c r="CR19" s="162"/>
      <c r="CS19" s="162"/>
      <c r="CT19" s="162"/>
      <c r="CU19" s="162"/>
      <c r="CV19" s="162"/>
      <c r="CW19" s="162"/>
      <c r="CX19" s="162"/>
      <c r="CY19" s="162"/>
      <c r="CZ19" s="162"/>
      <c r="DA19" s="162"/>
      <c r="DB19" s="162"/>
      <c r="DC19" s="162"/>
      <c r="DD19" s="162"/>
      <c r="DE19" s="162"/>
      <c r="DF19" s="162"/>
      <c r="DG19" s="162"/>
      <c r="DH19" s="162"/>
      <c r="DI19" s="162"/>
      <c r="DJ19" s="162"/>
      <c r="DK19" s="162"/>
      <c r="DL19" s="162"/>
      <c r="DM19" s="162"/>
      <c r="DN19" s="162"/>
      <c r="DO19" s="162"/>
      <c r="DP19" s="162"/>
      <c r="DQ19" s="162"/>
      <c r="DR19" s="162"/>
      <c r="DS19" s="162"/>
      <c r="DT19" s="162"/>
      <c r="DU19" s="162"/>
      <c r="DV19" s="162"/>
      <c r="DW19" s="162"/>
      <c r="DX19" s="162"/>
      <c r="DY19" s="162"/>
      <c r="DZ19" s="162"/>
      <c r="EA19" s="162"/>
      <c r="EB19" s="162"/>
      <c r="EC19" s="162"/>
      <c r="ED19" s="162"/>
      <c r="EE19" s="162"/>
      <c r="EF19" s="162"/>
      <c r="EG19" s="162"/>
      <c r="EH19" s="162"/>
      <c r="EI19" s="162"/>
      <c r="EJ19" s="162"/>
      <c r="EK19" s="162"/>
      <c r="EL19" s="162"/>
      <c r="EM19" s="162"/>
      <c r="EN19" s="162"/>
      <c r="EO19" s="162"/>
      <c r="EP19" s="162"/>
      <c r="EQ19" s="162"/>
    </row>
    <row r="20" spans="3:147" ht="11.25" customHeight="1">
      <c r="C20" s="163"/>
      <c r="D20" s="164" t="s">
        <v>6</v>
      </c>
      <c r="E20" s="165"/>
      <c r="F20" s="165"/>
      <c r="G20" s="165"/>
      <c r="H20" s="165"/>
      <c r="I20" s="166">
        <f>'A&amp;R'!D37</f>
        <v>46326</v>
      </c>
      <c r="J20" s="167"/>
      <c r="K20" s="98"/>
      <c r="L20" s="168">
        <f t="shared" ref="L20:AA21" si="33">(L$14=$I20)*1</f>
        <v>1</v>
      </c>
      <c r="M20" s="168">
        <f t="shared" si="33"/>
        <v>0</v>
      </c>
      <c r="N20" s="168">
        <f t="shared" si="33"/>
        <v>0</v>
      </c>
      <c r="O20" s="168">
        <f t="shared" si="33"/>
        <v>0</v>
      </c>
      <c r="P20" s="168">
        <f t="shared" si="33"/>
        <v>0</v>
      </c>
      <c r="Q20" s="168">
        <f t="shared" si="33"/>
        <v>0</v>
      </c>
      <c r="R20" s="168">
        <f t="shared" si="33"/>
        <v>0</v>
      </c>
      <c r="S20" s="168">
        <f t="shared" si="33"/>
        <v>0</v>
      </c>
      <c r="T20" s="168">
        <f t="shared" si="33"/>
        <v>0</v>
      </c>
      <c r="U20" s="168">
        <f t="shared" si="33"/>
        <v>0</v>
      </c>
      <c r="V20" s="168">
        <f t="shared" si="33"/>
        <v>0</v>
      </c>
      <c r="W20" s="168">
        <f t="shared" si="33"/>
        <v>0</v>
      </c>
      <c r="X20" s="168">
        <f t="shared" si="33"/>
        <v>0</v>
      </c>
      <c r="Y20" s="168">
        <f t="shared" si="33"/>
        <v>0</v>
      </c>
      <c r="Z20" s="168">
        <f t="shared" si="33"/>
        <v>0</v>
      </c>
      <c r="AA20" s="168">
        <f t="shared" si="33"/>
        <v>0</v>
      </c>
      <c r="AB20" s="168">
        <f t="shared" ref="AB20:CM21" si="34">(AB$14=$I20)*1</f>
        <v>0</v>
      </c>
      <c r="AC20" s="168">
        <f t="shared" si="34"/>
        <v>0</v>
      </c>
      <c r="AD20" s="168">
        <f t="shared" si="34"/>
        <v>0</v>
      </c>
      <c r="AE20" s="168">
        <f t="shared" si="34"/>
        <v>0</v>
      </c>
      <c r="AF20" s="168">
        <f t="shared" si="34"/>
        <v>0</v>
      </c>
      <c r="AG20" s="168">
        <f t="shared" si="34"/>
        <v>0</v>
      </c>
      <c r="AH20" s="168">
        <f t="shared" si="34"/>
        <v>0</v>
      </c>
      <c r="AI20" s="168">
        <f t="shared" si="34"/>
        <v>0</v>
      </c>
      <c r="AJ20" s="168">
        <f t="shared" si="34"/>
        <v>0</v>
      </c>
      <c r="AK20" s="168">
        <f t="shared" si="34"/>
        <v>0</v>
      </c>
      <c r="AL20" s="168">
        <f t="shared" si="34"/>
        <v>0</v>
      </c>
      <c r="AM20" s="168">
        <f t="shared" si="34"/>
        <v>0</v>
      </c>
      <c r="AN20" s="168">
        <f t="shared" si="34"/>
        <v>0</v>
      </c>
      <c r="AO20" s="168">
        <f t="shared" si="34"/>
        <v>0</v>
      </c>
      <c r="AP20" s="168">
        <f t="shared" si="34"/>
        <v>0</v>
      </c>
      <c r="AQ20" s="168">
        <f t="shared" si="34"/>
        <v>0</v>
      </c>
      <c r="AR20" s="168">
        <f t="shared" si="34"/>
        <v>0</v>
      </c>
      <c r="AS20" s="168">
        <f t="shared" si="34"/>
        <v>0</v>
      </c>
      <c r="AT20" s="168">
        <f t="shared" si="34"/>
        <v>0</v>
      </c>
      <c r="AU20" s="168">
        <f t="shared" si="34"/>
        <v>0</v>
      </c>
      <c r="AV20" s="168">
        <f t="shared" si="34"/>
        <v>0</v>
      </c>
      <c r="AW20" s="168">
        <f t="shared" si="34"/>
        <v>0</v>
      </c>
      <c r="AX20" s="168">
        <f t="shared" si="34"/>
        <v>0</v>
      </c>
      <c r="AY20" s="168">
        <f t="shared" si="34"/>
        <v>0</v>
      </c>
      <c r="AZ20" s="168">
        <f t="shared" si="34"/>
        <v>0</v>
      </c>
      <c r="BA20" s="168">
        <f t="shared" si="34"/>
        <v>0</v>
      </c>
      <c r="BB20" s="168">
        <f t="shared" si="34"/>
        <v>0</v>
      </c>
      <c r="BC20" s="168">
        <f t="shared" si="34"/>
        <v>0</v>
      </c>
      <c r="BD20" s="168">
        <f t="shared" si="34"/>
        <v>0</v>
      </c>
      <c r="BE20" s="168">
        <f t="shared" si="34"/>
        <v>0</v>
      </c>
      <c r="BF20" s="168">
        <f t="shared" si="34"/>
        <v>0</v>
      </c>
      <c r="BG20" s="168">
        <f t="shared" si="34"/>
        <v>0</v>
      </c>
      <c r="BH20" s="168">
        <f t="shared" si="34"/>
        <v>0</v>
      </c>
      <c r="BI20" s="168">
        <f t="shared" si="34"/>
        <v>0</v>
      </c>
      <c r="BJ20" s="168">
        <f t="shared" si="34"/>
        <v>0</v>
      </c>
      <c r="BK20" s="168">
        <f t="shared" si="34"/>
        <v>0</v>
      </c>
      <c r="BL20" s="168">
        <f t="shared" si="34"/>
        <v>0</v>
      </c>
      <c r="BM20" s="168">
        <f t="shared" si="34"/>
        <v>0</v>
      </c>
      <c r="BN20" s="168">
        <f t="shared" si="34"/>
        <v>0</v>
      </c>
      <c r="BO20" s="168">
        <f t="shared" si="34"/>
        <v>0</v>
      </c>
      <c r="BP20" s="168">
        <f t="shared" si="34"/>
        <v>0</v>
      </c>
      <c r="BQ20" s="168">
        <f t="shared" si="34"/>
        <v>0</v>
      </c>
      <c r="BR20" s="168">
        <f t="shared" si="34"/>
        <v>0</v>
      </c>
      <c r="BS20" s="168">
        <f t="shared" si="34"/>
        <v>0</v>
      </c>
      <c r="BT20" s="168">
        <f t="shared" si="34"/>
        <v>0</v>
      </c>
      <c r="BU20" s="168">
        <f t="shared" si="34"/>
        <v>0</v>
      </c>
      <c r="BV20" s="168">
        <f t="shared" si="34"/>
        <v>0</v>
      </c>
      <c r="BW20" s="168">
        <f t="shared" si="34"/>
        <v>0</v>
      </c>
      <c r="BX20" s="168">
        <f t="shared" si="34"/>
        <v>0</v>
      </c>
      <c r="BY20" s="168">
        <f t="shared" si="34"/>
        <v>0</v>
      </c>
      <c r="BZ20" s="168">
        <f t="shared" si="34"/>
        <v>0</v>
      </c>
      <c r="CA20" s="168">
        <f t="shared" si="34"/>
        <v>0</v>
      </c>
      <c r="CB20" s="168">
        <f t="shared" si="34"/>
        <v>0</v>
      </c>
      <c r="CC20" s="168">
        <f t="shared" si="34"/>
        <v>0</v>
      </c>
      <c r="CD20" s="168">
        <f t="shared" si="34"/>
        <v>0</v>
      </c>
      <c r="CE20" s="168">
        <f t="shared" si="34"/>
        <v>0</v>
      </c>
      <c r="CF20" s="168">
        <f t="shared" si="34"/>
        <v>0</v>
      </c>
      <c r="CG20" s="168">
        <f t="shared" si="34"/>
        <v>0</v>
      </c>
      <c r="CH20" s="168">
        <f t="shared" si="34"/>
        <v>0</v>
      </c>
      <c r="CI20" s="168">
        <f t="shared" si="34"/>
        <v>0</v>
      </c>
      <c r="CJ20" s="168">
        <f t="shared" si="34"/>
        <v>0</v>
      </c>
      <c r="CK20" s="168">
        <f t="shared" si="34"/>
        <v>0</v>
      </c>
      <c r="CL20" s="168">
        <f t="shared" si="34"/>
        <v>0</v>
      </c>
      <c r="CM20" s="168">
        <f t="shared" si="34"/>
        <v>0</v>
      </c>
      <c r="CN20" s="168">
        <f t="shared" ref="CN20:EQ21" si="35">(CN$14=$I20)*1</f>
        <v>0</v>
      </c>
      <c r="CO20" s="168">
        <f t="shared" si="35"/>
        <v>0</v>
      </c>
      <c r="CP20" s="168">
        <f t="shared" si="35"/>
        <v>0</v>
      </c>
      <c r="CQ20" s="168">
        <f t="shared" si="35"/>
        <v>0</v>
      </c>
      <c r="CR20" s="168">
        <f t="shared" si="35"/>
        <v>0</v>
      </c>
      <c r="CS20" s="168">
        <f t="shared" si="35"/>
        <v>0</v>
      </c>
      <c r="CT20" s="168">
        <f t="shared" si="35"/>
        <v>0</v>
      </c>
      <c r="CU20" s="168">
        <f t="shared" si="35"/>
        <v>0</v>
      </c>
      <c r="CV20" s="168">
        <f t="shared" si="35"/>
        <v>0</v>
      </c>
      <c r="CW20" s="168">
        <f t="shared" si="35"/>
        <v>0</v>
      </c>
      <c r="CX20" s="168">
        <f t="shared" si="35"/>
        <v>0</v>
      </c>
      <c r="CY20" s="168">
        <f t="shared" si="35"/>
        <v>0</v>
      </c>
      <c r="CZ20" s="168">
        <f t="shared" si="35"/>
        <v>0</v>
      </c>
      <c r="DA20" s="168">
        <f t="shared" si="35"/>
        <v>0</v>
      </c>
      <c r="DB20" s="168">
        <f t="shared" si="35"/>
        <v>0</v>
      </c>
      <c r="DC20" s="168">
        <f t="shared" si="35"/>
        <v>0</v>
      </c>
      <c r="DD20" s="168">
        <f t="shared" si="35"/>
        <v>0</v>
      </c>
      <c r="DE20" s="168">
        <f t="shared" si="35"/>
        <v>0</v>
      </c>
      <c r="DF20" s="168">
        <f t="shared" si="35"/>
        <v>0</v>
      </c>
      <c r="DG20" s="168">
        <f t="shared" si="35"/>
        <v>0</v>
      </c>
      <c r="DH20" s="168">
        <f t="shared" si="35"/>
        <v>0</v>
      </c>
      <c r="DI20" s="168">
        <f t="shared" si="35"/>
        <v>0</v>
      </c>
      <c r="DJ20" s="168">
        <f t="shared" si="35"/>
        <v>0</v>
      </c>
      <c r="DK20" s="168">
        <f t="shared" si="35"/>
        <v>0</v>
      </c>
      <c r="DL20" s="168">
        <f t="shared" si="35"/>
        <v>0</v>
      </c>
      <c r="DM20" s="168">
        <f t="shared" si="35"/>
        <v>0</v>
      </c>
      <c r="DN20" s="168">
        <f t="shared" si="35"/>
        <v>0</v>
      </c>
      <c r="DO20" s="168">
        <f t="shared" si="35"/>
        <v>0</v>
      </c>
      <c r="DP20" s="168">
        <f t="shared" si="35"/>
        <v>0</v>
      </c>
      <c r="DQ20" s="168">
        <f t="shared" si="35"/>
        <v>0</v>
      </c>
      <c r="DR20" s="168">
        <f t="shared" si="35"/>
        <v>0</v>
      </c>
      <c r="DS20" s="168">
        <f t="shared" si="35"/>
        <v>0</v>
      </c>
      <c r="DT20" s="168">
        <f t="shared" si="35"/>
        <v>0</v>
      </c>
      <c r="DU20" s="168">
        <f t="shared" si="35"/>
        <v>0</v>
      </c>
      <c r="DV20" s="168">
        <f t="shared" si="35"/>
        <v>0</v>
      </c>
      <c r="DW20" s="168">
        <f t="shared" si="35"/>
        <v>0</v>
      </c>
      <c r="DX20" s="168">
        <f t="shared" si="35"/>
        <v>0</v>
      </c>
      <c r="DY20" s="168">
        <f t="shared" si="35"/>
        <v>0</v>
      </c>
      <c r="DZ20" s="168">
        <f t="shared" si="35"/>
        <v>0</v>
      </c>
      <c r="EA20" s="168">
        <f t="shared" si="35"/>
        <v>0</v>
      </c>
      <c r="EB20" s="168">
        <f t="shared" si="35"/>
        <v>0</v>
      </c>
      <c r="EC20" s="168">
        <f t="shared" si="35"/>
        <v>0</v>
      </c>
      <c r="ED20" s="168">
        <f t="shared" si="35"/>
        <v>0</v>
      </c>
      <c r="EE20" s="168">
        <f t="shared" si="35"/>
        <v>0</v>
      </c>
      <c r="EF20" s="168">
        <f t="shared" si="35"/>
        <v>0</v>
      </c>
      <c r="EG20" s="168">
        <f t="shared" si="35"/>
        <v>0</v>
      </c>
      <c r="EH20" s="168">
        <f t="shared" si="35"/>
        <v>0</v>
      </c>
      <c r="EI20" s="168">
        <f t="shared" si="35"/>
        <v>0</v>
      </c>
      <c r="EJ20" s="168">
        <f t="shared" si="35"/>
        <v>0</v>
      </c>
      <c r="EK20" s="168">
        <f t="shared" si="35"/>
        <v>0</v>
      </c>
      <c r="EL20" s="168">
        <f t="shared" si="35"/>
        <v>0</v>
      </c>
      <c r="EM20" s="168">
        <f t="shared" si="35"/>
        <v>0</v>
      </c>
      <c r="EN20" s="168">
        <f t="shared" si="35"/>
        <v>0</v>
      </c>
      <c r="EO20" s="168">
        <f t="shared" si="35"/>
        <v>0</v>
      </c>
      <c r="EP20" s="168">
        <f t="shared" si="35"/>
        <v>0</v>
      </c>
      <c r="EQ20" s="168">
        <f t="shared" si="35"/>
        <v>0</v>
      </c>
    </row>
    <row r="21" spans="3:147" ht="11.25" customHeight="1">
      <c r="C21" s="163"/>
      <c r="D21" s="169" t="s">
        <v>7</v>
      </c>
      <c r="I21" s="146">
        <f>'A&amp;R'!E37</f>
        <v>49979</v>
      </c>
      <c r="J21" s="170"/>
      <c r="K21" s="98"/>
      <c r="L21" s="171">
        <f t="shared" si="33"/>
        <v>0</v>
      </c>
      <c r="M21" s="171">
        <f t="shared" si="33"/>
        <v>0</v>
      </c>
      <c r="N21" s="171">
        <f t="shared" si="33"/>
        <v>0</v>
      </c>
      <c r="O21" s="171">
        <f t="shared" si="33"/>
        <v>0</v>
      </c>
      <c r="P21" s="171">
        <f t="shared" si="33"/>
        <v>0</v>
      </c>
      <c r="Q21" s="171">
        <f t="shared" si="33"/>
        <v>0</v>
      </c>
      <c r="R21" s="171">
        <f t="shared" si="33"/>
        <v>0</v>
      </c>
      <c r="S21" s="171">
        <f t="shared" si="33"/>
        <v>0</v>
      </c>
      <c r="T21" s="171">
        <f t="shared" si="33"/>
        <v>0</v>
      </c>
      <c r="U21" s="171">
        <f t="shared" si="33"/>
        <v>0</v>
      </c>
      <c r="V21" s="171">
        <f t="shared" si="33"/>
        <v>0</v>
      </c>
      <c r="W21" s="171">
        <f t="shared" si="33"/>
        <v>0</v>
      </c>
      <c r="X21" s="171">
        <f t="shared" si="33"/>
        <v>0</v>
      </c>
      <c r="Y21" s="171">
        <f t="shared" si="33"/>
        <v>0</v>
      </c>
      <c r="Z21" s="171">
        <f t="shared" si="33"/>
        <v>0</v>
      </c>
      <c r="AA21" s="171">
        <f t="shared" si="33"/>
        <v>0</v>
      </c>
      <c r="AB21" s="171">
        <f t="shared" si="34"/>
        <v>0</v>
      </c>
      <c r="AC21" s="171">
        <f t="shared" si="34"/>
        <v>0</v>
      </c>
      <c r="AD21" s="171">
        <f t="shared" si="34"/>
        <v>0</v>
      </c>
      <c r="AE21" s="171">
        <f t="shared" si="34"/>
        <v>0</v>
      </c>
      <c r="AF21" s="171">
        <f t="shared" si="34"/>
        <v>0</v>
      </c>
      <c r="AG21" s="171">
        <f t="shared" si="34"/>
        <v>0</v>
      </c>
      <c r="AH21" s="171">
        <f t="shared" si="34"/>
        <v>0</v>
      </c>
      <c r="AI21" s="171">
        <f t="shared" si="34"/>
        <v>0</v>
      </c>
      <c r="AJ21" s="171">
        <f t="shared" si="34"/>
        <v>0</v>
      </c>
      <c r="AK21" s="171">
        <f t="shared" si="34"/>
        <v>0</v>
      </c>
      <c r="AL21" s="171">
        <f t="shared" si="34"/>
        <v>0</v>
      </c>
      <c r="AM21" s="171">
        <f t="shared" si="34"/>
        <v>0</v>
      </c>
      <c r="AN21" s="171">
        <f t="shared" si="34"/>
        <v>0</v>
      </c>
      <c r="AO21" s="171">
        <f t="shared" si="34"/>
        <v>0</v>
      </c>
      <c r="AP21" s="171">
        <f t="shared" si="34"/>
        <v>0</v>
      </c>
      <c r="AQ21" s="171">
        <f t="shared" si="34"/>
        <v>0</v>
      </c>
      <c r="AR21" s="171">
        <f t="shared" si="34"/>
        <v>0</v>
      </c>
      <c r="AS21" s="171">
        <f t="shared" si="34"/>
        <v>0</v>
      </c>
      <c r="AT21" s="171">
        <f t="shared" si="34"/>
        <v>0</v>
      </c>
      <c r="AU21" s="171">
        <f t="shared" si="34"/>
        <v>0</v>
      </c>
      <c r="AV21" s="171">
        <f t="shared" si="34"/>
        <v>0</v>
      </c>
      <c r="AW21" s="171">
        <f t="shared" si="34"/>
        <v>0</v>
      </c>
      <c r="AX21" s="171">
        <f t="shared" si="34"/>
        <v>0</v>
      </c>
      <c r="AY21" s="171">
        <f t="shared" si="34"/>
        <v>0</v>
      </c>
      <c r="AZ21" s="171">
        <f t="shared" si="34"/>
        <v>0</v>
      </c>
      <c r="BA21" s="171">
        <f t="shared" si="34"/>
        <v>0</v>
      </c>
      <c r="BB21" s="171">
        <f t="shared" si="34"/>
        <v>0</v>
      </c>
      <c r="BC21" s="171">
        <f t="shared" si="34"/>
        <v>0</v>
      </c>
      <c r="BD21" s="171">
        <f t="shared" si="34"/>
        <v>0</v>
      </c>
      <c r="BE21" s="171">
        <f t="shared" si="34"/>
        <v>0</v>
      </c>
      <c r="BF21" s="171">
        <f t="shared" si="34"/>
        <v>0</v>
      </c>
      <c r="BG21" s="171">
        <f t="shared" si="34"/>
        <v>0</v>
      </c>
      <c r="BH21" s="171">
        <f t="shared" si="34"/>
        <v>0</v>
      </c>
      <c r="BI21" s="171">
        <f t="shared" si="34"/>
        <v>0</v>
      </c>
      <c r="BJ21" s="171">
        <f t="shared" si="34"/>
        <v>0</v>
      </c>
      <c r="BK21" s="171">
        <f t="shared" si="34"/>
        <v>0</v>
      </c>
      <c r="BL21" s="171">
        <f t="shared" si="34"/>
        <v>0</v>
      </c>
      <c r="BM21" s="171">
        <f t="shared" si="34"/>
        <v>0</v>
      </c>
      <c r="BN21" s="171">
        <f t="shared" si="34"/>
        <v>0</v>
      </c>
      <c r="BO21" s="171">
        <f t="shared" si="34"/>
        <v>0</v>
      </c>
      <c r="BP21" s="171">
        <f t="shared" si="34"/>
        <v>0</v>
      </c>
      <c r="BQ21" s="171">
        <f t="shared" si="34"/>
        <v>0</v>
      </c>
      <c r="BR21" s="171">
        <f t="shared" si="34"/>
        <v>0</v>
      </c>
      <c r="BS21" s="171">
        <f t="shared" si="34"/>
        <v>0</v>
      </c>
      <c r="BT21" s="171">
        <f t="shared" si="34"/>
        <v>0</v>
      </c>
      <c r="BU21" s="171">
        <f t="shared" si="34"/>
        <v>0</v>
      </c>
      <c r="BV21" s="171">
        <f t="shared" si="34"/>
        <v>0</v>
      </c>
      <c r="BW21" s="171">
        <f t="shared" si="34"/>
        <v>0</v>
      </c>
      <c r="BX21" s="171">
        <f t="shared" si="34"/>
        <v>0</v>
      </c>
      <c r="BY21" s="171">
        <f t="shared" si="34"/>
        <v>0</v>
      </c>
      <c r="BZ21" s="171">
        <f t="shared" si="34"/>
        <v>0</v>
      </c>
      <c r="CA21" s="171">
        <f t="shared" si="34"/>
        <v>0</v>
      </c>
      <c r="CB21" s="171">
        <f t="shared" si="34"/>
        <v>0</v>
      </c>
      <c r="CC21" s="171">
        <f t="shared" si="34"/>
        <v>0</v>
      </c>
      <c r="CD21" s="171">
        <f t="shared" si="34"/>
        <v>0</v>
      </c>
      <c r="CE21" s="171">
        <f t="shared" si="34"/>
        <v>0</v>
      </c>
      <c r="CF21" s="171">
        <f t="shared" si="34"/>
        <v>0</v>
      </c>
      <c r="CG21" s="171">
        <f t="shared" si="34"/>
        <v>0</v>
      </c>
      <c r="CH21" s="171">
        <f t="shared" si="34"/>
        <v>0</v>
      </c>
      <c r="CI21" s="171">
        <f t="shared" si="34"/>
        <v>0</v>
      </c>
      <c r="CJ21" s="171">
        <f t="shared" si="34"/>
        <v>0</v>
      </c>
      <c r="CK21" s="171">
        <f t="shared" si="34"/>
        <v>0</v>
      </c>
      <c r="CL21" s="171">
        <f t="shared" si="34"/>
        <v>0</v>
      </c>
      <c r="CM21" s="171">
        <f t="shared" si="34"/>
        <v>0</v>
      </c>
      <c r="CN21" s="171">
        <f t="shared" si="35"/>
        <v>0</v>
      </c>
      <c r="CO21" s="171">
        <f t="shared" si="35"/>
        <v>0</v>
      </c>
      <c r="CP21" s="171">
        <f t="shared" si="35"/>
        <v>0</v>
      </c>
      <c r="CQ21" s="171">
        <f t="shared" si="35"/>
        <v>0</v>
      </c>
      <c r="CR21" s="171">
        <f t="shared" si="35"/>
        <v>0</v>
      </c>
      <c r="CS21" s="171">
        <f t="shared" si="35"/>
        <v>0</v>
      </c>
      <c r="CT21" s="171">
        <f t="shared" si="35"/>
        <v>0</v>
      </c>
      <c r="CU21" s="171">
        <f t="shared" si="35"/>
        <v>0</v>
      </c>
      <c r="CV21" s="171">
        <f t="shared" si="35"/>
        <v>0</v>
      </c>
      <c r="CW21" s="171">
        <f t="shared" si="35"/>
        <v>0</v>
      </c>
      <c r="CX21" s="171">
        <f t="shared" si="35"/>
        <v>0</v>
      </c>
      <c r="CY21" s="171">
        <f t="shared" si="35"/>
        <v>0</v>
      </c>
      <c r="CZ21" s="171">
        <f t="shared" si="35"/>
        <v>0</v>
      </c>
      <c r="DA21" s="171">
        <f t="shared" si="35"/>
        <v>0</v>
      </c>
      <c r="DB21" s="171">
        <f t="shared" si="35"/>
        <v>0</v>
      </c>
      <c r="DC21" s="171">
        <f t="shared" si="35"/>
        <v>0</v>
      </c>
      <c r="DD21" s="171">
        <f t="shared" si="35"/>
        <v>0</v>
      </c>
      <c r="DE21" s="171">
        <f t="shared" si="35"/>
        <v>0</v>
      </c>
      <c r="DF21" s="171">
        <f t="shared" si="35"/>
        <v>0</v>
      </c>
      <c r="DG21" s="171">
        <f t="shared" si="35"/>
        <v>0</v>
      </c>
      <c r="DH21" s="171">
        <f t="shared" si="35"/>
        <v>0</v>
      </c>
      <c r="DI21" s="171">
        <f t="shared" si="35"/>
        <v>0</v>
      </c>
      <c r="DJ21" s="171">
        <f t="shared" si="35"/>
        <v>0</v>
      </c>
      <c r="DK21" s="171">
        <f t="shared" si="35"/>
        <v>0</v>
      </c>
      <c r="DL21" s="171">
        <f t="shared" si="35"/>
        <v>0</v>
      </c>
      <c r="DM21" s="171">
        <f t="shared" si="35"/>
        <v>0</v>
      </c>
      <c r="DN21" s="171">
        <f t="shared" si="35"/>
        <v>0</v>
      </c>
      <c r="DO21" s="171">
        <f t="shared" si="35"/>
        <v>0</v>
      </c>
      <c r="DP21" s="171">
        <f t="shared" si="35"/>
        <v>0</v>
      </c>
      <c r="DQ21" s="171">
        <f t="shared" si="35"/>
        <v>0</v>
      </c>
      <c r="DR21" s="171">
        <f t="shared" si="35"/>
        <v>0</v>
      </c>
      <c r="DS21" s="171">
        <f t="shared" si="35"/>
        <v>0</v>
      </c>
      <c r="DT21" s="171">
        <f t="shared" si="35"/>
        <v>0</v>
      </c>
      <c r="DU21" s="171">
        <f t="shared" si="35"/>
        <v>0</v>
      </c>
      <c r="DV21" s="171">
        <f t="shared" si="35"/>
        <v>0</v>
      </c>
      <c r="DW21" s="171">
        <f t="shared" si="35"/>
        <v>0</v>
      </c>
      <c r="DX21" s="171">
        <f t="shared" si="35"/>
        <v>0</v>
      </c>
      <c r="DY21" s="171">
        <f t="shared" si="35"/>
        <v>0</v>
      </c>
      <c r="DZ21" s="171">
        <f t="shared" si="35"/>
        <v>0</v>
      </c>
      <c r="EA21" s="171">
        <f t="shared" si="35"/>
        <v>0</v>
      </c>
      <c r="EB21" s="171">
        <f t="shared" si="35"/>
        <v>1</v>
      </c>
      <c r="EC21" s="171">
        <f t="shared" si="35"/>
        <v>0</v>
      </c>
      <c r="ED21" s="171">
        <f t="shared" si="35"/>
        <v>0</v>
      </c>
      <c r="EE21" s="171">
        <f t="shared" si="35"/>
        <v>0</v>
      </c>
      <c r="EF21" s="171">
        <f t="shared" si="35"/>
        <v>0</v>
      </c>
      <c r="EG21" s="171">
        <f t="shared" si="35"/>
        <v>0</v>
      </c>
      <c r="EH21" s="171">
        <f t="shared" si="35"/>
        <v>0</v>
      </c>
      <c r="EI21" s="171">
        <f t="shared" si="35"/>
        <v>0</v>
      </c>
      <c r="EJ21" s="171">
        <f t="shared" si="35"/>
        <v>0</v>
      </c>
      <c r="EK21" s="171">
        <f t="shared" si="35"/>
        <v>0</v>
      </c>
      <c r="EL21" s="171">
        <f t="shared" si="35"/>
        <v>0</v>
      </c>
      <c r="EM21" s="171">
        <f t="shared" si="35"/>
        <v>0</v>
      </c>
      <c r="EN21" s="171">
        <f t="shared" si="35"/>
        <v>0</v>
      </c>
      <c r="EO21" s="171">
        <f t="shared" si="35"/>
        <v>0</v>
      </c>
      <c r="EP21" s="171">
        <f t="shared" si="35"/>
        <v>0</v>
      </c>
      <c r="EQ21" s="171">
        <f t="shared" si="35"/>
        <v>0</v>
      </c>
    </row>
    <row r="22" spans="3:147" ht="11.25" customHeight="1">
      <c r="C22" s="163"/>
      <c r="D22" s="169" t="s">
        <v>5</v>
      </c>
      <c r="H22" s="146">
        <f>I20</f>
        <v>46326</v>
      </c>
      <c r="I22" s="146">
        <f>I21</f>
        <v>49979</v>
      </c>
      <c r="J22" s="170"/>
      <c r="K22" s="98"/>
      <c r="L22" s="171">
        <f>(L$14&gt;$H22)*(L$14&lt;=$I22)*1</f>
        <v>0</v>
      </c>
      <c r="M22" s="171">
        <f t="shared" ref="M22:BX23" si="36">(M$14&gt;$H22)*(M$14&lt;=$I22)*1</f>
        <v>1</v>
      </c>
      <c r="N22" s="171">
        <f t="shared" si="36"/>
        <v>1</v>
      </c>
      <c r="O22" s="171">
        <f t="shared" si="36"/>
        <v>1</v>
      </c>
      <c r="P22" s="171">
        <f t="shared" si="36"/>
        <v>1</v>
      </c>
      <c r="Q22" s="171">
        <f t="shared" si="36"/>
        <v>1</v>
      </c>
      <c r="R22" s="171">
        <f t="shared" si="36"/>
        <v>1</v>
      </c>
      <c r="S22" s="171">
        <f t="shared" si="36"/>
        <v>1</v>
      </c>
      <c r="T22" s="171">
        <f t="shared" si="36"/>
        <v>1</v>
      </c>
      <c r="U22" s="171">
        <f t="shared" si="36"/>
        <v>1</v>
      </c>
      <c r="V22" s="171">
        <f t="shared" si="36"/>
        <v>1</v>
      </c>
      <c r="W22" s="171">
        <f t="shared" si="36"/>
        <v>1</v>
      </c>
      <c r="X22" s="171">
        <f t="shared" si="36"/>
        <v>1</v>
      </c>
      <c r="Y22" s="171">
        <f t="shared" si="36"/>
        <v>1</v>
      </c>
      <c r="Z22" s="171">
        <f t="shared" si="36"/>
        <v>1</v>
      </c>
      <c r="AA22" s="171">
        <f t="shared" si="36"/>
        <v>1</v>
      </c>
      <c r="AB22" s="171">
        <f t="shared" si="36"/>
        <v>1</v>
      </c>
      <c r="AC22" s="171">
        <f t="shared" si="36"/>
        <v>1</v>
      </c>
      <c r="AD22" s="171">
        <f t="shared" si="36"/>
        <v>1</v>
      </c>
      <c r="AE22" s="171">
        <f t="shared" si="36"/>
        <v>1</v>
      </c>
      <c r="AF22" s="171">
        <f t="shared" si="36"/>
        <v>1</v>
      </c>
      <c r="AG22" s="171">
        <f t="shared" si="36"/>
        <v>1</v>
      </c>
      <c r="AH22" s="171">
        <f t="shared" si="36"/>
        <v>1</v>
      </c>
      <c r="AI22" s="171">
        <f t="shared" si="36"/>
        <v>1</v>
      </c>
      <c r="AJ22" s="171">
        <f t="shared" si="36"/>
        <v>1</v>
      </c>
      <c r="AK22" s="171">
        <f t="shared" si="36"/>
        <v>1</v>
      </c>
      <c r="AL22" s="171">
        <f t="shared" si="36"/>
        <v>1</v>
      </c>
      <c r="AM22" s="171">
        <f t="shared" si="36"/>
        <v>1</v>
      </c>
      <c r="AN22" s="171">
        <f t="shared" si="36"/>
        <v>1</v>
      </c>
      <c r="AO22" s="171">
        <f t="shared" si="36"/>
        <v>1</v>
      </c>
      <c r="AP22" s="171">
        <f t="shared" si="36"/>
        <v>1</v>
      </c>
      <c r="AQ22" s="171">
        <f t="shared" si="36"/>
        <v>1</v>
      </c>
      <c r="AR22" s="171">
        <f t="shared" si="36"/>
        <v>1</v>
      </c>
      <c r="AS22" s="171">
        <f t="shared" si="36"/>
        <v>1</v>
      </c>
      <c r="AT22" s="171">
        <f t="shared" si="36"/>
        <v>1</v>
      </c>
      <c r="AU22" s="171">
        <f t="shared" si="36"/>
        <v>1</v>
      </c>
      <c r="AV22" s="171">
        <f t="shared" si="36"/>
        <v>1</v>
      </c>
      <c r="AW22" s="171">
        <f t="shared" si="36"/>
        <v>1</v>
      </c>
      <c r="AX22" s="171">
        <f t="shared" si="36"/>
        <v>1</v>
      </c>
      <c r="AY22" s="171">
        <f t="shared" si="36"/>
        <v>1</v>
      </c>
      <c r="AZ22" s="171">
        <f t="shared" si="36"/>
        <v>1</v>
      </c>
      <c r="BA22" s="171">
        <f t="shared" si="36"/>
        <v>1</v>
      </c>
      <c r="BB22" s="171">
        <f t="shared" si="36"/>
        <v>1</v>
      </c>
      <c r="BC22" s="171">
        <f t="shared" si="36"/>
        <v>1</v>
      </c>
      <c r="BD22" s="171">
        <f t="shared" si="36"/>
        <v>1</v>
      </c>
      <c r="BE22" s="171">
        <f t="shared" si="36"/>
        <v>1</v>
      </c>
      <c r="BF22" s="171">
        <f t="shared" si="36"/>
        <v>1</v>
      </c>
      <c r="BG22" s="171">
        <f t="shared" si="36"/>
        <v>1</v>
      </c>
      <c r="BH22" s="171">
        <f t="shared" si="36"/>
        <v>1</v>
      </c>
      <c r="BI22" s="171">
        <f t="shared" si="36"/>
        <v>1</v>
      </c>
      <c r="BJ22" s="171">
        <f t="shared" si="36"/>
        <v>1</v>
      </c>
      <c r="BK22" s="171">
        <f t="shared" si="36"/>
        <v>1</v>
      </c>
      <c r="BL22" s="171">
        <f t="shared" si="36"/>
        <v>1</v>
      </c>
      <c r="BM22" s="171">
        <f t="shared" si="36"/>
        <v>1</v>
      </c>
      <c r="BN22" s="171">
        <f t="shared" si="36"/>
        <v>1</v>
      </c>
      <c r="BO22" s="171">
        <f t="shared" si="36"/>
        <v>1</v>
      </c>
      <c r="BP22" s="171">
        <f t="shared" si="36"/>
        <v>1</v>
      </c>
      <c r="BQ22" s="171">
        <f t="shared" si="36"/>
        <v>1</v>
      </c>
      <c r="BR22" s="171">
        <f t="shared" si="36"/>
        <v>1</v>
      </c>
      <c r="BS22" s="171">
        <f t="shared" si="36"/>
        <v>1</v>
      </c>
      <c r="BT22" s="171">
        <f t="shared" si="36"/>
        <v>1</v>
      </c>
      <c r="BU22" s="171">
        <f t="shared" si="36"/>
        <v>1</v>
      </c>
      <c r="BV22" s="171">
        <f t="shared" si="36"/>
        <v>1</v>
      </c>
      <c r="BW22" s="171">
        <f t="shared" si="36"/>
        <v>1</v>
      </c>
      <c r="BX22" s="171">
        <f t="shared" si="36"/>
        <v>1</v>
      </c>
      <c r="BY22" s="171">
        <f t="shared" ref="BY22:EQ23" si="37">(BY$14&gt;$H22)*(BY$14&lt;=$I22)*1</f>
        <v>1</v>
      </c>
      <c r="BZ22" s="171">
        <f t="shared" si="37"/>
        <v>1</v>
      </c>
      <c r="CA22" s="171">
        <f t="shared" si="37"/>
        <v>1</v>
      </c>
      <c r="CB22" s="171">
        <f t="shared" si="37"/>
        <v>1</v>
      </c>
      <c r="CC22" s="171">
        <f t="shared" si="37"/>
        <v>1</v>
      </c>
      <c r="CD22" s="171">
        <f t="shared" si="37"/>
        <v>1</v>
      </c>
      <c r="CE22" s="171">
        <f t="shared" si="37"/>
        <v>1</v>
      </c>
      <c r="CF22" s="171">
        <f t="shared" si="37"/>
        <v>1</v>
      </c>
      <c r="CG22" s="171">
        <f t="shared" si="37"/>
        <v>1</v>
      </c>
      <c r="CH22" s="171">
        <f t="shared" si="37"/>
        <v>1</v>
      </c>
      <c r="CI22" s="171">
        <f t="shared" si="37"/>
        <v>1</v>
      </c>
      <c r="CJ22" s="171">
        <f t="shared" si="37"/>
        <v>1</v>
      </c>
      <c r="CK22" s="171">
        <f t="shared" si="37"/>
        <v>1</v>
      </c>
      <c r="CL22" s="171">
        <f t="shared" si="37"/>
        <v>1</v>
      </c>
      <c r="CM22" s="171">
        <f t="shared" si="37"/>
        <v>1</v>
      </c>
      <c r="CN22" s="171">
        <f t="shared" si="37"/>
        <v>1</v>
      </c>
      <c r="CO22" s="171">
        <f t="shared" si="37"/>
        <v>1</v>
      </c>
      <c r="CP22" s="171">
        <f t="shared" si="37"/>
        <v>1</v>
      </c>
      <c r="CQ22" s="171">
        <f t="shared" si="37"/>
        <v>1</v>
      </c>
      <c r="CR22" s="171">
        <f t="shared" si="37"/>
        <v>1</v>
      </c>
      <c r="CS22" s="171">
        <f t="shared" si="37"/>
        <v>1</v>
      </c>
      <c r="CT22" s="171">
        <f t="shared" si="37"/>
        <v>1</v>
      </c>
      <c r="CU22" s="171">
        <f t="shared" si="37"/>
        <v>1</v>
      </c>
      <c r="CV22" s="171">
        <f t="shared" si="37"/>
        <v>1</v>
      </c>
      <c r="CW22" s="171">
        <f t="shared" si="37"/>
        <v>1</v>
      </c>
      <c r="CX22" s="171">
        <f t="shared" si="37"/>
        <v>1</v>
      </c>
      <c r="CY22" s="171">
        <f t="shared" si="37"/>
        <v>1</v>
      </c>
      <c r="CZ22" s="171">
        <f t="shared" si="37"/>
        <v>1</v>
      </c>
      <c r="DA22" s="171">
        <f t="shared" si="37"/>
        <v>1</v>
      </c>
      <c r="DB22" s="171">
        <f t="shared" si="37"/>
        <v>1</v>
      </c>
      <c r="DC22" s="171">
        <f t="shared" si="37"/>
        <v>1</v>
      </c>
      <c r="DD22" s="171">
        <f t="shared" si="37"/>
        <v>1</v>
      </c>
      <c r="DE22" s="171">
        <f t="shared" si="37"/>
        <v>1</v>
      </c>
      <c r="DF22" s="171">
        <f t="shared" si="37"/>
        <v>1</v>
      </c>
      <c r="DG22" s="171">
        <f t="shared" si="37"/>
        <v>1</v>
      </c>
      <c r="DH22" s="171">
        <f t="shared" si="37"/>
        <v>1</v>
      </c>
      <c r="DI22" s="171">
        <f t="shared" si="37"/>
        <v>1</v>
      </c>
      <c r="DJ22" s="171">
        <f t="shared" si="37"/>
        <v>1</v>
      </c>
      <c r="DK22" s="171">
        <f t="shared" si="37"/>
        <v>1</v>
      </c>
      <c r="DL22" s="171">
        <f t="shared" si="37"/>
        <v>1</v>
      </c>
      <c r="DM22" s="171">
        <f t="shared" si="37"/>
        <v>1</v>
      </c>
      <c r="DN22" s="171">
        <f t="shared" si="37"/>
        <v>1</v>
      </c>
      <c r="DO22" s="171">
        <f t="shared" si="37"/>
        <v>1</v>
      </c>
      <c r="DP22" s="171">
        <f t="shared" si="37"/>
        <v>1</v>
      </c>
      <c r="DQ22" s="171">
        <f t="shared" si="37"/>
        <v>1</v>
      </c>
      <c r="DR22" s="171">
        <f t="shared" si="37"/>
        <v>1</v>
      </c>
      <c r="DS22" s="171">
        <f t="shared" si="37"/>
        <v>1</v>
      </c>
      <c r="DT22" s="171">
        <f t="shared" si="37"/>
        <v>1</v>
      </c>
      <c r="DU22" s="171">
        <f t="shared" si="37"/>
        <v>1</v>
      </c>
      <c r="DV22" s="171">
        <f t="shared" si="37"/>
        <v>1</v>
      </c>
      <c r="DW22" s="171">
        <f t="shared" si="37"/>
        <v>1</v>
      </c>
      <c r="DX22" s="171">
        <f t="shared" si="37"/>
        <v>1</v>
      </c>
      <c r="DY22" s="171">
        <f t="shared" si="37"/>
        <v>1</v>
      </c>
      <c r="DZ22" s="171">
        <f t="shared" si="37"/>
        <v>1</v>
      </c>
      <c r="EA22" s="171">
        <f t="shared" si="37"/>
        <v>1</v>
      </c>
      <c r="EB22" s="171">
        <f t="shared" si="37"/>
        <v>1</v>
      </c>
      <c r="EC22" s="171">
        <f t="shared" si="37"/>
        <v>0</v>
      </c>
      <c r="ED22" s="171">
        <f t="shared" si="37"/>
        <v>0</v>
      </c>
      <c r="EE22" s="171">
        <f t="shared" si="37"/>
        <v>0</v>
      </c>
      <c r="EF22" s="171">
        <f t="shared" si="37"/>
        <v>0</v>
      </c>
      <c r="EG22" s="171">
        <f t="shared" si="37"/>
        <v>0</v>
      </c>
      <c r="EH22" s="171">
        <f t="shared" si="37"/>
        <v>0</v>
      </c>
      <c r="EI22" s="171">
        <f t="shared" si="37"/>
        <v>0</v>
      </c>
      <c r="EJ22" s="171">
        <f t="shared" si="37"/>
        <v>0</v>
      </c>
      <c r="EK22" s="171">
        <f t="shared" si="37"/>
        <v>0</v>
      </c>
      <c r="EL22" s="171">
        <f t="shared" si="37"/>
        <v>0</v>
      </c>
      <c r="EM22" s="171">
        <f t="shared" si="37"/>
        <v>0</v>
      </c>
      <c r="EN22" s="171">
        <f t="shared" si="37"/>
        <v>0</v>
      </c>
      <c r="EO22" s="171">
        <f t="shared" si="37"/>
        <v>0</v>
      </c>
      <c r="EP22" s="171">
        <f t="shared" si="37"/>
        <v>0</v>
      </c>
      <c r="EQ22" s="171">
        <f t="shared" si="37"/>
        <v>0</v>
      </c>
    </row>
    <row r="23" spans="3:147" ht="11.25" customHeight="1">
      <c r="C23" s="163"/>
      <c r="D23" s="169" t="s">
        <v>158</v>
      </c>
      <c r="H23" s="146">
        <f>I22</f>
        <v>49979</v>
      </c>
      <c r="I23" s="146">
        <f>EOMONTH(H23-1,12)</f>
        <v>50344</v>
      </c>
      <c r="J23" s="170"/>
      <c r="K23" s="98"/>
      <c r="L23" s="171">
        <f>(L$14&gt;$H23)*(L$14&lt;=$I23)*1</f>
        <v>0</v>
      </c>
      <c r="M23" s="171">
        <f t="shared" si="36"/>
        <v>0</v>
      </c>
      <c r="N23" s="171">
        <f t="shared" si="36"/>
        <v>0</v>
      </c>
      <c r="O23" s="171">
        <f t="shared" si="36"/>
        <v>0</v>
      </c>
      <c r="P23" s="171">
        <f t="shared" si="36"/>
        <v>0</v>
      </c>
      <c r="Q23" s="171">
        <f t="shared" si="36"/>
        <v>0</v>
      </c>
      <c r="R23" s="171">
        <f t="shared" si="36"/>
        <v>0</v>
      </c>
      <c r="S23" s="171">
        <f t="shared" si="36"/>
        <v>0</v>
      </c>
      <c r="T23" s="171">
        <f t="shared" si="36"/>
        <v>0</v>
      </c>
      <c r="U23" s="171">
        <f t="shared" si="36"/>
        <v>0</v>
      </c>
      <c r="V23" s="171">
        <f t="shared" si="36"/>
        <v>0</v>
      </c>
      <c r="W23" s="171">
        <f t="shared" si="36"/>
        <v>0</v>
      </c>
      <c r="X23" s="171">
        <f t="shared" si="36"/>
        <v>0</v>
      </c>
      <c r="Y23" s="171">
        <f t="shared" si="36"/>
        <v>0</v>
      </c>
      <c r="Z23" s="171">
        <f t="shared" si="36"/>
        <v>0</v>
      </c>
      <c r="AA23" s="171">
        <f t="shared" si="36"/>
        <v>0</v>
      </c>
      <c r="AB23" s="171">
        <f t="shared" si="36"/>
        <v>0</v>
      </c>
      <c r="AC23" s="171">
        <f t="shared" si="36"/>
        <v>0</v>
      </c>
      <c r="AD23" s="171">
        <f t="shared" si="36"/>
        <v>0</v>
      </c>
      <c r="AE23" s="171">
        <f t="shared" si="36"/>
        <v>0</v>
      </c>
      <c r="AF23" s="171">
        <f t="shared" si="36"/>
        <v>0</v>
      </c>
      <c r="AG23" s="171">
        <f t="shared" si="36"/>
        <v>0</v>
      </c>
      <c r="AH23" s="171">
        <f t="shared" si="36"/>
        <v>0</v>
      </c>
      <c r="AI23" s="171">
        <f t="shared" si="36"/>
        <v>0</v>
      </c>
      <c r="AJ23" s="171">
        <f t="shared" si="36"/>
        <v>0</v>
      </c>
      <c r="AK23" s="171">
        <f t="shared" si="36"/>
        <v>0</v>
      </c>
      <c r="AL23" s="171">
        <f t="shared" si="36"/>
        <v>0</v>
      </c>
      <c r="AM23" s="171">
        <f t="shared" si="36"/>
        <v>0</v>
      </c>
      <c r="AN23" s="171">
        <f t="shared" si="36"/>
        <v>0</v>
      </c>
      <c r="AO23" s="171">
        <f t="shared" si="36"/>
        <v>0</v>
      </c>
      <c r="AP23" s="171">
        <f t="shared" si="36"/>
        <v>0</v>
      </c>
      <c r="AQ23" s="171">
        <f t="shared" si="36"/>
        <v>0</v>
      </c>
      <c r="AR23" s="171">
        <f t="shared" si="36"/>
        <v>0</v>
      </c>
      <c r="AS23" s="171">
        <f t="shared" si="36"/>
        <v>0</v>
      </c>
      <c r="AT23" s="171">
        <f t="shared" si="36"/>
        <v>0</v>
      </c>
      <c r="AU23" s="171">
        <f t="shared" si="36"/>
        <v>0</v>
      </c>
      <c r="AV23" s="171">
        <f t="shared" si="36"/>
        <v>0</v>
      </c>
      <c r="AW23" s="171">
        <f t="shared" si="36"/>
        <v>0</v>
      </c>
      <c r="AX23" s="171">
        <f t="shared" si="36"/>
        <v>0</v>
      </c>
      <c r="AY23" s="171">
        <f t="shared" si="36"/>
        <v>0</v>
      </c>
      <c r="AZ23" s="171">
        <f t="shared" si="36"/>
        <v>0</v>
      </c>
      <c r="BA23" s="171">
        <f t="shared" si="36"/>
        <v>0</v>
      </c>
      <c r="BB23" s="171">
        <f t="shared" si="36"/>
        <v>0</v>
      </c>
      <c r="BC23" s="171">
        <f t="shared" si="36"/>
        <v>0</v>
      </c>
      <c r="BD23" s="171">
        <f t="shared" si="36"/>
        <v>0</v>
      </c>
      <c r="BE23" s="171">
        <f t="shared" si="36"/>
        <v>0</v>
      </c>
      <c r="BF23" s="171">
        <f t="shared" si="36"/>
        <v>0</v>
      </c>
      <c r="BG23" s="171">
        <f t="shared" si="36"/>
        <v>0</v>
      </c>
      <c r="BH23" s="171">
        <f t="shared" si="36"/>
        <v>0</v>
      </c>
      <c r="BI23" s="171">
        <f t="shared" si="36"/>
        <v>0</v>
      </c>
      <c r="BJ23" s="171">
        <f t="shared" si="36"/>
        <v>0</v>
      </c>
      <c r="BK23" s="171">
        <f t="shared" si="36"/>
        <v>0</v>
      </c>
      <c r="BL23" s="171">
        <f t="shared" si="36"/>
        <v>0</v>
      </c>
      <c r="BM23" s="171">
        <f t="shared" si="36"/>
        <v>0</v>
      </c>
      <c r="BN23" s="171">
        <f t="shared" si="36"/>
        <v>0</v>
      </c>
      <c r="BO23" s="171">
        <f t="shared" si="36"/>
        <v>0</v>
      </c>
      <c r="BP23" s="171">
        <f t="shared" si="36"/>
        <v>0</v>
      </c>
      <c r="BQ23" s="171">
        <f t="shared" si="36"/>
        <v>0</v>
      </c>
      <c r="BR23" s="171">
        <f t="shared" si="36"/>
        <v>0</v>
      </c>
      <c r="BS23" s="171">
        <f t="shared" si="36"/>
        <v>0</v>
      </c>
      <c r="BT23" s="171">
        <f t="shared" si="36"/>
        <v>0</v>
      </c>
      <c r="BU23" s="171">
        <f t="shared" si="36"/>
        <v>0</v>
      </c>
      <c r="BV23" s="171">
        <f t="shared" si="36"/>
        <v>0</v>
      </c>
      <c r="BW23" s="171">
        <f t="shared" si="36"/>
        <v>0</v>
      </c>
      <c r="BX23" s="171">
        <f t="shared" si="36"/>
        <v>0</v>
      </c>
      <c r="BY23" s="171">
        <f t="shared" si="37"/>
        <v>0</v>
      </c>
      <c r="BZ23" s="171">
        <f t="shared" si="37"/>
        <v>0</v>
      </c>
      <c r="CA23" s="171">
        <f t="shared" si="37"/>
        <v>0</v>
      </c>
      <c r="CB23" s="171">
        <f t="shared" si="37"/>
        <v>0</v>
      </c>
      <c r="CC23" s="171">
        <f t="shared" si="37"/>
        <v>0</v>
      </c>
      <c r="CD23" s="171">
        <f t="shared" si="37"/>
        <v>0</v>
      </c>
      <c r="CE23" s="171">
        <f t="shared" si="37"/>
        <v>0</v>
      </c>
      <c r="CF23" s="171">
        <f t="shared" si="37"/>
        <v>0</v>
      </c>
      <c r="CG23" s="171">
        <f t="shared" si="37"/>
        <v>0</v>
      </c>
      <c r="CH23" s="171">
        <f t="shared" si="37"/>
        <v>0</v>
      </c>
      <c r="CI23" s="171">
        <f t="shared" si="37"/>
        <v>0</v>
      </c>
      <c r="CJ23" s="171">
        <f t="shared" si="37"/>
        <v>0</v>
      </c>
      <c r="CK23" s="171">
        <f t="shared" si="37"/>
        <v>0</v>
      </c>
      <c r="CL23" s="171">
        <f t="shared" si="37"/>
        <v>0</v>
      </c>
      <c r="CM23" s="171">
        <f t="shared" si="37"/>
        <v>0</v>
      </c>
      <c r="CN23" s="171">
        <f t="shared" si="37"/>
        <v>0</v>
      </c>
      <c r="CO23" s="171">
        <f t="shared" si="37"/>
        <v>0</v>
      </c>
      <c r="CP23" s="171">
        <f t="shared" si="37"/>
        <v>0</v>
      </c>
      <c r="CQ23" s="171">
        <f t="shared" si="37"/>
        <v>0</v>
      </c>
      <c r="CR23" s="171">
        <f t="shared" si="37"/>
        <v>0</v>
      </c>
      <c r="CS23" s="171">
        <f t="shared" si="37"/>
        <v>0</v>
      </c>
      <c r="CT23" s="171">
        <f t="shared" si="37"/>
        <v>0</v>
      </c>
      <c r="CU23" s="171">
        <f t="shared" si="37"/>
        <v>0</v>
      </c>
      <c r="CV23" s="171">
        <f t="shared" si="37"/>
        <v>0</v>
      </c>
      <c r="CW23" s="171">
        <f t="shared" si="37"/>
        <v>0</v>
      </c>
      <c r="CX23" s="171">
        <f t="shared" si="37"/>
        <v>0</v>
      </c>
      <c r="CY23" s="171">
        <f t="shared" si="37"/>
        <v>0</v>
      </c>
      <c r="CZ23" s="171">
        <f t="shared" si="37"/>
        <v>0</v>
      </c>
      <c r="DA23" s="171">
        <f t="shared" si="37"/>
        <v>0</v>
      </c>
      <c r="DB23" s="171">
        <f t="shared" si="37"/>
        <v>0</v>
      </c>
      <c r="DC23" s="171">
        <f t="shared" si="37"/>
        <v>0</v>
      </c>
      <c r="DD23" s="171">
        <f t="shared" si="37"/>
        <v>0</v>
      </c>
      <c r="DE23" s="171">
        <f t="shared" si="37"/>
        <v>0</v>
      </c>
      <c r="DF23" s="171">
        <f t="shared" si="37"/>
        <v>0</v>
      </c>
      <c r="DG23" s="171">
        <f t="shared" si="37"/>
        <v>0</v>
      </c>
      <c r="DH23" s="171">
        <f t="shared" si="37"/>
        <v>0</v>
      </c>
      <c r="DI23" s="171">
        <f t="shared" si="37"/>
        <v>0</v>
      </c>
      <c r="DJ23" s="171">
        <f t="shared" si="37"/>
        <v>0</v>
      </c>
      <c r="DK23" s="171">
        <f t="shared" si="37"/>
        <v>0</v>
      </c>
      <c r="DL23" s="171">
        <f t="shared" si="37"/>
        <v>0</v>
      </c>
      <c r="DM23" s="171">
        <f t="shared" si="37"/>
        <v>0</v>
      </c>
      <c r="DN23" s="171">
        <f t="shared" si="37"/>
        <v>0</v>
      </c>
      <c r="DO23" s="171">
        <f t="shared" si="37"/>
        <v>0</v>
      </c>
      <c r="DP23" s="171">
        <f t="shared" si="37"/>
        <v>0</v>
      </c>
      <c r="DQ23" s="171">
        <f t="shared" si="37"/>
        <v>0</v>
      </c>
      <c r="DR23" s="171">
        <f t="shared" si="37"/>
        <v>0</v>
      </c>
      <c r="DS23" s="171">
        <f t="shared" si="37"/>
        <v>0</v>
      </c>
      <c r="DT23" s="171">
        <f t="shared" si="37"/>
        <v>0</v>
      </c>
      <c r="DU23" s="171">
        <f t="shared" si="37"/>
        <v>0</v>
      </c>
      <c r="DV23" s="171">
        <f t="shared" si="37"/>
        <v>0</v>
      </c>
      <c r="DW23" s="171">
        <f t="shared" si="37"/>
        <v>0</v>
      </c>
      <c r="DX23" s="171">
        <f t="shared" si="37"/>
        <v>0</v>
      </c>
      <c r="DY23" s="171">
        <f t="shared" si="37"/>
        <v>0</v>
      </c>
      <c r="DZ23" s="171">
        <f t="shared" si="37"/>
        <v>0</v>
      </c>
      <c r="EA23" s="171">
        <f t="shared" si="37"/>
        <v>0</v>
      </c>
      <c r="EB23" s="171">
        <f t="shared" si="37"/>
        <v>0</v>
      </c>
      <c r="EC23" s="171">
        <f t="shared" si="37"/>
        <v>1</v>
      </c>
      <c r="ED23" s="171">
        <f t="shared" si="37"/>
        <v>1</v>
      </c>
      <c r="EE23" s="171">
        <f t="shared" si="37"/>
        <v>1</v>
      </c>
      <c r="EF23" s="171">
        <f t="shared" si="37"/>
        <v>1</v>
      </c>
      <c r="EG23" s="171">
        <f t="shared" si="37"/>
        <v>1</v>
      </c>
      <c r="EH23" s="171">
        <f t="shared" si="37"/>
        <v>1</v>
      </c>
      <c r="EI23" s="171">
        <f t="shared" si="37"/>
        <v>1</v>
      </c>
      <c r="EJ23" s="171">
        <f t="shared" si="37"/>
        <v>1</v>
      </c>
      <c r="EK23" s="171">
        <f t="shared" si="37"/>
        <v>1</v>
      </c>
      <c r="EL23" s="171">
        <f t="shared" si="37"/>
        <v>1</v>
      </c>
      <c r="EM23" s="171">
        <f t="shared" si="37"/>
        <v>1</v>
      </c>
      <c r="EN23" s="171">
        <f t="shared" si="37"/>
        <v>1</v>
      </c>
      <c r="EO23" s="171">
        <f t="shared" si="37"/>
        <v>0</v>
      </c>
      <c r="EP23" s="171">
        <f t="shared" si="37"/>
        <v>0</v>
      </c>
      <c r="EQ23" s="171">
        <f t="shared" si="37"/>
        <v>0</v>
      </c>
    </row>
    <row r="24" spans="3:147" ht="11.25" customHeight="1">
      <c r="C24" s="163"/>
      <c r="D24" s="169" t="s">
        <v>159</v>
      </c>
      <c r="H24" s="146"/>
      <c r="I24" s="146">
        <f>I20</f>
        <v>46326</v>
      </c>
      <c r="J24" s="170"/>
      <c r="K24" s="98"/>
      <c r="L24" s="171">
        <f>IFERROR(DATEDIF($I24-1,L$14+1,"M"),0)</f>
        <v>0</v>
      </c>
      <c r="M24" s="171">
        <f t="shared" ref="M24:BX24" si="38">IFERROR(DATEDIF($I24-1,M$14+1,"M"),0)</f>
        <v>1</v>
      </c>
      <c r="N24" s="171">
        <f t="shared" si="38"/>
        <v>2</v>
      </c>
      <c r="O24" s="171">
        <f t="shared" si="38"/>
        <v>3</v>
      </c>
      <c r="P24" s="171">
        <f t="shared" si="38"/>
        <v>4</v>
      </c>
      <c r="Q24" s="171">
        <f t="shared" si="38"/>
        <v>5</v>
      </c>
      <c r="R24" s="171">
        <f t="shared" si="38"/>
        <v>6</v>
      </c>
      <c r="S24" s="171">
        <f t="shared" si="38"/>
        <v>7</v>
      </c>
      <c r="T24" s="171">
        <f t="shared" si="38"/>
        <v>8</v>
      </c>
      <c r="U24" s="171">
        <f t="shared" si="38"/>
        <v>9</v>
      </c>
      <c r="V24" s="171">
        <f t="shared" si="38"/>
        <v>10</v>
      </c>
      <c r="W24" s="171">
        <f t="shared" si="38"/>
        <v>11</v>
      </c>
      <c r="X24" s="171">
        <f t="shared" si="38"/>
        <v>12</v>
      </c>
      <c r="Y24" s="171">
        <f t="shared" si="38"/>
        <v>13</v>
      </c>
      <c r="Z24" s="171">
        <f t="shared" si="38"/>
        <v>14</v>
      </c>
      <c r="AA24" s="171">
        <f t="shared" si="38"/>
        <v>15</v>
      </c>
      <c r="AB24" s="171">
        <f t="shared" si="38"/>
        <v>16</v>
      </c>
      <c r="AC24" s="171">
        <f t="shared" si="38"/>
        <v>17</v>
      </c>
      <c r="AD24" s="171">
        <f t="shared" si="38"/>
        <v>18</v>
      </c>
      <c r="AE24" s="171">
        <f t="shared" si="38"/>
        <v>19</v>
      </c>
      <c r="AF24" s="171">
        <f t="shared" si="38"/>
        <v>20</v>
      </c>
      <c r="AG24" s="171">
        <f t="shared" si="38"/>
        <v>21</v>
      </c>
      <c r="AH24" s="171">
        <f t="shared" si="38"/>
        <v>22</v>
      </c>
      <c r="AI24" s="171">
        <f t="shared" si="38"/>
        <v>23</v>
      </c>
      <c r="AJ24" s="171">
        <f t="shared" si="38"/>
        <v>24</v>
      </c>
      <c r="AK24" s="171">
        <f t="shared" si="38"/>
        <v>25</v>
      </c>
      <c r="AL24" s="171">
        <f t="shared" si="38"/>
        <v>26</v>
      </c>
      <c r="AM24" s="171">
        <f t="shared" si="38"/>
        <v>27</v>
      </c>
      <c r="AN24" s="171">
        <f t="shared" si="38"/>
        <v>28</v>
      </c>
      <c r="AO24" s="171">
        <f t="shared" si="38"/>
        <v>29</v>
      </c>
      <c r="AP24" s="171">
        <f t="shared" si="38"/>
        <v>30</v>
      </c>
      <c r="AQ24" s="171">
        <f t="shared" si="38"/>
        <v>31</v>
      </c>
      <c r="AR24" s="171">
        <f t="shared" si="38"/>
        <v>32</v>
      </c>
      <c r="AS24" s="171">
        <f t="shared" si="38"/>
        <v>33</v>
      </c>
      <c r="AT24" s="171">
        <f t="shared" si="38"/>
        <v>34</v>
      </c>
      <c r="AU24" s="171">
        <f t="shared" si="38"/>
        <v>35</v>
      </c>
      <c r="AV24" s="171">
        <f t="shared" si="38"/>
        <v>36</v>
      </c>
      <c r="AW24" s="171">
        <f t="shared" si="38"/>
        <v>37</v>
      </c>
      <c r="AX24" s="171">
        <f t="shared" si="38"/>
        <v>38</v>
      </c>
      <c r="AY24" s="171">
        <f t="shared" si="38"/>
        <v>39</v>
      </c>
      <c r="AZ24" s="171">
        <f t="shared" si="38"/>
        <v>40</v>
      </c>
      <c r="BA24" s="171">
        <f t="shared" si="38"/>
        <v>41</v>
      </c>
      <c r="BB24" s="171">
        <f t="shared" si="38"/>
        <v>42</v>
      </c>
      <c r="BC24" s="171">
        <f t="shared" si="38"/>
        <v>43</v>
      </c>
      <c r="BD24" s="171">
        <f t="shared" si="38"/>
        <v>44</v>
      </c>
      <c r="BE24" s="171">
        <f t="shared" si="38"/>
        <v>45</v>
      </c>
      <c r="BF24" s="171">
        <f t="shared" si="38"/>
        <v>46</v>
      </c>
      <c r="BG24" s="171">
        <f t="shared" si="38"/>
        <v>47</v>
      </c>
      <c r="BH24" s="171">
        <f t="shared" si="38"/>
        <v>48</v>
      </c>
      <c r="BI24" s="171">
        <f t="shared" si="38"/>
        <v>49</v>
      </c>
      <c r="BJ24" s="171">
        <f t="shared" si="38"/>
        <v>50</v>
      </c>
      <c r="BK24" s="171">
        <f t="shared" si="38"/>
        <v>51</v>
      </c>
      <c r="BL24" s="171">
        <f t="shared" si="38"/>
        <v>52</v>
      </c>
      <c r="BM24" s="171">
        <f t="shared" si="38"/>
        <v>53</v>
      </c>
      <c r="BN24" s="171">
        <f t="shared" si="38"/>
        <v>54</v>
      </c>
      <c r="BO24" s="171">
        <f t="shared" si="38"/>
        <v>55</v>
      </c>
      <c r="BP24" s="171">
        <f t="shared" si="38"/>
        <v>56</v>
      </c>
      <c r="BQ24" s="171">
        <f t="shared" si="38"/>
        <v>57</v>
      </c>
      <c r="BR24" s="171">
        <f t="shared" si="38"/>
        <v>58</v>
      </c>
      <c r="BS24" s="171">
        <f t="shared" si="38"/>
        <v>59</v>
      </c>
      <c r="BT24" s="171">
        <f t="shared" si="38"/>
        <v>60</v>
      </c>
      <c r="BU24" s="171">
        <f t="shared" si="38"/>
        <v>61</v>
      </c>
      <c r="BV24" s="171">
        <f t="shared" si="38"/>
        <v>62</v>
      </c>
      <c r="BW24" s="171">
        <f t="shared" si="38"/>
        <v>63</v>
      </c>
      <c r="BX24" s="171">
        <f t="shared" si="38"/>
        <v>64</v>
      </c>
      <c r="BY24" s="171">
        <f t="shared" ref="BY24:EQ24" si="39">IFERROR(DATEDIF($I24-1,BY$14+1,"M"),0)</f>
        <v>65</v>
      </c>
      <c r="BZ24" s="171">
        <f t="shared" si="39"/>
        <v>66</v>
      </c>
      <c r="CA24" s="171">
        <f t="shared" si="39"/>
        <v>67</v>
      </c>
      <c r="CB24" s="171">
        <f t="shared" si="39"/>
        <v>68</v>
      </c>
      <c r="CC24" s="171">
        <f t="shared" si="39"/>
        <v>69</v>
      </c>
      <c r="CD24" s="171">
        <f t="shared" si="39"/>
        <v>70</v>
      </c>
      <c r="CE24" s="171">
        <f t="shared" si="39"/>
        <v>71</v>
      </c>
      <c r="CF24" s="171">
        <f t="shared" si="39"/>
        <v>72</v>
      </c>
      <c r="CG24" s="171">
        <f t="shared" si="39"/>
        <v>73</v>
      </c>
      <c r="CH24" s="171">
        <f t="shared" si="39"/>
        <v>74</v>
      </c>
      <c r="CI24" s="171">
        <f t="shared" si="39"/>
        <v>75</v>
      </c>
      <c r="CJ24" s="171">
        <f t="shared" si="39"/>
        <v>76</v>
      </c>
      <c r="CK24" s="171">
        <f t="shared" si="39"/>
        <v>77</v>
      </c>
      <c r="CL24" s="171">
        <f t="shared" si="39"/>
        <v>78</v>
      </c>
      <c r="CM24" s="171">
        <f t="shared" si="39"/>
        <v>79</v>
      </c>
      <c r="CN24" s="171">
        <f t="shared" si="39"/>
        <v>80</v>
      </c>
      <c r="CO24" s="171">
        <f t="shared" si="39"/>
        <v>81</v>
      </c>
      <c r="CP24" s="171">
        <f t="shared" si="39"/>
        <v>82</v>
      </c>
      <c r="CQ24" s="171">
        <f t="shared" si="39"/>
        <v>83</v>
      </c>
      <c r="CR24" s="171">
        <f t="shared" si="39"/>
        <v>84</v>
      </c>
      <c r="CS24" s="171">
        <f t="shared" si="39"/>
        <v>85</v>
      </c>
      <c r="CT24" s="171">
        <f t="shared" si="39"/>
        <v>86</v>
      </c>
      <c r="CU24" s="171">
        <f t="shared" si="39"/>
        <v>87</v>
      </c>
      <c r="CV24" s="171">
        <f t="shared" si="39"/>
        <v>88</v>
      </c>
      <c r="CW24" s="171">
        <f t="shared" si="39"/>
        <v>89</v>
      </c>
      <c r="CX24" s="171">
        <f t="shared" si="39"/>
        <v>90</v>
      </c>
      <c r="CY24" s="171">
        <f t="shared" si="39"/>
        <v>91</v>
      </c>
      <c r="CZ24" s="171">
        <f t="shared" si="39"/>
        <v>92</v>
      </c>
      <c r="DA24" s="171">
        <f t="shared" si="39"/>
        <v>93</v>
      </c>
      <c r="DB24" s="171">
        <f t="shared" si="39"/>
        <v>94</v>
      </c>
      <c r="DC24" s="171">
        <f t="shared" si="39"/>
        <v>95</v>
      </c>
      <c r="DD24" s="171">
        <f t="shared" si="39"/>
        <v>96</v>
      </c>
      <c r="DE24" s="171">
        <f t="shared" si="39"/>
        <v>97</v>
      </c>
      <c r="DF24" s="171">
        <f t="shared" si="39"/>
        <v>98</v>
      </c>
      <c r="DG24" s="171">
        <f t="shared" si="39"/>
        <v>99</v>
      </c>
      <c r="DH24" s="171">
        <f t="shared" si="39"/>
        <v>100</v>
      </c>
      <c r="DI24" s="171">
        <f t="shared" si="39"/>
        <v>101</v>
      </c>
      <c r="DJ24" s="171">
        <f t="shared" si="39"/>
        <v>102</v>
      </c>
      <c r="DK24" s="171">
        <f t="shared" si="39"/>
        <v>103</v>
      </c>
      <c r="DL24" s="171">
        <f t="shared" si="39"/>
        <v>104</v>
      </c>
      <c r="DM24" s="171">
        <f t="shared" si="39"/>
        <v>105</v>
      </c>
      <c r="DN24" s="171">
        <f t="shared" si="39"/>
        <v>106</v>
      </c>
      <c r="DO24" s="171">
        <f t="shared" si="39"/>
        <v>107</v>
      </c>
      <c r="DP24" s="171">
        <f t="shared" si="39"/>
        <v>108</v>
      </c>
      <c r="DQ24" s="171">
        <f t="shared" si="39"/>
        <v>109</v>
      </c>
      <c r="DR24" s="171">
        <f t="shared" si="39"/>
        <v>110</v>
      </c>
      <c r="DS24" s="171">
        <f t="shared" si="39"/>
        <v>111</v>
      </c>
      <c r="DT24" s="171">
        <f t="shared" si="39"/>
        <v>112</v>
      </c>
      <c r="DU24" s="171">
        <f t="shared" si="39"/>
        <v>113</v>
      </c>
      <c r="DV24" s="171">
        <f t="shared" si="39"/>
        <v>114</v>
      </c>
      <c r="DW24" s="171">
        <f t="shared" si="39"/>
        <v>115</v>
      </c>
      <c r="DX24" s="171">
        <f t="shared" si="39"/>
        <v>116</v>
      </c>
      <c r="DY24" s="171">
        <f t="shared" si="39"/>
        <v>117</v>
      </c>
      <c r="DZ24" s="171">
        <f t="shared" si="39"/>
        <v>118</v>
      </c>
      <c r="EA24" s="171">
        <f t="shared" si="39"/>
        <v>119</v>
      </c>
      <c r="EB24" s="171">
        <f t="shared" si="39"/>
        <v>120</v>
      </c>
      <c r="EC24" s="171">
        <f t="shared" si="39"/>
        <v>121</v>
      </c>
      <c r="ED24" s="171">
        <f t="shared" si="39"/>
        <v>122</v>
      </c>
      <c r="EE24" s="171">
        <f t="shared" si="39"/>
        <v>123</v>
      </c>
      <c r="EF24" s="171">
        <f t="shared" si="39"/>
        <v>124</v>
      </c>
      <c r="EG24" s="171">
        <f t="shared" si="39"/>
        <v>125</v>
      </c>
      <c r="EH24" s="171">
        <f t="shared" si="39"/>
        <v>126</v>
      </c>
      <c r="EI24" s="171">
        <f t="shared" si="39"/>
        <v>127</v>
      </c>
      <c r="EJ24" s="171">
        <f t="shared" si="39"/>
        <v>128</v>
      </c>
      <c r="EK24" s="171">
        <f t="shared" si="39"/>
        <v>129</v>
      </c>
      <c r="EL24" s="171">
        <f t="shared" si="39"/>
        <v>130</v>
      </c>
      <c r="EM24" s="171">
        <f t="shared" si="39"/>
        <v>131</v>
      </c>
      <c r="EN24" s="171">
        <f t="shared" si="39"/>
        <v>132</v>
      </c>
      <c r="EO24" s="171">
        <f t="shared" si="39"/>
        <v>133</v>
      </c>
      <c r="EP24" s="171">
        <f t="shared" si="39"/>
        <v>134</v>
      </c>
      <c r="EQ24" s="171">
        <f t="shared" si="39"/>
        <v>135</v>
      </c>
    </row>
    <row r="25" spans="3:147" ht="11.25" customHeight="1">
      <c r="C25" s="163"/>
      <c r="D25" s="169" t="s">
        <v>160</v>
      </c>
      <c r="H25" s="146"/>
      <c r="I25" s="90">
        <v>3</v>
      </c>
      <c r="J25" s="170"/>
      <c r="K25" s="98"/>
      <c r="L25" s="171">
        <f>ROUNDUP(L$24/$I25,0)</f>
        <v>0</v>
      </c>
      <c r="M25" s="171">
        <f t="shared" ref="M25:BX27" si="40">ROUNDUP(M$24/$I25,0)</f>
        <v>1</v>
      </c>
      <c r="N25" s="171">
        <f t="shared" si="40"/>
        <v>1</v>
      </c>
      <c r="O25" s="171">
        <f t="shared" si="40"/>
        <v>1</v>
      </c>
      <c r="P25" s="171">
        <f t="shared" si="40"/>
        <v>2</v>
      </c>
      <c r="Q25" s="171">
        <f t="shared" si="40"/>
        <v>2</v>
      </c>
      <c r="R25" s="171">
        <f t="shared" si="40"/>
        <v>2</v>
      </c>
      <c r="S25" s="171">
        <f t="shared" si="40"/>
        <v>3</v>
      </c>
      <c r="T25" s="171">
        <f t="shared" si="40"/>
        <v>3</v>
      </c>
      <c r="U25" s="171">
        <f t="shared" si="40"/>
        <v>3</v>
      </c>
      <c r="V25" s="171">
        <f t="shared" si="40"/>
        <v>4</v>
      </c>
      <c r="W25" s="171">
        <f t="shared" si="40"/>
        <v>4</v>
      </c>
      <c r="X25" s="171">
        <f t="shared" si="40"/>
        <v>4</v>
      </c>
      <c r="Y25" s="171">
        <f t="shared" si="40"/>
        <v>5</v>
      </c>
      <c r="Z25" s="171">
        <f t="shared" si="40"/>
        <v>5</v>
      </c>
      <c r="AA25" s="171">
        <f t="shared" si="40"/>
        <v>5</v>
      </c>
      <c r="AB25" s="171">
        <f t="shared" si="40"/>
        <v>6</v>
      </c>
      <c r="AC25" s="171">
        <f t="shared" si="40"/>
        <v>6</v>
      </c>
      <c r="AD25" s="171">
        <f t="shared" si="40"/>
        <v>6</v>
      </c>
      <c r="AE25" s="171">
        <f t="shared" si="40"/>
        <v>7</v>
      </c>
      <c r="AF25" s="171">
        <f t="shared" si="40"/>
        <v>7</v>
      </c>
      <c r="AG25" s="171">
        <f t="shared" si="40"/>
        <v>7</v>
      </c>
      <c r="AH25" s="171">
        <f t="shared" si="40"/>
        <v>8</v>
      </c>
      <c r="AI25" s="171">
        <f t="shared" si="40"/>
        <v>8</v>
      </c>
      <c r="AJ25" s="171">
        <f t="shared" si="40"/>
        <v>8</v>
      </c>
      <c r="AK25" s="171">
        <f t="shared" si="40"/>
        <v>9</v>
      </c>
      <c r="AL25" s="171">
        <f t="shared" si="40"/>
        <v>9</v>
      </c>
      <c r="AM25" s="171">
        <f t="shared" si="40"/>
        <v>9</v>
      </c>
      <c r="AN25" s="171">
        <f t="shared" si="40"/>
        <v>10</v>
      </c>
      <c r="AO25" s="171">
        <f t="shared" si="40"/>
        <v>10</v>
      </c>
      <c r="AP25" s="171">
        <f t="shared" si="40"/>
        <v>10</v>
      </c>
      <c r="AQ25" s="171">
        <f t="shared" si="40"/>
        <v>11</v>
      </c>
      <c r="AR25" s="171">
        <f t="shared" si="40"/>
        <v>11</v>
      </c>
      <c r="AS25" s="171">
        <f t="shared" si="40"/>
        <v>11</v>
      </c>
      <c r="AT25" s="171">
        <f t="shared" si="40"/>
        <v>12</v>
      </c>
      <c r="AU25" s="171">
        <f t="shared" si="40"/>
        <v>12</v>
      </c>
      <c r="AV25" s="171">
        <f t="shared" si="40"/>
        <v>12</v>
      </c>
      <c r="AW25" s="171">
        <f t="shared" si="40"/>
        <v>13</v>
      </c>
      <c r="AX25" s="171">
        <f t="shared" si="40"/>
        <v>13</v>
      </c>
      <c r="AY25" s="171">
        <f t="shared" si="40"/>
        <v>13</v>
      </c>
      <c r="AZ25" s="171">
        <f t="shared" si="40"/>
        <v>14</v>
      </c>
      <c r="BA25" s="171">
        <f t="shared" si="40"/>
        <v>14</v>
      </c>
      <c r="BB25" s="171">
        <f t="shared" si="40"/>
        <v>14</v>
      </c>
      <c r="BC25" s="171">
        <f t="shared" si="40"/>
        <v>15</v>
      </c>
      <c r="BD25" s="171">
        <f t="shared" si="40"/>
        <v>15</v>
      </c>
      <c r="BE25" s="171">
        <f t="shared" si="40"/>
        <v>15</v>
      </c>
      <c r="BF25" s="171">
        <f t="shared" si="40"/>
        <v>16</v>
      </c>
      <c r="BG25" s="171">
        <f t="shared" si="40"/>
        <v>16</v>
      </c>
      <c r="BH25" s="171">
        <f t="shared" si="40"/>
        <v>16</v>
      </c>
      <c r="BI25" s="171">
        <f t="shared" si="40"/>
        <v>17</v>
      </c>
      <c r="BJ25" s="171">
        <f t="shared" si="40"/>
        <v>17</v>
      </c>
      <c r="BK25" s="171">
        <f t="shared" si="40"/>
        <v>17</v>
      </c>
      <c r="BL25" s="171">
        <f t="shared" si="40"/>
        <v>18</v>
      </c>
      <c r="BM25" s="171">
        <f t="shared" si="40"/>
        <v>18</v>
      </c>
      <c r="BN25" s="171">
        <f t="shared" si="40"/>
        <v>18</v>
      </c>
      <c r="BO25" s="171">
        <f t="shared" si="40"/>
        <v>19</v>
      </c>
      <c r="BP25" s="171">
        <f t="shared" si="40"/>
        <v>19</v>
      </c>
      <c r="BQ25" s="171">
        <f t="shared" si="40"/>
        <v>19</v>
      </c>
      <c r="BR25" s="171">
        <f t="shared" si="40"/>
        <v>20</v>
      </c>
      <c r="BS25" s="171">
        <f t="shared" si="40"/>
        <v>20</v>
      </c>
      <c r="BT25" s="171">
        <f t="shared" si="40"/>
        <v>20</v>
      </c>
      <c r="BU25" s="171">
        <f t="shared" si="40"/>
        <v>21</v>
      </c>
      <c r="BV25" s="171">
        <f t="shared" si="40"/>
        <v>21</v>
      </c>
      <c r="BW25" s="171">
        <f t="shared" si="40"/>
        <v>21</v>
      </c>
      <c r="BX25" s="171">
        <f t="shared" si="40"/>
        <v>22</v>
      </c>
      <c r="BY25" s="171">
        <f t="shared" ref="BY25:EQ27" si="41">ROUNDUP(BY$24/$I25,0)</f>
        <v>22</v>
      </c>
      <c r="BZ25" s="171">
        <f t="shared" si="41"/>
        <v>22</v>
      </c>
      <c r="CA25" s="171">
        <f t="shared" si="41"/>
        <v>23</v>
      </c>
      <c r="CB25" s="171">
        <f t="shared" si="41"/>
        <v>23</v>
      </c>
      <c r="CC25" s="171">
        <f t="shared" si="41"/>
        <v>23</v>
      </c>
      <c r="CD25" s="171">
        <f t="shared" si="41"/>
        <v>24</v>
      </c>
      <c r="CE25" s="171">
        <f t="shared" si="41"/>
        <v>24</v>
      </c>
      <c r="CF25" s="171">
        <f t="shared" si="41"/>
        <v>24</v>
      </c>
      <c r="CG25" s="171">
        <f t="shared" si="41"/>
        <v>25</v>
      </c>
      <c r="CH25" s="171">
        <f t="shared" si="41"/>
        <v>25</v>
      </c>
      <c r="CI25" s="171">
        <f t="shared" si="41"/>
        <v>25</v>
      </c>
      <c r="CJ25" s="171">
        <f t="shared" si="41"/>
        <v>26</v>
      </c>
      <c r="CK25" s="171">
        <f t="shared" si="41"/>
        <v>26</v>
      </c>
      <c r="CL25" s="171">
        <f t="shared" si="41"/>
        <v>26</v>
      </c>
      <c r="CM25" s="171">
        <f t="shared" si="41"/>
        <v>27</v>
      </c>
      <c r="CN25" s="171">
        <f t="shared" si="41"/>
        <v>27</v>
      </c>
      <c r="CO25" s="171">
        <f t="shared" si="41"/>
        <v>27</v>
      </c>
      <c r="CP25" s="171">
        <f t="shared" si="41"/>
        <v>28</v>
      </c>
      <c r="CQ25" s="171">
        <f t="shared" si="41"/>
        <v>28</v>
      </c>
      <c r="CR25" s="171">
        <f t="shared" si="41"/>
        <v>28</v>
      </c>
      <c r="CS25" s="171">
        <f t="shared" si="41"/>
        <v>29</v>
      </c>
      <c r="CT25" s="171">
        <f t="shared" si="41"/>
        <v>29</v>
      </c>
      <c r="CU25" s="171">
        <f t="shared" si="41"/>
        <v>29</v>
      </c>
      <c r="CV25" s="171">
        <f t="shared" si="41"/>
        <v>30</v>
      </c>
      <c r="CW25" s="171">
        <f t="shared" si="41"/>
        <v>30</v>
      </c>
      <c r="CX25" s="171">
        <f t="shared" si="41"/>
        <v>30</v>
      </c>
      <c r="CY25" s="171">
        <f t="shared" si="41"/>
        <v>31</v>
      </c>
      <c r="CZ25" s="171">
        <f t="shared" si="41"/>
        <v>31</v>
      </c>
      <c r="DA25" s="171">
        <f t="shared" si="41"/>
        <v>31</v>
      </c>
      <c r="DB25" s="171">
        <f t="shared" si="41"/>
        <v>32</v>
      </c>
      <c r="DC25" s="171">
        <f t="shared" si="41"/>
        <v>32</v>
      </c>
      <c r="DD25" s="171">
        <f t="shared" si="41"/>
        <v>32</v>
      </c>
      <c r="DE25" s="171">
        <f t="shared" si="41"/>
        <v>33</v>
      </c>
      <c r="DF25" s="171">
        <f t="shared" si="41"/>
        <v>33</v>
      </c>
      <c r="DG25" s="171">
        <f t="shared" si="41"/>
        <v>33</v>
      </c>
      <c r="DH25" s="171">
        <f t="shared" si="41"/>
        <v>34</v>
      </c>
      <c r="DI25" s="171">
        <f t="shared" si="41"/>
        <v>34</v>
      </c>
      <c r="DJ25" s="171">
        <f t="shared" si="41"/>
        <v>34</v>
      </c>
      <c r="DK25" s="171">
        <f t="shared" si="41"/>
        <v>35</v>
      </c>
      <c r="DL25" s="171">
        <f t="shared" si="41"/>
        <v>35</v>
      </c>
      <c r="DM25" s="171">
        <f t="shared" si="41"/>
        <v>35</v>
      </c>
      <c r="DN25" s="171">
        <f t="shared" si="41"/>
        <v>36</v>
      </c>
      <c r="DO25" s="171">
        <f t="shared" si="41"/>
        <v>36</v>
      </c>
      <c r="DP25" s="171">
        <f t="shared" si="41"/>
        <v>36</v>
      </c>
      <c r="DQ25" s="171">
        <f t="shared" si="41"/>
        <v>37</v>
      </c>
      <c r="DR25" s="171">
        <f t="shared" si="41"/>
        <v>37</v>
      </c>
      <c r="DS25" s="171">
        <f t="shared" si="41"/>
        <v>37</v>
      </c>
      <c r="DT25" s="171">
        <f t="shared" si="41"/>
        <v>38</v>
      </c>
      <c r="DU25" s="171">
        <f t="shared" si="41"/>
        <v>38</v>
      </c>
      <c r="DV25" s="171">
        <f t="shared" si="41"/>
        <v>38</v>
      </c>
      <c r="DW25" s="171">
        <f t="shared" si="41"/>
        <v>39</v>
      </c>
      <c r="DX25" s="171">
        <f t="shared" si="41"/>
        <v>39</v>
      </c>
      <c r="DY25" s="171">
        <f t="shared" si="41"/>
        <v>39</v>
      </c>
      <c r="DZ25" s="171">
        <f t="shared" si="41"/>
        <v>40</v>
      </c>
      <c r="EA25" s="171">
        <f t="shared" si="41"/>
        <v>40</v>
      </c>
      <c r="EB25" s="171">
        <f t="shared" si="41"/>
        <v>40</v>
      </c>
      <c r="EC25" s="171">
        <f t="shared" si="41"/>
        <v>41</v>
      </c>
      <c r="ED25" s="171">
        <f t="shared" si="41"/>
        <v>41</v>
      </c>
      <c r="EE25" s="171">
        <f t="shared" si="41"/>
        <v>41</v>
      </c>
      <c r="EF25" s="171">
        <f t="shared" si="41"/>
        <v>42</v>
      </c>
      <c r="EG25" s="171">
        <f t="shared" si="41"/>
        <v>42</v>
      </c>
      <c r="EH25" s="171">
        <f t="shared" si="41"/>
        <v>42</v>
      </c>
      <c r="EI25" s="171">
        <f t="shared" si="41"/>
        <v>43</v>
      </c>
      <c r="EJ25" s="171">
        <f t="shared" si="41"/>
        <v>43</v>
      </c>
      <c r="EK25" s="171">
        <f t="shared" si="41"/>
        <v>43</v>
      </c>
      <c r="EL25" s="171">
        <f t="shared" si="41"/>
        <v>44</v>
      </c>
      <c r="EM25" s="171">
        <f t="shared" si="41"/>
        <v>44</v>
      </c>
      <c r="EN25" s="171">
        <f t="shared" si="41"/>
        <v>44</v>
      </c>
      <c r="EO25" s="171">
        <f t="shared" si="41"/>
        <v>45</v>
      </c>
      <c r="EP25" s="171">
        <f t="shared" si="41"/>
        <v>45</v>
      </c>
      <c r="EQ25" s="171">
        <f t="shared" si="41"/>
        <v>45</v>
      </c>
    </row>
    <row r="26" spans="3:147" ht="11.25" customHeight="1">
      <c r="C26" s="163"/>
      <c r="D26" s="169" t="s">
        <v>161</v>
      </c>
      <c r="H26" s="146"/>
      <c r="I26" s="90">
        <v>6</v>
      </c>
      <c r="J26" s="170"/>
      <c r="K26" s="98"/>
      <c r="L26" s="171">
        <f t="shared" ref="L26:AA27" si="42">ROUNDUP(L$24/$I26,0)</f>
        <v>0</v>
      </c>
      <c r="M26" s="171">
        <f t="shared" si="42"/>
        <v>1</v>
      </c>
      <c r="N26" s="171">
        <f t="shared" si="42"/>
        <v>1</v>
      </c>
      <c r="O26" s="171">
        <f t="shared" si="42"/>
        <v>1</v>
      </c>
      <c r="P26" s="171">
        <f t="shared" si="42"/>
        <v>1</v>
      </c>
      <c r="Q26" s="171">
        <f t="shared" si="42"/>
        <v>1</v>
      </c>
      <c r="R26" s="171">
        <f t="shared" si="42"/>
        <v>1</v>
      </c>
      <c r="S26" s="171">
        <f t="shared" si="42"/>
        <v>2</v>
      </c>
      <c r="T26" s="171">
        <f t="shared" si="42"/>
        <v>2</v>
      </c>
      <c r="U26" s="171">
        <f t="shared" si="42"/>
        <v>2</v>
      </c>
      <c r="V26" s="171">
        <f t="shared" si="42"/>
        <v>2</v>
      </c>
      <c r="W26" s="171">
        <f t="shared" si="42"/>
        <v>2</v>
      </c>
      <c r="X26" s="171">
        <f t="shared" si="42"/>
        <v>2</v>
      </c>
      <c r="Y26" s="171">
        <f t="shared" si="42"/>
        <v>3</v>
      </c>
      <c r="Z26" s="171">
        <f t="shared" si="42"/>
        <v>3</v>
      </c>
      <c r="AA26" s="171">
        <f t="shared" si="42"/>
        <v>3</v>
      </c>
      <c r="AB26" s="171">
        <f t="shared" si="40"/>
        <v>3</v>
      </c>
      <c r="AC26" s="171">
        <f t="shared" si="40"/>
        <v>3</v>
      </c>
      <c r="AD26" s="171">
        <f t="shared" si="40"/>
        <v>3</v>
      </c>
      <c r="AE26" s="171">
        <f t="shared" si="40"/>
        <v>4</v>
      </c>
      <c r="AF26" s="171">
        <f t="shared" si="40"/>
        <v>4</v>
      </c>
      <c r="AG26" s="171">
        <f t="shared" si="40"/>
        <v>4</v>
      </c>
      <c r="AH26" s="171">
        <f t="shared" si="40"/>
        <v>4</v>
      </c>
      <c r="AI26" s="171">
        <f t="shared" si="40"/>
        <v>4</v>
      </c>
      <c r="AJ26" s="171">
        <f t="shared" si="40"/>
        <v>4</v>
      </c>
      <c r="AK26" s="171">
        <f t="shared" si="40"/>
        <v>5</v>
      </c>
      <c r="AL26" s="171">
        <f t="shared" si="40"/>
        <v>5</v>
      </c>
      <c r="AM26" s="171">
        <f t="shared" si="40"/>
        <v>5</v>
      </c>
      <c r="AN26" s="171">
        <f t="shared" si="40"/>
        <v>5</v>
      </c>
      <c r="AO26" s="171">
        <f t="shared" si="40"/>
        <v>5</v>
      </c>
      <c r="AP26" s="171">
        <f t="shared" si="40"/>
        <v>5</v>
      </c>
      <c r="AQ26" s="171">
        <f t="shared" si="40"/>
        <v>6</v>
      </c>
      <c r="AR26" s="171">
        <f t="shared" si="40"/>
        <v>6</v>
      </c>
      <c r="AS26" s="171">
        <f t="shared" si="40"/>
        <v>6</v>
      </c>
      <c r="AT26" s="171">
        <f t="shared" si="40"/>
        <v>6</v>
      </c>
      <c r="AU26" s="171">
        <f t="shared" si="40"/>
        <v>6</v>
      </c>
      <c r="AV26" s="171">
        <f t="shared" si="40"/>
        <v>6</v>
      </c>
      <c r="AW26" s="171">
        <f t="shared" si="40"/>
        <v>7</v>
      </c>
      <c r="AX26" s="171">
        <f t="shared" si="40"/>
        <v>7</v>
      </c>
      <c r="AY26" s="171">
        <f t="shared" si="40"/>
        <v>7</v>
      </c>
      <c r="AZ26" s="171">
        <f t="shared" si="40"/>
        <v>7</v>
      </c>
      <c r="BA26" s="171">
        <f t="shared" si="40"/>
        <v>7</v>
      </c>
      <c r="BB26" s="171">
        <f t="shared" si="40"/>
        <v>7</v>
      </c>
      <c r="BC26" s="171">
        <f t="shared" si="40"/>
        <v>8</v>
      </c>
      <c r="BD26" s="171">
        <f t="shared" si="40"/>
        <v>8</v>
      </c>
      <c r="BE26" s="171">
        <f t="shared" si="40"/>
        <v>8</v>
      </c>
      <c r="BF26" s="171">
        <f t="shared" si="40"/>
        <v>8</v>
      </c>
      <c r="BG26" s="171">
        <f t="shared" si="40"/>
        <v>8</v>
      </c>
      <c r="BH26" s="171">
        <f t="shared" si="40"/>
        <v>8</v>
      </c>
      <c r="BI26" s="171">
        <f t="shared" si="40"/>
        <v>9</v>
      </c>
      <c r="BJ26" s="171">
        <f t="shared" si="40"/>
        <v>9</v>
      </c>
      <c r="BK26" s="171">
        <f t="shared" si="40"/>
        <v>9</v>
      </c>
      <c r="BL26" s="171">
        <f t="shared" si="40"/>
        <v>9</v>
      </c>
      <c r="BM26" s="171">
        <f t="shared" si="40"/>
        <v>9</v>
      </c>
      <c r="BN26" s="171">
        <f t="shared" si="40"/>
        <v>9</v>
      </c>
      <c r="BO26" s="171">
        <f t="shared" si="40"/>
        <v>10</v>
      </c>
      <c r="BP26" s="171">
        <f t="shared" si="40"/>
        <v>10</v>
      </c>
      <c r="BQ26" s="171">
        <f t="shared" si="40"/>
        <v>10</v>
      </c>
      <c r="BR26" s="171">
        <f t="shared" si="40"/>
        <v>10</v>
      </c>
      <c r="BS26" s="171">
        <f t="shared" si="40"/>
        <v>10</v>
      </c>
      <c r="BT26" s="171">
        <f t="shared" si="40"/>
        <v>10</v>
      </c>
      <c r="BU26" s="171">
        <f t="shared" si="40"/>
        <v>11</v>
      </c>
      <c r="BV26" s="171">
        <f t="shared" si="40"/>
        <v>11</v>
      </c>
      <c r="BW26" s="171">
        <f t="shared" si="40"/>
        <v>11</v>
      </c>
      <c r="BX26" s="171">
        <f t="shared" si="40"/>
        <v>11</v>
      </c>
      <c r="BY26" s="171">
        <f t="shared" si="41"/>
        <v>11</v>
      </c>
      <c r="BZ26" s="171">
        <f t="shared" si="41"/>
        <v>11</v>
      </c>
      <c r="CA26" s="171">
        <f t="shared" si="41"/>
        <v>12</v>
      </c>
      <c r="CB26" s="171">
        <f t="shared" si="41"/>
        <v>12</v>
      </c>
      <c r="CC26" s="171">
        <f t="shared" si="41"/>
        <v>12</v>
      </c>
      <c r="CD26" s="171">
        <f t="shared" si="41"/>
        <v>12</v>
      </c>
      <c r="CE26" s="171">
        <f t="shared" si="41"/>
        <v>12</v>
      </c>
      <c r="CF26" s="171">
        <f t="shared" si="41"/>
        <v>12</v>
      </c>
      <c r="CG26" s="171">
        <f t="shared" si="41"/>
        <v>13</v>
      </c>
      <c r="CH26" s="171">
        <f t="shared" si="41"/>
        <v>13</v>
      </c>
      <c r="CI26" s="171">
        <f t="shared" si="41"/>
        <v>13</v>
      </c>
      <c r="CJ26" s="171">
        <f t="shared" si="41"/>
        <v>13</v>
      </c>
      <c r="CK26" s="171">
        <f t="shared" si="41"/>
        <v>13</v>
      </c>
      <c r="CL26" s="171">
        <f t="shared" si="41"/>
        <v>13</v>
      </c>
      <c r="CM26" s="171">
        <f t="shared" si="41"/>
        <v>14</v>
      </c>
      <c r="CN26" s="171">
        <f t="shared" si="41"/>
        <v>14</v>
      </c>
      <c r="CO26" s="171">
        <f t="shared" si="41"/>
        <v>14</v>
      </c>
      <c r="CP26" s="171">
        <f t="shared" si="41"/>
        <v>14</v>
      </c>
      <c r="CQ26" s="171">
        <f t="shared" si="41"/>
        <v>14</v>
      </c>
      <c r="CR26" s="171">
        <f t="shared" si="41"/>
        <v>14</v>
      </c>
      <c r="CS26" s="171">
        <f t="shared" si="41"/>
        <v>15</v>
      </c>
      <c r="CT26" s="171">
        <f t="shared" si="41"/>
        <v>15</v>
      </c>
      <c r="CU26" s="171">
        <f t="shared" si="41"/>
        <v>15</v>
      </c>
      <c r="CV26" s="171">
        <f t="shared" si="41"/>
        <v>15</v>
      </c>
      <c r="CW26" s="171">
        <f t="shared" si="41"/>
        <v>15</v>
      </c>
      <c r="CX26" s="171">
        <f t="shared" si="41"/>
        <v>15</v>
      </c>
      <c r="CY26" s="171">
        <f t="shared" si="41"/>
        <v>16</v>
      </c>
      <c r="CZ26" s="171">
        <f t="shared" si="41"/>
        <v>16</v>
      </c>
      <c r="DA26" s="171">
        <f t="shared" si="41"/>
        <v>16</v>
      </c>
      <c r="DB26" s="171">
        <f t="shared" si="41"/>
        <v>16</v>
      </c>
      <c r="DC26" s="171">
        <f t="shared" si="41"/>
        <v>16</v>
      </c>
      <c r="DD26" s="171">
        <f t="shared" si="41"/>
        <v>16</v>
      </c>
      <c r="DE26" s="171">
        <f t="shared" si="41"/>
        <v>17</v>
      </c>
      <c r="DF26" s="171">
        <f t="shared" si="41"/>
        <v>17</v>
      </c>
      <c r="DG26" s="171">
        <f t="shared" si="41"/>
        <v>17</v>
      </c>
      <c r="DH26" s="171">
        <f t="shared" si="41"/>
        <v>17</v>
      </c>
      <c r="DI26" s="171">
        <f t="shared" si="41"/>
        <v>17</v>
      </c>
      <c r="DJ26" s="171">
        <f t="shared" si="41"/>
        <v>17</v>
      </c>
      <c r="DK26" s="171">
        <f t="shared" si="41"/>
        <v>18</v>
      </c>
      <c r="DL26" s="171">
        <f t="shared" si="41"/>
        <v>18</v>
      </c>
      <c r="DM26" s="171">
        <f t="shared" si="41"/>
        <v>18</v>
      </c>
      <c r="DN26" s="171">
        <f t="shared" si="41"/>
        <v>18</v>
      </c>
      <c r="DO26" s="171">
        <f t="shared" si="41"/>
        <v>18</v>
      </c>
      <c r="DP26" s="171">
        <f t="shared" si="41"/>
        <v>18</v>
      </c>
      <c r="DQ26" s="171">
        <f t="shared" si="41"/>
        <v>19</v>
      </c>
      <c r="DR26" s="171">
        <f t="shared" si="41"/>
        <v>19</v>
      </c>
      <c r="DS26" s="171">
        <f t="shared" si="41"/>
        <v>19</v>
      </c>
      <c r="DT26" s="171">
        <f t="shared" si="41"/>
        <v>19</v>
      </c>
      <c r="DU26" s="171">
        <f t="shared" si="41"/>
        <v>19</v>
      </c>
      <c r="DV26" s="171">
        <f t="shared" si="41"/>
        <v>19</v>
      </c>
      <c r="DW26" s="171">
        <f t="shared" si="41"/>
        <v>20</v>
      </c>
      <c r="DX26" s="171">
        <f t="shared" si="41"/>
        <v>20</v>
      </c>
      <c r="DY26" s="171">
        <f t="shared" si="41"/>
        <v>20</v>
      </c>
      <c r="DZ26" s="171">
        <f t="shared" si="41"/>
        <v>20</v>
      </c>
      <c r="EA26" s="171">
        <f t="shared" si="41"/>
        <v>20</v>
      </c>
      <c r="EB26" s="171">
        <f t="shared" si="41"/>
        <v>20</v>
      </c>
      <c r="EC26" s="171">
        <f t="shared" si="41"/>
        <v>21</v>
      </c>
      <c r="ED26" s="171">
        <f t="shared" si="41"/>
        <v>21</v>
      </c>
      <c r="EE26" s="171">
        <f t="shared" si="41"/>
        <v>21</v>
      </c>
      <c r="EF26" s="171">
        <f t="shared" si="41"/>
        <v>21</v>
      </c>
      <c r="EG26" s="171">
        <f t="shared" si="41"/>
        <v>21</v>
      </c>
      <c r="EH26" s="171">
        <f t="shared" si="41"/>
        <v>21</v>
      </c>
      <c r="EI26" s="171">
        <f t="shared" si="41"/>
        <v>22</v>
      </c>
      <c r="EJ26" s="171">
        <f t="shared" si="41"/>
        <v>22</v>
      </c>
      <c r="EK26" s="171">
        <f t="shared" si="41"/>
        <v>22</v>
      </c>
      <c r="EL26" s="171">
        <f t="shared" si="41"/>
        <v>22</v>
      </c>
      <c r="EM26" s="171">
        <f t="shared" si="41"/>
        <v>22</v>
      </c>
      <c r="EN26" s="171">
        <f t="shared" si="41"/>
        <v>22</v>
      </c>
      <c r="EO26" s="171">
        <f t="shared" si="41"/>
        <v>23</v>
      </c>
      <c r="EP26" s="171">
        <f t="shared" si="41"/>
        <v>23</v>
      </c>
      <c r="EQ26" s="171">
        <f t="shared" si="41"/>
        <v>23</v>
      </c>
    </row>
    <row r="27" spans="3:147" ht="11.25" customHeight="1">
      <c r="C27" s="163"/>
      <c r="D27" s="169" t="s">
        <v>162</v>
      </c>
      <c r="H27" s="146"/>
      <c r="I27" s="90">
        <v>12</v>
      </c>
      <c r="J27" s="170"/>
      <c r="K27" s="98"/>
      <c r="L27" s="171">
        <f t="shared" si="42"/>
        <v>0</v>
      </c>
      <c r="M27" s="171">
        <f t="shared" si="42"/>
        <v>1</v>
      </c>
      <c r="N27" s="171">
        <f t="shared" si="42"/>
        <v>1</v>
      </c>
      <c r="O27" s="171">
        <f t="shared" si="42"/>
        <v>1</v>
      </c>
      <c r="P27" s="171">
        <f t="shared" si="42"/>
        <v>1</v>
      </c>
      <c r="Q27" s="171">
        <f t="shared" si="42"/>
        <v>1</v>
      </c>
      <c r="R27" s="171">
        <f t="shared" si="42"/>
        <v>1</v>
      </c>
      <c r="S27" s="171">
        <f t="shared" si="42"/>
        <v>1</v>
      </c>
      <c r="T27" s="171">
        <f t="shared" si="42"/>
        <v>1</v>
      </c>
      <c r="U27" s="171">
        <f t="shared" si="42"/>
        <v>1</v>
      </c>
      <c r="V27" s="171">
        <f t="shared" si="42"/>
        <v>1</v>
      </c>
      <c r="W27" s="171">
        <f t="shared" si="42"/>
        <v>1</v>
      </c>
      <c r="X27" s="171">
        <f t="shared" si="42"/>
        <v>1</v>
      </c>
      <c r="Y27" s="171">
        <f t="shared" si="42"/>
        <v>2</v>
      </c>
      <c r="Z27" s="171">
        <f t="shared" si="42"/>
        <v>2</v>
      </c>
      <c r="AA27" s="171">
        <f t="shared" si="42"/>
        <v>2</v>
      </c>
      <c r="AB27" s="171">
        <f t="shared" si="40"/>
        <v>2</v>
      </c>
      <c r="AC27" s="171">
        <f t="shared" si="40"/>
        <v>2</v>
      </c>
      <c r="AD27" s="171">
        <f t="shared" si="40"/>
        <v>2</v>
      </c>
      <c r="AE27" s="171">
        <f t="shared" si="40"/>
        <v>2</v>
      </c>
      <c r="AF27" s="171">
        <f t="shared" si="40"/>
        <v>2</v>
      </c>
      <c r="AG27" s="171">
        <f t="shared" si="40"/>
        <v>2</v>
      </c>
      <c r="AH27" s="171">
        <f t="shared" si="40"/>
        <v>2</v>
      </c>
      <c r="AI27" s="171">
        <f t="shared" si="40"/>
        <v>2</v>
      </c>
      <c r="AJ27" s="171">
        <f t="shared" si="40"/>
        <v>2</v>
      </c>
      <c r="AK27" s="171">
        <f t="shared" si="40"/>
        <v>3</v>
      </c>
      <c r="AL27" s="171">
        <f t="shared" si="40"/>
        <v>3</v>
      </c>
      <c r="AM27" s="171">
        <f t="shared" si="40"/>
        <v>3</v>
      </c>
      <c r="AN27" s="171">
        <f t="shared" si="40"/>
        <v>3</v>
      </c>
      <c r="AO27" s="171">
        <f t="shared" si="40"/>
        <v>3</v>
      </c>
      <c r="AP27" s="171">
        <f t="shared" si="40"/>
        <v>3</v>
      </c>
      <c r="AQ27" s="171">
        <f t="shared" si="40"/>
        <v>3</v>
      </c>
      <c r="AR27" s="171">
        <f t="shared" si="40"/>
        <v>3</v>
      </c>
      <c r="AS27" s="171">
        <f t="shared" si="40"/>
        <v>3</v>
      </c>
      <c r="AT27" s="171">
        <f t="shared" si="40"/>
        <v>3</v>
      </c>
      <c r="AU27" s="171">
        <f t="shared" si="40"/>
        <v>3</v>
      </c>
      <c r="AV27" s="171">
        <f t="shared" si="40"/>
        <v>3</v>
      </c>
      <c r="AW27" s="171">
        <f t="shared" si="40"/>
        <v>4</v>
      </c>
      <c r="AX27" s="171">
        <f t="shared" si="40"/>
        <v>4</v>
      </c>
      <c r="AY27" s="171">
        <f t="shared" si="40"/>
        <v>4</v>
      </c>
      <c r="AZ27" s="171">
        <f t="shared" si="40"/>
        <v>4</v>
      </c>
      <c r="BA27" s="171">
        <f t="shared" si="40"/>
        <v>4</v>
      </c>
      <c r="BB27" s="171">
        <f t="shared" si="40"/>
        <v>4</v>
      </c>
      <c r="BC27" s="171">
        <f t="shared" si="40"/>
        <v>4</v>
      </c>
      <c r="BD27" s="171">
        <f t="shared" si="40"/>
        <v>4</v>
      </c>
      <c r="BE27" s="171">
        <f t="shared" si="40"/>
        <v>4</v>
      </c>
      <c r="BF27" s="171">
        <f t="shared" si="40"/>
        <v>4</v>
      </c>
      <c r="BG27" s="171">
        <f t="shared" si="40"/>
        <v>4</v>
      </c>
      <c r="BH27" s="171">
        <f t="shared" si="40"/>
        <v>4</v>
      </c>
      <c r="BI27" s="171">
        <f t="shared" si="40"/>
        <v>5</v>
      </c>
      <c r="BJ27" s="171">
        <f t="shared" si="40"/>
        <v>5</v>
      </c>
      <c r="BK27" s="171">
        <f t="shared" si="40"/>
        <v>5</v>
      </c>
      <c r="BL27" s="171">
        <f t="shared" si="40"/>
        <v>5</v>
      </c>
      <c r="BM27" s="171">
        <f t="shared" si="40"/>
        <v>5</v>
      </c>
      <c r="BN27" s="171">
        <f t="shared" si="40"/>
        <v>5</v>
      </c>
      <c r="BO27" s="171">
        <f t="shared" si="40"/>
        <v>5</v>
      </c>
      <c r="BP27" s="171">
        <f t="shared" si="40"/>
        <v>5</v>
      </c>
      <c r="BQ27" s="171">
        <f t="shared" si="40"/>
        <v>5</v>
      </c>
      <c r="BR27" s="171">
        <f t="shared" si="40"/>
        <v>5</v>
      </c>
      <c r="BS27" s="171">
        <f t="shared" si="40"/>
        <v>5</v>
      </c>
      <c r="BT27" s="171">
        <f t="shared" si="40"/>
        <v>5</v>
      </c>
      <c r="BU27" s="171">
        <f t="shared" si="40"/>
        <v>6</v>
      </c>
      <c r="BV27" s="171">
        <f t="shared" si="40"/>
        <v>6</v>
      </c>
      <c r="BW27" s="171">
        <f t="shared" si="40"/>
        <v>6</v>
      </c>
      <c r="BX27" s="171">
        <f t="shared" si="40"/>
        <v>6</v>
      </c>
      <c r="BY27" s="171">
        <f t="shared" si="41"/>
        <v>6</v>
      </c>
      <c r="BZ27" s="171">
        <f t="shared" si="41"/>
        <v>6</v>
      </c>
      <c r="CA27" s="171">
        <f t="shared" si="41"/>
        <v>6</v>
      </c>
      <c r="CB27" s="171">
        <f t="shared" si="41"/>
        <v>6</v>
      </c>
      <c r="CC27" s="171">
        <f t="shared" si="41"/>
        <v>6</v>
      </c>
      <c r="CD27" s="171">
        <f t="shared" si="41"/>
        <v>6</v>
      </c>
      <c r="CE27" s="171">
        <f t="shared" si="41"/>
        <v>6</v>
      </c>
      <c r="CF27" s="171">
        <f t="shared" si="41"/>
        <v>6</v>
      </c>
      <c r="CG27" s="171">
        <f t="shared" si="41"/>
        <v>7</v>
      </c>
      <c r="CH27" s="171">
        <f t="shared" si="41"/>
        <v>7</v>
      </c>
      <c r="CI27" s="171">
        <f t="shared" si="41"/>
        <v>7</v>
      </c>
      <c r="CJ27" s="171">
        <f t="shared" si="41"/>
        <v>7</v>
      </c>
      <c r="CK27" s="171">
        <f t="shared" si="41"/>
        <v>7</v>
      </c>
      <c r="CL27" s="171">
        <f t="shared" si="41"/>
        <v>7</v>
      </c>
      <c r="CM27" s="171">
        <f t="shared" si="41"/>
        <v>7</v>
      </c>
      <c r="CN27" s="171">
        <f t="shared" si="41"/>
        <v>7</v>
      </c>
      <c r="CO27" s="171">
        <f t="shared" si="41"/>
        <v>7</v>
      </c>
      <c r="CP27" s="171">
        <f t="shared" si="41"/>
        <v>7</v>
      </c>
      <c r="CQ27" s="171">
        <f t="shared" si="41"/>
        <v>7</v>
      </c>
      <c r="CR27" s="171">
        <f t="shared" si="41"/>
        <v>7</v>
      </c>
      <c r="CS27" s="171">
        <f t="shared" si="41"/>
        <v>8</v>
      </c>
      <c r="CT27" s="171">
        <f t="shared" si="41"/>
        <v>8</v>
      </c>
      <c r="CU27" s="171">
        <f t="shared" si="41"/>
        <v>8</v>
      </c>
      <c r="CV27" s="171">
        <f t="shared" si="41"/>
        <v>8</v>
      </c>
      <c r="CW27" s="171">
        <f t="shared" si="41"/>
        <v>8</v>
      </c>
      <c r="CX27" s="171">
        <f t="shared" si="41"/>
        <v>8</v>
      </c>
      <c r="CY27" s="171">
        <f t="shared" si="41"/>
        <v>8</v>
      </c>
      <c r="CZ27" s="171">
        <f t="shared" si="41"/>
        <v>8</v>
      </c>
      <c r="DA27" s="171">
        <f t="shared" si="41"/>
        <v>8</v>
      </c>
      <c r="DB27" s="171">
        <f t="shared" si="41"/>
        <v>8</v>
      </c>
      <c r="DC27" s="171">
        <f t="shared" si="41"/>
        <v>8</v>
      </c>
      <c r="DD27" s="171">
        <f t="shared" si="41"/>
        <v>8</v>
      </c>
      <c r="DE27" s="171">
        <f t="shared" si="41"/>
        <v>9</v>
      </c>
      <c r="DF27" s="171">
        <f t="shared" si="41"/>
        <v>9</v>
      </c>
      <c r="DG27" s="171">
        <f t="shared" si="41"/>
        <v>9</v>
      </c>
      <c r="DH27" s="171">
        <f t="shared" si="41"/>
        <v>9</v>
      </c>
      <c r="DI27" s="171">
        <f t="shared" si="41"/>
        <v>9</v>
      </c>
      <c r="DJ27" s="171">
        <f t="shared" si="41"/>
        <v>9</v>
      </c>
      <c r="DK27" s="171">
        <f t="shared" si="41"/>
        <v>9</v>
      </c>
      <c r="DL27" s="171">
        <f t="shared" si="41"/>
        <v>9</v>
      </c>
      <c r="DM27" s="171">
        <f t="shared" si="41"/>
        <v>9</v>
      </c>
      <c r="DN27" s="171">
        <f t="shared" si="41"/>
        <v>9</v>
      </c>
      <c r="DO27" s="171">
        <f t="shared" si="41"/>
        <v>9</v>
      </c>
      <c r="DP27" s="171">
        <f t="shared" si="41"/>
        <v>9</v>
      </c>
      <c r="DQ27" s="171">
        <f t="shared" si="41"/>
        <v>10</v>
      </c>
      <c r="DR27" s="171">
        <f t="shared" si="41"/>
        <v>10</v>
      </c>
      <c r="DS27" s="171">
        <f t="shared" si="41"/>
        <v>10</v>
      </c>
      <c r="DT27" s="171">
        <f t="shared" si="41"/>
        <v>10</v>
      </c>
      <c r="DU27" s="171">
        <f t="shared" si="41"/>
        <v>10</v>
      </c>
      <c r="DV27" s="171">
        <f t="shared" si="41"/>
        <v>10</v>
      </c>
      <c r="DW27" s="171">
        <f t="shared" si="41"/>
        <v>10</v>
      </c>
      <c r="DX27" s="171">
        <f t="shared" si="41"/>
        <v>10</v>
      </c>
      <c r="DY27" s="171">
        <f t="shared" si="41"/>
        <v>10</v>
      </c>
      <c r="DZ27" s="171">
        <f t="shared" si="41"/>
        <v>10</v>
      </c>
      <c r="EA27" s="171">
        <f t="shared" si="41"/>
        <v>10</v>
      </c>
      <c r="EB27" s="171">
        <f t="shared" si="41"/>
        <v>10</v>
      </c>
      <c r="EC27" s="171">
        <f t="shared" si="41"/>
        <v>11</v>
      </c>
      <c r="ED27" s="171">
        <f t="shared" si="41"/>
        <v>11</v>
      </c>
      <c r="EE27" s="171">
        <f t="shared" si="41"/>
        <v>11</v>
      </c>
      <c r="EF27" s="171">
        <f t="shared" si="41"/>
        <v>11</v>
      </c>
      <c r="EG27" s="171">
        <f t="shared" si="41"/>
        <v>11</v>
      </c>
      <c r="EH27" s="171">
        <f t="shared" si="41"/>
        <v>11</v>
      </c>
      <c r="EI27" s="171">
        <f t="shared" si="41"/>
        <v>11</v>
      </c>
      <c r="EJ27" s="171">
        <f t="shared" si="41"/>
        <v>11</v>
      </c>
      <c r="EK27" s="171">
        <f t="shared" si="41"/>
        <v>11</v>
      </c>
      <c r="EL27" s="171">
        <f t="shared" si="41"/>
        <v>11</v>
      </c>
      <c r="EM27" s="171">
        <f t="shared" si="41"/>
        <v>11</v>
      </c>
      <c r="EN27" s="171">
        <f t="shared" si="41"/>
        <v>11</v>
      </c>
      <c r="EO27" s="171">
        <f t="shared" si="41"/>
        <v>12</v>
      </c>
      <c r="EP27" s="171">
        <f t="shared" si="41"/>
        <v>12</v>
      </c>
      <c r="EQ27" s="171">
        <f t="shared" si="41"/>
        <v>12</v>
      </c>
    </row>
    <row r="28" spans="3:147" ht="11.25" customHeight="1">
      <c r="C28" s="158" t="s">
        <v>273</v>
      </c>
      <c r="D28" s="159"/>
      <c r="E28" s="159"/>
      <c r="F28" s="159"/>
      <c r="G28" s="159"/>
      <c r="H28" s="159"/>
      <c r="I28" s="160"/>
      <c r="J28" s="161"/>
      <c r="K28" s="98"/>
      <c r="L28" s="162"/>
      <c r="M28" s="162"/>
      <c r="N28" s="162"/>
      <c r="O28" s="162"/>
      <c r="P28" s="162"/>
      <c r="Q28" s="162"/>
      <c r="R28" s="162"/>
      <c r="S28" s="162"/>
      <c r="T28" s="162"/>
      <c r="U28" s="162"/>
      <c r="V28" s="162"/>
      <c r="W28" s="162"/>
      <c r="X28" s="162"/>
      <c r="Y28" s="162"/>
      <c r="Z28" s="162"/>
      <c r="AA28" s="162"/>
      <c r="AB28" s="162"/>
      <c r="AC28" s="162"/>
      <c r="AD28" s="162"/>
      <c r="AE28" s="162"/>
      <c r="AF28" s="162"/>
      <c r="AG28" s="162"/>
      <c r="AH28" s="162"/>
      <c r="AI28" s="162"/>
      <c r="AJ28" s="162"/>
      <c r="AK28" s="162"/>
      <c r="AL28" s="162"/>
      <c r="AM28" s="162"/>
      <c r="AN28" s="162"/>
      <c r="AO28" s="162"/>
      <c r="AP28" s="162"/>
      <c r="AQ28" s="162"/>
      <c r="AR28" s="162"/>
      <c r="AS28" s="162"/>
      <c r="AT28" s="162"/>
      <c r="AU28" s="162"/>
      <c r="AV28" s="162"/>
      <c r="AW28" s="162"/>
      <c r="AX28" s="162"/>
      <c r="AY28" s="162"/>
      <c r="AZ28" s="162"/>
      <c r="BA28" s="162"/>
      <c r="BB28" s="162"/>
      <c r="BC28" s="162"/>
      <c r="BD28" s="162"/>
      <c r="BE28" s="162"/>
      <c r="BF28" s="162"/>
      <c r="BG28" s="162"/>
      <c r="BH28" s="162"/>
      <c r="BI28" s="162"/>
      <c r="BJ28" s="162"/>
      <c r="BK28" s="162"/>
      <c r="BL28" s="162"/>
      <c r="BM28" s="162"/>
      <c r="BN28" s="162"/>
      <c r="BO28" s="162"/>
      <c r="BP28" s="162"/>
      <c r="BQ28" s="162"/>
      <c r="BR28" s="162"/>
      <c r="BS28" s="162"/>
      <c r="BT28" s="162"/>
      <c r="BU28" s="162"/>
      <c r="BV28" s="162"/>
      <c r="BW28" s="162"/>
      <c r="BX28" s="162"/>
      <c r="BY28" s="162"/>
      <c r="BZ28" s="162"/>
      <c r="CA28" s="162"/>
      <c r="CB28" s="162"/>
      <c r="CC28" s="162"/>
      <c r="CD28" s="162"/>
      <c r="CE28" s="162"/>
      <c r="CF28" s="162"/>
      <c r="CG28" s="162"/>
      <c r="CH28" s="162"/>
      <c r="CI28" s="162"/>
      <c r="CJ28" s="162"/>
      <c r="CK28" s="162"/>
      <c r="CL28" s="162"/>
      <c r="CM28" s="162"/>
      <c r="CN28" s="162"/>
      <c r="CO28" s="162"/>
      <c r="CP28" s="162"/>
      <c r="CQ28" s="162"/>
      <c r="CR28" s="162"/>
      <c r="CS28" s="162"/>
      <c r="CT28" s="162"/>
      <c r="CU28" s="162"/>
      <c r="CV28" s="162"/>
      <c r="CW28" s="162"/>
      <c r="CX28" s="162"/>
      <c r="CY28" s="162"/>
      <c r="CZ28" s="162"/>
      <c r="DA28" s="162"/>
      <c r="DB28" s="162"/>
      <c r="DC28" s="162"/>
      <c r="DD28" s="162"/>
      <c r="DE28" s="162"/>
      <c r="DF28" s="162"/>
      <c r="DG28" s="162"/>
      <c r="DH28" s="162"/>
      <c r="DI28" s="162"/>
      <c r="DJ28" s="162"/>
      <c r="DK28" s="162"/>
      <c r="DL28" s="162"/>
      <c r="DM28" s="162"/>
      <c r="DN28" s="162"/>
      <c r="DO28" s="162"/>
      <c r="DP28" s="162"/>
      <c r="DQ28" s="162"/>
      <c r="DR28" s="162"/>
      <c r="DS28" s="162"/>
      <c r="DT28" s="162"/>
      <c r="DU28" s="162"/>
      <c r="DV28" s="162"/>
      <c r="DW28" s="162"/>
      <c r="DX28" s="162"/>
      <c r="DY28" s="162"/>
      <c r="DZ28" s="162"/>
      <c r="EA28" s="162"/>
      <c r="EB28" s="162"/>
      <c r="EC28" s="162"/>
      <c r="ED28" s="162"/>
      <c r="EE28" s="162"/>
      <c r="EF28" s="162"/>
      <c r="EG28" s="162"/>
      <c r="EH28" s="162"/>
      <c r="EI28" s="162"/>
      <c r="EJ28" s="162"/>
      <c r="EK28" s="162"/>
      <c r="EL28" s="162"/>
      <c r="EM28" s="162"/>
      <c r="EN28" s="162"/>
      <c r="EO28" s="162"/>
      <c r="EP28" s="162"/>
      <c r="EQ28" s="162"/>
    </row>
    <row r="29" spans="3:147" ht="11.25" customHeight="1">
      <c r="C29" s="163"/>
      <c r="D29" s="164" t="s">
        <v>13</v>
      </c>
      <c r="E29" s="165"/>
      <c r="F29" s="165"/>
      <c r="G29" s="165"/>
      <c r="H29" s="165"/>
      <c r="I29" s="166">
        <f>'A&amp;R'!M32</f>
        <v>46326</v>
      </c>
      <c r="J29" s="167">
        <f>SUM(L29:EQ29)</f>
        <v>1</v>
      </c>
      <c r="K29" s="98"/>
      <c r="L29" s="168">
        <f t="shared" ref="L29:AA30" si="43">(L$14=$I29)*1</f>
        <v>1</v>
      </c>
      <c r="M29" s="168">
        <f t="shared" si="43"/>
        <v>0</v>
      </c>
      <c r="N29" s="168">
        <f t="shared" si="43"/>
        <v>0</v>
      </c>
      <c r="O29" s="168">
        <f t="shared" si="43"/>
        <v>0</v>
      </c>
      <c r="P29" s="168">
        <f t="shared" si="43"/>
        <v>0</v>
      </c>
      <c r="Q29" s="168">
        <f t="shared" si="43"/>
        <v>0</v>
      </c>
      <c r="R29" s="168">
        <f t="shared" si="43"/>
        <v>0</v>
      </c>
      <c r="S29" s="168">
        <f t="shared" si="43"/>
        <v>0</v>
      </c>
      <c r="T29" s="168">
        <f t="shared" si="43"/>
        <v>0</v>
      </c>
      <c r="U29" s="168">
        <f t="shared" si="43"/>
        <v>0</v>
      </c>
      <c r="V29" s="168">
        <f t="shared" si="43"/>
        <v>0</v>
      </c>
      <c r="W29" s="168">
        <f t="shared" si="43"/>
        <v>0</v>
      </c>
      <c r="X29" s="168">
        <f t="shared" si="43"/>
        <v>0</v>
      </c>
      <c r="Y29" s="168">
        <f t="shared" si="43"/>
        <v>0</v>
      </c>
      <c r="Z29" s="168">
        <f t="shared" si="43"/>
        <v>0</v>
      </c>
      <c r="AA29" s="168">
        <f t="shared" si="43"/>
        <v>0</v>
      </c>
      <c r="AB29" s="168">
        <f t="shared" ref="AB29:CM30" si="44">(AB$14=$I29)*1</f>
        <v>0</v>
      </c>
      <c r="AC29" s="168">
        <f t="shared" si="44"/>
        <v>0</v>
      </c>
      <c r="AD29" s="168">
        <f t="shared" si="44"/>
        <v>0</v>
      </c>
      <c r="AE29" s="168">
        <f t="shared" si="44"/>
        <v>0</v>
      </c>
      <c r="AF29" s="168">
        <f t="shared" si="44"/>
        <v>0</v>
      </c>
      <c r="AG29" s="168">
        <f t="shared" si="44"/>
        <v>0</v>
      </c>
      <c r="AH29" s="168">
        <f t="shared" si="44"/>
        <v>0</v>
      </c>
      <c r="AI29" s="168">
        <f t="shared" si="44"/>
        <v>0</v>
      </c>
      <c r="AJ29" s="168">
        <f t="shared" si="44"/>
        <v>0</v>
      </c>
      <c r="AK29" s="168">
        <f t="shared" si="44"/>
        <v>0</v>
      </c>
      <c r="AL29" s="168">
        <f t="shared" si="44"/>
        <v>0</v>
      </c>
      <c r="AM29" s="168">
        <f t="shared" si="44"/>
        <v>0</v>
      </c>
      <c r="AN29" s="168">
        <f t="shared" si="44"/>
        <v>0</v>
      </c>
      <c r="AO29" s="168">
        <f t="shared" si="44"/>
        <v>0</v>
      </c>
      <c r="AP29" s="168">
        <f t="shared" si="44"/>
        <v>0</v>
      </c>
      <c r="AQ29" s="168">
        <f t="shared" si="44"/>
        <v>0</v>
      </c>
      <c r="AR29" s="168">
        <f t="shared" si="44"/>
        <v>0</v>
      </c>
      <c r="AS29" s="168">
        <f t="shared" si="44"/>
        <v>0</v>
      </c>
      <c r="AT29" s="168">
        <f t="shared" si="44"/>
        <v>0</v>
      </c>
      <c r="AU29" s="168">
        <f t="shared" si="44"/>
        <v>0</v>
      </c>
      <c r="AV29" s="168">
        <f t="shared" si="44"/>
        <v>0</v>
      </c>
      <c r="AW29" s="168">
        <f t="shared" si="44"/>
        <v>0</v>
      </c>
      <c r="AX29" s="168">
        <f t="shared" si="44"/>
        <v>0</v>
      </c>
      <c r="AY29" s="168">
        <f t="shared" si="44"/>
        <v>0</v>
      </c>
      <c r="AZ29" s="168">
        <f t="shared" si="44"/>
        <v>0</v>
      </c>
      <c r="BA29" s="168">
        <f t="shared" si="44"/>
        <v>0</v>
      </c>
      <c r="BB29" s="168">
        <f t="shared" si="44"/>
        <v>0</v>
      </c>
      <c r="BC29" s="168">
        <f t="shared" si="44"/>
        <v>0</v>
      </c>
      <c r="BD29" s="168">
        <f t="shared" si="44"/>
        <v>0</v>
      </c>
      <c r="BE29" s="168">
        <f t="shared" si="44"/>
        <v>0</v>
      </c>
      <c r="BF29" s="168">
        <f t="shared" si="44"/>
        <v>0</v>
      </c>
      <c r="BG29" s="168">
        <f t="shared" si="44"/>
        <v>0</v>
      </c>
      <c r="BH29" s="168">
        <f t="shared" si="44"/>
        <v>0</v>
      </c>
      <c r="BI29" s="168">
        <f t="shared" si="44"/>
        <v>0</v>
      </c>
      <c r="BJ29" s="168">
        <f t="shared" si="44"/>
        <v>0</v>
      </c>
      <c r="BK29" s="168">
        <f t="shared" si="44"/>
        <v>0</v>
      </c>
      <c r="BL29" s="168">
        <f t="shared" si="44"/>
        <v>0</v>
      </c>
      <c r="BM29" s="168">
        <f t="shared" si="44"/>
        <v>0</v>
      </c>
      <c r="BN29" s="168">
        <f t="shared" si="44"/>
        <v>0</v>
      </c>
      <c r="BO29" s="168">
        <f t="shared" si="44"/>
        <v>0</v>
      </c>
      <c r="BP29" s="168">
        <f t="shared" si="44"/>
        <v>0</v>
      </c>
      <c r="BQ29" s="168">
        <f t="shared" si="44"/>
        <v>0</v>
      </c>
      <c r="BR29" s="168">
        <f t="shared" si="44"/>
        <v>0</v>
      </c>
      <c r="BS29" s="168">
        <f t="shared" si="44"/>
        <v>0</v>
      </c>
      <c r="BT29" s="168">
        <f t="shared" si="44"/>
        <v>0</v>
      </c>
      <c r="BU29" s="168">
        <f t="shared" si="44"/>
        <v>0</v>
      </c>
      <c r="BV29" s="168">
        <f t="shared" si="44"/>
        <v>0</v>
      </c>
      <c r="BW29" s="168">
        <f t="shared" si="44"/>
        <v>0</v>
      </c>
      <c r="BX29" s="168">
        <f t="shared" si="44"/>
        <v>0</v>
      </c>
      <c r="BY29" s="168">
        <f t="shared" si="44"/>
        <v>0</v>
      </c>
      <c r="BZ29" s="168">
        <f t="shared" si="44"/>
        <v>0</v>
      </c>
      <c r="CA29" s="168">
        <f t="shared" si="44"/>
        <v>0</v>
      </c>
      <c r="CB29" s="168">
        <f t="shared" si="44"/>
        <v>0</v>
      </c>
      <c r="CC29" s="168">
        <f t="shared" si="44"/>
        <v>0</v>
      </c>
      <c r="CD29" s="168">
        <f t="shared" si="44"/>
        <v>0</v>
      </c>
      <c r="CE29" s="168">
        <f t="shared" si="44"/>
        <v>0</v>
      </c>
      <c r="CF29" s="168">
        <f t="shared" si="44"/>
        <v>0</v>
      </c>
      <c r="CG29" s="168">
        <f t="shared" si="44"/>
        <v>0</v>
      </c>
      <c r="CH29" s="168">
        <f t="shared" si="44"/>
        <v>0</v>
      </c>
      <c r="CI29" s="168">
        <f t="shared" si="44"/>
        <v>0</v>
      </c>
      <c r="CJ29" s="168">
        <f t="shared" si="44"/>
        <v>0</v>
      </c>
      <c r="CK29" s="168">
        <f t="shared" si="44"/>
        <v>0</v>
      </c>
      <c r="CL29" s="168">
        <f t="shared" si="44"/>
        <v>0</v>
      </c>
      <c r="CM29" s="168">
        <f t="shared" si="44"/>
        <v>0</v>
      </c>
      <c r="CN29" s="168">
        <f t="shared" ref="CN29:EQ30" si="45">(CN$14=$I29)*1</f>
        <v>0</v>
      </c>
      <c r="CO29" s="168">
        <f t="shared" si="45"/>
        <v>0</v>
      </c>
      <c r="CP29" s="168">
        <f t="shared" si="45"/>
        <v>0</v>
      </c>
      <c r="CQ29" s="168">
        <f t="shared" si="45"/>
        <v>0</v>
      </c>
      <c r="CR29" s="168">
        <f t="shared" si="45"/>
        <v>0</v>
      </c>
      <c r="CS29" s="168">
        <f t="shared" si="45"/>
        <v>0</v>
      </c>
      <c r="CT29" s="168">
        <f t="shared" si="45"/>
        <v>0</v>
      </c>
      <c r="CU29" s="168">
        <f t="shared" si="45"/>
        <v>0</v>
      </c>
      <c r="CV29" s="168">
        <f t="shared" si="45"/>
        <v>0</v>
      </c>
      <c r="CW29" s="168">
        <f t="shared" si="45"/>
        <v>0</v>
      </c>
      <c r="CX29" s="168">
        <f t="shared" si="45"/>
        <v>0</v>
      </c>
      <c r="CY29" s="168">
        <f t="shared" si="45"/>
        <v>0</v>
      </c>
      <c r="CZ29" s="168">
        <f t="shared" si="45"/>
        <v>0</v>
      </c>
      <c r="DA29" s="168">
        <f t="shared" si="45"/>
        <v>0</v>
      </c>
      <c r="DB29" s="168">
        <f t="shared" si="45"/>
        <v>0</v>
      </c>
      <c r="DC29" s="168">
        <f t="shared" si="45"/>
        <v>0</v>
      </c>
      <c r="DD29" s="168">
        <f t="shared" si="45"/>
        <v>0</v>
      </c>
      <c r="DE29" s="168">
        <f t="shared" si="45"/>
        <v>0</v>
      </c>
      <c r="DF29" s="168">
        <f t="shared" si="45"/>
        <v>0</v>
      </c>
      <c r="DG29" s="168">
        <f t="shared" si="45"/>
        <v>0</v>
      </c>
      <c r="DH29" s="168">
        <f t="shared" si="45"/>
        <v>0</v>
      </c>
      <c r="DI29" s="168">
        <f t="shared" si="45"/>
        <v>0</v>
      </c>
      <c r="DJ29" s="168">
        <f t="shared" si="45"/>
        <v>0</v>
      </c>
      <c r="DK29" s="168">
        <f t="shared" si="45"/>
        <v>0</v>
      </c>
      <c r="DL29" s="168">
        <f t="shared" si="45"/>
        <v>0</v>
      </c>
      <c r="DM29" s="168">
        <f t="shared" si="45"/>
        <v>0</v>
      </c>
      <c r="DN29" s="168">
        <f t="shared" si="45"/>
        <v>0</v>
      </c>
      <c r="DO29" s="168">
        <f t="shared" si="45"/>
        <v>0</v>
      </c>
      <c r="DP29" s="168">
        <f t="shared" si="45"/>
        <v>0</v>
      </c>
      <c r="DQ29" s="168">
        <f t="shared" si="45"/>
        <v>0</v>
      </c>
      <c r="DR29" s="168">
        <f t="shared" si="45"/>
        <v>0</v>
      </c>
      <c r="DS29" s="168">
        <f t="shared" si="45"/>
        <v>0</v>
      </c>
      <c r="DT29" s="168">
        <f t="shared" si="45"/>
        <v>0</v>
      </c>
      <c r="DU29" s="168">
        <f t="shared" si="45"/>
        <v>0</v>
      </c>
      <c r="DV29" s="168">
        <f t="shared" si="45"/>
        <v>0</v>
      </c>
      <c r="DW29" s="168">
        <f t="shared" si="45"/>
        <v>0</v>
      </c>
      <c r="DX29" s="168">
        <f t="shared" si="45"/>
        <v>0</v>
      </c>
      <c r="DY29" s="168">
        <f t="shared" si="45"/>
        <v>0</v>
      </c>
      <c r="DZ29" s="168">
        <f t="shared" si="45"/>
        <v>0</v>
      </c>
      <c r="EA29" s="168">
        <f t="shared" si="45"/>
        <v>0</v>
      </c>
      <c r="EB29" s="168">
        <f t="shared" si="45"/>
        <v>0</v>
      </c>
      <c r="EC29" s="168">
        <f t="shared" si="45"/>
        <v>0</v>
      </c>
      <c r="ED29" s="168">
        <f t="shared" si="45"/>
        <v>0</v>
      </c>
      <c r="EE29" s="168">
        <f t="shared" si="45"/>
        <v>0</v>
      </c>
      <c r="EF29" s="168">
        <f t="shared" si="45"/>
        <v>0</v>
      </c>
      <c r="EG29" s="168">
        <f t="shared" si="45"/>
        <v>0</v>
      </c>
      <c r="EH29" s="168">
        <f t="shared" si="45"/>
        <v>0</v>
      </c>
      <c r="EI29" s="168">
        <f t="shared" si="45"/>
        <v>0</v>
      </c>
      <c r="EJ29" s="168">
        <f t="shared" si="45"/>
        <v>0</v>
      </c>
      <c r="EK29" s="168">
        <f t="shared" si="45"/>
        <v>0</v>
      </c>
      <c r="EL29" s="168">
        <f t="shared" si="45"/>
        <v>0</v>
      </c>
      <c r="EM29" s="168">
        <f t="shared" si="45"/>
        <v>0</v>
      </c>
      <c r="EN29" s="168">
        <f t="shared" si="45"/>
        <v>0</v>
      </c>
      <c r="EO29" s="168">
        <f t="shared" si="45"/>
        <v>0</v>
      </c>
      <c r="EP29" s="168">
        <f t="shared" si="45"/>
        <v>0</v>
      </c>
      <c r="EQ29" s="168">
        <f t="shared" si="45"/>
        <v>0</v>
      </c>
    </row>
    <row r="30" spans="3:147" ht="11.25" customHeight="1">
      <c r="C30" s="163"/>
      <c r="D30" s="169" t="s">
        <v>14</v>
      </c>
      <c r="I30" s="146">
        <f>'A&amp;R'!N33</f>
        <v>48152</v>
      </c>
      <c r="J30" s="170">
        <f>SUM(L30:EQ30)</f>
        <v>1</v>
      </c>
      <c r="K30" s="98"/>
      <c r="L30" s="171">
        <f t="shared" si="43"/>
        <v>0</v>
      </c>
      <c r="M30" s="171">
        <f t="shared" si="43"/>
        <v>0</v>
      </c>
      <c r="N30" s="171">
        <f t="shared" si="43"/>
        <v>0</v>
      </c>
      <c r="O30" s="171">
        <f t="shared" si="43"/>
        <v>0</v>
      </c>
      <c r="P30" s="171">
        <f t="shared" si="43"/>
        <v>0</v>
      </c>
      <c r="Q30" s="171">
        <f t="shared" si="43"/>
        <v>0</v>
      </c>
      <c r="R30" s="171">
        <f t="shared" si="43"/>
        <v>0</v>
      </c>
      <c r="S30" s="171">
        <f t="shared" si="43"/>
        <v>0</v>
      </c>
      <c r="T30" s="171">
        <f t="shared" si="43"/>
        <v>0</v>
      </c>
      <c r="U30" s="171">
        <f t="shared" si="43"/>
        <v>0</v>
      </c>
      <c r="V30" s="171">
        <f t="shared" si="43"/>
        <v>0</v>
      </c>
      <c r="W30" s="171">
        <f t="shared" si="43"/>
        <v>0</v>
      </c>
      <c r="X30" s="171">
        <f t="shared" si="43"/>
        <v>0</v>
      </c>
      <c r="Y30" s="171">
        <f t="shared" si="43"/>
        <v>0</v>
      </c>
      <c r="Z30" s="171">
        <f t="shared" si="43"/>
        <v>0</v>
      </c>
      <c r="AA30" s="171">
        <f t="shared" si="43"/>
        <v>0</v>
      </c>
      <c r="AB30" s="171">
        <f t="shared" si="44"/>
        <v>0</v>
      </c>
      <c r="AC30" s="171">
        <f t="shared" si="44"/>
        <v>0</v>
      </c>
      <c r="AD30" s="171">
        <f t="shared" si="44"/>
        <v>0</v>
      </c>
      <c r="AE30" s="171">
        <f t="shared" si="44"/>
        <v>0</v>
      </c>
      <c r="AF30" s="171">
        <f t="shared" si="44"/>
        <v>0</v>
      </c>
      <c r="AG30" s="171">
        <f t="shared" si="44"/>
        <v>0</v>
      </c>
      <c r="AH30" s="171">
        <f t="shared" si="44"/>
        <v>0</v>
      </c>
      <c r="AI30" s="171">
        <f t="shared" si="44"/>
        <v>0</v>
      </c>
      <c r="AJ30" s="171">
        <f t="shared" si="44"/>
        <v>0</v>
      </c>
      <c r="AK30" s="171">
        <f t="shared" si="44"/>
        <v>0</v>
      </c>
      <c r="AL30" s="171">
        <f t="shared" si="44"/>
        <v>0</v>
      </c>
      <c r="AM30" s="171">
        <f t="shared" si="44"/>
        <v>0</v>
      </c>
      <c r="AN30" s="171">
        <f t="shared" si="44"/>
        <v>0</v>
      </c>
      <c r="AO30" s="171">
        <f t="shared" si="44"/>
        <v>0</v>
      </c>
      <c r="AP30" s="171">
        <f t="shared" si="44"/>
        <v>0</v>
      </c>
      <c r="AQ30" s="171">
        <f t="shared" si="44"/>
        <v>0</v>
      </c>
      <c r="AR30" s="171">
        <f t="shared" si="44"/>
        <v>0</v>
      </c>
      <c r="AS30" s="171">
        <f t="shared" si="44"/>
        <v>0</v>
      </c>
      <c r="AT30" s="171">
        <f t="shared" si="44"/>
        <v>0</v>
      </c>
      <c r="AU30" s="171">
        <f t="shared" si="44"/>
        <v>0</v>
      </c>
      <c r="AV30" s="171">
        <f t="shared" si="44"/>
        <v>0</v>
      </c>
      <c r="AW30" s="171">
        <f t="shared" si="44"/>
        <v>0</v>
      </c>
      <c r="AX30" s="171">
        <f t="shared" si="44"/>
        <v>0</v>
      </c>
      <c r="AY30" s="171">
        <f t="shared" si="44"/>
        <v>0</v>
      </c>
      <c r="AZ30" s="171">
        <f t="shared" si="44"/>
        <v>0</v>
      </c>
      <c r="BA30" s="171">
        <f t="shared" si="44"/>
        <v>0</v>
      </c>
      <c r="BB30" s="171">
        <f t="shared" si="44"/>
        <v>0</v>
      </c>
      <c r="BC30" s="171">
        <f t="shared" si="44"/>
        <v>0</v>
      </c>
      <c r="BD30" s="171">
        <f t="shared" si="44"/>
        <v>0</v>
      </c>
      <c r="BE30" s="171">
        <f t="shared" si="44"/>
        <v>0</v>
      </c>
      <c r="BF30" s="171">
        <f t="shared" si="44"/>
        <v>0</v>
      </c>
      <c r="BG30" s="171">
        <f t="shared" si="44"/>
        <v>0</v>
      </c>
      <c r="BH30" s="171">
        <f t="shared" si="44"/>
        <v>0</v>
      </c>
      <c r="BI30" s="171">
        <f t="shared" si="44"/>
        <v>0</v>
      </c>
      <c r="BJ30" s="171">
        <f t="shared" si="44"/>
        <v>0</v>
      </c>
      <c r="BK30" s="171">
        <f t="shared" si="44"/>
        <v>0</v>
      </c>
      <c r="BL30" s="171">
        <f t="shared" si="44"/>
        <v>0</v>
      </c>
      <c r="BM30" s="171">
        <f t="shared" si="44"/>
        <v>0</v>
      </c>
      <c r="BN30" s="171">
        <f t="shared" si="44"/>
        <v>0</v>
      </c>
      <c r="BO30" s="171">
        <f t="shared" si="44"/>
        <v>0</v>
      </c>
      <c r="BP30" s="171">
        <f t="shared" si="44"/>
        <v>0</v>
      </c>
      <c r="BQ30" s="171">
        <f t="shared" si="44"/>
        <v>0</v>
      </c>
      <c r="BR30" s="171">
        <f t="shared" si="44"/>
        <v>0</v>
      </c>
      <c r="BS30" s="171">
        <f t="shared" si="44"/>
        <v>0</v>
      </c>
      <c r="BT30" s="171">
        <f t="shared" si="44"/>
        <v>1</v>
      </c>
      <c r="BU30" s="171">
        <f t="shared" si="44"/>
        <v>0</v>
      </c>
      <c r="BV30" s="171">
        <f t="shared" si="44"/>
        <v>0</v>
      </c>
      <c r="BW30" s="171">
        <f t="shared" si="44"/>
        <v>0</v>
      </c>
      <c r="BX30" s="171">
        <f t="shared" si="44"/>
        <v>0</v>
      </c>
      <c r="BY30" s="171">
        <f t="shared" si="44"/>
        <v>0</v>
      </c>
      <c r="BZ30" s="171">
        <f t="shared" si="44"/>
        <v>0</v>
      </c>
      <c r="CA30" s="171">
        <f t="shared" si="44"/>
        <v>0</v>
      </c>
      <c r="CB30" s="171">
        <f t="shared" si="44"/>
        <v>0</v>
      </c>
      <c r="CC30" s="171">
        <f t="shared" si="44"/>
        <v>0</v>
      </c>
      <c r="CD30" s="171">
        <f t="shared" si="44"/>
        <v>0</v>
      </c>
      <c r="CE30" s="171">
        <f t="shared" si="44"/>
        <v>0</v>
      </c>
      <c r="CF30" s="171">
        <f t="shared" si="44"/>
        <v>0</v>
      </c>
      <c r="CG30" s="171">
        <f t="shared" si="44"/>
        <v>0</v>
      </c>
      <c r="CH30" s="171">
        <f t="shared" si="44"/>
        <v>0</v>
      </c>
      <c r="CI30" s="171">
        <f t="shared" si="44"/>
        <v>0</v>
      </c>
      <c r="CJ30" s="171">
        <f t="shared" si="44"/>
        <v>0</v>
      </c>
      <c r="CK30" s="171">
        <f t="shared" si="44"/>
        <v>0</v>
      </c>
      <c r="CL30" s="171">
        <f t="shared" si="44"/>
        <v>0</v>
      </c>
      <c r="CM30" s="171">
        <f t="shared" si="44"/>
        <v>0</v>
      </c>
      <c r="CN30" s="171">
        <f t="shared" si="45"/>
        <v>0</v>
      </c>
      <c r="CO30" s="171">
        <f t="shared" si="45"/>
        <v>0</v>
      </c>
      <c r="CP30" s="171">
        <f t="shared" si="45"/>
        <v>0</v>
      </c>
      <c r="CQ30" s="171">
        <f t="shared" si="45"/>
        <v>0</v>
      </c>
      <c r="CR30" s="171">
        <f t="shared" si="45"/>
        <v>0</v>
      </c>
      <c r="CS30" s="171">
        <f t="shared" si="45"/>
        <v>0</v>
      </c>
      <c r="CT30" s="171">
        <f t="shared" si="45"/>
        <v>0</v>
      </c>
      <c r="CU30" s="171">
        <f t="shared" si="45"/>
        <v>0</v>
      </c>
      <c r="CV30" s="171">
        <f t="shared" si="45"/>
        <v>0</v>
      </c>
      <c r="CW30" s="171">
        <f t="shared" si="45"/>
        <v>0</v>
      </c>
      <c r="CX30" s="171">
        <f t="shared" si="45"/>
        <v>0</v>
      </c>
      <c r="CY30" s="171">
        <f t="shared" si="45"/>
        <v>0</v>
      </c>
      <c r="CZ30" s="171">
        <f t="shared" si="45"/>
        <v>0</v>
      </c>
      <c r="DA30" s="171">
        <f t="shared" si="45"/>
        <v>0</v>
      </c>
      <c r="DB30" s="171">
        <f t="shared" si="45"/>
        <v>0</v>
      </c>
      <c r="DC30" s="171">
        <f t="shared" si="45"/>
        <v>0</v>
      </c>
      <c r="DD30" s="171">
        <f t="shared" si="45"/>
        <v>0</v>
      </c>
      <c r="DE30" s="171">
        <f t="shared" si="45"/>
        <v>0</v>
      </c>
      <c r="DF30" s="171">
        <f t="shared" si="45"/>
        <v>0</v>
      </c>
      <c r="DG30" s="171">
        <f t="shared" si="45"/>
        <v>0</v>
      </c>
      <c r="DH30" s="171">
        <f t="shared" si="45"/>
        <v>0</v>
      </c>
      <c r="DI30" s="171">
        <f t="shared" si="45"/>
        <v>0</v>
      </c>
      <c r="DJ30" s="171">
        <f t="shared" si="45"/>
        <v>0</v>
      </c>
      <c r="DK30" s="171">
        <f t="shared" si="45"/>
        <v>0</v>
      </c>
      <c r="DL30" s="171">
        <f t="shared" si="45"/>
        <v>0</v>
      </c>
      <c r="DM30" s="171">
        <f t="shared" si="45"/>
        <v>0</v>
      </c>
      <c r="DN30" s="171">
        <f t="shared" si="45"/>
        <v>0</v>
      </c>
      <c r="DO30" s="171">
        <f t="shared" si="45"/>
        <v>0</v>
      </c>
      <c r="DP30" s="171">
        <f t="shared" si="45"/>
        <v>0</v>
      </c>
      <c r="DQ30" s="171">
        <f t="shared" si="45"/>
        <v>0</v>
      </c>
      <c r="DR30" s="171">
        <f t="shared" si="45"/>
        <v>0</v>
      </c>
      <c r="DS30" s="171">
        <f t="shared" si="45"/>
        <v>0</v>
      </c>
      <c r="DT30" s="171">
        <f t="shared" si="45"/>
        <v>0</v>
      </c>
      <c r="DU30" s="171">
        <f t="shared" si="45"/>
        <v>0</v>
      </c>
      <c r="DV30" s="171">
        <f t="shared" si="45"/>
        <v>0</v>
      </c>
      <c r="DW30" s="171">
        <f t="shared" si="45"/>
        <v>0</v>
      </c>
      <c r="DX30" s="171">
        <f t="shared" si="45"/>
        <v>0</v>
      </c>
      <c r="DY30" s="171">
        <f t="shared" si="45"/>
        <v>0</v>
      </c>
      <c r="DZ30" s="171">
        <f t="shared" si="45"/>
        <v>0</v>
      </c>
      <c r="EA30" s="171">
        <f t="shared" si="45"/>
        <v>0</v>
      </c>
      <c r="EB30" s="171">
        <f t="shared" si="45"/>
        <v>0</v>
      </c>
      <c r="EC30" s="171">
        <f t="shared" si="45"/>
        <v>0</v>
      </c>
      <c r="ED30" s="171">
        <f t="shared" si="45"/>
        <v>0</v>
      </c>
      <c r="EE30" s="171">
        <f t="shared" si="45"/>
        <v>0</v>
      </c>
      <c r="EF30" s="171">
        <f t="shared" si="45"/>
        <v>0</v>
      </c>
      <c r="EG30" s="171">
        <f t="shared" si="45"/>
        <v>0</v>
      </c>
      <c r="EH30" s="171">
        <f t="shared" si="45"/>
        <v>0</v>
      </c>
      <c r="EI30" s="171">
        <f t="shared" si="45"/>
        <v>0</v>
      </c>
      <c r="EJ30" s="171">
        <f t="shared" si="45"/>
        <v>0</v>
      </c>
      <c r="EK30" s="171">
        <f t="shared" si="45"/>
        <v>0</v>
      </c>
      <c r="EL30" s="171">
        <f t="shared" si="45"/>
        <v>0</v>
      </c>
      <c r="EM30" s="171">
        <f t="shared" si="45"/>
        <v>0</v>
      </c>
      <c r="EN30" s="171">
        <f t="shared" si="45"/>
        <v>0</v>
      </c>
      <c r="EO30" s="171">
        <f t="shared" si="45"/>
        <v>0</v>
      </c>
      <c r="EP30" s="171">
        <f t="shared" si="45"/>
        <v>0</v>
      </c>
      <c r="EQ30" s="171">
        <f t="shared" si="45"/>
        <v>0</v>
      </c>
    </row>
    <row r="31" spans="3:147" ht="11.25" customHeight="1">
      <c r="C31" s="163"/>
      <c r="D31" s="169" t="s">
        <v>15</v>
      </c>
      <c r="H31" s="146">
        <f>I29</f>
        <v>46326</v>
      </c>
      <c r="I31" s="146">
        <f>I30</f>
        <v>48152</v>
      </c>
      <c r="J31" s="170">
        <f>SUM(L31:EQ31)</f>
        <v>60</v>
      </c>
      <c r="K31" s="98"/>
      <c r="L31" s="171">
        <f t="shared" ref="L31:BW31" si="46">(L$14&gt;$H31)*(L$14&lt;=$I31)*1</f>
        <v>0</v>
      </c>
      <c r="M31" s="171">
        <f t="shared" si="46"/>
        <v>1</v>
      </c>
      <c r="N31" s="171">
        <f t="shared" si="46"/>
        <v>1</v>
      </c>
      <c r="O31" s="171">
        <f t="shared" si="46"/>
        <v>1</v>
      </c>
      <c r="P31" s="171">
        <f t="shared" si="46"/>
        <v>1</v>
      </c>
      <c r="Q31" s="171">
        <f t="shared" si="46"/>
        <v>1</v>
      </c>
      <c r="R31" s="171">
        <f t="shared" si="46"/>
        <v>1</v>
      </c>
      <c r="S31" s="171">
        <f t="shared" si="46"/>
        <v>1</v>
      </c>
      <c r="T31" s="171">
        <f t="shared" si="46"/>
        <v>1</v>
      </c>
      <c r="U31" s="171">
        <f t="shared" si="46"/>
        <v>1</v>
      </c>
      <c r="V31" s="171">
        <f t="shared" si="46"/>
        <v>1</v>
      </c>
      <c r="W31" s="171">
        <f t="shared" si="46"/>
        <v>1</v>
      </c>
      <c r="X31" s="171">
        <f t="shared" si="46"/>
        <v>1</v>
      </c>
      <c r="Y31" s="171">
        <f t="shared" si="46"/>
        <v>1</v>
      </c>
      <c r="Z31" s="171">
        <f t="shared" si="46"/>
        <v>1</v>
      </c>
      <c r="AA31" s="171">
        <f t="shared" si="46"/>
        <v>1</v>
      </c>
      <c r="AB31" s="171">
        <f t="shared" si="46"/>
        <v>1</v>
      </c>
      <c r="AC31" s="171">
        <f t="shared" si="46"/>
        <v>1</v>
      </c>
      <c r="AD31" s="171">
        <f t="shared" si="46"/>
        <v>1</v>
      </c>
      <c r="AE31" s="171">
        <f t="shared" si="46"/>
        <v>1</v>
      </c>
      <c r="AF31" s="171">
        <f t="shared" si="46"/>
        <v>1</v>
      </c>
      <c r="AG31" s="171">
        <f t="shared" si="46"/>
        <v>1</v>
      </c>
      <c r="AH31" s="171">
        <f t="shared" si="46"/>
        <v>1</v>
      </c>
      <c r="AI31" s="171">
        <f t="shared" si="46"/>
        <v>1</v>
      </c>
      <c r="AJ31" s="171">
        <f t="shared" si="46"/>
        <v>1</v>
      </c>
      <c r="AK31" s="171">
        <f t="shared" si="46"/>
        <v>1</v>
      </c>
      <c r="AL31" s="171">
        <f t="shared" si="46"/>
        <v>1</v>
      </c>
      <c r="AM31" s="171">
        <f t="shared" si="46"/>
        <v>1</v>
      </c>
      <c r="AN31" s="171">
        <f t="shared" si="46"/>
        <v>1</v>
      </c>
      <c r="AO31" s="171">
        <f t="shared" si="46"/>
        <v>1</v>
      </c>
      <c r="AP31" s="171">
        <f t="shared" si="46"/>
        <v>1</v>
      </c>
      <c r="AQ31" s="171">
        <f t="shared" si="46"/>
        <v>1</v>
      </c>
      <c r="AR31" s="171">
        <f t="shared" si="46"/>
        <v>1</v>
      </c>
      <c r="AS31" s="171">
        <f t="shared" si="46"/>
        <v>1</v>
      </c>
      <c r="AT31" s="171">
        <f t="shared" si="46"/>
        <v>1</v>
      </c>
      <c r="AU31" s="171">
        <f t="shared" si="46"/>
        <v>1</v>
      </c>
      <c r="AV31" s="171">
        <f t="shared" si="46"/>
        <v>1</v>
      </c>
      <c r="AW31" s="171">
        <f t="shared" si="46"/>
        <v>1</v>
      </c>
      <c r="AX31" s="171">
        <f t="shared" si="46"/>
        <v>1</v>
      </c>
      <c r="AY31" s="171">
        <f t="shared" si="46"/>
        <v>1</v>
      </c>
      <c r="AZ31" s="171">
        <f t="shared" si="46"/>
        <v>1</v>
      </c>
      <c r="BA31" s="171">
        <f t="shared" si="46"/>
        <v>1</v>
      </c>
      <c r="BB31" s="171">
        <f t="shared" si="46"/>
        <v>1</v>
      </c>
      <c r="BC31" s="171">
        <f t="shared" si="46"/>
        <v>1</v>
      </c>
      <c r="BD31" s="171">
        <f t="shared" si="46"/>
        <v>1</v>
      </c>
      <c r="BE31" s="171">
        <f t="shared" si="46"/>
        <v>1</v>
      </c>
      <c r="BF31" s="171">
        <f t="shared" si="46"/>
        <v>1</v>
      </c>
      <c r="BG31" s="171">
        <f t="shared" si="46"/>
        <v>1</v>
      </c>
      <c r="BH31" s="171">
        <f t="shared" si="46"/>
        <v>1</v>
      </c>
      <c r="BI31" s="171">
        <f t="shared" si="46"/>
        <v>1</v>
      </c>
      <c r="BJ31" s="171">
        <f t="shared" si="46"/>
        <v>1</v>
      </c>
      <c r="BK31" s="171">
        <f t="shared" si="46"/>
        <v>1</v>
      </c>
      <c r="BL31" s="171">
        <f t="shared" si="46"/>
        <v>1</v>
      </c>
      <c r="BM31" s="171">
        <f t="shared" si="46"/>
        <v>1</v>
      </c>
      <c r="BN31" s="171">
        <f t="shared" si="46"/>
        <v>1</v>
      </c>
      <c r="BO31" s="171">
        <f t="shared" si="46"/>
        <v>1</v>
      </c>
      <c r="BP31" s="171">
        <f t="shared" si="46"/>
        <v>1</v>
      </c>
      <c r="BQ31" s="171">
        <f t="shared" si="46"/>
        <v>1</v>
      </c>
      <c r="BR31" s="171">
        <f t="shared" si="46"/>
        <v>1</v>
      </c>
      <c r="BS31" s="171">
        <f t="shared" si="46"/>
        <v>1</v>
      </c>
      <c r="BT31" s="171">
        <f t="shared" si="46"/>
        <v>1</v>
      </c>
      <c r="BU31" s="171">
        <f t="shared" si="46"/>
        <v>0</v>
      </c>
      <c r="BV31" s="171">
        <f t="shared" si="46"/>
        <v>0</v>
      </c>
      <c r="BW31" s="171">
        <f t="shared" si="46"/>
        <v>0</v>
      </c>
      <c r="BX31" s="171">
        <f t="shared" ref="BX31:EQ31" si="47">(BX$14&gt;$H31)*(BX$14&lt;=$I31)*1</f>
        <v>0</v>
      </c>
      <c r="BY31" s="171">
        <f t="shared" si="47"/>
        <v>0</v>
      </c>
      <c r="BZ31" s="171">
        <f t="shared" si="47"/>
        <v>0</v>
      </c>
      <c r="CA31" s="171">
        <f t="shared" si="47"/>
        <v>0</v>
      </c>
      <c r="CB31" s="171">
        <f t="shared" si="47"/>
        <v>0</v>
      </c>
      <c r="CC31" s="171">
        <f t="shared" si="47"/>
        <v>0</v>
      </c>
      <c r="CD31" s="171">
        <f t="shared" si="47"/>
        <v>0</v>
      </c>
      <c r="CE31" s="171">
        <f t="shared" si="47"/>
        <v>0</v>
      </c>
      <c r="CF31" s="171">
        <f t="shared" si="47"/>
        <v>0</v>
      </c>
      <c r="CG31" s="171">
        <f t="shared" si="47"/>
        <v>0</v>
      </c>
      <c r="CH31" s="171">
        <f t="shared" si="47"/>
        <v>0</v>
      </c>
      <c r="CI31" s="171">
        <f t="shared" si="47"/>
        <v>0</v>
      </c>
      <c r="CJ31" s="171">
        <f t="shared" si="47"/>
        <v>0</v>
      </c>
      <c r="CK31" s="171">
        <f t="shared" si="47"/>
        <v>0</v>
      </c>
      <c r="CL31" s="171">
        <f t="shared" si="47"/>
        <v>0</v>
      </c>
      <c r="CM31" s="171">
        <f t="shared" si="47"/>
        <v>0</v>
      </c>
      <c r="CN31" s="171">
        <f t="shared" si="47"/>
        <v>0</v>
      </c>
      <c r="CO31" s="171">
        <f t="shared" si="47"/>
        <v>0</v>
      </c>
      <c r="CP31" s="171">
        <f t="shared" si="47"/>
        <v>0</v>
      </c>
      <c r="CQ31" s="171">
        <f t="shared" si="47"/>
        <v>0</v>
      </c>
      <c r="CR31" s="171">
        <f t="shared" si="47"/>
        <v>0</v>
      </c>
      <c r="CS31" s="171">
        <f t="shared" si="47"/>
        <v>0</v>
      </c>
      <c r="CT31" s="171">
        <f t="shared" si="47"/>
        <v>0</v>
      </c>
      <c r="CU31" s="171">
        <f t="shared" si="47"/>
        <v>0</v>
      </c>
      <c r="CV31" s="171">
        <f t="shared" si="47"/>
        <v>0</v>
      </c>
      <c r="CW31" s="171">
        <f t="shared" si="47"/>
        <v>0</v>
      </c>
      <c r="CX31" s="171">
        <f t="shared" si="47"/>
        <v>0</v>
      </c>
      <c r="CY31" s="171">
        <f t="shared" si="47"/>
        <v>0</v>
      </c>
      <c r="CZ31" s="171">
        <f t="shared" si="47"/>
        <v>0</v>
      </c>
      <c r="DA31" s="171">
        <f t="shared" si="47"/>
        <v>0</v>
      </c>
      <c r="DB31" s="171">
        <f t="shared" si="47"/>
        <v>0</v>
      </c>
      <c r="DC31" s="171">
        <f t="shared" si="47"/>
        <v>0</v>
      </c>
      <c r="DD31" s="171">
        <f t="shared" si="47"/>
        <v>0</v>
      </c>
      <c r="DE31" s="171">
        <f t="shared" si="47"/>
        <v>0</v>
      </c>
      <c r="DF31" s="171">
        <f t="shared" si="47"/>
        <v>0</v>
      </c>
      <c r="DG31" s="171">
        <f t="shared" si="47"/>
        <v>0</v>
      </c>
      <c r="DH31" s="171">
        <f t="shared" si="47"/>
        <v>0</v>
      </c>
      <c r="DI31" s="171">
        <f t="shared" si="47"/>
        <v>0</v>
      </c>
      <c r="DJ31" s="171">
        <f t="shared" si="47"/>
        <v>0</v>
      </c>
      <c r="DK31" s="171">
        <f t="shared" si="47"/>
        <v>0</v>
      </c>
      <c r="DL31" s="171">
        <f t="shared" si="47"/>
        <v>0</v>
      </c>
      <c r="DM31" s="171">
        <f t="shared" si="47"/>
        <v>0</v>
      </c>
      <c r="DN31" s="171">
        <f t="shared" si="47"/>
        <v>0</v>
      </c>
      <c r="DO31" s="171">
        <f t="shared" si="47"/>
        <v>0</v>
      </c>
      <c r="DP31" s="171">
        <f t="shared" si="47"/>
        <v>0</v>
      </c>
      <c r="DQ31" s="171">
        <f t="shared" si="47"/>
        <v>0</v>
      </c>
      <c r="DR31" s="171">
        <f t="shared" si="47"/>
        <v>0</v>
      </c>
      <c r="DS31" s="171">
        <f t="shared" si="47"/>
        <v>0</v>
      </c>
      <c r="DT31" s="171">
        <f t="shared" si="47"/>
        <v>0</v>
      </c>
      <c r="DU31" s="171">
        <f t="shared" si="47"/>
        <v>0</v>
      </c>
      <c r="DV31" s="171">
        <f t="shared" si="47"/>
        <v>0</v>
      </c>
      <c r="DW31" s="171">
        <f t="shared" si="47"/>
        <v>0</v>
      </c>
      <c r="DX31" s="171">
        <f t="shared" si="47"/>
        <v>0</v>
      </c>
      <c r="DY31" s="171">
        <f t="shared" si="47"/>
        <v>0</v>
      </c>
      <c r="DZ31" s="171">
        <f t="shared" si="47"/>
        <v>0</v>
      </c>
      <c r="EA31" s="171">
        <f t="shared" si="47"/>
        <v>0</v>
      </c>
      <c r="EB31" s="171">
        <f t="shared" si="47"/>
        <v>0</v>
      </c>
      <c r="EC31" s="171">
        <f t="shared" si="47"/>
        <v>0</v>
      </c>
      <c r="ED31" s="171">
        <f t="shared" si="47"/>
        <v>0</v>
      </c>
      <c r="EE31" s="171">
        <f t="shared" si="47"/>
        <v>0</v>
      </c>
      <c r="EF31" s="171">
        <f t="shared" si="47"/>
        <v>0</v>
      </c>
      <c r="EG31" s="171">
        <f t="shared" si="47"/>
        <v>0</v>
      </c>
      <c r="EH31" s="171">
        <f t="shared" si="47"/>
        <v>0</v>
      </c>
      <c r="EI31" s="171">
        <f t="shared" si="47"/>
        <v>0</v>
      </c>
      <c r="EJ31" s="171">
        <f t="shared" si="47"/>
        <v>0</v>
      </c>
      <c r="EK31" s="171">
        <f t="shared" si="47"/>
        <v>0</v>
      </c>
      <c r="EL31" s="171">
        <f t="shared" si="47"/>
        <v>0</v>
      </c>
      <c r="EM31" s="171">
        <f t="shared" si="47"/>
        <v>0</v>
      </c>
      <c r="EN31" s="171">
        <f t="shared" si="47"/>
        <v>0</v>
      </c>
      <c r="EO31" s="171">
        <f t="shared" si="47"/>
        <v>0</v>
      </c>
      <c r="EP31" s="171">
        <f t="shared" si="47"/>
        <v>0</v>
      </c>
      <c r="EQ31" s="171">
        <f t="shared" si="47"/>
        <v>0</v>
      </c>
    </row>
    <row r="32" spans="3:147" ht="11.25" customHeight="1">
      <c r="C32" s="163"/>
      <c r="D32" s="169" t="s">
        <v>16</v>
      </c>
      <c r="I32" s="146"/>
      <c r="J32" s="170">
        <f>MAX(L32:EQ32)</f>
        <v>60</v>
      </c>
      <c r="K32" s="98"/>
      <c r="L32" s="171">
        <f>SUM($L31:L31)</f>
        <v>0</v>
      </c>
      <c r="M32" s="171">
        <f>SUM($L31:M31)</f>
        <v>1</v>
      </c>
      <c r="N32" s="171">
        <f>SUM($L31:N31)</f>
        <v>2</v>
      </c>
      <c r="O32" s="171">
        <f>SUM($L31:O31)</f>
        <v>3</v>
      </c>
      <c r="P32" s="171">
        <f>SUM($L31:P31)</f>
        <v>4</v>
      </c>
      <c r="Q32" s="171">
        <f>SUM($L31:Q31)</f>
        <v>5</v>
      </c>
      <c r="R32" s="171">
        <f>SUM($L31:R31)</f>
        <v>6</v>
      </c>
      <c r="S32" s="171">
        <f>SUM($L31:S31)</f>
        <v>7</v>
      </c>
      <c r="T32" s="171">
        <f>SUM($L31:T31)</f>
        <v>8</v>
      </c>
      <c r="U32" s="171">
        <f>SUM($L31:U31)</f>
        <v>9</v>
      </c>
      <c r="V32" s="171">
        <f>SUM($L31:V31)</f>
        <v>10</v>
      </c>
      <c r="W32" s="171">
        <f>SUM($L31:W31)</f>
        <v>11</v>
      </c>
      <c r="X32" s="171">
        <f>SUM($L31:X31)</f>
        <v>12</v>
      </c>
      <c r="Y32" s="171">
        <f>SUM($L31:Y31)</f>
        <v>13</v>
      </c>
      <c r="Z32" s="171">
        <f>SUM($L31:Z31)</f>
        <v>14</v>
      </c>
      <c r="AA32" s="171">
        <f>SUM($L31:AA31)</f>
        <v>15</v>
      </c>
      <c r="AB32" s="171">
        <f>SUM($L31:AB31)</f>
        <v>16</v>
      </c>
      <c r="AC32" s="171">
        <f>SUM($L31:AC31)</f>
        <v>17</v>
      </c>
      <c r="AD32" s="171">
        <f>SUM($L31:AD31)</f>
        <v>18</v>
      </c>
      <c r="AE32" s="171">
        <f>SUM($L31:AE31)</f>
        <v>19</v>
      </c>
      <c r="AF32" s="171">
        <f>SUM($L31:AF31)</f>
        <v>20</v>
      </c>
      <c r="AG32" s="171">
        <f>SUM($L31:AG31)</f>
        <v>21</v>
      </c>
      <c r="AH32" s="171">
        <f>SUM($L31:AH31)</f>
        <v>22</v>
      </c>
      <c r="AI32" s="171">
        <f>SUM($L31:AI31)</f>
        <v>23</v>
      </c>
      <c r="AJ32" s="171">
        <f>SUM($L31:AJ31)</f>
        <v>24</v>
      </c>
      <c r="AK32" s="171">
        <f>SUM($L31:AK31)</f>
        <v>25</v>
      </c>
      <c r="AL32" s="171">
        <f>SUM($L31:AL31)</f>
        <v>26</v>
      </c>
      <c r="AM32" s="171">
        <f>SUM($L31:AM31)</f>
        <v>27</v>
      </c>
      <c r="AN32" s="171">
        <f>SUM($L31:AN31)</f>
        <v>28</v>
      </c>
      <c r="AO32" s="171">
        <f>SUM($L31:AO31)</f>
        <v>29</v>
      </c>
      <c r="AP32" s="171">
        <f>SUM($L31:AP31)</f>
        <v>30</v>
      </c>
      <c r="AQ32" s="171">
        <f>SUM($L31:AQ31)</f>
        <v>31</v>
      </c>
      <c r="AR32" s="171">
        <f>SUM($L31:AR31)</f>
        <v>32</v>
      </c>
      <c r="AS32" s="171">
        <f>SUM($L31:AS31)</f>
        <v>33</v>
      </c>
      <c r="AT32" s="171">
        <f>SUM($L31:AT31)</f>
        <v>34</v>
      </c>
      <c r="AU32" s="171">
        <f>SUM($L31:AU31)</f>
        <v>35</v>
      </c>
      <c r="AV32" s="171">
        <f>SUM($L31:AV31)</f>
        <v>36</v>
      </c>
      <c r="AW32" s="171">
        <f>SUM($L31:AW31)</f>
        <v>37</v>
      </c>
      <c r="AX32" s="171">
        <f>SUM($L31:AX31)</f>
        <v>38</v>
      </c>
      <c r="AY32" s="171">
        <f>SUM($L31:AY31)</f>
        <v>39</v>
      </c>
      <c r="AZ32" s="171">
        <f>SUM($L31:AZ31)</f>
        <v>40</v>
      </c>
      <c r="BA32" s="171">
        <f>SUM($L31:BA31)</f>
        <v>41</v>
      </c>
      <c r="BB32" s="171">
        <f>SUM($L31:BB31)</f>
        <v>42</v>
      </c>
      <c r="BC32" s="171">
        <f>SUM($L31:BC31)</f>
        <v>43</v>
      </c>
      <c r="BD32" s="171">
        <f>SUM($L31:BD31)</f>
        <v>44</v>
      </c>
      <c r="BE32" s="171">
        <f>SUM($L31:BE31)</f>
        <v>45</v>
      </c>
      <c r="BF32" s="171">
        <f>SUM($L31:BF31)</f>
        <v>46</v>
      </c>
      <c r="BG32" s="171">
        <f>SUM($L31:BG31)</f>
        <v>47</v>
      </c>
      <c r="BH32" s="171">
        <f>SUM($L31:BH31)</f>
        <v>48</v>
      </c>
      <c r="BI32" s="171">
        <f>SUM($L31:BI31)</f>
        <v>49</v>
      </c>
      <c r="BJ32" s="171">
        <f>SUM($L31:BJ31)</f>
        <v>50</v>
      </c>
      <c r="BK32" s="171">
        <f>SUM($L31:BK31)</f>
        <v>51</v>
      </c>
      <c r="BL32" s="171">
        <f>SUM($L31:BL31)</f>
        <v>52</v>
      </c>
      <c r="BM32" s="171">
        <f>SUM($L31:BM31)</f>
        <v>53</v>
      </c>
      <c r="BN32" s="171">
        <f>SUM($L31:BN31)</f>
        <v>54</v>
      </c>
      <c r="BO32" s="171">
        <f>SUM($L31:BO31)</f>
        <v>55</v>
      </c>
      <c r="BP32" s="171">
        <f>SUM($L31:BP31)</f>
        <v>56</v>
      </c>
      <c r="BQ32" s="171">
        <f>SUM($L31:BQ31)</f>
        <v>57</v>
      </c>
      <c r="BR32" s="171">
        <f>SUM($L31:BR31)</f>
        <v>58</v>
      </c>
      <c r="BS32" s="171">
        <f>SUM($L31:BS31)</f>
        <v>59</v>
      </c>
      <c r="BT32" s="171">
        <f>SUM($L31:BT31)</f>
        <v>60</v>
      </c>
      <c r="BU32" s="171">
        <f>SUM($L31:BU31)</f>
        <v>60</v>
      </c>
      <c r="BV32" s="171">
        <f>SUM($L31:BV31)</f>
        <v>60</v>
      </c>
      <c r="BW32" s="171">
        <f>SUM($L31:BW31)</f>
        <v>60</v>
      </c>
      <c r="BX32" s="171">
        <f>SUM($L31:BX31)</f>
        <v>60</v>
      </c>
      <c r="BY32" s="171">
        <f>SUM($L31:BY31)</f>
        <v>60</v>
      </c>
      <c r="BZ32" s="171">
        <f>SUM($L31:BZ31)</f>
        <v>60</v>
      </c>
      <c r="CA32" s="171">
        <f>SUM($L31:CA31)</f>
        <v>60</v>
      </c>
      <c r="CB32" s="171">
        <f>SUM($L31:CB31)</f>
        <v>60</v>
      </c>
      <c r="CC32" s="171">
        <f>SUM($L31:CC31)</f>
        <v>60</v>
      </c>
      <c r="CD32" s="171">
        <f>SUM($L31:CD31)</f>
        <v>60</v>
      </c>
      <c r="CE32" s="171">
        <f>SUM($L31:CE31)</f>
        <v>60</v>
      </c>
      <c r="CF32" s="171">
        <f>SUM($L31:CF31)</f>
        <v>60</v>
      </c>
      <c r="CG32" s="171">
        <f>SUM($L31:CG31)</f>
        <v>60</v>
      </c>
      <c r="CH32" s="171">
        <f>SUM($L31:CH31)</f>
        <v>60</v>
      </c>
      <c r="CI32" s="171">
        <f>SUM($L31:CI31)</f>
        <v>60</v>
      </c>
      <c r="CJ32" s="171">
        <f>SUM($L31:CJ31)</f>
        <v>60</v>
      </c>
      <c r="CK32" s="171">
        <f>SUM($L31:CK31)</f>
        <v>60</v>
      </c>
      <c r="CL32" s="171">
        <f>SUM($L31:CL31)</f>
        <v>60</v>
      </c>
      <c r="CM32" s="171">
        <f>SUM($L31:CM31)</f>
        <v>60</v>
      </c>
      <c r="CN32" s="171">
        <f>SUM($L31:CN31)</f>
        <v>60</v>
      </c>
      <c r="CO32" s="171">
        <f>SUM($L31:CO31)</f>
        <v>60</v>
      </c>
      <c r="CP32" s="171">
        <f>SUM($L31:CP31)</f>
        <v>60</v>
      </c>
      <c r="CQ32" s="171">
        <f>SUM($L31:CQ31)</f>
        <v>60</v>
      </c>
      <c r="CR32" s="171">
        <f>SUM($L31:CR31)</f>
        <v>60</v>
      </c>
      <c r="CS32" s="171">
        <f>SUM($L31:CS31)</f>
        <v>60</v>
      </c>
      <c r="CT32" s="171">
        <f>SUM($L31:CT31)</f>
        <v>60</v>
      </c>
      <c r="CU32" s="171">
        <f>SUM($L31:CU31)</f>
        <v>60</v>
      </c>
      <c r="CV32" s="171">
        <f>SUM($L31:CV31)</f>
        <v>60</v>
      </c>
      <c r="CW32" s="171">
        <f>SUM($L31:CW31)</f>
        <v>60</v>
      </c>
      <c r="CX32" s="171">
        <f>SUM($L31:CX31)</f>
        <v>60</v>
      </c>
      <c r="CY32" s="171">
        <f>SUM($L31:CY31)</f>
        <v>60</v>
      </c>
      <c r="CZ32" s="171">
        <f>SUM($L31:CZ31)</f>
        <v>60</v>
      </c>
      <c r="DA32" s="171">
        <f>SUM($L31:DA31)</f>
        <v>60</v>
      </c>
      <c r="DB32" s="171">
        <f>SUM($L31:DB31)</f>
        <v>60</v>
      </c>
      <c r="DC32" s="171">
        <f>SUM($L31:DC31)</f>
        <v>60</v>
      </c>
      <c r="DD32" s="171">
        <f>SUM($L31:DD31)</f>
        <v>60</v>
      </c>
      <c r="DE32" s="171">
        <f>SUM($L31:DE31)</f>
        <v>60</v>
      </c>
      <c r="DF32" s="171">
        <f>SUM($L31:DF31)</f>
        <v>60</v>
      </c>
      <c r="DG32" s="171">
        <f>SUM($L31:DG31)</f>
        <v>60</v>
      </c>
      <c r="DH32" s="171">
        <f>SUM($L31:DH31)</f>
        <v>60</v>
      </c>
      <c r="DI32" s="171">
        <f>SUM($L31:DI31)</f>
        <v>60</v>
      </c>
      <c r="DJ32" s="171">
        <f>SUM($L31:DJ31)</f>
        <v>60</v>
      </c>
      <c r="DK32" s="171">
        <f>SUM($L31:DK31)</f>
        <v>60</v>
      </c>
      <c r="DL32" s="171">
        <f>SUM($L31:DL31)</f>
        <v>60</v>
      </c>
      <c r="DM32" s="171">
        <f>SUM($L31:DM31)</f>
        <v>60</v>
      </c>
      <c r="DN32" s="171">
        <f>SUM($L31:DN31)</f>
        <v>60</v>
      </c>
      <c r="DO32" s="171">
        <f>SUM($L31:DO31)</f>
        <v>60</v>
      </c>
      <c r="DP32" s="171">
        <f>SUM($L31:DP31)</f>
        <v>60</v>
      </c>
      <c r="DQ32" s="171">
        <f>SUM($L31:DQ31)</f>
        <v>60</v>
      </c>
      <c r="DR32" s="171">
        <f>SUM($L31:DR31)</f>
        <v>60</v>
      </c>
      <c r="DS32" s="171">
        <f>SUM($L31:DS31)</f>
        <v>60</v>
      </c>
      <c r="DT32" s="171">
        <f>SUM($L31:DT31)</f>
        <v>60</v>
      </c>
      <c r="DU32" s="171">
        <f>SUM($L31:DU31)</f>
        <v>60</v>
      </c>
      <c r="DV32" s="171">
        <f>SUM($L31:DV31)</f>
        <v>60</v>
      </c>
      <c r="DW32" s="171">
        <f>SUM($L31:DW31)</f>
        <v>60</v>
      </c>
      <c r="DX32" s="171">
        <f>SUM($L31:DX31)</f>
        <v>60</v>
      </c>
      <c r="DY32" s="171">
        <f>SUM($L31:DY31)</f>
        <v>60</v>
      </c>
      <c r="DZ32" s="171">
        <f>SUM($L31:DZ31)</f>
        <v>60</v>
      </c>
      <c r="EA32" s="171">
        <f>SUM($L31:EA31)</f>
        <v>60</v>
      </c>
      <c r="EB32" s="171">
        <f>SUM($L31:EB31)</f>
        <v>60</v>
      </c>
      <c r="EC32" s="171">
        <f>SUM($L31:EC31)</f>
        <v>60</v>
      </c>
      <c r="ED32" s="171">
        <f>SUM($L31:ED31)</f>
        <v>60</v>
      </c>
      <c r="EE32" s="171">
        <f>SUM($L31:EE31)</f>
        <v>60</v>
      </c>
      <c r="EF32" s="171">
        <f>SUM($L31:EF31)</f>
        <v>60</v>
      </c>
      <c r="EG32" s="171">
        <f>SUM($L31:EG31)</f>
        <v>60</v>
      </c>
      <c r="EH32" s="171">
        <f>SUM($L31:EH31)</f>
        <v>60</v>
      </c>
      <c r="EI32" s="171">
        <f>SUM($L31:EI31)</f>
        <v>60</v>
      </c>
      <c r="EJ32" s="171">
        <f>SUM($L31:EJ31)</f>
        <v>60</v>
      </c>
      <c r="EK32" s="171">
        <f>SUM($L31:EK31)</f>
        <v>60</v>
      </c>
      <c r="EL32" s="171">
        <f>SUM($L31:EL31)</f>
        <v>60</v>
      </c>
      <c r="EM32" s="171">
        <f>SUM($L31:EM31)</f>
        <v>60</v>
      </c>
      <c r="EN32" s="171">
        <f>SUM($L31:EN31)</f>
        <v>60</v>
      </c>
      <c r="EO32" s="171">
        <f>SUM($L31:EO31)</f>
        <v>60</v>
      </c>
      <c r="EP32" s="171">
        <f>SUM($L31:EP31)</f>
        <v>60</v>
      </c>
      <c r="EQ32" s="171">
        <f>SUM($L31:EQ31)</f>
        <v>60</v>
      </c>
    </row>
    <row r="33" spans="3:147" ht="11.25" customHeight="1">
      <c r="C33" s="163"/>
      <c r="D33" s="169" t="s">
        <v>17</v>
      </c>
      <c r="I33" s="172">
        <v>3</v>
      </c>
      <c r="J33" s="170">
        <f>SUM(L33:EQ33)</f>
        <v>20</v>
      </c>
      <c r="K33" s="98"/>
      <c r="L33" s="171">
        <f>(MOD(L32,$I33)=0)*(L$14&lt;$I30)*(L$14&gt;$I29)+(L$14=$I30)*1</f>
        <v>0</v>
      </c>
      <c r="M33" s="171">
        <f t="shared" ref="M33:BX33" si="48">(MOD(M32,$I33)=0)*(M$14&lt;$I30)*(M$14&gt;$I29)+(M$14=$I30)*1</f>
        <v>0</v>
      </c>
      <c r="N33" s="171">
        <f t="shared" si="48"/>
        <v>0</v>
      </c>
      <c r="O33" s="171">
        <f t="shared" si="48"/>
        <v>1</v>
      </c>
      <c r="P33" s="171">
        <f t="shared" si="48"/>
        <v>0</v>
      </c>
      <c r="Q33" s="171">
        <f t="shared" si="48"/>
        <v>0</v>
      </c>
      <c r="R33" s="171">
        <f t="shared" si="48"/>
        <v>1</v>
      </c>
      <c r="S33" s="171">
        <f t="shared" si="48"/>
        <v>0</v>
      </c>
      <c r="T33" s="171">
        <f t="shared" si="48"/>
        <v>0</v>
      </c>
      <c r="U33" s="171">
        <f t="shared" si="48"/>
        <v>1</v>
      </c>
      <c r="V33" s="171">
        <f t="shared" si="48"/>
        <v>0</v>
      </c>
      <c r="W33" s="171">
        <f t="shared" si="48"/>
        <v>0</v>
      </c>
      <c r="X33" s="171">
        <f t="shared" si="48"/>
        <v>1</v>
      </c>
      <c r="Y33" s="171">
        <f t="shared" si="48"/>
        <v>0</v>
      </c>
      <c r="Z33" s="171">
        <f t="shared" si="48"/>
        <v>0</v>
      </c>
      <c r="AA33" s="171">
        <f t="shared" si="48"/>
        <v>1</v>
      </c>
      <c r="AB33" s="171">
        <f t="shared" si="48"/>
        <v>0</v>
      </c>
      <c r="AC33" s="171">
        <f t="shared" si="48"/>
        <v>0</v>
      </c>
      <c r="AD33" s="171">
        <f t="shared" si="48"/>
        <v>1</v>
      </c>
      <c r="AE33" s="171">
        <f t="shared" si="48"/>
        <v>0</v>
      </c>
      <c r="AF33" s="171">
        <f t="shared" si="48"/>
        <v>0</v>
      </c>
      <c r="AG33" s="171">
        <f t="shared" si="48"/>
        <v>1</v>
      </c>
      <c r="AH33" s="171">
        <f t="shared" si="48"/>
        <v>0</v>
      </c>
      <c r="AI33" s="171">
        <f t="shared" si="48"/>
        <v>0</v>
      </c>
      <c r="AJ33" s="171">
        <f t="shared" si="48"/>
        <v>1</v>
      </c>
      <c r="AK33" s="171">
        <f t="shared" si="48"/>
        <v>0</v>
      </c>
      <c r="AL33" s="171">
        <f t="shared" si="48"/>
        <v>0</v>
      </c>
      <c r="AM33" s="171">
        <f t="shared" si="48"/>
        <v>1</v>
      </c>
      <c r="AN33" s="171">
        <f t="shared" si="48"/>
        <v>0</v>
      </c>
      <c r="AO33" s="171">
        <f t="shared" si="48"/>
        <v>0</v>
      </c>
      <c r="AP33" s="171">
        <f t="shared" si="48"/>
        <v>1</v>
      </c>
      <c r="AQ33" s="171">
        <f t="shared" si="48"/>
        <v>0</v>
      </c>
      <c r="AR33" s="171">
        <f t="shared" si="48"/>
        <v>0</v>
      </c>
      <c r="AS33" s="171">
        <f t="shared" si="48"/>
        <v>1</v>
      </c>
      <c r="AT33" s="171">
        <f t="shared" si="48"/>
        <v>0</v>
      </c>
      <c r="AU33" s="171">
        <f t="shared" si="48"/>
        <v>0</v>
      </c>
      <c r="AV33" s="171">
        <f t="shared" si="48"/>
        <v>1</v>
      </c>
      <c r="AW33" s="171">
        <f t="shared" si="48"/>
        <v>0</v>
      </c>
      <c r="AX33" s="171">
        <f t="shared" si="48"/>
        <v>0</v>
      </c>
      <c r="AY33" s="171">
        <f t="shared" si="48"/>
        <v>1</v>
      </c>
      <c r="AZ33" s="171">
        <f t="shared" si="48"/>
        <v>0</v>
      </c>
      <c r="BA33" s="171">
        <f t="shared" si="48"/>
        <v>0</v>
      </c>
      <c r="BB33" s="171">
        <f t="shared" si="48"/>
        <v>1</v>
      </c>
      <c r="BC33" s="171">
        <f t="shared" si="48"/>
        <v>0</v>
      </c>
      <c r="BD33" s="171">
        <f t="shared" si="48"/>
        <v>0</v>
      </c>
      <c r="BE33" s="171">
        <f t="shared" si="48"/>
        <v>1</v>
      </c>
      <c r="BF33" s="171">
        <f t="shared" si="48"/>
        <v>0</v>
      </c>
      <c r="BG33" s="171">
        <f t="shared" si="48"/>
        <v>0</v>
      </c>
      <c r="BH33" s="171">
        <f t="shared" si="48"/>
        <v>1</v>
      </c>
      <c r="BI33" s="171">
        <f t="shared" si="48"/>
        <v>0</v>
      </c>
      <c r="BJ33" s="171">
        <f t="shared" si="48"/>
        <v>0</v>
      </c>
      <c r="BK33" s="171">
        <f t="shared" si="48"/>
        <v>1</v>
      </c>
      <c r="BL33" s="171">
        <f t="shared" si="48"/>
        <v>0</v>
      </c>
      <c r="BM33" s="171">
        <f t="shared" si="48"/>
        <v>0</v>
      </c>
      <c r="BN33" s="171">
        <f t="shared" si="48"/>
        <v>1</v>
      </c>
      <c r="BO33" s="171">
        <f t="shared" si="48"/>
        <v>0</v>
      </c>
      <c r="BP33" s="171">
        <f t="shared" si="48"/>
        <v>0</v>
      </c>
      <c r="BQ33" s="171">
        <f t="shared" si="48"/>
        <v>1</v>
      </c>
      <c r="BR33" s="171">
        <f t="shared" si="48"/>
        <v>0</v>
      </c>
      <c r="BS33" s="171">
        <f t="shared" si="48"/>
        <v>0</v>
      </c>
      <c r="BT33" s="171">
        <f t="shared" si="48"/>
        <v>1</v>
      </c>
      <c r="BU33" s="171">
        <f t="shared" si="48"/>
        <v>0</v>
      </c>
      <c r="BV33" s="171">
        <f t="shared" si="48"/>
        <v>0</v>
      </c>
      <c r="BW33" s="171">
        <f t="shared" si="48"/>
        <v>0</v>
      </c>
      <c r="BX33" s="171">
        <f t="shared" si="48"/>
        <v>0</v>
      </c>
      <c r="BY33" s="171">
        <f t="shared" ref="BY33:DU33" si="49">(MOD(BY32,$I33)=0)*(BY$14&lt;$I30)*(BY$14&gt;$I29)+(BY$14=$I30)*1</f>
        <v>0</v>
      </c>
      <c r="BZ33" s="171">
        <f t="shared" si="49"/>
        <v>0</v>
      </c>
      <c r="CA33" s="171">
        <f t="shared" si="49"/>
        <v>0</v>
      </c>
      <c r="CB33" s="171">
        <f t="shared" si="49"/>
        <v>0</v>
      </c>
      <c r="CC33" s="171">
        <f t="shared" si="49"/>
        <v>0</v>
      </c>
      <c r="CD33" s="171">
        <f t="shared" si="49"/>
        <v>0</v>
      </c>
      <c r="CE33" s="171">
        <f t="shared" si="49"/>
        <v>0</v>
      </c>
      <c r="CF33" s="171">
        <f t="shared" si="49"/>
        <v>0</v>
      </c>
      <c r="CG33" s="171">
        <f t="shared" si="49"/>
        <v>0</v>
      </c>
      <c r="CH33" s="171">
        <f t="shared" si="49"/>
        <v>0</v>
      </c>
      <c r="CI33" s="171">
        <f t="shared" si="49"/>
        <v>0</v>
      </c>
      <c r="CJ33" s="171">
        <f t="shared" si="49"/>
        <v>0</v>
      </c>
      <c r="CK33" s="171">
        <f t="shared" si="49"/>
        <v>0</v>
      </c>
      <c r="CL33" s="171">
        <f t="shared" si="49"/>
        <v>0</v>
      </c>
      <c r="CM33" s="171">
        <f t="shared" si="49"/>
        <v>0</v>
      </c>
      <c r="CN33" s="171">
        <f t="shared" si="49"/>
        <v>0</v>
      </c>
      <c r="CO33" s="171">
        <f t="shared" si="49"/>
        <v>0</v>
      </c>
      <c r="CP33" s="171">
        <f t="shared" si="49"/>
        <v>0</v>
      </c>
      <c r="CQ33" s="171">
        <f t="shared" si="49"/>
        <v>0</v>
      </c>
      <c r="CR33" s="171">
        <f t="shared" si="49"/>
        <v>0</v>
      </c>
      <c r="CS33" s="171">
        <f t="shared" si="49"/>
        <v>0</v>
      </c>
      <c r="CT33" s="171">
        <f t="shared" si="49"/>
        <v>0</v>
      </c>
      <c r="CU33" s="171">
        <f t="shared" si="49"/>
        <v>0</v>
      </c>
      <c r="CV33" s="171">
        <f t="shared" si="49"/>
        <v>0</v>
      </c>
      <c r="CW33" s="171">
        <f t="shared" si="49"/>
        <v>0</v>
      </c>
      <c r="CX33" s="171">
        <f t="shared" si="49"/>
        <v>0</v>
      </c>
      <c r="CY33" s="171">
        <f t="shared" si="49"/>
        <v>0</v>
      </c>
      <c r="CZ33" s="171">
        <f t="shared" si="49"/>
        <v>0</v>
      </c>
      <c r="DA33" s="171">
        <f t="shared" si="49"/>
        <v>0</v>
      </c>
      <c r="DB33" s="171">
        <f t="shared" si="49"/>
        <v>0</v>
      </c>
      <c r="DC33" s="171">
        <f t="shared" si="49"/>
        <v>0</v>
      </c>
      <c r="DD33" s="171">
        <f t="shared" si="49"/>
        <v>0</v>
      </c>
      <c r="DE33" s="171">
        <f t="shared" si="49"/>
        <v>0</v>
      </c>
      <c r="DF33" s="171">
        <f t="shared" si="49"/>
        <v>0</v>
      </c>
      <c r="DG33" s="171">
        <f t="shared" si="49"/>
        <v>0</v>
      </c>
      <c r="DH33" s="171">
        <f t="shared" si="49"/>
        <v>0</v>
      </c>
      <c r="DI33" s="171">
        <f t="shared" si="49"/>
        <v>0</v>
      </c>
      <c r="DJ33" s="171">
        <f t="shared" si="49"/>
        <v>0</v>
      </c>
      <c r="DK33" s="171">
        <f t="shared" si="49"/>
        <v>0</v>
      </c>
      <c r="DL33" s="171">
        <f t="shared" si="49"/>
        <v>0</v>
      </c>
      <c r="DM33" s="171">
        <f t="shared" si="49"/>
        <v>0</v>
      </c>
      <c r="DN33" s="171">
        <f t="shared" si="49"/>
        <v>0</v>
      </c>
      <c r="DO33" s="171">
        <f t="shared" si="49"/>
        <v>0</v>
      </c>
      <c r="DP33" s="171">
        <f t="shared" si="49"/>
        <v>0</v>
      </c>
      <c r="DQ33" s="171">
        <f t="shared" si="49"/>
        <v>0</v>
      </c>
      <c r="DR33" s="171">
        <f t="shared" si="49"/>
        <v>0</v>
      </c>
      <c r="DS33" s="171">
        <f t="shared" si="49"/>
        <v>0</v>
      </c>
      <c r="DT33" s="171">
        <f t="shared" si="49"/>
        <v>0</v>
      </c>
      <c r="DU33" s="171">
        <f t="shared" si="49"/>
        <v>0</v>
      </c>
      <c r="DV33" s="171">
        <f t="shared" ref="DV33:EA33" si="50">(MOD(DV32,$I33)=0)*(DV$14&lt;$I30)*(DV$14&gt;$I29)+(DV$14=$I30)*1</f>
        <v>0</v>
      </c>
      <c r="DW33" s="171">
        <f t="shared" si="50"/>
        <v>0</v>
      </c>
      <c r="DX33" s="171">
        <f t="shared" si="50"/>
        <v>0</v>
      </c>
      <c r="DY33" s="171">
        <f t="shared" si="50"/>
        <v>0</v>
      </c>
      <c r="DZ33" s="171">
        <f t="shared" si="50"/>
        <v>0</v>
      </c>
      <c r="EA33" s="171">
        <f t="shared" si="50"/>
        <v>0</v>
      </c>
      <c r="EB33" s="171">
        <f>(MOD(EB32,$I33)=0)*(EB$14&lt;$I30)*(EB$14&gt;$I29)+(EB$14=$I30)*1</f>
        <v>0</v>
      </c>
      <c r="EC33" s="171">
        <f>(MOD(EC32,$I33)=0)*(EC$14&lt;$I30)*(EC$14&gt;$I29)+(EC$14=$I30)*1</f>
        <v>0</v>
      </c>
      <c r="ED33" s="171">
        <f>(MOD(ED32,$I33)=0)*(ED$14&lt;$I30)*(ED$14&gt;$I29)+(ED$14=$I30)*1</f>
        <v>0</v>
      </c>
      <c r="EE33" s="171">
        <f>(MOD(EE32,$I33)=0)*(EE$14&lt;$I30)*(EE$14&gt;$I29)+(EE$14=$I30)*1</f>
        <v>0</v>
      </c>
      <c r="EF33" s="171">
        <f t="shared" ref="EF33:EP33" si="51">(MOD(EF32,$I33)=0)*(EF$14&lt;$I30)*(EF$14&gt;$I29)+(EF$14=$I30)*1</f>
        <v>0</v>
      </c>
      <c r="EG33" s="171">
        <f t="shared" si="51"/>
        <v>0</v>
      </c>
      <c r="EH33" s="171">
        <f t="shared" si="51"/>
        <v>0</v>
      </c>
      <c r="EI33" s="171">
        <f t="shared" si="51"/>
        <v>0</v>
      </c>
      <c r="EJ33" s="171">
        <f t="shared" si="51"/>
        <v>0</v>
      </c>
      <c r="EK33" s="171">
        <f t="shared" si="51"/>
        <v>0</v>
      </c>
      <c r="EL33" s="171">
        <f t="shared" si="51"/>
        <v>0</v>
      </c>
      <c r="EM33" s="171">
        <f t="shared" si="51"/>
        <v>0</v>
      </c>
      <c r="EN33" s="171">
        <f t="shared" si="51"/>
        <v>0</v>
      </c>
      <c r="EO33" s="171">
        <f t="shared" si="51"/>
        <v>0</v>
      </c>
      <c r="EP33" s="171">
        <f t="shared" si="51"/>
        <v>0</v>
      </c>
      <c r="EQ33" s="171">
        <f>(MOD(EQ32,$I33)=0)*(EQ$14&lt;$I30)*(EQ$14&gt;$I29)+(EQ$14=$I30)*1</f>
        <v>0</v>
      </c>
    </row>
    <row r="34" spans="3:147" ht="11.25" customHeight="1">
      <c r="C34" s="158" t="s">
        <v>452</v>
      </c>
      <c r="D34" s="159"/>
      <c r="E34" s="159"/>
      <c r="F34" s="159"/>
      <c r="G34" s="159"/>
      <c r="H34" s="159"/>
      <c r="I34" s="160"/>
      <c r="J34" s="161"/>
      <c r="K34" s="98"/>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162"/>
      <c r="AJ34" s="162"/>
      <c r="AK34" s="162"/>
      <c r="AL34" s="162"/>
      <c r="AM34" s="162"/>
      <c r="AN34" s="162"/>
      <c r="AO34" s="162"/>
      <c r="AP34" s="162"/>
      <c r="AQ34" s="162"/>
      <c r="AR34" s="162"/>
      <c r="AS34" s="162"/>
      <c r="AT34" s="162"/>
      <c r="AU34" s="162"/>
      <c r="AV34" s="162"/>
      <c r="AW34" s="162"/>
      <c r="AX34" s="162"/>
      <c r="AY34" s="162"/>
      <c r="AZ34" s="162"/>
      <c r="BA34" s="162"/>
      <c r="BB34" s="162"/>
      <c r="BC34" s="162"/>
      <c r="BD34" s="162"/>
      <c r="BE34" s="162"/>
      <c r="BF34" s="162"/>
      <c r="BG34" s="162"/>
      <c r="BH34" s="162"/>
      <c r="BI34" s="162"/>
      <c r="BJ34" s="162"/>
      <c r="BK34" s="162"/>
      <c r="BL34" s="162"/>
      <c r="BM34" s="162"/>
      <c r="BN34" s="162"/>
      <c r="BO34" s="162"/>
      <c r="BP34" s="162"/>
      <c r="BQ34" s="162"/>
      <c r="BR34" s="162"/>
      <c r="BS34" s="162"/>
      <c r="BT34" s="162"/>
      <c r="BU34" s="162"/>
      <c r="BV34" s="162"/>
      <c r="BW34" s="162"/>
      <c r="BX34" s="162"/>
      <c r="BY34" s="162"/>
      <c r="BZ34" s="162"/>
      <c r="CA34" s="162"/>
      <c r="CB34" s="162"/>
      <c r="CC34" s="162"/>
      <c r="CD34" s="162"/>
      <c r="CE34" s="162"/>
      <c r="CF34" s="162"/>
      <c r="CG34" s="162"/>
      <c r="CH34" s="162"/>
      <c r="CI34" s="162"/>
      <c r="CJ34" s="162"/>
      <c r="CK34" s="162"/>
      <c r="CL34" s="162"/>
      <c r="CM34" s="162"/>
      <c r="CN34" s="162"/>
      <c r="CO34" s="162"/>
      <c r="CP34" s="162"/>
      <c r="CQ34" s="162"/>
      <c r="CR34" s="162"/>
      <c r="CS34" s="162"/>
      <c r="CT34" s="162"/>
      <c r="CU34" s="162"/>
      <c r="CV34" s="162"/>
      <c r="CW34" s="162"/>
      <c r="CX34" s="162"/>
      <c r="CY34" s="162"/>
      <c r="CZ34" s="162"/>
      <c r="DA34" s="162"/>
      <c r="DB34" s="162"/>
      <c r="DC34" s="162"/>
      <c r="DD34" s="162"/>
      <c r="DE34" s="162"/>
      <c r="DF34" s="162"/>
      <c r="DG34" s="162"/>
      <c r="DH34" s="162"/>
      <c r="DI34" s="162"/>
      <c r="DJ34" s="162"/>
      <c r="DK34" s="162"/>
      <c r="DL34" s="162"/>
      <c r="DM34" s="162"/>
      <c r="DN34" s="162"/>
      <c r="DO34" s="162"/>
      <c r="DP34" s="162"/>
      <c r="DQ34" s="162"/>
      <c r="DR34" s="162"/>
      <c r="DS34" s="162"/>
      <c r="DT34" s="162"/>
      <c r="DU34" s="162"/>
      <c r="DV34" s="162"/>
      <c r="DW34" s="162"/>
      <c r="DX34" s="162"/>
      <c r="DY34" s="162"/>
      <c r="DZ34" s="162"/>
      <c r="EA34" s="162"/>
      <c r="EB34" s="162"/>
      <c r="EC34" s="162"/>
      <c r="ED34" s="162"/>
      <c r="EE34" s="162"/>
      <c r="EF34" s="162"/>
      <c r="EG34" s="162"/>
      <c r="EH34" s="162"/>
      <c r="EI34" s="162"/>
      <c r="EJ34" s="162"/>
      <c r="EK34" s="162"/>
      <c r="EL34" s="162"/>
      <c r="EM34" s="162"/>
      <c r="EN34" s="162"/>
      <c r="EO34" s="162"/>
      <c r="EP34" s="162"/>
      <c r="EQ34" s="162"/>
    </row>
    <row r="35" spans="3:147" ht="11.25" customHeight="1">
      <c r="C35" s="163"/>
      <c r="D35" s="164" t="s">
        <v>13</v>
      </c>
      <c r="E35" s="165"/>
      <c r="F35" s="165"/>
      <c r="G35" s="165"/>
      <c r="H35" s="165"/>
      <c r="I35" s="166">
        <f>'A&amp;R'!M38</f>
        <v>46326</v>
      </c>
      <c r="J35" s="167">
        <f>SUM(L35:EQ35)</f>
        <v>1</v>
      </c>
      <c r="K35" s="98"/>
      <c r="L35" s="168">
        <f t="shared" ref="L35:AA36" si="52">(L$14=$I35)*1</f>
        <v>1</v>
      </c>
      <c r="M35" s="168">
        <f t="shared" si="52"/>
        <v>0</v>
      </c>
      <c r="N35" s="168">
        <f t="shared" si="52"/>
        <v>0</v>
      </c>
      <c r="O35" s="168">
        <f t="shared" si="52"/>
        <v>0</v>
      </c>
      <c r="P35" s="168">
        <f t="shared" si="52"/>
        <v>0</v>
      </c>
      <c r="Q35" s="168">
        <f t="shared" si="52"/>
        <v>0</v>
      </c>
      <c r="R35" s="168">
        <f t="shared" si="52"/>
        <v>0</v>
      </c>
      <c r="S35" s="168">
        <f t="shared" si="52"/>
        <v>0</v>
      </c>
      <c r="T35" s="168">
        <f t="shared" si="52"/>
        <v>0</v>
      </c>
      <c r="U35" s="168">
        <f t="shared" si="52"/>
        <v>0</v>
      </c>
      <c r="V35" s="168">
        <f t="shared" si="52"/>
        <v>0</v>
      </c>
      <c r="W35" s="168">
        <f t="shared" si="52"/>
        <v>0</v>
      </c>
      <c r="X35" s="168">
        <f t="shared" si="52"/>
        <v>0</v>
      </c>
      <c r="Y35" s="168">
        <f t="shared" si="52"/>
        <v>0</v>
      </c>
      <c r="Z35" s="168">
        <f t="shared" si="52"/>
        <v>0</v>
      </c>
      <c r="AA35" s="168">
        <f t="shared" si="52"/>
        <v>0</v>
      </c>
      <c r="AB35" s="168">
        <f t="shared" ref="AB35:CM36" si="53">(AB$14=$I35)*1</f>
        <v>0</v>
      </c>
      <c r="AC35" s="168">
        <f t="shared" si="53"/>
        <v>0</v>
      </c>
      <c r="AD35" s="168">
        <f t="shared" si="53"/>
        <v>0</v>
      </c>
      <c r="AE35" s="168">
        <f t="shared" si="53"/>
        <v>0</v>
      </c>
      <c r="AF35" s="168">
        <f t="shared" si="53"/>
        <v>0</v>
      </c>
      <c r="AG35" s="168">
        <f t="shared" si="53"/>
        <v>0</v>
      </c>
      <c r="AH35" s="168">
        <f t="shared" si="53"/>
        <v>0</v>
      </c>
      <c r="AI35" s="168">
        <f t="shared" si="53"/>
        <v>0</v>
      </c>
      <c r="AJ35" s="168">
        <f t="shared" si="53"/>
        <v>0</v>
      </c>
      <c r="AK35" s="168">
        <f t="shared" si="53"/>
        <v>0</v>
      </c>
      <c r="AL35" s="168">
        <f t="shared" si="53"/>
        <v>0</v>
      </c>
      <c r="AM35" s="168">
        <f t="shared" si="53"/>
        <v>0</v>
      </c>
      <c r="AN35" s="168">
        <f t="shared" si="53"/>
        <v>0</v>
      </c>
      <c r="AO35" s="168">
        <f t="shared" si="53"/>
        <v>0</v>
      </c>
      <c r="AP35" s="168">
        <f t="shared" si="53"/>
        <v>0</v>
      </c>
      <c r="AQ35" s="168">
        <f t="shared" si="53"/>
        <v>0</v>
      </c>
      <c r="AR35" s="168">
        <f t="shared" si="53"/>
        <v>0</v>
      </c>
      <c r="AS35" s="168">
        <f t="shared" si="53"/>
        <v>0</v>
      </c>
      <c r="AT35" s="168">
        <f t="shared" si="53"/>
        <v>0</v>
      </c>
      <c r="AU35" s="168">
        <f t="shared" si="53"/>
        <v>0</v>
      </c>
      <c r="AV35" s="168">
        <f t="shared" si="53"/>
        <v>0</v>
      </c>
      <c r="AW35" s="168">
        <f t="shared" si="53"/>
        <v>0</v>
      </c>
      <c r="AX35" s="168">
        <f t="shared" si="53"/>
        <v>0</v>
      </c>
      <c r="AY35" s="168">
        <f t="shared" si="53"/>
        <v>0</v>
      </c>
      <c r="AZ35" s="168">
        <f t="shared" si="53"/>
        <v>0</v>
      </c>
      <c r="BA35" s="168">
        <f t="shared" si="53"/>
        <v>0</v>
      </c>
      <c r="BB35" s="168">
        <f t="shared" si="53"/>
        <v>0</v>
      </c>
      <c r="BC35" s="168">
        <f t="shared" si="53"/>
        <v>0</v>
      </c>
      <c r="BD35" s="168">
        <f t="shared" si="53"/>
        <v>0</v>
      </c>
      <c r="BE35" s="168">
        <f t="shared" si="53"/>
        <v>0</v>
      </c>
      <c r="BF35" s="168">
        <f t="shared" si="53"/>
        <v>0</v>
      </c>
      <c r="BG35" s="168">
        <f t="shared" si="53"/>
        <v>0</v>
      </c>
      <c r="BH35" s="168">
        <f t="shared" si="53"/>
        <v>0</v>
      </c>
      <c r="BI35" s="168">
        <f t="shared" si="53"/>
        <v>0</v>
      </c>
      <c r="BJ35" s="168">
        <f t="shared" si="53"/>
        <v>0</v>
      </c>
      <c r="BK35" s="168">
        <f t="shared" si="53"/>
        <v>0</v>
      </c>
      <c r="BL35" s="168">
        <f t="shared" si="53"/>
        <v>0</v>
      </c>
      <c r="BM35" s="168">
        <f t="shared" si="53"/>
        <v>0</v>
      </c>
      <c r="BN35" s="168">
        <f t="shared" si="53"/>
        <v>0</v>
      </c>
      <c r="BO35" s="168">
        <f t="shared" si="53"/>
        <v>0</v>
      </c>
      <c r="BP35" s="168">
        <f t="shared" si="53"/>
        <v>0</v>
      </c>
      <c r="BQ35" s="168">
        <f t="shared" si="53"/>
        <v>0</v>
      </c>
      <c r="BR35" s="168">
        <f t="shared" si="53"/>
        <v>0</v>
      </c>
      <c r="BS35" s="168">
        <f t="shared" si="53"/>
        <v>0</v>
      </c>
      <c r="BT35" s="168">
        <f t="shared" si="53"/>
        <v>0</v>
      </c>
      <c r="BU35" s="168">
        <f t="shared" si="53"/>
        <v>0</v>
      </c>
      <c r="BV35" s="168">
        <f t="shared" si="53"/>
        <v>0</v>
      </c>
      <c r="BW35" s="168">
        <f t="shared" si="53"/>
        <v>0</v>
      </c>
      <c r="BX35" s="168">
        <f t="shared" si="53"/>
        <v>0</v>
      </c>
      <c r="BY35" s="168">
        <f t="shared" si="53"/>
        <v>0</v>
      </c>
      <c r="BZ35" s="168">
        <f t="shared" si="53"/>
        <v>0</v>
      </c>
      <c r="CA35" s="168">
        <f t="shared" si="53"/>
        <v>0</v>
      </c>
      <c r="CB35" s="168">
        <f t="shared" si="53"/>
        <v>0</v>
      </c>
      <c r="CC35" s="168">
        <f t="shared" si="53"/>
        <v>0</v>
      </c>
      <c r="CD35" s="168">
        <f t="shared" si="53"/>
        <v>0</v>
      </c>
      <c r="CE35" s="168">
        <f t="shared" si="53"/>
        <v>0</v>
      </c>
      <c r="CF35" s="168">
        <f t="shared" si="53"/>
        <v>0</v>
      </c>
      <c r="CG35" s="168">
        <f t="shared" si="53"/>
        <v>0</v>
      </c>
      <c r="CH35" s="168">
        <f t="shared" si="53"/>
        <v>0</v>
      </c>
      <c r="CI35" s="168">
        <f t="shared" si="53"/>
        <v>0</v>
      </c>
      <c r="CJ35" s="168">
        <f t="shared" si="53"/>
        <v>0</v>
      </c>
      <c r="CK35" s="168">
        <f t="shared" si="53"/>
        <v>0</v>
      </c>
      <c r="CL35" s="168">
        <f t="shared" si="53"/>
        <v>0</v>
      </c>
      <c r="CM35" s="168">
        <f t="shared" si="53"/>
        <v>0</v>
      </c>
      <c r="CN35" s="168">
        <f t="shared" ref="CN35:EQ36" si="54">(CN$14=$I35)*1</f>
        <v>0</v>
      </c>
      <c r="CO35" s="168">
        <f t="shared" si="54"/>
        <v>0</v>
      </c>
      <c r="CP35" s="168">
        <f t="shared" si="54"/>
        <v>0</v>
      </c>
      <c r="CQ35" s="168">
        <f t="shared" si="54"/>
        <v>0</v>
      </c>
      <c r="CR35" s="168">
        <f t="shared" si="54"/>
        <v>0</v>
      </c>
      <c r="CS35" s="168">
        <f t="shared" si="54"/>
        <v>0</v>
      </c>
      <c r="CT35" s="168">
        <f t="shared" si="54"/>
        <v>0</v>
      </c>
      <c r="CU35" s="168">
        <f t="shared" si="54"/>
        <v>0</v>
      </c>
      <c r="CV35" s="168">
        <f t="shared" si="54"/>
        <v>0</v>
      </c>
      <c r="CW35" s="168">
        <f t="shared" si="54"/>
        <v>0</v>
      </c>
      <c r="CX35" s="168">
        <f t="shared" si="54"/>
        <v>0</v>
      </c>
      <c r="CY35" s="168">
        <f t="shared" si="54"/>
        <v>0</v>
      </c>
      <c r="CZ35" s="168">
        <f t="shared" si="54"/>
        <v>0</v>
      </c>
      <c r="DA35" s="168">
        <f t="shared" si="54"/>
        <v>0</v>
      </c>
      <c r="DB35" s="168">
        <f t="shared" si="54"/>
        <v>0</v>
      </c>
      <c r="DC35" s="168">
        <f t="shared" si="54"/>
        <v>0</v>
      </c>
      <c r="DD35" s="168">
        <f t="shared" si="54"/>
        <v>0</v>
      </c>
      <c r="DE35" s="168">
        <f t="shared" si="54"/>
        <v>0</v>
      </c>
      <c r="DF35" s="168">
        <f t="shared" si="54"/>
        <v>0</v>
      </c>
      <c r="DG35" s="168">
        <f t="shared" si="54"/>
        <v>0</v>
      </c>
      <c r="DH35" s="168">
        <f t="shared" si="54"/>
        <v>0</v>
      </c>
      <c r="DI35" s="168">
        <f t="shared" si="54"/>
        <v>0</v>
      </c>
      <c r="DJ35" s="168">
        <f t="shared" si="54"/>
        <v>0</v>
      </c>
      <c r="DK35" s="168">
        <f t="shared" si="54"/>
        <v>0</v>
      </c>
      <c r="DL35" s="168">
        <f t="shared" si="54"/>
        <v>0</v>
      </c>
      <c r="DM35" s="168">
        <f t="shared" si="54"/>
        <v>0</v>
      </c>
      <c r="DN35" s="168">
        <f t="shared" si="54"/>
        <v>0</v>
      </c>
      <c r="DO35" s="168">
        <f t="shared" si="54"/>
        <v>0</v>
      </c>
      <c r="DP35" s="168">
        <f t="shared" si="54"/>
        <v>0</v>
      </c>
      <c r="DQ35" s="168">
        <f t="shared" si="54"/>
        <v>0</v>
      </c>
      <c r="DR35" s="168">
        <f t="shared" si="54"/>
        <v>0</v>
      </c>
      <c r="DS35" s="168">
        <f t="shared" si="54"/>
        <v>0</v>
      </c>
      <c r="DT35" s="168">
        <f t="shared" si="54"/>
        <v>0</v>
      </c>
      <c r="DU35" s="168">
        <f t="shared" si="54"/>
        <v>0</v>
      </c>
      <c r="DV35" s="168">
        <f t="shared" si="54"/>
        <v>0</v>
      </c>
      <c r="DW35" s="168">
        <f t="shared" si="54"/>
        <v>0</v>
      </c>
      <c r="DX35" s="168">
        <f t="shared" si="54"/>
        <v>0</v>
      </c>
      <c r="DY35" s="168">
        <f t="shared" si="54"/>
        <v>0</v>
      </c>
      <c r="DZ35" s="168">
        <f t="shared" si="54"/>
        <v>0</v>
      </c>
      <c r="EA35" s="168">
        <f t="shared" si="54"/>
        <v>0</v>
      </c>
      <c r="EB35" s="168">
        <f t="shared" si="54"/>
        <v>0</v>
      </c>
      <c r="EC35" s="168">
        <f t="shared" si="54"/>
        <v>0</v>
      </c>
      <c r="ED35" s="168">
        <f t="shared" si="54"/>
        <v>0</v>
      </c>
      <c r="EE35" s="168">
        <f t="shared" si="54"/>
        <v>0</v>
      </c>
      <c r="EF35" s="168">
        <f t="shared" si="54"/>
        <v>0</v>
      </c>
      <c r="EG35" s="168">
        <f t="shared" si="54"/>
        <v>0</v>
      </c>
      <c r="EH35" s="168">
        <f t="shared" si="54"/>
        <v>0</v>
      </c>
      <c r="EI35" s="168">
        <f t="shared" si="54"/>
        <v>0</v>
      </c>
      <c r="EJ35" s="168">
        <f t="shared" si="54"/>
        <v>0</v>
      </c>
      <c r="EK35" s="168">
        <f t="shared" si="54"/>
        <v>0</v>
      </c>
      <c r="EL35" s="168">
        <f t="shared" si="54"/>
        <v>0</v>
      </c>
      <c r="EM35" s="168">
        <f t="shared" si="54"/>
        <v>0</v>
      </c>
      <c r="EN35" s="168">
        <f t="shared" si="54"/>
        <v>0</v>
      </c>
      <c r="EO35" s="168">
        <f t="shared" si="54"/>
        <v>0</v>
      </c>
      <c r="EP35" s="168">
        <f t="shared" si="54"/>
        <v>0</v>
      </c>
      <c r="EQ35" s="168">
        <f t="shared" si="54"/>
        <v>0</v>
      </c>
    </row>
    <row r="36" spans="3:147" ht="11.25" customHeight="1">
      <c r="C36" s="163"/>
      <c r="D36" s="169" t="s">
        <v>14</v>
      </c>
      <c r="I36" s="146">
        <f>'A&amp;R'!N38</f>
        <v>46418</v>
      </c>
      <c r="J36" s="170">
        <f>SUM(L36:EQ36)</f>
        <v>1</v>
      </c>
      <c r="K36" s="98"/>
      <c r="L36" s="171">
        <f t="shared" si="52"/>
        <v>0</v>
      </c>
      <c r="M36" s="171">
        <f t="shared" si="52"/>
        <v>0</v>
      </c>
      <c r="N36" s="171">
        <f t="shared" si="52"/>
        <v>0</v>
      </c>
      <c r="O36" s="171">
        <f t="shared" si="52"/>
        <v>1</v>
      </c>
      <c r="P36" s="171">
        <f t="shared" si="52"/>
        <v>0</v>
      </c>
      <c r="Q36" s="171">
        <f t="shared" si="52"/>
        <v>0</v>
      </c>
      <c r="R36" s="171">
        <f t="shared" si="52"/>
        <v>0</v>
      </c>
      <c r="S36" s="171">
        <f t="shared" si="52"/>
        <v>0</v>
      </c>
      <c r="T36" s="171">
        <f t="shared" si="52"/>
        <v>0</v>
      </c>
      <c r="U36" s="171">
        <f t="shared" si="52"/>
        <v>0</v>
      </c>
      <c r="V36" s="171">
        <f t="shared" si="52"/>
        <v>0</v>
      </c>
      <c r="W36" s="171">
        <f t="shared" si="52"/>
        <v>0</v>
      </c>
      <c r="X36" s="171">
        <f t="shared" si="52"/>
        <v>0</v>
      </c>
      <c r="Y36" s="171">
        <f t="shared" si="52"/>
        <v>0</v>
      </c>
      <c r="Z36" s="171">
        <f t="shared" si="52"/>
        <v>0</v>
      </c>
      <c r="AA36" s="171">
        <f t="shared" si="52"/>
        <v>0</v>
      </c>
      <c r="AB36" s="171">
        <f t="shared" si="53"/>
        <v>0</v>
      </c>
      <c r="AC36" s="171">
        <f t="shared" si="53"/>
        <v>0</v>
      </c>
      <c r="AD36" s="171">
        <f t="shared" si="53"/>
        <v>0</v>
      </c>
      <c r="AE36" s="171">
        <f t="shared" si="53"/>
        <v>0</v>
      </c>
      <c r="AF36" s="171">
        <f t="shared" si="53"/>
        <v>0</v>
      </c>
      <c r="AG36" s="171">
        <f t="shared" si="53"/>
        <v>0</v>
      </c>
      <c r="AH36" s="171">
        <f t="shared" si="53"/>
        <v>0</v>
      </c>
      <c r="AI36" s="171">
        <f t="shared" si="53"/>
        <v>0</v>
      </c>
      <c r="AJ36" s="171">
        <f t="shared" si="53"/>
        <v>0</v>
      </c>
      <c r="AK36" s="171">
        <f t="shared" si="53"/>
        <v>0</v>
      </c>
      <c r="AL36" s="171">
        <f t="shared" si="53"/>
        <v>0</v>
      </c>
      <c r="AM36" s="171">
        <f t="shared" si="53"/>
        <v>0</v>
      </c>
      <c r="AN36" s="171">
        <f t="shared" si="53"/>
        <v>0</v>
      </c>
      <c r="AO36" s="171">
        <f t="shared" si="53"/>
        <v>0</v>
      </c>
      <c r="AP36" s="171">
        <f t="shared" si="53"/>
        <v>0</v>
      </c>
      <c r="AQ36" s="171">
        <f t="shared" si="53"/>
        <v>0</v>
      </c>
      <c r="AR36" s="171">
        <f t="shared" si="53"/>
        <v>0</v>
      </c>
      <c r="AS36" s="171">
        <f t="shared" si="53"/>
        <v>0</v>
      </c>
      <c r="AT36" s="171">
        <f t="shared" si="53"/>
        <v>0</v>
      </c>
      <c r="AU36" s="171">
        <f t="shared" si="53"/>
        <v>0</v>
      </c>
      <c r="AV36" s="171">
        <f t="shared" si="53"/>
        <v>0</v>
      </c>
      <c r="AW36" s="171">
        <f t="shared" si="53"/>
        <v>0</v>
      </c>
      <c r="AX36" s="171">
        <f t="shared" si="53"/>
        <v>0</v>
      </c>
      <c r="AY36" s="171">
        <f t="shared" si="53"/>
        <v>0</v>
      </c>
      <c r="AZ36" s="171">
        <f t="shared" si="53"/>
        <v>0</v>
      </c>
      <c r="BA36" s="171">
        <f t="shared" si="53"/>
        <v>0</v>
      </c>
      <c r="BB36" s="171">
        <f t="shared" si="53"/>
        <v>0</v>
      </c>
      <c r="BC36" s="171">
        <f t="shared" si="53"/>
        <v>0</v>
      </c>
      <c r="BD36" s="171">
        <f t="shared" si="53"/>
        <v>0</v>
      </c>
      <c r="BE36" s="171">
        <f t="shared" si="53"/>
        <v>0</v>
      </c>
      <c r="BF36" s="171">
        <f t="shared" si="53"/>
        <v>0</v>
      </c>
      <c r="BG36" s="171">
        <f t="shared" si="53"/>
        <v>0</v>
      </c>
      <c r="BH36" s="171">
        <f t="shared" si="53"/>
        <v>0</v>
      </c>
      <c r="BI36" s="171">
        <f t="shared" si="53"/>
        <v>0</v>
      </c>
      <c r="BJ36" s="171">
        <f t="shared" si="53"/>
        <v>0</v>
      </c>
      <c r="BK36" s="171">
        <f t="shared" si="53"/>
        <v>0</v>
      </c>
      <c r="BL36" s="171">
        <f t="shared" si="53"/>
        <v>0</v>
      </c>
      <c r="BM36" s="171">
        <f t="shared" si="53"/>
        <v>0</v>
      </c>
      <c r="BN36" s="171">
        <f t="shared" si="53"/>
        <v>0</v>
      </c>
      <c r="BO36" s="171">
        <f t="shared" si="53"/>
        <v>0</v>
      </c>
      <c r="BP36" s="171">
        <f t="shared" si="53"/>
        <v>0</v>
      </c>
      <c r="BQ36" s="171">
        <f t="shared" si="53"/>
        <v>0</v>
      </c>
      <c r="BR36" s="171">
        <f t="shared" si="53"/>
        <v>0</v>
      </c>
      <c r="BS36" s="171">
        <f t="shared" si="53"/>
        <v>0</v>
      </c>
      <c r="BT36" s="171">
        <f t="shared" si="53"/>
        <v>0</v>
      </c>
      <c r="BU36" s="171">
        <f t="shared" si="53"/>
        <v>0</v>
      </c>
      <c r="BV36" s="171">
        <f t="shared" si="53"/>
        <v>0</v>
      </c>
      <c r="BW36" s="171">
        <f t="shared" si="53"/>
        <v>0</v>
      </c>
      <c r="BX36" s="171">
        <f t="shared" si="53"/>
        <v>0</v>
      </c>
      <c r="BY36" s="171">
        <f t="shared" si="53"/>
        <v>0</v>
      </c>
      <c r="BZ36" s="171">
        <f t="shared" si="53"/>
        <v>0</v>
      </c>
      <c r="CA36" s="171">
        <f t="shared" si="53"/>
        <v>0</v>
      </c>
      <c r="CB36" s="171">
        <f t="shared" si="53"/>
        <v>0</v>
      </c>
      <c r="CC36" s="171">
        <f t="shared" si="53"/>
        <v>0</v>
      </c>
      <c r="CD36" s="171">
        <f t="shared" si="53"/>
        <v>0</v>
      </c>
      <c r="CE36" s="171">
        <f t="shared" si="53"/>
        <v>0</v>
      </c>
      <c r="CF36" s="171">
        <f t="shared" si="53"/>
        <v>0</v>
      </c>
      <c r="CG36" s="171">
        <f t="shared" si="53"/>
        <v>0</v>
      </c>
      <c r="CH36" s="171">
        <f t="shared" si="53"/>
        <v>0</v>
      </c>
      <c r="CI36" s="171">
        <f t="shared" si="53"/>
        <v>0</v>
      </c>
      <c r="CJ36" s="171">
        <f t="shared" si="53"/>
        <v>0</v>
      </c>
      <c r="CK36" s="171">
        <f t="shared" si="53"/>
        <v>0</v>
      </c>
      <c r="CL36" s="171">
        <f t="shared" si="53"/>
        <v>0</v>
      </c>
      <c r="CM36" s="171">
        <f t="shared" si="53"/>
        <v>0</v>
      </c>
      <c r="CN36" s="171">
        <f t="shared" si="54"/>
        <v>0</v>
      </c>
      <c r="CO36" s="171">
        <f t="shared" si="54"/>
        <v>0</v>
      </c>
      <c r="CP36" s="171">
        <f t="shared" si="54"/>
        <v>0</v>
      </c>
      <c r="CQ36" s="171">
        <f t="shared" si="54"/>
        <v>0</v>
      </c>
      <c r="CR36" s="171">
        <f t="shared" si="54"/>
        <v>0</v>
      </c>
      <c r="CS36" s="171">
        <f t="shared" si="54"/>
        <v>0</v>
      </c>
      <c r="CT36" s="171">
        <f t="shared" si="54"/>
        <v>0</v>
      </c>
      <c r="CU36" s="171">
        <f t="shared" si="54"/>
        <v>0</v>
      </c>
      <c r="CV36" s="171">
        <f t="shared" si="54"/>
        <v>0</v>
      </c>
      <c r="CW36" s="171">
        <f t="shared" si="54"/>
        <v>0</v>
      </c>
      <c r="CX36" s="171">
        <f t="shared" si="54"/>
        <v>0</v>
      </c>
      <c r="CY36" s="171">
        <f t="shared" si="54"/>
        <v>0</v>
      </c>
      <c r="CZ36" s="171">
        <f t="shared" si="54"/>
        <v>0</v>
      </c>
      <c r="DA36" s="171">
        <f t="shared" si="54"/>
        <v>0</v>
      </c>
      <c r="DB36" s="171">
        <f t="shared" si="54"/>
        <v>0</v>
      </c>
      <c r="DC36" s="171">
        <f t="shared" si="54"/>
        <v>0</v>
      </c>
      <c r="DD36" s="171">
        <f t="shared" si="54"/>
        <v>0</v>
      </c>
      <c r="DE36" s="171">
        <f t="shared" si="54"/>
        <v>0</v>
      </c>
      <c r="DF36" s="171">
        <f t="shared" si="54"/>
        <v>0</v>
      </c>
      <c r="DG36" s="171">
        <f t="shared" si="54"/>
        <v>0</v>
      </c>
      <c r="DH36" s="171">
        <f t="shared" si="54"/>
        <v>0</v>
      </c>
      <c r="DI36" s="171">
        <f t="shared" si="54"/>
        <v>0</v>
      </c>
      <c r="DJ36" s="171">
        <f t="shared" si="54"/>
        <v>0</v>
      </c>
      <c r="DK36" s="171">
        <f t="shared" si="54"/>
        <v>0</v>
      </c>
      <c r="DL36" s="171">
        <f t="shared" si="54"/>
        <v>0</v>
      </c>
      <c r="DM36" s="171">
        <f t="shared" si="54"/>
        <v>0</v>
      </c>
      <c r="DN36" s="171">
        <f t="shared" si="54"/>
        <v>0</v>
      </c>
      <c r="DO36" s="171">
        <f t="shared" si="54"/>
        <v>0</v>
      </c>
      <c r="DP36" s="171">
        <f t="shared" si="54"/>
        <v>0</v>
      </c>
      <c r="DQ36" s="171">
        <f t="shared" si="54"/>
        <v>0</v>
      </c>
      <c r="DR36" s="171">
        <f t="shared" si="54"/>
        <v>0</v>
      </c>
      <c r="DS36" s="171">
        <f t="shared" si="54"/>
        <v>0</v>
      </c>
      <c r="DT36" s="171">
        <f t="shared" si="54"/>
        <v>0</v>
      </c>
      <c r="DU36" s="171">
        <f t="shared" si="54"/>
        <v>0</v>
      </c>
      <c r="DV36" s="171">
        <f t="shared" si="54"/>
        <v>0</v>
      </c>
      <c r="DW36" s="171">
        <f t="shared" si="54"/>
        <v>0</v>
      </c>
      <c r="DX36" s="171">
        <f t="shared" si="54"/>
        <v>0</v>
      </c>
      <c r="DY36" s="171">
        <f t="shared" si="54"/>
        <v>0</v>
      </c>
      <c r="DZ36" s="171">
        <f t="shared" si="54"/>
        <v>0</v>
      </c>
      <c r="EA36" s="171">
        <f t="shared" si="54"/>
        <v>0</v>
      </c>
      <c r="EB36" s="171">
        <f t="shared" si="54"/>
        <v>0</v>
      </c>
      <c r="EC36" s="171">
        <f t="shared" si="54"/>
        <v>0</v>
      </c>
      <c r="ED36" s="171">
        <f t="shared" si="54"/>
        <v>0</v>
      </c>
      <c r="EE36" s="171">
        <f t="shared" si="54"/>
        <v>0</v>
      </c>
      <c r="EF36" s="171">
        <f t="shared" si="54"/>
        <v>0</v>
      </c>
      <c r="EG36" s="171">
        <f t="shared" si="54"/>
        <v>0</v>
      </c>
      <c r="EH36" s="171">
        <f t="shared" si="54"/>
        <v>0</v>
      </c>
      <c r="EI36" s="171">
        <f t="shared" si="54"/>
        <v>0</v>
      </c>
      <c r="EJ36" s="171">
        <f t="shared" si="54"/>
        <v>0</v>
      </c>
      <c r="EK36" s="171">
        <f t="shared" si="54"/>
        <v>0</v>
      </c>
      <c r="EL36" s="171">
        <f t="shared" si="54"/>
        <v>0</v>
      </c>
      <c r="EM36" s="171">
        <f t="shared" si="54"/>
        <v>0</v>
      </c>
      <c r="EN36" s="171">
        <f t="shared" si="54"/>
        <v>0</v>
      </c>
      <c r="EO36" s="171">
        <f t="shared" si="54"/>
        <v>0</v>
      </c>
      <c r="EP36" s="171">
        <f t="shared" si="54"/>
        <v>0</v>
      </c>
      <c r="EQ36" s="171">
        <f t="shared" si="54"/>
        <v>0</v>
      </c>
    </row>
    <row r="37" spans="3:147" ht="11.25" customHeight="1">
      <c r="C37" s="163"/>
      <c r="D37" s="169" t="s">
        <v>15</v>
      </c>
      <c r="H37" s="146">
        <f>I35</f>
        <v>46326</v>
      </c>
      <c r="I37" s="146">
        <f>I36</f>
        <v>46418</v>
      </c>
      <c r="J37" s="170">
        <f>SUM(L37:EQ37)</f>
        <v>3</v>
      </c>
      <c r="K37" s="98"/>
      <c r="L37" s="171">
        <f t="shared" ref="L37:BW37" si="55">(L$14&gt;$H37)*(L$14&lt;=$I37)*1</f>
        <v>0</v>
      </c>
      <c r="M37" s="171">
        <f t="shared" si="55"/>
        <v>1</v>
      </c>
      <c r="N37" s="171">
        <f t="shared" si="55"/>
        <v>1</v>
      </c>
      <c r="O37" s="171">
        <f t="shared" si="55"/>
        <v>1</v>
      </c>
      <c r="P37" s="171">
        <f t="shared" si="55"/>
        <v>0</v>
      </c>
      <c r="Q37" s="171">
        <f t="shared" si="55"/>
        <v>0</v>
      </c>
      <c r="R37" s="171">
        <f t="shared" si="55"/>
        <v>0</v>
      </c>
      <c r="S37" s="171">
        <f t="shared" si="55"/>
        <v>0</v>
      </c>
      <c r="T37" s="171">
        <f t="shared" si="55"/>
        <v>0</v>
      </c>
      <c r="U37" s="171">
        <f t="shared" si="55"/>
        <v>0</v>
      </c>
      <c r="V37" s="171">
        <f t="shared" si="55"/>
        <v>0</v>
      </c>
      <c r="W37" s="171">
        <f t="shared" si="55"/>
        <v>0</v>
      </c>
      <c r="X37" s="171">
        <f t="shared" si="55"/>
        <v>0</v>
      </c>
      <c r="Y37" s="171">
        <f t="shared" si="55"/>
        <v>0</v>
      </c>
      <c r="Z37" s="171">
        <f t="shared" si="55"/>
        <v>0</v>
      </c>
      <c r="AA37" s="171">
        <f t="shared" si="55"/>
        <v>0</v>
      </c>
      <c r="AB37" s="171">
        <f t="shared" si="55"/>
        <v>0</v>
      </c>
      <c r="AC37" s="171">
        <f t="shared" si="55"/>
        <v>0</v>
      </c>
      <c r="AD37" s="171">
        <f t="shared" si="55"/>
        <v>0</v>
      </c>
      <c r="AE37" s="171">
        <f t="shared" si="55"/>
        <v>0</v>
      </c>
      <c r="AF37" s="171">
        <f t="shared" si="55"/>
        <v>0</v>
      </c>
      <c r="AG37" s="171">
        <f t="shared" si="55"/>
        <v>0</v>
      </c>
      <c r="AH37" s="171">
        <f t="shared" si="55"/>
        <v>0</v>
      </c>
      <c r="AI37" s="171">
        <f t="shared" si="55"/>
        <v>0</v>
      </c>
      <c r="AJ37" s="171">
        <f t="shared" si="55"/>
        <v>0</v>
      </c>
      <c r="AK37" s="171">
        <f t="shared" si="55"/>
        <v>0</v>
      </c>
      <c r="AL37" s="171">
        <f t="shared" si="55"/>
        <v>0</v>
      </c>
      <c r="AM37" s="171">
        <f t="shared" si="55"/>
        <v>0</v>
      </c>
      <c r="AN37" s="171">
        <f t="shared" si="55"/>
        <v>0</v>
      </c>
      <c r="AO37" s="171">
        <f t="shared" si="55"/>
        <v>0</v>
      </c>
      <c r="AP37" s="171">
        <f t="shared" si="55"/>
        <v>0</v>
      </c>
      <c r="AQ37" s="171">
        <f t="shared" si="55"/>
        <v>0</v>
      </c>
      <c r="AR37" s="171">
        <f t="shared" si="55"/>
        <v>0</v>
      </c>
      <c r="AS37" s="171">
        <f t="shared" si="55"/>
        <v>0</v>
      </c>
      <c r="AT37" s="171">
        <f t="shared" si="55"/>
        <v>0</v>
      </c>
      <c r="AU37" s="171">
        <f t="shared" si="55"/>
        <v>0</v>
      </c>
      <c r="AV37" s="171">
        <f t="shared" si="55"/>
        <v>0</v>
      </c>
      <c r="AW37" s="171">
        <f t="shared" si="55"/>
        <v>0</v>
      </c>
      <c r="AX37" s="171">
        <f t="shared" si="55"/>
        <v>0</v>
      </c>
      <c r="AY37" s="171">
        <f t="shared" si="55"/>
        <v>0</v>
      </c>
      <c r="AZ37" s="171">
        <f t="shared" si="55"/>
        <v>0</v>
      </c>
      <c r="BA37" s="171">
        <f t="shared" si="55"/>
        <v>0</v>
      </c>
      <c r="BB37" s="171">
        <f t="shared" si="55"/>
        <v>0</v>
      </c>
      <c r="BC37" s="171">
        <f t="shared" si="55"/>
        <v>0</v>
      </c>
      <c r="BD37" s="171">
        <f t="shared" si="55"/>
        <v>0</v>
      </c>
      <c r="BE37" s="171">
        <f t="shared" si="55"/>
        <v>0</v>
      </c>
      <c r="BF37" s="171">
        <f t="shared" si="55"/>
        <v>0</v>
      </c>
      <c r="BG37" s="171">
        <f t="shared" si="55"/>
        <v>0</v>
      </c>
      <c r="BH37" s="171">
        <f t="shared" si="55"/>
        <v>0</v>
      </c>
      <c r="BI37" s="171">
        <f t="shared" si="55"/>
        <v>0</v>
      </c>
      <c r="BJ37" s="171">
        <f t="shared" si="55"/>
        <v>0</v>
      </c>
      <c r="BK37" s="171">
        <f t="shared" si="55"/>
        <v>0</v>
      </c>
      <c r="BL37" s="171">
        <f t="shared" si="55"/>
        <v>0</v>
      </c>
      <c r="BM37" s="171">
        <f t="shared" si="55"/>
        <v>0</v>
      </c>
      <c r="BN37" s="171">
        <f t="shared" si="55"/>
        <v>0</v>
      </c>
      <c r="BO37" s="171">
        <f t="shared" si="55"/>
        <v>0</v>
      </c>
      <c r="BP37" s="171">
        <f t="shared" si="55"/>
        <v>0</v>
      </c>
      <c r="BQ37" s="171">
        <f t="shared" si="55"/>
        <v>0</v>
      </c>
      <c r="BR37" s="171">
        <f t="shared" si="55"/>
        <v>0</v>
      </c>
      <c r="BS37" s="171">
        <f t="shared" si="55"/>
        <v>0</v>
      </c>
      <c r="BT37" s="171">
        <f t="shared" si="55"/>
        <v>0</v>
      </c>
      <c r="BU37" s="171">
        <f t="shared" si="55"/>
        <v>0</v>
      </c>
      <c r="BV37" s="171">
        <f t="shared" si="55"/>
        <v>0</v>
      </c>
      <c r="BW37" s="171">
        <f t="shared" si="55"/>
        <v>0</v>
      </c>
      <c r="BX37" s="171">
        <f t="shared" ref="BX37:EQ37" si="56">(BX$14&gt;$H37)*(BX$14&lt;=$I37)*1</f>
        <v>0</v>
      </c>
      <c r="BY37" s="171">
        <f t="shared" si="56"/>
        <v>0</v>
      </c>
      <c r="BZ37" s="171">
        <f t="shared" si="56"/>
        <v>0</v>
      </c>
      <c r="CA37" s="171">
        <f t="shared" si="56"/>
        <v>0</v>
      </c>
      <c r="CB37" s="171">
        <f t="shared" si="56"/>
        <v>0</v>
      </c>
      <c r="CC37" s="171">
        <f t="shared" si="56"/>
        <v>0</v>
      </c>
      <c r="CD37" s="171">
        <f t="shared" si="56"/>
        <v>0</v>
      </c>
      <c r="CE37" s="171">
        <f t="shared" si="56"/>
        <v>0</v>
      </c>
      <c r="CF37" s="171">
        <f t="shared" si="56"/>
        <v>0</v>
      </c>
      <c r="CG37" s="171">
        <f t="shared" si="56"/>
        <v>0</v>
      </c>
      <c r="CH37" s="171">
        <f t="shared" si="56"/>
        <v>0</v>
      </c>
      <c r="CI37" s="171">
        <f t="shared" si="56"/>
        <v>0</v>
      </c>
      <c r="CJ37" s="171">
        <f t="shared" si="56"/>
        <v>0</v>
      </c>
      <c r="CK37" s="171">
        <f t="shared" si="56"/>
        <v>0</v>
      </c>
      <c r="CL37" s="171">
        <f t="shared" si="56"/>
        <v>0</v>
      </c>
      <c r="CM37" s="171">
        <f t="shared" si="56"/>
        <v>0</v>
      </c>
      <c r="CN37" s="171">
        <f t="shared" si="56"/>
        <v>0</v>
      </c>
      <c r="CO37" s="171">
        <f t="shared" si="56"/>
        <v>0</v>
      </c>
      <c r="CP37" s="171">
        <f t="shared" si="56"/>
        <v>0</v>
      </c>
      <c r="CQ37" s="171">
        <f t="shared" si="56"/>
        <v>0</v>
      </c>
      <c r="CR37" s="171">
        <f t="shared" si="56"/>
        <v>0</v>
      </c>
      <c r="CS37" s="171">
        <f t="shared" si="56"/>
        <v>0</v>
      </c>
      <c r="CT37" s="171">
        <f t="shared" si="56"/>
        <v>0</v>
      </c>
      <c r="CU37" s="171">
        <f t="shared" si="56"/>
        <v>0</v>
      </c>
      <c r="CV37" s="171">
        <f t="shared" si="56"/>
        <v>0</v>
      </c>
      <c r="CW37" s="171">
        <f t="shared" si="56"/>
        <v>0</v>
      </c>
      <c r="CX37" s="171">
        <f t="shared" si="56"/>
        <v>0</v>
      </c>
      <c r="CY37" s="171">
        <f t="shared" si="56"/>
        <v>0</v>
      </c>
      <c r="CZ37" s="171">
        <f t="shared" si="56"/>
        <v>0</v>
      </c>
      <c r="DA37" s="171">
        <f t="shared" si="56"/>
        <v>0</v>
      </c>
      <c r="DB37" s="171">
        <f t="shared" si="56"/>
        <v>0</v>
      </c>
      <c r="DC37" s="171">
        <f t="shared" si="56"/>
        <v>0</v>
      </c>
      <c r="DD37" s="171">
        <f t="shared" si="56"/>
        <v>0</v>
      </c>
      <c r="DE37" s="171">
        <f t="shared" si="56"/>
        <v>0</v>
      </c>
      <c r="DF37" s="171">
        <f t="shared" si="56"/>
        <v>0</v>
      </c>
      <c r="DG37" s="171">
        <f t="shared" si="56"/>
        <v>0</v>
      </c>
      <c r="DH37" s="171">
        <f t="shared" si="56"/>
        <v>0</v>
      </c>
      <c r="DI37" s="171">
        <f t="shared" si="56"/>
        <v>0</v>
      </c>
      <c r="DJ37" s="171">
        <f t="shared" si="56"/>
        <v>0</v>
      </c>
      <c r="DK37" s="171">
        <f t="shared" si="56"/>
        <v>0</v>
      </c>
      <c r="DL37" s="171">
        <f t="shared" si="56"/>
        <v>0</v>
      </c>
      <c r="DM37" s="171">
        <f t="shared" si="56"/>
        <v>0</v>
      </c>
      <c r="DN37" s="171">
        <f t="shared" si="56"/>
        <v>0</v>
      </c>
      <c r="DO37" s="171">
        <f t="shared" si="56"/>
        <v>0</v>
      </c>
      <c r="DP37" s="171">
        <f t="shared" si="56"/>
        <v>0</v>
      </c>
      <c r="DQ37" s="171">
        <f t="shared" si="56"/>
        <v>0</v>
      </c>
      <c r="DR37" s="171">
        <f t="shared" si="56"/>
        <v>0</v>
      </c>
      <c r="DS37" s="171">
        <f t="shared" si="56"/>
        <v>0</v>
      </c>
      <c r="DT37" s="171">
        <f t="shared" si="56"/>
        <v>0</v>
      </c>
      <c r="DU37" s="171">
        <f t="shared" si="56"/>
        <v>0</v>
      </c>
      <c r="DV37" s="171">
        <f t="shared" si="56"/>
        <v>0</v>
      </c>
      <c r="DW37" s="171">
        <f t="shared" si="56"/>
        <v>0</v>
      </c>
      <c r="DX37" s="171">
        <f t="shared" si="56"/>
        <v>0</v>
      </c>
      <c r="DY37" s="171">
        <f t="shared" si="56"/>
        <v>0</v>
      </c>
      <c r="DZ37" s="171">
        <f t="shared" si="56"/>
        <v>0</v>
      </c>
      <c r="EA37" s="171">
        <f t="shared" si="56"/>
        <v>0</v>
      </c>
      <c r="EB37" s="171">
        <f t="shared" si="56"/>
        <v>0</v>
      </c>
      <c r="EC37" s="171">
        <f t="shared" si="56"/>
        <v>0</v>
      </c>
      <c r="ED37" s="171">
        <f t="shared" si="56"/>
        <v>0</v>
      </c>
      <c r="EE37" s="171">
        <f t="shared" si="56"/>
        <v>0</v>
      </c>
      <c r="EF37" s="171">
        <f t="shared" si="56"/>
        <v>0</v>
      </c>
      <c r="EG37" s="171">
        <f t="shared" si="56"/>
        <v>0</v>
      </c>
      <c r="EH37" s="171">
        <f t="shared" si="56"/>
        <v>0</v>
      </c>
      <c r="EI37" s="171">
        <f t="shared" si="56"/>
        <v>0</v>
      </c>
      <c r="EJ37" s="171">
        <f t="shared" si="56"/>
        <v>0</v>
      </c>
      <c r="EK37" s="171">
        <f t="shared" si="56"/>
        <v>0</v>
      </c>
      <c r="EL37" s="171">
        <f t="shared" si="56"/>
        <v>0</v>
      </c>
      <c r="EM37" s="171">
        <f t="shared" si="56"/>
        <v>0</v>
      </c>
      <c r="EN37" s="171">
        <f t="shared" si="56"/>
        <v>0</v>
      </c>
      <c r="EO37" s="171">
        <f t="shared" si="56"/>
        <v>0</v>
      </c>
      <c r="EP37" s="171">
        <f t="shared" si="56"/>
        <v>0</v>
      </c>
      <c r="EQ37" s="171">
        <f t="shared" si="56"/>
        <v>0</v>
      </c>
    </row>
    <row r="38" spans="3:147" ht="11.25" customHeight="1">
      <c r="C38" s="163"/>
      <c r="D38" s="169" t="s">
        <v>16</v>
      </c>
      <c r="I38" s="146"/>
      <c r="J38" s="170">
        <f>MAX(L38:EQ38)</f>
        <v>3</v>
      </c>
      <c r="K38" s="98"/>
      <c r="L38" s="171">
        <f>SUM($L37:L37)</f>
        <v>0</v>
      </c>
      <c r="M38" s="171">
        <f>SUM($L37:M37)</f>
        <v>1</v>
      </c>
      <c r="N38" s="171">
        <f>SUM($L37:N37)</f>
        <v>2</v>
      </c>
      <c r="O38" s="171">
        <f>SUM($L37:O37)</f>
        <v>3</v>
      </c>
      <c r="P38" s="171">
        <f>SUM($L37:P37)</f>
        <v>3</v>
      </c>
      <c r="Q38" s="171">
        <f>SUM($L37:Q37)</f>
        <v>3</v>
      </c>
      <c r="R38" s="171">
        <f>SUM($L37:R37)</f>
        <v>3</v>
      </c>
      <c r="S38" s="171">
        <f>SUM($L37:S37)</f>
        <v>3</v>
      </c>
      <c r="T38" s="171">
        <f>SUM($L37:T37)</f>
        <v>3</v>
      </c>
      <c r="U38" s="171">
        <f>SUM($L37:U37)</f>
        <v>3</v>
      </c>
      <c r="V38" s="171">
        <f>SUM($L37:V37)</f>
        <v>3</v>
      </c>
      <c r="W38" s="171">
        <f>SUM($L37:W37)</f>
        <v>3</v>
      </c>
      <c r="X38" s="171">
        <f>SUM($L37:X37)</f>
        <v>3</v>
      </c>
      <c r="Y38" s="171">
        <f>SUM($L37:Y37)</f>
        <v>3</v>
      </c>
      <c r="Z38" s="171">
        <f>SUM($L37:Z37)</f>
        <v>3</v>
      </c>
      <c r="AA38" s="171">
        <f>SUM($L37:AA37)</f>
        <v>3</v>
      </c>
      <c r="AB38" s="171">
        <f>SUM($L37:AB37)</f>
        <v>3</v>
      </c>
      <c r="AC38" s="171">
        <f>SUM($L37:AC37)</f>
        <v>3</v>
      </c>
      <c r="AD38" s="171">
        <f>SUM($L37:AD37)</f>
        <v>3</v>
      </c>
      <c r="AE38" s="171">
        <f>SUM($L37:AE37)</f>
        <v>3</v>
      </c>
      <c r="AF38" s="171">
        <f>SUM($L37:AF37)</f>
        <v>3</v>
      </c>
      <c r="AG38" s="171">
        <f>SUM($L37:AG37)</f>
        <v>3</v>
      </c>
      <c r="AH38" s="171">
        <f>SUM($L37:AH37)</f>
        <v>3</v>
      </c>
      <c r="AI38" s="171">
        <f>SUM($L37:AI37)</f>
        <v>3</v>
      </c>
      <c r="AJ38" s="171">
        <f>SUM($L37:AJ37)</f>
        <v>3</v>
      </c>
      <c r="AK38" s="171">
        <f>SUM($L37:AK37)</f>
        <v>3</v>
      </c>
      <c r="AL38" s="171">
        <f>SUM($L37:AL37)</f>
        <v>3</v>
      </c>
      <c r="AM38" s="171">
        <f>SUM($L37:AM37)</f>
        <v>3</v>
      </c>
      <c r="AN38" s="171">
        <f>SUM($L37:AN37)</f>
        <v>3</v>
      </c>
      <c r="AO38" s="171">
        <f>SUM($L37:AO37)</f>
        <v>3</v>
      </c>
      <c r="AP38" s="171">
        <f>SUM($L37:AP37)</f>
        <v>3</v>
      </c>
      <c r="AQ38" s="171">
        <f>SUM($L37:AQ37)</f>
        <v>3</v>
      </c>
      <c r="AR38" s="171">
        <f>SUM($L37:AR37)</f>
        <v>3</v>
      </c>
      <c r="AS38" s="171">
        <f>SUM($L37:AS37)</f>
        <v>3</v>
      </c>
      <c r="AT38" s="171">
        <f>SUM($L37:AT37)</f>
        <v>3</v>
      </c>
      <c r="AU38" s="171">
        <f>SUM($L37:AU37)</f>
        <v>3</v>
      </c>
      <c r="AV38" s="171">
        <f>SUM($L37:AV37)</f>
        <v>3</v>
      </c>
      <c r="AW38" s="171">
        <f>SUM($L37:AW37)</f>
        <v>3</v>
      </c>
      <c r="AX38" s="171">
        <f>SUM($L37:AX37)</f>
        <v>3</v>
      </c>
      <c r="AY38" s="171">
        <f>SUM($L37:AY37)</f>
        <v>3</v>
      </c>
      <c r="AZ38" s="171">
        <f>SUM($L37:AZ37)</f>
        <v>3</v>
      </c>
      <c r="BA38" s="171">
        <f>SUM($L37:BA37)</f>
        <v>3</v>
      </c>
      <c r="BB38" s="171">
        <f>SUM($L37:BB37)</f>
        <v>3</v>
      </c>
      <c r="BC38" s="171">
        <f>SUM($L37:BC37)</f>
        <v>3</v>
      </c>
      <c r="BD38" s="171">
        <f>SUM($L37:BD37)</f>
        <v>3</v>
      </c>
      <c r="BE38" s="171">
        <f>SUM($L37:BE37)</f>
        <v>3</v>
      </c>
      <c r="BF38" s="171">
        <f>SUM($L37:BF37)</f>
        <v>3</v>
      </c>
      <c r="BG38" s="171">
        <f>SUM($L37:BG37)</f>
        <v>3</v>
      </c>
      <c r="BH38" s="171">
        <f>SUM($L37:BH37)</f>
        <v>3</v>
      </c>
      <c r="BI38" s="171">
        <f>SUM($L37:BI37)</f>
        <v>3</v>
      </c>
      <c r="BJ38" s="171">
        <f>SUM($L37:BJ37)</f>
        <v>3</v>
      </c>
      <c r="BK38" s="171">
        <f>SUM($L37:BK37)</f>
        <v>3</v>
      </c>
      <c r="BL38" s="171">
        <f>SUM($L37:BL37)</f>
        <v>3</v>
      </c>
      <c r="BM38" s="171">
        <f>SUM($L37:BM37)</f>
        <v>3</v>
      </c>
      <c r="BN38" s="171">
        <f>SUM($L37:BN37)</f>
        <v>3</v>
      </c>
      <c r="BO38" s="171">
        <f>SUM($L37:BO37)</f>
        <v>3</v>
      </c>
      <c r="BP38" s="171">
        <f>SUM($L37:BP37)</f>
        <v>3</v>
      </c>
      <c r="BQ38" s="171">
        <f>SUM($L37:BQ37)</f>
        <v>3</v>
      </c>
      <c r="BR38" s="171">
        <f>SUM($L37:BR37)</f>
        <v>3</v>
      </c>
      <c r="BS38" s="171">
        <f>SUM($L37:BS37)</f>
        <v>3</v>
      </c>
      <c r="BT38" s="171">
        <f>SUM($L37:BT37)</f>
        <v>3</v>
      </c>
      <c r="BU38" s="171">
        <f>SUM($L37:BU37)</f>
        <v>3</v>
      </c>
      <c r="BV38" s="171">
        <f>SUM($L37:BV37)</f>
        <v>3</v>
      </c>
      <c r="BW38" s="171">
        <f>SUM($L37:BW37)</f>
        <v>3</v>
      </c>
      <c r="BX38" s="171">
        <f>SUM($L37:BX37)</f>
        <v>3</v>
      </c>
      <c r="BY38" s="171">
        <f>SUM($L37:BY37)</f>
        <v>3</v>
      </c>
      <c r="BZ38" s="171">
        <f>SUM($L37:BZ37)</f>
        <v>3</v>
      </c>
      <c r="CA38" s="171">
        <f>SUM($L37:CA37)</f>
        <v>3</v>
      </c>
      <c r="CB38" s="171">
        <f>SUM($L37:CB37)</f>
        <v>3</v>
      </c>
      <c r="CC38" s="171">
        <f>SUM($L37:CC37)</f>
        <v>3</v>
      </c>
      <c r="CD38" s="171">
        <f>SUM($L37:CD37)</f>
        <v>3</v>
      </c>
      <c r="CE38" s="171">
        <f>SUM($L37:CE37)</f>
        <v>3</v>
      </c>
      <c r="CF38" s="171">
        <f>SUM($L37:CF37)</f>
        <v>3</v>
      </c>
      <c r="CG38" s="171">
        <f>SUM($L37:CG37)</f>
        <v>3</v>
      </c>
      <c r="CH38" s="171">
        <f>SUM($L37:CH37)</f>
        <v>3</v>
      </c>
      <c r="CI38" s="171">
        <f>SUM($L37:CI37)</f>
        <v>3</v>
      </c>
      <c r="CJ38" s="171">
        <f>SUM($L37:CJ37)</f>
        <v>3</v>
      </c>
      <c r="CK38" s="171">
        <f>SUM($L37:CK37)</f>
        <v>3</v>
      </c>
      <c r="CL38" s="171">
        <f>SUM($L37:CL37)</f>
        <v>3</v>
      </c>
      <c r="CM38" s="171">
        <f>SUM($L37:CM37)</f>
        <v>3</v>
      </c>
      <c r="CN38" s="171">
        <f>SUM($L37:CN37)</f>
        <v>3</v>
      </c>
      <c r="CO38" s="171">
        <f>SUM($L37:CO37)</f>
        <v>3</v>
      </c>
      <c r="CP38" s="171">
        <f>SUM($L37:CP37)</f>
        <v>3</v>
      </c>
      <c r="CQ38" s="171">
        <f>SUM($L37:CQ37)</f>
        <v>3</v>
      </c>
      <c r="CR38" s="171">
        <f>SUM($L37:CR37)</f>
        <v>3</v>
      </c>
      <c r="CS38" s="171">
        <f>SUM($L37:CS37)</f>
        <v>3</v>
      </c>
      <c r="CT38" s="171">
        <f>SUM($L37:CT37)</f>
        <v>3</v>
      </c>
      <c r="CU38" s="171">
        <f>SUM($L37:CU37)</f>
        <v>3</v>
      </c>
      <c r="CV38" s="171">
        <f>SUM($L37:CV37)</f>
        <v>3</v>
      </c>
      <c r="CW38" s="171">
        <f>SUM($L37:CW37)</f>
        <v>3</v>
      </c>
      <c r="CX38" s="171">
        <f>SUM($L37:CX37)</f>
        <v>3</v>
      </c>
      <c r="CY38" s="171">
        <f>SUM($L37:CY37)</f>
        <v>3</v>
      </c>
      <c r="CZ38" s="171">
        <f>SUM($L37:CZ37)</f>
        <v>3</v>
      </c>
      <c r="DA38" s="171">
        <f>SUM($L37:DA37)</f>
        <v>3</v>
      </c>
      <c r="DB38" s="171">
        <f>SUM($L37:DB37)</f>
        <v>3</v>
      </c>
      <c r="DC38" s="171">
        <f>SUM($L37:DC37)</f>
        <v>3</v>
      </c>
      <c r="DD38" s="171">
        <f>SUM($L37:DD37)</f>
        <v>3</v>
      </c>
      <c r="DE38" s="171">
        <f>SUM($L37:DE37)</f>
        <v>3</v>
      </c>
      <c r="DF38" s="171">
        <f>SUM($L37:DF37)</f>
        <v>3</v>
      </c>
      <c r="DG38" s="171">
        <f>SUM($L37:DG37)</f>
        <v>3</v>
      </c>
      <c r="DH38" s="171">
        <f>SUM($L37:DH37)</f>
        <v>3</v>
      </c>
      <c r="DI38" s="171">
        <f>SUM($L37:DI37)</f>
        <v>3</v>
      </c>
      <c r="DJ38" s="171">
        <f>SUM($L37:DJ37)</f>
        <v>3</v>
      </c>
      <c r="DK38" s="171">
        <f>SUM($L37:DK37)</f>
        <v>3</v>
      </c>
      <c r="DL38" s="171">
        <f>SUM($L37:DL37)</f>
        <v>3</v>
      </c>
      <c r="DM38" s="171">
        <f>SUM($L37:DM37)</f>
        <v>3</v>
      </c>
      <c r="DN38" s="171">
        <f>SUM($L37:DN37)</f>
        <v>3</v>
      </c>
      <c r="DO38" s="171">
        <f>SUM($L37:DO37)</f>
        <v>3</v>
      </c>
      <c r="DP38" s="171">
        <f>SUM($L37:DP37)</f>
        <v>3</v>
      </c>
      <c r="DQ38" s="171">
        <f>SUM($L37:DQ37)</f>
        <v>3</v>
      </c>
      <c r="DR38" s="171">
        <f>SUM($L37:DR37)</f>
        <v>3</v>
      </c>
      <c r="DS38" s="171">
        <f>SUM($L37:DS37)</f>
        <v>3</v>
      </c>
      <c r="DT38" s="171">
        <f>SUM($L37:DT37)</f>
        <v>3</v>
      </c>
      <c r="DU38" s="171">
        <f>SUM($L37:DU37)</f>
        <v>3</v>
      </c>
      <c r="DV38" s="171">
        <f>SUM($L37:DV37)</f>
        <v>3</v>
      </c>
      <c r="DW38" s="171">
        <f>SUM($L37:DW37)</f>
        <v>3</v>
      </c>
      <c r="DX38" s="171">
        <f>SUM($L37:DX37)</f>
        <v>3</v>
      </c>
      <c r="DY38" s="171">
        <f>SUM($L37:DY37)</f>
        <v>3</v>
      </c>
      <c r="DZ38" s="171">
        <f>SUM($L37:DZ37)</f>
        <v>3</v>
      </c>
      <c r="EA38" s="171">
        <f>SUM($L37:EA37)</f>
        <v>3</v>
      </c>
      <c r="EB38" s="171">
        <f>SUM($L37:EB37)</f>
        <v>3</v>
      </c>
      <c r="EC38" s="171">
        <f>SUM($L37:EC37)</f>
        <v>3</v>
      </c>
      <c r="ED38" s="171">
        <f>SUM($L37:ED37)</f>
        <v>3</v>
      </c>
      <c r="EE38" s="171">
        <f>SUM($L37:EE37)</f>
        <v>3</v>
      </c>
      <c r="EF38" s="171">
        <f>SUM($L37:EF37)</f>
        <v>3</v>
      </c>
      <c r="EG38" s="171">
        <f>SUM($L37:EG37)</f>
        <v>3</v>
      </c>
      <c r="EH38" s="171">
        <f>SUM($L37:EH37)</f>
        <v>3</v>
      </c>
      <c r="EI38" s="171">
        <f>SUM($L37:EI37)</f>
        <v>3</v>
      </c>
      <c r="EJ38" s="171">
        <f>SUM($L37:EJ37)</f>
        <v>3</v>
      </c>
      <c r="EK38" s="171">
        <f>SUM($L37:EK37)</f>
        <v>3</v>
      </c>
      <c r="EL38" s="171">
        <f>SUM($L37:EL37)</f>
        <v>3</v>
      </c>
      <c r="EM38" s="171">
        <f>SUM($L37:EM37)</f>
        <v>3</v>
      </c>
      <c r="EN38" s="171">
        <f>SUM($L37:EN37)</f>
        <v>3</v>
      </c>
      <c r="EO38" s="171">
        <f>SUM($L37:EO37)</f>
        <v>3</v>
      </c>
      <c r="EP38" s="171">
        <f>SUM($L37:EP37)</f>
        <v>3</v>
      </c>
      <c r="EQ38" s="171">
        <f>SUM($L37:EQ37)</f>
        <v>3</v>
      </c>
    </row>
    <row r="39" spans="3:147" ht="11.25" customHeight="1">
      <c r="C39" s="163"/>
      <c r="D39" s="169" t="s">
        <v>17</v>
      </c>
      <c r="I39" s="172">
        <v>3</v>
      </c>
      <c r="J39" s="170">
        <f>SUM(L39:EQ39)</f>
        <v>1</v>
      </c>
      <c r="K39" s="98"/>
      <c r="L39" s="171">
        <f>(MOD(L38,$I39)=0)*(L$14&lt;$I36)*(L$14&gt;$I35)+(L$14=$I36)*1</f>
        <v>0</v>
      </c>
      <c r="M39" s="171">
        <f t="shared" ref="M39:BX39" si="57">(MOD(M38,$I39)=0)*(M$14&lt;$I36)*(M$14&gt;$I35)+(M$14=$I36)*1</f>
        <v>0</v>
      </c>
      <c r="N39" s="171">
        <f t="shared" si="57"/>
        <v>0</v>
      </c>
      <c r="O39" s="171">
        <f t="shared" si="57"/>
        <v>1</v>
      </c>
      <c r="P39" s="171">
        <f t="shared" si="57"/>
        <v>0</v>
      </c>
      <c r="Q39" s="171">
        <f t="shared" si="57"/>
        <v>0</v>
      </c>
      <c r="R39" s="171">
        <f t="shared" si="57"/>
        <v>0</v>
      </c>
      <c r="S39" s="171">
        <f t="shared" si="57"/>
        <v>0</v>
      </c>
      <c r="T39" s="171">
        <f t="shared" si="57"/>
        <v>0</v>
      </c>
      <c r="U39" s="171">
        <f t="shared" si="57"/>
        <v>0</v>
      </c>
      <c r="V39" s="171">
        <f t="shared" si="57"/>
        <v>0</v>
      </c>
      <c r="W39" s="171">
        <f t="shared" si="57"/>
        <v>0</v>
      </c>
      <c r="X39" s="171">
        <f t="shared" si="57"/>
        <v>0</v>
      </c>
      <c r="Y39" s="171">
        <f t="shared" si="57"/>
        <v>0</v>
      </c>
      <c r="Z39" s="171">
        <f t="shared" si="57"/>
        <v>0</v>
      </c>
      <c r="AA39" s="171">
        <f t="shared" si="57"/>
        <v>0</v>
      </c>
      <c r="AB39" s="171">
        <f t="shared" si="57"/>
        <v>0</v>
      </c>
      <c r="AC39" s="171">
        <f t="shared" si="57"/>
        <v>0</v>
      </c>
      <c r="AD39" s="171">
        <f t="shared" si="57"/>
        <v>0</v>
      </c>
      <c r="AE39" s="171">
        <f t="shared" si="57"/>
        <v>0</v>
      </c>
      <c r="AF39" s="171">
        <f t="shared" si="57"/>
        <v>0</v>
      </c>
      <c r="AG39" s="171">
        <f t="shared" si="57"/>
        <v>0</v>
      </c>
      <c r="AH39" s="171">
        <f t="shared" si="57"/>
        <v>0</v>
      </c>
      <c r="AI39" s="171">
        <f t="shared" si="57"/>
        <v>0</v>
      </c>
      <c r="AJ39" s="171">
        <f t="shared" si="57"/>
        <v>0</v>
      </c>
      <c r="AK39" s="171">
        <f t="shared" si="57"/>
        <v>0</v>
      </c>
      <c r="AL39" s="171">
        <f t="shared" si="57"/>
        <v>0</v>
      </c>
      <c r="AM39" s="171">
        <f t="shared" si="57"/>
        <v>0</v>
      </c>
      <c r="AN39" s="171">
        <f t="shared" si="57"/>
        <v>0</v>
      </c>
      <c r="AO39" s="171">
        <f t="shared" si="57"/>
        <v>0</v>
      </c>
      <c r="AP39" s="171">
        <f t="shared" si="57"/>
        <v>0</v>
      </c>
      <c r="AQ39" s="171">
        <f t="shared" si="57"/>
        <v>0</v>
      </c>
      <c r="AR39" s="171">
        <f t="shared" si="57"/>
        <v>0</v>
      </c>
      <c r="AS39" s="171">
        <f t="shared" si="57"/>
        <v>0</v>
      </c>
      <c r="AT39" s="171">
        <f t="shared" si="57"/>
        <v>0</v>
      </c>
      <c r="AU39" s="171">
        <f t="shared" si="57"/>
        <v>0</v>
      </c>
      <c r="AV39" s="171">
        <f t="shared" si="57"/>
        <v>0</v>
      </c>
      <c r="AW39" s="171">
        <f t="shared" si="57"/>
        <v>0</v>
      </c>
      <c r="AX39" s="171">
        <f t="shared" si="57"/>
        <v>0</v>
      </c>
      <c r="AY39" s="171">
        <f t="shared" si="57"/>
        <v>0</v>
      </c>
      <c r="AZ39" s="171">
        <f t="shared" si="57"/>
        <v>0</v>
      </c>
      <c r="BA39" s="171">
        <f t="shared" si="57"/>
        <v>0</v>
      </c>
      <c r="BB39" s="171">
        <f t="shared" si="57"/>
        <v>0</v>
      </c>
      <c r="BC39" s="171">
        <f t="shared" si="57"/>
        <v>0</v>
      </c>
      <c r="BD39" s="171">
        <f t="shared" si="57"/>
        <v>0</v>
      </c>
      <c r="BE39" s="171">
        <f t="shared" si="57"/>
        <v>0</v>
      </c>
      <c r="BF39" s="171">
        <f t="shared" si="57"/>
        <v>0</v>
      </c>
      <c r="BG39" s="171">
        <f t="shared" si="57"/>
        <v>0</v>
      </c>
      <c r="BH39" s="171">
        <f t="shared" si="57"/>
        <v>0</v>
      </c>
      <c r="BI39" s="171">
        <f t="shared" si="57"/>
        <v>0</v>
      </c>
      <c r="BJ39" s="171">
        <f t="shared" si="57"/>
        <v>0</v>
      </c>
      <c r="BK39" s="171">
        <f t="shared" si="57"/>
        <v>0</v>
      </c>
      <c r="BL39" s="171">
        <f t="shared" si="57"/>
        <v>0</v>
      </c>
      <c r="BM39" s="171">
        <f t="shared" si="57"/>
        <v>0</v>
      </c>
      <c r="BN39" s="171">
        <f t="shared" si="57"/>
        <v>0</v>
      </c>
      <c r="BO39" s="171">
        <f t="shared" si="57"/>
        <v>0</v>
      </c>
      <c r="BP39" s="171">
        <f t="shared" si="57"/>
        <v>0</v>
      </c>
      <c r="BQ39" s="171">
        <f t="shared" si="57"/>
        <v>0</v>
      </c>
      <c r="BR39" s="171">
        <f t="shared" si="57"/>
        <v>0</v>
      </c>
      <c r="BS39" s="171">
        <f t="shared" si="57"/>
        <v>0</v>
      </c>
      <c r="BT39" s="171">
        <f t="shared" si="57"/>
        <v>0</v>
      </c>
      <c r="BU39" s="171">
        <f t="shared" si="57"/>
        <v>0</v>
      </c>
      <c r="BV39" s="171">
        <f t="shared" si="57"/>
        <v>0</v>
      </c>
      <c r="BW39" s="171">
        <f t="shared" si="57"/>
        <v>0</v>
      </c>
      <c r="BX39" s="171">
        <f t="shared" si="57"/>
        <v>0</v>
      </c>
      <c r="BY39" s="171">
        <f t="shared" ref="BY39:DU39" si="58">(MOD(BY38,$I39)=0)*(BY$14&lt;$I36)*(BY$14&gt;$I35)+(BY$14=$I36)*1</f>
        <v>0</v>
      </c>
      <c r="BZ39" s="171">
        <f t="shared" si="58"/>
        <v>0</v>
      </c>
      <c r="CA39" s="171">
        <f t="shared" si="58"/>
        <v>0</v>
      </c>
      <c r="CB39" s="171">
        <f t="shared" si="58"/>
        <v>0</v>
      </c>
      <c r="CC39" s="171">
        <f t="shared" si="58"/>
        <v>0</v>
      </c>
      <c r="CD39" s="171">
        <f t="shared" si="58"/>
        <v>0</v>
      </c>
      <c r="CE39" s="171">
        <f t="shared" si="58"/>
        <v>0</v>
      </c>
      <c r="CF39" s="171">
        <f t="shared" si="58"/>
        <v>0</v>
      </c>
      <c r="CG39" s="171">
        <f t="shared" si="58"/>
        <v>0</v>
      </c>
      <c r="CH39" s="171">
        <f t="shared" si="58"/>
        <v>0</v>
      </c>
      <c r="CI39" s="171">
        <f t="shared" si="58"/>
        <v>0</v>
      </c>
      <c r="CJ39" s="171">
        <f t="shared" si="58"/>
        <v>0</v>
      </c>
      <c r="CK39" s="171">
        <f t="shared" si="58"/>
        <v>0</v>
      </c>
      <c r="CL39" s="171">
        <f t="shared" si="58"/>
        <v>0</v>
      </c>
      <c r="CM39" s="171">
        <f t="shared" si="58"/>
        <v>0</v>
      </c>
      <c r="CN39" s="171">
        <f t="shared" si="58"/>
        <v>0</v>
      </c>
      <c r="CO39" s="171">
        <f t="shared" si="58"/>
        <v>0</v>
      </c>
      <c r="CP39" s="171">
        <f t="shared" si="58"/>
        <v>0</v>
      </c>
      <c r="CQ39" s="171">
        <f t="shared" si="58"/>
        <v>0</v>
      </c>
      <c r="CR39" s="171">
        <f t="shared" si="58"/>
        <v>0</v>
      </c>
      <c r="CS39" s="171">
        <f t="shared" si="58"/>
        <v>0</v>
      </c>
      <c r="CT39" s="171">
        <f t="shared" si="58"/>
        <v>0</v>
      </c>
      <c r="CU39" s="171">
        <f t="shared" si="58"/>
        <v>0</v>
      </c>
      <c r="CV39" s="171">
        <f t="shared" si="58"/>
        <v>0</v>
      </c>
      <c r="CW39" s="171">
        <f t="shared" si="58"/>
        <v>0</v>
      </c>
      <c r="CX39" s="171">
        <f t="shared" si="58"/>
        <v>0</v>
      </c>
      <c r="CY39" s="171">
        <f t="shared" si="58"/>
        <v>0</v>
      </c>
      <c r="CZ39" s="171">
        <f t="shared" si="58"/>
        <v>0</v>
      </c>
      <c r="DA39" s="171">
        <f t="shared" si="58"/>
        <v>0</v>
      </c>
      <c r="DB39" s="171">
        <f t="shared" si="58"/>
        <v>0</v>
      </c>
      <c r="DC39" s="171">
        <f t="shared" si="58"/>
        <v>0</v>
      </c>
      <c r="DD39" s="171">
        <f t="shared" si="58"/>
        <v>0</v>
      </c>
      <c r="DE39" s="171">
        <f t="shared" si="58"/>
        <v>0</v>
      </c>
      <c r="DF39" s="171">
        <f t="shared" si="58"/>
        <v>0</v>
      </c>
      <c r="DG39" s="171">
        <f t="shared" si="58"/>
        <v>0</v>
      </c>
      <c r="DH39" s="171">
        <f t="shared" si="58"/>
        <v>0</v>
      </c>
      <c r="DI39" s="171">
        <f t="shared" si="58"/>
        <v>0</v>
      </c>
      <c r="DJ39" s="171">
        <f t="shared" si="58"/>
        <v>0</v>
      </c>
      <c r="DK39" s="171">
        <f t="shared" si="58"/>
        <v>0</v>
      </c>
      <c r="DL39" s="171">
        <f t="shared" si="58"/>
        <v>0</v>
      </c>
      <c r="DM39" s="171">
        <f t="shared" si="58"/>
        <v>0</v>
      </c>
      <c r="DN39" s="171">
        <f t="shared" si="58"/>
        <v>0</v>
      </c>
      <c r="DO39" s="171">
        <f t="shared" si="58"/>
        <v>0</v>
      </c>
      <c r="DP39" s="171">
        <f t="shared" si="58"/>
        <v>0</v>
      </c>
      <c r="DQ39" s="171">
        <f t="shared" si="58"/>
        <v>0</v>
      </c>
      <c r="DR39" s="171">
        <f t="shared" si="58"/>
        <v>0</v>
      </c>
      <c r="DS39" s="171">
        <f t="shared" si="58"/>
        <v>0</v>
      </c>
      <c r="DT39" s="171">
        <f t="shared" si="58"/>
        <v>0</v>
      </c>
      <c r="DU39" s="171">
        <f t="shared" si="58"/>
        <v>0</v>
      </c>
      <c r="DV39" s="171">
        <f t="shared" ref="DV39:EA39" si="59">(MOD(DV38,$I39)=0)*(DV$14&lt;$I36)*(DV$14&gt;$I35)+(DV$14=$I36)*1</f>
        <v>0</v>
      </c>
      <c r="DW39" s="171">
        <f t="shared" si="59"/>
        <v>0</v>
      </c>
      <c r="DX39" s="171">
        <f t="shared" si="59"/>
        <v>0</v>
      </c>
      <c r="DY39" s="171">
        <f t="shared" si="59"/>
        <v>0</v>
      </c>
      <c r="DZ39" s="171">
        <f t="shared" si="59"/>
        <v>0</v>
      </c>
      <c r="EA39" s="171">
        <f t="shared" si="59"/>
        <v>0</v>
      </c>
      <c r="EB39" s="171">
        <f>(MOD(EB38,$I39)=0)*(EB$14&lt;$I36)*(EB$14&gt;$I35)+(EB$14=$I36)*1</f>
        <v>0</v>
      </c>
      <c r="EC39" s="171">
        <f>(MOD(EC38,$I39)=0)*(EC$14&lt;$I36)*(EC$14&gt;$I35)+(EC$14=$I36)*1</f>
        <v>0</v>
      </c>
      <c r="ED39" s="171">
        <f>(MOD(ED38,$I39)=0)*(ED$14&lt;$I36)*(ED$14&gt;$I35)+(ED$14=$I36)*1</f>
        <v>0</v>
      </c>
      <c r="EE39" s="171">
        <f>(MOD(EE38,$I39)=0)*(EE$14&lt;$I36)*(EE$14&gt;$I35)+(EE$14=$I36)*1</f>
        <v>0</v>
      </c>
      <c r="EF39" s="171">
        <f t="shared" ref="EF39:EP39" si="60">(MOD(EF38,$I39)=0)*(EF$14&lt;$I36)*(EF$14&gt;$I35)+(EF$14=$I36)*1</f>
        <v>0</v>
      </c>
      <c r="EG39" s="171">
        <f t="shared" si="60"/>
        <v>0</v>
      </c>
      <c r="EH39" s="171">
        <f t="shared" si="60"/>
        <v>0</v>
      </c>
      <c r="EI39" s="171">
        <f t="shared" si="60"/>
        <v>0</v>
      </c>
      <c r="EJ39" s="171">
        <f t="shared" si="60"/>
        <v>0</v>
      </c>
      <c r="EK39" s="171">
        <f t="shared" si="60"/>
        <v>0</v>
      </c>
      <c r="EL39" s="171">
        <f t="shared" si="60"/>
        <v>0</v>
      </c>
      <c r="EM39" s="171">
        <f t="shared" si="60"/>
        <v>0</v>
      </c>
      <c r="EN39" s="171">
        <f t="shared" si="60"/>
        <v>0</v>
      </c>
      <c r="EO39" s="171">
        <f t="shared" si="60"/>
        <v>0</v>
      </c>
      <c r="EP39" s="171">
        <f t="shared" si="60"/>
        <v>0</v>
      </c>
      <c r="EQ39" s="171">
        <f>(MOD(EQ38,$I39)=0)*(EQ$14&lt;$I36)*(EQ$14&gt;$I35)+(EQ$14=$I36)*1</f>
        <v>0</v>
      </c>
    </row>
    <row r="40" spans="3:147" ht="11.25" customHeight="1">
      <c r="C40" s="158" t="s">
        <v>128</v>
      </c>
      <c r="D40" s="159"/>
      <c r="E40" s="159"/>
      <c r="F40" s="159"/>
      <c r="G40" s="159"/>
      <c r="H40" s="159"/>
      <c r="I40" s="160"/>
      <c r="J40" s="161"/>
      <c r="K40" s="98"/>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162"/>
      <c r="AJ40" s="162"/>
      <c r="AK40" s="162"/>
      <c r="AL40" s="162"/>
      <c r="AM40" s="162"/>
      <c r="AN40" s="162"/>
      <c r="AO40" s="162"/>
      <c r="AP40" s="162"/>
      <c r="AQ40" s="162"/>
      <c r="AR40" s="162"/>
      <c r="AS40" s="162"/>
      <c r="AT40" s="162"/>
      <c r="AU40" s="162"/>
      <c r="AV40" s="162"/>
      <c r="AW40" s="162"/>
      <c r="AX40" s="162"/>
      <c r="AY40" s="162"/>
      <c r="AZ40" s="162"/>
      <c r="BA40" s="162"/>
      <c r="BB40" s="162"/>
      <c r="BC40" s="162"/>
      <c r="BD40" s="162"/>
      <c r="BE40" s="162"/>
      <c r="BF40" s="162"/>
      <c r="BG40" s="162"/>
      <c r="BH40" s="162"/>
      <c r="BI40" s="162"/>
      <c r="BJ40" s="162"/>
      <c r="BK40" s="162"/>
      <c r="BL40" s="162"/>
      <c r="BM40" s="162"/>
      <c r="BN40" s="162"/>
      <c r="BO40" s="162"/>
      <c r="BP40" s="162"/>
      <c r="BQ40" s="162"/>
      <c r="BR40" s="162"/>
      <c r="BS40" s="162"/>
      <c r="BT40" s="162"/>
      <c r="BU40" s="162"/>
      <c r="BV40" s="162"/>
      <c r="BW40" s="162"/>
      <c r="BX40" s="162"/>
      <c r="BY40" s="162"/>
      <c r="BZ40" s="162"/>
      <c r="CA40" s="162"/>
      <c r="CB40" s="162"/>
      <c r="CC40" s="162"/>
      <c r="CD40" s="162"/>
      <c r="CE40" s="162"/>
      <c r="CF40" s="162"/>
      <c r="CG40" s="162"/>
      <c r="CH40" s="162"/>
      <c r="CI40" s="162"/>
      <c r="CJ40" s="162"/>
      <c r="CK40" s="162"/>
      <c r="CL40" s="162"/>
      <c r="CM40" s="162"/>
      <c r="CN40" s="162"/>
      <c r="CO40" s="162"/>
      <c r="CP40" s="162"/>
      <c r="CQ40" s="162"/>
      <c r="CR40" s="162"/>
      <c r="CS40" s="162"/>
      <c r="CT40" s="162"/>
      <c r="CU40" s="162"/>
      <c r="CV40" s="162"/>
      <c r="CW40" s="162"/>
      <c r="CX40" s="162"/>
      <c r="CY40" s="162"/>
      <c r="CZ40" s="162"/>
      <c r="DA40" s="162"/>
      <c r="DB40" s="162"/>
      <c r="DC40" s="162"/>
      <c r="DD40" s="162"/>
      <c r="DE40" s="162"/>
      <c r="DF40" s="162"/>
      <c r="DG40" s="162"/>
      <c r="DH40" s="162"/>
      <c r="DI40" s="162"/>
      <c r="DJ40" s="162"/>
      <c r="DK40" s="162"/>
      <c r="DL40" s="162"/>
      <c r="DM40" s="162"/>
      <c r="DN40" s="162"/>
      <c r="DO40" s="162"/>
      <c r="DP40" s="162"/>
      <c r="DQ40" s="162"/>
      <c r="DR40" s="162"/>
      <c r="DS40" s="162"/>
      <c r="DT40" s="162"/>
      <c r="DU40" s="162"/>
      <c r="DV40" s="162"/>
      <c r="DW40" s="162"/>
      <c r="DX40" s="162"/>
      <c r="DY40" s="162"/>
      <c r="DZ40" s="162"/>
      <c r="EA40" s="162"/>
      <c r="EB40" s="162"/>
      <c r="EC40" s="162"/>
      <c r="ED40" s="162"/>
      <c r="EE40" s="162"/>
      <c r="EF40" s="162"/>
      <c r="EG40" s="162"/>
      <c r="EH40" s="162"/>
      <c r="EI40" s="162"/>
      <c r="EJ40" s="162"/>
      <c r="EK40" s="162"/>
      <c r="EL40" s="162"/>
      <c r="EM40" s="162"/>
      <c r="EN40" s="162"/>
      <c r="EO40" s="162"/>
      <c r="EP40" s="162"/>
      <c r="EQ40" s="162"/>
    </row>
    <row r="41" spans="3:147" ht="11.25" customHeight="1">
      <c r="C41" s="163"/>
      <c r="D41" s="164" t="s">
        <v>119</v>
      </c>
      <c r="E41" s="165"/>
      <c r="F41" s="165"/>
      <c r="G41" s="165"/>
      <c r="H41" s="165"/>
      <c r="I41" s="166">
        <f>'A&amp;R'!D39</f>
        <v>46326</v>
      </c>
      <c r="J41" s="167"/>
      <c r="K41" s="98"/>
      <c r="L41" s="168">
        <f t="shared" ref="L41:AA42" si="61">(L$14=$I41)*1</f>
        <v>1</v>
      </c>
      <c r="M41" s="168">
        <f t="shared" si="61"/>
        <v>0</v>
      </c>
      <c r="N41" s="168">
        <f t="shared" si="61"/>
        <v>0</v>
      </c>
      <c r="O41" s="168">
        <f t="shared" si="61"/>
        <v>0</v>
      </c>
      <c r="P41" s="168">
        <f t="shared" si="61"/>
        <v>0</v>
      </c>
      <c r="Q41" s="168">
        <f t="shared" si="61"/>
        <v>0</v>
      </c>
      <c r="R41" s="168">
        <f t="shared" si="61"/>
        <v>0</v>
      </c>
      <c r="S41" s="168">
        <f t="shared" si="61"/>
        <v>0</v>
      </c>
      <c r="T41" s="168">
        <f t="shared" si="61"/>
        <v>0</v>
      </c>
      <c r="U41" s="168">
        <f t="shared" si="61"/>
        <v>0</v>
      </c>
      <c r="V41" s="168">
        <f t="shared" si="61"/>
        <v>0</v>
      </c>
      <c r="W41" s="168">
        <f t="shared" si="61"/>
        <v>0</v>
      </c>
      <c r="X41" s="168">
        <f t="shared" si="61"/>
        <v>0</v>
      </c>
      <c r="Y41" s="168">
        <f t="shared" si="61"/>
        <v>0</v>
      </c>
      <c r="Z41" s="168">
        <f t="shared" si="61"/>
        <v>0</v>
      </c>
      <c r="AA41" s="168">
        <f t="shared" si="61"/>
        <v>0</v>
      </c>
      <c r="AB41" s="168">
        <f t="shared" ref="AB41:CM42" si="62">(AB$14=$I41)*1</f>
        <v>0</v>
      </c>
      <c r="AC41" s="168">
        <f t="shared" si="62"/>
        <v>0</v>
      </c>
      <c r="AD41" s="168">
        <f t="shared" si="62"/>
        <v>0</v>
      </c>
      <c r="AE41" s="168">
        <f t="shared" si="62"/>
        <v>0</v>
      </c>
      <c r="AF41" s="168">
        <f t="shared" si="62"/>
        <v>0</v>
      </c>
      <c r="AG41" s="168">
        <f t="shared" si="62"/>
        <v>0</v>
      </c>
      <c r="AH41" s="168">
        <f t="shared" si="62"/>
        <v>0</v>
      </c>
      <c r="AI41" s="168">
        <f t="shared" si="62"/>
        <v>0</v>
      </c>
      <c r="AJ41" s="168">
        <f t="shared" si="62"/>
        <v>0</v>
      </c>
      <c r="AK41" s="168">
        <f t="shared" si="62"/>
        <v>0</v>
      </c>
      <c r="AL41" s="168">
        <f t="shared" si="62"/>
        <v>0</v>
      </c>
      <c r="AM41" s="168">
        <f t="shared" si="62"/>
        <v>0</v>
      </c>
      <c r="AN41" s="168">
        <f t="shared" si="62"/>
        <v>0</v>
      </c>
      <c r="AO41" s="168">
        <f t="shared" si="62"/>
        <v>0</v>
      </c>
      <c r="AP41" s="168">
        <f t="shared" si="62"/>
        <v>0</v>
      </c>
      <c r="AQ41" s="168">
        <f t="shared" si="62"/>
        <v>0</v>
      </c>
      <c r="AR41" s="168">
        <f t="shared" si="62"/>
        <v>0</v>
      </c>
      <c r="AS41" s="168">
        <f t="shared" si="62"/>
        <v>0</v>
      </c>
      <c r="AT41" s="168">
        <f t="shared" si="62"/>
        <v>0</v>
      </c>
      <c r="AU41" s="168">
        <f t="shared" si="62"/>
        <v>0</v>
      </c>
      <c r="AV41" s="168">
        <f t="shared" si="62"/>
        <v>0</v>
      </c>
      <c r="AW41" s="168">
        <f t="shared" si="62"/>
        <v>0</v>
      </c>
      <c r="AX41" s="168">
        <f t="shared" si="62"/>
        <v>0</v>
      </c>
      <c r="AY41" s="168">
        <f t="shared" si="62"/>
        <v>0</v>
      </c>
      <c r="AZ41" s="168">
        <f t="shared" si="62"/>
        <v>0</v>
      </c>
      <c r="BA41" s="168">
        <f t="shared" si="62"/>
        <v>0</v>
      </c>
      <c r="BB41" s="168">
        <f t="shared" si="62"/>
        <v>0</v>
      </c>
      <c r="BC41" s="168">
        <f t="shared" si="62"/>
        <v>0</v>
      </c>
      <c r="BD41" s="168">
        <f t="shared" si="62"/>
        <v>0</v>
      </c>
      <c r="BE41" s="168">
        <f t="shared" si="62"/>
        <v>0</v>
      </c>
      <c r="BF41" s="168">
        <f t="shared" si="62"/>
        <v>0</v>
      </c>
      <c r="BG41" s="168">
        <f t="shared" si="62"/>
        <v>0</v>
      </c>
      <c r="BH41" s="168">
        <f t="shared" si="62"/>
        <v>0</v>
      </c>
      <c r="BI41" s="168">
        <f t="shared" si="62"/>
        <v>0</v>
      </c>
      <c r="BJ41" s="168">
        <f t="shared" si="62"/>
        <v>0</v>
      </c>
      <c r="BK41" s="168">
        <f t="shared" si="62"/>
        <v>0</v>
      </c>
      <c r="BL41" s="168">
        <f t="shared" si="62"/>
        <v>0</v>
      </c>
      <c r="BM41" s="168">
        <f t="shared" si="62"/>
        <v>0</v>
      </c>
      <c r="BN41" s="168">
        <f t="shared" si="62"/>
        <v>0</v>
      </c>
      <c r="BO41" s="168">
        <f t="shared" si="62"/>
        <v>0</v>
      </c>
      <c r="BP41" s="168">
        <f t="shared" si="62"/>
        <v>0</v>
      </c>
      <c r="BQ41" s="168">
        <f t="shared" si="62"/>
        <v>0</v>
      </c>
      <c r="BR41" s="168">
        <f t="shared" si="62"/>
        <v>0</v>
      </c>
      <c r="BS41" s="168">
        <f t="shared" si="62"/>
        <v>0</v>
      </c>
      <c r="BT41" s="168">
        <f t="shared" si="62"/>
        <v>0</v>
      </c>
      <c r="BU41" s="168">
        <f t="shared" si="62"/>
        <v>0</v>
      </c>
      <c r="BV41" s="168">
        <f t="shared" si="62"/>
        <v>0</v>
      </c>
      <c r="BW41" s="168">
        <f t="shared" si="62"/>
        <v>0</v>
      </c>
      <c r="BX41" s="168">
        <f t="shared" si="62"/>
        <v>0</v>
      </c>
      <c r="BY41" s="168">
        <f t="shared" si="62"/>
        <v>0</v>
      </c>
      <c r="BZ41" s="168">
        <f t="shared" si="62"/>
        <v>0</v>
      </c>
      <c r="CA41" s="168">
        <f t="shared" si="62"/>
        <v>0</v>
      </c>
      <c r="CB41" s="168">
        <f t="shared" si="62"/>
        <v>0</v>
      </c>
      <c r="CC41" s="168">
        <f t="shared" si="62"/>
        <v>0</v>
      </c>
      <c r="CD41" s="168">
        <f t="shared" si="62"/>
        <v>0</v>
      </c>
      <c r="CE41" s="168">
        <f t="shared" si="62"/>
        <v>0</v>
      </c>
      <c r="CF41" s="168">
        <f t="shared" si="62"/>
        <v>0</v>
      </c>
      <c r="CG41" s="168">
        <f t="shared" si="62"/>
        <v>0</v>
      </c>
      <c r="CH41" s="168">
        <f t="shared" si="62"/>
        <v>0</v>
      </c>
      <c r="CI41" s="168">
        <f t="shared" si="62"/>
        <v>0</v>
      </c>
      <c r="CJ41" s="168">
        <f t="shared" si="62"/>
        <v>0</v>
      </c>
      <c r="CK41" s="168">
        <f t="shared" si="62"/>
        <v>0</v>
      </c>
      <c r="CL41" s="168">
        <f t="shared" si="62"/>
        <v>0</v>
      </c>
      <c r="CM41" s="168">
        <f t="shared" si="62"/>
        <v>0</v>
      </c>
      <c r="CN41" s="168">
        <f t="shared" ref="CN41:EQ42" si="63">(CN$14=$I41)*1</f>
        <v>0</v>
      </c>
      <c r="CO41" s="168">
        <f t="shared" si="63"/>
        <v>0</v>
      </c>
      <c r="CP41" s="168">
        <f t="shared" si="63"/>
        <v>0</v>
      </c>
      <c r="CQ41" s="168">
        <f t="shared" si="63"/>
        <v>0</v>
      </c>
      <c r="CR41" s="168">
        <f t="shared" si="63"/>
        <v>0</v>
      </c>
      <c r="CS41" s="168">
        <f t="shared" si="63"/>
        <v>0</v>
      </c>
      <c r="CT41" s="168">
        <f t="shared" si="63"/>
        <v>0</v>
      </c>
      <c r="CU41" s="168">
        <f t="shared" si="63"/>
        <v>0</v>
      </c>
      <c r="CV41" s="168">
        <f t="shared" si="63"/>
        <v>0</v>
      </c>
      <c r="CW41" s="168">
        <f t="shared" si="63"/>
        <v>0</v>
      </c>
      <c r="CX41" s="168">
        <f t="shared" si="63"/>
        <v>0</v>
      </c>
      <c r="CY41" s="168">
        <f t="shared" si="63"/>
        <v>0</v>
      </c>
      <c r="CZ41" s="168">
        <f t="shared" si="63"/>
        <v>0</v>
      </c>
      <c r="DA41" s="168">
        <f t="shared" si="63"/>
        <v>0</v>
      </c>
      <c r="DB41" s="168">
        <f t="shared" si="63"/>
        <v>0</v>
      </c>
      <c r="DC41" s="168">
        <f t="shared" si="63"/>
        <v>0</v>
      </c>
      <c r="DD41" s="168">
        <f t="shared" si="63"/>
        <v>0</v>
      </c>
      <c r="DE41" s="168">
        <f t="shared" si="63"/>
        <v>0</v>
      </c>
      <c r="DF41" s="168">
        <f t="shared" si="63"/>
        <v>0</v>
      </c>
      <c r="DG41" s="168">
        <f t="shared" si="63"/>
        <v>0</v>
      </c>
      <c r="DH41" s="168">
        <f t="shared" si="63"/>
        <v>0</v>
      </c>
      <c r="DI41" s="168">
        <f t="shared" si="63"/>
        <v>0</v>
      </c>
      <c r="DJ41" s="168">
        <f t="shared" si="63"/>
        <v>0</v>
      </c>
      <c r="DK41" s="168">
        <f t="shared" si="63"/>
        <v>0</v>
      </c>
      <c r="DL41" s="168">
        <f t="shared" si="63"/>
        <v>0</v>
      </c>
      <c r="DM41" s="168">
        <f t="shared" si="63"/>
        <v>0</v>
      </c>
      <c r="DN41" s="168">
        <f t="shared" si="63"/>
        <v>0</v>
      </c>
      <c r="DO41" s="168">
        <f t="shared" si="63"/>
        <v>0</v>
      </c>
      <c r="DP41" s="168">
        <f t="shared" si="63"/>
        <v>0</v>
      </c>
      <c r="DQ41" s="168">
        <f t="shared" si="63"/>
        <v>0</v>
      </c>
      <c r="DR41" s="168">
        <f t="shared" si="63"/>
        <v>0</v>
      </c>
      <c r="DS41" s="168">
        <f t="shared" si="63"/>
        <v>0</v>
      </c>
      <c r="DT41" s="168">
        <f t="shared" si="63"/>
        <v>0</v>
      </c>
      <c r="DU41" s="168">
        <f t="shared" si="63"/>
        <v>0</v>
      </c>
      <c r="DV41" s="168">
        <f t="shared" si="63"/>
        <v>0</v>
      </c>
      <c r="DW41" s="168">
        <f t="shared" si="63"/>
        <v>0</v>
      </c>
      <c r="DX41" s="168">
        <f t="shared" si="63"/>
        <v>0</v>
      </c>
      <c r="DY41" s="168">
        <f t="shared" si="63"/>
        <v>0</v>
      </c>
      <c r="DZ41" s="168">
        <f t="shared" si="63"/>
        <v>0</v>
      </c>
      <c r="EA41" s="168">
        <f t="shared" si="63"/>
        <v>0</v>
      </c>
      <c r="EB41" s="168">
        <f t="shared" si="63"/>
        <v>0</v>
      </c>
      <c r="EC41" s="168">
        <f t="shared" si="63"/>
        <v>0</v>
      </c>
      <c r="ED41" s="168">
        <f t="shared" si="63"/>
        <v>0</v>
      </c>
      <c r="EE41" s="168">
        <f t="shared" si="63"/>
        <v>0</v>
      </c>
      <c r="EF41" s="168">
        <f t="shared" si="63"/>
        <v>0</v>
      </c>
      <c r="EG41" s="168">
        <f t="shared" si="63"/>
        <v>0</v>
      </c>
      <c r="EH41" s="168">
        <f t="shared" si="63"/>
        <v>0</v>
      </c>
      <c r="EI41" s="168">
        <f t="shared" si="63"/>
        <v>0</v>
      </c>
      <c r="EJ41" s="168">
        <f t="shared" si="63"/>
        <v>0</v>
      </c>
      <c r="EK41" s="168">
        <f t="shared" si="63"/>
        <v>0</v>
      </c>
      <c r="EL41" s="168">
        <f t="shared" si="63"/>
        <v>0</v>
      </c>
      <c r="EM41" s="168">
        <f t="shared" si="63"/>
        <v>0</v>
      </c>
      <c r="EN41" s="168">
        <f t="shared" si="63"/>
        <v>0</v>
      </c>
      <c r="EO41" s="168">
        <f t="shared" si="63"/>
        <v>0</v>
      </c>
      <c r="EP41" s="168">
        <f t="shared" si="63"/>
        <v>0</v>
      </c>
      <c r="EQ41" s="168">
        <f t="shared" si="63"/>
        <v>0</v>
      </c>
    </row>
    <row r="42" spans="3:147" ht="11.25" customHeight="1">
      <c r="C42" s="163"/>
      <c r="D42" s="169" t="s">
        <v>120</v>
      </c>
      <c r="I42" s="146">
        <f>'A&amp;R'!E39</f>
        <v>49979</v>
      </c>
      <c r="J42" s="170"/>
      <c r="K42" s="98"/>
      <c r="L42" s="171">
        <f t="shared" si="61"/>
        <v>0</v>
      </c>
      <c r="M42" s="171">
        <f t="shared" si="61"/>
        <v>0</v>
      </c>
      <c r="N42" s="171">
        <f t="shared" si="61"/>
        <v>0</v>
      </c>
      <c r="O42" s="171">
        <f t="shared" si="61"/>
        <v>0</v>
      </c>
      <c r="P42" s="171">
        <f t="shared" si="61"/>
        <v>0</v>
      </c>
      <c r="Q42" s="171">
        <f t="shared" si="61"/>
        <v>0</v>
      </c>
      <c r="R42" s="171">
        <f t="shared" si="61"/>
        <v>0</v>
      </c>
      <c r="S42" s="171">
        <f t="shared" si="61"/>
        <v>0</v>
      </c>
      <c r="T42" s="171">
        <f t="shared" si="61"/>
        <v>0</v>
      </c>
      <c r="U42" s="171">
        <f t="shared" si="61"/>
        <v>0</v>
      </c>
      <c r="V42" s="171">
        <f t="shared" si="61"/>
        <v>0</v>
      </c>
      <c r="W42" s="171">
        <f t="shared" si="61"/>
        <v>0</v>
      </c>
      <c r="X42" s="171">
        <f t="shared" si="61"/>
        <v>0</v>
      </c>
      <c r="Y42" s="171">
        <f t="shared" si="61"/>
        <v>0</v>
      </c>
      <c r="Z42" s="171">
        <f t="shared" si="61"/>
        <v>0</v>
      </c>
      <c r="AA42" s="171">
        <f t="shared" si="61"/>
        <v>0</v>
      </c>
      <c r="AB42" s="171">
        <f t="shared" si="62"/>
        <v>0</v>
      </c>
      <c r="AC42" s="171">
        <f t="shared" si="62"/>
        <v>0</v>
      </c>
      <c r="AD42" s="171">
        <f t="shared" si="62"/>
        <v>0</v>
      </c>
      <c r="AE42" s="171">
        <f t="shared" si="62"/>
        <v>0</v>
      </c>
      <c r="AF42" s="171">
        <f t="shared" si="62"/>
        <v>0</v>
      </c>
      <c r="AG42" s="171">
        <f t="shared" si="62"/>
        <v>0</v>
      </c>
      <c r="AH42" s="171">
        <f t="shared" si="62"/>
        <v>0</v>
      </c>
      <c r="AI42" s="171">
        <f t="shared" si="62"/>
        <v>0</v>
      </c>
      <c r="AJ42" s="171">
        <f t="shared" si="62"/>
        <v>0</v>
      </c>
      <c r="AK42" s="171">
        <f t="shared" si="62"/>
        <v>0</v>
      </c>
      <c r="AL42" s="171">
        <f t="shared" si="62"/>
        <v>0</v>
      </c>
      <c r="AM42" s="171">
        <f t="shared" si="62"/>
        <v>0</v>
      </c>
      <c r="AN42" s="171">
        <f t="shared" si="62"/>
        <v>0</v>
      </c>
      <c r="AO42" s="171">
        <f t="shared" si="62"/>
        <v>0</v>
      </c>
      <c r="AP42" s="171">
        <f t="shared" si="62"/>
        <v>0</v>
      </c>
      <c r="AQ42" s="171">
        <f t="shared" si="62"/>
        <v>0</v>
      </c>
      <c r="AR42" s="171">
        <f t="shared" si="62"/>
        <v>0</v>
      </c>
      <c r="AS42" s="171">
        <f t="shared" si="62"/>
        <v>0</v>
      </c>
      <c r="AT42" s="171">
        <f t="shared" si="62"/>
        <v>0</v>
      </c>
      <c r="AU42" s="171">
        <f t="shared" si="62"/>
        <v>0</v>
      </c>
      <c r="AV42" s="171">
        <f t="shared" si="62"/>
        <v>0</v>
      </c>
      <c r="AW42" s="171">
        <f t="shared" si="62"/>
        <v>0</v>
      </c>
      <c r="AX42" s="171">
        <f t="shared" si="62"/>
        <v>0</v>
      </c>
      <c r="AY42" s="171">
        <f t="shared" si="62"/>
        <v>0</v>
      </c>
      <c r="AZ42" s="171">
        <f t="shared" si="62"/>
        <v>0</v>
      </c>
      <c r="BA42" s="171">
        <f t="shared" si="62"/>
        <v>0</v>
      </c>
      <c r="BB42" s="171">
        <f t="shared" si="62"/>
        <v>0</v>
      </c>
      <c r="BC42" s="171">
        <f t="shared" si="62"/>
        <v>0</v>
      </c>
      <c r="BD42" s="171">
        <f t="shared" si="62"/>
        <v>0</v>
      </c>
      <c r="BE42" s="171">
        <f t="shared" si="62"/>
        <v>0</v>
      </c>
      <c r="BF42" s="171">
        <f t="shared" si="62"/>
        <v>0</v>
      </c>
      <c r="BG42" s="171">
        <f t="shared" si="62"/>
        <v>0</v>
      </c>
      <c r="BH42" s="171">
        <f t="shared" si="62"/>
        <v>0</v>
      </c>
      <c r="BI42" s="171">
        <f t="shared" si="62"/>
        <v>0</v>
      </c>
      <c r="BJ42" s="171">
        <f t="shared" si="62"/>
        <v>0</v>
      </c>
      <c r="BK42" s="171">
        <f t="shared" si="62"/>
        <v>0</v>
      </c>
      <c r="BL42" s="171">
        <f t="shared" si="62"/>
        <v>0</v>
      </c>
      <c r="BM42" s="171">
        <f t="shared" si="62"/>
        <v>0</v>
      </c>
      <c r="BN42" s="171">
        <f t="shared" si="62"/>
        <v>0</v>
      </c>
      <c r="BO42" s="171">
        <f t="shared" si="62"/>
        <v>0</v>
      </c>
      <c r="BP42" s="171">
        <f t="shared" si="62"/>
        <v>0</v>
      </c>
      <c r="BQ42" s="171">
        <f t="shared" si="62"/>
        <v>0</v>
      </c>
      <c r="BR42" s="171">
        <f t="shared" si="62"/>
        <v>0</v>
      </c>
      <c r="BS42" s="171">
        <f t="shared" si="62"/>
        <v>0</v>
      </c>
      <c r="BT42" s="171">
        <f t="shared" si="62"/>
        <v>0</v>
      </c>
      <c r="BU42" s="171">
        <f t="shared" si="62"/>
        <v>0</v>
      </c>
      <c r="BV42" s="171">
        <f t="shared" si="62"/>
        <v>0</v>
      </c>
      <c r="BW42" s="171">
        <f t="shared" si="62"/>
        <v>0</v>
      </c>
      <c r="BX42" s="171">
        <f t="shared" si="62"/>
        <v>0</v>
      </c>
      <c r="BY42" s="171">
        <f t="shared" si="62"/>
        <v>0</v>
      </c>
      <c r="BZ42" s="171">
        <f t="shared" si="62"/>
        <v>0</v>
      </c>
      <c r="CA42" s="171">
        <f t="shared" si="62"/>
        <v>0</v>
      </c>
      <c r="CB42" s="171">
        <f t="shared" si="62"/>
        <v>0</v>
      </c>
      <c r="CC42" s="171">
        <f t="shared" si="62"/>
        <v>0</v>
      </c>
      <c r="CD42" s="171">
        <f t="shared" si="62"/>
        <v>0</v>
      </c>
      <c r="CE42" s="171">
        <f t="shared" si="62"/>
        <v>0</v>
      </c>
      <c r="CF42" s="171">
        <f t="shared" si="62"/>
        <v>0</v>
      </c>
      <c r="CG42" s="171">
        <f t="shared" si="62"/>
        <v>0</v>
      </c>
      <c r="CH42" s="171">
        <f t="shared" si="62"/>
        <v>0</v>
      </c>
      <c r="CI42" s="171">
        <f t="shared" si="62"/>
        <v>0</v>
      </c>
      <c r="CJ42" s="171">
        <f t="shared" si="62"/>
        <v>0</v>
      </c>
      <c r="CK42" s="171">
        <f t="shared" si="62"/>
        <v>0</v>
      </c>
      <c r="CL42" s="171">
        <f t="shared" si="62"/>
        <v>0</v>
      </c>
      <c r="CM42" s="171">
        <f t="shared" si="62"/>
        <v>0</v>
      </c>
      <c r="CN42" s="171">
        <f t="shared" si="63"/>
        <v>0</v>
      </c>
      <c r="CO42" s="171">
        <f t="shared" si="63"/>
        <v>0</v>
      </c>
      <c r="CP42" s="171">
        <f t="shared" si="63"/>
        <v>0</v>
      </c>
      <c r="CQ42" s="171">
        <f t="shared" si="63"/>
        <v>0</v>
      </c>
      <c r="CR42" s="171">
        <f t="shared" si="63"/>
        <v>0</v>
      </c>
      <c r="CS42" s="171">
        <f t="shared" si="63"/>
        <v>0</v>
      </c>
      <c r="CT42" s="171">
        <f t="shared" si="63"/>
        <v>0</v>
      </c>
      <c r="CU42" s="171">
        <f t="shared" si="63"/>
        <v>0</v>
      </c>
      <c r="CV42" s="171">
        <f t="shared" si="63"/>
        <v>0</v>
      </c>
      <c r="CW42" s="171">
        <f t="shared" si="63"/>
        <v>0</v>
      </c>
      <c r="CX42" s="171">
        <f t="shared" si="63"/>
        <v>0</v>
      </c>
      <c r="CY42" s="171">
        <f t="shared" si="63"/>
        <v>0</v>
      </c>
      <c r="CZ42" s="171">
        <f t="shared" si="63"/>
        <v>0</v>
      </c>
      <c r="DA42" s="171">
        <f t="shared" si="63"/>
        <v>0</v>
      </c>
      <c r="DB42" s="171">
        <f t="shared" si="63"/>
        <v>0</v>
      </c>
      <c r="DC42" s="171">
        <f t="shared" si="63"/>
        <v>0</v>
      </c>
      <c r="DD42" s="171">
        <f t="shared" si="63"/>
        <v>0</v>
      </c>
      <c r="DE42" s="171">
        <f t="shared" si="63"/>
        <v>0</v>
      </c>
      <c r="DF42" s="171">
        <f t="shared" si="63"/>
        <v>0</v>
      </c>
      <c r="DG42" s="171">
        <f t="shared" si="63"/>
        <v>0</v>
      </c>
      <c r="DH42" s="171">
        <f t="shared" si="63"/>
        <v>0</v>
      </c>
      <c r="DI42" s="171">
        <f t="shared" si="63"/>
        <v>0</v>
      </c>
      <c r="DJ42" s="171">
        <f t="shared" si="63"/>
        <v>0</v>
      </c>
      <c r="DK42" s="171">
        <f t="shared" si="63"/>
        <v>0</v>
      </c>
      <c r="DL42" s="171">
        <f t="shared" si="63"/>
        <v>0</v>
      </c>
      <c r="DM42" s="171">
        <f t="shared" si="63"/>
        <v>0</v>
      </c>
      <c r="DN42" s="171">
        <f t="shared" si="63"/>
        <v>0</v>
      </c>
      <c r="DO42" s="171">
        <f t="shared" si="63"/>
        <v>0</v>
      </c>
      <c r="DP42" s="171">
        <f t="shared" si="63"/>
        <v>0</v>
      </c>
      <c r="DQ42" s="171">
        <f t="shared" si="63"/>
        <v>0</v>
      </c>
      <c r="DR42" s="171">
        <f t="shared" si="63"/>
        <v>0</v>
      </c>
      <c r="DS42" s="171">
        <f t="shared" si="63"/>
        <v>0</v>
      </c>
      <c r="DT42" s="171">
        <f t="shared" si="63"/>
        <v>0</v>
      </c>
      <c r="DU42" s="171">
        <f t="shared" si="63"/>
        <v>0</v>
      </c>
      <c r="DV42" s="171">
        <f t="shared" si="63"/>
        <v>0</v>
      </c>
      <c r="DW42" s="171">
        <f t="shared" si="63"/>
        <v>0</v>
      </c>
      <c r="DX42" s="171">
        <f t="shared" si="63"/>
        <v>0</v>
      </c>
      <c r="DY42" s="171">
        <f t="shared" si="63"/>
        <v>0</v>
      </c>
      <c r="DZ42" s="171">
        <f t="shared" si="63"/>
        <v>0</v>
      </c>
      <c r="EA42" s="171">
        <f t="shared" si="63"/>
        <v>0</v>
      </c>
      <c r="EB42" s="171">
        <f t="shared" si="63"/>
        <v>1</v>
      </c>
      <c r="EC42" s="171">
        <f t="shared" si="63"/>
        <v>0</v>
      </c>
      <c r="ED42" s="171">
        <f t="shared" si="63"/>
        <v>0</v>
      </c>
      <c r="EE42" s="171">
        <f t="shared" si="63"/>
        <v>0</v>
      </c>
      <c r="EF42" s="171">
        <f t="shared" si="63"/>
        <v>0</v>
      </c>
      <c r="EG42" s="171">
        <f t="shared" si="63"/>
        <v>0</v>
      </c>
      <c r="EH42" s="171">
        <f t="shared" si="63"/>
        <v>0</v>
      </c>
      <c r="EI42" s="171">
        <f t="shared" si="63"/>
        <v>0</v>
      </c>
      <c r="EJ42" s="171">
        <f t="shared" si="63"/>
        <v>0</v>
      </c>
      <c r="EK42" s="171">
        <f t="shared" si="63"/>
        <v>0</v>
      </c>
      <c r="EL42" s="171">
        <f t="shared" si="63"/>
        <v>0</v>
      </c>
      <c r="EM42" s="171">
        <f t="shared" si="63"/>
        <v>0</v>
      </c>
      <c r="EN42" s="171">
        <f t="shared" si="63"/>
        <v>0</v>
      </c>
      <c r="EO42" s="171">
        <f t="shared" si="63"/>
        <v>0</v>
      </c>
      <c r="EP42" s="171">
        <f t="shared" si="63"/>
        <v>0</v>
      </c>
      <c r="EQ42" s="171">
        <f t="shared" si="63"/>
        <v>0</v>
      </c>
    </row>
    <row r="43" spans="3:147" ht="11.25" customHeight="1">
      <c r="C43" s="163"/>
      <c r="D43" s="169" t="s">
        <v>457</v>
      </c>
      <c r="H43" s="146">
        <f>'A&amp;R'!E35</f>
        <v>46326</v>
      </c>
      <c r="I43" s="146">
        <f>I42</f>
        <v>49979</v>
      </c>
      <c r="J43" s="170"/>
      <c r="K43" s="98"/>
      <c r="L43" s="171">
        <f>(L$14&gt;$H43)*(L$14&lt;=$I43)*1</f>
        <v>0</v>
      </c>
      <c r="M43" s="171">
        <f t="shared" ref="M43:BX43" si="64">(M$14&gt;$H43)*(M$14&lt;=$I43)*1</f>
        <v>1</v>
      </c>
      <c r="N43" s="171">
        <f t="shared" si="64"/>
        <v>1</v>
      </c>
      <c r="O43" s="171">
        <f t="shared" si="64"/>
        <v>1</v>
      </c>
      <c r="P43" s="171">
        <f t="shared" si="64"/>
        <v>1</v>
      </c>
      <c r="Q43" s="171">
        <f t="shared" si="64"/>
        <v>1</v>
      </c>
      <c r="R43" s="171">
        <f t="shared" si="64"/>
        <v>1</v>
      </c>
      <c r="S43" s="171">
        <f t="shared" si="64"/>
        <v>1</v>
      </c>
      <c r="T43" s="171">
        <f t="shared" si="64"/>
        <v>1</v>
      </c>
      <c r="U43" s="171">
        <f t="shared" si="64"/>
        <v>1</v>
      </c>
      <c r="V43" s="171">
        <f t="shared" si="64"/>
        <v>1</v>
      </c>
      <c r="W43" s="171">
        <f t="shared" si="64"/>
        <v>1</v>
      </c>
      <c r="X43" s="171">
        <f t="shared" si="64"/>
        <v>1</v>
      </c>
      <c r="Y43" s="171">
        <f t="shared" si="64"/>
        <v>1</v>
      </c>
      <c r="Z43" s="171">
        <f t="shared" si="64"/>
        <v>1</v>
      </c>
      <c r="AA43" s="171">
        <f t="shared" si="64"/>
        <v>1</v>
      </c>
      <c r="AB43" s="171">
        <f t="shared" si="64"/>
        <v>1</v>
      </c>
      <c r="AC43" s="171">
        <f t="shared" si="64"/>
        <v>1</v>
      </c>
      <c r="AD43" s="171">
        <f t="shared" si="64"/>
        <v>1</v>
      </c>
      <c r="AE43" s="171">
        <f t="shared" si="64"/>
        <v>1</v>
      </c>
      <c r="AF43" s="171">
        <f t="shared" si="64"/>
        <v>1</v>
      </c>
      <c r="AG43" s="171">
        <f t="shared" si="64"/>
        <v>1</v>
      </c>
      <c r="AH43" s="171">
        <f t="shared" si="64"/>
        <v>1</v>
      </c>
      <c r="AI43" s="171">
        <f t="shared" si="64"/>
        <v>1</v>
      </c>
      <c r="AJ43" s="171">
        <f t="shared" si="64"/>
        <v>1</v>
      </c>
      <c r="AK43" s="171">
        <f t="shared" si="64"/>
        <v>1</v>
      </c>
      <c r="AL43" s="171">
        <f t="shared" si="64"/>
        <v>1</v>
      </c>
      <c r="AM43" s="171">
        <f t="shared" si="64"/>
        <v>1</v>
      </c>
      <c r="AN43" s="171">
        <f t="shared" si="64"/>
        <v>1</v>
      </c>
      <c r="AO43" s="171">
        <f t="shared" si="64"/>
        <v>1</v>
      </c>
      <c r="AP43" s="171">
        <f t="shared" si="64"/>
        <v>1</v>
      </c>
      <c r="AQ43" s="171">
        <f t="shared" si="64"/>
        <v>1</v>
      </c>
      <c r="AR43" s="171">
        <f t="shared" si="64"/>
        <v>1</v>
      </c>
      <c r="AS43" s="171">
        <f t="shared" si="64"/>
        <v>1</v>
      </c>
      <c r="AT43" s="171">
        <f t="shared" si="64"/>
        <v>1</v>
      </c>
      <c r="AU43" s="171">
        <f t="shared" si="64"/>
        <v>1</v>
      </c>
      <c r="AV43" s="171">
        <f t="shared" si="64"/>
        <v>1</v>
      </c>
      <c r="AW43" s="171">
        <f t="shared" si="64"/>
        <v>1</v>
      </c>
      <c r="AX43" s="171">
        <f t="shared" si="64"/>
        <v>1</v>
      </c>
      <c r="AY43" s="171">
        <f t="shared" si="64"/>
        <v>1</v>
      </c>
      <c r="AZ43" s="171">
        <f t="shared" si="64"/>
        <v>1</v>
      </c>
      <c r="BA43" s="171">
        <f t="shared" si="64"/>
        <v>1</v>
      </c>
      <c r="BB43" s="171">
        <f t="shared" si="64"/>
        <v>1</v>
      </c>
      <c r="BC43" s="171">
        <f t="shared" si="64"/>
        <v>1</v>
      </c>
      <c r="BD43" s="171">
        <f t="shared" si="64"/>
        <v>1</v>
      </c>
      <c r="BE43" s="171">
        <f t="shared" si="64"/>
        <v>1</v>
      </c>
      <c r="BF43" s="171">
        <f t="shared" si="64"/>
        <v>1</v>
      </c>
      <c r="BG43" s="171">
        <f t="shared" si="64"/>
        <v>1</v>
      </c>
      <c r="BH43" s="171">
        <f t="shared" si="64"/>
        <v>1</v>
      </c>
      <c r="BI43" s="171">
        <f t="shared" si="64"/>
        <v>1</v>
      </c>
      <c r="BJ43" s="171">
        <f t="shared" si="64"/>
        <v>1</v>
      </c>
      <c r="BK43" s="171">
        <f t="shared" si="64"/>
        <v>1</v>
      </c>
      <c r="BL43" s="171">
        <f t="shared" si="64"/>
        <v>1</v>
      </c>
      <c r="BM43" s="171">
        <f t="shared" si="64"/>
        <v>1</v>
      </c>
      <c r="BN43" s="171">
        <f t="shared" si="64"/>
        <v>1</v>
      </c>
      <c r="BO43" s="171">
        <f t="shared" si="64"/>
        <v>1</v>
      </c>
      <c r="BP43" s="171">
        <f t="shared" si="64"/>
        <v>1</v>
      </c>
      <c r="BQ43" s="171">
        <f t="shared" si="64"/>
        <v>1</v>
      </c>
      <c r="BR43" s="171">
        <f t="shared" si="64"/>
        <v>1</v>
      </c>
      <c r="BS43" s="171">
        <f t="shared" si="64"/>
        <v>1</v>
      </c>
      <c r="BT43" s="171">
        <f t="shared" si="64"/>
        <v>1</v>
      </c>
      <c r="BU43" s="171">
        <f t="shared" si="64"/>
        <v>1</v>
      </c>
      <c r="BV43" s="171">
        <f t="shared" si="64"/>
        <v>1</v>
      </c>
      <c r="BW43" s="171">
        <f t="shared" si="64"/>
        <v>1</v>
      </c>
      <c r="BX43" s="171">
        <f t="shared" si="64"/>
        <v>1</v>
      </c>
      <c r="BY43" s="171">
        <f t="shared" ref="BY43:EQ43" si="65">(BY$14&gt;$H43)*(BY$14&lt;=$I43)*1</f>
        <v>1</v>
      </c>
      <c r="BZ43" s="171">
        <f t="shared" si="65"/>
        <v>1</v>
      </c>
      <c r="CA43" s="171">
        <f t="shared" si="65"/>
        <v>1</v>
      </c>
      <c r="CB43" s="171">
        <f t="shared" si="65"/>
        <v>1</v>
      </c>
      <c r="CC43" s="171">
        <f t="shared" si="65"/>
        <v>1</v>
      </c>
      <c r="CD43" s="171">
        <f t="shared" si="65"/>
        <v>1</v>
      </c>
      <c r="CE43" s="171">
        <f t="shared" si="65"/>
        <v>1</v>
      </c>
      <c r="CF43" s="171">
        <f t="shared" si="65"/>
        <v>1</v>
      </c>
      <c r="CG43" s="171">
        <f t="shared" si="65"/>
        <v>1</v>
      </c>
      <c r="CH43" s="171">
        <f t="shared" si="65"/>
        <v>1</v>
      </c>
      <c r="CI43" s="171">
        <f t="shared" si="65"/>
        <v>1</v>
      </c>
      <c r="CJ43" s="171">
        <f t="shared" si="65"/>
        <v>1</v>
      </c>
      <c r="CK43" s="171">
        <f t="shared" si="65"/>
        <v>1</v>
      </c>
      <c r="CL43" s="171">
        <f t="shared" si="65"/>
        <v>1</v>
      </c>
      <c r="CM43" s="171">
        <f t="shared" si="65"/>
        <v>1</v>
      </c>
      <c r="CN43" s="171">
        <f t="shared" si="65"/>
        <v>1</v>
      </c>
      <c r="CO43" s="171">
        <f t="shared" si="65"/>
        <v>1</v>
      </c>
      <c r="CP43" s="171">
        <f t="shared" si="65"/>
        <v>1</v>
      </c>
      <c r="CQ43" s="171">
        <f t="shared" si="65"/>
        <v>1</v>
      </c>
      <c r="CR43" s="171">
        <f t="shared" si="65"/>
        <v>1</v>
      </c>
      <c r="CS43" s="171">
        <f t="shared" si="65"/>
        <v>1</v>
      </c>
      <c r="CT43" s="171">
        <f t="shared" si="65"/>
        <v>1</v>
      </c>
      <c r="CU43" s="171">
        <f t="shared" si="65"/>
        <v>1</v>
      </c>
      <c r="CV43" s="171">
        <f t="shared" si="65"/>
        <v>1</v>
      </c>
      <c r="CW43" s="171">
        <f t="shared" si="65"/>
        <v>1</v>
      </c>
      <c r="CX43" s="171">
        <f t="shared" si="65"/>
        <v>1</v>
      </c>
      <c r="CY43" s="171">
        <f t="shared" si="65"/>
        <v>1</v>
      </c>
      <c r="CZ43" s="171">
        <f t="shared" si="65"/>
        <v>1</v>
      </c>
      <c r="DA43" s="171">
        <f t="shared" si="65"/>
        <v>1</v>
      </c>
      <c r="DB43" s="171">
        <f t="shared" si="65"/>
        <v>1</v>
      </c>
      <c r="DC43" s="171">
        <f t="shared" si="65"/>
        <v>1</v>
      </c>
      <c r="DD43" s="171">
        <f t="shared" si="65"/>
        <v>1</v>
      </c>
      <c r="DE43" s="171">
        <f t="shared" si="65"/>
        <v>1</v>
      </c>
      <c r="DF43" s="171">
        <f t="shared" si="65"/>
        <v>1</v>
      </c>
      <c r="DG43" s="171">
        <f t="shared" si="65"/>
        <v>1</v>
      </c>
      <c r="DH43" s="171">
        <f t="shared" si="65"/>
        <v>1</v>
      </c>
      <c r="DI43" s="171">
        <f t="shared" si="65"/>
        <v>1</v>
      </c>
      <c r="DJ43" s="171">
        <f t="shared" si="65"/>
        <v>1</v>
      </c>
      <c r="DK43" s="171">
        <f t="shared" si="65"/>
        <v>1</v>
      </c>
      <c r="DL43" s="171">
        <f t="shared" si="65"/>
        <v>1</v>
      </c>
      <c r="DM43" s="171">
        <f t="shared" si="65"/>
        <v>1</v>
      </c>
      <c r="DN43" s="171">
        <f t="shared" si="65"/>
        <v>1</v>
      </c>
      <c r="DO43" s="171">
        <f t="shared" si="65"/>
        <v>1</v>
      </c>
      <c r="DP43" s="171">
        <f t="shared" si="65"/>
        <v>1</v>
      </c>
      <c r="DQ43" s="171">
        <f t="shared" si="65"/>
        <v>1</v>
      </c>
      <c r="DR43" s="171">
        <f t="shared" si="65"/>
        <v>1</v>
      </c>
      <c r="DS43" s="171">
        <f t="shared" si="65"/>
        <v>1</v>
      </c>
      <c r="DT43" s="171">
        <f t="shared" si="65"/>
        <v>1</v>
      </c>
      <c r="DU43" s="171">
        <f t="shared" si="65"/>
        <v>1</v>
      </c>
      <c r="DV43" s="171">
        <f t="shared" si="65"/>
        <v>1</v>
      </c>
      <c r="DW43" s="171">
        <f t="shared" si="65"/>
        <v>1</v>
      </c>
      <c r="DX43" s="171">
        <f t="shared" si="65"/>
        <v>1</v>
      </c>
      <c r="DY43" s="171">
        <f t="shared" si="65"/>
        <v>1</v>
      </c>
      <c r="DZ43" s="171">
        <f t="shared" si="65"/>
        <v>1</v>
      </c>
      <c r="EA43" s="171">
        <f t="shared" si="65"/>
        <v>1</v>
      </c>
      <c r="EB43" s="171">
        <f t="shared" si="65"/>
        <v>1</v>
      </c>
      <c r="EC43" s="171">
        <f t="shared" si="65"/>
        <v>0</v>
      </c>
      <c r="ED43" s="171">
        <f t="shared" si="65"/>
        <v>0</v>
      </c>
      <c r="EE43" s="171">
        <f t="shared" si="65"/>
        <v>0</v>
      </c>
      <c r="EF43" s="171">
        <f t="shared" si="65"/>
        <v>0</v>
      </c>
      <c r="EG43" s="171">
        <f t="shared" si="65"/>
        <v>0</v>
      </c>
      <c r="EH43" s="171">
        <f t="shared" si="65"/>
        <v>0</v>
      </c>
      <c r="EI43" s="171">
        <f t="shared" si="65"/>
        <v>0</v>
      </c>
      <c r="EJ43" s="171">
        <f t="shared" si="65"/>
        <v>0</v>
      </c>
      <c r="EK43" s="171">
        <f t="shared" si="65"/>
        <v>0</v>
      </c>
      <c r="EL43" s="171">
        <f t="shared" si="65"/>
        <v>0</v>
      </c>
      <c r="EM43" s="171">
        <f t="shared" si="65"/>
        <v>0</v>
      </c>
      <c r="EN43" s="171">
        <f t="shared" si="65"/>
        <v>0</v>
      </c>
      <c r="EO43" s="171">
        <f t="shared" si="65"/>
        <v>0</v>
      </c>
      <c r="EP43" s="171">
        <f t="shared" si="65"/>
        <v>0</v>
      </c>
      <c r="EQ43" s="171">
        <f t="shared" si="65"/>
        <v>0</v>
      </c>
    </row>
    <row r="44" spans="3:147" ht="11.25" customHeight="1">
      <c r="C44" s="163"/>
      <c r="D44" s="169" t="s">
        <v>453</v>
      </c>
      <c r="H44" s="146"/>
      <c r="I44" s="146">
        <f>H43</f>
        <v>46326</v>
      </c>
      <c r="J44" s="170"/>
      <c r="K44" s="98"/>
      <c r="L44" s="692">
        <f>IFERROR(DATEDIF($I44-1,L$14+1,"M"),)</f>
        <v>0</v>
      </c>
      <c r="M44" s="692">
        <f t="shared" ref="M44:BX44" si="66">IFERROR(DATEDIF($I44-1,M$14+1,"M"),)</f>
        <v>1</v>
      </c>
      <c r="N44" s="692">
        <f t="shared" si="66"/>
        <v>2</v>
      </c>
      <c r="O44" s="692">
        <f t="shared" si="66"/>
        <v>3</v>
      </c>
      <c r="P44" s="692">
        <f t="shared" si="66"/>
        <v>4</v>
      </c>
      <c r="Q44" s="692">
        <f t="shared" si="66"/>
        <v>5</v>
      </c>
      <c r="R44" s="692">
        <f t="shared" si="66"/>
        <v>6</v>
      </c>
      <c r="S44" s="692">
        <f t="shared" si="66"/>
        <v>7</v>
      </c>
      <c r="T44" s="692">
        <f t="shared" si="66"/>
        <v>8</v>
      </c>
      <c r="U44" s="692">
        <f t="shared" si="66"/>
        <v>9</v>
      </c>
      <c r="V44" s="692">
        <f t="shared" si="66"/>
        <v>10</v>
      </c>
      <c r="W44" s="692">
        <f t="shared" si="66"/>
        <v>11</v>
      </c>
      <c r="X44" s="692">
        <f t="shared" si="66"/>
        <v>12</v>
      </c>
      <c r="Y44" s="692">
        <f t="shared" si="66"/>
        <v>13</v>
      </c>
      <c r="Z44" s="692">
        <f t="shared" si="66"/>
        <v>14</v>
      </c>
      <c r="AA44" s="692">
        <f t="shared" si="66"/>
        <v>15</v>
      </c>
      <c r="AB44" s="692">
        <f t="shared" si="66"/>
        <v>16</v>
      </c>
      <c r="AC44" s="692">
        <f t="shared" si="66"/>
        <v>17</v>
      </c>
      <c r="AD44" s="692">
        <f t="shared" si="66"/>
        <v>18</v>
      </c>
      <c r="AE44" s="692">
        <f t="shared" si="66"/>
        <v>19</v>
      </c>
      <c r="AF44" s="692">
        <f t="shared" si="66"/>
        <v>20</v>
      </c>
      <c r="AG44" s="692">
        <f t="shared" si="66"/>
        <v>21</v>
      </c>
      <c r="AH44" s="692">
        <f t="shared" si="66"/>
        <v>22</v>
      </c>
      <c r="AI44" s="692">
        <f t="shared" si="66"/>
        <v>23</v>
      </c>
      <c r="AJ44" s="692">
        <f t="shared" si="66"/>
        <v>24</v>
      </c>
      <c r="AK44" s="692">
        <f t="shared" si="66"/>
        <v>25</v>
      </c>
      <c r="AL44" s="692">
        <f t="shared" si="66"/>
        <v>26</v>
      </c>
      <c r="AM44" s="692">
        <f t="shared" si="66"/>
        <v>27</v>
      </c>
      <c r="AN44" s="692">
        <f t="shared" si="66"/>
        <v>28</v>
      </c>
      <c r="AO44" s="692">
        <f t="shared" si="66"/>
        <v>29</v>
      </c>
      <c r="AP44" s="692">
        <f t="shared" si="66"/>
        <v>30</v>
      </c>
      <c r="AQ44" s="692">
        <f t="shared" si="66"/>
        <v>31</v>
      </c>
      <c r="AR44" s="692">
        <f t="shared" si="66"/>
        <v>32</v>
      </c>
      <c r="AS44" s="692">
        <f t="shared" si="66"/>
        <v>33</v>
      </c>
      <c r="AT44" s="692">
        <f t="shared" si="66"/>
        <v>34</v>
      </c>
      <c r="AU44" s="692">
        <f t="shared" si="66"/>
        <v>35</v>
      </c>
      <c r="AV44" s="692">
        <f t="shared" si="66"/>
        <v>36</v>
      </c>
      <c r="AW44" s="692">
        <f t="shared" si="66"/>
        <v>37</v>
      </c>
      <c r="AX44" s="692">
        <f t="shared" si="66"/>
        <v>38</v>
      </c>
      <c r="AY44" s="692">
        <f t="shared" si="66"/>
        <v>39</v>
      </c>
      <c r="AZ44" s="692">
        <f t="shared" si="66"/>
        <v>40</v>
      </c>
      <c r="BA44" s="692">
        <f t="shared" si="66"/>
        <v>41</v>
      </c>
      <c r="BB44" s="692">
        <f t="shared" si="66"/>
        <v>42</v>
      </c>
      <c r="BC44" s="692">
        <f t="shared" si="66"/>
        <v>43</v>
      </c>
      <c r="BD44" s="692">
        <f t="shared" si="66"/>
        <v>44</v>
      </c>
      <c r="BE44" s="692">
        <f t="shared" si="66"/>
        <v>45</v>
      </c>
      <c r="BF44" s="692">
        <f t="shared" si="66"/>
        <v>46</v>
      </c>
      <c r="BG44" s="692">
        <f t="shared" si="66"/>
        <v>47</v>
      </c>
      <c r="BH44" s="692">
        <f t="shared" si="66"/>
        <v>48</v>
      </c>
      <c r="BI44" s="692">
        <f t="shared" si="66"/>
        <v>49</v>
      </c>
      <c r="BJ44" s="692">
        <f t="shared" si="66"/>
        <v>50</v>
      </c>
      <c r="BK44" s="692">
        <f t="shared" si="66"/>
        <v>51</v>
      </c>
      <c r="BL44" s="692">
        <f t="shared" si="66"/>
        <v>52</v>
      </c>
      <c r="BM44" s="692">
        <f t="shared" si="66"/>
        <v>53</v>
      </c>
      <c r="BN44" s="692">
        <f t="shared" si="66"/>
        <v>54</v>
      </c>
      <c r="BO44" s="692">
        <f t="shared" si="66"/>
        <v>55</v>
      </c>
      <c r="BP44" s="692">
        <f t="shared" si="66"/>
        <v>56</v>
      </c>
      <c r="BQ44" s="692">
        <f t="shared" si="66"/>
        <v>57</v>
      </c>
      <c r="BR44" s="692">
        <f t="shared" si="66"/>
        <v>58</v>
      </c>
      <c r="BS44" s="692">
        <f t="shared" si="66"/>
        <v>59</v>
      </c>
      <c r="BT44" s="692">
        <f t="shared" si="66"/>
        <v>60</v>
      </c>
      <c r="BU44" s="692">
        <f t="shared" si="66"/>
        <v>61</v>
      </c>
      <c r="BV44" s="692">
        <f t="shared" si="66"/>
        <v>62</v>
      </c>
      <c r="BW44" s="692">
        <f t="shared" si="66"/>
        <v>63</v>
      </c>
      <c r="BX44" s="692">
        <f t="shared" si="66"/>
        <v>64</v>
      </c>
      <c r="BY44" s="692">
        <f t="shared" ref="BY44:EQ44" si="67">IFERROR(DATEDIF($I44-1,BY$14+1,"M"),)</f>
        <v>65</v>
      </c>
      <c r="BZ44" s="692">
        <f t="shared" si="67"/>
        <v>66</v>
      </c>
      <c r="CA44" s="692">
        <f t="shared" si="67"/>
        <v>67</v>
      </c>
      <c r="CB44" s="692">
        <f t="shared" si="67"/>
        <v>68</v>
      </c>
      <c r="CC44" s="692">
        <f t="shared" si="67"/>
        <v>69</v>
      </c>
      <c r="CD44" s="692">
        <f t="shared" si="67"/>
        <v>70</v>
      </c>
      <c r="CE44" s="692">
        <f t="shared" si="67"/>
        <v>71</v>
      </c>
      <c r="CF44" s="692">
        <f t="shared" si="67"/>
        <v>72</v>
      </c>
      <c r="CG44" s="692">
        <f t="shared" si="67"/>
        <v>73</v>
      </c>
      <c r="CH44" s="692">
        <f t="shared" si="67"/>
        <v>74</v>
      </c>
      <c r="CI44" s="692">
        <f t="shared" si="67"/>
        <v>75</v>
      </c>
      <c r="CJ44" s="692">
        <f t="shared" si="67"/>
        <v>76</v>
      </c>
      <c r="CK44" s="692">
        <f t="shared" si="67"/>
        <v>77</v>
      </c>
      <c r="CL44" s="692">
        <f t="shared" si="67"/>
        <v>78</v>
      </c>
      <c r="CM44" s="692">
        <f t="shared" si="67"/>
        <v>79</v>
      </c>
      <c r="CN44" s="692">
        <f t="shared" si="67"/>
        <v>80</v>
      </c>
      <c r="CO44" s="692">
        <f t="shared" si="67"/>
        <v>81</v>
      </c>
      <c r="CP44" s="692">
        <f t="shared" si="67"/>
        <v>82</v>
      </c>
      <c r="CQ44" s="692">
        <f t="shared" si="67"/>
        <v>83</v>
      </c>
      <c r="CR44" s="692">
        <f t="shared" si="67"/>
        <v>84</v>
      </c>
      <c r="CS44" s="692">
        <f t="shared" si="67"/>
        <v>85</v>
      </c>
      <c r="CT44" s="692">
        <f t="shared" si="67"/>
        <v>86</v>
      </c>
      <c r="CU44" s="692">
        <f t="shared" si="67"/>
        <v>87</v>
      </c>
      <c r="CV44" s="692">
        <f t="shared" si="67"/>
        <v>88</v>
      </c>
      <c r="CW44" s="692">
        <f t="shared" si="67"/>
        <v>89</v>
      </c>
      <c r="CX44" s="692">
        <f t="shared" si="67"/>
        <v>90</v>
      </c>
      <c r="CY44" s="692">
        <f t="shared" si="67"/>
        <v>91</v>
      </c>
      <c r="CZ44" s="692">
        <f t="shared" si="67"/>
        <v>92</v>
      </c>
      <c r="DA44" s="692">
        <f t="shared" si="67"/>
        <v>93</v>
      </c>
      <c r="DB44" s="692">
        <f t="shared" si="67"/>
        <v>94</v>
      </c>
      <c r="DC44" s="692">
        <f t="shared" si="67"/>
        <v>95</v>
      </c>
      <c r="DD44" s="692">
        <f t="shared" si="67"/>
        <v>96</v>
      </c>
      <c r="DE44" s="692">
        <f t="shared" si="67"/>
        <v>97</v>
      </c>
      <c r="DF44" s="692">
        <f t="shared" si="67"/>
        <v>98</v>
      </c>
      <c r="DG44" s="692">
        <f t="shared" si="67"/>
        <v>99</v>
      </c>
      <c r="DH44" s="692">
        <f t="shared" si="67"/>
        <v>100</v>
      </c>
      <c r="DI44" s="692">
        <f t="shared" si="67"/>
        <v>101</v>
      </c>
      <c r="DJ44" s="692">
        <f t="shared" si="67"/>
        <v>102</v>
      </c>
      <c r="DK44" s="692">
        <f t="shared" si="67"/>
        <v>103</v>
      </c>
      <c r="DL44" s="692">
        <f t="shared" si="67"/>
        <v>104</v>
      </c>
      <c r="DM44" s="692">
        <f t="shared" si="67"/>
        <v>105</v>
      </c>
      <c r="DN44" s="692">
        <f t="shared" si="67"/>
        <v>106</v>
      </c>
      <c r="DO44" s="692">
        <f t="shared" si="67"/>
        <v>107</v>
      </c>
      <c r="DP44" s="692">
        <f t="shared" si="67"/>
        <v>108</v>
      </c>
      <c r="DQ44" s="692">
        <f t="shared" si="67"/>
        <v>109</v>
      </c>
      <c r="DR44" s="692">
        <f t="shared" si="67"/>
        <v>110</v>
      </c>
      <c r="DS44" s="692">
        <f t="shared" si="67"/>
        <v>111</v>
      </c>
      <c r="DT44" s="692">
        <f t="shared" si="67"/>
        <v>112</v>
      </c>
      <c r="DU44" s="692">
        <f t="shared" si="67"/>
        <v>113</v>
      </c>
      <c r="DV44" s="692">
        <f t="shared" si="67"/>
        <v>114</v>
      </c>
      <c r="DW44" s="692">
        <f t="shared" si="67"/>
        <v>115</v>
      </c>
      <c r="DX44" s="692">
        <f t="shared" si="67"/>
        <v>116</v>
      </c>
      <c r="DY44" s="692">
        <f t="shared" si="67"/>
        <v>117</v>
      </c>
      <c r="DZ44" s="692">
        <f t="shared" si="67"/>
        <v>118</v>
      </c>
      <c r="EA44" s="692">
        <f t="shared" si="67"/>
        <v>119</v>
      </c>
      <c r="EB44" s="692">
        <f t="shared" si="67"/>
        <v>120</v>
      </c>
      <c r="EC44" s="692">
        <f t="shared" si="67"/>
        <v>121</v>
      </c>
      <c r="ED44" s="692">
        <f t="shared" si="67"/>
        <v>122</v>
      </c>
      <c r="EE44" s="692">
        <f t="shared" si="67"/>
        <v>123</v>
      </c>
      <c r="EF44" s="692">
        <f t="shared" si="67"/>
        <v>124</v>
      </c>
      <c r="EG44" s="692">
        <f t="shared" si="67"/>
        <v>125</v>
      </c>
      <c r="EH44" s="692">
        <f t="shared" si="67"/>
        <v>126</v>
      </c>
      <c r="EI44" s="692">
        <f t="shared" si="67"/>
        <v>127</v>
      </c>
      <c r="EJ44" s="692">
        <f t="shared" si="67"/>
        <v>128</v>
      </c>
      <c r="EK44" s="692">
        <f t="shared" si="67"/>
        <v>129</v>
      </c>
      <c r="EL44" s="692">
        <f t="shared" si="67"/>
        <v>130</v>
      </c>
      <c r="EM44" s="692">
        <f t="shared" si="67"/>
        <v>131</v>
      </c>
      <c r="EN44" s="692">
        <f t="shared" si="67"/>
        <v>132</v>
      </c>
      <c r="EO44" s="692">
        <f t="shared" si="67"/>
        <v>133</v>
      </c>
      <c r="EP44" s="692">
        <f t="shared" si="67"/>
        <v>134</v>
      </c>
      <c r="EQ44" s="692">
        <f t="shared" si="67"/>
        <v>135</v>
      </c>
    </row>
    <row r="45" spans="3:147" ht="11.25" customHeight="1">
      <c r="C45" s="163"/>
      <c r="D45" s="169" t="s">
        <v>454</v>
      </c>
      <c r="H45" s="146"/>
      <c r="I45" s="90">
        <v>3</v>
      </c>
      <c r="J45" s="170"/>
      <c r="K45" s="98"/>
      <c r="L45" s="693">
        <f>ROUNDUP(L$24/$I45,0)</f>
        <v>0</v>
      </c>
      <c r="M45" s="693">
        <f t="shared" ref="M45:BX47" si="68">ROUNDUP(M$24/$I45,0)</f>
        <v>1</v>
      </c>
      <c r="N45" s="693">
        <f t="shared" si="68"/>
        <v>1</v>
      </c>
      <c r="O45" s="693">
        <f t="shared" si="68"/>
        <v>1</v>
      </c>
      <c r="P45" s="693">
        <f t="shared" si="68"/>
        <v>2</v>
      </c>
      <c r="Q45" s="693">
        <f t="shared" si="68"/>
        <v>2</v>
      </c>
      <c r="R45" s="693">
        <f t="shared" si="68"/>
        <v>2</v>
      </c>
      <c r="S45" s="693">
        <f t="shared" si="68"/>
        <v>3</v>
      </c>
      <c r="T45" s="693">
        <f t="shared" si="68"/>
        <v>3</v>
      </c>
      <c r="U45" s="693">
        <f t="shared" si="68"/>
        <v>3</v>
      </c>
      <c r="V45" s="693">
        <f t="shared" si="68"/>
        <v>4</v>
      </c>
      <c r="W45" s="693">
        <f t="shared" si="68"/>
        <v>4</v>
      </c>
      <c r="X45" s="693">
        <f t="shared" si="68"/>
        <v>4</v>
      </c>
      <c r="Y45" s="693">
        <f t="shared" si="68"/>
        <v>5</v>
      </c>
      <c r="Z45" s="693">
        <f t="shared" si="68"/>
        <v>5</v>
      </c>
      <c r="AA45" s="693">
        <f t="shared" si="68"/>
        <v>5</v>
      </c>
      <c r="AB45" s="693">
        <f t="shared" si="68"/>
        <v>6</v>
      </c>
      <c r="AC45" s="693">
        <f t="shared" si="68"/>
        <v>6</v>
      </c>
      <c r="AD45" s="693">
        <f t="shared" si="68"/>
        <v>6</v>
      </c>
      <c r="AE45" s="693">
        <f t="shared" si="68"/>
        <v>7</v>
      </c>
      <c r="AF45" s="693">
        <f t="shared" si="68"/>
        <v>7</v>
      </c>
      <c r="AG45" s="693">
        <f t="shared" si="68"/>
        <v>7</v>
      </c>
      <c r="AH45" s="693">
        <f t="shared" si="68"/>
        <v>8</v>
      </c>
      <c r="AI45" s="693">
        <f t="shared" si="68"/>
        <v>8</v>
      </c>
      <c r="AJ45" s="693">
        <f t="shared" si="68"/>
        <v>8</v>
      </c>
      <c r="AK45" s="693">
        <f t="shared" si="68"/>
        <v>9</v>
      </c>
      <c r="AL45" s="693">
        <f t="shared" si="68"/>
        <v>9</v>
      </c>
      <c r="AM45" s="693">
        <f t="shared" si="68"/>
        <v>9</v>
      </c>
      <c r="AN45" s="693">
        <f t="shared" si="68"/>
        <v>10</v>
      </c>
      <c r="AO45" s="693">
        <f t="shared" si="68"/>
        <v>10</v>
      </c>
      <c r="AP45" s="693">
        <f t="shared" si="68"/>
        <v>10</v>
      </c>
      <c r="AQ45" s="693">
        <f t="shared" si="68"/>
        <v>11</v>
      </c>
      <c r="AR45" s="693">
        <f t="shared" si="68"/>
        <v>11</v>
      </c>
      <c r="AS45" s="693">
        <f t="shared" si="68"/>
        <v>11</v>
      </c>
      <c r="AT45" s="693">
        <f t="shared" si="68"/>
        <v>12</v>
      </c>
      <c r="AU45" s="693">
        <f t="shared" si="68"/>
        <v>12</v>
      </c>
      <c r="AV45" s="693">
        <f t="shared" si="68"/>
        <v>12</v>
      </c>
      <c r="AW45" s="693">
        <f t="shared" si="68"/>
        <v>13</v>
      </c>
      <c r="AX45" s="693">
        <f t="shared" si="68"/>
        <v>13</v>
      </c>
      <c r="AY45" s="693">
        <f t="shared" si="68"/>
        <v>13</v>
      </c>
      <c r="AZ45" s="693">
        <f t="shared" si="68"/>
        <v>14</v>
      </c>
      <c r="BA45" s="693">
        <f t="shared" si="68"/>
        <v>14</v>
      </c>
      <c r="BB45" s="693">
        <f t="shared" si="68"/>
        <v>14</v>
      </c>
      <c r="BC45" s="693">
        <f t="shared" si="68"/>
        <v>15</v>
      </c>
      <c r="BD45" s="693">
        <f t="shared" si="68"/>
        <v>15</v>
      </c>
      <c r="BE45" s="693">
        <f t="shared" si="68"/>
        <v>15</v>
      </c>
      <c r="BF45" s="693">
        <f t="shared" si="68"/>
        <v>16</v>
      </c>
      <c r="BG45" s="693">
        <f t="shared" si="68"/>
        <v>16</v>
      </c>
      <c r="BH45" s="693">
        <f t="shared" si="68"/>
        <v>16</v>
      </c>
      <c r="BI45" s="693">
        <f t="shared" si="68"/>
        <v>17</v>
      </c>
      <c r="BJ45" s="693">
        <f t="shared" si="68"/>
        <v>17</v>
      </c>
      <c r="BK45" s="693">
        <f t="shared" si="68"/>
        <v>17</v>
      </c>
      <c r="BL45" s="693">
        <f t="shared" si="68"/>
        <v>18</v>
      </c>
      <c r="BM45" s="693">
        <f t="shared" si="68"/>
        <v>18</v>
      </c>
      <c r="BN45" s="693">
        <f t="shared" si="68"/>
        <v>18</v>
      </c>
      <c r="BO45" s="693">
        <f t="shared" si="68"/>
        <v>19</v>
      </c>
      <c r="BP45" s="693">
        <f t="shared" si="68"/>
        <v>19</v>
      </c>
      <c r="BQ45" s="693">
        <f t="shared" si="68"/>
        <v>19</v>
      </c>
      <c r="BR45" s="693">
        <f t="shared" si="68"/>
        <v>20</v>
      </c>
      <c r="BS45" s="693">
        <f t="shared" si="68"/>
        <v>20</v>
      </c>
      <c r="BT45" s="693">
        <f t="shared" si="68"/>
        <v>20</v>
      </c>
      <c r="BU45" s="693">
        <f t="shared" si="68"/>
        <v>21</v>
      </c>
      <c r="BV45" s="693">
        <f t="shared" si="68"/>
        <v>21</v>
      </c>
      <c r="BW45" s="693">
        <f t="shared" si="68"/>
        <v>21</v>
      </c>
      <c r="BX45" s="693">
        <f t="shared" si="68"/>
        <v>22</v>
      </c>
      <c r="BY45" s="693">
        <f t="shared" ref="BY45:EQ47" si="69">ROUNDUP(BY$24/$I45,0)</f>
        <v>22</v>
      </c>
      <c r="BZ45" s="693">
        <f t="shared" si="69"/>
        <v>22</v>
      </c>
      <c r="CA45" s="693">
        <f t="shared" si="69"/>
        <v>23</v>
      </c>
      <c r="CB45" s="693">
        <f t="shared" si="69"/>
        <v>23</v>
      </c>
      <c r="CC45" s="693">
        <f t="shared" si="69"/>
        <v>23</v>
      </c>
      <c r="CD45" s="693">
        <f t="shared" si="69"/>
        <v>24</v>
      </c>
      <c r="CE45" s="693">
        <f t="shared" si="69"/>
        <v>24</v>
      </c>
      <c r="CF45" s="693">
        <f t="shared" si="69"/>
        <v>24</v>
      </c>
      <c r="CG45" s="693">
        <f t="shared" si="69"/>
        <v>25</v>
      </c>
      <c r="CH45" s="693">
        <f t="shared" si="69"/>
        <v>25</v>
      </c>
      <c r="CI45" s="693">
        <f t="shared" si="69"/>
        <v>25</v>
      </c>
      <c r="CJ45" s="693">
        <f t="shared" si="69"/>
        <v>26</v>
      </c>
      <c r="CK45" s="693">
        <f t="shared" si="69"/>
        <v>26</v>
      </c>
      <c r="CL45" s="693">
        <f t="shared" si="69"/>
        <v>26</v>
      </c>
      <c r="CM45" s="693">
        <f t="shared" si="69"/>
        <v>27</v>
      </c>
      <c r="CN45" s="693">
        <f t="shared" si="69"/>
        <v>27</v>
      </c>
      <c r="CO45" s="693">
        <f t="shared" si="69"/>
        <v>27</v>
      </c>
      <c r="CP45" s="693">
        <f t="shared" si="69"/>
        <v>28</v>
      </c>
      <c r="CQ45" s="693">
        <f t="shared" si="69"/>
        <v>28</v>
      </c>
      <c r="CR45" s="693">
        <f t="shared" si="69"/>
        <v>28</v>
      </c>
      <c r="CS45" s="693">
        <f t="shared" si="69"/>
        <v>29</v>
      </c>
      <c r="CT45" s="693">
        <f t="shared" si="69"/>
        <v>29</v>
      </c>
      <c r="CU45" s="693">
        <f t="shared" si="69"/>
        <v>29</v>
      </c>
      <c r="CV45" s="693">
        <f t="shared" si="69"/>
        <v>30</v>
      </c>
      <c r="CW45" s="693">
        <f t="shared" si="69"/>
        <v>30</v>
      </c>
      <c r="CX45" s="693">
        <f t="shared" si="69"/>
        <v>30</v>
      </c>
      <c r="CY45" s="693">
        <f t="shared" si="69"/>
        <v>31</v>
      </c>
      <c r="CZ45" s="693">
        <f t="shared" si="69"/>
        <v>31</v>
      </c>
      <c r="DA45" s="693">
        <f t="shared" si="69"/>
        <v>31</v>
      </c>
      <c r="DB45" s="693">
        <f t="shared" si="69"/>
        <v>32</v>
      </c>
      <c r="DC45" s="693">
        <f t="shared" si="69"/>
        <v>32</v>
      </c>
      <c r="DD45" s="693">
        <f t="shared" si="69"/>
        <v>32</v>
      </c>
      <c r="DE45" s="693">
        <f t="shared" si="69"/>
        <v>33</v>
      </c>
      <c r="DF45" s="693">
        <f t="shared" si="69"/>
        <v>33</v>
      </c>
      <c r="DG45" s="693">
        <f t="shared" si="69"/>
        <v>33</v>
      </c>
      <c r="DH45" s="693">
        <f t="shared" si="69"/>
        <v>34</v>
      </c>
      <c r="DI45" s="693">
        <f t="shared" si="69"/>
        <v>34</v>
      </c>
      <c r="DJ45" s="693">
        <f t="shared" si="69"/>
        <v>34</v>
      </c>
      <c r="DK45" s="693">
        <f t="shared" si="69"/>
        <v>35</v>
      </c>
      <c r="DL45" s="693">
        <f t="shared" si="69"/>
        <v>35</v>
      </c>
      <c r="DM45" s="693">
        <f t="shared" si="69"/>
        <v>35</v>
      </c>
      <c r="DN45" s="693">
        <f t="shared" si="69"/>
        <v>36</v>
      </c>
      <c r="DO45" s="693">
        <f t="shared" si="69"/>
        <v>36</v>
      </c>
      <c r="DP45" s="693">
        <f t="shared" si="69"/>
        <v>36</v>
      </c>
      <c r="DQ45" s="693">
        <f t="shared" si="69"/>
        <v>37</v>
      </c>
      <c r="DR45" s="693">
        <f t="shared" si="69"/>
        <v>37</v>
      </c>
      <c r="DS45" s="693">
        <f t="shared" si="69"/>
        <v>37</v>
      </c>
      <c r="DT45" s="693">
        <f t="shared" si="69"/>
        <v>38</v>
      </c>
      <c r="DU45" s="693">
        <f t="shared" si="69"/>
        <v>38</v>
      </c>
      <c r="DV45" s="693">
        <f t="shared" si="69"/>
        <v>38</v>
      </c>
      <c r="DW45" s="693">
        <f t="shared" si="69"/>
        <v>39</v>
      </c>
      <c r="DX45" s="693">
        <f t="shared" si="69"/>
        <v>39</v>
      </c>
      <c r="DY45" s="693">
        <f t="shared" si="69"/>
        <v>39</v>
      </c>
      <c r="DZ45" s="693">
        <f t="shared" si="69"/>
        <v>40</v>
      </c>
      <c r="EA45" s="693">
        <f t="shared" si="69"/>
        <v>40</v>
      </c>
      <c r="EB45" s="693">
        <f t="shared" si="69"/>
        <v>40</v>
      </c>
      <c r="EC45" s="693">
        <f t="shared" si="69"/>
        <v>41</v>
      </c>
      <c r="ED45" s="693">
        <f t="shared" si="69"/>
        <v>41</v>
      </c>
      <c r="EE45" s="693">
        <f t="shared" si="69"/>
        <v>41</v>
      </c>
      <c r="EF45" s="693">
        <f t="shared" si="69"/>
        <v>42</v>
      </c>
      <c r="EG45" s="693">
        <f t="shared" si="69"/>
        <v>42</v>
      </c>
      <c r="EH45" s="693">
        <f t="shared" si="69"/>
        <v>42</v>
      </c>
      <c r="EI45" s="693">
        <f t="shared" si="69"/>
        <v>43</v>
      </c>
      <c r="EJ45" s="693">
        <f t="shared" si="69"/>
        <v>43</v>
      </c>
      <c r="EK45" s="693">
        <f t="shared" si="69"/>
        <v>43</v>
      </c>
      <c r="EL45" s="693">
        <f t="shared" si="69"/>
        <v>44</v>
      </c>
      <c r="EM45" s="693">
        <f t="shared" si="69"/>
        <v>44</v>
      </c>
      <c r="EN45" s="693">
        <f t="shared" si="69"/>
        <v>44</v>
      </c>
      <c r="EO45" s="693">
        <f t="shared" si="69"/>
        <v>45</v>
      </c>
      <c r="EP45" s="693">
        <f t="shared" si="69"/>
        <v>45</v>
      </c>
      <c r="EQ45" s="693">
        <f t="shared" si="69"/>
        <v>45</v>
      </c>
    </row>
    <row r="46" spans="3:147" ht="11.25" customHeight="1">
      <c r="C46" s="163"/>
      <c r="D46" s="169" t="s">
        <v>455</v>
      </c>
      <c r="H46" s="146"/>
      <c r="I46" s="90">
        <v>6</v>
      </c>
      <c r="J46" s="170"/>
      <c r="K46" s="98"/>
      <c r="L46" s="694">
        <f t="shared" ref="L46:AA47" si="70">ROUNDUP(L$24/$I46,0)</f>
        <v>0</v>
      </c>
      <c r="M46" s="694">
        <f t="shared" si="70"/>
        <v>1</v>
      </c>
      <c r="N46" s="694">
        <f t="shared" si="70"/>
        <v>1</v>
      </c>
      <c r="O46" s="694">
        <f t="shared" si="70"/>
        <v>1</v>
      </c>
      <c r="P46" s="694">
        <f t="shared" si="70"/>
        <v>1</v>
      </c>
      <c r="Q46" s="694">
        <f t="shared" si="70"/>
        <v>1</v>
      </c>
      <c r="R46" s="694">
        <f t="shared" si="70"/>
        <v>1</v>
      </c>
      <c r="S46" s="694">
        <f t="shared" si="70"/>
        <v>2</v>
      </c>
      <c r="T46" s="694">
        <f t="shared" si="70"/>
        <v>2</v>
      </c>
      <c r="U46" s="694">
        <f t="shared" si="70"/>
        <v>2</v>
      </c>
      <c r="V46" s="694">
        <f t="shared" si="70"/>
        <v>2</v>
      </c>
      <c r="W46" s="694">
        <f t="shared" si="70"/>
        <v>2</v>
      </c>
      <c r="X46" s="694">
        <f t="shared" si="70"/>
        <v>2</v>
      </c>
      <c r="Y46" s="694">
        <f t="shared" si="70"/>
        <v>3</v>
      </c>
      <c r="Z46" s="694">
        <f t="shared" si="70"/>
        <v>3</v>
      </c>
      <c r="AA46" s="694">
        <f t="shared" si="70"/>
        <v>3</v>
      </c>
      <c r="AB46" s="694">
        <f t="shared" si="68"/>
        <v>3</v>
      </c>
      <c r="AC46" s="694">
        <f t="shared" si="68"/>
        <v>3</v>
      </c>
      <c r="AD46" s="694">
        <f t="shared" si="68"/>
        <v>3</v>
      </c>
      <c r="AE46" s="694">
        <f t="shared" si="68"/>
        <v>4</v>
      </c>
      <c r="AF46" s="694">
        <f t="shared" si="68"/>
        <v>4</v>
      </c>
      <c r="AG46" s="694">
        <f t="shared" si="68"/>
        <v>4</v>
      </c>
      <c r="AH46" s="694">
        <f t="shared" si="68"/>
        <v>4</v>
      </c>
      <c r="AI46" s="694">
        <f t="shared" si="68"/>
        <v>4</v>
      </c>
      <c r="AJ46" s="694">
        <f t="shared" si="68"/>
        <v>4</v>
      </c>
      <c r="AK46" s="694">
        <f t="shared" si="68"/>
        <v>5</v>
      </c>
      <c r="AL46" s="694">
        <f t="shared" si="68"/>
        <v>5</v>
      </c>
      <c r="AM46" s="694">
        <f t="shared" si="68"/>
        <v>5</v>
      </c>
      <c r="AN46" s="694">
        <f t="shared" si="68"/>
        <v>5</v>
      </c>
      <c r="AO46" s="694">
        <f t="shared" si="68"/>
        <v>5</v>
      </c>
      <c r="AP46" s="694">
        <f t="shared" si="68"/>
        <v>5</v>
      </c>
      <c r="AQ46" s="694">
        <f t="shared" si="68"/>
        <v>6</v>
      </c>
      <c r="AR46" s="694">
        <f t="shared" si="68"/>
        <v>6</v>
      </c>
      <c r="AS46" s="694">
        <f t="shared" si="68"/>
        <v>6</v>
      </c>
      <c r="AT46" s="694">
        <f t="shared" si="68"/>
        <v>6</v>
      </c>
      <c r="AU46" s="694">
        <f t="shared" si="68"/>
        <v>6</v>
      </c>
      <c r="AV46" s="694">
        <f t="shared" si="68"/>
        <v>6</v>
      </c>
      <c r="AW46" s="694">
        <f t="shared" si="68"/>
        <v>7</v>
      </c>
      <c r="AX46" s="694">
        <f t="shared" si="68"/>
        <v>7</v>
      </c>
      <c r="AY46" s="694">
        <f t="shared" si="68"/>
        <v>7</v>
      </c>
      <c r="AZ46" s="694">
        <f t="shared" si="68"/>
        <v>7</v>
      </c>
      <c r="BA46" s="694">
        <f t="shared" si="68"/>
        <v>7</v>
      </c>
      <c r="BB46" s="694">
        <f t="shared" si="68"/>
        <v>7</v>
      </c>
      <c r="BC46" s="694">
        <f t="shared" si="68"/>
        <v>8</v>
      </c>
      <c r="BD46" s="694">
        <f t="shared" si="68"/>
        <v>8</v>
      </c>
      <c r="BE46" s="694">
        <f t="shared" si="68"/>
        <v>8</v>
      </c>
      <c r="BF46" s="694">
        <f t="shared" si="68"/>
        <v>8</v>
      </c>
      <c r="BG46" s="694">
        <f t="shared" si="68"/>
        <v>8</v>
      </c>
      <c r="BH46" s="694">
        <f t="shared" si="68"/>
        <v>8</v>
      </c>
      <c r="BI46" s="694">
        <f t="shared" si="68"/>
        <v>9</v>
      </c>
      <c r="BJ46" s="694">
        <f t="shared" si="68"/>
        <v>9</v>
      </c>
      <c r="BK46" s="694">
        <f t="shared" si="68"/>
        <v>9</v>
      </c>
      <c r="BL46" s="694">
        <f t="shared" si="68"/>
        <v>9</v>
      </c>
      <c r="BM46" s="694">
        <f t="shared" si="68"/>
        <v>9</v>
      </c>
      <c r="BN46" s="694">
        <f t="shared" si="68"/>
        <v>9</v>
      </c>
      <c r="BO46" s="694">
        <f t="shared" si="68"/>
        <v>10</v>
      </c>
      <c r="BP46" s="694">
        <f t="shared" si="68"/>
        <v>10</v>
      </c>
      <c r="BQ46" s="694">
        <f t="shared" si="68"/>
        <v>10</v>
      </c>
      <c r="BR46" s="694">
        <f t="shared" si="68"/>
        <v>10</v>
      </c>
      <c r="BS46" s="694">
        <f t="shared" si="68"/>
        <v>10</v>
      </c>
      <c r="BT46" s="694">
        <f t="shared" si="68"/>
        <v>10</v>
      </c>
      <c r="BU46" s="694">
        <f t="shared" si="68"/>
        <v>11</v>
      </c>
      <c r="BV46" s="694">
        <f t="shared" si="68"/>
        <v>11</v>
      </c>
      <c r="BW46" s="694">
        <f t="shared" si="68"/>
        <v>11</v>
      </c>
      <c r="BX46" s="694">
        <f t="shared" si="68"/>
        <v>11</v>
      </c>
      <c r="BY46" s="694">
        <f t="shared" si="69"/>
        <v>11</v>
      </c>
      <c r="BZ46" s="694">
        <f t="shared" si="69"/>
        <v>11</v>
      </c>
      <c r="CA46" s="694">
        <f t="shared" si="69"/>
        <v>12</v>
      </c>
      <c r="CB46" s="694">
        <f t="shared" si="69"/>
        <v>12</v>
      </c>
      <c r="CC46" s="694">
        <f t="shared" si="69"/>
        <v>12</v>
      </c>
      <c r="CD46" s="694">
        <f t="shared" si="69"/>
        <v>12</v>
      </c>
      <c r="CE46" s="694">
        <f t="shared" si="69"/>
        <v>12</v>
      </c>
      <c r="CF46" s="694">
        <f t="shared" si="69"/>
        <v>12</v>
      </c>
      <c r="CG46" s="694">
        <f t="shared" si="69"/>
        <v>13</v>
      </c>
      <c r="CH46" s="694">
        <f t="shared" si="69"/>
        <v>13</v>
      </c>
      <c r="CI46" s="694">
        <f t="shared" si="69"/>
        <v>13</v>
      </c>
      <c r="CJ46" s="694">
        <f t="shared" si="69"/>
        <v>13</v>
      </c>
      <c r="CK46" s="694">
        <f t="shared" si="69"/>
        <v>13</v>
      </c>
      <c r="CL46" s="694">
        <f t="shared" si="69"/>
        <v>13</v>
      </c>
      <c r="CM46" s="694">
        <f t="shared" si="69"/>
        <v>14</v>
      </c>
      <c r="CN46" s="694">
        <f t="shared" si="69"/>
        <v>14</v>
      </c>
      <c r="CO46" s="694">
        <f t="shared" si="69"/>
        <v>14</v>
      </c>
      <c r="CP46" s="694">
        <f t="shared" si="69"/>
        <v>14</v>
      </c>
      <c r="CQ46" s="694">
        <f t="shared" si="69"/>
        <v>14</v>
      </c>
      <c r="CR46" s="694">
        <f t="shared" si="69"/>
        <v>14</v>
      </c>
      <c r="CS46" s="694">
        <f t="shared" si="69"/>
        <v>15</v>
      </c>
      <c r="CT46" s="694">
        <f t="shared" si="69"/>
        <v>15</v>
      </c>
      <c r="CU46" s="694">
        <f t="shared" si="69"/>
        <v>15</v>
      </c>
      <c r="CV46" s="694">
        <f t="shared" si="69"/>
        <v>15</v>
      </c>
      <c r="CW46" s="694">
        <f t="shared" si="69"/>
        <v>15</v>
      </c>
      <c r="CX46" s="694">
        <f t="shared" si="69"/>
        <v>15</v>
      </c>
      <c r="CY46" s="694">
        <f t="shared" si="69"/>
        <v>16</v>
      </c>
      <c r="CZ46" s="694">
        <f t="shared" si="69"/>
        <v>16</v>
      </c>
      <c r="DA46" s="694">
        <f t="shared" si="69"/>
        <v>16</v>
      </c>
      <c r="DB46" s="694">
        <f t="shared" si="69"/>
        <v>16</v>
      </c>
      <c r="DC46" s="694">
        <f t="shared" si="69"/>
        <v>16</v>
      </c>
      <c r="DD46" s="694">
        <f t="shared" si="69"/>
        <v>16</v>
      </c>
      <c r="DE46" s="694">
        <f t="shared" si="69"/>
        <v>17</v>
      </c>
      <c r="DF46" s="694">
        <f t="shared" si="69"/>
        <v>17</v>
      </c>
      <c r="DG46" s="694">
        <f t="shared" si="69"/>
        <v>17</v>
      </c>
      <c r="DH46" s="694">
        <f t="shared" si="69"/>
        <v>17</v>
      </c>
      <c r="DI46" s="694">
        <f t="shared" si="69"/>
        <v>17</v>
      </c>
      <c r="DJ46" s="694">
        <f t="shared" si="69"/>
        <v>17</v>
      </c>
      <c r="DK46" s="694">
        <f t="shared" si="69"/>
        <v>18</v>
      </c>
      <c r="DL46" s="694">
        <f t="shared" si="69"/>
        <v>18</v>
      </c>
      <c r="DM46" s="694">
        <f t="shared" si="69"/>
        <v>18</v>
      </c>
      <c r="DN46" s="694">
        <f t="shared" si="69"/>
        <v>18</v>
      </c>
      <c r="DO46" s="694">
        <f t="shared" si="69"/>
        <v>18</v>
      </c>
      <c r="DP46" s="694">
        <f t="shared" si="69"/>
        <v>18</v>
      </c>
      <c r="DQ46" s="694">
        <f t="shared" si="69"/>
        <v>19</v>
      </c>
      <c r="DR46" s="694">
        <f t="shared" si="69"/>
        <v>19</v>
      </c>
      <c r="DS46" s="694">
        <f t="shared" si="69"/>
        <v>19</v>
      </c>
      <c r="DT46" s="694">
        <f t="shared" si="69"/>
        <v>19</v>
      </c>
      <c r="DU46" s="694">
        <f t="shared" si="69"/>
        <v>19</v>
      </c>
      <c r="DV46" s="694">
        <f t="shared" si="69"/>
        <v>19</v>
      </c>
      <c r="DW46" s="694">
        <f t="shared" si="69"/>
        <v>20</v>
      </c>
      <c r="DX46" s="694">
        <f t="shared" si="69"/>
        <v>20</v>
      </c>
      <c r="DY46" s="694">
        <f t="shared" si="69"/>
        <v>20</v>
      </c>
      <c r="DZ46" s="694">
        <f t="shared" si="69"/>
        <v>20</v>
      </c>
      <c r="EA46" s="694">
        <f t="shared" si="69"/>
        <v>20</v>
      </c>
      <c r="EB46" s="694">
        <f t="shared" si="69"/>
        <v>20</v>
      </c>
      <c r="EC46" s="694">
        <f t="shared" si="69"/>
        <v>21</v>
      </c>
      <c r="ED46" s="694">
        <f t="shared" si="69"/>
        <v>21</v>
      </c>
      <c r="EE46" s="694">
        <f t="shared" si="69"/>
        <v>21</v>
      </c>
      <c r="EF46" s="694">
        <f t="shared" si="69"/>
        <v>21</v>
      </c>
      <c r="EG46" s="694">
        <f t="shared" si="69"/>
        <v>21</v>
      </c>
      <c r="EH46" s="694">
        <f t="shared" si="69"/>
        <v>21</v>
      </c>
      <c r="EI46" s="694">
        <f t="shared" si="69"/>
        <v>22</v>
      </c>
      <c r="EJ46" s="694">
        <f t="shared" si="69"/>
        <v>22</v>
      </c>
      <c r="EK46" s="694">
        <f t="shared" si="69"/>
        <v>22</v>
      </c>
      <c r="EL46" s="694">
        <f t="shared" si="69"/>
        <v>22</v>
      </c>
      <c r="EM46" s="694">
        <f t="shared" si="69"/>
        <v>22</v>
      </c>
      <c r="EN46" s="694">
        <f t="shared" si="69"/>
        <v>22</v>
      </c>
      <c r="EO46" s="694">
        <f t="shared" si="69"/>
        <v>23</v>
      </c>
      <c r="EP46" s="694">
        <f t="shared" si="69"/>
        <v>23</v>
      </c>
      <c r="EQ46" s="694">
        <f t="shared" si="69"/>
        <v>23</v>
      </c>
    </row>
    <row r="47" spans="3:147" ht="11.25" customHeight="1">
      <c r="C47" s="178"/>
      <c r="D47" s="179" t="s">
        <v>456</v>
      </c>
      <c r="E47" s="180"/>
      <c r="F47" s="180"/>
      <c r="G47" s="180"/>
      <c r="H47" s="181"/>
      <c r="I47" s="182">
        <v>12</v>
      </c>
      <c r="J47" s="183"/>
      <c r="K47" s="98"/>
      <c r="L47" s="695">
        <f t="shared" si="70"/>
        <v>0</v>
      </c>
      <c r="M47" s="695">
        <f t="shared" si="70"/>
        <v>1</v>
      </c>
      <c r="N47" s="695">
        <f t="shared" si="70"/>
        <v>1</v>
      </c>
      <c r="O47" s="695">
        <f t="shared" si="70"/>
        <v>1</v>
      </c>
      <c r="P47" s="695">
        <f t="shared" si="70"/>
        <v>1</v>
      </c>
      <c r="Q47" s="695">
        <f t="shared" si="70"/>
        <v>1</v>
      </c>
      <c r="R47" s="695">
        <f t="shared" si="70"/>
        <v>1</v>
      </c>
      <c r="S47" s="695">
        <f t="shared" si="70"/>
        <v>1</v>
      </c>
      <c r="T47" s="695">
        <f t="shared" si="70"/>
        <v>1</v>
      </c>
      <c r="U47" s="695">
        <f t="shared" si="70"/>
        <v>1</v>
      </c>
      <c r="V47" s="695">
        <f t="shared" si="70"/>
        <v>1</v>
      </c>
      <c r="W47" s="695">
        <f t="shared" si="70"/>
        <v>1</v>
      </c>
      <c r="X47" s="695">
        <f t="shared" si="70"/>
        <v>1</v>
      </c>
      <c r="Y47" s="695">
        <f t="shared" si="70"/>
        <v>2</v>
      </c>
      <c r="Z47" s="695">
        <f t="shared" si="70"/>
        <v>2</v>
      </c>
      <c r="AA47" s="695">
        <f t="shared" si="70"/>
        <v>2</v>
      </c>
      <c r="AB47" s="695">
        <f t="shared" si="68"/>
        <v>2</v>
      </c>
      <c r="AC47" s="695">
        <f t="shared" si="68"/>
        <v>2</v>
      </c>
      <c r="AD47" s="695">
        <f t="shared" si="68"/>
        <v>2</v>
      </c>
      <c r="AE47" s="695">
        <f t="shared" si="68"/>
        <v>2</v>
      </c>
      <c r="AF47" s="695">
        <f t="shared" si="68"/>
        <v>2</v>
      </c>
      <c r="AG47" s="695">
        <f t="shared" si="68"/>
        <v>2</v>
      </c>
      <c r="AH47" s="695">
        <f t="shared" si="68"/>
        <v>2</v>
      </c>
      <c r="AI47" s="695">
        <f t="shared" si="68"/>
        <v>2</v>
      </c>
      <c r="AJ47" s="695">
        <f t="shared" si="68"/>
        <v>2</v>
      </c>
      <c r="AK47" s="695">
        <f t="shared" si="68"/>
        <v>3</v>
      </c>
      <c r="AL47" s="695">
        <f t="shared" si="68"/>
        <v>3</v>
      </c>
      <c r="AM47" s="695">
        <f t="shared" si="68"/>
        <v>3</v>
      </c>
      <c r="AN47" s="695">
        <f t="shared" si="68"/>
        <v>3</v>
      </c>
      <c r="AO47" s="695">
        <f t="shared" si="68"/>
        <v>3</v>
      </c>
      <c r="AP47" s="695">
        <f t="shared" si="68"/>
        <v>3</v>
      </c>
      <c r="AQ47" s="695">
        <f t="shared" si="68"/>
        <v>3</v>
      </c>
      <c r="AR47" s="695">
        <f t="shared" si="68"/>
        <v>3</v>
      </c>
      <c r="AS47" s="695">
        <f t="shared" si="68"/>
        <v>3</v>
      </c>
      <c r="AT47" s="695">
        <f t="shared" si="68"/>
        <v>3</v>
      </c>
      <c r="AU47" s="695">
        <f t="shared" si="68"/>
        <v>3</v>
      </c>
      <c r="AV47" s="695">
        <f t="shared" si="68"/>
        <v>3</v>
      </c>
      <c r="AW47" s="695">
        <f t="shared" si="68"/>
        <v>4</v>
      </c>
      <c r="AX47" s="695">
        <f t="shared" si="68"/>
        <v>4</v>
      </c>
      <c r="AY47" s="695">
        <f t="shared" si="68"/>
        <v>4</v>
      </c>
      <c r="AZ47" s="695">
        <f t="shared" si="68"/>
        <v>4</v>
      </c>
      <c r="BA47" s="695">
        <f t="shared" si="68"/>
        <v>4</v>
      </c>
      <c r="BB47" s="695">
        <f t="shared" si="68"/>
        <v>4</v>
      </c>
      <c r="BC47" s="695">
        <f t="shared" si="68"/>
        <v>4</v>
      </c>
      <c r="BD47" s="695">
        <f t="shared" si="68"/>
        <v>4</v>
      </c>
      <c r="BE47" s="695">
        <f t="shared" si="68"/>
        <v>4</v>
      </c>
      <c r="BF47" s="695">
        <f t="shared" si="68"/>
        <v>4</v>
      </c>
      <c r="BG47" s="695">
        <f t="shared" si="68"/>
        <v>4</v>
      </c>
      <c r="BH47" s="695">
        <f t="shared" si="68"/>
        <v>4</v>
      </c>
      <c r="BI47" s="695">
        <f t="shared" si="68"/>
        <v>5</v>
      </c>
      <c r="BJ47" s="695">
        <f t="shared" si="68"/>
        <v>5</v>
      </c>
      <c r="BK47" s="695">
        <f t="shared" si="68"/>
        <v>5</v>
      </c>
      <c r="BL47" s="695">
        <f t="shared" si="68"/>
        <v>5</v>
      </c>
      <c r="BM47" s="695">
        <f t="shared" si="68"/>
        <v>5</v>
      </c>
      <c r="BN47" s="695">
        <f t="shared" si="68"/>
        <v>5</v>
      </c>
      <c r="BO47" s="695">
        <f t="shared" si="68"/>
        <v>5</v>
      </c>
      <c r="BP47" s="695">
        <f t="shared" si="68"/>
        <v>5</v>
      </c>
      <c r="BQ47" s="695">
        <f t="shared" si="68"/>
        <v>5</v>
      </c>
      <c r="BR47" s="695">
        <f t="shared" si="68"/>
        <v>5</v>
      </c>
      <c r="BS47" s="695">
        <f t="shared" si="68"/>
        <v>5</v>
      </c>
      <c r="BT47" s="695">
        <f t="shared" si="68"/>
        <v>5</v>
      </c>
      <c r="BU47" s="695">
        <f t="shared" si="68"/>
        <v>6</v>
      </c>
      <c r="BV47" s="695">
        <f t="shared" si="68"/>
        <v>6</v>
      </c>
      <c r="BW47" s="695">
        <f t="shared" si="68"/>
        <v>6</v>
      </c>
      <c r="BX47" s="695">
        <f t="shared" si="68"/>
        <v>6</v>
      </c>
      <c r="BY47" s="695">
        <f t="shared" si="69"/>
        <v>6</v>
      </c>
      <c r="BZ47" s="695">
        <f t="shared" si="69"/>
        <v>6</v>
      </c>
      <c r="CA47" s="695">
        <f t="shared" si="69"/>
        <v>6</v>
      </c>
      <c r="CB47" s="695">
        <f t="shared" si="69"/>
        <v>6</v>
      </c>
      <c r="CC47" s="695">
        <f t="shared" si="69"/>
        <v>6</v>
      </c>
      <c r="CD47" s="695">
        <f t="shared" si="69"/>
        <v>6</v>
      </c>
      <c r="CE47" s="695">
        <f t="shared" si="69"/>
        <v>6</v>
      </c>
      <c r="CF47" s="695">
        <f t="shared" si="69"/>
        <v>6</v>
      </c>
      <c r="CG47" s="695">
        <f t="shared" si="69"/>
        <v>7</v>
      </c>
      <c r="CH47" s="695">
        <f t="shared" si="69"/>
        <v>7</v>
      </c>
      <c r="CI47" s="695">
        <f t="shared" si="69"/>
        <v>7</v>
      </c>
      <c r="CJ47" s="695">
        <f t="shared" si="69"/>
        <v>7</v>
      </c>
      <c r="CK47" s="695">
        <f t="shared" si="69"/>
        <v>7</v>
      </c>
      <c r="CL47" s="695">
        <f t="shared" si="69"/>
        <v>7</v>
      </c>
      <c r="CM47" s="695">
        <f t="shared" si="69"/>
        <v>7</v>
      </c>
      <c r="CN47" s="695">
        <f t="shared" si="69"/>
        <v>7</v>
      </c>
      <c r="CO47" s="695">
        <f t="shared" si="69"/>
        <v>7</v>
      </c>
      <c r="CP47" s="695">
        <f t="shared" si="69"/>
        <v>7</v>
      </c>
      <c r="CQ47" s="695">
        <f t="shared" si="69"/>
        <v>7</v>
      </c>
      <c r="CR47" s="695">
        <f t="shared" si="69"/>
        <v>7</v>
      </c>
      <c r="CS47" s="695">
        <f t="shared" si="69"/>
        <v>8</v>
      </c>
      <c r="CT47" s="695">
        <f t="shared" si="69"/>
        <v>8</v>
      </c>
      <c r="CU47" s="695">
        <f t="shared" si="69"/>
        <v>8</v>
      </c>
      <c r="CV47" s="695">
        <f t="shared" si="69"/>
        <v>8</v>
      </c>
      <c r="CW47" s="695">
        <f t="shared" si="69"/>
        <v>8</v>
      </c>
      <c r="CX47" s="695">
        <f t="shared" si="69"/>
        <v>8</v>
      </c>
      <c r="CY47" s="695">
        <f t="shared" si="69"/>
        <v>8</v>
      </c>
      <c r="CZ47" s="695">
        <f t="shared" si="69"/>
        <v>8</v>
      </c>
      <c r="DA47" s="695">
        <f t="shared" si="69"/>
        <v>8</v>
      </c>
      <c r="DB47" s="695">
        <f t="shared" si="69"/>
        <v>8</v>
      </c>
      <c r="DC47" s="695">
        <f t="shared" si="69"/>
        <v>8</v>
      </c>
      <c r="DD47" s="695">
        <f t="shared" si="69"/>
        <v>8</v>
      </c>
      <c r="DE47" s="695">
        <f t="shared" si="69"/>
        <v>9</v>
      </c>
      <c r="DF47" s="695">
        <f t="shared" si="69"/>
        <v>9</v>
      </c>
      <c r="DG47" s="695">
        <f t="shared" si="69"/>
        <v>9</v>
      </c>
      <c r="DH47" s="695">
        <f t="shared" si="69"/>
        <v>9</v>
      </c>
      <c r="DI47" s="695">
        <f t="shared" si="69"/>
        <v>9</v>
      </c>
      <c r="DJ47" s="695">
        <f t="shared" si="69"/>
        <v>9</v>
      </c>
      <c r="DK47" s="695">
        <f t="shared" si="69"/>
        <v>9</v>
      </c>
      <c r="DL47" s="695">
        <f t="shared" si="69"/>
        <v>9</v>
      </c>
      <c r="DM47" s="695">
        <f t="shared" si="69"/>
        <v>9</v>
      </c>
      <c r="DN47" s="695">
        <f t="shared" si="69"/>
        <v>9</v>
      </c>
      <c r="DO47" s="695">
        <f t="shared" si="69"/>
        <v>9</v>
      </c>
      <c r="DP47" s="695">
        <f t="shared" si="69"/>
        <v>9</v>
      </c>
      <c r="DQ47" s="695">
        <f t="shared" si="69"/>
        <v>10</v>
      </c>
      <c r="DR47" s="695">
        <f t="shared" si="69"/>
        <v>10</v>
      </c>
      <c r="DS47" s="695">
        <f t="shared" si="69"/>
        <v>10</v>
      </c>
      <c r="DT47" s="695">
        <f t="shared" si="69"/>
        <v>10</v>
      </c>
      <c r="DU47" s="695">
        <f t="shared" si="69"/>
        <v>10</v>
      </c>
      <c r="DV47" s="695">
        <f t="shared" si="69"/>
        <v>10</v>
      </c>
      <c r="DW47" s="695">
        <f t="shared" si="69"/>
        <v>10</v>
      </c>
      <c r="DX47" s="695">
        <f t="shared" si="69"/>
        <v>10</v>
      </c>
      <c r="DY47" s="695">
        <f t="shared" si="69"/>
        <v>10</v>
      </c>
      <c r="DZ47" s="695">
        <f t="shared" si="69"/>
        <v>10</v>
      </c>
      <c r="EA47" s="695">
        <f t="shared" si="69"/>
        <v>10</v>
      </c>
      <c r="EB47" s="695">
        <f t="shared" si="69"/>
        <v>10</v>
      </c>
      <c r="EC47" s="695">
        <f t="shared" si="69"/>
        <v>11</v>
      </c>
      <c r="ED47" s="695">
        <f t="shared" si="69"/>
        <v>11</v>
      </c>
      <c r="EE47" s="695">
        <f t="shared" si="69"/>
        <v>11</v>
      </c>
      <c r="EF47" s="695">
        <f t="shared" si="69"/>
        <v>11</v>
      </c>
      <c r="EG47" s="695">
        <f t="shared" si="69"/>
        <v>11</v>
      </c>
      <c r="EH47" s="695">
        <f t="shared" si="69"/>
        <v>11</v>
      </c>
      <c r="EI47" s="695">
        <f t="shared" si="69"/>
        <v>11</v>
      </c>
      <c r="EJ47" s="695">
        <f t="shared" si="69"/>
        <v>11</v>
      </c>
      <c r="EK47" s="695">
        <f t="shared" si="69"/>
        <v>11</v>
      </c>
      <c r="EL47" s="695">
        <f t="shared" si="69"/>
        <v>11</v>
      </c>
      <c r="EM47" s="695">
        <f t="shared" si="69"/>
        <v>11</v>
      </c>
      <c r="EN47" s="695">
        <f t="shared" si="69"/>
        <v>11</v>
      </c>
      <c r="EO47" s="695">
        <f t="shared" si="69"/>
        <v>12</v>
      </c>
      <c r="EP47" s="695">
        <f t="shared" si="69"/>
        <v>12</v>
      </c>
      <c r="EQ47" s="695">
        <f t="shared" si="69"/>
        <v>12</v>
      </c>
    </row>
    <row r="48" spans="3:147" ht="11.25" customHeight="1">
      <c r="C48" s="163"/>
      <c r="D48" s="5" t="s">
        <v>163</v>
      </c>
      <c r="F48" s="146">
        <f>H43</f>
        <v>46326</v>
      </c>
      <c r="G48" s="90">
        <f>MONTH(EOMONTH(F48,6))</f>
        <v>4</v>
      </c>
      <c r="H48" s="90">
        <f>MONTH(EOMONTH(F48,12))</f>
        <v>10</v>
      </c>
      <c r="I48" s="90"/>
      <c r="J48" s="170"/>
      <c r="K48" s="98"/>
      <c r="L48" s="171">
        <f t="shared" ref="L48:AQ48" si="71">OR(MONTH(L$14)=$F48,MONTH(L$14)=$G48,MONTH(L$14)=$H48,MONTH(L$14)=$I48)*1*(L$14&gt;$I$41)*(L$14&lt;$I$42)*1+(L$14=$I$42)*1</f>
        <v>0</v>
      </c>
      <c r="M48" s="171">
        <f t="shared" si="71"/>
        <v>0</v>
      </c>
      <c r="N48" s="171">
        <f t="shared" si="71"/>
        <v>0</v>
      </c>
      <c r="O48" s="171">
        <f t="shared" si="71"/>
        <v>0</v>
      </c>
      <c r="P48" s="171">
        <f t="shared" si="71"/>
        <v>0</v>
      </c>
      <c r="Q48" s="171">
        <f t="shared" si="71"/>
        <v>0</v>
      </c>
      <c r="R48" s="171">
        <f t="shared" si="71"/>
        <v>1</v>
      </c>
      <c r="S48" s="171">
        <f t="shared" si="71"/>
        <v>0</v>
      </c>
      <c r="T48" s="171">
        <f t="shared" si="71"/>
        <v>0</v>
      </c>
      <c r="U48" s="171">
        <f t="shared" si="71"/>
        <v>0</v>
      </c>
      <c r="V48" s="171">
        <f t="shared" si="71"/>
        <v>0</v>
      </c>
      <c r="W48" s="171">
        <f t="shared" si="71"/>
        <v>0</v>
      </c>
      <c r="X48" s="171">
        <f t="shared" si="71"/>
        <v>1</v>
      </c>
      <c r="Y48" s="171">
        <f t="shared" si="71"/>
        <v>0</v>
      </c>
      <c r="Z48" s="171">
        <f t="shared" si="71"/>
        <v>0</v>
      </c>
      <c r="AA48" s="171">
        <f t="shared" si="71"/>
        <v>0</v>
      </c>
      <c r="AB48" s="171">
        <f t="shared" si="71"/>
        <v>0</v>
      </c>
      <c r="AC48" s="171">
        <f t="shared" si="71"/>
        <v>0</v>
      </c>
      <c r="AD48" s="171">
        <f t="shared" si="71"/>
        <v>1</v>
      </c>
      <c r="AE48" s="171">
        <f t="shared" si="71"/>
        <v>0</v>
      </c>
      <c r="AF48" s="171">
        <f t="shared" si="71"/>
        <v>0</v>
      </c>
      <c r="AG48" s="171">
        <f t="shared" si="71"/>
        <v>0</v>
      </c>
      <c r="AH48" s="171">
        <f t="shared" si="71"/>
        <v>0</v>
      </c>
      <c r="AI48" s="171">
        <f t="shared" si="71"/>
        <v>0</v>
      </c>
      <c r="AJ48" s="171">
        <f t="shared" si="71"/>
        <v>1</v>
      </c>
      <c r="AK48" s="171">
        <f t="shared" si="71"/>
        <v>0</v>
      </c>
      <c r="AL48" s="171">
        <f t="shared" si="71"/>
        <v>0</v>
      </c>
      <c r="AM48" s="171">
        <f t="shared" si="71"/>
        <v>0</v>
      </c>
      <c r="AN48" s="171">
        <f t="shared" si="71"/>
        <v>0</v>
      </c>
      <c r="AO48" s="171">
        <f t="shared" si="71"/>
        <v>0</v>
      </c>
      <c r="AP48" s="171">
        <f t="shared" si="71"/>
        <v>1</v>
      </c>
      <c r="AQ48" s="171">
        <f t="shared" si="71"/>
        <v>0</v>
      </c>
      <c r="AR48" s="171">
        <f t="shared" ref="AR48:BW48" si="72">OR(MONTH(AR$14)=$F48,MONTH(AR$14)=$G48,MONTH(AR$14)=$H48,MONTH(AR$14)=$I48)*1*(AR$14&gt;$I$41)*(AR$14&lt;$I$42)*1+(AR$14=$I$42)*1</f>
        <v>0</v>
      </c>
      <c r="AS48" s="171">
        <f t="shared" si="72"/>
        <v>0</v>
      </c>
      <c r="AT48" s="171">
        <f t="shared" si="72"/>
        <v>0</v>
      </c>
      <c r="AU48" s="171">
        <f t="shared" si="72"/>
        <v>0</v>
      </c>
      <c r="AV48" s="171">
        <f t="shared" si="72"/>
        <v>1</v>
      </c>
      <c r="AW48" s="171">
        <f t="shared" si="72"/>
        <v>0</v>
      </c>
      <c r="AX48" s="171">
        <f t="shared" si="72"/>
        <v>0</v>
      </c>
      <c r="AY48" s="171">
        <f t="shared" si="72"/>
        <v>0</v>
      </c>
      <c r="AZ48" s="171">
        <f t="shared" si="72"/>
        <v>0</v>
      </c>
      <c r="BA48" s="171">
        <f t="shared" si="72"/>
        <v>0</v>
      </c>
      <c r="BB48" s="171">
        <f t="shared" si="72"/>
        <v>1</v>
      </c>
      <c r="BC48" s="171">
        <f t="shared" si="72"/>
        <v>0</v>
      </c>
      <c r="BD48" s="171">
        <f t="shared" si="72"/>
        <v>0</v>
      </c>
      <c r="BE48" s="171">
        <f t="shared" si="72"/>
        <v>0</v>
      </c>
      <c r="BF48" s="171">
        <f t="shared" si="72"/>
        <v>0</v>
      </c>
      <c r="BG48" s="171">
        <f t="shared" si="72"/>
        <v>0</v>
      </c>
      <c r="BH48" s="171">
        <f t="shared" si="72"/>
        <v>1</v>
      </c>
      <c r="BI48" s="171">
        <f t="shared" si="72"/>
        <v>0</v>
      </c>
      <c r="BJ48" s="171">
        <f t="shared" si="72"/>
        <v>0</v>
      </c>
      <c r="BK48" s="171">
        <f t="shared" si="72"/>
        <v>0</v>
      </c>
      <c r="BL48" s="171">
        <f t="shared" si="72"/>
        <v>0</v>
      </c>
      <c r="BM48" s="171">
        <f t="shared" si="72"/>
        <v>0</v>
      </c>
      <c r="BN48" s="171">
        <f t="shared" si="72"/>
        <v>1</v>
      </c>
      <c r="BO48" s="171">
        <f t="shared" si="72"/>
        <v>0</v>
      </c>
      <c r="BP48" s="171">
        <f t="shared" si="72"/>
        <v>0</v>
      </c>
      <c r="BQ48" s="171">
        <f t="shared" si="72"/>
        <v>0</v>
      </c>
      <c r="BR48" s="171">
        <f t="shared" si="72"/>
        <v>0</v>
      </c>
      <c r="BS48" s="171">
        <f t="shared" si="72"/>
        <v>0</v>
      </c>
      <c r="BT48" s="171">
        <f t="shared" si="72"/>
        <v>1</v>
      </c>
      <c r="BU48" s="171">
        <f t="shared" si="72"/>
        <v>0</v>
      </c>
      <c r="BV48" s="171">
        <f t="shared" si="72"/>
        <v>0</v>
      </c>
      <c r="BW48" s="171">
        <f t="shared" si="72"/>
        <v>0</v>
      </c>
      <c r="BX48" s="171">
        <f t="shared" ref="BX48:DC48" si="73">OR(MONTH(BX$14)=$F48,MONTH(BX$14)=$G48,MONTH(BX$14)=$H48,MONTH(BX$14)=$I48)*1*(BX$14&gt;$I$41)*(BX$14&lt;$I$42)*1+(BX$14=$I$42)*1</f>
        <v>0</v>
      </c>
      <c r="BY48" s="171">
        <f t="shared" si="73"/>
        <v>0</v>
      </c>
      <c r="BZ48" s="171">
        <f t="shared" si="73"/>
        <v>1</v>
      </c>
      <c r="CA48" s="171">
        <f t="shared" si="73"/>
        <v>0</v>
      </c>
      <c r="CB48" s="171">
        <f t="shared" si="73"/>
        <v>0</v>
      </c>
      <c r="CC48" s="171">
        <f t="shared" si="73"/>
        <v>0</v>
      </c>
      <c r="CD48" s="171">
        <f t="shared" si="73"/>
        <v>0</v>
      </c>
      <c r="CE48" s="171">
        <f t="shared" si="73"/>
        <v>0</v>
      </c>
      <c r="CF48" s="171">
        <f t="shared" si="73"/>
        <v>1</v>
      </c>
      <c r="CG48" s="171">
        <f t="shared" si="73"/>
        <v>0</v>
      </c>
      <c r="CH48" s="171">
        <f t="shared" si="73"/>
        <v>0</v>
      </c>
      <c r="CI48" s="171">
        <f t="shared" si="73"/>
        <v>0</v>
      </c>
      <c r="CJ48" s="171">
        <f t="shared" si="73"/>
        <v>0</v>
      </c>
      <c r="CK48" s="171">
        <f t="shared" si="73"/>
        <v>0</v>
      </c>
      <c r="CL48" s="171">
        <f t="shared" si="73"/>
        <v>1</v>
      </c>
      <c r="CM48" s="171">
        <f t="shared" si="73"/>
        <v>0</v>
      </c>
      <c r="CN48" s="171">
        <f t="shared" si="73"/>
        <v>0</v>
      </c>
      <c r="CO48" s="171">
        <f t="shared" si="73"/>
        <v>0</v>
      </c>
      <c r="CP48" s="171">
        <f t="shared" si="73"/>
        <v>0</v>
      </c>
      <c r="CQ48" s="171">
        <f t="shared" si="73"/>
        <v>0</v>
      </c>
      <c r="CR48" s="171">
        <f t="shared" si="73"/>
        <v>1</v>
      </c>
      <c r="CS48" s="171">
        <f t="shared" si="73"/>
        <v>0</v>
      </c>
      <c r="CT48" s="171">
        <f t="shared" si="73"/>
        <v>0</v>
      </c>
      <c r="CU48" s="171">
        <f t="shared" si="73"/>
        <v>0</v>
      </c>
      <c r="CV48" s="171">
        <f t="shared" si="73"/>
        <v>0</v>
      </c>
      <c r="CW48" s="171">
        <f t="shared" si="73"/>
        <v>0</v>
      </c>
      <c r="CX48" s="171">
        <f t="shared" si="73"/>
        <v>1</v>
      </c>
      <c r="CY48" s="171">
        <f t="shared" si="73"/>
        <v>0</v>
      </c>
      <c r="CZ48" s="171">
        <f t="shared" si="73"/>
        <v>0</v>
      </c>
      <c r="DA48" s="171">
        <f t="shared" si="73"/>
        <v>0</v>
      </c>
      <c r="DB48" s="171">
        <f t="shared" si="73"/>
        <v>0</v>
      </c>
      <c r="DC48" s="171">
        <f t="shared" si="73"/>
        <v>0</v>
      </c>
      <c r="DD48" s="171">
        <f t="shared" ref="DD48:EQ48" si="74">OR(MONTH(DD$14)=$F48,MONTH(DD$14)=$G48,MONTH(DD$14)=$H48,MONTH(DD$14)=$I48)*1*(DD$14&gt;$I$41)*(DD$14&lt;$I$42)*1+(DD$14=$I$42)*1</f>
        <v>1</v>
      </c>
      <c r="DE48" s="171">
        <f t="shared" si="74"/>
        <v>0</v>
      </c>
      <c r="DF48" s="171">
        <f t="shared" si="74"/>
        <v>0</v>
      </c>
      <c r="DG48" s="171">
        <f t="shared" si="74"/>
        <v>0</v>
      </c>
      <c r="DH48" s="171">
        <f t="shared" si="74"/>
        <v>0</v>
      </c>
      <c r="DI48" s="171">
        <f t="shared" si="74"/>
        <v>0</v>
      </c>
      <c r="DJ48" s="171">
        <f t="shared" si="74"/>
        <v>1</v>
      </c>
      <c r="DK48" s="171">
        <f t="shared" si="74"/>
        <v>0</v>
      </c>
      <c r="DL48" s="171">
        <f t="shared" si="74"/>
        <v>0</v>
      </c>
      <c r="DM48" s="171">
        <f t="shared" si="74"/>
        <v>0</v>
      </c>
      <c r="DN48" s="171">
        <f t="shared" si="74"/>
        <v>0</v>
      </c>
      <c r="DO48" s="171">
        <f t="shared" si="74"/>
        <v>0</v>
      </c>
      <c r="DP48" s="171">
        <f t="shared" si="74"/>
        <v>1</v>
      </c>
      <c r="DQ48" s="171">
        <f t="shared" si="74"/>
        <v>0</v>
      </c>
      <c r="DR48" s="171">
        <f t="shared" si="74"/>
        <v>0</v>
      </c>
      <c r="DS48" s="171">
        <f t="shared" si="74"/>
        <v>0</v>
      </c>
      <c r="DT48" s="171">
        <f t="shared" si="74"/>
        <v>0</v>
      </c>
      <c r="DU48" s="171">
        <f t="shared" si="74"/>
        <v>0</v>
      </c>
      <c r="DV48" s="171">
        <f t="shared" si="74"/>
        <v>1</v>
      </c>
      <c r="DW48" s="171">
        <f t="shared" si="74"/>
        <v>0</v>
      </c>
      <c r="DX48" s="171">
        <f t="shared" si="74"/>
        <v>0</v>
      </c>
      <c r="DY48" s="171">
        <f t="shared" si="74"/>
        <v>0</v>
      </c>
      <c r="DZ48" s="171">
        <f t="shared" si="74"/>
        <v>0</v>
      </c>
      <c r="EA48" s="171">
        <f t="shared" si="74"/>
        <v>0</v>
      </c>
      <c r="EB48" s="171">
        <f t="shared" si="74"/>
        <v>1</v>
      </c>
      <c r="EC48" s="171">
        <f t="shared" si="74"/>
        <v>0</v>
      </c>
      <c r="ED48" s="171">
        <f t="shared" si="74"/>
        <v>0</v>
      </c>
      <c r="EE48" s="171">
        <f t="shared" si="74"/>
        <v>0</v>
      </c>
      <c r="EF48" s="171">
        <f t="shared" si="74"/>
        <v>0</v>
      </c>
      <c r="EG48" s="171">
        <f t="shared" si="74"/>
        <v>0</v>
      </c>
      <c r="EH48" s="171">
        <f t="shared" si="74"/>
        <v>0</v>
      </c>
      <c r="EI48" s="171">
        <f t="shared" si="74"/>
        <v>0</v>
      </c>
      <c r="EJ48" s="171">
        <f t="shared" si="74"/>
        <v>0</v>
      </c>
      <c r="EK48" s="171">
        <f t="shared" si="74"/>
        <v>0</v>
      </c>
      <c r="EL48" s="171">
        <f t="shared" si="74"/>
        <v>0</v>
      </c>
      <c r="EM48" s="171">
        <f t="shared" si="74"/>
        <v>0</v>
      </c>
      <c r="EN48" s="171">
        <f t="shared" si="74"/>
        <v>0</v>
      </c>
      <c r="EO48" s="171">
        <f t="shared" si="74"/>
        <v>0</v>
      </c>
      <c r="EP48" s="171">
        <f t="shared" si="74"/>
        <v>0</v>
      </c>
      <c r="EQ48" s="171">
        <f t="shared" si="74"/>
        <v>0</v>
      </c>
    </row>
    <row r="49" spans="3:147" ht="11.25" customHeight="1">
      <c r="C49" s="158" t="s">
        <v>528</v>
      </c>
      <c r="D49" s="159"/>
      <c r="E49" s="159"/>
      <c r="F49" s="159"/>
      <c r="G49" s="159"/>
      <c r="H49" s="159"/>
      <c r="I49" s="160"/>
      <c r="J49" s="161"/>
      <c r="K49" s="98"/>
      <c r="L49" s="162"/>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162"/>
      <c r="AJ49" s="162"/>
      <c r="AK49" s="162"/>
      <c r="AL49" s="162"/>
      <c r="AM49" s="162"/>
      <c r="AN49" s="162"/>
      <c r="AO49" s="162"/>
      <c r="AP49" s="162"/>
      <c r="AQ49" s="162"/>
      <c r="AR49" s="162"/>
      <c r="AS49" s="162"/>
      <c r="AT49" s="162"/>
      <c r="AU49" s="162"/>
      <c r="AV49" s="162"/>
      <c r="AW49" s="162"/>
      <c r="AX49" s="162"/>
      <c r="AY49" s="162"/>
      <c r="AZ49" s="162"/>
      <c r="BA49" s="162"/>
      <c r="BB49" s="162"/>
      <c r="BC49" s="162"/>
      <c r="BD49" s="162"/>
      <c r="BE49" s="162"/>
      <c r="BF49" s="162"/>
      <c r="BG49" s="162"/>
      <c r="BH49" s="162"/>
      <c r="BI49" s="162"/>
      <c r="BJ49" s="162"/>
      <c r="BK49" s="162"/>
      <c r="BL49" s="162"/>
      <c r="BM49" s="162"/>
      <c r="BN49" s="162"/>
      <c r="BO49" s="162"/>
      <c r="BP49" s="162"/>
      <c r="BQ49" s="162"/>
      <c r="BR49" s="162"/>
      <c r="BS49" s="162"/>
      <c r="BT49" s="162"/>
      <c r="BU49" s="162"/>
      <c r="BV49" s="162"/>
      <c r="BW49" s="162"/>
      <c r="BX49" s="162"/>
      <c r="BY49" s="162"/>
      <c r="BZ49" s="162"/>
      <c r="CA49" s="162"/>
      <c r="CB49" s="162"/>
      <c r="CC49" s="162"/>
      <c r="CD49" s="162"/>
      <c r="CE49" s="162"/>
      <c r="CF49" s="162"/>
      <c r="CG49" s="162"/>
      <c r="CH49" s="162"/>
      <c r="CI49" s="162"/>
      <c r="CJ49" s="162"/>
      <c r="CK49" s="162"/>
      <c r="CL49" s="162"/>
      <c r="CM49" s="162"/>
      <c r="CN49" s="162"/>
      <c r="CO49" s="162"/>
      <c r="CP49" s="162"/>
      <c r="CQ49" s="162"/>
      <c r="CR49" s="162"/>
      <c r="CS49" s="162"/>
      <c r="CT49" s="162"/>
      <c r="CU49" s="162"/>
      <c r="CV49" s="162"/>
      <c r="CW49" s="162"/>
      <c r="CX49" s="162"/>
      <c r="CY49" s="162"/>
      <c r="CZ49" s="162"/>
      <c r="DA49" s="162"/>
      <c r="DB49" s="162"/>
      <c r="DC49" s="162"/>
      <c r="DD49" s="162"/>
      <c r="DE49" s="162"/>
      <c r="DF49" s="162"/>
      <c r="DG49" s="162"/>
      <c r="DH49" s="162"/>
      <c r="DI49" s="162"/>
      <c r="DJ49" s="162"/>
      <c r="DK49" s="162"/>
      <c r="DL49" s="162"/>
      <c r="DM49" s="162"/>
      <c r="DN49" s="162"/>
      <c r="DO49" s="162"/>
      <c r="DP49" s="162"/>
      <c r="DQ49" s="162"/>
      <c r="DR49" s="162"/>
      <c r="DS49" s="162"/>
      <c r="DT49" s="162"/>
      <c r="DU49" s="162"/>
      <c r="DV49" s="162"/>
      <c r="DW49" s="162"/>
      <c r="DX49" s="162"/>
      <c r="DY49" s="162"/>
      <c r="DZ49" s="162"/>
      <c r="EA49" s="162"/>
      <c r="EB49" s="162"/>
      <c r="EC49" s="162"/>
      <c r="ED49" s="162"/>
      <c r="EE49" s="162"/>
      <c r="EF49" s="162"/>
      <c r="EG49" s="162"/>
      <c r="EH49" s="162"/>
      <c r="EI49" s="162"/>
      <c r="EJ49" s="162"/>
      <c r="EK49" s="162"/>
      <c r="EL49" s="162"/>
      <c r="EM49" s="162"/>
      <c r="EN49" s="162"/>
      <c r="EO49" s="162"/>
      <c r="EP49" s="162"/>
      <c r="EQ49" s="162"/>
    </row>
    <row r="50" spans="3:147" ht="11.25" customHeight="1">
      <c r="C50" s="163"/>
      <c r="D50" s="164" t="s">
        <v>164</v>
      </c>
      <c r="E50" s="165"/>
      <c r="F50" s="165">
        <v>1</v>
      </c>
      <c r="G50" s="165">
        <v>4</v>
      </c>
      <c r="H50" s="165">
        <v>7</v>
      </c>
      <c r="I50" s="185">
        <v>10</v>
      </c>
      <c r="J50" s="167"/>
      <c r="K50" s="98"/>
      <c r="L50" s="168">
        <f t="shared" ref="L50:U51" si="75">OR(MONTH(L$14)=$F50,MONTH(L$14)=$G50,MONTH(L$14)=$H50,MONTH(L$14)=$I50)*1*(L$14&gt;$I$41)*(L$14&lt;$I$42)*1+(L$14=$I$42)*1</f>
        <v>0</v>
      </c>
      <c r="M50" s="168">
        <f t="shared" si="75"/>
        <v>0</v>
      </c>
      <c r="N50" s="168">
        <f t="shared" si="75"/>
        <v>0</v>
      </c>
      <c r="O50" s="168">
        <f t="shared" si="75"/>
        <v>1</v>
      </c>
      <c r="P50" s="168">
        <f t="shared" si="75"/>
        <v>0</v>
      </c>
      <c r="Q50" s="168">
        <f t="shared" si="75"/>
        <v>0</v>
      </c>
      <c r="R50" s="168">
        <f t="shared" si="75"/>
        <v>1</v>
      </c>
      <c r="S50" s="168">
        <f t="shared" si="75"/>
        <v>0</v>
      </c>
      <c r="T50" s="168">
        <f t="shared" si="75"/>
        <v>0</v>
      </c>
      <c r="U50" s="168">
        <f t="shared" si="75"/>
        <v>1</v>
      </c>
      <c r="V50" s="168">
        <f t="shared" ref="V50:AE51" si="76">OR(MONTH(V$14)=$F50,MONTH(V$14)=$G50,MONTH(V$14)=$H50,MONTH(V$14)=$I50)*1*(V$14&gt;$I$41)*(V$14&lt;$I$42)*1+(V$14=$I$42)*1</f>
        <v>0</v>
      </c>
      <c r="W50" s="168">
        <f t="shared" si="76"/>
        <v>0</v>
      </c>
      <c r="X50" s="168">
        <f t="shared" si="76"/>
        <v>1</v>
      </c>
      <c r="Y50" s="168">
        <f t="shared" si="76"/>
        <v>0</v>
      </c>
      <c r="Z50" s="168">
        <f t="shared" si="76"/>
        <v>0</v>
      </c>
      <c r="AA50" s="168">
        <f t="shared" si="76"/>
        <v>1</v>
      </c>
      <c r="AB50" s="168">
        <f t="shared" si="76"/>
        <v>0</v>
      </c>
      <c r="AC50" s="168">
        <f t="shared" si="76"/>
        <v>0</v>
      </c>
      <c r="AD50" s="168">
        <f t="shared" si="76"/>
        <v>1</v>
      </c>
      <c r="AE50" s="168">
        <f t="shared" si="76"/>
        <v>0</v>
      </c>
      <c r="AF50" s="168">
        <f t="shared" ref="AF50:AO51" si="77">OR(MONTH(AF$14)=$F50,MONTH(AF$14)=$G50,MONTH(AF$14)=$H50,MONTH(AF$14)=$I50)*1*(AF$14&gt;$I$41)*(AF$14&lt;$I$42)*1+(AF$14=$I$42)*1</f>
        <v>0</v>
      </c>
      <c r="AG50" s="168">
        <f t="shared" si="77"/>
        <v>1</v>
      </c>
      <c r="AH50" s="168">
        <f t="shared" si="77"/>
        <v>0</v>
      </c>
      <c r="AI50" s="168">
        <f t="shared" si="77"/>
        <v>0</v>
      </c>
      <c r="AJ50" s="168">
        <f t="shared" si="77"/>
        <v>1</v>
      </c>
      <c r="AK50" s="168">
        <f t="shared" si="77"/>
        <v>0</v>
      </c>
      <c r="AL50" s="168">
        <f t="shared" si="77"/>
        <v>0</v>
      </c>
      <c r="AM50" s="168">
        <f t="shared" si="77"/>
        <v>1</v>
      </c>
      <c r="AN50" s="168">
        <f t="shared" si="77"/>
        <v>0</v>
      </c>
      <c r="AO50" s="168">
        <f t="shared" si="77"/>
        <v>0</v>
      </c>
      <c r="AP50" s="168">
        <f t="shared" ref="AP50:AY51" si="78">OR(MONTH(AP$14)=$F50,MONTH(AP$14)=$G50,MONTH(AP$14)=$H50,MONTH(AP$14)=$I50)*1*(AP$14&gt;$I$41)*(AP$14&lt;$I$42)*1+(AP$14=$I$42)*1</f>
        <v>1</v>
      </c>
      <c r="AQ50" s="168">
        <f t="shared" si="78"/>
        <v>0</v>
      </c>
      <c r="AR50" s="168">
        <f t="shared" si="78"/>
        <v>0</v>
      </c>
      <c r="AS50" s="168">
        <f t="shared" si="78"/>
        <v>1</v>
      </c>
      <c r="AT50" s="168">
        <f t="shared" si="78"/>
        <v>0</v>
      </c>
      <c r="AU50" s="168">
        <f t="shared" si="78"/>
        <v>0</v>
      </c>
      <c r="AV50" s="168">
        <f t="shared" si="78"/>
        <v>1</v>
      </c>
      <c r="AW50" s="168">
        <f t="shared" si="78"/>
        <v>0</v>
      </c>
      <c r="AX50" s="168">
        <f t="shared" si="78"/>
        <v>0</v>
      </c>
      <c r="AY50" s="168">
        <f t="shared" si="78"/>
        <v>1</v>
      </c>
      <c r="AZ50" s="168">
        <f t="shared" ref="AZ50:BI51" si="79">OR(MONTH(AZ$14)=$F50,MONTH(AZ$14)=$G50,MONTH(AZ$14)=$H50,MONTH(AZ$14)=$I50)*1*(AZ$14&gt;$I$41)*(AZ$14&lt;$I$42)*1+(AZ$14=$I$42)*1</f>
        <v>0</v>
      </c>
      <c r="BA50" s="168">
        <f t="shared" si="79"/>
        <v>0</v>
      </c>
      <c r="BB50" s="168">
        <f t="shared" si="79"/>
        <v>1</v>
      </c>
      <c r="BC50" s="168">
        <f t="shared" si="79"/>
        <v>0</v>
      </c>
      <c r="BD50" s="168">
        <f t="shared" si="79"/>
        <v>0</v>
      </c>
      <c r="BE50" s="168">
        <f t="shared" si="79"/>
        <v>1</v>
      </c>
      <c r="BF50" s="168">
        <f t="shared" si="79"/>
        <v>0</v>
      </c>
      <c r="BG50" s="168">
        <f t="shared" si="79"/>
        <v>0</v>
      </c>
      <c r="BH50" s="168">
        <f t="shared" si="79"/>
        <v>1</v>
      </c>
      <c r="BI50" s="168">
        <f t="shared" si="79"/>
        <v>0</v>
      </c>
      <c r="BJ50" s="168">
        <f t="shared" ref="BJ50:BS51" si="80">OR(MONTH(BJ$14)=$F50,MONTH(BJ$14)=$G50,MONTH(BJ$14)=$H50,MONTH(BJ$14)=$I50)*1*(BJ$14&gt;$I$41)*(BJ$14&lt;$I$42)*1+(BJ$14=$I$42)*1</f>
        <v>0</v>
      </c>
      <c r="BK50" s="168">
        <f t="shared" si="80"/>
        <v>1</v>
      </c>
      <c r="BL50" s="168">
        <f t="shared" si="80"/>
        <v>0</v>
      </c>
      <c r="BM50" s="168">
        <f t="shared" si="80"/>
        <v>0</v>
      </c>
      <c r="BN50" s="168">
        <f t="shared" si="80"/>
        <v>1</v>
      </c>
      <c r="BO50" s="168">
        <f t="shared" si="80"/>
        <v>0</v>
      </c>
      <c r="BP50" s="168">
        <f t="shared" si="80"/>
        <v>0</v>
      </c>
      <c r="BQ50" s="168">
        <f t="shared" si="80"/>
        <v>1</v>
      </c>
      <c r="BR50" s="168">
        <f t="shared" si="80"/>
        <v>0</v>
      </c>
      <c r="BS50" s="168">
        <f t="shared" si="80"/>
        <v>0</v>
      </c>
      <c r="BT50" s="168">
        <f t="shared" ref="BT50:CC51" si="81">OR(MONTH(BT$14)=$F50,MONTH(BT$14)=$G50,MONTH(BT$14)=$H50,MONTH(BT$14)=$I50)*1*(BT$14&gt;$I$41)*(BT$14&lt;$I$42)*1+(BT$14=$I$42)*1</f>
        <v>1</v>
      </c>
      <c r="BU50" s="168">
        <f t="shared" si="81"/>
        <v>0</v>
      </c>
      <c r="BV50" s="168">
        <f t="shared" si="81"/>
        <v>0</v>
      </c>
      <c r="BW50" s="168">
        <f t="shared" si="81"/>
        <v>1</v>
      </c>
      <c r="BX50" s="168">
        <f t="shared" si="81"/>
        <v>0</v>
      </c>
      <c r="BY50" s="168">
        <f t="shared" si="81"/>
        <v>0</v>
      </c>
      <c r="BZ50" s="168">
        <f t="shared" si="81"/>
        <v>1</v>
      </c>
      <c r="CA50" s="168">
        <f t="shared" si="81"/>
        <v>0</v>
      </c>
      <c r="CB50" s="168">
        <f t="shared" si="81"/>
        <v>0</v>
      </c>
      <c r="CC50" s="168">
        <f t="shared" si="81"/>
        <v>1</v>
      </c>
      <c r="CD50" s="168">
        <f t="shared" ref="CD50:CM51" si="82">OR(MONTH(CD$14)=$F50,MONTH(CD$14)=$G50,MONTH(CD$14)=$H50,MONTH(CD$14)=$I50)*1*(CD$14&gt;$I$41)*(CD$14&lt;$I$42)*1+(CD$14=$I$42)*1</f>
        <v>0</v>
      </c>
      <c r="CE50" s="168">
        <f t="shared" si="82"/>
        <v>0</v>
      </c>
      <c r="CF50" s="168">
        <f t="shared" si="82"/>
        <v>1</v>
      </c>
      <c r="CG50" s="168">
        <f t="shared" si="82"/>
        <v>0</v>
      </c>
      <c r="CH50" s="168">
        <f t="shared" si="82"/>
        <v>0</v>
      </c>
      <c r="CI50" s="168">
        <f t="shared" si="82"/>
        <v>1</v>
      </c>
      <c r="CJ50" s="168">
        <f t="shared" si="82"/>
        <v>0</v>
      </c>
      <c r="CK50" s="168">
        <f t="shared" si="82"/>
        <v>0</v>
      </c>
      <c r="CL50" s="168">
        <f t="shared" si="82"/>
        <v>1</v>
      </c>
      <c r="CM50" s="168">
        <f t="shared" si="82"/>
        <v>0</v>
      </c>
      <c r="CN50" s="168">
        <f t="shared" ref="CN50:CW51" si="83">OR(MONTH(CN$14)=$F50,MONTH(CN$14)=$G50,MONTH(CN$14)=$H50,MONTH(CN$14)=$I50)*1*(CN$14&gt;$I$41)*(CN$14&lt;$I$42)*1+(CN$14=$I$42)*1</f>
        <v>0</v>
      </c>
      <c r="CO50" s="168">
        <f t="shared" si="83"/>
        <v>1</v>
      </c>
      <c r="CP50" s="168">
        <f t="shared" si="83"/>
        <v>0</v>
      </c>
      <c r="CQ50" s="168">
        <f t="shared" si="83"/>
        <v>0</v>
      </c>
      <c r="CR50" s="168">
        <f t="shared" si="83"/>
        <v>1</v>
      </c>
      <c r="CS50" s="168">
        <f t="shared" si="83"/>
        <v>0</v>
      </c>
      <c r="CT50" s="168">
        <f t="shared" si="83"/>
        <v>0</v>
      </c>
      <c r="CU50" s="168">
        <f t="shared" si="83"/>
        <v>1</v>
      </c>
      <c r="CV50" s="168">
        <f t="shared" si="83"/>
        <v>0</v>
      </c>
      <c r="CW50" s="168">
        <f t="shared" si="83"/>
        <v>0</v>
      </c>
      <c r="CX50" s="168">
        <f t="shared" ref="CX50:DG51" si="84">OR(MONTH(CX$14)=$F50,MONTH(CX$14)=$G50,MONTH(CX$14)=$H50,MONTH(CX$14)=$I50)*1*(CX$14&gt;$I$41)*(CX$14&lt;$I$42)*1+(CX$14=$I$42)*1</f>
        <v>1</v>
      </c>
      <c r="CY50" s="168">
        <f t="shared" si="84"/>
        <v>0</v>
      </c>
      <c r="CZ50" s="168">
        <f t="shared" si="84"/>
        <v>0</v>
      </c>
      <c r="DA50" s="168">
        <f t="shared" si="84"/>
        <v>1</v>
      </c>
      <c r="DB50" s="168">
        <f t="shared" si="84"/>
        <v>0</v>
      </c>
      <c r="DC50" s="168">
        <f t="shared" si="84"/>
        <v>0</v>
      </c>
      <c r="DD50" s="168">
        <f t="shared" si="84"/>
        <v>1</v>
      </c>
      <c r="DE50" s="168">
        <f t="shared" si="84"/>
        <v>0</v>
      </c>
      <c r="DF50" s="168">
        <f t="shared" si="84"/>
        <v>0</v>
      </c>
      <c r="DG50" s="168">
        <f t="shared" si="84"/>
        <v>1</v>
      </c>
      <c r="DH50" s="168">
        <f t="shared" ref="DH50:EQ51" si="85">OR(MONTH(DH$14)=$F50,MONTH(DH$14)=$G50,MONTH(DH$14)=$H50,MONTH(DH$14)=$I50)*1*(DH$14&gt;$I$41)*(DH$14&lt;$I$42)*1+(DH$14=$I$42)*1</f>
        <v>0</v>
      </c>
      <c r="DI50" s="168">
        <f t="shared" si="85"/>
        <v>0</v>
      </c>
      <c r="DJ50" s="168">
        <f t="shared" si="85"/>
        <v>1</v>
      </c>
      <c r="DK50" s="168">
        <f t="shared" si="85"/>
        <v>0</v>
      </c>
      <c r="DL50" s="168">
        <f t="shared" si="85"/>
        <v>0</v>
      </c>
      <c r="DM50" s="168">
        <f t="shared" si="85"/>
        <v>1</v>
      </c>
      <c r="DN50" s="168">
        <f t="shared" si="85"/>
        <v>0</v>
      </c>
      <c r="DO50" s="168">
        <f t="shared" si="85"/>
        <v>0</v>
      </c>
      <c r="DP50" s="168">
        <f t="shared" si="85"/>
        <v>1</v>
      </c>
      <c r="DQ50" s="168">
        <f t="shared" si="85"/>
        <v>0</v>
      </c>
      <c r="DR50" s="168">
        <f t="shared" si="85"/>
        <v>0</v>
      </c>
      <c r="DS50" s="168">
        <f t="shared" si="85"/>
        <v>1</v>
      </c>
      <c r="DT50" s="168">
        <f t="shared" si="85"/>
        <v>0</v>
      </c>
      <c r="DU50" s="168">
        <f t="shared" si="85"/>
        <v>0</v>
      </c>
      <c r="DV50" s="168">
        <f t="shared" si="85"/>
        <v>1</v>
      </c>
      <c r="DW50" s="168">
        <f t="shared" si="85"/>
        <v>0</v>
      </c>
      <c r="DX50" s="168">
        <f t="shared" si="85"/>
        <v>0</v>
      </c>
      <c r="DY50" s="168">
        <f t="shared" si="85"/>
        <v>1</v>
      </c>
      <c r="DZ50" s="168">
        <f t="shared" si="85"/>
        <v>0</v>
      </c>
      <c r="EA50" s="168">
        <f t="shared" si="85"/>
        <v>0</v>
      </c>
      <c r="EB50" s="168">
        <f t="shared" si="85"/>
        <v>1</v>
      </c>
      <c r="EC50" s="168">
        <f t="shared" si="85"/>
        <v>0</v>
      </c>
      <c r="ED50" s="168">
        <f t="shared" si="85"/>
        <v>0</v>
      </c>
      <c r="EE50" s="168">
        <f t="shared" si="85"/>
        <v>0</v>
      </c>
      <c r="EF50" s="168">
        <f t="shared" si="85"/>
        <v>0</v>
      </c>
      <c r="EG50" s="168">
        <f t="shared" si="85"/>
        <v>0</v>
      </c>
      <c r="EH50" s="168">
        <f t="shared" si="85"/>
        <v>0</v>
      </c>
      <c r="EI50" s="168">
        <f t="shared" si="85"/>
        <v>0</v>
      </c>
      <c r="EJ50" s="168">
        <f t="shared" si="85"/>
        <v>0</v>
      </c>
      <c r="EK50" s="168">
        <f t="shared" si="85"/>
        <v>0</v>
      </c>
      <c r="EL50" s="168">
        <f t="shared" si="85"/>
        <v>0</v>
      </c>
      <c r="EM50" s="168">
        <f t="shared" si="85"/>
        <v>0</v>
      </c>
      <c r="EN50" s="168">
        <f t="shared" si="85"/>
        <v>0</v>
      </c>
      <c r="EO50" s="168">
        <f t="shared" si="85"/>
        <v>0</v>
      </c>
      <c r="EP50" s="168">
        <f t="shared" si="85"/>
        <v>0</v>
      </c>
      <c r="EQ50" s="168">
        <f t="shared" si="85"/>
        <v>0</v>
      </c>
    </row>
    <row r="51" spans="3:147" ht="11.25" customHeight="1">
      <c r="C51" s="173"/>
      <c r="D51" s="174" t="s">
        <v>165</v>
      </c>
      <c r="E51" s="175"/>
      <c r="F51" s="175">
        <v>1</v>
      </c>
      <c r="G51" s="175"/>
      <c r="H51" s="175">
        <v>7</v>
      </c>
      <c r="I51" s="186"/>
      <c r="J51" s="176"/>
      <c r="K51" s="98"/>
      <c r="L51" s="177">
        <f t="shared" si="75"/>
        <v>0</v>
      </c>
      <c r="M51" s="177">
        <f t="shared" si="75"/>
        <v>0</v>
      </c>
      <c r="N51" s="177">
        <f t="shared" si="75"/>
        <v>0</v>
      </c>
      <c r="O51" s="177">
        <f t="shared" si="75"/>
        <v>1</v>
      </c>
      <c r="P51" s="177">
        <f t="shared" si="75"/>
        <v>0</v>
      </c>
      <c r="Q51" s="177">
        <f t="shared" si="75"/>
        <v>0</v>
      </c>
      <c r="R51" s="177">
        <f t="shared" si="75"/>
        <v>0</v>
      </c>
      <c r="S51" s="177">
        <f t="shared" si="75"/>
        <v>0</v>
      </c>
      <c r="T51" s="177">
        <f t="shared" si="75"/>
        <v>0</v>
      </c>
      <c r="U51" s="177">
        <f t="shared" si="75"/>
        <v>1</v>
      </c>
      <c r="V51" s="177">
        <f t="shared" si="76"/>
        <v>0</v>
      </c>
      <c r="W51" s="177">
        <f t="shared" si="76"/>
        <v>0</v>
      </c>
      <c r="X51" s="177">
        <f t="shared" si="76"/>
        <v>0</v>
      </c>
      <c r="Y51" s="177">
        <f t="shared" si="76"/>
        <v>0</v>
      </c>
      <c r="Z51" s="177">
        <f t="shared" si="76"/>
        <v>0</v>
      </c>
      <c r="AA51" s="177">
        <f t="shared" si="76"/>
        <v>1</v>
      </c>
      <c r="AB51" s="177">
        <f t="shared" si="76"/>
        <v>0</v>
      </c>
      <c r="AC51" s="177">
        <f t="shared" si="76"/>
        <v>0</v>
      </c>
      <c r="AD51" s="177">
        <f t="shared" si="76"/>
        <v>0</v>
      </c>
      <c r="AE51" s="177">
        <f t="shared" si="76"/>
        <v>0</v>
      </c>
      <c r="AF51" s="177">
        <f t="shared" si="77"/>
        <v>0</v>
      </c>
      <c r="AG51" s="177">
        <f t="shared" si="77"/>
        <v>1</v>
      </c>
      <c r="AH51" s="177">
        <f t="shared" si="77"/>
        <v>0</v>
      </c>
      <c r="AI51" s="177">
        <f t="shared" si="77"/>
        <v>0</v>
      </c>
      <c r="AJ51" s="177">
        <f t="shared" si="77"/>
        <v>0</v>
      </c>
      <c r="AK51" s="177">
        <f t="shared" si="77"/>
        <v>0</v>
      </c>
      <c r="AL51" s="177">
        <f t="shared" si="77"/>
        <v>0</v>
      </c>
      <c r="AM51" s="177">
        <f t="shared" si="77"/>
        <v>1</v>
      </c>
      <c r="AN51" s="177">
        <f t="shared" si="77"/>
        <v>0</v>
      </c>
      <c r="AO51" s="177">
        <f t="shared" si="77"/>
        <v>0</v>
      </c>
      <c r="AP51" s="177">
        <f t="shared" si="78"/>
        <v>0</v>
      </c>
      <c r="AQ51" s="177">
        <f t="shared" si="78"/>
        <v>0</v>
      </c>
      <c r="AR51" s="177">
        <f t="shared" si="78"/>
        <v>0</v>
      </c>
      <c r="AS51" s="177">
        <f t="shared" si="78"/>
        <v>1</v>
      </c>
      <c r="AT51" s="177">
        <f t="shared" si="78"/>
        <v>0</v>
      </c>
      <c r="AU51" s="177">
        <f t="shared" si="78"/>
        <v>0</v>
      </c>
      <c r="AV51" s="177">
        <f t="shared" si="78"/>
        <v>0</v>
      </c>
      <c r="AW51" s="177">
        <f t="shared" si="78"/>
        <v>0</v>
      </c>
      <c r="AX51" s="177">
        <f t="shared" si="78"/>
        <v>0</v>
      </c>
      <c r="AY51" s="177">
        <f t="shared" si="78"/>
        <v>1</v>
      </c>
      <c r="AZ51" s="177">
        <f t="shared" si="79"/>
        <v>0</v>
      </c>
      <c r="BA51" s="177">
        <f t="shared" si="79"/>
        <v>0</v>
      </c>
      <c r="BB51" s="177">
        <f t="shared" si="79"/>
        <v>0</v>
      </c>
      <c r="BC51" s="177">
        <f t="shared" si="79"/>
        <v>0</v>
      </c>
      <c r="BD51" s="177">
        <f t="shared" si="79"/>
        <v>0</v>
      </c>
      <c r="BE51" s="177">
        <f t="shared" si="79"/>
        <v>1</v>
      </c>
      <c r="BF51" s="177">
        <f t="shared" si="79"/>
        <v>0</v>
      </c>
      <c r="BG51" s="177">
        <f t="shared" si="79"/>
        <v>0</v>
      </c>
      <c r="BH51" s="177">
        <f t="shared" si="79"/>
        <v>0</v>
      </c>
      <c r="BI51" s="177">
        <f t="shared" si="79"/>
        <v>0</v>
      </c>
      <c r="BJ51" s="177">
        <f t="shared" si="80"/>
        <v>0</v>
      </c>
      <c r="BK51" s="177">
        <f t="shared" si="80"/>
        <v>1</v>
      </c>
      <c r="BL51" s="177">
        <f t="shared" si="80"/>
        <v>0</v>
      </c>
      <c r="BM51" s="177">
        <f t="shared" si="80"/>
        <v>0</v>
      </c>
      <c r="BN51" s="177">
        <f t="shared" si="80"/>
        <v>0</v>
      </c>
      <c r="BO51" s="177">
        <f t="shared" si="80"/>
        <v>0</v>
      </c>
      <c r="BP51" s="177">
        <f t="shared" si="80"/>
        <v>0</v>
      </c>
      <c r="BQ51" s="177">
        <f t="shared" si="80"/>
        <v>1</v>
      </c>
      <c r="BR51" s="177">
        <f t="shared" si="80"/>
        <v>0</v>
      </c>
      <c r="BS51" s="177">
        <f t="shared" si="80"/>
        <v>0</v>
      </c>
      <c r="BT51" s="177">
        <f t="shared" si="81"/>
        <v>0</v>
      </c>
      <c r="BU51" s="177">
        <f t="shared" si="81"/>
        <v>0</v>
      </c>
      <c r="BV51" s="177">
        <f t="shared" si="81"/>
        <v>0</v>
      </c>
      <c r="BW51" s="177">
        <f t="shared" si="81"/>
        <v>1</v>
      </c>
      <c r="BX51" s="177">
        <f t="shared" si="81"/>
        <v>0</v>
      </c>
      <c r="BY51" s="177">
        <f t="shared" si="81"/>
        <v>0</v>
      </c>
      <c r="BZ51" s="177">
        <f t="shared" si="81"/>
        <v>0</v>
      </c>
      <c r="CA51" s="177">
        <f t="shared" si="81"/>
        <v>0</v>
      </c>
      <c r="CB51" s="177">
        <f t="shared" si="81"/>
        <v>0</v>
      </c>
      <c r="CC51" s="177">
        <f t="shared" si="81"/>
        <v>1</v>
      </c>
      <c r="CD51" s="177">
        <f t="shared" si="82"/>
        <v>0</v>
      </c>
      <c r="CE51" s="177">
        <f t="shared" si="82"/>
        <v>0</v>
      </c>
      <c r="CF51" s="177">
        <f t="shared" si="82"/>
        <v>0</v>
      </c>
      <c r="CG51" s="177">
        <f t="shared" si="82"/>
        <v>0</v>
      </c>
      <c r="CH51" s="177">
        <f t="shared" si="82"/>
        <v>0</v>
      </c>
      <c r="CI51" s="177">
        <f t="shared" si="82"/>
        <v>1</v>
      </c>
      <c r="CJ51" s="177">
        <f t="shared" si="82"/>
        <v>0</v>
      </c>
      <c r="CK51" s="177">
        <f t="shared" si="82"/>
        <v>0</v>
      </c>
      <c r="CL51" s="177">
        <f t="shared" si="82"/>
        <v>0</v>
      </c>
      <c r="CM51" s="177">
        <f t="shared" si="82"/>
        <v>0</v>
      </c>
      <c r="CN51" s="177">
        <f t="shared" si="83"/>
        <v>0</v>
      </c>
      <c r="CO51" s="177">
        <f t="shared" si="83"/>
        <v>1</v>
      </c>
      <c r="CP51" s="177">
        <f t="shared" si="83"/>
        <v>0</v>
      </c>
      <c r="CQ51" s="177">
        <f t="shared" si="83"/>
        <v>0</v>
      </c>
      <c r="CR51" s="177">
        <f t="shared" si="83"/>
        <v>0</v>
      </c>
      <c r="CS51" s="177">
        <f t="shared" si="83"/>
        <v>0</v>
      </c>
      <c r="CT51" s="177">
        <f t="shared" si="83"/>
        <v>0</v>
      </c>
      <c r="CU51" s="177">
        <f t="shared" si="83"/>
        <v>1</v>
      </c>
      <c r="CV51" s="177">
        <f t="shared" si="83"/>
        <v>0</v>
      </c>
      <c r="CW51" s="177">
        <f t="shared" si="83"/>
        <v>0</v>
      </c>
      <c r="CX51" s="177">
        <f t="shared" si="84"/>
        <v>0</v>
      </c>
      <c r="CY51" s="177">
        <f t="shared" si="84"/>
        <v>0</v>
      </c>
      <c r="CZ51" s="177">
        <f t="shared" si="84"/>
        <v>0</v>
      </c>
      <c r="DA51" s="177">
        <f t="shared" si="84"/>
        <v>1</v>
      </c>
      <c r="DB51" s="177">
        <f t="shared" si="84"/>
        <v>0</v>
      </c>
      <c r="DC51" s="177">
        <f t="shared" si="84"/>
        <v>0</v>
      </c>
      <c r="DD51" s="177">
        <f t="shared" si="84"/>
        <v>0</v>
      </c>
      <c r="DE51" s="177">
        <f t="shared" si="84"/>
        <v>0</v>
      </c>
      <c r="DF51" s="177">
        <f t="shared" si="84"/>
        <v>0</v>
      </c>
      <c r="DG51" s="177">
        <f t="shared" si="84"/>
        <v>1</v>
      </c>
      <c r="DH51" s="177">
        <f t="shared" si="85"/>
        <v>0</v>
      </c>
      <c r="DI51" s="177">
        <f t="shared" si="85"/>
        <v>0</v>
      </c>
      <c r="DJ51" s="177">
        <f t="shared" si="85"/>
        <v>0</v>
      </c>
      <c r="DK51" s="177">
        <f t="shared" si="85"/>
        <v>0</v>
      </c>
      <c r="DL51" s="177">
        <f t="shared" si="85"/>
        <v>0</v>
      </c>
      <c r="DM51" s="177">
        <f t="shared" si="85"/>
        <v>1</v>
      </c>
      <c r="DN51" s="177">
        <f t="shared" si="85"/>
        <v>0</v>
      </c>
      <c r="DO51" s="177">
        <f t="shared" si="85"/>
        <v>0</v>
      </c>
      <c r="DP51" s="177">
        <f t="shared" si="85"/>
        <v>0</v>
      </c>
      <c r="DQ51" s="177">
        <f t="shared" si="85"/>
        <v>0</v>
      </c>
      <c r="DR51" s="177">
        <f t="shared" si="85"/>
        <v>0</v>
      </c>
      <c r="DS51" s="177">
        <f t="shared" si="85"/>
        <v>1</v>
      </c>
      <c r="DT51" s="177">
        <f t="shared" si="85"/>
        <v>0</v>
      </c>
      <c r="DU51" s="177">
        <f t="shared" si="85"/>
        <v>0</v>
      </c>
      <c r="DV51" s="177">
        <f t="shared" si="85"/>
        <v>0</v>
      </c>
      <c r="DW51" s="177">
        <f t="shared" si="85"/>
        <v>0</v>
      </c>
      <c r="DX51" s="177">
        <f t="shared" si="85"/>
        <v>0</v>
      </c>
      <c r="DY51" s="177">
        <f t="shared" si="85"/>
        <v>1</v>
      </c>
      <c r="DZ51" s="177">
        <f t="shared" si="85"/>
        <v>0</v>
      </c>
      <c r="EA51" s="177">
        <f t="shared" si="85"/>
        <v>0</v>
      </c>
      <c r="EB51" s="177">
        <f t="shared" si="85"/>
        <v>1</v>
      </c>
      <c r="EC51" s="177">
        <f t="shared" si="85"/>
        <v>0</v>
      </c>
      <c r="ED51" s="177">
        <f t="shared" si="85"/>
        <v>0</v>
      </c>
      <c r="EE51" s="177">
        <f t="shared" si="85"/>
        <v>0</v>
      </c>
      <c r="EF51" s="177">
        <f t="shared" si="85"/>
        <v>0</v>
      </c>
      <c r="EG51" s="177">
        <f t="shared" si="85"/>
        <v>0</v>
      </c>
      <c r="EH51" s="177">
        <f t="shared" si="85"/>
        <v>0</v>
      </c>
      <c r="EI51" s="177">
        <f t="shared" si="85"/>
        <v>0</v>
      </c>
      <c r="EJ51" s="177">
        <f t="shared" si="85"/>
        <v>0</v>
      </c>
      <c r="EK51" s="177">
        <f t="shared" si="85"/>
        <v>0</v>
      </c>
      <c r="EL51" s="177">
        <f t="shared" si="85"/>
        <v>0</v>
      </c>
      <c r="EM51" s="177">
        <f t="shared" si="85"/>
        <v>0</v>
      </c>
      <c r="EN51" s="177">
        <f t="shared" si="85"/>
        <v>0</v>
      </c>
      <c r="EO51" s="177">
        <f t="shared" si="85"/>
        <v>0</v>
      </c>
      <c r="EP51" s="177">
        <f t="shared" si="85"/>
        <v>0</v>
      </c>
      <c r="EQ51" s="177">
        <f t="shared" si="85"/>
        <v>0</v>
      </c>
    </row>
    <row r="52" spans="3:147" ht="11.25" customHeight="1">
      <c r="C52" s="163"/>
      <c r="D52" s="164" t="s">
        <v>529</v>
      </c>
      <c r="E52" s="165"/>
      <c r="F52" s="165">
        <v>7</v>
      </c>
      <c r="G52" s="165"/>
      <c r="H52" s="165"/>
      <c r="I52" s="185"/>
      <c r="J52" s="167"/>
      <c r="K52" s="98"/>
      <c r="L52" s="168">
        <f t="shared" ref="L52:AQ52" si="86">OR(MONTH(L$14)=$F52,MONTH(L$14)=$G52,MONTH(L$14)=$H52,MONTH(L$14)=$I52)*1*(L$14&gt;$I$41)*(L$14&lt;$I$42)*1+(L$14=$I$42)*1</f>
        <v>0</v>
      </c>
      <c r="M52" s="168">
        <f t="shared" si="86"/>
        <v>0</v>
      </c>
      <c r="N52" s="168">
        <f t="shared" si="86"/>
        <v>0</v>
      </c>
      <c r="O52" s="168">
        <f t="shared" si="86"/>
        <v>0</v>
      </c>
      <c r="P52" s="168">
        <f t="shared" si="86"/>
        <v>0</v>
      </c>
      <c r="Q52" s="168">
        <f t="shared" si="86"/>
        <v>0</v>
      </c>
      <c r="R52" s="168">
        <f t="shared" si="86"/>
        <v>0</v>
      </c>
      <c r="S52" s="168">
        <f t="shared" si="86"/>
        <v>0</v>
      </c>
      <c r="T52" s="168">
        <f t="shared" si="86"/>
        <v>0</v>
      </c>
      <c r="U52" s="168">
        <f t="shared" si="86"/>
        <v>1</v>
      </c>
      <c r="V52" s="168">
        <f t="shared" si="86"/>
        <v>0</v>
      </c>
      <c r="W52" s="168">
        <f t="shared" si="86"/>
        <v>0</v>
      </c>
      <c r="X52" s="168">
        <f t="shared" si="86"/>
        <v>0</v>
      </c>
      <c r="Y52" s="168">
        <f t="shared" si="86"/>
        <v>0</v>
      </c>
      <c r="Z52" s="168">
        <f t="shared" si="86"/>
        <v>0</v>
      </c>
      <c r="AA52" s="168">
        <f t="shared" si="86"/>
        <v>0</v>
      </c>
      <c r="AB52" s="168">
        <f t="shared" si="86"/>
        <v>0</v>
      </c>
      <c r="AC52" s="168">
        <f t="shared" si="86"/>
        <v>0</v>
      </c>
      <c r="AD52" s="168">
        <f t="shared" si="86"/>
        <v>0</v>
      </c>
      <c r="AE52" s="168">
        <f t="shared" si="86"/>
        <v>0</v>
      </c>
      <c r="AF52" s="168">
        <f t="shared" si="86"/>
        <v>0</v>
      </c>
      <c r="AG52" s="168">
        <f t="shared" si="86"/>
        <v>1</v>
      </c>
      <c r="AH52" s="168">
        <f t="shared" si="86"/>
        <v>0</v>
      </c>
      <c r="AI52" s="168">
        <f t="shared" si="86"/>
        <v>0</v>
      </c>
      <c r="AJ52" s="168">
        <f t="shared" si="86"/>
        <v>0</v>
      </c>
      <c r="AK52" s="168">
        <f t="shared" si="86"/>
        <v>0</v>
      </c>
      <c r="AL52" s="168">
        <f t="shared" si="86"/>
        <v>0</v>
      </c>
      <c r="AM52" s="168">
        <f t="shared" si="86"/>
        <v>0</v>
      </c>
      <c r="AN52" s="168">
        <f t="shared" si="86"/>
        <v>0</v>
      </c>
      <c r="AO52" s="168">
        <f t="shared" si="86"/>
        <v>0</v>
      </c>
      <c r="AP52" s="168">
        <f t="shared" si="86"/>
        <v>0</v>
      </c>
      <c r="AQ52" s="168">
        <f t="shared" si="86"/>
        <v>0</v>
      </c>
      <c r="AR52" s="168">
        <f t="shared" ref="AR52:BW52" si="87">OR(MONTH(AR$14)=$F52,MONTH(AR$14)=$G52,MONTH(AR$14)=$H52,MONTH(AR$14)=$I52)*1*(AR$14&gt;$I$41)*(AR$14&lt;$I$42)*1+(AR$14=$I$42)*1</f>
        <v>0</v>
      </c>
      <c r="AS52" s="168">
        <f t="shared" si="87"/>
        <v>1</v>
      </c>
      <c r="AT52" s="168">
        <f t="shared" si="87"/>
        <v>0</v>
      </c>
      <c r="AU52" s="168">
        <f t="shared" si="87"/>
        <v>0</v>
      </c>
      <c r="AV52" s="168">
        <f t="shared" si="87"/>
        <v>0</v>
      </c>
      <c r="AW52" s="168">
        <f t="shared" si="87"/>
        <v>0</v>
      </c>
      <c r="AX52" s="168">
        <f t="shared" si="87"/>
        <v>0</v>
      </c>
      <c r="AY52" s="168">
        <f t="shared" si="87"/>
        <v>0</v>
      </c>
      <c r="AZ52" s="168">
        <f t="shared" si="87"/>
        <v>0</v>
      </c>
      <c r="BA52" s="168">
        <f t="shared" si="87"/>
        <v>0</v>
      </c>
      <c r="BB52" s="168">
        <f t="shared" si="87"/>
        <v>0</v>
      </c>
      <c r="BC52" s="168">
        <f t="shared" si="87"/>
        <v>0</v>
      </c>
      <c r="BD52" s="168">
        <f t="shared" si="87"/>
        <v>0</v>
      </c>
      <c r="BE52" s="168">
        <f t="shared" si="87"/>
        <v>1</v>
      </c>
      <c r="BF52" s="168">
        <f t="shared" si="87"/>
        <v>0</v>
      </c>
      <c r="BG52" s="168">
        <f t="shared" si="87"/>
        <v>0</v>
      </c>
      <c r="BH52" s="168">
        <f t="shared" si="87"/>
        <v>0</v>
      </c>
      <c r="BI52" s="168">
        <f t="shared" si="87"/>
        <v>0</v>
      </c>
      <c r="BJ52" s="168">
        <f t="shared" si="87"/>
        <v>0</v>
      </c>
      <c r="BK52" s="168">
        <f t="shared" si="87"/>
        <v>0</v>
      </c>
      <c r="BL52" s="168">
        <f t="shared" si="87"/>
        <v>0</v>
      </c>
      <c r="BM52" s="168">
        <f t="shared" si="87"/>
        <v>0</v>
      </c>
      <c r="BN52" s="168">
        <f t="shared" si="87"/>
        <v>0</v>
      </c>
      <c r="BO52" s="168">
        <f t="shared" si="87"/>
        <v>0</v>
      </c>
      <c r="BP52" s="168">
        <f t="shared" si="87"/>
        <v>0</v>
      </c>
      <c r="BQ52" s="168">
        <f t="shared" si="87"/>
        <v>1</v>
      </c>
      <c r="BR52" s="168">
        <f t="shared" si="87"/>
        <v>0</v>
      </c>
      <c r="BS52" s="168">
        <f t="shared" si="87"/>
        <v>0</v>
      </c>
      <c r="BT52" s="168">
        <f t="shared" si="87"/>
        <v>0</v>
      </c>
      <c r="BU52" s="168">
        <f t="shared" si="87"/>
        <v>0</v>
      </c>
      <c r="BV52" s="168">
        <f t="shared" si="87"/>
        <v>0</v>
      </c>
      <c r="BW52" s="168">
        <f t="shared" si="87"/>
        <v>0</v>
      </c>
      <c r="BX52" s="168">
        <f t="shared" ref="BX52:CM52" si="88">OR(MONTH(BX$14)=$F52,MONTH(BX$14)=$G52,MONTH(BX$14)=$H52,MONTH(BX$14)=$I52)*1*(BX$14&gt;$I$41)*(BX$14&lt;$I$42)*1+(BX$14=$I$42)*1</f>
        <v>0</v>
      </c>
      <c r="BY52" s="168">
        <f t="shared" si="88"/>
        <v>0</v>
      </c>
      <c r="BZ52" s="168">
        <f t="shared" si="88"/>
        <v>0</v>
      </c>
      <c r="CA52" s="168">
        <f t="shared" si="88"/>
        <v>0</v>
      </c>
      <c r="CB52" s="168">
        <f t="shared" si="88"/>
        <v>0</v>
      </c>
      <c r="CC52" s="168">
        <f t="shared" si="88"/>
        <v>1</v>
      </c>
      <c r="CD52" s="168">
        <f t="shared" si="88"/>
        <v>0</v>
      </c>
      <c r="CE52" s="168">
        <f t="shared" si="88"/>
        <v>0</v>
      </c>
      <c r="CF52" s="168">
        <f t="shared" si="88"/>
        <v>0</v>
      </c>
      <c r="CG52" s="168">
        <f t="shared" si="88"/>
        <v>0</v>
      </c>
      <c r="CH52" s="168">
        <f t="shared" si="88"/>
        <v>0</v>
      </c>
      <c r="CI52" s="168">
        <f t="shared" si="88"/>
        <v>0</v>
      </c>
      <c r="CJ52" s="168">
        <f t="shared" si="88"/>
        <v>0</v>
      </c>
      <c r="CK52" s="168">
        <f t="shared" si="88"/>
        <v>0</v>
      </c>
      <c r="CL52" s="168">
        <f t="shared" si="88"/>
        <v>0</v>
      </c>
      <c r="CM52" s="168">
        <f t="shared" si="88"/>
        <v>0</v>
      </c>
      <c r="CN52" s="168">
        <f t="shared" ref="CN52:EQ55" si="89">OR(MONTH(CN$14)=$F52,MONTH(CN$14)=$G52,MONTH(CN$14)=$H52,MONTH(CN$14)=$I52)*1*(CN$14&gt;$I$41)*(CN$14&lt;$I$42)*1+(CN$14=$I$42)*1</f>
        <v>0</v>
      </c>
      <c r="CO52" s="168">
        <f t="shared" si="89"/>
        <v>1</v>
      </c>
      <c r="CP52" s="168">
        <f t="shared" si="89"/>
        <v>0</v>
      </c>
      <c r="CQ52" s="168">
        <f t="shared" si="89"/>
        <v>0</v>
      </c>
      <c r="CR52" s="168">
        <f t="shared" si="89"/>
        <v>0</v>
      </c>
      <c r="CS52" s="168">
        <f t="shared" si="89"/>
        <v>0</v>
      </c>
      <c r="CT52" s="168">
        <f t="shared" si="89"/>
        <v>0</v>
      </c>
      <c r="CU52" s="168">
        <f t="shared" si="89"/>
        <v>0</v>
      </c>
      <c r="CV52" s="168">
        <f t="shared" si="89"/>
        <v>0</v>
      </c>
      <c r="CW52" s="168">
        <f t="shared" si="89"/>
        <v>0</v>
      </c>
      <c r="CX52" s="168">
        <f t="shared" si="89"/>
        <v>0</v>
      </c>
      <c r="CY52" s="168">
        <f t="shared" si="89"/>
        <v>0</v>
      </c>
      <c r="CZ52" s="168">
        <f t="shared" si="89"/>
        <v>0</v>
      </c>
      <c r="DA52" s="168">
        <f t="shared" si="89"/>
        <v>1</v>
      </c>
      <c r="DB52" s="168">
        <f t="shared" si="89"/>
        <v>0</v>
      </c>
      <c r="DC52" s="168">
        <f t="shared" si="89"/>
        <v>0</v>
      </c>
      <c r="DD52" s="168">
        <f t="shared" si="89"/>
        <v>0</v>
      </c>
      <c r="DE52" s="168">
        <f t="shared" si="89"/>
        <v>0</v>
      </c>
      <c r="DF52" s="168">
        <f t="shared" si="89"/>
        <v>0</v>
      </c>
      <c r="DG52" s="168">
        <f t="shared" si="89"/>
        <v>0</v>
      </c>
      <c r="DH52" s="168">
        <f t="shared" si="89"/>
        <v>0</v>
      </c>
      <c r="DI52" s="168">
        <f t="shared" si="89"/>
        <v>0</v>
      </c>
      <c r="DJ52" s="168">
        <f t="shared" si="89"/>
        <v>0</v>
      </c>
      <c r="DK52" s="168">
        <f t="shared" si="89"/>
        <v>0</v>
      </c>
      <c r="DL52" s="168">
        <f t="shared" si="89"/>
        <v>0</v>
      </c>
      <c r="DM52" s="168">
        <f t="shared" si="89"/>
        <v>1</v>
      </c>
      <c r="DN52" s="168">
        <f t="shared" si="89"/>
        <v>0</v>
      </c>
      <c r="DO52" s="168">
        <f t="shared" si="89"/>
        <v>0</v>
      </c>
      <c r="DP52" s="168">
        <f t="shared" si="89"/>
        <v>0</v>
      </c>
      <c r="DQ52" s="168">
        <f t="shared" si="89"/>
        <v>0</v>
      </c>
      <c r="DR52" s="168">
        <f t="shared" si="89"/>
        <v>0</v>
      </c>
      <c r="DS52" s="168">
        <f t="shared" si="89"/>
        <v>0</v>
      </c>
      <c r="DT52" s="168">
        <f t="shared" si="89"/>
        <v>0</v>
      </c>
      <c r="DU52" s="168">
        <f t="shared" si="89"/>
        <v>0</v>
      </c>
      <c r="DV52" s="168">
        <f t="shared" si="89"/>
        <v>0</v>
      </c>
      <c r="DW52" s="168">
        <f t="shared" si="89"/>
        <v>0</v>
      </c>
      <c r="DX52" s="168">
        <f t="shared" si="89"/>
        <v>0</v>
      </c>
      <c r="DY52" s="168">
        <f t="shared" si="89"/>
        <v>1</v>
      </c>
      <c r="DZ52" s="168">
        <f t="shared" si="89"/>
        <v>0</v>
      </c>
      <c r="EA52" s="168">
        <f t="shared" si="89"/>
        <v>0</v>
      </c>
      <c r="EB52" s="168">
        <f t="shared" si="89"/>
        <v>1</v>
      </c>
      <c r="EC52" s="168">
        <f t="shared" si="89"/>
        <v>0</v>
      </c>
      <c r="ED52" s="168">
        <f t="shared" si="89"/>
        <v>0</v>
      </c>
      <c r="EE52" s="168">
        <f t="shared" si="89"/>
        <v>0</v>
      </c>
      <c r="EF52" s="168">
        <f t="shared" si="89"/>
        <v>0</v>
      </c>
      <c r="EG52" s="168">
        <f t="shared" si="89"/>
        <v>0</v>
      </c>
      <c r="EH52" s="168">
        <f t="shared" si="89"/>
        <v>0</v>
      </c>
      <c r="EI52" s="168">
        <f t="shared" si="89"/>
        <v>0</v>
      </c>
      <c r="EJ52" s="168">
        <f t="shared" si="89"/>
        <v>0</v>
      </c>
      <c r="EK52" s="168">
        <f t="shared" si="89"/>
        <v>0</v>
      </c>
      <c r="EL52" s="168">
        <f t="shared" si="89"/>
        <v>0</v>
      </c>
      <c r="EM52" s="168">
        <f t="shared" si="89"/>
        <v>0</v>
      </c>
      <c r="EN52" s="168">
        <f t="shared" si="89"/>
        <v>0</v>
      </c>
      <c r="EO52" s="168">
        <f t="shared" si="89"/>
        <v>0</v>
      </c>
      <c r="EP52" s="168">
        <f t="shared" si="89"/>
        <v>0</v>
      </c>
      <c r="EQ52" s="168">
        <f t="shared" si="89"/>
        <v>0</v>
      </c>
    </row>
    <row r="53" spans="3:147" ht="11.25" customHeight="1">
      <c r="C53" s="163"/>
      <c r="D53" s="169" t="s">
        <v>530</v>
      </c>
      <c r="F53" s="5">
        <v>9</v>
      </c>
      <c r="I53" s="90"/>
      <c r="J53" s="170"/>
      <c r="K53" s="98"/>
      <c r="L53" s="171">
        <f>OR(MONTH(L$14)=$F53,MONTH(L$14)=$G53,MONTH(L$14)=$H53,MONTH(L$14)=$I53)*1*(L$14&gt;$I$41)*(L$14&lt;$I$42)*1+(L$14=$I$42)*1</f>
        <v>0</v>
      </c>
      <c r="M53" s="171">
        <f t="shared" ref="M53:BX55" si="90">OR(MONTH(M$14)=$F53,MONTH(M$14)=$G53,MONTH(M$14)=$H53,MONTH(M$14)=$I53)*1*(M$14&gt;$I$41)*(M$14&lt;$I$42)*1+(M$14=$I$42)*1</f>
        <v>0</v>
      </c>
      <c r="N53" s="171">
        <f t="shared" si="90"/>
        <v>0</v>
      </c>
      <c r="O53" s="171">
        <f t="shared" si="90"/>
        <v>0</v>
      </c>
      <c r="P53" s="171">
        <f t="shared" si="90"/>
        <v>0</v>
      </c>
      <c r="Q53" s="171">
        <f t="shared" si="90"/>
        <v>0</v>
      </c>
      <c r="R53" s="171">
        <f t="shared" si="90"/>
        <v>0</v>
      </c>
      <c r="S53" s="171">
        <f t="shared" si="90"/>
        <v>0</v>
      </c>
      <c r="T53" s="171">
        <f t="shared" si="90"/>
        <v>0</v>
      </c>
      <c r="U53" s="171">
        <f t="shared" si="90"/>
        <v>0</v>
      </c>
      <c r="V53" s="171">
        <f t="shared" si="90"/>
        <v>0</v>
      </c>
      <c r="W53" s="171">
        <f t="shared" si="90"/>
        <v>1</v>
      </c>
      <c r="X53" s="171">
        <f t="shared" si="90"/>
        <v>0</v>
      </c>
      <c r="Y53" s="171">
        <f t="shared" si="90"/>
        <v>0</v>
      </c>
      <c r="Z53" s="171">
        <f t="shared" si="90"/>
        <v>0</v>
      </c>
      <c r="AA53" s="171">
        <f t="shared" si="90"/>
        <v>0</v>
      </c>
      <c r="AB53" s="171">
        <f t="shared" si="90"/>
        <v>0</v>
      </c>
      <c r="AC53" s="171">
        <f t="shared" si="90"/>
        <v>0</v>
      </c>
      <c r="AD53" s="171">
        <f t="shared" si="90"/>
        <v>0</v>
      </c>
      <c r="AE53" s="171">
        <f t="shared" si="90"/>
        <v>0</v>
      </c>
      <c r="AF53" s="171">
        <f t="shared" si="90"/>
        <v>0</v>
      </c>
      <c r="AG53" s="171">
        <f t="shared" si="90"/>
        <v>0</v>
      </c>
      <c r="AH53" s="171">
        <f t="shared" si="90"/>
        <v>0</v>
      </c>
      <c r="AI53" s="171">
        <f t="shared" si="90"/>
        <v>1</v>
      </c>
      <c r="AJ53" s="171">
        <f t="shared" si="90"/>
        <v>0</v>
      </c>
      <c r="AK53" s="171">
        <f t="shared" si="90"/>
        <v>0</v>
      </c>
      <c r="AL53" s="171">
        <f t="shared" si="90"/>
        <v>0</v>
      </c>
      <c r="AM53" s="171">
        <f t="shared" si="90"/>
        <v>0</v>
      </c>
      <c r="AN53" s="171">
        <f t="shared" si="90"/>
        <v>0</v>
      </c>
      <c r="AO53" s="171">
        <f t="shared" si="90"/>
        <v>0</v>
      </c>
      <c r="AP53" s="171">
        <f t="shared" si="90"/>
        <v>0</v>
      </c>
      <c r="AQ53" s="171">
        <f t="shared" si="90"/>
        <v>0</v>
      </c>
      <c r="AR53" s="171">
        <f t="shared" si="90"/>
        <v>0</v>
      </c>
      <c r="AS53" s="171">
        <f t="shared" si="90"/>
        <v>0</v>
      </c>
      <c r="AT53" s="171">
        <f t="shared" si="90"/>
        <v>0</v>
      </c>
      <c r="AU53" s="171">
        <f t="shared" si="90"/>
        <v>1</v>
      </c>
      <c r="AV53" s="171">
        <f t="shared" si="90"/>
        <v>0</v>
      </c>
      <c r="AW53" s="171">
        <f t="shared" si="90"/>
        <v>0</v>
      </c>
      <c r="AX53" s="171">
        <f t="shared" si="90"/>
        <v>0</v>
      </c>
      <c r="AY53" s="171">
        <f t="shared" si="90"/>
        <v>0</v>
      </c>
      <c r="AZ53" s="171">
        <f t="shared" si="90"/>
        <v>0</v>
      </c>
      <c r="BA53" s="171">
        <f t="shared" si="90"/>
        <v>0</v>
      </c>
      <c r="BB53" s="171">
        <f t="shared" si="90"/>
        <v>0</v>
      </c>
      <c r="BC53" s="171">
        <f t="shared" si="90"/>
        <v>0</v>
      </c>
      <c r="BD53" s="171">
        <f t="shared" si="90"/>
        <v>0</v>
      </c>
      <c r="BE53" s="171">
        <f t="shared" si="90"/>
        <v>0</v>
      </c>
      <c r="BF53" s="171">
        <f t="shared" si="90"/>
        <v>0</v>
      </c>
      <c r="BG53" s="171">
        <f t="shared" si="90"/>
        <v>1</v>
      </c>
      <c r="BH53" s="171">
        <f t="shared" si="90"/>
        <v>0</v>
      </c>
      <c r="BI53" s="171">
        <f t="shared" si="90"/>
        <v>0</v>
      </c>
      <c r="BJ53" s="171">
        <f t="shared" si="90"/>
        <v>0</v>
      </c>
      <c r="BK53" s="171">
        <f t="shared" si="90"/>
        <v>0</v>
      </c>
      <c r="BL53" s="171">
        <f t="shared" si="90"/>
        <v>0</v>
      </c>
      <c r="BM53" s="171">
        <f t="shared" si="90"/>
        <v>0</v>
      </c>
      <c r="BN53" s="171">
        <f t="shared" si="90"/>
        <v>0</v>
      </c>
      <c r="BO53" s="171">
        <f t="shared" si="90"/>
        <v>0</v>
      </c>
      <c r="BP53" s="171">
        <f t="shared" si="90"/>
        <v>0</v>
      </c>
      <c r="BQ53" s="171">
        <f t="shared" si="90"/>
        <v>0</v>
      </c>
      <c r="BR53" s="171">
        <f t="shared" si="90"/>
        <v>0</v>
      </c>
      <c r="BS53" s="171">
        <f t="shared" si="90"/>
        <v>1</v>
      </c>
      <c r="BT53" s="171">
        <f t="shared" si="90"/>
        <v>0</v>
      </c>
      <c r="BU53" s="171">
        <f t="shared" si="90"/>
        <v>0</v>
      </c>
      <c r="BV53" s="171">
        <f t="shared" si="90"/>
        <v>0</v>
      </c>
      <c r="BW53" s="171">
        <f t="shared" si="90"/>
        <v>0</v>
      </c>
      <c r="BX53" s="171">
        <f t="shared" si="90"/>
        <v>0</v>
      </c>
      <c r="BY53" s="171">
        <f t="shared" ref="BY53:CM55" si="91">OR(MONTH(BY$14)=$F53,MONTH(BY$14)=$G53,MONTH(BY$14)=$H53,MONTH(BY$14)=$I53)*1*(BY$14&gt;$I$41)*(BY$14&lt;$I$42)*1+(BY$14=$I$42)*1</f>
        <v>0</v>
      </c>
      <c r="BZ53" s="171">
        <f t="shared" si="91"/>
        <v>0</v>
      </c>
      <c r="CA53" s="171">
        <f t="shared" si="91"/>
        <v>0</v>
      </c>
      <c r="CB53" s="171">
        <f t="shared" si="91"/>
        <v>0</v>
      </c>
      <c r="CC53" s="171">
        <f t="shared" si="91"/>
        <v>0</v>
      </c>
      <c r="CD53" s="171">
        <f t="shared" si="91"/>
        <v>0</v>
      </c>
      <c r="CE53" s="171">
        <f t="shared" si="91"/>
        <v>1</v>
      </c>
      <c r="CF53" s="171">
        <f t="shared" si="91"/>
        <v>0</v>
      </c>
      <c r="CG53" s="171">
        <f t="shared" si="91"/>
        <v>0</v>
      </c>
      <c r="CH53" s="171">
        <f t="shared" si="91"/>
        <v>0</v>
      </c>
      <c r="CI53" s="171">
        <f t="shared" si="91"/>
        <v>0</v>
      </c>
      <c r="CJ53" s="171">
        <f t="shared" si="91"/>
        <v>0</v>
      </c>
      <c r="CK53" s="171">
        <f t="shared" si="91"/>
        <v>0</v>
      </c>
      <c r="CL53" s="171">
        <f t="shared" si="91"/>
        <v>0</v>
      </c>
      <c r="CM53" s="171">
        <f t="shared" si="91"/>
        <v>0</v>
      </c>
      <c r="CN53" s="171">
        <f t="shared" si="89"/>
        <v>0</v>
      </c>
      <c r="CO53" s="171">
        <f t="shared" si="89"/>
        <v>0</v>
      </c>
      <c r="CP53" s="171">
        <f t="shared" si="89"/>
        <v>0</v>
      </c>
      <c r="CQ53" s="171">
        <f t="shared" si="89"/>
        <v>1</v>
      </c>
      <c r="CR53" s="171">
        <f t="shared" si="89"/>
        <v>0</v>
      </c>
      <c r="CS53" s="171">
        <f t="shared" si="89"/>
        <v>0</v>
      </c>
      <c r="CT53" s="171">
        <f t="shared" si="89"/>
        <v>0</v>
      </c>
      <c r="CU53" s="171">
        <f t="shared" si="89"/>
        <v>0</v>
      </c>
      <c r="CV53" s="171">
        <f t="shared" si="89"/>
        <v>0</v>
      </c>
      <c r="CW53" s="171">
        <f t="shared" si="89"/>
        <v>0</v>
      </c>
      <c r="CX53" s="171">
        <f t="shared" si="89"/>
        <v>0</v>
      </c>
      <c r="CY53" s="171">
        <f t="shared" si="89"/>
        <v>0</v>
      </c>
      <c r="CZ53" s="171">
        <f t="shared" si="89"/>
        <v>0</v>
      </c>
      <c r="DA53" s="171">
        <f t="shared" si="89"/>
        <v>0</v>
      </c>
      <c r="DB53" s="171">
        <f t="shared" si="89"/>
        <v>0</v>
      </c>
      <c r="DC53" s="171">
        <f t="shared" si="89"/>
        <v>1</v>
      </c>
      <c r="DD53" s="171">
        <f t="shared" si="89"/>
        <v>0</v>
      </c>
      <c r="DE53" s="171">
        <f t="shared" si="89"/>
        <v>0</v>
      </c>
      <c r="DF53" s="171">
        <f t="shared" si="89"/>
        <v>0</v>
      </c>
      <c r="DG53" s="171">
        <f t="shared" si="89"/>
        <v>0</v>
      </c>
      <c r="DH53" s="171">
        <f t="shared" si="89"/>
        <v>0</v>
      </c>
      <c r="DI53" s="171">
        <f t="shared" si="89"/>
        <v>0</v>
      </c>
      <c r="DJ53" s="171">
        <f t="shared" si="89"/>
        <v>0</v>
      </c>
      <c r="DK53" s="171">
        <f t="shared" si="89"/>
        <v>0</v>
      </c>
      <c r="DL53" s="171">
        <f t="shared" si="89"/>
        <v>0</v>
      </c>
      <c r="DM53" s="171">
        <f t="shared" si="89"/>
        <v>0</v>
      </c>
      <c r="DN53" s="171">
        <f t="shared" si="89"/>
        <v>0</v>
      </c>
      <c r="DO53" s="171">
        <f t="shared" si="89"/>
        <v>1</v>
      </c>
      <c r="DP53" s="171">
        <f t="shared" si="89"/>
        <v>0</v>
      </c>
      <c r="DQ53" s="171">
        <f t="shared" si="89"/>
        <v>0</v>
      </c>
      <c r="DR53" s="171">
        <f t="shared" si="89"/>
        <v>0</v>
      </c>
      <c r="DS53" s="171">
        <f t="shared" si="89"/>
        <v>0</v>
      </c>
      <c r="DT53" s="171">
        <f t="shared" si="89"/>
        <v>0</v>
      </c>
      <c r="DU53" s="171">
        <f t="shared" si="89"/>
        <v>0</v>
      </c>
      <c r="DV53" s="171">
        <f t="shared" si="89"/>
        <v>0</v>
      </c>
      <c r="DW53" s="171">
        <f t="shared" si="89"/>
        <v>0</v>
      </c>
      <c r="DX53" s="171">
        <f t="shared" si="89"/>
        <v>0</v>
      </c>
      <c r="DY53" s="171">
        <f t="shared" si="89"/>
        <v>0</v>
      </c>
      <c r="DZ53" s="171">
        <f t="shared" si="89"/>
        <v>0</v>
      </c>
      <c r="EA53" s="171">
        <f t="shared" si="89"/>
        <v>1</v>
      </c>
      <c r="EB53" s="171">
        <f t="shared" si="89"/>
        <v>1</v>
      </c>
      <c r="EC53" s="171">
        <f t="shared" si="89"/>
        <v>0</v>
      </c>
      <c r="ED53" s="171">
        <f t="shared" si="89"/>
        <v>0</v>
      </c>
      <c r="EE53" s="171">
        <f t="shared" si="89"/>
        <v>0</v>
      </c>
      <c r="EF53" s="171">
        <f t="shared" si="89"/>
        <v>0</v>
      </c>
      <c r="EG53" s="171">
        <f t="shared" si="89"/>
        <v>0</v>
      </c>
      <c r="EH53" s="171">
        <f t="shared" si="89"/>
        <v>0</v>
      </c>
      <c r="EI53" s="171">
        <f t="shared" si="89"/>
        <v>0</v>
      </c>
      <c r="EJ53" s="171">
        <f t="shared" si="89"/>
        <v>0</v>
      </c>
      <c r="EK53" s="171">
        <f t="shared" si="89"/>
        <v>0</v>
      </c>
      <c r="EL53" s="171">
        <f t="shared" si="89"/>
        <v>0</v>
      </c>
      <c r="EM53" s="171">
        <f t="shared" si="89"/>
        <v>0</v>
      </c>
      <c r="EN53" s="171">
        <f t="shared" si="89"/>
        <v>0</v>
      </c>
      <c r="EO53" s="171">
        <f t="shared" si="89"/>
        <v>0</v>
      </c>
      <c r="EP53" s="171">
        <f t="shared" si="89"/>
        <v>0</v>
      </c>
      <c r="EQ53" s="171">
        <f t="shared" si="89"/>
        <v>0</v>
      </c>
    </row>
    <row r="54" spans="3:147" ht="11.25" customHeight="1">
      <c r="C54" s="163"/>
      <c r="D54" s="169" t="s">
        <v>91</v>
      </c>
      <c r="F54" s="5">
        <v>12</v>
      </c>
      <c r="I54" s="90"/>
      <c r="J54" s="170"/>
      <c r="K54" s="98"/>
      <c r="L54" s="171">
        <f>OR(MONTH(L$14)=$F54,MONTH(L$14)=$G54,MONTH(L$14)=$H54,MONTH(L$14)=$I54)*1*(L$14&gt;$I$41)*(L$14&lt;$I$42)*1+(L$14=$I$42)*1</f>
        <v>0</v>
      </c>
      <c r="M54" s="171">
        <f t="shared" si="90"/>
        <v>0</v>
      </c>
      <c r="N54" s="171">
        <f t="shared" si="90"/>
        <v>1</v>
      </c>
      <c r="O54" s="171">
        <f t="shared" si="90"/>
        <v>0</v>
      </c>
      <c r="P54" s="171">
        <f t="shared" si="90"/>
        <v>0</v>
      </c>
      <c r="Q54" s="171">
        <f t="shared" si="90"/>
        <v>0</v>
      </c>
      <c r="R54" s="171">
        <f t="shared" si="90"/>
        <v>0</v>
      </c>
      <c r="S54" s="171">
        <f t="shared" si="90"/>
        <v>0</v>
      </c>
      <c r="T54" s="171">
        <f t="shared" si="90"/>
        <v>0</v>
      </c>
      <c r="U54" s="171">
        <f t="shared" si="90"/>
        <v>0</v>
      </c>
      <c r="V54" s="171">
        <f t="shared" si="90"/>
        <v>0</v>
      </c>
      <c r="W54" s="171">
        <f t="shared" si="90"/>
        <v>0</v>
      </c>
      <c r="X54" s="171">
        <f t="shared" si="90"/>
        <v>0</v>
      </c>
      <c r="Y54" s="171">
        <f t="shared" si="90"/>
        <v>0</v>
      </c>
      <c r="Z54" s="171">
        <f t="shared" si="90"/>
        <v>1</v>
      </c>
      <c r="AA54" s="171">
        <f t="shared" si="90"/>
        <v>0</v>
      </c>
      <c r="AB54" s="171">
        <f t="shared" si="90"/>
        <v>0</v>
      </c>
      <c r="AC54" s="171">
        <f t="shared" si="90"/>
        <v>0</v>
      </c>
      <c r="AD54" s="171">
        <f t="shared" si="90"/>
        <v>0</v>
      </c>
      <c r="AE54" s="171">
        <f t="shared" si="90"/>
        <v>0</v>
      </c>
      <c r="AF54" s="171">
        <f t="shared" si="90"/>
        <v>0</v>
      </c>
      <c r="AG54" s="171">
        <f t="shared" si="90"/>
        <v>0</v>
      </c>
      <c r="AH54" s="171">
        <f t="shared" si="90"/>
        <v>0</v>
      </c>
      <c r="AI54" s="171">
        <f t="shared" si="90"/>
        <v>0</v>
      </c>
      <c r="AJ54" s="171">
        <f t="shared" si="90"/>
        <v>0</v>
      </c>
      <c r="AK54" s="171">
        <f t="shared" si="90"/>
        <v>0</v>
      </c>
      <c r="AL54" s="171">
        <f t="shared" si="90"/>
        <v>1</v>
      </c>
      <c r="AM54" s="171">
        <f t="shared" si="90"/>
        <v>0</v>
      </c>
      <c r="AN54" s="171">
        <f t="shared" si="90"/>
        <v>0</v>
      </c>
      <c r="AO54" s="171">
        <f t="shared" si="90"/>
        <v>0</v>
      </c>
      <c r="AP54" s="171">
        <f t="shared" si="90"/>
        <v>0</v>
      </c>
      <c r="AQ54" s="171">
        <f t="shared" si="90"/>
        <v>0</v>
      </c>
      <c r="AR54" s="171">
        <f t="shared" si="90"/>
        <v>0</v>
      </c>
      <c r="AS54" s="171">
        <f t="shared" si="90"/>
        <v>0</v>
      </c>
      <c r="AT54" s="171">
        <f t="shared" si="90"/>
        <v>0</v>
      </c>
      <c r="AU54" s="171">
        <f t="shared" si="90"/>
        <v>0</v>
      </c>
      <c r="AV54" s="171">
        <f t="shared" si="90"/>
        <v>0</v>
      </c>
      <c r="AW54" s="171">
        <f t="shared" si="90"/>
        <v>0</v>
      </c>
      <c r="AX54" s="171">
        <f t="shared" si="90"/>
        <v>1</v>
      </c>
      <c r="AY54" s="171">
        <f t="shared" si="90"/>
        <v>0</v>
      </c>
      <c r="AZ54" s="171">
        <f t="shared" si="90"/>
        <v>0</v>
      </c>
      <c r="BA54" s="171">
        <f t="shared" si="90"/>
        <v>0</v>
      </c>
      <c r="BB54" s="171">
        <f t="shared" si="90"/>
        <v>0</v>
      </c>
      <c r="BC54" s="171">
        <f t="shared" si="90"/>
        <v>0</v>
      </c>
      <c r="BD54" s="171">
        <f t="shared" si="90"/>
        <v>0</v>
      </c>
      <c r="BE54" s="171">
        <f t="shared" si="90"/>
        <v>0</v>
      </c>
      <c r="BF54" s="171">
        <f t="shared" si="90"/>
        <v>0</v>
      </c>
      <c r="BG54" s="171">
        <f t="shared" si="90"/>
        <v>0</v>
      </c>
      <c r="BH54" s="171">
        <f t="shared" si="90"/>
        <v>0</v>
      </c>
      <c r="BI54" s="171">
        <f t="shared" si="90"/>
        <v>0</v>
      </c>
      <c r="BJ54" s="171">
        <f t="shared" si="90"/>
        <v>1</v>
      </c>
      <c r="BK54" s="171">
        <f t="shared" si="90"/>
        <v>0</v>
      </c>
      <c r="BL54" s="171">
        <f t="shared" si="90"/>
        <v>0</v>
      </c>
      <c r="BM54" s="171">
        <f t="shared" si="90"/>
        <v>0</v>
      </c>
      <c r="BN54" s="171">
        <f t="shared" si="90"/>
        <v>0</v>
      </c>
      <c r="BO54" s="171">
        <f t="shared" si="90"/>
        <v>0</v>
      </c>
      <c r="BP54" s="171">
        <f t="shared" si="90"/>
        <v>0</v>
      </c>
      <c r="BQ54" s="171">
        <f t="shared" si="90"/>
        <v>0</v>
      </c>
      <c r="BR54" s="171">
        <f t="shared" si="90"/>
        <v>0</v>
      </c>
      <c r="BS54" s="171">
        <f t="shared" si="90"/>
        <v>0</v>
      </c>
      <c r="BT54" s="171">
        <f t="shared" si="90"/>
        <v>0</v>
      </c>
      <c r="BU54" s="171">
        <f t="shared" si="90"/>
        <v>0</v>
      </c>
      <c r="BV54" s="171">
        <f t="shared" si="90"/>
        <v>1</v>
      </c>
      <c r="BW54" s="171">
        <f t="shared" si="90"/>
        <v>0</v>
      </c>
      <c r="BX54" s="171">
        <f t="shared" si="90"/>
        <v>0</v>
      </c>
      <c r="BY54" s="171">
        <f t="shared" si="91"/>
        <v>0</v>
      </c>
      <c r="BZ54" s="171">
        <f t="shared" si="91"/>
        <v>0</v>
      </c>
      <c r="CA54" s="171">
        <f t="shared" si="91"/>
        <v>0</v>
      </c>
      <c r="CB54" s="171">
        <f t="shared" si="91"/>
        <v>0</v>
      </c>
      <c r="CC54" s="171">
        <f t="shared" si="91"/>
        <v>0</v>
      </c>
      <c r="CD54" s="171">
        <f t="shared" si="91"/>
        <v>0</v>
      </c>
      <c r="CE54" s="171">
        <f t="shared" si="91"/>
        <v>0</v>
      </c>
      <c r="CF54" s="171">
        <f t="shared" si="91"/>
        <v>0</v>
      </c>
      <c r="CG54" s="171">
        <f t="shared" si="91"/>
        <v>0</v>
      </c>
      <c r="CH54" s="171">
        <f t="shared" si="91"/>
        <v>1</v>
      </c>
      <c r="CI54" s="171">
        <f t="shared" si="91"/>
        <v>0</v>
      </c>
      <c r="CJ54" s="171">
        <f t="shared" si="91"/>
        <v>0</v>
      </c>
      <c r="CK54" s="171">
        <f t="shared" si="91"/>
        <v>0</v>
      </c>
      <c r="CL54" s="171">
        <f t="shared" si="91"/>
        <v>0</v>
      </c>
      <c r="CM54" s="171">
        <f t="shared" si="91"/>
        <v>0</v>
      </c>
      <c r="CN54" s="171">
        <f t="shared" si="89"/>
        <v>0</v>
      </c>
      <c r="CO54" s="171">
        <f t="shared" si="89"/>
        <v>0</v>
      </c>
      <c r="CP54" s="171">
        <f t="shared" si="89"/>
        <v>0</v>
      </c>
      <c r="CQ54" s="171">
        <f t="shared" si="89"/>
        <v>0</v>
      </c>
      <c r="CR54" s="171">
        <f t="shared" si="89"/>
        <v>0</v>
      </c>
      <c r="CS54" s="171">
        <f t="shared" si="89"/>
        <v>0</v>
      </c>
      <c r="CT54" s="171">
        <f t="shared" si="89"/>
        <v>1</v>
      </c>
      <c r="CU54" s="171">
        <f t="shared" si="89"/>
        <v>0</v>
      </c>
      <c r="CV54" s="171">
        <f t="shared" si="89"/>
        <v>0</v>
      </c>
      <c r="CW54" s="171">
        <f t="shared" si="89"/>
        <v>0</v>
      </c>
      <c r="CX54" s="171">
        <f t="shared" si="89"/>
        <v>0</v>
      </c>
      <c r="CY54" s="171">
        <f t="shared" si="89"/>
        <v>0</v>
      </c>
      <c r="CZ54" s="171">
        <f t="shared" si="89"/>
        <v>0</v>
      </c>
      <c r="DA54" s="171">
        <f t="shared" si="89"/>
        <v>0</v>
      </c>
      <c r="DB54" s="171">
        <f t="shared" si="89"/>
        <v>0</v>
      </c>
      <c r="DC54" s="171">
        <f t="shared" si="89"/>
        <v>0</v>
      </c>
      <c r="DD54" s="171">
        <f t="shared" si="89"/>
        <v>0</v>
      </c>
      <c r="DE54" s="171">
        <f t="shared" si="89"/>
        <v>0</v>
      </c>
      <c r="DF54" s="171">
        <f t="shared" si="89"/>
        <v>1</v>
      </c>
      <c r="DG54" s="171">
        <f t="shared" si="89"/>
        <v>0</v>
      </c>
      <c r="DH54" s="171">
        <f t="shared" si="89"/>
        <v>0</v>
      </c>
      <c r="DI54" s="171">
        <f t="shared" si="89"/>
        <v>0</v>
      </c>
      <c r="DJ54" s="171">
        <f t="shared" si="89"/>
        <v>0</v>
      </c>
      <c r="DK54" s="171">
        <f t="shared" si="89"/>
        <v>0</v>
      </c>
      <c r="DL54" s="171">
        <f t="shared" si="89"/>
        <v>0</v>
      </c>
      <c r="DM54" s="171">
        <f t="shared" si="89"/>
        <v>0</v>
      </c>
      <c r="DN54" s="171">
        <f t="shared" si="89"/>
        <v>0</v>
      </c>
      <c r="DO54" s="171">
        <f t="shared" si="89"/>
        <v>0</v>
      </c>
      <c r="DP54" s="171">
        <f t="shared" si="89"/>
        <v>0</v>
      </c>
      <c r="DQ54" s="171">
        <f t="shared" si="89"/>
        <v>0</v>
      </c>
      <c r="DR54" s="171">
        <f t="shared" si="89"/>
        <v>1</v>
      </c>
      <c r="DS54" s="171">
        <f t="shared" si="89"/>
        <v>0</v>
      </c>
      <c r="DT54" s="171">
        <f t="shared" si="89"/>
        <v>0</v>
      </c>
      <c r="DU54" s="171">
        <f t="shared" si="89"/>
        <v>0</v>
      </c>
      <c r="DV54" s="171">
        <f t="shared" si="89"/>
        <v>0</v>
      </c>
      <c r="DW54" s="171">
        <f t="shared" si="89"/>
        <v>0</v>
      </c>
      <c r="DX54" s="171">
        <f t="shared" si="89"/>
        <v>0</v>
      </c>
      <c r="DY54" s="171">
        <f t="shared" si="89"/>
        <v>0</v>
      </c>
      <c r="DZ54" s="171">
        <f t="shared" si="89"/>
        <v>0</v>
      </c>
      <c r="EA54" s="171">
        <f t="shared" si="89"/>
        <v>0</v>
      </c>
      <c r="EB54" s="171">
        <f t="shared" si="89"/>
        <v>1</v>
      </c>
      <c r="EC54" s="171">
        <f t="shared" si="89"/>
        <v>0</v>
      </c>
      <c r="ED54" s="171">
        <f t="shared" si="89"/>
        <v>0</v>
      </c>
      <c r="EE54" s="171">
        <f t="shared" si="89"/>
        <v>0</v>
      </c>
      <c r="EF54" s="171">
        <f t="shared" si="89"/>
        <v>0</v>
      </c>
      <c r="EG54" s="171">
        <f t="shared" si="89"/>
        <v>0</v>
      </c>
      <c r="EH54" s="171">
        <f t="shared" si="89"/>
        <v>0</v>
      </c>
      <c r="EI54" s="171">
        <f t="shared" si="89"/>
        <v>0</v>
      </c>
      <c r="EJ54" s="171">
        <f t="shared" si="89"/>
        <v>0</v>
      </c>
      <c r="EK54" s="171">
        <f t="shared" si="89"/>
        <v>0</v>
      </c>
      <c r="EL54" s="171">
        <f t="shared" si="89"/>
        <v>0</v>
      </c>
      <c r="EM54" s="171">
        <f t="shared" si="89"/>
        <v>0</v>
      </c>
      <c r="EN54" s="171">
        <f t="shared" si="89"/>
        <v>0</v>
      </c>
      <c r="EO54" s="171">
        <f t="shared" si="89"/>
        <v>0</v>
      </c>
      <c r="EP54" s="171">
        <f t="shared" si="89"/>
        <v>0</v>
      </c>
      <c r="EQ54" s="171">
        <f t="shared" si="89"/>
        <v>0</v>
      </c>
    </row>
    <row r="55" spans="3:147" ht="11.25" customHeight="1">
      <c r="C55" s="173"/>
      <c r="D55" s="174" t="s">
        <v>531</v>
      </c>
      <c r="E55" s="175"/>
      <c r="F55" s="175">
        <v>10</v>
      </c>
      <c r="G55" s="175"/>
      <c r="H55" s="175"/>
      <c r="I55" s="186"/>
      <c r="J55" s="176"/>
      <c r="K55" s="98"/>
      <c r="L55" s="177">
        <f>OR(MONTH(L$14)=$F55,MONTH(L$14)=$G55,MONTH(L$14)=$H55,MONTH(L$14)=$I55)*1*(L$14&gt;$I$41)*(L$14&lt;$I$42)*1+(L$14=$I$42)*1</f>
        <v>0</v>
      </c>
      <c r="M55" s="177">
        <f t="shared" si="90"/>
        <v>0</v>
      </c>
      <c r="N55" s="177">
        <f t="shared" si="90"/>
        <v>0</v>
      </c>
      <c r="O55" s="177">
        <f t="shared" si="90"/>
        <v>0</v>
      </c>
      <c r="P55" s="177">
        <f t="shared" si="90"/>
        <v>0</v>
      </c>
      <c r="Q55" s="177">
        <f t="shared" si="90"/>
        <v>0</v>
      </c>
      <c r="R55" s="177">
        <f t="shared" si="90"/>
        <v>0</v>
      </c>
      <c r="S55" s="177">
        <f t="shared" si="90"/>
        <v>0</v>
      </c>
      <c r="T55" s="177">
        <f t="shared" si="90"/>
        <v>0</v>
      </c>
      <c r="U55" s="177">
        <f t="shared" si="90"/>
        <v>0</v>
      </c>
      <c r="V55" s="177">
        <f t="shared" si="90"/>
        <v>0</v>
      </c>
      <c r="W55" s="177">
        <f t="shared" si="90"/>
        <v>0</v>
      </c>
      <c r="X55" s="177">
        <f t="shared" si="90"/>
        <v>1</v>
      </c>
      <c r="Y55" s="177">
        <f t="shared" si="90"/>
        <v>0</v>
      </c>
      <c r="Z55" s="177">
        <f t="shared" si="90"/>
        <v>0</v>
      </c>
      <c r="AA55" s="177">
        <f t="shared" si="90"/>
        <v>0</v>
      </c>
      <c r="AB55" s="177">
        <f t="shared" si="90"/>
        <v>0</v>
      </c>
      <c r="AC55" s="177">
        <f t="shared" si="90"/>
        <v>0</v>
      </c>
      <c r="AD55" s="177">
        <f t="shared" si="90"/>
        <v>0</v>
      </c>
      <c r="AE55" s="177">
        <f t="shared" si="90"/>
        <v>0</v>
      </c>
      <c r="AF55" s="177">
        <f t="shared" si="90"/>
        <v>0</v>
      </c>
      <c r="AG55" s="177">
        <f t="shared" si="90"/>
        <v>0</v>
      </c>
      <c r="AH55" s="177">
        <f t="shared" si="90"/>
        <v>0</v>
      </c>
      <c r="AI55" s="177">
        <f t="shared" si="90"/>
        <v>0</v>
      </c>
      <c r="AJ55" s="177">
        <f t="shared" si="90"/>
        <v>1</v>
      </c>
      <c r="AK55" s="177">
        <f t="shared" si="90"/>
        <v>0</v>
      </c>
      <c r="AL55" s="177">
        <f t="shared" si="90"/>
        <v>0</v>
      </c>
      <c r="AM55" s="177">
        <f t="shared" si="90"/>
        <v>0</v>
      </c>
      <c r="AN55" s="177">
        <f t="shared" si="90"/>
        <v>0</v>
      </c>
      <c r="AO55" s="177">
        <f t="shared" si="90"/>
        <v>0</v>
      </c>
      <c r="AP55" s="177">
        <f t="shared" si="90"/>
        <v>0</v>
      </c>
      <c r="AQ55" s="177">
        <f t="shared" si="90"/>
        <v>0</v>
      </c>
      <c r="AR55" s="177">
        <f t="shared" si="90"/>
        <v>0</v>
      </c>
      <c r="AS55" s="177">
        <f t="shared" si="90"/>
        <v>0</v>
      </c>
      <c r="AT55" s="177">
        <f t="shared" si="90"/>
        <v>0</v>
      </c>
      <c r="AU55" s="177">
        <f t="shared" si="90"/>
        <v>0</v>
      </c>
      <c r="AV55" s="177">
        <f t="shared" si="90"/>
        <v>1</v>
      </c>
      <c r="AW55" s="177">
        <f t="shared" si="90"/>
        <v>0</v>
      </c>
      <c r="AX55" s="177">
        <f t="shared" si="90"/>
        <v>0</v>
      </c>
      <c r="AY55" s="177">
        <f t="shared" si="90"/>
        <v>0</v>
      </c>
      <c r="AZ55" s="177">
        <f t="shared" si="90"/>
        <v>0</v>
      </c>
      <c r="BA55" s="177">
        <f t="shared" si="90"/>
        <v>0</v>
      </c>
      <c r="BB55" s="177">
        <f t="shared" si="90"/>
        <v>0</v>
      </c>
      <c r="BC55" s="177">
        <f t="shared" si="90"/>
        <v>0</v>
      </c>
      <c r="BD55" s="177">
        <f t="shared" si="90"/>
        <v>0</v>
      </c>
      <c r="BE55" s="177">
        <f t="shared" si="90"/>
        <v>0</v>
      </c>
      <c r="BF55" s="177">
        <f t="shared" si="90"/>
        <v>0</v>
      </c>
      <c r="BG55" s="177">
        <f t="shared" si="90"/>
        <v>0</v>
      </c>
      <c r="BH55" s="177">
        <f t="shared" si="90"/>
        <v>1</v>
      </c>
      <c r="BI55" s="177">
        <f t="shared" si="90"/>
        <v>0</v>
      </c>
      <c r="BJ55" s="177">
        <f t="shared" si="90"/>
        <v>0</v>
      </c>
      <c r="BK55" s="177">
        <f t="shared" si="90"/>
        <v>0</v>
      </c>
      <c r="BL55" s="177">
        <f t="shared" si="90"/>
        <v>0</v>
      </c>
      <c r="BM55" s="177">
        <f t="shared" si="90"/>
        <v>0</v>
      </c>
      <c r="BN55" s="177">
        <f t="shared" si="90"/>
        <v>0</v>
      </c>
      <c r="BO55" s="177">
        <f t="shared" si="90"/>
        <v>0</v>
      </c>
      <c r="BP55" s="177">
        <f t="shared" si="90"/>
        <v>0</v>
      </c>
      <c r="BQ55" s="177">
        <f t="shared" si="90"/>
        <v>0</v>
      </c>
      <c r="BR55" s="177">
        <f t="shared" si="90"/>
        <v>0</v>
      </c>
      <c r="BS55" s="177">
        <f t="shared" si="90"/>
        <v>0</v>
      </c>
      <c r="BT55" s="177">
        <f t="shared" si="90"/>
        <v>1</v>
      </c>
      <c r="BU55" s="177">
        <f t="shared" si="90"/>
        <v>0</v>
      </c>
      <c r="BV55" s="177">
        <f t="shared" si="90"/>
        <v>0</v>
      </c>
      <c r="BW55" s="177">
        <f t="shared" si="90"/>
        <v>0</v>
      </c>
      <c r="BX55" s="177">
        <f t="shared" si="90"/>
        <v>0</v>
      </c>
      <c r="BY55" s="177">
        <f t="shared" si="91"/>
        <v>0</v>
      </c>
      <c r="BZ55" s="177">
        <f t="shared" si="91"/>
        <v>0</v>
      </c>
      <c r="CA55" s="177">
        <f t="shared" si="91"/>
        <v>0</v>
      </c>
      <c r="CB55" s="177">
        <f t="shared" si="91"/>
        <v>0</v>
      </c>
      <c r="CC55" s="177">
        <f t="shared" si="91"/>
        <v>0</v>
      </c>
      <c r="CD55" s="177">
        <f t="shared" si="91"/>
        <v>0</v>
      </c>
      <c r="CE55" s="177">
        <f t="shared" si="91"/>
        <v>0</v>
      </c>
      <c r="CF55" s="177">
        <f t="shared" si="91"/>
        <v>1</v>
      </c>
      <c r="CG55" s="177">
        <f t="shared" si="91"/>
        <v>0</v>
      </c>
      <c r="CH55" s="177">
        <f t="shared" si="91"/>
        <v>0</v>
      </c>
      <c r="CI55" s="177">
        <f t="shared" si="91"/>
        <v>0</v>
      </c>
      <c r="CJ55" s="177">
        <f t="shared" si="91"/>
        <v>0</v>
      </c>
      <c r="CK55" s="177">
        <f t="shared" si="91"/>
        <v>0</v>
      </c>
      <c r="CL55" s="177">
        <f t="shared" si="91"/>
        <v>0</v>
      </c>
      <c r="CM55" s="177">
        <f t="shared" si="91"/>
        <v>0</v>
      </c>
      <c r="CN55" s="177">
        <f t="shared" si="89"/>
        <v>0</v>
      </c>
      <c r="CO55" s="177">
        <f t="shared" si="89"/>
        <v>0</v>
      </c>
      <c r="CP55" s="177">
        <f t="shared" si="89"/>
        <v>0</v>
      </c>
      <c r="CQ55" s="177">
        <f t="shared" si="89"/>
        <v>0</v>
      </c>
      <c r="CR55" s="177">
        <f t="shared" si="89"/>
        <v>1</v>
      </c>
      <c r="CS55" s="177">
        <f t="shared" si="89"/>
        <v>0</v>
      </c>
      <c r="CT55" s="177">
        <f t="shared" si="89"/>
        <v>0</v>
      </c>
      <c r="CU55" s="177">
        <f t="shared" si="89"/>
        <v>0</v>
      </c>
      <c r="CV55" s="177">
        <f t="shared" si="89"/>
        <v>0</v>
      </c>
      <c r="CW55" s="177">
        <f t="shared" si="89"/>
        <v>0</v>
      </c>
      <c r="CX55" s="177">
        <f t="shared" si="89"/>
        <v>0</v>
      </c>
      <c r="CY55" s="177">
        <f t="shared" si="89"/>
        <v>0</v>
      </c>
      <c r="CZ55" s="177">
        <f t="shared" si="89"/>
        <v>0</v>
      </c>
      <c r="DA55" s="177">
        <f t="shared" si="89"/>
        <v>0</v>
      </c>
      <c r="DB55" s="177">
        <f t="shared" si="89"/>
        <v>0</v>
      </c>
      <c r="DC55" s="177">
        <f t="shared" si="89"/>
        <v>0</v>
      </c>
      <c r="DD55" s="177">
        <f t="shared" si="89"/>
        <v>1</v>
      </c>
      <c r="DE55" s="177">
        <f t="shared" si="89"/>
        <v>0</v>
      </c>
      <c r="DF55" s="177">
        <f t="shared" si="89"/>
        <v>0</v>
      </c>
      <c r="DG55" s="177">
        <f t="shared" si="89"/>
        <v>0</v>
      </c>
      <c r="DH55" s="177">
        <f t="shared" si="89"/>
        <v>0</v>
      </c>
      <c r="DI55" s="177">
        <f t="shared" si="89"/>
        <v>0</v>
      </c>
      <c r="DJ55" s="177">
        <f t="shared" si="89"/>
        <v>0</v>
      </c>
      <c r="DK55" s="177">
        <f t="shared" si="89"/>
        <v>0</v>
      </c>
      <c r="DL55" s="177">
        <f t="shared" si="89"/>
        <v>0</v>
      </c>
      <c r="DM55" s="177">
        <f t="shared" si="89"/>
        <v>0</v>
      </c>
      <c r="DN55" s="177">
        <f t="shared" si="89"/>
        <v>0</v>
      </c>
      <c r="DO55" s="177">
        <f t="shared" si="89"/>
        <v>0</v>
      </c>
      <c r="DP55" s="177">
        <f t="shared" si="89"/>
        <v>1</v>
      </c>
      <c r="DQ55" s="177">
        <f t="shared" si="89"/>
        <v>0</v>
      </c>
      <c r="DR55" s="177">
        <f t="shared" si="89"/>
        <v>0</v>
      </c>
      <c r="DS55" s="177">
        <f t="shared" si="89"/>
        <v>0</v>
      </c>
      <c r="DT55" s="177">
        <f t="shared" si="89"/>
        <v>0</v>
      </c>
      <c r="DU55" s="177">
        <f t="shared" si="89"/>
        <v>0</v>
      </c>
      <c r="DV55" s="177">
        <f t="shared" si="89"/>
        <v>0</v>
      </c>
      <c r="DW55" s="177">
        <f t="shared" si="89"/>
        <v>0</v>
      </c>
      <c r="DX55" s="177">
        <f t="shared" si="89"/>
        <v>0</v>
      </c>
      <c r="DY55" s="177">
        <f t="shared" si="89"/>
        <v>0</v>
      </c>
      <c r="DZ55" s="177">
        <f t="shared" si="89"/>
        <v>0</v>
      </c>
      <c r="EA55" s="177">
        <f t="shared" si="89"/>
        <v>0</v>
      </c>
      <c r="EB55" s="177">
        <f t="shared" si="89"/>
        <v>1</v>
      </c>
      <c r="EC55" s="177">
        <f t="shared" si="89"/>
        <v>0</v>
      </c>
      <c r="ED55" s="177">
        <f t="shared" si="89"/>
        <v>0</v>
      </c>
      <c r="EE55" s="177">
        <f t="shared" si="89"/>
        <v>0</v>
      </c>
      <c r="EF55" s="177">
        <f t="shared" si="89"/>
        <v>0</v>
      </c>
      <c r="EG55" s="177">
        <f t="shared" si="89"/>
        <v>0</v>
      </c>
      <c r="EH55" s="177">
        <f t="shared" si="89"/>
        <v>0</v>
      </c>
      <c r="EI55" s="177">
        <f t="shared" si="89"/>
        <v>0</v>
      </c>
      <c r="EJ55" s="177">
        <f t="shared" si="89"/>
        <v>0</v>
      </c>
      <c r="EK55" s="177">
        <f t="shared" si="89"/>
        <v>0</v>
      </c>
      <c r="EL55" s="177">
        <f t="shared" si="89"/>
        <v>0</v>
      </c>
      <c r="EM55" s="177">
        <f t="shared" si="89"/>
        <v>0</v>
      </c>
      <c r="EN55" s="177">
        <f t="shared" si="89"/>
        <v>0</v>
      </c>
      <c r="EO55" s="177">
        <f t="shared" si="89"/>
        <v>0</v>
      </c>
      <c r="EP55" s="177">
        <f t="shared" si="89"/>
        <v>0</v>
      </c>
      <c r="EQ55" s="177">
        <f t="shared" si="89"/>
        <v>0</v>
      </c>
    </row>
    <row r="56" spans="3:147" ht="11.25" customHeight="1"/>
    <row r="57" spans="3:147" ht="11.25" customHeight="1"/>
    <row r="58" spans="3:147" ht="11.25" customHeight="1"/>
    <row r="59" spans="3:147" ht="11.25" customHeight="1"/>
    <row r="60" spans="3:147" ht="11.25" customHeight="1"/>
    <row r="61" spans="3:147" ht="11.25" customHeight="1"/>
    <row r="62" spans="3:147" ht="11.25" customHeight="1"/>
    <row r="63" spans="3:147" ht="11.25" customHeight="1"/>
    <row r="64" spans="3:147" ht="11.25" customHeight="1"/>
    <row r="65" ht="11.25" customHeight="1"/>
    <row r="66" ht="11.25" customHeight="1"/>
    <row r="67" ht="11.25" customHeight="1"/>
    <row r="68" ht="11.25" customHeight="1"/>
    <row r="69" ht="11.25" customHeight="1"/>
    <row r="70" ht="11.25" customHeight="1"/>
    <row r="71" ht="11.25" customHeight="1"/>
    <row r="72" ht="11.25" customHeight="1"/>
    <row r="73" ht="11.25" customHeight="1"/>
    <row r="74" ht="11.25" customHeight="1"/>
    <row r="75" ht="11.25" customHeight="1"/>
    <row r="76" ht="11.25" customHeight="1"/>
    <row r="77" ht="11.25" customHeight="1"/>
    <row r="78" ht="11.25" customHeight="1"/>
    <row r="79" ht="11.25" customHeight="1"/>
    <row r="80" ht="11.25" customHeight="1"/>
    <row r="81" ht="11.25" customHeight="1"/>
    <row r="82" ht="11.25" customHeight="1"/>
    <row r="83" ht="11.25" customHeight="1"/>
    <row r="84" ht="11.25" customHeight="1"/>
    <row r="85" ht="11.25" customHeight="1"/>
  </sheetData>
  <phoneticPr fontId="2"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BBD4A-5EEA-47A1-AA1F-DF164D0D32F3}">
  <sheetPr codeName="Sheet6">
    <tabColor rgb="FF0070C0"/>
  </sheetPr>
  <dimension ref="A1:EA88"/>
  <sheetViews>
    <sheetView showGridLines="0" topLeftCell="A51" zoomScale="115" zoomScaleNormal="115" workbookViewId="0">
      <selection activeCell="M83" sqref="M83:DU83"/>
    </sheetView>
  </sheetViews>
  <sheetFormatPr defaultColWidth="9" defaultRowHeight="11.25" customHeight="1"/>
  <cols>
    <col min="1" max="4" width="2.125" style="5" customWidth="1"/>
    <col min="5" max="8" width="9.625" style="5" customWidth="1"/>
    <col min="9" max="11" width="10.375" style="5" customWidth="1"/>
    <col min="12" max="12" width="2.125" style="5" customWidth="1"/>
    <col min="13" max="127" width="11" style="5" customWidth="1"/>
    <col min="128" max="157" width="10.25" style="5" customWidth="1"/>
    <col min="158" max="158" width="2.125" style="5" customWidth="1"/>
    <col min="159" max="16384" width="9" style="5"/>
  </cols>
  <sheetData>
    <row r="1" spans="1:131" s="3" customFormat="1" ht="11.25" customHeight="1">
      <c r="A1" s="2" t="s">
        <v>250</v>
      </c>
    </row>
    <row r="2" spans="1:131" s="4" customFormat="1" ht="11.25" customHeight="1">
      <c r="A2" s="4" t="s">
        <v>575</v>
      </c>
    </row>
    <row r="5" spans="1:131" ht="11.25" customHeight="1">
      <c r="B5" s="187" t="s">
        <v>0</v>
      </c>
      <c r="C5" s="143"/>
      <c r="D5" s="143"/>
      <c r="E5" s="143"/>
      <c r="F5" s="143"/>
      <c r="G5" s="143"/>
      <c r="H5" s="143"/>
      <c r="I5" s="208"/>
      <c r="J5" s="188"/>
      <c r="K5" s="144"/>
      <c r="M5" s="145">
        <f>Index!L4</f>
        <v>46326</v>
      </c>
      <c r="N5" s="145">
        <f>M6+1</f>
        <v>46327</v>
      </c>
      <c r="O5" s="145">
        <f>N6+1</f>
        <v>46508</v>
      </c>
      <c r="P5" s="145">
        <f t="shared" ref="P5:CA5" si="0">O6+1</f>
        <v>46692</v>
      </c>
      <c r="Q5" s="145">
        <f t="shared" si="0"/>
        <v>46874</v>
      </c>
      <c r="R5" s="145">
        <f t="shared" si="0"/>
        <v>47058</v>
      </c>
      <c r="S5" s="145">
        <f t="shared" si="0"/>
        <v>47239</v>
      </c>
      <c r="T5" s="145">
        <f t="shared" si="0"/>
        <v>47423</v>
      </c>
      <c r="U5" s="145">
        <f t="shared" si="0"/>
        <v>47604</v>
      </c>
      <c r="V5" s="145">
        <f t="shared" si="0"/>
        <v>47788</v>
      </c>
      <c r="W5" s="145">
        <f t="shared" si="0"/>
        <v>47969</v>
      </c>
      <c r="X5" s="145">
        <f t="shared" si="0"/>
        <v>48153</v>
      </c>
      <c r="Y5" s="145">
        <f t="shared" si="0"/>
        <v>48335</v>
      </c>
      <c r="Z5" s="145">
        <f t="shared" si="0"/>
        <v>48519</v>
      </c>
      <c r="AA5" s="145">
        <f t="shared" si="0"/>
        <v>48700</v>
      </c>
      <c r="AB5" s="145">
        <f t="shared" si="0"/>
        <v>48884</v>
      </c>
      <c r="AC5" s="145">
        <f t="shared" si="0"/>
        <v>49065</v>
      </c>
      <c r="AD5" s="145">
        <f t="shared" si="0"/>
        <v>49249</v>
      </c>
      <c r="AE5" s="145">
        <f t="shared" si="0"/>
        <v>49430</v>
      </c>
      <c r="AF5" s="145">
        <f t="shared" si="0"/>
        <v>49614</v>
      </c>
      <c r="AG5" s="145">
        <f t="shared" si="0"/>
        <v>49796</v>
      </c>
      <c r="AH5" s="145">
        <f t="shared" si="0"/>
        <v>49980</v>
      </c>
      <c r="AI5" s="145">
        <f t="shared" si="0"/>
        <v>50161</v>
      </c>
      <c r="AJ5" s="145">
        <f t="shared" si="0"/>
        <v>50345</v>
      </c>
      <c r="AK5" s="145">
        <f t="shared" si="0"/>
        <v>50526</v>
      </c>
      <c r="AL5" s="145">
        <f t="shared" si="0"/>
        <v>50710</v>
      </c>
      <c r="AM5" s="145">
        <f t="shared" si="0"/>
        <v>50891</v>
      </c>
      <c r="AN5" s="145">
        <f t="shared" si="0"/>
        <v>51075</v>
      </c>
      <c r="AO5" s="145">
        <f t="shared" si="0"/>
        <v>51257</v>
      </c>
      <c r="AP5" s="145">
        <f t="shared" si="0"/>
        <v>51441</v>
      </c>
      <c r="AQ5" s="145">
        <f t="shared" si="0"/>
        <v>51622</v>
      </c>
      <c r="AR5" s="145">
        <f t="shared" si="0"/>
        <v>51806</v>
      </c>
      <c r="AS5" s="145">
        <f t="shared" si="0"/>
        <v>51987</v>
      </c>
      <c r="AT5" s="145">
        <f t="shared" si="0"/>
        <v>52171</v>
      </c>
      <c r="AU5" s="145">
        <f t="shared" si="0"/>
        <v>52352</v>
      </c>
      <c r="AV5" s="145">
        <f t="shared" si="0"/>
        <v>52536</v>
      </c>
      <c r="AW5" s="145">
        <f t="shared" si="0"/>
        <v>52718</v>
      </c>
      <c r="AX5" s="145">
        <f t="shared" si="0"/>
        <v>52902</v>
      </c>
      <c r="AY5" s="145">
        <f t="shared" si="0"/>
        <v>53083</v>
      </c>
      <c r="AZ5" s="145">
        <f t="shared" si="0"/>
        <v>53267</v>
      </c>
      <c r="BA5" s="145">
        <f t="shared" si="0"/>
        <v>53448</v>
      </c>
      <c r="BB5" s="145">
        <f t="shared" si="0"/>
        <v>53632</v>
      </c>
      <c r="BC5" s="145">
        <f t="shared" si="0"/>
        <v>53813</v>
      </c>
      <c r="BD5" s="145">
        <f t="shared" si="0"/>
        <v>53997</v>
      </c>
      <c r="BE5" s="145">
        <f t="shared" si="0"/>
        <v>54179</v>
      </c>
      <c r="BF5" s="145">
        <f t="shared" si="0"/>
        <v>54363</v>
      </c>
      <c r="BG5" s="145">
        <f t="shared" si="0"/>
        <v>54544</v>
      </c>
      <c r="BH5" s="145">
        <f t="shared" si="0"/>
        <v>54728</v>
      </c>
      <c r="BI5" s="145">
        <f t="shared" si="0"/>
        <v>54909</v>
      </c>
      <c r="BJ5" s="145">
        <f t="shared" si="0"/>
        <v>55093</v>
      </c>
      <c r="BK5" s="145">
        <f t="shared" si="0"/>
        <v>55274</v>
      </c>
      <c r="BL5" s="145">
        <f t="shared" si="0"/>
        <v>55458</v>
      </c>
      <c r="BM5" s="145">
        <f t="shared" si="0"/>
        <v>55640</v>
      </c>
      <c r="BN5" s="145">
        <f t="shared" si="0"/>
        <v>55824</v>
      </c>
      <c r="BO5" s="145">
        <f t="shared" si="0"/>
        <v>56005</v>
      </c>
      <c r="BP5" s="145">
        <f t="shared" si="0"/>
        <v>56189</v>
      </c>
      <c r="BQ5" s="145">
        <f t="shared" si="0"/>
        <v>56370</v>
      </c>
      <c r="BR5" s="145">
        <f t="shared" si="0"/>
        <v>56554</v>
      </c>
      <c r="BS5" s="145">
        <f t="shared" si="0"/>
        <v>56735</v>
      </c>
      <c r="BT5" s="145">
        <f t="shared" si="0"/>
        <v>56919</v>
      </c>
      <c r="BU5" s="145">
        <f t="shared" si="0"/>
        <v>57101</v>
      </c>
      <c r="BV5" s="145">
        <f t="shared" si="0"/>
        <v>57285</v>
      </c>
      <c r="BW5" s="145">
        <f t="shared" si="0"/>
        <v>57466</v>
      </c>
      <c r="BX5" s="145">
        <f t="shared" si="0"/>
        <v>57650</v>
      </c>
      <c r="BY5" s="145">
        <f t="shared" si="0"/>
        <v>57831</v>
      </c>
      <c r="BZ5" s="145">
        <f t="shared" si="0"/>
        <v>58015</v>
      </c>
      <c r="CA5" s="145">
        <f t="shared" si="0"/>
        <v>58196</v>
      </c>
      <c r="CB5" s="145">
        <f t="shared" ref="CB5:DW5" si="1">CA6+1</f>
        <v>58380</v>
      </c>
      <c r="CC5" s="145">
        <f t="shared" si="1"/>
        <v>58562</v>
      </c>
      <c r="CD5" s="145">
        <f t="shared" si="1"/>
        <v>58746</v>
      </c>
      <c r="CE5" s="145">
        <f t="shared" si="1"/>
        <v>58927</v>
      </c>
      <c r="CF5" s="145">
        <f t="shared" si="1"/>
        <v>59111</v>
      </c>
      <c r="CG5" s="145">
        <f t="shared" si="1"/>
        <v>59292</v>
      </c>
      <c r="CH5" s="145">
        <f t="shared" si="1"/>
        <v>59476</v>
      </c>
      <c r="CI5" s="145">
        <f t="shared" si="1"/>
        <v>59657</v>
      </c>
      <c r="CJ5" s="145">
        <f t="shared" si="1"/>
        <v>59841</v>
      </c>
      <c r="CK5" s="145">
        <f t="shared" si="1"/>
        <v>60023</v>
      </c>
      <c r="CL5" s="145">
        <f t="shared" si="1"/>
        <v>60207</v>
      </c>
      <c r="CM5" s="145">
        <f t="shared" si="1"/>
        <v>60388</v>
      </c>
      <c r="CN5" s="145">
        <f t="shared" si="1"/>
        <v>60572</v>
      </c>
      <c r="CO5" s="145">
        <f t="shared" si="1"/>
        <v>60753</v>
      </c>
      <c r="CP5" s="145">
        <f t="shared" si="1"/>
        <v>60937</v>
      </c>
      <c r="CQ5" s="145">
        <f t="shared" si="1"/>
        <v>61118</v>
      </c>
      <c r="CR5" s="145">
        <f t="shared" si="1"/>
        <v>61302</v>
      </c>
      <c r="CS5" s="145">
        <f t="shared" si="1"/>
        <v>61484</v>
      </c>
      <c r="CT5" s="145">
        <f t="shared" si="1"/>
        <v>61668</v>
      </c>
      <c r="CU5" s="145">
        <f t="shared" si="1"/>
        <v>61849</v>
      </c>
      <c r="CV5" s="145">
        <f t="shared" si="1"/>
        <v>62033</v>
      </c>
      <c r="CW5" s="145">
        <f t="shared" si="1"/>
        <v>62214</v>
      </c>
      <c r="CX5" s="145">
        <f t="shared" si="1"/>
        <v>62398</v>
      </c>
      <c r="CY5" s="145">
        <f t="shared" si="1"/>
        <v>62579</v>
      </c>
      <c r="CZ5" s="145">
        <f t="shared" si="1"/>
        <v>62763</v>
      </c>
      <c r="DA5" s="145">
        <f t="shared" si="1"/>
        <v>62945</v>
      </c>
      <c r="DB5" s="145">
        <f t="shared" si="1"/>
        <v>63129</v>
      </c>
      <c r="DC5" s="145">
        <f t="shared" si="1"/>
        <v>63310</v>
      </c>
      <c r="DD5" s="145">
        <f t="shared" si="1"/>
        <v>63494</v>
      </c>
      <c r="DE5" s="145">
        <f t="shared" si="1"/>
        <v>63675</v>
      </c>
      <c r="DF5" s="145">
        <f t="shared" si="1"/>
        <v>63859</v>
      </c>
      <c r="DG5" s="145">
        <f t="shared" si="1"/>
        <v>64040</v>
      </c>
      <c r="DH5" s="145">
        <f t="shared" si="1"/>
        <v>64224</v>
      </c>
      <c r="DI5" s="145">
        <f t="shared" si="1"/>
        <v>64406</v>
      </c>
      <c r="DJ5" s="145">
        <f t="shared" si="1"/>
        <v>64590</v>
      </c>
      <c r="DK5" s="145">
        <f t="shared" si="1"/>
        <v>64771</v>
      </c>
      <c r="DL5" s="145">
        <f t="shared" si="1"/>
        <v>64955</v>
      </c>
      <c r="DM5" s="145">
        <f t="shared" si="1"/>
        <v>65136</v>
      </c>
      <c r="DN5" s="145">
        <f t="shared" si="1"/>
        <v>65320</v>
      </c>
      <c r="DO5" s="145">
        <f t="shared" si="1"/>
        <v>65501</v>
      </c>
      <c r="DP5" s="145">
        <f t="shared" si="1"/>
        <v>65685</v>
      </c>
      <c r="DQ5" s="145">
        <f t="shared" si="1"/>
        <v>65867</v>
      </c>
      <c r="DR5" s="145">
        <f t="shared" si="1"/>
        <v>66051</v>
      </c>
      <c r="DS5" s="145">
        <f t="shared" si="1"/>
        <v>66232</v>
      </c>
      <c r="DT5" s="145">
        <f t="shared" si="1"/>
        <v>66416</v>
      </c>
      <c r="DU5" s="145">
        <f t="shared" si="1"/>
        <v>66597</v>
      </c>
      <c r="DV5" s="145">
        <f t="shared" si="1"/>
        <v>66781</v>
      </c>
      <c r="DW5" s="145">
        <f t="shared" si="1"/>
        <v>66962</v>
      </c>
      <c r="DX5" s="146"/>
      <c r="DY5" s="146"/>
      <c r="DZ5" s="146"/>
      <c r="EA5" s="146"/>
    </row>
    <row r="6" spans="1:131" ht="11.25" customHeight="1">
      <c r="B6" s="187" t="s">
        <v>1</v>
      </c>
      <c r="C6" s="143"/>
      <c r="D6" s="143"/>
      <c r="E6" s="143"/>
      <c r="F6" s="143"/>
      <c r="G6" s="143"/>
      <c r="H6" s="143"/>
      <c r="I6" s="208"/>
      <c r="J6" s="188"/>
      <c r="K6" s="143"/>
      <c r="M6" s="145">
        <f>'A&amp;R'!D37</f>
        <v>46326</v>
      </c>
      <c r="N6" s="145">
        <f>EOMONTH(N5-1,6)</f>
        <v>46507</v>
      </c>
      <c r="O6" s="145">
        <f>EOMONTH(O5-1,6)</f>
        <v>46691</v>
      </c>
      <c r="P6" s="145">
        <f t="shared" ref="P6:CA6" si="2">EOMONTH(P5-1,6)</f>
        <v>46873</v>
      </c>
      <c r="Q6" s="145">
        <f t="shared" si="2"/>
        <v>47057</v>
      </c>
      <c r="R6" s="145">
        <f t="shared" si="2"/>
        <v>47238</v>
      </c>
      <c r="S6" s="145">
        <f t="shared" si="2"/>
        <v>47422</v>
      </c>
      <c r="T6" s="145">
        <f t="shared" si="2"/>
        <v>47603</v>
      </c>
      <c r="U6" s="145">
        <f t="shared" si="2"/>
        <v>47787</v>
      </c>
      <c r="V6" s="145">
        <f t="shared" si="2"/>
        <v>47968</v>
      </c>
      <c r="W6" s="145">
        <f t="shared" si="2"/>
        <v>48152</v>
      </c>
      <c r="X6" s="145">
        <f t="shared" si="2"/>
        <v>48334</v>
      </c>
      <c r="Y6" s="145">
        <f t="shared" si="2"/>
        <v>48518</v>
      </c>
      <c r="Z6" s="145">
        <f t="shared" si="2"/>
        <v>48699</v>
      </c>
      <c r="AA6" s="145">
        <f t="shared" si="2"/>
        <v>48883</v>
      </c>
      <c r="AB6" s="145">
        <f t="shared" si="2"/>
        <v>49064</v>
      </c>
      <c r="AC6" s="145">
        <f t="shared" si="2"/>
        <v>49248</v>
      </c>
      <c r="AD6" s="145">
        <f t="shared" si="2"/>
        <v>49429</v>
      </c>
      <c r="AE6" s="145">
        <f t="shared" si="2"/>
        <v>49613</v>
      </c>
      <c r="AF6" s="145">
        <f t="shared" si="2"/>
        <v>49795</v>
      </c>
      <c r="AG6" s="145">
        <f t="shared" si="2"/>
        <v>49979</v>
      </c>
      <c r="AH6" s="145">
        <f t="shared" si="2"/>
        <v>50160</v>
      </c>
      <c r="AI6" s="145">
        <f t="shared" si="2"/>
        <v>50344</v>
      </c>
      <c r="AJ6" s="145">
        <f t="shared" si="2"/>
        <v>50525</v>
      </c>
      <c r="AK6" s="145">
        <f t="shared" si="2"/>
        <v>50709</v>
      </c>
      <c r="AL6" s="145">
        <f t="shared" si="2"/>
        <v>50890</v>
      </c>
      <c r="AM6" s="145">
        <f t="shared" si="2"/>
        <v>51074</v>
      </c>
      <c r="AN6" s="145">
        <f t="shared" si="2"/>
        <v>51256</v>
      </c>
      <c r="AO6" s="145">
        <f t="shared" si="2"/>
        <v>51440</v>
      </c>
      <c r="AP6" s="145">
        <f t="shared" si="2"/>
        <v>51621</v>
      </c>
      <c r="AQ6" s="145">
        <f t="shared" si="2"/>
        <v>51805</v>
      </c>
      <c r="AR6" s="145">
        <f t="shared" si="2"/>
        <v>51986</v>
      </c>
      <c r="AS6" s="145">
        <f t="shared" si="2"/>
        <v>52170</v>
      </c>
      <c r="AT6" s="145">
        <f t="shared" si="2"/>
        <v>52351</v>
      </c>
      <c r="AU6" s="145">
        <f t="shared" si="2"/>
        <v>52535</v>
      </c>
      <c r="AV6" s="145">
        <f t="shared" si="2"/>
        <v>52717</v>
      </c>
      <c r="AW6" s="145">
        <f t="shared" si="2"/>
        <v>52901</v>
      </c>
      <c r="AX6" s="145">
        <f t="shared" si="2"/>
        <v>53082</v>
      </c>
      <c r="AY6" s="145">
        <f t="shared" si="2"/>
        <v>53266</v>
      </c>
      <c r="AZ6" s="145">
        <f t="shared" si="2"/>
        <v>53447</v>
      </c>
      <c r="BA6" s="145">
        <f t="shared" si="2"/>
        <v>53631</v>
      </c>
      <c r="BB6" s="145">
        <f t="shared" si="2"/>
        <v>53812</v>
      </c>
      <c r="BC6" s="145">
        <f t="shared" si="2"/>
        <v>53996</v>
      </c>
      <c r="BD6" s="145">
        <f t="shared" si="2"/>
        <v>54178</v>
      </c>
      <c r="BE6" s="145">
        <f t="shared" si="2"/>
        <v>54362</v>
      </c>
      <c r="BF6" s="145">
        <f t="shared" si="2"/>
        <v>54543</v>
      </c>
      <c r="BG6" s="145">
        <f t="shared" si="2"/>
        <v>54727</v>
      </c>
      <c r="BH6" s="145">
        <f t="shared" si="2"/>
        <v>54908</v>
      </c>
      <c r="BI6" s="145">
        <f t="shared" si="2"/>
        <v>55092</v>
      </c>
      <c r="BJ6" s="145">
        <f t="shared" si="2"/>
        <v>55273</v>
      </c>
      <c r="BK6" s="145">
        <f t="shared" si="2"/>
        <v>55457</v>
      </c>
      <c r="BL6" s="145">
        <f t="shared" si="2"/>
        <v>55639</v>
      </c>
      <c r="BM6" s="145">
        <f t="shared" si="2"/>
        <v>55823</v>
      </c>
      <c r="BN6" s="145">
        <f t="shared" si="2"/>
        <v>56004</v>
      </c>
      <c r="BO6" s="145">
        <f t="shared" si="2"/>
        <v>56188</v>
      </c>
      <c r="BP6" s="145">
        <f t="shared" si="2"/>
        <v>56369</v>
      </c>
      <c r="BQ6" s="145">
        <f t="shared" si="2"/>
        <v>56553</v>
      </c>
      <c r="BR6" s="145">
        <f t="shared" si="2"/>
        <v>56734</v>
      </c>
      <c r="BS6" s="145">
        <f t="shared" si="2"/>
        <v>56918</v>
      </c>
      <c r="BT6" s="145">
        <f t="shared" si="2"/>
        <v>57100</v>
      </c>
      <c r="BU6" s="145">
        <f t="shared" si="2"/>
        <v>57284</v>
      </c>
      <c r="BV6" s="145">
        <f t="shared" si="2"/>
        <v>57465</v>
      </c>
      <c r="BW6" s="145">
        <f t="shared" si="2"/>
        <v>57649</v>
      </c>
      <c r="BX6" s="145">
        <f t="shared" si="2"/>
        <v>57830</v>
      </c>
      <c r="BY6" s="145">
        <f t="shared" si="2"/>
        <v>58014</v>
      </c>
      <c r="BZ6" s="145">
        <f t="shared" si="2"/>
        <v>58195</v>
      </c>
      <c r="CA6" s="145">
        <f t="shared" si="2"/>
        <v>58379</v>
      </c>
      <c r="CB6" s="145">
        <f t="shared" ref="CB6:DW6" si="3">EOMONTH(CB5-1,6)</f>
        <v>58561</v>
      </c>
      <c r="CC6" s="145">
        <f t="shared" si="3"/>
        <v>58745</v>
      </c>
      <c r="CD6" s="145">
        <f t="shared" si="3"/>
        <v>58926</v>
      </c>
      <c r="CE6" s="145">
        <f t="shared" si="3"/>
        <v>59110</v>
      </c>
      <c r="CF6" s="145">
        <f t="shared" si="3"/>
        <v>59291</v>
      </c>
      <c r="CG6" s="145">
        <f t="shared" si="3"/>
        <v>59475</v>
      </c>
      <c r="CH6" s="145">
        <f t="shared" si="3"/>
        <v>59656</v>
      </c>
      <c r="CI6" s="145">
        <f t="shared" si="3"/>
        <v>59840</v>
      </c>
      <c r="CJ6" s="145">
        <f t="shared" si="3"/>
        <v>60022</v>
      </c>
      <c r="CK6" s="145">
        <f t="shared" si="3"/>
        <v>60206</v>
      </c>
      <c r="CL6" s="145">
        <f t="shared" si="3"/>
        <v>60387</v>
      </c>
      <c r="CM6" s="145">
        <f t="shared" si="3"/>
        <v>60571</v>
      </c>
      <c r="CN6" s="145">
        <f t="shared" si="3"/>
        <v>60752</v>
      </c>
      <c r="CO6" s="145">
        <f t="shared" si="3"/>
        <v>60936</v>
      </c>
      <c r="CP6" s="145">
        <f t="shared" si="3"/>
        <v>61117</v>
      </c>
      <c r="CQ6" s="145">
        <f t="shared" si="3"/>
        <v>61301</v>
      </c>
      <c r="CR6" s="145">
        <f t="shared" si="3"/>
        <v>61483</v>
      </c>
      <c r="CS6" s="145">
        <f t="shared" si="3"/>
        <v>61667</v>
      </c>
      <c r="CT6" s="145">
        <f t="shared" si="3"/>
        <v>61848</v>
      </c>
      <c r="CU6" s="145">
        <f t="shared" si="3"/>
        <v>62032</v>
      </c>
      <c r="CV6" s="145">
        <f t="shared" si="3"/>
        <v>62213</v>
      </c>
      <c r="CW6" s="145">
        <f t="shared" si="3"/>
        <v>62397</v>
      </c>
      <c r="CX6" s="145">
        <f t="shared" si="3"/>
        <v>62578</v>
      </c>
      <c r="CY6" s="145">
        <f t="shared" si="3"/>
        <v>62762</v>
      </c>
      <c r="CZ6" s="145">
        <f t="shared" si="3"/>
        <v>62944</v>
      </c>
      <c r="DA6" s="145">
        <f t="shared" si="3"/>
        <v>63128</v>
      </c>
      <c r="DB6" s="145">
        <f t="shared" si="3"/>
        <v>63309</v>
      </c>
      <c r="DC6" s="145">
        <f t="shared" si="3"/>
        <v>63493</v>
      </c>
      <c r="DD6" s="145">
        <f t="shared" si="3"/>
        <v>63674</v>
      </c>
      <c r="DE6" s="145">
        <f t="shared" si="3"/>
        <v>63858</v>
      </c>
      <c r="DF6" s="145">
        <f t="shared" si="3"/>
        <v>64039</v>
      </c>
      <c r="DG6" s="145">
        <f t="shared" si="3"/>
        <v>64223</v>
      </c>
      <c r="DH6" s="145">
        <f t="shared" si="3"/>
        <v>64405</v>
      </c>
      <c r="DI6" s="145">
        <f t="shared" si="3"/>
        <v>64589</v>
      </c>
      <c r="DJ6" s="145">
        <f t="shared" si="3"/>
        <v>64770</v>
      </c>
      <c r="DK6" s="145">
        <f t="shared" si="3"/>
        <v>64954</v>
      </c>
      <c r="DL6" s="145">
        <f t="shared" si="3"/>
        <v>65135</v>
      </c>
      <c r="DM6" s="145">
        <f t="shared" si="3"/>
        <v>65319</v>
      </c>
      <c r="DN6" s="145">
        <f t="shared" si="3"/>
        <v>65500</v>
      </c>
      <c r="DO6" s="145">
        <f t="shared" si="3"/>
        <v>65684</v>
      </c>
      <c r="DP6" s="145">
        <f t="shared" si="3"/>
        <v>65866</v>
      </c>
      <c r="DQ6" s="145">
        <f t="shared" si="3"/>
        <v>66050</v>
      </c>
      <c r="DR6" s="145">
        <f t="shared" si="3"/>
        <v>66231</v>
      </c>
      <c r="DS6" s="145">
        <f t="shared" si="3"/>
        <v>66415</v>
      </c>
      <c r="DT6" s="145">
        <f t="shared" si="3"/>
        <v>66596</v>
      </c>
      <c r="DU6" s="145">
        <f t="shared" si="3"/>
        <v>66780</v>
      </c>
      <c r="DV6" s="145">
        <f t="shared" si="3"/>
        <v>66961</v>
      </c>
      <c r="DW6" s="145">
        <f t="shared" si="3"/>
        <v>67145</v>
      </c>
      <c r="DX6" s="146"/>
      <c r="DY6" s="146"/>
      <c r="DZ6" s="146"/>
      <c r="EA6" s="146"/>
    </row>
    <row r="7" spans="1:131" ht="11.25" customHeight="1">
      <c r="B7" s="189" t="s">
        <v>155</v>
      </c>
      <c r="C7" s="148"/>
      <c r="D7" s="148"/>
      <c r="E7" s="148"/>
      <c r="F7" s="148"/>
      <c r="G7" s="148"/>
      <c r="H7" s="148"/>
      <c r="I7" s="209"/>
      <c r="J7" s="190"/>
      <c r="K7" s="148"/>
      <c r="M7" s="152">
        <f>Index!L10</f>
        <v>0</v>
      </c>
      <c r="N7" s="152">
        <f>M7+1</f>
        <v>1</v>
      </c>
      <c r="O7" s="152">
        <f>N7+1</f>
        <v>2</v>
      </c>
      <c r="P7" s="152">
        <f t="shared" ref="P7:CA7" si="4">O7+1</f>
        <v>3</v>
      </c>
      <c r="Q7" s="152">
        <f t="shared" si="4"/>
        <v>4</v>
      </c>
      <c r="R7" s="152">
        <f t="shared" si="4"/>
        <v>5</v>
      </c>
      <c r="S7" s="152">
        <f t="shared" si="4"/>
        <v>6</v>
      </c>
      <c r="T7" s="152">
        <f t="shared" si="4"/>
        <v>7</v>
      </c>
      <c r="U7" s="152">
        <f t="shared" si="4"/>
        <v>8</v>
      </c>
      <c r="V7" s="152">
        <f t="shared" si="4"/>
        <v>9</v>
      </c>
      <c r="W7" s="152">
        <f t="shared" si="4"/>
        <v>10</v>
      </c>
      <c r="X7" s="152">
        <f t="shared" si="4"/>
        <v>11</v>
      </c>
      <c r="Y7" s="152">
        <f t="shared" si="4"/>
        <v>12</v>
      </c>
      <c r="Z7" s="152">
        <f t="shared" si="4"/>
        <v>13</v>
      </c>
      <c r="AA7" s="152">
        <f t="shared" si="4"/>
        <v>14</v>
      </c>
      <c r="AB7" s="152">
        <f t="shared" si="4"/>
        <v>15</v>
      </c>
      <c r="AC7" s="152">
        <f t="shared" si="4"/>
        <v>16</v>
      </c>
      <c r="AD7" s="152">
        <f t="shared" si="4"/>
        <v>17</v>
      </c>
      <c r="AE7" s="152">
        <f t="shared" si="4"/>
        <v>18</v>
      </c>
      <c r="AF7" s="152">
        <f t="shared" si="4"/>
        <v>19</v>
      </c>
      <c r="AG7" s="152">
        <f t="shared" si="4"/>
        <v>20</v>
      </c>
      <c r="AH7" s="152">
        <f t="shared" si="4"/>
        <v>21</v>
      </c>
      <c r="AI7" s="152">
        <f t="shared" si="4"/>
        <v>22</v>
      </c>
      <c r="AJ7" s="152">
        <f t="shared" si="4"/>
        <v>23</v>
      </c>
      <c r="AK7" s="152">
        <f t="shared" si="4"/>
        <v>24</v>
      </c>
      <c r="AL7" s="152">
        <f t="shared" si="4"/>
        <v>25</v>
      </c>
      <c r="AM7" s="152">
        <f t="shared" si="4"/>
        <v>26</v>
      </c>
      <c r="AN7" s="152">
        <f t="shared" si="4"/>
        <v>27</v>
      </c>
      <c r="AO7" s="152">
        <f t="shared" si="4"/>
        <v>28</v>
      </c>
      <c r="AP7" s="152">
        <f t="shared" si="4"/>
        <v>29</v>
      </c>
      <c r="AQ7" s="152">
        <f t="shared" si="4"/>
        <v>30</v>
      </c>
      <c r="AR7" s="152">
        <f t="shared" si="4"/>
        <v>31</v>
      </c>
      <c r="AS7" s="152">
        <f t="shared" si="4"/>
        <v>32</v>
      </c>
      <c r="AT7" s="152">
        <f t="shared" si="4"/>
        <v>33</v>
      </c>
      <c r="AU7" s="152">
        <f t="shared" si="4"/>
        <v>34</v>
      </c>
      <c r="AV7" s="152">
        <f t="shared" si="4"/>
        <v>35</v>
      </c>
      <c r="AW7" s="152">
        <f t="shared" si="4"/>
        <v>36</v>
      </c>
      <c r="AX7" s="152">
        <f t="shared" si="4"/>
        <v>37</v>
      </c>
      <c r="AY7" s="152">
        <f t="shared" si="4"/>
        <v>38</v>
      </c>
      <c r="AZ7" s="152">
        <f t="shared" si="4"/>
        <v>39</v>
      </c>
      <c r="BA7" s="152">
        <f t="shared" si="4"/>
        <v>40</v>
      </c>
      <c r="BB7" s="152">
        <f t="shared" si="4"/>
        <v>41</v>
      </c>
      <c r="BC7" s="152">
        <f t="shared" si="4"/>
        <v>42</v>
      </c>
      <c r="BD7" s="152">
        <f t="shared" si="4"/>
        <v>43</v>
      </c>
      <c r="BE7" s="152">
        <f t="shared" si="4"/>
        <v>44</v>
      </c>
      <c r="BF7" s="152">
        <f t="shared" si="4"/>
        <v>45</v>
      </c>
      <c r="BG7" s="152">
        <f t="shared" si="4"/>
        <v>46</v>
      </c>
      <c r="BH7" s="152">
        <f t="shared" si="4"/>
        <v>47</v>
      </c>
      <c r="BI7" s="152">
        <f t="shared" si="4"/>
        <v>48</v>
      </c>
      <c r="BJ7" s="152">
        <f t="shared" si="4"/>
        <v>49</v>
      </c>
      <c r="BK7" s="152">
        <f t="shared" si="4"/>
        <v>50</v>
      </c>
      <c r="BL7" s="152">
        <f t="shared" si="4"/>
        <v>51</v>
      </c>
      <c r="BM7" s="152">
        <f t="shared" si="4"/>
        <v>52</v>
      </c>
      <c r="BN7" s="152">
        <f t="shared" si="4"/>
        <v>53</v>
      </c>
      <c r="BO7" s="152">
        <f t="shared" si="4"/>
        <v>54</v>
      </c>
      <c r="BP7" s="152">
        <f t="shared" si="4"/>
        <v>55</v>
      </c>
      <c r="BQ7" s="152">
        <f t="shared" si="4"/>
        <v>56</v>
      </c>
      <c r="BR7" s="152">
        <f t="shared" si="4"/>
        <v>57</v>
      </c>
      <c r="BS7" s="152">
        <f t="shared" si="4"/>
        <v>58</v>
      </c>
      <c r="BT7" s="152">
        <f t="shared" si="4"/>
        <v>59</v>
      </c>
      <c r="BU7" s="152">
        <f t="shared" si="4"/>
        <v>60</v>
      </c>
      <c r="BV7" s="152">
        <f t="shared" si="4"/>
        <v>61</v>
      </c>
      <c r="BW7" s="152">
        <f t="shared" si="4"/>
        <v>62</v>
      </c>
      <c r="BX7" s="152">
        <f t="shared" si="4"/>
        <v>63</v>
      </c>
      <c r="BY7" s="152">
        <f t="shared" si="4"/>
        <v>64</v>
      </c>
      <c r="BZ7" s="152">
        <f t="shared" si="4"/>
        <v>65</v>
      </c>
      <c r="CA7" s="152">
        <f t="shared" si="4"/>
        <v>66</v>
      </c>
      <c r="CB7" s="152">
        <f t="shared" ref="CB7:DW7" si="5">CA7+1</f>
        <v>67</v>
      </c>
      <c r="CC7" s="152">
        <f t="shared" si="5"/>
        <v>68</v>
      </c>
      <c r="CD7" s="152">
        <f t="shared" si="5"/>
        <v>69</v>
      </c>
      <c r="CE7" s="152">
        <f t="shared" si="5"/>
        <v>70</v>
      </c>
      <c r="CF7" s="152">
        <f t="shared" si="5"/>
        <v>71</v>
      </c>
      <c r="CG7" s="152">
        <f t="shared" si="5"/>
        <v>72</v>
      </c>
      <c r="CH7" s="152">
        <f t="shared" si="5"/>
        <v>73</v>
      </c>
      <c r="CI7" s="152">
        <f t="shared" si="5"/>
        <v>74</v>
      </c>
      <c r="CJ7" s="152">
        <f t="shared" si="5"/>
        <v>75</v>
      </c>
      <c r="CK7" s="152">
        <f t="shared" si="5"/>
        <v>76</v>
      </c>
      <c r="CL7" s="152">
        <f t="shared" si="5"/>
        <v>77</v>
      </c>
      <c r="CM7" s="152">
        <f t="shared" si="5"/>
        <v>78</v>
      </c>
      <c r="CN7" s="152">
        <f t="shared" si="5"/>
        <v>79</v>
      </c>
      <c r="CO7" s="152">
        <f t="shared" si="5"/>
        <v>80</v>
      </c>
      <c r="CP7" s="152">
        <f t="shared" si="5"/>
        <v>81</v>
      </c>
      <c r="CQ7" s="152">
        <f t="shared" si="5"/>
        <v>82</v>
      </c>
      <c r="CR7" s="152">
        <f t="shared" si="5"/>
        <v>83</v>
      </c>
      <c r="CS7" s="152">
        <f t="shared" si="5"/>
        <v>84</v>
      </c>
      <c r="CT7" s="152">
        <f t="shared" si="5"/>
        <v>85</v>
      </c>
      <c r="CU7" s="152">
        <f t="shared" si="5"/>
        <v>86</v>
      </c>
      <c r="CV7" s="152">
        <f t="shared" si="5"/>
        <v>87</v>
      </c>
      <c r="CW7" s="152">
        <f t="shared" si="5"/>
        <v>88</v>
      </c>
      <c r="CX7" s="152">
        <f t="shared" si="5"/>
        <v>89</v>
      </c>
      <c r="CY7" s="152">
        <f t="shared" si="5"/>
        <v>90</v>
      </c>
      <c r="CZ7" s="152">
        <f t="shared" si="5"/>
        <v>91</v>
      </c>
      <c r="DA7" s="152">
        <f t="shared" si="5"/>
        <v>92</v>
      </c>
      <c r="DB7" s="152">
        <f t="shared" si="5"/>
        <v>93</v>
      </c>
      <c r="DC7" s="152">
        <f t="shared" si="5"/>
        <v>94</v>
      </c>
      <c r="DD7" s="152">
        <f t="shared" si="5"/>
        <v>95</v>
      </c>
      <c r="DE7" s="152">
        <f t="shared" si="5"/>
        <v>96</v>
      </c>
      <c r="DF7" s="152">
        <f t="shared" si="5"/>
        <v>97</v>
      </c>
      <c r="DG7" s="152">
        <f t="shared" si="5"/>
        <v>98</v>
      </c>
      <c r="DH7" s="152">
        <f t="shared" si="5"/>
        <v>99</v>
      </c>
      <c r="DI7" s="152">
        <f t="shared" si="5"/>
        <v>100</v>
      </c>
      <c r="DJ7" s="152">
        <f t="shared" si="5"/>
        <v>101</v>
      </c>
      <c r="DK7" s="152">
        <f t="shared" si="5"/>
        <v>102</v>
      </c>
      <c r="DL7" s="152">
        <f t="shared" si="5"/>
        <v>103</v>
      </c>
      <c r="DM7" s="152">
        <f t="shared" si="5"/>
        <v>104</v>
      </c>
      <c r="DN7" s="152">
        <f t="shared" si="5"/>
        <v>105</v>
      </c>
      <c r="DO7" s="152">
        <f t="shared" si="5"/>
        <v>106</v>
      </c>
      <c r="DP7" s="152">
        <f t="shared" si="5"/>
        <v>107</v>
      </c>
      <c r="DQ7" s="152">
        <f t="shared" si="5"/>
        <v>108</v>
      </c>
      <c r="DR7" s="152">
        <f t="shared" si="5"/>
        <v>109</v>
      </c>
      <c r="DS7" s="152">
        <f t="shared" si="5"/>
        <v>110</v>
      </c>
      <c r="DT7" s="152">
        <f t="shared" si="5"/>
        <v>111</v>
      </c>
      <c r="DU7" s="152">
        <f t="shared" si="5"/>
        <v>112</v>
      </c>
      <c r="DV7" s="152">
        <f t="shared" si="5"/>
        <v>113</v>
      </c>
      <c r="DW7" s="152">
        <f t="shared" si="5"/>
        <v>114</v>
      </c>
    </row>
    <row r="9" spans="1:131" ht="11.25" customHeight="1">
      <c r="O9" s="5">
        <v>1</v>
      </c>
      <c r="Q9" s="5">
        <v>2</v>
      </c>
      <c r="S9" s="5">
        <v>3</v>
      </c>
      <c r="U9" s="5">
        <v>4</v>
      </c>
      <c r="W9" s="5">
        <v>5</v>
      </c>
      <c r="Y9" s="5">
        <v>6</v>
      </c>
      <c r="AA9" s="5">
        <v>7</v>
      </c>
      <c r="AC9" s="5">
        <v>8</v>
      </c>
      <c r="AE9" s="5">
        <v>9</v>
      </c>
      <c r="AG9" s="5">
        <v>10</v>
      </c>
    </row>
    <row r="10" spans="1:131" ht="11.25" customHeight="1">
      <c r="B10" s="155" t="s">
        <v>458</v>
      </c>
      <c r="C10" s="155"/>
      <c r="D10" s="155"/>
      <c r="E10" s="155"/>
      <c r="F10" s="155"/>
      <c r="G10" s="155"/>
      <c r="H10" s="155"/>
      <c r="I10" s="191"/>
      <c r="J10" s="192"/>
      <c r="K10" s="156" t="s">
        <v>59</v>
      </c>
      <c r="M10" s="210">
        <f>M6</f>
        <v>46326</v>
      </c>
      <c r="N10" s="210">
        <f t="shared" ref="N10:BY10" si="6">N6</f>
        <v>46507</v>
      </c>
      <c r="O10" s="210">
        <f t="shared" si="6"/>
        <v>46691</v>
      </c>
      <c r="P10" s="210">
        <f t="shared" si="6"/>
        <v>46873</v>
      </c>
      <c r="Q10" s="210">
        <f t="shared" si="6"/>
        <v>47057</v>
      </c>
      <c r="R10" s="210">
        <f t="shared" si="6"/>
        <v>47238</v>
      </c>
      <c r="S10" s="210">
        <f t="shared" si="6"/>
        <v>47422</v>
      </c>
      <c r="T10" s="210">
        <f t="shared" si="6"/>
        <v>47603</v>
      </c>
      <c r="U10" s="210">
        <f t="shared" si="6"/>
        <v>47787</v>
      </c>
      <c r="V10" s="210">
        <f t="shared" si="6"/>
        <v>47968</v>
      </c>
      <c r="W10" s="210">
        <f t="shared" si="6"/>
        <v>48152</v>
      </c>
      <c r="X10" s="210">
        <f t="shared" si="6"/>
        <v>48334</v>
      </c>
      <c r="Y10" s="210">
        <f t="shared" si="6"/>
        <v>48518</v>
      </c>
      <c r="Z10" s="210">
        <f t="shared" si="6"/>
        <v>48699</v>
      </c>
      <c r="AA10" s="210">
        <f t="shared" si="6"/>
        <v>48883</v>
      </c>
      <c r="AB10" s="210">
        <f t="shared" si="6"/>
        <v>49064</v>
      </c>
      <c r="AC10" s="210">
        <f t="shared" si="6"/>
        <v>49248</v>
      </c>
      <c r="AD10" s="210">
        <f t="shared" si="6"/>
        <v>49429</v>
      </c>
      <c r="AE10" s="210">
        <f t="shared" si="6"/>
        <v>49613</v>
      </c>
      <c r="AF10" s="210">
        <f t="shared" si="6"/>
        <v>49795</v>
      </c>
      <c r="AG10" s="210">
        <f t="shared" si="6"/>
        <v>49979</v>
      </c>
      <c r="AH10" s="210">
        <f t="shared" si="6"/>
        <v>50160</v>
      </c>
      <c r="AI10" s="210">
        <f t="shared" si="6"/>
        <v>50344</v>
      </c>
      <c r="AJ10" s="210">
        <f t="shared" si="6"/>
        <v>50525</v>
      </c>
      <c r="AK10" s="210">
        <f t="shared" si="6"/>
        <v>50709</v>
      </c>
      <c r="AL10" s="210">
        <f t="shared" si="6"/>
        <v>50890</v>
      </c>
      <c r="AM10" s="210">
        <f t="shared" si="6"/>
        <v>51074</v>
      </c>
      <c r="AN10" s="210">
        <f t="shared" si="6"/>
        <v>51256</v>
      </c>
      <c r="AO10" s="210">
        <f t="shared" si="6"/>
        <v>51440</v>
      </c>
      <c r="AP10" s="210">
        <f t="shared" si="6"/>
        <v>51621</v>
      </c>
      <c r="AQ10" s="210">
        <f t="shared" si="6"/>
        <v>51805</v>
      </c>
      <c r="AR10" s="210">
        <f t="shared" si="6"/>
        <v>51986</v>
      </c>
      <c r="AS10" s="210">
        <f t="shared" si="6"/>
        <v>52170</v>
      </c>
      <c r="AT10" s="210">
        <f t="shared" si="6"/>
        <v>52351</v>
      </c>
      <c r="AU10" s="210">
        <f t="shared" si="6"/>
        <v>52535</v>
      </c>
      <c r="AV10" s="210">
        <f t="shared" si="6"/>
        <v>52717</v>
      </c>
      <c r="AW10" s="210">
        <f t="shared" si="6"/>
        <v>52901</v>
      </c>
      <c r="AX10" s="210">
        <f t="shared" si="6"/>
        <v>53082</v>
      </c>
      <c r="AY10" s="210">
        <f t="shared" si="6"/>
        <v>53266</v>
      </c>
      <c r="AZ10" s="210">
        <f t="shared" si="6"/>
        <v>53447</v>
      </c>
      <c r="BA10" s="210">
        <f t="shared" si="6"/>
        <v>53631</v>
      </c>
      <c r="BB10" s="210">
        <f t="shared" si="6"/>
        <v>53812</v>
      </c>
      <c r="BC10" s="210">
        <f t="shared" si="6"/>
        <v>53996</v>
      </c>
      <c r="BD10" s="210">
        <f t="shared" si="6"/>
        <v>54178</v>
      </c>
      <c r="BE10" s="210">
        <f t="shared" si="6"/>
        <v>54362</v>
      </c>
      <c r="BF10" s="210">
        <f t="shared" si="6"/>
        <v>54543</v>
      </c>
      <c r="BG10" s="210">
        <f t="shared" si="6"/>
        <v>54727</v>
      </c>
      <c r="BH10" s="210">
        <f t="shared" si="6"/>
        <v>54908</v>
      </c>
      <c r="BI10" s="210">
        <f t="shared" si="6"/>
        <v>55092</v>
      </c>
      <c r="BJ10" s="210">
        <f t="shared" si="6"/>
        <v>55273</v>
      </c>
      <c r="BK10" s="210">
        <f t="shared" si="6"/>
        <v>55457</v>
      </c>
      <c r="BL10" s="210">
        <f t="shared" si="6"/>
        <v>55639</v>
      </c>
      <c r="BM10" s="210">
        <f t="shared" si="6"/>
        <v>55823</v>
      </c>
      <c r="BN10" s="210">
        <f t="shared" si="6"/>
        <v>56004</v>
      </c>
      <c r="BO10" s="210">
        <f t="shared" si="6"/>
        <v>56188</v>
      </c>
      <c r="BP10" s="210">
        <f t="shared" si="6"/>
        <v>56369</v>
      </c>
      <c r="BQ10" s="210">
        <f t="shared" si="6"/>
        <v>56553</v>
      </c>
      <c r="BR10" s="210">
        <f t="shared" si="6"/>
        <v>56734</v>
      </c>
      <c r="BS10" s="210">
        <f t="shared" si="6"/>
        <v>56918</v>
      </c>
      <c r="BT10" s="210">
        <f t="shared" si="6"/>
        <v>57100</v>
      </c>
      <c r="BU10" s="210">
        <f t="shared" si="6"/>
        <v>57284</v>
      </c>
      <c r="BV10" s="210">
        <f t="shared" si="6"/>
        <v>57465</v>
      </c>
      <c r="BW10" s="210">
        <f t="shared" si="6"/>
        <v>57649</v>
      </c>
      <c r="BX10" s="210">
        <f t="shared" si="6"/>
        <v>57830</v>
      </c>
      <c r="BY10" s="210">
        <f t="shared" si="6"/>
        <v>58014</v>
      </c>
      <c r="BZ10" s="210">
        <f t="shared" ref="BZ10:DW10" si="7">BZ6</f>
        <v>58195</v>
      </c>
      <c r="CA10" s="210">
        <f t="shared" si="7"/>
        <v>58379</v>
      </c>
      <c r="CB10" s="210">
        <f t="shared" si="7"/>
        <v>58561</v>
      </c>
      <c r="CC10" s="210">
        <f t="shared" si="7"/>
        <v>58745</v>
      </c>
      <c r="CD10" s="210">
        <f t="shared" si="7"/>
        <v>58926</v>
      </c>
      <c r="CE10" s="210">
        <f t="shared" si="7"/>
        <v>59110</v>
      </c>
      <c r="CF10" s="210">
        <f t="shared" si="7"/>
        <v>59291</v>
      </c>
      <c r="CG10" s="210">
        <f t="shared" si="7"/>
        <v>59475</v>
      </c>
      <c r="CH10" s="210">
        <f t="shared" si="7"/>
        <v>59656</v>
      </c>
      <c r="CI10" s="210">
        <f t="shared" si="7"/>
        <v>59840</v>
      </c>
      <c r="CJ10" s="210">
        <f t="shared" si="7"/>
        <v>60022</v>
      </c>
      <c r="CK10" s="210">
        <f t="shared" si="7"/>
        <v>60206</v>
      </c>
      <c r="CL10" s="210">
        <f t="shared" si="7"/>
        <v>60387</v>
      </c>
      <c r="CM10" s="210">
        <f t="shared" si="7"/>
        <v>60571</v>
      </c>
      <c r="CN10" s="210">
        <f t="shared" si="7"/>
        <v>60752</v>
      </c>
      <c r="CO10" s="210">
        <f t="shared" si="7"/>
        <v>60936</v>
      </c>
      <c r="CP10" s="210">
        <f t="shared" si="7"/>
        <v>61117</v>
      </c>
      <c r="CQ10" s="210">
        <f t="shared" si="7"/>
        <v>61301</v>
      </c>
      <c r="CR10" s="210">
        <f t="shared" si="7"/>
        <v>61483</v>
      </c>
      <c r="CS10" s="210">
        <f t="shared" si="7"/>
        <v>61667</v>
      </c>
      <c r="CT10" s="210">
        <f t="shared" si="7"/>
        <v>61848</v>
      </c>
      <c r="CU10" s="210">
        <f t="shared" si="7"/>
        <v>62032</v>
      </c>
      <c r="CV10" s="210">
        <f t="shared" si="7"/>
        <v>62213</v>
      </c>
      <c r="CW10" s="210">
        <f t="shared" si="7"/>
        <v>62397</v>
      </c>
      <c r="CX10" s="210">
        <f t="shared" si="7"/>
        <v>62578</v>
      </c>
      <c r="CY10" s="210">
        <f t="shared" si="7"/>
        <v>62762</v>
      </c>
      <c r="CZ10" s="210">
        <f t="shared" si="7"/>
        <v>62944</v>
      </c>
      <c r="DA10" s="210">
        <f t="shared" si="7"/>
        <v>63128</v>
      </c>
      <c r="DB10" s="210">
        <f t="shared" si="7"/>
        <v>63309</v>
      </c>
      <c r="DC10" s="210">
        <f t="shared" si="7"/>
        <v>63493</v>
      </c>
      <c r="DD10" s="210">
        <f t="shared" si="7"/>
        <v>63674</v>
      </c>
      <c r="DE10" s="210">
        <f t="shared" si="7"/>
        <v>63858</v>
      </c>
      <c r="DF10" s="210">
        <f t="shared" si="7"/>
        <v>64039</v>
      </c>
      <c r="DG10" s="210">
        <f t="shared" si="7"/>
        <v>64223</v>
      </c>
      <c r="DH10" s="210">
        <f t="shared" si="7"/>
        <v>64405</v>
      </c>
      <c r="DI10" s="210">
        <f t="shared" si="7"/>
        <v>64589</v>
      </c>
      <c r="DJ10" s="210">
        <f t="shared" si="7"/>
        <v>64770</v>
      </c>
      <c r="DK10" s="210">
        <f t="shared" si="7"/>
        <v>64954</v>
      </c>
      <c r="DL10" s="210">
        <f t="shared" si="7"/>
        <v>65135</v>
      </c>
      <c r="DM10" s="210">
        <f t="shared" si="7"/>
        <v>65319</v>
      </c>
      <c r="DN10" s="210">
        <f t="shared" si="7"/>
        <v>65500</v>
      </c>
      <c r="DO10" s="210">
        <f t="shared" si="7"/>
        <v>65684</v>
      </c>
      <c r="DP10" s="210">
        <f t="shared" si="7"/>
        <v>65866</v>
      </c>
      <c r="DQ10" s="210">
        <f t="shared" si="7"/>
        <v>66050</v>
      </c>
      <c r="DR10" s="210">
        <f t="shared" si="7"/>
        <v>66231</v>
      </c>
      <c r="DS10" s="210">
        <f t="shared" si="7"/>
        <v>66415</v>
      </c>
      <c r="DT10" s="210">
        <f t="shared" si="7"/>
        <v>66596</v>
      </c>
      <c r="DU10" s="210">
        <f t="shared" si="7"/>
        <v>66780</v>
      </c>
      <c r="DV10" s="210">
        <f t="shared" si="7"/>
        <v>66961</v>
      </c>
      <c r="DW10" s="210">
        <f t="shared" si="7"/>
        <v>67145</v>
      </c>
    </row>
    <row r="11" spans="1:131" ht="11.25" customHeight="1">
      <c r="B11" s="211" t="s">
        <v>484</v>
      </c>
      <c r="C11" s="212"/>
      <c r="D11" s="212"/>
      <c r="E11" s="212"/>
      <c r="F11" s="212"/>
      <c r="G11" s="212"/>
      <c r="H11" s="212"/>
      <c r="I11" s="213"/>
      <c r="J11" s="696"/>
      <c r="K11" s="215">
        <f>K12-K16-K18</f>
        <v>107931006.17586076</v>
      </c>
      <c r="M11" s="235">
        <f>M12-M16-M18</f>
        <v>0</v>
      </c>
      <c r="N11" s="235">
        <f t="shared" ref="N11:BY11" si="8">N12-N16-N18</f>
        <v>4233883.5855148695</v>
      </c>
      <c r="O11" s="235">
        <f t="shared" si="8"/>
        <v>4653212.5553606525</v>
      </c>
      <c r="P11" s="235">
        <f t="shared" si="8"/>
        <v>4411465.2775758747</v>
      </c>
      <c r="Q11" s="235">
        <f t="shared" si="8"/>
        <v>4830132.2674177997</v>
      </c>
      <c r="R11" s="235">
        <f t="shared" si="8"/>
        <v>4923624.0732215708</v>
      </c>
      <c r="S11" s="235">
        <f t="shared" si="8"/>
        <v>-69582.275420671795</v>
      </c>
      <c r="T11" s="235">
        <f t="shared" si="8"/>
        <v>5357874.4304889943</v>
      </c>
      <c r="U11" s="235">
        <f t="shared" si="8"/>
        <v>5633098.73989686</v>
      </c>
      <c r="V11" s="235">
        <f t="shared" si="8"/>
        <v>5621491.7526325611</v>
      </c>
      <c r="W11" s="235">
        <f t="shared" si="8"/>
        <v>5850002.283225893</v>
      </c>
      <c r="X11" s="235">
        <f t="shared" si="8"/>
        <v>5837168.2459248044</v>
      </c>
      <c r="Y11" s="235">
        <f t="shared" si="8"/>
        <v>6071391.5397829693</v>
      </c>
      <c r="Z11" s="235">
        <f t="shared" si="8"/>
        <v>6057881.5160240447</v>
      </c>
      <c r="AA11" s="235">
        <f t="shared" si="8"/>
        <v>6297960.3922286658</v>
      </c>
      <c r="AB11" s="235">
        <f t="shared" si="8"/>
        <v>6283766.5758641781</v>
      </c>
      <c r="AC11" s="235">
        <f t="shared" si="8"/>
        <v>5631359.1972966129</v>
      </c>
      <c r="AD11" s="235">
        <f t="shared" si="8"/>
        <v>6327704.4855807275</v>
      </c>
      <c r="AE11" s="235">
        <f t="shared" si="8"/>
        <v>6543032.8884551078</v>
      </c>
      <c r="AF11" s="235">
        <f t="shared" si="8"/>
        <v>6654509.4526719544</v>
      </c>
      <c r="AG11" s="235">
        <f t="shared" si="8"/>
        <v>6781029.1921172868</v>
      </c>
      <c r="AH11" s="235">
        <f t="shared" si="8"/>
        <v>0</v>
      </c>
      <c r="AI11" s="235">
        <f t="shared" si="8"/>
        <v>0</v>
      </c>
      <c r="AJ11" s="235">
        <f t="shared" si="8"/>
        <v>0</v>
      </c>
      <c r="AK11" s="235">
        <f t="shared" si="8"/>
        <v>0</v>
      </c>
      <c r="AL11" s="235">
        <f t="shared" si="8"/>
        <v>0</v>
      </c>
      <c r="AM11" s="235">
        <f t="shared" si="8"/>
        <v>0</v>
      </c>
      <c r="AN11" s="235">
        <f t="shared" si="8"/>
        <v>0</v>
      </c>
      <c r="AO11" s="235">
        <f t="shared" si="8"/>
        <v>0</v>
      </c>
      <c r="AP11" s="235">
        <f t="shared" si="8"/>
        <v>0</v>
      </c>
      <c r="AQ11" s="235">
        <f t="shared" si="8"/>
        <v>0</v>
      </c>
      <c r="AR11" s="235">
        <f t="shared" si="8"/>
        <v>0</v>
      </c>
      <c r="AS11" s="235">
        <f t="shared" si="8"/>
        <v>0</v>
      </c>
      <c r="AT11" s="235">
        <f t="shared" si="8"/>
        <v>0</v>
      </c>
      <c r="AU11" s="235">
        <f t="shared" si="8"/>
        <v>0</v>
      </c>
      <c r="AV11" s="235">
        <f t="shared" si="8"/>
        <v>0</v>
      </c>
      <c r="AW11" s="235">
        <f t="shared" si="8"/>
        <v>0</v>
      </c>
      <c r="AX11" s="235">
        <f t="shared" si="8"/>
        <v>0</v>
      </c>
      <c r="AY11" s="235">
        <f t="shared" si="8"/>
        <v>0</v>
      </c>
      <c r="AZ11" s="235">
        <f t="shared" si="8"/>
        <v>0</v>
      </c>
      <c r="BA11" s="235">
        <f t="shared" si="8"/>
        <v>0</v>
      </c>
      <c r="BB11" s="235">
        <f t="shared" si="8"/>
        <v>0</v>
      </c>
      <c r="BC11" s="235">
        <f t="shared" si="8"/>
        <v>0</v>
      </c>
      <c r="BD11" s="235">
        <f t="shared" si="8"/>
        <v>0</v>
      </c>
      <c r="BE11" s="235">
        <f t="shared" si="8"/>
        <v>0</v>
      </c>
      <c r="BF11" s="235">
        <f t="shared" si="8"/>
        <v>0</v>
      </c>
      <c r="BG11" s="235">
        <f t="shared" si="8"/>
        <v>0</v>
      </c>
      <c r="BH11" s="235">
        <f t="shared" si="8"/>
        <v>0</v>
      </c>
      <c r="BI11" s="235">
        <f t="shared" si="8"/>
        <v>0</v>
      </c>
      <c r="BJ11" s="235">
        <f t="shared" si="8"/>
        <v>0</v>
      </c>
      <c r="BK11" s="235">
        <f t="shared" si="8"/>
        <v>0</v>
      </c>
      <c r="BL11" s="235">
        <f t="shared" si="8"/>
        <v>0</v>
      </c>
      <c r="BM11" s="235">
        <f t="shared" si="8"/>
        <v>0</v>
      </c>
      <c r="BN11" s="235">
        <f t="shared" si="8"/>
        <v>0</v>
      </c>
      <c r="BO11" s="235">
        <f t="shared" si="8"/>
        <v>0</v>
      </c>
      <c r="BP11" s="235">
        <f t="shared" si="8"/>
        <v>0</v>
      </c>
      <c r="BQ11" s="235">
        <f t="shared" si="8"/>
        <v>0</v>
      </c>
      <c r="BR11" s="235">
        <f t="shared" si="8"/>
        <v>0</v>
      </c>
      <c r="BS11" s="235">
        <f t="shared" si="8"/>
        <v>0</v>
      </c>
      <c r="BT11" s="235">
        <f t="shared" si="8"/>
        <v>0</v>
      </c>
      <c r="BU11" s="235">
        <f t="shared" si="8"/>
        <v>0</v>
      </c>
      <c r="BV11" s="235">
        <f t="shared" si="8"/>
        <v>0</v>
      </c>
      <c r="BW11" s="235">
        <f t="shared" si="8"/>
        <v>0</v>
      </c>
      <c r="BX11" s="235">
        <f t="shared" si="8"/>
        <v>0</v>
      </c>
      <c r="BY11" s="235">
        <f t="shared" si="8"/>
        <v>0</v>
      </c>
      <c r="BZ11" s="235">
        <f t="shared" ref="BZ11:DW11" si="9">BZ12-BZ16-BZ18</f>
        <v>0</v>
      </c>
      <c r="CA11" s="235">
        <f t="shared" si="9"/>
        <v>0</v>
      </c>
      <c r="CB11" s="235">
        <f t="shared" si="9"/>
        <v>0</v>
      </c>
      <c r="CC11" s="235">
        <f t="shared" si="9"/>
        <v>0</v>
      </c>
      <c r="CD11" s="235">
        <f t="shared" si="9"/>
        <v>0</v>
      </c>
      <c r="CE11" s="235">
        <f t="shared" si="9"/>
        <v>0</v>
      </c>
      <c r="CF11" s="235">
        <f t="shared" si="9"/>
        <v>0</v>
      </c>
      <c r="CG11" s="235">
        <f t="shared" si="9"/>
        <v>0</v>
      </c>
      <c r="CH11" s="235">
        <f t="shared" si="9"/>
        <v>0</v>
      </c>
      <c r="CI11" s="235">
        <f t="shared" si="9"/>
        <v>0</v>
      </c>
      <c r="CJ11" s="235">
        <f t="shared" si="9"/>
        <v>0</v>
      </c>
      <c r="CK11" s="235">
        <f t="shared" si="9"/>
        <v>0</v>
      </c>
      <c r="CL11" s="235">
        <f t="shared" si="9"/>
        <v>0</v>
      </c>
      <c r="CM11" s="235">
        <f t="shared" si="9"/>
        <v>0</v>
      </c>
      <c r="CN11" s="235">
        <f t="shared" si="9"/>
        <v>0</v>
      </c>
      <c r="CO11" s="235">
        <f t="shared" si="9"/>
        <v>0</v>
      </c>
      <c r="CP11" s="235">
        <f t="shared" si="9"/>
        <v>0</v>
      </c>
      <c r="CQ11" s="235">
        <f t="shared" si="9"/>
        <v>0</v>
      </c>
      <c r="CR11" s="235">
        <f t="shared" si="9"/>
        <v>0</v>
      </c>
      <c r="CS11" s="235">
        <f t="shared" si="9"/>
        <v>0</v>
      </c>
      <c r="CT11" s="235">
        <f t="shared" si="9"/>
        <v>0</v>
      </c>
      <c r="CU11" s="235">
        <f t="shared" si="9"/>
        <v>0</v>
      </c>
      <c r="CV11" s="235">
        <f t="shared" si="9"/>
        <v>0</v>
      </c>
      <c r="CW11" s="235">
        <f t="shared" si="9"/>
        <v>0</v>
      </c>
      <c r="CX11" s="235">
        <f t="shared" si="9"/>
        <v>0</v>
      </c>
      <c r="CY11" s="235">
        <f t="shared" si="9"/>
        <v>0</v>
      </c>
      <c r="CZ11" s="235">
        <f t="shared" si="9"/>
        <v>0</v>
      </c>
      <c r="DA11" s="235">
        <f t="shared" si="9"/>
        <v>0</v>
      </c>
      <c r="DB11" s="235">
        <f t="shared" si="9"/>
        <v>0</v>
      </c>
      <c r="DC11" s="235">
        <f t="shared" si="9"/>
        <v>0</v>
      </c>
      <c r="DD11" s="235">
        <f t="shared" si="9"/>
        <v>0</v>
      </c>
      <c r="DE11" s="235">
        <f t="shared" si="9"/>
        <v>0</v>
      </c>
      <c r="DF11" s="235">
        <f t="shared" si="9"/>
        <v>0</v>
      </c>
      <c r="DG11" s="235">
        <f t="shared" si="9"/>
        <v>0</v>
      </c>
      <c r="DH11" s="235">
        <f t="shared" si="9"/>
        <v>0</v>
      </c>
      <c r="DI11" s="235">
        <f t="shared" si="9"/>
        <v>0</v>
      </c>
      <c r="DJ11" s="235">
        <f t="shared" si="9"/>
        <v>0</v>
      </c>
      <c r="DK11" s="235">
        <f t="shared" si="9"/>
        <v>0</v>
      </c>
      <c r="DL11" s="235">
        <f t="shared" si="9"/>
        <v>0</v>
      </c>
      <c r="DM11" s="235">
        <f t="shared" si="9"/>
        <v>0</v>
      </c>
      <c r="DN11" s="235">
        <f t="shared" si="9"/>
        <v>0</v>
      </c>
      <c r="DO11" s="235">
        <f t="shared" si="9"/>
        <v>0</v>
      </c>
      <c r="DP11" s="235">
        <f t="shared" si="9"/>
        <v>0</v>
      </c>
      <c r="DQ11" s="235">
        <f t="shared" si="9"/>
        <v>0</v>
      </c>
      <c r="DR11" s="235">
        <f t="shared" si="9"/>
        <v>0</v>
      </c>
      <c r="DS11" s="235">
        <f t="shared" si="9"/>
        <v>0</v>
      </c>
      <c r="DT11" s="235">
        <f t="shared" si="9"/>
        <v>0</v>
      </c>
      <c r="DU11" s="235">
        <f t="shared" si="9"/>
        <v>0</v>
      </c>
      <c r="DV11" s="235">
        <f t="shared" si="9"/>
        <v>0</v>
      </c>
      <c r="DW11" s="235">
        <f t="shared" si="9"/>
        <v>0</v>
      </c>
    </row>
    <row r="12" spans="1:131" ht="11.25" customHeight="1">
      <c r="B12" s="218"/>
      <c r="C12" s="158" t="s">
        <v>459</v>
      </c>
      <c r="D12" s="159"/>
      <c r="E12" s="159"/>
      <c r="F12" s="159"/>
      <c r="G12" s="159"/>
      <c r="H12" s="159"/>
      <c r="I12" s="160"/>
      <c r="J12" s="219"/>
      <c r="K12" s="220">
        <f>SUM(K13:K15)</f>
        <v>173411614.93373635</v>
      </c>
      <c r="L12" s="98"/>
      <c r="M12" s="162">
        <f t="shared" ref="M12:BX12" si="10">SUM(M13:M15)</f>
        <v>0</v>
      </c>
      <c r="N12" s="162">
        <f t="shared" si="10"/>
        <v>7464322.3097152803</v>
      </c>
      <c r="O12" s="162">
        <f t="shared" si="10"/>
        <v>7872777.9095610632</v>
      </c>
      <c r="P12" s="162">
        <f t="shared" si="10"/>
        <v>7632096.2092718622</v>
      </c>
      <c r="Q12" s="162">
        <f t="shared" si="10"/>
        <v>8050763.1991137872</v>
      </c>
      <c r="R12" s="162">
        <f t="shared" si="10"/>
        <v>8145740.0338257952</v>
      </c>
      <c r="S12" s="162">
        <f t="shared" si="10"/>
        <v>3220932.0777057218</v>
      </c>
      <c r="T12" s="162">
        <f t="shared" si="10"/>
        <v>8625092.6779498588</v>
      </c>
      <c r="U12" s="162">
        <f t="shared" si="10"/>
        <v>8857678.6013201401</v>
      </c>
      <c r="V12" s="162">
        <f t="shared" si="10"/>
        <v>8847839.7435735092</v>
      </c>
      <c r="W12" s="162">
        <f t="shared" si="10"/>
        <v>9076350.2741668411</v>
      </c>
      <c r="X12" s="162">
        <f t="shared" si="10"/>
        <v>9066265.4449765477</v>
      </c>
      <c r="Y12" s="162">
        <f t="shared" si="10"/>
        <v>9300488.7388347127</v>
      </c>
      <c r="Z12" s="162">
        <f t="shared" si="10"/>
        <v>9290151.78891466</v>
      </c>
      <c r="AA12" s="162">
        <f t="shared" si="10"/>
        <v>9530230.665119281</v>
      </c>
      <c r="AB12" s="162">
        <f t="shared" si="10"/>
        <v>9519635.2914512269</v>
      </c>
      <c r="AC12" s="162">
        <f t="shared" si="10"/>
        <v>9544766.1863158066</v>
      </c>
      <c r="AD12" s="162">
        <f t="shared" si="10"/>
        <v>9658689.0515864585</v>
      </c>
      <c r="AE12" s="162">
        <f t="shared" si="10"/>
        <v>9783559.0341481045</v>
      </c>
      <c r="AF12" s="162">
        <f t="shared" si="10"/>
        <v>9898857.9783701729</v>
      </c>
      <c r="AG12" s="162">
        <f t="shared" si="10"/>
        <v>10025377.717815505</v>
      </c>
      <c r="AH12" s="162">
        <f t="shared" si="10"/>
        <v>0</v>
      </c>
      <c r="AI12" s="162">
        <f t="shared" si="10"/>
        <v>0</v>
      </c>
      <c r="AJ12" s="162">
        <f t="shared" si="10"/>
        <v>0</v>
      </c>
      <c r="AK12" s="162">
        <f t="shared" si="10"/>
        <v>0</v>
      </c>
      <c r="AL12" s="162">
        <f t="shared" si="10"/>
        <v>0</v>
      </c>
      <c r="AM12" s="162">
        <f t="shared" si="10"/>
        <v>0</v>
      </c>
      <c r="AN12" s="162">
        <f t="shared" si="10"/>
        <v>0</v>
      </c>
      <c r="AO12" s="162">
        <f t="shared" si="10"/>
        <v>0</v>
      </c>
      <c r="AP12" s="162">
        <f t="shared" si="10"/>
        <v>0</v>
      </c>
      <c r="AQ12" s="162">
        <f t="shared" si="10"/>
        <v>0</v>
      </c>
      <c r="AR12" s="162">
        <f t="shared" si="10"/>
        <v>0</v>
      </c>
      <c r="AS12" s="162">
        <f t="shared" si="10"/>
        <v>0</v>
      </c>
      <c r="AT12" s="162">
        <f t="shared" si="10"/>
        <v>0</v>
      </c>
      <c r="AU12" s="162">
        <f t="shared" si="10"/>
        <v>0</v>
      </c>
      <c r="AV12" s="162">
        <f t="shared" si="10"/>
        <v>0</v>
      </c>
      <c r="AW12" s="162">
        <f t="shared" si="10"/>
        <v>0</v>
      </c>
      <c r="AX12" s="162">
        <f t="shared" si="10"/>
        <v>0</v>
      </c>
      <c r="AY12" s="162">
        <f t="shared" si="10"/>
        <v>0</v>
      </c>
      <c r="AZ12" s="162">
        <f t="shared" si="10"/>
        <v>0</v>
      </c>
      <c r="BA12" s="162">
        <f t="shared" si="10"/>
        <v>0</v>
      </c>
      <c r="BB12" s="162">
        <f t="shared" si="10"/>
        <v>0</v>
      </c>
      <c r="BC12" s="162">
        <f t="shared" si="10"/>
        <v>0</v>
      </c>
      <c r="BD12" s="162">
        <f t="shared" si="10"/>
        <v>0</v>
      </c>
      <c r="BE12" s="162">
        <f t="shared" si="10"/>
        <v>0</v>
      </c>
      <c r="BF12" s="162">
        <f t="shared" si="10"/>
        <v>0</v>
      </c>
      <c r="BG12" s="162">
        <f t="shared" si="10"/>
        <v>0</v>
      </c>
      <c r="BH12" s="162">
        <f t="shared" si="10"/>
        <v>0</v>
      </c>
      <c r="BI12" s="162">
        <f t="shared" si="10"/>
        <v>0</v>
      </c>
      <c r="BJ12" s="162">
        <f t="shared" si="10"/>
        <v>0</v>
      </c>
      <c r="BK12" s="162">
        <f t="shared" si="10"/>
        <v>0</v>
      </c>
      <c r="BL12" s="162">
        <f t="shared" si="10"/>
        <v>0</v>
      </c>
      <c r="BM12" s="162">
        <f t="shared" si="10"/>
        <v>0</v>
      </c>
      <c r="BN12" s="162">
        <f t="shared" si="10"/>
        <v>0</v>
      </c>
      <c r="BO12" s="162">
        <f t="shared" si="10"/>
        <v>0</v>
      </c>
      <c r="BP12" s="162">
        <f t="shared" si="10"/>
        <v>0</v>
      </c>
      <c r="BQ12" s="162">
        <f t="shared" si="10"/>
        <v>0</v>
      </c>
      <c r="BR12" s="162">
        <f t="shared" si="10"/>
        <v>0</v>
      </c>
      <c r="BS12" s="162">
        <f t="shared" si="10"/>
        <v>0</v>
      </c>
      <c r="BT12" s="162">
        <f t="shared" si="10"/>
        <v>0</v>
      </c>
      <c r="BU12" s="162">
        <f t="shared" si="10"/>
        <v>0</v>
      </c>
      <c r="BV12" s="162">
        <f t="shared" si="10"/>
        <v>0</v>
      </c>
      <c r="BW12" s="162">
        <f t="shared" si="10"/>
        <v>0</v>
      </c>
      <c r="BX12" s="162">
        <f t="shared" si="10"/>
        <v>0</v>
      </c>
      <c r="BY12" s="162">
        <f t="shared" ref="BY12:DW12" si="11">SUM(BY13:BY15)</f>
        <v>0</v>
      </c>
      <c r="BZ12" s="162">
        <f t="shared" si="11"/>
        <v>0</v>
      </c>
      <c r="CA12" s="162">
        <f t="shared" si="11"/>
        <v>0</v>
      </c>
      <c r="CB12" s="162">
        <f t="shared" si="11"/>
        <v>0</v>
      </c>
      <c r="CC12" s="162">
        <f t="shared" si="11"/>
        <v>0</v>
      </c>
      <c r="CD12" s="162">
        <f t="shared" si="11"/>
        <v>0</v>
      </c>
      <c r="CE12" s="162">
        <f t="shared" si="11"/>
        <v>0</v>
      </c>
      <c r="CF12" s="162">
        <f t="shared" si="11"/>
        <v>0</v>
      </c>
      <c r="CG12" s="162">
        <f t="shared" si="11"/>
        <v>0</v>
      </c>
      <c r="CH12" s="162">
        <f t="shared" si="11"/>
        <v>0</v>
      </c>
      <c r="CI12" s="162">
        <f t="shared" si="11"/>
        <v>0</v>
      </c>
      <c r="CJ12" s="162">
        <f t="shared" si="11"/>
        <v>0</v>
      </c>
      <c r="CK12" s="162">
        <f t="shared" si="11"/>
        <v>0</v>
      </c>
      <c r="CL12" s="162">
        <f t="shared" si="11"/>
        <v>0</v>
      </c>
      <c r="CM12" s="162">
        <f t="shared" si="11"/>
        <v>0</v>
      </c>
      <c r="CN12" s="162">
        <f t="shared" si="11"/>
        <v>0</v>
      </c>
      <c r="CO12" s="162">
        <f t="shared" si="11"/>
        <v>0</v>
      </c>
      <c r="CP12" s="162">
        <f t="shared" si="11"/>
        <v>0</v>
      </c>
      <c r="CQ12" s="162">
        <f t="shared" si="11"/>
        <v>0</v>
      </c>
      <c r="CR12" s="162">
        <f t="shared" si="11"/>
        <v>0</v>
      </c>
      <c r="CS12" s="162">
        <f t="shared" si="11"/>
        <v>0</v>
      </c>
      <c r="CT12" s="162">
        <f t="shared" si="11"/>
        <v>0</v>
      </c>
      <c r="CU12" s="162">
        <f t="shared" si="11"/>
        <v>0</v>
      </c>
      <c r="CV12" s="162">
        <f t="shared" si="11"/>
        <v>0</v>
      </c>
      <c r="CW12" s="162">
        <f t="shared" si="11"/>
        <v>0</v>
      </c>
      <c r="CX12" s="162">
        <f t="shared" si="11"/>
        <v>0</v>
      </c>
      <c r="CY12" s="162">
        <f t="shared" si="11"/>
        <v>0</v>
      </c>
      <c r="CZ12" s="162">
        <f t="shared" si="11"/>
        <v>0</v>
      </c>
      <c r="DA12" s="162">
        <f t="shared" si="11"/>
        <v>0</v>
      </c>
      <c r="DB12" s="162">
        <f t="shared" si="11"/>
        <v>0</v>
      </c>
      <c r="DC12" s="162">
        <f t="shared" si="11"/>
        <v>0</v>
      </c>
      <c r="DD12" s="162">
        <f t="shared" si="11"/>
        <v>0</v>
      </c>
      <c r="DE12" s="162">
        <f t="shared" si="11"/>
        <v>0</v>
      </c>
      <c r="DF12" s="162">
        <f t="shared" si="11"/>
        <v>0</v>
      </c>
      <c r="DG12" s="162">
        <f t="shared" si="11"/>
        <v>0</v>
      </c>
      <c r="DH12" s="162">
        <f t="shared" si="11"/>
        <v>0</v>
      </c>
      <c r="DI12" s="162">
        <f t="shared" si="11"/>
        <v>0</v>
      </c>
      <c r="DJ12" s="162">
        <f t="shared" si="11"/>
        <v>0</v>
      </c>
      <c r="DK12" s="162">
        <f t="shared" si="11"/>
        <v>0</v>
      </c>
      <c r="DL12" s="162">
        <f t="shared" si="11"/>
        <v>0</v>
      </c>
      <c r="DM12" s="162">
        <f t="shared" si="11"/>
        <v>0</v>
      </c>
      <c r="DN12" s="162">
        <f t="shared" si="11"/>
        <v>0</v>
      </c>
      <c r="DO12" s="162">
        <f t="shared" si="11"/>
        <v>0</v>
      </c>
      <c r="DP12" s="162">
        <f t="shared" si="11"/>
        <v>0</v>
      </c>
      <c r="DQ12" s="162">
        <f t="shared" si="11"/>
        <v>0</v>
      </c>
      <c r="DR12" s="162">
        <f t="shared" si="11"/>
        <v>0</v>
      </c>
      <c r="DS12" s="162">
        <f t="shared" si="11"/>
        <v>0</v>
      </c>
      <c r="DT12" s="162">
        <f t="shared" si="11"/>
        <v>0</v>
      </c>
      <c r="DU12" s="162">
        <f t="shared" si="11"/>
        <v>0</v>
      </c>
      <c r="DV12" s="162">
        <f t="shared" si="11"/>
        <v>0</v>
      </c>
      <c r="DW12" s="162">
        <f t="shared" si="11"/>
        <v>0</v>
      </c>
    </row>
    <row r="13" spans="1:131" ht="11.25" customHeight="1">
      <c r="B13" s="218"/>
      <c r="C13" s="163"/>
      <c r="D13" s="164" t="s">
        <v>269</v>
      </c>
      <c r="E13" s="165"/>
      <c r="F13" s="165"/>
      <c r="G13" s="165"/>
      <c r="H13" s="165"/>
      <c r="I13" s="166"/>
      <c r="J13" s="221"/>
      <c r="K13" s="168">
        <f>SUM(M13:DW13)</f>
        <v>163345518.48045689</v>
      </c>
      <c r="L13" s="98"/>
      <c r="M13" s="168">
        <f>SUMIF('IS(M)'!$M$11:$ER$11,M$7,'IS(M)'!$M19:$ER19)</f>
        <v>0</v>
      </c>
      <c r="N13" s="168">
        <f>SUMIF('IS(M)'!$M$11:$ER$11,N$7,'IS(M)'!$M19:$ER19)</f>
        <v>7005428.6446406245</v>
      </c>
      <c r="O13" s="168">
        <f>SUMIF('IS(M)'!$M$11:$ER$11,O$7,'IS(M)'!$M19:$ER19)</f>
        <v>7409373.4719406264</v>
      </c>
      <c r="P13" s="168">
        <f>SUMIF('IS(M)'!$M$11:$ER$11,P$7,'IS(M)'!$M19:$ER19)</f>
        <v>7164500.4947566399</v>
      </c>
      <c r="Q13" s="168">
        <f>SUMIF('IS(M)'!$M$11:$ER$11,Q$7,'IS(M)'!$M19:$ER19)</f>
        <v>7578543.9427391393</v>
      </c>
      <c r="R13" s="168">
        <f>SUMIF('IS(M)'!$M$11:$ER$11,R$7,'IS(M)'!$M19:$ER19)</f>
        <v>7669224.7186339926</v>
      </c>
      <c r="S13" s="168">
        <f>SUMIF('IS(M)'!$M$11:$ER$11,S$7,'IS(M)'!$M19:$ER19)</f>
        <v>2739677.6321080071</v>
      </c>
      <c r="T13" s="168">
        <f>SUMIF('IS(M)'!$M$11:$ER$11,T$7,'IS(M)'!$M19:$ER19)</f>
        <v>8139434.772064562</v>
      </c>
      <c r="U13" s="168">
        <f>SUMIF('IS(M)'!$M$11:$ER$11,U$7,'IS(M)'!$M19:$ER19)</f>
        <v>8367163.0867687827</v>
      </c>
      <c r="V13" s="168">
        <f>SUMIF('IS(M)'!$M$11:$ER$11,V$7,'IS(M)'!$M19:$ER19)</f>
        <v>8352810.6822273796</v>
      </c>
      <c r="W13" s="168">
        <f>SUMIF('IS(M)'!$M$11:$ER$11,W$7,'IS(M)'!$M19:$ER19)</f>
        <v>8576342.1639380008</v>
      </c>
      <c r="X13" s="168">
        <f>SUMIF('IS(M)'!$M$11:$ER$11,X$7,'IS(M)'!$M19:$ER19)</f>
        <v>8561630.9492830634</v>
      </c>
      <c r="Y13" s="168">
        <f>SUMIF('IS(M)'!$M$11:$ER$11,Y$7,'IS(M)'!$M19:$ER19)</f>
        <v>8790750.7180364504</v>
      </c>
      <c r="Z13" s="168">
        <f>SUMIF('IS(M)'!$M$11:$ER$11,Z$7,'IS(M)'!$M19:$ER19)</f>
        <v>8775671.7230151389</v>
      </c>
      <c r="AA13" s="168">
        <f>SUMIF('IS(M)'!$M$11:$ER$11,AA$7,'IS(M)'!$M19:$ER19)</f>
        <v>9010519.4859873634</v>
      </c>
      <c r="AB13" s="168">
        <f>SUMIF('IS(M)'!$M$11:$ER$11,AB$7,'IS(M)'!$M19:$ER19)</f>
        <v>8995063.5160905179</v>
      </c>
      <c r="AC13" s="168">
        <f>SUMIF('IS(M)'!$M$11:$ER$11,AC$7,'IS(M)'!$M19:$ER19)</f>
        <v>9014843.6325296722</v>
      </c>
      <c r="AD13" s="168">
        <f>SUMIF('IS(M)'!$M$11:$ER$11,AD$7,'IS(M)'!$M19:$ER19)</f>
        <v>9123787.8853786383</v>
      </c>
      <c r="AE13" s="168">
        <f>SUMIF('IS(M)'!$M$11:$ER$11,AE$7,'IS(M)'!$M19:$ER19)</f>
        <v>9243158.7087036185</v>
      </c>
      <c r="AF13" s="168">
        <f>SUMIF('IS(M)'!$M$11:$ER$11,AF$7,'IS(M)'!$M19:$ER19)</f>
        <v>9353354.5751934573</v>
      </c>
      <c r="AG13" s="168">
        <f>SUMIF('IS(M)'!$M$11:$ER$11,AG$7,'IS(M)'!$M19:$ER19)</f>
        <v>9474237.6764212064</v>
      </c>
      <c r="AH13" s="168">
        <f>SUMIF('IS(M)'!$M$11:$ER$11,AH$7,'IS(M)'!$M19:$ER19)</f>
        <v>0</v>
      </c>
      <c r="AI13" s="168">
        <f>SUMIF('IS(M)'!$M$11:$ER$11,AI$7,'IS(M)'!$M19:$ER19)</f>
        <v>0</v>
      </c>
      <c r="AJ13" s="168">
        <f>SUMIF('IS(M)'!$M$11:$ER$11,AJ$7,'IS(M)'!$M19:$ER19)</f>
        <v>0</v>
      </c>
      <c r="AK13" s="168">
        <f>SUMIF('IS(M)'!$M$11:$ER$11,AK$7,'IS(M)'!$M19:$ER19)</f>
        <v>0</v>
      </c>
      <c r="AL13" s="168">
        <f>SUMIF('IS(M)'!$M$11:$ER$11,AL$7,'IS(M)'!$M19:$ER19)</f>
        <v>0</v>
      </c>
      <c r="AM13" s="168">
        <f>SUMIF('IS(M)'!$M$11:$ER$11,AM$7,'IS(M)'!$M19:$ER19)</f>
        <v>0</v>
      </c>
      <c r="AN13" s="168">
        <f>SUMIF('IS(M)'!$M$11:$ER$11,AN$7,'IS(M)'!$M19:$ER19)</f>
        <v>0</v>
      </c>
      <c r="AO13" s="168">
        <f>SUMIF('IS(M)'!$M$11:$ER$11,AO$7,'IS(M)'!$M19:$ER19)</f>
        <v>0</v>
      </c>
      <c r="AP13" s="168">
        <f>SUMIF('IS(M)'!$M$11:$ER$11,AP$7,'IS(M)'!$M19:$ER19)</f>
        <v>0</v>
      </c>
      <c r="AQ13" s="168">
        <f>SUMIF('IS(M)'!$M$11:$ER$11,AQ$7,'IS(M)'!$M19:$ER19)</f>
        <v>0</v>
      </c>
      <c r="AR13" s="168">
        <f>SUMIF('IS(M)'!$M$11:$ER$11,AR$7,'IS(M)'!$M19:$ER19)</f>
        <v>0</v>
      </c>
      <c r="AS13" s="168">
        <f>SUMIF('IS(M)'!$M$11:$ER$11,AS$7,'IS(M)'!$M19:$ER19)</f>
        <v>0</v>
      </c>
      <c r="AT13" s="168">
        <f>SUMIF('IS(M)'!$M$11:$ER$11,AT$7,'IS(M)'!$M19:$ER19)</f>
        <v>0</v>
      </c>
      <c r="AU13" s="168">
        <f>SUMIF('IS(M)'!$M$11:$ER$11,AU$7,'IS(M)'!$M19:$ER19)</f>
        <v>0</v>
      </c>
      <c r="AV13" s="168">
        <f>SUMIF('IS(M)'!$M$11:$ER$11,AV$7,'IS(M)'!$M19:$ER19)</f>
        <v>0</v>
      </c>
      <c r="AW13" s="168">
        <f>SUMIF('IS(M)'!$M$11:$ER$11,AW$7,'IS(M)'!$M19:$ER19)</f>
        <v>0</v>
      </c>
      <c r="AX13" s="168">
        <f>SUMIF('IS(M)'!$M$11:$ER$11,AX$7,'IS(M)'!$M19:$ER19)</f>
        <v>0</v>
      </c>
      <c r="AY13" s="168">
        <f>SUMIF('IS(M)'!$M$11:$ER$11,AY$7,'IS(M)'!$M19:$ER19)</f>
        <v>0</v>
      </c>
      <c r="AZ13" s="168">
        <f>SUMIF('IS(M)'!$M$11:$ER$11,AZ$7,'IS(M)'!$M19:$ER19)</f>
        <v>0</v>
      </c>
      <c r="BA13" s="168">
        <f>SUMIF('IS(M)'!$M$11:$ER$11,BA$7,'IS(M)'!$M19:$ER19)</f>
        <v>0</v>
      </c>
      <c r="BB13" s="168">
        <f>SUMIF('IS(M)'!$M$11:$ER$11,BB$7,'IS(M)'!$M19:$ER19)</f>
        <v>0</v>
      </c>
      <c r="BC13" s="168">
        <f>SUMIF('IS(M)'!$M$11:$ER$11,BC$7,'IS(M)'!$M19:$ER19)</f>
        <v>0</v>
      </c>
      <c r="BD13" s="168">
        <f>SUMIF('IS(M)'!$M$11:$ER$11,BD$7,'IS(M)'!$M19:$ER19)</f>
        <v>0</v>
      </c>
      <c r="BE13" s="168">
        <f>SUMIF('IS(M)'!$M$11:$ER$11,BE$7,'IS(M)'!$M19:$ER19)</f>
        <v>0</v>
      </c>
      <c r="BF13" s="168">
        <f>SUMIF('IS(M)'!$M$11:$ER$11,BF$7,'IS(M)'!$M19:$ER19)</f>
        <v>0</v>
      </c>
      <c r="BG13" s="168">
        <f>SUMIF('IS(M)'!$M$11:$ER$11,BG$7,'IS(M)'!$M19:$ER19)</f>
        <v>0</v>
      </c>
      <c r="BH13" s="168">
        <f>SUMIF('IS(M)'!$M$11:$ER$11,BH$7,'IS(M)'!$M19:$ER19)</f>
        <v>0</v>
      </c>
      <c r="BI13" s="168">
        <f>SUMIF('IS(M)'!$M$11:$ER$11,BI$7,'IS(M)'!$M19:$ER19)</f>
        <v>0</v>
      </c>
      <c r="BJ13" s="168">
        <f>SUMIF('IS(M)'!$M$11:$ER$11,BJ$7,'IS(M)'!$M19:$ER19)</f>
        <v>0</v>
      </c>
      <c r="BK13" s="168">
        <f>SUMIF('IS(M)'!$M$11:$ER$11,BK$7,'IS(M)'!$M19:$ER19)</f>
        <v>0</v>
      </c>
      <c r="BL13" s="168">
        <f>SUMIF('IS(M)'!$M$11:$ER$11,BL$7,'IS(M)'!$M19:$ER19)</f>
        <v>0</v>
      </c>
      <c r="BM13" s="168">
        <f>SUMIF('IS(M)'!$M$11:$ER$11,BM$7,'IS(M)'!$M19:$ER19)</f>
        <v>0</v>
      </c>
      <c r="BN13" s="168">
        <f>SUMIF('IS(M)'!$M$11:$ER$11,BN$7,'IS(M)'!$M19:$ER19)</f>
        <v>0</v>
      </c>
      <c r="BO13" s="168">
        <f>SUMIF('IS(M)'!$M$11:$ER$11,BO$7,'IS(M)'!$M19:$ER19)</f>
        <v>0</v>
      </c>
      <c r="BP13" s="168">
        <f>SUMIF('IS(M)'!$M$11:$ER$11,BP$7,'IS(M)'!$M19:$ER19)</f>
        <v>0</v>
      </c>
      <c r="BQ13" s="168">
        <f>SUMIF('IS(M)'!$M$11:$ER$11,BQ$7,'IS(M)'!$M19:$ER19)</f>
        <v>0</v>
      </c>
      <c r="BR13" s="168">
        <f>SUMIF('IS(M)'!$M$11:$ER$11,BR$7,'IS(M)'!$M19:$ER19)</f>
        <v>0</v>
      </c>
      <c r="BS13" s="168">
        <f>SUMIF('IS(M)'!$M$11:$ER$11,BS$7,'IS(M)'!$M19:$ER19)</f>
        <v>0</v>
      </c>
      <c r="BT13" s="168">
        <f>SUMIF('IS(M)'!$M$11:$ER$11,BT$7,'IS(M)'!$M19:$ER19)</f>
        <v>0</v>
      </c>
      <c r="BU13" s="168">
        <f>SUMIF('IS(M)'!$M$11:$ER$11,BU$7,'IS(M)'!$M19:$ER19)</f>
        <v>0</v>
      </c>
      <c r="BV13" s="168">
        <f>SUMIF('IS(M)'!$M$11:$ER$11,BV$7,'IS(M)'!$M19:$ER19)</f>
        <v>0</v>
      </c>
      <c r="BW13" s="168">
        <f>SUMIF('IS(M)'!$M$11:$ER$11,BW$7,'IS(M)'!$M19:$ER19)</f>
        <v>0</v>
      </c>
      <c r="BX13" s="168">
        <f>SUMIF('IS(M)'!$M$11:$ER$11,BX$7,'IS(M)'!$M19:$ER19)</f>
        <v>0</v>
      </c>
      <c r="BY13" s="168">
        <f>SUMIF('IS(M)'!$M$11:$ER$11,BY$7,'IS(M)'!$M19:$ER19)</f>
        <v>0</v>
      </c>
      <c r="BZ13" s="168">
        <f>SUMIF('IS(M)'!$M$11:$ER$11,BZ$7,'IS(M)'!$M19:$ER19)</f>
        <v>0</v>
      </c>
      <c r="CA13" s="168">
        <f>SUMIF('IS(M)'!$M$11:$ER$11,CA$7,'IS(M)'!$M19:$ER19)</f>
        <v>0</v>
      </c>
      <c r="CB13" s="168">
        <f>SUMIF('IS(M)'!$M$11:$ER$11,CB$7,'IS(M)'!$M19:$ER19)</f>
        <v>0</v>
      </c>
      <c r="CC13" s="168">
        <f>SUMIF('IS(M)'!$M$11:$ER$11,CC$7,'IS(M)'!$M19:$ER19)</f>
        <v>0</v>
      </c>
      <c r="CD13" s="168">
        <f>SUMIF('IS(M)'!$M$11:$ER$11,CD$7,'IS(M)'!$M19:$ER19)</f>
        <v>0</v>
      </c>
      <c r="CE13" s="168">
        <f>SUMIF('IS(M)'!$M$11:$ER$11,CE$7,'IS(M)'!$M19:$ER19)</f>
        <v>0</v>
      </c>
      <c r="CF13" s="168">
        <f>SUMIF('IS(M)'!$M$11:$ER$11,CF$7,'IS(M)'!$M19:$ER19)</f>
        <v>0</v>
      </c>
      <c r="CG13" s="168">
        <f>SUMIF('IS(M)'!$M$11:$ER$11,CG$7,'IS(M)'!$M19:$ER19)</f>
        <v>0</v>
      </c>
      <c r="CH13" s="168">
        <f>SUMIF('IS(M)'!$M$11:$ER$11,CH$7,'IS(M)'!$M19:$ER19)</f>
        <v>0</v>
      </c>
      <c r="CI13" s="168">
        <f>SUMIF('IS(M)'!$M$11:$ER$11,CI$7,'IS(M)'!$M19:$ER19)</f>
        <v>0</v>
      </c>
      <c r="CJ13" s="168">
        <f>SUMIF('IS(M)'!$M$11:$ER$11,CJ$7,'IS(M)'!$M19:$ER19)</f>
        <v>0</v>
      </c>
      <c r="CK13" s="168">
        <f>SUMIF('IS(M)'!$M$11:$ER$11,CK$7,'IS(M)'!$M19:$ER19)</f>
        <v>0</v>
      </c>
      <c r="CL13" s="168">
        <f>SUMIF('IS(M)'!$M$11:$ER$11,CL$7,'IS(M)'!$M19:$ER19)</f>
        <v>0</v>
      </c>
      <c r="CM13" s="168">
        <f>SUMIF('IS(M)'!$M$11:$ER$11,CM$7,'IS(M)'!$M19:$ER19)</f>
        <v>0</v>
      </c>
      <c r="CN13" s="168">
        <f>SUMIF('IS(M)'!$M$11:$ER$11,CN$7,'IS(M)'!$M19:$ER19)</f>
        <v>0</v>
      </c>
      <c r="CO13" s="168">
        <f>SUMIF('IS(M)'!$M$11:$ER$11,CO$7,'IS(M)'!$M19:$ER19)</f>
        <v>0</v>
      </c>
      <c r="CP13" s="168">
        <f>SUMIF('IS(M)'!$M$11:$ER$11,CP$7,'IS(M)'!$M19:$ER19)</f>
        <v>0</v>
      </c>
      <c r="CQ13" s="168">
        <f>SUMIF('IS(M)'!$M$11:$ER$11,CQ$7,'IS(M)'!$M19:$ER19)</f>
        <v>0</v>
      </c>
      <c r="CR13" s="168">
        <f>SUMIF('IS(M)'!$M$11:$ER$11,CR$7,'IS(M)'!$M19:$ER19)</f>
        <v>0</v>
      </c>
      <c r="CS13" s="168">
        <f>SUMIF('IS(M)'!$M$11:$ER$11,CS$7,'IS(M)'!$M19:$ER19)</f>
        <v>0</v>
      </c>
      <c r="CT13" s="168">
        <f>SUMIF('IS(M)'!$M$11:$ER$11,CT$7,'IS(M)'!$M19:$ER19)</f>
        <v>0</v>
      </c>
      <c r="CU13" s="168">
        <f>SUMIF('IS(M)'!$M$11:$ER$11,CU$7,'IS(M)'!$M19:$ER19)</f>
        <v>0</v>
      </c>
      <c r="CV13" s="168">
        <f>SUMIF('IS(M)'!$M$11:$ER$11,CV$7,'IS(M)'!$M19:$ER19)</f>
        <v>0</v>
      </c>
      <c r="CW13" s="168">
        <f>SUMIF('IS(M)'!$M$11:$ER$11,CW$7,'IS(M)'!$M19:$ER19)</f>
        <v>0</v>
      </c>
      <c r="CX13" s="168">
        <f>SUMIF('IS(M)'!$M$11:$ER$11,CX$7,'IS(M)'!$M19:$ER19)</f>
        <v>0</v>
      </c>
      <c r="CY13" s="168">
        <f>SUMIF('IS(M)'!$M$11:$ER$11,CY$7,'IS(M)'!$M19:$ER19)</f>
        <v>0</v>
      </c>
      <c r="CZ13" s="168">
        <f>SUMIF('IS(M)'!$M$11:$ER$11,CZ$7,'IS(M)'!$M19:$ER19)</f>
        <v>0</v>
      </c>
      <c r="DA13" s="168">
        <f>SUMIF('IS(M)'!$M$11:$ER$11,DA$7,'IS(M)'!$M19:$ER19)</f>
        <v>0</v>
      </c>
      <c r="DB13" s="168">
        <f>SUMIF('IS(M)'!$M$11:$ER$11,DB$7,'IS(M)'!$M19:$ER19)</f>
        <v>0</v>
      </c>
      <c r="DC13" s="168">
        <f>SUMIF('IS(M)'!$M$11:$ER$11,DC$7,'IS(M)'!$M19:$ER19)</f>
        <v>0</v>
      </c>
      <c r="DD13" s="168">
        <f>SUMIF('IS(M)'!$M$11:$ER$11,DD$7,'IS(M)'!$M19:$ER19)</f>
        <v>0</v>
      </c>
      <c r="DE13" s="168">
        <f>SUMIF('IS(M)'!$M$11:$ER$11,DE$7,'IS(M)'!$M19:$ER19)</f>
        <v>0</v>
      </c>
      <c r="DF13" s="168">
        <f>SUMIF('IS(M)'!$M$11:$ER$11,DF$7,'IS(M)'!$M19:$ER19)</f>
        <v>0</v>
      </c>
      <c r="DG13" s="168">
        <f>SUMIF('IS(M)'!$M$11:$ER$11,DG$7,'IS(M)'!$M19:$ER19)</f>
        <v>0</v>
      </c>
      <c r="DH13" s="168">
        <f>SUMIF('IS(M)'!$M$11:$ER$11,DH$7,'IS(M)'!$M19:$ER19)</f>
        <v>0</v>
      </c>
      <c r="DI13" s="168">
        <f>SUMIF('IS(M)'!$M$11:$ER$11,DI$7,'IS(M)'!$M19:$ER19)</f>
        <v>0</v>
      </c>
      <c r="DJ13" s="168">
        <f>SUMIF('IS(M)'!$M$11:$ER$11,DJ$7,'IS(M)'!$M19:$ER19)</f>
        <v>0</v>
      </c>
      <c r="DK13" s="168">
        <f>SUMIF('IS(M)'!$M$11:$ER$11,DK$7,'IS(M)'!$M19:$ER19)</f>
        <v>0</v>
      </c>
      <c r="DL13" s="168">
        <f>SUMIF('IS(M)'!$M$11:$ER$11,DL$7,'IS(M)'!$M19:$ER19)</f>
        <v>0</v>
      </c>
      <c r="DM13" s="168">
        <f>SUMIF('IS(M)'!$M$11:$ER$11,DM$7,'IS(M)'!$M19:$ER19)</f>
        <v>0</v>
      </c>
      <c r="DN13" s="168">
        <f>SUMIF('IS(M)'!$M$11:$ER$11,DN$7,'IS(M)'!$M19:$ER19)</f>
        <v>0</v>
      </c>
      <c r="DO13" s="168">
        <f>SUMIF('IS(M)'!$M$11:$ER$11,DO$7,'IS(M)'!$M19:$ER19)</f>
        <v>0</v>
      </c>
      <c r="DP13" s="168">
        <f>SUMIF('IS(M)'!$M$11:$ER$11,DP$7,'IS(M)'!$M19:$ER19)</f>
        <v>0</v>
      </c>
      <c r="DQ13" s="168">
        <f>SUMIF('IS(M)'!$M$11:$ER$11,DQ$7,'IS(M)'!$M19:$ER19)</f>
        <v>0</v>
      </c>
      <c r="DR13" s="168">
        <f>SUMIF('IS(M)'!$M$11:$ER$11,DR$7,'IS(M)'!$M19:$ER19)</f>
        <v>0</v>
      </c>
      <c r="DS13" s="168">
        <f>SUMIF('IS(M)'!$M$11:$ER$11,DS$7,'IS(M)'!$M19:$ER19)</f>
        <v>0</v>
      </c>
      <c r="DT13" s="168">
        <f>SUMIF('IS(M)'!$M$11:$ER$11,DT$7,'IS(M)'!$M19:$ER19)</f>
        <v>0</v>
      </c>
      <c r="DU13" s="168">
        <f>SUMIF('IS(M)'!$M$11:$ER$11,DU$7,'IS(M)'!$M19:$ER19)</f>
        <v>0</v>
      </c>
      <c r="DV13" s="168">
        <f>SUMIF('IS(M)'!$M$11:$ER$11,DV$7,'IS(M)'!$M19:$ER19)</f>
        <v>0</v>
      </c>
      <c r="DW13" s="168">
        <f>SUMIF('IS(M)'!$M$11:$ER$11,DW$7,'IS(M)'!$M19:$ER19)</f>
        <v>0</v>
      </c>
    </row>
    <row r="14" spans="1:131" ht="11.25" customHeight="1">
      <c r="B14" s="218"/>
      <c r="C14" s="163"/>
      <c r="D14" s="169" t="s">
        <v>461</v>
      </c>
      <c r="I14" s="146"/>
      <c r="J14" s="13"/>
      <c r="K14" s="171">
        <f t="shared" ref="K14:K50" si="12">SUM(M14:DW14)</f>
        <v>8636664.3042394631</v>
      </c>
      <c r="L14" s="98"/>
      <c r="M14" s="171">
        <f>SUMIF('IS(M)'!$M$11:$ER$11,M$7,'IS(M)'!$M20:$ER20)</f>
        <v>0</v>
      </c>
      <c r="N14" s="171">
        <f>SUMIF('IS(M)'!$M$11:$ER$11,N$7,'IS(M)'!$M20:$ER20)</f>
        <v>387422.05762265623</v>
      </c>
      <c r="O14" s="171">
        <f>SUMIF('IS(M)'!$M$11:$ER$11,O$7,'IS(M)'!$M20:$ER20)</f>
        <v>391932.83016843756</v>
      </c>
      <c r="P14" s="171">
        <f>SUMIF('IS(M)'!$M$11:$ER$11,P$7,'IS(M)'!$M20:$ER20)</f>
        <v>396124.10706322256</v>
      </c>
      <c r="Q14" s="171">
        <f>SUMIF('IS(M)'!$M$11:$ER$11,Q$7,'IS(M)'!$M20:$ER20)</f>
        <v>400747.6489226484</v>
      </c>
      <c r="R14" s="171">
        <f>SUMIF('IS(M)'!$M$11:$ER$11,R$7,'IS(M)'!$M20:$ER20)</f>
        <v>405043.70773980324</v>
      </c>
      <c r="S14" s="171">
        <f>SUMIF('IS(M)'!$M$11:$ER$11,S$7,'IS(M)'!$M20:$ER20)</f>
        <v>409782.8381457146</v>
      </c>
      <c r="T14" s="171">
        <f>SUMIF('IS(M)'!$M$11:$ER$11,T$7,'IS(M)'!$M20:$ER20)</f>
        <v>414186.29843329825</v>
      </c>
      <c r="U14" s="171">
        <f>SUMIF('IS(M)'!$M$11:$ER$11,U$7,'IS(M)'!$M20:$ER20)</f>
        <v>419043.90709935746</v>
      </c>
      <c r="V14" s="171">
        <f>SUMIF('IS(M)'!$M$11:$ER$11,V$7,'IS(M)'!$M20:$ER20)</f>
        <v>423557.45389413065</v>
      </c>
      <c r="W14" s="171">
        <f>SUMIF('IS(M)'!$M$11:$ER$11,W$7,'IS(M)'!$M20:$ER20)</f>
        <v>428536.5027768414</v>
      </c>
      <c r="X14" s="171">
        <f>SUMIF('IS(M)'!$M$11:$ER$11,X$7,'IS(M)'!$M20:$ER20)</f>
        <v>433162.88824148395</v>
      </c>
      <c r="Y14" s="171">
        <f>SUMIF('IS(M)'!$M$11:$ER$11,Y$7,'IS(M)'!$M20:$ER20)</f>
        <v>438266.4133462623</v>
      </c>
      <c r="Z14" s="171">
        <f>SUMIF('IS(M)'!$M$11:$ER$11,Z$7,'IS(M)'!$M20:$ER20)</f>
        <v>443008.45844752091</v>
      </c>
      <c r="AA14" s="171">
        <f>SUMIF('IS(M)'!$M$11:$ER$11,AA$7,'IS(M)'!$M20:$ER20)</f>
        <v>448239.57167991891</v>
      </c>
      <c r="AB14" s="171">
        <f>SUMIF('IS(M)'!$M$11:$ER$11,AB$7,'IS(M)'!$M20:$ER20)</f>
        <v>453100.16790870897</v>
      </c>
      <c r="AC14" s="171">
        <f>SUMIF('IS(M)'!$M$11:$ER$11,AC$7,'IS(M)'!$M20:$ER20)</f>
        <v>458450.94633413421</v>
      </c>
      <c r="AD14" s="171">
        <f>SUMIF('IS(M)'!$M$11:$ER$11,AD$7,'IS(M)'!$M20:$ER20)</f>
        <v>463429.55875582097</v>
      </c>
      <c r="AE14" s="171">
        <f>SUMIF('IS(M)'!$M$11:$ER$11,AE$7,'IS(M)'!$M20:$ER20)</f>
        <v>468928.71799248725</v>
      </c>
      <c r="AF14" s="171">
        <f>SUMIF('IS(M)'!$M$11:$ER$11,AF$7,'IS(M)'!$M20:$ER20)</f>
        <v>474031.79572471639</v>
      </c>
      <c r="AG14" s="171">
        <f>SUMIF('IS(M)'!$M$11:$ER$11,AG$7,'IS(M)'!$M20:$ER20)</f>
        <v>479668.43394229963</v>
      </c>
      <c r="AH14" s="171">
        <f>SUMIF('IS(M)'!$M$11:$ER$11,AH$7,'IS(M)'!$M20:$ER20)</f>
        <v>0</v>
      </c>
      <c r="AI14" s="171">
        <f>SUMIF('IS(M)'!$M$11:$ER$11,AI$7,'IS(M)'!$M20:$ER20)</f>
        <v>0</v>
      </c>
      <c r="AJ14" s="171">
        <f>SUMIF('IS(M)'!$M$11:$ER$11,AJ$7,'IS(M)'!$M20:$ER20)</f>
        <v>0</v>
      </c>
      <c r="AK14" s="171">
        <f>SUMIF('IS(M)'!$M$11:$ER$11,AK$7,'IS(M)'!$M20:$ER20)</f>
        <v>0</v>
      </c>
      <c r="AL14" s="171">
        <f>SUMIF('IS(M)'!$M$11:$ER$11,AL$7,'IS(M)'!$M20:$ER20)</f>
        <v>0</v>
      </c>
      <c r="AM14" s="171">
        <f>SUMIF('IS(M)'!$M$11:$ER$11,AM$7,'IS(M)'!$M20:$ER20)</f>
        <v>0</v>
      </c>
      <c r="AN14" s="171">
        <f>SUMIF('IS(M)'!$M$11:$ER$11,AN$7,'IS(M)'!$M20:$ER20)</f>
        <v>0</v>
      </c>
      <c r="AO14" s="171">
        <f>SUMIF('IS(M)'!$M$11:$ER$11,AO$7,'IS(M)'!$M20:$ER20)</f>
        <v>0</v>
      </c>
      <c r="AP14" s="171">
        <f>SUMIF('IS(M)'!$M$11:$ER$11,AP$7,'IS(M)'!$M20:$ER20)</f>
        <v>0</v>
      </c>
      <c r="AQ14" s="171">
        <f>SUMIF('IS(M)'!$M$11:$ER$11,AQ$7,'IS(M)'!$M20:$ER20)</f>
        <v>0</v>
      </c>
      <c r="AR14" s="171">
        <f>SUMIF('IS(M)'!$M$11:$ER$11,AR$7,'IS(M)'!$M20:$ER20)</f>
        <v>0</v>
      </c>
      <c r="AS14" s="171">
        <f>SUMIF('IS(M)'!$M$11:$ER$11,AS$7,'IS(M)'!$M20:$ER20)</f>
        <v>0</v>
      </c>
      <c r="AT14" s="171">
        <f>SUMIF('IS(M)'!$M$11:$ER$11,AT$7,'IS(M)'!$M20:$ER20)</f>
        <v>0</v>
      </c>
      <c r="AU14" s="171">
        <f>SUMIF('IS(M)'!$M$11:$ER$11,AU$7,'IS(M)'!$M20:$ER20)</f>
        <v>0</v>
      </c>
      <c r="AV14" s="171">
        <f>SUMIF('IS(M)'!$M$11:$ER$11,AV$7,'IS(M)'!$M20:$ER20)</f>
        <v>0</v>
      </c>
      <c r="AW14" s="171">
        <f>SUMIF('IS(M)'!$M$11:$ER$11,AW$7,'IS(M)'!$M20:$ER20)</f>
        <v>0</v>
      </c>
      <c r="AX14" s="171">
        <f>SUMIF('IS(M)'!$M$11:$ER$11,AX$7,'IS(M)'!$M20:$ER20)</f>
        <v>0</v>
      </c>
      <c r="AY14" s="171">
        <f>SUMIF('IS(M)'!$M$11:$ER$11,AY$7,'IS(M)'!$M20:$ER20)</f>
        <v>0</v>
      </c>
      <c r="AZ14" s="171">
        <f>SUMIF('IS(M)'!$M$11:$ER$11,AZ$7,'IS(M)'!$M20:$ER20)</f>
        <v>0</v>
      </c>
      <c r="BA14" s="171">
        <f>SUMIF('IS(M)'!$M$11:$ER$11,BA$7,'IS(M)'!$M20:$ER20)</f>
        <v>0</v>
      </c>
      <c r="BB14" s="171">
        <f>SUMIF('IS(M)'!$M$11:$ER$11,BB$7,'IS(M)'!$M20:$ER20)</f>
        <v>0</v>
      </c>
      <c r="BC14" s="171">
        <f>SUMIF('IS(M)'!$M$11:$ER$11,BC$7,'IS(M)'!$M20:$ER20)</f>
        <v>0</v>
      </c>
      <c r="BD14" s="171">
        <f>SUMIF('IS(M)'!$M$11:$ER$11,BD$7,'IS(M)'!$M20:$ER20)</f>
        <v>0</v>
      </c>
      <c r="BE14" s="171">
        <f>SUMIF('IS(M)'!$M$11:$ER$11,BE$7,'IS(M)'!$M20:$ER20)</f>
        <v>0</v>
      </c>
      <c r="BF14" s="171">
        <f>SUMIF('IS(M)'!$M$11:$ER$11,BF$7,'IS(M)'!$M20:$ER20)</f>
        <v>0</v>
      </c>
      <c r="BG14" s="171">
        <f>SUMIF('IS(M)'!$M$11:$ER$11,BG$7,'IS(M)'!$M20:$ER20)</f>
        <v>0</v>
      </c>
      <c r="BH14" s="171">
        <f>SUMIF('IS(M)'!$M$11:$ER$11,BH$7,'IS(M)'!$M20:$ER20)</f>
        <v>0</v>
      </c>
      <c r="BI14" s="171">
        <f>SUMIF('IS(M)'!$M$11:$ER$11,BI$7,'IS(M)'!$M20:$ER20)</f>
        <v>0</v>
      </c>
      <c r="BJ14" s="171">
        <f>SUMIF('IS(M)'!$M$11:$ER$11,BJ$7,'IS(M)'!$M20:$ER20)</f>
        <v>0</v>
      </c>
      <c r="BK14" s="171">
        <f>SUMIF('IS(M)'!$M$11:$ER$11,BK$7,'IS(M)'!$M20:$ER20)</f>
        <v>0</v>
      </c>
      <c r="BL14" s="171">
        <f>SUMIF('IS(M)'!$M$11:$ER$11,BL$7,'IS(M)'!$M20:$ER20)</f>
        <v>0</v>
      </c>
      <c r="BM14" s="171">
        <f>SUMIF('IS(M)'!$M$11:$ER$11,BM$7,'IS(M)'!$M20:$ER20)</f>
        <v>0</v>
      </c>
      <c r="BN14" s="171">
        <f>SUMIF('IS(M)'!$M$11:$ER$11,BN$7,'IS(M)'!$M20:$ER20)</f>
        <v>0</v>
      </c>
      <c r="BO14" s="171">
        <f>SUMIF('IS(M)'!$M$11:$ER$11,BO$7,'IS(M)'!$M20:$ER20)</f>
        <v>0</v>
      </c>
      <c r="BP14" s="171">
        <f>SUMIF('IS(M)'!$M$11:$ER$11,BP$7,'IS(M)'!$M20:$ER20)</f>
        <v>0</v>
      </c>
      <c r="BQ14" s="171">
        <f>SUMIF('IS(M)'!$M$11:$ER$11,BQ$7,'IS(M)'!$M20:$ER20)</f>
        <v>0</v>
      </c>
      <c r="BR14" s="171">
        <f>SUMIF('IS(M)'!$M$11:$ER$11,BR$7,'IS(M)'!$M20:$ER20)</f>
        <v>0</v>
      </c>
      <c r="BS14" s="171">
        <f>SUMIF('IS(M)'!$M$11:$ER$11,BS$7,'IS(M)'!$M20:$ER20)</f>
        <v>0</v>
      </c>
      <c r="BT14" s="171">
        <f>SUMIF('IS(M)'!$M$11:$ER$11,BT$7,'IS(M)'!$M20:$ER20)</f>
        <v>0</v>
      </c>
      <c r="BU14" s="171">
        <f>SUMIF('IS(M)'!$M$11:$ER$11,BU$7,'IS(M)'!$M20:$ER20)</f>
        <v>0</v>
      </c>
      <c r="BV14" s="171">
        <f>SUMIF('IS(M)'!$M$11:$ER$11,BV$7,'IS(M)'!$M20:$ER20)</f>
        <v>0</v>
      </c>
      <c r="BW14" s="171">
        <f>SUMIF('IS(M)'!$M$11:$ER$11,BW$7,'IS(M)'!$M20:$ER20)</f>
        <v>0</v>
      </c>
      <c r="BX14" s="171">
        <f>SUMIF('IS(M)'!$M$11:$ER$11,BX$7,'IS(M)'!$M20:$ER20)</f>
        <v>0</v>
      </c>
      <c r="BY14" s="171">
        <f>SUMIF('IS(M)'!$M$11:$ER$11,BY$7,'IS(M)'!$M20:$ER20)</f>
        <v>0</v>
      </c>
      <c r="BZ14" s="171">
        <f>SUMIF('IS(M)'!$M$11:$ER$11,BZ$7,'IS(M)'!$M20:$ER20)</f>
        <v>0</v>
      </c>
      <c r="CA14" s="171">
        <f>SUMIF('IS(M)'!$M$11:$ER$11,CA$7,'IS(M)'!$M20:$ER20)</f>
        <v>0</v>
      </c>
      <c r="CB14" s="171">
        <f>SUMIF('IS(M)'!$M$11:$ER$11,CB$7,'IS(M)'!$M20:$ER20)</f>
        <v>0</v>
      </c>
      <c r="CC14" s="171">
        <f>SUMIF('IS(M)'!$M$11:$ER$11,CC$7,'IS(M)'!$M20:$ER20)</f>
        <v>0</v>
      </c>
      <c r="CD14" s="171">
        <f>SUMIF('IS(M)'!$M$11:$ER$11,CD$7,'IS(M)'!$M20:$ER20)</f>
        <v>0</v>
      </c>
      <c r="CE14" s="171">
        <f>SUMIF('IS(M)'!$M$11:$ER$11,CE$7,'IS(M)'!$M20:$ER20)</f>
        <v>0</v>
      </c>
      <c r="CF14" s="171">
        <f>SUMIF('IS(M)'!$M$11:$ER$11,CF$7,'IS(M)'!$M20:$ER20)</f>
        <v>0</v>
      </c>
      <c r="CG14" s="171">
        <f>SUMIF('IS(M)'!$M$11:$ER$11,CG$7,'IS(M)'!$M20:$ER20)</f>
        <v>0</v>
      </c>
      <c r="CH14" s="171">
        <f>SUMIF('IS(M)'!$M$11:$ER$11,CH$7,'IS(M)'!$M20:$ER20)</f>
        <v>0</v>
      </c>
      <c r="CI14" s="171">
        <f>SUMIF('IS(M)'!$M$11:$ER$11,CI$7,'IS(M)'!$M20:$ER20)</f>
        <v>0</v>
      </c>
      <c r="CJ14" s="171">
        <f>SUMIF('IS(M)'!$M$11:$ER$11,CJ$7,'IS(M)'!$M20:$ER20)</f>
        <v>0</v>
      </c>
      <c r="CK14" s="171">
        <f>SUMIF('IS(M)'!$M$11:$ER$11,CK$7,'IS(M)'!$M20:$ER20)</f>
        <v>0</v>
      </c>
      <c r="CL14" s="171">
        <f>SUMIF('IS(M)'!$M$11:$ER$11,CL$7,'IS(M)'!$M20:$ER20)</f>
        <v>0</v>
      </c>
      <c r="CM14" s="171">
        <f>SUMIF('IS(M)'!$M$11:$ER$11,CM$7,'IS(M)'!$M20:$ER20)</f>
        <v>0</v>
      </c>
      <c r="CN14" s="171">
        <f>SUMIF('IS(M)'!$M$11:$ER$11,CN$7,'IS(M)'!$M20:$ER20)</f>
        <v>0</v>
      </c>
      <c r="CO14" s="171">
        <f>SUMIF('IS(M)'!$M$11:$ER$11,CO$7,'IS(M)'!$M20:$ER20)</f>
        <v>0</v>
      </c>
      <c r="CP14" s="171">
        <f>SUMIF('IS(M)'!$M$11:$ER$11,CP$7,'IS(M)'!$M20:$ER20)</f>
        <v>0</v>
      </c>
      <c r="CQ14" s="171">
        <f>SUMIF('IS(M)'!$M$11:$ER$11,CQ$7,'IS(M)'!$M20:$ER20)</f>
        <v>0</v>
      </c>
      <c r="CR14" s="171">
        <f>SUMIF('IS(M)'!$M$11:$ER$11,CR$7,'IS(M)'!$M20:$ER20)</f>
        <v>0</v>
      </c>
      <c r="CS14" s="171">
        <f>SUMIF('IS(M)'!$M$11:$ER$11,CS$7,'IS(M)'!$M20:$ER20)</f>
        <v>0</v>
      </c>
      <c r="CT14" s="171">
        <f>SUMIF('IS(M)'!$M$11:$ER$11,CT$7,'IS(M)'!$M20:$ER20)</f>
        <v>0</v>
      </c>
      <c r="CU14" s="171">
        <f>SUMIF('IS(M)'!$M$11:$ER$11,CU$7,'IS(M)'!$M20:$ER20)</f>
        <v>0</v>
      </c>
      <c r="CV14" s="171">
        <f>SUMIF('IS(M)'!$M$11:$ER$11,CV$7,'IS(M)'!$M20:$ER20)</f>
        <v>0</v>
      </c>
      <c r="CW14" s="171">
        <f>SUMIF('IS(M)'!$M$11:$ER$11,CW$7,'IS(M)'!$M20:$ER20)</f>
        <v>0</v>
      </c>
      <c r="CX14" s="171">
        <f>SUMIF('IS(M)'!$M$11:$ER$11,CX$7,'IS(M)'!$M20:$ER20)</f>
        <v>0</v>
      </c>
      <c r="CY14" s="171">
        <f>SUMIF('IS(M)'!$M$11:$ER$11,CY$7,'IS(M)'!$M20:$ER20)</f>
        <v>0</v>
      </c>
      <c r="CZ14" s="171">
        <f>SUMIF('IS(M)'!$M$11:$ER$11,CZ$7,'IS(M)'!$M20:$ER20)</f>
        <v>0</v>
      </c>
      <c r="DA14" s="171">
        <f>SUMIF('IS(M)'!$M$11:$ER$11,DA$7,'IS(M)'!$M20:$ER20)</f>
        <v>0</v>
      </c>
      <c r="DB14" s="171">
        <f>SUMIF('IS(M)'!$M$11:$ER$11,DB$7,'IS(M)'!$M20:$ER20)</f>
        <v>0</v>
      </c>
      <c r="DC14" s="171">
        <f>SUMIF('IS(M)'!$M$11:$ER$11,DC$7,'IS(M)'!$M20:$ER20)</f>
        <v>0</v>
      </c>
      <c r="DD14" s="171">
        <f>SUMIF('IS(M)'!$M$11:$ER$11,DD$7,'IS(M)'!$M20:$ER20)</f>
        <v>0</v>
      </c>
      <c r="DE14" s="171">
        <f>SUMIF('IS(M)'!$M$11:$ER$11,DE$7,'IS(M)'!$M20:$ER20)</f>
        <v>0</v>
      </c>
      <c r="DF14" s="171">
        <f>SUMIF('IS(M)'!$M$11:$ER$11,DF$7,'IS(M)'!$M20:$ER20)</f>
        <v>0</v>
      </c>
      <c r="DG14" s="171">
        <f>SUMIF('IS(M)'!$M$11:$ER$11,DG$7,'IS(M)'!$M20:$ER20)</f>
        <v>0</v>
      </c>
      <c r="DH14" s="171">
        <f>SUMIF('IS(M)'!$M$11:$ER$11,DH$7,'IS(M)'!$M20:$ER20)</f>
        <v>0</v>
      </c>
      <c r="DI14" s="171">
        <f>SUMIF('IS(M)'!$M$11:$ER$11,DI$7,'IS(M)'!$M20:$ER20)</f>
        <v>0</v>
      </c>
      <c r="DJ14" s="171">
        <f>SUMIF('IS(M)'!$M$11:$ER$11,DJ$7,'IS(M)'!$M20:$ER20)</f>
        <v>0</v>
      </c>
      <c r="DK14" s="171">
        <f>SUMIF('IS(M)'!$M$11:$ER$11,DK$7,'IS(M)'!$M20:$ER20)</f>
        <v>0</v>
      </c>
      <c r="DL14" s="171">
        <f>SUMIF('IS(M)'!$M$11:$ER$11,DL$7,'IS(M)'!$M20:$ER20)</f>
        <v>0</v>
      </c>
      <c r="DM14" s="171">
        <f>SUMIF('IS(M)'!$M$11:$ER$11,DM$7,'IS(M)'!$M20:$ER20)</f>
        <v>0</v>
      </c>
      <c r="DN14" s="171">
        <f>SUMIF('IS(M)'!$M$11:$ER$11,DN$7,'IS(M)'!$M20:$ER20)</f>
        <v>0</v>
      </c>
      <c r="DO14" s="171">
        <f>SUMIF('IS(M)'!$M$11:$ER$11,DO$7,'IS(M)'!$M20:$ER20)</f>
        <v>0</v>
      </c>
      <c r="DP14" s="171">
        <f>SUMIF('IS(M)'!$M$11:$ER$11,DP$7,'IS(M)'!$M20:$ER20)</f>
        <v>0</v>
      </c>
      <c r="DQ14" s="171">
        <f>SUMIF('IS(M)'!$M$11:$ER$11,DQ$7,'IS(M)'!$M20:$ER20)</f>
        <v>0</v>
      </c>
      <c r="DR14" s="171">
        <f>SUMIF('IS(M)'!$M$11:$ER$11,DR$7,'IS(M)'!$M20:$ER20)</f>
        <v>0</v>
      </c>
      <c r="DS14" s="171">
        <f>SUMIF('IS(M)'!$M$11:$ER$11,DS$7,'IS(M)'!$M20:$ER20)</f>
        <v>0</v>
      </c>
      <c r="DT14" s="171">
        <f>SUMIF('IS(M)'!$M$11:$ER$11,DT$7,'IS(M)'!$M20:$ER20)</f>
        <v>0</v>
      </c>
      <c r="DU14" s="171">
        <f>SUMIF('IS(M)'!$M$11:$ER$11,DU$7,'IS(M)'!$M20:$ER20)</f>
        <v>0</v>
      </c>
      <c r="DV14" s="171">
        <f>SUMIF('IS(M)'!$M$11:$ER$11,DV$7,'IS(M)'!$M20:$ER20)</f>
        <v>0</v>
      </c>
      <c r="DW14" s="171">
        <f>SUMIF('IS(M)'!$M$11:$ER$11,DW$7,'IS(M)'!$M20:$ER20)</f>
        <v>0</v>
      </c>
    </row>
    <row r="15" spans="1:131" ht="11.25" customHeight="1">
      <c r="B15" s="218"/>
      <c r="C15" s="163"/>
      <c r="D15" s="169" t="s">
        <v>1671</v>
      </c>
      <c r="I15" s="146"/>
      <c r="J15" s="13"/>
      <c r="K15" s="171">
        <f t="shared" si="12"/>
        <v>1429432.1490400003</v>
      </c>
      <c r="L15" s="98"/>
      <c r="M15" s="171">
        <f>SUMIF('IS(M)'!$M$11:$ER$11,M$7,'IS(M)'!$M21:$ER21)</f>
        <v>0</v>
      </c>
      <c r="N15" s="171">
        <f>SUMIF('IS(M)'!$M$11:$ER$11,N$7,'IS(M)'!$M21:$ER21)</f>
        <v>71471.607451999997</v>
      </c>
      <c r="O15" s="171">
        <f>SUMIF('IS(M)'!$M$11:$ER$11,O$7,'IS(M)'!$M21:$ER21)</f>
        <v>71471.607451999997</v>
      </c>
      <c r="P15" s="171">
        <f>SUMIF('IS(M)'!$M$11:$ER$11,P$7,'IS(M)'!$M21:$ER21)</f>
        <v>71471.607451999997</v>
      </c>
      <c r="Q15" s="171">
        <f>SUMIF('IS(M)'!$M$11:$ER$11,Q$7,'IS(M)'!$M21:$ER21)</f>
        <v>71471.607451999997</v>
      </c>
      <c r="R15" s="171">
        <f>SUMIF('IS(M)'!$M$11:$ER$11,R$7,'IS(M)'!$M21:$ER21)</f>
        <v>71471.607451999997</v>
      </c>
      <c r="S15" s="171">
        <f>SUMIF('IS(M)'!$M$11:$ER$11,S$7,'IS(M)'!$M21:$ER21)</f>
        <v>71471.607451999997</v>
      </c>
      <c r="T15" s="171">
        <f>SUMIF('IS(M)'!$M$11:$ER$11,T$7,'IS(M)'!$M21:$ER21)</f>
        <v>71471.607451999997</v>
      </c>
      <c r="U15" s="171">
        <f>SUMIF('IS(M)'!$M$11:$ER$11,U$7,'IS(M)'!$M21:$ER21)</f>
        <v>71471.607451999997</v>
      </c>
      <c r="V15" s="171">
        <f>SUMIF('IS(M)'!$M$11:$ER$11,V$7,'IS(M)'!$M21:$ER21)</f>
        <v>71471.607451999997</v>
      </c>
      <c r="W15" s="171">
        <f>SUMIF('IS(M)'!$M$11:$ER$11,W$7,'IS(M)'!$M21:$ER21)</f>
        <v>71471.607451999997</v>
      </c>
      <c r="X15" s="171">
        <f>SUMIF('IS(M)'!$M$11:$ER$11,X$7,'IS(M)'!$M21:$ER21)</f>
        <v>71471.607451999997</v>
      </c>
      <c r="Y15" s="171">
        <f>SUMIF('IS(M)'!$M$11:$ER$11,Y$7,'IS(M)'!$M21:$ER21)</f>
        <v>71471.607451999997</v>
      </c>
      <c r="Z15" s="171">
        <f>SUMIF('IS(M)'!$M$11:$ER$11,Z$7,'IS(M)'!$M21:$ER21)</f>
        <v>71471.607451999997</v>
      </c>
      <c r="AA15" s="171">
        <f>SUMIF('IS(M)'!$M$11:$ER$11,AA$7,'IS(M)'!$M21:$ER21)</f>
        <v>71471.607451999997</v>
      </c>
      <c r="AB15" s="171">
        <f>SUMIF('IS(M)'!$M$11:$ER$11,AB$7,'IS(M)'!$M21:$ER21)</f>
        <v>71471.607451999997</v>
      </c>
      <c r="AC15" s="171">
        <f>SUMIF('IS(M)'!$M$11:$ER$11,AC$7,'IS(M)'!$M21:$ER21)</f>
        <v>71471.607451999997</v>
      </c>
      <c r="AD15" s="171">
        <f>SUMIF('IS(M)'!$M$11:$ER$11,AD$7,'IS(M)'!$M21:$ER21)</f>
        <v>71471.607451999997</v>
      </c>
      <c r="AE15" s="171">
        <f>SUMIF('IS(M)'!$M$11:$ER$11,AE$7,'IS(M)'!$M21:$ER21)</f>
        <v>71471.607451999997</v>
      </c>
      <c r="AF15" s="171">
        <f>SUMIF('IS(M)'!$M$11:$ER$11,AF$7,'IS(M)'!$M21:$ER21)</f>
        <v>71471.607451999997</v>
      </c>
      <c r="AG15" s="171">
        <f>SUMIF('IS(M)'!$M$11:$ER$11,AG$7,'IS(M)'!$M21:$ER21)</f>
        <v>71471.607451999997</v>
      </c>
      <c r="AH15" s="171">
        <f>SUMIF('IS(M)'!$M$11:$ER$11,AH$7,'IS(M)'!$M21:$ER21)</f>
        <v>0</v>
      </c>
      <c r="AI15" s="171">
        <f>SUMIF('IS(M)'!$M$11:$ER$11,AI$7,'IS(M)'!$M21:$ER21)</f>
        <v>0</v>
      </c>
      <c r="AJ15" s="171">
        <f>SUMIF('IS(M)'!$M$11:$ER$11,AJ$7,'IS(M)'!$M21:$ER21)</f>
        <v>0</v>
      </c>
      <c r="AK15" s="171">
        <f>SUMIF('IS(M)'!$M$11:$ER$11,AK$7,'IS(M)'!$M21:$ER21)</f>
        <v>0</v>
      </c>
      <c r="AL15" s="171">
        <f>SUMIF('IS(M)'!$M$11:$ER$11,AL$7,'IS(M)'!$M21:$ER21)</f>
        <v>0</v>
      </c>
      <c r="AM15" s="171">
        <f>SUMIF('IS(M)'!$M$11:$ER$11,AM$7,'IS(M)'!$M21:$ER21)</f>
        <v>0</v>
      </c>
      <c r="AN15" s="171">
        <f>SUMIF('IS(M)'!$M$11:$ER$11,AN$7,'IS(M)'!$M21:$ER21)</f>
        <v>0</v>
      </c>
      <c r="AO15" s="171">
        <f>SUMIF('IS(M)'!$M$11:$ER$11,AO$7,'IS(M)'!$M21:$ER21)</f>
        <v>0</v>
      </c>
      <c r="AP15" s="171">
        <f>SUMIF('IS(M)'!$M$11:$ER$11,AP$7,'IS(M)'!$M21:$ER21)</f>
        <v>0</v>
      </c>
      <c r="AQ15" s="171">
        <f>SUMIF('IS(M)'!$M$11:$ER$11,AQ$7,'IS(M)'!$M21:$ER21)</f>
        <v>0</v>
      </c>
      <c r="AR15" s="171">
        <f>SUMIF('IS(M)'!$M$11:$ER$11,AR$7,'IS(M)'!$M21:$ER21)</f>
        <v>0</v>
      </c>
      <c r="AS15" s="171">
        <f>SUMIF('IS(M)'!$M$11:$ER$11,AS$7,'IS(M)'!$M21:$ER21)</f>
        <v>0</v>
      </c>
      <c r="AT15" s="171">
        <f>SUMIF('IS(M)'!$M$11:$ER$11,AT$7,'IS(M)'!$M21:$ER21)</f>
        <v>0</v>
      </c>
      <c r="AU15" s="171">
        <f>SUMIF('IS(M)'!$M$11:$ER$11,AU$7,'IS(M)'!$M21:$ER21)</f>
        <v>0</v>
      </c>
      <c r="AV15" s="171">
        <f>SUMIF('IS(M)'!$M$11:$ER$11,AV$7,'IS(M)'!$M21:$ER21)</f>
        <v>0</v>
      </c>
      <c r="AW15" s="171">
        <f>SUMIF('IS(M)'!$M$11:$ER$11,AW$7,'IS(M)'!$M21:$ER21)</f>
        <v>0</v>
      </c>
      <c r="AX15" s="171">
        <f>SUMIF('IS(M)'!$M$11:$ER$11,AX$7,'IS(M)'!$M21:$ER21)</f>
        <v>0</v>
      </c>
      <c r="AY15" s="171">
        <f>SUMIF('IS(M)'!$M$11:$ER$11,AY$7,'IS(M)'!$M21:$ER21)</f>
        <v>0</v>
      </c>
      <c r="AZ15" s="171">
        <f>SUMIF('IS(M)'!$M$11:$ER$11,AZ$7,'IS(M)'!$M21:$ER21)</f>
        <v>0</v>
      </c>
      <c r="BA15" s="171">
        <f>SUMIF('IS(M)'!$M$11:$ER$11,BA$7,'IS(M)'!$M21:$ER21)</f>
        <v>0</v>
      </c>
      <c r="BB15" s="171">
        <f>SUMIF('IS(M)'!$M$11:$ER$11,BB$7,'IS(M)'!$M21:$ER21)</f>
        <v>0</v>
      </c>
      <c r="BC15" s="171">
        <f>SUMIF('IS(M)'!$M$11:$ER$11,BC$7,'IS(M)'!$M21:$ER21)</f>
        <v>0</v>
      </c>
      <c r="BD15" s="171">
        <f>SUMIF('IS(M)'!$M$11:$ER$11,BD$7,'IS(M)'!$M21:$ER21)</f>
        <v>0</v>
      </c>
      <c r="BE15" s="171">
        <f>SUMIF('IS(M)'!$M$11:$ER$11,BE$7,'IS(M)'!$M21:$ER21)</f>
        <v>0</v>
      </c>
      <c r="BF15" s="171">
        <f>SUMIF('IS(M)'!$M$11:$ER$11,BF$7,'IS(M)'!$M21:$ER21)</f>
        <v>0</v>
      </c>
      <c r="BG15" s="171">
        <f>SUMIF('IS(M)'!$M$11:$ER$11,BG$7,'IS(M)'!$M21:$ER21)</f>
        <v>0</v>
      </c>
      <c r="BH15" s="171">
        <f>SUMIF('IS(M)'!$M$11:$ER$11,BH$7,'IS(M)'!$M21:$ER21)</f>
        <v>0</v>
      </c>
      <c r="BI15" s="171">
        <f>SUMIF('IS(M)'!$M$11:$ER$11,BI$7,'IS(M)'!$M21:$ER21)</f>
        <v>0</v>
      </c>
      <c r="BJ15" s="171">
        <f>SUMIF('IS(M)'!$M$11:$ER$11,BJ$7,'IS(M)'!$M21:$ER21)</f>
        <v>0</v>
      </c>
      <c r="BK15" s="171">
        <f>SUMIF('IS(M)'!$M$11:$ER$11,BK$7,'IS(M)'!$M21:$ER21)</f>
        <v>0</v>
      </c>
      <c r="BL15" s="171">
        <f>SUMIF('IS(M)'!$M$11:$ER$11,BL$7,'IS(M)'!$M21:$ER21)</f>
        <v>0</v>
      </c>
      <c r="BM15" s="171">
        <f>SUMIF('IS(M)'!$M$11:$ER$11,BM$7,'IS(M)'!$M21:$ER21)</f>
        <v>0</v>
      </c>
      <c r="BN15" s="171">
        <f>SUMIF('IS(M)'!$M$11:$ER$11,BN$7,'IS(M)'!$M21:$ER21)</f>
        <v>0</v>
      </c>
      <c r="BO15" s="171">
        <f>SUMIF('IS(M)'!$M$11:$ER$11,BO$7,'IS(M)'!$M21:$ER21)</f>
        <v>0</v>
      </c>
      <c r="BP15" s="171">
        <f>SUMIF('IS(M)'!$M$11:$ER$11,BP$7,'IS(M)'!$M21:$ER21)</f>
        <v>0</v>
      </c>
      <c r="BQ15" s="171">
        <f>SUMIF('IS(M)'!$M$11:$ER$11,BQ$7,'IS(M)'!$M21:$ER21)</f>
        <v>0</v>
      </c>
      <c r="BR15" s="171">
        <f>SUMIF('IS(M)'!$M$11:$ER$11,BR$7,'IS(M)'!$M21:$ER21)</f>
        <v>0</v>
      </c>
      <c r="BS15" s="171">
        <f>SUMIF('IS(M)'!$M$11:$ER$11,BS$7,'IS(M)'!$M21:$ER21)</f>
        <v>0</v>
      </c>
      <c r="BT15" s="171">
        <f>SUMIF('IS(M)'!$M$11:$ER$11,BT$7,'IS(M)'!$M21:$ER21)</f>
        <v>0</v>
      </c>
      <c r="BU15" s="171">
        <f>SUMIF('IS(M)'!$M$11:$ER$11,BU$7,'IS(M)'!$M21:$ER21)</f>
        <v>0</v>
      </c>
      <c r="BV15" s="171">
        <f>SUMIF('IS(M)'!$M$11:$ER$11,BV$7,'IS(M)'!$M21:$ER21)</f>
        <v>0</v>
      </c>
      <c r="BW15" s="171">
        <f>SUMIF('IS(M)'!$M$11:$ER$11,BW$7,'IS(M)'!$M21:$ER21)</f>
        <v>0</v>
      </c>
      <c r="BX15" s="171">
        <f>SUMIF('IS(M)'!$M$11:$ER$11,BX$7,'IS(M)'!$M21:$ER21)</f>
        <v>0</v>
      </c>
      <c r="BY15" s="171">
        <f>SUMIF('IS(M)'!$M$11:$ER$11,BY$7,'IS(M)'!$M21:$ER21)</f>
        <v>0</v>
      </c>
      <c r="BZ15" s="171">
        <f>SUMIF('IS(M)'!$M$11:$ER$11,BZ$7,'IS(M)'!$M21:$ER21)</f>
        <v>0</v>
      </c>
      <c r="CA15" s="171">
        <f>SUMIF('IS(M)'!$M$11:$ER$11,CA$7,'IS(M)'!$M21:$ER21)</f>
        <v>0</v>
      </c>
      <c r="CB15" s="171">
        <f>SUMIF('IS(M)'!$M$11:$ER$11,CB$7,'IS(M)'!$M21:$ER21)</f>
        <v>0</v>
      </c>
      <c r="CC15" s="171">
        <f>SUMIF('IS(M)'!$M$11:$ER$11,CC$7,'IS(M)'!$M21:$ER21)</f>
        <v>0</v>
      </c>
      <c r="CD15" s="171">
        <f>SUMIF('IS(M)'!$M$11:$ER$11,CD$7,'IS(M)'!$M21:$ER21)</f>
        <v>0</v>
      </c>
      <c r="CE15" s="171">
        <f>SUMIF('IS(M)'!$M$11:$ER$11,CE$7,'IS(M)'!$M21:$ER21)</f>
        <v>0</v>
      </c>
      <c r="CF15" s="171">
        <f>SUMIF('IS(M)'!$M$11:$ER$11,CF$7,'IS(M)'!$M21:$ER21)</f>
        <v>0</v>
      </c>
      <c r="CG15" s="171">
        <f>SUMIF('IS(M)'!$M$11:$ER$11,CG$7,'IS(M)'!$M21:$ER21)</f>
        <v>0</v>
      </c>
      <c r="CH15" s="171">
        <f>SUMIF('IS(M)'!$M$11:$ER$11,CH$7,'IS(M)'!$M21:$ER21)</f>
        <v>0</v>
      </c>
      <c r="CI15" s="171">
        <f>SUMIF('IS(M)'!$M$11:$ER$11,CI$7,'IS(M)'!$M21:$ER21)</f>
        <v>0</v>
      </c>
      <c r="CJ15" s="171">
        <f>SUMIF('IS(M)'!$M$11:$ER$11,CJ$7,'IS(M)'!$M21:$ER21)</f>
        <v>0</v>
      </c>
      <c r="CK15" s="171">
        <f>SUMIF('IS(M)'!$M$11:$ER$11,CK$7,'IS(M)'!$M21:$ER21)</f>
        <v>0</v>
      </c>
      <c r="CL15" s="171">
        <f>SUMIF('IS(M)'!$M$11:$ER$11,CL$7,'IS(M)'!$M21:$ER21)</f>
        <v>0</v>
      </c>
      <c r="CM15" s="171">
        <f>SUMIF('IS(M)'!$M$11:$ER$11,CM$7,'IS(M)'!$M21:$ER21)</f>
        <v>0</v>
      </c>
      <c r="CN15" s="171">
        <f>SUMIF('IS(M)'!$M$11:$ER$11,CN$7,'IS(M)'!$M21:$ER21)</f>
        <v>0</v>
      </c>
      <c r="CO15" s="171">
        <f>SUMIF('IS(M)'!$M$11:$ER$11,CO$7,'IS(M)'!$M21:$ER21)</f>
        <v>0</v>
      </c>
      <c r="CP15" s="171">
        <f>SUMIF('IS(M)'!$M$11:$ER$11,CP$7,'IS(M)'!$M21:$ER21)</f>
        <v>0</v>
      </c>
      <c r="CQ15" s="171">
        <f>SUMIF('IS(M)'!$M$11:$ER$11,CQ$7,'IS(M)'!$M21:$ER21)</f>
        <v>0</v>
      </c>
      <c r="CR15" s="171">
        <f>SUMIF('IS(M)'!$M$11:$ER$11,CR$7,'IS(M)'!$M21:$ER21)</f>
        <v>0</v>
      </c>
      <c r="CS15" s="171">
        <f>SUMIF('IS(M)'!$M$11:$ER$11,CS$7,'IS(M)'!$M21:$ER21)</f>
        <v>0</v>
      </c>
      <c r="CT15" s="171">
        <f>SUMIF('IS(M)'!$M$11:$ER$11,CT$7,'IS(M)'!$M21:$ER21)</f>
        <v>0</v>
      </c>
      <c r="CU15" s="171">
        <f>SUMIF('IS(M)'!$M$11:$ER$11,CU$7,'IS(M)'!$M21:$ER21)</f>
        <v>0</v>
      </c>
      <c r="CV15" s="171">
        <f>SUMIF('IS(M)'!$M$11:$ER$11,CV$7,'IS(M)'!$M21:$ER21)</f>
        <v>0</v>
      </c>
      <c r="CW15" s="171">
        <f>SUMIF('IS(M)'!$M$11:$ER$11,CW$7,'IS(M)'!$M21:$ER21)</f>
        <v>0</v>
      </c>
      <c r="CX15" s="171">
        <f>SUMIF('IS(M)'!$M$11:$ER$11,CX$7,'IS(M)'!$M21:$ER21)</f>
        <v>0</v>
      </c>
      <c r="CY15" s="171">
        <f>SUMIF('IS(M)'!$M$11:$ER$11,CY$7,'IS(M)'!$M21:$ER21)</f>
        <v>0</v>
      </c>
      <c r="CZ15" s="171">
        <f>SUMIF('IS(M)'!$M$11:$ER$11,CZ$7,'IS(M)'!$M21:$ER21)</f>
        <v>0</v>
      </c>
      <c r="DA15" s="171">
        <f>SUMIF('IS(M)'!$M$11:$ER$11,DA$7,'IS(M)'!$M21:$ER21)</f>
        <v>0</v>
      </c>
      <c r="DB15" s="171">
        <f>SUMIF('IS(M)'!$M$11:$ER$11,DB$7,'IS(M)'!$M21:$ER21)</f>
        <v>0</v>
      </c>
      <c r="DC15" s="171">
        <f>SUMIF('IS(M)'!$M$11:$ER$11,DC$7,'IS(M)'!$M21:$ER21)</f>
        <v>0</v>
      </c>
      <c r="DD15" s="171">
        <f>SUMIF('IS(M)'!$M$11:$ER$11,DD$7,'IS(M)'!$M21:$ER21)</f>
        <v>0</v>
      </c>
      <c r="DE15" s="171">
        <f>SUMIF('IS(M)'!$M$11:$ER$11,DE$7,'IS(M)'!$M21:$ER21)</f>
        <v>0</v>
      </c>
      <c r="DF15" s="171">
        <f>SUMIF('IS(M)'!$M$11:$ER$11,DF$7,'IS(M)'!$M21:$ER21)</f>
        <v>0</v>
      </c>
      <c r="DG15" s="171">
        <f>SUMIF('IS(M)'!$M$11:$ER$11,DG$7,'IS(M)'!$M21:$ER21)</f>
        <v>0</v>
      </c>
      <c r="DH15" s="171">
        <f>SUMIF('IS(M)'!$M$11:$ER$11,DH$7,'IS(M)'!$M21:$ER21)</f>
        <v>0</v>
      </c>
      <c r="DI15" s="171">
        <f>SUMIF('IS(M)'!$M$11:$ER$11,DI$7,'IS(M)'!$M21:$ER21)</f>
        <v>0</v>
      </c>
      <c r="DJ15" s="171">
        <f>SUMIF('IS(M)'!$M$11:$ER$11,DJ$7,'IS(M)'!$M21:$ER21)</f>
        <v>0</v>
      </c>
      <c r="DK15" s="171">
        <f>SUMIF('IS(M)'!$M$11:$ER$11,DK$7,'IS(M)'!$M21:$ER21)</f>
        <v>0</v>
      </c>
      <c r="DL15" s="171">
        <f>SUMIF('IS(M)'!$M$11:$ER$11,DL$7,'IS(M)'!$M21:$ER21)</f>
        <v>0</v>
      </c>
      <c r="DM15" s="171">
        <f>SUMIF('IS(M)'!$M$11:$ER$11,DM$7,'IS(M)'!$M21:$ER21)</f>
        <v>0</v>
      </c>
      <c r="DN15" s="171">
        <f>SUMIF('IS(M)'!$M$11:$ER$11,DN$7,'IS(M)'!$M21:$ER21)</f>
        <v>0</v>
      </c>
      <c r="DO15" s="171">
        <f>SUMIF('IS(M)'!$M$11:$ER$11,DO$7,'IS(M)'!$M21:$ER21)</f>
        <v>0</v>
      </c>
      <c r="DP15" s="171">
        <f>SUMIF('IS(M)'!$M$11:$ER$11,DP$7,'IS(M)'!$M21:$ER21)</f>
        <v>0</v>
      </c>
      <c r="DQ15" s="171">
        <f>SUMIF('IS(M)'!$M$11:$ER$11,DQ$7,'IS(M)'!$M21:$ER21)</f>
        <v>0</v>
      </c>
      <c r="DR15" s="171">
        <f>SUMIF('IS(M)'!$M$11:$ER$11,DR$7,'IS(M)'!$M21:$ER21)</f>
        <v>0</v>
      </c>
      <c r="DS15" s="171">
        <f>SUMIF('IS(M)'!$M$11:$ER$11,DS$7,'IS(M)'!$M21:$ER21)</f>
        <v>0</v>
      </c>
      <c r="DT15" s="171">
        <f>SUMIF('IS(M)'!$M$11:$ER$11,DT$7,'IS(M)'!$M21:$ER21)</f>
        <v>0</v>
      </c>
      <c r="DU15" s="171">
        <f>SUMIF('IS(M)'!$M$11:$ER$11,DU$7,'IS(M)'!$M21:$ER21)</f>
        <v>0</v>
      </c>
      <c r="DV15" s="171">
        <f>SUMIF('IS(M)'!$M$11:$ER$11,DV$7,'IS(M)'!$M21:$ER21)</f>
        <v>0</v>
      </c>
      <c r="DW15" s="171">
        <f>SUMIF('IS(M)'!$M$11:$ER$11,DW$7,'IS(M)'!$M21:$ER21)</f>
        <v>0</v>
      </c>
    </row>
    <row r="16" spans="1:131" ht="11.25" customHeight="1">
      <c r="B16" s="218"/>
      <c r="C16" s="158" t="s">
        <v>462</v>
      </c>
      <c r="D16" s="159"/>
      <c r="E16" s="159"/>
      <c r="F16" s="159"/>
      <c r="G16" s="159"/>
      <c r="H16" s="159"/>
      <c r="I16" s="160"/>
      <c r="J16" s="219"/>
      <c r="K16" s="220">
        <f>K17</f>
        <v>0</v>
      </c>
      <c r="L16" s="98"/>
      <c r="M16" s="162">
        <f>M17</f>
        <v>0</v>
      </c>
      <c r="N16" s="162">
        <f t="shared" ref="N16:BY16" si="13">N17</f>
        <v>0</v>
      </c>
      <c r="O16" s="162">
        <f t="shared" si="13"/>
        <v>0</v>
      </c>
      <c r="P16" s="162">
        <f t="shared" si="13"/>
        <v>0</v>
      </c>
      <c r="Q16" s="162">
        <f t="shared" si="13"/>
        <v>0</v>
      </c>
      <c r="R16" s="162">
        <f t="shared" si="13"/>
        <v>0</v>
      </c>
      <c r="S16" s="162">
        <f t="shared" si="13"/>
        <v>0</v>
      </c>
      <c r="T16" s="162">
        <f t="shared" si="13"/>
        <v>0</v>
      </c>
      <c r="U16" s="162">
        <f t="shared" si="13"/>
        <v>0</v>
      </c>
      <c r="V16" s="162">
        <f t="shared" si="13"/>
        <v>0</v>
      </c>
      <c r="W16" s="162">
        <f t="shared" si="13"/>
        <v>0</v>
      </c>
      <c r="X16" s="162">
        <f t="shared" si="13"/>
        <v>0</v>
      </c>
      <c r="Y16" s="162">
        <f t="shared" si="13"/>
        <v>0</v>
      </c>
      <c r="Z16" s="162">
        <f t="shared" si="13"/>
        <v>0</v>
      </c>
      <c r="AA16" s="162">
        <f t="shared" si="13"/>
        <v>0</v>
      </c>
      <c r="AB16" s="162">
        <f t="shared" si="13"/>
        <v>0</v>
      </c>
      <c r="AC16" s="162">
        <f t="shared" si="13"/>
        <v>0</v>
      </c>
      <c r="AD16" s="162">
        <f t="shared" si="13"/>
        <v>0</v>
      </c>
      <c r="AE16" s="162">
        <f t="shared" si="13"/>
        <v>0</v>
      </c>
      <c r="AF16" s="162">
        <f t="shared" si="13"/>
        <v>0</v>
      </c>
      <c r="AG16" s="162">
        <f t="shared" si="13"/>
        <v>0</v>
      </c>
      <c r="AH16" s="162">
        <f t="shared" si="13"/>
        <v>0</v>
      </c>
      <c r="AI16" s="162">
        <f t="shared" si="13"/>
        <v>0</v>
      </c>
      <c r="AJ16" s="162">
        <f t="shared" si="13"/>
        <v>0</v>
      </c>
      <c r="AK16" s="162">
        <f t="shared" si="13"/>
        <v>0</v>
      </c>
      <c r="AL16" s="162">
        <f t="shared" si="13"/>
        <v>0</v>
      </c>
      <c r="AM16" s="162">
        <f t="shared" si="13"/>
        <v>0</v>
      </c>
      <c r="AN16" s="162">
        <f t="shared" si="13"/>
        <v>0</v>
      </c>
      <c r="AO16" s="162">
        <f t="shared" si="13"/>
        <v>0</v>
      </c>
      <c r="AP16" s="162">
        <f t="shared" si="13"/>
        <v>0</v>
      </c>
      <c r="AQ16" s="162">
        <f t="shared" si="13"/>
        <v>0</v>
      </c>
      <c r="AR16" s="162">
        <f t="shared" si="13"/>
        <v>0</v>
      </c>
      <c r="AS16" s="162">
        <f t="shared" si="13"/>
        <v>0</v>
      </c>
      <c r="AT16" s="162">
        <f t="shared" si="13"/>
        <v>0</v>
      </c>
      <c r="AU16" s="162">
        <f t="shared" si="13"/>
        <v>0</v>
      </c>
      <c r="AV16" s="162">
        <f t="shared" si="13"/>
        <v>0</v>
      </c>
      <c r="AW16" s="162">
        <f t="shared" si="13"/>
        <v>0</v>
      </c>
      <c r="AX16" s="162">
        <f t="shared" si="13"/>
        <v>0</v>
      </c>
      <c r="AY16" s="162">
        <f t="shared" si="13"/>
        <v>0</v>
      </c>
      <c r="AZ16" s="162">
        <f t="shared" si="13"/>
        <v>0</v>
      </c>
      <c r="BA16" s="162">
        <f t="shared" si="13"/>
        <v>0</v>
      </c>
      <c r="BB16" s="162">
        <f t="shared" si="13"/>
        <v>0</v>
      </c>
      <c r="BC16" s="162">
        <f t="shared" si="13"/>
        <v>0</v>
      </c>
      <c r="BD16" s="162">
        <f t="shared" si="13"/>
        <v>0</v>
      </c>
      <c r="BE16" s="162">
        <f t="shared" si="13"/>
        <v>0</v>
      </c>
      <c r="BF16" s="162">
        <f t="shared" si="13"/>
        <v>0</v>
      </c>
      <c r="BG16" s="162">
        <f t="shared" si="13"/>
        <v>0</v>
      </c>
      <c r="BH16" s="162">
        <f t="shared" si="13"/>
        <v>0</v>
      </c>
      <c r="BI16" s="162">
        <f t="shared" si="13"/>
        <v>0</v>
      </c>
      <c r="BJ16" s="162">
        <f t="shared" si="13"/>
        <v>0</v>
      </c>
      <c r="BK16" s="162">
        <f t="shared" si="13"/>
        <v>0</v>
      </c>
      <c r="BL16" s="162">
        <f t="shared" si="13"/>
        <v>0</v>
      </c>
      <c r="BM16" s="162">
        <f t="shared" si="13"/>
        <v>0</v>
      </c>
      <c r="BN16" s="162">
        <f t="shared" si="13"/>
        <v>0</v>
      </c>
      <c r="BO16" s="162">
        <f t="shared" si="13"/>
        <v>0</v>
      </c>
      <c r="BP16" s="162">
        <f t="shared" si="13"/>
        <v>0</v>
      </c>
      <c r="BQ16" s="162">
        <f t="shared" si="13"/>
        <v>0</v>
      </c>
      <c r="BR16" s="162">
        <f t="shared" si="13"/>
        <v>0</v>
      </c>
      <c r="BS16" s="162">
        <f t="shared" si="13"/>
        <v>0</v>
      </c>
      <c r="BT16" s="162">
        <f t="shared" si="13"/>
        <v>0</v>
      </c>
      <c r="BU16" s="162">
        <f t="shared" si="13"/>
        <v>0</v>
      </c>
      <c r="BV16" s="162">
        <f t="shared" si="13"/>
        <v>0</v>
      </c>
      <c r="BW16" s="162">
        <f t="shared" si="13"/>
        <v>0</v>
      </c>
      <c r="BX16" s="162">
        <f t="shared" si="13"/>
        <v>0</v>
      </c>
      <c r="BY16" s="162">
        <f t="shared" si="13"/>
        <v>0</v>
      </c>
      <c r="BZ16" s="162">
        <f t="shared" ref="BZ16:DW16" si="14">BZ17</f>
        <v>0</v>
      </c>
      <c r="CA16" s="162">
        <f t="shared" si="14"/>
        <v>0</v>
      </c>
      <c r="CB16" s="162">
        <f t="shared" si="14"/>
        <v>0</v>
      </c>
      <c r="CC16" s="162">
        <f t="shared" si="14"/>
        <v>0</v>
      </c>
      <c r="CD16" s="162">
        <f t="shared" si="14"/>
        <v>0</v>
      </c>
      <c r="CE16" s="162">
        <f t="shared" si="14"/>
        <v>0</v>
      </c>
      <c r="CF16" s="162">
        <f t="shared" si="14"/>
        <v>0</v>
      </c>
      <c r="CG16" s="162">
        <f t="shared" si="14"/>
        <v>0</v>
      </c>
      <c r="CH16" s="162">
        <f t="shared" si="14"/>
        <v>0</v>
      </c>
      <c r="CI16" s="162">
        <f t="shared" si="14"/>
        <v>0</v>
      </c>
      <c r="CJ16" s="162">
        <f t="shared" si="14"/>
        <v>0</v>
      </c>
      <c r="CK16" s="162">
        <f t="shared" si="14"/>
        <v>0</v>
      </c>
      <c r="CL16" s="162">
        <f t="shared" si="14"/>
        <v>0</v>
      </c>
      <c r="CM16" s="162">
        <f t="shared" si="14"/>
        <v>0</v>
      </c>
      <c r="CN16" s="162">
        <f t="shared" si="14"/>
        <v>0</v>
      </c>
      <c r="CO16" s="162">
        <f t="shared" si="14"/>
        <v>0</v>
      </c>
      <c r="CP16" s="162">
        <f t="shared" si="14"/>
        <v>0</v>
      </c>
      <c r="CQ16" s="162">
        <f t="shared" si="14"/>
        <v>0</v>
      </c>
      <c r="CR16" s="162">
        <f t="shared" si="14"/>
        <v>0</v>
      </c>
      <c r="CS16" s="162">
        <f t="shared" si="14"/>
        <v>0</v>
      </c>
      <c r="CT16" s="162">
        <f t="shared" si="14"/>
        <v>0</v>
      </c>
      <c r="CU16" s="162">
        <f t="shared" si="14"/>
        <v>0</v>
      </c>
      <c r="CV16" s="162">
        <f t="shared" si="14"/>
        <v>0</v>
      </c>
      <c r="CW16" s="162">
        <f t="shared" si="14"/>
        <v>0</v>
      </c>
      <c r="CX16" s="162">
        <f t="shared" si="14"/>
        <v>0</v>
      </c>
      <c r="CY16" s="162">
        <f t="shared" si="14"/>
        <v>0</v>
      </c>
      <c r="CZ16" s="162">
        <f t="shared" si="14"/>
        <v>0</v>
      </c>
      <c r="DA16" s="162">
        <f t="shared" si="14"/>
        <v>0</v>
      </c>
      <c r="DB16" s="162">
        <f t="shared" si="14"/>
        <v>0</v>
      </c>
      <c r="DC16" s="162">
        <f t="shared" si="14"/>
        <v>0</v>
      </c>
      <c r="DD16" s="162">
        <f t="shared" si="14"/>
        <v>0</v>
      </c>
      <c r="DE16" s="162">
        <f t="shared" si="14"/>
        <v>0</v>
      </c>
      <c r="DF16" s="162">
        <f t="shared" si="14"/>
        <v>0</v>
      </c>
      <c r="DG16" s="162">
        <f t="shared" si="14"/>
        <v>0</v>
      </c>
      <c r="DH16" s="162">
        <f t="shared" si="14"/>
        <v>0</v>
      </c>
      <c r="DI16" s="162">
        <f t="shared" si="14"/>
        <v>0</v>
      </c>
      <c r="DJ16" s="162">
        <f t="shared" si="14"/>
        <v>0</v>
      </c>
      <c r="DK16" s="162">
        <f t="shared" si="14"/>
        <v>0</v>
      </c>
      <c r="DL16" s="162">
        <f t="shared" si="14"/>
        <v>0</v>
      </c>
      <c r="DM16" s="162">
        <f t="shared" si="14"/>
        <v>0</v>
      </c>
      <c r="DN16" s="162">
        <f t="shared" si="14"/>
        <v>0</v>
      </c>
      <c r="DO16" s="162">
        <f t="shared" si="14"/>
        <v>0</v>
      </c>
      <c r="DP16" s="162">
        <f t="shared" si="14"/>
        <v>0</v>
      </c>
      <c r="DQ16" s="162">
        <f t="shared" si="14"/>
        <v>0</v>
      </c>
      <c r="DR16" s="162">
        <f t="shared" si="14"/>
        <v>0</v>
      </c>
      <c r="DS16" s="162">
        <f t="shared" si="14"/>
        <v>0</v>
      </c>
      <c r="DT16" s="162">
        <f t="shared" si="14"/>
        <v>0</v>
      </c>
      <c r="DU16" s="162">
        <f t="shared" si="14"/>
        <v>0</v>
      </c>
      <c r="DV16" s="162">
        <f t="shared" si="14"/>
        <v>0</v>
      </c>
      <c r="DW16" s="162">
        <f t="shared" si="14"/>
        <v>0</v>
      </c>
    </row>
    <row r="17" spans="2:127" ht="11.25" customHeight="1">
      <c r="B17" s="218"/>
      <c r="C17" s="163"/>
      <c r="D17" s="164" t="s">
        <v>462</v>
      </c>
      <c r="E17" s="165"/>
      <c r="F17" s="165"/>
      <c r="G17" s="165"/>
      <c r="H17" s="165"/>
      <c r="I17" s="166"/>
      <c r="J17" s="221"/>
      <c r="K17" s="168">
        <f t="shared" si="12"/>
        <v>0</v>
      </c>
      <c r="L17" s="98"/>
      <c r="M17" s="168">
        <f>SUMIF('IS(M)'!$M$11:$ER$11,M$7,'IS(M)'!$M23:$ER23)</f>
        <v>0</v>
      </c>
      <c r="N17" s="168">
        <f>SUMIF('IS(M)'!$M$11:$ER$11,N$7,'IS(M)'!$M23:$ER23)</f>
        <v>0</v>
      </c>
      <c r="O17" s="168">
        <f>SUMIF('IS(M)'!$M$11:$ER$11,O$7,'IS(M)'!$M23:$ER23)</f>
        <v>0</v>
      </c>
      <c r="P17" s="168">
        <f>SUMIF('IS(M)'!$M$11:$ER$11,P$7,'IS(M)'!$M23:$ER23)</f>
        <v>0</v>
      </c>
      <c r="Q17" s="168">
        <f>SUMIF('IS(M)'!$M$11:$ER$11,Q$7,'IS(M)'!$M23:$ER23)</f>
        <v>0</v>
      </c>
      <c r="R17" s="168">
        <f>SUMIF('IS(M)'!$M$11:$ER$11,R$7,'IS(M)'!$M23:$ER23)</f>
        <v>0</v>
      </c>
      <c r="S17" s="168">
        <f>SUMIF('IS(M)'!$M$11:$ER$11,S$7,'IS(M)'!$M23:$ER23)</f>
        <v>0</v>
      </c>
      <c r="T17" s="168">
        <f>SUMIF('IS(M)'!$M$11:$ER$11,T$7,'IS(M)'!$M23:$ER23)</f>
        <v>0</v>
      </c>
      <c r="U17" s="168">
        <f>SUMIF('IS(M)'!$M$11:$ER$11,U$7,'IS(M)'!$M23:$ER23)</f>
        <v>0</v>
      </c>
      <c r="V17" s="168">
        <f>SUMIF('IS(M)'!$M$11:$ER$11,V$7,'IS(M)'!$M23:$ER23)</f>
        <v>0</v>
      </c>
      <c r="W17" s="168">
        <f>SUMIF('IS(M)'!$M$11:$ER$11,W$7,'IS(M)'!$M23:$ER23)</f>
        <v>0</v>
      </c>
      <c r="X17" s="168">
        <f>SUMIF('IS(M)'!$M$11:$ER$11,X$7,'IS(M)'!$M23:$ER23)</f>
        <v>0</v>
      </c>
      <c r="Y17" s="168">
        <f>SUMIF('IS(M)'!$M$11:$ER$11,Y$7,'IS(M)'!$M23:$ER23)</f>
        <v>0</v>
      </c>
      <c r="Z17" s="168">
        <f>SUMIF('IS(M)'!$M$11:$ER$11,Z$7,'IS(M)'!$M23:$ER23)</f>
        <v>0</v>
      </c>
      <c r="AA17" s="168">
        <f>SUMIF('IS(M)'!$M$11:$ER$11,AA$7,'IS(M)'!$M23:$ER23)</f>
        <v>0</v>
      </c>
      <c r="AB17" s="168">
        <f>SUMIF('IS(M)'!$M$11:$ER$11,AB$7,'IS(M)'!$M23:$ER23)</f>
        <v>0</v>
      </c>
      <c r="AC17" s="168">
        <f>SUMIF('IS(M)'!$M$11:$ER$11,AC$7,'IS(M)'!$M23:$ER23)</f>
        <v>0</v>
      </c>
      <c r="AD17" s="168">
        <f>SUMIF('IS(M)'!$M$11:$ER$11,AD$7,'IS(M)'!$M23:$ER23)</f>
        <v>0</v>
      </c>
      <c r="AE17" s="168">
        <f>SUMIF('IS(M)'!$M$11:$ER$11,AE$7,'IS(M)'!$M23:$ER23)</f>
        <v>0</v>
      </c>
      <c r="AF17" s="168">
        <f>SUMIF('IS(M)'!$M$11:$ER$11,AF$7,'IS(M)'!$M23:$ER23)</f>
        <v>0</v>
      </c>
      <c r="AG17" s="168">
        <f>SUMIF('IS(M)'!$M$11:$ER$11,AG$7,'IS(M)'!$M23:$ER23)</f>
        <v>0</v>
      </c>
      <c r="AH17" s="168">
        <f>SUMIF('IS(M)'!$M$11:$ER$11,AH$7,'IS(M)'!$M23:$ER23)</f>
        <v>0</v>
      </c>
      <c r="AI17" s="168">
        <f>SUMIF('IS(M)'!$M$11:$ER$11,AI$7,'IS(M)'!$M23:$ER23)</f>
        <v>0</v>
      </c>
      <c r="AJ17" s="168">
        <f>SUMIF('IS(M)'!$M$11:$ER$11,AJ$7,'IS(M)'!$M23:$ER23)</f>
        <v>0</v>
      </c>
      <c r="AK17" s="168">
        <f>SUMIF('IS(M)'!$M$11:$ER$11,AK$7,'IS(M)'!$M23:$ER23)</f>
        <v>0</v>
      </c>
      <c r="AL17" s="168">
        <f>SUMIF('IS(M)'!$M$11:$ER$11,AL$7,'IS(M)'!$M23:$ER23)</f>
        <v>0</v>
      </c>
      <c r="AM17" s="168">
        <f>SUMIF('IS(M)'!$M$11:$ER$11,AM$7,'IS(M)'!$M23:$ER23)</f>
        <v>0</v>
      </c>
      <c r="AN17" s="168">
        <f>SUMIF('IS(M)'!$M$11:$ER$11,AN$7,'IS(M)'!$M23:$ER23)</f>
        <v>0</v>
      </c>
      <c r="AO17" s="168">
        <f>SUMIF('IS(M)'!$M$11:$ER$11,AO$7,'IS(M)'!$M23:$ER23)</f>
        <v>0</v>
      </c>
      <c r="AP17" s="168">
        <f>SUMIF('IS(M)'!$M$11:$ER$11,AP$7,'IS(M)'!$M23:$ER23)</f>
        <v>0</v>
      </c>
      <c r="AQ17" s="168">
        <f>SUMIF('IS(M)'!$M$11:$ER$11,AQ$7,'IS(M)'!$M23:$ER23)</f>
        <v>0</v>
      </c>
      <c r="AR17" s="168">
        <f>SUMIF('IS(M)'!$M$11:$ER$11,AR$7,'IS(M)'!$M23:$ER23)</f>
        <v>0</v>
      </c>
      <c r="AS17" s="168">
        <f>SUMIF('IS(M)'!$M$11:$ER$11,AS$7,'IS(M)'!$M23:$ER23)</f>
        <v>0</v>
      </c>
      <c r="AT17" s="168">
        <f>SUMIF('IS(M)'!$M$11:$ER$11,AT$7,'IS(M)'!$M23:$ER23)</f>
        <v>0</v>
      </c>
      <c r="AU17" s="168">
        <f>SUMIF('IS(M)'!$M$11:$ER$11,AU$7,'IS(M)'!$M23:$ER23)</f>
        <v>0</v>
      </c>
      <c r="AV17" s="168">
        <f>SUMIF('IS(M)'!$M$11:$ER$11,AV$7,'IS(M)'!$M23:$ER23)</f>
        <v>0</v>
      </c>
      <c r="AW17" s="168">
        <f>SUMIF('IS(M)'!$M$11:$ER$11,AW$7,'IS(M)'!$M23:$ER23)</f>
        <v>0</v>
      </c>
      <c r="AX17" s="168">
        <f>SUMIF('IS(M)'!$M$11:$ER$11,AX$7,'IS(M)'!$M23:$ER23)</f>
        <v>0</v>
      </c>
      <c r="AY17" s="168">
        <f>SUMIF('IS(M)'!$M$11:$ER$11,AY$7,'IS(M)'!$M23:$ER23)</f>
        <v>0</v>
      </c>
      <c r="AZ17" s="168">
        <f>SUMIF('IS(M)'!$M$11:$ER$11,AZ$7,'IS(M)'!$M23:$ER23)</f>
        <v>0</v>
      </c>
      <c r="BA17" s="168">
        <f>SUMIF('IS(M)'!$M$11:$ER$11,BA$7,'IS(M)'!$M23:$ER23)</f>
        <v>0</v>
      </c>
      <c r="BB17" s="168">
        <f>SUMIF('IS(M)'!$M$11:$ER$11,BB$7,'IS(M)'!$M23:$ER23)</f>
        <v>0</v>
      </c>
      <c r="BC17" s="168">
        <f>SUMIF('IS(M)'!$M$11:$ER$11,BC$7,'IS(M)'!$M23:$ER23)</f>
        <v>0</v>
      </c>
      <c r="BD17" s="168">
        <f>SUMIF('IS(M)'!$M$11:$ER$11,BD$7,'IS(M)'!$M23:$ER23)</f>
        <v>0</v>
      </c>
      <c r="BE17" s="168">
        <f>SUMIF('IS(M)'!$M$11:$ER$11,BE$7,'IS(M)'!$M23:$ER23)</f>
        <v>0</v>
      </c>
      <c r="BF17" s="168">
        <f>SUMIF('IS(M)'!$M$11:$ER$11,BF$7,'IS(M)'!$M23:$ER23)</f>
        <v>0</v>
      </c>
      <c r="BG17" s="168">
        <f>SUMIF('IS(M)'!$M$11:$ER$11,BG$7,'IS(M)'!$M23:$ER23)</f>
        <v>0</v>
      </c>
      <c r="BH17" s="168">
        <f>SUMIF('IS(M)'!$M$11:$ER$11,BH$7,'IS(M)'!$M23:$ER23)</f>
        <v>0</v>
      </c>
      <c r="BI17" s="168">
        <f>SUMIF('IS(M)'!$M$11:$ER$11,BI$7,'IS(M)'!$M23:$ER23)</f>
        <v>0</v>
      </c>
      <c r="BJ17" s="168">
        <f>SUMIF('IS(M)'!$M$11:$ER$11,BJ$7,'IS(M)'!$M23:$ER23)</f>
        <v>0</v>
      </c>
      <c r="BK17" s="168">
        <f>SUMIF('IS(M)'!$M$11:$ER$11,BK$7,'IS(M)'!$M23:$ER23)</f>
        <v>0</v>
      </c>
      <c r="BL17" s="168">
        <f>SUMIF('IS(M)'!$M$11:$ER$11,BL$7,'IS(M)'!$M23:$ER23)</f>
        <v>0</v>
      </c>
      <c r="BM17" s="168">
        <f>SUMIF('IS(M)'!$M$11:$ER$11,BM$7,'IS(M)'!$M23:$ER23)</f>
        <v>0</v>
      </c>
      <c r="BN17" s="168">
        <f>SUMIF('IS(M)'!$M$11:$ER$11,BN$7,'IS(M)'!$M23:$ER23)</f>
        <v>0</v>
      </c>
      <c r="BO17" s="168">
        <f>SUMIF('IS(M)'!$M$11:$ER$11,BO$7,'IS(M)'!$M23:$ER23)</f>
        <v>0</v>
      </c>
      <c r="BP17" s="168">
        <f>SUMIF('IS(M)'!$M$11:$ER$11,BP$7,'IS(M)'!$M23:$ER23)</f>
        <v>0</v>
      </c>
      <c r="BQ17" s="168">
        <f>SUMIF('IS(M)'!$M$11:$ER$11,BQ$7,'IS(M)'!$M23:$ER23)</f>
        <v>0</v>
      </c>
      <c r="BR17" s="168">
        <f>SUMIF('IS(M)'!$M$11:$ER$11,BR$7,'IS(M)'!$M23:$ER23)</f>
        <v>0</v>
      </c>
      <c r="BS17" s="168">
        <f>SUMIF('IS(M)'!$M$11:$ER$11,BS$7,'IS(M)'!$M23:$ER23)</f>
        <v>0</v>
      </c>
      <c r="BT17" s="168">
        <f>SUMIF('IS(M)'!$M$11:$ER$11,BT$7,'IS(M)'!$M23:$ER23)</f>
        <v>0</v>
      </c>
      <c r="BU17" s="168">
        <f>SUMIF('IS(M)'!$M$11:$ER$11,BU$7,'IS(M)'!$M23:$ER23)</f>
        <v>0</v>
      </c>
      <c r="BV17" s="168">
        <f>SUMIF('IS(M)'!$M$11:$ER$11,BV$7,'IS(M)'!$M23:$ER23)</f>
        <v>0</v>
      </c>
      <c r="BW17" s="168">
        <f>SUMIF('IS(M)'!$M$11:$ER$11,BW$7,'IS(M)'!$M23:$ER23)</f>
        <v>0</v>
      </c>
      <c r="BX17" s="168">
        <f>SUMIF('IS(M)'!$M$11:$ER$11,BX$7,'IS(M)'!$M23:$ER23)</f>
        <v>0</v>
      </c>
      <c r="BY17" s="168">
        <f>SUMIF('IS(M)'!$M$11:$ER$11,BY$7,'IS(M)'!$M23:$ER23)</f>
        <v>0</v>
      </c>
      <c r="BZ17" s="168">
        <f>SUMIF('IS(M)'!$M$11:$ER$11,BZ$7,'IS(M)'!$M23:$ER23)</f>
        <v>0</v>
      </c>
      <c r="CA17" s="168">
        <f>SUMIF('IS(M)'!$M$11:$ER$11,CA$7,'IS(M)'!$M23:$ER23)</f>
        <v>0</v>
      </c>
      <c r="CB17" s="168">
        <f>SUMIF('IS(M)'!$M$11:$ER$11,CB$7,'IS(M)'!$M23:$ER23)</f>
        <v>0</v>
      </c>
      <c r="CC17" s="168">
        <f>SUMIF('IS(M)'!$M$11:$ER$11,CC$7,'IS(M)'!$M23:$ER23)</f>
        <v>0</v>
      </c>
      <c r="CD17" s="168">
        <f>SUMIF('IS(M)'!$M$11:$ER$11,CD$7,'IS(M)'!$M23:$ER23)</f>
        <v>0</v>
      </c>
      <c r="CE17" s="168">
        <f>SUMIF('IS(M)'!$M$11:$ER$11,CE$7,'IS(M)'!$M23:$ER23)</f>
        <v>0</v>
      </c>
      <c r="CF17" s="168">
        <f>SUMIF('IS(M)'!$M$11:$ER$11,CF$7,'IS(M)'!$M23:$ER23)</f>
        <v>0</v>
      </c>
      <c r="CG17" s="168">
        <f>SUMIF('IS(M)'!$M$11:$ER$11,CG$7,'IS(M)'!$M23:$ER23)</f>
        <v>0</v>
      </c>
      <c r="CH17" s="168">
        <f>SUMIF('IS(M)'!$M$11:$ER$11,CH$7,'IS(M)'!$M23:$ER23)</f>
        <v>0</v>
      </c>
      <c r="CI17" s="168">
        <f>SUMIF('IS(M)'!$M$11:$ER$11,CI$7,'IS(M)'!$M23:$ER23)</f>
        <v>0</v>
      </c>
      <c r="CJ17" s="168">
        <f>SUMIF('IS(M)'!$M$11:$ER$11,CJ$7,'IS(M)'!$M23:$ER23)</f>
        <v>0</v>
      </c>
      <c r="CK17" s="168">
        <f>SUMIF('IS(M)'!$M$11:$ER$11,CK$7,'IS(M)'!$M23:$ER23)</f>
        <v>0</v>
      </c>
      <c r="CL17" s="168">
        <f>SUMIF('IS(M)'!$M$11:$ER$11,CL$7,'IS(M)'!$M23:$ER23)</f>
        <v>0</v>
      </c>
      <c r="CM17" s="168">
        <f>SUMIF('IS(M)'!$M$11:$ER$11,CM$7,'IS(M)'!$M23:$ER23)</f>
        <v>0</v>
      </c>
      <c r="CN17" s="168">
        <f>SUMIF('IS(M)'!$M$11:$ER$11,CN$7,'IS(M)'!$M23:$ER23)</f>
        <v>0</v>
      </c>
      <c r="CO17" s="168">
        <f>SUMIF('IS(M)'!$M$11:$ER$11,CO$7,'IS(M)'!$M23:$ER23)</f>
        <v>0</v>
      </c>
      <c r="CP17" s="168">
        <f>SUMIF('IS(M)'!$M$11:$ER$11,CP$7,'IS(M)'!$M23:$ER23)</f>
        <v>0</v>
      </c>
      <c r="CQ17" s="168">
        <f>SUMIF('IS(M)'!$M$11:$ER$11,CQ$7,'IS(M)'!$M23:$ER23)</f>
        <v>0</v>
      </c>
      <c r="CR17" s="168">
        <f>SUMIF('IS(M)'!$M$11:$ER$11,CR$7,'IS(M)'!$M23:$ER23)</f>
        <v>0</v>
      </c>
      <c r="CS17" s="168">
        <f>SUMIF('IS(M)'!$M$11:$ER$11,CS$7,'IS(M)'!$M23:$ER23)</f>
        <v>0</v>
      </c>
      <c r="CT17" s="168">
        <f>SUMIF('IS(M)'!$M$11:$ER$11,CT$7,'IS(M)'!$M23:$ER23)</f>
        <v>0</v>
      </c>
      <c r="CU17" s="168">
        <f>SUMIF('IS(M)'!$M$11:$ER$11,CU$7,'IS(M)'!$M23:$ER23)</f>
        <v>0</v>
      </c>
      <c r="CV17" s="168">
        <f>SUMIF('IS(M)'!$M$11:$ER$11,CV$7,'IS(M)'!$M23:$ER23)</f>
        <v>0</v>
      </c>
      <c r="CW17" s="168">
        <f>SUMIF('IS(M)'!$M$11:$ER$11,CW$7,'IS(M)'!$M23:$ER23)</f>
        <v>0</v>
      </c>
      <c r="CX17" s="168">
        <f>SUMIF('IS(M)'!$M$11:$ER$11,CX$7,'IS(M)'!$M23:$ER23)</f>
        <v>0</v>
      </c>
      <c r="CY17" s="168">
        <f>SUMIF('IS(M)'!$M$11:$ER$11,CY$7,'IS(M)'!$M23:$ER23)</f>
        <v>0</v>
      </c>
      <c r="CZ17" s="168">
        <f>SUMIF('IS(M)'!$M$11:$ER$11,CZ$7,'IS(M)'!$M23:$ER23)</f>
        <v>0</v>
      </c>
      <c r="DA17" s="168">
        <f>SUMIF('IS(M)'!$M$11:$ER$11,DA$7,'IS(M)'!$M23:$ER23)</f>
        <v>0</v>
      </c>
      <c r="DB17" s="168">
        <f>SUMIF('IS(M)'!$M$11:$ER$11,DB$7,'IS(M)'!$M23:$ER23)</f>
        <v>0</v>
      </c>
      <c r="DC17" s="168">
        <f>SUMIF('IS(M)'!$M$11:$ER$11,DC$7,'IS(M)'!$M23:$ER23)</f>
        <v>0</v>
      </c>
      <c r="DD17" s="168">
        <f>SUMIF('IS(M)'!$M$11:$ER$11,DD$7,'IS(M)'!$M23:$ER23)</f>
        <v>0</v>
      </c>
      <c r="DE17" s="168">
        <f>SUMIF('IS(M)'!$M$11:$ER$11,DE$7,'IS(M)'!$M23:$ER23)</f>
        <v>0</v>
      </c>
      <c r="DF17" s="168">
        <f>SUMIF('IS(M)'!$M$11:$ER$11,DF$7,'IS(M)'!$M23:$ER23)</f>
        <v>0</v>
      </c>
      <c r="DG17" s="168">
        <f>SUMIF('IS(M)'!$M$11:$ER$11,DG$7,'IS(M)'!$M23:$ER23)</f>
        <v>0</v>
      </c>
      <c r="DH17" s="168">
        <f>SUMIF('IS(M)'!$M$11:$ER$11,DH$7,'IS(M)'!$M23:$ER23)</f>
        <v>0</v>
      </c>
      <c r="DI17" s="168">
        <f>SUMIF('IS(M)'!$M$11:$ER$11,DI$7,'IS(M)'!$M23:$ER23)</f>
        <v>0</v>
      </c>
      <c r="DJ17" s="168">
        <f>SUMIF('IS(M)'!$M$11:$ER$11,DJ$7,'IS(M)'!$M23:$ER23)</f>
        <v>0</v>
      </c>
      <c r="DK17" s="168">
        <f>SUMIF('IS(M)'!$M$11:$ER$11,DK$7,'IS(M)'!$M23:$ER23)</f>
        <v>0</v>
      </c>
      <c r="DL17" s="168">
        <f>SUMIF('IS(M)'!$M$11:$ER$11,DL$7,'IS(M)'!$M23:$ER23)</f>
        <v>0</v>
      </c>
      <c r="DM17" s="168">
        <f>SUMIF('IS(M)'!$M$11:$ER$11,DM$7,'IS(M)'!$M23:$ER23)</f>
        <v>0</v>
      </c>
      <c r="DN17" s="168">
        <f>SUMIF('IS(M)'!$M$11:$ER$11,DN$7,'IS(M)'!$M23:$ER23)</f>
        <v>0</v>
      </c>
      <c r="DO17" s="168">
        <f>SUMIF('IS(M)'!$M$11:$ER$11,DO$7,'IS(M)'!$M23:$ER23)</f>
        <v>0</v>
      </c>
      <c r="DP17" s="168">
        <f>SUMIF('IS(M)'!$M$11:$ER$11,DP$7,'IS(M)'!$M23:$ER23)</f>
        <v>0</v>
      </c>
      <c r="DQ17" s="168">
        <f>SUMIF('IS(M)'!$M$11:$ER$11,DQ$7,'IS(M)'!$M23:$ER23)</f>
        <v>0</v>
      </c>
      <c r="DR17" s="168">
        <f>SUMIF('IS(M)'!$M$11:$ER$11,DR$7,'IS(M)'!$M23:$ER23)</f>
        <v>0</v>
      </c>
      <c r="DS17" s="168">
        <f>SUMIF('IS(M)'!$M$11:$ER$11,DS$7,'IS(M)'!$M23:$ER23)</f>
        <v>0</v>
      </c>
      <c r="DT17" s="168">
        <f>SUMIF('IS(M)'!$M$11:$ER$11,DT$7,'IS(M)'!$M23:$ER23)</f>
        <v>0</v>
      </c>
      <c r="DU17" s="168">
        <f>SUMIF('IS(M)'!$M$11:$ER$11,DU$7,'IS(M)'!$M23:$ER23)</f>
        <v>0</v>
      </c>
      <c r="DV17" s="168">
        <f>SUMIF('IS(M)'!$M$11:$ER$11,DV$7,'IS(M)'!$M23:$ER23)</f>
        <v>0</v>
      </c>
      <c r="DW17" s="168">
        <f>SUMIF('IS(M)'!$M$11:$ER$11,DW$7,'IS(M)'!$M23:$ER23)</f>
        <v>0</v>
      </c>
    </row>
    <row r="18" spans="2:127" ht="11.25" customHeight="1">
      <c r="B18" s="218"/>
      <c r="C18" s="158" t="s">
        <v>460</v>
      </c>
      <c r="D18" s="159"/>
      <c r="E18" s="159"/>
      <c r="F18" s="159"/>
      <c r="G18" s="159"/>
      <c r="H18" s="159"/>
      <c r="I18" s="160"/>
      <c r="J18" s="219"/>
      <c r="K18" s="220">
        <f>SUM(K19:K35)</f>
        <v>65480608.757875592</v>
      </c>
      <c r="L18" s="98"/>
      <c r="M18" s="162">
        <f>SUM(M19:M35)</f>
        <v>0</v>
      </c>
      <c r="N18" s="162">
        <f t="shared" ref="N18:BY18" si="15">SUM(N19:N35)</f>
        <v>3230438.7242004108</v>
      </c>
      <c r="O18" s="162">
        <f t="shared" si="15"/>
        <v>3219565.3542004107</v>
      </c>
      <c r="P18" s="162">
        <f t="shared" si="15"/>
        <v>3220630.931695987</v>
      </c>
      <c r="Q18" s="162">
        <f t="shared" si="15"/>
        <v>3220630.931695987</v>
      </c>
      <c r="R18" s="162">
        <f t="shared" si="15"/>
        <v>3222115.9606042244</v>
      </c>
      <c r="S18" s="162">
        <f t="shared" si="15"/>
        <v>3290514.3531263936</v>
      </c>
      <c r="T18" s="162">
        <f t="shared" si="15"/>
        <v>3267218.2474608645</v>
      </c>
      <c r="U18" s="162">
        <f t="shared" si="15"/>
        <v>3224579.8614232806</v>
      </c>
      <c r="V18" s="162">
        <f t="shared" si="15"/>
        <v>3226347.990940948</v>
      </c>
      <c r="W18" s="162">
        <f t="shared" si="15"/>
        <v>3226347.990940948</v>
      </c>
      <c r="X18" s="162">
        <f t="shared" si="15"/>
        <v>3229097.1990517438</v>
      </c>
      <c r="Y18" s="162">
        <f t="shared" si="15"/>
        <v>3229097.1990517438</v>
      </c>
      <c r="Z18" s="162">
        <f t="shared" si="15"/>
        <v>3232270.2728906153</v>
      </c>
      <c r="AA18" s="162">
        <f t="shared" si="15"/>
        <v>3232270.2728906153</v>
      </c>
      <c r="AB18" s="162">
        <f t="shared" si="15"/>
        <v>3235868.7155870488</v>
      </c>
      <c r="AC18" s="162">
        <f t="shared" si="15"/>
        <v>3913406.9890191937</v>
      </c>
      <c r="AD18" s="162">
        <f t="shared" si="15"/>
        <v>3330984.5660057315</v>
      </c>
      <c r="AE18" s="162">
        <f t="shared" si="15"/>
        <v>3240526.1456929971</v>
      </c>
      <c r="AF18" s="162">
        <f t="shared" si="15"/>
        <v>3244348.525698219</v>
      </c>
      <c r="AG18" s="162">
        <f t="shared" si="15"/>
        <v>3244348.525698219</v>
      </c>
      <c r="AH18" s="162">
        <f t="shared" si="15"/>
        <v>0</v>
      </c>
      <c r="AI18" s="162">
        <f t="shared" si="15"/>
        <v>0</v>
      </c>
      <c r="AJ18" s="162">
        <f t="shared" si="15"/>
        <v>0</v>
      </c>
      <c r="AK18" s="162">
        <f t="shared" si="15"/>
        <v>0</v>
      </c>
      <c r="AL18" s="162">
        <f t="shared" si="15"/>
        <v>0</v>
      </c>
      <c r="AM18" s="162">
        <f t="shared" si="15"/>
        <v>0</v>
      </c>
      <c r="AN18" s="162">
        <f t="shared" si="15"/>
        <v>0</v>
      </c>
      <c r="AO18" s="162">
        <f t="shared" si="15"/>
        <v>0</v>
      </c>
      <c r="AP18" s="162">
        <f t="shared" si="15"/>
        <v>0</v>
      </c>
      <c r="AQ18" s="162">
        <f t="shared" si="15"/>
        <v>0</v>
      </c>
      <c r="AR18" s="162">
        <f t="shared" si="15"/>
        <v>0</v>
      </c>
      <c r="AS18" s="162">
        <f t="shared" si="15"/>
        <v>0</v>
      </c>
      <c r="AT18" s="162">
        <f t="shared" si="15"/>
        <v>0</v>
      </c>
      <c r="AU18" s="162">
        <f t="shared" si="15"/>
        <v>0</v>
      </c>
      <c r="AV18" s="162">
        <f t="shared" si="15"/>
        <v>0</v>
      </c>
      <c r="AW18" s="162">
        <f t="shared" si="15"/>
        <v>0</v>
      </c>
      <c r="AX18" s="162">
        <f t="shared" si="15"/>
        <v>0</v>
      </c>
      <c r="AY18" s="162">
        <f t="shared" si="15"/>
        <v>0</v>
      </c>
      <c r="AZ18" s="162">
        <f t="shared" si="15"/>
        <v>0</v>
      </c>
      <c r="BA18" s="162">
        <f t="shared" si="15"/>
        <v>0</v>
      </c>
      <c r="BB18" s="162">
        <f t="shared" si="15"/>
        <v>0</v>
      </c>
      <c r="BC18" s="162">
        <f t="shared" si="15"/>
        <v>0</v>
      </c>
      <c r="BD18" s="162">
        <f t="shared" si="15"/>
        <v>0</v>
      </c>
      <c r="BE18" s="162">
        <f t="shared" si="15"/>
        <v>0</v>
      </c>
      <c r="BF18" s="162">
        <f t="shared" si="15"/>
        <v>0</v>
      </c>
      <c r="BG18" s="162">
        <f t="shared" si="15"/>
        <v>0</v>
      </c>
      <c r="BH18" s="162">
        <f t="shared" si="15"/>
        <v>0</v>
      </c>
      <c r="BI18" s="162">
        <f t="shared" si="15"/>
        <v>0</v>
      </c>
      <c r="BJ18" s="162">
        <f t="shared" si="15"/>
        <v>0</v>
      </c>
      <c r="BK18" s="162">
        <f t="shared" si="15"/>
        <v>0</v>
      </c>
      <c r="BL18" s="162">
        <f t="shared" si="15"/>
        <v>0</v>
      </c>
      <c r="BM18" s="162">
        <f t="shared" si="15"/>
        <v>0</v>
      </c>
      <c r="BN18" s="162">
        <f t="shared" si="15"/>
        <v>0</v>
      </c>
      <c r="BO18" s="162">
        <f t="shared" si="15"/>
        <v>0</v>
      </c>
      <c r="BP18" s="162">
        <f t="shared" si="15"/>
        <v>0</v>
      </c>
      <c r="BQ18" s="162">
        <f t="shared" si="15"/>
        <v>0</v>
      </c>
      <c r="BR18" s="162">
        <f t="shared" si="15"/>
        <v>0</v>
      </c>
      <c r="BS18" s="162">
        <f t="shared" si="15"/>
        <v>0</v>
      </c>
      <c r="BT18" s="162">
        <f t="shared" si="15"/>
        <v>0</v>
      </c>
      <c r="BU18" s="162">
        <f t="shared" si="15"/>
        <v>0</v>
      </c>
      <c r="BV18" s="162">
        <f t="shared" si="15"/>
        <v>0</v>
      </c>
      <c r="BW18" s="162">
        <f t="shared" si="15"/>
        <v>0</v>
      </c>
      <c r="BX18" s="162">
        <f t="shared" si="15"/>
        <v>0</v>
      </c>
      <c r="BY18" s="162">
        <f t="shared" si="15"/>
        <v>0</v>
      </c>
      <c r="BZ18" s="162">
        <f t="shared" ref="BZ18:DW18" si="16">SUM(BZ19:BZ35)</f>
        <v>0</v>
      </c>
      <c r="CA18" s="162">
        <f t="shared" si="16"/>
        <v>0</v>
      </c>
      <c r="CB18" s="162">
        <f t="shared" si="16"/>
        <v>0</v>
      </c>
      <c r="CC18" s="162">
        <f t="shared" si="16"/>
        <v>0</v>
      </c>
      <c r="CD18" s="162">
        <f t="shared" si="16"/>
        <v>0</v>
      </c>
      <c r="CE18" s="162">
        <f t="shared" si="16"/>
        <v>0</v>
      </c>
      <c r="CF18" s="162">
        <f t="shared" si="16"/>
        <v>0</v>
      </c>
      <c r="CG18" s="162">
        <f t="shared" si="16"/>
        <v>0</v>
      </c>
      <c r="CH18" s="162">
        <f t="shared" si="16"/>
        <v>0</v>
      </c>
      <c r="CI18" s="162">
        <f t="shared" si="16"/>
        <v>0</v>
      </c>
      <c r="CJ18" s="162">
        <f t="shared" si="16"/>
        <v>0</v>
      </c>
      <c r="CK18" s="162">
        <f t="shared" si="16"/>
        <v>0</v>
      </c>
      <c r="CL18" s="162">
        <f t="shared" si="16"/>
        <v>0</v>
      </c>
      <c r="CM18" s="162">
        <f t="shared" si="16"/>
        <v>0</v>
      </c>
      <c r="CN18" s="162">
        <f t="shared" si="16"/>
        <v>0</v>
      </c>
      <c r="CO18" s="162">
        <f t="shared" si="16"/>
        <v>0</v>
      </c>
      <c r="CP18" s="162">
        <f t="shared" si="16"/>
        <v>0</v>
      </c>
      <c r="CQ18" s="162">
        <f t="shared" si="16"/>
        <v>0</v>
      </c>
      <c r="CR18" s="162">
        <f t="shared" si="16"/>
        <v>0</v>
      </c>
      <c r="CS18" s="162">
        <f t="shared" si="16"/>
        <v>0</v>
      </c>
      <c r="CT18" s="162">
        <f t="shared" si="16"/>
        <v>0</v>
      </c>
      <c r="CU18" s="162">
        <f t="shared" si="16"/>
        <v>0</v>
      </c>
      <c r="CV18" s="162">
        <f t="shared" si="16"/>
        <v>0</v>
      </c>
      <c r="CW18" s="162">
        <f t="shared" si="16"/>
        <v>0</v>
      </c>
      <c r="CX18" s="162">
        <f t="shared" si="16"/>
        <v>0</v>
      </c>
      <c r="CY18" s="162">
        <f t="shared" si="16"/>
        <v>0</v>
      </c>
      <c r="CZ18" s="162">
        <f t="shared" si="16"/>
        <v>0</v>
      </c>
      <c r="DA18" s="162">
        <f t="shared" si="16"/>
        <v>0</v>
      </c>
      <c r="DB18" s="162">
        <f t="shared" si="16"/>
        <v>0</v>
      </c>
      <c r="DC18" s="162">
        <f t="shared" si="16"/>
        <v>0</v>
      </c>
      <c r="DD18" s="162">
        <f t="shared" si="16"/>
        <v>0</v>
      </c>
      <c r="DE18" s="162">
        <f t="shared" si="16"/>
        <v>0</v>
      </c>
      <c r="DF18" s="162">
        <f t="shared" si="16"/>
        <v>0</v>
      </c>
      <c r="DG18" s="162">
        <f t="shared" si="16"/>
        <v>0</v>
      </c>
      <c r="DH18" s="162">
        <f t="shared" si="16"/>
        <v>0</v>
      </c>
      <c r="DI18" s="162">
        <f t="shared" si="16"/>
        <v>0</v>
      </c>
      <c r="DJ18" s="162">
        <f t="shared" si="16"/>
        <v>0</v>
      </c>
      <c r="DK18" s="162">
        <f t="shared" si="16"/>
        <v>0</v>
      </c>
      <c r="DL18" s="162">
        <f t="shared" si="16"/>
        <v>0</v>
      </c>
      <c r="DM18" s="162">
        <f t="shared" si="16"/>
        <v>0</v>
      </c>
      <c r="DN18" s="162">
        <f t="shared" si="16"/>
        <v>0</v>
      </c>
      <c r="DO18" s="162">
        <f t="shared" si="16"/>
        <v>0</v>
      </c>
      <c r="DP18" s="162">
        <f t="shared" si="16"/>
        <v>0</v>
      </c>
      <c r="DQ18" s="162">
        <f t="shared" si="16"/>
        <v>0</v>
      </c>
      <c r="DR18" s="162">
        <f t="shared" si="16"/>
        <v>0</v>
      </c>
      <c r="DS18" s="162">
        <f t="shared" si="16"/>
        <v>0</v>
      </c>
      <c r="DT18" s="162">
        <f t="shared" si="16"/>
        <v>0</v>
      </c>
      <c r="DU18" s="162">
        <f t="shared" si="16"/>
        <v>0</v>
      </c>
      <c r="DV18" s="162">
        <f t="shared" si="16"/>
        <v>0</v>
      </c>
      <c r="DW18" s="162">
        <f t="shared" si="16"/>
        <v>0</v>
      </c>
    </row>
    <row r="19" spans="2:127" ht="11.25" customHeight="1">
      <c r="B19" s="218"/>
      <c r="C19" s="163"/>
      <c r="D19" s="164" t="s">
        <v>463</v>
      </c>
      <c r="E19" s="165"/>
      <c r="F19" s="165"/>
      <c r="G19" s="802">
        <f>'A&amp;R'!Q80</f>
        <v>2000</v>
      </c>
      <c r="H19" s="803">
        <f>'A&amp;R'!R71</f>
        <v>46691</v>
      </c>
      <c r="I19" s="804">
        <f>'A&amp;R'!Q71</f>
        <v>0.02</v>
      </c>
      <c r="J19" s="221"/>
      <c r="K19" s="168">
        <f t="shared" si="12"/>
        <v>262793.30399370863</v>
      </c>
      <c r="L19" s="98"/>
      <c r="M19" s="168">
        <f>SUMIF('IS(M)'!$M$11:$ER$11,M$7,'IS(M)'!$M25:$ER25)</f>
        <v>0</v>
      </c>
      <c r="N19" s="168">
        <f>SUMIF('IS(M)'!$M$11:$ER$11,N$7,'IS(M)'!$M25:$ER25)</f>
        <v>12000</v>
      </c>
      <c r="O19" s="168">
        <f>SUMIF('IS(M)'!$M$11:$ER$11,O$7,'IS(M)'!$M25:$ER25)</f>
        <v>12000</v>
      </c>
      <c r="P19" s="168">
        <f>SUMIF('IS(M)'!$M$11:$ER$11,P$7,'IS(M)'!$M25:$ER25)</f>
        <v>12240</v>
      </c>
      <c r="Q19" s="168">
        <f>SUMIF('IS(M)'!$M$11:$ER$11,Q$7,'IS(M)'!$M25:$ER25)</f>
        <v>12240</v>
      </c>
      <c r="R19" s="168">
        <f>SUMIF('IS(M)'!$M$11:$ER$11,R$7,'IS(M)'!$M25:$ER25)</f>
        <v>12484.8</v>
      </c>
      <c r="S19" s="168">
        <f>SUMIF('IS(M)'!$M$11:$ER$11,S$7,'IS(M)'!$M25:$ER25)</f>
        <v>12484.8</v>
      </c>
      <c r="T19" s="168">
        <f>SUMIF('IS(M)'!$M$11:$ER$11,T$7,'IS(M)'!$M25:$ER25)</f>
        <v>12734.495999999997</v>
      </c>
      <c r="U19" s="168">
        <f>SUMIF('IS(M)'!$M$11:$ER$11,U$7,'IS(M)'!$M25:$ER25)</f>
        <v>12734.495999999997</v>
      </c>
      <c r="V19" s="168">
        <f>SUMIF('IS(M)'!$M$11:$ER$11,V$7,'IS(M)'!$M25:$ER25)</f>
        <v>12989.185920000002</v>
      </c>
      <c r="W19" s="168">
        <f>SUMIF('IS(M)'!$M$11:$ER$11,W$7,'IS(M)'!$M25:$ER25)</f>
        <v>12989.185920000002</v>
      </c>
      <c r="X19" s="168">
        <f>SUMIF('IS(M)'!$M$11:$ER$11,X$7,'IS(M)'!$M25:$ER25)</f>
        <v>13248.969638400002</v>
      </c>
      <c r="Y19" s="168">
        <f>SUMIF('IS(M)'!$M$11:$ER$11,Y$7,'IS(M)'!$M25:$ER25)</f>
        <v>13248.969638400002</v>
      </c>
      <c r="Z19" s="168">
        <f>SUMIF('IS(M)'!$M$11:$ER$11,Z$7,'IS(M)'!$M25:$ER25)</f>
        <v>13513.949031168002</v>
      </c>
      <c r="AA19" s="168">
        <f>SUMIF('IS(M)'!$M$11:$ER$11,AA$7,'IS(M)'!$M25:$ER25)</f>
        <v>13513.949031168002</v>
      </c>
      <c r="AB19" s="168">
        <f>SUMIF('IS(M)'!$M$11:$ER$11,AB$7,'IS(M)'!$M25:$ER25)</f>
        <v>13784.228011791358</v>
      </c>
      <c r="AC19" s="168">
        <f>SUMIF('IS(M)'!$M$11:$ER$11,AC$7,'IS(M)'!$M25:$ER25)</f>
        <v>13784.228011791358</v>
      </c>
      <c r="AD19" s="168">
        <f>SUMIF('IS(M)'!$M$11:$ER$11,AD$7,'IS(M)'!$M25:$ER25)</f>
        <v>14059.912572027188</v>
      </c>
      <c r="AE19" s="168">
        <f>SUMIF('IS(M)'!$M$11:$ER$11,AE$7,'IS(M)'!$M25:$ER25)</f>
        <v>14059.912572027188</v>
      </c>
      <c r="AF19" s="168">
        <f>SUMIF('IS(M)'!$M$11:$ER$11,AF$7,'IS(M)'!$M25:$ER25)</f>
        <v>14341.11082346773</v>
      </c>
      <c r="AG19" s="168">
        <f>SUMIF('IS(M)'!$M$11:$ER$11,AG$7,'IS(M)'!$M25:$ER25)</f>
        <v>14341.11082346773</v>
      </c>
      <c r="AH19" s="168">
        <f>SUMIF('IS(M)'!$M$11:$ER$11,AH$7,'IS(M)'!$M25:$ER25)</f>
        <v>0</v>
      </c>
      <c r="AI19" s="168">
        <f>SUMIF('IS(M)'!$M$11:$ER$11,AI$7,'IS(M)'!$M25:$ER25)</f>
        <v>0</v>
      </c>
      <c r="AJ19" s="168">
        <f>SUMIF('IS(M)'!$M$11:$ER$11,AJ$7,'IS(M)'!$M25:$ER25)</f>
        <v>0</v>
      </c>
      <c r="AK19" s="168">
        <f>SUMIF('IS(M)'!$M$11:$ER$11,AK$7,'IS(M)'!$M25:$ER25)</f>
        <v>0</v>
      </c>
      <c r="AL19" s="168">
        <f>SUMIF('IS(M)'!$M$11:$ER$11,AL$7,'IS(M)'!$M25:$ER25)</f>
        <v>0</v>
      </c>
      <c r="AM19" s="168">
        <f>SUMIF('IS(M)'!$M$11:$ER$11,AM$7,'IS(M)'!$M25:$ER25)</f>
        <v>0</v>
      </c>
      <c r="AN19" s="168">
        <f>SUMIF('IS(M)'!$M$11:$ER$11,AN$7,'IS(M)'!$M25:$ER25)</f>
        <v>0</v>
      </c>
      <c r="AO19" s="168">
        <f>SUMIF('IS(M)'!$M$11:$ER$11,AO$7,'IS(M)'!$M25:$ER25)</f>
        <v>0</v>
      </c>
      <c r="AP19" s="168">
        <f>SUMIF('IS(M)'!$M$11:$ER$11,AP$7,'IS(M)'!$M25:$ER25)</f>
        <v>0</v>
      </c>
      <c r="AQ19" s="168">
        <f>SUMIF('IS(M)'!$M$11:$ER$11,AQ$7,'IS(M)'!$M25:$ER25)</f>
        <v>0</v>
      </c>
      <c r="AR19" s="168">
        <f>SUMIF('IS(M)'!$M$11:$ER$11,AR$7,'IS(M)'!$M25:$ER25)</f>
        <v>0</v>
      </c>
      <c r="AS19" s="168">
        <f>SUMIF('IS(M)'!$M$11:$ER$11,AS$7,'IS(M)'!$M25:$ER25)</f>
        <v>0</v>
      </c>
      <c r="AT19" s="168">
        <f>SUMIF('IS(M)'!$M$11:$ER$11,AT$7,'IS(M)'!$M25:$ER25)</f>
        <v>0</v>
      </c>
      <c r="AU19" s="168">
        <f>SUMIF('IS(M)'!$M$11:$ER$11,AU$7,'IS(M)'!$M25:$ER25)</f>
        <v>0</v>
      </c>
      <c r="AV19" s="168">
        <f>SUMIF('IS(M)'!$M$11:$ER$11,AV$7,'IS(M)'!$M25:$ER25)</f>
        <v>0</v>
      </c>
      <c r="AW19" s="168">
        <f>SUMIF('IS(M)'!$M$11:$ER$11,AW$7,'IS(M)'!$M25:$ER25)</f>
        <v>0</v>
      </c>
      <c r="AX19" s="168">
        <f>SUMIF('IS(M)'!$M$11:$ER$11,AX$7,'IS(M)'!$M25:$ER25)</f>
        <v>0</v>
      </c>
      <c r="AY19" s="168">
        <f>SUMIF('IS(M)'!$M$11:$ER$11,AY$7,'IS(M)'!$M25:$ER25)</f>
        <v>0</v>
      </c>
      <c r="AZ19" s="168">
        <f>SUMIF('IS(M)'!$M$11:$ER$11,AZ$7,'IS(M)'!$M25:$ER25)</f>
        <v>0</v>
      </c>
      <c r="BA19" s="168">
        <f>SUMIF('IS(M)'!$M$11:$ER$11,BA$7,'IS(M)'!$M25:$ER25)</f>
        <v>0</v>
      </c>
      <c r="BB19" s="168">
        <f>SUMIF('IS(M)'!$M$11:$ER$11,BB$7,'IS(M)'!$M25:$ER25)</f>
        <v>0</v>
      </c>
      <c r="BC19" s="168">
        <f>SUMIF('IS(M)'!$M$11:$ER$11,BC$7,'IS(M)'!$M25:$ER25)</f>
        <v>0</v>
      </c>
      <c r="BD19" s="168">
        <f>SUMIF('IS(M)'!$M$11:$ER$11,BD$7,'IS(M)'!$M25:$ER25)</f>
        <v>0</v>
      </c>
      <c r="BE19" s="168">
        <f>SUMIF('IS(M)'!$M$11:$ER$11,BE$7,'IS(M)'!$M25:$ER25)</f>
        <v>0</v>
      </c>
      <c r="BF19" s="168">
        <f>SUMIF('IS(M)'!$M$11:$ER$11,BF$7,'IS(M)'!$M25:$ER25)</f>
        <v>0</v>
      </c>
      <c r="BG19" s="168">
        <f>SUMIF('IS(M)'!$M$11:$ER$11,BG$7,'IS(M)'!$M25:$ER25)</f>
        <v>0</v>
      </c>
      <c r="BH19" s="168">
        <f>SUMIF('IS(M)'!$M$11:$ER$11,BH$7,'IS(M)'!$M25:$ER25)</f>
        <v>0</v>
      </c>
      <c r="BI19" s="168">
        <f>SUMIF('IS(M)'!$M$11:$ER$11,BI$7,'IS(M)'!$M25:$ER25)</f>
        <v>0</v>
      </c>
      <c r="BJ19" s="168">
        <f>SUMIF('IS(M)'!$M$11:$ER$11,BJ$7,'IS(M)'!$M25:$ER25)</f>
        <v>0</v>
      </c>
      <c r="BK19" s="168">
        <f>SUMIF('IS(M)'!$M$11:$ER$11,BK$7,'IS(M)'!$M25:$ER25)</f>
        <v>0</v>
      </c>
      <c r="BL19" s="168">
        <f>SUMIF('IS(M)'!$M$11:$ER$11,BL$7,'IS(M)'!$M25:$ER25)</f>
        <v>0</v>
      </c>
      <c r="BM19" s="168">
        <f>SUMIF('IS(M)'!$M$11:$ER$11,BM$7,'IS(M)'!$M25:$ER25)</f>
        <v>0</v>
      </c>
      <c r="BN19" s="168">
        <f>SUMIF('IS(M)'!$M$11:$ER$11,BN$7,'IS(M)'!$M25:$ER25)</f>
        <v>0</v>
      </c>
      <c r="BO19" s="168">
        <f>SUMIF('IS(M)'!$M$11:$ER$11,BO$7,'IS(M)'!$M25:$ER25)</f>
        <v>0</v>
      </c>
      <c r="BP19" s="168">
        <f>SUMIF('IS(M)'!$M$11:$ER$11,BP$7,'IS(M)'!$M25:$ER25)</f>
        <v>0</v>
      </c>
      <c r="BQ19" s="168">
        <f>SUMIF('IS(M)'!$M$11:$ER$11,BQ$7,'IS(M)'!$M25:$ER25)</f>
        <v>0</v>
      </c>
      <c r="BR19" s="168">
        <f>SUMIF('IS(M)'!$M$11:$ER$11,BR$7,'IS(M)'!$M25:$ER25)</f>
        <v>0</v>
      </c>
      <c r="BS19" s="168">
        <f>SUMIF('IS(M)'!$M$11:$ER$11,BS$7,'IS(M)'!$M25:$ER25)</f>
        <v>0</v>
      </c>
      <c r="BT19" s="168">
        <f>SUMIF('IS(M)'!$M$11:$ER$11,BT$7,'IS(M)'!$M25:$ER25)</f>
        <v>0</v>
      </c>
      <c r="BU19" s="168">
        <f>SUMIF('IS(M)'!$M$11:$ER$11,BU$7,'IS(M)'!$M25:$ER25)</f>
        <v>0</v>
      </c>
      <c r="BV19" s="168">
        <f>SUMIF('IS(M)'!$M$11:$ER$11,BV$7,'IS(M)'!$M25:$ER25)</f>
        <v>0</v>
      </c>
      <c r="BW19" s="168">
        <f>SUMIF('IS(M)'!$M$11:$ER$11,BW$7,'IS(M)'!$M25:$ER25)</f>
        <v>0</v>
      </c>
      <c r="BX19" s="168">
        <f>SUMIF('IS(M)'!$M$11:$ER$11,BX$7,'IS(M)'!$M25:$ER25)</f>
        <v>0</v>
      </c>
      <c r="BY19" s="168">
        <f>SUMIF('IS(M)'!$M$11:$ER$11,BY$7,'IS(M)'!$M25:$ER25)</f>
        <v>0</v>
      </c>
      <c r="BZ19" s="168">
        <f>SUMIF('IS(M)'!$M$11:$ER$11,BZ$7,'IS(M)'!$M25:$ER25)</f>
        <v>0</v>
      </c>
      <c r="CA19" s="168">
        <f>SUMIF('IS(M)'!$M$11:$ER$11,CA$7,'IS(M)'!$M25:$ER25)</f>
        <v>0</v>
      </c>
      <c r="CB19" s="168">
        <f>SUMIF('IS(M)'!$M$11:$ER$11,CB$7,'IS(M)'!$M25:$ER25)</f>
        <v>0</v>
      </c>
      <c r="CC19" s="168">
        <f>SUMIF('IS(M)'!$M$11:$ER$11,CC$7,'IS(M)'!$M25:$ER25)</f>
        <v>0</v>
      </c>
      <c r="CD19" s="168">
        <f>SUMIF('IS(M)'!$M$11:$ER$11,CD$7,'IS(M)'!$M25:$ER25)</f>
        <v>0</v>
      </c>
      <c r="CE19" s="168">
        <f>SUMIF('IS(M)'!$M$11:$ER$11,CE$7,'IS(M)'!$M25:$ER25)</f>
        <v>0</v>
      </c>
      <c r="CF19" s="168">
        <f>SUMIF('IS(M)'!$M$11:$ER$11,CF$7,'IS(M)'!$M25:$ER25)</f>
        <v>0</v>
      </c>
      <c r="CG19" s="168">
        <f>SUMIF('IS(M)'!$M$11:$ER$11,CG$7,'IS(M)'!$M25:$ER25)</f>
        <v>0</v>
      </c>
      <c r="CH19" s="168">
        <f>SUMIF('IS(M)'!$M$11:$ER$11,CH$7,'IS(M)'!$M25:$ER25)</f>
        <v>0</v>
      </c>
      <c r="CI19" s="168">
        <f>SUMIF('IS(M)'!$M$11:$ER$11,CI$7,'IS(M)'!$M25:$ER25)</f>
        <v>0</v>
      </c>
      <c r="CJ19" s="168">
        <f>SUMIF('IS(M)'!$M$11:$ER$11,CJ$7,'IS(M)'!$M25:$ER25)</f>
        <v>0</v>
      </c>
      <c r="CK19" s="168">
        <f>SUMIF('IS(M)'!$M$11:$ER$11,CK$7,'IS(M)'!$M25:$ER25)</f>
        <v>0</v>
      </c>
      <c r="CL19" s="168">
        <f>SUMIF('IS(M)'!$M$11:$ER$11,CL$7,'IS(M)'!$M25:$ER25)</f>
        <v>0</v>
      </c>
      <c r="CM19" s="168">
        <f>SUMIF('IS(M)'!$M$11:$ER$11,CM$7,'IS(M)'!$M25:$ER25)</f>
        <v>0</v>
      </c>
      <c r="CN19" s="168">
        <f>SUMIF('IS(M)'!$M$11:$ER$11,CN$7,'IS(M)'!$M25:$ER25)</f>
        <v>0</v>
      </c>
      <c r="CO19" s="168">
        <f>SUMIF('IS(M)'!$M$11:$ER$11,CO$7,'IS(M)'!$M25:$ER25)</f>
        <v>0</v>
      </c>
      <c r="CP19" s="168">
        <f>SUMIF('IS(M)'!$M$11:$ER$11,CP$7,'IS(M)'!$M25:$ER25)</f>
        <v>0</v>
      </c>
      <c r="CQ19" s="168">
        <f>SUMIF('IS(M)'!$M$11:$ER$11,CQ$7,'IS(M)'!$M25:$ER25)</f>
        <v>0</v>
      </c>
      <c r="CR19" s="168">
        <f>SUMIF('IS(M)'!$M$11:$ER$11,CR$7,'IS(M)'!$M25:$ER25)</f>
        <v>0</v>
      </c>
      <c r="CS19" s="168">
        <f>SUMIF('IS(M)'!$M$11:$ER$11,CS$7,'IS(M)'!$M25:$ER25)</f>
        <v>0</v>
      </c>
      <c r="CT19" s="168">
        <f>SUMIF('IS(M)'!$M$11:$ER$11,CT$7,'IS(M)'!$M25:$ER25)</f>
        <v>0</v>
      </c>
      <c r="CU19" s="168">
        <f>SUMIF('IS(M)'!$M$11:$ER$11,CU$7,'IS(M)'!$M25:$ER25)</f>
        <v>0</v>
      </c>
      <c r="CV19" s="168">
        <f>SUMIF('IS(M)'!$M$11:$ER$11,CV$7,'IS(M)'!$M25:$ER25)</f>
        <v>0</v>
      </c>
      <c r="CW19" s="168">
        <f>SUMIF('IS(M)'!$M$11:$ER$11,CW$7,'IS(M)'!$M25:$ER25)</f>
        <v>0</v>
      </c>
      <c r="CX19" s="168">
        <f>SUMIF('IS(M)'!$M$11:$ER$11,CX$7,'IS(M)'!$M25:$ER25)</f>
        <v>0</v>
      </c>
      <c r="CY19" s="168">
        <f>SUMIF('IS(M)'!$M$11:$ER$11,CY$7,'IS(M)'!$M25:$ER25)</f>
        <v>0</v>
      </c>
      <c r="CZ19" s="168">
        <f>SUMIF('IS(M)'!$M$11:$ER$11,CZ$7,'IS(M)'!$M25:$ER25)</f>
        <v>0</v>
      </c>
      <c r="DA19" s="168">
        <f>SUMIF('IS(M)'!$M$11:$ER$11,DA$7,'IS(M)'!$M25:$ER25)</f>
        <v>0</v>
      </c>
      <c r="DB19" s="168">
        <f>SUMIF('IS(M)'!$M$11:$ER$11,DB$7,'IS(M)'!$M25:$ER25)</f>
        <v>0</v>
      </c>
      <c r="DC19" s="168">
        <f>SUMIF('IS(M)'!$M$11:$ER$11,DC$7,'IS(M)'!$M25:$ER25)</f>
        <v>0</v>
      </c>
      <c r="DD19" s="168">
        <f>SUMIF('IS(M)'!$M$11:$ER$11,DD$7,'IS(M)'!$M25:$ER25)</f>
        <v>0</v>
      </c>
      <c r="DE19" s="168">
        <f>SUMIF('IS(M)'!$M$11:$ER$11,DE$7,'IS(M)'!$M25:$ER25)</f>
        <v>0</v>
      </c>
      <c r="DF19" s="168">
        <f>SUMIF('IS(M)'!$M$11:$ER$11,DF$7,'IS(M)'!$M25:$ER25)</f>
        <v>0</v>
      </c>
      <c r="DG19" s="168">
        <f>SUMIF('IS(M)'!$M$11:$ER$11,DG$7,'IS(M)'!$M25:$ER25)</f>
        <v>0</v>
      </c>
      <c r="DH19" s="168">
        <f>SUMIF('IS(M)'!$M$11:$ER$11,DH$7,'IS(M)'!$M25:$ER25)</f>
        <v>0</v>
      </c>
      <c r="DI19" s="168">
        <f>SUMIF('IS(M)'!$M$11:$ER$11,DI$7,'IS(M)'!$M25:$ER25)</f>
        <v>0</v>
      </c>
      <c r="DJ19" s="168">
        <f>SUMIF('IS(M)'!$M$11:$ER$11,DJ$7,'IS(M)'!$M25:$ER25)</f>
        <v>0</v>
      </c>
      <c r="DK19" s="168">
        <f>SUMIF('IS(M)'!$M$11:$ER$11,DK$7,'IS(M)'!$M25:$ER25)</f>
        <v>0</v>
      </c>
      <c r="DL19" s="168">
        <f>SUMIF('IS(M)'!$M$11:$ER$11,DL$7,'IS(M)'!$M25:$ER25)</f>
        <v>0</v>
      </c>
      <c r="DM19" s="168">
        <f>SUMIF('IS(M)'!$M$11:$ER$11,DM$7,'IS(M)'!$M25:$ER25)</f>
        <v>0</v>
      </c>
      <c r="DN19" s="168">
        <f>SUMIF('IS(M)'!$M$11:$ER$11,DN$7,'IS(M)'!$M25:$ER25)</f>
        <v>0</v>
      </c>
      <c r="DO19" s="168">
        <f>SUMIF('IS(M)'!$M$11:$ER$11,DO$7,'IS(M)'!$M25:$ER25)</f>
        <v>0</v>
      </c>
      <c r="DP19" s="168">
        <f>SUMIF('IS(M)'!$M$11:$ER$11,DP$7,'IS(M)'!$M25:$ER25)</f>
        <v>0</v>
      </c>
      <c r="DQ19" s="168">
        <f>SUMIF('IS(M)'!$M$11:$ER$11,DQ$7,'IS(M)'!$M25:$ER25)</f>
        <v>0</v>
      </c>
      <c r="DR19" s="168">
        <f>SUMIF('IS(M)'!$M$11:$ER$11,DR$7,'IS(M)'!$M25:$ER25)</f>
        <v>0</v>
      </c>
      <c r="DS19" s="168">
        <f>SUMIF('IS(M)'!$M$11:$ER$11,DS$7,'IS(M)'!$M25:$ER25)</f>
        <v>0</v>
      </c>
      <c r="DT19" s="168">
        <f>SUMIF('IS(M)'!$M$11:$ER$11,DT$7,'IS(M)'!$M25:$ER25)</f>
        <v>0</v>
      </c>
      <c r="DU19" s="168">
        <f>SUMIF('IS(M)'!$M$11:$ER$11,DU$7,'IS(M)'!$M25:$ER25)</f>
        <v>0</v>
      </c>
      <c r="DV19" s="168">
        <f>SUMIF('IS(M)'!$M$11:$ER$11,DV$7,'IS(M)'!$M25:$ER25)</f>
        <v>0</v>
      </c>
      <c r="DW19" s="168">
        <f>SUMIF('IS(M)'!$M$11:$ER$11,DW$7,'IS(M)'!$M25:$ER25)</f>
        <v>0</v>
      </c>
    </row>
    <row r="20" spans="2:127" ht="11.25" customHeight="1">
      <c r="B20" s="218"/>
      <c r="C20" s="163"/>
      <c r="D20" s="169" t="s">
        <v>464</v>
      </c>
      <c r="I20" s="146"/>
      <c r="J20" s="13"/>
      <c r="K20" s="171">
        <f t="shared" si="12"/>
        <v>34176870</v>
      </c>
      <c r="L20" s="98"/>
      <c r="M20" s="171">
        <f>SUMIF('IS(M)'!$M$11:$ER$11,M$7,'IS(M)'!$M26:$ER26)</f>
        <v>0</v>
      </c>
      <c r="N20" s="171">
        <f>SUMIF('IS(M)'!$M$11:$ER$11,N$7,'IS(M)'!$M26:$ER26)</f>
        <v>1708843.5</v>
      </c>
      <c r="O20" s="171">
        <f>SUMIF('IS(M)'!$M$11:$ER$11,O$7,'IS(M)'!$M26:$ER26)</f>
        <v>1708843.5</v>
      </c>
      <c r="P20" s="171">
        <f>SUMIF('IS(M)'!$M$11:$ER$11,P$7,'IS(M)'!$M26:$ER26)</f>
        <v>1708843.5</v>
      </c>
      <c r="Q20" s="171">
        <f>SUMIF('IS(M)'!$M$11:$ER$11,Q$7,'IS(M)'!$M26:$ER26)</f>
        <v>1708843.5</v>
      </c>
      <c r="R20" s="171">
        <f>SUMIF('IS(M)'!$M$11:$ER$11,R$7,'IS(M)'!$M26:$ER26)</f>
        <v>1708843.5</v>
      </c>
      <c r="S20" s="171">
        <f>SUMIF('IS(M)'!$M$11:$ER$11,S$7,'IS(M)'!$M26:$ER26)</f>
        <v>1708843.5</v>
      </c>
      <c r="T20" s="171">
        <f>SUMIF('IS(M)'!$M$11:$ER$11,T$7,'IS(M)'!$M26:$ER26)</f>
        <v>1708843.5</v>
      </c>
      <c r="U20" s="171">
        <f>SUMIF('IS(M)'!$M$11:$ER$11,U$7,'IS(M)'!$M26:$ER26)</f>
        <v>1708843.5</v>
      </c>
      <c r="V20" s="171">
        <f>SUMIF('IS(M)'!$M$11:$ER$11,V$7,'IS(M)'!$M26:$ER26)</f>
        <v>1708843.5</v>
      </c>
      <c r="W20" s="171">
        <f>SUMIF('IS(M)'!$M$11:$ER$11,W$7,'IS(M)'!$M26:$ER26)</f>
        <v>1708843.5</v>
      </c>
      <c r="X20" s="171">
        <f>SUMIF('IS(M)'!$M$11:$ER$11,X$7,'IS(M)'!$M26:$ER26)</f>
        <v>1708843.5</v>
      </c>
      <c r="Y20" s="171">
        <f>SUMIF('IS(M)'!$M$11:$ER$11,Y$7,'IS(M)'!$M26:$ER26)</f>
        <v>1708843.5</v>
      </c>
      <c r="Z20" s="171">
        <f>SUMIF('IS(M)'!$M$11:$ER$11,Z$7,'IS(M)'!$M26:$ER26)</f>
        <v>1708843.5</v>
      </c>
      <c r="AA20" s="171">
        <f>SUMIF('IS(M)'!$M$11:$ER$11,AA$7,'IS(M)'!$M26:$ER26)</f>
        <v>1708843.5</v>
      </c>
      <c r="AB20" s="171">
        <f>SUMIF('IS(M)'!$M$11:$ER$11,AB$7,'IS(M)'!$M26:$ER26)</f>
        <v>1708843.5</v>
      </c>
      <c r="AC20" s="171">
        <f>SUMIF('IS(M)'!$M$11:$ER$11,AC$7,'IS(M)'!$M26:$ER26)</f>
        <v>1708843.5</v>
      </c>
      <c r="AD20" s="171">
        <f>SUMIF('IS(M)'!$M$11:$ER$11,AD$7,'IS(M)'!$M26:$ER26)</f>
        <v>1708843.5</v>
      </c>
      <c r="AE20" s="171">
        <f>SUMIF('IS(M)'!$M$11:$ER$11,AE$7,'IS(M)'!$M26:$ER26)</f>
        <v>1708843.5</v>
      </c>
      <c r="AF20" s="171">
        <f>SUMIF('IS(M)'!$M$11:$ER$11,AF$7,'IS(M)'!$M26:$ER26)</f>
        <v>1708843.5</v>
      </c>
      <c r="AG20" s="171">
        <f>SUMIF('IS(M)'!$M$11:$ER$11,AG$7,'IS(M)'!$M26:$ER26)</f>
        <v>1708843.5</v>
      </c>
      <c r="AH20" s="171">
        <f>SUMIF('IS(M)'!$M$11:$ER$11,AH$7,'IS(M)'!$M26:$ER26)</f>
        <v>0</v>
      </c>
      <c r="AI20" s="171">
        <f>SUMIF('IS(M)'!$M$11:$ER$11,AI$7,'IS(M)'!$M26:$ER26)</f>
        <v>0</v>
      </c>
      <c r="AJ20" s="171">
        <f>SUMIF('IS(M)'!$M$11:$ER$11,AJ$7,'IS(M)'!$M26:$ER26)</f>
        <v>0</v>
      </c>
      <c r="AK20" s="171">
        <f>SUMIF('IS(M)'!$M$11:$ER$11,AK$7,'IS(M)'!$M26:$ER26)</f>
        <v>0</v>
      </c>
      <c r="AL20" s="171">
        <f>SUMIF('IS(M)'!$M$11:$ER$11,AL$7,'IS(M)'!$M26:$ER26)</f>
        <v>0</v>
      </c>
      <c r="AM20" s="171">
        <f>SUMIF('IS(M)'!$M$11:$ER$11,AM$7,'IS(M)'!$M26:$ER26)</f>
        <v>0</v>
      </c>
      <c r="AN20" s="171">
        <f>SUMIF('IS(M)'!$M$11:$ER$11,AN$7,'IS(M)'!$M26:$ER26)</f>
        <v>0</v>
      </c>
      <c r="AO20" s="171">
        <f>SUMIF('IS(M)'!$M$11:$ER$11,AO$7,'IS(M)'!$M26:$ER26)</f>
        <v>0</v>
      </c>
      <c r="AP20" s="171">
        <f>SUMIF('IS(M)'!$M$11:$ER$11,AP$7,'IS(M)'!$M26:$ER26)</f>
        <v>0</v>
      </c>
      <c r="AQ20" s="171">
        <f>SUMIF('IS(M)'!$M$11:$ER$11,AQ$7,'IS(M)'!$M26:$ER26)</f>
        <v>0</v>
      </c>
      <c r="AR20" s="171">
        <f>SUMIF('IS(M)'!$M$11:$ER$11,AR$7,'IS(M)'!$M26:$ER26)</f>
        <v>0</v>
      </c>
      <c r="AS20" s="171">
        <f>SUMIF('IS(M)'!$M$11:$ER$11,AS$7,'IS(M)'!$M26:$ER26)</f>
        <v>0</v>
      </c>
      <c r="AT20" s="171">
        <f>SUMIF('IS(M)'!$M$11:$ER$11,AT$7,'IS(M)'!$M26:$ER26)</f>
        <v>0</v>
      </c>
      <c r="AU20" s="171">
        <f>SUMIF('IS(M)'!$M$11:$ER$11,AU$7,'IS(M)'!$M26:$ER26)</f>
        <v>0</v>
      </c>
      <c r="AV20" s="171">
        <f>SUMIF('IS(M)'!$M$11:$ER$11,AV$7,'IS(M)'!$M26:$ER26)</f>
        <v>0</v>
      </c>
      <c r="AW20" s="171">
        <f>SUMIF('IS(M)'!$M$11:$ER$11,AW$7,'IS(M)'!$M26:$ER26)</f>
        <v>0</v>
      </c>
      <c r="AX20" s="171">
        <f>SUMIF('IS(M)'!$M$11:$ER$11,AX$7,'IS(M)'!$M26:$ER26)</f>
        <v>0</v>
      </c>
      <c r="AY20" s="171">
        <f>SUMIF('IS(M)'!$M$11:$ER$11,AY$7,'IS(M)'!$M26:$ER26)</f>
        <v>0</v>
      </c>
      <c r="AZ20" s="171">
        <f>SUMIF('IS(M)'!$M$11:$ER$11,AZ$7,'IS(M)'!$M26:$ER26)</f>
        <v>0</v>
      </c>
      <c r="BA20" s="171">
        <f>SUMIF('IS(M)'!$M$11:$ER$11,BA$7,'IS(M)'!$M26:$ER26)</f>
        <v>0</v>
      </c>
      <c r="BB20" s="171">
        <f>SUMIF('IS(M)'!$M$11:$ER$11,BB$7,'IS(M)'!$M26:$ER26)</f>
        <v>0</v>
      </c>
      <c r="BC20" s="171">
        <f>SUMIF('IS(M)'!$M$11:$ER$11,BC$7,'IS(M)'!$M26:$ER26)</f>
        <v>0</v>
      </c>
      <c r="BD20" s="171">
        <f>SUMIF('IS(M)'!$M$11:$ER$11,BD$7,'IS(M)'!$M26:$ER26)</f>
        <v>0</v>
      </c>
      <c r="BE20" s="171">
        <f>SUMIF('IS(M)'!$M$11:$ER$11,BE$7,'IS(M)'!$M26:$ER26)</f>
        <v>0</v>
      </c>
      <c r="BF20" s="171">
        <f>SUMIF('IS(M)'!$M$11:$ER$11,BF$7,'IS(M)'!$M26:$ER26)</f>
        <v>0</v>
      </c>
      <c r="BG20" s="171">
        <f>SUMIF('IS(M)'!$M$11:$ER$11,BG$7,'IS(M)'!$M26:$ER26)</f>
        <v>0</v>
      </c>
      <c r="BH20" s="171">
        <f>SUMIF('IS(M)'!$M$11:$ER$11,BH$7,'IS(M)'!$M26:$ER26)</f>
        <v>0</v>
      </c>
      <c r="BI20" s="171">
        <f>SUMIF('IS(M)'!$M$11:$ER$11,BI$7,'IS(M)'!$M26:$ER26)</f>
        <v>0</v>
      </c>
      <c r="BJ20" s="171">
        <f>SUMIF('IS(M)'!$M$11:$ER$11,BJ$7,'IS(M)'!$M26:$ER26)</f>
        <v>0</v>
      </c>
      <c r="BK20" s="171">
        <f>SUMIF('IS(M)'!$M$11:$ER$11,BK$7,'IS(M)'!$M26:$ER26)</f>
        <v>0</v>
      </c>
      <c r="BL20" s="171">
        <f>SUMIF('IS(M)'!$M$11:$ER$11,BL$7,'IS(M)'!$M26:$ER26)</f>
        <v>0</v>
      </c>
      <c r="BM20" s="171">
        <f>SUMIF('IS(M)'!$M$11:$ER$11,BM$7,'IS(M)'!$M26:$ER26)</f>
        <v>0</v>
      </c>
      <c r="BN20" s="171">
        <f>SUMIF('IS(M)'!$M$11:$ER$11,BN$7,'IS(M)'!$M26:$ER26)</f>
        <v>0</v>
      </c>
      <c r="BO20" s="171">
        <f>SUMIF('IS(M)'!$M$11:$ER$11,BO$7,'IS(M)'!$M26:$ER26)</f>
        <v>0</v>
      </c>
      <c r="BP20" s="171">
        <f>SUMIF('IS(M)'!$M$11:$ER$11,BP$7,'IS(M)'!$M26:$ER26)</f>
        <v>0</v>
      </c>
      <c r="BQ20" s="171">
        <f>SUMIF('IS(M)'!$M$11:$ER$11,BQ$7,'IS(M)'!$M26:$ER26)</f>
        <v>0</v>
      </c>
      <c r="BR20" s="171">
        <f>SUMIF('IS(M)'!$M$11:$ER$11,BR$7,'IS(M)'!$M26:$ER26)</f>
        <v>0</v>
      </c>
      <c r="BS20" s="171">
        <f>SUMIF('IS(M)'!$M$11:$ER$11,BS$7,'IS(M)'!$M26:$ER26)</f>
        <v>0</v>
      </c>
      <c r="BT20" s="171">
        <f>SUMIF('IS(M)'!$M$11:$ER$11,BT$7,'IS(M)'!$M26:$ER26)</f>
        <v>0</v>
      </c>
      <c r="BU20" s="171">
        <f>SUMIF('IS(M)'!$M$11:$ER$11,BU$7,'IS(M)'!$M26:$ER26)</f>
        <v>0</v>
      </c>
      <c r="BV20" s="171">
        <f>SUMIF('IS(M)'!$M$11:$ER$11,BV$7,'IS(M)'!$M26:$ER26)</f>
        <v>0</v>
      </c>
      <c r="BW20" s="171">
        <f>SUMIF('IS(M)'!$M$11:$ER$11,BW$7,'IS(M)'!$M26:$ER26)</f>
        <v>0</v>
      </c>
      <c r="BX20" s="171">
        <f>SUMIF('IS(M)'!$M$11:$ER$11,BX$7,'IS(M)'!$M26:$ER26)</f>
        <v>0</v>
      </c>
      <c r="BY20" s="171">
        <f>SUMIF('IS(M)'!$M$11:$ER$11,BY$7,'IS(M)'!$M26:$ER26)</f>
        <v>0</v>
      </c>
      <c r="BZ20" s="171">
        <f>SUMIF('IS(M)'!$M$11:$ER$11,BZ$7,'IS(M)'!$M26:$ER26)</f>
        <v>0</v>
      </c>
      <c r="CA20" s="171">
        <f>SUMIF('IS(M)'!$M$11:$ER$11,CA$7,'IS(M)'!$M26:$ER26)</f>
        <v>0</v>
      </c>
      <c r="CB20" s="171">
        <f>SUMIF('IS(M)'!$M$11:$ER$11,CB$7,'IS(M)'!$M26:$ER26)</f>
        <v>0</v>
      </c>
      <c r="CC20" s="171">
        <f>SUMIF('IS(M)'!$M$11:$ER$11,CC$7,'IS(M)'!$M26:$ER26)</f>
        <v>0</v>
      </c>
      <c r="CD20" s="171">
        <f>SUMIF('IS(M)'!$M$11:$ER$11,CD$7,'IS(M)'!$M26:$ER26)</f>
        <v>0</v>
      </c>
      <c r="CE20" s="171">
        <f>SUMIF('IS(M)'!$M$11:$ER$11,CE$7,'IS(M)'!$M26:$ER26)</f>
        <v>0</v>
      </c>
      <c r="CF20" s="171">
        <f>SUMIF('IS(M)'!$M$11:$ER$11,CF$7,'IS(M)'!$M26:$ER26)</f>
        <v>0</v>
      </c>
      <c r="CG20" s="171">
        <f>SUMIF('IS(M)'!$M$11:$ER$11,CG$7,'IS(M)'!$M26:$ER26)</f>
        <v>0</v>
      </c>
      <c r="CH20" s="171">
        <f>SUMIF('IS(M)'!$M$11:$ER$11,CH$7,'IS(M)'!$M26:$ER26)</f>
        <v>0</v>
      </c>
      <c r="CI20" s="171">
        <f>SUMIF('IS(M)'!$M$11:$ER$11,CI$7,'IS(M)'!$M26:$ER26)</f>
        <v>0</v>
      </c>
      <c r="CJ20" s="171">
        <f>SUMIF('IS(M)'!$M$11:$ER$11,CJ$7,'IS(M)'!$M26:$ER26)</f>
        <v>0</v>
      </c>
      <c r="CK20" s="171">
        <f>SUMIF('IS(M)'!$M$11:$ER$11,CK$7,'IS(M)'!$M26:$ER26)</f>
        <v>0</v>
      </c>
      <c r="CL20" s="171">
        <f>SUMIF('IS(M)'!$M$11:$ER$11,CL$7,'IS(M)'!$M26:$ER26)</f>
        <v>0</v>
      </c>
      <c r="CM20" s="171">
        <f>SUMIF('IS(M)'!$M$11:$ER$11,CM$7,'IS(M)'!$M26:$ER26)</f>
        <v>0</v>
      </c>
      <c r="CN20" s="171">
        <f>SUMIF('IS(M)'!$M$11:$ER$11,CN$7,'IS(M)'!$M26:$ER26)</f>
        <v>0</v>
      </c>
      <c r="CO20" s="171">
        <f>SUMIF('IS(M)'!$M$11:$ER$11,CO$7,'IS(M)'!$M26:$ER26)</f>
        <v>0</v>
      </c>
      <c r="CP20" s="171">
        <f>SUMIF('IS(M)'!$M$11:$ER$11,CP$7,'IS(M)'!$M26:$ER26)</f>
        <v>0</v>
      </c>
      <c r="CQ20" s="171">
        <f>SUMIF('IS(M)'!$M$11:$ER$11,CQ$7,'IS(M)'!$M26:$ER26)</f>
        <v>0</v>
      </c>
      <c r="CR20" s="171">
        <f>SUMIF('IS(M)'!$M$11:$ER$11,CR$7,'IS(M)'!$M26:$ER26)</f>
        <v>0</v>
      </c>
      <c r="CS20" s="171">
        <f>SUMIF('IS(M)'!$M$11:$ER$11,CS$7,'IS(M)'!$M26:$ER26)</f>
        <v>0</v>
      </c>
      <c r="CT20" s="171">
        <f>SUMIF('IS(M)'!$M$11:$ER$11,CT$7,'IS(M)'!$M26:$ER26)</f>
        <v>0</v>
      </c>
      <c r="CU20" s="171">
        <f>SUMIF('IS(M)'!$M$11:$ER$11,CU$7,'IS(M)'!$M26:$ER26)</f>
        <v>0</v>
      </c>
      <c r="CV20" s="171">
        <f>SUMIF('IS(M)'!$M$11:$ER$11,CV$7,'IS(M)'!$M26:$ER26)</f>
        <v>0</v>
      </c>
      <c r="CW20" s="171">
        <f>SUMIF('IS(M)'!$M$11:$ER$11,CW$7,'IS(M)'!$M26:$ER26)</f>
        <v>0</v>
      </c>
      <c r="CX20" s="171">
        <f>SUMIF('IS(M)'!$M$11:$ER$11,CX$7,'IS(M)'!$M26:$ER26)</f>
        <v>0</v>
      </c>
      <c r="CY20" s="171">
        <f>SUMIF('IS(M)'!$M$11:$ER$11,CY$7,'IS(M)'!$M26:$ER26)</f>
        <v>0</v>
      </c>
      <c r="CZ20" s="171">
        <f>SUMIF('IS(M)'!$M$11:$ER$11,CZ$7,'IS(M)'!$M26:$ER26)</f>
        <v>0</v>
      </c>
      <c r="DA20" s="171">
        <f>SUMIF('IS(M)'!$M$11:$ER$11,DA$7,'IS(M)'!$M26:$ER26)</f>
        <v>0</v>
      </c>
      <c r="DB20" s="171">
        <f>SUMIF('IS(M)'!$M$11:$ER$11,DB$7,'IS(M)'!$M26:$ER26)</f>
        <v>0</v>
      </c>
      <c r="DC20" s="171">
        <f>SUMIF('IS(M)'!$M$11:$ER$11,DC$7,'IS(M)'!$M26:$ER26)</f>
        <v>0</v>
      </c>
      <c r="DD20" s="171">
        <f>SUMIF('IS(M)'!$M$11:$ER$11,DD$7,'IS(M)'!$M26:$ER26)</f>
        <v>0</v>
      </c>
      <c r="DE20" s="171">
        <f>SUMIF('IS(M)'!$M$11:$ER$11,DE$7,'IS(M)'!$M26:$ER26)</f>
        <v>0</v>
      </c>
      <c r="DF20" s="171">
        <f>SUMIF('IS(M)'!$M$11:$ER$11,DF$7,'IS(M)'!$M26:$ER26)</f>
        <v>0</v>
      </c>
      <c r="DG20" s="171">
        <f>SUMIF('IS(M)'!$M$11:$ER$11,DG$7,'IS(M)'!$M26:$ER26)</f>
        <v>0</v>
      </c>
      <c r="DH20" s="171">
        <f>SUMIF('IS(M)'!$M$11:$ER$11,DH$7,'IS(M)'!$M26:$ER26)</f>
        <v>0</v>
      </c>
      <c r="DI20" s="171">
        <f>SUMIF('IS(M)'!$M$11:$ER$11,DI$7,'IS(M)'!$M26:$ER26)</f>
        <v>0</v>
      </c>
      <c r="DJ20" s="171">
        <f>SUMIF('IS(M)'!$M$11:$ER$11,DJ$7,'IS(M)'!$M26:$ER26)</f>
        <v>0</v>
      </c>
      <c r="DK20" s="171">
        <f>SUMIF('IS(M)'!$M$11:$ER$11,DK$7,'IS(M)'!$M26:$ER26)</f>
        <v>0</v>
      </c>
      <c r="DL20" s="171">
        <f>SUMIF('IS(M)'!$M$11:$ER$11,DL$7,'IS(M)'!$M26:$ER26)</f>
        <v>0</v>
      </c>
      <c r="DM20" s="171">
        <f>SUMIF('IS(M)'!$M$11:$ER$11,DM$7,'IS(M)'!$M26:$ER26)</f>
        <v>0</v>
      </c>
      <c r="DN20" s="171">
        <f>SUMIF('IS(M)'!$M$11:$ER$11,DN$7,'IS(M)'!$M26:$ER26)</f>
        <v>0</v>
      </c>
      <c r="DO20" s="171">
        <f>SUMIF('IS(M)'!$M$11:$ER$11,DO$7,'IS(M)'!$M26:$ER26)</f>
        <v>0</v>
      </c>
      <c r="DP20" s="171">
        <f>SUMIF('IS(M)'!$M$11:$ER$11,DP$7,'IS(M)'!$M26:$ER26)</f>
        <v>0</v>
      </c>
      <c r="DQ20" s="171">
        <f>SUMIF('IS(M)'!$M$11:$ER$11,DQ$7,'IS(M)'!$M26:$ER26)</f>
        <v>0</v>
      </c>
      <c r="DR20" s="171">
        <f>SUMIF('IS(M)'!$M$11:$ER$11,DR$7,'IS(M)'!$M26:$ER26)</f>
        <v>0</v>
      </c>
      <c r="DS20" s="171">
        <f>SUMIF('IS(M)'!$M$11:$ER$11,DS$7,'IS(M)'!$M26:$ER26)</f>
        <v>0</v>
      </c>
      <c r="DT20" s="171">
        <f>SUMIF('IS(M)'!$M$11:$ER$11,DT$7,'IS(M)'!$M26:$ER26)</f>
        <v>0</v>
      </c>
      <c r="DU20" s="171">
        <f>SUMIF('IS(M)'!$M$11:$ER$11,DU$7,'IS(M)'!$M26:$ER26)</f>
        <v>0</v>
      </c>
      <c r="DV20" s="171">
        <f>SUMIF('IS(M)'!$M$11:$ER$11,DV$7,'IS(M)'!$M26:$ER26)</f>
        <v>0</v>
      </c>
      <c r="DW20" s="171">
        <f>SUMIF('IS(M)'!$M$11:$ER$11,DW$7,'IS(M)'!$M26:$ER26)</f>
        <v>0</v>
      </c>
    </row>
    <row r="21" spans="2:127" ht="11.25" customHeight="1">
      <c r="B21" s="218"/>
      <c r="C21" s="163"/>
      <c r="D21" s="169" t="s">
        <v>73</v>
      </c>
      <c r="I21" s="146"/>
      <c r="J21" s="13"/>
      <c r="K21" s="171">
        <f t="shared" si="12"/>
        <v>642163.3001006</v>
      </c>
      <c r="L21" s="98"/>
      <c r="M21" s="171">
        <f>SUMIF('IS(M)'!$M$11:$ER$11,M$7,'IS(M)'!$M27:$ER27)</f>
        <v>0</v>
      </c>
      <c r="N21" s="171">
        <f>SUMIF('IS(M)'!$M$11:$ER$11,N$7,'IS(M)'!$M27:$ER27)</f>
        <v>30000</v>
      </c>
      <c r="O21" s="171">
        <f>SUMIF('IS(M)'!$M$11:$ER$11,O$7,'IS(M)'!$M27:$ER27)</f>
        <v>30000</v>
      </c>
      <c r="P21" s="171">
        <f>SUMIF('IS(M)'!$M$11:$ER$11,P$7,'IS(M)'!$M27:$ER27)</f>
        <v>30449.999999999996</v>
      </c>
      <c r="Q21" s="171">
        <f>SUMIF('IS(M)'!$M$11:$ER$11,Q$7,'IS(M)'!$M27:$ER27)</f>
        <v>30449.999999999996</v>
      </c>
      <c r="R21" s="171">
        <f>SUMIF('IS(M)'!$M$11:$ER$11,R$7,'IS(M)'!$M27:$ER27)</f>
        <v>30906.749999999993</v>
      </c>
      <c r="S21" s="171">
        <f>SUMIF('IS(M)'!$M$11:$ER$11,S$7,'IS(M)'!$M27:$ER27)</f>
        <v>30906.749999999993</v>
      </c>
      <c r="T21" s="171">
        <f>SUMIF('IS(M)'!$M$11:$ER$11,T$7,'IS(M)'!$M27:$ER27)</f>
        <v>31370.351249999989</v>
      </c>
      <c r="U21" s="171">
        <f>SUMIF('IS(M)'!$M$11:$ER$11,U$7,'IS(M)'!$M27:$ER27)</f>
        <v>31370.351249999989</v>
      </c>
      <c r="V21" s="171">
        <f>SUMIF('IS(M)'!$M$11:$ER$11,V$7,'IS(M)'!$M27:$ER27)</f>
        <v>31840.906518749984</v>
      </c>
      <c r="W21" s="171">
        <f>SUMIF('IS(M)'!$M$11:$ER$11,W$7,'IS(M)'!$M27:$ER27)</f>
        <v>31840.906518749984</v>
      </c>
      <c r="X21" s="171">
        <f>SUMIF('IS(M)'!$M$11:$ER$11,X$7,'IS(M)'!$M27:$ER27)</f>
        <v>32318.520116531228</v>
      </c>
      <c r="Y21" s="171">
        <f>SUMIF('IS(M)'!$M$11:$ER$11,Y$7,'IS(M)'!$M27:$ER27)</f>
        <v>32318.520116531228</v>
      </c>
      <c r="Z21" s="171">
        <f>SUMIF('IS(M)'!$M$11:$ER$11,Z$7,'IS(M)'!$M27:$ER27)</f>
        <v>32803.29791827919</v>
      </c>
      <c r="AA21" s="171">
        <f>SUMIF('IS(M)'!$M$11:$ER$11,AA$7,'IS(M)'!$M27:$ER27)</f>
        <v>32803.29791827919</v>
      </c>
      <c r="AB21" s="171">
        <f>SUMIF('IS(M)'!$M$11:$ER$11,AB$7,'IS(M)'!$M27:$ER27)</f>
        <v>33295.347387053371</v>
      </c>
      <c r="AC21" s="171">
        <f>SUMIF('IS(M)'!$M$11:$ER$11,AC$7,'IS(M)'!$M27:$ER27)</f>
        <v>33295.347387053371</v>
      </c>
      <c r="AD21" s="171">
        <f>SUMIF('IS(M)'!$M$11:$ER$11,AD$7,'IS(M)'!$M27:$ER27)</f>
        <v>33794.777597859174</v>
      </c>
      <c r="AE21" s="171">
        <f>SUMIF('IS(M)'!$M$11:$ER$11,AE$7,'IS(M)'!$M27:$ER27)</f>
        <v>33794.777597859174</v>
      </c>
      <c r="AF21" s="171">
        <f>SUMIF('IS(M)'!$M$11:$ER$11,AF$7,'IS(M)'!$M27:$ER27)</f>
        <v>34301.699261827052</v>
      </c>
      <c r="AG21" s="171">
        <f>SUMIF('IS(M)'!$M$11:$ER$11,AG$7,'IS(M)'!$M27:$ER27)</f>
        <v>34301.699261827052</v>
      </c>
      <c r="AH21" s="171">
        <f>SUMIF('IS(M)'!$M$11:$ER$11,AH$7,'IS(M)'!$M27:$ER27)</f>
        <v>0</v>
      </c>
      <c r="AI21" s="171">
        <f>SUMIF('IS(M)'!$M$11:$ER$11,AI$7,'IS(M)'!$M27:$ER27)</f>
        <v>0</v>
      </c>
      <c r="AJ21" s="171">
        <f>SUMIF('IS(M)'!$M$11:$ER$11,AJ$7,'IS(M)'!$M27:$ER27)</f>
        <v>0</v>
      </c>
      <c r="AK21" s="171">
        <f>SUMIF('IS(M)'!$M$11:$ER$11,AK$7,'IS(M)'!$M27:$ER27)</f>
        <v>0</v>
      </c>
      <c r="AL21" s="171">
        <f>SUMIF('IS(M)'!$M$11:$ER$11,AL$7,'IS(M)'!$M27:$ER27)</f>
        <v>0</v>
      </c>
      <c r="AM21" s="171">
        <f>SUMIF('IS(M)'!$M$11:$ER$11,AM$7,'IS(M)'!$M27:$ER27)</f>
        <v>0</v>
      </c>
      <c r="AN21" s="171">
        <f>SUMIF('IS(M)'!$M$11:$ER$11,AN$7,'IS(M)'!$M27:$ER27)</f>
        <v>0</v>
      </c>
      <c r="AO21" s="171">
        <f>SUMIF('IS(M)'!$M$11:$ER$11,AO$7,'IS(M)'!$M27:$ER27)</f>
        <v>0</v>
      </c>
      <c r="AP21" s="171">
        <f>SUMIF('IS(M)'!$M$11:$ER$11,AP$7,'IS(M)'!$M27:$ER27)</f>
        <v>0</v>
      </c>
      <c r="AQ21" s="171">
        <f>SUMIF('IS(M)'!$M$11:$ER$11,AQ$7,'IS(M)'!$M27:$ER27)</f>
        <v>0</v>
      </c>
      <c r="AR21" s="171">
        <f>SUMIF('IS(M)'!$M$11:$ER$11,AR$7,'IS(M)'!$M27:$ER27)</f>
        <v>0</v>
      </c>
      <c r="AS21" s="171">
        <f>SUMIF('IS(M)'!$M$11:$ER$11,AS$7,'IS(M)'!$M27:$ER27)</f>
        <v>0</v>
      </c>
      <c r="AT21" s="171">
        <f>SUMIF('IS(M)'!$M$11:$ER$11,AT$7,'IS(M)'!$M27:$ER27)</f>
        <v>0</v>
      </c>
      <c r="AU21" s="171">
        <f>SUMIF('IS(M)'!$M$11:$ER$11,AU$7,'IS(M)'!$M27:$ER27)</f>
        <v>0</v>
      </c>
      <c r="AV21" s="171">
        <f>SUMIF('IS(M)'!$M$11:$ER$11,AV$7,'IS(M)'!$M27:$ER27)</f>
        <v>0</v>
      </c>
      <c r="AW21" s="171">
        <f>SUMIF('IS(M)'!$M$11:$ER$11,AW$7,'IS(M)'!$M27:$ER27)</f>
        <v>0</v>
      </c>
      <c r="AX21" s="171">
        <f>SUMIF('IS(M)'!$M$11:$ER$11,AX$7,'IS(M)'!$M27:$ER27)</f>
        <v>0</v>
      </c>
      <c r="AY21" s="171">
        <f>SUMIF('IS(M)'!$M$11:$ER$11,AY$7,'IS(M)'!$M27:$ER27)</f>
        <v>0</v>
      </c>
      <c r="AZ21" s="171">
        <f>SUMIF('IS(M)'!$M$11:$ER$11,AZ$7,'IS(M)'!$M27:$ER27)</f>
        <v>0</v>
      </c>
      <c r="BA21" s="171">
        <f>SUMIF('IS(M)'!$M$11:$ER$11,BA$7,'IS(M)'!$M27:$ER27)</f>
        <v>0</v>
      </c>
      <c r="BB21" s="171">
        <f>SUMIF('IS(M)'!$M$11:$ER$11,BB$7,'IS(M)'!$M27:$ER27)</f>
        <v>0</v>
      </c>
      <c r="BC21" s="171">
        <f>SUMIF('IS(M)'!$M$11:$ER$11,BC$7,'IS(M)'!$M27:$ER27)</f>
        <v>0</v>
      </c>
      <c r="BD21" s="171">
        <f>SUMIF('IS(M)'!$M$11:$ER$11,BD$7,'IS(M)'!$M27:$ER27)</f>
        <v>0</v>
      </c>
      <c r="BE21" s="171">
        <f>SUMIF('IS(M)'!$M$11:$ER$11,BE$7,'IS(M)'!$M27:$ER27)</f>
        <v>0</v>
      </c>
      <c r="BF21" s="171">
        <f>SUMIF('IS(M)'!$M$11:$ER$11,BF$7,'IS(M)'!$M27:$ER27)</f>
        <v>0</v>
      </c>
      <c r="BG21" s="171">
        <f>SUMIF('IS(M)'!$M$11:$ER$11,BG$7,'IS(M)'!$M27:$ER27)</f>
        <v>0</v>
      </c>
      <c r="BH21" s="171">
        <f>SUMIF('IS(M)'!$M$11:$ER$11,BH$7,'IS(M)'!$M27:$ER27)</f>
        <v>0</v>
      </c>
      <c r="BI21" s="171">
        <f>SUMIF('IS(M)'!$M$11:$ER$11,BI$7,'IS(M)'!$M27:$ER27)</f>
        <v>0</v>
      </c>
      <c r="BJ21" s="171">
        <f>SUMIF('IS(M)'!$M$11:$ER$11,BJ$7,'IS(M)'!$M27:$ER27)</f>
        <v>0</v>
      </c>
      <c r="BK21" s="171">
        <f>SUMIF('IS(M)'!$M$11:$ER$11,BK$7,'IS(M)'!$M27:$ER27)</f>
        <v>0</v>
      </c>
      <c r="BL21" s="171">
        <f>SUMIF('IS(M)'!$M$11:$ER$11,BL$7,'IS(M)'!$M27:$ER27)</f>
        <v>0</v>
      </c>
      <c r="BM21" s="171">
        <f>SUMIF('IS(M)'!$M$11:$ER$11,BM$7,'IS(M)'!$M27:$ER27)</f>
        <v>0</v>
      </c>
      <c r="BN21" s="171">
        <f>SUMIF('IS(M)'!$M$11:$ER$11,BN$7,'IS(M)'!$M27:$ER27)</f>
        <v>0</v>
      </c>
      <c r="BO21" s="171">
        <f>SUMIF('IS(M)'!$M$11:$ER$11,BO$7,'IS(M)'!$M27:$ER27)</f>
        <v>0</v>
      </c>
      <c r="BP21" s="171">
        <f>SUMIF('IS(M)'!$M$11:$ER$11,BP$7,'IS(M)'!$M27:$ER27)</f>
        <v>0</v>
      </c>
      <c r="BQ21" s="171">
        <f>SUMIF('IS(M)'!$M$11:$ER$11,BQ$7,'IS(M)'!$M27:$ER27)</f>
        <v>0</v>
      </c>
      <c r="BR21" s="171">
        <f>SUMIF('IS(M)'!$M$11:$ER$11,BR$7,'IS(M)'!$M27:$ER27)</f>
        <v>0</v>
      </c>
      <c r="BS21" s="171">
        <f>SUMIF('IS(M)'!$M$11:$ER$11,BS$7,'IS(M)'!$M27:$ER27)</f>
        <v>0</v>
      </c>
      <c r="BT21" s="171">
        <f>SUMIF('IS(M)'!$M$11:$ER$11,BT$7,'IS(M)'!$M27:$ER27)</f>
        <v>0</v>
      </c>
      <c r="BU21" s="171">
        <f>SUMIF('IS(M)'!$M$11:$ER$11,BU$7,'IS(M)'!$M27:$ER27)</f>
        <v>0</v>
      </c>
      <c r="BV21" s="171">
        <f>SUMIF('IS(M)'!$M$11:$ER$11,BV$7,'IS(M)'!$M27:$ER27)</f>
        <v>0</v>
      </c>
      <c r="BW21" s="171">
        <f>SUMIF('IS(M)'!$M$11:$ER$11,BW$7,'IS(M)'!$M27:$ER27)</f>
        <v>0</v>
      </c>
      <c r="BX21" s="171">
        <f>SUMIF('IS(M)'!$M$11:$ER$11,BX$7,'IS(M)'!$M27:$ER27)</f>
        <v>0</v>
      </c>
      <c r="BY21" s="171">
        <f>SUMIF('IS(M)'!$M$11:$ER$11,BY$7,'IS(M)'!$M27:$ER27)</f>
        <v>0</v>
      </c>
      <c r="BZ21" s="171">
        <f>SUMIF('IS(M)'!$M$11:$ER$11,BZ$7,'IS(M)'!$M27:$ER27)</f>
        <v>0</v>
      </c>
      <c r="CA21" s="171">
        <f>SUMIF('IS(M)'!$M$11:$ER$11,CA$7,'IS(M)'!$M27:$ER27)</f>
        <v>0</v>
      </c>
      <c r="CB21" s="171">
        <f>SUMIF('IS(M)'!$M$11:$ER$11,CB$7,'IS(M)'!$M27:$ER27)</f>
        <v>0</v>
      </c>
      <c r="CC21" s="171">
        <f>SUMIF('IS(M)'!$M$11:$ER$11,CC$7,'IS(M)'!$M27:$ER27)</f>
        <v>0</v>
      </c>
      <c r="CD21" s="171">
        <f>SUMIF('IS(M)'!$M$11:$ER$11,CD$7,'IS(M)'!$M27:$ER27)</f>
        <v>0</v>
      </c>
      <c r="CE21" s="171">
        <f>SUMIF('IS(M)'!$M$11:$ER$11,CE$7,'IS(M)'!$M27:$ER27)</f>
        <v>0</v>
      </c>
      <c r="CF21" s="171">
        <f>SUMIF('IS(M)'!$M$11:$ER$11,CF$7,'IS(M)'!$M27:$ER27)</f>
        <v>0</v>
      </c>
      <c r="CG21" s="171">
        <f>SUMIF('IS(M)'!$M$11:$ER$11,CG$7,'IS(M)'!$M27:$ER27)</f>
        <v>0</v>
      </c>
      <c r="CH21" s="171">
        <f>SUMIF('IS(M)'!$M$11:$ER$11,CH$7,'IS(M)'!$M27:$ER27)</f>
        <v>0</v>
      </c>
      <c r="CI21" s="171">
        <f>SUMIF('IS(M)'!$M$11:$ER$11,CI$7,'IS(M)'!$M27:$ER27)</f>
        <v>0</v>
      </c>
      <c r="CJ21" s="171">
        <f>SUMIF('IS(M)'!$M$11:$ER$11,CJ$7,'IS(M)'!$M27:$ER27)</f>
        <v>0</v>
      </c>
      <c r="CK21" s="171">
        <f>SUMIF('IS(M)'!$M$11:$ER$11,CK$7,'IS(M)'!$M27:$ER27)</f>
        <v>0</v>
      </c>
      <c r="CL21" s="171">
        <f>SUMIF('IS(M)'!$M$11:$ER$11,CL$7,'IS(M)'!$M27:$ER27)</f>
        <v>0</v>
      </c>
      <c r="CM21" s="171">
        <f>SUMIF('IS(M)'!$M$11:$ER$11,CM$7,'IS(M)'!$M27:$ER27)</f>
        <v>0</v>
      </c>
      <c r="CN21" s="171">
        <f>SUMIF('IS(M)'!$M$11:$ER$11,CN$7,'IS(M)'!$M27:$ER27)</f>
        <v>0</v>
      </c>
      <c r="CO21" s="171">
        <f>SUMIF('IS(M)'!$M$11:$ER$11,CO$7,'IS(M)'!$M27:$ER27)</f>
        <v>0</v>
      </c>
      <c r="CP21" s="171">
        <f>SUMIF('IS(M)'!$M$11:$ER$11,CP$7,'IS(M)'!$M27:$ER27)</f>
        <v>0</v>
      </c>
      <c r="CQ21" s="171">
        <f>SUMIF('IS(M)'!$M$11:$ER$11,CQ$7,'IS(M)'!$M27:$ER27)</f>
        <v>0</v>
      </c>
      <c r="CR21" s="171">
        <f>SUMIF('IS(M)'!$M$11:$ER$11,CR$7,'IS(M)'!$M27:$ER27)</f>
        <v>0</v>
      </c>
      <c r="CS21" s="171">
        <f>SUMIF('IS(M)'!$M$11:$ER$11,CS$7,'IS(M)'!$M27:$ER27)</f>
        <v>0</v>
      </c>
      <c r="CT21" s="171">
        <f>SUMIF('IS(M)'!$M$11:$ER$11,CT$7,'IS(M)'!$M27:$ER27)</f>
        <v>0</v>
      </c>
      <c r="CU21" s="171">
        <f>SUMIF('IS(M)'!$M$11:$ER$11,CU$7,'IS(M)'!$M27:$ER27)</f>
        <v>0</v>
      </c>
      <c r="CV21" s="171">
        <f>SUMIF('IS(M)'!$M$11:$ER$11,CV$7,'IS(M)'!$M27:$ER27)</f>
        <v>0</v>
      </c>
      <c r="CW21" s="171">
        <f>SUMIF('IS(M)'!$M$11:$ER$11,CW$7,'IS(M)'!$M27:$ER27)</f>
        <v>0</v>
      </c>
      <c r="CX21" s="171">
        <f>SUMIF('IS(M)'!$M$11:$ER$11,CX$7,'IS(M)'!$M27:$ER27)</f>
        <v>0</v>
      </c>
      <c r="CY21" s="171">
        <f>SUMIF('IS(M)'!$M$11:$ER$11,CY$7,'IS(M)'!$M27:$ER27)</f>
        <v>0</v>
      </c>
      <c r="CZ21" s="171">
        <f>SUMIF('IS(M)'!$M$11:$ER$11,CZ$7,'IS(M)'!$M27:$ER27)</f>
        <v>0</v>
      </c>
      <c r="DA21" s="171">
        <f>SUMIF('IS(M)'!$M$11:$ER$11,DA$7,'IS(M)'!$M27:$ER27)</f>
        <v>0</v>
      </c>
      <c r="DB21" s="171">
        <f>SUMIF('IS(M)'!$M$11:$ER$11,DB$7,'IS(M)'!$M27:$ER27)</f>
        <v>0</v>
      </c>
      <c r="DC21" s="171">
        <f>SUMIF('IS(M)'!$M$11:$ER$11,DC$7,'IS(M)'!$M27:$ER27)</f>
        <v>0</v>
      </c>
      <c r="DD21" s="171">
        <f>SUMIF('IS(M)'!$M$11:$ER$11,DD$7,'IS(M)'!$M27:$ER27)</f>
        <v>0</v>
      </c>
      <c r="DE21" s="171">
        <f>SUMIF('IS(M)'!$M$11:$ER$11,DE$7,'IS(M)'!$M27:$ER27)</f>
        <v>0</v>
      </c>
      <c r="DF21" s="171">
        <f>SUMIF('IS(M)'!$M$11:$ER$11,DF$7,'IS(M)'!$M27:$ER27)</f>
        <v>0</v>
      </c>
      <c r="DG21" s="171">
        <f>SUMIF('IS(M)'!$M$11:$ER$11,DG$7,'IS(M)'!$M27:$ER27)</f>
        <v>0</v>
      </c>
      <c r="DH21" s="171">
        <f>SUMIF('IS(M)'!$M$11:$ER$11,DH$7,'IS(M)'!$M27:$ER27)</f>
        <v>0</v>
      </c>
      <c r="DI21" s="171">
        <f>SUMIF('IS(M)'!$M$11:$ER$11,DI$7,'IS(M)'!$M27:$ER27)</f>
        <v>0</v>
      </c>
      <c r="DJ21" s="171">
        <f>SUMIF('IS(M)'!$M$11:$ER$11,DJ$7,'IS(M)'!$M27:$ER27)</f>
        <v>0</v>
      </c>
      <c r="DK21" s="171">
        <f>SUMIF('IS(M)'!$M$11:$ER$11,DK$7,'IS(M)'!$M27:$ER27)</f>
        <v>0</v>
      </c>
      <c r="DL21" s="171">
        <f>SUMIF('IS(M)'!$M$11:$ER$11,DL$7,'IS(M)'!$M27:$ER27)</f>
        <v>0</v>
      </c>
      <c r="DM21" s="171">
        <f>SUMIF('IS(M)'!$M$11:$ER$11,DM$7,'IS(M)'!$M27:$ER27)</f>
        <v>0</v>
      </c>
      <c r="DN21" s="171">
        <f>SUMIF('IS(M)'!$M$11:$ER$11,DN$7,'IS(M)'!$M27:$ER27)</f>
        <v>0</v>
      </c>
      <c r="DO21" s="171">
        <f>SUMIF('IS(M)'!$M$11:$ER$11,DO$7,'IS(M)'!$M27:$ER27)</f>
        <v>0</v>
      </c>
      <c r="DP21" s="171">
        <f>SUMIF('IS(M)'!$M$11:$ER$11,DP$7,'IS(M)'!$M27:$ER27)</f>
        <v>0</v>
      </c>
      <c r="DQ21" s="171">
        <f>SUMIF('IS(M)'!$M$11:$ER$11,DQ$7,'IS(M)'!$M27:$ER27)</f>
        <v>0</v>
      </c>
      <c r="DR21" s="171">
        <f>SUMIF('IS(M)'!$M$11:$ER$11,DR$7,'IS(M)'!$M27:$ER27)</f>
        <v>0</v>
      </c>
      <c r="DS21" s="171">
        <f>SUMIF('IS(M)'!$M$11:$ER$11,DS$7,'IS(M)'!$M27:$ER27)</f>
        <v>0</v>
      </c>
      <c r="DT21" s="171">
        <f>SUMIF('IS(M)'!$M$11:$ER$11,DT$7,'IS(M)'!$M27:$ER27)</f>
        <v>0</v>
      </c>
      <c r="DU21" s="171">
        <f>SUMIF('IS(M)'!$M$11:$ER$11,DU$7,'IS(M)'!$M27:$ER27)</f>
        <v>0</v>
      </c>
      <c r="DV21" s="171">
        <f>SUMIF('IS(M)'!$M$11:$ER$11,DV$7,'IS(M)'!$M27:$ER27)</f>
        <v>0</v>
      </c>
      <c r="DW21" s="171">
        <f>SUMIF('IS(M)'!$M$11:$ER$11,DW$7,'IS(M)'!$M27:$ER27)</f>
        <v>0</v>
      </c>
    </row>
    <row r="22" spans="2:127" ht="11.25" customHeight="1">
      <c r="B22" s="218"/>
      <c r="C22" s="163"/>
      <c r="D22" s="169" t="s">
        <v>75</v>
      </c>
      <c r="I22" s="146"/>
      <c r="J22" s="13"/>
      <c r="K22" s="171">
        <f t="shared" si="12"/>
        <v>6974980.3358780378</v>
      </c>
      <c r="L22" s="98"/>
      <c r="M22" s="171">
        <f>SUMIF('IS(M)'!$M$11:$ER$11,M$7,'IS(M)'!$M28:$ER28)</f>
        <v>0</v>
      </c>
      <c r="N22" s="171">
        <f>SUMIF('IS(M)'!$M$11:$ER$11,N$7,'IS(M)'!$M28:$ER28)</f>
        <v>318500.36800229998</v>
      </c>
      <c r="O22" s="171">
        <f>SUMIF('IS(M)'!$M$11:$ER$11,O$7,'IS(M)'!$M28:$ER28)</f>
        <v>318500.36800229998</v>
      </c>
      <c r="P22" s="171">
        <f>SUMIF('IS(M)'!$M$11:$ER$11,P$7,'IS(M)'!$M28:$ER28)</f>
        <v>324870.37536234595</v>
      </c>
      <c r="Q22" s="171">
        <f>SUMIF('IS(M)'!$M$11:$ER$11,Q$7,'IS(M)'!$M28:$ER28)</f>
        <v>324870.37536234595</v>
      </c>
      <c r="R22" s="171">
        <f>SUMIF('IS(M)'!$M$11:$ER$11,R$7,'IS(M)'!$M28:$ER28)</f>
        <v>331367.78286959289</v>
      </c>
      <c r="S22" s="171">
        <f>SUMIF('IS(M)'!$M$11:$ER$11,S$7,'IS(M)'!$M28:$ER28)</f>
        <v>331367.78286959289</v>
      </c>
      <c r="T22" s="171">
        <f>SUMIF('IS(M)'!$M$11:$ER$11,T$7,'IS(M)'!$M28:$ER28)</f>
        <v>337995.13852698472</v>
      </c>
      <c r="U22" s="171">
        <f>SUMIF('IS(M)'!$M$11:$ER$11,U$7,'IS(M)'!$M28:$ER28)</f>
        <v>337995.13852698472</v>
      </c>
      <c r="V22" s="171">
        <f>SUMIF('IS(M)'!$M$11:$ER$11,V$7,'IS(M)'!$M28:$ER28)</f>
        <v>344755.04129752435</v>
      </c>
      <c r="W22" s="171">
        <f>SUMIF('IS(M)'!$M$11:$ER$11,W$7,'IS(M)'!$M28:$ER28)</f>
        <v>344755.04129752435</v>
      </c>
      <c r="X22" s="171">
        <f>SUMIF('IS(M)'!$M$11:$ER$11,X$7,'IS(M)'!$M28:$ER28)</f>
        <v>351650.14212347491</v>
      </c>
      <c r="Y22" s="171">
        <f>SUMIF('IS(M)'!$M$11:$ER$11,Y$7,'IS(M)'!$M28:$ER28)</f>
        <v>351650.14212347491</v>
      </c>
      <c r="Z22" s="171">
        <f>SUMIF('IS(M)'!$M$11:$ER$11,Z$7,'IS(M)'!$M28:$ER28)</f>
        <v>358683.1449659444</v>
      </c>
      <c r="AA22" s="171">
        <f>SUMIF('IS(M)'!$M$11:$ER$11,AA$7,'IS(M)'!$M28:$ER28)</f>
        <v>358683.1449659444</v>
      </c>
      <c r="AB22" s="171">
        <f>SUMIF('IS(M)'!$M$11:$ER$11,AB$7,'IS(M)'!$M28:$ER28)</f>
        <v>365856.80786526331</v>
      </c>
      <c r="AC22" s="171">
        <f>SUMIF('IS(M)'!$M$11:$ER$11,AC$7,'IS(M)'!$M28:$ER28)</f>
        <v>365856.80786526331</v>
      </c>
      <c r="AD22" s="171">
        <f>SUMIF('IS(M)'!$M$11:$ER$11,AD$7,'IS(M)'!$M28:$ER28)</f>
        <v>373173.94402256858</v>
      </c>
      <c r="AE22" s="171">
        <f>SUMIF('IS(M)'!$M$11:$ER$11,AE$7,'IS(M)'!$M28:$ER28)</f>
        <v>373173.94402256858</v>
      </c>
      <c r="AF22" s="171">
        <f>SUMIF('IS(M)'!$M$11:$ER$11,AF$7,'IS(M)'!$M28:$ER28)</f>
        <v>380637.42290301988</v>
      </c>
      <c r="AG22" s="171">
        <f>SUMIF('IS(M)'!$M$11:$ER$11,AG$7,'IS(M)'!$M28:$ER28)</f>
        <v>380637.42290301988</v>
      </c>
      <c r="AH22" s="171">
        <f>SUMIF('IS(M)'!$M$11:$ER$11,AH$7,'IS(M)'!$M28:$ER28)</f>
        <v>0</v>
      </c>
      <c r="AI22" s="171">
        <f>SUMIF('IS(M)'!$M$11:$ER$11,AI$7,'IS(M)'!$M28:$ER28)</f>
        <v>0</v>
      </c>
      <c r="AJ22" s="171">
        <f>SUMIF('IS(M)'!$M$11:$ER$11,AJ$7,'IS(M)'!$M28:$ER28)</f>
        <v>0</v>
      </c>
      <c r="AK22" s="171">
        <f>SUMIF('IS(M)'!$M$11:$ER$11,AK$7,'IS(M)'!$M28:$ER28)</f>
        <v>0</v>
      </c>
      <c r="AL22" s="171">
        <f>SUMIF('IS(M)'!$M$11:$ER$11,AL$7,'IS(M)'!$M28:$ER28)</f>
        <v>0</v>
      </c>
      <c r="AM22" s="171">
        <f>SUMIF('IS(M)'!$M$11:$ER$11,AM$7,'IS(M)'!$M28:$ER28)</f>
        <v>0</v>
      </c>
      <c r="AN22" s="171">
        <f>SUMIF('IS(M)'!$M$11:$ER$11,AN$7,'IS(M)'!$M28:$ER28)</f>
        <v>0</v>
      </c>
      <c r="AO22" s="171">
        <f>SUMIF('IS(M)'!$M$11:$ER$11,AO$7,'IS(M)'!$M28:$ER28)</f>
        <v>0</v>
      </c>
      <c r="AP22" s="171">
        <f>SUMIF('IS(M)'!$M$11:$ER$11,AP$7,'IS(M)'!$M28:$ER28)</f>
        <v>0</v>
      </c>
      <c r="AQ22" s="171">
        <f>SUMIF('IS(M)'!$M$11:$ER$11,AQ$7,'IS(M)'!$M28:$ER28)</f>
        <v>0</v>
      </c>
      <c r="AR22" s="171">
        <f>SUMIF('IS(M)'!$M$11:$ER$11,AR$7,'IS(M)'!$M28:$ER28)</f>
        <v>0</v>
      </c>
      <c r="AS22" s="171">
        <f>SUMIF('IS(M)'!$M$11:$ER$11,AS$7,'IS(M)'!$M28:$ER28)</f>
        <v>0</v>
      </c>
      <c r="AT22" s="171">
        <f>SUMIF('IS(M)'!$M$11:$ER$11,AT$7,'IS(M)'!$M28:$ER28)</f>
        <v>0</v>
      </c>
      <c r="AU22" s="171">
        <f>SUMIF('IS(M)'!$M$11:$ER$11,AU$7,'IS(M)'!$M28:$ER28)</f>
        <v>0</v>
      </c>
      <c r="AV22" s="171">
        <f>SUMIF('IS(M)'!$M$11:$ER$11,AV$7,'IS(M)'!$M28:$ER28)</f>
        <v>0</v>
      </c>
      <c r="AW22" s="171">
        <f>SUMIF('IS(M)'!$M$11:$ER$11,AW$7,'IS(M)'!$M28:$ER28)</f>
        <v>0</v>
      </c>
      <c r="AX22" s="171">
        <f>SUMIF('IS(M)'!$M$11:$ER$11,AX$7,'IS(M)'!$M28:$ER28)</f>
        <v>0</v>
      </c>
      <c r="AY22" s="171">
        <f>SUMIF('IS(M)'!$M$11:$ER$11,AY$7,'IS(M)'!$M28:$ER28)</f>
        <v>0</v>
      </c>
      <c r="AZ22" s="171">
        <f>SUMIF('IS(M)'!$M$11:$ER$11,AZ$7,'IS(M)'!$M28:$ER28)</f>
        <v>0</v>
      </c>
      <c r="BA22" s="171">
        <f>SUMIF('IS(M)'!$M$11:$ER$11,BA$7,'IS(M)'!$M28:$ER28)</f>
        <v>0</v>
      </c>
      <c r="BB22" s="171">
        <f>SUMIF('IS(M)'!$M$11:$ER$11,BB$7,'IS(M)'!$M28:$ER28)</f>
        <v>0</v>
      </c>
      <c r="BC22" s="171">
        <f>SUMIF('IS(M)'!$M$11:$ER$11,BC$7,'IS(M)'!$M28:$ER28)</f>
        <v>0</v>
      </c>
      <c r="BD22" s="171">
        <f>SUMIF('IS(M)'!$M$11:$ER$11,BD$7,'IS(M)'!$M28:$ER28)</f>
        <v>0</v>
      </c>
      <c r="BE22" s="171">
        <f>SUMIF('IS(M)'!$M$11:$ER$11,BE$7,'IS(M)'!$M28:$ER28)</f>
        <v>0</v>
      </c>
      <c r="BF22" s="171">
        <f>SUMIF('IS(M)'!$M$11:$ER$11,BF$7,'IS(M)'!$M28:$ER28)</f>
        <v>0</v>
      </c>
      <c r="BG22" s="171">
        <f>SUMIF('IS(M)'!$M$11:$ER$11,BG$7,'IS(M)'!$M28:$ER28)</f>
        <v>0</v>
      </c>
      <c r="BH22" s="171">
        <f>SUMIF('IS(M)'!$M$11:$ER$11,BH$7,'IS(M)'!$M28:$ER28)</f>
        <v>0</v>
      </c>
      <c r="BI22" s="171">
        <f>SUMIF('IS(M)'!$M$11:$ER$11,BI$7,'IS(M)'!$M28:$ER28)</f>
        <v>0</v>
      </c>
      <c r="BJ22" s="171">
        <f>SUMIF('IS(M)'!$M$11:$ER$11,BJ$7,'IS(M)'!$M28:$ER28)</f>
        <v>0</v>
      </c>
      <c r="BK22" s="171">
        <f>SUMIF('IS(M)'!$M$11:$ER$11,BK$7,'IS(M)'!$M28:$ER28)</f>
        <v>0</v>
      </c>
      <c r="BL22" s="171">
        <f>SUMIF('IS(M)'!$M$11:$ER$11,BL$7,'IS(M)'!$M28:$ER28)</f>
        <v>0</v>
      </c>
      <c r="BM22" s="171">
        <f>SUMIF('IS(M)'!$M$11:$ER$11,BM$7,'IS(M)'!$M28:$ER28)</f>
        <v>0</v>
      </c>
      <c r="BN22" s="171">
        <f>SUMIF('IS(M)'!$M$11:$ER$11,BN$7,'IS(M)'!$M28:$ER28)</f>
        <v>0</v>
      </c>
      <c r="BO22" s="171">
        <f>SUMIF('IS(M)'!$M$11:$ER$11,BO$7,'IS(M)'!$M28:$ER28)</f>
        <v>0</v>
      </c>
      <c r="BP22" s="171">
        <f>SUMIF('IS(M)'!$M$11:$ER$11,BP$7,'IS(M)'!$M28:$ER28)</f>
        <v>0</v>
      </c>
      <c r="BQ22" s="171">
        <f>SUMIF('IS(M)'!$M$11:$ER$11,BQ$7,'IS(M)'!$M28:$ER28)</f>
        <v>0</v>
      </c>
      <c r="BR22" s="171">
        <f>SUMIF('IS(M)'!$M$11:$ER$11,BR$7,'IS(M)'!$M28:$ER28)</f>
        <v>0</v>
      </c>
      <c r="BS22" s="171">
        <f>SUMIF('IS(M)'!$M$11:$ER$11,BS$7,'IS(M)'!$M28:$ER28)</f>
        <v>0</v>
      </c>
      <c r="BT22" s="171">
        <f>SUMIF('IS(M)'!$M$11:$ER$11,BT$7,'IS(M)'!$M28:$ER28)</f>
        <v>0</v>
      </c>
      <c r="BU22" s="171">
        <f>SUMIF('IS(M)'!$M$11:$ER$11,BU$7,'IS(M)'!$M28:$ER28)</f>
        <v>0</v>
      </c>
      <c r="BV22" s="171">
        <f>SUMIF('IS(M)'!$M$11:$ER$11,BV$7,'IS(M)'!$M28:$ER28)</f>
        <v>0</v>
      </c>
      <c r="BW22" s="171">
        <f>SUMIF('IS(M)'!$M$11:$ER$11,BW$7,'IS(M)'!$M28:$ER28)</f>
        <v>0</v>
      </c>
      <c r="BX22" s="171">
        <f>SUMIF('IS(M)'!$M$11:$ER$11,BX$7,'IS(M)'!$M28:$ER28)</f>
        <v>0</v>
      </c>
      <c r="BY22" s="171">
        <f>SUMIF('IS(M)'!$M$11:$ER$11,BY$7,'IS(M)'!$M28:$ER28)</f>
        <v>0</v>
      </c>
      <c r="BZ22" s="171">
        <f>SUMIF('IS(M)'!$M$11:$ER$11,BZ$7,'IS(M)'!$M28:$ER28)</f>
        <v>0</v>
      </c>
      <c r="CA22" s="171">
        <f>SUMIF('IS(M)'!$M$11:$ER$11,CA$7,'IS(M)'!$M28:$ER28)</f>
        <v>0</v>
      </c>
      <c r="CB22" s="171">
        <f>SUMIF('IS(M)'!$M$11:$ER$11,CB$7,'IS(M)'!$M28:$ER28)</f>
        <v>0</v>
      </c>
      <c r="CC22" s="171">
        <f>SUMIF('IS(M)'!$M$11:$ER$11,CC$7,'IS(M)'!$M28:$ER28)</f>
        <v>0</v>
      </c>
      <c r="CD22" s="171">
        <f>SUMIF('IS(M)'!$M$11:$ER$11,CD$7,'IS(M)'!$M28:$ER28)</f>
        <v>0</v>
      </c>
      <c r="CE22" s="171">
        <f>SUMIF('IS(M)'!$M$11:$ER$11,CE$7,'IS(M)'!$M28:$ER28)</f>
        <v>0</v>
      </c>
      <c r="CF22" s="171">
        <f>SUMIF('IS(M)'!$M$11:$ER$11,CF$7,'IS(M)'!$M28:$ER28)</f>
        <v>0</v>
      </c>
      <c r="CG22" s="171">
        <f>SUMIF('IS(M)'!$M$11:$ER$11,CG$7,'IS(M)'!$M28:$ER28)</f>
        <v>0</v>
      </c>
      <c r="CH22" s="171">
        <f>SUMIF('IS(M)'!$M$11:$ER$11,CH$7,'IS(M)'!$M28:$ER28)</f>
        <v>0</v>
      </c>
      <c r="CI22" s="171">
        <f>SUMIF('IS(M)'!$M$11:$ER$11,CI$7,'IS(M)'!$M28:$ER28)</f>
        <v>0</v>
      </c>
      <c r="CJ22" s="171">
        <f>SUMIF('IS(M)'!$M$11:$ER$11,CJ$7,'IS(M)'!$M28:$ER28)</f>
        <v>0</v>
      </c>
      <c r="CK22" s="171">
        <f>SUMIF('IS(M)'!$M$11:$ER$11,CK$7,'IS(M)'!$M28:$ER28)</f>
        <v>0</v>
      </c>
      <c r="CL22" s="171">
        <f>SUMIF('IS(M)'!$M$11:$ER$11,CL$7,'IS(M)'!$M28:$ER28)</f>
        <v>0</v>
      </c>
      <c r="CM22" s="171">
        <f>SUMIF('IS(M)'!$M$11:$ER$11,CM$7,'IS(M)'!$M28:$ER28)</f>
        <v>0</v>
      </c>
      <c r="CN22" s="171">
        <f>SUMIF('IS(M)'!$M$11:$ER$11,CN$7,'IS(M)'!$M28:$ER28)</f>
        <v>0</v>
      </c>
      <c r="CO22" s="171">
        <f>SUMIF('IS(M)'!$M$11:$ER$11,CO$7,'IS(M)'!$M28:$ER28)</f>
        <v>0</v>
      </c>
      <c r="CP22" s="171">
        <f>SUMIF('IS(M)'!$M$11:$ER$11,CP$7,'IS(M)'!$M28:$ER28)</f>
        <v>0</v>
      </c>
      <c r="CQ22" s="171">
        <f>SUMIF('IS(M)'!$M$11:$ER$11,CQ$7,'IS(M)'!$M28:$ER28)</f>
        <v>0</v>
      </c>
      <c r="CR22" s="171">
        <f>SUMIF('IS(M)'!$M$11:$ER$11,CR$7,'IS(M)'!$M28:$ER28)</f>
        <v>0</v>
      </c>
      <c r="CS22" s="171">
        <f>SUMIF('IS(M)'!$M$11:$ER$11,CS$7,'IS(M)'!$M28:$ER28)</f>
        <v>0</v>
      </c>
      <c r="CT22" s="171">
        <f>SUMIF('IS(M)'!$M$11:$ER$11,CT$7,'IS(M)'!$M28:$ER28)</f>
        <v>0</v>
      </c>
      <c r="CU22" s="171">
        <f>SUMIF('IS(M)'!$M$11:$ER$11,CU$7,'IS(M)'!$M28:$ER28)</f>
        <v>0</v>
      </c>
      <c r="CV22" s="171">
        <f>SUMIF('IS(M)'!$M$11:$ER$11,CV$7,'IS(M)'!$M28:$ER28)</f>
        <v>0</v>
      </c>
      <c r="CW22" s="171">
        <f>SUMIF('IS(M)'!$M$11:$ER$11,CW$7,'IS(M)'!$M28:$ER28)</f>
        <v>0</v>
      </c>
      <c r="CX22" s="171">
        <f>SUMIF('IS(M)'!$M$11:$ER$11,CX$7,'IS(M)'!$M28:$ER28)</f>
        <v>0</v>
      </c>
      <c r="CY22" s="171">
        <f>SUMIF('IS(M)'!$M$11:$ER$11,CY$7,'IS(M)'!$M28:$ER28)</f>
        <v>0</v>
      </c>
      <c r="CZ22" s="171">
        <f>SUMIF('IS(M)'!$M$11:$ER$11,CZ$7,'IS(M)'!$M28:$ER28)</f>
        <v>0</v>
      </c>
      <c r="DA22" s="171">
        <f>SUMIF('IS(M)'!$M$11:$ER$11,DA$7,'IS(M)'!$M28:$ER28)</f>
        <v>0</v>
      </c>
      <c r="DB22" s="171">
        <f>SUMIF('IS(M)'!$M$11:$ER$11,DB$7,'IS(M)'!$M28:$ER28)</f>
        <v>0</v>
      </c>
      <c r="DC22" s="171">
        <f>SUMIF('IS(M)'!$M$11:$ER$11,DC$7,'IS(M)'!$M28:$ER28)</f>
        <v>0</v>
      </c>
      <c r="DD22" s="171">
        <f>SUMIF('IS(M)'!$M$11:$ER$11,DD$7,'IS(M)'!$M28:$ER28)</f>
        <v>0</v>
      </c>
      <c r="DE22" s="171">
        <f>SUMIF('IS(M)'!$M$11:$ER$11,DE$7,'IS(M)'!$M28:$ER28)</f>
        <v>0</v>
      </c>
      <c r="DF22" s="171">
        <f>SUMIF('IS(M)'!$M$11:$ER$11,DF$7,'IS(M)'!$M28:$ER28)</f>
        <v>0</v>
      </c>
      <c r="DG22" s="171">
        <f>SUMIF('IS(M)'!$M$11:$ER$11,DG$7,'IS(M)'!$M28:$ER28)</f>
        <v>0</v>
      </c>
      <c r="DH22" s="171">
        <f>SUMIF('IS(M)'!$M$11:$ER$11,DH$7,'IS(M)'!$M28:$ER28)</f>
        <v>0</v>
      </c>
      <c r="DI22" s="171">
        <f>SUMIF('IS(M)'!$M$11:$ER$11,DI$7,'IS(M)'!$M28:$ER28)</f>
        <v>0</v>
      </c>
      <c r="DJ22" s="171">
        <f>SUMIF('IS(M)'!$M$11:$ER$11,DJ$7,'IS(M)'!$M28:$ER28)</f>
        <v>0</v>
      </c>
      <c r="DK22" s="171">
        <f>SUMIF('IS(M)'!$M$11:$ER$11,DK$7,'IS(M)'!$M28:$ER28)</f>
        <v>0</v>
      </c>
      <c r="DL22" s="171">
        <f>SUMIF('IS(M)'!$M$11:$ER$11,DL$7,'IS(M)'!$M28:$ER28)</f>
        <v>0</v>
      </c>
      <c r="DM22" s="171">
        <f>SUMIF('IS(M)'!$M$11:$ER$11,DM$7,'IS(M)'!$M28:$ER28)</f>
        <v>0</v>
      </c>
      <c r="DN22" s="171">
        <f>SUMIF('IS(M)'!$M$11:$ER$11,DN$7,'IS(M)'!$M28:$ER28)</f>
        <v>0</v>
      </c>
      <c r="DO22" s="171">
        <f>SUMIF('IS(M)'!$M$11:$ER$11,DO$7,'IS(M)'!$M28:$ER28)</f>
        <v>0</v>
      </c>
      <c r="DP22" s="171">
        <f>SUMIF('IS(M)'!$M$11:$ER$11,DP$7,'IS(M)'!$M28:$ER28)</f>
        <v>0</v>
      </c>
      <c r="DQ22" s="171">
        <f>SUMIF('IS(M)'!$M$11:$ER$11,DQ$7,'IS(M)'!$M28:$ER28)</f>
        <v>0</v>
      </c>
      <c r="DR22" s="171">
        <f>SUMIF('IS(M)'!$M$11:$ER$11,DR$7,'IS(M)'!$M28:$ER28)</f>
        <v>0</v>
      </c>
      <c r="DS22" s="171">
        <f>SUMIF('IS(M)'!$M$11:$ER$11,DS$7,'IS(M)'!$M28:$ER28)</f>
        <v>0</v>
      </c>
      <c r="DT22" s="171">
        <f>SUMIF('IS(M)'!$M$11:$ER$11,DT$7,'IS(M)'!$M28:$ER28)</f>
        <v>0</v>
      </c>
      <c r="DU22" s="171">
        <f>SUMIF('IS(M)'!$M$11:$ER$11,DU$7,'IS(M)'!$M28:$ER28)</f>
        <v>0</v>
      </c>
      <c r="DV22" s="171">
        <f>SUMIF('IS(M)'!$M$11:$ER$11,DV$7,'IS(M)'!$M28:$ER28)</f>
        <v>0</v>
      </c>
      <c r="DW22" s="171">
        <f>SUMIF('IS(M)'!$M$11:$ER$11,DW$7,'IS(M)'!$M28:$ER28)</f>
        <v>0</v>
      </c>
    </row>
    <row r="23" spans="2:127" ht="11.25" customHeight="1">
      <c r="B23" s="218"/>
      <c r="C23" s="163"/>
      <c r="D23" s="169" t="s">
        <v>78</v>
      </c>
      <c r="I23" s="146"/>
      <c r="J23" s="13"/>
      <c r="K23" s="171">
        <f t="shared" si="12"/>
        <v>341538.75420512701</v>
      </c>
      <c r="L23" s="98"/>
      <c r="M23" s="171">
        <f>SUMIF('IS(M)'!$M$11:$ER$11,M$7,'IS(M)'!$M29:$ER29)</f>
        <v>0</v>
      </c>
      <c r="N23" s="171">
        <f>SUMIF('IS(M)'!$M$11:$ER$11,N$7,'IS(M)'!$M29:$ER29)</f>
        <v>15595.774276499998</v>
      </c>
      <c r="O23" s="171">
        <f>SUMIF('IS(M)'!$M$11:$ER$11,O$7,'IS(M)'!$M29:$ER29)</f>
        <v>15595.774276499998</v>
      </c>
      <c r="P23" s="171">
        <f>SUMIF('IS(M)'!$M$11:$ER$11,P$7,'IS(M)'!$M29:$ER29)</f>
        <v>15907.689762029997</v>
      </c>
      <c r="Q23" s="171">
        <f>SUMIF('IS(M)'!$M$11:$ER$11,Q$7,'IS(M)'!$M29:$ER29)</f>
        <v>15907.689762029997</v>
      </c>
      <c r="R23" s="171">
        <f>SUMIF('IS(M)'!$M$11:$ER$11,R$7,'IS(M)'!$M29:$ER29)</f>
        <v>16225.843557270598</v>
      </c>
      <c r="S23" s="171">
        <f>SUMIF('IS(M)'!$M$11:$ER$11,S$7,'IS(M)'!$M29:$ER29)</f>
        <v>16225.843557270598</v>
      </c>
      <c r="T23" s="171">
        <f>SUMIF('IS(M)'!$M$11:$ER$11,T$7,'IS(M)'!$M29:$ER29)</f>
        <v>16550.36042841601</v>
      </c>
      <c r="U23" s="171">
        <f>SUMIF('IS(M)'!$M$11:$ER$11,U$7,'IS(M)'!$M29:$ER29)</f>
        <v>16550.36042841601</v>
      </c>
      <c r="V23" s="171">
        <f>SUMIF('IS(M)'!$M$11:$ER$11,V$7,'IS(M)'!$M29:$ER29)</f>
        <v>16881.367636984331</v>
      </c>
      <c r="W23" s="171">
        <f>SUMIF('IS(M)'!$M$11:$ER$11,W$7,'IS(M)'!$M29:$ER29)</f>
        <v>16881.367636984331</v>
      </c>
      <c r="X23" s="171">
        <f>SUMIF('IS(M)'!$M$11:$ER$11,X$7,'IS(M)'!$M29:$ER29)</f>
        <v>17218.994989724019</v>
      </c>
      <c r="Y23" s="171">
        <f>SUMIF('IS(M)'!$M$11:$ER$11,Y$7,'IS(M)'!$M29:$ER29)</f>
        <v>17218.994989724019</v>
      </c>
      <c r="Z23" s="171">
        <f>SUMIF('IS(M)'!$M$11:$ER$11,Z$7,'IS(M)'!$M29:$ER29)</f>
        <v>17563.374889518498</v>
      </c>
      <c r="AA23" s="171">
        <f>SUMIF('IS(M)'!$M$11:$ER$11,AA$7,'IS(M)'!$M29:$ER29)</f>
        <v>17563.374889518498</v>
      </c>
      <c r="AB23" s="171">
        <f>SUMIF('IS(M)'!$M$11:$ER$11,AB$7,'IS(M)'!$M29:$ER29)</f>
        <v>17914.642387308868</v>
      </c>
      <c r="AC23" s="171">
        <f>SUMIF('IS(M)'!$M$11:$ER$11,AC$7,'IS(M)'!$M29:$ER29)</f>
        <v>17914.642387308868</v>
      </c>
      <c r="AD23" s="171">
        <f>SUMIF('IS(M)'!$M$11:$ER$11,AD$7,'IS(M)'!$M29:$ER29)</f>
        <v>18272.935235055043</v>
      </c>
      <c r="AE23" s="171">
        <f>SUMIF('IS(M)'!$M$11:$ER$11,AE$7,'IS(M)'!$M29:$ER29)</f>
        <v>18272.935235055043</v>
      </c>
      <c r="AF23" s="171">
        <f>SUMIF('IS(M)'!$M$11:$ER$11,AF$7,'IS(M)'!$M29:$ER29)</f>
        <v>18638.393939756144</v>
      </c>
      <c r="AG23" s="171">
        <f>SUMIF('IS(M)'!$M$11:$ER$11,AG$7,'IS(M)'!$M29:$ER29)</f>
        <v>18638.393939756144</v>
      </c>
      <c r="AH23" s="171">
        <f>SUMIF('IS(M)'!$M$11:$ER$11,AH$7,'IS(M)'!$M29:$ER29)</f>
        <v>0</v>
      </c>
      <c r="AI23" s="171">
        <f>SUMIF('IS(M)'!$M$11:$ER$11,AI$7,'IS(M)'!$M29:$ER29)</f>
        <v>0</v>
      </c>
      <c r="AJ23" s="171">
        <f>SUMIF('IS(M)'!$M$11:$ER$11,AJ$7,'IS(M)'!$M29:$ER29)</f>
        <v>0</v>
      </c>
      <c r="AK23" s="171">
        <f>SUMIF('IS(M)'!$M$11:$ER$11,AK$7,'IS(M)'!$M29:$ER29)</f>
        <v>0</v>
      </c>
      <c r="AL23" s="171">
        <f>SUMIF('IS(M)'!$M$11:$ER$11,AL$7,'IS(M)'!$M29:$ER29)</f>
        <v>0</v>
      </c>
      <c r="AM23" s="171">
        <f>SUMIF('IS(M)'!$M$11:$ER$11,AM$7,'IS(M)'!$M29:$ER29)</f>
        <v>0</v>
      </c>
      <c r="AN23" s="171">
        <f>SUMIF('IS(M)'!$M$11:$ER$11,AN$7,'IS(M)'!$M29:$ER29)</f>
        <v>0</v>
      </c>
      <c r="AO23" s="171">
        <f>SUMIF('IS(M)'!$M$11:$ER$11,AO$7,'IS(M)'!$M29:$ER29)</f>
        <v>0</v>
      </c>
      <c r="AP23" s="171">
        <f>SUMIF('IS(M)'!$M$11:$ER$11,AP$7,'IS(M)'!$M29:$ER29)</f>
        <v>0</v>
      </c>
      <c r="AQ23" s="171">
        <f>SUMIF('IS(M)'!$M$11:$ER$11,AQ$7,'IS(M)'!$M29:$ER29)</f>
        <v>0</v>
      </c>
      <c r="AR23" s="171">
        <f>SUMIF('IS(M)'!$M$11:$ER$11,AR$7,'IS(M)'!$M29:$ER29)</f>
        <v>0</v>
      </c>
      <c r="AS23" s="171">
        <f>SUMIF('IS(M)'!$M$11:$ER$11,AS$7,'IS(M)'!$M29:$ER29)</f>
        <v>0</v>
      </c>
      <c r="AT23" s="171">
        <f>SUMIF('IS(M)'!$M$11:$ER$11,AT$7,'IS(M)'!$M29:$ER29)</f>
        <v>0</v>
      </c>
      <c r="AU23" s="171">
        <f>SUMIF('IS(M)'!$M$11:$ER$11,AU$7,'IS(M)'!$M29:$ER29)</f>
        <v>0</v>
      </c>
      <c r="AV23" s="171">
        <f>SUMIF('IS(M)'!$M$11:$ER$11,AV$7,'IS(M)'!$M29:$ER29)</f>
        <v>0</v>
      </c>
      <c r="AW23" s="171">
        <f>SUMIF('IS(M)'!$M$11:$ER$11,AW$7,'IS(M)'!$M29:$ER29)</f>
        <v>0</v>
      </c>
      <c r="AX23" s="171">
        <f>SUMIF('IS(M)'!$M$11:$ER$11,AX$7,'IS(M)'!$M29:$ER29)</f>
        <v>0</v>
      </c>
      <c r="AY23" s="171">
        <f>SUMIF('IS(M)'!$M$11:$ER$11,AY$7,'IS(M)'!$M29:$ER29)</f>
        <v>0</v>
      </c>
      <c r="AZ23" s="171">
        <f>SUMIF('IS(M)'!$M$11:$ER$11,AZ$7,'IS(M)'!$M29:$ER29)</f>
        <v>0</v>
      </c>
      <c r="BA23" s="171">
        <f>SUMIF('IS(M)'!$M$11:$ER$11,BA$7,'IS(M)'!$M29:$ER29)</f>
        <v>0</v>
      </c>
      <c r="BB23" s="171">
        <f>SUMIF('IS(M)'!$M$11:$ER$11,BB$7,'IS(M)'!$M29:$ER29)</f>
        <v>0</v>
      </c>
      <c r="BC23" s="171">
        <f>SUMIF('IS(M)'!$M$11:$ER$11,BC$7,'IS(M)'!$M29:$ER29)</f>
        <v>0</v>
      </c>
      <c r="BD23" s="171">
        <f>SUMIF('IS(M)'!$M$11:$ER$11,BD$7,'IS(M)'!$M29:$ER29)</f>
        <v>0</v>
      </c>
      <c r="BE23" s="171">
        <f>SUMIF('IS(M)'!$M$11:$ER$11,BE$7,'IS(M)'!$M29:$ER29)</f>
        <v>0</v>
      </c>
      <c r="BF23" s="171">
        <f>SUMIF('IS(M)'!$M$11:$ER$11,BF$7,'IS(M)'!$M29:$ER29)</f>
        <v>0</v>
      </c>
      <c r="BG23" s="171">
        <f>SUMIF('IS(M)'!$M$11:$ER$11,BG$7,'IS(M)'!$M29:$ER29)</f>
        <v>0</v>
      </c>
      <c r="BH23" s="171">
        <f>SUMIF('IS(M)'!$M$11:$ER$11,BH$7,'IS(M)'!$M29:$ER29)</f>
        <v>0</v>
      </c>
      <c r="BI23" s="171">
        <f>SUMIF('IS(M)'!$M$11:$ER$11,BI$7,'IS(M)'!$M29:$ER29)</f>
        <v>0</v>
      </c>
      <c r="BJ23" s="171">
        <f>SUMIF('IS(M)'!$M$11:$ER$11,BJ$7,'IS(M)'!$M29:$ER29)</f>
        <v>0</v>
      </c>
      <c r="BK23" s="171">
        <f>SUMIF('IS(M)'!$M$11:$ER$11,BK$7,'IS(M)'!$M29:$ER29)</f>
        <v>0</v>
      </c>
      <c r="BL23" s="171">
        <f>SUMIF('IS(M)'!$M$11:$ER$11,BL$7,'IS(M)'!$M29:$ER29)</f>
        <v>0</v>
      </c>
      <c r="BM23" s="171">
        <f>SUMIF('IS(M)'!$M$11:$ER$11,BM$7,'IS(M)'!$M29:$ER29)</f>
        <v>0</v>
      </c>
      <c r="BN23" s="171">
        <f>SUMIF('IS(M)'!$M$11:$ER$11,BN$7,'IS(M)'!$M29:$ER29)</f>
        <v>0</v>
      </c>
      <c r="BO23" s="171">
        <f>SUMIF('IS(M)'!$M$11:$ER$11,BO$7,'IS(M)'!$M29:$ER29)</f>
        <v>0</v>
      </c>
      <c r="BP23" s="171">
        <f>SUMIF('IS(M)'!$M$11:$ER$11,BP$7,'IS(M)'!$M29:$ER29)</f>
        <v>0</v>
      </c>
      <c r="BQ23" s="171">
        <f>SUMIF('IS(M)'!$M$11:$ER$11,BQ$7,'IS(M)'!$M29:$ER29)</f>
        <v>0</v>
      </c>
      <c r="BR23" s="171">
        <f>SUMIF('IS(M)'!$M$11:$ER$11,BR$7,'IS(M)'!$M29:$ER29)</f>
        <v>0</v>
      </c>
      <c r="BS23" s="171">
        <f>SUMIF('IS(M)'!$M$11:$ER$11,BS$7,'IS(M)'!$M29:$ER29)</f>
        <v>0</v>
      </c>
      <c r="BT23" s="171">
        <f>SUMIF('IS(M)'!$M$11:$ER$11,BT$7,'IS(M)'!$M29:$ER29)</f>
        <v>0</v>
      </c>
      <c r="BU23" s="171">
        <f>SUMIF('IS(M)'!$M$11:$ER$11,BU$7,'IS(M)'!$M29:$ER29)</f>
        <v>0</v>
      </c>
      <c r="BV23" s="171">
        <f>SUMIF('IS(M)'!$M$11:$ER$11,BV$7,'IS(M)'!$M29:$ER29)</f>
        <v>0</v>
      </c>
      <c r="BW23" s="171">
        <f>SUMIF('IS(M)'!$M$11:$ER$11,BW$7,'IS(M)'!$M29:$ER29)</f>
        <v>0</v>
      </c>
      <c r="BX23" s="171">
        <f>SUMIF('IS(M)'!$M$11:$ER$11,BX$7,'IS(M)'!$M29:$ER29)</f>
        <v>0</v>
      </c>
      <c r="BY23" s="171">
        <f>SUMIF('IS(M)'!$M$11:$ER$11,BY$7,'IS(M)'!$M29:$ER29)</f>
        <v>0</v>
      </c>
      <c r="BZ23" s="171">
        <f>SUMIF('IS(M)'!$M$11:$ER$11,BZ$7,'IS(M)'!$M29:$ER29)</f>
        <v>0</v>
      </c>
      <c r="CA23" s="171">
        <f>SUMIF('IS(M)'!$M$11:$ER$11,CA$7,'IS(M)'!$M29:$ER29)</f>
        <v>0</v>
      </c>
      <c r="CB23" s="171">
        <f>SUMIF('IS(M)'!$M$11:$ER$11,CB$7,'IS(M)'!$M29:$ER29)</f>
        <v>0</v>
      </c>
      <c r="CC23" s="171">
        <f>SUMIF('IS(M)'!$M$11:$ER$11,CC$7,'IS(M)'!$M29:$ER29)</f>
        <v>0</v>
      </c>
      <c r="CD23" s="171">
        <f>SUMIF('IS(M)'!$M$11:$ER$11,CD$7,'IS(M)'!$M29:$ER29)</f>
        <v>0</v>
      </c>
      <c r="CE23" s="171">
        <f>SUMIF('IS(M)'!$M$11:$ER$11,CE$7,'IS(M)'!$M29:$ER29)</f>
        <v>0</v>
      </c>
      <c r="CF23" s="171">
        <f>SUMIF('IS(M)'!$M$11:$ER$11,CF$7,'IS(M)'!$M29:$ER29)</f>
        <v>0</v>
      </c>
      <c r="CG23" s="171">
        <f>SUMIF('IS(M)'!$M$11:$ER$11,CG$7,'IS(M)'!$M29:$ER29)</f>
        <v>0</v>
      </c>
      <c r="CH23" s="171">
        <f>SUMIF('IS(M)'!$M$11:$ER$11,CH$7,'IS(M)'!$M29:$ER29)</f>
        <v>0</v>
      </c>
      <c r="CI23" s="171">
        <f>SUMIF('IS(M)'!$M$11:$ER$11,CI$7,'IS(M)'!$M29:$ER29)</f>
        <v>0</v>
      </c>
      <c r="CJ23" s="171">
        <f>SUMIF('IS(M)'!$M$11:$ER$11,CJ$7,'IS(M)'!$M29:$ER29)</f>
        <v>0</v>
      </c>
      <c r="CK23" s="171">
        <f>SUMIF('IS(M)'!$M$11:$ER$11,CK$7,'IS(M)'!$M29:$ER29)</f>
        <v>0</v>
      </c>
      <c r="CL23" s="171">
        <f>SUMIF('IS(M)'!$M$11:$ER$11,CL$7,'IS(M)'!$M29:$ER29)</f>
        <v>0</v>
      </c>
      <c r="CM23" s="171">
        <f>SUMIF('IS(M)'!$M$11:$ER$11,CM$7,'IS(M)'!$M29:$ER29)</f>
        <v>0</v>
      </c>
      <c r="CN23" s="171">
        <f>SUMIF('IS(M)'!$M$11:$ER$11,CN$7,'IS(M)'!$M29:$ER29)</f>
        <v>0</v>
      </c>
      <c r="CO23" s="171">
        <f>SUMIF('IS(M)'!$M$11:$ER$11,CO$7,'IS(M)'!$M29:$ER29)</f>
        <v>0</v>
      </c>
      <c r="CP23" s="171">
        <f>SUMIF('IS(M)'!$M$11:$ER$11,CP$7,'IS(M)'!$M29:$ER29)</f>
        <v>0</v>
      </c>
      <c r="CQ23" s="171">
        <f>SUMIF('IS(M)'!$M$11:$ER$11,CQ$7,'IS(M)'!$M29:$ER29)</f>
        <v>0</v>
      </c>
      <c r="CR23" s="171">
        <f>SUMIF('IS(M)'!$M$11:$ER$11,CR$7,'IS(M)'!$M29:$ER29)</f>
        <v>0</v>
      </c>
      <c r="CS23" s="171">
        <f>SUMIF('IS(M)'!$M$11:$ER$11,CS$7,'IS(M)'!$M29:$ER29)</f>
        <v>0</v>
      </c>
      <c r="CT23" s="171">
        <f>SUMIF('IS(M)'!$M$11:$ER$11,CT$7,'IS(M)'!$M29:$ER29)</f>
        <v>0</v>
      </c>
      <c r="CU23" s="171">
        <f>SUMIF('IS(M)'!$M$11:$ER$11,CU$7,'IS(M)'!$M29:$ER29)</f>
        <v>0</v>
      </c>
      <c r="CV23" s="171">
        <f>SUMIF('IS(M)'!$M$11:$ER$11,CV$7,'IS(M)'!$M29:$ER29)</f>
        <v>0</v>
      </c>
      <c r="CW23" s="171">
        <f>SUMIF('IS(M)'!$M$11:$ER$11,CW$7,'IS(M)'!$M29:$ER29)</f>
        <v>0</v>
      </c>
      <c r="CX23" s="171">
        <f>SUMIF('IS(M)'!$M$11:$ER$11,CX$7,'IS(M)'!$M29:$ER29)</f>
        <v>0</v>
      </c>
      <c r="CY23" s="171">
        <f>SUMIF('IS(M)'!$M$11:$ER$11,CY$7,'IS(M)'!$M29:$ER29)</f>
        <v>0</v>
      </c>
      <c r="CZ23" s="171">
        <f>SUMIF('IS(M)'!$M$11:$ER$11,CZ$7,'IS(M)'!$M29:$ER29)</f>
        <v>0</v>
      </c>
      <c r="DA23" s="171">
        <f>SUMIF('IS(M)'!$M$11:$ER$11,DA$7,'IS(M)'!$M29:$ER29)</f>
        <v>0</v>
      </c>
      <c r="DB23" s="171">
        <f>SUMIF('IS(M)'!$M$11:$ER$11,DB$7,'IS(M)'!$M29:$ER29)</f>
        <v>0</v>
      </c>
      <c r="DC23" s="171">
        <f>SUMIF('IS(M)'!$M$11:$ER$11,DC$7,'IS(M)'!$M29:$ER29)</f>
        <v>0</v>
      </c>
      <c r="DD23" s="171">
        <f>SUMIF('IS(M)'!$M$11:$ER$11,DD$7,'IS(M)'!$M29:$ER29)</f>
        <v>0</v>
      </c>
      <c r="DE23" s="171">
        <f>SUMIF('IS(M)'!$M$11:$ER$11,DE$7,'IS(M)'!$M29:$ER29)</f>
        <v>0</v>
      </c>
      <c r="DF23" s="171">
        <f>SUMIF('IS(M)'!$M$11:$ER$11,DF$7,'IS(M)'!$M29:$ER29)</f>
        <v>0</v>
      </c>
      <c r="DG23" s="171">
        <f>SUMIF('IS(M)'!$M$11:$ER$11,DG$7,'IS(M)'!$M29:$ER29)</f>
        <v>0</v>
      </c>
      <c r="DH23" s="171">
        <f>SUMIF('IS(M)'!$M$11:$ER$11,DH$7,'IS(M)'!$M29:$ER29)</f>
        <v>0</v>
      </c>
      <c r="DI23" s="171">
        <f>SUMIF('IS(M)'!$M$11:$ER$11,DI$7,'IS(M)'!$M29:$ER29)</f>
        <v>0</v>
      </c>
      <c r="DJ23" s="171">
        <f>SUMIF('IS(M)'!$M$11:$ER$11,DJ$7,'IS(M)'!$M29:$ER29)</f>
        <v>0</v>
      </c>
      <c r="DK23" s="171">
        <f>SUMIF('IS(M)'!$M$11:$ER$11,DK$7,'IS(M)'!$M29:$ER29)</f>
        <v>0</v>
      </c>
      <c r="DL23" s="171">
        <f>SUMIF('IS(M)'!$M$11:$ER$11,DL$7,'IS(M)'!$M29:$ER29)</f>
        <v>0</v>
      </c>
      <c r="DM23" s="171">
        <f>SUMIF('IS(M)'!$M$11:$ER$11,DM$7,'IS(M)'!$M29:$ER29)</f>
        <v>0</v>
      </c>
      <c r="DN23" s="171">
        <f>SUMIF('IS(M)'!$M$11:$ER$11,DN$7,'IS(M)'!$M29:$ER29)</f>
        <v>0</v>
      </c>
      <c r="DO23" s="171">
        <f>SUMIF('IS(M)'!$M$11:$ER$11,DO$7,'IS(M)'!$M29:$ER29)</f>
        <v>0</v>
      </c>
      <c r="DP23" s="171">
        <f>SUMIF('IS(M)'!$M$11:$ER$11,DP$7,'IS(M)'!$M29:$ER29)</f>
        <v>0</v>
      </c>
      <c r="DQ23" s="171">
        <f>SUMIF('IS(M)'!$M$11:$ER$11,DQ$7,'IS(M)'!$M29:$ER29)</f>
        <v>0</v>
      </c>
      <c r="DR23" s="171">
        <f>SUMIF('IS(M)'!$M$11:$ER$11,DR$7,'IS(M)'!$M29:$ER29)</f>
        <v>0</v>
      </c>
      <c r="DS23" s="171">
        <f>SUMIF('IS(M)'!$M$11:$ER$11,DS$7,'IS(M)'!$M29:$ER29)</f>
        <v>0</v>
      </c>
      <c r="DT23" s="171">
        <f>SUMIF('IS(M)'!$M$11:$ER$11,DT$7,'IS(M)'!$M29:$ER29)</f>
        <v>0</v>
      </c>
      <c r="DU23" s="171">
        <f>SUMIF('IS(M)'!$M$11:$ER$11,DU$7,'IS(M)'!$M29:$ER29)</f>
        <v>0</v>
      </c>
      <c r="DV23" s="171">
        <f>SUMIF('IS(M)'!$M$11:$ER$11,DV$7,'IS(M)'!$M29:$ER29)</f>
        <v>0</v>
      </c>
      <c r="DW23" s="171">
        <f>SUMIF('IS(M)'!$M$11:$ER$11,DW$7,'IS(M)'!$M29:$ER29)</f>
        <v>0</v>
      </c>
    </row>
    <row r="24" spans="2:127" ht="11.25" customHeight="1">
      <c r="B24" s="218"/>
      <c r="C24" s="163"/>
      <c r="D24" s="169" t="s">
        <v>80</v>
      </c>
      <c r="I24" s="146"/>
      <c r="J24" s="13"/>
      <c r="K24" s="171">
        <f t="shared" si="12"/>
        <v>0</v>
      </c>
      <c r="L24" s="98"/>
      <c r="M24" s="171">
        <f>SUMIF('IS(M)'!$M$11:$ER$11,M$7,'IS(M)'!$M30:$ER30)</f>
        <v>0</v>
      </c>
      <c r="N24" s="171">
        <f>SUMIF('IS(M)'!$M$11:$ER$11,N$7,'IS(M)'!$M30:$ER30)</f>
        <v>0</v>
      </c>
      <c r="O24" s="171">
        <f>SUMIF('IS(M)'!$M$11:$ER$11,O$7,'IS(M)'!$M30:$ER30)</f>
        <v>0</v>
      </c>
      <c r="P24" s="171">
        <f>SUMIF('IS(M)'!$M$11:$ER$11,P$7,'IS(M)'!$M30:$ER30)</f>
        <v>0</v>
      </c>
      <c r="Q24" s="171">
        <f>SUMIF('IS(M)'!$M$11:$ER$11,Q$7,'IS(M)'!$M30:$ER30)</f>
        <v>0</v>
      </c>
      <c r="R24" s="171">
        <f>SUMIF('IS(M)'!$M$11:$ER$11,R$7,'IS(M)'!$M30:$ER30)</f>
        <v>0</v>
      </c>
      <c r="S24" s="171">
        <f>SUMIF('IS(M)'!$M$11:$ER$11,S$7,'IS(M)'!$M30:$ER30)</f>
        <v>0</v>
      </c>
      <c r="T24" s="171">
        <f>SUMIF('IS(M)'!$M$11:$ER$11,T$7,'IS(M)'!$M30:$ER30)</f>
        <v>0</v>
      </c>
      <c r="U24" s="171">
        <f>SUMIF('IS(M)'!$M$11:$ER$11,U$7,'IS(M)'!$M30:$ER30)</f>
        <v>0</v>
      </c>
      <c r="V24" s="171">
        <f>SUMIF('IS(M)'!$M$11:$ER$11,V$7,'IS(M)'!$M30:$ER30)</f>
        <v>0</v>
      </c>
      <c r="W24" s="171">
        <f>SUMIF('IS(M)'!$M$11:$ER$11,W$7,'IS(M)'!$M30:$ER30)</f>
        <v>0</v>
      </c>
      <c r="X24" s="171">
        <f>SUMIF('IS(M)'!$M$11:$ER$11,X$7,'IS(M)'!$M30:$ER30)</f>
        <v>0</v>
      </c>
      <c r="Y24" s="171">
        <f>SUMIF('IS(M)'!$M$11:$ER$11,Y$7,'IS(M)'!$M30:$ER30)</f>
        <v>0</v>
      </c>
      <c r="Z24" s="171">
        <f>SUMIF('IS(M)'!$M$11:$ER$11,Z$7,'IS(M)'!$M30:$ER30)</f>
        <v>0</v>
      </c>
      <c r="AA24" s="171">
        <f>SUMIF('IS(M)'!$M$11:$ER$11,AA$7,'IS(M)'!$M30:$ER30)</f>
        <v>0</v>
      </c>
      <c r="AB24" s="171">
        <f>SUMIF('IS(M)'!$M$11:$ER$11,AB$7,'IS(M)'!$M30:$ER30)</f>
        <v>0</v>
      </c>
      <c r="AC24" s="171">
        <f>SUMIF('IS(M)'!$M$11:$ER$11,AC$7,'IS(M)'!$M30:$ER30)</f>
        <v>0</v>
      </c>
      <c r="AD24" s="171">
        <f>SUMIF('IS(M)'!$M$11:$ER$11,AD$7,'IS(M)'!$M30:$ER30)</f>
        <v>0</v>
      </c>
      <c r="AE24" s="171">
        <f>SUMIF('IS(M)'!$M$11:$ER$11,AE$7,'IS(M)'!$M30:$ER30)</f>
        <v>0</v>
      </c>
      <c r="AF24" s="171">
        <f>SUMIF('IS(M)'!$M$11:$ER$11,AF$7,'IS(M)'!$M30:$ER30)</f>
        <v>0</v>
      </c>
      <c r="AG24" s="171">
        <f>SUMIF('IS(M)'!$M$11:$ER$11,AG$7,'IS(M)'!$M30:$ER30)</f>
        <v>0</v>
      </c>
      <c r="AH24" s="171">
        <f>SUMIF('IS(M)'!$M$11:$ER$11,AH$7,'IS(M)'!$M30:$ER30)</f>
        <v>0</v>
      </c>
      <c r="AI24" s="171">
        <f>SUMIF('IS(M)'!$M$11:$ER$11,AI$7,'IS(M)'!$M30:$ER30)</f>
        <v>0</v>
      </c>
      <c r="AJ24" s="171">
        <f>SUMIF('IS(M)'!$M$11:$ER$11,AJ$7,'IS(M)'!$M30:$ER30)</f>
        <v>0</v>
      </c>
      <c r="AK24" s="171">
        <f>SUMIF('IS(M)'!$M$11:$ER$11,AK$7,'IS(M)'!$M30:$ER30)</f>
        <v>0</v>
      </c>
      <c r="AL24" s="171">
        <f>SUMIF('IS(M)'!$M$11:$ER$11,AL$7,'IS(M)'!$M30:$ER30)</f>
        <v>0</v>
      </c>
      <c r="AM24" s="171">
        <f>SUMIF('IS(M)'!$M$11:$ER$11,AM$7,'IS(M)'!$M30:$ER30)</f>
        <v>0</v>
      </c>
      <c r="AN24" s="171">
        <f>SUMIF('IS(M)'!$M$11:$ER$11,AN$7,'IS(M)'!$M30:$ER30)</f>
        <v>0</v>
      </c>
      <c r="AO24" s="171">
        <f>SUMIF('IS(M)'!$M$11:$ER$11,AO$7,'IS(M)'!$M30:$ER30)</f>
        <v>0</v>
      </c>
      <c r="AP24" s="171">
        <f>SUMIF('IS(M)'!$M$11:$ER$11,AP$7,'IS(M)'!$M30:$ER30)</f>
        <v>0</v>
      </c>
      <c r="AQ24" s="171">
        <f>SUMIF('IS(M)'!$M$11:$ER$11,AQ$7,'IS(M)'!$M30:$ER30)</f>
        <v>0</v>
      </c>
      <c r="AR24" s="171">
        <f>SUMIF('IS(M)'!$M$11:$ER$11,AR$7,'IS(M)'!$M30:$ER30)</f>
        <v>0</v>
      </c>
      <c r="AS24" s="171">
        <f>SUMIF('IS(M)'!$M$11:$ER$11,AS$7,'IS(M)'!$M30:$ER30)</f>
        <v>0</v>
      </c>
      <c r="AT24" s="171">
        <f>SUMIF('IS(M)'!$M$11:$ER$11,AT$7,'IS(M)'!$M30:$ER30)</f>
        <v>0</v>
      </c>
      <c r="AU24" s="171">
        <f>SUMIF('IS(M)'!$M$11:$ER$11,AU$7,'IS(M)'!$M30:$ER30)</f>
        <v>0</v>
      </c>
      <c r="AV24" s="171">
        <f>SUMIF('IS(M)'!$M$11:$ER$11,AV$7,'IS(M)'!$M30:$ER30)</f>
        <v>0</v>
      </c>
      <c r="AW24" s="171">
        <f>SUMIF('IS(M)'!$M$11:$ER$11,AW$7,'IS(M)'!$M30:$ER30)</f>
        <v>0</v>
      </c>
      <c r="AX24" s="171">
        <f>SUMIF('IS(M)'!$M$11:$ER$11,AX$7,'IS(M)'!$M30:$ER30)</f>
        <v>0</v>
      </c>
      <c r="AY24" s="171">
        <f>SUMIF('IS(M)'!$M$11:$ER$11,AY$7,'IS(M)'!$M30:$ER30)</f>
        <v>0</v>
      </c>
      <c r="AZ24" s="171">
        <f>SUMIF('IS(M)'!$M$11:$ER$11,AZ$7,'IS(M)'!$M30:$ER30)</f>
        <v>0</v>
      </c>
      <c r="BA24" s="171">
        <f>SUMIF('IS(M)'!$M$11:$ER$11,BA$7,'IS(M)'!$M30:$ER30)</f>
        <v>0</v>
      </c>
      <c r="BB24" s="171">
        <f>SUMIF('IS(M)'!$M$11:$ER$11,BB$7,'IS(M)'!$M30:$ER30)</f>
        <v>0</v>
      </c>
      <c r="BC24" s="171">
        <f>SUMIF('IS(M)'!$M$11:$ER$11,BC$7,'IS(M)'!$M30:$ER30)</f>
        <v>0</v>
      </c>
      <c r="BD24" s="171">
        <f>SUMIF('IS(M)'!$M$11:$ER$11,BD$7,'IS(M)'!$M30:$ER30)</f>
        <v>0</v>
      </c>
      <c r="BE24" s="171">
        <f>SUMIF('IS(M)'!$M$11:$ER$11,BE$7,'IS(M)'!$M30:$ER30)</f>
        <v>0</v>
      </c>
      <c r="BF24" s="171">
        <f>SUMIF('IS(M)'!$M$11:$ER$11,BF$7,'IS(M)'!$M30:$ER30)</f>
        <v>0</v>
      </c>
      <c r="BG24" s="171">
        <f>SUMIF('IS(M)'!$M$11:$ER$11,BG$7,'IS(M)'!$M30:$ER30)</f>
        <v>0</v>
      </c>
      <c r="BH24" s="171">
        <f>SUMIF('IS(M)'!$M$11:$ER$11,BH$7,'IS(M)'!$M30:$ER30)</f>
        <v>0</v>
      </c>
      <c r="BI24" s="171">
        <f>SUMIF('IS(M)'!$M$11:$ER$11,BI$7,'IS(M)'!$M30:$ER30)</f>
        <v>0</v>
      </c>
      <c r="BJ24" s="171">
        <f>SUMIF('IS(M)'!$M$11:$ER$11,BJ$7,'IS(M)'!$M30:$ER30)</f>
        <v>0</v>
      </c>
      <c r="BK24" s="171">
        <f>SUMIF('IS(M)'!$M$11:$ER$11,BK$7,'IS(M)'!$M30:$ER30)</f>
        <v>0</v>
      </c>
      <c r="BL24" s="171">
        <f>SUMIF('IS(M)'!$M$11:$ER$11,BL$7,'IS(M)'!$M30:$ER30)</f>
        <v>0</v>
      </c>
      <c r="BM24" s="171">
        <f>SUMIF('IS(M)'!$M$11:$ER$11,BM$7,'IS(M)'!$M30:$ER30)</f>
        <v>0</v>
      </c>
      <c r="BN24" s="171">
        <f>SUMIF('IS(M)'!$M$11:$ER$11,BN$7,'IS(M)'!$M30:$ER30)</f>
        <v>0</v>
      </c>
      <c r="BO24" s="171">
        <f>SUMIF('IS(M)'!$M$11:$ER$11,BO$7,'IS(M)'!$M30:$ER30)</f>
        <v>0</v>
      </c>
      <c r="BP24" s="171">
        <f>SUMIF('IS(M)'!$M$11:$ER$11,BP$7,'IS(M)'!$M30:$ER30)</f>
        <v>0</v>
      </c>
      <c r="BQ24" s="171">
        <f>SUMIF('IS(M)'!$M$11:$ER$11,BQ$7,'IS(M)'!$M30:$ER30)</f>
        <v>0</v>
      </c>
      <c r="BR24" s="171">
        <f>SUMIF('IS(M)'!$M$11:$ER$11,BR$7,'IS(M)'!$M30:$ER30)</f>
        <v>0</v>
      </c>
      <c r="BS24" s="171">
        <f>SUMIF('IS(M)'!$M$11:$ER$11,BS$7,'IS(M)'!$M30:$ER30)</f>
        <v>0</v>
      </c>
      <c r="BT24" s="171">
        <f>SUMIF('IS(M)'!$M$11:$ER$11,BT$7,'IS(M)'!$M30:$ER30)</f>
        <v>0</v>
      </c>
      <c r="BU24" s="171">
        <f>SUMIF('IS(M)'!$M$11:$ER$11,BU$7,'IS(M)'!$M30:$ER30)</f>
        <v>0</v>
      </c>
      <c r="BV24" s="171">
        <f>SUMIF('IS(M)'!$M$11:$ER$11,BV$7,'IS(M)'!$M30:$ER30)</f>
        <v>0</v>
      </c>
      <c r="BW24" s="171">
        <f>SUMIF('IS(M)'!$M$11:$ER$11,BW$7,'IS(M)'!$M30:$ER30)</f>
        <v>0</v>
      </c>
      <c r="BX24" s="171">
        <f>SUMIF('IS(M)'!$M$11:$ER$11,BX$7,'IS(M)'!$M30:$ER30)</f>
        <v>0</v>
      </c>
      <c r="BY24" s="171">
        <f>SUMIF('IS(M)'!$M$11:$ER$11,BY$7,'IS(M)'!$M30:$ER30)</f>
        <v>0</v>
      </c>
      <c r="BZ24" s="171">
        <f>SUMIF('IS(M)'!$M$11:$ER$11,BZ$7,'IS(M)'!$M30:$ER30)</f>
        <v>0</v>
      </c>
      <c r="CA24" s="171">
        <f>SUMIF('IS(M)'!$M$11:$ER$11,CA$7,'IS(M)'!$M30:$ER30)</f>
        <v>0</v>
      </c>
      <c r="CB24" s="171">
        <f>SUMIF('IS(M)'!$M$11:$ER$11,CB$7,'IS(M)'!$M30:$ER30)</f>
        <v>0</v>
      </c>
      <c r="CC24" s="171">
        <f>SUMIF('IS(M)'!$M$11:$ER$11,CC$7,'IS(M)'!$M30:$ER30)</f>
        <v>0</v>
      </c>
      <c r="CD24" s="171">
        <f>SUMIF('IS(M)'!$M$11:$ER$11,CD$7,'IS(M)'!$M30:$ER30)</f>
        <v>0</v>
      </c>
      <c r="CE24" s="171">
        <f>SUMIF('IS(M)'!$M$11:$ER$11,CE$7,'IS(M)'!$M30:$ER30)</f>
        <v>0</v>
      </c>
      <c r="CF24" s="171">
        <f>SUMIF('IS(M)'!$M$11:$ER$11,CF$7,'IS(M)'!$M30:$ER30)</f>
        <v>0</v>
      </c>
      <c r="CG24" s="171">
        <f>SUMIF('IS(M)'!$M$11:$ER$11,CG$7,'IS(M)'!$M30:$ER30)</f>
        <v>0</v>
      </c>
      <c r="CH24" s="171">
        <f>SUMIF('IS(M)'!$M$11:$ER$11,CH$7,'IS(M)'!$M30:$ER30)</f>
        <v>0</v>
      </c>
      <c r="CI24" s="171">
        <f>SUMIF('IS(M)'!$M$11:$ER$11,CI$7,'IS(M)'!$M30:$ER30)</f>
        <v>0</v>
      </c>
      <c r="CJ24" s="171">
        <f>SUMIF('IS(M)'!$M$11:$ER$11,CJ$7,'IS(M)'!$M30:$ER30)</f>
        <v>0</v>
      </c>
      <c r="CK24" s="171">
        <f>SUMIF('IS(M)'!$M$11:$ER$11,CK$7,'IS(M)'!$M30:$ER30)</f>
        <v>0</v>
      </c>
      <c r="CL24" s="171">
        <f>SUMIF('IS(M)'!$M$11:$ER$11,CL$7,'IS(M)'!$M30:$ER30)</f>
        <v>0</v>
      </c>
      <c r="CM24" s="171">
        <f>SUMIF('IS(M)'!$M$11:$ER$11,CM$7,'IS(M)'!$M30:$ER30)</f>
        <v>0</v>
      </c>
      <c r="CN24" s="171">
        <f>SUMIF('IS(M)'!$M$11:$ER$11,CN$7,'IS(M)'!$M30:$ER30)</f>
        <v>0</v>
      </c>
      <c r="CO24" s="171">
        <f>SUMIF('IS(M)'!$M$11:$ER$11,CO$7,'IS(M)'!$M30:$ER30)</f>
        <v>0</v>
      </c>
      <c r="CP24" s="171">
        <f>SUMIF('IS(M)'!$M$11:$ER$11,CP$7,'IS(M)'!$M30:$ER30)</f>
        <v>0</v>
      </c>
      <c r="CQ24" s="171">
        <f>SUMIF('IS(M)'!$M$11:$ER$11,CQ$7,'IS(M)'!$M30:$ER30)</f>
        <v>0</v>
      </c>
      <c r="CR24" s="171">
        <f>SUMIF('IS(M)'!$M$11:$ER$11,CR$7,'IS(M)'!$M30:$ER30)</f>
        <v>0</v>
      </c>
      <c r="CS24" s="171">
        <f>SUMIF('IS(M)'!$M$11:$ER$11,CS$7,'IS(M)'!$M30:$ER30)</f>
        <v>0</v>
      </c>
      <c r="CT24" s="171">
        <f>SUMIF('IS(M)'!$M$11:$ER$11,CT$7,'IS(M)'!$M30:$ER30)</f>
        <v>0</v>
      </c>
      <c r="CU24" s="171">
        <f>SUMIF('IS(M)'!$M$11:$ER$11,CU$7,'IS(M)'!$M30:$ER30)</f>
        <v>0</v>
      </c>
      <c r="CV24" s="171">
        <f>SUMIF('IS(M)'!$M$11:$ER$11,CV$7,'IS(M)'!$M30:$ER30)</f>
        <v>0</v>
      </c>
      <c r="CW24" s="171">
        <f>SUMIF('IS(M)'!$M$11:$ER$11,CW$7,'IS(M)'!$M30:$ER30)</f>
        <v>0</v>
      </c>
      <c r="CX24" s="171">
        <f>SUMIF('IS(M)'!$M$11:$ER$11,CX$7,'IS(M)'!$M30:$ER30)</f>
        <v>0</v>
      </c>
      <c r="CY24" s="171">
        <f>SUMIF('IS(M)'!$M$11:$ER$11,CY$7,'IS(M)'!$M30:$ER30)</f>
        <v>0</v>
      </c>
      <c r="CZ24" s="171">
        <f>SUMIF('IS(M)'!$M$11:$ER$11,CZ$7,'IS(M)'!$M30:$ER30)</f>
        <v>0</v>
      </c>
      <c r="DA24" s="171">
        <f>SUMIF('IS(M)'!$M$11:$ER$11,DA$7,'IS(M)'!$M30:$ER30)</f>
        <v>0</v>
      </c>
      <c r="DB24" s="171">
        <f>SUMIF('IS(M)'!$M$11:$ER$11,DB$7,'IS(M)'!$M30:$ER30)</f>
        <v>0</v>
      </c>
      <c r="DC24" s="171">
        <f>SUMIF('IS(M)'!$M$11:$ER$11,DC$7,'IS(M)'!$M30:$ER30)</f>
        <v>0</v>
      </c>
      <c r="DD24" s="171">
        <f>SUMIF('IS(M)'!$M$11:$ER$11,DD$7,'IS(M)'!$M30:$ER30)</f>
        <v>0</v>
      </c>
      <c r="DE24" s="171">
        <f>SUMIF('IS(M)'!$M$11:$ER$11,DE$7,'IS(M)'!$M30:$ER30)</f>
        <v>0</v>
      </c>
      <c r="DF24" s="171">
        <f>SUMIF('IS(M)'!$M$11:$ER$11,DF$7,'IS(M)'!$M30:$ER30)</f>
        <v>0</v>
      </c>
      <c r="DG24" s="171">
        <f>SUMIF('IS(M)'!$M$11:$ER$11,DG$7,'IS(M)'!$M30:$ER30)</f>
        <v>0</v>
      </c>
      <c r="DH24" s="171">
        <f>SUMIF('IS(M)'!$M$11:$ER$11,DH$7,'IS(M)'!$M30:$ER30)</f>
        <v>0</v>
      </c>
      <c r="DI24" s="171">
        <f>SUMIF('IS(M)'!$M$11:$ER$11,DI$7,'IS(M)'!$M30:$ER30)</f>
        <v>0</v>
      </c>
      <c r="DJ24" s="171">
        <f>SUMIF('IS(M)'!$M$11:$ER$11,DJ$7,'IS(M)'!$M30:$ER30)</f>
        <v>0</v>
      </c>
      <c r="DK24" s="171">
        <f>SUMIF('IS(M)'!$M$11:$ER$11,DK$7,'IS(M)'!$M30:$ER30)</f>
        <v>0</v>
      </c>
      <c r="DL24" s="171">
        <f>SUMIF('IS(M)'!$M$11:$ER$11,DL$7,'IS(M)'!$M30:$ER30)</f>
        <v>0</v>
      </c>
      <c r="DM24" s="171">
        <f>SUMIF('IS(M)'!$M$11:$ER$11,DM$7,'IS(M)'!$M30:$ER30)</f>
        <v>0</v>
      </c>
      <c r="DN24" s="171">
        <f>SUMIF('IS(M)'!$M$11:$ER$11,DN$7,'IS(M)'!$M30:$ER30)</f>
        <v>0</v>
      </c>
      <c r="DO24" s="171">
        <f>SUMIF('IS(M)'!$M$11:$ER$11,DO$7,'IS(M)'!$M30:$ER30)</f>
        <v>0</v>
      </c>
      <c r="DP24" s="171">
        <f>SUMIF('IS(M)'!$M$11:$ER$11,DP$7,'IS(M)'!$M30:$ER30)</f>
        <v>0</v>
      </c>
      <c r="DQ24" s="171">
        <f>SUMIF('IS(M)'!$M$11:$ER$11,DQ$7,'IS(M)'!$M30:$ER30)</f>
        <v>0</v>
      </c>
      <c r="DR24" s="171">
        <f>SUMIF('IS(M)'!$M$11:$ER$11,DR$7,'IS(M)'!$M30:$ER30)</f>
        <v>0</v>
      </c>
      <c r="DS24" s="171">
        <f>SUMIF('IS(M)'!$M$11:$ER$11,DS$7,'IS(M)'!$M30:$ER30)</f>
        <v>0</v>
      </c>
      <c r="DT24" s="171">
        <f>SUMIF('IS(M)'!$M$11:$ER$11,DT$7,'IS(M)'!$M30:$ER30)</f>
        <v>0</v>
      </c>
      <c r="DU24" s="171">
        <f>SUMIF('IS(M)'!$M$11:$ER$11,DU$7,'IS(M)'!$M30:$ER30)</f>
        <v>0</v>
      </c>
      <c r="DV24" s="171">
        <f>SUMIF('IS(M)'!$M$11:$ER$11,DV$7,'IS(M)'!$M30:$ER30)</f>
        <v>0</v>
      </c>
      <c r="DW24" s="171">
        <f>SUMIF('IS(M)'!$M$11:$ER$11,DW$7,'IS(M)'!$M30:$ER30)</f>
        <v>0</v>
      </c>
    </row>
    <row r="25" spans="2:127" ht="11.25" customHeight="1">
      <c r="B25" s="218"/>
      <c r="C25" s="163"/>
      <c r="D25" s="169" t="s">
        <v>83</v>
      </c>
      <c r="I25" s="146"/>
      <c r="J25" s="13"/>
      <c r="K25" s="171">
        <f t="shared" si="12"/>
        <v>6789202.8330659652</v>
      </c>
      <c r="L25" s="98"/>
      <c r="M25" s="171">
        <f>SUMIF('IS(M)'!$M$11:$ER$11,M$7,'IS(M)'!$M31:$ER31)</f>
        <v>0</v>
      </c>
      <c r="N25" s="171">
        <f>SUMIF('IS(M)'!$M$11:$ER$11,N$7,'IS(M)'!$M31:$ER31)</f>
        <v>371142.35000000003</v>
      </c>
      <c r="O25" s="171">
        <f>SUMIF('IS(M)'!$M$11:$ER$11,O$7,'IS(M)'!$M31:$ER31)</f>
        <v>371142.35000000003</v>
      </c>
      <c r="P25" s="171">
        <f>SUMIF('IS(M)'!$M$11:$ER$11,P$7,'IS(M)'!$M31:$ER31)</f>
        <v>363719.50300000003</v>
      </c>
      <c r="Q25" s="171">
        <f>SUMIF('IS(M)'!$M$11:$ER$11,Q$7,'IS(M)'!$M31:$ER31)</f>
        <v>363719.50300000003</v>
      </c>
      <c r="R25" s="171">
        <f>SUMIF('IS(M)'!$M$11:$ER$11,R$7,'IS(M)'!$M31:$ER31)</f>
        <v>356445.11294000002</v>
      </c>
      <c r="S25" s="171">
        <f>SUMIF('IS(M)'!$M$11:$ER$11,S$7,'IS(M)'!$M31:$ER31)</f>
        <v>356445.11294000002</v>
      </c>
      <c r="T25" s="171">
        <f>SUMIF('IS(M)'!$M$11:$ER$11,T$7,'IS(M)'!$M31:$ER31)</f>
        <v>349316.21068120003</v>
      </c>
      <c r="U25" s="171">
        <f>SUMIF('IS(M)'!$M$11:$ER$11,U$7,'IS(M)'!$M31:$ER31)</f>
        <v>349316.21068120003</v>
      </c>
      <c r="V25" s="171">
        <f>SUMIF('IS(M)'!$M$11:$ER$11,V$7,'IS(M)'!$M31:$ER31)</f>
        <v>342329.88646757597</v>
      </c>
      <c r="W25" s="171">
        <f>SUMIF('IS(M)'!$M$11:$ER$11,W$7,'IS(M)'!$M31:$ER31)</f>
        <v>342329.88646757597</v>
      </c>
      <c r="X25" s="171">
        <f>SUMIF('IS(M)'!$M$11:$ER$11,X$7,'IS(M)'!$M31:$ER31)</f>
        <v>335483.28873822448</v>
      </c>
      <c r="Y25" s="171">
        <f>SUMIF('IS(M)'!$M$11:$ER$11,Y$7,'IS(M)'!$M31:$ER31)</f>
        <v>335483.28873822448</v>
      </c>
      <c r="Z25" s="171">
        <f>SUMIF('IS(M)'!$M$11:$ER$11,Z$7,'IS(M)'!$M31:$ER31)</f>
        <v>328773.62296345999</v>
      </c>
      <c r="AA25" s="171">
        <f>SUMIF('IS(M)'!$M$11:$ER$11,AA$7,'IS(M)'!$M31:$ER31)</f>
        <v>328773.62296345999</v>
      </c>
      <c r="AB25" s="171">
        <f>SUMIF('IS(M)'!$M$11:$ER$11,AB$7,'IS(M)'!$M31:$ER31)</f>
        <v>322198.15050419082</v>
      </c>
      <c r="AC25" s="171">
        <f>SUMIF('IS(M)'!$M$11:$ER$11,AC$7,'IS(M)'!$M31:$ER31)</f>
        <v>322198.15050419082</v>
      </c>
      <c r="AD25" s="171">
        <f>SUMIF('IS(M)'!$M$11:$ER$11,AD$7,'IS(M)'!$M31:$ER31)</f>
        <v>315754.18749410694</v>
      </c>
      <c r="AE25" s="171">
        <f>SUMIF('IS(M)'!$M$11:$ER$11,AE$7,'IS(M)'!$M31:$ER31)</f>
        <v>315754.18749410694</v>
      </c>
      <c r="AF25" s="171">
        <f>SUMIF('IS(M)'!$M$11:$ER$11,AF$7,'IS(M)'!$M31:$ER31)</f>
        <v>309439.10374422482</v>
      </c>
      <c r="AG25" s="171">
        <f>SUMIF('IS(M)'!$M$11:$ER$11,AG$7,'IS(M)'!$M31:$ER31)</f>
        <v>309439.10374422482</v>
      </c>
      <c r="AH25" s="171">
        <f>SUMIF('IS(M)'!$M$11:$ER$11,AH$7,'IS(M)'!$M31:$ER31)</f>
        <v>0</v>
      </c>
      <c r="AI25" s="171">
        <f>SUMIF('IS(M)'!$M$11:$ER$11,AI$7,'IS(M)'!$M31:$ER31)</f>
        <v>0</v>
      </c>
      <c r="AJ25" s="171">
        <f>SUMIF('IS(M)'!$M$11:$ER$11,AJ$7,'IS(M)'!$M31:$ER31)</f>
        <v>0</v>
      </c>
      <c r="AK25" s="171">
        <f>SUMIF('IS(M)'!$M$11:$ER$11,AK$7,'IS(M)'!$M31:$ER31)</f>
        <v>0</v>
      </c>
      <c r="AL25" s="171">
        <f>SUMIF('IS(M)'!$M$11:$ER$11,AL$7,'IS(M)'!$M31:$ER31)</f>
        <v>0</v>
      </c>
      <c r="AM25" s="171">
        <f>SUMIF('IS(M)'!$M$11:$ER$11,AM$7,'IS(M)'!$M31:$ER31)</f>
        <v>0</v>
      </c>
      <c r="AN25" s="171">
        <f>SUMIF('IS(M)'!$M$11:$ER$11,AN$7,'IS(M)'!$M31:$ER31)</f>
        <v>0</v>
      </c>
      <c r="AO25" s="171">
        <f>SUMIF('IS(M)'!$M$11:$ER$11,AO$7,'IS(M)'!$M31:$ER31)</f>
        <v>0</v>
      </c>
      <c r="AP25" s="171">
        <f>SUMIF('IS(M)'!$M$11:$ER$11,AP$7,'IS(M)'!$M31:$ER31)</f>
        <v>0</v>
      </c>
      <c r="AQ25" s="171">
        <f>SUMIF('IS(M)'!$M$11:$ER$11,AQ$7,'IS(M)'!$M31:$ER31)</f>
        <v>0</v>
      </c>
      <c r="AR25" s="171">
        <f>SUMIF('IS(M)'!$M$11:$ER$11,AR$7,'IS(M)'!$M31:$ER31)</f>
        <v>0</v>
      </c>
      <c r="AS25" s="171">
        <f>SUMIF('IS(M)'!$M$11:$ER$11,AS$7,'IS(M)'!$M31:$ER31)</f>
        <v>0</v>
      </c>
      <c r="AT25" s="171">
        <f>SUMIF('IS(M)'!$M$11:$ER$11,AT$7,'IS(M)'!$M31:$ER31)</f>
        <v>0</v>
      </c>
      <c r="AU25" s="171">
        <f>SUMIF('IS(M)'!$M$11:$ER$11,AU$7,'IS(M)'!$M31:$ER31)</f>
        <v>0</v>
      </c>
      <c r="AV25" s="171">
        <f>SUMIF('IS(M)'!$M$11:$ER$11,AV$7,'IS(M)'!$M31:$ER31)</f>
        <v>0</v>
      </c>
      <c r="AW25" s="171">
        <f>SUMIF('IS(M)'!$M$11:$ER$11,AW$7,'IS(M)'!$M31:$ER31)</f>
        <v>0</v>
      </c>
      <c r="AX25" s="171">
        <f>SUMIF('IS(M)'!$M$11:$ER$11,AX$7,'IS(M)'!$M31:$ER31)</f>
        <v>0</v>
      </c>
      <c r="AY25" s="171">
        <f>SUMIF('IS(M)'!$M$11:$ER$11,AY$7,'IS(M)'!$M31:$ER31)</f>
        <v>0</v>
      </c>
      <c r="AZ25" s="171">
        <f>SUMIF('IS(M)'!$M$11:$ER$11,AZ$7,'IS(M)'!$M31:$ER31)</f>
        <v>0</v>
      </c>
      <c r="BA25" s="171">
        <f>SUMIF('IS(M)'!$M$11:$ER$11,BA$7,'IS(M)'!$M31:$ER31)</f>
        <v>0</v>
      </c>
      <c r="BB25" s="171">
        <f>SUMIF('IS(M)'!$M$11:$ER$11,BB$7,'IS(M)'!$M31:$ER31)</f>
        <v>0</v>
      </c>
      <c r="BC25" s="171">
        <f>SUMIF('IS(M)'!$M$11:$ER$11,BC$7,'IS(M)'!$M31:$ER31)</f>
        <v>0</v>
      </c>
      <c r="BD25" s="171">
        <f>SUMIF('IS(M)'!$M$11:$ER$11,BD$7,'IS(M)'!$M31:$ER31)</f>
        <v>0</v>
      </c>
      <c r="BE25" s="171">
        <f>SUMIF('IS(M)'!$M$11:$ER$11,BE$7,'IS(M)'!$M31:$ER31)</f>
        <v>0</v>
      </c>
      <c r="BF25" s="171">
        <f>SUMIF('IS(M)'!$M$11:$ER$11,BF$7,'IS(M)'!$M31:$ER31)</f>
        <v>0</v>
      </c>
      <c r="BG25" s="171">
        <f>SUMIF('IS(M)'!$M$11:$ER$11,BG$7,'IS(M)'!$M31:$ER31)</f>
        <v>0</v>
      </c>
      <c r="BH25" s="171">
        <f>SUMIF('IS(M)'!$M$11:$ER$11,BH$7,'IS(M)'!$M31:$ER31)</f>
        <v>0</v>
      </c>
      <c r="BI25" s="171">
        <f>SUMIF('IS(M)'!$M$11:$ER$11,BI$7,'IS(M)'!$M31:$ER31)</f>
        <v>0</v>
      </c>
      <c r="BJ25" s="171">
        <f>SUMIF('IS(M)'!$M$11:$ER$11,BJ$7,'IS(M)'!$M31:$ER31)</f>
        <v>0</v>
      </c>
      <c r="BK25" s="171">
        <f>SUMIF('IS(M)'!$M$11:$ER$11,BK$7,'IS(M)'!$M31:$ER31)</f>
        <v>0</v>
      </c>
      <c r="BL25" s="171">
        <f>SUMIF('IS(M)'!$M$11:$ER$11,BL$7,'IS(M)'!$M31:$ER31)</f>
        <v>0</v>
      </c>
      <c r="BM25" s="171">
        <f>SUMIF('IS(M)'!$M$11:$ER$11,BM$7,'IS(M)'!$M31:$ER31)</f>
        <v>0</v>
      </c>
      <c r="BN25" s="171">
        <f>SUMIF('IS(M)'!$M$11:$ER$11,BN$7,'IS(M)'!$M31:$ER31)</f>
        <v>0</v>
      </c>
      <c r="BO25" s="171">
        <f>SUMIF('IS(M)'!$M$11:$ER$11,BO$7,'IS(M)'!$M31:$ER31)</f>
        <v>0</v>
      </c>
      <c r="BP25" s="171">
        <f>SUMIF('IS(M)'!$M$11:$ER$11,BP$7,'IS(M)'!$M31:$ER31)</f>
        <v>0</v>
      </c>
      <c r="BQ25" s="171">
        <f>SUMIF('IS(M)'!$M$11:$ER$11,BQ$7,'IS(M)'!$M31:$ER31)</f>
        <v>0</v>
      </c>
      <c r="BR25" s="171">
        <f>SUMIF('IS(M)'!$M$11:$ER$11,BR$7,'IS(M)'!$M31:$ER31)</f>
        <v>0</v>
      </c>
      <c r="BS25" s="171">
        <f>SUMIF('IS(M)'!$M$11:$ER$11,BS$7,'IS(M)'!$M31:$ER31)</f>
        <v>0</v>
      </c>
      <c r="BT25" s="171">
        <f>SUMIF('IS(M)'!$M$11:$ER$11,BT$7,'IS(M)'!$M31:$ER31)</f>
        <v>0</v>
      </c>
      <c r="BU25" s="171">
        <f>SUMIF('IS(M)'!$M$11:$ER$11,BU$7,'IS(M)'!$M31:$ER31)</f>
        <v>0</v>
      </c>
      <c r="BV25" s="171">
        <f>SUMIF('IS(M)'!$M$11:$ER$11,BV$7,'IS(M)'!$M31:$ER31)</f>
        <v>0</v>
      </c>
      <c r="BW25" s="171">
        <f>SUMIF('IS(M)'!$M$11:$ER$11,BW$7,'IS(M)'!$M31:$ER31)</f>
        <v>0</v>
      </c>
      <c r="BX25" s="171">
        <f>SUMIF('IS(M)'!$M$11:$ER$11,BX$7,'IS(M)'!$M31:$ER31)</f>
        <v>0</v>
      </c>
      <c r="BY25" s="171">
        <f>SUMIF('IS(M)'!$M$11:$ER$11,BY$7,'IS(M)'!$M31:$ER31)</f>
        <v>0</v>
      </c>
      <c r="BZ25" s="171">
        <f>SUMIF('IS(M)'!$M$11:$ER$11,BZ$7,'IS(M)'!$M31:$ER31)</f>
        <v>0</v>
      </c>
      <c r="CA25" s="171">
        <f>SUMIF('IS(M)'!$M$11:$ER$11,CA$7,'IS(M)'!$M31:$ER31)</f>
        <v>0</v>
      </c>
      <c r="CB25" s="171">
        <f>SUMIF('IS(M)'!$M$11:$ER$11,CB$7,'IS(M)'!$M31:$ER31)</f>
        <v>0</v>
      </c>
      <c r="CC25" s="171">
        <f>SUMIF('IS(M)'!$M$11:$ER$11,CC$7,'IS(M)'!$M31:$ER31)</f>
        <v>0</v>
      </c>
      <c r="CD25" s="171">
        <f>SUMIF('IS(M)'!$M$11:$ER$11,CD$7,'IS(M)'!$M31:$ER31)</f>
        <v>0</v>
      </c>
      <c r="CE25" s="171">
        <f>SUMIF('IS(M)'!$M$11:$ER$11,CE$7,'IS(M)'!$M31:$ER31)</f>
        <v>0</v>
      </c>
      <c r="CF25" s="171">
        <f>SUMIF('IS(M)'!$M$11:$ER$11,CF$7,'IS(M)'!$M31:$ER31)</f>
        <v>0</v>
      </c>
      <c r="CG25" s="171">
        <f>SUMIF('IS(M)'!$M$11:$ER$11,CG$7,'IS(M)'!$M31:$ER31)</f>
        <v>0</v>
      </c>
      <c r="CH25" s="171">
        <f>SUMIF('IS(M)'!$M$11:$ER$11,CH$7,'IS(M)'!$M31:$ER31)</f>
        <v>0</v>
      </c>
      <c r="CI25" s="171">
        <f>SUMIF('IS(M)'!$M$11:$ER$11,CI$7,'IS(M)'!$M31:$ER31)</f>
        <v>0</v>
      </c>
      <c r="CJ25" s="171">
        <f>SUMIF('IS(M)'!$M$11:$ER$11,CJ$7,'IS(M)'!$M31:$ER31)</f>
        <v>0</v>
      </c>
      <c r="CK25" s="171">
        <f>SUMIF('IS(M)'!$M$11:$ER$11,CK$7,'IS(M)'!$M31:$ER31)</f>
        <v>0</v>
      </c>
      <c r="CL25" s="171">
        <f>SUMIF('IS(M)'!$M$11:$ER$11,CL$7,'IS(M)'!$M31:$ER31)</f>
        <v>0</v>
      </c>
      <c r="CM25" s="171">
        <f>SUMIF('IS(M)'!$M$11:$ER$11,CM$7,'IS(M)'!$M31:$ER31)</f>
        <v>0</v>
      </c>
      <c r="CN25" s="171">
        <f>SUMIF('IS(M)'!$M$11:$ER$11,CN$7,'IS(M)'!$M31:$ER31)</f>
        <v>0</v>
      </c>
      <c r="CO25" s="171">
        <f>SUMIF('IS(M)'!$M$11:$ER$11,CO$7,'IS(M)'!$M31:$ER31)</f>
        <v>0</v>
      </c>
      <c r="CP25" s="171">
        <f>SUMIF('IS(M)'!$M$11:$ER$11,CP$7,'IS(M)'!$M31:$ER31)</f>
        <v>0</v>
      </c>
      <c r="CQ25" s="171">
        <f>SUMIF('IS(M)'!$M$11:$ER$11,CQ$7,'IS(M)'!$M31:$ER31)</f>
        <v>0</v>
      </c>
      <c r="CR25" s="171">
        <f>SUMIF('IS(M)'!$M$11:$ER$11,CR$7,'IS(M)'!$M31:$ER31)</f>
        <v>0</v>
      </c>
      <c r="CS25" s="171">
        <f>SUMIF('IS(M)'!$M$11:$ER$11,CS$7,'IS(M)'!$M31:$ER31)</f>
        <v>0</v>
      </c>
      <c r="CT25" s="171">
        <f>SUMIF('IS(M)'!$M$11:$ER$11,CT$7,'IS(M)'!$M31:$ER31)</f>
        <v>0</v>
      </c>
      <c r="CU25" s="171">
        <f>SUMIF('IS(M)'!$M$11:$ER$11,CU$7,'IS(M)'!$M31:$ER31)</f>
        <v>0</v>
      </c>
      <c r="CV25" s="171">
        <f>SUMIF('IS(M)'!$M$11:$ER$11,CV$7,'IS(M)'!$M31:$ER31)</f>
        <v>0</v>
      </c>
      <c r="CW25" s="171">
        <f>SUMIF('IS(M)'!$M$11:$ER$11,CW$7,'IS(M)'!$M31:$ER31)</f>
        <v>0</v>
      </c>
      <c r="CX25" s="171">
        <f>SUMIF('IS(M)'!$M$11:$ER$11,CX$7,'IS(M)'!$M31:$ER31)</f>
        <v>0</v>
      </c>
      <c r="CY25" s="171">
        <f>SUMIF('IS(M)'!$M$11:$ER$11,CY$7,'IS(M)'!$M31:$ER31)</f>
        <v>0</v>
      </c>
      <c r="CZ25" s="171">
        <f>SUMIF('IS(M)'!$M$11:$ER$11,CZ$7,'IS(M)'!$M31:$ER31)</f>
        <v>0</v>
      </c>
      <c r="DA25" s="171">
        <f>SUMIF('IS(M)'!$M$11:$ER$11,DA$7,'IS(M)'!$M31:$ER31)</f>
        <v>0</v>
      </c>
      <c r="DB25" s="171">
        <f>SUMIF('IS(M)'!$M$11:$ER$11,DB$7,'IS(M)'!$M31:$ER31)</f>
        <v>0</v>
      </c>
      <c r="DC25" s="171">
        <f>SUMIF('IS(M)'!$M$11:$ER$11,DC$7,'IS(M)'!$M31:$ER31)</f>
        <v>0</v>
      </c>
      <c r="DD25" s="171">
        <f>SUMIF('IS(M)'!$M$11:$ER$11,DD$7,'IS(M)'!$M31:$ER31)</f>
        <v>0</v>
      </c>
      <c r="DE25" s="171">
        <f>SUMIF('IS(M)'!$M$11:$ER$11,DE$7,'IS(M)'!$M31:$ER31)</f>
        <v>0</v>
      </c>
      <c r="DF25" s="171">
        <f>SUMIF('IS(M)'!$M$11:$ER$11,DF$7,'IS(M)'!$M31:$ER31)</f>
        <v>0</v>
      </c>
      <c r="DG25" s="171">
        <f>SUMIF('IS(M)'!$M$11:$ER$11,DG$7,'IS(M)'!$M31:$ER31)</f>
        <v>0</v>
      </c>
      <c r="DH25" s="171">
        <f>SUMIF('IS(M)'!$M$11:$ER$11,DH$7,'IS(M)'!$M31:$ER31)</f>
        <v>0</v>
      </c>
      <c r="DI25" s="171">
        <f>SUMIF('IS(M)'!$M$11:$ER$11,DI$7,'IS(M)'!$M31:$ER31)</f>
        <v>0</v>
      </c>
      <c r="DJ25" s="171">
        <f>SUMIF('IS(M)'!$M$11:$ER$11,DJ$7,'IS(M)'!$M31:$ER31)</f>
        <v>0</v>
      </c>
      <c r="DK25" s="171">
        <f>SUMIF('IS(M)'!$M$11:$ER$11,DK$7,'IS(M)'!$M31:$ER31)</f>
        <v>0</v>
      </c>
      <c r="DL25" s="171">
        <f>SUMIF('IS(M)'!$M$11:$ER$11,DL$7,'IS(M)'!$M31:$ER31)</f>
        <v>0</v>
      </c>
      <c r="DM25" s="171">
        <f>SUMIF('IS(M)'!$M$11:$ER$11,DM$7,'IS(M)'!$M31:$ER31)</f>
        <v>0</v>
      </c>
      <c r="DN25" s="171">
        <f>SUMIF('IS(M)'!$M$11:$ER$11,DN$7,'IS(M)'!$M31:$ER31)</f>
        <v>0</v>
      </c>
      <c r="DO25" s="171">
        <f>SUMIF('IS(M)'!$M$11:$ER$11,DO$7,'IS(M)'!$M31:$ER31)</f>
        <v>0</v>
      </c>
      <c r="DP25" s="171">
        <f>SUMIF('IS(M)'!$M$11:$ER$11,DP$7,'IS(M)'!$M31:$ER31)</f>
        <v>0</v>
      </c>
      <c r="DQ25" s="171">
        <f>SUMIF('IS(M)'!$M$11:$ER$11,DQ$7,'IS(M)'!$M31:$ER31)</f>
        <v>0</v>
      </c>
      <c r="DR25" s="171">
        <f>SUMIF('IS(M)'!$M$11:$ER$11,DR$7,'IS(M)'!$M31:$ER31)</f>
        <v>0</v>
      </c>
      <c r="DS25" s="171">
        <f>SUMIF('IS(M)'!$M$11:$ER$11,DS$7,'IS(M)'!$M31:$ER31)</f>
        <v>0</v>
      </c>
      <c r="DT25" s="171">
        <f>SUMIF('IS(M)'!$M$11:$ER$11,DT$7,'IS(M)'!$M31:$ER31)</f>
        <v>0</v>
      </c>
      <c r="DU25" s="171">
        <f>SUMIF('IS(M)'!$M$11:$ER$11,DU$7,'IS(M)'!$M31:$ER31)</f>
        <v>0</v>
      </c>
      <c r="DV25" s="171">
        <f>SUMIF('IS(M)'!$M$11:$ER$11,DV$7,'IS(M)'!$M31:$ER31)</f>
        <v>0</v>
      </c>
      <c r="DW25" s="171">
        <f>SUMIF('IS(M)'!$M$11:$ER$11,DW$7,'IS(M)'!$M31:$ER31)</f>
        <v>0</v>
      </c>
    </row>
    <row r="26" spans="2:127" ht="11.25" customHeight="1">
      <c r="B26" s="218"/>
      <c r="C26" s="163"/>
      <c r="D26" s="169" t="s">
        <v>86</v>
      </c>
      <c r="I26" s="146"/>
      <c r="J26" s="13"/>
      <c r="K26" s="171">
        <f t="shared" si="12"/>
        <v>2258398.7897160524</v>
      </c>
      <c r="L26" s="98"/>
      <c r="M26" s="171">
        <f>SUMIF('IS(M)'!$M$11:$ER$11,M$7,'IS(M)'!$M32:$ER32)</f>
        <v>0</v>
      </c>
      <c r="N26" s="171">
        <f>SUMIF('IS(M)'!$M$11:$ER$11,N$7,'IS(M)'!$M32:$ER32)</f>
        <v>103125.86000000002</v>
      </c>
      <c r="O26" s="171">
        <f>SUMIF('IS(M)'!$M$11:$ER$11,O$7,'IS(M)'!$M32:$ER32)</f>
        <v>103125.86000000002</v>
      </c>
      <c r="P26" s="171">
        <f>SUMIF('IS(M)'!$M$11:$ER$11,P$7,'IS(M)'!$M32:$ER32)</f>
        <v>105188.3772</v>
      </c>
      <c r="Q26" s="171">
        <f>SUMIF('IS(M)'!$M$11:$ER$11,Q$7,'IS(M)'!$M32:$ER32)</f>
        <v>105188.3772</v>
      </c>
      <c r="R26" s="171">
        <f>SUMIF('IS(M)'!$M$11:$ER$11,R$7,'IS(M)'!$M32:$ER32)</f>
        <v>107292.144744</v>
      </c>
      <c r="S26" s="171">
        <f>SUMIF('IS(M)'!$M$11:$ER$11,S$7,'IS(M)'!$M32:$ER32)</f>
        <v>107292.144744</v>
      </c>
      <c r="T26" s="171">
        <f>SUMIF('IS(M)'!$M$11:$ER$11,T$7,'IS(M)'!$M32:$ER32)</f>
        <v>109437.98763888</v>
      </c>
      <c r="U26" s="171">
        <f>SUMIF('IS(M)'!$M$11:$ER$11,U$7,'IS(M)'!$M32:$ER32)</f>
        <v>109437.98763888</v>
      </c>
      <c r="V26" s="171">
        <f>SUMIF('IS(M)'!$M$11:$ER$11,V$7,'IS(M)'!$M32:$ER32)</f>
        <v>111626.7473916576</v>
      </c>
      <c r="W26" s="171">
        <f>SUMIF('IS(M)'!$M$11:$ER$11,W$7,'IS(M)'!$M32:$ER32)</f>
        <v>111626.7473916576</v>
      </c>
      <c r="X26" s="171">
        <f>SUMIF('IS(M)'!$M$11:$ER$11,X$7,'IS(M)'!$M32:$ER32)</f>
        <v>113859.28233949076</v>
      </c>
      <c r="Y26" s="171">
        <f>SUMIF('IS(M)'!$M$11:$ER$11,Y$7,'IS(M)'!$M32:$ER32)</f>
        <v>113859.28233949076</v>
      </c>
      <c r="Z26" s="171">
        <f>SUMIF('IS(M)'!$M$11:$ER$11,Z$7,'IS(M)'!$M32:$ER32)</f>
        <v>116136.46798628059</v>
      </c>
      <c r="AA26" s="171">
        <f>SUMIF('IS(M)'!$M$11:$ER$11,AA$7,'IS(M)'!$M32:$ER32)</f>
        <v>116136.46798628059</v>
      </c>
      <c r="AB26" s="171">
        <f>SUMIF('IS(M)'!$M$11:$ER$11,AB$7,'IS(M)'!$M32:$ER32)</f>
        <v>118459.19734600614</v>
      </c>
      <c r="AC26" s="171">
        <f>SUMIF('IS(M)'!$M$11:$ER$11,AC$7,'IS(M)'!$M32:$ER32)</f>
        <v>118459.19734600614</v>
      </c>
      <c r="AD26" s="171">
        <f>SUMIF('IS(M)'!$M$11:$ER$11,AD$7,'IS(M)'!$M32:$ER32)</f>
        <v>120828.38129292631</v>
      </c>
      <c r="AE26" s="171">
        <f>SUMIF('IS(M)'!$M$11:$ER$11,AE$7,'IS(M)'!$M32:$ER32)</f>
        <v>120828.38129292631</v>
      </c>
      <c r="AF26" s="171">
        <f>SUMIF('IS(M)'!$M$11:$ER$11,AF$7,'IS(M)'!$M32:$ER32)</f>
        <v>123244.94891878484</v>
      </c>
      <c r="AG26" s="171">
        <f>SUMIF('IS(M)'!$M$11:$ER$11,AG$7,'IS(M)'!$M32:$ER32)</f>
        <v>123244.94891878484</v>
      </c>
      <c r="AH26" s="171">
        <f>SUMIF('IS(M)'!$M$11:$ER$11,AH$7,'IS(M)'!$M32:$ER32)</f>
        <v>0</v>
      </c>
      <c r="AI26" s="171">
        <f>SUMIF('IS(M)'!$M$11:$ER$11,AI$7,'IS(M)'!$M32:$ER32)</f>
        <v>0</v>
      </c>
      <c r="AJ26" s="171">
        <f>SUMIF('IS(M)'!$M$11:$ER$11,AJ$7,'IS(M)'!$M32:$ER32)</f>
        <v>0</v>
      </c>
      <c r="AK26" s="171">
        <f>SUMIF('IS(M)'!$M$11:$ER$11,AK$7,'IS(M)'!$M32:$ER32)</f>
        <v>0</v>
      </c>
      <c r="AL26" s="171">
        <f>SUMIF('IS(M)'!$M$11:$ER$11,AL$7,'IS(M)'!$M32:$ER32)</f>
        <v>0</v>
      </c>
      <c r="AM26" s="171">
        <f>SUMIF('IS(M)'!$M$11:$ER$11,AM$7,'IS(M)'!$M32:$ER32)</f>
        <v>0</v>
      </c>
      <c r="AN26" s="171">
        <f>SUMIF('IS(M)'!$M$11:$ER$11,AN$7,'IS(M)'!$M32:$ER32)</f>
        <v>0</v>
      </c>
      <c r="AO26" s="171">
        <f>SUMIF('IS(M)'!$M$11:$ER$11,AO$7,'IS(M)'!$M32:$ER32)</f>
        <v>0</v>
      </c>
      <c r="AP26" s="171">
        <f>SUMIF('IS(M)'!$M$11:$ER$11,AP$7,'IS(M)'!$M32:$ER32)</f>
        <v>0</v>
      </c>
      <c r="AQ26" s="171">
        <f>SUMIF('IS(M)'!$M$11:$ER$11,AQ$7,'IS(M)'!$M32:$ER32)</f>
        <v>0</v>
      </c>
      <c r="AR26" s="171">
        <f>SUMIF('IS(M)'!$M$11:$ER$11,AR$7,'IS(M)'!$M32:$ER32)</f>
        <v>0</v>
      </c>
      <c r="AS26" s="171">
        <f>SUMIF('IS(M)'!$M$11:$ER$11,AS$7,'IS(M)'!$M32:$ER32)</f>
        <v>0</v>
      </c>
      <c r="AT26" s="171">
        <f>SUMIF('IS(M)'!$M$11:$ER$11,AT$7,'IS(M)'!$M32:$ER32)</f>
        <v>0</v>
      </c>
      <c r="AU26" s="171">
        <f>SUMIF('IS(M)'!$M$11:$ER$11,AU$7,'IS(M)'!$M32:$ER32)</f>
        <v>0</v>
      </c>
      <c r="AV26" s="171">
        <f>SUMIF('IS(M)'!$M$11:$ER$11,AV$7,'IS(M)'!$M32:$ER32)</f>
        <v>0</v>
      </c>
      <c r="AW26" s="171">
        <f>SUMIF('IS(M)'!$M$11:$ER$11,AW$7,'IS(M)'!$M32:$ER32)</f>
        <v>0</v>
      </c>
      <c r="AX26" s="171">
        <f>SUMIF('IS(M)'!$M$11:$ER$11,AX$7,'IS(M)'!$M32:$ER32)</f>
        <v>0</v>
      </c>
      <c r="AY26" s="171">
        <f>SUMIF('IS(M)'!$M$11:$ER$11,AY$7,'IS(M)'!$M32:$ER32)</f>
        <v>0</v>
      </c>
      <c r="AZ26" s="171">
        <f>SUMIF('IS(M)'!$M$11:$ER$11,AZ$7,'IS(M)'!$M32:$ER32)</f>
        <v>0</v>
      </c>
      <c r="BA26" s="171">
        <f>SUMIF('IS(M)'!$M$11:$ER$11,BA$7,'IS(M)'!$M32:$ER32)</f>
        <v>0</v>
      </c>
      <c r="BB26" s="171">
        <f>SUMIF('IS(M)'!$M$11:$ER$11,BB$7,'IS(M)'!$M32:$ER32)</f>
        <v>0</v>
      </c>
      <c r="BC26" s="171">
        <f>SUMIF('IS(M)'!$M$11:$ER$11,BC$7,'IS(M)'!$M32:$ER32)</f>
        <v>0</v>
      </c>
      <c r="BD26" s="171">
        <f>SUMIF('IS(M)'!$M$11:$ER$11,BD$7,'IS(M)'!$M32:$ER32)</f>
        <v>0</v>
      </c>
      <c r="BE26" s="171">
        <f>SUMIF('IS(M)'!$M$11:$ER$11,BE$7,'IS(M)'!$M32:$ER32)</f>
        <v>0</v>
      </c>
      <c r="BF26" s="171">
        <f>SUMIF('IS(M)'!$M$11:$ER$11,BF$7,'IS(M)'!$M32:$ER32)</f>
        <v>0</v>
      </c>
      <c r="BG26" s="171">
        <f>SUMIF('IS(M)'!$M$11:$ER$11,BG$7,'IS(M)'!$M32:$ER32)</f>
        <v>0</v>
      </c>
      <c r="BH26" s="171">
        <f>SUMIF('IS(M)'!$M$11:$ER$11,BH$7,'IS(M)'!$M32:$ER32)</f>
        <v>0</v>
      </c>
      <c r="BI26" s="171">
        <f>SUMIF('IS(M)'!$M$11:$ER$11,BI$7,'IS(M)'!$M32:$ER32)</f>
        <v>0</v>
      </c>
      <c r="BJ26" s="171">
        <f>SUMIF('IS(M)'!$M$11:$ER$11,BJ$7,'IS(M)'!$M32:$ER32)</f>
        <v>0</v>
      </c>
      <c r="BK26" s="171">
        <f>SUMIF('IS(M)'!$M$11:$ER$11,BK$7,'IS(M)'!$M32:$ER32)</f>
        <v>0</v>
      </c>
      <c r="BL26" s="171">
        <f>SUMIF('IS(M)'!$M$11:$ER$11,BL$7,'IS(M)'!$M32:$ER32)</f>
        <v>0</v>
      </c>
      <c r="BM26" s="171">
        <f>SUMIF('IS(M)'!$M$11:$ER$11,BM$7,'IS(M)'!$M32:$ER32)</f>
        <v>0</v>
      </c>
      <c r="BN26" s="171">
        <f>SUMIF('IS(M)'!$M$11:$ER$11,BN$7,'IS(M)'!$M32:$ER32)</f>
        <v>0</v>
      </c>
      <c r="BO26" s="171">
        <f>SUMIF('IS(M)'!$M$11:$ER$11,BO$7,'IS(M)'!$M32:$ER32)</f>
        <v>0</v>
      </c>
      <c r="BP26" s="171">
        <f>SUMIF('IS(M)'!$M$11:$ER$11,BP$7,'IS(M)'!$M32:$ER32)</f>
        <v>0</v>
      </c>
      <c r="BQ26" s="171">
        <f>SUMIF('IS(M)'!$M$11:$ER$11,BQ$7,'IS(M)'!$M32:$ER32)</f>
        <v>0</v>
      </c>
      <c r="BR26" s="171">
        <f>SUMIF('IS(M)'!$M$11:$ER$11,BR$7,'IS(M)'!$M32:$ER32)</f>
        <v>0</v>
      </c>
      <c r="BS26" s="171">
        <f>SUMIF('IS(M)'!$M$11:$ER$11,BS$7,'IS(M)'!$M32:$ER32)</f>
        <v>0</v>
      </c>
      <c r="BT26" s="171">
        <f>SUMIF('IS(M)'!$M$11:$ER$11,BT$7,'IS(M)'!$M32:$ER32)</f>
        <v>0</v>
      </c>
      <c r="BU26" s="171">
        <f>SUMIF('IS(M)'!$M$11:$ER$11,BU$7,'IS(M)'!$M32:$ER32)</f>
        <v>0</v>
      </c>
      <c r="BV26" s="171">
        <f>SUMIF('IS(M)'!$M$11:$ER$11,BV$7,'IS(M)'!$M32:$ER32)</f>
        <v>0</v>
      </c>
      <c r="BW26" s="171">
        <f>SUMIF('IS(M)'!$M$11:$ER$11,BW$7,'IS(M)'!$M32:$ER32)</f>
        <v>0</v>
      </c>
      <c r="BX26" s="171">
        <f>SUMIF('IS(M)'!$M$11:$ER$11,BX$7,'IS(M)'!$M32:$ER32)</f>
        <v>0</v>
      </c>
      <c r="BY26" s="171">
        <f>SUMIF('IS(M)'!$M$11:$ER$11,BY$7,'IS(M)'!$M32:$ER32)</f>
        <v>0</v>
      </c>
      <c r="BZ26" s="171">
        <f>SUMIF('IS(M)'!$M$11:$ER$11,BZ$7,'IS(M)'!$M32:$ER32)</f>
        <v>0</v>
      </c>
      <c r="CA26" s="171">
        <f>SUMIF('IS(M)'!$M$11:$ER$11,CA$7,'IS(M)'!$M32:$ER32)</f>
        <v>0</v>
      </c>
      <c r="CB26" s="171">
        <f>SUMIF('IS(M)'!$M$11:$ER$11,CB$7,'IS(M)'!$M32:$ER32)</f>
        <v>0</v>
      </c>
      <c r="CC26" s="171">
        <f>SUMIF('IS(M)'!$M$11:$ER$11,CC$7,'IS(M)'!$M32:$ER32)</f>
        <v>0</v>
      </c>
      <c r="CD26" s="171">
        <f>SUMIF('IS(M)'!$M$11:$ER$11,CD$7,'IS(M)'!$M32:$ER32)</f>
        <v>0</v>
      </c>
      <c r="CE26" s="171">
        <f>SUMIF('IS(M)'!$M$11:$ER$11,CE$7,'IS(M)'!$M32:$ER32)</f>
        <v>0</v>
      </c>
      <c r="CF26" s="171">
        <f>SUMIF('IS(M)'!$M$11:$ER$11,CF$7,'IS(M)'!$M32:$ER32)</f>
        <v>0</v>
      </c>
      <c r="CG26" s="171">
        <f>SUMIF('IS(M)'!$M$11:$ER$11,CG$7,'IS(M)'!$M32:$ER32)</f>
        <v>0</v>
      </c>
      <c r="CH26" s="171">
        <f>SUMIF('IS(M)'!$M$11:$ER$11,CH$7,'IS(M)'!$M32:$ER32)</f>
        <v>0</v>
      </c>
      <c r="CI26" s="171">
        <f>SUMIF('IS(M)'!$M$11:$ER$11,CI$7,'IS(M)'!$M32:$ER32)</f>
        <v>0</v>
      </c>
      <c r="CJ26" s="171">
        <f>SUMIF('IS(M)'!$M$11:$ER$11,CJ$7,'IS(M)'!$M32:$ER32)</f>
        <v>0</v>
      </c>
      <c r="CK26" s="171">
        <f>SUMIF('IS(M)'!$M$11:$ER$11,CK$7,'IS(M)'!$M32:$ER32)</f>
        <v>0</v>
      </c>
      <c r="CL26" s="171">
        <f>SUMIF('IS(M)'!$M$11:$ER$11,CL$7,'IS(M)'!$M32:$ER32)</f>
        <v>0</v>
      </c>
      <c r="CM26" s="171">
        <f>SUMIF('IS(M)'!$M$11:$ER$11,CM$7,'IS(M)'!$M32:$ER32)</f>
        <v>0</v>
      </c>
      <c r="CN26" s="171">
        <f>SUMIF('IS(M)'!$M$11:$ER$11,CN$7,'IS(M)'!$M32:$ER32)</f>
        <v>0</v>
      </c>
      <c r="CO26" s="171">
        <f>SUMIF('IS(M)'!$M$11:$ER$11,CO$7,'IS(M)'!$M32:$ER32)</f>
        <v>0</v>
      </c>
      <c r="CP26" s="171">
        <f>SUMIF('IS(M)'!$M$11:$ER$11,CP$7,'IS(M)'!$M32:$ER32)</f>
        <v>0</v>
      </c>
      <c r="CQ26" s="171">
        <f>SUMIF('IS(M)'!$M$11:$ER$11,CQ$7,'IS(M)'!$M32:$ER32)</f>
        <v>0</v>
      </c>
      <c r="CR26" s="171">
        <f>SUMIF('IS(M)'!$M$11:$ER$11,CR$7,'IS(M)'!$M32:$ER32)</f>
        <v>0</v>
      </c>
      <c r="CS26" s="171">
        <f>SUMIF('IS(M)'!$M$11:$ER$11,CS$7,'IS(M)'!$M32:$ER32)</f>
        <v>0</v>
      </c>
      <c r="CT26" s="171">
        <f>SUMIF('IS(M)'!$M$11:$ER$11,CT$7,'IS(M)'!$M32:$ER32)</f>
        <v>0</v>
      </c>
      <c r="CU26" s="171">
        <f>SUMIF('IS(M)'!$M$11:$ER$11,CU$7,'IS(M)'!$M32:$ER32)</f>
        <v>0</v>
      </c>
      <c r="CV26" s="171">
        <f>SUMIF('IS(M)'!$M$11:$ER$11,CV$7,'IS(M)'!$M32:$ER32)</f>
        <v>0</v>
      </c>
      <c r="CW26" s="171">
        <f>SUMIF('IS(M)'!$M$11:$ER$11,CW$7,'IS(M)'!$M32:$ER32)</f>
        <v>0</v>
      </c>
      <c r="CX26" s="171">
        <f>SUMIF('IS(M)'!$M$11:$ER$11,CX$7,'IS(M)'!$M32:$ER32)</f>
        <v>0</v>
      </c>
      <c r="CY26" s="171">
        <f>SUMIF('IS(M)'!$M$11:$ER$11,CY$7,'IS(M)'!$M32:$ER32)</f>
        <v>0</v>
      </c>
      <c r="CZ26" s="171">
        <f>SUMIF('IS(M)'!$M$11:$ER$11,CZ$7,'IS(M)'!$M32:$ER32)</f>
        <v>0</v>
      </c>
      <c r="DA26" s="171">
        <f>SUMIF('IS(M)'!$M$11:$ER$11,DA$7,'IS(M)'!$M32:$ER32)</f>
        <v>0</v>
      </c>
      <c r="DB26" s="171">
        <f>SUMIF('IS(M)'!$M$11:$ER$11,DB$7,'IS(M)'!$M32:$ER32)</f>
        <v>0</v>
      </c>
      <c r="DC26" s="171">
        <f>SUMIF('IS(M)'!$M$11:$ER$11,DC$7,'IS(M)'!$M32:$ER32)</f>
        <v>0</v>
      </c>
      <c r="DD26" s="171">
        <f>SUMIF('IS(M)'!$M$11:$ER$11,DD$7,'IS(M)'!$M32:$ER32)</f>
        <v>0</v>
      </c>
      <c r="DE26" s="171">
        <f>SUMIF('IS(M)'!$M$11:$ER$11,DE$7,'IS(M)'!$M32:$ER32)</f>
        <v>0</v>
      </c>
      <c r="DF26" s="171">
        <f>SUMIF('IS(M)'!$M$11:$ER$11,DF$7,'IS(M)'!$M32:$ER32)</f>
        <v>0</v>
      </c>
      <c r="DG26" s="171">
        <f>SUMIF('IS(M)'!$M$11:$ER$11,DG$7,'IS(M)'!$M32:$ER32)</f>
        <v>0</v>
      </c>
      <c r="DH26" s="171">
        <f>SUMIF('IS(M)'!$M$11:$ER$11,DH$7,'IS(M)'!$M32:$ER32)</f>
        <v>0</v>
      </c>
      <c r="DI26" s="171">
        <f>SUMIF('IS(M)'!$M$11:$ER$11,DI$7,'IS(M)'!$M32:$ER32)</f>
        <v>0</v>
      </c>
      <c r="DJ26" s="171">
        <f>SUMIF('IS(M)'!$M$11:$ER$11,DJ$7,'IS(M)'!$M32:$ER32)</f>
        <v>0</v>
      </c>
      <c r="DK26" s="171">
        <f>SUMIF('IS(M)'!$M$11:$ER$11,DK$7,'IS(M)'!$M32:$ER32)</f>
        <v>0</v>
      </c>
      <c r="DL26" s="171">
        <f>SUMIF('IS(M)'!$M$11:$ER$11,DL$7,'IS(M)'!$M32:$ER32)</f>
        <v>0</v>
      </c>
      <c r="DM26" s="171">
        <f>SUMIF('IS(M)'!$M$11:$ER$11,DM$7,'IS(M)'!$M32:$ER32)</f>
        <v>0</v>
      </c>
      <c r="DN26" s="171">
        <f>SUMIF('IS(M)'!$M$11:$ER$11,DN$7,'IS(M)'!$M32:$ER32)</f>
        <v>0</v>
      </c>
      <c r="DO26" s="171">
        <f>SUMIF('IS(M)'!$M$11:$ER$11,DO$7,'IS(M)'!$M32:$ER32)</f>
        <v>0</v>
      </c>
      <c r="DP26" s="171">
        <f>SUMIF('IS(M)'!$M$11:$ER$11,DP$7,'IS(M)'!$M32:$ER32)</f>
        <v>0</v>
      </c>
      <c r="DQ26" s="171">
        <f>SUMIF('IS(M)'!$M$11:$ER$11,DQ$7,'IS(M)'!$M32:$ER32)</f>
        <v>0</v>
      </c>
      <c r="DR26" s="171">
        <f>SUMIF('IS(M)'!$M$11:$ER$11,DR$7,'IS(M)'!$M32:$ER32)</f>
        <v>0</v>
      </c>
      <c r="DS26" s="171">
        <f>SUMIF('IS(M)'!$M$11:$ER$11,DS$7,'IS(M)'!$M32:$ER32)</f>
        <v>0</v>
      </c>
      <c r="DT26" s="171">
        <f>SUMIF('IS(M)'!$M$11:$ER$11,DT$7,'IS(M)'!$M32:$ER32)</f>
        <v>0</v>
      </c>
      <c r="DU26" s="171">
        <f>SUMIF('IS(M)'!$M$11:$ER$11,DU$7,'IS(M)'!$M32:$ER32)</f>
        <v>0</v>
      </c>
      <c r="DV26" s="171">
        <f>SUMIF('IS(M)'!$M$11:$ER$11,DV$7,'IS(M)'!$M32:$ER32)</f>
        <v>0</v>
      </c>
      <c r="DW26" s="171">
        <f>SUMIF('IS(M)'!$M$11:$ER$11,DW$7,'IS(M)'!$M32:$ER32)</f>
        <v>0</v>
      </c>
    </row>
    <row r="27" spans="2:127" ht="11.25" customHeight="1">
      <c r="B27" s="218"/>
      <c r="C27" s="163"/>
      <c r="D27" s="169" t="s">
        <v>138</v>
      </c>
      <c r="I27" s="146"/>
      <c r="J27" s="13"/>
      <c r="K27" s="171">
        <f t="shared" si="12"/>
        <v>1412997.0011594817</v>
      </c>
      <c r="L27" s="98"/>
      <c r="M27" s="171">
        <f>SUMIF('IS(M)'!$M$11:$ER$11,M$7,'IS(M)'!$M33:$ER33)</f>
        <v>0</v>
      </c>
      <c r="N27" s="171">
        <f>SUMIF('IS(M)'!$M$11:$ER$11,N$7,'IS(M)'!$M33:$ER33)</f>
        <v>64522.055</v>
      </c>
      <c r="O27" s="171">
        <f>SUMIF('IS(M)'!$M$11:$ER$11,O$7,'IS(M)'!$M33:$ER33)</f>
        <v>64522.055</v>
      </c>
      <c r="P27" s="171">
        <f>SUMIF('IS(M)'!$M$11:$ER$11,P$7,'IS(M)'!$M33:$ER33)</f>
        <v>65812.496100000004</v>
      </c>
      <c r="Q27" s="171">
        <f>SUMIF('IS(M)'!$M$11:$ER$11,Q$7,'IS(M)'!$M33:$ER33)</f>
        <v>65812.496100000004</v>
      </c>
      <c r="R27" s="171">
        <f>SUMIF('IS(M)'!$M$11:$ER$11,R$7,'IS(M)'!$M33:$ER33)</f>
        <v>67128.746021999992</v>
      </c>
      <c r="S27" s="171">
        <f>SUMIF('IS(M)'!$M$11:$ER$11,S$7,'IS(M)'!$M33:$ER33)</f>
        <v>67128.746021999992</v>
      </c>
      <c r="T27" s="171">
        <f>SUMIF('IS(M)'!$M$11:$ER$11,T$7,'IS(M)'!$M33:$ER33)</f>
        <v>68471.320942439997</v>
      </c>
      <c r="U27" s="171">
        <f>SUMIF('IS(M)'!$M$11:$ER$11,U$7,'IS(M)'!$M33:$ER33)</f>
        <v>68471.320942439997</v>
      </c>
      <c r="V27" s="171">
        <f>SUMIF('IS(M)'!$M$11:$ER$11,V$7,'IS(M)'!$M33:$ER33)</f>
        <v>69840.747361288799</v>
      </c>
      <c r="W27" s="171">
        <f>SUMIF('IS(M)'!$M$11:$ER$11,W$7,'IS(M)'!$M33:$ER33)</f>
        <v>69840.747361288799</v>
      </c>
      <c r="X27" s="171">
        <f>SUMIF('IS(M)'!$M$11:$ER$11,X$7,'IS(M)'!$M33:$ER33)</f>
        <v>71237.562308514578</v>
      </c>
      <c r="Y27" s="171">
        <f>SUMIF('IS(M)'!$M$11:$ER$11,Y$7,'IS(M)'!$M33:$ER33)</f>
        <v>71237.562308514578</v>
      </c>
      <c r="Z27" s="171">
        <f>SUMIF('IS(M)'!$M$11:$ER$11,Z$7,'IS(M)'!$M33:$ER33)</f>
        <v>72662.313554684864</v>
      </c>
      <c r="AA27" s="171">
        <f>SUMIF('IS(M)'!$M$11:$ER$11,AA$7,'IS(M)'!$M33:$ER33)</f>
        <v>72662.313554684864</v>
      </c>
      <c r="AB27" s="171">
        <f>SUMIF('IS(M)'!$M$11:$ER$11,AB$7,'IS(M)'!$M33:$ER33)</f>
        <v>74115.559825778546</v>
      </c>
      <c r="AC27" s="171">
        <f>SUMIF('IS(M)'!$M$11:$ER$11,AC$7,'IS(M)'!$M33:$ER33)</f>
        <v>74115.559825778546</v>
      </c>
      <c r="AD27" s="171">
        <f>SUMIF('IS(M)'!$M$11:$ER$11,AD$7,'IS(M)'!$M33:$ER33)</f>
        <v>75597.87102229413</v>
      </c>
      <c r="AE27" s="171">
        <f>SUMIF('IS(M)'!$M$11:$ER$11,AE$7,'IS(M)'!$M33:$ER33)</f>
        <v>75597.87102229413</v>
      </c>
      <c r="AF27" s="171">
        <f>SUMIF('IS(M)'!$M$11:$ER$11,AF$7,'IS(M)'!$M33:$ER33)</f>
        <v>77109.828442740007</v>
      </c>
      <c r="AG27" s="171">
        <f>SUMIF('IS(M)'!$M$11:$ER$11,AG$7,'IS(M)'!$M33:$ER33)</f>
        <v>77109.828442740007</v>
      </c>
      <c r="AH27" s="171">
        <f>SUMIF('IS(M)'!$M$11:$ER$11,AH$7,'IS(M)'!$M33:$ER33)</f>
        <v>0</v>
      </c>
      <c r="AI27" s="171">
        <f>SUMIF('IS(M)'!$M$11:$ER$11,AI$7,'IS(M)'!$M33:$ER33)</f>
        <v>0</v>
      </c>
      <c r="AJ27" s="171">
        <f>SUMIF('IS(M)'!$M$11:$ER$11,AJ$7,'IS(M)'!$M33:$ER33)</f>
        <v>0</v>
      </c>
      <c r="AK27" s="171">
        <f>SUMIF('IS(M)'!$M$11:$ER$11,AK$7,'IS(M)'!$M33:$ER33)</f>
        <v>0</v>
      </c>
      <c r="AL27" s="171">
        <f>SUMIF('IS(M)'!$M$11:$ER$11,AL$7,'IS(M)'!$M33:$ER33)</f>
        <v>0</v>
      </c>
      <c r="AM27" s="171">
        <f>SUMIF('IS(M)'!$M$11:$ER$11,AM$7,'IS(M)'!$M33:$ER33)</f>
        <v>0</v>
      </c>
      <c r="AN27" s="171">
        <f>SUMIF('IS(M)'!$M$11:$ER$11,AN$7,'IS(M)'!$M33:$ER33)</f>
        <v>0</v>
      </c>
      <c r="AO27" s="171">
        <f>SUMIF('IS(M)'!$M$11:$ER$11,AO$7,'IS(M)'!$M33:$ER33)</f>
        <v>0</v>
      </c>
      <c r="AP27" s="171">
        <f>SUMIF('IS(M)'!$M$11:$ER$11,AP$7,'IS(M)'!$M33:$ER33)</f>
        <v>0</v>
      </c>
      <c r="AQ27" s="171">
        <f>SUMIF('IS(M)'!$M$11:$ER$11,AQ$7,'IS(M)'!$M33:$ER33)</f>
        <v>0</v>
      </c>
      <c r="AR27" s="171">
        <f>SUMIF('IS(M)'!$M$11:$ER$11,AR$7,'IS(M)'!$M33:$ER33)</f>
        <v>0</v>
      </c>
      <c r="AS27" s="171">
        <f>SUMIF('IS(M)'!$M$11:$ER$11,AS$7,'IS(M)'!$M33:$ER33)</f>
        <v>0</v>
      </c>
      <c r="AT27" s="171">
        <f>SUMIF('IS(M)'!$M$11:$ER$11,AT$7,'IS(M)'!$M33:$ER33)</f>
        <v>0</v>
      </c>
      <c r="AU27" s="171">
        <f>SUMIF('IS(M)'!$M$11:$ER$11,AU$7,'IS(M)'!$M33:$ER33)</f>
        <v>0</v>
      </c>
      <c r="AV27" s="171">
        <f>SUMIF('IS(M)'!$M$11:$ER$11,AV$7,'IS(M)'!$M33:$ER33)</f>
        <v>0</v>
      </c>
      <c r="AW27" s="171">
        <f>SUMIF('IS(M)'!$M$11:$ER$11,AW$7,'IS(M)'!$M33:$ER33)</f>
        <v>0</v>
      </c>
      <c r="AX27" s="171">
        <f>SUMIF('IS(M)'!$M$11:$ER$11,AX$7,'IS(M)'!$M33:$ER33)</f>
        <v>0</v>
      </c>
      <c r="AY27" s="171">
        <f>SUMIF('IS(M)'!$M$11:$ER$11,AY$7,'IS(M)'!$M33:$ER33)</f>
        <v>0</v>
      </c>
      <c r="AZ27" s="171">
        <f>SUMIF('IS(M)'!$M$11:$ER$11,AZ$7,'IS(M)'!$M33:$ER33)</f>
        <v>0</v>
      </c>
      <c r="BA27" s="171">
        <f>SUMIF('IS(M)'!$M$11:$ER$11,BA$7,'IS(M)'!$M33:$ER33)</f>
        <v>0</v>
      </c>
      <c r="BB27" s="171">
        <f>SUMIF('IS(M)'!$M$11:$ER$11,BB$7,'IS(M)'!$M33:$ER33)</f>
        <v>0</v>
      </c>
      <c r="BC27" s="171">
        <f>SUMIF('IS(M)'!$M$11:$ER$11,BC$7,'IS(M)'!$M33:$ER33)</f>
        <v>0</v>
      </c>
      <c r="BD27" s="171">
        <f>SUMIF('IS(M)'!$M$11:$ER$11,BD$7,'IS(M)'!$M33:$ER33)</f>
        <v>0</v>
      </c>
      <c r="BE27" s="171">
        <f>SUMIF('IS(M)'!$M$11:$ER$11,BE$7,'IS(M)'!$M33:$ER33)</f>
        <v>0</v>
      </c>
      <c r="BF27" s="171">
        <f>SUMIF('IS(M)'!$M$11:$ER$11,BF$7,'IS(M)'!$M33:$ER33)</f>
        <v>0</v>
      </c>
      <c r="BG27" s="171">
        <f>SUMIF('IS(M)'!$M$11:$ER$11,BG$7,'IS(M)'!$M33:$ER33)</f>
        <v>0</v>
      </c>
      <c r="BH27" s="171">
        <f>SUMIF('IS(M)'!$M$11:$ER$11,BH$7,'IS(M)'!$M33:$ER33)</f>
        <v>0</v>
      </c>
      <c r="BI27" s="171">
        <f>SUMIF('IS(M)'!$M$11:$ER$11,BI$7,'IS(M)'!$M33:$ER33)</f>
        <v>0</v>
      </c>
      <c r="BJ27" s="171">
        <f>SUMIF('IS(M)'!$M$11:$ER$11,BJ$7,'IS(M)'!$M33:$ER33)</f>
        <v>0</v>
      </c>
      <c r="BK27" s="171">
        <f>SUMIF('IS(M)'!$M$11:$ER$11,BK$7,'IS(M)'!$M33:$ER33)</f>
        <v>0</v>
      </c>
      <c r="BL27" s="171">
        <f>SUMIF('IS(M)'!$M$11:$ER$11,BL$7,'IS(M)'!$M33:$ER33)</f>
        <v>0</v>
      </c>
      <c r="BM27" s="171">
        <f>SUMIF('IS(M)'!$M$11:$ER$11,BM$7,'IS(M)'!$M33:$ER33)</f>
        <v>0</v>
      </c>
      <c r="BN27" s="171">
        <f>SUMIF('IS(M)'!$M$11:$ER$11,BN$7,'IS(M)'!$M33:$ER33)</f>
        <v>0</v>
      </c>
      <c r="BO27" s="171">
        <f>SUMIF('IS(M)'!$M$11:$ER$11,BO$7,'IS(M)'!$M33:$ER33)</f>
        <v>0</v>
      </c>
      <c r="BP27" s="171">
        <f>SUMIF('IS(M)'!$M$11:$ER$11,BP$7,'IS(M)'!$M33:$ER33)</f>
        <v>0</v>
      </c>
      <c r="BQ27" s="171">
        <f>SUMIF('IS(M)'!$M$11:$ER$11,BQ$7,'IS(M)'!$M33:$ER33)</f>
        <v>0</v>
      </c>
      <c r="BR27" s="171">
        <f>SUMIF('IS(M)'!$M$11:$ER$11,BR$7,'IS(M)'!$M33:$ER33)</f>
        <v>0</v>
      </c>
      <c r="BS27" s="171">
        <f>SUMIF('IS(M)'!$M$11:$ER$11,BS$7,'IS(M)'!$M33:$ER33)</f>
        <v>0</v>
      </c>
      <c r="BT27" s="171">
        <f>SUMIF('IS(M)'!$M$11:$ER$11,BT$7,'IS(M)'!$M33:$ER33)</f>
        <v>0</v>
      </c>
      <c r="BU27" s="171">
        <f>SUMIF('IS(M)'!$M$11:$ER$11,BU$7,'IS(M)'!$M33:$ER33)</f>
        <v>0</v>
      </c>
      <c r="BV27" s="171">
        <f>SUMIF('IS(M)'!$M$11:$ER$11,BV$7,'IS(M)'!$M33:$ER33)</f>
        <v>0</v>
      </c>
      <c r="BW27" s="171">
        <f>SUMIF('IS(M)'!$M$11:$ER$11,BW$7,'IS(M)'!$M33:$ER33)</f>
        <v>0</v>
      </c>
      <c r="BX27" s="171">
        <f>SUMIF('IS(M)'!$M$11:$ER$11,BX$7,'IS(M)'!$M33:$ER33)</f>
        <v>0</v>
      </c>
      <c r="BY27" s="171">
        <f>SUMIF('IS(M)'!$M$11:$ER$11,BY$7,'IS(M)'!$M33:$ER33)</f>
        <v>0</v>
      </c>
      <c r="BZ27" s="171">
        <f>SUMIF('IS(M)'!$M$11:$ER$11,BZ$7,'IS(M)'!$M33:$ER33)</f>
        <v>0</v>
      </c>
      <c r="CA27" s="171">
        <f>SUMIF('IS(M)'!$M$11:$ER$11,CA$7,'IS(M)'!$M33:$ER33)</f>
        <v>0</v>
      </c>
      <c r="CB27" s="171">
        <f>SUMIF('IS(M)'!$M$11:$ER$11,CB$7,'IS(M)'!$M33:$ER33)</f>
        <v>0</v>
      </c>
      <c r="CC27" s="171">
        <f>SUMIF('IS(M)'!$M$11:$ER$11,CC$7,'IS(M)'!$M33:$ER33)</f>
        <v>0</v>
      </c>
      <c r="CD27" s="171">
        <f>SUMIF('IS(M)'!$M$11:$ER$11,CD$7,'IS(M)'!$M33:$ER33)</f>
        <v>0</v>
      </c>
      <c r="CE27" s="171">
        <f>SUMIF('IS(M)'!$M$11:$ER$11,CE$7,'IS(M)'!$M33:$ER33)</f>
        <v>0</v>
      </c>
      <c r="CF27" s="171">
        <f>SUMIF('IS(M)'!$M$11:$ER$11,CF$7,'IS(M)'!$M33:$ER33)</f>
        <v>0</v>
      </c>
      <c r="CG27" s="171">
        <f>SUMIF('IS(M)'!$M$11:$ER$11,CG$7,'IS(M)'!$M33:$ER33)</f>
        <v>0</v>
      </c>
      <c r="CH27" s="171">
        <f>SUMIF('IS(M)'!$M$11:$ER$11,CH$7,'IS(M)'!$M33:$ER33)</f>
        <v>0</v>
      </c>
      <c r="CI27" s="171">
        <f>SUMIF('IS(M)'!$M$11:$ER$11,CI$7,'IS(M)'!$M33:$ER33)</f>
        <v>0</v>
      </c>
      <c r="CJ27" s="171">
        <f>SUMIF('IS(M)'!$M$11:$ER$11,CJ$7,'IS(M)'!$M33:$ER33)</f>
        <v>0</v>
      </c>
      <c r="CK27" s="171">
        <f>SUMIF('IS(M)'!$M$11:$ER$11,CK$7,'IS(M)'!$M33:$ER33)</f>
        <v>0</v>
      </c>
      <c r="CL27" s="171">
        <f>SUMIF('IS(M)'!$M$11:$ER$11,CL$7,'IS(M)'!$M33:$ER33)</f>
        <v>0</v>
      </c>
      <c r="CM27" s="171">
        <f>SUMIF('IS(M)'!$M$11:$ER$11,CM$7,'IS(M)'!$M33:$ER33)</f>
        <v>0</v>
      </c>
      <c r="CN27" s="171">
        <f>SUMIF('IS(M)'!$M$11:$ER$11,CN$7,'IS(M)'!$M33:$ER33)</f>
        <v>0</v>
      </c>
      <c r="CO27" s="171">
        <f>SUMIF('IS(M)'!$M$11:$ER$11,CO$7,'IS(M)'!$M33:$ER33)</f>
        <v>0</v>
      </c>
      <c r="CP27" s="171">
        <f>SUMIF('IS(M)'!$M$11:$ER$11,CP$7,'IS(M)'!$M33:$ER33)</f>
        <v>0</v>
      </c>
      <c r="CQ27" s="171">
        <f>SUMIF('IS(M)'!$M$11:$ER$11,CQ$7,'IS(M)'!$M33:$ER33)</f>
        <v>0</v>
      </c>
      <c r="CR27" s="171">
        <f>SUMIF('IS(M)'!$M$11:$ER$11,CR$7,'IS(M)'!$M33:$ER33)</f>
        <v>0</v>
      </c>
      <c r="CS27" s="171">
        <f>SUMIF('IS(M)'!$M$11:$ER$11,CS$7,'IS(M)'!$M33:$ER33)</f>
        <v>0</v>
      </c>
      <c r="CT27" s="171">
        <f>SUMIF('IS(M)'!$M$11:$ER$11,CT$7,'IS(M)'!$M33:$ER33)</f>
        <v>0</v>
      </c>
      <c r="CU27" s="171">
        <f>SUMIF('IS(M)'!$M$11:$ER$11,CU$7,'IS(M)'!$M33:$ER33)</f>
        <v>0</v>
      </c>
      <c r="CV27" s="171">
        <f>SUMIF('IS(M)'!$M$11:$ER$11,CV$7,'IS(M)'!$M33:$ER33)</f>
        <v>0</v>
      </c>
      <c r="CW27" s="171">
        <f>SUMIF('IS(M)'!$M$11:$ER$11,CW$7,'IS(M)'!$M33:$ER33)</f>
        <v>0</v>
      </c>
      <c r="CX27" s="171">
        <f>SUMIF('IS(M)'!$M$11:$ER$11,CX$7,'IS(M)'!$M33:$ER33)</f>
        <v>0</v>
      </c>
      <c r="CY27" s="171">
        <f>SUMIF('IS(M)'!$M$11:$ER$11,CY$7,'IS(M)'!$M33:$ER33)</f>
        <v>0</v>
      </c>
      <c r="CZ27" s="171">
        <f>SUMIF('IS(M)'!$M$11:$ER$11,CZ$7,'IS(M)'!$M33:$ER33)</f>
        <v>0</v>
      </c>
      <c r="DA27" s="171">
        <f>SUMIF('IS(M)'!$M$11:$ER$11,DA$7,'IS(M)'!$M33:$ER33)</f>
        <v>0</v>
      </c>
      <c r="DB27" s="171">
        <f>SUMIF('IS(M)'!$M$11:$ER$11,DB$7,'IS(M)'!$M33:$ER33)</f>
        <v>0</v>
      </c>
      <c r="DC27" s="171">
        <f>SUMIF('IS(M)'!$M$11:$ER$11,DC$7,'IS(M)'!$M33:$ER33)</f>
        <v>0</v>
      </c>
      <c r="DD27" s="171">
        <f>SUMIF('IS(M)'!$M$11:$ER$11,DD$7,'IS(M)'!$M33:$ER33)</f>
        <v>0</v>
      </c>
      <c r="DE27" s="171">
        <f>SUMIF('IS(M)'!$M$11:$ER$11,DE$7,'IS(M)'!$M33:$ER33)</f>
        <v>0</v>
      </c>
      <c r="DF27" s="171">
        <f>SUMIF('IS(M)'!$M$11:$ER$11,DF$7,'IS(M)'!$M33:$ER33)</f>
        <v>0</v>
      </c>
      <c r="DG27" s="171">
        <f>SUMIF('IS(M)'!$M$11:$ER$11,DG$7,'IS(M)'!$M33:$ER33)</f>
        <v>0</v>
      </c>
      <c r="DH27" s="171">
        <f>SUMIF('IS(M)'!$M$11:$ER$11,DH$7,'IS(M)'!$M33:$ER33)</f>
        <v>0</v>
      </c>
      <c r="DI27" s="171">
        <f>SUMIF('IS(M)'!$M$11:$ER$11,DI$7,'IS(M)'!$M33:$ER33)</f>
        <v>0</v>
      </c>
      <c r="DJ27" s="171">
        <f>SUMIF('IS(M)'!$M$11:$ER$11,DJ$7,'IS(M)'!$M33:$ER33)</f>
        <v>0</v>
      </c>
      <c r="DK27" s="171">
        <f>SUMIF('IS(M)'!$M$11:$ER$11,DK$7,'IS(M)'!$M33:$ER33)</f>
        <v>0</v>
      </c>
      <c r="DL27" s="171">
        <f>SUMIF('IS(M)'!$M$11:$ER$11,DL$7,'IS(M)'!$M33:$ER33)</f>
        <v>0</v>
      </c>
      <c r="DM27" s="171">
        <f>SUMIF('IS(M)'!$M$11:$ER$11,DM$7,'IS(M)'!$M33:$ER33)</f>
        <v>0</v>
      </c>
      <c r="DN27" s="171">
        <f>SUMIF('IS(M)'!$M$11:$ER$11,DN$7,'IS(M)'!$M33:$ER33)</f>
        <v>0</v>
      </c>
      <c r="DO27" s="171">
        <f>SUMIF('IS(M)'!$M$11:$ER$11,DO$7,'IS(M)'!$M33:$ER33)</f>
        <v>0</v>
      </c>
      <c r="DP27" s="171">
        <f>SUMIF('IS(M)'!$M$11:$ER$11,DP$7,'IS(M)'!$M33:$ER33)</f>
        <v>0</v>
      </c>
      <c r="DQ27" s="171">
        <f>SUMIF('IS(M)'!$M$11:$ER$11,DQ$7,'IS(M)'!$M33:$ER33)</f>
        <v>0</v>
      </c>
      <c r="DR27" s="171">
        <f>SUMIF('IS(M)'!$M$11:$ER$11,DR$7,'IS(M)'!$M33:$ER33)</f>
        <v>0</v>
      </c>
      <c r="DS27" s="171">
        <f>SUMIF('IS(M)'!$M$11:$ER$11,DS$7,'IS(M)'!$M33:$ER33)</f>
        <v>0</v>
      </c>
      <c r="DT27" s="171">
        <f>SUMIF('IS(M)'!$M$11:$ER$11,DT$7,'IS(M)'!$M33:$ER33)</f>
        <v>0</v>
      </c>
      <c r="DU27" s="171">
        <f>SUMIF('IS(M)'!$M$11:$ER$11,DU$7,'IS(M)'!$M33:$ER33)</f>
        <v>0</v>
      </c>
      <c r="DV27" s="171">
        <f>SUMIF('IS(M)'!$M$11:$ER$11,DV$7,'IS(M)'!$M33:$ER33)</f>
        <v>0</v>
      </c>
      <c r="DW27" s="171">
        <f>SUMIF('IS(M)'!$M$11:$ER$11,DW$7,'IS(M)'!$M33:$ER33)</f>
        <v>0</v>
      </c>
    </row>
    <row r="28" spans="2:127" ht="11.25" customHeight="1">
      <c r="B28" s="218"/>
      <c r="C28" s="163"/>
      <c r="D28" s="169" t="s">
        <v>92</v>
      </c>
      <c r="I28" s="146"/>
      <c r="J28" s="13"/>
      <c r="K28" s="171">
        <f t="shared" si="12"/>
        <v>3686229.9268934703</v>
      </c>
      <c r="L28" s="98"/>
      <c r="M28" s="171">
        <f>SUMIF('IS(M)'!$M$11:$ER$11,M$7,'IS(M)'!$M34:$ER34)</f>
        <v>0</v>
      </c>
      <c r="N28" s="171">
        <f>SUMIF('IS(M)'!$M$11:$ER$11,N$7,'IS(M)'!$M34:$ER34)</f>
        <v>197097.11000000002</v>
      </c>
      <c r="O28" s="171">
        <f>SUMIF('IS(M)'!$M$11:$ER$11,O$7,'IS(M)'!$M34:$ER34)</f>
        <v>197097.11000000002</v>
      </c>
      <c r="P28" s="171">
        <f>SUMIF('IS(M)'!$M$11:$ER$11,P$7,'IS(M)'!$M34:$ER34)</f>
        <v>194140.65334999998</v>
      </c>
      <c r="Q28" s="171">
        <f>SUMIF('IS(M)'!$M$11:$ER$11,Q$7,'IS(M)'!$M34:$ER34)</f>
        <v>194140.65334999998</v>
      </c>
      <c r="R28" s="171">
        <f>SUMIF('IS(M)'!$M$11:$ER$11,R$7,'IS(M)'!$M34:$ER34)</f>
        <v>191228.54354975</v>
      </c>
      <c r="S28" s="171">
        <f>SUMIF('IS(M)'!$M$11:$ER$11,S$7,'IS(M)'!$M34:$ER34)</f>
        <v>191228.54354975</v>
      </c>
      <c r="T28" s="171">
        <f>SUMIF('IS(M)'!$M$11:$ER$11,T$7,'IS(M)'!$M34:$ER34)</f>
        <v>188360.11539650374</v>
      </c>
      <c r="U28" s="171">
        <f>SUMIF('IS(M)'!$M$11:$ER$11,U$7,'IS(M)'!$M34:$ER34)</f>
        <v>188360.11539650374</v>
      </c>
      <c r="V28" s="171">
        <f>SUMIF('IS(M)'!$M$11:$ER$11,V$7,'IS(M)'!$M34:$ER34)</f>
        <v>185534.71366555619</v>
      </c>
      <c r="W28" s="171">
        <f>SUMIF('IS(M)'!$M$11:$ER$11,W$7,'IS(M)'!$M34:$ER34)</f>
        <v>185534.71366555619</v>
      </c>
      <c r="X28" s="171">
        <f>SUMIF('IS(M)'!$M$11:$ER$11,X$7,'IS(M)'!$M34:$ER34)</f>
        <v>182751.69296057287</v>
      </c>
      <c r="Y28" s="171">
        <f>SUMIF('IS(M)'!$M$11:$ER$11,Y$7,'IS(M)'!$M34:$ER34)</f>
        <v>182751.69296057287</v>
      </c>
      <c r="Z28" s="171">
        <f>SUMIF('IS(M)'!$M$11:$ER$11,Z$7,'IS(M)'!$M34:$ER34)</f>
        <v>180010.41756616425</v>
      </c>
      <c r="AA28" s="171">
        <f>SUMIF('IS(M)'!$M$11:$ER$11,AA$7,'IS(M)'!$M34:$ER34)</f>
        <v>180010.41756616425</v>
      </c>
      <c r="AB28" s="171">
        <f>SUMIF('IS(M)'!$M$11:$ER$11,AB$7,'IS(M)'!$M34:$ER34)</f>
        <v>177310.2613026718</v>
      </c>
      <c r="AC28" s="171">
        <f>SUMIF('IS(M)'!$M$11:$ER$11,AC$7,'IS(M)'!$M34:$ER34)</f>
        <v>177310.2613026718</v>
      </c>
      <c r="AD28" s="171">
        <f>SUMIF('IS(M)'!$M$11:$ER$11,AD$7,'IS(M)'!$M34:$ER34)</f>
        <v>174650.60738313172</v>
      </c>
      <c r="AE28" s="171">
        <f>SUMIF('IS(M)'!$M$11:$ER$11,AE$7,'IS(M)'!$M34:$ER34)</f>
        <v>174650.60738313172</v>
      </c>
      <c r="AF28" s="171">
        <f>SUMIF('IS(M)'!$M$11:$ER$11,AF$7,'IS(M)'!$M34:$ER34)</f>
        <v>172030.84827238476</v>
      </c>
      <c r="AG28" s="171">
        <f>SUMIF('IS(M)'!$M$11:$ER$11,AG$7,'IS(M)'!$M34:$ER34)</f>
        <v>172030.84827238476</v>
      </c>
      <c r="AH28" s="171">
        <f>SUMIF('IS(M)'!$M$11:$ER$11,AH$7,'IS(M)'!$M34:$ER34)</f>
        <v>0</v>
      </c>
      <c r="AI28" s="171">
        <f>SUMIF('IS(M)'!$M$11:$ER$11,AI$7,'IS(M)'!$M34:$ER34)</f>
        <v>0</v>
      </c>
      <c r="AJ28" s="171">
        <f>SUMIF('IS(M)'!$M$11:$ER$11,AJ$7,'IS(M)'!$M34:$ER34)</f>
        <v>0</v>
      </c>
      <c r="AK28" s="171">
        <f>SUMIF('IS(M)'!$M$11:$ER$11,AK$7,'IS(M)'!$M34:$ER34)</f>
        <v>0</v>
      </c>
      <c r="AL28" s="171">
        <f>SUMIF('IS(M)'!$M$11:$ER$11,AL$7,'IS(M)'!$M34:$ER34)</f>
        <v>0</v>
      </c>
      <c r="AM28" s="171">
        <f>SUMIF('IS(M)'!$M$11:$ER$11,AM$7,'IS(M)'!$M34:$ER34)</f>
        <v>0</v>
      </c>
      <c r="AN28" s="171">
        <f>SUMIF('IS(M)'!$M$11:$ER$11,AN$7,'IS(M)'!$M34:$ER34)</f>
        <v>0</v>
      </c>
      <c r="AO28" s="171">
        <f>SUMIF('IS(M)'!$M$11:$ER$11,AO$7,'IS(M)'!$M34:$ER34)</f>
        <v>0</v>
      </c>
      <c r="AP28" s="171">
        <f>SUMIF('IS(M)'!$M$11:$ER$11,AP$7,'IS(M)'!$M34:$ER34)</f>
        <v>0</v>
      </c>
      <c r="AQ28" s="171">
        <f>SUMIF('IS(M)'!$M$11:$ER$11,AQ$7,'IS(M)'!$M34:$ER34)</f>
        <v>0</v>
      </c>
      <c r="AR28" s="171">
        <f>SUMIF('IS(M)'!$M$11:$ER$11,AR$7,'IS(M)'!$M34:$ER34)</f>
        <v>0</v>
      </c>
      <c r="AS28" s="171">
        <f>SUMIF('IS(M)'!$M$11:$ER$11,AS$7,'IS(M)'!$M34:$ER34)</f>
        <v>0</v>
      </c>
      <c r="AT28" s="171">
        <f>SUMIF('IS(M)'!$M$11:$ER$11,AT$7,'IS(M)'!$M34:$ER34)</f>
        <v>0</v>
      </c>
      <c r="AU28" s="171">
        <f>SUMIF('IS(M)'!$M$11:$ER$11,AU$7,'IS(M)'!$M34:$ER34)</f>
        <v>0</v>
      </c>
      <c r="AV28" s="171">
        <f>SUMIF('IS(M)'!$M$11:$ER$11,AV$7,'IS(M)'!$M34:$ER34)</f>
        <v>0</v>
      </c>
      <c r="AW28" s="171">
        <f>SUMIF('IS(M)'!$M$11:$ER$11,AW$7,'IS(M)'!$M34:$ER34)</f>
        <v>0</v>
      </c>
      <c r="AX28" s="171">
        <f>SUMIF('IS(M)'!$M$11:$ER$11,AX$7,'IS(M)'!$M34:$ER34)</f>
        <v>0</v>
      </c>
      <c r="AY28" s="171">
        <f>SUMIF('IS(M)'!$M$11:$ER$11,AY$7,'IS(M)'!$M34:$ER34)</f>
        <v>0</v>
      </c>
      <c r="AZ28" s="171">
        <f>SUMIF('IS(M)'!$M$11:$ER$11,AZ$7,'IS(M)'!$M34:$ER34)</f>
        <v>0</v>
      </c>
      <c r="BA28" s="171">
        <f>SUMIF('IS(M)'!$M$11:$ER$11,BA$7,'IS(M)'!$M34:$ER34)</f>
        <v>0</v>
      </c>
      <c r="BB28" s="171">
        <f>SUMIF('IS(M)'!$M$11:$ER$11,BB$7,'IS(M)'!$M34:$ER34)</f>
        <v>0</v>
      </c>
      <c r="BC28" s="171">
        <f>SUMIF('IS(M)'!$M$11:$ER$11,BC$7,'IS(M)'!$M34:$ER34)</f>
        <v>0</v>
      </c>
      <c r="BD28" s="171">
        <f>SUMIF('IS(M)'!$M$11:$ER$11,BD$7,'IS(M)'!$M34:$ER34)</f>
        <v>0</v>
      </c>
      <c r="BE28" s="171">
        <f>SUMIF('IS(M)'!$M$11:$ER$11,BE$7,'IS(M)'!$M34:$ER34)</f>
        <v>0</v>
      </c>
      <c r="BF28" s="171">
        <f>SUMIF('IS(M)'!$M$11:$ER$11,BF$7,'IS(M)'!$M34:$ER34)</f>
        <v>0</v>
      </c>
      <c r="BG28" s="171">
        <f>SUMIF('IS(M)'!$M$11:$ER$11,BG$7,'IS(M)'!$M34:$ER34)</f>
        <v>0</v>
      </c>
      <c r="BH28" s="171">
        <f>SUMIF('IS(M)'!$M$11:$ER$11,BH$7,'IS(M)'!$M34:$ER34)</f>
        <v>0</v>
      </c>
      <c r="BI28" s="171">
        <f>SUMIF('IS(M)'!$M$11:$ER$11,BI$7,'IS(M)'!$M34:$ER34)</f>
        <v>0</v>
      </c>
      <c r="BJ28" s="171">
        <f>SUMIF('IS(M)'!$M$11:$ER$11,BJ$7,'IS(M)'!$M34:$ER34)</f>
        <v>0</v>
      </c>
      <c r="BK28" s="171">
        <f>SUMIF('IS(M)'!$M$11:$ER$11,BK$7,'IS(M)'!$M34:$ER34)</f>
        <v>0</v>
      </c>
      <c r="BL28" s="171">
        <f>SUMIF('IS(M)'!$M$11:$ER$11,BL$7,'IS(M)'!$M34:$ER34)</f>
        <v>0</v>
      </c>
      <c r="BM28" s="171">
        <f>SUMIF('IS(M)'!$M$11:$ER$11,BM$7,'IS(M)'!$M34:$ER34)</f>
        <v>0</v>
      </c>
      <c r="BN28" s="171">
        <f>SUMIF('IS(M)'!$M$11:$ER$11,BN$7,'IS(M)'!$M34:$ER34)</f>
        <v>0</v>
      </c>
      <c r="BO28" s="171">
        <f>SUMIF('IS(M)'!$M$11:$ER$11,BO$7,'IS(M)'!$M34:$ER34)</f>
        <v>0</v>
      </c>
      <c r="BP28" s="171">
        <f>SUMIF('IS(M)'!$M$11:$ER$11,BP$7,'IS(M)'!$M34:$ER34)</f>
        <v>0</v>
      </c>
      <c r="BQ28" s="171">
        <f>SUMIF('IS(M)'!$M$11:$ER$11,BQ$7,'IS(M)'!$M34:$ER34)</f>
        <v>0</v>
      </c>
      <c r="BR28" s="171">
        <f>SUMIF('IS(M)'!$M$11:$ER$11,BR$7,'IS(M)'!$M34:$ER34)</f>
        <v>0</v>
      </c>
      <c r="BS28" s="171">
        <f>SUMIF('IS(M)'!$M$11:$ER$11,BS$7,'IS(M)'!$M34:$ER34)</f>
        <v>0</v>
      </c>
      <c r="BT28" s="171">
        <f>SUMIF('IS(M)'!$M$11:$ER$11,BT$7,'IS(M)'!$M34:$ER34)</f>
        <v>0</v>
      </c>
      <c r="BU28" s="171">
        <f>SUMIF('IS(M)'!$M$11:$ER$11,BU$7,'IS(M)'!$M34:$ER34)</f>
        <v>0</v>
      </c>
      <c r="BV28" s="171">
        <f>SUMIF('IS(M)'!$M$11:$ER$11,BV$7,'IS(M)'!$M34:$ER34)</f>
        <v>0</v>
      </c>
      <c r="BW28" s="171">
        <f>SUMIF('IS(M)'!$M$11:$ER$11,BW$7,'IS(M)'!$M34:$ER34)</f>
        <v>0</v>
      </c>
      <c r="BX28" s="171">
        <f>SUMIF('IS(M)'!$M$11:$ER$11,BX$7,'IS(M)'!$M34:$ER34)</f>
        <v>0</v>
      </c>
      <c r="BY28" s="171">
        <f>SUMIF('IS(M)'!$M$11:$ER$11,BY$7,'IS(M)'!$M34:$ER34)</f>
        <v>0</v>
      </c>
      <c r="BZ28" s="171">
        <f>SUMIF('IS(M)'!$M$11:$ER$11,BZ$7,'IS(M)'!$M34:$ER34)</f>
        <v>0</v>
      </c>
      <c r="CA28" s="171">
        <f>SUMIF('IS(M)'!$M$11:$ER$11,CA$7,'IS(M)'!$M34:$ER34)</f>
        <v>0</v>
      </c>
      <c r="CB28" s="171">
        <f>SUMIF('IS(M)'!$M$11:$ER$11,CB$7,'IS(M)'!$M34:$ER34)</f>
        <v>0</v>
      </c>
      <c r="CC28" s="171">
        <f>SUMIF('IS(M)'!$M$11:$ER$11,CC$7,'IS(M)'!$M34:$ER34)</f>
        <v>0</v>
      </c>
      <c r="CD28" s="171">
        <f>SUMIF('IS(M)'!$M$11:$ER$11,CD$7,'IS(M)'!$M34:$ER34)</f>
        <v>0</v>
      </c>
      <c r="CE28" s="171">
        <f>SUMIF('IS(M)'!$M$11:$ER$11,CE$7,'IS(M)'!$M34:$ER34)</f>
        <v>0</v>
      </c>
      <c r="CF28" s="171">
        <f>SUMIF('IS(M)'!$M$11:$ER$11,CF$7,'IS(M)'!$M34:$ER34)</f>
        <v>0</v>
      </c>
      <c r="CG28" s="171">
        <f>SUMIF('IS(M)'!$M$11:$ER$11,CG$7,'IS(M)'!$M34:$ER34)</f>
        <v>0</v>
      </c>
      <c r="CH28" s="171">
        <f>SUMIF('IS(M)'!$M$11:$ER$11,CH$7,'IS(M)'!$M34:$ER34)</f>
        <v>0</v>
      </c>
      <c r="CI28" s="171">
        <f>SUMIF('IS(M)'!$M$11:$ER$11,CI$7,'IS(M)'!$M34:$ER34)</f>
        <v>0</v>
      </c>
      <c r="CJ28" s="171">
        <f>SUMIF('IS(M)'!$M$11:$ER$11,CJ$7,'IS(M)'!$M34:$ER34)</f>
        <v>0</v>
      </c>
      <c r="CK28" s="171">
        <f>SUMIF('IS(M)'!$M$11:$ER$11,CK$7,'IS(M)'!$M34:$ER34)</f>
        <v>0</v>
      </c>
      <c r="CL28" s="171">
        <f>SUMIF('IS(M)'!$M$11:$ER$11,CL$7,'IS(M)'!$M34:$ER34)</f>
        <v>0</v>
      </c>
      <c r="CM28" s="171">
        <f>SUMIF('IS(M)'!$M$11:$ER$11,CM$7,'IS(M)'!$M34:$ER34)</f>
        <v>0</v>
      </c>
      <c r="CN28" s="171">
        <f>SUMIF('IS(M)'!$M$11:$ER$11,CN$7,'IS(M)'!$M34:$ER34)</f>
        <v>0</v>
      </c>
      <c r="CO28" s="171">
        <f>SUMIF('IS(M)'!$M$11:$ER$11,CO$7,'IS(M)'!$M34:$ER34)</f>
        <v>0</v>
      </c>
      <c r="CP28" s="171">
        <f>SUMIF('IS(M)'!$M$11:$ER$11,CP$7,'IS(M)'!$M34:$ER34)</f>
        <v>0</v>
      </c>
      <c r="CQ28" s="171">
        <f>SUMIF('IS(M)'!$M$11:$ER$11,CQ$7,'IS(M)'!$M34:$ER34)</f>
        <v>0</v>
      </c>
      <c r="CR28" s="171">
        <f>SUMIF('IS(M)'!$M$11:$ER$11,CR$7,'IS(M)'!$M34:$ER34)</f>
        <v>0</v>
      </c>
      <c r="CS28" s="171">
        <f>SUMIF('IS(M)'!$M$11:$ER$11,CS$7,'IS(M)'!$M34:$ER34)</f>
        <v>0</v>
      </c>
      <c r="CT28" s="171">
        <f>SUMIF('IS(M)'!$M$11:$ER$11,CT$7,'IS(M)'!$M34:$ER34)</f>
        <v>0</v>
      </c>
      <c r="CU28" s="171">
        <f>SUMIF('IS(M)'!$M$11:$ER$11,CU$7,'IS(M)'!$M34:$ER34)</f>
        <v>0</v>
      </c>
      <c r="CV28" s="171">
        <f>SUMIF('IS(M)'!$M$11:$ER$11,CV$7,'IS(M)'!$M34:$ER34)</f>
        <v>0</v>
      </c>
      <c r="CW28" s="171">
        <f>SUMIF('IS(M)'!$M$11:$ER$11,CW$7,'IS(M)'!$M34:$ER34)</f>
        <v>0</v>
      </c>
      <c r="CX28" s="171">
        <f>SUMIF('IS(M)'!$M$11:$ER$11,CX$7,'IS(M)'!$M34:$ER34)</f>
        <v>0</v>
      </c>
      <c r="CY28" s="171">
        <f>SUMIF('IS(M)'!$M$11:$ER$11,CY$7,'IS(M)'!$M34:$ER34)</f>
        <v>0</v>
      </c>
      <c r="CZ28" s="171">
        <f>SUMIF('IS(M)'!$M$11:$ER$11,CZ$7,'IS(M)'!$M34:$ER34)</f>
        <v>0</v>
      </c>
      <c r="DA28" s="171">
        <f>SUMIF('IS(M)'!$M$11:$ER$11,DA$7,'IS(M)'!$M34:$ER34)</f>
        <v>0</v>
      </c>
      <c r="DB28" s="171">
        <f>SUMIF('IS(M)'!$M$11:$ER$11,DB$7,'IS(M)'!$M34:$ER34)</f>
        <v>0</v>
      </c>
      <c r="DC28" s="171">
        <f>SUMIF('IS(M)'!$M$11:$ER$11,DC$7,'IS(M)'!$M34:$ER34)</f>
        <v>0</v>
      </c>
      <c r="DD28" s="171">
        <f>SUMIF('IS(M)'!$M$11:$ER$11,DD$7,'IS(M)'!$M34:$ER34)</f>
        <v>0</v>
      </c>
      <c r="DE28" s="171">
        <f>SUMIF('IS(M)'!$M$11:$ER$11,DE$7,'IS(M)'!$M34:$ER34)</f>
        <v>0</v>
      </c>
      <c r="DF28" s="171">
        <f>SUMIF('IS(M)'!$M$11:$ER$11,DF$7,'IS(M)'!$M34:$ER34)</f>
        <v>0</v>
      </c>
      <c r="DG28" s="171">
        <f>SUMIF('IS(M)'!$M$11:$ER$11,DG$7,'IS(M)'!$M34:$ER34)</f>
        <v>0</v>
      </c>
      <c r="DH28" s="171">
        <f>SUMIF('IS(M)'!$M$11:$ER$11,DH$7,'IS(M)'!$M34:$ER34)</f>
        <v>0</v>
      </c>
      <c r="DI28" s="171">
        <f>SUMIF('IS(M)'!$M$11:$ER$11,DI$7,'IS(M)'!$M34:$ER34)</f>
        <v>0</v>
      </c>
      <c r="DJ28" s="171">
        <f>SUMIF('IS(M)'!$M$11:$ER$11,DJ$7,'IS(M)'!$M34:$ER34)</f>
        <v>0</v>
      </c>
      <c r="DK28" s="171">
        <f>SUMIF('IS(M)'!$M$11:$ER$11,DK$7,'IS(M)'!$M34:$ER34)</f>
        <v>0</v>
      </c>
      <c r="DL28" s="171">
        <f>SUMIF('IS(M)'!$M$11:$ER$11,DL$7,'IS(M)'!$M34:$ER34)</f>
        <v>0</v>
      </c>
      <c r="DM28" s="171">
        <f>SUMIF('IS(M)'!$M$11:$ER$11,DM$7,'IS(M)'!$M34:$ER34)</f>
        <v>0</v>
      </c>
      <c r="DN28" s="171">
        <f>SUMIF('IS(M)'!$M$11:$ER$11,DN$7,'IS(M)'!$M34:$ER34)</f>
        <v>0</v>
      </c>
      <c r="DO28" s="171">
        <f>SUMIF('IS(M)'!$M$11:$ER$11,DO$7,'IS(M)'!$M34:$ER34)</f>
        <v>0</v>
      </c>
      <c r="DP28" s="171">
        <f>SUMIF('IS(M)'!$M$11:$ER$11,DP$7,'IS(M)'!$M34:$ER34)</f>
        <v>0</v>
      </c>
      <c r="DQ28" s="171">
        <f>SUMIF('IS(M)'!$M$11:$ER$11,DQ$7,'IS(M)'!$M34:$ER34)</f>
        <v>0</v>
      </c>
      <c r="DR28" s="171">
        <f>SUMIF('IS(M)'!$M$11:$ER$11,DR$7,'IS(M)'!$M34:$ER34)</f>
        <v>0</v>
      </c>
      <c r="DS28" s="171">
        <f>SUMIF('IS(M)'!$M$11:$ER$11,DS$7,'IS(M)'!$M34:$ER34)</f>
        <v>0</v>
      </c>
      <c r="DT28" s="171">
        <f>SUMIF('IS(M)'!$M$11:$ER$11,DT$7,'IS(M)'!$M34:$ER34)</f>
        <v>0</v>
      </c>
      <c r="DU28" s="171">
        <f>SUMIF('IS(M)'!$M$11:$ER$11,DU$7,'IS(M)'!$M34:$ER34)</f>
        <v>0</v>
      </c>
      <c r="DV28" s="171">
        <f>SUMIF('IS(M)'!$M$11:$ER$11,DV$7,'IS(M)'!$M34:$ER34)</f>
        <v>0</v>
      </c>
      <c r="DW28" s="171">
        <f>SUMIF('IS(M)'!$M$11:$ER$11,DW$7,'IS(M)'!$M34:$ER34)</f>
        <v>0</v>
      </c>
    </row>
    <row r="29" spans="2:127" ht="11.25" customHeight="1">
      <c r="B29" s="218"/>
      <c r="C29" s="163"/>
      <c r="D29" s="169" t="s">
        <v>93</v>
      </c>
      <c r="I29" s="146"/>
      <c r="J29" s="13"/>
      <c r="K29" s="171">
        <f t="shared" si="12"/>
        <v>0</v>
      </c>
      <c r="L29" s="98"/>
      <c r="M29" s="171">
        <f>SUMIF('IS(M)'!$M$11:$ER$11,M$7,'IS(M)'!$M35:$ER35)</f>
        <v>0</v>
      </c>
      <c r="N29" s="171">
        <f>SUMIF('IS(M)'!$M$11:$ER$11,N$7,'IS(M)'!$M35:$ER35)</f>
        <v>0</v>
      </c>
      <c r="O29" s="171">
        <f>SUMIF('IS(M)'!$M$11:$ER$11,O$7,'IS(M)'!$M35:$ER35)</f>
        <v>0</v>
      </c>
      <c r="P29" s="171">
        <f>SUMIF('IS(M)'!$M$11:$ER$11,P$7,'IS(M)'!$M35:$ER35)</f>
        <v>0</v>
      </c>
      <c r="Q29" s="171">
        <f>SUMIF('IS(M)'!$M$11:$ER$11,Q$7,'IS(M)'!$M35:$ER35)</f>
        <v>0</v>
      </c>
      <c r="R29" s="171">
        <f>SUMIF('IS(M)'!$M$11:$ER$11,R$7,'IS(M)'!$M35:$ER35)</f>
        <v>0</v>
      </c>
      <c r="S29" s="171">
        <f>SUMIF('IS(M)'!$M$11:$ER$11,S$7,'IS(M)'!$M35:$ER35)</f>
        <v>0</v>
      </c>
      <c r="T29" s="171">
        <f>SUMIF('IS(M)'!$M$11:$ER$11,T$7,'IS(M)'!$M35:$ER35)</f>
        <v>0</v>
      </c>
      <c r="U29" s="171">
        <f>SUMIF('IS(M)'!$M$11:$ER$11,U$7,'IS(M)'!$M35:$ER35)</f>
        <v>0</v>
      </c>
      <c r="V29" s="171">
        <f>SUMIF('IS(M)'!$M$11:$ER$11,V$7,'IS(M)'!$M35:$ER35)</f>
        <v>0</v>
      </c>
      <c r="W29" s="171">
        <f>SUMIF('IS(M)'!$M$11:$ER$11,W$7,'IS(M)'!$M35:$ER35)</f>
        <v>0</v>
      </c>
      <c r="X29" s="171">
        <f>SUMIF('IS(M)'!$M$11:$ER$11,X$7,'IS(M)'!$M35:$ER35)</f>
        <v>0</v>
      </c>
      <c r="Y29" s="171">
        <f>SUMIF('IS(M)'!$M$11:$ER$11,Y$7,'IS(M)'!$M35:$ER35)</f>
        <v>0</v>
      </c>
      <c r="Z29" s="171">
        <f>SUMIF('IS(M)'!$M$11:$ER$11,Z$7,'IS(M)'!$M35:$ER35)</f>
        <v>0</v>
      </c>
      <c r="AA29" s="171">
        <f>SUMIF('IS(M)'!$M$11:$ER$11,AA$7,'IS(M)'!$M35:$ER35)</f>
        <v>0</v>
      </c>
      <c r="AB29" s="171">
        <f>SUMIF('IS(M)'!$M$11:$ER$11,AB$7,'IS(M)'!$M35:$ER35)</f>
        <v>0</v>
      </c>
      <c r="AC29" s="171">
        <f>SUMIF('IS(M)'!$M$11:$ER$11,AC$7,'IS(M)'!$M35:$ER35)</f>
        <v>0</v>
      </c>
      <c r="AD29" s="171">
        <f>SUMIF('IS(M)'!$M$11:$ER$11,AD$7,'IS(M)'!$M35:$ER35)</f>
        <v>0</v>
      </c>
      <c r="AE29" s="171">
        <f>SUMIF('IS(M)'!$M$11:$ER$11,AE$7,'IS(M)'!$M35:$ER35)</f>
        <v>0</v>
      </c>
      <c r="AF29" s="171">
        <f>SUMIF('IS(M)'!$M$11:$ER$11,AF$7,'IS(M)'!$M35:$ER35)</f>
        <v>0</v>
      </c>
      <c r="AG29" s="171">
        <f>SUMIF('IS(M)'!$M$11:$ER$11,AG$7,'IS(M)'!$M35:$ER35)</f>
        <v>0</v>
      </c>
      <c r="AH29" s="171">
        <f>SUMIF('IS(M)'!$M$11:$ER$11,AH$7,'IS(M)'!$M35:$ER35)</f>
        <v>0</v>
      </c>
      <c r="AI29" s="171">
        <f>SUMIF('IS(M)'!$M$11:$ER$11,AI$7,'IS(M)'!$M35:$ER35)</f>
        <v>0</v>
      </c>
      <c r="AJ29" s="171">
        <f>SUMIF('IS(M)'!$M$11:$ER$11,AJ$7,'IS(M)'!$M35:$ER35)</f>
        <v>0</v>
      </c>
      <c r="AK29" s="171">
        <f>SUMIF('IS(M)'!$M$11:$ER$11,AK$7,'IS(M)'!$M35:$ER35)</f>
        <v>0</v>
      </c>
      <c r="AL29" s="171">
        <f>SUMIF('IS(M)'!$M$11:$ER$11,AL$7,'IS(M)'!$M35:$ER35)</f>
        <v>0</v>
      </c>
      <c r="AM29" s="171">
        <f>SUMIF('IS(M)'!$M$11:$ER$11,AM$7,'IS(M)'!$M35:$ER35)</f>
        <v>0</v>
      </c>
      <c r="AN29" s="171">
        <f>SUMIF('IS(M)'!$M$11:$ER$11,AN$7,'IS(M)'!$M35:$ER35)</f>
        <v>0</v>
      </c>
      <c r="AO29" s="171">
        <f>SUMIF('IS(M)'!$M$11:$ER$11,AO$7,'IS(M)'!$M35:$ER35)</f>
        <v>0</v>
      </c>
      <c r="AP29" s="171">
        <f>SUMIF('IS(M)'!$M$11:$ER$11,AP$7,'IS(M)'!$M35:$ER35)</f>
        <v>0</v>
      </c>
      <c r="AQ29" s="171">
        <f>SUMIF('IS(M)'!$M$11:$ER$11,AQ$7,'IS(M)'!$M35:$ER35)</f>
        <v>0</v>
      </c>
      <c r="AR29" s="171">
        <f>SUMIF('IS(M)'!$M$11:$ER$11,AR$7,'IS(M)'!$M35:$ER35)</f>
        <v>0</v>
      </c>
      <c r="AS29" s="171">
        <f>SUMIF('IS(M)'!$M$11:$ER$11,AS$7,'IS(M)'!$M35:$ER35)</f>
        <v>0</v>
      </c>
      <c r="AT29" s="171">
        <f>SUMIF('IS(M)'!$M$11:$ER$11,AT$7,'IS(M)'!$M35:$ER35)</f>
        <v>0</v>
      </c>
      <c r="AU29" s="171">
        <f>SUMIF('IS(M)'!$M$11:$ER$11,AU$7,'IS(M)'!$M35:$ER35)</f>
        <v>0</v>
      </c>
      <c r="AV29" s="171">
        <f>SUMIF('IS(M)'!$M$11:$ER$11,AV$7,'IS(M)'!$M35:$ER35)</f>
        <v>0</v>
      </c>
      <c r="AW29" s="171">
        <f>SUMIF('IS(M)'!$M$11:$ER$11,AW$7,'IS(M)'!$M35:$ER35)</f>
        <v>0</v>
      </c>
      <c r="AX29" s="171">
        <f>SUMIF('IS(M)'!$M$11:$ER$11,AX$7,'IS(M)'!$M35:$ER35)</f>
        <v>0</v>
      </c>
      <c r="AY29" s="171">
        <f>SUMIF('IS(M)'!$M$11:$ER$11,AY$7,'IS(M)'!$M35:$ER35)</f>
        <v>0</v>
      </c>
      <c r="AZ29" s="171">
        <f>SUMIF('IS(M)'!$M$11:$ER$11,AZ$7,'IS(M)'!$M35:$ER35)</f>
        <v>0</v>
      </c>
      <c r="BA29" s="171">
        <f>SUMIF('IS(M)'!$M$11:$ER$11,BA$7,'IS(M)'!$M35:$ER35)</f>
        <v>0</v>
      </c>
      <c r="BB29" s="171">
        <f>SUMIF('IS(M)'!$M$11:$ER$11,BB$7,'IS(M)'!$M35:$ER35)</f>
        <v>0</v>
      </c>
      <c r="BC29" s="171">
        <f>SUMIF('IS(M)'!$M$11:$ER$11,BC$7,'IS(M)'!$M35:$ER35)</f>
        <v>0</v>
      </c>
      <c r="BD29" s="171">
        <f>SUMIF('IS(M)'!$M$11:$ER$11,BD$7,'IS(M)'!$M35:$ER35)</f>
        <v>0</v>
      </c>
      <c r="BE29" s="171">
        <f>SUMIF('IS(M)'!$M$11:$ER$11,BE$7,'IS(M)'!$M35:$ER35)</f>
        <v>0</v>
      </c>
      <c r="BF29" s="171">
        <f>SUMIF('IS(M)'!$M$11:$ER$11,BF$7,'IS(M)'!$M35:$ER35)</f>
        <v>0</v>
      </c>
      <c r="BG29" s="171">
        <f>SUMIF('IS(M)'!$M$11:$ER$11,BG$7,'IS(M)'!$M35:$ER35)</f>
        <v>0</v>
      </c>
      <c r="BH29" s="171">
        <f>SUMIF('IS(M)'!$M$11:$ER$11,BH$7,'IS(M)'!$M35:$ER35)</f>
        <v>0</v>
      </c>
      <c r="BI29" s="171">
        <f>SUMIF('IS(M)'!$M$11:$ER$11,BI$7,'IS(M)'!$M35:$ER35)</f>
        <v>0</v>
      </c>
      <c r="BJ29" s="171">
        <f>SUMIF('IS(M)'!$M$11:$ER$11,BJ$7,'IS(M)'!$M35:$ER35)</f>
        <v>0</v>
      </c>
      <c r="BK29" s="171">
        <f>SUMIF('IS(M)'!$M$11:$ER$11,BK$7,'IS(M)'!$M35:$ER35)</f>
        <v>0</v>
      </c>
      <c r="BL29" s="171">
        <f>SUMIF('IS(M)'!$M$11:$ER$11,BL$7,'IS(M)'!$M35:$ER35)</f>
        <v>0</v>
      </c>
      <c r="BM29" s="171">
        <f>SUMIF('IS(M)'!$M$11:$ER$11,BM$7,'IS(M)'!$M35:$ER35)</f>
        <v>0</v>
      </c>
      <c r="BN29" s="171">
        <f>SUMIF('IS(M)'!$M$11:$ER$11,BN$7,'IS(M)'!$M35:$ER35)</f>
        <v>0</v>
      </c>
      <c r="BO29" s="171">
        <f>SUMIF('IS(M)'!$M$11:$ER$11,BO$7,'IS(M)'!$M35:$ER35)</f>
        <v>0</v>
      </c>
      <c r="BP29" s="171">
        <f>SUMIF('IS(M)'!$M$11:$ER$11,BP$7,'IS(M)'!$M35:$ER35)</f>
        <v>0</v>
      </c>
      <c r="BQ29" s="171">
        <f>SUMIF('IS(M)'!$M$11:$ER$11,BQ$7,'IS(M)'!$M35:$ER35)</f>
        <v>0</v>
      </c>
      <c r="BR29" s="171">
        <f>SUMIF('IS(M)'!$M$11:$ER$11,BR$7,'IS(M)'!$M35:$ER35)</f>
        <v>0</v>
      </c>
      <c r="BS29" s="171">
        <f>SUMIF('IS(M)'!$M$11:$ER$11,BS$7,'IS(M)'!$M35:$ER35)</f>
        <v>0</v>
      </c>
      <c r="BT29" s="171">
        <f>SUMIF('IS(M)'!$M$11:$ER$11,BT$7,'IS(M)'!$M35:$ER35)</f>
        <v>0</v>
      </c>
      <c r="BU29" s="171">
        <f>SUMIF('IS(M)'!$M$11:$ER$11,BU$7,'IS(M)'!$M35:$ER35)</f>
        <v>0</v>
      </c>
      <c r="BV29" s="171">
        <f>SUMIF('IS(M)'!$M$11:$ER$11,BV$7,'IS(M)'!$M35:$ER35)</f>
        <v>0</v>
      </c>
      <c r="BW29" s="171">
        <f>SUMIF('IS(M)'!$M$11:$ER$11,BW$7,'IS(M)'!$M35:$ER35)</f>
        <v>0</v>
      </c>
      <c r="BX29" s="171">
        <f>SUMIF('IS(M)'!$M$11:$ER$11,BX$7,'IS(M)'!$M35:$ER35)</f>
        <v>0</v>
      </c>
      <c r="BY29" s="171">
        <f>SUMIF('IS(M)'!$M$11:$ER$11,BY$7,'IS(M)'!$M35:$ER35)</f>
        <v>0</v>
      </c>
      <c r="BZ29" s="171">
        <f>SUMIF('IS(M)'!$M$11:$ER$11,BZ$7,'IS(M)'!$M35:$ER35)</f>
        <v>0</v>
      </c>
      <c r="CA29" s="171">
        <f>SUMIF('IS(M)'!$M$11:$ER$11,CA$7,'IS(M)'!$M35:$ER35)</f>
        <v>0</v>
      </c>
      <c r="CB29" s="171">
        <f>SUMIF('IS(M)'!$M$11:$ER$11,CB$7,'IS(M)'!$M35:$ER35)</f>
        <v>0</v>
      </c>
      <c r="CC29" s="171">
        <f>SUMIF('IS(M)'!$M$11:$ER$11,CC$7,'IS(M)'!$M35:$ER35)</f>
        <v>0</v>
      </c>
      <c r="CD29" s="171">
        <f>SUMIF('IS(M)'!$M$11:$ER$11,CD$7,'IS(M)'!$M35:$ER35)</f>
        <v>0</v>
      </c>
      <c r="CE29" s="171">
        <f>SUMIF('IS(M)'!$M$11:$ER$11,CE$7,'IS(M)'!$M35:$ER35)</f>
        <v>0</v>
      </c>
      <c r="CF29" s="171">
        <f>SUMIF('IS(M)'!$M$11:$ER$11,CF$7,'IS(M)'!$M35:$ER35)</f>
        <v>0</v>
      </c>
      <c r="CG29" s="171">
        <f>SUMIF('IS(M)'!$M$11:$ER$11,CG$7,'IS(M)'!$M35:$ER35)</f>
        <v>0</v>
      </c>
      <c r="CH29" s="171">
        <f>SUMIF('IS(M)'!$M$11:$ER$11,CH$7,'IS(M)'!$M35:$ER35)</f>
        <v>0</v>
      </c>
      <c r="CI29" s="171">
        <f>SUMIF('IS(M)'!$M$11:$ER$11,CI$7,'IS(M)'!$M35:$ER35)</f>
        <v>0</v>
      </c>
      <c r="CJ29" s="171">
        <f>SUMIF('IS(M)'!$M$11:$ER$11,CJ$7,'IS(M)'!$M35:$ER35)</f>
        <v>0</v>
      </c>
      <c r="CK29" s="171">
        <f>SUMIF('IS(M)'!$M$11:$ER$11,CK$7,'IS(M)'!$M35:$ER35)</f>
        <v>0</v>
      </c>
      <c r="CL29" s="171">
        <f>SUMIF('IS(M)'!$M$11:$ER$11,CL$7,'IS(M)'!$M35:$ER35)</f>
        <v>0</v>
      </c>
      <c r="CM29" s="171">
        <f>SUMIF('IS(M)'!$M$11:$ER$11,CM$7,'IS(M)'!$M35:$ER35)</f>
        <v>0</v>
      </c>
      <c r="CN29" s="171">
        <f>SUMIF('IS(M)'!$M$11:$ER$11,CN$7,'IS(M)'!$M35:$ER35)</f>
        <v>0</v>
      </c>
      <c r="CO29" s="171">
        <f>SUMIF('IS(M)'!$M$11:$ER$11,CO$7,'IS(M)'!$M35:$ER35)</f>
        <v>0</v>
      </c>
      <c r="CP29" s="171">
        <f>SUMIF('IS(M)'!$M$11:$ER$11,CP$7,'IS(M)'!$M35:$ER35)</f>
        <v>0</v>
      </c>
      <c r="CQ29" s="171">
        <f>SUMIF('IS(M)'!$M$11:$ER$11,CQ$7,'IS(M)'!$M35:$ER35)</f>
        <v>0</v>
      </c>
      <c r="CR29" s="171">
        <f>SUMIF('IS(M)'!$M$11:$ER$11,CR$7,'IS(M)'!$M35:$ER35)</f>
        <v>0</v>
      </c>
      <c r="CS29" s="171">
        <f>SUMIF('IS(M)'!$M$11:$ER$11,CS$7,'IS(M)'!$M35:$ER35)</f>
        <v>0</v>
      </c>
      <c r="CT29" s="171">
        <f>SUMIF('IS(M)'!$M$11:$ER$11,CT$7,'IS(M)'!$M35:$ER35)</f>
        <v>0</v>
      </c>
      <c r="CU29" s="171">
        <f>SUMIF('IS(M)'!$M$11:$ER$11,CU$7,'IS(M)'!$M35:$ER35)</f>
        <v>0</v>
      </c>
      <c r="CV29" s="171">
        <f>SUMIF('IS(M)'!$M$11:$ER$11,CV$7,'IS(M)'!$M35:$ER35)</f>
        <v>0</v>
      </c>
      <c r="CW29" s="171">
        <f>SUMIF('IS(M)'!$M$11:$ER$11,CW$7,'IS(M)'!$M35:$ER35)</f>
        <v>0</v>
      </c>
      <c r="CX29" s="171">
        <f>SUMIF('IS(M)'!$M$11:$ER$11,CX$7,'IS(M)'!$M35:$ER35)</f>
        <v>0</v>
      </c>
      <c r="CY29" s="171">
        <f>SUMIF('IS(M)'!$M$11:$ER$11,CY$7,'IS(M)'!$M35:$ER35)</f>
        <v>0</v>
      </c>
      <c r="CZ29" s="171">
        <f>SUMIF('IS(M)'!$M$11:$ER$11,CZ$7,'IS(M)'!$M35:$ER35)</f>
        <v>0</v>
      </c>
      <c r="DA29" s="171">
        <f>SUMIF('IS(M)'!$M$11:$ER$11,DA$7,'IS(M)'!$M35:$ER35)</f>
        <v>0</v>
      </c>
      <c r="DB29" s="171">
        <f>SUMIF('IS(M)'!$M$11:$ER$11,DB$7,'IS(M)'!$M35:$ER35)</f>
        <v>0</v>
      </c>
      <c r="DC29" s="171">
        <f>SUMIF('IS(M)'!$M$11:$ER$11,DC$7,'IS(M)'!$M35:$ER35)</f>
        <v>0</v>
      </c>
      <c r="DD29" s="171">
        <f>SUMIF('IS(M)'!$M$11:$ER$11,DD$7,'IS(M)'!$M35:$ER35)</f>
        <v>0</v>
      </c>
      <c r="DE29" s="171">
        <f>SUMIF('IS(M)'!$M$11:$ER$11,DE$7,'IS(M)'!$M35:$ER35)</f>
        <v>0</v>
      </c>
      <c r="DF29" s="171">
        <f>SUMIF('IS(M)'!$M$11:$ER$11,DF$7,'IS(M)'!$M35:$ER35)</f>
        <v>0</v>
      </c>
      <c r="DG29" s="171">
        <f>SUMIF('IS(M)'!$M$11:$ER$11,DG$7,'IS(M)'!$M35:$ER35)</f>
        <v>0</v>
      </c>
      <c r="DH29" s="171">
        <f>SUMIF('IS(M)'!$M$11:$ER$11,DH$7,'IS(M)'!$M35:$ER35)</f>
        <v>0</v>
      </c>
      <c r="DI29" s="171">
        <f>SUMIF('IS(M)'!$M$11:$ER$11,DI$7,'IS(M)'!$M35:$ER35)</f>
        <v>0</v>
      </c>
      <c r="DJ29" s="171">
        <f>SUMIF('IS(M)'!$M$11:$ER$11,DJ$7,'IS(M)'!$M35:$ER35)</f>
        <v>0</v>
      </c>
      <c r="DK29" s="171">
        <f>SUMIF('IS(M)'!$M$11:$ER$11,DK$7,'IS(M)'!$M35:$ER35)</f>
        <v>0</v>
      </c>
      <c r="DL29" s="171">
        <f>SUMIF('IS(M)'!$M$11:$ER$11,DL$7,'IS(M)'!$M35:$ER35)</f>
        <v>0</v>
      </c>
      <c r="DM29" s="171">
        <f>SUMIF('IS(M)'!$M$11:$ER$11,DM$7,'IS(M)'!$M35:$ER35)</f>
        <v>0</v>
      </c>
      <c r="DN29" s="171">
        <f>SUMIF('IS(M)'!$M$11:$ER$11,DN$7,'IS(M)'!$M35:$ER35)</f>
        <v>0</v>
      </c>
      <c r="DO29" s="171">
        <f>SUMIF('IS(M)'!$M$11:$ER$11,DO$7,'IS(M)'!$M35:$ER35)</f>
        <v>0</v>
      </c>
      <c r="DP29" s="171">
        <f>SUMIF('IS(M)'!$M$11:$ER$11,DP$7,'IS(M)'!$M35:$ER35)</f>
        <v>0</v>
      </c>
      <c r="DQ29" s="171">
        <f>SUMIF('IS(M)'!$M$11:$ER$11,DQ$7,'IS(M)'!$M35:$ER35)</f>
        <v>0</v>
      </c>
      <c r="DR29" s="171">
        <f>SUMIF('IS(M)'!$M$11:$ER$11,DR$7,'IS(M)'!$M35:$ER35)</f>
        <v>0</v>
      </c>
      <c r="DS29" s="171">
        <f>SUMIF('IS(M)'!$M$11:$ER$11,DS$7,'IS(M)'!$M35:$ER35)</f>
        <v>0</v>
      </c>
      <c r="DT29" s="171">
        <f>SUMIF('IS(M)'!$M$11:$ER$11,DT$7,'IS(M)'!$M35:$ER35)</f>
        <v>0</v>
      </c>
      <c r="DU29" s="171">
        <f>SUMIF('IS(M)'!$M$11:$ER$11,DU$7,'IS(M)'!$M35:$ER35)</f>
        <v>0</v>
      </c>
      <c r="DV29" s="171">
        <f>SUMIF('IS(M)'!$M$11:$ER$11,DV$7,'IS(M)'!$M35:$ER35)</f>
        <v>0</v>
      </c>
      <c r="DW29" s="171">
        <f>SUMIF('IS(M)'!$M$11:$ER$11,DW$7,'IS(M)'!$M35:$ER35)</f>
        <v>0</v>
      </c>
    </row>
    <row r="30" spans="2:127" ht="11.25" customHeight="1">
      <c r="B30" s="218"/>
      <c r="C30" s="163"/>
      <c r="D30" s="169" t="s">
        <v>99</v>
      </c>
      <c r="I30" s="146"/>
      <c r="J30" s="13"/>
      <c r="K30" s="171">
        <f t="shared" si="12"/>
        <v>208948.32972200002</v>
      </c>
      <c r="L30" s="98"/>
      <c r="M30" s="171">
        <f>SUMIF('IS(M)'!$M$11:$ER$11,M$7,'IS(M)'!$M36:$ER36)</f>
        <v>0</v>
      </c>
      <c r="N30" s="171">
        <f>SUMIF('IS(M)'!$M$11:$ER$11,N$7,'IS(M)'!$M36:$ER36)</f>
        <v>10447.416486100001</v>
      </c>
      <c r="O30" s="171">
        <f>SUMIF('IS(M)'!$M$11:$ER$11,O$7,'IS(M)'!$M36:$ER36)</f>
        <v>10447.416486100001</v>
      </c>
      <c r="P30" s="171">
        <f>SUMIF('IS(M)'!$M$11:$ER$11,P$7,'IS(M)'!$M36:$ER36)</f>
        <v>10447.416486100001</v>
      </c>
      <c r="Q30" s="171">
        <f>SUMIF('IS(M)'!$M$11:$ER$11,Q$7,'IS(M)'!$M36:$ER36)</f>
        <v>10447.416486100001</v>
      </c>
      <c r="R30" s="171">
        <f>SUMIF('IS(M)'!$M$11:$ER$11,R$7,'IS(M)'!$M36:$ER36)</f>
        <v>10447.416486100001</v>
      </c>
      <c r="S30" s="171">
        <f>SUMIF('IS(M)'!$M$11:$ER$11,S$7,'IS(M)'!$M36:$ER36)</f>
        <v>10447.416486100001</v>
      </c>
      <c r="T30" s="171">
        <f>SUMIF('IS(M)'!$M$11:$ER$11,T$7,'IS(M)'!$M36:$ER36)</f>
        <v>10447.416486100001</v>
      </c>
      <c r="U30" s="171">
        <f>SUMIF('IS(M)'!$M$11:$ER$11,U$7,'IS(M)'!$M36:$ER36)</f>
        <v>10447.416486100001</v>
      </c>
      <c r="V30" s="171">
        <f>SUMIF('IS(M)'!$M$11:$ER$11,V$7,'IS(M)'!$M36:$ER36)</f>
        <v>10447.416486100001</v>
      </c>
      <c r="W30" s="171">
        <f>SUMIF('IS(M)'!$M$11:$ER$11,W$7,'IS(M)'!$M36:$ER36)</f>
        <v>10447.416486100001</v>
      </c>
      <c r="X30" s="171">
        <f>SUMIF('IS(M)'!$M$11:$ER$11,X$7,'IS(M)'!$M36:$ER36)</f>
        <v>10447.416486100001</v>
      </c>
      <c r="Y30" s="171">
        <f>SUMIF('IS(M)'!$M$11:$ER$11,Y$7,'IS(M)'!$M36:$ER36)</f>
        <v>10447.416486100001</v>
      </c>
      <c r="Z30" s="171">
        <f>SUMIF('IS(M)'!$M$11:$ER$11,Z$7,'IS(M)'!$M36:$ER36)</f>
        <v>10447.416486100001</v>
      </c>
      <c r="AA30" s="171">
        <f>SUMIF('IS(M)'!$M$11:$ER$11,AA$7,'IS(M)'!$M36:$ER36)</f>
        <v>10447.416486100001</v>
      </c>
      <c r="AB30" s="171">
        <f>SUMIF('IS(M)'!$M$11:$ER$11,AB$7,'IS(M)'!$M36:$ER36)</f>
        <v>10447.416486100001</v>
      </c>
      <c r="AC30" s="171">
        <f>SUMIF('IS(M)'!$M$11:$ER$11,AC$7,'IS(M)'!$M36:$ER36)</f>
        <v>10447.416486100001</v>
      </c>
      <c r="AD30" s="171">
        <f>SUMIF('IS(M)'!$M$11:$ER$11,AD$7,'IS(M)'!$M36:$ER36)</f>
        <v>10447.416486100001</v>
      </c>
      <c r="AE30" s="171">
        <f>SUMIF('IS(M)'!$M$11:$ER$11,AE$7,'IS(M)'!$M36:$ER36)</f>
        <v>10447.416486100001</v>
      </c>
      <c r="AF30" s="171">
        <f>SUMIF('IS(M)'!$M$11:$ER$11,AF$7,'IS(M)'!$M36:$ER36)</f>
        <v>10447.416486100001</v>
      </c>
      <c r="AG30" s="171">
        <f>SUMIF('IS(M)'!$M$11:$ER$11,AG$7,'IS(M)'!$M36:$ER36)</f>
        <v>10447.416486100001</v>
      </c>
      <c r="AH30" s="171">
        <f>SUMIF('IS(M)'!$M$11:$ER$11,AH$7,'IS(M)'!$M36:$ER36)</f>
        <v>0</v>
      </c>
      <c r="AI30" s="171">
        <f>SUMIF('IS(M)'!$M$11:$ER$11,AI$7,'IS(M)'!$M36:$ER36)</f>
        <v>0</v>
      </c>
      <c r="AJ30" s="171">
        <f>SUMIF('IS(M)'!$M$11:$ER$11,AJ$7,'IS(M)'!$M36:$ER36)</f>
        <v>0</v>
      </c>
      <c r="AK30" s="171">
        <f>SUMIF('IS(M)'!$M$11:$ER$11,AK$7,'IS(M)'!$M36:$ER36)</f>
        <v>0</v>
      </c>
      <c r="AL30" s="171">
        <f>SUMIF('IS(M)'!$M$11:$ER$11,AL$7,'IS(M)'!$M36:$ER36)</f>
        <v>0</v>
      </c>
      <c r="AM30" s="171">
        <f>SUMIF('IS(M)'!$M$11:$ER$11,AM$7,'IS(M)'!$M36:$ER36)</f>
        <v>0</v>
      </c>
      <c r="AN30" s="171">
        <f>SUMIF('IS(M)'!$M$11:$ER$11,AN$7,'IS(M)'!$M36:$ER36)</f>
        <v>0</v>
      </c>
      <c r="AO30" s="171">
        <f>SUMIF('IS(M)'!$M$11:$ER$11,AO$7,'IS(M)'!$M36:$ER36)</f>
        <v>0</v>
      </c>
      <c r="AP30" s="171">
        <f>SUMIF('IS(M)'!$M$11:$ER$11,AP$7,'IS(M)'!$M36:$ER36)</f>
        <v>0</v>
      </c>
      <c r="AQ30" s="171">
        <f>SUMIF('IS(M)'!$M$11:$ER$11,AQ$7,'IS(M)'!$M36:$ER36)</f>
        <v>0</v>
      </c>
      <c r="AR30" s="171">
        <f>SUMIF('IS(M)'!$M$11:$ER$11,AR$7,'IS(M)'!$M36:$ER36)</f>
        <v>0</v>
      </c>
      <c r="AS30" s="171">
        <f>SUMIF('IS(M)'!$M$11:$ER$11,AS$7,'IS(M)'!$M36:$ER36)</f>
        <v>0</v>
      </c>
      <c r="AT30" s="171">
        <f>SUMIF('IS(M)'!$M$11:$ER$11,AT$7,'IS(M)'!$M36:$ER36)</f>
        <v>0</v>
      </c>
      <c r="AU30" s="171">
        <f>SUMIF('IS(M)'!$M$11:$ER$11,AU$7,'IS(M)'!$M36:$ER36)</f>
        <v>0</v>
      </c>
      <c r="AV30" s="171">
        <f>SUMIF('IS(M)'!$M$11:$ER$11,AV$7,'IS(M)'!$M36:$ER36)</f>
        <v>0</v>
      </c>
      <c r="AW30" s="171">
        <f>SUMIF('IS(M)'!$M$11:$ER$11,AW$7,'IS(M)'!$M36:$ER36)</f>
        <v>0</v>
      </c>
      <c r="AX30" s="171">
        <f>SUMIF('IS(M)'!$M$11:$ER$11,AX$7,'IS(M)'!$M36:$ER36)</f>
        <v>0</v>
      </c>
      <c r="AY30" s="171">
        <f>SUMIF('IS(M)'!$M$11:$ER$11,AY$7,'IS(M)'!$M36:$ER36)</f>
        <v>0</v>
      </c>
      <c r="AZ30" s="171">
        <f>SUMIF('IS(M)'!$M$11:$ER$11,AZ$7,'IS(M)'!$M36:$ER36)</f>
        <v>0</v>
      </c>
      <c r="BA30" s="171">
        <f>SUMIF('IS(M)'!$M$11:$ER$11,BA$7,'IS(M)'!$M36:$ER36)</f>
        <v>0</v>
      </c>
      <c r="BB30" s="171">
        <f>SUMIF('IS(M)'!$M$11:$ER$11,BB$7,'IS(M)'!$M36:$ER36)</f>
        <v>0</v>
      </c>
      <c r="BC30" s="171">
        <f>SUMIF('IS(M)'!$M$11:$ER$11,BC$7,'IS(M)'!$M36:$ER36)</f>
        <v>0</v>
      </c>
      <c r="BD30" s="171">
        <f>SUMIF('IS(M)'!$M$11:$ER$11,BD$7,'IS(M)'!$M36:$ER36)</f>
        <v>0</v>
      </c>
      <c r="BE30" s="171">
        <f>SUMIF('IS(M)'!$M$11:$ER$11,BE$7,'IS(M)'!$M36:$ER36)</f>
        <v>0</v>
      </c>
      <c r="BF30" s="171">
        <f>SUMIF('IS(M)'!$M$11:$ER$11,BF$7,'IS(M)'!$M36:$ER36)</f>
        <v>0</v>
      </c>
      <c r="BG30" s="171">
        <f>SUMIF('IS(M)'!$M$11:$ER$11,BG$7,'IS(M)'!$M36:$ER36)</f>
        <v>0</v>
      </c>
      <c r="BH30" s="171">
        <f>SUMIF('IS(M)'!$M$11:$ER$11,BH$7,'IS(M)'!$M36:$ER36)</f>
        <v>0</v>
      </c>
      <c r="BI30" s="171">
        <f>SUMIF('IS(M)'!$M$11:$ER$11,BI$7,'IS(M)'!$M36:$ER36)</f>
        <v>0</v>
      </c>
      <c r="BJ30" s="171">
        <f>SUMIF('IS(M)'!$M$11:$ER$11,BJ$7,'IS(M)'!$M36:$ER36)</f>
        <v>0</v>
      </c>
      <c r="BK30" s="171">
        <f>SUMIF('IS(M)'!$M$11:$ER$11,BK$7,'IS(M)'!$M36:$ER36)</f>
        <v>0</v>
      </c>
      <c r="BL30" s="171">
        <f>SUMIF('IS(M)'!$M$11:$ER$11,BL$7,'IS(M)'!$M36:$ER36)</f>
        <v>0</v>
      </c>
      <c r="BM30" s="171">
        <f>SUMIF('IS(M)'!$M$11:$ER$11,BM$7,'IS(M)'!$M36:$ER36)</f>
        <v>0</v>
      </c>
      <c r="BN30" s="171">
        <f>SUMIF('IS(M)'!$M$11:$ER$11,BN$7,'IS(M)'!$M36:$ER36)</f>
        <v>0</v>
      </c>
      <c r="BO30" s="171">
        <f>SUMIF('IS(M)'!$M$11:$ER$11,BO$7,'IS(M)'!$M36:$ER36)</f>
        <v>0</v>
      </c>
      <c r="BP30" s="171">
        <f>SUMIF('IS(M)'!$M$11:$ER$11,BP$7,'IS(M)'!$M36:$ER36)</f>
        <v>0</v>
      </c>
      <c r="BQ30" s="171">
        <f>SUMIF('IS(M)'!$M$11:$ER$11,BQ$7,'IS(M)'!$M36:$ER36)</f>
        <v>0</v>
      </c>
      <c r="BR30" s="171">
        <f>SUMIF('IS(M)'!$M$11:$ER$11,BR$7,'IS(M)'!$M36:$ER36)</f>
        <v>0</v>
      </c>
      <c r="BS30" s="171">
        <f>SUMIF('IS(M)'!$M$11:$ER$11,BS$7,'IS(M)'!$M36:$ER36)</f>
        <v>0</v>
      </c>
      <c r="BT30" s="171">
        <f>SUMIF('IS(M)'!$M$11:$ER$11,BT$7,'IS(M)'!$M36:$ER36)</f>
        <v>0</v>
      </c>
      <c r="BU30" s="171">
        <f>SUMIF('IS(M)'!$M$11:$ER$11,BU$7,'IS(M)'!$M36:$ER36)</f>
        <v>0</v>
      </c>
      <c r="BV30" s="171">
        <f>SUMIF('IS(M)'!$M$11:$ER$11,BV$7,'IS(M)'!$M36:$ER36)</f>
        <v>0</v>
      </c>
      <c r="BW30" s="171">
        <f>SUMIF('IS(M)'!$M$11:$ER$11,BW$7,'IS(M)'!$M36:$ER36)</f>
        <v>0</v>
      </c>
      <c r="BX30" s="171">
        <f>SUMIF('IS(M)'!$M$11:$ER$11,BX$7,'IS(M)'!$M36:$ER36)</f>
        <v>0</v>
      </c>
      <c r="BY30" s="171">
        <f>SUMIF('IS(M)'!$M$11:$ER$11,BY$7,'IS(M)'!$M36:$ER36)</f>
        <v>0</v>
      </c>
      <c r="BZ30" s="171">
        <f>SUMIF('IS(M)'!$M$11:$ER$11,BZ$7,'IS(M)'!$M36:$ER36)</f>
        <v>0</v>
      </c>
      <c r="CA30" s="171">
        <f>SUMIF('IS(M)'!$M$11:$ER$11,CA$7,'IS(M)'!$M36:$ER36)</f>
        <v>0</v>
      </c>
      <c r="CB30" s="171">
        <f>SUMIF('IS(M)'!$M$11:$ER$11,CB$7,'IS(M)'!$M36:$ER36)</f>
        <v>0</v>
      </c>
      <c r="CC30" s="171">
        <f>SUMIF('IS(M)'!$M$11:$ER$11,CC$7,'IS(M)'!$M36:$ER36)</f>
        <v>0</v>
      </c>
      <c r="CD30" s="171">
        <f>SUMIF('IS(M)'!$M$11:$ER$11,CD$7,'IS(M)'!$M36:$ER36)</f>
        <v>0</v>
      </c>
      <c r="CE30" s="171">
        <f>SUMIF('IS(M)'!$M$11:$ER$11,CE$7,'IS(M)'!$M36:$ER36)</f>
        <v>0</v>
      </c>
      <c r="CF30" s="171">
        <f>SUMIF('IS(M)'!$M$11:$ER$11,CF$7,'IS(M)'!$M36:$ER36)</f>
        <v>0</v>
      </c>
      <c r="CG30" s="171">
        <f>SUMIF('IS(M)'!$M$11:$ER$11,CG$7,'IS(M)'!$M36:$ER36)</f>
        <v>0</v>
      </c>
      <c r="CH30" s="171">
        <f>SUMIF('IS(M)'!$M$11:$ER$11,CH$7,'IS(M)'!$M36:$ER36)</f>
        <v>0</v>
      </c>
      <c r="CI30" s="171">
        <f>SUMIF('IS(M)'!$M$11:$ER$11,CI$7,'IS(M)'!$M36:$ER36)</f>
        <v>0</v>
      </c>
      <c r="CJ30" s="171">
        <f>SUMIF('IS(M)'!$M$11:$ER$11,CJ$7,'IS(M)'!$M36:$ER36)</f>
        <v>0</v>
      </c>
      <c r="CK30" s="171">
        <f>SUMIF('IS(M)'!$M$11:$ER$11,CK$7,'IS(M)'!$M36:$ER36)</f>
        <v>0</v>
      </c>
      <c r="CL30" s="171">
        <f>SUMIF('IS(M)'!$M$11:$ER$11,CL$7,'IS(M)'!$M36:$ER36)</f>
        <v>0</v>
      </c>
      <c r="CM30" s="171">
        <f>SUMIF('IS(M)'!$M$11:$ER$11,CM$7,'IS(M)'!$M36:$ER36)</f>
        <v>0</v>
      </c>
      <c r="CN30" s="171">
        <f>SUMIF('IS(M)'!$M$11:$ER$11,CN$7,'IS(M)'!$M36:$ER36)</f>
        <v>0</v>
      </c>
      <c r="CO30" s="171">
        <f>SUMIF('IS(M)'!$M$11:$ER$11,CO$7,'IS(M)'!$M36:$ER36)</f>
        <v>0</v>
      </c>
      <c r="CP30" s="171">
        <f>SUMIF('IS(M)'!$M$11:$ER$11,CP$7,'IS(M)'!$M36:$ER36)</f>
        <v>0</v>
      </c>
      <c r="CQ30" s="171">
        <f>SUMIF('IS(M)'!$M$11:$ER$11,CQ$7,'IS(M)'!$M36:$ER36)</f>
        <v>0</v>
      </c>
      <c r="CR30" s="171">
        <f>SUMIF('IS(M)'!$M$11:$ER$11,CR$7,'IS(M)'!$M36:$ER36)</f>
        <v>0</v>
      </c>
      <c r="CS30" s="171">
        <f>SUMIF('IS(M)'!$M$11:$ER$11,CS$7,'IS(M)'!$M36:$ER36)</f>
        <v>0</v>
      </c>
      <c r="CT30" s="171">
        <f>SUMIF('IS(M)'!$M$11:$ER$11,CT$7,'IS(M)'!$M36:$ER36)</f>
        <v>0</v>
      </c>
      <c r="CU30" s="171">
        <f>SUMIF('IS(M)'!$M$11:$ER$11,CU$7,'IS(M)'!$M36:$ER36)</f>
        <v>0</v>
      </c>
      <c r="CV30" s="171">
        <f>SUMIF('IS(M)'!$M$11:$ER$11,CV$7,'IS(M)'!$M36:$ER36)</f>
        <v>0</v>
      </c>
      <c r="CW30" s="171">
        <f>SUMIF('IS(M)'!$M$11:$ER$11,CW$7,'IS(M)'!$M36:$ER36)</f>
        <v>0</v>
      </c>
      <c r="CX30" s="171">
        <f>SUMIF('IS(M)'!$M$11:$ER$11,CX$7,'IS(M)'!$M36:$ER36)</f>
        <v>0</v>
      </c>
      <c r="CY30" s="171">
        <f>SUMIF('IS(M)'!$M$11:$ER$11,CY$7,'IS(M)'!$M36:$ER36)</f>
        <v>0</v>
      </c>
      <c r="CZ30" s="171">
        <f>SUMIF('IS(M)'!$M$11:$ER$11,CZ$7,'IS(M)'!$M36:$ER36)</f>
        <v>0</v>
      </c>
      <c r="DA30" s="171">
        <f>SUMIF('IS(M)'!$M$11:$ER$11,DA$7,'IS(M)'!$M36:$ER36)</f>
        <v>0</v>
      </c>
      <c r="DB30" s="171">
        <f>SUMIF('IS(M)'!$M$11:$ER$11,DB$7,'IS(M)'!$M36:$ER36)</f>
        <v>0</v>
      </c>
      <c r="DC30" s="171">
        <f>SUMIF('IS(M)'!$M$11:$ER$11,DC$7,'IS(M)'!$M36:$ER36)</f>
        <v>0</v>
      </c>
      <c r="DD30" s="171">
        <f>SUMIF('IS(M)'!$M$11:$ER$11,DD$7,'IS(M)'!$M36:$ER36)</f>
        <v>0</v>
      </c>
      <c r="DE30" s="171">
        <f>SUMIF('IS(M)'!$M$11:$ER$11,DE$7,'IS(M)'!$M36:$ER36)</f>
        <v>0</v>
      </c>
      <c r="DF30" s="171">
        <f>SUMIF('IS(M)'!$M$11:$ER$11,DF$7,'IS(M)'!$M36:$ER36)</f>
        <v>0</v>
      </c>
      <c r="DG30" s="171">
        <f>SUMIF('IS(M)'!$M$11:$ER$11,DG$7,'IS(M)'!$M36:$ER36)</f>
        <v>0</v>
      </c>
      <c r="DH30" s="171">
        <f>SUMIF('IS(M)'!$M$11:$ER$11,DH$7,'IS(M)'!$M36:$ER36)</f>
        <v>0</v>
      </c>
      <c r="DI30" s="171">
        <f>SUMIF('IS(M)'!$M$11:$ER$11,DI$7,'IS(M)'!$M36:$ER36)</f>
        <v>0</v>
      </c>
      <c r="DJ30" s="171">
        <f>SUMIF('IS(M)'!$M$11:$ER$11,DJ$7,'IS(M)'!$M36:$ER36)</f>
        <v>0</v>
      </c>
      <c r="DK30" s="171">
        <f>SUMIF('IS(M)'!$M$11:$ER$11,DK$7,'IS(M)'!$M36:$ER36)</f>
        <v>0</v>
      </c>
      <c r="DL30" s="171">
        <f>SUMIF('IS(M)'!$M$11:$ER$11,DL$7,'IS(M)'!$M36:$ER36)</f>
        <v>0</v>
      </c>
      <c r="DM30" s="171">
        <f>SUMIF('IS(M)'!$M$11:$ER$11,DM$7,'IS(M)'!$M36:$ER36)</f>
        <v>0</v>
      </c>
      <c r="DN30" s="171">
        <f>SUMIF('IS(M)'!$M$11:$ER$11,DN$7,'IS(M)'!$M36:$ER36)</f>
        <v>0</v>
      </c>
      <c r="DO30" s="171">
        <f>SUMIF('IS(M)'!$M$11:$ER$11,DO$7,'IS(M)'!$M36:$ER36)</f>
        <v>0</v>
      </c>
      <c r="DP30" s="171">
        <f>SUMIF('IS(M)'!$M$11:$ER$11,DP$7,'IS(M)'!$M36:$ER36)</f>
        <v>0</v>
      </c>
      <c r="DQ30" s="171">
        <f>SUMIF('IS(M)'!$M$11:$ER$11,DQ$7,'IS(M)'!$M36:$ER36)</f>
        <v>0</v>
      </c>
      <c r="DR30" s="171">
        <f>SUMIF('IS(M)'!$M$11:$ER$11,DR$7,'IS(M)'!$M36:$ER36)</f>
        <v>0</v>
      </c>
      <c r="DS30" s="171">
        <f>SUMIF('IS(M)'!$M$11:$ER$11,DS$7,'IS(M)'!$M36:$ER36)</f>
        <v>0</v>
      </c>
      <c r="DT30" s="171">
        <f>SUMIF('IS(M)'!$M$11:$ER$11,DT$7,'IS(M)'!$M36:$ER36)</f>
        <v>0</v>
      </c>
      <c r="DU30" s="171">
        <f>SUMIF('IS(M)'!$M$11:$ER$11,DU$7,'IS(M)'!$M36:$ER36)</f>
        <v>0</v>
      </c>
      <c r="DV30" s="171">
        <f>SUMIF('IS(M)'!$M$11:$ER$11,DV$7,'IS(M)'!$M36:$ER36)</f>
        <v>0</v>
      </c>
      <c r="DW30" s="171">
        <f>SUMIF('IS(M)'!$M$11:$ER$11,DW$7,'IS(M)'!$M36:$ER36)</f>
        <v>0</v>
      </c>
    </row>
    <row r="31" spans="2:127" ht="11.25" customHeight="1">
      <c r="B31" s="218"/>
      <c r="C31" s="163"/>
      <c r="D31" s="169" t="s">
        <v>468</v>
      </c>
      <c r="I31" s="146"/>
      <c r="J31" s="13"/>
      <c r="K31" s="171">
        <f t="shared" si="12"/>
        <v>892287.86244979396</v>
      </c>
      <c r="L31" s="98"/>
      <c r="M31" s="171">
        <f>SUMIF('IS(M)'!$M$11:$ER$11,M$7,'IS(M)'!$M37:$ER37)</f>
        <v>0</v>
      </c>
      <c r="N31" s="171">
        <f>SUMIF('IS(M)'!$M$11:$ER$11,N$7,'IS(M)'!$M37:$ER37)</f>
        <v>10873.369999999999</v>
      </c>
      <c r="O31" s="171">
        <f>SUMIF('IS(M)'!$M$11:$ER$11,O$7,'IS(M)'!$M37:$ER37)</f>
        <v>0</v>
      </c>
      <c r="P31" s="171">
        <f>SUMIF('IS(M)'!$M$11:$ER$11,P$7,'IS(M)'!$M37:$ER37)</f>
        <v>0</v>
      </c>
      <c r="Q31" s="171">
        <f>SUMIF('IS(M)'!$M$11:$ER$11,Q$7,'IS(M)'!$M37:$ER37)</f>
        <v>0</v>
      </c>
      <c r="R31" s="171">
        <f>SUMIF('IS(M)'!$M$11:$ER$11,R$7,'IS(M)'!$M37:$ER37)</f>
        <v>0</v>
      </c>
      <c r="S31" s="171">
        <f>SUMIF('IS(M)'!$M$11:$ER$11,S$7,'IS(M)'!$M37:$ER37)</f>
        <v>68398.392522169117</v>
      </c>
      <c r="T31" s="171">
        <f>SUMIF('IS(M)'!$M$11:$ER$11,T$7,'IS(M)'!$M37:$ER37)</f>
        <v>43196.941674829177</v>
      </c>
      <c r="U31" s="171">
        <f>SUMIF('IS(M)'!$M$11:$ER$11,U$7,'IS(M)'!$M37:$ER37)</f>
        <v>558.55563724519311</v>
      </c>
      <c r="V31" s="171">
        <f>SUMIF('IS(M)'!$M$11:$ER$11,V$7,'IS(M)'!$M37:$ER37)</f>
        <v>0</v>
      </c>
      <c r="W31" s="171">
        <f>SUMIF('IS(M)'!$M$11:$ER$11,W$7,'IS(M)'!$M37:$ER37)</f>
        <v>0</v>
      </c>
      <c r="X31" s="171">
        <f>SUMIF('IS(M)'!$M$11:$ER$11,X$7,'IS(M)'!$M37:$ER37)</f>
        <v>0</v>
      </c>
      <c r="Y31" s="171">
        <f>SUMIF('IS(M)'!$M$11:$ER$11,Y$7,'IS(M)'!$M37:$ER37)</f>
        <v>0</v>
      </c>
      <c r="Z31" s="171">
        <f>SUMIF('IS(M)'!$M$11:$ER$11,Z$7,'IS(M)'!$M37:$ER37)</f>
        <v>0</v>
      </c>
      <c r="AA31" s="171">
        <f>SUMIF('IS(M)'!$M$11:$ER$11,AA$7,'IS(M)'!$M37:$ER37)</f>
        <v>0</v>
      </c>
      <c r="AB31" s="171">
        <f>SUMIF('IS(M)'!$M$11:$ER$11,AB$7,'IS(M)'!$M37:$ER37)</f>
        <v>0</v>
      </c>
      <c r="AC31" s="171">
        <f>SUMIF('IS(M)'!$M$11:$ER$11,AC$7,'IS(M)'!$M37:$ER37)</f>
        <v>677538.27343214501</v>
      </c>
      <c r="AD31" s="171">
        <f>SUMIF('IS(M)'!$M$11:$ER$11,AD$7,'IS(M)'!$M37:$ER37)</f>
        <v>91090.374748069924</v>
      </c>
      <c r="AE31" s="171">
        <f>SUMIF('IS(M)'!$M$11:$ER$11,AE$7,'IS(M)'!$M37:$ER37)</f>
        <v>631.95443533556806</v>
      </c>
      <c r="AF31" s="171">
        <f>SUMIF('IS(M)'!$M$11:$ER$11,AF$7,'IS(M)'!$M37:$ER37)</f>
        <v>0</v>
      </c>
      <c r="AG31" s="171">
        <f>SUMIF('IS(M)'!$M$11:$ER$11,AG$7,'IS(M)'!$M37:$ER37)</f>
        <v>0</v>
      </c>
      <c r="AH31" s="171">
        <f>SUMIF('IS(M)'!$M$11:$ER$11,AH$7,'IS(M)'!$M37:$ER37)</f>
        <v>0</v>
      </c>
      <c r="AI31" s="171">
        <f>SUMIF('IS(M)'!$M$11:$ER$11,AI$7,'IS(M)'!$M37:$ER37)</f>
        <v>0</v>
      </c>
      <c r="AJ31" s="171">
        <f>SUMIF('IS(M)'!$M$11:$ER$11,AJ$7,'IS(M)'!$M37:$ER37)</f>
        <v>0</v>
      </c>
      <c r="AK31" s="171">
        <f>SUMIF('IS(M)'!$M$11:$ER$11,AK$7,'IS(M)'!$M37:$ER37)</f>
        <v>0</v>
      </c>
      <c r="AL31" s="171">
        <f>SUMIF('IS(M)'!$M$11:$ER$11,AL$7,'IS(M)'!$M37:$ER37)</f>
        <v>0</v>
      </c>
      <c r="AM31" s="171">
        <f>SUMIF('IS(M)'!$M$11:$ER$11,AM$7,'IS(M)'!$M37:$ER37)</f>
        <v>0</v>
      </c>
      <c r="AN31" s="171">
        <f>SUMIF('IS(M)'!$M$11:$ER$11,AN$7,'IS(M)'!$M37:$ER37)</f>
        <v>0</v>
      </c>
      <c r="AO31" s="171">
        <f>SUMIF('IS(M)'!$M$11:$ER$11,AO$7,'IS(M)'!$M37:$ER37)</f>
        <v>0</v>
      </c>
      <c r="AP31" s="171">
        <f>SUMIF('IS(M)'!$M$11:$ER$11,AP$7,'IS(M)'!$M37:$ER37)</f>
        <v>0</v>
      </c>
      <c r="AQ31" s="171">
        <f>SUMIF('IS(M)'!$M$11:$ER$11,AQ$7,'IS(M)'!$M37:$ER37)</f>
        <v>0</v>
      </c>
      <c r="AR31" s="171">
        <f>SUMIF('IS(M)'!$M$11:$ER$11,AR$7,'IS(M)'!$M37:$ER37)</f>
        <v>0</v>
      </c>
      <c r="AS31" s="171">
        <f>SUMIF('IS(M)'!$M$11:$ER$11,AS$7,'IS(M)'!$M37:$ER37)</f>
        <v>0</v>
      </c>
      <c r="AT31" s="171">
        <f>SUMIF('IS(M)'!$M$11:$ER$11,AT$7,'IS(M)'!$M37:$ER37)</f>
        <v>0</v>
      </c>
      <c r="AU31" s="171">
        <f>SUMIF('IS(M)'!$M$11:$ER$11,AU$7,'IS(M)'!$M37:$ER37)</f>
        <v>0</v>
      </c>
      <c r="AV31" s="171">
        <f>SUMIF('IS(M)'!$M$11:$ER$11,AV$7,'IS(M)'!$M37:$ER37)</f>
        <v>0</v>
      </c>
      <c r="AW31" s="171">
        <f>SUMIF('IS(M)'!$M$11:$ER$11,AW$7,'IS(M)'!$M37:$ER37)</f>
        <v>0</v>
      </c>
      <c r="AX31" s="171">
        <f>SUMIF('IS(M)'!$M$11:$ER$11,AX$7,'IS(M)'!$M37:$ER37)</f>
        <v>0</v>
      </c>
      <c r="AY31" s="171">
        <f>SUMIF('IS(M)'!$M$11:$ER$11,AY$7,'IS(M)'!$M37:$ER37)</f>
        <v>0</v>
      </c>
      <c r="AZ31" s="171">
        <f>SUMIF('IS(M)'!$M$11:$ER$11,AZ$7,'IS(M)'!$M37:$ER37)</f>
        <v>0</v>
      </c>
      <c r="BA31" s="171">
        <f>SUMIF('IS(M)'!$M$11:$ER$11,BA$7,'IS(M)'!$M37:$ER37)</f>
        <v>0</v>
      </c>
      <c r="BB31" s="171">
        <f>SUMIF('IS(M)'!$M$11:$ER$11,BB$7,'IS(M)'!$M37:$ER37)</f>
        <v>0</v>
      </c>
      <c r="BC31" s="171">
        <f>SUMIF('IS(M)'!$M$11:$ER$11,BC$7,'IS(M)'!$M37:$ER37)</f>
        <v>0</v>
      </c>
      <c r="BD31" s="171">
        <f>SUMIF('IS(M)'!$M$11:$ER$11,BD$7,'IS(M)'!$M37:$ER37)</f>
        <v>0</v>
      </c>
      <c r="BE31" s="171">
        <f>SUMIF('IS(M)'!$M$11:$ER$11,BE$7,'IS(M)'!$M37:$ER37)</f>
        <v>0</v>
      </c>
      <c r="BF31" s="171">
        <f>SUMIF('IS(M)'!$M$11:$ER$11,BF$7,'IS(M)'!$M37:$ER37)</f>
        <v>0</v>
      </c>
      <c r="BG31" s="171">
        <f>SUMIF('IS(M)'!$M$11:$ER$11,BG$7,'IS(M)'!$M37:$ER37)</f>
        <v>0</v>
      </c>
      <c r="BH31" s="171">
        <f>SUMIF('IS(M)'!$M$11:$ER$11,BH$7,'IS(M)'!$M37:$ER37)</f>
        <v>0</v>
      </c>
      <c r="BI31" s="171">
        <f>SUMIF('IS(M)'!$M$11:$ER$11,BI$7,'IS(M)'!$M37:$ER37)</f>
        <v>0</v>
      </c>
      <c r="BJ31" s="171">
        <f>SUMIF('IS(M)'!$M$11:$ER$11,BJ$7,'IS(M)'!$M37:$ER37)</f>
        <v>0</v>
      </c>
      <c r="BK31" s="171">
        <f>SUMIF('IS(M)'!$M$11:$ER$11,BK$7,'IS(M)'!$M37:$ER37)</f>
        <v>0</v>
      </c>
      <c r="BL31" s="171">
        <f>SUMIF('IS(M)'!$M$11:$ER$11,BL$7,'IS(M)'!$M37:$ER37)</f>
        <v>0</v>
      </c>
      <c r="BM31" s="171">
        <f>SUMIF('IS(M)'!$M$11:$ER$11,BM$7,'IS(M)'!$M37:$ER37)</f>
        <v>0</v>
      </c>
      <c r="BN31" s="171">
        <f>SUMIF('IS(M)'!$M$11:$ER$11,BN$7,'IS(M)'!$M37:$ER37)</f>
        <v>0</v>
      </c>
      <c r="BO31" s="171">
        <f>SUMIF('IS(M)'!$M$11:$ER$11,BO$7,'IS(M)'!$M37:$ER37)</f>
        <v>0</v>
      </c>
      <c r="BP31" s="171">
        <f>SUMIF('IS(M)'!$M$11:$ER$11,BP$7,'IS(M)'!$M37:$ER37)</f>
        <v>0</v>
      </c>
      <c r="BQ31" s="171">
        <f>SUMIF('IS(M)'!$M$11:$ER$11,BQ$7,'IS(M)'!$M37:$ER37)</f>
        <v>0</v>
      </c>
      <c r="BR31" s="171">
        <f>SUMIF('IS(M)'!$M$11:$ER$11,BR$7,'IS(M)'!$M37:$ER37)</f>
        <v>0</v>
      </c>
      <c r="BS31" s="171">
        <f>SUMIF('IS(M)'!$M$11:$ER$11,BS$7,'IS(M)'!$M37:$ER37)</f>
        <v>0</v>
      </c>
      <c r="BT31" s="171">
        <f>SUMIF('IS(M)'!$M$11:$ER$11,BT$7,'IS(M)'!$M37:$ER37)</f>
        <v>0</v>
      </c>
      <c r="BU31" s="171">
        <f>SUMIF('IS(M)'!$M$11:$ER$11,BU$7,'IS(M)'!$M37:$ER37)</f>
        <v>0</v>
      </c>
      <c r="BV31" s="171">
        <f>SUMIF('IS(M)'!$M$11:$ER$11,BV$7,'IS(M)'!$M37:$ER37)</f>
        <v>0</v>
      </c>
      <c r="BW31" s="171">
        <f>SUMIF('IS(M)'!$M$11:$ER$11,BW$7,'IS(M)'!$M37:$ER37)</f>
        <v>0</v>
      </c>
      <c r="BX31" s="171">
        <f>SUMIF('IS(M)'!$M$11:$ER$11,BX$7,'IS(M)'!$M37:$ER37)</f>
        <v>0</v>
      </c>
      <c r="BY31" s="171">
        <f>SUMIF('IS(M)'!$M$11:$ER$11,BY$7,'IS(M)'!$M37:$ER37)</f>
        <v>0</v>
      </c>
      <c r="BZ31" s="171">
        <f>SUMIF('IS(M)'!$M$11:$ER$11,BZ$7,'IS(M)'!$M37:$ER37)</f>
        <v>0</v>
      </c>
      <c r="CA31" s="171">
        <f>SUMIF('IS(M)'!$M$11:$ER$11,CA$7,'IS(M)'!$M37:$ER37)</f>
        <v>0</v>
      </c>
      <c r="CB31" s="171">
        <f>SUMIF('IS(M)'!$M$11:$ER$11,CB$7,'IS(M)'!$M37:$ER37)</f>
        <v>0</v>
      </c>
      <c r="CC31" s="171">
        <f>SUMIF('IS(M)'!$M$11:$ER$11,CC$7,'IS(M)'!$M37:$ER37)</f>
        <v>0</v>
      </c>
      <c r="CD31" s="171">
        <f>SUMIF('IS(M)'!$M$11:$ER$11,CD$7,'IS(M)'!$M37:$ER37)</f>
        <v>0</v>
      </c>
      <c r="CE31" s="171">
        <f>SUMIF('IS(M)'!$M$11:$ER$11,CE$7,'IS(M)'!$M37:$ER37)</f>
        <v>0</v>
      </c>
      <c r="CF31" s="171">
        <f>SUMIF('IS(M)'!$M$11:$ER$11,CF$7,'IS(M)'!$M37:$ER37)</f>
        <v>0</v>
      </c>
      <c r="CG31" s="171">
        <f>SUMIF('IS(M)'!$M$11:$ER$11,CG$7,'IS(M)'!$M37:$ER37)</f>
        <v>0</v>
      </c>
      <c r="CH31" s="171">
        <f>SUMIF('IS(M)'!$M$11:$ER$11,CH$7,'IS(M)'!$M37:$ER37)</f>
        <v>0</v>
      </c>
      <c r="CI31" s="171">
        <f>SUMIF('IS(M)'!$M$11:$ER$11,CI$7,'IS(M)'!$M37:$ER37)</f>
        <v>0</v>
      </c>
      <c r="CJ31" s="171">
        <f>SUMIF('IS(M)'!$M$11:$ER$11,CJ$7,'IS(M)'!$M37:$ER37)</f>
        <v>0</v>
      </c>
      <c r="CK31" s="171">
        <f>SUMIF('IS(M)'!$M$11:$ER$11,CK$7,'IS(M)'!$M37:$ER37)</f>
        <v>0</v>
      </c>
      <c r="CL31" s="171">
        <f>SUMIF('IS(M)'!$M$11:$ER$11,CL$7,'IS(M)'!$M37:$ER37)</f>
        <v>0</v>
      </c>
      <c r="CM31" s="171">
        <f>SUMIF('IS(M)'!$M$11:$ER$11,CM$7,'IS(M)'!$M37:$ER37)</f>
        <v>0</v>
      </c>
      <c r="CN31" s="171">
        <f>SUMIF('IS(M)'!$M$11:$ER$11,CN$7,'IS(M)'!$M37:$ER37)</f>
        <v>0</v>
      </c>
      <c r="CO31" s="171">
        <f>SUMIF('IS(M)'!$M$11:$ER$11,CO$7,'IS(M)'!$M37:$ER37)</f>
        <v>0</v>
      </c>
      <c r="CP31" s="171">
        <f>SUMIF('IS(M)'!$M$11:$ER$11,CP$7,'IS(M)'!$M37:$ER37)</f>
        <v>0</v>
      </c>
      <c r="CQ31" s="171">
        <f>SUMIF('IS(M)'!$M$11:$ER$11,CQ$7,'IS(M)'!$M37:$ER37)</f>
        <v>0</v>
      </c>
      <c r="CR31" s="171">
        <f>SUMIF('IS(M)'!$M$11:$ER$11,CR$7,'IS(M)'!$M37:$ER37)</f>
        <v>0</v>
      </c>
      <c r="CS31" s="171">
        <f>SUMIF('IS(M)'!$M$11:$ER$11,CS$7,'IS(M)'!$M37:$ER37)</f>
        <v>0</v>
      </c>
      <c r="CT31" s="171">
        <f>SUMIF('IS(M)'!$M$11:$ER$11,CT$7,'IS(M)'!$M37:$ER37)</f>
        <v>0</v>
      </c>
      <c r="CU31" s="171">
        <f>SUMIF('IS(M)'!$M$11:$ER$11,CU$7,'IS(M)'!$M37:$ER37)</f>
        <v>0</v>
      </c>
      <c r="CV31" s="171">
        <f>SUMIF('IS(M)'!$M$11:$ER$11,CV$7,'IS(M)'!$M37:$ER37)</f>
        <v>0</v>
      </c>
      <c r="CW31" s="171">
        <f>SUMIF('IS(M)'!$M$11:$ER$11,CW$7,'IS(M)'!$M37:$ER37)</f>
        <v>0</v>
      </c>
      <c r="CX31" s="171">
        <f>SUMIF('IS(M)'!$M$11:$ER$11,CX$7,'IS(M)'!$M37:$ER37)</f>
        <v>0</v>
      </c>
      <c r="CY31" s="171">
        <f>SUMIF('IS(M)'!$M$11:$ER$11,CY$7,'IS(M)'!$M37:$ER37)</f>
        <v>0</v>
      </c>
      <c r="CZ31" s="171">
        <f>SUMIF('IS(M)'!$M$11:$ER$11,CZ$7,'IS(M)'!$M37:$ER37)</f>
        <v>0</v>
      </c>
      <c r="DA31" s="171">
        <f>SUMIF('IS(M)'!$M$11:$ER$11,DA$7,'IS(M)'!$M37:$ER37)</f>
        <v>0</v>
      </c>
      <c r="DB31" s="171">
        <f>SUMIF('IS(M)'!$M$11:$ER$11,DB$7,'IS(M)'!$M37:$ER37)</f>
        <v>0</v>
      </c>
      <c r="DC31" s="171">
        <f>SUMIF('IS(M)'!$M$11:$ER$11,DC$7,'IS(M)'!$M37:$ER37)</f>
        <v>0</v>
      </c>
      <c r="DD31" s="171">
        <f>SUMIF('IS(M)'!$M$11:$ER$11,DD$7,'IS(M)'!$M37:$ER37)</f>
        <v>0</v>
      </c>
      <c r="DE31" s="171">
        <f>SUMIF('IS(M)'!$M$11:$ER$11,DE$7,'IS(M)'!$M37:$ER37)</f>
        <v>0</v>
      </c>
      <c r="DF31" s="171">
        <f>SUMIF('IS(M)'!$M$11:$ER$11,DF$7,'IS(M)'!$M37:$ER37)</f>
        <v>0</v>
      </c>
      <c r="DG31" s="171">
        <f>SUMIF('IS(M)'!$M$11:$ER$11,DG$7,'IS(M)'!$M37:$ER37)</f>
        <v>0</v>
      </c>
      <c r="DH31" s="171">
        <f>SUMIF('IS(M)'!$M$11:$ER$11,DH$7,'IS(M)'!$M37:$ER37)</f>
        <v>0</v>
      </c>
      <c r="DI31" s="171">
        <f>SUMIF('IS(M)'!$M$11:$ER$11,DI$7,'IS(M)'!$M37:$ER37)</f>
        <v>0</v>
      </c>
      <c r="DJ31" s="171">
        <f>SUMIF('IS(M)'!$M$11:$ER$11,DJ$7,'IS(M)'!$M37:$ER37)</f>
        <v>0</v>
      </c>
      <c r="DK31" s="171">
        <f>SUMIF('IS(M)'!$M$11:$ER$11,DK$7,'IS(M)'!$M37:$ER37)</f>
        <v>0</v>
      </c>
      <c r="DL31" s="171">
        <f>SUMIF('IS(M)'!$M$11:$ER$11,DL$7,'IS(M)'!$M37:$ER37)</f>
        <v>0</v>
      </c>
      <c r="DM31" s="171">
        <f>SUMIF('IS(M)'!$M$11:$ER$11,DM$7,'IS(M)'!$M37:$ER37)</f>
        <v>0</v>
      </c>
      <c r="DN31" s="171">
        <f>SUMIF('IS(M)'!$M$11:$ER$11,DN$7,'IS(M)'!$M37:$ER37)</f>
        <v>0</v>
      </c>
      <c r="DO31" s="171">
        <f>SUMIF('IS(M)'!$M$11:$ER$11,DO$7,'IS(M)'!$M37:$ER37)</f>
        <v>0</v>
      </c>
      <c r="DP31" s="171">
        <f>SUMIF('IS(M)'!$M$11:$ER$11,DP$7,'IS(M)'!$M37:$ER37)</f>
        <v>0</v>
      </c>
      <c r="DQ31" s="171">
        <f>SUMIF('IS(M)'!$M$11:$ER$11,DQ$7,'IS(M)'!$M37:$ER37)</f>
        <v>0</v>
      </c>
      <c r="DR31" s="171">
        <f>SUMIF('IS(M)'!$M$11:$ER$11,DR$7,'IS(M)'!$M37:$ER37)</f>
        <v>0</v>
      </c>
      <c r="DS31" s="171">
        <f>SUMIF('IS(M)'!$M$11:$ER$11,DS$7,'IS(M)'!$M37:$ER37)</f>
        <v>0</v>
      </c>
      <c r="DT31" s="171">
        <f>SUMIF('IS(M)'!$M$11:$ER$11,DT$7,'IS(M)'!$M37:$ER37)</f>
        <v>0</v>
      </c>
      <c r="DU31" s="171">
        <f>SUMIF('IS(M)'!$M$11:$ER$11,DU$7,'IS(M)'!$M37:$ER37)</f>
        <v>0</v>
      </c>
      <c r="DV31" s="171">
        <f>SUMIF('IS(M)'!$M$11:$ER$11,DV$7,'IS(M)'!$M37:$ER37)</f>
        <v>0</v>
      </c>
      <c r="DW31" s="171">
        <f>SUMIF('IS(M)'!$M$11:$ER$11,DW$7,'IS(M)'!$M37:$ER37)</f>
        <v>0</v>
      </c>
    </row>
    <row r="32" spans="2:127" ht="11.25" customHeight="1">
      <c r="B32" s="218"/>
      <c r="C32" s="163"/>
      <c r="D32" s="885" t="s">
        <v>190</v>
      </c>
      <c r="E32" s="886"/>
      <c r="F32" s="886"/>
      <c r="G32" s="892">
        <f>'A&amp;R'!Q82</f>
        <v>55545.583333333343</v>
      </c>
      <c r="H32" s="893">
        <f>'A&amp;R'!U82</f>
        <v>46691</v>
      </c>
      <c r="I32" s="894">
        <f>'A&amp;R'!T82</f>
        <v>0</v>
      </c>
      <c r="J32" s="887"/>
      <c r="K32" s="888">
        <f t="shared" si="12"/>
        <v>6665470.0000000009</v>
      </c>
      <c r="L32" s="98"/>
      <c r="M32" s="888">
        <f>SUMIF('IS(M)'!$M$11:$ER$11,M$7,'IS(M)'!$M38:$ER38)</f>
        <v>0</v>
      </c>
      <c r="N32" s="888">
        <f>SUMIF('IS(M)'!$M$11:$ER$11,N$7,'IS(M)'!$M38:$ER38)</f>
        <v>333273.50000000012</v>
      </c>
      <c r="O32" s="888">
        <f>SUMIF('IS(M)'!$M$11:$ER$11,O$7,'IS(M)'!$M38:$ER38)</f>
        <v>333273.50000000012</v>
      </c>
      <c r="P32" s="888">
        <f>SUMIF('IS(M)'!$M$11:$ER$11,P$7,'IS(M)'!$M38:$ER38)</f>
        <v>333273.50000000012</v>
      </c>
      <c r="Q32" s="888">
        <f>SUMIF('IS(M)'!$M$11:$ER$11,Q$7,'IS(M)'!$M38:$ER38)</f>
        <v>333273.50000000012</v>
      </c>
      <c r="R32" s="888">
        <f>SUMIF('IS(M)'!$M$11:$ER$11,R$7,'IS(M)'!$M38:$ER38)</f>
        <v>333273.50000000012</v>
      </c>
      <c r="S32" s="888">
        <f>SUMIF('IS(M)'!$M$11:$ER$11,S$7,'IS(M)'!$M38:$ER38)</f>
        <v>333273.50000000012</v>
      </c>
      <c r="T32" s="888">
        <f>SUMIF('IS(M)'!$M$11:$ER$11,T$7,'IS(M)'!$M38:$ER38)</f>
        <v>333273.50000000012</v>
      </c>
      <c r="U32" s="888">
        <f>SUMIF('IS(M)'!$M$11:$ER$11,U$7,'IS(M)'!$M38:$ER38)</f>
        <v>333273.50000000012</v>
      </c>
      <c r="V32" s="888">
        <f>SUMIF('IS(M)'!$M$11:$ER$11,V$7,'IS(M)'!$M38:$ER38)</f>
        <v>333273.50000000012</v>
      </c>
      <c r="W32" s="888">
        <f>SUMIF('IS(M)'!$M$11:$ER$11,W$7,'IS(M)'!$M38:$ER38)</f>
        <v>333273.50000000012</v>
      </c>
      <c r="X32" s="888">
        <f>SUMIF('IS(M)'!$M$11:$ER$11,X$7,'IS(M)'!$M38:$ER38)</f>
        <v>333273.50000000012</v>
      </c>
      <c r="Y32" s="888">
        <f>SUMIF('IS(M)'!$M$11:$ER$11,Y$7,'IS(M)'!$M38:$ER38)</f>
        <v>333273.50000000012</v>
      </c>
      <c r="Z32" s="888">
        <f>SUMIF('IS(M)'!$M$11:$ER$11,Z$7,'IS(M)'!$M38:$ER38)</f>
        <v>333273.50000000012</v>
      </c>
      <c r="AA32" s="888">
        <f>SUMIF('IS(M)'!$M$11:$ER$11,AA$7,'IS(M)'!$M38:$ER38)</f>
        <v>333273.50000000012</v>
      </c>
      <c r="AB32" s="888">
        <f>SUMIF('IS(M)'!$M$11:$ER$11,AB$7,'IS(M)'!$M38:$ER38)</f>
        <v>333273.50000000012</v>
      </c>
      <c r="AC32" s="888">
        <f>SUMIF('IS(M)'!$M$11:$ER$11,AC$7,'IS(M)'!$M38:$ER38)</f>
        <v>333273.50000000012</v>
      </c>
      <c r="AD32" s="888">
        <f>SUMIF('IS(M)'!$M$11:$ER$11,AD$7,'IS(M)'!$M38:$ER38)</f>
        <v>333273.50000000012</v>
      </c>
      <c r="AE32" s="888">
        <f>SUMIF('IS(M)'!$M$11:$ER$11,AE$7,'IS(M)'!$M38:$ER38)</f>
        <v>333273.50000000012</v>
      </c>
      <c r="AF32" s="888">
        <f>SUMIF('IS(M)'!$M$11:$ER$11,AF$7,'IS(M)'!$M38:$ER38)</f>
        <v>333273.50000000012</v>
      </c>
      <c r="AG32" s="888">
        <f>SUMIF('IS(M)'!$M$11:$ER$11,AG$7,'IS(M)'!$M38:$ER38)</f>
        <v>333273.50000000012</v>
      </c>
      <c r="AH32" s="888">
        <f>SUMIF('IS(M)'!$M$11:$ER$11,AH$7,'IS(M)'!$M38:$ER38)</f>
        <v>0</v>
      </c>
      <c r="AI32" s="888">
        <f>SUMIF('IS(M)'!$M$11:$ER$11,AI$7,'IS(M)'!$M38:$ER38)</f>
        <v>0</v>
      </c>
      <c r="AJ32" s="888">
        <f>SUMIF('IS(M)'!$M$11:$ER$11,AJ$7,'IS(M)'!$M38:$ER38)</f>
        <v>0</v>
      </c>
      <c r="AK32" s="888">
        <f>SUMIF('IS(M)'!$M$11:$ER$11,AK$7,'IS(M)'!$M38:$ER38)</f>
        <v>0</v>
      </c>
      <c r="AL32" s="888">
        <f>SUMIF('IS(M)'!$M$11:$ER$11,AL$7,'IS(M)'!$M38:$ER38)</f>
        <v>0</v>
      </c>
      <c r="AM32" s="888">
        <f>SUMIF('IS(M)'!$M$11:$ER$11,AM$7,'IS(M)'!$M38:$ER38)</f>
        <v>0</v>
      </c>
      <c r="AN32" s="888">
        <f>SUMIF('IS(M)'!$M$11:$ER$11,AN$7,'IS(M)'!$M38:$ER38)</f>
        <v>0</v>
      </c>
      <c r="AO32" s="888">
        <f>SUMIF('IS(M)'!$M$11:$ER$11,AO$7,'IS(M)'!$M38:$ER38)</f>
        <v>0</v>
      </c>
      <c r="AP32" s="888">
        <f>SUMIF('IS(M)'!$M$11:$ER$11,AP$7,'IS(M)'!$M38:$ER38)</f>
        <v>0</v>
      </c>
      <c r="AQ32" s="888">
        <f>SUMIF('IS(M)'!$M$11:$ER$11,AQ$7,'IS(M)'!$M38:$ER38)</f>
        <v>0</v>
      </c>
      <c r="AR32" s="888">
        <f>SUMIF('IS(M)'!$M$11:$ER$11,AR$7,'IS(M)'!$M38:$ER38)</f>
        <v>0</v>
      </c>
      <c r="AS32" s="888">
        <f>SUMIF('IS(M)'!$M$11:$ER$11,AS$7,'IS(M)'!$M38:$ER38)</f>
        <v>0</v>
      </c>
      <c r="AT32" s="888">
        <f>SUMIF('IS(M)'!$M$11:$ER$11,AT$7,'IS(M)'!$M38:$ER38)</f>
        <v>0</v>
      </c>
      <c r="AU32" s="888">
        <f>SUMIF('IS(M)'!$M$11:$ER$11,AU$7,'IS(M)'!$M38:$ER38)</f>
        <v>0</v>
      </c>
      <c r="AV32" s="888">
        <f>SUMIF('IS(M)'!$M$11:$ER$11,AV$7,'IS(M)'!$M38:$ER38)</f>
        <v>0</v>
      </c>
      <c r="AW32" s="888">
        <f>SUMIF('IS(M)'!$M$11:$ER$11,AW$7,'IS(M)'!$M38:$ER38)</f>
        <v>0</v>
      </c>
      <c r="AX32" s="888">
        <f>SUMIF('IS(M)'!$M$11:$ER$11,AX$7,'IS(M)'!$M38:$ER38)</f>
        <v>0</v>
      </c>
      <c r="AY32" s="888">
        <f>SUMIF('IS(M)'!$M$11:$ER$11,AY$7,'IS(M)'!$M38:$ER38)</f>
        <v>0</v>
      </c>
      <c r="AZ32" s="888">
        <f>SUMIF('IS(M)'!$M$11:$ER$11,AZ$7,'IS(M)'!$M38:$ER38)</f>
        <v>0</v>
      </c>
      <c r="BA32" s="888">
        <f>SUMIF('IS(M)'!$M$11:$ER$11,BA$7,'IS(M)'!$M38:$ER38)</f>
        <v>0</v>
      </c>
      <c r="BB32" s="888">
        <f>SUMIF('IS(M)'!$M$11:$ER$11,BB$7,'IS(M)'!$M38:$ER38)</f>
        <v>0</v>
      </c>
      <c r="BC32" s="888">
        <f>SUMIF('IS(M)'!$M$11:$ER$11,BC$7,'IS(M)'!$M38:$ER38)</f>
        <v>0</v>
      </c>
      <c r="BD32" s="888">
        <f>SUMIF('IS(M)'!$M$11:$ER$11,BD$7,'IS(M)'!$M38:$ER38)</f>
        <v>0</v>
      </c>
      <c r="BE32" s="888">
        <f>SUMIF('IS(M)'!$M$11:$ER$11,BE$7,'IS(M)'!$M38:$ER38)</f>
        <v>0</v>
      </c>
      <c r="BF32" s="888">
        <f>SUMIF('IS(M)'!$M$11:$ER$11,BF$7,'IS(M)'!$M38:$ER38)</f>
        <v>0</v>
      </c>
      <c r="BG32" s="888">
        <f>SUMIF('IS(M)'!$M$11:$ER$11,BG$7,'IS(M)'!$M38:$ER38)</f>
        <v>0</v>
      </c>
      <c r="BH32" s="888">
        <f>SUMIF('IS(M)'!$M$11:$ER$11,BH$7,'IS(M)'!$M38:$ER38)</f>
        <v>0</v>
      </c>
      <c r="BI32" s="888">
        <f>SUMIF('IS(M)'!$M$11:$ER$11,BI$7,'IS(M)'!$M38:$ER38)</f>
        <v>0</v>
      </c>
      <c r="BJ32" s="888">
        <f>SUMIF('IS(M)'!$M$11:$ER$11,BJ$7,'IS(M)'!$M38:$ER38)</f>
        <v>0</v>
      </c>
      <c r="BK32" s="888">
        <f>SUMIF('IS(M)'!$M$11:$ER$11,BK$7,'IS(M)'!$M38:$ER38)</f>
        <v>0</v>
      </c>
      <c r="BL32" s="888">
        <f>SUMIF('IS(M)'!$M$11:$ER$11,BL$7,'IS(M)'!$M38:$ER38)</f>
        <v>0</v>
      </c>
      <c r="BM32" s="888">
        <f>SUMIF('IS(M)'!$M$11:$ER$11,BM$7,'IS(M)'!$M38:$ER38)</f>
        <v>0</v>
      </c>
      <c r="BN32" s="888">
        <f>SUMIF('IS(M)'!$M$11:$ER$11,BN$7,'IS(M)'!$M38:$ER38)</f>
        <v>0</v>
      </c>
      <c r="BO32" s="888">
        <f>SUMIF('IS(M)'!$M$11:$ER$11,BO$7,'IS(M)'!$M38:$ER38)</f>
        <v>0</v>
      </c>
      <c r="BP32" s="888">
        <f>SUMIF('IS(M)'!$M$11:$ER$11,BP$7,'IS(M)'!$M38:$ER38)</f>
        <v>0</v>
      </c>
      <c r="BQ32" s="888">
        <f>SUMIF('IS(M)'!$M$11:$ER$11,BQ$7,'IS(M)'!$M38:$ER38)</f>
        <v>0</v>
      </c>
      <c r="BR32" s="888">
        <f>SUMIF('IS(M)'!$M$11:$ER$11,BR$7,'IS(M)'!$M38:$ER38)</f>
        <v>0</v>
      </c>
      <c r="BS32" s="888">
        <f>SUMIF('IS(M)'!$M$11:$ER$11,BS$7,'IS(M)'!$M38:$ER38)</f>
        <v>0</v>
      </c>
      <c r="BT32" s="888">
        <f>SUMIF('IS(M)'!$M$11:$ER$11,BT$7,'IS(M)'!$M38:$ER38)</f>
        <v>0</v>
      </c>
      <c r="BU32" s="888">
        <f>SUMIF('IS(M)'!$M$11:$ER$11,BU$7,'IS(M)'!$M38:$ER38)</f>
        <v>0</v>
      </c>
      <c r="BV32" s="888">
        <f>SUMIF('IS(M)'!$M$11:$ER$11,BV$7,'IS(M)'!$M38:$ER38)</f>
        <v>0</v>
      </c>
      <c r="BW32" s="888">
        <f>SUMIF('IS(M)'!$M$11:$ER$11,BW$7,'IS(M)'!$M38:$ER38)</f>
        <v>0</v>
      </c>
      <c r="BX32" s="888">
        <f>SUMIF('IS(M)'!$M$11:$ER$11,BX$7,'IS(M)'!$M38:$ER38)</f>
        <v>0</v>
      </c>
      <c r="BY32" s="888">
        <f>SUMIF('IS(M)'!$M$11:$ER$11,BY$7,'IS(M)'!$M38:$ER38)</f>
        <v>0</v>
      </c>
      <c r="BZ32" s="888">
        <f>SUMIF('IS(M)'!$M$11:$ER$11,BZ$7,'IS(M)'!$M38:$ER38)</f>
        <v>0</v>
      </c>
      <c r="CA32" s="888">
        <f>SUMIF('IS(M)'!$M$11:$ER$11,CA$7,'IS(M)'!$M38:$ER38)</f>
        <v>0</v>
      </c>
      <c r="CB32" s="888">
        <f>SUMIF('IS(M)'!$M$11:$ER$11,CB$7,'IS(M)'!$M38:$ER38)</f>
        <v>0</v>
      </c>
      <c r="CC32" s="888">
        <f>SUMIF('IS(M)'!$M$11:$ER$11,CC$7,'IS(M)'!$M38:$ER38)</f>
        <v>0</v>
      </c>
      <c r="CD32" s="888">
        <f>SUMIF('IS(M)'!$M$11:$ER$11,CD$7,'IS(M)'!$M38:$ER38)</f>
        <v>0</v>
      </c>
      <c r="CE32" s="888">
        <f>SUMIF('IS(M)'!$M$11:$ER$11,CE$7,'IS(M)'!$M38:$ER38)</f>
        <v>0</v>
      </c>
      <c r="CF32" s="888">
        <f>SUMIF('IS(M)'!$M$11:$ER$11,CF$7,'IS(M)'!$M38:$ER38)</f>
        <v>0</v>
      </c>
      <c r="CG32" s="888">
        <f>SUMIF('IS(M)'!$M$11:$ER$11,CG$7,'IS(M)'!$M38:$ER38)</f>
        <v>0</v>
      </c>
      <c r="CH32" s="888">
        <f>SUMIF('IS(M)'!$M$11:$ER$11,CH$7,'IS(M)'!$M38:$ER38)</f>
        <v>0</v>
      </c>
      <c r="CI32" s="888">
        <f>SUMIF('IS(M)'!$M$11:$ER$11,CI$7,'IS(M)'!$M38:$ER38)</f>
        <v>0</v>
      </c>
      <c r="CJ32" s="888">
        <f>SUMIF('IS(M)'!$M$11:$ER$11,CJ$7,'IS(M)'!$M38:$ER38)</f>
        <v>0</v>
      </c>
      <c r="CK32" s="888">
        <f>SUMIF('IS(M)'!$M$11:$ER$11,CK$7,'IS(M)'!$M38:$ER38)</f>
        <v>0</v>
      </c>
      <c r="CL32" s="888">
        <f>SUMIF('IS(M)'!$M$11:$ER$11,CL$7,'IS(M)'!$M38:$ER38)</f>
        <v>0</v>
      </c>
      <c r="CM32" s="888">
        <f>SUMIF('IS(M)'!$M$11:$ER$11,CM$7,'IS(M)'!$M38:$ER38)</f>
        <v>0</v>
      </c>
      <c r="CN32" s="888">
        <f>SUMIF('IS(M)'!$M$11:$ER$11,CN$7,'IS(M)'!$M38:$ER38)</f>
        <v>0</v>
      </c>
      <c r="CO32" s="888">
        <f>SUMIF('IS(M)'!$M$11:$ER$11,CO$7,'IS(M)'!$M38:$ER38)</f>
        <v>0</v>
      </c>
      <c r="CP32" s="888">
        <f>SUMIF('IS(M)'!$M$11:$ER$11,CP$7,'IS(M)'!$M38:$ER38)</f>
        <v>0</v>
      </c>
      <c r="CQ32" s="888">
        <f>SUMIF('IS(M)'!$M$11:$ER$11,CQ$7,'IS(M)'!$M38:$ER38)</f>
        <v>0</v>
      </c>
      <c r="CR32" s="888">
        <f>SUMIF('IS(M)'!$M$11:$ER$11,CR$7,'IS(M)'!$M38:$ER38)</f>
        <v>0</v>
      </c>
      <c r="CS32" s="888">
        <f>SUMIF('IS(M)'!$M$11:$ER$11,CS$7,'IS(M)'!$M38:$ER38)</f>
        <v>0</v>
      </c>
      <c r="CT32" s="888">
        <f>SUMIF('IS(M)'!$M$11:$ER$11,CT$7,'IS(M)'!$M38:$ER38)</f>
        <v>0</v>
      </c>
      <c r="CU32" s="888">
        <f>SUMIF('IS(M)'!$M$11:$ER$11,CU$7,'IS(M)'!$M38:$ER38)</f>
        <v>0</v>
      </c>
      <c r="CV32" s="888">
        <f>SUMIF('IS(M)'!$M$11:$ER$11,CV$7,'IS(M)'!$M38:$ER38)</f>
        <v>0</v>
      </c>
      <c r="CW32" s="888">
        <f>SUMIF('IS(M)'!$M$11:$ER$11,CW$7,'IS(M)'!$M38:$ER38)</f>
        <v>0</v>
      </c>
      <c r="CX32" s="888">
        <f>SUMIF('IS(M)'!$M$11:$ER$11,CX$7,'IS(M)'!$M38:$ER38)</f>
        <v>0</v>
      </c>
      <c r="CY32" s="888">
        <f>SUMIF('IS(M)'!$M$11:$ER$11,CY$7,'IS(M)'!$M38:$ER38)</f>
        <v>0</v>
      </c>
      <c r="CZ32" s="888">
        <f>SUMIF('IS(M)'!$M$11:$ER$11,CZ$7,'IS(M)'!$M38:$ER38)</f>
        <v>0</v>
      </c>
      <c r="DA32" s="888">
        <f>SUMIF('IS(M)'!$M$11:$ER$11,DA$7,'IS(M)'!$M38:$ER38)</f>
        <v>0</v>
      </c>
      <c r="DB32" s="888">
        <f>SUMIF('IS(M)'!$M$11:$ER$11,DB$7,'IS(M)'!$M38:$ER38)</f>
        <v>0</v>
      </c>
      <c r="DC32" s="888">
        <f>SUMIF('IS(M)'!$M$11:$ER$11,DC$7,'IS(M)'!$M38:$ER38)</f>
        <v>0</v>
      </c>
      <c r="DD32" s="888">
        <f>SUMIF('IS(M)'!$M$11:$ER$11,DD$7,'IS(M)'!$M38:$ER38)</f>
        <v>0</v>
      </c>
      <c r="DE32" s="888">
        <f>SUMIF('IS(M)'!$M$11:$ER$11,DE$7,'IS(M)'!$M38:$ER38)</f>
        <v>0</v>
      </c>
      <c r="DF32" s="888">
        <f>SUMIF('IS(M)'!$M$11:$ER$11,DF$7,'IS(M)'!$M38:$ER38)</f>
        <v>0</v>
      </c>
      <c r="DG32" s="888">
        <f>SUMIF('IS(M)'!$M$11:$ER$11,DG$7,'IS(M)'!$M38:$ER38)</f>
        <v>0</v>
      </c>
      <c r="DH32" s="888">
        <f>SUMIF('IS(M)'!$M$11:$ER$11,DH$7,'IS(M)'!$M38:$ER38)</f>
        <v>0</v>
      </c>
      <c r="DI32" s="888">
        <f>SUMIF('IS(M)'!$M$11:$ER$11,DI$7,'IS(M)'!$M38:$ER38)</f>
        <v>0</v>
      </c>
      <c r="DJ32" s="888">
        <f>SUMIF('IS(M)'!$M$11:$ER$11,DJ$7,'IS(M)'!$M38:$ER38)</f>
        <v>0</v>
      </c>
      <c r="DK32" s="888">
        <f>SUMIF('IS(M)'!$M$11:$ER$11,DK$7,'IS(M)'!$M38:$ER38)</f>
        <v>0</v>
      </c>
      <c r="DL32" s="888">
        <f>SUMIF('IS(M)'!$M$11:$ER$11,DL$7,'IS(M)'!$M38:$ER38)</f>
        <v>0</v>
      </c>
      <c r="DM32" s="888">
        <f>SUMIF('IS(M)'!$M$11:$ER$11,DM$7,'IS(M)'!$M38:$ER38)</f>
        <v>0</v>
      </c>
      <c r="DN32" s="888">
        <f>SUMIF('IS(M)'!$M$11:$ER$11,DN$7,'IS(M)'!$M38:$ER38)</f>
        <v>0</v>
      </c>
      <c r="DO32" s="888">
        <f>SUMIF('IS(M)'!$M$11:$ER$11,DO$7,'IS(M)'!$M38:$ER38)</f>
        <v>0</v>
      </c>
      <c r="DP32" s="888">
        <f>SUMIF('IS(M)'!$M$11:$ER$11,DP$7,'IS(M)'!$M38:$ER38)</f>
        <v>0</v>
      </c>
      <c r="DQ32" s="888">
        <f>SUMIF('IS(M)'!$M$11:$ER$11,DQ$7,'IS(M)'!$M38:$ER38)</f>
        <v>0</v>
      </c>
      <c r="DR32" s="888">
        <f>SUMIF('IS(M)'!$M$11:$ER$11,DR$7,'IS(M)'!$M38:$ER38)</f>
        <v>0</v>
      </c>
      <c r="DS32" s="888">
        <f>SUMIF('IS(M)'!$M$11:$ER$11,DS$7,'IS(M)'!$M38:$ER38)</f>
        <v>0</v>
      </c>
      <c r="DT32" s="888">
        <f>SUMIF('IS(M)'!$M$11:$ER$11,DT$7,'IS(M)'!$M38:$ER38)</f>
        <v>0</v>
      </c>
      <c r="DU32" s="888">
        <f>SUMIF('IS(M)'!$M$11:$ER$11,DU$7,'IS(M)'!$M38:$ER38)</f>
        <v>0</v>
      </c>
      <c r="DV32" s="888">
        <f>SUMIF('IS(M)'!$M$11:$ER$11,DV$7,'IS(M)'!$M38:$ER38)</f>
        <v>0</v>
      </c>
      <c r="DW32" s="888">
        <f>SUMIF('IS(M)'!$M$11:$ER$11,DW$7,'IS(M)'!$M38:$ER38)</f>
        <v>0</v>
      </c>
    </row>
    <row r="33" spans="2:127" ht="11.25" customHeight="1">
      <c r="B33" s="218"/>
      <c r="C33" s="163"/>
      <c r="D33" s="169" t="s">
        <v>191</v>
      </c>
      <c r="G33" s="805">
        <f>'A&amp;R'!Q83</f>
        <v>1000</v>
      </c>
      <c r="H33" s="806">
        <f>'A&amp;R'!U83</f>
        <v>46691</v>
      </c>
      <c r="I33" s="807">
        <f>'A&amp;R'!T83</f>
        <v>0</v>
      </c>
      <c r="J33" s="222"/>
      <c r="K33" s="171">
        <f t="shared" si="12"/>
        <v>120000</v>
      </c>
      <c r="L33" s="98"/>
      <c r="M33" s="171">
        <f>SUMIF('IS(M)'!$M$11:$ER$11,M$7,'IS(M)'!$M39:$ER39)</f>
        <v>0</v>
      </c>
      <c r="N33" s="171">
        <f>SUMIF('IS(M)'!$M$11:$ER$11,N$7,'IS(M)'!$M39:$ER39)</f>
        <v>6000</v>
      </c>
      <c r="O33" s="171">
        <f>SUMIF('IS(M)'!$M$11:$ER$11,O$7,'IS(M)'!$M39:$ER39)</f>
        <v>6000</v>
      </c>
      <c r="P33" s="171">
        <f>SUMIF('IS(M)'!$M$11:$ER$11,P$7,'IS(M)'!$M39:$ER39)</f>
        <v>6000</v>
      </c>
      <c r="Q33" s="171">
        <f>SUMIF('IS(M)'!$M$11:$ER$11,Q$7,'IS(M)'!$M39:$ER39)</f>
        <v>6000</v>
      </c>
      <c r="R33" s="171">
        <f>SUMIF('IS(M)'!$M$11:$ER$11,R$7,'IS(M)'!$M39:$ER39)</f>
        <v>6000</v>
      </c>
      <c r="S33" s="171">
        <f>SUMIF('IS(M)'!$M$11:$ER$11,S$7,'IS(M)'!$M39:$ER39)</f>
        <v>6000</v>
      </c>
      <c r="T33" s="171">
        <f>SUMIF('IS(M)'!$M$11:$ER$11,T$7,'IS(M)'!$M39:$ER39)</f>
        <v>6000</v>
      </c>
      <c r="U33" s="171">
        <f>SUMIF('IS(M)'!$M$11:$ER$11,U$7,'IS(M)'!$M39:$ER39)</f>
        <v>6000</v>
      </c>
      <c r="V33" s="171">
        <f>SUMIF('IS(M)'!$M$11:$ER$11,V$7,'IS(M)'!$M39:$ER39)</f>
        <v>6000</v>
      </c>
      <c r="W33" s="171">
        <f>SUMIF('IS(M)'!$M$11:$ER$11,W$7,'IS(M)'!$M39:$ER39)</f>
        <v>6000</v>
      </c>
      <c r="X33" s="171">
        <f>SUMIF('IS(M)'!$M$11:$ER$11,X$7,'IS(M)'!$M39:$ER39)</f>
        <v>6000</v>
      </c>
      <c r="Y33" s="171">
        <f>SUMIF('IS(M)'!$M$11:$ER$11,Y$7,'IS(M)'!$M39:$ER39)</f>
        <v>6000</v>
      </c>
      <c r="Z33" s="171">
        <f>SUMIF('IS(M)'!$M$11:$ER$11,Z$7,'IS(M)'!$M39:$ER39)</f>
        <v>6000</v>
      </c>
      <c r="AA33" s="171">
        <f>SUMIF('IS(M)'!$M$11:$ER$11,AA$7,'IS(M)'!$M39:$ER39)</f>
        <v>6000</v>
      </c>
      <c r="AB33" s="171">
        <f>SUMIF('IS(M)'!$M$11:$ER$11,AB$7,'IS(M)'!$M39:$ER39)</f>
        <v>6000</v>
      </c>
      <c r="AC33" s="171">
        <f>SUMIF('IS(M)'!$M$11:$ER$11,AC$7,'IS(M)'!$M39:$ER39)</f>
        <v>6000</v>
      </c>
      <c r="AD33" s="171">
        <f>SUMIF('IS(M)'!$M$11:$ER$11,AD$7,'IS(M)'!$M39:$ER39)</f>
        <v>6000</v>
      </c>
      <c r="AE33" s="171">
        <f>SUMIF('IS(M)'!$M$11:$ER$11,AE$7,'IS(M)'!$M39:$ER39)</f>
        <v>6000</v>
      </c>
      <c r="AF33" s="171">
        <f>SUMIF('IS(M)'!$M$11:$ER$11,AF$7,'IS(M)'!$M39:$ER39)</f>
        <v>6000</v>
      </c>
      <c r="AG33" s="171">
        <f>SUMIF('IS(M)'!$M$11:$ER$11,AG$7,'IS(M)'!$M39:$ER39)</f>
        <v>6000</v>
      </c>
      <c r="AH33" s="171">
        <f>SUMIF('IS(M)'!$M$11:$ER$11,AH$7,'IS(M)'!$M39:$ER39)</f>
        <v>0</v>
      </c>
      <c r="AI33" s="171">
        <f>SUMIF('IS(M)'!$M$11:$ER$11,AI$7,'IS(M)'!$M39:$ER39)</f>
        <v>0</v>
      </c>
      <c r="AJ33" s="171">
        <f>SUMIF('IS(M)'!$M$11:$ER$11,AJ$7,'IS(M)'!$M39:$ER39)</f>
        <v>0</v>
      </c>
      <c r="AK33" s="171">
        <f>SUMIF('IS(M)'!$M$11:$ER$11,AK$7,'IS(M)'!$M39:$ER39)</f>
        <v>0</v>
      </c>
      <c r="AL33" s="171">
        <f>SUMIF('IS(M)'!$M$11:$ER$11,AL$7,'IS(M)'!$M39:$ER39)</f>
        <v>0</v>
      </c>
      <c r="AM33" s="171">
        <f>SUMIF('IS(M)'!$M$11:$ER$11,AM$7,'IS(M)'!$M39:$ER39)</f>
        <v>0</v>
      </c>
      <c r="AN33" s="171">
        <f>SUMIF('IS(M)'!$M$11:$ER$11,AN$7,'IS(M)'!$M39:$ER39)</f>
        <v>0</v>
      </c>
      <c r="AO33" s="171">
        <f>SUMIF('IS(M)'!$M$11:$ER$11,AO$7,'IS(M)'!$M39:$ER39)</f>
        <v>0</v>
      </c>
      <c r="AP33" s="171">
        <f>SUMIF('IS(M)'!$M$11:$ER$11,AP$7,'IS(M)'!$M39:$ER39)</f>
        <v>0</v>
      </c>
      <c r="AQ33" s="171">
        <f>SUMIF('IS(M)'!$M$11:$ER$11,AQ$7,'IS(M)'!$M39:$ER39)</f>
        <v>0</v>
      </c>
      <c r="AR33" s="171">
        <f>SUMIF('IS(M)'!$M$11:$ER$11,AR$7,'IS(M)'!$M39:$ER39)</f>
        <v>0</v>
      </c>
      <c r="AS33" s="171">
        <f>SUMIF('IS(M)'!$M$11:$ER$11,AS$7,'IS(M)'!$M39:$ER39)</f>
        <v>0</v>
      </c>
      <c r="AT33" s="171">
        <f>SUMIF('IS(M)'!$M$11:$ER$11,AT$7,'IS(M)'!$M39:$ER39)</f>
        <v>0</v>
      </c>
      <c r="AU33" s="171">
        <f>SUMIF('IS(M)'!$M$11:$ER$11,AU$7,'IS(M)'!$M39:$ER39)</f>
        <v>0</v>
      </c>
      <c r="AV33" s="171">
        <f>SUMIF('IS(M)'!$M$11:$ER$11,AV$7,'IS(M)'!$M39:$ER39)</f>
        <v>0</v>
      </c>
      <c r="AW33" s="171">
        <f>SUMIF('IS(M)'!$M$11:$ER$11,AW$7,'IS(M)'!$M39:$ER39)</f>
        <v>0</v>
      </c>
      <c r="AX33" s="171">
        <f>SUMIF('IS(M)'!$M$11:$ER$11,AX$7,'IS(M)'!$M39:$ER39)</f>
        <v>0</v>
      </c>
      <c r="AY33" s="171">
        <f>SUMIF('IS(M)'!$M$11:$ER$11,AY$7,'IS(M)'!$M39:$ER39)</f>
        <v>0</v>
      </c>
      <c r="AZ33" s="171">
        <f>SUMIF('IS(M)'!$M$11:$ER$11,AZ$7,'IS(M)'!$M39:$ER39)</f>
        <v>0</v>
      </c>
      <c r="BA33" s="171">
        <f>SUMIF('IS(M)'!$M$11:$ER$11,BA$7,'IS(M)'!$M39:$ER39)</f>
        <v>0</v>
      </c>
      <c r="BB33" s="171">
        <f>SUMIF('IS(M)'!$M$11:$ER$11,BB$7,'IS(M)'!$M39:$ER39)</f>
        <v>0</v>
      </c>
      <c r="BC33" s="171">
        <f>SUMIF('IS(M)'!$M$11:$ER$11,BC$7,'IS(M)'!$M39:$ER39)</f>
        <v>0</v>
      </c>
      <c r="BD33" s="171">
        <f>SUMIF('IS(M)'!$M$11:$ER$11,BD$7,'IS(M)'!$M39:$ER39)</f>
        <v>0</v>
      </c>
      <c r="BE33" s="171">
        <f>SUMIF('IS(M)'!$M$11:$ER$11,BE$7,'IS(M)'!$M39:$ER39)</f>
        <v>0</v>
      </c>
      <c r="BF33" s="171">
        <f>SUMIF('IS(M)'!$M$11:$ER$11,BF$7,'IS(M)'!$M39:$ER39)</f>
        <v>0</v>
      </c>
      <c r="BG33" s="171">
        <f>SUMIF('IS(M)'!$M$11:$ER$11,BG$7,'IS(M)'!$M39:$ER39)</f>
        <v>0</v>
      </c>
      <c r="BH33" s="171">
        <f>SUMIF('IS(M)'!$M$11:$ER$11,BH$7,'IS(M)'!$M39:$ER39)</f>
        <v>0</v>
      </c>
      <c r="BI33" s="171">
        <f>SUMIF('IS(M)'!$M$11:$ER$11,BI$7,'IS(M)'!$M39:$ER39)</f>
        <v>0</v>
      </c>
      <c r="BJ33" s="171">
        <f>SUMIF('IS(M)'!$M$11:$ER$11,BJ$7,'IS(M)'!$M39:$ER39)</f>
        <v>0</v>
      </c>
      <c r="BK33" s="171">
        <f>SUMIF('IS(M)'!$M$11:$ER$11,BK$7,'IS(M)'!$M39:$ER39)</f>
        <v>0</v>
      </c>
      <c r="BL33" s="171">
        <f>SUMIF('IS(M)'!$M$11:$ER$11,BL$7,'IS(M)'!$M39:$ER39)</f>
        <v>0</v>
      </c>
      <c r="BM33" s="171">
        <f>SUMIF('IS(M)'!$M$11:$ER$11,BM$7,'IS(M)'!$M39:$ER39)</f>
        <v>0</v>
      </c>
      <c r="BN33" s="171">
        <f>SUMIF('IS(M)'!$M$11:$ER$11,BN$7,'IS(M)'!$M39:$ER39)</f>
        <v>0</v>
      </c>
      <c r="BO33" s="171">
        <f>SUMIF('IS(M)'!$M$11:$ER$11,BO$7,'IS(M)'!$M39:$ER39)</f>
        <v>0</v>
      </c>
      <c r="BP33" s="171">
        <f>SUMIF('IS(M)'!$M$11:$ER$11,BP$7,'IS(M)'!$M39:$ER39)</f>
        <v>0</v>
      </c>
      <c r="BQ33" s="171">
        <f>SUMIF('IS(M)'!$M$11:$ER$11,BQ$7,'IS(M)'!$M39:$ER39)</f>
        <v>0</v>
      </c>
      <c r="BR33" s="171">
        <f>SUMIF('IS(M)'!$M$11:$ER$11,BR$7,'IS(M)'!$M39:$ER39)</f>
        <v>0</v>
      </c>
      <c r="BS33" s="171">
        <f>SUMIF('IS(M)'!$M$11:$ER$11,BS$7,'IS(M)'!$M39:$ER39)</f>
        <v>0</v>
      </c>
      <c r="BT33" s="171">
        <f>SUMIF('IS(M)'!$M$11:$ER$11,BT$7,'IS(M)'!$M39:$ER39)</f>
        <v>0</v>
      </c>
      <c r="BU33" s="171">
        <f>SUMIF('IS(M)'!$M$11:$ER$11,BU$7,'IS(M)'!$M39:$ER39)</f>
        <v>0</v>
      </c>
      <c r="BV33" s="171">
        <f>SUMIF('IS(M)'!$M$11:$ER$11,BV$7,'IS(M)'!$M39:$ER39)</f>
        <v>0</v>
      </c>
      <c r="BW33" s="171">
        <f>SUMIF('IS(M)'!$M$11:$ER$11,BW$7,'IS(M)'!$M39:$ER39)</f>
        <v>0</v>
      </c>
      <c r="BX33" s="171">
        <f>SUMIF('IS(M)'!$M$11:$ER$11,BX$7,'IS(M)'!$M39:$ER39)</f>
        <v>0</v>
      </c>
      <c r="BY33" s="171">
        <f>SUMIF('IS(M)'!$M$11:$ER$11,BY$7,'IS(M)'!$M39:$ER39)</f>
        <v>0</v>
      </c>
      <c r="BZ33" s="171">
        <f>SUMIF('IS(M)'!$M$11:$ER$11,BZ$7,'IS(M)'!$M39:$ER39)</f>
        <v>0</v>
      </c>
      <c r="CA33" s="171">
        <f>SUMIF('IS(M)'!$M$11:$ER$11,CA$7,'IS(M)'!$M39:$ER39)</f>
        <v>0</v>
      </c>
      <c r="CB33" s="171">
        <f>SUMIF('IS(M)'!$M$11:$ER$11,CB$7,'IS(M)'!$M39:$ER39)</f>
        <v>0</v>
      </c>
      <c r="CC33" s="171">
        <f>SUMIF('IS(M)'!$M$11:$ER$11,CC$7,'IS(M)'!$M39:$ER39)</f>
        <v>0</v>
      </c>
      <c r="CD33" s="171">
        <f>SUMIF('IS(M)'!$M$11:$ER$11,CD$7,'IS(M)'!$M39:$ER39)</f>
        <v>0</v>
      </c>
      <c r="CE33" s="171">
        <f>SUMIF('IS(M)'!$M$11:$ER$11,CE$7,'IS(M)'!$M39:$ER39)</f>
        <v>0</v>
      </c>
      <c r="CF33" s="171">
        <f>SUMIF('IS(M)'!$M$11:$ER$11,CF$7,'IS(M)'!$M39:$ER39)</f>
        <v>0</v>
      </c>
      <c r="CG33" s="171">
        <f>SUMIF('IS(M)'!$M$11:$ER$11,CG$7,'IS(M)'!$M39:$ER39)</f>
        <v>0</v>
      </c>
      <c r="CH33" s="171">
        <f>SUMIF('IS(M)'!$M$11:$ER$11,CH$7,'IS(M)'!$M39:$ER39)</f>
        <v>0</v>
      </c>
      <c r="CI33" s="171">
        <f>SUMIF('IS(M)'!$M$11:$ER$11,CI$7,'IS(M)'!$M39:$ER39)</f>
        <v>0</v>
      </c>
      <c r="CJ33" s="171">
        <f>SUMIF('IS(M)'!$M$11:$ER$11,CJ$7,'IS(M)'!$M39:$ER39)</f>
        <v>0</v>
      </c>
      <c r="CK33" s="171">
        <f>SUMIF('IS(M)'!$M$11:$ER$11,CK$7,'IS(M)'!$M39:$ER39)</f>
        <v>0</v>
      </c>
      <c r="CL33" s="171">
        <f>SUMIF('IS(M)'!$M$11:$ER$11,CL$7,'IS(M)'!$M39:$ER39)</f>
        <v>0</v>
      </c>
      <c r="CM33" s="171">
        <f>SUMIF('IS(M)'!$M$11:$ER$11,CM$7,'IS(M)'!$M39:$ER39)</f>
        <v>0</v>
      </c>
      <c r="CN33" s="171">
        <f>SUMIF('IS(M)'!$M$11:$ER$11,CN$7,'IS(M)'!$M39:$ER39)</f>
        <v>0</v>
      </c>
      <c r="CO33" s="171">
        <f>SUMIF('IS(M)'!$M$11:$ER$11,CO$7,'IS(M)'!$M39:$ER39)</f>
        <v>0</v>
      </c>
      <c r="CP33" s="171">
        <f>SUMIF('IS(M)'!$M$11:$ER$11,CP$7,'IS(M)'!$M39:$ER39)</f>
        <v>0</v>
      </c>
      <c r="CQ33" s="171">
        <f>SUMIF('IS(M)'!$M$11:$ER$11,CQ$7,'IS(M)'!$M39:$ER39)</f>
        <v>0</v>
      </c>
      <c r="CR33" s="171">
        <f>SUMIF('IS(M)'!$M$11:$ER$11,CR$7,'IS(M)'!$M39:$ER39)</f>
        <v>0</v>
      </c>
      <c r="CS33" s="171">
        <f>SUMIF('IS(M)'!$M$11:$ER$11,CS$7,'IS(M)'!$M39:$ER39)</f>
        <v>0</v>
      </c>
      <c r="CT33" s="171">
        <f>SUMIF('IS(M)'!$M$11:$ER$11,CT$7,'IS(M)'!$M39:$ER39)</f>
        <v>0</v>
      </c>
      <c r="CU33" s="171">
        <f>SUMIF('IS(M)'!$M$11:$ER$11,CU$7,'IS(M)'!$M39:$ER39)</f>
        <v>0</v>
      </c>
      <c r="CV33" s="171">
        <f>SUMIF('IS(M)'!$M$11:$ER$11,CV$7,'IS(M)'!$M39:$ER39)</f>
        <v>0</v>
      </c>
      <c r="CW33" s="171">
        <f>SUMIF('IS(M)'!$M$11:$ER$11,CW$7,'IS(M)'!$M39:$ER39)</f>
        <v>0</v>
      </c>
      <c r="CX33" s="171">
        <f>SUMIF('IS(M)'!$M$11:$ER$11,CX$7,'IS(M)'!$M39:$ER39)</f>
        <v>0</v>
      </c>
      <c r="CY33" s="171">
        <f>SUMIF('IS(M)'!$M$11:$ER$11,CY$7,'IS(M)'!$M39:$ER39)</f>
        <v>0</v>
      </c>
      <c r="CZ33" s="171">
        <f>SUMIF('IS(M)'!$M$11:$ER$11,CZ$7,'IS(M)'!$M39:$ER39)</f>
        <v>0</v>
      </c>
      <c r="DA33" s="171">
        <f>SUMIF('IS(M)'!$M$11:$ER$11,DA$7,'IS(M)'!$M39:$ER39)</f>
        <v>0</v>
      </c>
      <c r="DB33" s="171">
        <f>SUMIF('IS(M)'!$M$11:$ER$11,DB$7,'IS(M)'!$M39:$ER39)</f>
        <v>0</v>
      </c>
      <c r="DC33" s="171">
        <f>SUMIF('IS(M)'!$M$11:$ER$11,DC$7,'IS(M)'!$M39:$ER39)</f>
        <v>0</v>
      </c>
      <c r="DD33" s="171">
        <f>SUMIF('IS(M)'!$M$11:$ER$11,DD$7,'IS(M)'!$M39:$ER39)</f>
        <v>0</v>
      </c>
      <c r="DE33" s="171">
        <f>SUMIF('IS(M)'!$M$11:$ER$11,DE$7,'IS(M)'!$M39:$ER39)</f>
        <v>0</v>
      </c>
      <c r="DF33" s="171">
        <f>SUMIF('IS(M)'!$M$11:$ER$11,DF$7,'IS(M)'!$M39:$ER39)</f>
        <v>0</v>
      </c>
      <c r="DG33" s="171">
        <f>SUMIF('IS(M)'!$M$11:$ER$11,DG$7,'IS(M)'!$M39:$ER39)</f>
        <v>0</v>
      </c>
      <c r="DH33" s="171">
        <f>SUMIF('IS(M)'!$M$11:$ER$11,DH$7,'IS(M)'!$M39:$ER39)</f>
        <v>0</v>
      </c>
      <c r="DI33" s="171">
        <f>SUMIF('IS(M)'!$M$11:$ER$11,DI$7,'IS(M)'!$M39:$ER39)</f>
        <v>0</v>
      </c>
      <c r="DJ33" s="171">
        <f>SUMIF('IS(M)'!$M$11:$ER$11,DJ$7,'IS(M)'!$M39:$ER39)</f>
        <v>0</v>
      </c>
      <c r="DK33" s="171">
        <f>SUMIF('IS(M)'!$M$11:$ER$11,DK$7,'IS(M)'!$M39:$ER39)</f>
        <v>0</v>
      </c>
      <c r="DL33" s="171">
        <f>SUMIF('IS(M)'!$M$11:$ER$11,DL$7,'IS(M)'!$M39:$ER39)</f>
        <v>0</v>
      </c>
      <c r="DM33" s="171">
        <f>SUMIF('IS(M)'!$M$11:$ER$11,DM$7,'IS(M)'!$M39:$ER39)</f>
        <v>0</v>
      </c>
      <c r="DN33" s="171">
        <f>SUMIF('IS(M)'!$M$11:$ER$11,DN$7,'IS(M)'!$M39:$ER39)</f>
        <v>0</v>
      </c>
      <c r="DO33" s="171">
        <f>SUMIF('IS(M)'!$M$11:$ER$11,DO$7,'IS(M)'!$M39:$ER39)</f>
        <v>0</v>
      </c>
      <c r="DP33" s="171">
        <f>SUMIF('IS(M)'!$M$11:$ER$11,DP$7,'IS(M)'!$M39:$ER39)</f>
        <v>0</v>
      </c>
      <c r="DQ33" s="171">
        <f>SUMIF('IS(M)'!$M$11:$ER$11,DQ$7,'IS(M)'!$M39:$ER39)</f>
        <v>0</v>
      </c>
      <c r="DR33" s="171">
        <f>SUMIF('IS(M)'!$M$11:$ER$11,DR$7,'IS(M)'!$M39:$ER39)</f>
        <v>0</v>
      </c>
      <c r="DS33" s="171">
        <f>SUMIF('IS(M)'!$M$11:$ER$11,DS$7,'IS(M)'!$M39:$ER39)</f>
        <v>0</v>
      </c>
      <c r="DT33" s="171">
        <f>SUMIF('IS(M)'!$M$11:$ER$11,DT$7,'IS(M)'!$M39:$ER39)</f>
        <v>0</v>
      </c>
      <c r="DU33" s="171">
        <f>SUMIF('IS(M)'!$M$11:$ER$11,DU$7,'IS(M)'!$M39:$ER39)</f>
        <v>0</v>
      </c>
      <c r="DV33" s="171">
        <f>SUMIF('IS(M)'!$M$11:$ER$11,DV$7,'IS(M)'!$M39:$ER39)</f>
        <v>0</v>
      </c>
      <c r="DW33" s="171">
        <f>SUMIF('IS(M)'!$M$11:$ER$11,DW$7,'IS(M)'!$M39:$ER39)</f>
        <v>0</v>
      </c>
    </row>
    <row r="34" spans="2:127" ht="11.25" customHeight="1">
      <c r="B34" s="218"/>
      <c r="C34" s="163"/>
      <c r="D34" s="169" t="s">
        <v>192</v>
      </c>
      <c r="G34" s="805">
        <f>'A&amp;R'!Q84</f>
        <v>2169.570072585148</v>
      </c>
      <c r="H34" s="806">
        <f>'A&amp;R'!U84</f>
        <v>46691</v>
      </c>
      <c r="I34" s="807">
        <f>'A&amp;R'!T84</f>
        <v>0</v>
      </c>
      <c r="J34" s="13"/>
      <c r="K34" s="171">
        <f t="shared" si="12"/>
        <v>260348.4087102178</v>
      </c>
      <c r="L34" s="98"/>
      <c r="M34" s="171">
        <f>SUMIF('IS(M)'!$M$11:$ER$11,M$7,'IS(M)'!$M40:$ER40)</f>
        <v>0</v>
      </c>
      <c r="N34" s="171">
        <f>SUMIF('IS(M)'!$M$11:$ER$11,N$7,'IS(M)'!$M40:$ER40)</f>
        <v>13017.420435510887</v>
      </c>
      <c r="O34" s="171">
        <f>SUMIF('IS(M)'!$M$11:$ER$11,O$7,'IS(M)'!$M40:$ER40)</f>
        <v>13017.420435510887</v>
      </c>
      <c r="P34" s="171">
        <f>SUMIF('IS(M)'!$M$11:$ER$11,P$7,'IS(M)'!$M40:$ER40)</f>
        <v>13017.420435510887</v>
      </c>
      <c r="Q34" s="171">
        <f>SUMIF('IS(M)'!$M$11:$ER$11,Q$7,'IS(M)'!$M40:$ER40)</f>
        <v>13017.420435510887</v>
      </c>
      <c r="R34" s="171">
        <f>SUMIF('IS(M)'!$M$11:$ER$11,R$7,'IS(M)'!$M40:$ER40)</f>
        <v>13017.420435510887</v>
      </c>
      <c r="S34" s="171">
        <f>SUMIF('IS(M)'!$M$11:$ER$11,S$7,'IS(M)'!$M40:$ER40)</f>
        <v>13017.420435510887</v>
      </c>
      <c r="T34" s="171">
        <f>SUMIF('IS(M)'!$M$11:$ER$11,T$7,'IS(M)'!$M40:$ER40)</f>
        <v>13017.420435510887</v>
      </c>
      <c r="U34" s="171">
        <f>SUMIF('IS(M)'!$M$11:$ER$11,U$7,'IS(M)'!$M40:$ER40)</f>
        <v>13017.420435510887</v>
      </c>
      <c r="V34" s="171">
        <f>SUMIF('IS(M)'!$M$11:$ER$11,V$7,'IS(M)'!$M40:$ER40)</f>
        <v>13017.420435510887</v>
      </c>
      <c r="W34" s="171">
        <f>SUMIF('IS(M)'!$M$11:$ER$11,W$7,'IS(M)'!$M40:$ER40)</f>
        <v>13017.420435510887</v>
      </c>
      <c r="X34" s="171">
        <f>SUMIF('IS(M)'!$M$11:$ER$11,X$7,'IS(M)'!$M40:$ER40)</f>
        <v>13017.420435510887</v>
      </c>
      <c r="Y34" s="171">
        <f>SUMIF('IS(M)'!$M$11:$ER$11,Y$7,'IS(M)'!$M40:$ER40)</f>
        <v>13017.420435510887</v>
      </c>
      <c r="Z34" s="171">
        <f>SUMIF('IS(M)'!$M$11:$ER$11,Z$7,'IS(M)'!$M40:$ER40)</f>
        <v>13017.420435510887</v>
      </c>
      <c r="AA34" s="171">
        <f>SUMIF('IS(M)'!$M$11:$ER$11,AA$7,'IS(M)'!$M40:$ER40)</f>
        <v>13017.420435510887</v>
      </c>
      <c r="AB34" s="171">
        <f>SUMIF('IS(M)'!$M$11:$ER$11,AB$7,'IS(M)'!$M40:$ER40)</f>
        <v>13017.420435510887</v>
      </c>
      <c r="AC34" s="171">
        <f>SUMIF('IS(M)'!$M$11:$ER$11,AC$7,'IS(M)'!$M40:$ER40)</f>
        <v>13017.420435510887</v>
      </c>
      <c r="AD34" s="171">
        <f>SUMIF('IS(M)'!$M$11:$ER$11,AD$7,'IS(M)'!$M40:$ER40)</f>
        <v>13017.420435510887</v>
      </c>
      <c r="AE34" s="171">
        <f>SUMIF('IS(M)'!$M$11:$ER$11,AE$7,'IS(M)'!$M40:$ER40)</f>
        <v>13017.420435510887</v>
      </c>
      <c r="AF34" s="171">
        <f>SUMIF('IS(M)'!$M$11:$ER$11,AF$7,'IS(M)'!$M40:$ER40)</f>
        <v>13017.420435510887</v>
      </c>
      <c r="AG34" s="171">
        <f>SUMIF('IS(M)'!$M$11:$ER$11,AG$7,'IS(M)'!$M40:$ER40)</f>
        <v>13017.420435510887</v>
      </c>
      <c r="AH34" s="171">
        <f>SUMIF('IS(M)'!$M$11:$ER$11,AH$7,'IS(M)'!$M40:$ER40)</f>
        <v>0</v>
      </c>
      <c r="AI34" s="171">
        <f>SUMIF('IS(M)'!$M$11:$ER$11,AI$7,'IS(M)'!$M40:$ER40)</f>
        <v>0</v>
      </c>
      <c r="AJ34" s="171">
        <f>SUMIF('IS(M)'!$M$11:$ER$11,AJ$7,'IS(M)'!$M40:$ER40)</f>
        <v>0</v>
      </c>
      <c r="AK34" s="171">
        <f>SUMIF('IS(M)'!$M$11:$ER$11,AK$7,'IS(M)'!$M40:$ER40)</f>
        <v>0</v>
      </c>
      <c r="AL34" s="171">
        <f>SUMIF('IS(M)'!$M$11:$ER$11,AL$7,'IS(M)'!$M40:$ER40)</f>
        <v>0</v>
      </c>
      <c r="AM34" s="171">
        <f>SUMIF('IS(M)'!$M$11:$ER$11,AM$7,'IS(M)'!$M40:$ER40)</f>
        <v>0</v>
      </c>
      <c r="AN34" s="171">
        <f>SUMIF('IS(M)'!$M$11:$ER$11,AN$7,'IS(M)'!$M40:$ER40)</f>
        <v>0</v>
      </c>
      <c r="AO34" s="171">
        <f>SUMIF('IS(M)'!$M$11:$ER$11,AO$7,'IS(M)'!$M40:$ER40)</f>
        <v>0</v>
      </c>
      <c r="AP34" s="171">
        <f>SUMIF('IS(M)'!$M$11:$ER$11,AP$7,'IS(M)'!$M40:$ER40)</f>
        <v>0</v>
      </c>
      <c r="AQ34" s="171">
        <f>SUMIF('IS(M)'!$M$11:$ER$11,AQ$7,'IS(M)'!$M40:$ER40)</f>
        <v>0</v>
      </c>
      <c r="AR34" s="171">
        <f>SUMIF('IS(M)'!$M$11:$ER$11,AR$7,'IS(M)'!$M40:$ER40)</f>
        <v>0</v>
      </c>
      <c r="AS34" s="171">
        <f>SUMIF('IS(M)'!$M$11:$ER$11,AS$7,'IS(M)'!$M40:$ER40)</f>
        <v>0</v>
      </c>
      <c r="AT34" s="171">
        <f>SUMIF('IS(M)'!$M$11:$ER$11,AT$7,'IS(M)'!$M40:$ER40)</f>
        <v>0</v>
      </c>
      <c r="AU34" s="171">
        <f>SUMIF('IS(M)'!$M$11:$ER$11,AU$7,'IS(M)'!$M40:$ER40)</f>
        <v>0</v>
      </c>
      <c r="AV34" s="171">
        <f>SUMIF('IS(M)'!$M$11:$ER$11,AV$7,'IS(M)'!$M40:$ER40)</f>
        <v>0</v>
      </c>
      <c r="AW34" s="171">
        <f>SUMIF('IS(M)'!$M$11:$ER$11,AW$7,'IS(M)'!$M40:$ER40)</f>
        <v>0</v>
      </c>
      <c r="AX34" s="171">
        <f>SUMIF('IS(M)'!$M$11:$ER$11,AX$7,'IS(M)'!$M40:$ER40)</f>
        <v>0</v>
      </c>
      <c r="AY34" s="171">
        <f>SUMIF('IS(M)'!$M$11:$ER$11,AY$7,'IS(M)'!$M40:$ER40)</f>
        <v>0</v>
      </c>
      <c r="AZ34" s="171">
        <f>SUMIF('IS(M)'!$M$11:$ER$11,AZ$7,'IS(M)'!$M40:$ER40)</f>
        <v>0</v>
      </c>
      <c r="BA34" s="171">
        <f>SUMIF('IS(M)'!$M$11:$ER$11,BA$7,'IS(M)'!$M40:$ER40)</f>
        <v>0</v>
      </c>
      <c r="BB34" s="171">
        <f>SUMIF('IS(M)'!$M$11:$ER$11,BB$7,'IS(M)'!$M40:$ER40)</f>
        <v>0</v>
      </c>
      <c r="BC34" s="171">
        <f>SUMIF('IS(M)'!$M$11:$ER$11,BC$7,'IS(M)'!$M40:$ER40)</f>
        <v>0</v>
      </c>
      <c r="BD34" s="171">
        <f>SUMIF('IS(M)'!$M$11:$ER$11,BD$7,'IS(M)'!$M40:$ER40)</f>
        <v>0</v>
      </c>
      <c r="BE34" s="171">
        <f>SUMIF('IS(M)'!$M$11:$ER$11,BE$7,'IS(M)'!$M40:$ER40)</f>
        <v>0</v>
      </c>
      <c r="BF34" s="171">
        <f>SUMIF('IS(M)'!$M$11:$ER$11,BF$7,'IS(M)'!$M40:$ER40)</f>
        <v>0</v>
      </c>
      <c r="BG34" s="171">
        <f>SUMIF('IS(M)'!$M$11:$ER$11,BG$7,'IS(M)'!$M40:$ER40)</f>
        <v>0</v>
      </c>
      <c r="BH34" s="171">
        <f>SUMIF('IS(M)'!$M$11:$ER$11,BH$7,'IS(M)'!$M40:$ER40)</f>
        <v>0</v>
      </c>
      <c r="BI34" s="171">
        <f>SUMIF('IS(M)'!$M$11:$ER$11,BI$7,'IS(M)'!$M40:$ER40)</f>
        <v>0</v>
      </c>
      <c r="BJ34" s="171">
        <f>SUMIF('IS(M)'!$M$11:$ER$11,BJ$7,'IS(M)'!$M40:$ER40)</f>
        <v>0</v>
      </c>
      <c r="BK34" s="171">
        <f>SUMIF('IS(M)'!$M$11:$ER$11,BK$7,'IS(M)'!$M40:$ER40)</f>
        <v>0</v>
      </c>
      <c r="BL34" s="171">
        <f>SUMIF('IS(M)'!$M$11:$ER$11,BL$7,'IS(M)'!$M40:$ER40)</f>
        <v>0</v>
      </c>
      <c r="BM34" s="171">
        <f>SUMIF('IS(M)'!$M$11:$ER$11,BM$7,'IS(M)'!$M40:$ER40)</f>
        <v>0</v>
      </c>
      <c r="BN34" s="171">
        <f>SUMIF('IS(M)'!$M$11:$ER$11,BN$7,'IS(M)'!$M40:$ER40)</f>
        <v>0</v>
      </c>
      <c r="BO34" s="171">
        <f>SUMIF('IS(M)'!$M$11:$ER$11,BO$7,'IS(M)'!$M40:$ER40)</f>
        <v>0</v>
      </c>
      <c r="BP34" s="171">
        <f>SUMIF('IS(M)'!$M$11:$ER$11,BP$7,'IS(M)'!$M40:$ER40)</f>
        <v>0</v>
      </c>
      <c r="BQ34" s="171">
        <f>SUMIF('IS(M)'!$M$11:$ER$11,BQ$7,'IS(M)'!$M40:$ER40)</f>
        <v>0</v>
      </c>
      <c r="BR34" s="171">
        <f>SUMIF('IS(M)'!$M$11:$ER$11,BR$7,'IS(M)'!$M40:$ER40)</f>
        <v>0</v>
      </c>
      <c r="BS34" s="171">
        <f>SUMIF('IS(M)'!$M$11:$ER$11,BS$7,'IS(M)'!$M40:$ER40)</f>
        <v>0</v>
      </c>
      <c r="BT34" s="171">
        <f>SUMIF('IS(M)'!$M$11:$ER$11,BT$7,'IS(M)'!$M40:$ER40)</f>
        <v>0</v>
      </c>
      <c r="BU34" s="171">
        <f>SUMIF('IS(M)'!$M$11:$ER$11,BU$7,'IS(M)'!$M40:$ER40)</f>
        <v>0</v>
      </c>
      <c r="BV34" s="171">
        <f>SUMIF('IS(M)'!$M$11:$ER$11,BV$7,'IS(M)'!$M40:$ER40)</f>
        <v>0</v>
      </c>
      <c r="BW34" s="171">
        <f>SUMIF('IS(M)'!$M$11:$ER$11,BW$7,'IS(M)'!$M40:$ER40)</f>
        <v>0</v>
      </c>
      <c r="BX34" s="171">
        <f>SUMIF('IS(M)'!$M$11:$ER$11,BX$7,'IS(M)'!$M40:$ER40)</f>
        <v>0</v>
      </c>
      <c r="BY34" s="171">
        <f>SUMIF('IS(M)'!$M$11:$ER$11,BY$7,'IS(M)'!$M40:$ER40)</f>
        <v>0</v>
      </c>
      <c r="BZ34" s="171">
        <f>SUMIF('IS(M)'!$M$11:$ER$11,BZ$7,'IS(M)'!$M40:$ER40)</f>
        <v>0</v>
      </c>
      <c r="CA34" s="171">
        <f>SUMIF('IS(M)'!$M$11:$ER$11,CA$7,'IS(M)'!$M40:$ER40)</f>
        <v>0</v>
      </c>
      <c r="CB34" s="171">
        <f>SUMIF('IS(M)'!$M$11:$ER$11,CB$7,'IS(M)'!$M40:$ER40)</f>
        <v>0</v>
      </c>
      <c r="CC34" s="171">
        <f>SUMIF('IS(M)'!$M$11:$ER$11,CC$7,'IS(M)'!$M40:$ER40)</f>
        <v>0</v>
      </c>
      <c r="CD34" s="171">
        <f>SUMIF('IS(M)'!$M$11:$ER$11,CD$7,'IS(M)'!$M40:$ER40)</f>
        <v>0</v>
      </c>
      <c r="CE34" s="171">
        <f>SUMIF('IS(M)'!$M$11:$ER$11,CE$7,'IS(M)'!$M40:$ER40)</f>
        <v>0</v>
      </c>
      <c r="CF34" s="171">
        <f>SUMIF('IS(M)'!$M$11:$ER$11,CF$7,'IS(M)'!$M40:$ER40)</f>
        <v>0</v>
      </c>
      <c r="CG34" s="171">
        <f>SUMIF('IS(M)'!$M$11:$ER$11,CG$7,'IS(M)'!$M40:$ER40)</f>
        <v>0</v>
      </c>
      <c r="CH34" s="171">
        <f>SUMIF('IS(M)'!$M$11:$ER$11,CH$7,'IS(M)'!$M40:$ER40)</f>
        <v>0</v>
      </c>
      <c r="CI34" s="171">
        <f>SUMIF('IS(M)'!$M$11:$ER$11,CI$7,'IS(M)'!$M40:$ER40)</f>
        <v>0</v>
      </c>
      <c r="CJ34" s="171">
        <f>SUMIF('IS(M)'!$M$11:$ER$11,CJ$7,'IS(M)'!$M40:$ER40)</f>
        <v>0</v>
      </c>
      <c r="CK34" s="171">
        <f>SUMIF('IS(M)'!$M$11:$ER$11,CK$7,'IS(M)'!$M40:$ER40)</f>
        <v>0</v>
      </c>
      <c r="CL34" s="171">
        <f>SUMIF('IS(M)'!$M$11:$ER$11,CL$7,'IS(M)'!$M40:$ER40)</f>
        <v>0</v>
      </c>
      <c r="CM34" s="171">
        <f>SUMIF('IS(M)'!$M$11:$ER$11,CM$7,'IS(M)'!$M40:$ER40)</f>
        <v>0</v>
      </c>
      <c r="CN34" s="171">
        <f>SUMIF('IS(M)'!$M$11:$ER$11,CN$7,'IS(M)'!$M40:$ER40)</f>
        <v>0</v>
      </c>
      <c r="CO34" s="171">
        <f>SUMIF('IS(M)'!$M$11:$ER$11,CO$7,'IS(M)'!$M40:$ER40)</f>
        <v>0</v>
      </c>
      <c r="CP34" s="171">
        <f>SUMIF('IS(M)'!$M$11:$ER$11,CP$7,'IS(M)'!$M40:$ER40)</f>
        <v>0</v>
      </c>
      <c r="CQ34" s="171">
        <f>SUMIF('IS(M)'!$M$11:$ER$11,CQ$7,'IS(M)'!$M40:$ER40)</f>
        <v>0</v>
      </c>
      <c r="CR34" s="171">
        <f>SUMIF('IS(M)'!$M$11:$ER$11,CR$7,'IS(M)'!$M40:$ER40)</f>
        <v>0</v>
      </c>
      <c r="CS34" s="171">
        <f>SUMIF('IS(M)'!$M$11:$ER$11,CS$7,'IS(M)'!$M40:$ER40)</f>
        <v>0</v>
      </c>
      <c r="CT34" s="171">
        <f>SUMIF('IS(M)'!$M$11:$ER$11,CT$7,'IS(M)'!$M40:$ER40)</f>
        <v>0</v>
      </c>
      <c r="CU34" s="171">
        <f>SUMIF('IS(M)'!$M$11:$ER$11,CU$7,'IS(M)'!$M40:$ER40)</f>
        <v>0</v>
      </c>
      <c r="CV34" s="171">
        <f>SUMIF('IS(M)'!$M$11:$ER$11,CV$7,'IS(M)'!$M40:$ER40)</f>
        <v>0</v>
      </c>
      <c r="CW34" s="171">
        <f>SUMIF('IS(M)'!$M$11:$ER$11,CW$7,'IS(M)'!$M40:$ER40)</f>
        <v>0</v>
      </c>
      <c r="CX34" s="171">
        <f>SUMIF('IS(M)'!$M$11:$ER$11,CX$7,'IS(M)'!$M40:$ER40)</f>
        <v>0</v>
      </c>
      <c r="CY34" s="171">
        <f>SUMIF('IS(M)'!$M$11:$ER$11,CY$7,'IS(M)'!$M40:$ER40)</f>
        <v>0</v>
      </c>
      <c r="CZ34" s="171">
        <f>SUMIF('IS(M)'!$M$11:$ER$11,CZ$7,'IS(M)'!$M40:$ER40)</f>
        <v>0</v>
      </c>
      <c r="DA34" s="171">
        <f>SUMIF('IS(M)'!$M$11:$ER$11,DA$7,'IS(M)'!$M40:$ER40)</f>
        <v>0</v>
      </c>
      <c r="DB34" s="171">
        <f>SUMIF('IS(M)'!$M$11:$ER$11,DB$7,'IS(M)'!$M40:$ER40)</f>
        <v>0</v>
      </c>
      <c r="DC34" s="171">
        <f>SUMIF('IS(M)'!$M$11:$ER$11,DC$7,'IS(M)'!$M40:$ER40)</f>
        <v>0</v>
      </c>
      <c r="DD34" s="171">
        <f>SUMIF('IS(M)'!$M$11:$ER$11,DD$7,'IS(M)'!$M40:$ER40)</f>
        <v>0</v>
      </c>
      <c r="DE34" s="171">
        <f>SUMIF('IS(M)'!$M$11:$ER$11,DE$7,'IS(M)'!$M40:$ER40)</f>
        <v>0</v>
      </c>
      <c r="DF34" s="171">
        <f>SUMIF('IS(M)'!$M$11:$ER$11,DF$7,'IS(M)'!$M40:$ER40)</f>
        <v>0</v>
      </c>
      <c r="DG34" s="171">
        <f>SUMIF('IS(M)'!$M$11:$ER$11,DG$7,'IS(M)'!$M40:$ER40)</f>
        <v>0</v>
      </c>
      <c r="DH34" s="171">
        <f>SUMIF('IS(M)'!$M$11:$ER$11,DH$7,'IS(M)'!$M40:$ER40)</f>
        <v>0</v>
      </c>
      <c r="DI34" s="171">
        <f>SUMIF('IS(M)'!$M$11:$ER$11,DI$7,'IS(M)'!$M40:$ER40)</f>
        <v>0</v>
      </c>
      <c r="DJ34" s="171">
        <f>SUMIF('IS(M)'!$M$11:$ER$11,DJ$7,'IS(M)'!$M40:$ER40)</f>
        <v>0</v>
      </c>
      <c r="DK34" s="171">
        <f>SUMIF('IS(M)'!$M$11:$ER$11,DK$7,'IS(M)'!$M40:$ER40)</f>
        <v>0</v>
      </c>
      <c r="DL34" s="171">
        <f>SUMIF('IS(M)'!$M$11:$ER$11,DL$7,'IS(M)'!$M40:$ER40)</f>
        <v>0</v>
      </c>
      <c r="DM34" s="171">
        <f>SUMIF('IS(M)'!$M$11:$ER$11,DM$7,'IS(M)'!$M40:$ER40)</f>
        <v>0</v>
      </c>
      <c r="DN34" s="171">
        <f>SUMIF('IS(M)'!$M$11:$ER$11,DN$7,'IS(M)'!$M40:$ER40)</f>
        <v>0</v>
      </c>
      <c r="DO34" s="171">
        <f>SUMIF('IS(M)'!$M$11:$ER$11,DO$7,'IS(M)'!$M40:$ER40)</f>
        <v>0</v>
      </c>
      <c r="DP34" s="171">
        <f>SUMIF('IS(M)'!$M$11:$ER$11,DP$7,'IS(M)'!$M40:$ER40)</f>
        <v>0</v>
      </c>
      <c r="DQ34" s="171">
        <f>SUMIF('IS(M)'!$M$11:$ER$11,DQ$7,'IS(M)'!$M40:$ER40)</f>
        <v>0</v>
      </c>
      <c r="DR34" s="171">
        <f>SUMIF('IS(M)'!$M$11:$ER$11,DR$7,'IS(M)'!$M40:$ER40)</f>
        <v>0</v>
      </c>
      <c r="DS34" s="171">
        <f>SUMIF('IS(M)'!$M$11:$ER$11,DS$7,'IS(M)'!$M40:$ER40)</f>
        <v>0</v>
      </c>
      <c r="DT34" s="171">
        <f>SUMIF('IS(M)'!$M$11:$ER$11,DT$7,'IS(M)'!$M40:$ER40)</f>
        <v>0</v>
      </c>
      <c r="DU34" s="171">
        <f>SUMIF('IS(M)'!$M$11:$ER$11,DU$7,'IS(M)'!$M40:$ER40)</f>
        <v>0</v>
      </c>
      <c r="DV34" s="171">
        <f>SUMIF('IS(M)'!$M$11:$ER$11,DV$7,'IS(M)'!$M40:$ER40)</f>
        <v>0</v>
      </c>
      <c r="DW34" s="171">
        <f>SUMIF('IS(M)'!$M$11:$ER$11,DW$7,'IS(M)'!$M40:$ER40)</f>
        <v>0</v>
      </c>
    </row>
    <row r="35" spans="2:127" ht="11.25" customHeight="1">
      <c r="B35" s="218"/>
      <c r="C35" s="163"/>
      <c r="D35" s="179" t="s">
        <v>533</v>
      </c>
      <c r="E35" s="180"/>
      <c r="F35" s="180"/>
      <c r="G35" s="889">
        <f>'A&amp;R'!Q81</f>
        <v>6000</v>
      </c>
      <c r="H35" s="890">
        <f>'A&amp;R'!U81</f>
        <v>46691</v>
      </c>
      <c r="I35" s="891">
        <f>'A&amp;R'!T81</f>
        <v>0.02</v>
      </c>
      <c r="J35" s="860"/>
      <c r="K35" s="184">
        <f t="shared" si="12"/>
        <v>788379.9119811256</v>
      </c>
      <c r="L35" s="98"/>
      <c r="M35" s="184">
        <f>SUMIF('IS(M)'!$M$11:$ER$11,M$7,'IS(M)'!$M41:$ER41)</f>
        <v>0</v>
      </c>
      <c r="N35" s="184">
        <f>SUMIF('IS(M)'!$M$11:$ER$11,N$7,'IS(M)'!$M41:$ER41)</f>
        <v>36000</v>
      </c>
      <c r="O35" s="184">
        <f>SUMIF('IS(M)'!$M$11:$ER$11,O$7,'IS(M)'!$M41:$ER41)</f>
        <v>36000</v>
      </c>
      <c r="P35" s="184">
        <f>SUMIF('IS(M)'!$M$11:$ER$11,P$7,'IS(M)'!$M41:$ER41)</f>
        <v>36720</v>
      </c>
      <c r="Q35" s="184">
        <f>SUMIF('IS(M)'!$M$11:$ER$11,Q$7,'IS(M)'!$M41:$ER41)</f>
        <v>36720</v>
      </c>
      <c r="R35" s="184">
        <f>SUMIF('IS(M)'!$M$11:$ER$11,R$7,'IS(M)'!$M41:$ER41)</f>
        <v>37454.400000000001</v>
      </c>
      <c r="S35" s="184">
        <f>SUMIF('IS(M)'!$M$11:$ER$11,S$7,'IS(M)'!$M41:$ER41)</f>
        <v>37454.400000000001</v>
      </c>
      <c r="T35" s="184">
        <f>SUMIF('IS(M)'!$M$11:$ER$11,T$7,'IS(M)'!$M41:$ER41)</f>
        <v>38203.487999999998</v>
      </c>
      <c r="U35" s="184">
        <f>SUMIF('IS(M)'!$M$11:$ER$11,U$7,'IS(M)'!$M41:$ER41)</f>
        <v>38203.487999999998</v>
      </c>
      <c r="V35" s="184">
        <f>SUMIF('IS(M)'!$M$11:$ER$11,V$7,'IS(M)'!$M41:$ER41)</f>
        <v>38967.557760000003</v>
      </c>
      <c r="W35" s="184">
        <f>SUMIF('IS(M)'!$M$11:$ER$11,W$7,'IS(M)'!$M41:$ER41)</f>
        <v>38967.557760000003</v>
      </c>
      <c r="X35" s="184">
        <f>SUMIF('IS(M)'!$M$11:$ER$11,X$7,'IS(M)'!$M41:$ER41)</f>
        <v>39746.908915200002</v>
      </c>
      <c r="Y35" s="184">
        <f>SUMIF('IS(M)'!$M$11:$ER$11,Y$7,'IS(M)'!$M41:$ER41)</f>
        <v>39746.908915200002</v>
      </c>
      <c r="Z35" s="184">
        <f>SUMIF('IS(M)'!$M$11:$ER$11,Z$7,'IS(M)'!$M41:$ER41)</f>
        <v>40541.847093504002</v>
      </c>
      <c r="AA35" s="184">
        <f>SUMIF('IS(M)'!$M$11:$ER$11,AA$7,'IS(M)'!$M41:$ER41)</f>
        <v>40541.847093504002</v>
      </c>
      <c r="AB35" s="184">
        <f>SUMIF('IS(M)'!$M$11:$ER$11,AB$7,'IS(M)'!$M41:$ER41)</f>
        <v>41352.684035374077</v>
      </c>
      <c r="AC35" s="184">
        <f>SUMIF('IS(M)'!$M$11:$ER$11,AC$7,'IS(M)'!$M41:$ER41)</f>
        <v>41352.684035374077</v>
      </c>
      <c r="AD35" s="184">
        <f>SUMIF('IS(M)'!$M$11:$ER$11,AD$7,'IS(M)'!$M41:$ER41)</f>
        <v>42179.737716081559</v>
      </c>
      <c r="AE35" s="184">
        <f>SUMIF('IS(M)'!$M$11:$ER$11,AE$7,'IS(M)'!$M41:$ER41)</f>
        <v>42179.737716081559</v>
      </c>
      <c r="AF35" s="184">
        <f>SUMIF('IS(M)'!$M$11:$ER$11,AF$7,'IS(M)'!$M41:$ER41)</f>
        <v>43023.332470403184</v>
      </c>
      <c r="AG35" s="184">
        <f>SUMIF('IS(M)'!$M$11:$ER$11,AG$7,'IS(M)'!$M41:$ER41)</f>
        <v>43023.332470403184</v>
      </c>
      <c r="AH35" s="184">
        <f>SUMIF('IS(M)'!$M$11:$ER$11,AH$7,'IS(M)'!$M41:$ER41)</f>
        <v>0</v>
      </c>
      <c r="AI35" s="184">
        <f>SUMIF('IS(M)'!$M$11:$ER$11,AI$7,'IS(M)'!$M41:$ER41)</f>
        <v>0</v>
      </c>
      <c r="AJ35" s="184">
        <f>SUMIF('IS(M)'!$M$11:$ER$11,AJ$7,'IS(M)'!$M41:$ER41)</f>
        <v>0</v>
      </c>
      <c r="AK35" s="184">
        <f>SUMIF('IS(M)'!$M$11:$ER$11,AK$7,'IS(M)'!$M41:$ER41)</f>
        <v>0</v>
      </c>
      <c r="AL35" s="184">
        <f>SUMIF('IS(M)'!$M$11:$ER$11,AL$7,'IS(M)'!$M41:$ER41)</f>
        <v>0</v>
      </c>
      <c r="AM35" s="184">
        <f>SUMIF('IS(M)'!$M$11:$ER$11,AM$7,'IS(M)'!$M41:$ER41)</f>
        <v>0</v>
      </c>
      <c r="AN35" s="184">
        <f>SUMIF('IS(M)'!$M$11:$ER$11,AN$7,'IS(M)'!$M41:$ER41)</f>
        <v>0</v>
      </c>
      <c r="AO35" s="184">
        <f>SUMIF('IS(M)'!$M$11:$ER$11,AO$7,'IS(M)'!$M41:$ER41)</f>
        <v>0</v>
      </c>
      <c r="AP35" s="184">
        <f>SUMIF('IS(M)'!$M$11:$ER$11,AP$7,'IS(M)'!$M41:$ER41)</f>
        <v>0</v>
      </c>
      <c r="AQ35" s="184">
        <f>SUMIF('IS(M)'!$M$11:$ER$11,AQ$7,'IS(M)'!$M41:$ER41)</f>
        <v>0</v>
      </c>
      <c r="AR35" s="184">
        <f>SUMIF('IS(M)'!$M$11:$ER$11,AR$7,'IS(M)'!$M41:$ER41)</f>
        <v>0</v>
      </c>
      <c r="AS35" s="184">
        <f>SUMIF('IS(M)'!$M$11:$ER$11,AS$7,'IS(M)'!$M41:$ER41)</f>
        <v>0</v>
      </c>
      <c r="AT35" s="184">
        <f>SUMIF('IS(M)'!$M$11:$ER$11,AT$7,'IS(M)'!$M41:$ER41)</f>
        <v>0</v>
      </c>
      <c r="AU35" s="184">
        <f>SUMIF('IS(M)'!$M$11:$ER$11,AU$7,'IS(M)'!$M41:$ER41)</f>
        <v>0</v>
      </c>
      <c r="AV35" s="184">
        <f>SUMIF('IS(M)'!$M$11:$ER$11,AV$7,'IS(M)'!$M41:$ER41)</f>
        <v>0</v>
      </c>
      <c r="AW35" s="184">
        <f>SUMIF('IS(M)'!$M$11:$ER$11,AW$7,'IS(M)'!$M41:$ER41)</f>
        <v>0</v>
      </c>
      <c r="AX35" s="184">
        <f>SUMIF('IS(M)'!$M$11:$ER$11,AX$7,'IS(M)'!$M41:$ER41)</f>
        <v>0</v>
      </c>
      <c r="AY35" s="184">
        <f>SUMIF('IS(M)'!$M$11:$ER$11,AY$7,'IS(M)'!$M41:$ER41)</f>
        <v>0</v>
      </c>
      <c r="AZ35" s="184">
        <f>SUMIF('IS(M)'!$M$11:$ER$11,AZ$7,'IS(M)'!$M41:$ER41)</f>
        <v>0</v>
      </c>
      <c r="BA35" s="184">
        <f>SUMIF('IS(M)'!$M$11:$ER$11,BA$7,'IS(M)'!$M41:$ER41)</f>
        <v>0</v>
      </c>
      <c r="BB35" s="184">
        <f>SUMIF('IS(M)'!$M$11:$ER$11,BB$7,'IS(M)'!$M41:$ER41)</f>
        <v>0</v>
      </c>
      <c r="BC35" s="184">
        <f>SUMIF('IS(M)'!$M$11:$ER$11,BC$7,'IS(M)'!$M41:$ER41)</f>
        <v>0</v>
      </c>
      <c r="BD35" s="184">
        <f>SUMIF('IS(M)'!$M$11:$ER$11,BD$7,'IS(M)'!$M41:$ER41)</f>
        <v>0</v>
      </c>
      <c r="BE35" s="184">
        <f>SUMIF('IS(M)'!$M$11:$ER$11,BE$7,'IS(M)'!$M41:$ER41)</f>
        <v>0</v>
      </c>
      <c r="BF35" s="184">
        <f>SUMIF('IS(M)'!$M$11:$ER$11,BF$7,'IS(M)'!$M41:$ER41)</f>
        <v>0</v>
      </c>
      <c r="BG35" s="184">
        <f>SUMIF('IS(M)'!$M$11:$ER$11,BG$7,'IS(M)'!$M41:$ER41)</f>
        <v>0</v>
      </c>
      <c r="BH35" s="184">
        <f>SUMIF('IS(M)'!$M$11:$ER$11,BH$7,'IS(M)'!$M41:$ER41)</f>
        <v>0</v>
      </c>
      <c r="BI35" s="184">
        <f>SUMIF('IS(M)'!$M$11:$ER$11,BI$7,'IS(M)'!$M41:$ER41)</f>
        <v>0</v>
      </c>
      <c r="BJ35" s="184">
        <f>SUMIF('IS(M)'!$M$11:$ER$11,BJ$7,'IS(M)'!$M41:$ER41)</f>
        <v>0</v>
      </c>
      <c r="BK35" s="184">
        <f>SUMIF('IS(M)'!$M$11:$ER$11,BK$7,'IS(M)'!$M41:$ER41)</f>
        <v>0</v>
      </c>
      <c r="BL35" s="184">
        <f>SUMIF('IS(M)'!$M$11:$ER$11,BL$7,'IS(M)'!$M41:$ER41)</f>
        <v>0</v>
      </c>
      <c r="BM35" s="184">
        <f>SUMIF('IS(M)'!$M$11:$ER$11,BM$7,'IS(M)'!$M41:$ER41)</f>
        <v>0</v>
      </c>
      <c r="BN35" s="184">
        <f>SUMIF('IS(M)'!$M$11:$ER$11,BN$7,'IS(M)'!$M41:$ER41)</f>
        <v>0</v>
      </c>
      <c r="BO35" s="184">
        <f>SUMIF('IS(M)'!$M$11:$ER$11,BO$7,'IS(M)'!$M41:$ER41)</f>
        <v>0</v>
      </c>
      <c r="BP35" s="184">
        <f>SUMIF('IS(M)'!$M$11:$ER$11,BP$7,'IS(M)'!$M41:$ER41)</f>
        <v>0</v>
      </c>
      <c r="BQ35" s="184">
        <f>SUMIF('IS(M)'!$M$11:$ER$11,BQ$7,'IS(M)'!$M41:$ER41)</f>
        <v>0</v>
      </c>
      <c r="BR35" s="184">
        <f>SUMIF('IS(M)'!$M$11:$ER$11,BR$7,'IS(M)'!$M41:$ER41)</f>
        <v>0</v>
      </c>
      <c r="BS35" s="184">
        <f>SUMIF('IS(M)'!$M$11:$ER$11,BS$7,'IS(M)'!$M41:$ER41)</f>
        <v>0</v>
      </c>
      <c r="BT35" s="184">
        <f>SUMIF('IS(M)'!$M$11:$ER$11,BT$7,'IS(M)'!$M41:$ER41)</f>
        <v>0</v>
      </c>
      <c r="BU35" s="184">
        <f>SUMIF('IS(M)'!$M$11:$ER$11,BU$7,'IS(M)'!$M41:$ER41)</f>
        <v>0</v>
      </c>
      <c r="BV35" s="184">
        <f>SUMIF('IS(M)'!$M$11:$ER$11,BV$7,'IS(M)'!$M41:$ER41)</f>
        <v>0</v>
      </c>
      <c r="BW35" s="184">
        <f>SUMIF('IS(M)'!$M$11:$ER$11,BW$7,'IS(M)'!$M41:$ER41)</f>
        <v>0</v>
      </c>
      <c r="BX35" s="184">
        <f>SUMIF('IS(M)'!$M$11:$ER$11,BX$7,'IS(M)'!$M41:$ER41)</f>
        <v>0</v>
      </c>
      <c r="BY35" s="184">
        <f>SUMIF('IS(M)'!$M$11:$ER$11,BY$7,'IS(M)'!$M41:$ER41)</f>
        <v>0</v>
      </c>
      <c r="BZ35" s="184">
        <f>SUMIF('IS(M)'!$M$11:$ER$11,BZ$7,'IS(M)'!$M41:$ER41)</f>
        <v>0</v>
      </c>
      <c r="CA35" s="184">
        <f>SUMIF('IS(M)'!$M$11:$ER$11,CA$7,'IS(M)'!$M41:$ER41)</f>
        <v>0</v>
      </c>
      <c r="CB35" s="184">
        <f>SUMIF('IS(M)'!$M$11:$ER$11,CB$7,'IS(M)'!$M41:$ER41)</f>
        <v>0</v>
      </c>
      <c r="CC35" s="184">
        <f>SUMIF('IS(M)'!$M$11:$ER$11,CC$7,'IS(M)'!$M41:$ER41)</f>
        <v>0</v>
      </c>
      <c r="CD35" s="184">
        <f>SUMIF('IS(M)'!$M$11:$ER$11,CD$7,'IS(M)'!$M41:$ER41)</f>
        <v>0</v>
      </c>
      <c r="CE35" s="184">
        <f>SUMIF('IS(M)'!$M$11:$ER$11,CE$7,'IS(M)'!$M41:$ER41)</f>
        <v>0</v>
      </c>
      <c r="CF35" s="184">
        <f>SUMIF('IS(M)'!$M$11:$ER$11,CF$7,'IS(M)'!$M41:$ER41)</f>
        <v>0</v>
      </c>
      <c r="CG35" s="184">
        <f>SUMIF('IS(M)'!$M$11:$ER$11,CG$7,'IS(M)'!$M41:$ER41)</f>
        <v>0</v>
      </c>
      <c r="CH35" s="184">
        <f>SUMIF('IS(M)'!$M$11:$ER$11,CH$7,'IS(M)'!$M41:$ER41)</f>
        <v>0</v>
      </c>
      <c r="CI35" s="184">
        <f>SUMIF('IS(M)'!$M$11:$ER$11,CI$7,'IS(M)'!$M41:$ER41)</f>
        <v>0</v>
      </c>
      <c r="CJ35" s="184">
        <f>SUMIF('IS(M)'!$M$11:$ER$11,CJ$7,'IS(M)'!$M41:$ER41)</f>
        <v>0</v>
      </c>
      <c r="CK35" s="184">
        <f>SUMIF('IS(M)'!$M$11:$ER$11,CK$7,'IS(M)'!$M41:$ER41)</f>
        <v>0</v>
      </c>
      <c r="CL35" s="184">
        <f>SUMIF('IS(M)'!$M$11:$ER$11,CL$7,'IS(M)'!$M41:$ER41)</f>
        <v>0</v>
      </c>
      <c r="CM35" s="184">
        <f>SUMIF('IS(M)'!$M$11:$ER$11,CM$7,'IS(M)'!$M41:$ER41)</f>
        <v>0</v>
      </c>
      <c r="CN35" s="184">
        <f>SUMIF('IS(M)'!$M$11:$ER$11,CN$7,'IS(M)'!$M41:$ER41)</f>
        <v>0</v>
      </c>
      <c r="CO35" s="184">
        <f>SUMIF('IS(M)'!$M$11:$ER$11,CO$7,'IS(M)'!$M41:$ER41)</f>
        <v>0</v>
      </c>
      <c r="CP35" s="184">
        <f>SUMIF('IS(M)'!$M$11:$ER$11,CP$7,'IS(M)'!$M41:$ER41)</f>
        <v>0</v>
      </c>
      <c r="CQ35" s="184">
        <f>SUMIF('IS(M)'!$M$11:$ER$11,CQ$7,'IS(M)'!$M41:$ER41)</f>
        <v>0</v>
      </c>
      <c r="CR35" s="184">
        <f>SUMIF('IS(M)'!$M$11:$ER$11,CR$7,'IS(M)'!$M41:$ER41)</f>
        <v>0</v>
      </c>
      <c r="CS35" s="184">
        <f>SUMIF('IS(M)'!$M$11:$ER$11,CS$7,'IS(M)'!$M41:$ER41)</f>
        <v>0</v>
      </c>
      <c r="CT35" s="184">
        <f>SUMIF('IS(M)'!$M$11:$ER$11,CT$7,'IS(M)'!$M41:$ER41)</f>
        <v>0</v>
      </c>
      <c r="CU35" s="184">
        <f>SUMIF('IS(M)'!$M$11:$ER$11,CU$7,'IS(M)'!$M41:$ER41)</f>
        <v>0</v>
      </c>
      <c r="CV35" s="184">
        <f>SUMIF('IS(M)'!$M$11:$ER$11,CV$7,'IS(M)'!$M41:$ER41)</f>
        <v>0</v>
      </c>
      <c r="CW35" s="184">
        <f>SUMIF('IS(M)'!$M$11:$ER$11,CW$7,'IS(M)'!$M41:$ER41)</f>
        <v>0</v>
      </c>
      <c r="CX35" s="184">
        <f>SUMIF('IS(M)'!$M$11:$ER$11,CX$7,'IS(M)'!$M41:$ER41)</f>
        <v>0</v>
      </c>
      <c r="CY35" s="184">
        <f>SUMIF('IS(M)'!$M$11:$ER$11,CY$7,'IS(M)'!$M41:$ER41)</f>
        <v>0</v>
      </c>
      <c r="CZ35" s="184">
        <f>SUMIF('IS(M)'!$M$11:$ER$11,CZ$7,'IS(M)'!$M41:$ER41)</f>
        <v>0</v>
      </c>
      <c r="DA35" s="184">
        <f>SUMIF('IS(M)'!$M$11:$ER$11,DA$7,'IS(M)'!$M41:$ER41)</f>
        <v>0</v>
      </c>
      <c r="DB35" s="184">
        <f>SUMIF('IS(M)'!$M$11:$ER$11,DB$7,'IS(M)'!$M41:$ER41)</f>
        <v>0</v>
      </c>
      <c r="DC35" s="184">
        <f>SUMIF('IS(M)'!$M$11:$ER$11,DC$7,'IS(M)'!$M41:$ER41)</f>
        <v>0</v>
      </c>
      <c r="DD35" s="184">
        <f>SUMIF('IS(M)'!$M$11:$ER$11,DD$7,'IS(M)'!$M41:$ER41)</f>
        <v>0</v>
      </c>
      <c r="DE35" s="184">
        <f>SUMIF('IS(M)'!$M$11:$ER$11,DE$7,'IS(M)'!$M41:$ER41)</f>
        <v>0</v>
      </c>
      <c r="DF35" s="184">
        <f>SUMIF('IS(M)'!$M$11:$ER$11,DF$7,'IS(M)'!$M41:$ER41)</f>
        <v>0</v>
      </c>
      <c r="DG35" s="184">
        <f>SUMIF('IS(M)'!$M$11:$ER$11,DG$7,'IS(M)'!$M41:$ER41)</f>
        <v>0</v>
      </c>
      <c r="DH35" s="184">
        <f>SUMIF('IS(M)'!$M$11:$ER$11,DH$7,'IS(M)'!$M41:$ER41)</f>
        <v>0</v>
      </c>
      <c r="DI35" s="184">
        <f>SUMIF('IS(M)'!$M$11:$ER$11,DI$7,'IS(M)'!$M41:$ER41)</f>
        <v>0</v>
      </c>
      <c r="DJ35" s="184">
        <f>SUMIF('IS(M)'!$M$11:$ER$11,DJ$7,'IS(M)'!$M41:$ER41)</f>
        <v>0</v>
      </c>
      <c r="DK35" s="184">
        <f>SUMIF('IS(M)'!$M$11:$ER$11,DK$7,'IS(M)'!$M41:$ER41)</f>
        <v>0</v>
      </c>
      <c r="DL35" s="184">
        <f>SUMIF('IS(M)'!$M$11:$ER$11,DL$7,'IS(M)'!$M41:$ER41)</f>
        <v>0</v>
      </c>
      <c r="DM35" s="184">
        <f>SUMIF('IS(M)'!$M$11:$ER$11,DM$7,'IS(M)'!$M41:$ER41)</f>
        <v>0</v>
      </c>
      <c r="DN35" s="184">
        <f>SUMIF('IS(M)'!$M$11:$ER$11,DN$7,'IS(M)'!$M41:$ER41)</f>
        <v>0</v>
      </c>
      <c r="DO35" s="184">
        <f>SUMIF('IS(M)'!$M$11:$ER$11,DO$7,'IS(M)'!$M41:$ER41)</f>
        <v>0</v>
      </c>
      <c r="DP35" s="184">
        <f>SUMIF('IS(M)'!$M$11:$ER$11,DP$7,'IS(M)'!$M41:$ER41)</f>
        <v>0</v>
      </c>
      <c r="DQ35" s="184">
        <f>SUMIF('IS(M)'!$M$11:$ER$11,DQ$7,'IS(M)'!$M41:$ER41)</f>
        <v>0</v>
      </c>
      <c r="DR35" s="184">
        <f>SUMIF('IS(M)'!$M$11:$ER$11,DR$7,'IS(M)'!$M41:$ER41)</f>
        <v>0</v>
      </c>
      <c r="DS35" s="184">
        <f>SUMIF('IS(M)'!$M$11:$ER$11,DS$7,'IS(M)'!$M41:$ER41)</f>
        <v>0</v>
      </c>
      <c r="DT35" s="184">
        <f>SUMIF('IS(M)'!$M$11:$ER$11,DT$7,'IS(M)'!$M41:$ER41)</f>
        <v>0</v>
      </c>
      <c r="DU35" s="184">
        <f>SUMIF('IS(M)'!$M$11:$ER$11,DU$7,'IS(M)'!$M41:$ER41)</f>
        <v>0</v>
      </c>
      <c r="DV35" s="184">
        <f>SUMIF('IS(M)'!$M$11:$ER$11,DV$7,'IS(M)'!$M41:$ER41)</f>
        <v>0</v>
      </c>
      <c r="DW35" s="184">
        <f>SUMIF('IS(M)'!$M$11:$ER$11,DW$7,'IS(M)'!$M41:$ER41)</f>
        <v>0</v>
      </c>
    </row>
    <row r="36" spans="2:127" ht="11.25" customHeight="1">
      <c r="B36" s="875" t="s">
        <v>513</v>
      </c>
      <c r="C36" s="876"/>
      <c r="D36" s="876"/>
      <c r="E36" s="876"/>
      <c r="F36" s="876"/>
      <c r="G36" s="876"/>
      <c r="H36" s="876"/>
      <c r="I36" s="877"/>
      <c r="J36" s="878"/>
      <c r="K36" s="897">
        <f ca="1">SUM(K37,-K40)</f>
        <v>6317060.5119738728</v>
      </c>
      <c r="M36" s="897">
        <f>SUM(M37,-M40)</f>
        <v>0</v>
      </c>
      <c r="N36" s="897">
        <f t="shared" ref="N36:BY36" ca="1" si="17">SUM(N37,-N40)</f>
        <v>-5104637.5333434846</v>
      </c>
      <c r="O36" s="897">
        <f t="shared" ca="1" si="17"/>
        <v>-4960000</v>
      </c>
      <c r="P36" s="897">
        <f t="shared" ca="1" si="17"/>
        <v>-4960000</v>
      </c>
      <c r="Q36" s="897">
        <f t="shared" ca="1" si="17"/>
        <v>-4960000</v>
      </c>
      <c r="R36" s="897">
        <f t="shared" ca="1" si="17"/>
        <v>-5112000</v>
      </c>
      <c r="S36" s="897">
        <f t="shared" ca="1" si="17"/>
        <v>-5112000</v>
      </c>
      <c r="T36" s="897">
        <f t="shared" ca="1" si="17"/>
        <v>-5112000</v>
      </c>
      <c r="U36" s="897">
        <f t="shared" ca="1" si="17"/>
        <v>-5112000</v>
      </c>
      <c r="V36" s="897">
        <f t="shared" ca="1" si="17"/>
        <v>-5112000</v>
      </c>
      <c r="W36" s="897">
        <f t="shared" ca="1" si="17"/>
        <v>-5112000</v>
      </c>
      <c r="X36" s="897">
        <f t="shared" ca="1" si="17"/>
        <v>-4792500</v>
      </c>
      <c r="Y36" s="897">
        <f t="shared" ca="1" si="17"/>
        <v>-4792500</v>
      </c>
      <c r="Z36" s="897">
        <f t="shared" ca="1" si="17"/>
        <v>-4792500</v>
      </c>
      <c r="AA36" s="897">
        <f t="shared" ca="1" si="17"/>
        <v>-4792500</v>
      </c>
      <c r="AB36" s="897">
        <f t="shared" ca="1" si="17"/>
        <v>-4792500</v>
      </c>
      <c r="AC36" s="897">
        <f t="shared" ca="1" si="17"/>
        <v>-4792500</v>
      </c>
      <c r="AD36" s="897">
        <f t="shared" ca="1" si="17"/>
        <v>-4792500</v>
      </c>
      <c r="AE36" s="897">
        <f t="shared" ca="1" si="17"/>
        <v>-4792500</v>
      </c>
      <c r="AF36" s="897">
        <f t="shared" ca="1" si="17"/>
        <v>-4792500</v>
      </c>
      <c r="AG36" s="897">
        <f t="shared" ca="1" si="17"/>
        <v>100106198.04531735</v>
      </c>
      <c r="AH36" s="897">
        <f t="shared" ca="1" si="17"/>
        <v>0</v>
      </c>
      <c r="AI36" s="897">
        <f t="shared" ca="1" si="17"/>
        <v>0</v>
      </c>
      <c r="AJ36" s="897">
        <f t="shared" ca="1" si="17"/>
        <v>0</v>
      </c>
      <c r="AK36" s="897">
        <f t="shared" si="17"/>
        <v>0</v>
      </c>
      <c r="AL36" s="897">
        <f t="shared" si="17"/>
        <v>0</v>
      </c>
      <c r="AM36" s="897">
        <f t="shared" si="17"/>
        <v>0</v>
      </c>
      <c r="AN36" s="897">
        <f t="shared" si="17"/>
        <v>0</v>
      </c>
      <c r="AO36" s="897">
        <f t="shared" si="17"/>
        <v>0</v>
      </c>
      <c r="AP36" s="897">
        <f t="shared" si="17"/>
        <v>0</v>
      </c>
      <c r="AQ36" s="897">
        <f t="shared" si="17"/>
        <v>0</v>
      </c>
      <c r="AR36" s="897">
        <f t="shared" si="17"/>
        <v>0</v>
      </c>
      <c r="AS36" s="897">
        <f t="shared" si="17"/>
        <v>0</v>
      </c>
      <c r="AT36" s="897">
        <f t="shared" si="17"/>
        <v>0</v>
      </c>
      <c r="AU36" s="897">
        <f t="shared" si="17"/>
        <v>0</v>
      </c>
      <c r="AV36" s="897">
        <f t="shared" si="17"/>
        <v>0</v>
      </c>
      <c r="AW36" s="897">
        <f t="shared" si="17"/>
        <v>0</v>
      </c>
      <c r="AX36" s="897">
        <f t="shared" si="17"/>
        <v>0</v>
      </c>
      <c r="AY36" s="897">
        <f t="shared" si="17"/>
        <v>0</v>
      </c>
      <c r="AZ36" s="897">
        <f t="shared" si="17"/>
        <v>0</v>
      </c>
      <c r="BA36" s="897">
        <f t="shared" si="17"/>
        <v>0</v>
      </c>
      <c r="BB36" s="897">
        <f t="shared" si="17"/>
        <v>0</v>
      </c>
      <c r="BC36" s="897">
        <f t="shared" si="17"/>
        <v>0</v>
      </c>
      <c r="BD36" s="897">
        <f t="shared" si="17"/>
        <v>0</v>
      </c>
      <c r="BE36" s="897">
        <f t="shared" si="17"/>
        <v>0</v>
      </c>
      <c r="BF36" s="897">
        <f t="shared" si="17"/>
        <v>0</v>
      </c>
      <c r="BG36" s="897">
        <f t="shared" si="17"/>
        <v>0</v>
      </c>
      <c r="BH36" s="897">
        <f t="shared" si="17"/>
        <v>0</v>
      </c>
      <c r="BI36" s="897">
        <f t="shared" si="17"/>
        <v>0</v>
      </c>
      <c r="BJ36" s="897">
        <f t="shared" si="17"/>
        <v>0</v>
      </c>
      <c r="BK36" s="897">
        <f t="shared" si="17"/>
        <v>0</v>
      </c>
      <c r="BL36" s="897">
        <f t="shared" si="17"/>
        <v>0</v>
      </c>
      <c r="BM36" s="897">
        <f t="shared" si="17"/>
        <v>0</v>
      </c>
      <c r="BN36" s="897">
        <f t="shared" si="17"/>
        <v>0</v>
      </c>
      <c r="BO36" s="897">
        <f t="shared" si="17"/>
        <v>0</v>
      </c>
      <c r="BP36" s="897">
        <f t="shared" si="17"/>
        <v>0</v>
      </c>
      <c r="BQ36" s="897">
        <f t="shared" si="17"/>
        <v>0</v>
      </c>
      <c r="BR36" s="897">
        <f t="shared" si="17"/>
        <v>0</v>
      </c>
      <c r="BS36" s="897">
        <f t="shared" si="17"/>
        <v>0</v>
      </c>
      <c r="BT36" s="897">
        <f t="shared" si="17"/>
        <v>0</v>
      </c>
      <c r="BU36" s="897">
        <f t="shared" si="17"/>
        <v>0</v>
      </c>
      <c r="BV36" s="897">
        <f t="shared" si="17"/>
        <v>0</v>
      </c>
      <c r="BW36" s="897">
        <f t="shared" si="17"/>
        <v>0</v>
      </c>
      <c r="BX36" s="897">
        <f t="shared" si="17"/>
        <v>0</v>
      </c>
      <c r="BY36" s="897">
        <f t="shared" si="17"/>
        <v>0</v>
      </c>
      <c r="BZ36" s="897">
        <f t="shared" ref="BZ36:DW36" si="18">SUM(BZ37,-BZ40)</f>
        <v>0</v>
      </c>
      <c r="CA36" s="897">
        <f t="shared" si="18"/>
        <v>0</v>
      </c>
      <c r="CB36" s="897">
        <f t="shared" si="18"/>
        <v>0</v>
      </c>
      <c r="CC36" s="897">
        <f t="shared" si="18"/>
        <v>0</v>
      </c>
      <c r="CD36" s="897">
        <f t="shared" si="18"/>
        <v>0</v>
      </c>
      <c r="CE36" s="897">
        <f t="shared" si="18"/>
        <v>0</v>
      </c>
      <c r="CF36" s="897">
        <f t="shared" si="18"/>
        <v>0</v>
      </c>
      <c r="CG36" s="897">
        <f t="shared" si="18"/>
        <v>0</v>
      </c>
      <c r="CH36" s="897">
        <f t="shared" si="18"/>
        <v>0</v>
      </c>
      <c r="CI36" s="897">
        <f t="shared" si="18"/>
        <v>0</v>
      </c>
      <c r="CJ36" s="897">
        <f t="shared" si="18"/>
        <v>0</v>
      </c>
      <c r="CK36" s="897">
        <f t="shared" si="18"/>
        <v>0</v>
      </c>
      <c r="CL36" s="897">
        <f t="shared" si="18"/>
        <v>0</v>
      </c>
      <c r="CM36" s="897">
        <f t="shared" si="18"/>
        <v>0</v>
      </c>
      <c r="CN36" s="897">
        <f t="shared" si="18"/>
        <v>0</v>
      </c>
      <c r="CO36" s="897">
        <f t="shared" si="18"/>
        <v>0</v>
      </c>
      <c r="CP36" s="897">
        <f t="shared" si="18"/>
        <v>0</v>
      </c>
      <c r="CQ36" s="897">
        <f t="shared" si="18"/>
        <v>0</v>
      </c>
      <c r="CR36" s="897">
        <f t="shared" si="18"/>
        <v>0</v>
      </c>
      <c r="CS36" s="897">
        <f t="shared" si="18"/>
        <v>0</v>
      </c>
      <c r="CT36" s="897">
        <f t="shared" si="18"/>
        <v>0</v>
      </c>
      <c r="CU36" s="897">
        <f t="shared" si="18"/>
        <v>0</v>
      </c>
      <c r="CV36" s="897">
        <f t="shared" si="18"/>
        <v>0</v>
      </c>
      <c r="CW36" s="897">
        <f t="shared" si="18"/>
        <v>0</v>
      </c>
      <c r="CX36" s="897">
        <f t="shared" si="18"/>
        <v>0</v>
      </c>
      <c r="CY36" s="897">
        <f t="shared" si="18"/>
        <v>0</v>
      </c>
      <c r="CZ36" s="897">
        <f t="shared" si="18"/>
        <v>0</v>
      </c>
      <c r="DA36" s="897">
        <f t="shared" si="18"/>
        <v>0</v>
      </c>
      <c r="DB36" s="897">
        <f t="shared" si="18"/>
        <v>0</v>
      </c>
      <c r="DC36" s="897">
        <f t="shared" si="18"/>
        <v>0</v>
      </c>
      <c r="DD36" s="897">
        <f t="shared" si="18"/>
        <v>0</v>
      </c>
      <c r="DE36" s="897">
        <f t="shared" si="18"/>
        <v>0</v>
      </c>
      <c r="DF36" s="897">
        <f t="shared" si="18"/>
        <v>0</v>
      </c>
      <c r="DG36" s="897">
        <f t="shared" si="18"/>
        <v>0</v>
      </c>
      <c r="DH36" s="897">
        <f t="shared" si="18"/>
        <v>0</v>
      </c>
      <c r="DI36" s="897">
        <f t="shared" si="18"/>
        <v>0</v>
      </c>
      <c r="DJ36" s="897">
        <f t="shared" si="18"/>
        <v>0</v>
      </c>
      <c r="DK36" s="897">
        <f t="shared" si="18"/>
        <v>0</v>
      </c>
      <c r="DL36" s="897">
        <f t="shared" si="18"/>
        <v>0</v>
      </c>
      <c r="DM36" s="897">
        <f t="shared" si="18"/>
        <v>0</v>
      </c>
      <c r="DN36" s="897">
        <f t="shared" si="18"/>
        <v>0</v>
      </c>
      <c r="DO36" s="897">
        <f t="shared" si="18"/>
        <v>0</v>
      </c>
      <c r="DP36" s="897">
        <f t="shared" si="18"/>
        <v>0</v>
      </c>
      <c r="DQ36" s="897">
        <f t="shared" si="18"/>
        <v>0</v>
      </c>
      <c r="DR36" s="897">
        <f t="shared" si="18"/>
        <v>0</v>
      </c>
      <c r="DS36" s="897">
        <f t="shared" si="18"/>
        <v>0</v>
      </c>
      <c r="DT36" s="897">
        <f t="shared" si="18"/>
        <v>0</v>
      </c>
      <c r="DU36" s="897">
        <f t="shared" si="18"/>
        <v>0</v>
      </c>
      <c r="DV36" s="897">
        <f t="shared" si="18"/>
        <v>0</v>
      </c>
      <c r="DW36" s="897">
        <f t="shared" si="18"/>
        <v>0</v>
      </c>
    </row>
    <row r="37" spans="2:127" ht="11.25" customHeight="1">
      <c r="B37" s="218"/>
      <c r="C37" s="158" t="s">
        <v>514</v>
      </c>
      <c r="D37" s="159"/>
      <c r="E37" s="159"/>
      <c r="F37" s="159"/>
      <c r="G37" s="159"/>
      <c r="H37" s="159"/>
      <c r="I37" s="160"/>
      <c r="J37" s="219"/>
      <c r="K37" s="220">
        <f ca="1">SUM(K38:K39)</f>
        <v>104898698.04531735</v>
      </c>
      <c r="L37" s="98"/>
      <c r="M37" s="162">
        <f t="shared" ref="M37:BX37" si="19">SUM(M38:M39)</f>
        <v>0</v>
      </c>
      <c r="N37" s="162">
        <f t="shared" ca="1" si="19"/>
        <v>0</v>
      </c>
      <c r="O37" s="162">
        <f t="shared" ca="1" si="19"/>
        <v>0</v>
      </c>
      <c r="P37" s="162">
        <f t="shared" ca="1" si="19"/>
        <v>0</v>
      </c>
      <c r="Q37" s="162">
        <f t="shared" ca="1" si="19"/>
        <v>0</v>
      </c>
      <c r="R37" s="162">
        <f t="shared" ca="1" si="19"/>
        <v>0</v>
      </c>
      <c r="S37" s="162">
        <f t="shared" ca="1" si="19"/>
        <v>0</v>
      </c>
      <c r="T37" s="162">
        <f t="shared" ca="1" si="19"/>
        <v>0</v>
      </c>
      <c r="U37" s="162">
        <f t="shared" ca="1" si="19"/>
        <v>0</v>
      </c>
      <c r="V37" s="162">
        <f t="shared" ca="1" si="19"/>
        <v>0</v>
      </c>
      <c r="W37" s="162">
        <f t="shared" ca="1" si="19"/>
        <v>0</v>
      </c>
      <c r="X37" s="162">
        <f t="shared" ca="1" si="19"/>
        <v>0</v>
      </c>
      <c r="Y37" s="162">
        <f t="shared" ca="1" si="19"/>
        <v>0</v>
      </c>
      <c r="Z37" s="162">
        <f t="shared" ca="1" si="19"/>
        <v>0</v>
      </c>
      <c r="AA37" s="162">
        <f t="shared" ca="1" si="19"/>
        <v>0</v>
      </c>
      <c r="AB37" s="162">
        <f t="shared" ca="1" si="19"/>
        <v>0</v>
      </c>
      <c r="AC37" s="162">
        <f t="shared" ca="1" si="19"/>
        <v>0</v>
      </c>
      <c r="AD37" s="162">
        <f t="shared" ca="1" si="19"/>
        <v>0</v>
      </c>
      <c r="AE37" s="162">
        <f t="shared" ca="1" si="19"/>
        <v>0</v>
      </c>
      <c r="AF37" s="162">
        <f t="shared" ca="1" si="19"/>
        <v>0</v>
      </c>
      <c r="AG37" s="162">
        <f t="shared" ca="1" si="19"/>
        <v>104898698.04531735</v>
      </c>
      <c r="AH37" s="162">
        <f t="shared" ca="1" si="19"/>
        <v>0</v>
      </c>
      <c r="AI37" s="162">
        <f t="shared" ca="1" si="19"/>
        <v>0</v>
      </c>
      <c r="AJ37" s="162">
        <f t="shared" ca="1" si="19"/>
        <v>0</v>
      </c>
      <c r="AK37" s="162">
        <f t="shared" si="19"/>
        <v>0</v>
      </c>
      <c r="AL37" s="162">
        <f t="shared" si="19"/>
        <v>0</v>
      </c>
      <c r="AM37" s="162">
        <f t="shared" si="19"/>
        <v>0</v>
      </c>
      <c r="AN37" s="162">
        <f t="shared" si="19"/>
        <v>0</v>
      </c>
      <c r="AO37" s="162">
        <f t="shared" si="19"/>
        <v>0</v>
      </c>
      <c r="AP37" s="162">
        <f t="shared" si="19"/>
        <v>0</v>
      </c>
      <c r="AQ37" s="162">
        <f t="shared" si="19"/>
        <v>0</v>
      </c>
      <c r="AR37" s="162">
        <f t="shared" si="19"/>
        <v>0</v>
      </c>
      <c r="AS37" s="162">
        <f t="shared" si="19"/>
        <v>0</v>
      </c>
      <c r="AT37" s="162">
        <f t="shared" si="19"/>
        <v>0</v>
      </c>
      <c r="AU37" s="162">
        <f t="shared" si="19"/>
        <v>0</v>
      </c>
      <c r="AV37" s="162">
        <f t="shared" si="19"/>
        <v>0</v>
      </c>
      <c r="AW37" s="162">
        <f t="shared" si="19"/>
        <v>0</v>
      </c>
      <c r="AX37" s="162">
        <f t="shared" si="19"/>
        <v>0</v>
      </c>
      <c r="AY37" s="162">
        <f t="shared" si="19"/>
        <v>0</v>
      </c>
      <c r="AZ37" s="162">
        <f t="shared" si="19"/>
        <v>0</v>
      </c>
      <c r="BA37" s="162">
        <f t="shared" si="19"/>
        <v>0</v>
      </c>
      <c r="BB37" s="162">
        <f t="shared" si="19"/>
        <v>0</v>
      </c>
      <c r="BC37" s="162">
        <f t="shared" si="19"/>
        <v>0</v>
      </c>
      <c r="BD37" s="162">
        <f t="shared" si="19"/>
        <v>0</v>
      </c>
      <c r="BE37" s="162">
        <f t="shared" si="19"/>
        <v>0</v>
      </c>
      <c r="BF37" s="162">
        <f t="shared" si="19"/>
        <v>0</v>
      </c>
      <c r="BG37" s="162">
        <f t="shared" si="19"/>
        <v>0</v>
      </c>
      <c r="BH37" s="162">
        <f t="shared" si="19"/>
        <v>0</v>
      </c>
      <c r="BI37" s="162">
        <f t="shared" si="19"/>
        <v>0</v>
      </c>
      <c r="BJ37" s="162">
        <f t="shared" si="19"/>
        <v>0</v>
      </c>
      <c r="BK37" s="162">
        <f t="shared" si="19"/>
        <v>0</v>
      </c>
      <c r="BL37" s="162">
        <f t="shared" si="19"/>
        <v>0</v>
      </c>
      <c r="BM37" s="162">
        <f t="shared" si="19"/>
        <v>0</v>
      </c>
      <c r="BN37" s="162">
        <f t="shared" si="19"/>
        <v>0</v>
      </c>
      <c r="BO37" s="162">
        <f t="shared" si="19"/>
        <v>0</v>
      </c>
      <c r="BP37" s="162">
        <f t="shared" si="19"/>
        <v>0</v>
      </c>
      <c r="BQ37" s="162">
        <f t="shared" si="19"/>
        <v>0</v>
      </c>
      <c r="BR37" s="162">
        <f t="shared" si="19"/>
        <v>0</v>
      </c>
      <c r="BS37" s="162">
        <f t="shared" si="19"/>
        <v>0</v>
      </c>
      <c r="BT37" s="162">
        <f t="shared" si="19"/>
        <v>0</v>
      </c>
      <c r="BU37" s="162">
        <f t="shared" si="19"/>
        <v>0</v>
      </c>
      <c r="BV37" s="162">
        <f t="shared" si="19"/>
        <v>0</v>
      </c>
      <c r="BW37" s="162">
        <f t="shared" si="19"/>
        <v>0</v>
      </c>
      <c r="BX37" s="162">
        <f t="shared" si="19"/>
        <v>0</v>
      </c>
      <c r="BY37" s="162">
        <f t="shared" ref="BY37:DW37" si="20">SUM(BY38:BY39)</f>
        <v>0</v>
      </c>
      <c r="BZ37" s="162">
        <f t="shared" si="20"/>
        <v>0</v>
      </c>
      <c r="CA37" s="162">
        <f t="shared" si="20"/>
        <v>0</v>
      </c>
      <c r="CB37" s="162">
        <f t="shared" si="20"/>
        <v>0</v>
      </c>
      <c r="CC37" s="162">
        <f t="shared" si="20"/>
        <v>0</v>
      </c>
      <c r="CD37" s="162">
        <f t="shared" si="20"/>
        <v>0</v>
      </c>
      <c r="CE37" s="162">
        <f t="shared" si="20"/>
        <v>0</v>
      </c>
      <c r="CF37" s="162">
        <f t="shared" si="20"/>
        <v>0</v>
      </c>
      <c r="CG37" s="162">
        <f t="shared" si="20"/>
        <v>0</v>
      </c>
      <c r="CH37" s="162">
        <f t="shared" si="20"/>
        <v>0</v>
      </c>
      <c r="CI37" s="162">
        <f t="shared" si="20"/>
        <v>0</v>
      </c>
      <c r="CJ37" s="162">
        <f t="shared" si="20"/>
        <v>0</v>
      </c>
      <c r="CK37" s="162">
        <f t="shared" si="20"/>
        <v>0</v>
      </c>
      <c r="CL37" s="162">
        <f t="shared" si="20"/>
        <v>0</v>
      </c>
      <c r="CM37" s="162">
        <f t="shared" si="20"/>
        <v>0</v>
      </c>
      <c r="CN37" s="162">
        <f t="shared" si="20"/>
        <v>0</v>
      </c>
      <c r="CO37" s="162">
        <f t="shared" si="20"/>
        <v>0</v>
      </c>
      <c r="CP37" s="162">
        <f t="shared" si="20"/>
        <v>0</v>
      </c>
      <c r="CQ37" s="162">
        <f t="shared" si="20"/>
        <v>0</v>
      </c>
      <c r="CR37" s="162">
        <f t="shared" si="20"/>
        <v>0</v>
      </c>
      <c r="CS37" s="162">
        <f t="shared" si="20"/>
        <v>0</v>
      </c>
      <c r="CT37" s="162">
        <f t="shared" si="20"/>
        <v>0</v>
      </c>
      <c r="CU37" s="162">
        <f t="shared" si="20"/>
        <v>0</v>
      </c>
      <c r="CV37" s="162">
        <f t="shared" si="20"/>
        <v>0</v>
      </c>
      <c r="CW37" s="162">
        <f t="shared" si="20"/>
        <v>0</v>
      </c>
      <c r="CX37" s="162">
        <f t="shared" si="20"/>
        <v>0</v>
      </c>
      <c r="CY37" s="162">
        <f t="shared" si="20"/>
        <v>0</v>
      </c>
      <c r="CZ37" s="162">
        <f t="shared" si="20"/>
        <v>0</v>
      </c>
      <c r="DA37" s="162">
        <f t="shared" si="20"/>
        <v>0</v>
      </c>
      <c r="DB37" s="162">
        <f t="shared" si="20"/>
        <v>0</v>
      </c>
      <c r="DC37" s="162">
        <f t="shared" si="20"/>
        <v>0</v>
      </c>
      <c r="DD37" s="162">
        <f t="shared" si="20"/>
        <v>0</v>
      </c>
      <c r="DE37" s="162">
        <f t="shared" si="20"/>
        <v>0</v>
      </c>
      <c r="DF37" s="162">
        <f t="shared" si="20"/>
        <v>0</v>
      </c>
      <c r="DG37" s="162">
        <f t="shared" si="20"/>
        <v>0</v>
      </c>
      <c r="DH37" s="162">
        <f t="shared" si="20"/>
        <v>0</v>
      </c>
      <c r="DI37" s="162">
        <f t="shared" si="20"/>
        <v>0</v>
      </c>
      <c r="DJ37" s="162">
        <f t="shared" si="20"/>
        <v>0</v>
      </c>
      <c r="DK37" s="162">
        <f t="shared" si="20"/>
        <v>0</v>
      </c>
      <c r="DL37" s="162">
        <f t="shared" si="20"/>
        <v>0</v>
      </c>
      <c r="DM37" s="162">
        <f t="shared" si="20"/>
        <v>0</v>
      </c>
      <c r="DN37" s="162">
        <f t="shared" si="20"/>
        <v>0</v>
      </c>
      <c r="DO37" s="162">
        <f t="shared" si="20"/>
        <v>0</v>
      </c>
      <c r="DP37" s="162">
        <f t="shared" si="20"/>
        <v>0</v>
      </c>
      <c r="DQ37" s="162">
        <f t="shared" si="20"/>
        <v>0</v>
      </c>
      <c r="DR37" s="162">
        <f t="shared" si="20"/>
        <v>0</v>
      </c>
      <c r="DS37" s="162">
        <f t="shared" si="20"/>
        <v>0</v>
      </c>
      <c r="DT37" s="162">
        <f t="shared" si="20"/>
        <v>0</v>
      </c>
      <c r="DU37" s="162">
        <f t="shared" si="20"/>
        <v>0</v>
      </c>
      <c r="DV37" s="162">
        <f t="shared" si="20"/>
        <v>0</v>
      </c>
      <c r="DW37" s="162">
        <f t="shared" si="20"/>
        <v>0</v>
      </c>
    </row>
    <row r="38" spans="2:127" ht="11.25" customHeight="1">
      <c r="B38" s="218"/>
      <c r="C38" s="163"/>
      <c r="D38" s="164" t="s">
        <v>239</v>
      </c>
      <c r="E38" s="165"/>
      <c r="F38" s="165"/>
      <c r="G38" s="165"/>
      <c r="H38" s="185"/>
      <c r="I38" s="194"/>
      <c r="J38" s="221"/>
      <c r="K38" s="168">
        <f t="shared" ca="1" si="12"/>
        <v>0</v>
      </c>
      <c r="L38" s="98"/>
      <c r="M38" s="896">
        <f>SUMIF('IS(M)'!$M$11:$ER$11,M$7,'IS(M)'!$M44:$ER44)</f>
        <v>0</v>
      </c>
      <c r="N38" s="896">
        <f ca="1">SUMIF('IS(M)'!$M$11:$ER$11,N$7,'IS(M)'!$M44:$ER44)</f>
        <v>0</v>
      </c>
      <c r="O38" s="896">
        <f ca="1">SUMIF('IS(M)'!$M$11:$ER$11,O$7,'IS(M)'!$M44:$ER44)</f>
        <v>0</v>
      </c>
      <c r="P38" s="896">
        <f ca="1">SUMIF('IS(M)'!$M$11:$ER$11,P$7,'IS(M)'!$M44:$ER44)</f>
        <v>0</v>
      </c>
      <c r="Q38" s="896">
        <f ca="1">SUMIF('IS(M)'!$M$11:$ER$11,Q$7,'IS(M)'!$M44:$ER44)</f>
        <v>0</v>
      </c>
      <c r="R38" s="896">
        <f ca="1">SUMIF('IS(M)'!$M$11:$ER$11,R$7,'IS(M)'!$M44:$ER44)</f>
        <v>0</v>
      </c>
      <c r="S38" s="896">
        <f ca="1">SUMIF('IS(M)'!$M$11:$ER$11,S$7,'IS(M)'!$M44:$ER44)</f>
        <v>0</v>
      </c>
      <c r="T38" s="896">
        <f ca="1">SUMIF('IS(M)'!$M$11:$ER$11,T$7,'IS(M)'!$M44:$ER44)</f>
        <v>0</v>
      </c>
      <c r="U38" s="896">
        <f ca="1">SUMIF('IS(M)'!$M$11:$ER$11,U$7,'IS(M)'!$M44:$ER44)</f>
        <v>0</v>
      </c>
      <c r="V38" s="896">
        <f ca="1">SUMIF('IS(M)'!$M$11:$ER$11,V$7,'IS(M)'!$M44:$ER44)</f>
        <v>0</v>
      </c>
      <c r="W38" s="896">
        <f ca="1">SUMIF('IS(M)'!$M$11:$ER$11,W$7,'IS(M)'!$M44:$ER44)</f>
        <v>0</v>
      </c>
      <c r="X38" s="896">
        <f ca="1">SUMIF('IS(M)'!$M$11:$ER$11,X$7,'IS(M)'!$M44:$ER44)</f>
        <v>0</v>
      </c>
      <c r="Y38" s="896">
        <f ca="1">SUMIF('IS(M)'!$M$11:$ER$11,Y$7,'IS(M)'!$M44:$ER44)</f>
        <v>0</v>
      </c>
      <c r="Z38" s="896">
        <f ca="1">SUMIF('IS(M)'!$M$11:$ER$11,Z$7,'IS(M)'!$M44:$ER44)</f>
        <v>0</v>
      </c>
      <c r="AA38" s="896">
        <f ca="1">SUMIF('IS(M)'!$M$11:$ER$11,AA$7,'IS(M)'!$M44:$ER44)</f>
        <v>0</v>
      </c>
      <c r="AB38" s="896">
        <f ca="1">SUMIF('IS(M)'!$M$11:$ER$11,AB$7,'IS(M)'!$M44:$ER44)</f>
        <v>0</v>
      </c>
      <c r="AC38" s="896">
        <f ca="1">SUMIF('IS(M)'!$M$11:$ER$11,AC$7,'IS(M)'!$M44:$ER44)</f>
        <v>0</v>
      </c>
      <c r="AD38" s="896">
        <f ca="1">SUMIF('IS(M)'!$M$11:$ER$11,AD$7,'IS(M)'!$M44:$ER44)</f>
        <v>0</v>
      </c>
      <c r="AE38" s="896">
        <f ca="1">SUMIF('IS(M)'!$M$11:$ER$11,AE$7,'IS(M)'!$M44:$ER44)</f>
        <v>0</v>
      </c>
      <c r="AF38" s="896">
        <f ca="1">SUMIF('IS(M)'!$M$11:$ER$11,AF$7,'IS(M)'!$M44:$ER44)</f>
        <v>0</v>
      </c>
      <c r="AG38" s="896">
        <f ca="1">SUMIF('IS(M)'!$M$11:$ER$11,AG$7,'IS(M)'!$M44:$ER44)</f>
        <v>0</v>
      </c>
      <c r="AH38" s="896">
        <f ca="1">SUMIF('IS(M)'!$M$11:$ER$11,AH$7,'IS(M)'!$M44:$ER44)</f>
        <v>0</v>
      </c>
      <c r="AI38" s="896">
        <f ca="1">SUMIF('IS(M)'!$M$11:$ER$11,AI$7,'IS(M)'!$M44:$ER44)</f>
        <v>0</v>
      </c>
      <c r="AJ38" s="896">
        <f ca="1">SUMIF('IS(M)'!$M$11:$ER$11,AJ$7,'IS(M)'!$M44:$ER44)</f>
        <v>0</v>
      </c>
      <c r="AK38" s="896">
        <f>SUMIF('IS(M)'!$M$11:$ER$11,AK$7,'IS(M)'!$M44:$ER44)</f>
        <v>0</v>
      </c>
      <c r="AL38" s="896">
        <f>SUMIF('IS(M)'!$M$11:$ER$11,AL$7,'IS(M)'!$M44:$ER44)</f>
        <v>0</v>
      </c>
      <c r="AM38" s="896">
        <f>SUMIF('IS(M)'!$M$11:$ER$11,AM$7,'IS(M)'!$M44:$ER44)</f>
        <v>0</v>
      </c>
      <c r="AN38" s="896">
        <f>SUMIF('IS(M)'!$M$11:$ER$11,AN$7,'IS(M)'!$M44:$ER44)</f>
        <v>0</v>
      </c>
      <c r="AO38" s="896">
        <f>SUMIF('IS(M)'!$M$11:$ER$11,AO$7,'IS(M)'!$M44:$ER44)</f>
        <v>0</v>
      </c>
      <c r="AP38" s="896">
        <f>SUMIF('IS(M)'!$M$11:$ER$11,AP$7,'IS(M)'!$M44:$ER44)</f>
        <v>0</v>
      </c>
      <c r="AQ38" s="896">
        <f>SUMIF('IS(M)'!$M$11:$ER$11,AQ$7,'IS(M)'!$M44:$ER44)</f>
        <v>0</v>
      </c>
      <c r="AR38" s="896">
        <f>SUMIF('IS(M)'!$M$11:$ER$11,AR$7,'IS(M)'!$M44:$ER44)</f>
        <v>0</v>
      </c>
      <c r="AS38" s="896">
        <f>SUMIF('IS(M)'!$M$11:$ER$11,AS$7,'IS(M)'!$M44:$ER44)</f>
        <v>0</v>
      </c>
      <c r="AT38" s="896">
        <f>SUMIF('IS(M)'!$M$11:$ER$11,AT$7,'IS(M)'!$M44:$ER44)</f>
        <v>0</v>
      </c>
      <c r="AU38" s="896">
        <f>SUMIF('IS(M)'!$M$11:$ER$11,AU$7,'IS(M)'!$M44:$ER44)</f>
        <v>0</v>
      </c>
      <c r="AV38" s="896">
        <f>SUMIF('IS(M)'!$M$11:$ER$11,AV$7,'IS(M)'!$M44:$ER44)</f>
        <v>0</v>
      </c>
      <c r="AW38" s="896">
        <f>SUMIF('IS(M)'!$M$11:$ER$11,AW$7,'IS(M)'!$M44:$ER44)</f>
        <v>0</v>
      </c>
      <c r="AX38" s="896">
        <f>SUMIF('IS(M)'!$M$11:$ER$11,AX$7,'IS(M)'!$M44:$ER44)</f>
        <v>0</v>
      </c>
      <c r="AY38" s="896">
        <f>SUMIF('IS(M)'!$M$11:$ER$11,AY$7,'IS(M)'!$M44:$ER44)</f>
        <v>0</v>
      </c>
      <c r="AZ38" s="896">
        <f>SUMIF('IS(M)'!$M$11:$ER$11,AZ$7,'IS(M)'!$M44:$ER44)</f>
        <v>0</v>
      </c>
      <c r="BA38" s="896">
        <f>SUMIF('IS(M)'!$M$11:$ER$11,BA$7,'IS(M)'!$M44:$ER44)</f>
        <v>0</v>
      </c>
      <c r="BB38" s="896">
        <f>SUMIF('IS(M)'!$M$11:$ER$11,BB$7,'IS(M)'!$M44:$ER44)</f>
        <v>0</v>
      </c>
      <c r="BC38" s="896">
        <f>SUMIF('IS(M)'!$M$11:$ER$11,BC$7,'IS(M)'!$M44:$ER44)</f>
        <v>0</v>
      </c>
      <c r="BD38" s="896">
        <f>SUMIF('IS(M)'!$M$11:$ER$11,BD$7,'IS(M)'!$M44:$ER44)</f>
        <v>0</v>
      </c>
      <c r="BE38" s="896">
        <f>SUMIF('IS(M)'!$M$11:$ER$11,BE$7,'IS(M)'!$M44:$ER44)</f>
        <v>0</v>
      </c>
      <c r="BF38" s="896">
        <f>SUMIF('IS(M)'!$M$11:$ER$11,BF$7,'IS(M)'!$M44:$ER44)</f>
        <v>0</v>
      </c>
      <c r="BG38" s="896">
        <f>SUMIF('IS(M)'!$M$11:$ER$11,BG$7,'IS(M)'!$M44:$ER44)</f>
        <v>0</v>
      </c>
      <c r="BH38" s="896">
        <f>SUMIF('IS(M)'!$M$11:$ER$11,BH$7,'IS(M)'!$M44:$ER44)</f>
        <v>0</v>
      </c>
      <c r="BI38" s="896">
        <f>SUMIF('IS(M)'!$M$11:$ER$11,BI$7,'IS(M)'!$M44:$ER44)</f>
        <v>0</v>
      </c>
      <c r="BJ38" s="896">
        <f>SUMIF('IS(M)'!$M$11:$ER$11,BJ$7,'IS(M)'!$M44:$ER44)</f>
        <v>0</v>
      </c>
      <c r="BK38" s="896">
        <f>SUMIF('IS(M)'!$M$11:$ER$11,BK$7,'IS(M)'!$M44:$ER44)</f>
        <v>0</v>
      </c>
      <c r="BL38" s="896">
        <f>SUMIF('IS(M)'!$M$11:$ER$11,BL$7,'IS(M)'!$M44:$ER44)</f>
        <v>0</v>
      </c>
      <c r="BM38" s="896">
        <f>SUMIF('IS(M)'!$M$11:$ER$11,BM$7,'IS(M)'!$M44:$ER44)</f>
        <v>0</v>
      </c>
      <c r="BN38" s="896">
        <f>SUMIF('IS(M)'!$M$11:$ER$11,BN$7,'IS(M)'!$M44:$ER44)</f>
        <v>0</v>
      </c>
      <c r="BO38" s="896">
        <f>SUMIF('IS(M)'!$M$11:$ER$11,BO$7,'IS(M)'!$M44:$ER44)</f>
        <v>0</v>
      </c>
      <c r="BP38" s="896">
        <f>SUMIF('IS(M)'!$M$11:$ER$11,BP$7,'IS(M)'!$M44:$ER44)</f>
        <v>0</v>
      </c>
      <c r="BQ38" s="896">
        <f>SUMIF('IS(M)'!$M$11:$ER$11,BQ$7,'IS(M)'!$M44:$ER44)</f>
        <v>0</v>
      </c>
      <c r="BR38" s="896">
        <f>SUMIF('IS(M)'!$M$11:$ER$11,BR$7,'IS(M)'!$M44:$ER44)</f>
        <v>0</v>
      </c>
      <c r="BS38" s="896">
        <f>SUMIF('IS(M)'!$M$11:$ER$11,BS$7,'IS(M)'!$M44:$ER44)</f>
        <v>0</v>
      </c>
      <c r="BT38" s="896">
        <f>SUMIF('IS(M)'!$M$11:$ER$11,BT$7,'IS(M)'!$M44:$ER44)</f>
        <v>0</v>
      </c>
      <c r="BU38" s="896">
        <f>SUMIF('IS(M)'!$M$11:$ER$11,BU$7,'IS(M)'!$M44:$ER44)</f>
        <v>0</v>
      </c>
      <c r="BV38" s="896">
        <f>SUMIF('IS(M)'!$M$11:$ER$11,BV$7,'IS(M)'!$M44:$ER44)</f>
        <v>0</v>
      </c>
      <c r="BW38" s="896">
        <f>SUMIF('IS(M)'!$M$11:$ER$11,BW$7,'IS(M)'!$M44:$ER44)</f>
        <v>0</v>
      </c>
      <c r="BX38" s="896">
        <f>SUMIF('IS(M)'!$M$11:$ER$11,BX$7,'IS(M)'!$M44:$ER44)</f>
        <v>0</v>
      </c>
      <c r="BY38" s="896">
        <f>SUMIF('IS(M)'!$M$11:$ER$11,BY$7,'IS(M)'!$M44:$ER44)</f>
        <v>0</v>
      </c>
      <c r="BZ38" s="896">
        <f>SUMIF('IS(M)'!$M$11:$ER$11,BZ$7,'IS(M)'!$M44:$ER44)</f>
        <v>0</v>
      </c>
      <c r="CA38" s="896">
        <f>SUMIF('IS(M)'!$M$11:$ER$11,CA$7,'IS(M)'!$M44:$ER44)</f>
        <v>0</v>
      </c>
      <c r="CB38" s="896">
        <f>SUMIF('IS(M)'!$M$11:$ER$11,CB$7,'IS(M)'!$M44:$ER44)</f>
        <v>0</v>
      </c>
      <c r="CC38" s="896">
        <f>SUMIF('IS(M)'!$M$11:$ER$11,CC$7,'IS(M)'!$M44:$ER44)</f>
        <v>0</v>
      </c>
      <c r="CD38" s="896">
        <f>SUMIF('IS(M)'!$M$11:$ER$11,CD$7,'IS(M)'!$M44:$ER44)</f>
        <v>0</v>
      </c>
      <c r="CE38" s="896">
        <f>SUMIF('IS(M)'!$M$11:$ER$11,CE$7,'IS(M)'!$M44:$ER44)</f>
        <v>0</v>
      </c>
      <c r="CF38" s="896">
        <f>SUMIF('IS(M)'!$M$11:$ER$11,CF$7,'IS(M)'!$M44:$ER44)</f>
        <v>0</v>
      </c>
      <c r="CG38" s="896">
        <f>SUMIF('IS(M)'!$M$11:$ER$11,CG$7,'IS(M)'!$M44:$ER44)</f>
        <v>0</v>
      </c>
      <c r="CH38" s="896">
        <f>SUMIF('IS(M)'!$M$11:$ER$11,CH$7,'IS(M)'!$M44:$ER44)</f>
        <v>0</v>
      </c>
      <c r="CI38" s="896">
        <f>SUMIF('IS(M)'!$M$11:$ER$11,CI$7,'IS(M)'!$M44:$ER44)</f>
        <v>0</v>
      </c>
      <c r="CJ38" s="896">
        <f>SUMIF('IS(M)'!$M$11:$ER$11,CJ$7,'IS(M)'!$M44:$ER44)</f>
        <v>0</v>
      </c>
      <c r="CK38" s="896">
        <f>SUMIF('IS(M)'!$M$11:$ER$11,CK$7,'IS(M)'!$M44:$ER44)</f>
        <v>0</v>
      </c>
      <c r="CL38" s="896">
        <f>SUMIF('IS(M)'!$M$11:$ER$11,CL$7,'IS(M)'!$M44:$ER44)</f>
        <v>0</v>
      </c>
      <c r="CM38" s="896">
        <f>SUMIF('IS(M)'!$M$11:$ER$11,CM$7,'IS(M)'!$M44:$ER44)</f>
        <v>0</v>
      </c>
      <c r="CN38" s="896">
        <f>SUMIF('IS(M)'!$M$11:$ER$11,CN$7,'IS(M)'!$M44:$ER44)</f>
        <v>0</v>
      </c>
      <c r="CO38" s="896">
        <f>SUMIF('IS(M)'!$M$11:$ER$11,CO$7,'IS(M)'!$M44:$ER44)</f>
        <v>0</v>
      </c>
      <c r="CP38" s="896">
        <f>SUMIF('IS(M)'!$M$11:$ER$11,CP$7,'IS(M)'!$M44:$ER44)</f>
        <v>0</v>
      </c>
      <c r="CQ38" s="896">
        <f>SUMIF('IS(M)'!$M$11:$ER$11,CQ$7,'IS(M)'!$M44:$ER44)</f>
        <v>0</v>
      </c>
      <c r="CR38" s="896">
        <f>SUMIF('IS(M)'!$M$11:$ER$11,CR$7,'IS(M)'!$M44:$ER44)</f>
        <v>0</v>
      </c>
      <c r="CS38" s="896">
        <f>SUMIF('IS(M)'!$M$11:$ER$11,CS$7,'IS(M)'!$M44:$ER44)</f>
        <v>0</v>
      </c>
      <c r="CT38" s="896">
        <f>SUMIF('IS(M)'!$M$11:$ER$11,CT$7,'IS(M)'!$M44:$ER44)</f>
        <v>0</v>
      </c>
      <c r="CU38" s="896">
        <f>SUMIF('IS(M)'!$M$11:$ER$11,CU$7,'IS(M)'!$M44:$ER44)</f>
        <v>0</v>
      </c>
      <c r="CV38" s="896">
        <f>SUMIF('IS(M)'!$M$11:$ER$11,CV$7,'IS(M)'!$M44:$ER44)</f>
        <v>0</v>
      </c>
      <c r="CW38" s="896">
        <f>SUMIF('IS(M)'!$M$11:$ER$11,CW$7,'IS(M)'!$M44:$ER44)</f>
        <v>0</v>
      </c>
      <c r="CX38" s="896">
        <f>SUMIF('IS(M)'!$M$11:$ER$11,CX$7,'IS(M)'!$M44:$ER44)</f>
        <v>0</v>
      </c>
      <c r="CY38" s="896">
        <f>SUMIF('IS(M)'!$M$11:$ER$11,CY$7,'IS(M)'!$M44:$ER44)</f>
        <v>0</v>
      </c>
      <c r="CZ38" s="896">
        <f>SUMIF('IS(M)'!$M$11:$ER$11,CZ$7,'IS(M)'!$M44:$ER44)</f>
        <v>0</v>
      </c>
      <c r="DA38" s="896">
        <f>SUMIF('IS(M)'!$M$11:$ER$11,DA$7,'IS(M)'!$M44:$ER44)</f>
        <v>0</v>
      </c>
      <c r="DB38" s="896">
        <f>SUMIF('IS(M)'!$M$11:$ER$11,DB$7,'IS(M)'!$M44:$ER44)</f>
        <v>0</v>
      </c>
      <c r="DC38" s="896">
        <f>SUMIF('IS(M)'!$M$11:$ER$11,DC$7,'IS(M)'!$M44:$ER44)</f>
        <v>0</v>
      </c>
      <c r="DD38" s="896">
        <f>SUMIF('IS(M)'!$M$11:$ER$11,DD$7,'IS(M)'!$M44:$ER44)</f>
        <v>0</v>
      </c>
      <c r="DE38" s="896">
        <f>SUMIF('IS(M)'!$M$11:$ER$11,DE$7,'IS(M)'!$M44:$ER44)</f>
        <v>0</v>
      </c>
      <c r="DF38" s="896">
        <f>SUMIF('IS(M)'!$M$11:$ER$11,DF$7,'IS(M)'!$M44:$ER44)</f>
        <v>0</v>
      </c>
      <c r="DG38" s="896">
        <f>SUMIF('IS(M)'!$M$11:$ER$11,DG$7,'IS(M)'!$M44:$ER44)</f>
        <v>0</v>
      </c>
      <c r="DH38" s="896">
        <f>SUMIF('IS(M)'!$M$11:$ER$11,DH$7,'IS(M)'!$M44:$ER44)</f>
        <v>0</v>
      </c>
      <c r="DI38" s="896">
        <f>SUMIF('IS(M)'!$M$11:$ER$11,DI$7,'IS(M)'!$M44:$ER44)</f>
        <v>0</v>
      </c>
      <c r="DJ38" s="896">
        <f>SUMIF('IS(M)'!$M$11:$ER$11,DJ$7,'IS(M)'!$M44:$ER44)</f>
        <v>0</v>
      </c>
      <c r="DK38" s="896">
        <f>SUMIF('IS(M)'!$M$11:$ER$11,DK$7,'IS(M)'!$M44:$ER44)</f>
        <v>0</v>
      </c>
      <c r="DL38" s="896">
        <f>SUMIF('IS(M)'!$M$11:$ER$11,DL$7,'IS(M)'!$M44:$ER44)</f>
        <v>0</v>
      </c>
      <c r="DM38" s="896">
        <f>SUMIF('IS(M)'!$M$11:$ER$11,DM$7,'IS(M)'!$M44:$ER44)</f>
        <v>0</v>
      </c>
      <c r="DN38" s="896">
        <f>SUMIF('IS(M)'!$M$11:$ER$11,DN$7,'IS(M)'!$M44:$ER44)</f>
        <v>0</v>
      </c>
      <c r="DO38" s="896">
        <f>SUMIF('IS(M)'!$M$11:$ER$11,DO$7,'IS(M)'!$M44:$ER44)</f>
        <v>0</v>
      </c>
      <c r="DP38" s="896">
        <f>SUMIF('IS(M)'!$M$11:$ER$11,DP$7,'IS(M)'!$M44:$ER44)</f>
        <v>0</v>
      </c>
      <c r="DQ38" s="896">
        <f>SUMIF('IS(M)'!$M$11:$ER$11,DQ$7,'IS(M)'!$M44:$ER44)</f>
        <v>0</v>
      </c>
      <c r="DR38" s="896">
        <f>SUMIF('IS(M)'!$M$11:$ER$11,DR$7,'IS(M)'!$M44:$ER44)</f>
        <v>0</v>
      </c>
      <c r="DS38" s="896">
        <f>SUMIF('IS(M)'!$M$11:$ER$11,DS$7,'IS(M)'!$M44:$ER44)</f>
        <v>0</v>
      </c>
      <c r="DT38" s="896">
        <f>SUMIF('IS(M)'!$M$11:$ER$11,DT$7,'IS(M)'!$M44:$ER44)</f>
        <v>0</v>
      </c>
      <c r="DU38" s="896">
        <f>SUMIF('IS(M)'!$M$11:$ER$11,DU$7,'IS(M)'!$M44:$ER44)</f>
        <v>0</v>
      </c>
      <c r="DV38" s="896">
        <f>SUMIF('IS(M)'!$M$11:$ER$11,DV$7,'IS(M)'!$M44:$ER44)</f>
        <v>0</v>
      </c>
      <c r="DW38" s="896">
        <f>SUMIF('IS(M)'!$M$11:$ER$11,DW$7,'IS(M)'!$M44:$ER44)</f>
        <v>0</v>
      </c>
    </row>
    <row r="39" spans="2:127" ht="11.25" customHeight="1">
      <c r="B39" s="218"/>
      <c r="C39" s="163"/>
      <c r="D39" s="169" t="s">
        <v>535</v>
      </c>
      <c r="G39" s="90">
        <f>'CF(M)'!J54+K20</f>
        <v>104898698.04531735</v>
      </c>
      <c r="H39" s="146">
        <f>'A&amp;R'!E37</f>
        <v>49979</v>
      </c>
      <c r="I39" s="146"/>
      <c r="J39" s="13"/>
      <c r="K39" s="171">
        <f t="shared" si="12"/>
        <v>104898698.04531735</v>
      </c>
      <c r="L39" s="98"/>
      <c r="M39" s="171">
        <f>SUMIF('IS(M)'!$M$11:$ER$11,M$7,'IS(M)'!$M45:$ER45)</f>
        <v>0</v>
      </c>
      <c r="N39" s="171">
        <f>SUMIF('IS(M)'!$M$11:$ER$11,N$7,'IS(M)'!$M45:$ER45)</f>
        <v>0</v>
      </c>
      <c r="O39" s="171">
        <f>SUMIF('IS(M)'!$M$11:$ER$11,O$7,'IS(M)'!$M45:$ER45)</f>
        <v>0</v>
      </c>
      <c r="P39" s="171">
        <f>SUMIF('IS(M)'!$M$11:$ER$11,P$7,'IS(M)'!$M45:$ER45)</f>
        <v>0</v>
      </c>
      <c r="Q39" s="171">
        <f>SUMIF('IS(M)'!$M$11:$ER$11,Q$7,'IS(M)'!$M45:$ER45)</f>
        <v>0</v>
      </c>
      <c r="R39" s="171">
        <f>SUMIF('IS(M)'!$M$11:$ER$11,R$7,'IS(M)'!$M45:$ER45)</f>
        <v>0</v>
      </c>
      <c r="S39" s="171">
        <f>SUMIF('IS(M)'!$M$11:$ER$11,S$7,'IS(M)'!$M45:$ER45)</f>
        <v>0</v>
      </c>
      <c r="T39" s="171">
        <f>SUMIF('IS(M)'!$M$11:$ER$11,T$7,'IS(M)'!$M45:$ER45)</f>
        <v>0</v>
      </c>
      <c r="U39" s="171">
        <f>SUMIF('IS(M)'!$M$11:$ER$11,U$7,'IS(M)'!$M45:$ER45)</f>
        <v>0</v>
      </c>
      <c r="V39" s="171">
        <f>SUMIF('IS(M)'!$M$11:$ER$11,V$7,'IS(M)'!$M45:$ER45)</f>
        <v>0</v>
      </c>
      <c r="W39" s="171">
        <f>SUMIF('IS(M)'!$M$11:$ER$11,W$7,'IS(M)'!$M45:$ER45)</f>
        <v>0</v>
      </c>
      <c r="X39" s="171">
        <f>SUMIF('IS(M)'!$M$11:$ER$11,X$7,'IS(M)'!$M45:$ER45)</f>
        <v>0</v>
      </c>
      <c r="Y39" s="171">
        <f>SUMIF('IS(M)'!$M$11:$ER$11,Y$7,'IS(M)'!$M45:$ER45)</f>
        <v>0</v>
      </c>
      <c r="Z39" s="171">
        <f>SUMIF('IS(M)'!$M$11:$ER$11,Z$7,'IS(M)'!$M45:$ER45)</f>
        <v>0</v>
      </c>
      <c r="AA39" s="171">
        <f>SUMIF('IS(M)'!$M$11:$ER$11,AA$7,'IS(M)'!$M45:$ER45)</f>
        <v>0</v>
      </c>
      <c r="AB39" s="171">
        <f>SUMIF('IS(M)'!$M$11:$ER$11,AB$7,'IS(M)'!$M45:$ER45)</f>
        <v>0</v>
      </c>
      <c r="AC39" s="171">
        <f>SUMIF('IS(M)'!$M$11:$ER$11,AC$7,'IS(M)'!$M45:$ER45)</f>
        <v>0</v>
      </c>
      <c r="AD39" s="171">
        <f>SUMIF('IS(M)'!$M$11:$ER$11,AD$7,'IS(M)'!$M45:$ER45)</f>
        <v>0</v>
      </c>
      <c r="AE39" s="171">
        <f>SUMIF('IS(M)'!$M$11:$ER$11,AE$7,'IS(M)'!$M45:$ER45)</f>
        <v>0</v>
      </c>
      <c r="AF39" s="171">
        <f>SUMIF('IS(M)'!$M$11:$ER$11,AF$7,'IS(M)'!$M45:$ER45)</f>
        <v>0</v>
      </c>
      <c r="AG39" s="171">
        <f>SUMIF('IS(M)'!$M$11:$ER$11,AG$7,'IS(M)'!$M45:$ER45)</f>
        <v>104898698.04531735</v>
      </c>
      <c r="AH39" s="171">
        <f>SUMIF('IS(M)'!$M$11:$ER$11,AH$7,'IS(M)'!$M45:$ER45)</f>
        <v>0</v>
      </c>
      <c r="AI39" s="171">
        <f>SUMIF('IS(M)'!$M$11:$ER$11,AI$7,'IS(M)'!$M45:$ER45)</f>
        <v>0</v>
      </c>
      <c r="AJ39" s="171">
        <f>SUMIF('IS(M)'!$M$11:$ER$11,AJ$7,'IS(M)'!$M45:$ER45)</f>
        <v>0</v>
      </c>
      <c r="AK39" s="171">
        <f>SUMIF('IS(M)'!$M$11:$ER$11,AK$7,'IS(M)'!$M45:$ER45)</f>
        <v>0</v>
      </c>
      <c r="AL39" s="171">
        <f>SUMIF('IS(M)'!$M$11:$ER$11,AL$7,'IS(M)'!$M45:$ER45)</f>
        <v>0</v>
      </c>
      <c r="AM39" s="171">
        <f>SUMIF('IS(M)'!$M$11:$ER$11,AM$7,'IS(M)'!$M45:$ER45)</f>
        <v>0</v>
      </c>
      <c r="AN39" s="171">
        <f>SUMIF('IS(M)'!$M$11:$ER$11,AN$7,'IS(M)'!$M45:$ER45)</f>
        <v>0</v>
      </c>
      <c r="AO39" s="171">
        <f>SUMIF('IS(M)'!$M$11:$ER$11,AO$7,'IS(M)'!$M45:$ER45)</f>
        <v>0</v>
      </c>
      <c r="AP39" s="171">
        <f>SUMIF('IS(M)'!$M$11:$ER$11,AP$7,'IS(M)'!$M45:$ER45)</f>
        <v>0</v>
      </c>
      <c r="AQ39" s="171">
        <f>SUMIF('IS(M)'!$M$11:$ER$11,AQ$7,'IS(M)'!$M45:$ER45)</f>
        <v>0</v>
      </c>
      <c r="AR39" s="171">
        <f>SUMIF('IS(M)'!$M$11:$ER$11,AR$7,'IS(M)'!$M45:$ER45)</f>
        <v>0</v>
      </c>
      <c r="AS39" s="171">
        <f>SUMIF('IS(M)'!$M$11:$ER$11,AS$7,'IS(M)'!$M45:$ER45)</f>
        <v>0</v>
      </c>
      <c r="AT39" s="171">
        <f>SUMIF('IS(M)'!$M$11:$ER$11,AT$7,'IS(M)'!$M45:$ER45)</f>
        <v>0</v>
      </c>
      <c r="AU39" s="171">
        <f>SUMIF('IS(M)'!$M$11:$ER$11,AU$7,'IS(M)'!$M45:$ER45)</f>
        <v>0</v>
      </c>
      <c r="AV39" s="171">
        <f>SUMIF('IS(M)'!$M$11:$ER$11,AV$7,'IS(M)'!$M45:$ER45)</f>
        <v>0</v>
      </c>
      <c r="AW39" s="171">
        <f>SUMIF('IS(M)'!$M$11:$ER$11,AW$7,'IS(M)'!$M45:$ER45)</f>
        <v>0</v>
      </c>
      <c r="AX39" s="171">
        <f>SUMIF('IS(M)'!$M$11:$ER$11,AX$7,'IS(M)'!$M45:$ER45)</f>
        <v>0</v>
      </c>
      <c r="AY39" s="171">
        <f>SUMIF('IS(M)'!$M$11:$ER$11,AY$7,'IS(M)'!$M45:$ER45)</f>
        <v>0</v>
      </c>
      <c r="AZ39" s="171">
        <f>SUMIF('IS(M)'!$M$11:$ER$11,AZ$7,'IS(M)'!$M45:$ER45)</f>
        <v>0</v>
      </c>
      <c r="BA39" s="171">
        <f>SUMIF('IS(M)'!$M$11:$ER$11,BA$7,'IS(M)'!$M45:$ER45)</f>
        <v>0</v>
      </c>
      <c r="BB39" s="171">
        <f>SUMIF('IS(M)'!$M$11:$ER$11,BB$7,'IS(M)'!$M45:$ER45)</f>
        <v>0</v>
      </c>
      <c r="BC39" s="171">
        <f>SUMIF('IS(M)'!$M$11:$ER$11,BC$7,'IS(M)'!$M45:$ER45)</f>
        <v>0</v>
      </c>
      <c r="BD39" s="171">
        <f>SUMIF('IS(M)'!$M$11:$ER$11,BD$7,'IS(M)'!$M45:$ER45)</f>
        <v>0</v>
      </c>
      <c r="BE39" s="171">
        <f>SUMIF('IS(M)'!$M$11:$ER$11,BE$7,'IS(M)'!$M45:$ER45)</f>
        <v>0</v>
      </c>
      <c r="BF39" s="171">
        <f>SUMIF('IS(M)'!$M$11:$ER$11,BF$7,'IS(M)'!$M45:$ER45)</f>
        <v>0</v>
      </c>
      <c r="BG39" s="171">
        <f>SUMIF('IS(M)'!$M$11:$ER$11,BG$7,'IS(M)'!$M45:$ER45)</f>
        <v>0</v>
      </c>
      <c r="BH39" s="171">
        <f>SUMIF('IS(M)'!$M$11:$ER$11,BH$7,'IS(M)'!$M45:$ER45)</f>
        <v>0</v>
      </c>
      <c r="BI39" s="171">
        <f>SUMIF('IS(M)'!$M$11:$ER$11,BI$7,'IS(M)'!$M45:$ER45)</f>
        <v>0</v>
      </c>
      <c r="BJ39" s="171">
        <f>SUMIF('IS(M)'!$M$11:$ER$11,BJ$7,'IS(M)'!$M45:$ER45)</f>
        <v>0</v>
      </c>
      <c r="BK39" s="171">
        <f>SUMIF('IS(M)'!$M$11:$ER$11,BK$7,'IS(M)'!$M45:$ER45)</f>
        <v>0</v>
      </c>
      <c r="BL39" s="171">
        <f>SUMIF('IS(M)'!$M$11:$ER$11,BL$7,'IS(M)'!$M45:$ER45)</f>
        <v>0</v>
      </c>
      <c r="BM39" s="171">
        <f>SUMIF('IS(M)'!$M$11:$ER$11,BM$7,'IS(M)'!$M45:$ER45)</f>
        <v>0</v>
      </c>
      <c r="BN39" s="171">
        <f>SUMIF('IS(M)'!$M$11:$ER$11,BN$7,'IS(M)'!$M45:$ER45)</f>
        <v>0</v>
      </c>
      <c r="BO39" s="171">
        <f>SUMIF('IS(M)'!$M$11:$ER$11,BO$7,'IS(M)'!$M45:$ER45)</f>
        <v>0</v>
      </c>
      <c r="BP39" s="171">
        <f>SUMIF('IS(M)'!$M$11:$ER$11,BP$7,'IS(M)'!$M45:$ER45)</f>
        <v>0</v>
      </c>
      <c r="BQ39" s="171">
        <f>SUMIF('IS(M)'!$M$11:$ER$11,BQ$7,'IS(M)'!$M45:$ER45)</f>
        <v>0</v>
      </c>
      <c r="BR39" s="171">
        <f>SUMIF('IS(M)'!$M$11:$ER$11,BR$7,'IS(M)'!$M45:$ER45)</f>
        <v>0</v>
      </c>
      <c r="BS39" s="171">
        <f>SUMIF('IS(M)'!$M$11:$ER$11,BS$7,'IS(M)'!$M45:$ER45)</f>
        <v>0</v>
      </c>
      <c r="BT39" s="171">
        <f>SUMIF('IS(M)'!$M$11:$ER$11,BT$7,'IS(M)'!$M45:$ER45)</f>
        <v>0</v>
      </c>
      <c r="BU39" s="171">
        <f>SUMIF('IS(M)'!$M$11:$ER$11,BU$7,'IS(M)'!$M45:$ER45)</f>
        <v>0</v>
      </c>
      <c r="BV39" s="171">
        <f>SUMIF('IS(M)'!$M$11:$ER$11,BV$7,'IS(M)'!$M45:$ER45)</f>
        <v>0</v>
      </c>
      <c r="BW39" s="171">
        <f>SUMIF('IS(M)'!$M$11:$ER$11,BW$7,'IS(M)'!$M45:$ER45)</f>
        <v>0</v>
      </c>
      <c r="BX39" s="171">
        <f>SUMIF('IS(M)'!$M$11:$ER$11,BX$7,'IS(M)'!$M45:$ER45)</f>
        <v>0</v>
      </c>
      <c r="BY39" s="171">
        <f>SUMIF('IS(M)'!$M$11:$ER$11,BY$7,'IS(M)'!$M45:$ER45)</f>
        <v>0</v>
      </c>
      <c r="BZ39" s="171">
        <f>SUMIF('IS(M)'!$M$11:$ER$11,BZ$7,'IS(M)'!$M45:$ER45)</f>
        <v>0</v>
      </c>
      <c r="CA39" s="171">
        <f>SUMIF('IS(M)'!$M$11:$ER$11,CA$7,'IS(M)'!$M45:$ER45)</f>
        <v>0</v>
      </c>
      <c r="CB39" s="171">
        <f>SUMIF('IS(M)'!$M$11:$ER$11,CB$7,'IS(M)'!$M45:$ER45)</f>
        <v>0</v>
      </c>
      <c r="CC39" s="171">
        <f>SUMIF('IS(M)'!$M$11:$ER$11,CC$7,'IS(M)'!$M45:$ER45)</f>
        <v>0</v>
      </c>
      <c r="CD39" s="171">
        <f>SUMIF('IS(M)'!$M$11:$ER$11,CD$7,'IS(M)'!$M45:$ER45)</f>
        <v>0</v>
      </c>
      <c r="CE39" s="171">
        <f>SUMIF('IS(M)'!$M$11:$ER$11,CE$7,'IS(M)'!$M45:$ER45)</f>
        <v>0</v>
      </c>
      <c r="CF39" s="171">
        <f>SUMIF('IS(M)'!$M$11:$ER$11,CF$7,'IS(M)'!$M45:$ER45)</f>
        <v>0</v>
      </c>
      <c r="CG39" s="171">
        <f>SUMIF('IS(M)'!$M$11:$ER$11,CG$7,'IS(M)'!$M45:$ER45)</f>
        <v>0</v>
      </c>
      <c r="CH39" s="171">
        <f>SUMIF('IS(M)'!$M$11:$ER$11,CH$7,'IS(M)'!$M45:$ER45)</f>
        <v>0</v>
      </c>
      <c r="CI39" s="171">
        <f>SUMIF('IS(M)'!$M$11:$ER$11,CI$7,'IS(M)'!$M45:$ER45)</f>
        <v>0</v>
      </c>
      <c r="CJ39" s="171">
        <f>SUMIF('IS(M)'!$M$11:$ER$11,CJ$7,'IS(M)'!$M45:$ER45)</f>
        <v>0</v>
      </c>
      <c r="CK39" s="171">
        <f>SUMIF('IS(M)'!$M$11:$ER$11,CK$7,'IS(M)'!$M45:$ER45)</f>
        <v>0</v>
      </c>
      <c r="CL39" s="171">
        <f>SUMIF('IS(M)'!$M$11:$ER$11,CL$7,'IS(M)'!$M45:$ER45)</f>
        <v>0</v>
      </c>
      <c r="CM39" s="171">
        <f>SUMIF('IS(M)'!$M$11:$ER$11,CM$7,'IS(M)'!$M45:$ER45)</f>
        <v>0</v>
      </c>
      <c r="CN39" s="171">
        <f>SUMIF('IS(M)'!$M$11:$ER$11,CN$7,'IS(M)'!$M45:$ER45)</f>
        <v>0</v>
      </c>
      <c r="CO39" s="171">
        <f>SUMIF('IS(M)'!$M$11:$ER$11,CO$7,'IS(M)'!$M45:$ER45)</f>
        <v>0</v>
      </c>
      <c r="CP39" s="171">
        <f>SUMIF('IS(M)'!$M$11:$ER$11,CP$7,'IS(M)'!$M45:$ER45)</f>
        <v>0</v>
      </c>
      <c r="CQ39" s="171">
        <f>SUMIF('IS(M)'!$M$11:$ER$11,CQ$7,'IS(M)'!$M45:$ER45)</f>
        <v>0</v>
      </c>
      <c r="CR39" s="171">
        <f>SUMIF('IS(M)'!$M$11:$ER$11,CR$7,'IS(M)'!$M45:$ER45)</f>
        <v>0</v>
      </c>
      <c r="CS39" s="171">
        <f>SUMIF('IS(M)'!$M$11:$ER$11,CS$7,'IS(M)'!$M45:$ER45)</f>
        <v>0</v>
      </c>
      <c r="CT39" s="171">
        <f>SUMIF('IS(M)'!$M$11:$ER$11,CT$7,'IS(M)'!$M45:$ER45)</f>
        <v>0</v>
      </c>
      <c r="CU39" s="171">
        <f>SUMIF('IS(M)'!$M$11:$ER$11,CU$7,'IS(M)'!$M45:$ER45)</f>
        <v>0</v>
      </c>
      <c r="CV39" s="171">
        <f>SUMIF('IS(M)'!$M$11:$ER$11,CV$7,'IS(M)'!$M45:$ER45)</f>
        <v>0</v>
      </c>
      <c r="CW39" s="171">
        <f>SUMIF('IS(M)'!$M$11:$ER$11,CW$7,'IS(M)'!$M45:$ER45)</f>
        <v>0</v>
      </c>
      <c r="CX39" s="171">
        <f>SUMIF('IS(M)'!$M$11:$ER$11,CX$7,'IS(M)'!$M45:$ER45)</f>
        <v>0</v>
      </c>
      <c r="CY39" s="171">
        <f>SUMIF('IS(M)'!$M$11:$ER$11,CY$7,'IS(M)'!$M45:$ER45)</f>
        <v>0</v>
      </c>
      <c r="CZ39" s="171">
        <f>SUMIF('IS(M)'!$M$11:$ER$11,CZ$7,'IS(M)'!$M45:$ER45)</f>
        <v>0</v>
      </c>
      <c r="DA39" s="171">
        <f>SUMIF('IS(M)'!$M$11:$ER$11,DA$7,'IS(M)'!$M45:$ER45)</f>
        <v>0</v>
      </c>
      <c r="DB39" s="171">
        <f>SUMIF('IS(M)'!$M$11:$ER$11,DB$7,'IS(M)'!$M45:$ER45)</f>
        <v>0</v>
      </c>
      <c r="DC39" s="171">
        <f>SUMIF('IS(M)'!$M$11:$ER$11,DC$7,'IS(M)'!$M45:$ER45)</f>
        <v>0</v>
      </c>
      <c r="DD39" s="171">
        <f>SUMIF('IS(M)'!$M$11:$ER$11,DD$7,'IS(M)'!$M45:$ER45)</f>
        <v>0</v>
      </c>
      <c r="DE39" s="171">
        <f>SUMIF('IS(M)'!$M$11:$ER$11,DE$7,'IS(M)'!$M45:$ER45)</f>
        <v>0</v>
      </c>
      <c r="DF39" s="171">
        <f>SUMIF('IS(M)'!$M$11:$ER$11,DF$7,'IS(M)'!$M45:$ER45)</f>
        <v>0</v>
      </c>
      <c r="DG39" s="171">
        <f>SUMIF('IS(M)'!$M$11:$ER$11,DG$7,'IS(M)'!$M45:$ER45)</f>
        <v>0</v>
      </c>
      <c r="DH39" s="171">
        <f>SUMIF('IS(M)'!$M$11:$ER$11,DH$7,'IS(M)'!$M45:$ER45)</f>
        <v>0</v>
      </c>
      <c r="DI39" s="171">
        <f>SUMIF('IS(M)'!$M$11:$ER$11,DI$7,'IS(M)'!$M45:$ER45)</f>
        <v>0</v>
      </c>
      <c r="DJ39" s="171">
        <f>SUMIF('IS(M)'!$M$11:$ER$11,DJ$7,'IS(M)'!$M45:$ER45)</f>
        <v>0</v>
      </c>
      <c r="DK39" s="171">
        <f>SUMIF('IS(M)'!$M$11:$ER$11,DK$7,'IS(M)'!$M45:$ER45)</f>
        <v>0</v>
      </c>
      <c r="DL39" s="171">
        <f>SUMIF('IS(M)'!$M$11:$ER$11,DL$7,'IS(M)'!$M45:$ER45)</f>
        <v>0</v>
      </c>
      <c r="DM39" s="171">
        <f>SUMIF('IS(M)'!$M$11:$ER$11,DM$7,'IS(M)'!$M45:$ER45)</f>
        <v>0</v>
      </c>
      <c r="DN39" s="171">
        <f>SUMIF('IS(M)'!$M$11:$ER$11,DN$7,'IS(M)'!$M45:$ER45)</f>
        <v>0</v>
      </c>
      <c r="DO39" s="171">
        <f>SUMIF('IS(M)'!$M$11:$ER$11,DO$7,'IS(M)'!$M45:$ER45)</f>
        <v>0</v>
      </c>
      <c r="DP39" s="171">
        <f>SUMIF('IS(M)'!$M$11:$ER$11,DP$7,'IS(M)'!$M45:$ER45)</f>
        <v>0</v>
      </c>
      <c r="DQ39" s="171">
        <f>SUMIF('IS(M)'!$M$11:$ER$11,DQ$7,'IS(M)'!$M45:$ER45)</f>
        <v>0</v>
      </c>
      <c r="DR39" s="171">
        <f>SUMIF('IS(M)'!$M$11:$ER$11,DR$7,'IS(M)'!$M45:$ER45)</f>
        <v>0</v>
      </c>
      <c r="DS39" s="171">
        <f>SUMIF('IS(M)'!$M$11:$ER$11,DS$7,'IS(M)'!$M45:$ER45)</f>
        <v>0</v>
      </c>
      <c r="DT39" s="171">
        <f>SUMIF('IS(M)'!$M$11:$ER$11,DT$7,'IS(M)'!$M45:$ER45)</f>
        <v>0</v>
      </c>
      <c r="DU39" s="171">
        <f>SUMIF('IS(M)'!$M$11:$ER$11,DU$7,'IS(M)'!$M45:$ER45)</f>
        <v>0</v>
      </c>
      <c r="DV39" s="171">
        <f>SUMIF('IS(M)'!$M$11:$ER$11,DV$7,'IS(M)'!$M45:$ER45)</f>
        <v>0</v>
      </c>
      <c r="DW39" s="171">
        <f>SUMIF('IS(M)'!$M$11:$ER$11,DW$7,'IS(M)'!$M45:$ER45)</f>
        <v>0</v>
      </c>
    </row>
    <row r="40" spans="2:127" ht="11.25" customHeight="1">
      <c r="B40" s="218"/>
      <c r="C40" s="158" t="s">
        <v>515</v>
      </c>
      <c r="D40" s="159"/>
      <c r="E40" s="159"/>
      <c r="F40" s="159"/>
      <c r="G40" s="159"/>
      <c r="H40" s="159"/>
      <c r="I40" s="160"/>
      <c r="J40" s="219"/>
      <c r="K40" s="220">
        <f>SUM(K41:K48)</f>
        <v>98581637.533343479</v>
      </c>
      <c r="L40" s="98"/>
      <c r="M40" s="162">
        <f>SUM(M41:M48)</f>
        <v>0</v>
      </c>
      <c r="N40" s="162">
        <f t="shared" ref="N40:BY40" si="21">SUM(N41:N48)</f>
        <v>5104637.5333434846</v>
      </c>
      <c r="O40" s="162">
        <f t="shared" si="21"/>
        <v>4960000</v>
      </c>
      <c r="P40" s="162">
        <f t="shared" si="21"/>
        <v>4960000</v>
      </c>
      <c r="Q40" s="162">
        <f t="shared" si="21"/>
        <v>4960000</v>
      </c>
      <c r="R40" s="162">
        <f t="shared" si="21"/>
        <v>5112000</v>
      </c>
      <c r="S40" s="162">
        <f t="shared" si="21"/>
        <v>5112000</v>
      </c>
      <c r="T40" s="162">
        <f t="shared" si="21"/>
        <v>5112000</v>
      </c>
      <c r="U40" s="162">
        <f t="shared" si="21"/>
        <v>5112000</v>
      </c>
      <c r="V40" s="162">
        <f t="shared" si="21"/>
        <v>5112000</v>
      </c>
      <c r="W40" s="162">
        <f t="shared" si="21"/>
        <v>5112000</v>
      </c>
      <c r="X40" s="162">
        <f t="shared" si="21"/>
        <v>4792500</v>
      </c>
      <c r="Y40" s="162">
        <f t="shared" si="21"/>
        <v>4792500</v>
      </c>
      <c r="Z40" s="162">
        <f t="shared" si="21"/>
        <v>4792500</v>
      </c>
      <c r="AA40" s="162">
        <f t="shared" si="21"/>
        <v>4792500</v>
      </c>
      <c r="AB40" s="162">
        <f t="shared" si="21"/>
        <v>4792500</v>
      </c>
      <c r="AC40" s="162">
        <f t="shared" si="21"/>
        <v>4792500</v>
      </c>
      <c r="AD40" s="162">
        <f t="shared" si="21"/>
        <v>4792500</v>
      </c>
      <c r="AE40" s="162">
        <f t="shared" si="21"/>
        <v>4792500</v>
      </c>
      <c r="AF40" s="162">
        <f t="shared" si="21"/>
        <v>4792500</v>
      </c>
      <c r="AG40" s="162">
        <f t="shared" si="21"/>
        <v>4792500</v>
      </c>
      <c r="AH40" s="162">
        <f t="shared" si="21"/>
        <v>0</v>
      </c>
      <c r="AI40" s="162">
        <f t="shared" si="21"/>
        <v>0</v>
      </c>
      <c r="AJ40" s="162">
        <f t="shared" si="21"/>
        <v>0</v>
      </c>
      <c r="AK40" s="162">
        <f t="shared" si="21"/>
        <v>0</v>
      </c>
      <c r="AL40" s="162">
        <f t="shared" si="21"/>
        <v>0</v>
      </c>
      <c r="AM40" s="162">
        <f t="shared" si="21"/>
        <v>0</v>
      </c>
      <c r="AN40" s="162">
        <f t="shared" si="21"/>
        <v>0</v>
      </c>
      <c r="AO40" s="162">
        <f t="shared" si="21"/>
        <v>0</v>
      </c>
      <c r="AP40" s="162">
        <f t="shared" si="21"/>
        <v>0</v>
      </c>
      <c r="AQ40" s="162">
        <f t="shared" si="21"/>
        <v>0</v>
      </c>
      <c r="AR40" s="162">
        <f t="shared" si="21"/>
        <v>0</v>
      </c>
      <c r="AS40" s="162">
        <f t="shared" si="21"/>
        <v>0</v>
      </c>
      <c r="AT40" s="162">
        <f t="shared" si="21"/>
        <v>0</v>
      </c>
      <c r="AU40" s="162">
        <f t="shared" si="21"/>
        <v>0</v>
      </c>
      <c r="AV40" s="162">
        <f t="shared" si="21"/>
        <v>0</v>
      </c>
      <c r="AW40" s="162">
        <f t="shared" si="21"/>
        <v>0</v>
      </c>
      <c r="AX40" s="162">
        <f t="shared" si="21"/>
        <v>0</v>
      </c>
      <c r="AY40" s="162">
        <f t="shared" si="21"/>
        <v>0</v>
      </c>
      <c r="AZ40" s="162">
        <f t="shared" si="21"/>
        <v>0</v>
      </c>
      <c r="BA40" s="162">
        <f t="shared" si="21"/>
        <v>0</v>
      </c>
      <c r="BB40" s="162">
        <f t="shared" si="21"/>
        <v>0</v>
      </c>
      <c r="BC40" s="162">
        <f t="shared" si="21"/>
        <v>0</v>
      </c>
      <c r="BD40" s="162">
        <f t="shared" si="21"/>
        <v>0</v>
      </c>
      <c r="BE40" s="162">
        <f t="shared" si="21"/>
        <v>0</v>
      </c>
      <c r="BF40" s="162">
        <f t="shared" si="21"/>
        <v>0</v>
      </c>
      <c r="BG40" s="162">
        <f t="shared" si="21"/>
        <v>0</v>
      </c>
      <c r="BH40" s="162">
        <f t="shared" si="21"/>
        <v>0</v>
      </c>
      <c r="BI40" s="162">
        <f t="shared" si="21"/>
        <v>0</v>
      </c>
      <c r="BJ40" s="162">
        <f t="shared" si="21"/>
        <v>0</v>
      </c>
      <c r="BK40" s="162">
        <f t="shared" si="21"/>
        <v>0</v>
      </c>
      <c r="BL40" s="162">
        <f t="shared" si="21"/>
        <v>0</v>
      </c>
      <c r="BM40" s="162">
        <f t="shared" si="21"/>
        <v>0</v>
      </c>
      <c r="BN40" s="162">
        <f t="shared" si="21"/>
        <v>0</v>
      </c>
      <c r="BO40" s="162">
        <f t="shared" si="21"/>
        <v>0</v>
      </c>
      <c r="BP40" s="162">
        <f t="shared" si="21"/>
        <v>0</v>
      </c>
      <c r="BQ40" s="162">
        <f t="shared" si="21"/>
        <v>0</v>
      </c>
      <c r="BR40" s="162">
        <f t="shared" si="21"/>
        <v>0</v>
      </c>
      <c r="BS40" s="162">
        <f t="shared" si="21"/>
        <v>0</v>
      </c>
      <c r="BT40" s="162">
        <f t="shared" si="21"/>
        <v>0</v>
      </c>
      <c r="BU40" s="162">
        <f t="shared" si="21"/>
        <v>0</v>
      </c>
      <c r="BV40" s="162">
        <f t="shared" si="21"/>
        <v>0</v>
      </c>
      <c r="BW40" s="162">
        <f t="shared" si="21"/>
        <v>0</v>
      </c>
      <c r="BX40" s="162">
        <f t="shared" si="21"/>
        <v>0</v>
      </c>
      <c r="BY40" s="162">
        <f t="shared" si="21"/>
        <v>0</v>
      </c>
      <c r="BZ40" s="162">
        <f t="shared" ref="BZ40:DW40" si="22">SUM(BZ41:BZ48)</f>
        <v>0</v>
      </c>
      <c r="CA40" s="162">
        <f t="shared" si="22"/>
        <v>0</v>
      </c>
      <c r="CB40" s="162">
        <f t="shared" si="22"/>
        <v>0</v>
      </c>
      <c r="CC40" s="162">
        <f t="shared" si="22"/>
        <v>0</v>
      </c>
      <c r="CD40" s="162">
        <f t="shared" si="22"/>
        <v>0</v>
      </c>
      <c r="CE40" s="162">
        <f t="shared" si="22"/>
        <v>0</v>
      </c>
      <c r="CF40" s="162">
        <f t="shared" si="22"/>
        <v>0</v>
      </c>
      <c r="CG40" s="162">
        <f t="shared" si="22"/>
        <v>0</v>
      </c>
      <c r="CH40" s="162">
        <f t="shared" si="22"/>
        <v>0</v>
      </c>
      <c r="CI40" s="162">
        <f t="shared" si="22"/>
        <v>0</v>
      </c>
      <c r="CJ40" s="162">
        <f t="shared" si="22"/>
        <v>0</v>
      </c>
      <c r="CK40" s="162">
        <f t="shared" si="22"/>
        <v>0</v>
      </c>
      <c r="CL40" s="162">
        <f t="shared" si="22"/>
        <v>0</v>
      </c>
      <c r="CM40" s="162">
        <f t="shared" si="22"/>
        <v>0</v>
      </c>
      <c r="CN40" s="162">
        <f t="shared" si="22"/>
        <v>0</v>
      </c>
      <c r="CO40" s="162">
        <f t="shared" si="22"/>
        <v>0</v>
      </c>
      <c r="CP40" s="162">
        <f t="shared" si="22"/>
        <v>0</v>
      </c>
      <c r="CQ40" s="162">
        <f t="shared" si="22"/>
        <v>0</v>
      </c>
      <c r="CR40" s="162">
        <f t="shared" si="22"/>
        <v>0</v>
      </c>
      <c r="CS40" s="162">
        <f t="shared" si="22"/>
        <v>0</v>
      </c>
      <c r="CT40" s="162">
        <f t="shared" si="22"/>
        <v>0</v>
      </c>
      <c r="CU40" s="162">
        <f t="shared" si="22"/>
        <v>0</v>
      </c>
      <c r="CV40" s="162">
        <f t="shared" si="22"/>
        <v>0</v>
      </c>
      <c r="CW40" s="162">
        <f t="shared" si="22"/>
        <v>0</v>
      </c>
      <c r="CX40" s="162">
        <f t="shared" si="22"/>
        <v>0</v>
      </c>
      <c r="CY40" s="162">
        <f t="shared" si="22"/>
        <v>0</v>
      </c>
      <c r="CZ40" s="162">
        <f t="shared" si="22"/>
        <v>0</v>
      </c>
      <c r="DA40" s="162">
        <f t="shared" si="22"/>
        <v>0</v>
      </c>
      <c r="DB40" s="162">
        <f t="shared" si="22"/>
        <v>0</v>
      </c>
      <c r="DC40" s="162">
        <f t="shared" si="22"/>
        <v>0</v>
      </c>
      <c r="DD40" s="162">
        <f t="shared" si="22"/>
        <v>0</v>
      </c>
      <c r="DE40" s="162">
        <f t="shared" si="22"/>
        <v>0</v>
      </c>
      <c r="DF40" s="162">
        <f t="shared" si="22"/>
        <v>0</v>
      </c>
      <c r="DG40" s="162">
        <f t="shared" si="22"/>
        <v>0</v>
      </c>
      <c r="DH40" s="162">
        <f t="shared" si="22"/>
        <v>0</v>
      </c>
      <c r="DI40" s="162">
        <f t="shared" si="22"/>
        <v>0</v>
      </c>
      <c r="DJ40" s="162">
        <f t="shared" si="22"/>
        <v>0</v>
      </c>
      <c r="DK40" s="162">
        <f t="shared" si="22"/>
        <v>0</v>
      </c>
      <c r="DL40" s="162">
        <f t="shared" si="22"/>
        <v>0</v>
      </c>
      <c r="DM40" s="162">
        <f t="shared" si="22"/>
        <v>0</v>
      </c>
      <c r="DN40" s="162">
        <f t="shared" si="22"/>
        <v>0</v>
      </c>
      <c r="DO40" s="162">
        <f t="shared" si="22"/>
        <v>0</v>
      </c>
      <c r="DP40" s="162">
        <f t="shared" si="22"/>
        <v>0</v>
      </c>
      <c r="DQ40" s="162">
        <f t="shared" si="22"/>
        <v>0</v>
      </c>
      <c r="DR40" s="162">
        <f t="shared" si="22"/>
        <v>0</v>
      </c>
      <c r="DS40" s="162">
        <f t="shared" si="22"/>
        <v>0</v>
      </c>
      <c r="DT40" s="162">
        <f t="shared" si="22"/>
        <v>0</v>
      </c>
      <c r="DU40" s="162">
        <f t="shared" si="22"/>
        <v>0</v>
      </c>
      <c r="DV40" s="162">
        <f t="shared" si="22"/>
        <v>0</v>
      </c>
      <c r="DW40" s="162">
        <f t="shared" si="22"/>
        <v>0</v>
      </c>
    </row>
    <row r="41" spans="2:127" ht="11.25" customHeight="1">
      <c r="B41" s="218"/>
      <c r="C41" s="163"/>
      <c r="D41" s="164" t="str">
        <f>'CF(M)'!D41</f>
        <v>담보대출 이자비용</v>
      </c>
      <c r="E41" s="165"/>
      <c r="F41" s="165"/>
      <c r="G41" s="165"/>
      <c r="H41" s="165"/>
      <c r="I41" s="166"/>
      <c r="J41" s="221"/>
      <c r="K41" s="168">
        <f t="shared" si="12"/>
        <v>15279999.999999998</v>
      </c>
      <c r="L41" s="98"/>
      <c r="M41" s="168">
        <f>SUMIF('IS(M)'!$M$11:$ER$11,M$7,'IS(M)'!$M47:$ER47)</f>
        <v>0</v>
      </c>
      <c r="N41" s="168">
        <f>SUMIF('IS(M)'!$M$11:$ER$11,N$7,'IS(M)'!$M47:$ER47)</f>
        <v>3819999.9999999995</v>
      </c>
      <c r="O41" s="168">
        <f>SUMIF('IS(M)'!$M$11:$ER$11,O$7,'IS(M)'!$M47:$ER47)</f>
        <v>3819999.9999999995</v>
      </c>
      <c r="P41" s="168">
        <f>SUMIF('IS(M)'!$M$11:$ER$11,P$7,'IS(M)'!$M47:$ER47)</f>
        <v>3819999.9999999995</v>
      </c>
      <c r="Q41" s="168">
        <f>SUMIF('IS(M)'!$M$11:$ER$11,Q$7,'IS(M)'!$M47:$ER47)</f>
        <v>3819999.9999999995</v>
      </c>
      <c r="R41" s="168">
        <f>SUMIF('IS(M)'!$M$11:$ER$11,R$7,'IS(M)'!$M47:$ER47)</f>
        <v>0</v>
      </c>
      <c r="S41" s="168">
        <f>SUMIF('IS(M)'!$M$11:$ER$11,S$7,'IS(M)'!$M47:$ER47)</f>
        <v>0</v>
      </c>
      <c r="T41" s="168">
        <f>SUMIF('IS(M)'!$M$11:$ER$11,T$7,'IS(M)'!$M47:$ER47)</f>
        <v>0</v>
      </c>
      <c r="U41" s="168">
        <f>SUMIF('IS(M)'!$M$11:$ER$11,U$7,'IS(M)'!$M47:$ER47)</f>
        <v>0</v>
      </c>
      <c r="V41" s="168">
        <f>SUMIF('IS(M)'!$M$11:$ER$11,V$7,'IS(M)'!$M47:$ER47)</f>
        <v>0</v>
      </c>
      <c r="W41" s="168">
        <f>SUMIF('IS(M)'!$M$11:$ER$11,W$7,'IS(M)'!$M47:$ER47)</f>
        <v>0</v>
      </c>
      <c r="X41" s="168">
        <f>SUMIF('IS(M)'!$M$11:$ER$11,X$7,'IS(M)'!$M47:$ER47)</f>
        <v>0</v>
      </c>
      <c r="Y41" s="168">
        <f>SUMIF('IS(M)'!$M$11:$ER$11,Y$7,'IS(M)'!$M47:$ER47)</f>
        <v>0</v>
      </c>
      <c r="Z41" s="168">
        <f>SUMIF('IS(M)'!$M$11:$ER$11,Z$7,'IS(M)'!$M47:$ER47)</f>
        <v>0</v>
      </c>
      <c r="AA41" s="168">
        <f>SUMIF('IS(M)'!$M$11:$ER$11,AA$7,'IS(M)'!$M47:$ER47)</f>
        <v>0</v>
      </c>
      <c r="AB41" s="168">
        <f>SUMIF('IS(M)'!$M$11:$ER$11,AB$7,'IS(M)'!$M47:$ER47)</f>
        <v>0</v>
      </c>
      <c r="AC41" s="168">
        <f>SUMIF('IS(M)'!$M$11:$ER$11,AC$7,'IS(M)'!$M47:$ER47)</f>
        <v>0</v>
      </c>
      <c r="AD41" s="168">
        <f>SUMIF('IS(M)'!$M$11:$ER$11,AD$7,'IS(M)'!$M47:$ER47)</f>
        <v>0</v>
      </c>
      <c r="AE41" s="168">
        <f>SUMIF('IS(M)'!$M$11:$ER$11,AE$7,'IS(M)'!$M47:$ER47)</f>
        <v>0</v>
      </c>
      <c r="AF41" s="168">
        <f>SUMIF('IS(M)'!$M$11:$ER$11,AF$7,'IS(M)'!$M47:$ER47)</f>
        <v>0</v>
      </c>
      <c r="AG41" s="168">
        <f>SUMIF('IS(M)'!$M$11:$ER$11,AG$7,'IS(M)'!$M47:$ER47)</f>
        <v>0</v>
      </c>
      <c r="AH41" s="168">
        <f>SUMIF('IS(M)'!$M$11:$ER$11,AH$7,'IS(M)'!$M47:$ER47)</f>
        <v>0</v>
      </c>
      <c r="AI41" s="168">
        <f>SUMIF('IS(M)'!$M$11:$ER$11,AI$7,'IS(M)'!$M47:$ER47)</f>
        <v>0</v>
      </c>
      <c r="AJ41" s="168">
        <f>SUMIF('IS(M)'!$M$11:$ER$11,AJ$7,'IS(M)'!$M47:$ER47)</f>
        <v>0</v>
      </c>
      <c r="AK41" s="168">
        <f>SUMIF('IS(M)'!$M$11:$ER$11,AK$7,'IS(M)'!$M47:$ER47)</f>
        <v>0</v>
      </c>
      <c r="AL41" s="168">
        <f>SUMIF('IS(M)'!$M$11:$ER$11,AL$7,'IS(M)'!$M47:$ER47)</f>
        <v>0</v>
      </c>
      <c r="AM41" s="168">
        <f>SUMIF('IS(M)'!$M$11:$ER$11,AM$7,'IS(M)'!$M47:$ER47)</f>
        <v>0</v>
      </c>
      <c r="AN41" s="168">
        <f>SUMIF('IS(M)'!$M$11:$ER$11,AN$7,'IS(M)'!$M47:$ER47)</f>
        <v>0</v>
      </c>
      <c r="AO41" s="168">
        <f>SUMIF('IS(M)'!$M$11:$ER$11,AO$7,'IS(M)'!$M47:$ER47)</f>
        <v>0</v>
      </c>
      <c r="AP41" s="168">
        <f>SUMIF('IS(M)'!$M$11:$ER$11,AP$7,'IS(M)'!$M47:$ER47)</f>
        <v>0</v>
      </c>
      <c r="AQ41" s="168">
        <f>SUMIF('IS(M)'!$M$11:$ER$11,AQ$7,'IS(M)'!$M47:$ER47)</f>
        <v>0</v>
      </c>
      <c r="AR41" s="168">
        <f>SUMIF('IS(M)'!$M$11:$ER$11,AR$7,'IS(M)'!$M47:$ER47)</f>
        <v>0</v>
      </c>
      <c r="AS41" s="168">
        <f>SUMIF('IS(M)'!$M$11:$ER$11,AS$7,'IS(M)'!$M47:$ER47)</f>
        <v>0</v>
      </c>
      <c r="AT41" s="168">
        <f>SUMIF('IS(M)'!$M$11:$ER$11,AT$7,'IS(M)'!$M47:$ER47)</f>
        <v>0</v>
      </c>
      <c r="AU41" s="168">
        <f>SUMIF('IS(M)'!$M$11:$ER$11,AU$7,'IS(M)'!$M47:$ER47)</f>
        <v>0</v>
      </c>
      <c r="AV41" s="168">
        <f>SUMIF('IS(M)'!$M$11:$ER$11,AV$7,'IS(M)'!$M47:$ER47)</f>
        <v>0</v>
      </c>
      <c r="AW41" s="168">
        <f>SUMIF('IS(M)'!$M$11:$ER$11,AW$7,'IS(M)'!$M47:$ER47)</f>
        <v>0</v>
      </c>
      <c r="AX41" s="168">
        <f>SUMIF('IS(M)'!$M$11:$ER$11,AX$7,'IS(M)'!$M47:$ER47)</f>
        <v>0</v>
      </c>
      <c r="AY41" s="168">
        <f>SUMIF('IS(M)'!$M$11:$ER$11,AY$7,'IS(M)'!$M47:$ER47)</f>
        <v>0</v>
      </c>
      <c r="AZ41" s="168">
        <f>SUMIF('IS(M)'!$M$11:$ER$11,AZ$7,'IS(M)'!$M47:$ER47)</f>
        <v>0</v>
      </c>
      <c r="BA41" s="168">
        <f>SUMIF('IS(M)'!$M$11:$ER$11,BA$7,'IS(M)'!$M47:$ER47)</f>
        <v>0</v>
      </c>
      <c r="BB41" s="168">
        <f>SUMIF('IS(M)'!$M$11:$ER$11,BB$7,'IS(M)'!$M47:$ER47)</f>
        <v>0</v>
      </c>
      <c r="BC41" s="168">
        <f>SUMIF('IS(M)'!$M$11:$ER$11,BC$7,'IS(M)'!$M47:$ER47)</f>
        <v>0</v>
      </c>
      <c r="BD41" s="168">
        <f>SUMIF('IS(M)'!$M$11:$ER$11,BD$7,'IS(M)'!$M47:$ER47)</f>
        <v>0</v>
      </c>
      <c r="BE41" s="168">
        <f>SUMIF('IS(M)'!$M$11:$ER$11,BE$7,'IS(M)'!$M47:$ER47)</f>
        <v>0</v>
      </c>
      <c r="BF41" s="168">
        <f>SUMIF('IS(M)'!$M$11:$ER$11,BF$7,'IS(M)'!$M47:$ER47)</f>
        <v>0</v>
      </c>
      <c r="BG41" s="168">
        <f>SUMIF('IS(M)'!$M$11:$ER$11,BG$7,'IS(M)'!$M47:$ER47)</f>
        <v>0</v>
      </c>
      <c r="BH41" s="168">
        <f>SUMIF('IS(M)'!$M$11:$ER$11,BH$7,'IS(M)'!$M47:$ER47)</f>
        <v>0</v>
      </c>
      <c r="BI41" s="168">
        <f>SUMIF('IS(M)'!$M$11:$ER$11,BI$7,'IS(M)'!$M47:$ER47)</f>
        <v>0</v>
      </c>
      <c r="BJ41" s="168">
        <f>SUMIF('IS(M)'!$M$11:$ER$11,BJ$7,'IS(M)'!$M47:$ER47)</f>
        <v>0</v>
      </c>
      <c r="BK41" s="168">
        <f>SUMIF('IS(M)'!$M$11:$ER$11,BK$7,'IS(M)'!$M47:$ER47)</f>
        <v>0</v>
      </c>
      <c r="BL41" s="168">
        <f>SUMIF('IS(M)'!$M$11:$ER$11,BL$7,'IS(M)'!$M47:$ER47)</f>
        <v>0</v>
      </c>
      <c r="BM41" s="168">
        <f>SUMIF('IS(M)'!$M$11:$ER$11,BM$7,'IS(M)'!$M47:$ER47)</f>
        <v>0</v>
      </c>
      <c r="BN41" s="168">
        <f>SUMIF('IS(M)'!$M$11:$ER$11,BN$7,'IS(M)'!$M47:$ER47)</f>
        <v>0</v>
      </c>
      <c r="BO41" s="168">
        <f>SUMIF('IS(M)'!$M$11:$ER$11,BO$7,'IS(M)'!$M47:$ER47)</f>
        <v>0</v>
      </c>
      <c r="BP41" s="168">
        <f>SUMIF('IS(M)'!$M$11:$ER$11,BP$7,'IS(M)'!$M47:$ER47)</f>
        <v>0</v>
      </c>
      <c r="BQ41" s="168">
        <f>SUMIF('IS(M)'!$M$11:$ER$11,BQ$7,'IS(M)'!$M47:$ER47)</f>
        <v>0</v>
      </c>
      <c r="BR41" s="168">
        <f>SUMIF('IS(M)'!$M$11:$ER$11,BR$7,'IS(M)'!$M47:$ER47)</f>
        <v>0</v>
      </c>
      <c r="BS41" s="168">
        <f>SUMIF('IS(M)'!$M$11:$ER$11,BS$7,'IS(M)'!$M47:$ER47)</f>
        <v>0</v>
      </c>
      <c r="BT41" s="168">
        <f>SUMIF('IS(M)'!$M$11:$ER$11,BT$7,'IS(M)'!$M47:$ER47)</f>
        <v>0</v>
      </c>
      <c r="BU41" s="168">
        <f>SUMIF('IS(M)'!$M$11:$ER$11,BU$7,'IS(M)'!$M47:$ER47)</f>
        <v>0</v>
      </c>
      <c r="BV41" s="168">
        <f>SUMIF('IS(M)'!$M$11:$ER$11,BV$7,'IS(M)'!$M47:$ER47)</f>
        <v>0</v>
      </c>
      <c r="BW41" s="168">
        <f>SUMIF('IS(M)'!$M$11:$ER$11,BW$7,'IS(M)'!$M47:$ER47)</f>
        <v>0</v>
      </c>
      <c r="BX41" s="168">
        <f>SUMIF('IS(M)'!$M$11:$ER$11,BX$7,'IS(M)'!$M47:$ER47)</f>
        <v>0</v>
      </c>
      <c r="BY41" s="168">
        <f>SUMIF('IS(M)'!$M$11:$ER$11,BY$7,'IS(M)'!$M47:$ER47)</f>
        <v>0</v>
      </c>
      <c r="BZ41" s="168">
        <f>SUMIF('IS(M)'!$M$11:$ER$11,BZ$7,'IS(M)'!$M47:$ER47)</f>
        <v>0</v>
      </c>
      <c r="CA41" s="168">
        <f>SUMIF('IS(M)'!$M$11:$ER$11,CA$7,'IS(M)'!$M47:$ER47)</f>
        <v>0</v>
      </c>
      <c r="CB41" s="168">
        <f>SUMIF('IS(M)'!$M$11:$ER$11,CB$7,'IS(M)'!$M47:$ER47)</f>
        <v>0</v>
      </c>
      <c r="CC41" s="168">
        <f>SUMIF('IS(M)'!$M$11:$ER$11,CC$7,'IS(M)'!$M47:$ER47)</f>
        <v>0</v>
      </c>
      <c r="CD41" s="168">
        <f>SUMIF('IS(M)'!$M$11:$ER$11,CD$7,'IS(M)'!$M47:$ER47)</f>
        <v>0</v>
      </c>
      <c r="CE41" s="168">
        <f>SUMIF('IS(M)'!$M$11:$ER$11,CE$7,'IS(M)'!$M47:$ER47)</f>
        <v>0</v>
      </c>
      <c r="CF41" s="168">
        <f>SUMIF('IS(M)'!$M$11:$ER$11,CF$7,'IS(M)'!$M47:$ER47)</f>
        <v>0</v>
      </c>
      <c r="CG41" s="168">
        <f>SUMIF('IS(M)'!$M$11:$ER$11,CG$7,'IS(M)'!$M47:$ER47)</f>
        <v>0</v>
      </c>
      <c r="CH41" s="168">
        <f>SUMIF('IS(M)'!$M$11:$ER$11,CH$7,'IS(M)'!$M47:$ER47)</f>
        <v>0</v>
      </c>
      <c r="CI41" s="168">
        <f>SUMIF('IS(M)'!$M$11:$ER$11,CI$7,'IS(M)'!$M47:$ER47)</f>
        <v>0</v>
      </c>
      <c r="CJ41" s="168">
        <f>SUMIF('IS(M)'!$M$11:$ER$11,CJ$7,'IS(M)'!$M47:$ER47)</f>
        <v>0</v>
      </c>
      <c r="CK41" s="168">
        <f>SUMIF('IS(M)'!$M$11:$ER$11,CK$7,'IS(M)'!$M47:$ER47)</f>
        <v>0</v>
      </c>
      <c r="CL41" s="168">
        <f>SUMIF('IS(M)'!$M$11:$ER$11,CL$7,'IS(M)'!$M47:$ER47)</f>
        <v>0</v>
      </c>
      <c r="CM41" s="168">
        <f>SUMIF('IS(M)'!$M$11:$ER$11,CM$7,'IS(M)'!$M47:$ER47)</f>
        <v>0</v>
      </c>
      <c r="CN41" s="168">
        <f>SUMIF('IS(M)'!$M$11:$ER$11,CN$7,'IS(M)'!$M47:$ER47)</f>
        <v>0</v>
      </c>
      <c r="CO41" s="168">
        <f>SUMIF('IS(M)'!$M$11:$ER$11,CO$7,'IS(M)'!$M47:$ER47)</f>
        <v>0</v>
      </c>
      <c r="CP41" s="168">
        <f>SUMIF('IS(M)'!$M$11:$ER$11,CP$7,'IS(M)'!$M47:$ER47)</f>
        <v>0</v>
      </c>
      <c r="CQ41" s="168">
        <f>SUMIF('IS(M)'!$M$11:$ER$11,CQ$7,'IS(M)'!$M47:$ER47)</f>
        <v>0</v>
      </c>
      <c r="CR41" s="168">
        <f>SUMIF('IS(M)'!$M$11:$ER$11,CR$7,'IS(M)'!$M47:$ER47)</f>
        <v>0</v>
      </c>
      <c r="CS41" s="168">
        <f>SUMIF('IS(M)'!$M$11:$ER$11,CS$7,'IS(M)'!$M47:$ER47)</f>
        <v>0</v>
      </c>
      <c r="CT41" s="168">
        <f>SUMIF('IS(M)'!$M$11:$ER$11,CT$7,'IS(M)'!$M47:$ER47)</f>
        <v>0</v>
      </c>
      <c r="CU41" s="168">
        <f>SUMIF('IS(M)'!$M$11:$ER$11,CU$7,'IS(M)'!$M47:$ER47)</f>
        <v>0</v>
      </c>
      <c r="CV41" s="168">
        <f>SUMIF('IS(M)'!$M$11:$ER$11,CV$7,'IS(M)'!$M47:$ER47)</f>
        <v>0</v>
      </c>
      <c r="CW41" s="168">
        <f>SUMIF('IS(M)'!$M$11:$ER$11,CW$7,'IS(M)'!$M47:$ER47)</f>
        <v>0</v>
      </c>
      <c r="CX41" s="168">
        <f>SUMIF('IS(M)'!$M$11:$ER$11,CX$7,'IS(M)'!$M47:$ER47)</f>
        <v>0</v>
      </c>
      <c r="CY41" s="168">
        <f>SUMIF('IS(M)'!$M$11:$ER$11,CY$7,'IS(M)'!$M47:$ER47)</f>
        <v>0</v>
      </c>
      <c r="CZ41" s="168">
        <f>SUMIF('IS(M)'!$M$11:$ER$11,CZ$7,'IS(M)'!$M47:$ER47)</f>
        <v>0</v>
      </c>
      <c r="DA41" s="168">
        <f>SUMIF('IS(M)'!$M$11:$ER$11,DA$7,'IS(M)'!$M47:$ER47)</f>
        <v>0</v>
      </c>
      <c r="DB41" s="168">
        <f>SUMIF('IS(M)'!$M$11:$ER$11,DB$7,'IS(M)'!$M47:$ER47)</f>
        <v>0</v>
      </c>
      <c r="DC41" s="168">
        <f>SUMIF('IS(M)'!$M$11:$ER$11,DC$7,'IS(M)'!$M47:$ER47)</f>
        <v>0</v>
      </c>
      <c r="DD41" s="168">
        <f>SUMIF('IS(M)'!$M$11:$ER$11,DD$7,'IS(M)'!$M47:$ER47)</f>
        <v>0</v>
      </c>
      <c r="DE41" s="168">
        <f>SUMIF('IS(M)'!$M$11:$ER$11,DE$7,'IS(M)'!$M47:$ER47)</f>
        <v>0</v>
      </c>
      <c r="DF41" s="168">
        <f>SUMIF('IS(M)'!$M$11:$ER$11,DF$7,'IS(M)'!$M47:$ER47)</f>
        <v>0</v>
      </c>
      <c r="DG41" s="168">
        <f>SUMIF('IS(M)'!$M$11:$ER$11,DG$7,'IS(M)'!$M47:$ER47)</f>
        <v>0</v>
      </c>
      <c r="DH41" s="168">
        <f>SUMIF('IS(M)'!$M$11:$ER$11,DH$7,'IS(M)'!$M47:$ER47)</f>
        <v>0</v>
      </c>
      <c r="DI41" s="168">
        <f>SUMIF('IS(M)'!$M$11:$ER$11,DI$7,'IS(M)'!$M47:$ER47)</f>
        <v>0</v>
      </c>
      <c r="DJ41" s="168">
        <f>SUMIF('IS(M)'!$M$11:$ER$11,DJ$7,'IS(M)'!$M47:$ER47)</f>
        <v>0</v>
      </c>
      <c r="DK41" s="168">
        <f>SUMIF('IS(M)'!$M$11:$ER$11,DK$7,'IS(M)'!$M47:$ER47)</f>
        <v>0</v>
      </c>
      <c r="DL41" s="168">
        <f>SUMIF('IS(M)'!$M$11:$ER$11,DL$7,'IS(M)'!$M47:$ER47)</f>
        <v>0</v>
      </c>
      <c r="DM41" s="168">
        <f>SUMIF('IS(M)'!$M$11:$ER$11,DM$7,'IS(M)'!$M47:$ER47)</f>
        <v>0</v>
      </c>
      <c r="DN41" s="168">
        <f>SUMIF('IS(M)'!$M$11:$ER$11,DN$7,'IS(M)'!$M47:$ER47)</f>
        <v>0</v>
      </c>
      <c r="DO41" s="168">
        <f>SUMIF('IS(M)'!$M$11:$ER$11,DO$7,'IS(M)'!$M47:$ER47)</f>
        <v>0</v>
      </c>
      <c r="DP41" s="168">
        <f>SUMIF('IS(M)'!$M$11:$ER$11,DP$7,'IS(M)'!$M47:$ER47)</f>
        <v>0</v>
      </c>
      <c r="DQ41" s="168">
        <f>SUMIF('IS(M)'!$M$11:$ER$11,DQ$7,'IS(M)'!$M47:$ER47)</f>
        <v>0</v>
      </c>
      <c r="DR41" s="168">
        <f>SUMIF('IS(M)'!$M$11:$ER$11,DR$7,'IS(M)'!$M47:$ER47)</f>
        <v>0</v>
      </c>
      <c r="DS41" s="168">
        <f>SUMIF('IS(M)'!$M$11:$ER$11,DS$7,'IS(M)'!$M47:$ER47)</f>
        <v>0</v>
      </c>
      <c r="DT41" s="168">
        <f>SUMIF('IS(M)'!$M$11:$ER$11,DT$7,'IS(M)'!$M47:$ER47)</f>
        <v>0</v>
      </c>
      <c r="DU41" s="168">
        <f>SUMIF('IS(M)'!$M$11:$ER$11,DU$7,'IS(M)'!$M47:$ER47)</f>
        <v>0</v>
      </c>
      <c r="DV41" s="168">
        <f>SUMIF('IS(M)'!$M$11:$ER$11,DV$7,'IS(M)'!$M47:$ER47)</f>
        <v>0</v>
      </c>
      <c r="DW41" s="168">
        <f>SUMIF('IS(M)'!$M$11:$ER$11,DW$7,'IS(M)'!$M47:$ER47)</f>
        <v>0</v>
      </c>
    </row>
    <row r="42" spans="2:127" ht="11.25" customHeight="1">
      <c r="B42" s="218"/>
      <c r="C42" s="163"/>
      <c r="D42" s="169" t="str">
        <f>'CF(M)'!D42</f>
        <v>담보대출(2nd) 이자비용</v>
      </c>
      <c r="I42" s="146"/>
      <c r="J42" s="13"/>
      <c r="K42" s="171">
        <f t="shared" si="12"/>
        <v>30672000</v>
      </c>
      <c r="L42" s="98"/>
      <c r="M42" s="171">
        <f>SUMIF('IS(M)'!$M$11:$ER$11,M$7,'IS(M)'!$M48:$ER48)</f>
        <v>0</v>
      </c>
      <c r="N42" s="171">
        <f>SUMIF('IS(M)'!$M$11:$ER$11,N$7,'IS(M)'!$M48:$ER48)</f>
        <v>0</v>
      </c>
      <c r="O42" s="171">
        <f>SUMIF('IS(M)'!$M$11:$ER$11,O$7,'IS(M)'!$M48:$ER48)</f>
        <v>0</v>
      </c>
      <c r="P42" s="171">
        <f>SUMIF('IS(M)'!$M$11:$ER$11,P$7,'IS(M)'!$M48:$ER48)</f>
        <v>0</v>
      </c>
      <c r="Q42" s="171">
        <f>SUMIF('IS(M)'!$M$11:$ER$11,Q$7,'IS(M)'!$M48:$ER48)</f>
        <v>0</v>
      </c>
      <c r="R42" s="171">
        <f>SUMIF('IS(M)'!$M$11:$ER$11,R$7,'IS(M)'!$M48:$ER48)</f>
        <v>5112000</v>
      </c>
      <c r="S42" s="171">
        <f>SUMIF('IS(M)'!$M$11:$ER$11,S$7,'IS(M)'!$M48:$ER48)</f>
        <v>5112000</v>
      </c>
      <c r="T42" s="171">
        <f>SUMIF('IS(M)'!$M$11:$ER$11,T$7,'IS(M)'!$M48:$ER48)</f>
        <v>5112000</v>
      </c>
      <c r="U42" s="171">
        <f>SUMIF('IS(M)'!$M$11:$ER$11,U$7,'IS(M)'!$M48:$ER48)</f>
        <v>5112000</v>
      </c>
      <c r="V42" s="171">
        <f>SUMIF('IS(M)'!$M$11:$ER$11,V$7,'IS(M)'!$M48:$ER48)</f>
        <v>5112000</v>
      </c>
      <c r="W42" s="171">
        <f>SUMIF('IS(M)'!$M$11:$ER$11,W$7,'IS(M)'!$M48:$ER48)</f>
        <v>5112000</v>
      </c>
      <c r="X42" s="171">
        <f>SUMIF('IS(M)'!$M$11:$ER$11,X$7,'IS(M)'!$M48:$ER48)</f>
        <v>0</v>
      </c>
      <c r="Y42" s="171">
        <f>SUMIF('IS(M)'!$M$11:$ER$11,Y$7,'IS(M)'!$M48:$ER48)</f>
        <v>0</v>
      </c>
      <c r="Z42" s="171">
        <f>SUMIF('IS(M)'!$M$11:$ER$11,Z$7,'IS(M)'!$M48:$ER48)</f>
        <v>0</v>
      </c>
      <c r="AA42" s="171">
        <f>SUMIF('IS(M)'!$M$11:$ER$11,AA$7,'IS(M)'!$M48:$ER48)</f>
        <v>0</v>
      </c>
      <c r="AB42" s="171">
        <f>SUMIF('IS(M)'!$M$11:$ER$11,AB$7,'IS(M)'!$M48:$ER48)</f>
        <v>0</v>
      </c>
      <c r="AC42" s="171">
        <f>SUMIF('IS(M)'!$M$11:$ER$11,AC$7,'IS(M)'!$M48:$ER48)</f>
        <v>0</v>
      </c>
      <c r="AD42" s="171">
        <f>SUMIF('IS(M)'!$M$11:$ER$11,AD$7,'IS(M)'!$M48:$ER48)</f>
        <v>0</v>
      </c>
      <c r="AE42" s="171">
        <f>SUMIF('IS(M)'!$M$11:$ER$11,AE$7,'IS(M)'!$M48:$ER48)</f>
        <v>0</v>
      </c>
      <c r="AF42" s="171">
        <f>SUMIF('IS(M)'!$M$11:$ER$11,AF$7,'IS(M)'!$M48:$ER48)</f>
        <v>0</v>
      </c>
      <c r="AG42" s="171">
        <f>SUMIF('IS(M)'!$M$11:$ER$11,AG$7,'IS(M)'!$M48:$ER48)</f>
        <v>0</v>
      </c>
      <c r="AH42" s="171">
        <f>SUMIF('IS(M)'!$M$11:$ER$11,AH$7,'IS(M)'!$M48:$ER48)</f>
        <v>0</v>
      </c>
      <c r="AI42" s="171">
        <f>SUMIF('IS(M)'!$M$11:$ER$11,AI$7,'IS(M)'!$M48:$ER48)</f>
        <v>0</v>
      </c>
      <c r="AJ42" s="171">
        <f>SUMIF('IS(M)'!$M$11:$ER$11,AJ$7,'IS(M)'!$M48:$ER48)</f>
        <v>0</v>
      </c>
      <c r="AK42" s="171">
        <f>SUMIF('IS(M)'!$M$11:$ER$11,AK$7,'IS(M)'!$M48:$ER48)</f>
        <v>0</v>
      </c>
      <c r="AL42" s="171">
        <f>SUMIF('IS(M)'!$M$11:$ER$11,AL$7,'IS(M)'!$M48:$ER48)</f>
        <v>0</v>
      </c>
      <c r="AM42" s="171">
        <f>SUMIF('IS(M)'!$M$11:$ER$11,AM$7,'IS(M)'!$M48:$ER48)</f>
        <v>0</v>
      </c>
      <c r="AN42" s="171">
        <f>SUMIF('IS(M)'!$M$11:$ER$11,AN$7,'IS(M)'!$M48:$ER48)</f>
        <v>0</v>
      </c>
      <c r="AO42" s="171">
        <f>SUMIF('IS(M)'!$M$11:$ER$11,AO$7,'IS(M)'!$M48:$ER48)</f>
        <v>0</v>
      </c>
      <c r="AP42" s="171">
        <f>SUMIF('IS(M)'!$M$11:$ER$11,AP$7,'IS(M)'!$M48:$ER48)</f>
        <v>0</v>
      </c>
      <c r="AQ42" s="171">
        <f>SUMIF('IS(M)'!$M$11:$ER$11,AQ$7,'IS(M)'!$M48:$ER48)</f>
        <v>0</v>
      </c>
      <c r="AR42" s="171">
        <f>SUMIF('IS(M)'!$M$11:$ER$11,AR$7,'IS(M)'!$M48:$ER48)</f>
        <v>0</v>
      </c>
      <c r="AS42" s="171">
        <f>SUMIF('IS(M)'!$M$11:$ER$11,AS$7,'IS(M)'!$M48:$ER48)</f>
        <v>0</v>
      </c>
      <c r="AT42" s="171">
        <f>SUMIF('IS(M)'!$M$11:$ER$11,AT$7,'IS(M)'!$M48:$ER48)</f>
        <v>0</v>
      </c>
      <c r="AU42" s="171">
        <f>SUMIF('IS(M)'!$M$11:$ER$11,AU$7,'IS(M)'!$M48:$ER48)</f>
        <v>0</v>
      </c>
      <c r="AV42" s="171">
        <f>SUMIF('IS(M)'!$M$11:$ER$11,AV$7,'IS(M)'!$M48:$ER48)</f>
        <v>0</v>
      </c>
      <c r="AW42" s="171">
        <f>SUMIF('IS(M)'!$M$11:$ER$11,AW$7,'IS(M)'!$M48:$ER48)</f>
        <v>0</v>
      </c>
      <c r="AX42" s="171">
        <f>SUMIF('IS(M)'!$M$11:$ER$11,AX$7,'IS(M)'!$M48:$ER48)</f>
        <v>0</v>
      </c>
      <c r="AY42" s="171">
        <f>SUMIF('IS(M)'!$M$11:$ER$11,AY$7,'IS(M)'!$M48:$ER48)</f>
        <v>0</v>
      </c>
      <c r="AZ42" s="171">
        <f>SUMIF('IS(M)'!$M$11:$ER$11,AZ$7,'IS(M)'!$M48:$ER48)</f>
        <v>0</v>
      </c>
      <c r="BA42" s="171">
        <f>SUMIF('IS(M)'!$M$11:$ER$11,BA$7,'IS(M)'!$M48:$ER48)</f>
        <v>0</v>
      </c>
      <c r="BB42" s="171">
        <f>SUMIF('IS(M)'!$M$11:$ER$11,BB$7,'IS(M)'!$M48:$ER48)</f>
        <v>0</v>
      </c>
      <c r="BC42" s="171">
        <f>SUMIF('IS(M)'!$M$11:$ER$11,BC$7,'IS(M)'!$M48:$ER48)</f>
        <v>0</v>
      </c>
      <c r="BD42" s="171">
        <f>SUMIF('IS(M)'!$M$11:$ER$11,BD$7,'IS(M)'!$M48:$ER48)</f>
        <v>0</v>
      </c>
      <c r="BE42" s="171">
        <f>SUMIF('IS(M)'!$M$11:$ER$11,BE$7,'IS(M)'!$M48:$ER48)</f>
        <v>0</v>
      </c>
      <c r="BF42" s="171">
        <f>SUMIF('IS(M)'!$M$11:$ER$11,BF$7,'IS(M)'!$M48:$ER48)</f>
        <v>0</v>
      </c>
      <c r="BG42" s="171">
        <f>SUMIF('IS(M)'!$M$11:$ER$11,BG$7,'IS(M)'!$M48:$ER48)</f>
        <v>0</v>
      </c>
      <c r="BH42" s="171">
        <f>SUMIF('IS(M)'!$M$11:$ER$11,BH$7,'IS(M)'!$M48:$ER48)</f>
        <v>0</v>
      </c>
      <c r="BI42" s="171">
        <f>SUMIF('IS(M)'!$M$11:$ER$11,BI$7,'IS(M)'!$M48:$ER48)</f>
        <v>0</v>
      </c>
      <c r="BJ42" s="171">
        <f>SUMIF('IS(M)'!$M$11:$ER$11,BJ$7,'IS(M)'!$M48:$ER48)</f>
        <v>0</v>
      </c>
      <c r="BK42" s="171">
        <f>SUMIF('IS(M)'!$M$11:$ER$11,BK$7,'IS(M)'!$M48:$ER48)</f>
        <v>0</v>
      </c>
      <c r="BL42" s="171">
        <f>SUMIF('IS(M)'!$M$11:$ER$11,BL$7,'IS(M)'!$M48:$ER48)</f>
        <v>0</v>
      </c>
      <c r="BM42" s="171">
        <f>SUMIF('IS(M)'!$M$11:$ER$11,BM$7,'IS(M)'!$M48:$ER48)</f>
        <v>0</v>
      </c>
      <c r="BN42" s="171">
        <f>SUMIF('IS(M)'!$M$11:$ER$11,BN$7,'IS(M)'!$M48:$ER48)</f>
        <v>0</v>
      </c>
      <c r="BO42" s="171">
        <f>SUMIF('IS(M)'!$M$11:$ER$11,BO$7,'IS(M)'!$M48:$ER48)</f>
        <v>0</v>
      </c>
      <c r="BP42" s="171">
        <f>SUMIF('IS(M)'!$M$11:$ER$11,BP$7,'IS(M)'!$M48:$ER48)</f>
        <v>0</v>
      </c>
      <c r="BQ42" s="171">
        <f>SUMIF('IS(M)'!$M$11:$ER$11,BQ$7,'IS(M)'!$M48:$ER48)</f>
        <v>0</v>
      </c>
      <c r="BR42" s="171">
        <f>SUMIF('IS(M)'!$M$11:$ER$11,BR$7,'IS(M)'!$M48:$ER48)</f>
        <v>0</v>
      </c>
      <c r="BS42" s="171">
        <f>SUMIF('IS(M)'!$M$11:$ER$11,BS$7,'IS(M)'!$M48:$ER48)</f>
        <v>0</v>
      </c>
      <c r="BT42" s="171">
        <f>SUMIF('IS(M)'!$M$11:$ER$11,BT$7,'IS(M)'!$M48:$ER48)</f>
        <v>0</v>
      </c>
      <c r="BU42" s="171">
        <f>SUMIF('IS(M)'!$M$11:$ER$11,BU$7,'IS(M)'!$M48:$ER48)</f>
        <v>0</v>
      </c>
      <c r="BV42" s="171">
        <f>SUMIF('IS(M)'!$M$11:$ER$11,BV$7,'IS(M)'!$M48:$ER48)</f>
        <v>0</v>
      </c>
      <c r="BW42" s="171">
        <f>SUMIF('IS(M)'!$M$11:$ER$11,BW$7,'IS(M)'!$M48:$ER48)</f>
        <v>0</v>
      </c>
      <c r="BX42" s="171">
        <f>SUMIF('IS(M)'!$M$11:$ER$11,BX$7,'IS(M)'!$M48:$ER48)</f>
        <v>0</v>
      </c>
      <c r="BY42" s="171">
        <f>SUMIF('IS(M)'!$M$11:$ER$11,BY$7,'IS(M)'!$M48:$ER48)</f>
        <v>0</v>
      </c>
      <c r="BZ42" s="171">
        <f>SUMIF('IS(M)'!$M$11:$ER$11,BZ$7,'IS(M)'!$M48:$ER48)</f>
        <v>0</v>
      </c>
      <c r="CA42" s="171">
        <f>SUMIF('IS(M)'!$M$11:$ER$11,CA$7,'IS(M)'!$M48:$ER48)</f>
        <v>0</v>
      </c>
      <c r="CB42" s="171">
        <f>SUMIF('IS(M)'!$M$11:$ER$11,CB$7,'IS(M)'!$M48:$ER48)</f>
        <v>0</v>
      </c>
      <c r="CC42" s="171">
        <f>SUMIF('IS(M)'!$M$11:$ER$11,CC$7,'IS(M)'!$M48:$ER48)</f>
        <v>0</v>
      </c>
      <c r="CD42" s="171">
        <f>SUMIF('IS(M)'!$M$11:$ER$11,CD$7,'IS(M)'!$M48:$ER48)</f>
        <v>0</v>
      </c>
      <c r="CE42" s="171">
        <f>SUMIF('IS(M)'!$M$11:$ER$11,CE$7,'IS(M)'!$M48:$ER48)</f>
        <v>0</v>
      </c>
      <c r="CF42" s="171">
        <f>SUMIF('IS(M)'!$M$11:$ER$11,CF$7,'IS(M)'!$M48:$ER48)</f>
        <v>0</v>
      </c>
      <c r="CG42" s="171">
        <f>SUMIF('IS(M)'!$M$11:$ER$11,CG$7,'IS(M)'!$M48:$ER48)</f>
        <v>0</v>
      </c>
      <c r="CH42" s="171">
        <f>SUMIF('IS(M)'!$M$11:$ER$11,CH$7,'IS(M)'!$M48:$ER48)</f>
        <v>0</v>
      </c>
      <c r="CI42" s="171">
        <f>SUMIF('IS(M)'!$M$11:$ER$11,CI$7,'IS(M)'!$M48:$ER48)</f>
        <v>0</v>
      </c>
      <c r="CJ42" s="171">
        <f>SUMIF('IS(M)'!$M$11:$ER$11,CJ$7,'IS(M)'!$M48:$ER48)</f>
        <v>0</v>
      </c>
      <c r="CK42" s="171">
        <f>SUMIF('IS(M)'!$M$11:$ER$11,CK$7,'IS(M)'!$M48:$ER48)</f>
        <v>0</v>
      </c>
      <c r="CL42" s="171">
        <f>SUMIF('IS(M)'!$M$11:$ER$11,CL$7,'IS(M)'!$M48:$ER48)</f>
        <v>0</v>
      </c>
      <c r="CM42" s="171">
        <f>SUMIF('IS(M)'!$M$11:$ER$11,CM$7,'IS(M)'!$M48:$ER48)</f>
        <v>0</v>
      </c>
      <c r="CN42" s="171">
        <f>SUMIF('IS(M)'!$M$11:$ER$11,CN$7,'IS(M)'!$M48:$ER48)</f>
        <v>0</v>
      </c>
      <c r="CO42" s="171">
        <f>SUMIF('IS(M)'!$M$11:$ER$11,CO$7,'IS(M)'!$M48:$ER48)</f>
        <v>0</v>
      </c>
      <c r="CP42" s="171">
        <f>SUMIF('IS(M)'!$M$11:$ER$11,CP$7,'IS(M)'!$M48:$ER48)</f>
        <v>0</v>
      </c>
      <c r="CQ42" s="171">
        <f>SUMIF('IS(M)'!$M$11:$ER$11,CQ$7,'IS(M)'!$M48:$ER48)</f>
        <v>0</v>
      </c>
      <c r="CR42" s="171">
        <f>SUMIF('IS(M)'!$M$11:$ER$11,CR$7,'IS(M)'!$M48:$ER48)</f>
        <v>0</v>
      </c>
      <c r="CS42" s="171">
        <f>SUMIF('IS(M)'!$M$11:$ER$11,CS$7,'IS(M)'!$M48:$ER48)</f>
        <v>0</v>
      </c>
      <c r="CT42" s="171">
        <f>SUMIF('IS(M)'!$M$11:$ER$11,CT$7,'IS(M)'!$M48:$ER48)</f>
        <v>0</v>
      </c>
      <c r="CU42" s="171">
        <f>SUMIF('IS(M)'!$M$11:$ER$11,CU$7,'IS(M)'!$M48:$ER48)</f>
        <v>0</v>
      </c>
      <c r="CV42" s="171">
        <f>SUMIF('IS(M)'!$M$11:$ER$11,CV$7,'IS(M)'!$M48:$ER48)</f>
        <v>0</v>
      </c>
      <c r="CW42" s="171">
        <f>SUMIF('IS(M)'!$M$11:$ER$11,CW$7,'IS(M)'!$M48:$ER48)</f>
        <v>0</v>
      </c>
      <c r="CX42" s="171">
        <f>SUMIF('IS(M)'!$M$11:$ER$11,CX$7,'IS(M)'!$M48:$ER48)</f>
        <v>0</v>
      </c>
      <c r="CY42" s="171">
        <f>SUMIF('IS(M)'!$M$11:$ER$11,CY$7,'IS(M)'!$M48:$ER48)</f>
        <v>0</v>
      </c>
      <c r="CZ42" s="171">
        <f>SUMIF('IS(M)'!$M$11:$ER$11,CZ$7,'IS(M)'!$M48:$ER48)</f>
        <v>0</v>
      </c>
      <c r="DA42" s="171">
        <f>SUMIF('IS(M)'!$M$11:$ER$11,DA$7,'IS(M)'!$M48:$ER48)</f>
        <v>0</v>
      </c>
      <c r="DB42" s="171">
        <f>SUMIF('IS(M)'!$M$11:$ER$11,DB$7,'IS(M)'!$M48:$ER48)</f>
        <v>0</v>
      </c>
      <c r="DC42" s="171">
        <f>SUMIF('IS(M)'!$M$11:$ER$11,DC$7,'IS(M)'!$M48:$ER48)</f>
        <v>0</v>
      </c>
      <c r="DD42" s="171">
        <f>SUMIF('IS(M)'!$M$11:$ER$11,DD$7,'IS(M)'!$M48:$ER48)</f>
        <v>0</v>
      </c>
      <c r="DE42" s="171">
        <f>SUMIF('IS(M)'!$M$11:$ER$11,DE$7,'IS(M)'!$M48:$ER48)</f>
        <v>0</v>
      </c>
      <c r="DF42" s="171">
        <f>SUMIF('IS(M)'!$M$11:$ER$11,DF$7,'IS(M)'!$M48:$ER48)</f>
        <v>0</v>
      </c>
      <c r="DG42" s="171">
        <f>SUMIF('IS(M)'!$M$11:$ER$11,DG$7,'IS(M)'!$M48:$ER48)</f>
        <v>0</v>
      </c>
      <c r="DH42" s="171">
        <f>SUMIF('IS(M)'!$M$11:$ER$11,DH$7,'IS(M)'!$M48:$ER48)</f>
        <v>0</v>
      </c>
      <c r="DI42" s="171">
        <f>SUMIF('IS(M)'!$M$11:$ER$11,DI$7,'IS(M)'!$M48:$ER48)</f>
        <v>0</v>
      </c>
      <c r="DJ42" s="171">
        <f>SUMIF('IS(M)'!$M$11:$ER$11,DJ$7,'IS(M)'!$M48:$ER48)</f>
        <v>0</v>
      </c>
      <c r="DK42" s="171">
        <f>SUMIF('IS(M)'!$M$11:$ER$11,DK$7,'IS(M)'!$M48:$ER48)</f>
        <v>0</v>
      </c>
      <c r="DL42" s="171">
        <f>SUMIF('IS(M)'!$M$11:$ER$11,DL$7,'IS(M)'!$M48:$ER48)</f>
        <v>0</v>
      </c>
      <c r="DM42" s="171">
        <f>SUMIF('IS(M)'!$M$11:$ER$11,DM$7,'IS(M)'!$M48:$ER48)</f>
        <v>0</v>
      </c>
      <c r="DN42" s="171">
        <f>SUMIF('IS(M)'!$M$11:$ER$11,DN$7,'IS(M)'!$M48:$ER48)</f>
        <v>0</v>
      </c>
      <c r="DO42" s="171">
        <f>SUMIF('IS(M)'!$M$11:$ER$11,DO$7,'IS(M)'!$M48:$ER48)</f>
        <v>0</v>
      </c>
      <c r="DP42" s="171">
        <f>SUMIF('IS(M)'!$M$11:$ER$11,DP$7,'IS(M)'!$M48:$ER48)</f>
        <v>0</v>
      </c>
      <c r="DQ42" s="171">
        <f>SUMIF('IS(M)'!$M$11:$ER$11,DQ$7,'IS(M)'!$M48:$ER48)</f>
        <v>0</v>
      </c>
      <c r="DR42" s="171">
        <f>SUMIF('IS(M)'!$M$11:$ER$11,DR$7,'IS(M)'!$M48:$ER48)</f>
        <v>0</v>
      </c>
      <c r="DS42" s="171">
        <f>SUMIF('IS(M)'!$M$11:$ER$11,DS$7,'IS(M)'!$M48:$ER48)</f>
        <v>0</v>
      </c>
      <c r="DT42" s="171">
        <f>SUMIF('IS(M)'!$M$11:$ER$11,DT$7,'IS(M)'!$M48:$ER48)</f>
        <v>0</v>
      </c>
      <c r="DU42" s="171">
        <f>SUMIF('IS(M)'!$M$11:$ER$11,DU$7,'IS(M)'!$M48:$ER48)</f>
        <v>0</v>
      </c>
      <c r="DV42" s="171">
        <f>SUMIF('IS(M)'!$M$11:$ER$11,DV$7,'IS(M)'!$M48:$ER48)</f>
        <v>0</v>
      </c>
      <c r="DW42" s="171">
        <f>SUMIF('IS(M)'!$M$11:$ER$11,DW$7,'IS(M)'!$M48:$ER48)</f>
        <v>0</v>
      </c>
    </row>
    <row r="43" spans="2:127" ht="11.25" customHeight="1">
      <c r="B43" s="218"/>
      <c r="C43" s="163"/>
      <c r="D43" s="169" t="str">
        <f>'CF(M)'!D43</f>
        <v>담보대출(3rd) 이자비용</v>
      </c>
      <c r="I43" s="146"/>
      <c r="J43" s="13"/>
      <c r="K43" s="171">
        <f t="shared" si="12"/>
        <v>47925000</v>
      </c>
      <c r="L43" s="98"/>
      <c r="M43" s="171">
        <f>SUMIF('IS(M)'!$M$11:$ER$11,M$7,'IS(M)'!$M49:$ER49)</f>
        <v>0</v>
      </c>
      <c r="N43" s="171">
        <f>SUMIF('IS(M)'!$M$11:$ER$11,N$7,'IS(M)'!$M49:$ER49)</f>
        <v>0</v>
      </c>
      <c r="O43" s="171">
        <f>SUMIF('IS(M)'!$M$11:$ER$11,O$7,'IS(M)'!$M49:$ER49)</f>
        <v>0</v>
      </c>
      <c r="P43" s="171">
        <f>SUMIF('IS(M)'!$M$11:$ER$11,P$7,'IS(M)'!$M49:$ER49)</f>
        <v>0</v>
      </c>
      <c r="Q43" s="171">
        <f>SUMIF('IS(M)'!$M$11:$ER$11,Q$7,'IS(M)'!$M49:$ER49)</f>
        <v>0</v>
      </c>
      <c r="R43" s="171">
        <f>SUMIF('IS(M)'!$M$11:$ER$11,R$7,'IS(M)'!$M49:$ER49)</f>
        <v>0</v>
      </c>
      <c r="S43" s="171">
        <f>SUMIF('IS(M)'!$M$11:$ER$11,S$7,'IS(M)'!$M49:$ER49)</f>
        <v>0</v>
      </c>
      <c r="T43" s="171">
        <f>SUMIF('IS(M)'!$M$11:$ER$11,T$7,'IS(M)'!$M49:$ER49)</f>
        <v>0</v>
      </c>
      <c r="U43" s="171">
        <f>SUMIF('IS(M)'!$M$11:$ER$11,U$7,'IS(M)'!$M49:$ER49)</f>
        <v>0</v>
      </c>
      <c r="V43" s="171">
        <f>SUMIF('IS(M)'!$M$11:$ER$11,V$7,'IS(M)'!$M49:$ER49)</f>
        <v>0</v>
      </c>
      <c r="W43" s="171">
        <f>SUMIF('IS(M)'!$M$11:$ER$11,W$7,'IS(M)'!$M49:$ER49)</f>
        <v>0</v>
      </c>
      <c r="X43" s="171">
        <f>SUMIF('IS(M)'!$M$11:$ER$11,X$7,'IS(M)'!$M49:$ER49)</f>
        <v>4792500</v>
      </c>
      <c r="Y43" s="171">
        <f>SUMIF('IS(M)'!$M$11:$ER$11,Y$7,'IS(M)'!$M49:$ER49)</f>
        <v>4792500</v>
      </c>
      <c r="Z43" s="171">
        <f>SUMIF('IS(M)'!$M$11:$ER$11,Z$7,'IS(M)'!$M49:$ER49)</f>
        <v>4792500</v>
      </c>
      <c r="AA43" s="171">
        <f>SUMIF('IS(M)'!$M$11:$ER$11,AA$7,'IS(M)'!$M49:$ER49)</f>
        <v>4792500</v>
      </c>
      <c r="AB43" s="171">
        <f>SUMIF('IS(M)'!$M$11:$ER$11,AB$7,'IS(M)'!$M49:$ER49)</f>
        <v>4792500</v>
      </c>
      <c r="AC43" s="171">
        <f>SUMIF('IS(M)'!$M$11:$ER$11,AC$7,'IS(M)'!$M49:$ER49)</f>
        <v>4792500</v>
      </c>
      <c r="AD43" s="171">
        <f>SUMIF('IS(M)'!$M$11:$ER$11,AD$7,'IS(M)'!$M49:$ER49)</f>
        <v>4792500</v>
      </c>
      <c r="AE43" s="171">
        <f>SUMIF('IS(M)'!$M$11:$ER$11,AE$7,'IS(M)'!$M49:$ER49)</f>
        <v>4792500</v>
      </c>
      <c r="AF43" s="171">
        <f>SUMIF('IS(M)'!$M$11:$ER$11,AF$7,'IS(M)'!$M49:$ER49)</f>
        <v>4792500</v>
      </c>
      <c r="AG43" s="171">
        <f>SUMIF('IS(M)'!$M$11:$ER$11,AG$7,'IS(M)'!$M49:$ER49)</f>
        <v>4792500</v>
      </c>
      <c r="AH43" s="171">
        <f>SUMIF('IS(M)'!$M$11:$ER$11,AH$7,'IS(M)'!$M49:$ER49)</f>
        <v>0</v>
      </c>
      <c r="AI43" s="171">
        <f>SUMIF('IS(M)'!$M$11:$ER$11,AI$7,'IS(M)'!$M49:$ER49)</f>
        <v>0</v>
      </c>
      <c r="AJ43" s="171">
        <f>SUMIF('IS(M)'!$M$11:$ER$11,AJ$7,'IS(M)'!$M49:$ER49)</f>
        <v>0</v>
      </c>
      <c r="AK43" s="171">
        <f>SUMIF('IS(M)'!$M$11:$ER$11,AK$7,'IS(M)'!$M49:$ER49)</f>
        <v>0</v>
      </c>
      <c r="AL43" s="171">
        <f>SUMIF('IS(M)'!$M$11:$ER$11,AL$7,'IS(M)'!$M49:$ER49)</f>
        <v>0</v>
      </c>
      <c r="AM43" s="171">
        <f>SUMIF('IS(M)'!$M$11:$ER$11,AM$7,'IS(M)'!$M49:$ER49)</f>
        <v>0</v>
      </c>
      <c r="AN43" s="171">
        <f>SUMIF('IS(M)'!$M$11:$ER$11,AN$7,'IS(M)'!$M49:$ER49)</f>
        <v>0</v>
      </c>
      <c r="AO43" s="171">
        <f>SUMIF('IS(M)'!$M$11:$ER$11,AO$7,'IS(M)'!$M49:$ER49)</f>
        <v>0</v>
      </c>
      <c r="AP43" s="171">
        <f>SUMIF('IS(M)'!$M$11:$ER$11,AP$7,'IS(M)'!$M49:$ER49)</f>
        <v>0</v>
      </c>
      <c r="AQ43" s="171">
        <f>SUMIF('IS(M)'!$M$11:$ER$11,AQ$7,'IS(M)'!$M49:$ER49)</f>
        <v>0</v>
      </c>
      <c r="AR43" s="171">
        <f>SUMIF('IS(M)'!$M$11:$ER$11,AR$7,'IS(M)'!$M49:$ER49)</f>
        <v>0</v>
      </c>
      <c r="AS43" s="171">
        <f>SUMIF('IS(M)'!$M$11:$ER$11,AS$7,'IS(M)'!$M49:$ER49)</f>
        <v>0</v>
      </c>
      <c r="AT43" s="171">
        <f>SUMIF('IS(M)'!$M$11:$ER$11,AT$7,'IS(M)'!$M49:$ER49)</f>
        <v>0</v>
      </c>
      <c r="AU43" s="171">
        <f>SUMIF('IS(M)'!$M$11:$ER$11,AU$7,'IS(M)'!$M49:$ER49)</f>
        <v>0</v>
      </c>
      <c r="AV43" s="171">
        <f>SUMIF('IS(M)'!$M$11:$ER$11,AV$7,'IS(M)'!$M49:$ER49)</f>
        <v>0</v>
      </c>
      <c r="AW43" s="171">
        <f>SUMIF('IS(M)'!$M$11:$ER$11,AW$7,'IS(M)'!$M49:$ER49)</f>
        <v>0</v>
      </c>
      <c r="AX43" s="171">
        <f>SUMIF('IS(M)'!$M$11:$ER$11,AX$7,'IS(M)'!$M49:$ER49)</f>
        <v>0</v>
      </c>
      <c r="AY43" s="171">
        <f>SUMIF('IS(M)'!$M$11:$ER$11,AY$7,'IS(M)'!$M49:$ER49)</f>
        <v>0</v>
      </c>
      <c r="AZ43" s="171">
        <f>SUMIF('IS(M)'!$M$11:$ER$11,AZ$7,'IS(M)'!$M49:$ER49)</f>
        <v>0</v>
      </c>
      <c r="BA43" s="171">
        <f>SUMIF('IS(M)'!$M$11:$ER$11,BA$7,'IS(M)'!$M49:$ER49)</f>
        <v>0</v>
      </c>
      <c r="BB43" s="171">
        <f>SUMIF('IS(M)'!$M$11:$ER$11,BB$7,'IS(M)'!$M49:$ER49)</f>
        <v>0</v>
      </c>
      <c r="BC43" s="171">
        <f>SUMIF('IS(M)'!$M$11:$ER$11,BC$7,'IS(M)'!$M49:$ER49)</f>
        <v>0</v>
      </c>
      <c r="BD43" s="171">
        <f>SUMIF('IS(M)'!$M$11:$ER$11,BD$7,'IS(M)'!$M49:$ER49)</f>
        <v>0</v>
      </c>
      <c r="BE43" s="171">
        <f>SUMIF('IS(M)'!$M$11:$ER$11,BE$7,'IS(M)'!$M49:$ER49)</f>
        <v>0</v>
      </c>
      <c r="BF43" s="171">
        <f>SUMIF('IS(M)'!$M$11:$ER$11,BF$7,'IS(M)'!$M49:$ER49)</f>
        <v>0</v>
      </c>
      <c r="BG43" s="171">
        <f>SUMIF('IS(M)'!$M$11:$ER$11,BG$7,'IS(M)'!$M49:$ER49)</f>
        <v>0</v>
      </c>
      <c r="BH43" s="171">
        <f>SUMIF('IS(M)'!$M$11:$ER$11,BH$7,'IS(M)'!$M49:$ER49)</f>
        <v>0</v>
      </c>
      <c r="BI43" s="171">
        <f>SUMIF('IS(M)'!$M$11:$ER$11,BI$7,'IS(M)'!$M49:$ER49)</f>
        <v>0</v>
      </c>
      <c r="BJ43" s="171">
        <f>SUMIF('IS(M)'!$M$11:$ER$11,BJ$7,'IS(M)'!$M49:$ER49)</f>
        <v>0</v>
      </c>
      <c r="BK43" s="171">
        <f>SUMIF('IS(M)'!$M$11:$ER$11,BK$7,'IS(M)'!$M49:$ER49)</f>
        <v>0</v>
      </c>
      <c r="BL43" s="171">
        <f>SUMIF('IS(M)'!$M$11:$ER$11,BL$7,'IS(M)'!$M49:$ER49)</f>
        <v>0</v>
      </c>
      <c r="BM43" s="171">
        <f>SUMIF('IS(M)'!$M$11:$ER$11,BM$7,'IS(M)'!$M49:$ER49)</f>
        <v>0</v>
      </c>
      <c r="BN43" s="171">
        <f>SUMIF('IS(M)'!$M$11:$ER$11,BN$7,'IS(M)'!$M49:$ER49)</f>
        <v>0</v>
      </c>
      <c r="BO43" s="171">
        <f>SUMIF('IS(M)'!$M$11:$ER$11,BO$7,'IS(M)'!$M49:$ER49)</f>
        <v>0</v>
      </c>
      <c r="BP43" s="171">
        <f>SUMIF('IS(M)'!$M$11:$ER$11,BP$7,'IS(M)'!$M49:$ER49)</f>
        <v>0</v>
      </c>
      <c r="BQ43" s="171">
        <f>SUMIF('IS(M)'!$M$11:$ER$11,BQ$7,'IS(M)'!$M49:$ER49)</f>
        <v>0</v>
      </c>
      <c r="BR43" s="171">
        <f>SUMIF('IS(M)'!$M$11:$ER$11,BR$7,'IS(M)'!$M49:$ER49)</f>
        <v>0</v>
      </c>
      <c r="BS43" s="171">
        <f>SUMIF('IS(M)'!$M$11:$ER$11,BS$7,'IS(M)'!$M49:$ER49)</f>
        <v>0</v>
      </c>
      <c r="BT43" s="171">
        <f>SUMIF('IS(M)'!$M$11:$ER$11,BT$7,'IS(M)'!$M49:$ER49)</f>
        <v>0</v>
      </c>
      <c r="BU43" s="171">
        <f>SUMIF('IS(M)'!$M$11:$ER$11,BU$7,'IS(M)'!$M49:$ER49)</f>
        <v>0</v>
      </c>
      <c r="BV43" s="171">
        <f>SUMIF('IS(M)'!$M$11:$ER$11,BV$7,'IS(M)'!$M49:$ER49)</f>
        <v>0</v>
      </c>
      <c r="BW43" s="171">
        <f>SUMIF('IS(M)'!$M$11:$ER$11,BW$7,'IS(M)'!$M49:$ER49)</f>
        <v>0</v>
      </c>
      <c r="BX43" s="171">
        <f>SUMIF('IS(M)'!$M$11:$ER$11,BX$7,'IS(M)'!$M49:$ER49)</f>
        <v>0</v>
      </c>
      <c r="BY43" s="171">
        <f>SUMIF('IS(M)'!$M$11:$ER$11,BY$7,'IS(M)'!$M49:$ER49)</f>
        <v>0</v>
      </c>
      <c r="BZ43" s="171">
        <f>SUMIF('IS(M)'!$M$11:$ER$11,BZ$7,'IS(M)'!$M49:$ER49)</f>
        <v>0</v>
      </c>
      <c r="CA43" s="171">
        <f>SUMIF('IS(M)'!$M$11:$ER$11,CA$7,'IS(M)'!$M49:$ER49)</f>
        <v>0</v>
      </c>
      <c r="CB43" s="171">
        <f>SUMIF('IS(M)'!$M$11:$ER$11,CB$7,'IS(M)'!$M49:$ER49)</f>
        <v>0</v>
      </c>
      <c r="CC43" s="171">
        <f>SUMIF('IS(M)'!$M$11:$ER$11,CC$7,'IS(M)'!$M49:$ER49)</f>
        <v>0</v>
      </c>
      <c r="CD43" s="171">
        <f>SUMIF('IS(M)'!$M$11:$ER$11,CD$7,'IS(M)'!$M49:$ER49)</f>
        <v>0</v>
      </c>
      <c r="CE43" s="171">
        <f>SUMIF('IS(M)'!$M$11:$ER$11,CE$7,'IS(M)'!$M49:$ER49)</f>
        <v>0</v>
      </c>
      <c r="CF43" s="171">
        <f>SUMIF('IS(M)'!$M$11:$ER$11,CF$7,'IS(M)'!$M49:$ER49)</f>
        <v>0</v>
      </c>
      <c r="CG43" s="171">
        <f>SUMIF('IS(M)'!$M$11:$ER$11,CG$7,'IS(M)'!$M49:$ER49)</f>
        <v>0</v>
      </c>
      <c r="CH43" s="171">
        <f>SUMIF('IS(M)'!$M$11:$ER$11,CH$7,'IS(M)'!$M49:$ER49)</f>
        <v>0</v>
      </c>
      <c r="CI43" s="171">
        <f>SUMIF('IS(M)'!$M$11:$ER$11,CI$7,'IS(M)'!$M49:$ER49)</f>
        <v>0</v>
      </c>
      <c r="CJ43" s="171">
        <f>SUMIF('IS(M)'!$M$11:$ER$11,CJ$7,'IS(M)'!$M49:$ER49)</f>
        <v>0</v>
      </c>
      <c r="CK43" s="171">
        <f>SUMIF('IS(M)'!$M$11:$ER$11,CK$7,'IS(M)'!$M49:$ER49)</f>
        <v>0</v>
      </c>
      <c r="CL43" s="171">
        <f>SUMIF('IS(M)'!$M$11:$ER$11,CL$7,'IS(M)'!$M49:$ER49)</f>
        <v>0</v>
      </c>
      <c r="CM43" s="171">
        <f>SUMIF('IS(M)'!$M$11:$ER$11,CM$7,'IS(M)'!$M49:$ER49)</f>
        <v>0</v>
      </c>
      <c r="CN43" s="171">
        <f>SUMIF('IS(M)'!$M$11:$ER$11,CN$7,'IS(M)'!$M49:$ER49)</f>
        <v>0</v>
      </c>
      <c r="CO43" s="171">
        <f>SUMIF('IS(M)'!$M$11:$ER$11,CO$7,'IS(M)'!$M49:$ER49)</f>
        <v>0</v>
      </c>
      <c r="CP43" s="171">
        <f>SUMIF('IS(M)'!$M$11:$ER$11,CP$7,'IS(M)'!$M49:$ER49)</f>
        <v>0</v>
      </c>
      <c r="CQ43" s="171">
        <f>SUMIF('IS(M)'!$M$11:$ER$11,CQ$7,'IS(M)'!$M49:$ER49)</f>
        <v>0</v>
      </c>
      <c r="CR43" s="171">
        <f>SUMIF('IS(M)'!$M$11:$ER$11,CR$7,'IS(M)'!$M49:$ER49)</f>
        <v>0</v>
      </c>
      <c r="CS43" s="171">
        <f>SUMIF('IS(M)'!$M$11:$ER$11,CS$7,'IS(M)'!$M49:$ER49)</f>
        <v>0</v>
      </c>
      <c r="CT43" s="171">
        <f>SUMIF('IS(M)'!$M$11:$ER$11,CT$7,'IS(M)'!$M49:$ER49)</f>
        <v>0</v>
      </c>
      <c r="CU43" s="171">
        <f>SUMIF('IS(M)'!$M$11:$ER$11,CU$7,'IS(M)'!$M49:$ER49)</f>
        <v>0</v>
      </c>
      <c r="CV43" s="171">
        <f>SUMIF('IS(M)'!$M$11:$ER$11,CV$7,'IS(M)'!$M49:$ER49)</f>
        <v>0</v>
      </c>
      <c r="CW43" s="171">
        <f>SUMIF('IS(M)'!$M$11:$ER$11,CW$7,'IS(M)'!$M49:$ER49)</f>
        <v>0</v>
      </c>
      <c r="CX43" s="171">
        <f>SUMIF('IS(M)'!$M$11:$ER$11,CX$7,'IS(M)'!$M49:$ER49)</f>
        <v>0</v>
      </c>
      <c r="CY43" s="171">
        <f>SUMIF('IS(M)'!$M$11:$ER$11,CY$7,'IS(M)'!$M49:$ER49)</f>
        <v>0</v>
      </c>
      <c r="CZ43" s="171">
        <f>SUMIF('IS(M)'!$M$11:$ER$11,CZ$7,'IS(M)'!$M49:$ER49)</f>
        <v>0</v>
      </c>
      <c r="DA43" s="171">
        <f>SUMIF('IS(M)'!$M$11:$ER$11,DA$7,'IS(M)'!$M49:$ER49)</f>
        <v>0</v>
      </c>
      <c r="DB43" s="171">
        <f>SUMIF('IS(M)'!$M$11:$ER$11,DB$7,'IS(M)'!$M49:$ER49)</f>
        <v>0</v>
      </c>
      <c r="DC43" s="171">
        <f>SUMIF('IS(M)'!$M$11:$ER$11,DC$7,'IS(M)'!$M49:$ER49)</f>
        <v>0</v>
      </c>
      <c r="DD43" s="171">
        <f>SUMIF('IS(M)'!$M$11:$ER$11,DD$7,'IS(M)'!$M49:$ER49)</f>
        <v>0</v>
      </c>
      <c r="DE43" s="171">
        <f>SUMIF('IS(M)'!$M$11:$ER$11,DE$7,'IS(M)'!$M49:$ER49)</f>
        <v>0</v>
      </c>
      <c r="DF43" s="171">
        <f>SUMIF('IS(M)'!$M$11:$ER$11,DF$7,'IS(M)'!$M49:$ER49)</f>
        <v>0</v>
      </c>
      <c r="DG43" s="171">
        <f>SUMIF('IS(M)'!$M$11:$ER$11,DG$7,'IS(M)'!$M49:$ER49)</f>
        <v>0</v>
      </c>
      <c r="DH43" s="171">
        <f>SUMIF('IS(M)'!$M$11:$ER$11,DH$7,'IS(M)'!$M49:$ER49)</f>
        <v>0</v>
      </c>
      <c r="DI43" s="171">
        <f>SUMIF('IS(M)'!$M$11:$ER$11,DI$7,'IS(M)'!$M49:$ER49)</f>
        <v>0</v>
      </c>
      <c r="DJ43" s="171">
        <f>SUMIF('IS(M)'!$M$11:$ER$11,DJ$7,'IS(M)'!$M49:$ER49)</f>
        <v>0</v>
      </c>
      <c r="DK43" s="171">
        <f>SUMIF('IS(M)'!$M$11:$ER$11,DK$7,'IS(M)'!$M49:$ER49)</f>
        <v>0</v>
      </c>
      <c r="DL43" s="171">
        <f>SUMIF('IS(M)'!$M$11:$ER$11,DL$7,'IS(M)'!$M49:$ER49)</f>
        <v>0</v>
      </c>
      <c r="DM43" s="171">
        <f>SUMIF('IS(M)'!$M$11:$ER$11,DM$7,'IS(M)'!$M49:$ER49)</f>
        <v>0</v>
      </c>
      <c r="DN43" s="171">
        <f>SUMIF('IS(M)'!$M$11:$ER$11,DN$7,'IS(M)'!$M49:$ER49)</f>
        <v>0</v>
      </c>
      <c r="DO43" s="171">
        <f>SUMIF('IS(M)'!$M$11:$ER$11,DO$7,'IS(M)'!$M49:$ER49)</f>
        <v>0</v>
      </c>
      <c r="DP43" s="171">
        <f>SUMIF('IS(M)'!$M$11:$ER$11,DP$7,'IS(M)'!$M49:$ER49)</f>
        <v>0</v>
      </c>
      <c r="DQ43" s="171">
        <f>SUMIF('IS(M)'!$M$11:$ER$11,DQ$7,'IS(M)'!$M49:$ER49)</f>
        <v>0</v>
      </c>
      <c r="DR43" s="171">
        <f>SUMIF('IS(M)'!$M$11:$ER$11,DR$7,'IS(M)'!$M49:$ER49)</f>
        <v>0</v>
      </c>
      <c r="DS43" s="171">
        <f>SUMIF('IS(M)'!$M$11:$ER$11,DS$7,'IS(M)'!$M49:$ER49)</f>
        <v>0</v>
      </c>
      <c r="DT43" s="171">
        <f>SUMIF('IS(M)'!$M$11:$ER$11,DT$7,'IS(M)'!$M49:$ER49)</f>
        <v>0</v>
      </c>
      <c r="DU43" s="171">
        <f>SUMIF('IS(M)'!$M$11:$ER$11,DU$7,'IS(M)'!$M49:$ER49)</f>
        <v>0</v>
      </c>
      <c r="DV43" s="171">
        <f>SUMIF('IS(M)'!$M$11:$ER$11,DV$7,'IS(M)'!$M49:$ER49)</f>
        <v>0</v>
      </c>
      <c r="DW43" s="171">
        <f>SUMIF('IS(M)'!$M$11:$ER$11,DW$7,'IS(M)'!$M49:$ER49)</f>
        <v>0</v>
      </c>
    </row>
    <row r="44" spans="2:127" ht="11.25" customHeight="1">
      <c r="B44" s="218"/>
      <c r="C44" s="163"/>
      <c r="D44" s="169" t="str">
        <f>'IS(M)'!D50</f>
        <v>중순위대출 이자비용</v>
      </c>
      <c r="I44" s="146"/>
      <c r="J44" s="13"/>
      <c r="K44" s="171">
        <f t="shared" si="12"/>
        <v>4560000</v>
      </c>
      <c r="L44" s="98"/>
      <c r="M44" s="171">
        <f>SUMIF('IS(M)'!$M$11:$ER$11,M$7,'IS(M)'!$M50:$ER50)</f>
        <v>0</v>
      </c>
      <c r="N44" s="171">
        <f>SUMIF('IS(M)'!$M$11:$ER$11,N$7,'IS(M)'!$M50:$ER50)</f>
        <v>1140000</v>
      </c>
      <c r="O44" s="171">
        <f>SUMIF('IS(M)'!$M$11:$ER$11,O$7,'IS(M)'!$M50:$ER50)</f>
        <v>1140000</v>
      </c>
      <c r="P44" s="171">
        <f>SUMIF('IS(M)'!$M$11:$ER$11,P$7,'IS(M)'!$M50:$ER50)</f>
        <v>1140000</v>
      </c>
      <c r="Q44" s="171">
        <f>SUMIF('IS(M)'!$M$11:$ER$11,Q$7,'IS(M)'!$M50:$ER50)</f>
        <v>1140000</v>
      </c>
      <c r="R44" s="171">
        <f>SUMIF('IS(M)'!$M$11:$ER$11,R$7,'IS(M)'!$M50:$ER50)</f>
        <v>0</v>
      </c>
      <c r="S44" s="171">
        <f>SUMIF('IS(M)'!$M$11:$ER$11,S$7,'IS(M)'!$M50:$ER50)</f>
        <v>0</v>
      </c>
      <c r="T44" s="171">
        <f>SUMIF('IS(M)'!$M$11:$ER$11,T$7,'IS(M)'!$M50:$ER50)</f>
        <v>0</v>
      </c>
      <c r="U44" s="171">
        <f>SUMIF('IS(M)'!$M$11:$ER$11,U$7,'IS(M)'!$M50:$ER50)</f>
        <v>0</v>
      </c>
      <c r="V44" s="171">
        <f>SUMIF('IS(M)'!$M$11:$ER$11,V$7,'IS(M)'!$M50:$ER50)</f>
        <v>0</v>
      </c>
      <c r="W44" s="171">
        <f>SUMIF('IS(M)'!$M$11:$ER$11,W$7,'IS(M)'!$M50:$ER50)</f>
        <v>0</v>
      </c>
      <c r="X44" s="171">
        <f>SUMIF('IS(M)'!$M$11:$ER$11,X$7,'IS(M)'!$M50:$ER50)</f>
        <v>0</v>
      </c>
      <c r="Y44" s="171">
        <f>SUMIF('IS(M)'!$M$11:$ER$11,Y$7,'IS(M)'!$M50:$ER50)</f>
        <v>0</v>
      </c>
      <c r="Z44" s="171">
        <f>SUMIF('IS(M)'!$M$11:$ER$11,Z$7,'IS(M)'!$M50:$ER50)</f>
        <v>0</v>
      </c>
      <c r="AA44" s="171">
        <f>SUMIF('IS(M)'!$M$11:$ER$11,AA$7,'IS(M)'!$M50:$ER50)</f>
        <v>0</v>
      </c>
      <c r="AB44" s="171">
        <f>SUMIF('IS(M)'!$M$11:$ER$11,AB$7,'IS(M)'!$M50:$ER50)</f>
        <v>0</v>
      </c>
      <c r="AC44" s="171">
        <f>SUMIF('IS(M)'!$M$11:$ER$11,AC$7,'IS(M)'!$M50:$ER50)</f>
        <v>0</v>
      </c>
      <c r="AD44" s="171">
        <f>SUMIF('IS(M)'!$M$11:$ER$11,AD$7,'IS(M)'!$M50:$ER50)</f>
        <v>0</v>
      </c>
      <c r="AE44" s="171">
        <f>SUMIF('IS(M)'!$M$11:$ER$11,AE$7,'IS(M)'!$M50:$ER50)</f>
        <v>0</v>
      </c>
      <c r="AF44" s="171">
        <f>SUMIF('IS(M)'!$M$11:$ER$11,AF$7,'IS(M)'!$M50:$ER50)</f>
        <v>0</v>
      </c>
      <c r="AG44" s="171">
        <f>SUMIF('IS(M)'!$M$11:$ER$11,AG$7,'IS(M)'!$M50:$ER50)</f>
        <v>0</v>
      </c>
      <c r="AH44" s="171">
        <f>SUMIF('IS(M)'!$M$11:$ER$11,AH$7,'IS(M)'!$M50:$ER50)</f>
        <v>0</v>
      </c>
      <c r="AI44" s="171">
        <f>SUMIF('IS(M)'!$M$11:$ER$11,AI$7,'IS(M)'!$M50:$ER50)</f>
        <v>0</v>
      </c>
      <c r="AJ44" s="171">
        <f>SUMIF('IS(M)'!$M$11:$ER$11,AJ$7,'IS(M)'!$M50:$ER50)</f>
        <v>0</v>
      </c>
      <c r="AK44" s="171">
        <f>SUMIF('IS(M)'!$M$11:$ER$11,AK$7,'IS(M)'!$M50:$ER50)</f>
        <v>0</v>
      </c>
      <c r="AL44" s="171">
        <f>SUMIF('IS(M)'!$M$11:$ER$11,AL$7,'IS(M)'!$M50:$ER50)</f>
        <v>0</v>
      </c>
      <c r="AM44" s="171">
        <f>SUMIF('IS(M)'!$M$11:$ER$11,AM$7,'IS(M)'!$M50:$ER50)</f>
        <v>0</v>
      </c>
      <c r="AN44" s="171">
        <f>SUMIF('IS(M)'!$M$11:$ER$11,AN$7,'IS(M)'!$M50:$ER50)</f>
        <v>0</v>
      </c>
      <c r="AO44" s="171">
        <f>SUMIF('IS(M)'!$M$11:$ER$11,AO$7,'IS(M)'!$M50:$ER50)</f>
        <v>0</v>
      </c>
      <c r="AP44" s="171">
        <f>SUMIF('IS(M)'!$M$11:$ER$11,AP$7,'IS(M)'!$M50:$ER50)</f>
        <v>0</v>
      </c>
      <c r="AQ44" s="171">
        <f>SUMIF('IS(M)'!$M$11:$ER$11,AQ$7,'IS(M)'!$M50:$ER50)</f>
        <v>0</v>
      </c>
      <c r="AR44" s="171">
        <f>SUMIF('IS(M)'!$M$11:$ER$11,AR$7,'IS(M)'!$M50:$ER50)</f>
        <v>0</v>
      </c>
      <c r="AS44" s="171">
        <f>SUMIF('IS(M)'!$M$11:$ER$11,AS$7,'IS(M)'!$M50:$ER50)</f>
        <v>0</v>
      </c>
      <c r="AT44" s="171">
        <f>SUMIF('IS(M)'!$M$11:$ER$11,AT$7,'IS(M)'!$M50:$ER50)</f>
        <v>0</v>
      </c>
      <c r="AU44" s="171">
        <f>SUMIF('IS(M)'!$M$11:$ER$11,AU$7,'IS(M)'!$M50:$ER50)</f>
        <v>0</v>
      </c>
      <c r="AV44" s="171">
        <f>SUMIF('IS(M)'!$M$11:$ER$11,AV$7,'IS(M)'!$M50:$ER50)</f>
        <v>0</v>
      </c>
      <c r="AW44" s="171">
        <f>SUMIF('IS(M)'!$M$11:$ER$11,AW$7,'IS(M)'!$M50:$ER50)</f>
        <v>0</v>
      </c>
      <c r="AX44" s="171">
        <f>SUMIF('IS(M)'!$M$11:$ER$11,AX$7,'IS(M)'!$M50:$ER50)</f>
        <v>0</v>
      </c>
      <c r="AY44" s="171">
        <f>SUMIF('IS(M)'!$M$11:$ER$11,AY$7,'IS(M)'!$M50:$ER50)</f>
        <v>0</v>
      </c>
      <c r="AZ44" s="171">
        <f>SUMIF('IS(M)'!$M$11:$ER$11,AZ$7,'IS(M)'!$M50:$ER50)</f>
        <v>0</v>
      </c>
      <c r="BA44" s="171">
        <f>SUMIF('IS(M)'!$M$11:$ER$11,BA$7,'IS(M)'!$M50:$ER50)</f>
        <v>0</v>
      </c>
      <c r="BB44" s="171">
        <f>SUMIF('IS(M)'!$M$11:$ER$11,BB$7,'IS(M)'!$M50:$ER50)</f>
        <v>0</v>
      </c>
      <c r="BC44" s="171">
        <f>SUMIF('IS(M)'!$M$11:$ER$11,BC$7,'IS(M)'!$M50:$ER50)</f>
        <v>0</v>
      </c>
      <c r="BD44" s="171">
        <f>SUMIF('IS(M)'!$M$11:$ER$11,BD$7,'IS(M)'!$M50:$ER50)</f>
        <v>0</v>
      </c>
      <c r="BE44" s="171">
        <f>SUMIF('IS(M)'!$M$11:$ER$11,BE$7,'IS(M)'!$M50:$ER50)</f>
        <v>0</v>
      </c>
      <c r="BF44" s="171">
        <f>SUMIF('IS(M)'!$M$11:$ER$11,BF$7,'IS(M)'!$M50:$ER50)</f>
        <v>0</v>
      </c>
      <c r="BG44" s="171">
        <f>SUMIF('IS(M)'!$M$11:$ER$11,BG$7,'IS(M)'!$M50:$ER50)</f>
        <v>0</v>
      </c>
      <c r="BH44" s="171">
        <f>SUMIF('IS(M)'!$M$11:$ER$11,BH$7,'IS(M)'!$M50:$ER50)</f>
        <v>0</v>
      </c>
      <c r="BI44" s="171">
        <f>SUMIF('IS(M)'!$M$11:$ER$11,BI$7,'IS(M)'!$M50:$ER50)</f>
        <v>0</v>
      </c>
      <c r="BJ44" s="171">
        <f>SUMIF('IS(M)'!$M$11:$ER$11,BJ$7,'IS(M)'!$M50:$ER50)</f>
        <v>0</v>
      </c>
      <c r="BK44" s="171">
        <f>SUMIF('IS(M)'!$M$11:$ER$11,BK$7,'IS(M)'!$M50:$ER50)</f>
        <v>0</v>
      </c>
      <c r="BL44" s="171">
        <f>SUMIF('IS(M)'!$M$11:$ER$11,BL$7,'IS(M)'!$M50:$ER50)</f>
        <v>0</v>
      </c>
      <c r="BM44" s="171">
        <f>SUMIF('IS(M)'!$M$11:$ER$11,BM$7,'IS(M)'!$M50:$ER50)</f>
        <v>0</v>
      </c>
      <c r="BN44" s="171">
        <f>SUMIF('IS(M)'!$M$11:$ER$11,BN$7,'IS(M)'!$M50:$ER50)</f>
        <v>0</v>
      </c>
      <c r="BO44" s="171">
        <f>SUMIF('IS(M)'!$M$11:$ER$11,BO$7,'IS(M)'!$M50:$ER50)</f>
        <v>0</v>
      </c>
      <c r="BP44" s="171">
        <f>SUMIF('IS(M)'!$M$11:$ER$11,BP$7,'IS(M)'!$M50:$ER50)</f>
        <v>0</v>
      </c>
      <c r="BQ44" s="171">
        <f>SUMIF('IS(M)'!$M$11:$ER$11,BQ$7,'IS(M)'!$M50:$ER50)</f>
        <v>0</v>
      </c>
      <c r="BR44" s="171">
        <f>SUMIF('IS(M)'!$M$11:$ER$11,BR$7,'IS(M)'!$M50:$ER50)</f>
        <v>0</v>
      </c>
      <c r="BS44" s="171">
        <f>SUMIF('IS(M)'!$M$11:$ER$11,BS$7,'IS(M)'!$M50:$ER50)</f>
        <v>0</v>
      </c>
      <c r="BT44" s="171">
        <f>SUMIF('IS(M)'!$M$11:$ER$11,BT$7,'IS(M)'!$M50:$ER50)</f>
        <v>0</v>
      </c>
      <c r="BU44" s="171">
        <f>SUMIF('IS(M)'!$M$11:$ER$11,BU$7,'IS(M)'!$M50:$ER50)</f>
        <v>0</v>
      </c>
      <c r="BV44" s="171">
        <f>SUMIF('IS(M)'!$M$11:$ER$11,BV$7,'IS(M)'!$M50:$ER50)</f>
        <v>0</v>
      </c>
      <c r="BW44" s="171">
        <f>SUMIF('IS(M)'!$M$11:$ER$11,BW$7,'IS(M)'!$M50:$ER50)</f>
        <v>0</v>
      </c>
      <c r="BX44" s="171">
        <f>SUMIF('IS(M)'!$M$11:$ER$11,BX$7,'IS(M)'!$M50:$ER50)</f>
        <v>0</v>
      </c>
      <c r="BY44" s="171">
        <f>SUMIF('IS(M)'!$M$11:$ER$11,BY$7,'IS(M)'!$M50:$ER50)</f>
        <v>0</v>
      </c>
      <c r="BZ44" s="171">
        <f>SUMIF('IS(M)'!$M$11:$ER$11,BZ$7,'IS(M)'!$M50:$ER50)</f>
        <v>0</v>
      </c>
      <c r="CA44" s="171">
        <f>SUMIF('IS(M)'!$M$11:$ER$11,CA$7,'IS(M)'!$M50:$ER50)</f>
        <v>0</v>
      </c>
      <c r="CB44" s="171">
        <f>SUMIF('IS(M)'!$M$11:$ER$11,CB$7,'IS(M)'!$M50:$ER50)</f>
        <v>0</v>
      </c>
      <c r="CC44" s="171">
        <f>SUMIF('IS(M)'!$M$11:$ER$11,CC$7,'IS(M)'!$M50:$ER50)</f>
        <v>0</v>
      </c>
      <c r="CD44" s="171">
        <f>SUMIF('IS(M)'!$M$11:$ER$11,CD$7,'IS(M)'!$M50:$ER50)</f>
        <v>0</v>
      </c>
      <c r="CE44" s="171">
        <f>SUMIF('IS(M)'!$M$11:$ER$11,CE$7,'IS(M)'!$M50:$ER50)</f>
        <v>0</v>
      </c>
      <c r="CF44" s="171">
        <f>SUMIF('IS(M)'!$M$11:$ER$11,CF$7,'IS(M)'!$M50:$ER50)</f>
        <v>0</v>
      </c>
      <c r="CG44" s="171">
        <f>SUMIF('IS(M)'!$M$11:$ER$11,CG$7,'IS(M)'!$M50:$ER50)</f>
        <v>0</v>
      </c>
      <c r="CH44" s="171">
        <f>SUMIF('IS(M)'!$M$11:$ER$11,CH$7,'IS(M)'!$M50:$ER50)</f>
        <v>0</v>
      </c>
      <c r="CI44" s="171">
        <f>SUMIF('IS(M)'!$M$11:$ER$11,CI$7,'IS(M)'!$M50:$ER50)</f>
        <v>0</v>
      </c>
      <c r="CJ44" s="171">
        <f>SUMIF('IS(M)'!$M$11:$ER$11,CJ$7,'IS(M)'!$M50:$ER50)</f>
        <v>0</v>
      </c>
      <c r="CK44" s="171">
        <f>SUMIF('IS(M)'!$M$11:$ER$11,CK$7,'IS(M)'!$M50:$ER50)</f>
        <v>0</v>
      </c>
      <c r="CL44" s="171">
        <f>SUMIF('IS(M)'!$M$11:$ER$11,CL$7,'IS(M)'!$M50:$ER50)</f>
        <v>0</v>
      </c>
      <c r="CM44" s="171">
        <f>SUMIF('IS(M)'!$M$11:$ER$11,CM$7,'IS(M)'!$M50:$ER50)</f>
        <v>0</v>
      </c>
      <c r="CN44" s="171">
        <f>SUMIF('IS(M)'!$M$11:$ER$11,CN$7,'IS(M)'!$M50:$ER50)</f>
        <v>0</v>
      </c>
      <c r="CO44" s="171">
        <f>SUMIF('IS(M)'!$M$11:$ER$11,CO$7,'IS(M)'!$M50:$ER50)</f>
        <v>0</v>
      </c>
      <c r="CP44" s="171">
        <f>SUMIF('IS(M)'!$M$11:$ER$11,CP$7,'IS(M)'!$M50:$ER50)</f>
        <v>0</v>
      </c>
      <c r="CQ44" s="171">
        <f>SUMIF('IS(M)'!$M$11:$ER$11,CQ$7,'IS(M)'!$M50:$ER50)</f>
        <v>0</v>
      </c>
      <c r="CR44" s="171">
        <f>SUMIF('IS(M)'!$M$11:$ER$11,CR$7,'IS(M)'!$M50:$ER50)</f>
        <v>0</v>
      </c>
      <c r="CS44" s="171">
        <f>SUMIF('IS(M)'!$M$11:$ER$11,CS$7,'IS(M)'!$M50:$ER50)</f>
        <v>0</v>
      </c>
      <c r="CT44" s="171">
        <f>SUMIF('IS(M)'!$M$11:$ER$11,CT$7,'IS(M)'!$M50:$ER50)</f>
        <v>0</v>
      </c>
      <c r="CU44" s="171">
        <f>SUMIF('IS(M)'!$M$11:$ER$11,CU$7,'IS(M)'!$M50:$ER50)</f>
        <v>0</v>
      </c>
      <c r="CV44" s="171">
        <f>SUMIF('IS(M)'!$M$11:$ER$11,CV$7,'IS(M)'!$M50:$ER50)</f>
        <v>0</v>
      </c>
      <c r="CW44" s="171">
        <f>SUMIF('IS(M)'!$M$11:$ER$11,CW$7,'IS(M)'!$M50:$ER50)</f>
        <v>0</v>
      </c>
      <c r="CX44" s="171">
        <f>SUMIF('IS(M)'!$M$11:$ER$11,CX$7,'IS(M)'!$M50:$ER50)</f>
        <v>0</v>
      </c>
      <c r="CY44" s="171">
        <f>SUMIF('IS(M)'!$M$11:$ER$11,CY$7,'IS(M)'!$M50:$ER50)</f>
        <v>0</v>
      </c>
      <c r="CZ44" s="171">
        <f>SUMIF('IS(M)'!$M$11:$ER$11,CZ$7,'IS(M)'!$M50:$ER50)</f>
        <v>0</v>
      </c>
      <c r="DA44" s="171">
        <f>SUMIF('IS(M)'!$M$11:$ER$11,DA$7,'IS(M)'!$M50:$ER50)</f>
        <v>0</v>
      </c>
      <c r="DB44" s="171">
        <f>SUMIF('IS(M)'!$M$11:$ER$11,DB$7,'IS(M)'!$M50:$ER50)</f>
        <v>0</v>
      </c>
      <c r="DC44" s="171">
        <f>SUMIF('IS(M)'!$M$11:$ER$11,DC$7,'IS(M)'!$M50:$ER50)</f>
        <v>0</v>
      </c>
      <c r="DD44" s="171">
        <f>SUMIF('IS(M)'!$M$11:$ER$11,DD$7,'IS(M)'!$M50:$ER50)</f>
        <v>0</v>
      </c>
      <c r="DE44" s="171">
        <f>SUMIF('IS(M)'!$M$11:$ER$11,DE$7,'IS(M)'!$M50:$ER50)</f>
        <v>0</v>
      </c>
      <c r="DF44" s="171">
        <f>SUMIF('IS(M)'!$M$11:$ER$11,DF$7,'IS(M)'!$M50:$ER50)</f>
        <v>0</v>
      </c>
      <c r="DG44" s="171">
        <f>SUMIF('IS(M)'!$M$11:$ER$11,DG$7,'IS(M)'!$M50:$ER50)</f>
        <v>0</v>
      </c>
      <c r="DH44" s="171">
        <f>SUMIF('IS(M)'!$M$11:$ER$11,DH$7,'IS(M)'!$M50:$ER50)</f>
        <v>0</v>
      </c>
      <c r="DI44" s="171">
        <f>SUMIF('IS(M)'!$M$11:$ER$11,DI$7,'IS(M)'!$M50:$ER50)</f>
        <v>0</v>
      </c>
      <c r="DJ44" s="171">
        <f>SUMIF('IS(M)'!$M$11:$ER$11,DJ$7,'IS(M)'!$M50:$ER50)</f>
        <v>0</v>
      </c>
      <c r="DK44" s="171">
        <f>SUMIF('IS(M)'!$M$11:$ER$11,DK$7,'IS(M)'!$M50:$ER50)</f>
        <v>0</v>
      </c>
      <c r="DL44" s="171">
        <f>SUMIF('IS(M)'!$M$11:$ER$11,DL$7,'IS(M)'!$M50:$ER50)</f>
        <v>0</v>
      </c>
      <c r="DM44" s="171">
        <f>SUMIF('IS(M)'!$M$11:$ER$11,DM$7,'IS(M)'!$M50:$ER50)</f>
        <v>0</v>
      </c>
      <c r="DN44" s="171">
        <f>SUMIF('IS(M)'!$M$11:$ER$11,DN$7,'IS(M)'!$M50:$ER50)</f>
        <v>0</v>
      </c>
      <c r="DO44" s="171">
        <f>SUMIF('IS(M)'!$M$11:$ER$11,DO$7,'IS(M)'!$M50:$ER50)</f>
        <v>0</v>
      </c>
      <c r="DP44" s="171">
        <f>SUMIF('IS(M)'!$M$11:$ER$11,DP$7,'IS(M)'!$M50:$ER50)</f>
        <v>0</v>
      </c>
      <c r="DQ44" s="171">
        <f>SUMIF('IS(M)'!$M$11:$ER$11,DQ$7,'IS(M)'!$M50:$ER50)</f>
        <v>0</v>
      </c>
      <c r="DR44" s="171">
        <f>SUMIF('IS(M)'!$M$11:$ER$11,DR$7,'IS(M)'!$M50:$ER50)</f>
        <v>0</v>
      </c>
      <c r="DS44" s="171">
        <f>SUMIF('IS(M)'!$M$11:$ER$11,DS$7,'IS(M)'!$M50:$ER50)</f>
        <v>0</v>
      </c>
      <c r="DT44" s="171">
        <f>SUMIF('IS(M)'!$M$11:$ER$11,DT$7,'IS(M)'!$M50:$ER50)</f>
        <v>0</v>
      </c>
      <c r="DU44" s="171">
        <f>SUMIF('IS(M)'!$M$11:$ER$11,DU$7,'IS(M)'!$M50:$ER50)</f>
        <v>0</v>
      </c>
      <c r="DV44" s="171">
        <f>SUMIF('IS(M)'!$M$11:$ER$11,DV$7,'IS(M)'!$M50:$ER50)</f>
        <v>0</v>
      </c>
      <c r="DW44" s="171">
        <f>SUMIF('IS(M)'!$M$11:$ER$11,DW$7,'IS(M)'!$M50:$ER50)</f>
        <v>0</v>
      </c>
    </row>
    <row r="45" spans="2:127" ht="11.25" customHeight="1">
      <c r="B45" s="218"/>
      <c r="C45" s="163"/>
      <c r="D45" s="169" t="str">
        <f>'IS(M)'!D51</f>
        <v>중순위대출(2nd) 이자비용</v>
      </c>
      <c r="I45" s="146"/>
      <c r="J45" s="13"/>
      <c r="K45" s="171">
        <f t="shared" si="12"/>
        <v>0</v>
      </c>
      <c r="L45" s="98"/>
      <c r="M45" s="171">
        <f>SUMIF('IS(M)'!$M$11:$ER$11,M$7,'IS(M)'!$M51:$ER51)</f>
        <v>0</v>
      </c>
      <c r="N45" s="171">
        <f>SUMIF('IS(M)'!$M$11:$ER$11,N$7,'IS(M)'!$M51:$ER51)</f>
        <v>0</v>
      </c>
      <c r="O45" s="171">
        <f>SUMIF('IS(M)'!$M$11:$ER$11,O$7,'IS(M)'!$M51:$ER51)</f>
        <v>0</v>
      </c>
      <c r="P45" s="171">
        <f>SUMIF('IS(M)'!$M$11:$ER$11,P$7,'IS(M)'!$M51:$ER51)</f>
        <v>0</v>
      </c>
      <c r="Q45" s="171">
        <f>SUMIF('IS(M)'!$M$11:$ER$11,Q$7,'IS(M)'!$M51:$ER51)</f>
        <v>0</v>
      </c>
      <c r="R45" s="171">
        <f>SUMIF('IS(M)'!$M$11:$ER$11,R$7,'IS(M)'!$M51:$ER51)</f>
        <v>0</v>
      </c>
      <c r="S45" s="171">
        <f>SUMIF('IS(M)'!$M$11:$ER$11,S$7,'IS(M)'!$M51:$ER51)</f>
        <v>0</v>
      </c>
      <c r="T45" s="171">
        <f>SUMIF('IS(M)'!$M$11:$ER$11,T$7,'IS(M)'!$M51:$ER51)</f>
        <v>0</v>
      </c>
      <c r="U45" s="171">
        <f>SUMIF('IS(M)'!$M$11:$ER$11,U$7,'IS(M)'!$M51:$ER51)</f>
        <v>0</v>
      </c>
      <c r="V45" s="171">
        <f>SUMIF('IS(M)'!$M$11:$ER$11,V$7,'IS(M)'!$M51:$ER51)</f>
        <v>0</v>
      </c>
      <c r="W45" s="171">
        <f>SUMIF('IS(M)'!$M$11:$ER$11,W$7,'IS(M)'!$M51:$ER51)</f>
        <v>0</v>
      </c>
      <c r="X45" s="171">
        <f>SUMIF('IS(M)'!$M$11:$ER$11,X$7,'IS(M)'!$M51:$ER51)</f>
        <v>0</v>
      </c>
      <c r="Y45" s="171">
        <f>SUMIF('IS(M)'!$M$11:$ER$11,Y$7,'IS(M)'!$M51:$ER51)</f>
        <v>0</v>
      </c>
      <c r="Z45" s="171">
        <f>SUMIF('IS(M)'!$M$11:$ER$11,Z$7,'IS(M)'!$M51:$ER51)</f>
        <v>0</v>
      </c>
      <c r="AA45" s="171">
        <f>SUMIF('IS(M)'!$M$11:$ER$11,AA$7,'IS(M)'!$M51:$ER51)</f>
        <v>0</v>
      </c>
      <c r="AB45" s="171">
        <f>SUMIF('IS(M)'!$M$11:$ER$11,AB$7,'IS(M)'!$M51:$ER51)</f>
        <v>0</v>
      </c>
      <c r="AC45" s="171">
        <f>SUMIF('IS(M)'!$M$11:$ER$11,AC$7,'IS(M)'!$M51:$ER51)</f>
        <v>0</v>
      </c>
      <c r="AD45" s="171">
        <f>SUMIF('IS(M)'!$M$11:$ER$11,AD$7,'IS(M)'!$M51:$ER51)</f>
        <v>0</v>
      </c>
      <c r="AE45" s="171">
        <f>SUMIF('IS(M)'!$M$11:$ER$11,AE$7,'IS(M)'!$M51:$ER51)</f>
        <v>0</v>
      </c>
      <c r="AF45" s="171">
        <f>SUMIF('IS(M)'!$M$11:$ER$11,AF$7,'IS(M)'!$M51:$ER51)</f>
        <v>0</v>
      </c>
      <c r="AG45" s="171">
        <f>SUMIF('IS(M)'!$M$11:$ER$11,AG$7,'IS(M)'!$M51:$ER51)</f>
        <v>0</v>
      </c>
      <c r="AH45" s="171">
        <f>SUMIF('IS(M)'!$M$11:$ER$11,AH$7,'IS(M)'!$M51:$ER51)</f>
        <v>0</v>
      </c>
      <c r="AI45" s="171">
        <f>SUMIF('IS(M)'!$M$11:$ER$11,AI$7,'IS(M)'!$M51:$ER51)</f>
        <v>0</v>
      </c>
      <c r="AJ45" s="171">
        <f>SUMIF('IS(M)'!$M$11:$ER$11,AJ$7,'IS(M)'!$M51:$ER51)</f>
        <v>0</v>
      </c>
      <c r="AK45" s="171">
        <f>SUMIF('IS(M)'!$M$11:$ER$11,AK$7,'IS(M)'!$M51:$ER51)</f>
        <v>0</v>
      </c>
      <c r="AL45" s="171">
        <f>SUMIF('IS(M)'!$M$11:$ER$11,AL$7,'IS(M)'!$M51:$ER51)</f>
        <v>0</v>
      </c>
      <c r="AM45" s="171">
        <f>SUMIF('IS(M)'!$M$11:$ER$11,AM$7,'IS(M)'!$M51:$ER51)</f>
        <v>0</v>
      </c>
      <c r="AN45" s="171">
        <f>SUMIF('IS(M)'!$M$11:$ER$11,AN$7,'IS(M)'!$M51:$ER51)</f>
        <v>0</v>
      </c>
      <c r="AO45" s="171">
        <f>SUMIF('IS(M)'!$M$11:$ER$11,AO$7,'IS(M)'!$M51:$ER51)</f>
        <v>0</v>
      </c>
      <c r="AP45" s="171">
        <f>SUMIF('IS(M)'!$M$11:$ER$11,AP$7,'IS(M)'!$M51:$ER51)</f>
        <v>0</v>
      </c>
      <c r="AQ45" s="171">
        <f>SUMIF('IS(M)'!$M$11:$ER$11,AQ$7,'IS(M)'!$M51:$ER51)</f>
        <v>0</v>
      </c>
      <c r="AR45" s="171">
        <f>SUMIF('IS(M)'!$M$11:$ER$11,AR$7,'IS(M)'!$M51:$ER51)</f>
        <v>0</v>
      </c>
      <c r="AS45" s="171">
        <f>SUMIF('IS(M)'!$M$11:$ER$11,AS$7,'IS(M)'!$M51:$ER51)</f>
        <v>0</v>
      </c>
      <c r="AT45" s="171">
        <f>SUMIF('IS(M)'!$M$11:$ER$11,AT$7,'IS(M)'!$M51:$ER51)</f>
        <v>0</v>
      </c>
      <c r="AU45" s="171">
        <f>SUMIF('IS(M)'!$M$11:$ER$11,AU$7,'IS(M)'!$M51:$ER51)</f>
        <v>0</v>
      </c>
      <c r="AV45" s="171">
        <f>SUMIF('IS(M)'!$M$11:$ER$11,AV$7,'IS(M)'!$M51:$ER51)</f>
        <v>0</v>
      </c>
      <c r="AW45" s="171">
        <f>SUMIF('IS(M)'!$M$11:$ER$11,AW$7,'IS(M)'!$M51:$ER51)</f>
        <v>0</v>
      </c>
      <c r="AX45" s="171">
        <f>SUMIF('IS(M)'!$M$11:$ER$11,AX$7,'IS(M)'!$M51:$ER51)</f>
        <v>0</v>
      </c>
      <c r="AY45" s="171">
        <f>SUMIF('IS(M)'!$M$11:$ER$11,AY$7,'IS(M)'!$M51:$ER51)</f>
        <v>0</v>
      </c>
      <c r="AZ45" s="171">
        <f>SUMIF('IS(M)'!$M$11:$ER$11,AZ$7,'IS(M)'!$M51:$ER51)</f>
        <v>0</v>
      </c>
      <c r="BA45" s="171">
        <f>SUMIF('IS(M)'!$M$11:$ER$11,BA$7,'IS(M)'!$M51:$ER51)</f>
        <v>0</v>
      </c>
      <c r="BB45" s="171">
        <f>SUMIF('IS(M)'!$M$11:$ER$11,BB$7,'IS(M)'!$M51:$ER51)</f>
        <v>0</v>
      </c>
      <c r="BC45" s="171">
        <f>SUMIF('IS(M)'!$M$11:$ER$11,BC$7,'IS(M)'!$M51:$ER51)</f>
        <v>0</v>
      </c>
      <c r="BD45" s="171">
        <f>SUMIF('IS(M)'!$M$11:$ER$11,BD$7,'IS(M)'!$M51:$ER51)</f>
        <v>0</v>
      </c>
      <c r="BE45" s="171">
        <f>SUMIF('IS(M)'!$M$11:$ER$11,BE$7,'IS(M)'!$M51:$ER51)</f>
        <v>0</v>
      </c>
      <c r="BF45" s="171">
        <f>SUMIF('IS(M)'!$M$11:$ER$11,BF$7,'IS(M)'!$M51:$ER51)</f>
        <v>0</v>
      </c>
      <c r="BG45" s="171">
        <f>SUMIF('IS(M)'!$M$11:$ER$11,BG$7,'IS(M)'!$M51:$ER51)</f>
        <v>0</v>
      </c>
      <c r="BH45" s="171">
        <f>SUMIF('IS(M)'!$M$11:$ER$11,BH$7,'IS(M)'!$M51:$ER51)</f>
        <v>0</v>
      </c>
      <c r="BI45" s="171">
        <f>SUMIF('IS(M)'!$M$11:$ER$11,BI$7,'IS(M)'!$M51:$ER51)</f>
        <v>0</v>
      </c>
      <c r="BJ45" s="171">
        <f>SUMIF('IS(M)'!$M$11:$ER$11,BJ$7,'IS(M)'!$M51:$ER51)</f>
        <v>0</v>
      </c>
      <c r="BK45" s="171">
        <f>SUMIF('IS(M)'!$M$11:$ER$11,BK$7,'IS(M)'!$M51:$ER51)</f>
        <v>0</v>
      </c>
      <c r="BL45" s="171">
        <f>SUMIF('IS(M)'!$M$11:$ER$11,BL$7,'IS(M)'!$M51:$ER51)</f>
        <v>0</v>
      </c>
      <c r="BM45" s="171">
        <f>SUMIF('IS(M)'!$M$11:$ER$11,BM$7,'IS(M)'!$M51:$ER51)</f>
        <v>0</v>
      </c>
      <c r="BN45" s="171">
        <f>SUMIF('IS(M)'!$M$11:$ER$11,BN$7,'IS(M)'!$M51:$ER51)</f>
        <v>0</v>
      </c>
      <c r="BO45" s="171">
        <f>SUMIF('IS(M)'!$M$11:$ER$11,BO$7,'IS(M)'!$M51:$ER51)</f>
        <v>0</v>
      </c>
      <c r="BP45" s="171">
        <f>SUMIF('IS(M)'!$M$11:$ER$11,BP$7,'IS(M)'!$M51:$ER51)</f>
        <v>0</v>
      </c>
      <c r="BQ45" s="171">
        <f>SUMIF('IS(M)'!$M$11:$ER$11,BQ$7,'IS(M)'!$M51:$ER51)</f>
        <v>0</v>
      </c>
      <c r="BR45" s="171">
        <f>SUMIF('IS(M)'!$M$11:$ER$11,BR$7,'IS(M)'!$M51:$ER51)</f>
        <v>0</v>
      </c>
      <c r="BS45" s="171">
        <f>SUMIF('IS(M)'!$M$11:$ER$11,BS$7,'IS(M)'!$M51:$ER51)</f>
        <v>0</v>
      </c>
      <c r="BT45" s="171">
        <f>SUMIF('IS(M)'!$M$11:$ER$11,BT$7,'IS(M)'!$M51:$ER51)</f>
        <v>0</v>
      </c>
      <c r="BU45" s="171">
        <f>SUMIF('IS(M)'!$M$11:$ER$11,BU$7,'IS(M)'!$M51:$ER51)</f>
        <v>0</v>
      </c>
      <c r="BV45" s="171">
        <f>SUMIF('IS(M)'!$M$11:$ER$11,BV$7,'IS(M)'!$M51:$ER51)</f>
        <v>0</v>
      </c>
      <c r="BW45" s="171">
        <f>SUMIF('IS(M)'!$M$11:$ER$11,BW$7,'IS(M)'!$M51:$ER51)</f>
        <v>0</v>
      </c>
      <c r="BX45" s="171">
        <f>SUMIF('IS(M)'!$M$11:$ER$11,BX$7,'IS(M)'!$M51:$ER51)</f>
        <v>0</v>
      </c>
      <c r="BY45" s="171">
        <f>SUMIF('IS(M)'!$M$11:$ER$11,BY$7,'IS(M)'!$M51:$ER51)</f>
        <v>0</v>
      </c>
      <c r="BZ45" s="171">
        <f>SUMIF('IS(M)'!$M$11:$ER$11,BZ$7,'IS(M)'!$M51:$ER51)</f>
        <v>0</v>
      </c>
      <c r="CA45" s="171">
        <f>SUMIF('IS(M)'!$M$11:$ER$11,CA$7,'IS(M)'!$M51:$ER51)</f>
        <v>0</v>
      </c>
      <c r="CB45" s="171">
        <f>SUMIF('IS(M)'!$M$11:$ER$11,CB$7,'IS(M)'!$M51:$ER51)</f>
        <v>0</v>
      </c>
      <c r="CC45" s="171">
        <f>SUMIF('IS(M)'!$M$11:$ER$11,CC$7,'IS(M)'!$M51:$ER51)</f>
        <v>0</v>
      </c>
      <c r="CD45" s="171">
        <f>SUMIF('IS(M)'!$M$11:$ER$11,CD$7,'IS(M)'!$M51:$ER51)</f>
        <v>0</v>
      </c>
      <c r="CE45" s="171">
        <f>SUMIF('IS(M)'!$M$11:$ER$11,CE$7,'IS(M)'!$M51:$ER51)</f>
        <v>0</v>
      </c>
      <c r="CF45" s="171">
        <f>SUMIF('IS(M)'!$M$11:$ER$11,CF$7,'IS(M)'!$M51:$ER51)</f>
        <v>0</v>
      </c>
      <c r="CG45" s="171">
        <f>SUMIF('IS(M)'!$M$11:$ER$11,CG$7,'IS(M)'!$M51:$ER51)</f>
        <v>0</v>
      </c>
      <c r="CH45" s="171">
        <f>SUMIF('IS(M)'!$M$11:$ER$11,CH$7,'IS(M)'!$M51:$ER51)</f>
        <v>0</v>
      </c>
      <c r="CI45" s="171">
        <f>SUMIF('IS(M)'!$M$11:$ER$11,CI$7,'IS(M)'!$M51:$ER51)</f>
        <v>0</v>
      </c>
      <c r="CJ45" s="171">
        <f>SUMIF('IS(M)'!$M$11:$ER$11,CJ$7,'IS(M)'!$M51:$ER51)</f>
        <v>0</v>
      </c>
      <c r="CK45" s="171">
        <f>SUMIF('IS(M)'!$M$11:$ER$11,CK$7,'IS(M)'!$M51:$ER51)</f>
        <v>0</v>
      </c>
      <c r="CL45" s="171">
        <f>SUMIF('IS(M)'!$M$11:$ER$11,CL$7,'IS(M)'!$M51:$ER51)</f>
        <v>0</v>
      </c>
      <c r="CM45" s="171">
        <f>SUMIF('IS(M)'!$M$11:$ER$11,CM$7,'IS(M)'!$M51:$ER51)</f>
        <v>0</v>
      </c>
      <c r="CN45" s="171">
        <f>SUMIF('IS(M)'!$M$11:$ER$11,CN$7,'IS(M)'!$M51:$ER51)</f>
        <v>0</v>
      </c>
      <c r="CO45" s="171">
        <f>SUMIF('IS(M)'!$M$11:$ER$11,CO$7,'IS(M)'!$M51:$ER51)</f>
        <v>0</v>
      </c>
      <c r="CP45" s="171">
        <f>SUMIF('IS(M)'!$M$11:$ER$11,CP$7,'IS(M)'!$M51:$ER51)</f>
        <v>0</v>
      </c>
      <c r="CQ45" s="171">
        <f>SUMIF('IS(M)'!$M$11:$ER$11,CQ$7,'IS(M)'!$M51:$ER51)</f>
        <v>0</v>
      </c>
      <c r="CR45" s="171">
        <f>SUMIF('IS(M)'!$M$11:$ER$11,CR$7,'IS(M)'!$M51:$ER51)</f>
        <v>0</v>
      </c>
      <c r="CS45" s="171">
        <f>SUMIF('IS(M)'!$M$11:$ER$11,CS$7,'IS(M)'!$M51:$ER51)</f>
        <v>0</v>
      </c>
      <c r="CT45" s="171">
        <f>SUMIF('IS(M)'!$M$11:$ER$11,CT$7,'IS(M)'!$M51:$ER51)</f>
        <v>0</v>
      </c>
      <c r="CU45" s="171">
        <f>SUMIF('IS(M)'!$M$11:$ER$11,CU$7,'IS(M)'!$M51:$ER51)</f>
        <v>0</v>
      </c>
      <c r="CV45" s="171">
        <f>SUMIF('IS(M)'!$M$11:$ER$11,CV$7,'IS(M)'!$M51:$ER51)</f>
        <v>0</v>
      </c>
      <c r="CW45" s="171">
        <f>SUMIF('IS(M)'!$M$11:$ER$11,CW$7,'IS(M)'!$M51:$ER51)</f>
        <v>0</v>
      </c>
      <c r="CX45" s="171">
        <f>SUMIF('IS(M)'!$M$11:$ER$11,CX$7,'IS(M)'!$M51:$ER51)</f>
        <v>0</v>
      </c>
      <c r="CY45" s="171">
        <f>SUMIF('IS(M)'!$M$11:$ER$11,CY$7,'IS(M)'!$M51:$ER51)</f>
        <v>0</v>
      </c>
      <c r="CZ45" s="171">
        <f>SUMIF('IS(M)'!$M$11:$ER$11,CZ$7,'IS(M)'!$M51:$ER51)</f>
        <v>0</v>
      </c>
      <c r="DA45" s="171">
        <f>SUMIF('IS(M)'!$M$11:$ER$11,DA$7,'IS(M)'!$M51:$ER51)</f>
        <v>0</v>
      </c>
      <c r="DB45" s="171">
        <f>SUMIF('IS(M)'!$M$11:$ER$11,DB$7,'IS(M)'!$M51:$ER51)</f>
        <v>0</v>
      </c>
      <c r="DC45" s="171">
        <f>SUMIF('IS(M)'!$M$11:$ER$11,DC$7,'IS(M)'!$M51:$ER51)</f>
        <v>0</v>
      </c>
      <c r="DD45" s="171">
        <f>SUMIF('IS(M)'!$M$11:$ER$11,DD$7,'IS(M)'!$M51:$ER51)</f>
        <v>0</v>
      </c>
      <c r="DE45" s="171">
        <f>SUMIF('IS(M)'!$M$11:$ER$11,DE$7,'IS(M)'!$M51:$ER51)</f>
        <v>0</v>
      </c>
      <c r="DF45" s="171">
        <f>SUMIF('IS(M)'!$M$11:$ER$11,DF$7,'IS(M)'!$M51:$ER51)</f>
        <v>0</v>
      </c>
      <c r="DG45" s="171">
        <f>SUMIF('IS(M)'!$M$11:$ER$11,DG$7,'IS(M)'!$M51:$ER51)</f>
        <v>0</v>
      </c>
      <c r="DH45" s="171">
        <f>SUMIF('IS(M)'!$M$11:$ER$11,DH$7,'IS(M)'!$M51:$ER51)</f>
        <v>0</v>
      </c>
      <c r="DI45" s="171">
        <f>SUMIF('IS(M)'!$M$11:$ER$11,DI$7,'IS(M)'!$M51:$ER51)</f>
        <v>0</v>
      </c>
      <c r="DJ45" s="171">
        <f>SUMIF('IS(M)'!$M$11:$ER$11,DJ$7,'IS(M)'!$M51:$ER51)</f>
        <v>0</v>
      </c>
      <c r="DK45" s="171">
        <f>SUMIF('IS(M)'!$M$11:$ER$11,DK$7,'IS(M)'!$M51:$ER51)</f>
        <v>0</v>
      </c>
      <c r="DL45" s="171">
        <f>SUMIF('IS(M)'!$M$11:$ER$11,DL$7,'IS(M)'!$M51:$ER51)</f>
        <v>0</v>
      </c>
      <c r="DM45" s="171">
        <f>SUMIF('IS(M)'!$M$11:$ER$11,DM$7,'IS(M)'!$M51:$ER51)</f>
        <v>0</v>
      </c>
      <c r="DN45" s="171">
        <f>SUMIF('IS(M)'!$M$11:$ER$11,DN$7,'IS(M)'!$M51:$ER51)</f>
        <v>0</v>
      </c>
      <c r="DO45" s="171">
        <f>SUMIF('IS(M)'!$M$11:$ER$11,DO$7,'IS(M)'!$M51:$ER51)</f>
        <v>0</v>
      </c>
      <c r="DP45" s="171">
        <f>SUMIF('IS(M)'!$M$11:$ER$11,DP$7,'IS(M)'!$M51:$ER51)</f>
        <v>0</v>
      </c>
      <c r="DQ45" s="171">
        <f>SUMIF('IS(M)'!$M$11:$ER$11,DQ$7,'IS(M)'!$M51:$ER51)</f>
        <v>0</v>
      </c>
      <c r="DR45" s="171">
        <f>SUMIF('IS(M)'!$M$11:$ER$11,DR$7,'IS(M)'!$M51:$ER51)</f>
        <v>0</v>
      </c>
      <c r="DS45" s="171">
        <f>SUMIF('IS(M)'!$M$11:$ER$11,DS$7,'IS(M)'!$M51:$ER51)</f>
        <v>0</v>
      </c>
      <c r="DT45" s="171">
        <f>SUMIF('IS(M)'!$M$11:$ER$11,DT$7,'IS(M)'!$M51:$ER51)</f>
        <v>0</v>
      </c>
      <c r="DU45" s="171">
        <f>SUMIF('IS(M)'!$M$11:$ER$11,DU$7,'IS(M)'!$M51:$ER51)</f>
        <v>0</v>
      </c>
      <c r="DV45" s="171">
        <f>SUMIF('IS(M)'!$M$11:$ER$11,DV$7,'IS(M)'!$M51:$ER51)</f>
        <v>0</v>
      </c>
      <c r="DW45" s="171">
        <f>SUMIF('IS(M)'!$M$11:$ER$11,DW$7,'IS(M)'!$M51:$ER51)</f>
        <v>0</v>
      </c>
    </row>
    <row r="46" spans="2:127" ht="11.25" customHeight="1">
      <c r="B46" s="218"/>
      <c r="C46" s="163"/>
      <c r="D46" s="169" t="str">
        <f>'IS(M)'!D52</f>
        <v>중순위대출(3rd) 이자비용</v>
      </c>
      <c r="I46" s="146"/>
      <c r="J46" s="13"/>
      <c r="K46" s="171">
        <f t="shared" si="12"/>
        <v>0</v>
      </c>
      <c r="L46" s="98"/>
      <c r="M46" s="171">
        <f>SUMIF('IS(M)'!$M$11:$ER$11,M$7,'IS(M)'!$M52:$ER52)</f>
        <v>0</v>
      </c>
      <c r="N46" s="171">
        <f>SUMIF('IS(M)'!$M$11:$ER$11,N$7,'IS(M)'!$M52:$ER52)</f>
        <v>0</v>
      </c>
      <c r="O46" s="171">
        <f>SUMIF('IS(M)'!$M$11:$ER$11,O$7,'IS(M)'!$M52:$ER52)</f>
        <v>0</v>
      </c>
      <c r="P46" s="171">
        <f>SUMIF('IS(M)'!$M$11:$ER$11,P$7,'IS(M)'!$M52:$ER52)</f>
        <v>0</v>
      </c>
      <c r="Q46" s="171">
        <f>SUMIF('IS(M)'!$M$11:$ER$11,Q$7,'IS(M)'!$M52:$ER52)</f>
        <v>0</v>
      </c>
      <c r="R46" s="171">
        <f>SUMIF('IS(M)'!$M$11:$ER$11,R$7,'IS(M)'!$M52:$ER52)</f>
        <v>0</v>
      </c>
      <c r="S46" s="171">
        <f>SUMIF('IS(M)'!$M$11:$ER$11,S$7,'IS(M)'!$M52:$ER52)</f>
        <v>0</v>
      </c>
      <c r="T46" s="171">
        <f>SUMIF('IS(M)'!$M$11:$ER$11,T$7,'IS(M)'!$M52:$ER52)</f>
        <v>0</v>
      </c>
      <c r="U46" s="171">
        <f>SUMIF('IS(M)'!$M$11:$ER$11,U$7,'IS(M)'!$M52:$ER52)</f>
        <v>0</v>
      </c>
      <c r="V46" s="171">
        <f>SUMIF('IS(M)'!$M$11:$ER$11,V$7,'IS(M)'!$M52:$ER52)</f>
        <v>0</v>
      </c>
      <c r="W46" s="171">
        <f>SUMIF('IS(M)'!$M$11:$ER$11,W$7,'IS(M)'!$M52:$ER52)</f>
        <v>0</v>
      </c>
      <c r="X46" s="171">
        <f>SUMIF('IS(M)'!$M$11:$ER$11,X$7,'IS(M)'!$M52:$ER52)</f>
        <v>0</v>
      </c>
      <c r="Y46" s="171">
        <f>SUMIF('IS(M)'!$M$11:$ER$11,Y$7,'IS(M)'!$M52:$ER52)</f>
        <v>0</v>
      </c>
      <c r="Z46" s="171">
        <f>SUMIF('IS(M)'!$M$11:$ER$11,Z$7,'IS(M)'!$M52:$ER52)</f>
        <v>0</v>
      </c>
      <c r="AA46" s="171">
        <f>SUMIF('IS(M)'!$M$11:$ER$11,AA$7,'IS(M)'!$M52:$ER52)</f>
        <v>0</v>
      </c>
      <c r="AB46" s="171">
        <f>SUMIF('IS(M)'!$M$11:$ER$11,AB$7,'IS(M)'!$M52:$ER52)</f>
        <v>0</v>
      </c>
      <c r="AC46" s="171">
        <f>SUMIF('IS(M)'!$M$11:$ER$11,AC$7,'IS(M)'!$M52:$ER52)</f>
        <v>0</v>
      </c>
      <c r="AD46" s="171">
        <f>SUMIF('IS(M)'!$M$11:$ER$11,AD$7,'IS(M)'!$M52:$ER52)</f>
        <v>0</v>
      </c>
      <c r="AE46" s="171">
        <f>SUMIF('IS(M)'!$M$11:$ER$11,AE$7,'IS(M)'!$M52:$ER52)</f>
        <v>0</v>
      </c>
      <c r="AF46" s="171">
        <f>SUMIF('IS(M)'!$M$11:$ER$11,AF$7,'IS(M)'!$M52:$ER52)</f>
        <v>0</v>
      </c>
      <c r="AG46" s="171">
        <f>SUMIF('IS(M)'!$M$11:$ER$11,AG$7,'IS(M)'!$M52:$ER52)</f>
        <v>0</v>
      </c>
      <c r="AH46" s="171">
        <f>SUMIF('IS(M)'!$M$11:$ER$11,AH$7,'IS(M)'!$M52:$ER52)</f>
        <v>0</v>
      </c>
      <c r="AI46" s="171">
        <f>SUMIF('IS(M)'!$M$11:$ER$11,AI$7,'IS(M)'!$M52:$ER52)</f>
        <v>0</v>
      </c>
      <c r="AJ46" s="171">
        <f>SUMIF('IS(M)'!$M$11:$ER$11,AJ$7,'IS(M)'!$M52:$ER52)</f>
        <v>0</v>
      </c>
      <c r="AK46" s="171">
        <f>SUMIF('IS(M)'!$M$11:$ER$11,AK$7,'IS(M)'!$M52:$ER52)</f>
        <v>0</v>
      </c>
      <c r="AL46" s="171">
        <f>SUMIF('IS(M)'!$M$11:$ER$11,AL$7,'IS(M)'!$M52:$ER52)</f>
        <v>0</v>
      </c>
      <c r="AM46" s="171">
        <f>SUMIF('IS(M)'!$M$11:$ER$11,AM$7,'IS(M)'!$M52:$ER52)</f>
        <v>0</v>
      </c>
      <c r="AN46" s="171">
        <f>SUMIF('IS(M)'!$M$11:$ER$11,AN$7,'IS(M)'!$M52:$ER52)</f>
        <v>0</v>
      </c>
      <c r="AO46" s="171">
        <f>SUMIF('IS(M)'!$M$11:$ER$11,AO$7,'IS(M)'!$M52:$ER52)</f>
        <v>0</v>
      </c>
      <c r="AP46" s="171">
        <f>SUMIF('IS(M)'!$M$11:$ER$11,AP$7,'IS(M)'!$M52:$ER52)</f>
        <v>0</v>
      </c>
      <c r="AQ46" s="171">
        <f>SUMIF('IS(M)'!$M$11:$ER$11,AQ$7,'IS(M)'!$M52:$ER52)</f>
        <v>0</v>
      </c>
      <c r="AR46" s="171">
        <f>SUMIF('IS(M)'!$M$11:$ER$11,AR$7,'IS(M)'!$M52:$ER52)</f>
        <v>0</v>
      </c>
      <c r="AS46" s="171">
        <f>SUMIF('IS(M)'!$M$11:$ER$11,AS$7,'IS(M)'!$M52:$ER52)</f>
        <v>0</v>
      </c>
      <c r="AT46" s="171">
        <f>SUMIF('IS(M)'!$M$11:$ER$11,AT$7,'IS(M)'!$M52:$ER52)</f>
        <v>0</v>
      </c>
      <c r="AU46" s="171">
        <f>SUMIF('IS(M)'!$M$11:$ER$11,AU$7,'IS(M)'!$M52:$ER52)</f>
        <v>0</v>
      </c>
      <c r="AV46" s="171">
        <f>SUMIF('IS(M)'!$M$11:$ER$11,AV$7,'IS(M)'!$M52:$ER52)</f>
        <v>0</v>
      </c>
      <c r="AW46" s="171">
        <f>SUMIF('IS(M)'!$M$11:$ER$11,AW$7,'IS(M)'!$M52:$ER52)</f>
        <v>0</v>
      </c>
      <c r="AX46" s="171">
        <f>SUMIF('IS(M)'!$M$11:$ER$11,AX$7,'IS(M)'!$M52:$ER52)</f>
        <v>0</v>
      </c>
      <c r="AY46" s="171">
        <f>SUMIF('IS(M)'!$M$11:$ER$11,AY$7,'IS(M)'!$M52:$ER52)</f>
        <v>0</v>
      </c>
      <c r="AZ46" s="171">
        <f>SUMIF('IS(M)'!$M$11:$ER$11,AZ$7,'IS(M)'!$M52:$ER52)</f>
        <v>0</v>
      </c>
      <c r="BA46" s="171">
        <f>SUMIF('IS(M)'!$M$11:$ER$11,BA$7,'IS(M)'!$M52:$ER52)</f>
        <v>0</v>
      </c>
      <c r="BB46" s="171">
        <f>SUMIF('IS(M)'!$M$11:$ER$11,BB$7,'IS(M)'!$M52:$ER52)</f>
        <v>0</v>
      </c>
      <c r="BC46" s="171">
        <f>SUMIF('IS(M)'!$M$11:$ER$11,BC$7,'IS(M)'!$M52:$ER52)</f>
        <v>0</v>
      </c>
      <c r="BD46" s="171">
        <f>SUMIF('IS(M)'!$M$11:$ER$11,BD$7,'IS(M)'!$M52:$ER52)</f>
        <v>0</v>
      </c>
      <c r="BE46" s="171">
        <f>SUMIF('IS(M)'!$M$11:$ER$11,BE$7,'IS(M)'!$M52:$ER52)</f>
        <v>0</v>
      </c>
      <c r="BF46" s="171">
        <f>SUMIF('IS(M)'!$M$11:$ER$11,BF$7,'IS(M)'!$M52:$ER52)</f>
        <v>0</v>
      </c>
      <c r="BG46" s="171">
        <f>SUMIF('IS(M)'!$M$11:$ER$11,BG$7,'IS(M)'!$M52:$ER52)</f>
        <v>0</v>
      </c>
      <c r="BH46" s="171">
        <f>SUMIF('IS(M)'!$M$11:$ER$11,BH$7,'IS(M)'!$M52:$ER52)</f>
        <v>0</v>
      </c>
      <c r="BI46" s="171">
        <f>SUMIF('IS(M)'!$M$11:$ER$11,BI$7,'IS(M)'!$M52:$ER52)</f>
        <v>0</v>
      </c>
      <c r="BJ46" s="171">
        <f>SUMIF('IS(M)'!$M$11:$ER$11,BJ$7,'IS(M)'!$M52:$ER52)</f>
        <v>0</v>
      </c>
      <c r="BK46" s="171">
        <f>SUMIF('IS(M)'!$M$11:$ER$11,BK$7,'IS(M)'!$M52:$ER52)</f>
        <v>0</v>
      </c>
      <c r="BL46" s="171">
        <f>SUMIF('IS(M)'!$M$11:$ER$11,BL$7,'IS(M)'!$M52:$ER52)</f>
        <v>0</v>
      </c>
      <c r="BM46" s="171">
        <f>SUMIF('IS(M)'!$M$11:$ER$11,BM$7,'IS(M)'!$M52:$ER52)</f>
        <v>0</v>
      </c>
      <c r="BN46" s="171">
        <f>SUMIF('IS(M)'!$M$11:$ER$11,BN$7,'IS(M)'!$M52:$ER52)</f>
        <v>0</v>
      </c>
      <c r="BO46" s="171">
        <f>SUMIF('IS(M)'!$M$11:$ER$11,BO$7,'IS(M)'!$M52:$ER52)</f>
        <v>0</v>
      </c>
      <c r="BP46" s="171">
        <f>SUMIF('IS(M)'!$M$11:$ER$11,BP$7,'IS(M)'!$M52:$ER52)</f>
        <v>0</v>
      </c>
      <c r="BQ46" s="171">
        <f>SUMIF('IS(M)'!$M$11:$ER$11,BQ$7,'IS(M)'!$M52:$ER52)</f>
        <v>0</v>
      </c>
      <c r="BR46" s="171">
        <f>SUMIF('IS(M)'!$M$11:$ER$11,BR$7,'IS(M)'!$M52:$ER52)</f>
        <v>0</v>
      </c>
      <c r="BS46" s="171">
        <f>SUMIF('IS(M)'!$M$11:$ER$11,BS$7,'IS(M)'!$M52:$ER52)</f>
        <v>0</v>
      </c>
      <c r="BT46" s="171">
        <f>SUMIF('IS(M)'!$M$11:$ER$11,BT$7,'IS(M)'!$M52:$ER52)</f>
        <v>0</v>
      </c>
      <c r="BU46" s="171">
        <f>SUMIF('IS(M)'!$M$11:$ER$11,BU$7,'IS(M)'!$M52:$ER52)</f>
        <v>0</v>
      </c>
      <c r="BV46" s="171">
        <f>SUMIF('IS(M)'!$M$11:$ER$11,BV$7,'IS(M)'!$M52:$ER52)</f>
        <v>0</v>
      </c>
      <c r="BW46" s="171">
        <f>SUMIF('IS(M)'!$M$11:$ER$11,BW$7,'IS(M)'!$M52:$ER52)</f>
        <v>0</v>
      </c>
      <c r="BX46" s="171">
        <f>SUMIF('IS(M)'!$M$11:$ER$11,BX$7,'IS(M)'!$M52:$ER52)</f>
        <v>0</v>
      </c>
      <c r="BY46" s="171">
        <f>SUMIF('IS(M)'!$M$11:$ER$11,BY$7,'IS(M)'!$M52:$ER52)</f>
        <v>0</v>
      </c>
      <c r="BZ46" s="171">
        <f>SUMIF('IS(M)'!$M$11:$ER$11,BZ$7,'IS(M)'!$M52:$ER52)</f>
        <v>0</v>
      </c>
      <c r="CA46" s="171">
        <f>SUMIF('IS(M)'!$M$11:$ER$11,CA$7,'IS(M)'!$M52:$ER52)</f>
        <v>0</v>
      </c>
      <c r="CB46" s="171">
        <f>SUMIF('IS(M)'!$M$11:$ER$11,CB$7,'IS(M)'!$M52:$ER52)</f>
        <v>0</v>
      </c>
      <c r="CC46" s="171">
        <f>SUMIF('IS(M)'!$M$11:$ER$11,CC$7,'IS(M)'!$M52:$ER52)</f>
        <v>0</v>
      </c>
      <c r="CD46" s="171">
        <f>SUMIF('IS(M)'!$M$11:$ER$11,CD$7,'IS(M)'!$M52:$ER52)</f>
        <v>0</v>
      </c>
      <c r="CE46" s="171">
        <f>SUMIF('IS(M)'!$M$11:$ER$11,CE$7,'IS(M)'!$M52:$ER52)</f>
        <v>0</v>
      </c>
      <c r="CF46" s="171">
        <f>SUMIF('IS(M)'!$M$11:$ER$11,CF$7,'IS(M)'!$M52:$ER52)</f>
        <v>0</v>
      </c>
      <c r="CG46" s="171">
        <f>SUMIF('IS(M)'!$M$11:$ER$11,CG$7,'IS(M)'!$M52:$ER52)</f>
        <v>0</v>
      </c>
      <c r="CH46" s="171">
        <f>SUMIF('IS(M)'!$M$11:$ER$11,CH$7,'IS(M)'!$M52:$ER52)</f>
        <v>0</v>
      </c>
      <c r="CI46" s="171">
        <f>SUMIF('IS(M)'!$M$11:$ER$11,CI$7,'IS(M)'!$M52:$ER52)</f>
        <v>0</v>
      </c>
      <c r="CJ46" s="171">
        <f>SUMIF('IS(M)'!$M$11:$ER$11,CJ$7,'IS(M)'!$M52:$ER52)</f>
        <v>0</v>
      </c>
      <c r="CK46" s="171">
        <f>SUMIF('IS(M)'!$M$11:$ER$11,CK$7,'IS(M)'!$M52:$ER52)</f>
        <v>0</v>
      </c>
      <c r="CL46" s="171">
        <f>SUMIF('IS(M)'!$M$11:$ER$11,CL$7,'IS(M)'!$M52:$ER52)</f>
        <v>0</v>
      </c>
      <c r="CM46" s="171">
        <f>SUMIF('IS(M)'!$M$11:$ER$11,CM$7,'IS(M)'!$M52:$ER52)</f>
        <v>0</v>
      </c>
      <c r="CN46" s="171">
        <f>SUMIF('IS(M)'!$M$11:$ER$11,CN$7,'IS(M)'!$M52:$ER52)</f>
        <v>0</v>
      </c>
      <c r="CO46" s="171">
        <f>SUMIF('IS(M)'!$M$11:$ER$11,CO$7,'IS(M)'!$M52:$ER52)</f>
        <v>0</v>
      </c>
      <c r="CP46" s="171">
        <f>SUMIF('IS(M)'!$M$11:$ER$11,CP$7,'IS(M)'!$M52:$ER52)</f>
        <v>0</v>
      </c>
      <c r="CQ46" s="171">
        <f>SUMIF('IS(M)'!$M$11:$ER$11,CQ$7,'IS(M)'!$M52:$ER52)</f>
        <v>0</v>
      </c>
      <c r="CR46" s="171">
        <f>SUMIF('IS(M)'!$M$11:$ER$11,CR$7,'IS(M)'!$M52:$ER52)</f>
        <v>0</v>
      </c>
      <c r="CS46" s="171">
        <f>SUMIF('IS(M)'!$M$11:$ER$11,CS$7,'IS(M)'!$M52:$ER52)</f>
        <v>0</v>
      </c>
      <c r="CT46" s="171">
        <f>SUMIF('IS(M)'!$M$11:$ER$11,CT$7,'IS(M)'!$M52:$ER52)</f>
        <v>0</v>
      </c>
      <c r="CU46" s="171">
        <f>SUMIF('IS(M)'!$M$11:$ER$11,CU$7,'IS(M)'!$M52:$ER52)</f>
        <v>0</v>
      </c>
      <c r="CV46" s="171">
        <f>SUMIF('IS(M)'!$M$11:$ER$11,CV$7,'IS(M)'!$M52:$ER52)</f>
        <v>0</v>
      </c>
      <c r="CW46" s="171">
        <f>SUMIF('IS(M)'!$M$11:$ER$11,CW$7,'IS(M)'!$M52:$ER52)</f>
        <v>0</v>
      </c>
      <c r="CX46" s="171">
        <f>SUMIF('IS(M)'!$M$11:$ER$11,CX$7,'IS(M)'!$M52:$ER52)</f>
        <v>0</v>
      </c>
      <c r="CY46" s="171">
        <f>SUMIF('IS(M)'!$M$11:$ER$11,CY$7,'IS(M)'!$M52:$ER52)</f>
        <v>0</v>
      </c>
      <c r="CZ46" s="171">
        <f>SUMIF('IS(M)'!$M$11:$ER$11,CZ$7,'IS(M)'!$M52:$ER52)</f>
        <v>0</v>
      </c>
      <c r="DA46" s="171">
        <f>SUMIF('IS(M)'!$M$11:$ER$11,DA$7,'IS(M)'!$M52:$ER52)</f>
        <v>0</v>
      </c>
      <c r="DB46" s="171">
        <f>SUMIF('IS(M)'!$M$11:$ER$11,DB$7,'IS(M)'!$M52:$ER52)</f>
        <v>0</v>
      </c>
      <c r="DC46" s="171">
        <f>SUMIF('IS(M)'!$M$11:$ER$11,DC$7,'IS(M)'!$M52:$ER52)</f>
        <v>0</v>
      </c>
      <c r="DD46" s="171">
        <f>SUMIF('IS(M)'!$M$11:$ER$11,DD$7,'IS(M)'!$M52:$ER52)</f>
        <v>0</v>
      </c>
      <c r="DE46" s="171">
        <f>SUMIF('IS(M)'!$M$11:$ER$11,DE$7,'IS(M)'!$M52:$ER52)</f>
        <v>0</v>
      </c>
      <c r="DF46" s="171">
        <f>SUMIF('IS(M)'!$M$11:$ER$11,DF$7,'IS(M)'!$M52:$ER52)</f>
        <v>0</v>
      </c>
      <c r="DG46" s="171">
        <f>SUMIF('IS(M)'!$M$11:$ER$11,DG$7,'IS(M)'!$M52:$ER52)</f>
        <v>0</v>
      </c>
      <c r="DH46" s="171">
        <f>SUMIF('IS(M)'!$M$11:$ER$11,DH$7,'IS(M)'!$M52:$ER52)</f>
        <v>0</v>
      </c>
      <c r="DI46" s="171">
        <f>SUMIF('IS(M)'!$M$11:$ER$11,DI$7,'IS(M)'!$M52:$ER52)</f>
        <v>0</v>
      </c>
      <c r="DJ46" s="171">
        <f>SUMIF('IS(M)'!$M$11:$ER$11,DJ$7,'IS(M)'!$M52:$ER52)</f>
        <v>0</v>
      </c>
      <c r="DK46" s="171">
        <f>SUMIF('IS(M)'!$M$11:$ER$11,DK$7,'IS(M)'!$M52:$ER52)</f>
        <v>0</v>
      </c>
      <c r="DL46" s="171">
        <f>SUMIF('IS(M)'!$M$11:$ER$11,DL$7,'IS(M)'!$M52:$ER52)</f>
        <v>0</v>
      </c>
      <c r="DM46" s="171">
        <f>SUMIF('IS(M)'!$M$11:$ER$11,DM$7,'IS(M)'!$M52:$ER52)</f>
        <v>0</v>
      </c>
      <c r="DN46" s="171">
        <f>SUMIF('IS(M)'!$M$11:$ER$11,DN$7,'IS(M)'!$M52:$ER52)</f>
        <v>0</v>
      </c>
      <c r="DO46" s="171">
        <f>SUMIF('IS(M)'!$M$11:$ER$11,DO$7,'IS(M)'!$M52:$ER52)</f>
        <v>0</v>
      </c>
      <c r="DP46" s="171">
        <f>SUMIF('IS(M)'!$M$11:$ER$11,DP$7,'IS(M)'!$M52:$ER52)</f>
        <v>0</v>
      </c>
      <c r="DQ46" s="171">
        <f>SUMIF('IS(M)'!$M$11:$ER$11,DQ$7,'IS(M)'!$M52:$ER52)</f>
        <v>0</v>
      </c>
      <c r="DR46" s="171">
        <f>SUMIF('IS(M)'!$M$11:$ER$11,DR$7,'IS(M)'!$M52:$ER52)</f>
        <v>0</v>
      </c>
      <c r="DS46" s="171">
        <f>SUMIF('IS(M)'!$M$11:$ER$11,DS$7,'IS(M)'!$M52:$ER52)</f>
        <v>0</v>
      </c>
      <c r="DT46" s="171">
        <f>SUMIF('IS(M)'!$M$11:$ER$11,DT$7,'IS(M)'!$M52:$ER52)</f>
        <v>0</v>
      </c>
      <c r="DU46" s="171">
        <f>SUMIF('IS(M)'!$M$11:$ER$11,DU$7,'IS(M)'!$M52:$ER52)</f>
        <v>0</v>
      </c>
      <c r="DV46" s="171">
        <f>SUMIF('IS(M)'!$M$11:$ER$11,DV$7,'IS(M)'!$M52:$ER52)</f>
        <v>0</v>
      </c>
      <c r="DW46" s="171">
        <f>SUMIF('IS(M)'!$M$11:$ER$11,DW$7,'IS(M)'!$M52:$ER52)</f>
        <v>0</v>
      </c>
    </row>
    <row r="47" spans="2:127" ht="11.25" customHeight="1">
      <c r="B47" s="218"/>
      <c r="C47" s="163"/>
      <c r="D47" s="169" t="str">
        <f>'CF(M)'!D47</f>
        <v>V.A.T대출 이자비용</v>
      </c>
      <c r="I47" s="146"/>
      <c r="J47" s="13"/>
      <c r="K47" s="171">
        <f t="shared" si="12"/>
        <v>144637.53334348497</v>
      </c>
      <c r="L47" s="98"/>
      <c r="M47" s="171">
        <f>SUMIF('IS(M)'!$M$11:$ER$11,M$7,'IS(M)'!$M53:$ER53)</f>
        <v>0</v>
      </c>
      <c r="N47" s="171">
        <f>SUMIF('IS(M)'!$M$11:$ER$11,N$7,'IS(M)'!$M53:$ER53)</f>
        <v>144637.53334348497</v>
      </c>
      <c r="O47" s="171">
        <f>SUMIF('IS(M)'!$M$11:$ER$11,O$7,'IS(M)'!$M53:$ER53)</f>
        <v>0</v>
      </c>
      <c r="P47" s="171">
        <f>SUMIF('IS(M)'!$M$11:$ER$11,P$7,'IS(M)'!$M53:$ER53)</f>
        <v>0</v>
      </c>
      <c r="Q47" s="171">
        <f>SUMIF('IS(M)'!$M$11:$ER$11,Q$7,'IS(M)'!$M53:$ER53)</f>
        <v>0</v>
      </c>
      <c r="R47" s="171">
        <f>SUMIF('IS(M)'!$M$11:$ER$11,R$7,'IS(M)'!$M53:$ER53)</f>
        <v>0</v>
      </c>
      <c r="S47" s="171">
        <f>SUMIF('IS(M)'!$M$11:$ER$11,S$7,'IS(M)'!$M53:$ER53)</f>
        <v>0</v>
      </c>
      <c r="T47" s="171">
        <f>SUMIF('IS(M)'!$M$11:$ER$11,T$7,'IS(M)'!$M53:$ER53)</f>
        <v>0</v>
      </c>
      <c r="U47" s="171">
        <f>SUMIF('IS(M)'!$M$11:$ER$11,U$7,'IS(M)'!$M53:$ER53)</f>
        <v>0</v>
      </c>
      <c r="V47" s="171">
        <f>SUMIF('IS(M)'!$M$11:$ER$11,V$7,'IS(M)'!$M53:$ER53)</f>
        <v>0</v>
      </c>
      <c r="W47" s="171">
        <f>SUMIF('IS(M)'!$M$11:$ER$11,W$7,'IS(M)'!$M53:$ER53)</f>
        <v>0</v>
      </c>
      <c r="X47" s="171">
        <f>SUMIF('IS(M)'!$M$11:$ER$11,X$7,'IS(M)'!$M53:$ER53)</f>
        <v>0</v>
      </c>
      <c r="Y47" s="171">
        <f>SUMIF('IS(M)'!$M$11:$ER$11,Y$7,'IS(M)'!$M53:$ER53)</f>
        <v>0</v>
      </c>
      <c r="Z47" s="171">
        <f>SUMIF('IS(M)'!$M$11:$ER$11,Z$7,'IS(M)'!$M53:$ER53)</f>
        <v>0</v>
      </c>
      <c r="AA47" s="171">
        <f>SUMIF('IS(M)'!$M$11:$ER$11,AA$7,'IS(M)'!$M53:$ER53)</f>
        <v>0</v>
      </c>
      <c r="AB47" s="171">
        <f>SUMIF('IS(M)'!$M$11:$ER$11,AB$7,'IS(M)'!$M53:$ER53)</f>
        <v>0</v>
      </c>
      <c r="AC47" s="171">
        <f>SUMIF('IS(M)'!$M$11:$ER$11,AC$7,'IS(M)'!$M53:$ER53)</f>
        <v>0</v>
      </c>
      <c r="AD47" s="171">
        <f>SUMIF('IS(M)'!$M$11:$ER$11,AD$7,'IS(M)'!$M53:$ER53)</f>
        <v>0</v>
      </c>
      <c r="AE47" s="171">
        <f>SUMIF('IS(M)'!$M$11:$ER$11,AE$7,'IS(M)'!$M53:$ER53)</f>
        <v>0</v>
      </c>
      <c r="AF47" s="171">
        <f>SUMIF('IS(M)'!$M$11:$ER$11,AF$7,'IS(M)'!$M53:$ER53)</f>
        <v>0</v>
      </c>
      <c r="AG47" s="171">
        <f>SUMIF('IS(M)'!$M$11:$ER$11,AG$7,'IS(M)'!$M53:$ER53)</f>
        <v>0</v>
      </c>
      <c r="AH47" s="171">
        <f>SUMIF('IS(M)'!$M$11:$ER$11,AH$7,'IS(M)'!$M53:$ER53)</f>
        <v>0</v>
      </c>
      <c r="AI47" s="171">
        <f>SUMIF('IS(M)'!$M$11:$ER$11,AI$7,'IS(M)'!$M53:$ER53)</f>
        <v>0</v>
      </c>
      <c r="AJ47" s="171">
        <f>SUMIF('IS(M)'!$M$11:$ER$11,AJ$7,'IS(M)'!$M53:$ER53)</f>
        <v>0</v>
      </c>
      <c r="AK47" s="171">
        <f>SUMIF('IS(M)'!$M$11:$ER$11,AK$7,'IS(M)'!$M53:$ER53)</f>
        <v>0</v>
      </c>
      <c r="AL47" s="171">
        <f>SUMIF('IS(M)'!$M$11:$ER$11,AL$7,'IS(M)'!$M53:$ER53)</f>
        <v>0</v>
      </c>
      <c r="AM47" s="171">
        <f>SUMIF('IS(M)'!$M$11:$ER$11,AM$7,'IS(M)'!$M53:$ER53)</f>
        <v>0</v>
      </c>
      <c r="AN47" s="171">
        <f>SUMIF('IS(M)'!$M$11:$ER$11,AN$7,'IS(M)'!$M53:$ER53)</f>
        <v>0</v>
      </c>
      <c r="AO47" s="171">
        <f>SUMIF('IS(M)'!$M$11:$ER$11,AO$7,'IS(M)'!$M53:$ER53)</f>
        <v>0</v>
      </c>
      <c r="AP47" s="171">
        <f>SUMIF('IS(M)'!$M$11:$ER$11,AP$7,'IS(M)'!$M53:$ER53)</f>
        <v>0</v>
      </c>
      <c r="AQ47" s="171">
        <f>SUMIF('IS(M)'!$M$11:$ER$11,AQ$7,'IS(M)'!$M53:$ER53)</f>
        <v>0</v>
      </c>
      <c r="AR47" s="171">
        <f>SUMIF('IS(M)'!$M$11:$ER$11,AR$7,'IS(M)'!$M53:$ER53)</f>
        <v>0</v>
      </c>
      <c r="AS47" s="171">
        <f>SUMIF('IS(M)'!$M$11:$ER$11,AS$7,'IS(M)'!$M53:$ER53)</f>
        <v>0</v>
      </c>
      <c r="AT47" s="171">
        <f>SUMIF('IS(M)'!$M$11:$ER$11,AT$7,'IS(M)'!$M53:$ER53)</f>
        <v>0</v>
      </c>
      <c r="AU47" s="171">
        <f>SUMIF('IS(M)'!$M$11:$ER$11,AU$7,'IS(M)'!$M53:$ER53)</f>
        <v>0</v>
      </c>
      <c r="AV47" s="171">
        <f>SUMIF('IS(M)'!$M$11:$ER$11,AV$7,'IS(M)'!$M53:$ER53)</f>
        <v>0</v>
      </c>
      <c r="AW47" s="171">
        <f>SUMIF('IS(M)'!$M$11:$ER$11,AW$7,'IS(M)'!$M53:$ER53)</f>
        <v>0</v>
      </c>
      <c r="AX47" s="171">
        <f>SUMIF('IS(M)'!$M$11:$ER$11,AX$7,'IS(M)'!$M53:$ER53)</f>
        <v>0</v>
      </c>
      <c r="AY47" s="171">
        <f>SUMIF('IS(M)'!$M$11:$ER$11,AY$7,'IS(M)'!$M53:$ER53)</f>
        <v>0</v>
      </c>
      <c r="AZ47" s="171">
        <f>SUMIF('IS(M)'!$M$11:$ER$11,AZ$7,'IS(M)'!$M53:$ER53)</f>
        <v>0</v>
      </c>
      <c r="BA47" s="171">
        <f>SUMIF('IS(M)'!$M$11:$ER$11,BA$7,'IS(M)'!$M53:$ER53)</f>
        <v>0</v>
      </c>
      <c r="BB47" s="171">
        <f>SUMIF('IS(M)'!$M$11:$ER$11,BB$7,'IS(M)'!$M53:$ER53)</f>
        <v>0</v>
      </c>
      <c r="BC47" s="171">
        <f>SUMIF('IS(M)'!$M$11:$ER$11,BC$7,'IS(M)'!$M53:$ER53)</f>
        <v>0</v>
      </c>
      <c r="BD47" s="171">
        <f>SUMIF('IS(M)'!$M$11:$ER$11,BD$7,'IS(M)'!$M53:$ER53)</f>
        <v>0</v>
      </c>
      <c r="BE47" s="171">
        <f>SUMIF('IS(M)'!$M$11:$ER$11,BE$7,'IS(M)'!$M53:$ER53)</f>
        <v>0</v>
      </c>
      <c r="BF47" s="171">
        <f>SUMIF('IS(M)'!$M$11:$ER$11,BF$7,'IS(M)'!$M53:$ER53)</f>
        <v>0</v>
      </c>
      <c r="BG47" s="171">
        <f>SUMIF('IS(M)'!$M$11:$ER$11,BG$7,'IS(M)'!$M53:$ER53)</f>
        <v>0</v>
      </c>
      <c r="BH47" s="171">
        <f>SUMIF('IS(M)'!$M$11:$ER$11,BH$7,'IS(M)'!$M53:$ER53)</f>
        <v>0</v>
      </c>
      <c r="BI47" s="171">
        <f>SUMIF('IS(M)'!$M$11:$ER$11,BI$7,'IS(M)'!$M53:$ER53)</f>
        <v>0</v>
      </c>
      <c r="BJ47" s="171">
        <f>SUMIF('IS(M)'!$M$11:$ER$11,BJ$7,'IS(M)'!$M53:$ER53)</f>
        <v>0</v>
      </c>
      <c r="BK47" s="171">
        <f>SUMIF('IS(M)'!$M$11:$ER$11,BK$7,'IS(M)'!$M53:$ER53)</f>
        <v>0</v>
      </c>
      <c r="BL47" s="171">
        <f>SUMIF('IS(M)'!$M$11:$ER$11,BL$7,'IS(M)'!$M53:$ER53)</f>
        <v>0</v>
      </c>
      <c r="BM47" s="171">
        <f>SUMIF('IS(M)'!$M$11:$ER$11,BM$7,'IS(M)'!$M53:$ER53)</f>
        <v>0</v>
      </c>
      <c r="BN47" s="171">
        <f>SUMIF('IS(M)'!$M$11:$ER$11,BN$7,'IS(M)'!$M53:$ER53)</f>
        <v>0</v>
      </c>
      <c r="BO47" s="171">
        <f>SUMIF('IS(M)'!$M$11:$ER$11,BO$7,'IS(M)'!$M53:$ER53)</f>
        <v>0</v>
      </c>
      <c r="BP47" s="171">
        <f>SUMIF('IS(M)'!$M$11:$ER$11,BP$7,'IS(M)'!$M53:$ER53)</f>
        <v>0</v>
      </c>
      <c r="BQ47" s="171">
        <f>SUMIF('IS(M)'!$M$11:$ER$11,BQ$7,'IS(M)'!$M53:$ER53)</f>
        <v>0</v>
      </c>
      <c r="BR47" s="171">
        <f>SUMIF('IS(M)'!$M$11:$ER$11,BR$7,'IS(M)'!$M53:$ER53)</f>
        <v>0</v>
      </c>
      <c r="BS47" s="171">
        <f>SUMIF('IS(M)'!$M$11:$ER$11,BS$7,'IS(M)'!$M53:$ER53)</f>
        <v>0</v>
      </c>
      <c r="BT47" s="171">
        <f>SUMIF('IS(M)'!$M$11:$ER$11,BT$7,'IS(M)'!$M53:$ER53)</f>
        <v>0</v>
      </c>
      <c r="BU47" s="171">
        <f>SUMIF('IS(M)'!$M$11:$ER$11,BU$7,'IS(M)'!$M53:$ER53)</f>
        <v>0</v>
      </c>
      <c r="BV47" s="171">
        <f>SUMIF('IS(M)'!$M$11:$ER$11,BV$7,'IS(M)'!$M53:$ER53)</f>
        <v>0</v>
      </c>
      <c r="BW47" s="171">
        <f>SUMIF('IS(M)'!$M$11:$ER$11,BW$7,'IS(M)'!$M53:$ER53)</f>
        <v>0</v>
      </c>
      <c r="BX47" s="171">
        <f>SUMIF('IS(M)'!$M$11:$ER$11,BX$7,'IS(M)'!$M53:$ER53)</f>
        <v>0</v>
      </c>
      <c r="BY47" s="171">
        <f>SUMIF('IS(M)'!$M$11:$ER$11,BY$7,'IS(M)'!$M53:$ER53)</f>
        <v>0</v>
      </c>
      <c r="BZ47" s="171">
        <f>SUMIF('IS(M)'!$M$11:$ER$11,BZ$7,'IS(M)'!$M53:$ER53)</f>
        <v>0</v>
      </c>
      <c r="CA47" s="171">
        <f>SUMIF('IS(M)'!$M$11:$ER$11,CA$7,'IS(M)'!$M53:$ER53)</f>
        <v>0</v>
      </c>
      <c r="CB47" s="171">
        <f>SUMIF('IS(M)'!$M$11:$ER$11,CB$7,'IS(M)'!$M53:$ER53)</f>
        <v>0</v>
      </c>
      <c r="CC47" s="171">
        <f>SUMIF('IS(M)'!$M$11:$ER$11,CC$7,'IS(M)'!$M53:$ER53)</f>
        <v>0</v>
      </c>
      <c r="CD47" s="171">
        <f>SUMIF('IS(M)'!$M$11:$ER$11,CD$7,'IS(M)'!$M53:$ER53)</f>
        <v>0</v>
      </c>
      <c r="CE47" s="171">
        <f>SUMIF('IS(M)'!$M$11:$ER$11,CE$7,'IS(M)'!$M53:$ER53)</f>
        <v>0</v>
      </c>
      <c r="CF47" s="171">
        <f>SUMIF('IS(M)'!$M$11:$ER$11,CF$7,'IS(M)'!$M53:$ER53)</f>
        <v>0</v>
      </c>
      <c r="CG47" s="171">
        <f>SUMIF('IS(M)'!$M$11:$ER$11,CG$7,'IS(M)'!$M53:$ER53)</f>
        <v>0</v>
      </c>
      <c r="CH47" s="171">
        <f>SUMIF('IS(M)'!$M$11:$ER$11,CH$7,'IS(M)'!$M53:$ER53)</f>
        <v>0</v>
      </c>
      <c r="CI47" s="171">
        <f>SUMIF('IS(M)'!$M$11:$ER$11,CI$7,'IS(M)'!$M53:$ER53)</f>
        <v>0</v>
      </c>
      <c r="CJ47" s="171">
        <f>SUMIF('IS(M)'!$M$11:$ER$11,CJ$7,'IS(M)'!$M53:$ER53)</f>
        <v>0</v>
      </c>
      <c r="CK47" s="171">
        <f>SUMIF('IS(M)'!$M$11:$ER$11,CK$7,'IS(M)'!$M53:$ER53)</f>
        <v>0</v>
      </c>
      <c r="CL47" s="171">
        <f>SUMIF('IS(M)'!$M$11:$ER$11,CL$7,'IS(M)'!$M53:$ER53)</f>
        <v>0</v>
      </c>
      <c r="CM47" s="171">
        <f>SUMIF('IS(M)'!$M$11:$ER$11,CM$7,'IS(M)'!$M53:$ER53)</f>
        <v>0</v>
      </c>
      <c r="CN47" s="171">
        <f>SUMIF('IS(M)'!$M$11:$ER$11,CN$7,'IS(M)'!$M53:$ER53)</f>
        <v>0</v>
      </c>
      <c r="CO47" s="171">
        <f>SUMIF('IS(M)'!$M$11:$ER$11,CO$7,'IS(M)'!$M53:$ER53)</f>
        <v>0</v>
      </c>
      <c r="CP47" s="171">
        <f>SUMIF('IS(M)'!$M$11:$ER$11,CP$7,'IS(M)'!$M53:$ER53)</f>
        <v>0</v>
      </c>
      <c r="CQ47" s="171">
        <f>SUMIF('IS(M)'!$M$11:$ER$11,CQ$7,'IS(M)'!$M53:$ER53)</f>
        <v>0</v>
      </c>
      <c r="CR47" s="171">
        <f>SUMIF('IS(M)'!$M$11:$ER$11,CR$7,'IS(M)'!$M53:$ER53)</f>
        <v>0</v>
      </c>
      <c r="CS47" s="171">
        <f>SUMIF('IS(M)'!$M$11:$ER$11,CS$7,'IS(M)'!$M53:$ER53)</f>
        <v>0</v>
      </c>
      <c r="CT47" s="171">
        <f>SUMIF('IS(M)'!$M$11:$ER$11,CT$7,'IS(M)'!$M53:$ER53)</f>
        <v>0</v>
      </c>
      <c r="CU47" s="171">
        <f>SUMIF('IS(M)'!$M$11:$ER$11,CU$7,'IS(M)'!$M53:$ER53)</f>
        <v>0</v>
      </c>
      <c r="CV47" s="171">
        <f>SUMIF('IS(M)'!$M$11:$ER$11,CV$7,'IS(M)'!$M53:$ER53)</f>
        <v>0</v>
      </c>
      <c r="CW47" s="171">
        <f>SUMIF('IS(M)'!$M$11:$ER$11,CW$7,'IS(M)'!$M53:$ER53)</f>
        <v>0</v>
      </c>
      <c r="CX47" s="171">
        <f>SUMIF('IS(M)'!$M$11:$ER$11,CX$7,'IS(M)'!$M53:$ER53)</f>
        <v>0</v>
      </c>
      <c r="CY47" s="171">
        <f>SUMIF('IS(M)'!$M$11:$ER$11,CY$7,'IS(M)'!$M53:$ER53)</f>
        <v>0</v>
      </c>
      <c r="CZ47" s="171">
        <f>SUMIF('IS(M)'!$M$11:$ER$11,CZ$7,'IS(M)'!$M53:$ER53)</f>
        <v>0</v>
      </c>
      <c r="DA47" s="171">
        <f>SUMIF('IS(M)'!$M$11:$ER$11,DA$7,'IS(M)'!$M53:$ER53)</f>
        <v>0</v>
      </c>
      <c r="DB47" s="171">
        <f>SUMIF('IS(M)'!$M$11:$ER$11,DB$7,'IS(M)'!$M53:$ER53)</f>
        <v>0</v>
      </c>
      <c r="DC47" s="171">
        <f>SUMIF('IS(M)'!$M$11:$ER$11,DC$7,'IS(M)'!$M53:$ER53)</f>
        <v>0</v>
      </c>
      <c r="DD47" s="171">
        <f>SUMIF('IS(M)'!$M$11:$ER$11,DD$7,'IS(M)'!$M53:$ER53)</f>
        <v>0</v>
      </c>
      <c r="DE47" s="171">
        <f>SUMIF('IS(M)'!$M$11:$ER$11,DE$7,'IS(M)'!$M53:$ER53)</f>
        <v>0</v>
      </c>
      <c r="DF47" s="171">
        <f>SUMIF('IS(M)'!$M$11:$ER$11,DF$7,'IS(M)'!$M53:$ER53)</f>
        <v>0</v>
      </c>
      <c r="DG47" s="171">
        <f>SUMIF('IS(M)'!$M$11:$ER$11,DG$7,'IS(M)'!$M53:$ER53)</f>
        <v>0</v>
      </c>
      <c r="DH47" s="171">
        <f>SUMIF('IS(M)'!$M$11:$ER$11,DH$7,'IS(M)'!$M53:$ER53)</f>
        <v>0</v>
      </c>
      <c r="DI47" s="171">
        <f>SUMIF('IS(M)'!$M$11:$ER$11,DI$7,'IS(M)'!$M53:$ER53)</f>
        <v>0</v>
      </c>
      <c r="DJ47" s="171">
        <f>SUMIF('IS(M)'!$M$11:$ER$11,DJ$7,'IS(M)'!$M53:$ER53)</f>
        <v>0</v>
      </c>
      <c r="DK47" s="171">
        <f>SUMIF('IS(M)'!$M$11:$ER$11,DK$7,'IS(M)'!$M53:$ER53)</f>
        <v>0</v>
      </c>
      <c r="DL47" s="171">
        <f>SUMIF('IS(M)'!$M$11:$ER$11,DL$7,'IS(M)'!$M53:$ER53)</f>
        <v>0</v>
      </c>
      <c r="DM47" s="171">
        <f>SUMIF('IS(M)'!$M$11:$ER$11,DM$7,'IS(M)'!$M53:$ER53)</f>
        <v>0</v>
      </c>
      <c r="DN47" s="171">
        <f>SUMIF('IS(M)'!$M$11:$ER$11,DN$7,'IS(M)'!$M53:$ER53)</f>
        <v>0</v>
      </c>
      <c r="DO47" s="171">
        <f>SUMIF('IS(M)'!$M$11:$ER$11,DO$7,'IS(M)'!$M53:$ER53)</f>
        <v>0</v>
      </c>
      <c r="DP47" s="171">
        <f>SUMIF('IS(M)'!$M$11:$ER$11,DP$7,'IS(M)'!$M53:$ER53)</f>
        <v>0</v>
      </c>
      <c r="DQ47" s="171">
        <f>SUMIF('IS(M)'!$M$11:$ER$11,DQ$7,'IS(M)'!$M53:$ER53)</f>
        <v>0</v>
      </c>
      <c r="DR47" s="171">
        <f>SUMIF('IS(M)'!$M$11:$ER$11,DR$7,'IS(M)'!$M53:$ER53)</f>
        <v>0</v>
      </c>
      <c r="DS47" s="171">
        <f>SUMIF('IS(M)'!$M$11:$ER$11,DS$7,'IS(M)'!$M53:$ER53)</f>
        <v>0</v>
      </c>
      <c r="DT47" s="171">
        <f>SUMIF('IS(M)'!$M$11:$ER$11,DT$7,'IS(M)'!$M53:$ER53)</f>
        <v>0</v>
      </c>
      <c r="DU47" s="171">
        <f>SUMIF('IS(M)'!$M$11:$ER$11,DU$7,'IS(M)'!$M53:$ER53)</f>
        <v>0</v>
      </c>
      <c r="DV47" s="171">
        <f>SUMIF('IS(M)'!$M$11:$ER$11,DV$7,'IS(M)'!$M53:$ER53)</f>
        <v>0</v>
      </c>
      <c r="DW47" s="171">
        <f>SUMIF('IS(M)'!$M$11:$ER$11,DW$7,'IS(M)'!$M53:$ER53)</f>
        <v>0</v>
      </c>
    </row>
    <row r="48" spans="2:127" ht="11.25" customHeight="1">
      <c r="B48" s="218"/>
      <c r="C48" s="163"/>
      <c r="D48" s="169" t="s">
        <v>615</v>
      </c>
      <c r="I48" s="146"/>
      <c r="J48" s="13"/>
      <c r="K48" s="171">
        <f t="shared" si="12"/>
        <v>0</v>
      </c>
      <c r="L48" s="98"/>
      <c r="M48" s="171">
        <f>SUMIF('IS(M)'!$M$11:$ER$11,M$7,'IS(M)'!$M54:$ER54)</f>
        <v>0</v>
      </c>
      <c r="N48" s="171">
        <f>SUMIF('IS(M)'!$M$11:$ER$11,N$7,'IS(M)'!$M54:$ER54)</f>
        <v>0</v>
      </c>
      <c r="O48" s="171">
        <f>SUMIF('IS(M)'!$M$11:$ER$11,O$7,'IS(M)'!$M54:$ER54)</f>
        <v>0</v>
      </c>
      <c r="P48" s="171">
        <f>SUMIF('IS(M)'!$M$11:$ER$11,P$7,'IS(M)'!$M54:$ER54)</f>
        <v>0</v>
      </c>
      <c r="Q48" s="171">
        <f>SUMIF('IS(M)'!$M$11:$ER$11,Q$7,'IS(M)'!$M54:$ER54)</f>
        <v>0</v>
      </c>
      <c r="R48" s="171">
        <f>SUMIF('IS(M)'!$M$11:$ER$11,R$7,'IS(M)'!$M54:$ER54)</f>
        <v>0</v>
      </c>
      <c r="S48" s="171">
        <f>SUMIF('IS(M)'!$M$11:$ER$11,S$7,'IS(M)'!$M54:$ER54)</f>
        <v>0</v>
      </c>
      <c r="T48" s="171">
        <f>SUMIF('IS(M)'!$M$11:$ER$11,T$7,'IS(M)'!$M54:$ER54)</f>
        <v>0</v>
      </c>
      <c r="U48" s="171">
        <f>SUMIF('IS(M)'!$M$11:$ER$11,U$7,'IS(M)'!$M54:$ER54)</f>
        <v>0</v>
      </c>
      <c r="V48" s="171">
        <f>SUMIF('IS(M)'!$M$11:$ER$11,V$7,'IS(M)'!$M54:$ER54)</f>
        <v>0</v>
      </c>
      <c r="W48" s="171">
        <f>SUMIF('IS(M)'!$M$11:$ER$11,W$7,'IS(M)'!$M54:$ER54)</f>
        <v>0</v>
      </c>
      <c r="X48" s="171">
        <f>SUMIF('IS(M)'!$M$11:$ER$11,X$7,'IS(M)'!$M54:$ER54)</f>
        <v>0</v>
      </c>
      <c r="Y48" s="171">
        <f>SUMIF('IS(M)'!$M$11:$ER$11,Y$7,'IS(M)'!$M54:$ER54)</f>
        <v>0</v>
      </c>
      <c r="Z48" s="171">
        <f>SUMIF('IS(M)'!$M$11:$ER$11,Z$7,'IS(M)'!$M54:$ER54)</f>
        <v>0</v>
      </c>
      <c r="AA48" s="171">
        <f>SUMIF('IS(M)'!$M$11:$ER$11,AA$7,'IS(M)'!$M54:$ER54)</f>
        <v>0</v>
      </c>
      <c r="AB48" s="171">
        <f>SUMIF('IS(M)'!$M$11:$ER$11,AB$7,'IS(M)'!$M54:$ER54)</f>
        <v>0</v>
      </c>
      <c r="AC48" s="171">
        <f>SUMIF('IS(M)'!$M$11:$ER$11,AC$7,'IS(M)'!$M54:$ER54)</f>
        <v>0</v>
      </c>
      <c r="AD48" s="171">
        <f>SUMIF('IS(M)'!$M$11:$ER$11,AD$7,'IS(M)'!$M54:$ER54)</f>
        <v>0</v>
      </c>
      <c r="AE48" s="171">
        <f>SUMIF('IS(M)'!$M$11:$ER$11,AE$7,'IS(M)'!$M54:$ER54)</f>
        <v>0</v>
      </c>
      <c r="AF48" s="171">
        <f>SUMIF('IS(M)'!$M$11:$ER$11,AF$7,'IS(M)'!$M54:$ER54)</f>
        <v>0</v>
      </c>
      <c r="AG48" s="171">
        <f>SUMIF('IS(M)'!$M$11:$ER$11,AG$7,'IS(M)'!$M54:$ER54)</f>
        <v>0</v>
      </c>
      <c r="AH48" s="171">
        <f>SUMIF('IS(M)'!$M$11:$ER$11,AH$7,'IS(M)'!$M54:$ER54)</f>
        <v>0</v>
      </c>
      <c r="AI48" s="171">
        <f>SUMIF('IS(M)'!$M$11:$ER$11,AI$7,'IS(M)'!$M54:$ER54)</f>
        <v>0</v>
      </c>
      <c r="AJ48" s="171">
        <f>SUMIF('IS(M)'!$M$11:$ER$11,AJ$7,'IS(M)'!$M54:$ER54)</f>
        <v>0</v>
      </c>
      <c r="AK48" s="171">
        <f>SUMIF('IS(M)'!$M$11:$ER$11,AK$7,'IS(M)'!$M54:$ER54)</f>
        <v>0</v>
      </c>
      <c r="AL48" s="171">
        <f>SUMIF('IS(M)'!$M$11:$ER$11,AL$7,'IS(M)'!$M54:$ER54)</f>
        <v>0</v>
      </c>
      <c r="AM48" s="171">
        <f>SUMIF('IS(M)'!$M$11:$ER$11,AM$7,'IS(M)'!$M54:$ER54)</f>
        <v>0</v>
      </c>
      <c r="AN48" s="171">
        <f>SUMIF('IS(M)'!$M$11:$ER$11,AN$7,'IS(M)'!$M54:$ER54)</f>
        <v>0</v>
      </c>
      <c r="AO48" s="171">
        <f>SUMIF('IS(M)'!$M$11:$ER$11,AO$7,'IS(M)'!$M54:$ER54)</f>
        <v>0</v>
      </c>
      <c r="AP48" s="171">
        <f>SUMIF('IS(M)'!$M$11:$ER$11,AP$7,'IS(M)'!$M54:$ER54)</f>
        <v>0</v>
      </c>
      <c r="AQ48" s="171">
        <f>SUMIF('IS(M)'!$M$11:$ER$11,AQ$7,'IS(M)'!$M54:$ER54)</f>
        <v>0</v>
      </c>
      <c r="AR48" s="171">
        <f>SUMIF('IS(M)'!$M$11:$ER$11,AR$7,'IS(M)'!$M54:$ER54)</f>
        <v>0</v>
      </c>
      <c r="AS48" s="171">
        <f>SUMIF('IS(M)'!$M$11:$ER$11,AS$7,'IS(M)'!$M54:$ER54)</f>
        <v>0</v>
      </c>
      <c r="AT48" s="171">
        <f>SUMIF('IS(M)'!$M$11:$ER$11,AT$7,'IS(M)'!$M54:$ER54)</f>
        <v>0</v>
      </c>
      <c r="AU48" s="171">
        <f>SUMIF('IS(M)'!$M$11:$ER$11,AU$7,'IS(M)'!$M54:$ER54)</f>
        <v>0</v>
      </c>
      <c r="AV48" s="171">
        <f>SUMIF('IS(M)'!$M$11:$ER$11,AV$7,'IS(M)'!$M54:$ER54)</f>
        <v>0</v>
      </c>
      <c r="AW48" s="171">
        <f>SUMIF('IS(M)'!$M$11:$ER$11,AW$7,'IS(M)'!$M54:$ER54)</f>
        <v>0</v>
      </c>
      <c r="AX48" s="171">
        <f>SUMIF('IS(M)'!$M$11:$ER$11,AX$7,'IS(M)'!$M54:$ER54)</f>
        <v>0</v>
      </c>
      <c r="AY48" s="171">
        <f>SUMIF('IS(M)'!$M$11:$ER$11,AY$7,'IS(M)'!$M54:$ER54)</f>
        <v>0</v>
      </c>
      <c r="AZ48" s="171">
        <f>SUMIF('IS(M)'!$M$11:$ER$11,AZ$7,'IS(M)'!$M54:$ER54)</f>
        <v>0</v>
      </c>
      <c r="BA48" s="171">
        <f>SUMIF('IS(M)'!$M$11:$ER$11,BA$7,'IS(M)'!$M54:$ER54)</f>
        <v>0</v>
      </c>
      <c r="BB48" s="171">
        <f>SUMIF('IS(M)'!$M$11:$ER$11,BB$7,'IS(M)'!$M54:$ER54)</f>
        <v>0</v>
      </c>
      <c r="BC48" s="171">
        <f>SUMIF('IS(M)'!$M$11:$ER$11,BC$7,'IS(M)'!$M54:$ER54)</f>
        <v>0</v>
      </c>
      <c r="BD48" s="171">
        <f>SUMIF('IS(M)'!$M$11:$ER$11,BD$7,'IS(M)'!$M54:$ER54)</f>
        <v>0</v>
      </c>
      <c r="BE48" s="171">
        <f>SUMIF('IS(M)'!$M$11:$ER$11,BE$7,'IS(M)'!$M54:$ER54)</f>
        <v>0</v>
      </c>
      <c r="BF48" s="171">
        <f>SUMIF('IS(M)'!$M$11:$ER$11,BF$7,'IS(M)'!$M54:$ER54)</f>
        <v>0</v>
      </c>
      <c r="BG48" s="171">
        <f>SUMIF('IS(M)'!$M$11:$ER$11,BG$7,'IS(M)'!$M54:$ER54)</f>
        <v>0</v>
      </c>
      <c r="BH48" s="171">
        <f>SUMIF('IS(M)'!$M$11:$ER$11,BH$7,'IS(M)'!$M54:$ER54)</f>
        <v>0</v>
      </c>
      <c r="BI48" s="171">
        <f>SUMIF('IS(M)'!$M$11:$ER$11,BI$7,'IS(M)'!$M54:$ER54)</f>
        <v>0</v>
      </c>
      <c r="BJ48" s="171">
        <f>SUMIF('IS(M)'!$M$11:$ER$11,BJ$7,'IS(M)'!$M54:$ER54)</f>
        <v>0</v>
      </c>
      <c r="BK48" s="171">
        <f>SUMIF('IS(M)'!$M$11:$ER$11,BK$7,'IS(M)'!$M54:$ER54)</f>
        <v>0</v>
      </c>
      <c r="BL48" s="171">
        <f>SUMIF('IS(M)'!$M$11:$ER$11,BL$7,'IS(M)'!$M54:$ER54)</f>
        <v>0</v>
      </c>
      <c r="BM48" s="171">
        <f>SUMIF('IS(M)'!$M$11:$ER$11,BM$7,'IS(M)'!$M54:$ER54)</f>
        <v>0</v>
      </c>
      <c r="BN48" s="171">
        <f>SUMIF('IS(M)'!$M$11:$ER$11,BN$7,'IS(M)'!$M54:$ER54)</f>
        <v>0</v>
      </c>
      <c r="BO48" s="171">
        <f>SUMIF('IS(M)'!$M$11:$ER$11,BO$7,'IS(M)'!$M54:$ER54)</f>
        <v>0</v>
      </c>
      <c r="BP48" s="171">
        <f>SUMIF('IS(M)'!$M$11:$ER$11,BP$7,'IS(M)'!$M54:$ER54)</f>
        <v>0</v>
      </c>
      <c r="BQ48" s="171">
        <f>SUMIF('IS(M)'!$M$11:$ER$11,BQ$7,'IS(M)'!$M54:$ER54)</f>
        <v>0</v>
      </c>
      <c r="BR48" s="171">
        <f>SUMIF('IS(M)'!$M$11:$ER$11,BR$7,'IS(M)'!$M54:$ER54)</f>
        <v>0</v>
      </c>
      <c r="BS48" s="171">
        <f>SUMIF('IS(M)'!$M$11:$ER$11,BS$7,'IS(M)'!$M54:$ER54)</f>
        <v>0</v>
      </c>
      <c r="BT48" s="171">
        <f>SUMIF('IS(M)'!$M$11:$ER$11,BT$7,'IS(M)'!$M54:$ER54)</f>
        <v>0</v>
      </c>
      <c r="BU48" s="171">
        <f>SUMIF('IS(M)'!$M$11:$ER$11,BU$7,'IS(M)'!$M54:$ER54)</f>
        <v>0</v>
      </c>
      <c r="BV48" s="171">
        <f>SUMIF('IS(M)'!$M$11:$ER$11,BV$7,'IS(M)'!$M54:$ER54)</f>
        <v>0</v>
      </c>
      <c r="BW48" s="171">
        <f>SUMIF('IS(M)'!$M$11:$ER$11,BW$7,'IS(M)'!$M54:$ER54)</f>
        <v>0</v>
      </c>
      <c r="BX48" s="171">
        <f>SUMIF('IS(M)'!$M$11:$ER$11,BX$7,'IS(M)'!$M54:$ER54)</f>
        <v>0</v>
      </c>
      <c r="BY48" s="171">
        <f>SUMIF('IS(M)'!$M$11:$ER$11,BY$7,'IS(M)'!$M54:$ER54)</f>
        <v>0</v>
      </c>
      <c r="BZ48" s="171">
        <f>SUMIF('IS(M)'!$M$11:$ER$11,BZ$7,'IS(M)'!$M54:$ER54)</f>
        <v>0</v>
      </c>
      <c r="CA48" s="171">
        <f>SUMIF('IS(M)'!$M$11:$ER$11,CA$7,'IS(M)'!$M54:$ER54)</f>
        <v>0</v>
      </c>
      <c r="CB48" s="171">
        <f>SUMIF('IS(M)'!$M$11:$ER$11,CB$7,'IS(M)'!$M54:$ER54)</f>
        <v>0</v>
      </c>
      <c r="CC48" s="171">
        <f>SUMIF('IS(M)'!$M$11:$ER$11,CC$7,'IS(M)'!$M54:$ER54)</f>
        <v>0</v>
      </c>
      <c r="CD48" s="171">
        <f>SUMIF('IS(M)'!$M$11:$ER$11,CD$7,'IS(M)'!$M54:$ER54)</f>
        <v>0</v>
      </c>
      <c r="CE48" s="171">
        <f>SUMIF('IS(M)'!$M$11:$ER$11,CE$7,'IS(M)'!$M54:$ER54)</f>
        <v>0</v>
      </c>
      <c r="CF48" s="171">
        <f>SUMIF('IS(M)'!$M$11:$ER$11,CF$7,'IS(M)'!$M54:$ER54)</f>
        <v>0</v>
      </c>
      <c r="CG48" s="171">
        <f>SUMIF('IS(M)'!$M$11:$ER$11,CG$7,'IS(M)'!$M54:$ER54)</f>
        <v>0</v>
      </c>
      <c r="CH48" s="171">
        <f>SUMIF('IS(M)'!$M$11:$ER$11,CH$7,'IS(M)'!$M54:$ER54)</f>
        <v>0</v>
      </c>
      <c r="CI48" s="171">
        <f>SUMIF('IS(M)'!$M$11:$ER$11,CI$7,'IS(M)'!$M54:$ER54)</f>
        <v>0</v>
      </c>
      <c r="CJ48" s="171">
        <f>SUMIF('IS(M)'!$M$11:$ER$11,CJ$7,'IS(M)'!$M54:$ER54)</f>
        <v>0</v>
      </c>
      <c r="CK48" s="171">
        <f>SUMIF('IS(M)'!$M$11:$ER$11,CK$7,'IS(M)'!$M54:$ER54)</f>
        <v>0</v>
      </c>
      <c r="CL48" s="171">
        <f>SUMIF('IS(M)'!$M$11:$ER$11,CL$7,'IS(M)'!$M54:$ER54)</f>
        <v>0</v>
      </c>
      <c r="CM48" s="171">
        <f>SUMIF('IS(M)'!$M$11:$ER$11,CM$7,'IS(M)'!$M54:$ER54)</f>
        <v>0</v>
      </c>
      <c r="CN48" s="171">
        <f>SUMIF('IS(M)'!$M$11:$ER$11,CN$7,'IS(M)'!$M54:$ER54)</f>
        <v>0</v>
      </c>
      <c r="CO48" s="171">
        <f>SUMIF('IS(M)'!$M$11:$ER$11,CO$7,'IS(M)'!$M54:$ER54)</f>
        <v>0</v>
      </c>
      <c r="CP48" s="171">
        <f>SUMIF('IS(M)'!$M$11:$ER$11,CP$7,'IS(M)'!$M54:$ER54)</f>
        <v>0</v>
      </c>
      <c r="CQ48" s="171">
        <f>SUMIF('IS(M)'!$M$11:$ER$11,CQ$7,'IS(M)'!$M54:$ER54)</f>
        <v>0</v>
      </c>
      <c r="CR48" s="171">
        <f>SUMIF('IS(M)'!$M$11:$ER$11,CR$7,'IS(M)'!$M54:$ER54)</f>
        <v>0</v>
      </c>
      <c r="CS48" s="171">
        <f>SUMIF('IS(M)'!$M$11:$ER$11,CS$7,'IS(M)'!$M54:$ER54)</f>
        <v>0</v>
      </c>
      <c r="CT48" s="171">
        <f>SUMIF('IS(M)'!$M$11:$ER$11,CT$7,'IS(M)'!$M54:$ER54)</f>
        <v>0</v>
      </c>
      <c r="CU48" s="171">
        <f>SUMIF('IS(M)'!$M$11:$ER$11,CU$7,'IS(M)'!$M54:$ER54)</f>
        <v>0</v>
      </c>
      <c r="CV48" s="171">
        <f>SUMIF('IS(M)'!$M$11:$ER$11,CV$7,'IS(M)'!$M54:$ER54)</f>
        <v>0</v>
      </c>
      <c r="CW48" s="171">
        <f>SUMIF('IS(M)'!$M$11:$ER$11,CW$7,'IS(M)'!$M54:$ER54)</f>
        <v>0</v>
      </c>
      <c r="CX48" s="171">
        <f>SUMIF('IS(M)'!$M$11:$ER$11,CX$7,'IS(M)'!$M54:$ER54)</f>
        <v>0</v>
      </c>
      <c r="CY48" s="171">
        <f>SUMIF('IS(M)'!$M$11:$ER$11,CY$7,'IS(M)'!$M54:$ER54)</f>
        <v>0</v>
      </c>
      <c r="CZ48" s="171">
        <f>SUMIF('IS(M)'!$M$11:$ER$11,CZ$7,'IS(M)'!$M54:$ER54)</f>
        <v>0</v>
      </c>
      <c r="DA48" s="171">
        <f>SUMIF('IS(M)'!$M$11:$ER$11,DA$7,'IS(M)'!$M54:$ER54)</f>
        <v>0</v>
      </c>
      <c r="DB48" s="171">
        <f>SUMIF('IS(M)'!$M$11:$ER$11,DB$7,'IS(M)'!$M54:$ER54)</f>
        <v>0</v>
      </c>
      <c r="DC48" s="171">
        <f>SUMIF('IS(M)'!$M$11:$ER$11,DC$7,'IS(M)'!$M54:$ER54)</f>
        <v>0</v>
      </c>
      <c r="DD48" s="171">
        <f>SUMIF('IS(M)'!$M$11:$ER$11,DD$7,'IS(M)'!$M54:$ER54)</f>
        <v>0</v>
      </c>
      <c r="DE48" s="171">
        <f>SUMIF('IS(M)'!$M$11:$ER$11,DE$7,'IS(M)'!$M54:$ER54)</f>
        <v>0</v>
      </c>
      <c r="DF48" s="171">
        <f>SUMIF('IS(M)'!$M$11:$ER$11,DF$7,'IS(M)'!$M54:$ER54)</f>
        <v>0</v>
      </c>
      <c r="DG48" s="171">
        <f>SUMIF('IS(M)'!$M$11:$ER$11,DG$7,'IS(M)'!$M54:$ER54)</f>
        <v>0</v>
      </c>
      <c r="DH48" s="171">
        <f>SUMIF('IS(M)'!$M$11:$ER$11,DH$7,'IS(M)'!$M54:$ER54)</f>
        <v>0</v>
      </c>
      <c r="DI48" s="171">
        <f>SUMIF('IS(M)'!$M$11:$ER$11,DI$7,'IS(M)'!$M54:$ER54)</f>
        <v>0</v>
      </c>
      <c r="DJ48" s="171">
        <f>SUMIF('IS(M)'!$M$11:$ER$11,DJ$7,'IS(M)'!$M54:$ER54)</f>
        <v>0</v>
      </c>
      <c r="DK48" s="171">
        <f>SUMIF('IS(M)'!$M$11:$ER$11,DK$7,'IS(M)'!$M54:$ER54)</f>
        <v>0</v>
      </c>
      <c r="DL48" s="171">
        <f>SUMIF('IS(M)'!$M$11:$ER$11,DL$7,'IS(M)'!$M54:$ER54)</f>
        <v>0</v>
      </c>
      <c r="DM48" s="171">
        <f>SUMIF('IS(M)'!$M$11:$ER$11,DM$7,'IS(M)'!$M54:$ER54)</f>
        <v>0</v>
      </c>
      <c r="DN48" s="171">
        <f>SUMIF('IS(M)'!$M$11:$ER$11,DN$7,'IS(M)'!$M54:$ER54)</f>
        <v>0</v>
      </c>
      <c r="DO48" s="171">
        <f>SUMIF('IS(M)'!$M$11:$ER$11,DO$7,'IS(M)'!$M54:$ER54)</f>
        <v>0</v>
      </c>
      <c r="DP48" s="171">
        <f>SUMIF('IS(M)'!$M$11:$ER$11,DP$7,'IS(M)'!$M54:$ER54)</f>
        <v>0</v>
      </c>
      <c r="DQ48" s="171">
        <f>SUMIF('IS(M)'!$M$11:$ER$11,DQ$7,'IS(M)'!$M54:$ER54)</f>
        <v>0</v>
      </c>
      <c r="DR48" s="171">
        <f>SUMIF('IS(M)'!$M$11:$ER$11,DR$7,'IS(M)'!$M54:$ER54)</f>
        <v>0</v>
      </c>
      <c r="DS48" s="171">
        <f>SUMIF('IS(M)'!$M$11:$ER$11,DS$7,'IS(M)'!$M54:$ER54)</f>
        <v>0</v>
      </c>
      <c r="DT48" s="171">
        <f>SUMIF('IS(M)'!$M$11:$ER$11,DT$7,'IS(M)'!$M54:$ER54)</f>
        <v>0</v>
      </c>
      <c r="DU48" s="171">
        <f>SUMIF('IS(M)'!$M$11:$ER$11,DU$7,'IS(M)'!$M54:$ER54)</f>
        <v>0</v>
      </c>
      <c r="DV48" s="171">
        <f>SUMIF('IS(M)'!$M$11:$ER$11,DV$7,'IS(M)'!$M54:$ER54)</f>
        <v>0</v>
      </c>
      <c r="DW48" s="171">
        <f>SUMIF('IS(M)'!$M$11:$ER$11,DW$7,'IS(M)'!$M54:$ER54)</f>
        <v>0</v>
      </c>
    </row>
    <row r="49" spans="2:127" ht="11.25" customHeight="1">
      <c r="B49" s="875" t="s">
        <v>536</v>
      </c>
      <c r="C49" s="876"/>
      <c r="D49" s="876"/>
      <c r="E49" s="876"/>
      <c r="F49" s="876"/>
      <c r="G49" s="876"/>
      <c r="H49" s="876"/>
      <c r="I49" s="877"/>
      <c r="J49" s="878"/>
      <c r="K49" s="897">
        <f ca="1">K11+K36</f>
        <v>114248066.68783464</v>
      </c>
      <c r="M49" s="897">
        <f>M11+M36</f>
        <v>0</v>
      </c>
      <c r="N49" s="897">
        <f t="shared" ref="N49:BY49" ca="1" si="23">N11+N36</f>
        <v>-870753.94782861508</v>
      </c>
      <c r="O49" s="897">
        <f t="shared" ca="1" si="23"/>
        <v>-306787.44463934749</v>
      </c>
      <c r="P49" s="897">
        <f t="shared" ca="1" si="23"/>
        <v>-548534.7224241253</v>
      </c>
      <c r="Q49" s="897">
        <f t="shared" ca="1" si="23"/>
        <v>-129867.73258220032</v>
      </c>
      <c r="R49" s="897">
        <f t="shared" ca="1" si="23"/>
        <v>-188375.92677842919</v>
      </c>
      <c r="S49" s="897">
        <f t="shared" ca="1" si="23"/>
        <v>-5181582.2754206713</v>
      </c>
      <c r="T49" s="897">
        <f t="shared" ca="1" si="23"/>
        <v>245874.43048899435</v>
      </c>
      <c r="U49" s="897">
        <f t="shared" ca="1" si="23"/>
        <v>521098.73989685997</v>
      </c>
      <c r="V49" s="897">
        <f t="shared" ca="1" si="23"/>
        <v>509491.75263256114</v>
      </c>
      <c r="W49" s="897">
        <f t="shared" ca="1" si="23"/>
        <v>738002.28322589304</v>
      </c>
      <c r="X49" s="897">
        <f t="shared" ca="1" si="23"/>
        <v>1044668.2459248044</v>
      </c>
      <c r="Y49" s="897">
        <f t="shared" ca="1" si="23"/>
        <v>1278891.5397829693</v>
      </c>
      <c r="Z49" s="897">
        <f t="shared" ca="1" si="23"/>
        <v>1265381.5160240447</v>
      </c>
      <c r="AA49" s="897">
        <f t="shared" ca="1" si="23"/>
        <v>1505460.3922286658</v>
      </c>
      <c r="AB49" s="897">
        <f t="shared" ca="1" si="23"/>
        <v>1491266.5758641781</v>
      </c>
      <c r="AC49" s="897">
        <f t="shared" ca="1" si="23"/>
        <v>838859.1972966129</v>
      </c>
      <c r="AD49" s="897">
        <f t="shared" ca="1" si="23"/>
        <v>1535204.4855807275</v>
      </c>
      <c r="AE49" s="897">
        <f t="shared" ca="1" si="23"/>
        <v>1750532.8884551078</v>
      </c>
      <c r="AF49" s="897">
        <f t="shared" ca="1" si="23"/>
        <v>1862009.4526719544</v>
      </c>
      <c r="AG49" s="897">
        <f t="shared" ca="1" si="23"/>
        <v>106887227.23743464</v>
      </c>
      <c r="AH49" s="897">
        <f t="shared" ca="1" si="23"/>
        <v>0</v>
      </c>
      <c r="AI49" s="897">
        <f t="shared" ca="1" si="23"/>
        <v>0</v>
      </c>
      <c r="AJ49" s="897">
        <f t="shared" ca="1" si="23"/>
        <v>0</v>
      </c>
      <c r="AK49" s="897">
        <f t="shared" si="23"/>
        <v>0</v>
      </c>
      <c r="AL49" s="897">
        <f t="shared" si="23"/>
        <v>0</v>
      </c>
      <c r="AM49" s="897">
        <f t="shared" si="23"/>
        <v>0</v>
      </c>
      <c r="AN49" s="897">
        <f t="shared" si="23"/>
        <v>0</v>
      </c>
      <c r="AO49" s="897">
        <f t="shared" si="23"/>
        <v>0</v>
      </c>
      <c r="AP49" s="897">
        <f t="shared" si="23"/>
        <v>0</v>
      </c>
      <c r="AQ49" s="897">
        <f t="shared" si="23"/>
        <v>0</v>
      </c>
      <c r="AR49" s="897">
        <f t="shared" si="23"/>
        <v>0</v>
      </c>
      <c r="AS49" s="897">
        <f t="shared" si="23"/>
        <v>0</v>
      </c>
      <c r="AT49" s="897">
        <f t="shared" si="23"/>
        <v>0</v>
      </c>
      <c r="AU49" s="897">
        <f t="shared" si="23"/>
        <v>0</v>
      </c>
      <c r="AV49" s="897">
        <f t="shared" si="23"/>
        <v>0</v>
      </c>
      <c r="AW49" s="897">
        <f t="shared" si="23"/>
        <v>0</v>
      </c>
      <c r="AX49" s="897">
        <f t="shared" si="23"/>
        <v>0</v>
      </c>
      <c r="AY49" s="897">
        <f t="shared" si="23"/>
        <v>0</v>
      </c>
      <c r="AZ49" s="897">
        <f t="shared" si="23"/>
        <v>0</v>
      </c>
      <c r="BA49" s="897">
        <f t="shared" si="23"/>
        <v>0</v>
      </c>
      <c r="BB49" s="897">
        <f t="shared" si="23"/>
        <v>0</v>
      </c>
      <c r="BC49" s="897">
        <f t="shared" si="23"/>
        <v>0</v>
      </c>
      <c r="BD49" s="897">
        <f t="shared" si="23"/>
        <v>0</v>
      </c>
      <c r="BE49" s="897">
        <f t="shared" si="23"/>
        <v>0</v>
      </c>
      <c r="BF49" s="897">
        <f t="shared" si="23"/>
        <v>0</v>
      </c>
      <c r="BG49" s="897">
        <f t="shared" si="23"/>
        <v>0</v>
      </c>
      <c r="BH49" s="897">
        <f t="shared" si="23"/>
        <v>0</v>
      </c>
      <c r="BI49" s="897">
        <f t="shared" si="23"/>
        <v>0</v>
      </c>
      <c r="BJ49" s="897">
        <f t="shared" si="23"/>
        <v>0</v>
      </c>
      <c r="BK49" s="897">
        <f t="shared" si="23"/>
        <v>0</v>
      </c>
      <c r="BL49" s="897">
        <f t="shared" si="23"/>
        <v>0</v>
      </c>
      <c r="BM49" s="897">
        <f t="shared" si="23"/>
        <v>0</v>
      </c>
      <c r="BN49" s="897">
        <f t="shared" si="23"/>
        <v>0</v>
      </c>
      <c r="BO49" s="897">
        <f t="shared" si="23"/>
        <v>0</v>
      </c>
      <c r="BP49" s="897">
        <f t="shared" si="23"/>
        <v>0</v>
      </c>
      <c r="BQ49" s="897">
        <f t="shared" si="23"/>
        <v>0</v>
      </c>
      <c r="BR49" s="897">
        <f t="shared" si="23"/>
        <v>0</v>
      </c>
      <c r="BS49" s="897">
        <f t="shared" si="23"/>
        <v>0</v>
      </c>
      <c r="BT49" s="897">
        <f t="shared" si="23"/>
        <v>0</v>
      </c>
      <c r="BU49" s="897">
        <f t="shared" si="23"/>
        <v>0</v>
      </c>
      <c r="BV49" s="897">
        <f t="shared" si="23"/>
        <v>0</v>
      </c>
      <c r="BW49" s="897">
        <f t="shared" si="23"/>
        <v>0</v>
      </c>
      <c r="BX49" s="897">
        <f t="shared" si="23"/>
        <v>0</v>
      </c>
      <c r="BY49" s="897">
        <f t="shared" si="23"/>
        <v>0</v>
      </c>
      <c r="BZ49" s="897">
        <f t="shared" ref="BZ49:DW49" si="24">BZ11+BZ36</f>
        <v>0</v>
      </c>
      <c r="CA49" s="897">
        <f t="shared" si="24"/>
        <v>0</v>
      </c>
      <c r="CB49" s="897">
        <f t="shared" si="24"/>
        <v>0</v>
      </c>
      <c r="CC49" s="897">
        <f t="shared" si="24"/>
        <v>0</v>
      </c>
      <c r="CD49" s="897">
        <f t="shared" si="24"/>
        <v>0</v>
      </c>
      <c r="CE49" s="897">
        <f t="shared" si="24"/>
        <v>0</v>
      </c>
      <c r="CF49" s="897">
        <f t="shared" si="24"/>
        <v>0</v>
      </c>
      <c r="CG49" s="897">
        <f t="shared" si="24"/>
        <v>0</v>
      </c>
      <c r="CH49" s="897">
        <f t="shared" si="24"/>
        <v>0</v>
      </c>
      <c r="CI49" s="897">
        <f t="shared" si="24"/>
        <v>0</v>
      </c>
      <c r="CJ49" s="897">
        <f t="shared" si="24"/>
        <v>0</v>
      </c>
      <c r="CK49" s="897">
        <f t="shared" si="24"/>
        <v>0</v>
      </c>
      <c r="CL49" s="897">
        <f t="shared" si="24"/>
        <v>0</v>
      </c>
      <c r="CM49" s="897">
        <f t="shared" si="24"/>
        <v>0</v>
      </c>
      <c r="CN49" s="897">
        <f t="shared" si="24"/>
        <v>0</v>
      </c>
      <c r="CO49" s="897">
        <f t="shared" si="24"/>
        <v>0</v>
      </c>
      <c r="CP49" s="897">
        <f t="shared" si="24"/>
        <v>0</v>
      </c>
      <c r="CQ49" s="897">
        <f t="shared" si="24"/>
        <v>0</v>
      </c>
      <c r="CR49" s="897">
        <f t="shared" si="24"/>
        <v>0</v>
      </c>
      <c r="CS49" s="897">
        <f t="shared" si="24"/>
        <v>0</v>
      </c>
      <c r="CT49" s="897">
        <f t="shared" si="24"/>
        <v>0</v>
      </c>
      <c r="CU49" s="897">
        <f t="shared" si="24"/>
        <v>0</v>
      </c>
      <c r="CV49" s="897">
        <f t="shared" si="24"/>
        <v>0</v>
      </c>
      <c r="CW49" s="897">
        <f t="shared" si="24"/>
        <v>0</v>
      </c>
      <c r="CX49" s="897">
        <f t="shared" si="24"/>
        <v>0</v>
      </c>
      <c r="CY49" s="897">
        <f t="shared" si="24"/>
        <v>0</v>
      </c>
      <c r="CZ49" s="897">
        <f t="shared" si="24"/>
        <v>0</v>
      </c>
      <c r="DA49" s="897">
        <f t="shared" si="24"/>
        <v>0</v>
      </c>
      <c r="DB49" s="897">
        <f t="shared" si="24"/>
        <v>0</v>
      </c>
      <c r="DC49" s="897">
        <f t="shared" si="24"/>
        <v>0</v>
      </c>
      <c r="DD49" s="897">
        <f t="shared" si="24"/>
        <v>0</v>
      </c>
      <c r="DE49" s="897">
        <f t="shared" si="24"/>
        <v>0</v>
      </c>
      <c r="DF49" s="897">
        <f t="shared" si="24"/>
        <v>0</v>
      </c>
      <c r="DG49" s="897">
        <f t="shared" si="24"/>
        <v>0</v>
      </c>
      <c r="DH49" s="897">
        <f t="shared" si="24"/>
        <v>0</v>
      </c>
      <c r="DI49" s="897">
        <f t="shared" si="24"/>
        <v>0</v>
      </c>
      <c r="DJ49" s="897">
        <f t="shared" si="24"/>
        <v>0</v>
      </c>
      <c r="DK49" s="897">
        <f t="shared" si="24"/>
        <v>0</v>
      </c>
      <c r="DL49" s="897">
        <f t="shared" si="24"/>
        <v>0</v>
      </c>
      <c r="DM49" s="897">
        <f t="shared" si="24"/>
        <v>0</v>
      </c>
      <c r="DN49" s="897">
        <f t="shared" si="24"/>
        <v>0</v>
      </c>
      <c r="DO49" s="897">
        <f t="shared" si="24"/>
        <v>0</v>
      </c>
      <c r="DP49" s="897">
        <f t="shared" si="24"/>
        <v>0</v>
      </c>
      <c r="DQ49" s="897">
        <f t="shared" si="24"/>
        <v>0</v>
      </c>
      <c r="DR49" s="897">
        <f t="shared" si="24"/>
        <v>0</v>
      </c>
      <c r="DS49" s="897">
        <f t="shared" si="24"/>
        <v>0</v>
      </c>
      <c r="DT49" s="897">
        <f t="shared" si="24"/>
        <v>0</v>
      </c>
      <c r="DU49" s="897">
        <f t="shared" si="24"/>
        <v>0</v>
      </c>
      <c r="DV49" s="897">
        <f t="shared" si="24"/>
        <v>0</v>
      </c>
      <c r="DW49" s="897">
        <f t="shared" si="24"/>
        <v>0</v>
      </c>
    </row>
    <row r="50" spans="2:127" ht="11.25" customHeight="1">
      <c r="B50" s="218"/>
      <c r="C50" s="904" t="s">
        <v>537</v>
      </c>
      <c r="D50" s="905"/>
      <c r="E50" s="905"/>
      <c r="F50" s="905"/>
      <c r="G50" s="905"/>
      <c r="H50" s="905"/>
      <c r="I50" s="906"/>
      <c r="J50" s="907"/>
      <c r="K50" s="908">
        <f t="shared" si="12"/>
        <v>0</v>
      </c>
      <c r="L50" s="909"/>
      <c r="M50" s="910">
        <f>SUMIF('IS(M)'!$M$11:$ER$11,M$7,'IS(M)'!$M56:$ER56)</f>
        <v>0</v>
      </c>
      <c r="N50" s="910">
        <f>SUMIF('IS(M)'!$M$11:$ER$11,N$7,'IS(M)'!$M56:$ER56)</f>
        <v>0</v>
      </c>
      <c r="O50" s="910">
        <f>SUMIF('IS(M)'!$M$11:$ER$11,O$7,'IS(M)'!$M56:$ER56)</f>
        <v>0</v>
      </c>
      <c r="P50" s="910">
        <f>SUMIF('IS(M)'!$M$11:$ER$11,P$7,'IS(M)'!$M56:$ER56)</f>
        <v>0</v>
      </c>
      <c r="Q50" s="910">
        <f>SUMIF('IS(M)'!$M$11:$ER$11,Q$7,'IS(M)'!$M56:$ER56)</f>
        <v>0</v>
      </c>
      <c r="R50" s="910">
        <f>SUMIF('IS(M)'!$M$11:$ER$11,R$7,'IS(M)'!$M56:$ER56)</f>
        <v>0</v>
      </c>
      <c r="S50" s="910">
        <f>SUMIF('IS(M)'!$M$11:$ER$11,S$7,'IS(M)'!$M56:$ER56)</f>
        <v>0</v>
      </c>
      <c r="T50" s="910">
        <f>SUMIF('IS(M)'!$M$11:$ER$11,T$7,'IS(M)'!$M56:$ER56)</f>
        <v>0</v>
      </c>
      <c r="U50" s="910">
        <f>SUMIF('IS(M)'!$M$11:$ER$11,U$7,'IS(M)'!$M56:$ER56)</f>
        <v>0</v>
      </c>
      <c r="V50" s="910">
        <f>SUMIF('IS(M)'!$M$11:$ER$11,V$7,'IS(M)'!$M56:$ER56)</f>
        <v>0</v>
      </c>
      <c r="W50" s="910">
        <f>SUMIF('IS(M)'!$M$11:$ER$11,W$7,'IS(M)'!$M56:$ER56)</f>
        <v>0</v>
      </c>
      <c r="X50" s="910">
        <f>SUMIF('IS(M)'!$M$11:$ER$11,X$7,'IS(M)'!$M56:$ER56)</f>
        <v>0</v>
      </c>
      <c r="Y50" s="910">
        <f>SUMIF('IS(M)'!$M$11:$ER$11,Y$7,'IS(M)'!$M56:$ER56)</f>
        <v>0</v>
      </c>
      <c r="Z50" s="910">
        <f>SUMIF('IS(M)'!$M$11:$ER$11,Z$7,'IS(M)'!$M56:$ER56)</f>
        <v>0</v>
      </c>
      <c r="AA50" s="910">
        <f>SUMIF('IS(M)'!$M$11:$ER$11,AA$7,'IS(M)'!$M56:$ER56)</f>
        <v>0</v>
      </c>
      <c r="AB50" s="910">
        <f>SUMIF('IS(M)'!$M$11:$ER$11,AB$7,'IS(M)'!$M56:$ER56)</f>
        <v>0</v>
      </c>
      <c r="AC50" s="910">
        <f>SUMIF('IS(M)'!$M$11:$ER$11,AC$7,'IS(M)'!$M56:$ER56)</f>
        <v>0</v>
      </c>
      <c r="AD50" s="910">
        <f>SUMIF('IS(M)'!$M$11:$ER$11,AD$7,'IS(M)'!$M56:$ER56)</f>
        <v>0</v>
      </c>
      <c r="AE50" s="910">
        <f>SUMIF('IS(M)'!$M$11:$ER$11,AE$7,'IS(M)'!$M56:$ER56)</f>
        <v>0</v>
      </c>
      <c r="AF50" s="910">
        <f>SUMIF('IS(M)'!$M$11:$ER$11,AF$7,'IS(M)'!$M56:$ER56)</f>
        <v>0</v>
      </c>
      <c r="AG50" s="910">
        <f>SUMIF('IS(M)'!$M$11:$ER$11,AG$7,'IS(M)'!$M56:$ER56)</f>
        <v>0</v>
      </c>
      <c r="AH50" s="910">
        <f>SUMIF('IS(M)'!$M$11:$ER$11,AH$7,'IS(M)'!$M56:$ER56)</f>
        <v>0</v>
      </c>
      <c r="AI50" s="910">
        <f>SUMIF('IS(M)'!$M$11:$ER$11,AI$7,'IS(M)'!$M56:$ER56)</f>
        <v>0</v>
      </c>
      <c r="AJ50" s="910">
        <f>SUMIF('IS(M)'!$M$11:$ER$11,AJ$7,'IS(M)'!$M56:$ER56)</f>
        <v>0</v>
      </c>
      <c r="AK50" s="910">
        <f>SUMIF('IS(M)'!$M$11:$ER$11,AK$7,'IS(M)'!$M56:$ER56)</f>
        <v>0</v>
      </c>
      <c r="AL50" s="910">
        <f>SUMIF('IS(M)'!$M$11:$ER$11,AL$7,'IS(M)'!$M56:$ER56)</f>
        <v>0</v>
      </c>
      <c r="AM50" s="910">
        <f>SUMIF('IS(M)'!$M$11:$ER$11,AM$7,'IS(M)'!$M56:$ER56)</f>
        <v>0</v>
      </c>
      <c r="AN50" s="910">
        <f>SUMIF('IS(M)'!$M$11:$ER$11,AN$7,'IS(M)'!$M56:$ER56)</f>
        <v>0</v>
      </c>
      <c r="AO50" s="910">
        <f>SUMIF('IS(M)'!$M$11:$ER$11,AO$7,'IS(M)'!$M56:$ER56)</f>
        <v>0</v>
      </c>
      <c r="AP50" s="910">
        <f>SUMIF('IS(M)'!$M$11:$ER$11,AP$7,'IS(M)'!$M56:$ER56)</f>
        <v>0</v>
      </c>
      <c r="AQ50" s="910">
        <f>SUMIF('IS(M)'!$M$11:$ER$11,AQ$7,'IS(M)'!$M56:$ER56)</f>
        <v>0</v>
      </c>
      <c r="AR50" s="910">
        <f>SUMIF('IS(M)'!$M$11:$ER$11,AR$7,'IS(M)'!$M56:$ER56)</f>
        <v>0</v>
      </c>
      <c r="AS50" s="910">
        <f>SUMIF('IS(M)'!$M$11:$ER$11,AS$7,'IS(M)'!$M56:$ER56)</f>
        <v>0</v>
      </c>
      <c r="AT50" s="910">
        <f>SUMIF('IS(M)'!$M$11:$ER$11,AT$7,'IS(M)'!$M56:$ER56)</f>
        <v>0</v>
      </c>
      <c r="AU50" s="910">
        <f>SUMIF('IS(M)'!$M$11:$ER$11,AU$7,'IS(M)'!$M56:$ER56)</f>
        <v>0</v>
      </c>
      <c r="AV50" s="910">
        <f>SUMIF('IS(M)'!$M$11:$ER$11,AV$7,'IS(M)'!$M56:$ER56)</f>
        <v>0</v>
      </c>
      <c r="AW50" s="910">
        <f>SUMIF('IS(M)'!$M$11:$ER$11,AW$7,'IS(M)'!$M56:$ER56)</f>
        <v>0</v>
      </c>
      <c r="AX50" s="910">
        <f>SUMIF('IS(M)'!$M$11:$ER$11,AX$7,'IS(M)'!$M56:$ER56)</f>
        <v>0</v>
      </c>
      <c r="AY50" s="910">
        <f>SUMIF('IS(M)'!$M$11:$ER$11,AY$7,'IS(M)'!$M56:$ER56)</f>
        <v>0</v>
      </c>
      <c r="AZ50" s="910">
        <f>SUMIF('IS(M)'!$M$11:$ER$11,AZ$7,'IS(M)'!$M56:$ER56)</f>
        <v>0</v>
      </c>
      <c r="BA50" s="910">
        <f>SUMIF('IS(M)'!$M$11:$ER$11,BA$7,'IS(M)'!$M56:$ER56)</f>
        <v>0</v>
      </c>
      <c r="BB50" s="910">
        <f>SUMIF('IS(M)'!$M$11:$ER$11,BB$7,'IS(M)'!$M56:$ER56)</f>
        <v>0</v>
      </c>
      <c r="BC50" s="910">
        <f>SUMIF('IS(M)'!$M$11:$ER$11,BC$7,'IS(M)'!$M56:$ER56)</f>
        <v>0</v>
      </c>
      <c r="BD50" s="910">
        <f>SUMIF('IS(M)'!$M$11:$ER$11,BD$7,'IS(M)'!$M56:$ER56)</f>
        <v>0</v>
      </c>
      <c r="BE50" s="910">
        <f>SUMIF('IS(M)'!$M$11:$ER$11,BE$7,'IS(M)'!$M56:$ER56)</f>
        <v>0</v>
      </c>
      <c r="BF50" s="910">
        <f>SUMIF('IS(M)'!$M$11:$ER$11,BF$7,'IS(M)'!$M56:$ER56)</f>
        <v>0</v>
      </c>
      <c r="BG50" s="910">
        <f>SUMIF('IS(M)'!$M$11:$ER$11,BG$7,'IS(M)'!$M56:$ER56)</f>
        <v>0</v>
      </c>
      <c r="BH50" s="910">
        <f>SUMIF('IS(M)'!$M$11:$ER$11,BH$7,'IS(M)'!$M56:$ER56)</f>
        <v>0</v>
      </c>
      <c r="BI50" s="910">
        <f>SUMIF('IS(M)'!$M$11:$ER$11,BI$7,'IS(M)'!$M56:$ER56)</f>
        <v>0</v>
      </c>
      <c r="BJ50" s="910">
        <f>SUMIF('IS(M)'!$M$11:$ER$11,BJ$7,'IS(M)'!$M56:$ER56)</f>
        <v>0</v>
      </c>
      <c r="BK50" s="910">
        <f>SUMIF('IS(M)'!$M$11:$ER$11,BK$7,'IS(M)'!$M56:$ER56)</f>
        <v>0</v>
      </c>
      <c r="BL50" s="910">
        <f>SUMIF('IS(M)'!$M$11:$ER$11,BL$7,'IS(M)'!$M56:$ER56)</f>
        <v>0</v>
      </c>
      <c r="BM50" s="910">
        <f>SUMIF('IS(M)'!$M$11:$ER$11,BM$7,'IS(M)'!$M56:$ER56)</f>
        <v>0</v>
      </c>
      <c r="BN50" s="910">
        <f>SUMIF('IS(M)'!$M$11:$ER$11,BN$7,'IS(M)'!$M56:$ER56)</f>
        <v>0</v>
      </c>
      <c r="BO50" s="910">
        <f>SUMIF('IS(M)'!$M$11:$ER$11,BO$7,'IS(M)'!$M56:$ER56)</f>
        <v>0</v>
      </c>
      <c r="BP50" s="910">
        <f>SUMIF('IS(M)'!$M$11:$ER$11,BP$7,'IS(M)'!$M56:$ER56)</f>
        <v>0</v>
      </c>
      <c r="BQ50" s="910">
        <f>SUMIF('IS(M)'!$M$11:$ER$11,BQ$7,'IS(M)'!$M56:$ER56)</f>
        <v>0</v>
      </c>
      <c r="BR50" s="910">
        <f>SUMIF('IS(M)'!$M$11:$ER$11,BR$7,'IS(M)'!$M56:$ER56)</f>
        <v>0</v>
      </c>
      <c r="BS50" s="910">
        <f>SUMIF('IS(M)'!$M$11:$ER$11,BS$7,'IS(M)'!$M56:$ER56)</f>
        <v>0</v>
      </c>
      <c r="BT50" s="910">
        <f>SUMIF('IS(M)'!$M$11:$ER$11,BT$7,'IS(M)'!$M56:$ER56)</f>
        <v>0</v>
      </c>
      <c r="BU50" s="910">
        <f>SUMIF('IS(M)'!$M$11:$ER$11,BU$7,'IS(M)'!$M56:$ER56)</f>
        <v>0</v>
      </c>
      <c r="BV50" s="910">
        <f>SUMIF('IS(M)'!$M$11:$ER$11,BV$7,'IS(M)'!$M56:$ER56)</f>
        <v>0</v>
      </c>
      <c r="BW50" s="910">
        <f>SUMIF('IS(M)'!$M$11:$ER$11,BW$7,'IS(M)'!$M56:$ER56)</f>
        <v>0</v>
      </c>
      <c r="BX50" s="910">
        <f>SUMIF('IS(M)'!$M$11:$ER$11,BX$7,'IS(M)'!$M56:$ER56)</f>
        <v>0</v>
      </c>
      <c r="BY50" s="910">
        <f>SUMIF('IS(M)'!$M$11:$ER$11,BY$7,'IS(M)'!$M56:$ER56)</f>
        <v>0</v>
      </c>
      <c r="BZ50" s="910">
        <f>SUMIF('IS(M)'!$M$11:$ER$11,BZ$7,'IS(M)'!$M56:$ER56)</f>
        <v>0</v>
      </c>
      <c r="CA50" s="910">
        <f>SUMIF('IS(M)'!$M$11:$ER$11,CA$7,'IS(M)'!$M56:$ER56)</f>
        <v>0</v>
      </c>
      <c r="CB50" s="910">
        <f>SUMIF('IS(M)'!$M$11:$ER$11,CB$7,'IS(M)'!$M56:$ER56)</f>
        <v>0</v>
      </c>
      <c r="CC50" s="910">
        <f>SUMIF('IS(M)'!$M$11:$ER$11,CC$7,'IS(M)'!$M56:$ER56)</f>
        <v>0</v>
      </c>
      <c r="CD50" s="910">
        <f>SUMIF('IS(M)'!$M$11:$ER$11,CD$7,'IS(M)'!$M56:$ER56)</f>
        <v>0</v>
      </c>
      <c r="CE50" s="910">
        <f>SUMIF('IS(M)'!$M$11:$ER$11,CE$7,'IS(M)'!$M56:$ER56)</f>
        <v>0</v>
      </c>
      <c r="CF50" s="910">
        <f>SUMIF('IS(M)'!$M$11:$ER$11,CF$7,'IS(M)'!$M56:$ER56)</f>
        <v>0</v>
      </c>
      <c r="CG50" s="910">
        <f>SUMIF('IS(M)'!$M$11:$ER$11,CG$7,'IS(M)'!$M56:$ER56)</f>
        <v>0</v>
      </c>
      <c r="CH50" s="910">
        <f>SUMIF('IS(M)'!$M$11:$ER$11,CH$7,'IS(M)'!$M56:$ER56)</f>
        <v>0</v>
      </c>
      <c r="CI50" s="910">
        <f>SUMIF('IS(M)'!$M$11:$ER$11,CI$7,'IS(M)'!$M56:$ER56)</f>
        <v>0</v>
      </c>
      <c r="CJ50" s="910">
        <f>SUMIF('IS(M)'!$M$11:$ER$11,CJ$7,'IS(M)'!$M56:$ER56)</f>
        <v>0</v>
      </c>
      <c r="CK50" s="910">
        <f>SUMIF('IS(M)'!$M$11:$ER$11,CK$7,'IS(M)'!$M56:$ER56)</f>
        <v>0</v>
      </c>
      <c r="CL50" s="910">
        <f>SUMIF('IS(M)'!$M$11:$ER$11,CL$7,'IS(M)'!$M56:$ER56)</f>
        <v>0</v>
      </c>
      <c r="CM50" s="910">
        <f>SUMIF('IS(M)'!$M$11:$ER$11,CM$7,'IS(M)'!$M56:$ER56)</f>
        <v>0</v>
      </c>
      <c r="CN50" s="910">
        <f>SUMIF('IS(M)'!$M$11:$ER$11,CN$7,'IS(M)'!$M56:$ER56)</f>
        <v>0</v>
      </c>
      <c r="CO50" s="910">
        <f>SUMIF('IS(M)'!$M$11:$ER$11,CO$7,'IS(M)'!$M56:$ER56)</f>
        <v>0</v>
      </c>
      <c r="CP50" s="910">
        <f>SUMIF('IS(M)'!$M$11:$ER$11,CP$7,'IS(M)'!$M56:$ER56)</f>
        <v>0</v>
      </c>
      <c r="CQ50" s="910">
        <f>SUMIF('IS(M)'!$M$11:$ER$11,CQ$7,'IS(M)'!$M56:$ER56)</f>
        <v>0</v>
      </c>
      <c r="CR50" s="910">
        <f>SUMIF('IS(M)'!$M$11:$ER$11,CR$7,'IS(M)'!$M56:$ER56)</f>
        <v>0</v>
      </c>
      <c r="CS50" s="910">
        <f>SUMIF('IS(M)'!$M$11:$ER$11,CS$7,'IS(M)'!$M56:$ER56)</f>
        <v>0</v>
      </c>
      <c r="CT50" s="910">
        <f>SUMIF('IS(M)'!$M$11:$ER$11,CT$7,'IS(M)'!$M56:$ER56)</f>
        <v>0</v>
      </c>
      <c r="CU50" s="910">
        <f>SUMIF('IS(M)'!$M$11:$ER$11,CU$7,'IS(M)'!$M56:$ER56)</f>
        <v>0</v>
      </c>
      <c r="CV50" s="910">
        <f>SUMIF('IS(M)'!$M$11:$ER$11,CV$7,'IS(M)'!$M56:$ER56)</f>
        <v>0</v>
      </c>
      <c r="CW50" s="910">
        <f>SUMIF('IS(M)'!$M$11:$ER$11,CW$7,'IS(M)'!$M56:$ER56)</f>
        <v>0</v>
      </c>
      <c r="CX50" s="910">
        <f>SUMIF('IS(M)'!$M$11:$ER$11,CX$7,'IS(M)'!$M56:$ER56)</f>
        <v>0</v>
      </c>
      <c r="CY50" s="910">
        <f>SUMIF('IS(M)'!$M$11:$ER$11,CY$7,'IS(M)'!$M56:$ER56)</f>
        <v>0</v>
      </c>
      <c r="CZ50" s="910">
        <f>SUMIF('IS(M)'!$M$11:$ER$11,CZ$7,'IS(M)'!$M56:$ER56)</f>
        <v>0</v>
      </c>
      <c r="DA50" s="910">
        <f>SUMIF('IS(M)'!$M$11:$ER$11,DA$7,'IS(M)'!$M56:$ER56)</f>
        <v>0</v>
      </c>
      <c r="DB50" s="910">
        <f>SUMIF('IS(M)'!$M$11:$ER$11,DB$7,'IS(M)'!$M56:$ER56)</f>
        <v>0</v>
      </c>
      <c r="DC50" s="910">
        <f>SUMIF('IS(M)'!$M$11:$ER$11,DC$7,'IS(M)'!$M56:$ER56)</f>
        <v>0</v>
      </c>
      <c r="DD50" s="910">
        <f>SUMIF('IS(M)'!$M$11:$ER$11,DD$7,'IS(M)'!$M56:$ER56)</f>
        <v>0</v>
      </c>
      <c r="DE50" s="910">
        <f>SUMIF('IS(M)'!$M$11:$ER$11,DE$7,'IS(M)'!$M56:$ER56)</f>
        <v>0</v>
      </c>
      <c r="DF50" s="910">
        <f>SUMIF('IS(M)'!$M$11:$ER$11,DF$7,'IS(M)'!$M56:$ER56)</f>
        <v>0</v>
      </c>
      <c r="DG50" s="910">
        <f>SUMIF('IS(M)'!$M$11:$ER$11,DG$7,'IS(M)'!$M56:$ER56)</f>
        <v>0</v>
      </c>
      <c r="DH50" s="910">
        <f>SUMIF('IS(M)'!$M$11:$ER$11,DH$7,'IS(M)'!$M56:$ER56)</f>
        <v>0</v>
      </c>
      <c r="DI50" s="910">
        <f>SUMIF('IS(M)'!$M$11:$ER$11,DI$7,'IS(M)'!$M56:$ER56)</f>
        <v>0</v>
      </c>
      <c r="DJ50" s="910">
        <f>SUMIF('IS(M)'!$M$11:$ER$11,DJ$7,'IS(M)'!$M56:$ER56)</f>
        <v>0</v>
      </c>
      <c r="DK50" s="910">
        <f>SUMIF('IS(M)'!$M$11:$ER$11,DK$7,'IS(M)'!$M56:$ER56)</f>
        <v>0</v>
      </c>
      <c r="DL50" s="910">
        <f>SUMIF('IS(M)'!$M$11:$ER$11,DL$7,'IS(M)'!$M56:$ER56)</f>
        <v>0</v>
      </c>
      <c r="DM50" s="910">
        <f>SUMIF('IS(M)'!$M$11:$ER$11,DM$7,'IS(M)'!$M56:$ER56)</f>
        <v>0</v>
      </c>
      <c r="DN50" s="910">
        <f>SUMIF('IS(M)'!$M$11:$ER$11,DN$7,'IS(M)'!$M56:$ER56)</f>
        <v>0</v>
      </c>
      <c r="DO50" s="910">
        <f>SUMIF('IS(M)'!$M$11:$ER$11,DO$7,'IS(M)'!$M56:$ER56)</f>
        <v>0</v>
      </c>
      <c r="DP50" s="910">
        <f>SUMIF('IS(M)'!$M$11:$ER$11,DP$7,'IS(M)'!$M56:$ER56)</f>
        <v>0</v>
      </c>
      <c r="DQ50" s="910">
        <f>SUMIF('IS(M)'!$M$11:$ER$11,DQ$7,'IS(M)'!$M56:$ER56)</f>
        <v>0</v>
      </c>
      <c r="DR50" s="910">
        <f>SUMIF('IS(M)'!$M$11:$ER$11,DR$7,'IS(M)'!$M56:$ER56)</f>
        <v>0</v>
      </c>
      <c r="DS50" s="910">
        <f>SUMIF('IS(M)'!$M$11:$ER$11,DS$7,'IS(M)'!$M56:$ER56)</f>
        <v>0</v>
      </c>
      <c r="DT50" s="910">
        <f>SUMIF('IS(M)'!$M$11:$ER$11,DT$7,'IS(M)'!$M56:$ER56)</f>
        <v>0</v>
      </c>
      <c r="DU50" s="910">
        <f>SUMIF('IS(M)'!$M$11:$ER$11,DU$7,'IS(M)'!$M56:$ER56)</f>
        <v>0</v>
      </c>
      <c r="DV50" s="910">
        <f>SUMIF('IS(M)'!$M$11:$ER$11,DV$7,'IS(M)'!$M56:$ER56)</f>
        <v>0</v>
      </c>
      <c r="DW50" s="910">
        <f>SUMIF('IS(M)'!$M$11:$ER$11,DW$7,'IS(M)'!$M56:$ER56)</f>
        <v>0</v>
      </c>
    </row>
    <row r="51" spans="2:127" ht="11.25" customHeight="1">
      <c r="B51" s="901" t="s">
        <v>538</v>
      </c>
      <c r="C51" s="898"/>
      <c r="D51" s="898"/>
      <c r="E51" s="898"/>
      <c r="F51" s="898"/>
      <c r="G51" s="898"/>
      <c r="H51" s="898"/>
      <c r="I51" s="899"/>
      <c r="J51" s="900"/>
      <c r="K51" s="902">
        <f ca="1">K49-K50</f>
        <v>114248066.68783464</v>
      </c>
      <c r="M51" s="903">
        <f>M49-M50</f>
        <v>0</v>
      </c>
      <c r="N51" s="903">
        <f t="shared" ref="N51:BY51" ca="1" si="25">N49-N50</f>
        <v>-870753.94782861508</v>
      </c>
      <c r="O51" s="903">
        <f t="shared" ca="1" si="25"/>
        <v>-306787.44463934749</v>
      </c>
      <c r="P51" s="903">
        <f t="shared" ca="1" si="25"/>
        <v>-548534.7224241253</v>
      </c>
      <c r="Q51" s="903">
        <f t="shared" ca="1" si="25"/>
        <v>-129867.73258220032</v>
      </c>
      <c r="R51" s="903">
        <f t="shared" ca="1" si="25"/>
        <v>-188375.92677842919</v>
      </c>
      <c r="S51" s="903">
        <f t="shared" ca="1" si="25"/>
        <v>-5181582.2754206713</v>
      </c>
      <c r="T51" s="903">
        <f t="shared" ca="1" si="25"/>
        <v>245874.43048899435</v>
      </c>
      <c r="U51" s="903">
        <f t="shared" ca="1" si="25"/>
        <v>521098.73989685997</v>
      </c>
      <c r="V51" s="903">
        <f t="shared" ca="1" si="25"/>
        <v>509491.75263256114</v>
      </c>
      <c r="W51" s="903">
        <f t="shared" ca="1" si="25"/>
        <v>738002.28322589304</v>
      </c>
      <c r="X51" s="903">
        <f t="shared" ca="1" si="25"/>
        <v>1044668.2459248044</v>
      </c>
      <c r="Y51" s="903">
        <f t="shared" ca="1" si="25"/>
        <v>1278891.5397829693</v>
      </c>
      <c r="Z51" s="903">
        <f t="shared" ca="1" si="25"/>
        <v>1265381.5160240447</v>
      </c>
      <c r="AA51" s="903">
        <f t="shared" ca="1" si="25"/>
        <v>1505460.3922286658</v>
      </c>
      <c r="AB51" s="903">
        <f t="shared" ca="1" si="25"/>
        <v>1491266.5758641781</v>
      </c>
      <c r="AC51" s="903">
        <f t="shared" ca="1" si="25"/>
        <v>838859.1972966129</v>
      </c>
      <c r="AD51" s="903">
        <f t="shared" ca="1" si="25"/>
        <v>1535204.4855807275</v>
      </c>
      <c r="AE51" s="903">
        <f t="shared" ca="1" si="25"/>
        <v>1750532.8884551078</v>
      </c>
      <c r="AF51" s="903">
        <f t="shared" ca="1" si="25"/>
        <v>1862009.4526719544</v>
      </c>
      <c r="AG51" s="903">
        <f t="shared" ca="1" si="25"/>
        <v>106887227.23743464</v>
      </c>
      <c r="AH51" s="903">
        <f t="shared" ca="1" si="25"/>
        <v>0</v>
      </c>
      <c r="AI51" s="903">
        <f t="shared" ca="1" si="25"/>
        <v>0</v>
      </c>
      <c r="AJ51" s="903">
        <f t="shared" ca="1" si="25"/>
        <v>0</v>
      </c>
      <c r="AK51" s="903">
        <f t="shared" si="25"/>
        <v>0</v>
      </c>
      <c r="AL51" s="903">
        <f t="shared" si="25"/>
        <v>0</v>
      </c>
      <c r="AM51" s="903">
        <f t="shared" si="25"/>
        <v>0</v>
      </c>
      <c r="AN51" s="903">
        <f t="shared" si="25"/>
        <v>0</v>
      </c>
      <c r="AO51" s="903">
        <f t="shared" si="25"/>
        <v>0</v>
      </c>
      <c r="AP51" s="903">
        <f t="shared" si="25"/>
        <v>0</v>
      </c>
      <c r="AQ51" s="903">
        <f t="shared" si="25"/>
        <v>0</v>
      </c>
      <c r="AR51" s="903">
        <f t="shared" si="25"/>
        <v>0</v>
      </c>
      <c r="AS51" s="903">
        <f t="shared" si="25"/>
        <v>0</v>
      </c>
      <c r="AT51" s="903">
        <f t="shared" si="25"/>
        <v>0</v>
      </c>
      <c r="AU51" s="903">
        <f t="shared" si="25"/>
        <v>0</v>
      </c>
      <c r="AV51" s="903">
        <f t="shared" si="25"/>
        <v>0</v>
      </c>
      <c r="AW51" s="903">
        <f t="shared" si="25"/>
        <v>0</v>
      </c>
      <c r="AX51" s="903">
        <f t="shared" si="25"/>
        <v>0</v>
      </c>
      <c r="AY51" s="903">
        <f t="shared" si="25"/>
        <v>0</v>
      </c>
      <c r="AZ51" s="903">
        <f t="shared" si="25"/>
        <v>0</v>
      </c>
      <c r="BA51" s="903">
        <f t="shared" si="25"/>
        <v>0</v>
      </c>
      <c r="BB51" s="903">
        <f t="shared" si="25"/>
        <v>0</v>
      </c>
      <c r="BC51" s="903">
        <f t="shared" si="25"/>
        <v>0</v>
      </c>
      <c r="BD51" s="903">
        <f t="shared" si="25"/>
        <v>0</v>
      </c>
      <c r="BE51" s="903">
        <f t="shared" si="25"/>
        <v>0</v>
      </c>
      <c r="BF51" s="903">
        <f t="shared" si="25"/>
        <v>0</v>
      </c>
      <c r="BG51" s="903">
        <f t="shared" si="25"/>
        <v>0</v>
      </c>
      <c r="BH51" s="903">
        <f t="shared" si="25"/>
        <v>0</v>
      </c>
      <c r="BI51" s="903">
        <f t="shared" si="25"/>
        <v>0</v>
      </c>
      <c r="BJ51" s="903">
        <f t="shared" si="25"/>
        <v>0</v>
      </c>
      <c r="BK51" s="903">
        <f t="shared" si="25"/>
        <v>0</v>
      </c>
      <c r="BL51" s="903">
        <f t="shared" si="25"/>
        <v>0</v>
      </c>
      <c r="BM51" s="903">
        <f t="shared" si="25"/>
        <v>0</v>
      </c>
      <c r="BN51" s="903">
        <f t="shared" si="25"/>
        <v>0</v>
      </c>
      <c r="BO51" s="903">
        <f t="shared" si="25"/>
        <v>0</v>
      </c>
      <c r="BP51" s="903">
        <f t="shared" si="25"/>
        <v>0</v>
      </c>
      <c r="BQ51" s="903">
        <f t="shared" si="25"/>
        <v>0</v>
      </c>
      <c r="BR51" s="903">
        <f t="shared" si="25"/>
        <v>0</v>
      </c>
      <c r="BS51" s="903">
        <f t="shared" si="25"/>
        <v>0</v>
      </c>
      <c r="BT51" s="903">
        <f t="shared" si="25"/>
        <v>0</v>
      </c>
      <c r="BU51" s="903">
        <f t="shared" si="25"/>
        <v>0</v>
      </c>
      <c r="BV51" s="903">
        <f t="shared" si="25"/>
        <v>0</v>
      </c>
      <c r="BW51" s="903">
        <f t="shared" si="25"/>
        <v>0</v>
      </c>
      <c r="BX51" s="903">
        <f t="shared" si="25"/>
        <v>0</v>
      </c>
      <c r="BY51" s="903">
        <f t="shared" si="25"/>
        <v>0</v>
      </c>
      <c r="BZ51" s="903">
        <f t="shared" ref="BZ51:DW51" si="26">BZ49-BZ50</f>
        <v>0</v>
      </c>
      <c r="CA51" s="903">
        <f t="shared" si="26"/>
        <v>0</v>
      </c>
      <c r="CB51" s="903">
        <f t="shared" si="26"/>
        <v>0</v>
      </c>
      <c r="CC51" s="903">
        <f t="shared" si="26"/>
        <v>0</v>
      </c>
      <c r="CD51" s="903">
        <f t="shared" si="26"/>
        <v>0</v>
      </c>
      <c r="CE51" s="903">
        <f t="shared" si="26"/>
        <v>0</v>
      </c>
      <c r="CF51" s="903">
        <f t="shared" si="26"/>
        <v>0</v>
      </c>
      <c r="CG51" s="903">
        <f t="shared" si="26"/>
        <v>0</v>
      </c>
      <c r="CH51" s="903">
        <f t="shared" si="26"/>
        <v>0</v>
      </c>
      <c r="CI51" s="903">
        <f t="shared" si="26"/>
        <v>0</v>
      </c>
      <c r="CJ51" s="903">
        <f t="shared" si="26"/>
        <v>0</v>
      </c>
      <c r="CK51" s="903">
        <f t="shared" si="26"/>
        <v>0</v>
      </c>
      <c r="CL51" s="903">
        <f t="shared" si="26"/>
        <v>0</v>
      </c>
      <c r="CM51" s="903">
        <f t="shared" si="26"/>
        <v>0</v>
      </c>
      <c r="CN51" s="903">
        <f t="shared" si="26"/>
        <v>0</v>
      </c>
      <c r="CO51" s="903">
        <f t="shared" si="26"/>
        <v>0</v>
      </c>
      <c r="CP51" s="903">
        <f t="shared" si="26"/>
        <v>0</v>
      </c>
      <c r="CQ51" s="903">
        <f t="shared" si="26"/>
        <v>0</v>
      </c>
      <c r="CR51" s="903">
        <f t="shared" si="26"/>
        <v>0</v>
      </c>
      <c r="CS51" s="903">
        <f t="shared" si="26"/>
        <v>0</v>
      </c>
      <c r="CT51" s="903">
        <f t="shared" si="26"/>
        <v>0</v>
      </c>
      <c r="CU51" s="903">
        <f t="shared" si="26"/>
        <v>0</v>
      </c>
      <c r="CV51" s="903">
        <f t="shared" si="26"/>
        <v>0</v>
      </c>
      <c r="CW51" s="903">
        <f t="shared" si="26"/>
        <v>0</v>
      </c>
      <c r="CX51" s="903">
        <f t="shared" si="26"/>
        <v>0</v>
      </c>
      <c r="CY51" s="903">
        <f t="shared" si="26"/>
        <v>0</v>
      </c>
      <c r="CZ51" s="903">
        <f t="shared" si="26"/>
        <v>0</v>
      </c>
      <c r="DA51" s="903">
        <f t="shared" si="26"/>
        <v>0</v>
      </c>
      <c r="DB51" s="903">
        <f t="shared" si="26"/>
        <v>0</v>
      </c>
      <c r="DC51" s="903">
        <f t="shared" si="26"/>
        <v>0</v>
      </c>
      <c r="DD51" s="903">
        <f t="shared" si="26"/>
        <v>0</v>
      </c>
      <c r="DE51" s="903">
        <f t="shared" si="26"/>
        <v>0</v>
      </c>
      <c r="DF51" s="903">
        <f t="shared" si="26"/>
        <v>0</v>
      </c>
      <c r="DG51" s="903">
        <f t="shared" si="26"/>
        <v>0</v>
      </c>
      <c r="DH51" s="903">
        <f t="shared" si="26"/>
        <v>0</v>
      </c>
      <c r="DI51" s="903">
        <f t="shared" si="26"/>
        <v>0</v>
      </c>
      <c r="DJ51" s="903">
        <f t="shared" si="26"/>
        <v>0</v>
      </c>
      <c r="DK51" s="903">
        <f t="shared" si="26"/>
        <v>0</v>
      </c>
      <c r="DL51" s="903">
        <f t="shared" si="26"/>
        <v>0</v>
      </c>
      <c r="DM51" s="903">
        <f t="shared" si="26"/>
        <v>0</v>
      </c>
      <c r="DN51" s="903">
        <f t="shared" si="26"/>
        <v>0</v>
      </c>
      <c r="DO51" s="903">
        <f t="shared" si="26"/>
        <v>0</v>
      </c>
      <c r="DP51" s="903">
        <f t="shared" si="26"/>
        <v>0</v>
      </c>
      <c r="DQ51" s="903">
        <f t="shared" si="26"/>
        <v>0</v>
      </c>
      <c r="DR51" s="903">
        <f t="shared" si="26"/>
        <v>0</v>
      </c>
      <c r="DS51" s="903">
        <f t="shared" si="26"/>
        <v>0</v>
      </c>
      <c r="DT51" s="903">
        <f t="shared" si="26"/>
        <v>0</v>
      </c>
      <c r="DU51" s="903">
        <f t="shared" si="26"/>
        <v>0</v>
      </c>
      <c r="DV51" s="903">
        <f t="shared" si="26"/>
        <v>0</v>
      </c>
      <c r="DW51" s="903">
        <f t="shared" si="26"/>
        <v>0</v>
      </c>
    </row>
    <row r="52" spans="2:127" ht="11.25" customHeight="1">
      <c r="K52" s="5" t="b">
        <f ca="1">K51='IS(M)'!K57</f>
        <v>1</v>
      </c>
    </row>
    <row r="54" spans="2:127" ht="11.25" customHeight="1">
      <c r="B54" s="155" t="s">
        <v>242</v>
      </c>
      <c r="C54" s="155"/>
      <c r="D54" s="155"/>
      <c r="E54" s="155"/>
      <c r="F54" s="155"/>
      <c r="G54" s="155"/>
      <c r="H54" s="155"/>
      <c r="I54" s="191"/>
      <c r="J54" s="192"/>
      <c r="K54" s="915"/>
      <c r="M54" s="210">
        <f>M10</f>
        <v>46326</v>
      </c>
      <c r="N54" s="210">
        <f t="shared" ref="N54:BY54" si="27">N10</f>
        <v>46507</v>
      </c>
      <c r="O54" s="210">
        <f t="shared" si="27"/>
        <v>46691</v>
      </c>
      <c r="P54" s="210">
        <f t="shared" si="27"/>
        <v>46873</v>
      </c>
      <c r="Q54" s="210">
        <f t="shared" si="27"/>
        <v>47057</v>
      </c>
      <c r="R54" s="210">
        <f t="shared" si="27"/>
        <v>47238</v>
      </c>
      <c r="S54" s="210">
        <f t="shared" si="27"/>
        <v>47422</v>
      </c>
      <c r="T54" s="210">
        <f t="shared" si="27"/>
        <v>47603</v>
      </c>
      <c r="U54" s="210">
        <f t="shared" si="27"/>
        <v>47787</v>
      </c>
      <c r="V54" s="210">
        <f t="shared" si="27"/>
        <v>47968</v>
      </c>
      <c r="W54" s="210">
        <f t="shared" si="27"/>
        <v>48152</v>
      </c>
      <c r="X54" s="210">
        <f t="shared" si="27"/>
        <v>48334</v>
      </c>
      <c r="Y54" s="210">
        <f t="shared" si="27"/>
        <v>48518</v>
      </c>
      <c r="Z54" s="210">
        <f t="shared" si="27"/>
        <v>48699</v>
      </c>
      <c r="AA54" s="210">
        <f t="shared" si="27"/>
        <v>48883</v>
      </c>
      <c r="AB54" s="210">
        <f t="shared" si="27"/>
        <v>49064</v>
      </c>
      <c r="AC54" s="210">
        <f t="shared" si="27"/>
        <v>49248</v>
      </c>
      <c r="AD54" s="210">
        <f t="shared" si="27"/>
        <v>49429</v>
      </c>
      <c r="AE54" s="210">
        <f t="shared" si="27"/>
        <v>49613</v>
      </c>
      <c r="AF54" s="210">
        <f t="shared" si="27"/>
        <v>49795</v>
      </c>
      <c r="AG54" s="210">
        <f t="shared" si="27"/>
        <v>49979</v>
      </c>
      <c r="AH54" s="210">
        <f t="shared" si="27"/>
        <v>50160</v>
      </c>
      <c r="AI54" s="210">
        <f t="shared" si="27"/>
        <v>50344</v>
      </c>
      <c r="AJ54" s="210">
        <f t="shared" si="27"/>
        <v>50525</v>
      </c>
      <c r="AK54" s="210">
        <f t="shared" si="27"/>
        <v>50709</v>
      </c>
      <c r="AL54" s="210">
        <f t="shared" si="27"/>
        <v>50890</v>
      </c>
      <c r="AM54" s="210">
        <f t="shared" si="27"/>
        <v>51074</v>
      </c>
      <c r="AN54" s="210">
        <f t="shared" si="27"/>
        <v>51256</v>
      </c>
      <c r="AO54" s="210">
        <f t="shared" si="27"/>
        <v>51440</v>
      </c>
      <c r="AP54" s="210">
        <f t="shared" si="27"/>
        <v>51621</v>
      </c>
      <c r="AQ54" s="210">
        <f t="shared" si="27"/>
        <v>51805</v>
      </c>
      <c r="AR54" s="210">
        <f t="shared" si="27"/>
        <v>51986</v>
      </c>
      <c r="AS54" s="210">
        <f t="shared" si="27"/>
        <v>52170</v>
      </c>
      <c r="AT54" s="210">
        <f t="shared" si="27"/>
        <v>52351</v>
      </c>
      <c r="AU54" s="210">
        <f t="shared" si="27"/>
        <v>52535</v>
      </c>
      <c r="AV54" s="210">
        <f t="shared" si="27"/>
        <v>52717</v>
      </c>
      <c r="AW54" s="210">
        <f t="shared" si="27"/>
        <v>52901</v>
      </c>
      <c r="AX54" s="210">
        <f t="shared" si="27"/>
        <v>53082</v>
      </c>
      <c r="AY54" s="210">
        <f t="shared" si="27"/>
        <v>53266</v>
      </c>
      <c r="AZ54" s="210">
        <f t="shared" si="27"/>
        <v>53447</v>
      </c>
      <c r="BA54" s="210">
        <f t="shared" si="27"/>
        <v>53631</v>
      </c>
      <c r="BB54" s="210">
        <f t="shared" si="27"/>
        <v>53812</v>
      </c>
      <c r="BC54" s="210">
        <f t="shared" si="27"/>
        <v>53996</v>
      </c>
      <c r="BD54" s="210">
        <f t="shared" si="27"/>
        <v>54178</v>
      </c>
      <c r="BE54" s="210">
        <f t="shared" si="27"/>
        <v>54362</v>
      </c>
      <c r="BF54" s="210">
        <f t="shared" si="27"/>
        <v>54543</v>
      </c>
      <c r="BG54" s="210">
        <f t="shared" si="27"/>
        <v>54727</v>
      </c>
      <c r="BH54" s="210">
        <f t="shared" si="27"/>
        <v>54908</v>
      </c>
      <c r="BI54" s="210">
        <f t="shared" si="27"/>
        <v>55092</v>
      </c>
      <c r="BJ54" s="210">
        <f t="shared" si="27"/>
        <v>55273</v>
      </c>
      <c r="BK54" s="210">
        <f t="shared" si="27"/>
        <v>55457</v>
      </c>
      <c r="BL54" s="210">
        <f t="shared" si="27"/>
        <v>55639</v>
      </c>
      <c r="BM54" s="210">
        <f t="shared" si="27"/>
        <v>55823</v>
      </c>
      <c r="BN54" s="210">
        <f t="shared" si="27"/>
        <v>56004</v>
      </c>
      <c r="BO54" s="210">
        <f t="shared" si="27"/>
        <v>56188</v>
      </c>
      <c r="BP54" s="210">
        <f t="shared" si="27"/>
        <v>56369</v>
      </c>
      <c r="BQ54" s="210">
        <f t="shared" si="27"/>
        <v>56553</v>
      </c>
      <c r="BR54" s="210">
        <f t="shared" si="27"/>
        <v>56734</v>
      </c>
      <c r="BS54" s="210">
        <f t="shared" si="27"/>
        <v>56918</v>
      </c>
      <c r="BT54" s="210">
        <f t="shared" si="27"/>
        <v>57100</v>
      </c>
      <c r="BU54" s="210">
        <f t="shared" si="27"/>
        <v>57284</v>
      </c>
      <c r="BV54" s="210">
        <f t="shared" si="27"/>
        <v>57465</v>
      </c>
      <c r="BW54" s="210">
        <f t="shared" si="27"/>
        <v>57649</v>
      </c>
      <c r="BX54" s="210">
        <f t="shared" si="27"/>
        <v>57830</v>
      </c>
      <c r="BY54" s="210">
        <f t="shared" si="27"/>
        <v>58014</v>
      </c>
      <c r="BZ54" s="210">
        <f t="shared" ref="BZ54:DW54" si="28">BZ10</f>
        <v>58195</v>
      </c>
      <c r="CA54" s="210">
        <f t="shared" si="28"/>
        <v>58379</v>
      </c>
      <c r="CB54" s="210">
        <f t="shared" si="28"/>
        <v>58561</v>
      </c>
      <c r="CC54" s="210">
        <f t="shared" si="28"/>
        <v>58745</v>
      </c>
      <c r="CD54" s="210">
        <f t="shared" si="28"/>
        <v>58926</v>
      </c>
      <c r="CE54" s="210">
        <f t="shared" si="28"/>
        <v>59110</v>
      </c>
      <c r="CF54" s="210">
        <f t="shared" si="28"/>
        <v>59291</v>
      </c>
      <c r="CG54" s="210">
        <f t="shared" si="28"/>
        <v>59475</v>
      </c>
      <c r="CH54" s="210">
        <f t="shared" si="28"/>
        <v>59656</v>
      </c>
      <c r="CI54" s="210">
        <f t="shared" si="28"/>
        <v>59840</v>
      </c>
      <c r="CJ54" s="210">
        <f t="shared" si="28"/>
        <v>60022</v>
      </c>
      <c r="CK54" s="210">
        <f t="shared" si="28"/>
        <v>60206</v>
      </c>
      <c r="CL54" s="210">
        <f t="shared" si="28"/>
        <v>60387</v>
      </c>
      <c r="CM54" s="210">
        <f t="shared" si="28"/>
        <v>60571</v>
      </c>
      <c r="CN54" s="210">
        <f t="shared" si="28"/>
        <v>60752</v>
      </c>
      <c r="CO54" s="210">
        <f t="shared" si="28"/>
        <v>60936</v>
      </c>
      <c r="CP54" s="210">
        <f t="shared" si="28"/>
        <v>61117</v>
      </c>
      <c r="CQ54" s="210">
        <f t="shared" si="28"/>
        <v>61301</v>
      </c>
      <c r="CR54" s="210">
        <f t="shared" si="28"/>
        <v>61483</v>
      </c>
      <c r="CS54" s="210">
        <f t="shared" si="28"/>
        <v>61667</v>
      </c>
      <c r="CT54" s="210">
        <f t="shared" si="28"/>
        <v>61848</v>
      </c>
      <c r="CU54" s="210">
        <f t="shared" si="28"/>
        <v>62032</v>
      </c>
      <c r="CV54" s="210">
        <f t="shared" si="28"/>
        <v>62213</v>
      </c>
      <c r="CW54" s="210">
        <f t="shared" si="28"/>
        <v>62397</v>
      </c>
      <c r="CX54" s="210">
        <f t="shared" si="28"/>
        <v>62578</v>
      </c>
      <c r="CY54" s="210">
        <f t="shared" si="28"/>
        <v>62762</v>
      </c>
      <c r="CZ54" s="210">
        <f t="shared" si="28"/>
        <v>62944</v>
      </c>
      <c r="DA54" s="210">
        <f t="shared" si="28"/>
        <v>63128</v>
      </c>
      <c r="DB54" s="210">
        <f t="shared" si="28"/>
        <v>63309</v>
      </c>
      <c r="DC54" s="210">
        <f t="shared" si="28"/>
        <v>63493</v>
      </c>
      <c r="DD54" s="210">
        <f t="shared" si="28"/>
        <v>63674</v>
      </c>
      <c r="DE54" s="210">
        <f t="shared" si="28"/>
        <v>63858</v>
      </c>
      <c r="DF54" s="210">
        <f t="shared" si="28"/>
        <v>64039</v>
      </c>
      <c r="DG54" s="210">
        <f t="shared" si="28"/>
        <v>64223</v>
      </c>
      <c r="DH54" s="210">
        <f t="shared" si="28"/>
        <v>64405</v>
      </c>
      <c r="DI54" s="210">
        <f t="shared" si="28"/>
        <v>64589</v>
      </c>
      <c r="DJ54" s="210">
        <f t="shared" si="28"/>
        <v>64770</v>
      </c>
      <c r="DK54" s="210">
        <f t="shared" si="28"/>
        <v>64954</v>
      </c>
      <c r="DL54" s="210">
        <f t="shared" si="28"/>
        <v>65135</v>
      </c>
      <c r="DM54" s="210">
        <f t="shared" si="28"/>
        <v>65319</v>
      </c>
      <c r="DN54" s="210">
        <f t="shared" si="28"/>
        <v>65500</v>
      </c>
      <c r="DO54" s="210">
        <f t="shared" si="28"/>
        <v>65684</v>
      </c>
      <c r="DP54" s="210">
        <f t="shared" si="28"/>
        <v>65866</v>
      </c>
      <c r="DQ54" s="210">
        <f t="shared" si="28"/>
        <v>66050</v>
      </c>
      <c r="DR54" s="210">
        <f t="shared" si="28"/>
        <v>66231</v>
      </c>
      <c r="DS54" s="210">
        <f t="shared" si="28"/>
        <v>66415</v>
      </c>
      <c r="DT54" s="210">
        <f t="shared" si="28"/>
        <v>66596</v>
      </c>
      <c r="DU54" s="210">
        <f t="shared" si="28"/>
        <v>66780</v>
      </c>
      <c r="DV54" s="210">
        <f t="shared" si="28"/>
        <v>66961</v>
      </c>
      <c r="DW54" s="210">
        <f t="shared" si="28"/>
        <v>67145</v>
      </c>
    </row>
    <row r="55" spans="2:127" ht="11.25" customHeight="1">
      <c r="B55" s="211" t="s">
        <v>548</v>
      </c>
      <c r="C55" s="212"/>
      <c r="D55" s="212"/>
      <c r="E55" s="212"/>
      <c r="F55" s="212"/>
      <c r="G55" s="212"/>
      <c r="H55" s="212"/>
      <c r="I55" s="213"/>
      <c r="J55" s="696"/>
      <c r="K55" s="916"/>
      <c r="M55" s="235">
        <f>SUM(M56:M57)</f>
        <v>0</v>
      </c>
      <c r="N55" s="235">
        <f t="shared" ref="N55:BY55" ca="1" si="29">SUM(N56:N57)</f>
        <v>838089.55217138468</v>
      </c>
      <c r="O55" s="235">
        <f t="shared" ca="1" si="29"/>
        <v>1402056.0553606518</v>
      </c>
      <c r="P55" s="235">
        <f t="shared" ca="1" si="29"/>
        <v>1160308.7775758759</v>
      </c>
      <c r="Q55" s="235">
        <f t="shared" ca="1" si="29"/>
        <v>1578975.7674178018</v>
      </c>
      <c r="R55" s="235">
        <f t="shared" ca="1" si="29"/>
        <v>1520467.5732215715</v>
      </c>
      <c r="S55" s="235">
        <f t="shared" ca="1" si="29"/>
        <v>-3472738.7754206713</v>
      </c>
      <c r="T55" s="235">
        <f t="shared" ca="1" si="29"/>
        <v>1954717.9304889953</v>
      </c>
      <c r="U55" s="235">
        <f t="shared" ca="1" si="29"/>
        <v>2229942.2398968586</v>
      </c>
      <c r="V55" s="235">
        <f t="shared" ca="1" si="29"/>
        <v>2218335.2526325621</v>
      </c>
      <c r="W55" s="235">
        <f t="shared" ca="1" si="29"/>
        <v>2446845.783225894</v>
      </c>
      <c r="X55" s="235">
        <f t="shared" ca="1" si="29"/>
        <v>2753511.7459248034</v>
      </c>
      <c r="Y55" s="235">
        <f t="shared" ca="1" si="29"/>
        <v>2987735.0397829702</v>
      </c>
      <c r="Z55" s="235">
        <f t="shared" ca="1" si="29"/>
        <v>2974225.0160240461</v>
      </c>
      <c r="AA55" s="235">
        <f t="shared" ca="1" si="29"/>
        <v>3214303.8922286662</v>
      </c>
      <c r="AB55" s="235">
        <f t="shared" ca="1" si="29"/>
        <v>3200110.0758641767</v>
      </c>
      <c r="AC55" s="235">
        <f t="shared" ca="1" si="29"/>
        <v>2547702.6972966138</v>
      </c>
      <c r="AD55" s="235">
        <f t="shared" ca="1" si="29"/>
        <v>3244047.9855807289</v>
      </c>
      <c r="AE55" s="235">
        <f t="shared" ca="1" si="29"/>
        <v>3459376.3884551087</v>
      </c>
      <c r="AF55" s="235">
        <f t="shared" ca="1" si="29"/>
        <v>3570852.9526719525</v>
      </c>
      <c r="AG55" s="235">
        <f t="shared" ca="1" si="29"/>
        <v>3697372.6921172934</v>
      </c>
      <c r="AH55" s="235">
        <f t="shared" ca="1" si="29"/>
        <v>0</v>
      </c>
      <c r="AI55" s="235">
        <f t="shared" ca="1" si="29"/>
        <v>0</v>
      </c>
      <c r="AJ55" s="235">
        <f t="shared" ca="1" si="29"/>
        <v>0</v>
      </c>
      <c r="AK55" s="235">
        <f t="shared" si="29"/>
        <v>0</v>
      </c>
      <c r="AL55" s="235">
        <f t="shared" si="29"/>
        <v>0</v>
      </c>
      <c r="AM55" s="235">
        <f t="shared" si="29"/>
        <v>0</v>
      </c>
      <c r="AN55" s="235">
        <f t="shared" si="29"/>
        <v>0</v>
      </c>
      <c r="AO55" s="235">
        <f t="shared" si="29"/>
        <v>0</v>
      </c>
      <c r="AP55" s="235">
        <f t="shared" si="29"/>
        <v>0</v>
      </c>
      <c r="AQ55" s="235">
        <f t="shared" si="29"/>
        <v>0</v>
      </c>
      <c r="AR55" s="235">
        <f t="shared" si="29"/>
        <v>0</v>
      </c>
      <c r="AS55" s="235">
        <f t="shared" si="29"/>
        <v>0</v>
      </c>
      <c r="AT55" s="235">
        <f t="shared" si="29"/>
        <v>0</v>
      </c>
      <c r="AU55" s="235">
        <f t="shared" si="29"/>
        <v>0</v>
      </c>
      <c r="AV55" s="235">
        <f t="shared" si="29"/>
        <v>0</v>
      </c>
      <c r="AW55" s="235">
        <f t="shared" si="29"/>
        <v>0</v>
      </c>
      <c r="AX55" s="235">
        <f t="shared" si="29"/>
        <v>0</v>
      </c>
      <c r="AY55" s="235">
        <f t="shared" si="29"/>
        <v>0</v>
      </c>
      <c r="AZ55" s="235">
        <f t="shared" si="29"/>
        <v>0</v>
      </c>
      <c r="BA55" s="235">
        <f t="shared" si="29"/>
        <v>0</v>
      </c>
      <c r="BB55" s="235">
        <f t="shared" si="29"/>
        <v>0</v>
      </c>
      <c r="BC55" s="235">
        <f t="shared" si="29"/>
        <v>0</v>
      </c>
      <c r="BD55" s="235">
        <f t="shared" si="29"/>
        <v>0</v>
      </c>
      <c r="BE55" s="235">
        <f t="shared" si="29"/>
        <v>0</v>
      </c>
      <c r="BF55" s="235">
        <f t="shared" si="29"/>
        <v>0</v>
      </c>
      <c r="BG55" s="235">
        <f t="shared" si="29"/>
        <v>0</v>
      </c>
      <c r="BH55" s="235">
        <f t="shared" si="29"/>
        <v>0</v>
      </c>
      <c r="BI55" s="235">
        <f t="shared" si="29"/>
        <v>0</v>
      </c>
      <c r="BJ55" s="235">
        <f t="shared" si="29"/>
        <v>0</v>
      </c>
      <c r="BK55" s="235">
        <f t="shared" si="29"/>
        <v>0</v>
      </c>
      <c r="BL55" s="235">
        <f t="shared" si="29"/>
        <v>0</v>
      </c>
      <c r="BM55" s="235">
        <f t="shared" si="29"/>
        <v>0</v>
      </c>
      <c r="BN55" s="235">
        <f t="shared" si="29"/>
        <v>0</v>
      </c>
      <c r="BO55" s="235">
        <f t="shared" si="29"/>
        <v>0</v>
      </c>
      <c r="BP55" s="235">
        <f t="shared" si="29"/>
        <v>0</v>
      </c>
      <c r="BQ55" s="235">
        <f t="shared" si="29"/>
        <v>0</v>
      </c>
      <c r="BR55" s="235">
        <f t="shared" si="29"/>
        <v>0</v>
      </c>
      <c r="BS55" s="235">
        <f t="shared" si="29"/>
        <v>0</v>
      </c>
      <c r="BT55" s="235">
        <f t="shared" si="29"/>
        <v>0</v>
      </c>
      <c r="BU55" s="235">
        <f t="shared" si="29"/>
        <v>0</v>
      </c>
      <c r="BV55" s="235">
        <f t="shared" si="29"/>
        <v>0</v>
      </c>
      <c r="BW55" s="235">
        <f t="shared" si="29"/>
        <v>0</v>
      </c>
      <c r="BX55" s="235">
        <f t="shared" si="29"/>
        <v>0</v>
      </c>
      <c r="BY55" s="235">
        <f t="shared" si="29"/>
        <v>0</v>
      </c>
      <c r="BZ55" s="235">
        <f t="shared" ref="BZ55:DW55" si="30">SUM(BZ56:BZ57)</f>
        <v>0</v>
      </c>
      <c r="CA55" s="235">
        <f t="shared" si="30"/>
        <v>0</v>
      </c>
      <c r="CB55" s="235">
        <f t="shared" si="30"/>
        <v>0</v>
      </c>
      <c r="CC55" s="235">
        <f t="shared" si="30"/>
        <v>0</v>
      </c>
      <c r="CD55" s="235">
        <f t="shared" si="30"/>
        <v>0</v>
      </c>
      <c r="CE55" s="235">
        <f t="shared" si="30"/>
        <v>0</v>
      </c>
      <c r="CF55" s="235">
        <f t="shared" si="30"/>
        <v>0</v>
      </c>
      <c r="CG55" s="235">
        <f t="shared" si="30"/>
        <v>0</v>
      </c>
      <c r="CH55" s="235">
        <f t="shared" si="30"/>
        <v>0</v>
      </c>
      <c r="CI55" s="235">
        <f t="shared" si="30"/>
        <v>0</v>
      </c>
      <c r="CJ55" s="235">
        <f t="shared" si="30"/>
        <v>0</v>
      </c>
      <c r="CK55" s="235">
        <f t="shared" si="30"/>
        <v>0</v>
      </c>
      <c r="CL55" s="235">
        <f t="shared" si="30"/>
        <v>0</v>
      </c>
      <c r="CM55" s="235">
        <f t="shared" si="30"/>
        <v>0</v>
      </c>
      <c r="CN55" s="235">
        <f t="shared" si="30"/>
        <v>0</v>
      </c>
      <c r="CO55" s="235">
        <f t="shared" si="30"/>
        <v>0</v>
      </c>
      <c r="CP55" s="235">
        <f t="shared" si="30"/>
        <v>0</v>
      </c>
      <c r="CQ55" s="235">
        <f t="shared" si="30"/>
        <v>0</v>
      </c>
      <c r="CR55" s="235">
        <f t="shared" si="30"/>
        <v>0</v>
      </c>
      <c r="CS55" s="235">
        <f t="shared" si="30"/>
        <v>0</v>
      </c>
      <c r="CT55" s="235">
        <f t="shared" si="30"/>
        <v>0</v>
      </c>
      <c r="CU55" s="235">
        <f t="shared" si="30"/>
        <v>0</v>
      </c>
      <c r="CV55" s="235">
        <f t="shared" si="30"/>
        <v>0</v>
      </c>
      <c r="CW55" s="235">
        <f t="shared" si="30"/>
        <v>0</v>
      </c>
      <c r="CX55" s="235">
        <f t="shared" si="30"/>
        <v>0</v>
      </c>
      <c r="CY55" s="235">
        <f t="shared" si="30"/>
        <v>0</v>
      </c>
      <c r="CZ55" s="235">
        <f t="shared" si="30"/>
        <v>0</v>
      </c>
      <c r="DA55" s="235">
        <f t="shared" si="30"/>
        <v>0</v>
      </c>
      <c r="DB55" s="235">
        <f t="shared" si="30"/>
        <v>0</v>
      </c>
      <c r="DC55" s="235">
        <f t="shared" si="30"/>
        <v>0</v>
      </c>
      <c r="DD55" s="235">
        <f t="shared" si="30"/>
        <v>0</v>
      </c>
      <c r="DE55" s="235">
        <f t="shared" si="30"/>
        <v>0</v>
      </c>
      <c r="DF55" s="235">
        <f t="shared" si="30"/>
        <v>0</v>
      </c>
      <c r="DG55" s="235">
        <f t="shared" si="30"/>
        <v>0</v>
      </c>
      <c r="DH55" s="235">
        <f t="shared" si="30"/>
        <v>0</v>
      </c>
      <c r="DI55" s="235">
        <f t="shared" si="30"/>
        <v>0</v>
      </c>
      <c r="DJ55" s="235">
        <f t="shared" si="30"/>
        <v>0</v>
      </c>
      <c r="DK55" s="235">
        <f t="shared" si="30"/>
        <v>0</v>
      </c>
      <c r="DL55" s="235">
        <f t="shared" si="30"/>
        <v>0</v>
      </c>
      <c r="DM55" s="235">
        <f t="shared" si="30"/>
        <v>0</v>
      </c>
      <c r="DN55" s="235">
        <f t="shared" si="30"/>
        <v>0</v>
      </c>
      <c r="DO55" s="235">
        <f t="shared" si="30"/>
        <v>0</v>
      </c>
      <c r="DP55" s="235">
        <f t="shared" si="30"/>
        <v>0</v>
      </c>
      <c r="DQ55" s="235">
        <f t="shared" si="30"/>
        <v>0</v>
      </c>
      <c r="DR55" s="235">
        <f t="shared" si="30"/>
        <v>0</v>
      </c>
      <c r="DS55" s="235">
        <f t="shared" si="30"/>
        <v>0</v>
      </c>
      <c r="DT55" s="235">
        <f t="shared" si="30"/>
        <v>0</v>
      </c>
      <c r="DU55" s="235">
        <f t="shared" si="30"/>
        <v>0</v>
      </c>
      <c r="DV55" s="235">
        <f t="shared" si="30"/>
        <v>0</v>
      </c>
      <c r="DW55" s="235">
        <f t="shared" si="30"/>
        <v>0</v>
      </c>
    </row>
    <row r="56" spans="2:127" ht="11.25" customHeight="1">
      <c r="B56" s="218"/>
      <c r="C56" s="904" t="s">
        <v>538</v>
      </c>
      <c r="D56" s="905"/>
      <c r="E56" s="905"/>
      <c r="F56" s="905"/>
      <c r="G56" s="905"/>
      <c r="H56" s="905"/>
      <c r="I56" s="906"/>
      <c r="J56" s="907"/>
      <c r="K56" s="917">
        <f ca="1">SUM(M56:DW56)</f>
        <v>9349368.6425172836</v>
      </c>
      <c r="L56" s="98"/>
      <c r="M56" s="908">
        <f>SUMIF('IS(M)'!$M$11:$ER$11,M$7,'IS(M)'!$M62:$ER62)</f>
        <v>0</v>
      </c>
      <c r="N56" s="908">
        <f ca="1">SUMIF('IS(M)'!$M$11:$ER$11,N$7,'IS(M)'!$M62:$ER62)</f>
        <v>-870753.94782861532</v>
      </c>
      <c r="O56" s="908">
        <f ca="1">SUMIF('IS(M)'!$M$11:$ER$11,O$7,'IS(M)'!$M62:$ER62)</f>
        <v>-306787.44463934819</v>
      </c>
      <c r="P56" s="908">
        <f ca="1">SUMIF('IS(M)'!$M$11:$ER$11,P$7,'IS(M)'!$M62:$ER62)</f>
        <v>-548534.72242412413</v>
      </c>
      <c r="Q56" s="908">
        <f ca="1">SUMIF('IS(M)'!$M$11:$ER$11,Q$7,'IS(M)'!$M62:$ER62)</f>
        <v>-129867.73258219822</v>
      </c>
      <c r="R56" s="908">
        <f ca="1">SUMIF('IS(M)'!$M$11:$ER$11,R$7,'IS(M)'!$M62:$ER62)</f>
        <v>-188375.92677842849</v>
      </c>
      <c r="S56" s="908">
        <f ca="1">SUMIF('IS(M)'!$M$11:$ER$11,S$7,'IS(M)'!$M62:$ER62)</f>
        <v>-5181582.2754206713</v>
      </c>
      <c r="T56" s="908">
        <f ca="1">SUMIF('IS(M)'!$M$11:$ER$11,T$7,'IS(M)'!$M62:$ER62)</f>
        <v>245874.43048899528</v>
      </c>
      <c r="U56" s="908">
        <f ca="1">SUMIF('IS(M)'!$M$11:$ER$11,U$7,'IS(M)'!$M62:$ER62)</f>
        <v>521098.73989685846</v>
      </c>
      <c r="V56" s="908">
        <f ca="1">SUMIF('IS(M)'!$M$11:$ER$11,V$7,'IS(M)'!$M62:$ER62)</f>
        <v>509491.75263256207</v>
      </c>
      <c r="W56" s="908">
        <f ca="1">SUMIF('IS(M)'!$M$11:$ER$11,W$7,'IS(M)'!$M62:$ER62)</f>
        <v>738002.28322589421</v>
      </c>
      <c r="X56" s="908">
        <f ca="1">SUMIF('IS(M)'!$M$11:$ER$11,X$7,'IS(M)'!$M62:$ER62)</f>
        <v>1044668.2459248032</v>
      </c>
      <c r="Y56" s="908">
        <f ca="1">SUMIF('IS(M)'!$M$11:$ER$11,Y$7,'IS(M)'!$M62:$ER62)</f>
        <v>1278891.5397829702</v>
      </c>
      <c r="Z56" s="908">
        <f ca="1">SUMIF('IS(M)'!$M$11:$ER$11,Z$7,'IS(M)'!$M62:$ER62)</f>
        <v>1265381.5160240461</v>
      </c>
      <c r="AA56" s="908">
        <f ca="1">SUMIF('IS(M)'!$M$11:$ER$11,AA$7,'IS(M)'!$M62:$ER62)</f>
        <v>1505460.3922286662</v>
      </c>
      <c r="AB56" s="908">
        <f ca="1">SUMIF('IS(M)'!$M$11:$ER$11,AB$7,'IS(M)'!$M62:$ER62)</f>
        <v>1491266.5758641767</v>
      </c>
      <c r="AC56" s="908">
        <f ca="1">SUMIF('IS(M)'!$M$11:$ER$11,AC$7,'IS(M)'!$M62:$ER62)</f>
        <v>838859.19729661371</v>
      </c>
      <c r="AD56" s="908">
        <f ca="1">SUMIF('IS(M)'!$M$11:$ER$11,AD$7,'IS(M)'!$M62:$ER62)</f>
        <v>1535204.4855807289</v>
      </c>
      <c r="AE56" s="908">
        <f ca="1">SUMIF('IS(M)'!$M$11:$ER$11,AE$7,'IS(M)'!$M62:$ER62)</f>
        <v>1750532.8884551085</v>
      </c>
      <c r="AF56" s="908">
        <f ca="1">SUMIF('IS(M)'!$M$11:$ER$11,AF$7,'IS(M)'!$M62:$ER62)</f>
        <v>1862009.4526719525</v>
      </c>
      <c r="AG56" s="908">
        <f ca="1">SUMIF('IS(M)'!$M$11:$ER$11,AG$7,'IS(M)'!$M62:$ER62)</f>
        <v>1988529.1921172934</v>
      </c>
      <c r="AH56" s="908">
        <f ca="1">SUMIF('IS(M)'!$M$11:$ER$11,AH$7,'IS(M)'!$M62:$ER62)</f>
        <v>0</v>
      </c>
      <c r="AI56" s="908">
        <f ca="1">SUMIF('IS(M)'!$M$11:$ER$11,AI$7,'IS(M)'!$M62:$ER62)</f>
        <v>0</v>
      </c>
      <c r="AJ56" s="908">
        <f ca="1">SUMIF('IS(M)'!$M$11:$ER$11,AJ$7,'IS(M)'!$M62:$ER62)</f>
        <v>0</v>
      </c>
      <c r="AK56" s="908">
        <f>SUMIF('IS(M)'!$M$11:$ER$11,AK$7,'IS(M)'!$M62:$ER62)</f>
        <v>0</v>
      </c>
      <c r="AL56" s="908">
        <f>SUMIF('IS(M)'!$M$11:$ER$11,AL$7,'IS(M)'!$M62:$ER62)</f>
        <v>0</v>
      </c>
      <c r="AM56" s="908">
        <f>SUMIF('IS(M)'!$M$11:$ER$11,AM$7,'IS(M)'!$M62:$ER62)</f>
        <v>0</v>
      </c>
      <c r="AN56" s="908">
        <f>SUMIF('IS(M)'!$M$11:$ER$11,AN$7,'IS(M)'!$M62:$ER62)</f>
        <v>0</v>
      </c>
      <c r="AO56" s="908">
        <f>SUMIF('IS(M)'!$M$11:$ER$11,AO$7,'IS(M)'!$M62:$ER62)</f>
        <v>0</v>
      </c>
      <c r="AP56" s="908">
        <f>SUMIF('IS(M)'!$M$11:$ER$11,AP$7,'IS(M)'!$M62:$ER62)</f>
        <v>0</v>
      </c>
      <c r="AQ56" s="908">
        <f>SUMIF('IS(M)'!$M$11:$ER$11,AQ$7,'IS(M)'!$M62:$ER62)</f>
        <v>0</v>
      </c>
      <c r="AR56" s="908">
        <f>SUMIF('IS(M)'!$M$11:$ER$11,AR$7,'IS(M)'!$M62:$ER62)</f>
        <v>0</v>
      </c>
      <c r="AS56" s="908">
        <f>SUMIF('IS(M)'!$M$11:$ER$11,AS$7,'IS(M)'!$M62:$ER62)</f>
        <v>0</v>
      </c>
      <c r="AT56" s="908">
        <f>SUMIF('IS(M)'!$M$11:$ER$11,AT$7,'IS(M)'!$M62:$ER62)</f>
        <v>0</v>
      </c>
      <c r="AU56" s="908">
        <f>SUMIF('IS(M)'!$M$11:$ER$11,AU$7,'IS(M)'!$M62:$ER62)</f>
        <v>0</v>
      </c>
      <c r="AV56" s="908">
        <f>SUMIF('IS(M)'!$M$11:$ER$11,AV$7,'IS(M)'!$M62:$ER62)</f>
        <v>0</v>
      </c>
      <c r="AW56" s="908">
        <f>SUMIF('IS(M)'!$M$11:$ER$11,AW$7,'IS(M)'!$M62:$ER62)</f>
        <v>0</v>
      </c>
      <c r="AX56" s="908">
        <f>SUMIF('IS(M)'!$M$11:$ER$11,AX$7,'IS(M)'!$M62:$ER62)</f>
        <v>0</v>
      </c>
      <c r="AY56" s="908">
        <f>SUMIF('IS(M)'!$M$11:$ER$11,AY$7,'IS(M)'!$M62:$ER62)</f>
        <v>0</v>
      </c>
      <c r="AZ56" s="908">
        <f>SUMIF('IS(M)'!$M$11:$ER$11,AZ$7,'IS(M)'!$M62:$ER62)</f>
        <v>0</v>
      </c>
      <c r="BA56" s="908">
        <f>SUMIF('IS(M)'!$M$11:$ER$11,BA$7,'IS(M)'!$M62:$ER62)</f>
        <v>0</v>
      </c>
      <c r="BB56" s="908">
        <f>SUMIF('IS(M)'!$M$11:$ER$11,BB$7,'IS(M)'!$M62:$ER62)</f>
        <v>0</v>
      </c>
      <c r="BC56" s="908">
        <f>SUMIF('IS(M)'!$M$11:$ER$11,BC$7,'IS(M)'!$M62:$ER62)</f>
        <v>0</v>
      </c>
      <c r="BD56" s="908">
        <f>SUMIF('IS(M)'!$M$11:$ER$11,BD$7,'IS(M)'!$M62:$ER62)</f>
        <v>0</v>
      </c>
      <c r="BE56" s="908">
        <f>SUMIF('IS(M)'!$M$11:$ER$11,BE$7,'IS(M)'!$M62:$ER62)</f>
        <v>0</v>
      </c>
      <c r="BF56" s="908">
        <f>SUMIF('IS(M)'!$M$11:$ER$11,BF$7,'IS(M)'!$M62:$ER62)</f>
        <v>0</v>
      </c>
      <c r="BG56" s="908">
        <f>SUMIF('IS(M)'!$M$11:$ER$11,BG$7,'IS(M)'!$M62:$ER62)</f>
        <v>0</v>
      </c>
      <c r="BH56" s="908">
        <f>SUMIF('IS(M)'!$M$11:$ER$11,BH$7,'IS(M)'!$M62:$ER62)</f>
        <v>0</v>
      </c>
      <c r="BI56" s="908">
        <f>SUMIF('IS(M)'!$M$11:$ER$11,BI$7,'IS(M)'!$M62:$ER62)</f>
        <v>0</v>
      </c>
      <c r="BJ56" s="908">
        <f>SUMIF('IS(M)'!$M$11:$ER$11,BJ$7,'IS(M)'!$M62:$ER62)</f>
        <v>0</v>
      </c>
      <c r="BK56" s="908">
        <f>SUMIF('IS(M)'!$M$11:$ER$11,BK$7,'IS(M)'!$M62:$ER62)</f>
        <v>0</v>
      </c>
      <c r="BL56" s="908">
        <f>SUMIF('IS(M)'!$M$11:$ER$11,BL$7,'IS(M)'!$M62:$ER62)</f>
        <v>0</v>
      </c>
      <c r="BM56" s="908">
        <f>SUMIF('IS(M)'!$M$11:$ER$11,BM$7,'IS(M)'!$M62:$ER62)</f>
        <v>0</v>
      </c>
      <c r="BN56" s="908">
        <f>SUMIF('IS(M)'!$M$11:$ER$11,BN$7,'IS(M)'!$M62:$ER62)</f>
        <v>0</v>
      </c>
      <c r="BO56" s="908">
        <f>SUMIF('IS(M)'!$M$11:$ER$11,BO$7,'IS(M)'!$M62:$ER62)</f>
        <v>0</v>
      </c>
      <c r="BP56" s="908">
        <f>SUMIF('IS(M)'!$M$11:$ER$11,BP$7,'IS(M)'!$M62:$ER62)</f>
        <v>0</v>
      </c>
      <c r="BQ56" s="908">
        <f>SUMIF('IS(M)'!$M$11:$ER$11,BQ$7,'IS(M)'!$M62:$ER62)</f>
        <v>0</v>
      </c>
      <c r="BR56" s="908">
        <f>SUMIF('IS(M)'!$M$11:$ER$11,BR$7,'IS(M)'!$M62:$ER62)</f>
        <v>0</v>
      </c>
      <c r="BS56" s="908">
        <f>SUMIF('IS(M)'!$M$11:$ER$11,BS$7,'IS(M)'!$M62:$ER62)</f>
        <v>0</v>
      </c>
      <c r="BT56" s="908">
        <f>SUMIF('IS(M)'!$M$11:$ER$11,BT$7,'IS(M)'!$M62:$ER62)</f>
        <v>0</v>
      </c>
      <c r="BU56" s="908">
        <f>SUMIF('IS(M)'!$M$11:$ER$11,BU$7,'IS(M)'!$M62:$ER62)</f>
        <v>0</v>
      </c>
      <c r="BV56" s="908">
        <f>SUMIF('IS(M)'!$M$11:$ER$11,BV$7,'IS(M)'!$M62:$ER62)</f>
        <v>0</v>
      </c>
      <c r="BW56" s="908">
        <f>SUMIF('IS(M)'!$M$11:$ER$11,BW$7,'IS(M)'!$M62:$ER62)</f>
        <v>0</v>
      </c>
      <c r="BX56" s="908">
        <f>SUMIF('IS(M)'!$M$11:$ER$11,BX$7,'IS(M)'!$M62:$ER62)</f>
        <v>0</v>
      </c>
      <c r="BY56" s="908">
        <f>SUMIF('IS(M)'!$M$11:$ER$11,BY$7,'IS(M)'!$M62:$ER62)</f>
        <v>0</v>
      </c>
      <c r="BZ56" s="908">
        <f>SUMIF('IS(M)'!$M$11:$ER$11,BZ$7,'IS(M)'!$M62:$ER62)</f>
        <v>0</v>
      </c>
      <c r="CA56" s="908">
        <f>SUMIF('IS(M)'!$M$11:$ER$11,CA$7,'IS(M)'!$M62:$ER62)</f>
        <v>0</v>
      </c>
      <c r="CB56" s="908">
        <f>SUMIF('IS(M)'!$M$11:$ER$11,CB$7,'IS(M)'!$M62:$ER62)</f>
        <v>0</v>
      </c>
      <c r="CC56" s="908">
        <f>SUMIF('IS(M)'!$M$11:$ER$11,CC$7,'IS(M)'!$M62:$ER62)</f>
        <v>0</v>
      </c>
      <c r="CD56" s="908">
        <f>SUMIF('IS(M)'!$M$11:$ER$11,CD$7,'IS(M)'!$M62:$ER62)</f>
        <v>0</v>
      </c>
      <c r="CE56" s="908">
        <f>SUMIF('IS(M)'!$M$11:$ER$11,CE$7,'IS(M)'!$M62:$ER62)</f>
        <v>0</v>
      </c>
      <c r="CF56" s="908">
        <f>SUMIF('IS(M)'!$M$11:$ER$11,CF$7,'IS(M)'!$M62:$ER62)</f>
        <v>0</v>
      </c>
      <c r="CG56" s="908">
        <f>SUMIF('IS(M)'!$M$11:$ER$11,CG$7,'IS(M)'!$M62:$ER62)</f>
        <v>0</v>
      </c>
      <c r="CH56" s="908">
        <f>SUMIF('IS(M)'!$M$11:$ER$11,CH$7,'IS(M)'!$M62:$ER62)</f>
        <v>0</v>
      </c>
      <c r="CI56" s="908">
        <f>SUMIF('IS(M)'!$M$11:$ER$11,CI$7,'IS(M)'!$M62:$ER62)</f>
        <v>0</v>
      </c>
      <c r="CJ56" s="908">
        <f>SUMIF('IS(M)'!$M$11:$ER$11,CJ$7,'IS(M)'!$M62:$ER62)</f>
        <v>0</v>
      </c>
      <c r="CK56" s="908">
        <f>SUMIF('IS(M)'!$M$11:$ER$11,CK$7,'IS(M)'!$M62:$ER62)</f>
        <v>0</v>
      </c>
      <c r="CL56" s="908">
        <f>SUMIF('IS(M)'!$M$11:$ER$11,CL$7,'IS(M)'!$M62:$ER62)</f>
        <v>0</v>
      </c>
      <c r="CM56" s="908">
        <f>SUMIF('IS(M)'!$M$11:$ER$11,CM$7,'IS(M)'!$M62:$ER62)</f>
        <v>0</v>
      </c>
      <c r="CN56" s="908">
        <f>SUMIF('IS(M)'!$M$11:$ER$11,CN$7,'IS(M)'!$M62:$ER62)</f>
        <v>0</v>
      </c>
      <c r="CO56" s="908">
        <f>SUMIF('IS(M)'!$M$11:$ER$11,CO$7,'IS(M)'!$M62:$ER62)</f>
        <v>0</v>
      </c>
      <c r="CP56" s="908">
        <f>SUMIF('IS(M)'!$M$11:$ER$11,CP$7,'IS(M)'!$M62:$ER62)</f>
        <v>0</v>
      </c>
      <c r="CQ56" s="908">
        <f>SUMIF('IS(M)'!$M$11:$ER$11,CQ$7,'IS(M)'!$M62:$ER62)</f>
        <v>0</v>
      </c>
      <c r="CR56" s="908">
        <f>SUMIF('IS(M)'!$M$11:$ER$11,CR$7,'IS(M)'!$M62:$ER62)</f>
        <v>0</v>
      </c>
      <c r="CS56" s="908">
        <f>SUMIF('IS(M)'!$M$11:$ER$11,CS$7,'IS(M)'!$M62:$ER62)</f>
        <v>0</v>
      </c>
      <c r="CT56" s="908">
        <f>SUMIF('IS(M)'!$M$11:$ER$11,CT$7,'IS(M)'!$M62:$ER62)</f>
        <v>0</v>
      </c>
      <c r="CU56" s="908">
        <f>SUMIF('IS(M)'!$M$11:$ER$11,CU$7,'IS(M)'!$M62:$ER62)</f>
        <v>0</v>
      </c>
      <c r="CV56" s="908">
        <f>SUMIF('IS(M)'!$M$11:$ER$11,CV$7,'IS(M)'!$M62:$ER62)</f>
        <v>0</v>
      </c>
      <c r="CW56" s="908">
        <f>SUMIF('IS(M)'!$M$11:$ER$11,CW$7,'IS(M)'!$M62:$ER62)</f>
        <v>0</v>
      </c>
      <c r="CX56" s="908">
        <f>SUMIF('IS(M)'!$M$11:$ER$11,CX$7,'IS(M)'!$M62:$ER62)</f>
        <v>0</v>
      </c>
      <c r="CY56" s="908">
        <f>SUMIF('IS(M)'!$M$11:$ER$11,CY$7,'IS(M)'!$M62:$ER62)</f>
        <v>0</v>
      </c>
      <c r="CZ56" s="908">
        <f>SUMIF('IS(M)'!$M$11:$ER$11,CZ$7,'IS(M)'!$M62:$ER62)</f>
        <v>0</v>
      </c>
      <c r="DA56" s="908">
        <f>SUMIF('IS(M)'!$M$11:$ER$11,DA$7,'IS(M)'!$M62:$ER62)</f>
        <v>0</v>
      </c>
      <c r="DB56" s="908">
        <f>SUMIF('IS(M)'!$M$11:$ER$11,DB$7,'IS(M)'!$M62:$ER62)</f>
        <v>0</v>
      </c>
      <c r="DC56" s="908">
        <f>SUMIF('IS(M)'!$M$11:$ER$11,DC$7,'IS(M)'!$M62:$ER62)</f>
        <v>0</v>
      </c>
      <c r="DD56" s="908">
        <f>SUMIF('IS(M)'!$M$11:$ER$11,DD$7,'IS(M)'!$M62:$ER62)</f>
        <v>0</v>
      </c>
      <c r="DE56" s="908">
        <f>SUMIF('IS(M)'!$M$11:$ER$11,DE$7,'IS(M)'!$M62:$ER62)</f>
        <v>0</v>
      </c>
      <c r="DF56" s="908">
        <f>SUMIF('IS(M)'!$M$11:$ER$11,DF$7,'IS(M)'!$M62:$ER62)</f>
        <v>0</v>
      </c>
      <c r="DG56" s="908">
        <f>SUMIF('IS(M)'!$M$11:$ER$11,DG$7,'IS(M)'!$M62:$ER62)</f>
        <v>0</v>
      </c>
      <c r="DH56" s="908">
        <f>SUMIF('IS(M)'!$M$11:$ER$11,DH$7,'IS(M)'!$M62:$ER62)</f>
        <v>0</v>
      </c>
      <c r="DI56" s="908">
        <f>SUMIF('IS(M)'!$M$11:$ER$11,DI$7,'IS(M)'!$M62:$ER62)</f>
        <v>0</v>
      </c>
      <c r="DJ56" s="908">
        <f>SUMIF('IS(M)'!$M$11:$ER$11,DJ$7,'IS(M)'!$M62:$ER62)</f>
        <v>0</v>
      </c>
      <c r="DK56" s="908">
        <f>SUMIF('IS(M)'!$M$11:$ER$11,DK$7,'IS(M)'!$M62:$ER62)</f>
        <v>0</v>
      </c>
      <c r="DL56" s="908">
        <f>SUMIF('IS(M)'!$M$11:$ER$11,DL$7,'IS(M)'!$M62:$ER62)</f>
        <v>0</v>
      </c>
      <c r="DM56" s="908">
        <f>SUMIF('IS(M)'!$M$11:$ER$11,DM$7,'IS(M)'!$M62:$ER62)</f>
        <v>0</v>
      </c>
      <c r="DN56" s="908">
        <f>SUMIF('IS(M)'!$M$11:$ER$11,DN$7,'IS(M)'!$M62:$ER62)</f>
        <v>0</v>
      </c>
      <c r="DO56" s="908">
        <f>SUMIF('IS(M)'!$M$11:$ER$11,DO$7,'IS(M)'!$M62:$ER62)</f>
        <v>0</v>
      </c>
      <c r="DP56" s="908">
        <f>SUMIF('IS(M)'!$M$11:$ER$11,DP$7,'IS(M)'!$M62:$ER62)</f>
        <v>0</v>
      </c>
      <c r="DQ56" s="908">
        <f>SUMIF('IS(M)'!$M$11:$ER$11,DQ$7,'IS(M)'!$M62:$ER62)</f>
        <v>0</v>
      </c>
      <c r="DR56" s="908">
        <f>SUMIF('IS(M)'!$M$11:$ER$11,DR$7,'IS(M)'!$M62:$ER62)</f>
        <v>0</v>
      </c>
      <c r="DS56" s="908">
        <f>SUMIF('IS(M)'!$M$11:$ER$11,DS$7,'IS(M)'!$M62:$ER62)</f>
        <v>0</v>
      </c>
      <c r="DT56" s="908">
        <f>SUMIF('IS(M)'!$M$11:$ER$11,DT$7,'IS(M)'!$M62:$ER62)</f>
        <v>0</v>
      </c>
      <c r="DU56" s="908">
        <f>SUMIF('IS(M)'!$M$11:$ER$11,DU$7,'IS(M)'!$M62:$ER62)</f>
        <v>0</v>
      </c>
      <c r="DV56" s="908">
        <f>SUMIF('IS(M)'!$M$11:$ER$11,DV$7,'IS(M)'!$M62:$ER62)</f>
        <v>0</v>
      </c>
      <c r="DW56" s="908">
        <f>SUMIF('IS(M)'!$M$11:$ER$11,DW$7,'IS(M)'!$M62:$ER62)</f>
        <v>0</v>
      </c>
    </row>
    <row r="57" spans="2:127" ht="11.25" customHeight="1">
      <c r="B57" s="218"/>
      <c r="C57" s="911" t="s">
        <v>549</v>
      </c>
      <c r="D57" s="912"/>
      <c r="E57" s="912"/>
      <c r="F57" s="912"/>
      <c r="G57" s="912"/>
      <c r="H57" s="912"/>
      <c r="I57" s="913"/>
      <c r="J57" s="914"/>
      <c r="K57" s="918">
        <f>SUM(M57:DW57)</f>
        <v>34176870</v>
      </c>
      <c r="L57" s="98"/>
      <c r="M57" s="171">
        <f>SUMIF('IS(M)'!$M$11:$ER$11,M$7,'IS(M)'!$M63:$ER63)</f>
        <v>0</v>
      </c>
      <c r="N57" s="171">
        <f>SUMIF('IS(M)'!$M$11:$ER$11,N$7,'IS(M)'!$M63:$ER63)</f>
        <v>1708843.5</v>
      </c>
      <c r="O57" s="171">
        <f>SUMIF('IS(M)'!$M$11:$ER$11,O$7,'IS(M)'!$M63:$ER63)</f>
        <v>1708843.5</v>
      </c>
      <c r="P57" s="171">
        <f>SUMIF('IS(M)'!$M$11:$ER$11,P$7,'IS(M)'!$M63:$ER63)</f>
        <v>1708843.5</v>
      </c>
      <c r="Q57" s="171">
        <f>SUMIF('IS(M)'!$M$11:$ER$11,Q$7,'IS(M)'!$M63:$ER63)</f>
        <v>1708843.5</v>
      </c>
      <c r="R57" s="171">
        <f>SUMIF('IS(M)'!$M$11:$ER$11,R$7,'IS(M)'!$M63:$ER63)</f>
        <v>1708843.5</v>
      </c>
      <c r="S57" s="171">
        <f>SUMIF('IS(M)'!$M$11:$ER$11,S$7,'IS(M)'!$M63:$ER63)</f>
        <v>1708843.5</v>
      </c>
      <c r="T57" s="171">
        <f>SUMIF('IS(M)'!$M$11:$ER$11,T$7,'IS(M)'!$M63:$ER63)</f>
        <v>1708843.5</v>
      </c>
      <c r="U57" s="171">
        <f>SUMIF('IS(M)'!$M$11:$ER$11,U$7,'IS(M)'!$M63:$ER63)</f>
        <v>1708843.5</v>
      </c>
      <c r="V57" s="171">
        <f>SUMIF('IS(M)'!$M$11:$ER$11,V$7,'IS(M)'!$M63:$ER63)</f>
        <v>1708843.5</v>
      </c>
      <c r="W57" s="171">
        <f>SUMIF('IS(M)'!$M$11:$ER$11,W$7,'IS(M)'!$M63:$ER63)</f>
        <v>1708843.5</v>
      </c>
      <c r="X57" s="171">
        <f>SUMIF('IS(M)'!$M$11:$ER$11,X$7,'IS(M)'!$M63:$ER63)</f>
        <v>1708843.5</v>
      </c>
      <c r="Y57" s="171">
        <f>SUMIF('IS(M)'!$M$11:$ER$11,Y$7,'IS(M)'!$M63:$ER63)</f>
        <v>1708843.5</v>
      </c>
      <c r="Z57" s="171">
        <f>SUMIF('IS(M)'!$M$11:$ER$11,Z$7,'IS(M)'!$M63:$ER63)</f>
        <v>1708843.5</v>
      </c>
      <c r="AA57" s="171">
        <f>SUMIF('IS(M)'!$M$11:$ER$11,AA$7,'IS(M)'!$M63:$ER63)</f>
        <v>1708843.5</v>
      </c>
      <c r="AB57" s="171">
        <f>SUMIF('IS(M)'!$M$11:$ER$11,AB$7,'IS(M)'!$M63:$ER63)</f>
        <v>1708843.5</v>
      </c>
      <c r="AC57" s="171">
        <f>SUMIF('IS(M)'!$M$11:$ER$11,AC$7,'IS(M)'!$M63:$ER63)</f>
        <v>1708843.5</v>
      </c>
      <c r="AD57" s="171">
        <f>SUMIF('IS(M)'!$M$11:$ER$11,AD$7,'IS(M)'!$M63:$ER63)</f>
        <v>1708843.5</v>
      </c>
      <c r="AE57" s="171">
        <f>SUMIF('IS(M)'!$M$11:$ER$11,AE$7,'IS(M)'!$M63:$ER63)</f>
        <v>1708843.5</v>
      </c>
      <c r="AF57" s="171">
        <f>SUMIF('IS(M)'!$M$11:$ER$11,AF$7,'IS(M)'!$M63:$ER63)</f>
        <v>1708843.5</v>
      </c>
      <c r="AG57" s="171">
        <f>SUMIF('IS(M)'!$M$11:$ER$11,AG$7,'IS(M)'!$M63:$ER63)</f>
        <v>1708843.5</v>
      </c>
      <c r="AH57" s="171">
        <f>SUMIF('IS(M)'!$M$11:$ER$11,AH$7,'IS(M)'!$M63:$ER63)</f>
        <v>0</v>
      </c>
      <c r="AI57" s="171">
        <f>SUMIF('IS(M)'!$M$11:$ER$11,AI$7,'IS(M)'!$M63:$ER63)</f>
        <v>0</v>
      </c>
      <c r="AJ57" s="171">
        <f>SUMIF('IS(M)'!$M$11:$ER$11,AJ$7,'IS(M)'!$M63:$ER63)</f>
        <v>0</v>
      </c>
      <c r="AK57" s="171">
        <f>SUMIF('IS(M)'!$M$11:$ER$11,AK$7,'IS(M)'!$M63:$ER63)</f>
        <v>0</v>
      </c>
      <c r="AL57" s="171">
        <f>SUMIF('IS(M)'!$M$11:$ER$11,AL$7,'IS(M)'!$M63:$ER63)</f>
        <v>0</v>
      </c>
      <c r="AM57" s="171">
        <f>SUMIF('IS(M)'!$M$11:$ER$11,AM$7,'IS(M)'!$M63:$ER63)</f>
        <v>0</v>
      </c>
      <c r="AN57" s="171">
        <f>SUMIF('IS(M)'!$M$11:$ER$11,AN$7,'IS(M)'!$M63:$ER63)</f>
        <v>0</v>
      </c>
      <c r="AO57" s="171">
        <f>SUMIF('IS(M)'!$M$11:$ER$11,AO$7,'IS(M)'!$M63:$ER63)</f>
        <v>0</v>
      </c>
      <c r="AP57" s="171">
        <f>SUMIF('IS(M)'!$M$11:$ER$11,AP$7,'IS(M)'!$M63:$ER63)</f>
        <v>0</v>
      </c>
      <c r="AQ57" s="171">
        <f>SUMIF('IS(M)'!$M$11:$ER$11,AQ$7,'IS(M)'!$M63:$ER63)</f>
        <v>0</v>
      </c>
      <c r="AR57" s="171">
        <f>SUMIF('IS(M)'!$M$11:$ER$11,AR$7,'IS(M)'!$M63:$ER63)</f>
        <v>0</v>
      </c>
      <c r="AS57" s="171">
        <f>SUMIF('IS(M)'!$M$11:$ER$11,AS$7,'IS(M)'!$M63:$ER63)</f>
        <v>0</v>
      </c>
      <c r="AT57" s="171">
        <f>SUMIF('IS(M)'!$M$11:$ER$11,AT$7,'IS(M)'!$M63:$ER63)</f>
        <v>0</v>
      </c>
      <c r="AU57" s="171">
        <f>SUMIF('IS(M)'!$M$11:$ER$11,AU$7,'IS(M)'!$M63:$ER63)</f>
        <v>0</v>
      </c>
      <c r="AV57" s="171">
        <f>SUMIF('IS(M)'!$M$11:$ER$11,AV$7,'IS(M)'!$M63:$ER63)</f>
        <v>0</v>
      </c>
      <c r="AW57" s="171">
        <f>SUMIF('IS(M)'!$M$11:$ER$11,AW$7,'IS(M)'!$M63:$ER63)</f>
        <v>0</v>
      </c>
      <c r="AX57" s="171">
        <f>SUMIF('IS(M)'!$M$11:$ER$11,AX$7,'IS(M)'!$M63:$ER63)</f>
        <v>0</v>
      </c>
      <c r="AY57" s="171">
        <f>SUMIF('IS(M)'!$M$11:$ER$11,AY$7,'IS(M)'!$M63:$ER63)</f>
        <v>0</v>
      </c>
      <c r="AZ57" s="171">
        <f>SUMIF('IS(M)'!$M$11:$ER$11,AZ$7,'IS(M)'!$M63:$ER63)</f>
        <v>0</v>
      </c>
      <c r="BA57" s="171">
        <f>SUMIF('IS(M)'!$M$11:$ER$11,BA$7,'IS(M)'!$M63:$ER63)</f>
        <v>0</v>
      </c>
      <c r="BB57" s="171">
        <f>SUMIF('IS(M)'!$M$11:$ER$11,BB$7,'IS(M)'!$M63:$ER63)</f>
        <v>0</v>
      </c>
      <c r="BC57" s="171">
        <f>SUMIF('IS(M)'!$M$11:$ER$11,BC$7,'IS(M)'!$M63:$ER63)</f>
        <v>0</v>
      </c>
      <c r="BD57" s="171">
        <f>SUMIF('IS(M)'!$M$11:$ER$11,BD$7,'IS(M)'!$M63:$ER63)</f>
        <v>0</v>
      </c>
      <c r="BE57" s="171">
        <f>SUMIF('IS(M)'!$M$11:$ER$11,BE$7,'IS(M)'!$M63:$ER63)</f>
        <v>0</v>
      </c>
      <c r="BF57" s="171">
        <f>SUMIF('IS(M)'!$M$11:$ER$11,BF$7,'IS(M)'!$M63:$ER63)</f>
        <v>0</v>
      </c>
      <c r="BG57" s="171">
        <f>SUMIF('IS(M)'!$M$11:$ER$11,BG$7,'IS(M)'!$M63:$ER63)</f>
        <v>0</v>
      </c>
      <c r="BH57" s="171">
        <f>SUMIF('IS(M)'!$M$11:$ER$11,BH$7,'IS(M)'!$M63:$ER63)</f>
        <v>0</v>
      </c>
      <c r="BI57" s="171">
        <f>SUMIF('IS(M)'!$M$11:$ER$11,BI$7,'IS(M)'!$M63:$ER63)</f>
        <v>0</v>
      </c>
      <c r="BJ57" s="171">
        <f>SUMIF('IS(M)'!$M$11:$ER$11,BJ$7,'IS(M)'!$M63:$ER63)</f>
        <v>0</v>
      </c>
      <c r="BK57" s="171">
        <f>SUMIF('IS(M)'!$M$11:$ER$11,BK$7,'IS(M)'!$M63:$ER63)</f>
        <v>0</v>
      </c>
      <c r="BL57" s="171">
        <f>SUMIF('IS(M)'!$M$11:$ER$11,BL$7,'IS(M)'!$M63:$ER63)</f>
        <v>0</v>
      </c>
      <c r="BM57" s="171">
        <f>SUMIF('IS(M)'!$M$11:$ER$11,BM$7,'IS(M)'!$M63:$ER63)</f>
        <v>0</v>
      </c>
      <c r="BN57" s="171">
        <f>SUMIF('IS(M)'!$M$11:$ER$11,BN$7,'IS(M)'!$M63:$ER63)</f>
        <v>0</v>
      </c>
      <c r="BO57" s="171">
        <f>SUMIF('IS(M)'!$M$11:$ER$11,BO$7,'IS(M)'!$M63:$ER63)</f>
        <v>0</v>
      </c>
      <c r="BP57" s="171">
        <f>SUMIF('IS(M)'!$M$11:$ER$11,BP$7,'IS(M)'!$M63:$ER63)</f>
        <v>0</v>
      </c>
      <c r="BQ57" s="171">
        <f>SUMIF('IS(M)'!$M$11:$ER$11,BQ$7,'IS(M)'!$M63:$ER63)</f>
        <v>0</v>
      </c>
      <c r="BR57" s="171">
        <f>SUMIF('IS(M)'!$M$11:$ER$11,BR$7,'IS(M)'!$M63:$ER63)</f>
        <v>0</v>
      </c>
      <c r="BS57" s="171">
        <f>SUMIF('IS(M)'!$M$11:$ER$11,BS$7,'IS(M)'!$M63:$ER63)</f>
        <v>0</v>
      </c>
      <c r="BT57" s="171">
        <f>SUMIF('IS(M)'!$M$11:$ER$11,BT$7,'IS(M)'!$M63:$ER63)</f>
        <v>0</v>
      </c>
      <c r="BU57" s="171">
        <f>SUMIF('IS(M)'!$M$11:$ER$11,BU$7,'IS(M)'!$M63:$ER63)</f>
        <v>0</v>
      </c>
      <c r="BV57" s="171">
        <f>SUMIF('IS(M)'!$M$11:$ER$11,BV$7,'IS(M)'!$M63:$ER63)</f>
        <v>0</v>
      </c>
      <c r="BW57" s="171">
        <f>SUMIF('IS(M)'!$M$11:$ER$11,BW$7,'IS(M)'!$M63:$ER63)</f>
        <v>0</v>
      </c>
      <c r="BX57" s="171">
        <f>SUMIF('IS(M)'!$M$11:$ER$11,BX$7,'IS(M)'!$M63:$ER63)</f>
        <v>0</v>
      </c>
      <c r="BY57" s="171">
        <f>SUMIF('IS(M)'!$M$11:$ER$11,BY$7,'IS(M)'!$M63:$ER63)</f>
        <v>0</v>
      </c>
      <c r="BZ57" s="171">
        <f>SUMIF('IS(M)'!$M$11:$ER$11,BZ$7,'IS(M)'!$M63:$ER63)</f>
        <v>0</v>
      </c>
      <c r="CA57" s="171">
        <f>SUMIF('IS(M)'!$M$11:$ER$11,CA$7,'IS(M)'!$M63:$ER63)</f>
        <v>0</v>
      </c>
      <c r="CB57" s="171">
        <f>SUMIF('IS(M)'!$M$11:$ER$11,CB$7,'IS(M)'!$M63:$ER63)</f>
        <v>0</v>
      </c>
      <c r="CC57" s="171">
        <f>SUMIF('IS(M)'!$M$11:$ER$11,CC$7,'IS(M)'!$M63:$ER63)</f>
        <v>0</v>
      </c>
      <c r="CD57" s="171">
        <f>SUMIF('IS(M)'!$M$11:$ER$11,CD$7,'IS(M)'!$M63:$ER63)</f>
        <v>0</v>
      </c>
      <c r="CE57" s="171">
        <f>SUMIF('IS(M)'!$M$11:$ER$11,CE$7,'IS(M)'!$M63:$ER63)</f>
        <v>0</v>
      </c>
      <c r="CF57" s="171">
        <f>SUMIF('IS(M)'!$M$11:$ER$11,CF$7,'IS(M)'!$M63:$ER63)</f>
        <v>0</v>
      </c>
      <c r="CG57" s="171">
        <f>SUMIF('IS(M)'!$M$11:$ER$11,CG$7,'IS(M)'!$M63:$ER63)</f>
        <v>0</v>
      </c>
      <c r="CH57" s="171">
        <f>SUMIF('IS(M)'!$M$11:$ER$11,CH$7,'IS(M)'!$M63:$ER63)</f>
        <v>0</v>
      </c>
      <c r="CI57" s="171">
        <f>SUMIF('IS(M)'!$M$11:$ER$11,CI$7,'IS(M)'!$M63:$ER63)</f>
        <v>0</v>
      </c>
      <c r="CJ57" s="171">
        <f>SUMIF('IS(M)'!$M$11:$ER$11,CJ$7,'IS(M)'!$M63:$ER63)</f>
        <v>0</v>
      </c>
      <c r="CK57" s="171">
        <f>SUMIF('IS(M)'!$M$11:$ER$11,CK$7,'IS(M)'!$M63:$ER63)</f>
        <v>0</v>
      </c>
      <c r="CL57" s="171">
        <f>SUMIF('IS(M)'!$M$11:$ER$11,CL$7,'IS(M)'!$M63:$ER63)</f>
        <v>0</v>
      </c>
      <c r="CM57" s="171">
        <f>SUMIF('IS(M)'!$M$11:$ER$11,CM$7,'IS(M)'!$M63:$ER63)</f>
        <v>0</v>
      </c>
      <c r="CN57" s="171">
        <f>SUMIF('IS(M)'!$M$11:$ER$11,CN$7,'IS(M)'!$M63:$ER63)</f>
        <v>0</v>
      </c>
      <c r="CO57" s="171">
        <f>SUMIF('IS(M)'!$M$11:$ER$11,CO$7,'IS(M)'!$M63:$ER63)</f>
        <v>0</v>
      </c>
      <c r="CP57" s="171">
        <f>SUMIF('IS(M)'!$M$11:$ER$11,CP$7,'IS(M)'!$M63:$ER63)</f>
        <v>0</v>
      </c>
      <c r="CQ57" s="171">
        <f>SUMIF('IS(M)'!$M$11:$ER$11,CQ$7,'IS(M)'!$M63:$ER63)</f>
        <v>0</v>
      </c>
      <c r="CR57" s="171">
        <f>SUMIF('IS(M)'!$M$11:$ER$11,CR$7,'IS(M)'!$M63:$ER63)</f>
        <v>0</v>
      </c>
      <c r="CS57" s="171">
        <f>SUMIF('IS(M)'!$M$11:$ER$11,CS$7,'IS(M)'!$M63:$ER63)</f>
        <v>0</v>
      </c>
      <c r="CT57" s="171">
        <f>SUMIF('IS(M)'!$M$11:$ER$11,CT$7,'IS(M)'!$M63:$ER63)</f>
        <v>0</v>
      </c>
      <c r="CU57" s="171">
        <f>SUMIF('IS(M)'!$M$11:$ER$11,CU$7,'IS(M)'!$M63:$ER63)</f>
        <v>0</v>
      </c>
      <c r="CV57" s="171">
        <f>SUMIF('IS(M)'!$M$11:$ER$11,CV$7,'IS(M)'!$M63:$ER63)</f>
        <v>0</v>
      </c>
      <c r="CW57" s="171">
        <f>SUMIF('IS(M)'!$M$11:$ER$11,CW$7,'IS(M)'!$M63:$ER63)</f>
        <v>0</v>
      </c>
      <c r="CX57" s="171">
        <f>SUMIF('IS(M)'!$M$11:$ER$11,CX$7,'IS(M)'!$M63:$ER63)</f>
        <v>0</v>
      </c>
      <c r="CY57" s="171">
        <f>SUMIF('IS(M)'!$M$11:$ER$11,CY$7,'IS(M)'!$M63:$ER63)</f>
        <v>0</v>
      </c>
      <c r="CZ57" s="171">
        <f>SUMIF('IS(M)'!$M$11:$ER$11,CZ$7,'IS(M)'!$M63:$ER63)</f>
        <v>0</v>
      </c>
      <c r="DA57" s="171">
        <f>SUMIF('IS(M)'!$M$11:$ER$11,DA$7,'IS(M)'!$M63:$ER63)</f>
        <v>0</v>
      </c>
      <c r="DB57" s="171">
        <f>SUMIF('IS(M)'!$M$11:$ER$11,DB$7,'IS(M)'!$M63:$ER63)</f>
        <v>0</v>
      </c>
      <c r="DC57" s="171">
        <f>SUMIF('IS(M)'!$M$11:$ER$11,DC$7,'IS(M)'!$M63:$ER63)</f>
        <v>0</v>
      </c>
      <c r="DD57" s="171">
        <f>SUMIF('IS(M)'!$M$11:$ER$11,DD$7,'IS(M)'!$M63:$ER63)</f>
        <v>0</v>
      </c>
      <c r="DE57" s="171">
        <f>SUMIF('IS(M)'!$M$11:$ER$11,DE$7,'IS(M)'!$M63:$ER63)</f>
        <v>0</v>
      </c>
      <c r="DF57" s="171">
        <f>SUMIF('IS(M)'!$M$11:$ER$11,DF$7,'IS(M)'!$M63:$ER63)</f>
        <v>0</v>
      </c>
      <c r="DG57" s="171">
        <f>SUMIF('IS(M)'!$M$11:$ER$11,DG$7,'IS(M)'!$M63:$ER63)</f>
        <v>0</v>
      </c>
      <c r="DH57" s="171">
        <f>SUMIF('IS(M)'!$M$11:$ER$11,DH$7,'IS(M)'!$M63:$ER63)</f>
        <v>0</v>
      </c>
      <c r="DI57" s="171">
        <f>SUMIF('IS(M)'!$M$11:$ER$11,DI$7,'IS(M)'!$M63:$ER63)</f>
        <v>0</v>
      </c>
      <c r="DJ57" s="171">
        <f>SUMIF('IS(M)'!$M$11:$ER$11,DJ$7,'IS(M)'!$M63:$ER63)</f>
        <v>0</v>
      </c>
      <c r="DK57" s="171">
        <f>SUMIF('IS(M)'!$M$11:$ER$11,DK$7,'IS(M)'!$M63:$ER63)</f>
        <v>0</v>
      </c>
      <c r="DL57" s="171">
        <f>SUMIF('IS(M)'!$M$11:$ER$11,DL$7,'IS(M)'!$M63:$ER63)</f>
        <v>0</v>
      </c>
      <c r="DM57" s="171">
        <f>SUMIF('IS(M)'!$M$11:$ER$11,DM$7,'IS(M)'!$M63:$ER63)</f>
        <v>0</v>
      </c>
      <c r="DN57" s="171">
        <f>SUMIF('IS(M)'!$M$11:$ER$11,DN$7,'IS(M)'!$M63:$ER63)</f>
        <v>0</v>
      </c>
      <c r="DO57" s="171">
        <f>SUMIF('IS(M)'!$M$11:$ER$11,DO$7,'IS(M)'!$M63:$ER63)</f>
        <v>0</v>
      </c>
      <c r="DP57" s="171">
        <f>SUMIF('IS(M)'!$M$11:$ER$11,DP$7,'IS(M)'!$M63:$ER63)</f>
        <v>0</v>
      </c>
      <c r="DQ57" s="171">
        <f>SUMIF('IS(M)'!$M$11:$ER$11,DQ$7,'IS(M)'!$M63:$ER63)</f>
        <v>0</v>
      </c>
      <c r="DR57" s="171">
        <f>SUMIF('IS(M)'!$M$11:$ER$11,DR$7,'IS(M)'!$M63:$ER63)</f>
        <v>0</v>
      </c>
      <c r="DS57" s="171">
        <f>SUMIF('IS(M)'!$M$11:$ER$11,DS$7,'IS(M)'!$M63:$ER63)</f>
        <v>0</v>
      </c>
      <c r="DT57" s="171">
        <f>SUMIF('IS(M)'!$M$11:$ER$11,DT$7,'IS(M)'!$M63:$ER63)</f>
        <v>0</v>
      </c>
      <c r="DU57" s="171">
        <f>SUMIF('IS(M)'!$M$11:$ER$11,DU$7,'IS(M)'!$M63:$ER63)</f>
        <v>0</v>
      </c>
      <c r="DV57" s="171">
        <f>SUMIF('IS(M)'!$M$11:$ER$11,DV$7,'IS(M)'!$M63:$ER63)</f>
        <v>0</v>
      </c>
      <c r="DW57" s="171">
        <f>SUMIF('IS(M)'!$M$11:$ER$11,DW$7,'IS(M)'!$M63:$ER63)</f>
        <v>0</v>
      </c>
    </row>
    <row r="58" spans="2:127" ht="11.25" customHeight="1">
      <c r="B58" s="875" t="s">
        <v>547</v>
      </c>
      <c r="C58" s="876"/>
      <c r="D58" s="876"/>
      <c r="E58" s="876"/>
      <c r="F58" s="876"/>
      <c r="G58" s="876"/>
      <c r="H58" s="876"/>
      <c r="I58" s="877"/>
      <c r="J58" s="878"/>
      <c r="K58" s="919"/>
      <c r="M58" s="897"/>
      <c r="N58" s="897"/>
      <c r="O58" s="897"/>
      <c r="P58" s="897"/>
      <c r="Q58" s="897"/>
      <c r="R58" s="897"/>
      <c r="S58" s="897"/>
      <c r="T58" s="897"/>
      <c r="U58" s="897"/>
      <c r="V58" s="897"/>
      <c r="W58" s="897"/>
      <c r="X58" s="897"/>
      <c r="Y58" s="897"/>
      <c r="Z58" s="897"/>
      <c r="AA58" s="897"/>
      <c r="AB58" s="897"/>
      <c r="AC58" s="897"/>
      <c r="AD58" s="897"/>
      <c r="AE58" s="897"/>
      <c r="AF58" s="897"/>
      <c r="AG58" s="897"/>
      <c r="AH58" s="897"/>
      <c r="AI58" s="897"/>
      <c r="AJ58" s="897"/>
      <c r="AK58" s="897"/>
      <c r="AL58" s="897"/>
      <c r="AM58" s="897"/>
      <c r="AN58" s="897"/>
      <c r="AO58" s="897"/>
      <c r="AP58" s="897"/>
      <c r="AQ58" s="897"/>
      <c r="AR58" s="897"/>
      <c r="AS58" s="897"/>
      <c r="AT58" s="897"/>
      <c r="AU58" s="897"/>
      <c r="AV58" s="897"/>
      <c r="AW58" s="897"/>
      <c r="AX58" s="897"/>
      <c r="AY58" s="897"/>
      <c r="AZ58" s="897"/>
      <c r="BA58" s="897"/>
      <c r="BB58" s="897"/>
      <c r="BC58" s="897"/>
      <c r="BD58" s="897"/>
      <c r="BE58" s="897"/>
      <c r="BF58" s="897"/>
      <c r="BG58" s="897"/>
      <c r="BH58" s="897"/>
      <c r="BI58" s="897"/>
      <c r="BJ58" s="897"/>
      <c r="BK58" s="897"/>
      <c r="BL58" s="897"/>
      <c r="BM58" s="897"/>
      <c r="BN58" s="897"/>
      <c r="BO58" s="897"/>
      <c r="BP58" s="897"/>
      <c r="BQ58" s="897"/>
      <c r="BR58" s="897"/>
      <c r="BS58" s="897"/>
      <c r="BT58" s="897"/>
      <c r="BU58" s="897"/>
      <c r="BV58" s="897"/>
      <c r="BW58" s="897"/>
      <c r="BX58" s="897"/>
      <c r="BY58" s="897"/>
      <c r="BZ58" s="897"/>
      <c r="CA58" s="897"/>
      <c r="CB58" s="897"/>
      <c r="CC58" s="897"/>
      <c r="CD58" s="897"/>
      <c r="CE58" s="897"/>
      <c r="CF58" s="897"/>
      <c r="CG58" s="897"/>
      <c r="CH58" s="897"/>
      <c r="CI58" s="897"/>
      <c r="CJ58" s="897"/>
      <c r="CK58" s="897"/>
      <c r="CL58" s="897"/>
      <c r="CM58" s="897"/>
      <c r="CN58" s="897"/>
      <c r="CO58" s="897"/>
      <c r="CP58" s="897"/>
      <c r="CQ58" s="897"/>
      <c r="CR58" s="897"/>
      <c r="CS58" s="897"/>
      <c r="CT58" s="897"/>
      <c r="CU58" s="897"/>
      <c r="CV58" s="897"/>
      <c r="CW58" s="897"/>
      <c r="CX58" s="897"/>
      <c r="CY58" s="897"/>
      <c r="CZ58" s="897"/>
      <c r="DA58" s="897"/>
      <c r="DB58" s="897"/>
      <c r="DC58" s="897"/>
      <c r="DD58" s="897"/>
      <c r="DE58" s="897"/>
      <c r="DF58" s="897"/>
      <c r="DG58" s="897"/>
      <c r="DH58" s="897"/>
      <c r="DI58" s="897"/>
      <c r="DJ58" s="897"/>
      <c r="DK58" s="897"/>
      <c r="DL58" s="897"/>
      <c r="DM58" s="897"/>
      <c r="DN58" s="897"/>
      <c r="DO58" s="897"/>
      <c r="DP58" s="897"/>
      <c r="DQ58" s="897"/>
      <c r="DR58" s="897"/>
      <c r="DS58" s="897"/>
      <c r="DT58" s="897"/>
      <c r="DU58" s="897"/>
      <c r="DV58" s="897"/>
      <c r="DW58" s="897"/>
    </row>
    <row r="59" spans="2:127" ht="11.25" customHeight="1">
      <c r="B59" s="218"/>
      <c r="C59" s="904" t="s">
        <v>217</v>
      </c>
      <c r="D59" s="905"/>
      <c r="E59" s="905"/>
      <c r="F59" s="905"/>
      <c r="G59" s="905"/>
      <c r="H59" s="905"/>
      <c r="I59" s="906"/>
      <c r="J59" s="907"/>
      <c r="K59" s="917"/>
      <c r="L59" s="98"/>
      <c r="M59" s="908">
        <f>L62</f>
        <v>0</v>
      </c>
      <c r="N59" s="908">
        <f t="shared" ref="N59:BY59" si="31">M62</f>
        <v>0</v>
      </c>
      <c r="O59" s="908">
        <f t="shared" ca="1" si="31"/>
        <v>0</v>
      </c>
      <c r="P59" s="908">
        <f t="shared" ca="1" si="31"/>
        <v>0</v>
      </c>
      <c r="Q59" s="908">
        <f t="shared" ca="1" si="31"/>
        <v>0</v>
      </c>
      <c r="R59" s="908">
        <f t="shared" ca="1" si="31"/>
        <v>0</v>
      </c>
      <c r="S59" s="908">
        <f t="shared" ca="1" si="31"/>
        <v>0</v>
      </c>
      <c r="T59" s="908">
        <f t="shared" ca="1" si="31"/>
        <v>-3472738.7754206718</v>
      </c>
      <c r="U59" s="908">
        <f t="shared" ca="1" si="31"/>
        <v>-1518020.8449316765</v>
      </c>
      <c r="V59" s="908">
        <f t="shared" ca="1" si="31"/>
        <v>0</v>
      </c>
      <c r="W59" s="908">
        <f t="shared" ca="1" si="31"/>
        <v>0</v>
      </c>
      <c r="X59" s="908">
        <f t="shared" ca="1" si="31"/>
        <v>0</v>
      </c>
      <c r="Y59" s="908">
        <f t="shared" ca="1" si="31"/>
        <v>0</v>
      </c>
      <c r="Z59" s="908">
        <f t="shared" ca="1" si="31"/>
        <v>0</v>
      </c>
      <c r="AA59" s="908">
        <f t="shared" ca="1" si="31"/>
        <v>0</v>
      </c>
      <c r="AB59" s="908">
        <f t="shared" ca="1" si="31"/>
        <v>0</v>
      </c>
      <c r="AC59" s="908">
        <f t="shared" ca="1" si="31"/>
        <v>0</v>
      </c>
      <c r="AD59" s="908">
        <f t="shared" ca="1" si="31"/>
        <v>0</v>
      </c>
      <c r="AE59" s="908">
        <f t="shared" ca="1" si="31"/>
        <v>0</v>
      </c>
      <c r="AF59" s="908">
        <f t="shared" ca="1" si="31"/>
        <v>0</v>
      </c>
      <c r="AG59" s="908">
        <f t="shared" ca="1" si="31"/>
        <v>0</v>
      </c>
      <c r="AH59" s="908">
        <f t="shared" ca="1" si="31"/>
        <v>0</v>
      </c>
      <c r="AI59" s="908">
        <f t="shared" ca="1" si="31"/>
        <v>0</v>
      </c>
      <c r="AJ59" s="908">
        <f t="shared" ca="1" si="31"/>
        <v>0</v>
      </c>
      <c r="AK59" s="908">
        <f t="shared" ca="1" si="31"/>
        <v>0</v>
      </c>
      <c r="AL59" s="908">
        <f t="shared" ca="1" si="31"/>
        <v>0</v>
      </c>
      <c r="AM59" s="908">
        <f t="shared" ca="1" si="31"/>
        <v>0</v>
      </c>
      <c r="AN59" s="908">
        <f t="shared" ca="1" si="31"/>
        <v>0</v>
      </c>
      <c r="AO59" s="908">
        <f t="shared" ca="1" si="31"/>
        <v>0</v>
      </c>
      <c r="AP59" s="908">
        <f t="shared" ca="1" si="31"/>
        <v>0</v>
      </c>
      <c r="AQ59" s="908">
        <f t="shared" ca="1" si="31"/>
        <v>0</v>
      </c>
      <c r="AR59" s="908">
        <f t="shared" ca="1" si="31"/>
        <v>0</v>
      </c>
      <c r="AS59" s="908">
        <f t="shared" ca="1" si="31"/>
        <v>0</v>
      </c>
      <c r="AT59" s="908">
        <f t="shared" ca="1" si="31"/>
        <v>0</v>
      </c>
      <c r="AU59" s="908">
        <f t="shared" ca="1" si="31"/>
        <v>0</v>
      </c>
      <c r="AV59" s="908">
        <f t="shared" ca="1" si="31"/>
        <v>0</v>
      </c>
      <c r="AW59" s="908">
        <f t="shared" ca="1" si="31"/>
        <v>0</v>
      </c>
      <c r="AX59" s="908">
        <f t="shared" ca="1" si="31"/>
        <v>0</v>
      </c>
      <c r="AY59" s="908">
        <f t="shared" ca="1" si="31"/>
        <v>0</v>
      </c>
      <c r="AZ59" s="908">
        <f t="shared" ca="1" si="31"/>
        <v>0</v>
      </c>
      <c r="BA59" s="908">
        <f t="shared" ca="1" si="31"/>
        <v>0</v>
      </c>
      <c r="BB59" s="908">
        <f t="shared" ca="1" si="31"/>
        <v>0</v>
      </c>
      <c r="BC59" s="908">
        <f t="shared" ca="1" si="31"/>
        <v>0</v>
      </c>
      <c r="BD59" s="908">
        <f t="shared" ca="1" si="31"/>
        <v>0</v>
      </c>
      <c r="BE59" s="908">
        <f t="shared" ca="1" si="31"/>
        <v>0</v>
      </c>
      <c r="BF59" s="908">
        <f t="shared" ca="1" si="31"/>
        <v>0</v>
      </c>
      <c r="BG59" s="908">
        <f t="shared" ca="1" si="31"/>
        <v>0</v>
      </c>
      <c r="BH59" s="908">
        <f t="shared" ca="1" si="31"/>
        <v>0</v>
      </c>
      <c r="BI59" s="908">
        <f t="shared" ca="1" si="31"/>
        <v>0</v>
      </c>
      <c r="BJ59" s="908">
        <f t="shared" ca="1" si="31"/>
        <v>0</v>
      </c>
      <c r="BK59" s="908">
        <f t="shared" ca="1" si="31"/>
        <v>0</v>
      </c>
      <c r="BL59" s="908">
        <f t="shared" ca="1" si="31"/>
        <v>0</v>
      </c>
      <c r="BM59" s="908">
        <f t="shared" ca="1" si="31"/>
        <v>0</v>
      </c>
      <c r="BN59" s="908">
        <f t="shared" ca="1" si="31"/>
        <v>0</v>
      </c>
      <c r="BO59" s="908">
        <f t="shared" ca="1" si="31"/>
        <v>0</v>
      </c>
      <c r="BP59" s="908">
        <f t="shared" ca="1" si="31"/>
        <v>0</v>
      </c>
      <c r="BQ59" s="908">
        <f t="shared" ca="1" si="31"/>
        <v>0</v>
      </c>
      <c r="BR59" s="908">
        <f t="shared" ca="1" si="31"/>
        <v>0</v>
      </c>
      <c r="BS59" s="908">
        <f t="shared" ca="1" si="31"/>
        <v>0</v>
      </c>
      <c r="BT59" s="908">
        <f t="shared" ca="1" si="31"/>
        <v>0</v>
      </c>
      <c r="BU59" s="908">
        <f t="shared" ca="1" si="31"/>
        <v>0</v>
      </c>
      <c r="BV59" s="908">
        <f t="shared" ca="1" si="31"/>
        <v>0</v>
      </c>
      <c r="BW59" s="908">
        <f t="shared" ca="1" si="31"/>
        <v>0</v>
      </c>
      <c r="BX59" s="908">
        <f t="shared" ca="1" si="31"/>
        <v>0</v>
      </c>
      <c r="BY59" s="908">
        <f t="shared" ca="1" si="31"/>
        <v>0</v>
      </c>
      <c r="BZ59" s="908">
        <f t="shared" ref="BZ59:DW59" ca="1" si="32">BY62</f>
        <v>0</v>
      </c>
      <c r="CA59" s="908">
        <f t="shared" ca="1" si="32"/>
        <v>0</v>
      </c>
      <c r="CB59" s="908">
        <f t="shared" ca="1" si="32"/>
        <v>0</v>
      </c>
      <c r="CC59" s="908">
        <f t="shared" ca="1" si="32"/>
        <v>0</v>
      </c>
      <c r="CD59" s="908">
        <f t="shared" ca="1" si="32"/>
        <v>0</v>
      </c>
      <c r="CE59" s="908">
        <f t="shared" ca="1" si="32"/>
        <v>0</v>
      </c>
      <c r="CF59" s="908">
        <f t="shared" ca="1" si="32"/>
        <v>0</v>
      </c>
      <c r="CG59" s="908">
        <f t="shared" ca="1" si="32"/>
        <v>0</v>
      </c>
      <c r="CH59" s="908">
        <f t="shared" ca="1" si="32"/>
        <v>0</v>
      </c>
      <c r="CI59" s="908">
        <f t="shared" ca="1" si="32"/>
        <v>0</v>
      </c>
      <c r="CJ59" s="908">
        <f t="shared" ca="1" si="32"/>
        <v>0</v>
      </c>
      <c r="CK59" s="908">
        <f t="shared" ca="1" si="32"/>
        <v>0</v>
      </c>
      <c r="CL59" s="908">
        <f t="shared" ca="1" si="32"/>
        <v>0</v>
      </c>
      <c r="CM59" s="908">
        <f t="shared" ca="1" si="32"/>
        <v>0</v>
      </c>
      <c r="CN59" s="908">
        <f t="shared" ca="1" si="32"/>
        <v>0</v>
      </c>
      <c r="CO59" s="908">
        <f t="shared" ca="1" si="32"/>
        <v>0</v>
      </c>
      <c r="CP59" s="908">
        <f t="shared" ca="1" si="32"/>
        <v>0</v>
      </c>
      <c r="CQ59" s="908">
        <f t="shared" ca="1" si="32"/>
        <v>0</v>
      </c>
      <c r="CR59" s="908">
        <f t="shared" ca="1" si="32"/>
        <v>0</v>
      </c>
      <c r="CS59" s="908">
        <f t="shared" ca="1" si="32"/>
        <v>0</v>
      </c>
      <c r="CT59" s="908">
        <f t="shared" ca="1" si="32"/>
        <v>0</v>
      </c>
      <c r="CU59" s="908">
        <f t="shared" ca="1" si="32"/>
        <v>0</v>
      </c>
      <c r="CV59" s="908">
        <f t="shared" ca="1" si="32"/>
        <v>0</v>
      </c>
      <c r="CW59" s="908">
        <f t="shared" ca="1" si="32"/>
        <v>0</v>
      </c>
      <c r="CX59" s="908">
        <f t="shared" ca="1" si="32"/>
        <v>0</v>
      </c>
      <c r="CY59" s="908">
        <f t="shared" ca="1" si="32"/>
        <v>0</v>
      </c>
      <c r="CZ59" s="908">
        <f t="shared" ca="1" si="32"/>
        <v>0</v>
      </c>
      <c r="DA59" s="908">
        <f t="shared" ca="1" si="32"/>
        <v>0</v>
      </c>
      <c r="DB59" s="908">
        <f t="shared" ca="1" si="32"/>
        <v>0</v>
      </c>
      <c r="DC59" s="908">
        <f t="shared" ca="1" si="32"/>
        <v>0</v>
      </c>
      <c r="DD59" s="908">
        <f t="shared" ca="1" si="32"/>
        <v>0</v>
      </c>
      <c r="DE59" s="908">
        <f t="shared" ca="1" si="32"/>
        <v>0</v>
      </c>
      <c r="DF59" s="908">
        <f t="shared" ca="1" si="32"/>
        <v>0</v>
      </c>
      <c r="DG59" s="908">
        <f t="shared" ca="1" si="32"/>
        <v>0</v>
      </c>
      <c r="DH59" s="908">
        <f t="shared" ca="1" si="32"/>
        <v>0</v>
      </c>
      <c r="DI59" s="908">
        <f t="shared" ca="1" si="32"/>
        <v>0</v>
      </c>
      <c r="DJ59" s="908">
        <f t="shared" ca="1" si="32"/>
        <v>0</v>
      </c>
      <c r="DK59" s="908">
        <f t="shared" ca="1" si="32"/>
        <v>0</v>
      </c>
      <c r="DL59" s="908">
        <f t="shared" ca="1" si="32"/>
        <v>0</v>
      </c>
      <c r="DM59" s="908">
        <f t="shared" ca="1" si="32"/>
        <v>0</v>
      </c>
      <c r="DN59" s="908">
        <f t="shared" ca="1" si="32"/>
        <v>0</v>
      </c>
      <c r="DO59" s="908">
        <f t="shared" ca="1" si="32"/>
        <v>0</v>
      </c>
      <c r="DP59" s="908">
        <f t="shared" ca="1" si="32"/>
        <v>0</v>
      </c>
      <c r="DQ59" s="908">
        <f t="shared" ca="1" si="32"/>
        <v>0</v>
      </c>
      <c r="DR59" s="908">
        <f t="shared" ca="1" si="32"/>
        <v>0</v>
      </c>
      <c r="DS59" s="908">
        <f t="shared" ca="1" si="32"/>
        <v>0</v>
      </c>
      <c r="DT59" s="908">
        <f t="shared" ca="1" si="32"/>
        <v>0</v>
      </c>
      <c r="DU59" s="908">
        <f t="shared" ca="1" si="32"/>
        <v>0</v>
      </c>
      <c r="DV59" s="908">
        <f t="shared" ca="1" si="32"/>
        <v>0</v>
      </c>
      <c r="DW59" s="908">
        <f t="shared" ca="1" si="32"/>
        <v>0</v>
      </c>
    </row>
    <row r="60" spans="2:127" ht="11.25" customHeight="1">
      <c r="B60" s="218"/>
      <c r="C60" s="2726" t="s">
        <v>218</v>
      </c>
      <c r="D60" s="2727"/>
      <c r="E60" s="2727"/>
      <c r="F60" s="2727"/>
      <c r="G60" s="2727"/>
      <c r="H60" s="2727"/>
      <c r="I60" s="2728"/>
      <c r="J60" s="2729"/>
      <c r="K60" s="2730">
        <f ca="1">SUM(M60:DW60)</f>
        <v>43526238.642517284</v>
      </c>
      <c r="L60" s="2731"/>
      <c r="M60" s="2732">
        <f>SUMIF('IS(M)'!$M$11:$ER$11,M$7,'IS(M)'!$M69:$ER69)</f>
        <v>0</v>
      </c>
      <c r="N60" s="2732">
        <f ca="1">SUMIF('IS(M)'!$M$11:$ER$11,N$7,'IS(M)'!$M69:$ER69)</f>
        <v>838089.55217138468</v>
      </c>
      <c r="O60" s="2732">
        <f ca="1">SUMIF('IS(M)'!$M$11:$ER$11,O$7,'IS(M)'!$M69:$ER69)</f>
        <v>1402056.0553606518</v>
      </c>
      <c r="P60" s="2732">
        <f ca="1">SUMIF('IS(M)'!$M$11:$ER$11,P$7,'IS(M)'!$M69:$ER69)</f>
        <v>1160308.7775758759</v>
      </c>
      <c r="Q60" s="2732">
        <f ca="1">SUMIF('IS(M)'!$M$11:$ER$11,Q$7,'IS(M)'!$M69:$ER69)</f>
        <v>1578975.767417802</v>
      </c>
      <c r="R60" s="2732">
        <f ca="1">SUMIF('IS(M)'!$M$11:$ER$11,R$7,'IS(M)'!$M69:$ER69)</f>
        <v>1520467.5732215717</v>
      </c>
      <c r="S60" s="2732">
        <f ca="1">SUMIF('IS(M)'!$M$11:$ER$11,S$7,'IS(M)'!$M69:$ER69)</f>
        <v>-3472738.7754206718</v>
      </c>
      <c r="T60" s="2732">
        <f ca="1">SUMIF('IS(M)'!$M$11:$ER$11,T$7,'IS(M)'!$M69:$ER69)</f>
        <v>1954717.9304889953</v>
      </c>
      <c r="U60" s="2732">
        <f ca="1">SUMIF('IS(M)'!$M$11:$ER$11,U$7,'IS(M)'!$M69:$ER69)</f>
        <v>2229942.2398968586</v>
      </c>
      <c r="V60" s="2732">
        <f ca="1">SUMIF('IS(M)'!$M$11:$ER$11,V$7,'IS(M)'!$M69:$ER69)</f>
        <v>2218335.2526325621</v>
      </c>
      <c r="W60" s="2732">
        <f ca="1">SUMIF('IS(M)'!$M$11:$ER$11,W$7,'IS(M)'!$M69:$ER69)</f>
        <v>2446845.7832258944</v>
      </c>
      <c r="X60" s="2732">
        <f ca="1">SUMIF('IS(M)'!$M$11:$ER$11,X$7,'IS(M)'!$M69:$ER69)</f>
        <v>2753511.745924803</v>
      </c>
      <c r="Y60" s="2732">
        <f ca="1">SUMIF('IS(M)'!$M$11:$ER$11,Y$7,'IS(M)'!$M69:$ER69)</f>
        <v>2987735.0397829702</v>
      </c>
      <c r="Z60" s="2732">
        <f ca="1">SUMIF('IS(M)'!$M$11:$ER$11,Z$7,'IS(M)'!$M69:$ER69)</f>
        <v>2974225.0160240461</v>
      </c>
      <c r="AA60" s="2732">
        <f ca="1">SUMIF('IS(M)'!$M$11:$ER$11,AA$7,'IS(M)'!$M69:$ER69)</f>
        <v>3214303.8922286662</v>
      </c>
      <c r="AB60" s="2732">
        <f ca="1">SUMIF('IS(M)'!$M$11:$ER$11,AB$7,'IS(M)'!$M69:$ER69)</f>
        <v>3200110.0758641767</v>
      </c>
      <c r="AC60" s="2732">
        <f ca="1">SUMIF('IS(M)'!$M$11:$ER$11,AC$7,'IS(M)'!$M69:$ER69)</f>
        <v>2547702.6972966138</v>
      </c>
      <c r="AD60" s="2732">
        <f ca="1">SUMIF('IS(M)'!$M$11:$ER$11,AD$7,'IS(M)'!$M69:$ER69)</f>
        <v>3244047.9855807289</v>
      </c>
      <c r="AE60" s="2732">
        <f ca="1">SUMIF('IS(M)'!$M$11:$ER$11,AE$7,'IS(M)'!$M69:$ER69)</f>
        <v>3459376.3884551078</v>
      </c>
      <c r="AF60" s="2732">
        <f ca="1">SUMIF('IS(M)'!$M$11:$ER$11,AF$7,'IS(M)'!$M69:$ER69)</f>
        <v>3570852.9526719525</v>
      </c>
      <c r="AG60" s="2732">
        <f ca="1">SUMIF('IS(M)'!$M$11:$ER$11,AG$7,'IS(M)'!$M69:$ER69)</f>
        <v>3697372.6921172934</v>
      </c>
      <c r="AH60" s="2732">
        <f ca="1">SUMIF('IS(M)'!$M$11:$ER$11,AH$7,'IS(M)'!$M69:$ER69)</f>
        <v>0</v>
      </c>
      <c r="AI60" s="2732">
        <f ca="1">SUMIF('IS(M)'!$M$11:$ER$11,AI$7,'IS(M)'!$M69:$ER69)</f>
        <v>0</v>
      </c>
      <c r="AJ60" s="2732">
        <f ca="1">SUMIF('IS(M)'!$M$11:$ER$11,AJ$7,'IS(M)'!$M69:$ER69)</f>
        <v>0</v>
      </c>
      <c r="AK60" s="2732">
        <f>SUMIF('IS(M)'!$M$11:$ER$11,AK$7,'IS(M)'!$M69:$ER69)</f>
        <v>0</v>
      </c>
      <c r="AL60" s="2732">
        <f>SUMIF('IS(M)'!$M$11:$ER$11,AL$7,'IS(M)'!$M69:$ER69)</f>
        <v>0</v>
      </c>
      <c r="AM60" s="2732">
        <f>SUMIF('IS(M)'!$M$11:$ER$11,AM$7,'IS(M)'!$M69:$ER69)</f>
        <v>0</v>
      </c>
      <c r="AN60" s="2732">
        <f>SUMIF('IS(M)'!$M$11:$ER$11,AN$7,'IS(M)'!$M69:$ER69)</f>
        <v>0</v>
      </c>
      <c r="AO60" s="2732">
        <f>SUMIF('IS(M)'!$M$11:$ER$11,AO$7,'IS(M)'!$M69:$ER69)</f>
        <v>0</v>
      </c>
      <c r="AP60" s="2732">
        <f>SUMIF('IS(M)'!$M$11:$ER$11,AP$7,'IS(M)'!$M69:$ER69)</f>
        <v>0</v>
      </c>
      <c r="AQ60" s="2732">
        <f>SUMIF('IS(M)'!$M$11:$ER$11,AQ$7,'IS(M)'!$M69:$ER69)</f>
        <v>0</v>
      </c>
      <c r="AR60" s="2732">
        <f>SUMIF('IS(M)'!$M$11:$ER$11,AR$7,'IS(M)'!$M69:$ER69)</f>
        <v>0</v>
      </c>
      <c r="AS60" s="2732">
        <f>SUMIF('IS(M)'!$M$11:$ER$11,AS$7,'IS(M)'!$M69:$ER69)</f>
        <v>0</v>
      </c>
      <c r="AT60" s="2732">
        <f>SUMIF('IS(M)'!$M$11:$ER$11,AT$7,'IS(M)'!$M69:$ER69)</f>
        <v>0</v>
      </c>
      <c r="AU60" s="2732">
        <f>SUMIF('IS(M)'!$M$11:$ER$11,AU$7,'IS(M)'!$M69:$ER69)</f>
        <v>0</v>
      </c>
      <c r="AV60" s="2732">
        <f>SUMIF('IS(M)'!$M$11:$ER$11,AV$7,'IS(M)'!$M69:$ER69)</f>
        <v>0</v>
      </c>
      <c r="AW60" s="2732">
        <f>SUMIF('IS(M)'!$M$11:$ER$11,AW$7,'IS(M)'!$M69:$ER69)</f>
        <v>0</v>
      </c>
      <c r="AX60" s="2732">
        <f>SUMIF('IS(M)'!$M$11:$ER$11,AX$7,'IS(M)'!$M69:$ER69)</f>
        <v>0</v>
      </c>
      <c r="AY60" s="2732">
        <f>SUMIF('IS(M)'!$M$11:$ER$11,AY$7,'IS(M)'!$M69:$ER69)</f>
        <v>0</v>
      </c>
      <c r="AZ60" s="2732">
        <f>SUMIF('IS(M)'!$M$11:$ER$11,AZ$7,'IS(M)'!$M69:$ER69)</f>
        <v>0</v>
      </c>
      <c r="BA60" s="2732">
        <f>SUMIF('IS(M)'!$M$11:$ER$11,BA$7,'IS(M)'!$M69:$ER69)</f>
        <v>0</v>
      </c>
      <c r="BB60" s="2732">
        <f>SUMIF('IS(M)'!$M$11:$ER$11,BB$7,'IS(M)'!$M69:$ER69)</f>
        <v>0</v>
      </c>
      <c r="BC60" s="2732">
        <f>SUMIF('IS(M)'!$M$11:$ER$11,BC$7,'IS(M)'!$M69:$ER69)</f>
        <v>0</v>
      </c>
      <c r="BD60" s="2732">
        <f>SUMIF('IS(M)'!$M$11:$ER$11,BD$7,'IS(M)'!$M69:$ER69)</f>
        <v>0</v>
      </c>
      <c r="BE60" s="2732">
        <f>SUMIF('IS(M)'!$M$11:$ER$11,BE$7,'IS(M)'!$M69:$ER69)</f>
        <v>0</v>
      </c>
      <c r="BF60" s="2732">
        <f>SUMIF('IS(M)'!$M$11:$ER$11,BF$7,'IS(M)'!$M69:$ER69)</f>
        <v>0</v>
      </c>
      <c r="BG60" s="2732">
        <f>SUMIF('IS(M)'!$M$11:$ER$11,BG$7,'IS(M)'!$M69:$ER69)</f>
        <v>0</v>
      </c>
      <c r="BH60" s="2732">
        <f>SUMIF('IS(M)'!$M$11:$ER$11,BH$7,'IS(M)'!$M69:$ER69)</f>
        <v>0</v>
      </c>
      <c r="BI60" s="2732">
        <f>SUMIF('IS(M)'!$M$11:$ER$11,BI$7,'IS(M)'!$M69:$ER69)</f>
        <v>0</v>
      </c>
      <c r="BJ60" s="2732">
        <f>SUMIF('IS(M)'!$M$11:$ER$11,BJ$7,'IS(M)'!$M69:$ER69)</f>
        <v>0</v>
      </c>
      <c r="BK60" s="2732">
        <f>SUMIF('IS(M)'!$M$11:$ER$11,BK$7,'IS(M)'!$M69:$ER69)</f>
        <v>0</v>
      </c>
      <c r="BL60" s="2732">
        <f>SUMIF('IS(M)'!$M$11:$ER$11,BL$7,'IS(M)'!$M69:$ER69)</f>
        <v>0</v>
      </c>
      <c r="BM60" s="2732">
        <f>SUMIF('IS(M)'!$M$11:$ER$11,BM$7,'IS(M)'!$M69:$ER69)</f>
        <v>0</v>
      </c>
      <c r="BN60" s="2732">
        <f>SUMIF('IS(M)'!$M$11:$ER$11,BN$7,'IS(M)'!$M69:$ER69)</f>
        <v>0</v>
      </c>
      <c r="BO60" s="2732">
        <f>SUMIF('IS(M)'!$M$11:$ER$11,BO$7,'IS(M)'!$M69:$ER69)</f>
        <v>0</v>
      </c>
      <c r="BP60" s="2732">
        <f>SUMIF('IS(M)'!$M$11:$ER$11,BP$7,'IS(M)'!$M69:$ER69)</f>
        <v>0</v>
      </c>
      <c r="BQ60" s="2732">
        <f>SUMIF('IS(M)'!$M$11:$ER$11,BQ$7,'IS(M)'!$M69:$ER69)</f>
        <v>0</v>
      </c>
      <c r="BR60" s="2732">
        <f>SUMIF('IS(M)'!$M$11:$ER$11,BR$7,'IS(M)'!$M69:$ER69)</f>
        <v>0</v>
      </c>
      <c r="BS60" s="2732">
        <f>SUMIF('IS(M)'!$M$11:$ER$11,BS$7,'IS(M)'!$M69:$ER69)</f>
        <v>0</v>
      </c>
      <c r="BT60" s="2732">
        <f>SUMIF('IS(M)'!$M$11:$ER$11,BT$7,'IS(M)'!$M69:$ER69)</f>
        <v>0</v>
      </c>
      <c r="BU60" s="2732">
        <f>SUMIF('IS(M)'!$M$11:$ER$11,BU$7,'IS(M)'!$M69:$ER69)</f>
        <v>0</v>
      </c>
      <c r="BV60" s="2732">
        <f>SUMIF('IS(M)'!$M$11:$ER$11,BV$7,'IS(M)'!$M69:$ER69)</f>
        <v>0</v>
      </c>
      <c r="BW60" s="2732">
        <f>SUMIF('IS(M)'!$M$11:$ER$11,BW$7,'IS(M)'!$M69:$ER69)</f>
        <v>0</v>
      </c>
      <c r="BX60" s="2732">
        <f>SUMIF('IS(M)'!$M$11:$ER$11,BX$7,'IS(M)'!$M69:$ER69)</f>
        <v>0</v>
      </c>
      <c r="BY60" s="2732">
        <f>SUMIF('IS(M)'!$M$11:$ER$11,BY$7,'IS(M)'!$M69:$ER69)</f>
        <v>0</v>
      </c>
      <c r="BZ60" s="2732">
        <f>SUMIF('IS(M)'!$M$11:$ER$11,BZ$7,'IS(M)'!$M69:$ER69)</f>
        <v>0</v>
      </c>
      <c r="CA60" s="2732">
        <f>SUMIF('IS(M)'!$M$11:$ER$11,CA$7,'IS(M)'!$M69:$ER69)</f>
        <v>0</v>
      </c>
      <c r="CB60" s="2732">
        <f>SUMIF('IS(M)'!$M$11:$ER$11,CB$7,'IS(M)'!$M69:$ER69)</f>
        <v>0</v>
      </c>
      <c r="CC60" s="2732">
        <f>SUMIF('IS(M)'!$M$11:$ER$11,CC$7,'IS(M)'!$M69:$ER69)</f>
        <v>0</v>
      </c>
      <c r="CD60" s="2732">
        <f>SUMIF('IS(M)'!$M$11:$ER$11,CD$7,'IS(M)'!$M69:$ER69)</f>
        <v>0</v>
      </c>
      <c r="CE60" s="2732">
        <f>SUMIF('IS(M)'!$M$11:$ER$11,CE$7,'IS(M)'!$M69:$ER69)</f>
        <v>0</v>
      </c>
      <c r="CF60" s="2732">
        <f>SUMIF('IS(M)'!$M$11:$ER$11,CF$7,'IS(M)'!$M69:$ER69)</f>
        <v>0</v>
      </c>
      <c r="CG60" s="2732">
        <f>SUMIF('IS(M)'!$M$11:$ER$11,CG$7,'IS(M)'!$M69:$ER69)</f>
        <v>0</v>
      </c>
      <c r="CH60" s="2732">
        <f>SUMIF('IS(M)'!$M$11:$ER$11,CH$7,'IS(M)'!$M69:$ER69)</f>
        <v>0</v>
      </c>
      <c r="CI60" s="2732">
        <f>SUMIF('IS(M)'!$M$11:$ER$11,CI$7,'IS(M)'!$M69:$ER69)</f>
        <v>0</v>
      </c>
      <c r="CJ60" s="2732">
        <f>SUMIF('IS(M)'!$M$11:$ER$11,CJ$7,'IS(M)'!$M69:$ER69)</f>
        <v>0</v>
      </c>
      <c r="CK60" s="2732">
        <f>SUMIF('IS(M)'!$M$11:$ER$11,CK$7,'IS(M)'!$M69:$ER69)</f>
        <v>0</v>
      </c>
      <c r="CL60" s="2732">
        <f>SUMIF('IS(M)'!$M$11:$ER$11,CL$7,'IS(M)'!$M69:$ER69)</f>
        <v>0</v>
      </c>
      <c r="CM60" s="2732">
        <f>SUMIF('IS(M)'!$M$11:$ER$11,CM$7,'IS(M)'!$M69:$ER69)</f>
        <v>0</v>
      </c>
      <c r="CN60" s="2732">
        <f>SUMIF('IS(M)'!$M$11:$ER$11,CN$7,'IS(M)'!$M69:$ER69)</f>
        <v>0</v>
      </c>
      <c r="CO60" s="2732">
        <f>SUMIF('IS(M)'!$M$11:$ER$11,CO$7,'IS(M)'!$M69:$ER69)</f>
        <v>0</v>
      </c>
      <c r="CP60" s="2732">
        <f>SUMIF('IS(M)'!$M$11:$ER$11,CP$7,'IS(M)'!$M69:$ER69)</f>
        <v>0</v>
      </c>
      <c r="CQ60" s="2732">
        <f>SUMIF('IS(M)'!$M$11:$ER$11,CQ$7,'IS(M)'!$M69:$ER69)</f>
        <v>0</v>
      </c>
      <c r="CR60" s="2732">
        <f>SUMIF('IS(M)'!$M$11:$ER$11,CR$7,'IS(M)'!$M69:$ER69)</f>
        <v>0</v>
      </c>
      <c r="CS60" s="2732">
        <f>SUMIF('IS(M)'!$M$11:$ER$11,CS$7,'IS(M)'!$M69:$ER69)</f>
        <v>0</v>
      </c>
      <c r="CT60" s="2732">
        <f>SUMIF('IS(M)'!$M$11:$ER$11,CT$7,'IS(M)'!$M69:$ER69)</f>
        <v>0</v>
      </c>
      <c r="CU60" s="2732">
        <f>SUMIF('IS(M)'!$M$11:$ER$11,CU$7,'IS(M)'!$M69:$ER69)</f>
        <v>0</v>
      </c>
      <c r="CV60" s="2732">
        <f>SUMIF('IS(M)'!$M$11:$ER$11,CV$7,'IS(M)'!$M69:$ER69)</f>
        <v>0</v>
      </c>
      <c r="CW60" s="2732">
        <f>SUMIF('IS(M)'!$M$11:$ER$11,CW$7,'IS(M)'!$M69:$ER69)</f>
        <v>0</v>
      </c>
      <c r="CX60" s="2732">
        <f>SUMIF('IS(M)'!$M$11:$ER$11,CX$7,'IS(M)'!$M69:$ER69)</f>
        <v>0</v>
      </c>
      <c r="CY60" s="2732">
        <f>SUMIF('IS(M)'!$M$11:$ER$11,CY$7,'IS(M)'!$M69:$ER69)</f>
        <v>0</v>
      </c>
      <c r="CZ60" s="2732">
        <f>SUMIF('IS(M)'!$M$11:$ER$11,CZ$7,'IS(M)'!$M69:$ER69)</f>
        <v>0</v>
      </c>
      <c r="DA60" s="2732">
        <f>SUMIF('IS(M)'!$M$11:$ER$11,DA$7,'IS(M)'!$M69:$ER69)</f>
        <v>0</v>
      </c>
      <c r="DB60" s="2732">
        <f>SUMIF('IS(M)'!$M$11:$ER$11,DB$7,'IS(M)'!$M69:$ER69)</f>
        <v>0</v>
      </c>
      <c r="DC60" s="2732">
        <f>SUMIF('IS(M)'!$M$11:$ER$11,DC$7,'IS(M)'!$M69:$ER69)</f>
        <v>0</v>
      </c>
      <c r="DD60" s="2732">
        <f>SUMIF('IS(M)'!$M$11:$ER$11,DD$7,'IS(M)'!$M69:$ER69)</f>
        <v>0</v>
      </c>
      <c r="DE60" s="2732">
        <f>SUMIF('IS(M)'!$M$11:$ER$11,DE$7,'IS(M)'!$M69:$ER69)</f>
        <v>0</v>
      </c>
      <c r="DF60" s="2732">
        <f>SUMIF('IS(M)'!$M$11:$ER$11,DF$7,'IS(M)'!$M69:$ER69)</f>
        <v>0</v>
      </c>
      <c r="DG60" s="2732">
        <f>SUMIF('IS(M)'!$M$11:$ER$11,DG$7,'IS(M)'!$M69:$ER69)</f>
        <v>0</v>
      </c>
      <c r="DH60" s="2732">
        <f>SUMIF('IS(M)'!$M$11:$ER$11,DH$7,'IS(M)'!$M69:$ER69)</f>
        <v>0</v>
      </c>
      <c r="DI60" s="2732">
        <f>SUMIF('IS(M)'!$M$11:$ER$11,DI$7,'IS(M)'!$M69:$ER69)</f>
        <v>0</v>
      </c>
      <c r="DJ60" s="2732">
        <f>SUMIF('IS(M)'!$M$11:$ER$11,DJ$7,'IS(M)'!$M69:$ER69)</f>
        <v>0</v>
      </c>
      <c r="DK60" s="2732">
        <f>SUMIF('IS(M)'!$M$11:$ER$11,DK$7,'IS(M)'!$M69:$ER69)</f>
        <v>0</v>
      </c>
      <c r="DL60" s="2732">
        <f>SUMIF('IS(M)'!$M$11:$ER$11,DL$7,'IS(M)'!$M69:$ER69)</f>
        <v>0</v>
      </c>
      <c r="DM60" s="2732">
        <f>SUMIF('IS(M)'!$M$11:$ER$11,DM$7,'IS(M)'!$M69:$ER69)</f>
        <v>0</v>
      </c>
      <c r="DN60" s="2732">
        <f>SUMIF('IS(M)'!$M$11:$ER$11,DN$7,'IS(M)'!$M69:$ER69)</f>
        <v>0</v>
      </c>
      <c r="DO60" s="2732">
        <f>SUMIF('IS(M)'!$M$11:$ER$11,DO$7,'IS(M)'!$M69:$ER69)</f>
        <v>0</v>
      </c>
      <c r="DP60" s="2732">
        <f>SUMIF('IS(M)'!$M$11:$ER$11,DP$7,'IS(M)'!$M69:$ER69)</f>
        <v>0</v>
      </c>
      <c r="DQ60" s="2732">
        <f>SUMIF('IS(M)'!$M$11:$ER$11,DQ$7,'IS(M)'!$M69:$ER69)</f>
        <v>0</v>
      </c>
      <c r="DR60" s="2732">
        <f>SUMIF('IS(M)'!$M$11:$ER$11,DR$7,'IS(M)'!$M69:$ER69)</f>
        <v>0</v>
      </c>
      <c r="DS60" s="2732">
        <f>SUMIF('IS(M)'!$M$11:$ER$11,DS$7,'IS(M)'!$M69:$ER69)</f>
        <v>0</v>
      </c>
      <c r="DT60" s="2732">
        <f>SUMIF('IS(M)'!$M$11:$ER$11,DT$7,'IS(M)'!$M69:$ER69)</f>
        <v>0</v>
      </c>
      <c r="DU60" s="2732">
        <f>SUMIF('IS(M)'!$M$11:$ER$11,DU$7,'IS(M)'!$M69:$ER69)</f>
        <v>0</v>
      </c>
      <c r="DV60" s="2732">
        <f>SUMIF('IS(M)'!$M$11:$ER$11,DV$7,'IS(M)'!$M69:$ER69)</f>
        <v>0</v>
      </c>
      <c r="DW60" s="2732">
        <f>SUMIF('IS(M)'!$M$11:$ER$11,DW$7,'IS(M)'!$M69:$ER69)</f>
        <v>0</v>
      </c>
    </row>
    <row r="61" spans="2:127" ht="11.25" customHeight="1">
      <c r="B61" s="218"/>
      <c r="C61" s="911" t="s">
        <v>219</v>
      </c>
      <c r="D61" s="912"/>
      <c r="E61" s="912"/>
      <c r="F61" s="912"/>
      <c r="G61" s="912"/>
      <c r="H61" s="912"/>
      <c r="I61" s="913"/>
      <c r="J61" s="914"/>
      <c r="K61" s="918">
        <f ca="1">SUM(M61:DW61)</f>
        <v>43526238.642517284</v>
      </c>
      <c r="L61" s="98"/>
      <c r="M61" s="920">
        <f>SUMIF('IS(M)'!$M$11:$ER$11,M$7,'IS(M)'!$M70:$ER70)</f>
        <v>0</v>
      </c>
      <c r="N61" s="920">
        <f ca="1">SUMIF('IS(M)'!$M$11:$ER$11,N$7,'IS(M)'!$M70:$ER70)</f>
        <v>838089.55217138468</v>
      </c>
      <c r="O61" s="920">
        <f ca="1">SUMIF('IS(M)'!$M$11:$ER$11,O$7,'IS(M)'!$M70:$ER70)</f>
        <v>1402056.0553606518</v>
      </c>
      <c r="P61" s="920">
        <f ca="1">SUMIF('IS(M)'!$M$11:$ER$11,P$7,'IS(M)'!$M70:$ER70)</f>
        <v>1160308.7775758759</v>
      </c>
      <c r="Q61" s="920">
        <f ca="1">SUMIF('IS(M)'!$M$11:$ER$11,Q$7,'IS(M)'!$M70:$ER70)</f>
        <v>1578975.767417802</v>
      </c>
      <c r="R61" s="920">
        <f ca="1">SUMIF('IS(M)'!$M$11:$ER$11,R$7,'IS(M)'!$M70:$ER70)</f>
        <v>1520467.5732215717</v>
      </c>
      <c r="S61" s="920">
        <f ca="1">SUMIF('IS(M)'!$M$11:$ER$11,S$7,'IS(M)'!$M70:$ER70)</f>
        <v>0</v>
      </c>
      <c r="T61" s="920">
        <f ca="1">SUMIF('IS(M)'!$M$11:$ER$11,T$7,'IS(M)'!$M70:$ER70)</f>
        <v>0</v>
      </c>
      <c r="U61" s="920">
        <f ca="1">SUMIF('IS(M)'!$M$11:$ER$11,U$7,'IS(M)'!$M70:$ER70)</f>
        <v>711921.39496518148</v>
      </c>
      <c r="V61" s="920">
        <f ca="1">SUMIF('IS(M)'!$M$11:$ER$11,V$7,'IS(M)'!$M70:$ER70)</f>
        <v>2218335.2526325621</v>
      </c>
      <c r="W61" s="920">
        <f ca="1">SUMIF('IS(M)'!$M$11:$ER$11,W$7,'IS(M)'!$M70:$ER70)</f>
        <v>2446845.7832258944</v>
      </c>
      <c r="X61" s="920">
        <f ca="1">SUMIF('IS(M)'!$M$11:$ER$11,X$7,'IS(M)'!$M70:$ER70)</f>
        <v>2753511.745924803</v>
      </c>
      <c r="Y61" s="920">
        <f ca="1">SUMIF('IS(M)'!$M$11:$ER$11,Y$7,'IS(M)'!$M70:$ER70)</f>
        <v>2987735.0397829702</v>
      </c>
      <c r="Z61" s="920">
        <f ca="1">SUMIF('IS(M)'!$M$11:$ER$11,Z$7,'IS(M)'!$M70:$ER70)</f>
        <v>2974225.0160240461</v>
      </c>
      <c r="AA61" s="920">
        <f ca="1">SUMIF('IS(M)'!$M$11:$ER$11,AA$7,'IS(M)'!$M70:$ER70)</f>
        <v>3214303.8922286662</v>
      </c>
      <c r="AB61" s="920">
        <f ca="1">SUMIF('IS(M)'!$M$11:$ER$11,AB$7,'IS(M)'!$M70:$ER70)</f>
        <v>3200110.0758641767</v>
      </c>
      <c r="AC61" s="920">
        <f ca="1">SUMIF('IS(M)'!$M$11:$ER$11,AC$7,'IS(M)'!$M70:$ER70)</f>
        <v>2547702.6972966138</v>
      </c>
      <c r="AD61" s="920">
        <f ca="1">SUMIF('IS(M)'!$M$11:$ER$11,AD$7,'IS(M)'!$M70:$ER70)</f>
        <v>3244047.9855807289</v>
      </c>
      <c r="AE61" s="920">
        <f ca="1">SUMIF('IS(M)'!$M$11:$ER$11,AE$7,'IS(M)'!$M70:$ER70)</f>
        <v>3459376.3884551078</v>
      </c>
      <c r="AF61" s="920">
        <f ca="1">SUMIF('IS(M)'!$M$11:$ER$11,AF$7,'IS(M)'!$M70:$ER70)</f>
        <v>3570852.9526719525</v>
      </c>
      <c r="AG61" s="920">
        <f ca="1">SUMIF('IS(M)'!$M$11:$ER$11,AG$7,'IS(M)'!$M70:$ER70)</f>
        <v>3697372.6921172934</v>
      </c>
      <c r="AH61" s="920">
        <f ca="1">SUMIF('IS(M)'!$M$11:$ER$11,AH$7,'IS(M)'!$M70:$ER70)</f>
        <v>0</v>
      </c>
      <c r="AI61" s="920">
        <f ca="1">SUMIF('IS(M)'!$M$11:$ER$11,AI$7,'IS(M)'!$M70:$ER70)</f>
        <v>0</v>
      </c>
      <c r="AJ61" s="920">
        <f ca="1">SUMIF('IS(M)'!$M$11:$ER$11,AJ$7,'IS(M)'!$M70:$ER70)</f>
        <v>0</v>
      </c>
      <c r="AK61" s="920">
        <f>SUMIF('IS(M)'!$M$11:$ER$11,AK$7,'IS(M)'!$M70:$ER70)</f>
        <v>0</v>
      </c>
      <c r="AL61" s="920">
        <f>SUMIF('IS(M)'!$M$11:$ER$11,AL$7,'IS(M)'!$M70:$ER70)</f>
        <v>0</v>
      </c>
      <c r="AM61" s="920">
        <f>SUMIF('IS(M)'!$M$11:$ER$11,AM$7,'IS(M)'!$M70:$ER70)</f>
        <v>0</v>
      </c>
      <c r="AN61" s="920">
        <f>SUMIF('IS(M)'!$M$11:$ER$11,AN$7,'IS(M)'!$M70:$ER70)</f>
        <v>0</v>
      </c>
      <c r="AO61" s="920">
        <f>SUMIF('IS(M)'!$M$11:$ER$11,AO$7,'IS(M)'!$M70:$ER70)</f>
        <v>0</v>
      </c>
      <c r="AP61" s="920">
        <f>SUMIF('IS(M)'!$M$11:$ER$11,AP$7,'IS(M)'!$M70:$ER70)</f>
        <v>0</v>
      </c>
      <c r="AQ61" s="920">
        <f>SUMIF('IS(M)'!$M$11:$ER$11,AQ$7,'IS(M)'!$M70:$ER70)</f>
        <v>0</v>
      </c>
      <c r="AR61" s="920">
        <f>SUMIF('IS(M)'!$M$11:$ER$11,AR$7,'IS(M)'!$M70:$ER70)</f>
        <v>0</v>
      </c>
      <c r="AS61" s="920">
        <f>SUMIF('IS(M)'!$M$11:$ER$11,AS$7,'IS(M)'!$M70:$ER70)</f>
        <v>0</v>
      </c>
      <c r="AT61" s="920">
        <f>SUMIF('IS(M)'!$M$11:$ER$11,AT$7,'IS(M)'!$M70:$ER70)</f>
        <v>0</v>
      </c>
      <c r="AU61" s="920">
        <f>SUMIF('IS(M)'!$M$11:$ER$11,AU$7,'IS(M)'!$M70:$ER70)</f>
        <v>0</v>
      </c>
      <c r="AV61" s="920">
        <f>SUMIF('IS(M)'!$M$11:$ER$11,AV$7,'IS(M)'!$M70:$ER70)</f>
        <v>0</v>
      </c>
      <c r="AW61" s="920">
        <f>SUMIF('IS(M)'!$M$11:$ER$11,AW$7,'IS(M)'!$M70:$ER70)</f>
        <v>0</v>
      </c>
      <c r="AX61" s="920">
        <f>SUMIF('IS(M)'!$M$11:$ER$11,AX$7,'IS(M)'!$M70:$ER70)</f>
        <v>0</v>
      </c>
      <c r="AY61" s="920">
        <f>SUMIF('IS(M)'!$M$11:$ER$11,AY$7,'IS(M)'!$M70:$ER70)</f>
        <v>0</v>
      </c>
      <c r="AZ61" s="920">
        <f>SUMIF('IS(M)'!$M$11:$ER$11,AZ$7,'IS(M)'!$M70:$ER70)</f>
        <v>0</v>
      </c>
      <c r="BA61" s="920">
        <f>SUMIF('IS(M)'!$M$11:$ER$11,BA$7,'IS(M)'!$M70:$ER70)</f>
        <v>0</v>
      </c>
      <c r="BB61" s="920">
        <f>SUMIF('IS(M)'!$M$11:$ER$11,BB$7,'IS(M)'!$M70:$ER70)</f>
        <v>0</v>
      </c>
      <c r="BC61" s="920">
        <f>SUMIF('IS(M)'!$M$11:$ER$11,BC$7,'IS(M)'!$M70:$ER70)</f>
        <v>0</v>
      </c>
      <c r="BD61" s="920">
        <f>SUMIF('IS(M)'!$M$11:$ER$11,BD$7,'IS(M)'!$M70:$ER70)</f>
        <v>0</v>
      </c>
      <c r="BE61" s="920">
        <f>SUMIF('IS(M)'!$M$11:$ER$11,BE$7,'IS(M)'!$M70:$ER70)</f>
        <v>0</v>
      </c>
      <c r="BF61" s="920">
        <f>SUMIF('IS(M)'!$M$11:$ER$11,BF$7,'IS(M)'!$M70:$ER70)</f>
        <v>0</v>
      </c>
      <c r="BG61" s="920">
        <f>SUMIF('IS(M)'!$M$11:$ER$11,BG$7,'IS(M)'!$M70:$ER70)</f>
        <v>0</v>
      </c>
      <c r="BH61" s="920">
        <f>SUMIF('IS(M)'!$M$11:$ER$11,BH$7,'IS(M)'!$M70:$ER70)</f>
        <v>0</v>
      </c>
      <c r="BI61" s="920">
        <f>SUMIF('IS(M)'!$M$11:$ER$11,BI$7,'IS(M)'!$M70:$ER70)</f>
        <v>0</v>
      </c>
      <c r="BJ61" s="920">
        <f>SUMIF('IS(M)'!$M$11:$ER$11,BJ$7,'IS(M)'!$M70:$ER70)</f>
        <v>0</v>
      </c>
      <c r="BK61" s="920">
        <f>SUMIF('IS(M)'!$M$11:$ER$11,BK$7,'IS(M)'!$M70:$ER70)</f>
        <v>0</v>
      </c>
      <c r="BL61" s="920">
        <f>SUMIF('IS(M)'!$M$11:$ER$11,BL$7,'IS(M)'!$M70:$ER70)</f>
        <v>0</v>
      </c>
      <c r="BM61" s="920">
        <f>SUMIF('IS(M)'!$M$11:$ER$11,BM$7,'IS(M)'!$M70:$ER70)</f>
        <v>0</v>
      </c>
      <c r="BN61" s="920">
        <f>SUMIF('IS(M)'!$M$11:$ER$11,BN$7,'IS(M)'!$M70:$ER70)</f>
        <v>0</v>
      </c>
      <c r="BO61" s="920">
        <f>SUMIF('IS(M)'!$M$11:$ER$11,BO$7,'IS(M)'!$M70:$ER70)</f>
        <v>0</v>
      </c>
      <c r="BP61" s="920">
        <f>SUMIF('IS(M)'!$M$11:$ER$11,BP$7,'IS(M)'!$M70:$ER70)</f>
        <v>0</v>
      </c>
      <c r="BQ61" s="920">
        <f>SUMIF('IS(M)'!$M$11:$ER$11,BQ$7,'IS(M)'!$M70:$ER70)</f>
        <v>0</v>
      </c>
      <c r="BR61" s="920">
        <f>SUMIF('IS(M)'!$M$11:$ER$11,BR$7,'IS(M)'!$M70:$ER70)</f>
        <v>0</v>
      </c>
      <c r="BS61" s="920">
        <f>SUMIF('IS(M)'!$M$11:$ER$11,BS$7,'IS(M)'!$M70:$ER70)</f>
        <v>0</v>
      </c>
      <c r="BT61" s="920">
        <f>SUMIF('IS(M)'!$M$11:$ER$11,BT$7,'IS(M)'!$M70:$ER70)</f>
        <v>0</v>
      </c>
      <c r="BU61" s="920">
        <f>SUMIF('IS(M)'!$M$11:$ER$11,BU$7,'IS(M)'!$M70:$ER70)</f>
        <v>0</v>
      </c>
      <c r="BV61" s="920">
        <f>SUMIF('IS(M)'!$M$11:$ER$11,BV$7,'IS(M)'!$M70:$ER70)</f>
        <v>0</v>
      </c>
      <c r="BW61" s="920">
        <f>SUMIF('IS(M)'!$M$11:$ER$11,BW$7,'IS(M)'!$M70:$ER70)</f>
        <v>0</v>
      </c>
      <c r="BX61" s="920">
        <f>SUMIF('IS(M)'!$M$11:$ER$11,BX$7,'IS(M)'!$M70:$ER70)</f>
        <v>0</v>
      </c>
      <c r="BY61" s="920">
        <f>SUMIF('IS(M)'!$M$11:$ER$11,BY$7,'IS(M)'!$M70:$ER70)</f>
        <v>0</v>
      </c>
      <c r="BZ61" s="920">
        <f>SUMIF('IS(M)'!$M$11:$ER$11,BZ$7,'IS(M)'!$M70:$ER70)</f>
        <v>0</v>
      </c>
      <c r="CA61" s="920">
        <f>SUMIF('IS(M)'!$M$11:$ER$11,CA$7,'IS(M)'!$M70:$ER70)</f>
        <v>0</v>
      </c>
      <c r="CB61" s="920">
        <f>SUMIF('IS(M)'!$M$11:$ER$11,CB$7,'IS(M)'!$M70:$ER70)</f>
        <v>0</v>
      </c>
      <c r="CC61" s="920">
        <f>SUMIF('IS(M)'!$M$11:$ER$11,CC$7,'IS(M)'!$M70:$ER70)</f>
        <v>0</v>
      </c>
      <c r="CD61" s="920">
        <f>SUMIF('IS(M)'!$M$11:$ER$11,CD$7,'IS(M)'!$M70:$ER70)</f>
        <v>0</v>
      </c>
      <c r="CE61" s="920">
        <f>SUMIF('IS(M)'!$M$11:$ER$11,CE$7,'IS(M)'!$M70:$ER70)</f>
        <v>0</v>
      </c>
      <c r="CF61" s="920">
        <f>SUMIF('IS(M)'!$M$11:$ER$11,CF$7,'IS(M)'!$M70:$ER70)</f>
        <v>0</v>
      </c>
      <c r="CG61" s="920">
        <f>SUMIF('IS(M)'!$M$11:$ER$11,CG$7,'IS(M)'!$M70:$ER70)</f>
        <v>0</v>
      </c>
      <c r="CH61" s="920">
        <f>SUMIF('IS(M)'!$M$11:$ER$11,CH$7,'IS(M)'!$M70:$ER70)</f>
        <v>0</v>
      </c>
      <c r="CI61" s="920">
        <f>SUMIF('IS(M)'!$M$11:$ER$11,CI$7,'IS(M)'!$M70:$ER70)</f>
        <v>0</v>
      </c>
      <c r="CJ61" s="920">
        <f>SUMIF('IS(M)'!$M$11:$ER$11,CJ$7,'IS(M)'!$M70:$ER70)</f>
        <v>0</v>
      </c>
      <c r="CK61" s="920">
        <f>SUMIF('IS(M)'!$M$11:$ER$11,CK$7,'IS(M)'!$M70:$ER70)</f>
        <v>0</v>
      </c>
      <c r="CL61" s="920">
        <f>SUMIF('IS(M)'!$M$11:$ER$11,CL$7,'IS(M)'!$M70:$ER70)</f>
        <v>0</v>
      </c>
      <c r="CM61" s="920">
        <f>SUMIF('IS(M)'!$M$11:$ER$11,CM$7,'IS(M)'!$M70:$ER70)</f>
        <v>0</v>
      </c>
      <c r="CN61" s="920">
        <f>SUMIF('IS(M)'!$M$11:$ER$11,CN$7,'IS(M)'!$M70:$ER70)</f>
        <v>0</v>
      </c>
      <c r="CO61" s="920">
        <f>SUMIF('IS(M)'!$M$11:$ER$11,CO$7,'IS(M)'!$M70:$ER70)</f>
        <v>0</v>
      </c>
      <c r="CP61" s="920">
        <f>SUMIF('IS(M)'!$M$11:$ER$11,CP$7,'IS(M)'!$M70:$ER70)</f>
        <v>0</v>
      </c>
      <c r="CQ61" s="920">
        <f>SUMIF('IS(M)'!$M$11:$ER$11,CQ$7,'IS(M)'!$M70:$ER70)</f>
        <v>0</v>
      </c>
      <c r="CR61" s="920">
        <f>SUMIF('IS(M)'!$M$11:$ER$11,CR$7,'IS(M)'!$M70:$ER70)</f>
        <v>0</v>
      </c>
      <c r="CS61" s="920">
        <f>SUMIF('IS(M)'!$M$11:$ER$11,CS$7,'IS(M)'!$M70:$ER70)</f>
        <v>0</v>
      </c>
      <c r="CT61" s="920">
        <f>SUMIF('IS(M)'!$M$11:$ER$11,CT$7,'IS(M)'!$M70:$ER70)</f>
        <v>0</v>
      </c>
      <c r="CU61" s="920">
        <f>SUMIF('IS(M)'!$M$11:$ER$11,CU$7,'IS(M)'!$M70:$ER70)</f>
        <v>0</v>
      </c>
      <c r="CV61" s="920">
        <f>SUMIF('IS(M)'!$M$11:$ER$11,CV$7,'IS(M)'!$M70:$ER70)</f>
        <v>0</v>
      </c>
      <c r="CW61" s="920">
        <f>SUMIF('IS(M)'!$M$11:$ER$11,CW$7,'IS(M)'!$M70:$ER70)</f>
        <v>0</v>
      </c>
      <c r="CX61" s="920">
        <f>SUMIF('IS(M)'!$M$11:$ER$11,CX$7,'IS(M)'!$M70:$ER70)</f>
        <v>0</v>
      </c>
      <c r="CY61" s="920">
        <f>SUMIF('IS(M)'!$M$11:$ER$11,CY$7,'IS(M)'!$M70:$ER70)</f>
        <v>0</v>
      </c>
      <c r="CZ61" s="920">
        <f>SUMIF('IS(M)'!$M$11:$ER$11,CZ$7,'IS(M)'!$M70:$ER70)</f>
        <v>0</v>
      </c>
      <c r="DA61" s="920">
        <f>SUMIF('IS(M)'!$M$11:$ER$11,DA$7,'IS(M)'!$M70:$ER70)</f>
        <v>0</v>
      </c>
      <c r="DB61" s="920">
        <f>SUMIF('IS(M)'!$M$11:$ER$11,DB$7,'IS(M)'!$M70:$ER70)</f>
        <v>0</v>
      </c>
      <c r="DC61" s="920">
        <f>SUMIF('IS(M)'!$M$11:$ER$11,DC$7,'IS(M)'!$M70:$ER70)</f>
        <v>0</v>
      </c>
      <c r="DD61" s="920">
        <f>SUMIF('IS(M)'!$M$11:$ER$11,DD$7,'IS(M)'!$M70:$ER70)</f>
        <v>0</v>
      </c>
      <c r="DE61" s="920">
        <f>SUMIF('IS(M)'!$M$11:$ER$11,DE$7,'IS(M)'!$M70:$ER70)</f>
        <v>0</v>
      </c>
      <c r="DF61" s="920">
        <f>SUMIF('IS(M)'!$M$11:$ER$11,DF$7,'IS(M)'!$M70:$ER70)</f>
        <v>0</v>
      </c>
      <c r="DG61" s="920">
        <f>SUMIF('IS(M)'!$M$11:$ER$11,DG$7,'IS(M)'!$M70:$ER70)</f>
        <v>0</v>
      </c>
      <c r="DH61" s="920">
        <f>SUMIF('IS(M)'!$M$11:$ER$11,DH$7,'IS(M)'!$M70:$ER70)</f>
        <v>0</v>
      </c>
      <c r="DI61" s="920">
        <f>SUMIF('IS(M)'!$M$11:$ER$11,DI$7,'IS(M)'!$M70:$ER70)</f>
        <v>0</v>
      </c>
      <c r="DJ61" s="920">
        <f>SUMIF('IS(M)'!$M$11:$ER$11,DJ$7,'IS(M)'!$M70:$ER70)</f>
        <v>0</v>
      </c>
      <c r="DK61" s="920">
        <f>SUMIF('IS(M)'!$M$11:$ER$11,DK$7,'IS(M)'!$M70:$ER70)</f>
        <v>0</v>
      </c>
      <c r="DL61" s="920">
        <f>SUMIF('IS(M)'!$M$11:$ER$11,DL$7,'IS(M)'!$M70:$ER70)</f>
        <v>0</v>
      </c>
      <c r="DM61" s="920">
        <f>SUMIF('IS(M)'!$M$11:$ER$11,DM$7,'IS(M)'!$M70:$ER70)</f>
        <v>0</v>
      </c>
      <c r="DN61" s="920">
        <f>SUMIF('IS(M)'!$M$11:$ER$11,DN$7,'IS(M)'!$M70:$ER70)</f>
        <v>0</v>
      </c>
      <c r="DO61" s="920">
        <f>SUMIF('IS(M)'!$M$11:$ER$11,DO$7,'IS(M)'!$M70:$ER70)</f>
        <v>0</v>
      </c>
      <c r="DP61" s="920">
        <f>SUMIF('IS(M)'!$M$11:$ER$11,DP$7,'IS(M)'!$M70:$ER70)</f>
        <v>0</v>
      </c>
      <c r="DQ61" s="920">
        <f>SUMIF('IS(M)'!$M$11:$ER$11,DQ$7,'IS(M)'!$M70:$ER70)</f>
        <v>0</v>
      </c>
      <c r="DR61" s="920">
        <f>SUMIF('IS(M)'!$M$11:$ER$11,DR$7,'IS(M)'!$M70:$ER70)</f>
        <v>0</v>
      </c>
      <c r="DS61" s="920">
        <f>SUMIF('IS(M)'!$M$11:$ER$11,DS$7,'IS(M)'!$M70:$ER70)</f>
        <v>0</v>
      </c>
      <c r="DT61" s="920">
        <f>SUMIF('IS(M)'!$M$11:$ER$11,DT$7,'IS(M)'!$M70:$ER70)</f>
        <v>0</v>
      </c>
      <c r="DU61" s="920">
        <f>SUMIF('IS(M)'!$M$11:$ER$11,DU$7,'IS(M)'!$M70:$ER70)</f>
        <v>0</v>
      </c>
      <c r="DV61" s="920">
        <f>SUMIF('IS(M)'!$M$11:$ER$11,DV$7,'IS(M)'!$M70:$ER70)</f>
        <v>0</v>
      </c>
      <c r="DW61" s="920">
        <f>SUMIF('IS(M)'!$M$11:$ER$11,DW$7,'IS(M)'!$M70:$ER70)</f>
        <v>0</v>
      </c>
    </row>
    <row r="62" spans="2:127" ht="11.25" customHeight="1">
      <c r="B62" s="218"/>
      <c r="C62" s="911" t="s">
        <v>220</v>
      </c>
      <c r="D62" s="912"/>
      <c r="E62" s="912"/>
      <c r="F62" s="912"/>
      <c r="G62" s="912"/>
      <c r="H62" s="912"/>
      <c r="I62" s="913"/>
      <c r="J62" s="914"/>
      <c r="K62" s="918"/>
      <c r="L62" s="98"/>
      <c r="M62" s="171">
        <f>M59+M60-M61</f>
        <v>0</v>
      </c>
      <c r="N62" s="171">
        <f t="shared" ref="N62:BY62" ca="1" si="33">N59+N60-N61</f>
        <v>0</v>
      </c>
      <c r="O62" s="171">
        <f t="shared" ca="1" si="33"/>
        <v>0</v>
      </c>
      <c r="P62" s="171">
        <f t="shared" ca="1" si="33"/>
        <v>0</v>
      </c>
      <c r="Q62" s="171">
        <f t="shared" ca="1" si="33"/>
        <v>0</v>
      </c>
      <c r="R62" s="171">
        <f t="shared" ca="1" si="33"/>
        <v>0</v>
      </c>
      <c r="S62" s="171">
        <f t="shared" ca="1" si="33"/>
        <v>-3472738.7754206718</v>
      </c>
      <c r="T62" s="171">
        <f t="shared" ca="1" si="33"/>
        <v>-1518020.8449316765</v>
      </c>
      <c r="U62" s="171">
        <f t="shared" ca="1" si="33"/>
        <v>0</v>
      </c>
      <c r="V62" s="171">
        <f t="shared" ca="1" si="33"/>
        <v>0</v>
      </c>
      <c r="W62" s="171">
        <f t="shared" ca="1" si="33"/>
        <v>0</v>
      </c>
      <c r="X62" s="171">
        <f t="shared" ca="1" si="33"/>
        <v>0</v>
      </c>
      <c r="Y62" s="171">
        <f t="shared" ca="1" si="33"/>
        <v>0</v>
      </c>
      <c r="Z62" s="171">
        <f t="shared" ca="1" si="33"/>
        <v>0</v>
      </c>
      <c r="AA62" s="171">
        <f t="shared" ca="1" si="33"/>
        <v>0</v>
      </c>
      <c r="AB62" s="171">
        <f t="shared" ca="1" si="33"/>
        <v>0</v>
      </c>
      <c r="AC62" s="171">
        <f t="shared" ca="1" si="33"/>
        <v>0</v>
      </c>
      <c r="AD62" s="171">
        <f t="shared" ca="1" si="33"/>
        <v>0</v>
      </c>
      <c r="AE62" s="171">
        <f t="shared" ca="1" si="33"/>
        <v>0</v>
      </c>
      <c r="AF62" s="171">
        <f t="shared" ca="1" si="33"/>
        <v>0</v>
      </c>
      <c r="AG62" s="171">
        <f t="shared" ca="1" si="33"/>
        <v>0</v>
      </c>
      <c r="AH62" s="171">
        <f t="shared" ca="1" si="33"/>
        <v>0</v>
      </c>
      <c r="AI62" s="171">
        <f t="shared" ca="1" si="33"/>
        <v>0</v>
      </c>
      <c r="AJ62" s="171">
        <f t="shared" ca="1" si="33"/>
        <v>0</v>
      </c>
      <c r="AK62" s="171">
        <f t="shared" ca="1" si="33"/>
        <v>0</v>
      </c>
      <c r="AL62" s="171">
        <f t="shared" ca="1" si="33"/>
        <v>0</v>
      </c>
      <c r="AM62" s="171">
        <f t="shared" ca="1" si="33"/>
        <v>0</v>
      </c>
      <c r="AN62" s="171">
        <f t="shared" ca="1" si="33"/>
        <v>0</v>
      </c>
      <c r="AO62" s="171">
        <f t="shared" ca="1" si="33"/>
        <v>0</v>
      </c>
      <c r="AP62" s="171">
        <f t="shared" ca="1" si="33"/>
        <v>0</v>
      </c>
      <c r="AQ62" s="171">
        <f t="shared" ca="1" si="33"/>
        <v>0</v>
      </c>
      <c r="AR62" s="171">
        <f t="shared" ca="1" si="33"/>
        <v>0</v>
      </c>
      <c r="AS62" s="171">
        <f t="shared" ca="1" si="33"/>
        <v>0</v>
      </c>
      <c r="AT62" s="171">
        <f t="shared" ca="1" si="33"/>
        <v>0</v>
      </c>
      <c r="AU62" s="171">
        <f t="shared" ca="1" si="33"/>
        <v>0</v>
      </c>
      <c r="AV62" s="171">
        <f t="shared" ca="1" si="33"/>
        <v>0</v>
      </c>
      <c r="AW62" s="171">
        <f t="shared" ca="1" si="33"/>
        <v>0</v>
      </c>
      <c r="AX62" s="171">
        <f t="shared" ca="1" si="33"/>
        <v>0</v>
      </c>
      <c r="AY62" s="171">
        <f t="shared" ca="1" si="33"/>
        <v>0</v>
      </c>
      <c r="AZ62" s="171">
        <f t="shared" ca="1" si="33"/>
        <v>0</v>
      </c>
      <c r="BA62" s="171">
        <f t="shared" ca="1" si="33"/>
        <v>0</v>
      </c>
      <c r="BB62" s="171">
        <f t="shared" ca="1" si="33"/>
        <v>0</v>
      </c>
      <c r="BC62" s="171">
        <f t="shared" ca="1" si="33"/>
        <v>0</v>
      </c>
      <c r="BD62" s="171">
        <f t="shared" ca="1" si="33"/>
        <v>0</v>
      </c>
      <c r="BE62" s="171">
        <f t="shared" ca="1" si="33"/>
        <v>0</v>
      </c>
      <c r="BF62" s="171">
        <f t="shared" ca="1" si="33"/>
        <v>0</v>
      </c>
      <c r="BG62" s="171">
        <f t="shared" ca="1" si="33"/>
        <v>0</v>
      </c>
      <c r="BH62" s="171">
        <f t="shared" ca="1" si="33"/>
        <v>0</v>
      </c>
      <c r="BI62" s="171">
        <f t="shared" ca="1" si="33"/>
        <v>0</v>
      </c>
      <c r="BJ62" s="171">
        <f t="shared" ca="1" si="33"/>
        <v>0</v>
      </c>
      <c r="BK62" s="171">
        <f t="shared" ca="1" si="33"/>
        <v>0</v>
      </c>
      <c r="BL62" s="171">
        <f t="shared" ca="1" si="33"/>
        <v>0</v>
      </c>
      <c r="BM62" s="171">
        <f t="shared" ca="1" si="33"/>
        <v>0</v>
      </c>
      <c r="BN62" s="171">
        <f t="shared" ca="1" si="33"/>
        <v>0</v>
      </c>
      <c r="BO62" s="171">
        <f t="shared" ca="1" si="33"/>
        <v>0</v>
      </c>
      <c r="BP62" s="171">
        <f t="shared" ca="1" si="33"/>
        <v>0</v>
      </c>
      <c r="BQ62" s="171">
        <f t="shared" ca="1" si="33"/>
        <v>0</v>
      </c>
      <c r="BR62" s="171">
        <f t="shared" ca="1" si="33"/>
        <v>0</v>
      </c>
      <c r="BS62" s="171">
        <f t="shared" ca="1" si="33"/>
        <v>0</v>
      </c>
      <c r="BT62" s="171">
        <f t="shared" ca="1" si="33"/>
        <v>0</v>
      </c>
      <c r="BU62" s="171">
        <f t="shared" ca="1" si="33"/>
        <v>0</v>
      </c>
      <c r="BV62" s="171">
        <f t="shared" ca="1" si="33"/>
        <v>0</v>
      </c>
      <c r="BW62" s="171">
        <f t="shared" ca="1" si="33"/>
        <v>0</v>
      </c>
      <c r="BX62" s="171">
        <f t="shared" ca="1" si="33"/>
        <v>0</v>
      </c>
      <c r="BY62" s="171">
        <f t="shared" ca="1" si="33"/>
        <v>0</v>
      </c>
      <c r="BZ62" s="171">
        <f t="shared" ref="BZ62:DW62" ca="1" si="34">BZ59+BZ60-BZ61</f>
        <v>0</v>
      </c>
      <c r="CA62" s="171">
        <f t="shared" ca="1" si="34"/>
        <v>0</v>
      </c>
      <c r="CB62" s="171">
        <f t="shared" ca="1" si="34"/>
        <v>0</v>
      </c>
      <c r="CC62" s="171">
        <f t="shared" ca="1" si="34"/>
        <v>0</v>
      </c>
      <c r="CD62" s="171">
        <f t="shared" ca="1" si="34"/>
        <v>0</v>
      </c>
      <c r="CE62" s="171">
        <f t="shared" ca="1" si="34"/>
        <v>0</v>
      </c>
      <c r="CF62" s="171">
        <f t="shared" ca="1" si="34"/>
        <v>0</v>
      </c>
      <c r="CG62" s="171">
        <f t="shared" ca="1" si="34"/>
        <v>0</v>
      </c>
      <c r="CH62" s="171">
        <f t="shared" ca="1" si="34"/>
        <v>0</v>
      </c>
      <c r="CI62" s="171">
        <f t="shared" ca="1" si="34"/>
        <v>0</v>
      </c>
      <c r="CJ62" s="171">
        <f t="shared" ca="1" si="34"/>
        <v>0</v>
      </c>
      <c r="CK62" s="171">
        <f t="shared" ca="1" si="34"/>
        <v>0</v>
      </c>
      <c r="CL62" s="171">
        <f t="shared" ca="1" si="34"/>
        <v>0</v>
      </c>
      <c r="CM62" s="171">
        <f t="shared" ca="1" si="34"/>
        <v>0</v>
      </c>
      <c r="CN62" s="171">
        <f t="shared" ca="1" si="34"/>
        <v>0</v>
      </c>
      <c r="CO62" s="171">
        <f t="shared" ca="1" si="34"/>
        <v>0</v>
      </c>
      <c r="CP62" s="171">
        <f t="shared" ca="1" si="34"/>
        <v>0</v>
      </c>
      <c r="CQ62" s="171">
        <f t="shared" ca="1" si="34"/>
        <v>0</v>
      </c>
      <c r="CR62" s="171">
        <f t="shared" ca="1" si="34"/>
        <v>0</v>
      </c>
      <c r="CS62" s="171">
        <f t="shared" ca="1" si="34"/>
        <v>0</v>
      </c>
      <c r="CT62" s="171">
        <f t="shared" ca="1" si="34"/>
        <v>0</v>
      </c>
      <c r="CU62" s="171">
        <f t="shared" ca="1" si="34"/>
        <v>0</v>
      </c>
      <c r="CV62" s="171">
        <f t="shared" ca="1" si="34"/>
        <v>0</v>
      </c>
      <c r="CW62" s="171">
        <f t="shared" ca="1" si="34"/>
        <v>0</v>
      </c>
      <c r="CX62" s="171">
        <f t="shared" ca="1" si="34"/>
        <v>0</v>
      </c>
      <c r="CY62" s="171">
        <f t="shared" ca="1" si="34"/>
        <v>0</v>
      </c>
      <c r="CZ62" s="171">
        <f t="shared" ca="1" si="34"/>
        <v>0</v>
      </c>
      <c r="DA62" s="171">
        <f t="shared" ca="1" si="34"/>
        <v>0</v>
      </c>
      <c r="DB62" s="171">
        <f t="shared" ca="1" si="34"/>
        <v>0</v>
      </c>
      <c r="DC62" s="171">
        <f t="shared" ca="1" si="34"/>
        <v>0</v>
      </c>
      <c r="DD62" s="171">
        <f t="shared" ca="1" si="34"/>
        <v>0</v>
      </c>
      <c r="DE62" s="171">
        <f t="shared" ca="1" si="34"/>
        <v>0</v>
      </c>
      <c r="DF62" s="171">
        <f t="shared" ca="1" si="34"/>
        <v>0</v>
      </c>
      <c r="DG62" s="171">
        <f t="shared" ca="1" si="34"/>
        <v>0</v>
      </c>
      <c r="DH62" s="171">
        <f t="shared" ca="1" si="34"/>
        <v>0</v>
      </c>
      <c r="DI62" s="171">
        <f t="shared" ca="1" si="34"/>
        <v>0</v>
      </c>
      <c r="DJ62" s="171">
        <f t="shared" ca="1" si="34"/>
        <v>0</v>
      </c>
      <c r="DK62" s="171">
        <f t="shared" ca="1" si="34"/>
        <v>0</v>
      </c>
      <c r="DL62" s="171">
        <f t="shared" ca="1" si="34"/>
        <v>0</v>
      </c>
      <c r="DM62" s="171">
        <f t="shared" ca="1" si="34"/>
        <v>0</v>
      </c>
      <c r="DN62" s="171">
        <f t="shared" ca="1" si="34"/>
        <v>0</v>
      </c>
      <c r="DO62" s="171">
        <f t="shared" ca="1" si="34"/>
        <v>0</v>
      </c>
      <c r="DP62" s="171">
        <f t="shared" ca="1" si="34"/>
        <v>0</v>
      </c>
      <c r="DQ62" s="171">
        <f t="shared" ca="1" si="34"/>
        <v>0</v>
      </c>
      <c r="DR62" s="171">
        <f t="shared" ca="1" si="34"/>
        <v>0</v>
      </c>
      <c r="DS62" s="171">
        <f t="shared" ca="1" si="34"/>
        <v>0</v>
      </c>
      <c r="DT62" s="171">
        <f t="shared" ca="1" si="34"/>
        <v>0</v>
      </c>
      <c r="DU62" s="171">
        <f t="shared" ca="1" si="34"/>
        <v>0</v>
      </c>
      <c r="DV62" s="171">
        <f t="shared" ca="1" si="34"/>
        <v>0</v>
      </c>
      <c r="DW62" s="171">
        <f t="shared" ca="1" si="34"/>
        <v>0</v>
      </c>
    </row>
    <row r="63" spans="2:127" ht="11.25" customHeight="1">
      <c r="B63" s="875" t="s">
        <v>1093</v>
      </c>
      <c r="C63" s="876"/>
      <c r="D63" s="876"/>
      <c r="E63" s="876"/>
      <c r="F63" s="876"/>
      <c r="G63" s="876"/>
      <c r="H63" s="876"/>
      <c r="I63" s="877"/>
      <c r="J63" s="878"/>
      <c r="K63" s="919"/>
      <c r="M63" s="897"/>
      <c r="N63" s="897"/>
      <c r="O63" s="897"/>
      <c r="P63" s="897"/>
      <c r="Q63" s="897"/>
      <c r="R63" s="897"/>
      <c r="S63" s="897"/>
      <c r="T63" s="897"/>
      <c r="U63" s="897"/>
      <c r="V63" s="897"/>
      <c r="W63" s="897"/>
      <c r="X63" s="897"/>
      <c r="Y63" s="897"/>
      <c r="Z63" s="897"/>
      <c r="AA63" s="897"/>
      <c r="AB63" s="897"/>
      <c r="AC63" s="897"/>
      <c r="AD63" s="897"/>
      <c r="AE63" s="897"/>
      <c r="AF63" s="897"/>
      <c r="AG63" s="897"/>
      <c r="AH63" s="897"/>
      <c r="AI63" s="897"/>
      <c r="AJ63" s="897"/>
      <c r="AK63" s="897"/>
      <c r="AL63" s="897"/>
      <c r="AM63" s="897"/>
      <c r="AN63" s="897"/>
      <c r="AO63" s="897"/>
      <c r="AP63" s="897"/>
      <c r="AQ63" s="897"/>
      <c r="AR63" s="897"/>
      <c r="AS63" s="897"/>
      <c r="AT63" s="897"/>
      <c r="AU63" s="897"/>
      <c r="AV63" s="897"/>
      <c r="AW63" s="897"/>
      <c r="AX63" s="897"/>
      <c r="AY63" s="897"/>
      <c r="AZ63" s="897"/>
      <c r="BA63" s="897"/>
      <c r="BB63" s="897"/>
      <c r="BC63" s="897"/>
      <c r="BD63" s="897"/>
      <c r="BE63" s="897"/>
      <c r="BF63" s="897"/>
      <c r="BG63" s="897"/>
      <c r="BH63" s="897"/>
      <c r="BI63" s="897"/>
      <c r="BJ63" s="897"/>
      <c r="BK63" s="897"/>
      <c r="BL63" s="897"/>
      <c r="BM63" s="897"/>
      <c r="BN63" s="897"/>
      <c r="BO63" s="897"/>
      <c r="BP63" s="897"/>
      <c r="BQ63" s="897"/>
      <c r="BR63" s="897"/>
      <c r="BS63" s="897"/>
      <c r="BT63" s="897"/>
      <c r="BU63" s="897"/>
      <c r="BV63" s="897"/>
      <c r="BW63" s="897"/>
      <c r="BX63" s="897"/>
      <c r="BY63" s="897"/>
      <c r="BZ63" s="897"/>
      <c r="CA63" s="897"/>
      <c r="CB63" s="897"/>
      <c r="CC63" s="897"/>
      <c r="CD63" s="897"/>
      <c r="CE63" s="897"/>
      <c r="CF63" s="897"/>
      <c r="CG63" s="897"/>
      <c r="CH63" s="897"/>
      <c r="CI63" s="897"/>
      <c r="CJ63" s="897"/>
      <c r="CK63" s="897"/>
      <c r="CL63" s="897"/>
      <c r="CM63" s="897"/>
      <c r="CN63" s="897"/>
      <c r="CO63" s="897"/>
      <c r="CP63" s="897"/>
      <c r="CQ63" s="897"/>
      <c r="CR63" s="897"/>
      <c r="CS63" s="897"/>
      <c r="CT63" s="897"/>
      <c r="CU63" s="897"/>
      <c r="CV63" s="897"/>
      <c r="CW63" s="897"/>
      <c r="CX63" s="897"/>
      <c r="CY63" s="897"/>
      <c r="CZ63" s="897"/>
      <c r="DA63" s="897"/>
      <c r="DB63" s="897"/>
      <c r="DC63" s="897"/>
      <c r="DD63" s="897"/>
      <c r="DE63" s="897"/>
      <c r="DF63" s="897"/>
      <c r="DG63" s="897"/>
      <c r="DH63" s="897"/>
      <c r="DI63" s="897"/>
      <c r="DJ63" s="897"/>
      <c r="DK63" s="897"/>
      <c r="DL63" s="897"/>
      <c r="DM63" s="897"/>
      <c r="DN63" s="897"/>
      <c r="DO63" s="897"/>
      <c r="DP63" s="897"/>
      <c r="DQ63" s="897"/>
      <c r="DR63" s="897"/>
      <c r="DS63" s="897"/>
      <c r="DT63" s="897"/>
      <c r="DU63" s="897"/>
      <c r="DV63" s="897"/>
      <c r="DW63" s="897"/>
    </row>
    <row r="64" spans="2:127" ht="11.25" customHeight="1">
      <c r="B64" s="218"/>
      <c r="C64" s="904" t="s">
        <v>230</v>
      </c>
      <c r="D64" s="905"/>
      <c r="E64" s="905"/>
      <c r="F64" s="905"/>
      <c r="G64" s="905"/>
      <c r="H64" s="905"/>
      <c r="I64" s="906"/>
      <c r="J64" s="907"/>
      <c r="K64" s="917"/>
      <c r="L64" s="98"/>
      <c r="M64" s="908">
        <f>L67</f>
        <v>0</v>
      </c>
      <c r="N64" s="908">
        <f t="shared" ref="N64:BY64" ca="1" si="35">M67</f>
        <v>0</v>
      </c>
      <c r="O64" s="908">
        <f t="shared" ca="1" si="35"/>
        <v>0</v>
      </c>
      <c r="P64" s="908">
        <f t="shared" ca="1" si="35"/>
        <v>0</v>
      </c>
      <c r="Q64" s="908">
        <f t="shared" ca="1" si="35"/>
        <v>0</v>
      </c>
      <c r="R64" s="908">
        <f t="shared" ca="1" si="35"/>
        <v>0</v>
      </c>
      <c r="S64" s="908">
        <f t="shared" ca="1" si="35"/>
        <v>0</v>
      </c>
      <c r="T64" s="908">
        <f t="shared" ca="1" si="35"/>
        <v>0</v>
      </c>
      <c r="U64" s="908">
        <f t="shared" ca="1" si="35"/>
        <v>0</v>
      </c>
      <c r="V64" s="908">
        <f t="shared" ca="1" si="35"/>
        <v>0</v>
      </c>
      <c r="W64" s="908">
        <f t="shared" ca="1" si="35"/>
        <v>0</v>
      </c>
      <c r="X64" s="908">
        <f t="shared" ca="1" si="35"/>
        <v>0</v>
      </c>
      <c r="Y64" s="908">
        <f t="shared" ca="1" si="35"/>
        <v>0</v>
      </c>
      <c r="Z64" s="908">
        <f t="shared" ca="1" si="35"/>
        <v>0</v>
      </c>
      <c r="AA64" s="908">
        <f t="shared" ca="1" si="35"/>
        <v>0</v>
      </c>
      <c r="AB64" s="908">
        <f t="shared" ca="1" si="35"/>
        <v>0</v>
      </c>
      <c r="AC64" s="908">
        <f t="shared" ca="1" si="35"/>
        <v>0</v>
      </c>
      <c r="AD64" s="908">
        <f t="shared" ca="1" si="35"/>
        <v>0</v>
      </c>
      <c r="AE64" s="908">
        <f t="shared" ca="1" si="35"/>
        <v>0</v>
      </c>
      <c r="AF64" s="908">
        <f t="shared" ca="1" si="35"/>
        <v>0</v>
      </c>
      <c r="AG64" s="908">
        <f t="shared" ca="1" si="35"/>
        <v>0</v>
      </c>
      <c r="AH64" s="908">
        <f t="shared" ca="1" si="35"/>
        <v>0</v>
      </c>
      <c r="AI64" s="908">
        <f t="shared" ca="1" si="35"/>
        <v>0</v>
      </c>
      <c r="AJ64" s="908">
        <f t="shared" ca="1" si="35"/>
        <v>0</v>
      </c>
      <c r="AK64" s="908">
        <f t="shared" ca="1" si="35"/>
        <v>0</v>
      </c>
      <c r="AL64" s="908">
        <f t="shared" ca="1" si="35"/>
        <v>0</v>
      </c>
      <c r="AM64" s="908">
        <f t="shared" ca="1" si="35"/>
        <v>0</v>
      </c>
      <c r="AN64" s="908">
        <f t="shared" ca="1" si="35"/>
        <v>0</v>
      </c>
      <c r="AO64" s="908">
        <f t="shared" ca="1" si="35"/>
        <v>0</v>
      </c>
      <c r="AP64" s="908">
        <f t="shared" ca="1" si="35"/>
        <v>0</v>
      </c>
      <c r="AQ64" s="908">
        <f t="shared" ca="1" si="35"/>
        <v>0</v>
      </c>
      <c r="AR64" s="908">
        <f t="shared" ca="1" si="35"/>
        <v>0</v>
      </c>
      <c r="AS64" s="908">
        <f t="shared" ca="1" si="35"/>
        <v>0</v>
      </c>
      <c r="AT64" s="908">
        <f t="shared" ca="1" si="35"/>
        <v>0</v>
      </c>
      <c r="AU64" s="908">
        <f t="shared" ca="1" si="35"/>
        <v>0</v>
      </c>
      <c r="AV64" s="908">
        <f t="shared" ca="1" si="35"/>
        <v>0</v>
      </c>
      <c r="AW64" s="908">
        <f t="shared" ca="1" si="35"/>
        <v>0</v>
      </c>
      <c r="AX64" s="908">
        <f t="shared" ca="1" si="35"/>
        <v>0</v>
      </c>
      <c r="AY64" s="908">
        <f t="shared" ca="1" si="35"/>
        <v>0</v>
      </c>
      <c r="AZ64" s="908">
        <f t="shared" ca="1" si="35"/>
        <v>0</v>
      </c>
      <c r="BA64" s="908">
        <f t="shared" ca="1" si="35"/>
        <v>0</v>
      </c>
      <c r="BB64" s="908">
        <f t="shared" ca="1" si="35"/>
        <v>0</v>
      </c>
      <c r="BC64" s="908">
        <f t="shared" ca="1" si="35"/>
        <v>0</v>
      </c>
      <c r="BD64" s="908">
        <f t="shared" ca="1" si="35"/>
        <v>0</v>
      </c>
      <c r="BE64" s="908">
        <f t="shared" ca="1" si="35"/>
        <v>0</v>
      </c>
      <c r="BF64" s="908">
        <f t="shared" ca="1" si="35"/>
        <v>0</v>
      </c>
      <c r="BG64" s="908">
        <f t="shared" ca="1" si="35"/>
        <v>0</v>
      </c>
      <c r="BH64" s="908">
        <f t="shared" ca="1" si="35"/>
        <v>0</v>
      </c>
      <c r="BI64" s="908">
        <f t="shared" ca="1" si="35"/>
        <v>0</v>
      </c>
      <c r="BJ64" s="908">
        <f t="shared" ca="1" si="35"/>
        <v>0</v>
      </c>
      <c r="BK64" s="908">
        <f t="shared" ca="1" si="35"/>
        <v>0</v>
      </c>
      <c r="BL64" s="908">
        <f t="shared" ca="1" si="35"/>
        <v>0</v>
      </c>
      <c r="BM64" s="908">
        <f t="shared" ca="1" si="35"/>
        <v>0</v>
      </c>
      <c r="BN64" s="908">
        <f t="shared" ca="1" si="35"/>
        <v>0</v>
      </c>
      <c r="BO64" s="908">
        <f t="shared" ca="1" si="35"/>
        <v>0</v>
      </c>
      <c r="BP64" s="908">
        <f t="shared" ca="1" si="35"/>
        <v>0</v>
      </c>
      <c r="BQ64" s="908">
        <f t="shared" ca="1" si="35"/>
        <v>0</v>
      </c>
      <c r="BR64" s="908">
        <f t="shared" ca="1" si="35"/>
        <v>0</v>
      </c>
      <c r="BS64" s="908">
        <f t="shared" ca="1" si="35"/>
        <v>0</v>
      </c>
      <c r="BT64" s="908">
        <f t="shared" ca="1" si="35"/>
        <v>0</v>
      </c>
      <c r="BU64" s="908">
        <f t="shared" ca="1" si="35"/>
        <v>0</v>
      </c>
      <c r="BV64" s="908">
        <f t="shared" ca="1" si="35"/>
        <v>0</v>
      </c>
      <c r="BW64" s="908">
        <f t="shared" ca="1" si="35"/>
        <v>0</v>
      </c>
      <c r="BX64" s="908">
        <f t="shared" ca="1" si="35"/>
        <v>0</v>
      </c>
      <c r="BY64" s="908">
        <f t="shared" ca="1" si="35"/>
        <v>0</v>
      </c>
      <c r="BZ64" s="908">
        <f t="shared" ref="BZ64:DW64" ca="1" si="36">BY67</f>
        <v>0</v>
      </c>
      <c r="CA64" s="908">
        <f t="shared" ca="1" si="36"/>
        <v>0</v>
      </c>
      <c r="CB64" s="908">
        <f t="shared" ca="1" si="36"/>
        <v>0</v>
      </c>
      <c r="CC64" s="908">
        <f t="shared" ca="1" si="36"/>
        <v>0</v>
      </c>
      <c r="CD64" s="908">
        <f t="shared" ca="1" si="36"/>
        <v>0</v>
      </c>
      <c r="CE64" s="908">
        <f t="shared" ca="1" si="36"/>
        <v>0</v>
      </c>
      <c r="CF64" s="908">
        <f t="shared" ca="1" si="36"/>
        <v>0</v>
      </c>
      <c r="CG64" s="908">
        <f t="shared" ca="1" si="36"/>
        <v>0</v>
      </c>
      <c r="CH64" s="908">
        <f t="shared" ca="1" si="36"/>
        <v>0</v>
      </c>
      <c r="CI64" s="908">
        <f t="shared" ca="1" si="36"/>
        <v>0</v>
      </c>
      <c r="CJ64" s="908">
        <f t="shared" ca="1" si="36"/>
        <v>0</v>
      </c>
      <c r="CK64" s="908">
        <f t="shared" ca="1" si="36"/>
        <v>0</v>
      </c>
      <c r="CL64" s="908">
        <f t="shared" ca="1" si="36"/>
        <v>0</v>
      </c>
      <c r="CM64" s="908">
        <f t="shared" ca="1" si="36"/>
        <v>0</v>
      </c>
      <c r="CN64" s="908">
        <f t="shared" ca="1" si="36"/>
        <v>0</v>
      </c>
      <c r="CO64" s="908">
        <f t="shared" ca="1" si="36"/>
        <v>0</v>
      </c>
      <c r="CP64" s="908">
        <f t="shared" ca="1" si="36"/>
        <v>0</v>
      </c>
      <c r="CQ64" s="908">
        <f t="shared" ca="1" si="36"/>
        <v>0</v>
      </c>
      <c r="CR64" s="908">
        <f t="shared" ca="1" si="36"/>
        <v>0</v>
      </c>
      <c r="CS64" s="908">
        <f t="shared" ca="1" si="36"/>
        <v>0</v>
      </c>
      <c r="CT64" s="908">
        <f t="shared" ca="1" si="36"/>
        <v>0</v>
      </c>
      <c r="CU64" s="908">
        <f t="shared" ca="1" si="36"/>
        <v>0</v>
      </c>
      <c r="CV64" s="908">
        <f t="shared" ca="1" si="36"/>
        <v>0</v>
      </c>
      <c r="CW64" s="908">
        <f t="shared" ca="1" si="36"/>
        <v>0</v>
      </c>
      <c r="CX64" s="908">
        <f t="shared" ca="1" si="36"/>
        <v>0</v>
      </c>
      <c r="CY64" s="908">
        <f t="shared" ca="1" si="36"/>
        <v>0</v>
      </c>
      <c r="CZ64" s="908">
        <f t="shared" ca="1" si="36"/>
        <v>0</v>
      </c>
      <c r="DA64" s="908">
        <f t="shared" ca="1" si="36"/>
        <v>0</v>
      </c>
      <c r="DB64" s="908">
        <f t="shared" ca="1" si="36"/>
        <v>0</v>
      </c>
      <c r="DC64" s="908">
        <f t="shared" ca="1" si="36"/>
        <v>0</v>
      </c>
      <c r="DD64" s="908">
        <f t="shared" ca="1" si="36"/>
        <v>0</v>
      </c>
      <c r="DE64" s="908">
        <f t="shared" ca="1" si="36"/>
        <v>0</v>
      </c>
      <c r="DF64" s="908">
        <f t="shared" ca="1" si="36"/>
        <v>0</v>
      </c>
      <c r="DG64" s="908">
        <f t="shared" ca="1" si="36"/>
        <v>0</v>
      </c>
      <c r="DH64" s="908">
        <f t="shared" ca="1" si="36"/>
        <v>0</v>
      </c>
      <c r="DI64" s="908">
        <f t="shared" ca="1" si="36"/>
        <v>0</v>
      </c>
      <c r="DJ64" s="908">
        <f t="shared" ca="1" si="36"/>
        <v>0</v>
      </c>
      <c r="DK64" s="908">
        <f t="shared" ca="1" si="36"/>
        <v>0</v>
      </c>
      <c r="DL64" s="908">
        <f t="shared" ca="1" si="36"/>
        <v>0</v>
      </c>
      <c r="DM64" s="908">
        <f t="shared" ca="1" si="36"/>
        <v>0</v>
      </c>
      <c r="DN64" s="908">
        <f t="shared" ca="1" si="36"/>
        <v>0</v>
      </c>
      <c r="DO64" s="908">
        <f t="shared" ca="1" si="36"/>
        <v>0</v>
      </c>
      <c r="DP64" s="908">
        <f t="shared" ca="1" si="36"/>
        <v>0</v>
      </c>
      <c r="DQ64" s="908">
        <f t="shared" ca="1" si="36"/>
        <v>0</v>
      </c>
      <c r="DR64" s="908">
        <f t="shared" ca="1" si="36"/>
        <v>0</v>
      </c>
      <c r="DS64" s="908">
        <f t="shared" ca="1" si="36"/>
        <v>0</v>
      </c>
      <c r="DT64" s="908">
        <f t="shared" ca="1" si="36"/>
        <v>0</v>
      </c>
      <c r="DU64" s="908">
        <f t="shared" ca="1" si="36"/>
        <v>0</v>
      </c>
      <c r="DV64" s="908">
        <f t="shared" ca="1" si="36"/>
        <v>0</v>
      </c>
      <c r="DW64" s="908">
        <f t="shared" ca="1" si="36"/>
        <v>0</v>
      </c>
    </row>
    <row r="65" spans="2:127" ht="11.25" customHeight="1">
      <c r="B65" s="218"/>
      <c r="C65" s="911" t="s">
        <v>231</v>
      </c>
      <c r="D65" s="912"/>
      <c r="E65" s="912"/>
      <c r="F65" s="912"/>
      <c r="G65" s="929"/>
      <c r="H65" s="921"/>
      <c r="I65" s="921">
        <f>'A&amp;R'!S41</f>
        <v>7.0000000000000007E-2</v>
      </c>
      <c r="J65" s="914"/>
      <c r="K65" s="918">
        <f>SUM(M65:DW65)</f>
        <v>16800000.000000004</v>
      </c>
      <c r="L65" s="98"/>
      <c r="M65" s="920">
        <f>SUMIF('IS(M)'!$M$11:$ER$11,M$7,'IS(M)'!$M74:$ER74)</f>
        <v>0</v>
      </c>
      <c r="N65" s="920">
        <f>SUMIF('IS(M)'!$M$11:$ER$11,N$7,'IS(M)'!$M74:$ER74)</f>
        <v>840000.00000000012</v>
      </c>
      <c r="O65" s="920">
        <f>SUMIF('IS(M)'!$M$11:$ER$11,O$7,'IS(M)'!$M74:$ER74)</f>
        <v>840000.00000000012</v>
      </c>
      <c r="P65" s="920">
        <f>SUMIF('IS(M)'!$M$11:$ER$11,P$7,'IS(M)'!$M74:$ER74)</f>
        <v>840000.00000000012</v>
      </c>
      <c r="Q65" s="920">
        <f>SUMIF('IS(M)'!$M$11:$ER$11,Q$7,'IS(M)'!$M74:$ER74)</f>
        <v>840000.00000000012</v>
      </c>
      <c r="R65" s="920">
        <f>SUMIF('IS(M)'!$M$11:$ER$11,R$7,'IS(M)'!$M74:$ER74)</f>
        <v>840000.00000000012</v>
      </c>
      <c r="S65" s="920">
        <f>SUMIF('IS(M)'!$M$11:$ER$11,S$7,'IS(M)'!$M74:$ER74)</f>
        <v>840000.00000000012</v>
      </c>
      <c r="T65" s="920">
        <f>SUMIF('IS(M)'!$M$11:$ER$11,T$7,'IS(M)'!$M74:$ER74)</f>
        <v>840000.00000000012</v>
      </c>
      <c r="U65" s="920">
        <f>SUMIF('IS(M)'!$M$11:$ER$11,U$7,'IS(M)'!$M74:$ER74)</f>
        <v>840000.00000000012</v>
      </c>
      <c r="V65" s="920">
        <f>SUMIF('IS(M)'!$M$11:$ER$11,V$7,'IS(M)'!$M74:$ER74)</f>
        <v>840000.00000000012</v>
      </c>
      <c r="W65" s="920">
        <f>SUMIF('IS(M)'!$M$11:$ER$11,W$7,'IS(M)'!$M74:$ER74)</f>
        <v>840000.00000000012</v>
      </c>
      <c r="X65" s="920">
        <f>SUMIF('IS(M)'!$M$11:$ER$11,X$7,'IS(M)'!$M74:$ER74)</f>
        <v>840000.00000000012</v>
      </c>
      <c r="Y65" s="920">
        <f>SUMIF('IS(M)'!$M$11:$ER$11,Y$7,'IS(M)'!$M74:$ER74)</f>
        <v>840000.00000000012</v>
      </c>
      <c r="Z65" s="920">
        <f>SUMIF('IS(M)'!$M$11:$ER$11,Z$7,'IS(M)'!$M74:$ER74)</f>
        <v>840000.00000000012</v>
      </c>
      <c r="AA65" s="920">
        <f>SUMIF('IS(M)'!$M$11:$ER$11,AA$7,'IS(M)'!$M74:$ER74)</f>
        <v>840000.00000000012</v>
      </c>
      <c r="AB65" s="920">
        <f>SUMIF('IS(M)'!$M$11:$ER$11,AB$7,'IS(M)'!$M74:$ER74)</f>
        <v>840000.00000000012</v>
      </c>
      <c r="AC65" s="920">
        <f>SUMIF('IS(M)'!$M$11:$ER$11,AC$7,'IS(M)'!$M74:$ER74)</f>
        <v>840000.00000000012</v>
      </c>
      <c r="AD65" s="920">
        <f>SUMIF('IS(M)'!$M$11:$ER$11,AD$7,'IS(M)'!$M74:$ER74)</f>
        <v>840000.00000000012</v>
      </c>
      <c r="AE65" s="920">
        <f>SUMIF('IS(M)'!$M$11:$ER$11,AE$7,'IS(M)'!$M74:$ER74)</f>
        <v>840000.00000000012</v>
      </c>
      <c r="AF65" s="920">
        <f>SUMIF('IS(M)'!$M$11:$ER$11,AF$7,'IS(M)'!$M74:$ER74)</f>
        <v>840000.00000000012</v>
      </c>
      <c r="AG65" s="920">
        <f>SUMIF('IS(M)'!$M$11:$ER$11,AG$7,'IS(M)'!$M74:$ER74)</f>
        <v>840000.00000000012</v>
      </c>
      <c r="AH65" s="920">
        <f>SUMIF('IS(M)'!$M$11:$ER$11,AH$7,'IS(M)'!$M74:$ER74)</f>
        <v>0</v>
      </c>
      <c r="AI65" s="920">
        <f>SUMIF('IS(M)'!$M$11:$ER$11,AI$7,'IS(M)'!$M74:$ER74)</f>
        <v>0</v>
      </c>
      <c r="AJ65" s="920">
        <f>SUMIF('IS(M)'!$M$11:$ER$11,AJ$7,'IS(M)'!$M74:$ER74)</f>
        <v>0</v>
      </c>
      <c r="AK65" s="920">
        <f>SUMIF('IS(M)'!$M$11:$ER$11,AK$7,'IS(M)'!$M74:$ER74)</f>
        <v>0</v>
      </c>
      <c r="AL65" s="920">
        <f>SUMIF('IS(M)'!$M$11:$ER$11,AL$7,'IS(M)'!$M74:$ER74)</f>
        <v>0</v>
      </c>
      <c r="AM65" s="920">
        <f>SUMIF('IS(M)'!$M$11:$ER$11,AM$7,'IS(M)'!$M74:$ER74)</f>
        <v>0</v>
      </c>
      <c r="AN65" s="920">
        <f>SUMIF('IS(M)'!$M$11:$ER$11,AN$7,'IS(M)'!$M74:$ER74)</f>
        <v>0</v>
      </c>
      <c r="AO65" s="920">
        <f>SUMIF('IS(M)'!$M$11:$ER$11,AO$7,'IS(M)'!$M74:$ER74)</f>
        <v>0</v>
      </c>
      <c r="AP65" s="920">
        <f>SUMIF('IS(M)'!$M$11:$ER$11,AP$7,'IS(M)'!$M74:$ER74)</f>
        <v>0</v>
      </c>
      <c r="AQ65" s="920">
        <f>SUMIF('IS(M)'!$M$11:$ER$11,AQ$7,'IS(M)'!$M74:$ER74)</f>
        <v>0</v>
      </c>
      <c r="AR65" s="920">
        <f>SUMIF('IS(M)'!$M$11:$ER$11,AR$7,'IS(M)'!$M74:$ER74)</f>
        <v>0</v>
      </c>
      <c r="AS65" s="920">
        <f>SUMIF('IS(M)'!$M$11:$ER$11,AS$7,'IS(M)'!$M74:$ER74)</f>
        <v>0</v>
      </c>
      <c r="AT65" s="920">
        <f>SUMIF('IS(M)'!$M$11:$ER$11,AT$7,'IS(M)'!$M74:$ER74)</f>
        <v>0</v>
      </c>
      <c r="AU65" s="920">
        <f>SUMIF('IS(M)'!$M$11:$ER$11,AU$7,'IS(M)'!$M74:$ER74)</f>
        <v>0</v>
      </c>
      <c r="AV65" s="920">
        <f>SUMIF('IS(M)'!$M$11:$ER$11,AV$7,'IS(M)'!$M74:$ER74)</f>
        <v>0</v>
      </c>
      <c r="AW65" s="920">
        <f>SUMIF('IS(M)'!$M$11:$ER$11,AW$7,'IS(M)'!$M74:$ER74)</f>
        <v>0</v>
      </c>
      <c r="AX65" s="920">
        <f>SUMIF('IS(M)'!$M$11:$ER$11,AX$7,'IS(M)'!$M74:$ER74)</f>
        <v>0</v>
      </c>
      <c r="AY65" s="920">
        <f>SUMIF('IS(M)'!$M$11:$ER$11,AY$7,'IS(M)'!$M74:$ER74)</f>
        <v>0</v>
      </c>
      <c r="AZ65" s="920">
        <f>SUMIF('IS(M)'!$M$11:$ER$11,AZ$7,'IS(M)'!$M74:$ER74)</f>
        <v>0</v>
      </c>
      <c r="BA65" s="920">
        <f>SUMIF('IS(M)'!$M$11:$ER$11,BA$7,'IS(M)'!$M74:$ER74)</f>
        <v>0</v>
      </c>
      <c r="BB65" s="920">
        <f>SUMIF('IS(M)'!$M$11:$ER$11,BB$7,'IS(M)'!$M74:$ER74)</f>
        <v>0</v>
      </c>
      <c r="BC65" s="920">
        <f>SUMIF('IS(M)'!$M$11:$ER$11,BC$7,'IS(M)'!$M74:$ER74)</f>
        <v>0</v>
      </c>
      <c r="BD65" s="920">
        <f>SUMIF('IS(M)'!$M$11:$ER$11,BD$7,'IS(M)'!$M74:$ER74)</f>
        <v>0</v>
      </c>
      <c r="BE65" s="920">
        <f>SUMIF('IS(M)'!$M$11:$ER$11,BE$7,'IS(M)'!$M74:$ER74)</f>
        <v>0</v>
      </c>
      <c r="BF65" s="920">
        <f>SUMIF('IS(M)'!$M$11:$ER$11,BF$7,'IS(M)'!$M74:$ER74)</f>
        <v>0</v>
      </c>
      <c r="BG65" s="920">
        <f>SUMIF('IS(M)'!$M$11:$ER$11,BG$7,'IS(M)'!$M74:$ER74)</f>
        <v>0</v>
      </c>
      <c r="BH65" s="920">
        <f>SUMIF('IS(M)'!$M$11:$ER$11,BH$7,'IS(M)'!$M74:$ER74)</f>
        <v>0</v>
      </c>
      <c r="BI65" s="920">
        <f>SUMIF('IS(M)'!$M$11:$ER$11,BI$7,'IS(M)'!$M74:$ER74)</f>
        <v>0</v>
      </c>
      <c r="BJ65" s="920">
        <f>SUMIF('IS(M)'!$M$11:$ER$11,BJ$7,'IS(M)'!$M74:$ER74)</f>
        <v>0</v>
      </c>
      <c r="BK65" s="920">
        <f>SUMIF('IS(M)'!$M$11:$ER$11,BK$7,'IS(M)'!$M74:$ER74)</f>
        <v>0</v>
      </c>
      <c r="BL65" s="920">
        <f>SUMIF('IS(M)'!$M$11:$ER$11,BL$7,'IS(M)'!$M74:$ER74)</f>
        <v>0</v>
      </c>
      <c r="BM65" s="920">
        <f>SUMIF('IS(M)'!$M$11:$ER$11,BM$7,'IS(M)'!$M74:$ER74)</f>
        <v>0</v>
      </c>
      <c r="BN65" s="920">
        <f>SUMIF('IS(M)'!$M$11:$ER$11,BN$7,'IS(M)'!$M74:$ER74)</f>
        <v>0</v>
      </c>
      <c r="BO65" s="920">
        <f>SUMIF('IS(M)'!$M$11:$ER$11,BO$7,'IS(M)'!$M74:$ER74)</f>
        <v>0</v>
      </c>
      <c r="BP65" s="920">
        <f>SUMIF('IS(M)'!$M$11:$ER$11,BP$7,'IS(M)'!$M74:$ER74)</f>
        <v>0</v>
      </c>
      <c r="BQ65" s="920">
        <f>SUMIF('IS(M)'!$M$11:$ER$11,BQ$7,'IS(M)'!$M74:$ER74)</f>
        <v>0</v>
      </c>
      <c r="BR65" s="920">
        <f>SUMIF('IS(M)'!$M$11:$ER$11,BR$7,'IS(M)'!$M74:$ER74)</f>
        <v>0</v>
      </c>
      <c r="BS65" s="920">
        <f>SUMIF('IS(M)'!$M$11:$ER$11,BS$7,'IS(M)'!$M74:$ER74)</f>
        <v>0</v>
      </c>
      <c r="BT65" s="920">
        <f>SUMIF('IS(M)'!$M$11:$ER$11,BT$7,'IS(M)'!$M74:$ER74)</f>
        <v>0</v>
      </c>
      <c r="BU65" s="920">
        <f>SUMIF('IS(M)'!$M$11:$ER$11,BU$7,'IS(M)'!$M74:$ER74)</f>
        <v>0</v>
      </c>
      <c r="BV65" s="920">
        <f>SUMIF('IS(M)'!$M$11:$ER$11,BV$7,'IS(M)'!$M74:$ER74)</f>
        <v>0</v>
      </c>
      <c r="BW65" s="920">
        <f>SUMIF('IS(M)'!$M$11:$ER$11,BW$7,'IS(M)'!$M74:$ER74)</f>
        <v>0</v>
      </c>
      <c r="BX65" s="920">
        <f>SUMIF('IS(M)'!$M$11:$ER$11,BX$7,'IS(M)'!$M74:$ER74)</f>
        <v>0</v>
      </c>
      <c r="BY65" s="920">
        <f>SUMIF('IS(M)'!$M$11:$ER$11,BY$7,'IS(M)'!$M74:$ER74)</f>
        <v>0</v>
      </c>
      <c r="BZ65" s="920">
        <f>SUMIF('IS(M)'!$M$11:$ER$11,BZ$7,'IS(M)'!$M74:$ER74)</f>
        <v>0</v>
      </c>
      <c r="CA65" s="920">
        <f>SUMIF('IS(M)'!$M$11:$ER$11,CA$7,'IS(M)'!$M74:$ER74)</f>
        <v>0</v>
      </c>
      <c r="CB65" s="920">
        <f>SUMIF('IS(M)'!$M$11:$ER$11,CB$7,'IS(M)'!$M74:$ER74)</f>
        <v>0</v>
      </c>
      <c r="CC65" s="920">
        <f>SUMIF('IS(M)'!$M$11:$ER$11,CC$7,'IS(M)'!$M74:$ER74)</f>
        <v>0</v>
      </c>
      <c r="CD65" s="920">
        <f>SUMIF('IS(M)'!$M$11:$ER$11,CD$7,'IS(M)'!$M74:$ER74)</f>
        <v>0</v>
      </c>
      <c r="CE65" s="920">
        <f>SUMIF('IS(M)'!$M$11:$ER$11,CE$7,'IS(M)'!$M74:$ER74)</f>
        <v>0</v>
      </c>
      <c r="CF65" s="920">
        <f>SUMIF('IS(M)'!$M$11:$ER$11,CF$7,'IS(M)'!$M74:$ER74)</f>
        <v>0</v>
      </c>
      <c r="CG65" s="920">
        <f>SUMIF('IS(M)'!$M$11:$ER$11,CG$7,'IS(M)'!$M74:$ER74)</f>
        <v>0</v>
      </c>
      <c r="CH65" s="920">
        <f>SUMIF('IS(M)'!$M$11:$ER$11,CH$7,'IS(M)'!$M74:$ER74)</f>
        <v>0</v>
      </c>
      <c r="CI65" s="920">
        <f>SUMIF('IS(M)'!$M$11:$ER$11,CI$7,'IS(M)'!$M74:$ER74)</f>
        <v>0</v>
      </c>
      <c r="CJ65" s="920">
        <f>SUMIF('IS(M)'!$M$11:$ER$11,CJ$7,'IS(M)'!$M74:$ER74)</f>
        <v>0</v>
      </c>
      <c r="CK65" s="920">
        <f>SUMIF('IS(M)'!$M$11:$ER$11,CK$7,'IS(M)'!$M74:$ER74)</f>
        <v>0</v>
      </c>
      <c r="CL65" s="920">
        <f>SUMIF('IS(M)'!$M$11:$ER$11,CL$7,'IS(M)'!$M74:$ER74)</f>
        <v>0</v>
      </c>
      <c r="CM65" s="920">
        <f>SUMIF('IS(M)'!$M$11:$ER$11,CM$7,'IS(M)'!$M74:$ER74)</f>
        <v>0</v>
      </c>
      <c r="CN65" s="920">
        <f>SUMIF('IS(M)'!$M$11:$ER$11,CN$7,'IS(M)'!$M74:$ER74)</f>
        <v>0</v>
      </c>
      <c r="CO65" s="920">
        <f>SUMIF('IS(M)'!$M$11:$ER$11,CO$7,'IS(M)'!$M74:$ER74)</f>
        <v>0</v>
      </c>
      <c r="CP65" s="920">
        <f>SUMIF('IS(M)'!$M$11:$ER$11,CP$7,'IS(M)'!$M74:$ER74)</f>
        <v>0</v>
      </c>
      <c r="CQ65" s="920">
        <f>SUMIF('IS(M)'!$M$11:$ER$11,CQ$7,'IS(M)'!$M74:$ER74)</f>
        <v>0</v>
      </c>
      <c r="CR65" s="920">
        <f>SUMIF('IS(M)'!$M$11:$ER$11,CR$7,'IS(M)'!$M74:$ER74)</f>
        <v>0</v>
      </c>
      <c r="CS65" s="920">
        <f>SUMIF('IS(M)'!$M$11:$ER$11,CS$7,'IS(M)'!$M74:$ER74)</f>
        <v>0</v>
      </c>
      <c r="CT65" s="920">
        <f>SUMIF('IS(M)'!$M$11:$ER$11,CT$7,'IS(M)'!$M74:$ER74)</f>
        <v>0</v>
      </c>
      <c r="CU65" s="920">
        <f>SUMIF('IS(M)'!$M$11:$ER$11,CU$7,'IS(M)'!$M74:$ER74)</f>
        <v>0</v>
      </c>
      <c r="CV65" s="920">
        <f>SUMIF('IS(M)'!$M$11:$ER$11,CV$7,'IS(M)'!$M74:$ER74)</f>
        <v>0</v>
      </c>
      <c r="CW65" s="920">
        <f>SUMIF('IS(M)'!$M$11:$ER$11,CW$7,'IS(M)'!$M74:$ER74)</f>
        <v>0</v>
      </c>
      <c r="CX65" s="920">
        <f>SUMIF('IS(M)'!$M$11:$ER$11,CX$7,'IS(M)'!$M74:$ER74)</f>
        <v>0</v>
      </c>
      <c r="CY65" s="920">
        <f>SUMIF('IS(M)'!$M$11:$ER$11,CY$7,'IS(M)'!$M74:$ER74)</f>
        <v>0</v>
      </c>
      <c r="CZ65" s="920">
        <f>SUMIF('IS(M)'!$M$11:$ER$11,CZ$7,'IS(M)'!$M74:$ER74)</f>
        <v>0</v>
      </c>
      <c r="DA65" s="920">
        <f>SUMIF('IS(M)'!$M$11:$ER$11,DA$7,'IS(M)'!$M74:$ER74)</f>
        <v>0</v>
      </c>
      <c r="DB65" s="920">
        <f>SUMIF('IS(M)'!$M$11:$ER$11,DB$7,'IS(M)'!$M74:$ER74)</f>
        <v>0</v>
      </c>
      <c r="DC65" s="920">
        <f>SUMIF('IS(M)'!$M$11:$ER$11,DC$7,'IS(M)'!$M74:$ER74)</f>
        <v>0</v>
      </c>
      <c r="DD65" s="920">
        <f>SUMIF('IS(M)'!$M$11:$ER$11,DD$7,'IS(M)'!$M74:$ER74)</f>
        <v>0</v>
      </c>
      <c r="DE65" s="920">
        <f>SUMIF('IS(M)'!$M$11:$ER$11,DE$7,'IS(M)'!$M74:$ER74)</f>
        <v>0</v>
      </c>
      <c r="DF65" s="920">
        <f>SUMIF('IS(M)'!$M$11:$ER$11,DF$7,'IS(M)'!$M74:$ER74)</f>
        <v>0</v>
      </c>
      <c r="DG65" s="920">
        <f>SUMIF('IS(M)'!$M$11:$ER$11,DG$7,'IS(M)'!$M74:$ER74)</f>
        <v>0</v>
      </c>
      <c r="DH65" s="920">
        <f>SUMIF('IS(M)'!$M$11:$ER$11,DH$7,'IS(M)'!$M74:$ER74)</f>
        <v>0</v>
      </c>
      <c r="DI65" s="920">
        <f>SUMIF('IS(M)'!$M$11:$ER$11,DI$7,'IS(M)'!$M74:$ER74)</f>
        <v>0</v>
      </c>
      <c r="DJ65" s="920">
        <f>SUMIF('IS(M)'!$M$11:$ER$11,DJ$7,'IS(M)'!$M74:$ER74)</f>
        <v>0</v>
      </c>
      <c r="DK65" s="920">
        <f>SUMIF('IS(M)'!$M$11:$ER$11,DK$7,'IS(M)'!$M74:$ER74)</f>
        <v>0</v>
      </c>
      <c r="DL65" s="920">
        <f>SUMIF('IS(M)'!$M$11:$ER$11,DL$7,'IS(M)'!$M74:$ER74)</f>
        <v>0</v>
      </c>
      <c r="DM65" s="920">
        <f>SUMIF('IS(M)'!$M$11:$ER$11,DM$7,'IS(M)'!$M74:$ER74)</f>
        <v>0</v>
      </c>
      <c r="DN65" s="920">
        <f>SUMIF('IS(M)'!$M$11:$ER$11,DN$7,'IS(M)'!$M74:$ER74)</f>
        <v>0</v>
      </c>
      <c r="DO65" s="920">
        <f>SUMIF('IS(M)'!$M$11:$ER$11,DO$7,'IS(M)'!$M74:$ER74)</f>
        <v>0</v>
      </c>
      <c r="DP65" s="920">
        <f>SUMIF('IS(M)'!$M$11:$ER$11,DP$7,'IS(M)'!$M74:$ER74)</f>
        <v>0</v>
      </c>
      <c r="DQ65" s="920">
        <f>SUMIF('IS(M)'!$M$11:$ER$11,DQ$7,'IS(M)'!$M74:$ER74)</f>
        <v>0</v>
      </c>
      <c r="DR65" s="920">
        <f>SUMIF('IS(M)'!$M$11:$ER$11,DR$7,'IS(M)'!$M74:$ER74)</f>
        <v>0</v>
      </c>
      <c r="DS65" s="920">
        <f>SUMIF('IS(M)'!$M$11:$ER$11,DS$7,'IS(M)'!$M74:$ER74)</f>
        <v>0</v>
      </c>
      <c r="DT65" s="920">
        <f>SUMIF('IS(M)'!$M$11:$ER$11,DT$7,'IS(M)'!$M74:$ER74)</f>
        <v>0</v>
      </c>
      <c r="DU65" s="920">
        <f>SUMIF('IS(M)'!$M$11:$ER$11,DU$7,'IS(M)'!$M74:$ER74)</f>
        <v>0</v>
      </c>
      <c r="DV65" s="920">
        <f>SUMIF('IS(M)'!$M$11:$ER$11,DV$7,'IS(M)'!$M74:$ER74)</f>
        <v>0</v>
      </c>
      <c r="DW65" s="920">
        <f>SUMIF('IS(M)'!$M$11:$ER$11,DW$7,'IS(M)'!$M74:$ER74)</f>
        <v>0</v>
      </c>
    </row>
    <row r="66" spans="2:127" ht="11.25" customHeight="1">
      <c r="B66" s="218"/>
      <c r="C66" s="2726" t="s">
        <v>232</v>
      </c>
      <c r="D66" s="2727"/>
      <c r="E66" s="2727"/>
      <c r="F66" s="2727"/>
      <c r="G66" s="2727"/>
      <c r="H66" s="2727"/>
      <c r="I66" s="2728"/>
      <c r="J66" s="2729"/>
      <c r="K66" s="2730">
        <f ca="1">SUM(M66:DW66)</f>
        <v>16800000.000000004</v>
      </c>
      <c r="L66" s="2731"/>
      <c r="M66" s="2732">
        <f ca="1">SUMIF('IS(M)'!$M$11:$ER$11,M$7,'IS(M)'!$M75:$ER75)</f>
        <v>0</v>
      </c>
      <c r="N66" s="2732">
        <f ca="1">SUMIF('IS(M)'!$M$11:$ER$11,N$7,'IS(M)'!$M75:$ER75)</f>
        <v>840000.00000000012</v>
      </c>
      <c r="O66" s="2732">
        <f ca="1">SUMIF('IS(M)'!$M$11:$ER$11,O$7,'IS(M)'!$M75:$ER75)</f>
        <v>840000.00000000012</v>
      </c>
      <c r="P66" s="2732">
        <f ca="1">SUMIF('IS(M)'!$M$11:$ER$11,P$7,'IS(M)'!$M75:$ER75)</f>
        <v>840000.00000000012</v>
      </c>
      <c r="Q66" s="2732">
        <f ca="1">SUMIF('IS(M)'!$M$11:$ER$11,Q$7,'IS(M)'!$M75:$ER75)</f>
        <v>840000.00000000012</v>
      </c>
      <c r="R66" s="2732">
        <f ca="1">SUMIF('IS(M)'!$M$11:$ER$11,R$7,'IS(M)'!$M75:$ER75)</f>
        <v>840000.00000000012</v>
      </c>
      <c r="S66" s="2732">
        <f ca="1">SUMIF('IS(M)'!$M$11:$ER$11,S$7,'IS(M)'!$M75:$ER75)</f>
        <v>840000.00000000012</v>
      </c>
      <c r="T66" s="2732">
        <f ca="1">SUMIF('IS(M)'!$M$11:$ER$11,T$7,'IS(M)'!$M75:$ER75)</f>
        <v>840000.00000000012</v>
      </c>
      <c r="U66" s="2732">
        <f ca="1">SUMIF('IS(M)'!$M$11:$ER$11,U$7,'IS(M)'!$M75:$ER75)</f>
        <v>840000.00000000012</v>
      </c>
      <c r="V66" s="2732">
        <f ca="1">SUMIF('IS(M)'!$M$11:$ER$11,V$7,'IS(M)'!$M75:$ER75)</f>
        <v>840000.00000000012</v>
      </c>
      <c r="W66" s="2732">
        <f ca="1">SUMIF('IS(M)'!$M$11:$ER$11,W$7,'IS(M)'!$M75:$ER75)</f>
        <v>840000.00000000012</v>
      </c>
      <c r="X66" s="2732">
        <f ca="1">SUMIF('IS(M)'!$M$11:$ER$11,X$7,'IS(M)'!$M75:$ER75)</f>
        <v>840000.00000000012</v>
      </c>
      <c r="Y66" s="2732">
        <f ca="1">SUMIF('IS(M)'!$M$11:$ER$11,Y$7,'IS(M)'!$M75:$ER75)</f>
        <v>840000.00000000012</v>
      </c>
      <c r="Z66" s="2732">
        <f ca="1">SUMIF('IS(M)'!$M$11:$ER$11,Z$7,'IS(M)'!$M75:$ER75)</f>
        <v>840000.00000000012</v>
      </c>
      <c r="AA66" s="2732">
        <f ca="1">SUMIF('IS(M)'!$M$11:$ER$11,AA$7,'IS(M)'!$M75:$ER75)</f>
        <v>840000.00000000012</v>
      </c>
      <c r="AB66" s="2732">
        <f ca="1">SUMIF('IS(M)'!$M$11:$ER$11,AB$7,'IS(M)'!$M75:$ER75)</f>
        <v>840000.00000000012</v>
      </c>
      <c r="AC66" s="2732">
        <f ca="1">SUMIF('IS(M)'!$M$11:$ER$11,AC$7,'IS(M)'!$M75:$ER75)</f>
        <v>840000.00000000012</v>
      </c>
      <c r="AD66" s="2732">
        <f ca="1">SUMIF('IS(M)'!$M$11:$ER$11,AD$7,'IS(M)'!$M75:$ER75)</f>
        <v>840000.00000000012</v>
      </c>
      <c r="AE66" s="2732">
        <f ca="1">SUMIF('IS(M)'!$M$11:$ER$11,AE$7,'IS(M)'!$M75:$ER75)</f>
        <v>840000.00000000012</v>
      </c>
      <c r="AF66" s="2732">
        <f ca="1">SUMIF('IS(M)'!$M$11:$ER$11,AF$7,'IS(M)'!$M75:$ER75)</f>
        <v>840000.00000000012</v>
      </c>
      <c r="AG66" s="2732">
        <f ca="1">SUMIF('IS(M)'!$M$11:$ER$11,AG$7,'IS(M)'!$M75:$ER75)</f>
        <v>840000.00000000012</v>
      </c>
      <c r="AH66" s="2732">
        <f ca="1">SUMIF('IS(M)'!$M$11:$ER$11,AH$7,'IS(M)'!$M75:$ER75)</f>
        <v>0</v>
      </c>
      <c r="AI66" s="2732">
        <f ca="1">SUMIF('IS(M)'!$M$11:$ER$11,AI$7,'IS(M)'!$M75:$ER75)</f>
        <v>0</v>
      </c>
      <c r="AJ66" s="2732">
        <f ca="1">SUMIF('IS(M)'!$M$11:$ER$11,AJ$7,'IS(M)'!$M75:$ER75)</f>
        <v>0</v>
      </c>
      <c r="AK66" s="2732">
        <f>SUMIF('IS(M)'!$M$11:$ER$11,AK$7,'IS(M)'!$M75:$ER75)</f>
        <v>0</v>
      </c>
      <c r="AL66" s="2732">
        <f>SUMIF('IS(M)'!$M$11:$ER$11,AL$7,'IS(M)'!$M75:$ER75)</f>
        <v>0</v>
      </c>
      <c r="AM66" s="2732">
        <f>SUMIF('IS(M)'!$M$11:$ER$11,AM$7,'IS(M)'!$M75:$ER75)</f>
        <v>0</v>
      </c>
      <c r="AN66" s="2732">
        <f>SUMIF('IS(M)'!$M$11:$ER$11,AN$7,'IS(M)'!$M75:$ER75)</f>
        <v>0</v>
      </c>
      <c r="AO66" s="2732">
        <f>SUMIF('IS(M)'!$M$11:$ER$11,AO$7,'IS(M)'!$M75:$ER75)</f>
        <v>0</v>
      </c>
      <c r="AP66" s="2732">
        <f>SUMIF('IS(M)'!$M$11:$ER$11,AP$7,'IS(M)'!$M75:$ER75)</f>
        <v>0</v>
      </c>
      <c r="AQ66" s="2732">
        <f>SUMIF('IS(M)'!$M$11:$ER$11,AQ$7,'IS(M)'!$M75:$ER75)</f>
        <v>0</v>
      </c>
      <c r="AR66" s="2732">
        <f>SUMIF('IS(M)'!$M$11:$ER$11,AR$7,'IS(M)'!$M75:$ER75)</f>
        <v>0</v>
      </c>
      <c r="AS66" s="2732">
        <f>SUMIF('IS(M)'!$M$11:$ER$11,AS$7,'IS(M)'!$M75:$ER75)</f>
        <v>0</v>
      </c>
      <c r="AT66" s="2732">
        <f>SUMIF('IS(M)'!$M$11:$ER$11,AT$7,'IS(M)'!$M75:$ER75)</f>
        <v>0</v>
      </c>
      <c r="AU66" s="2732">
        <f>SUMIF('IS(M)'!$M$11:$ER$11,AU$7,'IS(M)'!$M75:$ER75)</f>
        <v>0</v>
      </c>
      <c r="AV66" s="2732">
        <f>SUMIF('IS(M)'!$M$11:$ER$11,AV$7,'IS(M)'!$M75:$ER75)</f>
        <v>0</v>
      </c>
      <c r="AW66" s="2732">
        <f>SUMIF('IS(M)'!$M$11:$ER$11,AW$7,'IS(M)'!$M75:$ER75)</f>
        <v>0</v>
      </c>
      <c r="AX66" s="2732">
        <f>SUMIF('IS(M)'!$M$11:$ER$11,AX$7,'IS(M)'!$M75:$ER75)</f>
        <v>0</v>
      </c>
      <c r="AY66" s="2732">
        <f>SUMIF('IS(M)'!$M$11:$ER$11,AY$7,'IS(M)'!$M75:$ER75)</f>
        <v>0</v>
      </c>
      <c r="AZ66" s="2732">
        <f>SUMIF('IS(M)'!$M$11:$ER$11,AZ$7,'IS(M)'!$M75:$ER75)</f>
        <v>0</v>
      </c>
      <c r="BA66" s="2732">
        <f>SUMIF('IS(M)'!$M$11:$ER$11,BA$7,'IS(M)'!$M75:$ER75)</f>
        <v>0</v>
      </c>
      <c r="BB66" s="2732">
        <f>SUMIF('IS(M)'!$M$11:$ER$11,BB$7,'IS(M)'!$M75:$ER75)</f>
        <v>0</v>
      </c>
      <c r="BC66" s="2732">
        <f>SUMIF('IS(M)'!$M$11:$ER$11,BC$7,'IS(M)'!$M75:$ER75)</f>
        <v>0</v>
      </c>
      <c r="BD66" s="2732">
        <f>SUMIF('IS(M)'!$M$11:$ER$11,BD$7,'IS(M)'!$M75:$ER75)</f>
        <v>0</v>
      </c>
      <c r="BE66" s="2732">
        <f>SUMIF('IS(M)'!$M$11:$ER$11,BE$7,'IS(M)'!$M75:$ER75)</f>
        <v>0</v>
      </c>
      <c r="BF66" s="2732">
        <f>SUMIF('IS(M)'!$M$11:$ER$11,BF$7,'IS(M)'!$M75:$ER75)</f>
        <v>0</v>
      </c>
      <c r="BG66" s="2732">
        <f>SUMIF('IS(M)'!$M$11:$ER$11,BG$7,'IS(M)'!$M75:$ER75)</f>
        <v>0</v>
      </c>
      <c r="BH66" s="2732">
        <f>SUMIF('IS(M)'!$M$11:$ER$11,BH$7,'IS(M)'!$M75:$ER75)</f>
        <v>0</v>
      </c>
      <c r="BI66" s="2732">
        <f>SUMIF('IS(M)'!$M$11:$ER$11,BI$7,'IS(M)'!$M75:$ER75)</f>
        <v>0</v>
      </c>
      <c r="BJ66" s="2732">
        <f>SUMIF('IS(M)'!$M$11:$ER$11,BJ$7,'IS(M)'!$M75:$ER75)</f>
        <v>0</v>
      </c>
      <c r="BK66" s="2732">
        <f>SUMIF('IS(M)'!$M$11:$ER$11,BK$7,'IS(M)'!$M75:$ER75)</f>
        <v>0</v>
      </c>
      <c r="BL66" s="2732">
        <f>SUMIF('IS(M)'!$M$11:$ER$11,BL$7,'IS(M)'!$M75:$ER75)</f>
        <v>0</v>
      </c>
      <c r="BM66" s="2732">
        <f>SUMIF('IS(M)'!$M$11:$ER$11,BM$7,'IS(M)'!$M75:$ER75)</f>
        <v>0</v>
      </c>
      <c r="BN66" s="2732">
        <f>SUMIF('IS(M)'!$M$11:$ER$11,BN$7,'IS(M)'!$M75:$ER75)</f>
        <v>0</v>
      </c>
      <c r="BO66" s="2732">
        <f>SUMIF('IS(M)'!$M$11:$ER$11,BO$7,'IS(M)'!$M75:$ER75)</f>
        <v>0</v>
      </c>
      <c r="BP66" s="2732">
        <f>SUMIF('IS(M)'!$M$11:$ER$11,BP$7,'IS(M)'!$M75:$ER75)</f>
        <v>0</v>
      </c>
      <c r="BQ66" s="2732">
        <f>SUMIF('IS(M)'!$M$11:$ER$11,BQ$7,'IS(M)'!$M75:$ER75)</f>
        <v>0</v>
      </c>
      <c r="BR66" s="2732">
        <f>SUMIF('IS(M)'!$M$11:$ER$11,BR$7,'IS(M)'!$M75:$ER75)</f>
        <v>0</v>
      </c>
      <c r="BS66" s="2732">
        <f>SUMIF('IS(M)'!$M$11:$ER$11,BS$7,'IS(M)'!$M75:$ER75)</f>
        <v>0</v>
      </c>
      <c r="BT66" s="2732">
        <f>SUMIF('IS(M)'!$M$11:$ER$11,BT$7,'IS(M)'!$M75:$ER75)</f>
        <v>0</v>
      </c>
      <c r="BU66" s="2732">
        <f>SUMIF('IS(M)'!$M$11:$ER$11,BU$7,'IS(M)'!$M75:$ER75)</f>
        <v>0</v>
      </c>
      <c r="BV66" s="2732">
        <f>SUMIF('IS(M)'!$M$11:$ER$11,BV$7,'IS(M)'!$M75:$ER75)</f>
        <v>0</v>
      </c>
      <c r="BW66" s="2732">
        <f>SUMIF('IS(M)'!$M$11:$ER$11,BW$7,'IS(M)'!$M75:$ER75)</f>
        <v>0</v>
      </c>
      <c r="BX66" s="2732">
        <f>SUMIF('IS(M)'!$M$11:$ER$11,BX$7,'IS(M)'!$M75:$ER75)</f>
        <v>0</v>
      </c>
      <c r="BY66" s="2732">
        <f>SUMIF('IS(M)'!$M$11:$ER$11,BY$7,'IS(M)'!$M75:$ER75)</f>
        <v>0</v>
      </c>
      <c r="BZ66" s="2732">
        <f>SUMIF('IS(M)'!$M$11:$ER$11,BZ$7,'IS(M)'!$M75:$ER75)</f>
        <v>0</v>
      </c>
      <c r="CA66" s="2732">
        <f>SUMIF('IS(M)'!$M$11:$ER$11,CA$7,'IS(M)'!$M75:$ER75)</f>
        <v>0</v>
      </c>
      <c r="CB66" s="2732">
        <f>SUMIF('IS(M)'!$M$11:$ER$11,CB$7,'IS(M)'!$M75:$ER75)</f>
        <v>0</v>
      </c>
      <c r="CC66" s="2732">
        <f>SUMIF('IS(M)'!$M$11:$ER$11,CC$7,'IS(M)'!$M75:$ER75)</f>
        <v>0</v>
      </c>
      <c r="CD66" s="2732">
        <f>SUMIF('IS(M)'!$M$11:$ER$11,CD$7,'IS(M)'!$M75:$ER75)</f>
        <v>0</v>
      </c>
      <c r="CE66" s="2732">
        <f>SUMIF('IS(M)'!$M$11:$ER$11,CE$7,'IS(M)'!$M75:$ER75)</f>
        <v>0</v>
      </c>
      <c r="CF66" s="2732">
        <f>SUMIF('IS(M)'!$M$11:$ER$11,CF$7,'IS(M)'!$M75:$ER75)</f>
        <v>0</v>
      </c>
      <c r="CG66" s="2732">
        <f>SUMIF('IS(M)'!$M$11:$ER$11,CG$7,'IS(M)'!$M75:$ER75)</f>
        <v>0</v>
      </c>
      <c r="CH66" s="2732">
        <f>SUMIF('IS(M)'!$M$11:$ER$11,CH$7,'IS(M)'!$M75:$ER75)</f>
        <v>0</v>
      </c>
      <c r="CI66" s="2732">
        <f>SUMIF('IS(M)'!$M$11:$ER$11,CI$7,'IS(M)'!$M75:$ER75)</f>
        <v>0</v>
      </c>
      <c r="CJ66" s="2732">
        <f>SUMIF('IS(M)'!$M$11:$ER$11,CJ$7,'IS(M)'!$M75:$ER75)</f>
        <v>0</v>
      </c>
      <c r="CK66" s="2732">
        <f>SUMIF('IS(M)'!$M$11:$ER$11,CK$7,'IS(M)'!$M75:$ER75)</f>
        <v>0</v>
      </c>
      <c r="CL66" s="2732">
        <f>SUMIF('IS(M)'!$M$11:$ER$11,CL$7,'IS(M)'!$M75:$ER75)</f>
        <v>0</v>
      </c>
      <c r="CM66" s="2732">
        <f>SUMIF('IS(M)'!$M$11:$ER$11,CM$7,'IS(M)'!$M75:$ER75)</f>
        <v>0</v>
      </c>
      <c r="CN66" s="2732">
        <f>SUMIF('IS(M)'!$M$11:$ER$11,CN$7,'IS(M)'!$M75:$ER75)</f>
        <v>0</v>
      </c>
      <c r="CO66" s="2732">
        <f>SUMIF('IS(M)'!$M$11:$ER$11,CO$7,'IS(M)'!$M75:$ER75)</f>
        <v>0</v>
      </c>
      <c r="CP66" s="2732">
        <f>SUMIF('IS(M)'!$M$11:$ER$11,CP$7,'IS(M)'!$M75:$ER75)</f>
        <v>0</v>
      </c>
      <c r="CQ66" s="2732">
        <f>SUMIF('IS(M)'!$M$11:$ER$11,CQ$7,'IS(M)'!$M75:$ER75)</f>
        <v>0</v>
      </c>
      <c r="CR66" s="2732">
        <f>SUMIF('IS(M)'!$M$11:$ER$11,CR$7,'IS(M)'!$M75:$ER75)</f>
        <v>0</v>
      </c>
      <c r="CS66" s="2732">
        <f>SUMIF('IS(M)'!$M$11:$ER$11,CS$7,'IS(M)'!$M75:$ER75)</f>
        <v>0</v>
      </c>
      <c r="CT66" s="2732">
        <f>SUMIF('IS(M)'!$M$11:$ER$11,CT$7,'IS(M)'!$M75:$ER75)</f>
        <v>0</v>
      </c>
      <c r="CU66" s="2732">
        <f>SUMIF('IS(M)'!$M$11:$ER$11,CU$7,'IS(M)'!$M75:$ER75)</f>
        <v>0</v>
      </c>
      <c r="CV66" s="2732">
        <f>SUMIF('IS(M)'!$M$11:$ER$11,CV$7,'IS(M)'!$M75:$ER75)</f>
        <v>0</v>
      </c>
      <c r="CW66" s="2732">
        <f>SUMIF('IS(M)'!$M$11:$ER$11,CW$7,'IS(M)'!$M75:$ER75)</f>
        <v>0</v>
      </c>
      <c r="CX66" s="2732">
        <f>SUMIF('IS(M)'!$M$11:$ER$11,CX$7,'IS(M)'!$M75:$ER75)</f>
        <v>0</v>
      </c>
      <c r="CY66" s="2732">
        <f>SUMIF('IS(M)'!$M$11:$ER$11,CY$7,'IS(M)'!$M75:$ER75)</f>
        <v>0</v>
      </c>
      <c r="CZ66" s="2732">
        <f>SUMIF('IS(M)'!$M$11:$ER$11,CZ$7,'IS(M)'!$M75:$ER75)</f>
        <v>0</v>
      </c>
      <c r="DA66" s="2732">
        <f>SUMIF('IS(M)'!$M$11:$ER$11,DA$7,'IS(M)'!$M75:$ER75)</f>
        <v>0</v>
      </c>
      <c r="DB66" s="2732">
        <f>SUMIF('IS(M)'!$M$11:$ER$11,DB$7,'IS(M)'!$M75:$ER75)</f>
        <v>0</v>
      </c>
      <c r="DC66" s="2732">
        <f>SUMIF('IS(M)'!$M$11:$ER$11,DC$7,'IS(M)'!$M75:$ER75)</f>
        <v>0</v>
      </c>
      <c r="DD66" s="2732">
        <f>SUMIF('IS(M)'!$M$11:$ER$11,DD$7,'IS(M)'!$M75:$ER75)</f>
        <v>0</v>
      </c>
      <c r="DE66" s="2732">
        <f>SUMIF('IS(M)'!$M$11:$ER$11,DE$7,'IS(M)'!$M75:$ER75)</f>
        <v>0</v>
      </c>
      <c r="DF66" s="2732">
        <f>SUMIF('IS(M)'!$M$11:$ER$11,DF$7,'IS(M)'!$M75:$ER75)</f>
        <v>0</v>
      </c>
      <c r="DG66" s="2732">
        <f>SUMIF('IS(M)'!$M$11:$ER$11,DG$7,'IS(M)'!$M75:$ER75)</f>
        <v>0</v>
      </c>
      <c r="DH66" s="2732">
        <f>SUMIF('IS(M)'!$M$11:$ER$11,DH$7,'IS(M)'!$M75:$ER75)</f>
        <v>0</v>
      </c>
      <c r="DI66" s="2732">
        <f>SUMIF('IS(M)'!$M$11:$ER$11,DI$7,'IS(M)'!$M75:$ER75)</f>
        <v>0</v>
      </c>
      <c r="DJ66" s="2732">
        <f>SUMIF('IS(M)'!$M$11:$ER$11,DJ$7,'IS(M)'!$M75:$ER75)</f>
        <v>0</v>
      </c>
      <c r="DK66" s="2732">
        <f>SUMIF('IS(M)'!$M$11:$ER$11,DK$7,'IS(M)'!$M75:$ER75)</f>
        <v>0</v>
      </c>
      <c r="DL66" s="2732">
        <f>SUMIF('IS(M)'!$M$11:$ER$11,DL$7,'IS(M)'!$M75:$ER75)</f>
        <v>0</v>
      </c>
      <c r="DM66" s="2732">
        <f>SUMIF('IS(M)'!$M$11:$ER$11,DM$7,'IS(M)'!$M75:$ER75)</f>
        <v>0</v>
      </c>
      <c r="DN66" s="2732">
        <f>SUMIF('IS(M)'!$M$11:$ER$11,DN$7,'IS(M)'!$M75:$ER75)</f>
        <v>0</v>
      </c>
      <c r="DO66" s="2732">
        <f>SUMIF('IS(M)'!$M$11:$ER$11,DO$7,'IS(M)'!$M75:$ER75)</f>
        <v>0</v>
      </c>
      <c r="DP66" s="2732">
        <f>SUMIF('IS(M)'!$M$11:$ER$11,DP$7,'IS(M)'!$M75:$ER75)</f>
        <v>0</v>
      </c>
      <c r="DQ66" s="2732">
        <f>SUMIF('IS(M)'!$M$11:$ER$11,DQ$7,'IS(M)'!$M75:$ER75)</f>
        <v>0</v>
      </c>
      <c r="DR66" s="2732">
        <f>SUMIF('IS(M)'!$M$11:$ER$11,DR$7,'IS(M)'!$M75:$ER75)</f>
        <v>0</v>
      </c>
      <c r="DS66" s="2732">
        <f>SUMIF('IS(M)'!$M$11:$ER$11,DS$7,'IS(M)'!$M75:$ER75)</f>
        <v>0</v>
      </c>
      <c r="DT66" s="2732">
        <f>SUMIF('IS(M)'!$M$11:$ER$11,DT$7,'IS(M)'!$M75:$ER75)</f>
        <v>0</v>
      </c>
      <c r="DU66" s="2732">
        <f>SUMIF('IS(M)'!$M$11:$ER$11,DU$7,'IS(M)'!$M75:$ER75)</f>
        <v>0</v>
      </c>
      <c r="DV66" s="2732">
        <f>SUMIF('IS(M)'!$M$11:$ER$11,DV$7,'IS(M)'!$M75:$ER75)</f>
        <v>0</v>
      </c>
      <c r="DW66" s="2732">
        <f>SUMIF('IS(M)'!$M$11:$ER$11,DW$7,'IS(M)'!$M75:$ER75)</f>
        <v>0</v>
      </c>
    </row>
    <row r="67" spans="2:127" ht="11.25" customHeight="1">
      <c r="B67" s="218"/>
      <c r="C67" s="911" t="s">
        <v>233</v>
      </c>
      <c r="D67" s="912"/>
      <c r="E67" s="912"/>
      <c r="F67" s="912"/>
      <c r="G67" s="912"/>
      <c r="H67" s="912"/>
      <c r="I67" s="913"/>
      <c r="J67" s="914"/>
      <c r="K67" s="918"/>
      <c r="L67" s="98"/>
      <c r="M67" s="171">
        <f ca="1">M64+M65-M66</f>
        <v>0</v>
      </c>
      <c r="N67" s="171">
        <f t="shared" ref="N67:BY67" ca="1" si="37">N64+N65-N66</f>
        <v>0</v>
      </c>
      <c r="O67" s="171">
        <f t="shared" ca="1" si="37"/>
        <v>0</v>
      </c>
      <c r="P67" s="171">
        <f t="shared" ca="1" si="37"/>
        <v>0</v>
      </c>
      <c r="Q67" s="171">
        <f t="shared" ca="1" si="37"/>
        <v>0</v>
      </c>
      <c r="R67" s="171">
        <f t="shared" ca="1" si="37"/>
        <v>0</v>
      </c>
      <c r="S67" s="171">
        <f t="shared" ca="1" si="37"/>
        <v>0</v>
      </c>
      <c r="T67" s="171">
        <f t="shared" ca="1" si="37"/>
        <v>0</v>
      </c>
      <c r="U67" s="171">
        <f t="shared" ca="1" si="37"/>
        <v>0</v>
      </c>
      <c r="V67" s="171">
        <f t="shared" ca="1" si="37"/>
        <v>0</v>
      </c>
      <c r="W67" s="171">
        <f t="shared" ca="1" si="37"/>
        <v>0</v>
      </c>
      <c r="X67" s="171">
        <f t="shared" ca="1" si="37"/>
        <v>0</v>
      </c>
      <c r="Y67" s="171">
        <f t="shared" ca="1" si="37"/>
        <v>0</v>
      </c>
      <c r="Z67" s="171">
        <f t="shared" ca="1" si="37"/>
        <v>0</v>
      </c>
      <c r="AA67" s="171">
        <f t="shared" ca="1" si="37"/>
        <v>0</v>
      </c>
      <c r="AB67" s="171">
        <f t="shared" ca="1" si="37"/>
        <v>0</v>
      </c>
      <c r="AC67" s="171">
        <f t="shared" ca="1" si="37"/>
        <v>0</v>
      </c>
      <c r="AD67" s="171">
        <f t="shared" ca="1" si="37"/>
        <v>0</v>
      </c>
      <c r="AE67" s="171">
        <f t="shared" ca="1" si="37"/>
        <v>0</v>
      </c>
      <c r="AF67" s="171">
        <f t="shared" ca="1" si="37"/>
        <v>0</v>
      </c>
      <c r="AG67" s="171">
        <f t="shared" ca="1" si="37"/>
        <v>0</v>
      </c>
      <c r="AH67" s="171">
        <f t="shared" ca="1" si="37"/>
        <v>0</v>
      </c>
      <c r="AI67" s="171">
        <f t="shared" ca="1" si="37"/>
        <v>0</v>
      </c>
      <c r="AJ67" s="171">
        <f t="shared" ca="1" si="37"/>
        <v>0</v>
      </c>
      <c r="AK67" s="171">
        <f t="shared" ca="1" si="37"/>
        <v>0</v>
      </c>
      <c r="AL67" s="171">
        <f t="shared" ca="1" si="37"/>
        <v>0</v>
      </c>
      <c r="AM67" s="171">
        <f t="shared" ca="1" si="37"/>
        <v>0</v>
      </c>
      <c r="AN67" s="171">
        <f t="shared" ca="1" si="37"/>
        <v>0</v>
      </c>
      <c r="AO67" s="171">
        <f t="shared" ca="1" si="37"/>
        <v>0</v>
      </c>
      <c r="AP67" s="171">
        <f t="shared" ca="1" si="37"/>
        <v>0</v>
      </c>
      <c r="AQ67" s="171">
        <f t="shared" ca="1" si="37"/>
        <v>0</v>
      </c>
      <c r="AR67" s="171">
        <f t="shared" ca="1" si="37"/>
        <v>0</v>
      </c>
      <c r="AS67" s="171">
        <f t="shared" ca="1" si="37"/>
        <v>0</v>
      </c>
      <c r="AT67" s="171">
        <f t="shared" ca="1" si="37"/>
        <v>0</v>
      </c>
      <c r="AU67" s="171">
        <f t="shared" ca="1" si="37"/>
        <v>0</v>
      </c>
      <c r="AV67" s="171">
        <f t="shared" ca="1" si="37"/>
        <v>0</v>
      </c>
      <c r="AW67" s="171">
        <f t="shared" ca="1" si="37"/>
        <v>0</v>
      </c>
      <c r="AX67" s="171">
        <f t="shared" ca="1" si="37"/>
        <v>0</v>
      </c>
      <c r="AY67" s="171">
        <f t="shared" ca="1" si="37"/>
        <v>0</v>
      </c>
      <c r="AZ67" s="171">
        <f t="shared" ca="1" si="37"/>
        <v>0</v>
      </c>
      <c r="BA67" s="171">
        <f t="shared" ca="1" si="37"/>
        <v>0</v>
      </c>
      <c r="BB67" s="171">
        <f t="shared" ca="1" si="37"/>
        <v>0</v>
      </c>
      <c r="BC67" s="171">
        <f t="shared" ca="1" si="37"/>
        <v>0</v>
      </c>
      <c r="BD67" s="171">
        <f t="shared" ca="1" si="37"/>
        <v>0</v>
      </c>
      <c r="BE67" s="171">
        <f t="shared" ca="1" si="37"/>
        <v>0</v>
      </c>
      <c r="BF67" s="171">
        <f t="shared" ca="1" si="37"/>
        <v>0</v>
      </c>
      <c r="BG67" s="171">
        <f t="shared" ca="1" si="37"/>
        <v>0</v>
      </c>
      <c r="BH67" s="171">
        <f t="shared" ca="1" si="37"/>
        <v>0</v>
      </c>
      <c r="BI67" s="171">
        <f t="shared" ca="1" si="37"/>
        <v>0</v>
      </c>
      <c r="BJ67" s="171">
        <f t="shared" ca="1" si="37"/>
        <v>0</v>
      </c>
      <c r="BK67" s="171">
        <f t="shared" ca="1" si="37"/>
        <v>0</v>
      </c>
      <c r="BL67" s="171">
        <f t="shared" ca="1" si="37"/>
        <v>0</v>
      </c>
      <c r="BM67" s="171">
        <f t="shared" ca="1" si="37"/>
        <v>0</v>
      </c>
      <c r="BN67" s="171">
        <f t="shared" ca="1" si="37"/>
        <v>0</v>
      </c>
      <c r="BO67" s="171">
        <f t="shared" ca="1" si="37"/>
        <v>0</v>
      </c>
      <c r="BP67" s="171">
        <f t="shared" ca="1" si="37"/>
        <v>0</v>
      </c>
      <c r="BQ67" s="171">
        <f t="shared" ca="1" si="37"/>
        <v>0</v>
      </c>
      <c r="BR67" s="171">
        <f t="shared" ca="1" si="37"/>
        <v>0</v>
      </c>
      <c r="BS67" s="171">
        <f t="shared" ca="1" si="37"/>
        <v>0</v>
      </c>
      <c r="BT67" s="171">
        <f t="shared" ca="1" si="37"/>
        <v>0</v>
      </c>
      <c r="BU67" s="171">
        <f t="shared" ca="1" si="37"/>
        <v>0</v>
      </c>
      <c r="BV67" s="171">
        <f t="shared" ca="1" si="37"/>
        <v>0</v>
      </c>
      <c r="BW67" s="171">
        <f t="shared" ca="1" si="37"/>
        <v>0</v>
      </c>
      <c r="BX67" s="171">
        <f t="shared" ca="1" si="37"/>
        <v>0</v>
      </c>
      <c r="BY67" s="171">
        <f t="shared" ca="1" si="37"/>
        <v>0</v>
      </c>
      <c r="BZ67" s="171">
        <f t="shared" ref="BZ67:DW67" ca="1" si="38">BZ64+BZ65-BZ66</f>
        <v>0</v>
      </c>
      <c r="CA67" s="171">
        <f t="shared" ca="1" si="38"/>
        <v>0</v>
      </c>
      <c r="CB67" s="171">
        <f t="shared" ca="1" si="38"/>
        <v>0</v>
      </c>
      <c r="CC67" s="171">
        <f t="shared" ca="1" si="38"/>
        <v>0</v>
      </c>
      <c r="CD67" s="171">
        <f t="shared" ca="1" si="38"/>
        <v>0</v>
      </c>
      <c r="CE67" s="171">
        <f t="shared" ca="1" si="38"/>
        <v>0</v>
      </c>
      <c r="CF67" s="171">
        <f t="shared" ca="1" si="38"/>
        <v>0</v>
      </c>
      <c r="CG67" s="171">
        <f t="shared" ca="1" si="38"/>
        <v>0</v>
      </c>
      <c r="CH67" s="171">
        <f t="shared" ca="1" si="38"/>
        <v>0</v>
      </c>
      <c r="CI67" s="171">
        <f t="shared" ca="1" si="38"/>
        <v>0</v>
      </c>
      <c r="CJ67" s="171">
        <f t="shared" ca="1" si="38"/>
        <v>0</v>
      </c>
      <c r="CK67" s="171">
        <f t="shared" ca="1" si="38"/>
        <v>0</v>
      </c>
      <c r="CL67" s="171">
        <f t="shared" ca="1" si="38"/>
        <v>0</v>
      </c>
      <c r="CM67" s="171">
        <f t="shared" ca="1" si="38"/>
        <v>0</v>
      </c>
      <c r="CN67" s="171">
        <f t="shared" ca="1" si="38"/>
        <v>0</v>
      </c>
      <c r="CO67" s="171">
        <f t="shared" ca="1" si="38"/>
        <v>0</v>
      </c>
      <c r="CP67" s="171">
        <f t="shared" ca="1" si="38"/>
        <v>0</v>
      </c>
      <c r="CQ67" s="171">
        <f t="shared" ca="1" si="38"/>
        <v>0</v>
      </c>
      <c r="CR67" s="171">
        <f t="shared" ca="1" si="38"/>
        <v>0</v>
      </c>
      <c r="CS67" s="171">
        <f t="shared" ca="1" si="38"/>
        <v>0</v>
      </c>
      <c r="CT67" s="171">
        <f t="shared" ca="1" si="38"/>
        <v>0</v>
      </c>
      <c r="CU67" s="171">
        <f t="shared" ca="1" si="38"/>
        <v>0</v>
      </c>
      <c r="CV67" s="171">
        <f t="shared" ca="1" si="38"/>
        <v>0</v>
      </c>
      <c r="CW67" s="171">
        <f t="shared" ca="1" si="38"/>
        <v>0</v>
      </c>
      <c r="CX67" s="171">
        <f t="shared" ca="1" si="38"/>
        <v>0</v>
      </c>
      <c r="CY67" s="171">
        <f t="shared" ca="1" si="38"/>
        <v>0</v>
      </c>
      <c r="CZ67" s="171">
        <f t="shared" ca="1" si="38"/>
        <v>0</v>
      </c>
      <c r="DA67" s="171">
        <f t="shared" ca="1" si="38"/>
        <v>0</v>
      </c>
      <c r="DB67" s="171">
        <f t="shared" ca="1" si="38"/>
        <v>0</v>
      </c>
      <c r="DC67" s="171">
        <f t="shared" ca="1" si="38"/>
        <v>0</v>
      </c>
      <c r="DD67" s="171">
        <f t="shared" ca="1" si="38"/>
        <v>0</v>
      </c>
      <c r="DE67" s="171">
        <f t="shared" ca="1" si="38"/>
        <v>0</v>
      </c>
      <c r="DF67" s="171">
        <f t="shared" ca="1" si="38"/>
        <v>0</v>
      </c>
      <c r="DG67" s="171">
        <f t="shared" ca="1" si="38"/>
        <v>0</v>
      </c>
      <c r="DH67" s="171">
        <f t="shared" ca="1" si="38"/>
        <v>0</v>
      </c>
      <c r="DI67" s="171">
        <f t="shared" ca="1" si="38"/>
        <v>0</v>
      </c>
      <c r="DJ67" s="171">
        <f t="shared" ca="1" si="38"/>
        <v>0</v>
      </c>
      <c r="DK67" s="171">
        <f t="shared" ca="1" si="38"/>
        <v>0</v>
      </c>
      <c r="DL67" s="171">
        <f t="shared" ca="1" si="38"/>
        <v>0</v>
      </c>
      <c r="DM67" s="171">
        <f t="shared" ca="1" si="38"/>
        <v>0</v>
      </c>
      <c r="DN67" s="171">
        <f t="shared" ca="1" si="38"/>
        <v>0</v>
      </c>
      <c r="DO67" s="171">
        <f t="shared" ca="1" si="38"/>
        <v>0</v>
      </c>
      <c r="DP67" s="171">
        <f t="shared" ca="1" si="38"/>
        <v>0</v>
      </c>
      <c r="DQ67" s="171">
        <f t="shared" ca="1" si="38"/>
        <v>0</v>
      </c>
      <c r="DR67" s="171">
        <f t="shared" ca="1" si="38"/>
        <v>0</v>
      </c>
      <c r="DS67" s="171">
        <f t="shared" ca="1" si="38"/>
        <v>0</v>
      </c>
      <c r="DT67" s="171">
        <f t="shared" ca="1" si="38"/>
        <v>0</v>
      </c>
      <c r="DU67" s="171">
        <f t="shared" ca="1" si="38"/>
        <v>0</v>
      </c>
      <c r="DV67" s="171">
        <f t="shared" ca="1" si="38"/>
        <v>0</v>
      </c>
      <c r="DW67" s="171">
        <f t="shared" ca="1" si="38"/>
        <v>0</v>
      </c>
    </row>
    <row r="68" spans="2:127" ht="11.25" customHeight="1">
      <c r="B68" s="875" t="s">
        <v>1094</v>
      </c>
      <c r="C68" s="876"/>
      <c r="D68" s="876"/>
      <c r="E68" s="876"/>
      <c r="F68" s="876"/>
      <c r="G68" s="876"/>
      <c r="H68" s="876"/>
      <c r="I68" s="877"/>
      <c r="J68" s="878"/>
      <c r="K68" s="919"/>
      <c r="M68" s="897"/>
      <c r="N68" s="897"/>
      <c r="O68" s="897"/>
      <c r="P68" s="897"/>
      <c r="Q68" s="897"/>
      <c r="R68" s="897"/>
      <c r="S68" s="897"/>
      <c r="T68" s="897"/>
      <c r="U68" s="897"/>
      <c r="V68" s="897"/>
      <c r="W68" s="897"/>
      <c r="X68" s="897"/>
      <c r="Y68" s="897"/>
      <c r="Z68" s="897"/>
      <c r="AA68" s="897"/>
      <c r="AB68" s="897"/>
      <c r="AC68" s="897"/>
      <c r="AD68" s="897"/>
      <c r="AE68" s="897"/>
      <c r="AF68" s="897"/>
      <c r="AG68" s="897"/>
      <c r="AH68" s="897"/>
      <c r="AI68" s="897"/>
      <c r="AJ68" s="897"/>
      <c r="AK68" s="897"/>
      <c r="AL68" s="897"/>
      <c r="AM68" s="897"/>
      <c r="AN68" s="897"/>
      <c r="AO68" s="897"/>
      <c r="AP68" s="897"/>
      <c r="AQ68" s="897"/>
      <c r="AR68" s="897"/>
      <c r="AS68" s="897"/>
      <c r="AT68" s="897"/>
      <c r="AU68" s="897"/>
      <c r="AV68" s="897"/>
      <c r="AW68" s="897"/>
      <c r="AX68" s="897"/>
      <c r="AY68" s="897"/>
      <c r="AZ68" s="897"/>
      <c r="BA68" s="897"/>
      <c r="BB68" s="897"/>
      <c r="BC68" s="897"/>
      <c r="BD68" s="897"/>
      <c r="BE68" s="897"/>
      <c r="BF68" s="897"/>
      <c r="BG68" s="897"/>
      <c r="BH68" s="897"/>
      <c r="BI68" s="897"/>
      <c r="BJ68" s="897"/>
      <c r="BK68" s="897"/>
      <c r="BL68" s="897"/>
      <c r="BM68" s="897"/>
      <c r="BN68" s="897"/>
      <c r="BO68" s="897"/>
      <c r="BP68" s="897"/>
      <c r="BQ68" s="897"/>
      <c r="BR68" s="897"/>
      <c r="BS68" s="897"/>
      <c r="BT68" s="897"/>
      <c r="BU68" s="897"/>
      <c r="BV68" s="897"/>
      <c r="BW68" s="897"/>
      <c r="BX68" s="897"/>
      <c r="BY68" s="897"/>
      <c r="BZ68" s="897"/>
      <c r="CA68" s="897"/>
      <c r="CB68" s="897"/>
      <c r="CC68" s="897"/>
      <c r="CD68" s="897"/>
      <c r="CE68" s="897"/>
      <c r="CF68" s="897"/>
      <c r="CG68" s="897"/>
      <c r="CH68" s="897"/>
      <c r="CI68" s="897"/>
      <c r="CJ68" s="897"/>
      <c r="CK68" s="897"/>
      <c r="CL68" s="897"/>
      <c r="CM68" s="897"/>
      <c r="CN68" s="897"/>
      <c r="CO68" s="897"/>
      <c r="CP68" s="897"/>
      <c r="CQ68" s="897"/>
      <c r="CR68" s="897"/>
      <c r="CS68" s="897"/>
      <c r="CT68" s="897"/>
      <c r="CU68" s="897"/>
      <c r="CV68" s="897"/>
      <c r="CW68" s="897"/>
      <c r="CX68" s="897"/>
      <c r="CY68" s="897"/>
      <c r="CZ68" s="897"/>
      <c r="DA68" s="897"/>
      <c r="DB68" s="897"/>
      <c r="DC68" s="897"/>
      <c r="DD68" s="897"/>
      <c r="DE68" s="897"/>
      <c r="DF68" s="897"/>
      <c r="DG68" s="897"/>
      <c r="DH68" s="897"/>
      <c r="DI68" s="897"/>
      <c r="DJ68" s="897"/>
      <c r="DK68" s="897"/>
      <c r="DL68" s="897"/>
      <c r="DM68" s="897"/>
      <c r="DN68" s="897"/>
      <c r="DO68" s="897"/>
      <c r="DP68" s="897"/>
      <c r="DQ68" s="897"/>
      <c r="DR68" s="897"/>
      <c r="DS68" s="897"/>
      <c r="DT68" s="897"/>
      <c r="DU68" s="897"/>
      <c r="DV68" s="897"/>
      <c r="DW68" s="897"/>
    </row>
    <row r="69" spans="2:127" ht="11.25" customHeight="1">
      <c r="B69" s="218"/>
      <c r="C69" s="904" t="s">
        <v>230</v>
      </c>
      <c r="D69" s="905"/>
      <c r="E69" s="905"/>
      <c r="F69" s="905"/>
      <c r="G69" s="905"/>
      <c r="H69" s="905"/>
      <c r="I69" s="906"/>
      <c r="J69" s="907"/>
      <c r="K69" s="917"/>
      <c r="L69" s="98"/>
      <c r="M69" s="908">
        <f>L72</f>
        <v>0</v>
      </c>
      <c r="N69" s="908">
        <f t="shared" ref="N69:BY69" ca="1" si="39">M72</f>
        <v>0</v>
      </c>
      <c r="O69" s="908">
        <f t="shared" ca="1" si="39"/>
        <v>0</v>
      </c>
      <c r="P69" s="908">
        <f t="shared" ca="1" si="39"/>
        <v>0</v>
      </c>
      <c r="Q69" s="908">
        <f t="shared" ca="1" si="39"/>
        <v>0</v>
      </c>
      <c r="R69" s="908">
        <f t="shared" ca="1" si="39"/>
        <v>0</v>
      </c>
      <c r="S69" s="908">
        <f t="shared" ca="1" si="39"/>
        <v>0</v>
      </c>
      <c r="T69" s="908">
        <f t="shared" ca="1" si="39"/>
        <v>0</v>
      </c>
      <c r="U69" s="908">
        <f t="shared" ca="1" si="39"/>
        <v>112527.98705873126</v>
      </c>
      <c r="V69" s="908">
        <f t="shared" ca="1" si="39"/>
        <v>474235.9881307208</v>
      </c>
      <c r="W69" s="908">
        <f t="shared" ca="1" si="39"/>
        <v>1083694.4914447735</v>
      </c>
      <c r="X69" s="908">
        <f t="shared" ca="1" si="39"/>
        <v>1236216.0558593343</v>
      </c>
      <c r="Y69" s="908">
        <f t="shared" ca="1" si="39"/>
        <v>1305568.3155292799</v>
      </c>
      <c r="Z69" s="908">
        <f t="shared" ca="1" si="39"/>
        <v>922070.9693098818</v>
      </c>
      <c r="AA69" s="908">
        <f t="shared" ca="1" si="39"/>
        <v>765857.79048862867</v>
      </c>
      <c r="AB69" s="908">
        <f t="shared" ca="1" si="39"/>
        <v>160583.13370326906</v>
      </c>
      <c r="AC69" s="908">
        <f t="shared" ca="1" si="39"/>
        <v>0</v>
      </c>
      <c r="AD69" s="908">
        <f t="shared" ca="1" si="39"/>
        <v>0</v>
      </c>
      <c r="AE69" s="908">
        <f t="shared" ca="1" si="39"/>
        <v>0</v>
      </c>
      <c r="AF69" s="908">
        <f t="shared" ca="1" si="39"/>
        <v>0</v>
      </c>
      <c r="AG69" s="908">
        <f t="shared" ca="1" si="39"/>
        <v>0</v>
      </c>
      <c r="AH69" s="908">
        <f t="shared" ca="1" si="39"/>
        <v>0</v>
      </c>
      <c r="AI69" s="908">
        <f t="shared" ca="1" si="39"/>
        <v>0</v>
      </c>
      <c r="AJ69" s="908">
        <f t="shared" ca="1" si="39"/>
        <v>0</v>
      </c>
      <c r="AK69" s="908">
        <f t="shared" ca="1" si="39"/>
        <v>0</v>
      </c>
      <c r="AL69" s="908">
        <f t="shared" ca="1" si="39"/>
        <v>0</v>
      </c>
      <c r="AM69" s="908">
        <f t="shared" ca="1" si="39"/>
        <v>0</v>
      </c>
      <c r="AN69" s="908">
        <f t="shared" ca="1" si="39"/>
        <v>0</v>
      </c>
      <c r="AO69" s="908">
        <f t="shared" ca="1" si="39"/>
        <v>0</v>
      </c>
      <c r="AP69" s="908">
        <f t="shared" ca="1" si="39"/>
        <v>0</v>
      </c>
      <c r="AQ69" s="908">
        <f t="shared" ca="1" si="39"/>
        <v>0</v>
      </c>
      <c r="AR69" s="908">
        <f t="shared" ca="1" si="39"/>
        <v>0</v>
      </c>
      <c r="AS69" s="908">
        <f t="shared" ca="1" si="39"/>
        <v>0</v>
      </c>
      <c r="AT69" s="908">
        <f t="shared" ca="1" si="39"/>
        <v>0</v>
      </c>
      <c r="AU69" s="908">
        <f t="shared" ca="1" si="39"/>
        <v>0</v>
      </c>
      <c r="AV69" s="908">
        <f t="shared" ca="1" si="39"/>
        <v>0</v>
      </c>
      <c r="AW69" s="908">
        <f t="shared" ca="1" si="39"/>
        <v>0</v>
      </c>
      <c r="AX69" s="908">
        <f t="shared" ca="1" si="39"/>
        <v>0</v>
      </c>
      <c r="AY69" s="908">
        <f t="shared" ca="1" si="39"/>
        <v>0</v>
      </c>
      <c r="AZ69" s="908">
        <f t="shared" ca="1" si="39"/>
        <v>0</v>
      </c>
      <c r="BA69" s="908">
        <f t="shared" ca="1" si="39"/>
        <v>0</v>
      </c>
      <c r="BB69" s="908">
        <f t="shared" ca="1" si="39"/>
        <v>0</v>
      </c>
      <c r="BC69" s="908">
        <f t="shared" ca="1" si="39"/>
        <v>0</v>
      </c>
      <c r="BD69" s="908">
        <f t="shared" ca="1" si="39"/>
        <v>0</v>
      </c>
      <c r="BE69" s="908">
        <f t="shared" ca="1" si="39"/>
        <v>0</v>
      </c>
      <c r="BF69" s="908">
        <f t="shared" ca="1" si="39"/>
        <v>0</v>
      </c>
      <c r="BG69" s="908">
        <f t="shared" ca="1" si="39"/>
        <v>0</v>
      </c>
      <c r="BH69" s="908">
        <f t="shared" ca="1" si="39"/>
        <v>0</v>
      </c>
      <c r="BI69" s="908">
        <f t="shared" ca="1" si="39"/>
        <v>0</v>
      </c>
      <c r="BJ69" s="908">
        <f t="shared" ca="1" si="39"/>
        <v>0</v>
      </c>
      <c r="BK69" s="908">
        <f t="shared" ca="1" si="39"/>
        <v>0</v>
      </c>
      <c r="BL69" s="908">
        <f t="shared" ca="1" si="39"/>
        <v>0</v>
      </c>
      <c r="BM69" s="908">
        <f t="shared" ca="1" si="39"/>
        <v>0</v>
      </c>
      <c r="BN69" s="908">
        <f t="shared" ca="1" si="39"/>
        <v>0</v>
      </c>
      <c r="BO69" s="908">
        <f t="shared" ca="1" si="39"/>
        <v>0</v>
      </c>
      <c r="BP69" s="908">
        <f t="shared" ca="1" si="39"/>
        <v>0</v>
      </c>
      <c r="BQ69" s="908">
        <f t="shared" ca="1" si="39"/>
        <v>0</v>
      </c>
      <c r="BR69" s="908">
        <f t="shared" ca="1" si="39"/>
        <v>0</v>
      </c>
      <c r="BS69" s="908">
        <f t="shared" ca="1" si="39"/>
        <v>0</v>
      </c>
      <c r="BT69" s="908">
        <f t="shared" ca="1" si="39"/>
        <v>0</v>
      </c>
      <c r="BU69" s="908">
        <f t="shared" ca="1" si="39"/>
        <v>0</v>
      </c>
      <c r="BV69" s="908">
        <f t="shared" ca="1" si="39"/>
        <v>0</v>
      </c>
      <c r="BW69" s="908">
        <f t="shared" ca="1" si="39"/>
        <v>0</v>
      </c>
      <c r="BX69" s="908">
        <f t="shared" ca="1" si="39"/>
        <v>0</v>
      </c>
      <c r="BY69" s="908">
        <f t="shared" ca="1" si="39"/>
        <v>0</v>
      </c>
      <c r="BZ69" s="908">
        <f t="shared" ref="BZ69:DW69" ca="1" si="40">BY72</f>
        <v>0</v>
      </c>
      <c r="CA69" s="908">
        <f t="shared" ca="1" si="40"/>
        <v>0</v>
      </c>
      <c r="CB69" s="908">
        <f t="shared" ca="1" si="40"/>
        <v>0</v>
      </c>
      <c r="CC69" s="908">
        <f t="shared" ca="1" si="40"/>
        <v>0</v>
      </c>
      <c r="CD69" s="908">
        <f t="shared" ca="1" si="40"/>
        <v>0</v>
      </c>
      <c r="CE69" s="908">
        <f t="shared" ca="1" si="40"/>
        <v>0</v>
      </c>
      <c r="CF69" s="908">
        <f t="shared" ca="1" si="40"/>
        <v>0</v>
      </c>
      <c r="CG69" s="908">
        <f t="shared" ca="1" si="40"/>
        <v>0</v>
      </c>
      <c r="CH69" s="908">
        <f t="shared" ca="1" si="40"/>
        <v>0</v>
      </c>
      <c r="CI69" s="908">
        <f t="shared" ca="1" si="40"/>
        <v>0</v>
      </c>
      <c r="CJ69" s="908">
        <f t="shared" ca="1" si="40"/>
        <v>0</v>
      </c>
      <c r="CK69" s="908">
        <f t="shared" ca="1" si="40"/>
        <v>0</v>
      </c>
      <c r="CL69" s="908">
        <f t="shared" ca="1" si="40"/>
        <v>0</v>
      </c>
      <c r="CM69" s="908">
        <f t="shared" ca="1" si="40"/>
        <v>0</v>
      </c>
      <c r="CN69" s="908">
        <f t="shared" ca="1" si="40"/>
        <v>0</v>
      </c>
      <c r="CO69" s="908">
        <f t="shared" ca="1" si="40"/>
        <v>0</v>
      </c>
      <c r="CP69" s="908">
        <f t="shared" ca="1" si="40"/>
        <v>0</v>
      </c>
      <c r="CQ69" s="908">
        <f t="shared" ca="1" si="40"/>
        <v>0</v>
      </c>
      <c r="CR69" s="908">
        <f t="shared" ca="1" si="40"/>
        <v>0</v>
      </c>
      <c r="CS69" s="908">
        <f t="shared" ca="1" si="40"/>
        <v>0</v>
      </c>
      <c r="CT69" s="908">
        <f t="shared" ca="1" si="40"/>
        <v>0</v>
      </c>
      <c r="CU69" s="908">
        <f t="shared" ca="1" si="40"/>
        <v>0</v>
      </c>
      <c r="CV69" s="908">
        <f t="shared" ca="1" si="40"/>
        <v>0</v>
      </c>
      <c r="CW69" s="908">
        <f t="shared" ca="1" si="40"/>
        <v>0</v>
      </c>
      <c r="CX69" s="908">
        <f t="shared" ca="1" si="40"/>
        <v>0</v>
      </c>
      <c r="CY69" s="908">
        <f t="shared" ca="1" si="40"/>
        <v>0</v>
      </c>
      <c r="CZ69" s="908">
        <f t="shared" ca="1" si="40"/>
        <v>0</v>
      </c>
      <c r="DA69" s="908">
        <f t="shared" ca="1" si="40"/>
        <v>0</v>
      </c>
      <c r="DB69" s="908">
        <f t="shared" ca="1" si="40"/>
        <v>0</v>
      </c>
      <c r="DC69" s="908">
        <f t="shared" ca="1" si="40"/>
        <v>0</v>
      </c>
      <c r="DD69" s="908">
        <f t="shared" ca="1" si="40"/>
        <v>0</v>
      </c>
      <c r="DE69" s="908">
        <f t="shared" ca="1" si="40"/>
        <v>0</v>
      </c>
      <c r="DF69" s="908">
        <f t="shared" ca="1" si="40"/>
        <v>0</v>
      </c>
      <c r="DG69" s="908">
        <f t="shared" ca="1" si="40"/>
        <v>0</v>
      </c>
      <c r="DH69" s="908">
        <f t="shared" ca="1" si="40"/>
        <v>0</v>
      </c>
      <c r="DI69" s="908">
        <f t="shared" ca="1" si="40"/>
        <v>0</v>
      </c>
      <c r="DJ69" s="908">
        <f t="shared" ca="1" si="40"/>
        <v>0</v>
      </c>
      <c r="DK69" s="908">
        <f t="shared" ca="1" si="40"/>
        <v>0</v>
      </c>
      <c r="DL69" s="908">
        <f t="shared" ca="1" si="40"/>
        <v>0</v>
      </c>
      <c r="DM69" s="908">
        <f t="shared" ca="1" si="40"/>
        <v>0</v>
      </c>
      <c r="DN69" s="908">
        <f t="shared" ca="1" si="40"/>
        <v>0</v>
      </c>
      <c r="DO69" s="908">
        <f t="shared" ca="1" si="40"/>
        <v>0</v>
      </c>
      <c r="DP69" s="908">
        <f t="shared" ca="1" si="40"/>
        <v>0</v>
      </c>
      <c r="DQ69" s="908">
        <f t="shared" ca="1" si="40"/>
        <v>0</v>
      </c>
      <c r="DR69" s="908">
        <f t="shared" ca="1" si="40"/>
        <v>0</v>
      </c>
      <c r="DS69" s="908">
        <f t="shared" ca="1" si="40"/>
        <v>0</v>
      </c>
      <c r="DT69" s="908">
        <f t="shared" ca="1" si="40"/>
        <v>0</v>
      </c>
      <c r="DU69" s="908">
        <f t="shared" ca="1" si="40"/>
        <v>0</v>
      </c>
      <c r="DV69" s="908">
        <f t="shared" ca="1" si="40"/>
        <v>0</v>
      </c>
      <c r="DW69" s="908">
        <f t="shared" ca="1" si="40"/>
        <v>0</v>
      </c>
    </row>
    <row r="70" spans="2:127" ht="11.25" customHeight="1">
      <c r="B70" s="218"/>
      <c r="C70" s="911" t="s">
        <v>231</v>
      </c>
      <c r="D70" s="912"/>
      <c r="E70" s="912"/>
      <c r="F70" s="912"/>
      <c r="G70" s="929"/>
      <c r="H70" s="921"/>
      <c r="I70" s="921"/>
      <c r="J70" s="914"/>
      <c r="K70" s="918">
        <f t="shared" ref="K70:K71" si="41">SUM(M70:DW70)</f>
        <v>37500000</v>
      </c>
      <c r="L70" s="98"/>
      <c r="M70" s="920">
        <f>SUMIF('IS(M)'!$M$11:$ER$11,M$7,'IS(M)'!$M79:$ER79)</f>
        <v>0</v>
      </c>
      <c r="N70" s="920">
        <f>SUMIF('IS(M)'!$M$11:$ER$11,N$7,'IS(M)'!$M79:$ER79)</f>
        <v>1875000</v>
      </c>
      <c r="O70" s="920">
        <f>SUMIF('IS(M)'!$M$11:$ER$11,O$7,'IS(M)'!$M79:$ER79)</f>
        <v>1875000</v>
      </c>
      <c r="P70" s="920">
        <f>SUMIF('IS(M)'!$M$11:$ER$11,P$7,'IS(M)'!$M79:$ER79)</f>
        <v>1875000</v>
      </c>
      <c r="Q70" s="920">
        <f>SUMIF('IS(M)'!$M$11:$ER$11,Q$7,'IS(M)'!$M79:$ER79)</f>
        <v>1875000</v>
      </c>
      <c r="R70" s="920">
        <f>SUMIF('IS(M)'!$M$11:$ER$11,R$7,'IS(M)'!$M79:$ER79)</f>
        <v>1875000</v>
      </c>
      <c r="S70" s="920">
        <f>SUMIF('IS(M)'!$M$11:$ER$11,S$7,'IS(M)'!$M79:$ER79)</f>
        <v>1875000</v>
      </c>
      <c r="T70" s="920">
        <f>SUMIF('IS(M)'!$M$11:$ER$11,T$7,'IS(M)'!$M79:$ER79)</f>
        <v>1875000</v>
      </c>
      <c r="U70" s="920">
        <f>SUMIF('IS(M)'!$M$11:$ER$11,U$7,'IS(M)'!$M79:$ER79)</f>
        <v>1875000</v>
      </c>
      <c r="V70" s="920">
        <f>SUMIF('IS(M)'!$M$11:$ER$11,V$7,'IS(M)'!$M79:$ER79)</f>
        <v>1875000</v>
      </c>
      <c r="W70" s="920">
        <f>SUMIF('IS(M)'!$M$11:$ER$11,W$7,'IS(M)'!$M79:$ER79)</f>
        <v>1875000</v>
      </c>
      <c r="X70" s="920">
        <f>SUMIF('IS(M)'!$M$11:$ER$11,X$7,'IS(M)'!$M79:$ER79)</f>
        <v>1875000</v>
      </c>
      <c r="Y70" s="920">
        <f>SUMIF('IS(M)'!$M$11:$ER$11,Y$7,'IS(M)'!$M79:$ER79)</f>
        <v>1875000</v>
      </c>
      <c r="Z70" s="920">
        <f>SUMIF('IS(M)'!$M$11:$ER$11,Z$7,'IS(M)'!$M79:$ER79)</f>
        <v>1875000</v>
      </c>
      <c r="AA70" s="920">
        <f>SUMIF('IS(M)'!$M$11:$ER$11,AA$7,'IS(M)'!$M79:$ER79)</f>
        <v>1875000</v>
      </c>
      <c r="AB70" s="920">
        <f>SUMIF('IS(M)'!$M$11:$ER$11,AB$7,'IS(M)'!$M79:$ER79)</f>
        <v>1875000</v>
      </c>
      <c r="AC70" s="920">
        <f>SUMIF('IS(M)'!$M$11:$ER$11,AC$7,'IS(M)'!$M79:$ER79)</f>
        <v>1875000</v>
      </c>
      <c r="AD70" s="920">
        <f>SUMIF('IS(M)'!$M$11:$ER$11,AD$7,'IS(M)'!$M79:$ER79)</f>
        <v>1875000</v>
      </c>
      <c r="AE70" s="920">
        <f>SUMIF('IS(M)'!$M$11:$ER$11,AE$7,'IS(M)'!$M79:$ER79)</f>
        <v>1875000</v>
      </c>
      <c r="AF70" s="920">
        <f>SUMIF('IS(M)'!$M$11:$ER$11,AF$7,'IS(M)'!$M79:$ER79)</f>
        <v>1875000</v>
      </c>
      <c r="AG70" s="920">
        <f>SUMIF('IS(M)'!$M$11:$ER$11,AG$7,'IS(M)'!$M79:$ER79)</f>
        <v>1875000</v>
      </c>
      <c r="AH70" s="920">
        <f>SUMIF('IS(M)'!$M$11:$ER$11,AH$7,'IS(M)'!$M79:$ER79)</f>
        <v>0</v>
      </c>
      <c r="AI70" s="920">
        <f>SUMIF('IS(M)'!$M$11:$ER$11,AI$7,'IS(M)'!$M79:$ER79)</f>
        <v>0</v>
      </c>
      <c r="AJ70" s="920">
        <f>SUMIF('IS(M)'!$M$11:$ER$11,AJ$7,'IS(M)'!$M79:$ER79)</f>
        <v>0</v>
      </c>
      <c r="AK70" s="920">
        <f>SUMIF('IS(M)'!$M$11:$ER$11,AK$7,'IS(M)'!$M79:$ER79)</f>
        <v>0</v>
      </c>
      <c r="AL70" s="920">
        <f>SUMIF('IS(M)'!$M$11:$ER$11,AL$7,'IS(M)'!$M79:$ER79)</f>
        <v>0</v>
      </c>
      <c r="AM70" s="920">
        <f>SUMIF('IS(M)'!$M$11:$ER$11,AM$7,'IS(M)'!$M79:$ER79)</f>
        <v>0</v>
      </c>
      <c r="AN70" s="920">
        <f>SUMIF('IS(M)'!$M$11:$ER$11,AN$7,'IS(M)'!$M79:$ER79)</f>
        <v>0</v>
      </c>
      <c r="AO70" s="920">
        <f>SUMIF('IS(M)'!$M$11:$ER$11,AO$7,'IS(M)'!$M79:$ER79)</f>
        <v>0</v>
      </c>
      <c r="AP70" s="920">
        <f>SUMIF('IS(M)'!$M$11:$ER$11,AP$7,'IS(M)'!$M79:$ER79)</f>
        <v>0</v>
      </c>
      <c r="AQ70" s="920">
        <f>SUMIF('IS(M)'!$M$11:$ER$11,AQ$7,'IS(M)'!$M79:$ER79)</f>
        <v>0</v>
      </c>
      <c r="AR70" s="920">
        <f>SUMIF('IS(M)'!$M$11:$ER$11,AR$7,'IS(M)'!$M79:$ER79)</f>
        <v>0</v>
      </c>
      <c r="AS70" s="920">
        <f>SUMIF('IS(M)'!$M$11:$ER$11,AS$7,'IS(M)'!$M79:$ER79)</f>
        <v>0</v>
      </c>
      <c r="AT70" s="920">
        <f>SUMIF('IS(M)'!$M$11:$ER$11,AT$7,'IS(M)'!$M79:$ER79)</f>
        <v>0</v>
      </c>
      <c r="AU70" s="920">
        <f>SUMIF('IS(M)'!$M$11:$ER$11,AU$7,'IS(M)'!$M79:$ER79)</f>
        <v>0</v>
      </c>
      <c r="AV70" s="920">
        <f>SUMIF('IS(M)'!$M$11:$ER$11,AV$7,'IS(M)'!$M79:$ER79)</f>
        <v>0</v>
      </c>
      <c r="AW70" s="920">
        <f>SUMIF('IS(M)'!$M$11:$ER$11,AW$7,'IS(M)'!$M79:$ER79)</f>
        <v>0</v>
      </c>
      <c r="AX70" s="920">
        <f>SUMIF('IS(M)'!$M$11:$ER$11,AX$7,'IS(M)'!$M79:$ER79)</f>
        <v>0</v>
      </c>
      <c r="AY70" s="920">
        <f>SUMIF('IS(M)'!$M$11:$ER$11,AY$7,'IS(M)'!$M79:$ER79)</f>
        <v>0</v>
      </c>
      <c r="AZ70" s="920">
        <f>SUMIF('IS(M)'!$M$11:$ER$11,AZ$7,'IS(M)'!$M79:$ER79)</f>
        <v>0</v>
      </c>
      <c r="BA70" s="920">
        <f>SUMIF('IS(M)'!$M$11:$ER$11,BA$7,'IS(M)'!$M79:$ER79)</f>
        <v>0</v>
      </c>
      <c r="BB70" s="920">
        <f>SUMIF('IS(M)'!$M$11:$ER$11,BB$7,'IS(M)'!$M79:$ER79)</f>
        <v>0</v>
      </c>
      <c r="BC70" s="920">
        <f>SUMIF('IS(M)'!$M$11:$ER$11,BC$7,'IS(M)'!$M79:$ER79)</f>
        <v>0</v>
      </c>
      <c r="BD70" s="920">
        <f>SUMIF('IS(M)'!$M$11:$ER$11,BD$7,'IS(M)'!$M79:$ER79)</f>
        <v>0</v>
      </c>
      <c r="BE70" s="920">
        <f>SUMIF('IS(M)'!$M$11:$ER$11,BE$7,'IS(M)'!$M79:$ER79)</f>
        <v>0</v>
      </c>
      <c r="BF70" s="920">
        <f>SUMIF('IS(M)'!$M$11:$ER$11,BF$7,'IS(M)'!$M79:$ER79)</f>
        <v>0</v>
      </c>
      <c r="BG70" s="920">
        <f>SUMIF('IS(M)'!$M$11:$ER$11,BG$7,'IS(M)'!$M79:$ER79)</f>
        <v>0</v>
      </c>
      <c r="BH70" s="920">
        <f>SUMIF('IS(M)'!$M$11:$ER$11,BH$7,'IS(M)'!$M79:$ER79)</f>
        <v>0</v>
      </c>
      <c r="BI70" s="920">
        <f>SUMIF('IS(M)'!$M$11:$ER$11,BI$7,'IS(M)'!$M79:$ER79)</f>
        <v>0</v>
      </c>
      <c r="BJ70" s="920">
        <f>SUMIF('IS(M)'!$M$11:$ER$11,BJ$7,'IS(M)'!$M79:$ER79)</f>
        <v>0</v>
      </c>
      <c r="BK70" s="920">
        <f>SUMIF('IS(M)'!$M$11:$ER$11,BK$7,'IS(M)'!$M79:$ER79)</f>
        <v>0</v>
      </c>
      <c r="BL70" s="920">
        <f>SUMIF('IS(M)'!$M$11:$ER$11,BL$7,'IS(M)'!$M79:$ER79)</f>
        <v>0</v>
      </c>
      <c r="BM70" s="920">
        <f>SUMIF('IS(M)'!$M$11:$ER$11,BM$7,'IS(M)'!$M79:$ER79)</f>
        <v>0</v>
      </c>
      <c r="BN70" s="920">
        <f>SUMIF('IS(M)'!$M$11:$ER$11,BN$7,'IS(M)'!$M79:$ER79)</f>
        <v>0</v>
      </c>
      <c r="BO70" s="920">
        <f>SUMIF('IS(M)'!$M$11:$ER$11,BO$7,'IS(M)'!$M79:$ER79)</f>
        <v>0</v>
      </c>
      <c r="BP70" s="920">
        <f>SUMIF('IS(M)'!$M$11:$ER$11,BP$7,'IS(M)'!$M79:$ER79)</f>
        <v>0</v>
      </c>
      <c r="BQ70" s="920">
        <f>SUMIF('IS(M)'!$M$11:$ER$11,BQ$7,'IS(M)'!$M79:$ER79)</f>
        <v>0</v>
      </c>
      <c r="BR70" s="920">
        <f>SUMIF('IS(M)'!$M$11:$ER$11,BR$7,'IS(M)'!$M79:$ER79)</f>
        <v>0</v>
      </c>
      <c r="BS70" s="920">
        <f>SUMIF('IS(M)'!$M$11:$ER$11,BS$7,'IS(M)'!$M79:$ER79)</f>
        <v>0</v>
      </c>
      <c r="BT70" s="920">
        <f>SUMIF('IS(M)'!$M$11:$ER$11,BT$7,'IS(M)'!$M79:$ER79)</f>
        <v>0</v>
      </c>
      <c r="BU70" s="920">
        <f>SUMIF('IS(M)'!$M$11:$ER$11,BU$7,'IS(M)'!$M79:$ER79)</f>
        <v>0</v>
      </c>
      <c r="BV70" s="920">
        <f>SUMIF('IS(M)'!$M$11:$ER$11,BV$7,'IS(M)'!$M79:$ER79)</f>
        <v>0</v>
      </c>
      <c r="BW70" s="920">
        <f>SUMIF('IS(M)'!$M$11:$ER$11,BW$7,'IS(M)'!$M79:$ER79)</f>
        <v>0</v>
      </c>
      <c r="BX70" s="920">
        <f>SUMIF('IS(M)'!$M$11:$ER$11,BX$7,'IS(M)'!$M79:$ER79)</f>
        <v>0</v>
      </c>
      <c r="BY70" s="920">
        <f>SUMIF('IS(M)'!$M$11:$ER$11,BY$7,'IS(M)'!$M79:$ER79)</f>
        <v>0</v>
      </c>
      <c r="BZ70" s="920">
        <f>SUMIF('IS(M)'!$M$11:$ER$11,BZ$7,'IS(M)'!$M79:$ER79)</f>
        <v>0</v>
      </c>
      <c r="CA70" s="920">
        <f>SUMIF('IS(M)'!$M$11:$ER$11,CA$7,'IS(M)'!$M79:$ER79)</f>
        <v>0</v>
      </c>
      <c r="CB70" s="920">
        <f>SUMIF('IS(M)'!$M$11:$ER$11,CB$7,'IS(M)'!$M79:$ER79)</f>
        <v>0</v>
      </c>
      <c r="CC70" s="920">
        <f>SUMIF('IS(M)'!$M$11:$ER$11,CC$7,'IS(M)'!$M79:$ER79)</f>
        <v>0</v>
      </c>
      <c r="CD70" s="920">
        <f>SUMIF('IS(M)'!$M$11:$ER$11,CD$7,'IS(M)'!$M79:$ER79)</f>
        <v>0</v>
      </c>
      <c r="CE70" s="920">
        <f>SUMIF('IS(M)'!$M$11:$ER$11,CE$7,'IS(M)'!$M79:$ER79)</f>
        <v>0</v>
      </c>
      <c r="CF70" s="920">
        <f>SUMIF('IS(M)'!$M$11:$ER$11,CF$7,'IS(M)'!$M79:$ER79)</f>
        <v>0</v>
      </c>
      <c r="CG70" s="920">
        <f>SUMIF('IS(M)'!$M$11:$ER$11,CG$7,'IS(M)'!$M79:$ER79)</f>
        <v>0</v>
      </c>
      <c r="CH70" s="920">
        <f>SUMIF('IS(M)'!$M$11:$ER$11,CH$7,'IS(M)'!$M79:$ER79)</f>
        <v>0</v>
      </c>
      <c r="CI70" s="920">
        <f>SUMIF('IS(M)'!$M$11:$ER$11,CI$7,'IS(M)'!$M79:$ER79)</f>
        <v>0</v>
      </c>
      <c r="CJ70" s="920">
        <f>SUMIF('IS(M)'!$M$11:$ER$11,CJ$7,'IS(M)'!$M79:$ER79)</f>
        <v>0</v>
      </c>
      <c r="CK70" s="920">
        <f>SUMIF('IS(M)'!$M$11:$ER$11,CK$7,'IS(M)'!$M79:$ER79)</f>
        <v>0</v>
      </c>
      <c r="CL70" s="920">
        <f>SUMIF('IS(M)'!$M$11:$ER$11,CL$7,'IS(M)'!$M79:$ER79)</f>
        <v>0</v>
      </c>
      <c r="CM70" s="920">
        <f>SUMIF('IS(M)'!$M$11:$ER$11,CM$7,'IS(M)'!$M79:$ER79)</f>
        <v>0</v>
      </c>
      <c r="CN70" s="920">
        <f>SUMIF('IS(M)'!$M$11:$ER$11,CN$7,'IS(M)'!$M79:$ER79)</f>
        <v>0</v>
      </c>
      <c r="CO70" s="920">
        <f>SUMIF('IS(M)'!$M$11:$ER$11,CO$7,'IS(M)'!$M79:$ER79)</f>
        <v>0</v>
      </c>
      <c r="CP70" s="920">
        <f>SUMIF('IS(M)'!$M$11:$ER$11,CP$7,'IS(M)'!$M79:$ER79)</f>
        <v>0</v>
      </c>
      <c r="CQ70" s="920">
        <f>SUMIF('IS(M)'!$M$11:$ER$11,CQ$7,'IS(M)'!$M79:$ER79)</f>
        <v>0</v>
      </c>
      <c r="CR70" s="920">
        <f>SUMIF('IS(M)'!$M$11:$ER$11,CR$7,'IS(M)'!$M79:$ER79)</f>
        <v>0</v>
      </c>
      <c r="CS70" s="920">
        <f>SUMIF('IS(M)'!$M$11:$ER$11,CS$7,'IS(M)'!$M79:$ER79)</f>
        <v>0</v>
      </c>
      <c r="CT70" s="920">
        <f>SUMIF('IS(M)'!$M$11:$ER$11,CT$7,'IS(M)'!$M79:$ER79)</f>
        <v>0</v>
      </c>
      <c r="CU70" s="920">
        <f>SUMIF('IS(M)'!$M$11:$ER$11,CU$7,'IS(M)'!$M79:$ER79)</f>
        <v>0</v>
      </c>
      <c r="CV70" s="920">
        <f>SUMIF('IS(M)'!$M$11:$ER$11,CV$7,'IS(M)'!$M79:$ER79)</f>
        <v>0</v>
      </c>
      <c r="CW70" s="920">
        <f>SUMIF('IS(M)'!$M$11:$ER$11,CW$7,'IS(M)'!$M79:$ER79)</f>
        <v>0</v>
      </c>
      <c r="CX70" s="920">
        <f>SUMIF('IS(M)'!$M$11:$ER$11,CX$7,'IS(M)'!$M79:$ER79)</f>
        <v>0</v>
      </c>
      <c r="CY70" s="920">
        <f>SUMIF('IS(M)'!$M$11:$ER$11,CY$7,'IS(M)'!$M79:$ER79)</f>
        <v>0</v>
      </c>
      <c r="CZ70" s="920">
        <f>SUMIF('IS(M)'!$M$11:$ER$11,CZ$7,'IS(M)'!$M79:$ER79)</f>
        <v>0</v>
      </c>
      <c r="DA70" s="920">
        <f>SUMIF('IS(M)'!$M$11:$ER$11,DA$7,'IS(M)'!$M79:$ER79)</f>
        <v>0</v>
      </c>
      <c r="DB70" s="920">
        <f>SUMIF('IS(M)'!$M$11:$ER$11,DB$7,'IS(M)'!$M79:$ER79)</f>
        <v>0</v>
      </c>
      <c r="DC70" s="920">
        <f>SUMIF('IS(M)'!$M$11:$ER$11,DC$7,'IS(M)'!$M79:$ER79)</f>
        <v>0</v>
      </c>
      <c r="DD70" s="920">
        <f>SUMIF('IS(M)'!$M$11:$ER$11,DD$7,'IS(M)'!$M79:$ER79)</f>
        <v>0</v>
      </c>
      <c r="DE70" s="920">
        <f>SUMIF('IS(M)'!$M$11:$ER$11,DE$7,'IS(M)'!$M79:$ER79)</f>
        <v>0</v>
      </c>
      <c r="DF70" s="920">
        <f>SUMIF('IS(M)'!$M$11:$ER$11,DF$7,'IS(M)'!$M79:$ER79)</f>
        <v>0</v>
      </c>
      <c r="DG70" s="920">
        <f>SUMIF('IS(M)'!$M$11:$ER$11,DG$7,'IS(M)'!$M79:$ER79)</f>
        <v>0</v>
      </c>
      <c r="DH70" s="920">
        <f>SUMIF('IS(M)'!$M$11:$ER$11,DH$7,'IS(M)'!$M79:$ER79)</f>
        <v>0</v>
      </c>
      <c r="DI70" s="920">
        <f>SUMIF('IS(M)'!$M$11:$ER$11,DI$7,'IS(M)'!$M79:$ER79)</f>
        <v>0</v>
      </c>
      <c r="DJ70" s="920">
        <f>SUMIF('IS(M)'!$M$11:$ER$11,DJ$7,'IS(M)'!$M79:$ER79)</f>
        <v>0</v>
      </c>
      <c r="DK70" s="920">
        <f>SUMIF('IS(M)'!$M$11:$ER$11,DK$7,'IS(M)'!$M79:$ER79)</f>
        <v>0</v>
      </c>
      <c r="DL70" s="920">
        <f>SUMIF('IS(M)'!$M$11:$ER$11,DL$7,'IS(M)'!$M79:$ER79)</f>
        <v>0</v>
      </c>
      <c r="DM70" s="920">
        <f>SUMIF('IS(M)'!$M$11:$ER$11,DM$7,'IS(M)'!$M79:$ER79)</f>
        <v>0</v>
      </c>
      <c r="DN70" s="920">
        <f>SUMIF('IS(M)'!$M$11:$ER$11,DN$7,'IS(M)'!$M79:$ER79)</f>
        <v>0</v>
      </c>
      <c r="DO70" s="920">
        <f>SUMIF('IS(M)'!$M$11:$ER$11,DO$7,'IS(M)'!$M79:$ER79)</f>
        <v>0</v>
      </c>
      <c r="DP70" s="920">
        <f>SUMIF('IS(M)'!$M$11:$ER$11,DP$7,'IS(M)'!$M79:$ER79)</f>
        <v>0</v>
      </c>
      <c r="DQ70" s="920">
        <f>SUMIF('IS(M)'!$M$11:$ER$11,DQ$7,'IS(M)'!$M79:$ER79)</f>
        <v>0</v>
      </c>
      <c r="DR70" s="920">
        <f>SUMIF('IS(M)'!$M$11:$ER$11,DR$7,'IS(M)'!$M79:$ER79)</f>
        <v>0</v>
      </c>
      <c r="DS70" s="920">
        <f>SUMIF('IS(M)'!$M$11:$ER$11,DS$7,'IS(M)'!$M79:$ER79)</f>
        <v>0</v>
      </c>
      <c r="DT70" s="920">
        <f>SUMIF('IS(M)'!$M$11:$ER$11,DT$7,'IS(M)'!$M79:$ER79)</f>
        <v>0</v>
      </c>
      <c r="DU70" s="920">
        <f>SUMIF('IS(M)'!$M$11:$ER$11,DU$7,'IS(M)'!$M79:$ER79)</f>
        <v>0</v>
      </c>
      <c r="DV70" s="920">
        <f>SUMIF('IS(M)'!$M$11:$ER$11,DV$7,'IS(M)'!$M79:$ER79)</f>
        <v>0</v>
      </c>
      <c r="DW70" s="920">
        <f>SUMIF('IS(M)'!$M$11:$ER$11,DW$7,'IS(M)'!$M79:$ER79)</f>
        <v>0</v>
      </c>
    </row>
    <row r="71" spans="2:127" ht="11.25" customHeight="1">
      <c r="B71" s="218"/>
      <c r="C71" s="2726" t="s">
        <v>232</v>
      </c>
      <c r="D71" s="2727"/>
      <c r="E71" s="2727"/>
      <c r="F71" s="2727"/>
      <c r="G71" s="2727"/>
      <c r="H71" s="2727"/>
      <c r="I71" s="2728"/>
      <c r="J71" s="2729"/>
      <c r="K71" s="2730">
        <f t="shared" ca="1" si="41"/>
        <v>37500000</v>
      </c>
      <c r="L71" s="2731"/>
      <c r="M71" s="2732">
        <f ca="1">SUMIF('IS(M)'!$M$11:$ER$11,M$7,'IS(M)'!$M80:$ER80)</f>
        <v>0</v>
      </c>
      <c r="N71" s="2732">
        <f ca="1">SUMIF('IS(M)'!$M$11:$ER$11,N$7,'IS(M)'!$M80:$ER80)</f>
        <v>1875000</v>
      </c>
      <c r="O71" s="2732">
        <f ca="1">SUMIF('IS(M)'!$M$11:$ER$11,O$7,'IS(M)'!$M80:$ER80)</f>
        <v>1875000</v>
      </c>
      <c r="P71" s="2732">
        <f ca="1">SUMIF('IS(M)'!$M$11:$ER$11,P$7,'IS(M)'!$M80:$ER80)</f>
        <v>1875000</v>
      </c>
      <c r="Q71" s="2732">
        <f ca="1">SUMIF('IS(M)'!$M$11:$ER$11,Q$7,'IS(M)'!$M80:$ER80)</f>
        <v>1875000</v>
      </c>
      <c r="R71" s="2732">
        <f ca="1">SUMIF('IS(M)'!$M$11:$ER$11,R$7,'IS(M)'!$M80:$ER80)</f>
        <v>1875000</v>
      </c>
      <c r="S71" s="2732">
        <f ca="1">SUMIF('IS(M)'!$M$11:$ER$11,S$7,'IS(M)'!$M80:$ER80)</f>
        <v>1875000</v>
      </c>
      <c r="T71" s="2732">
        <f ca="1">SUMIF('IS(M)'!$M$11:$ER$11,T$7,'IS(M)'!$M80:$ER80)</f>
        <v>1762472.0129412687</v>
      </c>
      <c r="U71" s="2732">
        <f ca="1">SUMIF('IS(M)'!$M$11:$ER$11,U$7,'IS(M)'!$M80:$ER80)</f>
        <v>1513291.9989280105</v>
      </c>
      <c r="V71" s="2732">
        <f ca="1">SUMIF('IS(M)'!$M$11:$ER$11,V$7,'IS(M)'!$M80:$ER80)</f>
        <v>1265541.4966859473</v>
      </c>
      <c r="W71" s="2732">
        <f ca="1">SUMIF('IS(M)'!$M$11:$ER$11,W$7,'IS(M)'!$M80:$ER80)</f>
        <v>1722478.4355854392</v>
      </c>
      <c r="X71" s="2732">
        <f ca="1">SUMIF('IS(M)'!$M$11:$ER$11,X$7,'IS(M)'!$M80:$ER80)</f>
        <v>1805647.7403300544</v>
      </c>
      <c r="Y71" s="2732">
        <f ca="1">SUMIF('IS(M)'!$M$11:$ER$11,Y$7,'IS(M)'!$M80:$ER80)</f>
        <v>2258497.3462193981</v>
      </c>
      <c r="Z71" s="2732">
        <f ca="1">SUMIF('IS(M)'!$M$11:$ER$11,Z$7,'IS(M)'!$M80:$ER80)</f>
        <v>2031213.1788212531</v>
      </c>
      <c r="AA71" s="2732">
        <f ca="1">SUMIF('IS(M)'!$M$11:$ER$11,AA$7,'IS(M)'!$M80:$ER80)</f>
        <v>2480274.6567853596</v>
      </c>
      <c r="AB71" s="2732">
        <f ca="1">SUMIF('IS(M)'!$M$11:$ER$11,AB$7,'IS(M)'!$M80:$ER80)</f>
        <v>2035583.1337032691</v>
      </c>
      <c r="AC71" s="2732">
        <f ca="1">SUMIF('IS(M)'!$M$11:$ER$11,AC$7,'IS(M)'!$M80:$ER80)</f>
        <v>1875000</v>
      </c>
      <c r="AD71" s="2732">
        <f ca="1">SUMIF('IS(M)'!$M$11:$ER$11,AD$7,'IS(M)'!$M80:$ER80)</f>
        <v>1875000</v>
      </c>
      <c r="AE71" s="2732">
        <f ca="1">SUMIF('IS(M)'!$M$11:$ER$11,AE$7,'IS(M)'!$M80:$ER80)</f>
        <v>1875000</v>
      </c>
      <c r="AF71" s="2732">
        <f ca="1">SUMIF('IS(M)'!$M$11:$ER$11,AF$7,'IS(M)'!$M80:$ER80)</f>
        <v>1875000</v>
      </c>
      <c r="AG71" s="2732">
        <f ca="1">SUMIF('IS(M)'!$M$11:$ER$11,AG$7,'IS(M)'!$M80:$ER80)</f>
        <v>1875000</v>
      </c>
      <c r="AH71" s="2732">
        <f ca="1">SUMIF('IS(M)'!$M$11:$ER$11,AH$7,'IS(M)'!$M80:$ER80)</f>
        <v>0</v>
      </c>
      <c r="AI71" s="2732">
        <f ca="1">SUMIF('IS(M)'!$M$11:$ER$11,AI$7,'IS(M)'!$M80:$ER80)</f>
        <v>0</v>
      </c>
      <c r="AJ71" s="2732">
        <f ca="1">SUMIF('IS(M)'!$M$11:$ER$11,AJ$7,'IS(M)'!$M80:$ER80)</f>
        <v>0</v>
      </c>
      <c r="AK71" s="2732">
        <f>SUMIF('IS(M)'!$M$11:$ER$11,AK$7,'IS(M)'!$M80:$ER80)</f>
        <v>0</v>
      </c>
      <c r="AL71" s="2732">
        <f>SUMIF('IS(M)'!$M$11:$ER$11,AL$7,'IS(M)'!$M80:$ER80)</f>
        <v>0</v>
      </c>
      <c r="AM71" s="2732">
        <f>SUMIF('IS(M)'!$M$11:$ER$11,AM$7,'IS(M)'!$M80:$ER80)</f>
        <v>0</v>
      </c>
      <c r="AN71" s="2732">
        <f>SUMIF('IS(M)'!$M$11:$ER$11,AN$7,'IS(M)'!$M80:$ER80)</f>
        <v>0</v>
      </c>
      <c r="AO71" s="2732">
        <f>SUMIF('IS(M)'!$M$11:$ER$11,AO$7,'IS(M)'!$M80:$ER80)</f>
        <v>0</v>
      </c>
      <c r="AP71" s="2732">
        <f>SUMIF('IS(M)'!$M$11:$ER$11,AP$7,'IS(M)'!$M80:$ER80)</f>
        <v>0</v>
      </c>
      <c r="AQ71" s="2732">
        <f>SUMIF('IS(M)'!$M$11:$ER$11,AQ$7,'IS(M)'!$M80:$ER80)</f>
        <v>0</v>
      </c>
      <c r="AR71" s="2732">
        <f>SUMIF('IS(M)'!$M$11:$ER$11,AR$7,'IS(M)'!$M80:$ER80)</f>
        <v>0</v>
      </c>
      <c r="AS71" s="2732">
        <f>SUMIF('IS(M)'!$M$11:$ER$11,AS$7,'IS(M)'!$M80:$ER80)</f>
        <v>0</v>
      </c>
      <c r="AT71" s="2732">
        <f>SUMIF('IS(M)'!$M$11:$ER$11,AT$7,'IS(M)'!$M80:$ER80)</f>
        <v>0</v>
      </c>
      <c r="AU71" s="2732">
        <f>SUMIF('IS(M)'!$M$11:$ER$11,AU$7,'IS(M)'!$M80:$ER80)</f>
        <v>0</v>
      </c>
      <c r="AV71" s="2732">
        <f>SUMIF('IS(M)'!$M$11:$ER$11,AV$7,'IS(M)'!$M80:$ER80)</f>
        <v>0</v>
      </c>
      <c r="AW71" s="2732">
        <f>SUMIF('IS(M)'!$M$11:$ER$11,AW$7,'IS(M)'!$M80:$ER80)</f>
        <v>0</v>
      </c>
      <c r="AX71" s="2732">
        <f>SUMIF('IS(M)'!$M$11:$ER$11,AX$7,'IS(M)'!$M80:$ER80)</f>
        <v>0</v>
      </c>
      <c r="AY71" s="2732">
        <f>SUMIF('IS(M)'!$M$11:$ER$11,AY$7,'IS(M)'!$M80:$ER80)</f>
        <v>0</v>
      </c>
      <c r="AZ71" s="2732">
        <f>SUMIF('IS(M)'!$M$11:$ER$11,AZ$7,'IS(M)'!$M80:$ER80)</f>
        <v>0</v>
      </c>
      <c r="BA71" s="2732">
        <f>SUMIF('IS(M)'!$M$11:$ER$11,BA$7,'IS(M)'!$M80:$ER80)</f>
        <v>0</v>
      </c>
      <c r="BB71" s="2732">
        <f>SUMIF('IS(M)'!$M$11:$ER$11,BB$7,'IS(M)'!$M80:$ER80)</f>
        <v>0</v>
      </c>
      <c r="BC71" s="2732">
        <f>SUMIF('IS(M)'!$M$11:$ER$11,BC$7,'IS(M)'!$M80:$ER80)</f>
        <v>0</v>
      </c>
      <c r="BD71" s="2732">
        <f>SUMIF('IS(M)'!$M$11:$ER$11,BD$7,'IS(M)'!$M80:$ER80)</f>
        <v>0</v>
      </c>
      <c r="BE71" s="2732">
        <f>SUMIF('IS(M)'!$M$11:$ER$11,BE$7,'IS(M)'!$M80:$ER80)</f>
        <v>0</v>
      </c>
      <c r="BF71" s="2732">
        <f>SUMIF('IS(M)'!$M$11:$ER$11,BF$7,'IS(M)'!$M80:$ER80)</f>
        <v>0</v>
      </c>
      <c r="BG71" s="2732">
        <f>SUMIF('IS(M)'!$M$11:$ER$11,BG$7,'IS(M)'!$M80:$ER80)</f>
        <v>0</v>
      </c>
      <c r="BH71" s="2732">
        <f>SUMIF('IS(M)'!$M$11:$ER$11,BH$7,'IS(M)'!$M80:$ER80)</f>
        <v>0</v>
      </c>
      <c r="BI71" s="2732">
        <f>SUMIF('IS(M)'!$M$11:$ER$11,BI$7,'IS(M)'!$M80:$ER80)</f>
        <v>0</v>
      </c>
      <c r="BJ71" s="2732">
        <f>SUMIF('IS(M)'!$M$11:$ER$11,BJ$7,'IS(M)'!$M80:$ER80)</f>
        <v>0</v>
      </c>
      <c r="BK71" s="2732">
        <f>SUMIF('IS(M)'!$M$11:$ER$11,BK$7,'IS(M)'!$M80:$ER80)</f>
        <v>0</v>
      </c>
      <c r="BL71" s="2732">
        <f>SUMIF('IS(M)'!$M$11:$ER$11,BL$7,'IS(M)'!$M80:$ER80)</f>
        <v>0</v>
      </c>
      <c r="BM71" s="2732">
        <f>SUMIF('IS(M)'!$M$11:$ER$11,BM$7,'IS(M)'!$M80:$ER80)</f>
        <v>0</v>
      </c>
      <c r="BN71" s="2732">
        <f>SUMIF('IS(M)'!$M$11:$ER$11,BN$7,'IS(M)'!$M80:$ER80)</f>
        <v>0</v>
      </c>
      <c r="BO71" s="2732">
        <f>SUMIF('IS(M)'!$M$11:$ER$11,BO$7,'IS(M)'!$M80:$ER80)</f>
        <v>0</v>
      </c>
      <c r="BP71" s="2732">
        <f>SUMIF('IS(M)'!$M$11:$ER$11,BP$7,'IS(M)'!$M80:$ER80)</f>
        <v>0</v>
      </c>
      <c r="BQ71" s="2732">
        <f>SUMIF('IS(M)'!$M$11:$ER$11,BQ$7,'IS(M)'!$M80:$ER80)</f>
        <v>0</v>
      </c>
      <c r="BR71" s="2732">
        <f>SUMIF('IS(M)'!$M$11:$ER$11,BR$7,'IS(M)'!$M80:$ER80)</f>
        <v>0</v>
      </c>
      <c r="BS71" s="2732">
        <f>SUMIF('IS(M)'!$M$11:$ER$11,BS$7,'IS(M)'!$M80:$ER80)</f>
        <v>0</v>
      </c>
      <c r="BT71" s="2732">
        <f>SUMIF('IS(M)'!$M$11:$ER$11,BT$7,'IS(M)'!$M80:$ER80)</f>
        <v>0</v>
      </c>
      <c r="BU71" s="2732">
        <f>SUMIF('IS(M)'!$M$11:$ER$11,BU$7,'IS(M)'!$M80:$ER80)</f>
        <v>0</v>
      </c>
      <c r="BV71" s="2732">
        <f>SUMIF('IS(M)'!$M$11:$ER$11,BV$7,'IS(M)'!$M80:$ER80)</f>
        <v>0</v>
      </c>
      <c r="BW71" s="2732">
        <f>SUMIF('IS(M)'!$M$11:$ER$11,BW$7,'IS(M)'!$M80:$ER80)</f>
        <v>0</v>
      </c>
      <c r="BX71" s="2732">
        <f>SUMIF('IS(M)'!$M$11:$ER$11,BX$7,'IS(M)'!$M80:$ER80)</f>
        <v>0</v>
      </c>
      <c r="BY71" s="2732">
        <f>SUMIF('IS(M)'!$M$11:$ER$11,BY$7,'IS(M)'!$M80:$ER80)</f>
        <v>0</v>
      </c>
      <c r="BZ71" s="2732">
        <f>SUMIF('IS(M)'!$M$11:$ER$11,BZ$7,'IS(M)'!$M80:$ER80)</f>
        <v>0</v>
      </c>
      <c r="CA71" s="2732">
        <f>SUMIF('IS(M)'!$M$11:$ER$11,CA$7,'IS(M)'!$M80:$ER80)</f>
        <v>0</v>
      </c>
      <c r="CB71" s="2732">
        <f>SUMIF('IS(M)'!$M$11:$ER$11,CB$7,'IS(M)'!$M80:$ER80)</f>
        <v>0</v>
      </c>
      <c r="CC71" s="2732">
        <f>SUMIF('IS(M)'!$M$11:$ER$11,CC$7,'IS(M)'!$M80:$ER80)</f>
        <v>0</v>
      </c>
      <c r="CD71" s="2732">
        <f>SUMIF('IS(M)'!$M$11:$ER$11,CD$7,'IS(M)'!$M80:$ER80)</f>
        <v>0</v>
      </c>
      <c r="CE71" s="2732">
        <f>SUMIF('IS(M)'!$M$11:$ER$11,CE$7,'IS(M)'!$M80:$ER80)</f>
        <v>0</v>
      </c>
      <c r="CF71" s="2732">
        <f>SUMIF('IS(M)'!$M$11:$ER$11,CF$7,'IS(M)'!$M80:$ER80)</f>
        <v>0</v>
      </c>
      <c r="CG71" s="2732">
        <f>SUMIF('IS(M)'!$M$11:$ER$11,CG$7,'IS(M)'!$M80:$ER80)</f>
        <v>0</v>
      </c>
      <c r="CH71" s="2732">
        <f>SUMIF('IS(M)'!$M$11:$ER$11,CH$7,'IS(M)'!$M80:$ER80)</f>
        <v>0</v>
      </c>
      <c r="CI71" s="2732">
        <f>SUMIF('IS(M)'!$M$11:$ER$11,CI$7,'IS(M)'!$M80:$ER80)</f>
        <v>0</v>
      </c>
      <c r="CJ71" s="2732">
        <f>SUMIF('IS(M)'!$M$11:$ER$11,CJ$7,'IS(M)'!$M80:$ER80)</f>
        <v>0</v>
      </c>
      <c r="CK71" s="2732">
        <f>SUMIF('IS(M)'!$M$11:$ER$11,CK$7,'IS(M)'!$M80:$ER80)</f>
        <v>0</v>
      </c>
      <c r="CL71" s="2732">
        <f>SUMIF('IS(M)'!$M$11:$ER$11,CL$7,'IS(M)'!$M80:$ER80)</f>
        <v>0</v>
      </c>
      <c r="CM71" s="2732">
        <f>SUMIF('IS(M)'!$M$11:$ER$11,CM$7,'IS(M)'!$M80:$ER80)</f>
        <v>0</v>
      </c>
      <c r="CN71" s="2732">
        <f>SUMIF('IS(M)'!$M$11:$ER$11,CN$7,'IS(M)'!$M80:$ER80)</f>
        <v>0</v>
      </c>
      <c r="CO71" s="2732">
        <f>SUMIF('IS(M)'!$M$11:$ER$11,CO$7,'IS(M)'!$M80:$ER80)</f>
        <v>0</v>
      </c>
      <c r="CP71" s="2732">
        <f>SUMIF('IS(M)'!$M$11:$ER$11,CP$7,'IS(M)'!$M80:$ER80)</f>
        <v>0</v>
      </c>
      <c r="CQ71" s="2732">
        <f>SUMIF('IS(M)'!$M$11:$ER$11,CQ$7,'IS(M)'!$M80:$ER80)</f>
        <v>0</v>
      </c>
      <c r="CR71" s="2732">
        <f>SUMIF('IS(M)'!$M$11:$ER$11,CR$7,'IS(M)'!$M80:$ER80)</f>
        <v>0</v>
      </c>
      <c r="CS71" s="2732">
        <f>SUMIF('IS(M)'!$M$11:$ER$11,CS$7,'IS(M)'!$M80:$ER80)</f>
        <v>0</v>
      </c>
      <c r="CT71" s="2732">
        <f>SUMIF('IS(M)'!$M$11:$ER$11,CT$7,'IS(M)'!$M80:$ER80)</f>
        <v>0</v>
      </c>
      <c r="CU71" s="2732">
        <f>SUMIF('IS(M)'!$M$11:$ER$11,CU$7,'IS(M)'!$M80:$ER80)</f>
        <v>0</v>
      </c>
      <c r="CV71" s="2732">
        <f>SUMIF('IS(M)'!$M$11:$ER$11,CV$7,'IS(M)'!$M80:$ER80)</f>
        <v>0</v>
      </c>
      <c r="CW71" s="2732">
        <f>SUMIF('IS(M)'!$M$11:$ER$11,CW$7,'IS(M)'!$M80:$ER80)</f>
        <v>0</v>
      </c>
      <c r="CX71" s="2732">
        <f>SUMIF('IS(M)'!$M$11:$ER$11,CX$7,'IS(M)'!$M80:$ER80)</f>
        <v>0</v>
      </c>
      <c r="CY71" s="2732">
        <f>SUMIF('IS(M)'!$M$11:$ER$11,CY$7,'IS(M)'!$M80:$ER80)</f>
        <v>0</v>
      </c>
      <c r="CZ71" s="2732">
        <f>SUMIF('IS(M)'!$M$11:$ER$11,CZ$7,'IS(M)'!$M80:$ER80)</f>
        <v>0</v>
      </c>
      <c r="DA71" s="2732">
        <f>SUMIF('IS(M)'!$M$11:$ER$11,DA$7,'IS(M)'!$M80:$ER80)</f>
        <v>0</v>
      </c>
      <c r="DB71" s="2732">
        <f>SUMIF('IS(M)'!$M$11:$ER$11,DB$7,'IS(M)'!$M80:$ER80)</f>
        <v>0</v>
      </c>
      <c r="DC71" s="2732">
        <f>SUMIF('IS(M)'!$M$11:$ER$11,DC$7,'IS(M)'!$M80:$ER80)</f>
        <v>0</v>
      </c>
      <c r="DD71" s="2732">
        <f>SUMIF('IS(M)'!$M$11:$ER$11,DD$7,'IS(M)'!$M80:$ER80)</f>
        <v>0</v>
      </c>
      <c r="DE71" s="2732">
        <f>SUMIF('IS(M)'!$M$11:$ER$11,DE$7,'IS(M)'!$M80:$ER80)</f>
        <v>0</v>
      </c>
      <c r="DF71" s="2732">
        <f>SUMIF('IS(M)'!$M$11:$ER$11,DF$7,'IS(M)'!$M80:$ER80)</f>
        <v>0</v>
      </c>
      <c r="DG71" s="2732">
        <f>SUMIF('IS(M)'!$M$11:$ER$11,DG$7,'IS(M)'!$M80:$ER80)</f>
        <v>0</v>
      </c>
      <c r="DH71" s="2732">
        <f>SUMIF('IS(M)'!$M$11:$ER$11,DH$7,'IS(M)'!$M80:$ER80)</f>
        <v>0</v>
      </c>
      <c r="DI71" s="2732">
        <f>SUMIF('IS(M)'!$M$11:$ER$11,DI$7,'IS(M)'!$M80:$ER80)</f>
        <v>0</v>
      </c>
      <c r="DJ71" s="2732">
        <f>SUMIF('IS(M)'!$M$11:$ER$11,DJ$7,'IS(M)'!$M80:$ER80)</f>
        <v>0</v>
      </c>
      <c r="DK71" s="2732">
        <f>SUMIF('IS(M)'!$M$11:$ER$11,DK$7,'IS(M)'!$M80:$ER80)</f>
        <v>0</v>
      </c>
      <c r="DL71" s="2732">
        <f>SUMIF('IS(M)'!$M$11:$ER$11,DL$7,'IS(M)'!$M80:$ER80)</f>
        <v>0</v>
      </c>
      <c r="DM71" s="2732">
        <f>SUMIF('IS(M)'!$M$11:$ER$11,DM$7,'IS(M)'!$M80:$ER80)</f>
        <v>0</v>
      </c>
      <c r="DN71" s="2732">
        <f>SUMIF('IS(M)'!$M$11:$ER$11,DN$7,'IS(M)'!$M80:$ER80)</f>
        <v>0</v>
      </c>
      <c r="DO71" s="2732">
        <f>SUMIF('IS(M)'!$M$11:$ER$11,DO$7,'IS(M)'!$M80:$ER80)</f>
        <v>0</v>
      </c>
      <c r="DP71" s="2732">
        <f>SUMIF('IS(M)'!$M$11:$ER$11,DP$7,'IS(M)'!$M80:$ER80)</f>
        <v>0</v>
      </c>
      <c r="DQ71" s="2732">
        <f>SUMIF('IS(M)'!$M$11:$ER$11,DQ$7,'IS(M)'!$M80:$ER80)</f>
        <v>0</v>
      </c>
      <c r="DR71" s="2732">
        <f>SUMIF('IS(M)'!$M$11:$ER$11,DR$7,'IS(M)'!$M80:$ER80)</f>
        <v>0</v>
      </c>
      <c r="DS71" s="2732">
        <f>SUMIF('IS(M)'!$M$11:$ER$11,DS$7,'IS(M)'!$M80:$ER80)</f>
        <v>0</v>
      </c>
      <c r="DT71" s="2732">
        <f>SUMIF('IS(M)'!$M$11:$ER$11,DT$7,'IS(M)'!$M80:$ER80)</f>
        <v>0</v>
      </c>
      <c r="DU71" s="2732">
        <f>SUMIF('IS(M)'!$M$11:$ER$11,DU$7,'IS(M)'!$M80:$ER80)</f>
        <v>0</v>
      </c>
      <c r="DV71" s="2732">
        <f>SUMIF('IS(M)'!$M$11:$ER$11,DV$7,'IS(M)'!$M80:$ER80)</f>
        <v>0</v>
      </c>
      <c r="DW71" s="2732">
        <f>SUMIF('IS(M)'!$M$11:$ER$11,DW$7,'IS(M)'!$M80:$ER80)</f>
        <v>0</v>
      </c>
    </row>
    <row r="72" spans="2:127" ht="11.25" customHeight="1">
      <c r="B72" s="218"/>
      <c r="C72" s="911" t="s">
        <v>233</v>
      </c>
      <c r="D72" s="912"/>
      <c r="E72" s="912"/>
      <c r="F72" s="912"/>
      <c r="G72" s="912"/>
      <c r="H72" s="912"/>
      <c r="I72" s="913"/>
      <c r="J72" s="914"/>
      <c r="K72" s="918"/>
      <c r="L72" s="98"/>
      <c r="M72" s="171">
        <f ca="1">M69+M70-M71</f>
        <v>0</v>
      </c>
      <c r="N72" s="171">
        <f t="shared" ref="N72:BY72" ca="1" si="42">N69+N70-N71</f>
        <v>0</v>
      </c>
      <c r="O72" s="171">
        <f t="shared" ca="1" si="42"/>
        <v>0</v>
      </c>
      <c r="P72" s="171">
        <f t="shared" ca="1" si="42"/>
        <v>0</v>
      </c>
      <c r="Q72" s="171">
        <f t="shared" ca="1" si="42"/>
        <v>0</v>
      </c>
      <c r="R72" s="171">
        <f t="shared" ca="1" si="42"/>
        <v>0</v>
      </c>
      <c r="S72" s="171">
        <f t="shared" ca="1" si="42"/>
        <v>0</v>
      </c>
      <c r="T72" s="171">
        <f t="shared" ca="1" si="42"/>
        <v>112527.98705873126</v>
      </c>
      <c r="U72" s="171">
        <f t="shared" ca="1" si="42"/>
        <v>474235.9881307208</v>
      </c>
      <c r="V72" s="171">
        <f t="shared" ca="1" si="42"/>
        <v>1083694.4914447735</v>
      </c>
      <c r="W72" s="171">
        <f t="shared" ca="1" si="42"/>
        <v>1236216.0558593343</v>
      </c>
      <c r="X72" s="171">
        <f t="shared" ca="1" si="42"/>
        <v>1305568.3155292799</v>
      </c>
      <c r="Y72" s="171">
        <f t="shared" ca="1" si="42"/>
        <v>922070.9693098818</v>
      </c>
      <c r="Z72" s="171">
        <f t="shared" ca="1" si="42"/>
        <v>765857.79048862867</v>
      </c>
      <c r="AA72" s="171">
        <f t="shared" ca="1" si="42"/>
        <v>160583.13370326906</v>
      </c>
      <c r="AB72" s="171">
        <f t="shared" ca="1" si="42"/>
        <v>0</v>
      </c>
      <c r="AC72" s="171">
        <f t="shared" ca="1" si="42"/>
        <v>0</v>
      </c>
      <c r="AD72" s="171">
        <f t="shared" ca="1" si="42"/>
        <v>0</v>
      </c>
      <c r="AE72" s="171">
        <f t="shared" ca="1" si="42"/>
        <v>0</v>
      </c>
      <c r="AF72" s="171">
        <f t="shared" ca="1" si="42"/>
        <v>0</v>
      </c>
      <c r="AG72" s="171">
        <f t="shared" ca="1" si="42"/>
        <v>0</v>
      </c>
      <c r="AH72" s="171">
        <f t="shared" ca="1" si="42"/>
        <v>0</v>
      </c>
      <c r="AI72" s="171">
        <f t="shared" ca="1" si="42"/>
        <v>0</v>
      </c>
      <c r="AJ72" s="171">
        <f t="shared" ca="1" si="42"/>
        <v>0</v>
      </c>
      <c r="AK72" s="171">
        <f t="shared" ca="1" si="42"/>
        <v>0</v>
      </c>
      <c r="AL72" s="171">
        <f t="shared" ca="1" si="42"/>
        <v>0</v>
      </c>
      <c r="AM72" s="171">
        <f t="shared" ca="1" si="42"/>
        <v>0</v>
      </c>
      <c r="AN72" s="171">
        <f t="shared" ca="1" si="42"/>
        <v>0</v>
      </c>
      <c r="AO72" s="171">
        <f t="shared" ca="1" si="42"/>
        <v>0</v>
      </c>
      <c r="AP72" s="171">
        <f t="shared" ca="1" si="42"/>
        <v>0</v>
      </c>
      <c r="AQ72" s="171">
        <f t="shared" ca="1" si="42"/>
        <v>0</v>
      </c>
      <c r="AR72" s="171">
        <f t="shared" ca="1" si="42"/>
        <v>0</v>
      </c>
      <c r="AS72" s="171">
        <f t="shared" ca="1" si="42"/>
        <v>0</v>
      </c>
      <c r="AT72" s="171">
        <f t="shared" ca="1" si="42"/>
        <v>0</v>
      </c>
      <c r="AU72" s="171">
        <f t="shared" ca="1" si="42"/>
        <v>0</v>
      </c>
      <c r="AV72" s="171">
        <f t="shared" ca="1" si="42"/>
        <v>0</v>
      </c>
      <c r="AW72" s="171">
        <f t="shared" ca="1" si="42"/>
        <v>0</v>
      </c>
      <c r="AX72" s="171">
        <f t="shared" ca="1" si="42"/>
        <v>0</v>
      </c>
      <c r="AY72" s="171">
        <f t="shared" ca="1" si="42"/>
        <v>0</v>
      </c>
      <c r="AZ72" s="171">
        <f t="shared" ca="1" si="42"/>
        <v>0</v>
      </c>
      <c r="BA72" s="171">
        <f t="shared" ca="1" si="42"/>
        <v>0</v>
      </c>
      <c r="BB72" s="171">
        <f t="shared" ca="1" si="42"/>
        <v>0</v>
      </c>
      <c r="BC72" s="171">
        <f t="shared" ca="1" si="42"/>
        <v>0</v>
      </c>
      <c r="BD72" s="171">
        <f t="shared" ca="1" si="42"/>
        <v>0</v>
      </c>
      <c r="BE72" s="171">
        <f t="shared" ca="1" si="42"/>
        <v>0</v>
      </c>
      <c r="BF72" s="171">
        <f t="shared" ca="1" si="42"/>
        <v>0</v>
      </c>
      <c r="BG72" s="171">
        <f t="shared" ca="1" si="42"/>
        <v>0</v>
      </c>
      <c r="BH72" s="171">
        <f t="shared" ca="1" si="42"/>
        <v>0</v>
      </c>
      <c r="BI72" s="171">
        <f t="shared" ca="1" si="42"/>
        <v>0</v>
      </c>
      <c r="BJ72" s="171">
        <f t="shared" ca="1" si="42"/>
        <v>0</v>
      </c>
      <c r="BK72" s="171">
        <f t="shared" ca="1" si="42"/>
        <v>0</v>
      </c>
      <c r="BL72" s="171">
        <f t="shared" ca="1" si="42"/>
        <v>0</v>
      </c>
      <c r="BM72" s="171">
        <f t="shared" ca="1" si="42"/>
        <v>0</v>
      </c>
      <c r="BN72" s="171">
        <f t="shared" ca="1" si="42"/>
        <v>0</v>
      </c>
      <c r="BO72" s="171">
        <f t="shared" ca="1" si="42"/>
        <v>0</v>
      </c>
      <c r="BP72" s="171">
        <f t="shared" ca="1" si="42"/>
        <v>0</v>
      </c>
      <c r="BQ72" s="171">
        <f t="shared" ca="1" si="42"/>
        <v>0</v>
      </c>
      <c r="BR72" s="171">
        <f t="shared" ca="1" si="42"/>
        <v>0</v>
      </c>
      <c r="BS72" s="171">
        <f t="shared" ca="1" si="42"/>
        <v>0</v>
      </c>
      <c r="BT72" s="171">
        <f t="shared" ca="1" si="42"/>
        <v>0</v>
      </c>
      <c r="BU72" s="171">
        <f t="shared" ca="1" si="42"/>
        <v>0</v>
      </c>
      <c r="BV72" s="171">
        <f t="shared" ca="1" si="42"/>
        <v>0</v>
      </c>
      <c r="BW72" s="171">
        <f t="shared" ca="1" si="42"/>
        <v>0</v>
      </c>
      <c r="BX72" s="171">
        <f t="shared" ca="1" si="42"/>
        <v>0</v>
      </c>
      <c r="BY72" s="171">
        <f t="shared" ca="1" si="42"/>
        <v>0</v>
      </c>
      <c r="BZ72" s="171">
        <f t="shared" ref="BZ72:DW72" ca="1" si="43">BZ69+BZ70-BZ71</f>
        <v>0</v>
      </c>
      <c r="CA72" s="171">
        <f t="shared" ca="1" si="43"/>
        <v>0</v>
      </c>
      <c r="CB72" s="171">
        <f t="shared" ca="1" si="43"/>
        <v>0</v>
      </c>
      <c r="CC72" s="171">
        <f t="shared" ca="1" si="43"/>
        <v>0</v>
      </c>
      <c r="CD72" s="171">
        <f t="shared" ca="1" si="43"/>
        <v>0</v>
      </c>
      <c r="CE72" s="171">
        <f t="shared" ca="1" si="43"/>
        <v>0</v>
      </c>
      <c r="CF72" s="171">
        <f t="shared" ca="1" si="43"/>
        <v>0</v>
      </c>
      <c r="CG72" s="171">
        <f t="shared" ca="1" si="43"/>
        <v>0</v>
      </c>
      <c r="CH72" s="171">
        <f t="shared" ca="1" si="43"/>
        <v>0</v>
      </c>
      <c r="CI72" s="171">
        <f t="shared" ca="1" si="43"/>
        <v>0</v>
      </c>
      <c r="CJ72" s="171">
        <f t="shared" ca="1" si="43"/>
        <v>0</v>
      </c>
      <c r="CK72" s="171">
        <f t="shared" ca="1" si="43"/>
        <v>0</v>
      </c>
      <c r="CL72" s="171">
        <f t="shared" ca="1" si="43"/>
        <v>0</v>
      </c>
      <c r="CM72" s="171">
        <f t="shared" ca="1" si="43"/>
        <v>0</v>
      </c>
      <c r="CN72" s="171">
        <f t="shared" ca="1" si="43"/>
        <v>0</v>
      </c>
      <c r="CO72" s="171">
        <f t="shared" ca="1" si="43"/>
        <v>0</v>
      </c>
      <c r="CP72" s="171">
        <f t="shared" ca="1" si="43"/>
        <v>0</v>
      </c>
      <c r="CQ72" s="171">
        <f t="shared" ca="1" si="43"/>
        <v>0</v>
      </c>
      <c r="CR72" s="171">
        <f t="shared" ca="1" si="43"/>
        <v>0</v>
      </c>
      <c r="CS72" s="171">
        <f t="shared" ca="1" si="43"/>
        <v>0</v>
      </c>
      <c r="CT72" s="171">
        <f t="shared" ca="1" si="43"/>
        <v>0</v>
      </c>
      <c r="CU72" s="171">
        <f t="shared" ca="1" si="43"/>
        <v>0</v>
      </c>
      <c r="CV72" s="171">
        <f t="shared" ca="1" si="43"/>
        <v>0</v>
      </c>
      <c r="CW72" s="171">
        <f t="shared" ca="1" si="43"/>
        <v>0</v>
      </c>
      <c r="CX72" s="171">
        <f t="shared" ca="1" si="43"/>
        <v>0</v>
      </c>
      <c r="CY72" s="171">
        <f t="shared" ca="1" si="43"/>
        <v>0</v>
      </c>
      <c r="CZ72" s="171">
        <f t="shared" ca="1" si="43"/>
        <v>0</v>
      </c>
      <c r="DA72" s="171">
        <f t="shared" ca="1" si="43"/>
        <v>0</v>
      </c>
      <c r="DB72" s="171">
        <f t="shared" ca="1" si="43"/>
        <v>0</v>
      </c>
      <c r="DC72" s="171">
        <f t="shared" ca="1" si="43"/>
        <v>0</v>
      </c>
      <c r="DD72" s="171">
        <f t="shared" ca="1" si="43"/>
        <v>0</v>
      </c>
      <c r="DE72" s="171">
        <f t="shared" ca="1" si="43"/>
        <v>0</v>
      </c>
      <c r="DF72" s="171">
        <f t="shared" ca="1" si="43"/>
        <v>0</v>
      </c>
      <c r="DG72" s="171">
        <f t="shared" ca="1" si="43"/>
        <v>0</v>
      </c>
      <c r="DH72" s="171">
        <f t="shared" ca="1" si="43"/>
        <v>0</v>
      </c>
      <c r="DI72" s="171">
        <f t="shared" ca="1" si="43"/>
        <v>0</v>
      </c>
      <c r="DJ72" s="171">
        <f t="shared" ca="1" si="43"/>
        <v>0</v>
      </c>
      <c r="DK72" s="171">
        <f t="shared" ca="1" si="43"/>
        <v>0</v>
      </c>
      <c r="DL72" s="171">
        <f t="shared" ca="1" si="43"/>
        <v>0</v>
      </c>
      <c r="DM72" s="171">
        <f t="shared" ca="1" si="43"/>
        <v>0</v>
      </c>
      <c r="DN72" s="171">
        <f t="shared" ca="1" si="43"/>
        <v>0</v>
      </c>
      <c r="DO72" s="171">
        <f t="shared" ca="1" si="43"/>
        <v>0</v>
      </c>
      <c r="DP72" s="171">
        <f t="shared" ca="1" si="43"/>
        <v>0</v>
      </c>
      <c r="DQ72" s="171">
        <f t="shared" ca="1" si="43"/>
        <v>0</v>
      </c>
      <c r="DR72" s="171">
        <f t="shared" ca="1" si="43"/>
        <v>0</v>
      </c>
      <c r="DS72" s="171">
        <f t="shared" ca="1" si="43"/>
        <v>0</v>
      </c>
      <c r="DT72" s="171">
        <f t="shared" ca="1" si="43"/>
        <v>0</v>
      </c>
      <c r="DU72" s="171">
        <f t="shared" ca="1" si="43"/>
        <v>0</v>
      </c>
      <c r="DV72" s="171">
        <f t="shared" ca="1" si="43"/>
        <v>0</v>
      </c>
      <c r="DW72" s="171">
        <f t="shared" ca="1" si="43"/>
        <v>0</v>
      </c>
    </row>
    <row r="73" spans="2:127" ht="11.25" customHeight="1">
      <c r="B73" s="875" t="s">
        <v>550</v>
      </c>
      <c r="C73" s="876"/>
      <c r="D73" s="876"/>
      <c r="E73" s="876"/>
      <c r="F73" s="876"/>
      <c r="G73" s="876"/>
      <c r="H73" s="876"/>
      <c r="I73" s="877"/>
      <c r="J73" s="878"/>
      <c r="K73" s="919"/>
      <c r="M73" s="897"/>
      <c r="N73" s="897"/>
      <c r="O73" s="897"/>
      <c r="P73" s="897"/>
      <c r="Q73" s="897"/>
      <c r="R73" s="897"/>
      <c r="S73" s="897"/>
      <c r="T73" s="897"/>
      <c r="U73" s="897"/>
      <c r="V73" s="897"/>
      <c r="W73" s="897"/>
      <c r="X73" s="897"/>
      <c r="Y73" s="897"/>
      <c r="Z73" s="897"/>
      <c r="AA73" s="897"/>
      <c r="AB73" s="897"/>
      <c r="AC73" s="897"/>
      <c r="AD73" s="897"/>
      <c r="AE73" s="897"/>
      <c r="AF73" s="897"/>
      <c r="AG73" s="897"/>
      <c r="AH73" s="897"/>
      <c r="AI73" s="897"/>
      <c r="AJ73" s="897"/>
      <c r="AK73" s="897"/>
      <c r="AL73" s="897"/>
      <c r="AM73" s="897"/>
      <c r="AN73" s="897"/>
      <c r="AO73" s="897"/>
      <c r="AP73" s="897"/>
      <c r="AQ73" s="897"/>
      <c r="AR73" s="897"/>
      <c r="AS73" s="897"/>
      <c r="AT73" s="897"/>
      <c r="AU73" s="897"/>
      <c r="AV73" s="897"/>
      <c r="AW73" s="897"/>
      <c r="AX73" s="897"/>
      <c r="AY73" s="897"/>
      <c r="AZ73" s="897"/>
      <c r="BA73" s="897"/>
      <c r="BB73" s="897"/>
      <c r="BC73" s="897"/>
      <c r="BD73" s="897"/>
      <c r="BE73" s="897"/>
      <c r="BF73" s="897"/>
      <c r="BG73" s="897"/>
      <c r="BH73" s="897"/>
      <c r="BI73" s="897"/>
      <c r="BJ73" s="897"/>
      <c r="BK73" s="897"/>
      <c r="BL73" s="897"/>
      <c r="BM73" s="897"/>
      <c r="BN73" s="897"/>
      <c r="BO73" s="897"/>
      <c r="BP73" s="897"/>
      <c r="BQ73" s="897"/>
      <c r="BR73" s="897"/>
      <c r="BS73" s="897"/>
      <c r="BT73" s="897"/>
      <c r="BU73" s="897"/>
      <c r="BV73" s="897"/>
      <c r="BW73" s="897"/>
      <c r="BX73" s="897"/>
      <c r="BY73" s="897"/>
      <c r="BZ73" s="897"/>
      <c r="CA73" s="897"/>
      <c r="CB73" s="897"/>
      <c r="CC73" s="897"/>
      <c r="CD73" s="897"/>
      <c r="CE73" s="897"/>
      <c r="CF73" s="897"/>
      <c r="CG73" s="897"/>
      <c r="CH73" s="897"/>
      <c r="CI73" s="897"/>
      <c r="CJ73" s="897"/>
      <c r="CK73" s="897"/>
      <c r="CL73" s="897"/>
      <c r="CM73" s="897"/>
      <c r="CN73" s="897"/>
      <c r="CO73" s="897"/>
      <c r="CP73" s="897"/>
      <c r="CQ73" s="897"/>
      <c r="CR73" s="897"/>
      <c r="CS73" s="897"/>
      <c r="CT73" s="897"/>
      <c r="CU73" s="897"/>
      <c r="CV73" s="897"/>
      <c r="CW73" s="897"/>
      <c r="CX73" s="897"/>
      <c r="CY73" s="897"/>
      <c r="CZ73" s="897"/>
      <c r="DA73" s="897"/>
      <c r="DB73" s="897"/>
      <c r="DC73" s="897"/>
      <c r="DD73" s="897"/>
      <c r="DE73" s="897"/>
      <c r="DF73" s="897"/>
      <c r="DG73" s="897"/>
      <c r="DH73" s="897"/>
      <c r="DI73" s="897"/>
      <c r="DJ73" s="897"/>
      <c r="DK73" s="897"/>
      <c r="DL73" s="897"/>
      <c r="DM73" s="897"/>
      <c r="DN73" s="897"/>
      <c r="DO73" s="897"/>
      <c r="DP73" s="897"/>
      <c r="DQ73" s="897"/>
      <c r="DR73" s="897"/>
      <c r="DS73" s="897"/>
      <c r="DT73" s="897"/>
      <c r="DU73" s="897"/>
      <c r="DV73" s="897"/>
      <c r="DW73" s="897"/>
    </row>
    <row r="74" spans="2:127" ht="11.25" customHeight="1">
      <c r="B74" s="218"/>
      <c r="C74" s="904" t="s">
        <v>230</v>
      </c>
      <c r="D74" s="905"/>
      <c r="E74" s="905"/>
      <c r="F74" s="905"/>
      <c r="G74" s="905"/>
      <c r="H74" s="905"/>
      <c r="I74" s="906"/>
      <c r="J74" s="907"/>
      <c r="K74" s="917"/>
      <c r="L74" s="98"/>
      <c r="M74" s="908">
        <f>L77</f>
        <v>0</v>
      </c>
      <c r="N74" s="908">
        <f t="shared" ref="N74:BY74" ca="1" si="44">M77</f>
        <v>0</v>
      </c>
      <c r="O74" s="908">
        <f t="shared" ca="1" si="44"/>
        <v>0</v>
      </c>
      <c r="P74" s="908">
        <f t="shared" ca="1" si="44"/>
        <v>0</v>
      </c>
      <c r="Q74" s="908">
        <f t="shared" ca="1" si="44"/>
        <v>-1554691.2224241244</v>
      </c>
      <c r="R74" s="908">
        <f t="shared" ca="1" si="44"/>
        <v>-2690715.4550063224</v>
      </c>
      <c r="S74" s="908">
        <f t="shared" ca="1" si="44"/>
        <v>-3885247.8817847506</v>
      </c>
      <c r="T74" s="908">
        <f t="shared" ca="1" si="44"/>
        <v>-6600247.8817847501</v>
      </c>
      <c r="U74" s="908">
        <f t="shared" ca="1" si="44"/>
        <v>-9202719.8947260194</v>
      </c>
      <c r="V74" s="908">
        <f t="shared" ca="1" si="44"/>
        <v>-10844090.498688849</v>
      </c>
      <c r="W74" s="908">
        <f t="shared" ca="1" si="44"/>
        <v>-10731296.742742233</v>
      </c>
      <c r="X74" s="908">
        <f t="shared" ca="1" si="44"/>
        <v>-10846929.395101778</v>
      </c>
      <c r="Y74" s="908">
        <f t="shared" ca="1" si="44"/>
        <v>-10739065.389507029</v>
      </c>
      <c r="Z74" s="908">
        <f t="shared" ca="1" si="44"/>
        <v>-10849827.695943456</v>
      </c>
      <c r="AA74" s="908">
        <f t="shared" ca="1" si="44"/>
        <v>-10746815.858740663</v>
      </c>
      <c r="AB74" s="908">
        <f t="shared" ca="1" si="44"/>
        <v>-10852786.623297356</v>
      </c>
      <c r="AC74" s="908">
        <f t="shared" ca="1" si="44"/>
        <v>-10528259.681136448</v>
      </c>
      <c r="AD74" s="908">
        <f t="shared" ca="1" si="44"/>
        <v>-10695556.983839834</v>
      </c>
      <c r="AE74" s="908">
        <f t="shared" ca="1" si="44"/>
        <v>-10166508.998259105</v>
      </c>
      <c r="AF74" s="908">
        <f t="shared" ca="1" si="44"/>
        <v>-9422132.609803997</v>
      </c>
      <c r="AG74" s="908">
        <f t="shared" ca="1" si="44"/>
        <v>-8566279.6571320444</v>
      </c>
      <c r="AH74" s="908">
        <f t="shared" ca="1" si="44"/>
        <v>-7583906.9650147511</v>
      </c>
      <c r="AI74" s="908">
        <f t="shared" ca="1" si="44"/>
        <v>-7583906.9650147511</v>
      </c>
      <c r="AJ74" s="908">
        <f t="shared" ca="1" si="44"/>
        <v>-7583906.9650147511</v>
      </c>
      <c r="AK74" s="908">
        <f t="shared" ca="1" si="44"/>
        <v>-7583906.9650147511</v>
      </c>
      <c r="AL74" s="908">
        <f t="shared" ca="1" si="44"/>
        <v>-7583906.9650147511</v>
      </c>
      <c r="AM74" s="908">
        <f t="shared" ca="1" si="44"/>
        <v>-7583906.9650147511</v>
      </c>
      <c r="AN74" s="908">
        <f t="shared" ca="1" si="44"/>
        <v>-7583906.9650147511</v>
      </c>
      <c r="AO74" s="908">
        <f t="shared" ca="1" si="44"/>
        <v>-7583906.9650147511</v>
      </c>
      <c r="AP74" s="908">
        <f t="shared" ca="1" si="44"/>
        <v>-7583906.9650147511</v>
      </c>
      <c r="AQ74" s="908">
        <f t="shared" ca="1" si="44"/>
        <v>-7583906.9650147511</v>
      </c>
      <c r="AR74" s="908">
        <f t="shared" ca="1" si="44"/>
        <v>-7583906.9650147511</v>
      </c>
      <c r="AS74" s="908">
        <f t="shared" ca="1" si="44"/>
        <v>-7583906.9650147511</v>
      </c>
      <c r="AT74" s="908">
        <f t="shared" ca="1" si="44"/>
        <v>-7583906.9650147511</v>
      </c>
      <c r="AU74" s="908">
        <f t="shared" ca="1" si="44"/>
        <v>-7583906.9650147511</v>
      </c>
      <c r="AV74" s="908">
        <f t="shared" ca="1" si="44"/>
        <v>-7583906.9650147511</v>
      </c>
      <c r="AW74" s="908">
        <f t="shared" ca="1" si="44"/>
        <v>-7583906.9650147511</v>
      </c>
      <c r="AX74" s="908">
        <f t="shared" ca="1" si="44"/>
        <v>-7583906.9650147511</v>
      </c>
      <c r="AY74" s="908">
        <f t="shared" ca="1" si="44"/>
        <v>-7583906.9650147511</v>
      </c>
      <c r="AZ74" s="908">
        <f t="shared" ca="1" si="44"/>
        <v>-7583906.9650147511</v>
      </c>
      <c r="BA74" s="908">
        <f t="shared" ca="1" si="44"/>
        <v>-7583906.9650147511</v>
      </c>
      <c r="BB74" s="908">
        <f t="shared" ca="1" si="44"/>
        <v>-7583906.9650147511</v>
      </c>
      <c r="BC74" s="908">
        <f t="shared" ca="1" si="44"/>
        <v>-7583906.9650147511</v>
      </c>
      <c r="BD74" s="908">
        <f t="shared" ca="1" si="44"/>
        <v>-7583906.9650147511</v>
      </c>
      <c r="BE74" s="908">
        <f t="shared" ca="1" si="44"/>
        <v>-7583906.9650147511</v>
      </c>
      <c r="BF74" s="908">
        <f t="shared" ca="1" si="44"/>
        <v>-7583906.9650147511</v>
      </c>
      <c r="BG74" s="908">
        <f t="shared" ca="1" si="44"/>
        <v>-7583906.9650147511</v>
      </c>
      <c r="BH74" s="908">
        <f t="shared" ca="1" si="44"/>
        <v>-7583906.9650147511</v>
      </c>
      <c r="BI74" s="908">
        <f t="shared" ca="1" si="44"/>
        <v>-7583906.9650147511</v>
      </c>
      <c r="BJ74" s="908">
        <f t="shared" ca="1" si="44"/>
        <v>-7583906.9650147511</v>
      </c>
      <c r="BK74" s="908">
        <f t="shared" ca="1" si="44"/>
        <v>-7583906.9650147511</v>
      </c>
      <c r="BL74" s="908">
        <f t="shared" ca="1" si="44"/>
        <v>-7583906.9650147511</v>
      </c>
      <c r="BM74" s="908">
        <f t="shared" ca="1" si="44"/>
        <v>-7583906.9650147511</v>
      </c>
      <c r="BN74" s="908">
        <f t="shared" ca="1" si="44"/>
        <v>-7583906.9650147511</v>
      </c>
      <c r="BO74" s="908">
        <f t="shared" ca="1" si="44"/>
        <v>-7583906.9650147511</v>
      </c>
      <c r="BP74" s="908">
        <f t="shared" ca="1" si="44"/>
        <v>-7583906.9650147511</v>
      </c>
      <c r="BQ74" s="908">
        <f t="shared" ca="1" si="44"/>
        <v>-7583906.9650147511</v>
      </c>
      <c r="BR74" s="908">
        <f t="shared" ca="1" si="44"/>
        <v>-7583906.9650147511</v>
      </c>
      <c r="BS74" s="908">
        <f t="shared" ca="1" si="44"/>
        <v>-7583906.9650147511</v>
      </c>
      <c r="BT74" s="908">
        <f t="shared" ca="1" si="44"/>
        <v>-7583906.9650147511</v>
      </c>
      <c r="BU74" s="908">
        <f t="shared" ca="1" si="44"/>
        <v>-7583906.9650147511</v>
      </c>
      <c r="BV74" s="908">
        <f t="shared" ca="1" si="44"/>
        <v>-7583906.9650147511</v>
      </c>
      <c r="BW74" s="908">
        <f t="shared" ca="1" si="44"/>
        <v>-7583906.9650147511</v>
      </c>
      <c r="BX74" s="908">
        <f t="shared" ca="1" si="44"/>
        <v>-7583906.9650147511</v>
      </c>
      <c r="BY74" s="908">
        <f t="shared" ca="1" si="44"/>
        <v>-7583906.9650147511</v>
      </c>
      <c r="BZ74" s="908">
        <f t="shared" ref="BZ74:DW74" ca="1" si="45">BY77</f>
        <v>-7583906.9650147511</v>
      </c>
      <c r="CA74" s="908">
        <f t="shared" ca="1" si="45"/>
        <v>-7583906.9650147511</v>
      </c>
      <c r="CB74" s="908">
        <f t="shared" ca="1" si="45"/>
        <v>-7583906.9650147511</v>
      </c>
      <c r="CC74" s="908">
        <f t="shared" ca="1" si="45"/>
        <v>-7583906.9650147511</v>
      </c>
      <c r="CD74" s="908">
        <f t="shared" ca="1" si="45"/>
        <v>-7583906.9650147511</v>
      </c>
      <c r="CE74" s="908">
        <f t="shared" ca="1" si="45"/>
        <v>-7583906.9650147511</v>
      </c>
      <c r="CF74" s="908">
        <f t="shared" ca="1" si="45"/>
        <v>-7583906.9650147511</v>
      </c>
      <c r="CG74" s="908">
        <f t="shared" ca="1" si="45"/>
        <v>-7583906.9650147511</v>
      </c>
      <c r="CH74" s="908">
        <f t="shared" ca="1" si="45"/>
        <v>-7583906.9650147511</v>
      </c>
      <c r="CI74" s="908">
        <f t="shared" ca="1" si="45"/>
        <v>-7583906.9650147511</v>
      </c>
      <c r="CJ74" s="908">
        <f t="shared" ca="1" si="45"/>
        <v>-7583906.9650147511</v>
      </c>
      <c r="CK74" s="908">
        <f t="shared" ca="1" si="45"/>
        <v>-7583906.9650147511</v>
      </c>
      <c r="CL74" s="908">
        <f t="shared" ca="1" si="45"/>
        <v>-7583906.9650147511</v>
      </c>
      <c r="CM74" s="908">
        <f t="shared" ca="1" si="45"/>
        <v>-7583906.9650147511</v>
      </c>
      <c r="CN74" s="908">
        <f t="shared" ca="1" si="45"/>
        <v>-7583906.9650147511</v>
      </c>
      <c r="CO74" s="908">
        <f t="shared" ca="1" si="45"/>
        <v>-7583906.9650147511</v>
      </c>
      <c r="CP74" s="908">
        <f t="shared" ca="1" si="45"/>
        <v>-7583906.9650147511</v>
      </c>
      <c r="CQ74" s="908">
        <f t="shared" ca="1" si="45"/>
        <v>-7583906.9650147511</v>
      </c>
      <c r="CR74" s="908">
        <f t="shared" ca="1" si="45"/>
        <v>-7583906.9650147511</v>
      </c>
      <c r="CS74" s="908">
        <f t="shared" ca="1" si="45"/>
        <v>-7583906.9650147511</v>
      </c>
      <c r="CT74" s="908">
        <f t="shared" ca="1" si="45"/>
        <v>-7583906.9650147511</v>
      </c>
      <c r="CU74" s="908">
        <f t="shared" ca="1" si="45"/>
        <v>-7583906.9650147511</v>
      </c>
      <c r="CV74" s="908">
        <f t="shared" ca="1" si="45"/>
        <v>-7583906.9650147511</v>
      </c>
      <c r="CW74" s="908">
        <f t="shared" ca="1" si="45"/>
        <v>-7583906.9650147511</v>
      </c>
      <c r="CX74" s="908">
        <f t="shared" ca="1" si="45"/>
        <v>-7583906.9650147511</v>
      </c>
      <c r="CY74" s="908">
        <f t="shared" ca="1" si="45"/>
        <v>-7583906.9650147511</v>
      </c>
      <c r="CZ74" s="908">
        <f t="shared" ca="1" si="45"/>
        <v>-7583906.9650147511</v>
      </c>
      <c r="DA74" s="908">
        <f t="shared" ca="1" si="45"/>
        <v>-7583906.9650147511</v>
      </c>
      <c r="DB74" s="908">
        <f t="shared" ca="1" si="45"/>
        <v>-7583906.9650147511</v>
      </c>
      <c r="DC74" s="908">
        <f t="shared" ca="1" si="45"/>
        <v>-7583906.9650147511</v>
      </c>
      <c r="DD74" s="908">
        <f t="shared" ca="1" si="45"/>
        <v>-7583906.9650147511</v>
      </c>
      <c r="DE74" s="908">
        <f t="shared" ca="1" si="45"/>
        <v>-7583906.9650147511</v>
      </c>
      <c r="DF74" s="908">
        <f t="shared" ca="1" si="45"/>
        <v>-7583906.9650147511</v>
      </c>
      <c r="DG74" s="908">
        <f t="shared" ca="1" si="45"/>
        <v>-7583906.9650147511</v>
      </c>
      <c r="DH74" s="908">
        <f t="shared" ca="1" si="45"/>
        <v>-7583906.9650147511</v>
      </c>
      <c r="DI74" s="908">
        <f t="shared" ca="1" si="45"/>
        <v>-7583906.9650147511</v>
      </c>
      <c r="DJ74" s="908">
        <f t="shared" ca="1" si="45"/>
        <v>-7583906.9650147511</v>
      </c>
      <c r="DK74" s="908">
        <f t="shared" ca="1" si="45"/>
        <v>-7583906.9650147511</v>
      </c>
      <c r="DL74" s="908">
        <f t="shared" ca="1" si="45"/>
        <v>-7583906.9650147511</v>
      </c>
      <c r="DM74" s="908">
        <f t="shared" ca="1" si="45"/>
        <v>-7583906.9650147511</v>
      </c>
      <c r="DN74" s="908">
        <f t="shared" ca="1" si="45"/>
        <v>-7583906.9650147511</v>
      </c>
      <c r="DO74" s="908">
        <f t="shared" ca="1" si="45"/>
        <v>-7583906.9650147511</v>
      </c>
      <c r="DP74" s="908">
        <f t="shared" ca="1" si="45"/>
        <v>-7583906.9650147511</v>
      </c>
      <c r="DQ74" s="908">
        <f t="shared" ca="1" si="45"/>
        <v>-7583906.9650147511</v>
      </c>
      <c r="DR74" s="908">
        <f t="shared" ca="1" si="45"/>
        <v>-7583906.9650147511</v>
      </c>
      <c r="DS74" s="908">
        <f t="shared" ca="1" si="45"/>
        <v>-7583906.9650147511</v>
      </c>
      <c r="DT74" s="908">
        <f t="shared" ca="1" si="45"/>
        <v>-7583906.9650147511</v>
      </c>
      <c r="DU74" s="908">
        <f t="shared" ca="1" si="45"/>
        <v>-7583906.9650147511</v>
      </c>
      <c r="DV74" s="908">
        <f t="shared" ca="1" si="45"/>
        <v>-7583906.9650147511</v>
      </c>
      <c r="DW74" s="908">
        <f t="shared" ca="1" si="45"/>
        <v>-7583906.9650147511</v>
      </c>
    </row>
    <row r="75" spans="2:127" ht="11.25" customHeight="1">
      <c r="B75" s="218"/>
      <c r="C75" s="911" t="s">
        <v>231</v>
      </c>
      <c r="D75" s="912"/>
      <c r="E75" s="912"/>
      <c r="F75" s="912"/>
      <c r="G75" s="912"/>
      <c r="H75" s="912"/>
      <c r="I75" s="913"/>
      <c r="J75" s="914"/>
      <c r="K75" s="918">
        <f ca="1">SUM(M75:DW75)</f>
        <v>-6473906.9650147511</v>
      </c>
      <c r="L75" s="98"/>
      <c r="M75" s="920">
        <f ca="1">SUMIF('IS(M)'!$M$11:$ER$11,M$7,'IS(M)'!$M89:$ER89)</f>
        <v>0</v>
      </c>
      <c r="N75" s="920">
        <f ca="1">SUMIF('IS(M)'!$M$11:$ER$11,N$7,'IS(M)'!$M89:$ER89)</f>
        <v>555000</v>
      </c>
      <c r="O75" s="920">
        <f ca="1">SUMIF('IS(M)'!$M$11:$ER$11,O$7,'IS(M)'!$M89:$ER89)</f>
        <v>555000</v>
      </c>
      <c r="P75" s="920">
        <f ca="1">SUMIF('IS(M)'!$M$11:$ER$11,P$7,'IS(M)'!$M89:$ER89)</f>
        <v>-1554691.2224241244</v>
      </c>
      <c r="Q75" s="920">
        <f ca="1">SUMIF('IS(M)'!$M$11:$ER$11,Q$7,'IS(M)'!$M89:$ER89)</f>
        <v>-1136024.232582198</v>
      </c>
      <c r="R75" s="920">
        <f ca="1">SUMIF('IS(M)'!$M$11:$ER$11,R$7,'IS(M)'!$M89:$ER89)</f>
        <v>-1194532.4267784283</v>
      </c>
      <c r="S75" s="920">
        <f ca="1">SUMIF('IS(M)'!$M$11:$ER$11,S$7,'IS(M)'!$M89:$ER89)</f>
        <v>-2715000</v>
      </c>
      <c r="T75" s="920">
        <f ca="1">SUMIF('IS(M)'!$M$11:$ER$11,T$7,'IS(M)'!$M89:$ER89)</f>
        <v>-2602472.0129412687</v>
      </c>
      <c r="U75" s="920">
        <f ca="1">SUMIF('IS(M)'!$M$11:$ER$11,U$7,'IS(M)'!$M89:$ER89)</f>
        <v>-1641370.6039628291</v>
      </c>
      <c r="V75" s="920">
        <f ca="1">SUMIF('IS(M)'!$M$11:$ER$11,V$7,'IS(M)'!$M89:$ER89)</f>
        <v>112793.75594661478</v>
      </c>
      <c r="W75" s="920">
        <f ca="1">SUMIF('IS(M)'!$M$11:$ER$11,W$7,'IS(M)'!$M89:$ER89)</f>
        <v>-115632.65235954477</v>
      </c>
      <c r="X75" s="920">
        <f ca="1">SUMIF('IS(M)'!$M$11:$ER$11,X$7,'IS(M)'!$M89:$ER89)</f>
        <v>107864.00559474854</v>
      </c>
      <c r="Y75" s="920">
        <f ca="1">SUMIF('IS(M)'!$M$11:$ER$11,Y$7,'IS(M)'!$M89:$ER89)</f>
        <v>-110762.30643642787</v>
      </c>
      <c r="Z75" s="920">
        <f ca="1">SUMIF('IS(M)'!$M$11:$ER$11,Z$7,'IS(M)'!$M89:$ER89)</f>
        <v>103011.83720279299</v>
      </c>
      <c r="AA75" s="920">
        <f ca="1">SUMIF('IS(M)'!$M$11:$ER$11,AA$7,'IS(M)'!$M89:$ER89)</f>
        <v>-105970.76455669338</v>
      </c>
      <c r="AB75" s="920">
        <f ca="1">SUMIF('IS(M)'!$M$11:$ER$11,AB$7,'IS(M)'!$M89:$ER89)</f>
        <v>324526.94216090767</v>
      </c>
      <c r="AC75" s="920">
        <f ca="1">SUMIF('IS(M)'!$M$11:$ER$11,AC$7,'IS(M)'!$M89:$ER89)</f>
        <v>-167297.30270338617</v>
      </c>
      <c r="AD75" s="920">
        <f ca="1">SUMIF('IS(M)'!$M$11:$ER$11,AD$7,'IS(M)'!$M89:$ER89)</f>
        <v>529047.98558072885</v>
      </c>
      <c r="AE75" s="920">
        <f ca="1">SUMIF('IS(M)'!$M$11:$ER$11,AE$7,'IS(M)'!$M89:$ER89)</f>
        <v>744376.38845510781</v>
      </c>
      <c r="AF75" s="920">
        <f ca="1">SUMIF('IS(M)'!$M$11:$ER$11,AF$7,'IS(M)'!$M89:$ER89)</f>
        <v>855852.95267195255</v>
      </c>
      <c r="AG75" s="920">
        <f ca="1">SUMIF('IS(M)'!$M$11:$ER$11,AG$7,'IS(M)'!$M89:$ER89)</f>
        <v>982372.69211729337</v>
      </c>
      <c r="AH75" s="920">
        <f ca="1">SUMIF('IS(M)'!$M$11:$ER$11,AH$7,'IS(M)'!$M89:$ER89)</f>
        <v>0</v>
      </c>
      <c r="AI75" s="920">
        <f ca="1">SUMIF('IS(M)'!$M$11:$ER$11,AI$7,'IS(M)'!$M89:$ER89)</f>
        <v>0</v>
      </c>
      <c r="AJ75" s="920">
        <f ca="1">SUMIF('IS(M)'!$M$11:$ER$11,AJ$7,'IS(M)'!$M89:$ER89)</f>
        <v>0</v>
      </c>
      <c r="AK75" s="920">
        <f>SUMIF('IS(M)'!$M$11:$ER$11,AK$7,'IS(M)'!$M89:$ER89)</f>
        <v>0</v>
      </c>
      <c r="AL75" s="920">
        <f>SUMIF('IS(M)'!$M$11:$ER$11,AL$7,'IS(M)'!$M89:$ER89)</f>
        <v>0</v>
      </c>
      <c r="AM75" s="920">
        <f>SUMIF('IS(M)'!$M$11:$ER$11,AM$7,'IS(M)'!$M89:$ER89)</f>
        <v>0</v>
      </c>
      <c r="AN75" s="920">
        <f>SUMIF('IS(M)'!$M$11:$ER$11,AN$7,'IS(M)'!$M89:$ER89)</f>
        <v>0</v>
      </c>
      <c r="AO75" s="920">
        <f>SUMIF('IS(M)'!$M$11:$ER$11,AO$7,'IS(M)'!$M89:$ER89)</f>
        <v>0</v>
      </c>
      <c r="AP75" s="920">
        <f>SUMIF('IS(M)'!$M$11:$ER$11,AP$7,'IS(M)'!$M89:$ER89)</f>
        <v>0</v>
      </c>
      <c r="AQ75" s="920">
        <f>SUMIF('IS(M)'!$M$11:$ER$11,AQ$7,'IS(M)'!$M89:$ER89)</f>
        <v>0</v>
      </c>
      <c r="AR75" s="920">
        <f>SUMIF('IS(M)'!$M$11:$ER$11,AR$7,'IS(M)'!$M89:$ER89)</f>
        <v>0</v>
      </c>
      <c r="AS75" s="920">
        <f>SUMIF('IS(M)'!$M$11:$ER$11,AS$7,'IS(M)'!$M89:$ER89)</f>
        <v>0</v>
      </c>
      <c r="AT75" s="920">
        <f>SUMIF('IS(M)'!$M$11:$ER$11,AT$7,'IS(M)'!$M89:$ER89)</f>
        <v>0</v>
      </c>
      <c r="AU75" s="920">
        <f>SUMIF('IS(M)'!$M$11:$ER$11,AU$7,'IS(M)'!$M89:$ER89)</f>
        <v>0</v>
      </c>
      <c r="AV75" s="920">
        <f>SUMIF('IS(M)'!$M$11:$ER$11,AV$7,'IS(M)'!$M89:$ER89)</f>
        <v>0</v>
      </c>
      <c r="AW75" s="920">
        <f>SUMIF('IS(M)'!$M$11:$ER$11,AW$7,'IS(M)'!$M89:$ER89)</f>
        <v>0</v>
      </c>
      <c r="AX75" s="920">
        <f>SUMIF('IS(M)'!$M$11:$ER$11,AX$7,'IS(M)'!$M89:$ER89)</f>
        <v>0</v>
      </c>
      <c r="AY75" s="920">
        <f>SUMIF('IS(M)'!$M$11:$ER$11,AY$7,'IS(M)'!$M89:$ER89)</f>
        <v>0</v>
      </c>
      <c r="AZ75" s="920">
        <f>SUMIF('IS(M)'!$M$11:$ER$11,AZ$7,'IS(M)'!$M89:$ER89)</f>
        <v>0</v>
      </c>
      <c r="BA75" s="920">
        <f>SUMIF('IS(M)'!$M$11:$ER$11,BA$7,'IS(M)'!$M89:$ER89)</f>
        <v>0</v>
      </c>
      <c r="BB75" s="920">
        <f>SUMIF('IS(M)'!$M$11:$ER$11,BB$7,'IS(M)'!$M89:$ER89)</f>
        <v>0</v>
      </c>
      <c r="BC75" s="920">
        <f>SUMIF('IS(M)'!$M$11:$ER$11,BC$7,'IS(M)'!$M89:$ER89)</f>
        <v>0</v>
      </c>
      <c r="BD75" s="920">
        <f>SUMIF('IS(M)'!$M$11:$ER$11,BD$7,'IS(M)'!$M89:$ER89)</f>
        <v>0</v>
      </c>
      <c r="BE75" s="920">
        <f>SUMIF('IS(M)'!$M$11:$ER$11,BE$7,'IS(M)'!$M89:$ER89)</f>
        <v>0</v>
      </c>
      <c r="BF75" s="920">
        <f>SUMIF('IS(M)'!$M$11:$ER$11,BF$7,'IS(M)'!$M89:$ER89)</f>
        <v>0</v>
      </c>
      <c r="BG75" s="920">
        <f>SUMIF('IS(M)'!$M$11:$ER$11,BG$7,'IS(M)'!$M89:$ER89)</f>
        <v>0</v>
      </c>
      <c r="BH75" s="920">
        <f>SUMIF('IS(M)'!$M$11:$ER$11,BH$7,'IS(M)'!$M89:$ER89)</f>
        <v>0</v>
      </c>
      <c r="BI75" s="920">
        <f>SUMIF('IS(M)'!$M$11:$ER$11,BI$7,'IS(M)'!$M89:$ER89)</f>
        <v>0</v>
      </c>
      <c r="BJ75" s="920">
        <f>SUMIF('IS(M)'!$M$11:$ER$11,BJ$7,'IS(M)'!$M89:$ER89)</f>
        <v>0</v>
      </c>
      <c r="BK75" s="920">
        <f>SUMIF('IS(M)'!$M$11:$ER$11,BK$7,'IS(M)'!$M89:$ER89)</f>
        <v>0</v>
      </c>
      <c r="BL75" s="920">
        <f>SUMIF('IS(M)'!$M$11:$ER$11,BL$7,'IS(M)'!$M89:$ER89)</f>
        <v>0</v>
      </c>
      <c r="BM75" s="920">
        <f>SUMIF('IS(M)'!$M$11:$ER$11,BM$7,'IS(M)'!$M89:$ER89)</f>
        <v>0</v>
      </c>
      <c r="BN75" s="920">
        <f>SUMIF('IS(M)'!$M$11:$ER$11,BN$7,'IS(M)'!$M89:$ER89)</f>
        <v>0</v>
      </c>
      <c r="BO75" s="920">
        <f>SUMIF('IS(M)'!$M$11:$ER$11,BO$7,'IS(M)'!$M89:$ER89)</f>
        <v>0</v>
      </c>
      <c r="BP75" s="920">
        <f>SUMIF('IS(M)'!$M$11:$ER$11,BP$7,'IS(M)'!$M89:$ER89)</f>
        <v>0</v>
      </c>
      <c r="BQ75" s="920">
        <f>SUMIF('IS(M)'!$M$11:$ER$11,BQ$7,'IS(M)'!$M89:$ER89)</f>
        <v>0</v>
      </c>
      <c r="BR75" s="920">
        <f>SUMIF('IS(M)'!$M$11:$ER$11,BR$7,'IS(M)'!$M89:$ER89)</f>
        <v>0</v>
      </c>
      <c r="BS75" s="920">
        <f>SUMIF('IS(M)'!$M$11:$ER$11,BS$7,'IS(M)'!$M89:$ER89)</f>
        <v>0</v>
      </c>
      <c r="BT75" s="920">
        <f>SUMIF('IS(M)'!$M$11:$ER$11,BT$7,'IS(M)'!$M89:$ER89)</f>
        <v>0</v>
      </c>
      <c r="BU75" s="920">
        <f>SUMIF('IS(M)'!$M$11:$ER$11,BU$7,'IS(M)'!$M89:$ER89)</f>
        <v>0</v>
      </c>
      <c r="BV75" s="920">
        <f>SUMIF('IS(M)'!$M$11:$ER$11,BV$7,'IS(M)'!$M89:$ER89)</f>
        <v>0</v>
      </c>
      <c r="BW75" s="920">
        <f>SUMIF('IS(M)'!$M$11:$ER$11,BW$7,'IS(M)'!$M89:$ER89)</f>
        <v>0</v>
      </c>
      <c r="BX75" s="920">
        <f>SUMIF('IS(M)'!$M$11:$ER$11,BX$7,'IS(M)'!$M89:$ER89)</f>
        <v>0</v>
      </c>
      <c r="BY75" s="920">
        <f>SUMIF('IS(M)'!$M$11:$ER$11,BY$7,'IS(M)'!$M89:$ER89)</f>
        <v>0</v>
      </c>
      <c r="BZ75" s="920">
        <f>SUMIF('IS(M)'!$M$11:$ER$11,BZ$7,'IS(M)'!$M89:$ER89)</f>
        <v>0</v>
      </c>
      <c r="CA75" s="920">
        <f>SUMIF('IS(M)'!$M$11:$ER$11,CA$7,'IS(M)'!$M89:$ER89)</f>
        <v>0</v>
      </c>
      <c r="CB75" s="920">
        <f>SUMIF('IS(M)'!$M$11:$ER$11,CB$7,'IS(M)'!$M89:$ER89)</f>
        <v>0</v>
      </c>
      <c r="CC75" s="920">
        <f>SUMIF('IS(M)'!$M$11:$ER$11,CC$7,'IS(M)'!$M89:$ER89)</f>
        <v>0</v>
      </c>
      <c r="CD75" s="920">
        <f>SUMIF('IS(M)'!$M$11:$ER$11,CD$7,'IS(M)'!$M89:$ER89)</f>
        <v>0</v>
      </c>
      <c r="CE75" s="920">
        <f>SUMIF('IS(M)'!$M$11:$ER$11,CE$7,'IS(M)'!$M89:$ER89)</f>
        <v>0</v>
      </c>
      <c r="CF75" s="920">
        <f>SUMIF('IS(M)'!$M$11:$ER$11,CF$7,'IS(M)'!$M89:$ER89)</f>
        <v>0</v>
      </c>
      <c r="CG75" s="920">
        <f>SUMIF('IS(M)'!$M$11:$ER$11,CG$7,'IS(M)'!$M89:$ER89)</f>
        <v>0</v>
      </c>
      <c r="CH75" s="920">
        <f>SUMIF('IS(M)'!$M$11:$ER$11,CH$7,'IS(M)'!$M89:$ER89)</f>
        <v>0</v>
      </c>
      <c r="CI75" s="920">
        <f>SUMIF('IS(M)'!$M$11:$ER$11,CI$7,'IS(M)'!$M89:$ER89)</f>
        <v>0</v>
      </c>
      <c r="CJ75" s="920">
        <f>SUMIF('IS(M)'!$M$11:$ER$11,CJ$7,'IS(M)'!$M89:$ER89)</f>
        <v>0</v>
      </c>
      <c r="CK75" s="920">
        <f>SUMIF('IS(M)'!$M$11:$ER$11,CK$7,'IS(M)'!$M89:$ER89)</f>
        <v>0</v>
      </c>
      <c r="CL75" s="920">
        <f>SUMIF('IS(M)'!$M$11:$ER$11,CL$7,'IS(M)'!$M89:$ER89)</f>
        <v>0</v>
      </c>
      <c r="CM75" s="920">
        <f>SUMIF('IS(M)'!$M$11:$ER$11,CM$7,'IS(M)'!$M89:$ER89)</f>
        <v>0</v>
      </c>
      <c r="CN75" s="920">
        <f>SUMIF('IS(M)'!$M$11:$ER$11,CN$7,'IS(M)'!$M89:$ER89)</f>
        <v>0</v>
      </c>
      <c r="CO75" s="920">
        <f>SUMIF('IS(M)'!$M$11:$ER$11,CO$7,'IS(M)'!$M89:$ER89)</f>
        <v>0</v>
      </c>
      <c r="CP75" s="920">
        <f>SUMIF('IS(M)'!$M$11:$ER$11,CP$7,'IS(M)'!$M89:$ER89)</f>
        <v>0</v>
      </c>
      <c r="CQ75" s="920">
        <f>SUMIF('IS(M)'!$M$11:$ER$11,CQ$7,'IS(M)'!$M89:$ER89)</f>
        <v>0</v>
      </c>
      <c r="CR75" s="920">
        <f>SUMIF('IS(M)'!$M$11:$ER$11,CR$7,'IS(M)'!$M89:$ER89)</f>
        <v>0</v>
      </c>
      <c r="CS75" s="920">
        <f>SUMIF('IS(M)'!$M$11:$ER$11,CS$7,'IS(M)'!$M89:$ER89)</f>
        <v>0</v>
      </c>
      <c r="CT75" s="920">
        <f>SUMIF('IS(M)'!$M$11:$ER$11,CT$7,'IS(M)'!$M89:$ER89)</f>
        <v>0</v>
      </c>
      <c r="CU75" s="920">
        <f>SUMIF('IS(M)'!$M$11:$ER$11,CU$7,'IS(M)'!$M89:$ER89)</f>
        <v>0</v>
      </c>
      <c r="CV75" s="920">
        <f>SUMIF('IS(M)'!$M$11:$ER$11,CV$7,'IS(M)'!$M89:$ER89)</f>
        <v>0</v>
      </c>
      <c r="CW75" s="920">
        <f>SUMIF('IS(M)'!$M$11:$ER$11,CW$7,'IS(M)'!$M89:$ER89)</f>
        <v>0</v>
      </c>
      <c r="CX75" s="920">
        <f>SUMIF('IS(M)'!$M$11:$ER$11,CX$7,'IS(M)'!$M89:$ER89)</f>
        <v>0</v>
      </c>
      <c r="CY75" s="920">
        <f>SUMIF('IS(M)'!$M$11:$ER$11,CY$7,'IS(M)'!$M89:$ER89)</f>
        <v>0</v>
      </c>
      <c r="CZ75" s="920">
        <f>SUMIF('IS(M)'!$M$11:$ER$11,CZ$7,'IS(M)'!$M89:$ER89)</f>
        <v>0</v>
      </c>
      <c r="DA75" s="920">
        <f>SUMIF('IS(M)'!$M$11:$ER$11,DA$7,'IS(M)'!$M89:$ER89)</f>
        <v>0</v>
      </c>
      <c r="DB75" s="920">
        <f>SUMIF('IS(M)'!$M$11:$ER$11,DB$7,'IS(M)'!$M89:$ER89)</f>
        <v>0</v>
      </c>
      <c r="DC75" s="920">
        <f>SUMIF('IS(M)'!$M$11:$ER$11,DC$7,'IS(M)'!$M89:$ER89)</f>
        <v>0</v>
      </c>
      <c r="DD75" s="920">
        <f>SUMIF('IS(M)'!$M$11:$ER$11,DD$7,'IS(M)'!$M89:$ER89)</f>
        <v>0</v>
      </c>
      <c r="DE75" s="920">
        <f>SUMIF('IS(M)'!$M$11:$ER$11,DE$7,'IS(M)'!$M89:$ER89)</f>
        <v>0</v>
      </c>
      <c r="DF75" s="920">
        <f>SUMIF('IS(M)'!$M$11:$ER$11,DF$7,'IS(M)'!$M89:$ER89)</f>
        <v>0</v>
      </c>
      <c r="DG75" s="920">
        <f>SUMIF('IS(M)'!$M$11:$ER$11,DG$7,'IS(M)'!$M89:$ER89)</f>
        <v>0</v>
      </c>
      <c r="DH75" s="920">
        <f>SUMIF('IS(M)'!$M$11:$ER$11,DH$7,'IS(M)'!$M89:$ER89)</f>
        <v>0</v>
      </c>
      <c r="DI75" s="920">
        <f>SUMIF('IS(M)'!$M$11:$ER$11,DI$7,'IS(M)'!$M89:$ER89)</f>
        <v>0</v>
      </c>
      <c r="DJ75" s="920">
        <f>SUMIF('IS(M)'!$M$11:$ER$11,DJ$7,'IS(M)'!$M89:$ER89)</f>
        <v>0</v>
      </c>
      <c r="DK75" s="920">
        <f>SUMIF('IS(M)'!$M$11:$ER$11,DK$7,'IS(M)'!$M89:$ER89)</f>
        <v>0</v>
      </c>
      <c r="DL75" s="920">
        <f>SUMIF('IS(M)'!$M$11:$ER$11,DL$7,'IS(M)'!$M89:$ER89)</f>
        <v>0</v>
      </c>
      <c r="DM75" s="920">
        <f>SUMIF('IS(M)'!$M$11:$ER$11,DM$7,'IS(M)'!$M89:$ER89)</f>
        <v>0</v>
      </c>
      <c r="DN75" s="920">
        <f>SUMIF('IS(M)'!$M$11:$ER$11,DN$7,'IS(M)'!$M89:$ER89)</f>
        <v>0</v>
      </c>
      <c r="DO75" s="920">
        <f>SUMIF('IS(M)'!$M$11:$ER$11,DO$7,'IS(M)'!$M89:$ER89)</f>
        <v>0</v>
      </c>
      <c r="DP75" s="920">
        <f>SUMIF('IS(M)'!$M$11:$ER$11,DP$7,'IS(M)'!$M89:$ER89)</f>
        <v>0</v>
      </c>
      <c r="DQ75" s="920">
        <f>SUMIF('IS(M)'!$M$11:$ER$11,DQ$7,'IS(M)'!$M89:$ER89)</f>
        <v>0</v>
      </c>
      <c r="DR75" s="920">
        <f>SUMIF('IS(M)'!$M$11:$ER$11,DR$7,'IS(M)'!$M89:$ER89)</f>
        <v>0</v>
      </c>
      <c r="DS75" s="920">
        <f>SUMIF('IS(M)'!$M$11:$ER$11,DS$7,'IS(M)'!$M89:$ER89)</f>
        <v>0</v>
      </c>
      <c r="DT75" s="920">
        <f>SUMIF('IS(M)'!$M$11:$ER$11,DT$7,'IS(M)'!$M89:$ER89)</f>
        <v>0</v>
      </c>
      <c r="DU75" s="920">
        <f>SUMIF('IS(M)'!$M$11:$ER$11,DU$7,'IS(M)'!$M89:$ER89)</f>
        <v>0</v>
      </c>
      <c r="DV75" s="920">
        <f>SUMIF('IS(M)'!$M$11:$ER$11,DV$7,'IS(M)'!$M89:$ER89)</f>
        <v>0</v>
      </c>
      <c r="DW75" s="920">
        <f>SUMIF('IS(M)'!$M$11:$ER$11,DW$7,'IS(M)'!$M89:$ER89)</f>
        <v>0</v>
      </c>
    </row>
    <row r="76" spans="2:127" ht="11.25" customHeight="1">
      <c r="B76" s="218"/>
      <c r="C76" s="911" t="s">
        <v>232</v>
      </c>
      <c r="D76" s="912"/>
      <c r="E76" s="912"/>
      <c r="F76" s="912"/>
      <c r="G76" s="912"/>
      <c r="H76" s="912"/>
      <c r="I76" s="913"/>
      <c r="J76" s="914"/>
      <c r="K76" s="918">
        <f ca="1">SUM(M76:DW76)</f>
        <v>1110000</v>
      </c>
      <c r="L76" s="98"/>
      <c r="M76" s="920">
        <f ca="1">SUMIF('IS(M)'!$M$11:$ER$11,M$7,'IS(M)'!$M90:$ER90)</f>
        <v>0</v>
      </c>
      <c r="N76" s="920">
        <f ca="1">SUMIF('IS(M)'!$M$11:$ER$11,N$7,'IS(M)'!$M90:$ER90)</f>
        <v>555000</v>
      </c>
      <c r="O76" s="920">
        <f ca="1">SUMIF('IS(M)'!$M$11:$ER$11,O$7,'IS(M)'!$M90:$ER90)</f>
        <v>555000</v>
      </c>
      <c r="P76" s="920">
        <f ca="1">SUMIF('IS(M)'!$M$11:$ER$11,P$7,'IS(M)'!$M90:$ER90)</f>
        <v>0</v>
      </c>
      <c r="Q76" s="920">
        <f ca="1">SUMIF('IS(M)'!$M$11:$ER$11,Q$7,'IS(M)'!$M90:$ER90)</f>
        <v>0</v>
      </c>
      <c r="R76" s="920">
        <f ca="1">SUMIF('IS(M)'!$M$11:$ER$11,R$7,'IS(M)'!$M90:$ER90)</f>
        <v>0</v>
      </c>
      <c r="S76" s="920">
        <f ca="1">SUMIF('IS(M)'!$M$11:$ER$11,S$7,'IS(M)'!$M90:$ER90)</f>
        <v>0</v>
      </c>
      <c r="T76" s="920">
        <f ca="1">SUMIF('IS(M)'!$M$11:$ER$11,T$7,'IS(M)'!$M90:$ER90)</f>
        <v>0</v>
      </c>
      <c r="U76" s="920">
        <f ca="1">SUMIF('IS(M)'!$M$11:$ER$11,U$7,'IS(M)'!$M90:$ER90)</f>
        <v>0</v>
      </c>
      <c r="V76" s="920">
        <f ca="1">SUMIF('IS(M)'!$M$11:$ER$11,V$7,'IS(M)'!$M90:$ER90)</f>
        <v>0</v>
      </c>
      <c r="W76" s="920">
        <f ca="1">SUMIF('IS(M)'!$M$11:$ER$11,W$7,'IS(M)'!$M90:$ER90)</f>
        <v>0</v>
      </c>
      <c r="X76" s="920">
        <f ca="1">SUMIF('IS(M)'!$M$11:$ER$11,X$7,'IS(M)'!$M90:$ER90)</f>
        <v>0</v>
      </c>
      <c r="Y76" s="920">
        <f ca="1">SUMIF('IS(M)'!$M$11:$ER$11,Y$7,'IS(M)'!$M90:$ER90)</f>
        <v>0</v>
      </c>
      <c r="Z76" s="920">
        <f ca="1">SUMIF('IS(M)'!$M$11:$ER$11,Z$7,'IS(M)'!$M90:$ER90)</f>
        <v>0</v>
      </c>
      <c r="AA76" s="920">
        <f ca="1">SUMIF('IS(M)'!$M$11:$ER$11,AA$7,'IS(M)'!$M90:$ER90)</f>
        <v>0</v>
      </c>
      <c r="AB76" s="920">
        <f ca="1">SUMIF('IS(M)'!$M$11:$ER$11,AB$7,'IS(M)'!$M90:$ER90)</f>
        <v>0</v>
      </c>
      <c r="AC76" s="920">
        <f ca="1">SUMIF('IS(M)'!$M$11:$ER$11,AC$7,'IS(M)'!$M90:$ER90)</f>
        <v>0</v>
      </c>
      <c r="AD76" s="920">
        <f ca="1">SUMIF('IS(M)'!$M$11:$ER$11,AD$7,'IS(M)'!$M90:$ER90)</f>
        <v>0</v>
      </c>
      <c r="AE76" s="920">
        <f ca="1">SUMIF('IS(M)'!$M$11:$ER$11,AE$7,'IS(M)'!$M90:$ER90)</f>
        <v>0</v>
      </c>
      <c r="AF76" s="920">
        <f ca="1">SUMIF('IS(M)'!$M$11:$ER$11,AF$7,'IS(M)'!$M90:$ER90)</f>
        <v>0</v>
      </c>
      <c r="AG76" s="920">
        <f ca="1">SUMIF('IS(M)'!$M$11:$ER$11,AG$7,'IS(M)'!$M90:$ER90)</f>
        <v>0</v>
      </c>
      <c r="AH76" s="920">
        <f ca="1">SUMIF('IS(M)'!$M$11:$ER$11,AH$7,'IS(M)'!$M90:$ER90)</f>
        <v>0</v>
      </c>
      <c r="AI76" s="920">
        <f ca="1">SUMIF('IS(M)'!$M$11:$ER$11,AI$7,'IS(M)'!$M90:$ER90)</f>
        <v>0</v>
      </c>
      <c r="AJ76" s="920">
        <f ca="1">SUMIF('IS(M)'!$M$11:$ER$11,AJ$7,'IS(M)'!$M90:$ER90)</f>
        <v>0</v>
      </c>
      <c r="AK76" s="920">
        <f>SUMIF('IS(M)'!$M$11:$ER$11,AK$7,'IS(M)'!$M90:$ER90)</f>
        <v>0</v>
      </c>
      <c r="AL76" s="920">
        <f>SUMIF('IS(M)'!$M$11:$ER$11,AL$7,'IS(M)'!$M90:$ER90)</f>
        <v>0</v>
      </c>
      <c r="AM76" s="920">
        <f>SUMIF('IS(M)'!$M$11:$ER$11,AM$7,'IS(M)'!$M90:$ER90)</f>
        <v>0</v>
      </c>
      <c r="AN76" s="920">
        <f>SUMIF('IS(M)'!$M$11:$ER$11,AN$7,'IS(M)'!$M90:$ER90)</f>
        <v>0</v>
      </c>
      <c r="AO76" s="920">
        <f>SUMIF('IS(M)'!$M$11:$ER$11,AO$7,'IS(M)'!$M90:$ER90)</f>
        <v>0</v>
      </c>
      <c r="AP76" s="920">
        <f>SUMIF('IS(M)'!$M$11:$ER$11,AP$7,'IS(M)'!$M90:$ER90)</f>
        <v>0</v>
      </c>
      <c r="AQ76" s="920">
        <f>SUMIF('IS(M)'!$M$11:$ER$11,AQ$7,'IS(M)'!$M90:$ER90)</f>
        <v>0</v>
      </c>
      <c r="AR76" s="920">
        <f>SUMIF('IS(M)'!$M$11:$ER$11,AR$7,'IS(M)'!$M90:$ER90)</f>
        <v>0</v>
      </c>
      <c r="AS76" s="920">
        <f>SUMIF('IS(M)'!$M$11:$ER$11,AS$7,'IS(M)'!$M90:$ER90)</f>
        <v>0</v>
      </c>
      <c r="AT76" s="920">
        <f>SUMIF('IS(M)'!$M$11:$ER$11,AT$7,'IS(M)'!$M90:$ER90)</f>
        <v>0</v>
      </c>
      <c r="AU76" s="920">
        <f>SUMIF('IS(M)'!$M$11:$ER$11,AU$7,'IS(M)'!$M90:$ER90)</f>
        <v>0</v>
      </c>
      <c r="AV76" s="920">
        <f>SUMIF('IS(M)'!$M$11:$ER$11,AV$7,'IS(M)'!$M90:$ER90)</f>
        <v>0</v>
      </c>
      <c r="AW76" s="920">
        <f>SUMIF('IS(M)'!$M$11:$ER$11,AW$7,'IS(M)'!$M90:$ER90)</f>
        <v>0</v>
      </c>
      <c r="AX76" s="920">
        <f>SUMIF('IS(M)'!$M$11:$ER$11,AX$7,'IS(M)'!$M90:$ER90)</f>
        <v>0</v>
      </c>
      <c r="AY76" s="920">
        <f>SUMIF('IS(M)'!$M$11:$ER$11,AY$7,'IS(M)'!$M90:$ER90)</f>
        <v>0</v>
      </c>
      <c r="AZ76" s="920">
        <f>SUMIF('IS(M)'!$M$11:$ER$11,AZ$7,'IS(M)'!$M90:$ER90)</f>
        <v>0</v>
      </c>
      <c r="BA76" s="920">
        <f>SUMIF('IS(M)'!$M$11:$ER$11,BA$7,'IS(M)'!$M90:$ER90)</f>
        <v>0</v>
      </c>
      <c r="BB76" s="920">
        <f>SUMIF('IS(M)'!$M$11:$ER$11,BB$7,'IS(M)'!$M90:$ER90)</f>
        <v>0</v>
      </c>
      <c r="BC76" s="920">
        <f>SUMIF('IS(M)'!$M$11:$ER$11,BC$7,'IS(M)'!$M90:$ER90)</f>
        <v>0</v>
      </c>
      <c r="BD76" s="920">
        <f>SUMIF('IS(M)'!$M$11:$ER$11,BD$7,'IS(M)'!$M90:$ER90)</f>
        <v>0</v>
      </c>
      <c r="BE76" s="920">
        <f>SUMIF('IS(M)'!$M$11:$ER$11,BE$7,'IS(M)'!$M90:$ER90)</f>
        <v>0</v>
      </c>
      <c r="BF76" s="920">
        <f>SUMIF('IS(M)'!$M$11:$ER$11,BF$7,'IS(M)'!$M90:$ER90)</f>
        <v>0</v>
      </c>
      <c r="BG76" s="920">
        <f>SUMIF('IS(M)'!$M$11:$ER$11,BG$7,'IS(M)'!$M90:$ER90)</f>
        <v>0</v>
      </c>
      <c r="BH76" s="920">
        <f>SUMIF('IS(M)'!$M$11:$ER$11,BH$7,'IS(M)'!$M90:$ER90)</f>
        <v>0</v>
      </c>
      <c r="BI76" s="920">
        <f>SUMIF('IS(M)'!$M$11:$ER$11,BI$7,'IS(M)'!$M90:$ER90)</f>
        <v>0</v>
      </c>
      <c r="BJ76" s="920">
        <f>SUMIF('IS(M)'!$M$11:$ER$11,BJ$7,'IS(M)'!$M90:$ER90)</f>
        <v>0</v>
      </c>
      <c r="BK76" s="920">
        <f>SUMIF('IS(M)'!$M$11:$ER$11,BK$7,'IS(M)'!$M90:$ER90)</f>
        <v>0</v>
      </c>
      <c r="BL76" s="920">
        <f>SUMIF('IS(M)'!$M$11:$ER$11,BL$7,'IS(M)'!$M90:$ER90)</f>
        <v>0</v>
      </c>
      <c r="BM76" s="920">
        <f>SUMIF('IS(M)'!$M$11:$ER$11,BM$7,'IS(M)'!$M90:$ER90)</f>
        <v>0</v>
      </c>
      <c r="BN76" s="920">
        <f>SUMIF('IS(M)'!$M$11:$ER$11,BN$7,'IS(M)'!$M90:$ER90)</f>
        <v>0</v>
      </c>
      <c r="BO76" s="920">
        <f>SUMIF('IS(M)'!$M$11:$ER$11,BO$7,'IS(M)'!$M90:$ER90)</f>
        <v>0</v>
      </c>
      <c r="BP76" s="920">
        <f>SUMIF('IS(M)'!$M$11:$ER$11,BP$7,'IS(M)'!$M90:$ER90)</f>
        <v>0</v>
      </c>
      <c r="BQ76" s="920">
        <f>SUMIF('IS(M)'!$M$11:$ER$11,BQ$7,'IS(M)'!$M90:$ER90)</f>
        <v>0</v>
      </c>
      <c r="BR76" s="920">
        <f>SUMIF('IS(M)'!$M$11:$ER$11,BR$7,'IS(M)'!$M90:$ER90)</f>
        <v>0</v>
      </c>
      <c r="BS76" s="920">
        <f>SUMIF('IS(M)'!$M$11:$ER$11,BS$7,'IS(M)'!$M90:$ER90)</f>
        <v>0</v>
      </c>
      <c r="BT76" s="920">
        <f>SUMIF('IS(M)'!$M$11:$ER$11,BT$7,'IS(M)'!$M90:$ER90)</f>
        <v>0</v>
      </c>
      <c r="BU76" s="920">
        <f>SUMIF('IS(M)'!$M$11:$ER$11,BU$7,'IS(M)'!$M90:$ER90)</f>
        <v>0</v>
      </c>
      <c r="BV76" s="920">
        <f>SUMIF('IS(M)'!$M$11:$ER$11,BV$7,'IS(M)'!$M90:$ER90)</f>
        <v>0</v>
      </c>
      <c r="BW76" s="920">
        <f>SUMIF('IS(M)'!$M$11:$ER$11,BW$7,'IS(M)'!$M90:$ER90)</f>
        <v>0</v>
      </c>
      <c r="BX76" s="920">
        <f>SUMIF('IS(M)'!$M$11:$ER$11,BX$7,'IS(M)'!$M90:$ER90)</f>
        <v>0</v>
      </c>
      <c r="BY76" s="920">
        <f>SUMIF('IS(M)'!$M$11:$ER$11,BY$7,'IS(M)'!$M90:$ER90)</f>
        <v>0</v>
      </c>
      <c r="BZ76" s="920">
        <f>SUMIF('IS(M)'!$M$11:$ER$11,BZ$7,'IS(M)'!$M90:$ER90)</f>
        <v>0</v>
      </c>
      <c r="CA76" s="920">
        <f>SUMIF('IS(M)'!$M$11:$ER$11,CA$7,'IS(M)'!$M90:$ER90)</f>
        <v>0</v>
      </c>
      <c r="CB76" s="920">
        <f>SUMIF('IS(M)'!$M$11:$ER$11,CB$7,'IS(M)'!$M90:$ER90)</f>
        <v>0</v>
      </c>
      <c r="CC76" s="920">
        <f>SUMIF('IS(M)'!$M$11:$ER$11,CC$7,'IS(M)'!$M90:$ER90)</f>
        <v>0</v>
      </c>
      <c r="CD76" s="920">
        <f>SUMIF('IS(M)'!$M$11:$ER$11,CD$7,'IS(M)'!$M90:$ER90)</f>
        <v>0</v>
      </c>
      <c r="CE76" s="920">
        <f>SUMIF('IS(M)'!$M$11:$ER$11,CE$7,'IS(M)'!$M90:$ER90)</f>
        <v>0</v>
      </c>
      <c r="CF76" s="920">
        <f>SUMIF('IS(M)'!$M$11:$ER$11,CF$7,'IS(M)'!$M90:$ER90)</f>
        <v>0</v>
      </c>
      <c r="CG76" s="920">
        <f>SUMIF('IS(M)'!$M$11:$ER$11,CG$7,'IS(M)'!$M90:$ER90)</f>
        <v>0</v>
      </c>
      <c r="CH76" s="920">
        <f>SUMIF('IS(M)'!$M$11:$ER$11,CH$7,'IS(M)'!$M90:$ER90)</f>
        <v>0</v>
      </c>
      <c r="CI76" s="920">
        <f>SUMIF('IS(M)'!$M$11:$ER$11,CI$7,'IS(M)'!$M90:$ER90)</f>
        <v>0</v>
      </c>
      <c r="CJ76" s="920">
        <f>SUMIF('IS(M)'!$M$11:$ER$11,CJ$7,'IS(M)'!$M90:$ER90)</f>
        <v>0</v>
      </c>
      <c r="CK76" s="920">
        <f>SUMIF('IS(M)'!$M$11:$ER$11,CK$7,'IS(M)'!$M90:$ER90)</f>
        <v>0</v>
      </c>
      <c r="CL76" s="920">
        <f>SUMIF('IS(M)'!$M$11:$ER$11,CL$7,'IS(M)'!$M90:$ER90)</f>
        <v>0</v>
      </c>
      <c r="CM76" s="920">
        <f>SUMIF('IS(M)'!$M$11:$ER$11,CM$7,'IS(M)'!$M90:$ER90)</f>
        <v>0</v>
      </c>
      <c r="CN76" s="920">
        <f>SUMIF('IS(M)'!$M$11:$ER$11,CN$7,'IS(M)'!$M90:$ER90)</f>
        <v>0</v>
      </c>
      <c r="CO76" s="920">
        <f>SUMIF('IS(M)'!$M$11:$ER$11,CO$7,'IS(M)'!$M90:$ER90)</f>
        <v>0</v>
      </c>
      <c r="CP76" s="920">
        <f>SUMIF('IS(M)'!$M$11:$ER$11,CP$7,'IS(M)'!$M90:$ER90)</f>
        <v>0</v>
      </c>
      <c r="CQ76" s="920">
        <f>SUMIF('IS(M)'!$M$11:$ER$11,CQ$7,'IS(M)'!$M90:$ER90)</f>
        <v>0</v>
      </c>
      <c r="CR76" s="920">
        <f>SUMIF('IS(M)'!$M$11:$ER$11,CR$7,'IS(M)'!$M90:$ER90)</f>
        <v>0</v>
      </c>
      <c r="CS76" s="920">
        <f>SUMIF('IS(M)'!$M$11:$ER$11,CS$7,'IS(M)'!$M90:$ER90)</f>
        <v>0</v>
      </c>
      <c r="CT76" s="920">
        <f>SUMIF('IS(M)'!$M$11:$ER$11,CT$7,'IS(M)'!$M90:$ER90)</f>
        <v>0</v>
      </c>
      <c r="CU76" s="920">
        <f>SUMIF('IS(M)'!$M$11:$ER$11,CU$7,'IS(M)'!$M90:$ER90)</f>
        <v>0</v>
      </c>
      <c r="CV76" s="920">
        <f>SUMIF('IS(M)'!$M$11:$ER$11,CV$7,'IS(M)'!$M90:$ER90)</f>
        <v>0</v>
      </c>
      <c r="CW76" s="920">
        <f>SUMIF('IS(M)'!$M$11:$ER$11,CW$7,'IS(M)'!$M90:$ER90)</f>
        <v>0</v>
      </c>
      <c r="CX76" s="920">
        <f>SUMIF('IS(M)'!$M$11:$ER$11,CX$7,'IS(M)'!$M90:$ER90)</f>
        <v>0</v>
      </c>
      <c r="CY76" s="920">
        <f>SUMIF('IS(M)'!$M$11:$ER$11,CY$7,'IS(M)'!$M90:$ER90)</f>
        <v>0</v>
      </c>
      <c r="CZ76" s="920">
        <f>SUMIF('IS(M)'!$M$11:$ER$11,CZ$7,'IS(M)'!$M90:$ER90)</f>
        <v>0</v>
      </c>
      <c r="DA76" s="920">
        <f>SUMIF('IS(M)'!$M$11:$ER$11,DA$7,'IS(M)'!$M90:$ER90)</f>
        <v>0</v>
      </c>
      <c r="DB76" s="920">
        <f>SUMIF('IS(M)'!$M$11:$ER$11,DB$7,'IS(M)'!$M90:$ER90)</f>
        <v>0</v>
      </c>
      <c r="DC76" s="920">
        <f>SUMIF('IS(M)'!$M$11:$ER$11,DC$7,'IS(M)'!$M90:$ER90)</f>
        <v>0</v>
      </c>
      <c r="DD76" s="920">
        <f>SUMIF('IS(M)'!$M$11:$ER$11,DD$7,'IS(M)'!$M90:$ER90)</f>
        <v>0</v>
      </c>
      <c r="DE76" s="920">
        <f>SUMIF('IS(M)'!$M$11:$ER$11,DE$7,'IS(M)'!$M90:$ER90)</f>
        <v>0</v>
      </c>
      <c r="DF76" s="920">
        <f>SUMIF('IS(M)'!$M$11:$ER$11,DF$7,'IS(M)'!$M90:$ER90)</f>
        <v>0</v>
      </c>
      <c r="DG76" s="920">
        <f>SUMIF('IS(M)'!$M$11:$ER$11,DG$7,'IS(M)'!$M90:$ER90)</f>
        <v>0</v>
      </c>
      <c r="DH76" s="920">
        <f>SUMIF('IS(M)'!$M$11:$ER$11,DH$7,'IS(M)'!$M90:$ER90)</f>
        <v>0</v>
      </c>
      <c r="DI76" s="920">
        <f>SUMIF('IS(M)'!$M$11:$ER$11,DI$7,'IS(M)'!$M90:$ER90)</f>
        <v>0</v>
      </c>
      <c r="DJ76" s="920">
        <f>SUMIF('IS(M)'!$M$11:$ER$11,DJ$7,'IS(M)'!$M90:$ER90)</f>
        <v>0</v>
      </c>
      <c r="DK76" s="920">
        <f>SUMIF('IS(M)'!$M$11:$ER$11,DK$7,'IS(M)'!$M90:$ER90)</f>
        <v>0</v>
      </c>
      <c r="DL76" s="920">
        <f>SUMIF('IS(M)'!$M$11:$ER$11,DL$7,'IS(M)'!$M90:$ER90)</f>
        <v>0</v>
      </c>
      <c r="DM76" s="920">
        <f>SUMIF('IS(M)'!$M$11:$ER$11,DM$7,'IS(M)'!$M90:$ER90)</f>
        <v>0</v>
      </c>
      <c r="DN76" s="920">
        <f>SUMIF('IS(M)'!$M$11:$ER$11,DN$7,'IS(M)'!$M90:$ER90)</f>
        <v>0</v>
      </c>
      <c r="DO76" s="920">
        <f>SUMIF('IS(M)'!$M$11:$ER$11,DO$7,'IS(M)'!$M90:$ER90)</f>
        <v>0</v>
      </c>
      <c r="DP76" s="920">
        <f>SUMIF('IS(M)'!$M$11:$ER$11,DP$7,'IS(M)'!$M90:$ER90)</f>
        <v>0</v>
      </c>
      <c r="DQ76" s="920">
        <f>SUMIF('IS(M)'!$M$11:$ER$11,DQ$7,'IS(M)'!$M90:$ER90)</f>
        <v>0</v>
      </c>
      <c r="DR76" s="920">
        <f>SUMIF('IS(M)'!$M$11:$ER$11,DR$7,'IS(M)'!$M90:$ER90)</f>
        <v>0</v>
      </c>
      <c r="DS76" s="920">
        <f>SUMIF('IS(M)'!$M$11:$ER$11,DS$7,'IS(M)'!$M90:$ER90)</f>
        <v>0</v>
      </c>
      <c r="DT76" s="920">
        <f>SUMIF('IS(M)'!$M$11:$ER$11,DT$7,'IS(M)'!$M90:$ER90)</f>
        <v>0</v>
      </c>
      <c r="DU76" s="920">
        <f>SUMIF('IS(M)'!$M$11:$ER$11,DU$7,'IS(M)'!$M90:$ER90)</f>
        <v>0</v>
      </c>
      <c r="DV76" s="920">
        <f>SUMIF('IS(M)'!$M$11:$ER$11,DV$7,'IS(M)'!$M90:$ER90)</f>
        <v>0</v>
      </c>
      <c r="DW76" s="920">
        <f>SUMIF('IS(M)'!$M$11:$ER$11,DW$7,'IS(M)'!$M90:$ER90)</f>
        <v>0</v>
      </c>
    </row>
    <row r="77" spans="2:127" ht="11.25" customHeight="1" thickBot="1">
      <c r="B77" s="923"/>
      <c r="C77" s="924" t="s">
        <v>233</v>
      </c>
      <c r="D77" s="925"/>
      <c r="E77" s="925"/>
      <c r="F77" s="925"/>
      <c r="G77" s="925"/>
      <c r="H77" s="925"/>
      <c r="I77" s="926"/>
      <c r="J77" s="927"/>
      <c r="K77" s="928"/>
      <c r="L77" s="98"/>
      <c r="M77" s="922">
        <f ca="1">M74+M75-M76</f>
        <v>0</v>
      </c>
      <c r="N77" s="922">
        <f t="shared" ref="N77:BY77" ca="1" si="46">N74+N75-N76</f>
        <v>0</v>
      </c>
      <c r="O77" s="922">
        <f t="shared" ca="1" si="46"/>
        <v>0</v>
      </c>
      <c r="P77" s="922">
        <f t="shared" ca="1" si="46"/>
        <v>-1554691.2224241244</v>
      </c>
      <c r="Q77" s="922">
        <f t="shared" ca="1" si="46"/>
        <v>-2690715.4550063224</v>
      </c>
      <c r="R77" s="922">
        <f t="shared" ca="1" si="46"/>
        <v>-3885247.8817847506</v>
      </c>
      <c r="S77" s="922">
        <f t="shared" ca="1" si="46"/>
        <v>-6600247.8817847501</v>
      </c>
      <c r="T77" s="922">
        <f t="shared" ca="1" si="46"/>
        <v>-9202719.8947260194</v>
      </c>
      <c r="U77" s="922">
        <f t="shared" ca="1" si="46"/>
        <v>-10844090.498688849</v>
      </c>
      <c r="V77" s="922">
        <f t="shared" ca="1" si="46"/>
        <v>-10731296.742742233</v>
      </c>
      <c r="W77" s="922">
        <f t="shared" ca="1" si="46"/>
        <v>-10846929.395101778</v>
      </c>
      <c r="X77" s="922">
        <f t="shared" ca="1" si="46"/>
        <v>-10739065.389507029</v>
      </c>
      <c r="Y77" s="922">
        <f t="shared" ca="1" si="46"/>
        <v>-10849827.695943456</v>
      </c>
      <c r="Z77" s="922">
        <f t="shared" ca="1" si="46"/>
        <v>-10746815.858740663</v>
      </c>
      <c r="AA77" s="922">
        <f t="shared" ca="1" si="46"/>
        <v>-10852786.623297356</v>
      </c>
      <c r="AB77" s="922">
        <f t="shared" ca="1" si="46"/>
        <v>-10528259.681136448</v>
      </c>
      <c r="AC77" s="922">
        <f t="shared" ca="1" si="46"/>
        <v>-10695556.983839834</v>
      </c>
      <c r="AD77" s="922">
        <f t="shared" ca="1" si="46"/>
        <v>-10166508.998259105</v>
      </c>
      <c r="AE77" s="922">
        <f t="shared" ca="1" si="46"/>
        <v>-9422132.609803997</v>
      </c>
      <c r="AF77" s="922">
        <f t="shared" ca="1" si="46"/>
        <v>-8566279.6571320444</v>
      </c>
      <c r="AG77" s="922">
        <f t="shared" ca="1" si="46"/>
        <v>-7583906.9650147511</v>
      </c>
      <c r="AH77" s="922">
        <f t="shared" ca="1" si="46"/>
        <v>-7583906.9650147511</v>
      </c>
      <c r="AI77" s="922">
        <f t="shared" ca="1" si="46"/>
        <v>-7583906.9650147511</v>
      </c>
      <c r="AJ77" s="922">
        <f t="shared" ca="1" si="46"/>
        <v>-7583906.9650147511</v>
      </c>
      <c r="AK77" s="922">
        <f t="shared" ca="1" si="46"/>
        <v>-7583906.9650147511</v>
      </c>
      <c r="AL77" s="922">
        <f t="shared" ca="1" si="46"/>
        <v>-7583906.9650147511</v>
      </c>
      <c r="AM77" s="922">
        <f t="shared" ca="1" si="46"/>
        <v>-7583906.9650147511</v>
      </c>
      <c r="AN77" s="922">
        <f t="shared" ca="1" si="46"/>
        <v>-7583906.9650147511</v>
      </c>
      <c r="AO77" s="922">
        <f t="shared" ca="1" si="46"/>
        <v>-7583906.9650147511</v>
      </c>
      <c r="AP77" s="922">
        <f t="shared" ca="1" si="46"/>
        <v>-7583906.9650147511</v>
      </c>
      <c r="AQ77" s="922">
        <f t="shared" ca="1" si="46"/>
        <v>-7583906.9650147511</v>
      </c>
      <c r="AR77" s="922">
        <f t="shared" ca="1" si="46"/>
        <v>-7583906.9650147511</v>
      </c>
      <c r="AS77" s="922">
        <f t="shared" ca="1" si="46"/>
        <v>-7583906.9650147511</v>
      </c>
      <c r="AT77" s="922">
        <f t="shared" ca="1" si="46"/>
        <v>-7583906.9650147511</v>
      </c>
      <c r="AU77" s="922">
        <f t="shared" ca="1" si="46"/>
        <v>-7583906.9650147511</v>
      </c>
      <c r="AV77" s="922">
        <f t="shared" ca="1" si="46"/>
        <v>-7583906.9650147511</v>
      </c>
      <c r="AW77" s="922">
        <f t="shared" ca="1" si="46"/>
        <v>-7583906.9650147511</v>
      </c>
      <c r="AX77" s="922">
        <f t="shared" ca="1" si="46"/>
        <v>-7583906.9650147511</v>
      </c>
      <c r="AY77" s="922">
        <f t="shared" ca="1" si="46"/>
        <v>-7583906.9650147511</v>
      </c>
      <c r="AZ77" s="922">
        <f t="shared" ca="1" si="46"/>
        <v>-7583906.9650147511</v>
      </c>
      <c r="BA77" s="922">
        <f t="shared" ca="1" si="46"/>
        <v>-7583906.9650147511</v>
      </c>
      <c r="BB77" s="922">
        <f t="shared" ca="1" si="46"/>
        <v>-7583906.9650147511</v>
      </c>
      <c r="BC77" s="922">
        <f t="shared" ca="1" si="46"/>
        <v>-7583906.9650147511</v>
      </c>
      <c r="BD77" s="922">
        <f t="shared" ca="1" si="46"/>
        <v>-7583906.9650147511</v>
      </c>
      <c r="BE77" s="922">
        <f t="shared" ca="1" si="46"/>
        <v>-7583906.9650147511</v>
      </c>
      <c r="BF77" s="922">
        <f t="shared" ca="1" si="46"/>
        <v>-7583906.9650147511</v>
      </c>
      <c r="BG77" s="922">
        <f t="shared" ca="1" si="46"/>
        <v>-7583906.9650147511</v>
      </c>
      <c r="BH77" s="922">
        <f t="shared" ca="1" si="46"/>
        <v>-7583906.9650147511</v>
      </c>
      <c r="BI77" s="922">
        <f t="shared" ca="1" si="46"/>
        <v>-7583906.9650147511</v>
      </c>
      <c r="BJ77" s="922">
        <f t="shared" ca="1" si="46"/>
        <v>-7583906.9650147511</v>
      </c>
      <c r="BK77" s="922">
        <f t="shared" ca="1" si="46"/>
        <v>-7583906.9650147511</v>
      </c>
      <c r="BL77" s="922">
        <f t="shared" ca="1" si="46"/>
        <v>-7583906.9650147511</v>
      </c>
      <c r="BM77" s="922">
        <f t="shared" ca="1" si="46"/>
        <v>-7583906.9650147511</v>
      </c>
      <c r="BN77" s="922">
        <f t="shared" ca="1" si="46"/>
        <v>-7583906.9650147511</v>
      </c>
      <c r="BO77" s="922">
        <f t="shared" ca="1" si="46"/>
        <v>-7583906.9650147511</v>
      </c>
      <c r="BP77" s="922">
        <f t="shared" ca="1" si="46"/>
        <v>-7583906.9650147511</v>
      </c>
      <c r="BQ77" s="922">
        <f t="shared" ca="1" si="46"/>
        <v>-7583906.9650147511</v>
      </c>
      <c r="BR77" s="922">
        <f t="shared" ca="1" si="46"/>
        <v>-7583906.9650147511</v>
      </c>
      <c r="BS77" s="922">
        <f t="shared" ca="1" si="46"/>
        <v>-7583906.9650147511</v>
      </c>
      <c r="BT77" s="922">
        <f t="shared" ca="1" si="46"/>
        <v>-7583906.9650147511</v>
      </c>
      <c r="BU77" s="922">
        <f t="shared" ca="1" si="46"/>
        <v>-7583906.9650147511</v>
      </c>
      <c r="BV77" s="922">
        <f t="shared" ca="1" si="46"/>
        <v>-7583906.9650147511</v>
      </c>
      <c r="BW77" s="922">
        <f t="shared" ca="1" si="46"/>
        <v>-7583906.9650147511</v>
      </c>
      <c r="BX77" s="922">
        <f t="shared" ca="1" si="46"/>
        <v>-7583906.9650147511</v>
      </c>
      <c r="BY77" s="922">
        <f t="shared" ca="1" si="46"/>
        <v>-7583906.9650147511</v>
      </c>
      <c r="BZ77" s="922">
        <f t="shared" ref="BZ77:DW77" ca="1" si="47">BZ74+BZ75-BZ76</f>
        <v>-7583906.9650147511</v>
      </c>
      <c r="CA77" s="922">
        <f t="shared" ca="1" si="47"/>
        <v>-7583906.9650147511</v>
      </c>
      <c r="CB77" s="922">
        <f t="shared" ca="1" si="47"/>
        <v>-7583906.9650147511</v>
      </c>
      <c r="CC77" s="922">
        <f t="shared" ca="1" si="47"/>
        <v>-7583906.9650147511</v>
      </c>
      <c r="CD77" s="922">
        <f t="shared" ca="1" si="47"/>
        <v>-7583906.9650147511</v>
      </c>
      <c r="CE77" s="922">
        <f t="shared" ca="1" si="47"/>
        <v>-7583906.9650147511</v>
      </c>
      <c r="CF77" s="922">
        <f t="shared" ca="1" si="47"/>
        <v>-7583906.9650147511</v>
      </c>
      <c r="CG77" s="922">
        <f t="shared" ca="1" si="47"/>
        <v>-7583906.9650147511</v>
      </c>
      <c r="CH77" s="922">
        <f t="shared" ca="1" si="47"/>
        <v>-7583906.9650147511</v>
      </c>
      <c r="CI77" s="922">
        <f t="shared" ca="1" si="47"/>
        <v>-7583906.9650147511</v>
      </c>
      <c r="CJ77" s="922">
        <f t="shared" ca="1" si="47"/>
        <v>-7583906.9650147511</v>
      </c>
      <c r="CK77" s="922">
        <f t="shared" ca="1" si="47"/>
        <v>-7583906.9650147511</v>
      </c>
      <c r="CL77" s="922">
        <f t="shared" ca="1" si="47"/>
        <v>-7583906.9650147511</v>
      </c>
      <c r="CM77" s="922">
        <f t="shared" ca="1" si="47"/>
        <v>-7583906.9650147511</v>
      </c>
      <c r="CN77" s="922">
        <f t="shared" ca="1" si="47"/>
        <v>-7583906.9650147511</v>
      </c>
      <c r="CO77" s="922">
        <f t="shared" ca="1" si="47"/>
        <v>-7583906.9650147511</v>
      </c>
      <c r="CP77" s="922">
        <f t="shared" ca="1" si="47"/>
        <v>-7583906.9650147511</v>
      </c>
      <c r="CQ77" s="922">
        <f t="shared" ca="1" si="47"/>
        <v>-7583906.9650147511</v>
      </c>
      <c r="CR77" s="922">
        <f t="shared" ca="1" si="47"/>
        <v>-7583906.9650147511</v>
      </c>
      <c r="CS77" s="922">
        <f t="shared" ca="1" si="47"/>
        <v>-7583906.9650147511</v>
      </c>
      <c r="CT77" s="922">
        <f t="shared" ca="1" si="47"/>
        <v>-7583906.9650147511</v>
      </c>
      <c r="CU77" s="922">
        <f t="shared" ca="1" si="47"/>
        <v>-7583906.9650147511</v>
      </c>
      <c r="CV77" s="922">
        <f t="shared" ca="1" si="47"/>
        <v>-7583906.9650147511</v>
      </c>
      <c r="CW77" s="922">
        <f t="shared" ca="1" si="47"/>
        <v>-7583906.9650147511</v>
      </c>
      <c r="CX77" s="922">
        <f t="shared" ca="1" si="47"/>
        <v>-7583906.9650147511</v>
      </c>
      <c r="CY77" s="922">
        <f t="shared" ca="1" si="47"/>
        <v>-7583906.9650147511</v>
      </c>
      <c r="CZ77" s="922">
        <f t="shared" ca="1" si="47"/>
        <v>-7583906.9650147511</v>
      </c>
      <c r="DA77" s="922">
        <f t="shared" ca="1" si="47"/>
        <v>-7583906.9650147511</v>
      </c>
      <c r="DB77" s="922">
        <f t="shared" ca="1" si="47"/>
        <v>-7583906.9650147511</v>
      </c>
      <c r="DC77" s="922">
        <f t="shared" ca="1" si="47"/>
        <v>-7583906.9650147511</v>
      </c>
      <c r="DD77" s="922">
        <f t="shared" ca="1" si="47"/>
        <v>-7583906.9650147511</v>
      </c>
      <c r="DE77" s="922">
        <f t="shared" ca="1" si="47"/>
        <v>-7583906.9650147511</v>
      </c>
      <c r="DF77" s="922">
        <f t="shared" ca="1" si="47"/>
        <v>-7583906.9650147511</v>
      </c>
      <c r="DG77" s="922">
        <f t="shared" ca="1" si="47"/>
        <v>-7583906.9650147511</v>
      </c>
      <c r="DH77" s="922">
        <f t="shared" ca="1" si="47"/>
        <v>-7583906.9650147511</v>
      </c>
      <c r="DI77" s="922">
        <f t="shared" ca="1" si="47"/>
        <v>-7583906.9650147511</v>
      </c>
      <c r="DJ77" s="922">
        <f t="shared" ca="1" si="47"/>
        <v>-7583906.9650147511</v>
      </c>
      <c r="DK77" s="922">
        <f t="shared" ca="1" si="47"/>
        <v>-7583906.9650147511</v>
      </c>
      <c r="DL77" s="922">
        <f t="shared" ca="1" si="47"/>
        <v>-7583906.9650147511</v>
      </c>
      <c r="DM77" s="922">
        <f t="shared" ca="1" si="47"/>
        <v>-7583906.9650147511</v>
      </c>
      <c r="DN77" s="922">
        <f t="shared" ca="1" si="47"/>
        <v>-7583906.9650147511</v>
      </c>
      <c r="DO77" s="922">
        <f t="shared" ca="1" si="47"/>
        <v>-7583906.9650147511</v>
      </c>
      <c r="DP77" s="922">
        <f t="shared" ca="1" si="47"/>
        <v>-7583906.9650147511</v>
      </c>
      <c r="DQ77" s="922">
        <f t="shared" ca="1" si="47"/>
        <v>-7583906.9650147511</v>
      </c>
      <c r="DR77" s="922">
        <f t="shared" ca="1" si="47"/>
        <v>-7583906.9650147511</v>
      </c>
      <c r="DS77" s="922">
        <f t="shared" ca="1" si="47"/>
        <v>-7583906.9650147511</v>
      </c>
      <c r="DT77" s="922">
        <f t="shared" ca="1" si="47"/>
        <v>-7583906.9650147511</v>
      </c>
      <c r="DU77" s="922">
        <f t="shared" ca="1" si="47"/>
        <v>-7583906.9650147511</v>
      </c>
      <c r="DV77" s="922">
        <f t="shared" ca="1" si="47"/>
        <v>-7583906.9650147511</v>
      </c>
      <c r="DW77" s="922">
        <f t="shared" ca="1" si="47"/>
        <v>-7583906.9650147511</v>
      </c>
    </row>
    <row r="78" spans="2:127" ht="11.25" customHeight="1" thickTop="1">
      <c r="B78" s="984" t="s">
        <v>578</v>
      </c>
      <c r="C78" s="987"/>
      <c r="D78" s="987"/>
      <c r="E78" s="987"/>
      <c r="F78" s="987"/>
      <c r="G78" s="987"/>
      <c r="H78" s="987"/>
      <c r="I78" s="988"/>
      <c r="J78" s="989"/>
      <c r="K78" s="990"/>
      <c r="M78" s="991"/>
      <c r="N78" s="991">
        <f ca="1">(SUMIF('IS(M)'!$M$60:$ER$60,N$54,'IS(M)'!$M$70:$ER$70)-SUMIF('IS(M)'!$M$60:$ER$60,N$54,'IS(M)'!$M$75:$ER$75)-SUMIF('IS(M)'!$M$60:$ER$60,N$54,'IS(M)'!$M$80:$ER$80)-SUMIF('IS(M)'!$M$60:$ER$60,N$54,'IS(M)'!$M$85:$ER$85))*(N$54&lt;=$G$81)</f>
        <v>-1876910.4478286155</v>
      </c>
      <c r="O78" s="991">
        <f ca="1">(SUMIF('IS(M)'!$M$60:$ER$60,O$54,'IS(M)'!$M$70:$ER$70)-SUMIF('IS(M)'!$M$60:$ER$60,O$54,'IS(M)'!$M$75:$ER$75)-SUMIF('IS(M)'!$M$60:$ER$60,O$54,'IS(M)'!$M$80:$ER$80)-SUMIF('IS(M)'!$M$60:$ER$60,O$54,'IS(M)'!$M$85:$ER$85))*(O$54&lt;=$G$81)</f>
        <v>-1312943.9446393484</v>
      </c>
      <c r="P78" s="991">
        <f ca="1">(SUMIF('IS(M)'!$M$60:$ER$60,P$54,'IS(M)'!$M$70:$ER$70)-SUMIF('IS(M)'!$M$60:$ER$60,P$54,'IS(M)'!$M$75:$ER$75)-SUMIF('IS(M)'!$M$60:$ER$60,P$54,'IS(M)'!$M$80:$ER$80)-SUMIF('IS(M)'!$M$60:$ER$60,P$54,'IS(M)'!$M$85:$ER$85))*(P$54&lt;=$G$81)</f>
        <v>0</v>
      </c>
      <c r="Q78" s="991">
        <f ca="1">(SUMIF('IS(M)'!$M$60:$ER$60,Q$54,'IS(M)'!$M$70:$ER$70)-SUMIF('IS(M)'!$M$60:$ER$60,Q$54,'IS(M)'!$M$75:$ER$75)-SUMIF('IS(M)'!$M$60:$ER$60,Q$54,'IS(M)'!$M$80:$ER$80)-SUMIF('IS(M)'!$M$60:$ER$60,Q$54,'IS(M)'!$M$85:$ER$85))*(Q$54&lt;=$G$81)</f>
        <v>0</v>
      </c>
      <c r="R78" s="991">
        <f ca="1">(SUMIF('IS(M)'!$M$60:$ER$60,R$54,'IS(M)'!$M$70:$ER$70)-SUMIF('IS(M)'!$M$60:$ER$60,R$54,'IS(M)'!$M$75:$ER$75)-SUMIF('IS(M)'!$M$60:$ER$60,R$54,'IS(M)'!$M$80:$ER$80)-SUMIF('IS(M)'!$M$60:$ER$60,R$54,'IS(M)'!$M$85:$ER$85))*(R$54&lt;=$G$81)</f>
        <v>0</v>
      </c>
      <c r="S78" s="991">
        <f ca="1">(SUMIF('IS(M)'!$M$60:$ER$60,S$54,'IS(M)'!$M$70:$ER$70)-SUMIF('IS(M)'!$M$60:$ER$60,S$54,'IS(M)'!$M$75:$ER$75)-SUMIF('IS(M)'!$M$60:$ER$60,S$54,'IS(M)'!$M$80:$ER$80)-SUMIF('IS(M)'!$M$60:$ER$60,S$54,'IS(M)'!$M$85:$ER$85))*(S$54&lt;=$G$81)</f>
        <v>0</v>
      </c>
      <c r="T78" s="991">
        <f ca="1">(SUMIF('IS(M)'!$M$60:$ER$60,T$54,'IS(M)'!$M$70:$ER$70)-SUMIF('IS(M)'!$M$60:$ER$60,T$54,'IS(M)'!$M$75:$ER$75)-SUMIF('IS(M)'!$M$60:$ER$60,T$54,'IS(M)'!$M$80:$ER$80)-SUMIF('IS(M)'!$M$60:$ER$60,T$54,'IS(M)'!$M$85:$ER$85))*(T$54&lt;=$G$81)</f>
        <v>0</v>
      </c>
      <c r="U78" s="991">
        <f ca="1">(SUMIF('IS(M)'!$M$60:$ER$60,U$54,'IS(M)'!$M$70:$ER$70)-SUMIF('IS(M)'!$M$60:$ER$60,U$54,'IS(M)'!$M$75:$ER$75)-SUMIF('IS(M)'!$M$60:$ER$60,U$54,'IS(M)'!$M$80:$ER$80)-SUMIF('IS(M)'!$M$60:$ER$60,U$54,'IS(M)'!$M$85:$ER$85))*(U$54&lt;=$G$81)</f>
        <v>0</v>
      </c>
      <c r="V78" s="991">
        <f ca="1">(SUMIF('IS(M)'!$M$60:$ER$60,V$54,'IS(M)'!$M$70:$ER$70)-SUMIF('IS(M)'!$M$60:$ER$60,V$54,'IS(M)'!$M$75:$ER$75)-SUMIF('IS(M)'!$M$60:$ER$60,V$54,'IS(M)'!$M$80:$ER$80)-SUMIF('IS(M)'!$M$60:$ER$60,V$54,'IS(M)'!$M$85:$ER$85))*(V$54&lt;=$G$81)</f>
        <v>0</v>
      </c>
      <c r="W78" s="991">
        <f ca="1">(SUMIF('IS(M)'!$M$60:$ER$60,W$54,'IS(M)'!$M$70:$ER$70)-SUMIF('IS(M)'!$M$60:$ER$60,W$54,'IS(M)'!$M$75:$ER$75)-SUMIF('IS(M)'!$M$60:$ER$60,W$54,'IS(M)'!$M$80:$ER$80)-SUMIF('IS(M)'!$M$60:$ER$60,W$54,'IS(M)'!$M$85:$ER$85))*(W$54&lt;=$G$81)</f>
        <v>0</v>
      </c>
      <c r="X78" s="991">
        <f ca="1">(SUMIF('IS(M)'!$M$60:$ER$60,X$54,'IS(M)'!$M$70:$ER$70)-SUMIF('IS(M)'!$M$60:$ER$60,X$54,'IS(M)'!$M$75:$ER$75)-SUMIF('IS(M)'!$M$60:$ER$60,X$54,'IS(M)'!$M$80:$ER$80)-SUMIF('IS(M)'!$M$60:$ER$60,X$54,'IS(M)'!$M$85:$ER$85))*(X$54&lt;=$G$81)</f>
        <v>0</v>
      </c>
      <c r="Y78" s="991">
        <f ca="1">(SUMIF('IS(M)'!$M$60:$ER$60,Y$54,'IS(M)'!$M$70:$ER$70)-SUMIF('IS(M)'!$M$60:$ER$60,Y$54,'IS(M)'!$M$75:$ER$75)-SUMIF('IS(M)'!$M$60:$ER$60,Y$54,'IS(M)'!$M$80:$ER$80)-SUMIF('IS(M)'!$M$60:$ER$60,Y$54,'IS(M)'!$M$85:$ER$85))*(Y$54&lt;=$G$81)</f>
        <v>0</v>
      </c>
      <c r="Z78" s="991">
        <f ca="1">(SUMIF('IS(M)'!$M$60:$ER$60,Z$54,'IS(M)'!$M$70:$ER$70)-SUMIF('IS(M)'!$M$60:$ER$60,Z$54,'IS(M)'!$M$75:$ER$75)-SUMIF('IS(M)'!$M$60:$ER$60,Z$54,'IS(M)'!$M$80:$ER$80)-SUMIF('IS(M)'!$M$60:$ER$60,Z$54,'IS(M)'!$M$85:$ER$85))*(Z$54&lt;=$G$81)</f>
        <v>0</v>
      </c>
      <c r="AA78" s="991">
        <f ca="1">(SUMIF('IS(M)'!$M$60:$ER$60,AA$54,'IS(M)'!$M$70:$ER$70)-SUMIF('IS(M)'!$M$60:$ER$60,AA$54,'IS(M)'!$M$75:$ER$75)-SUMIF('IS(M)'!$M$60:$ER$60,AA$54,'IS(M)'!$M$80:$ER$80)-SUMIF('IS(M)'!$M$60:$ER$60,AA$54,'IS(M)'!$M$85:$ER$85))*(AA$54&lt;=$G$81)</f>
        <v>0</v>
      </c>
      <c r="AB78" s="991">
        <f ca="1">(SUMIF('IS(M)'!$M$60:$ER$60,AB$54,'IS(M)'!$M$70:$ER$70)-SUMIF('IS(M)'!$M$60:$ER$60,AB$54,'IS(M)'!$M$75:$ER$75)-SUMIF('IS(M)'!$M$60:$ER$60,AB$54,'IS(M)'!$M$80:$ER$80)-SUMIF('IS(M)'!$M$60:$ER$60,AB$54,'IS(M)'!$M$85:$ER$85))*(AB$54&lt;=$G$81)</f>
        <v>0</v>
      </c>
      <c r="AC78" s="991">
        <f ca="1">(SUMIF('IS(M)'!$M$60:$ER$60,AC$54,'IS(M)'!$M$70:$ER$70)-SUMIF('IS(M)'!$M$60:$ER$60,AC$54,'IS(M)'!$M$75:$ER$75)-SUMIF('IS(M)'!$M$60:$ER$60,AC$54,'IS(M)'!$M$80:$ER$80)-SUMIF('IS(M)'!$M$60:$ER$60,AC$54,'IS(M)'!$M$85:$ER$85))*(AC$54&lt;=$G$81)</f>
        <v>0</v>
      </c>
      <c r="AD78" s="991">
        <f ca="1">(SUMIF('IS(M)'!$M$60:$ER$60,AD$54,'IS(M)'!$M$70:$ER$70)-SUMIF('IS(M)'!$M$60:$ER$60,AD$54,'IS(M)'!$M$75:$ER$75)-SUMIF('IS(M)'!$M$60:$ER$60,AD$54,'IS(M)'!$M$80:$ER$80)-SUMIF('IS(M)'!$M$60:$ER$60,AD$54,'IS(M)'!$M$85:$ER$85))*(AD$54&lt;=$G$81)</f>
        <v>0</v>
      </c>
      <c r="AE78" s="991">
        <f ca="1">(SUMIF('IS(M)'!$M$60:$ER$60,AE$54,'IS(M)'!$M$70:$ER$70)-SUMIF('IS(M)'!$M$60:$ER$60,AE$54,'IS(M)'!$M$75:$ER$75)-SUMIF('IS(M)'!$M$60:$ER$60,AE$54,'IS(M)'!$M$80:$ER$80)-SUMIF('IS(M)'!$M$60:$ER$60,AE$54,'IS(M)'!$M$85:$ER$85))*(AE$54&lt;=$G$81)</f>
        <v>0</v>
      </c>
      <c r="AF78" s="991">
        <f ca="1">(SUMIF('IS(M)'!$M$60:$ER$60,AF$54,'IS(M)'!$M$70:$ER$70)-SUMIF('IS(M)'!$M$60:$ER$60,AF$54,'IS(M)'!$M$75:$ER$75)-SUMIF('IS(M)'!$M$60:$ER$60,AF$54,'IS(M)'!$M$80:$ER$80)-SUMIF('IS(M)'!$M$60:$ER$60,AF$54,'IS(M)'!$M$85:$ER$85))*(AF$54&lt;=$G$81)</f>
        <v>0</v>
      </c>
      <c r="AG78" s="991">
        <f ca="1">(SUMIF('IS(M)'!$M$60:$ER$60,AG$54,'IS(M)'!$M$70:$ER$70)-SUMIF('IS(M)'!$M$60:$ER$60,AG$54,'IS(M)'!$M$75:$ER$75)-SUMIF('IS(M)'!$M$60:$ER$60,AG$54,'IS(M)'!$M$80:$ER$80)-SUMIF('IS(M)'!$M$60:$ER$60,AG$54,'IS(M)'!$M$85:$ER$85))*(AG$54&lt;=$G$81)</f>
        <v>0</v>
      </c>
      <c r="AH78" s="991"/>
      <c r="AI78" s="991"/>
      <c r="AJ78" s="991"/>
      <c r="AK78" s="991"/>
      <c r="AL78" s="991"/>
      <c r="AM78" s="991"/>
      <c r="AN78" s="991"/>
      <c r="AO78" s="991"/>
      <c r="AP78" s="991"/>
      <c r="AQ78" s="991"/>
      <c r="AR78" s="991"/>
      <c r="AS78" s="991"/>
      <c r="AT78" s="991"/>
      <c r="AU78" s="991"/>
      <c r="AV78" s="991"/>
      <c r="AW78" s="991"/>
      <c r="AX78" s="991"/>
      <c r="AY78" s="991"/>
      <c r="AZ78" s="991"/>
      <c r="BA78" s="991"/>
      <c r="BB78" s="991"/>
      <c r="BC78" s="991"/>
      <c r="BD78" s="991"/>
      <c r="BE78" s="991"/>
      <c r="BF78" s="991"/>
      <c r="BG78" s="991"/>
      <c r="BH78" s="991"/>
      <c r="BI78" s="991"/>
      <c r="BJ78" s="991"/>
      <c r="BK78" s="991"/>
      <c r="BL78" s="991"/>
      <c r="BM78" s="991"/>
      <c r="BN78" s="991"/>
      <c r="BO78" s="991"/>
      <c r="BP78" s="991"/>
      <c r="BQ78" s="991"/>
      <c r="BR78" s="991"/>
      <c r="BS78" s="991"/>
      <c r="BT78" s="991"/>
      <c r="BU78" s="991"/>
      <c r="BV78" s="991"/>
      <c r="BW78" s="991"/>
      <c r="BX78" s="991"/>
      <c r="BY78" s="991"/>
      <c r="BZ78" s="991"/>
      <c r="CA78" s="991"/>
      <c r="CB78" s="991"/>
      <c r="CC78" s="991"/>
      <c r="CD78" s="991"/>
      <c r="CE78" s="991"/>
      <c r="CF78" s="991"/>
      <c r="CG78" s="991"/>
      <c r="CH78" s="991"/>
      <c r="CI78" s="991"/>
      <c r="CJ78" s="991"/>
      <c r="CK78" s="991"/>
      <c r="CL78" s="991"/>
      <c r="CM78" s="991"/>
      <c r="CN78" s="991"/>
      <c r="CO78" s="991"/>
      <c r="CP78" s="991"/>
      <c r="CQ78" s="991"/>
      <c r="CR78" s="991"/>
      <c r="CS78" s="991"/>
      <c r="CT78" s="991"/>
      <c r="CU78" s="991"/>
      <c r="CV78" s="991"/>
      <c r="CW78" s="991"/>
      <c r="CX78" s="991"/>
      <c r="CY78" s="991"/>
      <c r="CZ78" s="991"/>
      <c r="DA78" s="991"/>
      <c r="DB78" s="991"/>
      <c r="DC78" s="991"/>
      <c r="DD78" s="991"/>
      <c r="DE78" s="991"/>
      <c r="DF78" s="991"/>
      <c r="DG78" s="991"/>
      <c r="DH78" s="991"/>
      <c r="DI78" s="991"/>
      <c r="DJ78" s="991"/>
      <c r="DK78" s="991"/>
      <c r="DL78" s="991"/>
      <c r="DM78" s="991"/>
      <c r="DN78" s="991"/>
      <c r="DO78" s="991"/>
      <c r="DP78" s="991"/>
      <c r="DQ78" s="991"/>
      <c r="DR78" s="991"/>
      <c r="DS78" s="991"/>
      <c r="DT78" s="991"/>
      <c r="DU78" s="991"/>
      <c r="DV78" s="991"/>
      <c r="DW78" s="991"/>
    </row>
    <row r="79" spans="2:127" ht="11.25" customHeight="1">
      <c r="B79" s="985"/>
      <c r="C79" s="904" t="s">
        <v>580</v>
      </c>
      <c r="D79" s="905"/>
      <c r="E79" s="905"/>
      <c r="F79" s="905"/>
      <c r="G79" s="905"/>
      <c r="H79" s="905"/>
      <c r="I79" s="906"/>
      <c r="J79" s="907"/>
      <c r="K79" s="917"/>
      <c r="L79" s="98"/>
      <c r="M79" s="908">
        <f>SUMIF('A&amp;R'!$C$73:$C$92,M$7,'A&amp;R'!$H$73:$H$92)</f>
        <v>0</v>
      </c>
      <c r="N79" s="908">
        <f>SUMIF('A&amp;R'!$C$73:$C$92,N$7,'A&amp;R'!$H$73:$H$92)</f>
        <v>14800000</v>
      </c>
      <c r="O79" s="908">
        <f>SUMIF('A&amp;R'!$C$73:$C$92,O$7,'A&amp;R'!$H$73:$H$92)</f>
        <v>14800000</v>
      </c>
      <c r="P79" s="908">
        <f>SUMIF('A&amp;R'!$C$73:$C$92,P$7,'A&amp;R'!$H$73:$H$92)</f>
        <v>14800000</v>
      </c>
      <c r="Q79" s="908">
        <f>SUMIF('A&amp;R'!$C$73:$C$92,Q$7,'A&amp;R'!$H$73:$H$92)</f>
        <v>14800000</v>
      </c>
      <c r="R79" s="908">
        <f>SUMIF('A&amp;R'!$C$73:$C$92,R$7,'A&amp;R'!$H$73:$H$92)</f>
        <v>14800000</v>
      </c>
      <c r="S79" s="908">
        <f>SUMIF('A&amp;R'!$C$73:$C$92,S$7,'A&amp;R'!$H$73:$H$92)</f>
        <v>14800000</v>
      </c>
      <c r="T79" s="908">
        <f>SUMIF('A&amp;R'!$C$73:$C$92,T$7,'A&amp;R'!$H$73:$H$92)</f>
        <v>14800000</v>
      </c>
      <c r="U79" s="908">
        <f>SUMIF('A&amp;R'!$C$73:$C$92,U$7,'A&amp;R'!$H$73:$H$92)</f>
        <v>14800000</v>
      </c>
      <c r="V79" s="908">
        <f>SUMIF('A&amp;R'!$C$73:$C$92,V$7,'A&amp;R'!$H$73:$H$92)</f>
        <v>14800000</v>
      </c>
      <c r="W79" s="908">
        <f>SUMIF('A&amp;R'!$C$73:$C$92,W$7,'A&amp;R'!$H$73:$H$92)</f>
        <v>14800000</v>
      </c>
      <c r="X79" s="908">
        <f>SUMIF('A&amp;R'!$C$73:$C$92,X$7,'A&amp;R'!$H$73:$H$92)</f>
        <v>14800000</v>
      </c>
      <c r="Y79" s="908">
        <f>SUMIF('A&amp;R'!$C$73:$C$92,Y$7,'A&amp;R'!$H$73:$H$92)</f>
        <v>14800000</v>
      </c>
      <c r="Z79" s="908">
        <f>SUMIF('A&amp;R'!$C$73:$C$92,Z$7,'A&amp;R'!$H$73:$H$92)</f>
        <v>14800000</v>
      </c>
      <c r="AA79" s="908">
        <f>SUMIF('A&amp;R'!$C$73:$C$92,AA$7,'A&amp;R'!$H$73:$H$92)</f>
        <v>14800000</v>
      </c>
      <c r="AB79" s="908">
        <f>SUMIF('A&amp;R'!$C$73:$C$92,AB$7,'A&amp;R'!$H$73:$H$92)</f>
        <v>14800000</v>
      </c>
      <c r="AC79" s="908">
        <f>SUMIF('A&amp;R'!$C$73:$C$92,AC$7,'A&amp;R'!$H$73:$H$92)</f>
        <v>14800000</v>
      </c>
      <c r="AD79" s="908">
        <f>SUMIF('A&amp;R'!$C$73:$C$92,AD$7,'A&amp;R'!$H$73:$H$92)</f>
        <v>14800000</v>
      </c>
      <c r="AE79" s="908">
        <f>SUMIF('A&amp;R'!$C$73:$C$92,AE$7,'A&amp;R'!$H$73:$H$92)</f>
        <v>14800000</v>
      </c>
      <c r="AF79" s="908">
        <f>SUMIF('A&amp;R'!$C$73:$C$92,AF$7,'A&amp;R'!$H$73:$H$92)</f>
        <v>14800000</v>
      </c>
      <c r="AG79" s="908">
        <f>SUMIF('A&amp;R'!$C$73:$C$92,AG$7,'A&amp;R'!$H$73:$H$92)</f>
        <v>14800000</v>
      </c>
      <c r="AH79" s="908">
        <f>SUMIF('A&amp;R'!$C$73:$C$92,AH$7,'A&amp;R'!$H$73:$H$92)</f>
        <v>0</v>
      </c>
      <c r="AI79" s="908">
        <f>SUMIF('A&amp;R'!$C$73:$C$92,AI$7,'A&amp;R'!$H$73:$H$92)</f>
        <v>0</v>
      </c>
      <c r="AJ79" s="908">
        <f>SUMIF('A&amp;R'!$C$73:$C$92,AJ$7,'A&amp;R'!$H$73:$H$92)</f>
        <v>0</v>
      </c>
      <c r="AK79" s="908">
        <f>SUMIF('A&amp;R'!$C$73:$C$92,AK$7,'A&amp;R'!$H$73:$H$92)</f>
        <v>0</v>
      </c>
      <c r="AL79" s="908">
        <f>SUMIF('A&amp;R'!$C$73:$C$92,AL$7,'A&amp;R'!$H$73:$H$92)</f>
        <v>0</v>
      </c>
      <c r="AM79" s="908">
        <f>SUMIF('A&amp;R'!$C$73:$C$92,AM$7,'A&amp;R'!$H$73:$H$92)</f>
        <v>0</v>
      </c>
      <c r="AN79" s="908">
        <f>SUMIF('A&amp;R'!$C$73:$C$92,AN$7,'A&amp;R'!$H$73:$H$92)</f>
        <v>0</v>
      </c>
      <c r="AO79" s="908">
        <f>SUMIF('A&amp;R'!$C$73:$C$92,AO$7,'A&amp;R'!$H$73:$H$92)</f>
        <v>0</v>
      </c>
      <c r="AP79" s="908">
        <f>SUMIF('A&amp;R'!$C$73:$C$92,AP$7,'A&amp;R'!$H$73:$H$92)</f>
        <v>0</v>
      </c>
      <c r="AQ79" s="908">
        <f>SUMIF('A&amp;R'!$C$73:$C$92,AQ$7,'A&amp;R'!$H$73:$H$92)</f>
        <v>0</v>
      </c>
      <c r="AR79" s="908">
        <f>SUMIF('A&amp;R'!$C$73:$C$92,AR$7,'A&amp;R'!$H$73:$H$92)</f>
        <v>0</v>
      </c>
      <c r="AS79" s="908">
        <f>SUMIF('A&amp;R'!$C$73:$C$92,AS$7,'A&amp;R'!$H$73:$H$92)</f>
        <v>0</v>
      </c>
      <c r="AT79" s="908">
        <f>SUMIF('A&amp;R'!$C$73:$C$92,AT$7,'A&amp;R'!$H$73:$H$92)</f>
        <v>0</v>
      </c>
      <c r="AU79" s="908">
        <f>SUMIF('A&amp;R'!$C$73:$C$92,AU$7,'A&amp;R'!$H$73:$H$92)</f>
        <v>0</v>
      </c>
      <c r="AV79" s="908">
        <f>SUMIF('A&amp;R'!$C$73:$C$92,AV$7,'A&amp;R'!$H$73:$H$92)</f>
        <v>0</v>
      </c>
      <c r="AW79" s="908">
        <f>SUMIF('A&amp;R'!$C$73:$C$92,AW$7,'A&amp;R'!$H$73:$H$92)</f>
        <v>0</v>
      </c>
      <c r="AX79" s="908">
        <f>SUMIF('A&amp;R'!$C$73:$C$92,AX$7,'A&amp;R'!$H$73:$H$92)</f>
        <v>0</v>
      </c>
      <c r="AY79" s="908">
        <f>SUMIF('A&amp;R'!$C$73:$C$92,AY$7,'A&amp;R'!$H$73:$H$92)</f>
        <v>0</v>
      </c>
      <c r="AZ79" s="908">
        <f>SUMIF('A&amp;R'!$C$73:$C$92,AZ$7,'A&amp;R'!$H$73:$H$92)</f>
        <v>0</v>
      </c>
      <c r="BA79" s="908">
        <f>SUMIF('A&amp;R'!$C$73:$C$92,BA$7,'A&amp;R'!$H$73:$H$92)</f>
        <v>0</v>
      </c>
      <c r="BB79" s="908">
        <f>SUMIF('A&amp;R'!$C$73:$C$92,BB$7,'A&amp;R'!$H$73:$H$92)</f>
        <v>0</v>
      </c>
      <c r="BC79" s="908">
        <f>SUMIF('A&amp;R'!$C$73:$C$92,BC$7,'A&amp;R'!$H$73:$H$92)</f>
        <v>0</v>
      </c>
      <c r="BD79" s="908">
        <f>SUMIF('A&amp;R'!$C$73:$C$92,BD$7,'A&amp;R'!$H$73:$H$92)</f>
        <v>0</v>
      </c>
      <c r="BE79" s="908">
        <f>SUMIF('A&amp;R'!$C$73:$C$92,BE$7,'A&amp;R'!$H$73:$H$92)</f>
        <v>0</v>
      </c>
      <c r="BF79" s="908">
        <f>SUMIF('A&amp;R'!$C$73:$C$92,BF$7,'A&amp;R'!$H$73:$H$92)</f>
        <v>0</v>
      </c>
      <c r="BG79" s="908">
        <f>SUMIF('A&amp;R'!$C$73:$C$92,BG$7,'A&amp;R'!$H$73:$H$92)</f>
        <v>0</v>
      </c>
      <c r="BH79" s="908">
        <f>SUMIF('A&amp;R'!$C$73:$C$92,BH$7,'A&amp;R'!$H$73:$H$92)</f>
        <v>0</v>
      </c>
      <c r="BI79" s="908">
        <f>SUMIF('A&amp;R'!$C$73:$C$92,BI$7,'A&amp;R'!$H$73:$H$92)</f>
        <v>0</v>
      </c>
      <c r="BJ79" s="908">
        <f>SUMIF('A&amp;R'!$C$73:$C$92,BJ$7,'A&amp;R'!$H$73:$H$92)</f>
        <v>0</v>
      </c>
      <c r="BK79" s="908">
        <f>SUMIF('A&amp;R'!$C$73:$C$92,BK$7,'A&amp;R'!$H$73:$H$92)</f>
        <v>0</v>
      </c>
      <c r="BL79" s="908">
        <f>SUMIF('A&amp;R'!$C$73:$C$92,BL$7,'A&amp;R'!$H$73:$H$92)</f>
        <v>0</v>
      </c>
      <c r="BM79" s="908">
        <f>SUMIF('A&amp;R'!$C$73:$C$92,BM$7,'A&amp;R'!$H$73:$H$92)</f>
        <v>0</v>
      </c>
      <c r="BN79" s="908">
        <f>SUMIF('A&amp;R'!$C$73:$C$92,BN$7,'A&amp;R'!$H$73:$H$92)</f>
        <v>0</v>
      </c>
      <c r="BO79" s="908">
        <f>SUMIF('A&amp;R'!$C$73:$C$92,BO$7,'A&amp;R'!$H$73:$H$92)</f>
        <v>0</v>
      </c>
      <c r="BP79" s="908">
        <f>SUMIF('A&amp;R'!$C$73:$C$92,BP$7,'A&amp;R'!$H$73:$H$92)</f>
        <v>0</v>
      </c>
      <c r="BQ79" s="908">
        <f>SUMIF('A&amp;R'!$C$73:$C$92,BQ$7,'A&amp;R'!$H$73:$H$92)</f>
        <v>0</v>
      </c>
      <c r="BR79" s="908">
        <f>SUMIF('A&amp;R'!$C$73:$C$92,BR$7,'A&amp;R'!$H$73:$H$92)</f>
        <v>0</v>
      </c>
      <c r="BS79" s="908">
        <f>SUMIF('A&amp;R'!$C$73:$C$92,BS$7,'A&amp;R'!$H$73:$H$92)</f>
        <v>0</v>
      </c>
      <c r="BT79" s="908">
        <f>SUMIF('A&amp;R'!$C$73:$C$92,BT$7,'A&amp;R'!$H$73:$H$92)</f>
        <v>0</v>
      </c>
      <c r="BU79" s="908">
        <f>SUMIF('A&amp;R'!$C$73:$C$92,BU$7,'A&amp;R'!$H$73:$H$92)</f>
        <v>0</v>
      </c>
      <c r="BV79" s="908">
        <f>SUMIF('A&amp;R'!$C$73:$C$92,BV$7,'A&amp;R'!$H$73:$H$92)</f>
        <v>0</v>
      </c>
      <c r="BW79" s="908">
        <f>SUMIF('A&amp;R'!$C$73:$C$92,BW$7,'A&amp;R'!$H$73:$H$92)</f>
        <v>0</v>
      </c>
      <c r="BX79" s="908">
        <f>SUMIF('A&amp;R'!$C$73:$C$92,BX$7,'A&amp;R'!$H$73:$H$92)</f>
        <v>0</v>
      </c>
      <c r="BY79" s="908">
        <f>SUMIF('A&amp;R'!$C$73:$C$92,BY$7,'A&amp;R'!$H$73:$H$92)</f>
        <v>0</v>
      </c>
      <c r="BZ79" s="908">
        <f>SUMIF('A&amp;R'!$C$73:$C$92,BZ$7,'A&amp;R'!$H$73:$H$92)</f>
        <v>0</v>
      </c>
      <c r="CA79" s="908">
        <f>SUMIF('A&amp;R'!$C$73:$C$92,CA$7,'A&amp;R'!$H$73:$H$92)</f>
        <v>0</v>
      </c>
      <c r="CB79" s="908">
        <f>SUMIF('A&amp;R'!$C$73:$C$92,CB$7,'A&amp;R'!$H$73:$H$92)</f>
        <v>0</v>
      </c>
      <c r="CC79" s="908">
        <f>SUMIF('A&amp;R'!$C$73:$C$92,CC$7,'A&amp;R'!$H$73:$H$92)</f>
        <v>0</v>
      </c>
      <c r="CD79" s="908">
        <f>SUMIF('A&amp;R'!$C$73:$C$92,CD$7,'A&amp;R'!$H$73:$H$92)</f>
        <v>0</v>
      </c>
      <c r="CE79" s="908">
        <f>SUMIF('A&amp;R'!$C$73:$C$92,CE$7,'A&amp;R'!$H$73:$H$92)</f>
        <v>0</v>
      </c>
      <c r="CF79" s="908">
        <f>SUMIF('A&amp;R'!$C$73:$C$92,CF$7,'A&amp;R'!$H$73:$H$92)</f>
        <v>0</v>
      </c>
      <c r="CG79" s="908">
        <f>SUMIF('A&amp;R'!$C$73:$C$92,CG$7,'A&amp;R'!$H$73:$H$92)</f>
        <v>0</v>
      </c>
      <c r="CH79" s="908">
        <f>SUMIF('A&amp;R'!$C$73:$C$92,CH$7,'A&amp;R'!$H$73:$H$92)</f>
        <v>0</v>
      </c>
      <c r="CI79" s="908">
        <f>SUMIF('A&amp;R'!$C$73:$C$92,CI$7,'A&amp;R'!$H$73:$H$92)</f>
        <v>0</v>
      </c>
      <c r="CJ79" s="908">
        <f>SUMIF('A&amp;R'!$C$73:$C$92,CJ$7,'A&amp;R'!$H$73:$H$92)</f>
        <v>0</v>
      </c>
      <c r="CK79" s="908">
        <f>SUMIF('A&amp;R'!$C$73:$C$92,CK$7,'A&amp;R'!$H$73:$H$92)</f>
        <v>0</v>
      </c>
      <c r="CL79" s="908">
        <f>SUMIF('A&amp;R'!$C$73:$C$92,CL$7,'A&amp;R'!$H$73:$H$92)</f>
        <v>0</v>
      </c>
      <c r="CM79" s="908">
        <f>SUMIF('A&amp;R'!$C$73:$C$92,CM$7,'A&amp;R'!$H$73:$H$92)</f>
        <v>0</v>
      </c>
      <c r="CN79" s="908">
        <f>SUMIF('A&amp;R'!$C$73:$C$92,CN$7,'A&amp;R'!$H$73:$H$92)</f>
        <v>0</v>
      </c>
      <c r="CO79" s="908">
        <f>SUMIF('A&amp;R'!$C$73:$C$92,CO$7,'A&amp;R'!$H$73:$H$92)</f>
        <v>0</v>
      </c>
      <c r="CP79" s="908">
        <f>SUMIF('A&amp;R'!$C$73:$C$92,CP$7,'A&amp;R'!$H$73:$H$92)</f>
        <v>0</v>
      </c>
      <c r="CQ79" s="908">
        <f>SUMIF('A&amp;R'!$C$73:$C$92,CQ$7,'A&amp;R'!$H$73:$H$92)</f>
        <v>0</v>
      </c>
      <c r="CR79" s="908">
        <f>SUMIF('A&amp;R'!$C$73:$C$92,CR$7,'A&amp;R'!$H$73:$H$92)</f>
        <v>0</v>
      </c>
      <c r="CS79" s="908">
        <f>SUMIF('A&amp;R'!$C$73:$C$92,CS$7,'A&amp;R'!$H$73:$H$92)</f>
        <v>0</v>
      </c>
      <c r="CT79" s="908">
        <f>SUMIF('A&amp;R'!$C$73:$C$92,CT$7,'A&amp;R'!$H$73:$H$92)</f>
        <v>0</v>
      </c>
      <c r="CU79" s="908">
        <f>SUMIF('A&amp;R'!$C$73:$C$92,CU$7,'A&amp;R'!$H$73:$H$92)</f>
        <v>0</v>
      </c>
      <c r="CV79" s="908">
        <f>SUMIF('A&amp;R'!$C$73:$C$92,CV$7,'A&amp;R'!$H$73:$H$92)</f>
        <v>0</v>
      </c>
      <c r="CW79" s="908">
        <f>SUMIF('A&amp;R'!$C$73:$C$92,CW$7,'A&amp;R'!$H$73:$H$92)</f>
        <v>0</v>
      </c>
      <c r="CX79" s="908">
        <f>SUMIF('A&amp;R'!$C$73:$C$92,CX$7,'A&amp;R'!$H$73:$H$92)</f>
        <v>0</v>
      </c>
      <c r="CY79" s="908">
        <f>SUMIF('A&amp;R'!$C$73:$C$92,CY$7,'A&amp;R'!$H$73:$H$92)</f>
        <v>0</v>
      </c>
      <c r="CZ79" s="908">
        <f>SUMIF('A&amp;R'!$C$73:$C$92,CZ$7,'A&amp;R'!$H$73:$H$92)</f>
        <v>0</v>
      </c>
      <c r="DA79" s="908">
        <f>SUMIF('A&amp;R'!$C$73:$C$92,DA$7,'A&amp;R'!$H$73:$H$92)</f>
        <v>0</v>
      </c>
      <c r="DB79" s="908">
        <f>SUMIF('A&amp;R'!$C$73:$C$92,DB$7,'A&amp;R'!$H$73:$H$92)</f>
        <v>0</v>
      </c>
      <c r="DC79" s="908">
        <f>SUMIF('A&amp;R'!$C$73:$C$92,DC$7,'A&amp;R'!$H$73:$H$92)</f>
        <v>0</v>
      </c>
      <c r="DD79" s="908">
        <f>SUMIF('A&amp;R'!$C$73:$C$92,DD$7,'A&amp;R'!$H$73:$H$92)</f>
        <v>0</v>
      </c>
      <c r="DE79" s="908">
        <f>SUMIF('A&amp;R'!$C$73:$C$92,DE$7,'A&amp;R'!$H$73:$H$92)</f>
        <v>0</v>
      </c>
      <c r="DF79" s="908">
        <f>SUMIF('A&amp;R'!$C$73:$C$92,DF$7,'A&amp;R'!$H$73:$H$92)</f>
        <v>0</v>
      </c>
      <c r="DG79" s="908">
        <f>SUMIF('A&amp;R'!$C$73:$C$92,DG$7,'A&amp;R'!$H$73:$H$92)</f>
        <v>0</v>
      </c>
      <c r="DH79" s="908">
        <f>SUMIF('A&amp;R'!$C$73:$C$92,DH$7,'A&amp;R'!$H$73:$H$92)</f>
        <v>0</v>
      </c>
      <c r="DI79" s="908">
        <f>SUMIF('A&amp;R'!$C$73:$C$92,DI$7,'A&amp;R'!$H$73:$H$92)</f>
        <v>0</v>
      </c>
      <c r="DJ79" s="908">
        <f>SUMIF('A&amp;R'!$C$73:$C$92,DJ$7,'A&amp;R'!$H$73:$H$92)</f>
        <v>0</v>
      </c>
      <c r="DK79" s="908">
        <f>SUMIF('A&amp;R'!$C$73:$C$92,DK$7,'A&amp;R'!$H$73:$H$92)</f>
        <v>0</v>
      </c>
      <c r="DL79" s="908">
        <f>SUMIF('A&amp;R'!$C$73:$C$92,DL$7,'A&amp;R'!$H$73:$H$92)</f>
        <v>0</v>
      </c>
      <c r="DM79" s="908">
        <f>SUMIF('A&amp;R'!$C$73:$C$92,DM$7,'A&amp;R'!$H$73:$H$92)</f>
        <v>0</v>
      </c>
      <c r="DN79" s="908">
        <f>SUMIF('A&amp;R'!$C$73:$C$92,DN$7,'A&amp;R'!$H$73:$H$92)</f>
        <v>0</v>
      </c>
      <c r="DO79" s="908">
        <f>SUMIF('A&amp;R'!$C$73:$C$92,DO$7,'A&amp;R'!$H$73:$H$92)</f>
        <v>0</v>
      </c>
      <c r="DP79" s="908">
        <f>SUMIF('A&amp;R'!$C$73:$C$92,DP$7,'A&amp;R'!$H$73:$H$92)</f>
        <v>0</v>
      </c>
      <c r="DQ79" s="908">
        <f>SUMIF('A&amp;R'!$C$73:$C$92,DQ$7,'A&amp;R'!$H$73:$H$92)</f>
        <v>0</v>
      </c>
      <c r="DR79" s="908">
        <f>SUMIF('A&amp;R'!$C$73:$C$92,DR$7,'A&amp;R'!$H$73:$H$92)</f>
        <v>0</v>
      </c>
      <c r="DS79" s="908">
        <f>SUMIF('A&amp;R'!$C$73:$C$92,DS$7,'A&amp;R'!$H$73:$H$92)</f>
        <v>0</v>
      </c>
      <c r="DT79" s="908">
        <f>SUMIF('A&amp;R'!$C$73:$C$92,DT$7,'A&amp;R'!$H$73:$H$92)</f>
        <v>0</v>
      </c>
      <c r="DU79" s="908">
        <f>SUMIF('A&amp;R'!$C$73:$C$92,DU$7,'A&amp;R'!$H$73:$H$92)</f>
        <v>0</v>
      </c>
      <c r="DV79" s="908">
        <f>SUMIF('A&amp;R'!$C$73:$C$92,DV$7,'A&amp;R'!$H$73:$H$92)</f>
        <v>0</v>
      </c>
      <c r="DW79" s="908">
        <f>SUMIF('A&amp;R'!$C$73:$C$92,DW$7,'A&amp;R'!$H$73:$H$92)</f>
        <v>0</v>
      </c>
    </row>
    <row r="80" spans="2:127" ht="11.25" customHeight="1">
      <c r="B80" s="985"/>
      <c r="C80" s="911" t="s">
        <v>579</v>
      </c>
      <c r="D80" s="912"/>
      <c r="E80" s="912"/>
      <c r="F80" s="912"/>
      <c r="G80" s="913">
        <f>'A&amp;R'!K105</f>
        <v>46691</v>
      </c>
      <c r="H80" s="921">
        <f>'A&amp;R'!I105</f>
        <v>0</v>
      </c>
      <c r="I80" s="921">
        <f>'A&amp;R'!F105*'A&amp;R'!F104</f>
        <v>7.4999999999999997E-2</v>
      </c>
      <c r="J80" s="921">
        <f>'A&amp;R'!F105</f>
        <v>7.4999999999999997E-2</v>
      </c>
      <c r="K80" s="918"/>
      <c r="L80" s="98"/>
      <c r="M80" s="920">
        <f>M$79*$J80*(6/12)*(M$54&lt;=$G$81)</f>
        <v>0</v>
      </c>
      <c r="N80" s="920">
        <f>N$79*$J80*(6/12)*(N$54&lt;=$G$81)</f>
        <v>555000</v>
      </c>
      <c r="O80" s="920">
        <f>O$79*$J80*(6/12)*(O$54&lt;=$G$81)</f>
        <v>555000</v>
      </c>
      <c r="P80" s="920">
        <f>P$79*$J80*(6/12)*(P$54&lt;=$G$81)</f>
        <v>0</v>
      </c>
      <c r="Q80" s="920">
        <f>Q$79*$J80*(6/12)*(Q$54&lt;=$G$81)</f>
        <v>0</v>
      </c>
      <c r="R80" s="920">
        <f t="shared" ref="R80:CB80" si="48">R$79*$J80*(6/12)*(R$54&lt;=$G$81)</f>
        <v>0</v>
      </c>
      <c r="S80" s="920">
        <f t="shared" si="48"/>
        <v>0</v>
      </c>
      <c r="T80" s="920">
        <f t="shared" si="48"/>
        <v>0</v>
      </c>
      <c r="U80" s="920">
        <f t="shared" si="48"/>
        <v>0</v>
      </c>
      <c r="V80" s="920">
        <f t="shared" si="48"/>
        <v>0</v>
      </c>
      <c r="W80" s="920">
        <f t="shared" si="48"/>
        <v>0</v>
      </c>
      <c r="X80" s="920">
        <f t="shared" si="48"/>
        <v>0</v>
      </c>
      <c r="Y80" s="920">
        <f t="shared" si="48"/>
        <v>0</v>
      </c>
      <c r="Z80" s="920">
        <f t="shared" si="48"/>
        <v>0</v>
      </c>
      <c r="AA80" s="920">
        <f t="shared" si="48"/>
        <v>0</v>
      </c>
      <c r="AB80" s="920">
        <f t="shared" si="48"/>
        <v>0</v>
      </c>
      <c r="AC80" s="920">
        <f t="shared" si="48"/>
        <v>0</v>
      </c>
      <c r="AD80" s="920">
        <f t="shared" si="48"/>
        <v>0</v>
      </c>
      <c r="AE80" s="920">
        <f t="shared" si="48"/>
        <v>0</v>
      </c>
      <c r="AF80" s="920">
        <f t="shared" si="48"/>
        <v>0</v>
      </c>
      <c r="AG80" s="920">
        <f t="shared" si="48"/>
        <v>0</v>
      </c>
      <c r="AH80" s="920">
        <f t="shared" si="48"/>
        <v>0</v>
      </c>
      <c r="AI80" s="920">
        <f t="shared" si="48"/>
        <v>0</v>
      </c>
      <c r="AJ80" s="920">
        <f t="shared" si="48"/>
        <v>0</v>
      </c>
      <c r="AK80" s="920">
        <f t="shared" si="48"/>
        <v>0</v>
      </c>
      <c r="AL80" s="920">
        <f t="shared" si="48"/>
        <v>0</v>
      </c>
      <c r="AM80" s="920">
        <f t="shared" si="48"/>
        <v>0</v>
      </c>
      <c r="AN80" s="920">
        <f t="shared" si="48"/>
        <v>0</v>
      </c>
      <c r="AO80" s="920">
        <f t="shared" si="48"/>
        <v>0</v>
      </c>
      <c r="AP80" s="920">
        <f t="shared" si="48"/>
        <v>0</v>
      </c>
      <c r="AQ80" s="920">
        <f t="shared" si="48"/>
        <v>0</v>
      </c>
      <c r="AR80" s="920">
        <f t="shared" si="48"/>
        <v>0</v>
      </c>
      <c r="AS80" s="920">
        <f t="shared" si="48"/>
        <v>0</v>
      </c>
      <c r="AT80" s="920">
        <f t="shared" si="48"/>
        <v>0</v>
      </c>
      <c r="AU80" s="920">
        <f t="shared" si="48"/>
        <v>0</v>
      </c>
      <c r="AV80" s="920">
        <f t="shared" si="48"/>
        <v>0</v>
      </c>
      <c r="AW80" s="920">
        <f t="shared" si="48"/>
        <v>0</v>
      </c>
      <c r="AX80" s="920">
        <f t="shared" si="48"/>
        <v>0</v>
      </c>
      <c r="AY80" s="920">
        <f t="shared" si="48"/>
        <v>0</v>
      </c>
      <c r="AZ80" s="920">
        <f t="shared" si="48"/>
        <v>0</v>
      </c>
      <c r="BA80" s="920">
        <f t="shared" si="48"/>
        <v>0</v>
      </c>
      <c r="BB80" s="920">
        <f t="shared" si="48"/>
        <v>0</v>
      </c>
      <c r="BC80" s="920">
        <f t="shared" si="48"/>
        <v>0</v>
      </c>
      <c r="BD80" s="920">
        <f t="shared" si="48"/>
        <v>0</v>
      </c>
      <c r="BE80" s="920">
        <f t="shared" si="48"/>
        <v>0</v>
      </c>
      <c r="BF80" s="920">
        <f t="shared" si="48"/>
        <v>0</v>
      </c>
      <c r="BG80" s="920">
        <f t="shared" si="48"/>
        <v>0</v>
      </c>
      <c r="BH80" s="920">
        <f t="shared" si="48"/>
        <v>0</v>
      </c>
      <c r="BI80" s="920">
        <f t="shared" si="48"/>
        <v>0</v>
      </c>
      <c r="BJ80" s="920">
        <f t="shared" si="48"/>
        <v>0</v>
      </c>
      <c r="BK80" s="920">
        <f t="shared" si="48"/>
        <v>0</v>
      </c>
      <c r="BL80" s="920">
        <f t="shared" si="48"/>
        <v>0</v>
      </c>
      <c r="BM80" s="920">
        <f t="shared" si="48"/>
        <v>0</v>
      </c>
      <c r="BN80" s="920">
        <f t="shared" si="48"/>
        <v>0</v>
      </c>
      <c r="BO80" s="920">
        <f t="shared" si="48"/>
        <v>0</v>
      </c>
      <c r="BP80" s="920">
        <f t="shared" si="48"/>
        <v>0</v>
      </c>
      <c r="BQ80" s="920">
        <f t="shared" si="48"/>
        <v>0</v>
      </c>
      <c r="BR80" s="920">
        <f t="shared" si="48"/>
        <v>0</v>
      </c>
      <c r="BS80" s="920">
        <f t="shared" si="48"/>
        <v>0</v>
      </c>
      <c r="BT80" s="920">
        <f t="shared" si="48"/>
        <v>0</v>
      </c>
      <c r="BU80" s="920">
        <f t="shared" si="48"/>
        <v>0</v>
      </c>
      <c r="BV80" s="920">
        <f t="shared" si="48"/>
        <v>0</v>
      </c>
      <c r="BW80" s="920">
        <f t="shared" si="48"/>
        <v>0</v>
      </c>
      <c r="BX80" s="920">
        <f t="shared" si="48"/>
        <v>0</v>
      </c>
      <c r="BY80" s="920">
        <f t="shared" si="48"/>
        <v>0</v>
      </c>
      <c r="BZ80" s="920">
        <f t="shared" si="48"/>
        <v>0</v>
      </c>
      <c r="CA80" s="920">
        <f t="shared" si="48"/>
        <v>0</v>
      </c>
      <c r="CB80" s="920">
        <f t="shared" si="48"/>
        <v>0</v>
      </c>
      <c r="CC80" s="920">
        <f t="shared" ref="CC80:DW80" si="49">CC$79*$J80*(6/12)*(CC$54&lt;=$G$81)</f>
        <v>0</v>
      </c>
      <c r="CD80" s="920">
        <f t="shared" si="49"/>
        <v>0</v>
      </c>
      <c r="CE80" s="920">
        <f t="shared" si="49"/>
        <v>0</v>
      </c>
      <c r="CF80" s="920">
        <f t="shared" si="49"/>
        <v>0</v>
      </c>
      <c r="CG80" s="920">
        <f t="shared" si="49"/>
        <v>0</v>
      </c>
      <c r="CH80" s="920">
        <f t="shared" si="49"/>
        <v>0</v>
      </c>
      <c r="CI80" s="920">
        <f t="shared" si="49"/>
        <v>0</v>
      </c>
      <c r="CJ80" s="920">
        <f t="shared" si="49"/>
        <v>0</v>
      </c>
      <c r="CK80" s="920">
        <f t="shared" si="49"/>
        <v>0</v>
      </c>
      <c r="CL80" s="920">
        <f t="shared" si="49"/>
        <v>0</v>
      </c>
      <c r="CM80" s="920">
        <f t="shared" si="49"/>
        <v>0</v>
      </c>
      <c r="CN80" s="920">
        <f t="shared" si="49"/>
        <v>0</v>
      </c>
      <c r="CO80" s="920">
        <f t="shared" si="49"/>
        <v>0</v>
      </c>
      <c r="CP80" s="920">
        <f t="shared" si="49"/>
        <v>0</v>
      </c>
      <c r="CQ80" s="920">
        <f t="shared" si="49"/>
        <v>0</v>
      </c>
      <c r="CR80" s="920">
        <f t="shared" si="49"/>
        <v>0</v>
      </c>
      <c r="CS80" s="920">
        <f t="shared" si="49"/>
        <v>0</v>
      </c>
      <c r="CT80" s="920">
        <f t="shared" si="49"/>
        <v>0</v>
      </c>
      <c r="CU80" s="920">
        <f t="shared" si="49"/>
        <v>0</v>
      </c>
      <c r="CV80" s="920">
        <f t="shared" si="49"/>
        <v>0</v>
      </c>
      <c r="CW80" s="920">
        <f t="shared" si="49"/>
        <v>0</v>
      </c>
      <c r="CX80" s="920">
        <f t="shared" si="49"/>
        <v>0</v>
      </c>
      <c r="CY80" s="920">
        <f t="shared" si="49"/>
        <v>0</v>
      </c>
      <c r="CZ80" s="920">
        <f t="shared" si="49"/>
        <v>0</v>
      </c>
      <c r="DA80" s="920">
        <f t="shared" si="49"/>
        <v>0</v>
      </c>
      <c r="DB80" s="920">
        <f t="shared" si="49"/>
        <v>0</v>
      </c>
      <c r="DC80" s="920">
        <f t="shared" si="49"/>
        <v>0</v>
      </c>
      <c r="DD80" s="920">
        <f t="shared" si="49"/>
        <v>0</v>
      </c>
      <c r="DE80" s="920">
        <f t="shared" si="49"/>
        <v>0</v>
      </c>
      <c r="DF80" s="920">
        <f t="shared" si="49"/>
        <v>0</v>
      </c>
      <c r="DG80" s="920">
        <f t="shared" si="49"/>
        <v>0</v>
      </c>
      <c r="DH80" s="920">
        <f t="shared" si="49"/>
        <v>0</v>
      </c>
      <c r="DI80" s="920">
        <f t="shared" si="49"/>
        <v>0</v>
      </c>
      <c r="DJ80" s="920">
        <f t="shared" si="49"/>
        <v>0</v>
      </c>
      <c r="DK80" s="920">
        <f t="shared" si="49"/>
        <v>0</v>
      </c>
      <c r="DL80" s="920">
        <f t="shared" si="49"/>
        <v>0</v>
      </c>
      <c r="DM80" s="920">
        <f t="shared" si="49"/>
        <v>0</v>
      </c>
      <c r="DN80" s="920">
        <f t="shared" si="49"/>
        <v>0</v>
      </c>
      <c r="DO80" s="920">
        <f t="shared" si="49"/>
        <v>0</v>
      </c>
      <c r="DP80" s="920">
        <f t="shared" si="49"/>
        <v>0</v>
      </c>
      <c r="DQ80" s="920">
        <f t="shared" si="49"/>
        <v>0</v>
      </c>
      <c r="DR80" s="920">
        <f t="shared" si="49"/>
        <v>0</v>
      </c>
      <c r="DS80" s="920">
        <f t="shared" si="49"/>
        <v>0</v>
      </c>
      <c r="DT80" s="920">
        <f t="shared" si="49"/>
        <v>0</v>
      </c>
      <c r="DU80" s="920">
        <f t="shared" si="49"/>
        <v>0</v>
      </c>
      <c r="DV80" s="920">
        <f t="shared" si="49"/>
        <v>0</v>
      </c>
      <c r="DW80" s="920">
        <f t="shared" si="49"/>
        <v>0</v>
      </c>
    </row>
    <row r="81" spans="2:127" ht="11.25" customHeight="1">
      <c r="B81" s="985"/>
      <c r="C81" s="911" t="s">
        <v>581</v>
      </c>
      <c r="D81" s="912"/>
      <c r="E81" s="912"/>
      <c r="F81" s="912"/>
      <c r="G81" s="913">
        <f>G80</f>
        <v>46691</v>
      </c>
      <c r="H81" s="912"/>
      <c r="I81" s="913"/>
      <c r="J81" s="914"/>
      <c r="K81" s="918">
        <f ca="1">SUM(M81:DW81)</f>
        <v>4299854.3924679644</v>
      </c>
      <c r="L81" s="98"/>
      <c r="M81" s="920">
        <f>MAX(M80-M78,)</f>
        <v>0</v>
      </c>
      <c r="N81" s="920">
        <f ca="1">MAX(N80-N78,)</f>
        <v>2431910.4478286155</v>
      </c>
      <c r="O81" s="920">
        <f t="shared" ref="O81:BZ81" ca="1" si="50">MAX(O80-O78,)</f>
        <v>1867943.9446393484</v>
      </c>
      <c r="P81" s="920">
        <f t="shared" ca="1" si="50"/>
        <v>0</v>
      </c>
      <c r="Q81" s="920">
        <f t="shared" ca="1" si="50"/>
        <v>0</v>
      </c>
      <c r="R81" s="920">
        <f t="shared" ca="1" si="50"/>
        <v>0</v>
      </c>
      <c r="S81" s="920">
        <f t="shared" ca="1" si="50"/>
        <v>0</v>
      </c>
      <c r="T81" s="920">
        <f t="shared" ca="1" si="50"/>
        <v>0</v>
      </c>
      <c r="U81" s="920">
        <f t="shared" ca="1" si="50"/>
        <v>0</v>
      </c>
      <c r="V81" s="920">
        <f t="shared" ca="1" si="50"/>
        <v>0</v>
      </c>
      <c r="W81" s="920">
        <f t="shared" ca="1" si="50"/>
        <v>0</v>
      </c>
      <c r="X81" s="920">
        <f t="shared" ca="1" si="50"/>
        <v>0</v>
      </c>
      <c r="Y81" s="920">
        <f t="shared" ref="Y81:AG81" ca="1" si="51">MAX(Y80-Y78,)</f>
        <v>0</v>
      </c>
      <c r="Z81" s="920">
        <f t="shared" ca="1" si="51"/>
        <v>0</v>
      </c>
      <c r="AA81" s="920">
        <f t="shared" ca="1" si="51"/>
        <v>0</v>
      </c>
      <c r="AB81" s="920">
        <f t="shared" ca="1" si="51"/>
        <v>0</v>
      </c>
      <c r="AC81" s="920">
        <f t="shared" ca="1" si="51"/>
        <v>0</v>
      </c>
      <c r="AD81" s="920">
        <f t="shared" ca="1" si="51"/>
        <v>0</v>
      </c>
      <c r="AE81" s="920">
        <f t="shared" ca="1" si="51"/>
        <v>0</v>
      </c>
      <c r="AF81" s="920">
        <f t="shared" ca="1" si="51"/>
        <v>0</v>
      </c>
      <c r="AG81" s="920">
        <f t="shared" ca="1" si="51"/>
        <v>0</v>
      </c>
      <c r="AH81" s="920">
        <f t="shared" si="50"/>
        <v>0</v>
      </c>
      <c r="AI81" s="920">
        <f t="shared" si="50"/>
        <v>0</v>
      </c>
      <c r="AJ81" s="920">
        <f t="shared" si="50"/>
        <v>0</v>
      </c>
      <c r="AK81" s="920">
        <f t="shared" si="50"/>
        <v>0</v>
      </c>
      <c r="AL81" s="920">
        <f t="shared" si="50"/>
        <v>0</v>
      </c>
      <c r="AM81" s="920">
        <f t="shared" si="50"/>
        <v>0</v>
      </c>
      <c r="AN81" s="920">
        <f t="shared" si="50"/>
        <v>0</v>
      </c>
      <c r="AO81" s="920">
        <f t="shared" si="50"/>
        <v>0</v>
      </c>
      <c r="AP81" s="920">
        <f t="shared" si="50"/>
        <v>0</v>
      </c>
      <c r="AQ81" s="920">
        <f t="shared" si="50"/>
        <v>0</v>
      </c>
      <c r="AR81" s="920">
        <f t="shared" si="50"/>
        <v>0</v>
      </c>
      <c r="AS81" s="920">
        <f t="shared" si="50"/>
        <v>0</v>
      </c>
      <c r="AT81" s="920">
        <f t="shared" si="50"/>
        <v>0</v>
      </c>
      <c r="AU81" s="920">
        <f t="shared" si="50"/>
        <v>0</v>
      </c>
      <c r="AV81" s="920">
        <f t="shared" si="50"/>
        <v>0</v>
      </c>
      <c r="AW81" s="920">
        <f t="shared" si="50"/>
        <v>0</v>
      </c>
      <c r="AX81" s="920">
        <f t="shared" si="50"/>
        <v>0</v>
      </c>
      <c r="AY81" s="920">
        <f t="shared" si="50"/>
        <v>0</v>
      </c>
      <c r="AZ81" s="920">
        <f t="shared" si="50"/>
        <v>0</v>
      </c>
      <c r="BA81" s="920">
        <f t="shared" si="50"/>
        <v>0</v>
      </c>
      <c r="BB81" s="920">
        <f t="shared" si="50"/>
        <v>0</v>
      </c>
      <c r="BC81" s="920">
        <f t="shared" si="50"/>
        <v>0</v>
      </c>
      <c r="BD81" s="920">
        <f t="shared" si="50"/>
        <v>0</v>
      </c>
      <c r="BE81" s="920">
        <f t="shared" si="50"/>
        <v>0</v>
      </c>
      <c r="BF81" s="920">
        <f t="shared" si="50"/>
        <v>0</v>
      </c>
      <c r="BG81" s="920">
        <f t="shared" si="50"/>
        <v>0</v>
      </c>
      <c r="BH81" s="920">
        <f t="shared" si="50"/>
        <v>0</v>
      </c>
      <c r="BI81" s="920">
        <f t="shared" si="50"/>
        <v>0</v>
      </c>
      <c r="BJ81" s="920">
        <f t="shared" si="50"/>
        <v>0</v>
      </c>
      <c r="BK81" s="920">
        <f t="shared" si="50"/>
        <v>0</v>
      </c>
      <c r="BL81" s="920">
        <f t="shared" si="50"/>
        <v>0</v>
      </c>
      <c r="BM81" s="920">
        <f t="shared" si="50"/>
        <v>0</v>
      </c>
      <c r="BN81" s="920">
        <f t="shared" si="50"/>
        <v>0</v>
      </c>
      <c r="BO81" s="920">
        <f t="shared" si="50"/>
        <v>0</v>
      </c>
      <c r="BP81" s="920">
        <f t="shared" si="50"/>
        <v>0</v>
      </c>
      <c r="BQ81" s="920">
        <f t="shared" si="50"/>
        <v>0</v>
      </c>
      <c r="BR81" s="920">
        <f t="shared" si="50"/>
        <v>0</v>
      </c>
      <c r="BS81" s="920">
        <f t="shared" si="50"/>
        <v>0</v>
      </c>
      <c r="BT81" s="920">
        <f t="shared" si="50"/>
        <v>0</v>
      </c>
      <c r="BU81" s="920">
        <f t="shared" si="50"/>
        <v>0</v>
      </c>
      <c r="BV81" s="920">
        <f t="shared" si="50"/>
        <v>0</v>
      </c>
      <c r="BW81" s="920">
        <f t="shared" si="50"/>
        <v>0</v>
      </c>
      <c r="BX81" s="920">
        <f t="shared" si="50"/>
        <v>0</v>
      </c>
      <c r="BY81" s="920">
        <f t="shared" si="50"/>
        <v>0</v>
      </c>
      <c r="BZ81" s="920">
        <f t="shared" si="50"/>
        <v>0</v>
      </c>
      <c r="CA81" s="920">
        <f t="shared" ref="CA81:DW81" si="52">MAX(CA80-CA78,)</f>
        <v>0</v>
      </c>
      <c r="CB81" s="920">
        <f t="shared" si="52"/>
        <v>0</v>
      </c>
      <c r="CC81" s="920">
        <f t="shared" si="52"/>
        <v>0</v>
      </c>
      <c r="CD81" s="920">
        <f t="shared" si="52"/>
        <v>0</v>
      </c>
      <c r="CE81" s="920">
        <f t="shared" si="52"/>
        <v>0</v>
      </c>
      <c r="CF81" s="920">
        <f t="shared" si="52"/>
        <v>0</v>
      </c>
      <c r="CG81" s="920">
        <f t="shared" si="52"/>
        <v>0</v>
      </c>
      <c r="CH81" s="920">
        <f t="shared" si="52"/>
        <v>0</v>
      </c>
      <c r="CI81" s="920">
        <f t="shared" si="52"/>
        <v>0</v>
      </c>
      <c r="CJ81" s="920">
        <f t="shared" si="52"/>
        <v>0</v>
      </c>
      <c r="CK81" s="920">
        <f t="shared" si="52"/>
        <v>0</v>
      </c>
      <c r="CL81" s="920">
        <f t="shared" si="52"/>
        <v>0</v>
      </c>
      <c r="CM81" s="920">
        <f t="shared" si="52"/>
        <v>0</v>
      </c>
      <c r="CN81" s="920">
        <f t="shared" si="52"/>
        <v>0</v>
      </c>
      <c r="CO81" s="920">
        <f t="shared" si="52"/>
        <v>0</v>
      </c>
      <c r="CP81" s="920">
        <f t="shared" si="52"/>
        <v>0</v>
      </c>
      <c r="CQ81" s="920">
        <f t="shared" si="52"/>
        <v>0</v>
      </c>
      <c r="CR81" s="920">
        <f t="shared" si="52"/>
        <v>0</v>
      </c>
      <c r="CS81" s="920">
        <f t="shared" si="52"/>
        <v>0</v>
      </c>
      <c r="CT81" s="920">
        <f t="shared" si="52"/>
        <v>0</v>
      </c>
      <c r="CU81" s="920">
        <f t="shared" si="52"/>
        <v>0</v>
      </c>
      <c r="CV81" s="920">
        <f t="shared" si="52"/>
        <v>0</v>
      </c>
      <c r="CW81" s="920">
        <f t="shared" si="52"/>
        <v>0</v>
      </c>
      <c r="CX81" s="920">
        <f t="shared" si="52"/>
        <v>0</v>
      </c>
      <c r="CY81" s="920">
        <f t="shared" si="52"/>
        <v>0</v>
      </c>
      <c r="CZ81" s="920">
        <f t="shared" si="52"/>
        <v>0</v>
      </c>
      <c r="DA81" s="920">
        <f t="shared" si="52"/>
        <v>0</v>
      </c>
      <c r="DB81" s="920">
        <f t="shared" si="52"/>
        <v>0</v>
      </c>
      <c r="DC81" s="920">
        <f t="shared" si="52"/>
        <v>0</v>
      </c>
      <c r="DD81" s="920">
        <f t="shared" si="52"/>
        <v>0</v>
      </c>
      <c r="DE81" s="920">
        <f t="shared" si="52"/>
        <v>0</v>
      </c>
      <c r="DF81" s="920">
        <f t="shared" si="52"/>
        <v>0</v>
      </c>
      <c r="DG81" s="920">
        <f t="shared" si="52"/>
        <v>0</v>
      </c>
      <c r="DH81" s="920">
        <f t="shared" si="52"/>
        <v>0</v>
      </c>
      <c r="DI81" s="920">
        <f t="shared" si="52"/>
        <v>0</v>
      </c>
      <c r="DJ81" s="920">
        <f t="shared" si="52"/>
        <v>0</v>
      </c>
      <c r="DK81" s="920">
        <f t="shared" si="52"/>
        <v>0</v>
      </c>
      <c r="DL81" s="920">
        <f t="shared" si="52"/>
        <v>0</v>
      </c>
      <c r="DM81" s="920">
        <f t="shared" si="52"/>
        <v>0</v>
      </c>
      <c r="DN81" s="920">
        <f t="shared" si="52"/>
        <v>0</v>
      </c>
      <c r="DO81" s="920">
        <f t="shared" si="52"/>
        <v>0</v>
      </c>
      <c r="DP81" s="920">
        <f t="shared" si="52"/>
        <v>0</v>
      </c>
      <c r="DQ81" s="920">
        <f t="shared" si="52"/>
        <v>0</v>
      </c>
      <c r="DR81" s="920">
        <f t="shared" si="52"/>
        <v>0</v>
      </c>
      <c r="DS81" s="920">
        <f t="shared" si="52"/>
        <v>0</v>
      </c>
      <c r="DT81" s="920">
        <f t="shared" si="52"/>
        <v>0</v>
      </c>
      <c r="DU81" s="920">
        <f t="shared" si="52"/>
        <v>0</v>
      </c>
      <c r="DV81" s="920">
        <f t="shared" si="52"/>
        <v>0</v>
      </c>
      <c r="DW81" s="920">
        <f t="shared" si="52"/>
        <v>0</v>
      </c>
    </row>
    <row r="82" spans="2:127" ht="11.25" customHeight="1">
      <c r="B82" s="985"/>
      <c r="C82" s="911" t="s">
        <v>582</v>
      </c>
      <c r="D82" s="912"/>
      <c r="E82" s="912"/>
      <c r="F82" s="912"/>
      <c r="G82" s="912"/>
      <c r="H82" s="912"/>
      <c r="I82" s="913"/>
      <c r="J82" s="914" t="b">
        <f ca="1">ABS(K82+K83)&lt;1</f>
        <v>1</v>
      </c>
      <c r="K82" s="918">
        <f ca="1">SUM(M82:DW82)</f>
        <v>-4299854.3924679644</v>
      </c>
      <c r="L82" s="98"/>
      <c r="M82" s="920">
        <f>-M81</f>
        <v>0</v>
      </c>
      <c r="N82" s="920">
        <f t="shared" ref="N82:BY82" ca="1" si="53">-N81</f>
        <v>-2431910.4478286155</v>
      </c>
      <c r="O82" s="920">
        <f t="shared" ca="1" si="53"/>
        <v>-1867943.9446393484</v>
      </c>
      <c r="P82" s="920">
        <f t="shared" ca="1" si="53"/>
        <v>0</v>
      </c>
      <c r="Q82" s="920">
        <f t="shared" ca="1" si="53"/>
        <v>0</v>
      </c>
      <c r="R82" s="920">
        <f t="shared" ca="1" si="53"/>
        <v>0</v>
      </c>
      <c r="S82" s="920">
        <f t="shared" ca="1" si="53"/>
        <v>0</v>
      </c>
      <c r="T82" s="920">
        <f t="shared" ca="1" si="53"/>
        <v>0</v>
      </c>
      <c r="U82" s="920">
        <f t="shared" ca="1" si="53"/>
        <v>0</v>
      </c>
      <c r="V82" s="920">
        <f t="shared" ca="1" si="53"/>
        <v>0</v>
      </c>
      <c r="W82" s="920">
        <f t="shared" ca="1" si="53"/>
        <v>0</v>
      </c>
      <c r="X82" s="920">
        <f t="shared" ca="1" si="53"/>
        <v>0</v>
      </c>
      <c r="Y82" s="920">
        <f t="shared" ca="1" si="53"/>
        <v>0</v>
      </c>
      <c r="Z82" s="920">
        <f t="shared" ca="1" si="53"/>
        <v>0</v>
      </c>
      <c r="AA82" s="920">
        <f t="shared" ca="1" si="53"/>
        <v>0</v>
      </c>
      <c r="AB82" s="920">
        <f t="shared" ca="1" si="53"/>
        <v>0</v>
      </c>
      <c r="AC82" s="920">
        <f t="shared" ca="1" si="53"/>
        <v>0</v>
      </c>
      <c r="AD82" s="920">
        <f t="shared" ca="1" si="53"/>
        <v>0</v>
      </c>
      <c r="AE82" s="920">
        <f t="shared" ca="1" si="53"/>
        <v>0</v>
      </c>
      <c r="AF82" s="920">
        <f t="shared" ca="1" si="53"/>
        <v>0</v>
      </c>
      <c r="AG82" s="920">
        <f t="shared" ca="1" si="53"/>
        <v>0</v>
      </c>
      <c r="AH82" s="920">
        <f t="shared" si="53"/>
        <v>0</v>
      </c>
      <c r="AI82" s="920">
        <f t="shared" si="53"/>
        <v>0</v>
      </c>
      <c r="AJ82" s="920">
        <f t="shared" si="53"/>
        <v>0</v>
      </c>
      <c r="AK82" s="920">
        <f t="shared" si="53"/>
        <v>0</v>
      </c>
      <c r="AL82" s="920">
        <f t="shared" si="53"/>
        <v>0</v>
      </c>
      <c r="AM82" s="920">
        <f t="shared" si="53"/>
        <v>0</v>
      </c>
      <c r="AN82" s="920">
        <f t="shared" si="53"/>
        <v>0</v>
      </c>
      <c r="AO82" s="920">
        <f t="shared" si="53"/>
        <v>0</v>
      </c>
      <c r="AP82" s="920">
        <f t="shared" si="53"/>
        <v>0</v>
      </c>
      <c r="AQ82" s="920">
        <f t="shared" si="53"/>
        <v>0</v>
      </c>
      <c r="AR82" s="920">
        <f t="shared" si="53"/>
        <v>0</v>
      </c>
      <c r="AS82" s="920">
        <f t="shared" si="53"/>
        <v>0</v>
      </c>
      <c r="AT82" s="920">
        <f t="shared" si="53"/>
        <v>0</v>
      </c>
      <c r="AU82" s="920">
        <f t="shared" si="53"/>
        <v>0</v>
      </c>
      <c r="AV82" s="920">
        <f t="shared" si="53"/>
        <v>0</v>
      </c>
      <c r="AW82" s="920">
        <f t="shared" si="53"/>
        <v>0</v>
      </c>
      <c r="AX82" s="920">
        <f t="shared" si="53"/>
        <v>0</v>
      </c>
      <c r="AY82" s="920">
        <f t="shared" si="53"/>
        <v>0</v>
      </c>
      <c r="AZ82" s="920">
        <f t="shared" si="53"/>
        <v>0</v>
      </c>
      <c r="BA82" s="920">
        <f t="shared" si="53"/>
        <v>0</v>
      </c>
      <c r="BB82" s="920">
        <f t="shared" si="53"/>
        <v>0</v>
      </c>
      <c r="BC82" s="920">
        <f t="shared" si="53"/>
        <v>0</v>
      </c>
      <c r="BD82" s="920">
        <f t="shared" si="53"/>
        <v>0</v>
      </c>
      <c r="BE82" s="920">
        <f t="shared" si="53"/>
        <v>0</v>
      </c>
      <c r="BF82" s="920">
        <f t="shared" si="53"/>
        <v>0</v>
      </c>
      <c r="BG82" s="920">
        <f t="shared" si="53"/>
        <v>0</v>
      </c>
      <c r="BH82" s="920">
        <f t="shared" si="53"/>
        <v>0</v>
      </c>
      <c r="BI82" s="920">
        <f t="shared" si="53"/>
        <v>0</v>
      </c>
      <c r="BJ82" s="920">
        <f t="shared" si="53"/>
        <v>0</v>
      </c>
      <c r="BK82" s="920">
        <f t="shared" si="53"/>
        <v>0</v>
      </c>
      <c r="BL82" s="920">
        <f t="shared" si="53"/>
        <v>0</v>
      </c>
      <c r="BM82" s="920">
        <f t="shared" si="53"/>
        <v>0</v>
      </c>
      <c r="BN82" s="920">
        <f t="shared" si="53"/>
        <v>0</v>
      </c>
      <c r="BO82" s="920">
        <f t="shared" si="53"/>
        <v>0</v>
      </c>
      <c r="BP82" s="920">
        <f t="shared" si="53"/>
        <v>0</v>
      </c>
      <c r="BQ82" s="920">
        <f t="shared" si="53"/>
        <v>0</v>
      </c>
      <c r="BR82" s="920">
        <f t="shared" si="53"/>
        <v>0</v>
      </c>
      <c r="BS82" s="920">
        <f t="shared" si="53"/>
        <v>0</v>
      </c>
      <c r="BT82" s="920">
        <f t="shared" si="53"/>
        <v>0</v>
      </c>
      <c r="BU82" s="920">
        <f t="shared" si="53"/>
        <v>0</v>
      </c>
      <c r="BV82" s="920">
        <f t="shared" si="53"/>
        <v>0</v>
      </c>
      <c r="BW82" s="920">
        <f t="shared" si="53"/>
        <v>0</v>
      </c>
      <c r="BX82" s="920">
        <f t="shared" si="53"/>
        <v>0</v>
      </c>
      <c r="BY82" s="920">
        <f t="shared" si="53"/>
        <v>0</v>
      </c>
      <c r="BZ82" s="920">
        <f t="shared" ref="BZ82:DW82" si="54">-BZ81</f>
        <v>0</v>
      </c>
      <c r="CA82" s="920">
        <f t="shared" si="54"/>
        <v>0</v>
      </c>
      <c r="CB82" s="920">
        <f t="shared" si="54"/>
        <v>0</v>
      </c>
      <c r="CC82" s="920">
        <f t="shared" si="54"/>
        <v>0</v>
      </c>
      <c r="CD82" s="920">
        <f t="shared" si="54"/>
        <v>0</v>
      </c>
      <c r="CE82" s="920">
        <f t="shared" si="54"/>
        <v>0</v>
      </c>
      <c r="CF82" s="920">
        <f t="shared" si="54"/>
        <v>0</v>
      </c>
      <c r="CG82" s="920">
        <f t="shared" si="54"/>
        <v>0</v>
      </c>
      <c r="CH82" s="920">
        <f t="shared" si="54"/>
        <v>0</v>
      </c>
      <c r="CI82" s="920">
        <f t="shared" si="54"/>
        <v>0</v>
      </c>
      <c r="CJ82" s="920">
        <f t="shared" si="54"/>
        <v>0</v>
      </c>
      <c r="CK82" s="920">
        <f t="shared" si="54"/>
        <v>0</v>
      </c>
      <c r="CL82" s="920">
        <f t="shared" si="54"/>
        <v>0</v>
      </c>
      <c r="CM82" s="920">
        <f t="shared" si="54"/>
        <v>0</v>
      </c>
      <c r="CN82" s="920">
        <f t="shared" si="54"/>
        <v>0</v>
      </c>
      <c r="CO82" s="920">
        <f t="shared" si="54"/>
        <v>0</v>
      </c>
      <c r="CP82" s="920">
        <f t="shared" si="54"/>
        <v>0</v>
      </c>
      <c r="CQ82" s="920">
        <f t="shared" si="54"/>
        <v>0</v>
      </c>
      <c r="CR82" s="920">
        <f t="shared" si="54"/>
        <v>0</v>
      </c>
      <c r="CS82" s="920">
        <f t="shared" si="54"/>
        <v>0</v>
      </c>
      <c r="CT82" s="920">
        <f t="shared" si="54"/>
        <v>0</v>
      </c>
      <c r="CU82" s="920">
        <f t="shared" si="54"/>
        <v>0</v>
      </c>
      <c r="CV82" s="920">
        <f t="shared" si="54"/>
        <v>0</v>
      </c>
      <c r="CW82" s="920">
        <f t="shared" si="54"/>
        <v>0</v>
      </c>
      <c r="CX82" s="920">
        <f t="shared" si="54"/>
        <v>0</v>
      </c>
      <c r="CY82" s="920">
        <f t="shared" si="54"/>
        <v>0</v>
      </c>
      <c r="CZ82" s="920">
        <f t="shared" si="54"/>
        <v>0</v>
      </c>
      <c r="DA82" s="920">
        <f t="shared" si="54"/>
        <v>0</v>
      </c>
      <c r="DB82" s="920">
        <f t="shared" si="54"/>
        <v>0</v>
      </c>
      <c r="DC82" s="920">
        <f t="shared" si="54"/>
        <v>0</v>
      </c>
      <c r="DD82" s="920">
        <f t="shared" si="54"/>
        <v>0</v>
      </c>
      <c r="DE82" s="920">
        <f t="shared" si="54"/>
        <v>0</v>
      </c>
      <c r="DF82" s="920">
        <f t="shared" si="54"/>
        <v>0</v>
      </c>
      <c r="DG82" s="920">
        <f t="shared" si="54"/>
        <v>0</v>
      </c>
      <c r="DH82" s="920">
        <f t="shared" si="54"/>
        <v>0</v>
      </c>
      <c r="DI82" s="920">
        <f t="shared" si="54"/>
        <v>0</v>
      </c>
      <c r="DJ82" s="920">
        <f t="shared" si="54"/>
        <v>0</v>
      </c>
      <c r="DK82" s="920">
        <f t="shared" si="54"/>
        <v>0</v>
      </c>
      <c r="DL82" s="920">
        <f t="shared" si="54"/>
        <v>0</v>
      </c>
      <c r="DM82" s="920">
        <f t="shared" si="54"/>
        <v>0</v>
      </c>
      <c r="DN82" s="920">
        <f t="shared" si="54"/>
        <v>0</v>
      </c>
      <c r="DO82" s="920">
        <f t="shared" si="54"/>
        <v>0</v>
      </c>
      <c r="DP82" s="920">
        <f t="shared" si="54"/>
        <v>0</v>
      </c>
      <c r="DQ82" s="920">
        <f t="shared" si="54"/>
        <v>0</v>
      </c>
      <c r="DR82" s="920">
        <f t="shared" si="54"/>
        <v>0</v>
      </c>
      <c r="DS82" s="920">
        <f t="shared" si="54"/>
        <v>0</v>
      </c>
      <c r="DT82" s="920">
        <f t="shared" si="54"/>
        <v>0</v>
      </c>
      <c r="DU82" s="920">
        <f t="shared" si="54"/>
        <v>0</v>
      </c>
      <c r="DV82" s="920">
        <f t="shared" si="54"/>
        <v>0</v>
      </c>
      <c r="DW82" s="920">
        <f t="shared" si="54"/>
        <v>0</v>
      </c>
    </row>
    <row r="83" spans="2:127" ht="11.25" customHeight="1" thickBot="1">
      <c r="B83" s="986"/>
      <c r="C83" s="998" t="s">
        <v>583</v>
      </c>
      <c r="D83" s="999"/>
      <c r="E83" s="999"/>
      <c r="F83" s="999"/>
      <c r="G83" s="999"/>
      <c r="H83" s="999"/>
      <c r="I83" s="1000"/>
      <c r="J83" s="1001"/>
      <c r="K83" s="1002">
        <f>SUM(M83:DW83)</f>
        <v>4299854.3924679644</v>
      </c>
      <c r="L83" s="98"/>
      <c r="M83" s="1003">
        <v>0</v>
      </c>
      <c r="N83" s="1003">
        <v>2431910.4478286155</v>
      </c>
      <c r="O83" s="1003">
        <v>1867943.9446393484</v>
      </c>
      <c r="P83" s="1003">
        <v>0</v>
      </c>
      <c r="Q83" s="1003">
        <v>0</v>
      </c>
      <c r="R83" s="1003">
        <v>0</v>
      </c>
      <c r="S83" s="1003">
        <v>0</v>
      </c>
      <c r="T83" s="1003">
        <v>0</v>
      </c>
      <c r="U83" s="1003">
        <v>0</v>
      </c>
      <c r="V83" s="1003">
        <v>0</v>
      </c>
      <c r="W83" s="1003">
        <v>0</v>
      </c>
      <c r="X83" s="1003">
        <v>0</v>
      </c>
      <c r="Y83" s="1003">
        <v>0</v>
      </c>
      <c r="Z83" s="1003">
        <v>0</v>
      </c>
      <c r="AA83" s="1003">
        <v>0</v>
      </c>
      <c r="AB83" s="1003">
        <v>0</v>
      </c>
      <c r="AC83" s="1003">
        <v>0</v>
      </c>
      <c r="AD83" s="1003">
        <v>0</v>
      </c>
      <c r="AE83" s="1003">
        <v>0</v>
      </c>
      <c r="AF83" s="1003">
        <v>0</v>
      </c>
      <c r="AG83" s="1003">
        <v>0</v>
      </c>
      <c r="AH83" s="1003">
        <v>0</v>
      </c>
      <c r="AI83" s="1003">
        <v>0</v>
      </c>
      <c r="AJ83" s="1003">
        <v>0</v>
      </c>
      <c r="AK83" s="1003">
        <v>0</v>
      </c>
      <c r="AL83" s="1003">
        <v>0</v>
      </c>
      <c r="AM83" s="1003">
        <v>0</v>
      </c>
      <c r="AN83" s="1003">
        <v>0</v>
      </c>
      <c r="AO83" s="1003">
        <v>0</v>
      </c>
      <c r="AP83" s="1003">
        <v>0</v>
      </c>
      <c r="AQ83" s="1003">
        <v>0</v>
      </c>
      <c r="AR83" s="1003">
        <v>0</v>
      </c>
      <c r="AS83" s="1003">
        <v>0</v>
      </c>
      <c r="AT83" s="1003">
        <v>0</v>
      </c>
      <c r="AU83" s="1003">
        <v>0</v>
      </c>
      <c r="AV83" s="1003">
        <v>0</v>
      </c>
      <c r="AW83" s="1003">
        <v>0</v>
      </c>
      <c r="AX83" s="1003">
        <v>0</v>
      </c>
      <c r="AY83" s="1003">
        <v>0</v>
      </c>
      <c r="AZ83" s="1003">
        <v>0</v>
      </c>
      <c r="BA83" s="1003">
        <v>0</v>
      </c>
      <c r="BB83" s="1003">
        <v>0</v>
      </c>
      <c r="BC83" s="1003">
        <v>0</v>
      </c>
      <c r="BD83" s="1003">
        <v>0</v>
      </c>
      <c r="BE83" s="1003">
        <v>0</v>
      </c>
      <c r="BF83" s="1003">
        <v>0</v>
      </c>
      <c r="BG83" s="1003">
        <v>0</v>
      </c>
      <c r="BH83" s="1003">
        <v>0</v>
      </c>
      <c r="BI83" s="1003">
        <v>0</v>
      </c>
      <c r="BJ83" s="1003">
        <v>0</v>
      </c>
      <c r="BK83" s="1003">
        <v>0</v>
      </c>
      <c r="BL83" s="1003">
        <v>0</v>
      </c>
      <c r="BM83" s="1003">
        <v>0</v>
      </c>
      <c r="BN83" s="1003">
        <v>0</v>
      </c>
      <c r="BO83" s="1003">
        <v>0</v>
      </c>
      <c r="BP83" s="1003">
        <v>0</v>
      </c>
      <c r="BQ83" s="1003">
        <v>0</v>
      </c>
      <c r="BR83" s="1003">
        <v>0</v>
      </c>
      <c r="BS83" s="1003">
        <v>0</v>
      </c>
      <c r="BT83" s="1003">
        <v>0</v>
      </c>
      <c r="BU83" s="1003">
        <v>0</v>
      </c>
      <c r="BV83" s="1003">
        <v>0</v>
      </c>
      <c r="BW83" s="1003">
        <v>0</v>
      </c>
      <c r="BX83" s="1003">
        <v>0</v>
      </c>
      <c r="BY83" s="1003">
        <v>0</v>
      </c>
      <c r="BZ83" s="1003">
        <v>0</v>
      </c>
      <c r="CA83" s="1003">
        <v>0</v>
      </c>
      <c r="CB83" s="1003">
        <v>0</v>
      </c>
      <c r="CC83" s="1003">
        <v>0</v>
      </c>
      <c r="CD83" s="1003">
        <v>0</v>
      </c>
      <c r="CE83" s="1003">
        <v>0</v>
      </c>
      <c r="CF83" s="1003">
        <v>0</v>
      </c>
      <c r="CG83" s="1003">
        <v>0</v>
      </c>
      <c r="CH83" s="1003">
        <v>0</v>
      </c>
      <c r="CI83" s="1003">
        <v>0</v>
      </c>
      <c r="CJ83" s="1003">
        <v>0</v>
      </c>
      <c r="CK83" s="1003">
        <v>0</v>
      </c>
      <c r="CL83" s="1003">
        <v>0</v>
      </c>
      <c r="CM83" s="1003">
        <v>0</v>
      </c>
      <c r="CN83" s="1003">
        <v>0</v>
      </c>
      <c r="CO83" s="1003">
        <v>0</v>
      </c>
      <c r="CP83" s="1003">
        <v>0</v>
      </c>
      <c r="CQ83" s="1003">
        <v>0</v>
      </c>
      <c r="CR83" s="1003">
        <v>0</v>
      </c>
      <c r="CS83" s="1003">
        <v>0</v>
      </c>
      <c r="CT83" s="1003">
        <v>0</v>
      </c>
      <c r="CU83" s="1003">
        <v>0</v>
      </c>
      <c r="CV83" s="1003">
        <v>0</v>
      </c>
      <c r="CW83" s="1003">
        <v>0</v>
      </c>
      <c r="CX83" s="1003">
        <v>0</v>
      </c>
      <c r="CY83" s="1003">
        <v>0</v>
      </c>
      <c r="CZ83" s="1003">
        <v>0</v>
      </c>
      <c r="DA83" s="1003">
        <v>0</v>
      </c>
      <c r="DB83" s="1003">
        <v>0</v>
      </c>
      <c r="DC83" s="1003">
        <v>0</v>
      </c>
      <c r="DD83" s="1003">
        <v>0</v>
      </c>
      <c r="DE83" s="1003">
        <v>0</v>
      </c>
      <c r="DF83" s="1003">
        <v>0</v>
      </c>
      <c r="DG83" s="1003">
        <v>0</v>
      </c>
      <c r="DH83" s="1003">
        <v>0</v>
      </c>
      <c r="DI83" s="1003">
        <v>0</v>
      </c>
      <c r="DJ83" s="1003">
        <v>0</v>
      </c>
      <c r="DK83" s="1003">
        <v>0</v>
      </c>
      <c r="DL83" s="1003">
        <v>0</v>
      </c>
      <c r="DM83" s="1003">
        <v>0</v>
      </c>
      <c r="DN83" s="1003">
        <v>0</v>
      </c>
      <c r="DO83" s="1003">
        <v>0</v>
      </c>
      <c r="DP83" s="1003">
        <v>0</v>
      </c>
      <c r="DQ83" s="1003">
        <v>0</v>
      </c>
      <c r="DR83" s="1003">
        <v>0</v>
      </c>
      <c r="DS83" s="1003">
        <v>0</v>
      </c>
      <c r="DT83" s="1003">
        <v>0</v>
      </c>
      <c r="DU83" s="1003">
        <v>0</v>
      </c>
      <c r="DV83" s="1003">
        <v>0</v>
      </c>
      <c r="DW83" s="1003">
        <v>0</v>
      </c>
    </row>
    <row r="84" spans="2:127" ht="11.25" customHeight="1" thickTop="1"/>
    <row r="85" spans="2:127" ht="11.25" customHeight="1">
      <c r="M85" s="90"/>
      <c r="N85" s="90">
        <f ca="1">SUMIF('IS(M)'!$M$60:$ER$60,N$54,'IS(M)'!$M$70:$ER$70)-SUMIF('IS(M)'!$M$60:$ER$60,N$54,'IS(M)'!$M$75:$ER$75)</f>
        <v>-1910.4478286154335</v>
      </c>
      <c r="O85" s="90">
        <f ca="1">SUMIF('IS(M)'!$M$60:$ER$60,O$54,'IS(M)'!$M$70:$ER$70)-SUMIF('IS(M)'!$M$60:$ER$60,O$54,'IS(M)'!$M$75:$ER$75)</f>
        <v>562056.05536065169</v>
      </c>
      <c r="P85" s="90">
        <f ca="1">SUMIF('IS(M)'!$M$60:$ER$60,P$54,'IS(M)'!$M$70:$ER$70)-SUMIF('IS(M)'!$M$60:$ER$60,P$54,'IS(M)'!$M$75:$ER$75)</f>
        <v>320308.77757587575</v>
      </c>
      <c r="Q85" s="90">
        <f ca="1">SUMIF('IS(M)'!$M$60:$ER$60,Q$54,'IS(M)'!$M$70:$ER$70)-SUMIF('IS(M)'!$M$60:$ER$60,Q$54,'IS(M)'!$M$75:$ER$75)</f>
        <v>738975.76741780189</v>
      </c>
      <c r="R85" s="90">
        <f ca="1">SUMIF('IS(M)'!$M$60:$ER$60,R$54,'IS(M)'!$M$70:$ER$70)-SUMIF('IS(M)'!$M$60:$ER$60,R$54,'IS(M)'!$M$75:$ER$75)</f>
        <v>680467.57322157163</v>
      </c>
      <c r="S85" s="90">
        <f ca="1">SUMIF('IS(M)'!$M$60:$ER$60,S$54,'IS(M)'!$M$70:$ER$70)-SUMIF('IS(M)'!$M$60:$ER$60,S$54,'IS(M)'!$M$75:$ER$75)</f>
        <v>-840000.00000000012</v>
      </c>
      <c r="T85" s="90">
        <f ca="1">SUMIF('IS(M)'!$M$60:$ER$60,T$54,'IS(M)'!$M$70:$ER$70)-SUMIF('IS(M)'!$M$60:$ER$60,T$54,'IS(M)'!$M$75:$ER$75)</f>
        <v>-840000.00000000012</v>
      </c>
      <c r="U85" s="90">
        <f ca="1">SUMIF('IS(M)'!$M$60:$ER$60,U$54,'IS(M)'!$M$70:$ER$70)-SUMIF('IS(M)'!$M$60:$ER$60,U$54,'IS(M)'!$M$75:$ER$75)</f>
        <v>-128078.60503481864</v>
      </c>
      <c r="V85" s="90">
        <f ca="1">SUMIF('IS(M)'!$M$60:$ER$60,V$54,'IS(M)'!$M$70:$ER$70)-SUMIF('IS(M)'!$M$60:$ER$60,V$54,'IS(M)'!$M$75:$ER$75)</f>
        <v>1378335.2526325621</v>
      </c>
      <c r="W85" s="90">
        <f ca="1">SUMIF('IS(M)'!$M$60:$ER$60,W$54,'IS(M)'!$M$70:$ER$70)-SUMIF('IS(M)'!$M$60:$ER$60,W$54,'IS(M)'!$M$75:$ER$75)</f>
        <v>1606845.7832258944</v>
      </c>
      <c r="X85" s="90">
        <f ca="1">SUMIF('IS(M)'!$M$60:$ER$60,X$54,'IS(M)'!$M$70:$ER$70)-SUMIF('IS(M)'!$M$60:$ER$60,X$54,'IS(M)'!$M$75:$ER$75)</f>
        <v>1913511.745924803</v>
      </c>
      <c r="Y85" s="90">
        <f ca="1">SUMIF('IS(M)'!$M$60:$ER$60,Y$54,'IS(M)'!$M$70:$ER$70)-SUMIF('IS(M)'!$M$60:$ER$60,Y$54,'IS(M)'!$M$75:$ER$75)</f>
        <v>2147735.0397829702</v>
      </c>
      <c r="Z85" s="90">
        <f ca="1">SUMIF('IS(M)'!$M$60:$ER$60,Z$54,'IS(M)'!$M$70:$ER$70)-SUMIF('IS(M)'!$M$60:$ER$60,Z$54,'IS(M)'!$M$75:$ER$75)</f>
        <v>2134225.0160240461</v>
      </c>
      <c r="AA85" s="90">
        <f ca="1">SUMIF('IS(M)'!$M$60:$ER$60,AA$54,'IS(M)'!$M$70:$ER$70)-SUMIF('IS(M)'!$M$60:$ER$60,AA$54,'IS(M)'!$M$75:$ER$75)</f>
        <v>2374303.8922286662</v>
      </c>
      <c r="AB85" s="90">
        <f ca="1">SUMIF('IS(M)'!$M$60:$ER$60,AB$54,'IS(M)'!$M$70:$ER$70)-SUMIF('IS(M)'!$M$60:$ER$60,AB$54,'IS(M)'!$M$75:$ER$75)</f>
        <v>2360110.0758641767</v>
      </c>
      <c r="AC85" s="90">
        <f ca="1">SUMIF('IS(M)'!$M$60:$ER$60,AC$54,'IS(M)'!$M$70:$ER$70)-SUMIF('IS(M)'!$M$60:$ER$60,AC$54,'IS(M)'!$M$75:$ER$75)</f>
        <v>1707702.6972966138</v>
      </c>
      <c r="AD85" s="90">
        <f ca="1">SUMIF('IS(M)'!$M$60:$ER$60,AD$54,'IS(M)'!$M$70:$ER$70)-SUMIF('IS(M)'!$M$60:$ER$60,AD$54,'IS(M)'!$M$75:$ER$75)</f>
        <v>2404047.9855807289</v>
      </c>
      <c r="AE85" s="90">
        <f ca="1">SUMIF('IS(M)'!$M$60:$ER$60,AE$54,'IS(M)'!$M$70:$ER$70)-SUMIF('IS(M)'!$M$60:$ER$60,AE$54,'IS(M)'!$M$75:$ER$75)</f>
        <v>2619376.3884551078</v>
      </c>
      <c r="AF85" s="90">
        <f ca="1">SUMIF('IS(M)'!$M$60:$ER$60,AF$54,'IS(M)'!$M$70:$ER$70)-SUMIF('IS(M)'!$M$60:$ER$60,AF$54,'IS(M)'!$M$75:$ER$75)</f>
        <v>2730852.9526719525</v>
      </c>
      <c r="AG85" s="90">
        <f ca="1">SUMIF('IS(M)'!$M$60:$ER$60,AG$54,'IS(M)'!$M$70:$ER$70)-SUMIF('IS(M)'!$M$60:$ER$60,AG$54,'IS(M)'!$M$75:$ER$75)</f>
        <v>2857372.6921172934</v>
      </c>
      <c r="AH85" s="90">
        <f ca="1">SUMIF('IS(M)'!$M$60:$ER$60,AH$54,'IS(M)'!$M$70:$ER$70)-SUMIF('IS(M)'!$M$60:$ER$60,AH$54,'IS(M)'!$M$75:$ER$75)</f>
        <v>0</v>
      </c>
      <c r="AI85" s="90">
        <f ca="1">SUMIF('IS(M)'!$M$60:$ER$60,AI$54,'IS(M)'!$M$70:$ER$70)-SUMIF('IS(M)'!$M$60:$ER$60,AI$54,'IS(M)'!$M$75:$ER$75)</f>
        <v>0</v>
      </c>
      <c r="AJ85" s="90">
        <f>SUMIF('IS(M)'!$M$60:$ER$60,AJ$54,'IS(M)'!$M$70:$ER$70)-SUMIF('IS(M)'!$M$60:$ER$60,AJ$54,'IS(M)'!$M$75:$ER$75)</f>
        <v>0</v>
      </c>
      <c r="AK85" s="90">
        <f>SUMIF('IS(M)'!$M$60:$ER$60,AK$54,'IS(M)'!$M$70:$ER$70)-SUMIF('IS(M)'!$M$60:$ER$60,AK$54,'IS(M)'!$M$75:$ER$75)</f>
        <v>0</v>
      </c>
      <c r="AL85" s="90">
        <f>SUMIF('IS(M)'!$M$60:$ER$60,AL$54,'IS(M)'!$M$70:$ER$70)-SUMIF('IS(M)'!$M$60:$ER$60,AL$54,'IS(M)'!$M$75:$ER$75)</f>
        <v>0</v>
      </c>
      <c r="AM85" s="90">
        <f>SUMIF('IS(M)'!$M$60:$ER$60,AM$54,'IS(M)'!$M$70:$ER$70)-SUMIF('IS(M)'!$M$60:$ER$60,AM$54,'IS(M)'!$M$75:$ER$75)</f>
        <v>0</v>
      </c>
      <c r="AN85" s="90">
        <f>SUMIF('IS(M)'!$M$60:$ER$60,AN$54,'IS(M)'!$M$70:$ER$70)-SUMIF('IS(M)'!$M$60:$ER$60,AN$54,'IS(M)'!$M$75:$ER$75)</f>
        <v>0</v>
      </c>
      <c r="AO85" s="90">
        <f>SUMIF('IS(M)'!$M$60:$ER$60,AO$54,'IS(M)'!$M$70:$ER$70)-SUMIF('IS(M)'!$M$60:$ER$60,AO$54,'IS(M)'!$M$75:$ER$75)</f>
        <v>0</v>
      </c>
      <c r="AP85" s="90">
        <f>SUMIF('IS(M)'!$M$60:$ER$60,AP$54,'IS(M)'!$M$70:$ER$70)-SUMIF('IS(M)'!$M$60:$ER$60,AP$54,'IS(M)'!$M$75:$ER$75)</f>
        <v>0</v>
      </c>
      <c r="AQ85" s="90">
        <f>SUMIF('IS(M)'!$M$60:$ER$60,AQ$54,'IS(M)'!$M$70:$ER$70)-SUMIF('IS(M)'!$M$60:$ER$60,AQ$54,'IS(M)'!$M$75:$ER$75)</f>
        <v>0</v>
      </c>
      <c r="AR85" s="90">
        <f>SUMIF('IS(M)'!$M$60:$ER$60,AR$54,'IS(M)'!$M$70:$ER$70)-SUMIF('IS(M)'!$M$60:$ER$60,AR$54,'IS(M)'!$M$75:$ER$75)</f>
        <v>0</v>
      </c>
      <c r="AS85" s="90">
        <f>SUMIF('IS(M)'!$M$60:$ER$60,AS$54,'IS(M)'!$M$70:$ER$70)-SUMIF('IS(M)'!$M$60:$ER$60,AS$54,'IS(M)'!$M$75:$ER$75)</f>
        <v>0</v>
      </c>
      <c r="AT85" s="90">
        <f>SUMIF('IS(M)'!$M$60:$ER$60,AT$54,'IS(M)'!$M$70:$ER$70)-SUMIF('IS(M)'!$M$60:$ER$60,AT$54,'IS(M)'!$M$75:$ER$75)</f>
        <v>0</v>
      </c>
      <c r="AU85" s="90">
        <f>SUMIF('IS(M)'!$M$60:$ER$60,AU$54,'IS(M)'!$M$70:$ER$70)-SUMIF('IS(M)'!$M$60:$ER$60,AU$54,'IS(M)'!$M$75:$ER$75)</f>
        <v>0</v>
      </c>
      <c r="AV85" s="90">
        <f>SUMIF('IS(M)'!$M$60:$ER$60,AV$54,'IS(M)'!$M$70:$ER$70)-SUMIF('IS(M)'!$M$60:$ER$60,AV$54,'IS(M)'!$M$75:$ER$75)</f>
        <v>0</v>
      </c>
      <c r="AW85" s="90">
        <f>SUMIF('IS(M)'!$M$60:$ER$60,AW$54,'IS(M)'!$M$70:$ER$70)-SUMIF('IS(M)'!$M$60:$ER$60,AW$54,'IS(M)'!$M$75:$ER$75)</f>
        <v>0</v>
      </c>
      <c r="AX85" s="90">
        <f>SUMIF('IS(M)'!$M$60:$ER$60,AX$54,'IS(M)'!$M$70:$ER$70)-SUMIF('IS(M)'!$M$60:$ER$60,AX$54,'IS(M)'!$M$75:$ER$75)</f>
        <v>0</v>
      </c>
      <c r="AY85" s="90">
        <f>SUMIF('IS(M)'!$M$60:$ER$60,AY$54,'IS(M)'!$M$70:$ER$70)-SUMIF('IS(M)'!$M$60:$ER$60,AY$54,'IS(M)'!$M$75:$ER$75)</f>
        <v>0</v>
      </c>
      <c r="AZ85" s="90">
        <f>SUMIF('IS(M)'!$M$60:$ER$60,AZ$54,'IS(M)'!$M$70:$ER$70)-SUMIF('IS(M)'!$M$60:$ER$60,AZ$54,'IS(M)'!$M$75:$ER$75)</f>
        <v>0</v>
      </c>
      <c r="BA85" s="90">
        <f>SUMIF('IS(M)'!$M$60:$ER$60,BA$54,'IS(M)'!$M$70:$ER$70)-SUMIF('IS(M)'!$M$60:$ER$60,BA$54,'IS(M)'!$M$75:$ER$75)</f>
        <v>0</v>
      </c>
      <c r="BB85" s="90">
        <f>SUMIF('IS(M)'!$M$60:$ER$60,BB$54,'IS(M)'!$M$70:$ER$70)-SUMIF('IS(M)'!$M$60:$ER$60,BB$54,'IS(M)'!$M$75:$ER$75)</f>
        <v>0</v>
      </c>
      <c r="BC85" s="90">
        <f>SUMIF('IS(M)'!$M$60:$ER$60,BC$54,'IS(M)'!$M$70:$ER$70)-SUMIF('IS(M)'!$M$60:$ER$60,BC$54,'IS(M)'!$M$75:$ER$75)</f>
        <v>0</v>
      </c>
      <c r="BD85" s="90">
        <f>SUMIF('IS(M)'!$M$60:$ER$60,BD$54,'IS(M)'!$M$70:$ER$70)-SUMIF('IS(M)'!$M$60:$ER$60,BD$54,'IS(M)'!$M$75:$ER$75)</f>
        <v>0</v>
      </c>
      <c r="BE85" s="90">
        <f>SUMIF('IS(M)'!$M$60:$ER$60,BE$54,'IS(M)'!$M$70:$ER$70)-SUMIF('IS(M)'!$M$60:$ER$60,BE$54,'IS(M)'!$M$75:$ER$75)</f>
        <v>0</v>
      </c>
      <c r="BF85" s="90">
        <f>SUMIF('IS(M)'!$M$60:$ER$60,BF$54,'IS(M)'!$M$70:$ER$70)-SUMIF('IS(M)'!$M$60:$ER$60,BF$54,'IS(M)'!$M$75:$ER$75)</f>
        <v>0</v>
      </c>
      <c r="BG85" s="90">
        <f>SUMIF('IS(M)'!$M$60:$ER$60,BG$54,'IS(M)'!$M$70:$ER$70)-SUMIF('IS(M)'!$M$60:$ER$60,BG$54,'IS(M)'!$M$75:$ER$75)</f>
        <v>0</v>
      </c>
      <c r="BH85" s="90">
        <f>SUMIF('IS(M)'!$M$60:$ER$60,BH$54,'IS(M)'!$M$70:$ER$70)-SUMIF('IS(M)'!$M$60:$ER$60,BH$54,'IS(M)'!$M$75:$ER$75)</f>
        <v>0</v>
      </c>
      <c r="BI85" s="90">
        <f>SUMIF('IS(M)'!$M$60:$ER$60,BI$54,'IS(M)'!$M$70:$ER$70)-SUMIF('IS(M)'!$M$60:$ER$60,BI$54,'IS(M)'!$M$75:$ER$75)</f>
        <v>0</v>
      </c>
      <c r="BJ85" s="90">
        <f>SUMIF('IS(M)'!$M$60:$ER$60,BJ$54,'IS(M)'!$M$70:$ER$70)-SUMIF('IS(M)'!$M$60:$ER$60,BJ$54,'IS(M)'!$M$75:$ER$75)</f>
        <v>0</v>
      </c>
      <c r="BK85" s="90">
        <f>SUMIF('IS(M)'!$M$60:$ER$60,BK$54,'IS(M)'!$M$70:$ER$70)-SUMIF('IS(M)'!$M$60:$ER$60,BK$54,'IS(M)'!$M$75:$ER$75)</f>
        <v>0</v>
      </c>
      <c r="BL85" s="90">
        <f>SUMIF('IS(M)'!$M$60:$ER$60,BL$54,'IS(M)'!$M$70:$ER$70)-SUMIF('IS(M)'!$M$60:$ER$60,BL$54,'IS(M)'!$M$75:$ER$75)</f>
        <v>0</v>
      </c>
      <c r="BM85" s="90">
        <f>SUMIF('IS(M)'!$M$60:$ER$60,BM$54,'IS(M)'!$M$70:$ER$70)-SUMIF('IS(M)'!$M$60:$ER$60,BM$54,'IS(M)'!$M$75:$ER$75)</f>
        <v>0</v>
      </c>
      <c r="BN85" s="90">
        <f>SUMIF('IS(M)'!$M$60:$ER$60,BN$54,'IS(M)'!$M$70:$ER$70)-SUMIF('IS(M)'!$M$60:$ER$60,BN$54,'IS(M)'!$M$75:$ER$75)</f>
        <v>0</v>
      </c>
      <c r="BO85" s="90">
        <f>SUMIF('IS(M)'!$M$60:$ER$60,BO$54,'IS(M)'!$M$70:$ER$70)-SUMIF('IS(M)'!$M$60:$ER$60,BO$54,'IS(M)'!$M$75:$ER$75)</f>
        <v>0</v>
      </c>
      <c r="BP85" s="90">
        <f>SUMIF('IS(M)'!$M$60:$ER$60,BP$54,'IS(M)'!$M$70:$ER$70)-SUMIF('IS(M)'!$M$60:$ER$60,BP$54,'IS(M)'!$M$75:$ER$75)</f>
        <v>0</v>
      </c>
      <c r="BQ85" s="90">
        <f>SUMIF('IS(M)'!$M$60:$ER$60,BQ$54,'IS(M)'!$M$70:$ER$70)-SUMIF('IS(M)'!$M$60:$ER$60,BQ$54,'IS(M)'!$M$75:$ER$75)</f>
        <v>0</v>
      </c>
      <c r="BR85" s="90">
        <f>SUMIF('IS(M)'!$M$60:$ER$60,BR$54,'IS(M)'!$M$70:$ER$70)-SUMIF('IS(M)'!$M$60:$ER$60,BR$54,'IS(M)'!$M$75:$ER$75)</f>
        <v>0</v>
      </c>
      <c r="BS85" s="90">
        <f>SUMIF('IS(M)'!$M$60:$ER$60,BS$54,'IS(M)'!$M$70:$ER$70)-SUMIF('IS(M)'!$M$60:$ER$60,BS$54,'IS(M)'!$M$75:$ER$75)</f>
        <v>0</v>
      </c>
      <c r="BT85" s="90">
        <f>SUMIF('IS(M)'!$M$60:$ER$60,BT$54,'IS(M)'!$M$70:$ER$70)-SUMIF('IS(M)'!$M$60:$ER$60,BT$54,'IS(M)'!$M$75:$ER$75)</f>
        <v>0</v>
      </c>
      <c r="BU85" s="90">
        <f>SUMIF('IS(M)'!$M$60:$ER$60,BU$54,'IS(M)'!$M$70:$ER$70)-SUMIF('IS(M)'!$M$60:$ER$60,BU$54,'IS(M)'!$M$75:$ER$75)</f>
        <v>0</v>
      </c>
      <c r="BV85" s="90">
        <f>SUMIF('IS(M)'!$M$60:$ER$60,BV$54,'IS(M)'!$M$70:$ER$70)-SUMIF('IS(M)'!$M$60:$ER$60,BV$54,'IS(M)'!$M$75:$ER$75)</f>
        <v>0</v>
      </c>
      <c r="BW85" s="90">
        <f>SUMIF('IS(M)'!$M$60:$ER$60,BW$54,'IS(M)'!$M$70:$ER$70)-SUMIF('IS(M)'!$M$60:$ER$60,BW$54,'IS(M)'!$M$75:$ER$75)</f>
        <v>0</v>
      </c>
      <c r="BX85" s="90">
        <f>SUMIF('IS(M)'!$M$60:$ER$60,BX$54,'IS(M)'!$M$70:$ER$70)-SUMIF('IS(M)'!$M$60:$ER$60,BX$54,'IS(M)'!$M$75:$ER$75)</f>
        <v>0</v>
      </c>
      <c r="BY85" s="90">
        <f>SUMIF('IS(M)'!$M$60:$ER$60,BY$54,'IS(M)'!$M$70:$ER$70)-SUMIF('IS(M)'!$M$60:$ER$60,BY$54,'IS(M)'!$M$75:$ER$75)</f>
        <v>0</v>
      </c>
      <c r="BZ85" s="90">
        <f>SUMIF('IS(M)'!$M$60:$ER$60,BZ$54,'IS(M)'!$M$70:$ER$70)-SUMIF('IS(M)'!$M$60:$ER$60,BZ$54,'IS(M)'!$M$75:$ER$75)</f>
        <v>0</v>
      </c>
      <c r="CA85" s="90">
        <f>SUMIF('IS(M)'!$M$60:$ER$60,CA$54,'IS(M)'!$M$70:$ER$70)-SUMIF('IS(M)'!$M$60:$ER$60,CA$54,'IS(M)'!$M$75:$ER$75)</f>
        <v>0</v>
      </c>
      <c r="CB85" s="90">
        <f>SUMIF('IS(M)'!$M$60:$ER$60,CB$54,'IS(M)'!$M$70:$ER$70)-SUMIF('IS(M)'!$M$60:$ER$60,CB$54,'IS(M)'!$M$75:$ER$75)</f>
        <v>0</v>
      </c>
      <c r="CC85" s="90">
        <f>SUMIF('IS(M)'!$M$60:$ER$60,CC$54,'IS(M)'!$M$70:$ER$70)-SUMIF('IS(M)'!$M$60:$ER$60,CC$54,'IS(M)'!$M$75:$ER$75)</f>
        <v>0</v>
      </c>
      <c r="CD85" s="90">
        <f>SUMIF('IS(M)'!$M$60:$ER$60,CD$54,'IS(M)'!$M$70:$ER$70)-SUMIF('IS(M)'!$M$60:$ER$60,CD$54,'IS(M)'!$M$75:$ER$75)</f>
        <v>0</v>
      </c>
      <c r="CE85" s="90">
        <f>SUMIF('IS(M)'!$M$60:$ER$60,CE$54,'IS(M)'!$M$70:$ER$70)-SUMIF('IS(M)'!$M$60:$ER$60,CE$54,'IS(M)'!$M$75:$ER$75)</f>
        <v>0</v>
      </c>
      <c r="CF85" s="90">
        <f>SUMIF('IS(M)'!$M$60:$ER$60,CF$54,'IS(M)'!$M$70:$ER$70)-SUMIF('IS(M)'!$M$60:$ER$60,CF$54,'IS(M)'!$M$75:$ER$75)</f>
        <v>0</v>
      </c>
      <c r="CG85" s="90">
        <f>SUMIF('IS(M)'!$M$60:$ER$60,CG$54,'IS(M)'!$M$70:$ER$70)-SUMIF('IS(M)'!$M$60:$ER$60,CG$54,'IS(M)'!$M$75:$ER$75)</f>
        <v>0</v>
      </c>
      <c r="CH85" s="90">
        <f>SUMIF('IS(M)'!$M$60:$ER$60,CH$54,'IS(M)'!$M$70:$ER$70)-SUMIF('IS(M)'!$M$60:$ER$60,CH$54,'IS(M)'!$M$75:$ER$75)</f>
        <v>0</v>
      </c>
      <c r="CI85" s="90">
        <f>SUMIF('IS(M)'!$M$60:$ER$60,CI$54,'IS(M)'!$M$70:$ER$70)-SUMIF('IS(M)'!$M$60:$ER$60,CI$54,'IS(M)'!$M$75:$ER$75)</f>
        <v>0</v>
      </c>
      <c r="CJ85" s="90">
        <f>SUMIF('IS(M)'!$M$60:$ER$60,CJ$54,'IS(M)'!$M$70:$ER$70)-SUMIF('IS(M)'!$M$60:$ER$60,CJ$54,'IS(M)'!$M$75:$ER$75)</f>
        <v>0</v>
      </c>
      <c r="CK85" s="90">
        <f>SUMIF('IS(M)'!$M$60:$ER$60,CK$54,'IS(M)'!$M$70:$ER$70)-SUMIF('IS(M)'!$M$60:$ER$60,CK$54,'IS(M)'!$M$75:$ER$75)</f>
        <v>0</v>
      </c>
      <c r="CL85" s="90">
        <f>SUMIF('IS(M)'!$M$60:$ER$60,CL$54,'IS(M)'!$M$70:$ER$70)-SUMIF('IS(M)'!$M$60:$ER$60,CL$54,'IS(M)'!$M$75:$ER$75)</f>
        <v>0</v>
      </c>
      <c r="CM85" s="90">
        <f>SUMIF('IS(M)'!$M$60:$ER$60,CM$54,'IS(M)'!$M$70:$ER$70)-SUMIF('IS(M)'!$M$60:$ER$60,CM$54,'IS(M)'!$M$75:$ER$75)</f>
        <v>0</v>
      </c>
      <c r="CN85" s="90">
        <f>SUMIF('IS(M)'!$M$60:$ER$60,CN$54,'IS(M)'!$M$70:$ER$70)-SUMIF('IS(M)'!$M$60:$ER$60,CN$54,'IS(M)'!$M$75:$ER$75)</f>
        <v>0</v>
      </c>
      <c r="CO85" s="90">
        <f>SUMIF('IS(M)'!$M$60:$ER$60,CO$54,'IS(M)'!$M$70:$ER$70)-SUMIF('IS(M)'!$M$60:$ER$60,CO$54,'IS(M)'!$M$75:$ER$75)</f>
        <v>0</v>
      </c>
      <c r="CP85" s="90">
        <f>SUMIF('IS(M)'!$M$60:$ER$60,CP$54,'IS(M)'!$M$70:$ER$70)-SUMIF('IS(M)'!$M$60:$ER$60,CP$54,'IS(M)'!$M$75:$ER$75)</f>
        <v>0</v>
      </c>
      <c r="CQ85" s="90">
        <f>SUMIF('IS(M)'!$M$60:$ER$60,CQ$54,'IS(M)'!$M$70:$ER$70)-SUMIF('IS(M)'!$M$60:$ER$60,CQ$54,'IS(M)'!$M$75:$ER$75)</f>
        <v>0</v>
      </c>
      <c r="CR85" s="90">
        <f>SUMIF('IS(M)'!$M$60:$ER$60,CR$54,'IS(M)'!$M$70:$ER$70)-SUMIF('IS(M)'!$M$60:$ER$60,CR$54,'IS(M)'!$M$75:$ER$75)</f>
        <v>0</v>
      </c>
      <c r="CS85" s="90">
        <f>SUMIF('IS(M)'!$M$60:$ER$60,CS$54,'IS(M)'!$M$70:$ER$70)-SUMIF('IS(M)'!$M$60:$ER$60,CS$54,'IS(M)'!$M$75:$ER$75)</f>
        <v>0</v>
      </c>
      <c r="CT85" s="90">
        <f>SUMIF('IS(M)'!$M$60:$ER$60,CT$54,'IS(M)'!$M$70:$ER$70)-SUMIF('IS(M)'!$M$60:$ER$60,CT$54,'IS(M)'!$M$75:$ER$75)</f>
        <v>0</v>
      </c>
      <c r="CU85" s="90">
        <f>SUMIF('IS(M)'!$M$60:$ER$60,CU$54,'IS(M)'!$M$70:$ER$70)-SUMIF('IS(M)'!$M$60:$ER$60,CU$54,'IS(M)'!$M$75:$ER$75)</f>
        <v>0</v>
      </c>
      <c r="CV85" s="90">
        <f>SUMIF('IS(M)'!$M$60:$ER$60,CV$54,'IS(M)'!$M$70:$ER$70)-SUMIF('IS(M)'!$M$60:$ER$60,CV$54,'IS(M)'!$M$75:$ER$75)</f>
        <v>0</v>
      </c>
      <c r="CW85" s="90">
        <f>SUMIF('IS(M)'!$M$60:$ER$60,CW$54,'IS(M)'!$M$70:$ER$70)-SUMIF('IS(M)'!$M$60:$ER$60,CW$54,'IS(M)'!$M$75:$ER$75)</f>
        <v>0</v>
      </c>
      <c r="CX85" s="90">
        <f>SUMIF('IS(M)'!$M$60:$ER$60,CX$54,'IS(M)'!$M$70:$ER$70)-SUMIF('IS(M)'!$M$60:$ER$60,CX$54,'IS(M)'!$M$75:$ER$75)</f>
        <v>0</v>
      </c>
      <c r="CY85" s="90">
        <f>SUMIF('IS(M)'!$M$60:$ER$60,CY$54,'IS(M)'!$M$70:$ER$70)-SUMIF('IS(M)'!$M$60:$ER$60,CY$54,'IS(M)'!$M$75:$ER$75)</f>
        <v>0</v>
      </c>
      <c r="CZ85" s="90">
        <f>SUMIF('IS(M)'!$M$60:$ER$60,CZ$54,'IS(M)'!$M$70:$ER$70)-SUMIF('IS(M)'!$M$60:$ER$60,CZ$54,'IS(M)'!$M$75:$ER$75)</f>
        <v>0</v>
      </c>
      <c r="DA85" s="90">
        <f>SUMIF('IS(M)'!$M$60:$ER$60,DA$54,'IS(M)'!$M$70:$ER$70)-SUMIF('IS(M)'!$M$60:$ER$60,DA$54,'IS(M)'!$M$75:$ER$75)</f>
        <v>0</v>
      </c>
      <c r="DB85" s="90">
        <f>SUMIF('IS(M)'!$M$60:$ER$60,DB$54,'IS(M)'!$M$70:$ER$70)-SUMIF('IS(M)'!$M$60:$ER$60,DB$54,'IS(M)'!$M$75:$ER$75)</f>
        <v>0</v>
      </c>
      <c r="DC85" s="90">
        <f>SUMIF('IS(M)'!$M$60:$ER$60,DC$54,'IS(M)'!$M$70:$ER$70)-SUMIF('IS(M)'!$M$60:$ER$60,DC$54,'IS(M)'!$M$75:$ER$75)</f>
        <v>0</v>
      </c>
      <c r="DD85" s="90">
        <f>SUMIF('IS(M)'!$M$60:$ER$60,DD$54,'IS(M)'!$M$70:$ER$70)-SUMIF('IS(M)'!$M$60:$ER$60,DD$54,'IS(M)'!$M$75:$ER$75)</f>
        <v>0</v>
      </c>
      <c r="DE85" s="90">
        <f>SUMIF('IS(M)'!$M$60:$ER$60,DE$54,'IS(M)'!$M$70:$ER$70)-SUMIF('IS(M)'!$M$60:$ER$60,DE$54,'IS(M)'!$M$75:$ER$75)</f>
        <v>0</v>
      </c>
      <c r="DF85" s="90">
        <f>SUMIF('IS(M)'!$M$60:$ER$60,DF$54,'IS(M)'!$M$70:$ER$70)-SUMIF('IS(M)'!$M$60:$ER$60,DF$54,'IS(M)'!$M$75:$ER$75)</f>
        <v>0</v>
      </c>
      <c r="DG85" s="90">
        <f>SUMIF('IS(M)'!$M$60:$ER$60,DG$54,'IS(M)'!$M$70:$ER$70)-SUMIF('IS(M)'!$M$60:$ER$60,DG$54,'IS(M)'!$M$75:$ER$75)</f>
        <v>0</v>
      </c>
      <c r="DH85" s="90">
        <f>SUMIF('IS(M)'!$M$60:$ER$60,DH$54,'IS(M)'!$M$70:$ER$70)-SUMIF('IS(M)'!$M$60:$ER$60,DH$54,'IS(M)'!$M$75:$ER$75)</f>
        <v>0</v>
      </c>
      <c r="DI85" s="90">
        <f>SUMIF('IS(M)'!$M$60:$ER$60,DI$54,'IS(M)'!$M$70:$ER$70)-SUMIF('IS(M)'!$M$60:$ER$60,DI$54,'IS(M)'!$M$75:$ER$75)</f>
        <v>0</v>
      </c>
      <c r="DJ85" s="90">
        <f>SUMIF('IS(M)'!$M$60:$ER$60,DJ$54,'IS(M)'!$M$70:$ER$70)-SUMIF('IS(M)'!$M$60:$ER$60,DJ$54,'IS(M)'!$M$75:$ER$75)</f>
        <v>0</v>
      </c>
      <c r="DK85" s="90">
        <f>SUMIF('IS(M)'!$M$60:$ER$60,DK$54,'IS(M)'!$M$70:$ER$70)-SUMIF('IS(M)'!$M$60:$ER$60,DK$54,'IS(M)'!$M$75:$ER$75)</f>
        <v>0</v>
      </c>
      <c r="DL85" s="90">
        <f>SUMIF('IS(M)'!$M$60:$ER$60,DL$54,'IS(M)'!$M$70:$ER$70)-SUMIF('IS(M)'!$M$60:$ER$60,DL$54,'IS(M)'!$M$75:$ER$75)</f>
        <v>0</v>
      </c>
      <c r="DM85" s="90">
        <f>SUMIF('IS(M)'!$M$60:$ER$60,DM$54,'IS(M)'!$M$70:$ER$70)-SUMIF('IS(M)'!$M$60:$ER$60,DM$54,'IS(M)'!$M$75:$ER$75)</f>
        <v>0</v>
      </c>
      <c r="DN85" s="90">
        <f>SUMIF('IS(M)'!$M$60:$ER$60,DN$54,'IS(M)'!$M$70:$ER$70)-SUMIF('IS(M)'!$M$60:$ER$60,DN$54,'IS(M)'!$M$75:$ER$75)</f>
        <v>0</v>
      </c>
      <c r="DO85" s="90">
        <f>SUMIF('IS(M)'!$M$60:$ER$60,DO$54,'IS(M)'!$M$70:$ER$70)-SUMIF('IS(M)'!$M$60:$ER$60,DO$54,'IS(M)'!$M$75:$ER$75)</f>
        <v>0</v>
      </c>
      <c r="DP85" s="90">
        <f>SUMIF('IS(M)'!$M$60:$ER$60,DP$54,'IS(M)'!$M$70:$ER$70)-SUMIF('IS(M)'!$M$60:$ER$60,DP$54,'IS(M)'!$M$75:$ER$75)</f>
        <v>0</v>
      </c>
      <c r="DQ85" s="90">
        <f>SUMIF('IS(M)'!$M$60:$ER$60,DQ$54,'IS(M)'!$M$70:$ER$70)-SUMIF('IS(M)'!$M$60:$ER$60,DQ$54,'IS(M)'!$M$75:$ER$75)</f>
        <v>0</v>
      </c>
      <c r="DR85" s="90">
        <f>SUMIF('IS(M)'!$M$60:$ER$60,DR$54,'IS(M)'!$M$70:$ER$70)-SUMIF('IS(M)'!$M$60:$ER$60,DR$54,'IS(M)'!$M$75:$ER$75)</f>
        <v>0</v>
      </c>
      <c r="DS85" s="90">
        <f>SUMIF('IS(M)'!$M$60:$ER$60,DS$54,'IS(M)'!$M$70:$ER$70)-SUMIF('IS(M)'!$M$60:$ER$60,DS$54,'IS(M)'!$M$75:$ER$75)</f>
        <v>0</v>
      </c>
      <c r="DT85" s="90">
        <f>SUMIF('IS(M)'!$M$60:$ER$60,DT$54,'IS(M)'!$M$70:$ER$70)-SUMIF('IS(M)'!$M$60:$ER$60,DT$54,'IS(M)'!$M$75:$ER$75)</f>
        <v>0</v>
      </c>
      <c r="DU85" s="90">
        <f>SUMIF('IS(M)'!$M$60:$ER$60,DU$54,'IS(M)'!$M$70:$ER$70)-SUMIF('IS(M)'!$M$60:$ER$60,DU$54,'IS(M)'!$M$75:$ER$75)</f>
        <v>0</v>
      </c>
      <c r="DV85" s="90">
        <f>SUMIF('IS(M)'!$M$60:$ER$60,DV$54,'IS(M)'!$M$70:$ER$70)-SUMIF('IS(M)'!$M$60:$ER$60,DV$54,'IS(M)'!$M$75:$ER$75)</f>
        <v>0</v>
      </c>
      <c r="DW85" s="90">
        <f>SUMIF('IS(M)'!$M$60:$ER$60,DW$54,'IS(M)'!$M$70:$ER$70)-SUMIF('IS(M)'!$M$60:$ER$60,DW$54,'IS(M)'!$M$75:$ER$75)</f>
        <v>0</v>
      </c>
    </row>
    <row r="87" spans="2:127" ht="11.25" customHeight="1">
      <c r="K87" s="5">
        <f>K32/10</f>
        <v>666547.00000000012</v>
      </c>
    </row>
    <row r="88" spans="2:127" ht="11.25" customHeight="1">
      <c r="K88" s="5">
        <f>K87/0.223%</f>
        <v>298900000</v>
      </c>
    </row>
  </sheetData>
  <phoneticPr fontId="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C667C-75B7-41F4-9959-9621A191AA88}">
  <sheetPr codeName="Sheet8">
    <tabColor rgb="FF0070C0"/>
  </sheetPr>
  <dimension ref="A1:DZ125"/>
  <sheetViews>
    <sheetView showGridLines="0" topLeftCell="A80" workbookViewId="0">
      <selection activeCell="O117" sqref="O117"/>
    </sheetView>
  </sheetViews>
  <sheetFormatPr defaultColWidth="9" defaultRowHeight="12"/>
  <cols>
    <col min="1" max="1" width="2.625" style="5" customWidth="1"/>
    <col min="2" max="2" width="1.75" style="5" customWidth="1"/>
    <col min="3" max="3" width="1.875" style="5" customWidth="1"/>
    <col min="4" max="7" width="9" style="5"/>
    <col min="8" max="8" width="9.75" style="5" bestFit="1" customWidth="1"/>
    <col min="9" max="9" width="10.125" style="5" bestFit="1" customWidth="1"/>
    <col min="10" max="10" width="11" style="5" customWidth="1"/>
    <col min="11" max="11" width="2.625" style="5" customWidth="1"/>
    <col min="12" max="126" width="11" style="5" customWidth="1"/>
    <col min="127" max="16384" width="9" style="5"/>
  </cols>
  <sheetData>
    <row r="1" spans="1:130" s="3" customFormat="1" ht="11.25" customHeight="1">
      <c r="A1" s="2" t="s">
        <v>250</v>
      </c>
    </row>
    <row r="2" spans="1:130" s="4" customFormat="1" ht="11.25" customHeight="1">
      <c r="A2" s="4" t="s">
        <v>576</v>
      </c>
    </row>
    <row r="4" spans="1:130" ht="11.25" customHeight="1">
      <c r="B4" s="187" t="s">
        <v>0</v>
      </c>
      <c r="C4" s="143"/>
      <c r="D4" s="143"/>
      <c r="E4" s="143"/>
      <c r="F4" s="143"/>
      <c r="G4" s="143"/>
      <c r="H4" s="208"/>
      <c r="I4" s="188"/>
      <c r="J4" s="144"/>
      <c r="L4" s="145">
        <f>'IS(FY)'!M5</f>
        <v>46326</v>
      </c>
      <c r="M4" s="145">
        <f>'IS(FY)'!N5</f>
        <v>46327</v>
      </c>
      <c r="N4" s="145">
        <f>'IS(FY)'!O5</f>
        <v>46508</v>
      </c>
      <c r="O4" s="145">
        <f>'IS(FY)'!P5</f>
        <v>46692</v>
      </c>
      <c r="P4" s="145">
        <f>'IS(FY)'!Q5</f>
        <v>46874</v>
      </c>
      <c r="Q4" s="145">
        <f>'IS(FY)'!R5</f>
        <v>47058</v>
      </c>
      <c r="R4" s="145">
        <f>'IS(FY)'!S5</f>
        <v>47239</v>
      </c>
      <c r="S4" s="145">
        <f>'IS(FY)'!T5</f>
        <v>47423</v>
      </c>
      <c r="T4" s="145">
        <f>'IS(FY)'!U5</f>
        <v>47604</v>
      </c>
      <c r="U4" s="145">
        <f>'IS(FY)'!V5</f>
        <v>47788</v>
      </c>
      <c r="V4" s="145">
        <f>'IS(FY)'!W5</f>
        <v>47969</v>
      </c>
      <c r="W4" s="145">
        <f>'IS(FY)'!X5</f>
        <v>48153</v>
      </c>
      <c r="X4" s="145">
        <f>'IS(FY)'!Y5</f>
        <v>48335</v>
      </c>
      <c r="Y4" s="145">
        <f>'IS(FY)'!Z5</f>
        <v>48519</v>
      </c>
      <c r="Z4" s="145">
        <f>'IS(FY)'!AA5</f>
        <v>48700</v>
      </c>
      <c r="AA4" s="145">
        <f>'IS(FY)'!AB5</f>
        <v>48884</v>
      </c>
      <c r="AB4" s="145">
        <f>'IS(FY)'!AC5</f>
        <v>49065</v>
      </c>
      <c r="AC4" s="145">
        <f>'IS(FY)'!AD5</f>
        <v>49249</v>
      </c>
      <c r="AD4" s="145">
        <f>'IS(FY)'!AE5</f>
        <v>49430</v>
      </c>
      <c r="AE4" s="145">
        <f>'IS(FY)'!AF5</f>
        <v>49614</v>
      </c>
      <c r="AF4" s="145">
        <f>'IS(FY)'!AG5</f>
        <v>49796</v>
      </c>
      <c r="AG4" s="145">
        <f>'IS(FY)'!AH5</f>
        <v>49980</v>
      </c>
      <c r="AH4" s="145">
        <f>'IS(FY)'!AI5</f>
        <v>50161</v>
      </c>
      <c r="AI4" s="145">
        <f>'IS(FY)'!AJ5</f>
        <v>50345</v>
      </c>
      <c r="AJ4" s="145">
        <f>'IS(FY)'!AK5</f>
        <v>50526</v>
      </c>
      <c r="AK4" s="145">
        <f>'IS(FY)'!AL5</f>
        <v>50710</v>
      </c>
      <c r="AL4" s="145">
        <f>'IS(FY)'!AM5</f>
        <v>50891</v>
      </c>
      <c r="AM4" s="145">
        <f>'IS(FY)'!AN5</f>
        <v>51075</v>
      </c>
      <c r="AN4" s="145">
        <f>'IS(FY)'!AO5</f>
        <v>51257</v>
      </c>
      <c r="AO4" s="145">
        <f>'IS(FY)'!AP5</f>
        <v>51441</v>
      </c>
      <c r="AP4" s="145">
        <f>'IS(FY)'!AQ5</f>
        <v>51622</v>
      </c>
      <c r="AQ4" s="145">
        <f>'IS(FY)'!AR5</f>
        <v>51806</v>
      </c>
      <c r="AR4" s="145">
        <f>'IS(FY)'!AS5</f>
        <v>51987</v>
      </c>
      <c r="AS4" s="145">
        <f>'IS(FY)'!AT5</f>
        <v>52171</v>
      </c>
      <c r="AT4" s="145">
        <f>'IS(FY)'!AU5</f>
        <v>52352</v>
      </c>
      <c r="AU4" s="145">
        <f>'IS(FY)'!AV5</f>
        <v>52536</v>
      </c>
      <c r="AV4" s="145">
        <f>'IS(FY)'!AW5</f>
        <v>52718</v>
      </c>
      <c r="AW4" s="145">
        <f>'IS(FY)'!AX5</f>
        <v>52902</v>
      </c>
      <c r="AX4" s="145">
        <f>'IS(FY)'!AY5</f>
        <v>53083</v>
      </c>
      <c r="AY4" s="145">
        <f>'IS(FY)'!AZ5</f>
        <v>53267</v>
      </c>
      <c r="AZ4" s="145">
        <f>'IS(FY)'!BA5</f>
        <v>53448</v>
      </c>
      <c r="BA4" s="145">
        <f>'IS(FY)'!BB5</f>
        <v>53632</v>
      </c>
      <c r="BB4" s="145">
        <f>'IS(FY)'!BC5</f>
        <v>53813</v>
      </c>
      <c r="BC4" s="145">
        <f>'IS(FY)'!BD5</f>
        <v>53997</v>
      </c>
      <c r="BD4" s="145">
        <f>'IS(FY)'!BE5</f>
        <v>54179</v>
      </c>
      <c r="BE4" s="145">
        <f>'IS(FY)'!BF5</f>
        <v>54363</v>
      </c>
      <c r="BF4" s="145">
        <f>'IS(FY)'!BG5</f>
        <v>54544</v>
      </c>
      <c r="BG4" s="145">
        <f>'IS(FY)'!BH5</f>
        <v>54728</v>
      </c>
      <c r="BH4" s="145">
        <f>'IS(FY)'!BI5</f>
        <v>54909</v>
      </c>
      <c r="BI4" s="145">
        <f>'IS(FY)'!BJ5</f>
        <v>55093</v>
      </c>
      <c r="BJ4" s="145">
        <f>'IS(FY)'!BK5</f>
        <v>55274</v>
      </c>
      <c r="BK4" s="145">
        <f>'IS(FY)'!BL5</f>
        <v>55458</v>
      </c>
      <c r="BL4" s="145">
        <f>'IS(FY)'!BM5</f>
        <v>55640</v>
      </c>
      <c r="BM4" s="145">
        <f>'IS(FY)'!BN5</f>
        <v>55824</v>
      </c>
      <c r="BN4" s="145">
        <f>'IS(FY)'!BO5</f>
        <v>56005</v>
      </c>
      <c r="BO4" s="145">
        <f>'IS(FY)'!BP5</f>
        <v>56189</v>
      </c>
      <c r="BP4" s="145">
        <f>'IS(FY)'!BQ5</f>
        <v>56370</v>
      </c>
      <c r="BQ4" s="145">
        <f>'IS(FY)'!BR5</f>
        <v>56554</v>
      </c>
      <c r="BR4" s="145">
        <f>'IS(FY)'!BS5</f>
        <v>56735</v>
      </c>
      <c r="BS4" s="145">
        <f>'IS(FY)'!BT5</f>
        <v>56919</v>
      </c>
      <c r="BT4" s="145">
        <f>'IS(FY)'!BU5</f>
        <v>57101</v>
      </c>
      <c r="BU4" s="145">
        <f>'IS(FY)'!BV5</f>
        <v>57285</v>
      </c>
      <c r="BV4" s="145">
        <f>'IS(FY)'!BW5</f>
        <v>57466</v>
      </c>
      <c r="BW4" s="145">
        <f>'IS(FY)'!BX5</f>
        <v>57650</v>
      </c>
      <c r="BX4" s="145">
        <f>'IS(FY)'!BY5</f>
        <v>57831</v>
      </c>
      <c r="BY4" s="145">
        <f>'IS(FY)'!BZ5</f>
        <v>58015</v>
      </c>
      <c r="BZ4" s="145">
        <f>'IS(FY)'!CA5</f>
        <v>58196</v>
      </c>
      <c r="CA4" s="145">
        <f>'IS(FY)'!CB5</f>
        <v>58380</v>
      </c>
      <c r="CB4" s="145">
        <f>'IS(FY)'!CC5</f>
        <v>58562</v>
      </c>
      <c r="CC4" s="145">
        <f>'IS(FY)'!CD5</f>
        <v>58746</v>
      </c>
      <c r="CD4" s="145">
        <f>'IS(FY)'!CE5</f>
        <v>58927</v>
      </c>
      <c r="CE4" s="145">
        <f>'IS(FY)'!CF5</f>
        <v>59111</v>
      </c>
      <c r="CF4" s="145">
        <f>'IS(FY)'!CG5</f>
        <v>59292</v>
      </c>
      <c r="CG4" s="145">
        <f>'IS(FY)'!CH5</f>
        <v>59476</v>
      </c>
      <c r="CH4" s="145">
        <f>'IS(FY)'!CI5</f>
        <v>59657</v>
      </c>
      <c r="CI4" s="145">
        <f>'IS(FY)'!CJ5</f>
        <v>59841</v>
      </c>
      <c r="CJ4" s="145">
        <f>'IS(FY)'!CK5</f>
        <v>60023</v>
      </c>
      <c r="CK4" s="145">
        <f>'IS(FY)'!CL5</f>
        <v>60207</v>
      </c>
      <c r="CL4" s="145">
        <f>'IS(FY)'!CM5</f>
        <v>60388</v>
      </c>
      <c r="CM4" s="145">
        <f>'IS(FY)'!CN5</f>
        <v>60572</v>
      </c>
      <c r="CN4" s="145">
        <f>'IS(FY)'!CO5</f>
        <v>60753</v>
      </c>
      <c r="CO4" s="145">
        <f>'IS(FY)'!CP5</f>
        <v>60937</v>
      </c>
      <c r="CP4" s="145">
        <f>'IS(FY)'!CQ5</f>
        <v>61118</v>
      </c>
      <c r="CQ4" s="145">
        <f>'IS(FY)'!CR5</f>
        <v>61302</v>
      </c>
      <c r="CR4" s="145">
        <f>'IS(FY)'!CS5</f>
        <v>61484</v>
      </c>
      <c r="CS4" s="145">
        <f>'IS(FY)'!CT5</f>
        <v>61668</v>
      </c>
      <c r="CT4" s="145">
        <f>'IS(FY)'!CU5</f>
        <v>61849</v>
      </c>
      <c r="CU4" s="145">
        <f>'IS(FY)'!CV5</f>
        <v>62033</v>
      </c>
      <c r="CV4" s="145">
        <f>'IS(FY)'!CW5</f>
        <v>62214</v>
      </c>
      <c r="CW4" s="145">
        <f>'IS(FY)'!CX5</f>
        <v>62398</v>
      </c>
      <c r="CX4" s="145">
        <f>'IS(FY)'!CY5</f>
        <v>62579</v>
      </c>
      <c r="CY4" s="145">
        <f>'IS(FY)'!CZ5</f>
        <v>62763</v>
      </c>
      <c r="CZ4" s="145">
        <f>'IS(FY)'!DA5</f>
        <v>62945</v>
      </c>
      <c r="DA4" s="145">
        <f>'IS(FY)'!DB5</f>
        <v>63129</v>
      </c>
      <c r="DB4" s="145">
        <f>'IS(FY)'!DC5</f>
        <v>63310</v>
      </c>
      <c r="DC4" s="145">
        <f>'IS(FY)'!DD5</f>
        <v>63494</v>
      </c>
      <c r="DD4" s="145">
        <f>'IS(FY)'!DE5</f>
        <v>63675</v>
      </c>
      <c r="DE4" s="145">
        <f>'IS(FY)'!DF5</f>
        <v>63859</v>
      </c>
      <c r="DF4" s="145">
        <f>'IS(FY)'!DG5</f>
        <v>64040</v>
      </c>
      <c r="DG4" s="145">
        <f>'IS(FY)'!DH5</f>
        <v>64224</v>
      </c>
      <c r="DH4" s="145">
        <f>'IS(FY)'!DI5</f>
        <v>64406</v>
      </c>
      <c r="DI4" s="145">
        <f>'IS(FY)'!DJ5</f>
        <v>64590</v>
      </c>
      <c r="DJ4" s="145">
        <f>'IS(FY)'!DK5</f>
        <v>64771</v>
      </c>
      <c r="DK4" s="145">
        <f>'IS(FY)'!DL5</f>
        <v>64955</v>
      </c>
      <c r="DL4" s="145">
        <f>'IS(FY)'!DM5</f>
        <v>65136</v>
      </c>
      <c r="DM4" s="145">
        <f>'IS(FY)'!DN5</f>
        <v>65320</v>
      </c>
      <c r="DN4" s="145">
        <f>'IS(FY)'!DO5</f>
        <v>65501</v>
      </c>
      <c r="DO4" s="145">
        <f>'IS(FY)'!DP5</f>
        <v>65685</v>
      </c>
      <c r="DP4" s="145">
        <f>'IS(FY)'!DQ5</f>
        <v>65867</v>
      </c>
      <c r="DQ4" s="145">
        <f>'IS(FY)'!DR5</f>
        <v>66051</v>
      </c>
      <c r="DR4" s="145">
        <f>'IS(FY)'!DS5</f>
        <v>66232</v>
      </c>
      <c r="DS4" s="145">
        <f>'IS(FY)'!DT5</f>
        <v>66416</v>
      </c>
      <c r="DT4" s="145">
        <f>'IS(FY)'!DU5</f>
        <v>66597</v>
      </c>
      <c r="DU4" s="145">
        <f>'IS(FY)'!DV5</f>
        <v>66781</v>
      </c>
      <c r="DV4" s="145">
        <f>'IS(FY)'!DW5</f>
        <v>66962</v>
      </c>
      <c r="DW4" s="146"/>
      <c r="DX4" s="146"/>
      <c r="DY4" s="146"/>
      <c r="DZ4" s="146"/>
    </row>
    <row r="5" spans="1:130" ht="11.25" customHeight="1">
      <c r="B5" s="187" t="s">
        <v>1</v>
      </c>
      <c r="C5" s="143"/>
      <c r="D5" s="143"/>
      <c r="E5" s="143"/>
      <c r="F5" s="143"/>
      <c r="G5" s="143"/>
      <c r="H5" s="208"/>
      <c r="I5" s="188"/>
      <c r="J5" s="143"/>
      <c r="L5" s="145">
        <f>'IS(FY)'!M6</f>
        <v>46326</v>
      </c>
      <c r="M5" s="145">
        <f>'IS(FY)'!N6</f>
        <v>46507</v>
      </c>
      <c r="N5" s="145">
        <f>'IS(FY)'!O6</f>
        <v>46691</v>
      </c>
      <c r="O5" s="145">
        <f>'IS(FY)'!P6</f>
        <v>46873</v>
      </c>
      <c r="P5" s="145">
        <f>'IS(FY)'!Q6</f>
        <v>47057</v>
      </c>
      <c r="Q5" s="145">
        <f>'IS(FY)'!R6</f>
        <v>47238</v>
      </c>
      <c r="R5" s="145">
        <f>'IS(FY)'!S6</f>
        <v>47422</v>
      </c>
      <c r="S5" s="145">
        <f>'IS(FY)'!T6</f>
        <v>47603</v>
      </c>
      <c r="T5" s="145">
        <f>'IS(FY)'!U6</f>
        <v>47787</v>
      </c>
      <c r="U5" s="145">
        <f>'IS(FY)'!V6</f>
        <v>47968</v>
      </c>
      <c r="V5" s="145">
        <f>'IS(FY)'!W6</f>
        <v>48152</v>
      </c>
      <c r="W5" s="145">
        <f>'IS(FY)'!X6</f>
        <v>48334</v>
      </c>
      <c r="X5" s="145">
        <f>'IS(FY)'!Y6</f>
        <v>48518</v>
      </c>
      <c r="Y5" s="145">
        <f>'IS(FY)'!Z6</f>
        <v>48699</v>
      </c>
      <c r="Z5" s="145">
        <f>'IS(FY)'!AA6</f>
        <v>48883</v>
      </c>
      <c r="AA5" s="145">
        <f>'IS(FY)'!AB6</f>
        <v>49064</v>
      </c>
      <c r="AB5" s="145">
        <f>'IS(FY)'!AC6</f>
        <v>49248</v>
      </c>
      <c r="AC5" s="145">
        <f>'IS(FY)'!AD6</f>
        <v>49429</v>
      </c>
      <c r="AD5" s="145">
        <f>'IS(FY)'!AE6</f>
        <v>49613</v>
      </c>
      <c r="AE5" s="145">
        <f>'IS(FY)'!AF6</f>
        <v>49795</v>
      </c>
      <c r="AF5" s="145">
        <f>'IS(FY)'!AG6</f>
        <v>49979</v>
      </c>
      <c r="AG5" s="145">
        <f>'IS(FY)'!AH6</f>
        <v>50160</v>
      </c>
      <c r="AH5" s="145">
        <f>'IS(FY)'!AI6</f>
        <v>50344</v>
      </c>
      <c r="AI5" s="145">
        <f>'IS(FY)'!AJ6</f>
        <v>50525</v>
      </c>
      <c r="AJ5" s="145">
        <f>'IS(FY)'!AK6</f>
        <v>50709</v>
      </c>
      <c r="AK5" s="145">
        <f>'IS(FY)'!AL6</f>
        <v>50890</v>
      </c>
      <c r="AL5" s="145">
        <f>'IS(FY)'!AM6</f>
        <v>51074</v>
      </c>
      <c r="AM5" s="145">
        <f>'IS(FY)'!AN6</f>
        <v>51256</v>
      </c>
      <c r="AN5" s="145">
        <f>'IS(FY)'!AO6</f>
        <v>51440</v>
      </c>
      <c r="AO5" s="145">
        <f>'IS(FY)'!AP6</f>
        <v>51621</v>
      </c>
      <c r="AP5" s="145">
        <f>'IS(FY)'!AQ6</f>
        <v>51805</v>
      </c>
      <c r="AQ5" s="145">
        <f>'IS(FY)'!AR6</f>
        <v>51986</v>
      </c>
      <c r="AR5" s="145">
        <f>'IS(FY)'!AS6</f>
        <v>52170</v>
      </c>
      <c r="AS5" s="145">
        <f>'IS(FY)'!AT6</f>
        <v>52351</v>
      </c>
      <c r="AT5" s="145">
        <f>'IS(FY)'!AU6</f>
        <v>52535</v>
      </c>
      <c r="AU5" s="145">
        <f>'IS(FY)'!AV6</f>
        <v>52717</v>
      </c>
      <c r="AV5" s="145">
        <f>'IS(FY)'!AW6</f>
        <v>52901</v>
      </c>
      <c r="AW5" s="145">
        <f>'IS(FY)'!AX6</f>
        <v>53082</v>
      </c>
      <c r="AX5" s="145">
        <f>'IS(FY)'!AY6</f>
        <v>53266</v>
      </c>
      <c r="AY5" s="145">
        <f>'IS(FY)'!AZ6</f>
        <v>53447</v>
      </c>
      <c r="AZ5" s="145">
        <f>'IS(FY)'!BA6</f>
        <v>53631</v>
      </c>
      <c r="BA5" s="145">
        <f>'IS(FY)'!BB6</f>
        <v>53812</v>
      </c>
      <c r="BB5" s="145">
        <f>'IS(FY)'!BC6</f>
        <v>53996</v>
      </c>
      <c r="BC5" s="145">
        <f>'IS(FY)'!BD6</f>
        <v>54178</v>
      </c>
      <c r="BD5" s="145">
        <f>'IS(FY)'!BE6</f>
        <v>54362</v>
      </c>
      <c r="BE5" s="145">
        <f>'IS(FY)'!BF6</f>
        <v>54543</v>
      </c>
      <c r="BF5" s="145">
        <f>'IS(FY)'!BG6</f>
        <v>54727</v>
      </c>
      <c r="BG5" s="145">
        <f>'IS(FY)'!BH6</f>
        <v>54908</v>
      </c>
      <c r="BH5" s="145">
        <f>'IS(FY)'!BI6</f>
        <v>55092</v>
      </c>
      <c r="BI5" s="145">
        <f>'IS(FY)'!BJ6</f>
        <v>55273</v>
      </c>
      <c r="BJ5" s="145">
        <f>'IS(FY)'!BK6</f>
        <v>55457</v>
      </c>
      <c r="BK5" s="145">
        <f>'IS(FY)'!BL6</f>
        <v>55639</v>
      </c>
      <c r="BL5" s="145">
        <f>'IS(FY)'!BM6</f>
        <v>55823</v>
      </c>
      <c r="BM5" s="145">
        <f>'IS(FY)'!BN6</f>
        <v>56004</v>
      </c>
      <c r="BN5" s="145">
        <f>'IS(FY)'!BO6</f>
        <v>56188</v>
      </c>
      <c r="BO5" s="145">
        <f>'IS(FY)'!BP6</f>
        <v>56369</v>
      </c>
      <c r="BP5" s="145">
        <f>'IS(FY)'!BQ6</f>
        <v>56553</v>
      </c>
      <c r="BQ5" s="145">
        <f>'IS(FY)'!BR6</f>
        <v>56734</v>
      </c>
      <c r="BR5" s="145">
        <f>'IS(FY)'!BS6</f>
        <v>56918</v>
      </c>
      <c r="BS5" s="145">
        <f>'IS(FY)'!BT6</f>
        <v>57100</v>
      </c>
      <c r="BT5" s="145">
        <f>'IS(FY)'!BU6</f>
        <v>57284</v>
      </c>
      <c r="BU5" s="145">
        <f>'IS(FY)'!BV6</f>
        <v>57465</v>
      </c>
      <c r="BV5" s="145">
        <f>'IS(FY)'!BW6</f>
        <v>57649</v>
      </c>
      <c r="BW5" s="145">
        <f>'IS(FY)'!BX6</f>
        <v>57830</v>
      </c>
      <c r="BX5" s="145">
        <f>'IS(FY)'!BY6</f>
        <v>58014</v>
      </c>
      <c r="BY5" s="145">
        <f>'IS(FY)'!BZ6</f>
        <v>58195</v>
      </c>
      <c r="BZ5" s="145">
        <f>'IS(FY)'!CA6</f>
        <v>58379</v>
      </c>
      <c r="CA5" s="145">
        <f>'IS(FY)'!CB6</f>
        <v>58561</v>
      </c>
      <c r="CB5" s="145">
        <f>'IS(FY)'!CC6</f>
        <v>58745</v>
      </c>
      <c r="CC5" s="145">
        <f>'IS(FY)'!CD6</f>
        <v>58926</v>
      </c>
      <c r="CD5" s="145">
        <f>'IS(FY)'!CE6</f>
        <v>59110</v>
      </c>
      <c r="CE5" s="145">
        <f>'IS(FY)'!CF6</f>
        <v>59291</v>
      </c>
      <c r="CF5" s="145">
        <f>'IS(FY)'!CG6</f>
        <v>59475</v>
      </c>
      <c r="CG5" s="145">
        <f>'IS(FY)'!CH6</f>
        <v>59656</v>
      </c>
      <c r="CH5" s="145">
        <f>'IS(FY)'!CI6</f>
        <v>59840</v>
      </c>
      <c r="CI5" s="145">
        <f>'IS(FY)'!CJ6</f>
        <v>60022</v>
      </c>
      <c r="CJ5" s="145">
        <f>'IS(FY)'!CK6</f>
        <v>60206</v>
      </c>
      <c r="CK5" s="145">
        <f>'IS(FY)'!CL6</f>
        <v>60387</v>
      </c>
      <c r="CL5" s="145">
        <f>'IS(FY)'!CM6</f>
        <v>60571</v>
      </c>
      <c r="CM5" s="145">
        <f>'IS(FY)'!CN6</f>
        <v>60752</v>
      </c>
      <c r="CN5" s="145">
        <f>'IS(FY)'!CO6</f>
        <v>60936</v>
      </c>
      <c r="CO5" s="145">
        <f>'IS(FY)'!CP6</f>
        <v>61117</v>
      </c>
      <c r="CP5" s="145">
        <f>'IS(FY)'!CQ6</f>
        <v>61301</v>
      </c>
      <c r="CQ5" s="145">
        <f>'IS(FY)'!CR6</f>
        <v>61483</v>
      </c>
      <c r="CR5" s="145">
        <f>'IS(FY)'!CS6</f>
        <v>61667</v>
      </c>
      <c r="CS5" s="145">
        <f>'IS(FY)'!CT6</f>
        <v>61848</v>
      </c>
      <c r="CT5" s="145">
        <f>'IS(FY)'!CU6</f>
        <v>62032</v>
      </c>
      <c r="CU5" s="145">
        <f>'IS(FY)'!CV6</f>
        <v>62213</v>
      </c>
      <c r="CV5" s="145">
        <f>'IS(FY)'!CW6</f>
        <v>62397</v>
      </c>
      <c r="CW5" s="145">
        <f>'IS(FY)'!CX6</f>
        <v>62578</v>
      </c>
      <c r="CX5" s="145">
        <f>'IS(FY)'!CY6</f>
        <v>62762</v>
      </c>
      <c r="CY5" s="145">
        <f>'IS(FY)'!CZ6</f>
        <v>62944</v>
      </c>
      <c r="CZ5" s="145">
        <f>'IS(FY)'!DA6</f>
        <v>63128</v>
      </c>
      <c r="DA5" s="145">
        <f>'IS(FY)'!DB6</f>
        <v>63309</v>
      </c>
      <c r="DB5" s="145">
        <f>'IS(FY)'!DC6</f>
        <v>63493</v>
      </c>
      <c r="DC5" s="145">
        <f>'IS(FY)'!DD6</f>
        <v>63674</v>
      </c>
      <c r="DD5" s="145">
        <f>'IS(FY)'!DE6</f>
        <v>63858</v>
      </c>
      <c r="DE5" s="145">
        <f>'IS(FY)'!DF6</f>
        <v>64039</v>
      </c>
      <c r="DF5" s="145">
        <f>'IS(FY)'!DG6</f>
        <v>64223</v>
      </c>
      <c r="DG5" s="145">
        <f>'IS(FY)'!DH6</f>
        <v>64405</v>
      </c>
      <c r="DH5" s="145">
        <f>'IS(FY)'!DI6</f>
        <v>64589</v>
      </c>
      <c r="DI5" s="145">
        <f>'IS(FY)'!DJ6</f>
        <v>64770</v>
      </c>
      <c r="DJ5" s="145">
        <f>'IS(FY)'!DK6</f>
        <v>64954</v>
      </c>
      <c r="DK5" s="145">
        <f>'IS(FY)'!DL6</f>
        <v>65135</v>
      </c>
      <c r="DL5" s="145">
        <f>'IS(FY)'!DM6</f>
        <v>65319</v>
      </c>
      <c r="DM5" s="145">
        <f>'IS(FY)'!DN6</f>
        <v>65500</v>
      </c>
      <c r="DN5" s="145">
        <f>'IS(FY)'!DO6</f>
        <v>65684</v>
      </c>
      <c r="DO5" s="145">
        <f>'IS(FY)'!DP6</f>
        <v>65866</v>
      </c>
      <c r="DP5" s="145">
        <f>'IS(FY)'!DQ6</f>
        <v>66050</v>
      </c>
      <c r="DQ5" s="145">
        <f>'IS(FY)'!DR6</f>
        <v>66231</v>
      </c>
      <c r="DR5" s="145">
        <f>'IS(FY)'!DS6</f>
        <v>66415</v>
      </c>
      <c r="DS5" s="145">
        <f>'IS(FY)'!DT6</f>
        <v>66596</v>
      </c>
      <c r="DT5" s="145">
        <f>'IS(FY)'!DU6</f>
        <v>66780</v>
      </c>
      <c r="DU5" s="145">
        <f>'IS(FY)'!DV6</f>
        <v>66961</v>
      </c>
      <c r="DV5" s="145">
        <f>'IS(FY)'!DW6</f>
        <v>67145</v>
      </c>
      <c r="DW5" s="146"/>
      <c r="DX5" s="146"/>
      <c r="DY5" s="146"/>
      <c r="DZ5" s="146"/>
    </row>
    <row r="6" spans="1:130" ht="11.25" customHeight="1">
      <c r="B6" s="189" t="s">
        <v>155</v>
      </c>
      <c r="C6" s="148"/>
      <c r="D6" s="148"/>
      <c r="E6" s="148"/>
      <c r="F6" s="148"/>
      <c r="G6" s="148"/>
      <c r="H6" s="209"/>
      <c r="I6" s="190"/>
      <c r="J6" s="148"/>
      <c r="L6" s="152">
        <f>'IS(FY)'!M7</f>
        <v>0</v>
      </c>
      <c r="M6" s="152">
        <f>'IS(FY)'!N7</f>
        <v>1</v>
      </c>
      <c r="N6" s="152">
        <f>'IS(FY)'!O7</f>
        <v>2</v>
      </c>
      <c r="O6" s="152">
        <f>'IS(FY)'!P7</f>
        <v>3</v>
      </c>
      <c r="P6" s="152">
        <f>'IS(FY)'!Q7</f>
        <v>4</v>
      </c>
      <c r="Q6" s="152">
        <f>'IS(FY)'!R7</f>
        <v>5</v>
      </c>
      <c r="R6" s="152">
        <f>'IS(FY)'!S7</f>
        <v>6</v>
      </c>
      <c r="S6" s="152">
        <f>'IS(FY)'!T7</f>
        <v>7</v>
      </c>
      <c r="T6" s="152">
        <f>'IS(FY)'!U7</f>
        <v>8</v>
      </c>
      <c r="U6" s="152">
        <f>'IS(FY)'!V7</f>
        <v>9</v>
      </c>
      <c r="V6" s="152">
        <f>'IS(FY)'!W7</f>
        <v>10</v>
      </c>
      <c r="W6" s="152">
        <f>'IS(FY)'!X7</f>
        <v>11</v>
      </c>
      <c r="X6" s="152">
        <f>'IS(FY)'!Y7</f>
        <v>12</v>
      </c>
      <c r="Y6" s="152">
        <f>'IS(FY)'!Z7</f>
        <v>13</v>
      </c>
      <c r="Z6" s="152">
        <f>'IS(FY)'!AA7</f>
        <v>14</v>
      </c>
      <c r="AA6" s="152">
        <f>'IS(FY)'!AB7</f>
        <v>15</v>
      </c>
      <c r="AB6" s="152">
        <f>'IS(FY)'!AC7</f>
        <v>16</v>
      </c>
      <c r="AC6" s="152">
        <f>'IS(FY)'!AD7</f>
        <v>17</v>
      </c>
      <c r="AD6" s="152">
        <f>'IS(FY)'!AE7</f>
        <v>18</v>
      </c>
      <c r="AE6" s="152">
        <f>'IS(FY)'!AF7</f>
        <v>19</v>
      </c>
      <c r="AF6" s="152">
        <f>'IS(FY)'!AG7</f>
        <v>20</v>
      </c>
      <c r="AG6" s="152">
        <f>'IS(FY)'!AH7</f>
        <v>21</v>
      </c>
      <c r="AH6" s="152">
        <f>'IS(FY)'!AI7</f>
        <v>22</v>
      </c>
      <c r="AI6" s="152">
        <f>'IS(FY)'!AJ7</f>
        <v>23</v>
      </c>
      <c r="AJ6" s="152">
        <f>'IS(FY)'!AK7</f>
        <v>24</v>
      </c>
      <c r="AK6" s="152">
        <f>'IS(FY)'!AL7</f>
        <v>25</v>
      </c>
      <c r="AL6" s="152">
        <f>'IS(FY)'!AM7</f>
        <v>26</v>
      </c>
      <c r="AM6" s="152">
        <f>'IS(FY)'!AN7</f>
        <v>27</v>
      </c>
      <c r="AN6" s="152">
        <f>'IS(FY)'!AO7</f>
        <v>28</v>
      </c>
      <c r="AO6" s="152">
        <f>'IS(FY)'!AP7</f>
        <v>29</v>
      </c>
      <c r="AP6" s="152">
        <f>'IS(FY)'!AQ7</f>
        <v>30</v>
      </c>
      <c r="AQ6" s="152">
        <f>'IS(FY)'!AR7</f>
        <v>31</v>
      </c>
      <c r="AR6" s="152">
        <f>'IS(FY)'!AS7</f>
        <v>32</v>
      </c>
      <c r="AS6" s="152">
        <f>'IS(FY)'!AT7</f>
        <v>33</v>
      </c>
      <c r="AT6" s="152">
        <f>'IS(FY)'!AU7</f>
        <v>34</v>
      </c>
      <c r="AU6" s="152">
        <f>'IS(FY)'!AV7</f>
        <v>35</v>
      </c>
      <c r="AV6" s="152">
        <f>'IS(FY)'!AW7</f>
        <v>36</v>
      </c>
      <c r="AW6" s="152">
        <f>'IS(FY)'!AX7</f>
        <v>37</v>
      </c>
      <c r="AX6" s="152">
        <f>'IS(FY)'!AY7</f>
        <v>38</v>
      </c>
      <c r="AY6" s="152">
        <f>'IS(FY)'!AZ7</f>
        <v>39</v>
      </c>
      <c r="AZ6" s="152">
        <f>'IS(FY)'!BA7</f>
        <v>40</v>
      </c>
      <c r="BA6" s="152">
        <f>'IS(FY)'!BB7</f>
        <v>41</v>
      </c>
      <c r="BB6" s="152">
        <f>'IS(FY)'!BC7</f>
        <v>42</v>
      </c>
      <c r="BC6" s="152">
        <f>'IS(FY)'!BD7</f>
        <v>43</v>
      </c>
      <c r="BD6" s="152">
        <f>'IS(FY)'!BE7</f>
        <v>44</v>
      </c>
      <c r="BE6" s="152">
        <f>'IS(FY)'!BF7</f>
        <v>45</v>
      </c>
      <c r="BF6" s="152">
        <f>'IS(FY)'!BG7</f>
        <v>46</v>
      </c>
      <c r="BG6" s="152">
        <f>'IS(FY)'!BH7</f>
        <v>47</v>
      </c>
      <c r="BH6" s="152">
        <f>'IS(FY)'!BI7</f>
        <v>48</v>
      </c>
      <c r="BI6" s="152">
        <f>'IS(FY)'!BJ7</f>
        <v>49</v>
      </c>
      <c r="BJ6" s="152">
        <f>'IS(FY)'!BK7</f>
        <v>50</v>
      </c>
      <c r="BK6" s="152">
        <f>'IS(FY)'!BL7</f>
        <v>51</v>
      </c>
      <c r="BL6" s="152">
        <f>'IS(FY)'!BM7</f>
        <v>52</v>
      </c>
      <c r="BM6" s="152">
        <f>'IS(FY)'!BN7</f>
        <v>53</v>
      </c>
      <c r="BN6" s="152">
        <f>'IS(FY)'!BO7</f>
        <v>54</v>
      </c>
      <c r="BO6" s="152">
        <f>'IS(FY)'!BP7</f>
        <v>55</v>
      </c>
      <c r="BP6" s="152">
        <f>'IS(FY)'!BQ7</f>
        <v>56</v>
      </c>
      <c r="BQ6" s="152">
        <f>'IS(FY)'!BR7</f>
        <v>57</v>
      </c>
      <c r="BR6" s="152">
        <f>'IS(FY)'!BS7</f>
        <v>58</v>
      </c>
      <c r="BS6" s="152">
        <f>'IS(FY)'!BT7</f>
        <v>59</v>
      </c>
      <c r="BT6" s="152">
        <f>'IS(FY)'!BU7</f>
        <v>60</v>
      </c>
      <c r="BU6" s="152">
        <f>'IS(FY)'!BV7</f>
        <v>61</v>
      </c>
      <c r="BV6" s="152">
        <f>'IS(FY)'!BW7</f>
        <v>62</v>
      </c>
      <c r="BW6" s="152">
        <f>'IS(FY)'!BX7</f>
        <v>63</v>
      </c>
      <c r="BX6" s="152">
        <f>'IS(FY)'!BY7</f>
        <v>64</v>
      </c>
      <c r="BY6" s="152">
        <f>'IS(FY)'!BZ7</f>
        <v>65</v>
      </c>
      <c r="BZ6" s="152">
        <f>'IS(FY)'!CA7</f>
        <v>66</v>
      </c>
      <c r="CA6" s="152">
        <f>'IS(FY)'!CB7</f>
        <v>67</v>
      </c>
      <c r="CB6" s="152">
        <f>'IS(FY)'!CC7</f>
        <v>68</v>
      </c>
      <c r="CC6" s="152">
        <f>'IS(FY)'!CD7</f>
        <v>69</v>
      </c>
      <c r="CD6" s="152">
        <f>'IS(FY)'!CE7</f>
        <v>70</v>
      </c>
      <c r="CE6" s="152">
        <f>'IS(FY)'!CF7</f>
        <v>71</v>
      </c>
      <c r="CF6" s="152">
        <f>'IS(FY)'!CG7</f>
        <v>72</v>
      </c>
      <c r="CG6" s="152">
        <f>'IS(FY)'!CH7</f>
        <v>73</v>
      </c>
      <c r="CH6" s="152">
        <f>'IS(FY)'!CI7</f>
        <v>74</v>
      </c>
      <c r="CI6" s="152">
        <f>'IS(FY)'!CJ7</f>
        <v>75</v>
      </c>
      <c r="CJ6" s="152">
        <f>'IS(FY)'!CK7</f>
        <v>76</v>
      </c>
      <c r="CK6" s="152">
        <f>'IS(FY)'!CL7</f>
        <v>77</v>
      </c>
      <c r="CL6" s="152">
        <f>'IS(FY)'!CM7</f>
        <v>78</v>
      </c>
      <c r="CM6" s="152">
        <f>'IS(FY)'!CN7</f>
        <v>79</v>
      </c>
      <c r="CN6" s="152">
        <f>'IS(FY)'!CO7</f>
        <v>80</v>
      </c>
      <c r="CO6" s="152">
        <f>'IS(FY)'!CP7</f>
        <v>81</v>
      </c>
      <c r="CP6" s="152">
        <f>'IS(FY)'!CQ7</f>
        <v>82</v>
      </c>
      <c r="CQ6" s="152">
        <f>'IS(FY)'!CR7</f>
        <v>83</v>
      </c>
      <c r="CR6" s="152">
        <f>'IS(FY)'!CS7</f>
        <v>84</v>
      </c>
      <c r="CS6" s="152">
        <f>'IS(FY)'!CT7</f>
        <v>85</v>
      </c>
      <c r="CT6" s="152">
        <f>'IS(FY)'!CU7</f>
        <v>86</v>
      </c>
      <c r="CU6" s="152">
        <f>'IS(FY)'!CV7</f>
        <v>87</v>
      </c>
      <c r="CV6" s="152">
        <f>'IS(FY)'!CW7</f>
        <v>88</v>
      </c>
      <c r="CW6" s="152">
        <f>'IS(FY)'!CX7</f>
        <v>89</v>
      </c>
      <c r="CX6" s="152">
        <f>'IS(FY)'!CY7</f>
        <v>90</v>
      </c>
      <c r="CY6" s="152">
        <f>'IS(FY)'!CZ7</f>
        <v>91</v>
      </c>
      <c r="CZ6" s="152">
        <f>'IS(FY)'!DA7</f>
        <v>92</v>
      </c>
      <c r="DA6" s="152">
        <f>'IS(FY)'!DB7</f>
        <v>93</v>
      </c>
      <c r="DB6" s="152">
        <f>'IS(FY)'!DC7</f>
        <v>94</v>
      </c>
      <c r="DC6" s="152">
        <f>'IS(FY)'!DD7</f>
        <v>95</v>
      </c>
      <c r="DD6" s="152">
        <f>'IS(FY)'!DE7</f>
        <v>96</v>
      </c>
      <c r="DE6" s="152">
        <f>'IS(FY)'!DF7</f>
        <v>97</v>
      </c>
      <c r="DF6" s="152">
        <f>'IS(FY)'!DG7</f>
        <v>98</v>
      </c>
      <c r="DG6" s="152">
        <f>'IS(FY)'!DH7</f>
        <v>99</v>
      </c>
      <c r="DH6" s="152">
        <f>'IS(FY)'!DI7</f>
        <v>100</v>
      </c>
      <c r="DI6" s="152">
        <f>'IS(FY)'!DJ7</f>
        <v>101</v>
      </c>
      <c r="DJ6" s="152">
        <f>'IS(FY)'!DK7</f>
        <v>102</v>
      </c>
      <c r="DK6" s="152">
        <f>'IS(FY)'!DL7</f>
        <v>103</v>
      </c>
      <c r="DL6" s="152">
        <f>'IS(FY)'!DM7</f>
        <v>104</v>
      </c>
      <c r="DM6" s="152">
        <f>'IS(FY)'!DN7</f>
        <v>105</v>
      </c>
      <c r="DN6" s="152">
        <f>'IS(FY)'!DO7</f>
        <v>106</v>
      </c>
      <c r="DO6" s="152">
        <f>'IS(FY)'!DP7</f>
        <v>107</v>
      </c>
      <c r="DP6" s="152">
        <f>'IS(FY)'!DQ7</f>
        <v>108</v>
      </c>
      <c r="DQ6" s="152">
        <f>'IS(FY)'!DR7</f>
        <v>109</v>
      </c>
      <c r="DR6" s="152">
        <f>'IS(FY)'!DS7</f>
        <v>110</v>
      </c>
      <c r="DS6" s="152">
        <f>'IS(FY)'!DT7</f>
        <v>111</v>
      </c>
      <c r="DT6" s="152">
        <f>'IS(FY)'!DU7</f>
        <v>112</v>
      </c>
      <c r="DU6" s="152">
        <f>'IS(FY)'!DV7</f>
        <v>113</v>
      </c>
      <c r="DV6" s="152">
        <f>'IS(FY)'!DW7</f>
        <v>114</v>
      </c>
    </row>
    <row r="7" spans="1:130" ht="11.25" customHeight="1">
      <c r="C7" s="154"/>
      <c r="H7" s="146"/>
      <c r="I7" s="13"/>
    </row>
    <row r="8" spans="1:130" ht="11.25" customHeight="1">
      <c r="B8" s="155" t="s">
        <v>180</v>
      </c>
      <c r="C8" s="155"/>
      <c r="D8" s="155"/>
      <c r="E8" s="155"/>
      <c r="F8" s="155"/>
      <c r="G8" s="155"/>
      <c r="H8" s="191"/>
      <c r="I8" s="192"/>
      <c r="J8" s="156" t="s">
        <v>59</v>
      </c>
      <c r="L8" s="210">
        <f t="shared" ref="L8:AQ8" si="0">L5</f>
        <v>46326</v>
      </c>
      <c r="M8" s="210">
        <f t="shared" si="0"/>
        <v>46507</v>
      </c>
      <c r="N8" s="210">
        <f t="shared" si="0"/>
        <v>46691</v>
      </c>
      <c r="O8" s="210">
        <f t="shared" si="0"/>
        <v>46873</v>
      </c>
      <c r="P8" s="210">
        <f t="shared" si="0"/>
        <v>47057</v>
      </c>
      <c r="Q8" s="210">
        <f t="shared" si="0"/>
        <v>47238</v>
      </c>
      <c r="R8" s="210">
        <f t="shared" si="0"/>
        <v>47422</v>
      </c>
      <c r="S8" s="210">
        <f t="shared" si="0"/>
        <v>47603</v>
      </c>
      <c r="T8" s="210">
        <f t="shared" si="0"/>
        <v>47787</v>
      </c>
      <c r="U8" s="210">
        <f t="shared" si="0"/>
        <v>47968</v>
      </c>
      <c r="V8" s="210">
        <f t="shared" si="0"/>
        <v>48152</v>
      </c>
      <c r="W8" s="210">
        <f t="shared" si="0"/>
        <v>48334</v>
      </c>
      <c r="X8" s="210">
        <f t="shared" si="0"/>
        <v>48518</v>
      </c>
      <c r="Y8" s="210">
        <f t="shared" si="0"/>
        <v>48699</v>
      </c>
      <c r="Z8" s="210">
        <f t="shared" si="0"/>
        <v>48883</v>
      </c>
      <c r="AA8" s="210">
        <f t="shared" si="0"/>
        <v>49064</v>
      </c>
      <c r="AB8" s="210">
        <f t="shared" si="0"/>
        <v>49248</v>
      </c>
      <c r="AC8" s="210">
        <f t="shared" si="0"/>
        <v>49429</v>
      </c>
      <c r="AD8" s="210">
        <f t="shared" si="0"/>
        <v>49613</v>
      </c>
      <c r="AE8" s="210">
        <f t="shared" si="0"/>
        <v>49795</v>
      </c>
      <c r="AF8" s="210">
        <f t="shared" si="0"/>
        <v>49979</v>
      </c>
      <c r="AG8" s="210">
        <f t="shared" si="0"/>
        <v>50160</v>
      </c>
      <c r="AH8" s="210">
        <f t="shared" si="0"/>
        <v>50344</v>
      </c>
      <c r="AI8" s="210">
        <f t="shared" si="0"/>
        <v>50525</v>
      </c>
      <c r="AJ8" s="210">
        <f t="shared" si="0"/>
        <v>50709</v>
      </c>
      <c r="AK8" s="210">
        <f t="shared" si="0"/>
        <v>50890</v>
      </c>
      <c r="AL8" s="210">
        <f t="shared" si="0"/>
        <v>51074</v>
      </c>
      <c r="AM8" s="210">
        <f t="shared" si="0"/>
        <v>51256</v>
      </c>
      <c r="AN8" s="210">
        <f t="shared" si="0"/>
        <v>51440</v>
      </c>
      <c r="AO8" s="210">
        <f t="shared" si="0"/>
        <v>51621</v>
      </c>
      <c r="AP8" s="210">
        <f t="shared" si="0"/>
        <v>51805</v>
      </c>
      <c r="AQ8" s="210">
        <f t="shared" si="0"/>
        <v>51986</v>
      </c>
      <c r="AR8" s="210">
        <f t="shared" ref="AR8:BW8" si="1">AR5</f>
        <v>52170</v>
      </c>
      <c r="AS8" s="210">
        <f t="shared" si="1"/>
        <v>52351</v>
      </c>
      <c r="AT8" s="210">
        <f t="shared" si="1"/>
        <v>52535</v>
      </c>
      <c r="AU8" s="210">
        <f t="shared" si="1"/>
        <v>52717</v>
      </c>
      <c r="AV8" s="210">
        <f t="shared" si="1"/>
        <v>52901</v>
      </c>
      <c r="AW8" s="210">
        <f t="shared" si="1"/>
        <v>53082</v>
      </c>
      <c r="AX8" s="210">
        <f t="shared" si="1"/>
        <v>53266</v>
      </c>
      <c r="AY8" s="210">
        <f t="shared" si="1"/>
        <v>53447</v>
      </c>
      <c r="AZ8" s="210">
        <f t="shared" si="1"/>
        <v>53631</v>
      </c>
      <c r="BA8" s="210">
        <f t="shared" si="1"/>
        <v>53812</v>
      </c>
      <c r="BB8" s="210">
        <f t="shared" si="1"/>
        <v>53996</v>
      </c>
      <c r="BC8" s="210">
        <f t="shared" si="1"/>
        <v>54178</v>
      </c>
      <c r="BD8" s="210">
        <f t="shared" si="1"/>
        <v>54362</v>
      </c>
      <c r="BE8" s="210">
        <f t="shared" si="1"/>
        <v>54543</v>
      </c>
      <c r="BF8" s="210">
        <f t="shared" si="1"/>
        <v>54727</v>
      </c>
      <c r="BG8" s="210">
        <f t="shared" si="1"/>
        <v>54908</v>
      </c>
      <c r="BH8" s="210">
        <f t="shared" si="1"/>
        <v>55092</v>
      </c>
      <c r="BI8" s="210">
        <f t="shared" si="1"/>
        <v>55273</v>
      </c>
      <c r="BJ8" s="210">
        <f t="shared" si="1"/>
        <v>55457</v>
      </c>
      <c r="BK8" s="210">
        <f t="shared" si="1"/>
        <v>55639</v>
      </c>
      <c r="BL8" s="210">
        <f t="shared" si="1"/>
        <v>55823</v>
      </c>
      <c r="BM8" s="210">
        <f t="shared" si="1"/>
        <v>56004</v>
      </c>
      <c r="BN8" s="210">
        <f t="shared" si="1"/>
        <v>56188</v>
      </c>
      <c r="BO8" s="210">
        <f t="shared" si="1"/>
        <v>56369</v>
      </c>
      <c r="BP8" s="210">
        <f t="shared" si="1"/>
        <v>56553</v>
      </c>
      <c r="BQ8" s="210">
        <f t="shared" si="1"/>
        <v>56734</v>
      </c>
      <c r="BR8" s="210">
        <f t="shared" si="1"/>
        <v>56918</v>
      </c>
      <c r="BS8" s="210">
        <f t="shared" si="1"/>
        <v>57100</v>
      </c>
      <c r="BT8" s="210">
        <f t="shared" si="1"/>
        <v>57284</v>
      </c>
      <c r="BU8" s="210">
        <f t="shared" si="1"/>
        <v>57465</v>
      </c>
      <c r="BV8" s="210">
        <f t="shared" si="1"/>
        <v>57649</v>
      </c>
      <c r="BW8" s="210">
        <f t="shared" si="1"/>
        <v>57830</v>
      </c>
      <c r="BX8" s="210">
        <f t="shared" ref="BX8:DC8" si="2">BX5</f>
        <v>58014</v>
      </c>
      <c r="BY8" s="210">
        <f t="shared" si="2"/>
        <v>58195</v>
      </c>
      <c r="BZ8" s="210">
        <f t="shared" si="2"/>
        <v>58379</v>
      </c>
      <c r="CA8" s="210">
        <f t="shared" si="2"/>
        <v>58561</v>
      </c>
      <c r="CB8" s="210">
        <f t="shared" si="2"/>
        <v>58745</v>
      </c>
      <c r="CC8" s="210">
        <f t="shared" si="2"/>
        <v>58926</v>
      </c>
      <c r="CD8" s="210">
        <f t="shared" si="2"/>
        <v>59110</v>
      </c>
      <c r="CE8" s="210">
        <f t="shared" si="2"/>
        <v>59291</v>
      </c>
      <c r="CF8" s="210">
        <f t="shared" si="2"/>
        <v>59475</v>
      </c>
      <c r="CG8" s="210">
        <f t="shared" si="2"/>
        <v>59656</v>
      </c>
      <c r="CH8" s="210">
        <f t="shared" si="2"/>
        <v>59840</v>
      </c>
      <c r="CI8" s="210">
        <f t="shared" si="2"/>
        <v>60022</v>
      </c>
      <c r="CJ8" s="210">
        <f t="shared" si="2"/>
        <v>60206</v>
      </c>
      <c r="CK8" s="210">
        <f t="shared" si="2"/>
        <v>60387</v>
      </c>
      <c r="CL8" s="210">
        <f t="shared" si="2"/>
        <v>60571</v>
      </c>
      <c r="CM8" s="210">
        <f t="shared" si="2"/>
        <v>60752</v>
      </c>
      <c r="CN8" s="210">
        <f t="shared" si="2"/>
        <v>60936</v>
      </c>
      <c r="CO8" s="210">
        <f t="shared" si="2"/>
        <v>61117</v>
      </c>
      <c r="CP8" s="210">
        <f t="shared" si="2"/>
        <v>61301</v>
      </c>
      <c r="CQ8" s="210">
        <f t="shared" si="2"/>
        <v>61483</v>
      </c>
      <c r="CR8" s="210">
        <f t="shared" si="2"/>
        <v>61667</v>
      </c>
      <c r="CS8" s="210">
        <f t="shared" si="2"/>
        <v>61848</v>
      </c>
      <c r="CT8" s="210">
        <f t="shared" si="2"/>
        <v>62032</v>
      </c>
      <c r="CU8" s="210">
        <f t="shared" si="2"/>
        <v>62213</v>
      </c>
      <c r="CV8" s="210">
        <f t="shared" si="2"/>
        <v>62397</v>
      </c>
      <c r="CW8" s="210">
        <f t="shared" si="2"/>
        <v>62578</v>
      </c>
      <c r="CX8" s="210">
        <f t="shared" si="2"/>
        <v>62762</v>
      </c>
      <c r="CY8" s="210">
        <f t="shared" si="2"/>
        <v>62944</v>
      </c>
      <c r="CZ8" s="210">
        <f t="shared" si="2"/>
        <v>63128</v>
      </c>
      <c r="DA8" s="210">
        <f t="shared" si="2"/>
        <v>63309</v>
      </c>
      <c r="DB8" s="210">
        <f t="shared" si="2"/>
        <v>63493</v>
      </c>
      <c r="DC8" s="210">
        <f t="shared" si="2"/>
        <v>63674</v>
      </c>
      <c r="DD8" s="210">
        <f t="shared" ref="DD8:DV8" si="3">DD5</f>
        <v>63858</v>
      </c>
      <c r="DE8" s="210">
        <f t="shared" si="3"/>
        <v>64039</v>
      </c>
      <c r="DF8" s="210">
        <f t="shared" si="3"/>
        <v>64223</v>
      </c>
      <c r="DG8" s="210">
        <f t="shared" si="3"/>
        <v>64405</v>
      </c>
      <c r="DH8" s="210">
        <f t="shared" si="3"/>
        <v>64589</v>
      </c>
      <c r="DI8" s="210">
        <f t="shared" si="3"/>
        <v>64770</v>
      </c>
      <c r="DJ8" s="210">
        <f t="shared" si="3"/>
        <v>64954</v>
      </c>
      <c r="DK8" s="210">
        <f t="shared" si="3"/>
        <v>65135</v>
      </c>
      <c r="DL8" s="210">
        <f t="shared" si="3"/>
        <v>65319</v>
      </c>
      <c r="DM8" s="210">
        <f t="shared" si="3"/>
        <v>65500</v>
      </c>
      <c r="DN8" s="210">
        <f t="shared" si="3"/>
        <v>65684</v>
      </c>
      <c r="DO8" s="210">
        <f t="shared" si="3"/>
        <v>65866</v>
      </c>
      <c r="DP8" s="210">
        <f t="shared" si="3"/>
        <v>66050</v>
      </c>
      <c r="DQ8" s="210">
        <f t="shared" si="3"/>
        <v>66231</v>
      </c>
      <c r="DR8" s="210">
        <f t="shared" si="3"/>
        <v>66415</v>
      </c>
      <c r="DS8" s="210">
        <f t="shared" si="3"/>
        <v>66596</v>
      </c>
      <c r="DT8" s="210">
        <f t="shared" si="3"/>
        <v>66780</v>
      </c>
      <c r="DU8" s="210">
        <f t="shared" si="3"/>
        <v>66961</v>
      </c>
      <c r="DV8" s="210">
        <f t="shared" si="3"/>
        <v>67145</v>
      </c>
    </row>
    <row r="9" spans="1:130" ht="11.25" customHeight="1">
      <c r="B9" s="211" t="s">
        <v>181</v>
      </c>
      <c r="C9" s="212"/>
      <c r="D9" s="212"/>
      <c r="E9" s="212"/>
      <c r="F9" s="212"/>
      <c r="G9" s="212"/>
      <c r="H9" s="213"/>
      <c r="I9" s="214"/>
      <c r="J9" s="215">
        <f ca="1">SUM(J10,J17,J29,J35,J44)</f>
        <v>43526238.642517284</v>
      </c>
      <c r="L9" s="216">
        <f t="shared" ref="L9:BW9" ca="1" si="4">SUM(L10,L17,L29,L35,L44)</f>
        <v>-12856669.630531998</v>
      </c>
      <c r="M9" s="217">
        <f t="shared" ca="1" si="4"/>
        <v>13610678.035401002</v>
      </c>
      <c r="N9" s="217">
        <f t="shared" ca="1" si="4"/>
        <v>1621909.9386939853</v>
      </c>
      <c r="O9" s="217">
        <f t="shared" ca="1" si="4"/>
        <v>1032235.0904002634</v>
      </c>
      <c r="P9" s="217">
        <f t="shared" ca="1" si="4"/>
        <v>1709717.2517928006</v>
      </c>
      <c r="Q9" s="217">
        <f t="shared" ca="1" si="4"/>
        <v>1397571.5363611979</v>
      </c>
      <c r="R9" s="217">
        <f t="shared" ca="1" si="4"/>
        <v>-3353958.911866012</v>
      </c>
      <c r="S9" s="217">
        <f t="shared" ca="1" si="4"/>
        <v>1840988.7026900395</v>
      </c>
      <c r="T9" s="217">
        <f t="shared" ca="1" si="4"/>
        <v>2353291.9989280123</v>
      </c>
      <c r="U9" s="217">
        <f t="shared" ca="1" si="4"/>
        <v>2105541.4966859482</v>
      </c>
      <c r="V9" s="217">
        <f t="shared" ca="1" si="4"/>
        <v>2562478.4355854411</v>
      </c>
      <c r="W9" s="217">
        <f t="shared" ca="1" si="4"/>
        <v>2645647.7403300563</v>
      </c>
      <c r="X9" s="217">
        <f t="shared" ca="1" si="4"/>
        <v>3098497.3462193971</v>
      </c>
      <c r="Y9" s="217">
        <f t="shared" ca="1" si="4"/>
        <v>2871213.1788212517</v>
      </c>
      <c r="Z9" s="217">
        <f t="shared" ca="1" si="4"/>
        <v>3320274.6567853596</v>
      </c>
      <c r="AA9" s="217">
        <f t="shared" ca="1" si="4"/>
        <v>3101875.2840839513</v>
      </c>
      <c r="AB9" s="217">
        <f t="shared" ca="1" si="4"/>
        <v>2641219.6373090413</v>
      </c>
      <c r="AC9" s="217">
        <f t="shared" ca="1" si="4"/>
        <v>3150905.6000097115</v>
      </c>
      <c r="AD9" s="217">
        <f t="shared" ca="1" si="4"/>
        <v>3563341.3618176733</v>
      </c>
      <c r="AE9" s="217">
        <f t="shared" ca="1" si="4"/>
        <v>3481956.5281975572</v>
      </c>
      <c r="AF9" s="217">
        <f t="shared" ca="1" si="4"/>
        <v>3627523.3648026004</v>
      </c>
      <c r="AG9" s="217">
        <f t="shared" ca="1" si="4"/>
        <v>0</v>
      </c>
      <c r="AH9" s="217">
        <f t="shared" ca="1" si="4"/>
        <v>0</v>
      </c>
      <c r="AI9" s="217">
        <f t="shared" ca="1" si="4"/>
        <v>0</v>
      </c>
      <c r="AJ9" s="217">
        <f t="shared" si="4"/>
        <v>0</v>
      </c>
      <c r="AK9" s="217">
        <f t="shared" si="4"/>
        <v>0</v>
      </c>
      <c r="AL9" s="217">
        <f t="shared" si="4"/>
        <v>0</v>
      </c>
      <c r="AM9" s="217">
        <f t="shared" si="4"/>
        <v>0</v>
      </c>
      <c r="AN9" s="217">
        <f t="shared" si="4"/>
        <v>0</v>
      </c>
      <c r="AO9" s="217">
        <f t="shared" si="4"/>
        <v>0</v>
      </c>
      <c r="AP9" s="217">
        <f t="shared" si="4"/>
        <v>0</v>
      </c>
      <c r="AQ9" s="217">
        <f t="shared" si="4"/>
        <v>0</v>
      </c>
      <c r="AR9" s="217">
        <f t="shared" si="4"/>
        <v>0</v>
      </c>
      <c r="AS9" s="217">
        <f t="shared" si="4"/>
        <v>0</v>
      </c>
      <c r="AT9" s="217">
        <f t="shared" si="4"/>
        <v>0</v>
      </c>
      <c r="AU9" s="217">
        <f t="shared" si="4"/>
        <v>0</v>
      </c>
      <c r="AV9" s="217">
        <f t="shared" si="4"/>
        <v>0</v>
      </c>
      <c r="AW9" s="217">
        <f t="shared" si="4"/>
        <v>0</v>
      </c>
      <c r="AX9" s="217">
        <f t="shared" si="4"/>
        <v>0</v>
      </c>
      <c r="AY9" s="217">
        <f t="shared" si="4"/>
        <v>0</v>
      </c>
      <c r="AZ9" s="217">
        <f t="shared" si="4"/>
        <v>0</v>
      </c>
      <c r="BA9" s="217">
        <f t="shared" si="4"/>
        <v>0</v>
      </c>
      <c r="BB9" s="217">
        <f t="shared" si="4"/>
        <v>0</v>
      </c>
      <c r="BC9" s="217">
        <f t="shared" si="4"/>
        <v>0</v>
      </c>
      <c r="BD9" s="217">
        <f t="shared" si="4"/>
        <v>0</v>
      </c>
      <c r="BE9" s="217">
        <f t="shared" si="4"/>
        <v>0</v>
      </c>
      <c r="BF9" s="217">
        <f t="shared" si="4"/>
        <v>0</v>
      </c>
      <c r="BG9" s="217">
        <f t="shared" si="4"/>
        <v>0</v>
      </c>
      <c r="BH9" s="217">
        <f t="shared" si="4"/>
        <v>0</v>
      </c>
      <c r="BI9" s="217">
        <f t="shared" si="4"/>
        <v>0</v>
      </c>
      <c r="BJ9" s="217">
        <f t="shared" si="4"/>
        <v>0</v>
      </c>
      <c r="BK9" s="217">
        <f t="shared" si="4"/>
        <v>0</v>
      </c>
      <c r="BL9" s="217">
        <f t="shared" si="4"/>
        <v>0</v>
      </c>
      <c r="BM9" s="217">
        <f t="shared" si="4"/>
        <v>0</v>
      </c>
      <c r="BN9" s="217">
        <f t="shared" si="4"/>
        <v>0</v>
      </c>
      <c r="BO9" s="217">
        <f t="shared" si="4"/>
        <v>0</v>
      </c>
      <c r="BP9" s="217">
        <f t="shared" si="4"/>
        <v>0</v>
      </c>
      <c r="BQ9" s="217">
        <f t="shared" si="4"/>
        <v>0</v>
      </c>
      <c r="BR9" s="217">
        <f t="shared" si="4"/>
        <v>0</v>
      </c>
      <c r="BS9" s="217">
        <f t="shared" si="4"/>
        <v>0</v>
      </c>
      <c r="BT9" s="217">
        <f t="shared" si="4"/>
        <v>0</v>
      </c>
      <c r="BU9" s="217">
        <f t="shared" si="4"/>
        <v>0</v>
      </c>
      <c r="BV9" s="217">
        <f t="shared" si="4"/>
        <v>0</v>
      </c>
      <c r="BW9" s="217">
        <f t="shared" si="4"/>
        <v>0</v>
      </c>
      <c r="BX9" s="217">
        <f t="shared" ref="BX9:DV9" si="5">SUM(BX10,BX17,BX29,BX35,BX44)</f>
        <v>0</v>
      </c>
      <c r="BY9" s="217">
        <f t="shared" si="5"/>
        <v>0</v>
      </c>
      <c r="BZ9" s="217">
        <f t="shared" si="5"/>
        <v>0</v>
      </c>
      <c r="CA9" s="217">
        <f t="shared" si="5"/>
        <v>0</v>
      </c>
      <c r="CB9" s="217">
        <f t="shared" si="5"/>
        <v>0</v>
      </c>
      <c r="CC9" s="217">
        <f t="shared" si="5"/>
        <v>0</v>
      </c>
      <c r="CD9" s="217">
        <f t="shared" si="5"/>
        <v>0</v>
      </c>
      <c r="CE9" s="217">
        <f t="shared" si="5"/>
        <v>0</v>
      </c>
      <c r="CF9" s="217">
        <f t="shared" si="5"/>
        <v>0</v>
      </c>
      <c r="CG9" s="217">
        <f t="shared" si="5"/>
        <v>0</v>
      </c>
      <c r="CH9" s="217">
        <f t="shared" si="5"/>
        <v>0</v>
      </c>
      <c r="CI9" s="217">
        <f t="shared" si="5"/>
        <v>0</v>
      </c>
      <c r="CJ9" s="217">
        <f t="shared" si="5"/>
        <v>0</v>
      </c>
      <c r="CK9" s="217">
        <f t="shared" si="5"/>
        <v>0</v>
      </c>
      <c r="CL9" s="217">
        <f t="shared" si="5"/>
        <v>0</v>
      </c>
      <c r="CM9" s="217">
        <f t="shared" si="5"/>
        <v>0</v>
      </c>
      <c r="CN9" s="217">
        <f t="shared" si="5"/>
        <v>0</v>
      </c>
      <c r="CO9" s="217">
        <f t="shared" si="5"/>
        <v>0</v>
      </c>
      <c r="CP9" s="217">
        <f t="shared" si="5"/>
        <v>0</v>
      </c>
      <c r="CQ9" s="217">
        <f t="shared" si="5"/>
        <v>0</v>
      </c>
      <c r="CR9" s="217">
        <f t="shared" si="5"/>
        <v>0</v>
      </c>
      <c r="CS9" s="217">
        <f t="shared" si="5"/>
        <v>0</v>
      </c>
      <c r="CT9" s="217">
        <f t="shared" si="5"/>
        <v>0</v>
      </c>
      <c r="CU9" s="217">
        <f t="shared" si="5"/>
        <v>0</v>
      </c>
      <c r="CV9" s="217">
        <f t="shared" si="5"/>
        <v>0</v>
      </c>
      <c r="CW9" s="217">
        <f t="shared" si="5"/>
        <v>0</v>
      </c>
      <c r="CX9" s="217">
        <f t="shared" si="5"/>
        <v>0</v>
      </c>
      <c r="CY9" s="217">
        <f t="shared" si="5"/>
        <v>0</v>
      </c>
      <c r="CZ9" s="217">
        <f t="shared" si="5"/>
        <v>0</v>
      </c>
      <c r="DA9" s="217">
        <f t="shared" si="5"/>
        <v>0</v>
      </c>
      <c r="DB9" s="217">
        <f t="shared" si="5"/>
        <v>0</v>
      </c>
      <c r="DC9" s="217">
        <f t="shared" si="5"/>
        <v>0</v>
      </c>
      <c r="DD9" s="217">
        <f t="shared" si="5"/>
        <v>0</v>
      </c>
      <c r="DE9" s="217">
        <f t="shared" si="5"/>
        <v>0</v>
      </c>
      <c r="DF9" s="217">
        <f t="shared" si="5"/>
        <v>0</v>
      </c>
      <c r="DG9" s="217">
        <f t="shared" si="5"/>
        <v>0</v>
      </c>
      <c r="DH9" s="217">
        <f t="shared" si="5"/>
        <v>0</v>
      </c>
      <c r="DI9" s="217">
        <f t="shared" si="5"/>
        <v>0</v>
      </c>
      <c r="DJ9" s="217">
        <f t="shared" si="5"/>
        <v>0</v>
      </c>
      <c r="DK9" s="217">
        <f t="shared" si="5"/>
        <v>0</v>
      </c>
      <c r="DL9" s="217">
        <f t="shared" si="5"/>
        <v>0</v>
      </c>
      <c r="DM9" s="217">
        <f t="shared" si="5"/>
        <v>0</v>
      </c>
      <c r="DN9" s="217">
        <f t="shared" si="5"/>
        <v>0</v>
      </c>
      <c r="DO9" s="217">
        <f t="shared" si="5"/>
        <v>0</v>
      </c>
      <c r="DP9" s="217">
        <f t="shared" si="5"/>
        <v>0</v>
      </c>
      <c r="DQ9" s="217">
        <f t="shared" si="5"/>
        <v>0</v>
      </c>
      <c r="DR9" s="217">
        <f t="shared" si="5"/>
        <v>0</v>
      </c>
      <c r="DS9" s="217">
        <f t="shared" si="5"/>
        <v>0</v>
      </c>
      <c r="DT9" s="217">
        <f t="shared" si="5"/>
        <v>0</v>
      </c>
      <c r="DU9" s="217">
        <f t="shared" si="5"/>
        <v>0</v>
      </c>
      <c r="DV9" s="217">
        <f t="shared" si="5"/>
        <v>0</v>
      </c>
    </row>
    <row r="10" spans="1:130" ht="11.25" customHeight="1">
      <c r="B10" s="218"/>
      <c r="C10" s="158" t="s">
        <v>182</v>
      </c>
      <c r="D10" s="159"/>
      <c r="E10" s="159"/>
      <c r="F10" s="159"/>
      <c r="G10" s="159"/>
      <c r="H10" s="160"/>
      <c r="I10" s="219"/>
      <c r="J10" s="220">
        <f ca="1">SUM(J11:J16)</f>
        <v>173411614.93373635</v>
      </c>
      <c r="K10" s="98"/>
      <c r="L10" s="162">
        <f>SUM(L11:L16)</f>
        <v>0</v>
      </c>
      <c r="M10" s="162">
        <f t="shared" ref="M10:BX10" ca="1" si="6">SUM(M11:M16)</f>
        <v>7464322.3097152803</v>
      </c>
      <c r="N10" s="162">
        <f t="shared" ca="1" si="6"/>
        <v>7872777.9095610622</v>
      </c>
      <c r="O10" s="162">
        <f t="shared" ca="1" si="6"/>
        <v>7632096.2092718622</v>
      </c>
      <c r="P10" s="162">
        <f t="shared" ca="1" si="6"/>
        <v>8050763.1991137872</v>
      </c>
      <c r="Q10" s="162">
        <f t="shared" ca="1" si="6"/>
        <v>8145740.0338257961</v>
      </c>
      <c r="R10" s="162">
        <f t="shared" ca="1" si="6"/>
        <v>3220932.0777057232</v>
      </c>
      <c r="S10" s="162">
        <f t="shared" ca="1" si="6"/>
        <v>8625092.6779498607</v>
      </c>
      <c r="T10" s="162">
        <f t="shared" ca="1" si="6"/>
        <v>8857678.6013201401</v>
      </c>
      <c r="U10" s="162">
        <f t="shared" ca="1" si="6"/>
        <v>8847839.743573511</v>
      </c>
      <c r="V10" s="162">
        <f t="shared" ca="1" si="6"/>
        <v>9076350.2741668411</v>
      </c>
      <c r="W10" s="162">
        <f t="shared" ca="1" si="6"/>
        <v>9066265.4449765477</v>
      </c>
      <c r="X10" s="162">
        <f t="shared" ca="1" si="6"/>
        <v>9300488.7388347127</v>
      </c>
      <c r="Y10" s="162">
        <f t="shared" ca="1" si="6"/>
        <v>9290151.78891466</v>
      </c>
      <c r="Z10" s="162">
        <f t="shared" ca="1" si="6"/>
        <v>9530230.665119281</v>
      </c>
      <c r="AA10" s="162">
        <f t="shared" ca="1" si="6"/>
        <v>9519635.2914512269</v>
      </c>
      <c r="AB10" s="162">
        <f t="shared" ca="1" si="6"/>
        <v>9544766.1863158066</v>
      </c>
      <c r="AC10" s="162">
        <f t="shared" ca="1" si="6"/>
        <v>9658689.0515864585</v>
      </c>
      <c r="AD10" s="162">
        <f t="shared" ca="1" si="6"/>
        <v>9783559.0341481045</v>
      </c>
      <c r="AE10" s="162">
        <f t="shared" ca="1" si="6"/>
        <v>9898857.9783701729</v>
      </c>
      <c r="AF10" s="162">
        <f t="shared" ca="1" si="6"/>
        <v>10025377.717815505</v>
      </c>
      <c r="AG10" s="162">
        <f t="shared" ca="1" si="6"/>
        <v>0</v>
      </c>
      <c r="AH10" s="162">
        <f t="shared" ca="1" si="6"/>
        <v>0</v>
      </c>
      <c r="AI10" s="162">
        <f t="shared" ca="1" si="6"/>
        <v>0</v>
      </c>
      <c r="AJ10" s="162">
        <f t="shared" si="6"/>
        <v>0</v>
      </c>
      <c r="AK10" s="162">
        <f t="shared" si="6"/>
        <v>0</v>
      </c>
      <c r="AL10" s="162">
        <f t="shared" si="6"/>
        <v>0</v>
      </c>
      <c r="AM10" s="162">
        <f t="shared" si="6"/>
        <v>0</v>
      </c>
      <c r="AN10" s="162">
        <f t="shared" si="6"/>
        <v>0</v>
      </c>
      <c r="AO10" s="162">
        <f t="shared" si="6"/>
        <v>0</v>
      </c>
      <c r="AP10" s="162">
        <f t="shared" si="6"/>
        <v>0</v>
      </c>
      <c r="AQ10" s="162">
        <f t="shared" si="6"/>
        <v>0</v>
      </c>
      <c r="AR10" s="162">
        <f t="shared" si="6"/>
        <v>0</v>
      </c>
      <c r="AS10" s="162">
        <f t="shared" si="6"/>
        <v>0</v>
      </c>
      <c r="AT10" s="162">
        <f t="shared" si="6"/>
        <v>0</v>
      </c>
      <c r="AU10" s="162">
        <f t="shared" si="6"/>
        <v>0</v>
      </c>
      <c r="AV10" s="162">
        <f t="shared" si="6"/>
        <v>0</v>
      </c>
      <c r="AW10" s="162">
        <f t="shared" si="6"/>
        <v>0</v>
      </c>
      <c r="AX10" s="162">
        <f t="shared" si="6"/>
        <v>0</v>
      </c>
      <c r="AY10" s="162">
        <f t="shared" si="6"/>
        <v>0</v>
      </c>
      <c r="AZ10" s="162">
        <f t="shared" si="6"/>
        <v>0</v>
      </c>
      <c r="BA10" s="162">
        <f t="shared" si="6"/>
        <v>0</v>
      </c>
      <c r="BB10" s="162">
        <f t="shared" si="6"/>
        <v>0</v>
      </c>
      <c r="BC10" s="162">
        <f t="shared" si="6"/>
        <v>0</v>
      </c>
      <c r="BD10" s="162">
        <f t="shared" si="6"/>
        <v>0</v>
      </c>
      <c r="BE10" s="162">
        <f t="shared" si="6"/>
        <v>0</v>
      </c>
      <c r="BF10" s="162">
        <f t="shared" si="6"/>
        <v>0</v>
      </c>
      <c r="BG10" s="162">
        <f t="shared" si="6"/>
        <v>0</v>
      </c>
      <c r="BH10" s="162">
        <f t="shared" si="6"/>
        <v>0</v>
      </c>
      <c r="BI10" s="162">
        <f t="shared" si="6"/>
        <v>0</v>
      </c>
      <c r="BJ10" s="162">
        <f t="shared" si="6"/>
        <v>0</v>
      </c>
      <c r="BK10" s="162">
        <f t="shared" si="6"/>
        <v>0</v>
      </c>
      <c r="BL10" s="162">
        <f t="shared" si="6"/>
        <v>0</v>
      </c>
      <c r="BM10" s="162">
        <f t="shared" si="6"/>
        <v>0</v>
      </c>
      <c r="BN10" s="162">
        <f t="shared" si="6"/>
        <v>0</v>
      </c>
      <c r="BO10" s="162">
        <f t="shared" si="6"/>
        <v>0</v>
      </c>
      <c r="BP10" s="162">
        <f t="shared" si="6"/>
        <v>0</v>
      </c>
      <c r="BQ10" s="162">
        <f t="shared" si="6"/>
        <v>0</v>
      </c>
      <c r="BR10" s="162">
        <f t="shared" si="6"/>
        <v>0</v>
      </c>
      <c r="BS10" s="162">
        <f t="shared" si="6"/>
        <v>0</v>
      </c>
      <c r="BT10" s="162">
        <f t="shared" si="6"/>
        <v>0</v>
      </c>
      <c r="BU10" s="162">
        <f t="shared" si="6"/>
        <v>0</v>
      </c>
      <c r="BV10" s="162">
        <f t="shared" si="6"/>
        <v>0</v>
      </c>
      <c r="BW10" s="162">
        <f t="shared" si="6"/>
        <v>0</v>
      </c>
      <c r="BX10" s="162">
        <f t="shared" si="6"/>
        <v>0</v>
      </c>
      <c r="BY10" s="162">
        <f t="shared" ref="BY10:DV10" si="7">SUM(BY11:BY16)</f>
        <v>0</v>
      </c>
      <c r="BZ10" s="162">
        <f t="shared" si="7"/>
        <v>0</v>
      </c>
      <c r="CA10" s="162">
        <f t="shared" si="7"/>
        <v>0</v>
      </c>
      <c r="CB10" s="162">
        <f t="shared" si="7"/>
        <v>0</v>
      </c>
      <c r="CC10" s="162">
        <f t="shared" si="7"/>
        <v>0</v>
      </c>
      <c r="CD10" s="162">
        <f t="shared" si="7"/>
        <v>0</v>
      </c>
      <c r="CE10" s="162">
        <f t="shared" si="7"/>
        <v>0</v>
      </c>
      <c r="CF10" s="162">
        <f t="shared" si="7"/>
        <v>0</v>
      </c>
      <c r="CG10" s="162">
        <f t="shared" si="7"/>
        <v>0</v>
      </c>
      <c r="CH10" s="162">
        <f t="shared" si="7"/>
        <v>0</v>
      </c>
      <c r="CI10" s="162">
        <f t="shared" si="7"/>
        <v>0</v>
      </c>
      <c r="CJ10" s="162">
        <f t="shared" si="7"/>
        <v>0</v>
      </c>
      <c r="CK10" s="162">
        <f t="shared" si="7"/>
        <v>0</v>
      </c>
      <c r="CL10" s="162">
        <f t="shared" si="7"/>
        <v>0</v>
      </c>
      <c r="CM10" s="162">
        <f t="shared" si="7"/>
        <v>0</v>
      </c>
      <c r="CN10" s="162">
        <f t="shared" si="7"/>
        <v>0</v>
      </c>
      <c r="CO10" s="162">
        <f t="shared" si="7"/>
        <v>0</v>
      </c>
      <c r="CP10" s="162">
        <f t="shared" si="7"/>
        <v>0</v>
      </c>
      <c r="CQ10" s="162">
        <f t="shared" si="7"/>
        <v>0</v>
      </c>
      <c r="CR10" s="162">
        <f t="shared" si="7"/>
        <v>0</v>
      </c>
      <c r="CS10" s="162">
        <f t="shared" si="7"/>
        <v>0</v>
      </c>
      <c r="CT10" s="162">
        <f t="shared" si="7"/>
        <v>0</v>
      </c>
      <c r="CU10" s="162">
        <f t="shared" si="7"/>
        <v>0</v>
      </c>
      <c r="CV10" s="162">
        <f t="shared" si="7"/>
        <v>0</v>
      </c>
      <c r="CW10" s="162">
        <f t="shared" si="7"/>
        <v>0</v>
      </c>
      <c r="CX10" s="162">
        <f t="shared" si="7"/>
        <v>0</v>
      </c>
      <c r="CY10" s="162">
        <f t="shared" si="7"/>
        <v>0</v>
      </c>
      <c r="CZ10" s="162">
        <f t="shared" si="7"/>
        <v>0</v>
      </c>
      <c r="DA10" s="162">
        <f t="shared" si="7"/>
        <v>0</v>
      </c>
      <c r="DB10" s="162">
        <f t="shared" si="7"/>
        <v>0</v>
      </c>
      <c r="DC10" s="162">
        <f t="shared" si="7"/>
        <v>0</v>
      </c>
      <c r="DD10" s="162">
        <f t="shared" si="7"/>
        <v>0</v>
      </c>
      <c r="DE10" s="162">
        <f t="shared" si="7"/>
        <v>0</v>
      </c>
      <c r="DF10" s="162">
        <f t="shared" si="7"/>
        <v>0</v>
      </c>
      <c r="DG10" s="162">
        <f t="shared" si="7"/>
        <v>0</v>
      </c>
      <c r="DH10" s="162">
        <f t="shared" si="7"/>
        <v>0</v>
      </c>
      <c r="DI10" s="162">
        <f t="shared" si="7"/>
        <v>0</v>
      </c>
      <c r="DJ10" s="162">
        <f t="shared" si="7"/>
        <v>0</v>
      </c>
      <c r="DK10" s="162">
        <f t="shared" si="7"/>
        <v>0</v>
      </c>
      <c r="DL10" s="162">
        <f t="shared" si="7"/>
        <v>0</v>
      </c>
      <c r="DM10" s="162">
        <f t="shared" si="7"/>
        <v>0</v>
      </c>
      <c r="DN10" s="162">
        <f t="shared" si="7"/>
        <v>0</v>
      </c>
      <c r="DO10" s="162">
        <f t="shared" si="7"/>
        <v>0</v>
      </c>
      <c r="DP10" s="162">
        <f t="shared" si="7"/>
        <v>0</v>
      </c>
      <c r="DQ10" s="162">
        <f t="shared" si="7"/>
        <v>0</v>
      </c>
      <c r="DR10" s="162">
        <f t="shared" si="7"/>
        <v>0</v>
      </c>
      <c r="DS10" s="162">
        <f t="shared" si="7"/>
        <v>0</v>
      </c>
      <c r="DT10" s="162">
        <f t="shared" si="7"/>
        <v>0</v>
      </c>
      <c r="DU10" s="162">
        <f t="shared" si="7"/>
        <v>0</v>
      </c>
      <c r="DV10" s="162">
        <f t="shared" si="7"/>
        <v>0</v>
      </c>
    </row>
    <row r="11" spans="1:130" ht="11.25" customHeight="1">
      <c r="B11" s="218"/>
      <c r="C11" s="163"/>
      <c r="D11" s="164" t="s">
        <v>183</v>
      </c>
      <c r="E11" s="165"/>
      <c r="F11" s="165"/>
      <c r="G11" s="165"/>
      <c r="H11" s="166"/>
      <c r="I11" s="221"/>
      <c r="J11" s="168">
        <f>SUM(L11:DV11)</f>
        <v>170882854.5871703</v>
      </c>
      <c r="K11" s="98"/>
      <c r="L11" s="168">
        <f>SUMIF('CF(M)'!$L$10:$EQ$10,L$6,'CF(M)'!$L16:$EQ16)</f>
        <v>0</v>
      </c>
      <c r="M11" s="168">
        <f>SUMIF('CF(M)'!$L$10:$EQ$10,M$6,'CF(M)'!$L16:$EQ16)</f>
        <v>7514929.5638281247</v>
      </c>
      <c r="N11" s="168">
        <f>SUMIF('CF(M)'!$L$10:$EQ$10,N$6,'CF(M)'!$L16:$EQ16)</f>
        <v>7604212.4035031255</v>
      </c>
      <c r="O11" s="168">
        <f>SUMIF('CF(M)'!$L$10:$EQ$10,O$6,'CF(M)'!$L16:$EQ16)</f>
        <v>7686738.936923827</v>
      </c>
      <c r="P11" s="168">
        <f>SUMIF('CF(M)'!$L$10:$EQ$10,P$6,'CF(M)'!$L16:$EQ16)</f>
        <v>7778253.8475907017</v>
      </c>
      <c r="Q11" s="168">
        <f>SUMIF('CF(M)'!$L$10:$EQ$10,Q$6,'CF(M)'!$L16:$EQ16)</f>
        <v>7862843.544346923</v>
      </c>
      <c r="R11" s="168">
        <f>SUMIF('CF(M)'!$L$10:$EQ$10,R$6,'CF(M)'!$L16:$EQ16)</f>
        <v>8072127.2010055222</v>
      </c>
      <c r="S11" s="168">
        <f>SUMIF('CF(M)'!$L$10:$EQ$10,S$6,'CF(M)'!$L16:$EQ16)</f>
        <v>8250725.2883622637</v>
      </c>
      <c r="T11" s="168">
        <f>SUMIF('CF(M)'!$L$10:$EQ$10,T$6,'CF(M)'!$L16:$EQ16)</f>
        <v>8367163.0867687827</v>
      </c>
      <c r="U11" s="168">
        <f>SUMIF('CF(M)'!$L$10:$EQ$10,U$6,'CF(M)'!$L16:$EQ16)</f>
        <v>8466883.461432524</v>
      </c>
      <c r="V11" s="168">
        <f>SUMIF('CF(M)'!$L$10:$EQ$10,V$6,'CF(M)'!$L16:$EQ16)</f>
        <v>8576342.1639380008</v>
      </c>
      <c r="W11" s="168">
        <f>SUMIF('CF(M)'!$L$10:$EQ$10,W$6,'CF(M)'!$L16:$EQ16)</f>
        <v>8678555.5479683354</v>
      </c>
      <c r="X11" s="168">
        <f>SUMIF('CF(M)'!$L$10:$EQ$10,X$6,'CF(M)'!$L16:$EQ16)</f>
        <v>8790750.7180364504</v>
      </c>
      <c r="Y11" s="168">
        <f>SUMIF('CF(M)'!$L$10:$EQ$10,Y$6,'CF(M)'!$L16:$EQ16)</f>
        <v>8895519.4366675429</v>
      </c>
      <c r="Z11" s="168">
        <f>SUMIF('CF(M)'!$L$10:$EQ$10,Z$6,'CF(M)'!$L16:$EQ16)</f>
        <v>9010519.4859873634</v>
      </c>
      <c r="AA11" s="168">
        <f>SUMIF('CF(M)'!$L$10:$EQ$10,AA$6,'CF(M)'!$L16:$EQ16)</f>
        <v>9117907.4225842319</v>
      </c>
      <c r="AB11" s="168">
        <f>SUMIF('CF(M)'!$L$10:$EQ$10,AB$6,'CF(M)'!$L16:$EQ16)</f>
        <v>9014843.6325296722</v>
      </c>
      <c r="AC11" s="168">
        <f>SUMIF('CF(M)'!$L$10:$EQ$10,AC$6,'CF(M)'!$L16:$EQ16)</f>
        <v>9123787.8853786383</v>
      </c>
      <c r="AD11" s="168">
        <f>SUMIF('CF(M)'!$L$10:$EQ$10,AD$6,'CF(M)'!$L16:$EQ16)</f>
        <v>9243158.7087036185</v>
      </c>
      <c r="AE11" s="168">
        <f>SUMIF('CF(M)'!$L$10:$EQ$10,AE$6,'CF(M)'!$L16:$EQ16)</f>
        <v>9353354.5751934573</v>
      </c>
      <c r="AF11" s="168">
        <f>SUMIF('CF(M)'!$L$10:$EQ$10,AF$6,'CF(M)'!$L16:$EQ16)</f>
        <v>9474237.6764212064</v>
      </c>
      <c r="AG11" s="168">
        <f>SUMIF('CF(M)'!$L$10:$EQ$10,AG$6,'CF(M)'!$L16:$EQ16)</f>
        <v>0</v>
      </c>
      <c r="AH11" s="168">
        <f>SUMIF('CF(M)'!$L$10:$EQ$10,AH$6,'CF(M)'!$L16:$EQ16)</f>
        <v>0</v>
      </c>
      <c r="AI11" s="168">
        <f>SUMIF('CF(M)'!$L$10:$EQ$10,AI$6,'CF(M)'!$L16:$EQ16)</f>
        <v>0</v>
      </c>
      <c r="AJ11" s="168">
        <f>SUMIF('CF(M)'!$L$10:$EQ$10,AJ$6,'CF(M)'!$L16:$EQ16)</f>
        <v>0</v>
      </c>
      <c r="AK11" s="168">
        <f>SUMIF('CF(M)'!$L$10:$EQ$10,AK$6,'CF(M)'!$L16:$EQ16)</f>
        <v>0</v>
      </c>
      <c r="AL11" s="168">
        <f>SUMIF('CF(M)'!$L$10:$EQ$10,AL$6,'CF(M)'!$L16:$EQ16)</f>
        <v>0</v>
      </c>
      <c r="AM11" s="168">
        <f>SUMIF('CF(M)'!$L$10:$EQ$10,AM$6,'CF(M)'!$L16:$EQ16)</f>
        <v>0</v>
      </c>
      <c r="AN11" s="168">
        <f>SUMIF('CF(M)'!$L$10:$EQ$10,AN$6,'CF(M)'!$L16:$EQ16)</f>
        <v>0</v>
      </c>
      <c r="AO11" s="168">
        <f>SUMIF('CF(M)'!$L$10:$EQ$10,AO$6,'CF(M)'!$L16:$EQ16)</f>
        <v>0</v>
      </c>
      <c r="AP11" s="168">
        <f>SUMIF('CF(M)'!$L$10:$EQ$10,AP$6,'CF(M)'!$L16:$EQ16)</f>
        <v>0</v>
      </c>
      <c r="AQ11" s="168">
        <f>SUMIF('CF(M)'!$L$10:$EQ$10,AQ$6,'CF(M)'!$L16:$EQ16)</f>
        <v>0</v>
      </c>
      <c r="AR11" s="168">
        <f>SUMIF('CF(M)'!$L$10:$EQ$10,AR$6,'CF(M)'!$L16:$EQ16)</f>
        <v>0</v>
      </c>
      <c r="AS11" s="168">
        <f>SUMIF('CF(M)'!$L$10:$EQ$10,AS$6,'CF(M)'!$L16:$EQ16)</f>
        <v>0</v>
      </c>
      <c r="AT11" s="168">
        <f>SUMIF('CF(M)'!$L$10:$EQ$10,AT$6,'CF(M)'!$L16:$EQ16)</f>
        <v>0</v>
      </c>
      <c r="AU11" s="168">
        <f>SUMIF('CF(M)'!$L$10:$EQ$10,AU$6,'CF(M)'!$L16:$EQ16)</f>
        <v>0</v>
      </c>
      <c r="AV11" s="168">
        <f>SUMIF('CF(M)'!$L$10:$EQ$10,AV$6,'CF(M)'!$L16:$EQ16)</f>
        <v>0</v>
      </c>
      <c r="AW11" s="168">
        <f>SUMIF('CF(M)'!$L$10:$EQ$10,AW$6,'CF(M)'!$L16:$EQ16)</f>
        <v>0</v>
      </c>
      <c r="AX11" s="168">
        <f>SUMIF('CF(M)'!$L$10:$EQ$10,AX$6,'CF(M)'!$L16:$EQ16)</f>
        <v>0</v>
      </c>
      <c r="AY11" s="168">
        <f>SUMIF('CF(M)'!$L$10:$EQ$10,AY$6,'CF(M)'!$L16:$EQ16)</f>
        <v>0</v>
      </c>
      <c r="AZ11" s="168">
        <f>SUMIF('CF(M)'!$L$10:$EQ$10,AZ$6,'CF(M)'!$L16:$EQ16)</f>
        <v>0</v>
      </c>
      <c r="BA11" s="168">
        <f>SUMIF('CF(M)'!$L$10:$EQ$10,BA$6,'CF(M)'!$L16:$EQ16)</f>
        <v>0</v>
      </c>
      <c r="BB11" s="168">
        <f>SUMIF('CF(M)'!$L$10:$EQ$10,BB$6,'CF(M)'!$L16:$EQ16)</f>
        <v>0</v>
      </c>
      <c r="BC11" s="168">
        <f>SUMIF('CF(M)'!$L$10:$EQ$10,BC$6,'CF(M)'!$L16:$EQ16)</f>
        <v>0</v>
      </c>
      <c r="BD11" s="168">
        <f>SUMIF('CF(M)'!$L$10:$EQ$10,BD$6,'CF(M)'!$L16:$EQ16)</f>
        <v>0</v>
      </c>
      <c r="BE11" s="168">
        <f>SUMIF('CF(M)'!$L$10:$EQ$10,BE$6,'CF(M)'!$L16:$EQ16)</f>
        <v>0</v>
      </c>
      <c r="BF11" s="168">
        <f>SUMIF('CF(M)'!$L$10:$EQ$10,BF$6,'CF(M)'!$L16:$EQ16)</f>
        <v>0</v>
      </c>
      <c r="BG11" s="168">
        <f>SUMIF('CF(M)'!$L$10:$EQ$10,BG$6,'CF(M)'!$L16:$EQ16)</f>
        <v>0</v>
      </c>
      <c r="BH11" s="168">
        <f>SUMIF('CF(M)'!$L$10:$EQ$10,BH$6,'CF(M)'!$L16:$EQ16)</f>
        <v>0</v>
      </c>
      <c r="BI11" s="168">
        <f>SUMIF('CF(M)'!$L$10:$EQ$10,BI$6,'CF(M)'!$L16:$EQ16)</f>
        <v>0</v>
      </c>
      <c r="BJ11" s="168">
        <f>SUMIF('CF(M)'!$L$10:$EQ$10,BJ$6,'CF(M)'!$L16:$EQ16)</f>
        <v>0</v>
      </c>
      <c r="BK11" s="168">
        <f>SUMIF('CF(M)'!$L$10:$EQ$10,BK$6,'CF(M)'!$L16:$EQ16)</f>
        <v>0</v>
      </c>
      <c r="BL11" s="168">
        <f>SUMIF('CF(M)'!$L$10:$EQ$10,BL$6,'CF(M)'!$L16:$EQ16)</f>
        <v>0</v>
      </c>
      <c r="BM11" s="168">
        <f>SUMIF('CF(M)'!$L$10:$EQ$10,BM$6,'CF(M)'!$L16:$EQ16)</f>
        <v>0</v>
      </c>
      <c r="BN11" s="168">
        <f>SUMIF('CF(M)'!$L$10:$EQ$10,BN$6,'CF(M)'!$L16:$EQ16)</f>
        <v>0</v>
      </c>
      <c r="BO11" s="168">
        <f>SUMIF('CF(M)'!$L$10:$EQ$10,BO$6,'CF(M)'!$L16:$EQ16)</f>
        <v>0</v>
      </c>
      <c r="BP11" s="168">
        <f>SUMIF('CF(M)'!$L$10:$EQ$10,BP$6,'CF(M)'!$L16:$EQ16)</f>
        <v>0</v>
      </c>
      <c r="BQ11" s="168">
        <f>SUMIF('CF(M)'!$L$10:$EQ$10,BQ$6,'CF(M)'!$L16:$EQ16)</f>
        <v>0</v>
      </c>
      <c r="BR11" s="168">
        <f>SUMIF('CF(M)'!$L$10:$EQ$10,BR$6,'CF(M)'!$L16:$EQ16)</f>
        <v>0</v>
      </c>
      <c r="BS11" s="168">
        <f>SUMIF('CF(M)'!$L$10:$EQ$10,BS$6,'CF(M)'!$L16:$EQ16)</f>
        <v>0</v>
      </c>
      <c r="BT11" s="168">
        <f>SUMIF('CF(M)'!$L$10:$EQ$10,BT$6,'CF(M)'!$L16:$EQ16)</f>
        <v>0</v>
      </c>
      <c r="BU11" s="168">
        <f>SUMIF('CF(M)'!$L$10:$EQ$10,BU$6,'CF(M)'!$L16:$EQ16)</f>
        <v>0</v>
      </c>
      <c r="BV11" s="168">
        <f>SUMIF('CF(M)'!$L$10:$EQ$10,BV$6,'CF(M)'!$L16:$EQ16)</f>
        <v>0</v>
      </c>
      <c r="BW11" s="168">
        <f>SUMIF('CF(M)'!$L$10:$EQ$10,BW$6,'CF(M)'!$L16:$EQ16)</f>
        <v>0</v>
      </c>
      <c r="BX11" s="168">
        <f>SUMIF('CF(M)'!$L$10:$EQ$10,BX$6,'CF(M)'!$L16:$EQ16)</f>
        <v>0</v>
      </c>
      <c r="BY11" s="168">
        <f>SUMIF('CF(M)'!$L$10:$EQ$10,BY$6,'CF(M)'!$L16:$EQ16)</f>
        <v>0</v>
      </c>
      <c r="BZ11" s="168">
        <f>SUMIF('CF(M)'!$L$10:$EQ$10,BZ$6,'CF(M)'!$L16:$EQ16)</f>
        <v>0</v>
      </c>
      <c r="CA11" s="168">
        <f>SUMIF('CF(M)'!$L$10:$EQ$10,CA$6,'CF(M)'!$L16:$EQ16)</f>
        <v>0</v>
      </c>
      <c r="CB11" s="168">
        <f>SUMIF('CF(M)'!$L$10:$EQ$10,CB$6,'CF(M)'!$L16:$EQ16)</f>
        <v>0</v>
      </c>
      <c r="CC11" s="168">
        <f>SUMIF('CF(M)'!$L$10:$EQ$10,CC$6,'CF(M)'!$L16:$EQ16)</f>
        <v>0</v>
      </c>
      <c r="CD11" s="168">
        <f>SUMIF('CF(M)'!$L$10:$EQ$10,CD$6,'CF(M)'!$L16:$EQ16)</f>
        <v>0</v>
      </c>
      <c r="CE11" s="168">
        <f>SUMIF('CF(M)'!$L$10:$EQ$10,CE$6,'CF(M)'!$L16:$EQ16)</f>
        <v>0</v>
      </c>
      <c r="CF11" s="168">
        <f>SUMIF('CF(M)'!$L$10:$EQ$10,CF$6,'CF(M)'!$L16:$EQ16)</f>
        <v>0</v>
      </c>
      <c r="CG11" s="168">
        <f>SUMIF('CF(M)'!$L$10:$EQ$10,CG$6,'CF(M)'!$L16:$EQ16)</f>
        <v>0</v>
      </c>
      <c r="CH11" s="168">
        <f>SUMIF('CF(M)'!$L$10:$EQ$10,CH$6,'CF(M)'!$L16:$EQ16)</f>
        <v>0</v>
      </c>
      <c r="CI11" s="168">
        <f>SUMIF('CF(M)'!$L$10:$EQ$10,CI$6,'CF(M)'!$L16:$EQ16)</f>
        <v>0</v>
      </c>
      <c r="CJ11" s="168">
        <f>SUMIF('CF(M)'!$L$10:$EQ$10,CJ$6,'CF(M)'!$L16:$EQ16)</f>
        <v>0</v>
      </c>
      <c r="CK11" s="168">
        <f>SUMIF('CF(M)'!$L$10:$EQ$10,CK$6,'CF(M)'!$L16:$EQ16)</f>
        <v>0</v>
      </c>
      <c r="CL11" s="168">
        <f>SUMIF('CF(M)'!$L$10:$EQ$10,CL$6,'CF(M)'!$L16:$EQ16)</f>
        <v>0</v>
      </c>
      <c r="CM11" s="168">
        <f>SUMIF('CF(M)'!$L$10:$EQ$10,CM$6,'CF(M)'!$L16:$EQ16)</f>
        <v>0</v>
      </c>
      <c r="CN11" s="168">
        <f>SUMIF('CF(M)'!$L$10:$EQ$10,CN$6,'CF(M)'!$L16:$EQ16)</f>
        <v>0</v>
      </c>
      <c r="CO11" s="168">
        <f>SUMIF('CF(M)'!$L$10:$EQ$10,CO$6,'CF(M)'!$L16:$EQ16)</f>
        <v>0</v>
      </c>
      <c r="CP11" s="168">
        <f>SUMIF('CF(M)'!$L$10:$EQ$10,CP$6,'CF(M)'!$L16:$EQ16)</f>
        <v>0</v>
      </c>
      <c r="CQ11" s="168">
        <f>SUMIF('CF(M)'!$L$10:$EQ$10,CQ$6,'CF(M)'!$L16:$EQ16)</f>
        <v>0</v>
      </c>
      <c r="CR11" s="168">
        <f>SUMIF('CF(M)'!$L$10:$EQ$10,CR$6,'CF(M)'!$L16:$EQ16)</f>
        <v>0</v>
      </c>
      <c r="CS11" s="168">
        <f>SUMIF('CF(M)'!$L$10:$EQ$10,CS$6,'CF(M)'!$L16:$EQ16)</f>
        <v>0</v>
      </c>
      <c r="CT11" s="168">
        <f>SUMIF('CF(M)'!$L$10:$EQ$10,CT$6,'CF(M)'!$L16:$EQ16)</f>
        <v>0</v>
      </c>
      <c r="CU11" s="168">
        <f>SUMIF('CF(M)'!$L$10:$EQ$10,CU$6,'CF(M)'!$L16:$EQ16)</f>
        <v>0</v>
      </c>
      <c r="CV11" s="168">
        <f>SUMIF('CF(M)'!$L$10:$EQ$10,CV$6,'CF(M)'!$L16:$EQ16)</f>
        <v>0</v>
      </c>
      <c r="CW11" s="168">
        <f>SUMIF('CF(M)'!$L$10:$EQ$10,CW$6,'CF(M)'!$L16:$EQ16)</f>
        <v>0</v>
      </c>
      <c r="CX11" s="168">
        <f>SUMIF('CF(M)'!$L$10:$EQ$10,CX$6,'CF(M)'!$L16:$EQ16)</f>
        <v>0</v>
      </c>
      <c r="CY11" s="168">
        <f>SUMIF('CF(M)'!$L$10:$EQ$10,CY$6,'CF(M)'!$L16:$EQ16)</f>
        <v>0</v>
      </c>
      <c r="CZ11" s="168">
        <f>SUMIF('CF(M)'!$L$10:$EQ$10,CZ$6,'CF(M)'!$L16:$EQ16)</f>
        <v>0</v>
      </c>
      <c r="DA11" s="168">
        <f>SUMIF('CF(M)'!$L$10:$EQ$10,DA$6,'CF(M)'!$L16:$EQ16)</f>
        <v>0</v>
      </c>
      <c r="DB11" s="168">
        <f>SUMIF('CF(M)'!$L$10:$EQ$10,DB$6,'CF(M)'!$L16:$EQ16)</f>
        <v>0</v>
      </c>
      <c r="DC11" s="168">
        <f>SUMIF('CF(M)'!$L$10:$EQ$10,DC$6,'CF(M)'!$L16:$EQ16)</f>
        <v>0</v>
      </c>
      <c r="DD11" s="168">
        <f>SUMIF('CF(M)'!$L$10:$EQ$10,DD$6,'CF(M)'!$L16:$EQ16)</f>
        <v>0</v>
      </c>
      <c r="DE11" s="168">
        <f>SUMIF('CF(M)'!$L$10:$EQ$10,DE$6,'CF(M)'!$L16:$EQ16)</f>
        <v>0</v>
      </c>
      <c r="DF11" s="168">
        <f>SUMIF('CF(M)'!$L$10:$EQ$10,DF$6,'CF(M)'!$L16:$EQ16)</f>
        <v>0</v>
      </c>
      <c r="DG11" s="168">
        <f>SUMIF('CF(M)'!$L$10:$EQ$10,DG$6,'CF(M)'!$L16:$EQ16)</f>
        <v>0</v>
      </c>
      <c r="DH11" s="168">
        <f>SUMIF('CF(M)'!$L$10:$EQ$10,DH$6,'CF(M)'!$L16:$EQ16)</f>
        <v>0</v>
      </c>
      <c r="DI11" s="168">
        <f>SUMIF('CF(M)'!$L$10:$EQ$10,DI$6,'CF(M)'!$L16:$EQ16)</f>
        <v>0</v>
      </c>
      <c r="DJ11" s="168">
        <f>SUMIF('CF(M)'!$L$10:$EQ$10,DJ$6,'CF(M)'!$L16:$EQ16)</f>
        <v>0</v>
      </c>
      <c r="DK11" s="168">
        <f>SUMIF('CF(M)'!$L$10:$EQ$10,DK$6,'CF(M)'!$L16:$EQ16)</f>
        <v>0</v>
      </c>
      <c r="DL11" s="168">
        <f>SUMIF('CF(M)'!$L$10:$EQ$10,DL$6,'CF(M)'!$L16:$EQ16)</f>
        <v>0</v>
      </c>
      <c r="DM11" s="168">
        <f>SUMIF('CF(M)'!$L$10:$EQ$10,DM$6,'CF(M)'!$L16:$EQ16)</f>
        <v>0</v>
      </c>
      <c r="DN11" s="168">
        <f>SUMIF('CF(M)'!$L$10:$EQ$10,DN$6,'CF(M)'!$L16:$EQ16)</f>
        <v>0</v>
      </c>
      <c r="DO11" s="168">
        <f>SUMIF('CF(M)'!$L$10:$EQ$10,DO$6,'CF(M)'!$L16:$EQ16)</f>
        <v>0</v>
      </c>
      <c r="DP11" s="168">
        <f>SUMIF('CF(M)'!$L$10:$EQ$10,DP$6,'CF(M)'!$L16:$EQ16)</f>
        <v>0</v>
      </c>
      <c r="DQ11" s="168">
        <f>SUMIF('CF(M)'!$L$10:$EQ$10,DQ$6,'CF(M)'!$L16:$EQ16)</f>
        <v>0</v>
      </c>
      <c r="DR11" s="168">
        <f>SUMIF('CF(M)'!$L$10:$EQ$10,DR$6,'CF(M)'!$L16:$EQ16)</f>
        <v>0</v>
      </c>
      <c r="DS11" s="168">
        <f>SUMIF('CF(M)'!$L$10:$EQ$10,DS$6,'CF(M)'!$L16:$EQ16)</f>
        <v>0</v>
      </c>
      <c r="DT11" s="168">
        <f>SUMIF('CF(M)'!$L$10:$EQ$10,DT$6,'CF(M)'!$L16:$EQ16)</f>
        <v>0</v>
      </c>
      <c r="DU11" s="168">
        <f>SUMIF('CF(M)'!$L$10:$EQ$10,DU$6,'CF(M)'!$L16:$EQ16)</f>
        <v>0</v>
      </c>
      <c r="DV11" s="168">
        <f>SUMIF('CF(M)'!$L$10:$EQ$10,DV$6,'CF(M)'!$L16:$EQ16)</f>
        <v>0</v>
      </c>
    </row>
    <row r="12" spans="1:130" ht="11.25" customHeight="1">
      <c r="B12" s="218"/>
      <c r="C12" s="163"/>
      <c r="D12" s="169" t="s">
        <v>184</v>
      </c>
      <c r="H12" s="146"/>
      <c r="I12" s="13"/>
      <c r="J12" s="171">
        <f t="shared" ref="J12:J48" si="8">SUM(L12:DV12)</f>
        <v>-7537336.1067134282</v>
      </c>
      <c r="K12" s="98"/>
      <c r="L12" s="171">
        <f>SUMIF('CF(M)'!$L$10:$EQ$10,L$6,'CF(M)'!$L17:$EQ17)</f>
        <v>0</v>
      </c>
      <c r="M12" s="171">
        <f>SUMIF('CF(M)'!$L$10:$EQ$10,M$6,'CF(M)'!$L17:$EQ17)</f>
        <v>-509500.91918749997</v>
      </c>
      <c r="N12" s="171">
        <f>SUMIF('CF(M)'!$L$10:$EQ$10,N$6,'CF(M)'!$L17:$EQ17)</f>
        <v>-194838.93156250002</v>
      </c>
      <c r="O12" s="171">
        <f>SUMIF('CF(M)'!$L$10:$EQ$10,O$6,'CF(M)'!$L17:$EQ17)</f>
        <v>-522238.44216718746</v>
      </c>
      <c r="P12" s="171">
        <f>SUMIF('CF(M)'!$L$10:$EQ$10,P$6,'CF(M)'!$L17:$EQ17)</f>
        <v>-199709.90485156249</v>
      </c>
      <c r="Q12" s="171">
        <f>SUMIF('CF(M)'!$L$10:$EQ$10,Q$6,'CF(M)'!$L17:$EQ17)</f>
        <v>-193618.82571292968</v>
      </c>
      <c r="R12" s="171">
        <f>SUMIF('CF(M)'!$L$10:$EQ$10,R$6,'CF(M)'!$L17:$EQ17)</f>
        <v>-5332449.5688975137</v>
      </c>
      <c r="S12" s="171">
        <f>SUMIF('CF(M)'!$L$10:$EQ$10,S$6,'CF(M)'!$L17:$EQ17)</f>
        <v>-111290.51629770116</v>
      </c>
      <c r="T12" s="171">
        <f>SUMIF('CF(M)'!$L$10:$EQ$10,T$6,'CF(M)'!$L17:$EQ17)</f>
        <v>0</v>
      </c>
      <c r="U12" s="171">
        <f>SUMIF('CF(M)'!$L$10:$EQ$10,U$6,'CF(M)'!$L17:$EQ17)</f>
        <v>-114072.77920514367</v>
      </c>
      <c r="V12" s="171">
        <f>SUMIF('CF(M)'!$L$10:$EQ$10,V$6,'CF(M)'!$L17:$EQ17)</f>
        <v>0</v>
      </c>
      <c r="W12" s="171">
        <f>SUMIF('CF(M)'!$L$10:$EQ$10,W$6,'CF(M)'!$L17:$EQ17)</f>
        <v>-116924.59868527227</v>
      </c>
      <c r="X12" s="171">
        <f>SUMIF('CF(M)'!$L$10:$EQ$10,X$6,'CF(M)'!$L17:$EQ17)</f>
        <v>0</v>
      </c>
      <c r="Y12" s="171">
        <f>SUMIF('CF(M)'!$L$10:$EQ$10,Y$6,'CF(M)'!$L17:$EQ17)</f>
        <v>-119847.71365240405</v>
      </c>
      <c r="Z12" s="171">
        <f>SUMIF('CF(M)'!$L$10:$EQ$10,Z$6,'CF(M)'!$L17:$EQ17)</f>
        <v>0</v>
      </c>
      <c r="AA12" s="171">
        <f>SUMIF('CF(M)'!$L$10:$EQ$10,AA$6,'CF(M)'!$L17:$EQ17)</f>
        <v>-122843.90649371414</v>
      </c>
      <c r="AB12" s="171">
        <f>SUMIF('CF(M)'!$L$10:$EQ$10,AB$6,'CF(M)'!$L17:$EQ17)</f>
        <v>0</v>
      </c>
      <c r="AC12" s="171">
        <f>SUMIF('CF(M)'!$L$10:$EQ$10,AC$6,'CF(M)'!$L17:$EQ17)</f>
        <v>0</v>
      </c>
      <c r="AD12" s="171">
        <f>SUMIF('CF(M)'!$L$10:$EQ$10,AD$6,'CF(M)'!$L17:$EQ17)</f>
        <v>0</v>
      </c>
      <c r="AE12" s="171">
        <f>SUMIF('CF(M)'!$L$10:$EQ$10,AE$6,'CF(M)'!$L17:$EQ17)</f>
        <v>0</v>
      </c>
      <c r="AF12" s="171">
        <f>SUMIF('CF(M)'!$L$10:$EQ$10,AF$6,'CF(M)'!$L17:$EQ17)</f>
        <v>0</v>
      </c>
      <c r="AG12" s="171">
        <f>SUMIF('CF(M)'!$L$10:$EQ$10,AG$6,'CF(M)'!$L17:$EQ17)</f>
        <v>0</v>
      </c>
      <c r="AH12" s="171">
        <f>SUMIF('CF(M)'!$L$10:$EQ$10,AH$6,'CF(M)'!$L17:$EQ17)</f>
        <v>0</v>
      </c>
      <c r="AI12" s="171">
        <f>SUMIF('CF(M)'!$L$10:$EQ$10,AI$6,'CF(M)'!$L17:$EQ17)</f>
        <v>0</v>
      </c>
      <c r="AJ12" s="171">
        <f>SUMIF('CF(M)'!$L$10:$EQ$10,AJ$6,'CF(M)'!$L17:$EQ17)</f>
        <v>0</v>
      </c>
      <c r="AK12" s="171">
        <f>SUMIF('CF(M)'!$L$10:$EQ$10,AK$6,'CF(M)'!$L17:$EQ17)</f>
        <v>0</v>
      </c>
      <c r="AL12" s="171">
        <f>SUMIF('CF(M)'!$L$10:$EQ$10,AL$6,'CF(M)'!$L17:$EQ17)</f>
        <v>0</v>
      </c>
      <c r="AM12" s="171">
        <f>SUMIF('CF(M)'!$L$10:$EQ$10,AM$6,'CF(M)'!$L17:$EQ17)</f>
        <v>0</v>
      </c>
      <c r="AN12" s="171">
        <f>SUMIF('CF(M)'!$L$10:$EQ$10,AN$6,'CF(M)'!$L17:$EQ17)</f>
        <v>0</v>
      </c>
      <c r="AO12" s="171">
        <f>SUMIF('CF(M)'!$L$10:$EQ$10,AO$6,'CF(M)'!$L17:$EQ17)</f>
        <v>0</v>
      </c>
      <c r="AP12" s="171">
        <f>SUMIF('CF(M)'!$L$10:$EQ$10,AP$6,'CF(M)'!$L17:$EQ17)</f>
        <v>0</v>
      </c>
      <c r="AQ12" s="171">
        <f>SUMIF('CF(M)'!$L$10:$EQ$10,AQ$6,'CF(M)'!$L17:$EQ17)</f>
        <v>0</v>
      </c>
      <c r="AR12" s="171">
        <f>SUMIF('CF(M)'!$L$10:$EQ$10,AR$6,'CF(M)'!$L17:$EQ17)</f>
        <v>0</v>
      </c>
      <c r="AS12" s="171">
        <f>SUMIF('CF(M)'!$L$10:$EQ$10,AS$6,'CF(M)'!$L17:$EQ17)</f>
        <v>0</v>
      </c>
      <c r="AT12" s="171">
        <f>SUMIF('CF(M)'!$L$10:$EQ$10,AT$6,'CF(M)'!$L17:$EQ17)</f>
        <v>0</v>
      </c>
      <c r="AU12" s="171">
        <f>SUMIF('CF(M)'!$L$10:$EQ$10,AU$6,'CF(M)'!$L17:$EQ17)</f>
        <v>0</v>
      </c>
      <c r="AV12" s="171">
        <f>SUMIF('CF(M)'!$L$10:$EQ$10,AV$6,'CF(M)'!$L17:$EQ17)</f>
        <v>0</v>
      </c>
      <c r="AW12" s="171">
        <f>SUMIF('CF(M)'!$L$10:$EQ$10,AW$6,'CF(M)'!$L17:$EQ17)</f>
        <v>0</v>
      </c>
      <c r="AX12" s="171">
        <f>SUMIF('CF(M)'!$L$10:$EQ$10,AX$6,'CF(M)'!$L17:$EQ17)</f>
        <v>0</v>
      </c>
      <c r="AY12" s="171">
        <f>SUMIF('CF(M)'!$L$10:$EQ$10,AY$6,'CF(M)'!$L17:$EQ17)</f>
        <v>0</v>
      </c>
      <c r="AZ12" s="171">
        <f>SUMIF('CF(M)'!$L$10:$EQ$10,AZ$6,'CF(M)'!$L17:$EQ17)</f>
        <v>0</v>
      </c>
      <c r="BA12" s="171">
        <f>SUMIF('CF(M)'!$L$10:$EQ$10,BA$6,'CF(M)'!$L17:$EQ17)</f>
        <v>0</v>
      </c>
      <c r="BB12" s="171">
        <f>SUMIF('CF(M)'!$L$10:$EQ$10,BB$6,'CF(M)'!$L17:$EQ17)</f>
        <v>0</v>
      </c>
      <c r="BC12" s="171">
        <f>SUMIF('CF(M)'!$L$10:$EQ$10,BC$6,'CF(M)'!$L17:$EQ17)</f>
        <v>0</v>
      </c>
      <c r="BD12" s="171">
        <f>SUMIF('CF(M)'!$L$10:$EQ$10,BD$6,'CF(M)'!$L17:$EQ17)</f>
        <v>0</v>
      </c>
      <c r="BE12" s="171">
        <f>SUMIF('CF(M)'!$L$10:$EQ$10,BE$6,'CF(M)'!$L17:$EQ17)</f>
        <v>0</v>
      </c>
      <c r="BF12" s="171">
        <f>SUMIF('CF(M)'!$L$10:$EQ$10,BF$6,'CF(M)'!$L17:$EQ17)</f>
        <v>0</v>
      </c>
      <c r="BG12" s="171">
        <f>SUMIF('CF(M)'!$L$10:$EQ$10,BG$6,'CF(M)'!$L17:$EQ17)</f>
        <v>0</v>
      </c>
      <c r="BH12" s="171">
        <f>SUMIF('CF(M)'!$L$10:$EQ$10,BH$6,'CF(M)'!$L17:$EQ17)</f>
        <v>0</v>
      </c>
      <c r="BI12" s="171">
        <f>SUMIF('CF(M)'!$L$10:$EQ$10,BI$6,'CF(M)'!$L17:$EQ17)</f>
        <v>0</v>
      </c>
      <c r="BJ12" s="171">
        <f>SUMIF('CF(M)'!$L$10:$EQ$10,BJ$6,'CF(M)'!$L17:$EQ17)</f>
        <v>0</v>
      </c>
      <c r="BK12" s="171">
        <f>SUMIF('CF(M)'!$L$10:$EQ$10,BK$6,'CF(M)'!$L17:$EQ17)</f>
        <v>0</v>
      </c>
      <c r="BL12" s="171">
        <f>SUMIF('CF(M)'!$L$10:$EQ$10,BL$6,'CF(M)'!$L17:$EQ17)</f>
        <v>0</v>
      </c>
      <c r="BM12" s="171">
        <f>SUMIF('CF(M)'!$L$10:$EQ$10,BM$6,'CF(M)'!$L17:$EQ17)</f>
        <v>0</v>
      </c>
      <c r="BN12" s="171">
        <f>SUMIF('CF(M)'!$L$10:$EQ$10,BN$6,'CF(M)'!$L17:$EQ17)</f>
        <v>0</v>
      </c>
      <c r="BO12" s="171">
        <f>SUMIF('CF(M)'!$L$10:$EQ$10,BO$6,'CF(M)'!$L17:$EQ17)</f>
        <v>0</v>
      </c>
      <c r="BP12" s="171">
        <f>SUMIF('CF(M)'!$L$10:$EQ$10,BP$6,'CF(M)'!$L17:$EQ17)</f>
        <v>0</v>
      </c>
      <c r="BQ12" s="171">
        <f>SUMIF('CF(M)'!$L$10:$EQ$10,BQ$6,'CF(M)'!$L17:$EQ17)</f>
        <v>0</v>
      </c>
      <c r="BR12" s="171">
        <f>SUMIF('CF(M)'!$L$10:$EQ$10,BR$6,'CF(M)'!$L17:$EQ17)</f>
        <v>0</v>
      </c>
      <c r="BS12" s="171">
        <f>SUMIF('CF(M)'!$L$10:$EQ$10,BS$6,'CF(M)'!$L17:$EQ17)</f>
        <v>0</v>
      </c>
      <c r="BT12" s="171">
        <f>SUMIF('CF(M)'!$L$10:$EQ$10,BT$6,'CF(M)'!$L17:$EQ17)</f>
        <v>0</v>
      </c>
      <c r="BU12" s="171">
        <f>SUMIF('CF(M)'!$L$10:$EQ$10,BU$6,'CF(M)'!$L17:$EQ17)</f>
        <v>0</v>
      </c>
      <c r="BV12" s="171">
        <f>SUMIF('CF(M)'!$L$10:$EQ$10,BV$6,'CF(M)'!$L17:$EQ17)</f>
        <v>0</v>
      </c>
      <c r="BW12" s="171">
        <f>SUMIF('CF(M)'!$L$10:$EQ$10,BW$6,'CF(M)'!$L17:$EQ17)</f>
        <v>0</v>
      </c>
      <c r="BX12" s="171">
        <f>SUMIF('CF(M)'!$L$10:$EQ$10,BX$6,'CF(M)'!$L17:$EQ17)</f>
        <v>0</v>
      </c>
      <c r="BY12" s="171">
        <f>SUMIF('CF(M)'!$L$10:$EQ$10,BY$6,'CF(M)'!$L17:$EQ17)</f>
        <v>0</v>
      </c>
      <c r="BZ12" s="171">
        <f>SUMIF('CF(M)'!$L$10:$EQ$10,BZ$6,'CF(M)'!$L17:$EQ17)</f>
        <v>0</v>
      </c>
      <c r="CA12" s="171">
        <f>SUMIF('CF(M)'!$L$10:$EQ$10,CA$6,'CF(M)'!$L17:$EQ17)</f>
        <v>0</v>
      </c>
      <c r="CB12" s="171">
        <f>SUMIF('CF(M)'!$L$10:$EQ$10,CB$6,'CF(M)'!$L17:$EQ17)</f>
        <v>0</v>
      </c>
      <c r="CC12" s="171">
        <f>SUMIF('CF(M)'!$L$10:$EQ$10,CC$6,'CF(M)'!$L17:$EQ17)</f>
        <v>0</v>
      </c>
      <c r="CD12" s="171">
        <f>SUMIF('CF(M)'!$L$10:$EQ$10,CD$6,'CF(M)'!$L17:$EQ17)</f>
        <v>0</v>
      </c>
      <c r="CE12" s="171">
        <f>SUMIF('CF(M)'!$L$10:$EQ$10,CE$6,'CF(M)'!$L17:$EQ17)</f>
        <v>0</v>
      </c>
      <c r="CF12" s="171">
        <f>SUMIF('CF(M)'!$L$10:$EQ$10,CF$6,'CF(M)'!$L17:$EQ17)</f>
        <v>0</v>
      </c>
      <c r="CG12" s="171">
        <f>SUMIF('CF(M)'!$L$10:$EQ$10,CG$6,'CF(M)'!$L17:$EQ17)</f>
        <v>0</v>
      </c>
      <c r="CH12" s="171">
        <f>SUMIF('CF(M)'!$L$10:$EQ$10,CH$6,'CF(M)'!$L17:$EQ17)</f>
        <v>0</v>
      </c>
      <c r="CI12" s="171">
        <f>SUMIF('CF(M)'!$L$10:$EQ$10,CI$6,'CF(M)'!$L17:$EQ17)</f>
        <v>0</v>
      </c>
      <c r="CJ12" s="171">
        <f>SUMIF('CF(M)'!$L$10:$EQ$10,CJ$6,'CF(M)'!$L17:$EQ17)</f>
        <v>0</v>
      </c>
      <c r="CK12" s="171">
        <f>SUMIF('CF(M)'!$L$10:$EQ$10,CK$6,'CF(M)'!$L17:$EQ17)</f>
        <v>0</v>
      </c>
      <c r="CL12" s="171">
        <f>SUMIF('CF(M)'!$L$10:$EQ$10,CL$6,'CF(M)'!$L17:$EQ17)</f>
        <v>0</v>
      </c>
      <c r="CM12" s="171">
        <f>SUMIF('CF(M)'!$L$10:$EQ$10,CM$6,'CF(M)'!$L17:$EQ17)</f>
        <v>0</v>
      </c>
      <c r="CN12" s="171">
        <f>SUMIF('CF(M)'!$L$10:$EQ$10,CN$6,'CF(M)'!$L17:$EQ17)</f>
        <v>0</v>
      </c>
      <c r="CO12" s="171">
        <f>SUMIF('CF(M)'!$L$10:$EQ$10,CO$6,'CF(M)'!$L17:$EQ17)</f>
        <v>0</v>
      </c>
      <c r="CP12" s="171">
        <f>SUMIF('CF(M)'!$L$10:$EQ$10,CP$6,'CF(M)'!$L17:$EQ17)</f>
        <v>0</v>
      </c>
      <c r="CQ12" s="171">
        <f>SUMIF('CF(M)'!$L$10:$EQ$10,CQ$6,'CF(M)'!$L17:$EQ17)</f>
        <v>0</v>
      </c>
      <c r="CR12" s="171">
        <f>SUMIF('CF(M)'!$L$10:$EQ$10,CR$6,'CF(M)'!$L17:$EQ17)</f>
        <v>0</v>
      </c>
      <c r="CS12" s="171">
        <f>SUMIF('CF(M)'!$L$10:$EQ$10,CS$6,'CF(M)'!$L17:$EQ17)</f>
        <v>0</v>
      </c>
      <c r="CT12" s="171">
        <f>SUMIF('CF(M)'!$L$10:$EQ$10,CT$6,'CF(M)'!$L17:$EQ17)</f>
        <v>0</v>
      </c>
      <c r="CU12" s="171">
        <f>SUMIF('CF(M)'!$L$10:$EQ$10,CU$6,'CF(M)'!$L17:$EQ17)</f>
        <v>0</v>
      </c>
      <c r="CV12" s="171">
        <f>SUMIF('CF(M)'!$L$10:$EQ$10,CV$6,'CF(M)'!$L17:$EQ17)</f>
        <v>0</v>
      </c>
      <c r="CW12" s="171">
        <f>SUMIF('CF(M)'!$L$10:$EQ$10,CW$6,'CF(M)'!$L17:$EQ17)</f>
        <v>0</v>
      </c>
      <c r="CX12" s="171">
        <f>SUMIF('CF(M)'!$L$10:$EQ$10,CX$6,'CF(M)'!$L17:$EQ17)</f>
        <v>0</v>
      </c>
      <c r="CY12" s="171">
        <f>SUMIF('CF(M)'!$L$10:$EQ$10,CY$6,'CF(M)'!$L17:$EQ17)</f>
        <v>0</v>
      </c>
      <c r="CZ12" s="171">
        <f>SUMIF('CF(M)'!$L$10:$EQ$10,CZ$6,'CF(M)'!$L17:$EQ17)</f>
        <v>0</v>
      </c>
      <c r="DA12" s="171">
        <f>SUMIF('CF(M)'!$L$10:$EQ$10,DA$6,'CF(M)'!$L17:$EQ17)</f>
        <v>0</v>
      </c>
      <c r="DB12" s="171">
        <f>SUMIF('CF(M)'!$L$10:$EQ$10,DB$6,'CF(M)'!$L17:$EQ17)</f>
        <v>0</v>
      </c>
      <c r="DC12" s="171">
        <f>SUMIF('CF(M)'!$L$10:$EQ$10,DC$6,'CF(M)'!$L17:$EQ17)</f>
        <v>0</v>
      </c>
      <c r="DD12" s="171">
        <f>SUMIF('CF(M)'!$L$10:$EQ$10,DD$6,'CF(M)'!$L17:$EQ17)</f>
        <v>0</v>
      </c>
      <c r="DE12" s="171">
        <f>SUMIF('CF(M)'!$L$10:$EQ$10,DE$6,'CF(M)'!$L17:$EQ17)</f>
        <v>0</v>
      </c>
      <c r="DF12" s="171">
        <f>SUMIF('CF(M)'!$L$10:$EQ$10,DF$6,'CF(M)'!$L17:$EQ17)</f>
        <v>0</v>
      </c>
      <c r="DG12" s="171">
        <f>SUMIF('CF(M)'!$L$10:$EQ$10,DG$6,'CF(M)'!$L17:$EQ17)</f>
        <v>0</v>
      </c>
      <c r="DH12" s="171">
        <f>SUMIF('CF(M)'!$L$10:$EQ$10,DH$6,'CF(M)'!$L17:$EQ17)</f>
        <v>0</v>
      </c>
      <c r="DI12" s="171">
        <f>SUMIF('CF(M)'!$L$10:$EQ$10,DI$6,'CF(M)'!$L17:$EQ17)</f>
        <v>0</v>
      </c>
      <c r="DJ12" s="171">
        <f>SUMIF('CF(M)'!$L$10:$EQ$10,DJ$6,'CF(M)'!$L17:$EQ17)</f>
        <v>0</v>
      </c>
      <c r="DK12" s="171">
        <f>SUMIF('CF(M)'!$L$10:$EQ$10,DK$6,'CF(M)'!$L17:$EQ17)</f>
        <v>0</v>
      </c>
      <c r="DL12" s="171">
        <f>SUMIF('CF(M)'!$L$10:$EQ$10,DL$6,'CF(M)'!$L17:$EQ17)</f>
        <v>0</v>
      </c>
      <c r="DM12" s="171">
        <f>SUMIF('CF(M)'!$L$10:$EQ$10,DM$6,'CF(M)'!$L17:$EQ17)</f>
        <v>0</v>
      </c>
      <c r="DN12" s="171">
        <f>SUMIF('CF(M)'!$L$10:$EQ$10,DN$6,'CF(M)'!$L17:$EQ17)</f>
        <v>0</v>
      </c>
      <c r="DO12" s="171">
        <f>SUMIF('CF(M)'!$L$10:$EQ$10,DO$6,'CF(M)'!$L17:$EQ17)</f>
        <v>0</v>
      </c>
      <c r="DP12" s="171">
        <f>SUMIF('CF(M)'!$L$10:$EQ$10,DP$6,'CF(M)'!$L17:$EQ17)</f>
        <v>0</v>
      </c>
      <c r="DQ12" s="171">
        <f>SUMIF('CF(M)'!$L$10:$EQ$10,DQ$6,'CF(M)'!$L17:$EQ17)</f>
        <v>0</v>
      </c>
      <c r="DR12" s="171">
        <f>SUMIF('CF(M)'!$L$10:$EQ$10,DR$6,'CF(M)'!$L17:$EQ17)</f>
        <v>0</v>
      </c>
      <c r="DS12" s="171">
        <f>SUMIF('CF(M)'!$L$10:$EQ$10,DS$6,'CF(M)'!$L17:$EQ17)</f>
        <v>0</v>
      </c>
      <c r="DT12" s="171">
        <f>SUMIF('CF(M)'!$L$10:$EQ$10,DT$6,'CF(M)'!$L17:$EQ17)</f>
        <v>0</v>
      </c>
      <c r="DU12" s="171">
        <f>SUMIF('CF(M)'!$L$10:$EQ$10,DU$6,'CF(M)'!$L17:$EQ17)</f>
        <v>0</v>
      </c>
      <c r="DV12" s="171">
        <f>SUMIF('CF(M)'!$L$10:$EQ$10,DV$6,'CF(M)'!$L17:$EQ17)</f>
        <v>0</v>
      </c>
    </row>
    <row r="13" spans="1:130" ht="11.25" customHeight="1">
      <c r="B13" s="218"/>
      <c r="C13" s="163"/>
      <c r="D13" s="169" t="s">
        <v>185</v>
      </c>
      <c r="H13" s="146"/>
      <c r="I13" s="13"/>
      <c r="J13" s="171">
        <f t="shared" si="8"/>
        <v>8636664.3042394631</v>
      </c>
      <c r="K13" s="98"/>
      <c r="L13" s="171">
        <f>SUMIF('CF(M)'!$L$10:$EQ$10,L$6,'CF(M)'!$L18:$EQ18)</f>
        <v>0</v>
      </c>
      <c r="M13" s="171">
        <f>SUMIF('CF(M)'!$L$10:$EQ$10,M$6,'CF(M)'!$L18:$EQ18)</f>
        <v>387422.05762265623</v>
      </c>
      <c r="N13" s="171">
        <f>SUMIF('CF(M)'!$L$10:$EQ$10,N$6,'CF(M)'!$L18:$EQ18)</f>
        <v>391932.83016843756</v>
      </c>
      <c r="O13" s="171">
        <f>SUMIF('CF(M)'!$L$10:$EQ$10,O$6,'CF(M)'!$L18:$EQ18)</f>
        <v>396124.10706322256</v>
      </c>
      <c r="P13" s="171">
        <f>SUMIF('CF(M)'!$L$10:$EQ$10,P$6,'CF(M)'!$L18:$EQ18)</f>
        <v>400747.6489226484</v>
      </c>
      <c r="Q13" s="171">
        <f>SUMIF('CF(M)'!$L$10:$EQ$10,Q$6,'CF(M)'!$L18:$EQ18)</f>
        <v>405043.70773980324</v>
      </c>
      <c r="R13" s="171">
        <f>SUMIF('CF(M)'!$L$10:$EQ$10,R$6,'CF(M)'!$L18:$EQ18)</f>
        <v>409782.8381457146</v>
      </c>
      <c r="S13" s="171">
        <f>SUMIF('CF(M)'!$L$10:$EQ$10,S$6,'CF(M)'!$L18:$EQ18)</f>
        <v>414186.29843329825</v>
      </c>
      <c r="T13" s="171">
        <f>SUMIF('CF(M)'!$L$10:$EQ$10,T$6,'CF(M)'!$L18:$EQ18)</f>
        <v>419043.90709935746</v>
      </c>
      <c r="U13" s="171">
        <f>SUMIF('CF(M)'!$L$10:$EQ$10,U$6,'CF(M)'!$L18:$EQ18)</f>
        <v>423557.45389413065</v>
      </c>
      <c r="V13" s="171">
        <f>SUMIF('CF(M)'!$L$10:$EQ$10,V$6,'CF(M)'!$L18:$EQ18)</f>
        <v>428536.5027768414</v>
      </c>
      <c r="W13" s="171">
        <f>SUMIF('CF(M)'!$L$10:$EQ$10,W$6,'CF(M)'!$L18:$EQ18)</f>
        <v>433162.88824148395</v>
      </c>
      <c r="X13" s="171">
        <f>SUMIF('CF(M)'!$L$10:$EQ$10,X$6,'CF(M)'!$L18:$EQ18)</f>
        <v>438266.4133462623</v>
      </c>
      <c r="Y13" s="171">
        <f>SUMIF('CF(M)'!$L$10:$EQ$10,Y$6,'CF(M)'!$L18:$EQ18)</f>
        <v>443008.45844752091</v>
      </c>
      <c r="Z13" s="171">
        <f>SUMIF('CF(M)'!$L$10:$EQ$10,Z$6,'CF(M)'!$L18:$EQ18)</f>
        <v>448239.57167991891</v>
      </c>
      <c r="AA13" s="171">
        <f>SUMIF('CF(M)'!$L$10:$EQ$10,AA$6,'CF(M)'!$L18:$EQ18)</f>
        <v>453100.16790870897</v>
      </c>
      <c r="AB13" s="171">
        <f>SUMIF('CF(M)'!$L$10:$EQ$10,AB$6,'CF(M)'!$L18:$EQ18)</f>
        <v>458450.94633413421</v>
      </c>
      <c r="AC13" s="171">
        <f>SUMIF('CF(M)'!$L$10:$EQ$10,AC$6,'CF(M)'!$L18:$EQ18)</f>
        <v>463429.55875582097</v>
      </c>
      <c r="AD13" s="171">
        <f>SUMIF('CF(M)'!$L$10:$EQ$10,AD$6,'CF(M)'!$L18:$EQ18)</f>
        <v>468928.71799248725</v>
      </c>
      <c r="AE13" s="171">
        <f>SUMIF('CF(M)'!$L$10:$EQ$10,AE$6,'CF(M)'!$L18:$EQ18)</f>
        <v>474031.79572471639</v>
      </c>
      <c r="AF13" s="171">
        <f>SUMIF('CF(M)'!$L$10:$EQ$10,AF$6,'CF(M)'!$L18:$EQ18)</f>
        <v>479668.43394229963</v>
      </c>
      <c r="AG13" s="171">
        <f>SUMIF('CF(M)'!$L$10:$EQ$10,AG$6,'CF(M)'!$L18:$EQ18)</f>
        <v>0</v>
      </c>
      <c r="AH13" s="171">
        <f>SUMIF('CF(M)'!$L$10:$EQ$10,AH$6,'CF(M)'!$L18:$EQ18)</f>
        <v>0</v>
      </c>
      <c r="AI13" s="171">
        <f>SUMIF('CF(M)'!$L$10:$EQ$10,AI$6,'CF(M)'!$L18:$EQ18)</f>
        <v>0</v>
      </c>
      <c r="AJ13" s="171">
        <f>SUMIF('CF(M)'!$L$10:$EQ$10,AJ$6,'CF(M)'!$L18:$EQ18)</f>
        <v>0</v>
      </c>
      <c r="AK13" s="171">
        <f>SUMIF('CF(M)'!$L$10:$EQ$10,AK$6,'CF(M)'!$L18:$EQ18)</f>
        <v>0</v>
      </c>
      <c r="AL13" s="171">
        <f>SUMIF('CF(M)'!$L$10:$EQ$10,AL$6,'CF(M)'!$L18:$EQ18)</f>
        <v>0</v>
      </c>
      <c r="AM13" s="171">
        <f>SUMIF('CF(M)'!$L$10:$EQ$10,AM$6,'CF(M)'!$L18:$EQ18)</f>
        <v>0</v>
      </c>
      <c r="AN13" s="171">
        <f>SUMIF('CF(M)'!$L$10:$EQ$10,AN$6,'CF(M)'!$L18:$EQ18)</f>
        <v>0</v>
      </c>
      <c r="AO13" s="171">
        <f>SUMIF('CF(M)'!$L$10:$EQ$10,AO$6,'CF(M)'!$L18:$EQ18)</f>
        <v>0</v>
      </c>
      <c r="AP13" s="171">
        <f>SUMIF('CF(M)'!$L$10:$EQ$10,AP$6,'CF(M)'!$L18:$EQ18)</f>
        <v>0</v>
      </c>
      <c r="AQ13" s="171">
        <f>SUMIF('CF(M)'!$L$10:$EQ$10,AQ$6,'CF(M)'!$L18:$EQ18)</f>
        <v>0</v>
      </c>
      <c r="AR13" s="171">
        <f>SUMIF('CF(M)'!$L$10:$EQ$10,AR$6,'CF(M)'!$L18:$EQ18)</f>
        <v>0</v>
      </c>
      <c r="AS13" s="171">
        <f>SUMIF('CF(M)'!$L$10:$EQ$10,AS$6,'CF(M)'!$L18:$EQ18)</f>
        <v>0</v>
      </c>
      <c r="AT13" s="171">
        <f>SUMIF('CF(M)'!$L$10:$EQ$10,AT$6,'CF(M)'!$L18:$EQ18)</f>
        <v>0</v>
      </c>
      <c r="AU13" s="171">
        <f>SUMIF('CF(M)'!$L$10:$EQ$10,AU$6,'CF(M)'!$L18:$EQ18)</f>
        <v>0</v>
      </c>
      <c r="AV13" s="171">
        <f>SUMIF('CF(M)'!$L$10:$EQ$10,AV$6,'CF(M)'!$L18:$EQ18)</f>
        <v>0</v>
      </c>
      <c r="AW13" s="171">
        <f>SUMIF('CF(M)'!$L$10:$EQ$10,AW$6,'CF(M)'!$L18:$EQ18)</f>
        <v>0</v>
      </c>
      <c r="AX13" s="171">
        <f>SUMIF('CF(M)'!$L$10:$EQ$10,AX$6,'CF(M)'!$L18:$EQ18)</f>
        <v>0</v>
      </c>
      <c r="AY13" s="171">
        <f>SUMIF('CF(M)'!$L$10:$EQ$10,AY$6,'CF(M)'!$L18:$EQ18)</f>
        <v>0</v>
      </c>
      <c r="AZ13" s="171">
        <f>SUMIF('CF(M)'!$L$10:$EQ$10,AZ$6,'CF(M)'!$L18:$EQ18)</f>
        <v>0</v>
      </c>
      <c r="BA13" s="171">
        <f>SUMIF('CF(M)'!$L$10:$EQ$10,BA$6,'CF(M)'!$L18:$EQ18)</f>
        <v>0</v>
      </c>
      <c r="BB13" s="171">
        <f>SUMIF('CF(M)'!$L$10:$EQ$10,BB$6,'CF(M)'!$L18:$EQ18)</f>
        <v>0</v>
      </c>
      <c r="BC13" s="171">
        <f>SUMIF('CF(M)'!$L$10:$EQ$10,BC$6,'CF(M)'!$L18:$EQ18)</f>
        <v>0</v>
      </c>
      <c r="BD13" s="171">
        <f>SUMIF('CF(M)'!$L$10:$EQ$10,BD$6,'CF(M)'!$L18:$EQ18)</f>
        <v>0</v>
      </c>
      <c r="BE13" s="171">
        <f>SUMIF('CF(M)'!$L$10:$EQ$10,BE$6,'CF(M)'!$L18:$EQ18)</f>
        <v>0</v>
      </c>
      <c r="BF13" s="171">
        <f>SUMIF('CF(M)'!$L$10:$EQ$10,BF$6,'CF(M)'!$L18:$EQ18)</f>
        <v>0</v>
      </c>
      <c r="BG13" s="171">
        <f>SUMIF('CF(M)'!$L$10:$EQ$10,BG$6,'CF(M)'!$L18:$EQ18)</f>
        <v>0</v>
      </c>
      <c r="BH13" s="171">
        <f>SUMIF('CF(M)'!$L$10:$EQ$10,BH$6,'CF(M)'!$L18:$EQ18)</f>
        <v>0</v>
      </c>
      <c r="BI13" s="171">
        <f>SUMIF('CF(M)'!$L$10:$EQ$10,BI$6,'CF(M)'!$L18:$EQ18)</f>
        <v>0</v>
      </c>
      <c r="BJ13" s="171">
        <f>SUMIF('CF(M)'!$L$10:$EQ$10,BJ$6,'CF(M)'!$L18:$EQ18)</f>
        <v>0</v>
      </c>
      <c r="BK13" s="171">
        <f>SUMIF('CF(M)'!$L$10:$EQ$10,BK$6,'CF(M)'!$L18:$EQ18)</f>
        <v>0</v>
      </c>
      <c r="BL13" s="171">
        <f>SUMIF('CF(M)'!$L$10:$EQ$10,BL$6,'CF(M)'!$L18:$EQ18)</f>
        <v>0</v>
      </c>
      <c r="BM13" s="171">
        <f>SUMIF('CF(M)'!$L$10:$EQ$10,BM$6,'CF(M)'!$L18:$EQ18)</f>
        <v>0</v>
      </c>
      <c r="BN13" s="171">
        <f>SUMIF('CF(M)'!$L$10:$EQ$10,BN$6,'CF(M)'!$L18:$EQ18)</f>
        <v>0</v>
      </c>
      <c r="BO13" s="171">
        <f>SUMIF('CF(M)'!$L$10:$EQ$10,BO$6,'CF(M)'!$L18:$EQ18)</f>
        <v>0</v>
      </c>
      <c r="BP13" s="171">
        <f>SUMIF('CF(M)'!$L$10:$EQ$10,BP$6,'CF(M)'!$L18:$EQ18)</f>
        <v>0</v>
      </c>
      <c r="BQ13" s="171">
        <f>SUMIF('CF(M)'!$L$10:$EQ$10,BQ$6,'CF(M)'!$L18:$EQ18)</f>
        <v>0</v>
      </c>
      <c r="BR13" s="171">
        <f>SUMIF('CF(M)'!$L$10:$EQ$10,BR$6,'CF(M)'!$L18:$EQ18)</f>
        <v>0</v>
      </c>
      <c r="BS13" s="171">
        <f>SUMIF('CF(M)'!$L$10:$EQ$10,BS$6,'CF(M)'!$L18:$EQ18)</f>
        <v>0</v>
      </c>
      <c r="BT13" s="171">
        <f>SUMIF('CF(M)'!$L$10:$EQ$10,BT$6,'CF(M)'!$L18:$EQ18)</f>
        <v>0</v>
      </c>
      <c r="BU13" s="171">
        <f>SUMIF('CF(M)'!$L$10:$EQ$10,BU$6,'CF(M)'!$L18:$EQ18)</f>
        <v>0</v>
      </c>
      <c r="BV13" s="171">
        <f>SUMIF('CF(M)'!$L$10:$EQ$10,BV$6,'CF(M)'!$L18:$EQ18)</f>
        <v>0</v>
      </c>
      <c r="BW13" s="171">
        <f>SUMIF('CF(M)'!$L$10:$EQ$10,BW$6,'CF(M)'!$L18:$EQ18)</f>
        <v>0</v>
      </c>
      <c r="BX13" s="171">
        <f>SUMIF('CF(M)'!$L$10:$EQ$10,BX$6,'CF(M)'!$L18:$EQ18)</f>
        <v>0</v>
      </c>
      <c r="BY13" s="171">
        <f>SUMIF('CF(M)'!$L$10:$EQ$10,BY$6,'CF(M)'!$L18:$EQ18)</f>
        <v>0</v>
      </c>
      <c r="BZ13" s="171">
        <f>SUMIF('CF(M)'!$L$10:$EQ$10,BZ$6,'CF(M)'!$L18:$EQ18)</f>
        <v>0</v>
      </c>
      <c r="CA13" s="171">
        <f>SUMIF('CF(M)'!$L$10:$EQ$10,CA$6,'CF(M)'!$L18:$EQ18)</f>
        <v>0</v>
      </c>
      <c r="CB13" s="171">
        <f>SUMIF('CF(M)'!$L$10:$EQ$10,CB$6,'CF(M)'!$L18:$EQ18)</f>
        <v>0</v>
      </c>
      <c r="CC13" s="171">
        <f>SUMIF('CF(M)'!$L$10:$EQ$10,CC$6,'CF(M)'!$L18:$EQ18)</f>
        <v>0</v>
      </c>
      <c r="CD13" s="171">
        <f>SUMIF('CF(M)'!$L$10:$EQ$10,CD$6,'CF(M)'!$L18:$EQ18)</f>
        <v>0</v>
      </c>
      <c r="CE13" s="171">
        <f>SUMIF('CF(M)'!$L$10:$EQ$10,CE$6,'CF(M)'!$L18:$EQ18)</f>
        <v>0</v>
      </c>
      <c r="CF13" s="171">
        <f>SUMIF('CF(M)'!$L$10:$EQ$10,CF$6,'CF(M)'!$L18:$EQ18)</f>
        <v>0</v>
      </c>
      <c r="CG13" s="171">
        <f>SUMIF('CF(M)'!$L$10:$EQ$10,CG$6,'CF(M)'!$L18:$EQ18)</f>
        <v>0</v>
      </c>
      <c r="CH13" s="171">
        <f>SUMIF('CF(M)'!$L$10:$EQ$10,CH$6,'CF(M)'!$L18:$EQ18)</f>
        <v>0</v>
      </c>
      <c r="CI13" s="171">
        <f>SUMIF('CF(M)'!$L$10:$EQ$10,CI$6,'CF(M)'!$L18:$EQ18)</f>
        <v>0</v>
      </c>
      <c r="CJ13" s="171">
        <f>SUMIF('CF(M)'!$L$10:$EQ$10,CJ$6,'CF(M)'!$L18:$EQ18)</f>
        <v>0</v>
      </c>
      <c r="CK13" s="171">
        <f>SUMIF('CF(M)'!$L$10:$EQ$10,CK$6,'CF(M)'!$L18:$EQ18)</f>
        <v>0</v>
      </c>
      <c r="CL13" s="171">
        <f>SUMIF('CF(M)'!$L$10:$EQ$10,CL$6,'CF(M)'!$L18:$EQ18)</f>
        <v>0</v>
      </c>
      <c r="CM13" s="171">
        <f>SUMIF('CF(M)'!$L$10:$EQ$10,CM$6,'CF(M)'!$L18:$EQ18)</f>
        <v>0</v>
      </c>
      <c r="CN13" s="171">
        <f>SUMIF('CF(M)'!$L$10:$EQ$10,CN$6,'CF(M)'!$L18:$EQ18)</f>
        <v>0</v>
      </c>
      <c r="CO13" s="171">
        <f>SUMIF('CF(M)'!$L$10:$EQ$10,CO$6,'CF(M)'!$L18:$EQ18)</f>
        <v>0</v>
      </c>
      <c r="CP13" s="171">
        <f>SUMIF('CF(M)'!$L$10:$EQ$10,CP$6,'CF(M)'!$L18:$EQ18)</f>
        <v>0</v>
      </c>
      <c r="CQ13" s="171">
        <f>SUMIF('CF(M)'!$L$10:$EQ$10,CQ$6,'CF(M)'!$L18:$EQ18)</f>
        <v>0</v>
      </c>
      <c r="CR13" s="171">
        <f>SUMIF('CF(M)'!$L$10:$EQ$10,CR$6,'CF(M)'!$L18:$EQ18)</f>
        <v>0</v>
      </c>
      <c r="CS13" s="171">
        <f>SUMIF('CF(M)'!$L$10:$EQ$10,CS$6,'CF(M)'!$L18:$EQ18)</f>
        <v>0</v>
      </c>
      <c r="CT13" s="171">
        <f>SUMIF('CF(M)'!$L$10:$EQ$10,CT$6,'CF(M)'!$L18:$EQ18)</f>
        <v>0</v>
      </c>
      <c r="CU13" s="171">
        <f>SUMIF('CF(M)'!$L$10:$EQ$10,CU$6,'CF(M)'!$L18:$EQ18)</f>
        <v>0</v>
      </c>
      <c r="CV13" s="171">
        <f>SUMIF('CF(M)'!$L$10:$EQ$10,CV$6,'CF(M)'!$L18:$EQ18)</f>
        <v>0</v>
      </c>
      <c r="CW13" s="171">
        <f>SUMIF('CF(M)'!$L$10:$EQ$10,CW$6,'CF(M)'!$L18:$EQ18)</f>
        <v>0</v>
      </c>
      <c r="CX13" s="171">
        <f>SUMIF('CF(M)'!$L$10:$EQ$10,CX$6,'CF(M)'!$L18:$EQ18)</f>
        <v>0</v>
      </c>
      <c r="CY13" s="171">
        <f>SUMIF('CF(M)'!$L$10:$EQ$10,CY$6,'CF(M)'!$L18:$EQ18)</f>
        <v>0</v>
      </c>
      <c r="CZ13" s="171">
        <f>SUMIF('CF(M)'!$L$10:$EQ$10,CZ$6,'CF(M)'!$L18:$EQ18)</f>
        <v>0</v>
      </c>
      <c r="DA13" s="171">
        <f>SUMIF('CF(M)'!$L$10:$EQ$10,DA$6,'CF(M)'!$L18:$EQ18)</f>
        <v>0</v>
      </c>
      <c r="DB13" s="171">
        <f>SUMIF('CF(M)'!$L$10:$EQ$10,DB$6,'CF(M)'!$L18:$EQ18)</f>
        <v>0</v>
      </c>
      <c r="DC13" s="171">
        <f>SUMIF('CF(M)'!$L$10:$EQ$10,DC$6,'CF(M)'!$L18:$EQ18)</f>
        <v>0</v>
      </c>
      <c r="DD13" s="171">
        <f>SUMIF('CF(M)'!$L$10:$EQ$10,DD$6,'CF(M)'!$L18:$EQ18)</f>
        <v>0</v>
      </c>
      <c r="DE13" s="171">
        <f>SUMIF('CF(M)'!$L$10:$EQ$10,DE$6,'CF(M)'!$L18:$EQ18)</f>
        <v>0</v>
      </c>
      <c r="DF13" s="171">
        <f>SUMIF('CF(M)'!$L$10:$EQ$10,DF$6,'CF(M)'!$L18:$EQ18)</f>
        <v>0</v>
      </c>
      <c r="DG13" s="171">
        <f>SUMIF('CF(M)'!$L$10:$EQ$10,DG$6,'CF(M)'!$L18:$EQ18)</f>
        <v>0</v>
      </c>
      <c r="DH13" s="171">
        <f>SUMIF('CF(M)'!$L$10:$EQ$10,DH$6,'CF(M)'!$L18:$EQ18)</f>
        <v>0</v>
      </c>
      <c r="DI13" s="171">
        <f>SUMIF('CF(M)'!$L$10:$EQ$10,DI$6,'CF(M)'!$L18:$EQ18)</f>
        <v>0</v>
      </c>
      <c r="DJ13" s="171">
        <f>SUMIF('CF(M)'!$L$10:$EQ$10,DJ$6,'CF(M)'!$L18:$EQ18)</f>
        <v>0</v>
      </c>
      <c r="DK13" s="171">
        <f>SUMIF('CF(M)'!$L$10:$EQ$10,DK$6,'CF(M)'!$L18:$EQ18)</f>
        <v>0</v>
      </c>
      <c r="DL13" s="171">
        <f>SUMIF('CF(M)'!$L$10:$EQ$10,DL$6,'CF(M)'!$L18:$EQ18)</f>
        <v>0</v>
      </c>
      <c r="DM13" s="171">
        <f>SUMIF('CF(M)'!$L$10:$EQ$10,DM$6,'CF(M)'!$L18:$EQ18)</f>
        <v>0</v>
      </c>
      <c r="DN13" s="171">
        <f>SUMIF('CF(M)'!$L$10:$EQ$10,DN$6,'CF(M)'!$L18:$EQ18)</f>
        <v>0</v>
      </c>
      <c r="DO13" s="171">
        <f>SUMIF('CF(M)'!$L$10:$EQ$10,DO$6,'CF(M)'!$L18:$EQ18)</f>
        <v>0</v>
      </c>
      <c r="DP13" s="171">
        <f>SUMIF('CF(M)'!$L$10:$EQ$10,DP$6,'CF(M)'!$L18:$EQ18)</f>
        <v>0</v>
      </c>
      <c r="DQ13" s="171">
        <f>SUMIF('CF(M)'!$L$10:$EQ$10,DQ$6,'CF(M)'!$L18:$EQ18)</f>
        <v>0</v>
      </c>
      <c r="DR13" s="171">
        <f>SUMIF('CF(M)'!$L$10:$EQ$10,DR$6,'CF(M)'!$L18:$EQ18)</f>
        <v>0</v>
      </c>
      <c r="DS13" s="171">
        <f>SUMIF('CF(M)'!$L$10:$EQ$10,DS$6,'CF(M)'!$L18:$EQ18)</f>
        <v>0</v>
      </c>
      <c r="DT13" s="171">
        <f>SUMIF('CF(M)'!$L$10:$EQ$10,DT$6,'CF(M)'!$L18:$EQ18)</f>
        <v>0</v>
      </c>
      <c r="DU13" s="171">
        <f>SUMIF('CF(M)'!$L$10:$EQ$10,DU$6,'CF(M)'!$L18:$EQ18)</f>
        <v>0</v>
      </c>
      <c r="DV13" s="171">
        <f>SUMIF('CF(M)'!$L$10:$EQ$10,DV$6,'CF(M)'!$L18:$EQ18)</f>
        <v>0</v>
      </c>
    </row>
    <row r="14" spans="1:130" ht="11.25" customHeight="1">
      <c r="B14" s="218"/>
      <c r="C14" s="163"/>
      <c r="D14" s="169" t="s">
        <v>186</v>
      </c>
      <c r="H14" s="90"/>
      <c r="I14" s="222"/>
      <c r="J14" s="171">
        <f t="shared" si="8"/>
        <v>1429432.1490400003</v>
      </c>
      <c r="K14" s="98"/>
      <c r="L14" s="171">
        <f>SUMIF('CF(M)'!$L$10:$EQ$10,L$6,'CF(M)'!$L19:$EQ19)</f>
        <v>0</v>
      </c>
      <c r="M14" s="171">
        <f>SUMIF('CF(M)'!$L$10:$EQ$10,M$6,'CF(M)'!$L19:$EQ19)</f>
        <v>71471.607451999997</v>
      </c>
      <c r="N14" s="171">
        <f>SUMIF('CF(M)'!$L$10:$EQ$10,N$6,'CF(M)'!$L19:$EQ19)</f>
        <v>71471.607451999997</v>
      </c>
      <c r="O14" s="171">
        <f>SUMIF('CF(M)'!$L$10:$EQ$10,O$6,'CF(M)'!$L19:$EQ19)</f>
        <v>71471.607451999997</v>
      </c>
      <c r="P14" s="171">
        <f>SUMIF('CF(M)'!$L$10:$EQ$10,P$6,'CF(M)'!$L19:$EQ19)</f>
        <v>71471.607451999997</v>
      </c>
      <c r="Q14" s="171">
        <f>SUMIF('CF(M)'!$L$10:$EQ$10,Q$6,'CF(M)'!$L19:$EQ19)</f>
        <v>71471.607451999997</v>
      </c>
      <c r="R14" s="171">
        <f>SUMIF('CF(M)'!$L$10:$EQ$10,R$6,'CF(M)'!$L19:$EQ19)</f>
        <v>71471.607451999997</v>
      </c>
      <c r="S14" s="171">
        <f>SUMIF('CF(M)'!$L$10:$EQ$10,S$6,'CF(M)'!$L19:$EQ19)</f>
        <v>71471.607451999997</v>
      </c>
      <c r="T14" s="171">
        <f>SUMIF('CF(M)'!$L$10:$EQ$10,T$6,'CF(M)'!$L19:$EQ19)</f>
        <v>71471.607451999997</v>
      </c>
      <c r="U14" s="171">
        <f>SUMIF('CF(M)'!$L$10:$EQ$10,U$6,'CF(M)'!$L19:$EQ19)</f>
        <v>71471.607451999997</v>
      </c>
      <c r="V14" s="171">
        <f>SUMIF('CF(M)'!$L$10:$EQ$10,V$6,'CF(M)'!$L19:$EQ19)</f>
        <v>71471.607451999997</v>
      </c>
      <c r="W14" s="171">
        <f>SUMIF('CF(M)'!$L$10:$EQ$10,W$6,'CF(M)'!$L19:$EQ19)</f>
        <v>71471.607451999997</v>
      </c>
      <c r="X14" s="171">
        <f>SUMIF('CF(M)'!$L$10:$EQ$10,X$6,'CF(M)'!$L19:$EQ19)</f>
        <v>71471.607451999997</v>
      </c>
      <c r="Y14" s="171">
        <f>SUMIF('CF(M)'!$L$10:$EQ$10,Y$6,'CF(M)'!$L19:$EQ19)</f>
        <v>71471.607451999997</v>
      </c>
      <c r="Z14" s="171">
        <f>SUMIF('CF(M)'!$L$10:$EQ$10,Z$6,'CF(M)'!$L19:$EQ19)</f>
        <v>71471.607451999997</v>
      </c>
      <c r="AA14" s="171">
        <f>SUMIF('CF(M)'!$L$10:$EQ$10,AA$6,'CF(M)'!$L19:$EQ19)</f>
        <v>71471.607451999997</v>
      </c>
      <c r="AB14" s="171">
        <f>SUMIF('CF(M)'!$L$10:$EQ$10,AB$6,'CF(M)'!$L19:$EQ19)</f>
        <v>71471.607451999997</v>
      </c>
      <c r="AC14" s="171">
        <f>SUMIF('CF(M)'!$L$10:$EQ$10,AC$6,'CF(M)'!$L19:$EQ19)</f>
        <v>71471.607451999997</v>
      </c>
      <c r="AD14" s="171">
        <f>SUMIF('CF(M)'!$L$10:$EQ$10,AD$6,'CF(M)'!$L19:$EQ19)</f>
        <v>71471.607451999997</v>
      </c>
      <c r="AE14" s="171">
        <f>SUMIF('CF(M)'!$L$10:$EQ$10,AE$6,'CF(M)'!$L19:$EQ19)</f>
        <v>71471.607451999997</v>
      </c>
      <c r="AF14" s="171">
        <f>SUMIF('CF(M)'!$L$10:$EQ$10,AF$6,'CF(M)'!$L19:$EQ19)</f>
        <v>71471.607451999997</v>
      </c>
      <c r="AG14" s="171">
        <f>SUMIF('CF(M)'!$L$10:$EQ$10,AG$6,'CF(M)'!$L19:$EQ19)</f>
        <v>0</v>
      </c>
      <c r="AH14" s="171">
        <f>SUMIF('CF(M)'!$L$10:$EQ$10,AH$6,'CF(M)'!$L19:$EQ19)</f>
        <v>0</v>
      </c>
      <c r="AI14" s="171">
        <f>SUMIF('CF(M)'!$L$10:$EQ$10,AI$6,'CF(M)'!$L19:$EQ19)</f>
        <v>0</v>
      </c>
      <c r="AJ14" s="171">
        <f>SUMIF('CF(M)'!$L$10:$EQ$10,AJ$6,'CF(M)'!$L19:$EQ19)</f>
        <v>0</v>
      </c>
      <c r="AK14" s="171">
        <f>SUMIF('CF(M)'!$L$10:$EQ$10,AK$6,'CF(M)'!$L19:$EQ19)</f>
        <v>0</v>
      </c>
      <c r="AL14" s="171">
        <f>SUMIF('CF(M)'!$L$10:$EQ$10,AL$6,'CF(M)'!$L19:$EQ19)</f>
        <v>0</v>
      </c>
      <c r="AM14" s="171">
        <f>SUMIF('CF(M)'!$L$10:$EQ$10,AM$6,'CF(M)'!$L19:$EQ19)</f>
        <v>0</v>
      </c>
      <c r="AN14" s="171">
        <f>SUMIF('CF(M)'!$L$10:$EQ$10,AN$6,'CF(M)'!$L19:$EQ19)</f>
        <v>0</v>
      </c>
      <c r="AO14" s="171">
        <f>SUMIF('CF(M)'!$L$10:$EQ$10,AO$6,'CF(M)'!$L19:$EQ19)</f>
        <v>0</v>
      </c>
      <c r="AP14" s="171">
        <f>SUMIF('CF(M)'!$L$10:$EQ$10,AP$6,'CF(M)'!$L19:$EQ19)</f>
        <v>0</v>
      </c>
      <c r="AQ14" s="171">
        <f>SUMIF('CF(M)'!$L$10:$EQ$10,AQ$6,'CF(M)'!$L19:$EQ19)</f>
        <v>0</v>
      </c>
      <c r="AR14" s="171">
        <f>SUMIF('CF(M)'!$L$10:$EQ$10,AR$6,'CF(M)'!$L19:$EQ19)</f>
        <v>0</v>
      </c>
      <c r="AS14" s="171">
        <f>SUMIF('CF(M)'!$L$10:$EQ$10,AS$6,'CF(M)'!$L19:$EQ19)</f>
        <v>0</v>
      </c>
      <c r="AT14" s="171">
        <f>SUMIF('CF(M)'!$L$10:$EQ$10,AT$6,'CF(M)'!$L19:$EQ19)</f>
        <v>0</v>
      </c>
      <c r="AU14" s="171">
        <f>SUMIF('CF(M)'!$L$10:$EQ$10,AU$6,'CF(M)'!$L19:$EQ19)</f>
        <v>0</v>
      </c>
      <c r="AV14" s="171">
        <f>SUMIF('CF(M)'!$L$10:$EQ$10,AV$6,'CF(M)'!$L19:$EQ19)</f>
        <v>0</v>
      </c>
      <c r="AW14" s="171">
        <f>SUMIF('CF(M)'!$L$10:$EQ$10,AW$6,'CF(M)'!$L19:$EQ19)</f>
        <v>0</v>
      </c>
      <c r="AX14" s="171">
        <f>SUMIF('CF(M)'!$L$10:$EQ$10,AX$6,'CF(M)'!$L19:$EQ19)</f>
        <v>0</v>
      </c>
      <c r="AY14" s="171">
        <f>SUMIF('CF(M)'!$L$10:$EQ$10,AY$6,'CF(M)'!$L19:$EQ19)</f>
        <v>0</v>
      </c>
      <c r="AZ14" s="171">
        <f>SUMIF('CF(M)'!$L$10:$EQ$10,AZ$6,'CF(M)'!$L19:$EQ19)</f>
        <v>0</v>
      </c>
      <c r="BA14" s="171">
        <f>SUMIF('CF(M)'!$L$10:$EQ$10,BA$6,'CF(M)'!$L19:$EQ19)</f>
        <v>0</v>
      </c>
      <c r="BB14" s="171">
        <f>SUMIF('CF(M)'!$L$10:$EQ$10,BB$6,'CF(M)'!$L19:$EQ19)</f>
        <v>0</v>
      </c>
      <c r="BC14" s="171">
        <f>SUMIF('CF(M)'!$L$10:$EQ$10,BC$6,'CF(M)'!$L19:$EQ19)</f>
        <v>0</v>
      </c>
      <c r="BD14" s="171">
        <f>SUMIF('CF(M)'!$L$10:$EQ$10,BD$6,'CF(M)'!$L19:$EQ19)</f>
        <v>0</v>
      </c>
      <c r="BE14" s="171">
        <f>SUMIF('CF(M)'!$L$10:$EQ$10,BE$6,'CF(M)'!$L19:$EQ19)</f>
        <v>0</v>
      </c>
      <c r="BF14" s="171">
        <f>SUMIF('CF(M)'!$L$10:$EQ$10,BF$6,'CF(M)'!$L19:$EQ19)</f>
        <v>0</v>
      </c>
      <c r="BG14" s="171">
        <f>SUMIF('CF(M)'!$L$10:$EQ$10,BG$6,'CF(M)'!$L19:$EQ19)</f>
        <v>0</v>
      </c>
      <c r="BH14" s="171">
        <f>SUMIF('CF(M)'!$L$10:$EQ$10,BH$6,'CF(M)'!$L19:$EQ19)</f>
        <v>0</v>
      </c>
      <c r="BI14" s="171">
        <f>SUMIF('CF(M)'!$L$10:$EQ$10,BI$6,'CF(M)'!$L19:$EQ19)</f>
        <v>0</v>
      </c>
      <c r="BJ14" s="171">
        <f>SUMIF('CF(M)'!$L$10:$EQ$10,BJ$6,'CF(M)'!$L19:$EQ19)</f>
        <v>0</v>
      </c>
      <c r="BK14" s="171">
        <f>SUMIF('CF(M)'!$L$10:$EQ$10,BK$6,'CF(M)'!$L19:$EQ19)</f>
        <v>0</v>
      </c>
      <c r="BL14" s="171">
        <f>SUMIF('CF(M)'!$L$10:$EQ$10,BL$6,'CF(M)'!$L19:$EQ19)</f>
        <v>0</v>
      </c>
      <c r="BM14" s="171">
        <f>SUMIF('CF(M)'!$L$10:$EQ$10,BM$6,'CF(M)'!$L19:$EQ19)</f>
        <v>0</v>
      </c>
      <c r="BN14" s="171">
        <f>SUMIF('CF(M)'!$L$10:$EQ$10,BN$6,'CF(M)'!$L19:$EQ19)</f>
        <v>0</v>
      </c>
      <c r="BO14" s="171">
        <f>SUMIF('CF(M)'!$L$10:$EQ$10,BO$6,'CF(M)'!$L19:$EQ19)</f>
        <v>0</v>
      </c>
      <c r="BP14" s="171">
        <f>SUMIF('CF(M)'!$L$10:$EQ$10,BP$6,'CF(M)'!$L19:$EQ19)</f>
        <v>0</v>
      </c>
      <c r="BQ14" s="171">
        <f>SUMIF('CF(M)'!$L$10:$EQ$10,BQ$6,'CF(M)'!$L19:$EQ19)</f>
        <v>0</v>
      </c>
      <c r="BR14" s="171">
        <f>SUMIF('CF(M)'!$L$10:$EQ$10,BR$6,'CF(M)'!$L19:$EQ19)</f>
        <v>0</v>
      </c>
      <c r="BS14" s="171">
        <f>SUMIF('CF(M)'!$L$10:$EQ$10,BS$6,'CF(M)'!$L19:$EQ19)</f>
        <v>0</v>
      </c>
      <c r="BT14" s="171">
        <f>SUMIF('CF(M)'!$L$10:$EQ$10,BT$6,'CF(M)'!$L19:$EQ19)</f>
        <v>0</v>
      </c>
      <c r="BU14" s="171">
        <f>SUMIF('CF(M)'!$L$10:$EQ$10,BU$6,'CF(M)'!$L19:$EQ19)</f>
        <v>0</v>
      </c>
      <c r="BV14" s="171">
        <f>SUMIF('CF(M)'!$L$10:$EQ$10,BV$6,'CF(M)'!$L19:$EQ19)</f>
        <v>0</v>
      </c>
      <c r="BW14" s="171">
        <f>SUMIF('CF(M)'!$L$10:$EQ$10,BW$6,'CF(M)'!$L19:$EQ19)</f>
        <v>0</v>
      </c>
      <c r="BX14" s="171">
        <f>SUMIF('CF(M)'!$L$10:$EQ$10,BX$6,'CF(M)'!$L19:$EQ19)</f>
        <v>0</v>
      </c>
      <c r="BY14" s="171">
        <f>SUMIF('CF(M)'!$L$10:$EQ$10,BY$6,'CF(M)'!$L19:$EQ19)</f>
        <v>0</v>
      </c>
      <c r="BZ14" s="171">
        <f>SUMIF('CF(M)'!$L$10:$EQ$10,BZ$6,'CF(M)'!$L19:$EQ19)</f>
        <v>0</v>
      </c>
      <c r="CA14" s="171">
        <f>SUMIF('CF(M)'!$L$10:$EQ$10,CA$6,'CF(M)'!$L19:$EQ19)</f>
        <v>0</v>
      </c>
      <c r="CB14" s="171">
        <f>SUMIF('CF(M)'!$L$10:$EQ$10,CB$6,'CF(M)'!$L19:$EQ19)</f>
        <v>0</v>
      </c>
      <c r="CC14" s="171">
        <f>SUMIF('CF(M)'!$L$10:$EQ$10,CC$6,'CF(M)'!$L19:$EQ19)</f>
        <v>0</v>
      </c>
      <c r="CD14" s="171">
        <f>SUMIF('CF(M)'!$L$10:$EQ$10,CD$6,'CF(M)'!$L19:$EQ19)</f>
        <v>0</v>
      </c>
      <c r="CE14" s="171">
        <f>SUMIF('CF(M)'!$L$10:$EQ$10,CE$6,'CF(M)'!$L19:$EQ19)</f>
        <v>0</v>
      </c>
      <c r="CF14" s="171">
        <f>SUMIF('CF(M)'!$L$10:$EQ$10,CF$6,'CF(M)'!$L19:$EQ19)</f>
        <v>0</v>
      </c>
      <c r="CG14" s="171">
        <f>SUMIF('CF(M)'!$L$10:$EQ$10,CG$6,'CF(M)'!$L19:$EQ19)</f>
        <v>0</v>
      </c>
      <c r="CH14" s="171">
        <f>SUMIF('CF(M)'!$L$10:$EQ$10,CH$6,'CF(M)'!$L19:$EQ19)</f>
        <v>0</v>
      </c>
      <c r="CI14" s="171">
        <f>SUMIF('CF(M)'!$L$10:$EQ$10,CI$6,'CF(M)'!$L19:$EQ19)</f>
        <v>0</v>
      </c>
      <c r="CJ14" s="171">
        <f>SUMIF('CF(M)'!$L$10:$EQ$10,CJ$6,'CF(M)'!$L19:$EQ19)</f>
        <v>0</v>
      </c>
      <c r="CK14" s="171">
        <f>SUMIF('CF(M)'!$L$10:$EQ$10,CK$6,'CF(M)'!$L19:$EQ19)</f>
        <v>0</v>
      </c>
      <c r="CL14" s="171">
        <f>SUMIF('CF(M)'!$L$10:$EQ$10,CL$6,'CF(M)'!$L19:$EQ19)</f>
        <v>0</v>
      </c>
      <c r="CM14" s="171">
        <f>SUMIF('CF(M)'!$L$10:$EQ$10,CM$6,'CF(M)'!$L19:$EQ19)</f>
        <v>0</v>
      </c>
      <c r="CN14" s="171">
        <f>SUMIF('CF(M)'!$L$10:$EQ$10,CN$6,'CF(M)'!$L19:$EQ19)</f>
        <v>0</v>
      </c>
      <c r="CO14" s="171">
        <f>SUMIF('CF(M)'!$L$10:$EQ$10,CO$6,'CF(M)'!$L19:$EQ19)</f>
        <v>0</v>
      </c>
      <c r="CP14" s="171">
        <f>SUMIF('CF(M)'!$L$10:$EQ$10,CP$6,'CF(M)'!$L19:$EQ19)</f>
        <v>0</v>
      </c>
      <c r="CQ14" s="171">
        <f>SUMIF('CF(M)'!$L$10:$EQ$10,CQ$6,'CF(M)'!$L19:$EQ19)</f>
        <v>0</v>
      </c>
      <c r="CR14" s="171">
        <f>SUMIF('CF(M)'!$L$10:$EQ$10,CR$6,'CF(M)'!$L19:$EQ19)</f>
        <v>0</v>
      </c>
      <c r="CS14" s="171">
        <f>SUMIF('CF(M)'!$L$10:$EQ$10,CS$6,'CF(M)'!$L19:$EQ19)</f>
        <v>0</v>
      </c>
      <c r="CT14" s="171">
        <f>SUMIF('CF(M)'!$L$10:$EQ$10,CT$6,'CF(M)'!$L19:$EQ19)</f>
        <v>0</v>
      </c>
      <c r="CU14" s="171">
        <f>SUMIF('CF(M)'!$L$10:$EQ$10,CU$6,'CF(M)'!$L19:$EQ19)</f>
        <v>0</v>
      </c>
      <c r="CV14" s="171">
        <f>SUMIF('CF(M)'!$L$10:$EQ$10,CV$6,'CF(M)'!$L19:$EQ19)</f>
        <v>0</v>
      </c>
      <c r="CW14" s="171">
        <f>SUMIF('CF(M)'!$L$10:$EQ$10,CW$6,'CF(M)'!$L19:$EQ19)</f>
        <v>0</v>
      </c>
      <c r="CX14" s="171">
        <f>SUMIF('CF(M)'!$L$10:$EQ$10,CX$6,'CF(M)'!$L19:$EQ19)</f>
        <v>0</v>
      </c>
      <c r="CY14" s="171">
        <f>SUMIF('CF(M)'!$L$10:$EQ$10,CY$6,'CF(M)'!$L19:$EQ19)</f>
        <v>0</v>
      </c>
      <c r="CZ14" s="171">
        <f>SUMIF('CF(M)'!$L$10:$EQ$10,CZ$6,'CF(M)'!$L19:$EQ19)</f>
        <v>0</v>
      </c>
      <c r="DA14" s="171">
        <f>SUMIF('CF(M)'!$L$10:$EQ$10,DA$6,'CF(M)'!$L19:$EQ19)</f>
        <v>0</v>
      </c>
      <c r="DB14" s="171">
        <f>SUMIF('CF(M)'!$L$10:$EQ$10,DB$6,'CF(M)'!$L19:$EQ19)</f>
        <v>0</v>
      </c>
      <c r="DC14" s="171">
        <f>SUMIF('CF(M)'!$L$10:$EQ$10,DC$6,'CF(M)'!$L19:$EQ19)</f>
        <v>0</v>
      </c>
      <c r="DD14" s="171">
        <f>SUMIF('CF(M)'!$L$10:$EQ$10,DD$6,'CF(M)'!$L19:$EQ19)</f>
        <v>0</v>
      </c>
      <c r="DE14" s="171">
        <f>SUMIF('CF(M)'!$L$10:$EQ$10,DE$6,'CF(M)'!$L19:$EQ19)</f>
        <v>0</v>
      </c>
      <c r="DF14" s="171">
        <f>SUMIF('CF(M)'!$L$10:$EQ$10,DF$6,'CF(M)'!$L19:$EQ19)</f>
        <v>0</v>
      </c>
      <c r="DG14" s="171">
        <f>SUMIF('CF(M)'!$L$10:$EQ$10,DG$6,'CF(M)'!$L19:$EQ19)</f>
        <v>0</v>
      </c>
      <c r="DH14" s="171">
        <f>SUMIF('CF(M)'!$L$10:$EQ$10,DH$6,'CF(M)'!$L19:$EQ19)</f>
        <v>0</v>
      </c>
      <c r="DI14" s="171">
        <f>SUMIF('CF(M)'!$L$10:$EQ$10,DI$6,'CF(M)'!$L19:$EQ19)</f>
        <v>0</v>
      </c>
      <c r="DJ14" s="171">
        <f>SUMIF('CF(M)'!$L$10:$EQ$10,DJ$6,'CF(M)'!$L19:$EQ19)</f>
        <v>0</v>
      </c>
      <c r="DK14" s="171">
        <f>SUMIF('CF(M)'!$L$10:$EQ$10,DK$6,'CF(M)'!$L19:$EQ19)</f>
        <v>0</v>
      </c>
      <c r="DL14" s="171">
        <f>SUMIF('CF(M)'!$L$10:$EQ$10,DL$6,'CF(M)'!$L19:$EQ19)</f>
        <v>0</v>
      </c>
      <c r="DM14" s="171">
        <f>SUMIF('CF(M)'!$L$10:$EQ$10,DM$6,'CF(M)'!$L19:$EQ19)</f>
        <v>0</v>
      </c>
      <c r="DN14" s="171">
        <f>SUMIF('CF(M)'!$L$10:$EQ$10,DN$6,'CF(M)'!$L19:$EQ19)</f>
        <v>0</v>
      </c>
      <c r="DO14" s="171">
        <f>SUMIF('CF(M)'!$L$10:$EQ$10,DO$6,'CF(M)'!$L19:$EQ19)</f>
        <v>0</v>
      </c>
      <c r="DP14" s="171">
        <f>SUMIF('CF(M)'!$L$10:$EQ$10,DP$6,'CF(M)'!$L19:$EQ19)</f>
        <v>0</v>
      </c>
      <c r="DQ14" s="171">
        <f>SUMIF('CF(M)'!$L$10:$EQ$10,DQ$6,'CF(M)'!$L19:$EQ19)</f>
        <v>0</v>
      </c>
      <c r="DR14" s="171">
        <f>SUMIF('CF(M)'!$L$10:$EQ$10,DR$6,'CF(M)'!$L19:$EQ19)</f>
        <v>0</v>
      </c>
      <c r="DS14" s="171">
        <f>SUMIF('CF(M)'!$L$10:$EQ$10,DS$6,'CF(M)'!$L19:$EQ19)</f>
        <v>0</v>
      </c>
      <c r="DT14" s="171">
        <f>SUMIF('CF(M)'!$L$10:$EQ$10,DT$6,'CF(M)'!$L19:$EQ19)</f>
        <v>0</v>
      </c>
      <c r="DU14" s="171">
        <f>SUMIF('CF(M)'!$L$10:$EQ$10,DU$6,'CF(M)'!$L19:$EQ19)</f>
        <v>0</v>
      </c>
      <c r="DV14" s="171">
        <f>SUMIF('CF(M)'!$L$10:$EQ$10,DV$6,'CF(M)'!$L19:$EQ19)</f>
        <v>0</v>
      </c>
    </row>
    <row r="15" spans="1:130" ht="11.25" customHeight="1">
      <c r="B15" s="218"/>
      <c r="C15" s="163"/>
      <c r="D15" s="169" t="s">
        <v>1021</v>
      </c>
      <c r="H15" s="90"/>
      <c r="I15" s="222"/>
      <c r="J15" s="171">
        <f t="shared" ca="1" si="8"/>
        <v>0</v>
      </c>
      <c r="K15" s="98"/>
      <c r="L15" s="171">
        <f>SUMIF('CF(M)'!$L$10:$EQ$10,L$6,'CF(M)'!$L20:$EQ20)</f>
        <v>0</v>
      </c>
      <c r="M15" s="171">
        <f ca="1">SUMIF('CF(M)'!$L$10:$EQ$10,M$6,'CF(M)'!$L20:$EQ20)</f>
        <v>0</v>
      </c>
      <c r="N15" s="171">
        <f ca="1">SUMIF('CF(M)'!$L$10:$EQ$10,N$6,'CF(M)'!$L20:$EQ20)</f>
        <v>0</v>
      </c>
      <c r="O15" s="171">
        <f ca="1">SUMIF('CF(M)'!$L$10:$EQ$10,O$6,'CF(M)'!$L20:$EQ20)</f>
        <v>0</v>
      </c>
      <c r="P15" s="171">
        <f ca="1">SUMIF('CF(M)'!$L$10:$EQ$10,P$6,'CF(M)'!$L20:$EQ20)</f>
        <v>0</v>
      </c>
      <c r="Q15" s="171">
        <f ca="1">SUMIF('CF(M)'!$L$10:$EQ$10,Q$6,'CF(M)'!$L20:$EQ20)</f>
        <v>0</v>
      </c>
      <c r="R15" s="171">
        <f ca="1">SUMIF('CF(M)'!$L$10:$EQ$10,R$6,'CF(M)'!$L20:$EQ20)</f>
        <v>0</v>
      </c>
      <c r="S15" s="171">
        <f ca="1">SUMIF('CF(M)'!$L$10:$EQ$10,S$6,'CF(M)'!$L20:$EQ20)</f>
        <v>0</v>
      </c>
      <c r="T15" s="171">
        <f ca="1">SUMIF('CF(M)'!$L$10:$EQ$10,T$6,'CF(M)'!$L20:$EQ20)</f>
        <v>0</v>
      </c>
      <c r="U15" s="171">
        <f ca="1">SUMIF('CF(M)'!$L$10:$EQ$10,U$6,'CF(M)'!$L20:$EQ20)</f>
        <v>0</v>
      </c>
      <c r="V15" s="171">
        <f ca="1">SUMIF('CF(M)'!$L$10:$EQ$10,V$6,'CF(M)'!$L20:$EQ20)</f>
        <v>0</v>
      </c>
      <c r="W15" s="171">
        <f ca="1">SUMIF('CF(M)'!$L$10:$EQ$10,W$6,'CF(M)'!$L20:$EQ20)</f>
        <v>0</v>
      </c>
      <c r="X15" s="171">
        <f ca="1">SUMIF('CF(M)'!$L$10:$EQ$10,X$6,'CF(M)'!$L20:$EQ20)</f>
        <v>0</v>
      </c>
      <c r="Y15" s="171">
        <f ca="1">SUMIF('CF(M)'!$L$10:$EQ$10,Y$6,'CF(M)'!$L20:$EQ20)</f>
        <v>0</v>
      </c>
      <c r="Z15" s="171">
        <f ca="1">SUMIF('CF(M)'!$L$10:$EQ$10,Z$6,'CF(M)'!$L20:$EQ20)</f>
        <v>0</v>
      </c>
      <c r="AA15" s="171">
        <f ca="1">SUMIF('CF(M)'!$L$10:$EQ$10,AA$6,'CF(M)'!$L20:$EQ20)</f>
        <v>0</v>
      </c>
      <c r="AB15" s="171">
        <f ca="1">SUMIF('CF(M)'!$L$10:$EQ$10,AB$6,'CF(M)'!$L20:$EQ20)</f>
        <v>0</v>
      </c>
      <c r="AC15" s="171">
        <f ca="1">SUMIF('CF(M)'!$L$10:$EQ$10,AC$6,'CF(M)'!$L20:$EQ20)</f>
        <v>0</v>
      </c>
      <c r="AD15" s="171">
        <f ca="1">SUMIF('CF(M)'!$L$10:$EQ$10,AD$6,'CF(M)'!$L20:$EQ20)</f>
        <v>0</v>
      </c>
      <c r="AE15" s="171">
        <f ca="1">SUMIF('CF(M)'!$L$10:$EQ$10,AE$6,'CF(M)'!$L20:$EQ20)</f>
        <v>0</v>
      </c>
      <c r="AF15" s="171">
        <f ca="1">SUMIF('CF(M)'!$L$10:$EQ$10,AF$6,'CF(M)'!$L20:$EQ20)</f>
        <v>0</v>
      </c>
      <c r="AG15" s="171">
        <f ca="1">SUMIF('CF(M)'!$L$10:$EQ$10,AG$6,'CF(M)'!$L20:$EQ20)</f>
        <v>0</v>
      </c>
      <c r="AH15" s="171">
        <f ca="1">SUMIF('CF(M)'!$L$10:$EQ$10,AH$6,'CF(M)'!$L20:$EQ20)</f>
        <v>0</v>
      </c>
      <c r="AI15" s="171">
        <f ca="1">SUMIF('CF(M)'!$L$10:$EQ$10,AI$6,'CF(M)'!$L20:$EQ20)</f>
        <v>0</v>
      </c>
      <c r="AJ15" s="171">
        <f>SUMIF('CF(M)'!$L$10:$EQ$10,AJ$6,'CF(M)'!$L20:$EQ20)</f>
        <v>0</v>
      </c>
      <c r="AK15" s="171">
        <f>SUMIF('CF(M)'!$L$10:$EQ$10,AK$6,'CF(M)'!$L20:$EQ20)</f>
        <v>0</v>
      </c>
      <c r="AL15" s="171">
        <f>SUMIF('CF(M)'!$L$10:$EQ$10,AL$6,'CF(M)'!$L20:$EQ20)</f>
        <v>0</v>
      </c>
      <c r="AM15" s="171">
        <f>SUMIF('CF(M)'!$L$10:$EQ$10,AM$6,'CF(M)'!$L20:$EQ20)</f>
        <v>0</v>
      </c>
      <c r="AN15" s="171">
        <f>SUMIF('CF(M)'!$L$10:$EQ$10,AN$6,'CF(M)'!$L20:$EQ20)</f>
        <v>0</v>
      </c>
      <c r="AO15" s="171">
        <f>SUMIF('CF(M)'!$L$10:$EQ$10,AO$6,'CF(M)'!$L20:$EQ20)</f>
        <v>0</v>
      </c>
      <c r="AP15" s="171">
        <f>SUMIF('CF(M)'!$L$10:$EQ$10,AP$6,'CF(M)'!$L20:$EQ20)</f>
        <v>0</v>
      </c>
      <c r="AQ15" s="171">
        <f>SUMIF('CF(M)'!$L$10:$EQ$10,AQ$6,'CF(M)'!$L20:$EQ20)</f>
        <v>0</v>
      </c>
      <c r="AR15" s="171">
        <f>SUMIF('CF(M)'!$L$10:$EQ$10,AR$6,'CF(M)'!$L20:$EQ20)</f>
        <v>0</v>
      </c>
      <c r="AS15" s="171">
        <f>SUMIF('CF(M)'!$L$10:$EQ$10,AS$6,'CF(M)'!$L20:$EQ20)</f>
        <v>0</v>
      </c>
      <c r="AT15" s="171">
        <f>SUMIF('CF(M)'!$L$10:$EQ$10,AT$6,'CF(M)'!$L20:$EQ20)</f>
        <v>0</v>
      </c>
      <c r="AU15" s="171">
        <f>SUMIF('CF(M)'!$L$10:$EQ$10,AU$6,'CF(M)'!$L20:$EQ20)</f>
        <v>0</v>
      </c>
      <c r="AV15" s="171">
        <f>SUMIF('CF(M)'!$L$10:$EQ$10,AV$6,'CF(M)'!$L20:$EQ20)</f>
        <v>0</v>
      </c>
      <c r="AW15" s="171">
        <f>SUMIF('CF(M)'!$L$10:$EQ$10,AW$6,'CF(M)'!$L20:$EQ20)</f>
        <v>0</v>
      </c>
      <c r="AX15" s="171">
        <f>SUMIF('CF(M)'!$L$10:$EQ$10,AX$6,'CF(M)'!$L20:$EQ20)</f>
        <v>0</v>
      </c>
      <c r="AY15" s="171">
        <f>SUMIF('CF(M)'!$L$10:$EQ$10,AY$6,'CF(M)'!$L20:$EQ20)</f>
        <v>0</v>
      </c>
      <c r="AZ15" s="171">
        <f>SUMIF('CF(M)'!$L$10:$EQ$10,AZ$6,'CF(M)'!$L20:$EQ20)</f>
        <v>0</v>
      </c>
      <c r="BA15" s="171">
        <f>SUMIF('CF(M)'!$L$10:$EQ$10,BA$6,'CF(M)'!$L20:$EQ20)</f>
        <v>0</v>
      </c>
      <c r="BB15" s="171">
        <f>SUMIF('CF(M)'!$L$10:$EQ$10,BB$6,'CF(M)'!$L20:$EQ20)</f>
        <v>0</v>
      </c>
      <c r="BC15" s="171">
        <f>SUMIF('CF(M)'!$L$10:$EQ$10,BC$6,'CF(M)'!$L20:$EQ20)</f>
        <v>0</v>
      </c>
      <c r="BD15" s="171">
        <f>SUMIF('CF(M)'!$L$10:$EQ$10,BD$6,'CF(M)'!$L20:$EQ20)</f>
        <v>0</v>
      </c>
      <c r="BE15" s="171">
        <f>SUMIF('CF(M)'!$L$10:$EQ$10,BE$6,'CF(M)'!$L20:$EQ20)</f>
        <v>0</v>
      </c>
      <c r="BF15" s="171">
        <f>SUMIF('CF(M)'!$L$10:$EQ$10,BF$6,'CF(M)'!$L20:$EQ20)</f>
        <v>0</v>
      </c>
      <c r="BG15" s="171">
        <f>SUMIF('CF(M)'!$L$10:$EQ$10,BG$6,'CF(M)'!$L20:$EQ20)</f>
        <v>0</v>
      </c>
      <c r="BH15" s="171">
        <f>SUMIF('CF(M)'!$L$10:$EQ$10,BH$6,'CF(M)'!$L20:$EQ20)</f>
        <v>0</v>
      </c>
      <c r="BI15" s="171">
        <f>SUMIF('CF(M)'!$L$10:$EQ$10,BI$6,'CF(M)'!$L20:$EQ20)</f>
        <v>0</v>
      </c>
      <c r="BJ15" s="171">
        <f>SUMIF('CF(M)'!$L$10:$EQ$10,BJ$6,'CF(M)'!$L20:$EQ20)</f>
        <v>0</v>
      </c>
      <c r="BK15" s="171">
        <f>SUMIF('CF(M)'!$L$10:$EQ$10,BK$6,'CF(M)'!$L20:$EQ20)</f>
        <v>0</v>
      </c>
      <c r="BL15" s="171">
        <f>SUMIF('CF(M)'!$L$10:$EQ$10,BL$6,'CF(M)'!$L20:$EQ20)</f>
        <v>0</v>
      </c>
      <c r="BM15" s="171">
        <f>SUMIF('CF(M)'!$L$10:$EQ$10,BM$6,'CF(M)'!$L20:$EQ20)</f>
        <v>0</v>
      </c>
      <c r="BN15" s="171">
        <f>SUMIF('CF(M)'!$L$10:$EQ$10,BN$6,'CF(M)'!$L20:$EQ20)</f>
        <v>0</v>
      </c>
      <c r="BO15" s="171">
        <f>SUMIF('CF(M)'!$L$10:$EQ$10,BO$6,'CF(M)'!$L20:$EQ20)</f>
        <v>0</v>
      </c>
      <c r="BP15" s="171">
        <f>SUMIF('CF(M)'!$L$10:$EQ$10,BP$6,'CF(M)'!$L20:$EQ20)</f>
        <v>0</v>
      </c>
      <c r="BQ15" s="171">
        <f>SUMIF('CF(M)'!$L$10:$EQ$10,BQ$6,'CF(M)'!$L20:$EQ20)</f>
        <v>0</v>
      </c>
      <c r="BR15" s="171">
        <f>SUMIF('CF(M)'!$L$10:$EQ$10,BR$6,'CF(M)'!$L20:$EQ20)</f>
        <v>0</v>
      </c>
      <c r="BS15" s="171">
        <f>SUMIF('CF(M)'!$L$10:$EQ$10,BS$6,'CF(M)'!$L20:$EQ20)</f>
        <v>0</v>
      </c>
      <c r="BT15" s="171">
        <f>SUMIF('CF(M)'!$L$10:$EQ$10,BT$6,'CF(M)'!$L20:$EQ20)</f>
        <v>0</v>
      </c>
      <c r="BU15" s="171">
        <f>SUMIF('CF(M)'!$L$10:$EQ$10,BU$6,'CF(M)'!$L20:$EQ20)</f>
        <v>0</v>
      </c>
      <c r="BV15" s="171">
        <f>SUMIF('CF(M)'!$L$10:$EQ$10,BV$6,'CF(M)'!$L20:$EQ20)</f>
        <v>0</v>
      </c>
      <c r="BW15" s="171">
        <f>SUMIF('CF(M)'!$L$10:$EQ$10,BW$6,'CF(M)'!$L20:$EQ20)</f>
        <v>0</v>
      </c>
      <c r="BX15" s="171">
        <f>SUMIF('CF(M)'!$L$10:$EQ$10,BX$6,'CF(M)'!$L20:$EQ20)</f>
        <v>0</v>
      </c>
      <c r="BY15" s="171">
        <f>SUMIF('CF(M)'!$L$10:$EQ$10,BY$6,'CF(M)'!$L20:$EQ20)</f>
        <v>0</v>
      </c>
      <c r="BZ15" s="171">
        <f>SUMIF('CF(M)'!$L$10:$EQ$10,BZ$6,'CF(M)'!$L20:$EQ20)</f>
        <v>0</v>
      </c>
      <c r="CA15" s="171">
        <f>SUMIF('CF(M)'!$L$10:$EQ$10,CA$6,'CF(M)'!$L20:$EQ20)</f>
        <v>0</v>
      </c>
      <c r="CB15" s="171">
        <f>SUMIF('CF(M)'!$L$10:$EQ$10,CB$6,'CF(M)'!$L20:$EQ20)</f>
        <v>0</v>
      </c>
      <c r="CC15" s="171">
        <f>SUMIF('CF(M)'!$L$10:$EQ$10,CC$6,'CF(M)'!$L20:$EQ20)</f>
        <v>0</v>
      </c>
      <c r="CD15" s="171">
        <f>SUMIF('CF(M)'!$L$10:$EQ$10,CD$6,'CF(M)'!$L20:$EQ20)</f>
        <v>0</v>
      </c>
      <c r="CE15" s="171">
        <f>SUMIF('CF(M)'!$L$10:$EQ$10,CE$6,'CF(M)'!$L20:$EQ20)</f>
        <v>0</v>
      </c>
      <c r="CF15" s="171">
        <f>SUMIF('CF(M)'!$L$10:$EQ$10,CF$6,'CF(M)'!$L20:$EQ20)</f>
        <v>0</v>
      </c>
      <c r="CG15" s="171">
        <f>SUMIF('CF(M)'!$L$10:$EQ$10,CG$6,'CF(M)'!$L20:$EQ20)</f>
        <v>0</v>
      </c>
      <c r="CH15" s="171">
        <f>SUMIF('CF(M)'!$L$10:$EQ$10,CH$6,'CF(M)'!$L20:$EQ20)</f>
        <v>0</v>
      </c>
      <c r="CI15" s="171">
        <f>SUMIF('CF(M)'!$L$10:$EQ$10,CI$6,'CF(M)'!$L20:$EQ20)</f>
        <v>0</v>
      </c>
      <c r="CJ15" s="171">
        <f>SUMIF('CF(M)'!$L$10:$EQ$10,CJ$6,'CF(M)'!$L20:$EQ20)</f>
        <v>0</v>
      </c>
      <c r="CK15" s="171">
        <f>SUMIF('CF(M)'!$L$10:$EQ$10,CK$6,'CF(M)'!$L20:$EQ20)</f>
        <v>0</v>
      </c>
      <c r="CL15" s="171">
        <f>SUMIF('CF(M)'!$L$10:$EQ$10,CL$6,'CF(M)'!$L20:$EQ20)</f>
        <v>0</v>
      </c>
      <c r="CM15" s="171">
        <f>SUMIF('CF(M)'!$L$10:$EQ$10,CM$6,'CF(M)'!$L20:$EQ20)</f>
        <v>0</v>
      </c>
      <c r="CN15" s="171">
        <f>SUMIF('CF(M)'!$L$10:$EQ$10,CN$6,'CF(M)'!$L20:$EQ20)</f>
        <v>0</v>
      </c>
      <c r="CO15" s="171">
        <f>SUMIF('CF(M)'!$L$10:$EQ$10,CO$6,'CF(M)'!$L20:$EQ20)</f>
        <v>0</v>
      </c>
      <c r="CP15" s="171">
        <f>SUMIF('CF(M)'!$L$10:$EQ$10,CP$6,'CF(M)'!$L20:$EQ20)</f>
        <v>0</v>
      </c>
      <c r="CQ15" s="171">
        <f>SUMIF('CF(M)'!$L$10:$EQ$10,CQ$6,'CF(M)'!$L20:$EQ20)</f>
        <v>0</v>
      </c>
      <c r="CR15" s="171">
        <f>SUMIF('CF(M)'!$L$10:$EQ$10,CR$6,'CF(M)'!$L20:$EQ20)</f>
        <v>0</v>
      </c>
      <c r="CS15" s="171">
        <f>SUMIF('CF(M)'!$L$10:$EQ$10,CS$6,'CF(M)'!$L20:$EQ20)</f>
        <v>0</v>
      </c>
      <c r="CT15" s="171">
        <f>SUMIF('CF(M)'!$L$10:$EQ$10,CT$6,'CF(M)'!$L20:$EQ20)</f>
        <v>0</v>
      </c>
      <c r="CU15" s="171">
        <f>SUMIF('CF(M)'!$L$10:$EQ$10,CU$6,'CF(M)'!$L20:$EQ20)</f>
        <v>0</v>
      </c>
      <c r="CV15" s="171">
        <f>SUMIF('CF(M)'!$L$10:$EQ$10,CV$6,'CF(M)'!$L20:$EQ20)</f>
        <v>0</v>
      </c>
      <c r="CW15" s="171">
        <f>SUMIF('CF(M)'!$L$10:$EQ$10,CW$6,'CF(M)'!$L20:$EQ20)</f>
        <v>0</v>
      </c>
      <c r="CX15" s="171">
        <f>SUMIF('CF(M)'!$L$10:$EQ$10,CX$6,'CF(M)'!$L20:$EQ20)</f>
        <v>0</v>
      </c>
      <c r="CY15" s="171">
        <f>SUMIF('CF(M)'!$L$10:$EQ$10,CY$6,'CF(M)'!$L20:$EQ20)</f>
        <v>0</v>
      </c>
      <c r="CZ15" s="171">
        <f>SUMIF('CF(M)'!$L$10:$EQ$10,CZ$6,'CF(M)'!$L20:$EQ20)</f>
        <v>0</v>
      </c>
      <c r="DA15" s="171">
        <f>SUMIF('CF(M)'!$L$10:$EQ$10,DA$6,'CF(M)'!$L20:$EQ20)</f>
        <v>0</v>
      </c>
      <c r="DB15" s="171">
        <f>SUMIF('CF(M)'!$L$10:$EQ$10,DB$6,'CF(M)'!$L20:$EQ20)</f>
        <v>0</v>
      </c>
      <c r="DC15" s="171">
        <f>SUMIF('CF(M)'!$L$10:$EQ$10,DC$6,'CF(M)'!$L20:$EQ20)</f>
        <v>0</v>
      </c>
      <c r="DD15" s="171">
        <f>SUMIF('CF(M)'!$L$10:$EQ$10,DD$6,'CF(M)'!$L20:$EQ20)</f>
        <v>0</v>
      </c>
      <c r="DE15" s="171">
        <f>SUMIF('CF(M)'!$L$10:$EQ$10,DE$6,'CF(M)'!$L20:$EQ20)</f>
        <v>0</v>
      </c>
      <c r="DF15" s="171">
        <f>SUMIF('CF(M)'!$L$10:$EQ$10,DF$6,'CF(M)'!$L20:$EQ20)</f>
        <v>0</v>
      </c>
      <c r="DG15" s="171">
        <f>SUMIF('CF(M)'!$L$10:$EQ$10,DG$6,'CF(M)'!$L20:$EQ20)</f>
        <v>0</v>
      </c>
      <c r="DH15" s="171">
        <f>SUMIF('CF(M)'!$L$10:$EQ$10,DH$6,'CF(M)'!$L20:$EQ20)</f>
        <v>0</v>
      </c>
      <c r="DI15" s="171">
        <f>SUMIF('CF(M)'!$L$10:$EQ$10,DI$6,'CF(M)'!$L20:$EQ20)</f>
        <v>0</v>
      </c>
      <c r="DJ15" s="171">
        <f>SUMIF('CF(M)'!$L$10:$EQ$10,DJ$6,'CF(M)'!$L20:$EQ20)</f>
        <v>0</v>
      </c>
      <c r="DK15" s="171">
        <f>SUMIF('CF(M)'!$L$10:$EQ$10,DK$6,'CF(M)'!$L20:$EQ20)</f>
        <v>0</v>
      </c>
      <c r="DL15" s="171">
        <f>SUMIF('CF(M)'!$L$10:$EQ$10,DL$6,'CF(M)'!$L20:$EQ20)</f>
        <v>0</v>
      </c>
      <c r="DM15" s="171">
        <f>SUMIF('CF(M)'!$L$10:$EQ$10,DM$6,'CF(M)'!$L20:$EQ20)</f>
        <v>0</v>
      </c>
      <c r="DN15" s="171">
        <f>SUMIF('CF(M)'!$L$10:$EQ$10,DN$6,'CF(M)'!$L20:$EQ20)</f>
        <v>0</v>
      </c>
      <c r="DO15" s="171">
        <f>SUMIF('CF(M)'!$L$10:$EQ$10,DO$6,'CF(M)'!$L20:$EQ20)</f>
        <v>0</v>
      </c>
      <c r="DP15" s="171">
        <f>SUMIF('CF(M)'!$L$10:$EQ$10,DP$6,'CF(M)'!$L20:$EQ20)</f>
        <v>0</v>
      </c>
      <c r="DQ15" s="171">
        <f>SUMIF('CF(M)'!$L$10:$EQ$10,DQ$6,'CF(M)'!$L20:$EQ20)</f>
        <v>0</v>
      </c>
      <c r="DR15" s="171">
        <f>SUMIF('CF(M)'!$L$10:$EQ$10,DR$6,'CF(M)'!$L20:$EQ20)</f>
        <v>0</v>
      </c>
      <c r="DS15" s="171">
        <f>SUMIF('CF(M)'!$L$10:$EQ$10,DS$6,'CF(M)'!$L20:$EQ20)</f>
        <v>0</v>
      </c>
      <c r="DT15" s="171">
        <f>SUMIF('CF(M)'!$L$10:$EQ$10,DT$6,'CF(M)'!$L20:$EQ20)</f>
        <v>0</v>
      </c>
      <c r="DU15" s="171">
        <f>SUMIF('CF(M)'!$L$10:$EQ$10,DU$6,'CF(M)'!$L20:$EQ20)</f>
        <v>0</v>
      </c>
      <c r="DV15" s="171">
        <f>SUMIF('CF(M)'!$L$10:$EQ$10,DV$6,'CF(M)'!$L20:$EQ20)</f>
        <v>0</v>
      </c>
    </row>
    <row r="16" spans="1:130" ht="11.25" customHeight="1">
      <c r="B16" s="218"/>
      <c r="C16" s="163"/>
      <c r="D16" s="169" t="s">
        <v>187</v>
      </c>
      <c r="H16" s="146"/>
      <c r="I16" s="13"/>
      <c r="J16" s="171">
        <f t="shared" si="8"/>
        <v>0</v>
      </c>
      <c r="K16" s="98"/>
      <c r="L16" s="171">
        <f>SUMIF('CF(M)'!$L$10:$EQ$10,L$6,'CF(M)'!$L21:$EQ21)</f>
        <v>0</v>
      </c>
      <c r="M16" s="171">
        <f>SUMIF('CF(M)'!$L$10:$EQ$10,M$6,'CF(M)'!$L21:$EQ21)</f>
        <v>0</v>
      </c>
      <c r="N16" s="171">
        <f>SUMIF('CF(M)'!$L$10:$EQ$10,N$6,'CF(M)'!$L21:$EQ21)</f>
        <v>0</v>
      </c>
      <c r="O16" s="171">
        <f>SUMIF('CF(M)'!$L$10:$EQ$10,O$6,'CF(M)'!$L21:$EQ21)</f>
        <v>0</v>
      </c>
      <c r="P16" s="171">
        <f>SUMIF('CF(M)'!$L$10:$EQ$10,P$6,'CF(M)'!$L21:$EQ21)</f>
        <v>0</v>
      </c>
      <c r="Q16" s="171">
        <f>SUMIF('CF(M)'!$L$10:$EQ$10,Q$6,'CF(M)'!$L21:$EQ21)</f>
        <v>0</v>
      </c>
      <c r="R16" s="171">
        <f>SUMIF('CF(M)'!$L$10:$EQ$10,R$6,'CF(M)'!$L21:$EQ21)</f>
        <v>0</v>
      </c>
      <c r="S16" s="171">
        <f>SUMIF('CF(M)'!$L$10:$EQ$10,S$6,'CF(M)'!$L21:$EQ21)</f>
        <v>0</v>
      </c>
      <c r="T16" s="171">
        <f>SUMIF('CF(M)'!$L$10:$EQ$10,T$6,'CF(M)'!$L21:$EQ21)</f>
        <v>0</v>
      </c>
      <c r="U16" s="171">
        <f>SUMIF('CF(M)'!$L$10:$EQ$10,U$6,'CF(M)'!$L21:$EQ21)</f>
        <v>0</v>
      </c>
      <c r="V16" s="171">
        <f>SUMIF('CF(M)'!$L$10:$EQ$10,V$6,'CF(M)'!$L21:$EQ21)</f>
        <v>0</v>
      </c>
      <c r="W16" s="171">
        <f>SUMIF('CF(M)'!$L$10:$EQ$10,W$6,'CF(M)'!$L21:$EQ21)</f>
        <v>0</v>
      </c>
      <c r="X16" s="171">
        <f>SUMIF('CF(M)'!$L$10:$EQ$10,X$6,'CF(M)'!$L21:$EQ21)</f>
        <v>0</v>
      </c>
      <c r="Y16" s="171">
        <f>SUMIF('CF(M)'!$L$10:$EQ$10,Y$6,'CF(M)'!$L21:$EQ21)</f>
        <v>0</v>
      </c>
      <c r="Z16" s="171">
        <f>SUMIF('CF(M)'!$L$10:$EQ$10,Z$6,'CF(M)'!$L21:$EQ21)</f>
        <v>0</v>
      </c>
      <c r="AA16" s="171">
        <f>SUMIF('CF(M)'!$L$10:$EQ$10,AA$6,'CF(M)'!$L21:$EQ21)</f>
        <v>0</v>
      </c>
      <c r="AB16" s="171">
        <f>SUMIF('CF(M)'!$L$10:$EQ$10,AB$6,'CF(M)'!$L21:$EQ21)</f>
        <v>0</v>
      </c>
      <c r="AC16" s="171">
        <f>SUMIF('CF(M)'!$L$10:$EQ$10,AC$6,'CF(M)'!$L21:$EQ21)</f>
        <v>0</v>
      </c>
      <c r="AD16" s="171">
        <f>SUMIF('CF(M)'!$L$10:$EQ$10,AD$6,'CF(M)'!$L21:$EQ21)</f>
        <v>0</v>
      </c>
      <c r="AE16" s="171">
        <f>SUMIF('CF(M)'!$L$10:$EQ$10,AE$6,'CF(M)'!$L21:$EQ21)</f>
        <v>0</v>
      </c>
      <c r="AF16" s="171">
        <f>SUMIF('CF(M)'!$L$10:$EQ$10,AF$6,'CF(M)'!$L21:$EQ21)</f>
        <v>0</v>
      </c>
      <c r="AG16" s="171">
        <f>SUMIF('CF(M)'!$L$10:$EQ$10,AG$6,'CF(M)'!$L21:$EQ21)</f>
        <v>0</v>
      </c>
      <c r="AH16" s="171">
        <f>SUMIF('CF(M)'!$L$10:$EQ$10,AH$6,'CF(M)'!$L21:$EQ21)</f>
        <v>0</v>
      </c>
      <c r="AI16" s="171">
        <f>SUMIF('CF(M)'!$L$10:$EQ$10,AI$6,'CF(M)'!$L21:$EQ21)</f>
        <v>0</v>
      </c>
      <c r="AJ16" s="171">
        <f>SUMIF('CF(M)'!$L$10:$EQ$10,AJ$6,'CF(M)'!$L21:$EQ21)</f>
        <v>0</v>
      </c>
      <c r="AK16" s="171">
        <f>SUMIF('CF(M)'!$L$10:$EQ$10,AK$6,'CF(M)'!$L21:$EQ21)</f>
        <v>0</v>
      </c>
      <c r="AL16" s="171">
        <f>SUMIF('CF(M)'!$L$10:$EQ$10,AL$6,'CF(M)'!$L21:$EQ21)</f>
        <v>0</v>
      </c>
      <c r="AM16" s="171">
        <f>SUMIF('CF(M)'!$L$10:$EQ$10,AM$6,'CF(M)'!$L21:$EQ21)</f>
        <v>0</v>
      </c>
      <c r="AN16" s="171">
        <f>SUMIF('CF(M)'!$L$10:$EQ$10,AN$6,'CF(M)'!$L21:$EQ21)</f>
        <v>0</v>
      </c>
      <c r="AO16" s="171">
        <f>SUMIF('CF(M)'!$L$10:$EQ$10,AO$6,'CF(M)'!$L21:$EQ21)</f>
        <v>0</v>
      </c>
      <c r="AP16" s="171">
        <f>SUMIF('CF(M)'!$L$10:$EQ$10,AP$6,'CF(M)'!$L21:$EQ21)</f>
        <v>0</v>
      </c>
      <c r="AQ16" s="171">
        <f>SUMIF('CF(M)'!$L$10:$EQ$10,AQ$6,'CF(M)'!$L21:$EQ21)</f>
        <v>0</v>
      </c>
      <c r="AR16" s="171">
        <f>SUMIF('CF(M)'!$L$10:$EQ$10,AR$6,'CF(M)'!$L21:$EQ21)</f>
        <v>0</v>
      </c>
      <c r="AS16" s="171">
        <f>SUMIF('CF(M)'!$L$10:$EQ$10,AS$6,'CF(M)'!$L21:$EQ21)</f>
        <v>0</v>
      </c>
      <c r="AT16" s="171">
        <f>SUMIF('CF(M)'!$L$10:$EQ$10,AT$6,'CF(M)'!$L21:$EQ21)</f>
        <v>0</v>
      </c>
      <c r="AU16" s="171">
        <f>SUMIF('CF(M)'!$L$10:$EQ$10,AU$6,'CF(M)'!$L21:$EQ21)</f>
        <v>0</v>
      </c>
      <c r="AV16" s="171">
        <f>SUMIF('CF(M)'!$L$10:$EQ$10,AV$6,'CF(M)'!$L21:$EQ21)</f>
        <v>0</v>
      </c>
      <c r="AW16" s="171">
        <f>SUMIF('CF(M)'!$L$10:$EQ$10,AW$6,'CF(M)'!$L21:$EQ21)</f>
        <v>0</v>
      </c>
      <c r="AX16" s="171">
        <f>SUMIF('CF(M)'!$L$10:$EQ$10,AX$6,'CF(M)'!$L21:$EQ21)</f>
        <v>0</v>
      </c>
      <c r="AY16" s="171">
        <f>SUMIF('CF(M)'!$L$10:$EQ$10,AY$6,'CF(M)'!$L21:$EQ21)</f>
        <v>0</v>
      </c>
      <c r="AZ16" s="171">
        <f>SUMIF('CF(M)'!$L$10:$EQ$10,AZ$6,'CF(M)'!$L21:$EQ21)</f>
        <v>0</v>
      </c>
      <c r="BA16" s="171">
        <f>SUMIF('CF(M)'!$L$10:$EQ$10,BA$6,'CF(M)'!$L21:$EQ21)</f>
        <v>0</v>
      </c>
      <c r="BB16" s="171">
        <f>SUMIF('CF(M)'!$L$10:$EQ$10,BB$6,'CF(M)'!$L21:$EQ21)</f>
        <v>0</v>
      </c>
      <c r="BC16" s="171">
        <f>SUMIF('CF(M)'!$L$10:$EQ$10,BC$6,'CF(M)'!$L21:$EQ21)</f>
        <v>0</v>
      </c>
      <c r="BD16" s="171">
        <f>SUMIF('CF(M)'!$L$10:$EQ$10,BD$6,'CF(M)'!$L21:$EQ21)</f>
        <v>0</v>
      </c>
      <c r="BE16" s="171">
        <f>SUMIF('CF(M)'!$L$10:$EQ$10,BE$6,'CF(M)'!$L21:$EQ21)</f>
        <v>0</v>
      </c>
      <c r="BF16" s="171">
        <f>SUMIF('CF(M)'!$L$10:$EQ$10,BF$6,'CF(M)'!$L21:$EQ21)</f>
        <v>0</v>
      </c>
      <c r="BG16" s="171">
        <f>SUMIF('CF(M)'!$L$10:$EQ$10,BG$6,'CF(M)'!$L21:$EQ21)</f>
        <v>0</v>
      </c>
      <c r="BH16" s="171">
        <f>SUMIF('CF(M)'!$L$10:$EQ$10,BH$6,'CF(M)'!$L21:$EQ21)</f>
        <v>0</v>
      </c>
      <c r="BI16" s="171">
        <f>SUMIF('CF(M)'!$L$10:$EQ$10,BI$6,'CF(M)'!$L21:$EQ21)</f>
        <v>0</v>
      </c>
      <c r="BJ16" s="171">
        <f>SUMIF('CF(M)'!$L$10:$EQ$10,BJ$6,'CF(M)'!$L21:$EQ21)</f>
        <v>0</v>
      </c>
      <c r="BK16" s="171">
        <f>SUMIF('CF(M)'!$L$10:$EQ$10,BK$6,'CF(M)'!$L21:$EQ21)</f>
        <v>0</v>
      </c>
      <c r="BL16" s="171">
        <f>SUMIF('CF(M)'!$L$10:$EQ$10,BL$6,'CF(M)'!$L21:$EQ21)</f>
        <v>0</v>
      </c>
      <c r="BM16" s="171">
        <f>SUMIF('CF(M)'!$L$10:$EQ$10,BM$6,'CF(M)'!$L21:$EQ21)</f>
        <v>0</v>
      </c>
      <c r="BN16" s="171">
        <f>SUMIF('CF(M)'!$L$10:$EQ$10,BN$6,'CF(M)'!$L21:$EQ21)</f>
        <v>0</v>
      </c>
      <c r="BO16" s="171">
        <f>SUMIF('CF(M)'!$L$10:$EQ$10,BO$6,'CF(M)'!$L21:$EQ21)</f>
        <v>0</v>
      </c>
      <c r="BP16" s="171">
        <f>SUMIF('CF(M)'!$L$10:$EQ$10,BP$6,'CF(M)'!$L21:$EQ21)</f>
        <v>0</v>
      </c>
      <c r="BQ16" s="171">
        <f>SUMIF('CF(M)'!$L$10:$EQ$10,BQ$6,'CF(M)'!$L21:$EQ21)</f>
        <v>0</v>
      </c>
      <c r="BR16" s="171">
        <f>SUMIF('CF(M)'!$L$10:$EQ$10,BR$6,'CF(M)'!$L21:$EQ21)</f>
        <v>0</v>
      </c>
      <c r="BS16" s="171">
        <f>SUMIF('CF(M)'!$L$10:$EQ$10,BS$6,'CF(M)'!$L21:$EQ21)</f>
        <v>0</v>
      </c>
      <c r="BT16" s="171">
        <f>SUMIF('CF(M)'!$L$10:$EQ$10,BT$6,'CF(M)'!$L21:$EQ21)</f>
        <v>0</v>
      </c>
      <c r="BU16" s="171">
        <f>SUMIF('CF(M)'!$L$10:$EQ$10,BU$6,'CF(M)'!$L21:$EQ21)</f>
        <v>0</v>
      </c>
      <c r="BV16" s="171">
        <f>SUMIF('CF(M)'!$L$10:$EQ$10,BV$6,'CF(M)'!$L21:$EQ21)</f>
        <v>0</v>
      </c>
      <c r="BW16" s="171">
        <f>SUMIF('CF(M)'!$L$10:$EQ$10,BW$6,'CF(M)'!$L21:$EQ21)</f>
        <v>0</v>
      </c>
      <c r="BX16" s="171">
        <f>SUMIF('CF(M)'!$L$10:$EQ$10,BX$6,'CF(M)'!$L21:$EQ21)</f>
        <v>0</v>
      </c>
      <c r="BY16" s="171">
        <f>SUMIF('CF(M)'!$L$10:$EQ$10,BY$6,'CF(M)'!$L21:$EQ21)</f>
        <v>0</v>
      </c>
      <c r="BZ16" s="171">
        <f>SUMIF('CF(M)'!$L$10:$EQ$10,BZ$6,'CF(M)'!$L21:$EQ21)</f>
        <v>0</v>
      </c>
      <c r="CA16" s="171">
        <f>SUMIF('CF(M)'!$L$10:$EQ$10,CA$6,'CF(M)'!$L21:$EQ21)</f>
        <v>0</v>
      </c>
      <c r="CB16" s="171">
        <f>SUMIF('CF(M)'!$L$10:$EQ$10,CB$6,'CF(M)'!$L21:$EQ21)</f>
        <v>0</v>
      </c>
      <c r="CC16" s="171">
        <f>SUMIF('CF(M)'!$L$10:$EQ$10,CC$6,'CF(M)'!$L21:$EQ21)</f>
        <v>0</v>
      </c>
      <c r="CD16" s="171">
        <f>SUMIF('CF(M)'!$L$10:$EQ$10,CD$6,'CF(M)'!$L21:$EQ21)</f>
        <v>0</v>
      </c>
      <c r="CE16" s="171">
        <f>SUMIF('CF(M)'!$L$10:$EQ$10,CE$6,'CF(M)'!$L21:$EQ21)</f>
        <v>0</v>
      </c>
      <c r="CF16" s="171">
        <f>SUMIF('CF(M)'!$L$10:$EQ$10,CF$6,'CF(M)'!$L21:$EQ21)</f>
        <v>0</v>
      </c>
      <c r="CG16" s="171">
        <f>SUMIF('CF(M)'!$L$10:$EQ$10,CG$6,'CF(M)'!$L21:$EQ21)</f>
        <v>0</v>
      </c>
      <c r="CH16" s="171">
        <f>SUMIF('CF(M)'!$L$10:$EQ$10,CH$6,'CF(M)'!$L21:$EQ21)</f>
        <v>0</v>
      </c>
      <c r="CI16" s="171">
        <f>SUMIF('CF(M)'!$L$10:$EQ$10,CI$6,'CF(M)'!$L21:$EQ21)</f>
        <v>0</v>
      </c>
      <c r="CJ16" s="171">
        <f>SUMIF('CF(M)'!$L$10:$EQ$10,CJ$6,'CF(M)'!$L21:$EQ21)</f>
        <v>0</v>
      </c>
      <c r="CK16" s="171">
        <f>SUMIF('CF(M)'!$L$10:$EQ$10,CK$6,'CF(M)'!$L21:$EQ21)</f>
        <v>0</v>
      </c>
      <c r="CL16" s="171">
        <f>SUMIF('CF(M)'!$L$10:$EQ$10,CL$6,'CF(M)'!$L21:$EQ21)</f>
        <v>0</v>
      </c>
      <c r="CM16" s="171">
        <f>SUMIF('CF(M)'!$L$10:$EQ$10,CM$6,'CF(M)'!$L21:$EQ21)</f>
        <v>0</v>
      </c>
      <c r="CN16" s="171">
        <f>SUMIF('CF(M)'!$L$10:$EQ$10,CN$6,'CF(M)'!$L21:$EQ21)</f>
        <v>0</v>
      </c>
      <c r="CO16" s="171">
        <f>SUMIF('CF(M)'!$L$10:$EQ$10,CO$6,'CF(M)'!$L21:$EQ21)</f>
        <v>0</v>
      </c>
      <c r="CP16" s="171">
        <f>SUMIF('CF(M)'!$L$10:$EQ$10,CP$6,'CF(M)'!$L21:$EQ21)</f>
        <v>0</v>
      </c>
      <c r="CQ16" s="171">
        <f>SUMIF('CF(M)'!$L$10:$EQ$10,CQ$6,'CF(M)'!$L21:$EQ21)</f>
        <v>0</v>
      </c>
      <c r="CR16" s="171">
        <f>SUMIF('CF(M)'!$L$10:$EQ$10,CR$6,'CF(M)'!$L21:$EQ21)</f>
        <v>0</v>
      </c>
      <c r="CS16" s="171">
        <f>SUMIF('CF(M)'!$L$10:$EQ$10,CS$6,'CF(M)'!$L21:$EQ21)</f>
        <v>0</v>
      </c>
      <c r="CT16" s="171">
        <f>SUMIF('CF(M)'!$L$10:$EQ$10,CT$6,'CF(M)'!$L21:$EQ21)</f>
        <v>0</v>
      </c>
      <c r="CU16" s="171">
        <f>SUMIF('CF(M)'!$L$10:$EQ$10,CU$6,'CF(M)'!$L21:$EQ21)</f>
        <v>0</v>
      </c>
      <c r="CV16" s="171">
        <f>SUMIF('CF(M)'!$L$10:$EQ$10,CV$6,'CF(M)'!$L21:$EQ21)</f>
        <v>0</v>
      </c>
      <c r="CW16" s="171">
        <f>SUMIF('CF(M)'!$L$10:$EQ$10,CW$6,'CF(M)'!$L21:$EQ21)</f>
        <v>0</v>
      </c>
      <c r="CX16" s="171">
        <f>SUMIF('CF(M)'!$L$10:$EQ$10,CX$6,'CF(M)'!$L21:$EQ21)</f>
        <v>0</v>
      </c>
      <c r="CY16" s="171">
        <f>SUMIF('CF(M)'!$L$10:$EQ$10,CY$6,'CF(M)'!$L21:$EQ21)</f>
        <v>0</v>
      </c>
      <c r="CZ16" s="171">
        <f>SUMIF('CF(M)'!$L$10:$EQ$10,CZ$6,'CF(M)'!$L21:$EQ21)</f>
        <v>0</v>
      </c>
      <c r="DA16" s="171">
        <f>SUMIF('CF(M)'!$L$10:$EQ$10,DA$6,'CF(M)'!$L21:$EQ21)</f>
        <v>0</v>
      </c>
      <c r="DB16" s="171">
        <f>SUMIF('CF(M)'!$L$10:$EQ$10,DB$6,'CF(M)'!$L21:$EQ21)</f>
        <v>0</v>
      </c>
      <c r="DC16" s="171">
        <f>SUMIF('CF(M)'!$L$10:$EQ$10,DC$6,'CF(M)'!$L21:$EQ21)</f>
        <v>0</v>
      </c>
      <c r="DD16" s="171">
        <f>SUMIF('CF(M)'!$L$10:$EQ$10,DD$6,'CF(M)'!$L21:$EQ21)</f>
        <v>0</v>
      </c>
      <c r="DE16" s="171">
        <f>SUMIF('CF(M)'!$L$10:$EQ$10,DE$6,'CF(M)'!$L21:$EQ21)</f>
        <v>0</v>
      </c>
      <c r="DF16" s="171">
        <f>SUMIF('CF(M)'!$L$10:$EQ$10,DF$6,'CF(M)'!$L21:$EQ21)</f>
        <v>0</v>
      </c>
      <c r="DG16" s="171">
        <f>SUMIF('CF(M)'!$L$10:$EQ$10,DG$6,'CF(M)'!$L21:$EQ21)</f>
        <v>0</v>
      </c>
      <c r="DH16" s="171">
        <f>SUMIF('CF(M)'!$L$10:$EQ$10,DH$6,'CF(M)'!$L21:$EQ21)</f>
        <v>0</v>
      </c>
      <c r="DI16" s="171">
        <f>SUMIF('CF(M)'!$L$10:$EQ$10,DI$6,'CF(M)'!$L21:$EQ21)</f>
        <v>0</v>
      </c>
      <c r="DJ16" s="171">
        <f>SUMIF('CF(M)'!$L$10:$EQ$10,DJ$6,'CF(M)'!$L21:$EQ21)</f>
        <v>0</v>
      </c>
      <c r="DK16" s="171">
        <f>SUMIF('CF(M)'!$L$10:$EQ$10,DK$6,'CF(M)'!$L21:$EQ21)</f>
        <v>0</v>
      </c>
      <c r="DL16" s="171">
        <f>SUMIF('CF(M)'!$L$10:$EQ$10,DL$6,'CF(M)'!$L21:$EQ21)</f>
        <v>0</v>
      </c>
      <c r="DM16" s="171">
        <f>SUMIF('CF(M)'!$L$10:$EQ$10,DM$6,'CF(M)'!$L21:$EQ21)</f>
        <v>0</v>
      </c>
      <c r="DN16" s="171">
        <f>SUMIF('CF(M)'!$L$10:$EQ$10,DN$6,'CF(M)'!$L21:$EQ21)</f>
        <v>0</v>
      </c>
      <c r="DO16" s="171">
        <f>SUMIF('CF(M)'!$L$10:$EQ$10,DO$6,'CF(M)'!$L21:$EQ21)</f>
        <v>0</v>
      </c>
      <c r="DP16" s="171">
        <f>SUMIF('CF(M)'!$L$10:$EQ$10,DP$6,'CF(M)'!$L21:$EQ21)</f>
        <v>0</v>
      </c>
      <c r="DQ16" s="171">
        <f>SUMIF('CF(M)'!$L$10:$EQ$10,DQ$6,'CF(M)'!$L21:$EQ21)</f>
        <v>0</v>
      </c>
      <c r="DR16" s="171">
        <f>SUMIF('CF(M)'!$L$10:$EQ$10,DR$6,'CF(M)'!$L21:$EQ21)</f>
        <v>0</v>
      </c>
      <c r="DS16" s="171">
        <f>SUMIF('CF(M)'!$L$10:$EQ$10,DS$6,'CF(M)'!$L21:$EQ21)</f>
        <v>0</v>
      </c>
      <c r="DT16" s="171">
        <f>SUMIF('CF(M)'!$L$10:$EQ$10,DT$6,'CF(M)'!$L21:$EQ21)</f>
        <v>0</v>
      </c>
      <c r="DU16" s="171">
        <f>SUMIF('CF(M)'!$L$10:$EQ$10,DU$6,'CF(M)'!$L21:$EQ21)</f>
        <v>0</v>
      </c>
      <c r="DV16" s="171">
        <f>SUMIF('CF(M)'!$L$10:$EQ$10,DV$6,'CF(M)'!$L21:$EQ21)</f>
        <v>0</v>
      </c>
    </row>
    <row r="17" spans="2:126" ht="11.25" customHeight="1">
      <c r="B17" s="218"/>
      <c r="C17" s="158" t="s">
        <v>188</v>
      </c>
      <c r="D17" s="159"/>
      <c r="E17" s="159"/>
      <c r="F17" s="159"/>
      <c r="G17" s="159"/>
      <c r="H17" s="160"/>
      <c r="I17" s="219"/>
      <c r="J17" s="220">
        <f ca="1">SUM(J18:J28)</f>
        <v>-23206747.133190528</v>
      </c>
      <c r="K17" s="98"/>
      <c r="L17" s="162">
        <f ca="1">SUM(L18:L28)</f>
        <v>0</v>
      </c>
      <c r="M17" s="162">
        <f t="shared" ref="M17:BX17" ca="1" si="9">SUM(M18:M28)</f>
        <v>-1149208.9804315667</v>
      </c>
      <c r="N17" s="162">
        <f t="shared" ca="1" si="9"/>
        <v>-890577.05043156655</v>
      </c>
      <c r="O17" s="162">
        <f t="shared" ca="1" si="9"/>
        <v>-1238588.7446438095</v>
      </c>
      <c r="P17" s="162">
        <f t="shared" ca="1" si="9"/>
        <v>-979795.02688547585</v>
      </c>
      <c r="Q17" s="162">
        <f t="shared" ca="1" si="9"/>
        <v>-1233901.7609669634</v>
      </c>
      <c r="R17" s="162">
        <f t="shared" ca="1" si="9"/>
        <v>-1053821.0298840075</v>
      </c>
      <c r="S17" s="162">
        <f t="shared" ca="1" si="9"/>
        <v>-1272897.6467462101</v>
      </c>
      <c r="T17" s="162">
        <f t="shared" ca="1" si="9"/>
        <v>-991923.17831094773</v>
      </c>
      <c r="U17" s="162">
        <f t="shared" ca="1" si="9"/>
        <v>-1225983.6222323405</v>
      </c>
      <c r="V17" s="162">
        <f t="shared" ca="1" si="9"/>
        <v>-997624.17446588865</v>
      </c>
      <c r="W17" s="162">
        <f t="shared" ca="1" si="9"/>
        <v>-1222748.7508972653</v>
      </c>
      <c r="X17" s="162">
        <f t="shared" ca="1" si="9"/>
        <v>-1004204.5936262048</v>
      </c>
      <c r="Y17" s="162">
        <f t="shared" ca="1" si="9"/>
        <v>-1219994.5218858479</v>
      </c>
      <c r="Z17" s="162">
        <f t="shared" ca="1" si="9"/>
        <v>-1011109.2917737382</v>
      </c>
      <c r="AA17" s="162">
        <f t="shared" ca="1" si="9"/>
        <v>-1217719.5576671751</v>
      </c>
      <c r="AB17" s="162">
        <f t="shared" ca="1" si="9"/>
        <v>-1695880.0662192791</v>
      </c>
      <c r="AC17" s="162">
        <f t="shared" ca="1" si="9"/>
        <v>-1307013.0464615957</v>
      </c>
      <c r="AD17" s="162">
        <f t="shared" ca="1" si="9"/>
        <v>-1026537.6888088309</v>
      </c>
      <c r="AE17" s="162">
        <f t="shared" ca="1" si="9"/>
        <v>-1214602.8679305564</v>
      </c>
      <c r="AF17" s="162">
        <f t="shared" ca="1" si="9"/>
        <v>-1252615.5329212609</v>
      </c>
      <c r="AG17" s="162">
        <f t="shared" ca="1" si="9"/>
        <v>0</v>
      </c>
      <c r="AH17" s="162">
        <f t="shared" ca="1" si="9"/>
        <v>0</v>
      </c>
      <c r="AI17" s="162">
        <f t="shared" ca="1" si="9"/>
        <v>0</v>
      </c>
      <c r="AJ17" s="162">
        <f t="shared" si="9"/>
        <v>0</v>
      </c>
      <c r="AK17" s="162">
        <f t="shared" si="9"/>
        <v>0</v>
      </c>
      <c r="AL17" s="162">
        <f t="shared" si="9"/>
        <v>0</v>
      </c>
      <c r="AM17" s="162">
        <f t="shared" si="9"/>
        <v>0</v>
      </c>
      <c r="AN17" s="162">
        <f t="shared" si="9"/>
        <v>0</v>
      </c>
      <c r="AO17" s="162">
        <f t="shared" si="9"/>
        <v>0</v>
      </c>
      <c r="AP17" s="162">
        <f t="shared" si="9"/>
        <v>0</v>
      </c>
      <c r="AQ17" s="162">
        <f t="shared" si="9"/>
        <v>0</v>
      </c>
      <c r="AR17" s="162">
        <f t="shared" si="9"/>
        <v>0</v>
      </c>
      <c r="AS17" s="162">
        <f t="shared" si="9"/>
        <v>0</v>
      </c>
      <c r="AT17" s="162">
        <f t="shared" si="9"/>
        <v>0</v>
      </c>
      <c r="AU17" s="162">
        <f t="shared" si="9"/>
        <v>0</v>
      </c>
      <c r="AV17" s="162">
        <f t="shared" si="9"/>
        <v>0</v>
      </c>
      <c r="AW17" s="162">
        <f t="shared" si="9"/>
        <v>0</v>
      </c>
      <c r="AX17" s="162">
        <f t="shared" si="9"/>
        <v>0</v>
      </c>
      <c r="AY17" s="162">
        <f t="shared" si="9"/>
        <v>0</v>
      </c>
      <c r="AZ17" s="162">
        <f t="shared" si="9"/>
        <v>0</v>
      </c>
      <c r="BA17" s="162">
        <f t="shared" si="9"/>
        <v>0</v>
      </c>
      <c r="BB17" s="162">
        <f t="shared" si="9"/>
        <v>0</v>
      </c>
      <c r="BC17" s="162">
        <f t="shared" si="9"/>
        <v>0</v>
      </c>
      <c r="BD17" s="162">
        <f t="shared" si="9"/>
        <v>0</v>
      </c>
      <c r="BE17" s="162">
        <f t="shared" si="9"/>
        <v>0</v>
      </c>
      <c r="BF17" s="162">
        <f t="shared" si="9"/>
        <v>0</v>
      </c>
      <c r="BG17" s="162">
        <f t="shared" si="9"/>
        <v>0</v>
      </c>
      <c r="BH17" s="162">
        <f t="shared" si="9"/>
        <v>0</v>
      </c>
      <c r="BI17" s="162">
        <f t="shared" si="9"/>
        <v>0</v>
      </c>
      <c r="BJ17" s="162">
        <f t="shared" si="9"/>
        <v>0</v>
      </c>
      <c r="BK17" s="162">
        <f t="shared" si="9"/>
        <v>0</v>
      </c>
      <c r="BL17" s="162">
        <f t="shared" si="9"/>
        <v>0</v>
      </c>
      <c r="BM17" s="162">
        <f t="shared" si="9"/>
        <v>0</v>
      </c>
      <c r="BN17" s="162">
        <f t="shared" si="9"/>
        <v>0</v>
      </c>
      <c r="BO17" s="162">
        <f t="shared" si="9"/>
        <v>0</v>
      </c>
      <c r="BP17" s="162">
        <f t="shared" si="9"/>
        <v>0</v>
      </c>
      <c r="BQ17" s="162">
        <f t="shared" si="9"/>
        <v>0</v>
      </c>
      <c r="BR17" s="162">
        <f t="shared" si="9"/>
        <v>0</v>
      </c>
      <c r="BS17" s="162">
        <f t="shared" si="9"/>
        <v>0</v>
      </c>
      <c r="BT17" s="162">
        <f t="shared" si="9"/>
        <v>0</v>
      </c>
      <c r="BU17" s="162">
        <f t="shared" si="9"/>
        <v>0</v>
      </c>
      <c r="BV17" s="162">
        <f t="shared" si="9"/>
        <v>0</v>
      </c>
      <c r="BW17" s="162">
        <f t="shared" si="9"/>
        <v>0</v>
      </c>
      <c r="BX17" s="162">
        <f t="shared" si="9"/>
        <v>0</v>
      </c>
      <c r="BY17" s="162">
        <f t="shared" ref="BY17:DV17" si="10">SUM(BY18:BY28)</f>
        <v>0</v>
      </c>
      <c r="BZ17" s="162">
        <f t="shared" si="10"/>
        <v>0</v>
      </c>
      <c r="CA17" s="162">
        <f t="shared" si="10"/>
        <v>0</v>
      </c>
      <c r="CB17" s="162">
        <f t="shared" si="10"/>
        <v>0</v>
      </c>
      <c r="CC17" s="162">
        <f t="shared" si="10"/>
        <v>0</v>
      </c>
      <c r="CD17" s="162">
        <f t="shared" si="10"/>
        <v>0</v>
      </c>
      <c r="CE17" s="162">
        <f t="shared" si="10"/>
        <v>0</v>
      </c>
      <c r="CF17" s="162">
        <f t="shared" si="10"/>
        <v>0</v>
      </c>
      <c r="CG17" s="162">
        <f t="shared" si="10"/>
        <v>0</v>
      </c>
      <c r="CH17" s="162">
        <f t="shared" si="10"/>
        <v>0</v>
      </c>
      <c r="CI17" s="162">
        <f t="shared" si="10"/>
        <v>0</v>
      </c>
      <c r="CJ17" s="162">
        <f t="shared" si="10"/>
        <v>0</v>
      </c>
      <c r="CK17" s="162">
        <f t="shared" si="10"/>
        <v>0</v>
      </c>
      <c r="CL17" s="162">
        <f t="shared" si="10"/>
        <v>0</v>
      </c>
      <c r="CM17" s="162">
        <f t="shared" si="10"/>
        <v>0</v>
      </c>
      <c r="CN17" s="162">
        <f t="shared" si="10"/>
        <v>0</v>
      </c>
      <c r="CO17" s="162">
        <f t="shared" si="10"/>
        <v>0</v>
      </c>
      <c r="CP17" s="162">
        <f t="shared" si="10"/>
        <v>0</v>
      </c>
      <c r="CQ17" s="162">
        <f t="shared" si="10"/>
        <v>0</v>
      </c>
      <c r="CR17" s="162">
        <f t="shared" si="10"/>
        <v>0</v>
      </c>
      <c r="CS17" s="162">
        <f t="shared" si="10"/>
        <v>0</v>
      </c>
      <c r="CT17" s="162">
        <f t="shared" si="10"/>
        <v>0</v>
      </c>
      <c r="CU17" s="162">
        <f t="shared" si="10"/>
        <v>0</v>
      </c>
      <c r="CV17" s="162">
        <f t="shared" si="10"/>
        <v>0</v>
      </c>
      <c r="CW17" s="162">
        <f t="shared" si="10"/>
        <v>0</v>
      </c>
      <c r="CX17" s="162">
        <f t="shared" si="10"/>
        <v>0</v>
      </c>
      <c r="CY17" s="162">
        <f t="shared" si="10"/>
        <v>0</v>
      </c>
      <c r="CZ17" s="162">
        <f t="shared" si="10"/>
        <v>0</v>
      </c>
      <c r="DA17" s="162">
        <f t="shared" si="10"/>
        <v>0</v>
      </c>
      <c r="DB17" s="162">
        <f t="shared" si="10"/>
        <v>0</v>
      </c>
      <c r="DC17" s="162">
        <f t="shared" si="10"/>
        <v>0</v>
      </c>
      <c r="DD17" s="162">
        <f t="shared" si="10"/>
        <v>0</v>
      </c>
      <c r="DE17" s="162">
        <f t="shared" si="10"/>
        <v>0</v>
      </c>
      <c r="DF17" s="162">
        <f t="shared" si="10"/>
        <v>0</v>
      </c>
      <c r="DG17" s="162">
        <f t="shared" si="10"/>
        <v>0</v>
      </c>
      <c r="DH17" s="162">
        <f t="shared" si="10"/>
        <v>0</v>
      </c>
      <c r="DI17" s="162">
        <f t="shared" si="10"/>
        <v>0</v>
      </c>
      <c r="DJ17" s="162">
        <f t="shared" si="10"/>
        <v>0</v>
      </c>
      <c r="DK17" s="162">
        <f t="shared" si="10"/>
        <v>0</v>
      </c>
      <c r="DL17" s="162">
        <f t="shared" si="10"/>
        <v>0</v>
      </c>
      <c r="DM17" s="162">
        <f t="shared" si="10"/>
        <v>0</v>
      </c>
      <c r="DN17" s="162">
        <f t="shared" si="10"/>
        <v>0</v>
      </c>
      <c r="DO17" s="162">
        <f t="shared" si="10"/>
        <v>0</v>
      </c>
      <c r="DP17" s="162">
        <f t="shared" si="10"/>
        <v>0</v>
      </c>
      <c r="DQ17" s="162">
        <f t="shared" si="10"/>
        <v>0</v>
      </c>
      <c r="DR17" s="162">
        <f t="shared" si="10"/>
        <v>0</v>
      </c>
      <c r="DS17" s="162">
        <f t="shared" si="10"/>
        <v>0</v>
      </c>
      <c r="DT17" s="162">
        <f t="shared" si="10"/>
        <v>0</v>
      </c>
      <c r="DU17" s="162">
        <f t="shared" si="10"/>
        <v>0</v>
      </c>
      <c r="DV17" s="162">
        <f t="shared" si="10"/>
        <v>0</v>
      </c>
    </row>
    <row r="18" spans="2:126" ht="11.25" customHeight="1">
      <c r="B18" s="218"/>
      <c r="C18" s="163"/>
      <c r="D18" s="164" t="s">
        <v>73</v>
      </c>
      <c r="E18" s="165"/>
      <c r="F18" s="165"/>
      <c r="G18" s="165"/>
      <c r="H18" s="166"/>
      <c r="I18" s="221"/>
      <c r="J18" s="168">
        <f t="shared" si="8"/>
        <v>-642163.3001006</v>
      </c>
      <c r="K18" s="98"/>
      <c r="L18" s="168">
        <f>SUMIF('CF(M)'!$L$10:$EQ$10,L$6,'CF(M)'!$L23:$EQ23)</f>
        <v>0</v>
      </c>
      <c r="M18" s="168">
        <f>SUMIF('CF(M)'!$L$10:$EQ$10,M$6,'CF(M)'!$L23:$EQ23)</f>
        <v>-30000</v>
      </c>
      <c r="N18" s="168">
        <f>SUMIF('CF(M)'!$L$10:$EQ$10,N$6,'CF(M)'!$L23:$EQ23)</f>
        <v>-30000</v>
      </c>
      <c r="O18" s="168">
        <f>SUMIF('CF(M)'!$L$10:$EQ$10,O$6,'CF(M)'!$L23:$EQ23)</f>
        <v>-30449.999999999996</v>
      </c>
      <c r="P18" s="168">
        <f>SUMIF('CF(M)'!$L$10:$EQ$10,P$6,'CF(M)'!$L23:$EQ23)</f>
        <v>-30449.999999999996</v>
      </c>
      <c r="Q18" s="168">
        <f>SUMIF('CF(M)'!$L$10:$EQ$10,Q$6,'CF(M)'!$L23:$EQ23)</f>
        <v>-30906.749999999993</v>
      </c>
      <c r="R18" s="168">
        <f>SUMIF('CF(M)'!$L$10:$EQ$10,R$6,'CF(M)'!$L23:$EQ23)</f>
        <v>-30906.749999999993</v>
      </c>
      <c r="S18" s="168">
        <f>SUMIF('CF(M)'!$L$10:$EQ$10,S$6,'CF(M)'!$L23:$EQ23)</f>
        <v>-31370.351249999989</v>
      </c>
      <c r="T18" s="168">
        <f>SUMIF('CF(M)'!$L$10:$EQ$10,T$6,'CF(M)'!$L23:$EQ23)</f>
        <v>-31370.351249999989</v>
      </c>
      <c r="U18" s="168">
        <f>SUMIF('CF(M)'!$L$10:$EQ$10,U$6,'CF(M)'!$L23:$EQ23)</f>
        <v>-31840.906518749984</v>
      </c>
      <c r="V18" s="168">
        <f>SUMIF('CF(M)'!$L$10:$EQ$10,V$6,'CF(M)'!$L23:$EQ23)</f>
        <v>-31840.906518749984</v>
      </c>
      <c r="W18" s="168">
        <f>SUMIF('CF(M)'!$L$10:$EQ$10,W$6,'CF(M)'!$L23:$EQ23)</f>
        <v>-32318.520116531228</v>
      </c>
      <c r="X18" s="168">
        <f>SUMIF('CF(M)'!$L$10:$EQ$10,X$6,'CF(M)'!$L23:$EQ23)</f>
        <v>-32318.520116531228</v>
      </c>
      <c r="Y18" s="168">
        <f>SUMIF('CF(M)'!$L$10:$EQ$10,Y$6,'CF(M)'!$L23:$EQ23)</f>
        <v>-32803.29791827919</v>
      </c>
      <c r="Z18" s="168">
        <f>SUMIF('CF(M)'!$L$10:$EQ$10,Z$6,'CF(M)'!$L23:$EQ23)</f>
        <v>-32803.29791827919</v>
      </c>
      <c r="AA18" s="168">
        <f>SUMIF('CF(M)'!$L$10:$EQ$10,AA$6,'CF(M)'!$L23:$EQ23)</f>
        <v>-33295.347387053371</v>
      </c>
      <c r="AB18" s="168">
        <f>SUMIF('CF(M)'!$L$10:$EQ$10,AB$6,'CF(M)'!$L23:$EQ23)</f>
        <v>-33295.347387053371</v>
      </c>
      <c r="AC18" s="168">
        <f>SUMIF('CF(M)'!$L$10:$EQ$10,AC$6,'CF(M)'!$L23:$EQ23)</f>
        <v>-33794.777597859174</v>
      </c>
      <c r="AD18" s="168">
        <f>SUMIF('CF(M)'!$L$10:$EQ$10,AD$6,'CF(M)'!$L23:$EQ23)</f>
        <v>-33794.777597859174</v>
      </c>
      <c r="AE18" s="168">
        <f>SUMIF('CF(M)'!$L$10:$EQ$10,AE$6,'CF(M)'!$L23:$EQ23)</f>
        <v>-34301.699261827052</v>
      </c>
      <c r="AF18" s="168">
        <f>SUMIF('CF(M)'!$L$10:$EQ$10,AF$6,'CF(M)'!$L23:$EQ23)</f>
        <v>-34301.699261827052</v>
      </c>
      <c r="AG18" s="168">
        <f>SUMIF('CF(M)'!$L$10:$EQ$10,AG$6,'CF(M)'!$L23:$EQ23)</f>
        <v>0</v>
      </c>
      <c r="AH18" s="168">
        <f>SUMIF('CF(M)'!$L$10:$EQ$10,AH$6,'CF(M)'!$L23:$EQ23)</f>
        <v>0</v>
      </c>
      <c r="AI18" s="168">
        <f>SUMIF('CF(M)'!$L$10:$EQ$10,AI$6,'CF(M)'!$L23:$EQ23)</f>
        <v>0</v>
      </c>
      <c r="AJ18" s="168">
        <f>SUMIF('CF(M)'!$L$10:$EQ$10,AJ$6,'CF(M)'!$L23:$EQ23)</f>
        <v>0</v>
      </c>
      <c r="AK18" s="168">
        <f>SUMIF('CF(M)'!$L$10:$EQ$10,AK$6,'CF(M)'!$L23:$EQ23)</f>
        <v>0</v>
      </c>
      <c r="AL18" s="168">
        <f>SUMIF('CF(M)'!$L$10:$EQ$10,AL$6,'CF(M)'!$L23:$EQ23)</f>
        <v>0</v>
      </c>
      <c r="AM18" s="168">
        <f>SUMIF('CF(M)'!$L$10:$EQ$10,AM$6,'CF(M)'!$L23:$EQ23)</f>
        <v>0</v>
      </c>
      <c r="AN18" s="168">
        <f>SUMIF('CF(M)'!$L$10:$EQ$10,AN$6,'CF(M)'!$L23:$EQ23)</f>
        <v>0</v>
      </c>
      <c r="AO18" s="168">
        <f>SUMIF('CF(M)'!$L$10:$EQ$10,AO$6,'CF(M)'!$L23:$EQ23)</f>
        <v>0</v>
      </c>
      <c r="AP18" s="168">
        <f>SUMIF('CF(M)'!$L$10:$EQ$10,AP$6,'CF(M)'!$L23:$EQ23)</f>
        <v>0</v>
      </c>
      <c r="AQ18" s="168">
        <f>SUMIF('CF(M)'!$L$10:$EQ$10,AQ$6,'CF(M)'!$L23:$EQ23)</f>
        <v>0</v>
      </c>
      <c r="AR18" s="168">
        <f>SUMIF('CF(M)'!$L$10:$EQ$10,AR$6,'CF(M)'!$L23:$EQ23)</f>
        <v>0</v>
      </c>
      <c r="AS18" s="168">
        <f>SUMIF('CF(M)'!$L$10:$EQ$10,AS$6,'CF(M)'!$L23:$EQ23)</f>
        <v>0</v>
      </c>
      <c r="AT18" s="168">
        <f>SUMIF('CF(M)'!$L$10:$EQ$10,AT$6,'CF(M)'!$L23:$EQ23)</f>
        <v>0</v>
      </c>
      <c r="AU18" s="168">
        <f>SUMIF('CF(M)'!$L$10:$EQ$10,AU$6,'CF(M)'!$L23:$EQ23)</f>
        <v>0</v>
      </c>
      <c r="AV18" s="168">
        <f>SUMIF('CF(M)'!$L$10:$EQ$10,AV$6,'CF(M)'!$L23:$EQ23)</f>
        <v>0</v>
      </c>
      <c r="AW18" s="168">
        <f>SUMIF('CF(M)'!$L$10:$EQ$10,AW$6,'CF(M)'!$L23:$EQ23)</f>
        <v>0</v>
      </c>
      <c r="AX18" s="168">
        <f>SUMIF('CF(M)'!$L$10:$EQ$10,AX$6,'CF(M)'!$L23:$EQ23)</f>
        <v>0</v>
      </c>
      <c r="AY18" s="168">
        <f>SUMIF('CF(M)'!$L$10:$EQ$10,AY$6,'CF(M)'!$L23:$EQ23)</f>
        <v>0</v>
      </c>
      <c r="AZ18" s="168">
        <f>SUMIF('CF(M)'!$L$10:$EQ$10,AZ$6,'CF(M)'!$L23:$EQ23)</f>
        <v>0</v>
      </c>
      <c r="BA18" s="168">
        <f>SUMIF('CF(M)'!$L$10:$EQ$10,BA$6,'CF(M)'!$L23:$EQ23)</f>
        <v>0</v>
      </c>
      <c r="BB18" s="168">
        <f>SUMIF('CF(M)'!$L$10:$EQ$10,BB$6,'CF(M)'!$L23:$EQ23)</f>
        <v>0</v>
      </c>
      <c r="BC18" s="168">
        <f>SUMIF('CF(M)'!$L$10:$EQ$10,BC$6,'CF(M)'!$L23:$EQ23)</f>
        <v>0</v>
      </c>
      <c r="BD18" s="168">
        <f>SUMIF('CF(M)'!$L$10:$EQ$10,BD$6,'CF(M)'!$L23:$EQ23)</f>
        <v>0</v>
      </c>
      <c r="BE18" s="168">
        <f>SUMIF('CF(M)'!$L$10:$EQ$10,BE$6,'CF(M)'!$L23:$EQ23)</f>
        <v>0</v>
      </c>
      <c r="BF18" s="168">
        <f>SUMIF('CF(M)'!$L$10:$EQ$10,BF$6,'CF(M)'!$L23:$EQ23)</f>
        <v>0</v>
      </c>
      <c r="BG18" s="168">
        <f>SUMIF('CF(M)'!$L$10:$EQ$10,BG$6,'CF(M)'!$L23:$EQ23)</f>
        <v>0</v>
      </c>
      <c r="BH18" s="168">
        <f>SUMIF('CF(M)'!$L$10:$EQ$10,BH$6,'CF(M)'!$L23:$EQ23)</f>
        <v>0</v>
      </c>
      <c r="BI18" s="168">
        <f>SUMIF('CF(M)'!$L$10:$EQ$10,BI$6,'CF(M)'!$L23:$EQ23)</f>
        <v>0</v>
      </c>
      <c r="BJ18" s="168">
        <f>SUMIF('CF(M)'!$L$10:$EQ$10,BJ$6,'CF(M)'!$L23:$EQ23)</f>
        <v>0</v>
      </c>
      <c r="BK18" s="168">
        <f>SUMIF('CF(M)'!$L$10:$EQ$10,BK$6,'CF(M)'!$L23:$EQ23)</f>
        <v>0</v>
      </c>
      <c r="BL18" s="168">
        <f>SUMIF('CF(M)'!$L$10:$EQ$10,BL$6,'CF(M)'!$L23:$EQ23)</f>
        <v>0</v>
      </c>
      <c r="BM18" s="168">
        <f>SUMIF('CF(M)'!$L$10:$EQ$10,BM$6,'CF(M)'!$L23:$EQ23)</f>
        <v>0</v>
      </c>
      <c r="BN18" s="168">
        <f>SUMIF('CF(M)'!$L$10:$EQ$10,BN$6,'CF(M)'!$L23:$EQ23)</f>
        <v>0</v>
      </c>
      <c r="BO18" s="168">
        <f>SUMIF('CF(M)'!$L$10:$EQ$10,BO$6,'CF(M)'!$L23:$EQ23)</f>
        <v>0</v>
      </c>
      <c r="BP18" s="168">
        <f>SUMIF('CF(M)'!$L$10:$EQ$10,BP$6,'CF(M)'!$L23:$EQ23)</f>
        <v>0</v>
      </c>
      <c r="BQ18" s="168">
        <f>SUMIF('CF(M)'!$L$10:$EQ$10,BQ$6,'CF(M)'!$L23:$EQ23)</f>
        <v>0</v>
      </c>
      <c r="BR18" s="168">
        <f>SUMIF('CF(M)'!$L$10:$EQ$10,BR$6,'CF(M)'!$L23:$EQ23)</f>
        <v>0</v>
      </c>
      <c r="BS18" s="168">
        <f>SUMIF('CF(M)'!$L$10:$EQ$10,BS$6,'CF(M)'!$L23:$EQ23)</f>
        <v>0</v>
      </c>
      <c r="BT18" s="168">
        <f>SUMIF('CF(M)'!$L$10:$EQ$10,BT$6,'CF(M)'!$L23:$EQ23)</f>
        <v>0</v>
      </c>
      <c r="BU18" s="168">
        <f>SUMIF('CF(M)'!$L$10:$EQ$10,BU$6,'CF(M)'!$L23:$EQ23)</f>
        <v>0</v>
      </c>
      <c r="BV18" s="168">
        <f>SUMIF('CF(M)'!$L$10:$EQ$10,BV$6,'CF(M)'!$L23:$EQ23)</f>
        <v>0</v>
      </c>
      <c r="BW18" s="168">
        <f>SUMIF('CF(M)'!$L$10:$EQ$10,BW$6,'CF(M)'!$L23:$EQ23)</f>
        <v>0</v>
      </c>
      <c r="BX18" s="168">
        <f>SUMIF('CF(M)'!$L$10:$EQ$10,BX$6,'CF(M)'!$L23:$EQ23)</f>
        <v>0</v>
      </c>
      <c r="BY18" s="168">
        <f>SUMIF('CF(M)'!$L$10:$EQ$10,BY$6,'CF(M)'!$L23:$EQ23)</f>
        <v>0</v>
      </c>
      <c r="BZ18" s="168">
        <f>SUMIF('CF(M)'!$L$10:$EQ$10,BZ$6,'CF(M)'!$L23:$EQ23)</f>
        <v>0</v>
      </c>
      <c r="CA18" s="168">
        <f>SUMIF('CF(M)'!$L$10:$EQ$10,CA$6,'CF(M)'!$L23:$EQ23)</f>
        <v>0</v>
      </c>
      <c r="CB18" s="168">
        <f>SUMIF('CF(M)'!$L$10:$EQ$10,CB$6,'CF(M)'!$L23:$EQ23)</f>
        <v>0</v>
      </c>
      <c r="CC18" s="168">
        <f>SUMIF('CF(M)'!$L$10:$EQ$10,CC$6,'CF(M)'!$L23:$EQ23)</f>
        <v>0</v>
      </c>
      <c r="CD18" s="168">
        <f>SUMIF('CF(M)'!$L$10:$EQ$10,CD$6,'CF(M)'!$L23:$EQ23)</f>
        <v>0</v>
      </c>
      <c r="CE18" s="168">
        <f>SUMIF('CF(M)'!$L$10:$EQ$10,CE$6,'CF(M)'!$L23:$EQ23)</f>
        <v>0</v>
      </c>
      <c r="CF18" s="168">
        <f>SUMIF('CF(M)'!$L$10:$EQ$10,CF$6,'CF(M)'!$L23:$EQ23)</f>
        <v>0</v>
      </c>
      <c r="CG18" s="168">
        <f>SUMIF('CF(M)'!$L$10:$EQ$10,CG$6,'CF(M)'!$L23:$EQ23)</f>
        <v>0</v>
      </c>
      <c r="CH18" s="168">
        <f>SUMIF('CF(M)'!$L$10:$EQ$10,CH$6,'CF(M)'!$L23:$EQ23)</f>
        <v>0</v>
      </c>
      <c r="CI18" s="168">
        <f>SUMIF('CF(M)'!$L$10:$EQ$10,CI$6,'CF(M)'!$L23:$EQ23)</f>
        <v>0</v>
      </c>
      <c r="CJ18" s="168">
        <f>SUMIF('CF(M)'!$L$10:$EQ$10,CJ$6,'CF(M)'!$L23:$EQ23)</f>
        <v>0</v>
      </c>
      <c r="CK18" s="168">
        <f>SUMIF('CF(M)'!$L$10:$EQ$10,CK$6,'CF(M)'!$L23:$EQ23)</f>
        <v>0</v>
      </c>
      <c r="CL18" s="168">
        <f>SUMIF('CF(M)'!$L$10:$EQ$10,CL$6,'CF(M)'!$L23:$EQ23)</f>
        <v>0</v>
      </c>
      <c r="CM18" s="168">
        <f>SUMIF('CF(M)'!$L$10:$EQ$10,CM$6,'CF(M)'!$L23:$EQ23)</f>
        <v>0</v>
      </c>
      <c r="CN18" s="168">
        <f>SUMIF('CF(M)'!$L$10:$EQ$10,CN$6,'CF(M)'!$L23:$EQ23)</f>
        <v>0</v>
      </c>
      <c r="CO18" s="168">
        <f>SUMIF('CF(M)'!$L$10:$EQ$10,CO$6,'CF(M)'!$L23:$EQ23)</f>
        <v>0</v>
      </c>
      <c r="CP18" s="168">
        <f>SUMIF('CF(M)'!$L$10:$EQ$10,CP$6,'CF(M)'!$L23:$EQ23)</f>
        <v>0</v>
      </c>
      <c r="CQ18" s="168">
        <f>SUMIF('CF(M)'!$L$10:$EQ$10,CQ$6,'CF(M)'!$L23:$EQ23)</f>
        <v>0</v>
      </c>
      <c r="CR18" s="168">
        <f>SUMIF('CF(M)'!$L$10:$EQ$10,CR$6,'CF(M)'!$L23:$EQ23)</f>
        <v>0</v>
      </c>
      <c r="CS18" s="168">
        <f>SUMIF('CF(M)'!$L$10:$EQ$10,CS$6,'CF(M)'!$L23:$EQ23)</f>
        <v>0</v>
      </c>
      <c r="CT18" s="168">
        <f>SUMIF('CF(M)'!$L$10:$EQ$10,CT$6,'CF(M)'!$L23:$EQ23)</f>
        <v>0</v>
      </c>
      <c r="CU18" s="168">
        <f>SUMIF('CF(M)'!$L$10:$EQ$10,CU$6,'CF(M)'!$L23:$EQ23)</f>
        <v>0</v>
      </c>
      <c r="CV18" s="168">
        <f>SUMIF('CF(M)'!$L$10:$EQ$10,CV$6,'CF(M)'!$L23:$EQ23)</f>
        <v>0</v>
      </c>
      <c r="CW18" s="168">
        <f>SUMIF('CF(M)'!$L$10:$EQ$10,CW$6,'CF(M)'!$L23:$EQ23)</f>
        <v>0</v>
      </c>
      <c r="CX18" s="168">
        <f>SUMIF('CF(M)'!$L$10:$EQ$10,CX$6,'CF(M)'!$L23:$EQ23)</f>
        <v>0</v>
      </c>
      <c r="CY18" s="168">
        <f>SUMIF('CF(M)'!$L$10:$EQ$10,CY$6,'CF(M)'!$L23:$EQ23)</f>
        <v>0</v>
      </c>
      <c r="CZ18" s="168">
        <f>SUMIF('CF(M)'!$L$10:$EQ$10,CZ$6,'CF(M)'!$L23:$EQ23)</f>
        <v>0</v>
      </c>
      <c r="DA18" s="168">
        <f>SUMIF('CF(M)'!$L$10:$EQ$10,DA$6,'CF(M)'!$L23:$EQ23)</f>
        <v>0</v>
      </c>
      <c r="DB18" s="168">
        <f>SUMIF('CF(M)'!$L$10:$EQ$10,DB$6,'CF(M)'!$L23:$EQ23)</f>
        <v>0</v>
      </c>
      <c r="DC18" s="168">
        <f>SUMIF('CF(M)'!$L$10:$EQ$10,DC$6,'CF(M)'!$L23:$EQ23)</f>
        <v>0</v>
      </c>
      <c r="DD18" s="168">
        <f>SUMIF('CF(M)'!$L$10:$EQ$10,DD$6,'CF(M)'!$L23:$EQ23)</f>
        <v>0</v>
      </c>
      <c r="DE18" s="168">
        <f>SUMIF('CF(M)'!$L$10:$EQ$10,DE$6,'CF(M)'!$L23:$EQ23)</f>
        <v>0</v>
      </c>
      <c r="DF18" s="168">
        <f>SUMIF('CF(M)'!$L$10:$EQ$10,DF$6,'CF(M)'!$L23:$EQ23)</f>
        <v>0</v>
      </c>
      <c r="DG18" s="168">
        <f>SUMIF('CF(M)'!$L$10:$EQ$10,DG$6,'CF(M)'!$L23:$EQ23)</f>
        <v>0</v>
      </c>
      <c r="DH18" s="168">
        <f>SUMIF('CF(M)'!$L$10:$EQ$10,DH$6,'CF(M)'!$L23:$EQ23)</f>
        <v>0</v>
      </c>
      <c r="DI18" s="168">
        <f>SUMIF('CF(M)'!$L$10:$EQ$10,DI$6,'CF(M)'!$L23:$EQ23)</f>
        <v>0</v>
      </c>
      <c r="DJ18" s="168">
        <f>SUMIF('CF(M)'!$L$10:$EQ$10,DJ$6,'CF(M)'!$L23:$EQ23)</f>
        <v>0</v>
      </c>
      <c r="DK18" s="168">
        <f>SUMIF('CF(M)'!$L$10:$EQ$10,DK$6,'CF(M)'!$L23:$EQ23)</f>
        <v>0</v>
      </c>
      <c r="DL18" s="168">
        <f>SUMIF('CF(M)'!$L$10:$EQ$10,DL$6,'CF(M)'!$L23:$EQ23)</f>
        <v>0</v>
      </c>
      <c r="DM18" s="168">
        <f>SUMIF('CF(M)'!$L$10:$EQ$10,DM$6,'CF(M)'!$L23:$EQ23)</f>
        <v>0</v>
      </c>
      <c r="DN18" s="168">
        <f>SUMIF('CF(M)'!$L$10:$EQ$10,DN$6,'CF(M)'!$L23:$EQ23)</f>
        <v>0</v>
      </c>
      <c r="DO18" s="168">
        <f>SUMIF('CF(M)'!$L$10:$EQ$10,DO$6,'CF(M)'!$L23:$EQ23)</f>
        <v>0</v>
      </c>
      <c r="DP18" s="168">
        <f>SUMIF('CF(M)'!$L$10:$EQ$10,DP$6,'CF(M)'!$L23:$EQ23)</f>
        <v>0</v>
      </c>
      <c r="DQ18" s="168">
        <f>SUMIF('CF(M)'!$L$10:$EQ$10,DQ$6,'CF(M)'!$L23:$EQ23)</f>
        <v>0</v>
      </c>
      <c r="DR18" s="168">
        <f>SUMIF('CF(M)'!$L$10:$EQ$10,DR$6,'CF(M)'!$L23:$EQ23)</f>
        <v>0</v>
      </c>
      <c r="DS18" s="168">
        <f>SUMIF('CF(M)'!$L$10:$EQ$10,DS$6,'CF(M)'!$L23:$EQ23)</f>
        <v>0</v>
      </c>
      <c r="DT18" s="168">
        <f>SUMIF('CF(M)'!$L$10:$EQ$10,DT$6,'CF(M)'!$L23:$EQ23)</f>
        <v>0</v>
      </c>
      <c r="DU18" s="168">
        <f>SUMIF('CF(M)'!$L$10:$EQ$10,DU$6,'CF(M)'!$L23:$EQ23)</f>
        <v>0</v>
      </c>
      <c r="DV18" s="168">
        <f>SUMIF('CF(M)'!$L$10:$EQ$10,DV$6,'CF(M)'!$L23:$EQ23)</f>
        <v>0</v>
      </c>
    </row>
    <row r="19" spans="2:126" ht="11.25" customHeight="1">
      <c r="B19" s="218"/>
      <c r="C19" s="163"/>
      <c r="D19" s="169" t="s">
        <v>75</v>
      </c>
      <c r="H19" s="146"/>
      <c r="I19" s="13"/>
      <c r="J19" s="171">
        <f t="shared" si="8"/>
        <v>-6974980.3358780378</v>
      </c>
      <c r="K19" s="98"/>
      <c r="L19" s="171">
        <f>SUMIF('CF(M)'!$L$10:$EQ$10,L$6,'CF(M)'!$L24:$EQ24)</f>
        <v>0</v>
      </c>
      <c r="M19" s="171">
        <f>SUMIF('CF(M)'!$L$10:$EQ$10,M$6,'CF(M)'!$L24:$EQ24)</f>
        <v>-318500.36800229998</v>
      </c>
      <c r="N19" s="171">
        <f>SUMIF('CF(M)'!$L$10:$EQ$10,N$6,'CF(M)'!$L24:$EQ24)</f>
        <v>-318500.36800229998</v>
      </c>
      <c r="O19" s="171">
        <f>SUMIF('CF(M)'!$L$10:$EQ$10,O$6,'CF(M)'!$L24:$EQ24)</f>
        <v>-324870.37536234595</v>
      </c>
      <c r="P19" s="171">
        <f>SUMIF('CF(M)'!$L$10:$EQ$10,P$6,'CF(M)'!$L24:$EQ24)</f>
        <v>-324870.37536234595</v>
      </c>
      <c r="Q19" s="171">
        <f>SUMIF('CF(M)'!$L$10:$EQ$10,Q$6,'CF(M)'!$L24:$EQ24)</f>
        <v>-331367.78286959289</v>
      </c>
      <c r="R19" s="171">
        <f>SUMIF('CF(M)'!$L$10:$EQ$10,R$6,'CF(M)'!$L24:$EQ24)</f>
        <v>-331367.78286959289</v>
      </c>
      <c r="S19" s="171">
        <f>SUMIF('CF(M)'!$L$10:$EQ$10,S$6,'CF(M)'!$L24:$EQ24)</f>
        <v>-337995.13852698472</v>
      </c>
      <c r="T19" s="171">
        <f>SUMIF('CF(M)'!$L$10:$EQ$10,T$6,'CF(M)'!$L24:$EQ24)</f>
        <v>-337995.13852698472</v>
      </c>
      <c r="U19" s="171">
        <f>SUMIF('CF(M)'!$L$10:$EQ$10,U$6,'CF(M)'!$L24:$EQ24)</f>
        <v>-344755.04129752435</v>
      </c>
      <c r="V19" s="171">
        <f>SUMIF('CF(M)'!$L$10:$EQ$10,V$6,'CF(M)'!$L24:$EQ24)</f>
        <v>-344755.04129752435</v>
      </c>
      <c r="W19" s="171">
        <f>SUMIF('CF(M)'!$L$10:$EQ$10,W$6,'CF(M)'!$L24:$EQ24)</f>
        <v>-351650.14212347491</v>
      </c>
      <c r="X19" s="171">
        <f>SUMIF('CF(M)'!$L$10:$EQ$10,X$6,'CF(M)'!$L24:$EQ24)</f>
        <v>-351650.14212347491</v>
      </c>
      <c r="Y19" s="171">
        <f>SUMIF('CF(M)'!$L$10:$EQ$10,Y$6,'CF(M)'!$L24:$EQ24)</f>
        <v>-358683.1449659444</v>
      </c>
      <c r="Z19" s="171">
        <f>SUMIF('CF(M)'!$L$10:$EQ$10,Z$6,'CF(M)'!$L24:$EQ24)</f>
        <v>-358683.1449659444</v>
      </c>
      <c r="AA19" s="171">
        <f>SUMIF('CF(M)'!$L$10:$EQ$10,AA$6,'CF(M)'!$L24:$EQ24)</f>
        <v>-365856.80786526331</v>
      </c>
      <c r="AB19" s="171">
        <f>SUMIF('CF(M)'!$L$10:$EQ$10,AB$6,'CF(M)'!$L24:$EQ24)</f>
        <v>-365856.80786526331</v>
      </c>
      <c r="AC19" s="171">
        <f>SUMIF('CF(M)'!$L$10:$EQ$10,AC$6,'CF(M)'!$L24:$EQ24)</f>
        <v>-373173.94402256858</v>
      </c>
      <c r="AD19" s="171">
        <f>SUMIF('CF(M)'!$L$10:$EQ$10,AD$6,'CF(M)'!$L24:$EQ24)</f>
        <v>-373173.94402256858</v>
      </c>
      <c r="AE19" s="171">
        <f>SUMIF('CF(M)'!$L$10:$EQ$10,AE$6,'CF(M)'!$L24:$EQ24)</f>
        <v>-380637.42290301988</v>
      </c>
      <c r="AF19" s="171">
        <f>SUMIF('CF(M)'!$L$10:$EQ$10,AF$6,'CF(M)'!$L24:$EQ24)</f>
        <v>-380637.42290301988</v>
      </c>
      <c r="AG19" s="171">
        <f>SUMIF('CF(M)'!$L$10:$EQ$10,AG$6,'CF(M)'!$L24:$EQ24)</f>
        <v>0</v>
      </c>
      <c r="AH19" s="171">
        <f>SUMIF('CF(M)'!$L$10:$EQ$10,AH$6,'CF(M)'!$L24:$EQ24)</f>
        <v>0</v>
      </c>
      <c r="AI19" s="171">
        <f>SUMIF('CF(M)'!$L$10:$EQ$10,AI$6,'CF(M)'!$L24:$EQ24)</f>
        <v>0</v>
      </c>
      <c r="AJ19" s="171">
        <f>SUMIF('CF(M)'!$L$10:$EQ$10,AJ$6,'CF(M)'!$L24:$EQ24)</f>
        <v>0</v>
      </c>
      <c r="AK19" s="171">
        <f>SUMIF('CF(M)'!$L$10:$EQ$10,AK$6,'CF(M)'!$L24:$EQ24)</f>
        <v>0</v>
      </c>
      <c r="AL19" s="171">
        <f>SUMIF('CF(M)'!$L$10:$EQ$10,AL$6,'CF(M)'!$L24:$EQ24)</f>
        <v>0</v>
      </c>
      <c r="AM19" s="171">
        <f>SUMIF('CF(M)'!$L$10:$EQ$10,AM$6,'CF(M)'!$L24:$EQ24)</f>
        <v>0</v>
      </c>
      <c r="AN19" s="171">
        <f>SUMIF('CF(M)'!$L$10:$EQ$10,AN$6,'CF(M)'!$L24:$EQ24)</f>
        <v>0</v>
      </c>
      <c r="AO19" s="171">
        <f>SUMIF('CF(M)'!$L$10:$EQ$10,AO$6,'CF(M)'!$L24:$EQ24)</f>
        <v>0</v>
      </c>
      <c r="AP19" s="171">
        <f>SUMIF('CF(M)'!$L$10:$EQ$10,AP$6,'CF(M)'!$L24:$EQ24)</f>
        <v>0</v>
      </c>
      <c r="AQ19" s="171">
        <f>SUMIF('CF(M)'!$L$10:$EQ$10,AQ$6,'CF(M)'!$L24:$EQ24)</f>
        <v>0</v>
      </c>
      <c r="AR19" s="171">
        <f>SUMIF('CF(M)'!$L$10:$EQ$10,AR$6,'CF(M)'!$L24:$EQ24)</f>
        <v>0</v>
      </c>
      <c r="AS19" s="171">
        <f>SUMIF('CF(M)'!$L$10:$EQ$10,AS$6,'CF(M)'!$L24:$EQ24)</f>
        <v>0</v>
      </c>
      <c r="AT19" s="171">
        <f>SUMIF('CF(M)'!$L$10:$EQ$10,AT$6,'CF(M)'!$L24:$EQ24)</f>
        <v>0</v>
      </c>
      <c r="AU19" s="171">
        <f>SUMIF('CF(M)'!$L$10:$EQ$10,AU$6,'CF(M)'!$L24:$EQ24)</f>
        <v>0</v>
      </c>
      <c r="AV19" s="171">
        <f>SUMIF('CF(M)'!$L$10:$EQ$10,AV$6,'CF(M)'!$L24:$EQ24)</f>
        <v>0</v>
      </c>
      <c r="AW19" s="171">
        <f>SUMIF('CF(M)'!$L$10:$EQ$10,AW$6,'CF(M)'!$L24:$EQ24)</f>
        <v>0</v>
      </c>
      <c r="AX19" s="171">
        <f>SUMIF('CF(M)'!$L$10:$EQ$10,AX$6,'CF(M)'!$L24:$EQ24)</f>
        <v>0</v>
      </c>
      <c r="AY19" s="171">
        <f>SUMIF('CF(M)'!$L$10:$EQ$10,AY$6,'CF(M)'!$L24:$EQ24)</f>
        <v>0</v>
      </c>
      <c r="AZ19" s="171">
        <f>SUMIF('CF(M)'!$L$10:$EQ$10,AZ$6,'CF(M)'!$L24:$EQ24)</f>
        <v>0</v>
      </c>
      <c r="BA19" s="171">
        <f>SUMIF('CF(M)'!$L$10:$EQ$10,BA$6,'CF(M)'!$L24:$EQ24)</f>
        <v>0</v>
      </c>
      <c r="BB19" s="171">
        <f>SUMIF('CF(M)'!$L$10:$EQ$10,BB$6,'CF(M)'!$L24:$EQ24)</f>
        <v>0</v>
      </c>
      <c r="BC19" s="171">
        <f>SUMIF('CF(M)'!$L$10:$EQ$10,BC$6,'CF(M)'!$L24:$EQ24)</f>
        <v>0</v>
      </c>
      <c r="BD19" s="171">
        <f>SUMIF('CF(M)'!$L$10:$EQ$10,BD$6,'CF(M)'!$L24:$EQ24)</f>
        <v>0</v>
      </c>
      <c r="BE19" s="171">
        <f>SUMIF('CF(M)'!$L$10:$EQ$10,BE$6,'CF(M)'!$L24:$EQ24)</f>
        <v>0</v>
      </c>
      <c r="BF19" s="171">
        <f>SUMIF('CF(M)'!$L$10:$EQ$10,BF$6,'CF(M)'!$L24:$EQ24)</f>
        <v>0</v>
      </c>
      <c r="BG19" s="171">
        <f>SUMIF('CF(M)'!$L$10:$EQ$10,BG$6,'CF(M)'!$L24:$EQ24)</f>
        <v>0</v>
      </c>
      <c r="BH19" s="171">
        <f>SUMIF('CF(M)'!$L$10:$EQ$10,BH$6,'CF(M)'!$L24:$EQ24)</f>
        <v>0</v>
      </c>
      <c r="BI19" s="171">
        <f>SUMIF('CF(M)'!$L$10:$EQ$10,BI$6,'CF(M)'!$L24:$EQ24)</f>
        <v>0</v>
      </c>
      <c r="BJ19" s="171">
        <f>SUMIF('CF(M)'!$L$10:$EQ$10,BJ$6,'CF(M)'!$L24:$EQ24)</f>
        <v>0</v>
      </c>
      <c r="BK19" s="171">
        <f>SUMIF('CF(M)'!$L$10:$EQ$10,BK$6,'CF(M)'!$L24:$EQ24)</f>
        <v>0</v>
      </c>
      <c r="BL19" s="171">
        <f>SUMIF('CF(M)'!$L$10:$EQ$10,BL$6,'CF(M)'!$L24:$EQ24)</f>
        <v>0</v>
      </c>
      <c r="BM19" s="171">
        <f>SUMIF('CF(M)'!$L$10:$EQ$10,BM$6,'CF(M)'!$L24:$EQ24)</f>
        <v>0</v>
      </c>
      <c r="BN19" s="171">
        <f>SUMIF('CF(M)'!$L$10:$EQ$10,BN$6,'CF(M)'!$L24:$EQ24)</f>
        <v>0</v>
      </c>
      <c r="BO19" s="171">
        <f>SUMIF('CF(M)'!$L$10:$EQ$10,BO$6,'CF(M)'!$L24:$EQ24)</f>
        <v>0</v>
      </c>
      <c r="BP19" s="171">
        <f>SUMIF('CF(M)'!$L$10:$EQ$10,BP$6,'CF(M)'!$L24:$EQ24)</f>
        <v>0</v>
      </c>
      <c r="BQ19" s="171">
        <f>SUMIF('CF(M)'!$L$10:$EQ$10,BQ$6,'CF(M)'!$L24:$EQ24)</f>
        <v>0</v>
      </c>
      <c r="BR19" s="171">
        <f>SUMIF('CF(M)'!$L$10:$EQ$10,BR$6,'CF(M)'!$L24:$EQ24)</f>
        <v>0</v>
      </c>
      <c r="BS19" s="171">
        <f>SUMIF('CF(M)'!$L$10:$EQ$10,BS$6,'CF(M)'!$L24:$EQ24)</f>
        <v>0</v>
      </c>
      <c r="BT19" s="171">
        <f>SUMIF('CF(M)'!$L$10:$EQ$10,BT$6,'CF(M)'!$L24:$EQ24)</f>
        <v>0</v>
      </c>
      <c r="BU19" s="171">
        <f>SUMIF('CF(M)'!$L$10:$EQ$10,BU$6,'CF(M)'!$L24:$EQ24)</f>
        <v>0</v>
      </c>
      <c r="BV19" s="171">
        <f>SUMIF('CF(M)'!$L$10:$EQ$10,BV$6,'CF(M)'!$L24:$EQ24)</f>
        <v>0</v>
      </c>
      <c r="BW19" s="171">
        <f>SUMIF('CF(M)'!$L$10:$EQ$10,BW$6,'CF(M)'!$L24:$EQ24)</f>
        <v>0</v>
      </c>
      <c r="BX19" s="171">
        <f>SUMIF('CF(M)'!$L$10:$EQ$10,BX$6,'CF(M)'!$L24:$EQ24)</f>
        <v>0</v>
      </c>
      <c r="BY19" s="171">
        <f>SUMIF('CF(M)'!$L$10:$EQ$10,BY$6,'CF(M)'!$L24:$EQ24)</f>
        <v>0</v>
      </c>
      <c r="BZ19" s="171">
        <f>SUMIF('CF(M)'!$L$10:$EQ$10,BZ$6,'CF(M)'!$L24:$EQ24)</f>
        <v>0</v>
      </c>
      <c r="CA19" s="171">
        <f>SUMIF('CF(M)'!$L$10:$EQ$10,CA$6,'CF(M)'!$L24:$EQ24)</f>
        <v>0</v>
      </c>
      <c r="CB19" s="171">
        <f>SUMIF('CF(M)'!$L$10:$EQ$10,CB$6,'CF(M)'!$L24:$EQ24)</f>
        <v>0</v>
      </c>
      <c r="CC19" s="171">
        <f>SUMIF('CF(M)'!$L$10:$EQ$10,CC$6,'CF(M)'!$L24:$EQ24)</f>
        <v>0</v>
      </c>
      <c r="CD19" s="171">
        <f>SUMIF('CF(M)'!$L$10:$EQ$10,CD$6,'CF(M)'!$L24:$EQ24)</f>
        <v>0</v>
      </c>
      <c r="CE19" s="171">
        <f>SUMIF('CF(M)'!$L$10:$EQ$10,CE$6,'CF(M)'!$L24:$EQ24)</f>
        <v>0</v>
      </c>
      <c r="CF19" s="171">
        <f>SUMIF('CF(M)'!$L$10:$EQ$10,CF$6,'CF(M)'!$L24:$EQ24)</f>
        <v>0</v>
      </c>
      <c r="CG19" s="171">
        <f>SUMIF('CF(M)'!$L$10:$EQ$10,CG$6,'CF(M)'!$L24:$EQ24)</f>
        <v>0</v>
      </c>
      <c r="CH19" s="171">
        <f>SUMIF('CF(M)'!$L$10:$EQ$10,CH$6,'CF(M)'!$L24:$EQ24)</f>
        <v>0</v>
      </c>
      <c r="CI19" s="171">
        <f>SUMIF('CF(M)'!$L$10:$EQ$10,CI$6,'CF(M)'!$L24:$EQ24)</f>
        <v>0</v>
      </c>
      <c r="CJ19" s="171">
        <f>SUMIF('CF(M)'!$L$10:$EQ$10,CJ$6,'CF(M)'!$L24:$EQ24)</f>
        <v>0</v>
      </c>
      <c r="CK19" s="171">
        <f>SUMIF('CF(M)'!$L$10:$EQ$10,CK$6,'CF(M)'!$L24:$EQ24)</f>
        <v>0</v>
      </c>
      <c r="CL19" s="171">
        <f>SUMIF('CF(M)'!$L$10:$EQ$10,CL$6,'CF(M)'!$L24:$EQ24)</f>
        <v>0</v>
      </c>
      <c r="CM19" s="171">
        <f>SUMIF('CF(M)'!$L$10:$EQ$10,CM$6,'CF(M)'!$L24:$EQ24)</f>
        <v>0</v>
      </c>
      <c r="CN19" s="171">
        <f>SUMIF('CF(M)'!$L$10:$EQ$10,CN$6,'CF(M)'!$L24:$EQ24)</f>
        <v>0</v>
      </c>
      <c r="CO19" s="171">
        <f>SUMIF('CF(M)'!$L$10:$EQ$10,CO$6,'CF(M)'!$L24:$EQ24)</f>
        <v>0</v>
      </c>
      <c r="CP19" s="171">
        <f>SUMIF('CF(M)'!$L$10:$EQ$10,CP$6,'CF(M)'!$L24:$EQ24)</f>
        <v>0</v>
      </c>
      <c r="CQ19" s="171">
        <f>SUMIF('CF(M)'!$L$10:$EQ$10,CQ$6,'CF(M)'!$L24:$EQ24)</f>
        <v>0</v>
      </c>
      <c r="CR19" s="171">
        <f>SUMIF('CF(M)'!$L$10:$EQ$10,CR$6,'CF(M)'!$L24:$EQ24)</f>
        <v>0</v>
      </c>
      <c r="CS19" s="171">
        <f>SUMIF('CF(M)'!$L$10:$EQ$10,CS$6,'CF(M)'!$L24:$EQ24)</f>
        <v>0</v>
      </c>
      <c r="CT19" s="171">
        <f>SUMIF('CF(M)'!$L$10:$EQ$10,CT$6,'CF(M)'!$L24:$EQ24)</f>
        <v>0</v>
      </c>
      <c r="CU19" s="171">
        <f>SUMIF('CF(M)'!$L$10:$EQ$10,CU$6,'CF(M)'!$L24:$EQ24)</f>
        <v>0</v>
      </c>
      <c r="CV19" s="171">
        <f>SUMIF('CF(M)'!$L$10:$EQ$10,CV$6,'CF(M)'!$L24:$EQ24)</f>
        <v>0</v>
      </c>
      <c r="CW19" s="171">
        <f>SUMIF('CF(M)'!$L$10:$EQ$10,CW$6,'CF(M)'!$L24:$EQ24)</f>
        <v>0</v>
      </c>
      <c r="CX19" s="171">
        <f>SUMIF('CF(M)'!$L$10:$EQ$10,CX$6,'CF(M)'!$L24:$EQ24)</f>
        <v>0</v>
      </c>
      <c r="CY19" s="171">
        <f>SUMIF('CF(M)'!$L$10:$EQ$10,CY$6,'CF(M)'!$L24:$EQ24)</f>
        <v>0</v>
      </c>
      <c r="CZ19" s="171">
        <f>SUMIF('CF(M)'!$L$10:$EQ$10,CZ$6,'CF(M)'!$L24:$EQ24)</f>
        <v>0</v>
      </c>
      <c r="DA19" s="171">
        <f>SUMIF('CF(M)'!$L$10:$EQ$10,DA$6,'CF(M)'!$L24:$EQ24)</f>
        <v>0</v>
      </c>
      <c r="DB19" s="171">
        <f>SUMIF('CF(M)'!$L$10:$EQ$10,DB$6,'CF(M)'!$L24:$EQ24)</f>
        <v>0</v>
      </c>
      <c r="DC19" s="171">
        <f>SUMIF('CF(M)'!$L$10:$EQ$10,DC$6,'CF(M)'!$L24:$EQ24)</f>
        <v>0</v>
      </c>
      <c r="DD19" s="171">
        <f>SUMIF('CF(M)'!$L$10:$EQ$10,DD$6,'CF(M)'!$L24:$EQ24)</f>
        <v>0</v>
      </c>
      <c r="DE19" s="171">
        <f>SUMIF('CF(M)'!$L$10:$EQ$10,DE$6,'CF(M)'!$L24:$EQ24)</f>
        <v>0</v>
      </c>
      <c r="DF19" s="171">
        <f>SUMIF('CF(M)'!$L$10:$EQ$10,DF$6,'CF(M)'!$L24:$EQ24)</f>
        <v>0</v>
      </c>
      <c r="DG19" s="171">
        <f>SUMIF('CF(M)'!$L$10:$EQ$10,DG$6,'CF(M)'!$L24:$EQ24)</f>
        <v>0</v>
      </c>
      <c r="DH19" s="171">
        <f>SUMIF('CF(M)'!$L$10:$EQ$10,DH$6,'CF(M)'!$L24:$EQ24)</f>
        <v>0</v>
      </c>
      <c r="DI19" s="171">
        <f>SUMIF('CF(M)'!$L$10:$EQ$10,DI$6,'CF(M)'!$L24:$EQ24)</f>
        <v>0</v>
      </c>
      <c r="DJ19" s="171">
        <f>SUMIF('CF(M)'!$L$10:$EQ$10,DJ$6,'CF(M)'!$L24:$EQ24)</f>
        <v>0</v>
      </c>
      <c r="DK19" s="171">
        <f>SUMIF('CF(M)'!$L$10:$EQ$10,DK$6,'CF(M)'!$L24:$EQ24)</f>
        <v>0</v>
      </c>
      <c r="DL19" s="171">
        <f>SUMIF('CF(M)'!$L$10:$EQ$10,DL$6,'CF(M)'!$L24:$EQ24)</f>
        <v>0</v>
      </c>
      <c r="DM19" s="171">
        <f>SUMIF('CF(M)'!$L$10:$EQ$10,DM$6,'CF(M)'!$L24:$EQ24)</f>
        <v>0</v>
      </c>
      <c r="DN19" s="171">
        <f>SUMIF('CF(M)'!$L$10:$EQ$10,DN$6,'CF(M)'!$L24:$EQ24)</f>
        <v>0</v>
      </c>
      <c r="DO19" s="171">
        <f>SUMIF('CF(M)'!$L$10:$EQ$10,DO$6,'CF(M)'!$L24:$EQ24)</f>
        <v>0</v>
      </c>
      <c r="DP19" s="171">
        <f>SUMIF('CF(M)'!$L$10:$EQ$10,DP$6,'CF(M)'!$L24:$EQ24)</f>
        <v>0</v>
      </c>
      <c r="DQ19" s="171">
        <f>SUMIF('CF(M)'!$L$10:$EQ$10,DQ$6,'CF(M)'!$L24:$EQ24)</f>
        <v>0</v>
      </c>
      <c r="DR19" s="171">
        <f>SUMIF('CF(M)'!$L$10:$EQ$10,DR$6,'CF(M)'!$L24:$EQ24)</f>
        <v>0</v>
      </c>
      <c r="DS19" s="171">
        <f>SUMIF('CF(M)'!$L$10:$EQ$10,DS$6,'CF(M)'!$L24:$EQ24)</f>
        <v>0</v>
      </c>
      <c r="DT19" s="171">
        <f>SUMIF('CF(M)'!$L$10:$EQ$10,DT$6,'CF(M)'!$L24:$EQ24)</f>
        <v>0</v>
      </c>
      <c r="DU19" s="171">
        <f>SUMIF('CF(M)'!$L$10:$EQ$10,DU$6,'CF(M)'!$L24:$EQ24)</f>
        <v>0</v>
      </c>
      <c r="DV19" s="171">
        <f>SUMIF('CF(M)'!$L$10:$EQ$10,DV$6,'CF(M)'!$L24:$EQ24)</f>
        <v>0</v>
      </c>
    </row>
    <row r="20" spans="2:126" ht="11.25" customHeight="1">
      <c r="B20" s="218"/>
      <c r="C20" s="163"/>
      <c r="D20" s="169" t="s">
        <v>78</v>
      </c>
      <c r="H20" s="146"/>
      <c r="I20" s="13"/>
      <c r="J20" s="171">
        <f t="shared" si="8"/>
        <v>-341538.75420512701</v>
      </c>
      <c r="K20" s="98"/>
      <c r="L20" s="171">
        <f>SUMIF('CF(M)'!$L$10:$EQ$10,L$6,'CF(M)'!$L25:$EQ25)</f>
        <v>0</v>
      </c>
      <c r="M20" s="171">
        <f>SUMIF('CF(M)'!$L$10:$EQ$10,M$6,'CF(M)'!$L25:$EQ25)</f>
        <v>-15595.774276499998</v>
      </c>
      <c r="N20" s="171">
        <f>SUMIF('CF(M)'!$L$10:$EQ$10,N$6,'CF(M)'!$L25:$EQ25)</f>
        <v>-15595.774276499998</v>
      </c>
      <c r="O20" s="171">
        <f>SUMIF('CF(M)'!$L$10:$EQ$10,O$6,'CF(M)'!$L25:$EQ25)</f>
        <v>-15907.689762029997</v>
      </c>
      <c r="P20" s="171">
        <f>SUMIF('CF(M)'!$L$10:$EQ$10,P$6,'CF(M)'!$L25:$EQ25)</f>
        <v>-15907.689762029997</v>
      </c>
      <c r="Q20" s="171">
        <f>SUMIF('CF(M)'!$L$10:$EQ$10,Q$6,'CF(M)'!$L25:$EQ25)</f>
        <v>-16225.843557270598</v>
      </c>
      <c r="R20" s="171">
        <f>SUMIF('CF(M)'!$L$10:$EQ$10,R$6,'CF(M)'!$L25:$EQ25)</f>
        <v>-16225.843557270598</v>
      </c>
      <c r="S20" s="171">
        <f>SUMIF('CF(M)'!$L$10:$EQ$10,S$6,'CF(M)'!$L25:$EQ25)</f>
        <v>-16550.36042841601</v>
      </c>
      <c r="T20" s="171">
        <f>SUMIF('CF(M)'!$L$10:$EQ$10,T$6,'CF(M)'!$L25:$EQ25)</f>
        <v>-16550.36042841601</v>
      </c>
      <c r="U20" s="171">
        <f>SUMIF('CF(M)'!$L$10:$EQ$10,U$6,'CF(M)'!$L25:$EQ25)</f>
        <v>-16881.367636984331</v>
      </c>
      <c r="V20" s="171">
        <f>SUMIF('CF(M)'!$L$10:$EQ$10,V$6,'CF(M)'!$L25:$EQ25)</f>
        <v>-16881.367636984331</v>
      </c>
      <c r="W20" s="171">
        <f>SUMIF('CF(M)'!$L$10:$EQ$10,W$6,'CF(M)'!$L25:$EQ25)</f>
        <v>-17218.994989724019</v>
      </c>
      <c r="X20" s="171">
        <f>SUMIF('CF(M)'!$L$10:$EQ$10,X$6,'CF(M)'!$L25:$EQ25)</f>
        <v>-17218.994989724019</v>
      </c>
      <c r="Y20" s="171">
        <f>SUMIF('CF(M)'!$L$10:$EQ$10,Y$6,'CF(M)'!$L25:$EQ25)</f>
        <v>-17563.374889518498</v>
      </c>
      <c r="Z20" s="171">
        <f>SUMIF('CF(M)'!$L$10:$EQ$10,Z$6,'CF(M)'!$L25:$EQ25)</f>
        <v>-17563.374889518498</v>
      </c>
      <c r="AA20" s="171">
        <f>SUMIF('CF(M)'!$L$10:$EQ$10,AA$6,'CF(M)'!$L25:$EQ25)</f>
        <v>-17914.642387308868</v>
      </c>
      <c r="AB20" s="171">
        <f>SUMIF('CF(M)'!$L$10:$EQ$10,AB$6,'CF(M)'!$L25:$EQ25)</f>
        <v>-17914.642387308868</v>
      </c>
      <c r="AC20" s="171">
        <f>SUMIF('CF(M)'!$L$10:$EQ$10,AC$6,'CF(M)'!$L25:$EQ25)</f>
        <v>-18272.935235055043</v>
      </c>
      <c r="AD20" s="171">
        <f>SUMIF('CF(M)'!$L$10:$EQ$10,AD$6,'CF(M)'!$L25:$EQ25)</f>
        <v>-18272.935235055043</v>
      </c>
      <c r="AE20" s="171">
        <f>SUMIF('CF(M)'!$L$10:$EQ$10,AE$6,'CF(M)'!$L25:$EQ25)</f>
        <v>-18638.393939756144</v>
      </c>
      <c r="AF20" s="171">
        <f>SUMIF('CF(M)'!$L$10:$EQ$10,AF$6,'CF(M)'!$L25:$EQ25)</f>
        <v>-18638.393939756144</v>
      </c>
      <c r="AG20" s="171">
        <f>SUMIF('CF(M)'!$L$10:$EQ$10,AG$6,'CF(M)'!$L25:$EQ25)</f>
        <v>0</v>
      </c>
      <c r="AH20" s="171">
        <f>SUMIF('CF(M)'!$L$10:$EQ$10,AH$6,'CF(M)'!$L25:$EQ25)</f>
        <v>0</v>
      </c>
      <c r="AI20" s="171">
        <f>SUMIF('CF(M)'!$L$10:$EQ$10,AI$6,'CF(M)'!$L25:$EQ25)</f>
        <v>0</v>
      </c>
      <c r="AJ20" s="171">
        <f>SUMIF('CF(M)'!$L$10:$EQ$10,AJ$6,'CF(M)'!$L25:$EQ25)</f>
        <v>0</v>
      </c>
      <c r="AK20" s="171">
        <f>SUMIF('CF(M)'!$L$10:$EQ$10,AK$6,'CF(M)'!$L25:$EQ25)</f>
        <v>0</v>
      </c>
      <c r="AL20" s="171">
        <f>SUMIF('CF(M)'!$L$10:$EQ$10,AL$6,'CF(M)'!$L25:$EQ25)</f>
        <v>0</v>
      </c>
      <c r="AM20" s="171">
        <f>SUMIF('CF(M)'!$L$10:$EQ$10,AM$6,'CF(M)'!$L25:$EQ25)</f>
        <v>0</v>
      </c>
      <c r="AN20" s="171">
        <f>SUMIF('CF(M)'!$L$10:$EQ$10,AN$6,'CF(M)'!$L25:$EQ25)</f>
        <v>0</v>
      </c>
      <c r="AO20" s="171">
        <f>SUMIF('CF(M)'!$L$10:$EQ$10,AO$6,'CF(M)'!$L25:$EQ25)</f>
        <v>0</v>
      </c>
      <c r="AP20" s="171">
        <f>SUMIF('CF(M)'!$L$10:$EQ$10,AP$6,'CF(M)'!$L25:$EQ25)</f>
        <v>0</v>
      </c>
      <c r="AQ20" s="171">
        <f>SUMIF('CF(M)'!$L$10:$EQ$10,AQ$6,'CF(M)'!$L25:$EQ25)</f>
        <v>0</v>
      </c>
      <c r="AR20" s="171">
        <f>SUMIF('CF(M)'!$L$10:$EQ$10,AR$6,'CF(M)'!$L25:$EQ25)</f>
        <v>0</v>
      </c>
      <c r="AS20" s="171">
        <f>SUMIF('CF(M)'!$L$10:$EQ$10,AS$6,'CF(M)'!$L25:$EQ25)</f>
        <v>0</v>
      </c>
      <c r="AT20" s="171">
        <f>SUMIF('CF(M)'!$L$10:$EQ$10,AT$6,'CF(M)'!$L25:$EQ25)</f>
        <v>0</v>
      </c>
      <c r="AU20" s="171">
        <f>SUMIF('CF(M)'!$L$10:$EQ$10,AU$6,'CF(M)'!$L25:$EQ25)</f>
        <v>0</v>
      </c>
      <c r="AV20" s="171">
        <f>SUMIF('CF(M)'!$L$10:$EQ$10,AV$6,'CF(M)'!$L25:$EQ25)</f>
        <v>0</v>
      </c>
      <c r="AW20" s="171">
        <f>SUMIF('CF(M)'!$L$10:$EQ$10,AW$6,'CF(M)'!$L25:$EQ25)</f>
        <v>0</v>
      </c>
      <c r="AX20" s="171">
        <f>SUMIF('CF(M)'!$L$10:$EQ$10,AX$6,'CF(M)'!$L25:$EQ25)</f>
        <v>0</v>
      </c>
      <c r="AY20" s="171">
        <f>SUMIF('CF(M)'!$L$10:$EQ$10,AY$6,'CF(M)'!$L25:$EQ25)</f>
        <v>0</v>
      </c>
      <c r="AZ20" s="171">
        <f>SUMIF('CF(M)'!$L$10:$EQ$10,AZ$6,'CF(M)'!$L25:$EQ25)</f>
        <v>0</v>
      </c>
      <c r="BA20" s="171">
        <f>SUMIF('CF(M)'!$L$10:$EQ$10,BA$6,'CF(M)'!$L25:$EQ25)</f>
        <v>0</v>
      </c>
      <c r="BB20" s="171">
        <f>SUMIF('CF(M)'!$L$10:$EQ$10,BB$6,'CF(M)'!$L25:$EQ25)</f>
        <v>0</v>
      </c>
      <c r="BC20" s="171">
        <f>SUMIF('CF(M)'!$L$10:$EQ$10,BC$6,'CF(M)'!$L25:$EQ25)</f>
        <v>0</v>
      </c>
      <c r="BD20" s="171">
        <f>SUMIF('CF(M)'!$L$10:$EQ$10,BD$6,'CF(M)'!$L25:$EQ25)</f>
        <v>0</v>
      </c>
      <c r="BE20" s="171">
        <f>SUMIF('CF(M)'!$L$10:$EQ$10,BE$6,'CF(M)'!$L25:$EQ25)</f>
        <v>0</v>
      </c>
      <c r="BF20" s="171">
        <f>SUMIF('CF(M)'!$L$10:$EQ$10,BF$6,'CF(M)'!$L25:$EQ25)</f>
        <v>0</v>
      </c>
      <c r="BG20" s="171">
        <f>SUMIF('CF(M)'!$L$10:$EQ$10,BG$6,'CF(M)'!$L25:$EQ25)</f>
        <v>0</v>
      </c>
      <c r="BH20" s="171">
        <f>SUMIF('CF(M)'!$L$10:$EQ$10,BH$6,'CF(M)'!$L25:$EQ25)</f>
        <v>0</v>
      </c>
      <c r="BI20" s="171">
        <f>SUMIF('CF(M)'!$L$10:$EQ$10,BI$6,'CF(M)'!$L25:$EQ25)</f>
        <v>0</v>
      </c>
      <c r="BJ20" s="171">
        <f>SUMIF('CF(M)'!$L$10:$EQ$10,BJ$6,'CF(M)'!$L25:$EQ25)</f>
        <v>0</v>
      </c>
      <c r="BK20" s="171">
        <f>SUMIF('CF(M)'!$L$10:$EQ$10,BK$6,'CF(M)'!$L25:$EQ25)</f>
        <v>0</v>
      </c>
      <c r="BL20" s="171">
        <f>SUMIF('CF(M)'!$L$10:$EQ$10,BL$6,'CF(M)'!$L25:$EQ25)</f>
        <v>0</v>
      </c>
      <c r="BM20" s="171">
        <f>SUMIF('CF(M)'!$L$10:$EQ$10,BM$6,'CF(M)'!$L25:$EQ25)</f>
        <v>0</v>
      </c>
      <c r="BN20" s="171">
        <f>SUMIF('CF(M)'!$L$10:$EQ$10,BN$6,'CF(M)'!$L25:$EQ25)</f>
        <v>0</v>
      </c>
      <c r="BO20" s="171">
        <f>SUMIF('CF(M)'!$L$10:$EQ$10,BO$6,'CF(M)'!$L25:$EQ25)</f>
        <v>0</v>
      </c>
      <c r="BP20" s="171">
        <f>SUMIF('CF(M)'!$L$10:$EQ$10,BP$6,'CF(M)'!$L25:$EQ25)</f>
        <v>0</v>
      </c>
      <c r="BQ20" s="171">
        <f>SUMIF('CF(M)'!$L$10:$EQ$10,BQ$6,'CF(M)'!$L25:$EQ25)</f>
        <v>0</v>
      </c>
      <c r="BR20" s="171">
        <f>SUMIF('CF(M)'!$L$10:$EQ$10,BR$6,'CF(M)'!$L25:$EQ25)</f>
        <v>0</v>
      </c>
      <c r="BS20" s="171">
        <f>SUMIF('CF(M)'!$L$10:$EQ$10,BS$6,'CF(M)'!$L25:$EQ25)</f>
        <v>0</v>
      </c>
      <c r="BT20" s="171">
        <f>SUMIF('CF(M)'!$L$10:$EQ$10,BT$6,'CF(M)'!$L25:$EQ25)</f>
        <v>0</v>
      </c>
      <c r="BU20" s="171">
        <f>SUMIF('CF(M)'!$L$10:$EQ$10,BU$6,'CF(M)'!$L25:$EQ25)</f>
        <v>0</v>
      </c>
      <c r="BV20" s="171">
        <f>SUMIF('CF(M)'!$L$10:$EQ$10,BV$6,'CF(M)'!$L25:$EQ25)</f>
        <v>0</v>
      </c>
      <c r="BW20" s="171">
        <f>SUMIF('CF(M)'!$L$10:$EQ$10,BW$6,'CF(M)'!$L25:$EQ25)</f>
        <v>0</v>
      </c>
      <c r="BX20" s="171">
        <f>SUMIF('CF(M)'!$L$10:$EQ$10,BX$6,'CF(M)'!$L25:$EQ25)</f>
        <v>0</v>
      </c>
      <c r="BY20" s="171">
        <f>SUMIF('CF(M)'!$L$10:$EQ$10,BY$6,'CF(M)'!$L25:$EQ25)</f>
        <v>0</v>
      </c>
      <c r="BZ20" s="171">
        <f>SUMIF('CF(M)'!$L$10:$EQ$10,BZ$6,'CF(M)'!$L25:$EQ25)</f>
        <v>0</v>
      </c>
      <c r="CA20" s="171">
        <f>SUMIF('CF(M)'!$L$10:$EQ$10,CA$6,'CF(M)'!$L25:$EQ25)</f>
        <v>0</v>
      </c>
      <c r="CB20" s="171">
        <f>SUMIF('CF(M)'!$L$10:$EQ$10,CB$6,'CF(M)'!$L25:$EQ25)</f>
        <v>0</v>
      </c>
      <c r="CC20" s="171">
        <f>SUMIF('CF(M)'!$L$10:$EQ$10,CC$6,'CF(M)'!$L25:$EQ25)</f>
        <v>0</v>
      </c>
      <c r="CD20" s="171">
        <f>SUMIF('CF(M)'!$L$10:$EQ$10,CD$6,'CF(M)'!$L25:$EQ25)</f>
        <v>0</v>
      </c>
      <c r="CE20" s="171">
        <f>SUMIF('CF(M)'!$L$10:$EQ$10,CE$6,'CF(M)'!$L25:$EQ25)</f>
        <v>0</v>
      </c>
      <c r="CF20" s="171">
        <f>SUMIF('CF(M)'!$L$10:$EQ$10,CF$6,'CF(M)'!$L25:$EQ25)</f>
        <v>0</v>
      </c>
      <c r="CG20" s="171">
        <f>SUMIF('CF(M)'!$L$10:$EQ$10,CG$6,'CF(M)'!$L25:$EQ25)</f>
        <v>0</v>
      </c>
      <c r="CH20" s="171">
        <f>SUMIF('CF(M)'!$L$10:$EQ$10,CH$6,'CF(M)'!$L25:$EQ25)</f>
        <v>0</v>
      </c>
      <c r="CI20" s="171">
        <f>SUMIF('CF(M)'!$L$10:$EQ$10,CI$6,'CF(M)'!$L25:$EQ25)</f>
        <v>0</v>
      </c>
      <c r="CJ20" s="171">
        <f>SUMIF('CF(M)'!$L$10:$EQ$10,CJ$6,'CF(M)'!$L25:$EQ25)</f>
        <v>0</v>
      </c>
      <c r="CK20" s="171">
        <f>SUMIF('CF(M)'!$L$10:$EQ$10,CK$6,'CF(M)'!$L25:$EQ25)</f>
        <v>0</v>
      </c>
      <c r="CL20" s="171">
        <f>SUMIF('CF(M)'!$L$10:$EQ$10,CL$6,'CF(M)'!$L25:$EQ25)</f>
        <v>0</v>
      </c>
      <c r="CM20" s="171">
        <f>SUMIF('CF(M)'!$L$10:$EQ$10,CM$6,'CF(M)'!$L25:$EQ25)</f>
        <v>0</v>
      </c>
      <c r="CN20" s="171">
        <f>SUMIF('CF(M)'!$L$10:$EQ$10,CN$6,'CF(M)'!$L25:$EQ25)</f>
        <v>0</v>
      </c>
      <c r="CO20" s="171">
        <f>SUMIF('CF(M)'!$L$10:$EQ$10,CO$6,'CF(M)'!$L25:$EQ25)</f>
        <v>0</v>
      </c>
      <c r="CP20" s="171">
        <f>SUMIF('CF(M)'!$L$10:$EQ$10,CP$6,'CF(M)'!$L25:$EQ25)</f>
        <v>0</v>
      </c>
      <c r="CQ20" s="171">
        <f>SUMIF('CF(M)'!$L$10:$EQ$10,CQ$6,'CF(M)'!$L25:$EQ25)</f>
        <v>0</v>
      </c>
      <c r="CR20" s="171">
        <f>SUMIF('CF(M)'!$L$10:$EQ$10,CR$6,'CF(M)'!$L25:$EQ25)</f>
        <v>0</v>
      </c>
      <c r="CS20" s="171">
        <f>SUMIF('CF(M)'!$L$10:$EQ$10,CS$6,'CF(M)'!$L25:$EQ25)</f>
        <v>0</v>
      </c>
      <c r="CT20" s="171">
        <f>SUMIF('CF(M)'!$L$10:$EQ$10,CT$6,'CF(M)'!$L25:$EQ25)</f>
        <v>0</v>
      </c>
      <c r="CU20" s="171">
        <f>SUMIF('CF(M)'!$L$10:$EQ$10,CU$6,'CF(M)'!$L25:$EQ25)</f>
        <v>0</v>
      </c>
      <c r="CV20" s="171">
        <f>SUMIF('CF(M)'!$L$10:$EQ$10,CV$6,'CF(M)'!$L25:$EQ25)</f>
        <v>0</v>
      </c>
      <c r="CW20" s="171">
        <f>SUMIF('CF(M)'!$L$10:$EQ$10,CW$6,'CF(M)'!$L25:$EQ25)</f>
        <v>0</v>
      </c>
      <c r="CX20" s="171">
        <f>SUMIF('CF(M)'!$L$10:$EQ$10,CX$6,'CF(M)'!$L25:$EQ25)</f>
        <v>0</v>
      </c>
      <c r="CY20" s="171">
        <f>SUMIF('CF(M)'!$L$10:$EQ$10,CY$6,'CF(M)'!$L25:$EQ25)</f>
        <v>0</v>
      </c>
      <c r="CZ20" s="171">
        <f>SUMIF('CF(M)'!$L$10:$EQ$10,CZ$6,'CF(M)'!$L25:$EQ25)</f>
        <v>0</v>
      </c>
      <c r="DA20" s="171">
        <f>SUMIF('CF(M)'!$L$10:$EQ$10,DA$6,'CF(M)'!$L25:$EQ25)</f>
        <v>0</v>
      </c>
      <c r="DB20" s="171">
        <f>SUMIF('CF(M)'!$L$10:$EQ$10,DB$6,'CF(M)'!$L25:$EQ25)</f>
        <v>0</v>
      </c>
      <c r="DC20" s="171">
        <f>SUMIF('CF(M)'!$L$10:$EQ$10,DC$6,'CF(M)'!$L25:$EQ25)</f>
        <v>0</v>
      </c>
      <c r="DD20" s="171">
        <f>SUMIF('CF(M)'!$L$10:$EQ$10,DD$6,'CF(M)'!$L25:$EQ25)</f>
        <v>0</v>
      </c>
      <c r="DE20" s="171">
        <f>SUMIF('CF(M)'!$L$10:$EQ$10,DE$6,'CF(M)'!$L25:$EQ25)</f>
        <v>0</v>
      </c>
      <c r="DF20" s="171">
        <f>SUMIF('CF(M)'!$L$10:$EQ$10,DF$6,'CF(M)'!$L25:$EQ25)</f>
        <v>0</v>
      </c>
      <c r="DG20" s="171">
        <f>SUMIF('CF(M)'!$L$10:$EQ$10,DG$6,'CF(M)'!$L25:$EQ25)</f>
        <v>0</v>
      </c>
      <c r="DH20" s="171">
        <f>SUMIF('CF(M)'!$L$10:$EQ$10,DH$6,'CF(M)'!$L25:$EQ25)</f>
        <v>0</v>
      </c>
      <c r="DI20" s="171">
        <f>SUMIF('CF(M)'!$L$10:$EQ$10,DI$6,'CF(M)'!$L25:$EQ25)</f>
        <v>0</v>
      </c>
      <c r="DJ20" s="171">
        <f>SUMIF('CF(M)'!$L$10:$EQ$10,DJ$6,'CF(M)'!$L25:$EQ25)</f>
        <v>0</v>
      </c>
      <c r="DK20" s="171">
        <f>SUMIF('CF(M)'!$L$10:$EQ$10,DK$6,'CF(M)'!$L25:$EQ25)</f>
        <v>0</v>
      </c>
      <c r="DL20" s="171">
        <f>SUMIF('CF(M)'!$L$10:$EQ$10,DL$6,'CF(M)'!$L25:$EQ25)</f>
        <v>0</v>
      </c>
      <c r="DM20" s="171">
        <f>SUMIF('CF(M)'!$L$10:$EQ$10,DM$6,'CF(M)'!$L25:$EQ25)</f>
        <v>0</v>
      </c>
      <c r="DN20" s="171">
        <f>SUMIF('CF(M)'!$L$10:$EQ$10,DN$6,'CF(M)'!$L25:$EQ25)</f>
        <v>0</v>
      </c>
      <c r="DO20" s="171">
        <f>SUMIF('CF(M)'!$L$10:$EQ$10,DO$6,'CF(M)'!$L25:$EQ25)</f>
        <v>0</v>
      </c>
      <c r="DP20" s="171">
        <f>SUMIF('CF(M)'!$L$10:$EQ$10,DP$6,'CF(M)'!$L25:$EQ25)</f>
        <v>0</v>
      </c>
      <c r="DQ20" s="171">
        <f>SUMIF('CF(M)'!$L$10:$EQ$10,DQ$6,'CF(M)'!$L25:$EQ25)</f>
        <v>0</v>
      </c>
      <c r="DR20" s="171">
        <f>SUMIF('CF(M)'!$L$10:$EQ$10,DR$6,'CF(M)'!$L25:$EQ25)</f>
        <v>0</v>
      </c>
      <c r="DS20" s="171">
        <f>SUMIF('CF(M)'!$L$10:$EQ$10,DS$6,'CF(M)'!$L25:$EQ25)</f>
        <v>0</v>
      </c>
      <c r="DT20" s="171">
        <f>SUMIF('CF(M)'!$L$10:$EQ$10,DT$6,'CF(M)'!$L25:$EQ25)</f>
        <v>0</v>
      </c>
      <c r="DU20" s="171">
        <f>SUMIF('CF(M)'!$L$10:$EQ$10,DU$6,'CF(M)'!$L25:$EQ25)</f>
        <v>0</v>
      </c>
      <c r="DV20" s="171">
        <f>SUMIF('CF(M)'!$L$10:$EQ$10,DV$6,'CF(M)'!$L25:$EQ25)</f>
        <v>0</v>
      </c>
    </row>
    <row r="21" spans="2:126" ht="11.25" customHeight="1">
      <c r="B21" s="218"/>
      <c r="C21" s="163"/>
      <c r="D21" s="169" t="s">
        <v>80</v>
      </c>
      <c r="H21" s="146"/>
      <c r="I21" s="13"/>
      <c r="J21" s="171">
        <f t="shared" si="8"/>
        <v>0</v>
      </c>
      <c r="K21" s="98"/>
      <c r="L21" s="171">
        <f>SUMIF('CF(M)'!$L$10:$EQ$10,L$6,'CF(M)'!$L26:$EQ26)</f>
        <v>0</v>
      </c>
      <c r="M21" s="171">
        <f>SUMIF('CF(M)'!$L$10:$EQ$10,M$6,'CF(M)'!$L26:$EQ26)</f>
        <v>0</v>
      </c>
      <c r="N21" s="171">
        <f>SUMIF('CF(M)'!$L$10:$EQ$10,N$6,'CF(M)'!$L26:$EQ26)</f>
        <v>0</v>
      </c>
      <c r="O21" s="171">
        <f>SUMIF('CF(M)'!$L$10:$EQ$10,O$6,'CF(M)'!$L26:$EQ26)</f>
        <v>0</v>
      </c>
      <c r="P21" s="171">
        <f>SUMIF('CF(M)'!$L$10:$EQ$10,P$6,'CF(M)'!$L26:$EQ26)</f>
        <v>0</v>
      </c>
      <c r="Q21" s="171">
        <f>SUMIF('CF(M)'!$L$10:$EQ$10,Q$6,'CF(M)'!$L26:$EQ26)</f>
        <v>0</v>
      </c>
      <c r="R21" s="171">
        <f>SUMIF('CF(M)'!$L$10:$EQ$10,R$6,'CF(M)'!$L26:$EQ26)</f>
        <v>0</v>
      </c>
      <c r="S21" s="171">
        <f>SUMIF('CF(M)'!$L$10:$EQ$10,S$6,'CF(M)'!$L26:$EQ26)</f>
        <v>0</v>
      </c>
      <c r="T21" s="171">
        <f>SUMIF('CF(M)'!$L$10:$EQ$10,T$6,'CF(M)'!$L26:$EQ26)</f>
        <v>0</v>
      </c>
      <c r="U21" s="171">
        <f>SUMIF('CF(M)'!$L$10:$EQ$10,U$6,'CF(M)'!$L26:$EQ26)</f>
        <v>0</v>
      </c>
      <c r="V21" s="171">
        <f>SUMIF('CF(M)'!$L$10:$EQ$10,V$6,'CF(M)'!$L26:$EQ26)</f>
        <v>0</v>
      </c>
      <c r="W21" s="171">
        <f>SUMIF('CF(M)'!$L$10:$EQ$10,W$6,'CF(M)'!$L26:$EQ26)</f>
        <v>0</v>
      </c>
      <c r="X21" s="171">
        <f>SUMIF('CF(M)'!$L$10:$EQ$10,X$6,'CF(M)'!$L26:$EQ26)</f>
        <v>0</v>
      </c>
      <c r="Y21" s="171">
        <f>SUMIF('CF(M)'!$L$10:$EQ$10,Y$6,'CF(M)'!$L26:$EQ26)</f>
        <v>0</v>
      </c>
      <c r="Z21" s="171">
        <f>SUMIF('CF(M)'!$L$10:$EQ$10,Z$6,'CF(M)'!$L26:$EQ26)</f>
        <v>0</v>
      </c>
      <c r="AA21" s="171">
        <f>SUMIF('CF(M)'!$L$10:$EQ$10,AA$6,'CF(M)'!$L26:$EQ26)</f>
        <v>0</v>
      </c>
      <c r="AB21" s="171">
        <f>SUMIF('CF(M)'!$L$10:$EQ$10,AB$6,'CF(M)'!$L26:$EQ26)</f>
        <v>0</v>
      </c>
      <c r="AC21" s="171">
        <f>SUMIF('CF(M)'!$L$10:$EQ$10,AC$6,'CF(M)'!$L26:$EQ26)</f>
        <v>0</v>
      </c>
      <c r="AD21" s="171">
        <f>SUMIF('CF(M)'!$L$10:$EQ$10,AD$6,'CF(M)'!$L26:$EQ26)</f>
        <v>0</v>
      </c>
      <c r="AE21" s="171">
        <f>SUMIF('CF(M)'!$L$10:$EQ$10,AE$6,'CF(M)'!$L26:$EQ26)</f>
        <v>0</v>
      </c>
      <c r="AF21" s="171">
        <f>SUMIF('CF(M)'!$L$10:$EQ$10,AF$6,'CF(M)'!$L26:$EQ26)</f>
        <v>0</v>
      </c>
      <c r="AG21" s="171">
        <f>SUMIF('CF(M)'!$L$10:$EQ$10,AG$6,'CF(M)'!$L26:$EQ26)</f>
        <v>0</v>
      </c>
      <c r="AH21" s="171">
        <f>SUMIF('CF(M)'!$L$10:$EQ$10,AH$6,'CF(M)'!$L26:$EQ26)</f>
        <v>0</v>
      </c>
      <c r="AI21" s="171">
        <f>SUMIF('CF(M)'!$L$10:$EQ$10,AI$6,'CF(M)'!$L26:$EQ26)</f>
        <v>0</v>
      </c>
      <c r="AJ21" s="171">
        <f>SUMIF('CF(M)'!$L$10:$EQ$10,AJ$6,'CF(M)'!$L26:$EQ26)</f>
        <v>0</v>
      </c>
      <c r="AK21" s="171">
        <f>SUMIF('CF(M)'!$L$10:$EQ$10,AK$6,'CF(M)'!$L26:$EQ26)</f>
        <v>0</v>
      </c>
      <c r="AL21" s="171">
        <f>SUMIF('CF(M)'!$L$10:$EQ$10,AL$6,'CF(M)'!$L26:$EQ26)</f>
        <v>0</v>
      </c>
      <c r="AM21" s="171">
        <f>SUMIF('CF(M)'!$L$10:$EQ$10,AM$6,'CF(M)'!$L26:$EQ26)</f>
        <v>0</v>
      </c>
      <c r="AN21" s="171">
        <f>SUMIF('CF(M)'!$L$10:$EQ$10,AN$6,'CF(M)'!$L26:$EQ26)</f>
        <v>0</v>
      </c>
      <c r="AO21" s="171">
        <f>SUMIF('CF(M)'!$L$10:$EQ$10,AO$6,'CF(M)'!$L26:$EQ26)</f>
        <v>0</v>
      </c>
      <c r="AP21" s="171">
        <f>SUMIF('CF(M)'!$L$10:$EQ$10,AP$6,'CF(M)'!$L26:$EQ26)</f>
        <v>0</v>
      </c>
      <c r="AQ21" s="171">
        <f>SUMIF('CF(M)'!$L$10:$EQ$10,AQ$6,'CF(M)'!$L26:$EQ26)</f>
        <v>0</v>
      </c>
      <c r="AR21" s="171">
        <f>SUMIF('CF(M)'!$L$10:$EQ$10,AR$6,'CF(M)'!$L26:$EQ26)</f>
        <v>0</v>
      </c>
      <c r="AS21" s="171">
        <f>SUMIF('CF(M)'!$L$10:$EQ$10,AS$6,'CF(M)'!$L26:$EQ26)</f>
        <v>0</v>
      </c>
      <c r="AT21" s="171">
        <f>SUMIF('CF(M)'!$L$10:$EQ$10,AT$6,'CF(M)'!$L26:$EQ26)</f>
        <v>0</v>
      </c>
      <c r="AU21" s="171">
        <f>SUMIF('CF(M)'!$L$10:$EQ$10,AU$6,'CF(M)'!$L26:$EQ26)</f>
        <v>0</v>
      </c>
      <c r="AV21" s="171">
        <f>SUMIF('CF(M)'!$L$10:$EQ$10,AV$6,'CF(M)'!$L26:$EQ26)</f>
        <v>0</v>
      </c>
      <c r="AW21" s="171">
        <f>SUMIF('CF(M)'!$L$10:$EQ$10,AW$6,'CF(M)'!$L26:$EQ26)</f>
        <v>0</v>
      </c>
      <c r="AX21" s="171">
        <f>SUMIF('CF(M)'!$L$10:$EQ$10,AX$6,'CF(M)'!$L26:$EQ26)</f>
        <v>0</v>
      </c>
      <c r="AY21" s="171">
        <f>SUMIF('CF(M)'!$L$10:$EQ$10,AY$6,'CF(M)'!$L26:$EQ26)</f>
        <v>0</v>
      </c>
      <c r="AZ21" s="171">
        <f>SUMIF('CF(M)'!$L$10:$EQ$10,AZ$6,'CF(M)'!$L26:$EQ26)</f>
        <v>0</v>
      </c>
      <c r="BA21" s="171">
        <f>SUMIF('CF(M)'!$L$10:$EQ$10,BA$6,'CF(M)'!$L26:$EQ26)</f>
        <v>0</v>
      </c>
      <c r="BB21" s="171">
        <f>SUMIF('CF(M)'!$L$10:$EQ$10,BB$6,'CF(M)'!$L26:$EQ26)</f>
        <v>0</v>
      </c>
      <c r="BC21" s="171">
        <f>SUMIF('CF(M)'!$L$10:$EQ$10,BC$6,'CF(M)'!$L26:$EQ26)</f>
        <v>0</v>
      </c>
      <c r="BD21" s="171">
        <f>SUMIF('CF(M)'!$L$10:$EQ$10,BD$6,'CF(M)'!$L26:$EQ26)</f>
        <v>0</v>
      </c>
      <c r="BE21" s="171">
        <f>SUMIF('CF(M)'!$L$10:$EQ$10,BE$6,'CF(M)'!$L26:$EQ26)</f>
        <v>0</v>
      </c>
      <c r="BF21" s="171">
        <f>SUMIF('CF(M)'!$L$10:$EQ$10,BF$6,'CF(M)'!$L26:$EQ26)</f>
        <v>0</v>
      </c>
      <c r="BG21" s="171">
        <f>SUMIF('CF(M)'!$L$10:$EQ$10,BG$6,'CF(M)'!$L26:$EQ26)</f>
        <v>0</v>
      </c>
      <c r="BH21" s="171">
        <f>SUMIF('CF(M)'!$L$10:$EQ$10,BH$6,'CF(M)'!$L26:$EQ26)</f>
        <v>0</v>
      </c>
      <c r="BI21" s="171">
        <f>SUMIF('CF(M)'!$L$10:$EQ$10,BI$6,'CF(M)'!$L26:$EQ26)</f>
        <v>0</v>
      </c>
      <c r="BJ21" s="171">
        <f>SUMIF('CF(M)'!$L$10:$EQ$10,BJ$6,'CF(M)'!$L26:$EQ26)</f>
        <v>0</v>
      </c>
      <c r="BK21" s="171">
        <f>SUMIF('CF(M)'!$L$10:$EQ$10,BK$6,'CF(M)'!$L26:$EQ26)</f>
        <v>0</v>
      </c>
      <c r="BL21" s="171">
        <f>SUMIF('CF(M)'!$L$10:$EQ$10,BL$6,'CF(M)'!$L26:$EQ26)</f>
        <v>0</v>
      </c>
      <c r="BM21" s="171">
        <f>SUMIF('CF(M)'!$L$10:$EQ$10,BM$6,'CF(M)'!$L26:$EQ26)</f>
        <v>0</v>
      </c>
      <c r="BN21" s="171">
        <f>SUMIF('CF(M)'!$L$10:$EQ$10,BN$6,'CF(M)'!$L26:$EQ26)</f>
        <v>0</v>
      </c>
      <c r="BO21" s="171">
        <f>SUMIF('CF(M)'!$L$10:$EQ$10,BO$6,'CF(M)'!$L26:$EQ26)</f>
        <v>0</v>
      </c>
      <c r="BP21" s="171">
        <f>SUMIF('CF(M)'!$L$10:$EQ$10,BP$6,'CF(M)'!$L26:$EQ26)</f>
        <v>0</v>
      </c>
      <c r="BQ21" s="171">
        <f>SUMIF('CF(M)'!$L$10:$EQ$10,BQ$6,'CF(M)'!$L26:$EQ26)</f>
        <v>0</v>
      </c>
      <c r="BR21" s="171">
        <f>SUMIF('CF(M)'!$L$10:$EQ$10,BR$6,'CF(M)'!$L26:$EQ26)</f>
        <v>0</v>
      </c>
      <c r="BS21" s="171">
        <f>SUMIF('CF(M)'!$L$10:$EQ$10,BS$6,'CF(M)'!$L26:$EQ26)</f>
        <v>0</v>
      </c>
      <c r="BT21" s="171">
        <f>SUMIF('CF(M)'!$L$10:$EQ$10,BT$6,'CF(M)'!$L26:$EQ26)</f>
        <v>0</v>
      </c>
      <c r="BU21" s="171">
        <f>SUMIF('CF(M)'!$L$10:$EQ$10,BU$6,'CF(M)'!$L26:$EQ26)</f>
        <v>0</v>
      </c>
      <c r="BV21" s="171">
        <f>SUMIF('CF(M)'!$L$10:$EQ$10,BV$6,'CF(M)'!$L26:$EQ26)</f>
        <v>0</v>
      </c>
      <c r="BW21" s="171">
        <f>SUMIF('CF(M)'!$L$10:$EQ$10,BW$6,'CF(M)'!$L26:$EQ26)</f>
        <v>0</v>
      </c>
      <c r="BX21" s="171">
        <f>SUMIF('CF(M)'!$L$10:$EQ$10,BX$6,'CF(M)'!$L26:$EQ26)</f>
        <v>0</v>
      </c>
      <c r="BY21" s="171">
        <f>SUMIF('CF(M)'!$L$10:$EQ$10,BY$6,'CF(M)'!$L26:$EQ26)</f>
        <v>0</v>
      </c>
      <c r="BZ21" s="171">
        <f>SUMIF('CF(M)'!$L$10:$EQ$10,BZ$6,'CF(M)'!$L26:$EQ26)</f>
        <v>0</v>
      </c>
      <c r="CA21" s="171">
        <f>SUMIF('CF(M)'!$L$10:$EQ$10,CA$6,'CF(M)'!$L26:$EQ26)</f>
        <v>0</v>
      </c>
      <c r="CB21" s="171">
        <f>SUMIF('CF(M)'!$L$10:$EQ$10,CB$6,'CF(M)'!$L26:$EQ26)</f>
        <v>0</v>
      </c>
      <c r="CC21" s="171">
        <f>SUMIF('CF(M)'!$L$10:$EQ$10,CC$6,'CF(M)'!$L26:$EQ26)</f>
        <v>0</v>
      </c>
      <c r="CD21" s="171">
        <f>SUMIF('CF(M)'!$L$10:$EQ$10,CD$6,'CF(M)'!$L26:$EQ26)</f>
        <v>0</v>
      </c>
      <c r="CE21" s="171">
        <f>SUMIF('CF(M)'!$L$10:$EQ$10,CE$6,'CF(M)'!$L26:$EQ26)</f>
        <v>0</v>
      </c>
      <c r="CF21" s="171">
        <f>SUMIF('CF(M)'!$L$10:$EQ$10,CF$6,'CF(M)'!$L26:$EQ26)</f>
        <v>0</v>
      </c>
      <c r="CG21" s="171">
        <f>SUMIF('CF(M)'!$L$10:$EQ$10,CG$6,'CF(M)'!$L26:$EQ26)</f>
        <v>0</v>
      </c>
      <c r="CH21" s="171">
        <f>SUMIF('CF(M)'!$L$10:$EQ$10,CH$6,'CF(M)'!$L26:$EQ26)</f>
        <v>0</v>
      </c>
      <c r="CI21" s="171">
        <f>SUMIF('CF(M)'!$L$10:$EQ$10,CI$6,'CF(M)'!$L26:$EQ26)</f>
        <v>0</v>
      </c>
      <c r="CJ21" s="171">
        <f>SUMIF('CF(M)'!$L$10:$EQ$10,CJ$6,'CF(M)'!$L26:$EQ26)</f>
        <v>0</v>
      </c>
      <c r="CK21" s="171">
        <f>SUMIF('CF(M)'!$L$10:$EQ$10,CK$6,'CF(M)'!$L26:$EQ26)</f>
        <v>0</v>
      </c>
      <c r="CL21" s="171">
        <f>SUMIF('CF(M)'!$L$10:$EQ$10,CL$6,'CF(M)'!$L26:$EQ26)</f>
        <v>0</v>
      </c>
      <c r="CM21" s="171">
        <f>SUMIF('CF(M)'!$L$10:$EQ$10,CM$6,'CF(M)'!$L26:$EQ26)</f>
        <v>0</v>
      </c>
      <c r="CN21" s="171">
        <f>SUMIF('CF(M)'!$L$10:$EQ$10,CN$6,'CF(M)'!$L26:$EQ26)</f>
        <v>0</v>
      </c>
      <c r="CO21" s="171">
        <f>SUMIF('CF(M)'!$L$10:$EQ$10,CO$6,'CF(M)'!$L26:$EQ26)</f>
        <v>0</v>
      </c>
      <c r="CP21" s="171">
        <f>SUMIF('CF(M)'!$L$10:$EQ$10,CP$6,'CF(M)'!$L26:$EQ26)</f>
        <v>0</v>
      </c>
      <c r="CQ21" s="171">
        <f>SUMIF('CF(M)'!$L$10:$EQ$10,CQ$6,'CF(M)'!$L26:$EQ26)</f>
        <v>0</v>
      </c>
      <c r="CR21" s="171">
        <f>SUMIF('CF(M)'!$L$10:$EQ$10,CR$6,'CF(M)'!$L26:$EQ26)</f>
        <v>0</v>
      </c>
      <c r="CS21" s="171">
        <f>SUMIF('CF(M)'!$L$10:$EQ$10,CS$6,'CF(M)'!$L26:$EQ26)</f>
        <v>0</v>
      </c>
      <c r="CT21" s="171">
        <f>SUMIF('CF(M)'!$L$10:$EQ$10,CT$6,'CF(M)'!$L26:$EQ26)</f>
        <v>0</v>
      </c>
      <c r="CU21" s="171">
        <f>SUMIF('CF(M)'!$L$10:$EQ$10,CU$6,'CF(M)'!$L26:$EQ26)</f>
        <v>0</v>
      </c>
      <c r="CV21" s="171">
        <f>SUMIF('CF(M)'!$L$10:$EQ$10,CV$6,'CF(M)'!$L26:$EQ26)</f>
        <v>0</v>
      </c>
      <c r="CW21" s="171">
        <f>SUMIF('CF(M)'!$L$10:$EQ$10,CW$6,'CF(M)'!$L26:$EQ26)</f>
        <v>0</v>
      </c>
      <c r="CX21" s="171">
        <f>SUMIF('CF(M)'!$L$10:$EQ$10,CX$6,'CF(M)'!$L26:$EQ26)</f>
        <v>0</v>
      </c>
      <c r="CY21" s="171">
        <f>SUMIF('CF(M)'!$L$10:$EQ$10,CY$6,'CF(M)'!$L26:$EQ26)</f>
        <v>0</v>
      </c>
      <c r="CZ21" s="171">
        <f>SUMIF('CF(M)'!$L$10:$EQ$10,CZ$6,'CF(M)'!$L26:$EQ26)</f>
        <v>0</v>
      </c>
      <c r="DA21" s="171">
        <f>SUMIF('CF(M)'!$L$10:$EQ$10,DA$6,'CF(M)'!$L26:$EQ26)</f>
        <v>0</v>
      </c>
      <c r="DB21" s="171">
        <f>SUMIF('CF(M)'!$L$10:$EQ$10,DB$6,'CF(M)'!$L26:$EQ26)</f>
        <v>0</v>
      </c>
      <c r="DC21" s="171">
        <f>SUMIF('CF(M)'!$L$10:$EQ$10,DC$6,'CF(M)'!$L26:$EQ26)</f>
        <v>0</v>
      </c>
      <c r="DD21" s="171">
        <f>SUMIF('CF(M)'!$L$10:$EQ$10,DD$6,'CF(M)'!$L26:$EQ26)</f>
        <v>0</v>
      </c>
      <c r="DE21" s="171">
        <f>SUMIF('CF(M)'!$L$10:$EQ$10,DE$6,'CF(M)'!$L26:$EQ26)</f>
        <v>0</v>
      </c>
      <c r="DF21" s="171">
        <f>SUMIF('CF(M)'!$L$10:$EQ$10,DF$6,'CF(M)'!$L26:$EQ26)</f>
        <v>0</v>
      </c>
      <c r="DG21" s="171">
        <f>SUMIF('CF(M)'!$L$10:$EQ$10,DG$6,'CF(M)'!$L26:$EQ26)</f>
        <v>0</v>
      </c>
      <c r="DH21" s="171">
        <f>SUMIF('CF(M)'!$L$10:$EQ$10,DH$6,'CF(M)'!$L26:$EQ26)</f>
        <v>0</v>
      </c>
      <c r="DI21" s="171">
        <f>SUMIF('CF(M)'!$L$10:$EQ$10,DI$6,'CF(M)'!$L26:$EQ26)</f>
        <v>0</v>
      </c>
      <c r="DJ21" s="171">
        <f>SUMIF('CF(M)'!$L$10:$EQ$10,DJ$6,'CF(M)'!$L26:$EQ26)</f>
        <v>0</v>
      </c>
      <c r="DK21" s="171">
        <f>SUMIF('CF(M)'!$L$10:$EQ$10,DK$6,'CF(M)'!$L26:$EQ26)</f>
        <v>0</v>
      </c>
      <c r="DL21" s="171">
        <f>SUMIF('CF(M)'!$L$10:$EQ$10,DL$6,'CF(M)'!$L26:$EQ26)</f>
        <v>0</v>
      </c>
      <c r="DM21" s="171">
        <f>SUMIF('CF(M)'!$L$10:$EQ$10,DM$6,'CF(M)'!$L26:$EQ26)</f>
        <v>0</v>
      </c>
      <c r="DN21" s="171">
        <f>SUMIF('CF(M)'!$L$10:$EQ$10,DN$6,'CF(M)'!$L26:$EQ26)</f>
        <v>0</v>
      </c>
      <c r="DO21" s="171">
        <f>SUMIF('CF(M)'!$L$10:$EQ$10,DO$6,'CF(M)'!$L26:$EQ26)</f>
        <v>0</v>
      </c>
      <c r="DP21" s="171">
        <f>SUMIF('CF(M)'!$L$10:$EQ$10,DP$6,'CF(M)'!$L26:$EQ26)</f>
        <v>0</v>
      </c>
      <c r="DQ21" s="171">
        <f>SUMIF('CF(M)'!$L$10:$EQ$10,DQ$6,'CF(M)'!$L26:$EQ26)</f>
        <v>0</v>
      </c>
      <c r="DR21" s="171">
        <f>SUMIF('CF(M)'!$L$10:$EQ$10,DR$6,'CF(M)'!$L26:$EQ26)</f>
        <v>0</v>
      </c>
      <c r="DS21" s="171">
        <f>SUMIF('CF(M)'!$L$10:$EQ$10,DS$6,'CF(M)'!$L26:$EQ26)</f>
        <v>0</v>
      </c>
      <c r="DT21" s="171">
        <f>SUMIF('CF(M)'!$L$10:$EQ$10,DT$6,'CF(M)'!$L26:$EQ26)</f>
        <v>0</v>
      </c>
      <c r="DU21" s="171">
        <f>SUMIF('CF(M)'!$L$10:$EQ$10,DU$6,'CF(M)'!$L26:$EQ26)</f>
        <v>0</v>
      </c>
      <c r="DV21" s="171">
        <f>SUMIF('CF(M)'!$L$10:$EQ$10,DV$6,'CF(M)'!$L26:$EQ26)</f>
        <v>0</v>
      </c>
    </row>
    <row r="22" spans="2:126" ht="11.25" customHeight="1">
      <c r="B22" s="218"/>
      <c r="C22" s="163"/>
      <c r="D22" s="169" t="s">
        <v>83</v>
      </c>
      <c r="H22" s="146"/>
      <c r="I22" s="13"/>
      <c r="J22" s="171">
        <f t="shared" ca="1" si="8"/>
        <v>-6789202.8330659661</v>
      </c>
      <c r="K22" s="98"/>
      <c r="L22" s="171">
        <f ca="1">SUMIF('CF(M)'!$L$10:$EQ$10,L$6,'CF(M)'!$L27:$EQ27)</f>
        <v>0</v>
      </c>
      <c r="M22" s="171">
        <f ca="1">SUMIF('CF(M)'!$L$10:$EQ$10,M$6,'CF(M)'!$L27:$EQ27)</f>
        <v>-742284.70000000007</v>
      </c>
      <c r="N22" s="171">
        <f ca="1">SUMIF('CF(M)'!$L$10:$EQ$10,N$6,'CF(M)'!$L27:$EQ27)</f>
        <v>0</v>
      </c>
      <c r="O22" s="171">
        <f ca="1">SUMIF('CF(M)'!$L$10:$EQ$10,O$6,'CF(M)'!$L27:$EQ27)</f>
        <v>-727439.00600000017</v>
      </c>
      <c r="P22" s="171">
        <f ca="1">SUMIF('CF(M)'!$L$10:$EQ$10,P$6,'CF(M)'!$L27:$EQ27)</f>
        <v>0</v>
      </c>
      <c r="Q22" s="171">
        <f ca="1">SUMIF('CF(M)'!$L$10:$EQ$10,Q$6,'CF(M)'!$L27:$EQ27)</f>
        <v>-712890.22587999993</v>
      </c>
      <c r="R22" s="171">
        <f ca="1">SUMIF('CF(M)'!$L$10:$EQ$10,R$6,'CF(M)'!$L27:$EQ27)</f>
        <v>0</v>
      </c>
      <c r="S22" s="171">
        <f ca="1">SUMIF('CF(M)'!$L$10:$EQ$10,S$6,'CF(M)'!$L27:$EQ27)</f>
        <v>-698632.42136240005</v>
      </c>
      <c r="T22" s="171">
        <f ca="1">SUMIF('CF(M)'!$L$10:$EQ$10,T$6,'CF(M)'!$L27:$EQ27)</f>
        <v>0</v>
      </c>
      <c r="U22" s="171">
        <f ca="1">SUMIF('CF(M)'!$L$10:$EQ$10,U$6,'CF(M)'!$L27:$EQ27)</f>
        <v>-684659.77293515205</v>
      </c>
      <c r="V22" s="171">
        <f ca="1">SUMIF('CF(M)'!$L$10:$EQ$10,V$6,'CF(M)'!$L27:$EQ27)</f>
        <v>0</v>
      </c>
      <c r="W22" s="171">
        <f ca="1">SUMIF('CF(M)'!$L$10:$EQ$10,W$6,'CF(M)'!$L27:$EQ27)</f>
        <v>-670966.57747644885</v>
      </c>
      <c r="X22" s="171">
        <f ca="1">SUMIF('CF(M)'!$L$10:$EQ$10,X$6,'CF(M)'!$L27:$EQ27)</f>
        <v>0</v>
      </c>
      <c r="Y22" s="171">
        <f ca="1">SUMIF('CF(M)'!$L$10:$EQ$10,Y$6,'CF(M)'!$L27:$EQ27)</f>
        <v>-657547.24592691998</v>
      </c>
      <c r="Z22" s="171">
        <f ca="1">SUMIF('CF(M)'!$L$10:$EQ$10,Z$6,'CF(M)'!$L27:$EQ27)</f>
        <v>0</v>
      </c>
      <c r="AA22" s="171">
        <f ca="1">SUMIF('CF(M)'!$L$10:$EQ$10,AA$6,'CF(M)'!$L27:$EQ27)</f>
        <v>-644396.30100838176</v>
      </c>
      <c r="AB22" s="171">
        <f ca="1">SUMIF('CF(M)'!$L$10:$EQ$10,AB$6,'CF(M)'!$L27:$EQ27)</f>
        <v>0</v>
      </c>
      <c r="AC22" s="171">
        <f ca="1">SUMIF('CF(M)'!$L$10:$EQ$10,AC$6,'CF(M)'!$L27:$EQ27)</f>
        <v>-631508.37498821388</v>
      </c>
      <c r="AD22" s="171">
        <f ca="1">SUMIF('CF(M)'!$L$10:$EQ$10,AD$6,'CF(M)'!$L27:$EQ27)</f>
        <v>0</v>
      </c>
      <c r="AE22" s="171">
        <f ca="1">SUMIF('CF(M)'!$L$10:$EQ$10,AE$6,'CF(M)'!$L27:$EQ27)</f>
        <v>-618878.20748844964</v>
      </c>
      <c r="AF22" s="171">
        <f ca="1">SUMIF('CF(M)'!$L$10:$EQ$10,AF$6,'CF(M)'!$L27:$EQ27)</f>
        <v>0</v>
      </c>
      <c r="AG22" s="171">
        <f ca="1">SUMIF('CF(M)'!$L$10:$EQ$10,AG$6,'CF(M)'!$L27:$EQ27)</f>
        <v>0</v>
      </c>
      <c r="AH22" s="171">
        <f ca="1">SUMIF('CF(M)'!$L$10:$EQ$10,AH$6,'CF(M)'!$L27:$EQ27)</f>
        <v>0</v>
      </c>
      <c r="AI22" s="171">
        <f ca="1">SUMIF('CF(M)'!$L$10:$EQ$10,AI$6,'CF(M)'!$L27:$EQ27)</f>
        <v>0</v>
      </c>
      <c r="AJ22" s="171">
        <f>SUMIF('CF(M)'!$L$10:$EQ$10,AJ$6,'CF(M)'!$L27:$EQ27)</f>
        <v>0</v>
      </c>
      <c r="AK22" s="171">
        <f>SUMIF('CF(M)'!$L$10:$EQ$10,AK$6,'CF(M)'!$L27:$EQ27)</f>
        <v>0</v>
      </c>
      <c r="AL22" s="171">
        <f>SUMIF('CF(M)'!$L$10:$EQ$10,AL$6,'CF(M)'!$L27:$EQ27)</f>
        <v>0</v>
      </c>
      <c r="AM22" s="171">
        <f>SUMIF('CF(M)'!$L$10:$EQ$10,AM$6,'CF(M)'!$L27:$EQ27)</f>
        <v>0</v>
      </c>
      <c r="AN22" s="171">
        <f>SUMIF('CF(M)'!$L$10:$EQ$10,AN$6,'CF(M)'!$L27:$EQ27)</f>
        <v>0</v>
      </c>
      <c r="AO22" s="171">
        <f>SUMIF('CF(M)'!$L$10:$EQ$10,AO$6,'CF(M)'!$L27:$EQ27)</f>
        <v>0</v>
      </c>
      <c r="AP22" s="171">
        <f>SUMIF('CF(M)'!$L$10:$EQ$10,AP$6,'CF(M)'!$L27:$EQ27)</f>
        <v>0</v>
      </c>
      <c r="AQ22" s="171">
        <f>SUMIF('CF(M)'!$L$10:$EQ$10,AQ$6,'CF(M)'!$L27:$EQ27)</f>
        <v>0</v>
      </c>
      <c r="AR22" s="171">
        <f>SUMIF('CF(M)'!$L$10:$EQ$10,AR$6,'CF(M)'!$L27:$EQ27)</f>
        <v>0</v>
      </c>
      <c r="AS22" s="171">
        <f>SUMIF('CF(M)'!$L$10:$EQ$10,AS$6,'CF(M)'!$L27:$EQ27)</f>
        <v>0</v>
      </c>
      <c r="AT22" s="171">
        <f>SUMIF('CF(M)'!$L$10:$EQ$10,AT$6,'CF(M)'!$L27:$EQ27)</f>
        <v>0</v>
      </c>
      <c r="AU22" s="171">
        <f>SUMIF('CF(M)'!$L$10:$EQ$10,AU$6,'CF(M)'!$L27:$EQ27)</f>
        <v>0</v>
      </c>
      <c r="AV22" s="171">
        <f>SUMIF('CF(M)'!$L$10:$EQ$10,AV$6,'CF(M)'!$L27:$EQ27)</f>
        <v>0</v>
      </c>
      <c r="AW22" s="171">
        <f>SUMIF('CF(M)'!$L$10:$EQ$10,AW$6,'CF(M)'!$L27:$EQ27)</f>
        <v>0</v>
      </c>
      <c r="AX22" s="171">
        <f>SUMIF('CF(M)'!$L$10:$EQ$10,AX$6,'CF(M)'!$L27:$EQ27)</f>
        <v>0</v>
      </c>
      <c r="AY22" s="171">
        <f>SUMIF('CF(M)'!$L$10:$EQ$10,AY$6,'CF(M)'!$L27:$EQ27)</f>
        <v>0</v>
      </c>
      <c r="AZ22" s="171">
        <f>SUMIF('CF(M)'!$L$10:$EQ$10,AZ$6,'CF(M)'!$L27:$EQ27)</f>
        <v>0</v>
      </c>
      <c r="BA22" s="171">
        <f>SUMIF('CF(M)'!$L$10:$EQ$10,BA$6,'CF(M)'!$L27:$EQ27)</f>
        <v>0</v>
      </c>
      <c r="BB22" s="171">
        <f>SUMIF('CF(M)'!$L$10:$EQ$10,BB$6,'CF(M)'!$L27:$EQ27)</f>
        <v>0</v>
      </c>
      <c r="BC22" s="171">
        <f>SUMIF('CF(M)'!$L$10:$EQ$10,BC$6,'CF(M)'!$L27:$EQ27)</f>
        <v>0</v>
      </c>
      <c r="BD22" s="171">
        <f>SUMIF('CF(M)'!$L$10:$EQ$10,BD$6,'CF(M)'!$L27:$EQ27)</f>
        <v>0</v>
      </c>
      <c r="BE22" s="171">
        <f>SUMIF('CF(M)'!$L$10:$EQ$10,BE$6,'CF(M)'!$L27:$EQ27)</f>
        <v>0</v>
      </c>
      <c r="BF22" s="171">
        <f>SUMIF('CF(M)'!$L$10:$EQ$10,BF$6,'CF(M)'!$L27:$EQ27)</f>
        <v>0</v>
      </c>
      <c r="BG22" s="171">
        <f>SUMIF('CF(M)'!$L$10:$EQ$10,BG$6,'CF(M)'!$L27:$EQ27)</f>
        <v>0</v>
      </c>
      <c r="BH22" s="171">
        <f>SUMIF('CF(M)'!$L$10:$EQ$10,BH$6,'CF(M)'!$L27:$EQ27)</f>
        <v>0</v>
      </c>
      <c r="BI22" s="171">
        <f>SUMIF('CF(M)'!$L$10:$EQ$10,BI$6,'CF(M)'!$L27:$EQ27)</f>
        <v>0</v>
      </c>
      <c r="BJ22" s="171">
        <f>SUMIF('CF(M)'!$L$10:$EQ$10,BJ$6,'CF(M)'!$L27:$EQ27)</f>
        <v>0</v>
      </c>
      <c r="BK22" s="171">
        <f>SUMIF('CF(M)'!$L$10:$EQ$10,BK$6,'CF(M)'!$L27:$EQ27)</f>
        <v>0</v>
      </c>
      <c r="BL22" s="171">
        <f>SUMIF('CF(M)'!$L$10:$EQ$10,BL$6,'CF(M)'!$L27:$EQ27)</f>
        <v>0</v>
      </c>
      <c r="BM22" s="171">
        <f>SUMIF('CF(M)'!$L$10:$EQ$10,BM$6,'CF(M)'!$L27:$EQ27)</f>
        <v>0</v>
      </c>
      <c r="BN22" s="171">
        <f>SUMIF('CF(M)'!$L$10:$EQ$10,BN$6,'CF(M)'!$L27:$EQ27)</f>
        <v>0</v>
      </c>
      <c r="BO22" s="171">
        <f>SUMIF('CF(M)'!$L$10:$EQ$10,BO$6,'CF(M)'!$L27:$EQ27)</f>
        <v>0</v>
      </c>
      <c r="BP22" s="171">
        <f>SUMIF('CF(M)'!$L$10:$EQ$10,BP$6,'CF(M)'!$L27:$EQ27)</f>
        <v>0</v>
      </c>
      <c r="BQ22" s="171">
        <f>SUMIF('CF(M)'!$L$10:$EQ$10,BQ$6,'CF(M)'!$L27:$EQ27)</f>
        <v>0</v>
      </c>
      <c r="BR22" s="171">
        <f>SUMIF('CF(M)'!$L$10:$EQ$10,BR$6,'CF(M)'!$L27:$EQ27)</f>
        <v>0</v>
      </c>
      <c r="BS22" s="171">
        <f>SUMIF('CF(M)'!$L$10:$EQ$10,BS$6,'CF(M)'!$L27:$EQ27)</f>
        <v>0</v>
      </c>
      <c r="BT22" s="171">
        <f>SUMIF('CF(M)'!$L$10:$EQ$10,BT$6,'CF(M)'!$L27:$EQ27)</f>
        <v>0</v>
      </c>
      <c r="BU22" s="171">
        <f>SUMIF('CF(M)'!$L$10:$EQ$10,BU$6,'CF(M)'!$L27:$EQ27)</f>
        <v>0</v>
      </c>
      <c r="BV22" s="171">
        <f>SUMIF('CF(M)'!$L$10:$EQ$10,BV$6,'CF(M)'!$L27:$EQ27)</f>
        <v>0</v>
      </c>
      <c r="BW22" s="171">
        <f>SUMIF('CF(M)'!$L$10:$EQ$10,BW$6,'CF(M)'!$L27:$EQ27)</f>
        <v>0</v>
      </c>
      <c r="BX22" s="171">
        <f>SUMIF('CF(M)'!$L$10:$EQ$10,BX$6,'CF(M)'!$L27:$EQ27)</f>
        <v>0</v>
      </c>
      <c r="BY22" s="171">
        <f>SUMIF('CF(M)'!$L$10:$EQ$10,BY$6,'CF(M)'!$L27:$EQ27)</f>
        <v>0</v>
      </c>
      <c r="BZ22" s="171">
        <f>SUMIF('CF(M)'!$L$10:$EQ$10,BZ$6,'CF(M)'!$L27:$EQ27)</f>
        <v>0</v>
      </c>
      <c r="CA22" s="171">
        <f>SUMIF('CF(M)'!$L$10:$EQ$10,CA$6,'CF(M)'!$L27:$EQ27)</f>
        <v>0</v>
      </c>
      <c r="CB22" s="171">
        <f>SUMIF('CF(M)'!$L$10:$EQ$10,CB$6,'CF(M)'!$L27:$EQ27)</f>
        <v>0</v>
      </c>
      <c r="CC22" s="171">
        <f>SUMIF('CF(M)'!$L$10:$EQ$10,CC$6,'CF(M)'!$L27:$EQ27)</f>
        <v>0</v>
      </c>
      <c r="CD22" s="171">
        <f>SUMIF('CF(M)'!$L$10:$EQ$10,CD$6,'CF(M)'!$L27:$EQ27)</f>
        <v>0</v>
      </c>
      <c r="CE22" s="171">
        <f>SUMIF('CF(M)'!$L$10:$EQ$10,CE$6,'CF(M)'!$L27:$EQ27)</f>
        <v>0</v>
      </c>
      <c r="CF22" s="171">
        <f>SUMIF('CF(M)'!$L$10:$EQ$10,CF$6,'CF(M)'!$L27:$EQ27)</f>
        <v>0</v>
      </c>
      <c r="CG22" s="171">
        <f>SUMIF('CF(M)'!$L$10:$EQ$10,CG$6,'CF(M)'!$L27:$EQ27)</f>
        <v>0</v>
      </c>
      <c r="CH22" s="171">
        <f>SUMIF('CF(M)'!$L$10:$EQ$10,CH$6,'CF(M)'!$L27:$EQ27)</f>
        <v>0</v>
      </c>
      <c r="CI22" s="171">
        <f>SUMIF('CF(M)'!$L$10:$EQ$10,CI$6,'CF(M)'!$L27:$EQ27)</f>
        <v>0</v>
      </c>
      <c r="CJ22" s="171">
        <f>SUMIF('CF(M)'!$L$10:$EQ$10,CJ$6,'CF(M)'!$L27:$EQ27)</f>
        <v>0</v>
      </c>
      <c r="CK22" s="171">
        <f>SUMIF('CF(M)'!$L$10:$EQ$10,CK$6,'CF(M)'!$L27:$EQ27)</f>
        <v>0</v>
      </c>
      <c r="CL22" s="171">
        <f>SUMIF('CF(M)'!$L$10:$EQ$10,CL$6,'CF(M)'!$L27:$EQ27)</f>
        <v>0</v>
      </c>
      <c r="CM22" s="171">
        <f>SUMIF('CF(M)'!$L$10:$EQ$10,CM$6,'CF(M)'!$L27:$EQ27)</f>
        <v>0</v>
      </c>
      <c r="CN22" s="171">
        <f>SUMIF('CF(M)'!$L$10:$EQ$10,CN$6,'CF(M)'!$L27:$EQ27)</f>
        <v>0</v>
      </c>
      <c r="CO22" s="171">
        <f>SUMIF('CF(M)'!$L$10:$EQ$10,CO$6,'CF(M)'!$L27:$EQ27)</f>
        <v>0</v>
      </c>
      <c r="CP22" s="171">
        <f>SUMIF('CF(M)'!$L$10:$EQ$10,CP$6,'CF(M)'!$L27:$EQ27)</f>
        <v>0</v>
      </c>
      <c r="CQ22" s="171">
        <f>SUMIF('CF(M)'!$L$10:$EQ$10,CQ$6,'CF(M)'!$L27:$EQ27)</f>
        <v>0</v>
      </c>
      <c r="CR22" s="171">
        <f>SUMIF('CF(M)'!$L$10:$EQ$10,CR$6,'CF(M)'!$L27:$EQ27)</f>
        <v>0</v>
      </c>
      <c r="CS22" s="171">
        <f>SUMIF('CF(M)'!$L$10:$EQ$10,CS$6,'CF(M)'!$L27:$EQ27)</f>
        <v>0</v>
      </c>
      <c r="CT22" s="171">
        <f>SUMIF('CF(M)'!$L$10:$EQ$10,CT$6,'CF(M)'!$L27:$EQ27)</f>
        <v>0</v>
      </c>
      <c r="CU22" s="171">
        <f>SUMIF('CF(M)'!$L$10:$EQ$10,CU$6,'CF(M)'!$L27:$EQ27)</f>
        <v>0</v>
      </c>
      <c r="CV22" s="171">
        <f>SUMIF('CF(M)'!$L$10:$EQ$10,CV$6,'CF(M)'!$L27:$EQ27)</f>
        <v>0</v>
      </c>
      <c r="CW22" s="171">
        <f>SUMIF('CF(M)'!$L$10:$EQ$10,CW$6,'CF(M)'!$L27:$EQ27)</f>
        <v>0</v>
      </c>
      <c r="CX22" s="171">
        <f>SUMIF('CF(M)'!$L$10:$EQ$10,CX$6,'CF(M)'!$L27:$EQ27)</f>
        <v>0</v>
      </c>
      <c r="CY22" s="171">
        <f>SUMIF('CF(M)'!$L$10:$EQ$10,CY$6,'CF(M)'!$L27:$EQ27)</f>
        <v>0</v>
      </c>
      <c r="CZ22" s="171">
        <f>SUMIF('CF(M)'!$L$10:$EQ$10,CZ$6,'CF(M)'!$L27:$EQ27)</f>
        <v>0</v>
      </c>
      <c r="DA22" s="171">
        <f>SUMIF('CF(M)'!$L$10:$EQ$10,DA$6,'CF(M)'!$L27:$EQ27)</f>
        <v>0</v>
      </c>
      <c r="DB22" s="171">
        <f>SUMIF('CF(M)'!$L$10:$EQ$10,DB$6,'CF(M)'!$L27:$EQ27)</f>
        <v>0</v>
      </c>
      <c r="DC22" s="171">
        <f>SUMIF('CF(M)'!$L$10:$EQ$10,DC$6,'CF(M)'!$L27:$EQ27)</f>
        <v>0</v>
      </c>
      <c r="DD22" s="171">
        <f>SUMIF('CF(M)'!$L$10:$EQ$10,DD$6,'CF(M)'!$L27:$EQ27)</f>
        <v>0</v>
      </c>
      <c r="DE22" s="171">
        <f>SUMIF('CF(M)'!$L$10:$EQ$10,DE$6,'CF(M)'!$L27:$EQ27)</f>
        <v>0</v>
      </c>
      <c r="DF22" s="171">
        <f>SUMIF('CF(M)'!$L$10:$EQ$10,DF$6,'CF(M)'!$L27:$EQ27)</f>
        <v>0</v>
      </c>
      <c r="DG22" s="171">
        <f>SUMIF('CF(M)'!$L$10:$EQ$10,DG$6,'CF(M)'!$L27:$EQ27)</f>
        <v>0</v>
      </c>
      <c r="DH22" s="171">
        <f>SUMIF('CF(M)'!$L$10:$EQ$10,DH$6,'CF(M)'!$L27:$EQ27)</f>
        <v>0</v>
      </c>
      <c r="DI22" s="171">
        <f>SUMIF('CF(M)'!$L$10:$EQ$10,DI$6,'CF(M)'!$L27:$EQ27)</f>
        <v>0</v>
      </c>
      <c r="DJ22" s="171">
        <f>SUMIF('CF(M)'!$L$10:$EQ$10,DJ$6,'CF(M)'!$L27:$EQ27)</f>
        <v>0</v>
      </c>
      <c r="DK22" s="171">
        <f>SUMIF('CF(M)'!$L$10:$EQ$10,DK$6,'CF(M)'!$L27:$EQ27)</f>
        <v>0</v>
      </c>
      <c r="DL22" s="171">
        <f>SUMIF('CF(M)'!$L$10:$EQ$10,DL$6,'CF(M)'!$L27:$EQ27)</f>
        <v>0</v>
      </c>
      <c r="DM22" s="171">
        <f>SUMIF('CF(M)'!$L$10:$EQ$10,DM$6,'CF(M)'!$L27:$EQ27)</f>
        <v>0</v>
      </c>
      <c r="DN22" s="171">
        <f>SUMIF('CF(M)'!$L$10:$EQ$10,DN$6,'CF(M)'!$L27:$EQ27)</f>
        <v>0</v>
      </c>
      <c r="DO22" s="171">
        <f>SUMIF('CF(M)'!$L$10:$EQ$10,DO$6,'CF(M)'!$L27:$EQ27)</f>
        <v>0</v>
      </c>
      <c r="DP22" s="171">
        <f>SUMIF('CF(M)'!$L$10:$EQ$10,DP$6,'CF(M)'!$L27:$EQ27)</f>
        <v>0</v>
      </c>
      <c r="DQ22" s="171">
        <f>SUMIF('CF(M)'!$L$10:$EQ$10,DQ$6,'CF(M)'!$L27:$EQ27)</f>
        <v>0</v>
      </c>
      <c r="DR22" s="171">
        <f>SUMIF('CF(M)'!$L$10:$EQ$10,DR$6,'CF(M)'!$L27:$EQ27)</f>
        <v>0</v>
      </c>
      <c r="DS22" s="171">
        <f>SUMIF('CF(M)'!$L$10:$EQ$10,DS$6,'CF(M)'!$L27:$EQ27)</f>
        <v>0</v>
      </c>
      <c r="DT22" s="171">
        <f>SUMIF('CF(M)'!$L$10:$EQ$10,DT$6,'CF(M)'!$L27:$EQ27)</f>
        <v>0</v>
      </c>
      <c r="DU22" s="171">
        <f>SUMIF('CF(M)'!$L$10:$EQ$10,DU$6,'CF(M)'!$L27:$EQ27)</f>
        <v>0</v>
      </c>
      <c r="DV22" s="171">
        <f>SUMIF('CF(M)'!$L$10:$EQ$10,DV$6,'CF(M)'!$L27:$EQ27)</f>
        <v>0</v>
      </c>
    </row>
    <row r="23" spans="2:126" ht="11.25" customHeight="1">
      <c r="B23" s="218"/>
      <c r="C23" s="163"/>
      <c r="D23" s="169" t="s">
        <v>86</v>
      </c>
      <c r="H23" s="146"/>
      <c r="I23" s="13"/>
      <c r="J23" s="171">
        <f t="shared" si="8"/>
        <v>-2258398.7897160524</v>
      </c>
      <c r="K23" s="98"/>
      <c r="L23" s="171">
        <f>SUMIF('CF(M)'!$L$10:$EQ$10,L$6,'CF(M)'!$L28:$EQ28)</f>
        <v>0</v>
      </c>
      <c r="M23" s="171">
        <f>SUMIF('CF(M)'!$L$10:$EQ$10,M$6,'CF(M)'!$L28:$EQ28)</f>
        <v>0</v>
      </c>
      <c r="N23" s="171">
        <f>SUMIF('CF(M)'!$L$10:$EQ$10,N$6,'CF(M)'!$L28:$EQ28)</f>
        <v>-154688.79000000004</v>
      </c>
      <c r="O23" s="171">
        <f>SUMIF('CF(M)'!$L$10:$EQ$10,O$6,'CF(M)'!$L28:$EQ28)</f>
        <v>0</v>
      </c>
      <c r="P23" s="171">
        <f>SUMIF('CF(M)'!$L$10:$EQ$10,P$6,'CF(M)'!$L28:$EQ28)</f>
        <v>-209345.49579999995</v>
      </c>
      <c r="Q23" s="171">
        <f>SUMIF('CF(M)'!$L$10:$EQ$10,Q$6,'CF(M)'!$L28:$EQ28)</f>
        <v>0</v>
      </c>
      <c r="R23" s="171">
        <f>SUMIF('CF(M)'!$L$10:$EQ$10,R$6,'CF(M)'!$L28:$EQ28)</f>
        <v>-213532.40571599995</v>
      </c>
      <c r="S23" s="171">
        <f>SUMIF('CF(M)'!$L$10:$EQ$10,S$6,'CF(M)'!$L28:$EQ28)</f>
        <v>0</v>
      </c>
      <c r="T23" s="171">
        <f>SUMIF('CF(M)'!$L$10:$EQ$10,T$6,'CF(M)'!$L28:$EQ28)</f>
        <v>-217803.05383031996</v>
      </c>
      <c r="U23" s="171">
        <f>SUMIF('CF(M)'!$L$10:$EQ$10,U$6,'CF(M)'!$L28:$EQ28)</f>
        <v>0</v>
      </c>
      <c r="V23" s="171">
        <f>SUMIF('CF(M)'!$L$10:$EQ$10,V$6,'CF(M)'!$L28:$EQ28)</f>
        <v>-222159.11490692641</v>
      </c>
      <c r="W23" s="171">
        <f>SUMIF('CF(M)'!$L$10:$EQ$10,W$6,'CF(M)'!$L28:$EQ28)</f>
        <v>0</v>
      </c>
      <c r="X23" s="171">
        <f>SUMIF('CF(M)'!$L$10:$EQ$10,X$6,'CF(M)'!$L28:$EQ28)</f>
        <v>-226602.29720506494</v>
      </c>
      <c r="Y23" s="171">
        <f>SUMIF('CF(M)'!$L$10:$EQ$10,Y$6,'CF(M)'!$L28:$EQ28)</f>
        <v>0</v>
      </c>
      <c r="Z23" s="171">
        <f>SUMIF('CF(M)'!$L$10:$EQ$10,Z$6,'CF(M)'!$L28:$EQ28)</f>
        <v>-231134.34314916629</v>
      </c>
      <c r="AA23" s="171">
        <f>SUMIF('CF(M)'!$L$10:$EQ$10,AA$6,'CF(M)'!$L28:$EQ28)</f>
        <v>0</v>
      </c>
      <c r="AB23" s="171">
        <f>SUMIF('CF(M)'!$L$10:$EQ$10,AB$6,'CF(M)'!$L28:$EQ28)</f>
        <v>-235757.03001214948</v>
      </c>
      <c r="AC23" s="171">
        <f>SUMIF('CF(M)'!$L$10:$EQ$10,AC$6,'CF(M)'!$L28:$EQ28)</f>
        <v>0</v>
      </c>
      <c r="AD23" s="171">
        <f>SUMIF('CF(M)'!$L$10:$EQ$10,AD$6,'CF(M)'!$L28:$EQ28)</f>
        <v>-240472.17061239254</v>
      </c>
      <c r="AE23" s="171">
        <f>SUMIF('CF(M)'!$L$10:$EQ$10,AE$6,'CF(M)'!$L28:$EQ28)</f>
        <v>0</v>
      </c>
      <c r="AF23" s="171">
        <f>SUMIF('CF(M)'!$L$10:$EQ$10,AF$6,'CF(M)'!$L28:$EQ28)</f>
        <v>-306904.08848403284</v>
      </c>
      <c r="AG23" s="171">
        <f>SUMIF('CF(M)'!$L$10:$EQ$10,AG$6,'CF(M)'!$L28:$EQ28)</f>
        <v>0</v>
      </c>
      <c r="AH23" s="171">
        <f>SUMIF('CF(M)'!$L$10:$EQ$10,AH$6,'CF(M)'!$L28:$EQ28)</f>
        <v>0</v>
      </c>
      <c r="AI23" s="171">
        <f>SUMIF('CF(M)'!$L$10:$EQ$10,AI$6,'CF(M)'!$L28:$EQ28)</f>
        <v>0</v>
      </c>
      <c r="AJ23" s="171">
        <f>SUMIF('CF(M)'!$L$10:$EQ$10,AJ$6,'CF(M)'!$L28:$EQ28)</f>
        <v>0</v>
      </c>
      <c r="AK23" s="171">
        <f>SUMIF('CF(M)'!$L$10:$EQ$10,AK$6,'CF(M)'!$L28:$EQ28)</f>
        <v>0</v>
      </c>
      <c r="AL23" s="171">
        <f>SUMIF('CF(M)'!$L$10:$EQ$10,AL$6,'CF(M)'!$L28:$EQ28)</f>
        <v>0</v>
      </c>
      <c r="AM23" s="171">
        <f>SUMIF('CF(M)'!$L$10:$EQ$10,AM$6,'CF(M)'!$L28:$EQ28)</f>
        <v>0</v>
      </c>
      <c r="AN23" s="171">
        <f>SUMIF('CF(M)'!$L$10:$EQ$10,AN$6,'CF(M)'!$L28:$EQ28)</f>
        <v>0</v>
      </c>
      <c r="AO23" s="171">
        <f>SUMIF('CF(M)'!$L$10:$EQ$10,AO$6,'CF(M)'!$L28:$EQ28)</f>
        <v>0</v>
      </c>
      <c r="AP23" s="171">
        <f>SUMIF('CF(M)'!$L$10:$EQ$10,AP$6,'CF(M)'!$L28:$EQ28)</f>
        <v>0</v>
      </c>
      <c r="AQ23" s="171">
        <f>SUMIF('CF(M)'!$L$10:$EQ$10,AQ$6,'CF(M)'!$L28:$EQ28)</f>
        <v>0</v>
      </c>
      <c r="AR23" s="171">
        <f>SUMIF('CF(M)'!$L$10:$EQ$10,AR$6,'CF(M)'!$L28:$EQ28)</f>
        <v>0</v>
      </c>
      <c r="AS23" s="171">
        <f>SUMIF('CF(M)'!$L$10:$EQ$10,AS$6,'CF(M)'!$L28:$EQ28)</f>
        <v>0</v>
      </c>
      <c r="AT23" s="171">
        <f>SUMIF('CF(M)'!$L$10:$EQ$10,AT$6,'CF(M)'!$L28:$EQ28)</f>
        <v>0</v>
      </c>
      <c r="AU23" s="171">
        <f>SUMIF('CF(M)'!$L$10:$EQ$10,AU$6,'CF(M)'!$L28:$EQ28)</f>
        <v>0</v>
      </c>
      <c r="AV23" s="171">
        <f>SUMIF('CF(M)'!$L$10:$EQ$10,AV$6,'CF(M)'!$L28:$EQ28)</f>
        <v>0</v>
      </c>
      <c r="AW23" s="171">
        <f>SUMIF('CF(M)'!$L$10:$EQ$10,AW$6,'CF(M)'!$L28:$EQ28)</f>
        <v>0</v>
      </c>
      <c r="AX23" s="171">
        <f>SUMIF('CF(M)'!$L$10:$EQ$10,AX$6,'CF(M)'!$L28:$EQ28)</f>
        <v>0</v>
      </c>
      <c r="AY23" s="171">
        <f>SUMIF('CF(M)'!$L$10:$EQ$10,AY$6,'CF(M)'!$L28:$EQ28)</f>
        <v>0</v>
      </c>
      <c r="AZ23" s="171">
        <f>SUMIF('CF(M)'!$L$10:$EQ$10,AZ$6,'CF(M)'!$L28:$EQ28)</f>
        <v>0</v>
      </c>
      <c r="BA23" s="171">
        <f>SUMIF('CF(M)'!$L$10:$EQ$10,BA$6,'CF(M)'!$L28:$EQ28)</f>
        <v>0</v>
      </c>
      <c r="BB23" s="171">
        <f>SUMIF('CF(M)'!$L$10:$EQ$10,BB$6,'CF(M)'!$L28:$EQ28)</f>
        <v>0</v>
      </c>
      <c r="BC23" s="171">
        <f>SUMIF('CF(M)'!$L$10:$EQ$10,BC$6,'CF(M)'!$L28:$EQ28)</f>
        <v>0</v>
      </c>
      <c r="BD23" s="171">
        <f>SUMIF('CF(M)'!$L$10:$EQ$10,BD$6,'CF(M)'!$L28:$EQ28)</f>
        <v>0</v>
      </c>
      <c r="BE23" s="171">
        <f>SUMIF('CF(M)'!$L$10:$EQ$10,BE$6,'CF(M)'!$L28:$EQ28)</f>
        <v>0</v>
      </c>
      <c r="BF23" s="171">
        <f>SUMIF('CF(M)'!$L$10:$EQ$10,BF$6,'CF(M)'!$L28:$EQ28)</f>
        <v>0</v>
      </c>
      <c r="BG23" s="171">
        <f>SUMIF('CF(M)'!$L$10:$EQ$10,BG$6,'CF(M)'!$L28:$EQ28)</f>
        <v>0</v>
      </c>
      <c r="BH23" s="171">
        <f>SUMIF('CF(M)'!$L$10:$EQ$10,BH$6,'CF(M)'!$L28:$EQ28)</f>
        <v>0</v>
      </c>
      <c r="BI23" s="171">
        <f>SUMIF('CF(M)'!$L$10:$EQ$10,BI$6,'CF(M)'!$L28:$EQ28)</f>
        <v>0</v>
      </c>
      <c r="BJ23" s="171">
        <f>SUMIF('CF(M)'!$L$10:$EQ$10,BJ$6,'CF(M)'!$L28:$EQ28)</f>
        <v>0</v>
      </c>
      <c r="BK23" s="171">
        <f>SUMIF('CF(M)'!$L$10:$EQ$10,BK$6,'CF(M)'!$L28:$EQ28)</f>
        <v>0</v>
      </c>
      <c r="BL23" s="171">
        <f>SUMIF('CF(M)'!$L$10:$EQ$10,BL$6,'CF(M)'!$L28:$EQ28)</f>
        <v>0</v>
      </c>
      <c r="BM23" s="171">
        <f>SUMIF('CF(M)'!$L$10:$EQ$10,BM$6,'CF(M)'!$L28:$EQ28)</f>
        <v>0</v>
      </c>
      <c r="BN23" s="171">
        <f>SUMIF('CF(M)'!$L$10:$EQ$10,BN$6,'CF(M)'!$L28:$EQ28)</f>
        <v>0</v>
      </c>
      <c r="BO23" s="171">
        <f>SUMIF('CF(M)'!$L$10:$EQ$10,BO$6,'CF(M)'!$L28:$EQ28)</f>
        <v>0</v>
      </c>
      <c r="BP23" s="171">
        <f>SUMIF('CF(M)'!$L$10:$EQ$10,BP$6,'CF(M)'!$L28:$EQ28)</f>
        <v>0</v>
      </c>
      <c r="BQ23" s="171">
        <f>SUMIF('CF(M)'!$L$10:$EQ$10,BQ$6,'CF(M)'!$L28:$EQ28)</f>
        <v>0</v>
      </c>
      <c r="BR23" s="171">
        <f>SUMIF('CF(M)'!$L$10:$EQ$10,BR$6,'CF(M)'!$L28:$EQ28)</f>
        <v>0</v>
      </c>
      <c r="BS23" s="171">
        <f>SUMIF('CF(M)'!$L$10:$EQ$10,BS$6,'CF(M)'!$L28:$EQ28)</f>
        <v>0</v>
      </c>
      <c r="BT23" s="171">
        <f>SUMIF('CF(M)'!$L$10:$EQ$10,BT$6,'CF(M)'!$L28:$EQ28)</f>
        <v>0</v>
      </c>
      <c r="BU23" s="171">
        <f>SUMIF('CF(M)'!$L$10:$EQ$10,BU$6,'CF(M)'!$L28:$EQ28)</f>
        <v>0</v>
      </c>
      <c r="BV23" s="171">
        <f>SUMIF('CF(M)'!$L$10:$EQ$10,BV$6,'CF(M)'!$L28:$EQ28)</f>
        <v>0</v>
      </c>
      <c r="BW23" s="171">
        <f>SUMIF('CF(M)'!$L$10:$EQ$10,BW$6,'CF(M)'!$L28:$EQ28)</f>
        <v>0</v>
      </c>
      <c r="BX23" s="171">
        <f>SUMIF('CF(M)'!$L$10:$EQ$10,BX$6,'CF(M)'!$L28:$EQ28)</f>
        <v>0</v>
      </c>
      <c r="BY23" s="171">
        <f>SUMIF('CF(M)'!$L$10:$EQ$10,BY$6,'CF(M)'!$L28:$EQ28)</f>
        <v>0</v>
      </c>
      <c r="BZ23" s="171">
        <f>SUMIF('CF(M)'!$L$10:$EQ$10,BZ$6,'CF(M)'!$L28:$EQ28)</f>
        <v>0</v>
      </c>
      <c r="CA23" s="171">
        <f>SUMIF('CF(M)'!$L$10:$EQ$10,CA$6,'CF(M)'!$L28:$EQ28)</f>
        <v>0</v>
      </c>
      <c r="CB23" s="171">
        <f>SUMIF('CF(M)'!$L$10:$EQ$10,CB$6,'CF(M)'!$L28:$EQ28)</f>
        <v>0</v>
      </c>
      <c r="CC23" s="171">
        <f>SUMIF('CF(M)'!$L$10:$EQ$10,CC$6,'CF(M)'!$L28:$EQ28)</f>
        <v>0</v>
      </c>
      <c r="CD23" s="171">
        <f>SUMIF('CF(M)'!$L$10:$EQ$10,CD$6,'CF(M)'!$L28:$EQ28)</f>
        <v>0</v>
      </c>
      <c r="CE23" s="171">
        <f>SUMIF('CF(M)'!$L$10:$EQ$10,CE$6,'CF(M)'!$L28:$EQ28)</f>
        <v>0</v>
      </c>
      <c r="CF23" s="171">
        <f>SUMIF('CF(M)'!$L$10:$EQ$10,CF$6,'CF(M)'!$L28:$EQ28)</f>
        <v>0</v>
      </c>
      <c r="CG23" s="171">
        <f>SUMIF('CF(M)'!$L$10:$EQ$10,CG$6,'CF(M)'!$L28:$EQ28)</f>
        <v>0</v>
      </c>
      <c r="CH23" s="171">
        <f>SUMIF('CF(M)'!$L$10:$EQ$10,CH$6,'CF(M)'!$L28:$EQ28)</f>
        <v>0</v>
      </c>
      <c r="CI23" s="171">
        <f>SUMIF('CF(M)'!$L$10:$EQ$10,CI$6,'CF(M)'!$L28:$EQ28)</f>
        <v>0</v>
      </c>
      <c r="CJ23" s="171">
        <f>SUMIF('CF(M)'!$L$10:$EQ$10,CJ$6,'CF(M)'!$L28:$EQ28)</f>
        <v>0</v>
      </c>
      <c r="CK23" s="171">
        <f>SUMIF('CF(M)'!$L$10:$EQ$10,CK$6,'CF(M)'!$L28:$EQ28)</f>
        <v>0</v>
      </c>
      <c r="CL23" s="171">
        <f>SUMIF('CF(M)'!$L$10:$EQ$10,CL$6,'CF(M)'!$L28:$EQ28)</f>
        <v>0</v>
      </c>
      <c r="CM23" s="171">
        <f>SUMIF('CF(M)'!$L$10:$EQ$10,CM$6,'CF(M)'!$L28:$EQ28)</f>
        <v>0</v>
      </c>
      <c r="CN23" s="171">
        <f>SUMIF('CF(M)'!$L$10:$EQ$10,CN$6,'CF(M)'!$L28:$EQ28)</f>
        <v>0</v>
      </c>
      <c r="CO23" s="171">
        <f>SUMIF('CF(M)'!$L$10:$EQ$10,CO$6,'CF(M)'!$L28:$EQ28)</f>
        <v>0</v>
      </c>
      <c r="CP23" s="171">
        <f>SUMIF('CF(M)'!$L$10:$EQ$10,CP$6,'CF(M)'!$L28:$EQ28)</f>
        <v>0</v>
      </c>
      <c r="CQ23" s="171">
        <f>SUMIF('CF(M)'!$L$10:$EQ$10,CQ$6,'CF(M)'!$L28:$EQ28)</f>
        <v>0</v>
      </c>
      <c r="CR23" s="171">
        <f>SUMIF('CF(M)'!$L$10:$EQ$10,CR$6,'CF(M)'!$L28:$EQ28)</f>
        <v>0</v>
      </c>
      <c r="CS23" s="171">
        <f>SUMIF('CF(M)'!$L$10:$EQ$10,CS$6,'CF(M)'!$L28:$EQ28)</f>
        <v>0</v>
      </c>
      <c r="CT23" s="171">
        <f>SUMIF('CF(M)'!$L$10:$EQ$10,CT$6,'CF(M)'!$L28:$EQ28)</f>
        <v>0</v>
      </c>
      <c r="CU23" s="171">
        <f>SUMIF('CF(M)'!$L$10:$EQ$10,CU$6,'CF(M)'!$L28:$EQ28)</f>
        <v>0</v>
      </c>
      <c r="CV23" s="171">
        <f>SUMIF('CF(M)'!$L$10:$EQ$10,CV$6,'CF(M)'!$L28:$EQ28)</f>
        <v>0</v>
      </c>
      <c r="CW23" s="171">
        <f>SUMIF('CF(M)'!$L$10:$EQ$10,CW$6,'CF(M)'!$L28:$EQ28)</f>
        <v>0</v>
      </c>
      <c r="CX23" s="171">
        <f>SUMIF('CF(M)'!$L$10:$EQ$10,CX$6,'CF(M)'!$L28:$EQ28)</f>
        <v>0</v>
      </c>
      <c r="CY23" s="171">
        <f>SUMIF('CF(M)'!$L$10:$EQ$10,CY$6,'CF(M)'!$L28:$EQ28)</f>
        <v>0</v>
      </c>
      <c r="CZ23" s="171">
        <f>SUMIF('CF(M)'!$L$10:$EQ$10,CZ$6,'CF(M)'!$L28:$EQ28)</f>
        <v>0</v>
      </c>
      <c r="DA23" s="171">
        <f>SUMIF('CF(M)'!$L$10:$EQ$10,DA$6,'CF(M)'!$L28:$EQ28)</f>
        <v>0</v>
      </c>
      <c r="DB23" s="171">
        <f>SUMIF('CF(M)'!$L$10:$EQ$10,DB$6,'CF(M)'!$L28:$EQ28)</f>
        <v>0</v>
      </c>
      <c r="DC23" s="171">
        <f>SUMIF('CF(M)'!$L$10:$EQ$10,DC$6,'CF(M)'!$L28:$EQ28)</f>
        <v>0</v>
      </c>
      <c r="DD23" s="171">
        <f>SUMIF('CF(M)'!$L$10:$EQ$10,DD$6,'CF(M)'!$L28:$EQ28)</f>
        <v>0</v>
      </c>
      <c r="DE23" s="171">
        <f>SUMIF('CF(M)'!$L$10:$EQ$10,DE$6,'CF(M)'!$L28:$EQ28)</f>
        <v>0</v>
      </c>
      <c r="DF23" s="171">
        <f>SUMIF('CF(M)'!$L$10:$EQ$10,DF$6,'CF(M)'!$L28:$EQ28)</f>
        <v>0</v>
      </c>
      <c r="DG23" s="171">
        <f>SUMIF('CF(M)'!$L$10:$EQ$10,DG$6,'CF(M)'!$L28:$EQ28)</f>
        <v>0</v>
      </c>
      <c r="DH23" s="171">
        <f>SUMIF('CF(M)'!$L$10:$EQ$10,DH$6,'CF(M)'!$L28:$EQ28)</f>
        <v>0</v>
      </c>
      <c r="DI23" s="171">
        <f>SUMIF('CF(M)'!$L$10:$EQ$10,DI$6,'CF(M)'!$L28:$EQ28)</f>
        <v>0</v>
      </c>
      <c r="DJ23" s="171">
        <f>SUMIF('CF(M)'!$L$10:$EQ$10,DJ$6,'CF(M)'!$L28:$EQ28)</f>
        <v>0</v>
      </c>
      <c r="DK23" s="171">
        <f>SUMIF('CF(M)'!$L$10:$EQ$10,DK$6,'CF(M)'!$L28:$EQ28)</f>
        <v>0</v>
      </c>
      <c r="DL23" s="171">
        <f>SUMIF('CF(M)'!$L$10:$EQ$10,DL$6,'CF(M)'!$L28:$EQ28)</f>
        <v>0</v>
      </c>
      <c r="DM23" s="171">
        <f>SUMIF('CF(M)'!$L$10:$EQ$10,DM$6,'CF(M)'!$L28:$EQ28)</f>
        <v>0</v>
      </c>
      <c r="DN23" s="171">
        <f>SUMIF('CF(M)'!$L$10:$EQ$10,DN$6,'CF(M)'!$L28:$EQ28)</f>
        <v>0</v>
      </c>
      <c r="DO23" s="171">
        <f>SUMIF('CF(M)'!$L$10:$EQ$10,DO$6,'CF(M)'!$L28:$EQ28)</f>
        <v>0</v>
      </c>
      <c r="DP23" s="171">
        <f>SUMIF('CF(M)'!$L$10:$EQ$10,DP$6,'CF(M)'!$L28:$EQ28)</f>
        <v>0</v>
      </c>
      <c r="DQ23" s="171">
        <f>SUMIF('CF(M)'!$L$10:$EQ$10,DQ$6,'CF(M)'!$L28:$EQ28)</f>
        <v>0</v>
      </c>
      <c r="DR23" s="171">
        <f>SUMIF('CF(M)'!$L$10:$EQ$10,DR$6,'CF(M)'!$L28:$EQ28)</f>
        <v>0</v>
      </c>
      <c r="DS23" s="171">
        <f>SUMIF('CF(M)'!$L$10:$EQ$10,DS$6,'CF(M)'!$L28:$EQ28)</f>
        <v>0</v>
      </c>
      <c r="DT23" s="171">
        <f>SUMIF('CF(M)'!$L$10:$EQ$10,DT$6,'CF(M)'!$L28:$EQ28)</f>
        <v>0</v>
      </c>
      <c r="DU23" s="171">
        <f>SUMIF('CF(M)'!$L$10:$EQ$10,DU$6,'CF(M)'!$L28:$EQ28)</f>
        <v>0</v>
      </c>
      <c r="DV23" s="171">
        <f>SUMIF('CF(M)'!$L$10:$EQ$10,DV$6,'CF(M)'!$L28:$EQ28)</f>
        <v>0</v>
      </c>
    </row>
    <row r="24" spans="2:126" ht="11.25" customHeight="1">
      <c r="B24" s="218"/>
      <c r="C24" s="163"/>
      <c r="D24" s="169" t="s">
        <v>138</v>
      </c>
      <c r="H24" s="146"/>
      <c r="I24" s="13"/>
      <c r="J24" s="171">
        <f t="shared" si="8"/>
        <v>-1412997.0011594819</v>
      </c>
      <c r="K24" s="98"/>
      <c r="L24" s="171">
        <f>SUMIF('CF(M)'!$L$10:$EQ$10,L$6,'CF(M)'!$L29:$EQ29)</f>
        <v>0</v>
      </c>
      <c r="M24" s="171">
        <f>SUMIF('CF(M)'!$L$10:$EQ$10,M$6,'CF(M)'!$L29:$EQ29)</f>
        <v>-21507.351666666666</v>
      </c>
      <c r="N24" s="171">
        <f>SUMIF('CF(M)'!$L$10:$EQ$10,N$6,'CF(M)'!$L29:$EQ29)</f>
        <v>0</v>
      </c>
      <c r="O24" s="171">
        <f>SUMIF('CF(M)'!$L$10:$EQ$10,O$6,'CF(M)'!$L29:$EQ29)</f>
        <v>-129474.25703333331</v>
      </c>
      <c r="P24" s="171">
        <f>SUMIF('CF(M)'!$L$10:$EQ$10,P$6,'CF(M)'!$L29:$EQ29)</f>
        <v>0</v>
      </c>
      <c r="Q24" s="171">
        <f>SUMIF('CF(M)'!$L$10:$EQ$10,Q$6,'CF(M)'!$L29:$EQ29)</f>
        <v>-132063.74217399998</v>
      </c>
      <c r="R24" s="171">
        <f>SUMIF('CF(M)'!$L$10:$EQ$10,R$6,'CF(M)'!$L29:$EQ29)</f>
        <v>0</v>
      </c>
      <c r="S24" s="171">
        <f>SUMIF('CF(M)'!$L$10:$EQ$10,S$6,'CF(M)'!$L29:$EQ29)</f>
        <v>-134705.01701747999</v>
      </c>
      <c r="T24" s="171">
        <f>SUMIF('CF(M)'!$L$10:$EQ$10,T$6,'CF(M)'!$L29:$EQ29)</f>
        <v>0</v>
      </c>
      <c r="U24" s="171">
        <f>SUMIF('CF(M)'!$L$10:$EQ$10,U$6,'CF(M)'!$L29:$EQ29)</f>
        <v>-137399.11735782961</v>
      </c>
      <c r="V24" s="171">
        <f>SUMIF('CF(M)'!$L$10:$EQ$10,V$6,'CF(M)'!$L29:$EQ29)</f>
        <v>0</v>
      </c>
      <c r="W24" s="171">
        <f>SUMIF('CF(M)'!$L$10:$EQ$10,W$6,'CF(M)'!$L29:$EQ29)</f>
        <v>-140147.09970498618</v>
      </c>
      <c r="X24" s="171">
        <f>SUMIF('CF(M)'!$L$10:$EQ$10,X$6,'CF(M)'!$L29:$EQ29)</f>
        <v>0</v>
      </c>
      <c r="Y24" s="171">
        <f>SUMIF('CF(M)'!$L$10:$EQ$10,Y$6,'CF(M)'!$L29:$EQ29)</f>
        <v>-142950.04169908594</v>
      </c>
      <c r="Z24" s="171">
        <f>SUMIF('CF(M)'!$L$10:$EQ$10,Z$6,'CF(M)'!$L29:$EQ29)</f>
        <v>0</v>
      </c>
      <c r="AA24" s="171">
        <f>SUMIF('CF(M)'!$L$10:$EQ$10,AA$6,'CF(M)'!$L29:$EQ29)</f>
        <v>-145809.04253306764</v>
      </c>
      <c r="AB24" s="171">
        <f>SUMIF('CF(M)'!$L$10:$EQ$10,AB$6,'CF(M)'!$L29:$EQ29)</f>
        <v>0</v>
      </c>
      <c r="AC24" s="171">
        <f>SUMIF('CF(M)'!$L$10:$EQ$10,AC$6,'CF(M)'!$L29:$EQ29)</f>
        <v>-148725.22338372894</v>
      </c>
      <c r="AD24" s="171">
        <f>SUMIF('CF(M)'!$L$10:$EQ$10,AD$6,'CF(M)'!$L29:$EQ29)</f>
        <v>0</v>
      </c>
      <c r="AE24" s="171">
        <f>SUMIF('CF(M)'!$L$10:$EQ$10,AE$6,'CF(M)'!$L29:$EQ29)</f>
        <v>-151699.72785140356</v>
      </c>
      <c r="AF24" s="171">
        <f>SUMIF('CF(M)'!$L$10:$EQ$10,AF$6,'CF(M)'!$L29:$EQ29)</f>
        <v>-128516.38073790002</v>
      </c>
      <c r="AG24" s="171">
        <f>SUMIF('CF(M)'!$L$10:$EQ$10,AG$6,'CF(M)'!$L29:$EQ29)</f>
        <v>0</v>
      </c>
      <c r="AH24" s="171">
        <f>SUMIF('CF(M)'!$L$10:$EQ$10,AH$6,'CF(M)'!$L29:$EQ29)</f>
        <v>0</v>
      </c>
      <c r="AI24" s="171">
        <f>SUMIF('CF(M)'!$L$10:$EQ$10,AI$6,'CF(M)'!$L29:$EQ29)</f>
        <v>0</v>
      </c>
      <c r="AJ24" s="171">
        <f>SUMIF('CF(M)'!$L$10:$EQ$10,AJ$6,'CF(M)'!$L29:$EQ29)</f>
        <v>0</v>
      </c>
      <c r="AK24" s="171">
        <f>SUMIF('CF(M)'!$L$10:$EQ$10,AK$6,'CF(M)'!$L29:$EQ29)</f>
        <v>0</v>
      </c>
      <c r="AL24" s="171">
        <f>SUMIF('CF(M)'!$L$10:$EQ$10,AL$6,'CF(M)'!$L29:$EQ29)</f>
        <v>0</v>
      </c>
      <c r="AM24" s="171">
        <f>SUMIF('CF(M)'!$L$10:$EQ$10,AM$6,'CF(M)'!$L29:$EQ29)</f>
        <v>0</v>
      </c>
      <c r="AN24" s="171">
        <f>SUMIF('CF(M)'!$L$10:$EQ$10,AN$6,'CF(M)'!$L29:$EQ29)</f>
        <v>0</v>
      </c>
      <c r="AO24" s="171">
        <f>SUMIF('CF(M)'!$L$10:$EQ$10,AO$6,'CF(M)'!$L29:$EQ29)</f>
        <v>0</v>
      </c>
      <c r="AP24" s="171">
        <f>SUMIF('CF(M)'!$L$10:$EQ$10,AP$6,'CF(M)'!$L29:$EQ29)</f>
        <v>0</v>
      </c>
      <c r="AQ24" s="171">
        <f>SUMIF('CF(M)'!$L$10:$EQ$10,AQ$6,'CF(M)'!$L29:$EQ29)</f>
        <v>0</v>
      </c>
      <c r="AR24" s="171">
        <f>SUMIF('CF(M)'!$L$10:$EQ$10,AR$6,'CF(M)'!$L29:$EQ29)</f>
        <v>0</v>
      </c>
      <c r="AS24" s="171">
        <f>SUMIF('CF(M)'!$L$10:$EQ$10,AS$6,'CF(M)'!$L29:$EQ29)</f>
        <v>0</v>
      </c>
      <c r="AT24" s="171">
        <f>SUMIF('CF(M)'!$L$10:$EQ$10,AT$6,'CF(M)'!$L29:$EQ29)</f>
        <v>0</v>
      </c>
      <c r="AU24" s="171">
        <f>SUMIF('CF(M)'!$L$10:$EQ$10,AU$6,'CF(M)'!$L29:$EQ29)</f>
        <v>0</v>
      </c>
      <c r="AV24" s="171">
        <f>SUMIF('CF(M)'!$L$10:$EQ$10,AV$6,'CF(M)'!$L29:$EQ29)</f>
        <v>0</v>
      </c>
      <c r="AW24" s="171">
        <f>SUMIF('CF(M)'!$L$10:$EQ$10,AW$6,'CF(M)'!$L29:$EQ29)</f>
        <v>0</v>
      </c>
      <c r="AX24" s="171">
        <f>SUMIF('CF(M)'!$L$10:$EQ$10,AX$6,'CF(M)'!$L29:$EQ29)</f>
        <v>0</v>
      </c>
      <c r="AY24" s="171">
        <f>SUMIF('CF(M)'!$L$10:$EQ$10,AY$6,'CF(M)'!$L29:$EQ29)</f>
        <v>0</v>
      </c>
      <c r="AZ24" s="171">
        <f>SUMIF('CF(M)'!$L$10:$EQ$10,AZ$6,'CF(M)'!$L29:$EQ29)</f>
        <v>0</v>
      </c>
      <c r="BA24" s="171">
        <f>SUMIF('CF(M)'!$L$10:$EQ$10,BA$6,'CF(M)'!$L29:$EQ29)</f>
        <v>0</v>
      </c>
      <c r="BB24" s="171">
        <f>SUMIF('CF(M)'!$L$10:$EQ$10,BB$6,'CF(M)'!$L29:$EQ29)</f>
        <v>0</v>
      </c>
      <c r="BC24" s="171">
        <f>SUMIF('CF(M)'!$L$10:$EQ$10,BC$6,'CF(M)'!$L29:$EQ29)</f>
        <v>0</v>
      </c>
      <c r="BD24" s="171">
        <f>SUMIF('CF(M)'!$L$10:$EQ$10,BD$6,'CF(M)'!$L29:$EQ29)</f>
        <v>0</v>
      </c>
      <c r="BE24" s="171">
        <f>SUMIF('CF(M)'!$L$10:$EQ$10,BE$6,'CF(M)'!$L29:$EQ29)</f>
        <v>0</v>
      </c>
      <c r="BF24" s="171">
        <f>SUMIF('CF(M)'!$L$10:$EQ$10,BF$6,'CF(M)'!$L29:$EQ29)</f>
        <v>0</v>
      </c>
      <c r="BG24" s="171">
        <f>SUMIF('CF(M)'!$L$10:$EQ$10,BG$6,'CF(M)'!$L29:$EQ29)</f>
        <v>0</v>
      </c>
      <c r="BH24" s="171">
        <f>SUMIF('CF(M)'!$L$10:$EQ$10,BH$6,'CF(M)'!$L29:$EQ29)</f>
        <v>0</v>
      </c>
      <c r="BI24" s="171">
        <f>SUMIF('CF(M)'!$L$10:$EQ$10,BI$6,'CF(M)'!$L29:$EQ29)</f>
        <v>0</v>
      </c>
      <c r="BJ24" s="171">
        <f>SUMIF('CF(M)'!$L$10:$EQ$10,BJ$6,'CF(M)'!$L29:$EQ29)</f>
        <v>0</v>
      </c>
      <c r="BK24" s="171">
        <f>SUMIF('CF(M)'!$L$10:$EQ$10,BK$6,'CF(M)'!$L29:$EQ29)</f>
        <v>0</v>
      </c>
      <c r="BL24" s="171">
        <f>SUMIF('CF(M)'!$L$10:$EQ$10,BL$6,'CF(M)'!$L29:$EQ29)</f>
        <v>0</v>
      </c>
      <c r="BM24" s="171">
        <f>SUMIF('CF(M)'!$L$10:$EQ$10,BM$6,'CF(M)'!$L29:$EQ29)</f>
        <v>0</v>
      </c>
      <c r="BN24" s="171">
        <f>SUMIF('CF(M)'!$L$10:$EQ$10,BN$6,'CF(M)'!$L29:$EQ29)</f>
        <v>0</v>
      </c>
      <c r="BO24" s="171">
        <f>SUMIF('CF(M)'!$L$10:$EQ$10,BO$6,'CF(M)'!$L29:$EQ29)</f>
        <v>0</v>
      </c>
      <c r="BP24" s="171">
        <f>SUMIF('CF(M)'!$L$10:$EQ$10,BP$6,'CF(M)'!$L29:$EQ29)</f>
        <v>0</v>
      </c>
      <c r="BQ24" s="171">
        <f>SUMIF('CF(M)'!$L$10:$EQ$10,BQ$6,'CF(M)'!$L29:$EQ29)</f>
        <v>0</v>
      </c>
      <c r="BR24" s="171">
        <f>SUMIF('CF(M)'!$L$10:$EQ$10,BR$6,'CF(M)'!$L29:$EQ29)</f>
        <v>0</v>
      </c>
      <c r="BS24" s="171">
        <f>SUMIF('CF(M)'!$L$10:$EQ$10,BS$6,'CF(M)'!$L29:$EQ29)</f>
        <v>0</v>
      </c>
      <c r="BT24" s="171">
        <f>SUMIF('CF(M)'!$L$10:$EQ$10,BT$6,'CF(M)'!$L29:$EQ29)</f>
        <v>0</v>
      </c>
      <c r="BU24" s="171">
        <f>SUMIF('CF(M)'!$L$10:$EQ$10,BU$6,'CF(M)'!$L29:$EQ29)</f>
        <v>0</v>
      </c>
      <c r="BV24" s="171">
        <f>SUMIF('CF(M)'!$L$10:$EQ$10,BV$6,'CF(M)'!$L29:$EQ29)</f>
        <v>0</v>
      </c>
      <c r="BW24" s="171">
        <f>SUMIF('CF(M)'!$L$10:$EQ$10,BW$6,'CF(M)'!$L29:$EQ29)</f>
        <v>0</v>
      </c>
      <c r="BX24" s="171">
        <f>SUMIF('CF(M)'!$L$10:$EQ$10,BX$6,'CF(M)'!$L29:$EQ29)</f>
        <v>0</v>
      </c>
      <c r="BY24" s="171">
        <f>SUMIF('CF(M)'!$L$10:$EQ$10,BY$6,'CF(M)'!$L29:$EQ29)</f>
        <v>0</v>
      </c>
      <c r="BZ24" s="171">
        <f>SUMIF('CF(M)'!$L$10:$EQ$10,BZ$6,'CF(M)'!$L29:$EQ29)</f>
        <v>0</v>
      </c>
      <c r="CA24" s="171">
        <f>SUMIF('CF(M)'!$L$10:$EQ$10,CA$6,'CF(M)'!$L29:$EQ29)</f>
        <v>0</v>
      </c>
      <c r="CB24" s="171">
        <f>SUMIF('CF(M)'!$L$10:$EQ$10,CB$6,'CF(M)'!$L29:$EQ29)</f>
        <v>0</v>
      </c>
      <c r="CC24" s="171">
        <f>SUMIF('CF(M)'!$L$10:$EQ$10,CC$6,'CF(M)'!$L29:$EQ29)</f>
        <v>0</v>
      </c>
      <c r="CD24" s="171">
        <f>SUMIF('CF(M)'!$L$10:$EQ$10,CD$6,'CF(M)'!$L29:$EQ29)</f>
        <v>0</v>
      </c>
      <c r="CE24" s="171">
        <f>SUMIF('CF(M)'!$L$10:$EQ$10,CE$6,'CF(M)'!$L29:$EQ29)</f>
        <v>0</v>
      </c>
      <c r="CF24" s="171">
        <f>SUMIF('CF(M)'!$L$10:$EQ$10,CF$6,'CF(M)'!$L29:$EQ29)</f>
        <v>0</v>
      </c>
      <c r="CG24" s="171">
        <f>SUMIF('CF(M)'!$L$10:$EQ$10,CG$6,'CF(M)'!$L29:$EQ29)</f>
        <v>0</v>
      </c>
      <c r="CH24" s="171">
        <f>SUMIF('CF(M)'!$L$10:$EQ$10,CH$6,'CF(M)'!$L29:$EQ29)</f>
        <v>0</v>
      </c>
      <c r="CI24" s="171">
        <f>SUMIF('CF(M)'!$L$10:$EQ$10,CI$6,'CF(M)'!$L29:$EQ29)</f>
        <v>0</v>
      </c>
      <c r="CJ24" s="171">
        <f>SUMIF('CF(M)'!$L$10:$EQ$10,CJ$6,'CF(M)'!$L29:$EQ29)</f>
        <v>0</v>
      </c>
      <c r="CK24" s="171">
        <f>SUMIF('CF(M)'!$L$10:$EQ$10,CK$6,'CF(M)'!$L29:$EQ29)</f>
        <v>0</v>
      </c>
      <c r="CL24" s="171">
        <f>SUMIF('CF(M)'!$L$10:$EQ$10,CL$6,'CF(M)'!$L29:$EQ29)</f>
        <v>0</v>
      </c>
      <c r="CM24" s="171">
        <f>SUMIF('CF(M)'!$L$10:$EQ$10,CM$6,'CF(M)'!$L29:$EQ29)</f>
        <v>0</v>
      </c>
      <c r="CN24" s="171">
        <f>SUMIF('CF(M)'!$L$10:$EQ$10,CN$6,'CF(M)'!$L29:$EQ29)</f>
        <v>0</v>
      </c>
      <c r="CO24" s="171">
        <f>SUMIF('CF(M)'!$L$10:$EQ$10,CO$6,'CF(M)'!$L29:$EQ29)</f>
        <v>0</v>
      </c>
      <c r="CP24" s="171">
        <f>SUMIF('CF(M)'!$L$10:$EQ$10,CP$6,'CF(M)'!$L29:$EQ29)</f>
        <v>0</v>
      </c>
      <c r="CQ24" s="171">
        <f>SUMIF('CF(M)'!$L$10:$EQ$10,CQ$6,'CF(M)'!$L29:$EQ29)</f>
        <v>0</v>
      </c>
      <c r="CR24" s="171">
        <f>SUMIF('CF(M)'!$L$10:$EQ$10,CR$6,'CF(M)'!$L29:$EQ29)</f>
        <v>0</v>
      </c>
      <c r="CS24" s="171">
        <f>SUMIF('CF(M)'!$L$10:$EQ$10,CS$6,'CF(M)'!$L29:$EQ29)</f>
        <v>0</v>
      </c>
      <c r="CT24" s="171">
        <f>SUMIF('CF(M)'!$L$10:$EQ$10,CT$6,'CF(M)'!$L29:$EQ29)</f>
        <v>0</v>
      </c>
      <c r="CU24" s="171">
        <f>SUMIF('CF(M)'!$L$10:$EQ$10,CU$6,'CF(M)'!$L29:$EQ29)</f>
        <v>0</v>
      </c>
      <c r="CV24" s="171">
        <f>SUMIF('CF(M)'!$L$10:$EQ$10,CV$6,'CF(M)'!$L29:$EQ29)</f>
        <v>0</v>
      </c>
      <c r="CW24" s="171">
        <f>SUMIF('CF(M)'!$L$10:$EQ$10,CW$6,'CF(M)'!$L29:$EQ29)</f>
        <v>0</v>
      </c>
      <c r="CX24" s="171">
        <f>SUMIF('CF(M)'!$L$10:$EQ$10,CX$6,'CF(M)'!$L29:$EQ29)</f>
        <v>0</v>
      </c>
      <c r="CY24" s="171">
        <f>SUMIF('CF(M)'!$L$10:$EQ$10,CY$6,'CF(M)'!$L29:$EQ29)</f>
        <v>0</v>
      </c>
      <c r="CZ24" s="171">
        <f>SUMIF('CF(M)'!$L$10:$EQ$10,CZ$6,'CF(M)'!$L29:$EQ29)</f>
        <v>0</v>
      </c>
      <c r="DA24" s="171">
        <f>SUMIF('CF(M)'!$L$10:$EQ$10,DA$6,'CF(M)'!$L29:$EQ29)</f>
        <v>0</v>
      </c>
      <c r="DB24" s="171">
        <f>SUMIF('CF(M)'!$L$10:$EQ$10,DB$6,'CF(M)'!$L29:$EQ29)</f>
        <v>0</v>
      </c>
      <c r="DC24" s="171">
        <f>SUMIF('CF(M)'!$L$10:$EQ$10,DC$6,'CF(M)'!$L29:$EQ29)</f>
        <v>0</v>
      </c>
      <c r="DD24" s="171">
        <f>SUMIF('CF(M)'!$L$10:$EQ$10,DD$6,'CF(M)'!$L29:$EQ29)</f>
        <v>0</v>
      </c>
      <c r="DE24" s="171">
        <f>SUMIF('CF(M)'!$L$10:$EQ$10,DE$6,'CF(M)'!$L29:$EQ29)</f>
        <v>0</v>
      </c>
      <c r="DF24" s="171">
        <f>SUMIF('CF(M)'!$L$10:$EQ$10,DF$6,'CF(M)'!$L29:$EQ29)</f>
        <v>0</v>
      </c>
      <c r="DG24" s="171">
        <f>SUMIF('CF(M)'!$L$10:$EQ$10,DG$6,'CF(M)'!$L29:$EQ29)</f>
        <v>0</v>
      </c>
      <c r="DH24" s="171">
        <f>SUMIF('CF(M)'!$L$10:$EQ$10,DH$6,'CF(M)'!$L29:$EQ29)</f>
        <v>0</v>
      </c>
      <c r="DI24" s="171">
        <f>SUMIF('CF(M)'!$L$10:$EQ$10,DI$6,'CF(M)'!$L29:$EQ29)</f>
        <v>0</v>
      </c>
      <c r="DJ24" s="171">
        <f>SUMIF('CF(M)'!$L$10:$EQ$10,DJ$6,'CF(M)'!$L29:$EQ29)</f>
        <v>0</v>
      </c>
      <c r="DK24" s="171">
        <f>SUMIF('CF(M)'!$L$10:$EQ$10,DK$6,'CF(M)'!$L29:$EQ29)</f>
        <v>0</v>
      </c>
      <c r="DL24" s="171">
        <f>SUMIF('CF(M)'!$L$10:$EQ$10,DL$6,'CF(M)'!$L29:$EQ29)</f>
        <v>0</v>
      </c>
      <c r="DM24" s="171">
        <f>SUMIF('CF(M)'!$L$10:$EQ$10,DM$6,'CF(M)'!$L29:$EQ29)</f>
        <v>0</v>
      </c>
      <c r="DN24" s="171">
        <f>SUMIF('CF(M)'!$L$10:$EQ$10,DN$6,'CF(M)'!$L29:$EQ29)</f>
        <v>0</v>
      </c>
      <c r="DO24" s="171">
        <f>SUMIF('CF(M)'!$L$10:$EQ$10,DO$6,'CF(M)'!$L29:$EQ29)</f>
        <v>0</v>
      </c>
      <c r="DP24" s="171">
        <f>SUMIF('CF(M)'!$L$10:$EQ$10,DP$6,'CF(M)'!$L29:$EQ29)</f>
        <v>0</v>
      </c>
      <c r="DQ24" s="171">
        <f>SUMIF('CF(M)'!$L$10:$EQ$10,DQ$6,'CF(M)'!$L29:$EQ29)</f>
        <v>0</v>
      </c>
      <c r="DR24" s="171">
        <f>SUMIF('CF(M)'!$L$10:$EQ$10,DR$6,'CF(M)'!$L29:$EQ29)</f>
        <v>0</v>
      </c>
      <c r="DS24" s="171">
        <f>SUMIF('CF(M)'!$L$10:$EQ$10,DS$6,'CF(M)'!$L29:$EQ29)</f>
        <v>0</v>
      </c>
      <c r="DT24" s="171">
        <f>SUMIF('CF(M)'!$L$10:$EQ$10,DT$6,'CF(M)'!$L29:$EQ29)</f>
        <v>0</v>
      </c>
      <c r="DU24" s="171">
        <f>SUMIF('CF(M)'!$L$10:$EQ$10,DU$6,'CF(M)'!$L29:$EQ29)</f>
        <v>0</v>
      </c>
      <c r="DV24" s="171">
        <f>SUMIF('CF(M)'!$L$10:$EQ$10,DV$6,'CF(M)'!$L29:$EQ29)</f>
        <v>0</v>
      </c>
    </row>
    <row r="25" spans="2:126" ht="11.25" customHeight="1">
      <c r="B25" s="218"/>
      <c r="C25" s="163"/>
      <c r="D25" s="169" t="s">
        <v>92</v>
      </c>
      <c r="H25" s="146"/>
      <c r="I25" s="13"/>
      <c r="J25" s="171">
        <f t="shared" si="8"/>
        <v>-3686229.9268934703</v>
      </c>
      <c r="K25" s="98"/>
      <c r="L25" s="171">
        <f>SUMIF('CF(M)'!$L$10:$EQ$10,L$6,'CF(M)'!$L30:$EQ30)</f>
        <v>0</v>
      </c>
      <c r="M25" s="171">
        <f>SUMIF('CF(M)'!$L$10:$EQ$10,M$6,'CF(M)'!$L30:$EQ30)</f>
        <v>0</v>
      </c>
      <c r="N25" s="171">
        <f>SUMIF('CF(M)'!$L$10:$EQ$10,N$6,'CF(M)'!$L30:$EQ30)</f>
        <v>-361344.7016666666</v>
      </c>
      <c r="O25" s="171">
        <f>SUMIF('CF(M)'!$L$10:$EQ$10,O$6,'CF(M)'!$L30:$EQ30)</f>
        <v>0</v>
      </c>
      <c r="P25" s="171">
        <f>SUMIF('CF(M)'!$L$10:$EQ$10,P$6,'CF(M)'!$L30:$EQ30)</f>
        <v>-388774.04947499995</v>
      </c>
      <c r="Q25" s="171">
        <f>SUMIF('CF(M)'!$L$10:$EQ$10,Q$6,'CF(M)'!$L30:$EQ30)</f>
        <v>0</v>
      </c>
      <c r="R25" s="171">
        <f>SUMIF('CF(M)'!$L$10:$EQ$10,R$6,'CF(M)'!$L30:$EQ30)</f>
        <v>-382942.43873287499</v>
      </c>
      <c r="S25" s="171">
        <f>SUMIF('CF(M)'!$L$10:$EQ$10,S$6,'CF(M)'!$L30:$EQ30)</f>
        <v>0</v>
      </c>
      <c r="T25" s="171">
        <f>SUMIF('CF(M)'!$L$10:$EQ$10,T$6,'CF(M)'!$L30:$EQ30)</f>
        <v>-377198.30215188186</v>
      </c>
      <c r="U25" s="171">
        <f>SUMIF('CF(M)'!$L$10:$EQ$10,U$6,'CF(M)'!$L30:$EQ30)</f>
        <v>0</v>
      </c>
      <c r="V25" s="171">
        <f>SUMIF('CF(M)'!$L$10:$EQ$10,V$6,'CF(M)'!$L30:$EQ30)</f>
        <v>-371540.3276196036</v>
      </c>
      <c r="W25" s="171">
        <f>SUMIF('CF(M)'!$L$10:$EQ$10,W$6,'CF(M)'!$L30:$EQ30)</f>
        <v>0</v>
      </c>
      <c r="X25" s="171">
        <f>SUMIF('CF(M)'!$L$10:$EQ$10,X$6,'CF(M)'!$L30:$EQ30)</f>
        <v>-365967.22270530969</v>
      </c>
      <c r="Y25" s="171">
        <f>SUMIF('CF(M)'!$L$10:$EQ$10,Y$6,'CF(M)'!$L30:$EQ30)</f>
        <v>0</v>
      </c>
      <c r="Z25" s="171">
        <f>SUMIF('CF(M)'!$L$10:$EQ$10,Z$6,'CF(M)'!$L30:$EQ30)</f>
        <v>-360477.71436473</v>
      </c>
      <c r="AA25" s="171">
        <f>SUMIF('CF(M)'!$L$10:$EQ$10,AA$6,'CF(M)'!$L30:$EQ30)</f>
        <v>0</v>
      </c>
      <c r="AB25" s="171">
        <f>SUMIF('CF(M)'!$L$10:$EQ$10,AB$6,'CF(M)'!$L30:$EQ30)</f>
        <v>-355070.54864925909</v>
      </c>
      <c r="AC25" s="171">
        <f>SUMIF('CF(M)'!$L$10:$EQ$10,AC$6,'CF(M)'!$L30:$EQ30)</f>
        <v>0</v>
      </c>
      <c r="AD25" s="171">
        <f>SUMIF('CF(M)'!$L$10:$EQ$10,AD$6,'CF(M)'!$L30:$EQ30)</f>
        <v>-349744.49041952012</v>
      </c>
      <c r="AE25" s="171">
        <f>SUMIF('CF(M)'!$L$10:$EQ$10,AE$6,'CF(M)'!$L30:$EQ30)</f>
        <v>0</v>
      </c>
      <c r="AF25" s="171">
        <f>SUMIF('CF(M)'!$L$10:$EQ$10,AF$6,'CF(M)'!$L30:$EQ30)</f>
        <v>-373170.13110862474</v>
      </c>
      <c r="AG25" s="171">
        <f>SUMIF('CF(M)'!$L$10:$EQ$10,AG$6,'CF(M)'!$L30:$EQ30)</f>
        <v>0</v>
      </c>
      <c r="AH25" s="171">
        <f>SUMIF('CF(M)'!$L$10:$EQ$10,AH$6,'CF(M)'!$L30:$EQ30)</f>
        <v>0</v>
      </c>
      <c r="AI25" s="171">
        <f>SUMIF('CF(M)'!$L$10:$EQ$10,AI$6,'CF(M)'!$L30:$EQ30)</f>
        <v>0</v>
      </c>
      <c r="AJ25" s="171">
        <f>SUMIF('CF(M)'!$L$10:$EQ$10,AJ$6,'CF(M)'!$L30:$EQ30)</f>
        <v>0</v>
      </c>
      <c r="AK25" s="171">
        <f>SUMIF('CF(M)'!$L$10:$EQ$10,AK$6,'CF(M)'!$L30:$EQ30)</f>
        <v>0</v>
      </c>
      <c r="AL25" s="171">
        <f>SUMIF('CF(M)'!$L$10:$EQ$10,AL$6,'CF(M)'!$L30:$EQ30)</f>
        <v>0</v>
      </c>
      <c r="AM25" s="171">
        <f>SUMIF('CF(M)'!$L$10:$EQ$10,AM$6,'CF(M)'!$L30:$EQ30)</f>
        <v>0</v>
      </c>
      <c r="AN25" s="171">
        <f>SUMIF('CF(M)'!$L$10:$EQ$10,AN$6,'CF(M)'!$L30:$EQ30)</f>
        <v>0</v>
      </c>
      <c r="AO25" s="171">
        <f>SUMIF('CF(M)'!$L$10:$EQ$10,AO$6,'CF(M)'!$L30:$EQ30)</f>
        <v>0</v>
      </c>
      <c r="AP25" s="171">
        <f>SUMIF('CF(M)'!$L$10:$EQ$10,AP$6,'CF(M)'!$L30:$EQ30)</f>
        <v>0</v>
      </c>
      <c r="AQ25" s="171">
        <f>SUMIF('CF(M)'!$L$10:$EQ$10,AQ$6,'CF(M)'!$L30:$EQ30)</f>
        <v>0</v>
      </c>
      <c r="AR25" s="171">
        <f>SUMIF('CF(M)'!$L$10:$EQ$10,AR$6,'CF(M)'!$L30:$EQ30)</f>
        <v>0</v>
      </c>
      <c r="AS25" s="171">
        <f>SUMIF('CF(M)'!$L$10:$EQ$10,AS$6,'CF(M)'!$L30:$EQ30)</f>
        <v>0</v>
      </c>
      <c r="AT25" s="171">
        <f>SUMIF('CF(M)'!$L$10:$EQ$10,AT$6,'CF(M)'!$L30:$EQ30)</f>
        <v>0</v>
      </c>
      <c r="AU25" s="171">
        <f>SUMIF('CF(M)'!$L$10:$EQ$10,AU$6,'CF(M)'!$L30:$EQ30)</f>
        <v>0</v>
      </c>
      <c r="AV25" s="171">
        <f>SUMIF('CF(M)'!$L$10:$EQ$10,AV$6,'CF(M)'!$L30:$EQ30)</f>
        <v>0</v>
      </c>
      <c r="AW25" s="171">
        <f>SUMIF('CF(M)'!$L$10:$EQ$10,AW$6,'CF(M)'!$L30:$EQ30)</f>
        <v>0</v>
      </c>
      <c r="AX25" s="171">
        <f>SUMIF('CF(M)'!$L$10:$EQ$10,AX$6,'CF(M)'!$L30:$EQ30)</f>
        <v>0</v>
      </c>
      <c r="AY25" s="171">
        <f>SUMIF('CF(M)'!$L$10:$EQ$10,AY$6,'CF(M)'!$L30:$EQ30)</f>
        <v>0</v>
      </c>
      <c r="AZ25" s="171">
        <f>SUMIF('CF(M)'!$L$10:$EQ$10,AZ$6,'CF(M)'!$L30:$EQ30)</f>
        <v>0</v>
      </c>
      <c r="BA25" s="171">
        <f>SUMIF('CF(M)'!$L$10:$EQ$10,BA$6,'CF(M)'!$L30:$EQ30)</f>
        <v>0</v>
      </c>
      <c r="BB25" s="171">
        <f>SUMIF('CF(M)'!$L$10:$EQ$10,BB$6,'CF(M)'!$L30:$EQ30)</f>
        <v>0</v>
      </c>
      <c r="BC25" s="171">
        <f>SUMIF('CF(M)'!$L$10:$EQ$10,BC$6,'CF(M)'!$L30:$EQ30)</f>
        <v>0</v>
      </c>
      <c r="BD25" s="171">
        <f>SUMIF('CF(M)'!$L$10:$EQ$10,BD$6,'CF(M)'!$L30:$EQ30)</f>
        <v>0</v>
      </c>
      <c r="BE25" s="171">
        <f>SUMIF('CF(M)'!$L$10:$EQ$10,BE$6,'CF(M)'!$L30:$EQ30)</f>
        <v>0</v>
      </c>
      <c r="BF25" s="171">
        <f>SUMIF('CF(M)'!$L$10:$EQ$10,BF$6,'CF(M)'!$L30:$EQ30)</f>
        <v>0</v>
      </c>
      <c r="BG25" s="171">
        <f>SUMIF('CF(M)'!$L$10:$EQ$10,BG$6,'CF(M)'!$L30:$EQ30)</f>
        <v>0</v>
      </c>
      <c r="BH25" s="171">
        <f>SUMIF('CF(M)'!$L$10:$EQ$10,BH$6,'CF(M)'!$L30:$EQ30)</f>
        <v>0</v>
      </c>
      <c r="BI25" s="171">
        <f>SUMIF('CF(M)'!$L$10:$EQ$10,BI$6,'CF(M)'!$L30:$EQ30)</f>
        <v>0</v>
      </c>
      <c r="BJ25" s="171">
        <f>SUMIF('CF(M)'!$L$10:$EQ$10,BJ$6,'CF(M)'!$L30:$EQ30)</f>
        <v>0</v>
      </c>
      <c r="BK25" s="171">
        <f>SUMIF('CF(M)'!$L$10:$EQ$10,BK$6,'CF(M)'!$L30:$EQ30)</f>
        <v>0</v>
      </c>
      <c r="BL25" s="171">
        <f>SUMIF('CF(M)'!$L$10:$EQ$10,BL$6,'CF(M)'!$L30:$EQ30)</f>
        <v>0</v>
      </c>
      <c r="BM25" s="171">
        <f>SUMIF('CF(M)'!$L$10:$EQ$10,BM$6,'CF(M)'!$L30:$EQ30)</f>
        <v>0</v>
      </c>
      <c r="BN25" s="171">
        <f>SUMIF('CF(M)'!$L$10:$EQ$10,BN$6,'CF(M)'!$L30:$EQ30)</f>
        <v>0</v>
      </c>
      <c r="BO25" s="171">
        <f>SUMIF('CF(M)'!$L$10:$EQ$10,BO$6,'CF(M)'!$L30:$EQ30)</f>
        <v>0</v>
      </c>
      <c r="BP25" s="171">
        <f>SUMIF('CF(M)'!$L$10:$EQ$10,BP$6,'CF(M)'!$L30:$EQ30)</f>
        <v>0</v>
      </c>
      <c r="BQ25" s="171">
        <f>SUMIF('CF(M)'!$L$10:$EQ$10,BQ$6,'CF(M)'!$L30:$EQ30)</f>
        <v>0</v>
      </c>
      <c r="BR25" s="171">
        <f>SUMIF('CF(M)'!$L$10:$EQ$10,BR$6,'CF(M)'!$L30:$EQ30)</f>
        <v>0</v>
      </c>
      <c r="BS25" s="171">
        <f>SUMIF('CF(M)'!$L$10:$EQ$10,BS$6,'CF(M)'!$L30:$EQ30)</f>
        <v>0</v>
      </c>
      <c r="BT25" s="171">
        <f>SUMIF('CF(M)'!$L$10:$EQ$10,BT$6,'CF(M)'!$L30:$EQ30)</f>
        <v>0</v>
      </c>
      <c r="BU25" s="171">
        <f>SUMIF('CF(M)'!$L$10:$EQ$10,BU$6,'CF(M)'!$L30:$EQ30)</f>
        <v>0</v>
      </c>
      <c r="BV25" s="171">
        <f>SUMIF('CF(M)'!$L$10:$EQ$10,BV$6,'CF(M)'!$L30:$EQ30)</f>
        <v>0</v>
      </c>
      <c r="BW25" s="171">
        <f>SUMIF('CF(M)'!$L$10:$EQ$10,BW$6,'CF(M)'!$L30:$EQ30)</f>
        <v>0</v>
      </c>
      <c r="BX25" s="171">
        <f>SUMIF('CF(M)'!$L$10:$EQ$10,BX$6,'CF(M)'!$L30:$EQ30)</f>
        <v>0</v>
      </c>
      <c r="BY25" s="171">
        <f>SUMIF('CF(M)'!$L$10:$EQ$10,BY$6,'CF(M)'!$L30:$EQ30)</f>
        <v>0</v>
      </c>
      <c r="BZ25" s="171">
        <f>SUMIF('CF(M)'!$L$10:$EQ$10,BZ$6,'CF(M)'!$L30:$EQ30)</f>
        <v>0</v>
      </c>
      <c r="CA25" s="171">
        <f>SUMIF('CF(M)'!$L$10:$EQ$10,CA$6,'CF(M)'!$L30:$EQ30)</f>
        <v>0</v>
      </c>
      <c r="CB25" s="171">
        <f>SUMIF('CF(M)'!$L$10:$EQ$10,CB$6,'CF(M)'!$L30:$EQ30)</f>
        <v>0</v>
      </c>
      <c r="CC25" s="171">
        <f>SUMIF('CF(M)'!$L$10:$EQ$10,CC$6,'CF(M)'!$L30:$EQ30)</f>
        <v>0</v>
      </c>
      <c r="CD25" s="171">
        <f>SUMIF('CF(M)'!$L$10:$EQ$10,CD$6,'CF(M)'!$L30:$EQ30)</f>
        <v>0</v>
      </c>
      <c r="CE25" s="171">
        <f>SUMIF('CF(M)'!$L$10:$EQ$10,CE$6,'CF(M)'!$L30:$EQ30)</f>
        <v>0</v>
      </c>
      <c r="CF25" s="171">
        <f>SUMIF('CF(M)'!$L$10:$EQ$10,CF$6,'CF(M)'!$L30:$EQ30)</f>
        <v>0</v>
      </c>
      <c r="CG25" s="171">
        <f>SUMIF('CF(M)'!$L$10:$EQ$10,CG$6,'CF(M)'!$L30:$EQ30)</f>
        <v>0</v>
      </c>
      <c r="CH25" s="171">
        <f>SUMIF('CF(M)'!$L$10:$EQ$10,CH$6,'CF(M)'!$L30:$EQ30)</f>
        <v>0</v>
      </c>
      <c r="CI25" s="171">
        <f>SUMIF('CF(M)'!$L$10:$EQ$10,CI$6,'CF(M)'!$L30:$EQ30)</f>
        <v>0</v>
      </c>
      <c r="CJ25" s="171">
        <f>SUMIF('CF(M)'!$L$10:$EQ$10,CJ$6,'CF(M)'!$L30:$EQ30)</f>
        <v>0</v>
      </c>
      <c r="CK25" s="171">
        <f>SUMIF('CF(M)'!$L$10:$EQ$10,CK$6,'CF(M)'!$L30:$EQ30)</f>
        <v>0</v>
      </c>
      <c r="CL25" s="171">
        <f>SUMIF('CF(M)'!$L$10:$EQ$10,CL$6,'CF(M)'!$L30:$EQ30)</f>
        <v>0</v>
      </c>
      <c r="CM25" s="171">
        <f>SUMIF('CF(M)'!$L$10:$EQ$10,CM$6,'CF(M)'!$L30:$EQ30)</f>
        <v>0</v>
      </c>
      <c r="CN25" s="171">
        <f>SUMIF('CF(M)'!$L$10:$EQ$10,CN$6,'CF(M)'!$L30:$EQ30)</f>
        <v>0</v>
      </c>
      <c r="CO25" s="171">
        <f>SUMIF('CF(M)'!$L$10:$EQ$10,CO$6,'CF(M)'!$L30:$EQ30)</f>
        <v>0</v>
      </c>
      <c r="CP25" s="171">
        <f>SUMIF('CF(M)'!$L$10:$EQ$10,CP$6,'CF(M)'!$L30:$EQ30)</f>
        <v>0</v>
      </c>
      <c r="CQ25" s="171">
        <f>SUMIF('CF(M)'!$L$10:$EQ$10,CQ$6,'CF(M)'!$L30:$EQ30)</f>
        <v>0</v>
      </c>
      <c r="CR25" s="171">
        <f>SUMIF('CF(M)'!$L$10:$EQ$10,CR$6,'CF(M)'!$L30:$EQ30)</f>
        <v>0</v>
      </c>
      <c r="CS25" s="171">
        <f>SUMIF('CF(M)'!$L$10:$EQ$10,CS$6,'CF(M)'!$L30:$EQ30)</f>
        <v>0</v>
      </c>
      <c r="CT25" s="171">
        <f>SUMIF('CF(M)'!$L$10:$EQ$10,CT$6,'CF(M)'!$L30:$EQ30)</f>
        <v>0</v>
      </c>
      <c r="CU25" s="171">
        <f>SUMIF('CF(M)'!$L$10:$EQ$10,CU$6,'CF(M)'!$L30:$EQ30)</f>
        <v>0</v>
      </c>
      <c r="CV25" s="171">
        <f>SUMIF('CF(M)'!$L$10:$EQ$10,CV$6,'CF(M)'!$L30:$EQ30)</f>
        <v>0</v>
      </c>
      <c r="CW25" s="171">
        <f>SUMIF('CF(M)'!$L$10:$EQ$10,CW$6,'CF(M)'!$L30:$EQ30)</f>
        <v>0</v>
      </c>
      <c r="CX25" s="171">
        <f>SUMIF('CF(M)'!$L$10:$EQ$10,CX$6,'CF(M)'!$L30:$EQ30)</f>
        <v>0</v>
      </c>
      <c r="CY25" s="171">
        <f>SUMIF('CF(M)'!$L$10:$EQ$10,CY$6,'CF(M)'!$L30:$EQ30)</f>
        <v>0</v>
      </c>
      <c r="CZ25" s="171">
        <f>SUMIF('CF(M)'!$L$10:$EQ$10,CZ$6,'CF(M)'!$L30:$EQ30)</f>
        <v>0</v>
      </c>
      <c r="DA25" s="171">
        <f>SUMIF('CF(M)'!$L$10:$EQ$10,DA$6,'CF(M)'!$L30:$EQ30)</f>
        <v>0</v>
      </c>
      <c r="DB25" s="171">
        <f>SUMIF('CF(M)'!$L$10:$EQ$10,DB$6,'CF(M)'!$L30:$EQ30)</f>
        <v>0</v>
      </c>
      <c r="DC25" s="171">
        <f>SUMIF('CF(M)'!$L$10:$EQ$10,DC$6,'CF(M)'!$L30:$EQ30)</f>
        <v>0</v>
      </c>
      <c r="DD25" s="171">
        <f>SUMIF('CF(M)'!$L$10:$EQ$10,DD$6,'CF(M)'!$L30:$EQ30)</f>
        <v>0</v>
      </c>
      <c r="DE25" s="171">
        <f>SUMIF('CF(M)'!$L$10:$EQ$10,DE$6,'CF(M)'!$L30:$EQ30)</f>
        <v>0</v>
      </c>
      <c r="DF25" s="171">
        <f>SUMIF('CF(M)'!$L$10:$EQ$10,DF$6,'CF(M)'!$L30:$EQ30)</f>
        <v>0</v>
      </c>
      <c r="DG25" s="171">
        <f>SUMIF('CF(M)'!$L$10:$EQ$10,DG$6,'CF(M)'!$L30:$EQ30)</f>
        <v>0</v>
      </c>
      <c r="DH25" s="171">
        <f>SUMIF('CF(M)'!$L$10:$EQ$10,DH$6,'CF(M)'!$L30:$EQ30)</f>
        <v>0</v>
      </c>
      <c r="DI25" s="171">
        <f>SUMIF('CF(M)'!$L$10:$EQ$10,DI$6,'CF(M)'!$L30:$EQ30)</f>
        <v>0</v>
      </c>
      <c r="DJ25" s="171">
        <f>SUMIF('CF(M)'!$L$10:$EQ$10,DJ$6,'CF(M)'!$L30:$EQ30)</f>
        <v>0</v>
      </c>
      <c r="DK25" s="171">
        <f>SUMIF('CF(M)'!$L$10:$EQ$10,DK$6,'CF(M)'!$L30:$EQ30)</f>
        <v>0</v>
      </c>
      <c r="DL25" s="171">
        <f>SUMIF('CF(M)'!$L$10:$EQ$10,DL$6,'CF(M)'!$L30:$EQ30)</f>
        <v>0</v>
      </c>
      <c r="DM25" s="171">
        <f>SUMIF('CF(M)'!$L$10:$EQ$10,DM$6,'CF(M)'!$L30:$EQ30)</f>
        <v>0</v>
      </c>
      <c r="DN25" s="171">
        <f>SUMIF('CF(M)'!$L$10:$EQ$10,DN$6,'CF(M)'!$L30:$EQ30)</f>
        <v>0</v>
      </c>
      <c r="DO25" s="171">
        <f>SUMIF('CF(M)'!$L$10:$EQ$10,DO$6,'CF(M)'!$L30:$EQ30)</f>
        <v>0</v>
      </c>
      <c r="DP25" s="171">
        <f>SUMIF('CF(M)'!$L$10:$EQ$10,DP$6,'CF(M)'!$L30:$EQ30)</f>
        <v>0</v>
      </c>
      <c r="DQ25" s="171">
        <f>SUMIF('CF(M)'!$L$10:$EQ$10,DQ$6,'CF(M)'!$L30:$EQ30)</f>
        <v>0</v>
      </c>
      <c r="DR25" s="171">
        <f>SUMIF('CF(M)'!$L$10:$EQ$10,DR$6,'CF(M)'!$L30:$EQ30)</f>
        <v>0</v>
      </c>
      <c r="DS25" s="171">
        <f>SUMIF('CF(M)'!$L$10:$EQ$10,DS$6,'CF(M)'!$L30:$EQ30)</f>
        <v>0</v>
      </c>
      <c r="DT25" s="171">
        <f>SUMIF('CF(M)'!$L$10:$EQ$10,DT$6,'CF(M)'!$L30:$EQ30)</f>
        <v>0</v>
      </c>
      <c r="DU25" s="171">
        <f>SUMIF('CF(M)'!$L$10:$EQ$10,DU$6,'CF(M)'!$L30:$EQ30)</f>
        <v>0</v>
      </c>
      <c r="DV25" s="171">
        <f>SUMIF('CF(M)'!$L$10:$EQ$10,DV$6,'CF(M)'!$L30:$EQ30)</f>
        <v>0</v>
      </c>
    </row>
    <row r="26" spans="2:126" ht="11.25" customHeight="1">
      <c r="B26" s="218"/>
      <c r="C26" s="163"/>
      <c r="D26" s="169" t="s">
        <v>93</v>
      </c>
      <c r="H26" s="90"/>
      <c r="I26" s="222"/>
      <c r="J26" s="171">
        <f t="shared" si="8"/>
        <v>0</v>
      </c>
      <c r="K26" s="98"/>
      <c r="L26" s="171">
        <f>SUMIF('CF(M)'!$L$10:$EQ$10,L$6,'CF(M)'!$L31:$EQ31)</f>
        <v>0</v>
      </c>
      <c r="M26" s="171">
        <f>SUMIF('CF(M)'!$L$10:$EQ$10,M$6,'CF(M)'!$L31:$EQ31)</f>
        <v>0</v>
      </c>
      <c r="N26" s="171">
        <f>SUMIF('CF(M)'!$L$10:$EQ$10,N$6,'CF(M)'!$L31:$EQ31)</f>
        <v>0</v>
      </c>
      <c r="O26" s="171">
        <f>SUMIF('CF(M)'!$L$10:$EQ$10,O$6,'CF(M)'!$L31:$EQ31)</f>
        <v>0</v>
      </c>
      <c r="P26" s="171">
        <f>SUMIF('CF(M)'!$L$10:$EQ$10,P$6,'CF(M)'!$L31:$EQ31)</f>
        <v>0</v>
      </c>
      <c r="Q26" s="171">
        <f>SUMIF('CF(M)'!$L$10:$EQ$10,Q$6,'CF(M)'!$L31:$EQ31)</f>
        <v>0</v>
      </c>
      <c r="R26" s="171">
        <f>SUMIF('CF(M)'!$L$10:$EQ$10,R$6,'CF(M)'!$L31:$EQ31)</f>
        <v>0</v>
      </c>
      <c r="S26" s="171">
        <f>SUMIF('CF(M)'!$L$10:$EQ$10,S$6,'CF(M)'!$L31:$EQ31)</f>
        <v>0</v>
      </c>
      <c r="T26" s="171">
        <f>SUMIF('CF(M)'!$L$10:$EQ$10,T$6,'CF(M)'!$L31:$EQ31)</f>
        <v>0</v>
      </c>
      <c r="U26" s="171">
        <f>SUMIF('CF(M)'!$L$10:$EQ$10,U$6,'CF(M)'!$L31:$EQ31)</f>
        <v>0</v>
      </c>
      <c r="V26" s="171">
        <f>SUMIF('CF(M)'!$L$10:$EQ$10,V$6,'CF(M)'!$L31:$EQ31)</f>
        <v>0</v>
      </c>
      <c r="W26" s="171">
        <f>SUMIF('CF(M)'!$L$10:$EQ$10,W$6,'CF(M)'!$L31:$EQ31)</f>
        <v>0</v>
      </c>
      <c r="X26" s="171">
        <f>SUMIF('CF(M)'!$L$10:$EQ$10,X$6,'CF(M)'!$L31:$EQ31)</f>
        <v>0</v>
      </c>
      <c r="Y26" s="171">
        <f>SUMIF('CF(M)'!$L$10:$EQ$10,Y$6,'CF(M)'!$L31:$EQ31)</f>
        <v>0</v>
      </c>
      <c r="Z26" s="171">
        <f>SUMIF('CF(M)'!$L$10:$EQ$10,Z$6,'CF(M)'!$L31:$EQ31)</f>
        <v>0</v>
      </c>
      <c r="AA26" s="171">
        <f>SUMIF('CF(M)'!$L$10:$EQ$10,AA$6,'CF(M)'!$L31:$EQ31)</f>
        <v>0</v>
      </c>
      <c r="AB26" s="171">
        <f>SUMIF('CF(M)'!$L$10:$EQ$10,AB$6,'CF(M)'!$L31:$EQ31)</f>
        <v>0</v>
      </c>
      <c r="AC26" s="171">
        <f>SUMIF('CF(M)'!$L$10:$EQ$10,AC$6,'CF(M)'!$L31:$EQ31)</f>
        <v>0</v>
      </c>
      <c r="AD26" s="171">
        <f>SUMIF('CF(M)'!$L$10:$EQ$10,AD$6,'CF(M)'!$L31:$EQ31)</f>
        <v>0</v>
      </c>
      <c r="AE26" s="171">
        <f>SUMIF('CF(M)'!$L$10:$EQ$10,AE$6,'CF(M)'!$L31:$EQ31)</f>
        <v>0</v>
      </c>
      <c r="AF26" s="171">
        <f>SUMIF('CF(M)'!$L$10:$EQ$10,AF$6,'CF(M)'!$L31:$EQ31)</f>
        <v>0</v>
      </c>
      <c r="AG26" s="171">
        <f>SUMIF('CF(M)'!$L$10:$EQ$10,AG$6,'CF(M)'!$L31:$EQ31)</f>
        <v>0</v>
      </c>
      <c r="AH26" s="171">
        <f>SUMIF('CF(M)'!$L$10:$EQ$10,AH$6,'CF(M)'!$L31:$EQ31)</f>
        <v>0</v>
      </c>
      <c r="AI26" s="171">
        <f>SUMIF('CF(M)'!$L$10:$EQ$10,AI$6,'CF(M)'!$L31:$EQ31)</f>
        <v>0</v>
      </c>
      <c r="AJ26" s="171">
        <f>SUMIF('CF(M)'!$L$10:$EQ$10,AJ$6,'CF(M)'!$L31:$EQ31)</f>
        <v>0</v>
      </c>
      <c r="AK26" s="171">
        <f>SUMIF('CF(M)'!$L$10:$EQ$10,AK$6,'CF(M)'!$L31:$EQ31)</f>
        <v>0</v>
      </c>
      <c r="AL26" s="171">
        <f>SUMIF('CF(M)'!$L$10:$EQ$10,AL$6,'CF(M)'!$L31:$EQ31)</f>
        <v>0</v>
      </c>
      <c r="AM26" s="171">
        <f>SUMIF('CF(M)'!$L$10:$EQ$10,AM$6,'CF(M)'!$L31:$EQ31)</f>
        <v>0</v>
      </c>
      <c r="AN26" s="171">
        <f>SUMIF('CF(M)'!$L$10:$EQ$10,AN$6,'CF(M)'!$L31:$EQ31)</f>
        <v>0</v>
      </c>
      <c r="AO26" s="171">
        <f>SUMIF('CF(M)'!$L$10:$EQ$10,AO$6,'CF(M)'!$L31:$EQ31)</f>
        <v>0</v>
      </c>
      <c r="AP26" s="171">
        <f>SUMIF('CF(M)'!$L$10:$EQ$10,AP$6,'CF(M)'!$L31:$EQ31)</f>
        <v>0</v>
      </c>
      <c r="AQ26" s="171">
        <f>SUMIF('CF(M)'!$L$10:$EQ$10,AQ$6,'CF(M)'!$L31:$EQ31)</f>
        <v>0</v>
      </c>
      <c r="AR26" s="171">
        <f>SUMIF('CF(M)'!$L$10:$EQ$10,AR$6,'CF(M)'!$L31:$EQ31)</f>
        <v>0</v>
      </c>
      <c r="AS26" s="171">
        <f>SUMIF('CF(M)'!$L$10:$EQ$10,AS$6,'CF(M)'!$L31:$EQ31)</f>
        <v>0</v>
      </c>
      <c r="AT26" s="171">
        <f>SUMIF('CF(M)'!$L$10:$EQ$10,AT$6,'CF(M)'!$L31:$EQ31)</f>
        <v>0</v>
      </c>
      <c r="AU26" s="171">
        <f>SUMIF('CF(M)'!$L$10:$EQ$10,AU$6,'CF(M)'!$L31:$EQ31)</f>
        <v>0</v>
      </c>
      <c r="AV26" s="171">
        <f>SUMIF('CF(M)'!$L$10:$EQ$10,AV$6,'CF(M)'!$L31:$EQ31)</f>
        <v>0</v>
      </c>
      <c r="AW26" s="171">
        <f>SUMIF('CF(M)'!$L$10:$EQ$10,AW$6,'CF(M)'!$L31:$EQ31)</f>
        <v>0</v>
      </c>
      <c r="AX26" s="171">
        <f>SUMIF('CF(M)'!$L$10:$EQ$10,AX$6,'CF(M)'!$L31:$EQ31)</f>
        <v>0</v>
      </c>
      <c r="AY26" s="171">
        <f>SUMIF('CF(M)'!$L$10:$EQ$10,AY$6,'CF(M)'!$L31:$EQ31)</f>
        <v>0</v>
      </c>
      <c r="AZ26" s="171">
        <f>SUMIF('CF(M)'!$L$10:$EQ$10,AZ$6,'CF(M)'!$L31:$EQ31)</f>
        <v>0</v>
      </c>
      <c r="BA26" s="171">
        <f>SUMIF('CF(M)'!$L$10:$EQ$10,BA$6,'CF(M)'!$L31:$EQ31)</f>
        <v>0</v>
      </c>
      <c r="BB26" s="171">
        <f>SUMIF('CF(M)'!$L$10:$EQ$10,BB$6,'CF(M)'!$L31:$EQ31)</f>
        <v>0</v>
      </c>
      <c r="BC26" s="171">
        <f>SUMIF('CF(M)'!$L$10:$EQ$10,BC$6,'CF(M)'!$L31:$EQ31)</f>
        <v>0</v>
      </c>
      <c r="BD26" s="171">
        <f>SUMIF('CF(M)'!$L$10:$EQ$10,BD$6,'CF(M)'!$L31:$EQ31)</f>
        <v>0</v>
      </c>
      <c r="BE26" s="171">
        <f>SUMIF('CF(M)'!$L$10:$EQ$10,BE$6,'CF(M)'!$L31:$EQ31)</f>
        <v>0</v>
      </c>
      <c r="BF26" s="171">
        <f>SUMIF('CF(M)'!$L$10:$EQ$10,BF$6,'CF(M)'!$L31:$EQ31)</f>
        <v>0</v>
      </c>
      <c r="BG26" s="171">
        <f>SUMIF('CF(M)'!$L$10:$EQ$10,BG$6,'CF(M)'!$L31:$EQ31)</f>
        <v>0</v>
      </c>
      <c r="BH26" s="171">
        <f>SUMIF('CF(M)'!$L$10:$EQ$10,BH$6,'CF(M)'!$L31:$EQ31)</f>
        <v>0</v>
      </c>
      <c r="BI26" s="171">
        <f>SUMIF('CF(M)'!$L$10:$EQ$10,BI$6,'CF(M)'!$L31:$EQ31)</f>
        <v>0</v>
      </c>
      <c r="BJ26" s="171">
        <f>SUMIF('CF(M)'!$L$10:$EQ$10,BJ$6,'CF(M)'!$L31:$EQ31)</f>
        <v>0</v>
      </c>
      <c r="BK26" s="171">
        <f>SUMIF('CF(M)'!$L$10:$EQ$10,BK$6,'CF(M)'!$L31:$EQ31)</f>
        <v>0</v>
      </c>
      <c r="BL26" s="171">
        <f>SUMIF('CF(M)'!$L$10:$EQ$10,BL$6,'CF(M)'!$L31:$EQ31)</f>
        <v>0</v>
      </c>
      <c r="BM26" s="171">
        <f>SUMIF('CF(M)'!$L$10:$EQ$10,BM$6,'CF(M)'!$L31:$EQ31)</f>
        <v>0</v>
      </c>
      <c r="BN26" s="171">
        <f>SUMIF('CF(M)'!$L$10:$EQ$10,BN$6,'CF(M)'!$L31:$EQ31)</f>
        <v>0</v>
      </c>
      <c r="BO26" s="171">
        <f>SUMIF('CF(M)'!$L$10:$EQ$10,BO$6,'CF(M)'!$L31:$EQ31)</f>
        <v>0</v>
      </c>
      <c r="BP26" s="171">
        <f>SUMIF('CF(M)'!$L$10:$EQ$10,BP$6,'CF(M)'!$L31:$EQ31)</f>
        <v>0</v>
      </c>
      <c r="BQ26" s="171">
        <f>SUMIF('CF(M)'!$L$10:$EQ$10,BQ$6,'CF(M)'!$L31:$EQ31)</f>
        <v>0</v>
      </c>
      <c r="BR26" s="171">
        <f>SUMIF('CF(M)'!$L$10:$EQ$10,BR$6,'CF(M)'!$L31:$EQ31)</f>
        <v>0</v>
      </c>
      <c r="BS26" s="171">
        <f>SUMIF('CF(M)'!$L$10:$EQ$10,BS$6,'CF(M)'!$L31:$EQ31)</f>
        <v>0</v>
      </c>
      <c r="BT26" s="171">
        <f>SUMIF('CF(M)'!$L$10:$EQ$10,BT$6,'CF(M)'!$L31:$EQ31)</f>
        <v>0</v>
      </c>
      <c r="BU26" s="171">
        <f>SUMIF('CF(M)'!$L$10:$EQ$10,BU$6,'CF(M)'!$L31:$EQ31)</f>
        <v>0</v>
      </c>
      <c r="BV26" s="171">
        <f>SUMIF('CF(M)'!$L$10:$EQ$10,BV$6,'CF(M)'!$L31:$EQ31)</f>
        <v>0</v>
      </c>
      <c r="BW26" s="171">
        <f>SUMIF('CF(M)'!$L$10:$EQ$10,BW$6,'CF(M)'!$L31:$EQ31)</f>
        <v>0</v>
      </c>
      <c r="BX26" s="171">
        <f>SUMIF('CF(M)'!$L$10:$EQ$10,BX$6,'CF(M)'!$L31:$EQ31)</f>
        <v>0</v>
      </c>
      <c r="BY26" s="171">
        <f>SUMIF('CF(M)'!$L$10:$EQ$10,BY$6,'CF(M)'!$L31:$EQ31)</f>
        <v>0</v>
      </c>
      <c r="BZ26" s="171">
        <f>SUMIF('CF(M)'!$L$10:$EQ$10,BZ$6,'CF(M)'!$L31:$EQ31)</f>
        <v>0</v>
      </c>
      <c r="CA26" s="171">
        <f>SUMIF('CF(M)'!$L$10:$EQ$10,CA$6,'CF(M)'!$L31:$EQ31)</f>
        <v>0</v>
      </c>
      <c r="CB26" s="171">
        <f>SUMIF('CF(M)'!$L$10:$EQ$10,CB$6,'CF(M)'!$L31:$EQ31)</f>
        <v>0</v>
      </c>
      <c r="CC26" s="171">
        <f>SUMIF('CF(M)'!$L$10:$EQ$10,CC$6,'CF(M)'!$L31:$EQ31)</f>
        <v>0</v>
      </c>
      <c r="CD26" s="171">
        <f>SUMIF('CF(M)'!$L$10:$EQ$10,CD$6,'CF(M)'!$L31:$EQ31)</f>
        <v>0</v>
      </c>
      <c r="CE26" s="171">
        <f>SUMIF('CF(M)'!$L$10:$EQ$10,CE$6,'CF(M)'!$L31:$EQ31)</f>
        <v>0</v>
      </c>
      <c r="CF26" s="171">
        <f>SUMIF('CF(M)'!$L$10:$EQ$10,CF$6,'CF(M)'!$L31:$EQ31)</f>
        <v>0</v>
      </c>
      <c r="CG26" s="171">
        <f>SUMIF('CF(M)'!$L$10:$EQ$10,CG$6,'CF(M)'!$L31:$EQ31)</f>
        <v>0</v>
      </c>
      <c r="CH26" s="171">
        <f>SUMIF('CF(M)'!$L$10:$EQ$10,CH$6,'CF(M)'!$L31:$EQ31)</f>
        <v>0</v>
      </c>
      <c r="CI26" s="171">
        <f>SUMIF('CF(M)'!$L$10:$EQ$10,CI$6,'CF(M)'!$L31:$EQ31)</f>
        <v>0</v>
      </c>
      <c r="CJ26" s="171">
        <f>SUMIF('CF(M)'!$L$10:$EQ$10,CJ$6,'CF(M)'!$L31:$EQ31)</f>
        <v>0</v>
      </c>
      <c r="CK26" s="171">
        <f>SUMIF('CF(M)'!$L$10:$EQ$10,CK$6,'CF(M)'!$L31:$EQ31)</f>
        <v>0</v>
      </c>
      <c r="CL26" s="171">
        <f>SUMIF('CF(M)'!$L$10:$EQ$10,CL$6,'CF(M)'!$L31:$EQ31)</f>
        <v>0</v>
      </c>
      <c r="CM26" s="171">
        <f>SUMIF('CF(M)'!$L$10:$EQ$10,CM$6,'CF(M)'!$L31:$EQ31)</f>
        <v>0</v>
      </c>
      <c r="CN26" s="171">
        <f>SUMIF('CF(M)'!$L$10:$EQ$10,CN$6,'CF(M)'!$L31:$EQ31)</f>
        <v>0</v>
      </c>
      <c r="CO26" s="171">
        <f>SUMIF('CF(M)'!$L$10:$EQ$10,CO$6,'CF(M)'!$L31:$EQ31)</f>
        <v>0</v>
      </c>
      <c r="CP26" s="171">
        <f>SUMIF('CF(M)'!$L$10:$EQ$10,CP$6,'CF(M)'!$L31:$EQ31)</f>
        <v>0</v>
      </c>
      <c r="CQ26" s="171">
        <f>SUMIF('CF(M)'!$L$10:$EQ$10,CQ$6,'CF(M)'!$L31:$EQ31)</f>
        <v>0</v>
      </c>
      <c r="CR26" s="171">
        <f>SUMIF('CF(M)'!$L$10:$EQ$10,CR$6,'CF(M)'!$L31:$EQ31)</f>
        <v>0</v>
      </c>
      <c r="CS26" s="171">
        <f>SUMIF('CF(M)'!$L$10:$EQ$10,CS$6,'CF(M)'!$L31:$EQ31)</f>
        <v>0</v>
      </c>
      <c r="CT26" s="171">
        <f>SUMIF('CF(M)'!$L$10:$EQ$10,CT$6,'CF(M)'!$L31:$EQ31)</f>
        <v>0</v>
      </c>
      <c r="CU26" s="171">
        <f>SUMIF('CF(M)'!$L$10:$EQ$10,CU$6,'CF(M)'!$L31:$EQ31)</f>
        <v>0</v>
      </c>
      <c r="CV26" s="171">
        <f>SUMIF('CF(M)'!$L$10:$EQ$10,CV$6,'CF(M)'!$L31:$EQ31)</f>
        <v>0</v>
      </c>
      <c r="CW26" s="171">
        <f>SUMIF('CF(M)'!$L$10:$EQ$10,CW$6,'CF(M)'!$L31:$EQ31)</f>
        <v>0</v>
      </c>
      <c r="CX26" s="171">
        <f>SUMIF('CF(M)'!$L$10:$EQ$10,CX$6,'CF(M)'!$L31:$EQ31)</f>
        <v>0</v>
      </c>
      <c r="CY26" s="171">
        <f>SUMIF('CF(M)'!$L$10:$EQ$10,CY$6,'CF(M)'!$L31:$EQ31)</f>
        <v>0</v>
      </c>
      <c r="CZ26" s="171">
        <f>SUMIF('CF(M)'!$L$10:$EQ$10,CZ$6,'CF(M)'!$L31:$EQ31)</f>
        <v>0</v>
      </c>
      <c r="DA26" s="171">
        <f>SUMIF('CF(M)'!$L$10:$EQ$10,DA$6,'CF(M)'!$L31:$EQ31)</f>
        <v>0</v>
      </c>
      <c r="DB26" s="171">
        <f>SUMIF('CF(M)'!$L$10:$EQ$10,DB$6,'CF(M)'!$L31:$EQ31)</f>
        <v>0</v>
      </c>
      <c r="DC26" s="171">
        <f>SUMIF('CF(M)'!$L$10:$EQ$10,DC$6,'CF(M)'!$L31:$EQ31)</f>
        <v>0</v>
      </c>
      <c r="DD26" s="171">
        <f>SUMIF('CF(M)'!$L$10:$EQ$10,DD$6,'CF(M)'!$L31:$EQ31)</f>
        <v>0</v>
      </c>
      <c r="DE26" s="171">
        <f>SUMIF('CF(M)'!$L$10:$EQ$10,DE$6,'CF(M)'!$L31:$EQ31)</f>
        <v>0</v>
      </c>
      <c r="DF26" s="171">
        <f>SUMIF('CF(M)'!$L$10:$EQ$10,DF$6,'CF(M)'!$L31:$EQ31)</f>
        <v>0</v>
      </c>
      <c r="DG26" s="171">
        <f>SUMIF('CF(M)'!$L$10:$EQ$10,DG$6,'CF(M)'!$L31:$EQ31)</f>
        <v>0</v>
      </c>
      <c r="DH26" s="171">
        <f>SUMIF('CF(M)'!$L$10:$EQ$10,DH$6,'CF(M)'!$L31:$EQ31)</f>
        <v>0</v>
      </c>
      <c r="DI26" s="171">
        <f>SUMIF('CF(M)'!$L$10:$EQ$10,DI$6,'CF(M)'!$L31:$EQ31)</f>
        <v>0</v>
      </c>
      <c r="DJ26" s="171">
        <f>SUMIF('CF(M)'!$L$10:$EQ$10,DJ$6,'CF(M)'!$L31:$EQ31)</f>
        <v>0</v>
      </c>
      <c r="DK26" s="171">
        <f>SUMIF('CF(M)'!$L$10:$EQ$10,DK$6,'CF(M)'!$L31:$EQ31)</f>
        <v>0</v>
      </c>
      <c r="DL26" s="171">
        <f>SUMIF('CF(M)'!$L$10:$EQ$10,DL$6,'CF(M)'!$L31:$EQ31)</f>
        <v>0</v>
      </c>
      <c r="DM26" s="171">
        <f>SUMIF('CF(M)'!$L$10:$EQ$10,DM$6,'CF(M)'!$L31:$EQ31)</f>
        <v>0</v>
      </c>
      <c r="DN26" s="171">
        <f>SUMIF('CF(M)'!$L$10:$EQ$10,DN$6,'CF(M)'!$L31:$EQ31)</f>
        <v>0</v>
      </c>
      <c r="DO26" s="171">
        <f>SUMIF('CF(M)'!$L$10:$EQ$10,DO$6,'CF(M)'!$L31:$EQ31)</f>
        <v>0</v>
      </c>
      <c r="DP26" s="171">
        <f>SUMIF('CF(M)'!$L$10:$EQ$10,DP$6,'CF(M)'!$L31:$EQ31)</f>
        <v>0</v>
      </c>
      <c r="DQ26" s="171">
        <f>SUMIF('CF(M)'!$L$10:$EQ$10,DQ$6,'CF(M)'!$L31:$EQ31)</f>
        <v>0</v>
      </c>
      <c r="DR26" s="171">
        <f>SUMIF('CF(M)'!$L$10:$EQ$10,DR$6,'CF(M)'!$L31:$EQ31)</f>
        <v>0</v>
      </c>
      <c r="DS26" s="171">
        <f>SUMIF('CF(M)'!$L$10:$EQ$10,DS$6,'CF(M)'!$L31:$EQ31)</f>
        <v>0</v>
      </c>
      <c r="DT26" s="171">
        <f>SUMIF('CF(M)'!$L$10:$EQ$10,DT$6,'CF(M)'!$L31:$EQ31)</f>
        <v>0</v>
      </c>
      <c r="DU26" s="171">
        <f>SUMIF('CF(M)'!$L$10:$EQ$10,DU$6,'CF(M)'!$L31:$EQ31)</f>
        <v>0</v>
      </c>
      <c r="DV26" s="171">
        <f>SUMIF('CF(M)'!$L$10:$EQ$10,DV$6,'CF(M)'!$L31:$EQ31)</f>
        <v>0</v>
      </c>
    </row>
    <row r="27" spans="2:126" ht="11.25" customHeight="1">
      <c r="B27" s="218"/>
      <c r="C27" s="163"/>
      <c r="D27" s="169" t="s">
        <v>99</v>
      </c>
      <c r="H27" s="146"/>
      <c r="I27" s="13"/>
      <c r="J27" s="171">
        <f t="shared" si="8"/>
        <v>-208948.32972200002</v>
      </c>
      <c r="K27" s="98"/>
      <c r="L27" s="171">
        <f>SUMIF('CF(M)'!$L$10:$EQ$10,L$6,'CF(M)'!$L32:$EQ32)</f>
        <v>0</v>
      </c>
      <c r="M27" s="171">
        <f>SUMIF('CF(M)'!$L$10:$EQ$10,M$6,'CF(M)'!$L32:$EQ32)</f>
        <v>-10447.416486100001</v>
      </c>
      <c r="N27" s="171">
        <f>SUMIF('CF(M)'!$L$10:$EQ$10,N$6,'CF(M)'!$L32:$EQ32)</f>
        <v>-10447.416486100001</v>
      </c>
      <c r="O27" s="171">
        <f>SUMIF('CF(M)'!$L$10:$EQ$10,O$6,'CF(M)'!$L32:$EQ32)</f>
        <v>-10447.416486100001</v>
      </c>
      <c r="P27" s="171">
        <f>SUMIF('CF(M)'!$L$10:$EQ$10,P$6,'CF(M)'!$L32:$EQ32)</f>
        <v>-10447.416486100001</v>
      </c>
      <c r="Q27" s="171">
        <f>SUMIF('CF(M)'!$L$10:$EQ$10,Q$6,'CF(M)'!$L32:$EQ32)</f>
        <v>-10447.416486100001</v>
      </c>
      <c r="R27" s="171">
        <f>SUMIF('CF(M)'!$L$10:$EQ$10,R$6,'CF(M)'!$L32:$EQ32)</f>
        <v>-10447.416486100001</v>
      </c>
      <c r="S27" s="171">
        <f>SUMIF('CF(M)'!$L$10:$EQ$10,S$6,'CF(M)'!$L32:$EQ32)</f>
        <v>-10447.416486100001</v>
      </c>
      <c r="T27" s="171">
        <f>SUMIF('CF(M)'!$L$10:$EQ$10,T$6,'CF(M)'!$L32:$EQ32)</f>
        <v>-10447.416486100001</v>
      </c>
      <c r="U27" s="171">
        <f>SUMIF('CF(M)'!$L$10:$EQ$10,U$6,'CF(M)'!$L32:$EQ32)</f>
        <v>-10447.416486100001</v>
      </c>
      <c r="V27" s="171">
        <f>SUMIF('CF(M)'!$L$10:$EQ$10,V$6,'CF(M)'!$L32:$EQ32)</f>
        <v>-10447.416486100001</v>
      </c>
      <c r="W27" s="171">
        <f>SUMIF('CF(M)'!$L$10:$EQ$10,W$6,'CF(M)'!$L32:$EQ32)</f>
        <v>-10447.416486100001</v>
      </c>
      <c r="X27" s="171">
        <f>SUMIF('CF(M)'!$L$10:$EQ$10,X$6,'CF(M)'!$L32:$EQ32)</f>
        <v>-10447.416486100001</v>
      </c>
      <c r="Y27" s="171">
        <f>SUMIF('CF(M)'!$L$10:$EQ$10,Y$6,'CF(M)'!$L32:$EQ32)</f>
        <v>-10447.416486100001</v>
      </c>
      <c r="Z27" s="171">
        <f>SUMIF('CF(M)'!$L$10:$EQ$10,Z$6,'CF(M)'!$L32:$EQ32)</f>
        <v>-10447.416486100001</v>
      </c>
      <c r="AA27" s="171">
        <f>SUMIF('CF(M)'!$L$10:$EQ$10,AA$6,'CF(M)'!$L32:$EQ32)</f>
        <v>-10447.416486100001</v>
      </c>
      <c r="AB27" s="171">
        <f>SUMIF('CF(M)'!$L$10:$EQ$10,AB$6,'CF(M)'!$L32:$EQ32)</f>
        <v>-10447.416486100001</v>
      </c>
      <c r="AC27" s="171">
        <f>SUMIF('CF(M)'!$L$10:$EQ$10,AC$6,'CF(M)'!$L32:$EQ32)</f>
        <v>-10447.416486100001</v>
      </c>
      <c r="AD27" s="171">
        <f>SUMIF('CF(M)'!$L$10:$EQ$10,AD$6,'CF(M)'!$L32:$EQ32)</f>
        <v>-10447.416486100001</v>
      </c>
      <c r="AE27" s="171">
        <f>SUMIF('CF(M)'!$L$10:$EQ$10,AE$6,'CF(M)'!$L32:$EQ32)</f>
        <v>-10447.416486100001</v>
      </c>
      <c r="AF27" s="171">
        <f>SUMIF('CF(M)'!$L$10:$EQ$10,AF$6,'CF(M)'!$L32:$EQ32)</f>
        <v>-10447.416486100001</v>
      </c>
      <c r="AG27" s="171">
        <f>SUMIF('CF(M)'!$L$10:$EQ$10,AG$6,'CF(M)'!$L32:$EQ32)</f>
        <v>0</v>
      </c>
      <c r="AH27" s="171">
        <f>SUMIF('CF(M)'!$L$10:$EQ$10,AH$6,'CF(M)'!$L32:$EQ32)</f>
        <v>0</v>
      </c>
      <c r="AI27" s="171">
        <f>SUMIF('CF(M)'!$L$10:$EQ$10,AI$6,'CF(M)'!$L32:$EQ32)</f>
        <v>0</v>
      </c>
      <c r="AJ27" s="171">
        <f>SUMIF('CF(M)'!$L$10:$EQ$10,AJ$6,'CF(M)'!$L32:$EQ32)</f>
        <v>0</v>
      </c>
      <c r="AK27" s="171">
        <f>SUMIF('CF(M)'!$L$10:$EQ$10,AK$6,'CF(M)'!$L32:$EQ32)</f>
        <v>0</v>
      </c>
      <c r="AL27" s="171">
        <f>SUMIF('CF(M)'!$L$10:$EQ$10,AL$6,'CF(M)'!$L32:$EQ32)</f>
        <v>0</v>
      </c>
      <c r="AM27" s="171">
        <f>SUMIF('CF(M)'!$L$10:$EQ$10,AM$6,'CF(M)'!$L32:$EQ32)</f>
        <v>0</v>
      </c>
      <c r="AN27" s="171">
        <f>SUMIF('CF(M)'!$L$10:$EQ$10,AN$6,'CF(M)'!$L32:$EQ32)</f>
        <v>0</v>
      </c>
      <c r="AO27" s="171">
        <f>SUMIF('CF(M)'!$L$10:$EQ$10,AO$6,'CF(M)'!$L32:$EQ32)</f>
        <v>0</v>
      </c>
      <c r="AP27" s="171">
        <f>SUMIF('CF(M)'!$L$10:$EQ$10,AP$6,'CF(M)'!$L32:$EQ32)</f>
        <v>0</v>
      </c>
      <c r="AQ27" s="171">
        <f>SUMIF('CF(M)'!$L$10:$EQ$10,AQ$6,'CF(M)'!$L32:$EQ32)</f>
        <v>0</v>
      </c>
      <c r="AR27" s="171">
        <f>SUMIF('CF(M)'!$L$10:$EQ$10,AR$6,'CF(M)'!$L32:$EQ32)</f>
        <v>0</v>
      </c>
      <c r="AS27" s="171">
        <f>SUMIF('CF(M)'!$L$10:$EQ$10,AS$6,'CF(M)'!$L32:$EQ32)</f>
        <v>0</v>
      </c>
      <c r="AT27" s="171">
        <f>SUMIF('CF(M)'!$L$10:$EQ$10,AT$6,'CF(M)'!$L32:$EQ32)</f>
        <v>0</v>
      </c>
      <c r="AU27" s="171">
        <f>SUMIF('CF(M)'!$L$10:$EQ$10,AU$6,'CF(M)'!$L32:$EQ32)</f>
        <v>0</v>
      </c>
      <c r="AV27" s="171">
        <f>SUMIF('CF(M)'!$L$10:$EQ$10,AV$6,'CF(M)'!$L32:$EQ32)</f>
        <v>0</v>
      </c>
      <c r="AW27" s="171">
        <f>SUMIF('CF(M)'!$L$10:$EQ$10,AW$6,'CF(M)'!$L32:$EQ32)</f>
        <v>0</v>
      </c>
      <c r="AX27" s="171">
        <f>SUMIF('CF(M)'!$L$10:$EQ$10,AX$6,'CF(M)'!$L32:$EQ32)</f>
        <v>0</v>
      </c>
      <c r="AY27" s="171">
        <f>SUMIF('CF(M)'!$L$10:$EQ$10,AY$6,'CF(M)'!$L32:$EQ32)</f>
        <v>0</v>
      </c>
      <c r="AZ27" s="171">
        <f>SUMIF('CF(M)'!$L$10:$EQ$10,AZ$6,'CF(M)'!$L32:$EQ32)</f>
        <v>0</v>
      </c>
      <c r="BA27" s="171">
        <f>SUMIF('CF(M)'!$L$10:$EQ$10,BA$6,'CF(M)'!$L32:$EQ32)</f>
        <v>0</v>
      </c>
      <c r="BB27" s="171">
        <f>SUMIF('CF(M)'!$L$10:$EQ$10,BB$6,'CF(M)'!$L32:$EQ32)</f>
        <v>0</v>
      </c>
      <c r="BC27" s="171">
        <f>SUMIF('CF(M)'!$L$10:$EQ$10,BC$6,'CF(M)'!$L32:$EQ32)</f>
        <v>0</v>
      </c>
      <c r="BD27" s="171">
        <f>SUMIF('CF(M)'!$L$10:$EQ$10,BD$6,'CF(M)'!$L32:$EQ32)</f>
        <v>0</v>
      </c>
      <c r="BE27" s="171">
        <f>SUMIF('CF(M)'!$L$10:$EQ$10,BE$6,'CF(M)'!$L32:$EQ32)</f>
        <v>0</v>
      </c>
      <c r="BF27" s="171">
        <f>SUMIF('CF(M)'!$L$10:$EQ$10,BF$6,'CF(M)'!$L32:$EQ32)</f>
        <v>0</v>
      </c>
      <c r="BG27" s="171">
        <f>SUMIF('CF(M)'!$L$10:$EQ$10,BG$6,'CF(M)'!$L32:$EQ32)</f>
        <v>0</v>
      </c>
      <c r="BH27" s="171">
        <f>SUMIF('CF(M)'!$L$10:$EQ$10,BH$6,'CF(M)'!$L32:$EQ32)</f>
        <v>0</v>
      </c>
      <c r="BI27" s="171">
        <f>SUMIF('CF(M)'!$L$10:$EQ$10,BI$6,'CF(M)'!$L32:$EQ32)</f>
        <v>0</v>
      </c>
      <c r="BJ27" s="171">
        <f>SUMIF('CF(M)'!$L$10:$EQ$10,BJ$6,'CF(M)'!$L32:$EQ32)</f>
        <v>0</v>
      </c>
      <c r="BK27" s="171">
        <f>SUMIF('CF(M)'!$L$10:$EQ$10,BK$6,'CF(M)'!$L32:$EQ32)</f>
        <v>0</v>
      </c>
      <c r="BL27" s="171">
        <f>SUMIF('CF(M)'!$L$10:$EQ$10,BL$6,'CF(M)'!$L32:$EQ32)</f>
        <v>0</v>
      </c>
      <c r="BM27" s="171">
        <f>SUMIF('CF(M)'!$L$10:$EQ$10,BM$6,'CF(M)'!$L32:$EQ32)</f>
        <v>0</v>
      </c>
      <c r="BN27" s="171">
        <f>SUMIF('CF(M)'!$L$10:$EQ$10,BN$6,'CF(M)'!$L32:$EQ32)</f>
        <v>0</v>
      </c>
      <c r="BO27" s="171">
        <f>SUMIF('CF(M)'!$L$10:$EQ$10,BO$6,'CF(M)'!$L32:$EQ32)</f>
        <v>0</v>
      </c>
      <c r="BP27" s="171">
        <f>SUMIF('CF(M)'!$L$10:$EQ$10,BP$6,'CF(M)'!$L32:$EQ32)</f>
        <v>0</v>
      </c>
      <c r="BQ27" s="171">
        <f>SUMIF('CF(M)'!$L$10:$EQ$10,BQ$6,'CF(M)'!$L32:$EQ32)</f>
        <v>0</v>
      </c>
      <c r="BR27" s="171">
        <f>SUMIF('CF(M)'!$L$10:$EQ$10,BR$6,'CF(M)'!$L32:$EQ32)</f>
        <v>0</v>
      </c>
      <c r="BS27" s="171">
        <f>SUMIF('CF(M)'!$L$10:$EQ$10,BS$6,'CF(M)'!$L32:$EQ32)</f>
        <v>0</v>
      </c>
      <c r="BT27" s="171">
        <f>SUMIF('CF(M)'!$L$10:$EQ$10,BT$6,'CF(M)'!$L32:$EQ32)</f>
        <v>0</v>
      </c>
      <c r="BU27" s="171">
        <f>SUMIF('CF(M)'!$L$10:$EQ$10,BU$6,'CF(M)'!$L32:$EQ32)</f>
        <v>0</v>
      </c>
      <c r="BV27" s="171">
        <f>SUMIF('CF(M)'!$L$10:$EQ$10,BV$6,'CF(M)'!$L32:$EQ32)</f>
        <v>0</v>
      </c>
      <c r="BW27" s="171">
        <f>SUMIF('CF(M)'!$L$10:$EQ$10,BW$6,'CF(M)'!$L32:$EQ32)</f>
        <v>0</v>
      </c>
      <c r="BX27" s="171">
        <f>SUMIF('CF(M)'!$L$10:$EQ$10,BX$6,'CF(M)'!$L32:$EQ32)</f>
        <v>0</v>
      </c>
      <c r="BY27" s="171">
        <f>SUMIF('CF(M)'!$L$10:$EQ$10,BY$6,'CF(M)'!$L32:$EQ32)</f>
        <v>0</v>
      </c>
      <c r="BZ27" s="171">
        <f>SUMIF('CF(M)'!$L$10:$EQ$10,BZ$6,'CF(M)'!$L32:$EQ32)</f>
        <v>0</v>
      </c>
      <c r="CA27" s="171">
        <f>SUMIF('CF(M)'!$L$10:$EQ$10,CA$6,'CF(M)'!$L32:$EQ32)</f>
        <v>0</v>
      </c>
      <c r="CB27" s="171">
        <f>SUMIF('CF(M)'!$L$10:$EQ$10,CB$6,'CF(M)'!$L32:$EQ32)</f>
        <v>0</v>
      </c>
      <c r="CC27" s="171">
        <f>SUMIF('CF(M)'!$L$10:$EQ$10,CC$6,'CF(M)'!$L32:$EQ32)</f>
        <v>0</v>
      </c>
      <c r="CD27" s="171">
        <f>SUMIF('CF(M)'!$L$10:$EQ$10,CD$6,'CF(M)'!$L32:$EQ32)</f>
        <v>0</v>
      </c>
      <c r="CE27" s="171">
        <f>SUMIF('CF(M)'!$L$10:$EQ$10,CE$6,'CF(M)'!$L32:$EQ32)</f>
        <v>0</v>
      </c>
      <c r="CF27" s="171">
        <f>SUMIF('CF(M)'!$L$10:$EQ$10,CF$6,'CF(M)'!$L32:$EQ32)</f>
        <v>0</v>
      </c>
      <c r="CG27" s="171">
        <f>SUMIF('CF(M)'!$L$10:$EQ$10,CG$6,'CF(M)'!$L32:$EQ32)</f>
        <v>0</v>
      </c>
      <c r="CH27" s="171">
        <f>SUMIF('CF(M)'!$L$10:$EQ$10,CH$6,'CF(M)'!$L32:$EQ32)</f>
        <v>0</v>
      </c>
      <c r="CI27" s="171">
        <f>SUMIF('CF(M)'!$L$10:$EQ$10,CI$6,'CF(M)'!$L32:$EQ32)</f>
        <v>0</v>
      </c>
      <c r="CJ27" s="171">
        <f>SUMIF('CF(M)'!$L$10:$EQ$10,CJ$6,'CF(M)'!$L32:$EQ32)</f>
        <v>0</v>
      </c>
      <c r="CK27" s="171">
        <f>SUMIF('CF(M)'!$L$10:$EQ$10,CK$6,'CF(M)'!$L32:$EQ32)</f>
        <v>0</v>
      </c>
      <c r="CL27" s="171">
        <f>SUMIF('CF(M)'!$L$10:$EQ$10,CL$6,'CF(M)'!$L32:$EQ32)</f>
        <v>0</v>
      </c>
      <c r="CM27" s="171">
        <f>SUMIF('CF(M)'!$L$10:$EQ$10,CM$6,'CF(M)'!$L32:$EQ32)</f>
        <v>0</v>
      </c>
      <c r="CN27" s="171">
        <f>SUMIF('CF(M)'!$L$10:$EQ$10,CN$6,'CF(M)'!$L32:$EQ32)</f>
        <v>0</v>
      </c>
      <c r="CO27" s="171">
        <f>SUMIF('CF(M)'!$L$10:$EQ$10,CO$6,'CF(M)'!$L32:$EQ32)</f>
        <v>0</v>
      </c>
      <c r="CP27" s="171">
        <f>SUMIF('CF(M)'!$L$10:$EQ$10,CP$6,'CF(M)'!$L32:$EQ32)</f>
        <v>0</v>
      </c>
      <c r="CQ27" s="171">
        <f>SUMIF('CF(M)'!$L$10:$EQ$10,CQ$6,'CF(M)'!$L32:$EQ32)</f>
        <v>0</v>
      </c>
      <c r="CR27" s="171">
        <f>SUMIF('CF(M)'!$L$10:$EQ$10,CR$6,'CF(M)'!$L32:$EQ32)</f>
        <v>0</v>
      </c>
      <c r="CS27" s="171">
        <f>SUMIF('CF(M)'!$L$10:$EQ$10,CS$6,'CF(M)'!$L32:$EQ32)</f>
        <v>0</v>
      </c>
      <c r="CT27" s="171">
        <f>SUMIF('CF(M)'!$L$10:$EQ$10,CT$6,'CF(M)'!$L32:$EQ32)</f>
        <v>0</v>
      </c>
      <c r="CU27" s="171">
        <f>SUMIF('CF(M)'!$L$10:$EQ$10,CU$6,'CF(M)'!$L32:$EQ32)</f>
        <v>0</v>
      </c>
      <c r="CV27" s="171">
        <f>SUMIF('CF(M)'!$L$10:$EQ$10,CV$6,'CF(M)'!$L32:$EQ32)</f>
        <v>0</v>
      </c>
      <c r="CW27" s="171">
        <f>SUMIF('CF(M)'!$L$10:$EQ$10,CW$6,'CF(M)'!$L32:$EQ32)</f>
        <v>0</v>
      </c>
      <c r="CX27" s="171">
        <f>SUMIF('CF(M)'!$L$10:$EQ$10,CX$6,'CF(M)'!$L32:$EQ32)</f>
        <v>0</v>
      </c>
      <c r="CY27" s="171">
        <f>SUMIF('CF(M)'!$L$10:$EQ$10,CY$6,'CF(M)'!$L32:$EQ32)</f>
        <v>0</v>
      </c>
      <c r="CZ27" s="171">
        <f>SUMIF('CF(M)'!$L$10:$EQ$10,CZ$6,'CF(M)'!$L32:$EQ32)</f>
        <v>0</v>
      </c>
      <c r="DA27" s="171">
        <f>SUMIF('CF(M)'!$L$10:$EQ$10,DA$6,'CF(M)'!$L32:$EQ32)</f>
        <v>0</v>
      </c>
      <c r="DB27" s="171">
        <f>SUMIF('CF(M)'!$L$10:$EQ$10,DB$6,'CF(M)'!$L32:$EQ32)</f>
        <v>0</v>
      </c>
      <c r="DC27" s="171">
        <f>SUMIF('CF(M)'!$L$10:$EQ$10,DC$6,'CF(M)'!$L32:$EQ32)</f>
        <v>0</v>
      </c>
      <c r="DD27" s="171">
        <f>SUMIF('CF(M)'!$L$10:$EQ$10,DD$6,'CF(M)'!$L32:$EQ32)</f>
        <v>0</v>
      </c>
      <c r="DE27" s="171">
        <f>SUMIF('CF(M)'!$L$10:$EQ$10,DE$6,'CF(M)'!$L32:$EQ32)</f>
        <v>0</v>
      </c>
      <c r="DF27" s="171">
        <f>SUMIF('CF(M)'!$L$10:$EQ$10,DF$6,'CF(M)'!$L32:$EQ32)</f>
        <v>0</v>
      </c>
      <c r="DG27" s="171">
        <f>SUMIF('CF(M)'!$L$10:$EQ$10,DG$6,'CF(M)'!$L32:$EQ32)</f>
        <v>0</v>
      </c>
      <c r="DH27" s="171">
        <f>SUMIF('CF(M)'!$L$10:$EQ$10,DH$6,'CF(M)'!$L32:$EQ32)</f>
        <v>0</v>
      </c>
      <c r="DI27" s="171">
        <f>SUMIF('CF(M)'!$L$10:$EQ$10,DI$6,'CF(M)'!$L32:$EQ32)</f>
        <v>0</v>
      </c>
      <c r="DJ27" s="171">
        <f>SUMIF('CF(M)'!$L$10:$EQ$10,DJ$6,'CF(M)'!$L32:$EQ32)</f>
        <v>0</v>
      </c>
      <c r="DK27" s="171">
        <f>SUMIF('CF(M)'!$L$10:$EQ$10,DK$6,'CF(M)'!$L32:$EQ32)</f>
        <v>0</v>
      </c>
      <c r="DL27" s="171">
        <f>SUMIF('CF(M)'!$L$10:$EQ$10,DL$6,'CF(M)'!$L32:$EQ32)</f>
        <v>0</v>
      </c>
      <c r="DM27" s="171">
        <f>SUMIF('CF(M)'!$L$10:$EQ$10,DM$6,'CF(M)'!$L32:$EQ32)</f>
        <v>0</v>
      </c>
      <c r="DN27" s="171">
        <f>SUMIF('CF(M)'!$L$10:$EQ$10,DN$6,'CF(M)'!$L32:$EQ32)</f>
        <v>0</v>
      </c>
      <c r="DO27" s="171">
        <f>SUMIF('CF(M)'!$L$10:$EQ$10,DO$6,'CF(M)'!$L32:$EQ32)</f>
        <v>0</v>
      </c>
      <c r="DP27" s="171">
        <f>SUMIF('CF(M)'!$L$10:$EQ$10,DP$6,'CF(M)'!$L32:$EQ32)</f>
        <v>0</v>
      </c>
      <c r="DQ27" s="171">
        <f>SUMIF('CF(M)'!$L$10:$EQ$10,DQ$6,'CF(M)'!$L32:$EQ32)</f>
        <v>0</v>
      </c>
      <c r="DR27" s="171">
        <f>SUMIF('CF(M)'!$L$10:$EQ$10,DR$6,'CF(M)'!$L32:$EQ32)</f>
        <v>0</v>
      </c>
      <c r="DS27" s="171">
        <f>SUMIF('CF(M)'!$L$10:$EQ$10,DS$6,'CF(M)'!$L32:$EQ32)</f>
        <v>0</v>
      </c>
      <c r="DT27" s="171">
        <f>SUMIF('CF(M)'!$L$10:$EQ$10,DT$6,'CF(M)'!$L32:$EQ32)</f>
        <v>0</v>
      </c>
      <c r="DU27" s="171">
        <f>SUMIF('CF(M)'!$L$10:$EQ$10,DU$6,'CF(M)'!$L32:$EQ32)</f>
        <v>0</v>
      </c>
      <c r="DV27" s="171">
        <f>SUMIF('CF(M)'!$L$10:$EQ$10,DV$6,'CF(M)'!$L32:$EQ32)</f>
        <v>0</v>
      </c>
    </row>
    <row r="28" spans="2:126" ht="11.25" customHeight="1">
      <c r="B28" s="218"/>
      <c r="C28" s="163"/>
      <c r="D28" s="169" t="s">
        <v>465</v>
      </c>
      <c r="H28" s="146"/>
      <c r="I28" s="13"/>
      <c r="J28" s="171">
        <f t="shared" si="8"/>
        <v>-892287.86244979396</v>
      </c>
      <c r="K28" s="98"/>
      <c r="L28" s="171">
        <f>SUMIF('CF(M)'!$L$10:$EQ$10,L$6,'CF(M)'!$L33:$EQ33)</f>
        <v>0</v>
      </c>
      <c r="M28" s="171">
        <f>SUMIF('CF(M)'!$L$10:$EQ$10,M$6,'CF(M)'!$L33:$EQ33)</f>
        <v>-10873.369999999999</v>
      </c>
      <c r="N28" s="171">
        <f>SUMIF('CF(M)'!$L$10:$EQ$10,N$6,'CF(M)'!$L33:$EQ33)</f>
        <v>0</v>
      </c>
      <c r="O28" s="171">
        <f>SUMIF('CF(M)'!$L$10:$EQ$10,O$6,'CF(M)'!$L33:$EQ33)</f>
        <v>0</v>
      </c>
      <c r="P28" s="171">
        <f>SUMIF('CF(M)'!$L$10:$EQ$10,P$6,'CF(M)'!$L33:$EQ33)</f>
        <v>0</v>
      </c>
      <c r="Q28" s="171">
        <f>SUMIF('CF(M)'!$L$10:$EQ$10,Q$6,'CF(M)'!$L33:$EQ33)</f>
        <v>0</v>
      </c>
      <c r="R28" s="171">
        <f>SUMIF('CF(M)'!$L$10:$EQ$10,R$6,'CF(M)'!$L33:$EQ33)</f>
        <v>-68398.392522169117</v>
      </c>
      <c r="S28" s="171">
        <f>SUMIF('CF(M)'!$L$10:$EQ$10,S$6,'CF(M)'!$L33:$EQ33)</f>
        <v>-43196.941674829177</v>
      </c>
      <c r="T28" s="171">
        <f>SUMIF('CF(M)'!$L$10:$EQ$10,T$6,'CF(M)'!$L33:$EQ33)</f>
        <v>-558.55563724519311</v>
      </c>
      <c r="U28" s="171">
        <f>SUMIF('CF(M)'!$L$10:$EQ$10,U$6,'CF(M)'!$L33:$EQ33)</f>
        <v>0</v>
      </c>
      <c r="V28" s="171">
        <f>SUMIF('CF(M)'!$L$10:$EQ$10,V$6,'CF(M)'!$L33:$EQ33)</f>
        <v>0</v>
      </c>
      <c r="W28" s="171">
        <f>SUMIF('CF(M)'!$L$10:$EQ$10,W$6,'CF(M)'!$L33:$EQ33)</f>
        <v>0</v>
      </c>
      <c r="X28" s="171">
        <f>SUMIF('CF(M)'!$L$10:$EQ$10,X$6,'CF(M)'!$L33:$EQ33)</f>
        <v>0</v>
      </c>
      <c r="Y28" s="171">
        <f>SUMIF('CF(M)'!$L$10:$EQ$10,Y$6,'CF(M)'!$L33:$EQ33)</f>
        <v>0</v>
      </c>
      <c r="Z28" s="171">
        <f>SUMIF('CF(M)'!$L$10:$EQ$10,Z$6,'CF(M)'!$L33:$EQ33)</f>
        <v>0</v>
      </c>
      <c r="AA28" s="171">
        <f>SUMIF('CF(M)'!$L$10:$EQ$10,AA$6,'CF(M)'!$L33:$EQ33)</f>
        <v>0</v>
      </c>
      <c r="AB28" s="171">
        <f>SUMIF('CF(M)'!$L$10:$EQ$10,AB$6,'CF(M)'!$L33:$EQ33)</f>
        <v>-677538.27343214501</v>
      </c>
      <c r="AC28" s="171">
        <f>SUMIF('CF(M)'!$L$10:$EQ$10,AC$6,'CF(M)'!$L33:$EQ33)</f>
        <v>-91090.374748069924</v>
      </c>
      <c r="AD28" s="171">
        <f>SUMIF('CF(M)'!$L$10:$EQ$10,AD$6,'CF(M)'!$L33:$EQ33)</f>
        <v>-631.95443533556806</v>
      </c>
      <c r="AE28" s="171">
        <f>SUMIF('CF(M)'!$L$10:$EQ$10,AE$6,'CF(M)'!$L33:$EQ33)</f>
        <v>0</v>
      </c>
      <c r="AF28" s="171">
        <f>SUMIF('CF(M)'!$L$10:$EQ$10,AF$6,'CF(M)'!$L33:$EQ33)</f>
        <v>0</v>
      </c>
      <c r="AG28" s="171">
        <f>SUMIF('CF(M)'!$L$10:$EQ$10,AG$6,'CF(M)'!$L33:$EQ33)</f>
        <v>0</v>
      </c>
      <c r="AH28" s="171">
        <f>SUMIF('CF(M)'!$L$10:$EQ$10,AH$6,'CF(M)'!$L33:$EQ33)</f>
        <v>0</v>
      </c>
      <c r="AI28" s="171">
        <f>SUMIF('CF(M)'!$L$10:$EQ$10,AI$6,'CF(M)'!$L33:$EQ33)</f>
        <v>0</v>
      </c>
      <c r="AJ28" s="171">
        <f>SUMIF('CF(M)'!$L$10:$EQ$10,AJ$6,'CF(M)'!$L33:$EQ33)</f>
        <v>0</v>
      </c>
      <c r="AK28" s="171">
        <f>SUMIF('CF(M)'!$L$10:$EQ$10,AK$6,'CF(M)'!$L33:$EQ33)</f>
        <v>0</v>
      </c>
      <c r="AL28" s="171">
        <f>SUMIF('CF(M)'!$L$10:$EQ$10,AL$6,'CF(M)'!$L33:$EQ33)</f>
        <v>0</v>
      </c>
      <c r="AM28" s="171">
        <f>SUMIF('CF(M)'!$L$10:$EQ$10,AM$6,'CF(M)'!$L33:$EQ33)</f>
        <v>0</v>
      </c>
      <c r="AN28" s="171">
        <f>SUMIF('CF(M)'!$L$10:$EQ$10,AN$6,'CF(M)'!$L33:$EQ33)</f>
        <v>0</v>
      </c>
      <c r="AO28" s="171">
        <f>SUMIF('CF(M)'!$L$10:$EQ$10,AO$6,'CF(M)'!$L33:$EQ33)</f>
        <v>0</v>
      </c>
      <c r="AP28" s="171">
        <f>SUMIF('CF(M)'!$L$10:$EQ$10,AP$6,'CF(M)'!$L33:$EQ33)</f>
        <v>0</v>
      </c>
      <c r="AQ28" s="171">
        <f>SUMIF('CF(M)'!$L$10:$EQ$10,AQ$6,'CF(M)'!$L33:$EQ33)</f>
        <v>0</v>
      </c>
      <c r="AR28" s="171">
        <f>SUMIF('CF(M)'!$L$10:$EQ$10,AR$6,'CF(M)'!$L33:$EQ33)</f>
        <v>0</v>
      </c>
      <c r="AS28" s="171">
        <f>SUMIF('CF(M)'!$L$10:$EQ$10,AS$6,'CF(M)'!$L33:$EQ33)</f>
        <v>0</v>
      </c>
      <c r="AT28" s="171">
        <f>SUMIF('CF(M)'!$L$10:$EQ$10,AT$6,'CF(M)'!$L33:$EQ33)</f>
        <v>0</v>
      </c>
      <c r="AU28" s="171">
        <f>SUMIF('CF(M)'!$L$10:$EQ$10,AU$6,'CF(M)'!$L33:$EQ33)</f>
        <v>0</v>
      </c>
      <c r="AV28" s="171">
        <f>SUMIF('CF(M)'!$L$10:$EQ$10,AV$6,'CF(M)'!$L33:$EQ33)</f>
        <v>0</v>
      </c>
      <c r="AW28" s="171">
        <f>SUMIF('CF(M)'!$L$10:$EQ$10,AW$6,'CF(M)'!$L33:$EQ33)</f>
        <v>0</v>
      </c>
      <c r="AX28" s="171">
        <f>SUMIF('CF(M)'!$L$10:$EQ$10,AX$6,'CF(M)'!$L33:$EQ33)</f>
        <v>0</v>
      </c>
      <c r="AY28" s="171">
        <f>SUMIF('CF(M)'!$L$10:$EQ$10,AY$6,'CF(M)'!$L33:$EQ33)</f>
        <v>0</v>
      </c>
      <c r="AZ28" s="171">
        <f>SUMIF('CF(M)'!$L$10:$EQ$10,AZ$6,'CF(M)'!$L33:$EQ33)</f>
        <v>0</v>
      </c>
      <c r="BA28" s="171">
        <f>SUMIF('CF(M)'!$L$10:$EQ$10,BA$6,'CF(M)'!$L33:$EQ33)</f>
        <v>0</v>
      </c>
      <c r="BB28" s="171">
        <f>SUMIF('CF(M)'!$L$10:$EQ$10,BB$6,'CF(M)'!$L33:$EQ33)</f>
        <v>0</v>
      </c>
      <c r="BC28" s="171">
        <f>SUMIF('CF(M)'!$L$10:$EQ$10,BC$6,'CF(M)'!$L33:$EQ33)</f>
        <v>0</v>
      </c>
      <c r="BD28" s="171">
        <f>SUMIF('CF(M)'!$L$10:$EQ$10,BD$6,'CF(M)'!$L33:$EQ33)</f>
        <v>0</v>
      </c>
      <c r="BE28" s="171">
        <f>SUMIF('CF(M)'!$L$10:$EQ$10,BE$6,'CF(M)'!$L33:$EQ33)</f>
        <v>0</v>
      </c>
      <c r="BF28" s="171">
        <f>SUMIF('CF(M)'!$L$10:$EQ$10,BF$6,'CF(M)'!$L33:$EQ33)</f>
        <v>0</v>
      </c>
      <c r="BG28" s="171">
        <f>SUMIF('CF(M)'!$L$10:$EQ$10,BG$6,'CF(M)'!$L33:$EQ33)</f>
        <v>0</v>
      </c>
      <c r="BH28" s="171">
        <f>SUMIF('CF(M)'!$L$10:$EQ$10,BH$6,'CF(M)'!$L33:$EQ33)</f>
        <v>0</v>
      </c>
      <c r="BI28" s="171">
        <f>SUMIF('CF(M)'!$L$10:$EQ$10,BI$6,'CF(M)'!$L33:$EQ33)</f>
        <v>0</v>
      </c>
      <c r="BJ28" s="171">
        <f>SUMIF('CF(M)'!$L$10:$EQ$10,BJ$6,'CF(M)'!$L33:$EQ33)</f>
        <v>0</v>
      </c>
      <c r="BK28" s="171">
        <f>SUMIF('CF(M)'!$L$10:$EQ$10,BK$6,'CF(M)'!$L33:$EQ33)</f>
        <v>0</v>
      </c>
      <c r="BL28" s="171">
        <f>SUMIF('CF(M)'!$L$10:$EQ$10,BL$6,'CF(M)'!$L33:$EQ33)</f>
        <v>0</v>
      </c>
      <c r="BM28" s="171">
        <f>SUMIF('CF(M)'!$L$10:$EQ$10,BM$6,'CF(M)'!$L33:$EQ33)</f>
        <v>0</v>
      </c>
      <c r="BN28" s="171">
        <f>SUMIF('CF(M)'!$L$10:$EQ$10,BN$6,'CF(M)'!$L33:$EQ33)</f>
        <v>0</v>
      </c>
      <c r="BO28" s="171">
        <f>SUMIF('CF(M)'!$L$10:$EQ$10,BO$6,'CF(M)'!$L33:$EQ33)</f>
        <v>0</v>
      </c>
      <c r="BP28" s="171">
        <f>SUMIF('CF(M)'!$L$10:$EQ$10,BP$6,'CF(M)'!$L33:$EQ33)</f>
        <v>0</v>
      </c>
      <c r="BQ28" s="171">
        <f>SUMIF('CF(M)'!$L$10:$EQ$10,BQ$6,'CF(M)'!$L33:$EQ33)</f>
        <v>0</v>
      </c>
      <c r="BR28" s="171">
        <f>SUMIF('CF(M)'!$L$10:$EQ$10,BR$6,'CF(M)'!$L33:$EQ33)</f>
        <v>0</v>
      </c>
      <c r="BS28" s="171">
        <f>SUMIF('CF(M)'!$L$10:$EQ$10,BS$6,'CF(M)'!$L33:$EQ33)</f>
        <v>0</v>
      </c>
      <c r="BT28" s="171">
        <f>SUMIF('CF(M)'!$L$10:$EQ$10,BT$6,'CF(M)'!$L33:$EQ33)</f>
        <v>0</v>
      </c>
      <c r="BU28" s="171">
        <f>SUMIF('CF(M)'!$L$10:$EQ$10,BU$6,'CF(M)'!$L33:$EQ33)</f>
        <v>0</v>
      </c>
      <c r="BV28" s="171">
        <f>SUMIF('CF(M)'!$L$10:$EQ$10,BV$6,'CF(M)'!$L33:$EQ33)</f>
        <v>0</v>
      </c>
      <c r="BW28" s="171">
        <f>SUMIF('CF(M)'!$L$10:$EQ$10,BW$6,'CF(M)'!$L33:$EQ33)</f>
        <v>0</v>
      </c>
      <c r="BX28" s="171">
        <f>SUMIF('CF(M)'!$L$10:$EQ$10,BX$6,'CF(M)'!$L33:$EQ33)</f>
        <v>0</v>
      </c>
      <c r="BY28" s="171">
        <f>SUMIF('CF(M)'!$L$10:$EQ$10,BY$6,'CF(M)'!$L33:$EQ33)</f>
        <v>0</v>
      </c>
      <c r="BZ28" s="171">
        <f>SUMIF('CF(M)'!$L$10:$EQ$10,BZ$6,'CF(M)'!$L33:$EQ33)</f>
        <v>0</v>
      </c>
      <c r="CA28" s="171">
        <f>SUMIF('CF(M)'!$L$10:$EQ$10,CA$6,'CF(M)'!$L33:$EQ33)</f>
        <v>0</v>
      </c>
      <c r="CB28" s="171">
        <f>SUMIF('CF(M)'!$L$10:$EQ$10,CB$6,'CF(M)'!$L33:$EQ33)</f>
        <v>0</v>
      </c>
      <c r="CC28" s="171">
        <f>SUMIF('CF(M)'!$L$10:$EQ$10,CC$6,'CF(M)'!$L33:$EQ33)</f>
        <v>0</v>
      </c>
      <c r="CD28" s="171">
        <f>SUMIF('CF(M)'!$L$10:$EQ$10,CD$6,'CF(M)'!$L33:$EQ33)</f>
        <v>0</v>
      </c>
      <c r="CE28" s="171">
        <f>SUMIF('CF(M)'!$L$10:$EQ$10,CE$6,'CF(M)'!$L33:$EQ33)</f>
        <v>0</v>
      </c>
      <c r="CF28" s="171">
        <f>SUMIF('CF(M)'!$L$10:$EQ$10,CF$6,'CF(M)'!$L33:$EQ33)</f>
        <v>0</v>
      </c>
      <c r="CG28" s="171">
        <f>SUMIF('CF(M)'!$L$10:$EQ$10,CG$6,'CF(M)'!$L33:$EQ33)</f>
        <v>0</v>
      </c>
      <c r="CH28" s="171">
        <f>SUMIF('CF(M)'!$L$10:$EQ$10,CH$6,'CF(M)'!$L33:$EQ33)</f>
        <v>0</v>
      </c>
      <c r="CI28" s="171">
        <f>SUMIF('CF(M)'!$L$10:$EQ$10,CI$6,'CF(M)'!$L33:$EQ33)</f>
        <v>0</v>
      </c>
      <c r="CJ28" s="171">
        <f>SUMIF('CF(M)'!$L$10:$EQ$10,CJ$6,'CF(M)'!$L33:$EQ33)</f>
        <v>0</v>
      </c>
      <c r="CK28" s="171">
        <f>SUMIF('CF(M)'!$L$10:$EQ$10,CK$6,'CF(M)'!$L33:$EQ33)</f>
        <v>0</v>
      </c>
      <c r="CL28" s="171">
        <f>SUMIF('CF(M)'!$L$10:$EQ$10,CL$6,'CF(M)'!$L33:$EQ33)</f>
        <v>0</v>
      </c>
      <c r="CM28" s="171">
        <f>SUMIF('CF(M)'!$L$10:$EQ$10,CM$6,'CF(M)'!$L33:$EQ33)</f>
        <v>0</v>
      </c>
      <c r="CN28" s="171">
        <f>SUMIF('CF(M)'!$L$10:$EQ$10,CN$6,'CF(M)'!$L33:$EQ33)</f>
        <v>0</v>
      </c>
      <c r="CO28" s="171">
        <f>SUMIF('CF(M)'!$L$10:$EQ$10,CO$6,'CF(M)'!$L33:$EQ33)</f>
        <v>0</v>
      </c>
      <c r="CP28" s="171">
        <f>SUMIF('CF(M)'!$L$10:$EQ$10,CP$6,'CF(M)'!$L33:$EQ33)</f>
        <v>0</v>
      </c>
      <c r="CQ28" s="171">
        <f>SUMIF('CF(M)'!$L$10:$EQ$10,CQ$6,'CF(M)'!$L33:$EQ33)</f>
        <v>0</v>
      </c>
      <c r="CR28" s="171">
        <f>SUMIF('CF(M)'!$L$10:$EQ$10,CR$6,'CF(M)'!$L33:$EQ33)</f>
        <v>0</v>
      </c>
      <c r="CS28" s="171">
        <f>SUMIF('CF(M)'!$L$10:$EQ$10,CS$6,'CF(M)'!$L33:$EQ33)</f>
        <v>0</v>
      </c>
      <c r="CT28" s="171">
        <f>SUMIF('CF(M)'!$L$10:$EQ$10,CT$6,'CF(M)'!$L33:$EQ33)</f>
        <v>0</v>
      </c>
      <c r="CU28" s="171">
        <f>SUMIF('CF(M)'!$L$10:$EQ$10,CU$6,'CF(M)'!$L33:$EQ33)</f>
        <v>0</v>
      </c>
      <c r="CV28" s="171">
        <f>SUMIF('CF(M)'!$L$10:$EQ$10,CV$6,'CF(M)'!$L33:$EQ33)</f>
        <v>0</v>
      </c>
      <c r="CW28" s="171">
        <f>SUMIF('CF(M)'!$L$10:$EQ$10,CW$6,'CF(M)'!$L33:$EQ33)</f>
        <v>0</v>
      </c>
      <c r="CX28" s="171">
        <f>SUMIF('CF(M)'!$L$10:$EQ$10,CX$6,'CF(M)'!$L33:$EQ33)</f>
        <v>0</v>
      </c>
      <c r="CY28" s="171">
        <f>SUMIF('CF(M)'!$L$10:$EQ$10,CY$6,'CF(M)'!$L33:$EQ33)</f>
        <v>0</v>
      </c>
      <c r="CZ28" s="171">
        <f>SUMIF('CF(M)'!$L$10:$EQ$10,CZ$6,'CF(M)'!$L33:$EQ33)</f>
        <v>0</v>
      </c>
      <c r="DA28" s="171">
        <f>SUMIF('CF(M)'!$L$10:$EQ$10,DA$6,'CF(M)'!$L33:$EQ33)</f>
        <v>0</v>
      </c>
      <c r="DB28" s="171">
        <f>SUMIF('CF(M)'!$L$10:$EQ$10,DB$6,'CF(M)'!$L33:$EQ33)</f>
        <v>0</v>
      </c>
      <c r="DC28" s="171">
        <f>SUMIF('CF(M)'!$L$10:$EQ$10,DC$6,'CF(M)'!$L33:$EQ33)</f>
        <v>0</v>
      </c>
      <c r="DD28" s="171">
        <f>SUMIF('CF(M)'!$L$10:$EQ$10,DD$6,'CF(M)'!$L33:$EQ33)</f>
        <v>0</v>
      </c>
      <c r="DE28" s="171">
        <f>SUMIF('CF(M)'!$L$10:$EQ$10,DE$6,'CF(M)'!$L33:$EQ33)</f>
        <v>0</v>
      </c>
      <c r="DF28" s="171">
        <f>SUMIF('CF(M)'!$L$10:$EQ$10,DF$6,'CF(M)'!$L33:$EQ33)</f>
        <v>0</v>
      </c>
      <c r="DG28" s="171">
        <f>SUMIF('CF(M)'!$L$10:$EQ$10,DG$6,'CF(M)'!$L33:$EQ33)</f>
        <v>0</v>
      </c>
      <c r="DH28" s="171">
        <f>SUMIF('CF(M)'!$L$10:$EQ$10,DH$6,'CF(M)'!$L33:$EQ33)</f>
        <v>0</v>
      </c>
      <c r="DI28" s="171">
        <f>SUMIF('CF(M)'!$L$10:$EQ$10,DI$6,'CF(M)'!$L33:$EQ33)</f>
        <v>0</v>
      </c>
      <c r="DJ28" s="171">
        <f>SUMIF('CF(M)'!$L$10:$EQ$10,DJ$6,'CF(M)'!$L33:$EQ33)</f>
        <v>0</v>
      </c>
      <c r="DK28" s="171">
        <f>SUMIF('CF(M)'!$L$10:$EQ$10,DK$6,'CF(M)'!$L33:$EQ33)</f>
        <v>0</v>
      </c>
      <c r="DL28" s="171">
        <f>SUMIF('CF(M)'!$L$10:$EQ$10,DL$6,'CF(M)'!$L33:$EQ33)</f>
        <v>0</v>
      </c>
      <c r="DM28" s="171">
        <f>SUMIF('CF(M)'!$L$10:$EQ$10,DM$6,'CF(M)'!$L33:$EQ33)</f>
        <v>0</v>
      </c>
      <c r="DN28" s="171">
        <f>SUMIF('CF(M)'!$L$10:$EQ$10,DN$6,'CF(M)'!$L33:$EQ33)</f>
        <v>0</v>
      </c>
      <c r="DO28" s="171">
        <f>SUMIF('CF(M)'!$L$10:$EQ$10,DO$6,'CF(M)'!$L33:$EQ33)</f>
        <v>0</v>
      </c>
      <c r="DP28" s="171">
        <f>SUMIF('CF(M)'!$L$10:$EQ$10,DP$6,'CF(M)'!$L33:$EQ33)</f>
        <v>0</v>
      </c>
      <c r="DQ28" s="171">
        <f>SUMIF('CF(M)'!$L$10:$EQ$10,DQ$6,'CF(M)'!$L33:$EQ33)</f>
        <v>0</v>
      </c>
      <c r="DR28" s="171">
        <f>SUMIF('CF(M)'!$L$10:$EQ$10,DR$6,'CF(M)'!$L33:$EQ33)</f>
        <v>0</v>
      </c>
      <c r="DS28" s="171">
        <f>SUMIF('CF(M)'!$L$10:$EQ$10,DS$6,'CF(M)'!$L33:$EQ33)</f>
        <v>0</v>
      </c>
      <c r="DT28" s="171">
        <f>SUMIF('CF(M)'!$L$10:$EQ$10,DT$6,'CF(M)'!$L33:$EQ33)</f>
        <v>0</v>
      </c>
      <c r="DU28" s="171">
        <f>SUMIF('CF(M)'!$L$10:$EQ$10,DU$6,'CF(M)'!$L33:$EQ33)</f>
        <v>0</v>
      </c>
      <c r="DV28" s="171">
        <f>SUMIF('CF(M)'!$L$10:$EQ$10,DV$6,'CF(M)'!$L33:$EQ33)</f>
        <v>0</v>
      </c>
    </row>
    <row r="29" spans="2:126" ht="11.25" customHeight="1">
      <c r="B29" s="218"/>
      <c r="C29" s="158" t="s">
        <v>189</v>
      </c>
      <c r="D29" s="159"/>
      <c r="E29" s="159"/>
      <c r="F29" s="159"/>
      <c r="G29" s="159"/>
      <c r="H29" s="160"/>
      <c r="I29" s="219"/>
      <c r="J29" s="220">
        <f>SUM(J30:J34)</f>
        <v>-8096991.6246850528</v>
      </c>
      <c r="K29" s="98"/>
      <c r="L29" s="162">
        <f>SUM(L30:L34)</f>
        <v>0</v>
      </c>
      <c r="M29" s="162">
        <f t="shared" ref="M29:BX29" si="11">SUM(M30:M34)</f>
        <v>-400290.92043551093</v>
      </c>
      <c r="N29" s="162">
        <f t="shared" si="11"/>
        <v>-400290.92043551093</v>
      </c>
      <c r="O29" s="162">
        <f t="shared" si="11"/>
        <v>-401250.92043551093</v>
      </c>
      <c r="P29" s="162">
        <f t="shared" si="11"/>
        <v>-401250.92043551093</v>
      </c>
      <c r="Q29" s="162">
        <f t="shared" si="11"/>
        <v>-402230.12043551094</v>
      </c>
      <c r="R29" s="162">
        <f t="shared" si="11"/>
        <v>-402230.12043551094</v>
      </c>
      <c r="S29" s="162">
        <f t="shared" si="11"/>
        <v>-403228.90443551092</v>
      </c>
      <c r="T29" s="162">
        <f t="shared" si="11"/>
        <v>-403228.90443551092</v>
      </c>
      <c r="U29" s="162">
        <f t="shared" si="11"/>
        <v>-404247.66411551094</v>
      </c>
      <c r="V29" s="162">
        <f t="shared" si="11"/>
        <v>-404247.66411551094</v>
      </c>
      <c r="W29" s="162">
        <f t="shared" si="11"/>
        <v>-405286.79898911092</v>
      </c>
      <c r="X29" s="162">
        <f t="shared" si="11"/>
        <v>-405286.79898911092</v>
      </c>
      <c r="Y29" s="162">
        <f t="shared" si="11"/>
        <v>-406346.71656018292</v>
      </c>
      <c r="Z29" s="162">
        <f t="shared" si="11"/>
        <v>-406346.71656018292</v>
      </c>
      <c r="AA29" s="162">
        <f t="shared" si="11"/>
        <v>-407427.83248267637</v>
      </c>
      <c r="AB29" s="162">
        <f t="shared" si="11"/>
        <v>-407427.83248267637</v>
      </c>
      <c r="AC29" s="162">
        <f t="shared" si="11"/>
        <v>-408530.57072361966</v>
      </c>
      <c r="AD29" s="162">
        <f t="shared" si="11"/>
        <v>-408530.57072361966</v>
      </c>
      <c r="AE29" s="162">
        <f t="shared" si="11"/>
        <v>-409655.36372938182</v>
      </c>
      <c r="AF29" s="162">
        <f t="shared" si="11"/>
        <v>-409655.36372938182</v>
      </c>
      <c r="AG29" s="162">
        <f t="shared" si="11"/>
        <v>0</v>
      </c>
      <c r="AH29" s="162">
        <f t="shared" si="11"/>
        <v>0</v>
      </c>
      <c r="AI29" s="162">
        <f t="shared" si="11"/>
        <v>0</v>
      </c>
      <c r="AJ29" s="162">
        <f t="shared" si="11"/>
        <v>0</v>
      </c>
      <c r="AK29" s="162">
        <f t="shared" si="11"/>
        <v>0</v>
      </c>
      <c r="AL29" s="162">
        <f t="shared" si="11"/>
        <v>0</v>
      </c>
      <c r="AM29" s="162">
        <f t="shared" si="11"/>
        <v>0</v>
      </c>
      <c r="AN29" s="162">
        <f t="shared" si="11"/>
        <v>0</v>
      </c>
      <c r="AO29" s="162">
        <f t="shared" si="11"/>
        <v>0</v>
      </c>
      <c r="AP29" s="162">
        <f t="shared" si="11"/>
        <v>0</v>
      </c>
      <c r="AQ29" s="162">
        <f t="shared" si="11"/>
        <v>0</v>
      </c>
      <c r="AR29" s="162">
        <f t="shared" si="11"/>
        <v>0</v>
      </c>
      <c r="AS29" s="162">
        <f t="shared" si="11"/>
        <v>0</v>
      </c>
      <c r="AT29" s="162">
        <f t="shared" si="11"/>
        <v>0</v>
      </c>
      <c r="AU29" s="162">
        <f t="shared" si="11"/>
        <v>0</v>
      </c>
      <c r="AV29" s="162">
        <f t="shared" si="11"/>
        <v>0</v>
      </c>
      <c r="AW29" s="162">
        <f t="shared" si="11"/>
        <v>0</v>
      </c>
      <c r="AX29" s="162">
        <f t="shared" si="11"/>
        <v>0</v>
      </c>
      <c r="AY29" s="162">
        <f t="shared" si="11"/>
        <v>0</v>
      </c>
      <c r="AZ29" s="162">
        <f t="shared" si="11"/>
        <v>0</v>
      </c>
      <c r="BA29" s="162">
        <f t="shared" si="11"/>
        <v>0</v>
      </c>
      <c r="BB29" s="162">
        <f t="shared" si="11"/>
        <v>0</v>
      </c>
      <c r="BC29" s="162">
        <f t="shared" si="11"/>
        <v>0</v>
      </c>
      <c r="BD29" s="162">
        <f t="shared" si="11"/>
        <v>0</v>
      </c>
      <c r="BE29" s="162">
        <f t="shared" si="11"/>
        <v>0</v>
      </c>
      <c r="BF29" s="162">
        <f t="shared" si="11"/>
        <v>0</v>
      </c>
      <c r="BG29" s="162">
        <f t="shared" si="11"/>
        <v>0</v>
      </c>
      <c r="BH29" s="162">
        <f t="shared" si="11"/>
        <v>0</v>
      </c>
      <c r="BI29" s="162">
        <f t="shared" si="11"/>
        <v>0</v>
      </c>
      <c r="BJ29" s="162">
        <f t="shared" si="11"/>
        <v>0</v>
      </c>
      <c r="BK29" s="162">
        <f t="shared" si="11"/>
        <v>0</v>
      </c>
      <c r="BL29" s="162">
        <f t="shared" si="11"/>
        <v>0</v>
      </c>
      <c r="BM29" s="162">
        <f t="shared" si="11"/>
        <v>0</v>
      </c>
      <c r="BN29" s="162">
        <f t="shared" si="11"/>
        <v>0</v>
      </c>
      <c r="BO29" s="162">
        <f t="shared" si="11"/>
        <v>0</v>
      </c>
      <c r="BP29" s="162">
        <f t="shared" si="11"/>
        <v>0</v>
      </c>
      <c r="BQ29" s="162">
        <f t="shared" si="11"/>
        <v>0</v>
      </c>
      <c r="BR29" s="162">
        <f t="shared" si="11"/>
        <v>0</v>
      </c>
      <c r="BS29" s="162">
        <f t="shared" si="11"/>
        <v>0</v>
      </c>
      <c r="BT29" s="162">
        <f t="shared" si="11"/>
        <v>0</v>
      </c>
      <c r="BU29" s="162">
        <f t="shared" si="11"/>
        <v>0</v>
      </c>
      <c r="BV29" s="162">
        <f t="shared" si="11"/>
        <v>0</v>
      </c>
      <c r="BW29" s="162">
        <f t="shared" si="11"/>
        <v>0</v>
      </c>
      <c r="BX29" s="162">
        <f t="shared" si="11"/>
        <v>0</v>
      </c>
      <c r="BY29" s="162">
        <f t="shared" ref="BY29:DV29" si="12">SUM(BY30:BY34)</f>
        <v>0</v>
      </c>
      <c r="BZ29" s="162">
        <f t="shared" si="12"/>
        <v>0</v>
      </c>
      <c r="CA29" s="162">
        <f t="shared" si="12"/>
        <v>0</v>
      </c>
      <c r="CB29" s="162">
        <f t="shared" si="12"/>
        <v>0</v>
      </c>
      <c r="CC29" s="162">
        <f t="shared" si="12"/>
        <v>0</v>
      </c>
      <c r="CD29" s="162">
        <f t="shared" si="12"/>
        <v>0</v>
      </c>
      <c r="CE29" s="162">
        <f t="shared" si="12"/>
        <v>0</v>
      </c>
      <c r="CF29" s="162">
        <f t="shared" si="12"/>
        <v>0</v>
      </c>
      <c r="CG29" s="162">
        <f t="shared" si="12"/>
        <v>0</v>
      </c>
      <c r="CH29" s="162">
        <f t="shared" si="12"/>
        <v>0</v>
      </c>
      <c r="CI29" s="162">
        <f t="shared" si="12"/>
        <v>0</v>
      </c>
      <c r="CJ29" s="162">
        <f t="shared" si="12"/>
        <v>0</v>
      </c>
      <c r="CK29" s="162">
        <f t="shared" si="12"/>
        <v>0</v>
      </c>
      <c r="CL29" s="162">
        <f t="shared" si="12"/>
        <v>0</v>
      </c>
      <c r="CM29" s="162">
        <f t="shared" si="12"/>
        <v>0</v>
      </c>
      <c r="CN29" s="162">
        <f t="shared" si="12"/>
        <v>0</v>
      </c>
      <c r="CO29" s="162">
        <f t="shared" si="12"/>
        <v>0</v>
      </c>
      <c r="CP29" s="162">
        <f t="shared" si="12"/>
        <v>0</v>
      </c>
      <c r="CQ29" s="162">
        <f t="shared" si="12"/>
        <v>0</v>
      </c>
      <c r="CR29" s="162">
        <f t="shared" si="12"/>
        <v>0</v>
      </c>
      <c r="CS29" s="162">
        <f t="shared" si="12"/>
        <v>0</v>
      </c>
      <c r="CT29" s="162">
        <f t="shared" si="12"/>
        <v>0</v>
      </c>
      <c r="CU29" s="162">
        <f t="shared" si="12"/>
        <v>0</v>
      </c>
      <c r="CV29" s="162">
        <f t="shared" si="12"/>
        <v>0</v>
      </c>
      <c r="CW29" s="162">
        <f t="shared" si="12"/>
        <v>0</v>
      </c>
      <c r="CX29" s="162">
        <f t="shared" si="12"/>
        <v>0</v>
      </c>
      <c r="CY29" s="162">
        <f t="shared" si="12"/>
        <v>0</v>
      </c>
      <c r="CZ29" s="162">
        <f t="shared" si="12"/>
        <v>0</v>
      </c>
      <c r="DA29" s="162">
        <f t="shared" si="12"/>
        <v>0</v>
      </c>
      <c r="DB29" s="162">
        <f t="shared" si="12"/>
        <v>0</v>
      </c>
      <c r="DC29" s="162">
        <f t="shared" si="12"/>
        <v>0</v>
      </c>
      <c r="DD29" s="162">
        <f t="shared" si="12"/>
        <v>0</v>
      </c>
      <c r="DE29" s="162">
        <f t="shared" si="12"/>
        <v>0</v>
      </c>
      <c r="DF29" s="162">
        <f t="shared" si="12"/>
        <v>0</v>
      </c>
      <c r="DG29" s="162">
        <f t="shared" si="12"/>
        <v>0</v>
      </c>
      <c r="DH29" s="162">
        <f t="shared" si="12"/>
        <v>0</v>
      </c>
      <c r="DI29" s="162">
        <f t="shared" si="12"/>
        <v>0</v>
      </c>
      <c r="DJ29" s="162">
        <f t="shared" si="12"/>
        <v>0</v>
      </c>
      <c r="DK29" s="162">
        <f t="shared" si="12"/>
        <v>0</v>
      </c>
      <c r="DL29" s="162">
        <f t="shared" si="12"/>
        <v>0</v>
      </c>
      <c r="DM29" s="162">
        <f t="shared" si="12"/>
        <v>0</v>
      </c>
      <c r="DN29" s="162">
        <f t="shared" si="12"/>
        <v>0</v>
      </c>
      <c r="DO29" s="162">
        <f t="shared" si="12"/>
        <v>0</v>
      </c>
      <c r="DP29" s="162">
        <f t="shared" si="12"/>
        <v>0</v>
      </c>
      <c r="DQ29" s="162">
        <f t="shared" si="12"/>
        <v>0</v>
      </c>
      <c r="DR29" s="162">
        <f t="shared" si="12"/>
        <v>0</v>
      </c>
      <c r="DS29" s="162">
        <f t="shared" si="12"/>
        <v>0</v>
      </c>
      <c r="DT29" s="162">
        <f t="shared" si="12"/>
        <v>0</v>
      </c>
      <c r="DU29" s="162">
        <f t="shared" si="12"/>
        <v>0</v>
      </c>
      <c r="DV29" s="162">
        <f t="shared" si="12"/>
        <v>0</v>
      </c>
    </row>
    <row r="30" spans="2:126" ht="11.25" customHeight="1">
      <c r="B30" s="218"/>
      <c r="C30" s="163"/>
      <c r="D30" s="164" t="s">
        <v>463</v>
      </c>
      <c r="E30" s="165"/>
      <c r="F30" s="165"/>
      <c r="G30" s="165"/>
      <c r="H30" s="166"/>
      <c r="I30" s="221"/>
      <c r="J30" s="168">
        <f t="shared" si="8"/>
        <v>-262793.30399370863</v>
      </c>
      <c r="K30" s="98"/>
      <c r="L30" s="168">
        <f>SUMIF('CF(M)'!$L$10:$EQ$10,L$6,'CF(M)'!$L35:$EQ35)</f>
        <v>0</v>
      </c>
      <c r="M30" s="168">
        <f>SUMIF('CF(M)'!$L$10:$EQ$10,M$6,'CF(M)'!$L35:$EQ35)</f>
        <v>-12000</v>
      </c>
      <c r="N30" s="168">
        <f>SUMIF('CF(M)'!$L$10:$EQ$10,N$6,'CF(M)'!$L35:$EQ35)</f>
        <v>-12000</v>
      </c>
      <c r="O30" s="168">
        <f>SUMIF('CF(M)'!$L$10:$EQ$10,O$6,'CF(M)'!$L35:$EQ35)</f>
        <v>-12240</v>
      </c>
      <c r="P30" s="168">
        <f>SUMIF('CF(M)'!$L$10:$EQ$10,P$6,'CF(M)'!$L35:$EQ35)</f>
        <v>-12240</v>
      </c>
      <c r="Q30" s="168">
        <f>SUMIF('CF(M)'!$L$10:$EQ$10,Q$6,'CF(M)'!$L35:$EQ35)</f>
        <v>-12484.8</v>
      </c>
      <c r="R30" s="168">
        <f>SUMIF('CF(M)'!$L$10:$EQ$10,R$6,'CF(M)'!$L35:$EQ35)</f>
        <v>-12484.8</v>
      </c>
      <c r="S30" s="168">
        <f>SUMIF('CF(M)'!$L$10:$EQ$10,S$6,'CF(M)'!$L35:$EQ35)</f>
        <v>-12734.495999999997</v>
      </c>
      <c r="T30" s="168">
        <f>SUMIF('CF(M)'!$L$10:$EQ$10,T$6,'CF(M)'!$L35:$EQ35)</f>
        <v>-12734.495999999997</v>
      </c>
      <c r="U30" s="168">
        <f>SUMIF('CF(M)'!$L$10:$EQ$10,U$6,'CF(M)'!$L35:$EQ35)</f>
        <v>-12989.185920000002</v>
      </c>
      <c r="V30" s="168">
        <f>SUMIF('CF(M)'!$L$10:$EQ$10,V$6,'CF(M)'!$L35:$EQ35)</f>
        <v>-12989.185920000002</v>
      </c>
      <c r="W30" s="168">
        <f>SUMIF('CF(M)'!$L$10:$EQ$10,W$6,'CF(M)'!$L35:$EQ35)</f>
        <v>-13248.969638400002</v>
      </c>
      <c r="X30" s="168">
        <f>SUMIF('CF(M)'!$L$10:$EQ$10,X$6,'CF(M)'!$L35:$EQ35)</f>
        <v>-13248.969638400002</v>
      </c>
      <c r="Y30" s="168">
        <f>SUMIF('CF(M)'!$L$10:$EQ$10,Y$6,'CF(M)'!$L35:$EQ35)</f>
        <v>-13513.949031168002</v>
      </c>
      <c r="Z30" s="168">
        <f>SUMIF('CF(M)'!$L$10:$EQ$10,Z$6,'CF(M)'!$L35:$EQ35)</f>
        <v>-13513.949031168002</v>
      </c>
      <c r="AA30" s="168">
        <f>SUMIF('CF(M)'!$L$10:$EQ$10,AA$6,'CF(M)'!$L35:$EQ35)</f>
        <v>-13784.228011791358</v>
      </c>
      <c r="AB30" s="168">
        <f>SUMIF('CF(M)'!$L$10:$EQ$10,AB$6,'CF(M)'!$L35:$EQ35)</f>
        <v>-13784.228011791358</v>
      </c>
      <c r="AC30" s="168">
        <f>SUMIF('CF(M)'!$L$10:$EQ$10,AC$6,'CF(M)'!$L35:$EQ35)</f>
        <v>-14059.912572027188</v>
      </c>
      <c r="AD30" s="168">
        <f>SUMIF('CF(M)'!$L$10:$EQ$10,AD$6,'CF(M)'!$L35:$EQ35)</f>
        <v>-14059.912572027188</v>
      </c>
      <c r="AE30" s="168">
        <f>SUMIF('CF(M)'!$L$10:$EQ$10,AE$6,'CF(M)'!$L35:$EQ35)</f>
        <v>-14341.11082346773</v>
      </c>
      <c r="AF30" s="168">
        <f>SUMIF('CF(M)'!$L$10:$EQ$10,AF$6,'CF(M)'!$L35:$EQ35)</f>
        <v>-14341.11082346773</v>
      </c>
      <c r="AG30" s="168">
        <f>SUMIF('CF(M)'!$L$10:$EQ$10,AG$6,'CF(M)'!$L35:$EQ35)</f>
        <v>0</v>
      </c>
      <c r="AH30" s="168">
        <f>SUMIF('CF(M)'!$L$10:$EQ$10,AH$6,'CF(M)'!$L35:$EQ35)</f>
        <v>0</v>
      </c>
      <c r="AI30" s="168">
        <f>SUMIF('CF(M)'!$L$10:$EQ$10,AI$6,'CF(M)'!$L35:$EQ35)</f>
        <v>0</v>
      </c>
      <c r="AJ30" s="168">
        <f>SUMIF('CF(M)'!$L$10:$EQ$10,AJ$6,'CF(M)'!$L35:$EQ35)</f>
        <v>0</v>
      </c>
      <c r="AK30" s="168">
        <f>SUMIF('CF(M)'!$L$10:$EQ$10,AK$6,'CF(M)'!$L35:$EQ35)</f>
        <v>0</v>
      </c>
      <c r="AL30" s="168">
        <f>SUMIF('CF(M)'!$L$10:$EQ$10,AL$6,'CF(M)'!$L35:$EQ35)</f>
        <v>0</v>
      </c>
      <c r="AM30" s="168">
        <f>SUMIF('CF(M)'!$L$10:$EQ$10,AM$6,'CF(M)'!$L35:$EQ35)</f>
        <v>0</v>
      </c>
      <c r="AN30" s="168">
        <f>SUMIF('CF(M)'!$L$10:$EQ$10,AN$6,'CF(M)'!$L35:$EQ35)</f>
        <v>0</v>
      </c>
      <c r="AO30" s="168">
        <f>SUMIF('CF(M)'!$L$10:$EQ$10,AO$6,'CF(M)'!$L35:$EQ35)</f>
        <v>0</v>
      </c>
      <c r="AP30" s="168">
        <f>SUMIF('CF(M)'!$L$10:$EQ$10,AP$6,'CF(M)'!$L35:$EQ35)</f>
        <v>0</v>
      </c>
      <c r="AQ30" s="168">
        <f>SUMIF('CF(M)'!$L$10:$EQ$10,AQ$6,'CF(M)'!$L35:$EQ35)</f>
        <v>0</v>
      </c>
      <c r="AR30" s="168">
        <f>SUMIF('CF(M)'!$L$10:$EQ$10,AR$6,'CF(M)'!$L35:$EQ35)</f>
        <v>0</v>
      </c>
      <c r="AS30" s="168">
        <f>SUMIF('CF(M)'!$L$10:$EQ$10,AS$6,'CF(M)'!$L35:$EQ35)</f>
        <v>0</v>
      </c>
      <c r="AT30" s="168">
        <f>SUMIF('CF(M)'!$L$10:$EQ$10,AT$6,'CF(M)'!$L35:$EQ35)</f>
        <v>0</v>
      </c>
      <c r="AU30" s="168">
        <f>SUMIF('CF(M)'!$L$10:$EQ$10,AU$6,'CF(M)'!$L35:$EQ35)</f>
        <v>0</v>
      </c>
      <c r="AV30" s="168">
        <f>SUMIF('CF(M)'!$L$10:$EQ$10,AV$6,'CF(M)'!$L35:$EQ35)</f>
        <v>0</v>
      </c>
      <c r="AW30" s="168">
        <f>SUMIF('CF(M)'!$L$10:$EQ$10,AW$6,'CF(M)'!$L35:$EQ35)</f>
        <v>0</v>
      </c>
      <c r="AX30" s="168">
        <f>SUMIF('CF(M)'!$L$10:$EQ$10,AX$6,'CF(M)'!$L35:$EQ35)</f>
        <v>0</v>
      </c>
      <c r="AY30" s="168">
        <f>SUMIF('CF(M)'!$L$10:$EQ$10,AY$6,'CF(M)'!$L35:$EQ35)</f>
        <v>0</v>
      </c>
      <c r="AZ30" s="168">
        <f>SUMIF('CF(M)'!$L$10:$EQ$10,AZ$6,'CF(M)'!$L35:$EQ35)</f>
        <v>0</v>
      </c>
      <c r="BA30" s="168">
        <f>SUMIF('CF(M)'!$L$10:$EQ$10,BA$6,'CF(M)'!$L35:$EQ35)</f>
        <v>0</v>
      </c>
      <c r="BB30" s="168">
        <f>SUMIF('CF(M)'!$L$10:$EQ$10,BB$6,'CF(M)'!$L35:$EQ35)</f>
        <v>0</v>
      </c>
      <c r="BC30" s="168">
        <f>SUMIF('CF(M)'!$L$10:$EQ$10,BC$6,'CF(M)'!$L35:$EQ35)</f>
        <v>0</v>
      </c>
      <c r="BD30" s="168">
        <f>SUMIF('CF(M)'!$L$10:$EQ$10,BD$6,'CF(M)'!$L35:$EQ35)</f>
        <v>0</v>
      </c>
      <c r="BE30" s="168">
        <f>SUMIF('CF(M)'!$L$10:$EQ$10,BE$6,'CF(M)'!$L35:$EQ35)</f>
        <v>0</v>
      </c>
      <c r="BF30" s="168">
        <f>SUMIF('CF(M)'!$L$10:$EQ$10,BF$6,'CF(M)'!$L35:$EQ35)</f>
        <v>0</v>
      </c>
      <c r="BG30" s="168">
        <f>SUMIF('CF(M)'!$L$10:$EQ$10,BG$6,'CF(M)'!$L35:$EQ35)</f>
        <v>0</v>
      </c>
      <c r="BH30" s="168">
        <f>SUMIF('CF(M)'!$L$10:$EQ$10,BH$6,'CF(M)'!$L35:$EQ35)</f>
        <v>0</v>
      </c>
      <c r="BI30" s="168">
        <f>SUMIF('CF(M)'!$L$10:$EQ$10,BI$6,'CF(M)'!$L35:$EQ35)</f>
        <v>0</v>
      </c>
      <c r="BJ30" s="168">
        <f>SUMIF('CF(M)'!$L$10:$EQ$10,BJ$6,'CF(M)'!$L35:$EQ35)</f>
        <v>0</v>
      </c>
      <c r="BK30" s="168">
        <f>SUMIF('CF(M)'!$L$10:$EQ$10,BK$6,'CF(M)'!$L35:$EQ35)</f>
        <v>0</v>
      </c>
      <c r="BL30" s="168">
        <f>SUMIF('CF(M)'!$L$10:$EQ$10,BL$6,'CF(M)'!$L35:$EQ35)</f>
        <v>0</v>
      </c>
      <c r="BM30" s="168">
        <f>SUMIF('CF(M)'!$L$10:$EQ$10,BM$6,'CF(M)'!$L35:$EQ35)</f>
        <v>0</v>
      </c>
      <c r="BN30" s="168">
        <f>SUMIF('CF(M)'!$L$10:$EQ$10,BN$6,'CF(M)'!$L35:$EQ35)</f>
        <v>0</v>
      </c>
      <c r="BO30" s="168">
        <f>SUMIF('CF(M)'!$L$10:$EQ$10,BO$6,'CF(M)'!$L35:$EQ35)</f>
        <v>0</v>
      </c>
      <c r="BP30" s="168">
        <f>SUMIF('CF(M)'!$L$10:$EQ$10,BP$6,'CF(M)'!$L35:$EQ35)</f>
        <v>0</v>
      </c>
      <c r="BQ30" s="168">
        <f>SUMIF('CF(M)'!$L$10:$EQ$10,BQ$6,'CF(M)'!$L35:$EQ35)</f>
        <v>0</v>
      </c>
      <c r="BR30" s="168">
        <f>SUMIF('CF(M)'!$L$10:$EQ$10,BR$6,'CF(M)'!$L35:$EQ35)</f>
        <v>0</v>
      </c>
      <c r="BS30" s="168">
        <f>SUMIF('CF(M)'!$L$10:$EQ$10,BS$6,'CF(M)'!$L35:$EQ35)</f>
        <v>0</v>
      </c>
      <c r="BT30" s="168">
        <f>SUMIF('CF(M)'!$L$10:$EQ$10,BT$6,'CF(M)'!$L35:$EQ35)</f>
        <v>0</v>
      </c>
      <c r="BU30" s="168">
        <f>SUMIF('CF(M)'!$L$10:$EQ$10,BU$6,'CF(M)'!$L35:$EQ35)</f>
        <v>0</v>
      </c>
      <c r="BV30" s="168">
        <f>SUMIF('CF(M)'!$L$10:$EQ$10,BV$6,'CF(M)'!$L35:$EQ35)</f>
        <v>0</v>
      </c>
      <c r="BW30" s="168">
        <f>SUMIF('CF(M)'!$L$10:$EQ$10,BW$6,'CF(M)'!$L35:$EQ35)</f>
        <v>0</v>
      </c>
      <c r="BX30" s="168">
        <f>SUMIF('CF(M)'!$L$10:$EQ$10,BX$6,'CF(M)'!$L35:$EQ35)</f>
        <v>0</v>
      </c>
      <c r="BY30" s="168">
        <f>SUMIF('CF(M)'!$L$10:$EQ$10,BY$6,'CF(M)'!$L35:$EQ35)</f>
        <v>0</v>
      </c>
      <c r="BZ30" s="168">
        <f>SUMIF('CF(M)'!$L$10:$EQ$10,BZ$6,'CF(M)'!$L35:$EQ35)</f>
        <v>0</v>
      </c>
      <c r="CA30" s="168">
        <f>SUMIF('CF(M)'!$L$10:$EQ$10,CA$6,'CF(M)'!$L35:$EQ35)</f>
        <v>0</v>
      </c>
      <c r="CB30" s="168">
        <f>SUMIF('CF(M)'!$L$10:$EQ$10,CB$6,'CF(M)'!$L35:$EQ35)</f>
        <v>0</v>
      </c>
      <c r="CC30" s="168">
        <f>SUMIF('CF(M)'!$L$10:$EQ$10,CC$6,'CF(M)'!$L35:$EQ35)</f>
        <v>0</v>
      </c>
      <c r="CD30" s="168">
        <f>SUMIF('CF(M)'!$L$10:$EQ$10,CD$6,'CF(M)'!$L35:$EQ35)</f>
        <v>0</v>
      </c>
      <c r="CE30" s="168">
        <f>SUMIF('CF(M)'!$L$10:$EQ$10,CE$6,'CF(M)'!$L35:$EQ35)</f>
        <v>0</v>
      </c>
      <c r="CF30" s="168">
        <f>SUMIF('CF(M)'!$L$10:$EQ$10,CF$6,'CF(M)'!$L35:$EQ35)</f>
        <v>0</v>
      </c>
      <c r="CG30" s="168">
        <f>SUMIF('CF(M)'!$L$10:$EQ$10,CG$6,'CF(M)'!$L35:$EQ35)</f>
        <v>0</v>
      </c>
      <c r="CH30" s="168">
        <f>SUMIF('CF(M)'!$L$10:$EQ$10,CH$6,'CF(M)'!$L35:$EQ35)</f>
        <v>0</v>
      </c>
      <c r="CI30" s="168">
        <f>SUMIF('CF(M)'!$L$10:$EQ$10,CI$6,'CF(M)'!$L35:$EQ35)</f>
        <v>0</v>
      </c>
      <c r="CJ30" s="168">
        <f>SUMIF('CF(M)'!$L$10:$EQ$10,CJ$6,'CF(M)'!$L35:$EQ35)</f>
        <v>0</v>
      </c>
      <c r="CK30" s="168">
        <f>SUMIF('CF(M)'!$L$10:$EQ$10,CK$6,'CF(M)'!$L35:$EQ35)</f>
        <v>0</v>
      </c>
      <c r="CL30" s="168">
        <f>SUMIF('CF(M)'!$L$10:$EQ$10,CL$6,'CF(M)'!$L35:$EQ35)</f>
        <v>0</v>
      </c>
      <c r="CM30" s="168">
        <f>SUMIF('CF(M)'!$L$10:$EQ$10,CM$6,'CF(M)'!$L35:$EQ35)</f>
        <v>0</v>
      </c>
      <c r="CN30" s="168">
        <f>SUMIF('CF(M)'!$L$10:$EQ$10,CN$6,'CF(M)'!$L35:$EQ35)</f>
        <v>0</v>
      </c>
      <c r="CO30" s="168">
        <f>SUMIF('CF(M)'!$L$10:$EQ$10,CO$6,'CF(M)'!$L35:$EQ35)</f>
        <v>0</v>
      </c>
      <c r="CP30" s="168">
        <f>SUMIF('CF(M)'!$L$10:$EQ$10,CP$6,'CF(M)'!$L35:$EQ35)</f>
        <v>0</v>
      </c>
      <c r="CQ30" s="168">
        <f>SUMIF('CF(M)'!$L$10:$EQ$10,CQ$6,'CF(M)'!$L35:$EQ35)</f>
        <v>0</v>
      </c>
      <c r="CR30" s="168">
        <f>SUMIF('CF(M)'!$L$10:$EQ$10,CR$6,'CF(M)'!$L35:$EQ35)</f>
        <v>0</v>
      </c>
      <c r="CS30" s="168">
        <f>SUMIF('CF(M)'!$L$10:$EQ$10,CS$6,'CF(M)'!$L35:$EQ35)</f>
        <v>0</v>
      </c>
      <c r="CT30" s="168">
        <f>SUMIF('CF(M)'!$L$10:$EQ$10,CT$6,'CF(M)'!$L35:$EQ35)</f>
        <v>0</v>
      </c>
      <c r="CU30" s="168">
        <f>SUMIF('CF(M)'!$L$10:$EQ$10,CU$6,'CF(M)'!$L35:$EQ35)</f>
        <v>0</v>
      </c>
      <c r="CV30" s="168">
        <f>SUMIF('CF(M)'!$L$10:$EQ$10,CV$6,'CF(M)'!$L35:$EQ35)</f>
        <v>0</v>
      </c>
      <c r="CW30" s="168">
        <f>SUMIF('CF(M)'!$L$10:$EQ$10,CW$6,'CF(M)'!$L35:$EQ35)</f>
        <v>0</v>
      </c>
      <c r="CX30" s="168">
        <f>SUMIF('CF(M)'!$L$10:$EQ$10,CX$6,'CF(M)'!$L35:$EQ35)</f>
        <v>0</v>
      </c>
      <c r="CY30" s="168">
        <f>SUMIF('CF(M)'!$L$10:$EQ$10,CY$6,'CF(M)'!$L35:$EQ35)</f>
        <v>0</v>
      </c>
      <c r="CZ30" s="168">
        <f>SUMIF('CF(M)'!$L$10:$EQ$10,CZ$6,'CF(M)'!$L35:$EQ35)</f>
        <v>0</v>
      </c>
      <c r="DA30" s="168">
        <f>SUMIF('CF(M)'!$L$10:$EQ$10,DA$6,'CF(M)'!$L35:$EQ35)</f>
        <v>0</v>
      </c>
      <c r="DB30" s="168">
        <f>SUMIF('CF(M)'!$L$10:$EQ$10,DB$6,'CF(M)'!$L35:$EQ35)</f>
        <v>0</v>
      </c>
      <c r="DC30" s="168">
        <f>SUMIF('CF(M)'!$L$10:$EQ$10,DC$6,'CF(M)'!$L35:$EQ35)</f>
        <v>0</v>
      </c>
      <c r="DD30" s="168">
        <f>SUMIF('CF(M)'!$L$10:$EQ$10,DD$6,'CF(M)'!$L35:$EQ35)</f>
        <v>0</v>
      </c>
      <c r="DE30" s="168">
        <f>SUMIF('CF(M)'!$L$10:$EQ$10,DE$6,'CF(M)'!$L35:$EQ35)</f>
        <v>0</v>
      </c>
      <c r="DF30" s="168">
        <f>SUMIF('CF(M)'!$L$10:$EQ$10,DF$6,'CF(M)'!$L35:$EQ35)</f>
        <v>0</v>
      </c>
      <c r="DG30" s="168">
        <f>SUMIF('CF(M)'!$L$10:$EQ$10,DG$6,'CF(M)'!$L35:$EQ35)</f>
        <v>0</v>
      </c>
      <c r="DH30" s="168">
        <f>SUMIF('CF(M)'!$L$10:$EQ$10,DH$6,'CF(M)'!$L35:$EQ35)</f>
        <v>0</v>
      </c>
      <c r="DI30" s="168">
        <f>SUMIF('CF(M)'!$L$10:$EQ$10,DI$6,'CF(M)'!$L35:$EQ35)</f>
        <v>0</v>
      </c>
      <c r="DJ30" s="168">
        <f>SUMIF('CF(M)'!$L$10:$EQ$10,DJ$6,'CF(M)'!$L35:$EQ35)</f>
        <v>0</v>
      </c>
      <c r="DK30" s="168">
        <f>SUMIF('CF(M)'!$L$10:$EQ$10,DK$6,'CF(M)'!$L35:$EQ35)</f>
        <v>0</v>
      </c>
      <c r="DL30" s="168">
        <f>SUMIF('CF(M)'!$L$10:$EQ$10,DL$6,'CF(M)'!$L35:$EQ35)</f>
        <v>0</v>
      </c>
      <c r="DM30" s="168">
        <f>SUMIF('CF(M)'!$L$10:$EQ$10,DM$6,'CF(M)'!$L35:$EQ35)</f>
        <v>0</v>
      </c>
      <c r="DN30" s="168">
        <f>SUMIF('CF(M)'!$L$10:$EQ$10,DN$6,'CF(M)'!$L35:$EQ35)</f>
        <v>0</v>
      </c>
      <c r="DO30" s="168">
        <f>SUMIF('CF(M)'!$L$10:$EQ$10,DO$6,'CF(M)'!$L35:$EQ35)</f>
        <v>0</v>
      </c>
      <c r="DP30" s="168">
        <f>SUMIF('CF(M)'!$L$10:$EQ$10,DP$6,'CF(M)'!$L35:$EQ35)</f>
        <v>0</v>
      </c>
      <c r="DQ30" s="168">
        <f>SUMIF('CF(M)'!$L$10:$EQ$10,DQ$6,'CF(M)'!$L35:$EQ35)</f>
        <v>0</v>
      </c>
      <c r="DR30" s="168">
        <f>SUMIF('CF(M)'!$L$10:$EQ$10,DR$6,'CF(M)'!$L35:$EQ35)</f>
        <v>0</v>
      </c>
      <c r="DS30" s="168">
        <f>SUMIF('CF(M)'!$L$10:$EQ$10,DS$6,'CF(M)'!$L35:$EQ35)</f>
        <v>0</v>
      </c>
      <c r="DT30" s="168">
        <f>SUMIF('CF(M)'!$L$10:$EQ$10,DT$6,'CF(M)'!$L35:$EQ35)</f>
        <v>0</v>
      </c>
      <c r="DU30" s="168">
        <f>SUMIF('CF(M)'!$L$10:$EQ$10,DU$6,'CF(M)'!$L35:$EQ35)</f>
        <v>0</v>
      </c>
      <c r="DV30" s="168">
        <f>SUMIF('CF(M)'!$L$10:$EQ$10,DV$6,'CF(M)'!$L35:$EQ35)</f>
        <v>0</v>
      </c>
    </row>
    <row r="31" spans="2:126" ht="11.25" customHeight="1">
      <c r="B31" s="218"/>
      <c r="C31" s="163"/>
      <c r="D31" s="169" t="s">
        <v>190</v>
      </c>
      <c r="H31" s="146"/>
      <c r="I31" s="13"/>
      <c r="J31" s="171">
        <f>SUM(L31:DV31)</f>
        <v>-6665470.0000000009</v>
      </c>
      <c r="K31" s="98"/>
      <c r="L31" s="171">
        <f>SUMIF('CF(M)'!$L$10:$EQ$10,L$6,'CF(M)'!$L36:$EQ36)</f>
        <v>0</v>
      </c>
      <c r="M31" s="171">
        <f>SUMIF('CF(M)'!$L$10:$EQ$10,M$6,'CF(M)'!$L36:$EQ36)</f>
        <v>-333273.50000000006</v>
      </c>
      <c r="N31" s="171">
        <f>SUMIF('CF(M)'!$L$10:$EQ$10,N$6,'CF(M)'!$L36:$EQ36)</f>
        <v>-333273.50000000006</v>
      </c>
      <c r="O31" s="171">
        <f>SUMIF('CF(M)'!$L$10:$EQ$10,O$6,'CF(M)'!$L36:$EQ36)</f>
        <v>-333273.50000000006</v>
      </c>
      <c r="P31" s="171">
        <f>SUMIF('CF(M)'!$L$10:$EQ$10,P$6,'CF(M)'!$L36:$EQ36)</f>
        <v>-333273.50000000006</v>
      </c>
      <c r="Q31" s="171">
        <f>SUMIF('CF(M)'!$L$10:$EQ$10,Q$6,'CF(M)'!$L36:$EQ36)</f>
        <v>-333273.50000000006</v>
      </c>
      <c r="R31" s="171">
        <f>SUMIF('CF(M)'!$L$10:$EQ$10,R$6,'CF(M)'!$L36:$EQ36)</f>
        <v>-333273.50000000006</v>
      </c>
      <c r="S31" s="171">
        <f>SUMIF('CF(M)'!$L$10:$EQ$10,S$6,'CF(M)'!$L36:$EQ36)</f>
        <v>-333273.50000000006</v>
      </c>
      <c r="T31" s="171">
        <f>SUMIF('CF(M)'!$L$10:$EQ$10,T$6,'CF(M)'!$L36:$EQ36)</f>
        <v>-333273.50000000006</v>
      </c>
      <c r="U31" s="171">
        <f>SUMIF('CF(M)'!$L$10:$EQ$10,U$6,'CF(M)'!$L36:$EQ36)</f>
        <v>-333273.50000000006</v>
      </c>
      <c r="V31" s="171">
        <f>SUMIF('CF(M)'!$L$10:$EQ$10,V$6,'CF(M)'!$L36:$EQ36)</f>
        <v>-333273.50000000006</v>
      </c>
      <c r="W31" s="171">
        <f>SUMIF('CF(M)'!$L$10:$EQ$10,W$6,'CF(M)'!$L36:$EQ36)</f>
        <v>-333273.50000000006</v>
      </c>
      <c r="X31" s="171">
        <f>SUMIF('CF(M)'!$L$10:$EQ$10,X$6,'CF(M)'!$L36:$EQ36)</f>
        <v>-333273.50000000006</v>
      </c>
      <c r="Y31" s="171">
        <f>SUMIF('CF(M)'!$L$10:$EQ$10,Y$6,'CF(M)'!$L36:$EQ36)</f>
        <v>-333273.50000000006</v>
      </c>
      <c r="Z31" s="171">
        <f>SUMIF('CF(M)'!$L$10:$EQ$10,Z$6,'CF(M)'!$L36:$EQ36)</f>
        <v>-333273.50000000006</v>
      </c>
      <c r="AA31" s="171">
        <f>SUMIF('CF(M)'!$L$10:$EQ$10,AA$6,'CF(M)'!$L36:$EQ36)</f>
        <v>-333273.50000000006</v>
      </c>
      <c r="AB31" s="171">
        <f>SUMIF('CF(M)'!$L$10:$EQ$10,AB$6,'CF(M)'!$L36:$EQ36)</f>
        <v>-333273.50000000006</v>
      </c>
      <c r="AC31" s="171">
        <f>SUMIF('CF(M)'!$L$10:$EQ$10,AC$6,'CF(M)'!$L36:$EQ36)</f>
        <v>-333273.50000000006</v>
      </c>
      <c r="AD31" s="171">
        <f>SUMIF('CF(M)'!$L$10:$EQ$10,AD$6,'CF(M)'!$L36:$EQ36)</f>
        <v>-333273.50000000006</v>
      </c>
      <c r="AE31" s="171">
        <f>SUMIF('CF(M)'!$L$10:$EQ$10,AE$6,'CF(M)'!$L36:$EQ36)</f>
        <v>-333273.50000000006</v>
      </c>
      <c r="AF31" s="171">
        <f>SUMIF('CF(M)'!$L$10:$EQ$10,AF$6,'CF(M)'!$L36:$EQ36)</f>
        <v>-333273.50000000006</v>
      </c>
      <c r="AG31" s="171">
        <f>SUMIF('CF(M)'!$L$10:$EQ$10,AG$6,'CF(M)'!$L36:$EQ36)</f>
        <v>0</v>
      </c>
      <c r="AH31" s="171">
        <f>SUMIF('CF(M)'!$L$10:$EQ$10,AH$6,'CF(M)'!$L36:$EQ36)</f>
        <v>0</v>
      </c>
      <c r="AI31" s="171">
        <f>SUMIF('CF(M)'!$L$10:$EQ$10,AI$6,'CF(M)'!$L36:$EQ36)</f>
        <v>0</v>
      </c>
      <c r="AJ31" s="171">
        <f>SUMIF('CF(M)'!$L$10:$EQ$10,AJ$6,'CF(M)'!$L36:$EQ36)</f>
        <v>0</v>
      </c>
      <c r="AK31" s="171">
        <f>SUMIF('CF(M)'!$L$10:$EQ$10,AK$6,'CF(M)'!$L36:$EQ36)</f>
        <v>0</v>
      </c>
      <c r="AL31" s="171">
        <f>SUMIF('CF(M)'!$L$10:$EQ$10,AL$6,'CF(M)'!$L36:$EQ36)</f>
        <v>0</v>
      </c>
      <c r="AM31" s="171">
        <f>SUMIF('CF(M)'!$L$10:$EQ$10,AM$6,'CF(M)'!$L36:$EQ36)</f>
        <v>0</v>
      </c>
      <c r="AN31" s="171">
        <f>SUMIF('CF(M)'!$L$10:$EQ$10,AN$6,'CF(M)'!$L36:$EQ36)</f>
        <v>0</v>
      </c>
      <c r="AO31" s="171">
        <f>SUMIF('CF(M)'!$L$10:$EQ$10,AO$6,'CF(M)'!$L36:$EQ36)</f>
        <v>0</v>
      </c>
      <c r="AP31" s="171">
        <f>SUMIF('CF(M)'!$L$10:$EQ$10,AP$6,'CF(M)'!$L36:$EQ36)</f>
        <v>0</v>
      </c>
      <c r="AQ31" s="171">
        <f>SUMIF('CF(M)'!$L$10:$EQ$10,AQ$6,'CF(M)'!$L36:$EQ36)</f>
        <v>0</v>
      </c>
      <c r="AR31" s="171">
        <f>SUMIF('CF(M)'!$L$10:$EQ$10,AR$6,'CF(M)'!$L36:$EQ36)</f>
        <v>0</v>
      </c>
      <c r="AS31" s="171">
        <f>SUMIF('CF(M)'!$L$10:$EQ$10,AS$6,'CF(M)'!$L36:$EQ36)</f>
        <v>0</v>
      </c>
      <c r="AT31" s="171">
        <f>SUMIF('CF(M)'!$L$10:$EQ$10,AT$6,'CF(M)'!$L36:$EQ36)</f>
        <v>0</v>
      </c>
      <c r="AU31" s="171">
        <f>SUMIF('CF(M)'!$L$10:$EQ$10,AU$6,'CF(M)'!$L36:$EQ36)</f>
        <v>0</v>
      </c>
      <c r="AV31" s="171">
        <f>SUMIF('CF(M)'!$L$10:$EQ$10,AV$6,'CF(M)'!$L36:$EQ36)</f>
        <v>0</v>
      </c>
      <c r="AW31" s="171">
        <f>SUMIF('CF(M)'!$L$10:$EQ$10,AW$6,'CF(M)'!$L36:$EQ36)</f>
        <v>0</v>
      </c>
      <c r="AX31" s="171">
        <f>SUMIF('CF(M)'!$L$10:$EQ$10,AX$6,'CF(M)'!$L36:$EQ36)</f>
        <v>0</v>
      </c>
      <c r="AY31" s="171">
        <f>SUMIF('CF(M)'!$L$10:$EQ$10,AY$6,'CF(M)'!$L36:$EQ36)</f>
        <v>0</v>
      </c>
      <c r="AZ31" s="171">
        <f>SUMIF('CF(M)'!$L$10:$EQ$10,AZ$6,'CF(M)'!$L36:$EQ36)</f>
        <v>0</v>
      </c>
      <c r="BA31" s="171">
        <f>SUMIF('CF(M)'!$L$10:$EQ$10,BA$6,'CF(M)'!$L36:$EQ36)</f>
        <v>0</v>
      </c>
      <c r="BB31" s="171">
        <f>SUMIF('CF(M)'!$L$10:$EQ$10,BB$6,'CF(M)'!$L36:$EQ36)</f>
        <v>0</v>
      </c>
      <c r="BC31" s="171">
        <f>SUMIF('CF(M)'!$L$10:$EQ$10,BC$6,'CF(M)'!$L36:$EQ36)</f>
        <v>0</v>
      </c>
      <c r="BD31" s="171">
        <f>SUMIF('CF(M)'!$L$10:$EQ$10,BD$6,'CF(M)'!$L36:$EQ36)</f>
        <v>0</v>
      </c>
      <c r="BE31" s="171">
        <f>SUMIF('CF(M)'!$L$10:$EQ$10,BE$6,'CF(M)'!$L36:$EQ36)</f>
        <v>0</v>
      </c>
      <c r="BF31" s="171">
        <f>SUMIF('CF(M)'!$L$10:$EQ$10,BF$6,'CF(M)'!$L36:$EQ36)</f>
        <v>0</v>
      </c>
      <c r="BG31" s="171">
        <f>SUMIF('CF(M)'!$L$10:$EQ$10,BG$6,'CF(M)'!$L36:$EQ36)</f>
        <v>0</v>
      </c>
      <c r="BH31" s="171">
        <f>SUMIF('CF(M)'!$L$10:$EQ$10,BH$6,'CF(M)'!$L36:$EQ36)</f>
        <v>0</v>
      </c>
      <c r="BI31" s="171">
        <f>SUMIF('CF(M)'!$L$10:$EQ$10,BI$6,'CF(M)'!$L36:$EQ36)</f>
        <v>0</v>
      </c>
      <c r="BJ31" s="171">
        <f>SUMIF('CF(M)'!$L$10:$EQ$10,BJ$6,'CF(M)'!$L36:$EQ36)</f>
        <v>0</v>
      </c>
      <c r="BK31" s="171">
        <f>SUMIF('CF(M)'!$L$10:$EQ$10,BK$6,'CF(M)'!$L36:$EQ36)</f>
        <v>0</v>
      </c>
      <c r="BL31" s="171">
        <f>SUMIF('CF(M)'!$L$10:$EQ$10,BL$6,'CF(M)'!$L36:$EQ36)</f>
        <v>0</v>
      </c>
      <c r="BM31" s="171">
        <f>SUMIF('CF(M)'!$L$10:$EQ$10,BM$6,'CF(M)'!$L36:$EQ36)</f>
        <v>0</v>
      </c>
      <c r="BN31" s="171">
        <f>SUMIF('CF(M)'!$L$10:$EQ$10,BN$6,'CF(M)'!$L36:$EQ36)</f>
        <v>0</v>
      </c>
      <c r="BO31" s="171">
        <f>SUMIF('CF(M)'!$L$10:$EQ$10,BO$6,'CF(M)'!$L36:$EQ36)</f>
        <v>0</v>
      </c>
      <c r="BP31" s="171">
        <f>SUMIF('CF(M)'!$L$10:$EQ$10,BP$6,'CF(M)'!$L36:$EQ36)</f>
        <v>0</v>
      </c>
      <c r="BQ31" s="171">
        <f>SUMIF('CF(M)'!$L$10:$EQ$10,BQ$6,'CF(M)'!$L36:$EQ36)</f>
        <v>0</v>
      </c>
      <c r="BR31" s="171">
        <f>SUMIF('CF(M)'!$L$10:$EQ$10,BR$6,'CF(M)'!$L36:$EQ36)</f>
        <v>0</v>
      </c>
      <c r="BS31" s="171">
        <f>SUMIF('CF(M)'!$L$10:$EQ$10,BS$6,'CF(M)'!$L36:$EQ36)</f>
        <v>0</v>
      </c>
      <c r="BT31" s="171">
        <f>SUMIF('CF(M)'!$L$10:$EQ$10,BT$6,'CF(M)'!$L36:$EQ36)</f>
        <v>0</v>
      </c>
      <c r="BU31" s="171">
        <f>SUMIF('CF(M)'!$L$10:$EQ$10,BU$6,'CF(M)'!$L36:$EQ36)</f>
        <v>0</v>
      </c>
      <c r="BV31" s="171">
        <f>SUMIF('CF(M)'!$L$10:$EQ$10,BV$6,'CF(M)'!$L36:$EQ36)</f>
        <v>0</v>
      </c>
      <c r="BW31" s="171">
        <f>SUMIF('CF(M)'!$L$10:$EQ$10,BW$6,'CF(M)'!$L36:$EQ36)</f>
        <v>0</v>
      </c>
      <c r="BX31" s="171">
        <f>SUMIF('CF(M)'!$L$10:$EQ$10,BX$6,'CF(M)'!$L36:$EQ36)</f>
        <v>0</v>
      </c>
      <c r="BY31" s="171">
        <f>SUMIF('CF(M)'!$L$10:$EQ$10,BY$6,'CF(M)'!$L36:$EQ36)</f>
        <v>0</v>
      </c>
      <c r="BZ31" s="171">
        <f>SUMIF('CF(M)'!$L$10:$EQ$10,BZ$6,'CF(M)'!$L36:$EQ36)</f>
        <v>0</v>
      </c>
      <c r="CA31" s="171">
        <f>SUMIF('CF(M)'!$L$10:$EQ$10,CA$6,'CF(M)'!$L36:$EQ36)</f>
        <v>0</v>
      </c>
      <c r="CB31" s="171">
        <f>SUMIF('CF(M)'!$L$10:$EQ$10,CB$6,'CF(M)'!$L36:$EQ36)</f>
        <v>0</v>
      </c>
      <c r="CC31" s="171">
        <f>SUMIF('CF(M)'!$L$10:$EQ$10,CC$6,'CF(M)'!$L36:$EQ36)</f>
        <v>0</v>
      </c>
      <c r="CD31" s="171">
        <f>SUMIF('CF(M)'!$L$10:$EQ$10,CD$6,'CF(M)'!$L36:$EQ36)</f>
        <v>0</v>
      </c>
      <c r="CE31" s="171">
        <f>SUMIF('CF(M)'!$L$10:$EQ$10,CE$6,'CF(M)'!$L36:$EQ36)</f>
        <v>0</v>
      </c>
      <c r="CF31" s="171">
        <f>SUMIF('CF(M)'!$L$10:$EQ$10,CF$6,'CF(M)'!$L36:$EQ36)</f>
        <v>0</v>
      </c>
      <c r="CG31" s="171">
        <f>SUMIF('CF(M)'!$L$10:$EQ$10,CG$6,'CF(M)'!$L36:$EQ36)</f>
        <v>0</v>
      </c>
      <c r="CH31" s="171">
        <f>SUMIF('CF(M)'!$L$10:$EQ$10,CH$6,'CF(M)'!$L36:$EQ36)</f>
        <v>0</v>
      </c>
      <c r="CI31" s="171">
        <f>SUMIF('CF(M)'!$L$10:$EQ$10,CI$6,'CF(M)'!$L36:$EQ36)</f>
        <v>0</v>
      </c>
      <c r="CJ31" s="171">
        <f>SUMIF('CF(M)'!$L$10:$EQ$10,CJ$6,'CF(M)'!$L36:$EQ36)</f>
        <v>0</v>
      </c>
      <c r="CK31" s="171">
        <f>SUMIF('CF(M)'!$L$10:$EQ$10,CK$6,'CF(M)'!$L36:$EQ36)</f>
        <v>0</v>
      </c>
      <c r="CL31" s="171">
        <f>SUMIF('CF(M)'!$L$10:$EQ$10,CL$6,'CF(M)'!$L36:$EQ36)</f>
        <v>0</v>
      </c>
      <c r="CM31" s="171">
        <f>SUMIF('CF(M)'!$L$10:$EQ$10,CM$6,'CF(M)'!$L36:$EQ36)</f>
        <v>0</v>
      </c>
      <c r="CN31" s="171">
        <f>SUMIF('CF(M)'!$L$10:$EQ$10,CN$6,'CF(M)'!$L36:$EQ36)</f>
        <v>0</v>
      </c>
      <c r="CO31" s="171">
        <f>SUMIF('CF(M)'!$L$10:$EQ$10,CO$6,'CF(M)'!$L36:$EQ36)</f>
        <v>0</v>
      </c>
      <c r="CP31" s="171">
        <f>SUMIF('CF(M)'!$L$10:$EQ$10,CP$6,'CF(M)'!$L36:$EQ36)</f>
        <v>0</v>
      </c>
      <c r="CQ31" s="171">
        <f>SUMIF('CF(M)'!$L$10:$EQ$10,CQ$6,'CF(M)'!$L36:$EQ36)</f>
        <v>0</v>
      </c>
      <c r="CR31" s="171">
        <f>SUMIF('CF(M)'!$L$10:$EQ$10,CR$6,'CF(M)'!$L36:$EQ36)</f>
        <v>0</v>
      </c>
      <c r="CS31" s="171">
        <f>SUMIF('CF(M)'!$L$10:$EQ$10,CS$6,'CF(M)'!$L36:$EQ36)</f>
        <v>0</v>
      </c>
      <c r="CT31" s="171">
        <f>SUMIF('CF(M)'!$L$10:$EQ$10,CT$6,'CF(M)'!$L36:$EQ36)</f>
        <v>0</v>
      </c>
      <c r="CU31" s="171">
        <f>SUMIF('CF(M)'!$L$10:$EQ$10,CU$6,'CF(M)'!$L36:$EQ36)</f>
        <v>0</v>
      </c>
      <c r="CV31" s="171">
        <f>SUMIF('CF(M)'!$L$10:$EQ$10,CV$6,'CF(M)'!$L36:$EQ36)</f>
        <v>0</v>
      </c>
      <c r="CW31" s="171">
        <f>SUMIF('CF(M)'!$L$10:$EQ$10,CW$6,'CF(M)'!$L36:$EQ36)</f>
        <v>0</v>
      </c>
      <c r="CX31" s="171">
        <f>SUMIF('CF(M)'!$L$10:$EQ$10,CX$6,'CF(M)'!$L36:$EQ36)</f>
        <v>0</v>
      </c>
      <c r="CY31" s="171">
        <f>SUMIF('CF(M)'!$L$10:$EQ$10,CY$6,'CF(M)'!$L36:$EQ36)</f>
        <v>0</v>
      </c>
      <c r="CZ31" s="171">
        <f>SUMIF('CF(M)'!$L$10:$EQ$10,CZ$6,'CF(M)'!$L36:$EQ36)</f>
        <v>0</v>
      </c>
      <c r="DA31" s="171">
        <f>SUMIF('CF(M)'!$L$10:$EQ$10,DA$6,'CF(M)'!$L36:$EQ36)</f>
        <v>0</v>
      </c>
      <c r="DB31" s="171">
        <f>SUMIF('CF(M)'!$L$10:$EQ$10,DB$6,'CF(M)'!$L36:$EQ36)</f>
        <v>0</v>
      </c>
      <c r="DC31" s="171">
        <f>SUMIF('CF(M)'!$L$10:$EQ$10,DC$6,'CF(M)'!$L36:$EQ36)</f>
        <v>0</v>
      </c>
      <c r="DD31" s="171">
        <f>SUMIF('CF(M)'!$L$10:$EQ$10,DD$6,'CF(M)'!$L36:$EQ36)</f>
        <v>0</v>
      </c>
      <c r="DE31" s="171">
        <f>SUMIF('CF(M)'!$L$10:$EQ$10,DE$6,'CF(M)'!$L36:$EQ36)</f>
        <v>0</v>
      </c>
      <c r="DF31" s="171">
        <f>SUMIF('CF(M)'!$L$10:$EQ$10,DF$6,'CF(M)'!$L36:$EQ36)</f>
        <v>0</v>
      </c>
      <c r="DG31" s="171">
        <f>SUMIF('CF(M)'!$L$10:$EQ$10,DG$6,'CF(M)'!$L36:$EQ36)</f>
        <v>0</v>
      </c>
      <c r="DH31" s="171">
        <f>SUMIF('CF(M)'!$L$10:$EQ$10,DH$6,'CF(M)'!$L36:$EQ36)</f>
        <v>0</v>
      </c>
      <c r="DI31" s="171">
        <f>SUMIF('CF(M)'!$L$10:$EQ$10,DI$6,'CF(M)'!$L36:$EQ36)</f>
        <v>0</v>
      </c>
      <c r="DJ31" s="171">
        <f>SUMIF('CF(M)'!$L$10:$EQ$10,DJ$6,'CF(M)'!$L36:$EQ36)</f>
        <v>0</v>
      </c>
      <c r="DK31" s="171">
        <f>SUMIF('CF(M)'!$L$10:$EQ$10,DK$6,'CF(M)'!$L36:$EQ36)</f>
        <v>0</v>
      </c>
      <c r="DL31" s="171">
        <f>SUMIF('CF(M)'!$L$10:$EQ$10,DL$6,'CF(M)'!$L36:$EQ36)</f>
        <v>0</v>
      </c>
      <c r="DM31" s="171">
        <f>SUMIF('CF(M)'!$L$10:$EQ$10,DM$6,'CF(M)'!$L36:$EQ36)</f>
        <v>0</v>
      </c>
      <c r="DN31" s="171">
        <f>SUMIF('CF(M)'!$L$10:$EQ$10,DN$6,'CF(M)'!$L36:$EQ36)</f>
        <v>0</v>
      </c>
      <c r="DO31" s="171">
        <f>SUMIF('CF(M)'!$L$10:$EQ$10,DO$6,'CF(M)'!$L36:$EQ36)</f>
        <v>0</v>
      </c>
      <c r="DP31" s="171">
        <f>SUMIF('CF(M)'!$L$10:$EQ$10,DP$6,'CF(M)'!$L36:$EQ36)</f>
        <v>0</v>
      </c>
      <c r="DQ31" s="171">
        <f>SUMIF('CF(M)'!$L$10:$EQ$10,DQ$6,'CF(M)'!$L36:$EQ36)</f>
        <v>0</v>
      </c>
      <c r="DR31" s="171">
        <f>SUMIF('CF(M)'!$L$10:$EQ$10,DR$6,'CF(M)'!$L36:$EQ36)</f>
        <v>0</v>
      </c>
      <c r="DS31" s="171">
        <f>SUMIF('CF(M)'!$L$10:$EQ$10,DS$6,'CF(M)'!$L36:$EQ36)</f>
        <v>0</v>
      </c>
      <c r="DT31" s="171">
        <f>SUMIF('CF(M)'!$L$10:$EQ$10,DT$6,'CF(M)'!$L36:$EQ36)</f>
        <v>0</v>
      </c>
      <c r="DU31" s="171">
        <f>SUMIF('CF(M)'!$L$10:$EQ$10,DU$6,'CF(M)'!$L36:$EQ36)</f>
        <v>0</v>
      </c>
      <c r="DV31" s="171">
        <f>SUMIF('CF(M)'!$L$10:$EQ$10,DV$6,'CF(M)'!$L36:$EQ36)</f>
        <v>0</v>
      </c>
    </row>
    <row r="32" spans="2:126" ht="11.25" customHeight="1">
      <c r="B32" s="218"/>
      <c r="C32" s="163"/>
      <c r="D32" s="169" t="s">
        <v>191</v>
      </c>
      <c r="H32" s="146"/>
      <c r="I32" s="13"/>
      <c r="J32" s="171">
        <f t="shared" si="8"/>
        <v>-120000</v>
      </c>
      <c r="K32" s="98"/>
      <c r="L32" s="171">
        <f>SUMIF('CF(M)'!$L$10:$EQ$10,L$6,'CF(M)'!$L37:$EQ37)</f>
        <v>0</v>
      </c>
      <c r="M32" s="171">
        <f>SUMIF('CF(M)'!$L$10:$EQ$10,M$6,'CF(M)'!$L37:$EQ37)</f>
        <v>-6000</v>
      </c>
      <c r="N32" s="171">
        <f>SUMIF('CF(M)'!$L$10:$EQ$10,N$6,'CF(M)'!$L37:$EQ37)</f>
        <v>-6000</v>
      </c>
      <c r="O32" s="171">
        <f>SUMIF('CF(M)'!$L$10:$EQ$10,O$6,'CF(M)'!$L37:$EQ37)</f>
        <v>-6000</v>
      </c>
      <c r="P32" s="171">
        <f>SUMIF('CF(M)'!$L$10:$EQ$10,P$6,'CF(M)'!$L37:$EQ37)</f>
        <v>-6000</v>
      </c>
      <c r="Q32" s="171">
        <f>SUMIF('CF(M)'!$L$10:$EQ$10,Q$6,'CF(M)'!$L37:$EQ37)</f>
        <v>-6000</v>
      </c>
      <c r="R32" s="171">
        <f>SUMIF('CF(M)'!$L$10:$EQ$10,R$6,'CF(M)'!$L37:$EQ37)</f>
        <v>-6000</v>
      </c>
      <c r="S32" s="171">
        <f>SUMIF('CF(M)'!$L$10:$EQ$10,S$6,'CF(M)'!$L37:$EQ37)</f>
        <v>-6000</v>
      </c>
      <c r="T32" s="171">
        <f>SUMIF('CF(M)'!$L$10:$EQ$10,T$6,'CF(M)'!$L37:$EQ37)</f>
        <v>-6000</v>
      </c>
      <c r="U32" s="171">
        <f>SUMIF('CF(M)'!$L$10:$EQ$10,U$6,'CF(M)'!$L37:$EQ37)</f>
        <v>-6000</v>
      </c>
      <c r="V32" s="171">
        <f>SUMIF('CF(M)'!$L$10:$EQ$10,V$6,'CF(M)'!$L37:$EQ37)</f>
        <v>-6000</v>
      </c>
      <c r="W32" s="171">
        <f>SUMIF('CF(M)'!$L$10:$EQ$10,W$6,'CF(M)'!$L37:$EQ37)</f>
        <v>-6000</v>
      </c>
      <c r="X32" s="171">
        <f>SUMIF('CF(M)'!$L$10:$EQ$10,X$6,'CF(M)'!$L37:$EQ37)</f>
        <v>-6000</v>
      </c>
      <c r="Y32" s="171">
        <f>SUMIF('CF(M)'!$L$10:$EQ$10,Y$6,'CF(M)'!$L37:$EQ37)</f>
        <v>-6000</v>
      </c>
      <c r="Z32" s="171">
        <f>SUMIF('CF(M)'!$L$10:$EQ$10,Z$6,'CF(M)'!$L37:$EQ37)</f>
        <v>-6000</v>
      </c>
      <c r="AA32" s="171">
        <f>SUMIF('CF(M)'!$L$10:$EQ$10,AA$6,'CF(M)'!$L37:$EQ37)</f>
        <v>-6000</v>
      </c>
      <c r="AB32" s="171">
        <f>SUMIF('CF(M)'!$L$10:$EQ$10,AB$6,'CF(M)'!$L37:$EQ37)</f>
        <v>-6000</v>
      </c>
      <c r="AC32" s="171">
        <f>SUMIF('CF(M)'!$L$10:$EQ$10,AC$6,'CF(M)'!$L37:$EQ37)</f>
        <v>-6000</v>
      </c>
      <c r="AD32" s="171">
        <f>SUMIF('CF(M)'!$L$10:$EQ$10,AD$6,'CF(M)'!$L37:$EQ37)</f>
        <v>-6000</v>
      </c>
      <c r="AE32" s="171">
        <f>SUMIF('CF(M)'!$L$10:$EQ$10,AE$6,'CF(M)'!$L37:$EQ37)</f>
        <v>-6000</v>
      </c>
      <c r="AF32" s="171">
        <f>SUMIF('CF(M)'!$L$10:$EQ$10,AF$6,'CF(M)'!$L37:$EQ37)</f>
        <v>-6000</v>
      </c>
      <c r="AG32" s="171">
        <f>SUMIF('CF(M)'!$L$10:$EQ$10,AG$6,'CF(M)'!$L37:$EQ37)</f>
        <v>0</v>
      </c>
      <c r="AH32" s="171">
        <f>SUMIF('CF(M)'!$L$10:$EQ$10,AH$6,'CF(M)'!$L37:$EQ37)</f>
        <v>0</v>
      </c>
      <c r="AI32" s="171">
        <f>SUMIF('CF(M)'!$L$10:$EQ$10,AI$6,'CF(M)'!$L37:$EQ37)</f>
        <v>0</v>
      </c>
      <c r="AJ32" s="171">
        <f>SUMIF('CF(M)'!$L$10:$EQ$10,AJ$6,'CF(M)'!$L37:$EQ37)</f>
        <v>0</v>
      </c>
      <c r="AK32" s="171">
        <f>SUMIF('CF(M)'!$L$10:$EQ$10,AK$6,'CF(M)'!$L37:$EQ37)</f>
        <v>0</v>
      </c>
      <c r="AL32" s="171">
        <f>SUMIF('CF(M)'!$L$10:$EQ$10,AL$6,'CF(M)'!$L37:$EQ37)</f>
        <v>0</v>
      </c>
      <c r="AM32" s="171">
        <f>SUMIF('CF(M)'!$L$10:$EQ$10,AM$6,'CF(M)'!$L37:$EQ37)</f>
        <v>0</v>
      </c>
      <c r="AN32" s="171">
        <f>SUMIF('CF(M)'!$L$10:$EQ$10,AN$6,'CF(M)'!$L37:$EQ37)</f>
        <v>0</v>
      </c>
      <c r="AO32" s="171">
        <f>SUMIF('CF(M)'!$L$10:$EQ$10,AO$6,'CF(M)'!$L37:$EQ37)</f>
        <v>0</v>
      </c>
      <c r="AP32" s="171">
        <f>SUMIF('CF(M)'!$L$10:$EQ$10,AP$6,'CF(M)'!$L37:$EQ37)</f>
        <v>0</v>
      </c>
      <c r="AQ32" s="171">
        <f>SUMIF('CF(M)'!$L$10:$EQ$10,AQ$6,'CF(M)'!$L37:$EQ37)</f>
        <v>0</v>
      </c>
      <c r="AR32" s="171">
        <f>SUMIF('CF(M)'!$L$10:$EQ$10,AR$6,'CF(M)'!$L37:$EQ37)</f>
        <v>0</v>
      </c>
      <c r="AS32" s="171">
        <f>SUMIF('CF(M)'!$L$10:$EQ$10,AS$6,'CF(M)'!$L37:$EQ37)</f>
        <v>0</v>
      </c>
      <c r="AT32" s="171">
        <f>SUMIF('CF(M)'!$L$10:$EQ$10,AT$6,'CF(M)'!$L37:$EQ37)</f>
        <v>0</v>
      </c>
      <c r="AU32" s="171">
        <f>SUMIF('CF(M)'!$L$10:$EQ$10,AU$6,'CF(M)'!$L37:$EQ37)</f>
        <v>0</v>
      </c>
      <c r="AV32" s="171">
        <f>SUMIF('CF(M)'!$L$10:$EQ$10,AV$6,'CF(M)'!$L37:$EQ37)</f>
        <v>0</v>
      </c>
      <c r="AW32" s="171">
        <f>SUMIF('CF(M)'!$L$10:$EQ$10,AW$6,'CF(M)'!$L37:$EQ37)</f>
        <v>0</v>
      </c>
      <c r="AX32" s="171">
        <f>SUMIF('CF(M)'!$L$10:$EQ$10,AX$6,'CF(M)'!$L37:$EQ37)</f>
        <v>0</v>
      </c>
      <c r="AY32" s="171">
        <f>SUMIF('CF(M)'!$L$10:$EQ$10,AY$6,'CF(M)'!$L37:$EQ37)</f>
        <v>0</v>
      </c>
      <c r="AZ32" s="171">
        <f>SUMIF('CF(M)'!$L$10:$EQ$10,AZ$6,'CF(M)'!$L37:$EQ37)</f>
        <v>0</v>
      </c>
      <c r="BA32" s="171">
        <f>SUMIF('CF(M)'!$L$10:$EQ$10,BA$6,'CF(M)'!$L37:$EQ37)</f>
        <v>0</v>
      </c>
      <c r="BB32" s="171">
        <f>SUMIF('CF(M)'!$L$10:$EQ$10,BB$6,'CF(M)'!$L37:$EQ37)</f>
        <v>0</v>
      </c>
      <c r="BC32" s="171">
        <f>SUMIF('CF(M)'!$L$10:$EQ$10,BC$6,'CF(M)'!$L37:$EQ37)</f>
        <v>0</v>
      </c>
      <c r="BD32" s="171">
        <f>SUMIF('CF(M)'!$L$10:$EQ$10,BD$6,'CF(M)'!$L37:$EQ37)</f>
        <v>0</v>
      </c>
      <c r="BE32" s="171">
        <f>SUMIF('CF(M)'!$L$10:$EQ$10,BE$6,'CF(M)'!$L37:$EQ37)</f>
        <v>0</v>
      </c>
      <c r="BF32" s="171">
        <f>SUMIF('CF(M)'!$L$10:$EQ$10,BF$6,'CF(M)'!$L37:$EQ37)</f>
        <v>0</v>
      </c>
      <c r="BG32" s="171">
        <f>SUMIF('CF(M)'!$L$10:$EQ$10,BG$6,'CF(M)'!$L37:$EQ37)</f>
        <v>0</v>
      </c>
      <c r="BH32" s="171">
        <f>SUMIF('CF(M)'!$L$10:$EQ$10,BH$6,'CF(M)'!$L37:$EQ37)</f>
        <v>0</v>
      </c>
      <c r="BI32" s="171">
        <f>SUMIF('CF(M)'!$L$10:$EQ$10,BI$6,'CF(M)'!$L37:$EQ37)</f>
        <v>0</v>
      </c>
      <c r="BJ32" s="171">
        <f>SUMIF('CF(M)'!$L$10:$EQ$10,BJ$6,'CF(M)'!$L37:$EQ37)</f>
        <v>0</v>
      </c>
      <c r="BK32" s="171">
        <f>SUMIF('CF(M)'!$L$10:$EQ$10,BK$6,'CF(M)'!$L37:$EQ37)</f>
        <v>0</v>
      </c>
      <c r="BL32" s="171">
        <f>SUMIF('CF(M)'!$L$10:$EQ$10,BL$6,'CF(M)'!$L37:$EQ37)</f>
        <v>0</v>
      </c>
      <c r="BM32" s="171">
        <f>SUMIF('CF(M)'!$L$10:$EQ$10,BM$6,'CF(M)'!$L37:$EQ37)</f>
        <v>0</v>
      </c>
      <c r="BN32" s="171">
        <f>SUMIF('CF(M)'!$L$10:$EQ$10,BN$6,'CF(M)'!$L37:$EQ37)</f>
        <v>0</v>
      </c>
      <c r="BO32" s="171">
        <f>SUMIF('CF(M)'!$L$10:$EQ$10,BO$6,'CF(M)'!$L37:$EQ37)</f>
        <v>0</v>
      </c>
      <c r="BP32" s="171">
        <f>SUMIF('CF(M)'!$L$10:$EQ$10,BP$6,'CF(M)'!$L37:$EQ37)</f>
        <v>0</v>
      </c>
      <c r="BQ32" s="171">
        <f>SUMIF('CF(M)'!$L$10:$EQ$10,BQ$6,'CF(M)'!$L37:$EQ37)</f>
        <v>0</v>
      </c>
      <c r="BR32" s="171">
        <f>SUMIF('CF(M)'!$L$10:$EQ$10,BR$6,'CF(M)'!$L37:$EQ37)</f>
        <v>0</v>
      </c>
      <c r="BS32" s="171">
        <f>SUMIF('CF(M)'!$L$10:$EQ$10,BS$6,'CF(M)'!$L37:$EQ37)</f>
        <v>0</v>
      </c>
      <c r="BT32" s="171">
        <f>SUMIF('CF(M)'!$L$10:$EQ$10,BT$6,'CF(M)'!$L37:$EQ37)</f>
        <v>0</v>
      </c>
      <c r="BU32" s="171">
        <f>SUMIF('CF(M)'!$L$10:$EQ$10,BU$6,'CF(M)'!$L37:$EQ37)</f>
        <v>0</v>
      </c>
      <c r="BV32" s="171">
        <f>SUMIF('CF(M)'!$L$10:$EQ$10,BV$6,'CF(M)'!$L37:$EQ37)</f>
        <v>0</v>
      </c>
      <c r="BW32" s="171">
        <f>SUMIF('CF(M)'!$L$10:$EQ$10,BW$6,'CF(M)'!$L37:$EQ37)</f>
        <v>0</v>
      </c>
      <c r="BX32" s="171">
        <f>SUMIF('CF(M)'!$L$10:$EQ$10,BX$6,'CF(M)'!$L37:$EQ37)</f>
        <v>0</v>
      </c>
      <c r="BY32" s="171">
        <f>SUMIF('CF(M)'!$L$10:$EQ$10,BY$6,'CF(M)'!$L37:$EQ37)</f>
        <v>0</v>
      </c>
      <c r="BZ32" s="171">
        <f>SUMIF('CF(M)'!$L$10:$EQ$10,BZ$6,'CF(M)'!$L37:$EQ37)</f>
        <v>0</v>
      </c>
      <c r="CA32" s="171">
        <f>SUMIF('CF(M)'!$L$10:$EQ$10,CA$6,'CF(M)'!$L37:$EQ37)</f>
        <v>0</v>
      </c>
      <c r="CB32" s="171">
        <f>SUMIF('CF(M)'!$L$10:$EQ$10,CB$6,'CF(M)'!$L37:$EQ37)</f>
        <v>0</v>
      </c>
      <c r="CC32" s="171">
        <f>SUMIF('CF(M)'!$L$10:$EQ$10,CC$6,'CF(M)'!$L37:$EQ37)</f>
        <v>0</v>
      </c>
      <c r="CD32" s="171">
        <f>SUMIF('CF(M)'!$L$10:$EQ$10,CD$6,'CF(M)'!$L37:$EQ37)</f>
        <v>0</v>
      </c>
      <c r="CE32" s="171">
        <f>SUMIF('CF(M)'!$L$10:$EQ$10,CE$6,'CF(M)'!$L37:$EQ37)</f>
        <v>0</v>
      </c>
      <c r="CF32" s="171">
        <f>SUMIF('CF(M)'!$L$10:$EQ$10,CF$6,'CF(M)'!$L37:$EQ37)</f>
        <v>0</v>
      </c>
      <c r="CG32" s="171">
        <f>SUMIF('CF(M)'!$L$10:$EQ$10,CG$6,'CF(M)'!$L37:$EQ37)</f>
        <v>0</v>
      </c>
      <c r="CH32" s="171">
        <f>SUMIF('CF(M)'!$L$10:$EQ$10,CH$6,'CF(M)'!$L37:$EQ37)</f>
        <v>0</v>
      </c>
      <c r="CI32" s="171">
        <f>SUMIF('CF(M)'!$L$10:$EQ$10,CI$6,'CF(M)'!$L37:$EQ37)</f>
        <v>0</v>
      </c>
      <c r="CJ32" s="171">
        <f>SUMIF('CF(M)'!$L$10:$EQ$10,CJ$6,'CF(M)'!$L37:$EQ37)</f>
        <v>0</v>
      </c>
      <c r="CK32" s="171">
        <f>SUMIF('CF(M)'!$L$10:$EQ$10,CK$6,'CF(M)'!$L37:$EQ37)</f>
        <v>0</v>
      </c>
      <c r="CL32" s="171">
        <f>SUMIF('CF(M)'!$L$10:$EQ$10,CL$6,'CF(M)'!$L37:$EQ37)</f>
        <v>0</v>
      </c>
      <c r="CM32" s="171">
        <f>SUMIF('CF(M)'!$L$10:$EQ$10,CM$6,'CF(M)'!$L37:$EQ37)</f>
        <v>0</v>
      </c>
      <c r="CN32" s="171">
        <f>SUMIF('CF(M)'!$L$10:$EQ$10,CN$6,'CF(M)'!$L37:$EQ37)</f>
        <v>0</v>
      </c>
      <c r="CO32" s="171">
        <f>SUMIF('CF(M)'!$L$10:$EQ$10,CO$6,'CF(M)'!$L37:$EQ37)</f>
        <v>0</v>
      </c>
      <c r="CP32" s="171">
        <f>SUMIF('CF(M)'!$L$10:$EQ$10,CP$6,'CF(M)'!$L37:$EQ37)</f>
        <v>0</v>
      </c>
      <c r="CQ32" s="171">
        <f>SUMIF('CF(M)'!$L$10:$EQ$10,CQ$6,'CF(M)'!$L37:$EQ37)</f>
        <v>0</v>
      </c>
      <c r="CR32" s="171">
        <f>SUMIF('CF(M)'!$L$10:$EQ$10,CR$6,'CF(M)'!$L37:$EQ37)</f>
        <v>0</v>
      </c>
      <c r="CS32" s="171">
        <f>SUMIF('CF(M)'!$L$10:$EQ$10,CS$6,'CF(M)'!$L37:$EQ37)</f>
        <v>0</v>
      </c>
      <c r="CT32" s="171">
        <f>SUMIF('CF(M)'!$L$10:$EQ$10,CT$6,'CF(M)'!$L37:$EQ37)</f>
        <v>0</v>
      </c>
      <c r="CU32" s="171">
        <f>SUMIF('CF(M)'!$L$10:$EQ$10,CU$6,'CF(M)'!$L37:$EQ37)</f>
        <v>0</v>
      </c>
      <c r="CV32" s="171">
        <f>SUMIF('CF(M)'!$L$10:$EQ$10,CV$6,'CF(M)'!$L37:$EQ37)</f>
        <v>0</v>
      </c>
      <c r="CW32" s="171">
        <f>SUMIF('CF(M)'!$L$10:$EQ$10,CW$6,'CF(M)'!$L37:$EQ37)</f>
        <v>0</v>
      </c>
      <c r="CX32" s="171">
        <f>SUMIF('CF(M)'!$L$10:$EQ$10,CX$6,'CF(M)'!$L37:$EQ37)</f>
        <v>0</v>
      </c>
      <c r="CY32" s="171">
        <f>SUMIF('CF(M)'!$L$10:$EQ$10,CY$6,'CF(M)'!$L37:$EQ37)</f>
        <v>0</v>
      </c>
      <c r="CZ32" s="171">
        <f>SUMIF('CF(M)'!$L$10:$EQ$10,CZ$6,'CF(M)'!$L37:$EQ37)</f>
        <v>0</v>
      </c>
      <c r="DA32" s="171">
        <f>SUMIF('CF(M)'!$L$10:$EQ$10,DA$6,'CF(M)'!$L37:$EQ37)</f>
        <v>0</v>
      </c>
      <c r="DB32" s="171">
        <f>SUMIF('CF(M)'!$L$10:$EQ$10,DB$6,'CF(M)'!$L37:$EQ37)</f>
        <v>0</v>
      </c>
      <c r="DC32" s="171">
        <f>SUMIF('CF(M)'!$L$10:$EQ$10,DC$6,'CF(M)'!$L37:$EQ37)</f>
        <v>0</v>
      </c>
      <c r="DD32" s="171">
        <f>SUMIF('CF(M)'!$L$10:$EQ$10,DD$6,'CF(M)'!$L37:$EQ37)</f>
        <v>0</v>
      </c>
      <c r="DE32" s="171">
        <f>SUMIF('CF(M)'!$L$10:$EQ$10,DE$6,'CF(M)'!$L37:$EQ37)</f>
        <v>0</v>
      </c>
      <c r="DF32" s="171">
        <f>SUMIF('CF(M)'!$L$10:$EQ$10,DF$6,'CF(M)'!$L37:$EQ37)</f>
        <v>0</v>
      </c>
      <c r="DG32" s="171">
        <f>SUMIF('CF(M)'!$L$10:$EQ$10,DG$6,'CF(M)'!$L37:$EQ37)</f>
        <v>0</v>
      </c>
      <c r="DH32" s="171">
        <f>SUMIF('CF(M)'!$L$10:$EQ$10,DH$6,'CF(M)'!$L37:$EQ37)</f>
        <v>0</v>
      </c>
      <c r="DI32" s="171">
        <f>SUMIF('CF(M)'!$L$10:$EQ$10,DI$6,'CF(M)'!$L37:$EQ37)</f>
        <v>0</v>
      </c>
      <c r="DJ32" s="171">
        <f>SUMIF('CF(M)'!$L$10:$EQ$10,DJ$6,'CF(M)'!$L37:$EQ37)</f>
        <v>0</v>
      </c>
      <c r="DK32" s="171">
        <f>SUMIF('CF(M)'!$L$10:$EQ$10,DK$6,'CF(M)'!$L37:$EQ37)</f>
        <v>0</v>
      </c>
      <c r="DL32" s="171">
        <f>SUMIF('CF(M)'!$L$10:$EQ$10,DL$6,'CF(M)'!$L37:$EQ37)</f>
        <v>0</v>
      </c>
      <c r="DM32" s="171">
        <f>SUMIF('CF(M)'!$L$10:$EQ$10,DM$6,'CF(M)'!$L37:$EQ37)</f>
        <v>0</v>
      </c>
      <c r="DN32" s="171">
        <f>SUMIF('CF(M)'!$L$10:$EQ$10,DN$6,'CF(M)'!$L37:$EQ37)</f>
        <v>0</v>
      </c>
      <c r="DO32" s="171">
        <f>SUMIF('CF(M)'!$L$10:$EQ$10,DO$6,'CF(M)'!$L37:$EQ37)</f>
        <v>0</v>
      </c>
      <c r="DP32" s="171">
        <f>SUMIF('CF(M)'!$L$10:$EQ$10,DP$6,'CF(M)'!$L37:$EQ37)</f>
        <v>0</v>
      </c>
      <c r="DQ32" s="171">
        <f>SUMIF('CF(M)'!$L$10:$EQ$10,DQ$6,'CF(M)'!$L37:$EQ37)</f>
        <v>0</v>
      </c>
      <c r="DR32" s="171">
        <f>SUMIF('CF(M)'!$L$10:$EQ$10,DR$6,'CF(M)'!$L37:$EQ37)</f>
        <v>0</v>
      </c>
      <c r="DS32" s="171">
        <f>SUMIF('CF(M)'!$L$10:$EQ$10,DS$6,'CF(M)'!$L37:$EQ37)</f>
        <v>0</v>
      </c>
      <c r="DT32" s="171">
        <f>SUMIF('CF(M)'!$L$10:$EQ$10,DT$6,'CF(M)'!$L37:$EQ37)</f>
        <v>0</v>
      </c>
      <c r="DU32" s="171">
        <f>SUMIF('CF(M)'!$L$10:$EQ$10,DU$6,'CF(M)'!$L37:$EQ37)</f>
        <v>0</v>
      </c>
      <c r="DV32" s="171">
        <f>SUMIF('CF(M)'!$L$10:$EQ$10,DV$6,'CF(M)'!$L37:$EQ37)</f>
        <v>0</v>
      </c>
    </row>
    <row r="33" spans="2:126" ht="11.25" customHeight="1">
      <c r="B33" s="218"/>
      <c r="C33" s="163"/>
      <c r="D33" s="169" t="s">
        <v>192</v>
      </c>
      <c r="H33" s="146"/>
      <c r="I33" s="13"/>
      <c r="J33" s="171">
        <f t="shared" si="8"/>
        <v>-260348.4087102178</v>
      </c>
      <c r="K33" s="98"/>
      <c r="L33" s="171">
        <f>SUMIF('CF(M)'!$L$10:$EQ$10,L$6,'CF(M)'!$L38:$EQ38)</f>
        <v>0</v>
      </c>
      <c r="M33" s="171">
        <f>SUMIF('CF(M)'!$L$10:$EQ$10,M$6,'CF(M)'!$L38:$EQ38)</f>
        <v>-13017.420435510887</v>
      </c>
      <c r="N33" s="171">
        <f>SUMIF('CF(M)'!$L$10:$EQ$10,N$6,'CF(M)'!$L38:$EQ38)</f>
        <v>-13017.420435510887</v>
      </c>
      <c r="O33" s="171">
        <f>SUMIF('CF(M)'!$L$10:$EQ$10,O$6,'CF(M)'!$L38:$EQ38)</f>
        <v>-13017.420435510887</v>
      </c>
      <c r="P33" s="171">
        <f>SUMIF('CF(M)'!$L$10:$EQ$10,P$6,'CF(M)'!$L38:$EQ38)</f>
        <v>-13017.420435510887</v>
      </c>
      <c r="Q33" s="171">
        <f>SUMIF('CF(M)'!$L$10:$EQ$10,Q$6,'CF(M)'!$L38:$EQ38)</f>
        <v>-13017.420435510887</v>
      </c>
      <c r="R33" s="171">
        <f>SUMIF('CF(M)'!$L$10:$EQ$10,R$6,'CF(M)'!$L38:$EQ38)</f>
        <v>-13017.420435510887</v>
      </c>
      <c r="S33" s="171">
        <f>SUMIF('CF(M)'!$L$10:$EQ$10,S$6,'CF(M)'!$L38:$EQ38)</f>
        <v>-13017.420435510887</v>
      </c>
      <c r="T33" s="171">
        <f>SUMIF('CF(M)'!$L$10:$EQ$10,T$6,'CF(M)'!$L38:$EQ38)</f>
        <v>-13017.420435510887</v>
      </c>
      <c r="U33" s="171">
        <f>SUMIF('CF(M)'!$L$10:$EQ$10,U$6,'CF(M)'!$L38:$EQ38)</f>
        <v>-13017.420435510887</v>
      </c>
      <c r="V33" s="171">
        <f>SUMIF('CF(M)'!$L$10:$EQ$10,V$6,'CF(M)'!$L38:$EQ38)</f>
        <v>-13017.420435510887</v>
      </c>
      <c r="W33" s="171">
        <f>SUMIF('CF(M)'!$L$10:$EQ$10,W$6,'CF(M)'!$L38:$EQ38)</f>
        <v>-13017.420435510887</v>
      </c>
      <c r="X33" s="171">
        <f>SUMIF('CF(M)'!$L$10:$EQ$10,X$6,'CF(M)'!$L38:$EQ38)</f>
        <v>-13017.420435510887</v>
      </c>
      <c r="Y33" s="171">
        <f>SUMIF('CF(M)'!$L$10:$EQ$10,Y$6,'CF(M)'!$L38:$EQ38)</f>
        <v>-13017.420435510887</v>
      </c>
      <c r="Z33" s="171">
        <f>SUMIF('CF(M)'!$L$10:$EQ$10,Z$6,'CF(M)'!$L38:$EQ38)</f>
        <v>-13017.420435510887</v>
      </c>
      <c r="AA33" s="171">
        <f>SUMIF('CF(M)'!$L$10:$EQ$10,AA$6,'CF(M)'!$L38:$EQ38)</f>
        <v>-13017.420435510887</v>
      </c>
      <c r="AB33" s="171">
        <f>SUMIF('CF(M)'!$L$10:$EQ$10,AB$6,'CF(M)'!$L38:$EQ38)</f>
        <v>-13017.420435510887</v>
      </c>
      <c r="AC33" s="171">
        <f>SUMIF('CF(M)'!$L$10:$EQ$10,AC$6,'CF(M)'!$L38:$EQ38)</f>
        <v>-13017.420435510887</v>
      </c>
      <c r="AD33" s="171">
        <f>SUMIF('CF(M)'!$L$10:$EQ$10,AD$6,'CF(M)'!$L38:$EQ38)</f>
        <v>-13017.420435510887</v>
      </c>
      <c r="AE33" s="171">
        <f>SUMIF('CF(M)'!$L$10:$EQ$10,AE$6,'CF(M)'!$L38:$EQ38)</f>
        <v>-13017.420435510887</v>
      </c>
      <c r="AF33" s="171">
        <f>SUMIF('CF(M)'!$L$10:$EQ$10,AF$6,'CF(M)'!$L38:$EQ38)</f>
        <v>-13017.420435510887</v>
      </c>
      <c r="AG33" s="171">
        <f>SUMIF('CF(M)'!$L$10:$EQ$10,AG$6,'CF(M)'!$L38:$EQ38)</f>
        <v>0</v>
      </c>
      <c r="AH33" s="171">
        <f>SUMIF('CF(M)'!$L$10:$EQ$10,AH$6,'CF(M)'!$L38:$EQ38)</f>
        <v>0</v>
      </c>
      <c r="AI33" s="171">
        <f>SUMIF('CF(M)'!$L$10:$EQ$10,AI$6,'CF(M)'!$L38:$EQ38)</f>
        <v>0</v>
      </c>
      <c r="AJ33" s="171">
        <f>SUMIF('CF(M)'!$L$10:$EQ$10,AJ$6,'CF(M)'!$L38:$EQ38)</f>
        <v>0</v>
      </c>
      <c r="AK33" s="171">
        <f>SUMIF('CF(M)'!$L$10:$EQ$10,AK$6,'CF(M)'!$L38:$EQ38)</f>
        <v>0</v>
      </c>
      <c r="AL33" s="171">
        <f>SUMIF('CF(M)'!$L$10:$EQ$10,AL$6,'CF(M)'!$L38:$EQ38)</f>
        <v>0</v>
      </c>
      <c r="AM33" s="171">
        <f>SUMIF('CF(M)'!$L$10:$EQ$10,AM$6,'CF(M)'!$L38:$EQ38)</f>
        <v>0</v>
      </c>
      <c r="AN33" s="171">
        <f>SUMIF('CF(M)'!$L$10:$EQ$10,AN$6,'CF(M)'!$L38:$EQ38)</f>
        <v>0</v>
      </c>
      <c r="AO33" s="171">
        <f>SUMIF('CF(M)'!$L$10:$EQ$10,AO$6,'CF(M)'!$L38:$EQ38)</f>
        <v>0</v>
      </c>
      <c r="AP33" s="171">
        <f>SUMIF('CF(M)'!$L$10:$EQ$10,AP$6,'CF(M)'!$L38:$EQ38)</f>
        <v>0</v>
      </c>
      <c r="AQ33" s="171">
        <f>SUMIF('CF(M)'!$L$10:$EQ$10,AQ$6,'CF(M)'!$L38:$EQ38)</f>
        <v>0</v>
      </c>
      <c r="AR33" s="171">
        <f>SUMIF('CF(M)'!$L$10:$EQ$10,AR$6,'CF(M)'!$L38:$EQ38)</f>
        <v>0</v>
      </c>
      <c r="AS33" s="171">
        <f>SUMIF('CF(M)'!$L$10:$EQ$10,AS$6,'CF(M)'!$L38:$EQ38)</f>
        <v>0</v>
      </c>
      <c r="AT33" s="171">
        <f>SUMIF('CF(M)'!$L$10:$EQ$10,AT$6,'CF(M)'!$L38:$EQ38)</f>
        <v>0</v>
      </c>
      <c r="AU33" s="171">
        <f>SUMIF('CF(M)'!$L$10:$EQ$10,AU$6,'CF(M)'!$L38:$EQ38)</f>
        <v>0</v>
      </c>
      <c r="AV33" s="171">
        <f>SUMIF('CF(M)'!$L$10:$EQ$10,AV$6,'CF(M)'!$L38:$EQ38)</f>
        <v>0</v>
      </c>
      <c r="AW33" s="171">
        <f>SUMIF('CF(M)'!$L$10:$EQ$10,AW$6,'CF(M)'!$L38:$EQ38)</f>
        <v>0</v>
      </c>
      <c r="AX33" s="171">
        <f>SUMIF('CF(M)'!$L$10:$EQ$10,AX$6,'CF(M)'!$L38:$EQ38)</f>
        <v>0</v>
      </c>
      <c r="AY33" s="171">
        <f>SUMIF('CF(M)'!$L$10:$EQ$10,AY$6,'CF(M)'!$L38:$EQ38)</f>
        <v>0</v>
      </c>
      <c r="AZ33" s="171">
        <f>SUMIF('CF(M)'!$L$10:$EQ$10,AZ$6,'CF(M)'!$L38:$EQ38)</f>
        <v>0</v>
      </c>
      <c r="BA33" s="171">
        <f>SUMIF('CF(M)'!$L$10:$EQ$10,BA$6,'CF(M)'!$L38:$EQ38)</f>
        <v>0</v>
      </c>
      <c r="BB33" s="171">
        <f>SUMIF('CF(M)'!$L$10:$EQ$10,BB$6,'CF(M)'!$L38:$EQ38)</f>
        <v>0</v>
      </c>
      <c r="BC33" s="171">
        <f>SUMIF('CF(M)'!$L$10:$EQ$10,BC$6,'CF(M)'!$L38:$EQ38)</f>
        <v>0</v>
      </c>
      <c r="BD33" s="171">
        <f>SUMIF('CF(M)'!$L$10:$EQ$10,BD$6,'CF(M)'!$L38:$EQ38)</f>
        <v>0</v>
      </c>
      <c r="BE33" s="171">
        <f>SUMIF('CF(M)'!$L$10:$EQ$10,BE$6,'CF(M)'!$L38:$EQ38)</f>
        <v>0</v>
      </c>
      <c r="BF33" s="171">
        <f>SUMIF('CF(M)'!$L$10:$EQ$10,BF$6,'CF(M)'!$L38:$EQ38)</f>
        <v>0</v>
      </c>
      <c r="BG33" s="171">
        <f>SUMIF('CF(M)'!$L$10:$EQ$10,BG$6,'CF(M)'!$L38:$EQ38)</f>
        <v>0</v>
      </c>
      <c r="BH33" s="171">
        <f>SUMIF('CF(M)'!$L$10:$EQ$10,BH$6,'CF(M)'!$L38:$EQ38)</f>
        <v>0</v>
      </c>
      <c r="BI33" s="171">
        <f>SUMIF('CF(M)'!$L$10:$EQ$10,BI$6,'CF(M)'!$L38:$EQ38)</f>
        <v>0</v>
      </c>
      <c r="BJ33" s="171">
        <f>SUMIF('CF(M)'!$L$10:$EQ$10,BJ$6,'CF(M)'!$L38:$EQ38)</f>
        <v>0</v>
      </c>
      <c r="BK33" s="171">
        <f>SUMIF('CF(M)'!$L$10:$EQ$10,BK$6,'CF(M)'!$L38:$EQ38)</f>
        <v>0</v>
      </c>
      <c r="BL33" s="171">
        <f>SUMIF('CF(M)'!$L$10:$EQ$10,BL$6,'CF(M)'!$L38:$EQ38)</f>
        <v>0</v>
      </c>
      <c r="BM33" s="171">
        <f>SUMIF('CF(M)'!$L$10:$EQ$10,BM$6,'CF(M)'!$L38:$EQ38)</f>
        <v>0</v>
      </c>
      <c r="BN33" s="171">
        <f>SUMIF('CF(M)'!$L$10:$EQ$10,BN$6,'CF(M)'!$L38:$EQ38)</f>
        <v>0</v>
      </c>
      <c r="BO33" s="171">
        <f>SUMIF('CF(M)'!$L$10:$EQ$10,BO$6,'CF(M)'!$L38:$EQ38)</f>
        <v>0</v>
      </c>
      <c r="BP33" s="171">
        <f>SUMIF('CF(M)'!$L$10:$EQ$10,BP$6,'CF(M)'!$L38:$EQ38)</f>
        <v>0</v>
      </c>
      <c r="BQ33" s="171">
        <f>SUMIF('CF(M)'!$L$10:$EQ$10,BQ$6,'CF(M)'!$L38:$EQ38)</f>
        <v>0</v>
      </c>
      <c r="BR33" s="171">
        <f>SUMIF('CF(M)'!$L$10:$EQ$10,BR$6,'CF(M)'!$L38:$EQ38)</f>
        <v>0</v>
      </c>
      <c r="BS33" s="171">
        <f>SUMIF('CF(M)'!$L$10:$EQ$10,BS$6,'CF(M)'!$L38:$EQ38)</f>
        <v>0</v>
      </c>
      <c r="BT33" s="171">
        <f>SUMIF('CF(M)'!$L$10:$EQ$10,BT$6,'CF(M)'!$L38:$EQ38)</f>
        <v>0</v>
      </c>
      <c r="BU33" s="171">
        <f>SUMIF('CF(M)'!$L$10:$EQ$10,BU$6,'CF(M)'!$L38:$EQ38)</f>
        <v>0</v>
      </c>
      <c r="BV33" s="171">
        <f>SUMIF('CF(M)'!$L$10:$EQ$10,BV$6,'CF(M)'!$L38:$EQ38)</f>
        <v>0</v>
      </c>
      <c r="BW33" s="171">
        <f>SUMIF('CF(M)'!$L$10:$EQ$10,BW$6,'CF(M)'!$L38:$EQ38)</f>
        <v>0</v>
      </c>
      <c r="BX33" s="171">
        <f>SUMIF('CF(M)'!$L$10:$EQ$10,BX$6,'CF(M)'!$L38:$EQ38)</f>
        <v>0</v>
      </c>
      <c r="BY33" s="171">
        <f>SUMIF('CF(M)'!$L$10:$EQ$10,BY$6,'CF(M)'!$L38:$EQ38)</f>
        <v>0</v>
      </c>
      <c r="BZ33" s="171">
        <f>SUMIF('CF(M)'!$L$10:$EQ$10,BZ$6,'CF(M)'!$L38:$EQ38)</f>
        <v>0</v>
      </c>
      <c r="CA33" s="171">
        <f>SUMIF('CF(M)'!$L$10:$EQ$10,CA$6,'CF(M)'!$L38:$EQ38)</f>
        <v>0</v>
      </c>
      <c r="CB33" s="171">
        <f>SUMIF('CF(M)'!$L$10:$EQ$10,CB$6,'CF(M)'!$L38:$EQ38)</f>
        <v>0</v>
      </c>
      <c r="CC33" s="171">
        <f>SUMIF('CF(M)'!$L$10:$EQ$10,CC$6,'CF(M)'!$L38:$EQ38)</f>
        <v>0</v>
      </c>
      <c r="CD33" s="171">
        <f>SUMIF('CF(M)'!$L$10:$EQ$10,CD$6,'CF(M)'!$L38:$EQ38)</f>
        <v>0</v>
      </c>
      <c r="CE33" s="171">
        <f>SUMIF('CF(M)'!$L$10:$EQ$10,CE$6,'CF(M)'!$L38:$EQ38)</f>
        <v>0</v>
      </c>
      <c r="CF33" s="171">
        <f>SUMIF('CF(M)'!$L$10:$EQ$10,CF$6,'CF(M)'!$L38:$EQ38)</f>
        <v>0</v>
      </c>
      <c r="CG33" s="171">
        <f>SUMIF('CF(M)'!$L$10:$EQ$10,CG$6,'CF(M)'!$L38:$EQ38)</f>
        <v>0</v>
      </c>
      <c r="CH33" s="171">
        <f>SUMIF('CF(M)'!$L$10:$EQ$10,CH$6,'CF(M)'!$L38:$EQ38)</f>
        <v>0</v>
      </c>
      <c r="CI33" s="171">
        <f>SUMIF('CF(M)'!$L$10:$EQ$10,CI$6,'CF(M)'!$L38:$EQ38)</f>
        <v>0</v>
      </c>
      <c r="CJ33" s="171">
        <f>SUMIF('CF(M)'!$L$10:$EQ$10,CJ$6,'CF(M)'!$L38:$EQ38)</f>
        <v>0</v>
      </c>
      <c r="CK33" s="171">
        <f>SUMIF('CF(M)'!$L$10:$EQ$10,CK$6,'CF(M)'!$L38:$EQ38)</f>
        <v>0</v>
      </c>
      <c r="CL33" s="171">
        <f>SUMIF('CF(M)'!$L$10:$EQ$10,CL$6,'CF(M)'!$L38:$EQ38)</f>
        <v>0</v>
      </c>
      <c r="CM33" s="171">
        <f>SUMIF('CF(M)'!$L$10:$EQ$10,CM$6,'CF(M)'!$L38:$EQ38)</f>
        <v>0</v>
      </c>
      <c r="CN33" s="171">
        <f>SUMIF('CF(M)'!$L$10:$EQ$10,CN$6,'CF(M)'!$L38:$EQ38)</f>
        <v>0</v>
      </c>
      <c r="CO33" s="171">
        <f>SUMIF('CF(M)'!$L$10:$EQ$10,CO$6,'CF(M)'!$L38:$EQ38)</f>
        <v>0</v>
      </c>
      <c r="CP33" s="171">
        <f>SUMIF('CF(M)'!$L$10:$EQ$10,CP$6,'CF(M)'!$L38:$EQ38)</f>
        <v>0</v>
      </c>
      <c r="CQ33" s="171">
        <f>SUMIF('CF(M)'!$L$10:$EQ$10,CQ$6,'CF(M)'!$L38:$EQ38)</f>
        <v>0</v>
      </c>
      <c r="CR33" s="171">
        <f>SUMIF('CF(M)'!$L$10:$EQ$10,CR$6,'CF(M)'!$L38:$EQ38)</f>
        <v>0</v>
      </c>
      <c r="CS33" s="171">
        <f>SUMIF('CF(M)'!$L$10:$EQ$10,CS$6,'CF(M)'!$L38:$EQ38)</f>
        <v>0</v>
      </c>
      <c r="CT33" s="171">
        <f>SUMIF('CF(M)'!$L$10:$EQ$10,CT$6,'CF(M)'!$L38:$EQ38)</f>
        <v>0</v>
      </c>
      <c r="CU33" s="171">
        <f>SUMIF('CF(M)'!$L$10:$EQ$10,CU$6,'CF(M)'!$L38:$EQ38)</f>
        <v>0</v>
      </c>
      <c r="CV33" s="171">
        <f>SUMIF('CF(M)'!$L$10:$EQ$10,CV$6,'CF(M)'!$L38:$EQ38)</f>
        <v>0</v>
      </c>
      <c r="CW33" s="171">
        <f>SUMIF('CF(M)'!$L$10:$EQ$10,CW$6,'CF(M)'!$L38:$EQ38)</f>
        <v>0</v>
      </c>
      <c r="CX33" s="171">
        <f>SUMIF('CF(M)'!$L$10:$EQ$10,CX$6,'CF(M)'!$L38:$EQ38)</f>
        <v>0</v>
      </c>
      <c r="CY33" s="171">
        <f>SUMIF('CF(M)'!$L$10:$EQ$10,CY$6,'CF(M)'!$L38:$EQ38)</f>
        <v>0</v>
      </c>
      <c r="CZ33" s="171">
        <f>SUMIF('CF(M)'!$L$10:$EQ$10,CZ$6,'CF(M)'!$L38:$EQ38)</f>
        <v>0</v>
      </c>
      <c r="DA33" s="171">
        <f>SUMIF('CF(M)'!$L$10:$EQ$10,DA$6,'CF(M)'!$L38:$EQ38)</f>
        <v>0</v>
      </c>
      <c r="DB33" s="171">
        <f>SUMIF('CF(M)'!$L$10:$EQ$10,DB$6,'CF(M)'!$L38:$EQ38)</f>
        <v>0</v>
      </c>
      <c r="DC33" s="171">
        <f>SUMIF('CF(M)'!$L$10:$EQ$10,DC$6,'CF(M)'!$L38:$EQ38)</f>
        <v>0</v>
      </c>
      <c r="DD33" s="171">
        <f>SUMIF('CF(M)'!$L$10:$EQ$10,DD$6,'CF(M)'!$L38:$EQ38)</f>
        <v>0</v>
      </c>
      <c r="DE33" s="171">
        <f>SUMIF('CF(M)'!$L$10:$EQ$10,DE$6,'CF(M)'!$L38:$EQ38)</f>
        <v>0</v>
      </c>
      <c r="DF33" s="171">
        <f>SUMIF('CF(M)'!$L$10:$EQ$10,DF$6,'CF(M)'!$L38:$EQ38)</f>
        <v>0</v>
      </c>
      <c r="DG33" s="171">
        <f>SUMIF('CF(M)'!$L$10:$EQ$10,DG$6,'CF(M)'!$L38:$EQ38)</f>
        <v>0</v>
      </c>
      <c r="DH33" s="171">
        <f>SUMIF('CF(M)'!$L$10:$EQ$10,DH$6,'CF(M)'!$L38:$EQ38)</f>
        <v>0</v>
      </c>
      <c r="DI33" s="171">
        <f>SUMIF('CF(M)'!$L$10:$EQ$10,DI$6,'CF(M)'!$L38:$EQ38)</f>
        <v>0</v>
      </c>
      <c r="DJ33" s="171">
        <f>SUMIF('CF(M)'!$L$10:$EQ$10,DJ$6,'CF(M)'!$L38:$EQ38)</f>
        <v>0</v>
      </c>
      <c r="DK33" s="171">
        <f>SUMIF('CF(M)'!$L$10:$EQ$10,DK$6,'CF(M)'!$L38:$EQ38)</f>
        <v>0</v>
      </c>
      <c r="DL33" s="171">
        <f>SUMIF('CF(M)'!$L$10:$EQ$10,DL$6,'CF(M)'!$L38:$EQ38)</f>
        <v>0</v>
      </c>
      <c r="DM33" s="171">
        <f>SUMIF('CF(M)'!$L$10:$EQ$10,DM$6,'CF(M)'!$L38:$EQ38)</f>
        <v>0</v>
      </c>
      <c r="DN33" s="171">
        <f>SUMIF('CF(M)'!$L$10:$EQ$10,DN$6,'CF(M)'!$L38:$EQ38)</f>
        <v>0</v>
      </c>
      <c r="DO33" s="171">
        <f>SUMIF('CF(M)'!$L$10:$EQ$10,DO$6,'CF(M)'!$L38:$EQ38)</f>
        <v>0</v>
      </c>
      <c r="DP33" s="171">
        <f>SUMIF('CF(M)'!$L$10:$EQ$10,DP$6,'CF(M)'!$L38:$EQ38)</f>
        <v>0</v>
      </c>
      <c r="DQ33" s="171">
        <f>SUMIF('CF(M)'!$L$10:$EQ$10,DQ$6,'CF(M)'!$L38:$EQ38)</f>
        <v>0</v>
      </c>
      <c r="DR33" s="171">
        <f>SUMIF('CF(M)'!$L$10:$EQ$10,DR$6,'CF(M)'!$L38:$EQ38)</f>
        <v>0</v>
      </c>
      <c r="DS33" s="171">
        <f>SUMIF('CF(M)'!$L$10:$EQ$10,DS$6,'CF(M)'!$L38:$EQ38)</f>
        <v>0</v>
      </c>
      <c r="DT33" s="171">
        <f>SUMIF('CF(M)'!$L$10:$EQ$10,DT$6,'CF(M)'!$L38:$EQ38)</f>
        <v>0</v>
      </c>
      <c r="DU33" s="171">
        <f>SUMIF('CF(M)'!$L$10:$EQ$10,DU$6,'CF(M)'!$L38:$EQ38)</f>
        <v>0</v>
      </c>
      <c r="DV33" s="171">
        <f>SUMIF('CF(M)'!$L$10:$EQ$10,DV$6,'CF(M)'!$L38:$EQ38)</f>
        <v>0</v>
      </c>
    </row>
    <row r="34" spans="2:126" ht="11.25" customHeight="1">
      <c r="B34" s="218"/>
      <c r="C34" s="163"/>
      <c r="D34" s="169" t="s">
        <v>533</v>
      </c>
      <c r="H34" s="146"/>
      <c r="I34" s="13"/>
      <c r="J34" s="171">
        <f t="shared" si="8"/>
        <v>-788379.9119811256</v>
      </c>
      <c r="K34" s="98"/>
      <c r="L34" s="171">
        <f>SUMIF('CF(M)'!$L$10:$EQ$10,L$6,'CF(M)'!$L39:$EQ39)</f>
        <v>0</v>
      </c>
      <c r="M34" s="171">
        <f>SUMIF('CF(M)'!$L$10:$EQ$10,M$6,'CF(M)'!$L39:$EQ39)</f>
        <v>-36000</v>
      </c>
      <c r="N34" s="171">
        <f>SUMIF('CF(M)'!$L$10:$EQ$10,N$6,'CF(M)'!$L39:$EQ39)</f>
        <v>-36000</v>
      </c>
      <c r="O34" s="171">
        <f>SUMIF('CF(M)'!$L$10:$EQ$10,O$6,'CF(M)'!$L39:$EQ39)</f>
        <v>-36720</v>
      </c>
      <c r="P34" s="171">
        <f>SUMIF('CF(M)'!$L$10:$EQ$10,P$6,'CF(M)'!$L39:$EQ39)</f>
        <v>-36720</v>
      </c>
      <c r="Q34" s="171">
        <f>SUMIF('CF(M)'!$L$10:$EQ$10,Q$6,'CF(M)'!$L39:$EQ39)</f>
        <v>-37454.400000000001</v>
      </c>
      <c r="R34" s="171">
        <f>SUMIF('CF(M)'!$L$10:$EQ$10,R$6,'CF(M)'!$L39:$EQ39)</f>
        <v>-37454.400000000001</v>
      </c>
      <c r="S34" s="171">
        <f>SUMIF('CF(M)'!$L$10:$EQ$10,S$6,'CF(M)'!$L39:$EQ39)</f>
        <v>-38203.487999999998</v>
      </c>
      <c r="T34" s="171">
        <f>SUMIF('CF(M)'!$L$10:$EQ$10,T$6,'CF(M)'!$L39:$EQ39)</f>
        <v>-38203.487999999998</v>
      </c>
      <c r="U34" s="171">
        <f>SUMIF('CF(M)'!$L$10:$EQ$10,U$6,'CF(M)'!$L39:$EQ39)</f>
        <v>-38967.557760000003</v>
      </c>
      <c r="V34" s="171">
        <f>SUMIF('CF(M)'!$L$10:$EQ$10,V$6,'CF(M)'!$L39:$EQ39)</f>
        <v>-38967.557760000003</v>
      </c>
      <c r="W34" s="171">
        <f>SUMIF('CF(M)'!$L$10:$EQ$10,W$6,'CF(M)'!$L39:$EQ39)</f>
        <v>-39746.908915200002</v>
      </c>
      <c r="X34" s="171">
        <f>SUMIF('CF(M)'!$L$10:$EQ$10,X$6,'CF(M)'!$L39:$EQ39)</f>
        <v>-39746.908915200002</v>
      </c>
      <c r="Y34" s="171">
        <f>SUMIF('CF(M)'!$L$10:$EQ$10,Y$6,'CF(M)'!$L39:$EQ39)</f>
        <v>-40541.847093504002</v>
      </c>
      <c r="Z34" s="171">
        <f>SUMIF('CF(M)'!$L$10:$EQ$10,Z$6,'CF(M)'!$L39:$EQ39)</f>
        <v>-40541.847093504002</v>
      </c>
      <c r="AA34" s="171">
        <f>SUMIF('CF(M)'!$L$10:$EQ$10,AA$6,'CF(M)'!$L39:$EQ39)</f>
        <v>-41352.684035374077</v>
      </c>
      <c r="AB34" s="171">
        <f>SUMIF('CF(M)'!$L$10:$EQ$10,AB$6,'CF(M)'!$L39:$EQ39)</f>
        <v>-41352.684035374077</v>
      </c>
      <c r="AC34" s="171">
        <f>SUMIF('CF(M)'!$L$10:$EQ$10,AC$6,'CF(M)'!$L39:$EQ39)</f>
        <v>-42179.737716081559</v>
      </c>
      <c r="AD34" s="171">
        <f>SUMIF('CF(M)'!$L$10:$EQ$10,AD$6,'CF(M)'!$L39:$EQ39)</f>
        <v>-42179.737716081559</v>
      </c>
      <c r="AE34" s="171">
        <f>SUMIF('CF(M)'!$L$10:$EQ$10,AE$6,'CF(M)'!$L39:$EQ39)</f>
        <v>-43023.332470403184</v>
      </c>
      <c r="AF34" s="171">
        <f>SUMIF('CF(M)'!$L$10:$EQ$10,AF$6,'CF(M)'!$L39:$EQ39)</f>
        <v>-43023.332470403184</v>
      </c>
      <c r="AG34" s="171">
        <f>SUMIF('CF(M)'!$L$10:$EQ$10,AG$6,'CF(M)'!$L39:$EQ39)</f>
        <v>0</v>
      </c>
      <c r="AH34" s="171">
        <f>SUMIF('CF(M)'!$L$10:$EQ$10,AH$6,'CF(M)'!$L39:$EQ39)</f>
        <v>0</v>
      </c>
      <c r="AI34" s="171">
        <f>SUMIF('CF(M)'!$L$10:$EQ$10,AI$6,'CF(M)'!$L39:$EQ39)</f>
        <v>0</v>
      </c>
      <c r="AJ34" s="171">
        <f>SUMIF('CF(M)'!$L$10:$EQ$10,AJ$6,'CF(M)'!$L39:$EQ39)</f>
        <v>0</v>
      </c>
      <c r="AK34" s="171">
        <f>SUMIF('CF(M)'!$L$10:$EQ$10,AK$6,'CF(M)'!$L39:$EQ39)</f>
        <v>0</v>
      </c>
      <c r="AL34" s="171">
        <f>SUMIF('CF(M)'!$L$10:$EQ$10,AL$6,'CF(M)'!$L39:$EQ39)</f>
        <v>0</v>
      </c>
      <c r="AM34" s="171">
        <f>SUMIF('CF(M)'!$L$10:$EQ$10,AM$6,'CF(M)'!$L39:$EQ39)</f>
        <v>0</v>
      </c>
      <c r="AN34" s="171">
        <f>SUMIF('CF(M)'!$L$10:$EQ$10,AN$6,'CF(M)'!$L39:$EQ39)</f>
        <v>0</v>
      </c>
      <c r="AO34" s="171">
        <f>SUMIF('CF(M)'!$L$10:$EQ$10,AO$6,'CF(M)'!$L39:$EQ39)</f>
        <v>0</v>
      </c>
      <c r="AP34" s="171">
        <f>SUMIF('CF(M)'!$L$10:$EQ$10,AP$6,'CF(M)'!$L39:$EQ39)</f>
        <v>0</v>
      </c>
      <c r="AQ34" s="171">
        <f>SUMIF('CF(M)'!$L$10:$EQ$10,AQ$6,'CF(M)'!$L39:$EQ39)</f>
        <v>0</v>
      </c>
      <c r="AR34" s="171">
        <f>SUMIF('CF(M)'!$L$10:$EQ$10,AR$6,'CF(M)'!$L39:$EQ39)</f>
        <v>0</v>
      </c>
      <c r="AS34" s="171">
        <f>SUMIF('CF(M)'!$L$10:$EQ$10,AS$6,'CF(M)'!$L39:$EQ39)</f>
        <v>0</v>
      </c>
      <c r="AT34" s="171">
        <f>SUMIF('CF(M)'!$L$10:$EQ$10,AT$6,'CF(M)'!$L39:$EQ39)</f>
        <v>0</v>
      </c>
      <c r="AU34" s="171">
        <f>SUMIF('CF(M)'!$L$10:$EQ$10,AU$6,'CF(M)'!$L39:$EQ39)</f>
        <v>0</v>
      </c>
      <c r="AV34" s="171">
        <f>SUMIF('CF(M)'!$L$10:$EQ$10,AV$6,'CF(M)'!$L39:$EQ39)</f>
        <v>0</v>
      </c>
      <c r="AW34" s="171">
        <f>SUMIF('CF(M)'!$L$10:$EQ$10,AW$6,'CF(M)'!$L39:$EQ39)</f>
        <v>0</v>
      </c>
      <c r="AX34" s="171">
        <f>SUMIF('CF(M)'!$L$10:$EQ$10,AX$6,'CF(M)'!$L39:$EQ39)</f>
        <v>0</v>
      </c>
      <c r="AY34" s="171">
        <f>SUMIF('CF(M)'!$L$10:$EQ$10,AY$6,'CF(M)'!$L39:$EQ39)</f>
        <v>0</v>
      </c>
      <c r="AZ34" s="171">
        <f>SUMIF('CF(M)'!$L$10:$EQ$10,AZ$6,'CF(M)'!$L39:$EQ39)</f>
        <v>0</v>
      </c>
      <c r="BA34" s="171">
        <f>SUMIF('CF(M)'!$L$10:$EQ$10,BA$6,'CF(M)'!$L39:$EQ39)</f>
        <v>0</v>
      </c>
      <c r="BB34" s="171">
        <f>SUMIF('CF(M)'!$L$10:$EQ$10,BB$6,'CF(M)'!$L39:$EQ39)</f>
        <v>0</v>
      </c>
      <c r="BC34" s="171">
        <f>SUMIF('CF(M)'!$L$10:$EQ$10,BC$6,'CF(M)'!$L39:$EQ39)</f>
        <v>0</v>
      </c>
      <c r="BD34" s="171">
        <f>SUMIF('CF(M)'!$L$10:$EQ$10,BD$6,'CF(M)'!$L39:$EQ39)</f>
        <v>0</v>
      </c>
      <c r="BE34" s="171">
        <f>SUMIF('CF(M)'!$L$10:$EQ$10,BE$6,'CF(M)'!$L39:$EQ39)</f>
        <v>0</v>
      </c>
      <c r="BF34" s="171">
        <f>SUMIF('CF(M)'!$L$10:$EQ$10,BF$6,'CF(M)'!$L39:$EQ39)</f>
        <v>0</v>
      </c>
      <c r="BG34" s="171">
        <f>SUMIF('CF(M)'!$L$10:$EQ$10,BG$6,'CF(M)'!$L39:$EQ39)</f>
        <v>0</v>
      </c>
      <c r="BH34" s="171">
        <f>SUMIF('CF(M)'!$L$10:$EQ$10,BH$6,'CF(M)'!$L39:$EQ39)</f>
        <v>0</v>
      </c>
      <c r="BI34" s="171">
        <f>SUMIF('CF(M)'!$L$10:$EQ$10,BI$6,'CF(M)'!$L39:$EQ39)</f>
        <v>0</v>
      </c>
      <c r="BJ34" s="171">
        <f>SUMIF('CF(M)'!$L$10:$EQ$10,BJ$6,'CF(M)'!$L39:$EQ39)</f>
        <v>0</v>
      </c>
      <c r="BK34" s="171">
        <f>SUMIF('CF(M)'!$L$10:$EQ$10,BK$6,'CF(M)'!$L39:$EQ39)</f>
        <v>0</v>
      </c>
      <c r="BL34" s="171">
        <f>SUMIF('CF(M)'!$L$10:$EQ$10,BL$6,'CF(M)'!$L39:$EQ39)</f>
        <v>0</v>
      </c>
      <c r="BM34" s="171">
        <f>SUMIF('CF(M)'!$L$10:$EQ$10,BM$6,'CF(M)'!$L39:$EQ39)</f>
        <v>0</v>
      </c>
      <c r="BN34" s="171">
        <f>SUMIF('CF(M)'!$L$10:$EQ$10,BN$6,'CF(M)'!$L39:$EQ39)</f>
        <v>0</v>
      </c>
      <c r="BO34" s="171">
        <f>SUMIF('CF(M)'!$L$10:$EQ$10,BO$6,'CF(M)'!$L39:$EQ39)</f>
        <v>0</v>
      </c>
      <c r="BP34" s="171">
        <f>SUMIF('CF(M)'!$L$10:$EQ$10,BP$6,'CF(M)'!$L39:$EQ39)</f>
        <v>0</v>
      </c>
      <c r="BQ34" s="171">
        <f>SUMIF('CF(M)'!$L$10:$EQ$10,BQ$6,'CF(M)'!$L39:$EQ39)</f>
        <v>0</v>
      </c>
      <c r="BR34" s="171">
        <f>SUMIF('CF(M)'!$L$10:$EQ$10,BR$6,'CF(M)'!$L39:$EQ39)</f>
        <v>0</v>
      </c>
      <c r="BS34" s="171">
        <f>SUMIF('CF(M)'!$L$10:$EQ$10,BS$6,'CF(M)'!$L39:$EQ39)</f>
        <v>0</v>
      </c>
      <c r="BT34" s="171">
        <f>SUMIF('CF(M)'!$L$10:$EQ$10,BT$6,'CF(M)'!$L39:$EQ39)</f>
        <v>0</v>
      </c>
      <c r="BU34" s="171">
        <f>SUMIF('CF(M)'!$L$10:$EQ$10,BU$6,'CF(M)'!$L39:$EQ39)</f>
        <v>0</v>
      </c>
      <c r="BV34" s="171">
        <f>SUMIF('CF(M)'!$L$10:$EQ$10,BV$6,'CF(M)'!$L39:$EQ39)</f>
        <v>0</v>
      </c>
      <c r="BW34" s="171">
        <f>SUMIF('CF(M)'!$L$10:$EQ$10,BW$6,'CF(M)'!$L39:$EQ39)</f>
        <v>0</v>
      </c>
      <c r="BX34" s="171">
        <f>SUMIF('CF(M)'!$L$10:$EQ$10,BX$6,'CF(M)'!$L39:$EQ39)</f>
        <v>0</v>
      </c>
      <c r="BY34" s="171">
        <f>SUMIF('CF(M)'!$L$10:$EQ$10,BY$6,'CF(M)'!$L39:$EQ39)</f>
        <v>0</v>
      </c>
      <c r="BZ34" s="171">
        <f>SUMIF('CF(M)'!$L$10:$EQ$10,BZ$6,'CF(M)'!$L39:$EQ39)</f>
        <v>0</v>
      </c>
      <c r="CA34" s="171">
        <f>SUMIF('CF(M)'!$L$10:$EQ$10,CA$6,'CF(M)'!$L39:$EQ39)</f>
        <v>0</v>
      </c>
      <c r="CB34" s="171">
        <f>SUMIF('CF(M)'!$L$10:$EQ$10,CB$6,'CF(M)'!$L39:$EQ39)</f>
        <v>0</v>
      </c>
      <c r="CC34" s="171">
        <f>SUMIF('CF(M)'!$L$10:$EQ$10,CC$6,'CF(M)'!$L39:$EQ39)</f>
        <v>0</v>
      </c>
      <c r="CD34" s="171">
        <f>SUMIF('CF(M)'!$L$10:$EQ$10,CD$6,'CF(M)'!$L39:$EQ39)</f>
        <v>0</v>
      </c>
      <c r="CE34" s="171">
        <f>SUMIF('CF(M)'!$L$10:$EQ$10,CE$6,'CF(M)'!$L39:$EQ39)</f>
        <v>0</v>
      </c>
      <c r="CF34" s="171">
        <f>SUMIF('CF(M)'!$L$10:$EQ$10,CF$6,'CF(M)'!$L39:$EQ39)</f>
        <v>0</v>
      </c>
      <c r="CG34" s="171">
        <f>SUMIF('CF(M)'!$L$10:$EQ$10,CG$6,'CF(M)'!$L39:$EQ39)</f>
        <v>0</v>
      </c>
      <c r="CH34" s="171">
        <f>SUMIF('CF(M)'!$L$10:$EQ$10,CH$6,'CF(M)'!$L39:$EQ39)</f>
        <v>0</v>
      </c>
      <c r="CI34" s="171">
        <f>SUMIF('CF(M)'!$L$10:$EQ$10,CI$6,'CF(M)'!$L39:$EQ39)</f>
        <v>0</v>
      </c>
      <c r="CJ34" s="171">
        <f>SUMIF('CF(M)'!$L$10:$EQ$10,CJ$6,'CF(M)'!$L39:$EQ39)</f>
        <v>0</v>
      </c>
      <c r="CK34" s="171">
        <f>SUMIF('CF(M)'!$L$10:$EQ$10,CK$6,'CF(M)'!$L39:$EQ39)</f>
        <v>0</v>
      </c>
      <c r="CL34" s="171">
        <f>SUMIF('CF(M)'!$L$10:$EQ$10,CL$6,'CF(M)'!$L39:$EQ39)</f>
        <v>0</v>
      </c>
      <c r="CM34" s="171">
        <f>SUMIF('CF(M)'!$L$10:$EQ$10,CM$6,'CF(M)'!$L39:$EQ39)</f>
        <v>0</v>
      </c>
      <c r="CN34" s="171">
        <f>SUMIF('CF(M)'!$L$10:$EQ$10,CN$6,'CF(M)'!$L39:$EQ39)</f>
        <v>0</v>
      </c>
      <c r="CO34" s="171">
        <f>SUMIF('CF(M)'!$L$10:$EQ$10,CO$6,'CF(M)'!$L39:$EQ39)</f>
        <v>0</v>
      </c>
      <c r="CP34" s="171">
        <f>SUMIF('CF(M)'!$L$10:$EQ$10,CP$6,'CF(M)'!$L39:$EQ39)</f>
        <v>0</v>
      </c>
      <c r="CQ34" s="171">
        <f>SUMIF('CF(M)'!$L$10:$EQ$10,CQ$6,'CF(M)'!$L39:$EQ39)</f>
        <v>0</v>
      </c>
      <c r="CR34" s="171">
        <f>SUMIF('CF(M)'!$L$10:$EQ$10,CR$6,'CF(M)'!$L39:$EQ39)</f>
        <v>0</v>
      </c>
      <c r="CS34" s="171">
        <f>SUMIF('CF(M)'!$L$10:$EQ$10,CS$6,'CF(M)'!$L39:$EQ39)</f>
        <v>0</v>
      </c>
      <c r="CT34" s="171">
        <f>SUMIF('CF(M)'!$L$10:$EQ$10,CT$6,'CF(M)'!$L39:$EQ39)</f>
        <v>0</v>
      </c>
      <c r="CU34" s="171">
        <f>SUMIF('CF(M)'!$L$10:$EQ$10,CU$6,'CF(M)'!$L39:$EQ39)</f>
        <v>0</v>
      </c>
      <c r="CV34" s="171">
        <f>SUMIF('CF(M)'!$L$10:$EQ$10,CV$6,'CF(M)'!$L39:$EQ39)</f>
        <v>0</v>
      </c>
      <c r="CW34" s="171">
        <f>SUMIF('CF(M)'!$L$10:$EQ$10,CW$6,'CF(M)'!$L39:$EQ39)</f>
        <v>0</v>
      </c>
      <c r="CX34" s="171">
        <f>SUMIF('CF(M)'!$L$10:$EQ$10,CX$6,'CF(M)'!$L39:$EQ39)</f>
        <v>0</v>
      </c>
      <c r="CY34" s="171">
        <f>SUMIF('CF(M)'!$L$10:$EQ$10,CY$6,'CF(M)'!$L39:$EQ39)</f>
        <v>0</v>
      </c>
      <c r="CZ34" s="171">
        <f>SUMIF('CF(M)'!$L$10:$EQ$10,CZ$6,'CF(M)'!$L39:$EQ39)</f>
        <v>0</v>
      </c>
      <c r="DA34" s="171">
        <f>SUMIF('CF(M)'!$L$10:$EQ$10,DA$6,'CF(M)'!$L39:$EQ39)</f>
        <v>0</v>
      </c>
      <c r="DB34" s="171">
        <f>SUMIF('CF(M)'!$L$10:$EQ$10,DB$6,'CF(M)'!$L39:$EQ39)</f>
        <v>0</v>
      </c>
      <c r="DC34" s="171">
        <f>SUMIF('CF(M)'!$L$10:$EQ$10,DC$6,'CF(M)'!$L39:$EQ39)</f>
        <v>0</v>
      </c>
      <c r="DD34" s="171">
        <f>SUMIF('CF(M)'!$L$10:$EQ$10,DD$6,'CF(M)'!$L39:$EQ39)</f>
        <v>0</v>
      </c>
      <c r="DE34" s="171">
        <f>SUMIF('CF(M)'!$L$10:$EQ$10,DE$6,'CF(M)'!$L39:$EQ39)</f>
        <v>0</v>
      </c>
      <c r="DF34" s="171">
        <f>SUMIF('CF(M)'!$L$10:$EQ$10,DF$6,'CF(M)'!$L39:$EQ39)</f>
        <v>0</v>
      </c>
      <c r="DG34" s="171">
        <f>SUMIF('CF(M)'!$L$10:$EQ$10,DG$6,'CF(M)'!$L39:$EQ39)</f>
        <v>0</v>
      </c>
      <c r="DH34" s="171">
        <f>SUMIF('CF(M)'!$L$10:$EQ$10,DH$6,'CF(M)'!$L39:$EQ39)</f>
        <v>0</v>
      </c>
      <c r="DI34" s="171">
        <f>SUMIF('CF(M)'!$L$10:$EQ$10,DI$6,'CF(M)'!$L39:$EQ39)</f>
        <v>0</v>
      </c>
      <c r="DJ34" s="171">
        <f>SUMIF('CF(M)'!$L$10:$EQ$10,DJ$6,'CF(M)'!$L39:$EQ39)</f>
        <v>0</v>
      </c>
      <c r="DK34" s="171">
        <f>SUMIF('CF(M)'!$L$10:$EQ$10,DK$6,'CF(M)'!$L39:$EQ39)</f>
        <v>0</v>
      </c>
      <c r="DL34" s="171">
        <f>SUMIF('CF(M)'!$L$10:$EQ$10,DL$6,'CF(M)'!$L39:$EQ39)</f>
        <v>0</v>
      </c>
      <c r="DM34" s="171">
        <f>SUMIF('CF(M)'!$L$10:$EQ$10,DM$6,'CF(M)'!$L39:$EQ39)</f>
        <v>0</v>
      </c>
      <c r="DN34" s="171">
        <f>SUMIF('CF(M)'!$L$10:$EQ$10,DN$6,'CF(M)'!$L39:$EQ39)</f>
        <v>0</v>
      </c>
      <c r="DO34" s="171">
        <f>SUMIF('CF(M)'!$L$10:$EQ$10,DO$6,'CF(M)'!$L39:$EQ39)</f>
        <v>0</v>
      </c>
      <c r="DP34" s="171">
        <f>SUMIF('CF(M)'!$L$10:$EQ$10,DP$6,'CF(M)'!$L39:$EQ39)</f>
        <v>0</v>
      </c>
      <c r="DQ34" s="171">
        <f>SUMIF('CF(M)'!$L$10:$EQ$10,DQ$6,'CF(M)'!$L39:$EQ39)</f>
        <v>0</v>
      </c>
      <c r="DR34" s="171">
        <f>SUMIF('CF(M)'!$L$10:$EQ$10,DR$6,'CF(M)'!$L39:$EQ39)</f>
        <v>0</v>
      </c>
      <c r="DS34" s="171">
        <f>SUMIF('CF(M)'!$L$10:$EQ$10,DS$6,'CF(M)'!$L39:$EQ39)</f>
        <v>0</v>
      </c>
      <c r="DT34" s="171">
        <f>SUMIF('CF(M)'!$L$10:$EQ$10,DT$6,'CF(M)'!$L39:$EQ39)</f>
        <v>0</v>
      </c>
      <c r="DU34" s="171">
        <f>SUMIF('CF(M)'!$L$10:$EQ$10,DU$6,'CF(M)'!$L39:$EQ39)</f>
        <v>0</v>
      </c>
      <c r="DV34" s="171">
        <f>SUMIF('CF(M)'!$L$10:$EQ$10,DV$6,'CF(M)'!$L39:$EQ39)</f>
        <v>0</v>
      </c>
    </row>
    <row r="35" spans="2:126" ht="11.25" customHeight="1">
      <c r="B35" s="218"/>
      <c r="C35" s="158" t="s">
        <v>193</v>
      </c>
      <c r="D35" s="159"/>
      <c r="E35" s="159"/>
      <c r="F35" s="159"/>
      <c r="G35" s="159"/>
      <c r="H35" s="160"/>
      <c r="I35" s="219"/>
      <c r="J35" s="220">
        <f>SUM(J36:J43)</f>
        <v>-98581637.533343479</v>
      </c>
      <c r="K35" s="98"/>
      <c r="L35" s="162">
        <f>SUM(L36:L43)</f>
        <v>0</v>
      </c>
      <c r="M35" s="162">
        <f t="shared" ref="M35:BX35" si="13">SUM(M36:M43)</f>
        <v>-5104637.5333434846</v>
      </c>
      <c r="N35" s="162">
        <f t="shared" si="13"/>
        <v>-4960000</v>
      </c>
      <c r="O35" s="162">
        <f t="shared" si="13"/>
        <v>-4960000</v>
      </c>
      <c r="P35" s="162">
        <f t="shared" si="13"/>
        <v>-4960000</v>
      </c>
      <c r="Q35" s="162">
        <f t="shared" si="13"/>
        <v>-5112000</v>
      </c>
      <c r="R35" s="162">
        <f t="shared" si="13"/>
        <v>-5112000</v>
      </c>
      <c r="S35" s="162">
        <f t="shared" si="13"/>
        <v>-5112000</v>
      </c>
      <c r="T35" s="162">
        <f t="shared" si="13"/>
        <v>-5112000</v>
      </c>
      <c r="U35" s="162">
        <f t="shared" si="13"/>
        <v>-5112000</v>
      </c>
      <c r="V35" s="162">
        <f t="shared" si="13"/>
        <v>-5112000</v>
      </c>
      <c r="W35" s="162">
        <f t="shared" si="13"/>
        <v>-4792500</v>
      </c>
      <c r="X35" s="162">
        <f t="shared" si="13"/>
        <v>-4792500</v>
      </c>
      <c r="Y35" s="162">
        <f t="shared" si="13"/>
        <v>-4792500</v>
      </c>
      <c r="Z35" s="162">
        <f t="shared" si="13"/>
        <v>-4792500</v>
      </c>
      <c r="AA35" s="162">
        <f t="shared" si="13"/>
        <v>-4792500</v>
      </c>
      <c r="AB35" s="162">
        <f t="shared" si="13"/>
        <v>-4792500</v>
      </c>
      <c r="AC35" s="162">
        <f t="shared" si="13"/>
        <v>-4792500</v>
      </c>
      <c r="AD35" s="162">
        <f t="shared" si="13"/>
        <v>-4792500</v>
      </c>
      <c r="AE35" s="162">
        <f t="shared" si="13"/>
        <v>-4792500</v>
      </c>
      <c r="AF35" s="162">
        <f t="shared" si="13"/>
        <v>-4792500</v>
      </c>
      <c r="AG35" s="162">
        <f t="shared" si="13"/>
        <v>0</v>
      </c>
      <c r="AH35" s="162">
        <f t="shared" si="13"/>
        <v>0</v>
      </c>
      <c r="AI35" s="162">
        <f t="shared" si="13"/>
        <v>0</v>
      </c>
      <c r="AJ35" s="162">
        <f t="shared" si="13"/>
        <v>0</v>
      </c>
      <c r="AK35" s="162">
        <f t="shared" si="13"/>
        <v>0</v>
      </c>
      <c r="AL35" s="162">
        <f t="shared" si="13"/>
        <v>0</v>
      </c>
      <c r="AM35" s="162">
        <f t="shared" si="13"/>
        <v>0</v>
      </c>
      <c r="AN35" s="162">
        <f t="shared" si="13"/>
        <v>0</v>
      </c>
      <c r="AO35" s="162">
        <f t="shared" si="13"/>
        <v>0</v>
      </c>
      <c r="AP35" s="162">
        <f t="shared" si="13"/>
        <v>0</v>
      </c>
      <c r="AQ35" s="162">
        <f t="shared" si="13"/>
        <v>0</v>
      </c>
      <c r="AR35" s="162">
        <f t="shared" si="13"/>
        <v>0</v>
      </c>
      <c r="AS35" s="162">
        <f t="shared" si="13"/>
        <v>0</v>
      </c>
      <c r="AT35" s="162">
        <f t="shared" si="13"/>
        <v>0</v>
      </c>
      <c r="AU35" s="162">
        <f t="shared" si="13"/>
        <v>0</v>
      </c>
      <c r="AV35" s="162">
        <f t="shared" si="13"/>
        <v>0</v>
      </c>
      <c r="AW35" s="162">
        <f t="shared" si="13"/>
        <v>0</v>
      </c>
      <c r="AX35" s="162">
        <f t="shared" si="13"/>
        <v>0</v>
      </c>
      <c r="AY35" s="162">
        <f t="shared" si="13"/>
        <v>0</v>
      </c>
      <c r="AZ35" s="162">
        <f t="shared" si="13"/>
        <v>0</v>
      </c>
      <c r="BA35" s="162">
        <f t="shared" si="13"/>
        <v>0</v>
      </c>
      <c r="BB35" s="162">
        <f t="shared" si="13"/>
        <v>0</v>
      </c>
      <c r="BC35" s="162">
        <f t="shared" si="13"/>
        <v>0</v>
      </c>
      <c r="BD35" s="162">
        <f t="shared" si="13"/>
        <v>0</v>
      </c>
      <c r="BE35" s="162">
        <f t="shared" si="13"/>
        <v>0</v>
      </c>
      <c r="BF35" s="162">
        <f t="shared" si="13"/>
        <v>0</v>
      </c>
      <c r="BG35" s="162">
        <f t="shared" si="13"/>
        <v>0</v>
      </c>
      <c r="BH35" s="162">
        <f t="shared" si="13"/>
        <v>0</v>
      </c>
      <c r="BI35" s="162">
        <f t="shared" si="13"/>
        <v>0</v>
      </c>
      <c r="BJ35" s="162">
        <f t="shared" si="13"/>
        <v>0</v>
      </c>
      <c r="BK35" s="162">
        <f t="shared" si="13"/>
        <v>0</v>
      </c>
      <c r="BL35" s="162">
        <f t="shared" si="13"/>
        <v>0</v>
      </c>
      <c r="BM35" s="162">
        <f t="shared" si="13"/>
        <v>0</v>
      </c>
      <c r="BN35" s="162">
        <f t="shared" si="13"/>
        <v>0</v>
      </c>
      <c r="BO35" s="162">
        <f t="shared" si="13"/>
        <v>0</v>
      </c>
      <c r="BP35" s="162">
        <f t="shared" si="13"/>
        <v>0</v>
      </c>
      <c r="BQ35" s="162">
        <f t="shared" si="13"/>
        <v>0</v>
      </c>
      <c r="BR35" s="162">
        <f t="shared" si="13"/>
        <v>0</v>
      </c>
      <c r="BS35" s="162">
        <f t="shared" si="13"/>
        <v>0</v>
      </c>
      <c r="BT35" s="162">
        <f t="shared" si="13"/>
        <v>0</v>
      </c>
      <c r="BU35" s="162">
        <f t="shared" si="13"/>
        <v>0</v>
      </c>
      <c r="BV35" s="162">
        <f t="shared" si="13"/>
        <v>0</v>
      </c>
      <c r="BW35" s="162">
        <f t="shared" si="13"/>
        <v>0</v>
      </c>
      <c r="BX35" s="162">
        <f t="shared" si="13"/>
        <v>0</v>
      </c>
      <c r="BY35" s="162">
        <f t="shared" ref="BY35:DV35" si="14">SUM(BY36:BY43)</f>
        <v>0</v>
      </c>
      <c r="BZ35" s="162">
        <f t="shared" si="14"/>
        <v>0</v>
      </c>
      <c r="CA35" s="162">
        <f t="shared" si="14"/>
        <v>0</v>
      </c>
      <c r="CB35" s="162">
        <f t="shared" si="14"/>
        <v>0</v>
      </c>
      <c r="CC35" s="162">
        <f t="shared" si="14"/>
        <v>0</v>
      </c>
      <c r="CD35" s="162">
        <f t="shared" si="14"/>
        <v>0</v>
      </c>
      <c r="CE35" s="162">
        <f t="shared" si="14"/>
        <v>0</v>
      </c>
      <c r="CF35" s="162">
        <f t="shared" si="14"/>
        <v>0</v>
      </c>
      <c r="CG35" s="162">
        <f t="shared" si="14"/>
        <v>0</v>
      </c>
      <c r="CH35" s="162">
        <f t="shared" si="14"/>
        <v>0</v>
      </c>
      <c r="CI35" s="162">
        <f t="shared" si="14"/>
        <v>0</v>
      </c>
      <c r="CJ35" s="162">
        <f t="shared" si="14"/>
        <v>0</v>
      </c>
      <c r="CK35" s="162">
        <f t="shared" si="14"/>
        <v>0</v>
      </c>
      <c r="CL35" s="162">
        <f t="shared" si="14"/>
        <v>0</v>
      </c>
      <c r="CM35" s="162">
        <f t="shared" si="14"/>
        <v>0</v>
      </c>
      <c r="CN35" s="162">
        <f t="shared" si="14"/>
        <v>0</v>
      </c>
      <c r="CO35" s="162">
        <f t="shared" si="14"/>
        <v>0</v>
      </c>
      <c r="CP35" s="162">
        <f t="shared" si="14"/>
        <v>0</v>
      </c>
      <c r="CQ35" s="162">
        <f t="shared" si="14"/>
        <v>0</v>
      </c>
      <c r="CR35" s="162">
        <f t="shared" si="14"/>
        <v>0</v>
      </c>
      <c r="CS35" s="162">
        <f t="shared" si="14"/>
        <v>0</v>
      </c>
      <c r="CT35" s="162">
        <f t="shared" si="14"/>
        <v>0</v>
      </c>
      <c r="CU35" s="162">
        <f t="shared" si="14"/>
        <v>0</v>
      </c>
      <c r="CV35" s="162">
        <f t="shared" si="14"/>
        <v>0</v>
      </c>
      <c r="CW35" s="162">
        <f t="shared" si="14"/>
        <v>0</v>
      </c>
      <c r="CX35" s="162">
        <f t="shared" si="14"/>
        <v>0</v>
      </c>
      <c r="CY35" s="162">
        <f t="shared" si="14"/>
        <v>0</v>
      </c>
      <c r="CZ35" s="162">
        <f t="shared" si="14"/>
        <v>0</v>
      </c>
      <c r="DA35" s="162">
        <f t="shared" si="14"/>
        <v>0</v>
      </c>
      <c r="DB35" s="162">
        <f t="shared" si="14"/>
        <v>0</v>
      </c>
      <c r="DC35" s="162">
        <f t="shared" si="14"/>
        <v>0</v>
      </c>
      <c r="DD35" s="162">
        <f t="shared" si="14"/>
        <v>0</v>
      </c>
      <c r="DE35" s="162">
        <f t="shared" si="14"/>
        <v>0</v>
      </c>
      <c r="DF35" s="162">
        <f t="shared" si="14"/>
        <v>0</v>
      </c>
      <c r="DG35" s="162">
        <f t="shared" si="14"/>
        <v>0</v>
      </c>
      <c r="DH35" s="162">
        <f t="shared" si="14"/>
        <v>0</v>
      </c>
      <c r="DI35" s="162">
        <f t="shared" si="14"/>
        <v>0</v>
      </c>
      <c r="DJ35" s="162">
        <f t="shared" si="14"/>
        <v>0</v>
      </c>
      <c r="DK35" s="162">
        <f t="shared" si="14"/>
        <v>0</v>
      </c>
      <c r="DL35" s="162">
        <f t="shared" si="14"/>
        <v>0</v>
      </c>
      <c r="DM35" s="162">
        <f t="shared" si="14"/>
        <v>0</v>
      </c>
      <c r="DN35" s="162">
        <f t="shared" si="14"/>
        <v>0</v>
      </c>
      <c r="DO35" s="162">
        <f t="shared" si="14"/>
        <v>0</v>
      </c>
      <c r="DP35" s="162">
        <f t="shared" si="14"/>
        <v>0</v>
      </c>
      <c r="DQ35" s="162">
        <f t="shared" si="14"/>
        <v>0</v>
      </c>
      <c r="DR35" s="162">
        <f t="shared" si="14"/>
        <v>0</v>
      </c>
      <c r="DS35" s="162">
        <f t="shared" si="14"/>
        <v>0</v>
      </c>
      <c r="DT35" s="162">
        <f t="shared" si="14"/>
        <v>0</v>
      </c>
      <c r="DU35" s="162">
        <f t="shared" si="14"/>
        <v>0</v>
      </c>
      <c r="DV35" s="162">
        <f t="shared" si="14"/>
        <v>0</v>
      </c>
    </row>
    <row r="36" spans="2:126" ht="11.25" customHeight="1">
      <c r="B36" s="218"/>
      <c r="C36" s="163"/>
      <c r="D36" s="164" t="str">
        <f>'CF(M)'!D41</f>
        <v>담보대출 이자비용</v>
      </c>
      <c r="E36" s="165"/>
      <c r="F36" s="165"/>
      <c r="G36" s="165"/>
      <c r="H36" s="166"/>
      <c r="I36" s="221"/>
      <c r="J36" s="168">
        <f t="shared" si="8"/>
        <v>-15280000</v>
      </c>
      <c r="K36" s="98"/>
      <c r="L36" s="168">
        <f>SUMIF('CF(M)'!$L$10:$EQ$10,L$6,'CF(M)'!$L41:$EQ41)</f>
        <v>0</v>
      </c>
      <c r="M36" s="168">
        <f>SUMIF('CF(M)'!$L$10:$EQ$10,M$6,'CF(M)'!$L41:$EQ41)</f>
        <v>-3820000</v>
      </c>
      <c r="N36" s="168">
        <f>SUMIF('CF(M)'!$L$10:$EQ$10,N$6,'CF(M)'!$L41:$EQ41)</f>
        <v>-3820000</v>
      </c>
      <c r="O36" s="168">
        <f>SUMIF('CF(M)'!$L$10:$EQ$10,O$6,'CF(M)'!$L41:$EQ41)</f>
        <v>-3820000</v>
      </c>
      <c r="P36" s="168">
        <f>SUMIF('CF(M)'!$L$10:$EQ$10,P$6,'CF(M)'!$L41:$EQ41)</f>
        <v>-3820000</v>
      </c>
      <c r="Q36" s="168">
        <f>SUMIF('CF(M)'!$L$10:$EQ$10,Q$6,'CF(M)'!$L41:$EQ41)</f>
        <v>0</v>
      </c>
      <c r="R36" s="168">
        <f>SUMIF('CF(M)'!$L$10:$EQ$10,R$6,'CF(M)'!$L41:$EQ41)</f>
        <v>0</v>
      </c>
      <c r="S36" s="168">
        <f>SUMIF('CF(M)'!$L$10:$EQ$10,S$6,'CF(M)'!$L41:$EQ41)</f>
        <v>0</v>
      </c>
      <c r="T36" s="168">
        <f>SUMIF('CF(M)'!$L$10:$EQ$10,T$6,'CF(M)'!$L41:$EQ41)</f>
        <v>0</v>
      </c>
      <c r="U36" s="168">
        <f>SUMIF('CF(M)'!$L$10:$EQ$10,U$6,'CF(M)'!$L41:$EQ41)</f>
        <v>0</v>
      </c>
      <c r="V36" s="168">
        <f>SUMIF('CF(M)'!$L$10:$EQ$10,V$6,'CF(M)'!$L41:$EQ41)</f>
        <v>0</v>
      </c>
      <c r="W36" s="168">
        <f>SUMIF('CF(M)'!$L$10:$EQ$10,W$6,'CF(M)'!$L41:$EQ41)</f>
        <v>0</v>
      </c>
      <c r="X36" s="168">
        <f>SUMIF('CF(M)'!$L$10:$EQ$10,X$6,'CF(M)'!$L41:$EQ41)</f>
        <v>0</v>
      </c>
      <c r="Y36" s="168">
        <f>SUMIF('CF(M)'!$L$10:$EQ$10,Y$6,'CF(M)'!$L41:$EQ41)</f>
        <v>0</v>
      </c>
      <c r="Z36" s="168">
        <f>SUMIF('CF(M)'!$L$10:$EQ$10,Z$6,'CF(M)'!$L41:$EQ41)</f>
        <v>0</v>
      </c>
      <c r="AA36" s="168">
        <f>SUMIF('CF(M)'!$L$10:$EQ$10,AA$6,'CF(M)'!$L41:$EQ41)</f>
        <v>0</v>
      </c>
      <c r="AB36" s="168">
        <f>SUMIF('CF(M)'!$L$10:$EQ$10,AB$6,'CF(M)'!$L41:$EQ41)</f>
        <v>0</v>
      </c>
      <c r="AC36" s="168">
        <f>SUMIF('CF(M)'!$L$10:$EQ$10,AC$6,'CF(M)'!$L41:$EQ41)</f>
        <v>0</v>
      </c>
      <c r="AD36" s="168">
        <f>SUMIF('CF(M)'!$L$10:$EQ$10,AD$6,'CF(M)'!$L41:$EQ41)</f>
        <v>0</v>
      </c>
      <c r="AE36" s="168">
        <f>SUMIF('CF(M)'!$L$10:$EQ$10,AE$6,'CF(M)'!$L41:$EQ41)</f>
        <v>0</v>
      </c>
      <c r="AF36" s="168">
        <f>SUMIF('CF(M)'!$L$10:$EQ$10,AF$6,'CF(M)'!$L41:$EQ41)</f>
        <v>0</v>
      </c>
      <c r="AG36" s="168">
        <f>SUMIF('CF(M)'!$L$10:$EQ$10,AG$6,'CF(M)'!$L41:$EQ41)</f>
        <v>0</v>
      </c>
      <c r="AH36" s="168">
        <f>SUMIF('CF(M)'!$L$10:$EQ$10,AH$6,'CF(M)'!$L41:$EQ41)</f>
        <v>0</v>
      </c>
      <c r="AI36" s="168">
        <f>SUMIF('CF(M)'!$L$10:$EQ$10,AI$6,'CF(M)'!$L41:$EQ41)</f>
        <v>0</v>
      </c>
      <c r="AJ36" s="168">
        <f>SUMIF('CF(M)'!$L$10:$EQ$10,AJ$6,'CF(M)'!$L41:$EQ41)</f>
        <v>0</v>
      </c>
      <c r="AK36" s="168">
        <f>SUMIF('CF(M)'!$L$10:$EQ$10,AK$6,'CF(M)'!$L41:$EQ41)</f>
        <v>0</v>
      </c>
      <c r="AL36" s="168">
        <f>SUMIF('CF(M)'!$L$10:$EQ$10,AL$6,'CF(M)'!$L41:$EQ41)</f>
        <v>0</v>
      </c>
      <c r="AM36" s="168">
        <f>SUMIF('CF(M)'!$L$10:$EQ$10,AM$6,'CF(M)'!$L41:$EQ41)</f>
        <v>0</v>
      </c>
      <c r="AN36" s="168">
        <f>SUMIF('CF(M)'!$L$10:$EQ$10,AN$6,'CF(M)'!$L41:$EQ41)</f>
        <v>0</v>
      </c>
      <c r="AO36" s="168">
        <f>SUMIF('CF(M)'!$L$10:$EQ$10,AO$6,'CF(M)'!$L41:$EQ41)</f>
        <v>0</v>
      </c>
      <c r="AP36" s="168">
        <f>SUMIF('CF(M)'!$L$10:$EQ$10,AP$6,'CF(M)'!$L41:$EQ41)</f>
        <v>0</v>
      </c>
      <c r="AQ36" s="168">
        <f>SUMIF('CF(M)'!$L$10:$EQ$10,AQ$6,'CF(M)'!$L41:$EQ41)</f>
        <v>0</v>
      </c>
      <c r="AR36" s="168">
        <f>SUMIF('CF(M)'!$L$10:$EQ$10,AR$6,'CF(M)'!$L41:$EQ41)</f>
        <v>0</v>
      </c>
      <c r="AS36" s="168">
        <f>SUMIF('CF(M)'!$L$10:$EQ$10,AS$6,'CF(M)'!$L41:$EQ41)</f>
        <v>0</v>
      </c>
      <c r="AT36" s="168">
        <f>SUMIF('CF(M)'!$L$10:$EQ$10,AT$6,'CF(M)'!$L41:$EQ41)</f>
        <v>0</v>
      </c>
      <c r="AU36" s="168">
        <f>SUMIF('CF(M)'!$L$10:$EQ$10,AU$6,'CF(M)'!$L41:$EQ41)</f>
        <v>0</v>
      </c>
      <c r="AV36" s="168">
        <f>SUMIF('CF(M)'!$L$10:$EQ$10,AV$6,'CF(M)'!$L41:$EQ41)</f>
        <v>0</v>
      </c>
      <c r="AW36" s="168">
        <f>SUMIF('CF(M)'!$L$10:$EQ$10,AW$6,'CF(M)'!$L41:$EQ41)</f>
        <v>0</v>
      </c>
      <c r="AX36" s="168">
        <f>SUMIF('CF(M)'!$L$10:$EQ$10,AX$6,'CF(M)'!$L41:$EQ41)</f>
        <v>0</v>
      </c>
      <c r="AY36" s="168">
        <f>SUMIF('CF(M)'!$L$10:$EQ$10,AY$6,'CF(M)'!$L41:$EQ41)</f>
        <v>0</v>
      </c>
      <c r="AZ36" s="168">
        <f>SUMIF('CF(M)'!$L$10:$EQ$10,AZ$6,'CF(M)'!$L41:$EQ41)</f>
        <v>0</v>
      </c>
      <c r="BA36" s="168">
        <f>SUMIF('CF(M)'!$L$10:$EQ$10,BA$6,'CF(M)'!$L41:$EQ41)</f>
        <v>0</v>
      </c>
      <c r="BB36" s="168">
        <f>SUMIF('CF(M)'!$L$10:$EQ$10,BB$6,'CF(M)'!$L41:$EQ41)</f>
        <v>0</v>
      </c>
      <c r="BC36" s="168">
        <f>SUMIF('CF(M)'!$L$10:$EQ$10,BC$6,'CF(M)'!$L41:$EQ41)</f>
        <v>0</v>
      </c>
      <c r="BD36" s="168">
        <f>SUMIF('CF(M)'!$L$10:$EQ$10,BD$6,'CF(M)'!$L41:$EQ41)</f>
        <v>0</v>
      </c>
      <c r="BE36" s="168">
        <f>SUMIF('CF(M)'!$L$10:$EQ$10,BE$6,'CF(M)'!$L41:$EQ41)</f>
        <v>0</v>
      </c>
      <c r="BF36" s="168">
        <f>SUMIF('CF(M)'!$L$10:$EQ$10,BF$6,'CF(M)'!$L41:$EQ41)</f>
        <v>0</v>
      </c>
      <c r="BG36" s="168">
        <f>SUMIF('CF(M)'!$L$10:$EQ$10,BG$6,'CF(M)'!$L41:$EQ41)</f>
        <v>0</v>
      </c>
      <c r="BH36" s="168">
        <f>SUMIF('CF(M)'!$L$10:$EQ$10,BH$6,'CF(M)'!$L41:$EQ41)</f>
        <v>0</v>
      </c>
      <c r="BI36" s="168">
        <f>SUMIF('CF(M)'!$L$10:$EQ$10,BI$6,'CF(M)'!$L41:$EQ41)</f>
        <v>0</v>
      </c>
      <c r="BJ36" s="168">
        <f>SUMIF('CF(M)'!$L$10:$EQ$10,BJ$6,'CF(M)'!$L41:$EQ41)</f>
        <v>0</v>
      </c>
      <c r="BK36" s="168">
        <f>SUMIF('CF(M)'!$L$10:$EQ$10,BK$6,'CF(M)'!$L41:$EQ41)</f>
        <v>0</v>
      </c>
      <c r="BL36" s="168">
        <f>SUMIF('CF(M)'!$L$10:$EQ$10,BL$6,'CF(M)'!$L41:$EQ41)</f>
        <v>0</v>
      </c>
      <c r="BM36" s="168">
        <f>SUMIF('CF(M)'!$L$10:$EQ$10,BM$6,'CF(M)'!$L41:$EQ41)</f>
        <v>0</v>
      </c>
      <c r="BN36" s="168">
        <f>SUMIF('CF(M)'!$L$10:$EQ$10,BN$6,'CF(M)'!$L41:$EQ41)</f>
        <v>0</v>
      </c>
      <c r="BO36" s="168">
        <f>SUMIF('CF(M)'!$L$10:$EQ$10,BO$6,'CF(M)'!$L41:$EQ41)</f>
        <v>0</v>
      </c>
      <c r="BP36" s="168">
        <f>SUMIF('CF(M)'!$L$10:$EQ$10,BP$6,'CF(M)'!$L41:$EQ41)</f>
        <v>0</v>
      </c>
      <c r="BQ36" s="168">
        <f>SUMIF('CF(M)'!$L$10:$EQ$10,BQ$6,'CF(M)'!$L41:$EQ41)</f>
        <v>0</v>
      </c>
      <c r="BR36" s="168">
        <f>SUMIF('CF(M)'!$L$10:$EQ$10,BR$6,'CF(M)'!$L41:$EQ41)</f>
        <v>0</v>
      </c>
      <c r="BS36" s="168">
        <f>SUMIF('CF(M)'!$L$10:$EQ$10,BS$6,'CF(M)'!$L41:$EQ41)</f>
        <v>0</v>
      </c>
      <c r="BT36" s="168">
        <f>SUMIF('CF(M)'!$L$10:$EQ$10,BT$6,'CF(M)'!$L41:$EQ41)</f>
        <v>0</v>
      </c>
      <c r="BU36" s="168">
        <f>SUMIF('CF(M)'!$L$10:$EQ$10,BU$6,'CF(M)'!$L41:$EQ41)</f>
        <v>0</v>
      </c>
      <c r="BV36" s="168">
        <f>SUMIF('CF(M)'!$L$10:$EQ$10,BV$6,'CF(M)'!$L41:$EQ41)</f>
        <v>0</v>
      </c>
      <c r="BW36" s="168">
        <f>SUMIF('CF(M)'!$L$10:$EQ$10,BW$6,'CF(M)'!$L41:$EQ41)</f>
        <v>0</v>
      </c>
      <c r="BX36" s="168">
        <f>SUMIF('CF(M)'!$L$10:$EQ$10,BX$6,'CF(M)'!$L41:$EQ41)</f>
        <v>0</v>
      </c>
      <c r="BY36" s="168">
        <f>SUMIF('CF(M)'!$L$10:$EQ$10,BY$6,'CF(M)'!$L41:$EQ41)</f>
        <v>0</v>
      </c>
      <c r="BZ36" s="168">
        <f>SUMIF('CF(M)'!$L$10:$EQ$10,BZ$6,'CF(M)'!$L41:$EQ41)</f>
        <v>0</v>
      </c>
      <c r="CA36" s="168">
        <f>SUMIF('CF(M)'!$L$10:$EQ$10,CA$6,'CF(M)'!$L41:$EQ41)</f>
        <v>0</v>
      </c>
      <c r="CB36" s="168">
        <f>SUMIF('CF(M)'!$L$10:$EQ$10,CB$6,'CF(M)'!$L41:$EQ41)</f>
        <v>0</v>
      </c>
      <c r="CC36" s="168">
        <f>SUMIF('CF(M)'!$L$10:$EQ$10,CC$6,'CF(M)'!$L41:$EQ41)</f>
        <v>0</v>
      </c>
      <c r="CD36" s="168">
        <f>SUMIF('CF(M)'!$L$10:$EQ$10,CD$6,'CF(M)'!$L41:$EQ41)</f>
        <v>0</v>
      </c>
      <c r="CE36" s="168">
        <f>SUMIF('CF(M)'!$L$10:$EQ$10,CE$6,'CF(M)'!$L41:$EQ41)</f>
        <v>0</v>
      </c>
      <c r="CF36" s="168">
        <f>SUMIF('CF(M)'!$L$10:$EQ$10,CF$6,'CF(M)'!$L41:$EQ41)</f>
        <v>0</v>
      </c>
      <c r="CG36" s="168">
        <f>SUMIF('CF(M)'!$L$10:$EQ$10,CG$6,'CF(M)'!$L41:$EQ41)</f>
        <v>0</v>
      </c>
      <c r="CH36" s="168">
        <f>SUMIF('CF(M)'!$L$10:$EQ$10,CH$6,'CF(M)'!$L41:$EQ41)</f>
        <v>0</v>
      </c>
      <c r="CI36" s="168">
        <f>SUMIF('CF(M)'!$L$10:$EQ$10,CI$6,'CF(M)'!$L41:$EQ41)</f>
        <v>0</v>
      </c>
      <c r="CJ36" s="168">
        <f>SUMIF('CF(M)'!$L$10:$EQ$10,CJ$6,'CF(M)'!$L41:$EQ41)</f>
        <v>0</v>
      </c>
      <c r="CK36" s="168">
        <f>SUMIF('CF(M)'!$L$10:$EQ$10,CK$6,'CF(M)'!$L41:$EQ41)</f>
        <v>0</v>
      </c>
      <c r="CL36" s="168">
        <f>SUMIF('CF(M)'!$L$10:$EQ$10,CL$6,'CF(M)'!$L41:$EQ41)</f>
        <v>0</v>
      </c>
      <c r="CM36" s="168">
        <f>SUMIF('CF(M)'!$L$10:$EQ$10,CM$6,'CF(M)'!$L41:$EQ41)</f>
        <v>0</v>
      </c>
      <c r="CN36" s="168">
        <f>SUMIF('CF(M)'!$L$10:$EQ$10,CN$6,'CF(M)'!$L41:$EQ41)</f>
        <v>0</v>
      </c>
      <c r="CO36" s="168">
        <f>SUMIF('CF(M)'!$L$10:$EQ$10,CO$6,'CF(M)'!$L41:$EQ41)</f>
        <v>0</v>
      </c>
      <c r="CP36" s="168">
        <f>SUMIF('CF(M)'!$L$10:$EQ$10,CP$6,'CF(M)'!$L41:$EQ41)</f>
        <v>0</v>
      </c>
      <c r="CQ36" s="168">
        <f>SUMIF('CF(M)'!$L$10:$EQ$10,CQ$6,'CF(M)'!$L41:$EQ41)</f>
        <v>0</v>
      </c>
      <c r="CR36" s="168">
        <f>SUMIF('CF(M)'!$L$10:$EQ$10,CR$6,'CF(M)'!$L41:$EQ41)</f>
        <v>0</v>
      </c>
      <c r="CS36" s="168">
        <f>SUMIF('CF(M)'!$L$10:$EQ$10,CS$6,'CF(M)'!$L41:$EQ41)</f>
        <v>0</v>
      </c>
      <c r="CT36" s="168">
        <f>SUMIF('CF(M)'!$L$10:$EQ$10,CT$6,'CF(M)'!$L41:$EQ41)</f>
        <v>0</v>
      </c>
      <c r="CU36" s="168">
        <f>SUMIF('CF(M)'!$L$10:$EQ$10,CU$6,'CF(M)'!$L41:$EQ41)</f>
        <v>0</v>
      </c>
      <c r="CV36" s="168">
        <f>SUMIF('CF(M)'!$L$10:$EQ$10,CV$6,'CF(M)'!$L41:$EQ41)</f>
        <v>0</v>
      </c>
      <c r="CW36" s="168">
        <f>SUMIF('CF(M)'!$L$10:$EQ$10,CW$6,'CF(M)'!$L41:$EQ41)</f>
        <v>0</v>
      </c>
      <c r="CX36" s="168">
        <f>SUMIF('CF(M)'!$L$10:$EQ$10,CX$6,'CF(M)'!$L41:$EQ41)</f>
        <v>0</v>
      </c>
      <c r="CY36" s="168">
        <f>SUMIF('CF(M)'!$L$10:$EQ$10,CY$6,'CF(M)'!$L41:$EQ41)</f>
        <v>0</v>
      </c>
      <c r="CZ36" s="168">
        <f>SUMIF('CF(M)'!$L$10:$EQ$10,CZ$6,'CF(M)'!$L41:$EQ41)</f>
        <v>0</v>
      </c>
      <c r="DA36" s="168">
        <f>SUMIF('CF(M)'!$L$10:$EQ$10,DA$6,'CF(M)'!$L41:$EQ41)</f>
        <v>0</v>
      </c>
      <c r="DB36" s="168">
        <f>SUMIF('CF(M)'!$L$10:$EQ$10,DB$6,'CF(M)'!$L41:$EQ41)</f>
        <v>0</v>
      </c>
      <c r="DC36" s="168">
        <f>SUMIF('CF(M)'!$L$10:$EQ$10,DC$6,'CF(M)'!$L41:$EQ41)</f>
        <v>0</v>
      </c>
      <c r="DD36" s="168">
        <f>SUMIF('CF(M)'!$L$10:$EQ$10,DD$6,'CF(M)'!$L41:$EQ41)</f>
        <v>0</v>
      </c>
      <c r="DE36" s="168">
        <f>SUMIF('CF(M)'!$L$10:$EQ$10,DE$6,'CF(M)'!$L41:$EQ41)</f>
        <v>0</v>
      </c>
      <c r="DF36" s="168">
        <f>SUMIF('CF(M)'!$L$10:$EQ$10,DF$6,'CF(M)'!$L41:$EQ41)</f>
        <v>0</v>
      </c>
      <c r="DG36" s="168">
        <f>SUMIF('CF(M)'!$L$10:$EQ$10,DG$6,'CF(M)'!$L41:$EQ41)</f>
        <v>0</v>
      </c>
      <c r="DH36" s="168">
        <f>SUMIF('CF(M)'!$L$10:$EQ$10,DH$6,'CF(M)'!$L41:$EQ41)</f>
        <v>0</v>
      </c>
      <c r="DI36" s="168">
        <f>SUMIF('CF(M)'!$L$10:$EQ$10,DI$6,'CF(M)'!$L41:$EQ41)</f>
        <v>0</v>
      </c>
      <c r="DJ36" s="168">
        <f>SUMIF('CF(M)'!$L$10:$EQ$10,DJ$6,'CF(M)'!$L41:$EQ41)</f>
        <v>0</v>
      </c>
      <c r="DK36" s="168">
        <f>SUMIF('CF(M)'!$L$10:$EQ$10,DK$6,'CF(M)'!$L41:$EQ41)</f>
        <v>0</v>
      </c>
      <c r="DL36" s="168">
        <f>SUMIF('CF(M)'!$L$10:$EQ$10,DL$6,'CF(M)'!$L41:$EQ41)</f>
        <v>0</v>
      </c>
      <c r="DM36" s="168">
        <f>SUMIF('CF(M)'!$L$10:$EQ$10,DM$6,'CF(M)'!$L41:$EQ41)</f>
        <v>0</v>
      </c>
      <c r="DN36" s="168">
        <f>SUMIF('CF(M)'!$L$10:$EQ$10,DN$6,'CF(M)'!$L41:$EQ41)</f>
        <v>0</v>
      </c>
      <c r="DO36" s="168">
        <f>SUMIF('CF(M)'!$L$10:$EQ$10,DO$6,'CF(M)'!$L41:$EQ41)</f>
        <v>0</v>
      </c>
      <c r="DP36" s="168">
        <f>SUMIF('CF(M)'!$L$10:$EQ$10,DP$6,'CF(M)'!$L41:$EQ41)</f>
        <v>0</v>
      </c>
      <c r="DQ36" s="168">
        <f>SUMIF('CF(M)'!$L$10:$EQ$10,DQ$6,'CF(M)'!$L41:$EQ41)</f>
        <v>0</v>
      </c>
      <c r="DR36" s="168">
        <f>SUMIF('CF(M)'!$L$10:$EQ$10,DR$6,'CF(M)'!$L41:$EQ41)</f>
        <v>0</v>
      </c>
      <c r="DS36" s="168">
        <f>SUMIF('CF(M)'!$L$10:$EQ$10,DS$6,'CF(M)'!$L41:$EQ41)</f>
        <v>0</v>
      </c>
      <c r="DT36" s="168">
        <f>SUMIF('CF(M)'!$L$10:$EQ$10,DT$6,'CF(M)'!$L41:$EQ41)</f>
        <v>0</v>
      </c>
      <c r="DU36" s="168">
        <f>SUMIF('CF(M)'!$L$10:$EQ$10,DU$6,'CF(M)'!$L41:$EQ41)</f>
        <v>0</v>
      </c>
      <c r="DV36" s="168">
        <f>SUMIF('CF(M)'!$L$10:$EQ$10,DV$6,'CF(M)'!$L41:$EQ41)</f>
        <v>0</v>
      </c>
    </row>
    <row r="37" spans="2:126" ht="11.25" customHeight="1">
      <c r="B37" s="218"/>
      <c r="C37" s="163"/>
      <c r="D37" s="169" t="str">
        <f>'CF(M)'!D42</f>
        <v>담보대출(2nd) 이자비용</v>
      </c>
      <c r="H37" s="146"/>
      <c r="I37" s="13"/>
      <c r="J37" s="171">
        <f t="shared" si="8"/>
        <v>-30672000</v>
      </c>
      <c r="K37" s="98"/>
      <c r="L37" s="171">
        <f>SUMIF('CF(M)'!$L$10:$EQ$10,L$6,'CF(M)'!$L42:$EQ42)</f>
        <v>0</v>
      </c>
      <c r="M37" s="171">
        <f>SUMIF('CF(M)'!$L$10:$EQ$10,M$6,'CF(M)'!$L42:$EQ42)</f>
        <v>0</v>
      </c>
      <c r="N37" s="171">
        <f>SUMIF('CF(M)'!$L$10:$EQ$10,N$6,'CF(M)'!$L42:$EQ42)</f>
        <v>0</v>
      </c>
      <c r="O37" s="171">
        <f>SUMIF('CF(M)'!$L$10:$EQ$10,O$6,'CF(M)'!$L42:$EQ42)</f>
        <v>0</v>
      </c>
      <c r="P37" s="171">
        <f>SUMIF('CF(M)'!$L$10:$EQ$10,P$6,'CF(M)'!$L42:$EQ42)</f>
        <v>0</v>
      </c>
      <c r="Q37" s="171">
        <f>SUMIF('CF(M)'!$L$10:$EQ$10,Q$6,'CF(M)'!$L42:$EQ42)</f>
        <v>-5112000</v>
      </c>
      <c r="R37" s="171">
        <f>SUMIF('CF(M)'!$L$10:$EQ$10,R$6,'CF(M)'!$L42:$EQ42)</f>
        <v>-5112000</v>
      </c>
      <c r="S37" s="171">
        <f>SUMIF('CF(M)'!$L$10:$EQ$10,S$6,'CF(M)'!$L42:$EQ42)</f>
        <v>-5112000</v>
      </c>
      <c r="T37" s="171">
        <f>SUMIF('CF(M)'!$L$10:$EQ$10,T$6,'CF(M)'!$L42:$EQ42)</f>
        <v>-5112000</v>
      </c>
      <c r="U37" s="171">
        <f>SUMIF('CF(M)'!$L$10:$EQ$10,U$6,'CF(M)'!$L42:$EQ42)</f>
        <v>-5112000</v>
      </c>
      <c r="V37" s="171">
        <f>SUMIF('CF(M)'!$L$10:$EQ$10,V$6,'CF(M)'!$L42:$EQ42)</f>
        <v>-5112000</v>
      </c>
      <c r="W37" s="171">
        <f>SUMIF('CF(M)'!$L$10:$EQ$10,W$6,'CF(M)'!$L42:$EQ42)</f>
        <v>0</v>
      </c>
      <c r="X37" s="171">
        <f>SUMIF('CF(M)'!$L$10:$EQ$10,X$6,'CF(M)'!$L42:$EQ42)</f>
        <v>0</v>
      </c>
      <c r="Y37" s="171">
        <f>SUMIF('CF(M)'!$L$10:$EQ$10,Y$6,'CF(M)'!$L42:$EQ42)</f>
        <v>0</v>
      </c>
      <c r="Z37" s="171">
        <f>SUMIF('CF(M)'!$L$10:$EQ$10,Z$6,'CF(M)'!$L42:$EQ42)</f>
        <v>0</v>
      </c>
      <c r="AA37" s="171">
        <f>SUMIF('CF(M)'!$L$10:$EQ$10,AA$6,'CF(M)'!$L42:$EQ42)</f>
        <v>0</v>
      </c>
      <c r="AB37" s="171">
        <f>SUMIF('CF(M)'!$L$10:$EQ$10,AB$6,'CF(M)'!$L42:$EQ42)</f>
        <v>0</v>
      </c>
      <c r="AC37" s="171">
        <f>SUMIF('CF(M)'!$L$10:$EQ$10,AC$6,'CF(M)'!$L42:$EQ42)</f>
        <v>0</v>
      </c>
      <c r="AD37" s="171">
        <f>SUMIF('CF(M)'!$L$10:$EQ$10,AD$6,'CF(M)'!$L42:$EQ42)</f>
        <v>0</v>
      </c>
      <c r="AE37" s="171">
        <f>SUMIF('CF(M)'!$L$10:$EQ$10,AE$6,'CF(M)'!$L42:$EQ42)</f>
        <v>0</v>
      </c>
      <c r="AF37" s="171">
        <f>SUMIF('CF(M)'!$L$10:$EQ$10,AF$6,'CF(M)'!$L42:$EQ42)</f>
        <v>0</v>
      </c>
      <c r="AG37" s="171">
        <f>SUMIF('CF(M)'!$L$10:$EQ$10,AG$6,'CF(M)'!$L42:$EQ42)</f>
        <v>0</v>
      </c>
      <c r="AH37" s="171">
        <f>SUMIF('CF(M)'!$L$10:$EQ$10,AH$6,'CF(M)'!$L42:$EQ42)</f>
        <v>0</v>
      </c>
      <c r="AI37" s="171">
        <f>SUMIF('CF(M)'!$L$10:$EQ$10,AI$6,'CF(M)'!$L42:$EQ42)</f>
        <v>0</v>
      </c>
      <c r="AJ37" s="171">
        <f>SUMIF('CF(M)'!$L$10:$EQ$10,AJ$6,'CF(M)'!$L42:$EQ42)</f>
        <v>0</v>
      </c>
      <c r="AK37" s="171">
        <f>SUMIF('CF(M)'!$L$10:$EQ$10,AK$6,'CF(M)'!$L42:$EQ42)</f>
        <v>0</v>
      </c>
      <c r="AL37" s="171">
        <f>SUMIF('CF(M)'!$L$10:$EQ$10,AL$6,'CF(M)'!$L42:$EQ42)</f>
        <v>0</v>
      </c>
      <c r="AM37" s="171">
        <f>SUMIF('CF(M)'!$L$10:$EQ$10,AM$6,'CF(M)'!$L42:$EQ42)</f>
        <v>0</v>
      </c>
      <c r="AN37" s="171">
        <f>SUMIF('CF(M)'!$L$10:$EQ$10,AN$6,'CF(M)'!$L42:$EQ42)</f>
        <v>0</v>
      </c>
      <c r="AO37" s="171">
        <f>SUMIF('CF(M)'!$L$10:$EQ$10,AO$6,'CF(M)'!$L42:$EQ42)</f>
        <v>0</v>
      </c>
      <c r="AP37" s="171">
        <f>SUMIF('CF(M)'!$L$10:$EQ$10,AP$6,'CF(M)'!$L42:$EQ42)</f>
        <v>0</v>
      </c>
      <c r="AQ37" s="171">
        <f>SUMIF('CF(M)'!$L$10:$EQ$10,AQ$6,'CF(M)'!$L42:$EQ42)</f>
        <v>0</v>
      </c>
      <c r="AR37" s="171">
        <f>SUMIF('CF(M)'!$L$10:$EQ$10,AR$6,'CF(M)'!$L42:$EQ42)</f>
        <v>0</v>
      </c>
      <c r="AS37" s="171">
        <f>SUMIF('CF(M)'!$L$10:$EQ$10,AS$6,'CF(M)'!$L42:$EQ42)</f>
        <v>0</v>
      </c>
      <c r="AT37" s="171">
        <f>SUMIF('CF(M)'!$L$10:$EQ$10,AT$6,'CF(M)'!$L42:$EQ42)</f>
        <v>0</v>
      </c>
      <c r="AU37" s="171">
        <f>SUMIF('CF(M)'!$L$10:$EQ$10,AU$6,'CF(M)'!$L42:$EQ42)</f>
        <v>0</v>
      </c>
      <c r="AV37" s="171">
        <f>SUMIF('CF(M)'!$L$10:$EQ$10,AV$6,'CF(M)'!$L42:$EQ42)</f>
        <v>0</v>
      </c>
      <c r="AW37" s="171">
        <f>SUMIF('CF(M)'!$L$10:$EQ$10,AW$6,'CF(M)'!$L42:$EQ42)</f>
        <v>0</v>
      </c>
      <c r="AX37" s="171">
        <f>SUMIF('CF(M)'!$L$10:$EQ$10,AX$6,'CF(M)'!$L42:$EQ42)</f>
        <v>0</v>
      </c>
      <c r="AY37" s="171">
        <f>SUMIF('CF(M)'!$L$10:$EQ$10,AY$6,'CF(M)'!$L42:$EQ42)</f>
        <v>0</v>
      </c>
      <c r="AZ37" s="171">
        <f>SUMIF('CF(M)'!$L$10:$EQ$10,AZ$6,'CF(M)'!$L42:$EQ42)</f>
        <v>0</v>
      </c>
      <c r="BA37" s="171">
        <f>SUMIF('CF(M)'!$L$10:$EQ$10,BA$6,'CF(M)'!$L42:$EQ42)</f>
        <v>0</v>
      </c>
      <c r="BB37" s="171">
        <f>SUMIF('CF(M)'!$L$10:$EQ$10,BB$6,'CF(M)'!$L42:$EQ42)</f>
        <v>0</v>
      </c>
      <c r="BC37" s="171">
        <f>SUMIF('CF(M)'!$L$10:$EQ$10,BC$6,'CF(M)'!$L42:$EQ42)</f>
        <v>0</v>
      </c>
      <c r="BD37" s="171">
        <f>SUMIF('CF(M)'!$L$10:$EQ$10,BD$6,'CF(M)'!$L42:$EQ42)</f>
        <v>0</v>
      </c>
      <c r="BE37" s="171">
        <f>SUMIF('CF(M)'!$L$10:$EQ$10,BE$6,'CF(M)'!$L42:$EQ42)</f>
        <v>0</v>
      </c>
      <c r="BF37" s="171">
        <f>SUMIF('CF(M)'!$L$10:$EQ$10,BF$6,'CF(M)'!$L42:$EQ42)</f>
        <v>0</v>
      </c>
      <c r="BG37" s="171">
        <f>SUMIF('CF(M)'!$L$10:$EQ$10,BG$6,'CF(M)'!$L42:$EQ42)</f>
        <v>0</v>
      </c>
      <c r="BH37" s="171">
        <f>SUMIF('CF(M)'!$L$10:$EQ$10,BH$6,'CF(M)'!$L42:$EQ42)</f>
        <v>0</v>
      </c>
      <c r="BI37" s="171">
        <f>SUMIF('CF(M)'!$L$10:$EQ$10,BI$6,'CF(M)'!$L42:$EQ42)</f>
        <v>0</v>
      </c>
      <c r="BJ37" s="171">
        <f>SUMIF('CF(M)'!$L$10:$EQ$10,BJ$6,'CF(M)'!$L42:$EQ42)</f>
        <v>0</v>
      </c>
      <c r="BK37" s="171">
        <f>SUMIF('CF(M)'!$L$10:$EQ$10,BK$6,'CF(M)'!$L42:$EQ42)</f>
        <v>0</v>
      </c>
      <c r="BL37" s="171">
        <f>SUMIF('CF(M)'!$L$10:$EQ$10,BL$6,'CF(M)'!$L42:$EQ42)</f>
        <v>0</v>
      </c>
      <c r="BM37" s="171">
        <f>SUMIF('CF(M)'!$L$10:$EQ$10,BM$6,'CF(M)'!$L42:$EQ42)</f>
        <v>0</v>
      </c>
      <c r="BN37" s="171">
        <f>SUMIF('CF(M)'!$L$10:$EQ$10,BN$6,'CF(M)'!$L42:$EQ42)</f>
        <v>0</v>
      </c>
      <c r="BO37" s="171">
        <f>SUMIF('CF(M)'!$L$10:$EQ$10,BO$6,'CF(M)'!$L42:$EQ42)</f>
        <v>0</v>
      </c>
      <c r="BP37" s="171">
        <f>SUMIF('CF(M)'!$L$10:$EQ$10,BP$6,'CF(M)'!$L42:$EQ42)</f>
        <v>0</v>
      </c>
      <c r="BQ37" s="171">
        <f>SUMIF('CF(M)'!$L$10:$EQ$10,BQ$6,'CF(M)'!$L42:$EQ42)</f>
        <v>0</v>
      </c>
      <c r="BR37" s="171">
        <f>SUMIF('CF(M)'!$L$10:$EQ$10,BR$6,'CF(M)'!$L42:$EQ42)</f>
        <v>0</v>
      </c>
      <c r="BS37" s="171">
        <f>SUMIF('CF(M)'!$L$10:$EQ$10,BS$6,'CF(M)'!$L42:$EQ42)</f>
        <v>0</v>
      </c>
      <c r="BT37" s="171">
        <f>SUMIF('CF(M)'!$L$10:$EQ$10,BT$6,'CF(M)'!$L42:$EQ42)</f>
        <v>0</v>
      </c>
      <c r="BU37" s="171">
        <f>SUMIF('CF(M)'!$L$10:$EQ$10,BU$6,'CF(M)'!$L42:$EQ42)</f>
        <v>0</v>
      </c>
      <c r="BV37" s="171">
        <f>SUMIF('CF(M)'!$L$10:$EQ$10,BV$6,'CF(M)'!$L42:$EQ42)</f>
        <v>0</v>
      </c>
      <c r="BW37" s="171">
        <f>SUMIF('CF(M)'!$L$10:$EQ$10,BW$6,'CF(M)'!$L42:$EQ42)</f>
        <v>0</v>
      </c>
      <c r="BX37" s="171">
        <f>SUMIF('CF(M)'!$L$10:$EQ$10,BX$6,'CF(M)'!$L42:$EQ42)</f>
        <v>0</v>
      </c>
      <c r="BY37" s="171">
        <f>SUMIF('CF(M)'!$L$10:$EQ$10,BY$6,'CF(M)'!$L42:$EQ42)</f>
        <v>0</v>
      </c>
      <c r="BZ37" s="171">
        <f>SUMIF('CF(M)'!$L$10:$EQ$10,BZ$6,'CF(M)'!$L42:$EQ42)</f>
        <v>0</v>
      </c>
      <c r="CA37" s="171">
        <f>SUMIF('CF(M)'!$L$10:$EQ$10,CA$6,'CF(M)'!$L42:$EQ42)</f>
        <v>0</v>
      </c>
      <c r="CB37" s="171">
        <f>SUMIF('CF(M)'!$L$10:$EQ$10,CB$6,'CF(M)'!$L42:$EQ42)</f>
        <v>0</v>
      </c>
      <c r="CC37" s="171">
        <f>SUMIF('CF(M)'!$L$10:$EQ$10,CC$6,'CF(M)'!$L42:$EQ42)</f>
        <v>0</v>
      </c>
      <c r="CD37" s="171">
        <f>SUMIF('CF(M)'!$L$10:$EQ$10,CD$6,'CF(M)'!$L42:$EQ42)</f>
        <v>0</v>
      </c>
      <c r="CE37" s="171">
        <f>SUMIF('CF(M)'!$L$10:$EQ$10,CE$6,'CF(M)'!$L42:$EQ42)</f>
        <v>0</v>
      </c>
      <c r="CF37" s="171">
        <f>SUMIF('CF(M)'!$L$10:$EQ$10,CF$6,'CF(M)'!$L42:$EQ42)</f>
        <v>0</v>
      </c>
      <c r="CG37" s="171">
        <f>SUMIF('CF(M)'!$L$10:$EQ$10,CG$6,'CF(M)'!$L42:$EQ42)</f>
        <v>0</v>
      </c>
      <c r="CH37" s="171">
        <f>SUMIF('CF(M)'!$L$10:$EQ$10,CH$6,'CF(M)'!$L42:$EQ42)</f>
        <v>0</v>
      </c>
      <c r="CI37" s="171">
        <f>SUMIF('CF(M)'!$L$10:$EQ$10,CI$6,'CF(M)'!$L42:$EQ42)</f>
        <v>0</v>
      </c>
      <c r="CJ37" s="171">
        <f>SUMIF('CF(M)'!$L$10:$EQ$10,CJ$6,'CF(M)'!$L42:$EQ42)</f>
        <v>0</v>
      </c>
      <c r="CK37" s="171">
        <f>SUMIF('CF(M)'!$L$10:$EQ$10,CK$6,'CF(M)'!$L42:$EQ42)</f>
        <v>0</v>
      </c>
      <c r="CL37" s="171">
        <f>SUMIF('CF(M)'!$L$10:$EQ$10,CL$6,'CF(M)'!$L42:$EQ42)</f>
        <v>0</v>
      </c>
      <c r="CM37" s="171">
        <f>SUMIF('CF(M)'!$L$10:$EQ$10,CM$6,'CF(M)'!$L42:$EQ42)</f>
        <v>0</v>
      </c>
      <c r="CN37" s="171">
        <f>SUMIF('CF(M)'!$L$10:$EQ$10,CN$6,'CF(M)'!$L42:$EQ42)</f>
        <v>0</v>
      </c>
      <c r="CO37" s="171">
        <f>SUMIF('CF(M)'!$L$10:$EQ$10,CO$6,'CF(M)'!$L42:$EQ42)</f>
        <v>0</v>
      </c>
      <c r="CP37" s="171">
        <f>SUMIF('CF(M)'!$L$10:$EQ$10,CP$6,'CF(M)'!$L42:$EQ42)</f>
        <v>0</v>
      </c>
      <c r="CQ37" s="171">
        <f>SUMIF('CF(M)'!$L$10:$EQ$10,CQ$6,'CF(M)'!$L42:$EQ42)</f>
        <v>0</v>
      </c>
      <c r="CR37" s="171">
        <f>SUMIF('CF(M)'!$L$10:$EQ$10,CR$6,'CF(M)'!$L42:$EQ42)</f>
        <v>0</v>
      </c>
      <c r="CS37" s="171">
        <f>SUMIF('CF(M)'!$L$10:$EQ$10,CS$6,'CF(M)'!$L42:$EQ42)</f>
        <v>0</v>
      </c>
      <c r="CT37" s="171">
        <f>SUMIF('CF(M)'!$L$10:$EQ$10,CT$6,'CF(M)'!$L42:$EQ42)</f>
        <v>0</v>
      </c>
      <c r="CU37" s="171">
        <f>SUMIF('CF(M)'!$L$10:$EQ$10,CU$6,'CF(M)'!$L42:$EQ42)</f>
        <v>0</v>
      </c>
      <c r="CV37" s="171">
        <f>SUMIF('CF(M)'!$L$10:$EQ$10,CV$6,'CF(M)'!$L42:$EQ42)</f>
        <v>0</v>
      </c>
      <c r="CW37" s="171">
        <f>SUMIF('CF(M)'!$L$10:$EQ$10,CW$6,'CF(M)'!$L42:$EQ42)</f>
        <v>0</v>
      </c>
      <c r="CX37" s="171">
        <f>SUMIF('CF(M)'!$L$10:$EQ$10,CX$6,'CF(M)'!$L42:$EQ42)</f>
        <v>0</v>
      </c>
      <c r="CY37" s="171">
        <f>SUMIF('CF(M)'!$L$10:$EQ$10,CY$6,'CF(M)'!$L42:$EQ42)</f>
        <v>0</v>
      </c>
      <c r="CZ37" s="171">
        <f>SUMIF('CF(M)'!$L$10:$EQ$10,CZ$6,'CF(M)'!$L42:$EQ42)</f>
        <v>0</v>
      </c>
      <c r="DA37" s="171">
        <f>SUMIF('CF(M)'!$L$10:$EQ$10,DA$6,'CF(M)'!$L42:$EQ42)</f>
        <v>0</v>
      </c>
      <c r="DB37" s="171">
        <f>SUMIF('CF(M)'!$L$10:$EQ$10,DB$6,'CF(M)'!$L42:$EQ42)</f>
        <v>0</v>
      </c>
      <c r="DC37" s="171">
        <f>SUMIF('CF(M)'!$L$10:$EQ$10,DC$6,'CF(M)'!$L42:$EQ42)</f>
        <v>0</v>
      </c>
      <c r="DD37" s="171">
        <f>SUMIF('CF(M)'!$L$10:$EQ$10,DD$6,'CF(M)'!$L42:$EQ42)</f>
        <v>0</v>
      </c>
      <c r="DE37" s="171">
        <f>SUMIF('CF(M)'!$L$10:$EQ$10,DE$6,'CF(M)'!$L42:$EQ42)</f>
        <v>0</v>
      </c>
      <c r="DF37" s="171">
        <f>SUMIF('CF(M)'!$L$10:$EQ$10,DF$6,'CF(M)'!$L42:$EQ42)</f>
        <v>0</v>
      </c>
      <c r="DG37" s="171">
        <f>SUMIF('CF(M)'!$L$10:$EQ$10,DG$6,'CF(M)'!$L42:$EQ42)</f>
        <v>0</v>
      </c>
      <c r="DH37" s="171">
        <f>SUMIF('CF(M)'!$L$10:$EQ$10,DH$6,'CF(M)'!$L42:$EQ42)</f>
        <v>0</v>
      </c>
      <c r="DI37" s="171">
        <f>SUMIF('CF(M)'!$L$10:$EQ$10,DI$6,'CF(M)'!$L42:$EQ42)</f>
        <v>0</v>
      </c>
      <c r="DJ37" s="171">
        <f>SUMIF('CF(M)'!$L$10:$EQ$10,DJ$6,'CF(M)'!$L42:$EQ42)</f>
        <v>0</v>
      </c>
      <c r="DK37" s="171">
        <f>SUMIF('CF(M)'!$L$10:$EQ$10,DK$6,'CF(M)'!$L42:$EQ42)</f>
        <v>0</v>
      </c>
      <c r="DL37" s="171">
        <f>SUMIF('CF(M)'!$L$10:$EQ$10,DL$6,'CF(M)'!$L42:$EQ42)</f>
        <v>0</v>
      </c>
      <c r="DM37" s="171">
        <f>SUMIF('CF(M)'!$L$10:$EQ$10,DM$6,'CF(M)'!$L42:$EQ42)</f>
        <v>0</v>
      </c>
      <c r="DN37" s="171">
        <f>SUMIF('CF(M)'!$L$10:$EQ$10,DN$6,'CF(M)'!$L42:$EQ42)</f>
        <v>0</v>
      </c>
      <c r="DO37" s="171">
        <f>SUMIF('CF(M)'!$L$10:$EQ$10,DO$6,'CF(M)'!$L42:$EQ42)</f>
        <v>0</v>
      </c>
      <c r="DP37" s="171">
        <f>SUMIF('CF(M)'!$L$10:$EQ$10,DP$6,'CF(M)'!$L42:$EQ42)</f>
        <v>0</v>
      </c>
      <c r="DQ37" s="171">
        <f>SUMIF('CF(M)'!$L$10:$EQ$10,DQ$6,'CF(M)'!$L42:$EQ42)</f>
        <v>0</v>
      </c>
      <c r="DR37" s="171">
        <f>SUMIF('CF(M)'!$L$10:$EQ$10,DR$6,'CF(M)'!$L42:$EQ42)</f>
        <v>0</v>
      </c>
      <c r="DS37" s="171">
        <f>SUMIF('CF(M)'!$L$10:$EQ$10,DS$6,'CF(M)'!$L42:$EQ42)</f>
        <v>0</v>
      </c>
      <c r="DT37" s="171">
        <f>SUMIF('CF(M)'!$L$10:$EQ$10,DT$6,'CF(M)'!$L42:$EQ42)</f>
        <v>0</v>
      </c>
      <c r="DU37" s="171">
        <f>SUMIF('CF(M)'!$L$10:$EQ$10,DU$6,'CF(M)'!$L42:$EQ42)</f>
        <v>0</v>
      </c>
      <c r="DV37" s="171">
        <f>SUMIF('CF(M)'!$L$10:$EQ$10,DV$6,'CF(M)'!$L42:$EQ42)</f>
        <v>0</v>
      </c>
    </row>
    <row r="38" spans="2:126" ht="11.25" customHeight="1">
      <c r="B38" s="218"/>
      <c r="C38" s="163"/>
      <c r="D38" s="169" t="str">
        <f>'CF(M)'!D43</f>
        <v>담보대출(3rd) 이자비용</v>
      </c>
      <c r="H38" s="146"/>
      <c r="I38" s="13"/>
      <c r="J38" s="171">
        <f t="shared" si="8"/>
        <v>-47925000</v>
      </c>
      <c r="K38" s="98"/>
      <c r="L38" s="171">
        <f>SUMIF('CF(M)'!$L$10:$EQ$10,L$6,'CF(M)'!$L43:$EQ43)</f>
        <v>0</v>
      </c>
      <c r="M38" s="171">
        <f>SUMIF('CF(M)'!$L$10:$EQ$10,M$6,'CF(M)'!$L43:$EQ43)</f>
        <v>0</v>
      </c>
      <c r="N38" s="171">
        <f>SUMIF('CF(M)'!$L$10:$EQ$10,N$6,'CF(M)'!$L43:$EQ43)</f>
        <v>0</v>
      </c>
      <c r="O38" s="171">
        <f>SUMIF('CF(M)'!$L$10:$EQ$10,O$6,'CF(M)'!$L43:$EQ43)</f>
        <v>0</v>
      </c>
      <c r="P38" s="171">
        <f>SUMIF('CF(M)'!$L$10:$EQ$10,P$6,'CF(M)'!$L43:$EQ43)</f>
        <v>0</v>
      </c>
      <c r="Q38" s="171">
        <f>SUMIF('CF(M)'!$L$10:$EQ$10,Q$6,'CF(M)'!$L43:$EQ43)</f>
        <v>0</v>
      </c>
      <c r="R38" s="171">
        <f>SUMIF('CF(M)'!$L$10:$EQ$10,R$6,'CF(M)'!$L43:$EQ43)</f>
        <v>0</v>
      </c>
      <c r="S38" s="171">
        <f>SUMIF('CF(M)'!$L$10:$EQ$10,S$6,'CF(M)'!$L43:$EQ43)</f>
        <v>0</v>
      </c>
      <c r="T38" s="171">
        <f>SUMIF('CF(M)'!$L$10:$EQ$10,T$6,'CF(M)'!$L43:$EQ43)</f>
        <v>0</v>
      </c>
      <c r="U38" s="171">
        <f>SUMIF('CF(M)'!$L$10:$EQ$10,U$6,'CF(M)'!$L43:$EQ43)</f>
        <v>0</v>
      </c>
      <c r="V38" s="171">
        <f>SUMIF('CF(M)'!$L$10:$EQ$10,V$6,'CF(M)'!$L43:$EQ43)</f>
        <v>0</v>
      </c>
      <c r="W38" s="171">
        <f>SUMIF('CF(M)'!$L$10:$EQ$10,W$6,'CF(M)'!$L43:$EQ43)</f>
        <v>-4792500</v>
      </c>
      <c r="X38" s="171">
        <f>SUMIF('CF(M)'!$L$10:$EQ$10,X$6,'CF(M)'!$L43:$EQ43)</f>
        <v>-4792500</v>
      </c>
      <c r="Y38" s="171">
        <f>SUMIF('CF(M)'!$L$10:$EQ$10,Y$6,'CF(M)'!$L43:$EQ43)</f>
        <v>-4792500</v>
      </c>
      <c r="Z38" s="171">
        <f>SUMIF('CF(M)'!$L$10:$EQ$10,Z$6,'CF(M)'!$L43:$EQ43)</f>
        <v>-4792500</v>
      </c>
      <c r="AA38" s="171">
        <f>SUMIF('CF(M)'!$L$10:$EQ$10,AA$6,'CF(M)'!$L43:$EQ43)</f>
        <v>-4792500</v>
      </c>
      <c r="AB38" s="171">
        <f>SUMIF('CF(M)'!$L$10:$EQ$10,AB$6,'CF(M)'!$L43:$EQ43)</f>
        <v>-4792500</v>
      </c>
      <c r="AC38" s="171">
        <f>SUMIF('CF(M)'!$L$10:$EQ$10,AC$6,'CF(M)'!$L43:$EQ43)</f>
        <v>-4792500</v>
      </c>
      <c r="AD38" s="171">
        <f>SUMIF('CF(M)'!$L$10:$EQ$10,AD$6,'CF(M)'!$L43:$EQ43)</f>
        <v>-4792500</v>
      </c>
      <c r="AE38" s="171">
        <f>SUMIF('CF(M)'!$L$10:$EQ$10,AE$6,'CF(M)'!$L43:$EQ43)</f>
        <v>-4792500</v>
      </c>
      <c r="AF38" s="171">
        <f>SUMIF('CF(M)'!$L$10:$EQ$10,AF$6,'CF(M)'!$L43:$EQ43)</f>
        <v>-4792500</v>
      </c>
      <c r="AG38" s="171">
        <f>SUMIF('CF(M)'!$L$10:$EQ$10,AG$6,'CF(M)'!$L43:$EQ43)</f>
        <v>0</v>
      </c>
      <c r="AH38" s="171">
        <f>SUMIF('CF(M)'!$L$10:$EQ$10,AH$6,'CF(M)'!$L43:$EQ43)</f>
        <v>0</v>
      </c>
      <c r="AI38" s="171">
        <f>SUMIF('CF(M)'!$L$10:$EQ$10,AI$6,'CF(M)'!$L43:$EQ43)</f>
        <v>0</v>
      </c>
      <c r="AJ38" s="171">
        <f>SUMIF('CF(M)'!$L$10:$EQ$10,AJ$6,'CF(M)'!$L43:$EQ43)</f>
        <v>0</v>
      </c>
      <c r="AK38" s="171">
        <f>SUMIF('CF(M)'!$L$10:$EQ$10,AK$6,'CF(M)'!$L43:$EQ43)</f>
        <v>0</v>
      </c>
      <c r="AL38" s="171">
        <f>SUMIF('CF(M)'!$L$10:$EQ$10,AL$6,'CF(M)'!$L43:$EQ43)</f>
        <v>0</v>
      </c>
      <c r="AM38" s="171">
        <f>SUMIF('CF(M)'!$L$10:$EQ$10,AM$6,'CF(M)'!$L43:$EQ43)</f>
        <v>0</v>
      </c>
      <c r="AN38" s="171">
        <f>SUMIF('CF(M)'!$L$10:$EQ$10,AN$6,'CF(M)'!$L43:$EQ43)</f>
        <v>0</v>
      </c>
      <c r="AO38" s="171">
        <f>SUMIF('CF(M)'!$L$10:$EQ$10,AO$6,'CF(M)'!$L43:$EQ43)</f>
        <v>0</v>
      </c>
      <c r="AP38" s="171">
        <f>SUMIF('CF(M)'!$L$10:$EQ$10,AP$6,'CF(M)'!$L43:$EQ43)</f>
        <v>0</v>
      </c>
      <c r="AQ38" s="171">
        <f>SUMIF('CF(M)'!$L$10:$EQ$10,AQ$6,'CF(M)'!$L43:$EQ43)</f>
        <v>0</v>
      </c>
      <c r="AR38" s="171">
        <f>SUMIF('CF(M)'!$L$10:$EQ$10,AR$6,'CF(M)'!$L43:$EQ43)</f>
        <v>0</v>
      </c>
      <c r="AS38" s="171">
        <f>SUMIF('CF(M)'!$L$10:$EQ$10,AS$6,'CF(M)'!$L43:$EQ43)</f>
        <v>0</v>
      </c>
      <c r="AT38" s="171">
        <f>SUMIF('CF(M)'!$L$10:$EQ$10,AT$6,'CF(M)'!$L43:$EQ43)</f>
        <v>0</v>
      </c>
      <c r="AU38" s="171">
        <f>SUMIF('CF(M)'!$L$10:$EQ$10,AU$6,'CF(M)'!$L43:$EQ43)</f>
        <v>0</v>
      </c>
      <c r="AV38" s="171">
        <f>SUMIF('CF(M)'!$L$10:$EQ$10,AV$6,'CF(M)'!$L43:$EQ43)</f>
        <v>0</v>
      </c>
      <c r="AW38" s="171">
        <f>SUMIF('CF(M)'!$L$10:$EQ$10,AW$6,'CF(M)'!$L43:$EQ43)</f>
        <v>0</v>
      </c>
      <c r="AX38" s="171">
        <f>SUMIF('CF(M)'!$L$10:$EQ$10,AX$6,'CF(M)'!$L43:$EQ43)</f>
        <v>0</v>
      </c>
      <c r="AY38" s="171">
        <f>SUMIF('CF(M)'!$L$10:$EQ$10,AY$6,'CF(M)'!$L43:$EQ43)</f>
        <v>0</v>
      </c>
      <c r="AZ38" s="171">
        <f>SUMIF('CF(M)'!$L$10:$EQ$10,AZ$6,'CF(M)'!$L43:$EQ43)</f>
        <v>0</v>
      </c>
      <c r="BA38" s="171">
        <f>SUMIF('CF(M)'!$L$10:$EQ$10,BA$6,'CF(M)'!$L43:$EQ43)</f>
        <v>0</v>
      </c>
      <c r="BB38" s="171">
        <f>SUMIF('CF(M)'!$L$10:$EQ$10,BB$6,'CF(M)'!$L43:$EQ43)</f>
        <v>0</v>
      </c>
      <c r="BC38" s="171">
        <f>SUMIF('CF(M)'!$L$10:$EQ$10,BC$6,'CF(M)'!$L43:$EQ43)</f>
        <v>0</v>
      </c>
      <c r="BD38" s="171">
        <f>SUMIF('CF(M)'!$L$10:$EQ$10,BD$6,'CF(M)'!$L43:$EQ43)</f>
        <v>0</v>
      </c>
      <c r="BE38" s="171">
        <f>SUMIF('CF(M)'!$L$10:$EQ$10,BE$6,'CF(M)'!$L43:$EQ43)</f>
        <v>0</v>
      </c>
      <c r="BF38" s="171">
        <f>SUMIF('CF(M)'!$L$10:$EQ$10,BF$6,'CF(M)'!$L43:$EQ43)</f>
        <v>0</v>
      </c>
      <c r="BG38" s="171">
        <f>SUMIF('CF(M)'!$L$10:$EQ$10,BG$6,'CF(M)'!$L43:$EQ43)</f>
        <v>0</v>
      </c>
      <c r="BH38" s="171">
        <f>SUMIF('CF(M)'!$L$10:$EQ$10,BH$6,'CF(M)'!$L43:$EQ43)</f>
        <v>0</v>
      </c>
      <c r="BI38" s="171">
        <f>SUMIF('CF(M)'!$L$10:$EQ$10,BI$6,'CF(M)'!$L43:$EQ43)</f>
        <v>0</v>
      </c>
      <c r="BJ38" s="171">
        <f>SUMIF('CF(M)'!$L$10:$EQ$10,BJ$6,'CF(M)'!$L43:$EQ43)</f>
        <v>0</v>
      </c>
      <c r="BK38" s="171">
        <f>SUMIF('CF(M)'!$L$10:$EQ$10,BK$6,'CF(M)'!$L43:$EQ43)</f>
        <v>0</v>
      </c>
      <c r="BL38" s="171">
        <f>SUMIF('CF(M)'!$L$10:$EQ$10,BL$6,'CF(M)'!$L43:$EQ43)</f>
        <v>0</v>
      </c>
      <c r="BM38" s="171">
        <f>SUMIF('CF(M)'!$L$10:$EQ$10,BM$6,'CF(M)'!$L43:$EQ43)</f>
        <v>0</v>
      </c>
      <c r="BN38" s="171">
        <f>SUMIF('CF(M)'!$L$10:$EQ$10,BN$6,'CF(M)'!$L43:$EQ43)</f>
        <v>0</v>
      </c>
      <c r="BO38" s="171">
        <f>SUMIF('CF(M)'!$L$10:$EQ$10,BO$6,'CF(M)'!$L43:$EQ43)</f>
        <v>0</v>
      </c>
      <c r="BP38" s="171">
        <f>SUMIF('CF(M)'!$L$10:$EQ$10,BP$6,'CF(M)'!$L43:$EQ43)</f>
        <v>0</v>
      </c>
      <c r="BQ38" s="171">
        <f>SUMIF('CF(M)'!$L$10:$EQ$10,BQ$6,'CF(M)'!$L43:$EQ43)</f>
        <v>0</v>
      </c>
      <c r="BR38" s="171">
        <f>SUMIF('CF(M)'!$L$10:$EQ$10,BR$6,'CF(M)'!$L43:$EQ43)</f>
        <v>0</v>
      </c>
      <c r="BS38" s="171">
        <f>SUMIF('CF(M)'!$L$10:$EQ$10,BS$6,'CF(M)'!$L43:$EQ43)</f>
        <v>0</v>
      </c>
      <c r="BT38" s="171">
        <f>SUMIF('CF(M)'!$L$10:$EQ$10,BT$6,'CF(M)'!$L43:$EQ43)</f>
        <v>0</v>
      </c>
      <c r="BU38" s="171">
        <f>SUMIF('CF(M)'!$L$10:$EQ$10,BU$6,'CF(M)'!$L43:$EQ43)</f>
        <v>0</v>
      </c>
      <c r="BV38" s="171">
        <f>SUMIF('CF(M)'!$L$10:$EQ$10,BV$6,'CF(M)'!$L43:$EQ43)</f>
        <v>0</v>
      </c>
      <c r="BW38" s="171">
        <f>SUMIF('CF(M)'!$L$10:$EQ$10,BW$6,'CF(M)'!$L43:$EQ43)</f>
        <v>0</v>
      </c>
      <c r="BX38" s="171">
        <f>SUMIF('CF(M)'!$L$10:$EQ$10,BX$6,'CF(M)'!$L43:$EQ43)</f>
        <v>0</v>
      </c>
      <c r="BY38" s="171">
        <f>SUMIF('CF(M)'!$L$10:$EQ$10,BY$6,'CF(M)'!$L43:$EQ43)</f>
        <v>0</v>
      </c>
      <c r="BZ38" s="171">
        <f>SUMIF('CF(M)'!$L$10:$EQ$10,BZ$6,'CF(M)'!$L43:$EQ43)</f>
        <v>0</v>
      </c>
      <c r="CA38" s="171">
        <f>SUMIF('CF(M)'!$L$10:$EQ$10,CA$6,'CF(M)'!$L43:$EQ43)</f>
        <v>0</v>
      </c>
      <c r="CB38" s="171">
        <f>SUMIF('CF(M)'!$L$10:$EQ$10,CB$6,'CF(M)'!$L43:$EQ43)</f>
        <v>0</v>
      </c>
      <c r="CC38" s="171">
        <f>SUMIF('CF(M)'!$L$10:$EQ$10,CC$6,'CF(M)'!$L43:$EQ43)</f>
        <v>0</v>
      </c>
      <c r="CD38" s="171">
        <f>SUMIF('CF(M)'!$L$10:$EQ$10,CD$6,'CF(M)'!$L43:$EQ43)</f>
        <v>0</v>
      </c>
      <c r="CE38" s="171">
        <f>SUMIF('CF(M)'!$L$10:$EQ$10,CE$6,'CF(M)'!$L43:$EQ43)</f>
        <v>0</v>
      </c>
      <c r="CF38" s="171">
        <f>SUMIF('CF(M)'!$L$10:$EQ$10,CF$6,'CF(M)'!$L43:$EQ43)</f>
        <v>0</v>
      </c>
      <c r="CG38" s="171">
        <f>SUMIF('CF(M)'!$L$10:$EQ$10,CG$6,'CF(M)'!$L43:$EQ43)</f>
        <v>0</v>
      </c>
      <c r="CH38" s="171">
        <f>SUMIF('CF(M)'!$L$10:$EQ$10,CH$6,'CF(M)'!$L43:$EQ43)</f>
        <v>0</v>
      </c>
      <c r="CI38" s="171">
        <f>SUMIF('CF(M)'!$L$10:$EQ$10,CI$6,'CF(M)'!$L43:$EQ43)</f>
        <v>0</v>
      </c>
      <c r="CJ38" s="171">
        <f>SUMIF('CF(M)'!$L$10:$EQ$10,CJ$6,'CF(M)'!$L43:$EQ43)</f>
        <v>0</v>
      </c>
      <c r="CK38" s="171">
        <f>SUMIF('CF(M)'!$L$10:$EQ$10,CK$6,'CF(M)'!$L43:$EQ43)</f>
        <v>0</v>
      </c>
      <c r="CL38" s="171">
        <f>SUMIF('CF(M)'!$L$10:$EQ$10,CL$6,'CF(M)'!$L43:$EQ43)</f>
        <v>0</v>
      </c>
      <c r="CM38" s="171">
        <f>SUMIF('CF(M)'!$L$10:$EQ$10,CM$6,'CF(M)'!$L43:$EQ43)</f>
        <v>0</v>
      </c>
      <c r="CN38" s="171">
        <f>SUMIF('CF(M)'!$L$10:$EQ$10,CN$6,'CF(M)'!$L43:$EQ43)</f>
        <v>0</v>
      </c>
      <c r="CO38" s="171">
        <f>SUMIF('CF(M)'!$L$10:$EQ$10,CO$6,'CF(M)'!$L43:$EQ43)</f>
        <v>0</v>
      </c>
      <c r="CP38" s="171">
        <f>SUMIF('CF(M)'!$L$10:$EQ$10,CP$6,'CF(M)'!$L43:$EQ43)</f>
        <v>0</v>
      </c>
      <c r="CQ38" s="171">
        <f>SUMIF('CF(M)'!$L$10:$EQ$10,CQ$6,'CF(M)'!$L43:$EQ43)</f>
        <v>0</v>
      </c>
      <c r="CR38" s="171">
        <f>SUMIF('CF(M)'!$L$10:$EQ$10,CR$6,'CF(M)'!$L43:$EQ43)</f>
        <v>0</v>
      </c>
      <c r="CS38" s="171">
        <f>SUMIF('CF(M)'!$L$10:$EQ$10,CS$6,'CF(M)'!$L43:$EQ43)</f>
        <v>0</v>
      </c>
      <c r="CT38" s="171">
        <f>SUMIF('CF(M)'!$L$10:$EQ$10,CT$6,'CF(M)'!$L43:$EQ43)</f>
        <v>0</v>
      </c>
      <c r="CU38" s="171">
        <f>SUMIF('CF(M)'!$L$10:$EQ$10,CU$6,'CF(M)'!$L43:$EQ43)</f>
        <v>0</v>
      </c>
      <c r="CV38" s="171">
        <f>SUMIF('CF(M)'!$L$10:$EQ$10,CV$6,'CF(M)'!$L43:$EQ43)</f>
        <v>0</v>
      </c>
      <c r="CW38" s="171">
        <f>SUMIF('CF(M)'!$L$10:$EQ$10,CW$6,'CF(M)'!$L43:$EQ43)</f>
        <v>0</v>
      </c>
      <c r="CX38" s="171">
        <f>SUMIF('CF(M)'!$L$10:$EQ$10,CX$6,'CF(M)'!$L43:$EQ43)</f>
        <v>0</v>
      </c>
      <c r="CY38" s="171">
        <f>SUMIF('CF(M)'!$L$10:$EQ$10,CY$6,'CF(M)'!$L43:$EQ43)</f>
        <v>0</v>
      </c>
      <c r="CZ38" s="171">
        <f>SUMIF('CF(M)'!$L$10:$EQ$10,CZ$6,'CF(M)'!$L43:$EQ43)</f>
        <v>0</v>
      </c>
      <c r="DA38" s="171">
        <f>SUMIF('CF(M)'!$L$10:$EQ$10,DA$6,'CF(M)'!$L43:$EQ43)</f>
        <v>0</v>
      </c>
      <c r="DB38" s="171">
        <f>SUMIF('CF(M)'!$L$10:$EQ$10,DB$6,'CF(M)'!$L43:$EQ43)</f>
        <v>0</v>
      </c>
      <c r="DC38" s="171">
        <f>SUMIF('CF(M)'!$L$10:$EQ$10,DC$6,'CF(M)'!$L43:$EQ43)</f>
        <v>0</v>
      </c>
      <c r="DD38" s="171">
        <f>SUMIF('CF(M)'!$L$10:$EQ$10,DD$6,'CF(M)'!$L43:$EQ43)</f>
        <v>0</v>
      </c>
      <c r="DE38" s="171">
        <f>SUMIF('CF(M)'!$L$10:$EQ$10,DE$6,'CF(M)'!$L43:$EQ43)</f>
        <v>0</v>
      </c>
      <c r="DF38" s="171">
        <f>SUMIF('CF(M)'!$L$10:$EQ$10,DF$6,'CF(M)'!$L43:$EQ43)</f>
        <v>0</v>
      </c>
      <c r="DG38" s="171">
        <f>SUMIF('CF(M)'!$L$10:$EQ$10,DG$6,'CF(M)'!$L43:$EQ43)</f>
        <v>0</v>
      </c>
      <c r="DH38" s="171">
        <f>SUMIF('CF(M)'!$L$10:$EQ$10,DH$6,'CF(M)'!$L43:$EQ43)</f>
        <v>0</v>
      </c>
      <c r="DI38" s="171">
        <f>SUMIF('CF(M)'!$L$10:$EQ$10,DI$6,'CF(M)'!$L43:$EQ43)</f>
        <v>0</v>
      </c>
      <c r="DJ38" s="171">
        <f>SUMIF('CF(M)'!$L$10:$EQ$10,DJ$6,'CF(M)'!$L43:$EQ43)</f>
        <v>0</v>
      </c>
      <c r="DK38" s="171">
        <f>SUMIF('CF(M)'!$L$10:$EQ$10,DK$6,'CF(M)'!$L43:$EQ43)</f>
        <v>0</v>
      </c>
      <c r="DL38" s="171">
        <f>SUMIF('CF(M)'!$L$10:$EQ$10,DL$6,'CF(M)'!$L43:$EQ43)</f>
        <v>0</v>
      </c>
      <c r="DM38" s="171">
        <f>SUMIF('CF(M)'!$L$10:$EQ$10,DM$6,'CF(M)'!$L43:$EQ43)</f>
        <v>0</v>
      </c>
      <c r="DN38" s="171">
        <f>SUMIF('CF(M)'!$L$10:$EQ$10,DN$6,'CF(M)'!$L43:$EQ43)</f>
        <v>0</v>
      </c>
      <c r="DO38" s="171">
        <f>SUMIF('CF(M)'!$L$10:$EQ$10,DO$6,'CF(M)'!$L43:$EQ43)</f>
        <v>0</v>
      </c>
      <c r="DP38" s="171">
        <f>SUMIF('CF(M)'!$L$10:$EQ$10,DP$6,'CF(M)'!$L43:$EQ43)</f>
        <v>0</v>
      </c>
      <c r="DQ38" s="171">
        <f>SUMIF('CF(M)'!$L$10:$EQ$10,DQ$6,'CF(M)'!$L43:$EQ43)</f>
        <v>0</v>
      </c>
      <c r="DR38" s="171">
        <f>SUMIF('CF(M)'!$L$10:$EQ$10,DR$6,'CF(M)'!$L43:$EQ43)</f>
        <v>0</v>
      </c>
      <c r="DS38" s="171">
        <f>SUMIF('CF(M)'!$L$10:$EQ$10,DS$6,'CF(M)'!$L43:$EQ43)</f>
        <v>0</v>
      </c>
      <c r="DT38" s="171">
        <f>SUMIF('CF(M)'!$L$10:$EQ$10,DT$6,'CF(M)'!$L43:$EQ43)</f>
        <v>0</v>
      </c>
      <c r="DU38" s="171">
        <f>SUMIF('CF(M)'!$L$10:$EQ$10,DU$6,'CF(M)'!$L43:$EQ43)</f>
        <v>0</v>
      </c>
      <c r="DV38" s="171">
        <f>SUMIF('CF(M)'!$L$10:$EQ$10,DV$6,'CF(M)'!$L43:$EQ43)</f>
        <v>0</v>
      </c>
    </row>
    <row r="39" spans="2:126" ht="11.25" customHeight="1">
      <c r="B39" s="218"/>
      <c r="C39" s="163"/>
      <c r="D39" s="885" t="str">
        <f>'CF(M)'!D44</f>
        <v>중순위대출 이자비용</v>
      </c>
      <c r="E39" s="886"/>
      <c r="F39" s="886"/>
      <c r="G39" s="886"/>
      <c r="H39" s="1647"/>
      <c r="I39" s="887"/>
      <c r="J39" s="888">
        <f t="shared" si="8"/>
        <v>-4560000</v>
      </c>
      <c r="K39" s="98"/>
      <c r="L39" s="888">
        <f>SUMIF('CF(M)'!$L$10:$EQ$10,L$6,'CF(M)'!$L44:$EQ44)</f>
        <v>0</v>
      </c>
      <c r="M39" s="888">
        <f>SUMIF('CF(M)'!$L$10:$EQ$10,M$6,'CF(M)'!$L44:$EQ44)</f>
        <v>-1140000</v>
      </c>
      <c r="N39" s="888">
        <f>SUMIF('CF(M)'!$L$10:$EQ$10,N$6,'CF(M)'!$L44:$EQ44)</f>
        <v>-1140000</v>
      </c>
      <c r="O39" s="888">
        <f>SUMIF('CF(M)'!$L$10:$EQ$10,O$6,'CF(M)'!$L44:$EQ44)</f>
        <v>-1140000</v>
      </c>
      <c r="P39" s="888">
        <f>SUMIF('CF(M)'!$L$10:$EQ$10,P$6,'CF(M)'!$L44:$EQ44)</f>
        <v>-1140000</v>
      </c>
      <c r="Q39" s="888">
        <f>SUMIF('CF(M)'!$L$10:$EQ$10,Q$6,'CF(M)'!$L44:$EQ44)</f>
        <v>0</v>
      </c>
      <c r="R39" s="888">
        <f>SUMIF('CF(M)'!$L$10:$EQ$10,R$6,'CF(M)'!$L44:$EQ44)</f>
        <v>0</v>
      </c>
      <c r="S39" s="888">
        <f>SUMIF('CF(M)'!$L$10:$EQ$10,S$6,'CF(M)'!$L44:$EQ44)</f>
        <v>0</v>
      </c>
      <c r="T39" s="888">
        <f>SUMIF('CF(M)'!$L$10:$EQ$10,T$6,'CF(M)'!$L44:$EQ44)</f>
        <v>0</v>
      </c>
      <c r="U39" s="888">
        <f>SUMIF('CF(M)'!$L$10:$EQ$10,U$6,'CF(M)'!$L44:$EQ44)</f>
        <v>0</v>
      </c>
      <c r="V39" s="888">
        <f>SUMIF('CF(M)'!$L$10:$EQ$10,V$6,'CF(M)'!$L44:$EQ44)</f>
        <v>0</v>
      </c>
      <c r="W39" s="888">
        <f>SUMIF('CF(M)'!$L$10:$EQ$10,W$6,'CF(M)'!$L44:$EQ44)</f>
        <v>0</v>
      </c>
      <c r="X39" s="888">
        <f>SUMIF('CF(M)'!$L$10:$EQ$10,X$6,'CF(M)'!$L44:$EQ44)</f>
        <v>0</v>
      </c>
      <c r="Y39" s="888">
        <f>SUMIF('CF(M)'!$L$10:$EQ$10,Y$6,'CF(M)'!$L44:$EQ44)</f>
        <v>0</v>
      </c>
      <c r="Z39" s="888">
        <f>SUMIF('CF(M)'!$L$10:$EQ$10,Z$6,'CF(M)'!$L44:$EQ44)</f>
        <v>0</v>
      </c>
      <c r="AA39" s="888">
        <f>SUMIF('CF(M)'!$L$10:$EQ$10,AA$6,'CF(M)'!$L44:$EQ44)</f>
        <v>0</v>
      </c>
      <c r="AB39" s="888">
        <f>SUMIF('CF(M)'!$L$10:$EQ$10,AB$6,'CF(M)'!$L44:$EQ44)</f>
        <v>0</v>
      </c>
      <c r="AC39" s="888">
        <f>SUMIF('CF(M)'!$L$10:$EQ$10,AC$6,'CF(M)'!$L44:$EQ44)</f>
        <v>0</v>
      </c>
      <c r="AD39" s="888">
        <f>SUMIF('CF(M)'!$L$10:$EQ$10,AD$6,'CF(M)'!$L44:$EQ44)</f>
        <v>0</v>
      </c>
      <c r="AE39" s="888">
        <f>SUMIF('CF(M)'!$L$10:$EQ$10,AE$6,'CF(M)'!$L44:$EQ44)</f>
        <v>0</v>
      </c>
      <c r="AF39" s="888">
        <f>SUMIF('CF(M)'!$L$10:$EQ$10,AF$6,'CF(M)'!$L44:$EQ44)</f>
        <v>0</v>
      </c>
      <c r="AG39" s="888">
        <f>SUMIF('CF(M)'!$L$10:$EQ$10,AG$6,'CF(M)'!$L44:$EQ44)</f>
        <v>0</v>
      </c>
      <c r="AH39" s="888">
        <f>SUMIF('CF(M)'!$L$10:$EQ$10,AH$6,'CF(M)'!$L44:$EQ44)</f>
        <v>0</v>
      </c>
      <c r="AI39" s="888">
        <f>SUMIF('CF(M)'!$L$10:$EQ$10,AI$6,'CF(M)'!$L44:$EQ44)</f>
        <v>0</v>
      </c>
      <c r="AJ39" s="888">
        <f>SUMIF('CF(M)'!$L$10:$EQ$10,AJ$6,'CF(M)'!$L44:$EQ44)</f>
        <v>0</v>
      </c>
      <c r="AK39" s="888">
        <f>SUMIF('CF(M)'!$L$10:$EQ$10,AK$6,'CF(M)'!$L44:$EQ44)</f>
        <v>0</v>
      </c>
      <c r="AL39" s="888">
        <f>SUMIF('CF(M)'!$L$10:$EQ$10,AL$6,'CF(M)'!$L44:$EQ44)</f>
        <v>0</v>
      </c>
      <c r="AM39" s="888">
        <f>SUMIF('CF(M)'!$L$10:$EQ$10,AM$6,'CF(M)'!$L44:$EQ44)</f>
        <v>0</v>
      </c>
      <c r="AN39" s="888">
        <f>SUMIF('CF(M)'!$L$10:$EQ$10,AN$6,'CF(M)'!$L44:$EQ44)</f>
        <v>0</v>
      </c>
      <c r="AO39" s="888">
        <f>SUMIF('CF(M)'!$L$10:$EQ$10,AO$6,'CF(M)'!$L44:$EQ44)</f>
        <v>0</v>
      </c>
      <c r="AP39" s="888">
        <f>SUMIF('CF(M)'!$L$10:$EQ$10,AP$6,'CF(M)'!$L44:$EQ44)</f>
        <v>0</v>
      </c>
      <c r="AQ39" s="888">
        <f>SUMIF('CF(M)'!$L$10:$EQ$10,AQ$6,'CF(M)'!$L44:$EQ44)</f>
        <v>0</v>
      </c>
      <c r="AR39" s="888">
        <f>SUMIF('CF(M)'!$L$10:$EQ$10,AR$6,'CF(M)'!$L44:$EQ44)</f>
        <v>0</v>
      </c>
      <c r="AS39" s="888">
        <f>SUMIF('CF(M)'!$L$10:$EQ$10,AS$6,'CF(M)'!$L44:$EQ44)</f>
        <v>0</v>
      </c>
      <c r="AT39" s="888">
        <f>SUMIF('CF(M)'!$L$10:$EQ$10,AT$6,'CF(M)'!$L44:$EQ44)</f>
        <v>0</v>
      </c>
      <c r="AU39" s="888">
        <f>SUMIF('CF(M)'!$L$10:$EQ$10,AU$6,'CF(M)'!$L44:$EQ44)</f>
        <v>0</v>
      </c>
      <c r="AV39" s="888">
        <f>SUMIF('CF(M)'!$L$10:$EQ$10,AV$6,'CF(M)'!$L44:$EQ44)</f>
        <v>0</v>
      </c>
      <c r="AW39" s="888">
        <f>SUMIF('CF(M)'!$L$10:$EQ$10,AW$6,'CF(M)'!$L44:$EQ44)</f>
        <v>0</v>
      </c>
      <c r="AX39" s="888">
        <f>SUMIF('CF(M)'!$L$10:$EQ$10,AX$6,'CF(M)'!$L44:$EQ44)</f>
        <v>0</v>
      </c>
      <c r="AY39" s="888">
        <f>SUMIF('CF(M)'!$L$10:$EQ$10,AY$6,'CF(M)'!$L44:$EQ44)</f>
        <v>0</v>
      </c>
      <c r="AZ39" s="888">
        <f>SUMIF('CF(M)'!$L$10:$EQ$10,AZ$6,'CF(M)'!$L44:$EQ44)</f>
        <v>0</v>
      </c>
      <c r="BA39" s="888">
        <f>SUMIF('CF(M)'!$L$10:$EQ$10,BA$6,'CF(M)'!$L44:$EQ44)</f>
        <v>0</v>
      </c>
      <c r="BB39" s="888">
        <f>SUMIF('CF(M)'!$L$10:$EQ$10,BB$6,'CF(M)'!$L44:$EQ44)</f>
        <v>0</v>
      </c>
      <c r="BC39" s="888">
        <f>SUMIF('CF(M)'!$L$10:$EQ$10,BC$6,'CF(M)'!$L44:$EQ44)</f>
        <v>0</v>
      </c>
      <c r="BD39" s="888">
        <f>SUMIF('CF(M)'!$L$10:$EQ$10,BD$6,'CF(M)'!$L44:$EQ44)</f>
        <v>0</v>
      </c>
      <c r="BE39" s="888">
        <f>SUMIF('CF(M)'!$L$10:$EQ$10,BE$6,'CF(M)'!$L44:$EQ44)</f>
        <v>0</v>
      </c>
      <c r="BF39" s="888">
        <f>SUMIF('CF(M)'!$L$10:$EQ$10,BF$6,'CF(M)'!$L44:$EQ44)</f>
        <v>0</v>
      </c>
      <c r="BG39" s="888">
        <f>SUMIF('CF(M)'!$L$10:$EQ$10,BG$6,'CF(M)'!$L44:$EQ44)</f>
        <v>0</v>
      </c>
      <c r="BH39" s="888">
        <f>SUMIF('CF(M)'!$L$10:$EQ$10,BH$6,'CF(M)'!$L44:$EQ44)</f>
        <v>0</v>
      </c>
      <c r="BI39" s="888">
        <f>SUMIF('CF(M)'!$L$10:$EQ$10,BI$6,'CF(M)'!$L44:$EQ44)</f>
        <v>0</v>
      </c>
      <c r="BJ39" s="888">
        <f>SUMIF('CF(M)'!$L$10:$EQ$10,BJ$6,'CF(M)'!$L44:$EQ44)</f>
        <v>0</v>
      </c>
      <c r="BK39" s="888">
        <f>SUMIF('CF(M)'!$L$10:$EQ$10,BK$6,'CF(M)'!$L44:$EQ44)</f>
        <v>0</v>
      </c>
      <c r="BL39" s="888">
        <f>SUMIF('CF(M)'!$L$10:$EQ$10,BL$6,'CF(M)'!$L44:$EQ44)</f>
        <v>0</v>
      </c>
      <c r="BM39" s="888">
        <f>SUMIF('CF(M)'!$L$10:$EQ$10,BM$6,'CF(M)'!$L44:$EQ44)</f>
        <v>0</v>
      </c>
      <c r="BN39" s="888">
        <f>SUMIF('CF(M)'!$L$10:$EQ$10,BN$6,'CF(M)'!$L44:$EQ44)</f>
        <v>0</v>
      </c>
      <c r="BO39" s="888">
        <f>SUMIF('CF(M)'!$L$10:$EQ$10,BO$6,'CF(M)'!$L44:$EQ44)</f>
        <v>0</v>
      </c>
      <c r="BP39" s="888">
        <f>SUMIF('CF(M)'!$L$10:$EQ$10,BP$6,'CF(M)'!$L44:$EQ44)</f>
        <v>0</v>
      </c>
      <c r="BQ39" s="888">
        <f>SUMIF('CF(M)'!$L$10:$EQ$10,BQ$6,'CF(M)'!$L44:$EQ44)</f>
        <v>0</v>
      </c>
      <c r="BR39" s="888">
        <f>SUMIF('CF(M)'!$L$10:$EQ$10,BR$6,'CF(M)'!$L44:$EQ44)</f>
        <v>0</v>
      </c>
      <c r="BS39" s="888">
        <f>SUMIF('CF(M)'!$L$10:$EQ$10,BS$6,'CF(M)'!$L44:$EQ44)</f>
        <v>0</v>
      </c>
      <c r="BT39" s="888">
        <f>SUMIF('CF(M)'!$L$10:$EQ$10,BT$6,'CF(M)'!$L44:$EQ44)</f>
        <v>0</v>
      </c>
      <c r="BU39" s="888">
        <f>SUMIF('CF(M)'!$L$10:$EQ$10,BU$6,'CF(M)'!$L44:$EQ44)</f>
        <v>0</v>
      </c>
      <c r="BV39" s="888">
        <f>SUMIF('CF(M)'!$L$10:$EQ$10,BV$6,'CF(M)'!$L44:$EQ44)</f>
        <v>0</v>
      </c>
      <c r="BW39" s="888">
        <f>SUMIF('CF(M)'!$L$10:$EQ$10,BW$6,'CF(M)'!$L44:$EQ44)</f>
        <v>0</v>
      </c>
      <c r="BX39" s="888">
        <f>SUMIF('CF(M)'!$L$10:$EQ$10,BX$6,'CF(M)'!$L44:$EQ44)</f>
        <v>0</v>
      </c>
      <c r="BY39" s="888">
        <f>SUMIF('CF(M)'!$L$10:$EQ$10,BY$6,'CF(M)'!$L44:$EQ44)</f>
        <v>0</v>
      </c>
      <c r="BZ39" s="888">
        <f>SUMIF('CF(M)'!$L$10:$EQ$10,BZ$6,'CF(M)'!$L44:$EQ44)</f>
        <v>0</v>
      </c>
      <c r="CA39" s="888">
        <f>SUMIF('CF(M)'!$L$10:$EQ$10,CA$6,'CF(M)'!$L44:$EQ44)</f>
        <v>0</v>
      </c>
      <c r="CB39" s="888">
        <f>SUMIF('CF(M)'!$L$10:$EQ$10,CB$6,'CF(M)'!$L44:$EQ44)</f>
        <v>0</v>
      </c>
      <c r="CC39" s="888">
        <f>SUMIF('CF(M)'!$L$10:$EQ$10,CC$6,'CF(M)'!$L44:$EQ44)</f>
        <v>0</v>
      </c>
      <c r="CD39" s="888">
        <f>SUMIF('CF(M)'!$L$10:$EQ$10,CD$6,'CF(M)'!$L44:$EQ44)</f>
        <v>0</v>
      </c>
      <c r="CE39" s="888">
        <f>SUMIF('CF(M)'!$L$10:$EQ$10,CE$6,'CF(M)'!$L44:$EQ44)</f>
        <v>0</v>
      </c>
      <c r="CF39" s="888">
        <f>SUMIF('CF(M)'!$L$10:$EQ$10,CF$6,'CF(M)'!$L44:$EQ44)</f>
        <v>0</v>
      </c>
      <c r="CG39" s="888">
        <f>SUMIF('CF(M)'!$L$10:$EQ$10,CG$6,'CF(M)'!$L44:$EQ44)</f>
        <v>0</v>
      </c>
      <c r="CH39" s="888">
        <f>SUMIF('CF(M)'!$L$10:$EQ$10,CH$6,'CF(M)'!$L44:$EQ44)</f>
        <v>0</v>
      </c>
      <c r="CI39" s="888">
        <f>SUMIF('CF(M)'!$L$10:$EQ$10,CI$6,'CF(M)'!$L44:$EQ44)</f>
        <v>0</v>
      </c>
      <c r="CJ39" s="888">
        <f>SUMIF('CF(M)'!$L$10:$EQ$10,CJ$6,'CF(M)'!$L44:$EQ44)</f>
        <v>0</v>
      </c>
      <c r="CK39" s="888">
        <f>SUMIF('CF(M)'!$L$10:$EQ$10,CK$6,'CF(M)'!$L44:$EQ44)</f>
        <v>0</v>
      </c>
      <c r="CL39" s="888">
        <f>SUMIF('CF(M)'!$L$10:$EQ$10,CL$6,'CF(M)'!$L44:$EQ44)</f>
        <v>0</v>
      </c>
      <c r="CM39" s="888">
        <f>SUMIF('CF(M)'!$L$10:$EQ$10,CM$6,'CF(M)'!$L44:$EQ44)</f>
        <v>0</v>
      </c>
      <c r="CN39" s="888">
        <f>SUMIF('CF(M)'!$L$10:$EQ$10,CN$6,'CF(M)'!$L44:$EQ44)</f>
        <v>0</v>
      </c>
      <c r="CO39" s="888">
        <f>SUMIF('CF(M)'!$L$10:$EQ$10,CO$6,'CF(M)'!$L44:$EQ44)</f>
        <v>0</v>
      </c>
      <c r="CP39" s="888">
        <f>SUMIF('CF(M)'!$L$10:$EQ$10,CP$6,'CF(M)'!$L44:$EQ44)</f>
        <v>0</v>
      </c>
      <c r="CQ39" s="888">
        <f>SUMIF('CF(M)'!$L$10:$EQ$10,CQ$6,'CF(M)'!$L44:$EQ44)</f>
        <v>0</v>
      </c>
      <c r="CR39" s="888">
        <f>SUMIF('CF(M)'!$L$10:$EQ$10,CR$6,'CF(M)'!$L44:$EQ44)</f>
        <v>0</v>
      </c>
      <c r="CS39" s="888">
        <f>SUMIF('CF(M)'!$L$10:$EQ$10,CS$6,'CF(M)'!$L44:$EQ44)</f>
        <v>0</v>
      </c>
      <c r="CT39" s="888">
        <f>SUMIF('CF(M)'!$L$10:$EQ$10,CT$6,'CF(M)'!$L44:$EQ44)</f>
        <v>0</v>
      </c>
      <c r="CU39" s="888">
        <f>SUMIF('CF(M)'!$L$10:$EQ$10,CU$6,'CF(M)'!$L44:$EQ44)</f>
        <v>0</v>
      </c>
      <c r="CV39" s="888">
        <f>SUMIF('CF(M)'!$L$10:$EQ$10,CV$6,'CF(M)'!$L44:$EQ44)</f>
        <v>0</v>
      </c>
      <c r="CW39" s="888">
        <f>SUMIF('CF(M)'!$L$10:$EQ$10,CW$6,'CF(M)'!$L44:$EQ44)</f>
        <v>0</v>
      </c>
      <c r="CX39" s="888">
        <f>SUMIF('CF(M)'!$L$10:$EQ$10,CX$6,'CF(M)'!$L44:$EQ44)</f>
        <v>0</v>
      </c>
      <c r="CY39" s="888">
        <f>SUMIF('CF(M)'!$L$10:$EQ$10,CY$6,'CF(M)'!$L44:$EQ44)</f>
        <v>0</v>
      </c>
      <c r="CZ39" s="888">
        <f>SUMIF('CF(M)'!$L$10:$EQ$10,CZ$6,'CF(M)'!$L44:$EQ44)</f>
        <v>0</v>
      </c>
      <c r="DA39" s="888">
        <f>SUMIF('CF(M)'!$L$10:$EQ$10,DA$6,'CF(M)'!$L44:$EQ44)</f>
        <v>0</v>
      </c>
      <c r="DB39" s="888">
        <f>SUMIF('CF(M)'!$L$10:$EQ$10,DB$6,'CF(M)'!$L44:$EQ44)</f>
        <v>0</v>
      </c>
      <c r="DC39" s="888">
        <f>SUMIF('CF(M)'!$L$10:$EQ$10,DC$6,'CF(M)'!$L44:$EQ44)</f>
        <v>0</v>
      </c>
      <c r="DD39" s="888">
        <f>SUMIF('CF(M)'!$L$10:$EQ$10,DD$6,'CF(M)'!$L44:$EQ44)</f>
        <v>0</v>
      </c>
      <c r="DE39" s="888">
        <f>SUMIF('CF(M)'!$L$10:$EQ$10,DE$6,'CF(M)'!$L44:$EQ44)</f>
        <v>0</v>
      </c>
      <c r="DF39" s="888">
        <f>SUMIF('CF(M)'!$L$10:$EQ$10,DF$6,'CF(M)'!$L44:$EQ44)</f>
        <v>0</v>
      </c>
      <c r="DG39" s="888">
        <f>SUMIF('CF(M)'!$L$10:$EQ$10,DG$6,'CF(M)'!$L44:$EQ44)</f>
        <v>0</v>
      </c>
      <c r="DH39" s="888">
        <f>SUMIF('CF(M)'!$L$10:$EQ$10,DH$6,'CF(M)'!$L44:$EQ44)</f>
        <v>0</v>
      </c>
      <c r="DI39" s="888">
        <f>SUMIF('CF(M)'!$L$10:$EQ$10,DI$6,'CF(M)'!$L44:$EQ44)</f>
        <v>0</v>
      </c>
      <c r="DJ39" s="888">
        <f>SUMIF('CF(M)'!$L$10:$EQ$10,DJ$6,'CF(M)'!$L44:$EQ44)</f>
        <v>0</v>
      </c>
      <c r="DK39" s="888">
        <f>SUMIF('CF(M)'!$L$10:$EQ$10,DK$6,'CF(M)'!$L44:$EQ44)</f>
        <v>0</v>
      </c>
      <c r="DL39" s="888">
        <f>SUMIF('CF(M)'!$L$10:$EQ$10,DL$6,'CF(M)'!$L44:$EQ44)</f>
        <v>0</v>
      </c>
      <c r="DM39" s="888">
        <f>SUMIF('CF(M)'!$L$10:$EQ$10,DM$6,'CF(M)'!$L44:$EQ44)</f>
        <v>0</v>
      </c>
      <c r="DN39" s="888">
        <f>SUMIF('CF(M)'!$L$10:$EQ$10,DN$6,'CF(M)'!$L44:$EQ44)</f>
        <v>0</v>
      </c>
      <c r="DO39" s="888">
        <f>SUMIF('CF(M)'!$L$10:$EQ$10,DO$6,'CF(M)'!$L44:$EQ44)</f>
        <v>0</v>
      </c>
      <c r="DP39" s="888">
        <f>SUMIF('CF(M)'!$L$10:$EQ$10,DP$6,'CF(M)'!$L44:$EQ44)</f>
        <v>0</v>
      </c>
      <c r="DQ39" s="888">
        <f>SUMIF('CF(M)'!$L$10:$EQ$10,DQ$6,'CF(M)'!$L44:$EQ44)</f>
        <v>0</v>
      </c>
      <c r="DR39" s="888">
        <f>SUMIF('CF(M)'!$L$10:$EQ$10,DR$6,'CF(M)'!$L44:$EQ44)</f>
        <v>0</v>
      </c>
      <c r="DS39" s="888">
        <f>SUMIF('CF(M)'!$L$10:$EQ$10,DS$6,'CF(M)'!$L44:$EQ44)</f>
        <v>0</v>
      </c>
      <c r="DT39" s="888">
        <f>SUMIF('CF(M)'!$L$10:$EQ$10,DT$6,'CF(M)'!$L44:$EQ44)</f>
        <v>0</v>
      </c>
      <c r="DU39" s="888">
        <f>SUMIF('CF(M)'!$L$10:$EQ$10,DU$6,'CF(M)'!$L44:$EQ44)</f>
        <v>0</v>
      </c>
      <c r="DV39" s="888">
        <f>SUMIF('CF(M)'!$L$10:$EQ$10,DV$6,'CF(M)'!$L44:$EQ44)</f>
        <v>0</v>
      </c>
    </row>
    <row r="40" spans="2:126" ht="11.25" customHeight="1">
      <c r="B40" s="218"/>
      <c r="C40" s="163"/>
      <c r="D40" s="169" t="str">
        <f>'CF(M)'!D45</f>
        <v>중순위대출(2nd) 이자비용</v>
      </c>
      <c r="H40" s="146"/>
      <c r="I40" s="13"/>
      <c r="J40" s="171">
        <f t="shared" si="8"/>
        <v>0</v>
      </c>
      <c r="K40" s="98"/>
      <c r="L40" s="171">
        <f>SUMIF('CF(M)'!$L$10:$EQ$10,L$6,'CF(M)'!$L45:$EQ45)</f>
        <v>0</v>
      </c>
      <c r="M40" s="171">
        <f>SUMIF('CF(M)'!$L$10:$EQ$10,M$6,'CF(M)'!$L45:$EQ45)</f>
        <v>0</v>
      </c>
      <c r="N40" s="171">
        <f>SUMIF('CF(M)'!$L$10:$EQ$10,N$6,'CF(M)'!$L45:$EQ45)</f>
        <v>0</v>
      </c>
      <c r="O40" s="171">
        <f>SUMIF('CF(M)'!$L$10:$EQ$10,O$6,'CF(M)'!$L45:$EQ45)</f>
        <v>0</v>
      </c>
      <c r="P40" s="171">
        <f>SUMIF('CF(M)'!$L$10:$EQ$10,P$6,'CF(M)'!$L45:$EQ45)</f>
        <v>0</v>
      </c>
      <c r="Q40" s="171">
        <f>SUMIF('CF(M)'!$L$10:$EQ$10,Q$6,'CF(M)'!$L45:$EQ45)</f>
        <v>0</v>
      </c>
      <c r="R40" s="171">
        <f>SUMIF('CF(M)'!$L$10:$EQ$10,R$6,'CF(M)'!$L45:$EQ45)</f>
        <v>0</v>
      </c>
      <c r="S40" s="171">
        <f>SUMIF('CF(M)'!$L$10:$EQ$10,S$6,'CF(M)'!$L45:$EQ45)</f>
        <v>0</v>
      </c>
      <c r="T40" s="171">
        <f>SUMIF('CF(M)'!$L$10:$EQ$10,T$6,'CF(M)'!$L45:$EQ45)</f>
        <v>0</v>
      </c>
      <c r="U40" s="171">
        <f>SUMIF('CF(M)'!$L$10:$EQ$10,U$6,'CF(M)'!$L45:$EQ45)</f>
        <v>0</v>
      </c>
      <c r="V40" s="171">
        <f>SUMIF('CF(M)'!$L$10:$EQ$10,V$6,'CF(M)'!$L45:$EQ45)</f>
        <v>0</v>
      </c>
      <c r="W40" s="171">
        <f>SUMIF('CF(M)'!$L$10:$EQ$10,W$6,'CF(M)'!$L45:$EQ45)</f>
        <v>0</v>
      </c>
      <c r="X40" s="171">
        <f>SUMIF('CF(M)'!$L$10:$EQ$10,X$6,'CF(M)'!$L45:$EQ45)</f>
        <v>0</v>
      </c>
      <c r="Y40" s="171">
        <f>SUMIF('CF(M)'!$L$10:$EQ$10,Y$6,'CF(M)'!$L45:$EQ45)</f>
        <v>0</v>
      </c>
      <c r="Z40" s="171">
        <f>SUMIF('CF(M)'!$L$10:$EQ$10,Z$6,'CF(M)'!$L45:$EQ45)</f>
        <v>0</v>
      </c>
      <c r="AA40" s="171">
        <f>SUMIF('CF(M)'!$L$10:$EQ$10,AA$6,'CF(M)'!$L45:$EQ45)</f>
        <v>0</v>
      </c>
      <c r="AB40" s="171">
        <f>SUMIF('CF(M)'!$L$10:$EQ$10,AB$6,'CF(M)'!$L45:$EQ45)</f>
        <v>0</v>
      </c>
      <c r="AC40" s="171">
        <f>SUMIF('CF(M)'!$L$10:$EQ$10,AC$6,'CF(M)'!$L45:$EQ45)</f>
        <v>0</v>
      </c>
      <c r="AD40" s="171">
        <f>SUMIF('CF(M)'!$L$10:$EQ$10,AD$6,'CF(M)'!$L45:$EQ45)</f>
        <v>0</v>
      </c>
      <c r="AE40" s="171">
        <f>SUMIF('CF(M)'!$L$10:$EQ$10,AE$6,'CF(M)'!$L45:$EQ45)</f>
        <v>0</v>
      </c>
      <c r="AF40" s="171">
        <f>SUMIF('CF(M)'!$L$10:$EQ$10,AF$6,'CF(M)'!$L45:$EQ45)</f>
        <v>0</v>
      </c>
      <c r="AG40" s="171">
        <f>SUMIF('CF(M)'!$L$10:$EQ$10,AG$6,'CF(M)'!$L45:$EQ45)</f>
        <v>0</v>
      </c>
      <c r="AH40" s="171">
        <f>SUMIF('CF(M)'!$L$10:$EQ$10,AH$6,'CF(M)'!$L45:$EQ45)</f>
        <v>0</v>
      </c>
      <c r="AI40" s="171">
        <f>SUMIF('CF(M)'!$L$10:$EQ$10,AI$6,'CF(M)'!$L45:$EQ45)</f>
        <v>0</v>
      </c>
      <c r="AJ40" s="171">
        <f>SUMIF('CF(M)'!$L$10:$EQ$10,AJ$6,'CF(M)'!$L45:$EQ45)</f>
        <v>0</v>
      </c>
      <c r="AK40" s="171">
        <f>SUMIF('CF(M)'!$L$10:$EQ$10,AK$6,'CF(M)'!$L45:$EQ45)</f>
        <v>0</v>
      </c>
      <c r="AL40" s="171">
        <f>SUMIF('CF(M)'!$L$10:$EQ$10,AL$6,'CF(M)'!$L45:$EQ45)</f>
        <v>0</v>
      </c>
      <c r="AM40" s="171">
        <f>SUMIF('CF(M)'!$L$10:$EQ$10,AM$6,'CF(M)'!$L45:$EQ45)</f>
        <v>0</v>
      </c>
      <c r="AN40" s="171">
        <f>SUMIF('CF(M)'!$L$10:$EQ$10,AN$6,'CF(M)'!$L45:$EQ45)</f>
        <v>0</v>
      </c>
      <c r="AO40" s="171">
        <f>SUMIF('CF(M)'!$L$10:$EQ$10,AO$6,'CF(M)'!$L45:$EQ45)</f>
        <v>0</v>
      </c>
      <c r="AP40" s="171">
        <f>SUMIF('CF(M)'!$L$10:$EQ$10,AP$6,'CF(M)'!$L45:$EQ45)</f>
        <v>0</v>
      </c>
      <c r="AQ40" s="171">
        <f>SUMIF('CF(M)'!$L$10:$EQ$10,AQ$6,'CF(M)'!$L45:$EQ45)</f>
        <v>0</v>
      </c>
      <c r="AR40" s="171">
        <f>SUMIF('CF(M)'!$L$10:$EQ$10,AR$6,'CF(M)'!$L45:$EQ45)</f>
        <v>0</v>
      </c>
      <c r="AS40" s="171">
        <f>SUMIF('CF(M)'!$L$10:$EQ$10,AS$6,'CF(M)'!$L45:$EQ45)</f>
        <v>0</v>
      </c>
      <c r="AT40" s="171">
        <f>SUMIF('CF(M)'!$L$10:$EQ$10,AT$6,'CF(M)'!$L45:$EQ45)</f>
        <v>0</v>
      </c>
      <c r="AU40" s="171">
        <f>SUMIF('CF(M)'!$L$10:$EQ$10,AU$6,'CF(M)'!$L45:$EQ45)</f>
        <v>0</v>
      </c>
      <c r="AV40" s="171">
        <f>SUMIF('CF(M)'!$L$10:$EQ$10,AV$6,'CF(M)'!$L45:$EQ45)</f>
        <v>0</v>
      </c>
      <c r="AW40" s="171">
        <f>SUMIF('CF(M)'!$L$10:$EQ$10,AW$6,'CF(M)'!$L45:$EQ45)</f>
        <v>0</v>
      </c>
      <c r="AX40" s="171">
        <f>SUMIF('CF(M)'!$L$10:$EQ$10,AX$6,'CF(M)'!$L45:$EQ45)</f>
        <v>0</v>
      </c>
      <c r="AY40" s="171">
        <f>SUMIF('CF(M)'!$L$10:$EQ$10,AY$6,'CF(M)'!$L45:$EQ45)</f>
        <v>0</v>
      </c>
      <c r="AZ40" s="171">
        <f>SUMIF('CF(M)'!$L$10:$EQ$10,AZ$6,'CF(M)'!$L45:$EQ45)</f>
        <v>0</v>
      </c>
      <c r="BA40" s="171">
        <f>SUMIF('CF(M)'!$L$10:$EQ$10,BA$6,'CF(M)'!$L45:$EQ45)</f>
        <v>0</v>
      </c>
      <c r="BB40" s="171">
        <f>SUMIF('CF(M)'!$L$10:$EQ$10,BB$6,'CF(M)'!$L45:$EQ45)</f>
        <v>0</v>
      </c>
      <c r="BC40" s="171">
        <f>SUMIF('CF(M)'!$L$10:$EQ$10,BC$6,'CF(M)'!$L45:$EQ45)</f>
        <v>0</v>
      </c>
      <c r="BD40" s="171">
        <f>SUMIF('CF(M)'!$L$10:$EQ$10,BD$6,'CF(M)'!$L45:$EQ45)</f>
        <v>0</v>
      </c>
      <c r="BE40" s="171">
        <f>SUMIF('CF(M)'!$L$10:$EQ$10,BE$6,'CF(M)'!$L45:$EQ45)</f>
        <v>0</v>
      </c>
      <c r="BF40" s="171">
        <f>SUMIF('CF(M)'!$L$10:$EQ$10,BF$6,'CF(M)'!$L45:$EQ45)</f>
        <v>0</v>
      </c>
      <c r="BG40" s="171">
        <f>SUMIF('CF(M)'!$L$10:$EQ$10,BG$6,'CF(M)'!$L45:$EQ45)</f>
        <v>0</v>
      </c>
      <c r="BH40" s="171">
        <f>SUMIF('CF(M)'!$L$10:$EQ$10,BH$6,'CF(M)'!$L45:$EQ45)</f>
        <v>0</v>
      </c>
      <c r="BI40" s="171">
        <f>SUMIF('CF(M)'!$L$10:$EQ$10,BI$6,'CF(M)'!$L45:$EQ45)</f>
        <v>0</v>
      </c>
      <c r="BJ40" s="171">
        <f>SUMIF('CF(M)'!$L$10:$EQ$10,BJ$6,'CF(M)'!$L45:$EQ45)</f>
        <v>0</v>
      </c>
      <c r="BK40" s="171">
        <f>SUMIF('CF(M)'!$L$10:$EQ$10,BK$6,'CF(M)'!$L45:$EQ45)</f>
        <v>0</v>
      </c>
      <c r="BL40" s="171">
        <f>SUMIF('CF(M)'!$L$10:$EQ$10,BL$6,'CF(M)'!$L45:$EQ45)</f>
        <v>0</v>
      </c>
      <c r="BM40" s="171">
        <f>SUMIF('CF(M)'!$L$10:$EQ$10,BM$6,'CF(M)'!$L45:$EQ45)</f>
        <v>0</v>
      </c>
      <c r="BN40" s="171">
        <f>SUMIF('CF(M)'!$L$10:$EQ$10,BN$6,'CF(M)'!$L45:$EQ45)</f>
        <v>0</v>
      </c>
      <c r="BO40" s="171">
        <f>SUMIF('CF(M)'!$L$10:$EQ$10,BO$6,'CF(M)'!$L45:$EQ45)</f>
        <v>0</v>
      </c>
      <c r="BP40" s="171">
        <f>SUMIF('CF(M)'!$L$10:$EQ$10,BP$6,'CF(M)'!$L45:$EQ45)</f>
        <v>0</v>
      </c>
      <c r="BQ40" s="171">
        <f>SUMIF('CF(M)'!$L$10:$EQ$10,BQ$6,'CF(M)'!$L45:$EQ45)</f>
        <v>0</v>
      </c>
      <c r="BR40" s="171">
        <f>SUMIF('CF(M)'!$L$10:$EQ$10,BR$6,'CF(M)'!$L45:$EQ45)</f>
        <v>0</v>
      </c>
      <c r="BS40" s="171">
        <f>SUMIF('CF(M)'!$L$10:$EQ$10,BS$6,'CF(M)'!$L45:$EQ45)</f>
        <v>0</v>
      </c>
      <c r="BT40" s="171">
        <f>SUMIF('CF(M)'!$L$10:$EQ$10,BT$6,'CF(M)'!$L45:$EQ45)</f>
        <v>0</v>
      </c>
      <c r="BU40" s="171">
        <f>SUMIF('CF(M)'!$L$10:$EQ$10,BU$6,'CF(M)'!$L45:$EQ45)</f>
        <v>0</v>
      </c>
      <c r="BV40" s="171">
        <f>SUMIF('CF(M)'!$L$10:$EQ$10,BV$6,'CF(M)'!$L45:$EQ45)</f>
        <v>0</v>
      </c>
      <c r="BW40" s="171">
        <f>SUMIF('CF(M)'!$L$10:$EQ$10,BW$6,'CF(M)'!$L45:$EQ45)</f>
        <v>0</v>
      </c>
      <c r="BX40" s="171">
        <f>SUMIF('CF(M)'!$L$10:$EQ$10,BX$6,'CF(M)'!$L45:$EQ45)</f>
        <v>0</v>
      </c>
      <c r="BY40" s="171">
        <f>SUMIF('CF(M)'!$L$10:$EQ$10,BY$6,'CF(M)'!$L45:$EQ45)</f>
        <v>0</v>
      </c>
      <c r="BZ40" s="171">
        <f>SUMIF('CF(M)'!$L$10:$EQ$10,BZ$6,'CF(M)'!$L45:$EQ45)</f>
        <v>0</v>
      </c>
      <c r="CA40" s="171">
        <f>SUMIF('CF(M)'!$L$10:$EQ$10,CA$6,'CF(M)'!$L45:$EQ45)</f>
        <v>0</v>
      </c>
      <c r="CB40" s="171">
        <f>SUMIF('CF(M)'!$L$10:$EQ$10,CB$6,'CF(M)'!$L45:$EQ45)</f>
        <v>0</v>
      </c>
      <c r="CC40" s="171">
        <f>SUMIF('CF(M)'!$L$10:$EQ$10,CC$6,'CF(M)'!$L45:$EQ45)</f>
        <v>0</v>
      </c>
      <c r="CD40" s="171">
        <f>SUMIF('CF(M)'!$L$10:$EQ$10,CD$6,'CF(M)'!$L45:$EQ45)</f>
        <v>0</v>
      </c>
      <c r="CE40" s="171">
        <f>SUMIF('CF(M)'!$L$10:$EQ$10,CE$6,'CF(M)'!$L45:$EQ45)</f>
        <v>0</v>
      </c>
      <c r="CF40" s="171">
        <f>SUMIF('CF(M)'!$L$10:$EQ$10,CF$6,'CF(M)'!$L45:$EQ45)</f>
        <v>0</v>
      </c>
      <c r="CG40" s="171">
        <f>SUMIF('CF(M)'!$L$10:$EQ$10,CG$6,'CF(M)'!$L45:$EQ45)</f>
        <v>0</v>
      </c>
      <c r="CH40" s="171">
        <f>SUMIF('CF(M)'!$L$10:$EQ$10,CH$6,'CF(M)'!$L45:$EQ45)</f>
        <v>0</v>
      </c>
      <c r="CI40" s="171">
        <f>SUMIF('CF(M)'!$L$10:$EQ$10,CI$6,'CF(M)'!$L45:$EQ45)</f>
        <v>0</v>
      </c>
      <c r="CJ40" s="171">
        <f>SUMIF('CF(M)'!$L$10:$EQ$10,CJ$6,'CF(M)'!$L45:$EQ45)</f>
        <v>0</v>
      </c>
      <c r="CK40" s="171">
        <f>SUMIF('CF(M)'!$L$10:$EQ$10,CK$6,'CF(M)'!$L45:$EQ45)</f>
        <v>0</v>
      </c>
      <c r="CL40" s="171">
        <f>SUMIF('CF(M)'!$L$10:$EQ$10,CL$6,'CF(M)'!$L45:$EQ45)</f>
        <v>0</v>
      </c>
      <c r="CM40" s="171">
        <f>SUMIF('CF(M)'!$L$10:$EQ$10,CM$6,'CF(M)'!$L45:$EQ45)</f>
        <v>0</v>
      </c>
      <c r="CN40" s="171">
        <f>SUMIF('CF(M)'!$L$10:$EQ$10,CN$6,'CF(M)'!$L45:$EQ45)</f>
        <v>0</v>
      </c>
      <c r="CO40" s="171">
        <f>SUMIF('CF(M)'!$L$10:$EQ$10,CO$6,'CF(M)'!$L45:$EQ45)</f>
        <v>0</v>
      </c>
      <c r="CP40" s="171">
        <f>SUMIF('CF(M)'!$L$10:$EQ$10,CP$6,'CF(M)'!$L45:$EQ45)</f>
        <v>0</v>
      </c>
      <c r="CQ40" s="171">
        <f>SUMIF('CF(M)'!$L$10:$EQ$10,CQ$6,'CF(M)'!$L45:$EQ45)</f>
        <v>0</v>
      </c>
      <c r="CR40" s="171">
        <f>SUMIF('CF(M)'!$L$10:$EQ$10,CR$6,'CF(M)'!$L45:$EQ45)</f>
        <v>0</v>
      </c>
      <c r="CS40" s="171">
        <f>SUMIF('CF(M)'!$L$10:$EQ$10,CS$6,'CF(M)'!$L45:$EQ45)</f>
        <v>0</v>
      </c>
      <c r="CT40" s="171">
        <f>SUMIF('CF(M)'!$L$10:$EQ$10,CT$6,'CF(M)'!$L45:$EQ45)</f>
        <v>0</v>
      </c>
      <c r="CU40" s="171">
        <f>SUMIF('CF(M)'!$L$10:$EQ$10,CU$6,'CF(M)'!$L45:$EQ45)</f>
        <v>0</v>
      </c>
      <c r="CV40" s="171">
        <f>SUMIF('CF(M)'!$L$10:$EQ$10,CV$6,'CF(M)'!$L45:$EQ45)</f>
        <v>0</v>
      </c>
      <c r="CW40" s="171">
        <f>SUMIF('CF(M)'!$L$10:$EQ$10,CW$6,'CF(M)'!$L45:$EQ45)</f>
        <v>0</v>
      </c>
      <c r="CX40" s="171">
        <f>SUMIF('CF(M)'!$L$10:$EQ$10,CX$6,'CF(M)'!$L45:$EQ45)</f>
        <v>0</v>
      </c>
      <c r="CY40" s="171">
        <f>SUMIF('CF(M)'!$L$10:$EQ$10,CY$6,'CF(M)'!$L45:$EQ45)</f>
        <v>0</v>
      </c>
      <c r="CZ40" s="171">
        <f>SUMIF('CF(M)'!$L$10:$EQ$10,CZ$6,'CF(M)'!$L45:$EQ45)</f>
        <v>0</v>
      </c>
      <c r="DA40" s="171">
        <f>SUMIF('CF(M)'!$L$10:$EQ$10,DA$6,'CF(M)'!$L45:$EQ45)</f>
        <v>0</v>
      </c>
      <c r="DB40" s="171">
        <f>SUMIF('CF(M)'!$L$10:$EQ$10,DB$6,'CF(M)'!$L45:$EQ45)</f>
        <v>0</v>
      </c>
      <c r="DC40" s="171">
        <f>SUMIF('CF(M)'!$L$10:$EQ$10,DC$6,'CF(M)'!$L45:$EQ45)</f>
        <v>0</v>
      </c>
      <c r="DD40" s="171">
        <f>SUMIF('CF(M)'!$L$10:$EQ$10,DD$6,'CF(M)'!$L45:$EQ45)</f>
        <v>0</v>
      </c>
      <c r="DE40" s="171">
        <f>SUMIF('CF(M)'!$L$10:$EQ$10,DE$6,'CF(M)'!$L45:$EQ45)</f>
        <v>0</v>
      </c>
      <c r="DF40" s="171">
        <f>SUMIF('CF(M)'!$L$10:$EQ$10,DF$6,'CF(M)'!$L45:$EQ45)</f>
        <v>0</v>
      </c>
      <c r="DG40" s="171">
        <f>SUMIF('CF(M)'!$L$10:$EQ$10,DG$6,'CF(M)'!$L45:$EQ45)</f>
        <v>0</v>
      </c>
      <c r="DH40" s="171">
        <f>SUMIF('CF(M)'!$L$10:$EQ$10,DH$6,'CF(M)'!$L45:$EQ45)</f>
        <v>0</v>
      </c>
      <c r="DI40" s="171">
        <f>SUMIF('CF(M)'!$L$10:$EQ$10,DI$6,'CF(M)'!$L45:$EQ45)</f>
        <v>0</v>
      </c>
      <c r="DJ40" s="171">
        <f>SUMIF('CF(M)'!$L$10:$EQ$10,DJ$6,'CF(M)'!$L45:$EQ45)</f>
        <v>0</v>
      </c>
      <c r="DK40" s="171">
        <f>SUMIF('CF(M)'!$L$10:$EQ$10,DK$6,'CF(M)'!$L45:$EQ45)</f>
        <v>0</v>
      </c>
      <c r="DL40" s="171">
        <f>SUMIF('CF(M)'!$L$10:$EQ$10,DL$6,'CF(M)'!$L45:$EQ45)</f>
        <v>0</v>
      </c>
      <c r="DM40" s="171">
        <f>SUMIF('CF(M)'!$L$10:$EQ$10,DM$6,'CF(M)'!$L45:$EQ45)</f>
        <v>0</v>
      </c>
      <c r="DN40" s="171">
        <f>SUMIF('CF(M)'!$L$10:$EQ$10,DN$6,'CF(M)'!$L45:$EQ45)</f>
        <v>0</v>
      </c>
      <c r="DO40" s="171">
        <f>SUMIF('CF(M)'!$L$10:$EQ$10,DO$6,'CF(M)'!$L45:$EQ45)</f>
        <v>0</v>
      </c>
      <c r="DP40" s="171">
        <f>SUMIF('CF(M)'!$L$10:$EQ$10,DP$6,'CF(M)'!$L45:$EQ45)</f>
        <v>0</v>
      </c>
      <c r="DQ40" s="171">
        <f>SUMIF('CF(M)'!$L$10:$EQ$10,DQ$6,'CF(M)'!$L45:$EQ45)</f>
        <v>0</v>
      </c>
      <c r="DR40" s="171">
        <f>SUMIF('CF(M)'!$L$10:$EQ$10,DR$6,'CF(M)'!$L45:$EQ45)</f>
        <v>0</v>
      </c>
      <c r="DS40" s="171">
        <f>SUMIF('CF(M)'!$L$10:$EQ$10,DS$6,'CF(M)'!$L45:$EQ45)</f>
        <v>0</v>
      </c>
      <c r="DT40" s="171">
        <f>SUMIF('CF(M)'!$L$10:$EQ$10,DT$6,'CF(M)'!$L45:$EQ45)</f>
        <v>0</v>
      </c>
      <c r="DU40" s="171">
        <f>SUMIF('CF(M)'!$L$10:$EQ$10,DU$6,'CF(M)'!$L45:$EQ45)</f>
        <v>0</v>
      </c>
      <c r="DV40" s="171">
        <f>SUMIF('CF(M)'!$L$10:$EQ$10,DV$6,'CF(M)'!$L45:$EQ45)</f>
        <v>0</v>
      </c>
    </row>
    <row r="41" spans="2:126" ht="11.25" customHeight="1">
      <c r="B41" s="218"/>
      <c r="C41" s="163"/>
      <c r="D41" s="1017" t="str">
        <f>'CF(M)'!D46</f>
        <v>중순위대출(3rd) 이자비용</v>
      </c>
      <c r="E41" s="1018"/>
      <c r="F41" s="1018"/>
      <c r="G41" s="1018"/>
      <c r="H41" s="1020"/>
      <c r="I41" s="1648"/>
      <c r="J41" s="997">
        <f t="shared" si="8"/>
        <v>0</v>
      </c>
      <c r="K41" s="98"/>
      <c r="L41" s="997">
        <f>SUMIF('CF(M)'!$L$10:$EQ$10,L$6,'CF(M)'!$L46:$EQ46)</f>
        <v>0</v>
      </c>
      <c r="M41" s="997">
        <f>SUMIF('CF(M)'!$L$10:$EQ$10,M$6,'CF(M)'!$L46:$EQ46)</f>
        <v>0</v>
      </c>
      <c r="N41" s="997">
        <f>SUMIF('CF(M)'!$L$10:$EQ$10,N$6,'CF(M)'!$L46:$EQ46)</f>
        <v>0</v>
      </c>
      <c r="O41" s="997">
        <f>SUMIF('CF(M)'!$L$10:$EQ$10,O$6,'CF(M)'!$L46:$EQ46)</f>
        <v>0</v>
      </c>
      <c r="P41" s="997">
        <f>SUMIF('CF(M)'!$L$10:$EQ$10,P$6,'CF(M)'!$L46:$EQ46)</f>
        <v>0</v>
      </c>
      <c r="Q41" s="997">
        <f>SUMIF('CF(M)'!$L$10:$EQ$10,Q$6,'CF(M)'!$L46:$EQ46)</f>
        <v>0</v>
      </c>
      <c r="R41" s="997">
        <f>SUMIF('CF(M)'!$L$10:$EQ$10,R$6,'CF(M)'!$L46:$EQ46)</f>
        <v>0</v>
      </c>
      <c r="S41" s="997">
        <f>SUMIF('CF(M)'!$L$10:$EQ$10,S$6,'CF(M)'!$L46:$EQ46)</f>
        <v>0</v>
      </c>
      <c r="T41" s="997">
        <f>SUMIF('CF(M)'!$L$10:$EQ$10,T$6,'CF(M)'!$L46:$EQ46)</f>
        <v>0</v>
      </c>
      <c r="U41" s="997">
        <f>SUMIF('CF(M)'!$L$10:$EQ$10,U$6,'CF(M)'!$L46:$EQ46)</f>
        <v>0</v>
      </c>
      <c r="V41" s="997">
        <f>SUMIF('CF(M)'!$L$10:$EQ$10,V$6,'CF(M)'!$L46:$EQ46)</f>
        <v>0</v>
      </c>
      <c r="W41" s="997">
        <f>SUMIF('CF(M)'!$L$10:$EQ$10,W$6,'CF(M)'!$L46:$EQ46)</f>
        <v>0</v>
      </c>
      <c r="X41" s="997">
        <f>SUMIF('CF(M)'!$L$10:$EQ$10,X$6,'CF(M)'!$L46:$EQ46)</f>
        <v>0</v>
      </c>
      <c r="Y41" s="997">
        <f>SUMIF('CF(M)'!$L$10:$EQ$10,Y$6,'CF(M)'!$L46:$EQ46)</f>
        <v>0</v>
      </c>
      <c r="Z41" s="997">
        <f>SUMIF('CF(M)'!$L$10:$EQ$10,Z$6,'CF(M)'!$L46:$EQ46)</f>
        <v>0</v>
      </c>
      <c r="AA41" s="997">
        <f>SUMIF('CF(M)'!$L$10:$EQ$10,AA$6,'CF(M)'!$L46:$EQ46)</f>
        <v>0</v>
      </c>
      <c r="AB41" s="997">
        <f>SUMIF('CF(M)'!$L$10:$EQ$10,AB$6,'CF(M)'!$L46:$EQ46)</f>
        <v>0</v>
      </c>
      <c r="AC41" s="997">
        <f>SUMIF('CF(M)'!$L$10:$EQ$10,AC$6,'CF(M)'!$L46:$EQ46)</f>
        <v>0</v>
      </c>
      <c r="AD41" s="997">
        <f>SUMIF('CF(M)'!$L$10:$EQ$10,AD$6,'CF(M)'!$L46:$EQ46)</f>
        <v>0</v>
      </c>
      <c r="AE41" s="997">
        <f>SUMIF('CF(M)'!$L$10:$EQ$10,AE$6,'CF(M)'!$L46:$EQ46)</f>
        <v>0</v>
      </c>
      <c r="AF41" s="997">
        <f>SUMIF('CF(M)'!$L$10:$EQ$10,AF$6,'CF(M)'!$L46:$EQ46)</f>
        <v>0</v>
      </c>
      <c r="AG41" s="997">
        <f>SUMIF('CF(M)'!$L$10:$EQ$10,AG$6,'CF(M)'!$L46:$EQ46)</f>
        <v>0</v>
      </c>
      <c r="AH41" s="997">
        <f>SUMIF('CF(M)'!$L$10:$EQ$10,AH$6,'CF(M)'!$L46:$EQ46)</f>
        <v>0</v>
      </c>
      <c r="AI41" s="997">
        <f>SUMIF('CF(M)'!$L$10:$EQ$10,AI$6,'CF(M)'!$L46:$EQ46)</f>
        <v>0</v>
      </c>
      <c r="AJ41" s="997">
        <f>SUMIF('CF(M)'!$L$10:$EQ$10,AJ$6,'CF(M)'!$L46:$EQ46)</f>
        <v>0</v>
      </c>
      <c r="AK41" s="997">
        <f>SUMIF('CF(M)'!$L$10:$EQ$10,AK$6,'CF(M)'!$L46:$EQ46)</f>
        <v>0</v>
      </c>
      <c r="AL41" s="997">
        <f>SUMIF('CF(M)'!$L$10:$EQ$10,AL$6,'CF(M)'!$L46:$EQ46)</f>
        <v>0</v>
      </c>
      <c r="AM41" s="997">
        <f>SUMIF('CF(M)'!$L$10:$EQ$10,AM$6,'CF(M)'!$L46:$EQ46)</f>
        <v>0</v>
      </c>
      <c r="AN41" s="997">
        <f>SUMIF('CF(M)'!$L$10:$EQ$10,AN$6,'CF(M)'!$L46:$EQ46)</f>
        <v>0</v>
      </c>
      <c r="AO41" s="997">
        <f>SUMIF('CF(M)'!$L$10:$EQ$10,AO$6,'CF(M)'!$L46:$EQ46)</f>
        <v>0</v>
      </c>
      <c r="AP41" s="997">
        <f>SUMIF('CF(M)'!$L$10:$EQ$10,AP$6,'CF(M)'!$L46:$EQ46)</f>
        <v>0</v>
      </c>
      <c r="AQ41" s="997">
        <f>SUMIF('CF(M)'!$L$10:$EQ$10,AQ$6,'CF(M)'!$L46:$EQ46)</f>
        <v>0</v>
      </c>
      <c r="AR41" s="997">
        <f>SUMIF('CF(M)'!$L$10:$EQ$10,AR$6,'CF(M)'!$L46:$EQ46)</f>
        <v>0</v>
      </c>
      <c r="AS41" s="997">
        <f>SUMIF('CF(M)'!$L$10:$EQ$10,AS$6,'CF(M)'!$L46:$EQ46)</f>
        <v>0</v>
      </c>
      <c r="AT41" s="997">
        <f>SUMIF('CF(M)'!$L$10:$EQ$10,AT$6,'CF(M)'!$L46:$EQ46)</f>
        <v>0</v>
      </c>
      <c r="AU41" s="997">
        <f>SUMIF('CF(M)'!$L$10:$EQ$10,AU$6,'CF(M)'!$L46:$EQ46)</f>
        <v>0</v>
      </c>
      <c r="AV41" s="997">
        <f>SUMIF('CF(M)'!$L$10:$EQ$10,AV$6,'CF(M)'!$L46:$EQ46)</f>
        <v>0</v>
      </c>
      <c r="AW41" s="997">
        <f>SUMIF('CF(M)'!$L$10:$EQ$10,AW$6,'CF(M)'!$L46:$EQ46)</f>
        <v>0</v>
      </c>
      <c r="AX41" s="997">
        <f>SUMIF('CF(M)'!$L$10:$EQ$10,AX$6,'CF(M)'!$L46:$EQ46)</f>
        <v>0</v>
      </c>
      <c r="AY41" s="997">
        <f>SUMIF('CF(M)'!$L$10:$EQ$10,AY$6,'CF(M)'!$L46:$EQ46)</f>
        <v>0</v>
      </c>
      <c r="AZ41" s="997">
        <f>SUMIF('CF(M)'!$L$10:$EQ$10,AZ$6,'CF(M)'!$L46:$EQ46)</f>
        <v>0</v>
      </c>
      <c r="BA41" s="997">
        <f>SUMIF('CF(M)'!$L$10:$EQ$10,BA$6,'CF(M)'!$L46:$EQ46)</f>
        <v>0</v>
      </c>
      <c r="BB41" s="997">
        <f>SUMIF('CF(M)'!$L$10:$EQ$10,BB$6,'CF(M)'!$L46:$EQ46)</f>
        <v>0</v>
      </c>
      <c r="BC41" s="997">
        <f>SUMIF('CF(M)'!$L$10:$EQ$10,BC$6,'CF(M)'!$L46:$EQ46)</f>
        <v>0</v>
      </c>
      <c r="BD41" s="997">
        <f>SUMIF('CF(M)'!$L$10:$EQ$10,BD$6,'CF(M)'!$L46:$EQ46)</f>
        <v>0</v>
      </c>
      <c r="BE41" s="997">
        <f>SUMIF('CF(M)'!$L$10:$EQ$10,BE$6,'CF(M)'!$L46:$EQ46)</f>
        <v>0</v>
      </c>
      <c r="BF41" s="997">
        <f>SUMIF('CF(M)'!$L$10:$EQ$10,BF$6,'CF(M)'!$L46:$EQ46)</f>
        <v>0</v>
      </c>
      <c r="BG41" s="997">
        <f>SUMIF('CF(M)'!$L$10:$EQ$10,BG$6,'CF(M)'!$L46:$EQ46)</f>
        <v>0</v>
      </c>
      <c r="BH41" s="997">
        <f>SUMIF('CF(M)'!$L$10:$EQ$10,BH$6,'CF(M)'!$L46:$EQ46)</f>
        <v>0</v>
      </c>
      <c r="BI41" s="997">
        <f>SUMIF('CF(M)'!$L$10:$EQ$10,BI$6,'CF(M)'!$L46:$EQ46)</f>
        <v>0</v>
      </c>
      <c r="BJ41" s="997">
        <f>SUMIF('CF(M)'!$L$10:$EQ$10,BJ$6,'CF(M)'!$L46:$EQ46)</f>
        <v>0</v>
      </c>
      <c r="BK41" s="997">
        <f>SUMIF('CF(M)'!$L$10:$EQ$10,BK$6,'CF(M)'!$L46:$EQ46)</f>
        <v>0</v>
      </c>
      <c r="BL41" s="997">
        <f>SUMIF('CF(M)'!$L$10:$EQ$10,BL$6,'CF(M)'!$L46:$EQ46)</f>
        <v>0</v>
      </c>
      <c r="BM41" s="997">
        <f>SUMIF('CF(M)'!$L$10:$EQ$10,BM$6,'CF(M)'!$L46:$EQ46)</f>
        <v>0</v>
      </c>
      <c r="BN41" s="997">
        <f>SUMIF('CF(M)'!$L$10:$EQ$10,BN$6,'CF(M)'!$L46:$EQ46)</f>
        <v>0</v>
      </c>
      <c r="BO41" s="997">
        <f>SUMIF('CF(M)'!$L$10:$EQ$10,BO$6,'CF(M)'!$L46:$EQ46)</f>
        <v>0</v>
      </c>
      <c r="BP41" s="997">
        <f>SUMIF('CF(M)'!$L$10:$EQ$10,BP$6,'CF(M)'!$L46:$EQ46)</f>
        <v>0</v>
      </c>
      <c r="BQ41" s="997">
        <f>SUMIF('CF(M)'!$L$10:$EQ$10,BQ$6,'CF(M)'!$L46:$EQ46)</f>
        <v>0</v>
      </c>
      <c r="BR41" s="997">
        <f>SUMIF('CF(M)'!$L$10:$EQ$10,BR$6,'CF(M)'!$L46:$EQ46)</f>
        <v>0</v>
      </c>
      <c r="BS41" s="997">
        <f>SUMIF('CF(M)'!$L$10:$EQ$10,BS$6,'CF(M)'!$L46:$EQ46)</f>
        <v>0</v>
      </c>
      <c r="BT41" s="997">
        <f>SUMIF('CF(M)'!$L$10:$EQ$10,BT$6,'CF(M)'!$L46:$EQ46)</f>
        <v>0</v>
      </c>
      <c r="BU41" s="997">
        <f>SUMIF('CF(M)'!$L$10:$EQ$10,BU$6,'CF(M)'!$L46:$EQ46)</f>
        <v>0</v>
      </c>
      <c r="BV41" s="997">
        <f>SUMIF('CF(M)'!$L$10:$EQ$10,BV$6,'CF(M)'!$L46:$EQ46)</f>
        <v>0</v>
      </c>
      <c r="BW41" s="997">
        <f>SUMIF('CF(M)'!$L$10:$EQ$10,BW$6,'CF(M)'!$L46:$EQ46)</f>
        <v>0</v>
      </c>
      <c r="BX41" s="997">
        <f>SUMIF('CF(M)'!$L$10:$EQ$10,BX$6,'CF(M)'!$L46:$EQ46)</f>
        <v>0</v>
      </c>
      <c r="BY41" s="997">
        <f>SUMIF('CF(M)'!$L$10:$EQ$10,BY$6,'CF(M)'!$L46:$EQ46)</f>
        <v>0</v>
      </c>
      <c r="BZ41" s="997">
        <f>SUMIF('CF(M)'!$L$10:$EQ$10,BZ$6,'CF(M)'!$L46:$EQ46)</f>
        <v>0</v>
      </c>
      <c r="CA41" s="997">
        <f>SUMIF('CF(M)'!$L$10:$EQ$10,CA$6,'CF(M)'!$L46:$EQ46)</f>
        <v>0</v>
      </c>
      <c r="CB41" s="997">
        <f>SUMIF('CF(M)'!$L$10:$EQ$10,CB$6,'CF(M)'!$L46:$EQ46)</f>
        <v>0</v>
      </c>
      <c r="CC41" s="997">
        <f>SUMIF('CF(M)'!$L$10:$EQ$10,CC$6,'CF(M)'!$L46:$EQ46)</f>
        <v>0</v>
      </c>
      <c r="CD41" s="997">
        <f>SUMIF('CF(M)'!$L$10:$EQ$10,CD$6,'CF(M)'!$L46:$EQ46)</f>
        <v>0</v>
      </c>
      <c r="CE41" s="997">
        <f>SUMIF('CF(M)'!$L$10:$EQ$10,CE$6,'CF(M)'!$L46:$EQ46)</f>
        <v>0</v>
      </c>
      <c r="CF41" s="997">
        <f>SUMIF('CF(M)'!$L$10:$EQ$10,CF$6,'CF(M)'!$L46:$EQ46)</f>
        <v>0</v>
      </c>
      <c r="CG41" s="997">
        <f>SUMIF('CF(M)'!$L$10:$EQ$10,CG$6,'CF(M)'!$L46:$EQ46)</f>
        <v>0</v>
      </c>
      <c r="CH41" s="997">
        <f>SUMIF('CF(M)'!$L$10:$EQ$10,CH$6,'CF(M)'!$L46:$EQ46)</f>
        <v>0</v>
      </c>
      <c r="CI41" s="997">
        <f>SUMIF('CF(M)'!$L$10:$EQ$10,CI$6,'CF(M)'!$L46:$EQ46)</f>
        <v>0</v>
      </c>
      <c r="CJ41" s="997">
        <f>SUMIF('CF(M)'!$L$10:$EQ$10,CJ$6,'CF(M)'!$L46:$EQ46)</f>
        <v>0</v>
      </c>
      <c r="CK41" s="997">
        <f>SUMIF('CF(M)'!$L$10:$EQ$10,CK$6,'CF(M)'!$L46:$EQ46)</f>
        <v>0</v>
      </c>
      <c r="CL41" s="997">
        <f>SUMIF('CF(M)'!$L$10:$EQ$10,CL$6,'CF(M)'!$L46:$EQ46)</f>
        <v>0</v>
      </c>
      <c r="CM41" s="997">
        <f>SUMIF('CF(M)'!$L$10:$EQ$10,CM$6,'CF(M)'!$L46:$EQ46)</f>
        <v>0</v>
      </c>
      <c r="CN41" s="997">
        <f>SUMIF('CF(M)'!$L$10:$EQ$10,CN$6,'CF(M)'!$L46:$EQ46)</f>
        <v>0</v>
      </c>
      <c r="CO41" s="997">
        <f>SUMIF('CF(M)'!$L$10:$EQ$10,CO$6,'CF(M)'!$L46:$EQ46)</f>
        <v>0</v>
      </c>
      <c r="CP41" s="997">
        <f>SUMIF('CF(M)'!$L$10:$EQ$10,CP$6,'CF(M)'!$L46:$EQ46)</f>
        <v>0</v>
      </c>
      <c r="CQ41" s="997">
        <f>SUMIF('CF(M)'!$L$10:$EQ$10,CQ$6,'CF(M)'!$L46:$EQ46)</f>
        <v>0</v>
      </c>
      <c r="CR41" s="997">
        <f>SUMIF('CF(M)'!$L$10:$EQ$10,CR$6,'CF(M)'!$L46:$EQ46)</f>
        <v>0</v>
      </c>
      <c r="CS41" s="997">
        <f>SUMIF('CF(M)'!$L$10:$EQ$10,CS$6,'CF(M)'!$L46:$EQ46)</f>
        <v>0</v>
      </c>
      <c r="CT41" s="997">
        <f>SUMIF('CF(M)'!$L$10:$EQ$10,CT$6,'CF(M)'!$L46:$EQ46)</f>
        <v>0</v>
      </c>
      <c r="CU41" s="997">
        <f>SUMIF('CF(M)'!$L$10:$EQ$10,CU$6,'CF(M)'!$L46:$EQ46)</f>
        <v>0</v>
      </c>
      <c r="CV41" s="997">
        <f>SUMIF('CF(M)'!$L$10:$EQ$10,CV$6,'CF(M)'!$L46:$EQ46)</f>
        <v>0</v>
      </c>
      <c r="CW41" s="997">
        <f>SUMIF('CF(M)'!$L$10:$EQ$10,CW$6,'CF(M)'!$L46:$EQ46)</f>
        <v>0</v>
      </c>
      <c r="CX41" s="997">
        <f>SUMIF('CF(M)'!$L$10:$EQ$10,CX$6,'CF(M)'!$L46:$EQ46)</f>
        <v>0</v>
      </c>
      <c r="CY41" s="997">
        <f>SUMIF('CF(M)'!$L$10:$EQ$10,CY$6,'CF(M)'!$L46:$EQ46)</f>
        <v>0</v>
      </c>
      <c r="CZ41" s="997">
        <f>SUMIF('CF(M)'!$L$10:$EQ$10,CZ$6,'CF(M)'!$L46:$EQ46)</f>
        <v>0</v>
      </c>
      <c r="DA41" s="997">
        <f>SUMIF('CF(M)'!$L$10:$EQ$10,DA$6,'CF(M)'!$L46:$EQ46)</f>
        <v>0</v>
      </c>
      <c r="DB41" s="997">
        <f>SUMIF('CF(M)'!$L$10:$EQ$10,DB$6,'CF(M)'!$L46:$EQ46)</f>
        <v>0</v>
      </c>
      <c r="DC41" s="997">
        <f>SUMIF('CF(M)'!$L$10:$EQ$10,DC$6,'CF(M)'!$L46:$EQ46)</f>
        <v>0</v>
      </c>
      <c r="DD41" s="997">
        <f>SUMIF('CF(M)'!$L$10:$EQ$10,DD$6,'CF(M)'!$L46:$EQ46)</f>
        <v>0</v>
      </c>
      <c r="DE41" s="997">
        <f>SUMIF('CF(M)'!$L$10:$EQ$10,DE$6,'CF(M)'!$L46:$EQ46)</f>
        <v>0</v>
      </c>
      <c r="DF41" s="997">
        <f>SUMIF('CF(M)'!$L$10:$EQ$10,DF$6,'CF(M)'!$L46:$EQ46)</f>
        <v>0</v>
      </c>
      <c r="DG41" s="997">
        <f>SUMIF('CF(M)'!$L$10:$EQ$10,DG$6,'CF(M)'!$L46:$EQ46)</f>
        <v>0</v>
      </c>
      <c r="DH41" s="997">
        <f>SUMIF('CF(M)'!$L$10:$EQ$10,DH$6,'CF(M)'!$L46:$EQ46)</f>
        <v>0</v>
      </c>
      <c r="DI41" s="997">
        <f>SUMIF('CF(M)'!$L$10:$EQ$10,DI$6,'CF(M)'!$L46:$EQ46)</f>
        <v>0</v>
      </c>
      <c r="DJ41" s="997">
        <f>SUMIF('CF(M)'!$L$10:$EQ$10,DJ$6,'CF(M)'!$L46:$EQ46)</f>
        <v>0</v>
      </c>
      <c r="DK41" s="997">
        <f>SUMIF('CF(M)'!$L$10:$EQ$10,DK$6,'CF(M)'!$L46:$EQ46)</f>
        <v>0</v>
      </c>
      <c r="DL41" s="997">
        <f>SUMIF('CF(M)'!$L$10:$EQ$10,DL$6,'CF(M)'!$L46:$EQ46)</f>
        <v>0</v>
      </c>
      <c r="DM41" s="997">
        <f>SUMIF('CF(M)'!$L$10:$EQ$10,DM$6,'CF(M)'!$L46:$EQ46)</f>
        <v>0</v>
      </c>
      <c r="DN41" s="997">
        <f>SUMIF('CF(M)'!$L$10:$EQ$10,DN$6,'CF(M)'!$L46:$EQ46)</f>
        <v>0</v>
      </c>
      <c r="DO41" s="997">
        <f>SUMIF('CF(M)'!$L$10:$EQ$10,DO$6,'CF(M)'!$L46:$EQ46)</f>
        <v>0</v>
      </c>
      <c r="DP41" s="997">
        <f>SUMIF('CF(M)'!$L$10:$EQ$10,DP$6,'CF(M)'!$L46:$EQ46)</f>
        <v>0</v>
      </c>
      <c r="DQ41" s="997">
        <f>SUMIF('CF(M)'!$L$10:$EQ$10,DQ$6,'CF(M)'!$L46:$EQ46)</f>
        <v>0</v>
      </c>
      <c r="DR41" s="997">
        <f>SUMIF('CF(M)'!$L$10:$EQ$10,DR$6,'CF(M)'!$L46:$EQ46)</f>
        <v>0</v>
      </c>
      <c r="DS41" s="997">
        <f>SUMIF('CF(M)'!$L$10:$EQ$10,DS$6,'CF(M)'!$L46:$EQ46)</f>
        <v>0</v>
      </c>
      <c r="DT41" s="997">
        <f>SUMIF('CF(M)'!$L$10:$EQ$10,DT$6,'CF(M)'!$L46:$EQ46)</f>
        <v>0</v>
      </c>
      <c r="DU41" s="997">
        <f>SUMIF('CF(M)'!$L$10:$EQ$10,DU$6,'CF(M)'!$L46:$EQ46)</f>
        <v>0</v>
      </c>
      <c r="DV41" s="997">
        <f>SUMIF('CF(M)'!$L$10:$EQ$10,DV$6,'CF(M)'!$L46:$EQ46)</f>
        <v>0</v>
      </c>
    </row>
    <row r="42" spans="2:126" ht="11.25" customHeight="1">
      <c r="B42" s="218"/>
      <c r="C42" s="163"/>
      <c r="D42" s="169" t="s">
        <v>467</v>
      </c>
      <c r="H42" s="146"/>
      <c r="I42" s="13"/>
      <c r="J42" s="171">
        <f t="shared" si="8"/>
        <v>-144637.53334348497</v>
      </c>
      <c r="K42" s="98"/>
      <c r="L42" s="171">
        <f>SUMIF('CF(M)'!$L$10:$EQ$10,L$6,'CF(M)'!$L47:$EQ47)</f>
        <v>0</v>
      </c>
      <c r="M42" s="171">
        <f>SUMIF('CF(M)'!$L$10:$EQ$10,M$6,'CF(M)'!$L47:$EQ47)</f>
        <v>-144637.53334348497</v>
      </c>
      <c r="N42" s="171">
        <f>SUMIF('CF(M)'!$L$10:$EQ$10,N$6,'CF(M)'!$L47:$EQ47)</f>
        <v>0</v>
      </c>
      <c r="O42" s="171">
        <f>SUMIF('CF(M)'!$L$10:$EQ$10,O$6,'CF(M)'!$L47:$EQ47)</f>
        <v>0</v>
      </c>
      <c r="P42" s="171">
        <f>SUMIF('CF(M)'!$L$10:$EQ$10,P$6,'CF(M)'!$L47:$EQ47)</f>
        <v>0</v>
      </c>
      <c r="Q42" s="171">
        <f>SUMIF('CF(M)'!$L$10:$EQ$10,Q$6,'CF(M)'!$L47:$EQ47)</f>
        <v>0</v>
      </c>
      <c r="R42" s="171">
        <f>SUMIF('CF(M)'!$L$10:$EQ$10,R$6,'CF(M)'!$L47:$EQ47)</f>
        <v>0</v>
      </c>
      <c r="S42" s="171">
        <f>SUMIF('CF(M)'!$L$10:$EQ$10,S$6,'CF(M)'!$L47:$EQ47)</f>
        <v>0</v>
      </c>
      <c r="T42" s="171">
        <f>SUMIF('CF(M)'!$L$10:$EQ$10,T$6,'CF(M)'!$L47:$EQ47)</f>
        <v>0</v>
      </c>
      <c r="U42" s="171">
        <f>SUMIF('CF(M)'!$L$10:$EQ$10,U$6,'CF(M)'!$L47:$EQ47)</f>
        <v>0</v>
      </c>
      <c r="V42" s="171">
        <f>SUMIF('CF(M)'!$L$10:$EQ$10,V$6,'CF(M)'!$L47:$EQ47)</f>
        <v>0</v>
      </c>
      <c r="W42" s="171">
        <f>SUMIF('CF(M)'!$L$10:$EQ$10,W$6,'CF(M)'!$L47:$EQ47)</f>
        <v>0</v>
      </c>
      <c r="X42" s="171">
        <f>SUMIF('CF(M)'!$L$10:$EQ$10,X$6,'CF(M)'!$L47:$EQ47)</f>
        <v>0</v>
      </c>
      <c r="Y42" s="171">
        <f>SUMIF('CF(M)'!$L$10:$EQ$10,Y$6,'CF(M)'!$L47:$EQ47)</f>
        <v>0</v>
      </c>
      <c r="Z42" s="171">
        <f>SUMIF('CF(M)'!$L$10:$EQ$10,Z$6,'CF(M)'!$L47:$EQ47)</f>
        <v>0</v>
      </c>
      <c r="AA42" s="171">
        <f>SUMIF('CF(M)'!$L$10:$EQ$10,AA$6,'CF(M)'!$L47:$EQ47)</f>
        <v>0</v>
      </c>
      <c r="AB42" s="171">
        <f>SUMIF('CF(M)'!$L$10:$EQ$10,AB$6,'CF(M)'!$L47:$EQ47)</f>
        <v>0</v>
      </c>
      <c r="AC42" s="171">
        <f>SUMIF('CF(M)'!$L$10:$EQ$10,AC$6,'CF(M)'!$L47:$EQ47)</f>
        <v>0</v>
      </c>
      <c r="AD42" s="171">
        <f>SUMIF('CF(M)'!$L$10:$EQ$10,AD$6,'CF(M)'!$L47:$EQ47)</f>
        <v>0</v>
      </c>
      <c r="AE42" s="171">
        <f>SUMIF('CF(M)'!$L$10:$EQ$10,AE$6,'CF(M)'!$L47:$EQ47)</f>
        <v>0</v>
      </c>
      <c r="AF42" s="171">
        <f>SUMIF('CF(M)'!$L$10:$EQ$10,AF$6,'CF(M)'!$L47:$EQ47)</f>
        <v>0</v>
      </c>
      <c r="AG42" s="171">
        <f>SUMIF('CF(M)'!$L$10:$EQ$10,AG$6,'CF(M)'!$L47:$EQ47)</f>
        <v>0</v>
      </c>
      <c r="AH42" s="171">
        <f>SUMIF('CF(M)'!$L$10:$EQ$10,AH$6,'CF(M)'!$L47:$EQ47)</f>
        <v>0</v>
      </c>
      <c r="AI42" s="171">
        <f>SUMIF('CF(M)'!$L$10:$EQ$10,AI$6,'CF(M)'!$L47:$EQ47)</f>
        <v>0</v>
      </c>
      <c r="AJ42" s="171">
        <f>SUMIF('CF(M)'!$L$10:$EQ$10,AJ$6,'CF(M)'!$L47:$EQ47)</f>
        <v>0</v>
      </c>
      <c r="AK42" s="171">
        <f>SUMIF('CF(M)'!$L$10:$EQ$10,AK$6,'CF(M)'!$L47:$EQ47)</f>
        <v>0</v>
      </c>
      <c r="AL42" s="171">
        <f>SUMIF('CF(M)'!$L$10:$EQ$10,AL$6,'CF(M)'!$L47:$EQ47)</f>
        <v>0</v>
      </c>
      <c r="AM42" s="171">
        <f>SUMIF('CF(M)'!$L$10:$EQ$10,AM$6,'CF(M)'!$L47:$EQ47)</f>
        <v>0</v>
      </c>
      <c r="AN42" s="171">
        <f>SUMIF('CF(M)'!$L$10:$EQ$10,AN$6,'CF(M)'!$L47:$EQ47)</f>
        <v>0</v>
      </c>
      <c r="AO42" s="171">
        <f>SUMIF('CF(M)'!$L$10:$EQ$10,AO$6,'CF(M)'!$L47:$EQ47)</f>
        <v>0</v>
      </c>
      <c r="AP42" s="171">
        <f>SUMIF('CF(M)'!$L$10:$EQ$10,AP$6,'CF(M)'!$L47:$EQ47)</f>
        <v>0</v>
      </c>
      <c r="AQ42" s="171">
        <f>SUMIF('CF(M)'!$L$10:$EQ$10,AQ$6,'CF(M)'!$L47:$EQ47)</f>
        <v>0</v>
      </c>
      <c r="AR42" s="171">
        <f>SUMIF('CF(M)'!$L$10:$EQ$10,AR$6,'CF(M)'!$L47:$EQ47)</f>
        <v>0</v>
      </c>
      <c r="AS42" s="171">
        <f>SUMIF('CF(M)'!$L$10:$EQ$10,AS$6,'CF(M)'!$L47:$EQ47)</f>
        <v>0</v>
      </c>
      <c r="AT42" s="171">
        <f>SUMIF('CF(M)'!$L$10:$EQ$10,AT$6,'CF(M)'!$L47:$EQ47)</f>
        <v>0</v>
      </c>
      <c r="AU42" s="171">
        <f>SUMIF('CF(M)'!$L$10:$EQ$10,AU$6,'CF(M)'!$L47:$EQ47)</f>
        <v>0</v>
      </c>
      <c r="AV42" s="171">
        <f>SUMIF('CF(M)'!$L$10:$EQ$10,AV$6,'CF(M)'!$L47:$EQ47)</f>
        <v>0</v>
      </c>
      <c r="AW42" s="171">
        <f>SUMIF('CF(M)'!$L$10:$EQ$10,AW$6,'CF(M)'!$L47:$EQ47)</f>
        <v>0</v>
      </c>
      <c r="AX42" s="171">
        <f>SUMIF('CF(M)'!$L$10:$EQ$10,AX$6,'CF(M)'!$L47:$EQ47)</f>
        <v>0</v>
      </c>
      <c r="AY42" s="171">
        <f>SUMIF('CF(M)'!$L$10:$EQ$10,AY$6,'CF(M)'!$L47:$EQ47)</f>
        <v>0</v>
      </c>
      <c r="AZ42" s="171">
        <f>SUMIF('CF(M)'!$L$10:$EQ$10,AZ$6,'CF(M)'!$L47:$EQ47)</f>
        <v>0</v>
      </c>
      <c r="BA42" s="171">
        <f>SUMIF('CF(M)'!$L$10:$EQ$10,BA$6,'CF(M)'!$L47:$EQ47)</f>
        <v>0</v>
      </c>
      <c r="BB42" s="171">
        <f>SUMIF('CF(M)'!$L$10:$EQ$10,BB$6,'CF(M)'!$L47:$EQ47)</f>
        <v>0</v>
      </c>
      <c r="BC42" s="171">
        <f>SUMIF('CF(M)'!$L$10:$EQ$10,BC$6,'CF(M)'!$L47:$EQ47)</f>
        <v>0</v>
      </c>
      <c r="BD42" s="171">
        <f>SUMIF('CF(M)'!$L$10:$EQ$10,BD$6,'CF(M)'!$L47:$EQ47)</f>
        <v>0</v>
      </c>
      <c r="BE42" s="171">
        <f>SUMIF('CF(M)'!$L$10:$EQ$10,BE$6,'CF(M)'!$L47:$EQ47)</f>
        <v>0</v>
      </c>
      <c r="BF42" s="171">
        <f>SUMIF('CF(M)'!$L$10:$EQ$10,BF$6,'CF(M)'!$L47:$EQ47)</f>
        <v>0</v>
      </c>
      <c r="BG42" s="171">
        <f>SUMIF('CF(M)'!$L$10:$EQ$10,BG$6,'CF(M)'!$L47:$EQ47)</f>
        <v>0</v>
      </c>
      <c r="BH42" s="171">
        <f>SUMIF('CF(M)'!$L$10:$EQ$10,BH$6,'CF(M)'!$L47:$EQ47)</f>
        <v>0</v>
      </c>
      <c r="BI42" s="171">
        <f>SUMIF('CF(M)'!$L$10:$EQ$10,BI$6,'CF(M)'!$L47:$EQ47)</f>
        <v>0</v>
      </c>
      <c r="BJ42" s="171">
        <f>SUMIF('CF(M)'!$L$10:$EQ$10,BJ$6,'CF(M)'!$L47:$EQ47)</f>
        <v>0</v>
      </c>
      <c r="BK42" s="171">
        <f>SUMIF('CF(M)'!$L$10:$EQ$10,BK$6,'CF(M)'!$L47:$EQ47)</f>
        <v>0</v>
      </c>
      <c r="BL42" s="171">
        <f>SUMIF('CF(M)'!$L$10:$EQ$10,BL$6,'CF(M)'!$L47:$EQ47)</f>
        <v>0</v>
      </c>
      <c r="BM42" s="171">
        <f>SUMIF('CF(M)'!$L$10:$EQ$10,BM$6,'CF(M)'!$L47:$EQ47)</f>
        <v>0</v>
      </c>
      <c r="BN42" s="171">
        <f>SUMIF('CF(M)'!$L$10:$EQ$10,BN$6,'CF(M)'!$L47:$EQ47)</f>
        <v>0</v>
      </c>
      <c r="BO42" s="171">
        <f>SUMIF('CF(M)'!$L$10:$EQ$10,BO$6,'CF(M)'!$L47:$EQ47)</f>
        <v>0</v>
      </c>
      <c r="BP42" s="171">
        <f>SUMIF('CF(M)'!$L$10:$EQ$10,BP$6,'CF(M)'!$L47:$EQ47)</f>
        <v>0</v>
      </c>
      <c r="BQ42" s="171">
        <f>SUMIF('CF(M)'!$L$10:$EQ$10,BQ$6,'CF(M)'!$L47:$EQ47)</f>
        <v>0</v>
      </c>
      <c r="BR42" s="171">
        <f>SUMIF('CF(M)'!$L$10:$EQ$10,BR$6,'CF(M)'!$L47:$EQ47)</f>
        <v>0</v>
      </c>
      <c r="BS42" s="171">
        <f>SUMIF('CF(M)'!$L$10:$EQ$10,BS$6,'CF(M)'!$L47:$EQ47)</f>
        <v>0</v>
      </c>
      <c r="BT42" s="171">
        <f>SUMIF('CF(M)'!$L$10:$EQ$10,BT$6,'CF(M)'!$L47:$EQ47)</f>
        <v>0</v>
      </c>
      <c r="BU42" s="171">
        <f>SUMIF('CF(M)'!$L$10:$EQ$10,BU$6,'CF(M)'!$L47:$EQ47)</f>
        <v>0</v>
      </c>
      <c r="BV42" s="171">
        <f>SUMIF('CF(M)'!$L$10:$EQ$10,BV$6,'CF(M)'!$L47:$EQ47)</f>
        <v>0</v>
      </c>
      <c r="BW42" s="171">
        <f>SUMIF('CF(M)'!$L$10:$EQ$10,BW$6,'CF(M)'!$L47:$EQ47)</f>
        <v>0</v>
      </c>
      <c r="BX42" s="171">
        <f>SUMIF('CF(M)'!$L$10:$EQ$10,BX$6,'CF(M)'!$L47:$EQ47)</f>
        <v>0</v>
      </c>
      <c r="BY42" s="171">
        <f>SUMIF('CF(M)'!$L$10:$EQ$10,BY$6,'CF(M)'!$L47:$EQ47)</f>
        <v>0</v>
      </c>
      <c r="BZ42" s="171">
        <f>SUMIF('CF(M)'!$L$10:$EQ$10,BZ$6,'CF(M)'!$L47:$EQ47)</f>
        <v>0</v>
      </c>
      <c r="CA42" s="171">
        <f>SUMIF('CF(M)'!$L$10:$EQ$10,CA$6,'CF(M)'!$L47:$EQ47)</f>
        <v>0</v>
      </c>
      <c r="CB42" s="171">
        <f>SUMIF('CF(M)'!$L$10:$EQ$10,CB$6,'CF(M)'!$L47:$EQ47)</f>
        <v>0</v>
      </c>
      <c r="CC42" s="171">
        <f>SUMIF('CF(M)'!$L$10:$EQ$10,CC$6,'CF(M)'!$L47:$EQ47)</f>
        <v>0</v>
      </c>
      <c r="CD42" s="171">
        <f>SUMIF('CF(M)'!$L$10:$EQ$10,CD$6,'CF(M)'!$L47:$EQ47)</f>
        <v>0</v>
      </c>
      <c r="CE42" s="171">
        <f>SUMIF('CF(M)'!$L$10:$EQ$10,CE$6,'CF(M)'!$L47:$EQ47)</f>
        <v>0</v>
      </c>
      <c r="CF42" s="171">
        <f>SUMIF('CF(M)'!$L$10:$EQ$10,CF$6,'CF(M)'!$L47:$EQ47)</f>
        <v>0</v>
      </c>
      <c r="CG42" s="171">
        <f>SUMIF('CF(M)'!$L$10:$EQ$10,CG$6,'CF(M)'!$L47:$EQ47)</f>
        <v>0</v>
      </c>
      <c r="CH42" s="171">
        <f>SUMIF('CF(M)'!$L$10:$EQ$10,CH$6,'CF(M)'!$L47:$EQ47)</f>
        <v>0</v>
      </c>
      <c r="CI42" s="171">
        <f>SUMIF('CF(M)'!$L$10:$EQ$10,CI$6,'CF(M)'!$L47:$EQ47)</f>
        <v>0</v>
      </c>
      <c r="CJ42" s="171">
        <f>SUMIF('CF(M)'!$L$10:$EQ$10,CJ$6,'CF(M)'!$L47:$EQ47)</f>
        <v>0</v>
      </c>
      <c r="CK42" s="171">
        <f>SUMIF('CF(M)'!$L$10:$EQ$10,CK$6,'CF(M)'!$L47:$EQ47)</f>
        <v>0</v>
      </c>
      <c r="CL42" s="171">
        <f>SUMIF('CF(M)'!$L$10:$EQ$10,CL$6,'CF(M)'!$L47:$EQ47)</f>
        <v>0</v>
      </c>
      <c r="CM42" s="171">
        <f>SUMIF('CF(M)'!$L$10:$EQ$10,CM$6,'CF(M)'!$L47:$EQ47)</f>
        <v>0</v>
      </c>
      <c r="CN42" s="171">
        <f>SUMIF('CF(M)'!$L$10:$EQ$10,CN$6,'CF(M)'!$L47:$EQ47)</f>
        <v>0</v>
      </c>
      <c r="CO42" s="171">
        <f>SUMIF('CF(M)'!$L$10:$EQ$10,CO$6,'CF(M)'!$L47:$EQ47)</f>
        <v>0</v>
      </c>
      <c r="CP42" s="171">
        <f>SUMIF('CF(M)'!$L$10:$EQ$10,CP$6,'CF(M)'!$L47:$EQ47)</f>
        <v>0</v>
      </c>
      <c r="CQ42" s="171">
        <f>SUMIF('CF(M)'!$L$10:$EQ$10,CQ$6,'CF(M)'!$L47:$EQ47)</f>
        <v>0</v>
      </c>
      <c r="CR42" s="171">
        <f>SUMIF('CF(M)'!$L$10:$EQ$10,CR$6,'CF(M)'!$L47:$EQ47)</f>
        <v>0</v>
      </c>
      <c r="CS42" s="171">
        <f>SUMIF('CF(M)'!$L$10:$EQ$10,CS$6,'CF(M)'!$L47:$EQ47)</f>
        <v>0</v>
      </c>
      <c r="CT42" s="171">
        <f>SUMIF('CF(M)'!$L$10:$EQ$10,CT$6,'CF(M)'!$L47:$EQ47)</f>
        <v>0</v>
      </c>
      <c r="CU42" s="171">
        <f>SUMIF('CF(M)'!$L$10:$EQ$10,CU$6,'CF(M)'!$L47:$EQ47)</f>
        <v>0</v>
      </c>
      <c r="CV42" s="171">
        <f>SUMIF('CF(M)'!$L$10:$EQ$10,CV$6,'CF(M)'!$L47:$EQ47)</f>
        <v>0</v>
      </c>
      <c r="CW42" s="171">
        <f>SUMIF('CF(M)'!$L$10:$EQ$10,CW$6,'CF(M)'!$L47:$EQ47)</f>
        <v>0</v>
      </c>
      <c r="CX42" s="171">
        <f>SUMIF('CF(M)'!$L$10:$EQ$10,CX$6,'CF(M)'!$L47:$EQ47)</f>
        <v>0</v>
      </c>
      <c r="CY42" s="171">
        <f>SUMIF('CF(M)'!$L$10:$EQ$10,CY$6,'CF(M)'!$L47:$EQ47)</f>
        <v>0</v>
      </c>
      <c r="CZ42" s="171">
        <f>SUMIF('CF(M)'!$L$10:$EQ$10,CZ$6,'CF(M)'!$L47:$EQ47)</f>
        <v>0</v>
      </c>
      <c r="DA42" s="171">
        <f>SUMIF('CF(M)'!$L$10:$EQ$10,DA$6,'CF(M)'!$L47:$EQ47)</f>
        <v>0</v>
      </c>
      <c r="DB42" s="171">
        <f>SUMIF('CF(M)'!$L$10:$EQ$10,DB$6,'CF(M)'!$L47:$EQ47)</f>
        <v>0</v>
      </c>
      <c r="DC42" s="171">
        <f>SUMIF('CF(M)'!$L$10:$EQ$10,DC$6,'CF(M)'!$L47:$EQ47)</f>
        <v>0</v>
      </c>
      <c r="DD42" s="171">
        <f>SUMIF('CF(M)'!$L$10:$EQ$10,DD$6,'CF(M)'!$L47:$EQ47)</f>
        <v>0</v>
      </c>
      <c r="DE42" s="171">
        <f>SUMIF('CF(M)'!$L$10:$EQ$10,DE$6,'CF(M)'!$L47:$EQ47)</f>
        <v>0</v>
      </c>
      <c r="DF42" s="171">
        <f>SUMIF('CF(M)'!$L$10:$EQ$10,DF$6,'CF(M)'!$L47:$EQ47)</f>
        <v>0</v>
      </c>
      <c r="DG42" s="171">
        <f>SUMIF('CF(M)'!$L$10:$EQ$10,DG$6,'CF(M)'!$L47:$EQ47)</f>
        <v>0</v>
      </c>
      <c r="DH42" s="171">
        <f>SUMIF('CF(M)'!$L$10:$EQ$10,DH$6,'CF(M)'!$L47:$EQ47)</f>
        <v>0</v>
      </c>
      <c r="DI42" s="171">
        <f>SUMIF('CF(M)'!$L$10:$EQ$10,DI$6,'CF(M)'!$L47:$EQ47)</f>
        <v>0</v>
      </c>
      <c r="DJ42" s="171">
        <f>SUMIF('CF(M)'!$L$10:$EQ$10,DJ$6,'CF(M)'!$L47:$EQ47)</f>
        <v>0</v>
      </c>
      <c r="DK42" s="171">
        <f>SUMIF('CF(M)'!$L$10:$EQ$10,DK$6,'CF(M)'!$L47:$EQ47)</f>
        <v>0</v>
      </c>
      <c r="DL42" s="171">
        <f>SUMIF('CF(M)'!$L$10:$EQ$10,DL$6,'CF(M)'!$L47:$EQ47)</f>
        <v>0</v>
      </c>
      <c r="DM42" s="171">
        <f>SUMIF('CF(M)'!$L$10:$EQ$10,DM$6,'CF(M)'!$L47:$EQ47)</f>
        <v>0</v>
      </c>
      <c r="DN42" s="171">
        <f>SUMIF('CF(M)'!$L$10:$EQ$10,DN$6,'CF(M)'!$L47:$EQ47)</f>
        <v>0</v>
      </c>
      <c r="DO42" s="171">
        <f>SUMIF('CF(M)'!$L$10:$EQ$10,DO$6,'CF(M)'!$L47:$EQ47)</f>
        <v>0</v>
      </c>
      <c r="DP42" s="171">
        <f>SUMIF('CF(M)'!$L$10:$EQ$10,DP$6,'CF(M)'!$L47:$EQ47)</f>
        <v>0</v>
      </c>
      <c r="DQ42" s="171">
        <f>SUMIF('CF(M)'!$L$10:$EQ$10,DQ$6,'CF(M)'!$L47:$EQ47)</f>
        <v>0</v>
      </c>
      <c r="DR42" s="171">
        <f>SUMIF('CF(M)'!$L$10:$EQ$10,DR$6,'CF(M)'!$L47:$EQ47)</f>
        <v>0</v>
      </c>
      <c r="DS42" s="171">
        <f>SUMIF('CF(M)'!$L$10:$EQ$10,DS$6,'CF(M)'!$L47:$EQ47)</f>
        <v>0</v>
      </c>
      <c r="DT42" s="171">
        <f>SUMIF('CF(M)'!$L$10:$EQ$10,DT$6,'CF(M)'!$L47:$EQ47)</f>
        <v>0</v>
      </c>
      <c r="DU42" s="171">
        <f>SUMIF('CF(M)'!$L$10:$EQ$10,DU$6,'CF(M)'!$L47:$EQ47)</f>
        <v>0</v>
      </c>
      <c r="DV42" s="171">
        <f>SUMIF('CF(M)'!$L$10:$EQ$10,DV$6,'CF(M)'!$L47:$EQ47)</f>
        <v>0</v>
      </c>
    </row>
    <row r="43" spans="2:126" ht="11.25" customHeight="1">
      <c r="B43" s="218"/>
      <c r="C43" s="163"/>
      <c r="D43" s="169" t="s">
        <v>615</v>
      </c>
      <c r="H43" s="146"/>
      <c r="I43" s="13"/>
      <c r="J43" s="171">
        <f t="shared" si="8"/>
        <v>0</v>
      </c>
      <c r="K43" s="98"/>
      <c r="L43" s="171">
        <f>SUMIF('CF(M)'!$L$10:$EQ$10,L$6,'CF(M)'!$L48:$EQ48)</f>
        <v>0</v>
      </c>
      <c r="M43" s="171">
        <f>SUMIF('CF(M)'!$L$10:$EQ$10,M$6,'CF(M)'!$L48:$EQ48)</f>
        <v>0</v>
      </c>
      <c r="N43" s="171">
        <f>SUMIF('CF(M)'!$L$10:$EQ$10,N$6,'CF(M)'!$L48:$EQ48)</f>
        <v>0</v>
      </c>
      <c r="O43" s="171">
        <f>SUMIF('CF(M)'!$L$10:$EQ$10,O$6,'CF(M)'!$L48:$EQ48)</f>
        <v>0</v>
      </c>
      <c r="P43" s="171">
        <f>SUMIF('CF(M)'!$L$10:$EQ$10,P$6,'CF(M)'!$L48:$EQ48)</f>
        <v>0</v>
      </c>
      <c r="Q43" s="171">
        <f>SUMIF('CF(M)'!$L$10:$EQ$10,Q$6,'CF(M)'!$L48:$EQ48)</f>
        <v>0</v>
      </c>
      <c r="R43" s="171">
        <f>SUMIF('CF(M)'!$L$10:$EQ$10,R$6,'CF(M)'!$L48:$EQ48)</f>
        <v>0</v>
      </c>
      <c r="S43" s="171">
        <f>SUMIF('CF(M)'!$L$10:$EQ$10,S$6,'CF(M)'!$L48:$EQ48)</f>
        <v>0</v>
      </c>
      <c r="T43" s="171">
        <f>SUMIF('CF(M)'!$L$10:$EQ$10,T$6,'CF(M)'!$L48:$EQ48)</f>
        <v>0</v>
      </c>
      <c r="U43" s="171">
        <f>SUMIF('CF(M)'!$L$10:$EQ$10,U$6,'CF(M)'!$L48:$EQ48)</f>
        <v>0</v>
      </c>
      <c r="V43" s="171">
        <f>SUMIF('CF(M)'!$L$10:$EQ$10,V$6,'CF(M)'!$L48:$EQ48)</f>
        <v>0</v>
      </c>
      <c r="W43" s="171">
        <f>SUMIF('CF(M)'!$L$10:$EQ$10,W$6,'CF(M)'!$L48:$EQ48)</f>
        <v>0</v>
      </c>
      <c r="X43" s="171">
        <f>SUMIF('CF(M)'!$L$10:$EQ$10,X$6,'CF(M)'!$L48:$EQ48)</f>
        <v>0</v>
      </c>
      <c r="Y43" s="171">
        <f>SUMIF('CF(M)'!$L$10:$EQ$10,Y$6,'CF(M)'!$L48:$EQ48)</f>
        <v>0</v>
      </c>
      <c r="Z43" s="171">
        <f>SUMIF('CF(M)'!$L$10:$EQ$10,Z$6,'CF(M)'!$L48:$EQ48)</f>
        <v>0</v>
      </c>
      <c r="AA43" s="171">
        <f>SUMIF('CF(M)'!$L$10:$EQ$10,AA$6,'CF(M)'!$L48:$EQ48)</f>
        <v>0</v>
      </c>
      <c r="AB43" s="171">
        <f>SUMIF('CF(M)'!$L$10:$EQ$10,AB$6,'CF(M)'!$L48:$EQ48)</f>
        <v>0</v>
      </c>
      <c r="AC43" s="171">
        <f>SUMIF('CF(M)'!$L$10:$EQ$10,AC$6,'CF(M)'!$L48:$EQ48)</f>
        <v>0</v>
      </c>
      <c r="AD43" s="171">
        <f>SUMIF('CF(M)'!$L$10:$EQ$10,AD$6,'CF(M)'!$L48:$EQ48)</f>
        <v>0</v>
      </c>
      <c r="AE43" s="171">
        <f>SUMIF('CF(M)'!$L$10:$EQ$10,AE$6,'CF(M)'!$L48:$EQ48)</f>
        <v>0</v>
      </c>
      <c r="AF43" s="171">
        <f>SUMIF('CF(M)'!$L$10:$EQ$10,AF$6,'CF(M)'!$L48:$EQ48)</f>
        <v>0</v>
      </c>
      <c r="AG43" s="171">
        <f>SUMIF('CF(M)'!$L$10:$EQ$10,AG$6,'CF(M)'!$L48:$EQ48)</f>
        <v>0</v>
      </c>
      <c r="AH43" s="171">
        <f>SUMIF('CF(M)'!$L$10:$EQ$10,AH$6,'CF(M)'!$L48:$EQ48)</f>
        <v>0</v>
      </c>
      <c r="AI43" s="171">
        <f>SUMIF('CF(M)'!$L$10:$EQ$10,AI$6,'CF(M)'!$L48:$EQ48)</f>
        <v>0</v>
      </c>
      <c r="AJ43" s="171">
        <f>SUMIF('CF(M)'!$L$10:$EQ$10,AJ$6,'CF(M)'!$L48:$EQ48)</f>
        <v>0</v>
      </c>
      <c r="AK43" s="171">
        <f>SUMIF('CF(M)'!$L$10:$EQ$10,AK$6,'CF(M)'!$L48:$EQ48)</f>
        <v>0</v>
      </c>
      <c r="AL43" s="171">
        <f>SUMIF('CF(M)'!$L$10:$EQ$10,AL$6,'CF(M)'!$L48:$EQ48)</f>
        <v>0</v>
      </c>
      <c r="AM43" s="171">
        <f>SUMIF('CF(M)'!$L$10:$EQ$10,AM$6,'CF(M)'!$L48:$EQ48)</f>
        <v>0</v>
      </c>
      <c r="AN43" s="171">
        <f>SUMIF('CF(M)'!$L$10:$EQ$10,AN$6,'CF(M)'!$L48:$EQ48)</f>
        <v>0</v>
      </c>
      <c r="AO43" s="171">
        <f>SUMIF('CF(M)'!$L$10:$EQ$10,AO$6,'CF(M)'!$L48:$EQ48)</f>
        <v>0</v>
      </c>
      <c r="AP43" s="171">
        <f>SUMIF('CF(M)'!$L$10:$EQ$10,AP$6,'CF(M)'!$L48:$EQ48)</f>
        <v>0</v>
      </c>
      <c r="AQ43" s="171">
        <f>SUMIF('CF(M)'!$L$10:$EQ$10,AQ$6,'CF(M)'!$L48:$EQ48)</f>
        <v>0</v>
      </c>
      <c r="AR43" s="171">
        <f>SUMIF('CF(M)'!$L$10:$EQ$10,AR$6,'CF(M)'!$L48:$EQ48)</f>
        <v>0</v>
      </c>
      <c r="AS43" s="171">
        <f>SUMIF('CF(M)'!$L$10:$EQ$10,AS$6,'CF(M)'!$L48:$EQ48)</f>
        <v>0</v>
      </c>
      <c r="AT43" s="171">
        <f>SUMIF('CF(M)'!$L$10:$EQ$10,AT$6,'CF(M)'!$L48:$EQ48)</f>
        <v>0</v>
      </c>
      <c r="AU43" s="171">
        <f>SUMIF('CF(M)'!$L$10:$EQ$10,AU$6,'CF(M)'!$L48:$EQ48)</f>
        <v>0</v>
      </c>
      <c r="AV43" s="171">
        <f>SUMIF('CF(M)'!$L$10:$EQ$10,AV$6,'CF(M)'!$L48:$EQ48)</f>
        <v>0</v>
      </c>
      <c r="AW43" s="171">
        <f>SUMIF('CF(M)'!$L$10:$EQ$10,AW$6,'CF(M)'!$L48:$EQ48)</f>
        <v>0</v>
      </c>
      <c r="AX43" s="171">
        <f>SUMIF('CF(M)'!$L$10:$EQ$10,AX$6,'CF(M)'!$L48:$EQ48)</f>
        <v>0</v>
      </c>
      <c r="AY43" s="171">
        <f>SUMIF('CF(M)'!$L$10:$EQ$10,AY$6,'CF(M)'!$L48:$EQ48)</f>
        <v>0</v>
      </c>
      <c r="AZ43" s="171">
        <f>SUMIF('CF(M)'!$L$10:$EQ$10,AZ$6,'CF(M)'!$L48:$EQ48)</f>
        <v>0</v>
      </c>
      <c r="BA43" s="171">
        <f>SUMIF('CF(M)'!$L$10:$EQ$10,BA$6,'CF(M)'!$L48:$EQ48)</f>
        <v>0</v>
      </c>
      <c r="BB43" s="171">
        <f>SUMIF('CF(M)'!$L$10:$EQ$10,BB$6,'CF(M)'!$L48:$EQ48)</f>
        <v>0</v>
      </c>
      <c r="BC43" s="171">
        <f>SUMIF('CF(M)'!$L$10:$EQ$10,BC$6,'CF(M)'!$L48:$EQ48)</f>
        <v>0</v>
      </c>
      <c r="BD43" s="171">
        <f>SUMIF('CF(M)'!$L$10:$EQ$10,BD$6,'CF(M)'!$L48:$EQ48)</f>
        <v>0</v>
      </c>
      <c r="BE43" s="171">
        <f>SUMIF('CF(M)'!$L$10:$EQ$10,BE$6,'CF(M)'!$L48:$EQ48)</f>
        <v>0</v>
      </c>
      <c r="BF43" s="171">
        <f>SUMIF('CF(M)'!$L$10:$EQ$10,BF$6,'CF(M)'!$L48:$EQ48)</f>
        <v>0</v>
      </c>
      <c r="BG43" s="171">
        <f>SUMIF('CF(M)'!$L$10:$EQ$10,BG$6,'CF(M)'!$L48:$EQ48)</f>
        <v>0</v>
      </c>
      <c r="BH43" s="171">
        <f>SUMIF('CF(M)'!$L$10:$EQ$10,BH$6,'CF(M)'!$L48:$EQ48)</f>
        <v>0</v>
      </c>
      <c r="BI43" s="171">
        <f>SUMIF('CF(M)'!$L$10:$EQ$10,BI$6,'CF(M)'!$L48:$EQ48)</f>
        <v>0</v>
      </c>
      <c r="BJ43" s="171">
        <f>SUMIF('CF(M)'!$L$10:$EQ$10,BJ$6,'CF(M)'!$L48:$EQ48)</f>
        <v>0</v>
      </c>
      <c r="BK43" s="171">
        <f>SUMIF('CF(M)'!$L$10:$EQ$10,BK$6,'CF(M)'!$L48:$EQ48)</f>
        <v>0</v>
      </c>
      <c r="BL43" s="171">
        <f>SUMIF('CF(M)'!$L$10:$EQ$10,BL$6,'CF(M)'!$L48:$EQ48)</f>
        <v>0</v>
      </c>
      <c r="BM43" s="171">
        <f>SUMIF('CF(M)'!$L$10:$EQ$10,BM$6,'CF(M)'!$L48:$EQ48)</f>
        <v>0</v>
      </c>
      <c r="BN43" s="171">
        <f>SUMIF('CF(M)'!$L$10:$EQ$10,BN$6,'CF(M)'!$L48:$EQ48)</f>
        <v>0</v>
      </c>
      <c r="BO43" s="171">
        <f>SUMIF('CF(M)'!$L$10:$EQ$10,BO$6,'CF(M)'!$L48:$EQ48)</f>
        <v>0</v>
      </c>
      <c r="BP43" s="171">
        <f>SUMIF('CF(M)'!$L$10:$EQ$10,BP$6,'CF(M)'!$L48:$EQ48)</f>
        <v>0</v>
      </c>
      <c r="BQ43" s="171">
        <f>SUMIF('CF(M)'!$L$10:$EQ$10,BQ$6,'CF(M)'!$L48:$EQ48)</f>
        <v>0</v>
      </c>
      <c r="BR43" s="171">
        <f>SUMIF('CF(M)'!$L$10:$EQ$10,BR$6,'CF(M)'!$L48:$EQ48)</f>
        <v>0</v>
      </c>
      <c r="BS43" s="171">
        <f>SUMIF('CF(M)'!$L$10:$EQ$10,BS$6,'CF(M)'!$L48:$EQ48)</f>
        <v>0</v>
      </c>
      <c r="BT43" s="171">
        <f>SUMIF('CF(M)'!$L$10:$EQ$10,BT$6,'CF(M)'!$L48:$EQ48)</f>
        <v>0</v>
      </c>
      <c r="BU43" s="171">
        <f>SUMIF('CF(M)'!$L$10:$EQ$10,BU$6,'CF(M)'!$L48:$EQ48)</f>
        <v>0</v>
      </c>
      <c r="BV43" s="171">
        <f>SUMIF('CF(M)'!$L$10:$EQ$10,BV$6,'CF(M)'!$L48:$EQ48)</f>
        <v>0</v>
      </c>
      <c r="BW43" s="171">
        <f>SUMIF('CF(M)'!$L$10:$EQ$10,BW$6,'CF(M)'!$L48:$EQ48)</f>
        <v>0</v>
      </c>
      <c r="BX43" s="171">
        <f>SUMIF('CF(M)'!$L$10:$EQ$10,BX$6,'CF(M)'!$L48:$EQ48)</f>
        <v>0</v>
      </c>
      <c r="BY43" s="171">
        <f>SUMIF('CF(M)'!$L$10:$EQ$10,BY$6,'CF(M)'!$L48:$EQ48)</f>
        <v>0</v>
      </c>
      <c r="BZ43" s="171">
        <f>SUMIF('CF(M)'!$L$10:$EQ$10,BZ$6,'CF(M)'!$L48:$EQ48)</f>
        <v>0</v>
      </c>
      <c r="CA43" s="171">
        <f>SUMIF('CF(M)'!$L$10:$EQ$10,CA$6,'CF(M)'!$L48:$EQ48)</f>
        <v>0</v>
      </c>
      <c r="CB43" s="171">
        <f>SUMIF('CF(M)'!$L$10:$EQ$10,CB$6,'CF(M)'!$L48:$EQ48)</f>
        <v>0</v>
      </c>
      <c r="CC43" s="171">
        <f>SUMIF('CF(M)'!$L$10:$EQ$10,CC$6,'CF(M)'!$L48:$EQ48)</f>
        <v>0</v>
      </c>
      <c r="CD43" s="171">
        <f>SUMIF('CF(M)'!$L$10:$EQ$10,CD$6,'CF(M)'!$L48:$EQ48)</f>
        <v>0</v>
      </c>
      <c r="CE43" s="171">
        <f>SUMIF('CF(M)'!$L$10:$EQ$10,CE$6,'CF(M)'!$L48:$EQ48)</f>
        <v>0</v>
      </c>
      <c r="CF43" s="171">
        <f>SUMIF('CF(M)'!$L$10:$EQ$10,CF$6,'CF(M)'!$L48:$EQ48)</f>
        <v>0</v>
      </c>
      <c r="CG43" s="171">
        <f>SUMIF('CF(M)'!$L$10:$EQ$10,CG$6,'CF(M)'!$L48:$EQ48)</f>
        <v>0</v>
      </c>
      <c r="CH43" s="171">
        <f>SUMIF('CF(M)'!$L$10:$EQ$10,CH$6,'CF(M)'!$L48:$EQ48)</f>
        <v>0</v>
      </c>
      <c r="CI43" s="171">
        <f>SUMIF('CF(M)'!$L$10:$EQ$10,CI$6,'CF(M)'!$L48:$EQ48)</f>
        <v>0</v>
      </c>
      <c r="CJ43" s="171">
        <f>SUMIF('CF(M)'!$L$10:$EQ$10,CJ$6,'CF(M)'!$L48:$EQ48)</f>
        <v>0</v>
      </c>
      <c r="CK43" s="171">
        <f>SUMIF('CF(M)'!$L$10:$EQ$10,CK$6,'CF(M)'!$L48:$EQ48)</f>
        <v>0</v>
      </c>
      <c r="CL43" s="171">
        <f>SUMIF('CF(M)'!$L$10:$EQ$10,CL$6,'CF(M)'!$L48:$EQ48)</f>
        <v>0</v>
      </c>
      <c r="CM43" s="171">
        <f>SUMIF('CF(M)'!$L$10:$EQ$10,CM$6,'CF(M)'!$L48:$EQ48)</f>
        <v>0</v>
      </c>
      <c r="CN43" s="171">
        <f>SUMIF('CF(M)'!$L$10:$EQ$10,CN$6,'CF(M)'!$L48:$EQ48)</f>
        <v>0</v>
      </c>
      <c r="CO43" s="171">
        <f>SUMIF('CF(M)'!$L$10:$EQ$10,CO$6,'CF(M)'!$L48:$EQ48)</f>
        <v>0</v>
      </c>
      <c r="CP43" s="171">
        <f>SUMIF('CF(M)'!$L$10:$EQ$10,CP$6,'CF(M)'!$L48:$EQ48)</f>
        <v>0</v>
      </c>
      <c r="CQ43" s="171">
        <f>SUMIF('CF(M)'!$L$10:$EQ$10,CQ$6,'CF(M)'!$L48:$EQ48)</f>
        <v>0</v>
      </c>
      <c r="CR43" s="171">
        <f>SUMIF('CF(M)'!$L$10:$EQ$10,CR$6,'CF(M)'!$L48:$EQ48)</f>
        <v>0</v>
      </c>
      <c r="CS43" s="171">
        <f>SUMIF('CF(M)'!$L$10:$EQ$10,CS$6,'CF(M)'!$L48:$EQ48)</f>
        <v>0</v>
      </c>
      <c r="CT43" s="171">
        <f>SUMIF('CF(M)'!$L$10:$EQ$10,CT$6,'CF(M)'!$L48:$EQ48)</f>
        <v>0</v>
      </c>
      <c r="CU43" s="171">
        <f>SUMIF('CF(M)'!$L$10:$EQ$10,CU$6,'CF(M)'!$L48:$EQ48)</f>
        <v>0</v>
      </c>
      <c r="CV43" s="171">
        <f>SUMIF('CF(M)'!$L$10:$EQ$10,CV$6,'CF(M)'!$L48:$EQ48)</f>
        <v>0</v>
      </c>
      <c r="CW43" s="171">
        <f>SUMIF('CF(M)'!$L$10:$EQ$10,CW$6,'CF(M)'!$L48:$EQ48)</f>
        <v>0</v>
      </c>
      <c r="CX43" s="171">
        <f>SUMIF('CF(M)'!$L$10:$EQ$10,CX$6,'CF(M)'!$L48:$EQ48)</f>
        <v>0</v>
      </c>
      <c r="CY43" s="171">
        <f>SUMIF('CF(M)'!$L$10:$EQ$10,CY$6,'CF(M)'!$L48:$EQ48)</f>
        <v>0</v>
      </c>
      <c r="CZ43" s="171">
        <f>SUMIF('CF(M)'!$L$10:$EQ$10,CZ$6,'CF(M)'!$L48:$EQ48)</f>
        <v>0</v>
      </c>
      <c r="DA43" s="171">
        <f>SUMIF('CF(M)'!$L$10:$EQ$10,DA$6,'CF(M)'!$L48:$EQ48)</f>
        <v>0</v>
      </c>
      <c r="DB43" s="171">
        <f>SUMIF('CF(M)'!$L$10:$EQ$10,DB$6,'CF(M)'!$L48:$EQ48)</f>
        <v>0</v>
      </c>
      <c r="DC43" s="171">
        <f>SUMIF('CF(M)'!$L$10:$EQ$10,DC$6,'CF(M)'!$L48:$EQ48)</f>
        <v>0</v>
      </c>
      <c r="DD43" s="171">
        <f>SUMIF('CF(M)'!$L$10:$EQ$10,DD$6,'CF(M)'!$L48:$EQ48)</f>
        <v>0</v>
      </c>
      <c r="DE43" s="171">
        <f>SUMIF('CF(M)'!$L$10:$EQ$10,DE$6,'CF(M)'!$L48:$EQ48)</f>
        <v>0</v>
      </c>
      <c r="DF43" s="171">
        <f>SUMIF('CF(M)'!$L$10:$EQ$10,DF$6,'CF(M)'!$L48:$EQ48)</f>
        <v>0</v>
      </c>
      <c r="DG43" s="171">
        <f>SUMIF('CF(M)'!$L$10:$EQ$10,DG$6,'CF(M)'!$L48:$EQ48)</f>
        <v>0</v>
      </c>
      <c r="DH43" s="171">
        <f>SUMIF('CF(M)'!$L$10:$EQ$10,DH$6,'CF(M)'!$L48:$EQ48)</f>
        <v>0</v>
      </c>
      <c r="DI43" s="171">
        <f>SUMIF('CF(M)'!$L$10:$EQ$10,DI$6,'CF(M)'!$L48:$EQ48)</f>
        <v>0</v>
      </c>
      <c r="DJ43" s="171">
        <f>SUMIF('CF(M)'!$L$10:$EQ$10,DJ$6,'CF(M)'!$L48:$EQ48)</f>
        <v>0</v>
      </c>
      <c r="DK43" s="171">
        <f>SUMIF('CF(M)'!$L$10:$EQ$10,DK$6,'CF(M)'!$L48:$EQ48)</f>
        <v>0</v>
      </c>
      <c r="DL43" s="171">
        <f>SUMIF('CF(M)'!$L$10:$EQ$10,DL$6,'CF(M)'!$L48:$EQ48)</f>
        <v>0</v>
      </c>
      <c r="DM43" s="171">
        <f>SUMIF('CF(M)'!$L$10:$EQ$10,DM$6,'CF(M)'!$L48:$EQ48)</f>
        <v>0</v>
      </c>
      <c r="DN43" s="171">
        <f>SUMIF('CF(M)'!$L$10:$EQ$10,DN$6,'CF(M)'!$L48:$EQ48)</f>
        <v>0</v>
      </c>
      <c r="DO43" s="171">
        <f>SUMIF('CF(M)'!$L$10:$EQ$10,DO$6,'CF(M)'!$L48:$EQ48)</f>
        <v>0</v>
      </c>
      <c r="DP43" s="171">
        <f>SUMIF('CF(M)'!$L$10:$EQ$10,DP$6,'CF(M)'!$L48:$EQ48)</f>
        <v>0</v>
      </c>
      <c r="DQ43" s="171">
        <f>SUMIF('CF(M)'!$L$10:$EQ$10,DQ$6,'CF(M)'!$L48:$EQ48)</f>
        <v>0</v>
      </c>
      <c r="DR43" s="171">
        <f>SUMIF('CF(M)'!$L$10:$EQ$10,DR$6,'CF(M)'!$L48:$EQ48)</f>
        <v>0</v>
      </c>
      <c r="DS43" s="171">
        <f>SUMIF('CF(M)'!$L$10:$EQ$10,DS$6,'CF(M)'!$L48:$EQ48)</f>
        <v>0</v>
      </c>
      <c r="DT43" s="171">
        <f>SUMIF('CF(M)'!$L$10:$EQ$10,DT$6,'CF(M)'!$L48:$EQ48)</f>
        <v>0</v>
      </c>
      <c r="DU43" s="171">
        <f>SUMIF('CF(M)'!$L$10:$EQ$10,DU$6,'CF(M)'!$L48:$EQ48)</f>
        <v>0</v>
      </c>
      <c r="DV43" s="171">
        <f>SUMIF('CF(M)'!$L$10:$EQ$10,DV$6,'CF(M)'!$L48:$EQ48)</f>
        <v>0</v>
      </c>
    </row>
    <row r="44" spans="2:126" ht="11.25" customHeight="1">
      <c r="B44" s="218"/>
      <c r="C44" s="158" t="s">
        <v>194</v>
      </c>
      <c r="D44" s="159"/>
      <c r="E44" s="159"/>
      <c r="F44" s="159"/>
      <c r="G44" s="159"/>
      <c r="H44" s="160"/>
      <c r="I44" s="219"/>
      <c r="J44" s="220">
        <f>SUM(J45:J48)</f>
        <v>0</v>
      </c>
      <c r="K44" s="98"/>
      <c r="L44" s="162">
        <f>SUM(L45:L48)</f>
        <v>-12856669.630531998</v>
      </c>
      <c r="M44" s="162">
        <f t="shared" ref="M44:BX44" si="15">SUM(M45:M48)</f>
        <v>12800493.159896284</v>
      </c>
      <c r="N44" s="162">
        <f t="shared" si="15"/>
        <v>0</v>
      </c>
      <c r="O44" s="162">
        <f t="shared" si="15"/>
        <v>-21.45379227893136</v>
      </c>
      <c r="P44" s="162">
        <f t="shared" si="15"/>
        <v>-1.1641532182693481E-10</v>
      </c>
      <c r="Q44" s="162">
        <f t="shared" si="15"/>
        <v>-36.616062124361633</v>
      </c>
      <c r="R44" s="162">
        <f t="shared" si="15"/>
        <v>-6839.8392522169161</v>
      </c>
      <c r="S44" s="162">
        <f t="shared" si="15"/>
        <v>4022.5759218994062</v>
      </c>
      <c r="T44" s="162">
        <f t="shared" si="15"/>
        <v>2765.4803543304151</v>
      </c>
      <c r="U44" s="162">
        <f t="shared" si="15"/>
        <v>-66.96053971182846</v>
      </c>
      <c r="V44" s="162">
        <f t="shared" si="15"/>
        <v>1.1641532182693481E-10</v>
      </c>
      <c r="W44" s="162">
        <f t="shared" si="15"/>
        <v>-82.154760115983663</v>
      </c>
      <c r="X44" s="162">
        <f t="shared" si="15"/>
        <v>1.1641532182693481E-10</v>
      </c>
      <c r="Y44" s="162">
        <f t="shared" si="15"/>
        <v>-97.371647377585759</v>
      </c>
      <c r="Z44" s="162">
        <f t="shared" si="15"/>
        <v>0</v>
      </c>
      <c r="AA44" s="162">
        <f t="shared" si="15"/>
        <v>-112.61721742420923</v>
      </c>
      <c r="AB44" s="162">
        <f t="shared" si="15"/>
        <v>-7738.6503048098821</v>
      </c>
      <c r="AC44" s="162">
        <f t="shared" si="15"/>
        <v>260.16560846737411</v>
      </c>
      <c r="AD44" s="162">
        <f t="shared" si="15"/>
        <v>7350.5872020184179</v>
      </c>
      <c r="AE44" s="162">
        <f t="shared" si="15"/>
        <v>-143.21851267799502</v>
      </c>
      <c r="AF44" s="162">
        <f t="shared" si="15"/>
        <v>56916.543637737122</v>
      </c>
      <c r="AG44" s="162">
        <f t="shared" si="15"/>
        <v>0</v>
      </c>
      <c r="AH44" s="162">
        <f t="shared" si="15"/>
        <v>0</v>
      </c>
      <c r="AI44" s="162">
        <f t="shared" si="15"/>
        <v>0</v>
      </c>
      <c r="AJ44" s="162">
        <f t="shared" si="15"/>
        <v>0</v>
      </c>
      <c r="AK44" s="162">
        <f t="shared" si="15"/>
        <v>0</v>
      </c>
      <c r="AL44" s="162">
        <f t="shared" si="15"/>
        <v>0</v>
      </c>
      <c r="AM44" s="162">
        <f t="shared" si="15"/>
        <v>0</v>
      </c>
      <c r="AN44" s="162">
        <f t="shared" si="15"/>
        <v>0</v>
      </c>
      <c r="AO44" s="162">
        <f t="shared" si="15"/>
        <v>0</v>
      </c>
      <c r="AP44" s="162">
        <f t="shared" si="15"/>
        <v>0</v>
      </c>
      <c r="AQ44" s="162">
        <f t="shared" si="15"/>
        <v>0</v>
      </c>
      <c r="AR44" s="162">
        <f t="shared" si="15"/>
        <v>0</v>
      </c>
      <c r="AS44" s="162">
        <f t="shared" si="15"/>
        <v>0</v>
      </c>
      <c r="AT44" s="162">
        <f t="shared" si="15"/>
        <v>0</v>
      </c>
      <c r="AU44" s="162">
        <f t="shared" si="15"/>
        <v>0</v>
      </c>
      <c r="AV44" s="162">
        <f t="shared" si="15"/>
        <v>0</v>
      </c>
      <c r="AW44" s="162">
        <f t="shared" si="15"/>
        <v>0</v>
      </c>
      <c r="AX44" s="162">
        <f t="shared" si="15"/>
        <v>0</v>
      </c>
      <c r="AY44" s="162">
        <f t="shared" si="15"/>
        <v>0</v>
      </c>
      <c r="AZ44" s="162">
        <f t="shared" si="15"/>
        <v>0</v>
      </c>
      <c r="BA44" s="162">
        <f t="shared" si="15"/>
        <v>0</v>
      </c>
      <c r="BB44" s="162">
        <f t="shared" si="15"/>
        <v>0</v>
      </c>
      <c r="BC44" s="162">
        <f t="shared" si="15"/>
        <v>0</v>
      </c>
      <c r="BD44" s="162">
        <f t="shared" si="15"/>
        <v>0</v>
      </c>
      <c r="BE44" s="162">
        <f t="shared" si="15"/>
        <v>0</v>
      </c>
      <c r="BF44" s="162">
        <f t="shared" si="15"/>
        <v>0</v>
      </c>
      <c r="BG44" s="162">
        <f t="shared" si="15"/>
        <v>0</v>
      </c>
      <c r="BH44" s="162">
        <f t="shared" si="15"/>
        <v>0</v>
      </c>
      <c r="BI44" s="162">
        <f t="shared" si="15"/>
        <v>0</v>
      </c>
      <c r="BJ44" s="162">
        <f t="shared" si="15"/>
        <v>0</v>
      </c>
      <c r="BK44" s="162">
        <f t="shared" si="15"/>
        <v>0</v>
      </c>
      <c r="BL44" s="162">
        <f t="shared" si="15"/>
        <v>0</v>
      </c>
      <c r="BM44" s="162">
        <f t="shared" si="15"/>
        <v>0</v>
      </c>
      <c r="BN44" s="162">
        <f t="shared" si="15"/>
        <v>0</v>
      </c>
      <c r="BO44" s="162">
        <f t="shared" si="15"/>
        <v>0</v>
      </c>
      <c r="BP44" s="162">
        <f t="shared" si="15"/>
        <v>0</v>
      </c>
      <c r="BQ44" s="162">
        <f t="shared" si="15"/>
        <v>0</v>
      </c>
      <c r="BR44" s="162">
        <f t="shared" si="15"/>
        <v>0</v>
      </c>
      <c r="BS44" s="162">
        <f t="shared" si="15"/>
        <v>0</v>
      </c>
      <c r="BT44" s="162">
        <f t="shared" si="15"/>
        <v>0</v>
      </c>
      <c r="BU44" s="162">
        <f t="shared" si="15"/>
        <v>0</v>
      </c>
      <c r="BV44" s="162">
        <f t="shared" si="15"/>
        <v>0</v>
      </c>
      <c r="BW44" s="162">
        <f t="shared" si="15"/>
        <v>0</v>
      </c>
      <c r="BX44" s="162">
        <f t="shared" si="15"/>
        <v>0</v>
      </c>
      <c r="BY44" s="162">
        <f t="shared" ref="BY44:DV44" si="16">SUM(BY45:BY48)</f>
        <v>0</v>
      </c>
      <c r="BZ44" s="162">
        <f t="shared" si="16"/>
        <v>0</v>
      </c>
      <c r="CA44" s="162">
        <f t="shared" si="16"/>
        <v>0</v>
      </c>
      <c r="CB44" s="162">
        <f t="shared" si="16"/>
        <v>0</v>
      </c>
      <c r="CC44" s="162">
        <f t="shared" si="16"/>
        <v>0</v>
      </c>
      <c r="CD44" s="162">
        <f t="shared" si="16"/>
        <v>0</v>
      </c>
      <c r="CE44" s="162">
        <f t="shared" si="16"/>
        <v>0</v>
      </c>
      <c r="CF44" s="162">
        <f t="shared" si="16"/>
        <v>0</v>
      </c>
      <c r="CG44" s="162">
        <f t="shared" si="16"/>
        <v>0</v>
      </c>
      <c r="CH44" s="162">
        <f t="shared" si="16"/>
        <v>0</v>
      </c>
      <c r="CI44" s="162">
        <f t="shared" si="16"/>
        <v>0</v>
      </c>
      <c r="CJ44" s="162">
        <f t="shared" si="16"/>
        <v>0</v>
      </c>
      <c r="CK44" s="162">
        <f t="shared" si="16"/>
        <v>0</v>
      </c>
      <c r="CL44" s="162">
        <f t="shared" si="16"/>
        <v>0</v>
      </c>
      <c r="CM44" s="162">
        <f t="shared" si="16"/>
        <v>0</v>
      </c>
      <c r="CN44" s="162">
        <f t="shared" si="16"/>
        <v>0</v>
      </c>
      <c r="CO44" s="162">
        <f t="shared" si="16"/>
        <v>0</v>
      </c>
      <c r="CP44" s="162">
        <f t="shared" si="16"/>
        <v>0</v>
      </c>
      <c r="CQ44" s="162">
        <f t="shared" si="16"/>
        <v>0</v>
      </c>
      <c r="CR44" s="162">
        <f t="shared" si="16"/>
        <v>0</v>
      </c>
      <c r="CS44" s="162">
        <f t="shared" si="16"/>
        <v>0</v>
      </c>
      <c r="CT44" s="162">
        <f t="shared" si="16"/>
        <v>0</v>
      </c>
      <c r="CU44" s="162">
        <f t="shared" si="16"/>
        <v>0</v>
      </c>
      <c r="CV44" s="162">
        <f t="shared" si="16"/>
        <v>0</v>
      </c>
      <c r="CW44" s="162">
        <f t="shared" si="16"/>
        <v>0</v>
      </c>
      <c r="CX44" s="162">
        <f t="shared" si="16"/>
        <v>0</v>
      </c>
      <c r="CY44" s="162">
        <f t="shared" si="16"/>
        <v>0</v>
      </c>
      <c r="CZ44" s="162">
        <f t="shared" si="16"/>
        <v>0</v>
      </c>
      <c r="DA44" s="162">
        <f t="shared" si="16"/>
        <v>0</v>
      </c>
      <c r="DB44" s="162">
        <f t="shared" si="16"/>
        <v>0</v>
      </c>
      <c r="DC44" s="162">
        <f t="shared" si="16"/>
        <v>0</v>
      </c>
      <c r="DD44" s="162">
        <f t="shared" si="16"/>
        <v>0</v>
      </c>
      <c r="DE44" s="162">
        <f t="shared" si="16"/>
        <v>0</v>
      </c>
      <c r="DF44" s="162">
        <f t="shared" si="16"/>
        <v>0</v>
      </c>
      <c r="DG44" s="162">
        <f t="shared" si="16"/>
        <v>0</v>
      </c>
      <c r="DH44" s="162">
        <f t="shared" si="16"/>
        <v>0</v>
      </c>
      <c r="DI44" s="162">
        <f t="shared" si="16"/>
        <v>0</v>
      </c>
      <c r="DJ44" s="162">
        <f t="shared" si="16"/>
        <v>0</v>
      </c>
      <c r="DK44" s="162">
        <f t="shared" si="16"/>
        <v>0</v>
      </c>
      <c r="DL44" s="162">
        <f t="shared" si="16"/>
        <v>0</v>
      </c>
      <c r="DM44" s="162">
        <f t="shared" si="16"/>
        <v>0</v>
      </c>
      <c r="DN44" s="162">
        <f t="shared" si="16"/>
        <v>0</v>
      </c>
      <c r="DO44" s="162">
        <f t="shared" si="16"/>
        <v>0</v>
      </c>
      <c r="DP44" s="162">
        <f t="shared" si="16"/>
        <v>0</v>
      </c>
      <c r="DQ44" s="162">
        <f t="shared" si="16"/>
        <v>0</v>
      </c>
      <c r="DR44" s="162">
        <f t="shared" si="16"/>
        <v>0</v>
      </c>
      <c r="DS44" s="162">
        <f t="shared" si="16"/>
        <v>0</v>
      </c>
      <c r="DT44" s="162">
        <f t="shared" si="16"/>
        <v>0</v>
      </c>
      <c r="DU44" s="162">
        <f t="shared" si="16"/>
        <v>0</v>
      </c>
      <c r="DV44" s="162">
        <f t="shared" si="16"/>
        <v>0</v>
      </c>
    </row>
    <row r="45" spans="2:126" ht="11.25" customHeight="1">
      <c r="B45" s="218"/>
      <c r="C45" s="163"/>
      <c r="D45" s="164" t="s">
        <v>195</v>
      </c>
      <c r="E45" s="165"/>
      <c r="F45" s="165"/>
      <c r="G45" s="165"/>
      <c r="H45" s="166"/>
      <c r="I45" s="221"/>
      <c r="J45" s="168">
        <f t="shared" si="8"/>
        <v>17198218.278469633</v>
      </c>
      <c r="K45" s="98"/>
      <c r="L45" s="168">
        <f>SUMIF('CF(M)'!$L$10:$EQ$10,L$6,'CF(M)'!$L50:$EQ50)</f>
        <v>0</v>
      </c>
      <c r="M45" s="168">
        <f>SUMIF('CF(M)'!$L$10:$EQ$10,M$6,'CF(M)'!$L50:$EQ50)</f>
        <v>739285.07022632798</v>
      </c>
      <c r="N45" s="168">
        <f>SUMIF('CF(M)'!$L$10:$EQ$10,N$6,'CF(M)'!$L50:$EQ50)</f>
        <v>780130.63021090627</v>
      </c>
      <c r="O45" s="168">
        <f>SUMIF('CF(M)'!$L$10:$EQ$10,O$6,'CF(M)'!$L50:$EQ50)</f>
        <v>756062.46018198621</v>
      </c>
      <c r="P45" s="168">
        <f>SUMIF('CF(M)'!$L$10:$EQ$10,P$6,'CF(M)'!$L50:$EQ50)</f>
        <v>797929.15916617878</v>
      </c>
      <c r="Q45" s="168">
        <f>SUMIF('CF(M)'!$L$10:$EQ$10,Q$6,'CF(M)'!$L50:$EQ50)</f>
        <v>807426.84263737965</v>
      </c>
      <c r="R45" s="168">
        <f>SUMIF('CF(M)'!$L$10:$EQ$10,R$6,'CF(M)'!$L50:$EQ50)</f>
        <v>314946.04702537216</v>
      </c>
      <c r="S45" s="168">
        <f>SUMIF('CF(M)'!$L$10:$EQ$10,S$6,'CF(M)'!$L50:$EQ50)</f>
        <v>855362.1070497859</v>
      </c>
      <c r="T45" s="168">
        <f>SUMIF('CF(M)'!$L$10:$EQ$10,T$6,'CF(M)'!$L50:$EQ50)</f>
        <v>878620.69938681391</v>
      </c>
      <c r="U45" s="168">
        <f>SUMIF('CF(M)'!$L$10:$EQ$10,U$6,'CF(M)'!$L50:$EQ50)</f>
        <v>877636.81361215096</v>
      </c>
      <c r="V45" s="168">
        <f>SUMIF('CF(M)'!$L$10:$EQ$10,V$6,'CF(M)'!$L50:$EQ50)</f>
        <v>900487.86667148443</v>
      </c>
      <c r="W45" s="168">
        <f>SUMIF('CF(M)'!$L$10:$EQ$10,W$6,'CF(M)'!$L50:$EQ50)</f>
        <v>899479.38375245477</v>
      </c>
      <c r="X45" s="168">
        <f>SUMIF('CF(M)'!$L$10:$EQ$10,X$6,'CF(M)'!$L50:$EQ50)</f>
        <v>922901.71313827159</v>
      </c>
      <c r="Y45" s="168">
        <f>SUMIF('CF(M)'!$L$10:$EQ$10,Y$6,'CF(M)'!$L50:$EQ50)</f>
        <v>921868.01814626623</v>
      </c>
      <c r="Z45" s="168">
        <f>SUMIF('CF(M)'!$L$10:$EQ$10,Z$6,'CF(M)'!$L50:$EQ50)</f>
        <v>945875.90576672833</v>
      </c>
      <c r="AA45" s="168">
        <f>SUMIF('CF(M)'!$L$10:$EQ$10,AA$6,'CF(M)'!$L50:$EQ50)</f>
        <v>944816.36839992274</v>
      </c>
      <c r="AB45" s="168">
        <f>SUMIF('CF(M)'!$L$10:$EQ$10,AB$6,'CF(M)'!$L50:$EQ50)</f>
        <v>947329.45788638084</v>
      </c>
      <c r="AC45" s="168">
        <f>SUMIF('CF(M)'!$L$10:$EQ$10,AC$6,'CF(M)'!$L50:$EQ50)</f>
        <v>958721.74441344605</v>
      </c>
      <c r="AD45" s="168">
        <f>SUMIF('CF(M)'!$L$10:$EQ$10,AD$6,'CF(M)'!$L50:$EQ50)</f>
        <v>971208.74266961077</v>
      </c>
      <c r="AE45" s="168">
        <f>SUMIF('CF(M)'!$L$10:$EQ$10,AE$6,'CF(M)'!$L50:$EQ50)</f>
        <v>982738.63709181733</v>
      </c>
      <c r="AF45" s="168">
        <f>SUMIF('CF(M)'!$L$10:$EQ$10,AF$6,'CF(M)'!$L50:$EQ50)</f>
        <v>995390.61103635072</v>
      </c>
      <c r="AG45" s="168">
        <f>SUMIF('CF(M)'!$L$10:$EQ$10,AG$6,'CF(M)'!$L50:$EQ50)</f>
        <v>0</v>
      </c>
      <c r="AH45" s="168">
        <f>SUMIF('CF(M)'!$L$10:$EQ$10,AH$6,'CF(M)'!$L50:$EQ50)</f>
        <v>0</v>
      </c>
      <c r="AI45" s="168">
        <f>SUMIF('CF(M)'!$L$10:$EQ$10,AI$6,'CF(M)'!$L50:$EQ50)</f>
        <v>0</v>
      </c>
      <c r="AJ45" s="168">
        <f>SUMIF('CF(M)'!$L$10:$EQ$10,AJ$6,'CF(M)'!$L50:$EQ50)</f>
        <v>0</v>
      </c>
      <c r="AK45" s="168">
        <f>SUMIF('CF(M)'!$L$10:$EQ$10,AK$6,'CF(M)'!$L50:$EQ50)</f>
        <v>0</v>
      </c>
      <c r="AL45" s="168">
        <f>SUMIF('CF(M)'!$L$10:$EQ$10,AL$6,'CF(M)'!$L50:$EQ50)</f>
        <v>0</v>
      </c>
      <c r="AM45" s="168">
        <f>SUMIF('CF(M)'!$L$10:$EQ$10,AM$6,'CF(M)'!$L50:$EQ50)</f>
        <v>0</v>
      </c>
      <c r="AN45" s="168">
        <f>SUMIF('CF(M)'!$L$10:$EQ$10,AN$6,'CF(M)'!$L50:$EQ50)</f>
        <v>0</v>
      </c>
      <c r="AO45" s="168">
        <f>SUMIF('CF(M)'!$L$10:$EQ$10,AO$6,'CF(M)'!$L50:$EQ50)</f>
        <v>0</v>
      </c>
      <c r="AP45" s="168">
        <f>SUMIF('CF(M)'!$L$10:$EQ$10,AP$6,'CF(M)'!$L50:$EQ50)</f>
        <v>0</v>
      </c>
      <c r="AQ45" s="168">
        <f>SUMIF('CF(M)'!$L$10:$EQ$10,AQ$6,'CF(M)'!$L50:$EQ50)</f>
        <v>0</v>
      </c>
      <c r="AR45" s="168">
        <f>SUMIF('CF(M)'!$L$10:$EQ$10,AR$6,'CF(M)'!$L50:$EQ50)</f>
        <v>0</v>
      </c>
      <c r="AS45" s="168">
        <f>SUMIF('CF(M)'!$L$10:$EQ$10,AS$6,'CF(M)'!$L50:$EQ50)</f>
        <v>0</v>
      </c>
      <c r="AT45" s="168">
        <f>SUMIF('CF(M)'!$L$10:$EQ$10,AT$6,'CF(M)'!$L50:$EQ50)</f>
        <v>0</v>
      </c>
      <c r="AU45" s="168">
        <f>SUMIF('CF(M)'!$L$10:$EQ$10,AU$6,'CF(M)'!$L50:$EQ50)</f>
        <v>0</v>
      </c>
      <c r="AV45" s="168">
        <f>SUMIF('CF(M)'!$L$10:$EQ$10,AV$6,'CF(M)'!$L50:$EQ50)</f>
        <v>0</v>
      </c>
      <c r="AW45" s="168">
        <f>SUMIF('CF(M)'!$L$10:$EQ$10,AW$6,'CF(M)'!$L50:$EQ50)</f>
        <v>0</v>
      </c>
      <c r="AX45" s="168">
        <f>SUMIF('CF(M)'!$L$10:$EQ$10,AX$6,'CF(M)'!$L50:$EQ50)</f>
        <v>0</v>
      </c>
      <c r="AY45" s="168">
        <f>SUMIF('CF(M)'!$L$10:$EQ$10,AY$6,'CF(M)'!$L50:$EQ50)</f>
        <v>0</v>
      </c>
      <c r="AZ45" s="168">
        <f>SUMIF('CF(M)'!$L$10:$EQ$10,AZ$6,'CF(M)'!$L50:$EQ50)</f>
        <v>0</v>
      </c>
      <c r="BA45" s="168">
        <f>SUMIF('CF(M)'!$L$10:$EQ$10,BA$6,'CF(M)'!$L50:$EQ50)</f>
        <v>0</v>
      </c>
      <c r="BB45" s="168">
        <f>SUMIF('CF(M)'!$L$10:$EQ$10,BB$6,'CF(M)'!$L50:$EQ50)</f>
        <v>0</v>
      </c>
      <c r="BC45" s="168">
        <f>SUMIF('CF(M)'!$L$10:$EQ$10,BC$6,'CF(M)'!$L50:$EQ50)</f>
        <v>0</v>
      </c>
      <c r="BD45" s="168">
        <f>SUMIF('CF(M)'!$L$10:$EQ$10,BD$6,'CF(M)'!$L50:$EQ50)</f>
        <v>0</v>
      </c>
      <c r="BE45" s="168">
        <f>SUMIF('CF(M)'!$L$10:$EQ$10,BE$6,'CF(M)'!$L50:$EQ50)</f>
        <v>0</v>
      </c>
      <c r="BF45" s="168">
        <f>SUMIF('CF(M)'!$L$10:$EQ$10,BF$6,'CF(M)'!$L50:$EQ50)</f>
        <v>0</v>
      </c>
      <c r="BG45" s="168">
        <f>SUMIF('CF(M)'!$L$10:$EQ$10,BG$6,'CF(M)'!$L50:$EQ50)</f>
        <v>0</v>
      </c>
      <c r="BH45" s="168">
        <f>SUMIF('CF(M)'!$L$10:$EQ$10,BH$6,'CF(M)'!$L50:$EQ50)</f>
        <v>0</v>
      </c>
      <c r="BI45" s="168">
        <f>SUMIF('CF(M)'!$L$10:$EQ$10,BI$6,'CF(M)'!$L50:$EQ50)</f>
        <v>0</v>
      </c>
      <c r="BJ45" s="168">
        <f>SUMIF('CF(M)'!$L$10:$EQ$10,BJ$6,'CF(M)'!$L50:$EQ50)</f>
        <v>0</v>
      </c>
      <c r="BK45" s="168">
        <f>SUMIF('CF(M)'!$L$10:$EQ$10,BK$6,'CF(M)'!$L50:$EQ50)</f>
        <v>0</v>
      </c>
      <c r="BL45" s="168">
        <f>SUMIF('CF(M)'!$L$10:$EQ$10,BL$6,'CF(M)'!$L50:$EQ50)</f>
        <v>0</v>
      </c>
      <c r="BM45" s="168">
        <f>SUMIF('CF(M)'!$L$10:$EQ$10,BM$6,'CF(M)'!$L50:$EQ50)</f>
        <v>0</v>
      </c>
      <c r="BN45" s="168">
        <f>SUMIF('CF(M)'!$L$10:$EQ$10,BN$6,'CF(M)'!$L50:$EQ50)</f>
        <v>0</v>
      </c>
      <c r="BO45" s="168">
        <f>SUMIF('CF(M)'!$L$10:$EQ$10,BO$6,'CF(M)'!$L50:$EQ50)</f>
        <v>0</v>
      </c>
      <c r="BP45" s="168">
        <f>SUMIF('CF(M)'!$L$10:$EQ$10,BP$6,'CF(M)'!$L50:$EQ50)</f>
        <v>0</v>
      </c>
      <c r="BQ45" s="168">
        <f>SUMIF('CF(M)'!$L$10:$EQ$10,BQ$6,'CF(M)'!$L50:$EQ50)</f>
        <v>0</v>
      </c>
      <c r="BR45" s="168">
        <f>SUMIF('CF(M)'!$L$10:$EQ$10,BR$6,'CF(M)'!$L50:$EQ50)</f>
        <v>0</v>
      </c>
      <c r="BS45" s="168">
        <f>SUMIF('CF(M)'!$L$10:$EQ$10,BS$6,'CF(M)'!$L50:$EQ50)</f>
        <v>0</v>
      </c>
      <c r="BT45" s="168">
        <f>SUMIF('CF(M)'!$L$10:$EQ$10,BT$6,'CF(M)'!$L50:$EQ50)</f>
        <v>0</v>
      </c>
      <c r="BU45" s="168">
        <f>SUMIF('CF(M)'!$L$10:$EQ$10,BU$6,'CF(M)'!$L50:$EQ50)</f>
        <v>0</v>
      </c>
      <c r="BV45" s="168">
        <f>SUMIF('CF(M)'!$L$10:$EQ$10,BV$6,'CF(M)'!$L50:$EQ50)</f>
        <v>0</v>
      </c>
      <c r="BW45" s="168">
        <f>SUMIF('CF(M)'!$L$10:$EQ$10,BW$6,'CF(M)'!$L50:$EQ50)</f>
        <v>0</v>
      </c>
      <c r="BX45" s="168">
        <f>SUMIF('CF(M)'!$L$10:$EQ$10,BX$6,'CF(M)'!$L50:$EQ50)</f>
        <v>0</v>
      </c>
      <c r="BY45" s="168">
        <f>SUMIF('CF(M)'!$L$10:$EQ$10,BY$6,'CF(M)'!$L50:$EQ50)</f>
        <v>0</v>
      </c>
      <c r="BZ45" s="168">
        <f>SUMIF('CF(M)'!$L$10:$EQ$10,BZ$6,'CF(M)'!$L50:$EQ50)</f>
        <v>0</v>
      </c>
      <c r="CA45" s="168">
        <f>SUMIF('CF(M)'!$L$10:$EQ$10,CA$6,'CF(M)'!$L50:$EQ50)</f>
        <v>0</v>
      </c>
      <c r="CB45" s="168">
        <f>SUMIF('CF(M)'!$L$10:$EQ$10,CB$6,'CF(M)'!$L50:$EQ50)</f>
        <v>0</v>
      </c>
      <c r="CC45" s="168">
        <f>SUMIF('CF(M)'!$L$10:$EQ$10,CC$6,'CF(M)'!$L50:$EQ50)</f>
        <v>0</v>
      </c>
      <c r="CD45" s="168">
        <f>SUMIF('CF(M)'!$L$10:$EQ$10,CD$6,'CF(M)'!$L50:$EQ50)</f>
        <v>0</v>
      </c>
      <c r="CE45" s="168">
        <f>SUMIF('CF(M)'!$L$10:$EQ$10,CE$6,'CF(M)'!$L50:$EQ50)</f>
        <v>0</v>
      </c>
      <c r="CF45" s="168">
        <f>SUMIF('CF(M)'!$L$10:$EQ$10,CF$6,'CF(M)'!$L50:$EQ50)</f>
        <v>0</v>
      </c>
      <c r="CG45" s="168">
        <f>SUMIF('CF(M)'!$L$10:$EQ$10,CG$6,'CF(M)'!$L50:$EQ50)</f>
        <v>0</v>
      </c>
      <c r="CH45" s="168">
        <f>SUMIF('CF(M)'!$L$10:$EQ$10,CH$6,'CF(M)'!$L50:$EQ50)</f>
        <v>0</v>
      </c>
      <c r="CI45" s="168">
        <f>SUMIF('CF(M)'!$L$10:$EQ$10,CI$6,'CF(M)'!$L50:$EQ50)</f>
        <v>0</v>
      </c>
      <c r="CJ45" s="168">
        <f>SUMIF('CF(M)'!$L$10:$EQ$10,CJ$6,'CF(M)'!$L50:$EQ50)</f>
        <v>0</v>
      </c>
      <c r="CK45" s="168">
        <f>SUMIF('CF(M)'!$L$10:$EQ$10,CK$6,'CF(M)'!$L50:$EQ50)</f>
        <v>0</v>
      </c>
      <c r="CL45" s="168">
        <f>SUMIF('CF(M)'!$L$10:$EQ$10,CL$6,'CF(M)'!$L50:$EQ50)</f>
        <v>0</v>
      </c>
      <c r="CM45" s="168">
        <f>SUMIF('CF(M)'!$L$10:$EQ$10,CM$6,'CF(M)'!$L50:$EQ50)</f>
        <v>0</v>
      </c>
      <c r="CN45" s="168">
        <f>SUMIF('CF(M)'!$L$10:$EQ$10,CN$6,'CF(M)'!$L50:$EQ50)</f>
        <v>0</v>
      </c>
      <c r="CO45" s="168">
        <f>SUMIF('CF(M)'!$L$10:$EQ$10,CO$6,'CF(M)'!$L50:$EQ50)</f>
        <v>0</v>
      </c>
      <c r="CP45" s="168">
        <f>SUMIF('CF(M)'!$L$10:$EQ$10,CP$6,'CF(M)'!$L50:$EQ50)</f>
        <v>0</v>
      </c>
      <c r="CQ45" s="168">
        <f>SUMIF('CF(M)'!$L$10:$EQ$10,CQ$6,'CF(M)'!$L50:$EQ50)</f>
        <v>0</v>
      </c>
      <c r="CR45" s="168">
        <f>SUMIF('CF(M)'!$L$10:$EQ$10,CR$6,'CF(M)'!$L50:$EQ50)</f>
        <v>0</v>
      </c>
      <c r="CS45" s="168">
        <f>SUMIF('CF(M)'!$L$10:$EQ$10,CS$6,'CF(M)'!$L50:$EQ50)</f>
        <v>0</v>
      </c>
      <c r="CT45" s="168">
        <f>SUMIF('CF(M)'!$L$10:$EQ$10,CT$6,'CF(M)'!$L50:$EQ50)</f>
        <v>0</v>
      </c>
      <c r="CU45" s="168">
        <f>SUMIF('CF(M)'!$L$10:$EQ$10,CU$6,'CF(M)'!$L50:$EQ50)</f>
        <v>0</v>
      </c>
      <c r="CV45" s="168">
        <f>SUMIF('CF(M)'!$L$10:$EQ$10,CV$6,'CF(M)'!$L50:$EQ50)</f>
        <v>0</v>
      </c>
      <c r="CW45" s="168">
        <f>SUMIF('CF(M)'!$L$10:$EQ$10,CW$6,'CF(M)'!$L50:$EQ50)</f>
        <v>0</v>
      </c>
      <c r="CX45" s="168">
        <f>SUMIF('CF(M)'!$L$10:$EQ$10,CX$6,'CF(M)'!$L50:$EQ50)</f>
        <v>0</v>
      </c>
      <c r="CY45" s="168">
        <f>SUMIF('CF(M)'!$L$10:$EQ$10,CY$6,'CF(M)'!$L50:$EQ50)</f>
        <v>0</v>
      </c>
      <c r="CZ45" s="168">
        <f>SUMIF('CF(M)'!$L$10:$EQ$10,CZ$6,'CF(M)'!$L50:$EQ50)</f>
        <v>0</v>
      </c>
      <c r="DA45" s="168">
        <f>SUMIF('CF(M)'!$L$10:$EQ$10,DA$6,'CF(M)'!$L50:$EQ50)</f>
        <v>0</v>
      </c>
      <c r="DB45" s="168">
        <f>SUMIF('CF(M)'!$L$10:$EQ$10,DB$6,'CF(M)'!$L50:$EQ50)</f>
        <v>0</v>
      </c>
      <c r="DC45" s="168">
        <f>SUMIF('CF(M)'!$L$10:$EQ$10,DC$6,'CF(M)'!$L50:$EQ50)</f>
        <v>0</v>
      </c>
      <c r="DD45" s="168">
        <f>SUMIF('CF(M)'!$L$10:$EQ$10,DD$6,'CF(M)'!$L50:$EQ50)</f>
        <v>0</v>
      </c>
      <c r="DE45" s="168">
        <f>SUMIF('CF(M)'!$L$10:$EQ$10,DE$6,'CF(M)'!$L50:$EQ50)</f>
        <v>0</v>
      </c>
      <c r="DF45" s="168">
        <f>SUMIF('CF(M)'!$L$10:$EQ$10,DF$6,'CF(M)'!$L50:$EQ50)</f>
        <v>0</v>
      </c>
      <c r="DG45" s="168">
        <f>SUMIF('CF(M)'!$L$10:$EQ$10,DG$6,'CF(M)'!$L50:$EQ50)</f>
        <v>0</v>
      </c>
      <c r="DH45" s="168">
        <f>SUMIF('CF(M)'!$L$10:$EQ$10,DH$6,'CF(M)'!$L50:$EQ50)</f>
        <v>0</v>
      </c>
      <c r="DI45" s="168">
        <f>SUMIF('CF(M)'!$L$10:$EQ$10,DI$6,'CF(M)'!$L50:$EQ50)</f>
        <v>0</v>
      </c>
      <c r="DJ45" s="168">
        <f>SUMIF('CF(M)'!$L$10:$EQ$10,DJ$6,'CF(M)'!$L50:$EQ50)</f>
        <v>0</v>
      </c>
      <c r="DK45" s="168">
        <f>SUMIF('CF(M)'!$L$10:$EQ$10,DK$6,'CF(M)'!$L50:$EQ50)</f>
        <v>0</v>
      </c>
      <c r="DL45" s="168">
        <f>SUMIF('CF(M)'!$L$10:$EQ$10,DL$6,'CF(M)'!$L50:$EQ50)</f>
        <v>0</v>
      </c>
      <c r="DM45" s="168">
        <f>SUMIF('CF(M)'!$L$10:$EQ$10,DM$6,'CF(M)'!$L50:$EQ50)</f>
        <v>0</v>
      </c>
      <c r="DN45" s="168">
        <f>SUMIF('CF(M)'!$L$10:$EQ$10,DN$6,'CF(M)'!$L50:$EQ50)</f>
        <v>0</v>
      </c>
      <c r="DO45" s="168">
        <f>SUMIF('CF(M)'!$L$10:$EQ$10,DO$6,'CF(M)'!$L50:$EQ50)</f>
        <v>0</v>
      </c>
      <c r="DP45" s="168">
        <f>SUMIF('CF(M)'!$L$10:$EQ$10,DP$6,'CF(M)'!$L50:$EQ50)</f>
        <v>0</v>
      </c>
      <c r="DQ45" s="168">
        <f>SUMIF('CF(M)'!$L$10:$EQ$10,DQ$6,'CF(M)'!$L50:$EQ50)</f>
        <v>0</v>
      </c>
      <c r="DR45" s="168">
        <f>SUMIF('CF(M)'!$L$10:$EQ$10,DR$6,'CF(M)'!$L50:$EQ50)</f>
        <v>0</v>
      </c>
      <c r="DS45" s="168">
        <f>SUMIF('CF(M)'!$L$10:$EQ$10,DS$6,'CF(M)'!$L50:$EQ50)</f>
        <v>0</v>
      </c>
      <c r="DT45" s="168">
        <f>SUMIF('CF(M)'!$L$10:$EQ$10,DT$6,'CF(M)'!$L50:$EQ50)</f>
        <v>0</v>
      </c>
      <c r="DU45" s="168">
        <f>SUMIF('CF(M)'!$L$10:$EQ$10,DU$6,'CF(M)'!$L50:$EQ50)</f>
        <v>0</v>
      </c>
      <c r="DV45" s="168">
        <f>SUMIF('CF(M)'!$L$10:$EQ$10,DV$6,'CF(M)'!$L50:$EQ50)</f>
        <v>0</v>
      </c>
    </row>
    <row r="46" spans="2:126" ht="11.25" customHeight="1">
      <c r="B46" s="218"/>
      <c r="C46" s="163"/>
      <c r="D46" s="169" t="s">
        <v>9</v>
      </c>
      <c r="H46" s="146"/>
      <c r="I46" s="13"/>
      <c r="J46" s="171">
        <f t="shared" si="8"/>
        <v>-17198218.278469633</v>
      </c>
      <c r="K46" s="98"/>
      <c r="L46" s="171">
        <f>SUMIF('CF(M)'!$L$10:$EQ$10,L$6,'CF(M)'!$L51:$EQ51)</f>
        <v>0</v>
      </c>
      <c r="M46" s="171">
        <f>SUMIF('CF(M)'!$L$10:$EQ$10,M$6,'CF(M)'!$L51:$EQ51)</f>
        <v>-739285.07022632798</v>
      </c>
      <c r="N46" s="171">
        <f>SUMIF('CF(M)'!$L$10:$EQ$10,N$6,'CF(M)'!$L51:$EQ51)</f>
        <v>-780130.63021090627</v>
      </c>
      <c r="O46" s="171">
        <f>SUMIF('CF(M)'!$L$10:$EQ$10,O$6,'CF(M)'!$L51:$EQ51)</f>
        <v>-756062.46018198633</v>
      </c>
      <c r="P46" s="171">
        <f>SUMIF('CF(M)'!$L$10:$EQ$10,P$6,'CF(M)'!$L51:$EQ51)</f>
        <v>-797929.1591661789</v>
      </c>
      <c r="Q46" s="171">
        <f>SUMIF('CF(M)'!$L$10:$EQ$10,Q$6,'CF(M)'!$L51:$EQ51)</f>
        <v>-807426.84263737965</v>
      </c>
      <c r="R46" s="171">
        <f>SUMIF('CF(M)'!$L$10:$EQ$10,R$6,'CF(M)'!$L51:$EQ51)</f>
        <v>-314946.04702537216</v>
      </c>
      <c r="S46" s="171">
        <f>SUMIF('CF(M)'!$L$10:$EQ$10,S$6,'CF(M)'!$L51:$EQ51)</f>
        <v>-855362.10704978602</v>
      </c>
      <c r="T46" s="171">
        <f>SUMIF('CF(M)'!$L$10:$EQ$10,T$6,'CF(M)'!$L51:$EQ51)</f>
        <v>-878620.69938681403</v>
      </c>
      <c r="U46" s="171">
        <f>SUMIF('CF(M)'!$L$10:$EQ$10,U$6,'CF(M)'!$L51:$EQ51)</f>
        <v>-877636.81361215108</v>
      </c>
      <c r="V46" s="171">
        <f>SUMIF('CF(M)'!$L$10:$EQ$10,V$6,'CF(M)'!$L51:$EQ51)</f>
        <v>-900487.86667148431</v>
      </c>
      <c r="W46" s="171">
        <f>SUMIF('CF(M)'!$L$10:$EQ$10,W$6,'CF(M)'!$L51:$EQ51)</f>
        <v>-899479.38375245477</v>
      </c>
      <c r="X46" s="171">
        <f>SUMIF('CF(M)'!$L$10:$EQ$10,X$6,'CF(M)'!$L51:$EQ51)</f>
        <v>-922901.71313827147</v>
      </c>
      <c r="Y46" s="171">
        <f>SUMIF('CF(M)'!$L$10:$EQ$10,Y$6,'CF(M)'!$L51:$EQ51)</f>
        <v>-921868.01814626623</v>
      </c>
      <c r="Z46" s="171">
        <f>SUMIF('CF(M)'!$L$10:$EQ$10,Z$6,'CF(M)'!$L51:$EQ51)</f>
        <v>-945875.90576672833</v>
      </c>
      <c r="AA46" s="171">
        <f>SUMIF('CF(M)'!$L$10:$EQ$10,AA$6,'CF(M)'!$L51:$EQ51)</f>
        <v>-944816.36839992274</v>
      </c>
      <c r="AB46" s="171">
        <f>SUMIF('CF(M)'!$L$10:$EQ$10,AB$6,'CF(M)'!$L51:$EQ51)</f>
        <v>-947329.45788638084</v>
      </c>
      <c r="AC46" s="171">
        <f>SUMIF('CF(M)'!$L$10:$EQ$10,AC$6,'CF(M)'!$L51:$EQ51)</f>
        <v>-958721.74441344617</v>
      </c>
      <c r="AD46" s="171">
        <f>SUMIF('CF(M)'!$L$10:$EQ$10,AD$6,'CF(M)'!$L51:$EQ51)</f>
        <v>-971208.74266961066</v>
      </c>
      <c r="AE46" s="171">
        <f>SUMIF('CF(M)'!$L$10:$EQ$10,AE$6,'CF(M)'!$L51:$EQ51)</f>
        <v>-982738.63709181733</v>
      </c>
      <c r="AF46" s="171">
        <f>SUMIF('CF(M)'!$L$10:$EQ$10,AF$6,'CF(M)'!$L51:$EQ51)</f>
        <v>-995390.61103635072</v>
      </c>
      <c r="AG46" s="171">
        <f>SUMIF('CF(M)'!$L$10:$EQ$10,AG$6,'CF(M)'!$L51:$EQ51)</f>
        <v>0</v>
      </c>
      <c r="AH46" s="171">
        <f>SUMIF('CF(M)'!$L$10:$EQ$10,AH$6,'CF(M)'!$L51:$EQ51)</f>
        <v>0</v>
      </c>
      <c r="AI46" s="171">
        <f>SUMIF('CF(M)'!$L$10:$EQ$10,AI$6,'CF(M)'!$L51:$EQ51)</f>
        <v>0</v>
      </c>
      <c r="AJ46" s="171">
        <f>SUMIF('CF(M)'!$L$10:$EQ$10,AJ$6,'CF(M)'!$L51:$EQ51)</f>
        <v>0</v>
      </c>
      <c r="AK46" s="171">
        <f>SUMIF('CF(M)'!$L$10:$EQ$10,AK$6,'CF(M)'!$L51:$EQ51)</f>
        <v>0</v>
      </c>
      <c r="AL46" s="171">
        <f>SUMIF('CF(M)'!$L$10:$EQ$10,AL$6,'CF(M)'!$L51:$EQ51)</f>
        <v>0</v>
      </c>
      <c r="AM46" s="171">
        <f>SUMIF('CF(M)'!$L$10:$EQ$10,AM$6,'CF(M)'!$L51:$EQ51)</f>
        <v>0</v>
      </c>
      <c r="AN46" s="171">
        <f>SUMIF('CF(M)'!$L$10:$EQ$10,AN$6,'CF(M)'!$L51:$EQ51)</f>
        <v>0</v>
      </c>
      <c r="AO46" s="171">
        <f>SUMIF('CF(M)'!$L$10:$EQ$10,AO$6,'CF(M)'!$L51:$EQ51)</f>
        <v>0</v>
      </c>
      <c r="AP46" s="171">
        <f>SUMIF('CF(M)'!$L$10:$EQ$10,AP$6,'CF(M)'!$L51:$EQ51)</f>
        <v>0</v>
      </c>
      <c r="AQ46" s="171">
        <f>SUMIF('CF(M)'!$L$10:$EQ$10,AQ$6,'CF(M)'!$L51:$EQ51)</f>
        <v>0</v>
      </c>
      <c r="AR46" s="171">
        <f>SUMIF('CF(M)'!$L$10:$EQ$10,AR$6,'CF(M)'!$L51:$EQ51)</f>
        <v>0</v>
      </c>
      <c r="AS46" s="171">
        <f>SUMIF('CF(M)'!$L$10:$EQ$10,AS$6,'CF(M)'!$L51:$EQ51)</f>
        <v>0</v>
      </c>
      <c r="AT46" s="171">
        <f>SUMIF('CF(M)'!$L$10:$EQ$10,AT$6,'CF(M)'!$L51:$EQ51)</f>
        <v>0</v>
      </c>
      <c r="AU46" s="171">
        <f>SUMIF('CF(M)'!$L$10:$EQ$10,AU$6,'CF(M)'!$L51:$EQ51)</f>
        <v>0</v>
      </c>
      <c r="AV46" s="171">
        <f>SUMIF('CF(M)'!$L$10:$EQ$10,AV$6,'CF(M)'!$L51:$EQ51)</f>
        <v>0</v>
      </c>
      <c r="AW46" s="171">
        <f>SUMIF('CF(M)'!$L$10:$EQ$10,AW$6,'CF(M)'!$L51:$EQ51)</f>
        <v>0</v>
      </c>
      <c r="AX46" s="171">
        <f>SUMIF('CF(M)'!$L$10:$EQ$10,AX$6,'CF(M)'!$L51:$EQ51)</f>
        <v>0</v>
      </c>
      <c r="AY46" s="171">
        <f>SUMIF('CF(M)'!$L$10:$EQ$10,AY$6,'CF(M)'!$L51:$EQ51)</f>
        <v>0</v>
      </c>
      <c r="AZ46" s="171">
        <f>SUMIF('CF(M)'!$L$10:$EQ$10,AZ$6,'CF(M)'!$L51:$EQ51)</f>
        <v>0</v>
      </c>
      <c r="BA46" s="171">
        <f>SUMIF('CF(M)'!$L$10:$EQ$10,BA$6,'CF(M)'!$L51:$EQ51)</f>
        <v>0</v>
      </c>
      <c r="BB46" s="171">
        <f>SUMIF('CF(M)'!$L$10:$EQ$10,BB$6,'CF(M)'!$L51:$EQ51)</f>
        <v>0</v>
      </c>
      <c r="BC46" s="171">
        <f>SUMIF('CF(M)'!$L$10:$EQ$10,BC$6,'CF(M)'!$L51:$EQ51)</f>
        <v>0</v>
      </c>
      <c r="BD46" s="171">
        <f>SUMIF('CF(M)'!$L$10:$EQ$10,BD$6,'CF(M)'!$L51:$EQ51)</f>
        <v>0</v>
      </c>
      <c r="BE46" s="171">
        <f>SUMIF('CF(M)'!$L$10:$EQ$10,BE$6,'CF(M)'!$L51:$EQ51)</f>
        <v>0</v>
      </c>
      <c r="BF46" s="171">
        <f>SUMIF('CF(M)'!$L$10:$EQ$10,BF$6,'CF(M)'!$L51:$EQ51)</f>
        <v>0</v>
      </c>
      <c r="BG46" s="171">
        <f>SUMIF('CF(M)'!$L$10:$EQ$10,BG$6,'CF(M)'!$L51:$EQ51)</f>
        <v>0</v>
      </c>
      <c r="BH46" s="171">
        <f>SUMIF('CF(M)'!$L$10:$EQ$10,BH$6,'CF(M)'!$L51:$EQ51)</f>
        <v>0</v>
      </c>
      <c r="BI46" s="171">
        <f>SUMIF('CF(M)'!$L$10:$EQ$10,BI$6,'CF(M)'!$L51:$EQ51)</f>
        <v>0</v>
      </c>
      <c r="BJ46" s="171">
        <f>SUMIF('CF(M)'!$L$10:$EQ$10,BJ$6,'CF(M)'!$L51:$EQ51)</f>
        <v>0</v>
      </c>
      <c r="BK46" s="171">
        <f>SUMIF('CF(M)'!$L$10:$EQ$10,BK$6,'CF(M)'!$L51:$EQ51)</f>
        <v>0</v>
      </c>
      <c r="BL46" s="171">
        <f>SUMIF('CF(M)'!$L$10:$EQ$10,BL$6,'CF(M)'!$L51:$EQ51)</f>
        <v>0</v>
      </c>
      <c r="BM46" s="171">
        <f>SUMIF('CF(M)'!$L$10:$EQ$10,BM$6,'CF(M)'!$L51:$EQ51)</f>
        <v>0</v>
      </c>
      <c r="BN46" s="171">
        <f>SUMIF('CF(M)'!$L$10:$EQ$10,BN$6,'CF(M)'!$L51:$EQ51)</f>
        <v>0</v>
      </c>
      <c r="BO46" s="171">
        <f>SUMIF('CF(M)'!$L$10:$EQ$10,BO$6,'CF(M)'!$L51:$EQ51)</f>
        <v>0</v>
      </c>
      <c r="BP46" s="171">
        <f>SUMIF('CF(M)'!$L$10:$EQ$10,BP$6,'CF(M)'!$L51:$EQ51)</f>
        <v>0</v>
      </c>
      <c r="BQ46" s="171">
        <f>SUMIF('CF(M)'!$L$10:$EQ$10,BQ$6,'CF(M)'!$L51:$EQ51)</f>
        <v>0</v>
      </c>
      <c r="BR46" s="171">
        <f>SUMIF('CF(M)'!$L$10:$EQ$10,BR$6,'CF(M)'!$L51:$EQ51)</f>
        <v>0</v>
      </c>
      <c r="BS46" s="171">
        <f>SUMIF('CF(M)'!$L$10:$EQ$10,BS$6,'CF(M)'!$L51:$EQ51)</f>
        <v>0</v>
      </c>
      <c r="BT46" s="171">
        <f>SUMIF('CF(M)'!$L$10:$EQ$10,BT$6,'CF(M)'!$L51:$EQ51)</f>
        <v>0</v>
      </c>
      <c r="BU46" s="171">
        <f>SUMIF('CF(M)'!$L$10:$EQ$10,BU$6,'CF(M)'!$L51:$EQ51)</f>
        <v>0</v>
      </c>
      <c r="BV46" s="171">
        <f>SUMIF('CF(M)'!$L$10:$EQ$10,BV$6,'CF(M)'!$L51:$EQ51)</f>
        <v>0</v>
      </c>
      <c r="BW46" s="171">
        <f>SUMIF('CF(M)'!$L$10:$EQ$10,BW$6,'CF(M)'!$L51:$EQ51)</f>
        <v>0</v>
      </c>
      <c r="BX46" s="171">
        <f>SUMIF('CF(M)'!$L$10:$EQ$10,BX$6,'CF(M)'!$L51:$EQ51)</f>
        <v>0</v>
      </c>
      <c r="BY46" s="171">
        <f>SUMIF('CF(M)'!$L$10:$EQ$10,BY$6,'CF(M)'!$L51:$EQ51)</f>
        <v>0</v>
      </c>
      <c r="BZ46" s="171">
        <f>SUMIF('CF(M)'!$L$10:$EQ$10,BZ$6,'CF(M)'!$L51:$EQ51)</f>
        <v>0</v>
      </c>
      <c r="CA46" s="171">
        <f>SUMIF('CF(M)'!$L$10:$EQ$10,CA$6,'CF(M)'!$L51:$EQ51)</f>
        <v>0</v>
      </c>
      <c r="CB46" s="171">
        <f>SUMIF('CF(M)'!$L$10:$EQ$10,CB$6,'CF(M)'!$L51:$EQ51)</f>
        <v>0</v>
      </c>
      <c r="CC46" s="171">
        <f>SUMIF('CF(M)'!$L$10:$EQ$10,CC$6,'CF(M)'!$L51:$EQ51)</f>
        <v>0</v>
      </c>
      <c r="CD46" s="171">
        <f>SUMIF('CF(M)'!$L$10:$EQ$10,CD$6,'CF(M)'!$L51:$EQ51)</f>
        <v>0</v>
      </c>
      <c r="CE46" s="171">
        <f>SUMIF('CF(M)'!$L$10:$EQ$10,CE$6,'CF(M)'!$L51:$EQ51)</f>
        <v>0</v>
      </c>
      <c r="CF46" s="171">
        <f>SUMIF('CF(M)'!$L$10:$EQ$10,CF$6,'CF(M)'!$L51:$EQ51)</f>
        <v>0</v>
      </c>
      <c r="CG46" s="171">
        <f>SUMIF('CF(M)'!$L$10:$EQ$10,CG$6,'CF(M)'!$L51:$EQ51)</f>
        <v>0</v>
      </c>
      <c r="CH46" s="171">
        <f>SUMIF('CF(M)'!$L$10:$EQ$10,CH$6,'CF(M)'!$L51:$EQ51)</f>
        <v>0</v>
      </c>
      <c r="CI46" s="171">
        <f>SUMIF('CF(M)'!$L$10:$EQ$10,CI$6,'CF(M)'!$L51:$EQ51)</f>
        <v>0</v>
      </c>
      <c r="CJ46" s="171">
        <f>SUMIF('CF(M)'!$L$10:$EQ$10,CJ$6,'CF(M)'!$L51:$EQ51)</f>
        <v>0</v>
      </c>
      <c r="CK46" s="171">
        <f>SUMIF('CF(M)'!$L$10:$EQ$10,CK$6,'CF(M)'!$L51:$EQ51)</f>
        <v>0</v>
      </c>
      <c r="CL46" s="171">
        <f>SUMIF('CF(M)'!$L$10:$EQ$10,CL$6,'CF(M)'!$L51:$EQ51)</f>
        <v>0</v>
      </c>
      <c r="CM46" s="171">
        <f>SUMIF('CF(M)'!$L$10:$EQ$10,CM$6,'CF(M)'!$L51:$EQ51)</f>
        <v>0</v>
      </c>
      <c r="CN46" s="171">
        <f>SUMIF('CF(M)'!$L$10:$EQ$10,CN$6,'CF(M)'!$L51:$EQ51)</f>
        <v>0</v>
      </c>
      <c r="CO46" s="171">
        <f>SUMIF('CF(M)'!$L$10:$EQ$10,CO$6,'CF(M)'!$L51:$EQ51)</f>
        <v>0</v>
      </c>
      <c r="CP46" s="171">
        <f>SUMIF('CF(M)'!$L$10:$EQ$10,CP$6,'CF(M)'!$L51:$EQ51)</f>
        <v>0</v>
      </c>
      <c r="CQ46" s="171">
        <f>SUMIF('CF(M)'!$L$10:$EQ$10,CQ$6,'CF(M)'!$L51:$EQ51)</f>
        <v>0</v>
      </c>
      <c r="CR46" s="171">
        <f>SUMIF('CF(M)'!$L$10:$EQ$10,CR$6,'CF(M)'!$L51:$EQ51)</f>
        <v>0</v>
      </c>
      <c r="CS46" s="171">
        <f>SUMIF('CF(M)'!$L$10:$EQ$10,CS$6,'CF(M)'!$L51:$EQ51)</f>
        <v>0</v>
      </c>
      <c r="CT46" s="171">
        <f>SUMIF('CF(M)'!$L$10:$EQ$10,CT$6,'CF(M)'!$L51:$EQ51)</f>
        <v>0</v>
      </c>
      <c r="CU46" s="171">
        <f>SUMIF('CF(M)'!$L$10:$EQ$10,CU$6,'CF(M)'!$L51:$EQ51)</f>
        <v>0</v>
      </c>
      <c r="CV46" s="171">
        <f>SUMIF('CF(M)'!$L$10:$EQ$10,CV$6,'CF(M)'!$L51:$EQ51)</f>
        <v>0</v>
      </c>
      <c r="CW46" s="171">
        <f>SUMIF('CF(M)'!$L$10:$EQ$10,CW$6,'CF(M)'!$L51:$EQ51)</f>
        <v>0</v>
      </c>
      <c r="CX46" s="171">
        <f>SUMIF('CF(M)'!$L$10:$EQ$10,CX$6,'CF(M)'!$L51:$EQ51)</f>
        <v>0</v>
      </c>
      <c r="CY46" s="171">
        <f>SUMIF('CF(M)'!$L$10:$EQ$10,CY$6,'CF(M)'!$L51:$EQ51)</f>
        <v>0</v>
      </c>
      <c r="CZ46" s="171">
        <f>SUMIF('CF(M)'!$L$10:$EQ$10,CZ$6,'CF(M)'!$L51:$EQ51)</f>
        <v>0</v>
      </c>
      <c r="DA46" s="171">
        <f>SUMIF('CF(M)'!$L$10:$EQ$10,DA$6,'CF(M)'!$L51:$EQ51)</f>
        <v>0</v>
      </c>
      <c r="DB46" s="171">
        <f>SUMIF('CF(M)'!$L$10:$EQ$10,DB$6,'CF(M)'!$L51:$EQ51)</f>
        <v>0</v>
      </c>
      <c r="DC46" s="171">
        <f>SUMIF('CF(M)'!$L$10:$EQ$10,DC$6,'CF(M)'!$L51:$EQ51)</f>
        <v>0</v>
      </c>
      <c r="DD46" s="171">
        <f>SUMIF('CF(M)'!$L$10:$EQ$10,DD$6,'CF(M)'!$L51:$EQ51)</f>
        <v>0</v>
      </c>
      <c r="DE46" s="171">
        <f>SUMIF('CF(M)'!$L$10:$EQ$10,DE$6,'CF(M)'!$L51:$EQ51)</f>
        <v>0</v>
      </c>
      <c r="DF46" s="171">
        <f>SUMIF('CF(M)'!$L$10:$EQ$10,DF$6,'CF(M)'!$L51:$EQ51)</f>
        <v>0</v>
      </c>
      <c r="DG46" s="171">
        <f>SUMIF('CF(M)'!$L$10:$EQ$10,DG$6,'CF(M)'!$L51:$EQ51)</f>
        <v>0</v>
      </c>
      <c r="DH46" s="171">
        <f>SUMIF('CF(M)'!$L$10:$EQ$10,DH$6,'CF(M)'!$L51:$EQ51)</f>
        <v>0</v>
      </c>
      <c r="DI46" s="171">
        <f>SUMIF('CF(M)'!$L$10:$EQ$10,DI$6,'CF(M)'!$L51:$EQ51)</f>
        <v>0</v>
      </c>
      <c r="DJ46" s="171">
        <f>SUMIF('CF(M)'!$L$10:$EQ$10,DJ$6,'CF(M)'!$L51:$EQ51)</f>
        <v>0</v>
      </c>
      <c r="DK46" s="171">
        <f>SUMIF('CF(M)'!$L$10:$EQ$10,DK$6,'CF(M)'!$L51:$EQ51)</f>
        <v>0</v>
      </c>
      <c r="DL46" s="171">
        <f>SUMIF('CF(M)'!$L$10:$EQ$10,DL$6,'CF(M)'!$L51:$EQ51)</f>
        <v>0</v>
      </c>
      <c r="DM46" s="171">
        <f>SUMIF('CF(M)'!$L$10:$EQ$10,DM$6,'CF(M)'!$L51:$EQ51)</f>
        <v>0</v>
      </c>
      <c r="DN46" s="171">
        <f>SUMIF('CF(M)'!$L$10:$EQ$10,DN$6,'CF(M)'!$L51:$EQ51)</f>
        <v>0</v>
      </c>
      <c r="DO46" s="171">
        <f>SUMIF('CF(M)'!$L$10:$EQ$10,DO$6,'CF(M)'!$L51:$EQ51)</f>
        <v>0</v>
      </c>
      <c r="DP46" s="171">
        <f>SUMIF('CF(M)'!$L$10:$EQ$10,DP$6,'CF(M)'!$L51:$EQ51)</f>
        <v>0</v>
      </c>
      <c r="DQ46" s="171">
        <f>SUMIF('CF(M)'!$L$10:$EQ$10,DQ$6,'CF(M)'!$L51:$EQ51)</f>
        <v>0</v>
      </c>
      <c r="DR46" s="171">
        <f>SUMIF('CF(M)'!$L$10:$EQ$10,DR$6,'CF(M)'!$L51:$EQ51)</f>
        <v>0</v>
      </c>
      <c r="DS46" s="171">
        <f>SUMIF('CF(M)'!$L$10:$EQ$10,DS$6,'CF(M)'!$L51:$EQ51)</f>
        <v>0</v>
      </c>
      <c r="DT46" s="171">
        <f>SUMIF('CF(M)'!$L$10:$EQ$10,DT$6,'CF(M)'!$L51:$EQ51)</f>
        <v>0</v>
      </c>
      <c r="DU46" s="171">
        <f>SUMIF('CF(M)'!$L$10:$EQ$10,DU$6,'CF(M)'!$L51:$EQ51)</f>
        <v>0</v>
      </c>
      <c r="DV46" s="171">
        <f>SUMIF('CF(M)'!$L$10:$EQ$10,DV$6,'CF(M)'!$L51:$EQ51)</f>
        <v>0</v>
      </c>
    </row>
    <row r="47" spans="2:126" ht="11.25" customHeight="1">
      <c r="B47" s="218"/>
      <c r="C47" s="163"/>
      <c r="D47" s="169" t="s">
        <v>196</v>
      </c>
      <c r="H47" s="146"/>
      <c r="I47" s="13"/>
      <c r="J47" s="171">
        <f t="shared" si="8"/>
        <v>-15204106.771171087</v>
      </c>
      <c r="K47" s="98"/>
      <c r="L47" s="171">
        <f>SUMIF('CF(M)'!$L$10:$EQ$10,L$6,'CF(M)'!$L52:$EQ52)</f>
        <v>-12856669.630531998</v>
      </c>
      <c r="M47" s="171">
        <f>SUMIF('CF(M)'!$L$10:$EQ$10,M$6,'CF(M)'!$L52:$EQ52)</f>
        <v>-113440.2782714311</v>
      </c>
      <c r="N47" s="171">
        <f>SUMIF('CF(M)'!$L$10:$EQ$10,N$6,'CF(M)'!$L52:$EQ52)</f>
        <v>-112352.94127143109</v>
      </c>
      <c r="O47" s="171">
        <f>SUMIF('CF(M)'!$L$10:$EQ$10,O$6,'CF(M)'!$L52:$EQ52)</f>
        <v>-112395.84885598869</v>
      </c>
      <c r="P47" s="171">
        <f>SUMIF('CF(M)'!$L$10:$EQ$10,P$6,'CF(M)'!$L52:$EQ52)</f>
        <v>-112395.84885598869</v>
      </c>
      <c r="Q47" s="171">
        <f>SUMIF('CF(M)'!$L$10:$EQ$10,Q$6,'CF(M)'!$L52:$EQ52)</f>
        <v>-112469.08098023744</v>
      </c>
      <c r="R47" s="171">
        <f>SUMIF('CF(M)'!$L$10:$EQ$10,R$6,'CF(M)'!$L52:$EQ52)</f>
        <v>-119308.92023245436</v>
      </c>
      <c r="S47" s="171">
        <f>SUMIF('CF(M)'!$L$10:$EQ$10,S$6,'CF(M)'!$L52:$EQ52)</f>
        <v>-116892.34109969408</v>
      </c>
      <c r="T47" s="171">
        <f>SUMIF('CF(M)'!$L$10:$EQ$10,T$6,'CF(M)'!$L52:$EQ52)</f>
        <v>-112628.50249593567</v>
      </c>
      <c r="U47" s="171">
        <f>SUMIF('CF(M)'!$L$10:$EQ$10,U$6,'CF(M)'!$L52:$EQ52)</f>
        <v>-112706.56801163459</v>
      </c>
      <c r="V47" s="171">
        <f>SUMIF('CF(M)'!$L$10:$EQ$10,V$6,'CF(M)'!$L52:$EQ52)</f>
        <v>-112706.56801163459</v>
      </c>
      <c r="W47" s="171">
        <f>SUMIF('CF(M)'!$L$10:$EQ$10,W$6,'CF(M)'!$L52:$EQ52)</f>
        <v>-112870.87753186656</v>
      </c>
      <c r="X47" s="171">
        <f>SUMIF('CF(M)'!$L$10:$EQ$10,X$6,'CF(M)'!$L52:$EQ52)</f>
        <v>-112870.87753186656</v>
      </c>
      <c r="Y47" s="171">
        <f>SUMIF('CF(M)'!$L$10:$EQ$10,Y$6,'CF(M)'!$L52:$EQ52)</f>
        <v>-113065.62082662169</v>
      </c>
      <c r="Z47" s="171">
        <f>SUMIF('CF(M)'!$L$10:$EQ$10,Z$6,'CF(M)'!$L52:$EQ52)</f>
        <v>-113065.62082662169</v>
      </c>
      <c r="AA47" s="171">
        <f>SUMIF('CF(M)'!$L$10:$EQ$10,AA$6,'CF(M)'!$L52:$EQ52)</f>
        <v>-113290.85526147012</v>
      </c>
      <c r="AB47" s="171">
        <f>SUMIF('CF(M)'!$L$10:$EQ$10,AB$6,'CF(M)'!$L52:$EQ52)</f>
        <v>-181044.68260468464</v>
      </c>
      <c r="AC47" s="171">
        <f>SUMIF('CF(M)'!$L$10:$EQ$10,AC$6,'CF(M)'!$L52:$EQ52)</f>
        <v>-122655.68772492523</v>
      </c>
      <c r="AD47" s="171">
        <f>SUMIF('CF(M)'!$L$10:$EQ$10,AD$6,'CF(M)'!$L52:$EQ52)</f>
        <v>-113609.84569365176</v>
      </c>
      <c r="AE47" s="171">
        <f>SUMIF('CF(M)'!$L$10:$EQ$10,AE$6,'CF(M)'!$L52:$EQ52)</f>
        <v>-113833.0872754742</v>
      </c>
      <c r="AF47" s="171">
        <f>SUMIF('CF(M)'!$L$10:$EQ$10,AF$6,'CF(M)'!$L52:$EQ52)</f>
        <v>-113833.0872754742</v>
      </c>
      <c r="AG47" s="171">
        <f>SUMIF('CF(M)'!$L$10:$EQ$10,AG$6,'CF(M)'!$L52:$EQ52)</f>
        <v>0</v>
      </c>
      <c r="AH47" s="171">
        <f>SUMIF('CF(M)'!$L$10:$EQ$10,AH$6,'CF(M)'!$L52:$EQ52)</f>
        <v>0</v>
      </c>
      <c r="AI47" s="171">
        <f>SUMIF('CF(M)'!$L$10:$EQ$10,AI$6,'CF(M)'!$L52:$EQ52)</f>
        <v>0</v>
      </c>
      <c r="AJ47" s="171">
        <f>SUMIF('CF(M)'!$L$10:$EQ$10,AJ$6,'CF(M)'!$L52:$EQ52)</f>
        <v>0</v>
      </c>
      <c r="AK47" s="171">
        <f>SUMIF('CF(M)'!$L$10:$EQ$10,AK$6,'CF(M)'!$L52:$EQ52)</f>
        <v>0</v>
      </c>
      <c r="AL47" s="171">
        <f>SUMIF('CF(M)'!$L$10:$EQ$10,AL$6,'CF(M)'!$L52:$EQ52)</f>
        <v>0</v>
      </c>
      <c r="AM47" s="171">
        <f>SUMIF('CF(M)'!$L$10:$EQ$10,AM$6,'CF(M)'!$L52:$EQ52)</f>
        <v>0</v>
      </c>
      <c r="AN47" s="171">
        <f>SUMIF('CF(M)'!$L$10:$EQ$10,AN$6,'CF(M)'!$L52:$EQ52)</f>
        <v>0</v>
      </c>
      <c r="AO47" s="171">
        <f>SUMIF('CF(M)'!$L$10:$EQ$10,AO$6,'CF(M)'!$L52:$EQ52)</f>
        <v>0</v>
      </c>
      <c r="AP47" s="171">
        <f>SUMIF('CF(M)'!$L$10:$EQ$10,AP$6,'CF(M)'!$L52:$EQ52)</f>
        <v>0</v>
      </c>
      <c r="AQ47" s="171">
        <f>SUMIF('CF(M)'!$L$10:$EQ$10,AQ$6,'CF(M)'!$L52:$EQ52)</f>
        <v>0</v>
      </c>
      <c r="AR47" s="171">
        <f>SUMIF('CF(M)'!$L$10:$EQ$10,AR$6,'CF(M)'!$L52:$EQ52)</f>
        <v>0</v>
      </c>
      <c r="AS47" s="171">
        <f>SUMIF('CF(M)'!$L$10:$EQ$10,AS$6,'CF(M)'!$L52:$EQ52)</f>
        <v>0</v>
      </c>
      <c r="AT47" s="171">
        <f>SUMIF('CF(M)'!$L$10:$EQ$10,AT$6,'CF(M)'!$L52:$EQ52)</f>
        <v>0</v>
      </c>
      <c r="AU47" s="171">
        <f>SUMIF('CF(M)'!$L$10:$EQ$10,AU$6,'CF(M)'!$L52:$EQ52)</f>
        <v>0</v>
      </c>
      <c r="AV47" s="171">
        <f>SUMIF('CF(M)'!$L$10:$EQ$10,AV$6,'CF(M)'!$L52:$EQ52)</f>
        <v>0</v>
      </c>
      <c r="AW47" s="171">
        <f>SUMIF('CF(M)'!$L$10:$EQ$10,AW$6,'CF(M)'!$L52:$EQ52)</f>
        <v>0</v>
      </c>
      <c r="AX47" s="171">
        <f>SUMIF('CF(M)'!$L$10:$EQ$10,AX$6,'CF(M)'!$L52:$EQ52)</f>
        <v>0</v>
      </c>
      <c r="AY47" s="171">
        <f>SUMIF('CF(M)'!$L$10:$EQ$10,AY$6,'CF(M)'!$L52:$EQ52)</f>
        <v>0</v>
      </c>
      <c r="AZ47" s="171">
        <f>SUMIF('CF(M)'!$L$10:$EQ$10,AZ$6,'CF(M)'!$L52:$EQ52)</f>
        <v>0</v>
      </c>
      <c r="BA47" s="171">
        <f>SUMIF('CF(M)'!$L$10:$EQ$10,BA$6,'CF(M)'!$L52:$EQ52)</f>
        <v>0</v>
      </c>
      <c r="BB47" s="171">
        <f>SUMIF('CF(M)'!$L$10:$EQ$10,BB$6,'CF(M)'!$L52:$EQ52)</f>
        <v>0</v>
      </c>
      <c r="BC47" s="171">
        <f>SUMIF('CF(M)'!$L$10:$EQ$10,BC$6,'CF(M)'!$L52:$EQ52)</f>
        <v>0</v>
      </c>
      <c r="BD47" s="171">
        <f>SUMIF('CF(M)'!$L$10:$EQ$10,BD$6,'CF(M)'!$L52:$EQ52)</f>
        <v>0</v>
      </c>
      <c r="BE47" s="171">
        <f>SUMIF('CF(M)'!$L$10:$EQ$10,BE$6,'CF(M)'!$L52:$EQ52)</f>
        <v>0</v>
      </c>
      <c r="BF47" s="171">
        <f>SUMIF('CF(M)'!$L$10:$EQ$10,BF$6,'CF(M)'!$L52:$EQ52)</f>
        <v>0</v>
      </c>
      <c r="BG47" s="171">
        <f>SUMIF('CF(M)'!$L$10:$EQ$10,BG$6,'CF(M)'!$L52:$EQ52)</f>
        <v>0</v>
      </c>
      <c r="BH47" s="171">
        <f>SUMIF('CF(M)'!$L$10:$EQ$10,BH$6,'CF(M)'!$L52:$EQ52)</f>
        <v>0</v>
      </c>
      <c r="BI47" s="171">
        <f>SUMIF('CF(M)'!$L$10:$EQ$10,BI$6,'CF(M)'!$L52:$EQ52)</f>
        <v>0</v>
      </c>
      <c r="BJ47" s="171">
        <f>SUMIF('CF(M)'!$L$10:$EQ$10,BJ$6,'CF(M)'!$L52:$EQ52)</f>
        <v>0</v>
      </c>
      <c r="BK47" s="171">
        <f>SUMIF('CF(M)'!$L$10:$EQ$10,BK$6,'CF(M)'!$L52:$EQ52)</f>
        <v>0</v>
      </c>
      <c r="BL47" s="171">
        <f>SUMIF('CF(M)'!$L$10:$EQ$10,BL$6,'CF(M)'!$L52:$EQ52)</f>
        <v>0</v>
      </c>
      <c r="BM47" s="171">
        <f>SUMIF('CF(M)'!$L$10:$EQ$10,BM$6,'CF(M)'!$L52:$EQ52)</f>
        <v>0</v>
      </c>
      <c r="BN47" s="171">
        <f>SUMIF('CF(M)'!$L$10:$EQ$10,BN$6,'CF(M)'!$L52:$EQ52)</f>
        <v>0</v>
      </c>
      <c r="BO47" s="171">
        <f>SUMIF('CF(M)'!$L$10:$EQ$10,BO$6,'CF(M)'!$L52:$EQ52)</f>
        <v>0</v>
      </c>
      <c r="BP47" s="171">
        <f>SUMIF('CF(M)'!$L$10:$EQ$10,BP$6,'CF(M)'!$L52:$EQ52)</f>
        <v>0</v>
      </c>
      <c r="BQ47" s="171">
        <f>SUMIF('CF(M)'!$L$10:$EQ$10,BQ$6,'CF(M)'!$L52:$EQ52)</f>
        <v>0</v>
      </c>
      <c r="BR47" s="171">
        <f>SUMIF('CF(M)'!$L$10:$EQ$10,BR$6,'CF(M)'!$L52:$EQ52)</f>
        <v>0</v>
      </c>
      <c r="BS47" s="171">
        <f>SUMIF('CF(M)'!$L$10:$EQ$10,BS$6,'CF(M)'!$L52:$EQ52)</f>
        <v>0</v>
      </c>
      <c r="BT47" s="171">
        <f>SUMIF('CF(M)'!$L$10:$EQ$10,BT$6,'CF(M)'!$L52:$EQ52)</f>
        <v>0</v>
      </c>
      <c r="BU47" s="171">
        <f>SUMIF('CF(M)'!$L$10:$EQ$10,BU$6,'CF(M)'!$L52:$EQ52)</f>
        <v>0</v>
      </c>
      <c r="BV47" s="171">
        <f>SUMIF('CF(M)'!$L$10:$EQ$10,BV$6,'CF(M)'!$L52:$EQ52)</f>
        <v>0</v>
      </c>
      <c r="BW47" s="171">
        <f>SUMIF('CF(M)'!$L$10:$EQ$10,BW$6,'CF(M)'!$L52:$EQ52)</f>
        <v>0</v>
      </c>
      <c r="BX47" s="171">
        <f>SUMIF('CF(M)'!$L$10:$EQ$10,BX$6,'CF(M)'!$L52:$EQ52)</f>
        <v>0</v>
      </c>
      <c r="BY47" s="171">
        <f>SUMIF('CF(M)'!$L$10:$EQ$10,BY$6,'CF(M)'!$L52:$EQ52)</f>
        <v>0</v>
      </c>
      <c r="BZ47" s="171">
        <f>SUMIF('CF(M)'!$L$10:$EQ$10,BZ$6,'CF(M)'!$L52:$EQ52)</f>
        <v>0</v>
      </c>
      <c r="CA47" s="171">
        <f>SUMIF('CF(M)'!$L$10:$EQ$10,CA$6,'CF(M)'!$L52:$EQ52)</f>
        <v>0</v>
      </c>
      <c r="CB47" s="171">
        <f>SUMIF('CF(M)'!$L$10:$EQ$10,CB$6,'CF(M)'!$L52:$EQ52)</f>
        <v>0</v>
      </c>
      <c r="CC47" s="171">
        <f>SUMIF('CF(M)'!$L$10:$EQ$10,CC$6,'CF(M)'!$L52:$EQ52)</f>
        <v>0</v>
      </c>
      <c r="CD47" s="171">
        <f>SUMIF('CF(M)'!$L$10:$EQ$10,CD$6,'CF(M)'!$L52:$EQ52)</f>
        <v>0</v>
      </c>
      <c r="CE47" s="171">
        <f>SUMIF('CF(M)'!$L$10:$EQ$10,CE$6,'CF(M)'!$L52:$EQ52)</f>
        <v>0</v>
      </c>
      <c r="CF47" s="171">
        <f>SUMIF('CF(M)'!$L$10:$EQ$10,CF$6,'CF(M)'!$L52:$EQ52)</f>
        <v>0</v>
      </c>
      <c r="CG47" s="171">
        <f>SUMIF('CF(M)'!$L$10:$EQ$10,CG$6,'CF(M)'!$L52:$EQ52)</f>
        <v>0</v>
      </c>
      <c r="CH47" s="171">
        <f>SUMIF('CF(M)'!$L$10:$EQ$10,CH$6,'CF(M)'!$L52:$EQ52)</f>
        <v>0</v>
      </c>
      <c r="CI47" s="171">
        <f>SUMIF('CF(M)'!$L$10:$EQ$10,CI$6,'CF(M)'!$L52:$EQ52)</f>
        <v>0</v>
      </c>
      <c r="CJ47" s="171">
        <f>SUMIF('CF(M)'!$L$10:$EQ$10,CJ$6,'CF(M)'!$L52:$EQ52)</f>
        <v>0</v>
      </c>
      <c r="CK47" s="171">
        <f>SUMIF('CF(M)'!$L$10:$EQ$10,CK$6,'CF(M)'!$L52:$EQ52)</f>
        <v>0</v>
      </c>
      <c r="CL47" s="171">
        <f>SUMIF('CF(M)'!$L$10:$EQ$10,CL$6,'CF(M)'!$L52:$EQ52)</f>
        <v>0</v>
      </c>
      <c r="CM47" s="171">
        <f>SUMIF('CF(M)'!$L$10:$EQ$10,CM$6,'CF(M)'!$L52:$EQ52)</f>
        <v>0</v>
      </c>
      <c r="CN47" s="171">
        <f>SUMIF('CF(M)'!$L$10:$EQ$10,CN$6,'CF(M)'!$L52:$EQ52)</f>
        <v>0</v>
      </c>
      <c r="CO47" s="171">
        <f>SUMIF('CF(M)'!$L$10:$EQ$10,CO$6,'CF(M)'!$L52:$EQ52)</f>
        <v>0</v>
      </c>
      <c r="CP47" s="171">
        <f>SUMIF('CF(M)'!$L$10:$EQ$10,CP$6,'CF(M)'!$L52:$EQ52)</f>
        <v>0</v>
      </c>
      <c r="CQ47" s="171">
        <f>SUMIF('CF(M)'!$L$10:$EQ$10,CQ$6,'CF(M)'!$L52:$EQ52)</f>
        <v>0</v>
      </c>
      <c r="CR47" s="171">
        <f>SUMIF('CF(M)'!$L$10:$EQ$10,CR$6,'CF(M)'!$L52:$EQ52)</f>
        <v>0</v>
      </c>
      <c r="CS47" s="171">
        <f>SUMIF('CF(M)'!$L$10:$EQ$10,CS$6,'CF(M)'!$L52:$EQ52)</f>
        <v>0</v>
      </c>
      <c r="CT47" s="171">
        <f>SUMIF('CF(M)'!$L$10:$EQ$10,CT$6,'CF(M)'!$L52:$EQ52)</f>
        <v>0</v>
      </c>
      <c r="CU47" s="171">
        <f>SUMIF('CF(M)'!$L$10:$EQ$10,CU$6,'CF(M)'!$L52:$EQ52)</f>
        <v>0</v>
      </c>
      <c r="CV47" s="171">
        <f>SUMIF('CF(M)'!$L$10:$EQ$10,CV$6,'CF(M)'!$L52:$EQ52)</f>
        <v>0</v>
      </c>
      <c r="CW47" s="171">
        <f>SUMIF('CF(M)'!$L$10:$EQ$10,CW$6,'CF(M)'!$L52:$EQ52)</f>
        <v>0</v>
      </c>
      <c r="CX47" s="171">
        <f>SUMIF('CF(M)'!$L$10:$EQ$10,CX$6,'CF(M)'!$L52:$EQ52)</f>
        <v>0</v>
      </c>
      <c r="CY47" s="171">
        <f>SUMIF('CF(M)'!$L$10:$EQ$10,CY$6,'CF(M)'!$L52:$EQ52)</f>
        <v>0</v>
      </c>
      <c r="CZ47" s="171">
        <f>SUMIF('CF(M)'!$L$10:$EQ$10,CZ$6,'CF(M)'!$L52:$EQ52)</f>
        <v>0</v>
      </c>
      <c r="DA47" s="171">
        <f>SUMIF('CF(M)'!$L$10:$EQ$10,DA$6,'CF(M)'!$L52:$EQ52)</f>
        <v>0</v>
      </c>
      <c r="DB47" s="171">
        <f>SUMIF('CF(M)'!$L$10:$EQ$10,DB$6,'CF(M)'!$L52:$EQ52)</f>
        <v>0</v>
      </c>
      <c r="DC47" s="171">
        <f>SUMIF('CF(M)'!$L$10:$EQ$10,DC$6,'CF(M)'!$L52:$EQ52)</f>
        <v>0</v>
      </c>
      <c r="DD47" s="171">
        <f>SUMIF('CF(M)'!$L$10:$EQ$10,DD$6,'CF(M)'!$L52:$EQ52)</f>
        <v>0</v>
      </c>
      <c r="DE47" s="171">
        <f>SUMIF('CF(M)'!$L$10:$EQ$10,DE$6,'CF(M)'!$L52:$EQ52)</f>
        <v>0</v>
      </c>
      <c r="DF47" s="171">
        <f>SUMIF('CF(M)'!$L$10:$EQ$10,DF$6,'CF(M)'!$L52:$EQ52)</f>
        <v>0</v>
      </c>
      <c r="DG47" s="171">
        <f>SUMIF('CF(M)'!$L$10:$EQ$10,DG$6,'CF(M)'!$L52:$EQ52)</f>
        <v>0</v>
      </c>
      <c r="DH47" s="171">
        <f>SUMIF('CF(M)'!$L$10:$EQ$10,DH$6,'CF(M)'!$L52:$EQ52)</f>
        <v>0</v>
      </c>
      <c r="DI47" s="171">
        <f>SUMIF('CF(M)'!$L$10:$EQ$10,DI$6,'CF(M)'!$L52:$EQ52)</f>
        <v>0</v>
      </c>
      <c r="DJ47" s="171">
        <f>SUMIF('CF(M)'!$L$10:$EQ$10,DJ$6,'CF(M)'!$L52:$EQ52)</f>
        <v>0</v>
      </c>
      <c r="DK47" s="171">
        <f>SUMIF('CF(M)'!$L$10:$EQ$10,DK$6,'CF(M)'!$L52:$EQ52)</f>
        <v>0</v>
      </c>
      <c r="DL47" s="171">
        <f>SUMIF('CF(M)'!$L$10:$EQ$10,DL$6,'CF(M)'!$L52:$EQ52)</f>
        <v>0</v>
      </c>
      <c r="DM47" s="171">
        <f>SUMIF('CF(M)'!$L$10:$EQ$10,DM$6,'CF(M)'!$L52:$EQ52)</f>
        <v>0</v>
      </c>
      <c r="DN47" s="171">
        <f>SUMIF('CF(M)'!$L$10:$EQ$10,DN$6,'CF(M)'!$L52:$EQ52)</f>
        <v>0</v>
      </c>
      <c r="DO47" s="171">
        <f>SUMIF('CF(M)'!$L$10:$EQ$10,DO$6,'CF(M)'!$L52:$EQ52)</f>
        <v>0</v>
      </c>
      <c r="DP47" s="171">
        <f>SUMIF('CF(M)'!$L$10:$EQ$10,DP$6,'CF(M)'!$L52:$EQ52)</f>
        <v>0</v>
      </c>
      <c r="DQ47" s="171">
        <f>SUMIF('CF(M)'!$L$10:$EQ$10,DQ$6,'CF(M)'!$L52:$EQ52)</f>
        <v>0</v>
      </c>
      <c r="DR47" s="171">
        <f>SUMIF('CF(M)'!$L$10:$EQ$10,DR$6,'CF(M)'!$L52:$EQ52)</f>
        <v>0</v>
      </c>
      <c r="DS47" s="171">
        <f>SUMIF('CF(M)'!$L$10:$EQ$10,DS$6,'CF(M)'!$L52:$EQ52)</f>
        <v>0</v>
      </c>
      <c r="DT47" s="171">
        <f>SUMIF('CF(M)'!$L$10:$EQ$10,DT$6,'CF(M)'!$L52:$EQ52)</f>
        <v>0</v>
      </c>
      <c r="DU47" s="171">
        <f>SUMIF('CF(M)'!$L$10:$EQ$10,DU$6,'CF(M)'!$L52:$EQ52)</f>
        <v>0</v>
      </c>
      <c r="DV47" s="171">
        <f>SUMIF('CF(M)'!$L$10:$EQ$10,DV$6,'CF(M)'!$L52:$EQ52)</f>
        <v>0</v>
      </c>
    </row>
    <row r="48" spans="2:126" ht="11.25" customHeight="1">
      <c r="B48" s="218"/>
      <c r="C48" s="163"/>
      <c r="D48" s="169" t="s">
        <v>10</v>
      </c>
      <c r="H48" s="146"/>
      <c r="I48" s="13"/>
      <c r="J48" s="171">
        <f t="shared" si="8"/>
        <v>15204106.771171087</v>
      </c>
      <c r="K48" s="98"/>
      <c r="L48" s="177">
        <f>SUMIF('CF(M)'!$L$10:$EQ$10,L$6,'CF(M)'!$L53:$EQ53)</f>
        <v>0</v>
      </c>
      <c r="M48" s="177">
        <f>SUMIF('CF(M)'!$L$10:$EQ$10,M$6,'CF(M)'!$L53:$EQ53)</f>
        <v>12913933.438167715</v>
      </c>
      <c r="N48" s="177">
        <f>SUMIF('CF(M)'!$L$10:$EQ$10,N$6,'CF(M)'!$L53:$EQ53)</f>
        <v>112352.94127143109</v>
      </c>
      <c r="O48" s="177">
        <f>SUMIF('CF(M)'!$L$10:$EQ$10,O$6,'CF(M)'!$L53:$EQ53)</f>
        <v>112374.39506370988</v>
      </c>
      <c r="P48" s="177">
        <f>SUMIF('CF(M)'!$L$10:$EQ$10,P$6,'CF(M)'!$L53:$EQ53)</f>
        <v>112395.84885598869</v>
      </c>
      <c r="Q48" s="177">
        <f>SUMIF('CF(M)'!$L$10:$EQ$10,Q$6,'CF(M)'!$L53:$EQ53)</f>
        <v>112432.46491811308</v>
      </c>
      <c r="R48" s="177">
        <f>SUMIF('CF(M)'!$L$10:$EQ$10,R$6,'CF(M)'!$L53:$EQ53)</f>
        <v>112469.08098023744</v>
      </c>
      <c r="S48" s="177">
        <f>SUMIF('CF(M)'!$L$10:$EQ$10,S$6,'CF(M)'!$L53:$EQ53)</f>
        <v>120914.9170215936</v>
      </c>
      <c r="T48" s="177">
        <f>SUMIF('CF(M)'!$L$10:$EQ$10,T$6,'CF(M)'!$L53:$EQ53)</f>
        <v>115393.9828502662</v>
      </c>
      <c r="U48" s="177">
        <f>SUMIF('CF(M)'!$L$10:$EQ$10,U$6,'CF(M)'!$L53:$EQ53)</f>
        <v>112639.60747192288</v>
      </c>
      <c r="V48" s="177">
        <f>SUMIF('CF(M)'!$L$10:$EQ$10,V$6,'CF(M)'!$L53:$EQ53)</f>
        <v>112706.56801163459</v>
      </c>
      <c r="W48" s="177">
        <f>SUMIF('CF(M)'!$L$10:$EQ$10,W$6,'CF(M)'!$L53:$EQ53)</f>
        <v>112788.72277175057</v>
      </c>
      <c r="X48" s="177">
        <f>SUMIF('CF(M)'!$L$10:$EQ$10,X$6,'CF(M)'!$L53:$EQ53)</f>
        <v>112870.87753186656</v>
      </c>
      <c r="Y48" s="177">
        <f>SUMIF('CF(M)'!$L$10:$EQ$10,Y$6,'CF(M)'!$L53:$EQ53)</f>
        <v>112968.2491792441</v>
      </c>
      <c r="Z48" s="177">
        <f>SUMIF('CF(M)'!$L$10:$EQ$10,Z$6,'CF(M)'!$L53:$EQ53)</f>
        <v>113065.62082662169</v>
      </c>
      <c r="AA48" s="177">
        <f>SUMIF('CF(M)'!$L$10:$EQ$10,AA$6,'CF(M)'!$L53:$EQ53)</f>
        <v>113178.23804404591</v>
      </c>
      <c r="AB48" s="177">
        <f>SUMIF('CF(M)'!$L$10:$EQ$10,AB$6,'CF(M)'!$L53:$EQ53)</f>
        <v>173306.03229987476</v>
      </c>
      <c r="AC48" s="177">
        <f>SUMIF('CF(M)'!$L$10:$EQ$10,AC$6,'CF(M)'!$L53:$EQ53)</f>
        <v>122915.85333339272</v>
      </c>
      <c r="AD48" s="177">
        <f>SUMIF('CF(M)'!$L$10:$EQ$10,AD$6,'CF(M)'!$L53:$EQ53)</f>
        <v>120960.43289567006</v>
      </c>
      <c r="AE48" s="177">
        <f>SUMIF('CF(M)'!$L$10:$EQ$10,AE$6,'CF(M)'!$L53:$EQ53)</f>
        <v>113689.86876279621</v>
      </c>
      <c r="AF48" s="177">
        <f>SUMIF('CF(M)'!$L$10:$EQ$10,AF$6,'CF(M)'!$L53:$EQ53)</f>
        <v>170749.63091321132</v>
      </c>
      <c r="AG48" s="177">
        <f>SUMIF('CF(M)'!$L$10:$EQ$10,AG$6,'CF(M)'!$L53:$EQ53)</f>
        <v>0</v>
      </c>
      <c r="AH48" s="177">
        <f>SUMIF('CF(M)'!$L$10:$EQ$10,AH$6,'CF(M)'!$L53:$EQ53)</f>
        <v>0</v>
      </c>
      <c r="AI48" s="177">
        <f>SUMIF('CF(M)'!$L$10:$EQ$10,AI$6,'CF(M)'!$L53:$EQ53)</f>
        <v>0</v>
      </c>
      <c r="AJ48" s="177">
        <f>SUMIF('CF(M)'!$L$10:$EQ$10,AJ$6,'CF(M)'!$L53:$EQ53)</f>
        <v>0</v>
      </c>
      <c r="AK48" s="177">
        <f>SUMIF('CF(M)'!$L$10:$EQ$10,AK$6,'CF(M)'!$L53:$EQ53)</f>
        <v>0</v>
      </c>
      <c r="AL48" s="177">
        <f>SUMIF('CF(M)'!$L$10:$EQ$10,AL$6,'CF(M)'!$L53:$EQ53)</f>
        <v>0</v>
      </c>
      <c r="AM48" s="177">
        <f>SUMIF('CF(M)'!$L$10:$EQ$10,AM$6,'CF(M)'!$L53:$EQ53)</f>
        <v>0</v>
      </c>
      <c r="AN48" s="177">
        <f>SUMIF('CF(M)'!$L$10:$EQ$10,AN$6,'CF(M)'!$L53:$EQ53)</f>
        <v>0</v>
      </c>
      <c r="AO48" s="177">
        <f>SUMIF('CF(M)'!$L$10:$EQ$10,AO$6,'CF(M)'!$L53:$EQ53)</f>
        <v>0</v>
      </c>
      <c r="AP48" s="177">
        <f>SUMIF('CF(M)'!$L$10:$EQ$10,AP$6,'CF(M)'!$L53:$EQ53)</f>
        <v>0</v>
      </c>
      <c r="AQ48" s="177">
        <f>SUMIF('CF(M)'!$L$10:$EQ$10,AQ$6,'CF(M)'!$L53:$EQ53)</f>
        <v>0</v>
      </c>
      <c r="AR48" s="177">
        <f>SUMIF('CF(M)'!$L$10:$EQ$10,AR$6,'CF(M)'!$L53:$EQ53)</f>
        <v>0</v>
      </c>
      <c r="AS48" s="177">
        <f>SUMIF('CF(M)'!$L$10:$EQ$10,AS$6,'CF(M)'!$L53:$EQ53)</f>
        <v>0</v>
      </c>
      <c r="AT48" s="177">
        <f>SUMIF('CF(M)'!$L$10:$EQ$10,AT$6,'CF(M)'!$L53:$EQ53)</f>
        <v>0</v>
      </c>
      <c r="AU48" s="177">
        <f>SUMIF('CF(M)'!$L$10:$EQ$10,AU$6,'CF(M)'!$L53:$EQ53)</f>
        <v>0</v>
      </c>
      <c r="AV48" s="177">
        <f>SUMIF('CF(M)'!$L$10:$EQ$10,AV$6,'CF(M)'!$L53:$EQ53)</f>
        <v>0</v>
      </c>
      <c r="AW48" s="177">
        <f>SUMIF('CF(M)'!$L$10:$EQ$10,AW$6,'CF(M)'!$L53:$EQ53)</f>
        <v>0</v>
      </c>
      <c r="AX48" s="177">
        <f>SUMIF('CF(M)'!$L$10:$EQ$10,AX$6,'CF(M)'!$L53:$EQ53)</f>
        <v>0</v>
      </c>
      <c r="AY48" s="177">
        <f>SUMIF('CF(M)'!$L$10:$EQ$10,AY$6,'CF(M)'!$L53:$EQ53)</f>
        <v>0</v>
      </c>
      <c r="AZ48" s="177">
        <f>SUMIF('CF(M)'!$L$10:$EQ$10,AZ$6,'CF(M)'!$L53:$EQ53)</f>
        <v>0</v>
      </c>
      <c r="BA48" s="177">
        <f>SUMIF('CF(M)'!$L$10:$EQ$10,BA$6,'CF(M)'!$L53:$EQ53)</f>
        <v>0</v>
      </c>
      <c r="BB48" s="177">
        <f>SUMIF('CF(M)'!$L$10:$EQ$10,BB$6,'CF(M)'!$L53:$EQ53)</f>
        <v>0</v>
      </c>
      <c r="BC48" s="177">
        <f>SUMIF('CF(M)'!$L$10:$EQ$10,BC$6,'CF(M)'!$L53:$EQ53)</f>
        <v>0</v>
      </c>
      <c r="BD48" s="177">
        <f>SUMIF('CF(M)'!$L$10:$EQ$10,BD$6,'CF(M)'!$L53:$EQ53)</f>
        <v>0</v>
      </c>
      <c r="BE48" s="177">
        <f>SUMIF('CF(M)'!$L$10:$EQ$10,BE$6,'CF(M)'!$L53:$EQ53)</f>
        <v>0</v>
      </c>
      <c r="BF48" s="177">
        <f>SUMIF('CF(M)'!$L$10:$EQ$10,BF$6,'CF(M)'!$L53:$EQ53)</f>
        <v>0</v>
      </c>
      <c r="BG48" s="177">
        <f>SUMIF('CF(M)'!$L$10:$EQ$10,BG$6,'CF(M)'!$L53:$EQ53)</f>
        <v>0</v>
      </c>
      <c r="BH48" s="177">
        <f>SUMIF('CF(M)'!$L$10:$EQ$10,BH$6,'CF(M)'!$L53:$EQ53)</f>
        <v>0</v>
      </c>
      <c r="BI48" s="177">
        <f>SUMIF('CF(M)'!$L$10:$EQ$10,BI$6,'CF(M)'!$L53:$EQ53)</f>
        <v>0</v>
      </c>
      <c r="BJ48" s="177">
        <f>SUMIF('CF(M)'!$L$10:$EQ$10,BJ$6,'CF(M)'!$L53:$EQ53)</f>
        <v>0</v>
      </c>
      <c r="BK48" s="177">
        <f>SUMIF('CF(M)'!$L$10:$EQ$10,BK$6,'CF(M)'!$L53:$EQ53)</f>
        <v>0</v>
      </c>
      <c r="BL48" s="177">
        <f>SUMIF('CF(M)'!$L$10:$EQ$10,BL$6,'CF(M)'!$L53:$EQ53)</f>
        <v>0</v>
      </c>
      <c r="BM48" s="177">
        <f>SUMIF('CF(M)'!$L$10:$EQ$10,BM$6,'CF(M)'!$L53:$EQ53)</f>
        <v>0</v>
      </c>
      <c r="BN48" s="177">
        <f>SUMIF('CF(M)'!$L$10:$EQ$10,BN$6,'CF(M)'!$L53:$EQ53)</f>
        <v>0</v>
      </c>
      <c r="BO48" s="177">
        <f>SUMIF('CF(M)'!$L$10:$EQ$10,BO$6,'CF(M)'!$L53:$EQ53)</f>
        <v>0</v>
      </c>
      <c r="BP48" s="177">
        <f>SUMIF('CF(M)'!$L$10:$EQ$10,BP$6,'CF(M)'!$L53:$EQ53)</f>
        <v>0</v>
      </c>
      <c r="BQ48" s="177">
        <f>SUMIF('CF(M)'!$L$10:$EQ$10,BQ$6,'CF(M)'!$L53:$EQ53)</f>
        <v>0</v>
      </c>
      <c r="BR48" s="177">
        <f>SUMIF('CF(M)'!$L$10:$EQ$10,BR$6,'CF(M)'!$L53:$EQ53)</f>
        <v>0</v>
      </c>
      <c r="BS48" s="177">
        <f>SUMIF('CF(M)'!$L$10:$EQ$10,BS$6,'CF(M)'!$L53:$EQ53)</f>
        <v>0</v>
      </c>
      <c r="BT48" s="177">
        <f>SUMIF('CF(M)'!$L$10:$EQ$10,BT$6,'CF(M)'!$L53:$EQ53)</f>
        <v>0</v>
      </c>
      <c r="BU48" s="177">
        <f>SUMIF('CF(M)'!$L$10:$EQ$10,BU$6,'CF(M)'!$L53:$EQ53)</f>
        <v>0</v>
      </c>
      <c r="BV48" s="177">
        <f>SUMIF('CF(M)'!$L$10:$EQ$10,BV$6,'CF(M)'!$L53:$EQ53)</f>
        <v>0</v>
      </c>
      <c r="BW48" s="177">
        <f>SUMIF('CF(M)'!$L$10:$EQ$10,BW$6,'CF(M)'!$L53:$EQ53)</f>
        <v>0</v>
      </c>
      <c r="BX48" s="177">
        <f>SUMIF('CF(M)'!$L$10:$EQ$10,BX$6,'CF(M)'!$L53:$EQ53)</f>
        <v>0</v>
      </c>
      <c r="BY48" s="177">
        <f>SUMIF('CF(M)'!$L$10:$EQ$10,BY$6,'CF(M)'!$L53:$EQ53)</f>
        <v>0</v>
      </c>
      <c r="BZ48" s="177">
        <f>SUMIF('CF(M)'!$L$10:$EQ$10,BZ$6,'CF(M)'!$L53:$EQ53)</f>
        <v>0</v>
      </c>
      <c r="CA48" s="177">
        <f>SUMIF('CF(M)'!$L$10:$EQ$10,CA$6,'CF(M)'!$L53:$EQ53)</f>
        <v>0</v>
      </c>
      <c r="CB48" s="177">
        <f>SUMIF('CF(M)'!$L$10:$EQ$10,CB$6,'CF(M)'!$L53:$EQ53)</f>
        <v>0</v>
      </c>
      <c r="CC48" s="177">
        <f>SUMIF('CF(M)'!$L$10:$EQ$10,CC$6,'CF(M)'!$L53:$EQ53)</f>
        <v>0</v>
      </c>
      <c r="CD48" s="177">
        <f>SUMIF('CF(M)'!$L$10:$EQ$10,CD$6,'CF(M)'!$L53:$EQ53)</f>
        <v>0</v>
      </c>
      <c r="CE48" s="177">
        <f>SUMIF('CF(M)'!$L$10:$EQ$10,CE$6,'CF(M)'!$L53:$EQ53)</f>
        <v>0</v>
      </c>
      <c r="CF48" s="177">
        <f>SUMIF('CF(M)'!$L$10:$EQ$10,CF$6,'CF(M)'!$L53:$EQ53)</f>
        <v>0</v>
      </c>
      <c r="CG48" s="177">
        <f>SUMIF('CF(M)'!$L$10:$EQ$10,CG$6,'CF(M)'!$L53:$EQ53)</f>
        <v>0</v>
      </c>
      <c r="CH48" s="177">
        <f>SUMIF('CF(M)'!$L$10:$EQ$10,CH$6,'CF(M)'!$L53:$EQ53)</f>
        <v>0</v>
      </c>
      <c r="CI48" s="177">
        <f>SUMIF('CF(M)'!$L$10:$EQ$10,CI$6,'CF(M)'!$L53:$EQ53)</f>
        <v>0</v>
      </c>
      <c r="CJ48" s="177">
        <f>SUMIF('CF(M)'!$L$10:$EQ$10,CJ$6,'CF(M)'!$L53:$EQ53)</f>
        <v>0</v>
      </c>
      <c r="CK48" s="177">
        <f>SUMIF('CF(M)'!$L$10:$EQ$10,CK$6,'CF(M)'!$L53:$EQ53)</f>
        <v>0</v>
      </c>
      <c r="CL48" s="177">
        <f>SUMIF('CF(M)'!$L$10:$EQ$10,CL$6,'CF(M)'!$L53:$EQ53)</f>
        <v>0</v>
      </c>
      <c r="CM48" s="177">
        <f>SUMIF('CF(M)'!$L$10:$EQ$10,CM$6,'CF(M)'!$L53:$EQ53)</f>
        <v>0</v>
      </c>
      <c r="CN48" s="177">
        <f>SUMIF('CF(M)'!$L$10:$EQ$10,CN$6,'CF(M)'!$L53:$EQ53)</f>
        <v>0</v>
      </c>
      <c r="CO48" s="177">
        <f>SUMIF('CF(M)'!$L$10:$EQ$10,CO$6,'CF(M)'!$L53:$EQ53)</f>
        <v>0</v>
      </c>
      <c r="CP48" s="177">
        <f>SUMIF('CF(M)'!$L$10:$EQ$10,CP$6,'CF(M)'!$L53:$EQ53)</f>
        <v>0</v>
      </c>
      <c r="CQ48" s="177">
        <f>SUMIF('CF(M)'!$L$10:$EQ$10,CQ$6,'CF(M)'!$L53:$EQ53)</f>
        <v>0</v>
      </c>
      <c r="CR48" s="177">
        <f>SUMIF('CF(M)'!$L$10:$EQ$10,CR$6,'CF(M)'!$L53:$EQ53)</f>
        <v>0</v>
      </c>
      <c r="CS48" s="177">
        <f>SUMIF('CF(M)'!$L$10:$EQ$10,CS$6,'CF(M)'!$L53:$EQ53)</f>
        <v>0</v>
      </c>
      <c r="CT48" s="177">
        <f>SUMIF('CF(M)'!$L$10:$EQ$10,CT$6,'CF(M)'!$L53:$EQ53)</f>
        <v>0</v>
      </c>
      <c r="CU48" s="177">
        <f>SUMIF('CF(M)'!$L$10:$EQ$10,CU$6,'CF(M)'!$L53:$EQ53)</f>
        <v>0</v>
      </c>
      <c r="CV48" s="177">
        <f>SUMIF('CF(M)'!$L$10:$EQ$10,CV$6,'CF(M)'!$L53:$EQ53)</f>
        <v>0</v>
      </c>
      <c r="CW48" s="177">
        <f>SUMIF('CF(M)'!$L$10:$EQ$10,CW$6,'CF(M)'!$L53:$EQ53)</f>
        <v>0</v>
      </c>
      <c r="CX48" s="177">
        <f>SUMIF('CF(M)'!$L$10:$EQ$10,CX$6,'CF(M)'!$L53:$EQ53)</f>
        <v>0</v>
      </c>
      <c r="CY48" s="177">
        <f>SUMIF('CF(M)'!$L$10:$EQ$10,CY$6,'CF(M)'!$L53:$EQ53)</f>
        <v>0</v>
      </c>
      <c r="CZ48" s="177">
        <f>SUMIF('CF(M)'!$L$10:$EQ$10,CZ$6,'CF(M)'!$L53:$EQ53)</f>
        <v>0</v>
      </c>
      <c r="DA48" s="177">
        <f>SUMIF('CF(M)'!$L$10:$EQ$10,DA$6,'CF(M)'!$L53:$EQ53)</f>
        <v>0</v>
      </c>
      <c r="DB48" s="177">
        <f>SUMIF('CF(M)'!$L$10:$EQ$10,DB$6,'CF(M)'!$L53:$EQ53)</f>
        <v>0</v>
      </c>
      <c r="DC48" s="177">
        <f>SUMIF('CF(M)'!$L$10:$EQ$10,DC$6,'CF(M)'!$L53:$EQ53)</f>
        <v>0</v>
      </c>
      <c r="DD48" s="177">
        <f>SUMIF('CF(M)'!$L$10:$EQ$10,DD$6,'CF(M)'!$L53:$EQ53)</f>
        <v>0</v>
      </c>
      <c r="DE48" s="177">
        <f>SUMIF('CF(M)'!$L$10:$EQ$10,DE$6,'CF(M)'!$L53:$EQ53)</f>
        <v>0</v>
      </c>
      <c r="DF48" s="177">
        <f>SUMIF('CF(M)'!$L$10:$EQ$10,DF$6,'CF(M)'!$L53:$EQ53)</f>
        <v>0</v>
      </c>
      <c r="DG48" s="177">
        <f>SUMIF('CF(M)'!$L$10:$EQ$10,DG$6,'CF(M)'!$L53:$EQ53)</f>
        <v>0</v>
      </c>
      <c r="DH48" s="177">
        <f>SUMIF('CF(M)'!$L$10:$EQ$10,DH$6,'CF(M)'!$L53:$EQ53)</f>
        <v>0</v>
      </c>
      <c r="DI48" s="177">
        <f>SUMIF('CF(M)'!$L$10:$EQ$10,DI$6,'CF(M)'!$L53:$EQ53)</f>
        <v>0</v>
      </c>
      <c r="DJ48" s="177">
        <f>SUMIF('CF(M)'!$L$10:$EQ$10,DJ$6,'CF(M)'!$L53:$EQ53)</f>
        <v>0</v>
      </c>
      <c r="DK48" s="177">
        <f>SUMIF('CF(M)'!$L$10:$EQ$10,DK$6,'CF(M)'!$L53:$EQ53)</f>
        <v>0</v>
      </c>
      <c r="DL48" s="177">
        <f>SUMIF('CF(M)'!$L$10:$EQ$10,DL$6,'CF(M)'!$L53:$EQ53)</f>
        <v>0</v>
      </c>
      <c r="DM48" s="177">
        <f>SUMIF('CF(M)'!$L$10:$EQ$10,DM$6,'CF(M)'!$L53:$EQ53)</f>
        <v>0</v>
      </c>
      <c r="DN48" s="177">
        <f>SUMIF('CF(M)'!$L$10:$EQ$10,DN$6,'CF(M)'!$L53:$EQ53)</f>
        <v>0</v>
      </c>
      <c r="DO48" s="177">
        <f>SUMIF('CF(M)'!$L$10:$EQ$10,DO$6,'CF(M)'!$L53:$EQ53)</f>
        <v>0</v>
      </c>
      <c r="DP48" s="177">
        <f>SUMIF('CF(M)'!$L$10:$EQ$10,DP$6,'CF(M)'!$L53:$EQ53)</f>
        <v>0</v>
      </c>
      <c r="DQ48" s="177">
        <f>SUMIF('CF(M)'!$L$10:$EQ$10,DQ$6,'CF(M)'!$L53:$EQ53)</f>
        <v>0</v>
      </c>
      <c r="DR48" s="177">
        <f>SUMIF('CF(M)'!$L$10:$EQ$10,DR$6,'CF(M)'!$L53:$EQ53)</f>
        <v>0</v>
      </c>
      <c r="DS48" s="177">
        <f>SUMIF('CF(M)'!$L$10:$EQ$10,DS$6,'CF(M)'!$L53:$EQ53)</f>
        <v>0</v>
      </c>
      <c r="DT48" s="177">
        <f>SUMIF('CF(M)'!$L$10:$EQ$10,DT$6,'CF(M)'!$L53:$EQ53)</f>
        <v>0</v>
      </c>
      <c r="DU48" s="177">
        <f>SUMIF('CF(M)'!$L$10:$EQ$10,DU$6,'CF(M)'!$L53:$EQ53)</f>
        <v>0</v>
      </c>
      <c r="DV48" s="177">
        <f>SUMIF('CF(M)'!$L$10:$EQ$10,DV$6,'CF(M)'!$L53:$EQ53)</f>
        <v>0</v>
      </c>
    </row>
    <row r="49" spans="2:126" ht="11.25" customHeight="1">
      <c r="B49" s="223" t="s">
        <v>197</v>
      </c>
      <c r="C49" s="224"/>
      <c r="D49" s="224"/>
      <c r="E49" s="224"/>
      <c r="F49" s="224"/>
      <c r="G49" s="224"/>
      <c r="H49" s="225"/>
      <c r="I49" s="226"/>
      <c r="J49" s="227">
        <f>SUM(J50,J55)</f>
        <v>70721828.045317352</v>
      </c>
      <c r="L49" s="216">
        <f>SUM(L50,L55)</f>
        <v>-288900000</v>
      </c>
      <c r="M49" s="216">
        <f t="shared" ref="M49:BX49" si="17">SUM(M50,M55)</f>
        <v>0</v>
      </c>
      <c r="N49" s="216">
        <f t="shared" si="17"/>
        <v>0</v>
      </c>
      <c r="O49" s="216">
        <f t="shared" si="17"/>
        <v>0</v>
      </c>
      <c r="P49" s="216">
        <f t="shared" si="17"/>
        <v>0</v>
      </c>
      <c r="Q49" s="216">
        <f t="shared" si="17"/>
        <v>0</v>
      </c>
      <c r="R49" s="216">
        <f t="shared" si="17"/>
        <v>0</v>
      </c>
      <c r="S49" s="216">
        <f t="shared" si="17"/>
        <v>0</v>
      </c>
      <c r="T49" s="216">
        <f t="shared" si="17"/>
        <v>0</v>
      </c>
      <c r="U49" s="216">
        <f t="shared" si="17"/>
        <v>0</v>
      </c>
      <c r="V49" s="216">
        <f t="shared" si="17"/>
        <v>0</v>
      </c>
      <c r="W49" s="216">
        <f t="shared" si="17"/>
        <v>0</v>
      </c>
      <c r="X49" s="216">
        <f t="shared" si="17"/>
        <v>0</v>
      </c>
      <c r="Y49" s="216">
        <f t="shared" si="17"/>
        <v>0</v>
      </c>
      <c r="Z49" s="216">
        <f t="shared" si="17"/>
        <v>0</v>
      </c>
      <c r="AA49" s="216">
        <f t="shared" si="17"/>
        <v>0</v>
      </c>
      <c r="AB49" s="216">
        <f t="shared" si="17"/>
        <v>0</v>
      </c>
      <c r="AC49" s="216">
        <f t="shared" si="17"/>
        <v>0</v>
      </c>
      <c r="AD49" s="216">
        <f t="shared" si="17"/>
        <v>0</v>
      </c>
      <c r="AE49" s="216">
        <f t="shared" si="17"/>
        <v>0</v>
      </c>
      <c r="AF49" s="216">
        <f t="shared" si="17"/>
        <v>359621828.04531735</v>
      </c>
      <c r="AG49" s="216">
        <f t="shared" si="17"/>
        <v>0</v>
      </c>
      <c r="AH49" s="216">
        <f t="shared" si="17"/>
        <v>0</v>
      </c>
      <c r="AI49" s="216">
        <f t="shared" si="17"/>
        <v>0</v>
      </c>
      <c r="AJ49" s="216">
        <f t="shared" si="17"/>
        <v>0</v>
      </c>
      <c r="AK49" s="216">
        <f t="shared" si="17"/>
        <v>0</v>
      </c>
      <c r="AL49" s="216">
        <f t="shared" si="17"/>
        <v>0</v>
      </c>
      <c r="AM49" s="216">
        <f t="shared" si="17"/>
        <v>0</v>
      </c>
      <c r="AN49" s="216">
        <f t="shared" si="17"/>
        <v>0</v>
      </c>
      <c r="AO49" s="216">
        <f t="shared" si="17"/>
        <v>0</v>
      </c>
      <c r="AP49" s="216">
        <f t="shared" si="17"/>
        <v>0</v>
      </c>
      <c r="AQ49" s="216">
        <f t="shared" si="17"/>
        <v>0</v>
      </c>
      <c r="AR49" s="216">
        <f t="shared" si="17"/>
        <v>0</v>
      </c>
      <c r="AS49" s="216">
        <f t="shared" si="17"/>
        <v>0</v>
      </c>
      <c r="AT49" s="216">
        <f t="shared" si="17"/>
        <v>0</v>
      </c>
      <c r="AU49" s="216">
        <f t="shared" si="17"/>
        <v>0</v>
      </c>
      <c r="AV49" s="216">
        <f t="shared" si="17"/>
        <v>0</v>
      </c>
      <c r="AW49" s="216">
        <f t="shared" si="17"/>
        <v>0</v>
      </c>
      <c r="AX49" s="216">
        <f t="shared" si="17"/>
        <v>0</v>
      </c>
      <c r="AY49" s="216">
        <f t="shared" si="17"/>
        <v>0</v>
      </c>
      <c r="AZ49" s="216">
        <f t="shared" si="17"/>
        <v>0</v>
      </c>
      <c r="BA49" s="216">
        <f t="shared" si="17"/>
        <v>0</v>
      </c>
      <c r="BB49" s="216">
        <f t="shared" si="17"/>
        <v>0</v>
      </c>
      <c r="BC49" s="216">
        <f t="shared" si="17"/>
        <v>0</v>
      </c>
      <c r="BD49" s="216">
        <f t="shared" si="17"/>
        <v>0</v>
      </c>
      <c r="BE49" s="216">
        <f t="shared" si="17"/>
        <v>0</v>
      </c>
      <c r="BF49" s="216">
        <f t="shared" si="17"/>
        <v>0</v>
      </c>
      <c r="BG49" s="216">
        <f t="shared" si="17"/>
        <v>0</v>
      </c>
      <c r="BH49" s="216">
        <f t="shared" si="17"/>
        <v>0</v>
      </c>
      <c r="BI49" s="216">
        <f t="shared" si="17"/>
        <v>0</v>
      </c>
      <c r="BJ49" s="216">
        <f t="shared" si="17"/>
        <v>0</v>
      </c>
      <c r="BK49" s="216">
        <f t="shared" si="17"/>
        <v>0</v>
      </c>
      <c r="BL49" s="216">
        <f t="shared" si="17"/>
        <v>0</v>
      </c>
      <c r="BM49" s="216">
        <f t="shared" si="17"/>
        <v>0</v>
      </c>
      <c r="BN49" s="216">
        <f t="shared" si="17"/>
        <v>0</v>
      </c>
      <c r="BO49" s="216">
        <f t="shared" si="17"/>
        <v>0</v>
      </c>
      <c r="BP49" s="216">
        <f t="shared" si="17"/>
        <v>0</v>
      </c>
      <c r="BQ49" s="216">
        <f t="shared" si="17"/>
        <v>0</v>
      </c>
      <c r="BR49" s="216">
        <f t="shared" si="17"/>
        <v>0</v>
      </c>
      <c r="BS49" s="216">
        <f t="shared" si="17"/>
        <v>0</v>
      </c>
      <c r="BT49" s="216">
        <f t="shared" si="17"/>
        <v>0</v>
      </c>
      <c r="BU49" s="216">
        <f t="shared" si="17"/>
        <v>0</v>
      </c>
      <c r="BV49" s="216">
        <f t="shared" si="17"/>
        <v>0</v>
      </c>
      <c r="BW49" s="216">
        <f t="shared" si="17"/>
        <v>0</v>
      </c>
      <c r="BX49" s="216">
        <f t="shared" si="17"/>
        <v>0</v>
      </c>
      <c r="BY49" s="216">
        <f t="shared" ref="BY49:DV49" si="18">SUM(BY50,BY55)</f>
        <v>0</v>
      </c>
      <c r="BZ49" s="216">
        <f t="shared" si="18"/>
        <v>0</v>
      </c>
      <c r="CA49" s="216">
        <f t="shared" si="18"/>
        <v>0</v>
      </c>
      <c r="CB49" s="216">
        <f t="shared" si="18"/>
        <v>0</v>
      </c>
      <c r="CC49" s="216">
        <f t="shared" si="18"/>
        <v>0</v>
      </c>
      <c r="CD49" s="216">
        <f t="shared" si="18"/>
        <v>0</v>
      </c>
      <c r="CE49" s="216">
        <f t="shared" si="18"/>
        <v>0</v>
      </c>
      <c r="CF49" s="216">
        <f t="shared" si="18"/>
        <v>0</v>
      </c>
      <c r="CG49" s="216">
        <f t="shared" si="18"/>
        <v>0</v>
      </c>
      <c r="CH49" s="216">
        <f t="shared" si="18"/>
        <v>0</v>
      </c>
      <c r="CI49" s="216">
        <f t="shared" si="18"/>
        <v>0</v>
      </c>
      <c r="CJ49" s="216">
        <f t="shared" si="18"/>
        <v>0</v>
      </c>
      <c r="CK49" s="216">
        <f t="shared" si="18"/>
        <v>0</v>
      </c>
      <c r="CL49" s="216">
        <f t="shared" si="18"/>
        <v>0</v>
      </c>
      <c r="CM49" s="216">
        <f t="shared" si="18"/>
        <v>0</v>
      </c>
      <c r="CN49" s="216">
        <f t="shared" si="18"/>
        <v>0</v>
      </c>
      <c r="CO49" s="216">
        <f t="shared" si="18"/>
        <v>0</v>
      </c>
      <c r="CP49" s="216">
        <f t="shared" si="18"/>
        <v>0</v>
      </c>
      <c r="CQ49" s="216">
        <f t="shared" si="18"/>
        <v>0</v>
      </c>
      <c r="CR49" s="216">
        <f t="shared" si="18"/>
        <v>0</v>
      </c>
      <c r="CS49" s="216">
        <f t="shared" si="18"/>
        <v>0</v>
      </c>
      <c r="CT49" s="216">
        <f t="shared" si="18"/>
        <v>0</v>
      </c>
      <c r="CU49" s="216">
        <f t="shared" si="18"/>
        <v>0</v>
      </c>
      <c r="CV49" s="216">
        <f t="shared" si="18"/>
        <v>0</v>
      </c>
      <c r="CW49" s="216">
        <f t="shared" si="18"/>
        <v>0</v>
      </c>
      <c r="CX49" s="216">
        <f t="shared" si="18"/>
        <v>0</v>
      </c>
      <c r="CY49" s="216">
        <f t="shared" si="18"/>
        <v>0</v>
      </c>
      <c r="CZ49" s="216">
        <f t="shared" si="18"/>
        <v>0</v>
      </c>
      <c r="DA49" s="216">
        <f t="shared" si="18"/>
        <v>0</v>
      </c>
      <c r="DB49" s="216">
        <f t="shared" si="18"/>
        <v>0</v>
      </c>
      <c r="DC49" s="216">
        <f t="shared" si="18"/>
        <v>0</v>
      </c>
      <c r="DD49" s="216">
        <f t="shared" si="18"/>
        <v>0</v>
      </c>
      <c r="DE49" s="216">
        <f t="shared" si="18"/>
        <v>0</v>
      </c>
      <c r="DF49" s="216">
        <f t="shared" si="18"/>
        <v>0</v>
      </c>
      <c r="DG49" s="216">
        <f t="shared" si="18"/>
        <v>0</v>
      </c>
      <c r="DH49" s="216">
        <f t="shared" si="18"/>
        <v>0</v>
      </c>
      <c r="DI49" s="216">
        <f t="shared" si="18"/>
        <v>0</v>
      </c>
      <c r="DJ49" s="216">
        <f t="shared" si="18"/>
        <v>0</v>
      </c>
      <c r="DK49" s="216">
        <f t="shared" si="18"/>
        <v>0</v>
      </c>
      <c r="DL49" s="216">
        <f t="shared" si="18"/>
        <v>0</v>
      </c>
      <c r="DM49" s="216">
        <f t="shared" si="18"/>
        <v>0</v>
      </c>
      <c r="DN49" s="216">
        <f t="shared" si="18"/>
        <v>0</v>
      </c>
      <c r="DO49" s="216">
        <f t="shared" si="18"/>
        <v>0</v>
      </c>
      <c r="DP49" s="216">
        <f t="shared" si="18"/>
        <v>0</v>
      </c>
      <c r="DQ49" s="216">
        <f t="shared" si="18"/>
        <v>0</v>
      </c>
      <c r="DR49" s="216">
        <f t="shared" si="18"/>
        <v>0</v>
      </c>
      <c r="DS49" s="216">
        <f t="shared" si="18"/>
        <v>0</v>
      </c>
      <c r="DT49" s="216">
        <f t="shared" si="18"/>
        <v>0</v>
      </c>
      <c r="DU49" s="216">
        <f t="shared" si="18"/>
        <v>0</v>
      </c>
      <c r="DV49" s="216">
        <f t="shared" si="18"/>
        <v>0</v>
      </c>
    </row>
    <row r="50" spans="2:126" ht="11.25" customHeight="1">
      <c r="B50" s="218"/>
      <c r="C50" s="158" t="s">
        <v>198</v>
      </c>
      <c r="D50" s="159"/>
      <c r="E50" s="159"/>
      <c r="F50" s="159"/>
      <c r="G50" s="159"/>
      <c r="H50" s="160"/>
      <c r="I50" s="219"/>
      <c r="J50" s="220">
        <f>SUM(J51:J54)</f>
        <v>359621828.04531735</v>
      </c>
      <c r="K50" s="98"/>
      <c r="L50" s="162">
        <f>SUM(L51:L54)</f>
        <v>0</v>
      </c>
      <c r="M50" s="162">
        <f t="shared" ref="M50:BX50" si="19">SUM(M51:M54)</f>
        <v>0</v>
      </c>
      <c r="N50" s="162">
        <f t="shared" si="19"/>
        <v>0</v>
      </c>
      <c r="O50" s="162">
        <f t="shared" si="19"/>
        <v>0</v>
      </c>
      <c r="P50" s="162">
        <f t="shared" si="19"/>
        <v>0</v>
      </c>
      <c r="Q50" s="162">
        <f t="shared" si="19"/>
        <v>0</v>
      </c>
      <c r="R50" s="162">
        <f t="shared" si="19"/>
        <v>0</v>
      </c>
      <c r="S50" s="162">
        <f t="shared" si="19"/>
        <v>0</v>
      </c>
      <c r="T50" s="162">
        <f t="shared" si="19"/>
        <v>0</v>
      </c>
      <c r="U50" s="162">
        <f t="shared" si="19"/>
        <v>0</v>
      </c>
      <c r="V50" s="162">
        <f t="shared" si="19"/>
        <v>0</v>
      </c>
      <c r="W50" s="162">
        <f t="shared" si="19"/>
        <v>0</v>
      </c>
      <c r="X50" s="162">
        <f t="shared" si="19"/>
        <v>0</v>
      </c>
      <c r="Y50" s="162">
        <f t="shared" si="19"/>
        <v>0</v>
      </c>
      <c r="Z50" s="162">
        <f t="shared" si="19"/>
        <v>0</v>
      </c>
      <c r="AA50" s="162">
        <f t="shared" si="19"/>
        <v>0</v>
      </c>
      <c r="AB50" s="162">
        <f t="shared" si="19"/>
        <v>0</v>
      </c>
      <c r="AC50" s="162">
        <f t="shared" si="19"/>
        <v>0</v>
      </c>
      <c r="AD50" s="162">
        <f t="shared" si="19"/>
        <v>0</v>
      </c>
      <c r="AE50" s="162">
        <f t="shared" si="19"/>
        <v>0</v>
      </c>
      <c r="AF50" s="162">
        <f t="shared" si="19"/>
        <v>359621828.04531735</v>
      </c>
      <c r="AG50" s="162">
        <f t="shared" si="19"/>
        <v>0</v>
      </c>
      <c r="AH50" s="162">
        <f t="shared" si="19"/>
        <v>0</v>
      </c>
      <c r="AI50" s="162">
        <f t="shared" si="19"/>
        <v>0</v>
      </c>
      <c r="AJ50" s="162">
        <f t="shared" si="19"/>
        <v>0</v>
      </c>
      <c r="AK50" s="162">
        <f t="shared" si="19"/>
        <v>0</v>
      </c>
      <c r="AL50" s="162">
        <f t="shared" si="19"/>
        <v>0</v>
      </c>
      <c r="AM50" s="162">
        <f t="shared" si="19"/>
        <v>0</v>
      </c>
      <c r="AN50" s="162">
        <f t="shared" si="19"/>
        <v>0</v>
      </c>
      <c r="AO50" s="162">
        <f t="shared" si="19"/>
        <v>0</v>
      </c>
      <c r="AP50" s="162">
        <f t="shared" si="19"/>
        <v>0</v>
      </c>
      <c r="AQ50" s="162">
        <f t="shared" si="19"/>
        <v>0</v>
      </c>
      <c r="AR50" s="162">
        <f t="shared" si="19"/>
        <v>0</v>
      </c>
      <c r="AS50" s="162">
        <f t="shared" si="19"/>
        <v>0</v>
      </c>
      <c r="AT50" s="162">
        <f t="shared" si="19"/>
        <v>0</v>
      </c>
      <c r="AU50" s="162">
        <f t="shared" si="19"/>
        <v>0</v>
      </c>
      <c r="AV50" s="162">
        <f t="shared" si="19"/>
        <v>0</v>
      </c>
      <c r="AW50" s="162">
        <f t="shared" si="19"/>
        <v>0</v>
      </c>
      <c r="AX50" s="162">
        <f t="shared" si="19"/>
        <v>0</v>
      </c>
      <c r="AY50" s="162">
        <f t="shared" si="19"/>
        <v>0</v>
      </c>
      <c r="AZ50" s="162">
        <f t="shared" si="19"/>
        <v>0</v>
      </c>
      <c r="BA50" s="162">
        <f t="shared" si="19"/>
        <v>0</v>
      </c>
      <c r="BB50" s="162">
        <f t="shared" si="19"/>
        <v>0</v>
      </c>
      <c r="BC50" s="162">
        <f t="shared" si="19"/>
        <v>0</v>
      </c>
      <c r="BD50" s="162">
        <f t="shared" si="19"/>
        <v>0</v>
      </c>
      <c r="BE50" s="162">
        <f t="shared" si="19"/>
        <v>0</v>
      </c>
      <c r="BF50" s="162">
        <f t="shared" si="19"/>
        <v>0</v>
      </c>
      <c r="BG50" s="162">
        <f t="shared" si="19"/>
        <v>0</v>
      </c>
      <c r="BH50" s="162">
        <f t="shared" si="19"/>
        <v>0</v>
      </c>
      <c r="BI50" s="162">
        <f t="shared" si="19"/>
        <v>0</v>
      </c>
      <c r="BJ50" s="162">
        <f t="shared" si="19"/>
        <v>0</v>
      </c>
      <c r="BK50" s="162">
        <f t="shared" si="19"/>
        <v>0</v>
      </c>
      <c r="BL50" s="162">
        <f t="shared" si="19"/>
        <v>0</v>
      </c>
      <c r="BM50" s="162">
        <f t="shared" si="19"/>
        <v>0</v>
      </c>
      <c r="BN50" s="162">
        <f t="shared" si="19"/>
        <v>0</v>
      </c>
      <c r="BO50" s="162">
        <f t="shared" si="19"/>
        <v>0</v>
      </c>
      <c r="BP50" s="162">
        <f t="shared" si="19"/>
        <v>0</v>
      </c>
      <c r="BQ50" s="162">
        <f t="shared" si="19"/>
        <v>0</v>
      </c>
      <c r="BR50" s="162">
        <f t="shared" si="19"/>
        <v>0</v>
      </c>
      <c r="BS50" s="162">
        <f t="shared" si="19"/>
        <v>0</v>
      </c>
      <c r="BT50" s="162">
        <f t="shared" si="19"/>
        <v>0</v>
      </c>
      <c r="BU50" s="162">
        <f t="shared" si="19"/>
        <v>0</v>
      </c>
      <c r="BV50" s="162">
        <f t="shared" si="19"/>
        <v>0</v>
      </c>
      <c r="BW50" s="162">
        <f t="shared" si="19"/>
        <v>0</v>
      </c>
      <c r="BX50" s="162">
        <f t="shared" si="19"/>
        <v>0</v>
      </c>
      <c r="BY50" s="162">
        <f t="shared" ref="BY50:DV50" si="20">SUM(BY51:BY54)</f>
        <v>0</v>
      </c>
      <c r="BZ50" s="162">
        <f t="shared" si="20"/>
        <v>0</v>
      </c>
      <c r="CA50" s="162">
        <f t="shared" si="20"/>
        <v>0</v>
      </c>
      <c r="CB50" s="162">
        <f t="shared" si="20"/>
        <v>0</v>
      </c>
      <c r="CC50" s="162">
        <f t="shared" si="20"/>
        <v>0</v>
      </c>
      <c r="CD50" s="162">
        <f t="shared" si="20"/>
        <v>0</v>
      </c>
      <c r="CE50" s="162">
        <f t="shared" si="20"/>
        <v>0</v>
      </c>
      <c r="CF50" s="162">
        <f t="shared" si="20"/>
        <v>0</v>
      </c>
      <c r="CG50" s="162">
        <f t="shared" si="20"/>
        <v>0</v>
      </c>
      <c r="CH50" s="162">
        <f t="shared" si="20"/>
        <v>0</v>
      </c>
      <c r="CI50" s="162">
        <f t="shared" si="20"/>
        <v>0</v>
      </c>
      <c r="CJ50" s="162">
        <f t="shared" si="20"/>
        <v>0</v>
      </c>
      <c r="CK50" s="162">
        <f t="shared" si="20"/>
        <v>0</v>
      </c>
      <c r="CL50" s="162">
        <f t="shared" si="20"/>
        <v>0</v>
      </c>
      <c r="CM50" s="162">
        <f t="shared" si="20"/>
        <v>0</v>
      </c>
      <c r="CN50" s="162">
        <f t="shared" si="20"/>
        <v>0</v>
      </c>
      <c r="CO50" s="162">
        <f t="shared" si="20"/>
        <v>0</v>
      </c>
      <c r="CP50" s="162">
        <f t="shared" si="20"/>
        <v>0</v>
      </c>
      <c r="CQ50" s="162">
        <f t="shared" si="20"/>
        <v>0</v>
      </c>
      <c r="CR50" s="162">
        <f t="shared" si="20"/>
        <v>0</v>
      </c>
      <c r="CS50" s="162">
        <f t="shared" si="20"/>
        <v>0</v>
      </c>
      <c r="CT50" s="162">
        <f t="shared" si="20"/>
        <v>0</v>
      </c>
      <c r="CU50" s="162">
        <f t="shared" si="20"/>
        <v>0</v>
      </c>
      <c r="CV50" s="162">
        <f t="shared" si="20"/>
        <v>0</v>
      </c>
      <c r="CW50" s="162">
        <f t="shared" si="20"/>
        <v>0</v>
      </c>
      <c r="CX50" s="162">
        <f t="shared" si="20"/>
        <v>0</v>
      </c>
      <c r="CY50" s="162">
        <f t="shared" si="20"/>
        <v>0</v>
      </c>
      <c r="CZ50" s="162">
        <f t="shared" si="20"/>
        <v>0</v>
      </c>
      <c r="DA50" s="162">
        <f t="shared" si="20"/>
        <v>0</v>
      </c>
      <c r="DB50" s="162">
        <f t="shared" si="20"/>
        <v>0</v>
      </c>
      <c r="DC50" s="162">
        <f t="shared" si="20"/>
        <v>0</v>
      </c>
      <c r="DD50" s="162">
        <f t="shared" si="20"/>
        <v>0</v>
      </c>
      <c r="DE50" s="162">
        <f t="shared" si="20"/>
        <v>0</v>
      </c>
      <c r="DF50" s="162">
        <f t="shared" si="20"/>
        <v>0</v>
      </c>
      <c r="DG50" s="162">
        <f t="shared" si="20"/>
        <v>0</v>
      </c>
      <c r="DH50" s="162">
        <f t="shared" si="20"/>
        <v>0</v>
      </c>
      <c r="DI50" s="162">
        <f t="shared" si="20"/>
        <v>0</v>
      </c>
      <c r="DJ50" s="162">
        <f t="shared" si="20"/>
        <v>0</v>
      </c>
      <c r="DK50" s="162">
        <f t="shared" si="20"/>
        <v>0</v>
      </c>
      <c r="DL50" s="162">
        <f t="shared" si="20"/>
        <v>0</v>
      </c>
      <c r="DM50" s="162">
        <f t="shared" si="20"/>
        <v>0</v>
      </c>
      <c r="DN50" s="162">
        <f t="shared" si="20"/>
        <v>0</v>
      </c>
      <c r="DO50" s="162">
        <f t="shared" si="20"/>
        <v>0</v>
      </c>
      <c r="DP50" s="162">
        <f t="shared" si="20"/>
        <v>0</v>
      </c>
      <c r="DQ50" s="162">
        <f t="shared" si="20"/>
        <v>0</v>
      </c>
      <c r="DR50" s="162">
        <f t="shared" si="20"/>
        <v>0</v>
      </c>
      <c r="DS50" s="162">
        <f t="shared" si="20"/>
        <v>0</v>
      </c>
      <c r="DT50" s="162">
        <f t="shared" si="20"/>
        <v>0</v>
      </c>
      <c r="DU50" s="162">
        <f t="shared" si="20"/>
        <v>0</v>
      </c>
      <c r="DV50" s="162">
        <f t="shared" si="20"/>
        <v>0</v>
      </c>
    </row>
    <row r="51" spans="2:126" ht="11.25" customHeight="1">
      <c r="B51" s="218"/>
      <c r="C51" s="163"/>
      <c r="D51" s="164" t="s">
        <v>199</v>
      </c>
      <c r="E51" s="165"/>
      <c r="F51" s="165"/>
      <c r="G51" s="165"/>
      <c r="H51" s="166"/>
      <c r="I51" s="228">
        <f>'A&amp;R'!AJ58</f>
        <v>375860758.22378767</v>
      </c>
      <c r="J51" s="168">
        <f>SUM(L51:DV51)</f>
        <v>375860758.22378767</v>
      </c>
      <c r="K51" s="98"/>
      <c r="L51" s="168">
        <f>SUMIF('CF(M)'!$L$10:$EQ$10,L$6,'CF(M)'!$L56:$EQ56)</f>
        <v>0</v>
      </c>
      <c r="M51" s="168">
        <f>SUMIF('CF(M)'!$L$10:$EQ$10,M$6,'CF(M)'!$L56:$EQ56)</f>
        <v>0</v>
      </c>
      <c r="N51" s="168">
        <f>SUMIF('CF(M)'!$L$10:$EQ$10,N$6,'CF(M)'!$L56:$EQ56)</f>
        <v>0</v>
      </c>
      <c r="O51" s="168">
        <f>SUMIF('CF(M)'!$L$10:$EQ$10,O$6,'CF(M)'!$L56:$EQ56)</f>
        <v>0</v>
      </c>
      <c r="P51" s="168">
        <f>SUMIF('CF(M)'!$L$10:$EQ$10,P$6,'CF(M)'!$L56:$EQ56)</f>
        <v>0</v>
      </c>
      <c r="Q51" s="168">
        <f>SUMIF('CF(M)'!$L$10:$EQ$10,Q$6,'CF(M)'!$L56:$EQ56)</f>
        <v>0</v>
      </c>
      <c r="R51" s="168">
        <f>SUMIF('CF(M)'!$L$10:$EQ$10,R$6,'CF(M)'!$L56:$EQ56)</f>
        <v>0</v>
      </c>
      <c r="S51" s="168">
        <f>SUMIF('CF(M)'!$L$10:$EQ$10,S$6,'CF(M)'!$L56:$EQ56)</f>
        <v>0</v>
      </c>
      <c r="T51" s="168">
        <f>SUMIF('CF(M)'!$L$10:$EQ$10,T$6,'CF(M)'!$L56:$EQ56)</f>
        <v>0</v>
      </c>
      <c r="U51" s="168">
        <f>SUMIF('CF(M)'!$L$10:$EQ$10,U$6,'CF(M)'!$L56:$EQ56)</f>
        <v>0</v>
      </c>
      <c r="V51" s="168">
        <f>SUMIF('CF(M)'!$L$10:$EQ$10,V$6,'CF(M)'!$L56:$EQ56)</f>
        <v>0</v>
      </c>
      <c r="W51" s="168">
        <f>SUMIF('CF(M)'!$L$10:$EQ$10,W$6,'CF(M)'!$L56:$EQ56)</f>
        <v>0</v>
      </c>
      <c r="X51" s="168">
        <f>SUMIF('CF(M)'!$L$10:$EQ$10,X$6,'CF(M)'!$L56:$EQ56)</f>
        <v>0</v>
      </c>
      <c r="Y51" s="168">
        <f>SUMIF('CF(M)'!$L$10:$EQ$10,Y$6,'CF(M)'!$L56:$EQ56)</f>
        <v>0</v>
      </c>
      <c r="Z51" s="168">
        <f>SUMIF('CF(M)'!$L$10:$EQ$10,Z$6,'CF(M)'!$L56:$EQ56)</f>
        <v>0</v>
      </c>
      <c r="AA51" s="168">
        <f>SUMIF('CF(M)'!$L$10:$EQ$10,AA$6,'CF(M)'!$L56:$EQ56)</f>
        <v>0</v>
      </c>
      <c r="AB51" s="168">
        <f>SUMIF('CF(M)'!$L$10:$EQ$10,AB$6,'CF(M)'!$L56:$EQ56)</f>
        <v>0</v>
      </c>
      <c r="AC51" s="168">
        <f>SUMIF('CF(M)'!$L$10:$EQ$10,AC$6,'CF(M)'!$L56:$EQ56)</f>
        <v>0</v>
      </c>
      <c r="AD51" s="168">
        <f>SUMIF('CF(M)'!$L$10:$EQ$10,AD$6,'CF(M)'!$L56:$EQ56)</f>
        <v>0</v>
      </c>
      <c r="AE51" s="168">
        <f>SUMIF('CF(M)'!$L$10:$EQ$10,AE$6,'CF(M)'!$L56:$EQ56)</f>
        <v>0</v>
      </c>
      <c r="AF51" s="168">
        <f>SUMIF('CF(M)'!$L$10:$EQ$10,AF$6,'CF(M)'!$L56:$EQ56)</f>
        <v>375860758.22378767</v>
      </c>
      <c r="AG51" s="168">
        <f>SUMIF('CF(M)'!$L$10:$EQ$10,AG$6,'CF(M)'!$L56:$EQ56)</f>
        <v>0</v>
      </c>
      <c r="AH51" s="168">
        <f>SUMIF('CF(M)'!$L$10:$EQ$10,AH$6,'CF(M)'!$L56:$EQ56)</f>
        <v>0</v>
      </c>
      <c r="AI51" s="168">
        <f>SUMIF('CF(M)'!$L$10:$EQ$10,AI$6,'CF(M)'!$L56:$EQ56)</f>
        <v>0</v>
      </c>
      <c r="AJ51" s="168">
        <f>SUMIF('CF(M)'!$L$10:$EQ$10,AJ$6,'CF(M)'!$L56:$EQ56)</f>
        <v>0</v>
      </c>
      <c r="AK51" s="168">
        <f>SUMIF('CF(M)'!$L$10:$EQ$10,AK$6,'CF(M)'!$L56:$EQ56)</f>
        <v>0</v>
      </c>
      <c r="AL51" s="168">
        <f>SUMIF('CF(M)'!$L$10:$EQ$10,AL$6,'CF(M)'!$L56:$EQ56)</f>
        <v>0</v>
      </c>
      <c r="AM51" s="168">
        <f>SUMIF('CF(M)'!$L$10:$EQ$10,AM$6,'CF(M)'!$L56:$EQ56)</f>
        <v>0</v>
      </c>
      <c r="AN51" s="168">
        <f>SUMIF('CF(M)'!$L$10:$EQ$10,AN$6,'CF(M)'!$L56:$EQ56)</f>
        <v>0</v>
      </c>
      <c r="AO51" s="168">
        <f>SUMIF('CF(M)'!$L$10:$EQ$10,AO$6,'CF(M)'!$L56:$EQ56)</f>
        <v>0</v>
      </c>
      <c r="AP51" s="168">
        <f>SUMIF('CF(M)'!$L$10:$EQ$10,AP$6,'CF(M)'!$L56:$EQ56)</f>
        <v>0</v>
      </c>
      <c r="AQ51" s="168">
        <f>SUMIF('CF(M)'!$L$10:$EQ$10,AQ$6,'CF(M)'!$L56:$EQ56)</f>
        <v>0</v>
      </c>
      <c r="AR51" s="168">
        <f>SUMIF('CF(M)'!$L$10:$EQ$10,AR$6,'CF(M)'!$L56:$EQ56)</f>
        <v>0</v>
      </c>
      <c r="AS51" s="168">
        <f>SUMIF('CF(M)'!$L$10:$EQ$10,AS$6,'CF(M)'!$L56:$EQ56)</f>
        <v>0</v>
      </c>
      <c r="AT51" s="168">
        <f>SUMIF('CF(M)'!$L$10:$EQ$10,AT$6,'CF(M)'!$L56:$EQ56)</f>
        <v>0</v>
      </c>
      <c r="AU51" s="168">
        <f>SUMIF('CF(M)'!$L$10:$EQ$10,AU$6,'CF(M)'!$L56:$EQ56)</f>
        <v>0</v>
      </c>
      <c r="AV51" s="168">
        <f>SUMIF('CF(M)'!$L$10:$EQ$10,AV$6,'CF(M)'!$L56:$EQ56)</f>
        <v>0</v>
      </c>
      <c r="AW51" s="168">
        <f>SUMIF('CF(M)'!$L$10:$EQ$10,AW$6,'CF(M)'!$L56:$EQ56)</f>
        <v>0</v>
      </c>
      <c r="AX51" s="168">
        <f>SUMIF('CF(M)'!$L$10:$EQ$10,AX$6,'CF(M)'!$L56:$EQ56)</f>
        <v>0</v>
      </c>
      <c r="AY51" s="168">
        <f>SUMIF('CF(M)'!$L$10:$EQ$10,AY$6,'CF(M)'!$L56:$EQ56)</f>
        <v>0</v>
      </c>
      <c r="AZ51" s="168">
        <f>SUMIF('CF(M)'!$L$10:$EQ$10,AZ$6,'CF(M)'!$L56:$EQ56)</f>
        <v>0</v>
      </c>
      <c r="BA51" s="168">
        <f>SUMIF('CF(M)'!$L$10:$EQ$10,BA$6,'CF(M)'!$L56:$EQ56)</f>
        <v>0</v>
      </c>
      <c r="BB51" s="168">
        <f>SUMIF('CF(M)'!$L$10:$EQ$10,BB$6,'CF(M)'!$L56:$EQ56)</f>
        <v>0</v>
      </c>
      <c r="BC51" s="168">
        <f>SUMIF('CF(M)'!$L$10:$EQ$10,BC$6,'CF(M)'!$L56:$EQ56)</f>
        <v>0</v>
      </c>
      <c r="BD51" s="168">
        <f>SUMIF('CF(M)'!$L$10:$EQ$10,BD$6,'CF(M)'!$L56:$EQ56)</f>
        <v>0</v>
      </c>
      <c r="BE51" s="168">
        <f>SUMIF('CF(M)'!$L$10:$EQ$10,BE$6,'CF(M)'!$L56:$EQ56)</f>
        <v>0</v>
      </c>
      <c r="BF51" s="168">
        <f>SUMIF('CF(M)'!$L$10:$EQ$10,BF$6,'CF(M)'!$L56:$EQ56)</f>
        <v>0</v>
      </c>
      <c r="BG51" s="168">
        <f>SUMIF('CF(M)'!$L$10:$EQ$10,BG$6,'CF(M)'!$L56:$EQ56)</f>
        <v>0</v>
      </c>
      <c r="BH51" s="168">
        <f>SUMIF('CF(M)'!$L$10:$EQ$10,BH$6,'CF(M)'!$L56:$EQ56)</f>
        <v>0</v>
      </c>
      <c r="BI51" s="168">
        <f>SUMIF('CF(M)'!$L$10:$EQ$10,BI$6,'CF(M)'!$L56:$EQ56)</f>
        <v>0</v>
      </c>
      <c r="BJ51" s="168">
        <f>SUMIF('CF(M)'!$L$10:$EQ$10,BJ$6,'CF(M)'!$L56:$EQ56)</f>
        <v>0</v>
      </c>
      <c r="BK51" s="168">
        <f>SUMIF('CF(M)'!$L$10:$EQ$10,BK$6,'CF(M)'!$L56:$EQ56)</f>
        <v>0</v>
      </c>
      <c r="BL51" s="168">
        <f>SUMIF('CF(M)'!$L$10:$EQ$10,BL$6,'CF(M)'!$L56:$EQ56)</f>
        <v>0</v>
      </c>
      <c r="BM51" s="168">
        <f>SUMIF('CF(M)'!$L$10:$EQ$10,BM$6,'CF(M)'!$L56:$EQ56)</f>
        <v>0</v>
      </c>
      <c r="BN51" s="168">
        <f>SUMIF('CF(M)'!$L$10:$EQ$10,BN$6,'CF(M)'!$L56:$EQ56)</f>
        <v>0</v>
      </c>
      <c r="BO51" s="168">
        <f>SUMIF('CF(M)'!$L$10:$EQ$10,BO$6,'CF(M)'!$L56:$EQ56)</f>
        <v>0</v>
      </c>
      <c r="BP51" s="168">
        <f>SUMIF('CF(M)'!$L$10:$EQ$10,BP$6,'CF(M)'!$L56:$EQ56)</f>
        <v>0</v>
      </c>
      <c r="BQ51" s="168">
        <f>SUMIF('CF(M)'!$L$10:$EQ$10,BQ$6,'CF(M)'!$L56:$EQ56)</f>
        <v>0</v>
      </c>
      <c r="BR51" s="168">
        <f>SUMIF('CF(M)'!$L$10:$EQ$10,BR$6,'CF(M)'!$L56:$EQ56)</f>
        <v>0</v>
      </c>
      <c r="BS51" s="168">
        <f>SUMIF('CF(M)'!$L$10:$EQ$10,BS$6,'CF(M)'!$L56:$EQ56)</f>
        <v>0</v>
      </c>
      <c r="BT51" s="168">
        <f>SUMIF('CF(M)'!$L$10:$EQ$10,BT$6,'CF(M)'!$L56:$EQ56)</f>
        <v>0</v>
      </c>
      <c r="BU51" s="168">
        <f>SUMIF('CF(M)'!$L$10:$EQ$10,BU$6,'CF(M)'!$L56:$EQ56)</f>
        <v>0</v>
      </c>
      <c r="BV51" s="168">
        <f>SUMIF('CF(M)'!$L$10:$EQ$10,BV$6,'CF(M)'!$L56:$EQ56)</f>
        <v>0</v>
      </c>
      <c r="BW51" s="168">
        <f>SUMIF('CF(M)'!$L$10:$EQ$10,BW$6,'CF(M)'!$L56:$EQ56)</f>
        <v>0</v>
      </c>
      <c r="BX51" s="168">
        <f>SUMIF('CF(M)'!$L$10:$EQ$10,BX$6,'CF(M)'!$L56:$EQ56)</f>
        <v>0</v>
      </c>
      <c r="BY51" s="168">
        <f>SUMIF('CF(M)'!$L$10:$EQ$10,BY$6,'CF(M)'!$L56:$EQ56)</f>
        <v>0</v>
      </c>
      <c r="BZ51" s="168">
        <f>SUMIF('CF(M)'!$L$10:$EQ$10,BZ$6,'CF(M)'!$L56:$EQ56)</f>
        <v>0</v>
      </c>
      <c r="CA51" s="168">
        <f>SUMIF('CF(M)'!$L$10:$EQ$10,CA$6,'CF(M)'!$L56:$EQ56)</f>
        <v>0</v>
      </c>
      <c r="CB51" s="168">
        <f>SUMIF('CF(M)'!$L$10:$EQ$10,CB$6,'CF(M)'!$L56:$EQ56)</f>
        <v>0</v>
      </c>
      <c r="CC51" s="168">
        <f>SUMIF('CF(M)'!$L$10:$EQ$10,CC$6,'CF(M)'!$L56:$EQ56)</f>
        <v>0</v>
      </c>
      <c r="CD51" s="168">
        <f>SUMIF('CF(M)'!$L$10:$EQ$10,CD$6,'CF(M)'!$L56:$EQ56)</f>
        <v>0</v>
      </c>
      <c r="CE51" s="168">
        <f>SUMIF('CF(M)'!$L$10:$EQ$10,CE$6,'CF(M)'!$L56:$EQ56)</f>
        <v>0</v>
      </c>
      <c r="CF51" s="168">
        <f>SUMIF('CF(M)'!$L$10:$EQ$10,CF$6,'CF(M)'!$L56:$EQ56)</f>
        <v>0</v>
      </c>
      <c r="CG51" s="168">
        <f>SUMIF('CF(M)'!$L$10:$EQ$10,CG$6,'CF(M)'!$L56:$EQ56)</f>
        <v>0</v>
      </c>
      <c r="CH51" s="168">
        <f>SUMIF('CF(M)'!$L$10:$EQ$10,CH$6,'CF(M)'!$L56:$EQ56)</f>
        <v>0</v>
      </c>
      <c r="CI51" s="168">
        <f>SUMIF('CF(M)'!$L$10:$EQ$10,CI$6,'CF(M)'!$L56:$EQ56)</f>
        <v>0</v>
      </c>
      <c r="CJ51" s="168">
        <f>SUMIF('CF(M)'!$L$10:$EQ$10,CJ$6,'CF(M)'!$L56:$EQ56)</f>
        <v>0</v>
      </c>
      <c r="CK51" s="168">
        <f>SUMIF('CF(M)'!$L$10:$EQ$10,CK$6,'CF(M)'!$L56:$EQ56)</f>
        <v>0</v>
      </c>
      <c r="CL51" s="168">
        <f>SUMIF('CF(M)'!$L$10:$EQ$10,CL$6,'CF(M)'!$L56:$EQ56)</f>
        <v>0</v>
      </c>
      <c r="CM51" s="168">
        <f>SUMIF('CF(M)'!$L$10:$EQ$10,CM$6,'CF(M)'!$L56:$EQ56)</f>
        <v>0</v>
      </c>
      <c r="CN51" s="168">
        <f>SUMIF('CF(M)'!$L$10:$EQ$10,CN$6,'CF(M)'!$L56:$EQ56)</f>
        <v>0</v>
      </c>
      <c r="CO51" s="168">
        <f>SUMIF('CF(M)'!$L$10:$EQ$10,CO$6,'CF(M)'!$L56:$EQ56)</f>
        <v>0</v>
      </c>
      <c r="CP51" s="168">
        <f>SUMIF('CF(M)'!$L$10:$EQ$10,CP$6,'CF(M)'!$L56:$EQ56)</f>
        <v>0</v>
      </c>
      <c r="CQ51" s="168">
        <f>SUMIF('CF(M)'!$L$10:$EQ$10,CQ$6,'CF(M)'!$L56:$EQ56)</f>
        <v>0</v>
      </c>
      <c r="CR51" s="168">
        <f>SUMIF('CF(M)'!$L$10:$EQ$10,CR$6,'CF(M)'!$L56:$EQ56)</f>
        <v>0</v>
      </c>
      <c r="CS51" s="168">
        <f>SUMIF('CF(M)'!$L$10:$EQ$10,CS$6,'CF(M)'!$L56:$EQ56)</f>
        <v>0</v>
      </c>
      <c r="CT51" s="168">
        <f>SUMIF('CF(M)'!$L$10:$EQ$10,CT$6,'CF(M)'!$L56:$EQ56)</f>
        <v>0</v>
      </c>
      <c r="CU51" s="168">
        <f>SUMIF('CF(M)'!$L$10:$EQ$10,CU$6,'CF(M)'!$L56:$EQ56)</f>
        <v>0</v>
      </c>
      <c r="CV51" s="168">
        <f>SUMIF('CF(M)'!$L$10:$EQ$10,CV$6,'CF(M)'!$L56:$EQ56)</f>
        <v>0</v>
      </c>
      <c r="CW51" s="168">
        <f>SUMIF('CF(M)'!$L$10:$EQ$10,CW$6,'CF(M)'!$L56:$EQ56)</f>
        <v>0</v>
      </c>
      <c r="CX51" s="168">
        <f>SUMIF('CF(M)'!$L$10:$EQ$10,CX$6,'CF(M)'!$L56:$EQ56)</f>
        <v>0</v>
      </c>
      <c r="CY51" s="168">
        <f>SUMIF('CF(M)'!$L$10:$EQ$10,CY$6,'CF(M)'!$L56:$EQ56)</f>
        <v>0</v>
      </c>
      <c r="CZ51" s="168">
        <f>SUMIF('CF(M)'!$L$10:$EQ$10,CZ$6,'CF(M)'!$L56:$EQ56)</f>
        <v>0</v>
      </c>
      <c r="DA51" s="168">
        <f>SUMIF('CF(M)'!$L$10:$EQ$10,DA$6,'CF(M)'!$L56:$EQ56)</f>
        <v>0</v>
      </c>
      <c r="DB51" s="168">
        <f>SUMIF('CF(M)'!$L$10:$EQ$10,DB$6,'CF(M)'!$L56:$EQ56)</f>
        <v>0</v>
      </c>
      <c r="DC51" s="168">
        <f>SUMIF('CF(M)'!$L$10:$EQ$10,DC$6,'CF(M)'!$L56:$EQ56)</f>
        <v>0</v>
      </c>
      <c r="DD51" s="168">
        <f>SUMIF('CF(M)'!$L$10:$EQ$10,DD$6,'CF(M)'!$L56:$EQ56)</f>
        <v>0</v>
      </c>
      <c r="DE51" s="168">
        <f>SUMIF('CF(M)'!$L$10:$EQ$10,DE$6,'CF(M)'!$L56:$EQ56)</f>
        <v>0</v>
      </c>
      <c r="DF51" s="168">
        <f>SUMIF('CF(M)'!$L$10:$EQ$10,DF$6,'CF(M)'!$L56:$EQ56)</f>
        <v>0</v>
      </c>
      <c r="DG51" s="168">
        <f>SUMIF('CF(M)'!$L$10:$EQ$10,DG$6,'CF(M)'!$L56:$EQ56)</f>
        <v>0</v>
      </c>
      <c r="DH51" s="168">
        <f>SUMIF('CF(M)'!$L$10:$EQ$10,DH$6,'CF(M)'!$L56:$EQ56)</f>
        <v>0</v>
      </c>
      <c r="DI51" s="168">
        <f>SUMIF('CF(M)'!$L$10:$EQ$10,DI$6,'CF(M)'!$L56:$EQ56)</f>
        <v>0</v>
      </c>
      <c r="DJ51" s="168">
        <f>SUMIF('CF(M)'!$L$10:$EQ$10,DJ$6,'CF(M)'!$L56:$EQ56)</f>
        <v>0</v>
      </c>
      <c r="DK51" s="168">
        <f>SUMIF('CF(M)'!$L$10:$EQ$10,DK$6,'CF(M)'!$L56:$EQ56)</f>
        <v>0</v>
      </c>
      <c r="DL51" s="168">
        <f>SUMIF('CF(M)'!$L$10:$EQ$10,DL$6,'CF(M)'!$L56:$EQ56)</f>
        <v>0</v>
      </c>
      <c r="DM51" s="168">
        <f>SUMIF('CF(M)'!$L$10:$EQ$10,DM$6,'CF(M)'!$L56:$EQ56)</f>
        <v>0</v>
      </c>
      <c r="DN51" s="168">
        <f>SUMIF('CF(M)'!$L$10:$EQ$10,DN$6,'CF(M)'!$L56:$EQ56)</f>
        <v>0</v>
      </c>
      <c r="DO51" s="168">
        <f>SUMIF('CF(M)'!$L$10:$EQ$10,DO$6,'CF(M)'!$L56:$EQ56)</f>
        <v>0</v>
      </c>
      <c r="DP51" s="168">
        <f>SUMIF('CF(M)'!$L$10:$EQ$10,DP$6,'CF(M)'!$L56:$EQ56)</f>
        <v>0</v>
      </c>
      <c r="DQ51" s="168">
        <f>SUMIF('CF(M)'!$L$10:$EQ$10,DQ$6,'CF(M)'!$L56:$EQ56)</f>
        <v>0</v>
      </c>
      <c r="DR51" s="168">
        <f>SUMIF('CF(M)'!$L$10:$EQ$10,DR$6,'CF(M)'!$L56:$EQ56)</f>
        <v>0</v>
      </c>
      <c r="DS51" s="168">
        <f>SUMIF('CF(M)'!$L$10:$EQ$10,DS$6,'CF(M)'!$L56:$EQ56)</f>
        <v>0</v>
      </c>
      <c r="DT51" s="168">
        <f>SUMIF('CF(M)'!$L$10:$EQ$10,DT$6,'CF(M)'!$L56:$EQ56)</f>
        <v>0</v>
      </c>
      <c r="DU51" s="168">
        <f>SUMIF('CF(M)'!$L$10:$EQ$10,DU$6,'CF(M)'!$L56:$EQ56)</f>
        <v>0</v>
      </c>
      <c r="DV51" s="168">
        <f>SUMIF('CF(M)'!$L$10:$EQ$10,DV$6,'CF(M)'!$L56:$EQ56)</f>
        <v>0</v>
      </c>
    </row>
    <row r="52" spans="2:126" ht="11.25" customHeight="1">
      <c r="B52" s="218"/>
      <c r="C52" s="163"/>
      <c r="D52" s="169" t="s">
        <v>200</v>
      </c>
      <c r="H52" s="146"/>
      <c r="I52" s="229">
        <f>-'A&amp;R'!AJ62</f>
        <v>-1879303.7911189385</v>
      </c>
      <c r="J52" s="171">
        <f t="shared" ref="J52:J61" si="21">SUM(L52:DV52)</f>
        <v>-1879303.7911189385</v>
      </c>
      <c r="K52" s="98"/>
      <c r="L52" s="171">
        <f>SUMIF('CF(M)'!$L$10:$EQ$10,L$6,'CF(M)'!$L57:$EQ57)</f>
        <v>0</v>
      </c>
      <c r="M52" s="171">
        <f>SUMIF('CF(M)'!$L$10:$EQ$10,M$6,'CF(M)'!$L57:$EQ57)</f>
        <v>0</v>
      </c>
      <c r="N52" s="171">
        <f>SUMIF('CF(M)'!$L$10:$EQ$10,N$6,'CF(M)'!$L57:$EQ57)</f>
        <v>0</v>
      </c>
      <c r="O52" s="171">
        <f>SUMIF('CF(M)'!$L$10:$EQ$10,O$6,'CF(M)'!$L57:$EQ57)</f>
        <v>0</v>
      </c>
      <c r="P52" s="171">
        <f>SUMIF('CF(M)'!$L$10:$EQ$10,P$6,'CF(M)'!$L57:$EQ57)</f>
        <v>0</v>
      </c>
      <c r="Q52" s="171">
        <f>SUMIF('CF(M)'!$L$10:$EQ$10,Q$6,'CF(M)'!$L57:$EQ57)</f>
        <v>0</v>
      </c>
      <c r="R52" s="171">
        <f>SUMIF('CF(M)'!$L$10:$EQ$10,R$6,'CF(M)'!$L57:$EQ57)</f>
        <v>0</v>
      </c>
      <c r="S52" s="171">
        <f>SUMIF('CF(M)'!$L$10:$EQ$10,S$6,'CF(M)'!$L57:$EQ57)</f>
        <v>0</v>
      </c>
      <c r="T52" s="171">
        <f>SUMIF('CF(M)'!$L$10:$EQ$10,T$6,'CF(M)'!$L57:$EQ57)</f>
        <v>0</v>
      </c>
      <c r="U52" s="171">
        <f>SUMIF('CF(M)'!$L$10:$EQ$10,U$6,'CF(M)'!$L57:$EQ57)</f>
        <v>0</v>
      </c>
      <c r="V52" s="171">
        <f>SUMIF('CF(M)'!$L$10:$EQ$10,V$6,'CF(M)'!$L57:$EQ57)</f>
        <v>0</v>
      </c>
      <c r="W52" s="171">
        <f>SUMIF('CF(M)'!$L$10:$EQ$10,W$6,'CF(M)'!$L57:$EQ57)</f>
        <v>0</v>
      </c>
      <c r="X52" s="171">
        <f>SUMIF('CF(M)'!$L$10:$EQ$10,X$6,'CF(M)'!$L57:$EQ57)</f>
        <v>0</v>
      </c>
      <c r="Y52" s="171">
        <f>SUMIF('CF(M)'!$L$10:$EQ$10,Y$6,'CF(M)'!$L57:$EQ57)</f>
        <v>0</v>
      </c>
      <c r="Z52" s="171">
        <f>SUMIF('CF(M)'!$L$10:$EQ$10,Z$6,'CF(M)'!$L57:$EQ57)</f>
        <v>0</v>
      </c>
      <c r="AA52" s="171">
        <f>SUMIF('CF(M)'!$L$10:$EQ$10,AA$6,'CF(M)'!$L57:$EQ57)</f>
        <v>0</v>
      </c>
      <c r="AB52" s="171">
        <f>SUMIF('CF(M)'!$L$10:$EQ$10,AB$6,'CF(M)'!$L57:$EQ57)</f>
        <v>0</v>
      </c>
      <c r="AC52" s="171">
        <f>SUMIF('CF(M)'!$L$10:$EQ$10,AC$6,'CF(M)'!$L57:$EQ57)</f>
        <v>0</v>
      </c>
      <c r="AD52" s="171">
        <f>SUMIF('CF(M)'!$L$10:$EQ$10,AD$6,'CF(M)'!$L57:$EQ57)</f>
        <v>0</v>
      </c>
      <c r="AE52" s="171">
        <f>SUMIF('CF(M)'!$L$10:$EQ$10,AE$6,'CF(M)'!$L57:$EQ57)</f>
        <v>0</v>
      </c>
      <c r="AF52" s="171">
        <f>SUMIF('CF(M)'!$L$10:$EQ$10,AF$6,'CF(M)'!$L57:$EQ57)</f>
        <v>-1879303.7911189385</v>
      </c>
      <c r="AG52" s="171">
        <f>SUMIF('CF(M)'!$L$10:$EQ$10,AG$6,'CF(M)'!$L57:$EQ57)</f>
        <v>0</v>
      </c>
      <c r="AH52" s="171">
        <f>SUMIF('CF(M)'!$L$10:$EQ$10,AH$6,'CF(M)'!$L57:$EQ57)</f>
        <v>0</v>
      </c>
      <c r="AI52" s="171">
        <f>SUMIF('CF(M)'!$L$10:$EQ$10,AI$6,'CF(M)'!$L57:$EQ57)</f>
        <v>0</v>
      </c>
      <c r="AJ52" s="171">
        <f>SUMIF('CF(M)'!$L$10:$EQ$10,AJ$6,'CF(M)'!$L57:$EQ57)</f>
        <v>0</v>
      </c>
      <c r="AK52" s="171">
        <f>SUMIF('CF(M)'!$L$10:$EQ$10,AK$6,'CF(M)'!$L57:$EQ57)</f>
        <v>0</v>
      </c>
      <c r="AL52" s="171">
        <f>SUMIF('CF(M)'!$L$10:$EQ$10,AL$6,'CF(M)'!$L57:$EQ57)</f>
        <v>0</v>
      </c>
      <c r="AM52" s="171">
        <f>SUMIF('CF(M)'!$L$10:$EQ$10,AM$6,'CF(M)'!$L57:$EQ57)</f>
        <v>0</v>
      </c>
      <c r="AN52" s="171">
        <f>SUMIF('CF(M)'!$L$10:$EQ$10,AN$6,'CF(M)'!$L57:$EQ57)</f>
        <v>0</v>
      </c>
      <c r="AO52" s="171">
        <f>SUMIF('CF(M)'!$L$10:$EQ$10,AO$6,'CF(M)'!$L57:$EQ57)</f>
        <v>0</v>
      </c>
      <c r="AP52" s="171">
        <f>SUMIF('CF(M)'!$L$10:$EQ$10,AP$6,'CF(M)'!$L57:$EQ57)</f>
        <v>0</v>
      </c>
      <c r="AQ52" s="171">
        <f>SUMIF('CF(M)'!$L$10:$EQ$10,AQ$6,'CF(M)'!$L57:$EQ57)</f>
        <v>0</v>
      </c>
      <c r="AR52" s="171">
        <f>SUMIF('CF(M)'!$L$10:$EQ$10,AR$6,'CF(M)'!$L57:$EQ57)</f>
        <v>0</v>
      </c>
      <c r="AS52" s="171">
        <f>SUMIF('CF(M)'!$L$10:$EQ$10,AS$6,'CF(M)'!$L57:$EQ57)</f>
        <v>0</v>
      </c>
      <c r="AT52" s="171">
        <f>SUMIF('CF(M)'!$L$10:$EQ$10,AT$6,'CF(M)'!$L57:$EQ57)</f>
        <v>0</v>
      </c>
      <c r="AU52" s="171">
        <f>SUMIF('CF(M)'!$L$10:$EQ$10,AU$6,'CF(M)'!$L57:$EQ57)</f>
        <v>0</v>
      </c>
      <c r="AV52" s="171">
        <f>SUMIF('CF(M)'!$L$10:$EQ$10,AV$6,'CF(M)'!$L57:$EQ57)</f>
        <v>0</v>
      </c>
      <c r="AW52" s="171">
        <f>SUMIF('CF(M)'!$L$10:$EQ$10,AW$6,'CF(M)'!$L57:$EQ57)</f>
        <v>0</v>
      </c>
      <c r="AX52" s="171">
        <f>SUMIF('CF(M)'!$L$10:$EQ$10,AX$6,'CF(M)'!$L57:$EQ57)</f>
        <v>0</v>
      </c>
      <c r="AY52" s="171">
        <f>SUMIF('CF(M)'!$L$10:$EQ$10,AY$6,'CF(M)'!$L57:$EQ57)</f>
        <v>0</v>
      </c>
      <c r="AZ52" s="171">
        <f>SUMIF('CF(M)'!$L$10:$EQ$10,AZ$6,'CF(M)'!$L57:$EQ57)</f>
        <v>0</v>
      </c>
      <c r="BA52" s="171">
        <f>SUMIF('CF(M)'!$L$10:$EQ$10,BA$6,'CF(M)'!$L57:$EQ57)</f>
        <v>0</v>
      </c>
      <c r="BB52" s="171">
        <f>SUMIF('CF(M)'!$L$10:$EQ$10,BB$6,'CF(M)'!$L57:$EQ57)</f>
        <v>0</v>
      </c>
      <c r="BC52" s="171">
        <f>SUMIF('CF(M)'!$L$10:$EQ$10,BC$6,'CF(M)'!$L57:$EQ57)</f>
        <v>0</v>
      </c>
      <c r="BD52" s="171">
        <f>SUMIF('CF(M)'!$L$10:$EQ$10,BD$6,'CF(M)'!$L57:$EQ57)</f>
        <v>0</v>
      </c>
      <c r="BE52" s="171">
        <f>SUMIF('CF(M)'!$L$10:$EQ$10,BE$6,'CF(M)'!$L57:$EQ57)</f>
        <v>0</v>
      </c>
      <c r="BF52" s="171">
        <f>SUMIF('CF(M)'!$L$10:$EQ$10,BF$6,'CF(M)'!$L57:$EQ57)</f>
        <v>0</v>
      </c>
      <c r="BG52" s="171">
        <f>SUMIF('CF(M)'!$L$10:$EQ$10,BG$6,'CF(M)'!$L57:$EQ57)</f>
        <v>0</v>
      </c>
      <c r="BH52" s="171">
        <f>SUMIF('CF(M)'!$L$10:$EQ$10,BH$6,'CF(M)'!$L57:$EQ57)</f>
        <v>0</v>
      </c>
      <c r="BI52" s="171">
        <f>SUMIF('CF(M)'!$L$10:$EQ$10,BI$6,'CF(M)'!$L57:$EQ57)</f>
        <v>0</v>
      </c>
      <c r="BJ52" s="171">
        <f>SUMIF('CF(M)'!$L$10:$EQ$10,BJ$6,'CF(M)'!$L57:$EQ57)</f>
        <v>0</v>
      </c>
      <c r="BK52" s="171">
        <f>SUMIF('CF(M)'!$L$10:$EQ$10,BK$6,'CF(M)'!$L57:$EQ57)</f>
        <v>0</v>
      </c>
      <c r="BL52" s="171">
        <f>SUMIF('CF(M)'!$L$10:$EQ$10,BL$6,'CF(M)'!$L57:$EQ57)</f>
        <v>0</v>
      </c>
      <c r="BM52" s="171">
        <f>SUMIF('CF(M)'!$L$10:$EQ$10,BM$6,'CF(M)'!$L57:$EQ57)</f>
        <v>0</v>
      </c>
      <c r="BN52" s="171">
        <f>SUMIF('CF(M)'!$L$10:$EQ$10,BN$6,'CF(M)'!$L57:$EQ57)</f>
        <v>0</v>
      </c>
      <c r="BO52" s="171">
        <f>SUMIF('CF(M)'!$L$10:$EQ$10,BO$6,'CF(M)'!$L57:$EQ57)</f>
        <v>0</v>
      </c>
      <c r="BP52" s="171">
        <f>SUMIF('CF(M)'!$L$10:$EQ$10,BP$6,'CF(M)'!$L57:$EQ57)</f>
        <v>0</v>
      </c>
      <c r="BQ52" s="171">
        <f>SUMIF('CF(M)'!$L$10:$EQ$10,BQ$6,'CF(M)'!$L57:$EQ57)</f>
        <v>0</v>
      </c>
      <c r="BR52" s="171">
        <f>SUMIF('CF(M)'!$L$10:$EQ$10,BR$6,'CF(M)'!$L57:$EQ57)</f>
        <v>0</v>
      </c>
      <c r="BS52" s="171">
        <f>SUMIF('CF(M)'!$L$10:$EQ$10,BS$6,'CF(M)'!$L57:$EQ57)</f>
        <v>0</v>
      </c>
      <c r="BT52" s="171">
        <f>SUMIF('CF(M)'!$L$10:$EQ$10,BT$6,'CF(M)'!$L57:$EQ57)</f>
        <v>0</v>
      </c>
      <c r="BU52" s="171">
        <f>SUMIF('CF(M)'!$L$10:$EQ$10,BU$6,'CF(M)'!$L57:$EQ57)</f>
        <v>0</v>
      </c>
      <c r="BV52" s="171">
        <f>SUMIF('CF(M)'!$L$10:$EQ$10,BV$6,'CF(M)'!$L57:$EQ57)</f>
        <v>0</v>
      </c>
      <c r="BW52" s="171">
        <f>SUMIF('CF(M)'!$L$10:$EQ$10,BW$6,'CF(M)'!$L57:$EQ57)</f>
        <v>0</v>
      </c>
      <c r="BX52" s="171">
        <f>SUMIF('CF(M)'!$L$10:$EQ$10,BX$6,'CF(M)'!$L57:$EQ57)</f>
        <v>0</v>
      </c>
      <c r="BY52" s="171">
        <f>SUMIF('CF(M)'!$L$10:$EQ$10,BY$6,'CF(M)'!$L57:$EQ57)</f>
        <v>0</v>
      </c>
      <c r="BZ52" s="171">
        <f>SUMIF('CF(M)'!$L$10:$EQ$10,BZ$6,'CF(M)'!$L57:$EQ57)</f>
        <v>0</v>
      </c>
      <c r="CA52" s="171">
        <f>SUMIF('CF(M)'!$L$10:$EQ$10,CA$6,'CF(M)'!$L57:$EQ57)</f>
        <v>0</v>
      </c>
      <c r="CB52" s="171">
        <f>SUMIF('CF(M)'!$L$10:$EQ$10,CB$6,'CF(M)'!$L57:$EQ57)</f>
        <v>0</v>
      </c>
      <c r="CC52" s="171">
        <f>SUMIF('CF(M)'!$L$10:$EQ$10,CC$6,'CF(M)'!$L57:$EQ57)</f>
        <v>0</v>
      </c>
      <c r="CD52" s="171">
        <f>SUMIF('CF(M)'!$L$10:$EQ$10,CD$6,'CF(M)'!$L57:$EQ57)</f>
        <v>0</v>
      </c>
      <c r="CE52" s="171">
        <f>SUMIF('CF(M)'!$L$10:$EQ$10,CE$6,'CF(M)'!$L57:$EQ57)</f>
        <v>0</v>
      </c>
      <c r="CF52" s="171">
        <f>SUMIF('CF(M)'!$L$10:$EQ$10,CF$6,'CF(M)'!$L57:$EQ57)</f>
        <v>0</v>
      </c>
      <c r="CG52" s="171">
        <f>SUMIF('CF(M)'!$L$10:$EQ$10,CG$6,'CF(M)'!$L57:$EQ57)</f>
        <v>0</v>
      </c>
      <c r="CH52" s="171">
        <f>SUMIF('CF(M)'!$L$10:$EQ$10,CH$6,'CF(M)'!$L57:$EQ57)</f>
        <v>0</v>
      </c>
      <c r="CI52" s="171">
        <f>SUMIF('CF(M)'!$L$10:$EQ$10,CI$6,'CF(M)'!$L57:$EQ57)</f>
        <v>0</v>
      </c>
      <c r="CJ52" s="171">
        <f>SUMIF('CF(M)'!$L$10:$EQ$10,CJ$6,'CF(M)'!$L57:$EQ57)</f>
        <v>0</v>
      </c>
      <c r="CK52" s="171">
        <f>SUMIF('CF(M)'!$L$10:$EQ$10,CK$6,'CF(M)'!$L57:$EQ57)</f>
        <v>0</v>
      </c>
      <c r="CL52" s="171">
        <f>SUMIF('CF(M)'!$L$10:$EQ$10,CL$6,'CF(M)'!$L57:$EQ57)</f>
        <v>0</v>
      </c>
      <c r="CM52" s="171">
        <f>SUMIF('CF(M)'!$L$10:$EQ$10,CM$6,'CF(M)'!$L57:$EQ57)</f>
        <v>0</v>
      </c>
      <c r="CN52" s="171">
        <f>SUMIF('CF(M)'!$L$10:$EQ$10,CN$6,'CF(M)'!$L57:$EQ57)</f>
        <v>0</v>
      </c>
      <c r="CO52" s="171">
        <f>SUMIF('CF(M)'!$L$10:$EQ$10,CO$6,'CF(M)'!$L57:$EQ57)</f>
        <v>0</v>
      </c>
      <c r="CP52" s="171">
        <f>SUMIF('CF(M)'!$L$10:$EQ$10,CP$6,'CF(M)'!$L57:$EQ57)</f>
        <v>0</v>
      </c>
      <c r="CQ52" s="171">
        <f>SUMIF('CF(M)'!$L$10:$EQ$10,CQ$6,'CF(M)'!$L57:$EQ57)</f>
        <v>0</v>
      </c>
      <c r="CR52" s="171">
        <f>SUMIF('CF(M)'!$L$10:$EQ$10,CR$6,'CF(M)'!$L57:$EQ57)</f>
        <v>0</v>
      </c>
      <c r="CS52" s="171">
        <f>SUMIF('CF(M)'!$L$10:$EQ$10,CS$6,'CF(M)'!$L57:$EQ57)</f>
        <v>0</v>
      </c>
      <c r="CT52" s="171">
        <f>SUMIF('CF(M)'!$L$10:$EQ$10,CT$6,'CF(M)'!$L57:$EQ57)</f>
        <v>0</v>
      </c>
      <c r="CU52" s="171">
        <f>SUMIF('CF(M)'!$L$10:$EQ$10,CU$6,'CF(M)'!$L57:$EQ57)</f>
        <v>0</v>
      </c>
      <c r="CV52" s="171">
        <f>SUMIF('CF(M)'!$L$10:$EQ$10,CV$6,'CF(M)'!$L57:$EQ57)</f>
        <v>0</v>
      </c>
      <c r="CW52" s="171">
        <f>SUMIF('CF(M)'!$L$10:$EQ$10,CW$6,'CF(M)'!$L57:$EQ57)</f>
        <v>0</v>
      </c>
      <c r="CX52" s="171">
        <f>SUMIF('CF(M)'!$L$10:$EQ$10,CX$6,'CF(M)'!$L57:$EQ57)</f>
        <v>0</v>
      </c>
      <c r="CY52" s="171">
        <f>SUMIF('CF(M)'!$L$10:$EQ$10,CY$6,'CF(M)'!$L57:$EQ57)</f>
        <v>0</v>
      </c>
      <c r="CZ52" s="171">
        <f>SUMIF('CF(M)'!$L$10:$EQ$10,CZ$6,'CF(M)'!$L57:$EQ57)</f>
        <v>0</v>
      </c>
      <c r="DA52" s="171">
        <f>SUMIF('CF(M)'!$L$10:$EQ$10,DA$6,'CF(M)'!$L57:$EQ57)</f>
        <v>0</v>
      </c>
      <c r="DB52" s="171">
        <f>SUMIF('CF(M)'!$L$10:$EQ$10,DB$6,'CF(M)'!$L57:$EQ57)</f>
        <v>0</v>
      </c>
      <c r="DC52" s="171">
        <f>SUMIF('CF(M)'!$L$10:$EQ$10,DC$6,'CF(M)'!$L57:$EQ57)</f>
        <v>0</v>
      </c>
      <c r="DD52" s="171">
        <f>SUMIF('CF(M)'!$L$10:$EQ$10,DD$6,'CF(M)'!$L57:$EQ57)</f>
        <v>0</v>
      </c>
      <c r="DE52" s="171">
        <f>SUMIF('CF(M)'!$L$10:$EQ$10,DE$6,'CF(M)'!$L57:$EQ57)</f>
        <v>0</v>
      </c>
      <c r="DF52" s="171">
        <f>SUMIF('CF(M)'!$L$10:$EQ$10,DF$6,'CF(M)'!$L57:$EQ57)</f>
        <v>0</v>
      </c>
      <c r="DG52" s="171">
        <f>SUMIF('CF(M)'!$L$10:$EQ$10,DG$6,'CF(M)'!$L57:$EQ57)</f>
        <v>0</v>
      </c>
      <c r="DH52" s="171">
        <f>SUMIF('CF(M)'!$L$10:$EQ$10,DH$6,'CF(M)'!$L57:$EQ57)</f>
        <v>0</v>
      </c>
      <c r="DI52" s="171">
        <f>SUMIF('CF(M)'!$L$10:$EQ$10,DI$6,'CF(M)'!$L57:$EQ57)</f>
        <v>0</v>
      </c>
      <c r="DJ52" s="171">
        <f>SUMIF('CF(M)'!$L$10:$EQ$10,DJ$6,'CF(M)'!$L57:$EQ57)</f>
        <v>0</v>
      </c>
      <c r="DK52" s="171">
        <f>SUMIF('CF(M)'!$L$10:$EQ$10,DK$6,'CF(M)'!$L57:$EQ57)</f>
        <v>0</v>
      </c>
      <c r="DL52" s="171">
        <f>SUMIF('CF(M)'!$L$10:$EQ$10,DL$6,'CF(M)'!$L57:$EQ57)</f>
        <v>0</v>
      </c>
      <c r="DM52" s="171">
        <f>SUMIF('CF(M)'!$L$10:$EQ$10,DM$6,'CF(M)'!$L57:$EQ57)</f>
        <v>0</v>
      </c>
      <c r="DN52" s="171">
        <f>SUMIF('CF(M)'!$L$10:$EQ$10,DN$6,'CF(M)'!$L57:$EQ57)</f>
        <v>0</v>
      </c>
      <c r="DO52" s="171">
        <f>SUMIF('CF(M)'!$L$10:$EQ$10,DO$6,'CF(M)'!$L57:$EQ57)</f>
        <v>0</v>
      </c>
      <c r="DP52" s="171">
        <f>SUMIF('CF(M)'!$L$10:$EQ$10,DP$6,'CF(M)'!$L57:$EQ57)</f>
        <v>0</v>
      </c>
      <c r="DQ52" s="171">
        <f>SUMIF('CF(M)'!$L$10:$EQ$10,DQ$6,'CF(M)'!$L57:$EQ57)</f>
        <v>0</v>
      </c>
      <c r="DR52" s="171">
        <f>SUMIF('CF(M)'!$L$10:$EQ$10,DR$6,'CF(M)'!$L57:$EQ57)</f>
        <v>0</v>
      </c>
      <c r="DS52" s="171">
        <f>SUMIF('CF(M)'!$L$10:$EQ$10,DS$6,'CF(M)'!$L57:$EQ57)</f>
        <v>0</v>
      </c>
      <c r="DT52" s="171">
        <f>SUMIF('CF(M)'!$L$10:$EQ$10,DT$6,'CF(M)'!$L57:$EQ57)</f>
        <v>0</v>
      </c>
      <c r="DU52" s="171">
        <f>SUMIF('CF(M)'!$L$10:$EQ$10,DU$6,'CF(M)'!$L57:$EQ57)</f>
        <v>0</v>
      </c>
      <c r="DV52" s="171">
        <f>SUMIF('CF(M)'!$L$10:$EQ$10,DV$6,'CF(M)'!$L57:$EQ57)</f>
        <v>0</v>
      </c>
    </row>
    <row r="53" spans="2:126" ht="11.25" customHeight="1">
      <c r="B53" s="218"/>
      <c r="C53" s="163"/>
      <c r="D53" s="169" t="s">
        <v>201</v>
      </c>
      <c r="H53" s="146"/>
      <c r="I53" s="229">
        <f>-'A&amp;R'!AJ63</f>
        <v>-1879303.7911189385</v>
      </c>
      <c r="J53" s="171">
        <f t="shared" si="21"/>
        <v>-1879303.7911189385</v>
      </c>
      <c r="K53" s="98"/>
      <c r="L53" s="171">
        <f>SUMIF('CF(M)'!$L$10:$EQ$10,L$6,'CF(M)'!$L58:$EQ58)</f>
        <v>0</v>
      </c>
      <c r="M53" s="171">
        <f>SUMIF('CF(M)'!$L$10:$EQ$10,M$6,'CF(M)'!$L58:$EQ58)</f>
        <v>0</v>
      </c>
      <c r="N53" s="171">
        <f>SUMIF('CF(M)'!$L$10:$EQ$10,N$6,'CF(M)'!$L58:$EQ58)</f>
        <v>0</v>
      </c>
      <c r="O53" s="171">
        <f>SUMIF('CF(M)'!$L$10:$EQ$10,O$6,'CF(M)'!$L58:$EQ58)</f>
        <v>0</v>
      </c>
      <c r="P53" s="171">
        <f>SUMIF('CF(M)'!$L$10:$EQ$10,P$6,'CF(M)'!$L58:$EQ58)</f>
        <v>0</v>
      </c>
      <c r="Q53" s="171">
        <f>SUMIF('CF(M)'!$L$10:$EQ$10,Q$6,'CF(M)'!$L58:$EQ58)</f>
        <v>0</v>
      </c>
      <c r="R53" s="171">
        <f>SUMIF('CF(M)'!$L$10:$EQ$10,R$6,'CF(M)'!$L58:$EQ58)</f>
        <v>0</v>
      </c>
      <c r="S53" s="171">
        <f>SUMIF('CF(M)'!$L$10:$EQ$10,S$6,'CF(M)'!$L58:$EQ58)</f>
        <v>0</v>
      </c>
      <c r="T53" s="171">
        <f>SUMIF('CF(M)'!$L$10:$EQ$10,T$6,'CF(M)'!$L58:$EQ58)</f>
        <v>0</v>
      </c>
      <c r="U53" s="171">
        <f>SUMIF('CF(M)'!$L$10:$EQ$10,U$6,'CF(M)'!$L58:$EQ58)</f>
        <v>0</v>
      </c>
      <c r="V53" s="171">
        <f>SUMIF('CF(M)'!$L$10:$EQ$10,V$6,'CF(M)'!$L58:$EQ58)</f>
        <v>0</v>
      </c>
      <c r="W53" s="171">
        <f>SUMIF('CF(M)'!$L$10:$EQ$10,W$6,'CF(M)'!$L58:$EQ58)</f>
        <v>0</v>
      </c>
      <c r="X53" s="171">
        <f>SUMIF('CF(M)'!$L$10:$EQ$10,X$6,'CF(M)'!$L58:$EQ58)</f>
        <v>0</v>
      </c>
      <c r="Y53" s="171">
        <f>SUMIF('CF(M)'!$L$10:$EQ$10,Y$6,'CF(M)'!$L58:$EQ58)</f>
        <v>0</v>
      </c>
      <c r="Z53" s="171">
        <f>SUMIF('CF(M)'!$L$10:$EQ$10,Z$6,'CF(M)'!$L58:$EQ58)</f>
        <v>0</v>
      </c>
      <c r="AA53" s="171">
        <f>SUMIF('CF(M)'!$L$10:$EQ$10,AA$6,'CF(M)'!$L58:$EQ58)</f>
        <v>0</v>
      </c>
      <c r="AB53" s="171">
        <f>SUMIF('CF(M)'!$L$10:$EQ$10,AB$6,'CF(M)'!$L58:$EQ58)</f>
        <v>0</v>
      </c>
      <c r="AC53" s="171">
        <f>SUMIF('CF(M)'!$L$10:$EQ$10,AC$6,'CF(M)'!$L58:$EQ58)</f>
        <v>0</v>
      </c>
      <c r="AD53" s="171">
        <f>SUMIF('CF(M)'!$L$10:$EQ$10,AD$6,'CF(M)'!$L58:$EQ58)</f>
        <v>0</v>
      </c>
      <c r="AE53" s="171">
        <f>SUMIF('CF(M)'!$L$10:$EQ$10,AE$6,'CF(M)'!$L58:$EQ58)</f>
        <v>0</v>
      </c>
      <c r="AF53" s="171">
        <f>SUMIF('CF(M)'!$L$10:$EQ$10,AF$6,'CF(M)'!$L58:$EQ58)</f>
        <v>-1879303.7911189385</v>
      </c>
      <c r="AG53" s="171">
        <f>SUMIF('CF(M)'!$L$10:$EQ$10,AG$6,'CF(M)'!$L58:$EQ58)</f>
        <v>0</v>
      </c>
      <c r="AH53" s="171">
        <f>SUMIF('CF(M)'!$L$10:$EQ$10,AH$6,'CF(M)'!$L58:$EQ58)</f>
        <v>0</v>
      </c>
      <c r="AI53" s="171">
        <f>SUMIF('CF(M)'!$L$10:$EQ$10,AI$6,'CF(M)'!$L58:$EQ58)</f>
        <v>0</v>
      </c>
      <c r="AJ53" s="171">
        <f>SUMIF('CF(M)'!$L$10:$EQ$10,AJ$6,'CF(M)'!$L58:$EQ58)</f>
        <v>0</v>
      </c>
      <c r="AK53" s="171">
        <f>SUMIF('CF(M)'!$L$10:$EQ$10,AK$6,'CF(M)'!$L58:$EQ58)</f>
        <v>0</v>
      </c>
      <c r="AL53" s="171">
        <f>SUMIF('CF(M)'!$L$10:$EQ$10,AL$6,'CF(M)'!$L58:$EQ58)</f>
        <v>0</v>
      </c>
      <c r="AM53" s="171">
        <f>SUMIF('CF(M)'!$L$10:$EQ$10,AM$6,'CF(M)'!$L58:$EQ58)</f>
        <v>0</v>
      </c>
      <c r="AN53" s="171">
        <f>SUMIF('CF(M)'!$L$10:$EQ$10,AN$6,'CF(M)'!$L58:$EQ58)</f>
        <v>0</v>
      </c>
      <c r="AO53" s="171">
        <f>SUMIF('CF(M)'!$L$10:$EQ$10,AO$6,'CF(M)'!$L58:$EQ58)</f>
        <v>0</v>
      </c>
      <c r="AP53" s="171">
        <f>SUMIF('CF(M)'!$L$10:$EQ$10,AP$6,'CF(M)'!$L58:$EQ58)</f>
        <v>0</v>
      </c>
      <c r="AQ53" s="171">
        <f>SUMIF('CF(M)'!$L$10:$EQ$10,AQ$6,'CF(M)'!$L58:$EQ58)</f>
        <v>0</v>
      </c>
      <c r="AR53" s="171">
        <f>SUMIF('CF(M)'!$L$10:$EQ$10,AR$6,'CF(M)'!$L58:$EQ58)</f>
        <v>0</v>
      </c>
      <c r="AS53" s="171">
        <f>SUMIF('CF(M)'!$L$10:$EQ$10,AS$6,'CF(M)'!$L58:$EQ58)</f>
        <v>0</v>
      </c>
      <c r="AT53" s="171">
        <f>SUMIF('CF(M)'!$L$10:$EQ$10,AT$6,'CF(M)'!$L58:$EQ58)</f>
        <v>0</v>
      </c>
      <c r="AU53" s="171">
        <f>SUMIF('CF(M)'!$L$10:$EQ$10,AU$6,'CF(M)'!$L58:$EQ58)</f>
        <v>0</v>
      </c>
      <c r="AV53" s="171">
        <f>SUMIF('CF(M)'!$L$10:$EQ$10,AV$6,'CF(M)'!$L58:$EQ58)</f>
        <v>0</v>
      </c>
      <c r="AW53" s="171">
        <f>SUMIF('CF(M)'!$L$10:$EQ$10,AW$6,'CF(M)'!$L58:$EQ58)</f>
        <v>0</v>
      </c>
      <c r="AX53" s="171">
        <f>SUMIF('CF(M)'!$L$10:$EQ$10,AX$6,'CF(M)'!$L58:$EQ58)</f>
        <v>0</v>
      </c>
      <c r="AY53" s="171">
        <f>SUMIF('CF(M)'!$L$10:$EQ$10,AY$6,'CF(M)'!$L58:$EQ58)</f>
        <v>0</v>
      </c>
      <c r="AZ53" s="171">
        <f>SUMIF('CF(M)'!$L$10:$EQ$10,AZ$6,'CF(M)'!$L58:$EQ58)</f>
        <v>0</v>
      </c>
      <c r="BA53" s="171">
        <f>SUMIF('CF(M)'!$L$10:$EQ$10,BA$6,'CF(M)'!$L58:$EQ58)</f>
        <v>0</v>
      </c>
      <c r="BB53" s="171">
        <f>SUMIF('CF(M)'!$L$10:$EQ$10,BB$6,'CF(M)'!$L58:$EQ58)</f>
        <v>0</v>
      </c>
      <c r="BC53" s="171">
        <f>SUMIF('CF(M)'!$L$10:$EQ$10,BC$6,'CF(M)'!$L58:$EQ58)</f>
        <v>0</v>
      </c>
      <c r="BD53" s="171">
        <f>SUMIF('CF(M)'!$L$10:$EQ$10,BD$6,'CF(M)'!$L58:$EQ58)</f>
        <v>0</v>
      </c>
      <c r="BE53" s="171">
        <f>SUMIF('CF(M)'!$L$10:$EQ$10,BE$6,'CF(M)'!$L58:$EQ58)</f>
        <v>0</v>
      </c>
      <c r="BF53" s="171">
        <f>SUMIF('CF(M)'!$L$10:$EQ$10,BF$6,'CF(M)'!$L58:$EQ58)</f>
        <v>0</v>
      </c>
      <c r="BG53" s="171">
        <f>SUMIF('CF(M)'!$L$10:$EQ$10,BG$6,'CF(M)'!$L58:$EQ58)</f>
        <v>0</v>
      </c>
      <c r="BH53" s="171">
        <f>SUMIF('CF(M)'!$L$10:$EQ$10,BH$6,'CF(M)'!$L58:$EQ58)</f>
        <v>0</v>
      </c>
      <c r="BI53" s="171">
        <f>SUMIF('CF(M)'!$L$10:$EQ$10,BI$6,'CF(M)'!$L58:$EQ58)</f>
        <v>0</v>
      </c>
      <c r="BJ53" s="171">
        <f>SUMIF('CF(M)'!$L$10:$EQ$10,BJ$6,'CF(M)'!$L58:$EQ58)</f>
        <v>0</v>
      </c>
      <c r="BK53" s="171">
        <f>SUMIF('CF(M)'!$L$10:$EQ$10,BK$6,'CF(M)'!$L58:$EQ58)</f>
        <v>0</v>
      </c>
      <c r="BL53" s="171">
        <f>SUMIF('CF(M)'!$L$10:$EQ$10,BL$6,'CF(M)'!$L58:$EQ58)</f>
        <v>0</v>
      </c>
      <c r="BM53" s="171">
        <f>SUMIF('CF(M)'!$L$10:$EQ$10,BM$6,'CF(M)'!$L58:$EQ58)</f>
        <v>0</v>
      </c>
      <c r="BN53" s="171">
        <f>SUMIF('CF(M)'!$L$10:$EQ$10,BN$6,'CF(M)'!$L58:$EQ58)</f>
        <v>0</v>
      </c>
      <c r="BO53" s="171">
        <f>SUMIF('CF(M)'!$L$10:$EQ$10,BO$6,'CF(M)'!$L58:$EQ58)</f>
        <v>0</v>
      </c>
      <c r="BP53" s="171">
        <f>SUMIF('CF(M)'!$L$10:$EQ$10,BP$6,'CF(M)'!$L58:$EQ58)</f>
        <v>0</v>
      </c>
      <c r="BQ53" s="171">
        <f>SUMIF('CF(M)'!$L$10:$EQ$10,BQ$6,'CF(M)'!$L58:$EQ58)</f>
        <v>0</v>
      </c>
      <c r="BR53" s="171">
        <f>SUMIF('CF(M)'!$L$10:$EQ$10,BR$6,'CF(M)'!$L58:$EQ58)</f>
        <v>0</v>
      </c>
      <c r="BS53" s="171">
        <f>SUMIF('CF(M)'!$L$10:$EQ$10,BS$6,'CF(M)'!$L58:$EQ58)</f>
        <v>0</v>
      </c>
      <c r="BT53" s="171">
        <f>SUMIF('CF(M)'!$L$10:$EQ$10,BT$6,'CF(M)'!$L58:$EQ58)</f>
        <v>0</v>
      </c>
      <c r="BU53" s="171">
        <f>SUMIF('CF(M)'!$L$10:$EQ$10,BU$6,'CF(M)'!$L58:$EQ58)</f>
        <v>0</v>
      </c>
      <c r="BV53" s="171">
        <f>SUMIF('CF(M)'!$L$10:$EQ$10,BV$6,'CF(M)'!$L58:$EQ58)</f>
        <v>0</v>
      </c>
      <c r="BW53" s="171">
        <f>SUMIF('CF(M)'!$L$10:$EQ$10,BW$6,'CF(M)'!$L58:$EQ58)</f>
        <v>0</v>
      </c>
      <c r="BX53" s="171">
        <f>SUMIF('CF(M)'!$L$10:$EQ$10,BX$6,'CF(M)'!$L58:$EQ58)</f>
        <v>0</v>
      </c>
      <c r="BY53" s="171">
        <f>SUMIF('CF(M)'!$L$10:$EQ$10,BY$6,'CF(M)'!$L58:$EQ58)</f>
        <v>0</v>
      </c>
      <c r="BZ53" s="171">
        <f>SUMIF('CF(M)'!$L$10:$EQ$10,BZ$6,'CF(M)'!$L58:$EQ58)</f>
        <v>0</v>
      </c>
      <c r="CA53" s="171">
        <f>SUMIF('CF(M)'!$L$10:$EQ$10,CA$6,'CF(M)'!$L58:$EQ58)</f>
        <v>0</v>
      </c>
      <c r="CB53" s="171">
        <f>SUMIF('CF(M)'!$L$10:$EQ$10,CB$6,'CF(M)'!$L58:$EQ58)</f>
        <v>0</v>
      </c>
      <c r="CC53" s="171">
        <f>SUMIF('CF(M)'!$L$10:$EQ$10,CC$6,'CF(M)'!$L58:$EQ58)</f>
        <v>0</v>
      </c>
      <c r="CD53" s="171">
        <f>SUMIF('CF(M)'!$L$10:$EQ$10,CD$6,'CF(M)'!$L58:$EQ58)</f>
        <v>0</v>
      </c>
      <c r="CE53" s="171">
        <f>SUMIF('CF(M)'!$L$10:$EQ$10,CE$6,'CF(M)'!$L58:$EQ58)</f>
        <v>0</v>
      </c>
      <c r="CF53" s="171">
        <f>SUMIF('CF(M)'!$L$10:$EQ$10,CF$6,'CF(M)'!$L58:$EQ58)</f>
        <v>0</v>
      </c>
      <c r="CG53" s="171">
        <f>SUMIF('CF(M)'!$L$10:$EQ$10,CG$6,'CF(M)'!$L58:$EQ58)</f>
        <v>0</v>
      </c>
      <c r="CH53" s="171">
        <f>SUMIF('CF(M)'!$L$10:$EQ$10,CH$6,'CF(M)'!$L58:$EQ58)</f>
        <v>0</v>
      </c>
      <c r="CI53" s="171">
        <f>SUMIF('CF(M)'!$L$10:$EQ$10,CI$6,'CF(M)'!$L58:$EQ58)</f>
        <v>0</v>
      </c>
      <c r="CJ53" s="171">
        <f>SUMIF('CF(M)'!$L$10:$EQ$10,CJ$6,'CF(M)'!$L58:$EQ58)</f>
        <v>0</v>
      </c>
      <c r="CK53" s="171">
        <f>SUMIF('CF(M)'!$L$10:$EQ$10,CK$6,'CF(M)'!$L58:$EQ58)</f>
        <v>0</v>
      </c>
      <c r="CL53" s="171">
        <f>SUMIF('CF(M)'!$L$10:$EQ$10,CL$6,'CF(M)'!$L58:$EQ58)</f>
        <v>0</v>
      </c>
      <c r="CM53" s="171">
        <f>SUMIF('CF(M)'!$L$10:$EQ$10,CM$6,'CF(M)'!$L58:$EQ58)</f>
        <v>0</v>
      </c>
      <c r="CN53" s="171">
        <f>SUMIF('CF(M)'!$L$10:$EQ$10,CN$6,'CF(M)'!$L58:$EQ58)</f>
        <v>0</v>
      </c>
      <c r="CO53" s="171">
        <f>SUMIF('CF(M)'!$L$10:$EQ$10,CO$6,'CF(M)'!$L58:$EQ58)</f>
        <v>0</v>
      </c>
      <c r="CP53" s="171">
        <f>SUMIF('CF(M)'!$L$10:$EQ$10,CP$6,'CF(M)'!$L58:$EQ58)</f>
        <v>0</v>
      </c>
      <c r="CQ53" s="171">
        <f>SUMIF('CF(M)'!$L$10:$EQ$10,CQ$6,'CF(M)'!$L58:$EQ58)</f>
        <v>0</v>
      </c>
      <c r="CR53" s="171">
        <f>SUMIF('CF(M)'!$L$10:$EQ$10,CR$6,'CF(M)'!$L58:$EQ58)</f>
        <v>0</v>
      </c>
      <c r="CS53" s="171">
        <f>SUMIF('CF(M)'!$L$10:$EQ$10,CS$6,'CF(M)'!$L58:$EQ58)</f>
        <v>0</v>
      </c>
      <c r="CT53" s="171">
        <f>SUMIF('CF(M)'!$L$10:$EQ$10,CT$6,'CF(M)'!$L58:$EQ58)</f>
        <v>0</v>
      </c>
      <c r="CU53" s="171">
        <f>SUMIF('CF(M)'!$L$10:$EQ$10,CU$6,'CF(M)'!$L58:$EQ58)</f>
        <v>0</v>
      </c>
      <c r="CV53" s="171">
        <f>SUMIF('CF(M)'!$L$10:$EQ$10,CV$6,'CF(M)'!$L58:$EQ58)</f>
        <v>0</v>
      </c>
      <c r="CW53" s="171">
        <f>SUMIF('CF(M)'!$L$10:$EQ$10,CW$6,'CF(M)'!$L58:$EQ58)</f>
        <v>0</v>
      </c>
      <c r="CX53" s="171">
        <f>SUMIF('CF(M)'!$L$10:$EQ$10,CX$6,'CF(M)'!$L58:$EQ58)</f>
        <v>0</v>
      </c>
      <c r="CY53" s="171">
        <f>SUMIF('CF(M)'!$L$10:$EQ$10,CY$6,'CF(M)'!$L58:$EQ58)</f>
        <v>0</v>
      </c>
      <c r="CZ53" s="171">
        <f>SUMIF('CF(M)'!$L$10:$EQ$10,CZ$6,'CF(M)'!$L58:$EQ58)</f>
        <v>0</v>
      </c>
      <c r="DA53" s="171">
        <f>SUMIF('CF(M)'!$L$10:$EQ$10,DA$6,'CF(M)'!$L58:$EQ58)</f>
        <v>0</v>
      </c>
      <c r="DB53" s="171">
        <f>SUMIF('CF(M)'!$L$10:$EQ$10,DB$6,'CF(M)'!$L58:$EQ58)</f>
        <v>0</v>
      </c>
      <c r="DC53" s="171">
        <f>SUMIF('CF(M)'!$L$10:$EQ$10,DC$6,'CF(M)'!$L58:$EQ58)</f>
        <v>0</v>
      </c>
      <c r="DD53" s="171">
        <f>SUMIF('CF(M)'!$L$10:$EQ$10,DD$6,'CF(M)'!$L58:$EQ58)</f>
        <v>0</v>
      </c>
      <c r="DE53" s="171">
        <f>SUMIF('CF(M)'!$L$10:$EQ$10,DE$6,'CF(M)'!$L58:$EQ58)</f>
        <v>0</v>
      </c>
      <c r="DF53" s="171">
        <f>SUMIF('CF(M)'!$L$10:$EQ$10,DF$6,'CF(M)'!$L58:$EQ58)</f>
        <v>0</v>
      </c>
      <c r="DG53" s="171">
        <f>SUMIF('CF(M)'!$L$10:$EQ$10,DG$6,'CF(M)'!$L58:$EQ58)</f>
        <v>0</v>
      </c>
      <c r="DH53" s="171">
        <f>SUMIF('CF(M)'!$L$10:$EQ$10,DH$6,'CF(M)'!$L58:$EQ58)</f>
        <v>0</v>
      </c>
      <c r="DI53" s="171">
        <f>SUMIF('CF(M)'!$L$10:$EQ$10,DI$6,'CF(M)'!$L58:$EQ58)</f>
        <v>0</v>
      </c>
      <c r="DJ53" s="171">
        <f>SUMIF('CF(M)'!$L$10:$EQ$10,DJ$6,'CF(M)'!$L58:$EQ58)</f>
        <v>0</v>
      </c>
      <c r="DK53" s="171">
        <f>SUMIF('CF(M)'!$L$10:$EQ$10,DK$6,'CF(M)'!$L58:$EQ58)</f>
        <v>0</v>
      </c>
      <c r="DL53" s="171">
        <f>SUMIF('CF(M)'!$L$10:$EQ$10,DL$6,'CF(M)'!$L58:$EQ58)</f>
        <v>0</v>
      </c>
      <c r="DM53" s="171">
        <f>SUMIF('CF(M)'!$L$10:$EQ$10,DM$6,'CF(M)'!$L58:$EQ58)</f>
        <v>0</v>
      </c>
      <c r="DN53" s="171">
        <f>SUMIF('CF(M)'!$L$10:$EQ$10,DN$6,'CF(M)'!$L58:$EQ58)</f>
        <v>0</v>
      </c>
      <c r="DO53" s="171">
        <f>SUMIF('CF(M)'!$L$10:$EQ$10,DO$6,'CF(M)'!$L58:$EQ58)</f>
        <v>0</v>
      </c>
      <c r="DP53" s="171">
        <f>SUMIF('CF(M)'!$L$10:$EQ$10,DP$6,'CF(M)'!$L58:$EQ58)</f>
        <v>0</v>
      </c>
      <c r="DQ53" s="171">
        <f>SUMIF('CF(M)'!$L$10:$EQ$10,DQ$6,'CF(M)'!$L58:$EQ58)</f>
        <v>0</v>
      </c>
      <c r="DR53" s="171">
        <f>SUMIF('CF(M)'!$L$10:$EQ$10,DR$6,'CF(M)'!$L58:$EQ58)</f>
        <v>0</v>
      </c>
      <c r="DS53" s="171">
        <f>SUMIF('CF(M)'!$L$10:$EQ$10,DS$6,'CF(M)'!$L58:$EQ58)</f>
        <v>0</v>
      </c>
      <c r="DT53" s="171">
        <f>SUMIF('CF(M)'!$L$10:$EQ$10,DT$6,'CF(M)'!$L58:$EQ58)</f>
        <v>0</v>
      </c>
      <c r="DU53" s="171">
        <f>SUMIF('CF(M)'!$L$10:$EQ$10,DU$6,'CF(M)'!$L58:$EQ58)</f>
        <v>0</v>
      </c>
      <c r="DV53" s="171">
        <f>SUMIF('CF(M)'!$L$10:$EQ$10,DV$6,'CF(M)'!$L58:$EQ58)</f>
        <v>0</v>
      </c>
    </row>
    <row r="54" spans="2:126" ht="11.25" customHeight="1">
      <c r="B54" s="218"/>
      <c r="C54" s="163"/>
      <c r="D54" s="169" t="s">
        <v>202</v>
      </c>
      <c r="H54" s="90"/>
      <c r="I54" s="229">
        <f>-'A&amp;R'!AJ64</f>
        <v>-12480322.596232468</v>
      </c>
      <c r="J54" s="171">
        <f t="shared" si="21"/>
        <v>-12480322.596232468</v>
      </c>
      <c r="K54" s="98"/>
      <c r="L54" s="171">
        <f>SUMIF('CF(M)'!$L$10:$EQ$10,L$6,'CF(M)'!$L59:$EQ59)</f>
        <v>0</v>
      </c>
      <c r="M54" s="171">
        <f>SUMIF('CF(M)'!$L$10:$EQ$10,M$6,'CF(M)'!$L59:$EQ59)</f>
        <v>0</v>
      </c>
      <c r="N54" s="171">
        <f>SUMIF('CF(M)'!$L$10:$EQ$10,N$6,'CF(M)'!$L59:$EQ59)</f>
        <v>0</v>
      </c>
      <c r="O54" s="171">
        <f>SUMIF('CF(M)'!$L$10:$EQ$10,O$6,'CF(M)'!$L59:$EQ59)</f>
        <v>0</v>
      </c>
      <c r="P54" s="171">
        <f>SUMIF('CF(M)'!$L$10:$EQ$10,P$6,'CF(M)'!$L59:$EQ59)</f>
        <v>0</v>
      </c>
      <c r="Q54" s="171">
        <f>SUMIF('CF(M)'!$L$10:$EQ$10,Q$6,'CF(M)'!$L59:$EQ59)</f>
        <v>0</v>
      </c>
      <c r="R54" s="171">
        <f>SUMIF('CF(M)'!$L$10:$EQ$10,R$6,'CF(M)'!$L59:$EQ59)</f>
        <v>0</v>
      </c>
      <c r="S54" s="171">
        <f>SUMIF('CF(M)'!$L$10:$EQ$10,S$6,'CF(M)'!$L59:$EQ59)</f>
        <v>0</v>
      </c>
      <c r="T54" s="171">
        <f>SUMIF('CF(M)'!$L$10:$EQ$10,T$6,'CF(M)'!$L59:$EQ59)</f>
        <v>0</v>
      </c>
      <c r="U54" s="171">
        <f>SUMIF('CF(M)'!$L$10:$EQ$10,U$6,'CF(M)'!$L59:$EQ59)</f>
        <v>0</v>
      </c>
      <c r="V54" s="171">
        <f>SUMIF('CF(M)'!$L$10:$EQ$10,V$6,'CF(M)'!$L59:$EQ59)</f>
        <v>0</v>
      </c>
      <c r="W54" s="171">
        <f>SUMIF('CF(M)'!$L$10:$EQ$10,W$6,'CF(M)'!$L59:$EQ59)</f>
        <v>0</v>
      </c>
      <c r="X54" s="171">
        <f>SUMIF('CF(M)'!$L$10:$EQ$10,X$6,'CF(M)'!$L59:$EQ59)</f>
        <v>0</v>
      </c>
      <c r="Y54" s="171">
        <f>SUMIF('CF(M)'!$L$10:$EQ$10,Y$6,'CF(M)'!$L59:$EQ59)</f>
        <v>0</v>
      </c>
      <c r="Z54" s="171">
        <f>SUMIF('CF(M)'!$L$10:$EQ$10,Z$6,'CF(M)'!$L59:$EQ59)</f>
        <v>0</v>
      </c>
      <c r="AA54" s="171">
        <f>SUMIF('CF(M)'!$L$10:$EQ$10,AA$6,'CF(M)'!$L59:$EQ59)</f>
        <v>0</v>
      </c>
      <c r="AB54" s="171">
        <f>SUMIF('CF(M)'!$L$10:$EQ$10,AB$6,'CF(M)'!$L59:$EQ59)</f>
        <v>0</v>
      </c>
      <c r="AC54" s="171">
        <f>SUMIF('CF(M)'!$L$10:$EQ$10,AC$6,'CF(M)'!$L59:$EQ59)</f>
        <v>0</v>
      </c>
      <c r="AD54" s="171">
        <f>SUMIF('CF(M)'!$L$10:$EQ$10,AD$6,'CF(M)'!$L59:$EQ59)</f>
        <v>0</v>
      </c>
      <c r="AE54" s="171">
        <f>SUMIF('CF(M)'!$L$10:$EQ$10,AE$6,'CF(M)'!$L59:$EQ59)</f>
        <v>0</v>
      </c>
      <c r="AF54" s="171">
        <f>SUMIF('CF(M)'!$L$10:$EQ$10,AF$6,'CF(M)'!$L59:$EQ59)</f>
        <v>-12480322.596232468</v>
      </c>
      <c r="AG54" s="171">
        <f>SUMIF('CF(M)'!$L$10:$EQ$10,AG$6,'CF(M)'!$L59:$EQ59)</f>
        <v>0</v>
      </c>
      <c r="AH54" s="171">
        <f>SUMIF('CF(M)'!$L$10:$EQ$10,AH$6,'CF(M)'!$L59:$EQ59)</f>
        <v>0</v>
      </c>
      <c r="AI54" s="171">
        <f>SUMIF('CF(M)'!$L$10:$EQ$10,AI$6,'CF(M)'!$L59:$EQ59)</f>
        <v>0</v>
      </c>
      <c r="AJ54" s="171">
        <f>SUMIF('CF(M)'!$L$10:$EQ$10,AJ$6,'CF(M)'!$L59:$EQ59)</f>
        <v>0</v>
      </c>
      <c r="AK54" s="171">
        <f>SUMIF('CF(M)'!$L$10:$EQ$10,AK$6,'CF(M)'!$L59:$EQ59)</f>
        <v>0</v>
      </c>
      <c r="AL54" s="171">
        <f>SUMIF('CF(M)'!$L$10:$EQ$10,AL$6,'CF(M)'!$L59:$EQ59)</f>
        <v>0</v>
      </c>
      <c r="AM54" s="171">
        <f>SUMIF('CF(M)'!$L$10:$EQ$10,AM$6,'CF(M)'!$L59:$EQ59)</f>
        <v>0</v>
      </c>
      <c r="AN54" s="171">
        <f>SUMIF('CF(M)'!$L$10:$EQ$10,AN$6,'CF(M)'!$L59:$EQ59)</f>
        <v>0</v>
      </c>
      <c r="AO54" s="171">
        <f>SUMIF('CF(M)'!$L$10:$EQ$10,AO$6,'CF(M)'!$L59:$EQ59)</f>
        <v>0</v>
      </c>
      <c r="AP54" s="171">
        <f>SUMIF('CF(M)'!$L$10:$EQ$10,AP$6,'CF(M)'!$L59:$EQ59)</f>
        <v>0</v>
      </c>
      <c r="AQ54" s="171">
        <f>SUMIF('CF(M)'!$L$10:$EQ$10,AQ$6,'CF(M)'!$L59:$EQ59)</f>
        <v>0</v>
      </c>
      <c r="AR54" s="171">
        <f>SUMIF('CF(M)'!$L$10:$EQ$10,AR$6,'CF(M)'!$L59:$EQ59)</f>
        <v>0</v>
      </c>
      <c r="AS54" s="171">
        <f>SUMIF('CF(M)'!$L$10:$EQ$10,AS$6,'CF(M)'!$L59:$EQ59)</f>
        <v>0</v>
      </c>
      <c r="AT54" s="171">
        <f>SUMIF('CF(M)'!$L$10:$EQ$10,AT$6,'CF(M)'!$L59:$EQ59)</f>
        <v>0</v>
      </c>
      <c r="AU54" s="171">
        <f>SUMIF('CF(M)'!$L$10:$EQ$10,AU$6,'CF(M)'!$L59:$EQ59)</f>
        <v>0</v>
      </c>
      <c r="AV54" s="171">
        <f>SUMIF('CF(M)'!$L$10:$EQ$10,AV$6,'CF(M)'!$L59:$EQ59)</f>
        <v>0</v>
      </c>
      <c r="AW54" s="171">
        <f>SUMIF('CF(M)'!$L$10:$EQ$10,AW$6,'CF(M)'!$L59:$EQ59)</f>
        <v>0</v>
      </c>
      <c r="AX54" s="171">
        <f>SUMIF('CF(M)'!$L$10:$EQ$10,AX$6,'CF(M)'!$L59:$EQ59)</f>
        <v>0</v>
      </c>
      <c r="AY54" s="171">
        <f>SUMIF('CF(M)'!$L$10:$EQ$10,AY$6,'CF(M)'!$L59:$EQ59)</f>
        <v>0</v>
      </c>
      <c r="AZ54" s="171">
        <f>SUMIF('CF(M)'!$L$10:$EQ$10,AZ$6,'CF(M)'!$L59:$EQ59)</f>
        <v>0</v>
      </c>
      <c r="BA54" s="171">
        <f>SUMIF('CF(M)'!$L$10:$EQ$10,BA$6,'CF(M)'!$L59:$EQ59)</f>
        <v>0</v>
      </c>
      <c r="BB54" s="171">
        <f>SUMIF('CF(M)'!$L$10:$EQ$10,BB$6,'CF(M)'!$L59:$EQ59)</f>
        <v>0</v>
      </c>
      <c r="BC54" s="171">
        <f>SUMIF('CF(M)'!$L$10:$EQ$10,BC$6,'CF(M)'!$L59:$EQ59)</f>
        <v>0</v>
      </c>
      <c r="BD54" s="171">
        <f>SUMIF('CF(M)'!$L$10:$EQ$10,BD$6,'CF(M)'!$L59:$EQ59)</f>
        <v>0</v>
      </c>
      <c r="BE54" s="171">
        <f>SUMIF('CF(M)'!$L$10:$EQ$10,BE$6,'CF(M)'!$L59:$EQ59)</f>
        <v>0</v>
      </c>
      <c r="BF54" s="171">
        <f>SUMIF('CF(M)'!$L$10:$EQ$10,BF$6,'CF(M)'!$L59:$EQ59)</f>
        <v>0</v>
      </c>
      <c r="BG54" s="171">
        <f>SUMIF('CF(M)'!$L$10:$EQ$10,BG$6,'CF(M)'!$L59:$EQ59)</f>
        <v>0</v>
      </c>
      <c r="BH54" s="171">
        <f>SUMIF('CF(M)'!$L$10:$EQ$10,BH$6,'CF(M)'!$L59:$EQ59)</f>
        <v>0</v>
      </c>
      <c r="BI54" s="171">
        <f>SUMIF('CF(M)'!$L$10:$EQ$10,BI$6,'CF(M)'!$L59:$EQ59)</f>
        <v>0</v>
      </c>
      <c r="BJ54" s="171">
        <f>SUMIF('CF(M)'!$L$10:$EQ$10,BJ$6,'CF(M)'!$L59:$EQ59)</f>
        <v>0</v>
      </c>
      <c r="BK54" s="171">
        <f>SUMIF('CF(M)'!$L$10:$EQ$10,BK$6,'CF(M)'!$L59:$EQ59)</f>
        <v>0</v>
      </c>
      <c r="BL54" s="171">
        <f>SUMIF('CF(M)'!$L$10:$EQ$10,BL$6,'CF(M)'!$L59:$EQ59)</f>
        <v>0</v>
      </c>
      <c r="BM54" s="171">
        <f>SUMIF('CF(M)'!$L$10:$EQ$10,BM$6,'CF(M)'!$L59:$EQ59)</f>
        <v>0</v>
      </c>
      <c r="BN54" s="171">
        <f>SUMIF('CF(M)'!$L$10:$EQ$10,BN$6,'CF(M)'!$L59:$EQ59)</f>
        <v>0</v>
      </c>
      <c r="BO54" s="171">
        <f>SUMIF('CF(M)'!$L$10:$EQ$10,BO$6,'CF(M)'!$L59:$EQ59)</f>
        <v>0</v>
      </c>
      <c r="BP54" s="171">
        <f>SUMIF('CF(M)'!$L$10:$EQ$10,BP$6,'CF(M)'!$L59:$EQ59)</f>
        <v>0</v>
      </c>
      <c r="BQ54" s="171">
        <f>SUMIF('CF(M)'!$L$10:$EQ$10,BQ$6,'CF(M)'!$L59:$EQ59)</f>
        <v>0</v>
      </c>
      <c r="BR54" s="171">
        <f>SUMIF('CF(M)'!$L$10:$EQ$10,BR$6,'CF(M)'!$L59:$EQ59)</f>
        <v>0</v>
      </c>
      <c r="BS54" s="171">
        <f>SUMIF('CF(M)'!$L$10:$EQ$10,BS$6,'CF(M)'!$L59:$EQ59)</f>
        <v>0</v>
      </c>
      <c r="BT54" s="171">
        <f>SUMIF('CF(M)'!$L$10:$EQ$10,BT$6,'CF(M)'!$L59:$EQ59)</f>
        <v>0</v>
      </c>
      <c r="BU54" s="171">
        <f>SUMIF('CF(M)'!$L$10:$EQ$10,BU$6,'CF(M)'!$L59:$EQ59)</f>
        <v>0</v>
      </c>
      <c r="BV54" s="171">
        <f>SUMIF('CF(M)'!$L$10:$EQ$10,BV$6,'CF(M)'!$L59:$EQ59)</f>
        <v>0</v>
      </c>
      <c r="BW54" s="171">
        <f>SUMIF('CF(M)'!$L$10:$EQ$10,BW$6,'CF(M)'!$L59:$EQ59)</f>
        <v>0</v>
      </c>
      <c r="BX54" s="171">
        <f>SUMIF('CF(M)'!$L$10:$EQ$10,BX$6,'CF(M)'!$L59:$EQ59)</f>
        <v>0</v>
      </c>
      <c r="BY54" s="171">
        <f>SUMIF('CF(M)'!$L$10:$EQ$10,BY$6,'CF(M)'!$L59:$EQ59)</f>
        <v>0</v>
      </c>
      <c r="BZ54" s="171">
        <f>SUMIF('CF(M)'!$L$10:$EQ$10,BZ$6,'CF(M)'!$L59:$EQ59)</f>
        <v>0</v>
      </c>
      <c r="CA54" s="171">
        <f>SUMIF('CF(M)'!$L$10:$EQ$10,CA$6,'CF(M)'!$L59:$EQ59)</f>
        <v>0</v>
      </c>
      <c r="CB54" s="171">
        <f>SUMIF('CF(M)'!$L$10:$EQ$10,CB$6,'CF(M)'!$L59:$EQ59)</f>
        <v>0</v>
      </c>
      <c r="CC54" s="171">
        <f>SUMIF('CF(M)'!$L$10:$EQ$10,CC$6,'CF(M)'!$L59:$EQ59)</f>
        <v>0</v>
      </c>
      <c r="CD54" s="171">
        <f>SUMIF('CF(M)'!$L$10:$EQ$10,CD$6,'CF(M)'!$L59:$EQ59)</f>
        <v>0</v>
      </c>
      <c r="CE54" s="171">
        <f>SUMIF('CF(M)'!$L$10:$EQ$10,CE$6,'CF(M)'!$L59:$EQ59)</f>
        <v>0</v>
      </c>
      <c r="CF54" s="171">
        <f>SUMIF('CF(M)'!$L$10:$EQ$10,CF$6,'CF(M)'!$L59:$EQ59)</f>
        <v>0</v>
      </c>
      <c r="CG54" s="171">
        <f>SUMIF('CF(M)'!$L$10:$EQ$10,CG$6,'CF(M)'!$L59:$EQ59)</f>
        <v>0</v>
      </c>
      <c r="CH54" s="171">
        <f>SUMIF('CF(M)'!$L$10:$EQ$10,CH$6,'CF(M)'!$L59:$EQ59)</f>
        <v>0</v>
      </c>
      <c r="CI54" s="171">
        <f>SUMIF('CF(M)'!$L$10:$EQ$10,CI$6,'CF(M)'!$L59:$EQ59)</f>
        <v>0</v>
      </c>
      <c r="CJ54" s="171">
        <f>SUMIF('CF(M)'!$L$10:$EQ$10,CJ$6,'CF(M)'!$L59:$EQ59)</f>
        <v>0</v>
      </c>
      <c r="CK54" s="171">
        <f>SUMIF('CF(M)'!$L$10:$EQ$10,CK$6,'CF(M)'!$L59:$EQ59)</f>
        <v>0</v>
      </c>
      <c r="CL54" s="171">
        <f>SUMIF('CF(M)'!$L$10:$EQ$10,CL$6,'CF(M)'!$L59:$EQ59)</f>
        <v>0</v>
      </c>
      <c r="CM54" s="171">
        <f>SUMIF('CF(M)'!$L$10:$EQ$10,CM$6,'CF(M)'!$L59:$EQ59)</f>
        <v>0</v>
      </c>
      <c r="CN54" s="171">
        <f>SUMIF('CF(M)'!$L$10:$EQ$10,CN$6,'CF(M)'!$L59:$EQ59)</f>
        <v>0</v>
      </c>
      <c r="CO54" s="171">
        <f>SUMIF('CF(M)'!$L$10:$EQ$10,CO$6,'CF(M)'!$L59:$EQ59)</f>
        <v>0</v>
      </c>
      <c r="CP54" s="171">
        <f>SUMIF('CF(M)'!$L$10:$EQ$10,CP$6,'CF(M)'!$L59:$EQ59)</f>
        <v>0</v>
      </c>
      <c r="CQ54" s="171">
        <f>SUMIF('CF(M)'!$L$10:$EQ$10,CQ$6,'CF(M)'!$L59:$EQ59)</f>
        <v>0</v>
      </c>
      <c r="CR54" s="171">
        <f>SUMIF('CF(M)'!$L$10:$EQ$10,CR$6,'CF(M)'!$L59:$EQ59)</f>
        <v>0</v>
      </c>
      <c r="CS54" s="171">
        <f>SUMIF('CF(M)'!$L$10:$EQ$10,CS$6,'CF(M)'!$L59:$EQ59)</f>
        <v>0</v>
      </c>
      <c r="CT54" s="171">
        <f>SUMIF('CF(M)'!$L$10:$EQ$10,CT$6,'CF(M)'!$L59:$EQ59)</f>
        <v>0</v>
      </c>
      <c r="CU54" s="171">
        <f>SUMIF('CF(M)'!$L$10:$EQ$10,CU$6,'CF(M)'!$L59:$EQ59)</f>
        <v>0</v>
      </c>
      <c r="CV54" s="171">
        <f>SUMIF('CF(M)'!$L$10:$EQ$10,CV$6,'CF(M)'!$L59:$EQ59)</f>
        <v>0</v>
      </c>
      <c r="CW54" s="171">
        <f>SUMIF('CF(M)'!$L$10:$EQ$10,CW$6,'CF(M)'!$L59:$EQ59)</f>
        <v>0</v>
      </c>
      <c r="CX54" s="171">
        <f>SUMIF('CF(M)'!$L$10:$EQ$10,CX$6,'CF(M)'!$L59:$EQ59)</f>
        <v>0</v>
      </c>
      <c r="CY54" s="171">
        <f>SUMIF('CF(M)'!$L$10:$EQ$10,CY$6,'CF(M)'!$L59:$EQ59)</f>
        <v>0</v>
      </c>
      <c r="CZ54" s="171">
        <f>SUMIF('CF(M)'!$L$10:$EQ$10,CZ$6,'CF(M)'!$L59:$EQ59)</f>
        <v>0</v>
      </c>
      <c r="DA54" s="171">
        <f>SUMIF('CF(M)'!$L$10:$EQ$10,DA$6,'CF(M)'!$L59:$EQ59)</f>
        <v>0</v>
      </c>
      <c r="DB54" s="171">
        <f>SUMIF('CF(M)'!$L$10:$EQ$10,DB$6,'CF(M)'!$L59:$EQ59)</f>
        <v>0</v>
      </c>
      <c r="DC54" s="171">
        <f>SUMIF('CF(M)'!$L$10:$EQ$10,DC$6,'CF(M)'!$L59:$EQ59)</f>
        <v>0</v>
      </c>
      <c r="DD54" s="171">
        <f>SUMIF('CF(M)'!$L$10:$EQ$10,DD$6,'CF(M)'!$L59:$EQ59)</f>
        <v>0</v>
      </c>
      <c r="DE54" s="171">
        <f>SUMIF('CF(M)'!$L$10:$EQ$10,DE$6,'CF(M)'!$L59:$EQ59)</f>
        <v>0</v>
      </c>
      <c r="DF54" s="171">
        <f>SUMIF('CF(M)'!$L$10:$EQ$10,DF$6,'CF(M)'!$L59:$EQ59)</f>
        <v>0</v>
      </c>
      <c r="DG54" s="171">
        <f>SUMIF('CF(M)'!$L$10:$EQ$10,DG$6,'CF(M)'!$L59:$EQ59)</f>
        <v>0</v>
      </c>
      <c r="DH54" s="171">
        <f>SUMIF('CF(M)'!$L$10:$EQ$10,DH$6,'CF(M)'!$L59:$EQ59)</f>
        <v>0</v>
      </c>
      <c r="DI54" s="171">
        <f>SUMIF('CF(M)'!$L$10:$EQ$10,DI$6,'CF(M)'!$L59:$EQ59)</f>
        <v>0</v>
      </c>
      <c r="DJ54" s="171">
        <f>SUMIF('CF(M)'!$L$10:$EQ$10,DJ$6,'CF(M)'!$L59:$EQ59)</f>
        <v>0</v>
      </c>
      <c r="DK54" s="171">
        <f>SUMIF('CF(M)'!$L$10:$EQ$10,DK$6,'CF(M)'!$L59:$EQ59)</f>
        <v>0</v>
      </c>
      <c r="DL54" s="171">
        <f>SUMIF('CF(M)'!$L$10:$EQ$10,DL$6,'CF(M)'!$L59:$EQ59)</f>
        <v>0</v>
      </c>
      <c r="DM54" s="171">
        <f>SUMIF('CF(M)'!$L$10:$EQ$10,DM$6,'CF(M)'!$L59:$EQ59)</f>
        <v>0</v>
      </c>
      <c r="DN54" s="171">
        <f>SUMIF('CF(M)'!$L$10:$EQ$10,DN$6,'CF(M)'!$L59:$EQ59)</f>
        <v>0</v>
      </c>
      <c r="DO54" s="171">
        <f>SUMIF('CF(M)'!$L$10:$EQ$10,DO$6,'CF(M)'!$L59:$EQ59)</f>
        <v>0</v>
      </c>
      <c r="DP54" s="171">
        <f>SUMIF('CF(M)'!$L$10:$EQ$10,DP$6,'CF(M)'!$L59:$EQ59)</f>
        <v>0</v>
      </c>
      <c r="DQ54" s="171">
        <f>SUMIF('CF(M)'!$L$10:$EQ$10,DQ$6,'CF(M)'!$L59:$EQ59)</f>
        <v>0</v>
      </c>
      <c r="DR54" s="171">
        <f>SUMIF('CF(M)'!$L$10:$EQ$10,DR$6,'CF(M)'!$L59:$EQ59)</f>
        <v>0</v>
      </c>
      <c r="DS54" s="171">
        <f>SUMIF('CF(M)'!$L$10:$EQ$10,DS$6,'CF(M)'!$L59:$EQ59)</f>
        <v>0</v>
      </c>
      <c r="DT54" s="171">
        <f>SUMIF('CF(M)'!$L$10:$EQ$10,DT$6,'CF(M)'!$L59:$EQ59)</f>
        <v>0</v>
      </c>
      <c r="DU54" s="171">
        <f>SUMIF('CF(M)'!$L$10:$EQ$10,DU$6,'CF(M)'!$L59:$EQ59)</f>
        <v>0</v>
      </c>
      <c r="DV54" s="171">
        <f>SUMIF('CF(M)'!$L$10:$EQ$10,DV$6,'CF(M)'!$L59:$EQ59)</f>
        <v>0</v>
      </c>
    </row>
    <row r="55" spans="2:126" ht="11.25" customHeight="1">
      <c r="B55" s="218"/>
      <c r="C55" s="158" t="s">
        <v>203</v>
      </c>
      <c r="D55" s="159"/>
      <c r="E55" s="159"/>
      <c r="F55" s="159"/>
      <c r="G55" s="159"/>
      <c r="H55" s="160"/>
      <c r="I55" s="219"/>
      <c r="J55" s="220">
        <f>SUM(J56:J61)</f>
        <v>-288900000</v>
      </c>
      <c r="K55" s="98"/>
      <c r="L55" s="162">
        <f>SUM(L56:L61)</f>
        <v>-288900000</v>
      </c>
      <c r="M55" s="162">
        <f t="shared" ref="M55:BX55" si="22">SUM(M56:M61)</f>
        <v>0</v>
      </c>
      <c r="N55" s="162">
        <f t="shared" si="22"/>
        <v>0</v>
      </c>
      <c r="O55" s="162">
        <f t="shared" si="22"/>
        <v>0</v>
      </c>
      <c r="P55" s="162">
        <f t="shared" si="22"/>
        <v>0</v>
      </c>
      <c r="Q55" s="162">
        <f t="shared" si="22"/>
        <v>0</v>
      </c>
      <c r="R55" s="162">
        <f t="shared" si="22"/>
        <v>0</v>
      </c>
      <c r="S55" s="162">
        <f t="shared" si="22"/>
        <v>0</v>
      </c>
      <c r="T55" s="162">
        <f t="shared" si="22"/>
        <v>0</v>
      </c>
      <c r="U55" s="162">
        <f t="shared" si="22"/>
        <v>0</v>
      </c>
      <c r="V55" s="162">
        <f t="shared" si="22"/>
        <v>0</v>
      </c>
      <c r="W55" s="162">
        <f t="shared" si="22"/>
        <v>0</v>
      </c>
      <c r="X55" s="162">
        <f t="shared" si="22"/>
        <v>0</v>
      </c>
      <c r="Y55" s="162">
        <f t="shared" si="22"/>
        <v>0</v>
      </c>
      <c r="Z55" s="162">
        <f t="shared" si="22"/>
        <v>0</v>
      </c>
      <c r="AA55" s="162">
        <f t="shared" si="22"/>
        <v>0</v>
      </c>
      <c r="AB55" s="162">
        <f t="shared" si="22"/>
        <v>0</v>
      </c>
      <c r="AC55" s="162">
        <f t="shared" si="22"/>
        <v>0</v>
      </c>
      <c r="AD55" s="162">
        <f t="shared" si="22"/>
        <v>0</v>
      </c>
      <c r="AE55" s="162">
        <f t="shared" si="22"/>
        <v>0</v>
      </c>
      <c r="AF55" s="162">
        <f t="shared" si="22"/>
        <v>0</v>
      </c>
      <c r="AG55" s="162">
        <f t="shared" si="22"/>
        <v>0</v>
      </c>
      <c r="AH55" s="162">
        <f t="shared" si="22"/>
        <v>0</v>
      </c>
      <c r="AI55" s="162">
        <f t="shared" si="22"/>
        <v>0</v>
      </c>
      <c r="AJ55" s="162">
        <f t="shared" si="22"/>
        <v>0</v>
      </c>
      <c r="AK55" s="162">
        <f t="shared" si="22"/>
        <v>0</v>
      </c>
      <c r="AL55" s="162">
        <f t="shared" si="22"/>
        <v>0</v>
      </c>
      <c r="AM55" s="162">
        <f t="shared" si="22"/>
        <v>0</v>
      </c>
      <c r="AN55" s="162">
        <f t="shared" si="22"/>
        <v>0</v>
      </c>
      <c r="AO55" s="162">
        <f t="shared" si="22"/>
        <v>0</v>
      </c>
      <c r="AP55" s="162">
        <f t="shared" si="22"/>
        <v>0</v>
      </c>
      <c r="AQ55" s="162">
        <f t="shared" si="22"/>
        <v>0</v>
      </c>
      <c r="AR55" s="162">
        <f t="shared" si="22"/>
        <v>0</v>
      </c>
      <c r="AS55" s="162">
        <f t="shared" si="22"/>
        <v>0</v>
      </c>
      <c r="AT55" s="162">
        <f t="shared" si="22"/>
        <v>0</v>
      </c>
      <c r="AU55" s="162">
        <f t="shared" si="22"/>
        <v>0</v>
      </c>
      <c r="AV55" s="162">
        <f t="shared" si="22"/>
        <v>0</v>
      </c>
      <c r="AW55" s="162">
        <f t="shared" si="22"/>
        <v>0</v>
      </c>
      <c r="AX55" s="162">
        <f t="shared" si="22"/>
        <v>0</v>
      </c>
      <c r="AY55" s="162">
        <f t="shared" si="22"/>
        <v>0</v>
      </c>
      <c r="AZ55" s="162">
        <f t="shared" si="22"/>
        <v>0</v>
      </c>
      <c r="BA55" s="162">
        <f t="shared" si="22"/>
        <v>0</v>
      </c>
      <c r="BB55" s="162">
        <f t="shared" si="22"/>
        <v>0</v>
      </c>
      <c r="BC55" s="162">
        <f t="shared" si="22"/>
        <v>0</v>
      </c>
      <c r="BD55" s="162">
        <f t="shared" si="22"/>
        <v>0</v>
      </c>
      <c r="BE55" s="162">
        <f t="shared" si="22"/>
        <v>0</v>
      </c>
      <c r="BF55" s="162">
        <f t="shared" si="22"/>
        <v>0</v>
      </c>
      <c r="BG55" s="162">
        <f t="shared" si="22"/>
        <v>0</v>
      </c>
      <c r="BH55" s="162">
        <f t="shared" si="22"/>
        <v>0</v>
      </c>
      <c r="BI55" s="162">
        <f t="shared" si="22"/>
        <v>0</v>
      </c>
      <c r="BJ55" s="162">
        <f t="shared" si="22"/>
        <v>0</v>
      </c>
      <c r="BK55" s="162">
        <f t="shared" si="22"/>
        <v>0</v>
      </c>
      <c r="BL55" s="162">
        <f t="shared" si="22"/>
        <v>0</v>
      </c>
      <c r="BM55" s="162">
        <f t="shared" si="22"/>
        <v>0</v>
      </c>
      <c r="BN55" s="162">
        <f t="shared" si="22"/>
        <v>0</v>
      </c>
      <c r="BO55" s="162">
        <f t="shared" si="22"/>
        <v>0</v>
      </c>
      <c r="BP55" s="162">
        <f t="shared" si="22"/>
        <v>0</v>
      </c>
      <c r="BQ55" s="162">
        <f t="shared" si="22"/>
        <v>0</v>
      </c>
      <c r="BR55" s="162">
        <f t="shared" si="22"/>
        <v>0</v>
      </c>
      <c r="BS55" s="162">
        <f t="shared" si="22"/>
        <v>0</v>
      </c>
      <c r="BT55" s="162">
        <f t="shared" si="22"/>
        <v>0</v>
      </c>
      <c r="BU55" s="162">
        <f t="shared" si="22"/>
        <v>0</v>
      </c>
      <c r="BV55" s="162">
        <f t="shared" si="22"/>
        <v>0</v>
      </c>
      <c r="BW55" s="162">
        <f t="shared" si="22"/>
        <v>0</v>
      </c>
      <c r="BX55" s="162">
        <f t="shared" si="22"/>
        <v>0</v>
      </c>
      <c r="BY55" s="162">
        <f t="shared" ref="BY55:DV55" si="23">SUM(BY56:BY61)</f>
        <v>0</v>
      </c>
      <c r="BZ55" s="162">
        <f t="shared" si="23"/>
        <v>0</v>
      </c>
      <c r="CA55" s="162">
        <f t="shared" si="23"/>
        <v>0</v>
      </c>
      <c r="CB55" s="162">
        <f t="shared" si="23"/>
        <v>0</v>
      </c>
      <c r="CC55" s="162">
        <f t="shared" si="23"/>
        <v>0</v>
      </c>
      <c r="CD55" s="162">
        <f t="shared" si="23"/>
        <v>0</v>
      </c>
      <c r="CE55" s="162">
        <f t="shared" si="23"/>
        <v>0</v>
      </c>
      <c r="CF55" s="162">
        <f t="shared" si="23"/>
        <v>0</v>
      </c>
      <c r="CG55" s="162">
        <f t="shared" si="23"/>
        <v>0</v>
      </c>
      <c r="CH55" s="162">
        <f t="shared" si="23"/>
        <v>0</v>
      </c>
      <c r="CI55" s="162">
        <f t="shared" si="23"/>
        <v>0</v>
      </c>
      <c r="CJ55" s="162">
        <f t="shared" si="23"/>
        <v>0</v>
      </c>
      <c r="CK55" s="162">
        <f t="shared" si="23"/>
        <v>0</v>
      </c>
      <c r="CL55" s="162">
        <f t="shared" si="23"/>
        <v>0</v>
      </c>
      <c r="CM55" s="162">
        <f t="shared" si="23"/>
        <v>0</v>
      </c>
      <c r="CN55" s="162">
        <f t="shared" si="23"/>
        <v>0</v>
      </c>
      <c r="CO55" s="162">
        <f t="shared" si="23"/>
        <v>0</v>
      </c>
      <c r="CP55" s="162">
        <f t="shared" si="23"/>
        <v>0</v>
      </c>
      <c r="CQ55" s="162">
        <f t="shared" si="23"/>
        <v>0</v>
      </c>
      <c r="CR55" s="162">
        <f t="shared" si="23"/>
        <v>0</v>
      </c>
      <c r="CS55" s="162">
        <f t="shared" si="23"/>
        <v>0</v>
      </c>
      <c r="CT55" s="162">
        <f t="shared" si="23"/>
        <v>0</v>
      </c>
      <c r="CU55" s="162">
        <f t="shared" si="23"/>
        <v>0</v>
      </c>
      <c r="CV55" s="162">
        <f t="shared" si="23"/>
        <v>0</v>
      </c>
      <c r="CW55" s="162">
        <f t="shared" si="23"/>
        <v>0</v>
      </c>
      <c r="CX55" s="162">
        <f t="shared" si="23"/>
        <v>0</v>
      </c>
      <c r="CY55" s="162">
        <f t="shared" si="23"/>
        <v>0</v>
      </c>
      <c r="CZ55" s="162">
        <f t="shared" si="23"/>
        <v>0</v>
      </c>
      <c r="DA55" s="162">
        <f t="shared" si="23"/>
        <v>0</v>
      </c>
      <c r="DB55" s="162">
        <f t="shared" si="23"/>
        <v>0</v>
      </c>
      <c r="DC55" s="162">
        <f t="shared" si="23"/>
        <v>0</v>
      </c>
      <c r="DD55" s="162">
        <f t="shared" si="23"/>
        <v>0</v>
      </c>
      <c r="DE55" s="162">
        <f t="shared" si="23"/>
        <v>0</v>
      </c>
      <c r="DF55" s="162">
        <f t="shared" si="23"/>
        <v>0</v>
      </c>
      <c r="DG55" s="162">
        <f t="shared" si="23"/>
        <v>0</v>
      </c>
      <c r="DH55" s="162">
        <f t="shared" si="23"/>
        <v>0</v>
      </c>
      <c r="DI55" s="162">
        <f t="shared" si="23"/>
        <v>0</v>
      </c>
      <c r="DJ55" s="162">
        <f t="shared" si="23"/>
        <v>0</v>
      </c>
      <c r="DK55" s="162">
        <f t="shared" si="23"/>
        <v>0</v>
      </c>
      <c r="DL55" s="162">
        <f t="shared" si="23"/>
        <v>0</v>
      </c>
      <c r="DM55" s="162">
        <f t="shared" si="23"/>
        <v>0</v>
      </c>
      <c r="DN55" s="162">
        <f t="shared" si="23"/>
        <v>0</v>
      </c>
      <c r="DO55" s="162">
        <f t="shared" si="23"/>
        <v>0</v>
      </c>
      <c r="DP55" s="162">
        <f t="shared" si="23"/>
        <v>0</v>
      </c>
      <c r="DQ55" s="162">
        <f t="shared" si="23"/>
        <v>0</v>
      </c>
      <c r="DR55" s="162">
        <f t="shared" si="23"/>
        <v>0</v>
      </c>
      <c r="DS55" s="162">
        <f t="shared" si="23"/>
        <v>0</v>
      </c>
      <c r="DT55" s="162">
        <f t="shared" si="23"/>
        <v>0</v>
      </c>
      <c r="DU55" s="162">
        <f t="shared" si="23"/>
        <v>0</v>
      </c>
      <c r="DV55" s="162">
        <f t="shared" si="23"/>
        <v>0</v>
      </c>
    </row>
    <row r="56" spans="2:126" ht="11.25" customHeight="1">
      <c r="B56" s="218"/>
      <c r="C56" s="163"/>
      <c r="D56" s="164" t="s">
        <v>171</v>
      </c>
      <c r="E56" s="165"/>
      <c r="F56" s="165"/>
      <c r="G56" s="165"/>
      <c r="H56" s="166"/>
      <c r="I56" s="228"/>
      <c r="J56" s="168">
        <f t="shared" si="21"/>
        <v>-270000000</v>
      </c>
      <c r="K56" s="98"/>
      <c r="L56" s="168">
        <f>SUMIF('CF(M)'!$L$10:$EQ$10,L$6,'CF(M)'!$L61:$EQ61)</f>
        <v>-270000000</v>
      </c>
      <c r="M56" s="168">
        <f>SUMIF('CF(M)'!$L$10:$EQ$10,M$6,'CF(M)'!$L61:$EQ61)</f>
        <v>0</v>
      </c>
      <c r="N56" s="168">
        <f>SUMIF('CF(M)'!$L$10:$EQ$10,N$6,'CF(M)'!$L61:$EQ61)</f>
        <v>0</v>
      </c>
      <c r="O56" s="168">
        <f>SUMIF('CF(M)'!$L$10:$EQ$10,O$6,'CF(M)'!$L61:$EQ61)</f>
        <v>0</v>
      </c>
      <c r="P56" s="168">
        <f>SUMIF('CF(M)'!$L$10:$EQ$10,P$6,'CF(M)'!$L61:$EQ61)</f>
        <v>0</v>
      </c>
      <c r="Q56" s="168">
        <f>SUMIF('CF(M)'!$L$10:$EQ$10,Q$6,'CF(M)'!$L61:$EQ61)</f>
        <v>0</v>
      </c>
      <c r="R56" s="168">
        <f>SUMIF('CF(M)'!$L$10:$EQ$10,R$6,'CF(M)'!$L61:$EQ61)</f>
        <v>0</v>
      </c>
      <c r="S56" s="168">
        <f>SUMIF('CF(M)'!$L$10:$EQ$10,S$6,'CF(M)'!$L61:$EQ61)</f>
        <v>0</v>
      </c>
      <c r="T56" s="168">
        <f>SUMIF('CF(M)'!$L$10:$EQ$10,T$6,'CF(M)'!$L61:$EQ61)</f>
        <v>0</v>
      </c>
      <c r="U56" s="168">
        <f>SUMIF('CF(M)'!$L$10:$EQ$10,U$6,'CF(M)'!$L61:$EQ61)</f>
        <v>0</v>
      </c>
      <c r="V56" s="168">
        <f>SUMIF('CF(M)'!$L$10:$EQ$10,V$6,'CF(M)'!$L61:$EQ61)</f>
        <v>0</v>
      </c>
      <c r="W56" s="168">
        <f>SUMIF('CF(M)'!$L$10:$EQ$10,W$6,'CF(M)'!$L61:$EQ61)</f>
        <v>0</v>
      </c>
      <c r="X56" s="168">
        <f>SUMIF('CF(M)'!$L$10:$EQ$10,X$6,'CF(M)'!$L61:$EQ61)</f>
        <v>0</v>
      </c>
      <c r="Y56" s="168">
        <f>SUMIF('CF(M)'!$L$10:$EQ$10,Y$6,'CF(M)'!$L61:$EQ61)</f>
        <v>0</v>
      </c>
      <c r="Z56" s="168">
        <f>SUMIF('CF(M)'!$L$10:$EQ$10,Z$6,'CF(M)'!$L61:$EQ61)</f>
        <v>0</v>
      </c>
      <c r="AA56" s="168">
        <f>SUMIF('CF(M)'!$L$10:$EQ$10,AA$6,'CF(M)'!$L61:$EQ61)</f>
        <v>0</v>
      </c>
      <c r="AB56" s="168">
        <f>SUMIF('CF(M)'!$L$10:$EQ$10,AB$6,'CF(M)'!$L61:$EQ61)</f>
        <v>0</v>
      </c>
      <c r="AC56" s="168">
        <f>SUMIF('CF(M)'!$L$10:$EQ$10,AC$6,'CF(M)'!$L61:$EQ61)</f>
        <v>0</v>
      </c>
      <c r="AD56" s="168">
        <f>SUMIF('CF(M)'!$L$10:$EQ$10,AD$6,'CF(M)'!$L61:$EQ61)</f>
        <v>0</v>
      </c>
      <c r="AE56" s="168">
        <f>SUMIF('CF(M)'!$L$10:$EQ$10,AE$6,'CF(M)'!$L61:$EQ61)</f>
        <v>0</v>
      </c>
      <c r="AF56" s="168">
        <f>SUMIF('CF(M)'!$L$10:$EQ$10,AF$6,'CF(M)'!$L61:$EQ61)</f>
        <v>0</v>
      </c>
      <c r="AG56" s="168">
        <f>SUMIF('CF(M)'!$L$10:$EQ$10,AG$6,'CF(M)'!$L61:$EQ61)</f>
        <v>0</v>
      </c>
      <c r="AH56" s="168">
        <f>SUMIF('CF(M)'!$L$10:$EQ$10,AH$6,'CF(M)'!$L61:$EQ61)</f>
        <v>0</v>
      </c>
      <c r="AI56" s="168">
        <f>SUMIF('CF(M)'!$L$10:$EQ$10,AI$6,'CF(M)'!$L61:$EQ61)</f>
        <v>0</v>
      </c>
      <c r="AJ56" s="168">
        <f>SUMIF('CF(M)'!$L$10:$EQ$10,AJ$6,'CF(M)'!$L61:$EQ61)</f>
        <v>0</v>
      </c>
      <c r="AK56" s="168">
        <f>SUMIF('CF(M)'!$L$10:$EQ$10,AK$6,'CF(M)'!$L61:$EQ61)</f>
        <v>0</v>
      </c>
      <c r="AL56" s="168">
        <f>SUMIF('CF(M)'!$L$10:$EQ$10,AL$6,'CF(M)'!$L61:$EQ61)</f>
        <v>0</v>
      </c>
      <c r="AM56" s="168">
        <f>SUMIF('CF(M)'!$L$10:$EQ$10,AM$6,'CF(M)'!$L61:$EQ61)</f>
        <v>0</v>
      </c>
      <c r="AN56" s="168">
        <f>SUMIF('CF(M)'!$L$10:$EQ$10,AN$6,'CF(M)'!$L61:$EQ61)</f>
        <v>0</v>
      </c>
      <c r="AO56" s="168">
        <f>SUMIF('CF(M)'!$L$10:$EQ$10,AO$6,'CF(M)'!$L61:$EQ61)</f>
        <v>0</v>
      </c>
      <c r="AP56" s="168">
        <f>SUMIF('CF(M)'!$L$10:$EQ$10,AP$6,'CF(M)'!$L61:$EQ61)</f>
        <v>0</v>
      </c>
      <c r="AQ56" s="168">
        <f>SUMIF('CF(M)'!$L$10:$EQ$10,AQ$6,'CF(M)'!$L61:$EQ61)</f>
        <v>0</v>
      </c>
      <c r="AR56" s="168">
        <f>SUMIF('CF(M)'!$L$10:$EQ$10,AR$6,'CF(M)'!$L61:$EQ61)</f>
        <v>0</v>
      </c>
      <c r="AS56" s="168">
        <f>SUMIF('CF(M)'!$L$10:$EQ$10,AS$6,'CF(M)'!$L61:$EQ61)</f>
        <v>0</v>
      </c>
      <c r="AT56" s="168">
        <f>SUMIF('CF(M)'!$L$10:$EQ$10,AT$6,'CF(M)'!$L61:$EQ61)</f>
        <v>0</v>
      </c>
      <c r="AU56" s="168">
        <f>SUMIF('CF(M)'!$L$10:$EQ$10,AU$6,'CF(M)'!$L61:$EQ61)</f>
        <v>0</v>
      </c>
      <c r="AV56" s="168">
        <f>SUMIF('CF(M)'!$L$10:$EQ$10,AV$6,'CF(M)'!$L61:$EQ61)</f>
        <v>0</v>
      </c>
      <c r="AW56" s="168">
        <f>SUMIF('CF(M)'!$L$10:$EQ$10,AW$6,'CF(M)'!$L61:$EQ61)</f>
        <v>0</v>
      </c>
      <c r="AX56" s="168">
        <f>SUMIF('CF(M)'!$L$10:$EQ$10,AX$6,'CF(M)'!$L61:$EQ61)</f>
        <v>0</v>
      </c>
      <c r="AY56" s="168">
        <f>SUMIF('CF(M)'!$L$10:$EQ$10,AY$6,'CF(M)'!$L61:$EQ61)</f>
        <v>0</v>
      </c>
      <c r="AZ56" s="168">
        <f>SUMIF('CF(M)'!$L$10:$EQ$10,AZ$6,'CF(M)'!$L61:$EQ61)</f>
        <v>0</v>
      </c>
      <c r="BA56" s="168">
        <f>SUMIF('CF(M)'!$L$10:$EQ$10,BA$6,'CF(M)'!$L61:$EQ61)</f>
        <v>0</v>
      </c>
      <c r="BB56" s="168">
        <f>SUMIF('CF(M)'!$L$10:$EQ$10,BB$6,'CF(M)'!$L61:$EQ61)</f>
        <v>0</v>
      </c>
      <c r="BC56" s="168">
        <f>SUMIF('CF(M)'!$L$10:$EQ$10,BC$6,'CF(M)'!$L61:$EQ61)</f>
        <v>0</v>
      </c>
      <c r="BD56" s="168">
        <f>SUMIF('CF(M)'!$L$10:$EQ$10,BD$6,'CF(M)'!$L61:$EQ61)</f>
        <v>0</v>
      </c>
      <c r="BE56" s="168">
        <f>SUMIF('CF(M)'!$L$10:$EQ$10,BE$6,'CF(M)'!$L61:$EQ61)</f>
        <v>0</v>
      </c>
      <c r="BF56" s="168">
        <f>SUMIF('CF(M)'!$L$10:$EQ$10,BF$6,'CF(M)'!$L61:$EQ61)</f>
        <v>0</v>
      </c>
      <c r="BG56" s="168">
        <f>SUMIF('CF(M)'!$L$10:$EQ$10,BG$6,'CF(M)'!$L61:$EQ61)</f>
        <v>0</v>
      </c>
      <c r="BH56" s="168">
        <f>SUMIF('CF(M)'!$L$10:$EQ$10,BH$6,'CF(M)'!$L61:$EQ61)</f>
        <v>0</v>
      </c>
      <c r="BI56" s="168">
        <f>SUMIF('CF(M)'!$L$10:$EQ$10,BI$6,'CF(M)'!$L61:$EQ61)</f>
        <v>0</v>
      </c>
      <c r="BJ56" s="168">
        <f>SUMIF('CF(M)'!$L$10:$EQ$10,BJ$6,'CF(M)'!$L61:$EQ61)</f>
        <v>0</v>
      </c>
      <c r="BK56" s="168">
        <f>SUMIF('CF(M)'!$L$10:$EQ$10,BK$6,'CF(M)'!$L61:$EQ61)</f>
        <v>0</v>
      </c>
      <c r="BL56" s="168">
        <f>SUMIF('CF(M)'!$L$10:$EQ$10,BL$6,'CF(M)'!$L61:$EQ61)</f>
        <v>0</v>
      </c>
      <c r="BM56" s="168">
        <f>SUMIF('CF(M)'!$L$10:$EQ$10,BM$6,'CF(M)'!$L61:$EQ61)</f>
        <v>0</v>
      </c>
      <c r="BN56" s="168">
        <f>SUMIF('CF(M)'!$L$10:$EQ$10,BN$6,'CF(M)'!$L61:$EQ61)</f>
        <v>0</v>
      </c>
      <c r="BO56" s="168">
        <f>SUMIF('CF(M)'!$L$10:$EQ$10,BO$6,'CF(M)'!$L61:$EQ61)</f>
        <v>0</v>
      </c>
      <c r="BP56" s="168">
        <f>SUMIF('CF(M)'!$L$10:$EQ$10,BP$6,'CF(M)'!$L61:$EQ61)</f>
        <v>0</v>
      </c>
      <c r="BQ56" s="168">
        <f>SUMIF('CF(M)'!$L$10:$EQ$10,BQ$6,'CF(M)'!$L61:$EQ61)</f>
        <v>0</v>
      </c>
      <c r="BR56" s="168">
        <f>SUMIF('CF(M)'!$L$10:$EQ$10,BR$6,'CF(M)'!$L61:$EQ61)</f>
        <v>0</v>
      </c>
      <c r="BS56" s="168">
        <f>SUMIF('CF(M)'!$L$10:$EQ$10,BS$6,'CF(M)'!$L61:$EQ61)</f>
        <v>0</v>
      </c>
      <c r="BT56" s="168">
        <f>SUMIF('CF(M)'!$L$10:$EQ$10,BT$6,'CF(M)'!$L61:$EQ61)</f>
        <v>0</v>
      </c>
      <c r="BU56" s="168">
        <f>SUMIF('CF(M)'!$L$10:$EQ$10,BU$6,'CF(M)'!$L61:$EQ61)</f>
        <v>0</v>
      </c>
      <c r="BV56" s="168">
        <f>SUMIF('CF(M)'!$L$10:$EQ$10,BV$6,'CF(M)'!$L61:$EQ61)</f>
        <v>0</v>
      </c>
      <c r="BW56" s="168">
        <f>SUMIF('CF(M)'!$L$10:$EQ$10,BW$6,'CF(M)'!$L61:$EQ61)</f>
        <v>0</v>
      </c>
      <c r="BX56" s="168">
        <f>SUMIF('CF(M)'!$L$10:$EQ$10,BX$6,'CF(M)'!$L61:$EQ61)</f>
        <v>0</v>
      </c>
      <c r="BY56" s="168">
        <f>SUMIF('CF(M)'!$L$10:$EQ$10,BY$6,'CF(M)'!$L61:$EQ61)</f>
        <v>0</v>
      </c>
      <c r="BZ56" s="168">
        <f>SUMIF('CF(M)'!$L$10:$EQ$10,BZ$6,'CF(M)'!$L61:$EQ61)</f>
        <v>0</v>
      </c>
      <c r="CA56" s="168">
        <f>SUMIF('CF(M)'!$L$10:$EQ$10,CA$6,'CF(M)'!$L61:$EQ61)</f>
        <v>0</v>
      </c>
      <c r="CB56" s="168">
        <f>SUMIF('CF(M)'!$L$10:$EQ$10,CB$6,'CF(M)'!$L61:$EQ61)</f>
        <v>0</v>
      </c>
      <c r="CC56" s="168">
        <f>SUMIF('CF(M)'!$L$10:$EQ$10,CC$6,'CF(M)'!$L61:$EQ61)</f>
        <v>0</v>
      </c>
      <c r="CD56" s="168">
        <f>SUMIF('CF(M)'!$L$10:$EQ$10,CD$6,'CF(M)'!$L61:$EQ61)</f>
        <v>0</v>
      </c>
      <c r="CE56" s="168">
        <f>SUMIF('CF(M)'!$L$10:$EQ$10,CE$6,'CF(M)'!$L61:$EQ61)</f>
        <v>0</v>
      </c>
      <c r="CF56" s="168">
        <f>SUMIF('CF(M)'!$L$10:$EQ$10,CF$6,'CF(M)'!$L61:$EQ61)</f>
        <v>0</v>
      </c>
      <c r="CG56" s="168">
        <f>SUMIF('CF(M)'!$L$10:$EQ$10,CG$6,'CF(M)'!$L61:$EQ61)</f>
        <v>0</v>
      </c>
      <c r="CH56" s="168">
        <f>SUMIF('CF(M)'!$L$10:$EQ$10,CH$6,'CF(M)'!$L61:$EQ61)</f>
        <v>0</v>
      </c>
      <c r="CI56" s="168">
        <f>SUMIF('CF(M)'!$L$10:$EQ$10,CI$6,'CF(M)'!$L61:$EQ61)</f>
        <v>0</v>
      </c>
      <c r="CJ56" s="168">
        <f>SUMIF('CF(M)'!$L$10:$EQ$10,CJ$6,'CF(M)'!$L61:$EQ61)</f>
        <v>0</v>
      </c>
      <c r="CK56" s="168">
        <f>SUMIF('CF(M)'!$L$10:$EQ$10,CK$6,'CF(M)'!$L61:$EQ61)</f>
        <v>0</v>
      </c>
      <c r="CL56" s="168">
        <f>SUMIF('CF(M)'!$L$10:$EQ$10,CL$6,'CF(M)'!$L61:$EQ61)</f>
        <v>0</v>
      </c>
      <c r="CM56" s="168">
        <f>SUMIF('CF(M)'!$L$10:$EQ$10,CM$6,'CF(M)'!$L61:$EQ61)</f>
        <v>0</v>
      </c>
      <c r="CN56" s="168">
        <f>SUMIF('CF(M)'!$L$10:$EQ$10,CN$6,'CF(M)'!$L61:$EQ61)</f>
        <v>0</v>
      </c>
      <c r="CO56" s="168">
        <f>SUMIF('CF(M)'!$L$10:$EQ$10,CO$6,'CF(M)'!$L61:$EQ61)</f>
        <v>0</v>
      </c>
      <c r="CP56" s="168">
        <f>SUMIF('CF(M)'!$L$10:$EQ$10,CP$6,'CF(M)'!$L61:$EQ61)</f>
        <v>0</v>
      </c>
      <c r="CQ56" s="168">
        <f>SUMIF('CF(M)'!$L$10:$EQ$10,CQ$6,'CF(M)'!$L61:$EQ61)</f>
        <v>0</v>
      </c>
      <c r="CR56" s="168">
        <f>SUMIF('CF(M)'!$L$10:$EQ$10,CR$6,'CF(M)'!$L61:$EQ61)</f>
        <v>0</v>
      </c>
      <c r="CS56" s="168">
        <f>SUMIF('CF(M)'!$L$10:$EQ$10,CS$6,'CF(M)'!$L61:$EQ61)</f>
        <v>0</v>
      </c>
      <c r="CT56" s="168">
        <f>SUMIF('CF(M)'!$L$10:$EQ$10,CT$6,'CF(M)'!$L61:$EQ61)</f>
        <v>0</v>
      </c>
      <c r="CU56" s="168">
        <f>SUMIF('CF(M)'!$L$10:$EQ$10,CU$6,'CF(M)'!$L61:$EQ61)</f>
        <v>0</v>
      </c>
      <c r="CV56" s="168">
        <f>SUMIF('CF(M)'!$L$10:$EQ$10,CV$6,'CF(M)'!$L61:$EQ61)</f>
        <v>0</v>
      </c>
      <c r="CW56" s="168">
        <f>SUMIF('CF(M)'!$L$10:$EQ$10,CW$6,'CF(M)'!$L61:$EQ61)</f>
        <v>0</v>
      </c>
      <c r="CX56" s="168">
        <f>SUMIF('CF(M)'!$L$10:$EQ$10,CX$6,'CF(M)'!$L61:$EQ61)</f>
        <v>0</v>
      </c>
      <c r="CY56" s="168">
        <f>SUMIF('CF(M)'!$L$10:$EQ$10,CY$6,'CF(M)'!$L61:$EQ61)</f>
        <v>0</v>
      </c>
      <c r="CZ56" s="168">
        <f>SUMIF('CF(M)'!$L$10:$EQ$10,CZ$6,'CF(M)'!$L61:$EQ61)</f>
        <v>0</v>
      </c>
      <c r="DA56" s="168">
        <f>SUMIF('CF(M)'!$L$10:$EQ$10,DA$6,'CF(M)'!$L61:$EQ61)</f>
        <v>0</v>
      </c>
      <c r="DB56" s="168">
        <f>SUMIF('CF(M)'!$L$10:$EQ$10,DB$6,'CF(M)'!$L61:$EQ61)</f>
        <v>0</v>
      </c>
      <c r="DC56" s="168">
        <f>SUMIF('CF(M)'!$L$10:$EQ$10,DC$6,'CF(M)'!$L61:$EQ61)</f>
        <v>0</v>
      </c>
      <c r="DD56" s="168">
        <f>SUMIF('CF(M)'!$L$10:$EQ$10,DD$6,'CF(M)'!$L61:$EQ61)</f>
        <v>0</v>
      </c>
      <c r="DE56" s="168">
        <f>SUMIF('CF(M)'!$L$10:$EQ$10,DE$6,'CF(M)'!$L61:$EQ61)</f>
        <v>0</v>
      </c>
      <c r="DF56" s="168">
        <f>SUMIF('CF(M)'!$L$10:$EQ$10,DF$6,'CF(M)'!$L61:$EQ61)</f>
        <v>0</v>
      </c>
      <c r="DG56" s="168">
        <f>SUMIF('CF(M)'!$L$10:$EQ$10,DG$6,'CF(M)'!$L61:$EQ61)</f>
        <v>0</v>
      </c>
      <c r="DH56" s="168">
        <f>SUMIF('CF(M)'!$L$10:$EQ$10,DH$6,'CF(M)'!$L61:$EQ61)</f>
        <v>0</v>
      </c>
      <c r="DI56" s="168">
        <f>SUMIF('CF(M)'!$L$10:$EQ$10,DI$6,'CF(M)'!$L61:$EQ61)</f>
        <v>0</v>
      </c>
      <c r="DJ56" s="168">
        <f>SUMIF('CF(M)'!$L$10:$EQ$10,DJ$6,'CF(M)'!$L61:$EQ61)</f>
        <v>0</v>
      </c>
      <c r="DK56" s="168">
        <f>SUMIF('CF(M)'!$L$10:$EQ$10,DK$6,'CF(M)'!$L61:$EQ61)</f>
        <v>0</v>
      </c>
      <c r="DL56" s="168">
        <f>SUMIF('CF(M)'!$L$10:$EQ$10,DL$6,'CF(M)'!$L61:$EQ61)</f>
        <v>0</v>
      </c>
      <c r="DM56" s="168">
        <f>SUMIF('CF(M)'!$L$10:$EQ$10,DM$6,'CF(M)'!$L61:$EQ61)</f>
        <v>0</v>
      </c>
      <c r="DN56" s="168">
        <f>SUMIF('CF(M)'!$L$10:$EQ$10,DN$6,'CF(M)'!$L61:$EQ61)</f>
        <v>0</v>
      </c>
      <c r="DO56" s="168">
        <f>SUMIF('CF(M)'!$L$10:$EQ$10,DO$6,'CF(M)'!$L61:$EQ61)</f>
        <v>0</v>
      </c>
      <c r="DP56" s="168">
        <f>SUMIF('CF(M)'!$L$10:$EQ$10,DP$6,'CF(M)'!$L61:$EQ61)</f>
        <v>0</v>
      </c>
      <c r="DQ56" s="168">
        <f>SUMIF('CF(M)'!$L$10:$EQ$10,DQ$6,'CF(M)'!$L61:$EQ61)</f>
        <v>0</v>
      </c>
      <c r="DR56" s="168">
        <f>SUMIF('CF(M)'!$L$10:$EQ$10,DR$6,'CF(M)'!$L61:$EQ61)</f>
        <v>0</v>
      </c>
      <c r="DS56" s="168">
        <f>SUMIF('CF(M)'!$L$10:$EQ$10,DS$6,'CF(M)'!$L61:$EQ61)</f>
        <v>0</v>
      </c>
      <c r="DT56" s="168">
        <f>SUMIF('CF(M)'!$L$10:$EQ$10,DT$6,'CF(M)'!$L61:$EQ61)</f>
        <v>0</v>
      </c>
      <c r="DU56" s="168">
        <f>SUMIF('CF(M)'!$L$10:$EQ$10,DU$6,'CF(M)'!$L61:$EQ61)</f>
        <v>0</v>
      </c>
      <c r="DV56" s="168">
        <f>SUMIF('CF(M)'!$L$10:$EQ$10,DV$6,'CF(M)'!$L61:$EQ61)</f>
        <v>0</v>
      </c>
    </row>
    <row r="57" spans="2:126" ht="11.25" customHeight="1">
      <c r="B57" s="218"/>
      <c r="C57" s="163"/>
      <c r="D57" s="169" t="s">
        <v>249</v>
      </c>
      <c r="H57" s="146"/>
      <c r="I57" s="229"/>
      <c r="J57" s="171">
        <f t="shared" si="21"/>
        <v>-1350000</v>
      </c>
      <c r="K57" s="98"/>
      <c r="L57" s="171">
        <f>SUMIF('CF(M)'!$L$10:$EQ$10,L$6,'CF(M)'!$L62:$EQ62)</f>
        <v>-1350000</v>
      </c>
      <c r="M57" s="171">
        <f>SUMIF('CF(M)'!$L$10:$EQ$10,M$6,'CF(M)'!$L62:$EQ62)</f>
        <v>0</v>
      </c>
      <c r="N57" s="171">
        <f>SUMIF('CF(M)'!$L$10:$EQ$10,N$6,'CF(M)'!$L62:$EQ62)</f>
        <v>0</v>
      </c>
      <c r="O57" s="171">
        <f>SUMIF('CF(M)'!$L$10:$EQ$10,O$6,'CF(M)'!$L62:$EQ62)</f>
        <v>0</v>
      </c>
      <c r="P57" s="171">
        <f>SUMIF('CF(M)'!$L$10:$EQ$10,P$6,'CF(M)'!$L62:$EQ62)</f>
        <v>0</v>
      </c>
      <c r="Q57" s="171">
        <f>SUMIF('CF(M)'!$L$10:$EQ$10,Q$6,'CF(M)'!$L62:$EQ62)</f>
        <v>0</v>
      </c>
      <c r="R57" s="171">
        <f>SUMIF('CF(M)'!$L$10:$EQ$10,R$6,'CF(M)'!$L62:$EQ62)</f>
        <v>0</v>
      </c>
      <c r="S57" s="171">
        <f>SUMIF('CF(M)'!$L$10:$EQ$10,S$6,'CF(M)'!$L62:$EQ62)</f>
        <v>0</v>
      </c>
      <c r="T57" s="171">
        <f>SUMIF('CF(M)'!$L$10:$EQ$10,T$6,'CF(M)'!$L62:$EQ62)</f>
        <v>0</v>
      </c>
      <c r="U57" s="171">
        <f>SUMIF('CF(M)'!$L$10:$EQ$10,U$6,'CF(M)'!$L62:$EQ62)</f>
        <v>0</v>
      </c>
      <c r="V57" s="171">
        <f>SUMIF('CF(M)'!$L$10:$EQ$10,V$6,'CF(M)'!$L62:$EQ62)</f>
        <v>0</v>
      </c>
      <c r="W57" s="171">
        <f>SUMIF('CF(M)'!$L$10:$EQ$10,W$6,'CF(M)'!$L62:$EQ62)</f>
        <v>0</v>
      </c>
      <c r="X57" s="171">
        <f>SUMIF('CF(M)'!$L$10:$EQ$10,X$6,'CF(M)'!$L62:$EQ62)</f>
        <v>0</v>
      </c>
      <c r="Y57" s="171">
        <f>SUMIF('CF(M)'!$L$10:$EQ$10,Y$6,'CF(M)'!$L62:$EQ62)</f>
        <v>0</v>
      </c>
      <c r="Z57" s="171">
        <f>SUMIF('CF(M)'!$L$10:$EQ$10,Z$6,'CF(M)'!$L62:$EQ62)</f>
        <v>0</v>
      </c>
      <c r="AA57" s="171">
        <f>SUMIF('CF(M)'!$L$10:$EQ$10,AA$6,'CF(M)'!$L62:$EQ62)</f>
        <v>0</v>
      </c>
      <c r="AB57" s="171">
        <f>SUMIF('CF(M)'!$L$10:$EQ$10,AB$6,'CF(M)'!$L62:$EQ62)</f>
        <v>0</v>
      </c>
      <c r="AC57" s="171">
        <f>SUMIF('CF(M)'!$L$10:$EQ$10,AC$6,'CF(M)'!$L62:$EQ62)</f>
        <v>0</v>
      </c>
      <c r="AD57" s="171">
        <f>SUMIF('CF(M)'!$L$10:$EQ$10,AD$6,'CF(M)'!$L62:$EQ62)</f>
        <v>0</v>
      </c>
      <c r="AE57" s="171">
        <f>SUMIF('CF(M)'!$L$10:$EQ$10,AE$6,'CF(M)'!$L62:$EQ62)</f>
        <v>0</v>
      </c>
      <c r="AF57" s="171">
        <f>SUMIF('CF(M)'!$L$10:$EQ$10,AF$6,'CF(M)'!$L62:$EQ62)</f>
        <v>0</v>
      </c>
      <c r="AG57" s="171">
        <f>SUMIF('CF(M)'!$L$10:$EQ$10,AG$6,'CF(M)'!$L62:$EQ62)</f>
        <v>0</v>
      </c>
      <c r="AH57" s="171">
        <f>SUMIF('CF(M)'!$L$10:$EQ$10,AH$6,'CF(M)'!$L62:$EQ62)</f>
        <v>0</v>
      </c>
      <c r="AI57" s="171">
        <f>SUMIF('CF(M)'!$L$10:$EQ$10,AI$6,'CF(M)'!$L62:$EQ62)</f>
        <v>0</v>
      </c>
      <c r="AJ57" s="171">
        <f>SUMIF('CF(M)'!$L$10:$EQ$10,AJ$6,'CF(M)'!$L62:$EQ62)</f>
        <v>0</v>
      </c>
      <c r="AK57" s="171">
        <f>SUMIF('CF(M)'!$L$10:$EQ$10,AK$6,'CF(M)'!$L62:$EQ62)</f>
        <v>0</v>
      </c>
      <c r="AL57" s="171">
        <f>SUMIF('CF(M)'!$L$10:$EQ$10,AL$6,'CF(M)'!$L62:$EQ62)</f>
        <v>0</v>
      </c>
      <c r="AM57" s="171">
        <f>SUMIF('CF(M)'!$L$10:$EQ$10,AM$6,'CF(M)'!$L62:$EQ62)</f>
        <v>0</v>
      </c>
      <c r="AN57" s="171">
        <f>SUMIF('CF(M)'!$L$10:$EQ$10,AN$6,'CF(M)'!$L62:$EQ62)</f>
        <v>0</v>
      </c>
      <c r="AO57" s="171">
        <f>SUMIF('CF(M)'!$L$10:$EQ$10,AO$6,'CF(M)'!$L62:$EQ62)</f>
        <v>0</v>
      </c>
      <c r="AP57" s="171">
        <f>SUMIF('CF(M)'!$L$10:$EQ$10,AP$6,'CF(M)'!$L62:$EQ62)</f>
        <v>0</v>
      </c>
      <c r="AQ57" s="171">
        <f>SUMIF('CF(M)'!$L$10:$EQ$10,AQ$6,'CF(M)'!$L62:$EQ62)</f>
        <v>0</v>
      </c>
      <c r="AR57" s="171">
        <f>SUMIF('CF(M)'!$L$10:$EQ$10,AR$6,'CF(M)'!$L62:$EQ62)</f>
        <v>0</v>
      </c>
      <c r="AS57" s="171">
        <f>SUMIF('CF(M)'!$L$10:$EQ$10,AS$6,'CF(M)'!$L62:$EQ62)</f>
        <v>0</v>
      </c>
      <c r="AT57" s="171">
        <f>SUMIF('CF(M)'!$L$10:$EQ$10,AT$6,'CF(M)'!$L62:$EQ62)</f>
        <v>0</v>
      </c>
      <c r="AU57" s="171">
        <f>SUMIF('CF(M)'!$L$10:$EQ$10,AU$6,'CF(M)'!$L62:$EQ62)</f>
        <v>0</v>
      </c>
      <c r="AV57" s="171">
        <f>SUMIF('CF(M)'!$L$10:$EQ$10,AV$6,'CF(M)'!$L62:$EQ62)</f>
        <v>0</v>
      </c>
      <c r="AW57" s="171">
        <f>SUMIF('CF(M)'!$L$10:$EQ$10,AW$6,'CF(M)'!$L62:$EQ62)</f>
        <v>0</v>
      </c>
      <c r="AX57" s="171">
        <f>SUMIF('CF(M)'!$L$10:$EQ$10,AX$6,'CF(M)'!$L62:$EQ62)</f>
        <v>0</v>
      </c>
      <c r="AY57" s="171">
        <f>SUMIF('CF(M)'!$L$10:$EQ$10,AY$6,'CF(M)'!$L62:$EQ62)</f>
        <v>0</v>
      </c>
      <c r="AZ57" s="171">
        <f>SUMIF('CF(M)'!$L$10:$EQ$10,AZ$6,'CF(M)'!$L62:$EQ62)</f>
        <v>0</v>
      </c>
      <c r="BA57" s="171">
        <f>SUMIF('CF(M)'!$L$10:$EQ$10,BA$6,'CF(M)'!$L62:$EQ62)</f>
        <v>0</v>
      </c>
      <c r="BB57" s="171">
        <f>SUMIF('CF(M)'!$L$10:$EQ$10,BB$6,'CF(M)'!$L62:$EQ62)</f>
        <v>0</v>
      </c>
      <c r="BC57" s="171">
        <f>SUMIF('CF(M)'!$L$10:$EQ$10,BC$6,'CF(M)'!$L62:$EQ62)</f>
        <v>0</v>
      </c>
      <c r="BD57" s="171">
        <f>SUMIF('CF(M)'!$L$10:$EQ$10,BD$6,'CF(M)'!$L62:$EQ62)</f>
        <v>0</v>
      </c>
      <c r="BE57" s="171">
        <f>SUMIF('CF(M)'!$L$10:$EQ$10,BE$6,'CF(M)'!$L62:$EQ62)</f>
        <v>0</v>
      </c>
      <c r="BF57" s="171">
        <f>SUMIF('CF(M)'!$L$10:$EQ$10,BF$6,'CF(M)'!$L62:$EQ62)</f>
        <v>0</v>
      </c>
      <c r="BG57" s="171">
        <f>SUMIF('CF(M)'!$L$10:$EQ$10,BG$6,'CF(M)'!$L62:$EQ62)</f>
        <v>0</v>
      </c>
      <c r="BH57" s="171">
        <f>SUMIF('CF(M)'!$L$10:$EQ$10,BH$6,'CF(M)'!$L62:$EQ62)</f>
        <v>0</v>
      </c>
      <c r="BI57" s="171">
        <f>SUMIF('CF(M)'!$L$10:$EQ$10,BI$6,'CF(M)'!$L62:$EQ62)</f>
        <v>0</v>
      </c>
      <c r="BJ57" s="171">
        <f>SUMIF('CF(M)'!$L$10:$EQ$10,BJ$6,'CF(M)'!$L62:$EQ62)</f>
        <v>0</v>
      </c>
      <c r="BK57" s="171">
        <f>SUMIF('CF(M)'!$L$10:$EQ$10,BK$6,'CF(M)'!$L62:$EQ62)</f>
        <v>0</v>
      </c>
      <c r="BL57" s="171">
        <f>SUMIF('CF(M)'!$L$10:$EQ$10,BL$6,'CF(M)'!$L62:$EQ62)</f>
        <v>0</v>
      </c>
      <c r="BM57" s="171">
        <f>SUMIF('CF(M)'!$L$10:$EQ$10,BM$6,'CF(M)'!$L62:$EQ62)</f>
        <v>0</v>
      </c>
      <c r="BN57" s="171">
        <f>SUMIF('CF(M)'!$L$10:$EQ$10,BN$6,'CF(M)'!$L62:$EQ62)</f>
        <v>0</v>
      </c>
      <c r="BO57" s="171">
        <f>SUMIF('CF(M)'!$L$10:$EQ$10,BO$6,'CF(M)'!$L62:$EQ62)</f>
        <v>0</v>
      </c>
      <c r="BP57" s="171">
        <f>SUMIF('CF(M)'!$L$10:$EQ$10,BP$6,'CF(M)'!$L62:$EQ62)</f>
        <v>0</v>
      </c>
      <c r="BQ57" s="171">
        <f>SUMIF('CF(M)'!$L$10:$EQ$10,BQ$6,'CF(M)'!$L62:$EQ62)</f>
        <v>0</v>
      </c>
      <c r="BR57" s="171">
        <f>SUMIF('CF(M)'!$L$10:$EQ$10,BR$6,'CF(M)'!$L62:$EQ62)</f>
        <v>0</v>
      </c>
      <c r="BS57" s="171">
        <f>SUMIF('CF(M)'!$L$10:$EQ$10,BS$6,'CF(M)'!$L62:$EQ62)</f>
        <v>0</v>
      </c>
      <c r="BT57" s="171">
        <f>SUMIF('CF(M)'!$L$10:$EQ$10,BT$6,'CF(M)'!$L62:$EQ62)</f>
        <v>0</v>
      </c>
      <c r="BU57" s="171">
        <f>SUMIF('CF(M)'!$L$10:$EQ$10,BU$6,'CF(M)'!$L62:$EQ62)</f>
        <v>0</v>
      </c>
      <c r="BV57" s="171">
        <f>SUMIF('CF(M)'!$L$10:$EQ$10,BV$6,'CF(M)'!$L62:$EQ62)</f>
        <v>0</v>
      </c>
      <c r="BW57" s="171">
        <f>SUMIF('CF(M)'!$L$10:$EQ$10,BW$6,'CF(M)'!$L62:$EQ62)</f>
        <v>0</v>
      </c>
      <c r="BX57" s="171">
        <f>SUMIF('CF(M)'!$L$10:$EQ$10,BX$6,'CF(M)'!$L62:$EQ62)</f>
        <v>0</v>
      </c>
      <c r="BY57" s="171">
        <f>SUMIF('CF(M)'!$L$10:$EQ$10,BY$6,'CF(M)'!$L62:$EQ62)</f>
        <v>0</v>
      </c>
      <c r="BZ57" s="171">
        <f>SUMIF('CF(M)'!$L$10:$EQ$10,BZ$6,'CF(M)'!$L62:$EQ62)</f>
        <v>0</v>
      </c>
      <c r="CA57" s="171">
        <f>SUMIF('CF(M)'!$L$10:$EQ$10,CA$6,'CF(M)'!$L62:$EQ62)</f>
        <v>0</v>
      </c>
      <c r="CB57" s="171">
        <f>SUMIF('CF(M)'!$L$10:$EQ$10,CB$6,'CF(M)'!$L62:$EQ62)</f>
        <v>0</v>
      </c>
      <c r="CC57" s="171">
        <f>SUMIF('CF(M)'!$L$10:$EQ$10,CC$6,'CF(M)'!$L62:$EQ62)</f>
        <v>0</v>
      </c>
      <c r="CD57" s="171">
        <f>SUMIF('CF(M)'!$L$10:$EQ$10,CD$6,'CF(M)'!$L62:$EQ62)</f>
        <v>0</v>
      </c>
      <c r="CE57" s="171">
        <f>SUMIF('CF(M)'!$L$10:$EQ$10,CE$6,'CF(M)'!$L62:$EQ62)</f>
        <v>0</v>
      </c>
      <c r="CF57" s="171">
        <f>SUMIF('CF(M)'!$L$10:$EQ$10,CF$6,'CF(M)'!$L62:$EQ62)</f>
        <v>0</v>
      </c>
      <c r="CG57" s="171">
        <f>SUMIF('CF(M)'!$L$10:$EQ$10,CG$6,'CF(M)'!$L62:$EQ62)</f>
        <v>0</v>
      </c>
      <c r="CH57" s="171">
        <f>SUMIF('CF(M)'!$L$10:$EQ$10,CH$6,'CF(M)'!$L62:$EQ62)</f>
        <v>0</v>
      </c>
      <c r="CI57" s="171">
        <f>SUMIF('CF(M)'!$L$10:$EQ$10,CI$6,'CF(M)'!$L62:$EQ62)</f>
        <v>0</v>
      </c>
      <c r="CJ57" s="171">
        <f>SUMIF('CF(M)'!$L$10:$EQ$10,CJ$6,'CF(M)'!$L62:$EQ62)</f>
        <v>0</v>
      </c>
      <c r="CK57" s="171">
        <f>SUMIF('CF(M)'!$L$10:$EQ$10,CK$6,'CF(M)'!$L62:$EQ62)</f>
        <v>0</v>
      </c>
      <c r="CL57" s="171">
        <f>SUMIF('CF(M)'!$L$10:$EQ$10,CL$6,'CF(M)'!$L62:$EQ62)</f>
        <v>0</v>
      </c>
      <c r="CM57" s="171">
        <f>SUMIF('CF(M)'!$L$10:$EQ$10,CM$6,'CF(M)'!$L62:$EQ62)</f>
        <v>0</v>
      </c>
      <c r="CN57" s="171">
        <f>SUMIF('CF(M)'!$L$10:$EQ$10,CN$6,'CF(M)'!$L62:$EQ62)</f>
        <v>0</v>
      </c>
      <c r="CO57" s="171">
        <f>SUMIF('CF(M)'!$L$10:$EQ$10,CO$6,'CF(M)'!$L62:$EQ62)</f>
        <v>0</v>
      </c>
      <c r="CP57" s="171">
        <f>SUMIF('CF(M)'!$L$10:$EQ$10,CP$6,'CF(M)'!$L62:$EQ62)</f>
        <v>0</v>
      </c>
      <c r="CQ57" s="171">
        <f>SUMIF('CF(M)'!$L$10:$EQ$10,CQ$6,'CF(M)'!$L62:$EQ62)</f>
        <v>0</v>
      </c>
      <c r="CR57" s="171">
        <f>SUMIF('CF(M)'!$L$10:$EQ$10,CR$6,'CF(M)'!$L62:$EQ62)</f>
        <v>0</v>
      </c>
      <c r="CS57" s="171">
        <f>SUMIF('CF(M)'!$L$10:$EQ$10,CS$6,'CF(M)'!$L62:$EQ62)</f>
        <v>0</v>
      </c>
      <c r="CT57" s="171">
        <f>SUMIF('CF(M)'!$L$10:$EQ$10,CT$6,'CF(M)'!$L62:$EQ62)</f>
        <v>0</v>
      </c>
      <c r="CU57" s="171">
        <f>SUMIF('CF(M)'!$L$10:$EQ$10,CU$6,'CF(M)'!$L62:$EQ62)</f>
        <v>0</v>
      </c>
      <c r="CV57" s="171">
        <f>SUMIF('CF(M)'!$L$10:$EQ$10,CV$6,'CF(M)'!$L62:$EQ62)</f>
        <v>0</v>
      </c>
      <c r="CW57" s="171">
        <f>SUMIF('CF(M)'!$L$10:$EQ$10,CW$6,'CF(M)'!$L62:$EQ62)</f>
        <v>0</v>
      </c>
      <c r="CX57" s="171">
        <f>SUMIF('CF(M)'!$L$10:$EQ$10,CX$6,'CF(M)'!$L62:$EQ62)</f>
        <v>0</v>
      </c>
      <c r="CY57" s="171">
        <f>SUMIF('CF(M)'!$L$10:$EQ$10,CY$6,'CF(M)'!$L62:$EQ62)</f>
        <v>0</v>
      </c>
      <c r="CZ57" s="171">
        <f>SUMIF('CF(M)'!$L$10:$EQ$10,CZ$6,'CF(M)'!$L62:$EQ62)</f>
        <v>0</v>
      </c>
      <c r="DA57" s="171">
        <f>SUMIF('CF(M)'!$L$10:$EQ$10,DA$6,'CF(M)'!$L62:$EQ62)</f>
        <v>0</v>
      </c>
      <c r="DB57" s="171">
        <f>SUMIF('CF(M)'!$L$10:$EQ$10,DB$6,'CF(M)'!$L62:$EQ62)</f>
        <v>0</v>
      </c>
      <c r="DC57" s="171">
        <f>SUMIF('CF(M)'!$L$10:$EQ$10,DC$6,'CF(M)'!$L62:$EQ62)</f>
        <v>0</v>
      </c>
      <c r="DD57" s="171">
        <f>SUMIF('CF(M)'!$L$10:$EQ$10,DD$6,'CF(M)'!$L62:$EQ62)</f>
        <v>0</v>
      </c>
      <c r="DE57" s="171">
        <f>SUMIF('CF(M)'!$L$10:$EQ$10,DE$6,'CF(M)'!$L62:$EQ62)</f>
        <v>0</v>
      </c>
      <c r="DF57" s="171">
        <f>SUMIF('CF(M)'!$L$10:$EQ$10,DF$6,'CF(M)'!$L62:$EQ62)</f>
        <v>0</v>
      </c>
      <c r="DG57" s="171">
        <f>SUMIF('CF(M)'!$L$10:$EQ$10,DG$6,'CF(M)'!$L62:$EQ62)</f>
        <v>0</v>
      </c>
      <c r="DH57" s="171">
        <f>SUMIF('CF(M)'!$L$10:$EQ$10,DH$6,'CF(M)'!$L62:$EQ62)</f>
        <v>0</v>
      </c>
      <c r="DI57" s="171">
        <f>SUMIF('CF(M)'!$L$10:$EQ$10,DI$6,'CF(M)'!$L62:$EQ62)</f>
        <v>0</v>
      </c>
      <c r="DJ57" s="171">
        <f>SUMIF('CF(M)'!$L$10:$EQ$10,DJ$6,'CF(M)'!$L62:$EQ62)</f>
        <v>0</v>
      </c>
      <c r="DK57" s="171">
        <f>SUMIF('CF(M)'!$L$10:$EQ$10,DK$6,'CF(M)'!$L62:$EQ62)</f>
        <v>0</v>
      </c>
      <c r="DL57" s="171">
        <f>SUMIF('CF(M)'!$L$10:$EQ$10,DL$6,'CF(M)'!$L62:$EQ62)</f>
        <v>0</v>
      </c>
      <c r="DM57" s="171">
        <f>SUMIF('CF(M)'!$L$10:$EQ$10,DM$6,'CF(M)'!$L62:$EQ62)</f>
        <v>0</v>
      </c>
      <c r="DN57" s="171">
        <f>SUMIF('CF(M)'!$L$10:$EQ$10,DN$6,'CF(M)'!$L62:$EQ62)</f>
        <v>0</v>
      </c>
      <c r="DO57" s="171">
        <f>SUMIF('CF(M)'!$L$10:$EQ$10,DO$6,'CF(M)'!$L62:$EQ62)</f>
        <v>0</v>
      </c>
      <c r="DP57" s="171">
        <f>SUMIF('CF(M)'!$L$10:$EQ$10,DP$6,'CF(M)'!$L62:$EQ62)</f>
        <v>0</v>
      </c>
      <c r="DQ57" s="171">
        <f>SUMIF('CF(M)'!$L$10:$EQ$10,DQ$6,'CF(M)'!$L62:$EQ62)</f>
        <v>0</v>
      </c>
      <c r="DR57" s="171">
        <f>SUMIF('CF(M)'!$L$10:$EQ$10,DR$6,'CF(M)'!$L62:$EQ62)</f>
        <v>0</v>
      </c>
      <c r="DS57" s="171">
        <f>SUMIF('CF(M)'!$L$10:$EQ$10,DS$6,'CF(M)'!$L62:$EQ62)</f>
        <v>0</v>
      </c>
      <c r="DT57" s="171">
        <f>SUMIF('CF(M)'!$L$10:$EQ$10,DT$6,'CF(M)'!$L62:$EQ62)</f>
        <v>0</v>
      </c>
      <c r="DU57" s="171">
        <f>SUMIF('CF(M)'!$L$10:$EQ$10,DU$6,'CF(M)'!$L62:$EQ62)</f>
        <v>0</v>
      </c>
      <c r="DV57" s="171">
        <f>SUMIF('CF(M)'!$L$10:$EQ$10,DV$6,'CF(M)'!$L62:$EQ62)</f>
        <v>0</v>
      </c>
    </row>
    <row r="58" spans="2:126" ht="11.25" customHeight="1">
      <c r="B58" s="218"/>
      <c r="C58" s="163"/>
      <c r="D58" s="169" t="s">
        <v>175</v>
      </c>
      <c r="H58" s="146"/>
      <c r="I58" s="229"/>
      <c r="J58" s="171">
        <f t="shared" si="21"/>
        <v>-346315.1</v>
      </c>
      <c r="K58" s="98"/>
      <c r="L58" s="171">
        <f>SUMIF('CF(M)'!$L$10:$EQ$10,L$6,'CF(M)'!$L63:$EQ63)</f>
        <v>-346315.1</v>
      </c>
      <c r="M58" s="171">
        <f>SUMIF('CF(M)'!$L$10:$EQ$10,M$6,'CF(M)'!$L63:$EQ63)</f>
        <v>0</v>
      </c>
      <c r="N58" s="171">
        <f>SUMIF('CF(M)'!$L$10:$EQ$10,N$6,'CF(M)'!$L63:$EQ63)</f>
        <v>0</v>
      </c>
      <c r="O58" s="171">
        <f>SUMIF('CF(M)'!$L$10:$EQ$10,O$6,'CF(M)'!$L63:$EQ63)</f>
        <v>0</v>
      </c>
      <c r="P58" s="171">
        <f>SUMIF('CF(M)'!$L$10:$EQ$10,P$6,'CF(M)'!$L63:$EQ63)</f>
        <v>0</v>
      </c>
      <c r="Q58" s="171">
        <f>SUMIF('CF(M)'!$L$10:$EQ$10,Q$6,'CF(M)'!$L63:$EQ63)</f>
        <v>0</v>
      </c>
      <c r="R58" s="171">
        <f>SUMIF('CF(M)'!$L$10:$EQ$10,R$6,'CF(M)'!$L63:$EQ63)</f>
        <v>0</v>
      </c>
      <c r="S58" s="171">
        <f>SUMIF('CF(M)'!$L$10:$EQ$10,S$6,'CF(M)'!$L63:$EQ63)</f>
        <v>0</v>
      </c>
      <c r="T58" s="171">
        <f>SUMIF('CF(M)'!$L$10:$EQ$10,T$6,'CF(M)'!$L63:$EQ63)</f>
        <v>0</v>
      </c>
      <c r="U58" s="171">
        <f>SUMIF('CF(M)'!$L$10:$EQ$10,U$6,'CF(M)'!$L63:$EQ63)</f>
        <v>0</v>
      </c>
      <c r="V58" s="171">
        <f>SUMIF('CF(M)'!$L$10:$EQ$10,V$6,'CF(M)'!$L63:$EQ63)</f>
        <v>0</v>
      </c>
      <c r="W58" s="171">
        <f>SUMIF('CF(M)'!$L$10:$EQ$10,W$6,'CF(M)'!$L63:$EQ63)</f>
        <v>0</v>
      </c>
      <c r="X58" s="171">
        <f>SUMIF('CF(M)'!$L$10:$EQ$10,X$6,'CF(M)'!$L63:$EQ63)</f>
        <v>0</v>
      </c>
      <c r="Y58" s="171">
        <f>SUMIF('CF(M)'!$L$10:$EQ$10,Y$6,'CF(M)'!$L63:$EQ63)</f>
        <v>0</v>
      </c>
      <c r="Z58" s="171">
        <f>SUMIF('CF(M)'!$L$10:$EQ$10,Z$6,'CF(M)'!$L63:$EQ63)</f>
        <v>0</v>
      </c>
      <c r="AA58" s="171">
        <f>SUMIF('CF(M)'!$L$10:$EQ$10,AA$6,'CF(M)'!$L63:$EQ63)</f>
        <v>0</v>
      </c>
      <c r="AB58" s="171">
        <f>SUMIF('CF(M)'!$L$10:$EQ$10,AB$6,'CF(M)'!$L63:$EQ63)</f>
        <v>0</v>
      </c>
      <c r="AC58" s="171">
        <f>SUMIF('CF(M)'!$L$10:$EQ$10,AC$6,'CF(M)'!$L63:$EQ63)</f>
        <v>0</v>
      </c>
      <c r="AD58" s="171">
        <f>SUMIF('CF(M)'!$L$10:$EQ$10,AD$6,'CF(M)'!$L63:$EQ63)</f>
        <v>0</v>
      </c>
      <c r="AE58" s="171">
        <f>SUMIF('CF(M)'!$L$10:$EQ$10,AE$6,'CF(M)'!$L63:$EQ63)</f>
        <v>0</v>
      </c>
      <c r="AF58" s="171">
        <f>SUMIF('CF(M)'!$L$10:$EQ$10,AF$6,'CF(M)'!$L63:$EQ63)</f>
        <v>0</v>
      </c>
      <c r="AG58" s="171">
        <f>SUMIF('CF(M)'!$L$10:$EQ$10,AG$6,'CF(M)'!$L63:$EQ63)</f>
        <v>0</v>
      </c>
      <c r="AH58" s="171">
        <f>SUMIF('CF(M)'!$L$10:$EQ$10,AH$6,'CF(M)'!$L63:$EQ63)</f>
        <v>0</v>
      </c>
      <c r="AI58" s="171">
        <f>SUMIF('CF(M)'!$L$10:$EQ$10,AI$6,'CF(M)'!$L63:$EQ63)</f>
        <v>0</v>
      </c>
      <c r="AJ58" s="171">
        <f>SUMIF('CF(M)'!$L$10:$EQ$10,AJ$6,'CF(M)'!$L63:$EQ63)</f>
        <v>0</v>
      </c>
      <c r="AK58" s="171">
        <f>SUMIF('CF(M)'!$L$10:$EQ$10,AK$6,'CF(M)'!$L63:$EQ63)</f>
        <v>0</v>
      </c>
      <c r="AL58" s="171">
        <f>SUMIF('CF(M)'!$L$10:$EQ$10,AL$6,'CF(M)'!$L63:$EQ63)</f>
        <v>0</v>
      </c>
      <c r="AM58" s="171">
        <f>SUMIF('CF(M)'!$L$10:$EQ$10,AM$6,'CF(M)'!$L63:$EQ63)</f>
        <v>0</v>
      </c>
      <c r="AN58" s="171">
        <f>SUMIF('CF(M)'!$L$10:$EQ$10,AN$6,'CF(M)'!$L63:$EQ63)</f>
        <v>0</v>
      </c>
      <c r="AO58" s="171">
        <f>SUMIF('CF(M)'!$L$10:$EQ$10,AO$6,'CF(M)'!$L63:$EQ63)</f>
        <v>0</v>
      </c>
      <c r="AP58" s="171">
        <f>SUMIF('CF(M)'!$L$10:$EQ$10,AP$6,'CF(M)'!$L63:$EQ63)</f>
        <v>0</v>
      </c>
      <c r="AQ58" s="171">
        <f>SUMIF('CF(M)'!$L$10:$EQ$10,AQ$6,'CF(M)'!$L63:$EQ63)</f>
        <v>0</v>
      </c>
      <c r="AR58" s="171">
        <f>SUMIF('CF(M)'!$L$10:$EQ$10,AR$6,'CF(M)'!$L63:$EQ63)</f>
        <v>0</v>
      </c>
      <c r="AS58" s="171">
        <f>SUMIF('CF(M)'!$L$10:$EQ$10,AS$6,'CF(M)'!$L63:$EQ63)</f>
        <v>0</v>
      </c>
      <c r="AT58" s="171">
        <f>SUMIF('CF(M)'!$L$10:$EQ$10,AT$6,'CF(M)'!$L63:$EQ63)</f>
        <v>0</v>
      </c>
      <c r="AU58" s="171">
        <f>SUMIF('CF(M)'!$L$10:$EQ$10,AU$6,'CF(M)'!$L63:$EQ63)</f>
        <v>0</v>
      </c>
      <c r="AV58" s="171">
        <f>SUMIF('CF(M)'!$L$10:$EQ$10,AV$6,'CF(M)'!$L63:$EQ63)</f>
        <v>0</v>
      </c>
      <c r="AW58" s="171">
        <f>SUMIF('CF(M)'!$L$10:$EQ$10,AW$6,'CF(M)'!$L63:$EQ63)</f>
        <v>0</v>
      </c>
      <c r="AX58" s="171">
        <f>SUMIF('CF(M)'!$L$10:$EQ$10,AX$6,'CF(M)'!$L63:$EQ63)</f>
        <v>0</v>
      </c>
      <c r="AY58" s="171">
        <f>SUMIF('CF(M)'!$L$10:$EQ$10,AY$6,'CF(M)'!$L63:$EQ63)</f>
        <v>0</v>
      </c>
      <c r="AZ58" s="171">
        <f>SUMIF('CF(M)'!$L$10:$EQ$10,AZ$6,'CF(M)'!$L63:$EQ63)</f>
        <v>0</v>
      </c>
      <c r="BA58" s="171">
        <f>SUMIF('CF(M)'!$L$10:$EQ$10,BA$6,'CF(M)'!$L63:$EQ63)</f>
        <v>0</v>
      </c>
      <c r="BB58" s="171">
        <f>SUMIF('CF(M)'!$L$10:$EQ$10,BB$6,'CF(M)'!$L63:$EQ63)</f>
        <v>0</v>
      </c>
      <c r="BC58" s="171">
        <f>SUMIF('CF(M)'!$L$10:$EQ$10,BC$6,'CF(M)'!$L63:$EQ63)</f>
        <v>0</v>
      </c>
      <c r="BD58" s="171">
        <f>SUMIF('CF(M)'!$L$10:$EQ$10,BD$6,'CF(M)'!$L63:$EQ63)</f>
        <v>0</v>
      </c>
      <c r="BE58" s="171">
        <f>SUMIF('CF(M)'!$L$10:$EQ$10,BE$6,'CF(M)'!$L63:$EQ63)</f>
        <v>0</v>
      </c>
      <c r="BF58" s="171">
        <f>SUMIF('CF(M)'!$L$10:$EQ$10,BF$6,'CF(M)'!$L63:$EQ63)</f>
        <v>0</v>
      </c>
      <c r="BG58" s="171">
        <f>SUMIF('CF(M)'!$L$10:$EQ$10,BG$6,'CF(M)'!$L63:$EQ63)</f>
        <v>0</v>
      </c>
      <c r="BH58" s="171">
        <f>SUMIF('CF(M)'!$L$10:$EQ$10,BH$6,'CF(M)'!$L63:$EQ63)</f>
        <v>0</v>
      </c>
      <c r="BI58" s="171">
        <f>SUMIF('CF(M)'!$L$10:$EQ$10,BI$6,'CF(M)'!$L63:$EQ63)</f>
        <v>0</v>
      </c>
      <c r="BJ58" s="171">
        <f>SUMIF('CF(M)'!$L$10:$EQ$10,BJ$6,'CF(M)'!$L63:$EQ63)</f>
        <v>0</v>
      </c>
      <c r="BK58" s="171">
        <f>SUMIF('CF(M)'!$L$10:$EQ$10,BK$6,'CF(M)'!$L63:$EQ63)</f>
        <v>0</v>
      </c>
      <c r="BL58" s="171">
        <f>SUMIF('CF(M)'!$L$10:$EQ$10,BL$6,'CF(M)'!$L63:$EQ63)</f>
        <v>0</v>
      </c>
      <c r="BM58" s="171">
        <f>SUMIF('CF(M)'!$L$10:$EQ$10,BM$6,'CF(M)'!$L63:$EQ63)</f>
        <v>0</v>
      </c>
      <c r="BN58" s="171">
        <f>SUMIF('CF(M)'!$L$10:$EQ$10,BN$6,'CF(M)'!$L63:$EQ63)</f>
        <v>0</v>
      </c>
      <c r="BO58" s="171">
        <f>SUMIF('CF(M)'!$L$10:$EQ$10,BO$6,'CF(M)'!$L63:$EQ63)</f>
        <v>0</v>
      </c>
      <c r="BP58" s="171">
        <f>SUMIF('CF(M)'!$L$10:$EQ$10,BP$6,'CF(M)'!$L63:$EQ63)</f>
        <v>0</v>
      </c>
      <c r="BQ58" s="171">
        <f>SUMIF('CF(M)'!$L$10:$EQ$10,BQ$6,'CF(M)'!$L63:$EQ63)</f>
        <v>0</v>
      </c>
      <c r="BR58" s="171">
        <f>SUMIF('CF(M)'!$L$10:$EQ$10,BR$6,'CF(M)'!$L63:$EQ63)</f>
        <v>0</v>
      </c>
      <c r="BS58" s="171">
        <f>SUMIF('CF(M)'!$L$10:$EQ$10,BS$6,'CF(M)'!$L63:$EQ63)</f>
        <v>0</v>
      </c>
      <c r="BT58" s="171">
        <f>SUMIF('CF(M)'!$L$10:$EQ$10,BT$6,'CF(M)'!$L63:$EQ63)</f>
        <v>0</v>
      </c>
      <c r="BU58" s="171">
        <f>SUMIF('CF(M)'!$L$10:$EQ$10,BU$6,'CF(M)'!$L63:$EQ63)</f>
        <v>0</v>
      </c>
      <c r="BV58" s="171">
        <f>SUMIF('CF(M)'!$L$10:$EQ$10,BV$6,'CF(M)'!$L63:$EQ63)</f>
        <v>0</v>
      </c>
      <c r="BW58" s="171">
        <f>SUMIF('CF(M)'!$L$10:$EQ$10,BW$6,'CF(M)'!$L63:$EQ63)</f>
        <v>0</v>
      </c>
      <c r="BX58" s="171">
        <f>SUMIF('CF(M)'!$L$10:$EQ$10,BX$6,'CF(M)'!$L63:$EQ63)</f>
        <v>0</v>
      </c>
      <c r="BY58" s="171">
        <f>SUMIF('CF(M)'!$L$10:$EQ$10,BY$6,'CF(M)'!$L63:$EQ63)</f>
        <v>0</v>
      </c>
      <c r="BZ58" s="171">
        <f>SUMIF('CF(M)'!$L$10:$EQ$10,BZ$6,'CF(M)'!$L63:$EQ63)</f>
        <v>0</v>
      </c>
      <c r="CA58" s="171">
        <f>SUMIF('CF(M)'!$L$10:$EQ$10,CA$6,'CF(M)'!$L63:$EQ63)</f>
        <v>0</v>
      </c>
      <c r="CB58" s="171">
        <f>SUMIF('CF(M)'!$L$10:$EQ$10,CB$6,'CF(M)'!$L63:$EQ63)</f>
        <v>0</v>
      </c>
      <c r="CC58" s="171">
        <f>SUMIF('CF(M)'!$L$10:$EQ$10,CC$6,'CF(M)'!$L63:$EQ63)</f>
        <v>0</v>
      </c>
      <c r="CD58" s="171">
        <f>SUMIF('CF(M)'!$L$10:$EQ$10,CD$6,'CF(M)'!$L63:$EQ63)</f>
        <v>0</v>
      </c>
      <c r="CE58" s="171">
        <f>SUMIF('CF(M)'!$L$10:$EQ$10,CE$6,'CF(M)'!$L63:$EQ63)</f>
        <v>0</v>
      </c>
      <c r="CF58" s="171">
        <f>SUMIF('CF(M)'!$L$10:$EQ$10,CF$6,'CF(M)'!$L63:$EQ63)</f>
        <v>0</v>
      </c>
      <c r="CG58" s="171">
        <f>SUMIF('CF(M)'!$L$10:$EQ$10,CG$6,'CF(M)'!$L63:$EQ63)</f>
        <v>0</v>
      </c>
      <c r="CH58" s="171">
        <f>SUMIF('CF(M)'!$L$10:$EQ$10,CH$6,'CF(M)'!$L63:$EQ63)</f>
        <v>0</v>
      </c>
      <c r="CI58" s="171">
        <f>SUMIF('CF(M)'!$L$10:$EQ$10,CI$6,'CF(M)'!$L63:$EQ63)</f>
        <v>0</v>
      </c>
      <c r="CJ58" s="171">
        <f>SUMIF('CF(M)'!$L$10:$EQ$10,CJ$6,'CF(M)'!$L63:$EQ63)</f>
        <v>0</v>
      </c>
      <c r="CK58" s="171">
        <f>SUMIF('CF(M)'!$L$10:$EQ$10,CK$6,'CF(M)'!$L63:$EQ63)</f>
        <v>0</v>
      </c>
      <c r="CL58" s="171">
        <f>SUMIF('CF(M)'!$L$10:$EQ$10,CL$6,'CF(M)'!$L63:$EQ63)</f>
        <v>0</v>
      </c>
      <c r="CM58" s="171">
        <f>SUMIF('CF(M)'!$L$10:$EQ$10,CM$6,'CF(M)'!$L63:$EQ63)</f>
        <v>0</v>
      </c>
      <c r="CN58" s="171">
        <f>SUMIF('CF(M)'!$L$10:$EQ$10,CN$6,'CF(M)'!$L63:$EQ63)</f>
        <v>0</v>
      </c>
      <c r="CO58" s="171">
        <f>SUMIF('CF(M)'!$L$10:$EQ$10,CO$6,'CF(M)'!$L63:$EQ63)</f>
        <v>0</v>
      </c>
      <c r="CP58" s="171">
        <f>SUMIF('CF(M)'!$L$10:$EQ$10,CP$6,'CF(M)'!$L63:$EQ63)</f>
        <v>0</v>
      </c>
      <c r="CQ58" s="171">
        <f>SUMIF('CF(M)'!$L$10:$EQ$10,CQ$6,'CF(M)'!$L63:$EQ63)</f>
        <v>0</v>
      </c>
      <c r="CR58" s="171">
        <f>SUMIF('CF(M)'!$L$10:$EQ$10,CR$6,'CF(M)'!$L63:$EQ63)</f>
        <v>0</v>
      </c>
      <c r="CS58" s="171">
        <f>SUMIF('CF(M)'!$L$10:$EQ$10,CS$6,'CF(M)'!$L63:$EQ63)</f>
        <v>0</v>
      </c>
      <c r="CT58" s="171">
        <f>SUMIF('CF(M)'!$L$10:$EQ$10,CT$6,'CF(M)'!$L63:$EQ63)</f>
        <v>0</v>
      </c>
      <c r="CU58" s="171">
        <f>SUMIF('CF(M)'!$L$10:$EQ$10,CU$6,'CF(M)'!$L63:$EQ63)</f>
        <v>0</v>
      </c>
      <c r="CV58" s="171">
        <f>SUMIF('CF(M)'!$L$10:$EQ$10,CV$6,'CF(M)'!$L63:$EQ63)</f>
        <v>0</v>
      </c>
      <c r="CW58" s="171">
        <f>SUMIF('CF(M)'!$L$10:$EQ$10,CW$6,'CF(M)'!$L63:$EQ63)</f>
        <v>0</v>
      </c>
      <c r="CX58" s="171">
        <f>SUMIF('CF(M)'!$L$10:$EQ$10,CX$6,'CF(M)'!$L63:$EQ63)</f>
        <v>0</v>
      </c>
      <c r="CY58" s="171">
        <f>SUMIF('CF(M)'!$L$10:$EQ$10,CY$6,'CF(M)'!$L63:$EQ63)</f>
        <v>0</v>
      </c>
      <c r="CZ58" s="171">
        <f>SUMIF('CF(M)'!$L$10:$EQ$10,CZ$6,'CF(M)'!$L63:$EQ63)</f>
        <v>0</v>
      </c>
      <c r="DA58" s="171">
        <f>SUMIF('CF(M)'!$L$10:$EQ$10,DA$6,'CF(M)'!$L63:$EQ63)</f>
        <v>0</v>
      </c>
      <c r="DB58" s="171">
        <f>SUMIF('CF(M)'!$L$10:$EQ$10,DB$6,'CF(M)'!$L63:$EQ63)</f>
        <v>0</v>
      </c>
      <c r="DC58" s="171">
        <f>SUMIF('CF(M)'!$L$10:$EQ$10,DC$6,'CF(M)'!$L63:$EQ63)</f>
        <v>0</v>
      </c>
      <c r="DD58" s="171">
        <f>SUMIF('CF(M)'!$L$10:$EQ$10,DD$6,'CF(M)'!$L63:$EQ63)</f>
        <v>0</v>
      </c>
      <c r="DE58" s="171">
        <f>SUMIF('CF(M)'!$L$10:$EQ$10,DE$6,'CF(M)'!$L63:$EQ63)</f>
        <v>0</v>
      </c>
      <c r="DF58" s="171">
        <f>SUMIF('CF(M)'!$L$10:$EQ$10,DF$6,'CF(M)'!$L63:$EQ63)</f>
        <v>0</v>
      </c>
      <c r="DG58" s="171">
        <f>SUMIF('CF(M)'!$L$10:$EQ$10,DG$6,'CF(M)'!$L63:$EQ63)</f>
        <v>0</v>
      </c>
      <c r="DH58" s="171">
        <f>SUMIF('CF(M)'!$L$10:$EQ$10,DH$6,'CF(M)'!$L63:$EQ63)</f>
        <v>0</v>
      </c>
      <c r="DI58" s="171">
        <f>SUMIF('CF(M)'!$L$10:$EQ$10,DI$6,'CF(M)'!$L63:$EQ63)</f>
        <v>0</v>
      </c>
      <c r="DJ58" s="171">
        <f>SUMIF('CF(M)'!$L$10:$EQ$10,DJ$6,'CF(M)'!$L63:$EQ63)</f>
        <v>0</v>
      </c>
      <c r="DK58" s="171">
        <f>SUMIF('CF(M)'!$L$10:$EQ$10,DK$6,'CF(M)'!$L63:$EQ63)</f>
        <v>0</v>
      </c>
      <c r="DL58" s="171">
        <f>SUMIF('CF(M)'!$L$10:$EQ$10,DL$6,'CF(M)'!$L63:$EQ63)</f>
        <v>0</v>
      </c>
      <c r="DM58" s="171">
        <f>SUMIF('CF(M)'!$L$10:$EQ$10,DM$6,'CF(M)'!$L63:$EQ63)</f>
        <v>0</v>
      </c>
      <c r="DN58" s="171">
        <f>SUMIF('CF(M)'!$L$10:$EQ$10,DN$6,'CF(M)'!$L63:$EQ63)</f>
        <v>0</v>
      </c>
      <c r="DO58" s="171">
        <f>SUMIF('CF(M)'!$L$10:$EQ$10,DO$6,'CF(M)'!$L63:$EQ63)</f>
        <v>0</v>
      </c>
      <c r="DP58" s="171">
        <f>SUMIF('CF(M)'!$L$10:$EQ$10,DP$6,'CF(M)'!$L63:$EQ63)</f>
        <v>0</v>
      </c>
      <c r="DQ58" s="171">
        <f>SUMIF('CF(M)'!$L$10:$EQ$10,DQ$6,'CF(M)'!$L63:$EQ63)</f>
        <v>0</v>
      </c>
      <c r="DR58" s="171">
        <f>SUMIF('CF(M)'!$L$10:$EQ$10,DR$6,'CF(M)'!$L63:$EQ63)</f>
        <v>0</v>
      </c>
      <c r="DS58" s="171">
        <f>SUMIF('CF(M)'!$L$10:$EQ$10,DS$6,'CF(M)'!$L63:$EQ63)</f>
        <v>0</v>
      </c>
      <c r="DT58" s="171">
        <f>SUMIF('CF(M)'!$L$10:$EQ$10,DT$6,'CF(M)'!$L63:$EQ63)</f>
        <v>0</v>
      </c>
      <c r="DU58" s="171">
        <f>SUMIF('CF(M)'!$L$10:$EQ$10,DU$6,'CF(M)'!$L63:$EQ63)</f>
        <v>0</v>
      </c>
      <c r="DV58" s="171">
        <f>SUMIF('CF(M)'!$L$10:$EQ$10,DV$6,'CF(M)'!$L63:$EQ63)</f>
        <v>0</v>
      </c>
    </row>
    <row r="59" spans="2:126" ht="11.25" customHeight="1">
      <c r="B59" s="218"/>
      <c r="C59" s="163"/>
      <c r="D59" s="169" t="s">
        <v>176</v>
      </c>
      <c r="H59" s="90"/>
      <c r="I59" s="229"/>
      <c r="J59" s="171">
        <f t="shared" si="21"/>
        <v>-12578300.125132002</v>
      </c>
      <c r="K59" s="98"/>
      <c r="L59" s="171">
        <f>SUMIF('CF(M)'!$L$10:$EQ$10,L$6,'CF(M)'!$L64:$EQ64)</f>
        <v>-12578300.125132002</v>
      </c>
      <c r="M59" s="171">
        <f>SUMIF('CF(M)'!$L$10:$EQ$10,M$6,'CF(M)'!$L64:$EQ64)</f>
        <v>0</v>
      </c>
      <c r="N59" s="171">
        <f>SUMIF('CF(M)'!$L$10:$EQ$10,N$6,'CF(M)'!$L64:$EQ64)</f>
        <v>0</v>
      </c>
      <c r="O59" s="171">
        <f>SUMIF('CF(M)'!$L$10:$EQ$10,O$6,'CF(M)'!$L64:$EQ64)</f>
        <v>0</v>
      </c>
      <c r="P59" s="171">
        <f>SUMIF('CF(M)'!$L$10:$EQ$10,P$6,'CF(M)'!$L64:$EQ64)</f>
        <v>0</v>
      </c>
      <c r="Q59" s="171">
        <f>SUMIF('CF(M)'!$L$10:$EQ$10,Q$6,'CF(M)'!$L64:$EQ64)</f>
        <v>0</v>
      </c>
      <c r="R59" s="171">
        <f>SUMIF('CF(M)'!$L$10:$EQ$10,R$6,'CF(M)'!$L64:$EQ64)</f>
        <v>0</v>
      </c>
      <c r="S59" s="171">
        <f>SUMIF('CF(M)'!$L$10:$EQ$10,S$6,'CF(M)'!$L64:$EQ64)</f>
        <v>0</v>
      </c>
      <c r="T59" s="171">
        <f>SUMIF('CF(M)'!$L$10:$EQ$10,T$6,'CF(M)'!$L64:$EQ64)</f>
        <v>0</v>
      </c>
      <c r="U59" s="171">
        <f>SUMIF('CF(M)'!$L$10:$EQ$10,U$6,'CF(M)'!$L64:$EQ64)</f>
        <v>0</v>
      </c>
      <c r="V59" s="171">
        <f>SUMIF('CF(M)'!$L$10:$EQ$10,V$6,'CF(M)'!$L64:$EQ64)</f>
        <v>0</v>
      </c>
      <c r="W59" s="171">
        <f>SUMIF('CF(M)'!$L$10:$EQ$10,W$6,'CF(M)'!$L64:$EQ64)</f>
        <v>0</v>
      </c>
      <c r="X59" s="171">
        <f>SUMIF('CF(M)'!$L$10:$EQ$10,X$6,'CF(M)'!$L64:$EQ64)</f>
        <v>0</v>
      </c>
      <c r="Y59" s="171">
        <f>SUMIF('CF(M)'!$L$10:$EQ$10,Y$6,'CF(M)'!$L64:$EQ64)</f>
        <v>0</v>
      </c>
      <c r="Z59" s="171">
        <f>SUMIF('CF(M)'!$L$10:$EQ$10,Z$6,'CF(M)'!$L64:$EQ64)</f>
        <v>0</v>
      </c>
      <c r="AA59" s="171">
        <f>SUMIF('CF(M)'!$L$10:$EQ$10,AA$6,'CF(M)'!$L64:$EQ64)</f>
        <v>0</v>
      </c>
      <c r="AB59" s="171">
        <f>SUMIF('CF(M)'!$L$10:$EQ$10,AB$6,'CF(M)'!$L64:$EQ64)</f>
        <v>0</v>
      </c>
      <c r="AC59" s="171">
        <f>SUMIF('CF(M)'!$L$10:$EQ$10,AC$6,'CF(M)'!$L64:$EQ64)</f>
        <v>0</v>
      </c>
      <c r="AD59" s="171">
        <f>SUMIF('CF(M)'!$L$10:$EQ$10,AD$6,'CF(M)'!$L64:$EQ64)</f>
        <v>0</v>
      </c>
      <c r="AE59" s="171">
        <f>SUMIF('CF(M)'!$L$10:$EQ$10,AE$6,'CF(M)'!$L64:$EQ64)</f>
        <v>0</v>
      </c>
      <c r="AF59" s="171">
        <f>SUMIF('CF(M)'!$L$10:$EQ$10,AF$6,'CF(M)'!$L64:$EQ64)</f>
        <v>0</v>
      </c>
      <c r="AG59" s="171">
        <f>SUMIF('CF(M)'!$L$10:$EQ$10,AG$6,'CF(M)'!$L64:$EQ64)</f>
        <v>0</v>
      </c>
      <c r="AH59" s="171">
        <f>SUMIF('CF(M)'!$L$10:$EQ$10,AH$6,'CF(M)'!$L64:$EQ64)</f>
        <v>0</v>
      </c>
      <c r="AI59" s="171">
        <f>SUMIF('CF(M)'!$L$10:$EQ$10,AI$6,'CF(M)'!$L64:$EQ64)</f>
        <v>0</v>
      </c>
      <c r="AJ59" s="171">
        <f>SUMIF('CF(M)'!$L$10:$EQ$10,AJ$6,'CF(M)'!$L64:$EQ64)</f>
        <v>0</v>
      </c>
      <c r="AK59" s="171">
        <f>SUMIF('CF(M)'!$L$10:$EQ$10,AK$6,'CF(M)'!$L64:$EQ64)</f>
        <v>0</v>
      </c>
      <c r="AL59" s="171">
        <f>SUMIF('CF(M)'!$L$10:$EQ$10,AL$6,'CF(M)'!$L64:$EQ64)</f>
        <v>0</v>
      </c>
      <c r="AM59" s="171">
        <f>SUMIF('CF(M)'!$L$10:$EQ$10,AM$6,'CF(M)'!$L64:$EQ64)</f>
        <v>0</v>
      </c>
      <c r="AN59" s="171">
        <f>SUMIF('CF(M)'!$L$10:$EQ$10,AN$6,'CF(M)'!$L64:$EQ64)</f>
        <v>0</v>
      </c>
      <c r="AO59" s="171">
        <f>SUMIF('CF(M)'!$L$10:$EQ$10,AO$6,'CF(M)'!$L64:$EQ64)</f>
        <v>0</v>
      </c>
      <c r="AP59" s="171">
        <f>SUMIF('CF(M)'!$L$10:$EQ$10,AP$6,'CF(M)'!$L64:$EQ64)</f>
        <v>0</v>
      </c>
      <c r="AQ59" s="171">
        <f>SUMIF('CF(M)'!$L$10:$EQ$10,AQ$6,'CF(M)'!$L64:$EQ64)</f>
        <v>0</v>
      </c>
      <c r="AR59" s="171">
        <f>SUMIF('CF(M)'!$L$10:$EQ$10,AR$6,'CF(M)'!$L64:$EQ64)</f>
        <v>0</v>
      </c>
      <c r="AS59" s="171">
        <f>SUMIF('CF(M)'!$L$10:$EQ$10,AS$6,'CF(M)'!$L64:$EQ64)</f>
        <v>0</v>
      </c>
      <c r="AT59" s="171">
        <f>SUMIF('CF(M)'!$L$10:$EQ$10,AT$6,'CF(M)'!$L64:$EQ64)</f>
        <v>0</v>
      </c>
      <c r="AU59" s="171">
        <f>SUMIF('CF(M)'!$L$10:$EQ$10,AU$6,'CF(M)'!$L64:$EQ64)</f>
        <v>0</v>
      </c>
      <c r="AV59" s="171">
        <f>SUMIF('CF(M)'!$L$10:$EQ$10,AV$6,'CF(M)'!$L64:$EQ64)</f>
        <v>0</v>
      </c>
      <c r="AW59" s="171">
        <f>SUMIF('CF(M)'!$L$10:$EQ$10,AW$6,'CF(M)'!$L64:$EQ64)</f>
        <v>0</v>
      </c>
      <c r="AX59" s="171">
        <f>SUMIF('CF(M)'!$L$10:$EQ$10,AX$6,'CF(M)'!$L64:$EQ64)</f>
        <v>0</v>
      </c>
      <c r="AY59" s="171">
        <f>SUMIF('CF(M)'!$L$10:$EQ$10,AY$6,'CF(M)'!$L64:$EQ64)</f>
        <v>0</v>
      </c>
      <c r="AZ59" s="171">
        <f>SUMIF('CF(M)'!$L$10:$EQ$10,AZ$6,'CF(M)'!$L64:$EQ64)</f>
        <v>0</v>
      </c>
      <c r="BA59" s="171">
        <f>SUMIF('CF(M)'!$L$10:$EQ$10,BA$6,'CF(M)'!$L64:$EQ64)</f>
        <v>0</v>
      </c>
      <c r="BB59" s="171">
        <f>SUMIF('CF(M)'!$L$10:$EQ$10,BB$6,'CF(M)'!$L64:$EQ64)</f>
        <v>0</v>
      </c>
      <c r="BC59" s="171">
        <f>SUMIF('CF(M)'!$L$10:$EQ$10,BC$6,'CF(M)'!$L64:$EQ64)</f>
        <v>0</v>
      </c>
      <c r="BD59" s="171">
        <f>SUMIF('CF(M)'!$L$10:$EQ$10,BD$6,'CF(M)'!$L64:$EQ64)</f>
        <v>0</v>
      </c>
      <c r="BE59" s="171">
        <f>SUMIF('CF(M)'!$L$10:$EQ$10,BE$6,'CF(M)'!$L64:$EQ64)</f>
        <v>0</v>
      </c>
      <c r="BF59" s="171">
        <f>SUMIF('CF(M)'!$L$10:$EQ$10,BF$6,'CF(M)'!$L64:$EQ64)</f>
        <v>0</v>
      </c>
      <c r="BG59" s="171">
        <f>SUMIF('CF(M)'!$L$10:$EQ$10,BG$6,'CF(M)'!$L64:$EQ64)</f>
        <v>0</v>
      </c>
      <c r="BH59" s="171">
        <f>SUMIF('CF(M)'!$L$10:$EQ$10,BH$6,'CF(M)'!$L64:$EQ64)</f>
        <v>0</v>
      </c>
      <c r="BI59" s="171">
        <f>SUMIF('CF(M)'!$L$10:$EQ$10,BI$6,'CF(M)'!$L64:$EQ64)</f>
        <v>0</v>
      </c>
      <c r="BJ59" s="171">
        <f>SUMIF('CF(M)'!$L$10:$EQ$10,BJ$6,'CF(M)'!$L64:$EQ64)</f>
        <v>0</v>
      </c>
      <c r="BK59" s="171">
        <f>SUMIF('CF(M)'!$L$10:$EQ$10,BK$6,'CF(M)'!$L64:$EQ64)</f>
        <v>0</v>
      </c>
      <c r="BL59" s="171">
        <f>SUMIF('CF(M)'!$L$10:$EQ$10,BL$6,'CF(M)'!$L64:$EQ64)</f>
        <v>0</v>
      </c>
      <c r="BM59" s="171">
        <f>SUMIF('CF(M)'!$L$10:$EQ$10,BM$6,'CF(M)'!$L64:$EQ64)</f>
        <v>0</v>
      </c>
      <c r="BN59" s="171">
        <f>SUMIF('CF(M)'!$L$10:$EQ$10,BN$6,'CF(M)'!$L64:$EQ64)</f>
        <v>0</v>
      </c>
      <c r="BO59" s="171">
        <f>SUMIF('CF(M)'!$L$10:$EQ$10,BO$6,'CF(M)'!$L64:$EQ64)</f>
        <v>0</v>
      </c>
      <c r="BP59" s="171">
        <f>SUMIF('CF(M)'!$L$10:$EQ$10,BP$6,'CF(M)'!$L64:$EQ64)</f>
        <v>0</v>
      </c>
      <c r="BQ59" s="171">
        <f>SUMIF('CF(M)'!$L$10:$EQ$10,BQ$6,'CF(M)'!$L64:$EQ64)</f>
        <v>0</v>
      </c>
      <c r="BR59" s="171">
        <f>SUMIF('CF(M)'!$L$10:$EQ$10,BR$6,'CF(M)'!$L64:$EQ64)</f>
        <v>0</v>
      </c>
      <c r="BS59" s="171">
        <f>SUMIF('CF(M)'!$L$10:$EQ$10,BS$6,'CF(M)'!$L64:$EQ64)</f>
        <v>0</v>
      </c>
      <c r="BT59" s="171">
        <f>SUMIF('CF(M)'!$L$10:$EQ$10,BT$6,'CF(M)'!$L64:$EQ64)</f>
        <v>0</v>
      </c>
      <c r="BU59" s="171">
        <f>SUMIF('CF(M)'!$L$10:$EQ$10,BU$6,'CF(M)'!$L64:$EQ64)</f>
        <v>0</v>
      </c>
      <c r="BV59" s="171">
        <f>SUMIF('CF(M)'!$L$10:$EQ$10,BV$6,'CF(M)'!$L64:$EQ64)</f>
        <v>0</v>
      </c>
      <c r="BW59" s="171">
        <f>SUMIF('CF(M)'!$L$10:$EQ$10,BW$6,'CF(M)'!$L64:$EQ64)</f>
        <v>0</v>
      </c>
      <c r="BX59" s="171">
        <f>SUMIF('CF(M)'!$L$10:$EQ$10,BX$6,'CF(M)'!$L64:$EQ64)</f>
        <v>0</v>
      </c>
      <c r="BY59" s="171">
        <f>SUMIF('CF(M)'!$L$10:$EQ$10,BY$6,'CF(M)'!$L64:$EQ64)</f>
        <v>0</v>
      </c>
      <c r="BZ59" s="171">
        <f>SUMIF('CF(M)'!$L$10:$EQ$10,BZ$6,'CF(M)'!$L64:$EQ64)</f>
        <v>0</v>
      </c>
      <c r="CA59" s="171">
        <f>SUMIF('CF(M)'!$L$10:$EQ$10,CA$6,'CF(M)'!$L64:$EQ64)</f>
        <v>0</v>
      </c>
      <c r="CB59" s="171">
        <f>SUMIF('CF(M)'!$L$10:$EQ$10,CB$6,'CF(M)'!$L64:$EQ64)</f>
        <v>0</v>
      </c>
      <c r="CC59" s="171">
        <f>SUMIF('CF(M)'!$L$10:$EQ$10,CC$6,'CF(M)'!$L64:$EQ64)</f>
        <v>0</v>
      </c>
      <c r="CD59" s="171">
        <f>SUMIF('CF(M)'!$L$10:$EQ$10,CD$6,'CF(M)'!$L64:$EQ64)</f>
        <v>0</v>
      </c>
      <c r="CE59" s="171">
        <f>SUMIF('CF(M)'!$L$10:$EQ$10,CE$6,'CF(M)'!$L64:$EQ64)</f>
        <v>0</v>
      </c>
      <c r="CF59" s="171">
        <f>SUMIF('CF(M)'!$L$10:$EQ$10,CF$6,'CF(M)'!$L64:$EQ64)</f>
        <v>0</v>
      </c>
      <c r="CG59" s="171">
        <f>SUMIF('CF(M)'!$L$10:$EQ$10,CG$6,'CF(M)'!$L64:$EQ64)</f>
        <v>0</v>
      </c>
      <c r="CH59" s="171">
        <f>SUMIF('CF(M)'!$L$10:$EQ$10,CH$6,'CF(M)'!$L64:$EQ64)</f>
        <v>0</v>
      </c>
      <c r="CI59" s="171">
        <f>SUMIF('CF(M)'!$L$10:$EQ$10,CI$6,'CF(M)'!$L64:$EQ64)</f>
        <v>0</v>
      </c>
      <c r="CJ59" s="171">
        <f>SUMIF('CF(M)'!$L$10:$EQ$10,CJ$6,'CF(M)'!$L64:$EQ64)</f>
        <v>0</v>
      </c>
      <c r="CK59" s="171">
        <f>SUMIF('CF(M)'!$L$10:$EQ$10,CK$6,'CF(M)'!$L64:$EQ64)</f>
        <v>0</v>
      </c>
      <c r="CL59" s="171">
        <f>SUMIF('CF(M)'!$L$10:$EQ$10,CL$6,'CF(M)'!$L64:$EQ64)</f>
        <v>0</v>
      </c>
      <c r="CM59" s="171">
        <f>SUMIF('CF(M)'!$L$10:$EQ$10,CM$6,'CF(M)'!$L64:$EQ64)</f>
        <v>0</v>
      </c>
      <c r="CN59" s="171">
        <f>SUMIF('CF(M)'!$L$10:$EQ$10,CN$6,'CF(M)'!$L64:$EQ64)</f>
        <v>0</v>
      </c>
      <c r="CO59" s="171">
        <f>SUMIF('CF(M)'!$L$10:$EQ$10,CO$6,'CF(M)'!$L64:$EQ64)</f>
        <v>0</v>
      </c>
      <c r="CP59" s="171">
        <f>SUMIF('CF(M)'!$L$10:$EQ$10,CP$6,'CF(M)'!$L64:$EQ64)</f>
        <v>0</v>
      </c>
      <c r="CQ59" s="171">
        <f>SUMIF('CF(M)'!$L$10:$EQ$10,CQ$6,'CF(M)'!$L64:$EQ64)</f>
        <v>0</v>
      </c>
      <c r="CR59" s="171">
        <f>SUMIF('CF(M)'!$L$10:$EQ$10,CR$6,'CF(M)'!$L64:$EQ64)</f>
        <v>0</v>
      </c>
      <c r="CS59" s="171">
        <f>SUMIF('CF(M)'!$L$10:$EQ$10,CS$6,'CF(M)'!$L64:$EQ64)</f>
        <v>0</v>
      </c>
      <c r="CT59" s="171">
        <f>SUMIF('CF(M)'!$L$10:$EQ$10,CT$6,'CF(M)'!$L64:$EQ64)</f>
        <v>0</v>
      </c>
      <c r="CU59" s="171">
        <f>SUMIF('CF(M)'!$L$10:$EQ$10,CU$6,'CF(M)'!$L64:$EQ64)</f>
        <v>0</v>
      </c>
      <c r="CV59" s="171">
        <f>SUMIF('CF(M)'!$L$10:$EQ$10,CV$6,'CF(M)'!$L64:$EQ64)</f>
        <v>0</v>
      </c>
      <c r="CW59" s="171">
        <f>SUMIF('CF(M)'!$L$10:$EQ$10,CW$6,'CF(M)'!$L64:$EQ64)</f>
        <v>0</v>
      </c>
      <c r="CX59" s="171">
        <f>SUMIF('CF(M)'!$L$10:$EQ$10,CX$6,'CF(M)'!$L64:$EQ64)</f>
        <v>0</v>
      </c>
      <c r="CY59" s="171">
        <f>SUMIF('CF(M)'!$L$10:$EQ$10,CY$6,'CF(M)'!$L64:$EQ64)</f>
        <v>0</v>
      </c>
      <c r="CZ59" s="171">
        <f>SUMIF('CF(M)'!$L$10:$EQ$10,CZ$6,'CF(M)'!$L64:$EQ64)</f>
        <v>0</v>
      </c>
      <c r="DA59" s="171">
        <f>SUMIF('CF(M)'!$L$10:$EQ$10,DA$6,'CF(M)'!$L64:$EQ64)</f>
        <v>0</v>
      </c>
      <c r="DB59" s="171">
        <f>SUMIF('CF(M)'!$L$10:$EQ$10,DB$6,'CF(M)'!$L64:$EQ64)</f>
        <v>0</v>
      </c>
      <c r="DC59" s="171">
        <f>SUMIF('CF(M)'!$L$10:$EQ$10,DC$6,'CF(M)'!$L64:$EQ64)</f>
        <v>0</v>
      </c>
      <c r="DD59" s="171">
        <f>SUMIF('CF(M)'!$L$10:$EQ$10,DD$6,'CF(M)'!$L64:$EQ64)</f>
        <v>0</v>
      </c>
      <c r="DE59" s="171">
        <f>SUMIF('CF(M)'!$L$10:$EQ$10,DE$6,'CF(M)'!$L64:$EQ64)</f>
        <v>0</v>
      </c>
      <c r="DF59" s="171">
        <f>SUMIF('CF(M)'!$L$10:$EQ$10,DF$6,'CF(M)'!$L64:$EQ64)</f>
        <v>0</v>
      </c>
      <c r="DG59" s="171">
        <f>SUMIF('CF(M)'!$L$10:$EQ$10,DG$6,'CF(M)'!$L64:$EQ64)</f>
        <v>0</v>
      </c>
      <c r="DH59" s="171">
        <f>SUMIF('CF(M)'!$L$10:$EQ$10,DH$6,'CF(M)'!$L64:$EQ64)</f>
        <v>0</v>
      </c>
      <c r="DI59" s="171">
        <f>SUMIF('CF(M)'!$L$10:$EQ$10,DI$6,'CF(M)'!$L64:$EQ64)</f>
        <v>0</v>
      </c>
      <c r="DJ59" s="171">
        <f>SUMIF('CF(M)'!$L$10:$EQ$10,DJ$6,'CF(M)'!$L64:$EQ64)</f>
        <v>0</v>
      </c>
      <c r="DK59" s="171">
        <f>SUMIF('CF(M)'!$L$10:$EQ$10,DK$6,'CF(M)'!$L64:$EQ64)</f>
        <v>0</v>
      </c>
      <c r="DL59" s="171">
        <f>SUMIF('CF(M)'!$L$10:$EQ$10,DL$6,'CF(M)'!$L64:$EQ64)</f>
        <v>0</v>
      </c>
      <c r="DM59" s="171">
        <f>SUMIF('CF(M)'!$L$10:$EQ$10,DM$6,'CF(M)'!$L64:$EQ64)</f>
        <v>0</v>
      </c>
      <c r="DN59" s="171">
        <f>SUMIF('CF(M)'!$L$10:$EQ$10,DN$6,'CF(M)'!$L64:$EQ64)</f>
        <v>0</v>
      </c>
      <c r="DO59" s="171">
        <f>SUMIF('CF(M)'!$L$10:$EQ$10,DO$6,'CF(M)'!$L64:$EQ64)</f>
        <v>0</v>
      </c>
      <c r="DP59" s="171">
        <f>SUMIF('CF(M)'!$L$10:$EQ$10,DP$6,'CF(M)'!$L64:$EQ64)</f>
        <v>0</v>
      </c>
      <c r="DQ59" s="171">
        <f>SUMIF('CF(M)'!$L$10:$EQ$10,DQ$6,'CF(M)'!$L64:$EQ64)</f>
        <v>0</v>
      </c>
      <c r="DR59" s="171">
        <f>SUMIF('CF(M)'!$L$10:$EQ$10,DR$6,'CF(M)'!$L64:$EQ64)</f>
        <v>0</v>
      </c>
      <c r="DS59" s="171">
        <f>SUMIF('CF(M)'!$L$10:$EQ$10,DS$6,'CF(M)'!$L64:$EQ64)</f>
        <v>0</v>
      </c>
      <c r="DT59" s="171">
        <f>SUMIF('CF(M)'!$L$10:$EQ$10,DT$6,'CF(M)'!$L64:$EQ64)</f>
        <v>0</v>
      </c>
      <c r="DU59" s="171">
        <f>SUMIF('CF(M)'!$L$10:$EQ$10,DU$6,'CF(M)'!$L64:$EQ64)</f>
        <v>0</v>
      </c>
      <c r="DV59" s="171">
        <f>SUMIF('CF(M)'!$L$10:$EQ$10,DV$6,'CF(M)'!$L64:$EQ64)</f>
        <v>0</v>
      </c>
    </row>
    <row r="60" spans="2:126" ht="11.25" customHeight="1">
      <c r="B60" s="218"/>
      <c r="C60" s="163"/>
      <c r="D60" s="169" t="s">
        <v>178</v>
      </c>
      <c r="H60" s="90"/>
      <c r="I60" s="229"/>
      <c r="J60" s="171">
        <f t="shared" si="21"/>
        <v>-4380000</v>
      </c>
      <c r="K60" s="98"/>
      <c r="L60" s="171">
        <f>SUMIF('CF(M)'!$L$10:$EQ$10,L$6,'CF(M)'!$L65:$EQ65)</f>
        <v>-4380000</v>
      </c>
      <c r="M60" s="171">
        <f>SUMIF('CF(M)'!$L$10:$EQ$10,M$6,'CF(M)'!$L65:$EQ65)</f>
        <v>0</v>
      </c>
      <c r="N60" s="171">
        <f>SUMIF('CF(M)'!$L$10:$EQ$10,N$6,'CF(M)'!$L65:$EQ65)</f>
        <v>0</v>
      </c>
      <c r="O60" s="171">
        <f>SUMIF('CF(M)'!$L$10:$EQ$10,O$6,'CF(M)'!$L65:$EQ65)</f>
        <v>0</v>
      </c>
      <c r="P60" s="171">
        <f>SUMIF('CF(M)'!$L$10:$EQ$10,P$6,'CF(M)'!$L65:$EQ65)</f>
        <v>0</v>
      </c>
      <c r="Q60" s="171">
        <f>SUMIF('CF(M)'!$L$10:$EQ$10,Q$6,'CF(M)'!$L65:$EQ65)</f>
        <v>0</v>
      </c>
      <c r="R60" s="171">
        <f>SUMIF('CF(M)'!$L$10:$EQ$10,R$6,'CF(M)'!$L65:$EQ65)</f>
        <v>0</v>
      </c>
      <c r="S60" s="171">
        <f>SUMIF('CF(M)'!$L$10:$EQ$10,S$6,'CF(M)'!$L65:$EQ65)</f>
        <v>0</v>
      </c>
      <c r="T60" s="171">
        <f>SUMIF('CF(M)'!$L$10:$EQ$10,T$6,'CF(M)'!$L65:$EQ65)</f>
        <v>0</v>
      </c>
      <c r="U60" s="171">
        <f>SUMIF('CF(M)'!$L$10:$EQ$10,U$6,'CF(M)'!$L65:$EQ65)</f>
        <v>0</v>
      </c>
      <c r="V60" s="171">
        <f>SUMIF('CF(M)'!$L$10:$EQ$10,V$6,'CF(M)'!$L65:$EQ65)</f>
        <v>0</v>
      </c>
      <c r="W60" s="171">
        <f>SUMIF('CF(M)'!$L$10:$EQ$10,W$6,'CF(M)'!$L65:$EQ65)</f>
        <v>0</v>
      </c>
      <c r="X60" s="171">
        <f>SUMIF('CF(M)'!$L$10:$EQ$10,X$6,'CF(M)'!$L65:$EQ65)</f>
        <v>0</v>
      </c>
      <c r="Y60" s="171">
        <f>SUMIF('CF(M)'!$L$10:$EQ$10,Y$6,'CF(M)'!$L65:$EQ65)</f>
        <v>0</v>
      </c>
      <c r="Z60" s="171">
        <f>SUMIF('CF(M)'!$L$10:$EQ$10,Z$6,'CF(M)'!$L65:$EQ65)</f>
        <v>0</v>
      </c>
      <c r="AA60" s="171">
        <f>SUMIF('CF(M)'!$L$10:$EQ$10,AA$6,'CF(M)'!$L65:$EQ65)</f>
        <v>0</v>
      </c>
      <c r="AB60" s="171">
        <f>SUMIF('CF(M)'!$L$10:$EQ$10,AB$6,'CF(M)'!$L65:$EQ65)</f>
        <v>0</v>
      </c>
      <c r="AC60" s="171">
        <f>SUMIF('CF(M)'!$L$10:$EQ$10,AC$6,'CF(M)'!$L65:$EQ65)</f>
        <v>0</v>
      </c>
      <c r="AD60" s="171">
        <f>SUMIF('CF(M)'!$L$10:$EQ$10,AD$6,'CF(M)'!$L65:$EQ65)</f>
        <v>0</v>
      </c>
      <c r="AE60" s="171">
        <f>SUMIF('CF(M)'!$L$10:$EQ$10,AE$6,'CF(M)'!$L65:$EQ65)</f>
        <v>0</v>
      </c>
      <c r="AF60" s="171">
        <f>SUMIF('CF(M)'!$L$10:$EQ$10,AF$6,'CF(M)'!$L65:$EQ65)</f>
        <v>0</v>
      </c>
      <c r="AG60" s="171">
        <f>SUMIF('CF(M)'!$L$10:$EQ$10,AG$6,'CF(M)'!$L65:$EQ65)</f>
        <v>0</v>
      </c>
      <c r="AH60" s="171">
        <f>SUMIF('CF(M)'!$L$10:$EQ$10,AH$6,'CF(M)'!$L65:$EQ65)</f>
        <v>0</v>
      </c>
      <c r="AI60" s="171">
        <f>SUMIF('CF(M)'!$L$10:$EQ$10,AI$6,'CF(M)'!$L65:$EQ65)</f>
        <v>0</v>
      </c>
      <c r="AJ60" s="171">
        <f>SUMIF('CF(M)'!$L$10:$EQ$10,AJ$6,'CF(M)'!$L65:$EQ65)</f>
        <v>0</v>
      </c>
      <c r="AK60" s="171">
        <f>SUMIF('CF(M)'!$L$10:$EQ$10,AK$6,'CF(M)'!$L65:$EQ65)</f>
        <v>0</v>
      </c>
      <c r="AL60" s="171">
        <f>SUMIF('CF(M)'!$L$10:$EQ$10,AL$6,'CF(M)'!$L65:$EQ65)</f>
        <v>0</v>
      </c>
      <c r="AM60" s="171">
        <f>SUMIF('CF(M)'!$L$10:$EQ$10,AM$6,'CF(M)'!$L65:$EQ65)</f>
        <v>0</v>
      </c>
      <c r="AN60" s="171">
        <f>SUMIF('CF(M)'!$L$10:$EQ$10,AN$6,'CF(M)'!$L65:$EQ65)</f>
        <v>0</v>
      </c>
      <c r="AO60" s="171">
        <f>SUMIF('CF(M)'!$L$10:$EQ$10,AO$6,'CF(M)'!$L65:$EQ65)</f>
        <v>0</v>
      </c>
      <c r="AP60" s="171">
        <f>SUMIF('CF(M)'!$L$10:$EQ$10,AP$6,'CF(M)'!$L65:$EQ65)</f>
        <v>0</v>
      </c>
      <c r="AQ60" s="171">
        <f>SUMIF('CF(M)'!$L$10:$EQ$10,AQ$6,'CF(M)'!$L65:$EQ65)</f>
        <v>0</v>
      </c>
      <c r="AR60" s="171">
        <f>SUMIF('CF(M)'!$L$10:$EQ$10,AR$6,'CF(M)'!$L65:$EQ65)</f>
        <v>0</v>
      </c>
      <c r="AS60" s="171">
        <f>SUMIF('CF(M)'!$L$10:$EQ$10,AS$6,'CF(M)'!$L65:$EQ65)</f>
        <v>0</v>
      </c>
      <c r="AT60" s="171">
        <f>SUMIF('CF(M)'!$L$10:$EQ$10,AT$6,'CF(M)'!$L65:$EQ65)</f>
        <v>0</v>
      </c>
      <c r="AU60" s="171">
        <f>SUMIF('CF(M)'!$L$10:$EQ$10,AU$6,'CF(M)'!$L65:$EQ65)</f>
        <v>0</v>
      </c>
      <c r="AV60" s="171">
        <f>SUMIF('CF(M)'!$L$10:$EQ$10,AV$6,'CF(M)'!$L65:$EQ65)</f>
        <v>0</v>
      </c>
      <c r="AW60" s="171">
        <f>SUMIF('CF(M)'!$L$10:$EQ$10,AW$6,'CF(M)'!$L65:$EQ65)</f>
        <v>0</v>
      </c>
      <c r="AX60" s="171">
        <f>SUMIF('CF(M)'!$L$10:$EQ$10,AX$6,'CF(M)'!$L65:$EQ65)</f>
        <v>0</v>
      </c>
      <c r="AY60" s="171">
        <f>SUMIF('CF(M)'!$L$10:$EQ$10,AY$6,'CF(M)'!$L65:$EQ65)</f>
        <v>0</v>
      </c>
      <c r="AZ60" s="171">
        <f>SUMIF('CF(M)'!$L$10:$EQ$10,AZ$6,'CF(M)'!$L65:$EQ65)</f>
        <v>0</v>
      </c>
      <c r="BA60" s="171">
        <f>SUMIF('CF(M)'!$L$10:$EQ$10,BA$6,'CF(M)'!$L65:$EQ65)</f>
        <v>0</v>
      </c>
      <c r="BB60" s="171">
        <f>SUMIF('CF(M)'!$L$10:$EQ$10,BB$6,'CF(M)'!$L65:$EQ65)</f>
        <v>0</v>
      </c>
      <c r="BC60" s="171">
        <f>SUMIF('CF(M)'!$L$10:$EQ$10,BC$6,'CF(M)'!$L65:$EQ65)</f>
        <v>0</v>
      </c>
      <c r="BD60" s="171">
        <f>SUMIF('CF(M)'!$L$10:$EQ$10,BD$6,'CF(M)'!$L65:$EQ65)</f>
        <v>0</v>
      </c>
      <c r="BE60" s="171">
        <f>SUMIF('CF(M)'!$L$10:$EQ$10,BE$6,'CF(M)'!$L65:$EQ65)</f>
        <v>0</v>
      </c>
      <c r="BF60" s="171">
        <f>SUMIF('CF(M)'!$L$10:$EQ$10,BF$6,'CF(M)'!$L65:$EQ65)</f>
        <v>0</v>
      </c>
      <c r="BG60" s="171">
        <f>SUMIF('CF(M)'!$L$10:$EQ$10,BG$6,'CF(M)'!$L65:$EQ65)</f>
        <v>0</v>
      </c>
      <c r="BH60" s="171">
        <f>SUMIF('CF(M)'!$L$10:$EQ$10,BH$6,'CF(M)'!$L65:$EQ65)</f>
        <v>0</v>
      </c>
      <c r="BI60" s="171">
        <f>SUMIF('CF(M)'!$L$10:$EQ$10,BI$6,'CF(M)'!$L65:$EQ65)</f>
        <v>0</v>
      </c>
      <c r="BJ60" s="171">
        <f>SUMIF('CF(M)'!$L$10:$EQ$10,BJ$6,'CF(M)'!$L65:$EQ65)</f>
        <v>0</v>
      </c>
      <c r="BK60" s="171">
        <f>SUMIF('CF(M)'!$L$10:$EQ$10,BK$6,'CF(M)'!$L65:$EQ65)</f>
        <v>0</v>
      </c>
      <c r="BL60" s="171">
        <f>SUMIF('CF(M)'!$L$10:$EQ$10,BL$6,'CF(M)'!$L65:$EQ65)</f>
        <v>0</v>
      </c>
      <c r="BM60" s="171">
        <f>SUMIF('CF(M)'!$L$10:$EQ$10,BM$6,'CF(M)'!$L65:$EQ65)</f>
        <v>0</v>
      </c>
      <c r="BN60" s="171">
        <f>SUMIF('CF(M)'!$L$10:$EQ$10,BN$6,'CF(M)'!$L65:$EQ65)</f>
        <v>0</v>
      </c>
      <c r="BO60" s="171">
        <f>SUMIF('CF(M)'!$L$10:$EQ$10,BO$6,'CF(M)'!$L65:$EQ65)</f>
        <v>0</v>
      </c>
      <c r="BP60" s="171">
        <f>SUMIF('CF(M)'!$L$10:$EQ$10,BP$6,'CF(M)'!$L65:$EQ65)</f>
        <v>0</v>
      </c>
      <c r="BQ60" s="171">
        <f>SUMIF('CF(M)'!$L$10:$EQ$10,BQ$6,'CF(M)'!$L65:$EQ65)</f>
        <v>0</v>
      </c>
      <c r="BR60" s="171">
        <f>SUMIF('CF(M)'!$L$10:$EQ$10,BR$6,'CF(M)'!$L65:$EQ65)</f>
        <v>0</v>
      </c>
      <c r="BS60" s="171">
        <f>SUMIF('CF(M)'!$L$10:$EQ$10,BS$6,'CF(M)'!$L65:$EQ65)</f>
        <v>0</v>
      </c>
      <c r="BT60" s="171">
        <f>SUMIF('CF(M)'!$L$10:$EQ$10,BT$6,'CF(M)'!$L65:$EQ65)</f>
        <v>0</v>
      </c>
      <c r="BU60" s="171">
        <f>SUMIF('CF(M)'!$L$10:$EQ$10,BU$6,'CF(M)'!$L65:$EQ65)</f>
        <v>0</v>
      </c>
      <c r="BV60" s="171">
        <f>SUMIF('CF(M)'!$L$10:$EQ$10,BV$6,'CF(M)'!$L65:$EQ65)</f>
        <v>0</v>
      </c>
      <c r="BW60" s="171">
        <f>SUMIF('CF(M)'!$L$10:$EQ$10,BW$6,'CF(M)'!$L65:$EQ65)</f>
        <v>0</v>
      </c>
      <c r="BX60" s="171">
        <f>SUMIF('CF(M)'!$L$10:$EQ$10,BX$6,'CF(M)'!$L65:$EQ65)</f>
        <v>0</v>
      </c>
      <c r="BY60" s="171">
        <f>SUMIF('CF(M)'!$L$10:$EQ$10,BY$6,'CF(M)'!$L65:$EQ65)</f>
        <v>0</v>
      </c>
      <c r="BZ60" s="171">
        <f>SUMIF('CF(M)'!$L$10:$EQ$10,BZ$6,'CF(M)'!$L65:$EQ65)</f>
        <v>0</v>
      </c>
      <c r="CA60" s="171">
        <f>SUMIF('CF(M)'!$L$10:$EQ$10,CA$6,'CF(M)'!$L65:$EQ65)</f>
        <v>0</v>
      </c>
      <c r="CB60" s="171">
        <f>SUMIF('CF(M)'!$L$10:$EQ$10,CB$6,'CF(M)'!$L65:$EQ65)</f>
        <v>0</v>
      </c>
      <c r="CC60" s="171">
        <f>SUMIF('CF(M)'!$L$10:$EQ$10,CC$6,'CF(M)'!$L65:$EQ65)</f>
        <v>0</v>
      </c>
      <c r="CD60" s="171">
        <f>SUMIF('CF(M)'!$L$10:$EQ$10,CD$6,'CF(M)'!$L65:$EQ65)</f>
        <v>0</v>
      </c>
      <c r="CE60" s="171">
        <f>SUMIF('CF(M)'!$L$10:$EQ$10,CE$6,'CF(M)'!$L65:$EQ65)</f>
        <v>0</v>
      </c>
      <c r="CF60" s="171">
        <f>SUMIF('CF(M)'!$L$10:$EQ$10,CF$6,'CF(M)'!$L65:$EQ65)</f>
        <v>0</v>
      </c>
      <c r="CG60" s="171">
        <f>SUMIF('CF(M)'!$L$10:$EQ$10,CG$6,'CF(M)'!$L65:$EQ65)</f>
        <v>0</v>
      </c>
      <c r="CH60" s="171">
        <f>SUMIF('CF(M)'!$L$10:$EQ$10,CH$6,'CF(M)'!$L65:$EQ65)</f>
        <v>0</v>
      </c>
      <c r="CI60" s="171">
        <f>SUMIF('CF(M)'!$L$10:$EQ$10,CI$6,'CF(M)'!$L65:$EQ65)</f>
        <v>0</v>
      </c>
      <c r="CJ60" s="171">
        <f>SUMIF('CF(M)'!$L$10:$EQ$10,CJ$6,'CF(M)'!$L65:$EQ65)</f>
        <v>0</v>
      </c>
      <c r="CK60" s="171">
        <f>SUMIF('CF(M)'!$L$10:$EQ$10,CK$6,'CF(M)'!$L65:$EQ65)</f>
        <v>0</v>
      </c>
      <c r="CL60" s="171">
        <f>SUMIF('CF(M)'!$L$10:$EQ$10,CL$6,'CF(M)'!$L65:$EQ65)</f>
        <v>0</v>
      </c>
      <c r="CM60" s="171">
        <f>SUMIF('CF(M)'!$L$10:$EQ$10,CM$6,'CF(M)'!$L65:$EQ65)</f>
        <v>0</v>
      </c>
      <c r="CN60" s="171">
        <f>SUMIF('CF(M)'!$L$10:$EQ$10,CN$6,'CF(M)'!$L65:$EQ65)</f>
        <v>0</v>
      </c>
      <c r="CO60" s="171">
        <f>SUMIF('CF(M)'!$L$10:$EQ$10,CO$6,'CF(M)'!$L65:$EQ65)</f>
        <v>0</v>
      </c>
      <c r="CP60" s="171">
        <f>SUMIF('CF(M)'!$L$10:$EQ$10,CP$6,'CF(M)'!$L65:$EQ65)</f>
        <v>0</v>
      </c>
      <c r="CQ60" s="171">
        <f>SUMIF('CF(M)'!$L$10:$EQ$10,CQ$6,'CF(M)'!$L65:$EQ65)</f>
        <v>0</v>
      </c>
      <c r="CR60" s="171">
        <f>SUMIF('CF(M)'!$L$10:$EQ$10,CR$6,'CF(M)'!$L65:$EQ65)</f>
        <v>0</v>
      </c>
      <c r="CS60" s="171">
        <f>SUMIF('CF(M)'!$L$10:$EQ$10,CS$6,'CF(M)'!$L65:$EQ65)</f>
        <v>0</v>
      </c>
      <c r="CT60" s="171">
        <f>SUMIF('CF(M)'!$L$10:$EQ$10,CT$6,'CF(M)'!$L65:$EQ65)</f>
        <v>0</v>
      </c>
      <c r="CU60" s="171">
        <f>SUMIF('CF(M)'!$L$10:$EQ$10,CU$6,'CF(M)'!$L65:$EQ65)</f>
        <v>0</v>
      </c>
      <c r="CV60" s="171">
        <f>SUMIF('CF(M)'!$L$10:$EQ$10,CV$6,'CF(M)'!$L65:$EQ65)</f>
        <v>0</v>
      </c>
      <c r="CW60" s="171">
        <f>SUMIF('CF(M)'!$L$10:$EQ$10,CW$6,'CF(M)'!$L65:$EQ65)</f>
        <v>0</v>
      </c>
      <c r="CX60" s="171">
        <f>SUMIF('CF(M)'!$L$10:$EQ$10,CX$6,'CF(M)'!$L65:$EQ65)</f>
        <v>0</v>
      </c>
      <c r="CY60" s="171">
        <f>SUMIF('CF(M)'!$L$10:$EQ$10,CY$6,'CF(M)'!$L65:$EQ65)</f>
        <v>0</v>
      </c>
      <c r="CZ60" s="171">
        <f>SUMIF('CF(M)'!$L$10:$EQ$10,CZ$6,'CF(M)'!$L65:$EQ65)</f>
        <v>0</v>
      </c>
      <c r="DA60" s="171">
        <f>SUMIF('CF(M)'!$L$10:$EQ$10,DA$6,'CF(M)'!$L65:$EQ65)</f>
        <v>0</v>
      </c>
      <c r="DB60" s="171">
        <f>SUMIF('CF(M)'!$L$10:$EQ$10,DB$6,'CF(M)'!$L65:$EQ65)</f>
        <v>0</v>
      </c>
      <c r="DC60" s="171">
        <f>SUMIF('CF(M)'!$L$10:$EQ$10,DC$6,'CF(M)'!$L65:$EQ65)</f>
        <v>0</v>
      </c>
      <c r="DD60" s="171">
        <f>SUMIF('CF(M)'!$L$10:$EQ$10,DD$6,'CF(M)'!$L65:$EQ65)</f>
        <v>0</v>
      </c>
      <c r="DE60" s="171">
        <f>SUMIF('CF(M)'!$L$10:$EQ$10,DE$6,'CF(M)'!$L65:$EQ65)</f>
        <v>0</v>
      </c>
      <c r="DF60" s="171">
        <f>SUMIF('CF(M)'!$L$10:$EQ$10,DF$6,'CF(M)'!$L65:$EQ65)</f>
        <v>0</v>
      </c>
      <c r="DG60" s="171">
        <f>SUMIF('CF(M)'!$L$10:$EQ$10,DG$6,'CF(M)'!$L65:$EQ65)</f>
        <v>0</v>
      </c>
      <c r="DH60" s="171">
        <f>SUMIF('CF(M)'!$L$10:$EQ$10,DH$6,'CF(M)'!$L65:$EQ65)</f>
        <v>0</v>
      </c>
      <c r="DI60" s="171">
        <f>SUMIF('CF(M)'!$L$10:$EQ$10,DI$6,'CF(M)'!$L65:$EQ65)</f>
        <v>0</v>
      </c>
      <c r="DJ60" s="171">
        <f>SUMIF('CF(M)'!$L$10:$EQ$10,DJ$6,'CF(M)'!$L65:$EQ65)</f>
        <v>0</v>
      </c>
      <c r="DK60" s="171">
        <f>SUMIF('CF(M)'!$L$10:$EQ$10,DK$6,'CF(M)'!$L65:$EQ65)</f>
        <v>0</v>
      </c>
      <c r="DL60" s="171">
        <f>SUMIF('CF(M)'!$L$10:$EQ$10,DL$6,'CF(M)'!$L65:$EQ65)</f>
        <v>0</v>
      </c>
      <c r="DM60" s="171">
        <f>SUMIF('CF(M)'!$L$10:$EQ$10,DM$6,'CF(M)'!$L65:$EQ65)</f>
        <v>0</v>
      </c>
      <c r="DN60" s="171">
        <f>SUMIF('CF(M)'!$L$10:$EQ$10,DN$6,'CF(M)'!$L65:$EQ65)</f>
        <v>0</v>
      </c>
      <c r="DO60" s="171">
        <f>SUMIF('CF(M)'!$L$10:$EQ$10,DO$6,'CF(M)'!$L65:$EQ65)</f>
        <v>0</v>
      </c>
      <c r="DP60" s="171">
        <f>SUMIF('CF(M)'!$L$10:$EQ$10,DP$6,'CF(M)'!$L65:$EQ65)</f>
        <v>0</v>
      </c>
      <c r="DQ60" s="171">
        <f>SUMIF('CF(M)'!$L$10:$EQ$10,DQ$6,'CF(M)'!$L65:$EQ65)</f>
        <v>0</v>
      </c>
      <c r="DR60" s="171">
        <f>SUMIF('CF(M)'!$L$10:$EQ$10,DR$6,'CF(M)'!$L65:$EQ65)</f>
        <v>0</v>
      </c>
      <c r="DS60" s="171">
        <f>SUMIF('CF(M)'!$L$10:$EQ$10,DS$6,'CF(M)'!$L65:$EQ65)</f>
        <v>0</v>
      </c>
      <c r="DT60" s="171">
        <f>SUMIF('CF(M)'!$L$10:$EQ$10,DT$6,'CF(M)'!$L65:$EQ65)</f>
        <v>0</v>
      </c>
      <c r="DU60" s="171">
        <f>SUMIF('CF(M)'!$L$10:$EQ$10,DU$6,'CF(M)'!$L65:$EQ65)</f>
        <v>0</v>
      </c>
      <c r="DV60" s="171">
        <f>SUMIF('CF(M)'!$L$10:$EQ$10,DV$6,'CF(M)'!$L65:$EQ65)</f>
        <v>0</v>
      </c>
    </row>
    <row r="61" spans="2:126" ht="11.25" customHeight="1">
      <c r="B61" s="218"/>
      <c r="C61" s="163"/>
      <c r="D61" s="169" t="s">
        <v>77</v>
      </c>
      <c r="H61" s="90"/>
      <c r="I61" s="229"/>
      <c r="J61" s="171">
        <f t="shared" si="21"/>
        <v>-245384.77486795187</v>
      </c>
      <c r="K61" s="98"/>
      <c r="L61" s="171">
        <f>SUMIF('CF(M)'!$L$10:$EQ$10,L$6,'CF(M)'!$L66:$EQ66)</f>
        <v>-245384.77486795187</v>
      </c>
      <c r="M61" s="171">
        <f>SUMIF('CF(M)'!$L$10:$EQ$10,M$6,'CF(M)'!$L66:$EQ66)</f>
        <v>0</v>
      </c>
      <c r="N61" s="171">
        <f>SUMIF('CF(M)'!$L$10:$EQ$10,N$6,'CF(M)'!$L66:$EQ66)</f>
        <v>0</v>
      </c>
      <c r="O61" s="171">
        <f>SUMIF('CF(M)'!$L$10:$EQ$10,O$6,'CF(M)'!$L66:$EQ66)</f>
        <v>0</v>
      </c>
      <c r="P61" s="171">
        <f>SUMIF('CF(M)'!$L$10:$EQ$10,P$6,'CF(M)'!$L66:$EQ66)</f>
        <v>0</v>
      </c>
      <c r="Q61" s="171">
        <f>SUMIF('CF(M)'!$L$10:$EQ$10,Q$6,'CF(M)'!$L66:$EQ66)</f>
        <v>0</v>
      </c>
      <c r="R61" s="171">
        <f>SUMIF('CF(M)'!$L$10:$EQ$10,R$6,'CF(M)'!$L66:$EQ66)</f>
        <v>0</v>
      </c>
      <c r="S61" s="171">
        <f>SUMIF('CF(M)'!$L$10:$EQ$10,S$6,'CF(M)'!$L66:$EQ66)</f>
        <v>0</v>
      </c>
      <c r="T61" s="171">
        <f>SUMIF('CF(M)'!$L$10:$EQ$10,T$6,'CF(M)'!$L66:$EQ66)</f>
        <v>0</v>
      </c>
      <c r="U61" s="171">
        <f>SUMIF('CF(M)'!$L$10:$EQ$10,U$6,'CF(M)'!$L66:$EQ66)</f>
        <v>0</v>
      </c>
      <c r="V61" s="171">
        <f>SUMIF('CF(M)'!$L$10:$EQ$10,V$6,'CF(M)'!$L66:$EQ66)</f>
        <v>0</v>
      </c>
      <c r="W61" s="171">
        <f>SUMIF('CF(M)'!$L$10:$EQ$10,W$6,'CF(M)'!$L66:$EQ66)</f>
        <v>0</v>
      </c>
      <c r="X61" s="171">
        <f>SUMIF('CF(M)'!$L$10:$EQ$10,X$6,'CF(M)'!$L66:$EQ66)</f>
        <v>0</v>
      </c>
      <c r="Y61" s="171">
        <f>SUMIF('CF(M)'!$L$10:$EQ$10,Y$6,'CF(M)'!$L66:$EQ66)</f>
        <v>0</v>
      </c>
      <c r="Z61" s="171">
        <f>SUMIF('CF(M)'!$L$10:$EQ$10,Z$6,'CF(M)'!$L66:$EQ66)</f>
        <v>0</v>
      </c>
      <c r="AA61" s="171">
        <f>SUMIF('CF(M)'!$L$10:$EQ$10,AA$6,'CF(M)'!$L66:$EQ66)</f>
        <v>0</v>
      </c>
      <c r="AB61" s="171">
        <f>SUMIF('CF(M)'!$L$10:$EQ$10,AB$6,'CF(M)'!$L66:$EQ66)</f>
        <v>0</v>
      </c>
      <c r="AC61" s="171">
        <f>SUMIF('CF(M)'!$L$10:$EQ$10,AC$6,'CF(M)'!$L66:$EQ66)</f>
        <v>0</v>
      </c>
      <c r="AD61" s="171">
        <f>SUMIF('CF(M)'!$L$10:$EQ$10,AD$6,'CF(M)'!$L66:$EQ66)</f>
        <v>0</v>
      </c>
      <c r="AE61" s="171">
        <f>SUMIF('CF(M)'!$L$10:$EQ$10,AE$6,'CF(M)'!$L66:$EQ66)</f>
        <v>0</v>
      </c>
      <c r="AF61" s="171">
        <f>SUMIF('CF(M)'!$L$10:$EQ$10,AF$6,'CF(M)'!$L66:$EQ66)</f>
        <v>0</v>
      </c>
      <c r="AG61" s="171">
        <f>SUMIF('CF(M)'!$L$10:$EQ$10,AG$6,'CF(M)'!$L66:$EQ66)</f>
        <v>0</v>
      </c>
      <c r="AH61" s="171">
        <f>SUMIF('CF(M)'!$L$10:$EQ$10,AH$6,'CF(M)'!$L66:$EQ66)</f>
        <v>0</v>
      </c>
      <c r="AI61" s="171">
        <f>SUMIF('CF(M)'!$L$10:$EQ$10,AI$6,'CF(M)'!$L66:$EQ66)</f>
        <v>0</v>
      </c>
      <c r="AJ61" s="171">
        <f>SUMIF('CF(M)'!$L$10:$EQ$10,AJ$6,'CF(M)'!$L66:$EQ66)</f>
        <v>0</v>
      </c>
      <c r="AK61" s="171">
        <f>SUMIF('CF(M)'!$L$10:$EQ$10,AK$6,'CF(M)'!$L66:$EQ66)</f>
        <v>0</v>
      </c>
      <c r="AL61" s="171">
        <f>SUMIF('CF(M)'!$L$10:$EQ$10,AL$6,'CF(M)'!$L66:$EQ66)</f>
        <v>0</v>
      </c>
      <c r="AM61" s="171">
        <f>SUMIF('CF(M)'!$L$10:$EQ$10,AM$6,'CF(M)'!$L66:$EQ66)</f>
        <v>0</v>
      </c>
      <c r="AN61" s="171">
        <f>SUMIF('CF(M)'!$L$10:$EQ$10,AN$6,'CF(M)'!$L66:$EQ66)</f>
        <v>0</v>
      </c>
      <c r="AO61" s="171">
        <f>SUMIF('CF(M)'!$L$10:$EQ$10,AO$6,'CF(M)'!$L66:$EQ66)</f>
        <v>0</v>
      </c>
      <c r="AP61" s="171">
        <f>SUMIF('CF(M)'!$L$10:$EQ$10,AP$6,'CF(M)'!$L66:$EQ66)</f>
        <v>0</v>
      </c>
      <c r="AQ61" s="171">
        <f>SUMIF('CF(M)'!$L$10:$EQ$10,AQ$6,'CF(M)'!$L66:$EQ66)</f>
        <v>0</v>
      </c>
      <c r="AR61" s="171">
        <f>SUMIF('CF(M)'!$L$10:$EQ$10,AR$6,'CF(M)'!$L66:$EQ66)</f>
        <v>0</v>
      </c>
      <c r="AS61" s="171">
        <f>SUMIF('CF(M)'!$L$10:$EQ$10,AS$6,'CF(M)'!$L66:$EQ66)</f>
        <v>0</v>
      </c>
      <c r="AT61" s="171">
        <f>SUMIF('CF(M)'!$L$10:$EQ$10,AT$6,'CF(M)'!$L66:$EQ66)</f>
        <v>0</v>
      </c>
      <c r="AU61" s="171">
        <f>SUMIF('CF(M)'!$L$10:$EQ$10,AU$6,'CF(M)'!$L66:$EQ66)</f>
        <v>0</v>
      </c>
      <c r="AV61" s="171">
        <f>SUMIF('CF(M)'!$L$10:$EQ$10,AV$6,'CF(M)'!$L66:$EQ66)</f>
        <v>0</v>
      </c>
      <c r="AW61" s="171">
        <f>SUMIF('CF(M)'!$L$10:$EQ$10,AW$6,'CF(M)'!$L66:$EQ66)</f>
        <v>0</v>
      </c>
      <c r="AX61" s="171">
        <f>SUMIF('CF(M)'!$L$10:$EQ$10,AX$6,'CF(M)'!$L66:$EQ66)</f>
        <v>0</v>
      </c>
      <c r="AY61" s="171">
        <f>SUMIF('CF(M)'!$L$10:$EQ$10,AY$6,'CF(M)'!$L66:$EQ66)</f>
        <v>0</v>
      </c>
      <c r="AZ61" s="171">
        <f>SUMIF('CF(M)'!$L$10:$EQ$10,AZ$6,'CF(M)'!$L66:$EQ66)</f>
        <v>0</v>
      </c>
      <c r="BA61" s="171">
        <f>SUMIF('CF(M)'!$L$10:$EQ$10,BA$6,'CF(M)'!$L66:$EQ66)</f>
        <v>0</v>
      </c>
      <c r="BB61" s="171">
        <f>SUMIF('CF(M)'!$L$10:$EQ$10,BB$6,'CF(M)'!$L66:$EQ66)</f>
        <v>0</v>
      </c>
      <c r="BC61" s="171">
        <f>SUMIF('CF(M)'!$L$10:$EQ$10,BC$6,'CF(M)'!$L66:$EQ66)</f>
        <v>0</v>
      </c>
      <c r="BD61" s="171">
        <f>SUMIF('CF(M)'!$L$10:$EQ$10,BD$6,'CF(M)'!$L66:$EQ66)</f>
        <v>0</v>
      </c>
      <c r="BE61" s="171">
        <f>SUMIF('CF(M)'!$L$10:$EQ$10,BE$6,'CF(M)'!$L66:$EQ66)</f>
        <v>0</v>
      </c>
      <c r="BF61" s="171">
        <f>SUMIF('CF(M)'!$L$10:$EQ$10,BF$6,'CF(M)'!$L66:$EQ66)</f>
        <v>0</v>
      </c>
      <c r="BG61" s="171">
        <f>SUMIF('CF(M)'!$L$10:$EQ$10,BG$6,'CF(M)'!$L66:$EQ66)</f>
        <v>0</v>
      </c>
      <c r="BH61" s="171">
        <f>SUMIF('CF(M)'!$L$10:$EQ$10,BH$6,'CF(M)'!$L66:$EQ66)</f>
        <v>0</v>
      </c>
      <c r="BI61" s="171">
        <f>SUMIF('CF(M)'!$L$10:$EQ$10,BI$6,'CF(M)'!$L66:$EQ66)</f>
        <v>0</v>
      </c>
      <c r="BJ61" s="171">
        <f>SUMIF('CF(M)'!$L$10:$EQ$10,BJ$6,'CF(M)'!$L66:$EQ66)</f>
        <v>0</v>
      </c>
      <c r="BK61" s="171">
        <f>SUMIF('CF(M)'!$L$10:$EQ$10,BK$6,'CF(M)'!$L66:$EQ66)</f>
        <v>0</v>
      </c>
      <c r="BL61" s="171">
        <f>SUMIF('CF(M)'!$L$10:$EQ$10,BL$6,'CF(M)'!$L66:$EQ66)</f>
        <v>0</v>
      </c>
      <c r="BM61" s="171">
        <f>SUMIF('CF(M)'!$L$10:$EQ$10,BM$6,'CF(M)'!$L66:$EQ66)</f>
        <v>0</v>
      </c>
      <c r="BN61" s="171">
        <f>SUMIF('CF(M)'!$L$10:$EQ$10,BN$6,'CF(M)'!$L66:$EQ66)</f>
        <v>0</v>
      </c>
      <c r="BO61" s="171">
        <f>SUMIF('CF(M)'!$L$10:$EQ$10,BO$6,'CF(M)'!$L66:$EQ66)</f>
        <v>0</v>
      </c>
      <c r="BP61" s="171">
        <f>SUMIF('CF(M)'!$L$10:$EQ$10,BP$6,'CF(M)'!$L66:$EQ66)</f>
        <v>0</v>
      </c>
      <c r="BQ61" s="171">
        <f>SUMIF('CF(M)'!$L$10:$EQ$10,BQ$6,'CF(M)'!$L66:$EQ66)</f>
        <v>0</v>
      </c>
      <c r="BR61" s="171">
        <f>SUMIF('CF(M)'!$L$10:$EQ$10,BR$6,'CF(M)'!$L66:$EQ66)</f>
        <v>0</v>
      </c>
      <c r="BS61" s="171">
        <f>SUMIF('CF(M)'!$L$10:$EQ$10,BS$6,'CF(M)'!$L66:$EQ66)</f>
        <v>0</v>
      </c>
      <c r="BT61" s="171">
        <f>SUMIF('CF(M)'!$L$10:$EQ$10,BT$6,'CF(M)'!$L66:$EQ66)</f>
        <v>0</v>
      </c>
      <c r="BU61" s="171">
        <f>SUMIF('CF(M)'!$L$10:$EQ$10,BU$6,'CF(M)'!$L66:$EQ66)</f>
        <v>0</v>
      </c>
      <c r="BV61" s="171">
        <f>SUMIF('CF(M)'!$L$10:$EQ$10,BV$6,'CF(M)'!$L66:$EQ66)</f>
        <v>0</v>
      </c>
      <c r="BW61" s="171">
        <f>SUMIF('CF(M)'!$L$10:$EQ$10,BW$6,'CF(M)'!$L66:$EQ66)</f>
        <v>0</v>
      </c>
      <c r="BX61" s="171">
        <f>SUMIF('CF(M)'!$L$10:$EQ$10,BX$6,'CF(M)'!$L66:$EQ66)</f>
        <v>0</v>
      </c>
      <c r="BY61" s="171">
        <f>SUMIF('CF(M)'!$L$10:$EQ$10,BY$6,'CF(M)'!$L66:$EQ66)</f>
        <v>0</v>
      </c>
      <c r="BZ61" s="171">
        <f>SUMIF('CF(M)'!$L$10:$EQ$10,BZ$6,'CF(M)'!$L66:$EQ66)</f>
        <v>0</v>
      </c>
      <c r="CA61" s="171">
        <f>SUMIF('CF(M)'!$L$10:$EQ$10,CA$6,'CF(M)'!$L66:$EQ66)</f>
        <v>0</v>
      </c>
      <c r="CB61" s="171">
        <f>SUMIF('CF(M)'!$L$10:$EQ$10,CB$6,'CF(M)'!$L66:$EQ66)</f>
        <v>0</v>
      </c>
      <c r="CC61" s="171">
        <f>SUMIF('CF(M)'!$L$10:$EQ$10,CC$6,'CF(M)'!$L66:$EQ66)</f>
        <v>0</v>
      </c>
      <c r="CD61" s="171">
        <f>SUMIF('CF(M)'!$L$10:$EQ$10,CD$6,'CF(M)'!$L66:$EQ66)</f>
        <v>0</v>
      </c>
      <c r="CE61" s="171">
        <f>SUMIF('CF(M)'!$L$10:$EQ$10,CE$6,'CF(M)'!$L66:$EQ66)</f>
        <v>0</v>
      </c>
      <c r="CF61" s="171">
        <f>SUMIF('CF(M)'!$L$10:$EQ$10,CF$6,'CF(M)'!$L66:$EQ66)</f>
        <v>0</v>
      </c>
      <c r="CG61" s="171">
        <f>SUMIF('CF(M)'!$L$10:$EQ$10,CG$6,'CF(M)'!$L66:$EQ66)</f>
        <v>0</v>
      </c>
      <c r="CH61" s="171">
        <f>SUMIF('CF(M)'!$L$10:$EQ$10,CH$6,'CF(M)'!$L66:$EQ66)</f>
        <v>0</v>
      </c>
      <c r="CI61" s="171">
        <f>SUMIF('CF(M)'!$L$10:$EQ$10,CI$6,'CF(M)'!$L66:$EQ66)</f>
        <v>0</v>
      </c>
      <c r="CJ61" s="171">
        <f>SUMIF('CF(M)'!$L$10:$EQ$10,CJ$6,'CF(M)'!$L66:$EQ66)</f>
        <v>0</v>
      </c>
      <c r="CK61" s="171">
        <f>SUMIF('CF(M)'!$L$10:$EQ$10,CK$6,'CF(M)'!$L66:$EQ66)</f>
        <v>0</v>
      </c>
      <c r="CL61" s="171">
        <f>SUMIF('CF(M)'!$L$10:$EQ$10,CL$6,'CF(M)'!$L66:$EQ66)</f>
        <v>0</v>
      </c>
      <c r="CM61" s="171">
        <f>SUMIF('CF(M)'!$L$10:$EQ$10,CM$6,'CF(M)'!$L66:$EQ66)</f>
        <v>0</v>
      </c>
      <c r="CN61" s="171">
        <f>SUMIF('CF(M)'!$L$10:$EQ$10,CN$6,'CF(M)'!$L66:$EQ66)</f>
        <v>0</v>
      </c>
      <c r="CO61" s="171">
        <f>SUMIF('CF(M)'!$L$10:$EQ$10,CO$6,'CF(M)'!$L66:$EQ66)</f>
        <v>0</v>
      </c>
      <c r="CP61" s="171">
        <f>SUMIF('CF(M)'!$L$10:$EQ$10,CP$6,'CF(M)'!$L66:$EQ66)</f>
        <v>0</v>
      </c>
      <c r="CQ61" s="171">
        <f>SUMIF('CF(M)'!$L$10:$EQ$10,CQ$6,'CF(M)'!$L66:$EQ66)</f>
        <v>0</v>
      </c>
      <c r="CR61" s="171">
        <f>SUMIF('CF(M)'!$L$10:$EQ$10,CR$6,'CF(M)'!$L66:$EQ66)</f>
        <v>0</v>
      </c>
      <c r="CS61" s="171">
        <f>SUMIF('CF(M)'!$L$10:$EQ$10,CS$6,'CF(M)'!$L66:$EQ66)</f>
        <v>0</v>
      </c>
      <c r="CT61" s="171">
        <f>SUMIF('CF(M)'!$L$10:$EQ$10,CT$6,'CF(M)'!$L66:$EQ66)</f>
        <v>0</v>
      </c>
      <c r="CU61" s="171">
        <f>SUMIF('CF(M)'!$L$10:$EQ$10,CU$6,'CF(M)'!$L66:$EQ66)</f>
        <v>0</v>
      </c>
      <c r="CV61" s="171">
        <f>SUMIF('CF(M)'!$L$10:$EQ$10,CV$6,'CF(M)'!$L66:$EQ66)</f>
        <v>0</v>
      </c>
      <c r="CW61" s="171">
        <f>SUMIF('CF(M)'!$L$10:$EQ$10,CW$6,'CF(M)'!$L66:$EQ66)</f>
        <v>0</v>
      </c>
      <c r="CX61" s="171">
        <f>SUMIF('CF(M)'!$L$10:$EQ$10,CX$6,'CF(M)'!$L66:$EQ66)</f>
        <v>0</v>
      </c>
      <c r="CY61" s="171">
        <f>SUMIF('CF(M)'!$L$10:$EQ$10,CY$6,'CF(M)'!$L66:$EQ66)</f>
        <v>0</v>
      </c>
      <c r="CZ61" s="171">
        <f>SUMIF('CF(M)'!$L$10:$EQ$10,CZ$6,'CF(M)'!$L66:$EQ66)</f>
        <v>0</v>
      </c>
      <c r="DA61" s="171">
        <f>SUMIF('CF(M)'!$L$10:$EQ$10,DA$6,'CF(M)'!$L66:$EQ66)</f>
        <v>0</v>
      </c>
      <c r="DB61" s="171">
        <f>SUMIF('CF(M)'!$L$10:$EQ$10,DB$6,'CF(M)'!$L66:$EQ66)</f>
        <v>0</v>
      </c>
      <c r="DC61" s="171">
        <f>SUMIF('CF(M)'!$L$10:$EQ$10,DC$6,'CF(M)'!$L66:$EQ66)</f>
        <v>0</v>
      </c>
      <c r="DD61" s="171">
        <f>SUMIF('CF(M)'!$L$10:$EQ$10,DD$6,'CF(M)'!$L66:$EQ66)</f>
        <v>0</v>
      </c>
      <c r="DE61" s="171">
        <f>SUMIF('CF(M)'!$L$10:$EQ$10,DE$6,'CF(M)'!$L66:$EQ66)</f>
        <v>0</v>
      </c>
      <c r="DF61" s="171">
        <f>SUMIF('CF(M)'!$L$10:$EQ$10,DF$6,'CF(M)'!$L66:$EQ66)</f>
        <v>0</v>
      </c>
      <c r="DG61" s="171">
        <f>SUMIF('CF(M)'!$L$10:$EQ$10,DG$6,'CF(M)'!$L66:$EQ66)</f>
        <v>0</v>
      </c>
      <c r="DH61" s="171">
        <f>SUMIF('CF(M)'!$L$10:$EQ$10,DH$6,'CF(M)'!$L66:$EQ66)</f>
        <v>0</v>
      </c>
      <c r="DI61" s="171">
        <f>SUMIF('CF(M)'!$L$10:$EQ$10,DI$6,'CF(M)'!$L66:$EQ66)</f>
        <v>0</v>
      </c>
      <c r="DJ61" s="171">
        <f>SUMIF('CF(M)'!$L$10:$EQ$10,DJ$6,'CF(M)'!$L66:$EQ66)</f>
        <v>0</v>
      </c>
      <c r="DK61" s="171">
        <f>SUMIF('CF(M)'!$L$10:$EQ$10,DK$6,'CF(M)'!$L66:$EQ66)</f>
        <v>0</v>
      </c>
      <c r="DL61" s="171">
        <f>SUMIF('CF(M)'!$L$10:$EQ$10,DL$6,'CF(M)'!$L66:$EQ66)</f>
        <v>0</v>
      </c>
      <c r="DM61" s="171">
        <f>SUMIF('CF(M)'!$L$10:$EQ$10,DM$6,'CF(M)'!$L66:$EQ66)</f>
        <v>0</v>
      </c>
      <c r="DN61" s="171">
        <f>SUMIF('CF(M)'!$L$10:$EQ$10,DN$6,'CF(M)'!$L66:$EQ66)</f>
        <v>0</v>
      </c>
      <c r="DO61" s="171">
        <f>SUMIF('CF(M)'!$L$10:$EQ$10,DO$6,'CF(M)'!$L66:$EQ66)</f>
        <v>0</v>
      </c>
      <c r="DP61" s="171">
        <f>SUMIF('CF(M)'!$L$10:$EQ$10,DP$6,'CF(M)'!$L66:$EQ66)</f>
        <v>0</v>
      </c>
      <c r="DQ61" s="171">
        <f>SUMIF('CF(M)'!$L$10:$EQ$10,DQ$6,'CF(M)'!$L66:$EQ66)</f>
        <v>0</v>
      </c>
      <c r="DR61" s="171">
        <f>SUMIF('CF(M)'!$L$10:$EQ$10,DR$6,'CF(M)'!$L66:$EQ66)</f>
        <v>0</v>
      </c>
      <c r="DS61" s="171">
        <f>SUMIF('CF(M)'!$L$10:$EQ$10,DS$6,'CF(M)'!$L66:$EQ66)</f>
        <v>0</v>
      </c>
      <c r="DT61" s="171">
        <f>SUMIF('CF(M)'!$L$10:$EQ$10,DT$6,'CF(M)'!$L66:$EQ66)</f>
        <v>0</v>
      </c>
      <c r="DU61" s="171">
        <f>SUMIF('CF(M)'!$L$10:$EQ$10,DU$6,'CF(M)'!$L66:$EQ66)</f>
        <v>0</v>
      </c>
      <c r="DV61" s="171">
        <f>SUMIF('CF(M)'!$L$10:$EQ$10,DV$6,'CF(M)'!$L66:$EQ66)</f>
        <v>0</v>
      </c>
    </row>
    <row r="62" spans="2:126" ht="11.25" customHeight="1">
      <c r="B62" s="223" t="s">
        <v>204</v>
      </c>
      <c r="C62" s="224"/>
      <c r="D62" s="224"/>
      <c r="E62" s="224"/>
      <c r="F62" s="224"/>
      <c r="G62" s="224"/>
      <c r="H62" s="225"/>
      <c r="I62" s="226"/>
      <c r="J62" s="227">
        <f ca="1">SUM(J63,J66,J87,J105,J90,J84,J75,J69,J72,J78,J81,J110,J95,J100)</f>
        <v>-114248066.68783468</v>
      </c>
      <c r="L62" s="216">
        <f ca="1">SUM(L63,L66,L87,L105,L90,L84,L75,L69,L72,L78,L81,L110,L95,L100)</f>
        <v>311756669.63053203</v>
      </c>
      <c r="M62" s="216">
        <f t="shared" ref="M62:BX62" ca="1" si="24">SUM(M63,M66,M87,M105,M90,M84,M75,M69,M72,M78,M81,M110,M95,M100)</f>
        <v>-16126669.630531998</v>
      </c>
      <c r="N62" s="216">
        <f t="shared" ca="1" si="24"/>
        <v>-3270000</v>
      </c>
      <c r="O62" s="216">
        <f t="shared" ca="1" si="24"/>
        <v>-2715000</v>
      </c>
      <c r="P62" s="216">
        <f t="shared" ca="1" si="24"/>
        <v>2285000</v>
      </c>
      <c r="Q62" s="216">
        <f t="shared" ca="1" si="24"/>
        <v>-2715000</v>
      </c>
      <c r="R62" s="216">
        <f t="shared" ca="1" si="24"/>
        <v>-2715000</v>
      </c>
      <c r="S62" s="216">
        <f t="shared" ca="1" si="24"/>
        <v>-2602472.0129412687</v>
      </c>
      <c r="T62" s="216">
        <f t="shared" ca="1" si="24"/>
        <v>-2353291.9989280105</v>
      </c>
      <c r="U62" s="216">
        <f t="shared" ca="1" si="24"/>
        <v>-2105541.4966859473</v>
      </c>
      <c r="V62" s="216">
        <f t="shared" ca="1" si="24"/>
        <v>-2562478.4355854392</v>
      </c>
      <c r="W62" s="216">
        <f t="shared" ca="1" si="24"/>
        <v>-2645647.7403300544</v>
      </c>
      <c r="X62" s="216">
        <f t="shared" ca="1" si="24"/>
        <v>-3098497.3462193981</v>
      </c>
      <c r="Y62" s="216">
        <f t="shared" ca="1" si="24"/>
        <v>-2871213.1788212531</v>
      </c>
      <c r="Z62" s="216">
        <f t="shared" ca="1" si="24"/>
        <v>-3320274.6567853596</v>
      </c>
      <c r="AA62" s="216">
        <f t="shared" ca="1" si="24"/>
        <v>-2875583.1337032691</v>
      </c>
      <c r="AB62" s="216">
        <f t="shared" ca="1" si="24"/>
        <v>-2715000</v>
      </c>
      <c r="AC62" s="216">
        <f t="shared" ca="1" si="24"/>
        <v>-2715000</v>
      </c>
      <c r="AD62" s="216">
        <f t="shared" ca="1" si="24"/>
        <v>-2715000</v>
      </c>
      <c r="AE62" s="216">
        <f t="shared" ca="1" si="24"/>
        <v>-2715000</v>
      </c>
      <c r="AF62" s="216">
        <f t="shared" ca="1" si="24"/>
        <v>-365453066.68783468</v>
      </c>
      <c r="AG62" s="216">
        <f t="shared" ca="1" si="24"/>
        <v>0</v>
      </c>
      <c r="AH62" s="216">
        <f t="shared" ca="1" si="24"/>
        <v>0</v>
      </c>
      <c r="AI62" s="216">
        <f t="shared" ca="1" si="24"/>
        <v>0</v>
      </c>
      <c r="AJ62" s="216">
        <f t="shared" si="24"/>
        <v>0</v>
      </c>
      <c r="AK62" s="216">
        <f t="shared" si="24"/>
        <v>0</v>
      </c>
      <c r="AL62" s="216">
        <f t="shared" si="24"/>
        <v>0</v>
      </c>
      <c r="AM62" s="216">
        <f t="shared" si="24"/>
        <v>0</v>
      </c>
      <c r="AN62" s="216">
        <f t="shared" si="24"/>
        <v>0</v>
      </c>
      <c r="AO62" s="216">
        <f t="shared" si="24"/>
        <v>0</v>
      </c>
      <c r="AP62" s="216">
        <f t="shared" si="24"/>
        <v>0</v>
      </c>
      <c r="AQ62" s="216">
        <f t="shared" si="24"/>
        <v>0</v>
      </c>
      <c r="AR62" s="216">
        <f t="shared" si="24"/>
        <v>0</v>
      </c>
      <c r="AS62" s="216">
        <f t="shared" si="24"/>
        <v>0</v>
      </c>
      <c r="AT62" s="216">
        <f t="shared" si="24"/>
        <v>0</v>
      </c>
      <c r="AU62" s="216">
        <f t="shared" si="24"/>
        <v>0</v>
      </c>
      <c r="AV62" s="216">
        <f t="shared" si="24"/>
        <v>0</v>
      </c>
      <c r="AW62" s="216">
        <f t="shared" si="24"/>
        <v>0</v>
      </c>
      <c r="AX62" s="216">
        <f t="shared" si="24"/>
        <v>0</v>
      </c>
      <c r="AY62" s="216">
        <f t="shared" si="24"/>
        <v>0</v>
      </c>
      <c r="AZ62" s="216">
        <f t="shared" si="24"/>
        <v>0</v>
      </c>
      <c r="BA62" s="216">
        <f t="shared" si="24"/>
        <v>0</v>
      </c>
      <c r="BB62" s="216">
        <f t="shared" si="24"/>
        <v>0</v>
      </c>
      <c r="BC62" s="216">
        <f t="shared" si="24"/>
        <v>0</v>
      </c>
      <c r="BD62" s="216">
        <f t="shared" si="24"/>
        <v>0</v>
      </c>
      <c r="BE62" s="216">
        <f t="shared" si="24"/>
        <v>0</v>
      </c>
      <c r="BF62" s="216">
        <f t="shared" si="24"/>
        <v>0</v>
      </c>
      <c r="BG62" s="216">
        <f t="shared" si="24"/>
        <v>0</v>
      </c>
      <c r="BH62" s="216">
        <f t="shared" si="24"/>
        <v>0</v>
      </c>
      <c r="BI62" s="216">
        <f t="shared" si="24"/>
        <v>0</v>
      </c>
      <c r="BJ62" s="216">
        <f t="shared" si="24"/>
        <v>0</v>
      </c>
      <c r="BK62" s="216">
        <f t="shared" si="24"/>
        <v>0</v>
      </c>
      <c r="BL62" s="216">
        <f t="shared" si="24"/>
        <v>0</v>
      </c>
      <c r="BM62" s="216">
        <f t="shared" si="24"/>
        <v>0</v>
      </c>
      <c r="BN62" s="216">
        <f t="shared" si="24"/>
        <v>0</v>
      </c>
      <c r="BO62" s="216">
        <f t="shared" si="24"/>
        <v>0</v>
      </c>
      <c r="BP62" s="216">
        <f t="shared" si="24"/>
        <v>0</v>
      </c>
      <c r="BQ62" s="216">
        <f t="shared" si="24"/>
        <v>0</v>
      </c>
      <c r="BR62" s="216">
        <f t="shared" si="24"/>
        <v>0</v>
      </c>
      <c r="BS62" s="216">
        <f t="shared" si="24"/>
        <v>0</v>
      </c>
      <c r="BT62" s="216">
        <f t="shared" si="24"/>
        <v>0</v>
      </c>
      <c r="BU62" s="216">
        <f t="shared" si="24"/>
        <v>0</v>
      </c>
      <c r="BV62" s="216">
        <f t="shared" si="24"/>
        <v>0</v>
      </c>
      <c r="BW62" s="216">
        <f t="shared" si="24"/>
        <v>0</v>
      </c>
      <c r="BX62" s="216">
        <f t="shared" si="24"/>
        <v>0</v>
      </c>
      <c r="BY62" s="216">
        <f t="shared" ref="BY62:DV62" si="25">SUM(BY63,BY66,BY87,BY105,BY90,BY84,BY75,BY69,BY72,BY78,BY81,BY110,BY95,BY100)</f>
        <v>0</v>
      </c>
      <c r="BZ62" s="216">
        <f t="shared" si="25"/>
        <v>0</v>
      </c>
      <c r="CA62" s="216">
        <f t="shared" si="25"/>
        <v>0</v>
      </c>
      <c r="CB62" s="216">
        <f t="shared" si="25"/>
        <v>0</v>
      </c>
      <c r="CC62" s="216">
        <f t="shared" si="25"/>
        <v>0</v>
      </c>
      <c r="CD62" s="216">
        <f t="shared" si="25"/>
        <v>0</v>
      </c>
      <c r="CE62" s="216">
        <f t="shared" si="25"/>
        <v>0</v>
      </c>
      <c r="CF62" s="216">
        <f t="shared" si="25"/>
        <v>0</v>
      </c>
      <c r="CG62" s="216">
        <f t="shared" si="25"/>
        <v>0</v>
      </c>
      <c r="CH62" s="216">
        <f t="shared" si="25"/>
        <v>0</v>
      </c>
      <c r="CI62" s="216">
        <f t="shared" si="25"/>
        <v>0</v>
      </c>
      <c r="CJ62" s="216">
        <f t="shared" si="25"/>
        <v>0</v>
      </c>
      <c r="CK62" s="216">
        <f t="shared" si="25"/>
        <v>0</v>
      </c>
      <c r="CL62" s="216">
        <f t="shared" si="25"/>
        <v>0</v>
      </c>
      <c r="CM62" s="216">
        <f t="shared" si="25"/>
        <v>0</v>
      </c>
      <c r="CN62" s="216">
        <f t="shared" si="25"/>
        <v>0</v>
      </c>
      <c r="CO62" s="216">
        <f t="shared" si="25"/>
        <v>0</v>
      </c>
      <c r="CP62" s="216">
        <f t="shared" si="25"/>
        <v>0</v>
      </c>
      <c r="CQ62" s="216">
        <f t="shared" si="25"/>
        <v>0</v>
      </c>
      <c r="CR62" s="216">
        <f t="shared" si="25"/>
        <v>0</v>
      </c>
      <c r="CS62" s="216">
        <f t="shared" si="25"/>
        <v>0</v>
      </c>
      <c r="CT62" s="216">
        <f t="shared" si="25"/>
        <v>0</v>
      </c>
      <c r="CU62" s="216">
        <f t="shared" si="25"/>
        <v>0</v>
      </c>
      <c r="CV62" s="216">
        <f t="shared" si="25"/>
        <v>0</v>
      </c>
      <c r="CW62" s="216">
        <f t="shared" si="25"/>
        <v>0</v>
      </c>
      <c r="CX62" s="216">
        <f t="shared" si="25"/>
        <v>0</v>
      </c>
      <c r="CY62" s="216">
        <f t="shared" si="25"/>
        <v>0</v>
      </c>
      <c r="CZ62" s="216">
        <f t="shared" si="25"/>
        <v>0</v>
      </c>
      <c r="DA62" s="216">
        <f t="shared" si="25"/>
        <v>0</v>
      </c>
      <c r="DB62" s="216">
        <f t="shared" si="25"/>
        <v>0</v>
      </c>
      <c r="DC62" s="216">
        <f t="shared" si="25"/>
        <v>0</v>
      </c>
      <c r="DD62" s="216">
        <f t="shared" si="25"/>
        <v>0</v>
      </c>
      <c r="DE62" s="216">
        <f t="shared" si="25"/>
        <v>0</v>
      </c>
      <c r="DF62" s="216">
        <f t="shared" si="25"/>
        <v>0</v>
      </c>
      <c r="DG62" s="216">
        <f t="shared" si="25"/>
        <v>0</v>
      </c>
      <c r="DH62" s="216">
        <f t="shared" si="25"/>
        <v>0</v>
      </c>
      <c r="DI62" s="216">
        <f t="shared" si="25"/>
        <v>0</v>
      </c>
      <c r="DJ62" s="216">
        <f t="shared" si="25"/>
        <v>0</v>
      </c>
      <c r="DK62" s="216">
        <f t="shared" si="25"/>
        <v>0</v>
      </c>
      <c r="DL62" s="216">
        <f t="shared" si="25"/>
        <v>0</v>
      </c>
      <c r="DM62" s="216">
        <f t="shared" si="25"/>
        <v>0</v>
      </c>
      <c r="DN62" s="216">
        <f t="shared" si="25"/>
        <v>0</v>
      </c>
      <c r="DO62" s="216">
        <f t="shared" si="25"/>
        <v>0</v>
      </c>
      <c r="DP62" s="216">
        <f t="shared" si="25"/>
        <v>0</v>
      </c>
      <c r="DQ62" s="216">
        <f t="shared" si="25"/>
        <v>0</v>
      </c>
      <c r="DR62" s="216">
        <f t="shared" si="25"/>
        <v>0</v>
      </c>
      <c r="DS62" s="216">
        <f t="shared" si="25"/>
        <v>0</v>
      </c>
      <c r="DT62" s="216">
        <f t="shared" si="25"/>
        <v>0</v>
      </c>
      <c r="DU62" s="216">
        <f t="shared" si="25"/>
        <v>0</v>
      </c>
      <c r="DV62" s="216">
        <f t="shared" si="25"/>
        <v>0</v>
      </c>
    </row>
    <row r="63" spans="2:126" ht="11.25" customHeight="1">
      <c r="B63" s="218"/>
      <c r="C63" s="158" t="s">
        <v>205</v>
      </c>
      <c r="D63" s="159"/>
      <c r="E63" s="159"/>
      <c r="F63" s="159"/>
      <c r="G63" s="159"/>
      <c r="H63" s="160"/>
      <c r="I63" s="219"/>
      <c r="J63" s="220">
        <f>SUM(J64:J65)</f>
        <v>0</v>
      </c>
      <c r="K63" s="98"/>
      <c r="L63" s="162">
        <f>SUM(L64:L65)</f>
        <v>2100000</v>
      </c>
      <c r="M63" s="162">
        <f t="shared" ref="M63:BX63" si="26">SUM(M64:M65)</f>
        <v>0</v>
      </c>
      <c r="N63" s="162">
        <f t="shared" si="26"/>
        <v>0</v>
      </c>
      <c r="O63" s="162">
        <f t="shared" si="26"/>
        <v>0</v>
      </c>
      <c r="P63" s="162">
        <f t="shared" si="26"/>
        <v>0</v>
      </c>
      <c r="Q63" s="162">
        <f t="shared" si="26"/>
        <v>0</v>
      </c>
      <c r="R63" s="162">
        <f t="shared" si="26"/>
        <v>0</v>
      </c>
      <c r="S63" s="162">
        <f t="shared" si="26"/>
        <v>0</v>
      </c>
      <c r="T63" s="162">
        <f t="shared" si="26"/>
        <v>0</v>
      </c>
      <c r="U63" s="162">
        <f t="shared" si="26"/>
        <v>0</v>
      </c>
      <c r="V63" s="162">
        <f t="shared" si="26"/>
        <v>0</v>
      </c>
      <c r="W63" s="162">
        <f t="shared" si="26"/>
        <v>0</v>
      </c>
      <c r="X63" s="162">
        <f t="shared" si="26"/>
        <v>0</v>
      </c>
      <c r="Y63" s="162">
        <f t="shared" si="26"/>
        <v>0</v>
      </c>
      <c r="Z63" s="162">
        <f t="shared" si="26"/>
        <v>0</v>
      </c>
      <c r="AA63" s="162">
        <f t="shared" si="26"/>
        <v>0</v>
      </c>
      <c r="AB63" s="162">
        <f t="shared" si="26"/>
        <v>0</v>
      </c>
      <c r="AC63" s="162">
        <f t="shared" si="26"/>
        <v>0</v>
      </c>
      <c r="AD63" s="162">
        <f t="shared" si="26"/>
        <v>0</v>
      </c>
      <c r="AE63" s="162">
        <f t="shared" si="26"/>
        <v>0</v>
      </c>
      <c r="AF63" s="162">
        <f t="shared" si="26"/>
        <v>-2100000</v>
      </c>
      <c r="AG63" s="162">
        <f t="shared" si="26"/>
        <v>0</v>
      </c>
      <c r="AH63" s="162">
        <f t="shared" si="26"/>
        <v>0</v>
      </c>
      <c r="AI63" s="162">
        <f t="shared" si="26"/>
        <v>0</v>
      </c>
      <c r="AJ63" s="162">
        <f t="shared" si="26"/>
        <v>0</v>
      </c>
      <c r="AK63" s="162">
        <f t="shared" si="26"/>
        <v>0</v>
      </c>
      <c r="AL63" s="162">
        <f t="shared" si="26"/>
        <v>0</v>
      </c>
      <c r="AM63" s="162">
        <f t="shared" si="26"/>
        <v>0</v>
      </c>
      <c r="AN63" s="162">
        <f t="shared" si="26"/>
        <v>0</v>
      </c>
      <c r="AO63" s="162">
        <f t="shared" si="26"/>
        <v>0</v>
      </c>
      <c r="AP63" s="162">
        <f t="shared" si="26"/>
        <v>0</v>
      </c>
      <c r="AQ63" s="162">
        <f t="shared" si="26"/>
        <v>0</v>
      </c>
      <c r="AR63" s="162">
        <f t="shared" si="26"/>
        <v>0</v>
      </c>
      <c r="AS63" s="162">
        <f t="shared" si="26"/>
        <v>0</v>
      </c>
      <c r="AT63" s="162">
        <f t="shared" si="26"/>
        <v>0</v>
      </c>
      <c r="AU63" s="162">
        <f t="shared" si="26"/>
        <v>0</v>
      </c>
      <c r="AV63" s="162">
        <f t="shared" si="26"/>
        <v>0</v>
      </c>
      <c r="AW63" s="162">
        <f t="shared" si="26"/>
        <v>0</v>
      </c>
      <c r="AX63" s="162">
        <f t="shared" si="26"/>
        <v>0</v>
      </c>
      <c r="AY63" s="162">
        <f t="shared" si="26"/>
        <v>0</v>
      </c>
      <c r="AZ63" s="162">
        <f t="shared" si="26"/>
        <v>0</v>
      </c>
      <c r="BA63" s="162">
        <f t="shared" si="26"/>
        <v>0</v>
      </c>
      <c r="BB63" s="162">
        <f t="shared" si="26"/>
        <v>0</v>
      </c>
      <c r="BC63" s="162">
        <f t="shared" si="26"/>
        <v>0</v>
      </c>
      <c r="BD63" s="162">
        <f t="shared" si="26"/>
        <v>0</v>
      </c>
      <c r="BE63" s="162">
        <f t="shared" si="26"/>
        <v>0</v>
      </c>
      <c r="BF63" s="162">
        <f t="shared" si="26"/>
        <v>0</v>
      </c>
      <c r="BG63" s="162">
        <f t="shared" si="26"/>
        <v>0</v>
      </c>
      <c r="BH63" s="162">
        <f t="shared" si="26"/>
        <v>0</v>
      </c>
      <c r="BI63" s="162">
        <f t="shared" si="26"/>
        <v>0</v>
      </c>
      <c r="BJ63" s="162">
        <f t="shared" si="26"/>
        <v>0</v>
      </c>
      <c r="BK63" s="162">
        <f t="shared" si="26"/>
        <v>0</v>
      </c>
      <c r="BL63" s="162">
        <f t="shared" si="26"/>
        <v>0</v>
      </c>
      <c r="BM63" s="162">
        <f t="shared" si="26"/>
        <v>0</v>
      </c>
      <c r="BN63" s="162">
        <f t="shared" si="26"/>
        <v>0</v>
      </c>
      <c r="BO63" s="162">
        <f t="shared" si="26"/>
        <v>0</v>
      </c>
      <c r="BP63" s="162">
        <f t="shared" si="26"/>
        <v>0</v>
      </c>
      <c r="BQ63" s="162">
        <f t="shared" si="26"/>
        <v>0</v>
      </c>
      <c r="BR63" s="162">
        <f t="shared" si="26"/>
        <v>0</v>
      </c>
      <c r="BS63" s="162">
        <f t="shared" si="26"/>
        <v>0</v>
      </c>
      <c r="BT63" s="162">
        <f t="shared" si="26"/>
        <v>0</v>
      </c>
      <c r="BU63" s="162">
        <f t="shared" si="26"/>
        <v>0</v>
      </c>
      <c r="BV63" s="162">
        <f t="shared" si="26"/>
        <v>0</v>
      </c>
      <c r="BW63" s="162">
        <f t="shared" si="26"/>
        <v>0</v>
      </c>
      <c r="BX63" s="162">
        <f t="shared" si="26"/>
        <v>0</v>
      </c>
      <c r="BY63" s="162">
        <f t="shared" ref="BY63:DV63" si="27">SUM(BY64:BY65)</f>
        <v>0</v>
      </c>
      <c r="BZ63" s="162">
        <f t="shared" si="27"/>
        <v>0</v>
      </c>
      <c r="CA63" s="162">
        <f t="shared" si="27"/>
        <v>0</v>
      </c>
      <c r="CB63" s="162">
        <f t="shared" si="27"/>
        <v>0</v>
      </c>
      <c r="CC63" s="162">
        <f t="shared" si="27"/>
        <v>0</v>
      </c>
      <c r="CD63" s="162">
        <f t="shared" si="27"/>
        <v>0</v>
      </c>
      <c r="CE63" s="162">
        <f t="shared" si="27"/>
        <v>0</v>
      </c>
      <c r="CF63" s="162">
        <f t="shared" si="27"/>
        <v>0</v>
      </c>
      <c r="CG63" s="162">
        <f t="shared" si="27"/>
        <v>0</v>
      </c>
      <c r="CH63" s="162">
        <f t="shared" si="27"/>
        <v>0</v>
      </c>
      <c r="CI63" s="162">
        <f t="shared" si="27"/>
        <v>0</v>
      </c>
      <c r="CJ63" s="162">
        <f t="shared" si="27"/>
        <v>0</v>
      </c>
      <c r="CK63" s="162">
        <f t="shared" si="27"/>
        <v>0</v>
      </c>
      <c r="CL63" s="162">
        <f t="shared" si="27"/>
        <v>0</v>
      </c>
      <c r="CM63" s="162">
        <f t="shared" si="27"/>
        <v>0</v>
      </c>
      <c r="CN63" s="162">
        <f t="shared" si="27"/>
        <v>0</v>
      </c>
      <c r="CO63" s="162">
        <f t="shared" si="27"/>
        <v>0</v>
      </c>
      <c r="CP63" s="162">
        <f t="shared" si="27"/>
        <v>0</v>
      </c>
      <c r="CQ63" s="162">
        <f t="shared" si="27"/>
        <v>0</v>
      </c>
      <c r="CR63" s="162">
        <f t="shared" si="27"/>
        <v>0</v>
      </c>
      <c r="CS63" s="162">
        <f t="shared" si="27"/>
        <v>0</v>
      </c>
      <c r="CT63" s="162">
        <f t="shared" si="27"/>
        <v>0</v>
      </c>
      <c r="CU63" s="162">
        <f t="shared" si="27"/>
        <v>0</v>
      </c>
      <c r="CV63" s="162">
        <f t="shared" si="27"/>
        <v>0</v>
      </c>
      <c r="CW63" s="162">
        <f t="shared" si="27"/>
        <v>0</v>
      </c>
      <c r="CX63" s="162">
        <f t="shared" si="27"/>
        <v>0</v>
      </c>
      <c r="CY63" s="162">
        <f t="shared" si="27"/>
        <v>0</v>
      </c>
      <c r="CZ63" s="162">
        <f t="shared" si="27"/>
        <v>0</v>
      </c>
      <c r="DA63" s="162">
        <f t="shared" si="27"/>
        <v>0</v>
      </c>
      <c r="DB63" s="162">
        <f t="shared" si="27"/>
        <v>0</v>
      </c>
      <c r="DC63" s="162">
        <f t="shared" si="27"/>
        <v>0</v>
      </c>
      <c r="DD63" s="162">
        <f t="shared" si="27"/>
        <v>0</v>
      </c>
      <c r="DE63" s="162">
        <f t="shared" si="27"/>
        <v>0</v>
      </c>
      <c r="DF63" s="162">
        <f t="shared" si="27"/>
        <v>0</v>
      </c>
      <c r="DG63" s="162">
        <f t="shared" si="27"/>
        <v>0</v>
      </c>
      <c r="DH63" s="162">
        <f t="shared" si="27"/>
        <v>0</v>
      </c>
      <c r="DI63" s="162">
        <f t="shared" si="27"/>
        <v>0</v>
      </c>
      <c r="DJ63" s="162">
        <f t="shared" si="27"/>
        <v>0</v>
      </c>
      <c r="DK63" s="162">
        <f t="shared" si="27"/>
        <v>0</v>
      </c>
      <c r="DL63" s="162">
        <f t="shared" si="27"/>
        <v>0</v>
      </c>
      <c r="DM63" s="162">
        <f t="shared" si="27"/>
        <v>0</v>
      </c>
      <c r="DN63" s="162">
        <f t="shared" si="27"/>
        <v>0</v>
      </c>
      <c r="DO63" s="162">
        <f t="shared" si="27"/>
        <v>0</v>
      </c>
      <c r="DP63" s="162">
        <f t="shared" si="27"/>
        <v>0</v>
      </c>
      <c r="DQ63" s="162">
        <f t="shared" si="27"/>
        <v>0</v>
      </c>
      <c r="DR63" s="162">
        <f t="shared" si="27"/>
        <v>0</v>
      </c>
      <c r="DS63" s="162">
        <f t="shared" si="27"/>
        <v>0</v>
      </c>
      <c r="DT63" s="162">
        <f t="shared" si="27"/>
        <v>0</v>
      </c>
      <c r="DU63" s="162">
        <f t="shared" si="27"/>
        <v>0</v>
      </c>
      <c r="DV63" s="162">
        <f t="shared" si="27"/>
        <v>0</v>
      </c>
    </row>
    <row r="64" spans="2:126" ht="11.25" customHeight="1">
      <c r="B64" s="218"/>
      <c r="C64" s="163"/>
      <c r="D64" s="164" t="s">
        <v>206</v>
      </c>
      <c r="E64" s="165"/>
      <c r="F64" s="165"/>
      <c r="G64" s="165"/>
      <c r="H64" s="166"/>
      <c r="I64" s="228"/>
      <c r="J64" s="168">
        <f>SUM(L64:DV64)</f>
        <v>2100000</v>
      </c>
      <c r="K64" s="98"/>
      <c r="L64" s="168">
        <f>SUMIF('CF(M)'!$L$10:$EQ$10,L$6,'CF(M)'!$L69:$EQ69)</f>
        <v>2100000</v>
      </c>
      <c r="M64" s="168">
        <f>SUMIF('CF(M)'!$L$10:$EQ$10,M$6,'CF(M)'!$L69:$EQ69)</f>
        <v>0</v>
      </c>
      <c r="N64" s="168">
        <f>SUMIF('CF(M)'!$L$10:$EQ$10,N$6,'CF(M)'!$L69:$EQ69)</f>
        <v>0</v>
      </c>
      <c r="O64" s="168">
        <f>SUMIF('CF(M)'!$L$10:$EQ$10,O$6,'CF(M)'!$L69:$EQ69)</f>
        <v>0</v>
      </c>
      <c r="P64" s="168">
        <f>SUMIF('CF(M)'!$L$10:$EQ$10,P$6,'CF(M)'!$L69:$EQ69)</f>
        <v>0</v>
      </c>
      <c r="Q64" s="168">
        <f>SUMIF('CF(M)'!$L$10:$EQ$10,Q$6,'CF(M)'!$L69:$EQ69)</f>
        <v>0</v>
      </c>
      <c r="R64" s="168">
        <f>SUMIF('CF(M)'!$L$10:$EQ$10,R$6,'CF(M)'!$L69:$EQ69)</f>
        <v>0</v>
      </c>
      <c r="S64" s="168">
        <f>SUMIF('CF(M)'!$L$10:$EQ$10,S$6,'CF(M)'!$L69:$EQ69)</f>
        <v>0</v>
      </c>
      <c r="T64" s="168">
        <f>SUMIF('CF(M)'!$L$10:$EQ$10,T$6,'CF(M)'!$L69:$EQ69)</f>
        <v>0</v>
      </c>
      <c r="U64" s="168">
        <f>SUMIF('CF(M)'!$L$10:$EQ$10,U$6,'CF(M)'!$L69:$EQ69)</f>
        <v>0</v>
      </c>
      <c r="V64" s="168">
        <f>SUMIF('CF(M)'!$L$10:$EQ$10,V$6,'CF(M)'!$L69:$EQ69)</f>
        <v>0</v>
      </c>
      <c r="W64" s="168">
        <f>SUMIF('CF(M)'!$L$10:$EQ$10,W$6,'CF(M)'!$L69:$EQ69)</f>
        <v>0</v>
      </c>
      <c r="X64" s="168">
        <f>SUMIF('CF(M)'!$L$10:$EQ$10,X$6,'CF(M)'!$L69:$EQ69)</f>
        <v>0</v>
      </c>
      <c r="Y64" s="168">
        <f>SUMIF('CF(M)'!$L$10:$EQ$10,Y$6,'CF(M)'!$L69:$EQ69)</f>
        <v>0</v>
      </c>
      <c r="Z64" s="168">
        <f>SUMIF('CF(M)'!$L$10:$EQ$10,Z$6,'CF(M)'!$L69:$EQ69)</f>
        <v>0</v>
      </c>
      <c r="AA64" s="168">
        <f>SUMIF('CF(M)'!$L$10:$EQ$10,AA$6,'CF(M)'!$L69:$EQ69)</f>
        <v>0</v>
      </c>
      <c r="AB64" s="168">
        <f>SUMIF('CF(M)'!$L$10:$EQ$10,AB$6,'CF(M)'!$L69:$EQ69)</f>
        <v>0</v>
      </c>
      <c r="AC64" s="168">
        <f>SUMIF('CF(M)'!$L$10:$EQ$10,AC$6,'CF(M)'!$L69:$EQ69)</f>
        <v>0</v>
      </c>
      <c r="AD64" s="168">
        <f>SUMIF('CF(M)'!$L$10:$EQ$10,AD$6,'CF(M)'!$L69:$EQ69)</f>
        <v>0</v>
      </c>
      <c r="AE64" s="168">
        <f>SUMIF('CF(M)'!$L$10:$EQ$10,AE$6,'CF(M)'!$L69:$EQ69)</f>
        <v>0</v>
      </c>
      <c r="AF64" s="168">
        <f>SUMIF('CF(M)'!$L$10:$EQ$10,AF$6,'CF(M)'!$L69:$EQ69)</f>
        <v>0</v>
      </c>
      <c r="AG64" s="168">
        <f>SUMIF('CF(M)'!$L$10:$EQ$10,AG$6,'CF(M)'!$L69:$EQ69)</f>
        <v>0</v>
      </c>
      <c r="AH64" s="168">
        <f>SUMIF('CF(M)'!$L$10:$EQ$10,AH$6,'CF(M)'!$L69:$EQ69)</f>
        <v>0</v>
      </c>
      <c r="AI64" s="168">
        <f>SUMIF('CF(M)'!$L$10:$EQ$10,AI$6,'CF(M)'!$L69:$EQ69)</f>
        <v>0</v>
      </c>
      <c r="AJ64" s="168">
        <f>SUMIF('CF(M)'!$L$10:$EQ$10,AJ$6,'CF(M)'!$L69:$EQ69)</f>
        <v>0</v>
      </c>
      <c r="AK64" s="168">
        <f>SUMIF('CF(M)'!$L$10:$EQ$10,AK$6,'CF(M)'!$L69:$EQ69)</f>
        <v>0</v>
      </c>
      <c r="AL64" s="168">
        <f>SUMIF('CF(M)'!$L$10:$EQ$10,AL$6,'CF(M)'!$L69:$EQ69)</f>
        <v>0</v>
      </c>
      <c r="AM64" s="168">
        <f>SUMIF('CF(M)'!$L$10:$EQ$10,AM$6,'CF(M)'!$L69:$EQ69)</f>
        <v>0</v>
      </c>
      <c r="AN64" s="168">
        <f>SUMIF('CF(M)'!$L$10:$EQ$10,AN$6,'CF(M)'!$L69:$EQ69)</f>
        <v>0</v>
      </c>
      <c r="AO64" s="168">
        <f>SUMIF('CF(M)'!$L$10:$EQ$10,AO$6,'CF(M)'!$L69:$EQ69)</f>
        <v>0</v>
      </c>
      <c r="AP64" s="168">
        <f>SUMIF('CF(M)'!$L$10:$EQ$10,AP$6,'CF(M)'!$L69:$EQ69)</f>
        <v>0</v>
      </c>
      <c r="AQ64" s="168">
        <f>SUMIF('CF(M)'!$L$10:$EQ$10,AQ$6,'CF(M)'!$L69:$EQ69)</f>
        <v>0</v>
      </c>
      <c r="AR64" s="168">
        <f>SUMIF('CF(M)'!$L$10:$EQ$10,AR$6,'CF(M)'!$L69:$EQ69)</f>
        <v>0</v>
      </c>
      <c r="AS64" s="168">
        <f>SUMIF('CF(M)'!$L$10:$EQ$10,AS$6,'CF(M)'!$L69:$EQ69)</f>
        <v>0</v>
      </c>
      <c r="AT64" s="168">
        <f>SUMIF('CF(M)'!$L$10:$EQ$10,AT$6,'CF(M)'!$L69:$EQ69)</f>
        <v>0</v>
      </c>
      <c r="AU64" s="168">
        <f>SUMIF('CF(M)'!$L$10:$EQ$10,AU$6,'CF(M)'!$L69:$EQ69)</f>
        <v>0</v>
      </c>
      <c r="AV64" s="168">
        <f>SUMIF('CF(M)'!$L$10:$EQ$10,AV$6,'CF(M)'!$L69:$EQ69)</f>
        <v>0</v>
      </c>
      <c r="AW64" s="168">
        <f>SUMIF('CF(M)'!$L$10:$EQ$10,AW$6,'CF(M)'!$L69:$EQ69)</f>
        <v>0</v>
      </c>
      <c r="AX64" s="168">
        <f>SUMIF('CF(M)'!$L$10:$EQ$10,AX$6,'CF(M)'!$L69:$EQ69)</f>
        <v>0</v>
      </c>
      <c r="AY64" s="168">
        <f>SUMIF('CF(M)'!$L$10:$EQ$10,AY$6,'CF(M)'!$L69:$EQ69)</f>
        <v>0</v>
      </c>
      <c r="AZ64" s="168">
        <f>SUMIF('CF(M)'!$L$10:$EQ$10,AZ$6,'CF(M)'!$L69:$EQ69)</f>
        <v>0</v>
      </c>
      <c r="BA64" s="168">
        <f>SUMIF('CF(M)'!$L$10:$EQ$10,BA$6,'CF(M)'!$L69:$EQ69)</f>
        <v>0</v>
      </c>
      <c r="BB64" s="168">
        <f>SUMIF('CF(M)'!$L$10:$EQ$10,BB$6,'CF(M)'!$L69:$EQ69)</f>
        <v>0</v>
      </c>
      <c r="BC64" s="168">
        <f>SUMIF('CF(M)'!$L$10:$EQ$10,BC$6,'CF(M)'!$L69:$EQ69)</f>
        <v>0</v>
      </c>
      <c r="BD64" s="168">
        <f>SUMIF('CF(M)'!$L$10:$EQ$10,BD$6,'CF(M)'!$L69:$EQ69)</f>
        <v>0</v>
      </c>
      <c r="BE64" s="168">
        <f>SUMIF('CF(M)'!$L$10:$EQ$10,BE$6,'CF(M)'!$L69:$EQ69)</f>
        <v>0</v>
      </c>
      <c r="BF64" s="168">
        <f>SUMIF('CF(M)'!$L$10:$EQ$10,BF$6,'CF(M)'!$L69:$EQ69)</f>
        <v>0</v>
      </c>
      <c r="BG64" s="168">
        <f>SUMIF('CF(M)'!$L$10:$EQ$10,BG$6,'CF(M)'!$L69:$EQ69)</f>
        <v>0</v>
      </c>
      <c r="BH64" s="168">
        <f>SUMIF('CF(M)'!$L$10:$EQ$10,BH$6,'CF(M)'!$L69:$EQ69)</f>
        <v>0</v>
      </c>
      <c r="BI64" s="168">
        <f>SUMIF('CF(M)'!$L$10:$EQ$10,BI$6,'CF(M)'!$L69:$EQ69)</f>
        <v>0</v>
      </c>
      <c r="BJ64" s="168">
        <f>SUMIF('CF(M)'!$L$10:$EQ$10,BJ$6,'CF(M)'!$L69:$EQ69)</f>
        <v>0</v>
      </c>
      <c r="BK64" s="168">
        <f>SUMIF('CF(M)'!$L$10:$EQ$10,BK$6,'CF(M)'!$L69:$EQ69)</f>
        <v>0</v>
      </c>
      <c r="BL64" s="168">
        <f>SUMIF('CF(M)'!$L$10:$EQ$10,BL$6,'CF(M)'!$L69:$EQ69)</f>
        <v>0</v>
      </c>
      <c r="BM64" s="168">
        <f>SUMIF('CF(M)'!$L$10:$EQ$10,BM$6,'CF(M)'!$L69:$EQ69)</f>
        <v>0</v>
      </c>
      <c r="BN64" s="168">
        <f>SUMIF('CF(M)'!$L$10:$EQ$10,BN$6,'CF(M)'!$L69:$EQ69)</f>
        <v>0</v>
      </c>
      <c r="BO64" s="168">
        <f>SUMIF('CF(M)'!$L$10:$EQ$10,BO$6,'CF(M)'!$L69:$EQ69)</f>
        <v>0</v>
      </c>
      <c r="BP64" s="168">
        <f>SUMIF('CF(M)'!$L$10:$EQ$10,BP$6,'CF(M)'!$L69:$EQ69)</f>
        <v>0</v>
      </c>
      <c r="BQ64" s="168">
        <f>SUMIF('CF(M)'!$L$10:$EQ$10,BQ$6,'CF(M)'!$L69:$EQ69)</f>
        <v>0</v>
      </c>
      <c r="BR64" s="168">
        <f>SUMIF('CF(M)'!$L$10:$EQ$10,BR$6,'CF(M)'!$L69:$EQ69)</f>
        <v>0</v>
      </c>
      <c r="BS64" s="168">
        <f>SUMIF('CF(M)'!$L$10:$EQ$10,BS$6,'CF(M)'!$L69:$EQ69)</f>
        <v>0</v>
      </c>
      <c r="BT64" s="168">
        <f>SUMIF('CF(M)'!$L$10:$EQ$10,BT$6,'CF(M)'!$L69:$EQ69)</f>
        <v>0</v>
      </c>
      <c r="BU64" s="168">
        <f>SUMIF('CF(M)'!$L$10:$EQ$10,BU$6,'CF(M)'!$L69:$EQ69)</f>
        <v>0</v>
      </c>
      <c r="BV64" s="168">
        <f>SUMIF('CF(M)'!$L$10:$EQ$10,BV$6,'CF(M)'!$L69:$EQ69)</f>
        <v>0</v>
      </c>
      <c r="BW64" s="168">
        <f>SUMIF('CF(M)'!$L$10:$EQ$10,BW$6,'CF(M)'!$L69:$EQ69)</f>
        <v>0</v>
      </c>
      <c r="BX64" s="168">
        <f>SUMIF('CF(M)'!$L$10:$EQ$10,BX$6,'CF(M)'!$L69:$EQ69)</f>
        <v>0</v>
      </c>
      <c r="BY64" s="168">
        <f>SUMIF('CF(M)'!$L$10:$EQ$10,BY$6,'CF(M)'!$L69:$EQ69)</f>
        <v>0</v>
      </c>
      <c r="BZ64" s="168">
        <f>SUMIF('CF(M)'!$L$10:$EQ$10,BZ$6,'CF(M)'!$L69:$EQ69)</f>
        <v>0</v>
      </c>
      <c r="CA64" s="168">
        <f>SUMIF('CF(M)'!$L$10:$EQ$10,CA$6,'CF(M)'!$L69:$EQ69)</f>
        <v>0</v>
      </c>
      <c r="CB64" s="168">
        <f>SUMIF('CF(M)'!$L$10:$EQ$10,CB$6,'CF(M)'!$L69:$EQ69)</f>
        <v>0</v>
      </c>
      <c r="CC64" s="168">
        <f>SUMIF('CF(M)'!$L$10:$EQ$10,CC$6,'CF(M)'!$L69:$EQ69)</f>
        <v>0</v>
      </c>
      <c r="CD64" s="168">
        <f>SUMIF('CF(M)'!$L$10:$EQ$10,CD$6,'CF(M)'!$L69:$EQ69)</f>
        <v>0</v>
      </c>
      <c r="CE64" s="168">
        <f>SUMIF('CF(M)'!$L$10:$EQ$10,CE$6,'CF(M)'!$L69:$EQ69)</f>
        <v>0</v>
      </c>
      <c r="CF64" s="168">
        <f>SUMIF('CF(M)'!$L$10:$EQ$10,CF$6,'CF(M)'!$L69:$EQ69)</f>
        <v>0</v>
      </c>
      <c r="CG64" s="168">
        <f>SUMIF('CF(M)'!$L$10:$EQ$10,CG$6,'CF(M)'!$L69:$EQ69)</f>
        <v>0</v>
      </c>
      <c r="CH64" s="168">
        <f>SUMIF('CF(M)'!$L$10:$EQ$10,CH$6,'CF(M)'!$L69:$EQ69)</f>
        <v>0</v>
      </c>
      <c r="CI64" s="168">
        <f>SUMIF('CF(M)'!$L$10:$EQ$10,CI$6,'CF(M)'!$L69:$EQ69)</f>
        <v>0</v>
      </c>
      <c r="CJ64" s="168">
        <f>SUMIF('CF(M)'!$L$10:$EQ$10,CJ$6,'CF(M)'!$L69:$EQ69)</f>
        <v>0</v>
      </c>
      <c r="CK64" s="168">
        <f>SUMIF('CF(M)'!$L$10:$EQ$10,CK$6,'CF(M)'!$L69:$EQ69)</f>
        <v>0</v>
      </c>
      <c r="CL64" s="168">
        <f>SUMIF('CF(M)'!$L$10:$EQ$10,CL$6,'CF(M)'!$L69:$EQ69)</f>
        <v>0</v>
      </c>
      <c r="CM64" s="168">
        <f>SUMIF('CF(M)'!$L$10:$EQ$10,CM$6,'CF(M)'!$L69:$EQ69)</f>
        <v>0</v>
      </c>
      <c r="CN64" s="168">
        <f>SUMIF('CF(M)'!$L$10:$EQ$10,CN$6,'CF(M)'!$L69:$EQ69)</f>
        <v>0</v>
      </c>
      <c r="CO64" s="168">
        <f>SUMIF('CF(M)'!$L$10:$EQ$10,CO$6,'CF(M)'!$L69:$EQ69)</f>
        <v>0</v>
      </c>
      <c r="CP64" s="168">
        <f>SUMIF('CF(M)'!$L$10:$EQ$10,CP$6,'CF(M)'!$L69:$EQ69)</f>
        <v>0</v>
      </c>
      <c r="CQ64" s="168">
        <f>SUMIF('CF(M)'!$L$10:$EQ$10,CQ$6,'CF(M)'!$L69:$EQ69)</f>
        <v>0</v>
      </c>
      <c r="CR64" s="168">
        <f>SUMIF('CF(M)'!$L$10:$EQ$10,CR$6,'CF(M)'!$L69:$EQ69)</f>
        <v>0</v>
      </c>
      <c r="CS64" s="168">
        <f>SUMIF('CF(M)'!$L$10:$EQ$10,CS$6,'CF(M)'!$L69:$EQ69)</f>
        <v>0</v>
      </c>
      <c r="CT64" s="168">
        <f>SUMIF('CF(M)'!$L$10:$EQ$10,CT$6,'CF(M)'!$L69:$EQ69)</f>
        <v>0</v>
      </c>
      <c r="CU64" s="168">
        <f>SUMIF('CF(M)'!$L$10:$EQ$10,CU$6,'CF(M)'!$L69:$EQ69)</f>
        <v>0</v>
      </c>
      <c r="CV64" s="168">
        <f>SUMIF('CF(M)'!$L$10:$EQ$10,CV$6,'CF(M)'!$L69:$EQ69)</f>
        <v>0</v>
      </c>
      <c r="CW64" s="168">
        <f>SUMIF('CF(M)'!$L$10:$EQ$10,CW$6,'CF(M)'!$L69:$EQ69)</f>
        <v>0</v>
      </c>
      <c r="CX64" s="168">
        <f>SUMIF('CF(M)'!$L$10:$EQ$10,CX$6,'CF(M)'!$L69:$EQ69)</f>
        <v>0</v>
      </c>
      <c r="CY64" s="168">
        <f>SUMIF('CF(M)'!$L$10:$EQ$10,CY$6,'CF(M)'!$L69:$EQ69)</f>
        <v>0</v>
      </c>
      <c r="CZ64" s="168">
        <f>SUMIF('CF(M)'!$L$10:$EQ$10,CZ$6,'CF(M)'!$L69:$EQ69)</f>
        <v>0</v>
      </c>
      <c r="DA64" s="168">
        <f>SUMIF('CF(M)'!$L$10:$EQ$10,DA$6,'CF(M)'!$L69:$EQ69)</f>
        <v>0</v>
      </c>
      <c r="DB64" s="168">
        <f>SUMIF('CF(M)'!$L$10:$EQ$10,DB$6,'CF(M)'!$L69:$EQ69)</f>
        <v>0</v>
      </c>
      <c r="DC64" s="168">
        <f>SUMIF('CF(M)'!$L$10:$EQ$10,DC$6,'CF(M)'!$L69:$EQ69)</f>
        <v>0</v>
      </c>
      <c r="DD64" s="168">
        <f>SUMIF('CF(M)'!$L$10:$EQ$10,DD$6,'CF(M)'!$L69:$EQ69)</f>
        <v>0</v>
      </c>
      <c r="DE64" s="168">
        <f>SUMIF('CF(M)'!$L$10:$EQ$10,DE$6,'CF(M)'!$L69:$EQ69)</f>
        <v>0</v>
      </c>
      <c r="DF64" s="168">
        <f>SUMIF('CF(M)'!$L$10:$EQ$10,DF$6,'CF(M)'!$L69:$EQ69)</f>
        <v>0</v>
      </c>
      <c r="DG64" s="168">
        <f>SUMIF('CF(M)'!$L$10:$EQ$10,DG$6,'CF(M)'!$L69:$EQ69)</f>
        <v>0</v>
      </c>
      <c r="DH64" s="168">
        <f>SUMIF('CF(M)'!$L$10:$EQ$10,DH$6,'CF(M)'!$L69:$EQ69)</f>
        <v>0</v>
      </c>
      <c r="DI64" s="168">
        <f>SUMIF('CF(M)'!$L$10:$EQ$10,DI$6,'CF(M)'!$L69:$EQ69)</f>
        <v>0</v>
      </c>
      <c r="DJ64" s="168">
        <f>SUMIF('CF(M)'!$L$10:$EQ$10,DJ$6,'CF(M)'!$L69:$EQ69)</f>
        <v>0</v>
      </c>
      <c r="DK64" s="168">
        <f>SUMIF('CF(M)'!$L$10:$EQ$10,DK$6,'CF(M)'!$L69:$EQ69)</f>
        <v>0</v>
      </c>
      <c r="DL64" s="168">
        <f>SUMIF('CF(M)'!$L$10:$EQ$10,DL$6,'CF(M)'!$L69:$EQ69)</f>
        <v>0</v>
      </c>
      <c r="DM64" s="168">
        <f>SUMIF('CF(M)'!$L$10:$EQ$10,DM$6,'CF(M)'!$L69:$EQ69)</f>
        <v>0</v>
      </c>
      <c r="DN64" s="168">
        <f>SUMIF('CF(M)'!$L$10:$EQ$10,DN$6,'CF(M)'!$L69:$EQ69)</f>
        <v>0</v>
      </c>
      <c r="DO64" s="168">
        <f>SUMIF('CF(M)'!$L$10:$EQ$10,DO$6,'CF(M)'!$L69:$EQ69)</f>
        <v>0</v>
      </c>
      <c r="DP64" s="168">
        <f>SUMIF('CF(M)'!$L$10:$EQ$10,DP$6,'CF(M)'!$L69:$EQ69)</f>
        <v>0</v>
      </c>
      <c r="DQ64" s="168">
        <f>SUMIF('CF(M)'!$L$10:$EQ$10,DQ$6,'CF(M)'!$L69:$EQ69)</f>
        <v>0</v>
      </c>
      <c r="DR64" s="168">
        <f>SUMIF('CF(M)'!$L$10:$EQ$10,DR$6,'CF(M)'!$L69:$EQ69)</f>
        <v>0</v>
      </c>
      <c r="DS64" s="168">
        <f>SUMIF('CF(M)'!$L$10:$EQ$10,DS$6,'CF(M)'!$L69:$EQ69)</f>
        <v>0</v>
      </c>
      <c r="DT64" s="168">
        <f>SUMIF('CF(M)'!$L$10:$EQ$10,DT$6,'CF(M)'!$L69:$EQ69)</f>
        <v>0</v>
      </c>
      <c r="DU64" s="168">
        <f>SUMIF('CF(M)'!$L$10:$EQ$10,DU$6,'CF(M)'!$L69:$EQ69)</f>
        <v>0</v>
      </c>
      <c r="DV64" s="168">
        <f>SUMIF('CF(M)'!$L$10:$EQ$10,DV$6,'CF(M)'!$L69:$EQ69)</f>
        <v>0</v>
      </c>
    </row>
    <row r="65" spans="2:126" ht="11.25" customHeight="1">
      <c r="B65" s="218"/>
      <c r="C65" s="163"/>
      <c r="D65" s="169" t="s">
        <v>207</v>
      </c>
      <c r="H65" s="146"/>
      <c r="I65" s="229"/>
      <c r="J65" s="171">
        <f>SUM(L65:DV65)</f>
        <v>-2100000</v>
      </c>
      <c r="K65" s="98"/>
      <c r="L65" s="171">
        <f>SUMIF('CF(M)'!$L$10:$EQ$10,L$6,'CF(M)'!$L70:$EQ70)</f>
        <v>0</v>
      </c>
      <c r="M65" s="171">
        <f>SUMIF('CF(M)'!$L$10:$EQ$10,M$6,'CF(M)'!$L70:$EQ70)</f>
        <v>0</v>
      </c>
      <c r="N65" s="171">
        <f>SUMIF('CF(M)'!$L$10:$EQ$10,N$6,'CF(M)'!$L70:$EQ70)</f>
        <v>0</v>
      </c>
      <c r="O65" s="171">
        <f>SUMIF('CF(M)'!$L$10:$EQ$10,O$6,'CF(M)'!$L70:$EQ70)</f>
        <v>0</v>
      </c>
      <c r="P65" s="171">
        <f>SUMIF('CF(M)'!$L$10:$EQ$10,P$6,'CF(M)'!$L70:$EQ70)</f>
        <v>0</v>
      </c>
      <c r="Q65" s="171">
        <f>SUMIF('CF(M)'!$L$10:$EQ$10,Q$6,'CF(M)'!$L70:$EQ70)</f>
        <v>0</v>
      </c>
      <c r="R65" s="171">
        <f>SUMIF('CF(M)'!$L$10:$EQ$10,R$6,'CF(M)'!$L70:$EQ70)</f>
        <v>0</v>
      </c>
      <c r="S65" s="171">
        <f>SUMIF('CF(M)'!$L$10:$EQ$10,S$6,'CF(M)'!$L70:$EQ70)</f>
        <v>0</v>
      </c>
      <c r="T65" s="171">
        <f>SUMIF('CF(M)'!$L$10:$EQ$10,T$6,'CF(M)'!$L70:$EQ70)</f>
        <v>0</v>
      </c>
      <c r="U65" s="171">
        <f>SUMIF('CF(M)'!$L$10:$EQ$10,U$6,'CF(M)'!$L70:$EQ70)</f>
        <v>0</v>
      </c>
      <c r="V65" s="171">
        <f>SUMIF('CF(M)'!$L$10:$EQ$10,V$6,'CF(M)'!$L70:$EQ70)</f>
        <v>0</v>
      </c>
      <c r="W65" s="171">
        <f>SUMIF('CF(M)'!$L$10:$EQ$10,W$6,'CF(M)'!$L70:$EQ70)</f>
        <v>0</v>
      </c>
      <c r="X65" s="171">
        <f>SUMIF('CF(M)'!$L$10:$EQ$10,X$6,'CF(M)'!$L70:$EQ70)</f>
        <v>0</v>
      </c>
      <c r="Y65" s="171">
        <f>SUMIF('CF(M)'!$L$10:$EQ$10,Y$6,'CF(M)'!$L70:$EQ70)</f>
        <v>0</v>
      </c>
      <c r="Z65" s="171">
        <f>SUMIF('CF(M)'!$L$10:$EQ$10,Z$6,'CF(M)'!$L70:$EQ70)</f>
        <v>0</v>
      </c>
      <c r="AA65" s="171">
        <f>SUMIF('CF(M)'!$L$10:$EQ$10,AA$6,'CF(M)'!$L70:$EQ70)</f>
        <v>0</v>
      </c>
      <c r="AB65" s="171">
        <f>SUMIF('CF(M)'!$L$10:$EQ$10,AB$6,'CF(M)'!$L70:$EQ70)</f>
        <v>0</v>
      </c>
      <c r="AC65" s="171">
        <f>SUMIF('CF(M)'!$L$10:$EQ$10,AC$6,'CF(M)'!$L70:$EQ70)</f>
        <v>0</v>
      </c>
      <c r="AD65" s="171">
        <f>SUMIF('CF(M)'!$L$10:$EQ$10,AD$6,'CF(M)'!$L70:$EQ70)</f>
        <v>0</v>
      </c>
      <c r="AE65" s="171">
        <f>SUMIF('CF(M)'!$L$10:$EQ$10,AE$6,'CF(M)'!$L70:$EQ70)</f>
        <v>0</v>
      </c>
      <c r="AF65" s="171">
        <f>SUMIF('CF(M)'!$L$10:$EQ$10,AF$6,'CF(M)'!$L70:$EQ70)</f>
        <v>-2100000</v>
      </c>
      <c r="AG65" s="171">
        <f>SUMIF('CF(M)'!$L$10:$EQ$10,AG$6,'CF(M)'!$L70:$EQ70)</f>
        <v>0</v>
      </c>
      <c r="AH65" s="171">
        <f>SUMIF('CF(M)'!$L$10:$EQ$10,AH$6,'CF(M)'!$L70:$EQ70)</f>
        <v>0</v>
      </c>
      <c r="AI65" s="171">
        <f>SUMIF('CF(M)'!$L$10:$EQ$10,AI$6,'CF(M)'!$L70:$EQ70)</f>
        <v>0</v>
      </c>
      <c r="AJ65" s="171">
        <f>SUMIF('CF(M)'!$L$10:$EQ$10,AJ$6,'CF(M)'!$L70:$EQ70)</f>
        <v>0</v>
      </c>
      <c r="AK65" s="171">
        <f>SUMIF('CF(M)'!$L$10:$EQ$10,AK$6,'CF(M)'!$L70:$EQ70)</f>
        <v>0</v>
      </c>
      <c r="AL65" s="171">
        <f>SUMIF('CF(M)'!$L$10:$EQ$10,AL$6,'CF(M)'!$L70:$EQ70)</f>
        <v>0</v>
      </c>
      <c r="AM65" s="171">
        <f>SUMIF('CF(M)'!$L$10:$EQ$10,AM$6,'CF(M)'!$L70:$EQ70)</f>
        <v>0</v>
      </c>
      <c r="AN65" s="171">
        <f>SUMIF('CF(M)'!$L$10:$EQ$10,AN$6,'CF(M)'!$L70:$EQ70)</f>
        <v>0</v>
      </c>
      <c r="AO65" s="171">
        <f>SUMIF('CF(M)'!$L$10:$EQ$10,AO$6,'CF(M)'!$L70:$EQ70)</f>
        <v>0</v>
      </c>
      <c r="AP65" s="171">
        <f>SUMIF('CF(M)'!$L$10:$EQ$10,AP$6,'CF(M)'!$L70:$EQ70)</f>
        <v>0</v>
      </c>
      <c r="AQ65" s="171">
        <f>SUMIF('CF(M)'!$L$10:$EQ$10,AQ$6,'CF(M)'!$L70:$EQ70)</f>
        <v>0</v>
      </c>
      <c r="AR65" s="171">
        <f>SUMIF('CF(M)'!$L$10:$EQ$10,AR$6,'CF(M)'!$L70:$EQ70)</f>
        <v>0</v>
      </c>
      <c r="AS65" s="171">
        <f>SUMIF('CF(M)'!$L$10:$EQ$10,AS$6,'CF(M)'!$L70:$EQ70)</f>
        <v>0</v>
      </c>
      <c r="AT65" s="171">
        <f>SUMIF('CF(M)'!$L$10:$EQ$10,AT$6,'CF(M)'!$L70:$EQ70)</f>
        <v>0</v>
      </c>
      <c r="AU65" s="171">
        <f>SUMIF('CF(M)'!$L$10:$EQ$10,AU$6,'CF(M)'!$L70:$EQ70)</f>
        <v>0</v>
      </c>
      <c r="AV65" s="171">
        <f>SUMIF('CF(M)'!$L$10:$EQ$10,AV$6,'CF(M)'!$L70:$EQ70)</f>
        <v>0</v>
      </c>
      <c r="AW65" s="171">
        <f>SUMIF('CF(M)'!$L$10:$EQ$10,AW$6,'CF(M)'!$L70:$EQ70)</f>
        <v>0</v>
      </c>
      <c r="AX65" s="171">
        <f>SUMIF('CF(M)'!$L$10:$EQ$10,AX$6,'CF(M)'!$L70:$EQ70)</f>
        <v>0</v>
      </c>
      <c r="AY65" s="171">
        <f>SUMIF('CF(M)'!$L$10:$EQ$10,AY$6,'CF(M)'!$L70:$EQ70)</f>
        <v>0</v>
      </c>
      <c r="AZ65" s="171">
        <f>SUMIF('CF(M)'!$L$10:$EQ$10,AZ$6,'CF(M)'!$L70:$EQ70)</f>
        <v>0</v>
      </c>
      <c r="BA65" s="171">
        <f>SUMIF('CF(M)'!$L$10:$EQ$10,BA$6,'CF(M)'!$L70:$EQ70)</f>
        <v>0</v>
      </c>
      <c r="BB65" s="171">
        <f>SUMIF('CF(M)'!$L$10:$EQ$10,BB$6,'CF(M)'!$L70:$EQ70)</f>
        <v>0</v>
      </c>
      <c r="BC65" s="171">
        <f>SUMIF('CF(M)'!$L$10:$EQ$10,BC$6,'CF(M)'!$L70:$EQ70)</f>
        <v>0</v>
      </c>
      <c r="BD65" s="171">
        <f>SUMIF('CF(M)'!$L$10:$EQ$10,BD$6,'CF(M)'!$L70:$EQ70)</f>
        <v>0</v>
      </c>
      <c r="BE65" s="171">
        <f>SUMIF('CF(M)'!$L$10:$EQ$10,BE$6,'CF(M)'!$L70:$EQ70)</f>
        <v>0</v>
      </c>
      <c r="BF65" s="171">
        <f>SUMIF('CF(M)'!$L$10:$EQ$10,BF$6,'CF(M)'!$L70:$EQ70)</f>
        <v>0</v>
      </c>
      <c r="BG65" s="171">
        <f>SUMIF('CF(M)'!$L$10:$EQ$10,BG$6,'CF(M)'!$L70:$EQ70)</f>
        <v>0</v>
      </c>
      <c r="BH65" s="171">
        <f>SUMIF('CF(M)'!$L$10:$EQ$10,BH$6,'CF(M)'!$L70:$EQ70)</f>
        <v>0</v>
      </c>
      <c r="BI65" s="171">
        <f>SUMIF('CF(M)'!$L$10:$EQ$10,BI$6,'CF(M)'!$L70:$EQ70)</f>
        <v>0</v>
      </c>
      <c r="BJ65" s="171">
        <f>SUMIF('CF(M)'!$L$10:$EQ$10,BJ$6,'CF(M)'!$L70:$EQ70)</f>
        <v>0</v>
      </c>
      <c r="BK65" s="171">
        <f>SUMIF('CF(M)'!$L$10:$EQ$10,BK$6,'CF(M)'!$L70:$EQ70)</f>
        <v>0</v>
      </c>
      <c r="BL65" s="171">
        <f>SUMIF('CF(M)'!$L$10:$EQ$10,BL$6,'CF(M)'!$L70:$EQ70)</f>
        <v>0</v>
      </c>
      <c r="BM65" s="171">
        <f>SUMIF('CF(M)'!$L$10:$EQ$10,BM$6,'CF(M)'!$L70:$EQ70)</f>
        <v>0</v>
      </c>
      <c r="BN65" s="171">
        <f>SUMIF('CF(M)'!$L$10:$EQ$10,BN$6,'CF(M)'!$L70:$EQ70)</f>
        <v>0</v>
      </c>
      <c r="BO65" s="171">
        <f>SUMIF('CF(M)'!$L$10:$EQ$10,BO$6,'CF(M)'!$L70:$EQ70)</f>
        <v>0</v>
      </c>
      <c r="BP65" s="171">
        <f>SUMIF('CF(M)'!$L$10:$EQ$10,BP$6,'CF(M)'!$L70:$EQ70)</f>
        <v>0</v>
      </c>
      <c r="BQ65" s="171">
        <f>SUMIF('CF(M)'!$L$10:$EQ$10,BQ$6,'CF(M)'!$L70:$EQ70)</f>
        <v>0</v>
      </c>
      <c r="BR65" s="171">
        <f>SUMIF('CF(M)'!$L$10:$EQ$10,BR$6,'CF(M)'!$L70:$EQ70)</f>
        <v>0</v>
      </c>
      <c r="BS65" s="171">
        <f>SUMIF('CF(M)'!$L$10:$EQ$10,BS$6,'CF(M)'!$L70:$EQ70)</f>
        <v>0</v>
      </c>
      <c r="BT65" s="171">
        <f>SUMIF('CF(M)'!$L$10:$EQ$10,BT$6,'CF(M)'!$L70:$EQ70)</f>
        <v>0</v>
      </c>
      <c r="BU65" s="171">
        <f>SUMIF('CF(M)'!$L$10:$EQ$10,BU$6,'CF(M)'!$L70:$EQ70)</f>
        <v>0</v>
      </c>
      <c r="BV65" s="171">
        <f>SUMIF('CF(M)'!$L$10:$EQ$10,BV$6,'CF(M)'!$L70:$EQ70)</f>
        <v>0</v>
      </c>
      <c r="BW65" s="171">
        <f>SUMIF('CF(M)'!$L$10:$EQ$10,BW$6,'CF(M)'!$L70:$EQ70)</f>
        <v>0</v>
      </c>
      <c r="BX65" s="171">
        <f>SUMIF('CF(M)'!$L$10:$EQ$10,BX$6,'CF(M)'!$L70:$EQ70)</f>
        <v>0</v>
      </c>
      <c r="BY65" s="171">
        <f>SUMIF('CF(M)'!$L$10:$EQ$10,BY$6,'CF(M)'!$L70:$EQ70)</f>
        <v>0</v>
      </c>
      <c r="BZ65" s="171">
        <f>SUMIF('CF(M)'!$L$10:$EQ$10,BZ$6,'CF(M)'!$L70:$EQ70)</f>
        <v>0</v>
      </c>
      <c r="CA65" s="171">
        <f>SUMIF('CF(M)'!$L$10:$EQ$10,CA$6,'CF(M)'!$L70:$EQ70)</f>
        <v>0</v>
      </c>
      <c r="CB65" s="171">
        <f>SUMIF('CF(M)'!$L$10:$EQ$10,CB$6,'CF(M)'!$L70:$EQ70)</f>
        <v>0</v>
      </c>
      <c r="CC65" s="171">
        <f>SUMIF('CF(M)'!$L$10:$EQ$10,CC$6,'CF(M)'!$L70:$EQ70)</f>
        <v>0</v>
      </c>
      <c r="CD65" s="171">
        <f>SUMIF('CF(M)'!$L$10:$EQ$10,CD$6,'CF(M)'!$L70:$EQ70)</f>
        <v>0</v>
      </c>
      <c r="CE65" s="171">
        <f>SUMIF('CF(M)'!$L$10:$EQ$10,CE$6,'CF(M)'!$L70:$EQ70)</f>
        <v>0</v>
      </c>
      <c r="CF65" s="171">
        <f>SUMIF('CF(M)'!$L$10:$EQ$10,CF$6,'CF(M)'!$L70:$EQ70)</f>
        <v>0</v>
      </c>
      <c r="CG65" s="171">
        <f>SUMIF('CF(M)'!$L$10:$EQ$10,CG$6,'CF(M)'!$L70:$EQ70)</f>
        <v>0</v>
      </c>
      <c r="CH65" s="171">
        <f>SUMIF('CF(M)'!$L$10:$EQ$10,CH$6,'CF(M)'!$L70:$EQ70)</f>
        <v>0</v>
      </c>
      <c r="CI65" s="171">
        <f>SUMIF('CF(M)'!$L$10:$EQ$10,CI$6,'CF(M)'!$L70:$EQ70)</f>
        <v>0</v>
      </c>
      <c r="CJ65" s="171">
        <f>SUMIF('CF(M)'!$L$10:$EQ$10,CJ$6,'CF(M)'!$L70:$EQ70)</f>
        <v>0</v>
      </c>
      <c r="CK65" s="171">
        <f>SUMIF('CF(M)'!$L$10:$EQ$10,CK$6,'CF(M)'!$L70:$EQ70)</f>
        <v>0</v>
      </c>
      <c r="CL65" s="171">
        <f>SUMIF('CF(M)'!$L$10:$EQ$10,CL$6,'CF(M)'!$L70:$EQ70)</f>
        <v>0</v>
      </c>
      <c r="CM65" s="171">
        <f>SUMIF('CF(M)'!$L$10:$EQ$10,CM$6,'CF(M)'!$L70:$EQ70)</f>
        <v>0</v>
      </c>
      <c r="CN65" s="171">
        <f>SUMIF('CF(M)'!$L$10:$EQ$10,CN$6,'CF(M)'!$L70:$EQ70)</f>
        <v>0</v>
      </c>
      <c r="CO65" s="171">
        <f>SUMIF('CF(M)'!$L$10:$EQ$10,CO$6,'CF(M)'!$L70:$EQ70)</f>
        <v>0</v>
      </c>
      <c r="CP65" s="171">
        <f>SUMIF('CF(M)'!$L$10:$EQ$10,CP$6,'CF(M)'!$L70:$EQ70)</f>
        <v>0</v>
      </c>
      <c r="CQ65" s="171">
        <f>SUMIF('CF(M)'!$L$10:$EQ$10,CQ$6,'CF(M)'!$L70:$EQ70)</f>
        <v>0</v>
      </c>
      <c r="CR65" s="171">
        <f>SUMIF('CF(M)'!$L$10:$EQ$10,CR$6,'CF(M)'!$L70:$EQ70)</f>
        <v>0</v>
      </c>
      <c r="CS65" s="171">
        <f>SUMIF('CF(M)'!$L$10:$EQ$10,CS$6,'CF(M)'!$L70:$EQ70)</f>
        <v>0</v>
      </c>
      <c r="CT65" s="171">
        <f>SUMIF('CF(M)'!$L$10:$EQ$10,CT$6,'CF(M)'!$L70:$EQ70)</f>
        <v>0</v>
      </c>
      <c r="CU65" s="171">
        <f>SUMIF('CF(M)'!$L$10:$EQ$10,CU$6,'CF(M)'!$L70:$EQ70)</f>
        <v>0</v>
      </c>
      <c r="CV65" s="171">
        <f>SUMIF('CF(M)'!$L$10:$EQ$10,CV$6,'CF(M)'!$L70:$EQ70)</f>
        <v>0</v>
      </c>
      <c r="CW65" s="171">
        <f>SUMIF('CF(M)'!$L$10:$EQ$10,CW$6,'CF(M)'!$L70:$EQ70)</f>
        <v>0</v>
      </c>
      <c r="CX65" s="171">
        <f>SUMIF('CF(M)'!$L$10:$EQ$10,CX$6,'CF(M)'!$L70:$EQ70)</f>
        <v>0</v>
      </c>
      <c r="CY65" s="171">
        <f>SUMIF('CF(M)'!$L$10:$EQ$10,CY$6,'CF(M)'!$L70:$EQ70)</f>
        <v>0</v>
      </c>
      <c r="CZ65" s="171">
        <f>SUMIF('CF(M)'!$L$10:$EQ$10,CZ$6,'CF(M)'!$L70:$EQ70)</f>
        <v>0</v>
      </c>
      <c r="DA65" s="171">
        <f>SUMIF('CF(M)'!$L$10:$EQ$10,DA$6,'CF(M)'!$L70:$EQ70)</f>
        <v>0</v>
      </c>
      <c r="DB65" s="171">
        <f>SUMIF('CF(M)'!$L$10:$EQ$10,DB$6,'CF(M)'!$L70:$EQ70)</f>
        <v>0</v>
      </c>
      <c r="DC65" s="171">
        <f>SUMIF('CF(M)'!$L$10:$EQ$10,DC$6,'CF(M)'!$L70:$EQ70)</f>
        <v>0</v>
      </c>
      <c r="DD65" s="171">
        <f>SUMIF('CF(M)'!$L$10:$EQ$10,DD$6,'CF(M)'!$L70:$EQ70)</f>
        <v>0</v>
      </c>
      <c r="DE65" s="171">
        <f>SUMIF('CF(M)'!$L$10:$EQ$10,DE$6,'CF(M)'!$L70:$EQ70)</f>
        <v>0</v>
      </c>
      <c r="DF65" s="171">
        <f>SUMIF('CF(M)'!$L$10:$EQ$10,DF$6,'CF(M)'!$L70:$EQ70)</f>
        <v>0</v>
      </c>
      <c r="DG65" s="171">
        <f>SUMIF('CF(M)'!$L$10:$EQ$10,DG$6,'CF(M)'!$L70:$EQ70)</f>
        <v>0</v>
      </c>
      <c r="DH65" s="171">
        <f>SUMIF('CF(M)'!$L$10:$EQ$10,DH$6,'CF(M)'!$L70:$EQ70)</f>
        <v>0</v>
      </c>
      <c r="DI65" s="171">
        <f>SUMIF('CF(M)'!$L$10:$EQ$10,DI$6,'CF(M)'!$L70:$EQ70)</f>
        <v>0</v>
      </c>
      <c r="DJ65" s="171">
        <f>SUMIF('CF(M)'!$L$10:$EQ$10,DJ$6,'CF(M)'!$L70:$EQ70)</f>
        <v>0</v>
      </c>
      <c r="DK65" s="171">
        <f>SUMIF('CF(M)'!$L$10:$EQ$10,DK$6,'CF(M)'!$L70:$EQ70)</f>
        <v>0</v>
      </c>
      <c r="DL65" s="171">
        <f>SUMIF('CF(M)'!$L$10:$EQ$10,DL$6,'CF(M)'!$L70:$EQ70)</f>
        <v>0</v>
      </c>
      <c r="DM65" s="171">
        <f>SUMIF('CF(M)'!$L$10:$EQ$10,DM$6,'CF(M)'!$L70:$EQ70)</f>
        <v>0</v>
      </c>
      <c r="DN65" s="171">
        <f>SUMIF('CF(M)'!$L$10:$EQ$10,DN$6,'CF(M)'!$L70:$EQ70)</f>
        <v>0</v>
      </c>
      <c r="DO65" s="171">
        <f>SUMIF('CF(M)'!$L$10:$EQ$10,DO$6,'CF(M)'!$L70:$EQ70)</f>
        <v>0</v>
      </c>
      <c r="DP65" s="171">
        <f>SUMIF('CF(M)'!$L$10:$EQ$10,DP$6,'CF(M)'!$L70:$EQ70)</f>
        <v>0</v>
      </c>
      <c r="DQ65" s="171">
        <f>SUMIF('CF(M)'!$L$10:$EQ$10,DQ$6,'CF(M)'!$L70:$EQ70)</f>
        <v>0</v>
      </c>
      <c r="DR65" s="171">
        <f>SUMIF('CF(M)'!$L$10:$EQ$10,DR$6,'CF(M)'!$L70:$EQ70)</f>
        <v>0</v>
      </c>
      <c r="DS65" s="171">
        <f>SUMIF('CF(M)'!$L$10:$EQ$10,DS$6,'CF(M)'!$L70:$EQ70)</f>
        <v>0</v>
      </c>
      <c r="DT65" s="171">
        <f>SUMIF('CF(M)'!$L$10:$EQ$10,DT$6,'CF(M)'!$L70:$EQ70)</f>
        <v>0</v>
      </c>
      <c r="DU65" s="171">
        <f>SUMIF('CF(M)'!$L$10:$EQ$10,DU$6,'CF(M)'!$L70:$EQ70)</f>
        <v>0</v>
      </c>
      <c r="DV65" s="171">
        <f>SUMIF('CF(M)'!$L$10:$EQ$10,DV$6,'CF(M)'!$L70:$EQ70)</f>
        <v>0</v>
      </c>
    </row>
    <row r="66" spans="2:126" ht="11.25" customHeight="1">
      <c r="B66" s="218"/>
      <c r="C66" s="158" t="s">
        <v>273</v>
      </c>
      <c r="D66" s="159"/>
      <c r="E66" s="159"/>
      <c r="F66" s="159"/>
      <c r="G66" s="159"/>
      <c r="H66" s="160"/>
      <c r="I66" s="219"/>
      <c r="J66" s="220">
        <f>SUM(J67:J68)</f>
        <v>0</v>
      </c>
      <c r="K66" s="98"/>
      <c r="L66" s="162">
        <f>SUM(L67:L68)</f>
        <v>160000000</v>
      </c>
      <c r="M66" s="162">
        <f t="shared" ref="M66:BX66" si="28">SUM(M67:M68)</f>
        <v>0</v>
      </c>
      <c r="N66" s="162">
        <f t="shared" si="28"/>
        <v>0</v>
      </c>
      <c r="O66" s="162">
        <f t="shared" si="28"/>
        <v>0</v>
      </c>
      <c r="P66" s="162">
        <f t="shared" si="28"/>
        <v>-160000000</v>
      </c>
      <c r="Q66" s="162">
        <f t="shared" si="28"/>
        <v>0</v>
      </c>
      <c r="R66" s="162">
        <f t="shared" si="28"/>
        <v>0</v>
      </c>
      <c r="S66" s="162">
        <f t="shared" si="28"/>
        <v>0</v>
      </c>
      <c r="T66" s="162">
        <f t="shared" si="28"/>
        <v>0</v>
      </c>
      <c r="U66" s="162">
        <f t="shared" si="28"/>
        <v>0</v>
      </c>
      <c r="V66" s="162">
        <f t="shared" si="28"/>
        <v>0</v>
      </c>
      <c r="W66" s="162">
        <f t="shared" si="28"/>
        <v>0</v>
      </c>
      <c r="X66" s="162">
        <f t="shared" si="28"/>
        <v>0</v>
      </c>
      <c r="Y66" s="162">
        <f t="shared" si="28"/>
        <v>0</v>
      </c>
      <c r="Z66" s="162">
        <f t="shared" si="28"/>
        <v>0</v>
      </c>
      <c r="AA66" s="162">
        <f t="shared" si="28"/>
        <v>0</v>
      </c>
      <c r="AB66" s="162">
        <f t="shared" si="28"/>
        <v>0</v>
      </c>
      <c r="AC66" s="162">
        <f t="shared" si="28"/>
        <v>0</v>
      </c>
      <c r="AD66" s="162">
        <f t="shared" si="28"/>
        <v>0</v>
      </c>
      <c r="AE66" s="162">
        <f t="shared" si="28"/>
        <v>0</v>
      </c>
      <c r="AF66" s="162">
        <f t="shared" si="28"/>
        <v>0</v>
      </c>
      <c r="AG66" s="162">
        <f t="shared" si="28"/>
        <v>0</v>
      </c>
      <c r="AH66" s="162">
        <f t="shared" si="28"/>
        <v>0</v>
      </c>
      <c r="AI66" s="162">
        <f t="shared" si="28"/>
        <v>0</v>
      </c>
      <c r="AJ66" s="162">
        <f t="shared" si="28"/>
        <v>0</v>
      </c>
      <c r="AK66" s="162">
        <f t="shared" si="28"/>
        <v>0</v>
      </c>
      <c r="AL66" s="162">
        <f t="shared" si="28"/>
        <v>0</v>
      </c>
      <c r="AM66" s="162">
        <f t="shared" si="28"/>
        <v>0</v>
      </c>
      <c r="AN66" s="162">
        <f t="shared" si="28"/>
        <v>0</v>
      </c>
      <c r="AO66" s="162">
        <f t="shared" si="28"/>
        <v>0</v>
      </c>
      <c r="AP66" s="162">
        <f t="shared" si="28"/>
        <v>0</v>
      </c>
      <c r="AQ66" s="162">
        <f t="shared" si="28"/>
        <v>0</v>
      </c>
      <c r="AR66" s="162">
        <f t="shared" si="28"/>
        <v>0</v>
      </c>
      <c r="AS66" s="162">
        <f t="shared" si="28"/>
        <v>0</v>
      </c>
      <c r="AT66" s="162">
        <f t="shared" si="28"/>
        <v>0</v>
      </c>
      <c r="AU66" s="162">
        <f t="shared" si="28"/>
        <v>0</v>
      </c>
      <c r="AV66" s="162">
        <f t="shared" si="28"/>
        <v>0</v>
      </c>
      <c r="AW66" s="162">
        <f t="shared" si="28"/>
        <v>0</v>
      </c>
      <c r="AX66" s="162">
        <f t="shared" si="28"/>
        <v>0</v>
      </c>
      <c r="AY66" s="162">
        <f t="shared" si="28"/>
        <v>0</v>
      </c>
      <c r="AZ66" s="162">
        <f t="shared" si="28"/>
        <v>0</v>
      </c>
      <c r="BA66" s="162">
        <f t="shared" si="28"/>
        <v>0</v>
      </c>
      <c r="BB66" s="162">
        <f t="shared" si="28"/>
        <v>0</v>
      </c>
      <c r="BC66" s="162">
        <f t="shared" si="28"/>
        <v>0</v>
      </c>
      <c r="BD66" s="162">
        <f t="shared" si="28"/>
        <v>0</v>
      </c>
      <c r="BE66" s="162">
        <f t="shared" si="28"/>
        <v>0</v>
      </c>
      <c r="BF66" s="162">
        <f t="shared" si="28"/>
        <v>0</v>
      </c>
      <c r="BG66" s="162">
        <f t="shared" si="28"/>
        <v>0</v>
      </c>
      <c r="BH66" s="162">
        <f t="shared" si="28"/>
        <v>0</v>
      </c>
      <c r="BI66" s="162">
        <f t="shared" si="28"/>
        <v>0</v>
      </c>
      <c r="BJ66" s="162">
        <f t="shared" si="28"/>
        <v>0</v>
      </c>
      <c r="BK66" s="162">
        <f t="shared" si="28"/>
        <v>0</v>
      </c>
      <c r="BL66" s="162">
        <f t="shared" si="28"/>
        <v>0</v>
      </c>
      <c r="BM66" s="162">
        <f t="shared" si="28"/>
        <v>0</v>
      </c>
      <c r="BN66" s="162">
        <f t="shared" si="28"/>
        <v>0</v>
      </c>
      <c r="BO66" s="162">
        <f t="shared" si="28"/>
        <v>0</v>
      </c>
      <c r="BP66" s="162">
        <f t="shared" si="28"/>
        <v>0</v>
      </c>
      <c r="BQ66" s="162">
        <f t="shared" si="28"/>
        <v>0</v>
      </c>
      <c r="BR66" s="162">
        <f t="shared" si="28"/>
        <v>0</v>
      </c>
      <c r="BS66" s="162">
        <f t="shared" si="28"/>
        <v>0</v>
      </c>
      <c r="BT66" s="162">
        <f t="shared" si="28"/>
        <v>0</v>
      </c>
      <c r="BU66" s="162">
        <f t="shared" si="28"/>
        <v>0</v>
      </c>
      <c r="BV66" s="162">
        <f t="shared" si="28"/>
        <v>0</v>
      </c>
      <c r="BW66" s="162">
        <f t="shared" si="28"/>
        <v>0</v>
      </c>
      <c r="BX66" s="162">
        <f t="shared" si="28"/>
        <v>0</v>
      </c>
      <c r="BY66" s="162">
        <f t="shared" ref="BY66:DV66" si="29">SUM(BY67:BY68)</f>
        <v>0</v>
      </c>
      <c r="BZ66" s="162">
        <f t="shared" si="29"/>
        <v>0</v>
      </c>
      <c r="CA66" s="162">
        <f t="shared" si="29"/>
        <v>0</v>
      </c>
      <c r="CB66" s="162">
        <f t="shared" si="29"/>
        <v>0</v>
      </c>
      <c r="CC66" s="162">
        <f t="shared" si="29"/>
        <v>0</v>
      </c>
      <c r="CD66" s="162">
        <f t="shared" si="29"/>
        <v>0</v>
      </c>
      <c r="CE66" s="162">
        <f t="shared" si="29"/>
        <v>0</v>
      </c>
      <c r="CF66" s="162">
        <f t="shared" si="29"/>
        <v>0</v>
      </c>
      <c r="CG66" s="162">
        <f t="shared" si="29"/>
        <v>0</v>
      </c>
      <c r="CH66" s="162">
        <f t="shared" si="29"/>
        <v>0</v>
      </c>
      <c r="CI66" s="162">
        <f t="shared" si="29"/>
        <v>0</v>
      </c>
      <c r="CJ66" s="162">
        <f t="shared" si="29"/>
        <v>0</v>
      </c>
      <c r="CK66" s="162">
        <f t="shared" si="29"/>
        <v>0</v>
      </c>
      <c r="CL66" s="162">
        <f t="shared" si="29"/>
        <v>0</v>
      </c>
      <c r="CM66" s="162">
        <f t="shared" si="29"/>
        <v>0</v>
      </c>
      <c r="CN66" s="162">
        <f t="shared" si="29"/>
        <v>0</v>
      </c>
      <c r="CO66" s="162">
        <f t="shared" si="29"/>
        <v>0</v>
      </c>
      <c r="CP66" s="162">
        <f t="shared" si="29"/>
        <v>0</v>
      </c>
      <c r="CQ66" s="162">
        <f t="shared" si="29"/>
        <v>0</v>
      </c>
      <c r="CR66" s="162">
        <f t="shared" si="29"/>
        <v>0</v>
      </c>
      <c r="CS66" s="162">
        <f t="shared" si="29"/>
        <v>0</v>
      </c>
      <c r="CT66" s="162">
        <f t="shared" si="29"/>
        <v>0</v>
      </c>
      <c r="CU66" s="162">
        <f t="shared" si="29"/>
        <v>0</v>
      </c>
      <c r="CV66" s="162">
        <f t="shared" si="29"/>
        <v>0</v>
      </c>
      <c r="CW66" s="162">
        <f t="shared" si="29"/>
        <v>0</v>
      </c>
      <c r="CX66" s="162">
        <f t="shared" si="29"/>
        <v>0</v>
      </c>
      <c r="CY66" s="162">
        <f t="shared" si="29"/>
        <v>0</v>
      </c>
      <c r="CZ66" s="162">
        <f t="shared" si="29"/>
        <v>0</v>
      </c>
      <c r="DA66" s="162">
        <f t="shared" si="29"/>
        <v>0</v>
      </c>
      <c r="DB66" s="162">
        <f t="shared" si="29"/>
        <v>0</v>
      </c>
      <c r="DC66" s="162">
        <f t="shared" si="29"/>
        <v>0</v>
      </c>
      <c r="DD66" s="162">
        <f t="shared" si="29"/>
        <v>0</v>
      </c>
      <c r="DE66" s="162">
        <f t="shared" si="29"/>
        <v>0</v>
      </c>
      <c r="DF66" s="162">
        <f t="shared" si="29"/>
        <v>0</v>
      </c>
      <c r="DG66" s="162">
        <f t="shared" si="29"/>
        <v>0</v>
      </c>
      <c r="DH66" s="162">
        <f t="shared" si="29"/>
        <v>0</v>
      </c>
      <c r="DI66" s="162">
        <f t="shared" si="29"/>
        <v>0</v>
      </c>
      <c r="DJ66" s="162">
        <f t="shared" si="29"/>
        <v>0</v>
      </c>
      <c r="DK66" s="162">
        <f t="shared" si="29"/>
        <v>0</v>
      </c>
      <c r="DL66" s="162">
        <f t="shared" si="29"/>
        <v>0</v>
      </c>
      <c r="DM66" s="162">
        <f t="shared" si="29"/>
        <v>0</v>
      </c>
      <c r="DN66" s="162">
        <f t="shared" si="29"/>
        <v>0</v>
      </c>
      <c r="DO66" s="162">
        <f t="shared" si="29"/>
        <v>0</v>
      </c>
      <c r="DP66" s="162">
        <f t="shared" si="29"/>
        <v>0</v>
      </c>
      <c r="DQ66" s="162">
        <f t="shared" si="29"/>
        <v>0</v>
      </c>
      <c r="DR66" s="162">
        <f t="shared" si="29"/>
        <v>0</v>
      </c>
      <c r="DS66" s="162">
        <f t="shared" si="29"/>
        <v>0</v>
      </c>
      <c r="DT66" s="162">
        <f t="shared" si="29"/>
        <v>0</v>
      </c>
      <c r="DU66" s="162">
        <f t="shared" si="29"/>
        <v>0</v>
      </c>
      <c r="DV66" s="162">
        <f t="shared" si="29"/>
        <v>0</v>
      </c>
    </row>
    <row r="67" spans="2:126" ht="11.25" customHeight="1">
      <c r="B67" s="218"/>
      <c r="C67" s="163"/>
      <c r="D67" s="164" t="s">
        <v>208</v>
      </c>
      <c r="E67" s="165"/>
      <c r="F67" s="165"/>
      <c r="G67" s="165"/>
      <c r="H67" s="166"/>
      <c r="I67" s="228"/>
      <c r="J67" s="168">
        <f>SUM(L67:DV67)</f>
        <v>160000000</v>
      </c>
      <c r="K67" s="98"/>
      <c r="L67" s="168">
        <f>SUMIF('CF(M)'!$L$10:$EQ$10,L$6,'CF(M)'!$L72:$EQ72)</f>
        <v>160000000</v>
      </c>
      <c r="M67" s="168">
        <f>SUMIF('CF(M)'!$L$10:$EQ$10,M$6,'CF(M)'!$L72:$EQ72)</f>
        <v>0</v>
      </c>
      <c r="N67" s="168">
        <f>SUMIF('CF(M)'!$L$10:$EQ$10,N$6,'CF(M)'!$L72:$EQ72)</f>
        <v>0</v>
      </c>
      <c r="O67" s="168">
        <f>SUMIF('CF(M)'!$L$10:$EQ$10,O$6,'CF(M)'!$L72:$EQ72)</f>
        <v>0</v>
      </c>
      <c r="P67" s="168">
        <f>SUMIF('CF(M)'!$L$10:$EQ$10,P$6,'CF(M)'!$L72:$EQ72)</f>
        <v>0</v>
      </c>
      <c r="Q67" s="168">
        <f>SUMIF('CF(M)'!$L$10:$EQ$10,Q$6,'CF(M)'!$L72:$EQ72)</f>
        <v>0</v>
      </c>
      <c r="R67" s="168">
        <f>SUMIF('CF(M)'!$L$10:$EQ$10,R$6,'CF(M)'!$L72:$EQ72)</f>
        <v>0</v>
      </c>
      <c r="S67" s="168">
        <f>SUMIF('CF(M)'!$L$10:$EQ$10,S$6,'CF(M)'!$L72:$EQ72)</f>
        <v>0</v>
      </c>
      <c r="T67" s="168">
        <f>SUMIF('CF(M)'!$L$10:$EQ$10,T$6,'CF(M)'!$L72:$EQ72)</f>
        <v>0</v>
      </c>
      <c r="U67" s="168">
        <f>SUMIF('CF(M)'!$L$10:$EQ$10,U$6,'CF(M)'!$L72:$EQ72)</f>
        <v>0</v>
      </c>
      <c r="V67" s="168">
        <f>SUMIF('CF(M)'!$L$10:$EQ$10,V$6,'CF(M)'!$L72:$EQ72)</f>
        <v>0</v>
      </c>
      <c r="W67" s="168">
        <f>SUMIF('CF(M)'!$L$10:$EQ$10,W$6,'CF(M)'!$L72:$EQ72)</f>
        <v>0</v>
      </c>
      <c r="X67" s="168">
        <f>SUMIF('CF(M)'!$L$10:$EQ$10,X$6,'CF(M)'!$L72:$EQ72)</f>
        <v>0</v>
      </c>
      <c r="Y67" s="168">
        <f>SUMIF('CF(M)'!$L$10:$EQ$10,Y$6,'CF(M)'!$L72:$EQ72)</f>
        <v>0</v>
      </c>
      <c r="Z67" s="168">
        <f>SUMIF('CF(M)'!$L$10:$EQ$10,Z$6,'CF(M)'!$L72:$EQ72)</f>
        <v>0</v>
      </c>
      <c r="AA67" s="168">
        <f>SUMIF('CF(M)'!$L$10:$EQ$10,AA$6,'CF(M)'!$L72:$EQ72)</f>
        <v>0</v>
      </c>
      <c r="AB67" s="168">
        <f>SUMIF('CF(M)'!$L$10:$EQ$10,AB$6,'CF(M)'!$L72:$EQ72)</f>
        <v>0</v>
      </c>
      <c r="AC67" s="168">
        <f>SUMIF('CF(M)'!$L$10:$EQ$10,AC$6,'CF(M)'!$L72:$EQ72)</f>
        <v>0</v>
      </c>
      <c r="AD67" s="168">
        <f>SUMIF('CF(M)'!$L$10:$EQ$10,AD$6,'CF(M)'!$L72:$EQ72)</f>
        <v>0</v>
      </c>
      <c r="AE67" s="168">
        <f>SUMIF('CF(M)'!$L$10:$EQ$10,AE$6,'CF(M)'!$L72:$EQ72)</f>
        <v>0</v>
      </c>
      <c r="AF67" s="168">
        <f>SUMIF('CF(M)'!$L$10:$EQ$10,AF$6,'CF(M)'!$L72:$EQ72)</f>
        <v>0</v>
      </c>
      <c r="AG67" s="168">
        <f>SUMIF('CF(M)'!$L$10:$EQ$10,AG$6,'CF(M)'!$L72:$EQ72)</f>
        <v>0</v>
      </c>
      <c r="AH67" s="168">
        <f>SUMIF('CF(M)'!$L$10:$EQ$10,AH$6,'CF(M)'!$L72:$EQ72)</f>
        <v>0</v>
      </c>
      <c r="AI67" s="168">
        <f>SUMIF('CF(M)'!$L$10:$EQ$10,AI$6,'CF(M)'!$L72:$EQ72)</f>
        <v>0</v>
      </c>
      <c r="AJ67" s="168">
        <f>SUMIF('CF(M)'!$L$10:$EQ$10,AJ$6,'CF(M)'!$L72:$EQ72)</f>
        <v>0</v>
      </c>
      <c r="AK67" s="168">
        <f>SUMIF('CF(M)'!$L$10:$EQ$10,AK$6,'CF(M)'!$L72:$EQ72)</f>
        <v>0</v>
      </c>
      <c r="AL67" s="168">
        <f>SUMIF('CF(M)'!$L$10:$EQ$10,AL$6,'CF(M)'!$L72:$EQ72)</f>
        <v>0</v>
      </c>
      <c r="AM67" s="168">
        <f>SUMIF('CF(M)'!$L$10:$EQ$10,AM$6,'CF(M)'!$L72:$EQ72)</f>
        <v>0</v>
      </c>
      <c r="AN67" s="168">
        <f>SUMIF('CF(M)'!$L$10:$EQ$10,AN$6,'CF(M)'!$L72:$EQ72)</f>
        <v>0</v>
      </c>
      <c r="AO67" s="168">
        <f>SUMIF('CF(M)'!$L$10:$EQ$10,AO$6,'CF(M)'!$L72:$EQ72)</f>
        <v>0</v>
      </c>
      <c r="AP67" s="168">
        <f>SUMIF('CF(M)'!$L$10:$EQ$10,AP$6,'CF(M)'!$L72:$EQ72)</f>
        <v>0</v>
      </c>
      <c r="AQ67" s="168">
        <f>SUMIF('CF(M)'!$L$10:$EQ$10,AQ$6,'CF(M)'!$L72:$EQ72)</f>
        <v>0</v>
      </c>
      <c r="AR67" s="168">
        <f>SUMIF('CF(M)'!$L$10:$EQ$10,AR$6,'CF(M)'!$L72:$EQ72)</f>
        <v>0</v>
      </c>
      <c r="AS67" s="168">
        <f>SUMIF('CF(M)'!$L$10:$EQ$10,AS$6,'CF(M)'!$L72:$EQ72)</f>
        <v>0</v>
      </c>
      <c r="AT67" s="168">
        <f>SUMIF('CF(M)'!$L$10:$EQ$10,AT$6,'CF(M)'!$L72:$EQ72)</f>
        <v>0</v>
      </c>
      <c r="AU67" s="168">
        <f>SUMIF('CF(M)'!$L$10:$EQ$10,AU$6,'CF(M)'!$L72:$EQ72)</f>
        <v>0</v>
      </c>
      <c r="AV67" s="168">
        <f>SUMIF('CF(M)'!$L$10:$EQ$10,AV$6,'CF(M)'!$L72:$EQ72)</f>
        <v>0</v>
      </c>
      <c r="AW67" s="168">
        <f>SUMIF('CF(M)'!$L$10:$EQ$10,AW$6,'CF(M)'!$L72:$EQ72)</f>
        <v>0</v>
      </c>
      <c r="AX67" s="168">
        <f>SUMIF('CF(M)'!$L$10:$EQ$10,AX$6,'CF(M)'!$L72:$EQ72)</f>
        <v>0</v>
      </c>
      <c r="AY67" s="168">
        <f>SUMIF('CF(M)'!$L$10:$EQ$10,AY$6,'CF(M)'!$L72:$EQ72)</f>
        <v>0</v>
      </c>
      <c r="AZ67" s="168">
        <f>SUMIF('CF(M)'!$L$10:$EQ$10,AZ$6,'CF(M)'!$L72:$EQ72)</f>
        <v>0</v>
      </c>
      <c r="BA67" s="168">
        <f>SUMIF('CF(M)'!$L$10:$EQ$10,BA$6,'CF(M)'!$L72:$EQ72)</f>
        <v>0</v>
      </c>
      <c r="BB67" s="168">
        <f>SUMIF('CF(M)'!$L$10:$EQ$10,BB$6,'CF(M)'!$L72:$EQ72)</f>
        <v>0</v>
      </c>
      <c r="BC67" s="168">
        <f>SUMIF('CF(M)'!$L$10:$EQ$10,BC$6,'CF(M)'!$L72:$EQ72)</f>
        <v>0</v>
      </c>
      <c r="BD67" s="168">
        <f>SUMIF('CF(M)'!$L$10:$EQ$10,BD$6,'CF(M)'!$L72:$EQ72)</f>
        <v>0</v>
      </c>
      <c r="BE67" s="168">
        <f>SUMIF('CF(M)'!$L$10:$EQ$10,BE$6,'CF(M)'!$L72:$EQ72)</f>
        <v>0</v>
      </c>
      <c r="BF67" s="168">
        <f>SUMIF('CF(M)'!$L$10:$EQ$10,BF$6,'CF(M)'!$L72:$EQ72)</f>
        <v>0</v>
      </c>
      <c r="BG67" s="168">
        <f>SUMIF('CF(M)'!$L$10:$EQ$10,BG$6,'CF(M)'!$L72:$EQ72)</f>
        <v>0</v>
      </c>
      <c r="BH67" s="168">
        <f>SUMIF('CF(M)'!$L$10:$EQ$10,BH$6,'CF(M)'!$L72:$EQ72)</f>
        <v>0</v>
      </c>
      <c r="BI67" s="168">
        <f>SUMIF('CF(M)'!$L$10:$EQ$10,BI$6,'CF(M)'!$L72:$EQ72)</f>
        <v>0</v>
      </c>
      <c r="BJ67" s="168">
        <f>SUMIF('CF(M)'!$L$10:$EQ$10,BJ$6,'CF(M)'!$L72:$EQ72)</f>
        <v>0</v>
      </c>
      <c r="BK67" s="168">
        <f>SUMIF('CF(M)'!$L$10:$EQ$10,BK$6,'CF(M)'!$L72:$EQ72)</f>
        <v>0</v>
      </c>
      <c r="BL67" s="168">
        <f>SUMIF('CF(M)'!$L$10:$EQ$10,BL$6,'CF(M)'!$L72:$EQ72)</f>
        <v>0</v>
      </c>
      <c r="BM67" s="168">
        <f>SUMIF('CF(M)'!$L$10:$EQ$10,BM$6,'CF(M)'!$L72:$EQ72)</f>
        <v>0</v>
      </c>
      <c r="BN67" s="168">
        <f>SUMIF('CF(M)'!$L$10:$EQ$10,BN$6,'CF(M)'!$L72:$EQ72)</f>
        <v>0</v>
      </c>
      <c r="BO67" s="168">
        <f>SUMIF('CF(M)'!$L$10:$EQ$10,BO$6,'CF(M)'!$L72:$EQ72)</f>
        <v>0</v>
      </c>
      <c r="BP67" s="168">
        <f>SUMIF('CF(M)'!$L$10:$EQ$10,BP$6,'CF(M)'!$L72:$EQ72)</f>
        <v>0</v>
      </c>
      <c r="BQ67" s="168">
        <f>SUMIF('CF(M)'!$L$10:$EQ$10,BQ$6,'CF(M)'!$L72:$EQ72)</f>
        <v>0</v>
      </c>
      <c r="BR67" s="168">
        <f>SUMIF('CF(M)'!$L$10:$EQ$10,BR$6,'CF(M)'!$L72:$EQ72)</f>
        <v>0</v>
      </c>
      <c r="BS67" s="168">
        <f>SUMIF('CF(M)'!$L$10:$EQ$10,BS$6,'CF(M)'!$L72:$EQ72)</f>
        <v>0</v>
      </c>
      <c r="BT67" s="168">
        <f>SUMIF('CF(M)'!$L$10:$EQ$10,BT$6,'CF(M)'!$L72:$EQ72)</f>
        <v>0</v>
      </c>
      <c r="BU67" s="168">
        <f>SUMIF('CF(M)'!$L$10:$EQ$10,BU$6,'CF(M)'!$L72:$EQ72)</f>
        <v>0</v>
      </c>
      <c r="BV67" s="168">
        <f>SUMIF('CF(M)'!$L$10:$EQ$10,BV$6,'CF(M)'!$L72:$EQ72)</f>
        <v>0</v>
      </c>
      <c r="BW67" s="168">
        <f>SUMIF('CF(M)'!$L$10:$EQ$10,BW$6,'CF(M)'!$L72:$EQ72)</f>
        <v>0</v>
      </c>
      <c r="BX67" s="168">
        <f>SUMIF('CF(M)'!$L$10:$EQ$10,BX$6,'CF(M)'!$L72:$EQ72)</f>
        <v>0</v>
      </c>
      <c r="BY67" s="168">
        <f>SUMIF('CF(M)'!$L$10:$EQ$10,BY$6,'CF(M)'!$L72:$EQ72)</f>
        <v>0</v>
      </c>
      <c r="BZ67" s="168">
        <f>SUMIF('CF(M)'!$L$10:$EQ$10,BZ$6,'CF(M)'!$L72:$EQ72)</f>
        <v>0</v>
      </c>
      <c r="CA67" s="168">
        <f>SUMIF('CF(M)'!$L$10:$EQ$10,CA$6,'CF(M)'!$L72:$EQ72)</f>
        <v>0</v>
      </c>
      <c r="CB67" s="168">
        <f>SUMIF('CF(M)'!$L$10:$EQ$10,CB$6,'CF(M)'!$L72:$EQ72)</f>
        <v>0</v>
      </c>
      <c r="CC67" s="168">
        <f>SUMIF('CF(M)'!$L$10:$EQ$10,CC$6,'CF(M)'!$L72:$EQ72)</f>
        <v>0</v>
      </c>
      <c r="CD67" s="168">
        <f>SUMIF('CF(M)'!$L$10:$EQ$10,CD$6,'CF(M)'!$L72:$EQ72)</f>
        <v>0</v>
      </c>
      <c r="CE67" s="168">
        <f>SUMIF('CF(M)'!$L$10:$EQ$10,CE$6,'CF(M)'!$L72:$EQ72)</f>
        <v>0</v>
      </c>
      <c r="CF67" s="168">
        <f>SUMIF('CF(M)'!$L$10:$EQ$10,CF$6,'CF(M)'!$L72:$EQ72)</f>
        <v>0</v>
      </c>
      <c r="CG67" s="168">
        <f>SUMIF('CF(M)'!$L$10:$EQ$10,CG$6,'CF(M)'!$L72:$EQ72)</f>
        <v>0</v>
      </c>
      <c r="CH67" s="168">
        <f>SUMIF('CF(M)'!$L$10:$EQ$10,CH$6,'CF(M)'!$L72:$EQ72)</f>
        <v>0</v>
      </c>
      <c r="CI67" s="168">
        <f>SUMIF('CF(M)'!$L$10:$EQ$10,CI$6,'CF(M)'!$L72:$EQ72)</f>
        <v>0</v>
      </c>
      <c r="CJ67" s="168">
        <f>SUMIF('CF(M)'!$L$10:$EQ$10,CJ$6,'CF(M)'!$L72:$EQ72)</f>
        <v>0</v>
      </c>
      <c r="CK67" s="168">
        <f>SUMIF('CF(M)'!$L$10:$EQ$10,CK$6,'CF(M)'!$L72:$EQ72)</f>
        <v>0</v>
      </c>
      <c r="CL67" s="168">
        <f>SUMIF('CF(M)'!$L$10:$EQ$10,CL$6,'CF(M)'!$L72:$EQ72)</f>
        <v>0</v>
      </c>
      <c r="CM67" s="168">
        <f>SUMIF('CF(M)'!$L$10:$EQ$10,CM$6,'CF(M)'!$L72:$EQ72)</f>
        <v>0</v>
      </c>
      <c r="CN67" s="168">
        <f>SUMIF('CF(M)'!$L$10:$EQ$10,CN$6,'CF(M)'!$L72:$EQ72)</f>
        <v>0</v>
      </c>
      <c r="CO67" s="168">
        <f>SUMIF('CF(M)'!$L$10:$EQ$10,CO$6,'CF(M)'!$L72:$EQ72)</f>
        <v>0</v>
      </c>
      <c r="CP67" s="168">
        <f>SUMIF('CF(M)'!$L$10:$EQ$10,CP$6,'CF(M)'!$L72:$EQ72)</f>
        <v>0</v>
      </c>
      <c r="CQ67" s="168">
        <f>SUMIF('CF(M)'!$L$10:$EQ$10,CQ$6,'CF(M)'!$L72:$EQ72)</f>
        <v>0</v>
      </c>
      <c r="CR67" s="168">
        <f>SUMIF('CF(M)'!$L$10:$EQ$10,CR$6,'CF(M)'!$L72:$EQ72)</f>
        <v>0</v>
      </c>
      <c r="CS67" s="168">
        <f>SUMIF('CF(M)'!$L$10:$EQ$10,CS$6,'CF(M)'!$L72:$EQ72)</f>
        <v>0</v>
      </c>
      <c r="CT67" s="168">
        <f>SUMIF('CF(M)'!$L$10:$EQ$10,CT$6,'CF(M)'!$L72:$EQ72)</f>
        <v>0</v>
      </c>
      <c r="CU67" s="168">
        <f>SUMIF('CF(M)'!$L$10:$EQ$10,CU$6,'CF(M)'!$L72:$EQ72)</f>
        <v>0</v>
      </c>
      <c r="CV67" s="168">
        <f>SUMIF('CF(M)'!$L$10:$EQ$10,CV$6,'CF(M)'!$L72:$EQ72)</f>
        <v>0</v>
      </c>
      <c r="CW67" s="168">
        <f>SUMIF('CF(M)'!$L$10:$EQ$10,CW$6,'CF(M)'!$L72:$EQ72)</f>
        <v>0</v>
      </c>
      <c r="CX67" s="168">
        <f>SUMIF('CF(M)'!$L$10:$EQ$10,CX$6,'CF(M)'!$L72:$EQ72)</f>
        <v>0</v>
      </c>
      <c r="CY67" s="168">
        <f>SUMIF('CF(M)'!$L$10:$EQ$10,CY$6,'CF(M)'!$L72:$EQ72)</f>
        <v>0</v>
      </c>
      <c r="CZ67" s="168">
        <f>SUMIF('CF(M)'!$L$10:$EQ$10,CZ$6,'CF(M)'!$L72:$EQ72)</f>
        <v>0</v>
      </c>
      <c r="DA67" s="168">
        <f>SUMIF('CF(M)'!$L$10:$EQ$10,DA$6,'CF(M)'!$L72:$EQ72)</f>
        <v>0</v>
      </c>
      <c r="DB67" s="168">
        <f>SUMIF('CF(M)'!$L$10:$EQ$10,DB$6,'CF(M)'!$L72:$EQ72)</f>
        <v>0</v>
      </c>
      <c r="DC67" s="168">
        <f>SUMIF('CF(M)'!$L$10:$EQ$10,DC$6,'CF(M)'!$L72:$EQ72)</f>
        <v>0</v>
      </c>
      <c r="DD67" s="168">
        <f>SUMIF('CF(M)'!$L$10:$EQ$10,DD$6,'CF(M)'!$L72:$EQ72)</f>
        <v>0</v>
      </c>
      <c r="DE67" s="168">
        <f>SUMIF('CF(M)'!$L$10:$EQ$10,DE$6,'CF(M)'!$L72:$EQ72)</f>
        <v>0</v>
      </c>
      <c r="DF67" s="168">
        <f>SUMIF('CF(M)'!$L$10:$EQ$10,DF$6,'CF(M)'!$L72:$EQ72)</f>
        <v>0</v>
      </c>
      <c r="DG67" s="168">
        <f>SUMIF('CF(M)'!$L$10:$EQ$10,DG$6,'CF(M)'!$L72:$EQ72)</f>
        <v>0</v>
      </c>
      <c r="DH67" s="168">
        <f>SUMIF('CF(M)'!$L$10:$EQ$10,DH$6,'CF(M)'!$L72:$EQ72)</f>
        <v>0</v>
      </c>
      <c r="DI67" s="168">
        <f>SUMIF('CF(M)'!$L$10:$EQ$10,DI$6,'CF(M)'!$L72:$EQ72)</f>
        <v>0</v>
      </c>
      <c r="DJ67" s="168">
        <f>SUMIF('CF(M)'!$L$10:$EQ$10,DJ$6,'CF(M)'!$L72:$EQ72)</f>
        <v>0</v>
      </c>
      <c r="DK67" s="168">
        <f>SUMIF('CF(M)'!$L$10:$EQ$10,DK$6,'CF(M)'!$L72:$EQ72)</f>
        <v>0</v>
      </c>
      <c r="DL67" s="168">
        <f>SUMIF('CF(M)'!$L$10:$EQ$10,DL$6,'CF(M)'!$L72:$EQ72)</f>
        <v>0</v>
      </c>
      <c r="DM67" s="168">
        <f>SUMIF('CF(M)'!$L$10:$EQ$10,DM$6,'CF(M)'!$L72:$EQ72)</f>
        <v>0</v>
      </c>
      <c r="DN67" s="168">
        <f>SUMIF('CF(M)'!$L$10:$EQ$10,DN$6,'CF(M)'!$L72:$EQ72)</f>
        <v>0</v>
      </c>
      <c r="DO67" s="168">
        <f>SUMIF('CF(M)'!$L$10:$EQ$10,DO$6,'CF(M)'!$L72:$EQ72)</f>
        <v>0</v>
      </c>
      <c r="DP67" s="168">
        <f>SUMIF('CF(M)'!$L$10:$EQ$10,DP$6,'CF(M)'!$L72:$EQ72)</f>
        <v>0</v>
      </c>
      <c r="DQ67" s="168">
        <f>SUMIF('CF(M)'!$L$10:$EQ$10,DQ$6,'CF(M)'!$L72:$EQ72)</f>
        <v>0</v>
      </c>
      <c r="DR67" s="168">
        <f>SUMIF('CF(M)'!$L$10:$EQ$10,DR$6,'CF(M)'!$L72:$EQ72)</f>
        <v>0</v>
      </c>
      <c r="DS67" s="168">
        <f>SUMIF('CF(M)'!$L$10:$EQ$10,DS$6,'CF(M)'!$L72:$EQ72)</f>
        <v>0</v>
      </c>
      <c r="DT67" s="168">
        <f>SUMIF('CF(M)'!$L$10:$EQ$10,DT$6,'CF(M)'!$L72:$EQ72)</f>
        <v>0</v>
      </c>
      <c r="DU67" s="168">
        <f>SUMIF('CF(M)'!$L$10:$EQ$10,DU$6,'CF(M)'!$L72:$EQ72)</f>
        <v>0</v>
      </c>
      <c r="DV67" s="168">
        <f>SUMIF('CF(M)'!$L$10:$EQ$10,DV$6,'CF(M)'!$L72:$EQ72)</f>
        <v>0</v>
      </c>
    </row>
    <row r="68" spans="2:126" ht="11.25" customHeight="1">
      <c r="B68" s="218"/>
      <c r="C68" s="163"/>
      <c r="D68" s="169" t="s">
        <v>209</v>
      </c>
      <c r="H68" s="146"/>
      <c r="I68" s="229"/>
      <c r="J68" s="171">
        <f>SUM(L68:DV68)</f>
        <v>-160000000</v>
      </c>
      <c r="K68" s="98"/>
      <c r="L68" s="171">
        <f>SUMIF('CF(M)'!$L$10:$EQ$10,L$6,'CF(M)'!$L73:$EQ73)</f>
        <v>0</v>
      </c>
      <c r="M68" s="171">
        <f>SUMIF('CF(M)'!$L$10:$EQ$10,M$6,'CF(M)'!$L73:$EQ73)</f>
        <v>0</v>
      </c>
      <c r="N68" s="171">
        <f>SUMIF('CF(M)'!$L$10:$EQ$10,N$6,'CF(M)'!$L73:$EQ73)</f>
        <v>0</v>
      </c>
      <c r="O68" s="171">
        <f>SUMIF('CF(M)'!$L$10:$EQ$10,O$6,'CF(M)'!$L73:$EQ73)</f>
        <v>0</v>
      </c>
      <c r="P68" s="171">
        <f>SUMIF('CF(M)'!$L$10:$EQ$10,P$6,'CF(M)'!$L73:$EQ73)</f>
        <v>-160000000</v>
      </c>
      <c r="Q68" s="171">
        <f>SUMIF('CF(M)'!$L$10:$EQ$10,Q$6,'CF(M)'!$L73:$EQ73)</f>
        <v>0</v>
      </c>
      <c r="R68" s="171">
        <f>SUMIF('CF(M)'!$L$10:$EQ$10,R$6,'CF(M)'!$L73:$EQ73)</f>
        <v>0</v>
      </c>
      <c r="S68" s="171">
        <f>SUMIF('CF(M)'!$L$10:$EQ$10,S$6,'CF(M)'!$L73:$EQ73)</f>
        <v>0</v>
      </c>
      <c r="T68" s="171">
        <f>SUMIF('CF(M)'!$L$10:$EQ$10,T$6,'CF(M)'!$L73:$EQ73)</f>
        <v>0</v>
      </c>
      <c r="U68" s="171">
        <f>SUMIF('CF(M)'!$L$10:$EQ$10,U$6,'CF(M)'!$L73:$EQ73)</f>
        <v>0</v>
      </c>
      <c r="V68" s="171">
        <f>SUMIF('CF(M)'!$L$10:$EQ$10,V$6,'CF(M)'!$L73:$EQ73)</f>
        <v>0</v>
      </c>
      <c r="W68" s="171">
        <f>SUMIF('CF(M)'!$L$10:$EQ$10,W$6,'CF(M)'!$L73:$EQ73)</f>
        <v>0</v>
      </c>
      <c r="X68" s="171">
        <f>SUMIF('CF(M)'!$L$10:$EQ$10,X$6,'CF(M)'!$L73:$EQ73)</f>
        <v>0</v>
      </c>
      <c r="Y68" s="171">
        <f>SUMIF('CF(M)'!$L$10:$EQ$10,Y$6,'CF(M)'!$L73:$EQ73)</f>
        <v>0</v>
      </c>
      <c r="Z68" s="171">
        <f>SUMIF('CF(M)'!$L$10:$EQ$10,Z$6,'CF(M)'!$L73:$EQ73)</f>
        <v>0</v>
      </c>
      <c r="AA68" s="171">
        <f>SUMIF('CF(M)'!$L$10:$EQ$10,AA$6,'CF(M)'!$L73:$EQ73)</f>
        <v>0</v>
      </c>
      <c r="AB68" s="171">
        <f>SUMIF('CF(M)'!$L$10:$EQ$10,AB$6,'CF(M)'!$L73:$EQ73)</f>
        <v>0</v>
      </c>
      <c r="AC68" s="171">
        <f>SUMIF('CF(M)'!$L$10:$EQ$10,AC$6,'CF(M)'!$L73:$EQ73)</f>
        <v>0</v>
      </c>
      <c r="AD68" s="171">
        <f>SUMIF('CF(M)'!$L$10:$EQ$10,AD$6,'CF(M)'!$L73:$EQ73)</f>
        <v>0</v>
      </c>
      <c r="AE68" s="171">
        <f>SUMIF('CF(M)'!$L$10:$EQ$10,AE$6,'CF(M)'!$L73:$EQ73)</f>
        <v>0</v>
      </c>
      <c r="AF68" s="171">
        <f>SUMIF('CF(M)'!$L$10:$EQ$10,AF$6,'CF(M)'!$L73:$EQ73)</f>
        <v>0</v>
      </c>
      <c r="AG68" s="171">
        <f>SUMIF('CF(M)'!$L$10:$EQ$10,AG$6,'CF(M)'!$L73:$EQ73)</f>
        <v>0</v>
      </c>
      <c r="AH68" s="171">
        <f>SUMIF('CF(M)'!$L$10:$EQ$10,AH$6,'CF(M)'!$L73:$EQ73)</f>
        <v>0</v>
      </c>
      <c r="AI68" s="171">
        <f>SUMIF('CF(M)'!$L$10:$EQ$10,AI$6,'CF(M)'!$L73:$EQ73)</f>
        <v>0</v>
      </c>
      <c r="AJ68" s="171">
        <f>SUMIF('CF(M)'!$L$10:$EQ$10,AJ$6,'CF(M)'!$L73:$EQ73)</f>
        <v>0</v>
      </c>
      <c r="AK68" s="171">
        <f>SUMIF('CF(M)'!$L$10:$EQ$10,AK$6,'CF(M)'!$L73:$EQ73)</f>
        <v>0</v>
      </c>
      <c r="AL68" s="171">
        <f>SUMIF('CF(M)'!$L$10:$EQ$10,AL$6,'CF(M)'!$L73:$EQ73)</f>
        <v>0</v>
      </c>
      <c r="AM68" s="171">
        <f>SUMIF('CF(M)'!$L$10:$EQ$10,AM$6,'CF(M)'!$L73:$EQ73)</f>
        <v>0</v>
      </c>
      <c r="AN68" s="171">
        <f>SUMIF('CF(M)'!$L$10:$EQ$10,AN$6,'CF(M)'!$L73:$EQ73)</f>
        <v>0</v>
      </c>
      <c r="AO68" s="171">
        <f>SUMIF('CF(M)'!$L$10:$EQ$10,AO$6,'CF(M)'!$L73:$EQ73)</f>
        <v>0</v>
      </c>
      <c r="AP68" s="171">
        <f>SUMIF('CF(M)'!$L$10:$EQ$10,AP$6,'CF(M)'!$L73:$EQ73)</f>
        <v>0</v>
      </c>
      <c r="AQ68" s="171">
        <f>SUMIF('CF(M)'!$L$10:$EQ$10,AQ$6,'CF(M)'!$L73:$EQ73)</f>
        <v>0</v>
      </c>
      <c r="AR68" s="171">
        <f>SUMIF('CF(M)'!$L$10:$EQ$10,AR$6,'CF(M)'!$L73:$EQ73)</f>
        <v>0</v>
      </c>
      <c r="AS68" s="171">
        <f>SUMIF('CF(M)'!$L$10:$EQ$10,AS$6,'CF(M)'!$L73:$EQ73)</f>
        <v>0</v>
      </c>
      <c r="AT68" s="171">
        <f>SUMIF('CF(M)'!$L$10:$EQ$10,AT$6,'CF(M)'!$L73:$EQ73)</f>
        <v>0</v>
      </c>
      <c r="AU68" s="171">
        <f>SUMIF('CF(M)'!$L$10:$EQ$10,AU$6,'CF(M)'!$L73:$EQ73)</f>
        <v>0</v>
      </c>
      <c r="AV68" s="171">
        <f>SUMIF('CF(M)'!$L$10:$EQ$10,AV$6,'CF(M)'!$L73:$EQ73)</f>
        <v>0</v>
      </c>
      <c r="AW68" s="171">
        <f>SUMIF('CF(M)'!$L$10:$EQ$10,AW$6,'CF(M)'!$L73:$EQ73)</f>
        <v>0</v>
      </c>
      <c r="AX68" s="171">
        <f>SUMIF('CF(M)'!$L$10:$EQ$10,AX$6,'CF(M)'!$L73:$EQ73)</f>
        <v>0</v>
      </c>
      <c r="AY68" s="171">
        <f>SUMIF('CF(M)'!$L$10:$EQ$10,AY$6,'CF(M)'!$L73:$EQ73)</f>
        <v>0</v>
      </c>
      <c r="AZ68" s="171">
        <f>SUMIF('CF(M)'!$L$10:$EQ$10,AZ$6,'CF(M)'!$L73:$EQ73)</f>
        <v>0</v>
      </c>
      <c r="BA68" s="171">
        <f>SUMIF('CF(M)'!$L$10:$EQ$10,BA$6,'CF(M)'!$L73:$EQ73)</f>
        <v>0</v>
      </c>
      <c r="BB68" s="171">
        <f>SUMIF('CF(M)'!$L$10:$EQ$10,BB$6,'CF(M)'!$L73:$EQ73)</f>
        <v>0</v>
      </c>
      <c r="BC68" s="171">
        <f>SUMIF('CF(M)'!$L$10:$EQ$10,BC$6,'CF(M)'!$L73:$EQ73)</f>
        <v>0</v>
      </c>
      <c r="BD68" s="171">
        <f>SUMIF('CF(M)'!$L$10:$EQ$10,BD$6,'CF(M)'!$L73:$EQ73)</f>
        <v>0</v>
      </c>
      <c r="BE68" s="171">
        <f>SUMIF('CF(M)'!$L$10:$EQ$10,BE$6,'CF(M)'!$L73:$EQ73)</f>
        <v>0</v>
      </c>
      <c r="BF68" s="171">
        <f>SUMIF('CF(M)'!$L$10:$EQ$10,BF$6,'CF(M)'!$L73:$EQ73)</f>
        <v>0</v>
      </c>
      <c r="BG68" s="171">
        <f>SUMIF('CF(M)'!$L$10:$EQ$10,BG$6,'CF(M)'!$L73:$EQ73)</f>
        <v>0</v>
      </c>
      <c r="BH68" s="171">
        <f>SUMIF('CF(M)'!$L$10:$EQ$10,BH$6,'CF(M)'!$L73:$EQ73)</f>
        <v>0</v>
      </c>
      <c r="BI68" s="171">
        <f>SUMIF('CF(M)'!$L$10:$EQ$10,BI$6,'CF(M)'!$L73:$EQ73)</f>
        <v>0</v>
      </c>
      <c r="BJ68" s="171">
        <f>SUMIF('CF(M)'!$L$10:$EQ$10,BJ$6,'CF(M)'!$L73:$EQ73)</f>
        <v>0</v>
      </c>
      <c r="BK68" s="171">
        <f>SUMIF('CF(M)'!$L$10:$EQ$10,BK$6,'CF(M)'!$L73:$EQ73)</f>
        <v>0</v>
      </c>
      <c r="BL68" s="171">
        <f>SUMIF('CF(M)'!$L$10:$EQ$10,BL$6,'CF(M)'!$L73:$EQ73)</f>
        <v>0</v>
      </c>
      <c r="BM68" s="171">
        <f>SUMIF('CF(M)'!$L$10:$EQ$10,BM$6,'CF(M)'!$L73:$EQ73)</f>
        <v>0</v>
      </c>
      <c r="BN68" s="171">
        <f>SUMIF('CF(M)'!$L$10:$EQ$10,BN$6,'CF(M)'!$L73:$EQ73)</f>
        <v>0</v>
      </c>
      <c r="BO68" s="171">
        <f>SUMIF('CF(M)'!$L$10:$EQ$10,BO$6,'CF(M)'!$L73:$EQ73)</f>
        <v>0</v>
      </c>
      <c r="BP68" s="171">
        <f>SUMIF('CF(M)'!$L$10:$EQ$10,BP$6,'CF(M)'!$L73:$EQ73)</f>
        <v>0</v>
      </c>
      <c r="BQ68" s="171">
        <f>SUMIF('CF(M)'!$L$10:$EQ$10,BQ$6,'CF(M)'!$L73:$EQ73)</f>
        <v>0</v>
      </c>
      <c r="BR68" s="171">
        <f>SUMIF('CF(M)'!$L$10:$EQ$10,BR$6,'CF(M)'!$L73:$EQ73)</f>
        <v>0</v>
      </c>
      <c r="BS68" s="171">
        <f>SUMIF('CF(M)'!$L$10:$EQ$10,BS$6,'CF(M)'!$L73:$EQ73)</f>
        <v>0</v>
      </c>
      <c r="BT68" s="171">
        <f>SUMIF('CF(M)'!$L$10:$EQ$10,BT$6,'CF(M)'!$L73:$EQ73)</f>
        <v>0</v>
      </c>
      <c r="BU68" s="171">
        <f>SUMIF('CF(M)'!$L$10:$EQ$10,BU$6,'CF(M)'!$L73:$EQ73)</f>
        <v>0</v>
      </c>
      <c r="BV68" s="171">
        <f>SUMIF('CF(M)'!$L$10:$EQ$10,BV$6,'CF(M)'!$L73:$EQ73)</f>
        <v>0</v>
      </c>
      <c r="BW68" s="171">
        <f>SUMIF('CF(M)'!$L$10:$EQ$10,BW$6,'CF(M)'!$L73:$EQ73)</f>
        <v>0</v>
      </c>
      <c r="BX68" s="171">
        <f>SUMIF('CF(M)'!$L$10:$EQ$10,BX$6,'CF(M)'!$L73:$EQ73)</f>
        <v>0</v>
      </c>
      <c r="BY68" s="171">
        <f>SUMIF('CF(M)'!$L$10:$EQ$10,BY$6,'CF(M)'!$L73:$EQ73)</f>
        <v>0</v>
      </c>
      <c r="BZ68" s="171">
        <f>SUMIF('CF(M)'!$L$10:$EQ$10,BZ$6,'CF(M)'!$L73:$EQ73)</f>
        <v>0</v>
      </c>
      <c r="CA68" s="171">
        <f>SUMIF('CF(M)'!$L$10:$EQ$10,CA$6,'CF(M)'!$L73:$EQ73)</f>
        <v>0</v>
      </c>
      <c r="CB68" s="171">
        <f>SUMIF('CF(M)'!$L$10:$EQ$10,CB$6,'CF(M)'!$L73:$EQ73)</f>
        <v>0</v>
      </c>
      <c r="CC68" s="171">
        <f>SUMIF('CF(M)'!$L$10:$EQ$10,CC$6,'CF(M)'!$L73:$EQ73)</f>
        <v>0</v>
      </c>
      <c r="CD68" s="171">
        <f>SUMIF('CF(M)'!$L$10:$EQ$10,CD$6,'CF(M)'!$L73:$EQ73)</f>
        <v>0</v>
      </c>
      <c r="CE68" s="171">
        <f>SUMIF('CF(M)'!$L$10:$EQ$10,CE$6,'CF(M)'!$L73:$EQ73)</f>
        <v>0</v>
      </c>
      <c r="CF68" s="171">
        <f>SUMIF('CF(M)'!$L$10:$EQ$10,CF$6,'CF(M)'!$L73:$EQ73)</f>
        <v>0</v>
      </c>
      <c r="CG68" s="171">
        <f>SUMIF('CF(M)'!$L$10:$EQ$10,CG$6,'CF(M)'!$L73:$EQ73)</f>
        <v>0</v>
      </c>
      <c r="CH68" s="171">
        <f>SUMIF('CF(M)'!$L$10:$EQ$10,CH$6,'CF(M)'!$L73:$EQ73)</f>
        <v>0</v>
      </c>
      <c r="CI68" s="171">
        <f>SUMIF('CF(M)'!$L$10:$EQ$10,CI$6,'CF(M)'!$L73:$EQ73)</f>
        <v>0</v>
      </c>
      <c r="CJ68" s="171">
        <f>SUMIF('CF(M)'!$L$10:$EQ$10,CJ$6,'CF(M)'!$L73:$EQ73)</f>
        <v>0</v>
      </c>
      <c r="CK68" s="171">
        <f>SUMIF('CF(M)'!$L$10:$EQ$10,CK$6,'CF(M)'!$L73:$EQ73)</f>
        <v>0</v>
      </c>
      <c r="CL68" s="171">
        <f>SUMIF('CF(M)'!$L$10:$EQ$10,CL$6,'CF(M)'!$L73:$EQ73)</f>
        <v>0</v>
      </c>
      <c r="CM68" s="171">
        <f>SUMIF('CF(M)'!$L$10:$EQ$10,CM$6,'CF(M)'!$L73:$EQ73)</f>
        <v>0</v>
      </c>
      <c r="CN68" s="171">
        <f>SUMIF('CF(M)'!$L$10:$EQ$10,CN$6,'CF(M)'!$L73:$EQ73)</f>
        <v>0</v>
      </c>
      <c r="CO68" s="171">
        <f>SUMIF('CF(M)'!$L$10:$EQ$10,CO$6,'CF(M)'!$L73:$EQ73)</f>
        <v>0</v>
      </c>
      <c r="CP68" s="171">
        <f>SUMIF('CF(M)'!$L$10:$EQ$10,CP$6,'CF(M)'!$L73:$EQ73)</f>
        <v>0</v>
      </c>
      <c r="CQ68" s="171">
        <f>SUMIF('CF(M)'!$L$10:$EQ$10,CQ$6,'CF(M)'!$L73:$EQ73)</f>
        <v>0</v>
      </c>
      <c r="CR68" s="171">
        <f>SUMIF('CF(M)'!$L$10:$EQ$10,CR$6,'CF(M)'!$L73:$EQ73)</f>
        <v>0</v>
      </c>
      <c r="CS68" s="171">
        <f>SUMIF('CF(M)'!$L$10:$EQ$10,CS$6,'CF(M)'!$L73:$EQ73)</f>
        <v>0</v>
      </c>
      <c r="CT68" s="171">
        <f>SUMIF('CF(M)'!$L$10:$EQ$10,CT$6,'CF(M)'!$L73:$EQ73)</f>
        <v>0</v>
      </c>
      <c r="CU68" s="171">
        <f>SUMIF('CF(M)'!$L$10:$EQ$10,CU$6,'CF(M)'!$L73:$EQ73)</f>
        <v>0</v>
      </c>
      <c r="CV68" s="171">
        <f>SUMIF('CF(M)'!$L$10:$EQ$10,CV$6,'CF(M)'!$L73:$EQ73)</f>
        <v>0</v>
      </c>
      <c r="CW68" s="171">
        <f>SUMIF('CF(M)'!$L$10:$EQ$10,CW$6,'CF(M)'!$L73:$EQ73)</f>
        <v>0</v>
      </c>
      <c r="CX68" s="171">
        <f>SUMIF('CF(M)'!$L$10:$EQ$10,CX$6,'CF(M)'!$L73:$EQ73)</f>
        <v>0</v>
      </c>
      <c r="CY68" s="171">
        <f>SUMIF('CF(M)'!$L$10:$EQ$10,CY$6,'CF(M)'!$L73:$EQ73)</f>
        <v>0</v>
      </c>
      <c r="CZ68" s="171">
        <f>SUMIF('CF(M)'!$L$10:$EQ$10,CZ$6,'CF(M)'!$L73:$EQ73)</f>
        <v>0</v>
      </c>
      <c r="DA68" s="171">
        <f>SUMIF('CF(M)'!$L$10:$EQ$10,DA$6,'CF(M)'!$L73:$EQ73)</f>
        <v>0</v>
      </c>
      <c r="DB68" s="171">
        <f>SUMIF('CF(M)'!$L$10:$EQ$10,DB$6,'CF(M)'!$L73:$EQ73)</f>
        <v>0</v>
      </c>
      <c r="DC68" s="171">
        <f>SUMIF('CF(M)'!$L$10:$EQ$10,DC$6,'CF(M)'!$L73:$EQ73)</f>
        <v>0</v>
      </c>
      <c r="DD68" s="171">
        <f>SUMIF('CF(M)'!$L$10:$EQ$10,DD$6,'CF(M)'!$L73:$EQ73)</f>
        <v>0</v>
      </c>
      <c r="DE68" s="171">
        <f>SUMIF('CF(M)'!$L$10:$EQ$10,DE$6,'CF(M)'!$L73:$EQ73)</f>
        <v>0</v>
      </c>
      <c r="DF68" s="171">
        <f>SUMIF('CF(M)'!$L$10:$EQ$10,DF$6,'CF(M)'!$L73:$EQ73)</f>
        <v>0</v>
      </c>
      <c r="DG68" s="171">
        <f>SUMIF('CF(M)'!$L$10:$EQ$10,DG$6,'CF(M)'!$L73:$EQ73)</f>
        <v>0</v>
      </c>
      <c r="DH68" s="171">
        <f>SUMIF('CF(M)'!$L$10:$EQ$10,DH$6,'CF(M)'!$L73:$EQ73)</f>
        <v>0</v>
      </c>
      <c r="DI68" s="171">
        <f>SUMIF('CF(M)'!$L$10:$EQ$10,DI$6,'CF(M)'!$L73:$EQ73)</f>
        <v>0</v>
      </c>
      <c r="DJ68" s="171">
        <f>SUMIF('CF(M)'!$L$10:$EQ$10,DJ$6,'CF(M)'!$L73:$EQ73)</f>
        <v>0</v>
      </c>
      <c r="DK68" s="171">
        <f>SUMIF('CF(M)'!$L$10:$EQ$10,DK$6,'CF(M)'!$L73:$EQ73)</f>
        <v>0</v>
      </c>
      <c r="DL68" s="171">
        <f>SUMIF('CF(M)'!$L$10:$EQ$10,DL$6,'CF(M)'!$L73:$EQ73)</f>
        <v>0</v>
      </c>
      <c r="DM68" s="171">
        <f>SUMIF('CF(M)'!$L$10:$EQ$10,DM$6,'CF(M)'!$L73:$EQ73)</f>
        <v>0</v>
      </c>
      <c r="DN68" s="171">
        <f>SUMIF('CF(M)'!$L$10:$EQ$10,DN$6,'CF(M)'!$L73:$EQ73)</f>
        <v>0</v>
      </c>
      <c r="DO68" s="171">
        <f>SUMIF('CF(M)'!$L$10:$EQ$10,DO$6,'CF(M)'!$L73:$EQ73)</f>
        <v>0</v>
      </c>
      <c r="DP68" s="171">
        <f>SUMIF('CF(M)'!$L$10:$EQ$10,DP$6,'CF(M)'!$L73:$EQ73)</f>
        <v>0</v>
      </c>
      <c r="DQ68" s="171">
        <f>SUMIF('CF(M)'!$L$10:$EQ$10,DQ$6,'CF(M)'!$L73:$EQ73)</f>
        <v>0</v>
      </c>
      <c r="DR68" s="171">
        <f>SUMIF('CF(M)'!$L$10:$EQ$10,DR$6,'CF(M)'!$L73:$EQ73)</f>
        <v>0</v>
      </c>
      <c r="DS68" s="171">
        <f>SUMIF('CF(M)'!$L$10:$EQ$10,DS$6,'CF(M)'!$L73:$EQ73)</f>
        <v>0</v>
      </c>
      <c r="DT68" s="171">
        <f>SUMIF('CF(M)'!$L$10:$EQ$10,DT$6,'CF(M)'!$L73:$EQ73)</f>
        <v>0</v>
      </c>
      <c r="DU68" s="171">
        <f>SUMIF('CF(M)'!$L$10:$EQ$10,DU$6,'CF(M)'!$L73:$EQ73)</f>
        <v>0</v>
      </c>
      <c r="DV68" s="171">
        <f>SUMIF('CF(M)'!$L$10:$EQ$10,DV$6,'CF(M)'!$L73:$EQ73)</f>
        <v>0</v>
      </c>
    </row>
    <row r="69" spans="2:126" ht="11.25" customHeight="1">
      <c r="B69" s="218"/>
      <c r="C69" s="158" t="str">
        <f>'CF(M)'!C74</f>
        <v>담보대출(2nd)</v>
      </c>
      <c r="D69" s="159"/>
      <c r="E69" s="159"/>
      <c r="F69" s="159"/>
      <c r="G69" s="159"/>
      <c r="H69" s="160"/>
      <c r="I69" s="219"/>
      <c r="J69" s="220">
        <f>SUM(J70:J71)</f>
        <v>0</v>
      </c>
      <c r="K69" s="98"/>
      <c r="L69" s="162">
        <f>SUM(L70:L71)</f>
        <v>0</v>
      </c>
      <c r="M69" s="162">
        <f t="shared" ref="M69:BX69" si="30">SUM(M70:M71)</f>
        <v>0</v>
      </c>
      <c r="N69" s="162">
        <f t="shared" si="30"/>
        <v>0</v>
      </c>
      <c r="O69" s="162">
        <f t="shared" si="30"/>
        <v>0</v>
      </c>
      <c r="P69" s="162">
        <f t="shared" si="30"/>
        <v>213000000</v>
      </c>
      <c r="Q69" s="162">
        <f t="shared" si="30"/>
        <v>0</v>
      </c>
      <c r="R69" s="162">
        <f t="shared" si="30"/>
        <v>0</v>
      </c>
      <c r="S69" s="162">
        <f t="shared" si="30"/>
        <v>0</v>
      </c>
      <c r="T69" s="162">
        <f t="shared" si="30"/>
        <v>0</v>
      </c>
      <c r="U69" s="162">
        <f t="shared" si="30"/>
        <v>0</v>
      </c>
      <c r="V69" s="162">
        <f t="shared" si="30"/>
        <v>-213000000</v>
      </c>
      <c r="W69" s="162">
        <f t="shared" si="30"/>
        <v>0</v>
      </c>
      <c r="X69" s="162">
        <f t="shared" si="30"/>
        <v>0</v>
      </c>
      <c r="Y69" s="162">
        <f t="shared" si="30"/>
        <v>0</v>
      </c>
      <c r="Z69" s="162">
        <f t="shared" si="30"/>
        <v>0</v>
      </c>
      <c r="AA69" s="162">
        <f t="shared" si="30"/>
        <v>0</v>
      </c>
      <c r="AB69" s="162">
        <f t="shared" si="30"/>
        <v>0</v>
      </c>
      <c r="AC69" s="162">
        <f t="shared" si="30"/>
        <v>0</v>
      </c>
      <c r="AD69" s="162">
        <f t="shared" si="30"/>
        <v>0</v>
      </c>
      <c r="AE69" s="162">
        <f t="shared" si="30"/>
        <v>0</v>
      </c>
      <c r="AF69" s="162">
        <f t="shared" si="30"/>
        <v>0</v>
      </c>
      <c r="AG69" s="162">
        <f t="shared" si="30"/>
        <v>0</v>
      </c>
      <c r="AH69" s="162">
        <f t="shared" si="30"/>
        <v>0</v>
      </c>
      <c r="AI69" s="162">
        <f t="shared" si="30"/>
        <v>0</v>
      </c>
      <c r="AJ69" s="162">
        <f t="shared" si="30"/>
        <v>0</v>
      </c>
      <c r="AK69" s="162">
        <f t="shared" si="30"/>
        <v>0</v>
      </c>
      <c r="AL69" s="162">
        <f t="shared" si="30"/>
        <v>0</v>
      </c>
      <c r="AM69" s="162">
        <f t="shared" si="30"/>
        <v>0</v>
      </c>
      <c r="AN69" s="162">
        <f t="shared" si="30"/>
        <v>0</v>
      </c>
      <c r="AO69" s="162">
        <f t="shared" si="30"/>
        <v>0</v>
      </c>
      <c r="AP69" s="162">
        <f t="shared" si="30"/>
        <v>0</v>
      </c>
      <c r="AQ69" s="162">
        <f t="shared" si="30"/>
        <v>0</v>
      </c>
      <c r="AR69" s="162">
        <f t="shared" si="30"/>
        <v>0</v>
      </c>
      <c r="AS69" s="162">
        <f t="shared" si="30"/>
        <v>0</v>
      </c>
      <c r="AT69" s="162">
        <f t="shared" si="30"/>
        <v>0</v>
      </c>
      <c r="AU69" s="162">
        <f t="shared" si="30"/>
        <v>0</v>
      </c>
      <c r="AV69" s="162">
        <f t="shared" si="30"/>
        <v>0</v>
      </c>
      <c r="AW69" s="162">
        <f t="shared" si="30"/>
        <v>0</v>
      </c>
      <c r="AX69" s="162">
        <f t="shared" si="30"/>
        <v>0</v>
      </c>
      <c r="AY69" s="162">
        <f t="shared" si="30"/>
        <v>0</v>
      </c>
      <c r="AZ69" s="162">
        <f t="shared" si="30"/>
        <v>0</v>
      </c>
      <c r="BA69" s="162">
        <f t="shared" si="30"/>
        <v>0</v>
      </c>
      <c r="BB69" s="162">
        <f t="shared" si="30"/>
        <v>0</v>
      </c>
      <c r="BC69" s="162">
        <f t="shared" si="30"/>
        <v>0</v>
      </c>
      <c r="BD69" s="162">
        <f t="shared" si="30"/>
        <v>0</v>
      </c>
      <c r="BE69" s="162">
        <f t="shared" si="30"/>
        <v>0</v>
      </c>
      <c r="BF69" s="162">
        <f t="shared" si="30"/>
        <v>0</v>
      </c>
      <c r="BG69" s="162">
        <f t="shared" si="30"/>
        <v>0</v>
      </c>
      <c r="BH69" s="162">
        <f t="shared" si="30"/>
        <v>0</v>
      </c>
      <c r="BI69" s="162">
        <f t="shared" si="30"/>
        <v>0</v>
      </c>
      <c r="BJ69" s="162">
        <f t="shared" si="30"/>
        <v>0</v>
      </c>
      <c r="BK69" s="162">
        <f t="shared" si="30"/>
        <v>0</v>
      </c>
      <c r="BL69" s="162">
        <f t="shared" si="30"/>
        <v>0</v>
      </c>
      <c r="BM69" s="162">
        <f t="shared" si="30"/>
        <v>0</v>
      </c>
      <c r="BN69" s="162">
        <f t="shared" si="30"/>
        <v>0</v>
      </c>
      <c r="BO69" s="162">
        <f t="shared" si="30"/>
        <v>0</v>
      </c>
      <c r="BP69" s="162">
        <f t="shared" si="30"/>
        <v>0</v>
      </c>
      <c r="BQ69" s="162">
        <f t="shared" si="30"/>
        <v>0</v>
      </c>
      <c r="BR69" s="162">
        <f t="shared" si="30"/>
        <v>0</v>
      </c>
      <c r="BS69" s="162">
        <f t="shared" si="30"/>
        <v>0</v>
      </c>
      <c r="BT69" s="162">
        <f t="shared" si="30"/>
        <v>0</v>
      </c>
      <c r="BU69" s="162">
        <f t="shared" si="30"/>
        <v>0</v>
      </c>
      <c r="BV69" s="162">
        <f t="shared" si="30"/>
        <v>0</v>
      </c>
      <c r="BW69" s="162">
        <f t="shared" si="30"/>
        <v>0</v>
      </c>
      <c r="BX69" s="162">
        <f t="shared" si="30"/>
        <v>0</v>
      </c>
      <c r="BY69" s="162">
        <f t="shared" ref="BY69:DV69" si="31">SUM(BY70:BY71)</f>
        <v>0</v>
      </c>
      <c r="BZ69" s="162">
        <f t="shared" si="31"/>
        <v>0</v>
      </c>
      <c r="CA69" s="162">
        <f t="shared" si="31"/>
        <v>0</v>
      </c>
      <c r="CB69" s="162">
        <f t="shared" si="31"/>
        <v>0</v>
      </c>
      <c r="CC69" s="162">
        <f t="shared" si="31"/>
        <v>0</v>
      </c>
      <c r="CD69" s="162">
        <f t="shared" si="31"/>
        <v>0</v>
      </c>
      <c r="CE69" s="162">
        <f t="shared" si="31"/>
        <v>0</v>
      </c>
      <c r="CF69" s="162">
        <f t="shared" si="31"/>
        <v>0</v>
      </c>
      <c r="CG69" s="162">
        <f t="shared" si="31"/>
        <v>0</v>
      </c>
      <c r="CH69" s="162">
        <f t="shared" si="31"/>
        <v>0</v>
      </c>
      <c r="CI69" s="162">
        <f t="shared" si="31"/>
        <v>0</v>
      </c>
      <c r="CJ69" s="162">
        <f t="shared" si="31"/>
        <v>0</v>
      </c>
      <c r="CK69" s="162">
        <f t="shared" si="31"/>
        <v>0</v>
      </c>
      <c r="CL69" s="162">
        <f t="shared" si="31"/>
        <v>0</v>
      </c>
      <c r="CM69" s="162">
        <f t="shared" si="31"/>
        <v>0</v>
      </c>
      <c r="CN69" s="162">
        <f t="shared" si="31"/>
        <v>0</v>
      </c>
      <c r="CO69" s="162">
        <f t="shared" si="31"/>
        <v>0</v>
      </c>
      <c r="CP69" s="162">
        <f t="shared" si="31"/>
        <v>0</v>
      </c>
      <c r="CQ69" s="162">
        <f t="shared" si="31"/>
        <v>0</v>
      </c>
      <c r="CR69" s="162">
        <f t="shared" si="31"/>
        <v>0</v>
      </c>
      <c r="CS69" s="162">
        <f t="shared" si="31"/>
        <v>0</v>
      </c>
      <c r="CT69" s="162">
        <f t="shared" si="31"/>
        <v>0</v>
      </c>
      <c r="CU69" s="162">
        <f t="shared" si="31"/>
        <v>0</v>
      </c>
      <c r="CV69" s="162">
        <f t="shared" si="31"/>
        <v>0</v>
      </c>
      <c r="CW69" s="162">
        <f t="shared" si="31"/>
        <v>0</v>
      </c>
      <c r="CX69" s="162">
        <f t="shared" si="31"/>
        <v>0</v>
      </c>
      <c r="CY69" s="162">
        <f t="shared" si="31"/>
        <v>0</v>
      </c>
      <c r="CZ69" s="162">
        <f t="shared" si="31"/>
        <v>0</v>
      </c>
      <c r="DA69" s="162">
        <f t="shared" si="31"/>
        <v>0</v>
      </c>
      <c r="DB69" s="162">
        <f t="shared" si="31"/>
        <v>0</v>
      </c>
      <c r="DC69" s="162">
        <f t="shared" si="31"/>
        <v>0</v>
      </c>
      <c r="DD69" s="162">
        <f t="shared" si="31"/>
        <v>0</v>
      </c>
      <c r="DE69" s="162">
        <f t="shared" si="31"/>
        <v>0</v>
      </c>
      <c r="DF69" s="162">
        <f t="shared" si="31"/>
        <v>0</v>
      </c>
      <c r="DG69" s="162">
        <f t="shared" si="31"/>
        <v>0</v>
      </c>
      <c r="DH69" s="162">
        <f t="shared" si="31"/>
        <v>0</v>
      </c>
      <c r="DI69" s="162">
        <f t="shared" si="31"/>
        <v>0</v>
      </c>
      <c r="DJ69" s="162">
        <f t="shared" si="31"/>
        <v>0</v>
      </c>
      <c r="DK69" s="162">
        <f t="shared" si="31"/>
        <v>0</v>
      </c>
      <c r="DL69" s="162">
        <f t="shared" si="31"/>
        <v>0</v>
      </c>
      <c r="DM69" s="162">
        <f t="shared" si="31"/>
        <v>0</v>
      </c>
      <c r="DN69" s="162">
        <f t="shared" si="31"/>
        <v>0</v>
      </c>
      <c r="DO69" s="162">
        <f t="shared" si="31"/>
        <v>0</v>
      </c>
      <c r="DP69" s="162">
        <f t="shared" si="31"/>
        <v>0</v>
      </c>
      <c r="DQ69" s="162">
        <f t="shared" si="31"/>
        <v>0</v>
      </c>
      <c r="DR69" s="162">
        <f t="shared" si="31"/>
        <v>0</v>
      </c>
      <c r="DS69" s="162">
        <f t="shared" si="31"/>
        <v>0</v>
      </c>
      <c r="DT69" s="162">
        <f t="shared" si="31"/>
        <v>0</v>
      </c>
      <c r="DU69" s="162">
        <f t="shared" si="31"/>
        <v>0</v>
      </c>
      <c r="DV69" s="162">
        <f t="shared" si="31"/>
        <v>0</v>
      </c>
    </row>
    <row r="70" spans="2:126" ht="11.25" customHeight="1">
      <c r="B70" s="218"/>
      <c r="C70" s="163"/>
      <c r="D70" s="164" t="s">
        <v>208</v>
      </c>
      <c r="E70" s="165"/>
      <c r="F70" s="165"/>
      <c r="G70" s="165"/>
      <c r="H70" s="166"/>
      <c r="I70" s="228"/>
      <c r="J70" s="168">
        <f>SUM(L70:DV70)</f>
        <v>213000000</v>
      </c>
      <c r="K70" s="98"/>
      <c r="L70" s="168">
        <f>SUMIF('CF(M)'!$L$10:$EQ$10,L$6,'CF(M)'!$L75:$EQ75)</f>
        <v>0</v>
      </c>
      <c r="M70" s="168">
        <f>SUMIF('CF(M)'!$L$10:$EQ$10,M$6,'CF(M)'!$L75:$EQ75)</f>
        <v>0</v>
      </c>
      <c r="N70" s="168">
        <f>SUMIF('CF(M)'!$L$10:$EQ$10,N$6,'CF(M)'!$L75:$EQ75)</f>
        <v>0</v>
      </c>
      <c r="O70" s="168">
        <f>SUMIF('CF(M)'!$L$10:$EQ$10,O$6,'CF(M)'!$L75:$EQ75)</f>
        <v>0</v>
      </c>
      <c r="P70" s="168">
        <f>SUMIF('CF(M)'!$L$10:$EQ$10,P$6,'CF(M)'!$L75:$EQ75)</f>
        <v>213000000</v>
      </c>
      <c r="Q70" s="168">
        <f>SUMIF('CF(M)'!$L$10:$EQ$10,Q$6,'CF(M)'!$L75:$EQ75)</f>
        <v>0</v>
      </c>
      <c r="R70" s="168">
        <f>SUMIF('CF(M)'!$L$10:$EQ$10,R$6,'CF(M)'!$L75:$EQ75)</f>
        <v>0</v>
      </c>
      <c r="S70" s="168">
        <f>SUMIF('CF(M)'!$L$10:$EQ$10,S$6,'CF(M)'!$L75:$EQ75)</f>
        <v>0</v>
      </c>
      <c r="T70" s="168">
        <f>SUMIF('CF(M)'!$L$10:$EQ$10,T$6,'CF(M)'!$L75:$EQ75)</f>
        <v>0</v>
      </c>
      <c r="U70" s="168">
        <f>SUMIF('CF(M)'!$L$10:$EQ$10,U$6,'CF(M)'!$L75:$EQ75)</f>
        <v>0</v>
      </c>
      <c r="V70" s="168">
        <f>SUMIF('CF(M)'!$L$10:$EQ$10,V$6,'CF(M)'!$L75:$EQ75)</f>
        <v>0</v>
      </c>
      <c r="W70" s="168">
        <f>SUMIF('CF(M)'!$L$10:$EQ$10,W$6,'CF(M)'!$L75:$EQ75)</f>
        <v>0</v>
      </c>
      <c r="X70" s="168">
        <f>SUMIF('CF(M)'!$L$10:$EQ$10,X$6,'CF(M)'!$L75:$EQ75)</f>
        <v>0</v>
      </c>
      <c r="Y70" s="168">
        <f>SUMIF('CF(M)'!$L$10:$EQ$10,Y$6,'CF(M)'!$L75:$EQ75)</f>
        <v>0</v>
      </c>
      <c r="Z70" s="168">
        <f>SUMIF('CF(M)'!$L$10:$EQ$10,Z$6,'CF(M)'!$L75:$EQ75)</f>
        <v>0</v>
      </c>
      <c r="AA70" s="168">
        <f>SUMIF('CF(M)'!$L$10:$EQ$10,AA$6,'CF(M)'!$L75:$EQ75)</f>
        <v>0</v>
      </c>
      <c r="AB70" s="168">
        <f>SUMIF('CF(M)'!$L$10:$EQ$10,AB$6,'CF(M)'!$L75:$EQ75)</f>
        <v>0</v>
      </c>
      <c r="AC70" s="168">
        <f>SUMIF('CF(M)'!$L$10:$EQ$10,AC$6,'CF(M)'!$L75:$EQ75)</f>
        <v>0</v>
      </c>
      <c r="AD70" s="168">
        <f>SUMIF('CF(M)'!$L$10:$EQ$10,AD$6,'CF(M)'!$L75:$EQ75)</f>
        <v>0</v>
      </c>
      <c r="AE70" s="168">
        <f>SUMIF('CF(M)'!$L$10:$EQ$10,AE$6,'CF(M)'!$L75:$EQ75)</f>
        <v>0</v>
      </c>
      <c r="AF70" s="168">
        <f>SUMIF('CF(M)'!$L$10:$EQ$10,AF$6,'CF(M)'!$L75:$EQ75)</f>
        <v>0</v>
      </c>
      <c r="AG70" s="168">
        <f>SUMIF('CF(M)'!$L$10:$EQ$10,AG$6,'CF(M)'!$L75:$EQ75)</f>
        <v>0</v>
      </c>
      <c r="AH70" s="168">
        <f>SUMIF('CF(M)'!$L$10:$EQ$10,AH$6,'CF(M)'!$L75:$EQ75)</f>
        <v>0</v>
      </c>
      <c r="AI70" s="168">
        <f>SUMIF('CF(M)'!$L$10:$EQ$10,AI$6,'CF(M)'!$L75:$EQ75)</f>
        <v>0</v>
      </c>
      <c r="AJ70" s="168">
        <f>SUMIF('CF(M)'!$L$10:$EQ$10,AJ$6,'CF(M)'!$L75:$EQ75)</f>
        <v>0</v>
      </c>
      <c r="AK70" s="168">
        <f>SUMIF('CF(M)'!$L$10:$EQ$10,AK$6,'CF(M)'!$L75:$EQ75)</f>
        <v>0</v>
      </c>
      <c r="AL70" s="168">
        <f>SUMIF('CF(M)'!$L$10:$EQ$10,AL$6,'CF(M)'!$L75:$EQ75)</f>
        <v>0</v>
      </c>
      <c r="AM70" s="168">
        <f>SUMIF('CF(M)'!$L$10:$EQ$10,AM$6,'CF(M)'!$L75:$EQ75)</f>
        <v>0</v>
      </c>
      <c r="AN70" s="168">
        <f>SUMIF('CF(M)'!$L$10:$EQ$10,AN$6,'CF(M)'!$L75:$EQ75)</f>
        <v>0</v>
      </c>
      <c r="AO70" s="168">
        <f>SUMIF('CF(M)'!$L$10:$EQ$10,AO$6,'CF(M)'!$L75:$EQ75)</f>
        <v>0</v>
      </c>
      <c r="AP70" s="168">
        <f>SUMIF('CF(M)'!$L$10:$EQ$10,AP$6,'CF(M)'!$L75:$EQ75)</f>
        <v>0</v>
      </c>
      <c r="AQ70" s="168">
        <f>SUMIF('CF(M)'!$L$10:$EQ$10,AQ$6,'CF(M)'!$L75:$EQ75)</f>
        <v>0</v>
      </c>
      <c r="AR70" s="168">
        <f>SUMIF('CF(M)'!$L$10:$EQ$10,AR$6,'CF(M)'!$L75:$EQ75)</f>
        <v>0</v>
      </c>
      <c r="AS70" s="168">
        <f>SUMIF('CF(M)'!$L$10:$EQ$10,AS$6,'CF(M)'!$L75:$EQ75)</f>
        <v>0</v>
      </c>
      <c r="AT70" s="168">
        <f>SUMIF('CF(M)'!$L$10:$EQ$10,AT$6,'CF(M)'!$L75:$EQ75)</f>
        <v>0</v>
      </c>
      <c r="AU70" s="168">
        <f>SUMIF('CF(M)'!$L$10:$EQ$10,AU$6,'CF(M)'!$L75:$EQ75)</f>
        <v>0</v>
      </c>
      <c r="AV70" s="168">
        <f>SUMIF('CF(M)'!$L$10:$EQ$10,AV$6,'CF(M)'!$L75:$EQ75)</f>
        <v>0</v>
      </c>
      <c r="AW70" s="168">
        <f>SUMIF('CF(M)'!$L$10:$EQ$10,AW$6,'CF(M)'!$L75:$EQ75)</f>
        <v>0</v>
      </c>
      <c r="AX70" s="168">
        <f>SUMIF('CF(M)'!$L$10:$EQ$10,AX$6,'CF(M)'!$L75:$EQ75)</f>
        <v>0</v>
      </c>
      <c r="AY70" s="168">
        <f>SUMIF('CF(M)'!$L$10:$EQ$10,AY$6,'CF(M)'!$L75:$EQ75)</f>
        <v>0</v>
      </c>
      <c r="AZ70" s="168">
        <f>SUMIF('CF(M)'!$L$10:$EQ$10,AZ$6,'CF(M)'!$L75:$EQ75)</f>
        <v>0</v>
      </c>
      <c r="BA70" s="168">
        <f>SUMIF('CF(M)'!$L$10:$EQ$10,BA$6,'CF(M)'!$L75:$EQ75)</f>
        <v>0</v>
      </c>
      <c r="BB70" s="168">
        <f>SUMIF('CF(M)'!$L$10:$EQ$10,BB$6,'CF(M)'!$L75:$EQ75)</f>
        <v>0</v>
      </c>
      <c r="BC70" s="168">
        <f>SUMIF('CF(M)'!$L$10:$EQ$10,BC$6,'CF(M)'!$L75:$EQ75)</f>
        <v>0</v>
      </c>
      <c r="BD70" s="168">
        <f>SUMIF('CF(M)'!$L$10:$EQ$10,BD$6,'CF(M)'!$L75:$EQ75)</f>
        <v>0</v>
      </c>
      <c r="BE70" s="168">
        <f>SUMIF('CF(M)'!$L$10:$EQ$10,BE$6,'CF(M)'!$L75:$EQ75)</f>
        <v>0</v>
      </c>
      <c r="BF70" s="168">
        <f>SUMIF('CF(M)'!$L$10:$EQ$10,BF$6,'CF(M)'!$L75:$EQ75)</f>
        <v>0</v>
      </c>
      <c r="BG70" s="168">
        <f>SUMIF('CF(M)'!$L$10:$EQ$10,BG$6,'CF(M)'!$L75:$EQ75)</f>
        <v>0</v>
      </c>
      <c r="BH70" s="168">
        <f>SUMIF('CF(M)'!$L$10:$EQ$10,BH$6,'CF(M)'!$L75:$EQ75)</f>
        <v>0</v>
      </c>
      <c r="BI70" s="168">
        <f>SUMIF('CF(M)'!$L$10:$EQ$10,BI$6,'CF(M)'!$L75:$EQ75)</f>
        <v>0</v>
      </c>
      <c r="BJ70" s="168">
        <f>SUMIF('CF(M)'!$L$10:$EQ$10,BJ$6,'CF(M)'!$L75:$EQ75)</f>
        <v>0</v>
      </c>
      <c r="BK70" s="168">
        <f>SUMIF('CF(M)'!$L$10:$EQ$10,BK$6,'CF(M)'!$L75:$EQ75)</f>
        <v>0</v>
      </c>
      <c r="BL70" s="168">
        <f>SUMIF('CF(M)'!$L$10:$EQ$10,BL$6,'CF(M)'!$L75:$EQ75)</f>
        <v>0</v>
      </c>
      <c r="BM70" s="168">
        <f>SUMIF('CF(M)'!$L$10:$EQ$10,BM$6,'CF(M)'!$L75:$EQ75)</f>
        <v>0</v>
      </c>
      <c r="BN70" s="168">
        <f>SUMIF('CF(M)'!$L$10:$EQ$10,BN$6,'CF(M)'!$L75:$EQ75)</f>
        <v>0</v>
      </c>
      <c r="BO70" s="168">
        <f>SUMIF('CF(M)'!$L$10:$EQ$10,BO$6,'CF(M)'!$L75:$EQ75)</f>
        <v>0</v>
      </c>
      <c r="BP70" s="168">
        <f>SUMIF('CF(M)'!$L$10:$EQ$10,BP$6,'CF(M)'!$L75:$EQ75)</f>
        <v>0</v>
      </c>
      <c r="BQ70" s="168">
        <f>SUMIF('CF(M)'!$L$10:$EQ$10,BQ$6,'CF(M)'!$L75:$EQ75)</f>
        <v>0</v>
      </c>
      <c r="BR70" s="168">
        <f>SUMIF('CF(M)'!$L$10:$EQ$10,BR$6,'CF(M)'!$L75:$EQ75)</f>
        <v>0</v>
      </c>
      <c r="BS70" s="168">
        <f>SUMIF('CF(M)'!$L$10:$EQ$10,BS$6,'CF(M)'!$L75:$EQ75)</f>
        <v>0</v>
      </c>
      <c r="BT70" s="168">
        <f>SUMIF('CF(M)'!$L$10:$EQ$10,BT$6,'CF(M)'!$L75:$EQ75)</f>
        <v>0</v>
      </c>
      <c r="BU70" s="168">
        <f>SUMIF('CF(M)'!$L$10:$EQ$10,BU$6,'CF(M)'!$L75:$EQ75)</f>
        <v>0</v>
      </c>
      <c r="BV70" s="168">
        <f>SUMIF('CF(M)'!$L$10:$EQ$10,BV$6,'CF(M)'!$L75:$EQ75)</f>
        <v>0</v>
      </c>
      <c r="BW70" s="168">
        <f>SUMIF('CF(M)'!$L$10:$EQ$10,BW$6,'CF(M)'!$L75:$EQ75)</f>
        <v>0</v>
      </c>
      <c r="BX70" s="168">
        <f>SUMIF('CF(M)'!$L$10:$EQ$10,BX$6,'CF(M)'!$L75:$EQ75)</f>
        <v>0</v>
      </c>
      <c r="BY70" s="168">
        <f>SUMIF('CF(M)'!$L$10:$EQ$10,BY$6,'CF(M)'!$L75:$EQ75)</f>
        <v>0</v>
      </c>
      <c r="BZ70" s="168">
        <f>SUMIF('CF(M)'!$L$10:$EQ$10,BZ$6,'CF(M)'!$L75:$EQ75)</f>
        <v>0</v>
      </c>
      <c r="CA70" s="168">
        <f>SUMIF('CF(M)'!$L$10:$EQ$10,CA$6,'CF(M)'!$L75:$EQ75)</f>
        <v>0</v>
      </c>
      <c r="CB70" s="168">
        <f>SUMIF('CF(M)'!$L$10:$EQ$10,CB$6,'CF(M)'!$L75:$EQ75)</f>
        <v>0</v>
      </c>
      <c r="CC70" s="168">
        <f>SUMIF('CF(M)'!$L$10:$EQ$10,CC$6,'CF(M)'!$L75:$EQ75)</f>
        <v>0</v>
      </c>
      <c r="CD70" s="168">
        <f>SUMIF('CF(M)'!$L$10:$EQ$10,CD$6,'CF(M)'!$L75:$EQ75)</f>
        <v>0</v>
      </c>
      <c r="CE70" s="168">
        <f>SUMIF('CF(M)'!$L$10:$EQ$10,CE$6,'CF(M)'!$L75:$EQ75)</f>
        <v>0</v>
      </c>
      <c r="CF70" s="168">
        <f>SUMIF('CF(M)'!$L$10:$EQ$10,CF$6,'CF(M)'!$L75:$EQ75)</f>
        <v>0</v>
      </c>
      <c r="CG70" s="168">
        <f>SUMIF('CF(M)'!$L$10:$EQ$10,CG$6,'CF(M)'!$L75:$EQ75)</f>
        <v>0</v>
      </c>
      <c r="CH70" s="168">
        <f>SUMIF('CF(M)'!$L$10:$EQ$10,CH$6,'CF(M)'!$L75:$EQ75)</f>
        <v>0</v>
      </c>
      <c r="CI70" s="168">
        <f>SUMIF('CF(M)'!$L$10:$EQ$10,CI$6,'CF(M)'!$L75:$EQ75)</f>
        <v>0</v>
      </c>
      <c r="CJ70" s="168">
        <f>SUMIF('CF(M)'!$L$10:$EQ$10,CJ$6,'CF(M)'!$L75:$EQ75)</f>
        <v>0</v>
      </c>
      <c r="CK70" s="168">
        <f>SUMIF('CF(M)'!$L$10:$EQ$10,CK$6,'CF(M)'!$L75:$EQ75)</f>
        <v>0</v>
      </c>
      <c r="CL70" s="168">
        <f>SUMIF('CF(M)'!$L$10:$EQ$10,CL$6,'CF(M)'!$L75:$EQ75)</f>
        <v>0</v>
      </c>
      <c r="CM70" s="168">
        <f>SUMIF('CF(M)'!$L$10:$EQ$10,CM$6,'CF(M)'!$L75:$EQ75)</f>
        <v>0</v>
      </c>
      <c r="CN70" s="168">
        <f>SUMIF('CF(M)'!$L$10:$EQ$10,CN$6,'CF(M)'!$L75:$EQ75)</f>
        <v>0</v>
      </c>
      <c r="CO70" s="168">
        <f>SUMIF('CF(M)'!$L$10:$EQ$10,CO$6,'CF(M)'!$L75:$EQ75)</f>
        <v>0</v>
      </c>
      <c r="CP70" s="168">
        <f>SUMIF('CF(M)'!$L$10:$EQ$10,CP$6,'CF(M)'!$L75:$EQ75)</f>
        <v>0</v>
      </c>
      <c r="CQ70" s="168">
        <f>SUMIF('CF(M)'!$L$10:$EQ$10,CQ$6,'CF(M)'!$L75:$EQ75)</f>
        <v>0</v>
      </c>
      <c r="CR70" s="168">
        <f>SUMIF('CF(M)'!$L$10:$EQ$10,CR$6,'CF(M)'!$L75:$EQ75)</f>
        <v>0</v>
      </c>
      <c r="CS70" s="168">
        <f>SUMIF('CF(M)'!$L$10:$EQ$10,CS$6,'CF(M)'!$L75:$EQ75)</f>
        <v>0</v>
      </c>
      <c r="CT70" s="168">
        <f>SUMIF('CF(M)'!$L$10:$EQ$10,CT$6,'CF(M)'!$L75:$EQ75)</f>
        <v>0</v>
      </c>
      <c r="CU70" s="168">
        <f>SUMIF('CF(M)'!$L$10:$EQ$10,CU$6,'CF(M)'!$L75:$EQ75)</f>
        <v>0</v>
      </c>
      <c r="CV70" s="168">
        <f>SUMIF('CF(M)'!$L$10:$EQ$10,CV$6,'CF(M)'!$L75:$EQ75)</f>
        <v>0</v>
      </c>
      <c r="CW70" s="168">
        <f>SUMIF('CF(M)'!$L$10:$EQ$10,CW$6,'CF(M)'!$L75:$EQ75)</f>
        <v>0</v>
      </c>
      <c r="CX70" s="168">
        <f>SUMIF('CF(M)'!$L$10:$EQ$10,CX$6,'CF(M)'!$L75:$EQ75)</f>
        <v>0</v>
      </c>
      <c r="CY70" s="168">
        <f>SUMIF('CF(M)'!$L$10:$EQ$10,CY$6,'CF(M)'!$L75:$EQ75)</f>
        <v>0</v>
      </c>
      <c r="CZ70" s="168">
        <f>SUMIF('CF(M)'!$L$10:$EQ$10,CZ$6,'CF(M)'!$L75:$EQ75)</f>
        <v>0</v>
      </c>
      <c r="DA70" s="168">
        <f>SUMIF('CF(M)'!$L$10:$EQ$10,DA$6,'CF(M)'!$L75:$EQ75)</f>
        <v>0</v>
      </c>
      <c r="DB70" s="168">
        <f>SUMIF('CF(M)'!$L$10:$EQ$10,DB$6,'CF(M)'!$L75:$EQ75)</f>
        <v>0</v>
      </c>
      <c r="DC70" s="168">
        <f>SUMIF('CF(M)'!$L$10:$EQ$10,DC$6,'CF(M)'!$L75:$EQ75)</f>
        <v>0</v>
      </c>
      <c r="DD70" s="168">
        <f>SUMIF('CF(M)'!$L$10:$EQ$10,DD$6,'CF(M)'!$L75:$EQ75)</f>
        <v>0</v>
      </c>
      <c r="DE70" s="168">
        <f>SUMIF('CF(M)'!$L$10:$EQ$10,DE$6,'CF(M)'!$L75:$EQ75)</f>
        <v>0</v>
      </c>
      <c r="DF70" s="168">
        <f>SUMIF('CF(M)'!$L$10:$EQ$10,DF$6,'CF(M)'!$L75:$EQ75)</f>
        <v>0</v>
      </c>
      <c r="DG70" s="168">
        <f>SUMIF('CF(M)'!$L$10:$EQ$10,DG$6,'CF(M)'!$L75:$EQ75)</f>
        <v>0</v>
      </c>
      <c r="DH70" s="168">
        <f>SUMIF('CF(M)'!$L$10:$EQ$10,DH$6,'CF(M)'!$L75:$EQ75)</f>
        <v>0</v>
      </c>
      <c r="DI70" s="168">
        <f>SUMIF('CF(M)'!$L$10:$EQ$10,DI$6,'CF(M)'!$L75:$EQ75)</f>
        <v>0</v>
      </c>
      <c r="DJ70" s="168">
        <f>SUMIF('CF(M)'!$L$10:$EQ$10,DJ$6,'CF(M)'!$L75:$EQ75)</f>
        <v>0</v>
      </c>
      <c r="DK70" s="168">
        <f>SUMIF('CF(M)'!$L$10:$EQ$10,DK$6,'CF(M)'!$L75:$EQ75)</f>
        <v>0</v>
      </c>
      <c r="DL70" s="168">
        <f>SUMIF('CF(M)'!$L$10:$EQ$10,DL$6,'CF(M)'!$L75:$EQ75)</f>
        <v>0</v>
      </c>
      <c r="DM70" s="168">
        <f>SUMIF('CF(M)'!$L$10:$EQ$10,DM$6,'CF(M)'!$L75:$EQ75)</f>
        <v>0</v>
      </c>
      <c r="DN70" s="168">
        <f>SUMIF('CF(M)'!$L$10:$EQ$10,DN$6,'CF(M)'!$L75:$EQ75)</f>
        <v>0</v>
      </c>
      <c r="DO70" s="168">
        <f>SUMIF('CF(M)'!$L$10:$EQ$10,DO$6,'CF(M)'!$L75:$EQ75)</f>
        <v>0</v>
      </c>
      <c r="DP70" s="168">
        <f>SUMIF('CF(M)'!$L$10:$EQ$10,DP$6,'CF(M)'!$L75:$EQ75)</f>
        <v>0</v>
      </c>
      <c r="DQ70" s="168">
        <f>SUMIF('CF(M)'!$L$10:$EQ$10,DQ$6,'CF(M)'!$L75:$EQ75)</f>
        <v>0</v>
      </c>
      <c r="DR70" s="168">
        <f>SUMIF('CF(M)'!$L$10:$EQ$10,DR$6,'CF(M)'!$L75:$EQ75)</f>
        <v>0</v>
      </c>
      <c r="DS70" s="168">
        <f>SUMIF('CF(M)'!$L$10:$EQ$10,DS$6,'CF(M)'!$L75:$EQ75)</f>
        <v>0</v>
      </c>
      <c r="DT70" s="168">
        <f>SUMIF('CF(M)'!$L$10:$EQ$10,DT$6,'CF(M)'!$L75:$EQ75)</f>
        <v>0</v>
      </c>
      <c r="DU70" s="168">
        <f>SUMIF('CF(M)'!$L$10:$EQ$10,DU$6,'CF(M)'!$L75:$EQ75)</f>
        <v>0</v>
      </c>
      <c r="DV70" s="168">
        <f>SUMIF('CF(M)'!$L$10:$EQ$10,DV$6,'CF(M)'!$L75:$EQ75)</f>
        <v>0</v>
      </c>
    </row>
    <row r="71" spans="2:126" ht="11.25" customHeight="1">
      <c r="B71" s="218"/>
      <c r="C71" s="163"/>
      <c r="D71" s="169" t="s">
        <v>209</v>
      </c>
      <c r="H71" s="146"/>
      <c r="I71" s="229"/>
      <c r="J71" s="171">
        <f>SUM(L71:DV71)</f>
        <v>-213000000</v>
      </c>
      <c r="K71" s="98"/>
      <c r="L71" s="171">
        <f>SUMIF('CF(M)'!$L$10:$EQ$10,L$6,'CF(M)'!$L76:$EQ76)</f>
        <v>0</v>
      </c>
      <c r="M71" s="171">
        <f>SUMIF('CF(M)'!$L$10:$EQ$10,M$6,'CF(M)'!$L76:$EQ76)</f>
        <v>0</v>
      </c>
      <c r="N71" s="171">
        <f>SUMIF('CF(M)'!$L$10:$EQ$10,N$6,'CF(M)'!$L76:$EQ76)</f>
        <v>0</v>
      </c>
      <c r="O71" s="171">
        <f>SUMIF('CF(M)'!$L$10:$EQ$10,O$6,'CF(M)'!$L76:$EQ76)</f>
        <v>0</v>
      </c>
      <c r="P71" s="171">
        <f>SUMIF('CF(M)'!$L$10:$EQ$10,P$6,'CF(M)'!$L76:$EQ76)</f>
        <v>0</v>
      </c>
      <c r="Q71" s="171">
        <f>SUMIF('CF(M)'!$L$10:$EQ$10,Q$6,'CF(M)'!$L76:$EQ76)</f>
        <v>0</v>
      </c>
      <c r="R71" s="171">
        <f>SUMIF('CF(M)'!$L$10:$EQ$10,R$6,'CF(M)'!$L76:$EQ76)</f>
        <v>0</v>
      </c>
      <c r="S71" s="171">
        <f>SUMIF('CF(M)'!$L$10:$EQ$10,S$6,'CF(M)'!$L76:$EQ76)</f>
        <v>0</v>
      </c>
      <c r="T71" s="171">
        <f>SUMIF('CF(M)'!$L$10:$EQ$10,T$6,'CF(M)'!$L76:$EQ76)</f>
        <v>0</v>
      </c>
      <c r="U71" s="171">
        <f>SUMIF('CF(M)'!$L$10:$EQ$10,U$6,'CF(M)'!$L76:$EQ76)</f>
        <v>0</v>
      </c>
      <c r="V71" s="171">
        <f>SUMIF('CF(M)'!$L$10:$EQ$10,V$6,'CF(M)'!$L76:$EQ76)</f>
        <v>-213000000</v>
      </c>
      <c r="W71" s="171">
        <f>SUMIF('CF(M)'!$L$10:$EQ$10,W$6,'CF(M)'!$L76:$EQ76)</f>
        <v>0</v>
      </c>
      <c r="X71" s="171">
        <f>SUMIF('CF(M)'!$L$10:$EQ$10,X$6,'CF(M)'!$L76:$EQ76)</f>
        <v>0</v>
      </c>
      <c r="Y71" s="171">
        <f>SUMIF('CF(M)'!$L$10:$EQ$10,Y$6,'CF(M)'!$L76:$EQ76)</f>
        <v>0</v>
      </c>
      <c r="Z71" s="171">
        <f>SUMIF('CF(M)'!$L$10:$EQ$10,Z$6,'CF(M)'!$L76:$EQ76)</f>
        <v>0</v>
      </c>
      <c r="AA71" s="171">
        <f>SUMIF('CF(M)'!$L$10:$EQ$10,AA$6,'CF(M)'!$L76:$EQ76)</f>
        <v>0</v>
      </c>
      <c r="AB71" s="171">
        <f>SUMIF('CF(M)'!$L$10:$EQ$10,AB$6,'CF(M)'!$L76:$EQ76)</f>
        <v>0</v>
      </c>
      <c r="AC71" s="171">
        <f>SUMIF('CF(M)'!$L$10:$EQ$10,AC$6,'CF(M)'!$L76:$EQ76)</f>
        <v>0</v>
      </c>
      <c r="AD71" s="171">
        <f>SUMIF('CF(M)'!$L$10:$EQ$10,AD$6,'CF(M)'!$L76:$EQ76)</f>
        <v>0</v>
      </c>
      <c r="AE71" s="171">
        <f>SUMIF('CF(M)'!$L$10:$EQ$10,AE$6,'CF(M)'!$L76:$EQ76)</f>
        <v>0</v>
      </c>
      <c r="AF71" s="171">
        <f>SUMIF('CF(M)'!$L$10:$EQ$10,AF$6,'CF(M)'!$L76:$EQ76)</f>
        <v>0</v>
      </c>
      <c r="AG71" s="171">
        <f>SUMIF('CF(M)'!$L$10:$EQ$10,AG$6,'CF(M)'!$L76:$EQ76)</f>
        <v>0</v>
      </c>
      <c r="AH71" s="171">
        <f>SUMIF('CF(M)'!$L$10:$EQ$10,AH$6,'CF(M)'!$L76:$EQ76)</f>
        <v>0</v>
      </c>
      <c r="AI71" s="171">
        <f>SUMIF('CF(M)'!$L$10:$EQ$10,AI$6,'CF(M)'!$L76:$EQ76)</f>
        <v>0</v>
      </c>
      <c r="AJ71" s="171">
        <f>SUMIF('CF(M)'!$L$10:$EQ$10,AJ$6,'CF(M)'!$L76:$EQ76)</f>
        <v>0</v>
      </c>
      <c r="AK71" s="171">
        <f>SUMIF('CF(M)'!$L$10:$EQ$10,AK$6,'CF(M)'!$L76:$EQ76)</f>
        <v>0</v>
      </c>
      <c r="AL71" s="171">
        <f>SUMIF('CF(M)'!$L$10:$EQ$10,AL$6,'CF(M)'!$L76:$EQ76)</f>
        <v>0</v>
      </c>
      <c r="AM71" s="171">
        <f>SUMIF('CF(M)'!$L$10:$EQ$10,AM$6,'CF(M)'!$L76:$EQ76)</f>
        <v>0</v>
      </c>
      <c r="AN71" s="171">
        <f>SUMIF('CF(M)'!$L$10:$EQ$10,AN$6,'CF(M)'!$L76:$EQ76)</f>
        <v>0</v>
      </c>
      <c r="AO71" s="171">
        <f>SUMIF('CF(M)'!$L$10:$EQ$10,AO$6,'CF(M)'!$L76:$EQ76)</f>
        <v>0</v>
      </c>
      <c r="AP71" s="171">
        <f>SUMIF('CF(M)'!$L$10:$EQ$10,AP$6,'CF(M)'!$L76:$EQ76)</f>
        <v>0</v>
      </c>
      <c r="AQ71" s="171">
        <f>SUMIF('CF(M)'!$L$10:$EQ$10,AQ$6,'CF(M)'!$L76:$EQ76)</f>
        <v>0</v>
      </c>
      <c r="AR71" s="171">
        <f>SUMIF('CF(M)'!$L$10:$EQ$10,AR$6,'CF(M)'!$L76:$EQ76)</f>
        <v>0</v>
      </c>
      <c r="AS71" s="171">
        <f>SUMIF('CF(M)'!$L$10:$EQ$10,AS$6,'CF(M)'!$L76:$EQ76)</f>
        <v>0</v>
      </c>
      <c r="AT71" s="171">
        <f>SUMIF('CF(M)'!$L$10:$EQ$10,AT$6,'CF(M)'!$L76:$EQ76)</f>
        <v>0</v>
      </c>
      <c r="AU71" s="171">
        <f>SUMIF('CF(M)'!$L$10:$EQ$10,AU$6,'CF(M)'!$L76:$EQ76)</f>
        <v>0</v>
      </c>
      <c r="AV71" s="171">
        <f>SUMIF('CF(M)'!$L$10:$EQ$10,AV$6,'CF(M)'!$L76:$EQ76)</f>
        <v>0</v>
      </c>
      <c r="AW71" s="171">
        <f>SUMIF('CF(M)'!$L$10:$EQ$10,AW$6,'CF(M)'!$L76:$EQ76)</f>
        <v>0</v>
      </c>
      <c r="AX71" s="171">
        <f>SUMIF('CF(M)'!$L$10:$EQ$10,AX$6,'CF(M)'!$L76:$EQ76)</f>
        <v>0</v>
      </c>
      <c r="AY71" s="171">
        <f>SUMIF('CF(M)'!$L$10:$EQ$10,AY$6,'CF(M)'!$L76:$EQ76)</f>
        <v>0</v>
      </c>
      <c r="AZ71" s="171">
        <f>SUMIF('CF(M)'!$L$10:$EQ$10,AZ$6,'CF(M)'!$L76:$EQ76)</f>
        <v>0</v>
      </c>
      <c r="BA71" s="171">
        <f>SUMIF('CF(M)'!$L$10:$EQ$10,BA$6,'CF(M)'!$L76:$EQ76)</f>
        <v>0</v>
      </c>
      <c r="BB71" s="171">
        <f>SUMIF('CF(M)'!$L$10:$EQ$10,BB$6,'CF(M)'!$L76:$EQ76)</f>
        <v>0</v>
      </c>
      <c r="BC71" s="171">
        <f>SUMIF('CF(M)'!$L$10:$EQ$10,BC$6,'CF(M)'!$L76:$EQ76)</f>
        <v>0</v>
      </c>
      <c r="BD71" s="171">
        <f>SUMIF('CF(M)'!$L$10:$EQ$10,BD$6,'CF(M)'!$L76:$EQ76)</f>
        <v>0</v>
      </c>
      <c r="BE71" s="171">
        <f>SUMIF('CF(M)'!$L$10:$EQ$10,BE$6,'CF(M)'!$L76:$EQ76)</f>
        <v>0</v>
      </c>
      <c r="BF71" s="171">
        <f>SUMIF('CF(M)'!$L$10:$EQ$10,BF$6,'CF(M)'!$L76:$EQ76)</f>
        <v>0</v>
      </c>
      <c r="BG71" s="171">
        <f>SUMIF('CF(M)'!$L$10:$EQ$10,BG$6,'CF(M)'!$L76:$EQ76)</f>
        <v>0</v>
      </c>
      <c r="BH71" s="171">
        <f>SUMIF('CF(M)'!$L$10:$EQ$10,BH$6,'CF(M)'!$L76:$EQ76)</f>
        <v>0</v>
      </c>
      <c r="BI71" s="171">
        <f>SUMIF('CF(M)'!$L$10:$EQ$10,BI$6,'CF(M)'!$L76:$EQ76)</f>
        <v>0</v>
      </c>
      <c r="BJ71" s="171">
        <f>SUMIF('CF(M)'!$L$10:$EQ$10,BJ$6,'CF(M)'!$L76:$EQ76)</f>
        <v>0</v>
      </c>
      <c r="BK71" s="171">
        <f>SUMIF('CF(M)'!$L$10:$EQ$10,BK$6,'CF(M)'!$L76:$EQ76)</f>
        <v>0</v>
      </c>
      <c r="BL71" s="171">
        <f>SUMIF('CF(M)'!$L$10:$EQ$10,BL$6,'CF(M)'!$L76:$EQ76)</f>
        <v>0</v>
      </c>
      <c r="BM71" s="171">
        <f>SUMIF('CF(M)'!$L$10:$EQ$10,BM$6,'CF(M)'!$L76:$EQ76)</f>
        <v>0</v>
      </c>
      <c r="BN71" s="171">
        <f>SUMIF('CF(M)'!$L$10:$EQ$10,BN$6,'CF(M)'!$L76:$EQ76)</f>
        <v>0</v>
      </c>
      <c r="BO71" s="171">
        <f>SUMIF('CF(M)'!$L$10:$EQ$10,BO$6,'CF(M)'!$L76:$EQ76)</f>
        <v>0</v>
      </c>
      <c r="BP71" s="171">
        <f>SUMIF('CF(M)'!$L$10:$EQ$10,BP$6,'CF(M)'!$L76:$EQ76)</f>
        <v>0</v>
      </c>
      <c r="BQ71" s="171">
        <f>SUMIF('CF(M)'!$L$10:$EQ$10,BQ$6,'CF(M)'!$L76:$EQ76)</f>
        <v>0</v>
      </c>
      <c r="BR71" s="171">
        <f>SUMIF('CF(M)'!$L$10:$EQ$10,BR$6,'CF(M)'!$L76:$EQ76)</f>
        <v>0</v>
      </c>
      <c r="BS71" s="171">
        <f>SUMIF('CF(M)'!$L$10:$EQ$10,BS$6,'CF(M)'!$L76:$EQ76)</f>
        <v>0</v>
      </c>
      <c r="BT71" s="171">
        <f>SUMIF('CF(M)'!$L$10:$EQ$10,BT$6,'CF(M)'!$L76:$EQ76)</f>
        <v>0</v>
      </c>
      <c r="BU71" s="171">
        <f>SUMIF('CF(M)'!$L$10:$EQ$10,BU$6,'CF(M)'!$L76:$EQ76)</f>
        <v>0</v>
      </c>
      <c r="BV71" s="171">
        <f>SUMIF('CF(M)'!$L$10:$EQ$10,BV$6,'CF(M)'!$L76:$EQ76)</f>
        <v>0</v>
      </c>
      <c r="BW71" s="171">
        <f>SUMIF('CF(M)'!$L$10:$EQ$10,BW$6,'CF(M)'!$L76:$EQ76)</f>
        <v>0</v>
      </c>
      <c r="BX71" s="171">
        <f>SUMIF('CF(M)'!$L$10:$EQ$10,BX$6,'CF(M)'!$L76:$EQ76)</f>
        <v>0</v>
      </c>
      <c r="BY71" s="171">
        <f>SUMIF('CF(M)'!$L$10:$EQ$10,BY$6,'CF(M)'!$L76:$EQ76)</f>
        <v>0</v>
      </c>
      <c r="BZ71" s="171">
        <f>SUMIF('CF(M)'!$L$10:$EQ$10,BZ$6,'CF(M)'!$L76:$EQ76)</f>
        <v>0</v>
      </c>
      <c r="CA71" s="171">
        <f>SUMIF('CF(M)'!$L$10:$EQ$10,CA$6,'CF(M)'!$L76:$EQ76)</f>
        <v>0</v>
      </c>
      <c r="CB71" s="171">
        <f>SUMIF('CF(M)'!$L$10:$EQ$10,CB$6,'CF(M)'!$L76:$EQ76)</f>
        <v>0</v>
      </c>
      <c r="CC71" s="171">
        <f>SUMIF('CF(M)'!$L$10:$EQ$10,CC$6,'CF(M)'!$L76:$EQ76)</f>
        <v>0</v>
      </c>
      <c r="CD71" s="171">
        <f>SUMIF('CF(M)'!$L$10:$EQ$10,CD$6,'CF(M)'!$L76:$EQ76)</f>
        <v>0</v>
      </c>
      <c r="CE71" s="171">
        <f>SUMIF('CF(M)'!$L$10:$EQ$10,CE$6,'CF(M)'!$L76:$EQ76)</f>
        <v>0</v>
      </c>
      <c r="CF71" s="171">
        <f>SUMIF('CF(M)'!$L$10:$EQ$10,CF$6,'CF(M)'!$L76:$EQ76)</f>
        <v>0</v>
      </c>
      <c r="CG71" s="171">
        <f>SUMIF('CF(M)'!$L$10:$EQ$10,CG$6,'CF(M)'!$L76:$EQ76)</f>
        <v>0</v>
      </c>
      <c r="CH71" s="171">
        <f>SUMIF('CF(M)'!$L$10:$EQ$10,CH$6,'CF(M)'!$L76:$EQ76)</f>
        <v>0</v>
      </c>
      <c r="CI71" s="171">
        <f>SUMIF('CF(M)'!$L$10:$EQ$10,CI$6,'CF(M)'!$L76:$EQ76)</f>
        <v>0</v>
      </c>
      <c r="CJ71" s="171">
        <f>SUMIF('CF(M)'!$L$10:$EQ$10,CJ$6,'CF(M)'!$L76:$EQ76)</f>
        <v>0</v>
      </c>
      <c r="CK71" s="171">
        <f>SUMIF('CF(M)'!$L$10:$EQ$10,CK$6,'CF(M)'!$L76:$EQ76)</f>
        <v>0</v>
      </c>
      <c r="CL71" s="171">
        <f>SUMIF('CF(M)'!$L$10:$EQ$10,CL$6,'CF(M)'!$L76:$EQ76)</f>
        <v>0</v>
      </c>
      <c r="CM71" s="171">
        <f>SUMIF('CF(M)'!$L$10:$EQ$10,CM$6,'CF(M)'!$L76:$EQ76)</f>
        <v>0</v>
      </c>
      <c r="CN71" s="171">
        <f>SUMIF('CF(M)'!$L$10:$EQ$10,CN$6,'CF(M)'!$L76:$EQ76)</f>
        <v>0</v>
      </c>
      <c r="CO71" s="171">
        <f>SUMIF('CF(M)'!$L$10:$EQ$10,CO$6,'CF(M)'!$L76:$EQ76)</f>
        <v>0</v>
      </c>
      <c r="CP71" s="171">
        <f>SUMIF('CF(M)'!$L$10:$EQ$10,CP$6,'CF(M)'!$L76:$EQ76)</f>
        <v>0</v>
      </c>
      <c r="CQ71" s="171">
        <f>SUMIF('CF(M)'!$L$10:$EQ$10,CQ$6,'CF(M)'!$L76:$EQ76)</f>
        <v>0</v>
      </c>
      <c r="CR71" s="171">
        <f>SUMIF('CF(M)'!$L$10:$EQ$10,CR$6,'CF(M)'!$L76:$EQ76)</f>
        <v>0</v>
      </c>
      <c r="CS71" s="171">
        <f>SUMIF('CF(M)'!$L$10:$EQ$10,CS$6,'CF(M)'!$L76:$EQ76)</f>
        <v>0</v>
      </c>
      <c r="CT71" s="171">
        <f>SUMIF('CF(M)'!$L$10:$EQ$10,CT$6,'CF(M)'!$L76:$EQ76)</f>
        <v>0</v>
      </c>
      <c r="CU71" s="171">
        <f>SUMIF('CF(M)'!$L$10:$EQ$10,CU$6,'CF(M)'!$L76:$EQ76)</f>
        <v>0</v>
      </c>
      <c r="CV71" s="171">
        <f>SUMIF('CF(M)'!$L$10:$EQ$10,CV$6,'CF(M)'!$L76:$EQ76)</f>
        <v>0</v>
      </c>
      <c r="CW71" s="171">
        <f>SUMIF('CF(M)'!$L$10:$EQ$10,CW$6,'CF(M)'!$L76:$EQ76)</f>
        <v>0</v>
      </c>
      <c r="CX71" s="171">
        <f>SUMIF('CF(M)'!$L$10:$EQ$10,CX$6,'CF(M)'!$L76:$EQ76)</f>
        <v>0</v>
      </c>
      <c r="CY71" s="171">
        <f>SUMIF('CF(M)'!$L$10:$EQ$10,CY$6,'CF(M)'!$L76:$EQ76)</f>
        <v>0</v>
      </c>
      <c r="CZ71" s="171">
        <f>SUMIF('CF(M)'!$L$10:$EQ$10,CZ$6,'CF(M)'!$L76:$EQ76)</f>
        <v>0</v>
      </c>
      <c r="DA71" s="171">
        <f>SUMIF('CF(M)'!$L$10:$EQ$10,DA$6,'CF(M)'!$L76:$EQ76)</f>
        <v>0</v>
      </c>
      <c r="DB71" s="171">
        <f>SUMIF('CF(M)'!$L$10:$EQ$10,DB$6,'CF(M)'!$L76:$EQ76)</f>
        <v>0</v>
      </c>
      <c r="DC71" s="171">
        <f>SUMIF('CF(M)'!$L$10:$EQ$10,DC$6,'CF(M)'!$L76:$EQ76)</f>
        <v>0</v>
      </c>
      <c r="DD71" s="171">
        <f>SUMIF('CF(M)'!$L$10:$EQ$10,DD$6,'CF(M)'!$L76:$EQ76)</f>
        <v>0</v>
      </c>
      <c r="DE71" s="171">
        <f>SUMIF('CF(M)'!$L$10:$EQ$10,DE$6,'CF(M)'!$L76:$EQ76)</f>
        <v>0</v>
      </c>
      <c r="DF71" s="171">
        <f>SUMIF('CF(M)'!$L$10:$EQ$10,DF$6,'CF(M)'!$L76:$EQ76)</f>
        <v>0</v>
      </c>
      <c r="DG71" s="171">
        <f>SUMIF('CF(M)'!$L$10:$EQ$10,DG$6,'CF(M)'!$L76:$EQ76)</f>
        <v>0</v>
      </c>
      <c r="DH71" s="171">
        <f>SUMIF('CF(M)'!$L$10:$EQ$10,DH$6,'CF(M)'!$L76:$EQ76)</f>
        <v>0</v>
      </c>
      <c r="DI71" s="171">
        <f>SUMIF('CF(M)'!$L$10:$EQ$10,DI$6,'CF(M)'!$L76:$EQ76)</f>
        <v>0</v>
      </c>
      <c r="DJ71" s="171">
        <f>SUMIF('CF(M)'!$L$10:$EQ$10,DJ$6,'CF(M)'!$L76:$EQ76)</f>
        <v>0</v>
      </c>
      <c r="DK71" s="171">
        <f>SUMIF('CF(M)'!$L$10:$EQ$10,DK$6,'CF(M)'!$L76:$EQ76)</f>
        <v>0</v>
      </c>
      <c r="DL71" s="171">
        <f>SUMIF('CF(M)'!$L$10:$EQ$10,DL$6,'CF(M)'!$L76:$EQ76)</f>
        <v>0</v>
      </c>
      <c r="DM71" s="171">
        <f>SUMIF('CF(M)'!$L$10:$EQ$10,DM$6,'CF(M)'!$L76:$EQ76)</f>
        <v>0</v>
      </c>
      <c r="DN71" s="171">
        <f>SUMIF('CF(M)'!$L$10:$EQ$10,DN$6,'CF(M)'!$L76:$EQ76)</f>
        <v>0</v>
      </c>
      <c r="DO71" s="171">
        <f>SUMIF('CF(M)'!$L$10:$EQ$10,DO$6,'CF(M)'!$L76:$EQ76)</f>
        <v>0</v>
      </c>
      <c r="DP71" s="171">
        <f>SUMIF('CF(M)'!$L$10:$EQ$10,DP$6,'CF(M)'!$L76:$EQ76)</f>
        <v>0</v>
      </c>
      <c r="DQ71" s="171">
        <f>SUMIF('CF(M)'!$L$10:$EQ$10,DQ$6,'CF(M)'!$L76:$EQ76)</f>
        <v>0</v>
      </c>
      <c r="DR71" s="171">
        <f>SUMIF('CF(M)'!$L$10:$EQ$10,DR$6,'CF(M)'!$L76:$EQ76)</f>
        <v>0</v>
      </c>
      <c r="DS71" s="171">
        <f>SUMIF('CF(M)'!$L$10:$EQ$10,DS$6,'CF(M)'!$L76:$EQ76)</f>
        <v>0</v>
      </c>
      <c r="DT71" s="171">
        <f>SUMIF('CF(M)'!$L$10:$EQ$10,DT$6,'CF(M)'!$L76:$EQ76)</f>
        <v>0</v>
      </c>
      <c r="DU71" s="171">
        <f>SUMIF('CF(M)'!$L$10:$EQ$10,DU$6,'CF(M)'!$L76:$EQ76)</f>
        <v>0</v>
      </c>
      <c r="DV71" s="171">
        <f>SUMIF('CF(M)'!$L$10:$EQ$10,DV$6,'CF(M)'!$L76:$EQ76)</f>
        <v>0</v>
      </c>
    </row>
    <row r="72" spans="2:126" ht="11.25" customHeight="1">
      <c r="B72" s="218"/>
      <c r="C72" s="158" t="str">
        <f>'CF(M)'!C77</f>
        <v>담보대출(3rd)</v>
      </c>
      <c r="D72" s="159"/>
      <c r="E72" s="159"/>
      <c r="F72" s="159"/>
      <c r="G72" s="159"/>
      <c r="H72" s="160"/>
      <c r="I72" s="219"/>
      <c r="J72" s="220">
        <f>SUM(J73:J74)</f>
        <v>0</v>
      </c>
      <c r="K72" s="98"/>
      <c r="L72" s="162">
        <f>SUM(L73:L74)</f>
        <v>0</v>
      </c>
      <c r="M72" s="162">
        <f t="shared" ref="M72:BX72" si="32">SUM(M73:M74)</f>
        <v>0</v>
      </c>
      <c r="N72" s="162">
        <f t="shared" si="32"/>
        <v>0</v>
      </c>
      <c r="O72" s="162">
        <f t="shared" si="32"/>
        <v>0</v>
      </c>
      <c r="P72" s="162">
        <f t="shared" si="32"/>
        <v>0</v>
      </c>
      <c r="Q72" s="162">
        <f t="shared" si="32"/>
        <v>0</v>
      </c>
      <c r="R72" s="162">
        <f t="shared" si="32"/>
        <v>0</v>
      </c>
      <c r="S72" s="162">
        <f t="shared" si="32"/>
        <v>0</v>
      </c>
      <c r="T72" s="162">
        <f t="shared" si="32"/>
        <v>0</v>
      </c>
      <c r="U72" s="162">
        <f t="shared" si="32"/>
        <v>0</v>
      </c>
      <c r="V72" s="162">
        <f t="shared" si="32"/>
        <v>213000000</v>
      </c>
      <c r="W72" s="162">
        <f t="shared" si="32"/>
        <v>0</v>
      </c>
      <c r="X72" s="162">
        <f t="shared" si="32"/>
        <v>0</v>
      </c>
      <c r="Y72" s="162">
        <f t="shared" si="32"/>
        <v>0</v>
      </c>
      <c r="Z72" s="162">
        <f t="shared" si="32"/>
        <v>0</v>
      </c>
      <c r="AA72" s="162">
        <f t="shared" si="32"/>
        <v>0</v>
      </c>
      <c r="AB72" s="162">
        <f t="shared" si="32"/>
        <v>0</v>
      </c>
      <c r="AC72" s="162">
        <f t="shared" si="32"/>
        <v>0</v>
      </c>
      <c r="AD72" s="162">
        <f t="shared" si="32"/>
        <v>0</v>
      </c>
      <c r="AE72" s="162">
        <f t="shared" si="32"/>
        <v>0</v>
      </c>
      <c r="AF72" s="162">
        <f t="shared" si="32"/>
        <v>-213000000</v>
      </c>
      <c r="AG72" s="162">
        <f t="shared" si="32"/>
        <v>0</v>
      </c>
      <c r="AH72" s="162">
        <f t="shared" si="32"/>
        <v>0</v>
      </c>
      <c r="AI72" s="162">
        <f t="shared" si="32"/>
        <v>0</v>
      </c>
      <c r="AJ72" s="162">
        <f t="shared" si="32"/>
        <v>0</v>
      </c>
      <c r="AK72" s="162">
        <f t="shared" si="32"/>
        <v>0</v>
      </c>
      <c r="AL72" s="162">
        <f t="shared" si="32"/>
        <v>0</v>
      </c>
      <c r="AM72" s="162">
        <f t="shared" si="32"/>
        <v>0</v>
      </c>
      <c r="AN72" s="162">
        <f t="shared" si="32"/>
        <v>0</v>
      </c>
      <c r="AO72" s="162">
        <f t="shared" si="32"/>
        <v>0</v>
      </c>
      <c r="AP72" s="162">
        <f t="shared" si="32"/>
        <v>0</v>
      </c>
      <c r="AQ72" s="162">
        <f t="shared" si="32"/>
        <v>0</v>
      </c>
      <c r="AR72" s="162">
        <f t="shared" si="32"/>
        <v>0</v>
      </c>
      <c r="AS72" s="162">
        <f t="shared" si="32"/>
        <v>0</v>
      </c>
      <c r="AT72" s="162">
        <f t="shared" si="32"/>
        <v>0</v>
      </c>
      <c r="AU72" s="162">
        <f t="shared" si="32"/>
        <v>0</v>
      </c>
      <c r="AV72" s="162">
        <f t="shared" si="32"/>
        <v>0</v>
      </c>
      <c r="AW72" s="162">
        <f t="shared" si="32"/>
        <v>0</v>
      </c>
      <c r="AX72" s="162">
        <f t="shared" si="32"/>
        <v>0</v>
      </c>
      <c r="AY72" s="162">
        <f t="shared" si="32"/>
        <v>0</v>
      </c>
      <c r="AZ72" s="162">
        <f t="shared" si="32"/>
        <v>0</v>
      </c>
      <c r="BA72" s="162">
        <f t="shared" si="32"/>
        <v>0</v>
      </c>
      <c r="BB72" s="162">
        <f t="shared" si="32"/>
        <v>0</v>
      </c>
      <c r="BC72" s="162">
        <f t="shared" si="32"/>
        <v>0</v>
      </c>
      <c r="BD72" s="162">
        <f t="shared" si="32"/>
        <v>0</v>
      </c>
      <c r="BE72" s="162">
        <f t="shared" si="32"/>
        <v>0</v>
      </c>
      <c r="BF72" s="162">
        <f t="shared" si="32"/>
        <v>0</v>
      </c>
      <c r="BG72" s="162">
        <f t="shared" si="32"/>
        <v>0</v>
      </c>
      <c r="BH72" s="162">
        <f t="shared" si="32"/>
        <v>0</v>
      </c>
      <c r="BI72" s="162">
        <f t="shared" si="32"/>
        <v>0</v>
      </c>
      <c r="BJ72" s="162">
        <f t="shared" si="32"/>
        <v>0</v>
      </c>
      <c r="BK72" s="162">
        <f t="shared" si="32"/>
        <v>0</v>
      </c>
      <c r="BL72" s="162">
        <f t="shared" si="32"/>
        <v>0</v>
      </c>
      <c r="BM72" s="162">
        <f t="shared" si="32"/>
        <v>0</v>
      </c>
      <c r="BN72" s="162">
        <f t="shared" si="32"/>
        <v>0</v>
      </c>
      <c r="BO72" s="162">
        <f t="shared" si="32"/>
        <v>0</v>
      </c>
      <c r="BP72" s="162">
        <f t="shared" si="32"/>
        <v>0</v>
      </c>
      <c r="BQ72" s="162">
        <f t="shared" si="32"/>
        <v>0</v>
      </c>
      <c r="BR72" s="162">
        <f t="shared" si="32"/>
        <v>0</v>
      </c>
      <c r="BS72" s="162">
        <f t="shared" si="32"/>
        <v>0</v>
      </c>
      <c r="BT72" s="162">
        <f t="shared" si="32"/>
        <v>0</v>
      </c>
      <c r="BU72" s="162">
        <f t="shared" si="32"/>
        <v>0</v>
      </c>
      <c r="BV72" s="162">
        <f t="shared" si="32"/>
        <v>0</v>
      </c>
      <c r="BW72" s="162">
        <f t="shared" si="32"/>
        <v>0</v>
      </c>
      <c r="BX72" s="162">
        <f t="shared" si="32"/>
        <v>0</v>
      </c>
      <c r="BY72" s="162">
        <f t="shared" ref="BY72:DV72" si="33">SUM(BY73:BY74)</f>
        <v>0</v>
      </c>
      <c r="BZ72" s="162">
        <f t="shared" si="33"/>
        <v>0</v>
      </c>
      <c r="CA72" s="162">
        <f t="shared" si="33"/>
        <v>0</v>
      </c>
      <c r="CB72" s="162">
        <f t="shared" si="33"/>
        <v>0</v>
      </c>
      <c r="CC72" s="162">
        <f t="shared" si="33"/>
        <v>0</v>
      </c>
      <c r="CD72" s="162">
        <f t="shared" si="33"/>
        <v>0</v>
      </c>
      <c r="CE72" s="162">
        <f t="shared" si="33"/>
        <v>0</v>
      </c>
      <c r="CF72" s="162">
        <f t="shared" si="33"/>
        <v>0</v>
      </c>
      <c r="CG72" s="162">
        <f t="shared" si="33"/>
        <v>0</v>
      </c>
      <c r="CH72" s="162">
        <f t="shared" si="33"/>
        <v>0</v>
      </c>
      <c r="CI72" s="162">
        <f t="shared" si="33"/>
        <v>0</v>
      </c>
      <c r="CJ72" s="162">
        <f t="shared" si="33"/>
        <v>0</v>
      </c>
      <c r="CK72" s="162">
        <f t="shared" si="33"/>
        <v>0</v>
      </c>
      <c r="CL72" s="162">
        <f t="shared" si="33"/>
        <v>0</v>
      </c>
      <c r="CM72" s="162">
        <f t="shared" si="33"/>
        <v>0</v>
      </c>
      <c r="CN72" s="162">
        <f t="shared" si="33"/>
        <v>0</v>
      </c>
      <c r="CO72" s="162">
        <f t="shared" si="33"/>
        <v>0</v>
      </c>
      <c r="CP72" s="162">
        <f t="shared" si="33"/>
        <v>0</v>
      </c>
      <c r="CQ72" s="162">
        <f t="shared" si="33"/>
        <v>0</v>
      </c>
      <c r="CR72" s="162">
        <f t="shared" si="33"/>
        <v>0</v>
      </c>
      <c r="CS72" s="162">
        <f t="shared" si="33"/>
        <v>0</v>
      </c>
      <c r="CT72" s="162">
        <f t="shared" si="33"/>
        <v>0</v>
      </c>
      <c r="CU72" s="162">
        <f t="shared" si="33"/>
        <v>0</v>
      </c>
      <c r="CV72" s="162">
        <f t="shared" si="33"/>
        <v>0</v>
      </c>
      <c r="CW72" s="162">
        <f t="shared" si="33"/>
        <v>0</v>
      </c>
      <c r="CX72" s="162">
        <f t="shared" si="33"/>
        <v>0</v>
      </c>
      <c r="CY72" s="162">
        <f t="shared" si="33"/>
        <v>0</v>
      </c>
      <c r="CZ72" s="162">
        <f t="shared" si="33"/>
        <v>0</v>
      </c>
      <c r="DA72" s="162">
        <f t="shared" si="33"/>
        <v>0</v>
      </c>
      <c r="DB72" s="162">
        <f t="shared" si="33"/>
        <v>0</v>
      </c>
      <c r="DC72" s="162">
        <f t="shared" si="33"/>
        <v>0</v>
      </c>
      <c r="DD72" s="162">
        <f t="shared" si="33"/>
        <v>0</v>
      </c>
      <c r="DE72" s="162">
        <f t="shared" si="33"/>
        <v>0</v>
      </c>
      <c r="DF72" s="162">
        <f t="shared" si="33"/>
        <v>0</v>
      </c>
      <c r="DG72" s="162">
        <f t="shared" si="33"/>
        <v>0</v>
      </c>
      <c r="DH72" s="162">
        <f t="shared" si="33"/>
        <v>0</v>
      </c>
      <c r="DI72" s="162">
        <f t="shared" si="33"/>
        <v>0</v>
      </c>
      <c r="DJ72" s="162">
        <f t="shared" si="33"/>
        <v>0</v>
      </c>
      <c r="DK72" s="162">
        <f t="shared" si="33"/>
        <v>0</v>
      </c>
      <c r="DL72" s="162">
        <f t="shared" si="33"/>
        <v>0</v>
      </c>
      <c r="DM72" s="162">
        <f t="shared" si="33"/>
        <v>0</v>
      </c>
      <c r="DN72" s="162">
        <f t="shared" si="33"/>
        <v>0</v>
      </c>
      <c r="DO72" s="162">
        <f t="shared" si="33"/>
        <v>0</v>
      </c>
      <c r="DP72" s="162">
        <f t="shared" si="33"/>
        <v>0</v>
      </c>
      <c r="DQ72" s="162">
        <f t="shared" si="33"/>
        <v>0</v>
      </c>
      <c r="DR72" s="162">
        <f t="shared" si="33"/>
        <v>0</v>
      </c>
      <c r="DS72" s="162">
        <f t="shared" si="33"/>
        <v>0</v>
      </c>
      <c r="DT72" s="162">
        <f t="shared" si="33"/>
        <v>0</v>
      </c>
      <c r="DU72" s="162">
        <f t="shared" si="33"/>
        <v>0</v>
      </c>
      <c r="DV72" s="162">
        <f t="shared" si="33"/>
        <v>0</v>
      </c>
    </row>
    <row r="73" spans="2:126" ht="11.25" customHeight="1">
      <c r="B73" s="218"/>
      <c r="C73" s="163"/>
      <c r="D73" s="164" t="s">
        <v>208</v>
      </c>
      <c r="E73" s="165"/>
      <c r="F73" s="165"/>
      <c r="G73" s="165"/>
      <c r="H73" s="166"/>
      <c r="I73" s="228"/>
      <c r="J73" s="168">
        <f>SUM(L73:DV73)</f>
        <v>213000000</v>
      </c>
      <c r="K73" s="98"/>
      <c r="L73" s="168">
        <f>SUMIF('CF(M)'!$L$10:$EQ$10,L$6,'CF(M)'!$L78:$EQ78)</f>
        <v>0</v>
      </c>
      <c r="M73" s="168">
        <f>SUMIF('CF(M)'!$L$10:$EQ$10,M$6,'CF(M)'!$L78:$EQ78)</f>
        <v>0</v>
      </c>
      <c r="N73" s="168">
        <f>SUMIF('CF(M)'!$L$10:$EQ$10,N$6,'CF(M)'!$L78:$EQ78)</f>
        <v>0</v>
      </c>
      <c r="O73" s="168">
        <f>SUMIF('CF(M)'!$L$10:$EQ$10,O$6,'CF(M)'!$L78:$EQ78)</f>
        <v>0</v>
      </c>
      <c r="P73" s="168">
        <f>SUMIF('CF(M)'!$L$10:$EQ$10,P$6,'CF(M)'!$L78:$EQ78)</f>
        <v>0</v>
      </c>
      <c r="Q73" s="168">
        <f>SUMIF('CF(M)'!$L$10:$EQ$10,Q$6,'CF(M)'!$L78:$EQ78)</f>
        <v>0</v>
      </c>
      <c r="R73" s="168">
        <f>SUMIF('CF(M)'!$L$10:$EQ$10,R$6,'CF(M)'!$L78:$EQ78)</f>
        <v>0</v>
      </c>
      <c r="S73" s="168">
        <f>SUMIF('CF(M)'!$L$10:$EQ$10,S$6,'CF(M)'!$L78:$EQ78)</f>
        <v>0</v>
      </c>
      <c r="T73" s="168">
        <f>SUMIF('CF(M)'!$L$10:$EQ$10,T$6,'CF(M)'!$L78:$EQ78)</f>
        <v>0</v>
      </c>
      <c r="U73" s="168">
        <f>SUMIF('CF(M)'!$L$10:$EQ$10,U$6,'CF(M)'!$L78:$EQ78)</f>
        <v>0</v>
      </c>
      <c r="V73" s="168">
        <f>SUMIF('CF(M)'!$L$10:$EQ$10,V$6,'CF(M)'!$L78:$EQ78)</f>
        <v>213000000</v>
      </c>
      <c r="W73" s="168">
        <f>SUMIF('CF(M)'!$L$10:$EQ$10,W$6,'CF(M)'!$L78:$EQ78)</f>
        <v>0</v>
      </c>
      <c r="X73" s="168">
        <f>SUMIF('CF(M)'!$L$10:$EQ$10,X$6,'CF(M)'!$L78:$EQ78)</f>
        <v>0</v>
      </c>
      <c r="Y73" s="168">
        <f>SUMIF('CF(M)'!$L$10:$EQ$10,Y$6,'CF(M)'!$L78:$EQ78)</f>
        <v>0</v>
      </c>
      <c r="Z73" s="168">
        <f>SUMIF('CF(M)'!$L$10:$EQ$10,Z$6,'CF(M)'!$L78:$EQ78)</f>
        <v>0</v>
      </c>
      <c r="AA73" s="168">
        <f>SUMIF('CF(M)'!$L$10:$EQ$10,AA$6,'CF(M)'!$L78:$EQ78)</f>
        <v>0</v>
      </c>
      <c r="AB73" s="168">
        <f>SUMIF('CF(M)'!$L$10:$EQ$10,AB$6,'CF(M)'!$L78:$EQ78)</f>
        <v>0</v>
      </c>
      <c r="AC73" s="168">
        <f>SUMIF('CF(M)'!$L$10:$EQ$10,AC$6,'CF(M)'!$L78:$EQ78)</f>
        <v>0</v>
      </c>
      <c r="AD73" s="168">
        <f>SUMIF('CF(M)'!$L$10:$EQ$10,AD$6,'CF(M)'!$L78:$EQ78)</f>
        <v>0</v>
      </c>
      <c r="AE73" s="168">
        <f>SUMIF('CF(M)'!$L$10:$EQ$10,AE$6,'CF(M)'!$L78:$EQ78)</f>
        <v>0</v>
      </c>
      <c r="AF73" s="168">
        <f>SUMIF('CF(M)'!$L$10:$EQ$10,AF$6,'CF(M)'!$L78:$EQ78)</f>
        <v>0</v>
      </c>
      <c r="AG73" s="168">
        <f>SUMIF('CF(M)'!$L$10:$EQ$10,AG$6,'CF(M)'!$L78:$EQ78)</f>
        <v>0</v>
      </c>
      <c r="AH73" s="168">
        <f>SUMIF('CF(M)'!$L$10:$EQ$10,AH$6,'CF(M)'!$L78:$EQ78)</f>
        <v>0</v>
      </c>
      <c r="AI73" s="168">
        <f>SUMIF('CF(M)'!$L$10:$EQ$10,AI$6,'CF(M)'!$L78:$EQ78)</f>
        <v>0</v>
      </c>
      <c r="AJ73" s="168">
        <f>SUMIF('CF(M)'!$L$10:$EQ$10,AJ$6,'CF(M)'!$L78:$EQ78)</f>
        <v>0</v>
      </c>
      <c r="AK73" s="168">
        <f>SUMIF('CF(M)'!$L$10:$EQ$10,AK$6,'CF(M)'!$L78:$EQ78)</f>
        <v>0</v>
      </c>
      <c r="AL73" s="168">
        <f>SUMIF('CF(M)'!$L$10:$EQ$10,AL$6,'CF(M)'!$L78:$EQ78)</f>
        <v>0</v>
      </c>
      <c r="AM73" s="168">
        <f>SUMIF('CF(M)'!$L$10:$EQ$10,AM$6,'CF(M)'!$L78:$EQ78)</f>
        <v>0</v>
      </c>
      <c r="AN73" s="168">
        <f>SUMIF('CF(M)'!$L$10:$EQ$10,AN$6,'CF(M)'!$L78:$EQ78)</f>
        <v>0</v>
      </c>
      <c r="AO73" s="168">
        <f>SUMIF('CF(M)'!$L$10:$EQ$10,AO$6,'CF(M)'!$L78:$EQ78)</f>
        <v>0</v>
      </c>
      <c r="AP73" s="168">
        <f>SUMIF('CF(M)'!$L$10:$EQ$10,AP$6,'CF(M)'!$L78:$EQ78)</f>
        <v>0</v>
      </c>
      <c r="AQ73" s="168">
        <f>SUMIF('CF(M)'!$L$10:$EQ$10,AQ$6,'CF(M)'!$L78:$EQ78)</f>
        <v>0</v>
      </c>
      <c r="AR73" s="168">
        <f>SUMIF('CF(M)'!$L$10:$EQ$10,AR$6,'CF(M)'!$L78:$EQ78)</f>
        <v>0</v>
      </c>
      <c r="AS73" s="168">
        <f>SUMIF('CF(M)'!$L$10:$EQ$10,AS$6,'CF(M)'!$L78:$EQ78)</f>
        <v>0</v>
      </c>
      <c r="AT73" s="168">
        <f>SUMIF('CF(M)'!$L$10:$EQ$10,AT$6,'CF(M)'!$L78:$EQ78)</f>
        <v>0</v>
      </c>
      <c r="AU73" s="168">
        <f>SUMIF('CF(M)'!$L$10:$EQ$10,AU$6,'CF(M)'!$L78:$EQ78)</f>
        <v>0</v>
      </c>
      <c r="AV73" s="168">
        <f>SUMIF('CF(M)'!$L$10:$EQ$10,AV$6,'CF(M)'!$L78:$EQ78)</f>
        <v>0</v>
      </c>
      <c r="AW73" s="168">
        <f>SUMIF('CF(M)'!$L$10:$EQ$10,AW$6,'CF(M)'!$L78:$EQ78)</f>
        <v>0</v>
      </c>
      <c r="AX73" s="168">
        <f>SUMIF('CF(M)'!$L$10:$EQ$10,AX$6,'CF(M)'!$L78:$EQ78)</f>
        <v>0</v>
      </c>
      <c r="AY73" s="168">
        <f>SUMIF('CF(M)'!$L$10:$EQ$10,AY$6,'CF(M)'!$L78:$EQ78)</f>
        <v>0</v>
      </c>
      <c r="AZ73" s="168">
        <f>SUMIF('CF(M)'!$L$10:$EQ$10,AZ$6,'CF(M)'!$L78:$EQ78)</f>
        <v>0</v>
      </c>
      <c r="BA73" s="168">
        <f>SUMIF('CF(M)'!$L$10:$EQ$10,BA$6,'CF(M)'!$L78:$EQ78)</f>
        <v>0</v>
      </c>
      <c r="BB73" s="168">
        <f>SUMIF('CF(M)'!$L$10:$EQ$10,BB$6,'CF(M)'!$L78:$EQ78)</f>
        <v>0</v>
      </c>
      <c r="BC73" s="168">
        <f>SUMIF('CF(M)'!$L$10:$EQ$10,BC$6,'CF(M)'!$L78:$EQ78)</f>
        <v>0</v>
      </c>
      <c r="BD73" s="168">
        <f>SUMIF('CF(M)'!$L$10:$EQ$10,BD$6,'CF(M)'!$L78:$EQ78)</f>
        <v>0</v>
      </c>
      <c r="BE73" s="168">
        <f>SUMIF('CF(M)'!$L$10:$EQ$10,BE$6,'CF(M)'!$L78:$EQ78)</f>
        <v>0</v>
      </c>
      <c r="BF73" s="168">
        <f>SUMIF('CF(M)'!$L$10:$EQ$10,BF$6,'CF(M)'!$L78:$EQ78)</f>
        <v>0</v>
      </c>
      <c r="BG73" s="168">
        <f>SUMIF('CF(M)'!$L$10:$EQ$10,BG$6,'CF(M)'!$L78:$EQ78)</f>
        <v>0</v>
      </c>
      <c r="BH73" s="168">
        <f>SUMIF('CF(M)'!$L$10:$EQ$10,BH$6,'CF(M)'!$L78:$EQ78)</f>
        <v>0</v>
      </c>
      <c r="BI73" s="168">
        <f>SUMIF('CF(M)'!$L$10:$EQ$10,BI$6,'CF(M)'!$L78:$EQ78)</f>
        <v>0</v>
      </c>
      <c r="BJ73" s="168">
        <f>SUMIF('CF(M)'!$L$10:$EQ$10,BJ$6,'CF(M)'!$L78:$EQ78)</f>
        <v>0</v>
      </c>
      <c r="BK73" s="168">
        <f>SUMIF('CF(M)'!$L$10:$EQ$10,BK$6,'CF(M)'!$L78:$EQ78)</f>
        <v>0</v>
      </c>
      <c r="BL73" s="168">
        <f>SUMIF('CF(M)'!$L$10:$EQ$10,BL$6,'CF(M)'!$L78:$EQ78)</f>
        <v>0</v>
      </c>
      <c r="BM73" s="168">
        <f>SUMIF('CF(M)'!$L$10:$EQ$10,BM$6,'CF(M)'!$L78:$EQ78)</f>
        <v>0</v>
      </c>
      <c r="BN73" s="168">
        <f>SUMIF('CF(M)'!$L$10:$EQ$10,BN$6,'CF(M)'!$L78:$EQ78)</f>
        <v>0</v>
      </c>
      <c r="BO73" s="168">
        <f>SUMIF('CF(M)'!$L$10:$EQ$10,BO$6,'CF(M)'!$L78:$EQ78)</f>
        <v>0</v>
      </c>
      <c r="BP73" s="168">
        <f>SUMIF('CF(M)'!$L$10:$EQ$10,BP$6,'CF(M)'!$L78:$EQ78)</f>
        <v>0</v>
      </c>
      <c r="BQ73" s="168">
        <f>SUMIF('CF(M)'!$L$10:$EQ$10,BQ$6,'CF(M)'!$L78:$EQ78)</f>
        <v>0</v>
      </c>
      <c r="BR73" s="168">
        <f>SUMIF('CF(M)'!$L$10:$EQ$10,BR$6,'CF(M)'!$L78:$EQ78)</f>
        <v>0</v>
      </c>
      <c r="BS73" s="168">
        <f>SUMIF('CF(M)'!$L$10:$EQ$10,BS$6,'CF(M)'!$L78:$EQ78)</f>
        <v>0</v>
      </c>
      <c r="BT73" s="168">
        <f>SUMIF('CF(M)'!$L$10:$EQ$10,BT$6,'CF(M)'!$L78:$EQ78)</f>
        <v>0</v>
      </c>
      <c r="BU73" s="168">
        <f>SUMIF('CF(M)'!$L$10:$EQ$10,BU$6,'CF(M)'!$L78:$EQ78)</f>
        <v>0</v>
      </c>
      <c r="BV73" s="168">
        <f>SUMIF('CF(M)'!$L$10:$EQ$10,BV$6,'CF(M)'!$L78:$EQ78)</f>
        <v>0</v>
      </c>
      <c r="BW73" s="168">
        <f>SUMIF('CF(M)'!$L$10:$EQ$10,BW$6,'CF(M)'!$L78:$EQ78)</f>
        <v>0</v>
      </c>
      <c r="BX73" s="168">
        <f>SUMIF('CF(M)'!$L$10:$EQ$10,BX$6,'CF(M)'!$L78:$EQ78)</f>
        <v>0</v>
      </c>
      <c r="BY73" s="168">
        <f>SUMIF('CF(M)'!$L$10:$EQ$10,BY$6,'CF(M)'!$L78:$EQ78)</f>
        <v>0</v>
      </c>
      <c r="BZ73" s="168">
        <f>SUMIF('CF(M)'!$L$10:$EQ$10,BZ$6,'CF(M)'!$L78:$EQ78)</f>
        <v>0</v>
      </c>
      <c r="CA73" s="168">
        <f>SUMIF('CF(M)'!$L$10:$EQ$10,CA$6,'CF(M)'!$L78:$EQ78)</f>
        <v>0</v>
      </c>
      <c r="CB73" s="168">
        <f>SUMIF('CF(M)'!$L$10:$EQ$10,CB$6,'CF(M)'!$L78:$EQ78)</f>
        <v>0</v>
      </c>
      <c r="CC73" s="168">
        <f>SUMIF('CF(M)'!$L$10:$EQ$10,CC$6,'CF(M)'!$L78:$EQ78)</f>
        <v>0</v>
      </c>
      <c r="CD73" s="168">
        <f>SUMIF('CF(M)'!$L$10:$EQ$10,CD$6,'CF(M)'!$L78:$EQ78)</f>
        <v>0</v>
      </c>
      <c r="CE73" s="168">
        <f>SUMIF('CF(M)'!$L$10:$EQ$10,CE$6,'CF(M)'!$L78:$EQ78)</f>
        <v>0</v>
      </c>
      <c r="CF73" s="168">
        <f>SUMIF('CF(M)'!$L$10:$EQ$10,CF$6,'CF(M)'!$L78:$EQ78)</f>
        <v>0</v>
      </c>
      <c r="CG73" s="168">
        <f>SUMIF('CF(M)'!$L$10:$EQ$10,CG$6,'CF(M)'!$L78:$EQ78)</f>
        <v>0</v>
      </c>
      <c r="CH73" s="168">
        <f>SUMIF('CF(M)'!$L$10:$EQ$10,CH$6,'CF(M)'!$L78:$EQ78)</f>
        <v>0</v>
      </c>
      <c r="CI73" s="168">
        <f>SUMIF('CF(M)'!$L$10:$EQ$10,CI$6,'CF(M)'!$L78:$EQ78)</f>
        <v>0</v>
      </c>
      <c r="CJ73" s="168">
        <f>SUMIF('CF(M)'!$L$10:$EQ$10,CJ$6,'CF(M)'!$L78:$EQ78)</f>
        <v>0</v>
      </c>
      <c r="CK73" s="168">
        <f>SUMIF('CF(M)'!$L$10:$EQ$10,CK$6,'CF(M)'!$L78:$EQ78)</f>
        <v>0</v>
      </c>
      <c r="CL73" s="168">
        <f>SUMIF('CF(M)'!$L$10:$EQ$10,CL$6,'CF(M)'!$L78:$EQ78)</f>
        <v>0</v>
      </c>
      <c r="CM73" s="168">
        <f>SUMIF('CF(M)'!$L$10:$EQ$10,CM$6,'CF(M)'!$L78:$EQ78)</f>
        <v>0</v>
      </c>
      <c r="CN73" s="168">
        <f>SUMIF('CF(M)'!$L$10:$EQ$10,CN$6,'CF(M)'!$L78:$EQ78)</f>
        <v>0</v>
      </c>
      <c r="CO73" s="168">
        <f>SUMIF('CF(M)'!$L$10:$EQ$10,CO$6,'CF(M)'!$L78:$EQ78)</f>
        <v>0</v>
      </c>
      <c r="CP73" s="168">
        <f>SUMIF('CF(M)'!$L$10:$EQ$10,CP$6,'CF(M)'!$L78:$EQ78)</f>
        <v>0</v>
      </c>
      <c r="CQ73" s="168">
        <f>SUMIF('CF(M)'!$L$10:$EQ$10,CQ$6,'CF(M)'!$L78:$EQ78)</f>
        <v>0</v>
      </c>
      <c r="CR73" s="168">
        <f>SUMIF('CF(M)'!$L$10:$EQ$10,CR$6,'CF(M)'!$L78:$EQ78)</f>
        <v>0</v>
      </c>
      <c r="CS73" s="168">
        <f>SUMIF('CF(M)'!$L$10:$EQ$10,CS$6,'CF(M)'!$L78:$EQ78)</f>
        <v>0</v>
      </c>
      <c r="CT73" s="168">
        <f>SUMIF('CF(M)'!$L$10:$EQ$10,CT$6,'CF(M)'!$L78:$EQ78)</f>
        <v>0</v>
      </c>
      <c r="CU73" s="168">
        <f>SUMIF('CF(M)'!$L$10:$EQ$10,CU$6,'CF(M)'!$L78:$EQ78)</f>
        <v>0</v>
      </c>
      <c r="CV73" s="168">
        <f>SUMIF('CF(M)'!$L$10:$EQ$10,CV$6,'CF(M)'!$L78:$EQ78)</f>
        <v>0</v>
      </c>
      <c r="CW73" s="168">
        <f>SUMIF('CF(M)'!$L$10:$EQ$10,CW$6,'CF(M)'!$L78:$EQ78)</f>
        <v>0</v>
      </c>
      <c r="CX73" s="168">
        <f>SUMIF('CF(M)'!$L$10:$EQ$10,CX$6,'CF(M)'!$L78:$EQ78)</f>
        <v>0</v>
      </c>
      <c r="CY73" s="168">
        <f>SUMIF('CF(M)'!$L$10:$EQ$10,CY$6,'CF(M)'!$L78:$EQ78)</f>
        <v>0</v>
      </c>
      <c r="CZ73" s="168">
        <f>SUMIF('CF(M)'!$L$10:$EQ$10,CZ$6,'CF(M)'!$L78:$EQ78)</f>
        <v>0</v>
      </c>
      <c r="DA73" s="168">
        <f>SUMIF('CF(M)'!$L$10:$EQ$10,DA$6,'CF(M)'!$L78:$EQ78)</f>
        <v>0</v>
      </c>
      <c r="DB73" s="168">
        <f>SUMIF('CF(M)'!$L$10:$EQ$10,DB$6,'CF(M)'!$L78:$EQ78)</f>
        <v>0</v>
      </c>
      <c r="DC73" s="168">
        <f>SUMIF('CF(M)'!$L$10:$EQ$10,DC$6,'CF(M)'!$L78:$EQ78)</f>
        <v>0</v>
      </c>
      <c r="DD73" s="168">
        <f>SUMIF('CF(M)'!$L$10:$EQ$10,DD$6,'CF(M)'!$L78:$EQ78)</f>
        <v>0</v>
      </c>
      <c r="DE73" s="168">
        <f>SUMIF('CF(M)'!$L$10:$EQ$10,DE$6,'CF(M)'!$L78:$EQ78)</f>
        <v>0</v>
      </c>
      <c r="DF73" s="168">
        <f>SUMIF('CF(M)'!$L$10:$EQ$10,DF$6,'CF(M)'!$L78:$EQ78)</f>
        <v>0</v>
      </c>
      <c r="DG73" s="168">
        <f>SUMIF('CF(M)'!$L$10:$EQ$10,DG$6,'CF(M)'!$L78:$EQ78)</f>
        <v>0</v>
      </c>
      <c r="DH73" s="168">
        <f>SUMIF('CF(M)'!$L$10:$EQ$10,DH$6,'CF(M)'!$L78:$EQ78)</f>
        <v>0</v>
      </c>
      <c r="DI73" s="168">
        <f>SUMIF('CF(M)'!$L$10:$EQ$10,DI$6,'CF(M)'!$L78:$EQ78)</f>
        <v>0</v>
      </c>
      <c r="DJ73" s="168">
        <f>SUMIF('CF(M)'!$L$10:$EQ$10,DJ$6,'CF(M)'!$L78:$EQ78)</f>
        <v>0</v>
      </c>
      <c r="DK73" s="168">
        <f>SUMIF('CF(M)'!$L$10:$EQ$10,DK$6,'CF(M)'!$L78:$EQ78)</f>
        <v>0</v>
      </c>
      <c r="DL73" s="168">
        <f>SUMIF('CF(M)'!$L$10:$EQ$10,DL$6,'CF(M)'!$L78:$EQ78)</f>
        <v>0</v>
      </c>
      <c r="DM73" s="168">
        <f>SUMIF('CF(M)'!$L$10:$EQ$10,DM$6,'CF(M)'!$L78:$EQ78)</f>
        <v>0</v>
      </c>
      <c r="DN73" s="168">
        <f>SUMIF('CF(M)'!$L$10:$EQ$10,DN$6,'CF(M)'!$L78:$EQ78)</f>
        <v>0</v>
      </c>
      <c r="DO73" s="168">
        <f>SUMIF('CF(M)'!$L$10:$EQ$10,DO$6,'CF(M)'!$L78:$EQ78)</f>
        <v>0</v>
      </c>
      <c r="DP73" s="168">
        <f>SUMIF('CF(M)'!$L$10:$EQ$10,DP$6,'CF(M)'!$L78:$EQ78)</f>
        <v>0</v>
      </c>
      <c r="DQ73" s="168">
        <f>SUMIF('CF(M)'!$L$10:$EQ$10,DQ$6,'CF(M)'!$L78:$EQ78)</f>
        <v>0</v>
      </c>
      <c r="DR73" s="168">
        <f>SUMIF('CF(M)'!$L$10:$EQ$10,DR$6,'CF(M)'!$L78:$EQ78)</f>
        <v>0</v>
      </c>
      <c r="DS73" s="168">
        <f>SUMIF('CF(M)'!$L$10:$EQ$10,DS$6,'CF(M)'!$L78:$EQ78)</f>
        <v>0</v>
      </c>
      <c r="DT73" s="168">
        <f>SUMIF('CF(M)'!$L$10:$EQ$10,DT$6,'CF(M)'!$L78:$EQ78)</f>
        <v>0</v>
      </c>
      <c r="DU73" s="168">
        <f>SUMIF('CF(M)'!$L$10:$EQ$10,DU$6,'CF(M)'!$L78:$EQ78)</f>
        <v>0</v>
      </c>
      <c r="DV73" s="168">
        <f>SUMIF('CF(M)'!$L$10:$EQ$10,DV$6,'CF(M)'!$L78:$EQ78)</f>
        <v>0</v>
      </c>
    </row>
    <row r="74" spans="2:126" ht="11.25" customHeight="1">
      <c r="B74" s="218"/>
      <c r="C74" s="163"/>
      <c r="D74" s="169" t="s">
        <v>209</v>
      </c>
      <c r="H74" s="146"/>
      <c r="I74" s="229"/>
      <c r="J74" s="171">
        <f>SUM(L74:DV74)</f>
        <v>-213000000</v>
      </c>
      <c r="K74" s="98"/>
      <c r="L74" s="171">
        <f>SUMIF('CF(M)'!$L$10:$EQ$10,L$6,'CF(M)'!$L79:$EQ79)</f>
        <v>0</v>
      </c>
      <c r="M74" s="171">
        <f>SUMIF('CF(M)'!$L$10:$EQ$10,M$6,'CF(M)'!$L79:$EQ79)</f>
        <v>0</v>
      </c>
      <c r="N74" s="171">
        <f>SUMIF('CF(M)'!$L$10:$EQ$10,N$6,'CF(M)'!$L79:$EQ79)</f>
        <v>0</v>
      </c>
      <c r="O74" s="171">
        <f>SUMIF('CF(M)'!$L$10:$EQ$10,O$6,'CF(M)'!$L79:$EQ79)</f>
        <v>0</v>
      </c>
      <c r="P74" s="171">
        <f>SUMIF('CF(M)'!$L$10:$EQ$10,P$6,'CF(M)'!$L79:$EQ79)</f>
        <v>0</v>
      </c>
      <c r="Q74" s="171">
        <f>SUMIF('CF(M)'!$L$10:$EQ$10,Q$6,'CF(M)'!$L79:$EQ79)</f>
        <v>0</v>
      </c>
      <c r="R74" s="171">
        <f>SUMIF('CF(M)'!$L$10:$EQ$10,R$6,'CF(M)'!$L79:$EQ79)</f>
        <v>0</v>
      </c>
      <c r="S74" s="171">
        <f>SUMIF('CF(M)'!$L$10:$EQ$10,S$6,'CF(M)'!$L79:$EQ79)</f>
        <v>0</v>
      </c>
      <c r="T74" s="171">
        <f>SUMIF('CF(M)'!$L$10:$EQ$10,T$6,'CF(M)'!$L79:$EQ79)</f>
        <v>0</v>
      </c>
      <c r="U74" s="171">
        <f>SUMIF('CF(M)'!$L$10:$EQ$10,U$6,'CF(M)'!$L79:$EQ79)</f>
        <v>0</v>
      </c>
      <c r="V74" s="171">
        <f>SUMIF('CF(M)'!$L$10:$EQ$10,V$6,'CF(M)'!$L79:$EQ79)</f>
        <v>0</v>
      </c>
      <c r="W74" s="171">
        <f>SUMIF('CF(M)'!$L$10:$EQ$10,W$6,'CF(M)'!$L79:$EQ79)</f>
        <v>0</v>
      </c>
      <c r="X74" s="171">
        <f>SUMIF('CF(M)'!$L$10:$EQ$10,X$6,'CF(M)'!$L79:$EQ79)</f>
        <v>0</v>
      </c>
      <c r="Y74" s="171">
        <f>SUMIF('CF(M)'!$L$10:$EQ$10,Y$6,'CF(M)'!$L79:$EQ79)</f>
        <v>0</v>
      </c>
      <c r="Z74" s="171">
        <f>SUMIF('CF(M)'!$L$10:$EQ$10,Z$6,'CF(M)'!$L79:$EQ79)</f>
        <v>0</v>
      </c>
      <c r="AA74" s="171">
        <f>SUMIF('CF(M)'!$L$10:$EQ$10,AA$6,'CF(M)'!$L79:$EQ79)</f>
        <v>0</v>
      </c>
      <c r="AB74" s="171">
        <f>SUMIF('CF(M)'!$L$10:$EQ$10,AB$6,'CF(M)'!$L79:$EQ79)</f>
        <v>0</v>
      </c>
      <c r="AC74" s="171">
        <f>SUMIF('CF(M)'!$L$10:$EQ$10,AC$6,'CF(M)'!$L79:$EQ79)</f>
        <v>0</v>
      </c>
      <c r="AD74" s="171">
        <f>SUMIF('CF(M)'!$L$10:$EQ$10,AD$6,'CF(M)'!$L79:$EQ79)</f>
        <v>0</v>
      </c>
      <c r="AE74" s="171">
        <f>SUMIF('CF(M)'!$L$10:$EQ$10,AE$6,'CF(M)'!$L79:$EQ79)</f>
        <v>0</v>
      </c>
      <c r="AF74" s="171">
        <f>SUMIF('CF(M)'!$L$10:$EQ$10,AF$6,'CF(M)'!$L79:$EQ79)</f>
        <v>-213000000</v>
      </c>
      <c r="AG74" s="171">
        <f>SUMIF('CF(M)'!$L$10:$EQ$10,AG$6,'CF(M)'!$L79:$EQ79)</f>
        <v>0</v>
      </c>
      <c r="AH74" s="171">
        <f>SUMIF('CF(M)'!$L$10:$EQ$10,AH$6,'CF(M)'!$L79:$EQ79)</f>
        <v>0</v>
      </c>
      <c r="AI74" s="171">
        <f>SUMIF('CF(M)'!$L$10:$EQ$10,AI$6,'CF(M)'!$L79:$EQ79)</f>
        <v>0</v>
      </c>
      <c r="AJ74" s="171">
        <f>SUMIF('CF(M)'!$L$10:$EQ$10,AJ$6,'CF(M)'!$L79:$EQ79)</f>
        <v>0</v>
      </c>
      <c r="AK74" s="171">
        <f>SUMIF('CF(M)'!$L$10:$EQ$10,AK$6,'CF(M)'!$L79:$EQ79)</f>
        <v>0</v>
      </c>
      <c r="AL74" s="171">
        <f>SUMIF('CF(M)'!$L$10:$EQ$10,AL$6,'CF(M)'!$L79:$EQ79)</f>
        <v>0</v>
      </c>
      <c r="AM74" s="171">
        <f>SUMIF('CF(M)'!$L$10:$EQ$10,AM$6,'CF(M)'!$L79:$EQ79)</f>
        <v>0</v>
      </c>
      <c r="AN74" s="171">
        <f>SUMIF('CF(M)'!$L$10:$EQ$10,AN$6,'CF(M)'!$L79:$EQ79)</f>
        <v>0</v>
      </c>
      <c r="AO74" s="171">
        <f>SUMIF('CF(M)'!$L$10:$EQ$10,AO$6,'CF(M)'!$L79:$EQ79)</f>
        <v>0</v>
      </c>
      <c r="AP74" s="171">
        <f>SUMIF('CF(M)'!$L$10:$EQ$10,AP$6,'CF(M)'!$L79:$EQ79)</f>
        <v>0</v>
      </c>
      <c r="AQ74" s="171">
        <f>SUMIF('CF(M)'!$L$10:$EQ$10,AQ$6,'CF(M)'!$L79:$EQ79)</f>
        <v>0</v>
      </c>
      <c r="AR74" s="171">
        <f>SUMIF('CF(M)'!$L$10:$EQ$10,AR$6,'CF(M)'!$L79:$EQ79)</f>
        <v>0</v>
      </c>
      <c r="AS74" s="171">
        <f>SUMIF('CF(M)'!$L$10:$EQ$10,AS$6,'CF(M)'!$L79:$EQ79)</f>
        <v>0</v>
      </c>
      <c r="AT74" s="171">
        <f>SUMIF('CF(M)'!$L$10:$EQ$10,AT$6,'CF(M)'!$L79:$EQ79)</f>
        <v>0</v>
      </c>
      <c r="AU74" s="171">
        <f>SUMIF('CF(M)'!$L$10:$EQ$10,AU$6,'CF(M)'!$L79:$EQ79)</f>
        <v>0</v>
      </c>
      <c r="AV74" s="171">
        <f>SUMIF('CF(M)'!$L$10:$EQ$10,AV$6,'CF(M)'!$L79:$EQ79)</f>
        <v>0</v>
      </c>
      <c r="AW74" s="171">
        <f>SUMIF('CF(M)'!$L$10:$EQ$10,AW$6,'CF(M)'!$L79:$EQ79)</f>
        <v>0</v>
      </c>
      <c r="AX74" s="171">
        <f>SUMIF('CF(M)'!$L$10:$EQ$10,AX$6,'CF(M)'!$L79:$EQ79)</f>
        <v>0</v>
      </c>
      <c r="AY74" s="171">
        <f>SUMIF('CF(M)'!$L$10:$EQ$10,AY$6,'CF(M)'!$L79:$EQ79)</f>
        <v>0</v>
      </c>
      <c r="AZ74" s="171">
        <f>SUMIF('CF(M)'!$L$10:$EQ$10,AZ$6,'CF(M)'!$L79:$EQ79)</f>
        <v>0</v>
      </c>
      <c r="BA74" s="171">
        <f>SUMIF('CF(M)'!$L$10:$EQ$10,BA$6,'CF(M)'!$L79:$EQ79)</f>
        <v>0</v>
      </c>
      <c r="BB74" s="171">
        <f>SUMIF('CF(M)'!$L$10:$EQ$10,BB$6,'CF(M)'!$L79:$EQ79)</f>
        <v>0</v>
      </c>
      <c r="BC74" s="171">
        <f>SUMIF('CF(M)'!$L$10:$EQ$10,BC$6,'CF(M)'!$L79:$EQ79)</f>
        <v>0</v>
      </c>
      <c r="BD74" s="171">
        <f>SUMIF('CF(M)'!$L$10:$EQ$10,BD$6,'CF(M)'!$L79:$EQ79)</f>
        <v>0</v>
      </c>
      <c r="BE74" s="171">
        <f>SUMIF('CF(M)'!$L$10:$EQ$10,BE$6,'CF(M)'!$L79:$EQ79)</f>
        <v>0</v>
      </c>
      <c r="BF74" s="171">
        <f>SUMIF('CF(M)'!$L$10:$EQ$10,BF$6,'CF(M)'!$L79:$EQ79)</f>
        <v>0</v>
      </c>
      <c r="BG74" s="171">
        <f>SUMIF('CF(M)'!$L$10:$EQ$10,BG$6,'CF(M)'!$L79:$EQ79)</f>
        <v>0</v>
      </c>
      <c r="BH74" s="171">
        <f>SUMIF('CF(M)'!$L$10:$EQ$10,BH$6,'CF(M)'!$L79:$EQ79)</f>
        <v>0</v>
      </c>
      <c r="BI74" s="171">
        <f>SUMIF('CF(M)'!$L$10:$EQ$10,BI$6,'CF(M)'!$L79:$EQ79)</f>
        <v>0</v>
      </c>
      <c r="BJ74" s="171">
        <f>SUMIF('CF(M)'!$L$10:$EQ$10,BJ$6,'CF(M)'!$L79:$EQ79)</f>
        <v>0</v>
      </c>
      <c r="BK74" s="171">
        <f>SUMIF('CF(M)'!$L$10:$EQ$10,BK$6,'CF(M)'!$L79:$EQ79)</f>
        <v>0</v>
      </c>
      <c r="BL74" s="171">
        <f>SUMIF('CF(M)'!$L$10:$EQ$10,BL$6,'CF(M)'!$L79:$EQ79)</f>
        <v>0</v>
      </c>
      <c r="BM74" s="171">
        <f>SUMIF('CF(M)'!$L$10:$EQ$10,BM$6,'CF(M)'!$L79:$EQ79)</f>
        <v>0</v>
      </c>
      <c r="BN74" s="171">
        <f>SUMIF('CF(M)'!$L$10:$EQ$10,BN$6,'CF(M)'!$L79:$EQ79)</f>
        <v>0</v>
      </c>
      <c r="BO74" s="171">
        <f>SUMIF('CF(M)'!$L$10:$EQ$10,BO$6,'CF(M)'!$L79:$EQ79)</f>
        <v>0</v>
      </c>
      <c r="BP74" s="171">
        <f>SUMIF('CF(M)'!$L$10:$EQ$10,BP$6,'CF(M)'!$L79:$EQ79)</f>
        <v>0</v>
      </c>
      <c r="BQ74" s="171">
        <f>SUMIF('CF(M)'!$L$10:$EQ$10,BQ$6,'CF(M)'!$L79:$EQ79)</f>
        <v>0</v>
      </c>
      <c r="BR74" s="171">
        <f>SUMIF('CF(M)'!$L$10:$EQ$10,BR$6,'CF(M)'!$L79:$EQ79)</f>
        <v>0</v>
      </c>
      <c r="BS74" s="171">
        <f>SUMIF('CF(M)'!$L$10:$EQ$10,BS$6,'CF(M)'!$L79:$EQ79)</f>
        <v>0</v>
      </c>
      <c r="BT74" s="171">
        <f>SUMIF('CF(M)'!$L$10:$EQ$10,BT$6,'CF(M)'!$L79:$EQ79)</f>
        <v>0</v>
      </c>
      <c r="BU74" s="171">
        <f>SUMIF('CF(M)'!$L$10:$EQ$10,BU$6,'CF(M)'!$L79:$EQ79)</f>
        <v>0</v>
      </c>
      <c r="BV74" s="171">
        <f>SUMIF('CF(M)'!$L$10:$EQ$10,BV$6,'CF(M)'!$L79:$EQ79)</f>
        <v>0</v>
      </c>
      <c r="BW74" s="171">
        <f>SUMIF('CF(M)'!$L$10:$EQ$10,BW$6,'CF(M)'!$L79:$EQ79)</f>
        <v>0</v>
      </c>
      <c r="BX74" s="171">
        <f>SUMIF('CF(M)'!$L$10:$EQ$10,BX$6,'CF(M)'!$L79:$EQ79)</f>
        <v>0</v>
      </c>
      <c r="BY74" s="171">
        <f>SUMIF('CF(M)'!$L$10:$EQ$10,BY$6,'CF(M)'!$L79:$EQ79)</f>
        <v>0</v>
      </c>
      <c r="BZ74" s="171">
        <f>SUMIF('CF(M)'!$L$10:$EQ$10,BZ$6,'CF(M)'!$L79:$EQ79)</f>
        <v>0</v>
      </c>
      <c r="CA74" s="171">
        <f>SUMIF('CF(M)'!$L$10:$EQ$10,CA$6,'CF(M)'!$L79:$EQ79)</f>
        <v>0</v>
      </c>
      <c r="CB74" s="171">
        <f>SUMIF('CF(M)'!$L$10:$EQ$10,CB$6,'CF(M)'!$L79:$EQ79)</f>
        <v>0</v>
      </c>
      <c r="CC74" s="171">
        <f>SUMIF('CF(M)'!$L$10:$EQ$10,CC$6,'CF(M)'!$L79:$EQ79)</f>
        <v>0</v>
      </c>
      <c r="CD74" s="171">
        <f>SUMIF('CF(M)'!$L$10:$EQ$10,CD$6,'CF(M)'!$L79:$EQ79)</f>
        <v>0</v>
      </c>
      <c r="CE74" s="171">
        <f>SUMIF('CF(M)'!$L$10:$EQ$10,CE$6,'CF(M)'!$L79:$EQ79)</f>
        <v>0</v>
      </c>
      <c r="CF74" s="171">
        <f>SUMIF('CF(M)'!$L$10:$EQ$10,CF$6,'CF(M)'!$L79:$EQ79)</f>
        <v>0</v>
      </c>
      <c r="CG74" s="171">
        <f>SUMIF('CF(M)'!$L$10:$EQ$10,CG$6,'CF(M)'!$L79:$EQ79)</f>
        <v>0</v>
      </c>
      <c r="CH74" s="171">
        <f>SUMIF('CF(M)'!$L$10:$EQ$10,CH$6,'CF(M)'!$L79:$EQ79)</f>
        <v>0</v>
      </c>
      <c r="CI74" s="171">
        <f>SUMIF('CF(M)'!$L$10:$EQ$10,CI$6,'CF(M)'!$L79:$EQ79)</f>
        <v>0</v>
      </c>
      <c r="CJ74" s="171">
        <f>SUMIF('CF(M)'!$L$10:$EQ$10,CJ$6,'CF(M)'!$L79:$EQ79)</f>
        <v>0</v>
      </c>
      <c r="CK74" s="171">
        <f>SUMIF('CF(M)'!$L$10:$EQ$10,CK$6,'CF(M)'!$L79:$EQ79)</f>
        <v>0</v>
      </c>
      <c r="CL74" s="171">
        <f>SUMIF('CF(M)'!$L$10:$EQ$10,CL$6,'CF(M)'!$L79:$EQ79)</f>
        <v>0</v>
      </c>
      <c r="CM74" s="171">
        <f>SUMIF('CF(M)'!$L$10:$EQ$10,CM$6,'CF(M)'!$L79:$EQ79)</f>
        <v>0</v>
      </c>
      <c r="CN74" s="171">
        <f>SUMIF('CF(M)'!$L$10:$EQ$10,CN$6,'CF(M)'!$L79:$EQ79)</f>
        <v>0</v>
      </c>
      <c r="CO74" s="171">
        <f>SUMIF('CF(M)'!$L$10:$EQ$10,CO$6,'CF(M)'!$L79:$EQ79)</f>
        <v>0</v>
      </c>
      <c r="CP74" s="171">
        <f>SUMIF('CF(M)'!$L$10:$EQ$10,CP$6,'CF(M)'!$L79:$EQ79)</f>
        <v>0</v>
      </c>
      <c r="CQ74" s="171">
        <f>SUMIF('CF(M)'!$L$10:$EQ$10,CQ$6,'CF(M)'!$L79:$EQ79)</f>
        <v>0</v>
      </c>
      <c r="CR74" s="171">
        <f>SUMIF('CF(M)'!$L$10:$EQ$10,CR$6,'CF(M)'!$L79:$EQ79)</f>
        <v>0</v>
      </c>
      <c r="CS74" s="171">
        <f>SUMIF('CF(M)'!$L$10:$EQ$10,CS$6,'CF(M)'!$L79:$EQ79)</f>
        <v>0</v>
      </c>
      <c r="CT74" s="171">
        <f>SUMIF('CF(M)'!$L$10:$EQ$10,CT$6,'CF(M)'!$L79:$EQ79)</f>
        <v>0</v>
      </c>
      <c r="CU74" s="171">
        <f>SUMIF('CF(M)'!$L$10:$EQ$10,CU$6,'CF(M)'!$L79:$EQ79)</f>
        <v>0</v>
      </c>
      <c r="CV74" s="171">
        <f>SUMIF('CF(M)'!$L$10:$EQ$10,CV$6,'CF(M)'!$L79:$EQ79)</f>
        <v>0</v>
      </c>
      <c r="CW74" s="171">
        <f>SUMIF('CF(M)'!$L$10:$EQ$10,CW$6,'CF(M)'!$L79:$EQ79)</f>
        <v>0</v>
      </c>
      <c r="CX74" s="171">
        <f>SUMIF('CF(M)'!$L$10:$EQ$10,CX$6,'CF(M)'!$L79:$EQ79)</f>
        <v>0</v>
      </c>
      <c r="CY74" s="171">
        <f>SUMIF('CF(M)'!$L$10:$EQ$10,CY$6,'CF(M)'!$L79:$EQ79)</f>
        <v>0</v>
      </c>
      <c r="CZ74" s="171">
        <f>SUMIF('CF(M)'!$L$10:$EQ$10,CZ$6,'CF(M)'!$L79:$EQ79)</f>
        <v>0</v>
      </c>
      <c r="DA74" s="171">
        <f>SUMIF('CF(M)'!$L$10:$EQ$10,DA$6,'CF(M)'!$L79:$EQ79)</f>
        <v>0</v>
      </c>
      <c r="DB74" s="171">
        <f>SUMIF('CF(M)'!$L$10:$EQ$10,DB$6,'CF(M)'!$L79:$EQ79)</f>
        <v>0</v>
      </c>
      <c r="DC74" s="171">
        <f>SUMIF('CF(M)'!$L$10:$EQ$10,DC$6,'CF(M)'!$L79:$EQ79)</f>
        <v>0</v>
      </c>
      <c r="DD74" s="171">
        <f>SUMIF('CF(M)'!$L$10:$EQ$10,DD$6,'CF(M)'!$L79:$EQ79)</f>
        <v>0</v>
      </c>
      <c r="DE74" s="171">
        <f>SUMIF('CF(M)'!$L$10:$EQ$10,DE$6,'CF(M)'!$L79:$EQ79)</f>
        <v>0</v>
      </c>
      <c r="DF74" s="171">
        <f>SUMIF('CF(M)'!$L$10:$EQ$10,DF$6,'CF(M)'!$L79:$EQ79)</f>
        <v>0</v>
      </c>
      <c r="DG74" s="171">
        <f>SUMIF('CF(M)'!$L$10:$EQ$10,DG$6,'CF(M)'!$L79:$EQ79)</f>
        <v>0</v>
      </c>
      <c r="DH74" s="171">
        <f>SUMIF('CF(M)'!$L$10:$EQ$10,DH$6,'CF(M)'!$L79:$EQ79)</f>
        <v>0</v>
      </c>
      <c r="DI74" s="171">
        <f>SUMIF('CF(M)'!$L$10:$EQ$10,DI$6,'CF(M)'!$L79:$EQ79)</f>
        <v>0</v>
      </c>
      <c r="DJ74" s="171">
        <f>SUMIF('CF(M)'!$L$10:$EQ$10,DJ$6,'CF(M)'!$L79:$EQ79)</f>
        <v>0</v>
      </c>
      <c r="DK74" s="171">
        <f>SUMIF('CF(M)'!$L$10:$EQ$10,DK$6,'CF(M)'!$L79:$EQ79)</f>
        <v>0</v>
      </c>
      <c r="DL74" s="171">
        <f>SUMIF('CF(M)'!$L$10:$EQ$10,DL$6,'CF(M)'!$L79:$EQ79)</f>
        <v>0</v>
      </c>
      <c r="DM74" s="171">
        <f>SUMIF('CF(M)'!$L$10:$EQ$10,DM$6,'CF(M)'!$L79:$EQ79)</f>
        <v>0</v>
      </c>
      <c r="DN74" s="171">
        <f>SUMIF('CF(M)'!$L$10:$EQ$10,DN$6,'CF(M)'!$L79:$EQ79)</f>
        <v>0</v>
      </c>
      <c r="DO74" s="171">
        <f>SUMIF('CF(M)'!$L$10:$EQ$10,DO$6,'CF(M)'!$L79:$EQ79)</f>
        <v>0</v>
      </c>
      <c r="DP74" s="171">
        <f>SUMIF('CF(M)'!$L$10:$EQ$10,DP$6,'CF(M)'!$L79:$EQ79)</f>
        <v>0</v>
      </c>
      <c r="DQ74" s="171">
        <f>SUMIF('CF(M)'!$L$10:$EQ$10,DQ$6,'CF(M)'!$L79:$EQ79)</f>
        <v>0</v>
      </c>
      <c r="DR74" s="171">
        <f>SUMIF('CF(M)'!$L$10:$EQ$10,DR$6,'CF(M)'!$L79:$EQ79)</f>
        <v>0</v>
      </c>
      <c r="DS74" s="171">
        <f>SUMIF('CF(M)'!$L$10:$EQ$10,DS$6,'CF(M)'!$L79:$EQ79)</f>
        <v>0</v>
      </c>
      <c r="DT74" s="171">
        <f>SUMIF('CF(M)'!$L$10:$EQ$10,DT$6,'CF(M)'!$L79:$EQ79)</f>
        <v>0</v>
      </c>
      <c r="DU74" s="171">
        <f>SUMIF('CF(M)'!$L$10:$EQ$10,DU$6,'CF(M)'!$L79:$EQ79)</f>
        <v>0</v>
      </c>
      <c r="DV74" s="171">
        <f>SUMIF('CF(M)'!$L$10:$EQ$10,DV$6,'CF(M)'!$L79:$EQ79)</f>
        <v>0</v>
      </c>
    </row>
    <row r="75" spans="2:126" ht="11.25" customHeight="1">
      <c r="B75" s="218"/>
      <c r="C75" s="158" t="str">
        <f>'CF(M)'!C80</f>
        <v>중순위대출</v>
      </c>
      <c r="D75" s="159"/>
      <c r="E75" s="159"/>
      <c r="F75" s="159"/>
      <c r="G75" s="159"/>
      <c r="H75" s="160"/>
      <c r="I75" s="219"/>
      <c r="J75" s="220">
        <f>SUM(J76:J77)</f>
        <v>0</v>
      </c>
      <c r="K75" s="98"/>
      <c r="L75" s="162">
        <f>SUM(L76:L77)</f>
        <v>38000000</v>
      </c>
      <c r="M75" s="162">
        <f t="shared" ref="M75:BX75" si="34">SUM(M76:M77)</f>
        <v>0</v>
      </c>
      <c r="N75" s="162">
        <f t="shared" si="34"/>
        <v>0</v>
      </c>
      <c r="O75" s="162">
        <f t="shared" si="34"/>
        <v>0</v>
      </c>
      <c r="P75" s="162">
        <f t="shared" si="34"/>
        <v>-38000000</v>
      </c>
      <c r="Q75" s="162">
        <f t="shared" si="34"/>
        <v>0</v>
      </c>
      <c r="R75" s="162">
        <f t="shared" si="34"/>
        <v>0</v>
      </c>
      <c r="S75" s="162">
        <f t="shared" si="34"/>
        <v>0</v>
      </c>
      <c r="T75" s="162">
        <f t="shared" si="34"/>
        <v>0</v>
      </c>
      <c r="U75" s="162">
        <f t="shared" si="34"/>
        <v>0</v>
      </c>
      <c r="V75" s="162">
        <f t="shared" si="34"/>
        <v>0</v>
      </c>
      <c r="W75" s="162">
        <f t="shared" si="34"/>
        <v>0</v>
      </c>
      <c r="X75" s="162">
        <f t="shared" si="34"/>
        <v>0</v>
      </c>
      <c r="Y75" s="162">
        <f t="shared" si="34"/>
        <v>0</v>
      </c>
      <c r="Z75" s="162">
        <f t="shared" si="34"/>
        <v>0</v>
      </c>
      <c r="AA75" s="162">
        <f t="shared" si="34"/>
        <v>0</v>
      </c>
      <c r="AB75" s="162">
        <f t="shared" si="34"/>
        <v>0</v>
      </c>
      <c r="AC75" s="162">
        <f t="shared" si="34"/>
        <v>0</v>
      </c>
      <c r="AD75" s="162">
        <f t="shared" si="34"/>
        <v>0</v>
      </c>
      <c r="AE75" s="162">
        <f t="shared" si="34"/>
        <v>0</v>
      </c>
      <c r="AF75" s="162">
        <f t="shared" si="34"/>
        <v>0</v>
      </c>
      <c r="AG75" s="162">
        <f t="shared" si="34"/>
        <v>0</v>
      </c>
      <c r="AH75" s="162">
        <f t="shared" si="34"/>
        <v>0</v>
      </c>
      <c r="AI75" s="162">
        <f t="shared" si="34"/>
        <v>0</v>
      </c>
      <c r="AJ75" s="162">
        <f t="shared" si="34"/>
        <v>0</v>
      </c>
      <c r="AK75" s="162">
        <f t="shared" si="34"/>
        <v>0</v>
      </c>
      <c r="AL75" s="162">
        <f t="shared" si="34"/>
        <v>0</v>
      </c>
      <c r="AM75" s="162">
        <f t="shared" si="34"/>
        <v>0</v>
      </c>
      <c r="AN75" s="162">
        <f t="shared" si="34"/>
        <v>0</v>
      </c>
      <c r="AO75" s="162">
        <f t="shared" si="34"/>
        <v>0</v>
      </c>
      <c r="AP75" s="162">
        <f t="shared" si="34"/>
        <v>0</v>
      </c>
      <c r="AQ75" s="162">
        <f t="shared" si="34"/>
        <v>0</v>
      </c>
      <c r="AR75" s="162">
        <f t="shared" si="34"/>
        <v>0</v>
      </c>
      <c r="AS75" s="162">
        <f t="shared" si="34"/>
        <v>0</v>
      </c>
      <c r="AT75" s="162">
        <f t="shared" si="34"/>
        <v>0</v>
      </c>
      <c r="AU75" s="162">
        <f t="shared" si="34"/>
        <v>0</v>
      </c>
      <c r="AV75" s="162">
        <f t="shared" si="34"/>
        <v>0</v>
      </c>
      <c r="AW75" s="162">
        <f t="shared" si="34"/>
        <v>0</v>
      </c>
      <c r="AX75" s="162">
        <f t="shared" si="34"/>
        <v>0</v>
      </c>
      <c r="AY75" s="162">
        <f t="shared" si="34"/>
        <v>0</v>
      </c>
      <c r="AZ75" s="162">
        <f t="shared" si="34"/>
        <v>0</v>
      </c>
      <c r="BA75" s="162">
        <f t="shared" si="34"/>
        <v>0</v>
      </c>
      <c r="BB75" s="162">
        <f t="shared" si="34"/>
        <v>0</v>
      </c>
      <c r="BC75" s="162">
        <f t="shared" si="34"/>
        <v>0</v>
      </c>
      <c r="BD75" s="162">
        <f t="shared" si="34"/>
        <v>0</v>
      </c>
      <c r="BE75" s="162">
        <f t="shared" si="34"/>
        <v>0</v>
      </c>
      <c r="BF75" s="162">
        <f t="shared" si="34"/>
        <v>0</v>
      </c>
      <c r="BG75" s="162">
        <f t="shared" si="34"/>
        <v>0</v>
      </c>
      <c r="BH75" s="162">
        <f t="shared" si="34"/>
        <v>0</v>
      </c>
      <c r="BI75" s="162">
        <f t="shared" si="34"/>
        <v>0</v>
      </c>
      <c r="BJ75" s="162">
        <f t="shared" si="34"/>
        <v>0</v>
      </c>
      <c r="BK75" s="162">
        <f t="shared" si="34"/>
        <v>0</v>
      </c>
      <c r="BL75" s="162">
        <f t="shared" si="34"/>
        <v>0</v>
      </c>
      <c r="BM75" s="162">
        <f t="shared" si="34"/>
        <v>0</v>
      </c>
      <c r="BN75" s="162">
        <f t="shared" si="34"/>
        <v>0</v>
      </c>
      <c r="BO75" s="162">
        <f t="shared" si="34"/>
        <v>0</v>
      </c>
      <c r="BP75" s="162">
        <f t="shared" si="34"/>
        <v>0</v>
      </c>
      <c r="BQ75" s="162">
        <f t="shared" si="34"/>
        <v>0</v>
      </c>
      <c r="BR75" s="162">
        <f t="shared" si="34"/>
        <v>0</v>
      </c>
      <c r="BS75" s="162">
        <f t="shared" si="34"/>
        <v>0</v>
      </c>
      <c r="BT75" s="162">
        <f t="shared" si="34"/>
        <v>0</v>
      </c>
      <c r="BU75" s="162">
        <f t="shared" si="34"/>
        <v>0</v>
      </c>
      <c r="BV75" s="162">
        <f t="shared" si="34"/>
        <v>0</v>
      </c>
      <c r="BW75" s="162">
        <f t="shared" si="34"/>
        <v>0</v>
      </c>
      <c r="BX75" s="162">
        <f t="shared" si="34"/>
        <v>0</v>
      </c>
      <c r="BY75" s="162">
        <f t="shared" ref="BY75:DV75" si="35">SUM(BY76:BY77)</f>
        <v>0</v>
      </c>
      <c r="BZ75" s="162">
        <f t="shared" si="35"/>
        <v>0</v>
      </c>
      <c r="CA75" s="162">
        <f t="shared" si="35"/>
        <v>0</v>
      </c>
      <c r="CB75" s="162">
        <f t="shared" si="35"/>
        <v>0</v>
      </c>
      <c r="CC75" s="162">
        <f t="shared" si="35"/>
        <v>0</v>
      </c>
      <c r="CD75" s="162">
        <f t="shared" si="35"/>
        <v>0</v>
      </c>
      <c r="CE75" s="162">
        <f t="shared" si="35"/>
        <v>0</v>
      </c>
      <c r="CF75" s="162">
        <f t="shared" si="35"/>
        <v>0</v>
      </c>
      <c r="CG75" s="162">
        <f t="shared" si="35"/>
        <v>0</v>
      </c>
      <c r="CH75" s="162">
        <f t="shared" si="35"/>
        <v>0</v>
      </c>
      <c r="CI75" s="162">
        <f t="shared" si="35"/>
        <v>0</v>
      </c>
      <c r="CJ75" s="162">
        <f t="shared" si="35"/>
        <v>0</v>
      </c>
      <c r="CK75" s="162">
        <f t="shared" si="35"/>
        <v>0</v>
      </c>
      <c r="CL75" s="162">
        <f t="shared" si="35"/>
        <v>0</v>
      </c>
      <c r="CM75" s="162">
        <f t="shared" si="35"/>
        <v>0</v>
      </c>
      <c r="CN75" s="162">
        <f t="shared" si="35"/>
        <v>0</v>
      </c>
      <c r="CO75" s="162">
        <f t="shared" si="35"/>
        <v>0</v>
      </c>
      <c r="CP75" s="162">
        <f t="shared" si="35"/>
        <v>0</v>
      </c>
      <c r="CQ75" s="162">
        <f t="shared" si="35"/>
        <v>0</v>
      </c>
      <c r="CR75" s="162">
        <f t="shared" si="35"/>
        <v>0</v>
      </c>
      <c r="CS75" s="162">
        <f t="shared" si="35"/>
        <v>0</v>
      </c>
      <c r="CT75" s="162">
        <f t="shared" si="35"/>
        <v>0</v>
      </c>
      <c r="CU75" s="162">
        <f t="shared" si="35"/>
        <v>0</v>
      </c>
      <c r="CV75" s="162">
        <f t="shared" si="35"/>
        <v>0</v>
      </c>
      <c r="CW75" s="162">
        <f t="shared" si="35"/>
        <v>0</v>
      </c>
      <c r="CX75" s="162">
        <f t="shared" si="35"/>
        <v>0</v>
      </c>
      <c r="CY75" s="162">
        <f t="shared" si="35"/>
        <v>0</v>
      </c>
      <c r="CZ75" s="162">
        <f t="shared" si="35"/>
        <v>0</v>
      </c>
      <c r="DA75" s="162">
        <f t="shared" si="35"/>
        <v>0</v>
      </c>
      <c r="DB75" s="162">
        <f t="shared" si="35"/>
        <v>0</v>
      </c>
      <c r="DC75" s="162">
        <f t="shared" si="35"/>
        <v>0</v>
      </c>
      <c r="DD75" s="162">
        <f t="shared" si="35"/>
        <v>0</v>
      </c>
      <c r="DE75" s="162">
        <f t="shared" si="35"/>
        <v>0</v>
      </c>
      <c r="DF75" s="162">
        <f t="shared" si="35"/>
        <v>0</v>
      </c>
      <c r="DG75" s="162">
        <f t="shared" si="35"/>
        <v>0</v>
      </c>
      <c r="DH75" s="162">
        <f t="shared" si="35"/>
        <v>0</v>
      </c>
      <c r="DI75" s="162">
        <f t="shared" si="35"/>
        <v>0</v>
      </c>
      <c r="DJ75" s="162">
        <f t="shared" si="35"/>
        <v>0</v>
      </c>
      <c r="DK75" s="162">
        <f t="shared" si="35"/>
        <v>0</v>
      </c>
      <c r="DL75" s="162">
        <f t="shared" si="35"/>
        <v>0</v>
      </c>
      <c r="DM75" s="162">
        <f t="shared" si="35"/>
        <v>0</v>
      </c>
      <c r="DN75" s="162">
        <f t="shared" si="35"/>
        <v>0</v>
      </c>
      <c r="DO75" s="162">
        <f t="shared" si="35"/>
        <v>0</v>
      </c>
      <c r="DP75" s="162">
        <f t="shared" si="35"/>
        <v>0</v>
      </c>
      <c r="DQ75" s="162">
        <f t="shared" si="35"/>
        <v>0</v>
      </c>
      <c r="DR75" s="162">
        <f t="shared" si="35"/>
        <v>0</v>
      </c>
      <c r="DS75" s="162">
        <f t="shared" si="35"/>
        <v>0</v>
      </c>
      <c r="DT75" s="162">
        <f t="shared" si="35"/>
        <v>0</v>
      </c>
      <c r="DU75" s="162">
        <f t="shared" si="35"/>
        <v>0</v>
      </c>
      <c r="DV75" s="162">
        <f t="shared" si="35"/>
        <v>0</v>
      </c>
    </row>
    <row r="76" spans="2:126" ht="11.25" customHeight="1">
      <c r="B76" s="218"/>
      <c r="C76" s="163"/>
      <c r="D76" s="164" t="s">
        <v>208</v>
      </c>
      <c r="E76" s="165"/>
      <c r="F76" s="165"/>
      <c r="G76" s="165"/>
      <c r="H76" s="166"/>
      <c r="I76" s="228"/>
      <c r="J76" s="168">
        <f>SUM(L76:DV76)</f>
        <v>38000000</v>
      </c>
      <c r="K76" s="98"/>
      <c r="L76" s="168">
        <f>SUMIF('CF(M)'!$L$10:$EQ$10,L$6,'CF(M)'!$L81:$EQ81)</f>
        <v>38000000</v>
      </c>
      <c r="M76" s="168">
        <f>SUMIF('CF(M)'!$L$10:$EQ$10,M$6,'CF(M)'!$L81:$EQ81)</f>
        <v>0</v>
      </c>
      <c r="N76" s="168">
        <f>SUMIF('CF(M)'!$L$10:$EQ$10,N$6,'CF(M)'!$L81:$EQ81)</f>
        <v>0</v>
      </c>
      <c r="O76" s="168">
        <f>SUMIF('CF(M)'!$L$10:$EQ$10,O$6,'CF(M)'!$L81:$EQ81)</f>
        <v>0</v>
      </c>
      <c r="P76" s="168">
        <f>SUMIF('CF(M)'!$L$10:$EQ$10,P$6,'CF(M)'!$L81:$EQ81)</f>
        <v>0</v>
      </c>
      <c r="Q76" s="168">
        <f>SUMIF('CF(M)'!$L$10:$EQ$10,Q$6,'CF(M)'!$L81:$EQ81)</f>
        <v>0</v>
      </c>
      <c r="R76" s="168">
        <f>SUMIF('CF(M)'!$L$10:$EQ$10,R$6,'CF(M)'!$L81:$EQ81)</f>
        <v>0</v>
      </c>
      <c r="S76" s="168">
        <f>SUMIF('CF(M)'!$L$10:$EQ$10,S$6,'CF(M)'!$L81:$EQ81)</f>
        <v>0</v>
      </c>
      <c r="T76" s="168">
        <f>SUMIF('CF(M)'!$L$10:$EQ$10,T$6,'CF(M)'!$L81:$EQ81)</f>
        <v>0</v>
      </c>
      <c r="U76" s="168">
        <f>SUMIF('CF(M)'!$L$10:$EQ$10,U$6,'CF(M)'!$L81:$EQ81)</f>
        <v>0</v>
      </c>
      <c r="V76" s="168">
        <f>SUMIF('CF(M)'!$L$10:$EQ$10,V$6,'CF(M)'!$L81:$EQ81)</f>
        <v>0</v>
      </c>
      <c r="W76" s="168">
        <f>SUMIF('CF(M)'!$L$10:$EQ$10,W$6,'CF(M)'!$L81:$EQ81)</f>
        <v>0</v>
      </c>
      <c r="X76" s="168">
        <f>SUMIF('CF(M)'!$L$10:$EQ$10,X$6,'CF(M)'!$L81:$EQ81)</f>
        <v>0</v>
      </c>
      <c r="Y76" s="168">
        <f>SUMIF('CF(M)'!$L$10:$EQ$10,Y$6,'CF(M)'!$L81:$EQ81)</f>
        <v>0</v>
      </c>
      <c r="Z76" s="168">
        <f>SUMIF('CF(M)'!$L$10:$EQ$10,Z$6,'CF(M)'!$L81:$EQ81)</f>
        <v>0</v>
      </c>
      <c r="AA76" s="168">
        <f>SUMIF('CF(M)'!$L$10:$EQ$10,AA$6,'CF(M)'!$L81:$EQ81)</f>
        <v>0</v>
      </c>
      <c r="AB76" s="168">
        <f>SUMIF('CF(M)'!$L$10:$EQ$10,AB$6,'CF(M)'!$L81:$EQ81)</f>
        <v>0</v>
      </c>
      <c r="AC76" s="168">
        <f>SUMIF('CF(M)'!$L$10:$EQ$10,AC$6,'CF(M)'!$L81:$EQ81)</f>
        <v>0</v>
      </c>
      <c r="AD76" s="168">
        <f>SUMIF('CF(M)'!$L$10:$EQ$10,AD$6,'CF(M)'!$L81:$EQ81)</f>
        <v>0</v>
      </c>
      <c r="AE76" s="168">
        <f>SUMIF('CF(M)'!$L$10:$EQ$10,AE$6,'CF(M)'!$L81:$EQ81)</f>
        <v>0</v>
      </c>
      <c r="AF76" s="168">
        <f>SUMIF('CF(M)'!$L$10:$EQ$10,AF$6,'CF(M)'!$L81:$EQ81)</f>
        <v>0</v>
      </c>
      <c r="AG76" s="168">
        <f>SUMIF('CF(M)'!$L$10:$EQ$10,AG$6,'CF(M)'!$L81:$EQ81)</f>
        <v>0</v>
      </c>
      <c r="AH76" s="168">
        <f>SUMIF('CF(M)'!$L$10:$EQ$10,AH$6,'CF(M)'!$L81:$EQ81)</f>
        <v>0</v>
      </c>
      <c r="AI76" s="168">
        <f>SUMIF('CF(M)'!$L$10:$EQ$10,AI$6,'CF(M)'!$L81:$EQ81)</f>
        <v>0</v>
      </c>
      <c r="AJ76" s="168">
        <f>SUMIF('CF(M)'!$L$10:$EQ$10,AJ$6,'CF(M)'!$L81:$EQ81)</f>
        <v>0</v>
      </c>
      <c r="AK76" s="168">
        <f>SUMIF('CF(M)'!$L$10:$EQ$10,AK$6,'CF(M)'!$L81:$EQ81)</f>
        <v>0</v>
      </c>
      <c r="AL76" s="168">
        <f>SUMIF('CF(M)'!$L$10:$EQ$10,AL$6,'CF(M)'!$L81:$EQ81)</f>
        <v>0</v>
      </c>
      <c r="AM76" s="168">
        <f>SUMIF('CF(M)'!$L$10:$EQ$10,AM$6,'CF(M)'!$L81:$EQ81)</f>
        <v>0</v>
      </c>
      <c r="AN76" s="168">
        <f>SUMIF('CF(M)'!$L$10:$EQ$10,AN$6,'CF(M)'!$L81:$EQ81)</f>
        <v>0</v>
      </c>
      <c r="AO76" s="168">
        <f>SUMIF('CF(M)'!$L$10:$EQ$10,AO$6,'CF(M)'!$L81:$EQ81)</f>
        <v>0</v>
      </c>
      <c r="AP76" s="168">
        <f>SUMIF('CF(M)'!$L$10:$EQ$10,AP$6,'CF(M)'!$L81:$EQ81)</f>
        <v>0</v>
      </c>
      <c r="AQ76" s="168">
        <f>SUMIF('CF(M)'!$L$10:$EQ$10,AQ$6,'CF(M)'!$L81:$EQ81)</f>
        <v>0</v>
      </c>
      <c r="AR76" s="168">
        <f>SUMIF('CF(M)'!$L$10:$EQ$10,AR$6,'CF(M)'!$L81:$EQ81)</f>
        <v>0</v>
      </c>
      <c r="AS76" s="168">
        <f>SUMIF('CF(M)'!$L$10:$EQ$10,AS$6,'CF(M)'!$L81:$EQ81)</f>
        <v>0</v>
      </c>
      <c r="AT76" s="168">
        <f>SUMIF('CF(M)'!$L$10:$EQ$10,AT$6,'CF(M)'!$L81:$EQ81)</f>
        <v>0</v>
      </c>
      <c r="AU76" s="168">
        <f>SUMIF('CF(M)'!$L$10:$EQ$10,AU$6,'CF(M)'!$L81:$EQ81)</f>
        <v>0</v>
      </c>
      <c r="AV76" s="168">
        <f>SUMIF('CF(M)'!$L$10:$EQ$10,AV$6,'CF(M)'!$L81:$EQ81)</f>
        <v>0</v>
      </c>
      <c r="AW76" s="168">
        <f>SUMIF('CF(M)'!$L$10:$EQ$10,AW$6,'CF(M)'!$L81:$EQ81)</f>
        <v>0</v>
      </c>
      <c r="AX76" s="168">
        <f>SUMIF('CF(M)'!$L$10:$EQ$10,AX$6,'CF(M)'!$L81:$EQ81)</f>
        <v>0</v>
      </c>
      <c r="AY76" s="168">
        <f>SUMIF('CF(M)'!$L$10:$EQ$10,AY$6,'CF(M)'!$L81:$EQ81)</f>
        <v>0</v>
      </c>
      <c r="AZ76" s="168">
        <f>SUMIF('CF(M)'!$L$10:$EQ$10,AZ$6,'CF(M)'!$L81:$EQ81)</f>
        <v>0</v>
      </c>
      <c r="BA76" s="168">
        <f>SUMIF('CF(M)'!$L$10:$EQ$10,BA$6,'CF(M)'!$L81:$EQ81)</f>
        <v>0</v>
      </c>
      <c r="BB76" s="168">
        <f>SUMIF('CF(M)'!$L$10:$EQ$10,BB$6,'CF(M)'!$L81:$EQ81)</f>
        <v>0</v>
      </c>
      <c r="BC76" s="168">
        <f>SUMIF('CF(M)'!$L$10:$EQ$10,BC$6,'CF(M)'!$L81:$EQ81)</f>
        <v>0</v>
      </c>
      <c r="BD76" s="168">
        <f>SUMIF('CF(M)'!$L$10:$EQ$10,BD$6,'CF(M)'!$L81:$EQ81)</f>
        <v>0</v>
      </c>
      <c r="BE76" s="168">
        <f>SUMIF('CF(M)'!$L$10:$EQ$10,BE$6,'CF(M)'!$L81:$EQ81)</f>
        <v>0</v>
      </c>
      <c r="BF76" s="168">
        <f>SUMIF('CF(M)'!$L$10:$EQ$10,BF$6,'CF(M)'!$L81:$EQ81)</f>
        <v>0</v>
      </c>
      <c r="BG76" s="168">
        <f>SUMIF('CF(M)'!$L$10:$EQ$10,BG$6,'CF(M)'!$L81:$EQ81)</f>
        <v>0</v>
      </c>
      <c r="BH76" s="168">
        <f>SUMIF('CF(M)'!$L$10:$EQ$10,BH$6,'CF(M)'!$L81:$EQ81)</f>
        <v>0</v>
      </c>
      <c r="BI76" s="168">
        <f>SUMIF('CF(M)'!$L$10:$EQ$10,BI$6,'CF(M)'!$L81:$EQ81)</f>
        <v>0</v>
      </c>
      <c r="BJ76" s="168">
        <f>SUMIF('CF(M)'!$L$10:$EQ$10,BJ$6,'CF(M)'!$L81:$EQ81)</f>
        <v>0</v>
      </c>
      <c r="BK76" s="168">
        <f>SUMIF('CF(M)'!$L$10:$EQ$10,BK$6,'CF(M)'!$L81:$EQ81)</f>
        <v>0</v>
      </c>
      <c r="BL76" s="168">
        <f>SUMIF('CF(M)'!$L$10:$EQ$10,BL$6,'CF(M)'!$L81:$EQ81)</f>
        <v>0</v>
      </c>
      <c r="BM76" s="168">
        <f>SUMIF('CF(M)'!$L$10:$EQ$10,BM$6,'CF(M)'!$L81:$EQ81)</f>
        <v>0</v>
      </c>
      <c r="BN76" s="168">
        <f>SUMIF('CF(M)'!$L$10:$EQ$10,BN$6,'CF(M)'!$L81:$EQ81)</f>
        <v>0</v>
      </c>
      <c r="BO76" s="168">
        <f>SUMIF('CF(M)'!$L$10:$EQ$10,BO$6,'CF(M)'!$L81:$EQ81)</f>
        <v>0</v>
      </c>
      <c r="BP76" s="168">
        <f>SUMIF('CF(M)'!$L$10:$EQ$10,BP$6,'CF(M)'!$L81:$EQ81)</f>
        <v>0</v>
      </c>
      <c r="BQ76" s="168">
        <f>SUMIF('CF(M)'!$L$10:$EQ$10,BQ$6,'CF(M)'!$L81:$EQ81)</f>
        <v>0</v>
      </c>
      <c r="BR76" s="168">
        <f>SUMIF('CF(M)'!$L$10:$EQ$10,BR$6,'CF(M)'!$L81:$EQ81)</f>
        <v>0</v>
      </c>
      <c r="BS76" s="168">
        <f>SUMIF('CF(M)'!$L$10:$EQ$10,BS$6,'CF(M)'!$L81:$EQ81)</f>
        <v>0</v>
      </c>
      <c r="BT76" s="168">
        <f>SUMIF('CF(M)'!$L$10:$EQ$10,BT$6,'CF(M)'!$L81:$EQ81)</f>
        <v>0</v>
      </c>
      <c r="BU76" s="168">
        <f>SUMIF('CF(M)'!$L$10:$EQ$10,BU$6,'CF(M)'!$L81:$EQ81)</f>
        <v>0</v>
      </c>
      <c r="BV76" s="168">
        <f>SUMIF('CF(M)'!$L$10:$EQ$10,BV$6,'CF(M)'!$L81:$EQ81)</f>
        <v>0</v>
      </c>
      <c r="BW76" s="168">
        <f>SUMIF('CF(M)'!$L$10:$EQ$10,BW$6,'CF(M)'!$L81:$EQ81)</f>
        <v>0</v>
      </c>
      <c r="BX76" s="168">
        <f>SUMIF('CF(M)'!$L$10:$EQ$10,BX$6,'CF(M)'!$L81:$EQ81)</f>
        <v>0</v>
      </c>
      <c r="BY76" s="168">
        <f>SUMIF('CF(M)'!$L$10:$EQ$10,BY$6,'CF(M)'!$L81:$EQ81)</f>
        <v>0</v>
      </c>
      <c r="BZ76" s="168">
        <f>SUMIF('CF(M)'!$L$10:$EQ$10,BZ$6,'CF(M)'!$L81:$EQ81)</f>
        <v>0</v>
      </c>
      <c r="CA76" s="168">
        <f>SUMIF('CF(M)'!$L$10:$EQ$10,CA$6,'CF(M)'!$L81:$EQ81)</f>
        <v>0</v>
      </c>
      <c r="CB76" s="168">
        <f>SUMIF('CF(M)'!$L$10:$EQ$10,CB$6,'CF(M)'!$L81:$EQ81)</f>
        <v>0</v>
      </c>
      <c r="CC76" s="168">
        <f>SUMIF('CF(M)'!$L$10:$EQ$10,CC$6,'CF(M)'!$L81:$EQ81)</f>
        <v>0</v>
      </c>
      <c r="CD76" s="168">
        <f>SUMIF('CF(M)'!$L$10:$EQ$10,CD$6,'CF(M)'!$L81:$EQ81)</f>
        <v>0</v>
      </c>
      <c r="CE76" s="168">
        <f>SUMIF('CF(M)'!$L$10:$EQ$10,CE$6,'CF(M)'!$L81:$EQ81)</f>
        <v>0</v>
      </c>
      <c r="CF76" s="168">
        <f>SUMIF('CF(M)'!$L$10:$EQ$10,CF$6,'CF(M)'!$L81:$EQ81)</f>
        <v>0</v>
      </c>
      <c r="CG76" s="168">
        <f>SUMIF('CF(M)'!$L$10:$EQ$10,CG$6,'CF(M)'!$L81:$EQ81)</f>
        <v>0</v>
      </c>
      <c r="CH76" s="168">
        <f>SUMIF('CF(M)'!$L$10:$EQ$10,CH$6,'CF(M)'!$L81:$EQ81)</f>
        <v>0</v>
      </c>
      <c r="CI76" s="168">
        <f>SUMIF('CF(M)'!$L$10:$EQ$10,CI$6,'CF(M)'!$L81:$EQ81)</f>
        <v>0</v>
      </c>
      <c r="CJ76" s="168">
        <f>SUMIF('CF(M)'!$L$10:$EQ$10,CJ$6,'CF(M)'!$L81:$EQ81)</f>
        <v>0</v>
      </c>
      <c r="CK76" s="168">
        <f>SUMIF('CF(M)'!$L$10:$EQ$10,CK$6,'CF(M)'!$L81:$EQ81)</f>
        <v>0</v>
      </c>
      <c r="CL76" s="168">
        <f>SUMIF('CF(M)'!$L$10:$EQ$10,CL$6,'CF(M)'!$L81:$EQ81)</f>
        <v>0</v>
      </c>
      <c r="CM76" s="168">
        <f>SUMIF('CF(M)'!$L$10:$EQ$10,CM$6,'CF(M)'!$L81:$EQ81)</f>
        <v>0</v>
      </c>
      <c r="CN76" s="168">
        <f>SUMIF('CF(M)'!$L$10:$EQ$10,CN$6,'CF(M)'!$L81:$EQ81)</f>
        <v>0</v>
      </c>
      <c r="CO76" s="168">
        <f>SUMIF('CF(M)'!$L$10:$EQ$10,CO$6,'CF(M)'!$L81:$EQ81)</f>
        <v>0</v>
      </c>
      <c r="CP76" s="168">
        <f>SUMIF('CF(M)'!$L$10:$EQ$10,CP$6,'CF(M)'!$L81:$EQ81)</f>
        <v>0</v>
      </c>
      <c r="CQ76" s="168">
        <f>SUMIF('CF(M)'!$L$10:$EQ$10,CQ$6,'CF(M)'!$L81:$EQ81)</f>
        <v>0</v>
      </c>
      <c r="CR76" s="168">
        <f>SUMIF('CF(M)'!$L$10:$EQ$10,CR$6,'CF(M)'!$L81:$EQ81)</f>
        <v>0</v>
      </c>
      <c r="CS76" s="168">
        <f>SUMIF('CF(M)'!$L$10:$EQ$10,CS$6,'CF(M)'!$L81:$EQ81)</f>
        <v>0</v>
      </c>
      <c r="CT76" s="168">
        <f>SUMIF('CF(M)'!$L$10:$EQ$10,CT$6,'CF(M)'!$L81:$EQ81)</f>
        <v>0</v>
      </c>
      <c r="CU76" s="168">
        <f>SUMIF('CF(M)'!$L$10:$EQ$10,CU$6,'CF(M)'!$L81:$EQ81)</f>
        <v>0</v>
      </c>
      <c r="CV76" s="168">
        <f>SUMIF('CF(M)'!$L$10:$EQ$10,CV$6,'CF(M)'!$L81:$EQ81)</f>
        <v>0</v>
      </c>
      <c r="CW76" s="168">
        <f>SUMIF('CF(M)'!$L$10:$EQ$10,CW$6,'CF(M)'!$L81:$EQ81)</f>
        <v>0</v>
      </c>
      <c r="CX76" s="168">
        <f>SUMIF('CF(M)'!$L$10:$EQ$10,CX$6,'CF(M)'!$L81:$EQ81)</f>
        <v>0</v>
      </c>
      <c r="CY76" s="168">
        <f>SUMIF('CF(M)'!$L$10:$EQ$10,CY$6,'CF(M)'!$L81:$EQ81)</f>
        <v>0</v>
      </c>
      <c r="CZ76" s="168">
        <f>SUMIF('CF(M)'!$L$10:$EQ$10,CZ$6,'CF(M)'!$L81:$EQ81)</f>
        <v>0</v>
      </c>
      <c r="DA76" s="168">
        <f>SUMIF('CF(M)'!$L$10:$EQ$10,DA$6,'CF(M)'!$L81:$EQ81)</f>
        <v>0</v>
      </c>
      <c r="DB76" s="168">
        <f>SUMIF('CF(M)'!$L$10:$EQ$10,DB$6,'CF(M)'!$L81:$EQ81)</f>
        <v>0</v>
      </c>
      <c r="DC76" s="168">
        <f>SUMIF('CF(M)'!$L$10:$EQ$10,DC$6,'CF(M)'!$L81:$EQ81)</f>
        <v>0</v>
      </c>
      <c r="DD76" s="168">
        <f>SUMIF('CF(M)'!$L$10:$EQ$10,DD$6,'CF(M)'!$L81:$EQ81)</f>
        <v>0</v>
      </c>
      <c r="DE76" s="168">
        <f>SUMIF('CF(M)'!$L$10:$EQ$10,DE$6,'CF(M)'!$L81:$EQ81)</f>
        <v>0</v>
      </c>
      <c r="DF76" s="168">
        <f>SUMIF('CF(M)'!$L$10:$EQ$10,DF$6,'CF(M)'!$L81:$EQ81)</f>
        <v>0</v>
      </c>
      <c r="DG76" s="168">
        <f>SUMIF('CF(M)'!$L$10:$EQ$10,DG$6,'CF(M)'!$L81:$EQ81)</f>
        <v>0</v>
      </c>
      <c r="DH76" s="168">
        <f>SUMIF('CF(M)'!$L$10:$EQ$10,DH$6,'CF(M)'!$L81:$EQ81)</f>
        <v>0</v>
      </c>
      <c r="DI76" s="168">
        <f>SUMIF('CF(M)'!$L$10:$EQ$10,DI$6,'CF(M)'!$L81:$EQ81)</f>
        <v>0</v>
      </c>
      <c r="DJ76" s="168">
        <f>SUMIF('CF(M)'!$L$10:$EQ$10,DJ$6,'CF(M)'!$L81:$EQ81)</f>
        <v>0</v>
      </c>
      <c r="DK76" s="168">
        <f>SUMIF('CF(M)'!$L$10:$EQ$10,DK$6,'CF(M)'!$L81:$EQ81)</f>
        <v>0</v>
      </c>
      <c r="DL76" s="168">
        <f>SUMIF('CF(M)'!$L$10:$EQ$10,DL$6,'CF(M)'!$L81:$EQ81)</f>
        <v>0</v>
      </c>
      <c r="DM76" s="168">
        <f>SUMIF('CF(M)'!$L$10:$EQ$10,DM$6,'CF(M)'!$L81:$EQ81)</f>
        <v>0</v>
      </c>
      <c r="DN76" s="168">
        <f>SUMIF('CF(M)'!$L$10:$EQ$10,DN$6,'CF(M)'!$L81:$EQ81)</f>
        <v>0</v>
      </c>
      <c r="DO76" s="168">
        <f>SUMIF('CF(M)'!$L$10:$EQ$10,DO$6,'CF(M)'!$L81:$EQ81)</f>
        <v>0</v>
      </c>
      <c r="DP76" s="168">
        <f>SUMIF('CF(M)'!$L$10:$EQ$10,DP$6,'CF(M)'!$L81:$EQ81)</f>
        <v>0</v>
      </c>
      <c r="DQ76" s="168">
        <f>SUMIF('CF(M)'!$L$10:$EQ$10,DQ$6,'CF(M)'!$L81:$EQ81)</f>
        <v>0</v>
      </c>
      <c r="DR76" s="168">
        <f>SUMIF('CF(M)'!$L$10:$EQ$10,DR$6,'CF(M)'!$L81:$EQ81)</f>
        <v>0</v>
      </c>
      <c r="DS76" s="168">
        <f>SUMIF('CF(M)'!$L$10:$EQ$10,DS$6,'CF(M)'!$L81:$EQ81)</f>
        <v>0</v>
      </c>
      <c r="DT76" s="168">
        <f>SUMIF('CF(M)'!$L$10:$EQ$10,DT$6,'CF(M)'!$L81:$EQ81)</f>
        <v>0</v>
      </c>
      <c r="DU76" s="168">
        <f>SUMIF('CF(M)'!$L$10:$EQ$10,DU$6,'CF(M)'!$L81:$EQ81)</f>
        <v>0</v>
      </c>
      <c r="DV76" s="168">
        <f>SUMIF('CF(M)'!$L$10:$EQ$10,DV$6,'CF(M)'!$L81:$EQ81)</f>
        <v>0</v>
      </c>
    </row>
    <row r="77" spans="2:126" ht="11.25" customHeight="1">
      <c r="B77" s="218"/>
      <c r="C77" s="163"/>
      <c r="D77" s="169" t="s">
        <v>209</v>
      </c>
      <c r="H77" s="146"/>
      <c r="I77" s="229"/>
      <c r="J77" s="171">
        <f>SUM(L77:DV77)</f>
        <v>-38000000</v>
      </c>
      <c r="K77" s="98"/>
      <c r="L77" s="171">
        <f>SUMIF('CF(M)'!$L$10:$EQ$10,L$6,'CF(M)'!$L82:$EQ82)</f>
        <v>0</v>
      </c>
      <c r="M77" s="171">
        <f>SUMIF('CF(M)'!$L$10:$EQ$10,M$6,'CF(M)'!$L82:$EQ82)</f>
        <v>0</v>
      </c>
      <c r="N77" s="171">
        <f>SUMIF('CF(M)'!$L$10:$EQ$10,N$6,'CF(M)'!$L82:$EQ82)</f>
        <v>0</v>
      </c>
      <c r="O77" s="171">
        <f>SUMIF('CF(M)'!$L$10:$EQ$10,O$6,'CF(M)'!$L82:$EQ82)</f>
        <v>0</v>
      </c>
      <c r="P77" s="171">
        <f>SUMIF('CF(M)'!$L$10:$EQ$10,P$6,'CF(M)'!$L82:$EQ82)</f>
        <v>-38000000</v>
      </c>
      <c r="Q77" s="171">
        <f>SUMIF('CF(M)'!$L$10:$EQ$10,Q$6,'CF(M)'!$L82:$EQ82)</f>
        <v>0</v>
      </c>
      <c r="R77" s="171">
        <f>SUMIF('CF(M)'!$L$10:$EQ$10,R$6,'CF(M)'!$L82:$EQ82)</f>
        <v>0</v>
      </c>
      <c r="S77" s="171">
        <f>SUMIF('CF(M)'!$L$10:$EQ$10,S$6,'CF(M)'!$L82:$EQ82)</f>
        <v>0</v>
      </c>
      <c r="T77" s="171">
        <f>SUMIF('CF(M)'!$L$10:$EQ$10,T$6,'CF(M)'!$L82:$EQ82)</f>
        <v>0</v>
      </c>
      <c r="U77" s="171">
        <f>SUMIF('CF(M)'!$L$10:$EQ$10,U$6,'CF(M)'!$L82:$EQ82)</f>
        <v>0</v>
      </c>
      <c r="V77" s="171">
        <f>SUMIF('CF(M)'!$L$10:$EQ$10,V$6,'CF(M)'!$L82:$EQ82)</f>
        <v>0</v>
      </c>
      <c r="W77" s="171">
        <f>SUMIF('CF(M)'!$L$10:$EQ$10,W$6,'CF(M)'!$L82:$EQ82)</f>
        <v>0</v>
      </c>
      <c r="X77" s="171">
        <f>SUMIF('CF(M)'!$L$10:$EQ$10,X$6,'CF(M)'!$L82:$EQ82)</f>
        <v>0</v>
      </c>
      <c r="Y77" s="171">
        <f>SUMIF('CF(M)'!$L$10:$EQ$10,Y$6,'CF(M)'!$L82:$EQ82)</f>
        <v>0</v>
      </c>
      <c r="Z77" s="171">
        <f>SUMIF('CF(M)'!$L$10:$EQ$10,Z$6,'CF(M)'!$L82:$EQ82)</f>
        <v>0</v>
      </c>
      <c r="AA77" s="171">
        <f>SUMIF('CF(M)'!$L$10:$EQ$10,AA$6,'CF(M)'!$L82:$EQ82)</f>
        <v>0</v>
      </c>
      <c r="AB77" s="171">
        <f>SUMIF('CF(M)'!$L$10:$EQ$10,AB$6,'CF(M)'!$L82:$EQ82)</f>
        <v>0</v>
      </c>
      <c r="AC77" s="171">
        <f>SUMIF('CF(M)'!$L$10:$EQ$10,AC$6,'CF(M)'!$L82:$EQ82)</f>
        <v>0</v>
      </c>
      <c r="AD77" s="171">
        <f>SUMIF('CF(M)'!$L$10:$EQ$10,AD$6,'CF(M)'!$L82:$EQ82)</f>
        <v>0</v>
      </c>
      <c r="AE77" s="171">
        <f>SUMIF('CF(M)'!$L$10:$EQ$10,AE$6,'CF(M)'!$L82:$EQ82)</f>
        <v>0</v>
      </c>
      <c r="AF77" s="171">
        <f>SUMIF('CF(M)'!$L$10:$EQ$10,AF$6,'CF(M)'!$L82:$EQ82)</f>
        <v>0</v>
      </c>
      <c r="AG77" s="171">
        <f>SUMIF('CF(M)'!$L$10:$EQ$10,AG$6,'CF(M)'!$L82:$EQ82)</f>
        <v>0</v>
      </c>
      <c r="AH77" s="171">
        <f>SUMIF('CF(M)'!$L$10:$EQ$10,AH$6,'CF(M)'!$L82:$EQ82)</f>
        <v>0</v>
      </c>
      <c r="AI77" s="171">
        <f>SUMIF('CF(M)'!$L$10:$EQ$10,AI$6,'CF(M)'!$L82:$EQ82)</f>
        <v>0</v>
      </c>
      <c r="AJ77" s="171">
        <f>SUMIF('CF(M)'!$L$10:$EQ$10,AJ$6,'CF(M)'!$L82:$EQ82)</f>
        <v>0</v>
      </c>
      <c r="AK77" s="171">
        <f>SUMIF('CF(M)'!$L$10:$EQ$10,AK$6,'CF(M)'!$L82:$EQ82)</f>
        <v>0</v>
      </c>
      <c r="AL77" s="171">
        <f>SUMIF('CF(M)'!$L$10:$EQ$10,AL$6,'CF(M)'!$L82:$EQ82)</f>
        <v>0</v>
      </c>
      <c r="AM77" s="171">
        <f>SUMIF('CF(M)'!$L$10:$EQ$10,AM$6,'CF(M)'!$L82:$EQ82)</f>
        <v>0</v>
      </c>
      <c r="AN77" s="171">
        <f>SUMIF('CF(M)'!$L$10:$EQ$10,AN$6,'CF(M)'!$L82:$EQ82)</f>
        <v>0</v>
      </c>
      <c r="AO77" s="171">
        <f>SUMIF('CF(M)'!$L$10:$EQ$10,AO$6,'CF(M)'!$L82:$EQ82)</f>
        <v>0</v>
      </c>
      <c r="AP77" s="171">
        <f>SUMIF('CF(M)'!$L$10:$EQ$10,AP$6,'CF(M)'!$L82:$EQ82)</f>
        <v>0</v>
      </c>
      <c r="AQ77" s="171">
        <f>SUMIF('CF(M)'!$L$10:$EQ$10,AQ$6,'CF(M)'!$L82:$EQ82)</f>
        <v>0</v>
      </c>
      <c r="AR77" s="171">
        <f>SUMIF('CF(M)'!$L$10:$EQ$10,AR$6,'CF(M)'!$L82:$EQ82)</f>
        <v>0</v>
      </c>
      <c r="AS77" s="171">
        <f>SUMIF('CF(M)'!$L$10:$EQ$10,AS$6,'CF(M)'!$L82:$EQ82)</f>
        <v>0</v>
      </c>
      <c r="AT77" s="171">
        <f>SUMIF('CF(M)'!$L$10:$EQ$10,AT$6,'CF(M)'!$L82:$EQ82)</f>
        <v>0</v>
      </c>
      <c r="AU77" s="171">
        <f>SUMIF('CF(M)'!$L$10:$EQ$10,AU$6,'CF(M)'!$L82:$EQ82)</f>
        <v>0</v>
      </c>
      <c r="AV77" s="171">
        <f>SUMIF('CF(M)'!$L$10:$EQ$10,AV$6,'CF(M)'!$L82:$EQ82)</f>
        <v>0</v>
      </c>
      <c r="AW77" s="171">
        <f>SUMIF('CF(M)'!$L$10:$EQ$10,AW$6,'CF(M)'!$L82:$EQ82)</f>
        <v>0</v>
      </c>
      <c r="AX77" s="171">
        <f>SUMIF('CF(M)'!$L$10:$EQ$10,AX$6,'CF(M)'!$L82:$EQ82)</f>
        <v>0</v>
      </c>
      <c r="AY77" s="171">
        <f>SUMIF('CF(M)'!$L$10:$EQ$10,AY$6,'CF(M)'!$L82:$EQ82)</f>
        <v>0</v>
      </c>
      <c r="AZ77" s="171">
        <f>SUMIF('CF(M)'!$L$10:$EQ$10,AZ$6,'CF(M)'!$L82:$EQ82)</f>
        <v>0</v>
      </c>
      <c r="BA77" s="171">
        <f>SUMIF('CF(M)'!$L$10:$EQ$10,BA$6,'CF(M)'!$L82:$EQ82)</f>
        <v>0</v>
      </c>
      <c r="BB77" s="171">
        <f>SUMIF('CF(M)'!$L$10:$EQ$10,BB$6,'CF(M)'!$L82:$EQ82)</f>
        <v>0</v>
      </c>
      <c r="BC77" s="171">
        <f>SUMIF('CF(M)'!$L$10:$EQ$10,BC$6,'CF(M)'!$L82:$EQ82)</f>
        <v>0</v>
      </c>
      <c r="BD77" s="171">
        <f>SUMIF('CF(M)'!$L$10:$EQ$10,BD$6,'CF(M)'!$L82:$EQ82)</f>
        <v>0</v>
      </c>
      <c r="BE77" s="171">
        <f>SUMIF('CF(M)'!$L$10:$EQ$10,BE$6,'CF(M)'!$L82:$EQ82)</f>
        <v>0</v>
      </c>
      <c r="BF77" s="171">
        <f>SUMIF('CF(M)'!$L$10:$EQ$10,BF$6,'CF(M)'!$L82:$EQ82)</f>
        <v>0</v>
      </c>
      <c r="BG77" s="171">
        <f>SUMIF('CF(M)'!$L$10:$EQ$10,BG$6,'CF(M)'!$L82:$EQ82)</f>
        <v>0</v>
      </c>
      <c r="BH77" s="171">
        <f>SUMIF('CF(M)'!$L$10:$EQ$10,BH$6,'CF(M)'!$L82:$EQ82)</f>
        <v>0</v>
      </c>
      <c r="BI77" s="171">
        <f>SUMIF('CF(M)'!$L$10:$EQ$10,BI$6,'CF(M)'!$L82:$EQ82)</f>
        <v>0</v>
      </c>
      <c r="BJ77" s="171">
        <f>SUMIF('CF(M)'!$L$10:$EQ$10,BJ$6,'CF(M)'!$L82:$EQ82)</f>
        <v>0</v>
      </c>
      <c r="BK77" s="171">
        <f>SUMIF('CF(M)'!$L$10:$EQ$10,BK$6,'CF(M)'!$L82:$EQ82)</f>
        <v>0</v>
      </c>
      <c r="BL77" s="171">
        <f>SUMIF('CF(M)'!$L$10:$EQ$10,BL$6,'CF(M)'!$L82:$EQ82)</f>
        <v>0</v>
      </c>
      <c r="BM77" s="171">
        <f>SUMIF('CF(M)'!$L$10:$EQ$10,BM$6,'CF(M)'!$L82:$EQ82)</f>
        <v>0</v>
      </c>
      <c r="BN77" s="171">
        <f>SUMIF('CF(M)'!$L$10:$EQ$10,BN$6,'CF(M)'!$L82:$EQ82)</f>
        <v>0</v>
      </c>
      <c r="BO77" s="171">
        <f>SUMIF('CF(M)'!$L$10:$EQ$10,BO$6,'CF(M)'!$L82:$EQ82)</f>
        <v>0</v>
      </c>
      <c r="BP77" s="171">
        <f>SUMIF('CF(M)'!$L$10:$EQ$10,BP$6,'CF(M)'!$L82:$EQ82)</f>
        <v>0</v>
      </c>
      <c r="BQ77" s="171">
        <f>SUMIF('CF(M)'!$L$10:$EQ$10,BQ$6,'CF(M)'!$L82:$EQ82)</f>
        <v>0</v>
      </c>
      <c r="BR77" s="171">
        <f>SUMIF('CF(M)'!$L$10:$EQ$10,BR$6,'CF(M)'!$L82:$EQ82)</f>
        <v>0</v>
      </c>
      <c r="BS77" s="171">
        <f>SUMIF('CF(M)'!$L$10:$EQ$10,BS$6,'CF(M)'!$L82:$EQ82)</f>
        <v>0</v>
      </c>
      <c r="BT77" s="171">
        <f>SUMIF('CF(M)'!$L$10:$EQ$10,BT$6,'CF(M)'!$L82:$EQ82)</f>
        <v>0</v>
      </c>
      <c r="BU77" s="171">
        <f>SUMIF('CF(M)'!$L$10:$EQ$10,BU$6,'CF(M)'!$L82:$EQ82)</f>
        <v>0</v>
      </c>
      <c r="BV77" s="171">
        <f>SUMIF('CF(M)'!$L$10:$EQ$10,BV$6,'CF(M)'!$L82:$EQ82)</f>
        <v>0</v>
      </c>
      <c r="BW77" s="171">
        <f>SUMIF('CF(M)'!$L$10:$EQ$10,BW$6,'CF(M)'!$L82:$EQ82)</f>
        <v>0</v>
      </c>
      <c r="BX77" s="171">
        <f>SUMIF('CF(M)'!$L$10:$EQ$10,BX$6,'CF(M)'!$L82:$EQ82)</f>
        <v>0</v>
      </c>
      <c r="BY77" s="171">
        <f>SUMIF('CF(M)'!$L$10:$EQ$10,BY$6,'CF(M)'!$L82:$EQ82)</f>
        <v>0</v>
      </c>
      <c r="BZ77" s="171">
        <f>SUMIF('CF(M)'!$L$10:$EQ$10,BZ$6,'CF(M)'!$L82:$EQ82)</f>
        <v>0</v>
      </c>
      <c r="CA77" s="171">
        <f>SUMIF('CF(M)'!$L$10:$EQ$10,CA$6,'CF(M)'!$L82:$EQ82)</f>
        <v>0</v>
      </c>
      <c r="CB77" s="171">
        <f>SUMIF('CF(M)'!$L$10:$EQ$10,CB$6,'CF(M)'!$L82:$EQ82)</f>
        <v>0</v>
      </c>
      <c r="CC77" s="171">
        <f>SUMIF('CF(M)'!$L$10:$EQ$10,CC$6,'CF(M)'!$L82:$EQ82)</f>
        <v>0</v>
      </c>
      <c r="CD77" s="171">
        <f>SUMIF('CF(M)'!$L$10:$EQ$10,CD$6,'CF(M)'!$L82:$EQ82)</f>
        <v>0</v>
      </c>
      <c r="CE77" s="171">
        <f>SUMIF('CF(M)'!$L$10:$EQ$10,CE$6,'CF(M)'!$L82:$EQ82)</f>
        <v>0</v>
      </c>
      <c r="CF77" s="171">
        <f>SUMIF('CF(M)'!$L$10:$EQ$10,CF$6,'CF(M)'!$L82:$EQ82)</f>
        <v>0</v>
      </c>
      <c r="CG77" s="171">
        <f>SUMIF('CF(M)'!$L$10:$EQ$10,CG$6,'CF(M)'!$L82:$EQ82)</f>
        <v>0</v>
      </c>
      <c r="CH77" s="171">
        <f>SUMIF('CF(M)'!$L$10:$EQ$10,CH$6,'CF(M)'!$L82:$EQ82)</f>
        <v>0</v>
      </c>
      <c r="CI77" s="171">
        <f>SUMIF('CF(M)'!$L$10:$EQ$10,CI$6,'CF(M)'!$L82:$EQ82)</f>
        <v>0</v>
      </c>
      <c r="CJ77" s="171">
        <f>SUMIF('CF(M)'!$L$10:$EQ$10,CJ$6,'CF(M)'!$L82:$EQ82)</f>
        <v>0</v>
      </c>
      <c r="CK77" s="171">
        <f>SUMIF('CF(M)'!$L$10:$EQ$10,CK$6,'CF(M)'!$L82:$EQ82)</f>
        <v>0</v>
      </c>
      <c r="CL77" s="171">
        <f>SUMIF('CF(M)'!$L$10:$EQ$10,CL$6,'CF(M)'!$L82:$EQ82)</f>
        <v>0</v>
      </c>
      <c r="CM77" s="171">
        <f>SUMIF('CF(M)'!$L$10:$EQ$10,CM$6,'CF(M)'!$L82:$EQ82)</f>
        <v>0</v>
      </c>
      <c r="CN77" s="171">
        <f>SUMIF('CF(M)'!$L$10:$EQ$10,CN$6,'CF(M)'!$L82:$EQ82)</f>
        <v>0</v>
      </c>
      <c r="CO77" s="171">
        <f>SUMIF('CF(M)'!$L$10:$EQ$10,CO$6,'CF(M)'!$L82:$EQ82)</f>
        <v>0</v>
      </c>
      <c r="CP77" s="171">
        <f>SUMIF('CF(M)'!$L$10:$EQ$10,CP$6,'CF(M)'!$L82:$EQ82)</f>
        <v>0</v>
      </c>
      <c r="CQ77" s="171">
        <f>SUMIF('CF(M)'!$L$10:$EQ$10,CQ$6,'CF(M)'!$L82:$EQ82)</f>
        <v>0</v>
      </c>
      <c r="CR77" s="171">
        <f>SUMIF('CF(M)'!$L$10:$EQ$10,CR$6,'CF(M)'!$L82:$EQ82)</f>
        <v>0</v>
      </c>
      <c r="CS77" s="171">
        <f>SUMIF('CF(M)'!$L$10:$EQ$10,CS$6,'CF(M)'!$L82:$EQ82)</f>
        <v>0</v>
      </c>
      <c r="CT77" s="171">
        <f>SUMIF('CF(M)'!$L$10:$EQ$10,CT$6,'CF(M)'!$L82:$EQ82)</f>
        <v>0</v>
      </c>
      <c r="CU77" s="171">
        <f>SUMIF('CF(M)'!$L$10:$EQ$10,CU$6,'CF(M)'!$L82:$EQ82)</f>
        <v>0</v>
      </c>
      <c r="CV77" s="171">
        <f>SUMIF('CF(M)'!$L$10:$EQ$10,CV$6,'CF(M)'!$L82:$EQ82)</f>
        <v>0</v>
      </c>
      <c r="CW77" s="171">
        <f>SUMIF('CF(M)'!$L$10:$EQ$10,CW$6,'CF(M)'!$L82:$EQ82)</f>
        <v>0</v>
      </c>
      <c r="CX77" s="171">
        <f>SUMIF('CF(M)'!$L$10:$EQ$10,CX$6,'CF(M)'!$L82:$EQ82)</f>
        <v>0</v>
      </c>
      <c r="CY77" s="171">
        <f>SUMIF('CF(M)'!$L$10:$EQ$10,CY$6,'CF(M)'!$L82:$EQ82)</f>
        <v>0</v>
      </c>
      <c r="CZ77" s="171">
        <f>SUMIF('CF(M)'!$L$10:$EQ$10,CZ$6,'CF(M)'!$L82:$EQ82)</f>
        <v>0</v>
      </c>
      <c r="DA77" s="171">
        <f>SUMIF('CF(M)'!$L$10:$EQ$10,DA$6,'CF(M)'!$L82:$EQ82)</f>
        <v>0</v>
      </c>
      <c r="DB77" s="171">
        <f>SUMIF('CF(M)'!$L$10:$EQ$10,DB$6,'CF(M)'!$L82:$EQ82)</f>
        <v>0</v>
      </c>
      <c r="DC77" s="171">
        <f>SUMIF('CF(M)'!$L$10:$EQ$10,DC$6,'CF(M)'!$L82:$EQ82)</f>
        <v>0</v>
      </c>
      <c r="DD77" s="171">
        <f>SUMIF('CF(M)'!$L$10:$EQ$10,DD$6,'CF(M)'!$L82:$EQ82)</f>
        <v>0</v>
      </c>
      <c r="DE77" s="171">
        <f>SUMIF('CF(M)'!$L$10:$EQ$10,DE$6,'CF(M)'!$L82:$EQ82)</f>
        <v>0</v>
      </c>
      <c r="DF77" s="171">
        <f>SUMIF('CF(M)'!$L$10:$EQ$10,DF$6,'CF(M)'!$L82:$EQ82)</f>
        <v>0</v>
      </c>
      <c r="DG77" s="171">
        <f>SUMIF('CF(M)'!$L$10:$EQ$10,DG$6,'CF(M)'!$L82:$EQ82)</f>
        <v>0</v>
      </c>
      <c r="DH77" s="171">
        <f>SUMIF('CF(M)'!$L$10:$EQ$10,DH$6,'CF(M)'!$L82:$EQ82)</f>
        <v>0</v>
      </c>
      <c r="DI77" s="171">
        <f>SUMIF('CF(M)'!$L$10:$EQ$10,DI$6,'CF(M)'!$L82:$EQ82)</f>
        <v>0</v>
      </c>
      <c r="DJ77" s="171">
        <f>SUMIF('CF(M)'!$L$10:$EQ$10,DJ$6,'CF(M)'!$L82:$EQ82)</f>
        <v>0</v>
      </c>
      <c r="DK77" s="171">
        <f>SUMIF('CF(M)'!$L$10:$EQ$10,DK$6,'CF(M)'!$L82:$EQ82)</f>
        <v>0</v>
      </c>
      <c r="DL77" s="171">
        <f>SUMIF('CF(M)'!$L$10:$EQ$10,DL$6,'CF(M)'!$L82:$EQ82)</f>
        <v>0</v>
      </c>
      <c r="DM77" s="171">
        <f>SUMIF('CF(M)'!$L$10:$EQ$10,DM$6,'CF(M)'!$L82:$EQ82)</f>
        <v>0</v>
      </c>
      <c r="DN77" s="171">
        <f>SUMIF('CF(M)'!$L$10:$EQ$10,DN$6,'CF(M)'!$L82:$EQ82)</f>
        <v>0</v>
      </c>
      <c r="DO77" s="171">
        <f>SUMIF('CF(M)'!$L$10:$EQ$10,DO$6,'CF(M)'!$L82:$EQ82)</f>
        <v>0</v>
      </c>
      <c r="DP77" s="171">
        <f>SUMIF('CF(M)'!$L$10:$EQ$10,DP$6,'CF(M)'!$L82:$EQ82)</f>
        <v>0</v>
      </c>
      <c r="DQ77" s="171">
        <f>SUMIF('CF(M)'!$L$10:$EQ$10,DQ$6,'CF(M)'!$L82:$EQ82)</f>
        <v>0</v>
      </c>
      <c r="DR77" s="171">
        <f>SUMIF('CF(M)'!$L$10:$EQ$10,DR$6,'CF(M)'!$L82:$EQ82)</f>
        <v>0</v>
      </c>
      <c r="DS77" s="171">
        <f>SUMIF('CF(M)'!$L$10:$EQ$10,DS$6,'CF(M)'!$L82:$EQ82)</f>
        <v>0</v>
      </c>
      <c r="DT77" s="171">
        <f>SUMIF('CF(M)'!$L$10:$EQ$10,DT$6,'CF(M)'!$L82:$EQ82)</f>
        <v>0</v>
      </c>
      <c r="DU77" s="171">
        <f>SUMIF('CF(M)'!$L$10:$EQ$10,DU$6,'CF(M)'!$L82:$EQ82)</f>
        <v>0</v>
      </c>
      <c r="DV77" s="171">
        <f>SUMIF('CF(M)'!$L$10:$EQ$10,DV$6,'CF(M)'!$L82:$EQ82)</f>
        <v>0</v>
      </c>
    </row>
    <row r="78" spans="2:126" ht="11.25" customHeight="1">
      <c r="B78" s="218"/>
      <c r="C78" s="158" t="str">
        <f>'CF(M)'!C83</f>
        <v>중순위대출(2nd)</v>
      </c>
      <c r="D78" s="159"/>
      <c r="E78" s="159"/>
      <c r="F78" s="159"/>
      <c r="G78" s="159"/>
      <c r="H78" s="160"/>
      <c r="I78" s="219"/>
      <c r="J78" s="220">
        <f>SUM(J79:J80)</f>
        <v>0</v>
      </c>
      <c r="K78" s="98"/>
      <c r="L78" s="162">
        <f>SUM(L79:L80)</f>
        <v>0</v>
      </c>
      <c r="M78" s="162">
        <f t="shared" ref="M78:BX78" si="36">SUM(M79:M80)</f>
        <v>0</v>
      </c>
      <c r="N78" s="162">
        <f t="shared" si="36"/>
        <v>0</v>
      </c>
      <c r="O78" s="162">
        <f t="shared" si="36"/>
        <v>0</v>
      </c>
      <c r="P78" s="162">
        <f t="shared" si="36"/>
        <v>0</v>
      </c>
      <c r="Q78" s="162">
        <f t="shared" si="36"/>
        <v>0</v>
      </c>
      <c r="R78" s="162">
        <f t="shared" si="36"/>
        <v>0</v>
      </c>
      <c r="S78" s="162">
        <f t="shared" si="36"/>
        <v>0</v>
      </c>
      <c r="T78" s="162">
        <f t="shared" si="36"/>
        <v>0</v>
      </c>
      <c r="U78" s="162">
        <f t="shared" si="36"/>
        <v>0</v>
      </c>
      <c r="V78" s="162">
        <f t="shared" si="36"/>
        <v>0</v>
      </c>
      <c r="W78" s="162">
        <f t="shared" si="36"/>
        <v>0</v>
      </c>
      <c r="X78" s="162">
        <f t="shared" si="36"/>
        <v>0</v>
      </c>
      <c r="Y78" s="162">
        <f t="shared" si="36"/>
        <v>0</v>
      </c>
      <c r="Z78" s="162">
        <f t="shared" si="36"/>
        <v>0</v>
      </c>
      <c r="AA78" s="162">
        <f t="shared" si="36"/>
        <v>0</v>
      </c>
      <c r="AB78" s="162">
        <f t="shared" si="36"/>
        <v>0</v>
      </c>
      <c r="AC78" s="162">
        <f t="shared" si="36"/>
        <v>0</v>
      </c>
      <c r="AD78" s="162">
        <f t="shared" si="36"/>
        <v>0</v>
      </c>
      <c r="AE78" s="162">
        <f t="shared" si="36"/>
        <v>0</v>
      </c>
      <c r="AF78" s="162">
        <f t="shared" si="36"/>
        <v>0</v>
      </c>
      <c r="AG78" s="162">
        <f t="shared" si="36"/>
        <v>0</v>
      </c>
      <c r="AH78" s="162">
        <f t="shared" si="36"/>
        <v>0</v>
      </c>
      <c r="AI78" s="162">
        <f t="shared" si="36"/>
        <v>0</v>
      </c>
      <c r="AJ78" s="162">
        <f t="shared" si="36"/>
        <v>0</v>
      </c>
      <c r="AK78" s="162">
        <f t="shared" si="36"/>
        <v>0</v>
      </c>
      <c r="AL78" s="162">
        <f t="shared" si="36"/>
        <v>0</v>
      </c>
      <c r="AM78" s="162">
        <f t="shared" si="36"/>
        <v>0</v>
      </c>
      <c r="AN78" s="162">
        <f t="shared" si="36"/>
        <v>0</v>
      </c>
      <c r="AO78" s="162">
        <f t="shared" si="36"/>
        <v>0</v>
      </c>
      <c r="AP78" s="162">
        <f t="shared" si="36"/>
        <v>0</v>
      </c>
      <c r="AQ78" s="162">
        <f t="shared" si="36"/>
        <v>0</v>
      </c>
      <c r="AR78" s="162">
        <f t="shared" si="36"/>
        <v>0</v>
      </c>
      <c r="AS78" s="162">
        <f t="shared" si="36"/>
        <v>0</v>
      </c>
      <c r="AT78" s="162">
        <f t="shared" si="36"/>
        <v>0</v>
      </c>
      <c r="AU78" s="162">
        <f t="shared" si="36"/>
        <v>0</v>
      </c>
      <c r="AV78" s="162">
        <f t="shared" si="36"/>
        <v>0</v>
      </c>
      <c r="AW78" s="162">
        <f t="shared" si="36"/>
        <v>0</v>
      </c>
      <c r="AX78" s="162">
        <f t="shared" si="36"/>
        <v>0</v>
      </c>
      <c r="AY78" s="162">
        <f t="shared" si="36"/>
        <v>0</v>
      </c>
      <c r="AZ78" s="162">
        <f t="shared" si="36"/>
        <v>0</v>
      </c>
      <c r="BA78" s="162">
        <f t="shared" si="36"/>
        <v>0</v>
      </c>
      <c r="BB78" s="162">
        <f t="shared" si="36"/>
        <v>0</v>
      </c>
      <c r="BC78" s="162">
        <f t="shared" si="36"/>
        <v>0</v>
      </c>
      <c r="BD78" s="162">
        <f t="shared" si="36"/>
        <v>0</v>
      </c>
      <c r="BE78" s="162">
        <f t="shared" si="36"/>
        <v>0</v>
      </c>
      <c r="BF78" s="162">
        <f t="shared" si="36"/>
        <v>0</v>
      </c>
      <c r="BG78" s="162">
        <f t="shared" si="36"/>
        <v>0</v>
      </c>
      <c r="BH78" s="162">
        <f t="shared" si="36"/>
        <v>0</v>
      </c>
      <c r="BI78" s="162">
        <f t="shared" si="36"/>
        <v>0</v>
      </c>
      <c r="BJ78" s="162">
        <f t="shared" si="36"/>
        <v>0</v>
      </c>
      <c r="BK78" s="162">
        <f t="shared" si="36"/>
        <v>0</v>
      </c>
      <c r="BL78" s="162">
        <f t="shared" si="36"/>
        <v>0</v>
      </c>
      <c r="BM78" s="162">
        <f t="shared" si="36"/>
        <v>0</v>
      </c>
      <c r="BN78" s="162">
        <f t="shared" si="36"/>
        <v>0</v>
      </c>
      <c r="BO78" s="162">
        <f t="shared" si="36"/>
        <v>0</v>
      </c>
      <c r="BP78" s="162">
        <f t="shared" si="36"/>
        <v>0</v>
      </c>
      <c r="BQ78" s="162">
        <f t="shared" si="36"/>
        <v>0</v>
      </c>
      <c r="BR78" s="162">
        <f t="shared" si="36"/>
        <v>0</v>
      </c>
      <c r="BS78" s="162">
        <f t="shared" si="36"/>
        <v>0</v>
      </c>
      <c r="BT78" s="162">
        <f t="shared" si="36"/>
        <v>0</v>
      </c>
      <c r="BU78" s="162">
        <f t="shared" si="36"/>
        <v>0</v>
      </c>
      <c r="BV78" s="162">
        <f t="shared" si="36"/>
        <v>0</v>
      </c>
      <c r="BW78" s="162">
        <f t="shared" si="36"/>
        <v>0</v>
      </c>
      <c r="BX78" s="162">
        <f t="shared" si="36"/>
        <v>0</v>
      </c>
      <c r="BY78" s="162">
        <f t="shared" ref="BY78:DV78" si="37">SUM(BY79:BY80)</f>
        <v>0</v>
      </c>
      <c r="BZ78" s="162">
        <f t="shared" si="37"/>
        <v>0</v>
      </c>
      <c r="CA78" s="162">
        <f t="shared" si="37"/>
        <v>0</v>
      </c>
      <c r="CB78" s="162">
        <f t="shared" si="37"/>
        <v>0</v>
      </c>
      <c r="CC78" s="162">
        <f t="shared" si="37"/>
        <v>0</v>
      </c>
      <c r="CD78" s="162">
        <f t="shared" si="37"/>
        <v>0</v>
      </c>
      <c r="CE78" s="162">
        <f t="shared" si="37"/>
        <v>0</v>
      </c>
      <c r="CF78" s="162">
        <f t="shared" si="37"/>
        <v>0</v>
      </c>
      <c r="CG78" s="162">
        <f t="shared" si="37"/>
        <v>0</v>
      </c>
      <c r="CH78" s="162">
        <f t="shared" si="37"/>
        <v>0</v>
      </c>
      <c r="CI78" s="162">
        <f t="shared" si="37"/>
        <v>0</v>
      </c>
      <c r="CJ78" s="162">
        <f t="shared" si="37"/>
        <v>0</v>
      </c>
      <c r="CK78" s="162">
        <f t="shared" si="37"/>
        <v>0</v>
      </c>
      <c r="CL78" s="162">
        <f t="shared" si="37"/>
        <v>0</v>
      </c>
      <c r="CM78" s="162">
        <f t="shared" si="37"/>
        <v>0</v>
      </c>
      <c r="CN78" s="162">
        <f t="shared" si="37"/>
        <v>0</v>
      </c>
      <c r="CO78" s="162">
        <f t="shared" si="37"/>
        <v>0</v>
      </c>
      <c r="CP78" s="162">
        <f t="shared" si="37"/>
        <v>0</v>
      </c>
      <c r="CQ78" s="162">
        <f t="shared" si="37"/>
        <v>0</v>
      </c>
      <c r="CR78" s="162">
        <f t="shared" si="37"/>
        <v>0</v>
      </c>
      <c r="CS78" s="162">
        <f t="shared" si="37"/>
        <v>0</v>
      </c>
      <c r="CT78" s="162">
        <f t="shared" si="37"/>
        <v>0</v>
      </c>
      <c r="CU78" s="162">
        <f t="shared" si="37"/>
        <v>0</v>
      </c>
      <c r="CV78" s="162">
        <f t="shared" si="37"/>
        <v>0</v>
      </c>
      <c r="CW78" s="162">
        <f t="shared" si="37"/>
        <v>0</v>
      </c>
      <c r="CX78" s="162">
        <f t="shared" si="37"/>
        <v>0</v>
      </c>
      <c r="CY78" s="162">
        <f t="shared" si="37"/>
        <v>0</v>
      </c>
      <c r="CZ78" s="162">
        <f t="shared" si="37"/>
        <v>0</v>
      </c>
      <c r="DA78" s="162">
        <f t="shared" si="37"/>
        <v>0</v>
      </c>
      <c r="DB78" s="162">
        <f t="shared" si="37"/>
        <v>0</v>
      </c>
      <c r="DC78" s="162">
        <f t="shared" si="37"/>
        <v>0</v>
      </c>
      <c r="DD78" s="162">
        <f t="shared" si="37"/>
        <v>0</v>
      </c>
      <c r="DE78" s="162">
        <f t="shared" si="37"/>
        <v>0</v>
      </c>
      <c r="DF78" s="162">
        <f t="shared" si="37"/>
        <v>0</v>
      </c>
      <c r="DG78" s="162">
        <f t="shared" si="37"/>
        <v>0</v>
      </c>
      <c r="DH78" s="162">
        <f t="shared" si="37"/>
        <v>0</v>
      </c>
      <c r="DI78" s="162">
        <f t="shared" si="37"/>
        <v>0</v>
      </c>
      <c r="DJ78" s="162">
        <f t="shared" si="37"/>
        <v>0</v>
      </c>
      <c r="DK78" s="162">
        <f t="shared" si="37"/>
        <v>0</v>
      </c>
      <c r="DL78" s="162">
        <f t="shared" si="37"/>
        <v>0</v>
      </c>
      <c r="DM78" s="162">
        <f t="shared" si="37"/>
        <v>0</v>
      </c>
      <c r="DN78" s="162">
        <f t="shared" si="37"/>
        <v>0</v>
      </c>
      <c r="DO78" s="162">
        <f t="shared" si="37"/>
        <v>0</v>
      </c>
      <c r="DP78" s="162">
        <f t="shared" si="37"/>
        <v>0</v>
      </c>
      <c r="DQ78" s="162">
        <f t="shared" si="37"/>
        <v>0</v>
      </c>
      <c r="DR78" s="162">
        <f t="shared" si="37"/>
        <v>0</v>
      </c>
      <c r="DS78" s="162">
        <f t="shared" si="37"/>
        <v>0</v>
      </c>
      <c r="DT78" s="162">
        <f t="shared" si="37"/>
        <v>0</v>
      </c>
      <c r="DU78" s="162">
        <f t="shared" si="37"/>
        <v>0</v>
      </c>
      <c r="DV78" s="162">
        <f t="shared" si="37"/>
        <v>0</v>
      </c>
    </row>
    <row r="79" spans="2:126" ht="11.25" customHeight="1">
      <c r="B79" s="218"/>
      <c r="C79" s="163"/>
      <c r="D79" s="164" t="s">
        <v>208</v>
      </c>
      <c r="E79" s="165"/>
      <c r="F79" s="165"/>
      <c r="G79" s="165"/>
      <c r="H79" s="166"/>
      <c r="I79" s="228"/>
      <c r="J79" s="168">
        <f>SUM(L79:DV79)</f>
        <v>0</v>
      </c>
      <c r="K79" s="98"/>
      <c r="L79" s="168">
        <f>SUMIF('CF(M)'!$L$10:$EQ$10,L$6,'CF(M)'!$L84:$EQ84)</f>
        <v>0</v>
      </c>
      <c r="M79" s="168">
        <f>SUMIF('CF(M)'!$L$10:$EQ$10,M$6,'CF(M)'!$L84:$EQ84)</f>
        <v>0</v>
      </c>
      <c r="N79" s="168">
        <f>SUMIF('CF(M)'!$L$10:$EQ$10,N$6,'CF(M)'!$L84:$EQ84)</f>
        <v>0</v>
      </c>
      <c r="O79" s="168">
        <f>SUMIF('CF(M)'!$L$10:$EQ$10,O$6,'CF(M)'!$L84:$EQ84)</f>
        <v>0</v>
      </c>
      <c r="P79" s="168">
        <f>SUMIF('CF(M)'!$L$10:$EQ$10,P$6,'CF(M)'!$L84:$EQ84)</f>
        <v>0</v>
      </c>
      <c r="Q79" s="168">
        <f>SUMIF('CF(M)'!$L$10:$EQ$10,Q$6,'CF(M)'!$L84:$EQ84)</f>
        <v>0</v>
      </c>
      <c r="R79" s="168">
        <f>SUMIF('CF(M)'!$L$10:$EQ$10,R$6,'CF(M)'!$L84:$EQ84)</f>
        <v>0</v>
      </c>
      <c r="S79" s="168">
        <f>SUMIF('CF(M)'!$L$10:$EQ$10,S$6,'CF(M)'!$L84:$EQ84)</f>
        <v>0</v>
      </c>
      <c r="T79" s="168">
        <f>SUMIF('CF(M)'!$L$10:$EQ$10,T$6,'CF(M)'!$L84:$EQ84)</f>
        <v>0</v>
      </c>
      <c r="U79" s="168">
        <f>SUMIF('CF(M)'!$L$10:$EQ$10,U$6,'CF(M)'!$L84:$EQ84)</f>
        <v>0</v>
      </c>
      <c r="V79" s="168">
        <f>SUMIF('CF(M)'!$L$10:$EQ$10,V$6,'CF(M)'!$L84:$EQ84)</f>
        <v>0</v>
      </c>
      <c r="W79" s="168">
        <f>SUMIF('CF(M)'!$L$10:$EQ$10,W$6,'CF(M)'!$L84:$EQ84)</f>
        <v>0</v>
      </c>
      <c r="X79" s="168">
        <f>SUMIF('CF(M)'!$L$10:$EQ$10,X$6,'CF(M)'!$L84:$EQ84)</f>
        <v>0</v>
      </c>
      <c r="Y79" s="168">
        <f>SUMIF('CF(M)'!$L$10:$EQ$10,Y$6,'CF(M)'!$L84:$EQ84)</f>
        <v>0</v>
      </c>
      <c r="Z79" s="168">
        <f>SUMIF('CF(M)'!$L$10:$EQ$10,Z$6,'CF(M)'!$L84:$EQ84)</f>
        <v>0</v>
      </c>
      <c r="AA79" s="168">
        <f>SUMIF('CF(M)'!$L$10:$EQ$10,AA$6,'CF(M)'!$L84:$EQ84)</f>
        <v>0</v>
      </c>
      <c r="AB79" s="168">
        <f>SUMIF('CF(M)'!$L$10:$EQ$10,AB$6,'CF(M)'!$L84:$EQ84)</f>
        <v>0</v>
      </c>
      <c r="AC79" s="168">
        <f>SUMIF('CF(M)'!$L$10:$EQ$10,AC$6,'CF(M)'!$L84:$EQ84)</f>
        <v>0</v>
      </c>
      <c r="AD79" s="168">
        <f>SUMIF('CF(M)'!$L$10:$EQ$10,AD$6,'CF(M)'!$L84:$EQ84)</f>
        <v>0</v>
      </c>
      <c r="AE79" s="168">
        <f>SUMIF('CF(M)'!$L$10:$EQ$10,AE$6,'CF(M)'!$L84:$EQ84)</f>
        <v>0</v>
      </c>
      <c r="AF79" s="168">
        <f>SUMIF('CF(M)'!$L$10:$EQ$10,AF$6,'CF(M)'!$L84:$EQ84)</f>
        <v>0</v>
      </c>
      <c r="AG79" s="168">
        <f>SUMIF('CF(M)'!$L$10:$EQ$10,AG$6,'CF(M)'!$L84:$EQ84)</f>
        <v>0</v>
      </c>
      <c r="AH79" s="168">
        <f>SUMIF('CF(M)'!$L$10:$EQ$10,AH$6,'CF(M)'!$L84:$EQ84)</f>
        <v>0</v>
      </c>
      <c r="AI79" s="168">
        <f>SUMIF('CF(M)'!$L$10:$EQ$10,AI$6,'CF(M)'!$L84:$EQ84)</f>
        <v>0</v>
      </c>
      <c r="AJ79" s="168">
        <f>SUMIF('CF(M)'!$L$10:$EQ$10,AJ$6,'CF(M)'!$L84:$EQ84)</f>
        <v>0</v>
      </c>
      <c r="AK79" s="168">
        <f>SUMIF('CF(M)'!$L$10:$EQ$10,AK$6,'CF(M)'!$L84:$EQ84)</f>
        <v>0</v>
      </c>
      <c r="AL79" s="168">
        <f>SUMIF('CF(M)'!$L$10:$EQ$10,AL$6,'CF(M)'!$L84:$EQ84)</f>
        <v>0</v>
      </c>
      <c r="AM79" s="168">
        <f>SUMIF('CF(M)'!$L$10:$EQ$10,AM$6,'CF(M)'!$L84:$EQ84)</f>
        <v>0</v>
      </c>
      <c r="AN79" s="168">
        <f>SUMIF('CF(M)'!$L$10:$EQ$10,AN$6,'CF(M)'!$L84:$EQ84)</f>
        <v>0</v>
      </c>
      <c r="AO79" s="168">
        <f>SUMIF('CF(M)'!$L$10:$EQ$10,AO$6,'CF(M)'!$L84:$EQ84)</f>
        <v>0</v>
      </c>
      <c r="AP79" s="168">
        <f>SUMIF('CF(M)'!$L$10:$EQ$10,AP$6,'CF(M)'!$L84:$EQ84)</f>
        <v>0</v>
      </c>
      <c r="AQ79" s="168">
        <f>SUMIF('CF(M)'!$L$10:$EQ$10,AQ$6,'CF(M)'!$L84:$EQ84)</f>
        <v>0</v>
      </c>
      <c r="AR79" s="168">
        <f>SUMIF('CF(M)'!$L$10:$EQ$10,AR$6,'CF(M)'!$L84:$EQ84)</f>
        <v>0</v>
      </c>
      <c r="AS79" s="168">
        <f>SUMIF('CF(M)'!$L$10:$EQ$10,AS$6,'CF(M)'!$L84:$EQ84)</f>
        <v>0</v>
      </c>
      <c r="AT79" s="168">
        <f>SUMIF('CF(M)'!$L$10:$EQ$10,AT$6,'CF(M)'!$L84:$EQ84)</f>
        <v>0</v>
      </c>
      <c r="AU79" s="168">
        <f>SUMIF('CF(M)'!$L$10:$EQ$10,AU$6,'CF(M)'!$L84:$EQ84)</f>
        <v>0</v>
      </c>
      <c r="AV79" s="168">
        <f>SUMIF('CF(M)'!$L$10:$EQ$10,AV$6,'CF(M)'!$L84:$EQ84)</f>
        <v>0</v>
      </c>
      <c r="AW79" s="168">
        <f>SUMIF('CF(M)'!$L$10:$EQ$10,AW$6,'CF(M)'!$L84:$EQ84)</f>
        <v>0</v>
      </c>
      <c r="AX79" s="168">
        <f>SUMIF('CF(M)'!$L$10:$EQ$10,AX$6,'CF(M)'!$L84:$EQ84)</f>
        <v>0</v>
      </c>
      <c r="AY79" s="168">
        <f>SUMIF('CF(M)'!$L$10:$EQ$10,AY$6,'CF(M)'!$L84:$EQ84)</f>
        <v>0</v>
      </c>
      <c r="AZ79" s="168">
        <f>SUMIF('CF(M)'!$L$10:$EQ$10,AZ$6,'CF(M)'!$L84:$EQ84)</f>
        <v>0</v>
      </c>
      <c r="BA79" s="168">
        <f>SUMIF('CF(M)'!$L$10:$EQ$10,BA$6,'CF(M)'!$L84:$EQ84)</f>
        <v>0</v>
      </c>
      <c r="BB79" s="168">
        <f>SUMIF('CF(M)'!$L$10:$EQ$10,BB$6,'CF(M)'!$L84:$EQ84)</f>
        <v>0</v>
      </c>
      <c r="BC79" s="168">
        <f>SUMIF('CF(M)'!$L$10:$EQ$10,BC$6,'CF(M)'!$L84:$EQ84)</f>
        <v>0</v>
      </c>
      <c r="BD79" s="168">
        <f>SUMIF('CF(M)'!$L$10:$EQ$10,BD$6,'CF(M)'!$L84:$EQ84)</f>
        <v>0</v>
      </c>
      <c r="BE79" s="168">
        <f>SUMIF('CF(M)'!$L$10:$EQ$10,BE$6,'CF(M)'!$L84:$EQ84)</f>
        <v>0</v>
      </c>
      <c r="BF79" s="168">
        <f>SUMIF('CF(M)'!$L$10:$EQ$10,BF$6,'CF(M)'!$L84:$EQ84)</f>
        <v>0</v>
      </c>
      <c r="BG79" s="168">
        <f>SUMIF('CF(M)'!$L$10:$EQ$10,BG$6,'CF(M)'!$L84:$EQ84)</f>
        <v>0</v>
      </c>
      <c r="BH79" s="168">
        <f>SUMIF('CF(M)'!$L$10:$EQ$10,BH$6,'CF(M)'!$L84:$EQ84)</f>
        <v>0</v>
      </c>
      <c r="BI79" s="168">
        <f>SUMIF('CF(M)'!$L$10:$EQ$10,BI$6,'CF(M)'!$L84:$EQ84)</f>
        <v>0</v>
      </c>
      <c r="BJ79" s="168">
        <f>SUMIF('CF(M)'!$L$10:$EQ$10,BJ$6,'CF(M)'!$L84:$EQ84)</f>
        <v>0</v>
      </c>
      <c r="BK79" s="168">
        <f>SUMIF('CF(M)'!$L$10:$EQ$10,BK$6,'CF(M)'!$L84:$EQ84)</f>
        <v>0</v>
      </c>
      <c r="BL79" s="168">
        <f>SUMIF('CF(M)'!$L$10:$EQ$10,BL$6,'CF(M)'!$L84:$EQ84)</f>
        <v>0</v>
      </c>
      <c r="BM79" s="168">
        <f>SUMIF('CF(M)'!$L$10:$EQ$10,BM$6,'CF(M)'!$L84:$EQ84)</f>
        <v>0</v>
      </c>
      <c r="BN79" s="168">
        <f>SUMIF('CF(M)'!$L$10:$EQ$10,BN$6,'CF(M)'!$L84:$EQ84)</f>
        <v>0</v>
      </c>
      <c r="BO79" s="168">
        <f>SUMIF('CF(M)'!$L$10:$EQ$10,BO$6,'CF(M)'!$L84:$EQ84)</f>
        <v>0</v>
      </c>
      <c r="BP79" s="168">
        <f>SUMIF('CF(M)'!$L$10:$EQ$10,BP$6,'CF(M)'!$L84:$EQ84)</f>
        <v>0</v>
      </c>
      <c r="BQ79" s="168">
        <f>SUMIF('CF(M)'!$L$10:$EQ$10,BQ$6,'CF(M)'!$L84:$EQ84)</f>
        <v>0</v>
      </c>
      <c r="BR79" s="168">
        <f>SUMIF('CF(M)'!$L$10:$EQ$10,BR$6,'CF(M)'!$L84:$EQ84)</f>
        <v>0</v>
      </c>
      <c r="BS79" s="168">
        <f>SUMIF('CF(M)'!$L$10:$EQ$10,BS$6,'CF(M)'!$L84:$EQ84)</f>
        <v>0</v>
      </c>
      <c r="BT79" s="168">
        <f>SUMIF('CF(M)'!$L$10:$EQ$10,BT$6,'CF(M)'!$L84:$EQ84)</f>
        <v>0</v>
      </c>
      <c r="BU79" s="168">
        <f>SUMIF('CF(M)'!$L$10:$EQ$10,BU$6,'CF(M)'!$L84:$EQ84)</f>
        <v>0</v>
      </c>
      <c r="BV79" s="168">
        <f>SUMIF('CF(M)'!$L$10:$EQ$10,BV$6,'CF(M)'!$L84:$EQ84)</f>
        <v>0</v>
      </c>
      <c r="BW79" s="168">
        <f>SUMIF('CF(M)'!$L$10:$EQ$10,BW$6,'CF(M)'!$L84:$EQ84)</f>
        <v>0</v>
      </c>
      <c r="BX79" s="168">
        <f>SUMIF('CF(M)'!$L$10:$EQ$10,BX$6,'CF(M)'!$L84:$EQ84)</f>
        <v>0</v>
      </c>
      <c r="BY79" s="168">
        <f>SUMIF('CF(M)'!$L$10:$EQ$10,BY$6,'CF(M)'!$L84:$EQ84)</f>
        <v>0</v>
      </c>
      <c r="BZ79" s="168">
        <f>SUMIF('CF(M)'!$L$10:$EQ$10,BZ$6,'CF(M)'!$L84:$EQ84)</f>
        <v>0</v>
      </c>
      <c r="CA79" s="168">
        <f>SUMIF('CF(M)'!$L$10:$EQ$10,CA$6,'CF(M)'!$L84:$EQ84)</f>
        <v>0</v>
      </c>
      <c r="CB79" s="168">
        <f>SUMIF('CF(M)'!$L$10:$EQ$10,CB$6,'CF(M)'!$L84:$EQ84)</f>
        <v>0</v>
      </c>
      <c r="CC79" s="168">
        <f>SUMIF('CF(M)'!$L$10:$EQ$10,CC$6,'CF(M)'!$L84:$EQ84)</f>
        <v>0</v>
      </c>
      <c r="CD79" s="168">
        <f>SUMIF('CF(M)'!$L$10:$EQ$10,CD$6,'CF(M)'!$L84:$EQ84)</f>
        <v>0</v>
      </c>
      <c r="CE79" s="168">
        <f>SUMIF('CF(M)'!$L$10:$EQ$10,CE$6,'CF(M)'!$L84:$EQ84)</f>
        <v>0</v>
      </c>
      <c r="CF79" s="168">
        <f>SUMIF('CF(M)'!$L$10:$EQ$10,CF$6,'CF(M)'!$L84:$EQ84)</f>
        <v>0</v>
      </c>
      <c r="CG79" s="168">
        <f>SUMIF('CF(M)'!$L$10:$EQ$10,CG$6,'CF(M)'!$L84:$EQ84)</f>
        <v>0</v>
      </c>
      <c r="CH79" s="168">
        <f>SUMIF('CF(M)'!$L$10:$EQ$10,CH$6,'CF(M)'!$L84:$EQ84)</f>
        <v>0</v>
      </c>
      <c r="CI79" s="168">
        <f>SUMIF('CF(M)'!$L$10:$EQ$10,CI$6,'CF(M)'!$L84:$EQ84)</f>
        <v>0</v>
      </c>
      <c r="CJ79" s="168">
        <f>SUMIF('CF(M)'!$L$10:$EQ$10,CJ$6,'CF(M)'!$L84:$EQ84)</f>
        <v>0</v>
      </c>
      <c r="CK79" s="168">
        <f>SUMIF('CF(M)'!$L$10:$EQ$10,CK$6,'CF(M)'!$L84:$EQ84)</f>
        <v>0</v>
      </c>
      <c r="CL79" s="168">
        <f>SUMIF('CF(M)'!$L$10:$EQ$10,CL$6,'CF(M)'!$L84:$EQ84)</f>
        <v>0</v>
      </c>
      <c r="CM79" s="168">
        <f>SUMIF('CF(M)'!$L$10:$EQ$10,CM$6,'CF(M)'!$L84:$EQ84)</f>
        <v>0</v>
      </c>
      <c r="CN79" s="168">
        <f>SUMIF('CF(M)'!$L$10:$EQ$10,CN$6,'CF(M)'!$L84:$EQ84)</f>
        <v>0</v>
      </c>
      <c r="CO79" s="168">
        <f>SUMIF('CF(M)'!$L$10:$EQ$10,CO$6,'CF(M)'!$L84:$EQ84)</f>
        <v>0</v>
      </c>
      <c r="CP79" s="168">
        <f>SUMIF('CF(M)'!$L$10:$EQ$10,CP$6,'CF(M)'!$L84:$EQ84)</f>
        <v>0</v>
      </c>
      <c r="CQ79" s="168">
        <f>SUMIF('CF(M)'!$L$10:$EQ$10,CQ$6,'CF(M)'!$L84:$EQ84)</f>
        <v>0</v>
      </c>
      <c r="CR79" s="168">
        <f>SUMIF('CF(M)'!$L$10:$EQ$10,CR$6,'CF(M)'!$L84:$EQ84)</f>
        <v>0</v>
      </c>
      <c r="CS79" s="168">
        <f>SUMIF('CF(M)'!$L$10:$EQ$10,CS$6,'CF(M)'!$L84:$EQ84)</f>
        <v>0</v>
      </c>
      <c r="CT79" s="168">
        <f>SUMIF('CF(M)'!$L$10:$EQ$10,CT$6,'CF(M)'!$L84:$EQ84)</f>
        <v>0</v>
      </c>
      <c r="CU79" s="168">
        <f>SUMIF('CF(M)'!$L$10:$EQ$10,CU$6,'CF(M)'!$L84:$EQ84)</f>
        <v>0</v>
      </c>
      <c r="CV79" s="168">
        <f>SUMIF('CF(M)'!$L$10:$EQ$10,CV$6,'CF(M)'!$L84:$EQ84)</f>
        <v>0</v>
      </c>
      <c r="CW79" s="168">
        <f>SUMIF('CF(M)'!$L$10:$EQ$10,CW$6,'CF(M)'!$L84:$EQ84)</f>
        <v>0</v>
      </c>
      <c r="CX79" s="168">
        <f>SUMIF('CF(M)'!$L$10:$EQ$10,CX$6,'CF(M)'!$L84:$EQ84)</f>
        <v>0</v>
      </c>
      <c r="CY79" s="168">
        <f>SUMIF('CF(M)'!$L$10:$EQ$10,CY$6,'CF(M)'!$L84:$EQ84)</f>
        <v>0</v>
      </c>
      <c r="CZ79" s="168">
        <f>SUMIF('CF(M)'!$L$10:$EQ$10,CZ$6,'CF(M)'!$L84:$EQ84)</f>
        <v>0</v>
      </c>
      <c r="DA79" s="168">
        <f>SUMIF('CF(M)'!$L$10:$EQ$10,DA$6,'CF(M)'!$L84:$EQ84)</f>
        <v>0</v>
      </c>
      <c r="DB79" s="168">
        <f>SUMIF('CF(M)'!$L$10:$EQ$10,DB$6,'CF(M)'!$L84:$EQ84)</f>
        <v>0</v>
      </c>
      <c r="DC79" s="168">
        <f>SUMIF('CF(M)'!$L$10:$EQ$10,DC$6,'CF(M)'!$L84:$EQ84)</f>
        <v>0</v>
      </c>
      <c r="DD79" s="168">
        <f>SUMIF('CF(M)'!$L$10:$EQ$10,DD$6,'CF(M)'!$L84:$EQ84)</f>
        <v>0</v>
      </c>
      <c r="DE79" s="168">
        <f>SUMIF('CF(M)'!$L$10:$EQ$10,DE$6,'CF(M)'!$L84:$EQ84)</f>
        <v>0</v>
      </c>
      <c r="DF79" s="168">
        <f>SUMIF('CF(M)'!$L$10:$EQ$10,DF$6,'CF(M)'!$L84:$EQ84)</f>
        <v>0</v>
      </c>
      <c r="DG79" s="168">
        <f>SUMIF('CF(M)'!$L$10:$EQ$10,DG$6,'CF(M)'!$L84:$EQ84)</f>
        <v>0</v>
      </c>
      <c r="DH79" s="168">
        <f>SUMIF('CF(M)'!$L$10:$EQ$10,DH$6,'CF(M)'!$L84:$EQ84)</f>
        <v>0</v>
      </c>
      <c r="DI79" s="168">
        <f>SUMIF('CF(M)'!$L$10:$EQ$10,DI$6,'CF(M)'!$L84:$EQ84)</f>
        <v>0</v>
      </c>
      <c r="DJ79" s="168">
        <f>SUMIF('CF(M)'!$L$10:$EQ$10,DJ$6,'CF(M)'!$L84:$EQ84)</f>
        <v>0</v>
      </c>
      <c r="DK79" s="168">
        <f>SUMIF('CF(M)'!$L$10:$EQ$10,DK$6,'CF(M)'!$L84:$EQ84)</f>
        <v>0</v>
      </c>
      <c r="DL79" s="168">
        <f>SUMIF('CF(M)'!$L$10:$EQ$10,DL$6,'CF(M)'!$L84:$EQ84)</f>
        <v>0</v>
      </c>
      <c r="DM79" s="168">
        <f>SUMIF('CF(M)'!$L$10:$EQ$10,DM$6,'CF(M)'!$L84:$EQ84)</f>
        <v>0</v>
      </c>
      <c r="DN79" s="168">
        <f>SUMIF('CF(M)'!$L$10:$EQ$10,DN$6,'CF(M)'!$L84:$EQ84)</f>
        <v>0</v>
      </c>
      <c r="DO79" s="168">
        <f>SUMIF('CF(M)'!$L$10:$EQ$10,DO$6,'CF(M)'!$L84:$EQ84)</f>
        <v>0</v>
      </c>
      <c r="DP79" s="168">
        <f>SUMIF('CF(M)'!$L$10:$EQ$10,DP$6,'CF(M)'!$L84:$EQ84)</f>
        <v>0</v>
      </c>
      <c r="DQ79" s="168">
        <f>SUMIF('CF(M)'!$L$10:$EQ$10,DQ$6,'CF(M)'!$L84:$EQ84)</f>
        <v>0</v>
      </c>
      <c r="DR79" s="168">
        <f>SUMIF('CF(M)'!$L$10:$EQ$10,DR$6,'CF(M)'!$L84:$EQ84)</f>
        <v>0</v>
      </c>
      <c r="DS79" s="168">
        <f>SUMIF('CF(M)'!$L$10:$EQ$10,DS$6,'CF(M)'!$L84:$EQ84)</f>
        <v>0</v>
      </c>
      <c r="DT79" s="168">
        <f>SUMIF('CF(M)'!$L$10:$EQ$10,DT$6,'CF(M)'!$L84:$EQ84)</f>
        <v>0</v>
      </c>
      <c r="DU79" s="168">
        <f>SUMIF('CF(M)'!$L$10:$EQ$10,DU$6,'CF(M)'!$L84:$EQ84)</f>
        <v>0</v>
      </c>
      <c r="DV79" s="168">
        <f>SUMIF('CF(M)'!$L$10:$EQ$10,DV$6,'CF(M)'!$L84:$EQ84)</f>
        <v>0</v>
      </c>
    </row>
    <row r="80" spans="2:126" ht="11.25" customHeight="1">
      <c r="B80" s="218"/>
      <c r="C80" s="163"/>
      <c r="D80" s="169" t="s">
        <v>209</v>
      </c>
      <c r="H80" s="146"/>
      <c r="I80" s="229"/>
      <c r="J80" s="171">
        <f>SUM(L80:DV80)</f>
        <v>0</v>
      </c>
      <c r="K80" s="98"/>
      <c r="L80" s="171">
        <f>SUMIF('CF(M)'!$L$10:$EQ$10,L$6,'CF(M)'!$L85:$EQ85)</f>
        <v>0</v>
      </c>
      <c r="M80" s="171">
        <f>SUMIF('CF(M)'!$L$10:$EQ$10,M$6,'CF(M)'!$L85:$EQ85)</f>
        <v>0</v>
      </c>
      <c r="N80" s="171">
        <f>SUMIF('CF(M)'!$L$10:$EQ$10,N$6,'CF(M)'!$L85:$EQ85)</f>
        <v>0</v>
      </c>
      <c r="O80" s="171">
        <f>SUMIF('CF(M)'!$L$10:$EQ$10,O$6,'CF(M)'!$L85:$EQ85)</f>
        <v>0</v>
      </c>
      <c r="P80" s="171">
        <f>SUMIF('CF(M)'!$L$10:$EQ$10,P$6,'CF(M)'!$L85:$EQ85)</f>
        <v>0</v>
      </c>
      <c r="Q80" s="171">
        <f>SUMIF('CF(M)'!$L$10:$EQ$10,Q$6,'CF(M)'!$L85:$EQ85)</f>
        <v>0</v>
      </c>
      <c r="R80" s="171">
        <f>SUMIF('CF(M)'!$L$10:$EQ$10,R$6,'CF(M)'!$L85:$EQ85)</f>
        <v>0</v>
      </c>
      <c r="S80" s="171">
        <f>SUMIF('CF(M)'!$L$10:$EQ$10,S$6,'CF(M)'!$L85:$EQ85)</f>
        <v>0</v>
      </c>
      <c r="T80" s="171">
        <f>SUMIF('CF(M)'!$L$10:$EQ$10,T$6,'CF(M)'!$L85:$EQ85)</f>
        <v>0</v>
      </c>
      <c r="U80" s="171">
        <f>SUMIF('CF(M)'!$L$10:$EQ$10,U$6,'CF(M)'!$L85:$EQ85)</f>
        <v>0</v>
      </c>
      <c r="V80" s="171">
        <f>SUMIF('CF(M)'!$L$10:$EQ$10,V$6,'CF(M)'!$L85:$EQ85)</f>
        <v>0</v>
      </c>
      <c r="W80" s="171">
        <f>SUMIF('CF(M)'!$L$10:$EQ$10,W$6,'CF(M)'!$L85:$EQ85)</f>
        <v>0</v>
      </c>
      <c r="X80" s="171">
        <f>SUMIF('CF(M)'!$L$10:$EQ$10,X$6,'CF(M)'!$L85:$EQ85)</f>
        <v>0</v>
      </c>
      <c r="Y80" s="171">
        <f>SUMIF('CF(M)'!$L$10:$EQ$10,Y$6,'CF(M)'!$L85:$EQ85)</f>
        <v>0</v>
      </c>
      <c r="Z80" s="171">
        <f>SUMIF('CF(M)'!$L$10:$EQ$10,Z$6,'CF(M)'!$L85:$EQ85)</f>
        <v>0</v>
      </c>
      <c r="AA80" s="171">
        <f>SUMIF('CF(M)'!$L$10:$EQ$10,AA$6,'CF(M)'!$L85:$EQ85)</f>
        <v>0</v>
      </c>
      <c r="AB80" s="171">
        <f>SUMIF('CF(M)'!$L$10:$EQ$10,AB$6,'CF(M)'!$L85:$EQ85)</f>
        <v>0</v>
      </c>
      <c r="AC80" s="171">
        <f>SUMIF('CF(M)'!$L$10:$EQ$10,AC$6,'CF(M)'!$L85:$EQ85)</f>
        <v>0</v>
      </c>
      <c r="AD80" s="171">
        <f>SUMIF('CF(M)'!$L$10:$EQ$10,AD$6,'CF(M)'!$L85:$EQ85)</f>
        <v>0</v>
      </c>
      <c r="AE80" s="171">
        <f>SUMIF('CF(M)'!$L$10:$EQ$10,AE$6,'CF(M)'!$L85:$EQ85)</f>
        <v>0</v>
      </c>
      <c r="AF80" s="171">
        <f>SUMIF('CF(M)'!$L$10:$EQ$10,AF$6,'CF(M)'!$L85:$EQ85)</f>
        <v>0</v>
      </c>
      <c r="AG80" s="171">
        <f>SUMIF('CF(M)'!$L$10:$EQ$10,AG$6,'CF(M)'!$L85:$EQ85)</f>
        <v>0</v>
      </c>
      <c r="AH80" s="171">
        <f>SUMIF('CF(M)'!$L$10:$EQ$10,AH$6,'CF(M)'!$L85:$EQ85)</f>
        <v>0</v>
      </c>
      <c r="AI80" s="171">
        <f>SUMIF('CF(M)'!$L$10:$EQ$10,AI$6,'CF(M)'!$L85:$EQ85)</f>
        <v>0</v>
      </c>
      <c r="AJ80" s="171">
        <f>SUMIF('CF(M)'!$L$10:$EQ$10,AJ$6,'CF(M)'!$L85:$EQ85)</f>
        <v>0</v>
      </c>
      <c r="AK80" s="171">
        <f>SUMIF('CF(M)'!$L$10:$EQ$10,AK$6,'CF(M)'!$L85:$EQ85)</f>
        <v>0</v>
      </c>
      <c r="AL80" s="171">
        <f>SUMIF('CF(M)'!$L$10:$EQ$10,AL$6,'CF(M)'!$L85:$EQ85)</f>
        <v>0</v>
      </c>
      <c r="AM80" s="171">
        <f>SUMIF('CF(M)'!$L$10:$EQ$10,AM$6,'CF(M)'!$L85:$EQ85)</f>
        <v>0</v>
      </c>
      <c r="AN80" s="171">
        <f>SUMIF('CF(M)'!$L$10:$EQ$10,AN$6,'CF(M)'!$L85:$EQ85)</f>
        <v>0</v>
      </c>
      <c r="AO80" s="171">
        <f>SUMIF('CF(M)'!$L$10:$EQ$10,AO$6,'CF(M)'!$L85:$EQ85)</f>
        <v>0</v>
      </c>
      <c r="AP80" s="171">
        <f>SUMIF('CF(M)'!$L$10:$EQ$10,AP$6,'CF(M)'!$L85:$EQ85)</f>
        <v>0</v>
      </c>
      <c r="AQ80" s="171">
        <f>SUMIF('CF(M)'!$L$10:$EQ$10,AQ$6,'CF(M)'!$L85:$EQ85)</f>
        <v>0</v>
      </c>
      <c r="AR80" s="171">
        <f>SUMIF('CF(M)'!$L$10:$EQ$10,AR$6,'CF(M)'!$L85:$EQ85)</f>
        <v>0</v>
      </c>
      <c r="AS80" s="171">
        <f>SUMIF('CF(M)'!$L$10:$EQ$10,AS$6,'CF(M)'!$L85:$EQ85)</f>
        <v>0</v>
      </c>
      <c r="AT80" s="171">
        <f>SUMIF('CF(M)'!$L$10:$EQ$10,AT$6,'CF(M)'!$L85:$EQ85)</f>
        <v>0</v>
      </c>
      <c r="AU80" s="171">
        <f>SUMIF('CF(M)'!$L$10:$EQ$10,AU$6,'CF(M)'!$L85:$EQ85)</f>
        <v>0</v>
      </c>
      <c r="AV80" s="171">
        <f>SUMIF('CF(M)'!$L$10:$EQ$10,AV$6,'CF(M)'!$L85:$EQ85)</f>
        <v>0</v>
      </c>
      <c r="AW80" s="171">
        <f>SUMIF('CF(M)'!$L$10:$EQ$10,AW$6,'CF(M)'!$L85:$EQ85)</f>
        <v>0</v>
      </c>
      <c r="AX80" s="171">
        <f>SUMIF('CF(M)'!$L$10:$EQ$10,AX$6,'CF(M)'!$L85:$EQ85)</f>
        <v>0</v>
      </c>
      <c r="AY80" s="171">
        <f>SUMIF('CF(M)'!$L$10:$EQ$10,AY$6,'CF(M)'!$L85:$EQ85)</f>
        <v>0</v>
      </c>
      <c r="AZ80" s="171">
        <f>SUMIF('CF(M)'!$L$10:$EQ$10,AZ$6,'CF(M)'!$L85:$EQ85)</f>
        <v>0</v>
      </c>
      <c r="BA80" s="171">
        <f>SUMIF('CF(M)'!$L$10:$EQ$10,BA$6,'CF(M)'!$L85:$EQ85)</f>
        <v>0</v>
      </c>
      <c r="BB80" s="171">
        <f>SUMIF('CF(M)'!$L$10:$EQ$10,BB$6,'CF(M)'!$L85:$EQ85)</f>
        <v>0</v>
      </c>
      <c r="BC80" s="171">
        <f>SUMIF('CF(M)'!$L$10:$EQ$10,BC$6,'CF(M)'!$L85:$EQ85)</f>
        <v>0</v>
      </c>
      <c r="BD80" s="171">
        <f>SUMIF('CF(M)'!$L$10:$EQ$10,BD$6,'CF(M)'!$L85:$EQ85)</f>
        <v>0</v>
      </c>
      <c r="BE80" s="171">
        <f>SUMIF('CF(M)'!$L$10:$EQ$10,BE$6,'CF(M)'!$L85:$EQ85)</f>
        <v>0</v>
      </c>
      <c r="BF80" s="171">
        <f>SUMIF('CF(M)'!$L$10:$EQ$10,BF$6,'CF(M)'!$L85:$EQ85)</f>
        <v>0</v>
      </c>
      <c r="BG80" s="171">
        <f>SUMIF('CF(M)'!$L$10:$EQ$10,BG$6,'CF(M)'!$L85:$EQ85)</f>
        <v>0</v>
      </c>
      <c r="BH80" s="171">
        <f>SUMIF('CF(M)'!$L$10:$EQ$10,BH$6,'CF(M)'!$L85:$EQ85)</f>
        <v>0</v>
      </c>
      <c r="BI80" s="171">
        <f>SUMIF('CF(M)'!$L$10:$EQ$10,BI$6,'CF(M)'!$L85:$EQ85)</f>
        <v>0</v>
      </c>
      <c r="BJ80" s="171">
        <f>SUMIF('CF(M)'!$L$10:$EQ$10,BJ$6,'CF(M)'!$L85:$EQ85)</f>
        <v>0</v>
      </c>
      <c r="BK80" s="171">
        <f>SUMIF('CF(M)'!$L$10:$EQ$10,BK$6,'CF(M)'!$L85:$EQ85)</f>
        <v>0</v>
      </c>
      <c r="BL80" s="171">
        <f>SUMIF('CF(M)'!$L$10:$EQ$10,BL$6,'CF(M)'!$L85:$EQ85)</f>
        <v>0</v>
      </c>
      <c r="BM80" s="171">
        <f>SUMIF('CF(M)'!$L$10:$EQ$10,BM$6,'CF(M)'!$L85:$EQ85)</f>
        <v>0</v>
      </c>
      <c r="BN80" s="171">
        <f>SUMIF('CF(M)'!$L$10:$EQ$10,BN$6,'CF(M)'!$L85:$EQ85)</f>
        <v>0</v>
      </c>
      <c r="BO80" s="171">
        <f>SUMIF('CF(M)'!$L$10:$EQ$10,BO$6,'CF(M)'!$L85:$EQ85)</f>
        <v>0</v>
      </c>
      <c r="BP80" s="171">
        <f>SUMIF('CF(M)'!$L$10:$EQ$10,BP$6,'CF(M)'!$L85:$EQ85)</f>
        <v>0</v>
      </c>
      <c r="BQ80" s="171">
        <f>SUMIF('CF(M)'!$L$10:$EQ$10,BQ$6,'CF(M)'!$L85:$EQ85)</f>
        <v>0</v>
      </c>
      <c r="BR80" s="171">
        <f>SUMIF('CF(M)'!$L$10:$EQ$10,BR$6,'CF(M)'!$L85:$EQ85)</f>
        <v>0</v>
      </c>
      <c r="BS80" s="171">
        <f>SUMIF('CF(M)'!$L$10:$EQ$10,BS$6,'CF(M)'!$L85:$EQ85)</f>
        <v>0</v>
      </c>
      <c r="BT80" s="171">
        <f>SUMIF('CF(M)'!$L$10:$EQ$10,BT$6,'CF(M)'!$L85:$EQ85)</f>
        <v>0</v>
      </c>
      <c r="BU80" s="171">
        <f>SUMIF('CF(M)'!$L$10:$EQ$10,BU$6,'CF(M)'!$L85:$EQ85)</f>
        <v>0</v>
      </c>
      <c r="BV80" s="171">
        <f>SUMIF('CF(M)'!$L$10:$EQ$10,BV$6,'CF(M)'!$L85:$EQ85)</f>
        <v>0</v>
      </c>
      <c r="BW80" s="171">
        <f>SUMIF('CF(M)'!$L$10:$EQ$10,BW$6,'CF(M)'!$L85:$EQ85)</f>
        <v>0</v>
      </c>
      <c r="BX80" s="171">
        <f>SUMIF('CF(M)'!$L$10:$EQ$10,BX$6,'CF(M)'!$L85:$EQ85)</f>
        <v>0</v>
      </c>
      <c r="BY80" s="171">
        <f>SUMIF('CF(M)'!$L$10:$EQ$10,BY$6,'CF(M)'!$L85:$EQ85)</f>
        <v>0</v>
      </c>
      <c r="BZ80" s="171">
        <f>SUMIF('CF(M)'!$L$10:$EQ$10,BZ$6,'CF(M)'!$L85:$EQ85)</f>
        <v>0</v>
      </c>
      <c r="CA80" s="171">
        <f>SUMIF('CF(M)'!$L$10:$EQ$10,CA$6,'CF(M)'!$L85:$EQ85)</f>
        <v>0</v>
      </c>
      <c r="CB80" s="171">
        <f>SUMIF('CF(M)'!$L$10:$EQ$10,CB$6,'CF(M)'!$L85:$EQ85)</f>
        <v>0</v>
      </c>
      <c r="CC80" s="171">
        <f>SUMIF('CF(M)'!$L$10:$EQ$10,CC$6,'CF(M)'!$L85:$EQ85)</f>
        <v>0</v>
      </c>
      <c r="CD80" s="171">
        <f>SUMIF('CF(M)'!$L$10:$EQ$10,CD$6,'CF(M)'!$L85:$EQ85)</f>
        <v>0</v>
      </c>
      <c r="CE80" s="171">
        <f>SUMIF('CF(M)'!$L$10:$EQ$10,CE$6,'CF(M)'!$L85:$EQ85)</f>
        <v>0</v>
      </c>
      <c r="CF80" s="171">
        <f>SUMIF('CF(M)'!$L$10:$EQ$10,CF$6,'CF(M)'!$L85:$EQ85)</f>
        <v>0</v>
      </c>
      <c r="CG80" s="171">
        <f>SUMIF('CF(M)'!$L$10:$EQ$10,CG$6,'CF(M)'!$L85:$EQ85)</f>
        <v>0</v>
      </c>
      <c r="CH80" s="171">
        <f>SUMIF('CF(M)'!$L$10:$EQ$10,CH$6,'CF(M)'!$L85:$EQ85)</f>
        <v>0</v>
      </c>
      <c r="CI80" s="171">
        <f>SUMIF('CF(M)'!$L$10:$EQ$10,CI$6,'CF(M)'!$L85:$EQ85)</f>
        <v>0</v>
      </c>
      <c r="CJ80" s="171">
        <f>SUMIF('CF(M)'!$L$10:$EQ$10,CJ$6,'CF(M)'!$L85:$EQ85)</f>
        <v>0</v>
      </c>
      <c r="CK80" s="171">
        <f>SUMIF('CF(M)'!$L$10:$EQ$10,CK$6,'CF(M)'!$L85:$EQ85)</f>
        <v>0</v>
      </c>
      <c r="CL80" s="171">
        <f>SUMIF('CF(M)'!$L$10:$EQ$10,CL$6,'CF(M)'!$L85:$EQ85)</f>
        <v>0</v>
      </c>
      <c r="CM80" s="171">
        <f>SUMIF('CF(M)'!$L$10:$EQ$10,CM$6,'CF(M)'!$L85:$EQ85)</f>
        <v>0</v>
      </c>
      <c r="CN80" s="171">
        <f>SUMIF('CF(M)'!$L$10:$EQ$10,CN$6,'CF(M)'!$L85:$EQ85)</f>
        <v>0</v>
      </c>
      <c r="CO80" s="171">
        <f>SUMIF('CF(M)'!$L$10:$EQ$10,CO$6,'CF(M)'!$L85:$EQ85)</f>
        <v>0</v>
      </c>
      <c r="CP80" s="171">
        <f>SUMIF('CF(M)'!$L$10:$EQ$10,CP$6,'CF(M)'!$L85:$EQ85)</f>
        <v>0</v>
      </c>
      <c r="CQ80" s="171">
        <f>SUMIF('CF(M)'!$L$10:$EQ$10,CQ$6,'CF(M)'!$L85:$EQ85)</f>
        <v>0</v>
      </c>
      <c r="CR80" s="171">
        <f>SUMIF('CF(M)'!$L$10:$EQ$10,CR$6,'CF(M)'!$L85:$EQ85)</f>
        <v>0</v>
      </c>
      <c r="CS80" s="171">
        <f>SUMIF('CF(M)'!$L$10:$EQ$10,CS$6,'CF(M)'!$L85:$EQ85)</f>
        <v>0</v>
      </c>
      <c r="CT80" s="171">
        <f>SUMIF('CF(M)'!$L$10:$EQ$10,CT$6,'CF(M)'!$L85:$EQ85)</f>
        <v>0</v>
      </c>
      <c r="CU80" s="171">
        <f>SUMIF('CF(M)'!$L$10:$EQ$10,CU$6,'CF(M)'!$L85:$EQ85)</f>
        <v>0</v>
      </c>
      <c r="CV80" s="171">
        <f>SUMIF('CF(M)'!$L$10:$EQ$10,CV$6,'CF(M)'!$L85:$EQ85)</f>
        <v>0</v>
      </c>
      <c r="CW80" s="171">
        <f>SUMIF('CF(M)'!$L$10:$EQ$10,CW$6,'CF(M)'!$L85:$EQ85)</f>
        <v>0</v>
      </c>
      <c r="CX80" s="171">
        <f>SUMIF('CF(M)'!$L$10:$EQ$10,CX$6,'CF(M)'!$L85:$EQ85)</f>
        <v>0</v>
      </c>
      <c r="CY80" s="171">
        <f>SUMIF('CF(M)'!$L$10:$EQ$10,CY$6,'CF(M)'!$L85:$EQ85)</f>
        <v>0</v>
      </c>
      <c r="CZ80" s="171">
        <f>SUMIF('CF(M)'!$L$10:$EQ$10,CZ$6,'CF(M)'!$L85:$EQ85)</f>
        <v>0</v>
      </c>
      <c r="DA80" s="171">
        <f>SUMIF('CF(M)'!$L$10:$EQ$10,DA$6,'CF(M)'!$L85:$EQ85)</f>
        <v>0</v>
      </c>
      <c r="DB80" s="171">
        <f>SUMIF('CF(M)'!$L$10:$EQ$10,DB$6,'CF(M)'!$L85:$EQ85)</f>
        <v>0</v>
      </c>
      <c r="DC80" s="171">
        <f>SUMIF('CF(M)'!$L$10:$EQ$10,DC$6,'CF(M)'!$L85:$EQ85)</f>
        <v>0</v>
      </c>
      <c r="DD80" s="171">
        <f>SUMIF('CF(M)'!$L$10:$EQ$10,DD$6,'CF(M)'!$L85:$EQ85)</f>
        <v>0</v>
      </c>
      <c r="DE80" s="171">
        <f>SUMIF('CF(M)'!$L$10:$EQ$10,DE$6,'CF(M)'!$L85:$EQ85)</f>
        <v>0</v>
      </c>
      <c r="DF80" s="171">
        <f>SUMIF('CF(M)'!$L$10:$EQ$10,DF$6,'CF(M)'!$L85:$EQ85)</f>
        <v>0</v>
      </c>
      <c r="DG80" s="171">
        <f>SUMIF('CF(M)'!$L$10:$EQ$10,DG$6,'CF(M)'!$L85:$EQ85)</f>
        <v>0</v>
      </c>
      <c r="DH80" s="171">
        <f>SUMIF('CF(M)'!$L$10:$EQ$10,DH$6,'CF(M)'!$L85:$EQ85)</f>
        <v>0</v>
      </c>
      <c r="DI80" s="171">
        <f>SUMIF('CF(M)'!$L$10:$EQ$10,DI$6,'CF(M)'!$L85:$EQ85)</f>
        <v>0</v>
      </c>
      <c r="DJ80" s="171">
        <f>SUMIF('CF(M)'!$L$10:$EQ$10,DJ$6,'CF(M)'!$L85:$EQ85)</f>
        <v>0</v>
      </c>
      <c r="DK80" s="171">
        <f>SUMIF('CF(M)'!$L$10:$EQ$10,DK$6,'CF(M)'!$L85:$EQ85)</f>
        <v>0</v>
      </c>
      <c r="DL80" s="171">
        <f>SUMIF('CF(M)'!$L$10:$EQ$10,DL$6,'CF(M)'!$L85:$EQ85)</f>
        <v>0</v>
      </c>
      <c r="DM80" s="171">
        <f>SUMIF('CF(M)'!$L$10:$EQ$10,DM$6,'CF(M)'!$L85:$EQ85)</f>
        <v>0</v>
      </c>
      <c r="DN80" s="171">
        <f>SUMIF('CF(M)'!$L$10:$EQ$10,DN$6,'CF(M)'!$L85:$EQ85)</f>
        <v>0</v>
      </c>
      <c r="DO80" s="171">
        <f>SUMIF('CF(M)'!$L$10:$EQ$10,DO$6,'CF(M)'!$L85:$EQ85)</f>
        <v>0</v>
      </c>
      <c r="DP80" s="171">
        <f>SUMIF('CF(M)'!$L$10:$EQ$10,DP$6,'CF(M)'!$L85:$EQ85)</f>
        <v>0</v>
      </c>
      <c r="DQ80" s="171">
        <f>SUMIF('CF(M)'!$L$10:$EQ$10,DQ$6,'CF(M)'!$L85:$EQ85)</f>
        <v>0</v>
      </c>
      <c r="DR80" s="171">
        <f>SUMIF('CF(M)'!$L$10:$EQ$10,DR$6,'CF(M)'!$L85:$EQ85)</f>
        <v>0</v>
      </c>
      <c r="DS80" s="171">
        <f>SUMIF('CF(M)'!$L$10:$EQ$10,DS$6,'CF(M)'!$L85:$EQ85)</f>
        <v>0</v>
      </c>
      <c r="DT80" s="171">
        <f>SUMIF('CF(M)'!$L$10:$EQ$10,DT$6,'CF(M)'!$L85:$EQ85)</f>
        <v>0</v>
      </c>
      <c r="DU80" s="171">
        <f>SUMIF('CF(M)'!$L$10:$EQ$10,DU$6,'CF(M)'!$L85:$EQ85)</f>
        <v>0</v>
      </c>
      <c r="DV80" s="171">
        <f>SUMIF('CF(M)'!$L$10:$EQ$10,DV$6,'CF(M)'!$L85:$EQ85)</f>
        <v>0</v>
      </c>
    </row>
    <row r="81" spans="2:126" ht="11.25" customHeight="1">
      <c r="B81" s="218"/>
      <c r="C81" s="158" t="str">
        <f>'CF(M)'!C86</f>
        <v>중순위대출(3rd)</v>
      </c>
      <c r="D81" s="159"/>
      <c r="E81" s="159"/>
      <c r="F81" s="159"/>
      <c r="G81" s="159"/>
      <c r="H81" s="160"/>
      <c r="I81" s="219"/>
      <c r="J81" s="220">
        <f>SUM(J82:J83)</f>
        <v>0</v>
      </c>
      <c r="K81" s="98"/>
      <c r="L81" s="162">
        <f>SUM(L82:L83)</f>
        <v>0</v>
      </c>
      <c r="M81" s="162">
        <f t="shared" ref="M81:BX81" si="38">SUM(M82:M83)</f>
        <v>0</v>
      </c>
      <c r="N81" s="162">
        <f t="shared" si="38"/>
        <v>0</v>
      </c>
      <c r="O81" s="162">
        <f t="shared" si="38"/>
        <v>0</v>
      </c>
      <c r="P81" s="162">
        <f t="shared" si="38"/>
        <v>0</v>
      </c>
      <c r="Q81" s="162">
        <f t="shared" si="38"/>
        <v>0</v>
      </c>
      <c r="R81" s="162">
        <f t="shared" si="38"/>
        <v>0</v>
      </c>
      <c r="S81" s="162">
        <f t="shared" si="38"/>
        <v>0</v>
      </c>
      <c r="T81" s="162">
        <f t="shared" si="38"/>
        <v>0</v>
      </c>
      <c r="U81" s="162">
        <f t="shared" si="38"/>
        <v>0</v>
      </c>
      <c r="V81" s="162">
        <f t="shared" si="38"/>
        <v>0</v>
      </c>
      <c r="W81" s="162">
        <f t="shared" si="38"/>
        <v>0</v>
      </c>
      <c r="X81" s="162">
        <f t="shared" si="38"/>
        <v>0</v>
      </c>
      <c r="Y81" s="162">
        <f t="shared" si="38"/>
        <v>0</v>
      </c>
      <c r="Z81" s="162">
        <f t="shared" si="38"/>
        <v>0</v>
      </c>
      <c r="AA81" s="162">
        <f t="shared" si="38"/>
        <v>0</v>
      </c>
      <c r="AB81" s="162">
        <f t="shared" si="38"/>
        <v>0</v>
      </c>
      <c r="AC81" s="162">
        <f t="shared" si="38"/>
        <v>0</v>
      </c>
      <c r="AD81" s="162">
        <f t="shared" si="38"/>
        <v>0</v>
      </c>
      <c r="AE81" s="162">
        <f t="shared" si="38"/>
        <v>0</v>
      </c>
      <c r="AF81" s="162">
        <f t="shared" si="38"/>
        <v>0</v>
      </c>
      <c r="AG81" s="162">
        <f t="shared" si="38"/>
        <v>0</v>
      </c>
      <c r="AH81" s="162">
        <f t="shared" si="38"/>
        <v>0</v>
      </c>
      <c r="AI81" s="162">
        <f t="shared" si="38"/>
        <v>0</v>
      </c>
      <c r="AJ81" s="162">
        <f t="shared" si="38"/>
        <v>0</v>
      </c>
      <c r="AK81" s="162">
        <f t="shared" si="38"/>
        <v>0</v>
      </c>
      <c r="AL81" s="162">
        <f t="shared" si="38"/>
        <v>0</v>
      </c>
      <c r="AM81" s="162">
        <f t="shared" si="38"/>
        <v>0</v>
      </c>
      <c r="AN81" s="162">
        <f t="shared" si="38"/>
        <v>0</v>
      </c>
      <c r="AO81" s="162">
        <f t="shared" si="38"/>
        <v>0</v>
      </c>
      <c r="AP81" s="162">
        <f t="shared" si="38"/>
        <v>0</v>
      </c>
      <c r="AQ81" s="162">
        <f t="shared" si="38"/>
        <v>0</v>
      </c>
      <c r="AR81" s="162">
        <f t="shared" si="38"/>
        <v>0</v>
      </c>
      <c r="AS81" s="162">
        <f t="shared" si="38"/>
        <v>0</v>
      </c>
      <c r="AT81" s="162">
        <f t="shared" si="38"/>
        <v>0</v>
      </c>
      <c r="AU81" s="162">
        <f t="shared" si="38"/>
        <v>0</v>
      </c>
      <c r="AV81" s="162">
        <f t="shared" si="38"/>
        <v>0</v>
      </c>
      <c r="AW81" s="162">
        <f t="shared" si="38"/>
        <v>0</v>
      </c>
      <c r="AX81" s="162">
        <f t="shared" si="38"/>
        <v>0</v>
      </c>
      <c r="AY81" s="162">
        <f t="shared" si="38"/>
        <v>0</v>
      </c>
      <c r="AZ81" s="162">
        <f t="shared" si="38"/>
        <v>0</v>
      </c>
      <c r="BA81" s="162">
        <f t="shared" si="38"/>
        <v>0</v>
      </c>
      <c r="BB81" s="162">
        <f t="shared" si="38"/>
        <v>0</v>
      </c>
      <c r="BC81" s="162">
        <f t="shared" si="38"/>
        <v>0</v>
      </c>
      <c r="BD81" s="162">
        <f t="shared" si="38"/>
        <v>0</v>
      </c>
      <c r="BE81" s="162">
        <f t="shared" si="38"/>
        <v>0</v>
      </c>
      <c r="BF81" s="162">
        <f t="shared" si="38"/>
        <v>0</v>
      </c>
      <c r="BG81" s="162">
        <f t="shared" si="38"/>
        <v>0</v>
      </c>
      <c r="BH81" s="162">
        <f t="shared" si="38"/>
        <v>0</v>
      </c>
      <c r="BI81" s="162">
        <f t="shared" si="38"/>
        <v>0</v>
      </c>
      <c r="BJ81" s="162">
        <f t="shared" si="38"/>
        <v>0</v>
      </c>
      <c r="BK81" s="162">
        <f t="shared" si="38"/>
        <v>0</v>
      </c>
      <c r="BL81" s="162">
        <f t="shared" si="38"/>
        <v>0</v>
      </c>
      <c r="BM81" s="162">
        <f t="shared" si="38"/>
        <v>0</v>
      </c>
      <c r="BN81" s="162">
        <f t="shared" si="38"/>
        <v>0</v>
      </c>
      <c r="BO81" s="162">
        <f t="shared" si="38"/>
        <v>0</v>
      </c>
      <c r="BP81" s="162">
        <f t="shared" si="38"/>
        <v>0</v>
      </c>
      <c r="BQ81" s="162">
        <f t="shared" si="38"/>
        <v>0</v>
      </c>
      <c r="BR81" s="162">
        <f t="shared" si="38"/>
        <v>0</v>
      </c>
      <c r="BS81" s="162">
        <f t="shared" si="38"/>
        <v>0</v>
      </c>
      <c r="BT81" s="162">
        <f t="shared" si="38"/>
        <v>0</v>
      </c>
      <c r="BU81" s="162">
        <f t="shared" si="38"/>
        <v>0</v>
      </c>
      <c r="BV81" s="162">
        <f t="shared" si="38"/>
        <v>0</v>
      </c>
      <c r="BW81" s="162">
        <f t="shared" si="38"/>
        <v>0</v>
      </c>
      <c r="BX81" s="162">
        <f t="shared" si="38"/>
        <v>0</v>
      </c>
      <c r="BY81" s="162">
        <f t="shared" ref="BY81:DV81" si="39">SUM(BY82:BY83)</f>
        <v>0</v>
      </c>
      <c r="BZ81" s="162">
        <f t="shared" si="39"/>
        <v>0</v>
      </c>
      <c r="CA81" s="162">
        <f t="shared" si="39"/>
        <v>0</v>
      </c>
      <c r="CB81" s="162">
        <f t="shared" si="39"/>
        <v>0</v>
      </c>
      <c r="CC81" s="162">
        <f t="shared" si="39"/>
        <v>0</v>
      </c>
      <c r="CD81" s="162">
        <f t="shared" si="39"/>
        <v>0</v>
      </c>
      <c r="CE81" s="162">
        <f t="shared" si="39"/>
        <v>0</v>
      </c>
      <c r="CF81" s="162">
        <f t="shared" si="39"/>
        <v>0</v>
      </c>
      <c r="CG81" s="162">
        <f t="shared" si="39"/>
        <v>0</v>
      </c>
      <c r="CH81" s="162">
        <f t="shared" si="39"/>
        <v>0</v>
      </c>
      <c r="CI81" s="162">
        <f t="shared" si="39"/>
        <v>0</v>
      </c>
      <c r="CJ81" s="162">
        <f t="shared" si="39"/>
        <v>0</v>
      </c>
      <c r="CK81" s="162">
        <f t="shared" si="39"/>
        <v>0</v>
      </c>
      <c r="CL81" s="162">
        <f t="shared" si="39"/>
        <v>0</v>
      </c>
      <c r="CM81" s="162">
        <f t="shared" si="39"/>
        <v>0</v>
      </c>
      <c r="CN81" s="162">
        <f t="shared" si="39"/>
        <v>0</v>
      </c>
      <c r="CO81" s="162">
        <f t="shared" si="39"/>
        <v>0</v>
      </c>
      <c r="CP81" s="162">
        <f t="shared" si="39"/>
        <v>0</v>
      </c>
      <c r="CQ81" s="162">
        <f t="shared" si="39"/>
        <v>0</v>
      </c>
      <c r="CR81" s="162">
        <f t="shared" si="39"/>
        <v>0</v>
      </c>
      <c r="CS81" s="162">
        <f t="shared" si="39"/>
        <v>0</v>
      </c>
      <c r="CT81" s="162">
        <f t="shared" si="39"/>
        <v>0</v>
      </c>
      <c r="CU81" s="162">
        <f t="shared" si="39"/>
        <v>0</v>
      </c>
      <c r="CV81" s="162">
        <f t="shared" si="39"/>
        <v>0</v>
      </c>
      <c r="CW81" s="162">
        <f t="shared" si="39"/>
        <v>0</v>
      </c>
      <c r="CX81" s="162">
        <f t="shared" si="39"/>
        <v>0</v>
      </c>
      <c r="CY81" s="162">
        <f t="shared" si="39"/>
        <v>0</v>
      </c>
      <c r="CZ81" s="162">
        <f t="shared" si="39"/>
        <v>0</v>
      </c>
      <c r="DA81" s="162">
        <f t="shared" si="39"/>
        <v>0</v>
      </c>
      <c r="DB81" s="162">
        <f t="shared" si="39"/>
        <v>0</v>
      </c>
      <c r="DC81" s="162">
        <f t="shared" si="39"/>
        <v>0</v>
      </c>
      <c r="DD81" s="162">
        <f t="shared" si="39"/>
        <v>0</v>
      </c>
      <c r="DE81" s="162">
        <f t="shared" si="39"/>
        <v>0</v>
      </c>
      <c r="DF81" s="162">
        <f t="shared" si="39"/>
        <v>0</v>
      </c>
      <c r="DG81" s="162">
        <f t="shared" si="39"/>
        <v>0</v>
      </c>
      <c r="DH81" s="162">
        <f t="shared" si="39"/>
        <v>0</v>
      </c>
      <c r="DI81" s="162">
        <f t="shared" si="39"/>
        <v>0</v>
      </c>
      <c r="DJ81" s="162">
        <f t="shared" si="39"/>
        <v>0</v>
      </c>
      <c r="DK81" s="162">
        <f t="shared" si="39"/>
        <v>0</v>
      </c>
      <c r="DL81" s="162">
        <f t="shared" si="39"/>
        <v>0</v>
      </c>
      <c r="DM81" s="162">
        <f t="shared" si="39"/>
        <v>0</v>
      </c>
      <c r="DN81" s="162">
        <f t="shared" si="39"/>
        <v>0</v>
      </c>
      <c r="DO81" s="162">
        <f t="shared" si="39"/>
        <v>0</v>
      </c>
      <c r="DP81" s="162">
        <f t="shared" si="39"/>
        <v>0</v>
      </c>
      <c r="DQ81" s="162">
        <f t="shared" si="39"/>
        <v>0</v>
      </c>
      <c r="DR81" s="162">
        <f t="shared" si="39"/>
        <v>0</v>
      </c>
      <c r="DS81" s="162">
        <f t="shared" si="39"/>
        <v>0</v>
      </c>
      <c r="DT81" s="162">
        <f t="shared" si="39"/>
        <v>0</v>
      </c>
      <c r="DU81" s="162">
        <f t="shared" si="39"/>
        <v>0</v>
      </c>
      <c r="DV81" s="162">
        <f t="shared" si="39"/>
        <v>0</v>
      </c>
    </row>
    <row r="82" spans="2:126" ht="11.25" customHeight="1">
      <c r="B82" s="218"/>
      <c r="C82" s="163"/>
      <c r="D82" s="164" t="s">
        <v>208</v>
      </c>
      <c r="E82" s="165"/>
      <c r="F82" s="165"/>
      <c r="G82" s="165"/>
      <c r="H82" s="166"/>
      <c r="I82" s="228"/>
      <c r="J82" s="168">
        <f>SUM(L82:DV82)</f>
        <v>0</v>
      </c>
      <c r="K82" s="98"/>
      <c r="L82" s="168">
        <f>SUMIF('CF(M)'!$L$10:$EQ$10,L$6,'CF(M)'!$L87:$EQ87)</f>
        <v>0</v>
      </c>
      <c r="M82" s="168">
        <f>SUMIF('CF(M)'!$L$10:$EQ$10,M$6,'CF(M)'!$L87:$EQ87)</f>
        <v>0</v>
      </c>
      <c r="N82" s="168">
        <f>SUMIF('CF(M)'!$L$10:$EQ$10,N$6,'CF(M)'!$L87:$EQ87)</f>
        <v>0</v>
      </c>
      <c r="O82" s="168">
        <f>SUMIF('CF(M)'!$L$10:$EQ$10,O$6,'CF(M)'!$L87:$EQ87)</f>
        <v>0</v>
      </c>
      <c r="P82" s="168">
        <f>SUMIF('CF(M)'!$L$10:$EQ$10,P$6,'CF(M)'!$L87:$EQ87)</f>
        <v>0</v>
      </c>
      <c r="Q82" s="168">
        <f>SUMIF('CF(M)'!$L$10:$EQ$10,Q$6,'CF(M)'!$L87:$EQ87)</f>
        <v>0</v>
      </c>
      <c r="R82" s="168">
        <f>SUMIF('CF(M)'!$L$10:$EQ$10,R$6,'CF(M)'!$L87:$EQ87)</f>
        <v>0</v>
      </c>
      <c r="S82" s="168">
        <f>SUMIF('CF(M)'!$L$10:$EQ$10,S$6,'CF(M)'!$L87:$EQ87)</f>
        <v>0</v>
      </c>
      <c r="T82" s="168">
        <f>SUMIF('CF(M)'!$L$10:$EQ$10,T$6,'CF(M)'!$L87:$EQ87)</f>
        <v>0</v>
      </c>
      <c r="U82" s="168">
        <f>SUMIF('CF(M)'!$L$10:$EQ$10,U$6,'CF(M)'!$L87:$EQ87)</f>
        <v>0</v>
      </c>
      <c r="V82" s="168">
        <f>SUMIF('CF(M)'!$L$10:$EQ$10,V$6,'CF(M)'!$L87:$EQ87)</f>
        <v>0</v>
      </c>
      <c r="W82" s="168">
        <f>SUMIF('CF(M)'!$L$10:$EQ$10,W$6,'CF(M)'!$L87:$EQ87)</f>
        <v>0</v>
      </c>
      <c r="X82" s="168">
        <f>SUMIF('CF(M)'!$L$10:$EQ$10,X$6,'CF(M)'!$L87:$EQ87)</f>
        <v>0</v>
      </c>
      <c r="Y82" s="168">
        <f>SUMIF('CF(M)'!$L$10:$EQ$10,Y$6,'CF(M)'!$L87:$EQ87)</f>
        <v>0</v>
      </c>
      <c r="Z82" s="168">
        <f>SUMIF('CF(M)'!$L$10:$EQ$10,Z$6,'CF(M)'!$L87:$EQ87)</f>
        <v>0</v>
      </c>
      <c r="AA82" s="168">
        <f>SUMIF('CF(M)'!$L$10:$EQ$10,AA$6,'CF(M)'!$L87:$EQ87)</f>
        <v>0</v>
      </c>
      <c r="AB82" s="168">
        <f>SUMIF('CF(M)'!$L$10:$EQ$10,AB$6,'CF(M)'!$L87:$EQ87)</f>
        <v>0</v>
      </c>
      <c r="AC82" s="168">
        <f>SUMIF('CF(M)'!$L$10:$EQ$10,AC$6,'CF(M)'!$L87:$EQ87)</f>
        <v>0</v>
      </c>
      <c r="AD82" s="168">
        <f>SUMIF('CF(M)'!$L$10:$EQ$10,AD$6,'CF(M)'!$L87:$EQ87)</f>
        <v>0</v>
      </c>
      <c r="AE82" s="168">
        <f>SUMIF('CF(M)'!$L$10:$EQ$10,AE$6,'CF(M)'!$L87:$EQ87)</f>
        <v>0</v>
      </c>
      <c r="AF82" s="168">
        <f>SUMIF('CF(M)'!$L$10:$EQ$10,AF$6,'CF(M)'!$L87:$EQ87)</f>
        <v>0</v>
      </c>
      <c r="AG82" s="168">
        <f>SUMIF('CF(M)'!$L$10:$EQ$10,AG$6,'CF(M)'!$L87:$EQ87)</f>
        <v>0</v>
      </c>
      <c r="AH82" s="168">
        <f>SUMIF('CF(M)'!$L$10:$EQ$10,AH$6,'CF(M)'!$L87:$EQ87)</f>
        <v>0</v>
      </c>
      <c r="AI82" s="168">
        <f>SUMIF('CF(M)'!$L$10:$EQ$10,AI$6,'CF(M)'!$L87:$EQ87)</f>
        <v>0</v>
      </c>
      <c r="AJ82" s="168">
        <f>SUMIF('CF(M)'!$L$10:$EQ$10,AJ$6,'CF(M)'!$L87:$EQ87)</f>
        <v>0</v>
      </c>
      <c r="AK82" s="168">
        <f>SUMIF('CF(M)'!$L$10:$EQ$10,AK$6,'CF(M)'!$L87:$EQ87)</f>
        <v>0</v>
      </c>
      <c r="AL82" s="168">
        <f>SUMIF('CF(M)'!$L$10:$EQ$10,AL$6,'CF(M)'!$L87:$EQ87)</f>
        <v>0</v>
      </c>
      <c r="AM82" s="168">
        <f>SUMIF('CF(M)'!$L$10:$EQ$10,AM$6,'CF(M)'!$L87:$EQ87)</f>
        <v>0</v>
      </c>
      <c r="AN82" s="168">
        <f>SUMIF('CF(M)'!$L$10:$EQ$10,AN$6,'CF(M)'!$L87:$EQ87)</f>
        <v>0</v>
      </c>
      <c r="AO82" s="168">
        <f>SUMIF('CF(M)'!$L$10:$EQ$10,AO$6,'CF(M)'!$L87:$EQ87)</f>
        <v>0</v>
      </c>
      <c r="AP82" s="168">
        <f>SUMIF('CF(M)'!$L$10:$EQ$10,AP$6,'CF(M)'!$L87:$EQ87)</f>
        <v>0</v>
      </c>
      <c r="AQ82" s="168">
        <f>SUMIF('CF(M)'!$L$10:$EQ$10,AQ$6,'CF(M)'!$L87:$EQ87)</f>
        <v>0</v>
      </c>
      <c r="AR82" s="168">
        <f>SUMIF('CF(M)'!$L$10:$EQ$10,AR$6,'CF(M)'!$L87:$EQ87)</f>
        <v>0</v>
      </c>
      <c r="AS82" s="168">
        <f>SUMIF('CF(M)'!$L$10:$EQ$10,AS$6,'CF(M)'!$L87:$EQ87)</f>
        <v>0</v>
      </c>
      <c r="AT82" s="168">
        <f>SUMIF('CF(M)'!$L$10:$EQ$10,AT$6,'CF(M)'!$L87:$EQ87)</f>
        <v>0</v>
      </c>
      <c r="AU82" s="168">
        <f>SUMIF('CF(M)'!$L$10:$EQ$10,AU$6,'CF(M)'!$L87:$EQ87)</f>
        <v>0</v>
      </c>
      <c r="AV82" s="168">
        <f>SUMIF('CF(M)'!$L$10:$EQ$10,AV$6,'CF(M)'!$L87:$EQ87)</f>
        <v>0</v>
      </c>
      <c r="AW82" s="168">
        <f>SUMIF('CF(M)'!$L$10:$EQ$10,AW$6,'CF(M)'!$L87:$EQ87)</f>
        <v>0</v>
      </c>
      <c r="AX82" s="168">
        <f>SUMIF('CF(M)'!$L$10:$EQ$10,AX$6,'CF(M)'!$L87:$EQ87)</f>
        <v>0</v>
      </c>
      <c r="AY82" s="168">
        <f>SUMIF('CF(M)'!$L$10:$EQ$10,AY$6,'CF(M)'!$L87:$EQ87)</f>
        <v>0</v>
      </c>
      <c r="AZ82" s="168">
        <f>SUMIF('CF(M)'!$L$10:$EQ$10,AZ$6,'CF(M)'!$L87:$EQ87)</f>
        <v>0</v>
      </c>
      <c r="BA82" s="168">
        <f>SUMIF('CF(M)'!$L$10:$EQ$10,BA$6,'CF(M)'!$L87:$EQ87)</f>
        <v>0</v>
      </c>
      <c r="BB82" s="168">
        <f>SUMIF('CF(M)'!$L$10:$EQ$10,BB$6,'CF(M)'!$L87:$EQ87)</f>
        <v>0</v>
      </c>
      <c r="BC82" s="168">
        <f>SUMIF('CF(M)'!$L$10:$EQ$10,BC$6,'CF(M)'!$L87:$EQ87)</f>
        <v>0</v>
      </c>
      <c r="BD82" s="168">
        <f>SUMIF('CF(M)'!$L$10:$EQ$10,BD$6,'CF(M)'!$L87:$EQ87)</f>
        <v>0</v>
      </c>
      <c r="BE82" s="168">
        <f>SUMIF('CF(M)'!$L$10:$EQ$10,BE$6,'CF(M)'!$L87:$EQ87)</f>
        <v>0</v>
      </c>
      <c r="BF82" s="168">
        <f>SUMIF('CF(M)'!$L$10:$EQ$10,BF$6,'CF(M)'!$L87:$EQ87)</f>
        <v>0</v>
      </c>
      <c r="BG82" s="168">
        <f>SUMIF('CF(M)'!$L$10:$EQ$10,BG$6,'CF(M)'!$L87:$EQ87)</f>
        <v>0</v>
      </c>
      <c r="BH82" s="168">
        <f>SUMIF('CF(M)'!$L$10:$EQ$10,BH$6,'CF(M)'!$L87:$EQ87)</f>
        <v>0</v>
      </c>
      <c r="BI82" s="168">
        <f>SUMIF('CF(M)'!$L$10:$EQ$10,BI$6,'CF(M)'!$L87:$EQ87)</f>
        <v>0</v>
      </c>
      <c r="BJ82" s="168">
        <f>SUMIF('CF(M)'!$L$10:$EQ$10,BJ$6,'CF(M)'!$L87:$EQ87)</f>
        <v>0</v>
      </c>
      <c r="BK82" s="168">
        <f>SUMIF('CF(M)'!$L$10:$EQ$10,BK$6,'CF(M)'!$L87:$EQ87)</f>
        <v>0</v>
      </c>
      <c r="BL82" s="168">
        <f>SUMIF('CF(M)'!$L$10:$EQ$10,BL$6,'CF(M)'!$L87:$EQ87)</f>
        <v>0</v>
      </c>
      <c r="BM82" s="168">
        <f>SUMIF('CF(M)'!$L$10:$EQ$10,BM$6,'CF(M)'!$L87:$EQ87)</f>
        <v>0</v>
      </c>
      <c r="BN82" s="168">
        <f>SUMIF('CF(M)'!$L$10:$EQ$10,BN$6,'CF(M)'!$L87:$EQ87)</f>
        <v>0</v>
      </c>
      <c r="BO82" s="168">
        <f>SUMIF('CF(M)'!$L$10:$EQ$10,BO$6,'CF(M)'!$L87:$EQ87)</f>
        <v>0</v>
      </c>
      <c r="BP82" s="168">
        <f>SUMIF('CF(M)'!$L$10:$EQ$10,BP$6,'CF(M)'!$L87:$EQ87)</f>
        <v>0</v>
      </c>
      <c r="BQ82" s="168">
        <f>SUMIF('CF(M)'!$L$10:$EQ$10,BQ$6,'CF(M)'!$L87:$EQ87)</f>
        <v>0</v>
      </c>
      <c r="BR82" s="168">
        <f>SUMIF('CF(M)'!$L$10:$EQ$10,BR$6,'CF(M)'!$L87:$EQ87)</f>
        <v>0</v>
      </c>
      <c r="BS82" s="168">
        <f>SUMIF('CF(M)'!$L$10:$EQ$10,BS$6,'CF(M)'!$L87:$EQ87)</f>
        <v>0</v>
      </c>
      <c r="BT82" s="168">
        <f>SUMIF('CF(M)'!$L$10:$EQ$10,BT$6,'CF(M)'!$L87:$EQ87)</f>
        <v>0</v>
      </c>
      <c r="BU82" s="168">
        <f>SUMIF('CF(M)'!$L$10:$EQ$10,BU$6,'CF(M)'!$L87:$EQ87)</f>
        <v>0</v>
      </c>
      <c r="BV82" s="168">
        <f>SUMIF('CF(M)'!$L$10:$EQ$10,BV$6,'CF(M)'!$L87:$EQ87)</f>
        <v>0</v>
      </c>
      <c r="BW82" s="168">
        <f>SUMIF('CF(M)'!$L$10:$EQ$10,BW$6,'CF(M)'!$L87:$EQ87)</f>
        <v>0</v>
      </c>
      <c r="BX82" s="168">
        <f>SUMIF('CF(M)'!$L$10:$EQ$10,BX$6,'CF(M)'!$L87:$EQ87)</f>
        <v>0</v>
      </c>
      <c r="BY82" s="168">
        <f>SUMIF('CF(M)'!$L$10:$EQ$10,BY$6,'CF(M)'!$L87:$EQ87)</f>
        <v>0</v>
      </c>
      <c r="BZ82" s="168">
        <f>SUMIF('CF(M)'!$L$10:$EQ$10,BZ$6,'CF(M)'!$L87:$EQ87)</f>
        <v>0</v>
      </c>
      <c r="CA82" s="168">
        <f>SUMIF('CF(M)'!$L$10:$EQ$10,CA$6,'CF(M)'!$L87:$EQ87)</f>
        <v>0</v>
      </c>
      <c r="CB82" s="168">
        <f>SUMIF('CF(M)'!$L$10:$EQ$10,CB$6,'CF(M)'!$L87:$EQ87)</f>
        <v>0</v>
      </c>
      <c r="CC82" s="168">
        <f>SUMIF('CF(M)'!$L$10:$EQ$10,CC$6,'CF(M)'!$L87:$EQ87)</f>
        <v>0</v>
      </c>
      <c r="CD82" s="168">
        <f>SUMIF('CF(M)'!$L$10:$EQ$10,CD$6,'CF(M)'!$L87:$EQ87)</f>
        <v>0</v>
      </c>
      <c r="CE82" s="168">
        <f>SUMIF('CF(M)'!$L$10:$EQ$10,CE$6,'CF(M)'!$L87:$EQ87)</f>
        <v>0</v>
      </c>
      <c r="CF82" s="168">
        <f>SUMIF('CF(M)'!$L$10:$EQ$10,CF$6,'CF(M)'!$L87:$EQ87)</f>
        <v>0</v>
      </c>
      <c r="CG82" s="168">
        <f>SUMIF('CF(M)'!$L$10:$EQ$10,CG$6,'CF(M)'!$L87:$EQ87)</f>
        <v>0</v>
      </c>
      <c r="CH82" s="168">
        <f>SUMIF('CF(M)'!$L$10:$EQ$10,CH$6,'CF(M)'!$L87:$EQ87)</f>
        <v>0</v>
      </c>
      <c r="CI82" s="168">
        <f>SUMIF('CF(M)'!$L$10:$EQ$10,CI$6,'CF(M)'!$L87:$EQ87)</f>
        <v>0</v>
      </c>
      <c r="CJ82" s="168">
        <f>SUMIF('CF(M)'!$L$10:$EQ$10,CJ$6,'CF(M)'!$L87:$EQ87)</f>
        <v>0</v>
      </c>
      <c r="CK82" s="168">
        <f>SUMIF('CF(M)'!$L$10:$EQ$10,CK$6,'CF(M)'!$L87:$EQ87)</f>
        <v>0</v>
      </c>
      <c r="CL82" s="168">
        <f>SUMIF('CF(M)'!$L$10:$EQ$10,CL$6,'CF(M)'!$L87:$EQ87)</f>
        <v>0</v>
      </c>
      <c r="CM82" s="168">
        <f>SUMIF('CF(M)'!$L$10:$EQ$10,CM$6,'CF(M)'!$L87:$EQ87)</f>
        <v>0</v>
      </c>
      <c r="CN82" s="168">
        <f>SUMIF('CF(M)'!$L$10:$EQ$10,CN$6,'CF(M)'!$L87:$EQ87)</f>
        <v>0</v>
      </c>
      <c r="CO82" s="168">
        <f>SUMIF('CF(M)'!$L$10:$EQ$10,CO$6,'CF(M)'!$L87:$EQ87)</f>
        <v>0</v>
      </c>
      <c r="CP82" s="168">
        <f>SUMIF('CF(M)'!$L$10:$EQ$10,CP$6,'CF(M)'!$L87:$EQ87)</f>
        <v>0</v>
      </c>
      <c r="CQ82" s="168">
        <f>SUMIF('CF(M)'!$L$10:$EQ$10,CQ$6,'CF(M)'!$L87:$EQ87)</f>
        <v>0</v>
      </c>
      <c r="CR82" s="168">
        <f>SUMIF('CF(M)'!$L$10:$EQ$10,CR$6,'CF(M)'!$L87:$EQ87)</f>
        <v>0</v>
      </c>
      <c r="CS82" s="168">
        <f>SUMIF('CF(M)'!$L$10:$EQ$10,CS$6,'CF(M)'!$L87:$EQ87)</f>
        <v>0</v>
      </c>
      <c r="CT82" s="168">
        <f>SUMIF('CF(M)'!$L$10:$EQ$10,CT$6,'CF(M)'!$L87:$EQ87)</f>
        <v>0</v>
      </c>
      <c r="CU82" s="168">
        <f>SUMIF('CF(M)'!$L$10:$EQ$10,CU$6,'CF(M)'!$L87:$EQ87)</f>
        <v>0</v>
      </c>
      <c r="CV82" s="168">
        <f>SUMIF('CF(M)'!$L$10:$EQ$10,CV$6,'CF(M)'!$L87:$EQ87)</f>
        <v>0</v>
      </c>
      <c r="CW82" s="168">
        <f>SUMIF('CF(M)'!$L$10:$EQ$10,CW$6,'CF(M)'!$L87:$EQ87)</f>
        <v>0</v>
      </c>
      <c r="CX82" s="168">
        <f>SUMIF('CF(M)'!$L$10:$EQ$10,CX$6,'CF(M)'!$L87:$EQ87)</f>
        <v>0</v>
      </c>
      <c r="CY82" s="168">
        <f>SUMIF('CF(M)'!$L$10:$EQ$10,CY$6,'CF(M)'!$L87:$EQ87)</f>
        <v>0</v>
      </c>
      <c r="CZ82" s="168">
        <f>SUMIF('CF(M)'!$L$10:$EQ$10,CZ$6,'CF(M)'!$L87:$EQ87)</f>
        <v>0</v>
      </c>
      <c r="DA82" s="168">
        <f>SUMIF('CF(M)'!$L$10:$EQ$10,DA$6,'CF(M)'!$L87:$EQ87)</f>
        <v>0</v>
      </c>
      <c r="DB82" s="168">
        <f>SUMIF('CF(M)'!$L$10:$EQ$10,DB$6,'CF(M)'!$L87:$EQ87)</f>
        <v>0</v>
      </c>
      <c r="DC82" s="168">
        <f>SUMIF('CF(M)'!$L$10:$EQ$10,DC$6,'CF(M)'!$L87:$EQ87)</f>
        <v>0</v>
      </c>
      <c r="DD82" s="168">
        <f>SUMIF('CF(M)'!$L$10:$EQ$10,DD$6,'CF(M)'!$L87:$EQ87)</f>
        <v>0</v>
      </c>
      <c r="DE82" s="168">
        <f>SUMIF('CF(M)'!$L$10:$EQ$10,DE$6,'CF(M)'!$L87:$EQ87)</f>
        <v>0</v>
      </c>
      <c r="DF82" s="168">
        <f>SUMIF('CF(M)'!$L$10:$EQ$10,DF$6,'CF(M)'!$L87:$EQ87)</f>
        <v>0</v>
      </c>
      <c r="DG82" s="168">
        <f>SUMIF('CF(M)'!$L$10:$EQ$10,DG$6,'CF(M)'!$L87:$EQ87)</f>
        <v>0</v>
      </c>
      <c r="DH82" s="168">
        <f>SUMIF('CF(M)'!$L$10:$EQ$10,DH$6,'CF(M)'!$L87:$EQ87)</f>
        <v>0</v>
      </c>
      <c r="DI82" s="168">
        <f>SUMIF('CF(M)'!$L$10:$EQ$10,DI$6,'CF(M)'!$L87:$EQ87)</f>
        <v>0</v>
      </c>
      <c r="DJ82" s="168">
        <f>SUMIF('CF(M)'!$L$10:$EQ$10,DJ$6,'CF(M)'!$L87:$EQ87)</f>
        <v>0</v>
      </c>
      <c r="DK82" s="168">
        <f>SUMIF('CF(M)'!$L$10:$EQ$10,DK$6,'CF(M)'!$L87:$EQ87)</f>
        <v>0</v>
      </c>
      <c r="DL82" s="168">
        <f>SUMIF('CF(M)'!$L$10:$EQ$10,DL$6,'CF(M)'!$L87:$EQ87)</f>
        <v>0</v>
      </c>
      <c r="DM82" s="168">
        <f>SUMIF('CF(M)'!$L$10:$EQ$10,DM$6,'CF(M)'!$L87:$EQ87)</f>
        <v>0</v>
      </c>
      <c r="DN82" s="168">
        <f>SUMIF('CF(M)'!$L$10:$EQ$10,DN$6,'CF(M)'!$L87:$EQ87)</f>
        <v>0</v>
      </c>
      <c r="DO82" s="168">
        <f>SUMIF('CF(M)'!$L$10:$EQ$10,DO$6,'CF(M)'!$L87:$EQ87)</f>
        <v>0</v>
      </c>
      <c r="DP82" s="168">
        <f>SUMIF('CF(M)'!$L$10:$EQ$10,DP$6,'CF(M)'!$L87:$EQ87)</f>
        <v>0</v>
      </c>
      <c r="DQ82" s="168">
        <f>SUMIF('CF(M)'!$L$10:$EQ$10,DQ$6,'CF(M)'!$L87:$EQ87)</f>
        <v>0</v>
      </c>
      <c r="DR82" s="168">
        <f>SUMIF('CF(M)'!$L$10:$EQ$10,DR$6,'CF(M)'!$L87:$EQ87)</f>
        <v>0</v>
      </c>
      <c r="DS82" s="168">
        <f>SUMIF('CF(M)'!$L$10:$EQ$10,DS$6,'CF(M)'!$L87:$EQ87)</f>
        <v>0</v>
      </c>
      <c r="DT82" s="168">
        <f>SUMIF('CF(M)'!$L$10:$EQ$10,DT$6,'CF(M)'!$L87:$EQ87)</f>
        <v>0</v>
      </c>
      <c r="DU82" s="168">
        <f>SUMIF('CF(M)'!$L$10:$EQ$10,DU$6,'CF(M)'!$L87:$EQ87)</f>
        <v>0</v>
      </c>
      <c r="DV82" s="168">
        <f>SUMIF('CF(M)'!$L$10:$EQ$10,DV$6,'CF(M)'!$L87:$EQ87)</f>
        <v>0</v>
      </c>
    </row>
    <row r="83" spans="2:126" ht="11.25" customHeight="1">
      <c r="B83" s="218"/>
      <c r="C83" s="163"/>
      <c r="D83" s="169" t="s">
        <v>209</v>
      </c>
      <c r="H83" s="146"/>
      <c r="I83" s="229"/>
      <c r="J83" s="171">
        <f>SUM(L83:DV83)</f>
        <v>0</v>
      </c>
      <c r="K83" s="98"/>
      <c r="L83" s="171">
        <f>SUMIF('CF(M)'!$L$10:$EQ$10,L$6,'CF(M)'!$L88:$EQ88)</f>
        <v>0</v>
      </c>
      <c r="M83" s="171">
        <f>SUMIF('CF(M)'!$L$10:$EQ$10,M$6,'CF(M)'!$L88:$EQ88)</f>
        <v>0</v>
      </c>
      <c r="N83" s="171">
        <f>SUMIF('CF(M)'!$L$10:$EQ$10,N$6,'CF(M)'!$L88:$EQ88)</f>
        <v>0</v>
      </c>
      <c r="O83" s="171">
        <f>SUMIF('CF(M)'!$L$10:$EQ$10,O$6,'CF(M)'!$L88:$EQ88)</f>
        <v>0</v>
      </c>
      <c r="P83" s="171">
        <f>SUMIF('CF(M)'!$L$10:$EQ$10,P$6,'CF(M)'!$L88:$EQ88)</f>
        <v>0</v>
      </c>
      <c r="Q83" s="171">
        <f>SUMIF('CF(M)'!$L$10:$EQ$10,Q$6,'CF(M)'!$L88:$EQ88)</f>
        <v>0</v>
      </c>
      <c r="R83" s="171">
        <f>SUMIF('CF(M)'!$L$10:$EQ$10,R$6,'CF(M)'!$L88:$EQ88)</f>
        <v>0</v>
      </c>
      <c r="S83" s="171">
        <f>SUMIF('CF(M)'!$L$10:$EQ$10,S$6,'CF(M)'!$L88:$EQ88)</f>
        <v>0</v>
      </c>
      <c r="T83" s="171">
        <f>SUMIF('CF(M)'!$L$10:$EQ$10,T$6,'CF(M)'!$L88:$EQ88)</f>
        <v>0</v>
      </c>
      <c r="U83" s="171">
        <f>SUMIF('CF(M)'!$L$10:$EQ$10,U$6,'CF(M)'!$L88:$EQ88)</f>
        <v>0</v>
      </c>
      <c r="V83" s="171">
        <f>SUMIF('CF(M)'!$L$10:$EQ$10,V$6,'CF(M)'!$L88:$EQ88)</f>
        <v>0</v>
      </c>
      <c r="W83" s="171">
        <f>SUMIF('CF(M)'!$L$10:$EQ$10,W$6,'CF(M)'!$L88:$EQ88)</f>
        <v>0</v>
      </c>
      <c r="X83" s="171">
        <f>SUMIF('CF(M)'!$L$10:$EQ$10,X$6,'CF(M)'!$L88:$EQ88)</f>
        <v>0</v>
      </c>
      <c r="Y83" s="171">
        <f>SUMIF('CF(M)'!$L$10:$EQ$10,Y$6,'CF(M)'!$L88:$EQ88)</f>
        <v>0</v>
      </c>
      <c r="Z83" s="171">
        <f>SUMIF('CF(M)'!$L$10:$EQ$10,Z$6,'CF(M)'!$L88:$EQ88)</f>
        <v>0</v>
      </c>
      <c r="AA83" s="171">
        <f>SUMIF('CF(M)'!$L$10:$EQ$10,AA$6,'CF(M)'!$L88:$EQ88)</f>
        <v>0</v>
      </c>
      <c r="AB83" s="171">
        <f>SUMIF('CF(M)'!$L$10:$EQ$10,AB$6,'CF(M)'!$L88:$EQ88)</f>
        <v>0</v>
      </c>
      <c r="AC83" s="171">
        <f>SUMIF('CF(M)'!$L$10:$EQ$10,AC$6,'CF(M)'!$L88:$EQ88)</f>
        <v>0</v>
      </c>
      <c r="AD83" s="171">
        <f>SUMIF('CF(M)'!$L$10:$EQ$10,AD$6,'CF(M)'!$L88:$EQ88)</f>
        <v>0</v>
      </c>
      <c r="AE83" s="171">
        <f>SUMIF('CF(M)'!$L$10:$EQ$10,AE$6,'CF(M)'!$L88:$EQ88)</f>
        <v>0</v>
      </c>
      <c r="AF83" s="171">
        <f>SUMIF('CF(M)'!$L$10:$EQ$10,AF$6,'CF(M)'!$L88:$EQ88)</f>
        <v>0</v>
      </c>
      <c r="AG83" s="171">
        <f>SUMIF('CF(M)'!$L$10:$EQ$10,AG$6,'CF(M)'!$L88:$EQ88)</f>
        <v>0</v>
      </c>
      <c r="AH83" s="171">
        <f>SUMIF('CF(M)'!$L$10:$EQ$10,AH$6,'CF(M)'!$L88:$EQ88)</f>
        <v>0</v>
      </c>
      <c r="AI83" s="171">
        <f>SUMIF('CF(M)'!$L$10:$EQ$10,AI$6,'CF(M)'!$L88:$EQ88)</f>
        <v>0</v>
      </c>
      <c r="AJ83" s="171">
        <f>SUMIF('CF(M)'!$L$10:$EQ$10,AJ$6,'CF(M)'!$L88:$EQ88)</f>
        <v>0</v>
      </c>
      <c r="AK83" s="171">
        <f>SUMIF('CF(M)'!$L$10:$EQ$10,AK$6,'CF(M)'!$L88:$EQ88)</f>
        <v>0</v>
      </c>
      <c r="AL83" s="171">
        <f>SUMIF('CF(M)'!$L$10:$EQ$10,AL$6,'CF(M)'!$L88:$EQ88)</f>
        <v>0</v>
      </c>
      <c r="AM83" s="171">
        <f>SUMIF('CF(M)'!$L$10:$EQ$10,AM$6,'CF(M)'!$L88:$EQ88)</f>
        <v>0</v>
      </c>
      <c r="AN83" s="171">
        <f>SUMIF('CF(M)'!$L$10:$EQ$10,AN$6,'CF(M)'!$L88:$EQ88)</f>
        <v>0</v>
      </c>
      <c r="AO83" s="171">
        <f>SUMIF('CF(M)'!$L$10:$EQ$10,AO$6,'CF(M)'!$L88:$EQ88)</f>
        <v>0</v>
      </c>
      <c r="AP83" s="171">
        <f>SUMIF('CF(M)'!$L$10:$EQ$10,AP$6,'CF(M)'!$L88:$EQ88)</f>
        <v>0</v>
      </c>
      <c r="AQ83" s="171">
        <f>SUMIF('CF(M)'!$L$10:$EQ$10,AQ$6,'CF(M)'!$L88:$EQ88)</f>
        <v>0</v>
      </c>
      <c r="AR83" s="171">
        <f>SUMIF('CF(M)'!$L$10:$EQ$10,AR$6,'CF(M)'!$L88:$EQ88)</f>
        <v>0</v>
      </c>
      <c r="AS83" s="171">
        <f>SUMIF('CF(M)'!$L$10:$EQ$10,AS$6,'CF(M)'!$L88:$EQ88)</f>
        <v>0</v>
      </c>
      <c r="AT83" s="171">
        <f>SUMIF('CF(M)'!$L$10:$EQ$10,AT$6,'CF(M)'!$L88:$EQ88)</f>
        <v>0</v>
      </c>
      <c r="AU83" s="171">
        <f>SUMIF('CF(M)'!$L$10:$EQ$10,AU$6,'CF(M)'!$L88:$EQ88)</f>
        <v>0</v>
      </c>
      <c r="AV83" s="171">
        <f>SUMIF('CF(M)'!$L$10:$EQ$10,AV$6,'CF(M)'!$L88:$EQ88)</f>
        <v>0</v>
      </c>
      <c r="AW83" s="171">
        <f>SUMIF('CF(M)'!$L$10:$EQ$10,AW$6,'CF(M)'!$L88:$EQ88)</f>
        <v>0</v>
      </c>
      <c r="AX83" s="171">
        <f>SUMIF('CF(M)'!$L$10:$EQ$10,AX$6,'CF(M)'!$L88:$EQ88)</f>
        <v>0</v>
      </c>
      <c r="AY83" s="171">
        <f>SUMIF('CF(M)'!$L$10:$EQ$10,AY$6,'CF(M)'!$L88:$EQ88)</f>
        <v>0</v>
      </c>
      <c r="AZ83" s="171">
        <f>SUMIF('CF(M)'!$L$10:$EQ$10,AZ$6,'CF(M)'!$L88:$EQ88)</f>
        <v>0</v>
      </c>
      <c r="BA83" s="171">
        <f>SUMIF('CF(M)'!$L$10:$EQ$10,BA$6,'CF(M)'!$L88:$EQ88)</f>
        <v>0</v>
      </c>
      <c r="BB83" s="171">
        <f>SUMIF('CF(M)'!$L$10:$EQ$10,BB$6,'CF(M)'!$L88:$EQ88)</f>
        <v>0</v>
      </c>
      <c r="BC83" s="171">
        <f>SUMIF('CF(M)'!$L$10:$EQ$10,BC$6,'CF(M)'!$L88:$EQ88)</f>
        <v>0</v>
      </c>
      <c r="BD83" s="171">
        <f>SUMIF('CF(M)'!$L$10:$EQ$10,BD$6,'CF(M)'!$L88:$EQ88)</f>
        <v>0</v>
      </c>
      <c r="BE83" s="171">
        <f>SUMIF('CF(M)'!$L$10:$EQ$10,BE$6,'CF(M)'!$L88:$EQ88)</f>
        <v>0</v>
      </c>
      <c r="BF83" s="171">
        <f>SUMIF('CF(M)'!$L$10:$EQ$10,BF$6,'CF(M)'!$L88:$EQ88)</f>
        <v>0</v>
      </c>
      <c r="BG83" s="171">
        <f>SUMIF('CF(M)'!$L$10:$EQ$10,BG$6,'CF(M)'!$L88:$EQ88)</f>
        <v>0</v>
      </c>
      <c r="BH83" s="171">
        <f>SUMIF('CF(M)'!$L$10:$EQ$10,BH$6,'CF(M)'!$L88:$EQ88)</f>
        <v>0</v>
      </c>
      <c r="BI83" s="171">
        <f>SUMIF('CF(M)'!$L$10:$EQ$10,BI$6,'CF(M)'!$L88:$EQ88)</f>
        <v>0</v>
      </c>
      <c r="BJ83" s="171">
        <f>SUMIF('CF(M)'!$L$10:$EQ$10,BJ$6,'CF(M)'!$L88:$EQ88)</f>
        <v>0</v>
      </c>
      <c r="BK83" s="171">
        <f>SUMIF('CF(M)'!$L$10:$EQ$10,BK$6,'CF(M)'!$L88:$EQ88)</f>
        <v>0</v>
      </c>
      <c r="BL83" s="171">
        <f>SUMIF('CF(M)'!$L$10:$EQ$10,BL$6,'CF(M)'!$L88:$EQ88)</f>
        <v>0</v>
      </c>
      <c r="BM83" s="171">
        <f>SUMIF('CF(M)'!$L$10:$EQ$10,BM$6,'CF(M)'!$L88:$EQ88)</f>
        <v>0</v>
      </c>
      <c r="BN83" s="171">
        <f>SUMIF('CF(M)'!$L$10:$EQ$10,BN$6,'CF(M)'!$L88:$EQ88)</f>
        <v>0</v>
      </c>
      <c r="BO83" s="171">
        <f>SUMIF('CF(M)'!$L$10:$EQ$10,BO$6,'CF(M)'!$L88:$EQ88)</f>
        <v>0</v>
      </c>
      <c r="BP83" s="171">
        <f>SUMIF('CF(M)'!$L$10:$EQ$10,BP$6,'CF(M)'!$L88:$EQ88)</f>
        <v>0</v>
      </c>
      <c r="BQ83" s="171">
        <f>SUMIF('CF(M)'!$L$10:$EQ$10,BQ$6,'CF(M)'!$L88:$EQ88)</f>
        <v>0</v>
      </c>
      <c r="BR83" s="171">
        <f>SUMIF('CF(M)'!$L$10:$EQ$10,BR$6,'CF(M)'!$L88:$EQ88)</f>
        <v>0</v>
      </c>
      <c r="BS83" s="171">
        <f>SUMIF('CF(M)'!$L$10:$EQ$10,BS$6,'CF(M)'!$L88:$EQ88)</f>
        <v>0</v>
      </c>
      <c r="BT83" s="171">
        <f>SUMIF('CF(M)'!$L$10:$EQ$10,BT$6,'CF(M)'!$L88:$EQ88)</f>
        <v>0</v>
      </c>
      <c r="BU83" s="171">
        <f>SUMIF('CF(M)'!$L$10:$EQ$10,BU$6,'CF(M)'!$L88:$EQ88)</f>
        <v>0</v>
      </c>
      <c r="BV83" s="171">
        <f>SUMIF('CF(M)'!$L$10:$EQ$10,BV$6,'CF(M)'!$L88:$EQ88)</f>
        <v>0</v>
      </c>
      <c r="BW83" s="171">
        <f>SUMIF('CF(M)'!$L$10:$EQ$10,BW$6,'CF(M)'!$L88:$EQ88)</f>
        <v>0</v>
      </c>
      <c r="BX83" s="171">
        <f>SUMIF('CF(M)'!$L$10:$EQ$10,BX$6,'CF(M)'!$L88:$EQ88)</f>
        <v>0</v>
      </c>
      <c r="BY83" s="171">
        <f>SUMIF('CF(M)'!$L$10:$EQ$10,BY$6,'CF(M)'!$L88:$EQ88)</f>
        <v>0</v>
      </c>
      <c r="BZ83" s="171">
        <f>SUMIF('CF(M)'!$L$10:$EQ$10,BZ$6,'CF(M)'!$L88:$EQ88)</f>
        <v>0</v>
      </c>
      <c r="CA83" s="171">
        <f>SUMIF('CF(M)'!$L$10:$EQ$10,CA$6,'CF(M)'!$L88:$EQ88)</f>
        <v>0</v>
      </c>
      <c r="CB83" s="171">
        <f>SUMIF('CF(M)'!$L$10:$EQ$10,CB$6,'CF(M)'!$L88:$EQ88)</f>
        <v>0</v>
      </c>
      <c r="CC83" s="171">
        <f>SUMIF('CF(M)'!$L$10:$EQ$10,CC$6,'CF(M)'!$L88:$EQ88)</f>
        <v>0</v>
      </c>
      <c r="CD83" s="171">
        <f>SUMIF('CF(M)'!$L$10:$EQ$10,CD$6,'CF(M)'!$L88:$EQ88)</f>
        <v>0</v>
      </c>
      <c r="CE83" s="171">
        <f>SUMIF('CF(M)'!$L$10:$EQ$10,CE$6,'CF(M)'!$L88:$EQ88)</f>
        <v>0</v>
      </c>
      <c r="CF83" s="171">
        <f>SUMIF('CF(M)'!$L$10:$EQ$10,CF$6,'CF(M)'!$L88:$EQ88)</f>
        <v>0</v>
      </c>
      <c r="CG83" s="171">
        <f>SUMIF('CF(M)'!$L$10:$EQ$10,CG$6,'CF(M)'!$L88:$EQ88)</f>
        <v>0</v>
      </c>
      <c r="CH83" s="171">
        <f>SUMIF('CF(M)'!$L$10:$EQ$10,CH$6,'CF(M)'!$L88:$EQ88)</f>
        <v>0</v>
      </c>
      <c r="CI83" s="171">
        <f>SUMIF('CF(M)'!$L$10:$EQ$10,CI$6,'CF(M)'!$L88:$EQ88)</f>
        <v>0</v>
      </c>
      <c r="CJ83" s="171">
        <f>SUMIF('CF(M)'!$L$10:$EQ$10,CJ$6,'CF(M)'!$L88:$EQ88)</f>
        <v>0</v>
      </c>
      <c r="CK83" s="171">
        <f>SUMIF('CF(M)'!$L$10:$EQ$10,CK$6,'CF(M)'!$L88:$EQ88)</f>
        <v>0</v>
      </c>
      <c r="CL83" s="171">
        <f>SUMIF('CF(M)'!$L$10:$EQ$10,CL$6,'CF(M)'!$L88:$EQ88)</f>
        <v>0</v>
      </c>
      <c r="CM83" s="171">
        <f>SUMIF('CF(M)'!$L$10:$EQ$10,CM$6,'CF(M)'!$L88:$EQ88)</f>
        <v>0</v>
      </c>
      <c r="CN83" s="171">
        <f>SUMIF('CF(M)'!$L$10:$EQ$10,CN$6,'CF(M)'!$L88:$EQ88)</f>
        <v>0</v>
      </c>
      <c r="CO83" s="171">
        <f>SUMIF('CF(M)'!$L$10:$EQ$10,CO$6,'CF(M)'!$L88:$EQ88)</f>
        <v>0</v>
      </c>
      <c r="CP83" s="171">
        <f>SUMIF('CF(M)'!$L$10:$EQ$10,CP$6,'CF(M)'!$L88:$EQ88)</f>
        <v>0</v>
      </c>
      <c r="CQ83" s="171">
        <f>SUMIF('CF(M)'!$L$10:$EQ$10,CQ$6,'CF(M)'!$L88:$EQ88)</f>
        <v>0</v>
      </c>
      <c r="CR83" s="171">
        <f>SUMIF('CF(M)'!$L$10:$EQ$10,CR$6,'CF(M)'!$L88:$EQ88)</f>
        <v>0</v>
      </c>
      <c r="CS83" s="171">
        <f>SUMIF('CF(M)'!$L$10:$EQ$10,CS$6,'CF(M)'!$L88:$EQ88)</f>
        <v>0</v>
      </c>
      <c r="CT83" s="171">
        <f>SUMIF('CF(M)'!$L$10:$EQ$10,CT$6,'CF(M)'!$L88:$EQ88)</f>
        <v>0</v>
      </c>
      <c r="CU83" s="171">
        <f>SUMIF('CF(M)'!$L$10:$EQ$10,CU$6,'CF(M)'!$L88:$EQ88)</f>
        <v>0</v>
      </c>
      <c r="CV83" s="171">
        <f>SUMIF('CF(M)'!$L$10:$EQ$10,CV$6,'CF(M)'!$L88:$EQ88)</f>
        <v>0</v>
      </c>
      <c r="CW83" s="171">
        <f>SUMIF('CF(M)'!$L$10:$EQ$10,CW$6,'CF(M)'!$L88:$EQ88)</f>
        <v>0</v>
      </c>
      <c r="CX83" s="171">
        <f>SUMIF('CF(M)'!$L$10:$EQ$10,CX$6,'CF(M)'!$L88:$EQ88)</f>
        <v>0</v>
      </c>
      <c r="CY83" s="171">
        <f>SUMIF('CF(M)'!$L$10:$EQ$10,CY$6,'CF(M)'!$L88:$EQ88)</f>
        <v>0</v>
      </c>
      <c r="CZ83" s="171">
        <f>SUMIF('CF(M)'!$L$10:$EQ$10,CZ$6,'CF(M)'!$L88:$EQ88)</f>
        <v>0</v>
      </c>
      <c r="DA83" s="171">
        <f>SUMIF('CF(M)'!$L$10:$EQ$10,DA$6,'CF(M)'!$L88:$EQ88)</f>
        <v>0</v>
      </c>
      <c r="DB83" s="171">
        <f>SUMIF('CF(M)'!$L$10:$EQ$10,DB$6,'CF(M)'!$L88:$EQ88)</f>
        <v>0</v>
      </c>
      <c r="DC83" s="171">
        <f>SUMIF('CF(M)'!$L$10:$EQ$10,DC$6,'CF(M)'!$L88:$EQ88)</f>
        <v>0</v>
      </c>
      <c r="DD83" s="171">
        <f>SUMIF('CF(M)'!$L$10:$EQ$10,DD$6,'CF(M)'!$L88:$EQ88)</f>
        <v>0</v>
      </c>
      <c r="DE83" s="171">
        <f>SUMIF('CF(M)'!$L$10:$EQ$10,DE$6,'CF(M)'!$L88:$EQ88)</f>
        <v>0</v>
      </c>
      <c r="DF83" s="171">
        <f>SUMIF('CF(M)'!$L$10:$EQ$10,DF$6,'CF(M)'!$L88:$EQ88)</f>
        <v>0</v>
      </c>
      <c r="DG83" s="171">
        <f>SUMIF('CF(M)'!$L$10:$EQ$10,DG$6,'CF(M)'!$L88:$EQ88)</f>
        <v>0</v>
      </c>
      <c r="DH83" s="171">
        <f>SUMIF('CF(M)'!$L$10:$EQ$10,DH$6,'CF(M)'!$L88:$EQ88)</f>
        <v>0</v>
      </c>
      <c r="DI83" s="171">
        <f>SUMIF('CF(M)'!$L$10:$EQ$10,DI$6,'CF(M)'!$L88:$EQ88)</f>
        <v>0</v>
      </c>
      <c r="DJ83" s="171">
        <f>SUMIF('CF(M)'!$L$10:$EQ$10,DJ$6,'CF(M)'!$L88:$EQ88)</f>
        <v>0</v>
      </c>
      <c r="DK83" s="171">
        <f>SUMIF('CF(M)'!$L$10:$EQ$10,DK$6,'CF(M)'!$L88:$EQ88)</f>
        <v>0</v>
      </c>
      <c r="DL83" s="171">
        <f>SUMIF('CF(M)'!$L$10:$EQ$10,DL$6,'CF(M)'!$L88:$EQ88)</f>
        <v>0</v>
      </c>
      <c r="DM83" s="171">
        <f>SUMIF('CF(M)'!$L$10:$EQ$10,DM$6,'CF(M)'!$L88:$EQ88)</f>
        <v>0</v>
      </c>
      <c r="DN83" s="171">
        <f>SUMIF('CF(M)'!$L$10:$EQ$10,DN$6,'CF(M)'!$L88:$EQ88)</f>
        <v>0</v>
      </c>
      <c r="DO83" s="171">
        <f>SUMIF('CF(M)'!$L$10:$EQ$10,DO$6,'CF(M)'!$L88:$EQ88)</f>
        <v>0</v>
      </c>
      <c r="DP83" s="171">
        <f>SUMIF('CF(M)'!$L$10:$EQ$10,DP$6,'CF(M)'!$L88:$EQ88)</f>
        <v>0</v>
      </c>
      <c r="DQ83" s="171">
        <f>SUMIF('CF(M)'!$L$10:$EQ$10,DQ$6,'CF(M)'!$L88:$EQ88)</f>
        <v>0</v>
      </c>
      <c r="DR83" s="171">
        <f>SUMIF('CF(M)'!$L$10:$EQ$10,DR$6,'CF(M)'!$L88:$EQ88)</f>
        <v>0</v>
      </c>
      <c r="DS83" s="171">
        <f>SUMIF('CF(M)'!$L$10:$EQ$10,DS$6,'CF(M)'!$L88:$EQ88)</f>
        <v>0</v>
      </c>
      <c r="DT83" s="171">
        <f>SUMIF('CF(M)'!$L$10:$EQ$10,DT$6,'CF(M)'!$L88:$EQ88)</f>
        <v>0</v>
      </c>
      <c r="DU83" s="171">
        <f>SUMIF('CF(M)'!$L$10:$EQ$10,DU$6,'CF(M)'!$L88:$EQ88)</f>
        <v>0</v>
      </c>
      <c r="DV83" s="171">
        <f>SUMIF('CF(M)'!$L$10:$EQ$10,DV$6,'CF(M)'!$L88:$EQ88)</f>
        <v>0</v>
      </c>
    </row>
    <row r="84" spans="2:126" ht="11.25" customHeight="1">
      <c r="B84" s="218"/>
      <c r="C84" s="158" t="s">
        <v>617</v>
      </c>
      <c r="D84" s="159"/>
      <c r="E84" s="159"/>
      <c r="F84" s="159"/>
      <c r="G84" s="159"/>
      <c r="H84" s="160"/>
      <c r="I84" s="219"/>
      <c r="J84" s="220">
        <f>SUM(J85:J86)</f>
        <v>0</v>
      </c>
      <c r="K84" s="98"/>
      <c r="L84" s="162">
        <f>SUM(L85:L86)</f>
        <v>0</v>
      </c>
      <c r="M84" s="162">
        <f t="shared" ref="M84:BX84" si="40">SUM(M85:M86)</f>
        <v>0</v>
      </c>
      <c r="N84" s="162">
        <f t="shared" si="40"/>
        <v>0</v>
      </c>
      <c r="O84" s="162">
        <f t="shared" si="40"/>
        <v>0</v>
      </c>
      <c r="P84" s="162">
        <f t="shared" si="40"/>
        <v>0</v>
      </c>
      <c r="Q84" s="162">
        <f t="shared" si="40"/>
        <v>0</v>
      </c>
      <c r="R84" s="162">
        <f t="shared" si="40"/>
        <v>0</v>
      </c>
      <c r="S84" s="162">
        <f t="shared" si="40"/>
        <v>0</v>
      </c>
      <c r="T84" s="162">
        <f t="shared" si="40"/>
        <v>0</v>
      </c>
      <c r="U84" s="162">
        <f t="shared" si="40"/>
        <v>0</v>
      </c>
      <c r="V84" s="162">
        <f t="shared" si="40"/>
        <v>0</v>
      </c>
      <c r="W84" s="162">
        <f t="shared" si="40"/>
        <v>0</v>
      </c>
      <c r="X84" s="162">
        <f t="shared" si="40"/>
        <v>0</v>
      </c>
      <c r="Y84" s="162">
        <f t="shared" si="40"/>
        <v>0</v>
      </c>
      <c r="Z84" s="162">
        <f t="shared" si="40"/>
        <v>0</v>
      </c>
      <c r="AA84" s="162">
        <f t="shared" si="40"/>
        <v>0</v>
      </c>
      <c r="AB84" s="162">
        <f t="shared" si="40"/>
        <v>0</v>
      </c>
      <c r="AC84" s="162">
        <f t="shared" si="40"/>
        <v>0</v>
      </c>
      <c r="AD84" s="162">
        <f t="shared" si="40"/>
        <v>0</v>
      </c>
      <c r="AE84" s="162">
        <f t="shared" si="40"/>
        <v>0</v>
      </c>
      <c r="AF84" s="162">
        <f t="shared" si="40"/>
        <v>0</v>
      </c>
      <c r="AG84" s="162">
        <f t="shared" si="40"/>
        <v>0</v>
      </c>
      <c r="AH84" s="162">
        <f t="shared" si="40"/>
        <v>0</v>
      </c>
      <c r="AI84" s="162">
        <f t="shared" si="40"/>
        <v>0</v>
      </c>
      <c r="AJ84" s="162">
        <f t="shared" si="40"/>
        <v>0</v>
      </c>
      <c r="AK84" s="162">
        <f t="shared" si="40"/>
        <v>0</v>
      </c>
      <c r="AL84" s="162">
        <f t="shared" si="40"/>
        <v>0</v>
      </c>
      <c r="AM84" s="162">
        <f t="shared" si="40"/>
        <v>0</v>
      </c>
      <c r="AN84" s="162">
        <f t="shared" si="40"/>
        <v>0</v>
      </c>
      <c r="AO84" s="162">
        <f t="shared" si="40"/>
        <v>0</v>
      </c>
      <c r="AP84" s="162">
        <f t="shared" si="40"/>
        <v>0</v>
      </c>
      <c r="AQ84" s="162">
        <f t="shared" si="40"/>
        <v>0</v>
      </c>
      <c r="AR84" s="162">
        <f t="shared" si="40"/>
        <v>0</v>
      </c>
      <c r="AS84" s="162">
        <f t="shared" si="40"/>
        <v>0</v>
      </c>
      <c r="AT84" s="162">
        <f t="shared" si="40"/>
        <v>0</v>
      </c>
      <c r="AU84" s="162">
        <f t="shared" si="40"/>
        <v>0</v>
      </c>
      <c r="AV84" s="162">
        <f t="shared" si="40"/>
        <v>0</v>
      </c>
      <c r="AW84" s="162">
        <f t="shared" si="40"/>
        <v>0</v>
      </c>
      <c r="AX84" s="162">
        <f t="shared" si="40"/>
        <v>0</v>
      </c>
      <c r="AY84" s="162">
        <f t="shared" si="40"/>
        <v>0</v>
      </c>
      <c r="AZ84" s="162">
        <f t="shared" si="40"/>
        <v>0</v>
      </c>
      <c r="BA84" s="162">
        <f t="shared" si="40"/>
        <v>0</v>
      </c>
      <c r="BB84" s="162">
        <f t="shared" si="40"/>
        <v>0</v>
      </c>
      <c r="BC84" s="162">
        <f t="shared" si="40"/>
        <v>0</v>
      </c>
      <c r="BD84" s="162">
        <f t="shared" si="40"/>
        <v>0</v>
      </c>
      <c r="BE84" s="162">
        <f t="shared" si="40"/>
        <v>0</v>
      </c>
      <c r="BF84" s="162">
        <f t="shared" si="40"/>
        <v>0</v>
      </c>
      <c r="BG84" s="162">
        <f t="shared" si="40"/>
        <v>0</v>
      </c>
      <c r="BH84" s="162">
        <f t="shared" si="40"/>
        <v>0</v>
      </c>
      <c r="BI84" s="162">
        <f t="shared" si="40"/>
        <v>0</v>
      </c>
      <c r="BJ84" s="162">
        <f t="shared" si="40"/>
        <v>0</v>
      </c>
      <c r="BK84" s="162">
        <f t="shared" si="40"/>
        <v>0</v>
      </c>
      <c r="BL84" s="162">
        <f t="shared" si="40"/>
        <v>0</v>
      </c>
      <c r="BM84" s="162">
        <f t="shared" si="40"/>
        <v>0</v>
      </c>
      <c r="BN84" s="162">
        <f t="shared" si="40"/>
        <v>0</v>
      </c>
      <c r="BO84" s="162">
        <f t="shared" si="40"/>
        <v>0</v>
      </c>
      <c r="BP84" s="162">
        <f t="shared" si="40"/>
        <v>0</v>
      </c>
      <c r="BQ84" s="162">
        <f t="shared" si="40"/>
        <v>0</v>
      </c>
      <c r="BR84" s="162">
        <f t="shared" si="40"/>
        <v>0</v>
      </c>
      <c r="BS84" s="162">
        <f t="shared" si="40"/>
        <v>0</v>
      </c>
      <c r="BT84" s="162">
        <f t="shared" si="40"/>
        <v>0</v>
      </c>
      <c r="BU84" s="162">
        <f t="shared" si="40"/>
        <v>0</v>
      </c>
      <c r="BV84" s="162">
        <f t="shared" si="40"/>
        <v>0</v>
      </c>
      <c r="BW84" s="162">
        <f t="shared" si="40"/>
        <v>0</v>
      </c>
      <c r="BX84" s="162">
        <f t="shared" si="40"/>
        <v>0</v>
      </c>
      <c r="BY84" s="162">
        <f t="shared" ref="BY84:DV84" si="41">SUM(BY85:BY86)</f>
        <v>0</v>
      </c>
      <c r="BZ84" s="162">
        <f t="shared" si="41"/>
        <v>0</v>
      </c>
      <c r="CA84" s="162">
        <f t="shared" si="41"/>
        <v>0</v>
      </c>
      <c r="CB84" s="162">
        <f t="shared" si="41"/>
        <v>0</v>
      </c>
      <c r="CC84" s="162">
        <f t="shared" si="41"/>
        <v>0</v>
      </c>
      <c r="CD84" s="162">
        <f t="shared" si="41"/>
        <v>0</v>
      </c>
      <c r="CE84" s="162">
        <f t="shared" si="41"/>
        <v>0</v>
      </c>
      <c r="CF84" s="162">
        <f t="shared" si="41"/>
        <v>0</v>
      </c>
      <c r="CG84" s="162">
        <f t="shared" si="41"/>
        <v>0</v>
      </c>
      <c r="CH84" s="162">
        <f t="shared" si="41"/>
        <v>0</v>
      </c>
      <c r="CI84" s="162">
        <f t="shared" si="41"/>
        <v>0</v>
      </c>
      <c r="CJ84" s="162">
        <f t="shared" si="41"/>
        <v>0</v>
      </c>
      <c r="CK84" s="162">
        <f t="shared" si="41"/>
        <v>0</v>
      </c>
      <c r="CL84" s="162">
        <f t="shared" si="41"/>
        <v>0</v>
      </c>
      <c r="CM84" s="162">
        <f t="shared" si="41"/>
        <v>0</v>
      </c>
      <c r="CN84" s="162">
        <f t="shared" si="41"/>
        <v>0</v>
      </c>
      <c r="CO84" s="162">
        <f t="shared" si="41"/>
        <v>0</v>
      </c>
      <c r="CP84" s="162">
        <f t="shared" si="41"/>
        <v>0</v>
      </c>
      <c r="CQ84" s="162">
        <f t="shared" si="41"/>
        <v>0</v>
      </c>
      <c r="CR84" s="162">
        <f t="shared" si="41"/>
        <v>0</v>
      </c>
      <c r="CS84" s="162">
        <f t="shared" si="41"/>
        <v>0</v>
      </c>
      <c r="CT84" s="162">
        <f t="shared" si="41"/>
        <v>0</v>
      </c>
      <c r="CU84" s="162">
        <f t="shared" si="41"/>
        <v>0</v>
      </c>
      <c r="CV84" s="162">
        <f t="shared" si="41"/>
        <v>0</v>
      </c>
      <c r="CW84" s="162">
        <f t="shared" si="41"/>
        <v>0</v>
      </c>
      <c r="CX84" s="162">
        <f t="shared" si="41"/>
        <v>0</v>
      </c>
      <c r="CY84" s="162">
        <f t="shared" si="41"/>
        <v>0</v>
      </c>
      <c r="CZ84" s="162">
        <f t="shared" si="41"/>
        <v>0</v>
      </c>
      <c r="DA84" s="162">
        <f t="shared" si="41"/>
        <v>0</v>
      </c>
      <c r="DB84" s="162">
        <f t="shared" si="41"/>
        <v>0</v>
      </c>
      <c r="DC84" s="162">
        <f t="shared" si="41"/>
        <v>0</v>
      </c>
      <c r="DD84" s="162">
        <f t="shared" si="41"/>
        <v>0</v>
      </c>
      <c r="DE84" s="162">
        <f t="shared" si="41"/>
        <v>0</v>
      </c>
      <c r="DF84" s="162">
        <f t="shared" si="41"/>
        <v>0</v>
      </c>
      <c r="DG84" s="162">
        <f t="shared" si="41"/>
        <v>0</v>
      </c>
      <c r="DH84" s="162">
        <f t="shared" si="41"/>
        <v>0</v>
      </c>
      <c r="DI84" s="162">
        <f t="shared" si="41"/>
        <v>0</v>
      </c>
      <c r="DJ84" s="162">
        <f t="shared" si="41"/>
        <v>0</v>
      </c>
      <c r="DK84" s="162">
        <f t="shared" si="41"/>
        <v>0</v>
      </c>
      <c r="DL84" s="162">
        <f t="shared" si="41"/>
        <v>0</v>
      </c>
      <c r="DM84" s="162">
        <f t="shared" si="41"/>
        <v>0</v>
      </c>
      <c r="DN84" s="162">
        <f t="shared" si="41"/>
        <v>0</v>
      </c>
      <c r="DO84" s="162">
        <f t="shared" si="41"/>
        <v>0</v>
      </c>
      <c r="DP84" s="162">
        <f t="shared" si="41"/>
        <v>0</v>
      </c>
      <c r="DQ84" s="162">
        <f t="shared" si="41"/>
        <v>0</v>
      </c>
      <c r="DR84" s="162">
        <f t="shared" si="41"/>
        <v>0</v>
      </c>
      <c r="DS84" s="162">
        <f t="shared" si="41"/>
        <v>0</v>
      </c>
      <c r="DT84" s="162">
        <f t="shared" si="41"/>
        <v>0</v>
      </c>
      <c r="DU84" s="162">
        <f t="shared" si="41"/>
        <v>0</v>
      </c>
      <c r="DV84" s="162">
        <f t="shared" si="41"/>
        <v>0</v>
      </c>
    </row>
    <row r="85" spans="2:126" ht="11.25" customHeight="1">
      <c r="B85" s="218"/>
      <c r="C85" s="163"/>
      <c r="D85" s="164" t="s">
        <v>208</v>
      </c>
      <c r="E85" s="165"/>
      <c r="F85" s="165"/>
      <c r="G85" s="165"/>
      <c r="H85" s="166"/>
      <c r="I85" s="228"/>
      <c r="J85" s="168">
        <f>SUM(L85:DV85)</f>
        <v>0</v>
      </c>
      <c r="K85" s="98"/>
      <c r="L85" s="168">
        <f>SUMIF('CF(M)'!$L$10:$EQ$10,L$6,'CF(M)'!$L90:$EQ90)</f>
        <v>0</v>
      </c>
      <c r="M85" s="168">
        <f>SUMIF('CF(M)'!$L$10:$EQ$10,M$6,'CF(M)'!$L90:$EQ90)</f>
        <v>0</v>
      </c>
      <c r="N85" s="168">
        <f>SUMIF('CF(M)'!$L$10:$EQ$10,N$6,'CF(M)'!$L90:$EQ90)</f>
        <v>0</v>
      </c>
      <c r="O85" s="168">
        <f>SUMIF('CF(M)'!$L$10:$EQ$10,O$6,'CF(M)'!$L90:$EQ90)</f>
        <v>0</v>
      </c>
      <c r="P85" s="168">
        <f>SUMIF('CF(M)'!$L$10:$EQ$10,P$6,'CF(M)'!$L90:$EQ90)</f>
        <v>0</v>
      </c>
      <c r="Q85" s="168">
        <f>SUMIF('CF(M)'!$L$10:$EQ$10,Q$6,'CF(M)'!$L90:$EQ90)</f>
        <v>0</v>
      </c>
      <c r="R85" s="168">
        <f>SUMIF('CF(M)'!$L$10:$EQ$10,R$6,'CF(M)'!$L90:$EQ90)</f>
        <v>0</v>
      </c>
      <c r="S85" s="168">
        <f>SUMIF('CF(M)'!$L$10:$EQ$10,S$6,'CF(M)'!$L90:$EQ90)</f>
        <v>0</v>
      </c>
      <c r="T85" s="168">
        <f>SUMIF('CF(M)'!$L$10:$EQ$10,T$6,'CF(M)'!$L90:$EQ90)</f>
        <v>0</v>
      </c>
      <c r="U85" s="168">
        <f>SUMIF('CF(M)'!$L$10:$EQ$10,U$6,'CF(M)'!$L90:$EQ90)</f>
        <v>0</v>
      </c>
      <c r="V85" s="168">
        <f>SUMIF('CF(M)'!$L$10:$EQ$10,V$6,'CF(M)'!$L90:$EQ90)</f>
        <v>0</v>
      </c>
      <c r="W85" s="168">
        <f>SUMIF('CF(M)'!$L$10:$EQ$10,W$6,'CF(M)'!$L90:$EQ90)</f>
        <v>0</v>
      </c>
      <c r="X85" s="168">
        <f>SUMIF('CF(M)'!$L$10:$EQ$10,X$6,'CF(M)'!$L90:$EQ90)</f>
        <v>0</v>
      </c>
      <c r="Y85" s="168">
        <f>SUMIF('CF(M)'!$L$10:$EQ$10,Y$6,'CF(M)'!$L90:$EQ90)</f>
        <v>0</v>
      </c>
      <c r="Z85" s="168">
        <f>SUMIF('CF(M)'!$L$10:$EQ$10,Z$6,'CF(M)'!$L90:$EQ90)</f>
        <v>0</v>
      </c>
      <c r="AA85" s="168">
        <f>SUMIF('CF(M)'!$L$10:$EQ$10,AA$6,'CF(M)'!$L90:$EQ90)</f>
        <v>0</v>
      </c>
      <c r="AB85" s="168">
        <f>SUMIF('CF(M)'!$L$10:$EQ$10,AB$6,'CF(M)'!$L90:$EQ90)</f>
        <v>0</v>
      </c>
      <c r="AC85" s="168">
        <f>SUMIF('CF(M)'!$L$10:$EQ$10,AC$6,'CF(M)'!$L90:$EQ90)</f>
        <v>0</v>
      </c>
      <c r="AD85" s="168">
        <f>SUMIF('CF(M)'!$L$10:$EQ$10,AD$6,'CF(M)'!$L90:$EQ90)</f>
        <v>0</v>
      </c>
      <c r="AE85" s="168">
        <f>SUMIF('CF(M)'!$L$10:$EQ$10,AE$6,'CF(M)'!$L90:$EQ90)</f>
        <v>0</v>
      </c>
      <c r="AF85" s="168">
        <f>SUMIF('CF(M)'!$L$10:$EQ$10,AF$6,'CF(M)'!$L90:$EQ90)</f>
        <v>0</v>
      </c>
      <c r="AG85" s="168">
        <f>SUMIF('CF(M)'!$L$10:$EQ$10,AG$6,'CF(M)'!$L90:$EQ90)</f>
        <v>0</v>
      </c>
      <c r="AH85" s="168">
        <f>SUMIF('CF(M)'!$L$10:$EQ$10,AH$6,'CF(M)'!$L90:$EQ90)</f>
        <v>0</v>
      </c>
      <c r="AI85" s="168">
        <f>SUMIF('CF(M)'!$L$10:$EQ$10,AI$6,'CF(M)'!$L90:$EQ90)</f>
        <v>0</v>
      </c>
      <c r="AJ85" s="168">
        <f>SUMIF('CF(M)'!$L$10:$EQ$10,AJ$6,'CF(M)'!$L90:$EQ90)</f>
        <v>0</v>
      </c>
      <c r="AK85" s="168">
        <f>SUMIF('CF(M)'!$L$10:$EQ$10,AK$6,'CF(M)'!$L90:$EQ90)</f>
        <v>0</v>
      </c>
      <c r="AL85" s="168">
        <f>SUMIF('CF(M)'!$L$10:$EQ$10,AL$6,'CF(M)'!$L90:$EQ90)</f>
        <v>0</v>
      </c>
      <c r="AM85" s="168">
        <f>SUMIF('CF(M)'!$L$10:$EQ$10,AM$6,'CF(M)'!$L90:$EQ90)</f>
        <v>0</v>
      </c>
      <c r="AN85" s="168">
        <f>SUMIF('CF(M)'!$L$10:$EQ$10,AN$6,'CF(M)'!$L90:$EQ90)</f>
        <v>0</v>
      </c>
      <c r="AO85" s="168">
        <f>SUMIF('CF(M)'!$L$10:$EQ$10,AO$6,'CF(M)'!$L90:$EQ90)</f>
        <v>0</v>
      </c>
      <c r="AP85" s="168">
        <f>SUMIF('CF(M)'!$L$10:$EQ$10,AP$6,'CF(M)'!$L90:$EQ90)</f>
        <v>0</v>
      </c>
      <c r="AQ85" s="168">
        <f>SUMIF('CF(M)'!$L$10:$EQ$10,AQ$6,'CF(M)'!$L90:$EQ90)</f>
        <v>0</v>
      </c>
      <c r="AR85" s="168">
        <f>SUMIF('CF(M)'!$L$10:$EQ$10,AR$6,'CF(M)'!$L90:$EQ90)</f>
        <v>0</v>
      </c>
      <c r="AS85" s="168">
        <f>SUMIF('CF(M)'!$L$10:$EQ$10,AS$6,'CF(M)'!$L90:$EQ90)</f>
        <v>0</v>
      </c>
      <c r="AT85" s="168">
        <f>SUMIF('CF(M)'!$L$10:$EQ$10,AT$6,'CF(M)'!$L90:$EQ90)</f>
        <v>0</v>
      </c>
      <c r="AU85" s="168">
        <f>SUMIF('CF(M)'!$L$10:$EQ$10,AU$6,'CF(M)'!$L90:$EQ90)</f>
        <v>0</v>
      </c>
      <c r="AV85" s="168">
        <f>SUMIF('CF(M)'!$L$10:$EQ$10,AV$6,'CF(M)'!$L90:$EQ90)</f>
        <v>0</v>
      </c>
      <c r="AW85" s="168">
        <f>SUMIF('CF(M)'!$L$10:$EQ$10,AW$6,'CF(M)'!$L90:$EQ90)</f>
        <v>0</v>
      </c>
      <c r="AX85" s="168">
        <f>SUMIF('CF(M)'!$L$10:$EQ$10,AX$6,'CF(M)'!$L90:$EQ90)</f>
        <v>0</v>
      </c>
      <c r="AY85" s="168">
        <f>SUMIF('CF(M)'!$L$10:$EQ$10,AY$6,'CF(M)'!$L90:$EQ90)</f>
        <v>0</v>
      </c>
      <c r="AZ85" s="168">
        <f>SUMIF('CF(M)'!$L$10:$EQ$10,AZ$6,'CF(M)'!$L90:$EQ90)</f>
        <v>0</v>
      </c>
      <c r="BA85" s="168">
        <f>SUMIF('CF(M)'!$L$10:$EQ$10,BA$6,'CF(M)'!$L90:$EQ90)</f>
        <v>0</v>
      </c>
      <c r="BB85" s="168">
        <f>SUMIF('CF(M)'!$L$10:$EQ$10,BB$6,'CF(M)'!$L90:$EQ90)</f>
        <v>0</v>
      </c>
      <c r="BC85" s="168">
        <f>SUMIF('CF(M)'!$L$10:$EQ$10,BC$6,'CF(M)'!$L90:$EQ90)</f>
        <v>0</v>
      </c>
      <c r="BD85" s="168">
        <f>SUMIF('CF(M)'!$L$10:$EQ$10,BD$6,'CF(M)'!$L90:$EQ90)</f>
        <v>0</v>
      </c>
      <c r="BE85" s="168">
        <f>SUMIF('CF(M)'!$L$10:$EQ$10,BE$6,'CF(M)'!$L90:$EQ90)</f>
        <v>0</v>
      </c>
      <c r="BF85" s="168">
        <f>SUMIF('CF(M)'!$L$10:$EQ$10,BF$6,'CF(M)'!$L90:$EQ90)</f>
        <v>0</v>
      </c>
      <c r="BG85" s="168">
        <f>SUMIF('CF(M)'!$L$10:$EQ$10,BG$6,'CF(M)'!$L90:$EQ90)</f>
        <v>0</v>
      </c>
      <c r="BH85" s="168">
        <f>SUMIF('CF(M)'!$L$10:$EQ$10,BH$6,'CF(M)'!$L90:$EQ90)</f>
        <v>0</v>
      </c>
      <c r="BI85" s="168">
        <f>SUMIF('CF(M)'!$L$10:$EQ$10,BI$6,'CF(M)'!$L90:$EQ90)</f>
        <v>0</v>
      </c>
      <c r="BJ85" s="168">
        <f>SUMIF('CF(M)'!$L$10:$EQ$10,BJ$6,'CF(M)'!$L90:$EQ90)</f>
        <v>0</v>
      </c>
      <c r="BK85" s="168">
        <f>SUMIF('CF(M)'!$L$10:$EQ$10,BK$6,'CF(M)'!$L90:$EQ90)</f>
        <v>0</v>
      </c>
      <c r="BL85" s="168">
        <f>SUMIF('CF(M)'!$L$10:$EQ$10,BL$6,'CF(M)'!$L90:$EQ90)</f>
        <v>0</v>
      </c>
      <c r="BM85" s="168">
        <f>SUMIF('CF(M)'!$L$10:$EQ$10,BM$6,'CF(M)'!$L90:$EQ90)</f>
        <v>0</v>
      </c>
      <c r="BN85" s="168">
        <f>SUMIF('CF(M)'!$L$10:$EQ$10,BN$6,'CF(M)'!$L90:$EQ90)</f>
        <v>0</v>
      </c>
      <c r="BO85" s="168">
        <f>SUMIF('CF(M)'!$L$10:$EQ$10,BO$6,'CF(M)'!$L90:$EQ90)</f>
        <v>0</v>
      </c>
      <c r="BP85" s="168">
        <f>SUMIF('CF(M)'!$L$10:$EQ$10,BP$6,'CF(M)'!$L90:$EQ90)</f>
        <v>0</v>
      </c>
      <c r="BQ85" s="168">
        <f>SUMIF('CF(M)'!$L$10:$EQ$10,BQ$6,'CF(M)'!$L90:$EQ90)</f>
        <v>0</v>
      </c>
      <c r="BR85" s="168">
        <f>SUMIF('CF(M)'!$L$10:$EQ$10,BR$6,'CF(M)'!$L90:$EQ90)</f>
        <v>0</v>
      </c>
      <c r="BS85" s="168">
        <f>SUMIF('CF(M)'!$L$10:$EQ$10,BS$6,'CF(M)'!$L90:$EQ90)</f>
        <v>0</v>
      </c>
      <c r="BT85" s="168">
        <f>SUMIF('CF(M)'!$L$10:$EQ$10,BT$6,'CF(M)'!$L90:$EQ90)</f>
        <v>0</v>
      </c>
      <c r="BU85" s="168">
        <f>SUMIF('CF(M)'!$L$10:$EQ$10,BU$6,'CF(M)'!$L90:$EQ90)</f>
        <v>0</v>
      </c>
      <c r="BV85" s="168">
        <f>SUMIF('CF(M)'!$L$10:$EQ$10,BV$6,'CF(M)'!$L90:$EQ90)</f>
        <v>0</v>
      </c>
      <c r="BW85" s="168">
        <f>SUMIF('CF(M)'!$L$10:$EQ$10,BW$6,'CF(M)'!$L90:$EQ90)</f>
        <v>0</v>
      </c>
      <c r="BX85" s="168">
        <f>SUMIF('CF(M)'!$L$10:$EQ$10,BX$6,'CF(M)'!$L90:$EQ90)</f>
        <v>0</v>
      </c>
      <c r="BY85" s="168">
        <f>SUMIF('CF(M)'!$L$10:$EQ$10,BY$6,'CF(M)'!$L90:$EQ90)</f>
        <v>0</v>
      </c>
      <c r="BZ85" s="168">
        <f>SUMIF('CF(M)'!$L$10:$EQ$10,BZ$6,'CF(M)'!$L90:$EQ90)</f>
        <v>0</v>
      </c>
      <c r="CA85" s="168">
        <f>SUMIF('CF(M)'!$L$10:$EQ$10,CA$6,'CF(M)'!$L90:$EQ90)</f>
        <v>0</v>
      </c>
      <c r="CB85" s="168">
        <f>SUMIF('CF(M)'!$L$10:$EQ$10,CB$6,'CF(M)'!$L90:$EQ90)</f>
        <v>0</v>
      </c>
      <c r="CC85" s="168">
        <f>SUMIF('CF(M)'!$L$10:$EQ$10,CC$6,'CF(M)'!$L90:$EQ90)</f>
        <v>0</v>
      </c>
      <c r="CD85" s="168">
        <f>SUMIF('CF(M)'!$L$10:$EQ$10,CD$6,'CF(M)'!$L90:$EQ90)</f>
        <v>0</v>
      </c>
      <c r="CE85" s="168">
        <f>SUMIF('CF(M)'!$L$10:$EQ$10,CE$6,'CF(M)'!$L90:$EQ90)</f>
        <v>0</v>
      </c>
      <c r="CF85" s="168">
        <f>SUMIF('CF(M)'!$L$10:$EQ$10,CF$6,'CF(M)'!$L90:$EQ90)</f>
        <v>0</v>
      </c>
      <c r="CG85" s="168">
        <f>SUMIF('CF(M)'!$L$10:$EQ$10,CG$6,'CF(M)'!$L90:$EQ90)</f>
        <v>0</v>
      </c>
      <c r="CH85" s="168">
        <f>SUMIF('CF(M)'!$L$10:$EQ$10,CH$6,'CF(M)'!$L90:$EQ90)</f>
        <v>0</v>
      </c>
      <c r="CI85" s="168">
        <f>SUMIF('CF(M)'!$L$10:$EQ$10,CI$6,'CF(M)'!$L90:$EQ90)</f>
        <v>0</v>
      </c>
      <c r="CJ85" s="168">
        <f>SUMIF('CF(M)'!$L$10:$EQ$10,CJ$6,'CF(M)'!$L90:$EQ90)</f>
        <v>0</v>
      </c>
      <c r="CK85" s="168">
        <f>SUMIF('CF(M)'!$L$10:$EQ$10,CK$6,'CF(M)'!$L90:$EQ90)</f>
        <v>0</v>
      </c>
      <c r="CL85" s="168">
        <f>SUMIF('CF(M)'!$L$10:$EQ$10,CL$6,'CF(M)'!$L90:$EQ90)</f>
        <v>0</v>
      </c>
      <c r="CM85" s="168">
        <f>SUMIF('CF(M)'!$L$10:$EQ$10,CM$6,'CF(M)'!$L90:$EQ90)</f>
        <v>0</v>
      </c>
      <c r="CN85" s="168">
        <f>SUMIF('CF(M)'!$L$10:$EQ$10,CN$6,'CF(M)'!$L90:$EQ90)</f>
        <v>0</v>
      </c>
      <c r="CO85" s="168">
        <f>SUMIF('CF(M)'!$L$10:$EQ$10,CO$6,'CF(M)'!$L90:$EQ90)</f>
        <v>0</v>
      </c>
      <c r="CP85" s="168">
        <f>SUMIF('CF(M)'!$L$10:$EQ$10,CP$6,'CF(M)'!$L90:$EQ90)</f>
        <v>0</v>
      </c>
      <c r="CQ85" s="168">
        <f>SUMIF('CF(M)'!$L$10:$EQ$10,CQ$6,'CF(M)'!$L90:$EQ90)</f>
        <v>0</v>
      </c>
      <c r="CR85" s="168">
        <f>SUMIF('CF(M)'!$L$10:$EQ$10,CR$6,'CF(M)'!$L90:$EQ90)</f>
        <v>0</v>
      </c>
      <c r="CS85" s="168">
        <f>SUMIF('CF(M)'!$L$10:$EQ$10,CS$6,'CF(M)'!$L90:$EQ90)</f>
        <v>0</v>
      </c>
      <c r="CT85" s="168">
        <f>SUMIF('CF(M)'!$L$10:$EQ$10,CT$6,'CF(M)'!$L90:$EQ90)</f>
        <v>0</v>
      </c>
      <c r="CU85" s="168">
        <f>SUMIF('CF(M)'!$L$10:$EQ$10,CU$6,'CF(M)'!$L90:$EQ90)</f>
        <v>0</v>
      </c>
      <c r="CV85" s="168">
        <f>SUMIF('CF(M)'!$L$10:$EQ$10,CV$6,'CF(M)'!$L90:$EQ90)</f>
        <v>0</v>
      </c>
      <c r="CW85" s="168">
        <f>SUMIF('CF(M)'!$L$10:$EQ$10,CW$6,'CF(M)'!$L90:$EQ90)</f>
        <v>0</v>
      </c>
      <c r="CX85" s="168">
        <f>SUMIF('CF(M)'!$L$10:$EQ$10,CX$6,'CF(M)'!$L90:$EQ90)</f>
        <v>0</v>
      </c>
      <c r="CY85" s="168">
        <f>SUMIF('CF(M)'!$L$10:$EQ$10,CY$6,'CF(M)'!$L90:$EQ90)</f>
        <v>0</v>
      </c>
      <c r="CZ85" s="168">
        <f>SUMIF('CF(M)'!$L$10:$EQ$10,CZ$6,'CF(M)'!$L90:$EQ90)</f>
        <v>0</v>
      </c>
      <c r="DA85" s="168">
        <f>SUMIF('CF(M)'!$L$10:$EQ$10,DA$6,'CF(M)'!$L90:$EQ90)</f>
        <v>0</v>
      </c>
      <c r="DB85" s="168">
        <f>SUMIF('CF(M)'!$L$10:$EQ$10,DB$6,'CF(M)'!$L90:$EQ90)</f>
        <v>0</v>
      </c>
      <c r="DC85" s="168">
        <f>SUMIF('CF(M)'!$L$10:$EQ$10,DC$6,'CF(M)'!$L90:$EQ90)</f>
        <v>0</v>
      </c>
      <c r="DD85" s="168">
        <f>SUMIF('CF(M)'!$L$10:$EQ$10,DD$6,'CF(M)'!$L90:$EQ90)</f>
        <v>0</v>
      </c>
      <c r="DE85" s="168">
        <f>SUMIF('CF(M)'!$L$10:$EQ$10,DE$6,'CF(M)'!$L90:$EQ90)</f>
        <v>0</v>
      </c>
      <c r="DF85" s="168">
        <f>SUMIF('CF(M)'!$L$10:$EQ$10,DF$6,'CF(M)'!$L90:$EQ90)</f>
        <v>0</v>
      </c>
      <c r="DG85" s="168">
        <f>SUMIF('CF(M)'!$L$10:$EQ$10,DG$6,'CF(M)'!$L90:$EQ90)</f>
        <v>0</v>
      </c>
      <c r="DH85" s="168">
        <f>SUMIF('CF(M)'!$L$10:$EQ$10,DH$6,'CF(M)'!$L90:$EQ90)</f>
        <v>0</v>
      </c>
      <c r="DI85" s="168">
        <f>SUMIF('CF(M)'!$L$10:$EQ$10,DI$6,'CF(M)'!$L90:$EQ90)</f>
        <v>0</v>
      </c>
      <c r="DJ85" s="168">
        <f>SUMIF('CF(M)'!$L$10:$EQ$10,DJ$6,'CF(M)'!$L90:$EQ90)</f>
        <v>0</v>
      </c>
      <c r="DK85" s="168">
        <f>SUMIF('CF(M)'!$L$10:$EQ$10,DK$6,'CF(M)'!$L90:$EQ90)</f>
        <v>0</v>
      </c>
      <c r="DL85" s="168">
        <f>SUMIF('CF(M)'!$L$10:$EQ$10,DL$6,'CF(M)'!$L90:$EQ90)</f>
        <v>0</v>
      </c>
      <c r="DM85" s="168">
        <f>SUMIF('CF(M)'!$L$10:$EQ$10,DM$6,'CF(M)'!$L90:$EQ90)</f>
        <v>0</v>
      </c>
      <c r="DN85" s="168">
        <f>SUMIF('CF(M)'!$L$10:$EQ$10,DN$6,'CF(M)'!$L90:$EQ90)</f>
        <v>0</v>
      </c>
      <c r="DO85" s="168">
        <f>SUMIF('CF(M)'!$L$10:$EQ$10,DO$6,'CF(M)'!$L90:$EQ90)</f>
        <v>0</v>
      </c>
      <c r="DP85" s="168">
        <f>SUMIF('CF(M)'!$L$10:$EQ$10,DP$6,'CF(M)'!$L90:$EQ90)</f>
        <v>0</v>
      </c>
      <c r="DQ85" s="168">
        <f>SUMIF('CF(M)'!$L$10:$EQ$10,DQ$6,'CF(M)'!$L90:$EQ90)</f>
        <v>0</v>
      </c>
      <c r="DR85" s="168">
        <f>SUMIF('CF(M)'!$L$10:$EQ$10,DR$6,'CF(M)'!$L90:$EQ90)</f>
        <v>0</v>
      </c>
      <c r="DS85" s="168">
        <f>SUMIF('CF(M)'!$L$10:$EQ$10,DS$6,'CF(M)'!$L90:$EQ90)</f>
        <v>0</v>
      </c>
      <c r="DT85" s="168">
        <f>SUMIF('CF(M)'!$L$10:$EQ$10,DT$6,'CF(M)'!$L90:$EQ90)</f>
        <v>0</v>
      </c>
      <c r="DU85" s="168">
        <f>SUMIF('CF(M)'!$L$10:$EQ$10,DU$6,'CF(M)'!$L90:$EQ90)</f>
        <v>0</v>
      </c>
      <c r="DV85" s="168">
        <f>SUMIF('CF(M)'!$L$10:$EQ$10,DV$6,'CF(M)'!$L90:$EQ90)</f>
        <v>0</v>
      </c>
    </row>
    <row r="86" spans="2:126" ht="11.25" customHeight="1">
      <c r="B86" s="218"/>
      <c r="C86" s="163"/>
      <c r="D86" s="169" t="s">
        <v>209</v>
      </c>
      <c r="H86" s="146"/>
      <c r="I86" s="229"/>
      <c r="J86" s="171">
        <f>SUM(L86:DV86)</f>
        <v>0</v>
      </c>
      <c r="K86" s="98"/>
      <c r="L86" s="171">
        <f>SUMIF('CF(M)'!$L$10:$EQ$10,L$6,'CF(M)'!$L91:$EQ91)</f>
        <v>0</v>
      </c>
      <c r="M86" s="171">
        <f>SUMIF('CF(M)'!$L$10:$EQ$10,M$6,'CF(M)'!$L91:$EQ91)</f>
        <v>0</v>
      </c>
      <c r="N86" s="171">
        <f>SUMIF('CF(M)'!$L$10:$EQ$10,N$6,'CF(M)'!$L91:$EQ91)</f>
        <v>0</v>
      </c>
      <c r="O86" s="171">
        <f>SUMIF('CF(M)'!$L$10:$EQ$10,O$6,'CF(M)'!$L91:$EQ91)</f>
        <v>0</v>
      </c>
      <c r="P86" s="171">
        <f>SUMIF('CF(M)'!$L$10:$EQ$10,P$6,'CF(M)'!$L91:$EQ91)</f>
        <v>0</v>
      </c>
      <c r="Q86" s="171">
        <f>SUMIF('CF(M)'!$L$10:$EQ$10,Q$6,'CF(M)'!$L91:$EQ91)</f>
        <v>0</v>
      </c>
      <c r="R86" s="171">
        <f>SUMIF('CF(M)'!$L$10:$EQ$10,R$6,'CF(M)'!$L91:$EQ91)</f>
        <v>0</v>
      </c>
      <c r="S86" s="171">
        <f>SUMIF('CF(M)'!$L$10:$EQ$10,S$6,'CF(M)'!$L91:$EQ91)</f>
        <v>0</v>
      </c>
      <c r="T86" s="171">
        <f>SUMIF('CF(M)'!$L$10:$EQ$10,T$6,'CF(M)'!$L91:$EQ91)</f>
        <v>0</v>
      </c>
      <c r="U86" s="171">
        <f>SUMIF('CF(M)'!$L$10:$EQ$10,U$6,'CF(M)'!$L91:$EQ91)</f>
        <v>0</v>
      </c>
      <c r="V86" s="171">
        <f>SUMIF('CF(M)'!$L$10:$EQ$10,V$6,'CF(M)'!$L91:$EQ91)</f>
        <v>0</v>
      </c>
      <c r="W86" s="171">
        <f>SUMIF('CF(M)'!$L$10:$EQ$10,W$6,'CF(M)'!$L91:$EQ91)</f>
        <v>0</v>
      </c>
      <c r="X86" s="171">
        <f>SUMIF('CF(M)'!$L$10:$EQ$10,X$6,'CF(M)'!$L91:$EQ91)</f>
        <v>0</v>
      </c>
      <c r="Y86" s="171">
        <f>SUMIF('CF(M)'!$L$10:$EQ$10,Y$6,'CF(M)'!$L91:$EQ91)</f>
        <v>0</v>
      </c>
      <c r="Z86" s="171">
        <f>SUMIF('CF(M)'!$L$10:$EQ$10,Z$6,'CF(M)'!$L91:$EQ91)</f>
        <v>0</v>
      </c>
      <c r="AA86" s="171">
        <f>SUMIF('CF(M)'!$L$10:$EQ$10,AA$6,'CF(M)'!$L91:$EQ91)</f>
        <v>0</v>
      </c>
      <c r="AB86" s="171">
        <f>SUMIF('CF(M)'!$L$10:$EQ$10,AB$6,'CF(M)'!$L91:$EQ91)</f>
        <v>0</v>
      </c>
      <c r="AC86" s="171">
        <f>SUMIF('CF(M)'!$L$10:$EQ$10,AC$6,'CF(M)'!$L91:$EQ91)</f>
        <v>0</v>
      </c>
      <c r="AD86" s="171">
        <f>SUMIF('CF(M)'!$L$10:$EQ$10,AD$6,'CF(M)'!$L91:$EQ91)</f>
        <v>0</v>
      </c>
      <c r="AE86" s="171">
        <f>SUMIF('CF(M)'!$L$10:$EQ$10,AE$6,'CF(M)'!$L91:$EQ91)</f>
        <v>0</v>
      </c>
      <c r="AF86" s="171">
        <f>SUMIF('CF(M)'!$L$10:$EQ$10,AF$6,'CF(M)'!$L91:$EQ91)</f>
        <v>0</v>
      </c>
      <c r="AG86" s="171">
        <f>SUMIF('CF(M)'!$L$10:$EQ$10,AG$6,'CF(M)'!$L91:$EQ91)</f>
        <v>0</v>
      </c>
      <c r="AH86" s="171">
        <f>SUMIF('CF(M)'!$L$10:$EQ$10,AH$6,'CF(M)'!$L91:$EQ91)</f>
        <v>0</v>
      </c>
      <c r="AI86" s="171">
        <f>SUMIF('CF(M)'!$L$10:$EQ$10,AI$6,'CF(M)'!$L91:$EQ91)</f>
        <v>0</v>
      </c>
      <c r="AJ86" s="171">
        <f>SUMIF('CF(M)'!$L$10:$EQ$10,AJ$6,'CF(M)'!$L91:$EQ91)</f>
        <v>0</v>
      </c>
      <c r="AK86" s="171">
        <f>SUMIF('CF(M)'!$L$10:$EQ$10,AK$6,'CF(M)'!$L91:$EQ91)</f>
        <v>0</v>
      </c>
      <c r="AL86" s="171">
        <f>SUMIF('CF(M)'!$L$10:$EQ$10,AL$6,'CF(M)'!$L91:$EQ91)</f>
        <v>0</v>
      </c>
      <c r="AM86" s="171">
        <f>SUMIF('CF(M)'!$L$10:$EQ$10,AM$6,'CF(M)'!$L91:$EQ91)</f>
        <v>0</v>
      </c>
      <c r="AN86" s="171">
        <f>SUMIF('CF(M)'!$L$10:$EQ$10,AN$6,'CF(M)'!$L91:$EQ91)</f>
        <v>0</v>
      </c>
      <c r="AO86" s="171">
        <f>SUMIF('CF(M)'!$L$10:$EQ$10,AO$6,'CF(M)'!$L91:$EQ91)</f>
        <v>0</v>
      </c>
      <c r="AP86" s="171">
        <f>SUMIF('CF(M)'!$L$10:$EQ$10,AP$6,'CF(M)'!$L91:$EQ91)</f>
        <v>0</v>
      </c>
      <c r="AQ86" s="171">
        <f>SUMIF('CF(M)'!$L$10:$EQ$10,AQ$6,'CF(M)'!$L91:$EQ91)</f>
        <v>0</v>
      </c>
      <c r="AR86" s="171">
        <f>SUMIF('CF(M)'!$L$10:$EQ$10,AR$6,'CF(M)'!$L91:$EQ91)</f>
        <v>0</v>
      </c>
      <c r="AS86" s="171">
        <f>SUMIF('CF(M)'!$L$10:$EQ$10,AS$6,'CF(M)'!$L91:$EQ91)</f>
        <v>0</v>
      </c>
      <c r="AT86" s="171">
        <f>SUMIF('CF(M)'!$L$10:$EQ$10,AT$6,'CF(M)'!$L91:$EQ91)</f>
        <v>0</v>
      </c>
      <c r="AU86" s="171">
        <f>SUMIF('CF(M)'!$L$10:$EQ$10,AU$6,'CF(M)'!$L91:$EQ91)</f>
        <v>0</v>
      </c>
      <c r="AV86" s="171">
        <f>SUMIF('CF(M)'!$L$10:$EQ$10,AV$6,'CF(M)'!$L91:$EQ91)</f>
        <v>0</v>
      </c>
      <c r="AW86" s="171">
        <f>SUMIF('CF(M)'!$L$10:$EQ$10,AW$6,'CF(M)'!$L91:$EQ91)</f>
        <v>0</v>
      </c>
      <c r="AX86" s="171">
        <f>SUMIF('CF(M)'!$L$10:$EQ$10,AX$6,'CF(M)'!$L91:$EQ91)</f>
        <v>0</v>
      </c>
      <c r="AY86" s="171">
        <f>SUMIF('CF(M)'!$L$10:$EQ$10,AY$6,'CF(M)'!$L91:$EQ91)</f>
        <v>0</v>
      </c>
      <c r="AZ86" s="171">
        <f>SUMIF('CF(M)'!$L$10:$EQ$10,AZ$6,'CF(M)'!$L91:$EQ91)</f>
        <v>0</v>
      </c>
      <c r="BA86" s="171">
        <f>SUMIF('CF(M)'!$L$10:$EQ$10,BA$6,'CF(M)'!$L91:$EQ91)</f>
        <v>0</v>
      </c>
      <c r="BB86" s="171">
        <f>SUMIF('CF(M)'!$L$10:$EQ$10,BB$6,'CF(M)'!$L91:$EQ91)</f>
        <v>0</v>
      </c>
      <c r="BC86" s="171">
        <f>SUMIF('CF(M)'!$L$10:$EQ$10,BC$6,'CF(M)'!$L91:$EQ91)</f>
        <v>0</v>
      </c>
      <c r="BD86" s="171">
        <f>SUMIF('CF(M)'!$L$10:$EQ$10,BD$6,'CF(M)'!$L91:$EQ91)</f>
        <v>0</v>
      </c>
      <c r="BE86" s="171">
        <f>SUMIF('CF(M)'!$L$10:$EQ$10,BE$6,'CF(M)'!$L91:$EQ91)</f>
        <v>0</v>
      </c>
      <c r="BF86" s="171">
        <f>SUMIF('CF(M)'!$L$10:$EQ$10,BF$6,'CF(M)'!$L91:$EQ91)</f>
        <v>0</v>
      </c>
      <c r="BG86" s="171">
        <f>SUMIF('CF(M)'!$L$10:$EQ$10,BG$6,'CF(M)'!$L91:$EQ91)</f>
        <v>0</v>
      </c>
      <c r="BH86" s="171">
        <f>SUMIF('CF(M)'!$L$10:$EQ$10,BH$6,'CF(M)'!$L91:$EQ91)</f>
        <v>0</v>
      </c>
      <c r="BI86" s="171">
        <f>SUMIF('CF(M)'!$L$10:$EQ$10,BI$6,'CF(M)'!$L91:$EQ91)</f>
        <v>0</v>
      </c>
      <c r="BJ86" s="171">
        <f>SUMIF('CF(M)'!$L$10:$EQ$10,BJ$6,'CF(M)'!$L91:$EQ91)</f>
        <v>0</v>
      </c>
      <c r="BK86" s="171">
        <f>SUMIF('CF(M)'!$L$10:$EQ$10,BK$6,'CF(M)'!$L91:$EQ91)</f>
        <v>0</v>
      </c>
      <c r="BL86" s="171">
        <f>SUMIF('CF(M)'!$L$10:$EQ$10,BL$6,'CF(M)'!$L91:$EQ91)</f>
        <v>0</v>
      </c>
      <c r="BM86" s="171">
        <f>SUMIF('CF(M)'!$L$10:$EQ$10,BM$6,'CF(M)'!$L91:$EQ91)</f>
        <v>0</v>
      </c>
      <c r="BN86" s="171">
        <f>SUMIF('CF(M)'!$L$10:$EQ$10,BN$6,'CF(M)'!$L91:$EQ91)</f>
        <v>0</v>
      </c>
      <c r="BO86" s="171">
        <f>SUMIF('CF(M)'!$L$10:$EQ$10,BO$6,'CF(M)'!$L91:$EQ91)</f>
        <v>0</v>
      </c>
      <c r="BP86" s="171">
        <f>SUMIF('CF(M)'!$L$10:$EQ$10,BP$6,'CF(M)'!$L91:$EQ91)</f>
        <v>0</v>
      </c>
      <c r="BQ86" s="171">
        <f>SUMIF('CF(M)'!$L$10:$EQ$10,BQ$6,'CF(M)'!$L91:$EQ91)</f>
        <v>0</v>
      </c>
      <c r="BR86" s="171">
        <f>SUMIF('CF(M)'!$L$10:$EQ$10,BR$6,'CF(M)'!$L91:$EQ91)</f>
        <v>0</v>
      </c>
      <c r="BS86" s="171">
        <f>SUMIF('CF(M)'!$L$10:$EQ$10,BS$6,'CF(M)'!$L91:$EQ91)</f>
        <v>0</v>
      </c>
      <c r="BT86" s="171">
        <f>SUMIF('CF(M)'!$L$10:$EQ$10,BT$6,'CF(M)'!$L91:$EQ91)</f>
        <v>0</v>
      </c>
      <c r="BU86" s="171">
        <f>SUMIF('CF(M)'!$L$10:$EQ$10,BU$6,'CF(M)'!$L91:$EQ91)</f>
        <v>0</v>
      </c>
      <c r="BV86" s="171">
        <f>SUMIF('CF(M)'!$L$10:$EQ$10,BV$6,'CF(M)'!$L91:$EQ91)</f>
        <v>0</v>
      </c>
      <c r="BW86" s="171">
        <f>SUMIF('CF(M)'!$L$10:$EQ$10,BW$6,'CF(M)'!$L91:$EQ91)</f>
        <v>0</v>
      </c>
      <c r="BX86" s="171">
        <f>SUMIF('CF(M)'!$L$10:$EQ$10,BX$6,'CF(M)'!$L91:$EQ91)</f>
        <v>0</v>
      </c>
      <c r="BY86" s="171">
        <f>SUMIF('CF(M)'!$L$10:$EQ$10,BY$6,'CF(M)'!$L91:$EQ91)</f>
        <v>0</v>
      </c>
      <c r="BZ86" s="171">
        <f>SUMIF('CF(M)'!$L$10:$EQ$10,BZ$6,'CF(M)'!$L91:$EQ91)</f>
        <v>0</v>
      </c>
      <c r="CA86" s="171">
        <f>SUMIF('CF(M)'!$L$10:$EQ$10,CA$6,'CF(M)'!$L91:$EQ91)</f>
        <v>0</v>
      </c>
      <c r="CB86" s="171">
        <f>SUMIF('CF(M)'!$L$10:$EQ$10,CB$6,'CF(M)'!$L91:$EQ91)</f>
        <v>0</v>
      </c>
      <c r="CC86" s="171">
        <f>SUMIF('CF(M)'!$L$10:$EQ$10,CC$6,'CF(M)'!$L91:$EQ91)</f>
        <v>0</v>
      </c>
      <c r="CD86" s="171">
        <f>SUMIF('CF(M)'!$L$10:$EQ$10,CD$6,'CF(M)'!$L91:$EQ91)</f>
        <v>0</v>
      </c>
      <c r="CE86" s="171">
        <f>SUMIF('CF(M)'!$L$10:$EQ$10,CE$6,'CF(M)'!$L91:$EQ91)</f>
        <v>0</v>
      </c>
      <c r="CF86" s="171">
        <f>SUMIF('CF(M)'!$L$10:$EQ$10,CF$6,'CF(M)'!$L91:$EQ91)</f>
        <v>0</v>
      </c>
      <c r="CG86" s="171">
        <f>SUMIF('CF(M)'!$L$10:$EQ$10,CG$6,'CF(M)'!$L91:$EQ91)</f>
        <v>0</v>
      </c>
      <c r="CH86" s="171">
        <f>SUMIF('CF(M)'!$L$10:$EQ$10,CH$6,'CF(M)'!$L91:$EQ91)</f>
        <v>0</v>
      </c>
      <c r="CI86" s="171">
        <f>SUMIF('CF(M)'!$L$10:$EQ$10,CI$6,'CF(M)'!$L91:$EQ91)</f>
        <v>0</v>
      </c>
      <c r="CJ86" s="171">
        <f>SUMIF('CF(M)'!$L$10:$EQ$10,CJ$6,'CF(M)'!$L91:$EQ91)</f>
        <v>0</v>
      </c>
      <c r="CK86" s="171">
        <f>SUMIF('CF(M)'!$L$10:$EQ$10,CK$6,'CF(M)'!$L91:$EQ91)</f>
        <v>0</v>
      </c>
      <c r="CL86" s="171">
        <f>SUMIF('CF(M)'!$L$10:$EQ$10,CL$6,'CF(M)'!$L91:$EQ91)</f>
        <v>0</v>
      </c>
      <c r="CM86" s="171">
        <f>SUMIF('CF(M)'!$L$10:$EQ$10,CM$6,'CF(M)'!$L91:$EQ91)</f>
        <v>0</v>
      </c>
      <c r="CN86" s="171">
        <f>SUMIF('CF(M)'!$L$10:$EQ$10,CN$6,'CF(M)'!$L91:$EQ91)</f>
        <v>0</v>
      </c>
      <c r="CO86" s="171">
        <f>SUMIF('CF(M)'!$L$10:$EQ$10,CO$6,'CF(M)'!$L91:$EQ91)</f>
        <v>0</v>
      </c>
      <c r="CP86" s="171">
        <f>SUMIF('CF(M)'!$L$10:$EQ$10,CP$6,'CF(M)'!$L91:$EQ91)</f>
        <v>0</v>
      </c>
      <c r="CQ86" s="171">
        <f>SUMIF('CF(M)'!$L$10:$EQ$10,CQ$6,'CF(M)'!$L91:$EQ91)</f>
        <v>0</v>
      </c>
      <c r="CR86" s="171">
        <f>SUMIF('CF(M)'!$L$10:$EQ$10,CR$6,'CF(M)'!$L91:$EQ91)</f>
        <v>0</v>
      </c>
      <c r="CS86" s="171">
        <f>SUMIF('CF(M)'!$L$10:$EQ$10,CS$6,'CF(M)'!$L91:$EQ91)</f>
        <v>0</v>
      </c>
      <c r="CT86" s="171">
        <f>SUMIF('CF(M)'!$L$10:$EQ$10,CT$6,'CF(M)'!$L91:$EQ91)</f>
        <v>0</v>
      </c>
      <c r="CU86" s="171">
        <f>SUMIF('CF(M)'!$L$10:$EQ$10,CU$6,'CF(M)'!$L91:$EQ91)</f>
        <v>0</v>
      </c>
      <c r="CV86" s="171">
        <f>SUMIF('CF(M)'!$L$10:$EQ$10,CV$6,'CF(M)'!$L91:$EQ91)</f>
        <v>0</v>
      </c>
      <c r="CW86" s="171">
        <f>SUMIF('CF(M)'!$L$10:$EQ$10,CW$6,'CF(M)'!$L91:$EQ91)</f>
        <v>0</v>
      </c>
      <c r="CX86" s="171">
        <f>SUMIF('CF(M)'!$L$10:$EQ$10,CX$6,'CF(M)'!$L91:$EQ91)</f>
        <v>0</v>
      </c>
      <c r="CY86" s="171">
        <f>SUMIF('CF(M)'!$L$10:$EQ$10,CY$6,'CF(M)'!$L91:$EQ91)</f>
        <v>0</v>
      </c>
      <c r="CZ86" s="171">
        <f>SUMIF('CF(M)'!$L$10:$EQ$10,CZ$6,'CF(M)'!$L91:$EQ91)</f>
        <v>0</v>
      </c>
      <c r="DA86" s="171">
        <f>SUMIF('CF(M)'!$L$10:$EQ$10,DA$6,'CF(M)'!$L91:$EQ91)</f>
        <v>0</v>
      </c>
      <c r="DB86" s="171">
        <f>SUMIF('CF(M)'!$L$10:$EQ$10,DB$6,'CF(M)'!$L91:$EQ91)</f>
        <v>0</v>
      </c>
      <c r="DC86" s="171">
        <f>SUMIF('CF(M)'!$L$10:$EQ$10,DC$6,'CF(M)'!$L91:$EQ91)</f>
        <v>0</v>
      </c>
      <c r="DD86" s="171">
        <f>SUMIF('CF(M)'!$L$10:$EQ$10,DD$6,'CF(M)'!$L91:$EQ91)</f>
        <v>0</v>
      </c>
      <c r="DE86" s="171">
        <f>SUMIF('CF(M)'!$L$10:$EQ$10,DE$6,'CF(M)'!$L91:$EQ91)</f>
        <v>0</v>
      </c>
      <c r="DF86" s="171">
        <f>SUMIF('CF(M)'!$L$10:$EQ$10,DF$6,'CF(M)'!$L91:$EQ91)</f>
        <v>0</v>
      </c>
      <c r="DG86" s="171">
        <f>SUMIF('CF(M)'!$L$10:$EQ$10,DG$6,'CF(M)'!$L91:$EQ91)</f>
        <v>0</v>
      </c>
      <c r="DH86" s="171">
        <f>SUMIF('CF(M)'!$L$10:$EQ$10,DH$6,'CF(M)'!$L91:$EQ91)</f>
        <v>0</v>
      </c>
      <c r="DI86" s="171">
        <f>SUMIF('CF(M)'!$L$10:$EQ$10,DI$6,'CF(M)'!$L91:$EQ91)</f>
        <v>0</v>
      </c>
      <c r="DJ86" s="171">
        <f>SUMIF('CF(M)'!$L$10:$EQ$10,DJ$6,'CF(M)'!$L91:$EQ91)</f>
        <v>0</v>
      </c>
      <c r="DK86" s="171">
        <f>SUMIF('CF(M)'!$L$10:$EQ$10,DK$6,'CF(M)'!$L91:$EQ91)</f>
        <v>0</v>
      </c>
      <c r="DL86" s="171">
        <f>SUMIF('CF(M)'!$L$10:$EQ$10,DL$6,'CF(M)'!$L91:$EQ91)</f>
        <v>0</v>
      </c>
      <c r="DM86" s="171">
        <f>SUMIF('CF(M)'!$L$10:$EQ$10,DM$6,'CF(M)'!$L91:$EQ91)</f>
        <v>0</v>
      </c>
      <c r="DN86" s="171">
        <f>SUMIF('CF(M)'!$L$10:$EQ$10,DN$6,'CF(M)'!$L91:$EQ91)</f>
        <v>0</v>
      </c>
      <c r="DO86" s="171">
        <f>SUMIF('CF(M)'!$L$10:$EQ$10,DO$6,'CF(M)'!$L91:$EQ91)</f>
        <v>0</v>
      </c>
      <c r="DP86" s="171">
        <f>SUMIF('CF(M)'!$L$10:$EQ$10,DP$6,'CF(M)'!$L91:$EQ91)</f>
        <v>0</v>
      </c>
      <c r="DQ86" s="171">
        <f>SUMIF('CF(M)'!$L$10:$EQ$10,DQ$6,'CF(M)'!$L91:$EQ91)</f>
        <v>0</v>
      </c>
      <c r="DR86" s="171">
        <f>SUMIF('CF(M)'!$L$10:$EQ$10,DR$6,'CF(M)'!$L91:$EQ91)</f>
        <v>0</v>
      </c>
      <c r="DS86" s="171">
        <f>SUMIF('CF(M)'!$L$10:$EQ$10,DS$6,'CF(M)'!$L91:$EQ91)</f>
        <v>0</v>
      </c>
      <c r="DT86" s="171">
        <f>SUMIF('CF(M)'!$L$10:$EQ$10,DT$6,'CF(M)'!$L91:$EQ91)</f>
        <v>0</v>
      </c>
      <c r="DU86" s="171">
        <f>SUMIF('CF(M)'!$L$10:$EQ$10,DU$6,'CF(M)'!$L91:$EQ91)</f>
        <v>0</v>
      </c>
      <c r="DV86" s="171">
        <f>SUMIF('CF(M)'!$L$10:$EQ$10,DV$6,'CF(M)'!$L91:$EQ91)</f>
        <v>0</v>
      </c>
    </row>
    <row r="87" spans="2:126" ht="11.25" customHeight="1">
      <c r="B87" s="218"/>
      <c r="C87" s="158" t="s">
        <v>210</v>
      </c>
      <c r="D87" s="159"/>
      <c r="E87" s="159"/>
      <c r="F87" s="159"/>
      <c r="G87" s="159"/>
      <c r="H87" s="160"/>
      <c r="I87" s="219"/>
      <c r="J87" s="220">
        <f>SUM(J88:J89)</f>
        <v>0</v>
      </c>
      <c r="K87" s="98"/>
      <c r="L87" s="162">
        <f>SUM(L88:L89)</f>
        <v>12856669.630531998</v>
      </c>
      <c r="M87" s="162">
        <f t="shared" ref="M87:BX87" si="42">SUM(M88:M89)</f>
        <v>-12856669.630531998</v>
      </c>
      <c r="N87" s="162">
        <f t="shared" si="42"/>
        <v>0</v>
      </c>
      <c r="O87" s="162">
        <f t="shared" si="42"/>
        <v>0</v>
      </c>
      <c r="P87" s="162">
        <f t="shared" si="42"/>
        <v>0</v>
      </c>
      <c r="Q87" s="162">
        <f t="shared" si="42"/>
        <v>0</v>
      </c>
      <c r="R87" s="162">
        <f t="shared" si="42"/>
        <v>0</v>
      </c>
      <c r="S87" s="162">
        <f t="shared" si="42"/>
        <v>0</v>
      </c>
      <c r="T87" s="162">
        <f t="shared" si="42"/>
        <v>0</v>
      </c>
      <c r="U87" s="162">
        <f t="shared" si="42"/>
        <v>0</v>
      </c>
      <c r="V87" s="162">
        <f t="shared" si="42"/>
        <v>0</v>
      </c>
      <c r="W87" s="162">
        <f t="shared" si="42"/>
        <v>0</v>
      </c>
      <c r="X87" s="162">
        <f t="shared" si="42"/>
        <v>0</v>
      </c>
      <c r="Y87" s="162">
        <f t="shared" si="42"/>
        <v>0</v>
      </c>
      <c r="Z87" s="162">
        <f t="shared" si="42"/>
        <v>0</v>
      </c>
      <c r="AA87" s="162">
        <f t="shared" si="42"/>
        <v>0</v>
      </c>
      <c r="AB87" s="162">
        <f t="shared" si="42"/>
        <v>0</v>
      </c>
      <c r="AC87" s="162">
        <f t="shared" si="42"/>
        <v>0</v>
      </c>
      <c r="AD87" s="162">
        <f t="shared" si="42"/>
        <v>0</v>
      </c>
      <c r="AE87" s="162">
        <f t="shared" si="42"/>
        <v>0</v>
      </c>
      <c r="AF87" s="162">
        <f t="shared" si="42"/>
        <v>0</v>
      </c>
      <c r="AG87" s="162">
        <f t="shared" si="42"/>
        <v>0</v>
      </c>
      <c r="AH87" s="162">
        <f t="shared" si="42"/>
        <v>0</v>
      </c>
      <c r="AI87" s="162">
        <f t="shared" si="42"/>
        <v>0</v>
      </c>
      <c r="AJ87" s="162">
        <f t="shared" si="42"/>
        <v>0</v>
      </c>
      <c r="AK87" s="162">
        <f t="shared" si="42"/>
        <v>0</v>
      </c>
      <c r="AL87" s="162">
        <f t="shared" si="42"/>
        <v>0</v>
      </c>
      <c r="AM87" s="162">
        <f t="shared" si="42"/>
        <v>0</v>
      </c>
      <c r="AN87" s="162">
        <f t="shared" si="42"/>
        <v>0</v>
      </c>
      <c r="AO87" s="162">
        <f t="shared" si="42"/>
        <v>0</v>
      </c>
      <c r="AP87" s="162">
        <f t="shared" si="42"/>
        <v>0</v>
      </c>
      <c r="AQ87" s="162">
        <f t="shared" si="42"/>
        <v>0</v>
      </c>
      <c r="AR87" s="162">
        <f t="shared" si="42"/>
        <v>0</v>
      </c>
      <c r="AS87" s="162">
        <f t="shared" si="42"/>
        <v>0</v>
      </c>
      <c r="AT87" s="162">
        <f t="shared" si="42"/>
        <v>0</v>
      </c>
      <c r="AU87" s="162">
        <f t="shared" si="42"/>
        <v>0</v>
      </c>
      <c r="AV87" s="162">
        <f t="shared" si="42"/>
        <v>0</v>
      </c>
      <c r="AW87" s="162">
        <f t="shared" si="42"/>
        <v>0</v>
      </c>
      <c r="AX87" s="162">
        <f t="shared" si="42"/>
        <v>0</v>
      </c>
      <c r="AY87" s="162">
        <f t="shared" si="42"/>
        <v>0</v>
      </c>
      <c r="AZ87" s="162">
        <f t="shared" si="42"/>
        <v>0</v>
      </c>
      <c r="BA87" s="162">
        <f t="shared" si="42"/>
        <v>0</v>
      </c>
      <c r="BB87" s="162">
        <f t="shared" si="42"/>
        <v>0</v>
      </c>
      <c r="BC87" s="162">
        <f t="shared" si="42"/>
        <v>0</v>
      </c>
      <c r="BD87" s="162">
        <f t="shared" si="42"/>
        <v>0</v>
      </c>
      <c r="BE87" s="162">
        <f t="shared" si="42"/>
        <v>0</v>
      </c>
      <c r="BF87" s="162">
        <f t="shared" si="42"/>
        <v>0</v>
      </c>
      <c r="BG87" s="162">
        <f t="shared" si="42"/>
        <v>0</v>
      </c>
      <c r="BH87" s="162">
        <f t="shared" si="42"/>
        <v>0</v>
      </c>
      <c r="BI87" s="162">
        <f t="shared" si="42"/>
        <v>0</v>
      </c>
      <c r="BJ87" s="162">
        <f t="shared" si="42"/>
        <v>0</v>
      </c>
      <c r="BK87" s="162">
        <f t="shared" si="42"/>
        <v>0</v>
      </c>
      <c r="BL87" s="162">
        <f t="shared" si="42"/>
        <v>0</v>
      </c>
      <c r="BM87" s="162">
        <f t="shared" si="42"/>
        <v>0</v>
      </c>
      <c r="BN87" s="162">
        <f t="shared" si="42"/>
        <v>0</v>
      </c>
      <c r="BO87" s="162">
        <f t="shared" si="42"/>
        <v>0</v>
      </c>
      <c r="BP87" s="162">
        <f t="shared" si="42"/>
        <v>0</v>
      </c>
      <c r="BQ87" s="162">
        <f t="shared" si="42"/>
        <v>0</v>
      </c>
      <c r="BR87" s="162">
        <f t="shared" si="42"/>
        <v>0</v>
      </c>
      <c r="BS87" s="162">
        <f t="shared" si="42"/>
        <v>0</v>
      </c>
      <c r="BT87" s="162">
        <f t="shared" si="42"/>
        <v>0</v>
      </c>
      <c r="BU87" s="162">
        <f t="shared" si="42"/>
        <v>0</v>
      </c>
      <c r="BV87" s="162">
        <f t="shared" si="42"/>
        <v>0</v>
      </c>
      <c r="BW87" s="162">
        <f t="shared" si="42"/>
        <v>0</v>
      </c>
      <c r="BX87" s="162">
        <f t="shared" si="42"/>
        <v>0</v>
      </c>
      <c r="BY87" s="162">
        <f t="shared" ref="BY87:DV87" si="43">SUM(BY88:BY89)</f>
        <v>0</v>
      </c>
      <c r="BZ87" s="162">
        <f t="shared" si="43"/>
        <v>0</v>
      </c>
      <c r="CA87" s="162">
        <f t="shared" si="43"/>
        <v>0</v>
      </c>
      <c r="CB87" s="162">
        <f t="shared" si="43"/>
        <v>0</v>
      </c>
      <c r="CC87" s="162">
        <f t="shared" si="43"/>
        <v>0</v>
      </c>
      <c r="CD87" s="162">
        <f t="shared" si="43"/>
        <v>0</v>
      </c>
      <c r="CE87" s="162">
        <f t="shared" si="43"/>
        <v>0</v>
      </c>
      <c r="CF87" s="162">
        <f t="shared" si="43"/>
        <v>0</v>
      </c>
      <c r="CG87" s="162">
        <f t="shared" si="43"/>
        <v>0</v>
      </c>
      <c r="CH87" s="162">
        <f t="shared" si="43"/>
        <v>0</v>
      </c>
      <c r="CI87" s="162">
        <f t="shared" si="43"/>
        <v>0</v>
      </c>
      <c r="CJ87" s="162">
        <f t="shared" si="43"/>
        <v>0</v>
      </c>
      <c r="CK87" s="162">
        <f t="shared" si="43"/>
        <v>0</v>
      </c>
      <c r="CL87" s="162">
        <f t="shared" si="43"/>
        <v>0</v>
      </c>
      <c r="CM87" s="162">
        <f t="shared" si="43"/>
        <v>0</v>
      </c>
      <c r="CN87" s="162">
        <f t="shared" si="43"/>
        <v>0</v>
      </c>
      <c r="CO87" s="162">
        <f t="shared" si="43"/>
        <v>0</v>
      </c>
      <c r="CP87" s="162">
        <f t="shared" si="43"/>
        <v>0</v>
      </c>
      <c r="CQ87" s="162">
        <f t="shared" si="43"/>
        <v>0</v>
      </c>
      <c r="CR87" s="162">
        <f t="shared" si="43"/>
        <v>0</v>
      </c>
      <c r="CS87" s="162">
        <f t="shared" si="43"/>
        <v>0</v>
      </c>
      <c r="CT87" s="162">
        <f t="shared" si="43"/>
        <v>0</v>
      </c>
      <c r="CU87" s="162">
        <f t="shared" si="43"/>
        <v>0</v>
      </c>
      <c r="CV87" s="162">
        <f t="shared" si="43"/>
        <v>0</v>
      </c>
      <c r="CW87" s="162">
        <f t="shared" si="43"/>
        <v>0</v>
      </c>
      <c r="CX87" s="162">
        <f t="shared" si="43"/>
        <v>0</v>
      </c>
      <c r="CY87" s="162">
        <f t="shared" si="43"/>
        <v>0</v>
      </c>
      <c r="CZ87" s="162">
        <f t="shared" si="43"/>
        <v>0</v>
      </c>
      <c r="DA87" s="162">
        <f t="shared" si="43"/>
        <v>0</v>
      </c>
      <c r="DB87" s="162">
        <f t="shared" si="43"/>
        <v>0</v>
      </c>
      <c r="DC87" s="162">
        <f t="shared" si="43"/>
        <v>0</v>
      </c>
      <c r="DD87" s="162">
        <f t="shared" si="43"/>
        <v>0</v>
      </c>
      <c r="DE87" s="162">
        <f t="shared" si="43"/>
        <v>0</v>
      </c>
      <c r="DF87" s="162">
        <f t="shared" si="43"/>
        <v>0</v>
      </c>
      <c r="DG87" s="162">
        <f t="shared" si="43"/>
        <v>0</v>
      </c>
      <c r="DH87" s="162">
        <f t="shared" si="43"/>
        <v>0</v>
      </c>
      <c r="DI87" s="162">
        <f t="shared" si="43"/>
        <v>0</v>
      </c>
      <c r="DJ87" s="162">
        <f t="shared" si="43"/>
        <v>0</v>
      </c>
      <c r="DK87" s="162">
        <f t="shared" si="43"/>
        <v>0</v>
      </c>
      <c r="DL87" s="162">
        <f t="shared" si="43"/>
        <v>0</v>
      </c>
      <c r="DM87" s="162">
        <f t="shared" si="43"/>
        <v>0</v>
      </c>
      <c r="DN87" s="162">
        <f t="shared" si="43"/>
        <v>0</v>
      </c>
      <c r="DO87" s="162">
        <f t="shared" si="43"/>
        <v>0</v>
      </c>
      <c r="DP87" s="162">
        <f t="shared" si="43"/>
        <v>0</v>
      </c>
      <c r="DQ87" s="162">
        <f t="shared" si="43"/>
        <v>0</v>
      </c>
      <c r="DR87" s="162">
        <f t="shared" si="43"/>
        <v>0</v>
      </c>
      <c r="DS87" s="162">
        <f t="shared" si="43"/>
        <v>0</v>
      </c>
      <c r="DT87" s="162">
        <f t="shared" si="43"/>
        <v>0</v>
      </c>
      <c r="DU87" s="162">
        <f t="shared" si="43"/>
        <v>0</v>
      </c>
      <c r="DV87" s="162">
        <f t="shared" si="43"/>
        <v>0</v>
      </c>
    </row>
    <row r="88" spans="2:126" ht="11.25" customHeight="1">
      <c r="B88" s="218"/>
      <c r="C88" s="163"/>
      <c r="D88" s="164" t="s">
        <v>208</v>
      </c>
      <c r="E88" s="165"/>
      <c r="F88" s="165"/>
      <c r="G88" s="165"/>
      <c r="H88" s="166"/>
      <c r="I88" s="228"/>
      <c r="J88" s="168">
        <f t="shared" ref="J88:J93" si="44">SUM(L88:DV88)</f>
        <v>12856669.630531998</v>
      </c>
      <c r="K88" s="98"/>
      <c r="L88" s="168">
        <f>SUMIF('CF(M)'!$L$10:$EQ$10,L$6,'CF(M)'!$L93:$EQ93)</f>
        <v>12856669.630531998</v>
      </c>
      <c r="M88" s="168">
        <f>SUMIF('CF(M)'!$L$10:$EQ$10,M$6,'CF(M)'!$L93:$EQ93)</f>
        <v>0</v>
      </c>
      <c r="N88" s="168">
        <f>SUMIF('CF(M)'!$L$10:$EQ$10,N$6,'CF(M)'!$L93:$EQ93)</f>
        <v>0</v>
      </c>
      <c r="O88" s="168">
        <f>SUMIF('CF(M)'!$L$10:$EQ$10,O$6,'CF(M)'!$L93:$EQ93)</f>
        <v>0</v>
      </c>
      <c r="P88" s="168">
        <f>SUMIF('CF(M)'!$L$10:$EQ$10,P$6,'CF(M)'!$L93:$EQ93)</f>
        <v>0</v>
      </c>
      <c r="Q88" s="168">
        <f>SUMIF('CF(M)'!$L$10:$EQ$10,Q$6,'CF(M)'!$L93:$EQ93)</f>
        <v>0</v>
      </c>
      <c r="R88" s="168">
        <f>SUMIF('CF(M)'!$L$10:$EQ$10,R$6,'CF(M)'!$L93:$EQ93)</f>
        <v>0</v>
      </c>
      <c r="S88" s="168">
        <f>SUMIF('CF(M)'!$L$10:$EQ$10,S$6,'CF(M)'!$L93:$EQ93)</f>
        <v>0</v>
      </c>
      <c r="T88" s="168">
        <f>SUMIF('CF(M)'!$L$10:$EQ$10,T$6,'CF(M)'!$L93:$EQ93)</f>
        <v>0</v>
      </c>
      <c r="U88" s="168">
        <f>SUMIF('CF(M)'!$L$10:$EQ$10,U$6,'CF(M)'!$L93:$EQ93)</f>
        <v>0</v>
      </c>
      <c r="V88" s="168">
        <f>SUMIF('CF(M)'!$L$10:$EQ$10,V$6,'CF(M)'!$L93:$EQ93)</f>
        <v>0</v>
      </c>
      <c r="W88" s="168">
        <f>SUMIF('CF(M)'!$L$10:$EQ$10,W$6,'CF(M)'!$L93:$EQ93)</f>
        <v>0</v>
      </c>
      <c r="X88" s="168">
        <f>SUMIF('CF(M)'!$L$10:$EQ$10,X$6,'CF(M)'!$L93:$EQ93)</f>
        <v>0</v>
      </c>
      <c r="Y88" s="168">
        <f>SUMIF('CF(M)'!$L$10:$EQ$10,Y$6,'CF(M)'!$L93:$EQ93)</f>
        <v>0</v>
      </c>
      <c r="Z88" s="168">
        <f>SUMIF('CF(M)'!$L$10:$EQ$10,Z$6,'CF(M)'!$L93:$EQ93)</f>
        <v>0</v>
      </c>
      <c r="AA88" s="168">
        <f>SUMIF('CF(M)'!$L$10:$EQ$10,AA$6,'CF(M)'!$L93:$EQ93)</f>
        <v>0</v>
      </c>
      <c r="AB88" s="168">
        <f>SUMIF('CF(M)'!$L$10:$EQ$10,AB$6,'CF(M)'!$L93:$EQ93)</f>
        <v>0</v>
      </c>
      <c r="AC88" s="168">
        <f>SUMIF('CF(M)'!$L$10:$EQ$10,AC$6,'CF(M)'!$L93:$EQ93)</f>
        <v>0</v>
      </c>
      <c r="AD88" s="168">
        <f>SUMIF('CF(M)'!$L$10:$EQ$10,AD$6,'CF(M)'!$L93:$EQ93)</f>
        <v>0</v>
      </c>
      <c r="AE88" s="168">
        <f>SUMIF('CF(M)'!$L$10:$EQ$10,AE$6,'CF(M)'!$L93:$EQ93)</f>
        <v>0</v>
      </c>
      <c r="AF88" s="168">
        <f>SUMIF('CF(M)'!$L$10:$EQ$10,AF$6,'CF(M)'!$L93:$EQ93)</f>
        <v>0</v>
      </c>
      <c r="AG88" s="168">
        <f>SUMIF('CF(M)'!$L$10:$EQ$10,AG$6,'CF(M)'!$L93:$EQ93)</f>
        <v>0</v>
      </c>
      <c r="AH88" s="168">
        <f>SUMIF('CF(M)'!$L$10:$EQ$10,AH$6,'CF(M)'!$L93:$EQ93)</f>
        <v>0</v>
      </c>
      <c r="AI88" s="168">
        <f>SUMIF('CF(M)'!$L$10:$EQ$10,AI$6,'CF(M)'!$L93:$EQ93)</f>
        <v>0</v>
      </c>
      <c r="AJ88" s="168">
        <f>SUMIF('CF(M)'!$L$10:$EQ$10,AJ$6,'CF(M)'!$L93:$EQ93)</f>
        <v>0</v>
      </c>
      <c r="AK88" s="168">
        <f>SUMIF('CF(M)'!$L$10:$EQ$10,AK$6,'CF(M)'!$L93:$EQ93)</f>
        <v>0</v>
      </c>
      <c r="AL88" s="168">
        <f>SUMIF('CF(M)'!$L$10:$EQ$10,AL$6,'CF(M)'!$L93:$EQ93)</f>
        <v>0</v>
      </c>
      <c r="AM88" s="168">
        <f>SUMIF('CF(M)'!$L$10:$EQ$10,AM$6,'CF(M)'!$L93:$EQ93)</f>
        <v>0</v>
      </c>
      <c r="AN88" s="168">
        <f>SUMIF('CF(M)'!$L$10:$EQ$10,AN$6,'CF(M)'!$L93:$EQ93)</f>
        <v>0</v>
      </c>
      <c r="AO88" s="168">
        <f>SUMIF('CF(M)'!$L$10:$EQ$10,AO$6,'CF(M)'!$L93:$EQ93)</f>
        <v>0</v>
      </c>
      <c r="AP88" s="168">
        <f>SUMIF('CF(M)'!$L$10:$EQ$10,AP$6,'CF(M)'!$L93:$EQ93)</f>
        <v>0</v>
      </c>
      <c r="AQ88" s="168">
        <f>SUMIF('CF(M)'!$L$10:$EQ$10,AQ$6,'CF(M)'!$L93:$EQ93)</f>
        <v>0</v>
      </c>
      <c r="AR88" s="168">
        <f>SUMIF('CF(M)'!$L$10:$EQ$10,AR$6,'CF(M)'!$L93:$EQ93)</f>
        <v>0</v>
      </c>
      <c r="AS88" s="168">
        <f>SUMIF('CF(M)'!$L$10:$EQ$10,AS$6,'CF(M)'!$L93:$EQ93)</f>
        <v>0</v>
      </c>
      <c r="AT88" s="168">
        <f>SUMIF('CF(M)'!$L$10:$EQ$10,AT$6,'CF(M)'!$L93:$EQ93)</f>
        <v>0</v>
      </c>
      <c r="AU88" s="168">
        <f>SUMIF('CF(M)'!$L$10:$EQ$10,AU$6,'CF(M)'!$L93:$EQ93)</f>
        <v>0</v>
      </c>
      <c r="AV88" s="168">
        <f>SUMIF('CF(M)'!$L$10:$EQ$10,AV$6,'CF(M)'!$L93:$EQ93)</f>
        <v>0</v>
      </c>
      <c r="AW88" s="168">
        <f>SUMIF('CF(M)'!$L$10:$EQ$10,AW$6,'CF(M)'!$L93:$EQ93)</f>
        <v>0</v>
      </c>
      <c r="AX88" s="168">
        <f>SUMIF('CF(M)'!$L$10:$EQ$10,AX$6,'CF(M)'!$L93:$EQ93)</f>
        <v>0</v>
      </c>
      <c r="AY88" s="168">
        <f>SUMIF('CF(M)'!$L$10:$EQ$10,AY$6,'CF(M)'!$L93:$EQ93)</f>
        <v>0</v>
      </c>
      <c r="AZ88" s="168">
        <f>SUMIF('CF(M)'!$L$10:$EQ$10,AZ$6,'CF(M)'!$L93:$EQ93)</f>
        <v>0</v>
      </c>
      <c r="BA88" s="168">
        <f>SUMIF('CF(M)'!$L$10:$EQ$10,BA$6,'CF(M)'!$L93:$EQ93)</f>
        <v>0</v>
      </c>
      <c r="BB88" s="168">
        <f>SUMIF('CF(M)'!$L$10:$EQ$10,BB$6,'CF(M)'!$L93:$EQ93)</f>
        <v>0</v>
      </c>
      <c r="BC88" s="168">
        <f>SUMIF('CF(M)'!$L$10:$EQ$10,BC$6,'CF(M)'!$L93:$EQ93)</f>
        <v>0</v>
      </c>
      <c r="BD88" s="168">
        <f>SUMIF('CF(M)'!$L$10:$EQ$10,BD$6,'CF(M)'!$L93:$EQ93)</f>
        <v>0</v>
      </c>
      <c r="BE88" s="168">
        <f>SUMIF('CF(M)'!$L$10:$EQ$10,BE$6,'CF(M)'!$L93:$EQ93)</f>
        <v>0</v>
      </c>
      <c r="BF88" s="168">
        <f>SUMIF('CF(M)'!$L$10:$EQ$10,BF$6,'CF(M)'!$L93:$EQ93)</f>
        <v>0</v>
      </c>
      <c r="BG88" s="168">
        <f>SUMIF('CF(M)'!$L$10:$EQ$10,BG$6,'CF(M)'!$L93:$EQ93)</f>
        <v>0</v>
      </c>
      <c r="BH88" s="168">
        <f>SUMIF('CF(M)'!$L$10:$EQ$10,BH$6,'CF(M)'!$L93:$EQ93)</f>
        <v>0</v>
      </c>
      <c r="BI88" s="168">
        <f>SUMIF('CF(M)'!$L$10:$EQ$10,BI$6,'CF(M)'!$L93:$EQ93)</f>
        <v>0</v>
      </c>
      <c r="BJ88" s="168">
        <f>SUMIF('CF(M)'!$L$10:$EQ$10,BJ$6,'CF(M)'!$L93:$EQ93)</f>
        <v>0</v>
      </c>
      <c r="BK88" s="168">
        <f>SUMIF('CF(M)'!$L$10:$EQ$10,BK$6,'CF(M)'!$L93:$EQ93)</f>
        <v>0</v>
      </c>
      <c r="BL88" s="168">
        <f>SUMIF('CF(M)'!$L$10:$EQ$10,BL$6,'CF(M)'!$L93:$EQ93)</f>
        <v>0</v>
      </c>
      <c r="BM88" s="168">
        <f>SUMIF('CF(M)'!$L$10:$EQ$10,BM$6,'CF(M)'!$L93:$EQ93)</f>
        <v>0</v>
      </c>
      <c r="BN88" s="168">
        <f>SUMIF('CF(M)'!$L$10:$EQ$10,BN$6,'CF(M)'!$L93:$EQ93)</f>
        <v>0</v>
      </c>
      <c r="BO88" s="168">
        <f>SUMIF('CF(M)'!$L$10:$EQ$10,BO$6,'CF(M)'!$L93:$EQ93)</f>
        <v>0</v>
      </c>
      <c r="BP88" s="168">
        <f>SUMIF('CF(M)'!$L$10:$EQ$10,BP$6,'CF(M)'!$L93:$EQ93)</f>
        <v>0</v>
      </c>
      <c r="BQ88" s="168">
        <f>SUMIF('CF(M)'!$L$10:$EQ$10,BQ$6,'CF(M)'!$L93:$EQ93)</f>
        <v>0</v>
      </c>
      <c r="BR88" s="168">
        <f>SUMIF('CF(M)'!$L$10:$EQ$10,BR$6,'CF(M)'!$L93:$EQ93)</f>
        <v>0</v>
      </c>
      <c r="BS88" s="168">
        <f>SUMIF('CF(M)'!$L$10:$EQ$10,BS$6,'CF(M)'!$L93:$EQ93)</f>
        <v>0</v>
      </c>
      <c r="BT88" s="168">
        <f>SUMIF('CF(M)'!$L$10:$EQ$10,BT$6,'CF(M)'!$L93:$EQ93)</f>
        <v>0</v>
      </c>
      <c r="BU88" s="168">
        <f>SUMIF('CF(M)'!$L$10:$EQ$10,BU$6,'CF(M)'!$L93:$EQ93)</f>
        <v>0</v>
      </c>
      <c r="BV88" s="168">
        <f>SUMIF('CF(M)'!$L$10:$EQ$10,BV$6,'CF(M)'!$L93:$EQ93)</f>
        <v>0</v>
      </c>
      <c r="BW88" s="168">
        <f>SUMIF('CF(M)'!$L$10:$EQ$10,BW$6,'CF(M)'!$L93:$EQ93)</f>
        <v>0</v>
      </c>
      <c r="BX88" s="168">
        <f>SUMIF('CF(M)'!$L$10:$EQ$10,BX$6,'CF(M)'!$L93:$EQ93)</f>
        <v>0</v>
      </c>
      <c r="BY88" s="168">
        <f>SUMIF('CF(M)'!$L$10:$EQ$10,BY$6,'CF(M)'!$L93:$EQ93)</f>
        <v>0</v>
      </c>
      <c r="BZ88" s="168">
        <f>SUMIF('CF(M)'!$L$10:$EQ$10,BZ$6,'CF(M)'!$L93:$EQ93)</f>
        <v>0</v>
      </c>
      <c r="CA88" s="168">
        <f>SUMIF('CF(M)'!$L$10:$EQ$10,CA$6,'CF(M)'!$L93:$EQ93)</f>
        <v>0</v>
      </c>
      <c r="CB88" s="168">
        <f>SUMIF('CF(M)'!$L$10:$EQ$10,CB$6,'CF(M)'!$L93:$EQ93)</f>
        <v>0</v>
      </c>
      <c r="CC88" s="168">
        <f>SUMIF('CF(M)'!$L$10:$EQ$10,CC$6,'CF(M)'!$L93:$EQ93)</f>
        <v>0</v>
      </c>
      <c r="CD88" s="168">
        <f>SUMIF('CF(M)'!$L$10:$EQ$10,CD$6,'CF(M)'!$L93:$EQ93)</f>
        <v>0</v>
      </c>
      <c r="CE88" s="168">
        <f>SUMIF('CF(M)'!$L$10:$EQ$10,CE$6,'CF(M)'!$L93:$EQ93)</f>
        <v>0</v>
      </c>
      <c r="CF88" s="168">
        <f>SUMIF('CF(M)'!$L$10:$EQ$10,CF$6,'CF(M)'!$L93:$EQ93)</f>
        <v>0</v>
      </c>
      <c r="CG88" s="168">
        <f>SUMIF('CF(M)'!$L$10:$EQ$10,CG$6,'CF(M)'!$L93:$EQ93)</f>
        <v>0</v>
      </c>
      <c r="CH88" s="168">
        <f>SUMIF('CF(M)'!$L$10:$EQ$10,CH$6,'CF(M)'!$L93:$EQ93)</f>
        <v>0</v>
      </c>
      <c r="CI88" s="168">
        <f>SUMIF('CF(M)'!$L$10:$EQ$10,CI$6,'CF(M)'!$L93:$EQ93)</f>
        <v>0</v>
      </c>
      <c r="CJ88" s="168">
        <f>SUMIF('CF(M)'!$L$10:$EQ$10,CJ$6,'CF(M)'!$L93:$EQ93)</f>
        <v>0</v>
      </c>
      <c r="CK88" s="168">
        <f>SUMIF('CF(M)'!$L$10:$EQ$10,CK$6,'CF(M)'!$L93:$EQ93)</f>
        <v>0</v>
      </c>
      <c r="CL88" s="168">
        <f>SUMIF('CF(M)'!$L$10:$EQ$10,CL$6,'CF(M)'!$L93:$EQ93)</f>
        <v>0</v>
      </c>
      <c r="CM88" s="168">
        <f>SUMIF('CF(M)'!$L$10:$EQ$10,CM$6,'CF(M)'!$L93:$EQ93)</f>
        <v>0</v>
      </c>
      <c r="CN88" s="168">
        <f>SUMIF('CF(M)'!$L$10:$EQ$10,CN$6,'CF(M)'!$L93:$EQ93)</f>
        <v>0</v>
      </c>
      <c r="CO88" s="168">
        <f>SUMIF('CF(M)'!$L$10:$EQ$10,CO$6,'CF(M)'!$L93:$EQ93)</f>
        <v>0</v>
      </c>
      <c r="CP88" s="168">
        <f>SUMIF('CF(M)'!$L$10:$EQ$10,CP$6,'CF(M)'!$L93:$EQ93)</f>
        <v>0</v>
      </c>
      <c r="CQ88" s="168">
        <f>SUMIF('CF(M)'!$L$10:$EQ$10,CQ$6,'CF(M)'!$L93:$EQ93)</f>
        <v>0</v>
      </c>
      <c r="CR88" s="168">
        <f>SUMIF('CF(M)'!$L$10:$EQ$10,CR$6,'CF(M)'!$L93:$EQ93)</f>
        <v>0</v>
      </c>
      <c r="CS88" s="168">
        <f>SUMIF('CF(M)'!$L$10:$EQ$10,CS$6,'CF(M)'!$L93:$EQ93)</f>
        <v>0</v>
      </c>
      <c r="CT88" s="168">
        <f>SUMIF('CF(M)'!$L$10:$EQ$10,CT$6,'CF(M)'!$L93:$EQ93)</f>
        <v>0</v>
      </c>
      <c r="CU88" s="168">
        <f>SUMIF('CF(M)'!$L$10:$EQ$10,CU$6,'CF(M)'!$L93:$EQ93)</f>
        <v>0</v>
      </c>
      <c r="CV88" s="168">
        <f>SUMIF('CF(M)'!$L$10:$EQ$10,CV$6,'CF(M)'!$L93:$EQ93)</f>
        <v>0</v>
      </c>
      <c r="CW88" s="168">
        <f>SUMIF('CF(M)'!$L$10:$EQ$10,CW$6,'CF(M)'!$L93:$EQ93)</f>
        <v>0</v>
      </c>
      <c r="CX88" s="168">
        <f>SUMIF('CF(M)'!$L$10:$EQ$10,CX$6,'CF(M)'!$L93:$EQ93)</f>
        <v>0</v>
      </c>
      <c r="CY88" s="168">
        <f>SUMIF('CF(M)'!$L$10:$EQ$10,CY$6,'CF(M)'!$L93:$EQ93)</f>
        <v>0</v>
      </c>
      <c r="CZ88" s="168">
        <f>SUMIF('CF(M)'!$L$10:$EQ$10,CZ$6,'CF(M)'!$L93:$EQ93)</f>
        <v>0</v>
      </c>
      <c r="DA88" s="168">
        <f>SUMIF('CF(M)'!$L$10:$EQ$10,DA$6,'CF(M)'!$L93:$EQ93)</f>
        <v>0</v>
      </c>
      <c r="DB88" s="168">
        <f>SUMIF('CF(M)'!$L$10:$EQ$10,DB$6,'CF(M)'!$L93:$EQ93)</f>
        <v>0</v>
      </c>
      <c r="DC88" s="168">
        <f>SUMIF('CF(M)'!$L$10:$EQ$10,DC$6,'CF(M)'!$L93:$EQ93)</f>
        <v>0</v>
      </c>
      <c r="DD88" s="168">
        <f>SUMIF('CF(M)'!$L$10:$EQ$10,DD$6,'CF(M)'!$L93:$EQ93)</f>
        <v>0</v>
      </c>
      <c r="DE88" s="168">
        <f>SUMIF('CF(M)'!$L$10:$EQ$10,DE$6,'CF(M)'!$L93:$EQ93)</f>
        <v>0</v>
      </c>
      <c r="DF88" s="168">
        <f>SUMIF('CF(M)'!$L$10:$EQ$10,DF$6,'CF(M)'!$L93:$EQ93)</f>
        <v>0</v>
      </c>
      <c r="DG88" s="168">
        <f>SUMIF('CF(M)'!$L$10:$EQ$10,DG$6,'CF(M)'!$L93:$EQ93)</f>
        <v>0</v>
      </c>
      <c r="DH88" s="168">
        <f>SUMIF('CF(M)'!$L$10:$EQ$10,DH$6,'CF(M)'!$L93:$EQ93)</f>
        <v>0</v>
      </c>
      <c r="DI88" s="168">
        <f>SUMIF('CF(M)'!$L$10:$EQ$10,DI$6,'CF(M)'!$L93:$EQ93)</f>
        <v>0</v>
      </c>
      <c r="DJ88" s="168">
        <f>SUMIF('CF(M)'!$L$10:$EQ$10,DJ$6,'CF(M)'!$L93:$EQ93)</f>
        <v>0</v>
      </c>
      <c r="DK88" s="168">
        <f>SUMIF('CF(M)'!$L$10:$EQ$10,DK$6,'CF(M)'!$L93:$EQ93)</f>
        <v>0</v>
      </c>
      <c r="DL88" s="168">
        <f>SUMIF('CF(M)'!$L$10:$EQ$10,DL$6,'CF(M)'!$L93:$EQ93)</f>
        <v>0</v>
      </c>
      <c r="DM88" s="168">
        <f>SUMIF('CF(M)'!$L$10:$EQ$10,DM$6,'CF(M)'!$L93:$EQ93)</f>
        <v>0</v>
      </c>
      <c r="DN88" s="168">
        <f>SUMIF('CF(M)'!$L$10:$EQ$10,DN$6,'CF(M)'!$L93:$EQ93)</f>
        <v>0</v>
      </c>
      <c r="DO88" s="168">
        <f>SUMIF('CF(M)'!$L$10:$EQ$10,DO$6,'CF(M)'!$L93:$EQ93)</f>
        <v>0</v>
      </c>
      <c r="DP88" s="168">
        <f>SUMIF('CF(M)'!$L$10:$EQ$10,DP$6,'CF(M)'!$L93:$EQ93)</f>
        <v>0</v>
      </c>
      <c r="DQ88" s="168">
        <f>SUMIF('CF(M)'!$L$10:$EQ$10,DQ$6,'CF(M)'!$L93:$EQ93)</f>
        <v>0</v>
      </c>
      <c r="DR88" s="168">
        <f>SUMIF('CF(M)'!$L$10:$EQ$10,DR$6,'CF(M)'!$L93:$EQ93)</f>
        <v>0</v>
      </c>
      <c r="DS88" s="168">
        <f>SUMIF('CF(M)'!$L$10:$EQ$10,DS$6,'CF(M)'!$L93:$EQ93)</f>
        <v>0</v>
      </c>
      <c r="DT88" s="168">
        <f>SUMIF('CF(M)'!$L$10:$EQ$10,DT$6,'CF(M)'!$L93:$EQ93)</f>
        <v>0</v>
      </c>
      <c r="DU88" s="168">
        <f>SUMIF('CF(M)'!$L$10:$EQ$10,DU$6,'CF(M)'!$L93:$EQ93)</f>
        <v>0</v>
      </c>
      <c r="DV88" s="168">
        <f>SUMIF('CF(M)'!$L$10:$EQ$10,DV$6,'CF(M)'!$L93:$EQ93)</f>
        <v>0</v>
      </c>
    </row>
    <row r="89" spans="2:126" ht="11.25" customHeight="1">
      <c r="B89" s="218"/>
      <c r="C89" s="163"/>
      <c r="D89" s="169" t="s">
        <v>209</v>
      </c>
      <c r="H89" s="146"/>
      <c r="I89" s="229"/>
      <c r="J89" s="171">
        <f t="shared" si="44"/>
        <v>-12856669.630531998</v>
      </c>
      <c r="K89" s="98"/>
      <c r="L89" s="171">
        <f>SUMIF('CF(M)'!$L$10:$EQ$10,L$6,'CF(M)'!$L94:$EQ94)</f>
        <v>0</v>
      </c>
      <c r="M89" s="171">
        <f>SUMIF('CF(M)'!$L$10:$EQ$10,M$6,'CF(M)'!$L94:$EQ94)</f>
        <v>-12856669.630531998</v>
      </c>
      <c r="N89" s="171">
        <f>SUMIF('CF(M)'!$L$10:$EQ$10,N$6,'CF(M)'!$L94:$EQ94)</f>
        <v>0</v>
      </c>
      <c r="O89" s="171">
        <f>SUMIF('CF(M)'!$L$10:$EQ$10,O$6,'CF(M)'!$L94:$EQ94)</f>
        <v>0</v>
      </c>
      <c r="P89" s="171">
        <f>SUMIF('CF(M)'!$L$10:$EQ$10,P$6,'CF(M)'!$L94:$EQ94)</f>
        <v>0</v>
      </c>
      <c r="Q89" s="171">
        <f>SUMIF('CF(M)'!$L$10:$EQ$10,Q$6,'CF(M)'!$L94:$EQ94)</f>
        <v>0</v>
      </c>
      <c r="R89" s="171">
        <f>SUMIF('CF(M)'!$L$10:$EQ$10,R$6,'CF(M)'!$L94:$EQ94)</f>
        <v>0</v>
      </c>
      <c r="S89" s="171">
        <f>SUMIF('CF(M)'!$L$10:$EQ$10,S$6,'CF(M)'!$L94:$EQ94)</f>
        <v>0</v>
      </c>
      <c r="T89" s="171">
        <f>SUMIF('CF(M)'!$L$10:$EQ$10,T$6,'CF(M)'!$L94:$EQ94)</f>
        <v>0</v>
      </c>
      <c r="U89" s="171">
        <f>SUMIF('CF(M)'!$L$10:$EQ$10,U$6,'CF(M)'!$L94:$EQ94)</f>
        <v>0</v>
      </c>
      <c r="V89" s="171">
        <f>SUMIF('CF(M)'!$L$10:$EQ$10,V$6,'CF(M)'!$L94:$EQ94)</f>
        <v>0</v>
      </c>
      <c r="W89" s="171">
        <f>SUMIF('CF(M)'!$L$10:$EQ$10,W$6,'CF(M)'!$L94:$EQ94)</f>
        <v>0</v>
      </c>
      <c r="X89" s="171">
        <f>SUMIF('CF(M)'!$L$10:$EQ$10,X$6,'CF(M)'!$L94:$EQ94)</f>
        <v>0</v>
      </c>
      <c r="Y89" s="171">
        <f>SUMIF('CF(M)'!$L$10:$EQ$10,Y$6,'CF(M)'!$L94:$EQ94)</f>
        <v>0</v>
      </c>
      <c r="Z89" s="171">
        <f>SUMIF('CF(M)'!$L$10:$EQ$10,Z$6,'CF(M)'!$L94:$EQ94)</f>
        <v>0</v>
      </c>
      <c r="AA89" s="171">
        <f>SUMIF('CF(M)'!$L$10:$EQ$10,AA$6,'CF(M)'!$L94:$EQ94)</f>
        <v>0</v>
      </c>
      <c r="AB89" s="171">
        <f>SUMIF('CF(M)'!$L$10:$EQ$10,AB$6,'CF(M)'!$L94:$EQ94)</f>
        <v>0</v>
      </c>
      <c r="AC89" s="171">
        <f>SUMIF('CF(M)'!$L$10:$EQ$10,AC$6,'CF(M)'!$L94:$EQ94)</f>
        <v>0</v>
      </c>
      <c r="AD89" s="171">
        <f>SUMIF('CF(M)'!$L$10:$EQ$10,AD$6,'CF(M)'!$L94:$EQ94)</f>
        <v>0</v>
      </c>
      <c r="AE89" s="171">
        <f>SUMIF('CF(M)'!$L$10:$EQ$10,AE$6,'CF(M)'!$L94:$EQ94)</f>
        <v>0</v>
      </c>
      <c r="AF89" s="171">
        <f>SUMIF('CF(M)'!$L$10:$EQ$10,AF$6,'CF(M)'!$L94:$EQ94)</f>
        <v>0</v>
      </c>
      <c r="AG89" s="171">
        <f>SUMIF('CF(M)'!$L$10:$EQ$10,AG$6,'CF(M)'!$L94:$EQ94)</f>
        <v>0</v>
      </c>
      <c r="AH89" s="171">
        <f>SUMIF('CF(M)'!$L$10:$EQ$10,AH$6,'CF(M)'!$L94:$EQ94)</f>
        <v>0</v>
      </c>
      <c r="AI89" s="171">
        <f>SUMIF('CF(M)'!$L$10:$EQ$10,AI$6,'CF(M)'!$L94:$EQ94)</f>
        <v>0</v>
      </c>
      <c r="AJ89" s="171">
        <f>SUMIF('CF(M)'!$L$10:$EQ$10,AJ$6,'CF(M)'!$L94:$EQ94)</f>
        <v>0</v>
      </c>
      <c r="AK89" s="171">
        <f>SUMIF('CF(M)'!$L$10:$EQ$10,AK$6,'CF(M)'!$L94:$EQ94)</f>
        <v>0</v>
      </c>
      <c r="AL89" s="171">
        <f>SUMIF('CF(M)'!$L$10:$EQ$10,AL$6,'CF(M)'!$L94:$EQ94)</f>
        <v>0</v>
      </c>
      <c r="AM89" s="171">
        <f>SUMIF('CF(M)'!$L$10:$EQ$10,AM$6,'CF(M)'!$L94:$EQ94)</f>
        <v>0</v>
      </c>
      <c r="AN89" s="171">
        <f>SUMIF('CF(M)'!$L$10:$EQ$10,AN$6,'CF(M)'!$L94:$EQ94)</f>
        <v>0</v>
      </c>
      <c r="AO89" s="171">
        <f>SUMIF('CF(M)'!$L$10:$EQ$10,AO$6,'CF(M)'!$L94:$EQ94)</f>
        <v>0</v>
      </c>
      <c r="AP89" s="171">
        <f>SUMIF('CF(M)'!$L$10:$EQ$10,AP$6,'CF(M)'!$L94:$EQ94)</f>
        <v>0</v>
      </c>
      <c r="AQ89" s="171">
        <f>SUMIF('CF(M)'!$L$10:$EQ$10,AQ$6,'CF(M)'!$L94:$EQ94)</f>
        <v>0</v>
      </c>
      <c r="AR89" s="171">
        <f>SUMIF('CF(M)'!$L$10:$EQ$10,AR$6,'CF(M)'!$L94:$EQ94)</f>
        <v>0</v>
      </c>
      <c r="AS89" s="171">
        <f>SUMIF('CF(M)'!$L$10:$EQ$10,AS$6,'CF(M)'!$L94:$EQ94)</f>
        <v>0</v>
      </c>
      <c r="AT89" s="171">
        <f>SUMIF('CF(M)'!$L$10:$EQ$10,AT$6,'CF(M)'!$L94:$EQ94)</f>
        <v>0</v>
      </c>
      <c r="AU89" s="171">
        <f>SUMIF('CF(M)'!$L$10:$EQ$10,AU$6,'CF(M)'!$L94:$EQ94)</f>
        <v>0</v>
      </c>
      <c r="AV89" s="171">
        <f>SUMIF('CF(M)'!$L$10:$EQ$10,AV$6,'CF(M)'!$L94:$EQ94)</f>
        <v>0</v>
      </c>
      <c r="AW89" s="171">
        <f>SUMIF('CF(M)'!$L$10:$EQ$10,AW$6,'CF(M)'!$L94:$EQ94)</f>
        <v>0</v>
      </c>
      <c r="AX89" s="171">
        <f>SUMIF('CF(M)'!$L$10:$EQ$10,AX$6,'CF(M)'!$L94:$EQ94)</f>
        <v>0</v>
      </c>
      <c r="AY89" s="171">
        <f>SUMIF('CF(M)'!$L$10:$EQ$10,AY$6,'CF(M)'!$L94:$EQ94)</f>
        <v>0</v>
      </c>
      <c r="AZ89" s="171">
        <f>SUMIF('CF(M)'!$L$10:$EQ$10,AZ$6,'CF(M)'!$L94:$EQ94)</f>
        <v>0</v>
      </c>
      <c r="BA89" s="171">
        <f>SUMIF('CF(M)'!$L$10:$EQ$10,BA$6,'CF(M)'!$L94:$EQ94)</f>
        <v>0</v>
      </c>
      <c r="BB89" s="171">
        <f>SUMIF('CF(M)'!$L$10:$EQ$10,BB$6,'CF(M)'!$L94:$EQ94)</f>
        <v>0</v>
      </c>
      <c r="BC89" s="171">
        <f>SUMIF('CF(M)'!$L$10:$EQ$10,BC$6,'CF(M)'!$L94:$EQ94)</f>
        <v>0</v>
      </c>
      <c r="BD89" s="171">
        <f>SUMIF('CF(M)'!$L$10:$EQ$10,BD$6,'CF(M)'!$L94:$EQ94)</f>
        <v>0</v>
      </c>
      <c r="BE89" s="171">
        <f>SUMIF('CF(M)'!$L$10:$EQ$10,BE$6,'CF(M)'!$L94:$EQ94)</f>
        <v>0</v>
      </c>
      <c r="BF89" s="171">
        <f>SUMIF('CF(M)'!$L$10:$EQ$10,BF$6,'CF(M)'!$L94:$EQ94)</f>
        <v>0</v>
      </c>
      <c r="BG89" s="171">
        <f>SUMIF('CF(M)'!$L$10:$EQ$10,BG$6,'CF(M)'!$L94:$EQ94)</f>
        <v>0</v>
      </c>
      <c r="BH89" s="171">
        <f>SUMIF('CF(M)'!$L$10:$EQ$10,BH$6,'CF(M)'!$L94:$EQ94)</f>
        <v>0</v>
      </c>
      <c r="BI89" s="171">
        <f>SUMIF('CF(M)'!$L$10:$EQ$10,BI$6,'CF(M)'!$L94:$EQ94)</f>
        <v>0</v>
      </c>
      <c r="BJ89" s="171">
        <f>SUMIF('CF(M)'!$L$10:$EQ$10,BJ$6,'CF(M)'!$L94:$EQ94)</f>
        <v>0</v>
      </c>
      <c r="BK89" s="171">
        <f>SUMIF('CF(M)'!$L$10:$EQ$10,BK$6,'CF(M)'!$L94:$EQ94)</f>
        <v>0</v>
      </c>
      <c r="BL89" s="171">
        <f>SUMIF('CF(M)'!$L$10:$EQ$10,BL$6,'CF(M)'!$L94:$EQ94)</f>
        <v>0</v>
      </c>
      <c r="BM89" s="171">
        <f>SUMIF('CF(M)'!$L$10:$EQ$10,BM$6,'CF(M)'!$L94:$EQ94)</f>
        <v>0</v>
      </c>
      <c r="BN89" s="171">
        <f>SUMIF('CF(M)'!$L$10:$EQ$10,BN$6,'CF(M)'!$L94:$EQ94)</f>
        <v>0</v>
      </c>
      <c r="BO89" s="171">
        <f>SUMIF('CF(M)'!$L$10:$EQ$10,BO$6,'CF(M)'!$L94:$EQ94)</f>
        <v>0</v>
      </c>
      <c r="BP89" s="171">
        <f>SUMIF('CF(M)'!$L$10:$EQ$10,BP$6,'CF(M)'!$L94:$EQ94)</f>
        <v>0</v>
      </c>
      <c r="BQ89" s="171">
        <f>SUMIF('CF(M)'!$L$10:$EQ$10,BQ$6,'CF(M)'!$L94:$EQ94)</f>
        <v>0</v>
      </c>
      <c r="BR89" s="171">
        <f>SUMIF('CF(M)'!$L$10:$EQ$10,BR$6,'CF(M)'!$L94:$EQ94)</f>
        <v>0</v>
      </c>
      <c r="BS89" s="171">
        <f>SUMIF('CF(M)'!$L$10:$EQ$10,BS$6,'CF(M)'!$L94:$EQ94)</f>
        <v>0</v>
      </c>
      <c r="BT89" s="171">
        <f>SUMIF('CF(M)'!$L$10:$EQ$10,BT$6,'CF(M)'!$L94:$EQ94)</f>
        <v>0</v>
      </c>
      <c r="BU89" s="171">
        <f>SUMIF('CF(M)'!$L$10:$EQ$10,BU$6,'CF(M)'!$L94:$EQ94)</f>
        <v>0</v>
      </c>
      <c r="BV89" s="171">
        <f>SUMIF('CF(M)'!$L$10:$EQ$10,BV$6,'CF(M)'!$L94:$EQ94)</f>
        <v>0</v>
      </c>
      <c r="BW89" s="171">
        <f>SUMIF('CF(M)'!$L$10:$EQ$10,BW$6,'CF(M)'!$L94:$EQ94)</f>
        <v>0</v>
      </c>
      <c r="BX89" s="171">
        <f>SUMIF('CF(M)'!$L$10:$EQ$10,BX$6,'CF(M)'!$L94:$EQ94)</f>
        <v>0</v>
      </c>
      <c r="BY89" s="171">
        <f>SUMIF('CF(M)'!$L$10:$EQ$10,BY$6,'CF(M)'!$L94:$EQ94)</f>
        <v>0</v>
      </c>
      <c r="BZ89" s="171">
        <f>SUMIF('CF(M)'!$L$10:$EQ$10,BZ$6,'CF(M)'!$L94:$EQ94)</f>
        <v>0</v>
      </c>
      <c r="CA89" s="171">
        <f>SUMIF('CF(M)'!$L$10:$EQ$10,CA$6,'CF(M)'!$L94:$EQ94)</f>
        <v>0</v>
      </c>
      <c r="CB89" s="171">
        <f>SUMIF('CF(M)'!$L$10:$EQ$10,CB$6,'CF(M)'!$L94:$EQ94)</f>
        <v>0</v>
      </c>
      <c r="CC89" s="171">
        <f>SUMIF('CF(M)'!$L$10:$EQ$10,CC$6,'CF(M)'!$L94:$EQ94)</f>
        <v>0</v>
      </c>
      <c r="CD89" s="171">
        <f>SUMIF('CF(M)'!$L$10:$EQ$10,CD$6,'CF(M)'!$L94:$EQ94)</f>
        <v>0</v>
      </c>
      <c r="CE89" s="171">
        <f>SUMIF('CF(M)'!$L$10:$EQ$10,CE$6,'CF(M)'!$L94:$EQ94)</f>
        <v>0</v>
      </c>
      <c r="CF89" s="171">
        <f>SUMIF('CF(M)'!$L$10:$EQ$10,CF$6,'CF(M)'!$L94:$EQ94)</f>
        <v>0</v>
      </c>
      <c r="CG89" s="171">
        <f>SUMIF('CF(M)'!$L$10:$EQ$10,CG$6,'CF(M)'!$L94:$EQ94)</f>
        <v>0</v>
      </c>
      <c r="CH89" s="171">
        <f>SUMIF('CF(M)'!$L$10:$EQ$10,CH$6,'CF(M)'!$L94:$EQ94)</f>
        <v>0</v>
      </c>
      <c r="CI89" s="171">
        <f>SUMIF('CF(M)'!$L$10:$EQ$10,CI$6,'CF(M)'!$L94:$EQ94)</f>
        <v>0</v>
      </c>
      <c r="CJ89" s="171">
        <f>SUMIF('CF(M)'!$L$10:$EQ$10,CJ$6,'CF(M)'!$L94:$EQ94)</f>
        <v>0</v>
      </c>
      <c r="CK89" s="171">
        <f>SUMIF('CF(M)'!$L$10:$EQ$10,CK$6,'CF(M)'!$L94:$EQ94)</f>
        <v>0</v>
      </c>
      <c r="CL89" s="171">
        <f>SUMIF('CF(M)'!$L$10:$EQ$10,CL$6,'CF(M)'!$L94:$EQ94)</f>
        <v>0</v>
      </c>
      <c r="CM89" s="171">
        <f>SUMIF('CF(M)'!$L$10:$EQ$10,CM$6,'CF(M)'!$L94:$EQ94)</f>
        <v>0</v>
      </c>
      <c r="CN89" s="171">
        <f>SUMIF('CF(M)'!$L$10:$EQ$10,CN$6,'CF(M)'!$L94:$EQ94)</f>
        <v>0</v>
      </c>
      <c r="CO89" s="171">
        <f>SUMIF('CF(M)'!$L$10:$EQ$10,CO$6,'CF(M)'!$L94:$EQ94)</f>
        <v>0</v>
      </c>
      <c r="CP89" s="171">
        <f>SUMIF('CF(M)'!$L$10:$EQ$10,CP$6,'CF(M)'!$L94:$EQ94)</f>
        <v>0</v>
      </c>
      <c r="CQ89" s="171">
        <f>SUMIF('CF(M)'!$L$10:$EQ$10,CQ$6,'CF(M)'!$L94:$EQ94)</f>
        <v>0</v>
      </c>
      <c r="CR89" s="171">
        <f>SUMIF('CF(M)'!$L$10:$EQ$10,CR$6,'CF(M)'!$L94:$EQ94)</f>
        <v>0</v>
      </c>
      <c r="CS89" s="171">
        <f>SUMIF('CF(M)'!$L$10:$EQ$10,CS$6,'CF(M)'!$L94:$EQ94)</f>
        <v>0</v>
      </c>
      <c r="CT89" s="171">
        <f>SUMIF('CF(M)'!$L$10:$EQ$10,CT$6,'CF(M)'!$L94:$EQ94)</f>
        <v>0</v>
      </c>
      <c r="CU89" s="171">
        <f>SUMIF('CF(M)'!$L$10:$EQ$10,CU$6,'CF(M)'!$L94:$EQ94)</f>
        <v>0</v>
      </c>
      <c r="CV89" s="171">
        <f>SUMIF('CF(M)'!$L$10:$EQ$10,CV$6,'CF(M)'!$L94:$EQ94)</f>
        <v>0</v>
      </c>
      <c r="CW89" s="171">
        <f>SUMIF('CF(M)'!$L$10:$EQ$10,CW$6,'CF(M)'!$L94:$EQ94)</f>
        <v>0</v>
      </c>
      <c r="CX89" s="171">
        <f>SUMIF('CF(M)'!$L$10:$EQ$10,CX$6,'CF(M)'!$L94:$EQ94)</f>
        <v>0</v>
      </c>
      <c r="CY89" s="171">
        <f>SUMIF('CF(M)'!$L$10:$EQ$10,CY$6,'CF(M)'!$L94:$EQ94)</f>
        <v>0</v>
      </c>
      <c r="CZ89" s="171">
        <f>SUMIF('CF(M)'!$L$10:$EQ$10,CZ$6,'CF(M)'!$L94:$EQ94)</f>
        <v>0</v>
      </c>
      <c r="DA89" s="171">
        <f>SUMIF('CF(M)'!$L$10:$EQ$10,DA$6,'CF(M)'!$L94:$EQ94)</f>
        <v>0</v>
      </c>
      <c r="DB89" s="171">
        <f>SUMIF('CF(M)'!$L$10:$EQ$10,DB$6,'CF(M)'!$L94:$EQ94)</f>
        <v>0</v>
      </c>
      <c r="DC89" s="171">
        <f>SUMIF('CF(M)'!$L$10:$EQ$10,DC$6,'CF(M)'!$L94:$EQ94)</f>
        <v>0</v>
      </c>
      <c r="DD89" s="171">
        <f>SUMIF('CF(M)'!$L$10:$EQ$10,DD$6,'CF(M)'!$L94:$EQ94)</f>
        <v>0</v>
      </c>
      <c r="DE89" s="171">
        <f>SUMIF('CF(M)'!$L$10:$EQ$10,DE$6,'CF(M)'!$L94:$EQ94)</f>
        <v>0</v>
      </c>
      <c r="DF89" s="171">
        <f>SUMIF('CF(M)'!$L$10:$EQ$10,DF$6,'CF(M)'!$L94:$EQ94)</f>
        <v>0</v>
      </c>
      <c r="DG89" s="171">
        <f>SUMIF('CF(M)'!$L$10:$EQ$10,DG$6,'CF(M)'!$L94:$EQ94)</f>
        <v>0</v>
      </c>
      <c r="DH89" s="171">
        <f>SUMIF('CF(M)'!$L$10:$EQ$10,DH$6,'CF(M)'!$L94:$EQ94)</f>
        <v>0</v>
      </c>
      <c r="DI89" s="171">
        <f>SUMIF('CF(M)'!$L$10:$EQ$10,DI$6,'CF(M)'!$L94:$EQ94)</f>
        <v>0</v>
      </c>
      <c r="DJ89" s="171">
        <f>SUMIF('CF(M)'!$L$10:$EQ$10,DJ$6,'CF(M)'!$L94:$EQ94)</f>
        <v>0</v>
      </c>
      <c r="DK89" s="171">
        <f>SUMIF('CF(M)'!$L$10:$EQ$10,DK$6,'CF(M)'!$L94:$EQ94)</f>
        <v>0</v>
      </c>
      <c r="DL89" s="171">
        <f>SUMIF('CF(M)'!$L$10:$EQ$10,DL$6,'CF(M)'!$L94:$EQ94)</f>
        <v>0</v>
      </c>
      <c r="DM89" s="171">
        <f>SUMIF('CF(M)'!$L$10:$EQ$10,DM$6,'CF(M)'!$L94:$EQ94)</f>
        <v>0</v>
      </c>
      <c r="DN89" s="171">
        <f>SUMIF('CF(M)'!$L$10:$EQ$10,DN$6,'CF(M)'!$L94:$EQ94)</f>
        <v>0</v>
      </c>
      <c r="DO89" s="171">
        <f>SUMIF('CF(M)'!$L$10:$EQ$10,DO$6,'CF(M)'!$L94:$EQ94)</f>
        <v>0</v>
      </c>
      <c r="DP89" s="171">
        <f>SUMIF('CF(M)'!$L$10:$EQ$10,DP$6,'CF(M)'!$L94:$EQ94)</f>
        <v>0</v>
      </c>
      <c r="DQ89" s="171">
        <f>SUMIF('CF(M)'!$L$10:$EQ$10,DQ$6,'CF(M)'!$L94:$EQ94)</f>
        <v>0</v>
      </c>
      <c r="DR89" s="171">
        <f>SUMIF('CF(M)'!$L$10:$EQ$10,DR$6,'CF(M)'!$L94:$EQ94)</f>
        <v>0</v>
      </c>
      <c r="DS89" s="171">
        <f>SUMIF('CF(M)'!$L$10:$EQ$10,DS$6,'CF(M)'!$L94:$EQ94)</f>
        <v>0</v>
      </c>
      <c r="DT89" s="171">
        <f>SUMIF('CF(M)'!$L$10:$EQ$10,DT$6,'CF(M)'!$L94:$EQ94)</f>
        <v>0</v>
      </c>
      <c r="DU89" s="171">
        <f>SUMIF('CF(M)'!$L$10:$EQ$10,DU$6,'CF(M)'!$L94:$EQ94)</f>
        <v>0</v>
      </c>
      <c r="DV89" s="171">
        <f>SUMIF('CF(M)'!$L$10:$EQ$10,DV$6,'CF(M)'!$L94:$EQ94)</f>
        <v>0</v>
      </c>
    </row>
    <row r="90" spans="2:126" ht="11.25" customHeight="1">
      <c r="B90" s="218"/>
      <c r="C90" s="158" t="str">
        <f>'CF(M)'!C95</f>
        <v>1종 우선주</v>
      </c>
      <c r="D90" s="159"/>
      <c r="E90" s="159"/>
      <c r="F90" s="159"/>
      <c r="G90" s="159"/>
      <c r="H90" s="160"/>
      <c r="I90" s="219"/>
      <c r="J90" s="220">
        <f ca="1">SUM(J91:J94)</f>
        <v>-16800000.000000004</v>
      </c>
      <c r="K90" s="98"/>
      <c r="L90" s="162">
        <f ca="1">SUM(L91:L94)</f>
        <v>24000000</v>
      </c>
      <c r="M90" s="162">
        <f t="shared" ref="M90:BX90" ca="1" si="45">SUM(M91:M94)</f>
        <v>-840000.00000000012</v>
      </c>
      <c r="N90" s="162">
        <f t="shared" ca="1" si="45"/>
        <v>-840000.00000000012</v>
      </c>
      <c r="O90" s="162">
        <f t="shared" ca="1" si="45"/>
        <v>-840000.00000000012</v>
      </c>
      <c r="P90" s="162">
        <f t="shared" ca="1" si="45"/>
        <v>-840000.00000000012</v>
      </c>
      <c r="Q90" s="162">
        <f t="shared" ca="1" si="45"/>
        <v>-840000.00000000012</v>
      </c>
      <c r="R90" s="162">
        <f t="shared" ca="1" si="45"/>
        <v>-840000.00000000012</v>
      </c>
      <c r="S90" s="162">
        <f t="shared" ca="1" si="45"/>
        <v>-840000.00000000012</v>
      </c>
      <c r="T90" s="162">
        <f t="shared" ca="1" si="45"/>
        <v>-840000.00000000012</v>
      </c>
      <c r="U90" s="162">
        <f t="shared" ca="1" si="45"/>
        <v>-840000.00000000012</v>
      </c>
      <c r="V90" s="162">
        <f t="shared" ca="1" si="45"/>
        <v>-840000.00000000012</v>
      </c>
      <c r="W90" s="162">
        <f t="shared" ca="1" si="45"/>
        <v>-840000.00000000012</v>
      </c>
      <c r="X90" s="162">
        <f t="shared" ca="1" si="45"/>
        <v>-840000.00000000012</v>
      </c>
      <c r="Y90" s="162">
        <f t="shared" ca="1" si="45"/>
        <v>-840000.00000000012</v>
      </c>
      <c r="Z90" s="162">
        <f t="shared" ca="1" si="45"/>
        <v>-840000.00000000012</v>
      </c>
      <c r="AA90" s="162">
        <f t="shared" ca="1" si="45"/>
        <v>-840000.00000000012</v>
      </c>
      <c r="AB90" s="162">
        <f t="shared" ca="1" si="45"/>
        <v>-840000.00000000012</v>
      </c>
      <c r="AC90" s="162">
        <f t="shared" ca="1" si="45"/>
        <v>-840000.00000000012</v>
      </c>
      <c r="AD90" s="162">
        <f t="shared" ca="1" si="45"/>
        <v>-840000.00000000012</v>
      </c>
      <c r="AE90" s="162">
        <f t="shared" ca="1" si="45"/>
        <v>-840000.00000000012</v>
      </c>
      <c r="AF90" s="162">
        <f t="shared" ca="1" si="45"/>
        <v>-24840000</v>
      </c>
      <c r="AG90" s="162">
        <f t="shared" ca="1" si="45"/>
        <v>0</v>
      </c>
      <c r="AH90" s="162">
        <f t="shared" ca="1" si="45"/>
        <v>0</v>
      </c>
      <c r="AI90" s="162">
        <f t="shared" ca="1" si="45"/>
        <v>0</v>
      </c>
      <c r="AJ90" s="162">
        <f t="shared" si="45"/>
        <v>0</v>
      </c>
      <c r="AK90" s="162">
        <f t="shared" si="45"/>
        <v>0</v>
      </c>
      <c r="AL90" s="162">
        <f t="shared" si="45"/>
        <v>0</v>
      </c>
      <c r="AM90" s="162">
        <f t="shared" si="45"/>
        <v>0</v>
      </c>
      <c r="AN90" s="162">
        <f t="shared" si="45"/>
        <v>0</v>
      </c>
      <c r="AO90" s="162">
        <f t="shared" si="45"/>
        <v>0</v>
      </c>
      <c r="AP90" s="162">
        <f t="shared" si="45"/>
        <v>0</v>
      </c>
      <c r="AQ90" s="162">
        <f t="shared" si="45"/>
        <v>0</v>
      </c>
      <c r="AR90" s="162">
        <f t="shared" si="45"/>
        <v>0</v>
      </c>
      <c r="AS90" s="162">
        <f t="shared" si="45"/>
        <v>0</v>
      </c>
      <c r="AT90" s="162">
        <f t="shared" si="45"/>
        <v>0</v>
      </c>
      <c r="AU90" s="162">
        <f t="shared" si="45"/>
        <v>0</v>
      </c>
      <c r="AV90" s="162">
        <f t="shared" si="45"/>
        <v>0</v>
      </c>
      <c r="AW90" s="162">
        <f t="shared" si="45"/>
        <v>0</v>
      </c>
      <c r="AX90" s="162">
        <f t="shared" si="45"/>
        <v>0</v>
      </c>
      <c r="AY90" s="162">
        <f t="shared" si="45"/>
        <v>0</v>
      </c>
      <c r="AZ90" s="162">
        <f t="shared" si="45"/>
        <v>0</v>
      </c>
      <c r="BA90" s="162">
        <f t="shared" si="45"/>
        <v>0</v>
      </c>
      <c r="BB90" s="162">
        <f t="shared" si="45"/>
        <v>0</v>
      </c>
      <c r="BC90" s="162">
        <f t="shared" si="45"/>
        <v>0</v>
      </c>
      <c r="BD90" s="162">
        <f t="shared" si="45"/>
        <v>0</v>
      </c>
      <c r="BE90" s="162">
        <f t="shared" si="45"/>
        <v>0</v>
      </c>
      <c r="BF90" s="162">
        <f t="shared" si="45"/>
        <v>0</v>
      </c>
      <c r="BG90" s="162">
        <f t="shared" si="45"/>
        <v>0</v>
      </c>
      <c r="BH90" s="162">
        <f t="shared" si="45"/>
        <v>0</v>
      </c>
      <c r="BI90" s="162">
        <f t="shared" si="45"/>
        <v>0</v>
      </c>
      <c r="BJ90" s="162">
        <f t="shared" si="45"/>
        <v>0</v>
      </c>
      <c r="BK90" s="162">
        <f t="shared" si="45"/>
        <v>0</v>
      </c>
      <c r="BL90" s="162">
        <f t="shared" si="45"/>
        <v>0</v>
      </c>
      <c r="BM90" s="162">
        <f t="shared" si="45"/>
        <v>0</v>
      </c>
      <c r="BN90" s="162">
        <f t="shared" si="45"/>
        <v>0</v>
      </c>
      <c r="BO90" s="162">
        <f t="shared" si="45"/>
        <v>0</v>
      </c>
      <c r="BP90" s="162">
        <f t="shared" si="45"/>
        <v>0</v>
      </c>
      <c r="BQ90" s="162">
        <f t="shared" si="45"/>
        <v>0</v>
      </c>
      <c r="BR90" s="162">
        <f t="shared" si="45"/>
        <v>0</v>
      </c>
      <c r="BS90" s="162">
        <f t="shared" si="45"/>
        <v>0</v>
      </c>
      <c r="BT90" s="162">
        <f t="shared" si="45"/>
        <v>0</v>
      </c>
      <c r="BU90" s="162">
        <f t="shared" si="45"/>
        <v>0</v>
      </c>
      <c r="BV90" s="162">
        <f t="shared" si="45"/>
        <v>0</v>
      </c>
      <c r="BW90" s="162">
        <f t="shared" si="45"/>
        <v>0</v>
      </c>
      <c r="BX90" s="162">
        <f t="shared" si="45"/>
        <v>0</v>
      </c>
      <c r="BY90" s="162">
        <f t="shared" ref="BY90:DV90" si="46">SUM(BY91:BY94)</f>
        <v>0</v>
      </c>
      <c r="BZ90" s="162">
        <f t="shared" si="46"/>
        <v>0</v>
      </c>
      <c r="CA90" s="162">
        <f t="shared" si="46"/>
        <v>0</v>
      </c>
      <c r="CB90" s="162">
        <f t="shared" si="46"/>
        <v>0</v>
      </c>
      <c r="CC90" s="162">
        <f t="shared" si="46"/>
        <v>0</v>
      </c>
      <c r="CD90" s="162">
        <f t="shared" si="46"/>
        <v>0</v>
      </c>
      <c r="CE90" s="162">
        <f t="shared" si="46"/>
        <v>0</v>
      </c>
      <c r="CF90" s="162">
        <f t="shared" si="46"/>
        <v>0</v>
      </c>
      <c r="CG90" s="162">
        <f t="shared" si="46"/>
        <v>0</v>
      </c>
      <c r="CH90" s="162">
        <f t="shared" si="46"/>
        <v>0</v>
      </c>
      <c r="CI90" s="162">
        <f t="shared" si="46"/>
        <v>0</v>
      </c>
      <c r="CJ90" s="162">
        <f t="shared" si="46"/>
        <v>0</v>
      </c>
      <c r="CK90" s="162">
        <f t="shared" si="46"/>
        <v>0</v>
      </c>
      <c r="CL90" s="162">
        <f t="shared" si="46"/>
        <v>0</v>
      </c>
      <c r="CM90" s="162">
        <f t="shared" si="46"/>
        <v>0</v>
      </c>
      <c r="CN90" s="162">
        <f t="shared" si="46"/>
        <v>0</v>
      </c>
      <c r="CO90" s="162">
        <f t="shared" si="46"/>
        <v>0</v>
      </c>
      <c r="CP90" s="162">
        <f t="shared" si="46"/>
        <v>0</v>
      </c>
      <c r="CQ90" s="162">
        <f t="shared" si="46"/>
        <v>0</v>
      </c>
      <c r="CR90" s="162">
        <f t="shared" si="46"/>
        <v>0</v>
      </c>
      <c r="CS90" s="162">
        <f t="shared" si="46"/>
        <v>0</v>
      </c>
      <c r="CT90" s="162">
        <f t="shared" si="46"/>
        <v>0</v>
      </c>
      <c r="CU90" s="162">
        <f t="shared" si="46"/>
        <v>0</v>
      </c>
      <c r="CV90" s="162">
        <f t="shared" si="46"/>
        <v>0</v>
      </c>
      <c r="CW90" s="162">
        <f t="shared" si="46"/>
        <v>0</v>
      </c>
      <c r="CX90" s="162">
        <f t="shared" si="46"/>
        <v>0</v>
      </c>
      <c r="CY90" s="162">
        <f t="shared" si="46"/>
        <v>0</v>
      </c>
      <c r="CZ90" s="162">
        <f t="shared" si="46"/>
        <v>0</v>
      </c>
      <c r="DA90" s="162">
        <f t="shared" si="46"/>
        <v>0</v>
      </c>
      <c r="DB90" s="162">
        <f t="shared" si="46"/>
        <v>0</v>
      </c>
      <c r="DC90" s="162">
        <f t="shared" si="46"/>
        <v>0</v>
      </c>
      <c r="DD90" s="162">
        <f t="shared" si="46"/>
        <v>0</v>
      </c>
      <c r="DE90" s="162">
        <f t="shared" si="46"/>
        <v>0</v>
      </c>
      <c r="DF90" s="162">
        <f t="shared" si="46"/>
        <v>0</v>
      </c>
      <c r="DG90" s="162">
        <f t="shared" si="46"/>
        <v>0</v>
      </c>
      <c r="DH90" s="162">
        <f t="shared" si="46"/>
        <v>0</v>
      </c>
      <c r="DI90" s="162">
        <f t="shared" si="46"/>
        <v>0</v>
      </c>
      <c r="DJ90" s="162">
        <f t="shared" si="46"/>
        <v>0</v>
      </c>
      <c r="DK90" s="162">
        <f t="shared" si="46"/>
        <v>0</v>
      </c>
      <c r="DL90" s="162">
        <f t="shared" si="46"/>
        <v>0</v>
      </c>
      <c r="DM90" s="162">
        <f t="shared" si="46"/>
        <v>0</v>
      </c>
      <c r="DN90" s="162">
        <f t="shared" si="46"/>
        <v>0</v>
      </c>
      <c r="DO90" s="162">
        <f t="shared" si="46"/>
        <v>0</v>
      </c>
      <c r="DP90" s="162">
        <f t="shared" si="46"/>
        <v>0</v>
      </c>
      <c r="DQ90" s="162">
        <f t="shared" si="46"/>
        <v>0</v>
      </c>
      <c r="DR90" s="162">
        <f t="shared" si="46"/>
        <v>0</v>
      </c>
      <c r="DS90" s="162">
        <f t="shared" si="46"/>
        <v>0</v>
      </c>
      <c r="DT90" s="162">
        <f t="shared" si="46"/>
        <v>0</v>
      </c>
      <c r="DU90" s="162">
        <f t="shared" si="46"/>
        <v>0</v>
      </c>
      <c r="DV90" s="162">
        <f t="shared" si="46"/>
        <v>0</v>
      </c>
    </row>
    <row r="91" spans="2:126" ht="11.25" customHeight="1">
      <c r="B91" s="218"/>
      <c r="C91" s="163"/>
      <c r="D91" s="164" t="s">
        <v>208</v>
      </c>
      <c r="E91" s="165"/>
      <c r="F91" s="165"/>
      <c r="G91" s="165"/>
      <c r="H91" s="166"/>
      <c r="I91" s="228"/>
      <c r="J91" s="168">
        <f t="shared" si="44"/>
        <v>24000000</v>
      </c>
      <c r="K91" s="98"/>
      <c r="L91" s="168">
        <f>SUMIF('CF(M)'!$L$10:$EQ$10,L$6,'CF(M)'!$L96:$EQ96)</f>
        <v>24000000</v>
      </c>
      <c r="M91" s="168">
        <f>SUMIF('CF(M)'!$L$10:$EQ$10,M$6,'CF(M)'!$L96:$EQ96)</f>
        <v>0</v>
      </c>
      <c r="N91" s="168">
        <f>SUMIF('CF(M)'!$L$10:$EQ$10,N$6,'CF(M)'!$L96:$EQ96)</f>
        <v>0</v>
      </c>
      <c r="O91" s="168">
        <f>SUMIF('CF(M)'!$L$10:$EQ$10,O$6,'CF(M)'!$L96:$EQ96)</f>
        <v>0</v>
      </c>
      <c r="P91" s="168">
        <f>SUMIF('CF(M)'!$L$10:$EQ$10,P$6,'CF(M)'!$L96:$EQ96)</f>
        <v>0</v>
      </c>
      <c r="Q91" s="168">
        <f>SUMIF('CF(M)'!$L$10:$EQ$10,Q$6,'CF(M)'!$L96:$EQ96)</f>
        <v>0</v>
      </c>
      <c r="R91" s="168">
        <f>SUMIF('CF(M)'!$L$10:$EQ$10,R$6,'CF(M)'!$L96:$EQ96)</f>
        <v>0</v>
      </c>
      <c r="S91" s="168">
        <f>SUMIF('CF(M)'!$L$10:$EQ$10,S$6,'CF(M)'!$L96:$EQ96)</f>
        <v>0</v>
      </c>
      <c r="T91" s="168">
        <f>SUMIF('CF(M)'!$L$10:$EQ$10,T$6,'CF(M)'!$L96:$EQ96)</f>
        <v>0</v>
      </c>
      <c r="U91" s="168">
        <f>SUMIF('CF(M)'!$L$10:$EQ$10,U$6,'CF(M)'!$L96:$EQ96)</f>
        <v>0</v>
      </c>
      <c r="V91" s="168">
        <f>SUMIF('CF(M)'!$L$10:$EQ$10,V$6,'CF(M)'!$L96:$EQ96)</f>
        <v>0</v>
      </c>
      <c r="W91" s="168">
        <f>SUMIF('CF(M)'!$L$10:$EQ$10,W$6,'CF(M)'!$L96:$EQ96)</f>
        <v>0</v>
      </c>
      <c r="X91" s="168">
        <f>SUMIF('CF(M)'!$L$10:$EQ$10,X$6,'CF(M)'!$L96:$EQ96)</f>
        <v>0</v>
      </c>
      <c r="Y91" s="168">
        <f>SUMIF('CF(M)'!$L$10:$EQ$10,Y$6,'CF(M)'!$L96:$EQ96)</f>
        <v>0</v>
      </c>
      <c r="Z91" s="168">
        <f>SUMIF('CF(M)'!$L$10:$EQ$10,Z$6,'CF(M)'!$L96:$EQ96)</f>
        <v>0</v>
      </c>
      <c r="AA91" s="168">
        <f>SUMIF('CF(M)'!$L$10:$EQ$10,AA$6,'CF(M)'!$L96:$EQ96)</f>
        <v>0</v>
      </c>
      <c r="AB91" s="168">
        <f>SUMIF('CF(M)'!$L$10:$EQ$10,AB$6,'CF(M)'!$L96:$EQ96)</f>
        <v>0</v>
      </c>
      <c r="AC91" s="168">
        <f>SUMIF('CF(M)'!$L$10:$EQ$10,AC$6,'CF(M)'!$L96:$EQ96)</f>
        <v>0</v>
      </c>
      <c r="AD91" s="168">
        <f>SUMIF('CF(M)'!$L$10:$EQ$10,AD$6,'CF(M)'!$L96:$EQ96)</f>
        <v>0</v>
      </c>
      <c r="AE91" s="168">
        <f>SUMIF('CF(M)'!$L$10:$EQ$10,AE$6,'CF(M)'!$L96:$EQ96)</f>
        <v>0</v>
      </c>
      <c r="AF91" s="168">
        <f>SUMIF('CF(M)'!$L$10:$EQ$10,AF$6,'CF(M)'!$L96:$EQ96)</f>
        <v>0</v>
      </c>
      <c r="AG91" s="168">
        <f>SUMIF('CF(M)'!$L$10:$EQ$10,AG$6,'CF(M)'!$L96:$EQ96)</f>
        <v>0</v>
      </c>
      <c r="AH91" s="168">
        <f>SUMIF('CF(M)'!$L$10:$EQ$10,AH$6,'CF(M)'!$L96:$EQ96)</f>
        <v>0</v>
      </c>
      <c r="AI91" s="168">
        <f>SUMIF('CF(M)'!$L$10:$EQ$10,AI$6,'CF(M)'!$L96:$EQ96)</f>
        <v>0</v>
      </c>
      <c r="AJ91" s="168">
        <f>SUMIF('CF(M)'!$L$10:$EQ$10,AJ$6,'CF(M)'!$L96:$EQ96)</f>
        <v>0</v>
      </c>
      <c r="AK91" s="168">
        <f>SUMIF('CF(M)'!$L$10:$EQ$10,AK$6,'CF(M)'!$L96:$EQ96)</f>
        <v>0</v>
      </c>
      <c r="AL91" s="168">
        <f>SUMIF('CF(M)'!$L$10:$EQ$10,AL$6,'CF(M)'!$L96:$EQ96)</f>
        <v>0</v>
      </c>
      <c r="AM91" s="168">
        <f>SUMIF('CF(M)'!$L$10:$EQ$10,AM$6,'CF(M)'!$L96:$EQ96)</f>
        <v>0</v>
      </c>
      <c r="AN91" s="168">
        <f>SUMIF('CF(M)'!$L$10:$EQ$10,AN$6,'CF(M)'!$L96:$EQ96)</f>
        <v>0</v>
      </c>
      <c r="AO91" s="168">
        <f>SUMIF('CF(M)'!$L$10:$EQ$10,AO$6,'CF(M)'!$L96:$EQ96)</f>
        <v>0</v>
      </c>
      <c r="AP91" s="168">
        <f>SUMIF('CF(M)'!$L$10:$EQ$10,AP$6,'CF(M)'!$L96:$EQ96)</f>
        <v>0</v>
      </c>
      <c r="AQ91" s="168">
        <f>SUMIF('CF(M)'!$L$10:$EQ$10,AQ$6,'CF(M)'!$L96:$EQ96)</f>
        <v>0</v>
      </c>
      <c r="AR91" s="168">
        <f>SUMIF('CF(M)'!$L$10:$EQ$10,AR$6,'CF(M)'!$L96:$EQ96)</f>
        <v>0</v>
      </c>
      <c r="AS91" s="168">
        <f>SUMIF('CF(M)'!$L$10:$EQ$10,AS$6,'CF(M)'!$L96:$EQ96)</f>
        <v>0</v>
      </c>
      <c r="AT91" s="168">
        <f>SUMIF('CF(M)'!$L$10:$EQ$10,AT$6,'CF(M)'!$L96:$EQ96)</f>
        <v>0</v>
      </c>
      <c r="AU91" s="168">
        <f>SUMIF('CF(M)'!$L$10:$EQ$10,AU$6,'CF(M)'!$L96:$EQ96)</f>
        <v>0</v>
      </c>
      <c r="AV91" s="168">
        <f>SUMIF('CF(M)'!$L$10:$EQ$10,AV$6,'CF(M)'!$L96:$EQ96)</f>
        <v>0</v>
      </c>
      <c r="AW91" s="168">
        <f>SUMIF('CF(M)'!$L$10:$EQ$10,AW$6,'CF(M)'!$L96:$EQ96)</f>
        <v>0</v>
      </c>
      <c r="AX91" s="168">
        <f>SUMIF('CF(M)'!$L$10:$EQ$10,AX$6,'CF(M)'!$L96:$EQ96)</f>
        <v>0</v>
      </c>
      <c r="AY91" s="168">
        <f>SUMIF('CF(M)'!$L$10:$EQ$10,AY$6,'CF(M)'!$L96:$EQ96)</f>
        <v>0</v>
      </c>
      <c r="AZ91" s="168">
        <f>SUMIF('CF(M)'!$L$10:$EQ$10,AZ$6,'CF(M)'!$L96:$EQ96)</f>
        <v>0</v>
      </c>
      <c r="BA91" s="168">
        <f>SUMIF('CF(M)'!$L$10:$EQ$10,BA$6,'CF(M)'!$L96:$EQ96)</f>
        <v>0</v>
      </c>
      <c r="BB91" s="168">
        <f>SUMIF('CF(M)'!$L$10:$EQ$10,BB$6,'CF(M)'!$L96:$EQ96)</f>
        <v>0</v>
      </c>
      <c r="BC91" s="168">
        <f>SUMIF('CF(M)'!$L$10:$EQ$10,BC$6,'CF(M)'!$L96:$EQ96)</f>
        <v>0</v>
      </c>
      <c r="BD91" s="168">
        <f>SUMIF('CF(M)'!$L$10:$EQ$10,BD$6,'CF(M)'!$L96:$EQ96)</f>
        <v>0</v>
      </c>
      <c r="BE91" s="168">
        <f>SUMIF('CF(M)'!$L$10:$EQ$10,BE$6,'CF(M)'!$L96:$EQ96)</f>
        <v>0</v>
      </c>
      <c r="BF91" s="168">
        <f>SUMIF('CF(M)'!$L$10:$EQ$10,BF$6,'CF(M)'!$L96:$EQ96)</f>
        <v>0</v>
      </c>
      <c r="BG91" s="168">
        <f>SUMIF('CF(M)'!$L$10:$EQ$10,BG$6,'CF(M)'!$L96:$EQ96)</f>
        <v>0</v>
      </c>
      <c r="BH91" s="168">
        <f>SUMIF('CF(M)'!$L$10:$EQ$10,BH$6,'CF(M)'!$L96:$EQ96)</f>
        <v>0</v>
      </c>
      <c r="BI91" s="168">
        <f>SUMIF('CF(M)'!$L$10:$EQ$10,BI$6,'CF(M)'!$L96:$EQ96)</f>
        <v>0</v>
      </c>
      <c r="BJ91" s="168">
        <f>SUMIF('CF(M)'!$L$10:$EQ$10,BJ$6,'CF(M)'!$L96:$EQ96)</f>
        <v>0</v>
      </c>
      <c r="BK91" s="168">
        <f>SUMIF('CF(M)'!$L$10:$EQ$10,BK$6,'CF(M)'!$L96:$EQ96)</f>
        <v>0</v>
      </c>
      <c r="BL91" s="168">
        <f>SUMIF('CF(M)'!$L$10:$EQ$10,BL$6,'CF(M)'!$L96:$EQ96)</f>
        <v>0</v>
      </c>
      <c r="BM91" s="168">
        <f>SUMIF('CF(M)'!$L$10:$EQ$10,BM$6,'CF(M)'!$L96:$EQ96)</f>
        <v>0</v>
      </c>
      <c r="BN91" s="168">
        <f>SUMIF('CF(M)'!$L$10:$EQ$10,BN$6,'CF(M)'!$L96:$EQ96)</f>
        <v>0</v>
      </c>
      <c r="BO91" s="168">
        <f>SUMIF('CF(M)'!$L$10:$EQ$10,BO$6,'CF(M)'!$L96:$EQ96)</f>
        <v>0</v>
      </c>
      <c r="BP91" s="168">
        <f>SUMIF('CF(M)'!$L$10:$EQ$10,BP$6,'CF(M)'!$L96:$EQ96)</f>
        <v>0</v>
      </c>
      <c r="BQ91" s="168">
        <f>SUMIF('CF(M)'!$L$10:$EQ$10,BQ$6,'CF(M)'!$L96:$EQ96)</f>
        <v>0</v>
      </c>
      <c r="BR91" s="168">
        <f>SUMIF('CF(M)'!$L$10:$EQ$10,BR$6,'CF(M)'!$L96:$EQ96)</f>
        <v>0</v>
      </c>
      <c r="BS91" s="168">
        <f>SUMIF('CF(M)'!$L$10:$EQ$10,BS$6,'CF(M)'!$L96:$EQ96)</f>
        <v>0</v>
      </c>
      <c r="BT91" s="168">
        <f>SUMIF('CF(M)'!$L$10:$EQ$10,BT$6,'CF(M)'!$L96:$EQ96)</f>
        <v>0</v>
      </c>
      <c r="BU91" s="168">
        <f>SUMIF('CF(M)'!$L$10:$EQ$10,BU$6,'CF(M)'!$L96:$EQ96)</f>
        <v>0</v>
      </c>
      <c r="BV91" s="168">
        <f>SUMIF('CF(M)'!$L$10:$EQ$10,BV$6,'CF(M)'!$L96:$EQ96)</f>
        <v>0</v>
      </c>
      <c r="BW91" s="168">
        <f>SUMIF('CF(M)'!$L$10:$EQ$10,BW$6,'CF(M)'!$L96:$EQ96)</f>
        <v>0</v>
      </c>
      <c r="BX91" s="168">
        <f>SUMIF('CF(M)'!$L$10:$EQ$10,BX$6,'CF(M)'!$L96:$EQ96)</f>
        <v>0</v>
      </c>
      <c r="BY91" s="168">
        <f>SUMIF('CF(M)'!$L$10:$EQ$10,BY$6,'CF(M)'!$L96:$EQ96)</f>
        <v>0</v>
      </c>
      <c r="BZ91" s="168">
        <f>SUMIF('CF(M)'!$L$10:$EQ$10,BZ$6,'CF(M)'!$L96:$EQ96)</f>
        <v>0</v>
      </c>
      <c r="CA91" s="168">
        <f>SUMIF('CF(M)'!$L$10:$EQ$10,CA$6,'CF(M)'!$L96:$EQ96)</f>
        <v>0</v>
      </c>
      <c r="CB91" s="168">
        <f>SUMIF('CF(M)'!$L$10:$EQ$10,CB$6,'CF(M)'!$L96:$EQ96)</f>
        <v>0</v>
      </c>
      <c r="CC91" s="168">
        <f>SUMIF('CF(M)'!$L$10:$EQ$10,CC$6,'CF(M)'!$L96:$EQ96)</f>
        <v>0</v>
      </c>
      <c r="CD91" s="168">
        <f>SUMIF('CF(M)'!$L$10:$EQ$10,CD$6,'CF(M)'!$L96:$EQ96)</f>
        <v>0</v>
      </c>
      <c r="CE91" s="168">
        <f>SUMIF('CF(M)'!$L$10:$EQ$10,CE$6,'CF(M)'!$L96:$EQ96)</f>
        <v>0</v>
      </c>
      <c r="CF91" s="168">
        <f>SUMIF('CF(M)'!$L$10:$EQ$10,CF$6,'CF(M)'!$L96:$EQ96)</f>
        <v>0</v>
      </c>
      <c r="CG91" s="168">
        <f>SUMIF('CF(M)'!$L$10:$EQ$10,CG$6,'CF(M)'!$L96:$EQ96)</f>
        <v>0</v>
      </c>
      <c r="CH91" s="168">
        <f>SUMIF('CF(M)'!$L$10:$EQ$10,CH$6,'CF(M)'!$L96:$EQ96)</f>
        <v>0</v>
      </c>
      <c r="CI91" s="168">
        <f>SUMIF('CF(M)'!$L$10:$EQ$10,CI$6,'CF(M)'!$L96:$EQ96)</f>
        <v>0</v>
      </c>
      <c r="CJ91" s="168">
        <f>SUMIF('CF(M)'!$L$10:$EQ$10,CJ$6,'CF(M)'!$L96:$EQ96)</f>
        <v>0</v>
      </c>
      <c r="CK91" s="168">
        <f>SUMIF('CF(M)'!$L$10:$EQ$10,CK$6,'CF(M)'!$L96:$EQ96)</f>
        <v>0</v>
      </c>
      <c r="CL91" s="168">
        <f>SUMIF('CF(M)'!$L$10:$EQ$10,CL$6,'CF(M)'!$L96:$EQ96)</f>
        <v>0</v>
      </c>
      <c r="CM91" s="168">
        <f>SUMIF('CF(M)'!$L$10:$EQ$10,CM$6,'CF(M)'!$L96:$EQ96)</f>
        <v>0</v>
      </c>
      <c r="CN91" s="168">
        <f>SUMIF('CF(M)'!$L$10:$EQ$10,CN$6,'CF(M)'!$L96:$EQ96)</f>
        <v>0</v>
      </c>
      <c r="CO91" s="168">
        <f>SUMIF('CF(M)'!$L$10:$EQ$10,CO$6,'CF(M)'!$L96:$EQ96)</f>
        <v>0</v>
      </c>
      <c r="CP91" s="168">
        <f>SUMIF('CF(M)'!$L$10:$EQ$10,CP$6,'CF(M)'!$L96:$EQ96)</f>
        <v>0</v>
      </c>
      <c r="CQ91" s="168">
        <f>SUMIF('CF(M)'!$L$10:$EQ$10,CQ$6,'CF(M)'!$L96:$EQ96)</f>
        <v>0</v>
      </c>
      <c r="CR91" s="168">
        <f>SUMIF('CF(M)'!$L$10:$EQ$10,CR$6,'CF(M)'!$L96:$EQ96)</f>
        <v>0</v>
      </c>
      <c r="CS91" s="168">
        <f>SUMIF('CF(M)'!$L$10:$EQ$10,CS$6,'CF(M)'!$L96:$EQ96)</f>
        <v>0</v>
      </c>
      <c r="CT91" s="168">
        <f>SUMIF('CF(M)'!$L$10:$EQ$10,CT$6,'CF(M)'!$L96:$EQ96)</f>
        <v>0</v>
      </c>
      <c r="CU91" s="168">
        <f>SUMIF('CF(M)'!$L$10:$EQ$10,CU$6,'CF(M)'!$L96:$EQ96)</f>
        <v>0</v>
      </c>
      <c r="CV91" s="168">
        <f>SUMIF('CF(M)'!$L$10:$EQ$10,CV$6,'CF(M)'!$L96:$EQ96)</f>
        <v>0</v>
      </c>
      <c r="CW91" s="168">
        <f>SUMIF('CF(M)'!$L$10:$EQ$10,CW$6,'CF(M)'!$L96:$EQ96)</f>
        <v>0</v>
      </c>
      <c r="CX91" s="168">
        <f>SUMIF('CF(M)'!$L$10:$EQ$10,CX$6,'CF(M)'!$L96:$EQ96)</f>
        <v>0</v>
      </c>
      <c r="CY91" s="168">
        <f>SUMIF('CF(M)'!$L$10:$EQ$10,CY$6,'CF(M)'!$L96:$EQ96)</f>
        <v>0</v>
      </c>
      <c r="CZ91" s="168">
        <f>SUMIF('CF(M)'!$L$10:$EQ$10,CZ$6,'CF(M)'!$L96:$EQ96)</f>
        <v>0</v>
      </c>
      <c r="DA91" s="168">
        <f>SUMIF('CF(M)'!$L$10:$EQ$10,DA$6,'CF(M)'!$L96:$EQ96)</f>
        <v>0</v>
      </c>
      <c r="DB91" s="168">
        <f>SUMIF('CF(M)'!$L$10:$EQ$10,DB$6,'CF(M)'!$L96:$EQ96)</f>
        <v>0</v>
      </c>
      <c r="DC91" s="168">
        <f>SUMIF('CF(M)'!$L$10:$EQ$10,DC$6,'CF(M)'!$L96:$EQ96)</f>
        <v>0</v>
      </c>
      <c r="DD91" s="168">
        <f>SUMIF('CF(M)'!$L$10:$EQ$10,DD$6,'CF(M)'!$L96:$EQ96)</f>
        <v>0</v>
      </c>
      <c r="DE91" s="168">
        <f>SUMIF('CF(M)'!$L$10:$EQ$10,DE$6,'CF(M)'!$L96:$EQ96)</f>
        <v>0</v>
      </c>
      <c r="DF91" s="168">
        <f>SUMIF('CF(M)'!$L$10:$EQ$10,DF$6,'CF(M)'!$L96:$EQ96)</f>
        <v>0</v>
      </c>
      <c r="DG91" s="168">
        <f>SUMIF('CF(M)'!$L$10:$EQ$10,DG$6,'CF(M)'!$L96:$EQ96)</f>
        <v>0</v>
      </c>
      <c r="DH91" s="168">
        <f>SUMIF('CF(M)'!$L$10:$EQ$10,DH$6,'CF(M)'!$L96:$EQ96)</f>
        <v>0</v>
      </c>
      <c r="DI91" s="168">
        <f>SUMIF('CF(M)'!$L$10:$EQ$10,DI$6,'CF(M)'!$L96:$EQ96)</f>
        <v>0</v>
      </c>
      <c r="DJ91" s="168">
        <f>SUMIF('CF(M)'!$L$10:$EQ$10,DJ$6,'CF(M)'!$L96:$EQ96)</f>
        <v>0</v>
      </c>
      <c r="DK91" s="168">
        <f>SUMIF('CF(M)'!$L$10:$EQ$10,DK$6,'CF(M)'!$L96:$EQ96)</f>
        <v>0</v>
      </c>
      <c r="DL91" s="168">
        <f>SUMIF('CF(M)'!$L$10:$EQ$10,DL$6,'CF(M)'!$L96:$EQ96)</f>
        <v>0</v>
      </c>
      <c r="DM91" s="168">
        <f>SUMIF('CF(M)'!$L$10:$EQ$10,DM$6,'CF(M)'!$L96:$EQ96)</f>
        <v>0</v>
      </c>
      <c r="DN91" s="168">
        <f>SUMIF('CF(M)'!$L$10:$EQ$10,DN$6,'CF(M)'!$L96:$EQ96)</f>
        <v>0</v>
      </c>
      <c r="DO91" s="168">
        <f>SUMIF('CF(M)'!$L$10:$EQ$10,DO$6,'CF(M)'!$L96:$EQ96)</f>
        <v>0</v>
      </c>
      <c r="DP91" s="168">
        <f>SUMIF('CF(M)'!$L$10:$EQ$10,DP$6,'CF(M)'!$L96:$EQ96)</f>
        <v>0</v>
      </c>
      <c r="DQ91" s="168">
        <f>SUMIF('CF(M)'!$L$10:$EQ$10,DQ$6,'CF(M)'!$L96:$EQ96)</f>
        <v>0</v>
      </c>
      <c r="DR91" s="168">
        <f>SUMIF('CF(M)'!$L$10:$EQ$10,DR$6,'CF(M)'!$L96:$EQ96)</f>
        <v>0</v>
      </c>
      <c r="DS91" s="168">
        <f>SUMIF('CF(M)'!$L$10:$EQ$10,DS$6,'CF(M)'!$L96:$EQ96)</f>
        <v>0</v>
      </c>
      <c r="DT91" s="168">
        <f>SUMIF('CF(M)'!$L$10:$EQ$10,DT$6,'CF(M)'!$L96:$EQ96)</f>
        <v>0</v>
      </c>
      <c r="DU91" s="168">
        <f>SUMIF('CF(M)'!$L$10:$EQ$10,DU$6,'CF(M)'!$L96:$EQ96)</f>
        <v>0</v>
      </c>
      <c r="DV91" s="168">
        <f>SUMIF('CF(M)'!$L$10:$EQ$10,DV$6,'CF(M)'!$L96:$EQ96)</f>
        <v>0</v>
      </c>
    </row>
    <row r="92" spans="2:126" ht="11.25" customHeight="1">
      <c r="B92" s="218"/>
      <c r="C92" s="163"/>
      <c r="D92" s="169" t="s">
        <v>551</v>
      </c>
      <c r="H92" s="146"/>
      <c r="I92" s="229"/>
      <c r="J92" s="171">
        <f t="shared" si="44"/>
        <v>-24000000</v>
      </c>
      <c r="K92" s="98"/>
      <c r="L92" s="171">
        <f>SUMIF('CF(M)'!$L$10:$EQ$10,L$6,'CF(M)'!$L97:$EQ97)</f>
        <v>0</v>
      </c>
      <c r="M92" s="171">
        <f>SUMIF('CF(M)'!$L$10:$EQ$10,M$6,'CF(M)'!$L97:$EQ97)</f>
        <v>0</v>
      </c>
      <c r="N92" s="171">
        <f>SUMIF('CF(M)'!$L$10:$EQ$10,N$6,'CF(M)'!$L97:$EQ97)</f>
        <v>0</v>
      </c>
      <c r="O92" s="171">
        <f>SUMIF('CF(M)'!$L$10:$EQ$10,O$6,'CF(M)'!$L97:$EQ97)</f>
        <v>0</v>
      </c>
      <c r="P92" s="171">
        <f>SUMIF('CF(M)'!$L$10:$EQ$10,P$6,'CF(M)'!$L97:$EQ97)</f>
        <v>0</v>
      </c>
      <c r="Q92" s="171">
        <f>SUMIF('CF(M)'!$L$10:$EQ$10,Q$6,'CF(M)'!$L97:$EQ97)</f>
        <v>0</v>
      </c>
      <c r="R92" s="171">
        <f>SUMIF('CF(M)'!$L$10:$EQ$10,R$6,'CF(M)'!$L97:$EQ97)</f>
        <v>0</v>
      </c>
      <c r="S92" s="171">
        <f>SUMIF('CF(M)'!$L$10:$EQ$10,S$6,'CF(M)'!$L97:$EQ97)</f>
        <v>0</v>
      </c>
      <c r="T92" s="171">
        <f>SUMIF('CF(M)'!$L$10:$EQ$10,T$6,'CF(M)'!$L97:$EQ97)</f>
        <v>0</v>
      </c>
      <c r="U92" s="171">
        <f>SUMIF('CF(M)'!$L$10:$EQ$10,U$6,'CF(M)'!$L97:$EQ97)</f>
        <v>0</v>
      </c>
      <c r="V92" s="171">
        <f>SUMIF('CF(M)'!$L$10:$EQ$10,V$6,'CF(M)'!$L97:$EQ97)</f>
        <v>0</v>
      </c>
      <c r="W92" s="171">
        <f>SUMIF('CF(M)'!$L$10:$EQ$10,W$6,'CF(M)'!$L97:$EQ97)</f>
        <v>0</v>
      </c>
      <c r="X92" s="171">
        <f>SUMIF('CF(M)'!$L$10:$EQ$10,X$6,'CF(M)'!$L97:$EQ97)</f>
        <v>0</v>
      </c>
      <c r="Y92" s="171">
        <f>SUMIF('CF(M)'!$L$10:$EQ$10,Y$6,'CF(M)'!$L97:$EQ97)</f>
        <v>0</v>
      </c>
      <c r="Z92" s="171">
        <f>SUMIF('CF(M)'!$L$10:$EQ$10,Z$6,'CF(M)'!$L97:$EQ97)</f>
        <v>0</v>
      </c>
      <c r="AA92" s="171">
        <f>SUMIF('CF(M)'!$L$10:$EQ$10,AA$6,'CF(M)'!$L97:$EQ97)</f>
        <v>0</v>
      </c>
      <c r="AB92" s="171">
        <f>SUMIF('CF(M)'!$L$10:$EQ$10,AB$6,'CF(M)'!$L97:$EQ97)</f>
        <v>0</v>
      </c>
      <c r="AC92" s="171">
        <f>SUMIF('CF(M)'!$L$10:$EQ$10,AC$6,'CF(M)'!$L97:$EQ97)</f>
        <v>0</v>
      </c>
      <c r="AD92" s="171">
        <f>SUMIF('CF(M)'!$L$10:$EQ$10,AD$6,'CF(M)'!$L97:$EQ97)</f>
        <v>0</v>
      </c>
      <c r="AE92" s="171">
        <f>SUMIF('CF(M)'!$L$10:$EQ$10,AE$6,'CF(M)'!$L97:$EQ97)</f>
        <v>0</v>
      </c>
      <c r="AF92" s="171">
        <f>SUMIF('CF(M)'!$L$10:$EQ$10,AF$6,'CF(M)'!$L97:$EQ97)</f>
        <v>-24000000</v>
      </c>
      <c r="AG92" s="171">
        <f>SUMIF('CF(M)'!$L$10:$EQ$10,AG$6,'CF(M)'!$L97:$EQ97)</f>
        <v>0</v>
      </c>
      <c r="AH92" s="171">
        <f>SUMIF('CF(M)'!$L$10:$EQ$10,AH$6,'CF(M)'!$L97:$EQ97)</f>
        <v>0</v>
      </c>
      <c r="AI92" s="171">
        <f>SUMIF('CF(M)'!$L$10:$EQ$10,AI$6,'CF(M)'!$L97:$EQ97)</f>
        <v>0</v>
      </c>
      <c r="AJ92" s="171">
        <f>SUMIF('CF(M)'!$L$10:$EQ$10,AJ$6,'CF(M)'!$L97:$EQ97)</f>
        <v>0</v>
      </c>
      <c r="AK92" s="171">
        <f>SUMIF('CF(M)'!$L$10:$EQ$10,AK$6,'CF(M)'!$L97:$EQ97)</f>
        <v>0</v>
      </c>
      <c r="AL92" s="171">
        <f>SUMIF('CF(M)'!$L$10:$EQ$10,AL$6,'CF(M)'!$L97:$EQ97)</f>
        <v>0</v>
      </c>
      <c r="AM92" s="171">
        <f>SUMIF('CF(M)'!$L$10:$EQ$10,AM$6,'CF(M)'!$L97:$EQ97)</f>
        <v>0</v>
      </c>
      <c r="AN92" s="171">
        <f>SUMIF('CF(M)'!$L$10:$EQ$10,AN$6,'CF(M)'!$L97:$EQ97)</f>
        <v>0</v>
      </c>
      <c r="AO92" s="171">
        <f>SUMIF('CF(M)'!$L$10:$EQ$10,AO$6,'CF(M)'!$L97:$EQ97)</f>
        <v>0</v>
      </c>
      <c r="AP92" s="171">
        <f>SUMIF('CF(M)'!$L$10:$EQ$10,AP$6,'CF(M)'!$L97:$EQ97)</f>
        <v>0</v>
      </c>
      <c r="AQ92" s="171">
        <f>SUMIF('CF(M)'!$L$10:$EQ$10,AQ$6,'CF(M)'!$L97:$EQ97)</f>
        <v>0</v>
      </c>
      <c r="AR92" s="171">
        <f>SUMIF('CF(M)'!$L$10:$EQ$10,AR$6,'CF(M)'!$L97:$EQ97)</f>
        <v>0</v>
      </c>
      <c r="AS92" s="171">
        <f>SUMIF('CF(M)'!$L$10:$EQ$10,AS$6,'CF(M)'!$L97:$EQ97)</f>
        <v>0</v>
      </c>
      <c r="AT92" s="171">
        <f>SUMIF('CF(M)'!$L$10:$EQ$10,AT$6,'CF(M)'!$L97:$EQ97)</f>
        <v>0</v>
      </c>
      <c r="AU92" s="171">
        <f>SUMIF('CF(M)'!$L$10:$EQ$10,AU$6,'CF(M)'!$L97:$EQ97)</f>
        <v>0</v>
      </c>
      <c r="AV92" s="171">
        <f>SUMIF('CF(M)'!$L$10:$EQ$10,AV$6,'CF(M)'!$L97:$EQ97)</f>
        <v>0</v>
      </c>
      <c r="AW92" s="171">
        <f>SUMIF('CF(M)'!$L$10:$EQ$10,AW$6,'CF(M)'!$L97:$EQ97)</f>
        <v>0</v>
      </c>
      <c r="AX92" s="171">
        <f>SUMIF('CF(M)'!$L$10:$EQ$10,AX$6,'CF(M)'!$L97:$EQ97)</f>
        <v>0</v>
      </c>
      <c r="AY92" s="171">
        <f>SUMIF('CF(M)'!$L$10:$EQ$10,AY$6,'CF(M)'!$L97:$EQ97)</f>
        <v>0</v>
      </c>
      <c r="AZ92" s="171">
        <f>SUMIF('CF(M)'!$L$10:$EQ$10,AZ$6,'CF(M)'!$L97:$EQ97)</f>
        <v>0</v>
      </c>
      <c r="BA92" s="171">
        <f>SUMIF('CF(M)'!$L$10:$EQ$10,BA$6,'CF(M)'!$L97:$EQ97)</f>
        <v>0</v>
      </c>
      <c r="BB92" s="171">
        <f>SUMIF('CF(M)'!$L$10:$EQ$10,BB$6,'CF(M)'!$L97:$EQ97)</f>
        <v>0</v>
      </c>
      <c r="BC92" s="171">
        <f>SUMIF('CF(M)'!$L$10:$EQ$10,BC$6,'CF(M)'!$L97:$EQ97)</f>
        <v>0</v>
      </c>
      <c r="BD92" s="171">
        <f>SUMIF('CF(M)'!$L$10:$EQ$10,BD$6,'CF(M)'!$L97:$EQ97)</f>
        <v>0</v>
      </c>
      <c r="BE92" s="171">
        <f>SUMIF('CF(M)'!$L$10:$EQ$10,BE$6,'CF(M)'!$L97:$EQ97)</f>
        <v>0</v>
      </c>
      <c r="BF92" s="171">
        <f>SUMIF('CF(M)'!$L$10:$EQ$10,BF$6,'CF(M)'!$L97:$EQ97)</f>
        <v>0</v>
      </c>
      <c r="BG92" s="171">
        <f>SUMIF('CF(M)'!$L$10:$EQ$10,BG$6,'CF(M)'!$L97:$EQ97)</f>
        <v>0</v>
      </c>
      <c r="BH92" s="171">
        <f>SUMIF('CF(M)'!$L$10:$EQ$10,BH$6,'CF(M)'!$L97:$EQ97)</f>
        <v>0</v>
      </c>
      <c r="BI92" s="171">
        <f>SUMIF('CF(M)'!$L$10:$EQ$10,BI$6,'CF(M)'!$L97:$EQ97)</f>
        <v>0</v>
      </c>
      <c r="BJ92" s="171">
        <f>SUMIF('CF(M)'!$L$10:$EQ$10,BJ$6,'CF(M)'!$L97:$EQ97)</f>
        <v>0</v>
      </c>
      <c r="BK92" s="171">
        <f>SUMIF('CF(M)'!$L$10:$EQ$10,BK$6,'CF(M)'!$L97:$EQ97)</f>
        <v>0</v>
      </c>
      <c r="BL92" s="171">
        <f>SUMIF('CF(M)'!$L$10:$EQ$10,BL$6,'CF(M)'!$L97:$EQ97)</f>
        <v>0</v>
      </c>
      <c r="BM92" s="171">
        <f>SUMIF('CF(M)'!$L$10:$EQ$10,BM$6,'CF(M)'!$L97:$EQ97)</f>
        <v>0</v>
      </c>
      <c r="BN92" s="171">
        <f>SUMIF('CF(M)'!$L$10:$EQ$10,BN$6,'CF(M)'!$L97:$EQ97)</f>
        <v>0</v>
      </c>
      <c r="BO92" s="171">
        <f>SUMIF('CF(M)'!$L$10:$EQ$10,BO$6,'CF(M)'!$L97:$EQ97)</f>
        <v>0</v>
      </c>
      <c r="BP92" s="171">
        <f>SUMIF('CF(M)'!$L$10:$EQ$10,BP$6,'CF(M)'!$L97:$EQ97)</f>
        <v>0</v>
      </c>
      <c r="BQ92" s="171">
        <f>SUMIF('CF(M)'!$L$10:$EQ$10,BQ$6,'CF(M)'!$L97:$EQ97)</f>
        <v>0</v>
      </c>
      <c r="BR92" s="171">
        <f>SUMIF('CF(M)'!$L$10:$EQ$10,BR$6,'CF(M)'!$L97:$EQ97)</f>
        <v>0</v>
      </c>
      <c r="BS92" s="171">
        <f>SUMIF('CF(M)'!$L$10:$EQ$10,BS$6,'CF(M)'!$L97:$EQ97)</f>
        <v>0</v>
      </c>
      <c r="BT92" s="171">
        <f>SUMIF('CF(M)'!$L$10:$EQ$10,BT$6,'CF(M)'!$L97:$EQ97)</f>
        <v>0</v>
      </c>
      <c r="BU92" s="171">
        <f>SUMIF('CF(M)'!$L$10:$EQ$10,BU$6,'CF(M)'!$L97:$EQ97)</f>
        <v>0</v>
      </c>
      <c r="BV92" s="171">
        <f>SUMIF('CF(M)'!$L$10:$EQ$10,BV$6,'CF(M)'!$L97:$EQ97)</f>
        <v>0</v>
      </c>
      <c r="BW92" s="171">
        <f>SUMIF('CF(M)'!$L$10:$EQ$10,BW$6,'CF(M)'!$L97:$EQ97)</f>
        <v>0</v>
      </c>
      <c r="BX92" s="171">
        <f>SUMIF('CF(M)'!$L$10:$EQ$10,BX$6,'CF(M)'!$L97:$EQ97)</f>
        <v>0</v>
      </c>
      <c r="BY92" s="171">
        <f>SUMIF('CF(M)'!$L$10:$EQ$10,BY$6,'CF(M)'!$L97:$EQ97)</f>
        <v>0</v>
      </c>
      <c r="BZ92" s="171">
        <f>SUMIF('CF(M)'!$L$10:$EQ$10,BZ$6,'CF(M)'!$L97:$EQ97)</f>
        <v>0</v>
      </c>
      <c r="CA92" s="171">
        <f>SUMIF('CF(M)'!$L$10:$EQ$10,CA$6,'CF(M)'!$L97:$EQ97)</f>
        <v>0</v>
      </c>
      <c r="CB92" s="171">
        <f>SUMIF('CF(M)'!$L$10:$EQ$10,CB$6,'CF(M)'!$L97:$EQ97)</f>
        <v>0</v>
      </c>
      <c r="CC92" s="171">
        <f>SUMIF('CF(M)'!$L$10:$EQ$10,CC$6,'CF(M)'!$L97:$EQ97)</f>
        <v>0</v>
      </c>
      <c r="CD92" s="171">
        <f>SUMIF('CF(M)'!$L$10:$EQ$10,CD$6,'CF(M)'!$L97:$EQ97)</f>
        <v>0</v>
      </c>
      <c r="CE92" s="171">
        <f>SUMIF('CF(M)'!$L$10:$EQ$10,CE$6,'CF(M)'!$L97:$EQ97)</f>
        <v>0</v>
      </c>
      <c r="CF92" s="171">
        <f>SUMIF('CF(M)'!$L$10:$EQ$10,CF$6,'CF(M)'!$L97:$EQ97)</f>
        <v>0</v>
      </c>
      <c r="CG92" s="171">
        <f>SUMIF('CF(M)'!$L$10:$EQ$10,CG$6,'CF(M)'!$L97:$EQ97)</f>
        <v>0</v>
      </c>
      <c r="CH92" s="171">
        <f>SUMIF('CF(M)'!$L$10:$EQ$10,CH$6,'CF(M)'!$L97:$EQ97)</f>
        <v>0</v>
      </c>
      <c r="CI92" s="171">
        <f>SUMIF('CF(M)'!$L$10:$EQ$10,CI$6,'CF(M)'!$L97:$EQ97)</f>
        <v>0</v>
      </c>
      <c r="CJ92" s="171">
        <f>SUMIF('CF(M)'!$L$10:$EQ$10,CJ$6,'CF(M)'!$L97:$EQ97)</f>
        <v>0</v>
      </c>
      <c r="CK92" s="171">
        <f>SUMIF('CF(M)'!$L$10:$EQ$10,CK$6,'CF(M)'!$L97:$EQ97)</f>
        <v>0</v>
      </c>
      <c r="CL92" s="171">
        <f>SUMIF('CF(M)'!$L$10:$EQ$10,CL$6,'CF(M)'!$L97:$EQ97)</f>
        <v>0</v>
      </c>
      <c r="CM92" s="171">
        <f>SUMIF('CF(M)'!$L$10:$EQ$10,CM$6,'CF(M)'!$L97:$EQ97)</f>
        <v>0</v>
      </c>
      <c r="CN92" s="171">
        <f>SUMIF('CF(M)'!$L$10:$EQ$10,CN$6,'CF(M)'!$L97:$EQ97)</f>
        <v>0</v>
      </c>
      <c r="CO92" s="171">
        <f>SUMIF('CF(M)'!$L$10:$EQ$10,CO$6,'CF(M)'!$L97:$EQ97)</f>
        <v>0</v>
      </c>
      <c r="CP92" s="171">
        <f>SUMIF('CF(M)'!$L$10:$EQ$10,CP$6,'CF(M)'!$L97:$EQ97)</f>
        <v>0</v>
      </c>
      <c r="CQ92" s="171">
        <f>SUMIF('CF(M)'!$L$10:$EQ$10,CQ$6,'CF(M)'!$L97:$EQ97)</f>
        <v>0</v>
      </c>
      <c r="CR92" s="171">
        <f>SUMIF('CF(M)'!$L$10:$EQ$10,CR$6,'CF(M)'!$L97:$EQ97)</f>
        <v>0</v>
      </c>
      <c r="CS92" s="171">
        <f>SUMIF('CF(M)'!$L$10:$EQ$10,CS$6,'CF(M)'!$L97:$EQ97)</f>
        <v>0</v>
      </c>
      <c r="CT92" s="171">
        <f>SUMIF('CF(M)'!$L$10:$EQ$10,CT$6,'CF(M)'!$L97:$EQ97)</f>
        <v>0</v>
      </c>
      <c r="CU92" s="171">
        <f>SUMIF('CF(M)'!$L$10:$EQ$10,CU$6,'CF(M)'!$L97:$EQ97)</f>
        <v>0</v>
      </c>
      <c r="CV92" s="171">
        <f>SUMIF('CF(M)'!$L$10:$EQ$10,CV$6,'CF(M)'!$L97:$EQ97)</f>
        <v>0</v>
      </c>
      <c r="CW92" s="171">
        <f>SUMIF('CF(M)'!$L$10:$EQ$10,CW$6,'CF(M)'!$L97:$EQ97)</f>
        <v>0</v>
      </c>
      <c r="CX92" s="171">
        <f>SUMIF('CF(M)'!$L$10:$EQ$10,CX$6,'CF(M)'!$L97:$EQ97)</f>
        <v>0</v>
      </c>
      <c r="CY92" s="171">
        <f>SUMIF('CF(M)'!$L$10:$EQ$10,CY$6,'CF(M)'!$L97:$EQ97)</f>
        <v>0</v>
      </c>
      <c r="CZ92" s="171">
        <f>SUMIF('CF(M)'!$L$10:$EQ$10,CZ$6,'CF(M)'!$L97:$EQ97)</f>
        <v>0</v>
      </c>
      <c r="DA92" s="171">
        <f>SUMIF('CF(M)'!$L$10:$EQ$10,DA$6,'CF(M)'!$L97:$EQ97)</f>
        <v>0</v>
      </c>
      <c r="DB92" s="171">
        <f>SUMIF('CF(M)'!$L$10:$EQ$10,DB$6,'CF(M)'!$L97:$EQ97)</f>
        <v>0</v>
      </c>
      <c r="DC92" s="171">
        <f>SUMIF('CF(M)'!$L$10:$EQ$10,DC$6,'CF(M)'!$L97:$EQ97)</f>
        <v>0</v>
      </c>
      <c r="DD92" s="171">
        <f>SUMIF('CF(M)'!$L$10:$EQ$10,DD$6,'CF(M)'!$L97:$EQ97)</f>
        <v>0</v>
      </c>
      <c r="DE92" s="171">
        <f>SUMIF('CF(M)'!$L$10:$EQ$10,DE$6,'CF(M)'!$L97:$EQ97)</f>
        <v>0</v>
      </c>
      <c r="DF92" s="171">
        <f>SUMIF('CF(M)'!$L$10:$EQ$10,DF$6,'CF(M)'!$L97:$EQ97)</f>
        <v>0</v>
      </c>
      <c r="DG92" s="171">
        <f>SUMIF('CF(M)'!$L$10:$EQ$10,DG$6,'CF(M)'!$L97:$EQ97)</f>
        <v>0</v>
      </c>
      <c r="DH92" s="171">
        <f>SUMIF('CF(M)'!$L$10:$EQ$10,DH$6,'CF(M)'!$L97:$EQ97)</f>
        <v>0</v>
      </c>
      <c r="DI92" s="171">
        <f>SUMIF('CF(M)'!$L$10:$EQ$10,DI$6,'CF(M)'!$L97:$EQ97)</f>
        <v>0</v>
      </c>
      <c r="DJ92" s="171">
        <f>SUMIF('CF(M)'!$L$10:$EQ$10,DJ$6,'CF(M)'!$L97:$EQ97)</f>
        <v>0</v>
      </c>
      <c r="DK92" s="171">
        <f>SUMIF('CF(M)'!$L$10:$EQ$10,DK$6,'CF(M)'!$L97:$EQ97)</f>
        <v>0</v>
      </c>
      <c r="DL92" s="171">
        <f>SUMIF('CF(M)'!$L$10:$EQ$10,DL$6,'CF(M)'!$L97:$EQ97)</f>
        <v>0</v>
      </c>
      <c r="DM92" s="171">
        <f>SUMIF('CF(M)'!$L$10:$EQ$10,DM$6,'CF(M)'!$L97:$EQ97)</f>
        <v>0</v>
      </c>
      <c r="DN92" s="171">
        <f>SUMIF('CF(M)'!$L$10:$EQ$10,DN$6,'CF(M)'!$L97:$EQ97)</f>
        <v>0</v>
      </c>
      <c r="DO92" s="171">
        <f>SUMIF('CF(M)'!$L$10:$EQ$10,DO$6,'CF(M)'!$L97:$EQ97)</f>
        <v>0</v>
      </c>
      <c r="DP92" s="171">
        <f>SUMIF('CF(M)'!$L$10:$EQ$10,DP$6,'CF(M)'!$L97:$EQ97)</f>
        <v>0</v>
      </c>
      <c r="DQ92" s="171">
        <f>SUMIF('CF(M)'!$L$10:$EQ$10,DQ$6,'CF(M)'!$L97:$EQ97)</f>
        <v>0</v>
      </c>
      <c r="DR92" s="171">
        <f>SUMIF('CF(M)'!$L$10:$EQ$10,DR$6,'CF(M)'!$L97:$EQ97)</f>
        <v>0</v>
      </c>
      <c r="DS92" s="171">
        <f>SUMIF('CF(M)'!$L$10:$EQ$10,DS$6,'CF(M)'!$L97:$EQ97)</f>
        <v>0</v>
      </c>
      <c r="DT92" s="171">
        <f>SUMIF('CF(M)'!$L$10:$EQ$10,DT$6,'CF(M)'!$L97:$EQ97)</f>
        <v>0</v>
      </c>
      <c r="DU92" s="171">
        <f>SUMIF('CF(M)'!$L$10:$EQ$10,DU$6,'CF(M)'!$L97:$EQ97)</f>
        <v>0</v>
      </c>
      <c r="DV92" s="171">
        <f>SUMIF('CF(M)'!$L$10:$EQ$10,DV$6,'CF(M)'!$L97:$EQ97)</f>
        <v>0</v>
      </c>
    </row>
    <row r="93" spans="2:126" ht="11.25" customHeight="1">
      <c r="B93" s="218"/>
      <c r="C93" s="163"/>
      <c r="D93" s="169" t="s">
        <v>261</v>
      </c>
      <c r="H93" s="146"/>
      <c r="I93" s="229"/>
      <c r="J93" s="171">
        <f t="shared" ca="1" si="44"/>
        <v>-16800000.000000004</v>
      </c>
      <c r="K93" s="98"/>
      <c r="L93" s="171">
        <f ca="1">SUMIF('CF(M)'!$L$10:$EQ$10,L$6,'CF(M)'!$L98:$EQ98)</f>
        <v>0</v>
      </c>
      <c r="M93" s="171">
        <f ca="1">SUMIF('CF(M)'!$L$10:$EQ$10,M$6,'CF(M)'!$L98:$EQ98)</f>
        <v>-840000.00000000012</v>
      </c>
      <c r="N93" s="171">
        <f ca="1">SUMIF('CF(M)'!$L$10:$EQ$10,N$6,'CF(M)'!$L98:$EQ98)</f>
        <v>-840000.00000000012</v>
      </c>
      <c r="O93" s="171">
        <f ca="1">SUMIF('CF(M)'!$L$10:$EQ$10,O$6,'CF(M)'!$L98:$EQ98)</f>
        <v>-840000.00000000012</v>
      </c>
      <c r="P93" s="171">
        <f ca="1">SUMIF('CF(M)'!$L$10:$EQ$10,P$6,'CF(M)'!$L98:$EQ98)</f>
        <v>-840000.00000000012</v>
      </c>
      <c r="Q93" s="171">
        <f ca="1">SUMIF('CF(M)'!$L$10:$EQ$10,Q$6,'CF(M)'!$L98:$EQ98)</f>
        <v>-840000.00000000012</v>
      </c>
      <c r="R93" s="171">
        <f ca="1">SUMIF('CF(M)'!$L$10:$EQ$10,R$6,'CF(M)'!$L98:$EQ98)</f>
        <v>-840000.00000000012</v>
      </c>
      <c r="S93" s="171">
        <f ca="1">SUMIF('CF(M)'!$L$10:$EQ$10,S$6,'CF(M)'!$L98:$EQ98)</f>
        <v>-840000.00000000012</v>
      </c>
      <c r="T93" s="171">
        <f ca="1">SUMIF('CF(M)'!$L$10:$EQ$10,T$6,'CF(M)'!$L98:$EQ98)</f>
        <v>-840000.00000000012</v>
      </c>
      <c r="U93" s="171">
        <f ca="1">SUMIF('CF(M)'!$L$10:$EQ$10,U$6,'CF(M)'!$L98:$EQ98)</f>
        <v>-840000.00000000012</v>
      </c>
      <c r="V93" s="171">
        <f ca="1">SUMIF('CF(M)'!$L$10:$EQ$10,V$6,'CF(M)'!$L98:$EQ98)</f>
        <v>-840000.00000000012</v>
      </c>
      <c r="W93" s="171">
        <f ca="1">SUMIF('CF(M)'!$L$10:$EQ$10,W$6,'CF(M)'!$L98:$EQ98)</f>
        <v>-840000.00000000012</v>
      </c>
      <c r="X93" s="171">
        <f ca="1">SUMIF('CF(M)'!$L$10:$EQ$10,X$6,'CF(M)'!$L98:$EQ98)</f>
        <v>-840000.00000000012</v>
      </c>
      <c r="Y93" s="171">
        <f ca="1">SUMIF('CF(M)'!$L$10:$EQ$10,Y$6,'CF(M)'!$L98:$EQ98)</f>
        <v>-840000.00000000012</v>
      </c>
      <c r="Z93" s="171">
        <f ca="1">SUMIF('CF(M)'!$L$10:$EQ$10,Z$6,'CF(M)'!$L98:$EQ98)</f>
        <v>-840000.00000000012</v>
      </c>
      <c r="AA93" s="171">
        <f ca="1">SUMIF('CF(M)'!$L$10:$EQ$10,AA$6,'CF(M)'!$L98:$EQ98)</f>
        <v>-840000.00000000012</v>
      </c>
      <c r="AB93" s="171">
        <f ca="1">SUMIF('CF(M)'!$L$10:$EQ$10,AB$6,'CF(M)'!$L98:$EQ98)</f>
        <v>-840000.00000000012</v>
      </c>
      <c r="AC93" s="171">
        <f ca="1">SUMIF('CF(M)'!$L$10:$EQ$10,AC$6,'CF(M)'!$L98:$EQ98)</f>
        <v>-840000.00000000012</v>
      </c>
      <c r="AD93" s="171">
        <f ca="1">SUMIF('CF(M)'!$L$10:$EQ$10,AD$6,'CF(M)'!$L98:$EQ98)</f>
        <v>-840000.00000000012</v>
      </c>
      <c r="AE93" s="171">
        <f ca="1">SUMIF('CF(M)'!$L$10:$EQ$10,AE$6,'CF(M)'!$L98:$EQ98)</f>
        <v>-840000.00000000012</v>
      </c>
      <c r="AF93" s="171">
        <f ca="1">SUMIF('CF(M)'!$L$10:$EQ$10,AF$6,'CF(M)'!$L98:$EQ98)</f>
        <v>-840000.00000000012</v>
      </c>
      <c r="AG93" s="171">
        <f ca="1">SUMIF('CF(M)'!$L$10:$EQ$10,AG$6,'CF(M)'!$L98:$EQ98)</f>
        <v>0</v>
      </c>
      <c r="AH93" s="171">
        <f ca="1">SUMIF('CF(M)'!$L$10:$EQ$10,AH$6,'CF(M)'!$L98:$EQ98)</f>
        <v>0</v>
      </c>
      <c r="AI93" s="171">
        <f ca="1">SUMIF('CF(M)'!$L$10:$EQ$10,AI$6,'CF(M)'!$L98:$EQ98)</f>
        <v>0</v>
      </c>
      <c r="AJ93" s="171">
        <f>SUMIF('CF(M)'!$L$10:$EQ$10,AJ$6,'CF(M)'!$L98:$EQ98)</f>
        <v>0</v>
      </c>
      <c r="AK93" s="171">
        <f>SUMIF('CF(M)'!$L$10:$EQ$10,AK$6,'CF(M)'!$L98:$EQ98)</f>
        <v>0</v>
      </c>
      <c r="AL93" s="171">
        <f>SUMIF('CF(M)'!$L$10:$EQ$10,AL$6,'CF(M)'!$L98:$EQ98)</f>
        <v>0</v>
      </c>
      <c r="AM93" s="171">
        <f>SUMIF('CF(M)'!$L$10:$EQ$10,AM$6,'CF(M)'!$L98:$EQ98)</f>
        <v>0</v>
      </c>
      <c r="AN93" s="171">
        <f>SUMIF('CF(M)'!$L$10:$EQ$10,AN$6,'CF(M)'!$L98:$EQ98)</f>
        <v>0</v>
      </c>
      <c r="AO93" s="171">
        <f>SUMIF('CF(M)'!$L$10:$EQ$10,AO$6,'CF(M)'!$L98:$EQ98)</f>
        <v>0</v>
      </c>
      <c r="AP93" s="171">
        <f>SUMIF('CF(M)'!$L$10:$EQ$10,AP$6,'CF(M)'!$L98:$EQ98)</f>
        <v>0</v>
      </c>
      <c r="AQ93" s="171">
        <f>SUMIF('CF(M)'!$L$10:$EQ$10,AQ$6,'CF(M)'!$L98:$EQ98)</f>
        <v>0</v>
      </c>
      <c r="AR93" s="171">
        <f>SUMIF('CF(M)'!$L$10:$EQ$10,AR$6,'CF(M)'!$L98:$EQ98)</f>
        <v>0</v>
      </c>
      <c r="AS93" s="171">
        <f>SUMIF('CF(M)'!$L$10:$EQ$10,AS$6,'CF(M)'!$L98:$EQ98)</f>
        <v>0</v>
      </c>
      <c r="AT93" s="171">
        <f>SUMIF('CF(M)'!$L$10:$EQ$10,AT$6,'CF(M)'!$L98:$EQ98)</f>
        <v>0</v>
      </c>
      <c r="AU93" s="171">
        <f>SUMIF('CF(M)'!$L$10:$EQ$10,AU$6,'CF(M)'!$L98:$EQ98)</f>
        <v>0</v>
      </c>
      <c r="AV93" s="171">
        <f>SUMIF('CF(M)'!$L$10:$EQ$10,AV$6,'CF(M)'!$L98:$EQ98)</f>
        <v>0</v>
      </c>
      <c r="AW93" s="171">
        <f>SUMIF('CF(M)'!$L$10:$EQ$10,AW$6,'CF(M)'!$L98:$EQ98)</f>
        <v>0</v>
      </c>
      <c r="AX93" s="171">
        <f>SUMIF('CF(M)'!$L$10:$EQ$10,AX$6,'CF(M)'!$L98:$EQ98)</f>
        <v>0</v>
      </c>
      <c r="AY93" s="171">
        <f>SUMIF('CF(M)'!$L$10:$EQ$10,AY$6,'CF(M)'!$L98:$EQ98)</f>
        <v>0</v>
      </c>
      <c r="AZ93" s="171">
        <f>SUMIF('CF(M)'!$L$10:$EQ$10,AZ$6,'CF(M)'!$L98:$EQ98)</f>
        <v>0</v>
      </c>
      <c r="BA93" s="171">
        <f>SUMIF('CF(M)'!$L$10:$EQ$10,BA$6,'CF(M)'!$L98:$EQ98)</f>
        <v>0</v>
      </c>
      <c r="BB93" s="171">
        <f>SUMIF('CF(M)'!$L$10:$EQ$10,BB$6,'CF(M)'!$L98:$EQ98)</f>
        <v>0</v>
      </c>
      <c r="BC93" s="171">
        <f>SUMIF('CF(M)'!$L$10:$EQ$10,BC$6,'CF(M)'!$L98:$EQ98)</f>
        <v>0</v>
      </c>
      <c r="BD93" s="171">
        <f>SUMIF('CF(M)'!$L$10:$EQ$10,BD$6,'CF(M)'!$L98:$EQ98)</f>
        <v>0</v>
      </c>
      <c r="BE93" s="171">
        <f>SUMIF('CF(M)'!$L$10:$EQ$10,BE$6,'CF(M)'!$L98:$EQ98)</f>
        <v>0</v>
      </c>
      <c r="BF93" s="171">
        <f>SUMIF('CF(M)'!$L$10:$EQ$10,BF$6,'CF(M)'!$L98:$EQ98)</f>
        <v>0</v>
      </c>
      <c r="BG93" s="171">
        <f>SUMIF('CF(M)'!$L$10:$EQ$10,BG$6,'CF(M)'!$L98:$EQ98)</f>
        <v>0</v>
      </c>
      <c r="BH93" s="171">
        <f>SUMIF('CF(M)'!$L$10:$EQ$10,BH$6,'CF(M)'!$L98:$EQ98)</f>
        <v>0</v>
      </c>
      <c r="BI93" s="171">
        <f>SUMIF('CF(M)'!$L$10:$EQ$10,BI$6,'CF(M)'!$L98:$EQ98)</f>
        <v>0</v>
      </c>
      <c r="BJ93" s="171">
        <f>SUMIF('CF(M)'!$L$10:$EQ$10,BJ$6,'CF(M)'!$L98:$EQ98)</f>
        <v>0</v>
      </c>
      <c r="BK93" s="171">
        <f>SUMIF('CF(M)'!$L$10:$EQ$10,BK$6,'CF(M)'!$L98:$EQ98)</f>
        <v>0</v>
      </c>
      <c r="BL93" s="171">
        <f>SUMIF('CF(M)'!$L$10:$EQ$10,BL$6,'CF(M)'!$L98:$EQ98)</f>
        <v>0</v>
      </c>
      <c r="BM93" s="171">
        <f>SUMIF('CF(M)'!$L$10:$EQ$10,BM$6,'CF(M)'!$L98:$EQ98)</f>
        <v>0</v>
      </c>
      <c r="BN93" s="171">
        <f>SUMIF('CF(M)'!$L$10:$EQ$10,BN$6,'CF(M)'!$L98:$EQ98)</f>
        <v>0</v>
      </c>
      <c r="BO93" s="171">
        <f>SUMIF('CF(M)'!$L$10:$EQ$10,BO$6,'CF(M)'!$L98:$EQ98)</f>
        <v>0</v>
      </c>
      <c r="BP93" s="171">
        <f>SUMIF('CF(M)'!$L$10:$EQ$10,BP$6,'CF(M)'!$L98:$EQ98)</f>
        <v>0</v>
      </c>
      <c r="BQ93" s="171">
        <f>SUMIF('CF(M)'!$L$10:$EQ$10,BQ$6,'CF(M)'!$L98:$EQ98)</f>
        <v>0</v>
      </c>
      <c r="BR93" s="171">
        <f>SUMIF('CF(M)'!$L$10:$EQ$10,BR$6,'CF(M)'!$L98:$EQ98)</f>
        <v>0</v>
      </c>
      <c r="BS93" s="171">
        <f>SUMIF('CF(M)'!$L$10:$EQ$10,BS$6,'CF(M)'!$L98:$EQ98)</f>
        <v>0</v>
      </c>
      <c r="BT93" s="171">
        <f>SUMIF('CF(M)'!$L$10:$EQ$10,BT$6,'CF(M)'!$L98:$EQ98)</f>
        <v>0</v>
      </c>
      <c r="BU93" s="171">
        <f>SUMIF('CF(M)'!$L$10:$EQ$10,BU$6,'CF(M)'!$L98:$EQ98)</f>
        <v>0</v>
      </c>
      <c r="BV93" s="171">
        <f>SUMIF('CF(M)'!$L$10:$EQ$10,BV$6,'CF(M)'!$L98:$EQ98)</f>
        <v>0</v>
      </c>
      <c r="BW93" s="171">
        <f>SUMIF('CF(M)'!$L$10:$EQ$10,BW$6,'CF(M)'!$L98:$EQ98)</f>
        <v>0</v>
      </c>
      <c r="BX93" s="171">
        <f>SUMIF('CF(M)'!$L$10:$EQ$10,BX$6,'CF(M)'!$L98:$EQ98)</f>
        <v>0</v>
      </c>
      <c r="BY93" s="171">
        <f>SUMIF('CF(M)'!$L$10:$EQ$10,BY$6,'CF(M)'!$L98:$EQ98)</f>
        <v>0</v>
      </c>
      <c r="BZ93" s="171">
        <f>SUMIF('CF(M)'!$L$10:$EQ$10,BZ$6,'CF(M)'!$L98:$EQ98)</f>
        <v>0</v>
      </c>
      <c r="CA93" s="171">
        <f>SUMIF('CF(M)'!$L$10:$EQ$10,CA$6,'CF(M)'!$L98:$EQ98)</f>
        <v>0</v>
      </c>
      <c r="CB93" s="171">
        <f>SUMIF('CF(M)'!$L$10:$EQ$10,CB$6,'CF(M)'!$L98:$EQ98)</f>
        <v>0</v>
      </c>
      <c r="CC93" s="171">
        <f>SUMIF('CF(M)'!$L$10:$EQ$10,CC$6,'CF(M)'!$L98:$EQ98)</f>
        <v>0</v>
      </c>
      <c r="CD93" s="171">
        <f>SUMIF('CF(M)'!$L$10:$EQ$10,CD$6,'CF(M)'!$L98:$EQ98)</f>
        <v>0</v>
      </c>
      <c r="CE93" s="171">
        <f>SUMIF('CF(M)'!$L$10:$EQ$10,CE$6,'CF(M)'!$L98:$EQ98)</f>
        <v>0</v>
      </c>
      <c r="CF93" s="171">
        <f>SUMIF('CF(M)'!$L$10:$EQ$10,CF$6,'CF(M)'!$L98:$EQ98)</f>
        <v>0</v>
      </c>
      <c r="CG93" s="171">
        <f>SUMIF('CF(M)'!$L$10:$EQ$10,CG$6,'CF(M)'!$L98:$EQ98)</f>
        <v>0</v>
      </c>
      <c r="CH93" s="171">
        <f>SUMIF('CF(M)'!$L$10:$EQ$10,CH$6,'CF(M)'!$L98:$EQ98)</f>
        <v>0</v>
      </c>
      <c r="CI93" s="171">
        <f>SUMIF('CF(M)'!$L$10:$EQ$10,CI$6,'CF(M)'!$L98:$EQ98)</f>
        <v>0</v>
      </c>
      <c r="CJ93" s="171">
        <f>SUMIF('CF(M)'!$L$10:$EQ$10,CJ$6,'CF(M)'!$L98:$EQ98)</f>
        <v>0</v>
      </c>
      <c r="CK93" s="171">
        <f>SUMIF('CF(M)'!$L$10:$EQ$10,CK$6,'CF(M)'!$L98:$EQ98)</f>
        <v>0</v>
      </c>
      <c r="CL93" s="171">
        <f>SUMIF('CF(M)'!$L$10:$EQ$10,CL$6,'CF(M)'!$L98:$EQ98)</f>
        <v>0</v>
      </c>
      <c r="CM93" s="171">
        <f>SUMIF('CF(M)'!$L$10:$EQ$10,CM$6,'CF(M)'!$L98:$EQ98)</f>
        <v>0</v>
      </c>
      <c r="CN93" s="171">
        <f>SUMIF('CF(M)'!$L$10:$EQ$10,CN$6,'CF(M)'!$L98:$EQ98)</f>
        <v>0</v>
      </c>
      <c r="CO93" s="171">
        <f>SUMIF('CF(M)'!$L$10:$EQ$10,CO$6,'CF(M)'!$L98:$EQ98)</f>
        <v>0</v>
      </c>
      <c r="CP93" s="171">
        <f>SUMIF('CF(M)'!$L$10:$EQ$10,CP$6,'CF(M)'!$L98:$EQ98)</f>
        <v>0</v>
      </c>
      <c r="CQ93" s="171">
        <f>SUMIF('CF(M)'!$L$10:$EQ$10,CQ$6,'CF(M)'!$L98:$EQ98)</f>
        <v>0</v>
      </c>
      <c r="CR93" s="171">
        <f>SUMIF('CF(M)'!$L$10:$EQ$10,CR$6,'CF(M)'!$L98:$EQ98)</f>
        <v>0</v>
      </c>
      <c r="CS93" s="171">
        <f>SUMIF('CF(M)'!$L$10:$EQ$10,CS$6,'CF(M)'!$L98:$EQ98)</f>
        <v>0</v>
      </c>
      <c r="CT93" s="171">
        <f>SUMIF('CF(M)'!$L$10:$EQ$10,CT$6,'CF(M)'!$L98:$EQ98)</f>
        <v>0</v>
      </c>
      <c r="CU93" s="171">
        <f>SUMIF('CF(M)'!$L$10:$EQ$10,CU$6,'CF(M)'!$L98:$EQ98)</f>
        <v>0</v>
      </c>
      <c r="CV93" s="171">
        <f>SUMIF('CF(M)'!$L$10:$EQ$10,CV$6,'CF(M)'!$L98:$EQ98)</f>
        <v>0</v>
      </c>
      <c r="CW93" s="171">
        <f>SUMIF('CF(M)'!$L$10:$EQ$10,CW$6,'CF(M)'!$L98:$EQ98)</f>
        <v>0</v>
      </c>
      <c r="CX93" s="171">
        <f>SUMIF('CF(M)'!$L$10:$EQ$10,CX$6,'CF(M)'!$L98:$EQ98)</f>
        <v>0</v>
      </c>
      <c r="CY93" s="171">
        <f>SUMIF('CF(M)'!$L$10:$EQ$10,CY$6,'CF(M)'!$L98:$EQ98)</f>
        <v>0</v>
      </c>
      <c r="CZ93" s="171">
        <f>SUMIF('CF(M)'!$L$10:$EQ$10,CZ$6,'CF(M)'!$L98:$EQ98)</f>
        <v>0</v>
      </c>
      <c r="DA93" s="171">
        <f>SUMIF('CF(M)'!$L$10:$EQ$10,DA$6,'CF(M)'!$L98:$EQ98)</f>
        <v>0</v>
      </c>
      <c r="DB93" s="171">
        <f>SUMIF('CF(M)'!$L$10:$EQ$10,DB$6,'CF(M)'!$L98:$EQ98)</f>
        <v>0</v>
      </c>
      <c r="DC93" s="171">
        <f>SUMIF('CF(M)'!$L$10:$EQ$10,DC$6,'CF(M)'!$L98:$EQ98)</f>
        <v>0</v>
      </c>
      <c r="DD93" s="171">
        <f>SUMIF('CF(M)'!$L$10:$EQ$10,DD$6,'CF(M)'!$L98:$EQ98)</f>
        <v>0</v>
      </c>
      <c r="DE93" s="171">
        <f>SUMIF('CF(M)'!$L$10:$EQ$10,DE$6,'CF(M)'!$L98:$EQ98)</f>
        <v>0</v>
      </c>
      <c r="DF93" s="171">
        <f>SUMIF('CF(M)'!$L$10:$EQ$10,DF$6,'CF(M)'!$L98:$EQ98)</f>
        <v>0</v>
      </c>
      <c r="DG93" s="171">
        <f>SUMIF('CF(M)'!$L$10:$EQ$10,DG$6,'CF(M)'!$L98:$EQ98)</f>
        <v>0</v>
      </c>
      <c r="DH93" s="171">
        <f>SUMIF('CF(M)'!$L$10:$EQ$10,DH$6,'CF(M)'!$L98:$EQ98)</f>
        <v>0</v>
      </c>
      <c r="DI93" s="171">
        <f>SUMIF('CF(M)'!$L$10:$EQ$10,DI$6,'CF(M)'!$L98:$EQ98)</f>
        <v>0</v>
      </c>
      <c r="DJ93" s="171">
        <f>SUMIF('CF(M)'!$L$10:$EQ$10,DJ$6,'CF(M)'!$L98:$EQ98)</f>
        <v>0</v>
      </c>
      <c r="DK93" s="171">
        <f>SUMIF('CF(M)'!$L$10:$EQ$10,DK$6,'CF(M)'!$L98:$EQ98)</f>
        <v>0</v>
      </c>
      <c r="DL93" s="171">
        <f>SUMIF('CF(M)'!$L$10:$EQ$10,DL$6,'CF(M)'!$L98:$EQ98)</f>
        <v>0</v>
      </c>
      <c r="DM93" s="171">
        <f>SUMIF('CF(M)'!$L$10:$EQ$10,DM$6,'CF(M)'!$L98:$EQ98)</f>
        <v>0</v>
      </c>
      <c r="DN93" s="171">
        <f>SUMIF('CF(M)'!$L$10:$EQ$10,DN$6,'CF(M)'!$L98:$EQ98)</f>
        <v>0</v>
      </c>
      <c r="DO93" s="171">
        <f>SUMIF('CF(M)'!$L$10:$EQ$10,DO$6,'CF(M)'!$L98:$EQ98)</f>
        <v>0</v>
      </c>
      <c r="DP93" s="171">
        <f>SUMIF('CF(M)'!$L$10:$EQ$10,DP$6,'CF(M)'!$L98:$EQ98)</f>
        <v>0</v>
      </c>
      <c r="DQ93" s="171">
        <f>SUMIF('CF(M)'!$L$10:$EQ$10,DQ$6,'CF(M)'!$L98:$EQ98)</f>
        <v>0</v>
      </c>
      <c r="DR93" s="171">
        <f>SUMIF('CF(M)'!$L$10:$EQ$10,DR$6,'CF(M)'!$L98:$EQ98)</f>
        <v>0</v>
      </c>
      <c r="DS93" s="171">
        <f>SUMIF('CF(M)'!$L$10:$EQ$10,DS$6,'CF(M)'!$L98:$EQ98)</f>
        <v>0</v>
      </c>
      <c r="DT93" s="171">
        <f>SUMIF('CF(M)'!$L$10:$EQ$10,DT$6,'CF(M)'!$L98:$EQ98)</f>
        <v>0</v>
      </c>
      <c r="DU93" s="171">
        <f>SUMIF('CF(M)'!$L$10:$EQ$10,DU$6,'CF(M)'!$L98:$EQ98)</f>
        <v>0</v>
      </c>
      <c r="DV93" s="171">
        <f>SUMIF('CF(M)'!$L$10:$EQ$10,DV$6,'CF(M)'!$L98:$EQ98)</f>
        <v>0</v>
      </c>
    </row>
    <row r="94" spans="2:126" ht="11.25" customHeight="1">
      <c r="B94" s="218"/>
      <c r="C94" s="163"/>
      <c r="D94" s="169" t="s">
        <v>469</v>
      </c>
      <c r="G94" s="65">
        <f>'A&amp;R'!T41</f>
        <v>0</v>
      </c>
      <c r="H94" s="146">
        <f>'A&amp;R'!$E$39</f>
        <v>49979</v>
      </c>
      <c r="I94" s="229">
        <f>$J$49*$G94</f>
        <v>0</v>
      </c>
      <c r="J94" s="171">
        <f>SUM(L94:DV94)</f>
        <v>0</v>
      </c>
      <c r="K94" s="98"/>
      <c r="L94" s="171">
        <f>SUMIF('CF(M)'!$L$10:$EQ$10,L$6,'CF(M)'!$L99:$EQ99)</f>
        <v>0</v>
      </c>
      <c r="M94" s="171">
        <f>SUMIF('CF(M)'!$L$10:$EQ$10,M$6,'CF(M)'!$L99:$EQ99)</f>
        <v>0</v>
      </c>
      <c r="N94" s="171">
        <f>SUMIF('CF(M)'!$L$10:$EQ$10,N$6,'CF(M)'!$L99:$EQ99)</f>
        <v>0</v>
      </c>
      <c r="O94" s="171">
        <f>SUMIF('CF(M)'!$L$10:$EQ$10,O$6,'CF(M)'!$L99:$EQ99)</f>
        <v>0</v>
      </c>
      <c r="P94" s="171">
        <f>SUMIF('CF(M)'!$L$10:$EQ$10,P$6,'CF(M)'!$L99:$EQ99)</f>
        <v>0</v>
      </c>
      <c r="Q94" s="171">
        <f>SUMIF('CF(M)'!$L$10:$EQ$10,Q$6,'CF(M)'!$L99:$EQ99)</f>
        <v>0</v>
      </c>
      <c r="R94" s="171">
        <f>SUMIF('CF(M)'!$L$10:$EQ$10,R$6,'CF(M)'!$L99:$EQ99)</f>
        <v>0</v>
      </c>
      <c r="S94" s="171">
        <f>SUMIF('CF(M)'!$L$10:$EQ$10,S$6,'CF(M)'!$L99:$EQ99)</f>
        <v>0</v>
      </c>
      <c r="T94" s="171">
        <f>SUMIF('CF(M)'!$L$10:$EQ$10,T$6,'CF(M)'!$L99:$EQ99)</f>
        <v>0</v>
      </c>
      <c r="U94" s="171">
        <f>SUMIF('CF(M)'!$L$10:$EQ$10,U$6,'CF(M)'!$L99:$EQ99)</f>
        <v>0</v>
      </c>
      <c r="V94" s="171">
        <f>SUMIF('CF(M)'!$L$10:$EQ$10,V$6,'CF(M)'!$L99:$EQ99)</f>
        <v>0</v>
      </c>
      <c r="W94" s="171">
        <f>SUMIF('CF(M)'!$L$10:$EQ$10,W$6,'CF(M)'!$L99:$EQ99)</f>
        <v>0</v>
      </c>
      <c r="X94" s="171">
        <f>SUMIF('CF(M)'!$L$10:$EQ$10,X$6,'CF(M)'!$L99:$EQ99)</f>
        <v>0</v>
      </c>
      <c r="Y94" s="171">
        <f>SUMIF('CF(M)'!$L$10:$EQ$10,Y$6,'CF(M)'!$L99:$EQ99)</f>
        <v>0</v>
      </c>
      <c r="Z94" s="171">
        <f>SUMIF('CF(M)'!$L$10:$EQ$10,Z$6,'CF(M)'!$L99:$EQ99)</f>
        <v>0</v>
      </c>
      <c r="AA94" s="171">
        <f>SUMIF('CF(M)'!$L$10:$EQ$10,AA$6,'CF(M)'!$L99:$EQ99)</f>
        <v>0</v>
      </c>
      <c r="AB94" s="171">
        <f>SUMIF('CF(M)'!$L$10:$EQ$10,AB$6,'CF(M)'!$L99:$EQ99)</f>
        <v>0</v>
      </c>
      <c r="AC94" s="171">
        <f>SUMIF('CF(M)'!$L$10:$EQ$10,AC$6,'CF(M)'!$L99:$EQ99)</f>
        <v>0</v>
      </c>
      <c r="AD94" s="171">
        <f>SUMIF('CF(M)'!$L$10:$EQ$10,AD$6,'CF(M)'!$L99:$EQ99)</f>
        <v>0</v>
      </c>
      <c r="AE94" s="171">
        <f>SUMIF('CF(M)'!$L$10:$EQ$10,AE$6,'CF(M)'!$L99:$EQ99)</f>
        <v>0</v>
      </c>
      <c r="AF94" s="171">
        <f>SUMIF('CF(M)'!$L$10:$EQ$10,AF$6,'CF(M)'!$L99:$EQ99)</f>
        <v>0</v>
      </c>
      <c r="AG94" s="171">
        <f>SUMIF('CF(M)'!$L$10:$EQ$10,AG$6,'CF(M)'!$L99:$EQ99)</f>
        <v>0</v>
      </c>
      <c r="AH94" s="171">
        <f>SUMIF('CF(M)'!$L$10:$EQ$10,AH$6,'CF(M)'!$L99:$EQ99)</f>
        <v>0</v>
      </c>
      <c r="AI94" s="171">
        <f>SUMIF('CF(M)'!$L$10:$EQ$10,AI$6,'CF(M)'!$L99:$EQ99)</f>
        <v>0</v>
      </c>
      <c r="AJ94" s="171">
        <f>SUMIF('CF(M)'!$L$10:$EQ$10,AJ$6,'CF(M)'!$L99:$EQ99)</f>
        <v>0</v>
      </c>
      <c r="AK94" s="171">
        <f>SUMIF('CF(M)'!$L$10:$EQ$10,AK$6,'CF(M)'!$L99:$EQ99)</f>
        <v>0</v>
      </c>
      <c r="AL94" s="171">
        <f>SUMIF('CF(M)'!$L$10:$EQ$10,AL$6,'CF(M)'!$L99:$EQ99)</f>
        <v>0</v>
      </c>
      <c r="AM94" s="171">
        <f>SUMIF('CF(M)'!$L$10:$EQ$10,AM$6,'CF(M)'!$L99:$EQ99)</f>
        <v>0</v>
      </c>
      <c r="AN94" s="171">
        <f>SUMIF('CF(M)'!$L$10:$EQ$10,AN$6,'CF(M)'!$L99:$EQ99)</f>
        <v>0</v>
      </c>
      <c r="AO94" s="171">
        <f>SUMIF('CF(M)'!$L$10:$EQ$10,AO$6,'CF(M)'!$L99:$EQ99)</f>
        <v>0</v>
      </c>
      <c r="AP94" s="171">
        <f>SUMIF('CF(M)'!$L$10:$EQ$10,AP$6,'CF(M)'!$L99:$EQ99)</f>
        <v>0</v>
      </c>
      <c r="AQ94" s="171">
        <f>SUMIF('CF(M)'!$L$10:$EQ$10,AQ$6,'CF(M)'!$L99:$EQ99)</f>
        <v>0</v>
      </c>
      <c r="AR94" s="171">
        <f>SUMIF('CF(M)'!$L$10:$EQ$10,AR$6,'CF(M)'!$L99:$EQ99)</f>
        <v>0</v>
      </c>
      <c r="AS94" s="171">
        <f>SUMIF('CF(M)'!$L$10:$EQ$10,AS$6,'CF(M)'!$L99:$EQ99)</f>
        <v>0</v>
      </c>
      <c r="AT94" s="171">
        <f>SUMIF('CF(M)'!$L$10:$EQ$10,AT$6,'CF(M)'!$L99:$EQ99)</f>
        <v>0</v>
      </c>
      <c r="AU94" s="171">
        <f>SUMIF('CF(M)'!$L$10:$EQ$10,AU$6,'CF(M)'!$L99:$EQ99)</f>
        <v>0</v>
      </c>
      <c r="AV94" s="171">
        <f>SUMIF('CF(M)'!$L$10:$EQ$10,AV$6,'CF(M)'!$L99:$EQ99)</f>
        <v>0</v>
      </c>
      <c r="AW94" s="171">
        <f>SUMIF('CF(M)'!$L$10:$EQ$10,AW$6,'CF(M)'!$L99:$EQ99)</f>
        <v>0</v>
      </c>
      <c r="AX94" s="171">
        <f>SUMIF('CF(M)'!$L$10:$EQ$10,AX$6,'CF(M)'!$L99:$EQ99)</f>
        <v>0</v>
      </c>
      <c r="AY94" s="171">
        <f>SUMIF('CF(M)'!$L$10:$EQ$10,AY$6,'CF(M)'!$L99:$EQ99)</f>
        <v>0</v>
      </c>
      <c r="AZ94" s="171">
        <f>SUMIF('CF(M)'!$L$10:$EQ$10,AZ$6,'CF(M)'!$L99:$EQ99)</f>
        <v>0</v>
      </c>
      <c r="BA94" s="171">
        <f>SUMIF('CF(M)'!$L$10:$EQ$10,BA$6,'CF(M)'!$L99:$EQ99)</f>
        <v>0</v>
      </c>
      <c r="BB94" s="171">
        <f>SUMIF('CF(M)'!$L$10:$EQ$10,BB$6,'CF(M)'!$L99:$EQ99)</f>
        <v>0</v>
      </c>
      <c r="BC94" s="171">
        <f>SUMIF('CF(M)'!$L$10:$EQ$10,BC$6,'CF(M)'!$L99:$EQ99)</f>
        <v>0</v>
      </c>
      <c r="BD94" s="171">
        <f>SUMIF('CF(M)'!$L$10:$EQ$10,BD$6,'CF(M)'!$L99:$EQ99)</f>
        <v>0</v>
      </c>
      <c r="BE94" s="171">
        <f>SUMIF('CF(M)'!$L$10:$EQ$10,BE$6,'CF(M)'!$L99:$EQ99)</f>
        <v>0</v>
      </c>
      <c r="BF94" s="171">
        <f>SUMIF('CF(M)'!$L$10:$EQ$10,BF$6,'CF(M)'!$L99:$EQ99)</f>
        <v>0</v>
      </c>
      <c r="BG94" s="171">
        <f>SUMIF('CF(M)'!$L$10:$EQ$10,BG$6,'CF(M)'!$L99:$EQ99)</f>
        <v>0</v>
      </c>
      <c r="BH94" s="171">
        <f>SUMIF('CF(M)'!$L$10:$EQ$10,BH$6,'CF(M)'!$L99:$EQ99)</f>
        <v>0</v>
      </c>
      <c r="BI94" s="171">
        <f>SUMIF('CF(M)'!$L$10:$EQ$10,BI$6,'CF(M)'!$L99:$EQ99)</f>
        <v>0</v>
      </c>
      <c r="BJ94" s="171">
        <f>SUMIF('CF(M)'!$L$10:$EQ$10,BJ$6,'CF(M)'!$L99:$EQ99)</f>
        <v>0</v>
      </c>
      <c r="BK94" s="171">
        <f>SUMIF('CF(M)'!$L$10:$EQ$10,BK$6,'CF(M)'!$L99:$EQ99)</f>
        <v>0</v>
      </c>
      <c r="BL94" s="171">
        <f>SUMIF('CF(M)'!$L$10:$EQ$10,BL$6,'CF(M)'!$L99:$EQ99)</f>
        <v>0</v>
      </c>
      <c r="BM94" s="171">
        <f>SUMIF('CF(M)'!$L$10:$EQ$10,BM$6,'CF(M)'!$L99:$EQ99)</f>
        <v>0</v>
      </c>
      <c r="BN94" s="171">
        <f>SUMIF('CF(M)'!$L$10:$EQ$10,BN$6,'CF(M)'!$L99:$EQ99)</f>
        <v>0</v>
      </c>
      <c r="BO94" s="171">
        <f>SUMIF('CF(M)'!$L$10:$EQ$10,BO$6,'CF(M)'!$L99:$EQ99)</f>
        <v>0</v>
      </c>
      <c r="BP94" s="171">
        <f>SUMIF('CF(M)'!$L$10:$EQ$10,BP$6,'CF(M)'!$L99:$EQ99)</f>
        <v>0</v>
      </c>
      <c r="BQ94" s="171">
        <f>SUMIF('CF(M)'!$L$10:$EQ$10,BQ$6,'CF(M)'!$L99:$EQ99)</f>
        <v>0</v>
      </c>
      <c r="BR94" s="171">
        <f>SUMIF('CF(M)'!$L$10:$EQ$10,BR$6,'CF(M)'!$L99:$EQ99)</f>
        <v>0</v>
      </c>
      <c r="BS94" s="171">
        <f>SUMIF('CF(M)'!$L$10:$EQ$10,BS$6,'CF(M)'!$L99:$EQ99)</f>
        <v>0</v>
      </c>
      <c r="BT94" s="171">
        <f>SUMIF('CF(M)'!$L$10:$EQ$10,BT$6,'CF(M)'!$L99:$EQ99)</f>
        <v>0</v>
      </c>
      <c r="BU94" s="171">
        <f>SUMIF('CF(M)'!$L$10:$EQ$10,BU$6,'CF(M)'!$L99:$EQ99)</f>
        <v>0</v>
      </c>
      <c r="BV94" s="171">
        <f>SUMIF('CF(M)'!$L$10:$EQ$10,BV$6,'CF(M)'!$L99:$EQ99)</f>
        <v>0</v>
      </c>
      <c r="BW94" s="171">
        <f>SUMIF('CF(M)'!$L$10:$EQ$10,BW$6,'CF(M)'!$L99:$EQ99)</f>
        <v>0</v>
      </c>
      <c r="BX94" s="171">
        <f>SUMIF('CF(M)'!$L$10:$EQ$10,BX$6,'CF(M)'!$L99:$EQ99)</f>
        <v>0</v>
      </c>
      <c r="BY94" s="171">
        <f>SUMIF('CF(M)'!$L$10:$EQ$10,BY$6,'CF(M)'!$L99:$EQ99)</f>
        <v>0</v>
      </c>
      <c r="BZ94" s="171">
        <f>SUMIF('CF(M)'!$L$10:$EQ$10,BZ$6,'CF(M)'!$L99:$EQ99)</f>
        <v>0</v>
      </c>
      <c r="CA94" s="171">
        <f>SUMIF('CF(M)'!$L$10:$EQ$10,CA$6,'CF(M)'!$L99:$EQ99)</f>
        <v>0</v>
      </c>
      <c r="CB94" s="171">
        <f>SUMIF('CF(M)'!$L$10:$EQ$10,CB$6,'CF(M)'!$L99:$EQ99)</f>
        <v>0</v>
      </c>
      <c r="CC94" s="171">
        <f>SUMIF('CF(M)'!$L$10:$EQ$10,CC$6,'CF(M)'!$L99:$EQ99)</f>
        <v>0</v>
      </c>
      <c r="CD94" s="171">
        <f>SUMIF('CF(M)'!$L$10:$EQ$10,CD$6,'CF(M)'!$L99:$EQ99)</f>
        <v>0</v>
      </c>
      <c r="CE94" s="171">
        <f>SUMIF('CF(M)'!$L$10:$EQ$10,CE$6,'CF(M)'!$L99:$EQ99)</f>
        <v>0</v>
      </c>
      <c r="CF94" s="171">
        <f>SUMIF('CF(M)'!$L$10:$EQ$10,CF$6,'CF(M)'!$L99:$EQ99)</f>
        <v>0</v>
      </c>
      <c r="CG94" s="171">
        <f>SUMIF('CF(M)'!$L$10:$EQ$10,CG$6,'CF(M)'!$L99:$EQ99)</f>
        <v>0</v>
      </c>
      <c r="CH94" s="171">
        <f>SUMIF('CF(M)'!$L$10:$EQ$10,CH$6,'CF(M)'!$L99:$EQ99)</f>
        <v>0</v>
      </c>
      <c r="CI94" s="171">
        <f>SUMIF('CF(M)'!$L$10:$EQ$10,CI$6,'CF(M)'!$L99:$EQ99)</f>
        <v>0</v>
      </c>
      <c r="CJ94" s="171">
        <f>SUMIF('CF(M)'!$L$10:$EQ$10,CJ$6,'CF(M)'!$L99:$EQ99)</f>
        <v>0</v>
      </c>
      <c r="CK94" s="171">
        <f>SUMIF('CF(M)'!$L$10:$EQ$10,CK$6,'CF(M)'!$L99:$EQ99)</f>
        <v>0</v>
      </c>
      <c r="CL94" s="171">
        <f>SUMIF('CF(M)'!$L$10:$EQ$10,CL$6,'CF(M)'!$L99:$EQ99)</f>
        <v>0</v>
      </c>
      <c r="CM94" s="171">
        <f>SUMIF('CF(M)'!$L$10:$EQ$10,CM$6,'CF(M)'!$L99:$EQ99)</f>
        <v>0</v>
      </c>
      <c r="CN94" s="171">
        <f>SUMIF('CF(M)'!$L$10:$EQ$10,CN$6,'CF(M)'!$L99:$EQ99)</f>
        <v>0</v>
      </c>
      <c r="CO94" s="171">
        <f>SUMIF('CF(M)'!$L$10:$EQ$10,CO$6,'CF(M)'!$L99:$EQ99)</f>
        <v>0</v>
      </c>
      <c r="CP94" s="171">
        <f>SUMIF('CF(M)'!$L$10:$EQ$10,CP$6,'CF(M)'!$L99:$EQ99)</f>
        <v>0</v>
      </c>
      <c r="CQ94" s="171">
        <f>SUMIF('CF(M)'!$L$10:$EQ$10,CQ$6,'CF(M)'!$L99:$EQ99)</f>
        <v>0</v>
      </c>
      <c r="CR94" s="171">
        <f>SUMIF('CF(M)'!$L$10:$EQ$10,CR$6,'CF(M)'!$L99:$EQ99)</f>
        <v>0</v>
      </c>
      <c r="CS94" s="171">
        <f>SUMIF('CF(M)'!$L$10:$EQ$10,CS$6,'CF(M)'!$L99:$EQ99)</f>
        <v>0</v>
      </c>
      <c r="CT94" s="171">
        <f>SUMIF('CF(M)'!$L$10:$EQ$10,CT$6,'CF(M)'!$L99:$EQ99)</f>
        <v>0</v>
      </c>
      <c r="CU94" s="171">
        <f>SUMIF('CF(M)'!$L$10:$EQ$10,CU$6,'CF(M)'!$L99:$EQ99)</f>
        <v>0</v>
      </c>
      <c r="CV94" s="171">
        <f>SUMIF('CF(M)'!$L$10:$EQ$10,CV$6,'CF(M)'!$L99:$EQ99)</f>
        <v>0</v>
      </c>
      <c r="CW94" s="171">
        <f>SUMIF('CF(M)'!$L$10:$EQ$10,CW$6,'CF(M)'!$L99:$EQ99)</f>
        <v>0</v>
      </c>
      <c r="CX94" s="171">
        <f>SUMIF('CF(M)'!$L$10:$EQ$10,CX$6,'CF(M)'!$L99:$EQ99)</f>
        <v>0</v>
      </c>
      <c r="CY94" s="171">
        <f>SUMIF('CF(M)'!$L$10:$EQ$10,CY$6,'CF(M)'!$L99:$EQ99)</f>
        <v>0</v>
      </c>
      <c r="CZ94" s="171">
        <f>SUMIF('CF(M)'!$L$10:$EQ$10,CZ$6,'CF(M)'!$L99:$EQ99)</f>
        <v>0</v>
      </c>
      <c r="DA94" s="171">
        <f>SUMIF('CF(M)'!$L$10:$EQ$10,DA$6,'CF(M)'!$L99:$EQ99)</f>
        <v>0</v>
      </c>
      <c r="DB94" s="171">
        <f>SUMIF('CF(M)'!$L$10:$EQ$10,DB$6,'CF(M)'!$L99:$EQ99)</f>
        <v>0</v>
      </c>
      <c r="DC94" s="171">
        <f>SUMIF('CF(M)'!$L$10:$EQ$10,DC$6,'CF(M)'!$L99:$EQ99)</f>
        <v>0</v>
      </c>
      <c r="DD94" s="171">
        <f>SUMIF('CF(M)'!$L$10:$EQ$10,DD$6,'CF(M)'!$L99:$EQ99)</f>
        <v>0</v>
      </c>
      <c r="DE94" s="171">
        <f>SUMIF('CF(M)'!$L$10:$EQ$10,DE$6,'CF(M)'!$L99:$EQ99)</f>
        <v>0</v>
      </c>
      <c r="DF94" s="171">
        <f>SUMIF('CF(M)'!$L$10:$EQ$10,DF$6,'CF(M)'!$L99:$EQ99)</f>
        <v>0</v>
      </c>
      <c r="DG94" s="171">
        <f>SUMIF('CF(M)'!$L$10:$EQ$10,DG$6,'CF(M)'!$L99:$EQ99)</f>
        <v>0</v>
      </c>
      <c r="DH94" s="171">
        <f>SUMIF('CF(M)'!$L$10:$EQ$10,DH$6,'CF(M)'!$L99:$EQ99)</f>
        <v>0</v>
      </c>
      <c r="DI94" s="171">
        <f>SUMIF('CF(M)'!$L$10:$EQ$10,DI$6,'CF(M)'!$L99:$EQ99)</f>
        <v>0</v>
      </c>
      <c r="DJ94" s="171">
        <f>SUMIF('CF(M)'!$L$10:$EQ$10,DJ$6,'CF(M)'!$L99:$EQ99)</f>
        <v>0</v>
      </c>
      <c r="DK94" s="171">
        <f>SUMIF('CF(M)'!$L$10:$EQ$10,DK$6,'CF(M)'!$L99:$EQ99)</f>
        <v>0</v>
      </c>
      <c r="DL94" s="171">
        <f>SUMIF('CF(M)'!$L$10:$EQ$10,DL$6,'CF(M)'!$L99:$EQ99)</f>
        <v>0</v>
      </c>
      <c r="DM94" s="171">
        <f>SUMIF('CF(M)'!$L$10:$EQ$10,DM$6,'CF(M)'!$L99:$EQ99)</f>
        <v>0</v>
      </c>
      <c r="DN94" s="171">
        <f>SUMIF('CF(M)'!$L$10:$EQ$10,DN$6,'CF(M)'!$L99:$EQ99)</f>
        <v>0</v>
      </c>
      <c r="DO94" s="171">
        <f>SUMIF('CF(M)'!$L$10:$EQ$10,DO$6,'CF(M)'!$L99:$EQ99)</f>
        <v>0</v>
      </c>
      <c r="DP94" s="171">
        <f>SUMIF('CF(M)'!$L$10:$EQ$10,DP$6,'CF(M)'!$L99:$EQ99)</f>
        <v>0</v>
      </c>
      <c r="DQ94" s="171">
        <f>SUMIF('CF(M)'!$L$10:$EQ$10,DQ$6,'CF(M)'!$L99:$EQ99)</f>
        <v>0</v>
      </c>
      <c r="DR94" s="171">
        <f>SUMIF('CF(M)'!$L$10:$EQ$10,DR$6,'CF(M)'!$L99:$EQ99)</f>
        <v>0</v>
      </c>
      <c r="DS94" s="171">
        <f>SUMIF('CF(M)'!$L$10:$EQ$10,DS$6,'CF(M)'!$L99:$EQ99)</f>
        <v>0</v>
      </c>
      <c r="DT94" s="171">
        <f>SUMIF('CF(M)'!$L$10:$EQ$10,DT$6,'CF(M)'!$L99:$EQ99)</f>
        <v>0</v>
      </c>
      <c r="DU94" s="171">
        <f>SUMIF('CF(M)'!$L$10:$EQ$10,DU$6,'CF(M)'!$L99:$EQ99)</f>
        <v>0</v>
      </c>
      <c r="DV94" s="171">
        <f>SUMIF('CF(M)'!$L$10:$EQ$10,DV$6,'CF(M)'!$L99:$EQ99)</f>
        <v>0</v>
      </c>
    </row>
    <row r="95" spans="2:126" ht="11.25" customHeight="1">
      <c r="B95" s="218"/>
      <c r="C95" s="158" t="str">
        <f>'CF(M)'!C100</f>
        <v>2종 우선주(삼성)</v>
      </c>
      <c r="D95" s="159"/>
      <c r="E95" s="159"/>
      <c r="F95" s="159"/>
      <c r="G95" s="159"/>
      <c r="H95" s="160"/>
      <c r="I95" s="219"/>
      <c r="J95" s="220">
        <f ca="1">SUM(J96:J99)</f>
        <v>-49267613.337566935</v>
      </c>
      <c r="K95" s="98"/>
      <c r="L95" s="162">
        <f ca="1">SUM(L96:L99)</f>
        <v>50000000</v>
      </c>
      <c r="M95" s="162">
        <f t="shared" ref="M95:BX95" ca="1" si="47">SUM(M96:M99)</f>
        <v>-1875000</v>
      </c>
      <c r="N95" s="162">
        <f t="shared" ca="1" si="47"/>
        <v>-1875000</v>
      </c>
      <c r="O95" s="162">
        <f t="shared" ca="1" si="47"/>
        <v>-1875000</v>
      </c>
      <c r="P95" s="162">
        <f t="shared" ca="1" si="47"/>
        <v>-1875000</v>
      </c>
      <c r="Q95" s="162">
        <f t="shared" ca="1" si="47"/>
        <v>-1875000</v>
      </c>
      <c r="R95" s="162">
        <f t="shared" ca="1" si="47"/>
        <v>-1875000</v>
      </c>
      <c r="S95" s="162">
        <f t="shared" ca="1" si="47"/>
        <v>-1762472.0129412687</v>
      </c>
      <c r="T95" s="162">
        <f t="shared" ca="1" si="47"/>
        <v>-1513291.9989280105</v>
      </c>
      <c r="U95" s="162">
        <f t="shared" ca="1" si="47"/>
        <v>-1265541.4966859473</v>
      </c>
      <c r="V95" s="162">
        <f t="shared" ca="1" si="47"/>
        <v>-1722478.4355854392</v>
      </c>
      <c r="W95" s="162">
        <f t="shared" ca="1" si="47"/>
        <v>-1805647.7403300544</v>
      </c>
      <c r="X95" s="162">
        <f t="shared" ca="1" si="47"/>
        <v>-2258497.3462193981</v>
      </c>
      <c r="Y95" s="162">
        <f t="shared" ca="1" si="47"/>
        <v>-2031213.1788212531</v>
      </c>
      <c r="Z95" s="162">
        <f t="shared" ca="1" si="47"/>
        <v>-2480274.6567853596</v>
      </c>
      <c r="AA95" s="162">
        <f t="shared" ca="1" si="47"/>
        <v>-2035583.1337032691</v>
      </c>
      <c r="AB95" s="162">
        <f t="shared" ca="1" si="47"/>
        <v>-1875000</v>
      </c>
      <c r="AC95" s="162">
        <f t="shared" ca="1" si="47"/>
        <v>-1875000</v>
      </c>
      <c r="AD95" s="162">
        <f t="shared" ca="1" si="47"/>
        <v>-1875000</v>
      </c>
      <c r="AE95" s="162">
        <f t="shared" ca="1" si="47"/>
        <v>-1875000</v>
      </c>
      <c r="AF95" s="162">
        <f t="shared" ca="1" si="47"/>
        <v>-63642613.337566935</v>
      </c>
      <c r="AG95" s="162">
        <f t="shared" ca="1" si="47"/>
        <v>0</v>
      </c>
      <c r="AH95" s="162">
        <f t="shared" ca="1" si="47"/>
        <v>0</v>
      </c>
      <c r="AI95" s="162">
        <f t="shared" ca="1" si="47"/>
        <v>0</v>
      </c>
      <c r="AJ95" s="162">
        <f t="shared" si="47"/>
        <v>0</v>
      </c>
      <c r="AK95" s="162">
        <f t="shared" si="47"/>
        <v>0</v>
      </c>
      <c r="AL95" s="162">
        <f t="shared" si="47"/>
        <v>0</v>
      </c>
      <c r="AM95" s="162">
        <f t="shared" si="47"/>
        <v>0</v>
      </c>
      <c r="AN95" s="162">
        <f t="shared" si="47"/>
        <v>0</v>
      </c>
      <c r="AO95" s="162">
        <f t="shared" si="47"/>
        <v>0</v>
      </c>
      <c r="AP95" s="162">
        <f t="shared" si="47"/>
        <v>0</v>
      </c>
      <c r="AQ95" s="162">
        <f t="shared" si="47"/>
        <v>0</v>
      </c>
      <c r="AR95" s="162">
        <f t="shared" si="47"/>
        <v>0</v>
      </c>
      <c r="AS95" s="162">
        <f t="shared" si="47"/>
        <v>0</v>
      </c>
      <c r="AT95" s="162">
        <f t="shared" si="47"/>
        <v>0</v>
      </c>
      <c r="AU95" s="162">
        <f t="shared" si="47"/>
        <v>0</v>
      </c>
      <c r="AV95" s="162">
        <f t="shared" si="47"/>
        <v>0</v>
      </c>
      <c r="AW95" s="162">
        <f t="shared" si="47"/>
        <v>0</v>
      </c>
      <c r="AX95" s="162">
        <f t="shared" si="47"/>
        <v>0</v>
      </c>
      <c r="AY95" s="162">
        <f t="shared" si="47"/>
        <v>0</v>
      </c>
      <c r="AZ95" s="162">
        <f t="shared" si="47"/>
        <v>0</v>
      </c>
      <c r="BA95" s="162">
        <f t="shared" si="47"/>
        <v>0</v>
      </c>
      <c r="BB95" s="162">
        <f t="shared" si="47"/>
        <v>0</v>
      </c>
      <c r="BC95" s="162">
        <f t="shared" si="47"/>
        <v>0</v>
      </c>
      <c r="BD95" s="162">
        <f t="shared" si="47"/>
        <v>0</v>
      </c>
      <c r="BE95" s="162">
        <f t="shared" si="47"/>
        <v>0</v>
      </c>
      <c r="BF95" s="162">
        <f t="shared" si="47"/>
        <v>0</v>
      </c>
      <c r="BG95" s="162">
        <f t="shared" si="47"/>
        <v>0</v>
      </c>
      <c r="BH95" s="162">
        <f t="shared" si="47"/>
        <v>0</v>
      </c>
      <c r="BI95" s="162">
        <f t="shared" si="47"/>
        <v>0</v>
      </c>
      <c r="BJ95" s="162">
        <f t="shared" si="47"/>
        <v>0</v>
      </c>
      <c r="BK95" s="162">
        <f t="shared" si="47"/>
        <v>0</v>
      </c>
      <c r="BL95" s="162">
        <f t="shared" si="47"/>
        <v>0</v>
      </c>
      <c r="BM95" s="162">
        <f t="shared" si="47"/>
        <v>0</v>
      </c>
      <c r="BN95" s="162">
        <f t="shared" si="47"/>
        <v>0</v>
      </c>
      <c r="BO95" s="162">
        <f t="shared" si="47"/>
        <v>0</v>
      </c>
      <c r="BP95" s="162">
        <f t="shared" si="47"/>
        <v>0</v>
      </c>
      <c r="BQ95" s="162">
        <f t="shared" si="47"/>
        <v>0</v>
      </c>
      <c r="BR95" s="162">
        <f t="shared" si="47"/>
        <v>0</v>
      </c>
      <c r="BS95" s="162">
        <f t="shared" si="47"/>
        <v>0</v>
      </c>
      <c r="BT95" s="162">
        <f t="shared" si="47"/>
        <v>0</v>
      </c>
      <c r="BU95" s="162">
        <f t="shared" si="47"/>
        <v>0</v>
      </c>
      <c r="BV95" s="162">
        <f t="shared" si="47"/>
        <v>0</v>
      </c>
      <c r="BW95" s="162">
        <f t="shared" si="47"/>
        <v>0</v>
      </c>
      <c r="BX95" s="162">
        <f t="shared" si="47"/>
        <v>0</v>
      </c>
      <c r="BY95" s="162">
        <f t="shared" ref="BY95:DV95" si="48">SUM(BY96:BY99)</f>
        <v>0</v>
      </c>
      <c r="BZ95" s="162">
        <f t="shared" si="48"/>
        <v>0</v>
      </c>
      <c r="CA95" s="162">
        <f t="shared" si="48"/>
        <v>0</v>
      </c>
      <c r="CB95" s="162">
        <f t="shared" si="48"/>
        <v>0</v>
      </c>
      <c r="CC95" s="162">
        <f t="shared" si="48"/>
        <v>0</v>
      </c>
      <c r="CD95" s="162">
        <f t="shared" si="48"/>
        <v>0</v>
      </c>
      <c r="CE95" s="162">
        <f t="shared" si="48"/>
        <v>0</v>
      </c>
      <c r="CF95" s="162">
        <f t="shared" si="48"/>
        <v>0</v>
      </c>
      <c r="CG95" s="162">
        <f t="shared" si="48"/>
        <v>0</v>
      </c>
      <c r="CH95" s="162">
        <f t="shared" si="48"/>
        <v>0</v>
      </c>
      <c r="CI95" s="162">
        <f t="shared" si="48"/>
        <v>0</v>
      </c>
      <c r="CJ95" s="162">
        <f t="shared" si="48"/>
        <v>0</v>
      </c>
      <c r="CK95" s="162">
        <f t="shared" si="48"/>
        <v>0</v>
      </c>
      <c r="CL95" s="162">
        <f t="shared" si="48"/>
        <v>0</v>
      </c>
      <c r="CM95" s="162">
        <f t="shared" si="48"/>
        <v>0</v>
      </c>
      <c r="CN95" s="162">
        <f t="shared" si="48"/>
        <v>0</v>
      </c>
      <c r="CO95" s="162">
        <f t="shared" si="48"/>
        <v>0</v>
      </c>
      <c r="CP95" s="162">
        <f t="shared" si="48"/>
        <v>0</v>
      </c>
      <c r="CQ95" s="162">
        <f t="shared" si="48"/>
        <v>0</v>
      </c>
      <c r="CR95" s="162">
        <f t="shared" si="48"/>
        <v>0</v>
      </c>
      <c r="CS95" s="162">
        <f t="shared" si="48"/>
        <v>0</v>
      </c>
      <c r="CT95" s="162">
        <f t="shared" si="48"/>
        <v>0</v>
      </c>
      <c r="CU95" s="162">
        <f t="shared" si="48"/>
        <v>0</v>
      </c>
      <c r="CV95" s="162">
        <f t="shared" si="48"/>
        <v>0</v>
      </c>
      <c r="CW95" s="162">
        <f t="shared" si="48"/>
        <v>0</v>
      </c>
      <c r="CX95" s="162">
        <f t="shared" si="48"/>
        <v>0</v>
      </c>
      <c r="CY95" s="162">
        <f t="shared" si="48"/>
        <v>0</v>
      </c>
      <c r="CZ95" s="162">
        <f t="shared" si="48"/>
        <v>0</v>
      </c>
      <c r="DA95" s="162">
        <f t="shared" si="48"/>
        <v>0</v>
      </c>
      <c r="DB95" s="162">
        <f t="shared" si="48"/>
        <v>0</v>
      </c>
      <c r="DC95" s="162">
        <f t="shared" si="48"/>
        <v>0</v>
      </c>
      <c r="DD95" s="162">
        <f t="shared" si="48"/>
        <v>0</v>
      </c>
      <c r="DE95" s="162">
        <f t="shared" si="48"/>
        <v>0</v>
      </c>
      <c r="DF95" s="162">
        <f t="shared" si="48"/>
        <v>0</v>
      </c>
      <c r="DG95" s="162">
        <f t="shared" si="48"/>
        <v>0</v>
      </c>
      <c r="DH95" s="162">
        <f t="shared" si="48"/>
        <v>0</v>
      </c>
      <c r="DI95" s="162">
        <f t="shared" si="48"/>
        <v>0</v>
      </c>
      <c r="DJ95" s="162">
        <f t="shared" si="48"/>
        <v>0</v>
      </c>
      <c r="DK95" s="162">
        <f t="shared" si="48"/>
        <v>0</v>
      </c>
      <c r="DL95" s="162">
        <f t="shared" si="48"/>
        <v>0</v>
      </c>
      <c r="DM95" s="162">
        <f t="shared" si="48"/>
        <v>0</v>
      </c>
      <c r="DN95" s="162">
        <f t="shared" si="48"/>
        <v>0</v>
      </c>
      <c r="DO95" s="162">
        <f t="shared" si="48"/>
        <v>0</v>
      </c>
      <c r="DP95" s="162">
        <f t="shared" si="48"/>
        <v>0</v>
      </c>
      <c r="DQ95" s="162">
        <f t="shared" si="48"/>
        <v>0</v>
      </c>
      <c r="DR95" s="162">
        <f t="shared" si="48"/>
        <v>0</v>
      </c>
      <c r="DS95" s="162">
        <f t="shared" si="48"/>
        <v>0</v>
      </c>
      <c r="DT95" s="162">
        <f t="shared" si="48"/>
        <v>0</v>
      </c>
      <c r="DU95" s="162">
        <f t="shared" si="48"/>
        <v>0</v>
      </c>
      <c r="DV95" s="162">
        <f t="shared" si="48"/>
        <v>0</v>
      </c>
    </row>
    <row r="96" spans="2:126" ht="11.25" customHeight="1">
      <c r="B96" s="218"/>
      <c r="C96" s="163"/>
      <c r="D96" s="164" t="s">
        <v>208</v>
      </c>
      <c r="E96" s="165"/>
      <c r="F96" s="165"/>
      <c r="G96" s="165"/>
      <c r="H96" s="166"/>
      <c r="I96" s="228"/>
      <c r="J96" s="168">
        <f>SUM(L96:DV96)</f>
        <v>50000000</v>
      </c>
      <c r="K96" s="98"/>
      <c r="L96" s="168">
        <f>SUMIF('CF(M)'!$L$10:$EQ$10,L$6,'CF(M)'!$L101:$EQ101)</f>
        <v>50000000</v>
      </c>
      <c r="M96" s="168">
        <f>SUMIF('CF(M)'!$L$10:$EQ$10,M$6,'CF(M)'!$L101:$EQ101)</f>
        <v>0</v>
      </c>
      <c r="N96" s="168">
        <f>SUMIF('CF(M)'!$L$10:$EQ$10,N$6,'CF(M)'!$L101:$EQ101)</f>
        <v>0</v>
      </c>
      <c r="O96" s="168">
        <f>SUMIF('CF(M)'!$L$10:$EQ$10,O$6,'CF(M)'!$L101:$EQ101)</f>
        <v>0</v>
      </c>
      <c r="P96" s="168">
        <f>SUMIF('CF(M)'!$L$10:$EQ$10,P$6,'CF(M)'!$L101:$EQ101)</f>
        <v>0</v>
      </c>
      <c r="Q96" s="168">
        <f>SUMIF('CF(M)'!$L$10:$EQ$10,Q$6,'CF(M)'!$L101:$EQ101)</f>
        <v>0</v>
      </c>
      <c r="R96" s="168">
        <f>SUMIF('CF(M)'!$L$10:$EQ$10,R$6,'CF(M)'!$L101:$EQ101)</f>
        <v>0</v>
      </c>
      <c r="S96" s="168">
        <f>SUMIF('CF(M)'!$L$10:$EQ$10,S$6,'CF(M)'!$L101:$EQ101)</f>
        <v>0</v>
      </c>
      <c r="T96" s="168">
        <f>SUMIF('CF(M)'!$L$10:$EQ$10,T$6,'CF(M)'!$L101:$EQ101)</f>
        <v>0</v>
      </c>
      <c r="U96" s="168">
        <f>SUMIF('CF(M)'!$L$10:$EQ$10,U$6,'CF(M)'!$L101:$EQ101)</f>
        <v>0</v>
      </c>
      <c r="V96" s="168">
        <f>SUMIF('CF(M)'!$L$10:$EQ$10,V$6,'CF(M)'!$L101:$EQ101)</f>
        <v>0</v>
      </c>
      <c r="W96" s="168">
        <f>SUMIF('CF(M)'!$L$10:$EQ$10,W$6,'CF(M)'!$L101:$EQ101)</f>
        <v>0</v>
      </c>
      <c r="X96" s="168">
        <f>SUMIF('CF(M)'!$L$10:$EQ$10,X$6,'CF(M)'!$L101:$EQ101)</f>
        <v>0</v>
      </c>
      <c r="Y96" s="168">
        <f>SUMIF('CF(M)'!$L$10:$EQ$10,Y$6,'CF(M)'!$L101:$EQ101)</f>
        <v>0</v>
      </c>
      <c r="Z96" s="168">
        <f>SUMIF('CF(M)'!$L$10:$EQ$10,Z$6,'CF(M)'!$L101:$EQ101)</f>
        <v>0</v>
      </c>
      <c r="AA96" s="168">
        <f>SUMIF('CF(M)'!$L$10:$EQ$10,AA$6,'CF(M)'!$L101:$EQ101)</f>
        <v>0</v>
      </c>
      <c r="AB96" s="168">
        <f>SUMIF('CF(M)'!$L$10:$EQ$10,AB$6,'CF(M)'!$L101:$EQ101)</f>
        <v>0</v>
      </c>
      <c r="AC96" s="168">
        <f>SUMIF('CF(M)'!$L$10:$EQ$10,AC$6,'CF(M)'!$L101:$EQ101)</f>
        <v>0</v>
      </c>
      <c r="AD96" s="168">
        <f>SUMIF('CF(M)'!$L$10:$EQ$10,AD$6,'CF(M)'!$L101:$EQ101)</f>
        <v>0</v>
      </c>
      <c r="AE96" s="168">
        <f>SUMIF('CF(M)'!$L$10:$EQ$10,AE$6,'CF(M)'!$L101:$EQ101)</f>
        <v>0</v>
      </c>
      <c r="AF96" s="168">
        <f>SUMIF('CF(M)'!$L$10:$EQ$10,AF$6,'CF(M)'!$L101:$EQ101)</f>
        <v>0</v>
      </c>
      <c r="AG96" s="168">
        <f>SUMIF('CF(M)'!$L$10:$EQ$10,AG$6,'CF(M)'!$L101:$EQ101)</f>
        <v>0</v>
      </c>
      <c r="AH96" s="168">
        <f>SUMIF('CF(M)'!$L$10:$EQ$10,AH$6,'CF(M)'!$L101:$EQ101)</f>
        <v>0</v>
      </c>
      <c r="AI96" s="168">
        <f>SUMIF('CF(M)'!$L$10:$EQ$10,AI$6,'CF(M)'!$L101:$EQ101)</f>
        <v>0</v>
      </c>
      <c r="AJ96" s="168">
        <f>SUMIF('CF(M)'!$L$10:$EQ$10,AJ$6,'CF(M)'!$L101:$EQ101)</f>
        <v>0</v>
      </c>
      <c r="AK96" s="168">
        <f>SUMIF('CF(M)'!$L$10:$EQ$10,AK$6,'CF(M)'!$L101:$EQ101)</f>
        <v>0</v>
      </c>
      <c r="AL96" s="168">
        <f>SUMIF('CF(M)'!$L$10:$EQ$10,AL$6,'CF(M)'!$L101:$EQ101)</f>
        <v>0</v>
      </c>
      <c r="AM96" s="168">
        <f>SUMIF('CF(M)'!$L$10:$EQ$10,AM$6,'CF(M)'!$L101:$EQ101)</f>
        <v>0</v>
      </c>
      <c r="AN96" s="168">
        <f>SUMIF('CF(M)'!$L$10:$EQ$10,AN$6,'CF(M)'!$L101:$EQ101)</f>
        <v>0</v>
      </c>
      <c r="AO96" s="168">
        <f>SUMIF('CF(M)'!$L$10:$EQ$10,AO$6,'CF(M)'!$L101:$EQ101)</f>
        <v>0</v>
      </c>
      <c r="AP96" s="168">
        <f>SUMIF('CF(M)'!$L$10:$EQ$10,AP$6,'CF(M)'!$L101:$EQ101)</f>
        <v>0</v>
      </c>
      <c r="AQ96" s="168">
        <f>SUMIF('CF(M)'!$L$10:$EQ$10,AQ$6,'CF(M)'!$L101:$EQ101)</f>
        <v>0</v>
      </c>
      <c r="AR96" s="168">
        <f>SUMIF('CF(M)'!$L$10:$EQ$10,AR$6,'CF(M)'!$L101:$EQ101)</f>
        <v>0</v>
      </c>
      <c r="AS96" s="168">
        <f>SUMIF('CF(M)'!$L$10:$EQ$10,AS$6,'CF(M)'!$L101:$EQ101)</f>
        <v>0</v>
      </c>
      <c r="AT96" s="168">
        <f>SUMIF('CF(M)'!$L$10:$EQ$10,AT$6,'CF(M)'!$L101:$EQ101)</f>
        <v>0</v>
      </c>
      <c r="AU96" s="168">
        <f>SUMIF('CF(M)'!$L$10:$EQ$10,AU$6,'CF(M)'!$L101:$EQ101)</f>
        <v>0</v>
      </c>
      <c r="AV96" s="168">
        <f>SUMIF('CF(M)'!$L$10:$EQ$10,AV$6,'CF(M)'!$L101:$EQ101)</f>
        <v>0</v>
      </c>
      <c r="AW96" s="168">
        <f>SUMIF('CF(M)'!$L$10:$EQ$10,AW$6,'CF(M)'!$L101:$EQ101)</f>
        <v>0</v>
      </c>
      <c r="AX96" s="168">
        <f>SUMIF('CF(M)'!$L$10:$EQ$10,AX$6,'CF(M)'!$L101:$EQ101)</f>
        <v>0</v>
      </c>
      <c r="AY96" s="168">
        <f>SUMIF('CF(M)'!$L$10:$EQ$10,AY$6,'CF(M)'!$L101:$EQ101)</f>
        <v>0</v>
      </c>
      <c r="AZ96" s="168">
        <f>SUMIF('CF(M)'!$L$10:$EQ$10,AZ$6,'CF(M)'!$L101:$EQ101)</f>
        <v>0</v>
      </c>
      <c r="BA96" s="168">
        <f>SUMIF('CF(M)'!$L$10:$EQ$10,BA$6,'CF(M)'!$L101:$EQ101)</f>
        <v>0</v>
      </c>
      <c r="BB96" s="168">
        <f>SUMIF('CF(M)'!$L$10:$EQ$10,BB$6,'CF(M)'!$L101:$EQ101)</f>
        <v>0</v>
      </c>
      <c r="BC96" s="168">
        <f>SUMIF('CF(M)'!$L$10:$EQ$10,BC$6,'CF(M)'!$L101:$EQ101)</f>
        <v>0</v>
      </c>
      <c r="BD96" s="168">
        <f>SUMIF('CF(M)'!$L$10:$EQ$10,BD$6,'CF(M)'!$L101:$EQ101)</f>
        <v>0</v>
      </c>
      <c r="BE96" s="168">
        <f>SUMIF('CF(M)'!$L$10:$EQ$10,BE$6,'CF(M)'!$L101:$EQ101)</f>
        <v>0</v>
      </c>
      <c r="BF96" s="168">
        <f>SUMIF('CF(M)'!$L$10:$EQ$10,BF$6,'CF(M)'!$L101:$EQ101)</f>
        <v>0</v>
      </c>
      <c r="BG96" s="168">
        <f>SUMIF('CF(M)'!$L$10:$EQ$10,BG$6,'CF(M)'!$L101:$EQ101)</f>
        <v>0</v>
      </c>
      <c r="BH96" s="168">
        <f>SUMIF('CF(M)'!$L$10:$EQ$10,BH$6,'CF(M)'!$L101:$EQ101)</f>
        <v>0</v>
      </c>
      <c r="BI96" s="168">
        <f>SUMIF('CF(M)'!$L$10:$EQ$10,BI$6,'CF(M)'!$L101:$EQ101)</f>
        <v>0</v>
      </c>
      <c r="BJ96" s="168">
        <f>SUMIF('CF(M)'!$L$10:$EQ$10,BJ$6,'CF(M)'!$L101:$EQ101)</f>
        <v>0</v>
      </c>
      <c r="BK96" s="168">
        <f>SUMIF('CF(M)'!$L$10:$EQ$10,BK$6,'CF(M)'!$L101:$EQ101)</f>
        <v>0</v>
      </c>
      <c r="BL96" s="168">
        <f>SUMIF('CF(M)'!$L$10:$EQ$10,BL$6,'CF(M)'!$L101:$EQ101)</f>
        <v>0</v>
      </c>
      <c r="BM96" s="168">
        <f>SUMIF('CF(M)'!$L$10:$EQ$10,BM$6,'CF(M)'!$L101:$EQ101)</f>
        <v>0</v>
      </c>
      <c r="BN96" s="168">
        <f>SUMIF('CF(M)'!$L$10:$EQ$10,BN$6,'CF(M)'!$L101:$EQ101)</f>
        <v>0</v>
      </c>
      <c r="BO96" s="168">
        <f>SUMIF('CF(M)'!$L$10:$EQ$10,BO$6,'CF(M)'!$L101:$EQ101)</f>
        <v>0</v>
      </c>
      <c r="BP96" s="168">
        <f>SUMIF('CF(M)'!$L$10:$EQ$10,BP$6,'CF(M)'!$L101:$EQ101)</f>
        <v>0</v>
      </c>
      <c r="BQ96" s="168">
        <f>SUMIF('CF(M)'!$L$10:$EQ$10,BQ$6,'CF(M)'!$L101:$EQ101)</f>
        <v>0</v>
      </c>
      <c r="BR96" s="168">
        <f>SUMIF('CF(M)'!$L$10:$EQ$10,BR$6,'CF(M)'!$L101:$EQ101)</f>
        <v>0</v>
      </c>
      <c r="BS96" s="168">
        <f>SUMIF('CF(M)'!$L$10:$EQ$10,BS$6,'CF(M)'!$L101:$EQ101)</f>
        <v>0</v>
      </c>
      <c r="BT96" s="168">
        <f>SUMIF('CF(M)'!$L$10:$EQ$10,BT$6,'CF(M)'!$L101:$EQ101)</f>
        <v>0</v>
      </c>
      <c r="BU96" s="168">
        <f>SUMIF('CF(M)'!$L$10:$EQ$10,BU$6,'CF(M)'!$L101:$EQ101)</f>
        <v>0</v>
      </c>
      <c r="BV96" s="168">
        <f>SUMIF('CF(M)'!$L$10:$EQ$10,BV$6,'CF(M)'!$L101:$EQ101)</f>
        <v>0</v>
      </c>
      <c r="BW96" s="168">
        <f>SUMIF('CF(M)'!$L$10:$EQ$10,BW$6,'CF(M)'!$L101:$EQ101)</f>
        <v>0</v>
      </c>
      <c r="BX96" s="168">
        <f>SUMIF('CF(M)'!$L$10:$EQ$10,BX$6,'CF(M)'!$L101:$EQ101)</f>
        <v>0</v>
      </c>
      <c r="BY96" s="168">
        <f>SUMIF('CF(M)'!$L$10:$EQ$10,BY$6,'CF(M)'!$L101:$EQ101)</f>
        <v>0</v>
      </c>
      <c r="BZ96" s="168">
        <f>SUMIF('CF(M)'!$L$10:$EQ$10,BZ$6,'CF(M)'!$L101:$EQ101)</f>
        <v>0</v>
      </c>
      <c r="CA96" s="168">
        <f>SUMIF('CF(M)'!$L$10:$EQ$10,CA$6,'CF(M)'!$L101:$EQ101)</f>
        <v>0</v>
      </c>
      <c r="CB96" s="168">
        <f>SUMIF('CF(M)'!$L$10:$EQ$10,CB$6,'CF(M)'!$L101:$EQ101)</f>
        <v>0</v>
      </c>
      <c r="CC96" s="168">
        <f>SUMIF('CF(M)'!$L$10:$EQ$10,CC$6,'CF(M)'!$L101:$EQ101)</f>
        <v>0</v>
      </c>
      <c r="CD96" s="168">
        <f>SUMIF('CF(M)'!$L$10:$EQ$10,CD$6,'CF(M)'!$L101:$EQ101)</f>
        <v>0</v>
      </c>
      <c r="CE96" s="168">
        <f>SUMIF('CF(M)'!$L$10:$EQ$10,CE$6,'CF(M)'!$L101:$EQ101)</f>
        <v>0</v>
      </c>
      <c r="CF96" s="168">
        <f>SUMIF('CF(M)'!$L$10:$EQ$10,CF$6,'CF(M)'!$L101:$EQ101)</f>
        <v>0</v>
      </c>
      <c r="CG96" s="168">
        <f>SUMIF('CF(M)'!$L$10:$EQ$10,CG$6,'CF(M)'!$L101:$EQ101)</f>
        <v>0</v>
      </c>
      <c r="CH96" s="168">
        <f>SUMIF('CF(M)'!$L$10:$EQ$10,CH$6,'CF(M)'!$L101:$EQ101)</f>
        <v>0</v>
      </c>
      <c r="CI96" s="168">
        <f>SUMIF('CF(M)'!$L$10:$EQ$10,CI$6,'CF(M)'!$L101:$EQ101)</f>
        <v>0</v>
      </c>
      <c r="CJ96" s="168">
        <f>SUMIF('CF(M)'!$L$10:$EQ$10,CJ$6,'CF(M)'!$L101:$EQ101)</f>
        <v>0</v>
      </c>
      <c r="CK96" s="168">
        <f>SUMIF('CF(M)'!$L$10:$EQ$10,CK$6,'CF(M)'!$L101:$EQ101)</f>
        <v>0</v>
      </c>
      <c r="CL96" s="168">
        <f>SUMIF('CF(M)'!$L$10:$EQ$10,CL$6,'CF(M)'!$L101:$EQ101)</f>
        <v>0</v>
      </c>
      <c r="CM96" s="168">
        <f>SUMIF('CF(M)'!$L$10:$EQ$10,CM$6,'CF(M)'!$L101:$EQ101)</f>
        <v>0</v>
      </c>
      <c r="CN96" s="168">
        <f>SUMIF('CF(M)'!$L$10:$EQ$10,CN$6,'CF(M)'!$L101:$EQ101)</f>
        <v>0</v>
      </c>
      <c r="CO96" s="168">
        <f>SUMIF('CF(M)'!$L$10:$EQ$10,CO$6,'CF(M)'!$L101:$EQ101)</f>
        <v>0</v>
      </c>
      <c r="CP96" s="168">
        <f>SUMIF('CF(M)'!$L$10:$EQ$10,CP$6,'CF(M)'!$L101:$EQ101)</f>
        <v>0</v>
      </c>
      <c r="CQ96" s="168">
        <f>SUMIF('CF(M)'!$L$10:$EQ$10,CQ$6,'CF(M)'!$L101:$EQ101)</f>
        <v>0</v>
      </c>
      <c r="CR96" s="168">
        <f>SUMIF('CF(M)'!$L$10:$EQ$10,CR$6,'CF(M)'!$L101:$EQ101)</f>
        <v>0</v>
      </c>
      <c r="CS96" s="168">
        <f>SUMIF('CF(M)'!$L$10:$EQ$10,CS$6,'CF(M)'!$L101:$EQ101)</f>
        <v>0</v>
      </c>
      <c r="CT96" s="168">
        <f>SUMIF('CF(M)'!$L$10:$EQ$10,CT$6,'CF(M)'!$L101:$EQ101)</f>
        <v>0</v>
      </c>
      <c r="CU96" s="168">
        <f>SUMIF('CF(M)'!$L$10:$EQ$10,CU$6,'CF(M)'!$L101:$EQ101)</f>
        <v>0</v>
      </c>
      <c r="CV96" s="168">
        <f>SUMIF('CF(M)'!$L$10:$EQ$10,CV$6,'CF(M)'!$L101:$EQ101)</f>
        <v>0</v>
      </c>
      <c r="CW96" s="168">
        <f>SUMIF('CF(M)'!$L$10:$EQ$10,CW$6,'CF(M)'!$L101:$EQ101)</f>
        <v>0</v>
      </c>
      <c r="CX96" s="168">
        <f>SUMIF('CF(M)'!$L$10:$EQ$10,CX$6,'CF(M)'!$L101:$EQ101)</f>
        <v>0</v>
      </c>
      <c r="CY96" s="168">
        <f>SUMIF('CF(M)'!$L$10:$EQ$10,CY$6,'CF(M)'!$L101:$EQ101)</f>
        <v>0</v>
      </c>
      <c r="CZ96" s="168">
        <f>SUMIF('CF(M)'!$L$10:$EQ$10,CZ$6,'CF(M)'!$L101:$EQ101)</f>
        <v>0</v>
      </c>
      <c r="DA96" s="168">
        <f>SUMIF('CF(M)'!$L$10:$EQ$10,DA$6,'CF(M)'!$L101:$EQ101)</f>
        <v>0</v>
      </c>
      <c r="DB96" s="168">
        <f>SUMIF('CF(M)'!$L$10:$EQ$10,DB$6,'CF(M)'!$L101:$EQ101)</f>
        <v>0</v>
      </c>
      <c r="DC96" s="168">
        <f>SUMIF('CF(M)'!$L$10:$EQ$10,DC$6,'CF(M)'!$L101:$EQ101)</f>
        <v>0</v>
      </c>
      <c r="DD96" s="168">
        <f>SUMIF('CF(M)'!$L$10:$EQ$10,DD$6,'CF(M)'!$L101:$EQ101)</f>
        <v>0</v>
      </c>
      <c r="DE96" s="168">
        <f>SUMIF('CF(M)'!$L$10:$EQ$10,DE$6,'CF(M)'!$L101:$EQ101)</f>
        <v>0</v>
      </c>
      <c r="DF96" s="168">
        <f>SUMIF('CF(M)'!$L$10:$EQ$10,DF$6,'CF(M)'!$L101:$EQ101)</f>
        <v>0</v>
      </c>
      <c r="DG96" s="168">
        <f>SUMIF('CF(M)'!$L$10:$EQ$10,DG$6,'CF(M)'!$L101:$EQ101)</f>
        <v>0</v>
      </c>
      <c r="DH96" s="168">
        <f>SUMIF('CF(M)'!$L$10:$EQ$10,DH$6,'CF(M)'!$L101:$EQ101)</f>
        <v>0</v>
      </c>
      <c r="DI96" s="168">
        <f>SUMIF('CF(M)'!$L$10:$EQ$10,DI$6,'CF(M)'!$L101:$EQ101)</f>
        <v>0</v>
      </c>
      <c r="DJ96" s="168">
        <f>SUMIF('CF(M)'!$L$10:$EQ$10,DJ$6,'CF(M)'!$L101:$EQ101)</f>
        <v>0</v>
      </c>
      <c r="DK96" s="168">
        <f>SUMIF('CF(M)'!$L$10:$EQ$10,DK$6,'CF(M)'!$L101:$EQ101)</f>
        <v>0</v>
      </c>
      <c r="DL96" s="168">
        <f>SUMIF('CF(M)'!$L$10:$EQ$10,DL$6,'CF(M)'!$L101:$EQ101)</f>
        <v>0</v>
      </c>
      <c r="DM96" s="168">
        <f>SUMIF('CF(M)'!$L$10:$EQ$10,DM$6,'CF(M)'!$L101:$EQ101)</f>
        <v>0</v>
      </c>
      <c r="DN96" s="168">
        <f>SUMIF('CF(M)'!$L$10:$EQ$10,DN$6,'CF(M)'!$L101:$EQ101)</f>
        <v>0</v>
      </c>
      <c r="DO96" s="168">
        <f>SUMIF('CF(M)'!$L$10:$EQ$10,DO$6,'CF(M)'!$L101:$EQ101)</f>
        <v>0</v>
      </c>
      <c r="DP96" s="168">
        <f>SUMIF('CF(M)'!$L$10:$EQ$10,DP$6,'CF(M)'!$L101:$EQ101)</f>
        <v>0</v>
      </c>
      <c r="DQ96" s="168">
        <f>SUMIF('CF(M)'!$L$10:$EQ$10,DQ$6,'CF(M)'!$L101:$EQ101)</f>
        <v>0</v>
      </c>
      <c r="DR96" s="168">
        <f>SUMIF('CF(M)'!$L$10:$EQ$10,DR$6,'CF(M)'!$L101:$EQ101)</f>
        <v>0</v>
      </c>
      <c r="DS96" s="168">
        <f>SUMIF('CF(M)'!$L$10:$EQ$10,DS$6,'CF(M)'!$L101:$EQ101)</f>
        <v>0</v>
      </c>
      <c r="DT96" s="168">
        <f>SUMIF('CF(M)'!$L$10:$EQ$10,DT$6,'CF(M)'!$L101:$EQ101)</f>
        <v>0</v>
      </c>
      <c r="DU96" s="168">
        <f>SUMIF('CF(M)'!$L$10:$EQ$10,DU$6,'CF(M)'!$L101:$EQ101)</f>
        <v>0</v>
      </c>
      <c r="DV96" s="168">
        <f>SUMIF('CF(M)'!$L$10:$EQ$10,DV$6,'CF(M)'!$L101:$EQ101)</f>
        <v>0</v>
      </c>
    </row>
    <row r="97" spans="2:126" ht="11.25" customHeight="1">
      <c r="B97" s="218"/>
      <c r="C97" s="163"/>
      <c r="D97" s="169" t="s">
        <v>551</v>
      </c>
      <c r="H97" s="146"/>
      <c r="I97" s="229"/>
      <c r="J97" s="171">
        <f>SUM(L97:DV97)</f>
        <v>-50000000</v>
      </c>
      <c r="K97" s="98"/>
      <c r="L97" s="171">
        <f>SUMIF('CF(M)'!$L$10:$EQ$10,L$6,'CF(M)'!$L102:$EQ102)</f>
        <v>0</v>
      </c>
      <c r="M97" s="171">
        <f>SUMIF('CF(M)'!$L$10:$EQ$10,M$6,'CF(M)'!$L102:$EQ102)</f>
        <v>0</v>
      </c>
      <c r="N97" s="171">
        <f>SUMIF('CF(M)'!$L$10:$EQ$10,N$6,'CF(M)'!$L102:$EQ102)</f>
        <v>0</v>
      </c>
      <c r="O97" s="171">
        <f>SUMIF('CF(M)'!$L$10:$EQ$10,O$6,'CF(M)'!$L102:$EQ102)</f>
        <v>0</v>
      </c>
      <c r="P97" s="171">
        <f>SUMIF('CF(M)'!$L$10:$EQ$10,P$6,'CF(M)'!$L102:$EQ102)</f>
        <v>0</v>
      </c>
      <c r="Q97" s="171">
        <f>SUMIF('CF(M)'!$L$10:$EQ$10,Q$6,'CF(M)'!$L102:$EQ102)</f>
        <v>0</v>
      </c>
      <c r="R97" s="171">
        <f>SUMIF('CF(M)'!$L$10:$EQ$10,R$6,'CF(M)'!$L102:$EQ102)</f>
        <v>0</v>
      </c>
      <c r="S97" s="171">
        <f>SUMIF('CF(M)'!$L$10:$EQ$10,S$6,'CF(M)'!$L102:$EQ102)</f>
        <v>0</v>
      </c>
      <c r="T97" s="171">
        <f>SUMIF('CF(M)'!$L$10:$EQ$10,T$6,'CF(M)'!$L102:$EQ102)</f>
        <v>0</v>
      </c>
      <c r="U97" s="171">
        <f>SUMIF('CF(M)'!$L$10:$EQ$10,U$6,'CF(M)'!$L102:$EQ102)</f>
        <v>0</v>
      </c>
      <c r="V97" s="171">
        <f>SUMIF('CF(M)'!$L$10:$EQ$10,V$6,'CF(M)'!$L102:$EQ102)</f>
        <v>0</v>
      </c>
      <c r="W97" s="171">
        <f>SUMIF('CF(M)'!$L$10:$EQ$10,W$6,'CF(M)'!$L102:$EQ102)</f>
        <v>0</v>
      </c>
      <c r="X97" s="171">
        <f>SUMIF('CF(M)'!$L$10:$EQ$10,X$6,'CF(M)'!$L102:$EQ102)</f>
        <v>0</v>
      </c>
      <c r="Y97" s="171">
        <f>SUMIF('CF(M)'!$L$10:$EQ$10,Y$6,'CF(M)'!$L102:$EQ102)</f>
        <v>0</v>
      </c>
      <c r="Z97" s="171">
        <f>SUMIF('CF(M)'!$L$10:$EQ$10,Z$6,'CF(M)'!$L102:$EQ102)</f>
        <v>0</v>
      </c>
      <c r="AA97" s="171">
        <f>SUMIF('CF(M)'!$L$10:$EQ$10,AA$6,'CF(M)'!$L102:$EQ102)</f>
        <v>0</v>
      </c>
      <c r="AB97" s="171">
        <f>SUMIF('CF(M)'!$L$10:$EQ$10,AB$6,'CF(M)'!$L102:$EQ102)</f>
        <v>0</v>
      </c>
      <c r="AC97" s="171">
        <f>SUMIF('CF(M)'!$L$10:$EQ$10,AC$6,'CF(M)'!$L102:$EQ102)</f>
        <v>0</v>
      </c>
      <c r="AD97" s="171">
        <f>SUMIF('CF(M)'!$L$10:$EQ$10,AD$6,'CF(M)'!$L102:$EQ102)</f>
        <v>0</v>
      </c>
      <c r="AE97" s="171">
        <f>SUMIF('CF(M)'!$L$10:$EQ$10,AE$6,'CF(M)'!$L102:$EQ102)</f>
        <v>0</v>
      </c>
      <c r="AF97" s="171">
        <f>SUMIF('CF(M)'!$L$10:$EQ$10,AF$6,'CF(M)'!$L102:$EQ102)</f>
        <v>-50000000</v>
      </c>
      <c r="AG97" s="171">
        <f>SUMIF('CF(M)'!$L$10:$EQ$10,AG$6,'CF(M)'!$L102:$EQ102)</f>
        <v>0</v>
      </c>
      <c r="AH97" s="171">
        <f>SUMIF('CF(M)'!$L$10:$EQ$10,AH$6,'CF(M)'!$L102:$EQ102)</f>
        <v>0</v>
      </c>
      <c r="AI97" s="171">
        <f>SUMIF('CF(M)'!$L$10:$EQ$10,AI$6,'CF(M)'!$L102:$EQ102)</f>
        <v>0</v>
      </c>
      <c r="AJ97" s="171">
        <f>SUMIF('CF(M)'!$L$10:$EQ$10,AJ$6,'CF(M)'!$L102:$EQ102)</f>
        <v>0</v>
      </c>
      <c r="AK97" s="171">
        <f>SUMIF('CF(M)'!$L$10:$EQ$10,AK$6,'CF(M)'!$L102:$EQ102)</f>
        <v>0</v>
      </c>
      <c r="AL97" s="171">
        <f>SUMIF('CF(M)'!$L$10:$EQ$10,AL$6,'CF(M)'!$L102:$EQ102)</f>
        <v>0</v>
      </c>
      <c r="AM97" s="171">
        <f>SUMIF('CF(M)'!$L$10:$EQ$10,AM$6,'CF(M)'!$L102:$EQ102)</f>
        <v>0</v>
      </c>
      <c r="AN97" s="171">
        <f>SUMIF('CF(M)'!$L$10:$EQ$10,AN$6,'CF(M)'!$L102:$EQ102)</f>
        <v>0</v>
      </c>
      <c r="AO97" s="171">
        <f>SUMIF('CF(M)'!$L$10:$EQ$10,AO$6,'CF(M)'!$L102:$EQ102)</f>
        <v>0</v>
      </c>
      <c r="AP97" s="171">
        <f>SUMIF('CF(M)'!$L$10:$EQ$10,AP$6,'CF(M)'!$L102:$EQ102)</f>
        <v>0</v>
      </c>
      <c r="AQ97" s="171">
        <f>SUMIF('CF(M)'!$L$10:$EQ$10,AQ$6,'CF(M)'!$L102:$EQ102)</f>
        <v>0</v>
      </c>
      <c r="AR97" s="171">
        <f>SUMIF('CF(M)'!$L$10:$EQ$10,AR$6,'CF(M)'!$L102:$EQ102)</f>
        <v>0</v>
      </c>
      <c r="AS97" s="171">
        <f>SUMIF('CF(M)'!$L$10:$EQ$10,AS$6,'CF(M)'!$L102:$EQ102)</f>
        <v>0</v>
      </c>
      <c r="AT97" s="171">
        <f>SUMIF('CF(M)'!$L$10:$EQ$10,AT$6,'CF(M)'!$L102:$EQ102)</f>
        <v>0</v>
      </c>
      <c r="AU97" s="171">
        <f>SUMIF('CF(M)'!$L$10:$EQ$10,AU$6,'CF(M)'!$L102:$EQ102)</f>
        <v>0</v>
      </c>
      <c r="AV97" s="171">
        <f>SUMIF('CF(M)'!$L$10:$EQ$10,AV$6,'CF(M)'!$L102:$EQ102)</f>
        <v>0</v>
      </c>
      <c r="AW97" s="171">
        <f>SUMIF('CF(M)'!$L$10:$EQ$10,AW$6,'CF(M)'!$L102:$EQ102)</f>
        <v>0</v>
      </c>
      <c r="AX97" s="171">
        <f>SUMIF('CF(M)'!$L$10:$EQ$10,AX$6,'CF(M)'!$L102:$EQ102)</f>
        <v>0</v>
      </c>
      <c r="AY97" s="171">
        <f>SUMIF('CF(M)'!$L$10:$EQ$10,AY$6,'CF(M)'!$L102:$EQ102)</f>
        <v>0</v>
      </c>
      <c r="AZ97" s="171">
        <f>SUMIF('CF(M)'!$L$10:$EQ$10,AZ$6,'CF(M)'!$L102:$EQ102)</f>
        <v>0</v>
      </c>
      <c r="BA97" s="171">
        <f>SUMIF('CF(M)'!$L$10:$EQ$10,BA$6,'CF(M)'!$L102:$EQ102)</f>
        <v>0</v>
      </c>
      <c r="BB97" s="171">
        <f>SUMIF('CF(M)'!$L$10:$EQ$10,BB$6,'CF(M)'!$L102:$EQ102)</f>
        <v>0</v>
      </c>
      <c r="BC97" s="171">
        <f>SUMIF('CF(M)'!$L$10:$EQ$10,BC$6,'CF(M)'!$L102:$EQ102)</f>
        <v>0</v>
      </c>
      <c r="BD97" s="171">
        <f>SUMIF('CF(M)'!$L$10:$EQ$10,BD$6,'CF(M)'!$L102:$EQ102)</f>
        <v>0</v>
      </c>
      <c r="BE97" s="171">
        <f>SUMIF('CF(M)'!$L$10:$EQ$10,BE$6,'CF(M)'!$L102:$EQ102)</f>
        <v>0</v>
      </c>
      <c r="BF97" s="171">
        <f>SUMIF('CF(M)'!$L$10:$EQ$10,BF$6,'CF(M)'!$L102:$EQ102)</f>
        <v>0</v>
      </c>
      <c r="BG97" s="171">
        <f>SUMIF('CF(M)'!$L$10:$EQ$10,BG$6,'CF(M)'!$L102:$EQ102)</f>
        <v>0</v>
      </c>
      <c r="BH97" s="171">
        <f>SUMIF('CF(M)'!$L$10:$EQ$10,BH$6,'CF(M)'!$L102:$EQ102)</f>
        <v>0</v>
      </c>
      <c r="BI97" s="171">
        <f>SUMIF('CF(M)'!$L$10:$EQ$10,BI$6,'CF(M)'!$L102:$EQ102)</f>
        <v>0</v>
      </c>
      <c r="BJ97" s="171">
        <f>SUMIF('CF(M)'!$L$10:$EQ$10,BJ$6,'CF(M)'!$L102:$EQ102)</f>
        <v>0</v>
      </c>
      <c r="BK97" s="171">
        <f>SUMIF('CF(M)'!$L$10:$EQ$10,BK$6,'CF(M)'!$L102:$EQ102)</f>
        <v>0</v>
      </c>
      <c r="BL97" s="171">
        <f>SUMIF('CF(M)'!$L$10:$EQ$10,BL$6,'CF(M)'!$L102:$EQ102)</f>
        <v>0</v>
      </c>
      <c r="BM97" s="171">
        <f>SUMIF('CF(M)'!$L$10:$EQ$10,BM$6,'CF(M)'!$L102:$EQ102)</f>
        <v>0</v>
      </c>
      <c r="BN97" s="171">
        <f>SUMIF('CF(M)'!$L$10:$EQ$10,BN$6,'CF(M)'!$L102:$EQ102)</f>
        <v>0</v>
      </c>
      <c r="BO97" s="171">
        <f>SUMIF('CF(M)'!$L$10:$EQ$10,BO$6,'CF(M)'!$L102:$EQ102)</f>
        <v>0</v>
      </c>
      <c r="BP97" s="171">
        <f>SUMIF('CF(M)'!$L$10:$EQ$10,BP$6,'CF(M)'!$L102:$EQ102)</f>
        <v>0</v>
      </c>
      <c r="BQ97" s="171">
        <f>SUMIF('CF(M)'!$L$10:$EQ$10,BQ$6,'CF(M)'!$L102:$EQ102)</f>
        <v>0</v>
      </c>
      <c r="BR97" s="171">
        <f>SUMIF('CF(M)'!$L$10:$EQ$10,BR$6,'CF(M)'!$L102:$EQ102)</f>
        <v>0</v>
      </c>
      <c r="BS97" s="171">
        <f>SUMIF('CF(M)'!$L$10:$EQ$10,BS$6,'CF(M)'!$L102:$EQ102)</f>
        <v>0</v>
      </c>
      <c r="BT97" s="171">
        <f>SUMIF('CF(M)'!$L$10:$EQ$10,BT$6,'CF(M)'!$L102:$EQ102)</f>
        <v>0</v>
      </c>
      <c r="BU97" s="171">
        <f>SUMIF('CF(M)'!$L$10:$EQ$10,BU$6,'CF(M)'!$L102:$EQ102)</f>
        <v>0</v>
      </c>
      <c r="BV97" s="171">
        <f>SUMIF('CF(M)'!$L$10:$EQ$10,BV$6,'CF(M)'!$L102:$EQ102)</f>
        <v>0</v>
      </c>
      <c r="BW97" s="171">
        <f>SUMIF('CF(M)'!$L$10:$EQ$10,BW$6,'CF(M)'!$L102:$EQ102)</f>
        <v>0</v>
      </c>
      <c r="BX97" s="171">
        <f>SUMIF('CF(M)'!$L$10:$EQ$10,BX$6,'CF(M)'!$L102:$EQ102)</f>
        <v>0</v>
      </c>
      <c r="BY97" s="171">
        <f>SUMIF('CF(M)'!$L$10:$EQ$10,BY$6,'CF(M)'!$L102:$EQ102)</f>
        <v>0</v>
      </c>
      <c r="BZ97" s="171">
        <f>SUMIF('CF(M)'!$L$10:$EQ$10,BZ$6,'CF(M)'!$L102:$EQ102)</f>
        <v>0</v>
      </c>
      <c r="CA97" s="171">
        <f>SUMIF('CF(M)'!$L$10:$EQ$10,CA$6,'CF(M)'!$L102:$EQ102)</f>
        <v>0</v>
      </c>
      <c r="CB97" s="171">
        <f>SUMIF('CF(M)'!$L$10:$EQ$10,CB$6,'CF(M)'!$L102:$EQ102)</f>
        <v>0</v>
      </c>
      <c r="CC97" s="171">
        <f>SUMIF('CF(M)'!$L$10:$EQ$10,CC$6,'CF(M)'!$L102:$EQ102)</f>
        <v>0</v>
      </c>
      <c r="CD97" s="171">
        <f>SUMIF('CF(M)'!$L$10:$EQ$10,CD$6,'CF(M)'!$L102:$EQ102)</f>
        <v>0</v>
      </c>
      <c r="CE97" s="171">
        <f>SUMIF('CF(M)'!$L$10:$EQ$10,CE$6,'CF(M)'!$L102:$EQ102)</f>
        <v>0</v>
      </c>
      <c r="CF97" s="171">
        <f>SUMIF('CF(M)'!$L$10:$EQ$10,CF$6,'CF(M)'!$L102:$EQ102)</f>
        <v>0</v>
      </c>
      <c r="CG97" s="171">
        <f>SUMIF('CF(M)'!$L$10:$EQ$10,CG$6,'CF(M)'!$L102:$EQ102)</f>
        <v>0</v>
      </c>
      <c r="CH97" s="171">
        <f>SUMIF('CF(M)'!$L$10:$EQ$10,CH$6,'CF(M)'!$L102:$EQ102)</f>
        <v>0</v>
      </c>
      <c r="CI97" s="171">
        <f>SUMIF('CF(M)'!$L$10:$EQ$10,CI$6,'CF(M)'!$L102:$EQ102)</f>
        <v>0</v>
      </c>
      <c r="CJ97" s="171">
        <f>SUMIF('CF(M)'!$L$10:$EQ$10,CJ$6,'CF(M)'!$L102:$EQ102)</f>
        <v>0</v>
      </c>
      <c r="CK97" s="171">
        <f>SUMIF('CF(M)'!$L$10:$EQ$10,CK$6,'CF(M)'!$L102:$EQ102)</f>
        <v>0</v>
      </c>
      <c r="CL97" s="171">
        <f>SUMIF('CF(M)'!$L$10:$EQ$10,CL$6,'CF(M)'!$L102:$EQ102)</f>
        <v>0</v>
      </c>
      <c r="CM97" s="171">
        <f>SUMIF('CF(M)'!$L$10:$EQ$10,CM$6,'CF(M)'!$L102:$EQ102)</f>
        <v>0</v>
      </c>
      <c r="CN97" s="171">
        <f>SUMIF('CF(M)'!$L$10:$EQ$10,CN$6,'CF(M)'!$L102:$EQ102)</f>
        <v>0</v>
      </c>
      <c r="CO97" s="171">
        <f>SUMIF('CF(M)'!$L$10:$EQ$10,CO$6,'CF(M)'!$L102:$EQ102)</f>
        <v>0</v>
      </c>
      <c r="CP97" s="171">
        <f>SUMIF('CF(M)'!$L$10:$EQ$10,CP$6,'CF(M)'!$L102:$EQ102)</f>
        <v>0</v>
      </c>
      <c r="CQ97" s="171">
        <f>SUMIF('CF(M)'!$L$10:$EQ$10,CQ$6,'CF(M)'!$L102:$EQ102)</f>
        <v>0</v>
      </c>
      <c r="CR97" s="171">
        <f>SUMIF('CF(M)'!$L$10:$EQ$10,CR$6,'CF(M)'!$L102:$EQ102)</f>
        <v>0</v>
      </c>
      <c r="CS97" s="171">
        <f>SUMIF('CF(M)'!$L$10:$EQ$10,CS$6,'CF(M)'!$L102:$EQ102)</f>
        <v>0</v>
      </c>
      <c r="CT97" s="171">
        <f>SUMIF('CF(M)'!$L$10:$EQ$10,CT$6,'CF(M)'!$L102:$EQ102)</f>
        <v>0</v>
      </c>
      <c r="CU97" s="171">
        <f>SUMIF('CF(M)'!$L$10:$EQ$10,CU$6,'CF(M)'!$L102:$EQ102)</f>
        <v>0</v>
      </c>
      <c r="CV97" s="171">
        <f>SUMIF('CF(M)'!$L$10:$EQ$10,CV$6,'CF(M)'!$L102:$EQ102)</f>
        <v>0</v>
      </c>
      <c r="CW97" s="171">
        <f>SUMIF('CF(M)'!$L$10:$EQ$10,CW$6,'CF(M)'!$L102:$EQ102)</f>
        <v>0</v>
      </c>
      <c r="CX97" s="171">
        <f>SUMIF('CF(M)'!$L$10:$EQ$10,CX$6,'CF(M)'!$L102:$EQ102)</f>
        <v>0</v>
      </c>
      <c r="CY97" s="171">
        <f>SUMIF('CF(M)'!$L$10:$EQ$10,CY$6,'CF(M)'!$L102:$EQ102)</f>
        <v>0</v>
      </c>
      <c r="CZ97" s="171">
        <f>SUMIF('CF(M)'!$L$10:$EQ$10,CZ$6,'CF(M)'!$L102:$EQ102)</f>
        <v>0</v>
      </c>
      <c r="DA97" s="171">
        <f>SUMIF('CF(M)'!$L$10:$EQ$10,DA$6,'CF(M)'!$L102:$EQ102)</f>
        <v>0</v>
      </c>
      <c r="DB97" s="171">
        <f>SUMIF('CF(M)'!$L$10:$EQ$10,DB$6,'CF(M)'!$L102:$EQ102)</f>
        <v>0</v>
      </c>
      <c r="DC97" s="171">
        <f>SUMIF('CF(M)'!$L$10:$EQ$10,DC$6,'CF(M)'!$L102:$EQ102)</f>
        <v>0</v>
      </c>
      <c r="DD97" s="171">
        <f>SUMIF('CF(M)'!$L$10:$EQ$10,DD$6,'CF(M)'!$L102:$EQ102)</f>
        <v>0</v>
      </c>
      <c r="DE97" s="171">
        <f>SUMIF('CF(M)'!$L$10:$EQ$10,DE$6,'CF(M)'!$L102:$EQ102)</f>
        <v>0</v>
      </c>
      <c r="DF97" s="171">
        <f>SUMIF('CF(M)'!$L$10:$EQ$10,DF$6,'CF(M)'!$L102:$EQ102)</f>
        <v>0</v>
      </c>
      <c r="DG97" s="171">
        <f>SUMIF('CF(M)'!$L$10:$EQ$10,DG$6,'CF(M)'!$L102:$EQ102)</f>
        <v>0</v>
      </c>
      <c r="DH97" s="171">
        <f>SUMIF('CF(M)'!$L$10:$EQ$10,DH$6,'CF(M)'!$L102:$EQ102)</f>
        <v>0</v>
      </c>
      <c r="DI97" s="171">
        <f>SUMIF('CF(M)'!$L$10:$EQ$10,DI$6,'CF(M)'!$L102:$EQ102)</f>
        <v>0</v>
      </c>
      <c r="DJ97" s="171">
        <f>SUMIF('CF(M)'!$L$10:$EQ$10,DJ$6,'CF(M)'!$L102:$EQ102)</f>
        <v>0</v>
      </c>
      <c r="DK97" s="171">
        <f>SUMIF('CF(M)'!$L$10:$EQ$10,DK$6,'CF(M)'!$L102:$EQ102)</f>
        <v>0</v>
      </c>
      <c r="DL97" s="171">
        <f>SUMIF('CF(M)'!$L$10:$EQ$10,DL$6,'CF(M)'!$L102:$EQ102)</f>
        <v>0</v>
      </c>
      <c r="DM97" s="171">
        <f>SUMIF('CF(M)'!$L$10:$EQ$10,DM$6,'CF(M)'!$L102:$EQ102)</f>
        <v>0</v>
      </c>
      <c r="DN97" s="171">
        <f>SUMIF('CF(M)'!$L$10:$EQ$10,DN$6,'CF(M)'!$L102:$EQ102)</f>
        <v>0</v>
      </c>
      <c r="DO97" s="171">
        <f>SUMIF('CF(M)'!$L$10:$EQ$10,DO$6,'CF(M)'!$L102:$EQ102)</f>
        <v>0</v>
      </c>
      <c r="DP97" s="171">
        <f>SUMIF('CF(M)'!$L$10:$EQ$10,DP$6,'CF(M)'!$L102:$EQ102)</f>
        <v>0</v>
      </c>
      <c r="DQ97" s="171">
        <f>SUMIF('CF(M)'!$L$10:$EQ$10,DQ$6,'CF(M)'!$L102:$EQ102)</f>
        <v>0</v>
      </c>
      <c r="DR97" s="171">
        <f>SUMIF('CF(M)'!$L$10:$EQ$10,DR$6,'CF(M)'!$L102:$EQ102)</f>
        <v>0</v>
      </c>
      <c r="DS97" s="171">
        <f>SUMIF('CF(M)'!$L$10:$EQ$10,DS$6,'CF(M)'!$L102:$EQ102)</f>
        <v>0</v>
      </c>
      <c r="DT97" s="171">
        <f>SUMIF('CF(M)'!$L$10:$EQ$10,DT$6,'CF(M)'!$L102:$EQ102)</f>
        <v>0</v>
      </c>
      <c r="DU97" s="171">
        <f>SUMIF('CF(M)'!$L$10:$EQ$10,DU$6,'CF(M)'!$L102:$EQ102)</f>
        <v>0</v>
      </c>
      <c r="DV97" s="171">
        <f>SUMIF('CF(M)'!$L$10:$EQ$10,DV$6,'CF(M)'!$L102:$EQ102)</f>
        <v>0</v>
      </c>
    </row>
    <row r="98" spans="2:126" ht="11.25" customHeight="1">
      <c r="B98" s="218"/>
      <c r="C98" s="163"/>
      <c r="D98" s="169" t="s">
        <v>261</v>
      </c>
      <c r="H98" s="146"/>
      <c r="I98" s="229"/>
      <c r="J98" s="171">
        <f ca="1">SUM(L98:DV98)</f>
        <v>-37500000</v>
      </c>
      <c r="K98" s="98"/>
      <c r="L98" s="171">
        <f ca="1">SUMIF('CF(M)'!$L$10:$EQ$10,L$6,'CF(M)'!$L103:$EQ103)</f>
        <v>0</v>
      </c>
      <c r="M98" s="171">
        <f ca="1">SUMIF('CF(M)'!$L$10:$EQ$10,M$6,'CF(M)'!$L103:$EQ103)</f>
        <v>-1875000</v>
      </c>
      <c r="N98" s="171">
        <f ca="1">SUMIF('CF(M)'!$L$10:$EQ$10,N$6,'CF(M)'!$L103:$EQ103)</f>
        <v>-1875000</v>
      </c>
      <c r="O98" s="171">
        <f ca="1">SUMIF('CF(M)'!$L$10:$EQ$10,O$6,'CF(M)'!$L103:$EQ103)</f>
        <v>-1875000</v>
      </c>
      <c r="P98" s="171">
        <f ca="1">SUMIF('CF(M)'!$L$10:$EQ$10,P$6,'CF(M)'!$L103:$EQ103)</f>
        <v>-1875000</v>
      </c>
      <c r="Q98" s="171">
        <f ca="1">SUMIF('CF(M)'!$L$10:$EQ$10,Q$6,'CF(M)'!$L103:$EQ103)</f>
        <v>-1875000</v>
      </c>
      <c r="R98" s="171">
        <f ca="1">SUMIF('CF(M)'!$L$10:$EQ$10,R$6,'CF(M)'!$L103:$EQ103)</f>
        <v>-1875000</v>
      </c>
      <c r="S98" s="171">
        <f ca="1">SUMIF('CF(M)'!$L$10:$EQ$10,S$6,'CF(M)'!$L103:$EQ103)</f>
        <v>-1762472.0129412687</v>
      </c>
      <c r="T98" s="171">
        <f ca="1">SUMIF('CF(M)'!$L$10:$EQ$10,T$6,'CF(M)'!$L103:$EQ103)</f>
        <v>-1513291.9989280105</v>
      </c>
      <c r="U98" s="171">
        <f ca="1">SUMIF('CF(M)'!$L$10:$EQ$10,U$6,'CF(M)'!$L103:$EQ103)</f>
        <v>-1265541.4966859473</v>
      </c>
      <c r="V98" s="171">
        <f ca="1">SUMIF('CF(M)'!$L$10:$EQ$10,V$6,'CF(M)'!$L103:$EQ103)</f>
        <v>-1722478.4355854392</v>
      </c>
      <c r="W98" s="171">
        <f ca="1">SUMIF('CF(M)'!$L$10:$EQ$10,W$6,'CF(M)'!$L103:$EQ103)</f>
        <v>-1805647.7403300544</v>
      </c>
      <c r="X98" s="171">
        <f ca="1">SUMIF('CF(M)'!$L$10:$EQ$10,X$6,'CF(M)'!$L103:$EQ103)</f>
        <v>-2258497.3462193981</v>
      </c>
      <c r="Y98" s="171">
        <f ca="1">SUMIF('CF(M)'!$L$10:$EQ$10,Y$6,'CF(M)'!$L103:$EQ103)</f>
        <v>-2031213.1788212531</v>
      </c>
      <c r="Z98" s="171">
        <f ca="1">SUMIF('CF(M)'!$L$10:$EQ$10,Z$6,'CF(M)'!$L103:$EQ103)</f>
        <v>-2480274.6567853596</v>
      </c>
      <c r="AA98" s="171">
        <f ca="1">SUMIF('CF(M)'!$L$10:$EQ$10,AA$6,'CF(M)'!$L103:$EQ103)</f>
        <v>-2035583.1337032691</v>
      </c>
      <c r="AB98" s="171">
        <f ca="1">SUMIF('CF(M)'!$L$10:$EQ$10,AB$6,'CF(M)'!$L103:$EQ103)</f>
        <v>-1875000</v>
      </c>
      <c r="AC98" s="171">
        <f ca="1">SUMIF('CF(M)'!$L$10:$EQ$10,AC$6,'CF(M)'!$L103:$EQ103)</f>
        <v>-1875000</v>
      </c>
      <c r="AD98" s="171">
        <f ca="1">SUMIF('CF(M)'!$L$10:$EQ$10,AD$6,'CF(M)'!$L103:$EQ103)</f>
        <v>-1875000</v>
      </c>
      <c r="AE98" s="171">
        <f ca="1">SUMIF('CF(M)'!$L$10:$EQ$10,AE$6,'CF(M)'!$L103:$EQ103)</f>
        <v>-1875000</v>
      </c>
      <c r="AF98" s="171">
        <f ca="1">SUMIF('CF(M)'!$L$10:$EQ$10,AF$6,'CF(M)'!$L103:$EQ103)</f>
        <v>-1875000</v>
      </c>
      <c r="AG98" s="171">
        <f ca="1">SUMIF('CF(M)'!$L$10:$EQ$10,AG$6,'CF(M)'!$L103:$EQ103)</f>
        <v>0</v>
      </c>
      <c r="AH98" s="171">
        <f ca="1">SUMIF('CF(M)'!$L$10:$EQ$10,AH$6,'CF(M)'!$L103:$EQ103)</f>
        <v>0</v>
      </c>
      <c r="AI98" s="171">
        <f ca="1">SUMIF('CF(M)'!$L$10:$EQ$10,AI$6,'CF(M)'!$L103:$EQ103)</f>
        <v>0</v>
      </c>
      <c r="AJ98" s="171">
        <f>SUMIF('CF(M)'!$L$10:$EQ$10,AJ$6,'CF(M)'!$L103:$EQ103)</f>
        <v>0</v>
      </c>
      <c r="AK98" s="171">
        <f>SUMIF('CF(M)'!$L$10:$EQ$10,AK$6,'CF(M)'!$L103:$EQ103)</f>
        <v>0</v>
      </c>
      <c r="AL98" s="171">
        <f>SUMIF('CF(M)'!$L$10:$EQ$10,AL$6,'CF(M)'!$L103:$EQ103)</f>
        <v>0</v>
      </c>
      <c r="AM98" s="171">
        <f>SUMIF('CF(M)'!$L$10:$EQ$10,AM$6,'CF(M)'!$L103:$EQ103)</f>
        <v>0</v>
      </c>
      <c r="AN98" s="171">
        <f>SUMIF('CF(M)'!$L$10:$EQ$10,AN$6,'CF(M)'!$L103:$EQ103)</f>
        <v>0</v>
      </c>
      <c r="AO98" s="171">
        <f>SUMIF('CF(M)'!$L$10:$EQ$10,AO$6,'CF(M)'!$L103:$EQ103)</f>
        <v>0</v>
      </c>
      <c r="AP98" s="171">
        <f>SUMIF('CF(M)'!$L$10:$EQ$10,AP$6,'CF(M)'!$L103:$EQ103)</f>
        <v>0</v>
      </c>
      <c r="AQ98" s="171">
        <f>SUMIF('CF(M)'!$L$10:$EQ$10,AQ$6,'CF(M)'!$L103:$EQ103)</f>
        <v>0</v>
      </c>
      <c r="AR98" s="171">
        <f>SUMIF('CF(M)'!$L$10:$EQ$10,AR$6,'CF(M)'!$L103:$EQ103)</f>
        <v>0</v>
      </c>
      <c r="AS98" s="171">
        <f>SUMIF('CF(M)'!$L$10:$EQ$10,AS$6,'CF(M)'!$L103:$EQ103)</f>
        <v>0</v>
      </c>
      <c r="AT98" s="171">
        <f>SUMIF('CF(M)'!$L$10:$EQ$10,AT$6,'CF(M)'!$L103:$EQ103)</f>
        <v>0</v>
      </c>
      <c r="AU98" s="171">
        <f>SUMIF('CF(M)'!$L$10:$EQ$10,AU$6,'CF(M)'!$L103:$EQ103)</f>
        <v>0</v>
      </c>
      <c r="AV98" s="171">
        <f>SUMIF('CF(M)'!$L$10:$EQ$10,AV$6,'CF(M)'!$L103:$EQ103)</f>
        <v>0</v>
      </c>
      <c r="AW98" s="171">
        <f>SUMIF('CF(M)'!$L$10:$EQ$10,AW$6,'CF(M)'!$L103:$EQ103)</f>
        <v>0</v>
      </c>
      <c r="AX98" s="171">
        <f>SUMIF('CF(M)'!$L$10:$EQ$10,AX$6,'CF(M)'!$L103:$EQ103)</f>
        <v>0</v>
      </c>
      <c r="AY98" s="171">
        <f>SUMIF('CF(M)'!$L$10:$EQ$10,AY$6,'CF(M)'!$L103:$EQ103)</f>
        <v>0</v>
      </c>
      <c r="AZ98" s="171">
        <f>SUMIF('CF(M)'!$L$10:$EQ$10,AZ$6,'CF(M)'!$L103:$EQ103)</f>
        <v>0</v>
      </c>
      <c r="BA98" s="171">
        <f>SUMIF('CF(M)'!$L$10:$EQ$10,BA$6,'CF(M)'!$L103:$EQ103)</f>
        <v>0</v>
      </c>
      <c r="BB98" s="171">
        <f>SUMIF('CF(M)'!$L$10:$EQ$10,BB$6,'CF(M)'!$L103:$EQ103)</f>
        <v>0</v>
      </c>
      <c r="BC98" s="171">
        <f>SUMIF('CF(M)'!$L$10:$EQ$10,BC$6,'CF(M)'!$L103:$EQ103)</f>
        <v>0</v>
      </c>
      <c r="BD98" s="171">
        <f>SUMIF('CF(M)'!$L$10:$EQ$10,BD$6,'CF(M)'!$L103:$EQ103)</f>
        <v>0</v>
      </c>
      <c r="BE98" s="171">
        <f>SUMIF('CF(M)'!$L$10:$EQ$10,BE$6,'CF(M)'!$L103:$EQ103)</f>
        <v>0</v>
      </c>
      <c r="BF98" s="171">
        <f>SUMIF('CF(M)'!$L$10:$EQ$10,BF$6,'CF(M)'!$L103:$EQ103)</f>
        <v>0</v>
      </c>
      <c r="BG98" s="171">
        <f>SUMIF('CF(M)'!$L$10:$EQ$10,BG$6,'CF(M)'!$L103:$EQ103)</f>
        <v>0</v>
      </c>
      <c r="BH98" s="171">
        <f>SUMIF('CF(M)'!$L$10:$EQ$10,BH$6,'CF(M)'!$L103:$EQ103)</f>
        <v>0</v>
      </c>
      <c r="BI98" s="171">
        <f>SUMIF('CF(M)'!$L$10:$EQ$10,BI$6,'CF(M)'!$L103:$EQ103)</f>
        <v>0</v>
      </c>
      <c r="BJ98" s="171">
        <f>SUMIF('CF(M)'!$L$10:$EQ$10,BJ$6,'CF(M)'!$L103:$EQ103)</f>
        <v>0</v>
      </c>
      <c r="BK98" s="171">
        <f>SUMIF('CF(M)'!$L$10:$EQ$10,BK$6,'CF(M)'!$L103:$EQ103)</f>
        <v>0</v>
      </c>
      <c r="BL98" s="171">
        <f>SUMIF('CF(M)'!$L$10:$EQ$10,BL$6,'CF(M)'!$L103:$EQ103)</f>
        <v>0</v>
      </c>
      <c r="BM98" s="171">
        <f>SUMIF('CF(M)'!$L$10:$EQ$10,BM$6,'CF(M)'!$L103:$EQ103)</f>
        <v>0</v>
      </c>
      <c r="BN98" s="171">
        <f>SUMIF('CF(M)'!$L$10:$EQ$10,BN$6,'CF(M)'!$L103:$EQ103)</f>
        <v>0</v>
      </c>
      <c r="BO98" s="171">
        <f>SUMIF('CF(M)'!$L$10:$EQ$10,BO$6,'CF(M)'!$L103:$EQ103)</f>
        <v>0</v>
      </c>
      <c r="BP98" s="171">
        <f>SUMIF('CF(M)'!$L$10:$EQ$10,BP$6,'CF(M)'!$L103:$EQ103)</f>
        <v>0</v>
      </c>
      <c r="BQ98" s="171">
        <f>SUMIF('CF(M)'!$L$10:$EQ$10,BQ$6,'CF(M)'!$L103:$EQ103)</f>
        <v>0</v>
      </c>
      <c r="BR98" s="171">
        <f>SUMIF('CF(M)'!$L$10:$EQ$10,BR$6,'CF(M)'!$L103:$EQ103)</f>
        <v>0</v>
      </c>
      <c r="BS98" s="171">
        <f>SUMIF('CF(M)'!$L$10:$EQ$10,BS$6,'CF(M)'!$L103:$EQ103)</f>
        <v>0</v>
      </c>
      <c r="BT98" s="171">
        <f>SUMIF('CF(M)'!$L$10:$EQ$10,BT$6,'CF(M)'!$L103:$EQ103)</f>
        <v>0</v>
      </c>
      <c r="BU98" s="171">
        <f>SUMIF('CF(M)'!$L$10:$EQ$10,BU$6,'CF(M)'!$L103:$EQ103)</f>
        <v>0</v>
      </c>
      <c r="BV98" s="171">
        <f>SUMIF('CF(M)'!$L$10:$EQ$10,BV$6,'CF(M)'!$L103:$EQ103)</f>
        <v>0</v>
      </c>
      <c r="BW98" s="171">
        <f>SUMIF('CF(M)'!$L$10:$EQ$10,BW$6,'CF(M)'!$L103:$EQ103)</f>
        <v>0</v>
      </c>
      <c r="BX98" s="171">
        <f>SUMIF('CF(M)'!$L$10:$EQ$10,BX$6,'CF(M)'!$L103:$EQ103)</f>
        <v>0</v>
      </c>
      <c r="BY98" s="171">
        <f>SUMIF('CF(M)'!$L$10:$EQ$10,BY$6,'CF(M)'!$L103:$EQ103)</f>
        <v>0</v>
      </c>
      <c r="BZ98" s="171">
        <f>SUMIF('CF(M)'!$L$10:$EQ$10,BZ$6,'CF(M)'!$L103:$EQ103)</f>
        <v>0</v>
      </c>
      <c r="CA98" s="171">
        <f>SUMIF('CF(M)'!$L$10:$EQ$10,CA$6,'CF(M)'!$L103:$EQ103)</f>
        <v>0</v>
      </c>
      <c r="CB98" s="171">
        <f>SUMIF('CF(M)'!$L$10:$EQ$10,CB$6,'CF(M)'!$L103:$EQ103)</f>
        <v>0</v>
      </c>
      <c r="CC98" s="171">
        <f>SUMIF('CF(M)'!$L$10:$EQ$10,CC$6,'CF(M)'!$L103:$EQ103)</f>
        <v>0</v>
      </c>
      <c r="CD98" s="171">
        <f>SUMIF('CF(M)'!$L$10:$EQ$10,CD$6,'CF(M)'!$L103:$EQ103)</f>
        <v>0</v>
      </c>
      <c r="CE98" s="171">
        <f>SUMIF('CF(M)'!$L$10:$EQ$10,CE$6,'CF(M)'!$L103:$EQ103)</f>
        <v>0</v>
      </c>
      <c r="CF98" s="171">
        <f>SUMIF('CF(M)'!$L$10:$EQ$10,CF$6,'CF(M)'!$L103:$EQ103)</f>
        <v>0</v>
      </c>
      <c r="CG98" s="171">
        <f>SUMIF('CF(M)'!$L$10:$EQ$10,CG$6,'CF(M)'!$L103:$EQ103)</f>
        <v>0</v>
      </c>
      <c r="CH98" s="171">
        <f>SUMIF('CF(M)'!$L$10:$EQ$10,CH$6,'CF(M)'!$L103:$EQ103)</f>
        <v>0</v>
      </c>
      <c r="CI98" s="171">
        <f>SUMIF('CF(M)'!$L$10:$EQ$10,CI$6,'CF(M)'!$L103:$EQ103)</f>
        <v>0</v>
      </c>
      <c r="CJ98" s="171">
        <f>SUMIF('CF(M)'!$L$10:$EQ$10,CJ$6,'CF(M)'!$L103:$EQ103)</f>
        <v>0</v>
      </c>
      <c r="CK98" s="171">
        <f>SUMIF('CF(M)'!$L$10:$EQ$10,CK$6,'CF(M)'!$L103:$EQ103)</f>
        <v>0</v>
      </c>
      <c r="CL98" s="171">
        <f>SUMIF('CF(M)'!$L$10:$EQ$10,CL$6,'CF(M)'!$L103:$EQ103)</f>
        <v>0</v>
      </c>
      <c r="CM98" s="171">
        <f>SUMIF('CF(M)'!$L$10:$EQ$10,CM$6,'CF(M)'!$L103:$EQ103)</f>
        <v>0</v>
      </c>
      <c r="CN98" s="171">
        <f>SUMIF('CF(M)'!$L$10:$EQ$10,CN$6,'CF(M)'!$L103:$EQ103)</f>
        <v>0</v>
      </c>
      <c r="CO98" s="171">
        <f>SUMIF('CF(M)'!$L$10:$EQ$10,CO$6,'CF(M)'!$L103:$EQ103)</f>
        <v>0</v>
      </c>
      <c r="CP98" s="171">
        <f>SUMIF('CF(M)'!$L$10:$EQ$10,CP$6,'CF(M)'!$L103:$EQ103)</f>
        <v>0</v>
      </c>
      <c r="CQ98" s="171">
        <f>SUMIF('CF(M)'!$L$10:$EQ$10,CQ$6,'CF(M)'!$L103:$EQ103)</f>
        <v>0</v>
      </c>
      <c r="CR98" s="171">
        <f>SUMIF('CF(M)'!$L$10:$EQ$10,CR$6,'CF(M)'!$L103:$EQ103)</f>
        <v>0</v>
      </c>
      <c r="CS98" s="171">
        <f>SUMIF('CF(M)'!$L$10:$EQ$10,CS$6,'CF(M)'!$L103:$EQ103)</f>
        <v>0</v>
      </c>
      <c r="CT98" s="171">
        <f>SUMIF('CF(M)'!$L$10:$EQ$10,CT$6,'CF(M)'!$L103:$EQ103)</f>
        <v>0</v>
      </c>
      <c r="CU98" s="171">
        <f>SUMIF('CF(M)'!$L$10:$EQ$10,CU$6,'CF(M)'!$L103:$EQ103)</f>
        <v>0</v>
      </c>
      <c r="CV98" s="171">
        <f>SUMIF('CF(M)'!$L$10:$EQ$10,CV$6,'CF(M)'!$L103:$EQ103)</f>
        <v>0</v>
      </c>
      <c r="CW98" s="171">
        <f>SUMIF('CF(M)'!$L$10:$EQ$10,CW$6,'CF(M)'!$L103:$EQ103)</f>
        <v>0</v>
      </c>
      <c r="CX98" s="171">
        <f>SUMIF('CF(M)'!$L$10:$EQ$10,CX$6,'CF(M)'!$L103:$EQ103)</f>
        <v>0</v>
      </c>
      <c r="CY98" s="171">
        <f>SUMIF('CF(M)'!$L$10:$EQ$10,CY$6,'CF(M)'!$L103:$EQ103)</f>
        <v>0</v>
      </c>
      <c r="CZ98" s="171">
        <f>SUMIF('CF(M)'!$L$10:$EQ$10,CZ$6,'CF(M)'!$L103:$EQ103)</f>
        <v>0</v>
      </c>
      <c r="DA98" s="171">
        <f>SUMIF('CF(M)'!$L$10:$EQ$10,DA$6,'CF(M)'!$L103:$EQ103)</f>
        <v>0</v>
      </c>
      <c r="DB98" s="171">
        <f>SUMIF('CF(M)'!$L$10:$EQ$10,DB$6,'CF(M)'!$L103:$EQ103)</f>
        <v>0</v>
      </c>
      <c r="DC98" s="171">
        <f>SUMIF('CF(M)'!$L$10:$EQ$10,DC$6,'CF(M)'!$L103:$EQ103)</f>
        <v>0</v>
      </c>
      <c r="DD98" s="171">
        <f>SUMIF('CF(M)'!$L$10:$EQ$10,DD$6,'CF(M)'!$L103:$EQ103)</f>
        <v>0</v>
      </c>
      <c r="DE98" s="171">
        <f>SUMIF('CF(M)'!$L$10:$EQ$10,DE$6,'CF(M)'!$L103:$EQ103)</f>
        <v>0</v>
      </c>
      <c r="DF98" s="171">
        <f>SUMIF('CF(M)'!$L$10:$EQ$10,DF$6,'CF(M)'!$L103:$EQ103)</f>
        <v>0</v>
      </c>
      <c r="DG98" s="171">
        <f>SUMIF('CF(M)'!$L$10:$EQ$10,DG$6,'CF(M)'!$L103:$EQ103)</f>
        <v>0</v>
      </c>
      <c r="DH98" s="171">
        <f>SUMIF('CF(M)'!$L$10:$EQ$10,DH$6,'CF(M)'!$L103:$EQ103)</f>
        <v>0</v>
      </c>
      <c r="DI98" s="171">
        <f>SUMIF('CF(M)'!$L$10:$EQ$10,DI$6,'CF(M)'!$L103:$EQ103)</f>
        <v>0</v>
      </c>
      <c r="DJ98" s="171">
        <f>SUMIF('CF(M)'!$L$10:$EQ$10,DJ$6,'CF(M)'!$L103:$EQ103)</f>
        <v>0</v>
      </c>
      <c r="DK98" s="171">
        <f>SUMIF('CF(M)'!$L$10:$EQ$10,DK$6,'CF(M)'!$L103:$EQ103)</f>
        <v>0</v>
      </c>
      <c r="DL98" s="171">
        <f>SUMIF('CF(M)'!$L$10:$EQ$10,DL$6,'CF(M)'!$L103:$EQ103)</f>
        <v>0</v>
      </c>
      <c r="DM98" s="171">
        <f>SUMIF('CF(M)'!$L$10:$EQ$10,DM$6,'CF(M)'!$L103:$EQ103)</f>
        <v>0</v>
      </c>
      <c r="DN98" s="171">
        <f>SUMIF('CF(M)'!$L$10:$EQ$10,DN$6,'CF(M)'!$L103:$EQ103)</f>
        <v>0</v>
      </c>
      <c r="DO98" s="171">
        <f>SUMIF('CF(M)'!$L$10:$EQ$10,DO$6,'CF(M)'!$L103:$EQ103)</f>
        <v>0</v>
      </c>
      <c r="DP98" s="171">
        <f>SUMIF('CF(M)'!$L$10:$EQ$10,DP$6,'CF(M)'!$L103:$EQ103)</f>
        <v>0</v>
      </c>
      <c r="DQ98" s="171">
        <f>SUMIF('CF(M)'!$L$10:$EQ$10,DQ$6,'CF(M)'!$L103:$EQ103)</f>
        <v>0</v>
      </c>
      <c r="DR98" s="171">
        <f>SUMIF('CF(M)'!$L$10:$EQ$10,DR$6,'CF(M)'!$L103:$EQ103)</f>
        <v>0</v>
      </c>
      <c r="DS98" s="171">
        <f>SUMIF('CF(M)'!$L$10:$EQ$10,DS$6,'CF(M)'!$L103:$EQ103)</f>
        <v>0</v>
      </c>
      <c r="DT98" s="171">
        <f>SUMIF('CF(M)'!$L$10:$EQ$10,DT$6,'CF(M)'!$L103:$EQ103)</f>
        <v>0</v>
      </c>
      <c r="DU98" s="171">
        <f>SUMIF('CF(M)'!$L$10:$EQ$10,DU$6,'CF(M)'!$L103:$EQ103)</f>
        <v>0</v>
      </c>
      <c r="DV98" s="171">
        <f>SUMIF('CF(M)'!$L$10:$EQ$10,DV$6,'CF(M)'!$L103:$EQ103)</f>
        <v>0</v>
      </c>
    </row>
    <row r="99" spans="2:126" ht="11.25" customHeight="1">
      <c r="B99" s="218"/>
      <c r="C99" s="163"/>
      <c r="D99" s="169" t="s">
        <v>469</v>
      </c>
      <c r="G99" s="65">
        <f>'A&amp;R'!T46</f>
        <v>0</v>
      </c>
      <c r="H99" s="146">
        <f>'A&amp;R'!$E$39</f>
        <v>49979</v>
      </c>
      <c r="I99" s="229">
        <f>$J$49*$G99</f>
        <v>0</v>
      </c>
      <c r="J99" s="171">
        <f>SUM(L99:DV99)</f>
        <v>-11767613.337566935</v>
      </c>
      <c r="K99" s="98"/>
      <c r="L99" s="171">
        <f>SUMIF('CF(M)'!$L$10:$EQ$10,L$6,'CF(M)'!$L104:$EQ104)</f>
        <v>0</v>
      </c>
      <c r="M99" s="171">
        <f>SUMIF('CF(M)'!$L$10:$EQ$10,M$6,'CF(M)'!$L104:$EQ104)</f>
        <v>0</v>
      </c>
      <c r="N99" s="171">
        <f>SUMIF('CF(M)'!$L$10:$EQ$10,N$6,'CF(M)'!$L104:$EQ104)</f>
        <v>0</v>
      </c>
      <c r="O99" s="171">
        <f>SUMIF('CF(M)'!$L$10:$EQ$10,O$6,'CF(M)'!$L104:$EQ104)</f>
        <v>0</v>
      </c>
      <c r="P99" s="171">
        <f>SUMIF('CF(M)'!$L$10:$EQ$10,P$6,'CF(M)'!$L104:$EQ104)</f>
        <v>0</v>
      </c>
      <c r="Q99" s="171">
        <f>SUMIF('CF(M)'!$L$10:$EQ$10,Q$6,'CF(M)'!$L104:$EQ104)</f>
        <v>0</v>
      </c>
      <c r="R99" s="171">
        <f>SUMIF('CF(M)'!$L$10:$EQ$10,R$6,'CF(M)'!$L104:$EQ104)</f>
        <v>0</v>
      </c>
      <c r="S99" s="171">
        <f>SUMIF('CF(M)'!$L$10:$EQ$10,S$6,'CF(M)'!$L104:$EQ104)</f>
        <v>0</v>
      </c>
      <c r="T99" s="171">
        <f>SUMIF('CF(M)'!$L$10:$EQ$10,T$6,'CF(M)'!$L104:$EQ104)</f>
        <v>0</v>
      </c>
      <c r="U99" s="171">
        <f>SUMIF('CF(M)'!$L$10:$EQ$10,U$6,'CF(M)'!$L104:$EQ104)</f>
        <v>0</v>
      </c>
      <c r="V99" s="171">
        <f>SUMIF('CF(M)'!$L$10:$EQ$10,V$6,'CF(M)'!$L104:$EQ104)</f>
        <v>0</v>
      </c>
      <c r="W99" s="171">
        <f>SUMIF('CF(M)'!$L$10:$EQ$10,W$6,'CF(M)'!$L104:$EQ104)</f>
        <v>0</v>
      </c>
      <c r="X99" s="171">
        <f>SUMIF('CF(M)'!$L$10:$EQ$10,X$6,'CF(M)'!$L104:$EQ104)</f>
        <v>0</v>
      </c>
      <c r="Y99" s="171">
        <f>SUMIF('CF(M)'!$L$10:$EQ$10,Y$6,'CF(M)'!$L104:$EQ104)</f>
        <v>0</v>
      </c>
      <c r="Z99" s="171">
        <f>SUMIF('CF(M)'!$L$10:$EQ$10,Z$6,'CF(M)'!$L104:$EQ104)</f>
        <v>0</v>
      </c>
      <c r="AA99" s="171">
        <f>SUMIF('CF(M)'!$L$10:$EQ$10,AA$6,'CF(M)'!$L104:$EQ104)</f>
        <v>0</v>
      </c>
      <c r="AB99" s="171">
        <f>SUMIF('CF(M)'!$L$10:$EQ$10,AB$6,'CF(M)'!$L104:$EQ104)</f>
        <v>0</v>
      </c>
      <c r="AC99" s="171">
        <f>SUMIF('CF(M)'!$L$10:$EQ$10,AC$6,'CF(M)'!$L104:$EQ104)</f>
        <v>0</v>
      </c>
      <c r="AD99" s="171">
        <f>SUMIF('CF(M)'!$L$10:$EQ$10,AD$6,'CF(M)'!$L104:$EQ104)</f>
        <v>0</v>
      </c>
      <c r="AE99" s="171">
        <f>SUMIF('CF(M)'!$L$10:$EQ$10,AE$6,'CF(M)'!$L104:$EQ104)</f>
        <v>0</v>
      </c>
      <c r="AF99" s="171">
        <f>SUMIF('CF(M)'!$L$10:$EQ$10,AF$6,'CF(M)'!$L104:$EQ104)</f>
        <v>-11767613.337566935</v>
      </c>
      <c r="AG99" s="171">
        <f>SUMIF('CF(M)'!$L$10:$EQ$10,AG$6,'CF(M)'!$L104:$EQ104)</f>
        <v>0</v>
      </c>
      <c r="AH99" s="171">
        <f>SUMIF('CF(M)'!$L$10:$EQ$10,AH$6,'CF(M)'!$L104:$EQ104)</f>
        <v>0</v>
      </c>
      <c r="AI99" s="171">
        <f>SUMIF('CF(M)'!$L$10:$EQ$10,AI$6,'CF(M)'!$L104:$EQ104)</f>
        <v>0</v>
      </c>
      <c r="AJ99" s="171">
        <f>SUMIF('CF(M)'!$L$10:$EQ$10,AJ$6,'CF(M)'!$L104:$EQ104)</f>
        <v>0</v>
      </c>
      <c r="AK99" s="171">
        <f>SUMIF('CF(M)'!$L$10:$EQ$10,AK$6,'CF(M)'!$L104:$EQ104)</f>
        <v>0</v>
      </c>
      <c r="AL99" s="171">
        <f>SUMIF('CF(M)'!$L$10:$EQ$10,AL$6,'CF(M)'!$L104:$EQ104)</f>
        <v>0</v>
      </c>
      <c r="AM99" s="171">
        <f>SUMIF('CF(M)'!$L$10:$EQ$10,AM$6,'CF(M)'!$L104:$EQ104)</f>
        <v>0</v>
      </c>
      <c r="AN99" s="171">
        <f>SUMIF('CF(M)'!$L$10:$EQ$10,AN$6,'CF(M)'!$L104:$EQ104)</f>
        <v>0</v>
      </c>
      <c r="AO99" s="171">
        <f>SUMIF('CF(M)'!$L$10:$EQ$10,AO$6,'CF(M)'!$L104:$EQ104)</f>
        <v>0</v>
      </c>
      <c r="AP99" s="171">
        <f>SUMIF('CF(M)'!$L$10:$EQ$10,AP$6,'CF(M)'!$L104:$EQ104)</f>
        <v>0</v>
      </c>
      <c r="AQ99" s="171">
        <f>SUMIF('CF(M)'!$L$10:$EQ$10,AQ$6,'CF(M)'!$L104:$EQ104)</f>
        <v>0</v>
      </c>
      <c r="AR99" s="171">
        <f>SUMIF('CF(M)'!$L$10:$EQ$10,AR$6,'CF(M)'!$L104:$EQ104)</f>
        <v>0</v>
      </c>
      <c r="AS99" s="171">
        <f>SUMIF('CF(M)'!$L$10:$EQ$10,AS$6,'CF(M)'!$L104:$EQ104)</f>
        <v>0</v>
      </c>
      <c r="AT99" s="171">
        <f>SUMIF('CF(M)'!$L$10:$EQ$10,AT$6,'CF(M)'!$L104:$EQ104)</f>
        <v>0</v>
      </c>
      <c r="AU99" s="171">
        <f>SUMIF('CF(M)'!$L$10:$EQ$10,AU$6,'CF(M)'!$L104:$EQ104)</f>
        <v>0</v>
      </c>
      <c r="AV99" s="171">
        <f>SUMIF('CF(M)'!$L$10:$EQ$10,AV$6,'CF(M)'!$L104:$EQ104)</f>
        <v>0</v>
      </c>
      <c r="AW99" s="171">
        <f>SUMIF('CF(M)'!$L$10:$EQ$10,AW$6,'CF(M)'!$L104:$EQ104)</f>
        <v>0</v>
      </c>
      <c r="AX99" s="171">
        <f>SUMIF('CF(M)'!$L$10:$EQ$10,AX$6,'CF(M)'!$L104:$EQ104)</f>
        <v>0</v>
      </c>
      <c r="AY99" s="171">
        <f>SUMIF('CF(M)'!$L$10:$EQ$10,AY$6,'CF(M)'!$L104:$EQ104)</f>
        <v>0</v>
      </c>
      <c r="AZ99" s="171">
        <f>SUMIF('CF(M)'!$L$10:$EQ$10,AZ$6,'CF(M)'!$L104:$EQ104)</f>
        <v>0</v>
      </c>
      <c r="BA99" s="171">
        <f>SUMIF('CF(M)'!$L$10:$EQ$10,BA$6,'CF(M)'!$L104:$EQ104)</f>
        <v>0</v>
      </c>
      <c r="BB99" s="171">
        <f>SUMIF('CF(M)'!$L$10:$EQ$10,BB$6,'CF(M)'!$L104:$EQ104)</f>
        <v>0</v>
      </c>
      <c r="BC99" s="171">
        <f>SUMIF('CF(M)'!$L$10:$EQ$10,BC$6,'CF(M)'!$L104:$EQ104)</f>
        <v>0</v>
      </c>
      <c r="BD99" s="171">
        <f>SUMIF('CF(M)'!$L$10:$EQ$10,BD$6,'CF(M)'!$L104:$EQ104)</f>
        <v>0</v>
      </c>
      <c r="BE99" s="171">
        <f>SUMIF('CF(M)'!$L$10:$EQ$10,BE$6,'CF(M)'!$L104:$EQ104)</f>
        <v>0</v>
      </c>
      <c r="BF99" s="171">
        <f>SUMIF('CF(M)'!$L$10:$EQ$10,BF$6,'CF(M)'!$L104:$EQ104)</f>
        <v>0</v>
      </c>
      <c r="BG99" s="171">
        <f>SUMIF('CF(M)'!$L$10:$EQ$10,BG$6,'CF(M)'!$L104:$EQ104)</f>
        <v>0</v>
      </c>
      <c r="BH99" s="171">
        <f>SUMIF('CF(M)'!$L$10:$EQ$10,BH$6,'CF(M)'!$L104:$EQ104)</f>
        <v>0</v>
      </c>
      <c r="BI99" s="171">
        <f>SUMIF('CF(M)'!$L$10:$EQ$10,BI$6,'CF(M)'!$L104:$EQ104)</f>
        <v>0</v>
      </c>
      <c r="BJ99" s="171">
        <f>SUMIF('CF(M)'!$L$10:$EQ$10,BJ$6,'CF(M)'!$L104:$EQ104)</f>
        <v>0</v>
      </c>
      <c r="BK99" s="171">
        <f>SUMIF('CF(M)'!$L$10:$EQ$10,BK$6,'CF(M)'!$L104:$EQ104)</f>
        <v>0</v>
      </c>
      <c r="BL99" s="171">
        <f>SUMIF('CF(M)'!$L$10:$EQ$10,BL$6,'CF(M)'!$L104:$EQ104)</f>
        <v>0</v>
      </c>
      <c r="BM99" s="171">
        <f>SUMIF('CF(M)'!$L$10:$EQ$10,BM$6,'CF(M)'!$L104:$EQ104)</f>
        <v>0</v>
      </c>
      <c r="BN99" s="171">
        <f>SUMIF('CF(M)'!$L$10:$EQ$10,BN$6,'CF(M)'!$L104:$EQ104)</f>
        <v>0</v>
      </c>
      <c r="BO99" s="171">
        <f>SUMIF('CF(M)'!$L$10:$EQ$10,BO$6,'CF(M)'!$L104:$EQ104)</f>
        <v>0</v>
      </c>
      <c r="BP99" s="171">
        <f>SUMIF('CF(M)'!$L$10:$EQ$10,BP$6,'CF(M)'!$L104:$EQ104)</f>
        <v>0</v>
      </c>
      <c r="BQ99" s="171">
        <f>SUMIF('CF(M)'!$L$10:$EQ$10,BQ$6,'CF(M)'!$L104:$EQ104)</f>
        <v>0</v>
      </c>
      <c r="BR99" s="171">
        <f>SUMIF('CF(M)'!$L$10:$EQ$10,BR$6,'CF(M)'!$L104:$EQ104)</f>
        <v>0</v>
      </c>
      <c r="BS99" s="171">
        <f>SUMIF('CF(M)'!$L$10:$EQ$10,BS$6,'CF(M)'!$L104:$EQ104)</f>
        <v>0</v>
      </c>
      <c r="BT99" s="171">
        <f>SUMIF('CF(M)'!$L$10:$EQ$10,BT$6,'CF(M)'!$L104:$EQ104)</f>
        <v>0</v>
      </c>
      <c r="BU99" s="171">
        <f>SUMIF('CF(M)'!$L$10:$EQ$10,BU$6,'CF(M)'!$L104:$EQ104)</f>
        <v>0</v>
      </c>
      <c r="BV99" s="171">
        <f>SUMIF('CF(M)'!$L$10:$EQ$10,BV$6,'CF(M)'!$L104:$EQ104)</f>
        <v>0</v>
      </c>
      <c r="BW99" s="171">
        <f>SUMIF('CF(M)'!$L$10:$EQ$10,BW$6,'CF(M)'!$L104:$EQ104)</f>
        <v>0</v>
      </c>
      <c r="BX99" s="171">
        <f>SUMIF('CF(M)'!$L$10:$EQ$10,BX$6,'CF(M)'!$L104:$EQ104)</f>
        <v>0</v>
      </c>
      <c r="BY99" s="171">
        <f>SUMIF('CF(M)'!$L$10:$EQ$10,BY$6,'CF(M)'!$L104:$EQ104)</f>
        <v>0</v>
      </c>
      <c r="BZ99" s="171">
        <f>SUMIF('CF(M)'!$L$10:$EQ$10,BZ$6,'CF(M)'!$L104:$EQ104)</f>
        <v>0</v>
      </c>
      <c r="CA99" s="171">
        <f>SUMIF('CF(M)'!$L$10:$EQ$10,CA$6,'CF(M)'!$L104:$EQ104)</f>
        <v>0</v>
      </c>
      <c r="CB99" s="171">
        <f>SUMIF('CF(M)'!$L$10:$EQ$10,CB$6,'CF(M)'!$L104:$EQ104)</f>
        <v>0</v>
      </c>
      <c r="CC99" s="171">
        <f>SUMIF('CF(M)'!$L$10:$EQ$10,CC$6,'CF(M)'!$L104:$EQ104)</f>
        <v>0</v>
      </c>
      <c r="CD99" s="171">
        <f>SUMIF('CF(M)'!$L$10:$EQ$10,CD$6,'CF(M)'!$L104:$EQ104)</f>
        <v>0</v>
      </c>
      <c r="CE99" s="171">
        <f>SUMIF('CF(M)'!$L$10:$EQ$10,CE$6,'CF(M)'!$L104:$EQ104)</f>
        <v>0</v>
      </c>
      <c r="CF99" s="171">
        <f>SUMIF('CF(M)'!$L$10:$EQ$10,CF$6,'CF(M)'!$L104:$EQ104)</f>
        <v>0</v>
      </c>
      <c r="CG99" s="171">
        <f>SUMIF('CF(M)'!$L$10:$EQ$10,CG$6,'CF(M)'!$L104:$EQ104)</f>
        <v>0</v>
      </c>
      <c r="CH99" s="171">
        <f>SUMIF('CF(M)'!$L$10:$EQ$10,CH$6,'CF(M)'!$L104:$EQ104)</f>
        <v>0</v>
      </c>
      <c r="CI99" s="171">
        <f>SUMIF('CF(M)'!$L$10:$EQ$10,CI$6,'CF(M)'!$L104:$EQ104)</f>
        <v>0</v>
      </c>
      <c r="CJ99" s="171">
        <f>SUMIF('CF(M)'!$L$10:$EQ$10,CJ$6,'CF(M)'!$L104:$EQ104)</f>
        <v>0</v>
      </c>
      <c r="CK99" s="171">
        <f>SUMIF('CF(M)'!$L$10:$EQ$10,CK$6,'CF(M)'!$L104:$EQ104)</f>
        <v>0</v>
      </c>
      <c r="CL99" s="171">
        <f>SUMIF('CF(M)'!$L$10:$EQ$10,CL$6,'CF(M)'!$L104:$EQ104)</f>
        <v>0</v>
      </c>
      <c r="CM99" s="171">
        <f>SUMIF('CF(M)'!$L$10:$EQ$10,CM$6,'CF(M)'!$L104:$EQ104)</f>
        <v>0</v>
      </c>
      <c r="CN99" s="171">
        <f>SUMIF('CF(M)'!$L$10:$EQ$10,CN$6,'CF(M)'!$L104:$EQ104)</f>
        <v>0</v>
      </c>
      <c r="CO99" s="171">
        <f>SUMIF('CF(M)'!$L$10:$EQ$10,CO$6,'CF(M)'!$L104:$EQ104)</f>
        <v>0</v>
      </c>
      <c r="CP99" s="171">
        <f>SUMIF('CF(M)'!$L$10:$EQ$10,CP$6,'CF(M)'!$L104:$EQ104)</f>
        <v>0</v>
      </c>
      <c r="CQ99" s="171">
        <f>SUMIF('CF(M)'!$L$10:$EQ$10,CQ$6,'CF(M)'!$L104:$EQ104)</f>
        <v>0</v>
      </c>
      <c r="CR99" s="171">
        <f>SUMIF('CF(M)'!$L$10:$EQ$10,CR$6,'CF(M)'!$L104:$EQ104)</f>
        <v>0</v>
      </c>
      <c r="CS99" s="171">
        <f>SUMIF('CF(M)'!$L$10:$EQ$10,CS$6,'CF(M)'!$L104:$EQ104)</f>
        <v>0</v>
      </c>
      <c r="CT99" s="171">
        <f>SUMIF('CF(M)'!$L$10:$EQ$10,CT$6,'CF(M)'!$L104:$EQ104)</f>
        <v>0</v>
      </c>
      <c r="CU99" s="171">
        <f>SUMIF('CF(M)'!$L$10:$EQ$10,CU$6,'CF(M)'!$L104:$EQ104)</f>
        <v>0</v>
      </c>
      <c r="CV99" s="171">
        <f>SUMIF('CF(M)'!$L$10:$EQ$10,CV$6,'CF(M)'!$L104:$EQ104)</f>
        <v>0</v>
      </c>
      <c r="CW99" s="171">
        <f>SUMIF('CF(M)'!$L$10:$EQ$10,CW$6,'CF(M)'!$L104:$EQ104)</f>
        <v>0</v>
      </c>
      <c r="CX99" s="171">
        <f>SUMIF('CF(M)'!$L$10:$EQ$10,CX$6,'CF(M)'!$L104:$EQ104)</f>
        <v>0</v>
      </c>
      <c r="CY99" s="171">
        <f>SUMIF('CF(M)'!$L$10:$EQ$10,CY$6,'CF(M)'!$L104:$EQ104)</f>
        <v>0</v>
      </c>
      <c r="CZ99" s="171">
        <f>SUMIF('CF(M)'!$L$10:$EQ$10,CZ$6,'CF(M)'!$L104:$EQ104)</f>
        <v>0</v>
      </c>
      <c r="DA99" s="171">
        <f>SUMIF('CF(M)'!$L$10:$EQ$10,DA$6,'CF(M)'!$L104:$EQ104)</f>
        <v>0</v>
      </c>
      <c r="DB99" s="171">
        <f>SUMIF('CF(M)'!$L$10:$EQ$10,DB$6,'CF(M)'!$L104:$EQ104)</f>
        <v>0</v>
      </c>
      <c r="DC99" s="171">
        <f>SUMIF('CF(M)'!$L$10:$EQ$10,DC$6,'CF(M)'!$L104:$EQ104)</f>
        <v>0</v>
      </c>
      <c r="DD99" s="171">
        <f>SUMIF('CF(M)'!$L$10:$EQ$10,DD$6,'CF(M)'!$L104:$EQ104)</f>
        <v>0</v>
      </c>
      <c r="DE99" s="171">
        <f>SUMIF('CF(M)'!$L$10:$EQ$10,DE$6,'CF(M)'!$L104:$EQ104)</f>
        <v>0</v>
      </c>
      <c r="DF99" s="171">
        <f>SUMIF('CF(M)'!$L$10:$EQ$10,DF$6,'CF(M)'!$L104:$EQ104)</f>
        <v>0</v>
      </c>
      <c r="DG99" s="171">
        <f>SUMIF('CF(M)'!$L$10:$EQ$10,DG$6,'CF(M)'!$L104:$EQ104)</f>
        <v>0</v>
      </c>
      <c r="DH99" s="171">
        <f>SUMIF('CF(M)'!$L$10:$EQ$10,DH$6,'CF(M)'!$L104:$EQ104)</f>
        <v>0</v>
      </c>
      <c r="DI99" s="171">
        <f>SUMIF('CF(M)'!$L$10:$EQ$10,DI$6,'CF(M)'!$L104:$EQ104)</f>
        <v>0</v>
      </c>
      <c r="DJ99" s="171">
        <f>SUMIF('CF(M)'!$L$10:$EQ$10,DJ$6,'CF(M)'!$L104:$EQ104)</f>
        <v>0</v>
      </c>
      <c r="DK99" s="171">
        <f>SUMIF('CF(M)'!$L$10:$EQ$10,DK$6,'CF(M)'!$L104:$EQ104)</f>
        <v>0</v>
      </c>
      <c r="DL99" s="171">
        <f>SUMIF('CF(M)'!$L$10:$EQ$10,DL$6,'CF(M)'!$L104:$EQ104)</f>
        <v>0</v>
      </c>
      <c r="DM99" s="171">
        <f>SUMIF('CF(M)'!$L$10:$EQ$10,DM$6,'CF(M)'!$L104:$EQ104)</f>
        <v>0</v>
      </c>
      <c r="DN99" s="171">
        <f>SUMIF('CF(M)'!$L$10:$EQ$10,DN$6,'CF(M)'!$L104:$EQ104)</f>
        <v>0</v>
      </c>
      <c r="DO99" s="171">
        <f>SUMIF('CF(M)'!$L$10:$EQ$10,DO$6,'CF(M)'!$L104:$EQ104)</f>
        <v>0</v>
      </c>
      <c r="DP99" s="171">
        <f>SUMIF('CF(M)'!$L$10:$EQ$10,DP$6,'CF(M)'!$L104:$EQ104)</f>
        <v>0</v>
      </c>
      <c r="DQ99" s="171">
        <f>SUMIF('CF(M)'!$L$10:$EQ$10,DQ$6,'CF(M)'!$L104:$EQ104)</f>
        <v>0</v>
      </c>
      <c r="DR99" s="171">
        <f>SUMIF('CF(M)'!$L$10:$EQ$10,DR$6,'CF(M)'!$L104:$EQ104)</f>
        <v>0</v>
      </c>
      <c r="DS99" s="171">
        <f>SUMIF('CF(M)'!$L$10:$EQ$10,DS$6,'CF(M)'!$L104:$EQ104)</f>
        <v>0</v>
      </c>
      <c r="DT99" s="171">
        <f>SUMIF('CF(M)'!$L$10:$EQ$10,DT$6,'CF(M)'!$L104:$EQ104)</f>
        <v>0</v>
      </c>
      <c r="DU99" s="171">
        <f>SUMIF('CF(M)'!$L$10:$EQ$10,DU$6,'CF(M)'!$L104:$EQ104)</f>
        <v>0</v>
      </c>
      <c r="DV99" s="171">
        <f>SUMIF('CF(M)'!$L$10:$EQ$10,DV$6,'CF(M)'!$L104:$EQ104)</f>
        <v>0</v>
      </c>
    </row>
    <row r="100" spans="2:126" ht="11.25" customHeight="1">
      <c r="B100" s="218"/>
      <c r="C100" s="158" t="str">
        <f>'CF(M)'!C105</f>
        <v>3종 우선주(LF)</v>
      </c>
      <c r="D100" s="159"/>
      <c r="E100" s="159"/>
      <c r="F100" s="159"/>
      <c r="G100" s="159"/>
      <c r="H100" s="160"/>
      <c r="I100" s="219"/>
      <c r="J100" s="220">
        <f>SUM(J101:J104)</f>
        <v>0</v>
      </c>
      <c r="K100" s="98"/>
      <c r="L100" s="162">
        <f>SUM(L101:L104)</f>
        <v>10000000</v>
      </c>
      <c r="M100" s="162">
        <f t="shared" ref="M100:BX100" si="49">SUM(M101:M104)</f>
        <v>0</v>
      </c>
      <c r="N100" s="162">
        <f t="shared" si="49"/>
        <v>0</v>
      </c>
      <c r="O100" s="162">
        <f t="shared" si="49"/>
        <v>0</v>
      </c>
      <c r="P100" s="162">
        <f t="shared" si="49"/>
        <v>-10000000</v>
      </c>
      <c r="Q100" s="162">
        <f t="shared" si="49"/>
        <v>0</v>
      </c>
      <c r="R100" s="162">
        <f t="shared" si="49"/>
        <v>0</v>
      </c>
      <c r="S100" s="162">
        <f t="shared" si="49"/>
        <v>0</v>
      </c>
      <c r="T100" s="162">
        <f t="shared" si="49"/>
        <v>0</v>
      </c>
      <c r="U100" s="162">
        <f t="shared" si="49"/>
        <v>0</v>
      </c>
      <c r="V100" s="162">
        <f t="shared" si="49"/>
        <v>0</v>
      </c>
      <c r="W100" s="162">
        <f t="shared" si="49"/>
        <v>0</v>
      </c>
      <c r="X100" s="162">
        <f t="shared" si="49"/>
        <v>0</v>
      </c>
      <c r="Y100" s="162">
        <f t="shared" si="49"/>
        <v>0</v>
      </c>
      <c r="Z100" s="162">
        <f t="shared" si="49"/>
        <v>0</v>
      </c>
      <c r="AA100" s="162">
        <f t="shared" si="49"/>
        <v>0</v>
      </c>
      <c r="AB100" s="162">
        <f t="shared" si="49"/>
        <v>0</v>
      </c>
      <c r="AC100" s="162">
        <f t="shared" si="49"/>
        <v>0</v>
      </c>
      <c r="AD100" s="162">
        <f t="shared" si="49"/>
        <v>0</v>
      </c>
      <c r="AE100" s="162">
        <f t="shared" si="49"/>
        <v>0</v>
      </c>
      <c r="AF100" s="162">
        <f t="shared" si="49"/>
        <v>0</v>
      </c>
      <c r="AG100" s="162">
        <f t="shared" si="49"/>
        <v>0</v>
      </c>
      <c r="AH100" s="162">
        <f t="shared" si="49"/>
        <v>0</v>
      </c>
      <c r="AI100" s="162">
        <f t="shared" si="49"/>
        <v>0</v>
      </c>
      <c r="AJ100" s="162">
        <f t="shared" si="49"/>
        <v>0</v>
      </c>
      <c r="AK100" s="162">
        <f t="shared" si="49"/>
        <v>0</v>
      </c>
      <c r="AL100" s="162">
        <f t="shared" si="49"/>
        <v>0</v>
      </c>
      <c r="AM100" s="162">
        <f t="shared" si="49"/>
        <v>0</v>
      </c>
      <c r="AN100" s="162">
        <f t="shared" si="49"/>
        <v>0</v>
      </c>
      <c r="AO100" s="162">
        <f t="shared" si="49"/>
        <v>0</v>
      </c>
      <c r="AP100" s="162">
        <f t="shared" si="49"/>
        <v>0</v>
      </c>
      <c r="AQ100" s="162">
        <f t="shared" si="49"/>
        <v>0</v>
      </c>
      <c r="AR100" s="162">
        <f t="shared" si="49"/>
        <v>0</v>
      </c>
      <c r="AS100" s="162">
        <f t="shared" si="49"/>
        <v>0</v>
      </c>
      <c r="AT100" s="162">
        <f t="shared" si="49"/>
        <v>0</v>
      </c>
      <c r="AU100" s="162">
        <f t="shared" si="49"/>
        <v>0</v>
      </c>
      <c r="AV100" s="162">
        <f t="shared" si="49"/>
        <v>0</v>
      </c>
      <c r="AW100" s="162">
        <f t="shared" si="49"/>
        <v>0</v>
      </c>
      <c r="AX100" s="162">
        <f t="shared" si="49"/>
        <v>0</v>
      </c>
      <c r="AY100" s="162">
        <f t="shared" si="49"/>
        <v>0</v>
      </c>
      <c r="AZ100" s="162">
        <f t="shared" si="49"/>
        <v>0</v>
      </c>
      <c r="BA100" s="162">
        <f t="shared" si="49"/>
        <v>0</v>
      </c>
      <c r="BB100" s="162">
        <f t="shared" si="49"/>
        <v>0</v>
      </c>
      <c r="BC100" s="162">
        <f t="shared" si="49"/>
        <v>0</v>
      </c>
      <c r="BD100" s="162">
        <f t="shared" si="49"/>
        <v>0</v>
      </c>
      <c r="BE100" s="162">
        <f t="shared" si="49"/>
        <v>0</v>
      </c>
      <c r="BF100" s="162">
        <f t="shared" si="49"/>
        <v>0</v>
      </c>
      <c r="BG100" s="162">
        <f t="shared" si="49"/>
        <v>0</v>
      </c>
      <c r="BH100" s="162">
        <f t="shared" si="49"/>
        <v>0</v>
      </c>
      <c r="BI100" s="162">
        <f t="shared" si="49"/>
        <v>0</v>
      </c>
      <c r="BJ100" s="162">
        <f t="shared" si="49"/>
        <v>0</v>
      </c>
      <c r="BK100" s="162">
        <f t="shared" si="49"/>
        <v>0</v>
      </c>
      <c r="BL100" s="162">
        <f t="shared" si="49"/>
        <v>0</v>
      </c>
      <c r="BM100" s="162">
        <f t="shared" si="49"/>
        <v>0</v>
      </c>
      <c r="BN100" s="162">
        <f t="shared" si="49"/>
        <v>0</v>
      </c>
      <c r="BO100" s="162">
        <f t="shared" si="49"/>
        <v>0</v>
      </c>
      <c r="BP100" s="162">
        <f t="shared" si="49"/>
        <v>0</v>
      </c>
      <c r="BQ100" s="162">
        <f t="shared" si="49"/>
        <v>0</v>
      </c>
      <c r="BR100" s="162">
        <f t="shared" si="49"/>
        <v>0</v>
      </c>
      <c r="BS100" s="162">
        <f t="shared" si="49"/>
        <v>0</v>
      </c>
      <c r="BT100" s="162">
        <f t="shared" si="49"/>
        <v>0</v>
      </c>
      <c r="BU100" s="162">
        <f t="shared" si="49"/>
        <v>0</v>
      </c>
      <c r="BV100" s="162">
        <f t="shared" si="49"/>
        <v>0</v>
      </c>
      <c r="BW100" s="162">
        <f t="shared" si="49"/>
        <v>0</v>
      </c>
      <c r="BX100" s="162">
        <f t="shared" si="49"/>
        <v>0</v>
      </c>
      <c r="BY100" s="162">
        <f t="shared" ref="BY100:DV100" si="50">SUM(BY101:BY104)</f>
        <v>0</v>
      </c>
      <c r="BZ100" s="162">
        <f t="shared" si="50"/>
        <v>0</v>
      </c>
      <c r="CA100" s="162">
        <f t="shared" si="50"/>
        <v>0</v>
      </c>
      <c r="CB100" s="162">
        <f t="shared" si="50"/>
        <v>0</v>
      </c>
      <c r="CC100" s="162">
        <f t="shared" si="50"/>
        <v>0</v>
      </c>
      <c r="CD100" s="162">
        <f t="shared" si="50"/>
        <v>0</v>
      </c>
      <c r="CE100" s="162">
        <f t="shared" si="50"/>
        <v>0</v>
      </c>
      <c r="CF100" s="162">
        <f t="shared" si="50"/>
        <v>0</v>
      </c>
      <c r="CG100" s="162">
        <f t="shared" si="50"/>
        <v>0</v>
      </c>
      <c r="CH100" s="162">
        <f t="shared" si="50"/>
        <v>0</v>
      </c>
      <c r="CI100" s="162">
        <f t="shared" si="50"/>
        <v>0</v>
      </c>
      <c r="CJ100" s="162">
        <f t="shared" si="50"/>
        <v>0</v>
      </c>
      <c r="CK100" s="162">
        <f t="shared" si="50"/>
        <v>0</v>
      </c>
      <c r="CL100" s="162">
        <f t="shared" si="50"/>
        <v>0</v>
      </c>
      <c r="CM100" s="162">
        <f t="shared" si="50"/>
        <v>0</v>
      </c>
      <c r="CN100" s="162">
        <f t="shared" si="50"/>
        <v>0</v>
      </c>
      <c r="CO100" s="162">
        <f t="shared" si="50"/>
        <v>0</v>
      </c>
      <c r="CP100" s="162">
        <f t="shared" si="50"/>
        <v>0</v>
      </c>
      <c r="CQ100" s="162">
        <f t="shared" si="50"/>
        <v>0</v>
      </c>
      <c r="CR100" s="162">
        <f t="shared" si="50"/>
        <v>0</v>
      </c>
      <c r="CS100" s="162">
        <f t="shared" si="50"/>
        <v>0</v>
      </c>
      <c r="CT100" s="162">
        <f t="shared" si="50"/>
        <v>0</v>
      </c>
      <c r="CU100" s="162">
        <f t="shared" si="50"/>
        <v>0</v>
      </c>
      <c r="CV100" s="162">
        <f t="shared" si="50"/>
        <v>0</v>
      </c>
      <c r="CW100" s="162">
        <f t="shared" si="50"/>
        <v>0</v>
      </c>
      <c r="CX100" s="162">
        <f t="shared" si="50"/>
        <v>0</v>
      </c>
      <c r="CY100" s="162">
        <f t="shared" si="50"/>
        <v>0</v>
      </c>
      <c r="CZ100" s="162">
        <f t="shared" si="50"/>
        <v>0</v>
      </c>
      <c r="DA100" s="162">
        <f t="shared" si="50"/>
        <v>0</v>
      </c>
      <c r="DB100" s="162">
        <f t="shared" si="50"/>
        <v>0</v>
      </c>
      <c r="DC100" s="162">
        <f t="shared" si="50"/>
        <v>0</v>
      </c>
      <c r="DD100" s="162">
        <f t="shared" si="50"/>
        <v>0</v>
      </c>
      <c r="DE100" s="162">
        <f t="shared" si="50"/>
        <v>0</v>
      </c>
      <c r="DF100" s="162">
        <f t="shared" si="50"/>
        <v>0</v>
      </c>
      <c r="DG100" s="162">
        <f t="shared" si="50"/>
        <v>0</v>
      </c>
      <c r="DH100" s="162">
        <f t="shared" si="50"/>
        <v>0</v>
      </c>
      <c r="DI100" s="162">
        <f t="shared" si="50"/>
        <v>0</v>
      </c>
      <c r="DJ100" s="162">
        <f t="shared" si="50"/>
        <v>0</v>
      </c>
      <c r="DK100" s="162">
        <f t="shared" si="50"/>
        <v>0</v>
      </c>
      <c r="DL100" s="162">
        <f t="shared" si="50"/>
        <v>0</v>
      </c>
      <c r="DM100" s="162">
        <f t="shared" si="50"/>
        <v>0</v>
      </c>
      <c r="DN100" s="162">
        <f t="shared" si="50"/>
        <v>0</v>
      </c>
      <c r="DO100" s="162">
        <f t="shared" si="50"/>
        <v>0</v>
      </c>
      <c r="DP100" s="162">
        <f t="shared" si="50"/>
        <v>0</v>
      </c>
      <c r="DQ100" s="162">
        <f t="shared" si="50"/>
        <v>0</v>
      </c>
      <c r="DR100" s="162">
        <f t="shared" si="50"/>
        <v>0</v>
      </c>
      <c r="DS100" s="162">
        <f t="shared" si="50"/>
        <v>0</v>
      </c>
      <c r="DT100" s="162">
        <f t="shared" si="50"/>
        <v>0</v>
      </c>
      <c r="DU100" s="162">
        <f t="shared" si="50"/>
        <v>0</v>
      </c>
      <c r="DV100" s="162">
        <f t="shared" si="50"/>
        <v>0</v>
      </c>
    </row>
    <row r="101" spans="2:126" ht="11.25" customHeight="1">
      <c r="B101" s="218"/>
      <c r="C101" s="163"/>
      <c r="D101" s="164" t="s">
        <v>208</v>
      </c>
      <c r="E101" s="165"/>
      <c r="F101" s="165"/>
      <c r="G101" s="165"/>
      <c r="H101" s="166"/>
      <c r="I101" s="228"/>
      <c r="J101" s="168">
        <f>SUM(L101:DV101)</f>
        <v>10000000</v>
      </c>
      <c r="K101" s="98"/>
      <c r="L101" s="168">
        <f>SUMIF('CF(M)'!$L$10:$EQ$10,L$6,'CF(M)'!$L106:$EQ106)</f>
        <v>10000000</v>
      </c>
      <c r="M101" s="168">
        <f>SUMIF('CF(M)'!$L$10:$EQ$10,M$6,'CF(M)'!$L106:$EQ106)</f>
        <v>0</v>
      </c>
      <c r="N101" s="168">
        <f>SUMIF('CF(M)'!$L$10:$EQ$10,N$6,'CF(M)'!$L106:$EQ106)</f>
        <v>0</v>
      </c>
      <c r="O101" s="168">
        <f>SUMIF('CF(M)'!$L$10:$EQ$10,O$6,'CF(M)'!$L106:$EQ106)</f>
        <v>0</v>
      </c>
      <c r="P101" s="168">
        <f>SUMIF('CF(M)'!$L$10:$EQ$10,P$6,'CF(M)'!$L106:$EQ106)</f>
        <v>0</v>
      </c>
      <c r="Q101" s="168">
        <f>SUMIF('CF(M)'!$L$10:$EQ$10,Q$6,'CF(M)'!$L106:$EQ106)</f>
        <v>0</v>
      </c>
      <c r="R101" s="168">
        <f>SUMIF('CF(M)'!$L$10:$EQ$10,R$6,'CF(M)'!$L106:$EQ106)</f>
        <v>0</v>
      </c>
      <c r="S101" s="168">
        <f>SUMIF('CF(M)'!$L$10:$EQ$10,S$6,'CF(M)'!$L106:$EQ106)</f>
        <v>0</v>
      </c>
      <c r="T101" s="168">
        <f>SUMIF('CF(M)'!$L$10:$EQ$10,T$6,'CF(M)'!$L106:$EQ106)</f>
        <v>0</v>
      </c>
      <c r="U101" s="168">
        <f>SUMIF('CF(M)'!$L$10:$EQ$10,U$6,'CF(M)'!$L106:$EQ106)</f>
        <v>0</v>
      </c>
      <c r="V101" s="168">
        <f>SUMIF('CF(M)'!$L$10:$EQ$10,V$6,'CF(M)'!$L106:$EQ106)</f>
        <v>0</v>
      </c>
      <c r="W101" s="168">
        <f>SUMIF('CF(M)'!$L$10:$EQ$10,W$6,'CF(M)'!$L106:$EQ106)</f>
        <v>0</v>
      </c>
      <c r="X101" s="168">
        <f>SUMIF('CF(M)'!$L$10:$EQ$10,X$6,'CF(M)'!$L106:$EQ106)</f>
        <v>0</v>
      </c>
      <c r="Y101" s="168">
        <f>SUMIF('CF(M)'!$L$10:$EQ$10,Y$6,'CF(M)'!$L106:$EQ106)</f>
        <v>0</v>
      </c>
      <c r="Z101" s="168">
        <f>SUMIF('CF(M)'!$L$10:$EQ$10,Z$6,'CF(M)'!$L106:$EQ106)</f>
        <v>0</v>
      </c>
      <c r="AA101" s="168">
        <f>SUMIF('CF(M)'!$L$10:$EQ$10,AA$6,'CF(M)'!$L106:$EQ106)</f>
        <v>0</v>
      </c>
      <c r="AB101" s="168">
        <f>SUMIF('CF(M)'!$L$10:$EQ$10,AB$6,'CF(M)'!$L106:$EQ106)</f>
        <v>0</v>
      </c>
      <c r="AC101" s="168">
        <f>SUMIF('CF(M)'!$L$10:$EQ$10,AC$6,'CF(M)'!$L106:$EQ106)</f>
        <v>0</v>
      </c>
      <c r="AD101" s="168">
        <f>SUMIF('CF(M)'!$L$10:$EQ$10,AD$6,'CF(M)'!$L106:$EQ106)</f>
        <v>0</v>
      </c>
      <c r="AE101" s="168">
        <f>SUMIF('CF(M)'!$L$10:$EQ$10,AE$6,'CF(M)'!$L106:$EQ106)</f>
        <v>0</v>
      </c>
      <c r="AF101" s="168">
        <f>SUMIF('CF(M)'!$L$10:$EQ$10,AF$6,'CF(M)'!$L106:$EQ106)</f>
        <v>0</v>
      </c>
      <c r="AG101" s="168">
        <f>SUMIF('CF(M)'!$L$10:$EQ$10,AG$6,'CF(M)'!$L106:$EQ106)</f>
        <v>0</v>
      </c>
      <c r="AH101" s="168">
        <f>SUMIF('CF(M)'!$L$10:$EQ$10,AH$6,'CF(M)'!$L106:$EQ106)</f>
        <v>0</v>
      </c>
      <c r="AI101" s="168">
        <f>SUMIF('CF(M)'!$L$10:$EQ$10,AI$6,'CF(M)'!$L106:$EQ106)</f>
        <v>0</v>
      </c>
      <c r="AJ101" s="168">
        <f>SUMIF('CF(M)'!$L$10:$EQ$10,AJ$6,'CF(M)'!$L106:$EQ106)</f>
        <v>0</v>
      </c>
      <c r="AK101" s="168">
        <f>SUMIF('CF(M)'!$L$10:$EQ$10,AK$6,'CF(M)'!$L106:$EQ106)</f>
        <v>0</v>
      </c>
      <c r="AL101" s="168">
        <f>SUMIF('CF(M)'!$L$10:$EQ$10,AL$6,'CF(M)'!$L106:$EQ106)</f>
        <v>0</v>
      </c>
      <c r="AM101" s="168">
        <f>SUMIF('CF(M)'!$L$10:$EQ$10,AM$6,'CF(M)'!$L106:$EQ106)</f>
        <v>0</v>
      </c>
      <c r="AN101" s="168">
        <f>SUMIF('CF(M)'!$L$10:$EQ$10,AN$6,'CF(M)'!$L106:$EQ106)</f>
        <v>0</v>
      </c>
      <c r="AO101" s="168">
        <f>SUMIF('CF(M)'!$L$10:$EQ$10,AO$6,'CF(M)'!$L106:$EQ106)</f>
        <v>0</v>
      </c>
      <c r="AP101" s="168">
        <f>SUMIF('CF(M)'!$L$10:$EQ$10,AP$6,'CF(M)'!$L106:$EQ106)</f>
        <v>0</v>
      </c>
      <c r="AQ101" s="168">
        <f>SUMIF('CF(M)'!$L$10:$EQ$10,AQ$6,'CF(M)'!$L106:$EQ106)</f>
        <v>0</v>
      </c>
      <c r="AR101" s="168">
        <f>SUMIF('CF(M)'!$L$10:$EQ$10,AR$6,'CF(M)'!$L106:$EQ106)</f>
        <v>0</v>
      </c>
      <c r="AS101" s="168">
        <f>SUMIF('CF(M)'!$L$10:$EQ$10,AS$6,'CF(M)'!$L106:$EQ106)</f>
        <v>0</v>
      </c>
      <c r="AT101" s="168">
        <f>SUMIF('CF(M)'!$L$10:$EQ$10,AT$6,'CF(M)'!$L106:$EQ106)</f>
        <v>0</v>
      </c>
      <c r="AU101" s="168">
        <f>SUMIF('CF(M)'!$L$10:$EQ$10,AU$6,'CF(M)'!$L106:$EQ106)</f>
        <v>0</v>
      </c>
      <c r="AV101" s="168">
        <f>SUMIF('CF(M)'!$L$10:$EQ$10,AV$6,'CF(M)'!$L106:$EQ106)</f>
        <v>0</v>
      </c>
      <c r="AW101" s="168">
        <f>SUMIF('CF(M)'!$L$10:$EQ$10,AW$6,'CF(M)'!$L106:$EQ106)</f>
        <v>0</v>
      </c>
      <c r="AX101" s="168">
        <f>SUMIF('CF(M)'!$L$10:$EQ$10,AX$6,'CF(M)'!$L106:$EQ106)</f>
        <v>0</v>
      </c>
      <c r="AY101" s="168">
        <f>SUMIF('CF(M)'!$L$10:$EQ$10,AY$6,'CF(M)'!$L106:$EQ106)</f>
        <v>0</v>
      </c>
      <c r="AZ101" s="168">
        <f>SUMIF('CF(M)'!$L$10:$EQ$10,AZ$6,'CF(M)'!$L106:$EQ106)</f>
        <v>0</v>
      </c>
      <c r="BA101" s="168">
        <f>SUMIF('CF(M)'!$L$10:$EQ$10,BA$6,'CF(M)'!$L106:$EQ106)</f>
        <v>0</v>
      </c>
      <c r="BB101" s="168">
        <f>SUMIF('CF(M)'!$L$10:$EQ$10,BB$6,'CF(M)'!$L106:$EQ106)</f>
        <v>0</v>
      </c>
      <c r="BC101" s="168">
        <f>SUMIF('CF(M)'!$L$10:$EQ$10,BC$6,'CF(M)'!$L106:$EQ106)</f>
        <v>0</v>
      </c>
      <c r="BD101" s="168">
        <f>SUMIF('CF(M)'!$L$10:$EQ$10,BD$6,'CF(M)'!$L106:$EQ106)</f>
        <v>0</v>
      </c>
      <c r="BE101" s="168">
        <f>SUMIF('CF(M)'!$L$10:$EQ$10,BE$6,'CF(M)'!$L106:$EQ106)</f>
        <v>0</v>
      </c>
      <c r="BF101" s="168">
        <f>SUMIF('CF(M)'!$L$10:$EQ$10,BF$6,'CF(M)'!$L106:$EQ106)</f>
        <v>0</v>
      </c>
      <c r="BG101" s="168">
        <f>SUMIF('CF(M)'!$L$10:$EQ$10,BG$6,'CF(M)'!$L106:$EQ106)</f>
        <v>0</v>
      </c>
      <c r="BH101" s="168">
        <f>SUMIF('CF(M)'!$L$10:$EQ$10,BH$6,'CF(M)'!$L106:$EQ106)</f>
        <v>0</v>
      </c>
      <c r="BI101" s="168">
        <f>SUMIF('CF(M)'!$L$10:$EQ$10,BI$6,'CF(M)'!$L106:$EQ106)</f>
        <v>0</v>
      </c>
      <c r="BJ101" s="168">
        <f>SUMIF('CF(M)'!$L$10:$EQ$10,BJ$6,'CF(M)'!$L106:$EQ106)</f>
        <v>0</v>
      </c>
      <c r="BK101" s="168">
        <f>SUMIF('CF(M)'!$L$10:$EQ$10,BK$6,'CF(M)'!$L106:$EQ106)</f>
        <v>0</v>
      </c>
      <c r="BL101" s="168">
        <f>SUMIF('CF(M)'!$L$10:$EQ$10,BL$6,'CF(M)'!$L106:$EQ106)</f>
        <v>0</v>
      </c>
      <c r="BM101" s="168">
        <f>SUMIF('CF(M)'!$L$10:$EQ$10,BM$6,'CF(M)'!$L106:$EQ106)</f>
        <v>0</v>
      </c>
      <c r="BN101" s="168">
        <f>SUMIF('CF(M)'!$L$10:$EQ$10,BN$6,'CF(M)'!$L106:$EQ106)</f>
        <v>0</v>
      </c>
      <c r="BO101" s="168">
        <f>SUMIF('CF(M)'!$L$10:$EQ$10,BO$6,'CF(M)'!$L106:$EQ106)</f>
        <v>0</v>
      </c>
      <c r="BP101" s="168">
        <f>SUMIF('CF(M)'!$L$10:$EQ$10,BP$6,'CF(M)'!$L106:$EQ106)</f>
        <v>0</v>
      </c>
      <c r="BQ101" s="168">
        <f>SUMIF('CF(M)'!$L$10:$EQ$10,BQ$6,'CF(M)'!$L106:$EQ106)</f>
        <v>0</v>
      </c>
      <c r="BR101" s="168">
        <f>SUMIF('CF(M)'!$L$10:$EQ$10,BR$6,'CF(M)'!$L106:$EQ106)</f>
        <v>0</v>
      </c>
      <c r="BS101" s="168">
        <f>SUMIF('CF(M)'!$L$10:$EQ$10,BS$6,'CF(M)'!$L106:$EQ106)</f>
        <v>0</v>
      </c>
      <c r="BT101" s="168">
        <f>SUMIF('CF(M)'!$L$10:$EQ$10,BT$6,'CF(M)'!$L106:$EQ106)</f>
        <v>0</v>
      </c>
      <c r="BU101" s="168">
        <f>SUMIF('CF(M)'!$L$10:$EQ$10,BU$6,'CF(M)'!$L106:$EQ106)</f>
        <v>0</v>
      </c>
      <c r="BV101" s="168">
        <f>SUMIF('CF(M)'!$L$10:$EQ$10,BV$6,'CF(M)'!$L106:$EQ106)</f>
        <v>0</v>
      </c>
      <c r="BW101" s="168">
        <f>SUMIF('CF(M)'!$L$10:$EQ$10,BW$6,'CF(M)'!$L106:$EQ106)</f>
        <v>0</v>
      </c>
      <c r="BX101" s="168">
        <f>SUMIF('CF(M)'!$L$10:$EQ$10,BX$6,'CF(M)'!$L106:$EQ106)</f>
        <v>0</v>
      </c>
      <c r="BY101" s="168">
        <f>SUMIF('CF(M)'!$L$10:$EQ$10,BY$6,'CF(M)'!$L106:$EQ106)</f>
        <v>0</v>
      </c>
      <c r="BZ101" s="168">
        <f>SUMIF('CF(M)'!$L$10:$EQ$10,BZ$6,'CF(M)'!$L106:$EQ106)</f>
        <v>0</v>
      </c>
      <c r="CA101" s="168">
        <f>SUMIF('CF(M)'!$L$10:$EQ$10,CA$6,'CF(M)'!$L106:$EQ106)</f>
        <v>0</v>
      </c>
      <c r="CB101" s="168">
        <f>SUMIF('CF(M)'!$L$10:$EQ$10,CB$6,'CF(M)'!$L106:$EQ106)</f>
        <v>0</v>
      </c>
      <c r="CC101" s="168">
        <f>SUMIF('CF(M)'!$L$10:$EQ$10,CC$6,'CF(M)'!$L106:$EQ106)</f>
        <v>0</v>
      </c>
      <c r="CD101" s="168">
        <f>SUMIF('CF(M)'!$L$10:$EQ$10,CD$6,'CF(M)'!$L106:$EQ106)</f>
        <v>0</v>
      </c>
      <c r="CE101" s="168">
        <f>SUMIF('CF(M)'!$L$10:$EQ$10,CE$6,'CF(M)'!$L106:$EQ106)</f>
        <v>0</v>
      </c>
      <c r="CF101" s="168">
        <f>SUMIF('CF(M)'!$L$10:$EQ$10,CF$6,'CF(M)'!$L106:$EQ106)</f>
        <v>0</v>
      </c>
      <c r="CG101" s="168">
        <f>SUMIF('CF(M)'!$L$10:$EQ$10,CG$6,'CF(M)'!$L106:$EQ106)</f>
        <v>0</v>
      </c>
      <c r="CH101" s="168">
        <f>SUMIF('CF(M)'!$L$10:$EQ$10,CH$6,'CF(M)'!$L106:$EQ106)</f>
        <v>0</v>
      </c>
      <c r="CI101" s="168">
        <f>SUMIF('CF(M)'!$L$10:$EQ$10,CI$6,'CF(M)'!$L106:$EQ106)</f>
        <v>0</v>
      </c>
      <c r="CJ101" s="168">
        <f>SUMIF('CF(M)'!$L$10:$EQ$10,CJ$6,'CF(M)'!$L106:$EQ106)</f>
        <v>0</v>
      </c>
      <c r="CK101" s="168">
        <f>SUMIF('CF(M)'!$L$10:$EQ$10,CK$6,'CF(M)'!$L106:$EQ106)</f>
        <v>0</v>
      </c>
      <c r="CL101" s="168">
        <f>SUMIF('CF(M)'!$L$10:$EQ$10,CL$6,'CF(M)'!$L106:$EQ106)</f>
        <v>0</v>
      </c>
      <c r="CM101" s="168">
        <f>SUMIF('CF(M)'!$L$10:$EQ$10,CM$6,'CF(M)'!$L106:$EQ106)</f>
        <v>0</v>
      </c>
      <c r="CN101" s="168">
        <f>SUMIF('CF(M)'!$L$10:$EQ$10,CN$6,'CF(M)'!$L106:$EQ106)</f>
        <v>0</v>
      </c>
      <c r="CO101" s="168">
        <f>SUMIF('CF(M)'!$L$10:$EQ$10,CO$6,'CF(M)'!$L106:$EQ106)</f>
        <v>0</v>
      </c>
      <c r="CP101" s="168">
        <f>SUMIF('CF(M)'!$L$10:$EQ$10,CP$6,'CF(M)'!$L106:$EQ106)</f>
        <v>0</v>
      </c>
      <c r="CQ101" s="168">
        <f>SUMIF('CF(M)'!$L$10:$EQ$10,CQ$6,'CF(M)'!$L106:$EQ106)</f>
        <v>0</v>
      </c>
      <c r="CR101" s="168">
        <f>SUMIF('CF(M)'!$L$10:$EQ$10,CR$6,'CF(M)'!$L106:$EQ106)</f>
        <v>0</v>
      </c>
      <c r="CS101" s="168">
        <f>SUMIF('CF(M)'!$L$10:$EQ$10,CS$6,'CF(M)'!$L106:$EQ106)</f>
        <v>0</v>
      </c>
      <c r="CT101" s="168">
        <f>SUMIF('CF(M)'!$L$10:$EQ$10,CT$6,'CF(M)'!$L106:$EQ106)</f>
        <v>0</v>
      </c>
      <c r="CU101" s="168">
        <f>SUMIF('CF(M)'!$L$10:$EQ$10,CU$6,'CF(M)'!$L106:$EQ106)</f>
        <v>0</v>
      </c>
      <c r="CV101" s="168">
        <f>SUMIF('CF(M)'!$L$10:$EQ$10,CV$6,'CF(M)'!$L106:$EQ106)</f>
        <v>0</v>
      </c>
      <c r="CW101" s="168">
        <f>SUMIF('CF(M)'!$L$10:$EQ$10,CW$6,'CF(M)'!$L106:$EQ106)</f>
        <v>0</v>
      </c>
      <c r="CX101" s="168">
        <f>SUMIF('CF(M)'!$L$10:$EQ$10,CX$6,'CF(M)'!$L106:$EQ106)</f>
        <v>0</v>
      </c>
      <c r="CY101" s="168">
        <f>SUMIF('CF(M)'!$L$10:$EQ$10,CY$6,'CF(M)'!$L106:$EQ106)</f>
        <v>0</v>
      </c>
      <c r="CZ101" s="168">
        <f>SUMIF('CF(M)'!$L$10:$EQ$10,CZ$6,'CF(M)'!$L106:$EQ106)</f>
        <v>0</v>
      </c>
      <c r="DA101" s="168">
        <f>SUMIF('CF(M)'!$L$10:$EQ$10,DA$6,'CF(M)'!$L106:$EQ106)</f>
        <v>0</v>
      </c>
      <c r="DB101" s="168">
        <f>SUMIF('CF(M)'!$L$10:$EQ$10,DB$6,'CF(M)'!$L106:$EQ106)</f>
        <v>0</v>
      </c>
      <c r="DC101" s="168">
        <f>SUMIF('CF(M)'!$L$10:$EQ$10,DC$6,'CF(M)'!$L106:$EQ106)</f>
        <v>0</v>
      </c>
      <c r="DD101" s="168">
        <f>SUMIF('CF(M)'!$L$10:$EQ$10,DD$6,'CF(M)'!$L106:$EQ106)</f>
        <v>0</v>
      </c>
      <c r="DE101" s="168">
        <f>SUMIF('CF(M)'!$L$10:$EQ$10,DE$6,'CF(M)'!$L106:$EQ106)</f>
        <v>0</v>
      </c>
      <c r="DF101" s="168">
        <f>SUMIF('CF(M)'!$L$10:$EQ$10,DF$6,'CF(M)'!$L106:$EQ106)</f>
        <v>0</v>
      </c>
      <c r="DG101" s="168">
        <f>SUMIF('CF(M)'!$L$10:$EQ$10,DG$6,'CF(M)'!$L106:$EQ106)</f>
        <v>0</v>
      </c>
      <c r="DH101" s="168">
        <f>SUMIF('CF(M)'!$L$10:$EQ$10,DH$6,'CF(M)'!$L106:$EQ106)</f>
        <v>0</v>
      </c>
      <c r="DI101" s="168">
        <f>SUMIF('CF(M)'!$L$10:$EQ$10,DI$6,'CF(M)'!$L106:$EQ106)</f>
        <v>0</v>
      </c>
      <c r="DJ101" s="168">
        <f>SUMIF('CF(M)'!$L$10:$EQ$10,DJ$6,'CF(M)'!$L106:$EQ106)</f>
        <v>0</v>
      </c>
      <c r="DK101" s="168">
        <f>SUMIF('CF(M)'!$L$10:$EQ$10,DK$6,'CF(M)'!$L106:$EQ106)</f>
        <v>0</v>
      </c>
      <c r="DL101" s="168">
        <f>SUMIF('CF(M)'!$L$10:$EQ$10,DL$6,'CF(M)'!$L106:$EQ106)</f>
        <v>0</v>
      </c>
      <c r="DM101" s="168">
        <f>SUMIF('CF(M)'!$L$10:$EQ$10,DM$6,'CF(M)'!$L106:$EQ106)</f>
        <v>0</v>
      </c>
      <c r="DN101" s="168">
        <f>SUMIF('CF(M)'!$L$10:$EQ$10,DN$6,'CF(M)'!$L106:$EQ106)</f>
        <v>0</v>
      </c>
      <c r="DO101" s="168">
        <f>SUMIF('CF(M)'!$L$10:$EQ$10,DO$6,'CF(M)'!$L106:$EQ106)</f>
        <v>0</v>
      </c>
      <c r="DP101" s="168">
        <f>SUMIF('CF(M)'!$L$10:$EQ$10,DP$6,'CF(M)'!$L106:$EQ106)</f>
        <v>0</v>
      </c>
      <c r="DQ101" s="168">
        <f>SUMIF('CF(M)'!$L$10:$EQ$10,DQ$6,'CF(M)'!$L106:$EQ106)</f>
        <v>0</v>
      </c>
      <c r="DR101" s="168">
        <f>SUMIF('CF(M)'!$L$10:$EQ$10,DR$6,'CF(M)'!$L106:$EQ106)</f>
        <v>0</v>
      </c>
      <c r="DS101" s="168">
        <f>SUMIF('CF(M)'!$L$10:$EQ$10,DS$6,'CF(M)'!$L106:$EQ106)</f>
        <v>0</v>
      </c>
      <c r="DT101" s="168">
        <f>SUMIF('CF(M)'!$L$10:$EQ$10,DT$6,'CF(M)'!$L106:$EQ106)</f>
        <v>0</v>
      </c>
      <c r="DU101" s="168">
        <f>SUMIF('CF(M)'!$L$10:$EQ$10,DU$6,'CF(M)'!$L106:$EQ106)</f>
        <v>0</v>
      </c>
      <c r="DV101" s="168">
        <f>SUMIF('CF(M)'!$L$10:$EQ$10,DV$6,'CF(M)'!$L106:$EQ106)</f>
        <v>0</v>
      </c>
    </row>
    <row r="102" spans="2:126" ht="11.25" customHeight="1">
      <c r="B102" s="218"/>
      <c r="C102" s="163"/>
      <c r="D102" s="169" t="s">
        <v>551</v>
      </c>
      <c r="H102" s="146"/>
      <c r="I102" s="229"/>
      <c r="J102" s="171">
        <f>SUM(L102:DV102)</f>
        <v>-10000000</v>
      </c>
      <c r="K102" s="98"/>
      <c r="L102" s="171">
        <f>SUMIF('CF(M)'!$L$10:$EQ$10,L$6,'CF(M)'!$L107:$EQ107)</f>
        <v>0</v>
      </c>
      <c r="M102" s="171">
        <f>SUMIF('CF(M)'!$L$10:$EQ$10,M$6,'CF(M)'!$L107:$EQ107)</f>
        <v>0</v>
      </c>
      <c r="N102" s="171">
        <f>SUMIF('CF(M)'!$L$10:$EQ$10,N$6,'CF(M)'!$L107:$EQ107)</f>
        <v>0</v>
      </c>
      <c r="O102" s="171">
        <f>SUMIF('CF(M)'!$L$10:$EQ$10,O$6,'CF(M)'!$L107:$EQ107)</f>
        <v>0</v>
      </c>
      <c r="P102" s="171">
        <f>SUMIF('CF(M)'!$L$10:$EQ$10,P$6,'CF(M)'!$L107:$EQ107)</f>
        <v>-10000000</v>
      </c>
      <c r="Q102" s="171">
        <f>SUMIF('CF(M)'!$L$10:$EQ$10,Q$6,'CF(M)'!$L107:$EQ107)</f>
        <v>0</v>
      </c>
      <c r="R102" s="171">
        <f>SUMIF('CF(M)'!$L$10:$EQ$10,R$6,'CF(M)'!$L107:$EQ107)</f>
        <v>0</v>
      </c>
      <c r="S102" s="171">
        <f>SUMIF('CF(M)'!$L$10:$EQ$10,S$6,'CF(M)'!$L107:$EQ107)</f>
        <v>0</v>
      </c>
      <c r="T102" s="171">
        <f>SUMIF('CF(M)'!$L$10:$EQ$10,T$6,'CF(M)'!$L107:$EQ107)</f>
        <v>0</v>
      </c>
      <c r="U102" s="171">
        <f>SUMIF('CF(M)'!$L$10:$EQ$10,U$6,'CF(M)'!$L107:$EQ107)</f>
        <v>0</v>
      </c>
      <c r="V102" s="171">
        <f>SUMIF('CF(M)'!$L$10:$EQ$10,V$6,'CF(M)'!$L107:$EQ107)</f>
        <v>0</v>
      </c>
      <c r="W102" s="171">
        <f>SUMIF('CF(M)'!$L$10:$EQ$10,W$6,'CF(M)'!$L107:$EQ107)</f>
        <v>0</v>
      </c>
      <c r="X102" s="171">
        <f>SUMIF('CF(M)'!$L$10:$EQ$10,X$6,'CF(M)'!$L107:$EQ107)</f>
        <v>0</v>
      </c>
      <c r="Y102" s="171">
        <f>SUMIF('CF(M)'!$L$10:$EQ$10,Y$6,'CF(M)'!$L107:$EQ107)</f>
        <v>0</v>
      </c>
      <c r="Z102" s="171">
        <f>SUMIF('CF(M)'!$L$10:$EQ$10,Z$6,'CF(M)'!$L107:$EQ107)</f>
        <v>0</v>
      </c>
      <c r="AA102" s="171">
        <f>SUMIF('CF(M)'!$L$10:$EQ$10,AA$6,'CF(M)'!$L107:$EQ107)</f>
        <v>0</v>
      </c>
      <c r="AB102" s="171">
        <f>SUMIF('CF(M)'!$L$10:$EQ$10,AB$6,'CF(M)'!$L107:$EQ107)</f>
        <v>0</v>
      </c>
      <c r="AC102" s="171">
        <f>SUMIF('CF(M)'!$L$10:$EQ$10,AC$6,'CF(M)'!$L107:$EQ107)</f>
        <v>0</v>
      </c>
      <c r="AD102" s="171">
        <f>SUMIF('CF(M)'!$L$10:$EQ$10,AD$6,'CF(M)'!$L107:$EQ107)</f>
        <v>0</v>
      </c>
      <c r="AE102" s="171">
        <f>SUMIF('CF(M)'!$L$10:$EQ$10,AE$6,'CF(M)'!$L107:$EQ107)</f>
        <v>0</v>
      </c>
      <c r="AF102" s="171">
        <f>SUMIF('CF(M)'!$L$10:$EQ$10,AF$6,'CF(M)'!$L107:$EQ107)</f>
        <v>0</v>
      </c>
      <c r="AG102" s="171">
        <f>SUMIF('CF(M)'!$L$10:$EQ$10,AG$6,'CF(M)'!$L107:$EQ107)</f>
        <v>0</v>
      </c>
      <c r="AH102" s="171">
        <f>SUMIF('CF(M)'!$L$10:$EQ$10,AH$6,'CF(M)'!$L107:$EQ107)</f>
        <v>0</v>
      </c>
      <c r="AI102" s="171">
        <f>SUMIF('CF(M)'!$L$10:$EQ$10,AI$6,'CF(M)'!$L107:$EQ107)</f>
        <v>0</v>
      </c>
      <c r="AJ102" s="171">
        <f>SUMIF('CF(M)'!$L$10:$EQ$10,AJ$6,'CF(M)'!$L107:$EQ107)</f>
        <v>0</v>
      </c>
      <c r="AK102" s="171">
        <f>SUMIF('CF(M)'!$L$10:$EQ$10,AK$6,'CF(M)'!$L107:$EQ107)</f>
        <v>0</v>
      </c>
      <c r="AL102" s="171">
        <f>SUMIF('CF(M)'!$L$10:$EQ$10,AL$6,'CF(M)'!$L107:$EQ107)</f>
        <v>0</v>
      </c>
      <c r="AM102" s="171">
        <f>SUMIF('CF(M)'!$L$10:$EQ$10,AM$6,'CF(M)'!$L107:$EQ107)</f>
        <v>0</v>
      </c>
      <c r="AN102" s="171">
        <f>SUMIF('CF(M)'!$L$10:$EQ$10,AN$6,'CF(M)'!$L107:$EQ107)</f>
        <v>0</v>
      </c>
      <c r="AO102" s="171">
        <f>SUMIF('CF(M)'!$L$10:$EQ$10,AO$6,'CF(M)'!$L107:$EQ107)</f>
        <v>0</v>
      </c>
      <c r="AP102" s="171">
        <f>SUMIF('CF(M)'!$L$10:$EQ$10,AP$6,'CF(M)'!$L107:$EQ107)</f>
        <v>0</v>
      </c>
      <c r="AQ102" s="171">
        <f>SUMIF('CF(M)'!$L$10:$EQ$10,AQ$6,'CF(M)'!$L107:$EQ107)</f>
        <v>0</v>
      </c>
      <c r="AR102" s="171">
        <f>SUMIF('CF(M)'!$L$10:$EQ$10,AR$6,'CF(M)'!$L107:$EQ107)</f>
        <v>0</v>
      </c>
      <c r="AS102" s="171">
        <f>SUMIF('CF(M)'!$L$10:$EQ$10,AS$6,'CF(M)'!$L107:$EQ107)</f>
        <v>0</v>
      </c>
      <c r="AT102" s="171">
        <f>SUMIF('CF(M)'!$L$10:$EQ$10,AT$6,'CF(M)'!$L107:$EQ107)</f>
        <v>0</v>
      </c>
      <c r="AU102" s="171">
        <f>SUMIF('CF(M)'!$L$10:$EQ$10,AU$6,'CF(M)'!$L107:$EQ107)</f>
        <v>0</v>
      </c>
      <c r="AV102" s="171">
        <f>SUMIF('CF(M)'!$L$10:$EQ$10,AV$6,'CF(M)'!$L107:$EQ107)</f>
        <v>0</v>
      </c>
      <c r="AW102" s="171">
        <f>SUMIF('CF(M)'!$L$10:$EQ$10,AW$6,'CF(M)'!$L107:$EQ107)</f>
        <v>0</v>
      </c>
      <c r="AX102" s="171">
        <f>SUMIF('CF(M)'!$L$10:$EQ$10,AX$6,'CF(M)'!$L107:$EQ107)</f>
        <v>0</v>
      </c>
      <c r="AY102" s="171">
        <f>SUMIF('CF(M)'!$L$10:$EQ$10,AY$6,'CF(M)'!$L107:$EQ107)</f>
        <v>0</v>
      </c>
      <c r="AZ102" s="171">
        <f>SUMIF('CF(M)'!$L$10:$EQ$10,AZ$6,'CF(M)'!$L107:$EQ107)</f>
        <v>0</v>
      </c>
      <c r="BA102" s="171">
        <f>SUMIF('CF(M)'!$L$10:$EQ$10,BA$6,'CF(M)'!$L107:$EQ107)</f>
        <v>0</v>
      </c>
      <c r="BB102" s="171">
        <f>SUMIF('CF(M)'!$L$10:$EQ$10,BB$6,'CF(M)'!$L107:$EQ107)</f>
        <v>0</v>
      </c>
      <c r="BC102" s="171">
        <f>SUMIF('CF(M)'!$L$10:$EQ$10,BC$6,'CF(M)'!$L107:$EQ107)</f>
        <v>0</v>
      </c>
      <c r="BD102" s="171">
        <f>SUMIF('CF(M)'!$L$10:$EQ$10,BD$6,'CF(M)'!$L107:$EQ107)</f>
        <v>0</v>
      </c>
      <c r="BE102" s="171">
        <f>SUMIF('CF(M)'!$L$10:$EQ$10,BE$6,'CF(M)'!$L107:$EQ107)</f>
        <v>0</v>
      </c>
      <c r="BF102" s="171">
        <f>SUMIF('CF(M)'!$L$10:$EQ$10,BF$6,'CF(M)'!$L107:$EQ107)</f>
        <v>0</v>
      </c>
      <c r="BG102" s="171">
        <f>SUMIF('CF(M)'!$L$10:$EQ$10,BG$6,'CF(M)'!$L107:$EQ107)</f>
        <v>0</v>
      </c>
      <c r="BH102" s="171">
        <f>SUMIF('CF(M)'!$L$10:$EQ$10,BH$6,'CF(M)'!$L107:$EQ107)</f>
        <v>0</v>
      </c>
      <c r="BI102" s="171">
        <f>SUMIF('CF(M)'!$L$10:$EQ$10,BI$6,'CF(M)'!$L107:$EQ107)</f>
        <v>0</v>
      </c>
      <c r="BJ102" s="171">
        <f>SUMIF('CF(M)'!$L$10:$EQ$10,BJ$6,'CF(M)'!$L107:$EQ107)</f>
        <v>0</v>
      </c>
      <c r="BK102" s="171">
        <f>SUMIF('CF(M)'!$L$10:$EQ$10,BK$6,'CF(M)'!$L107:$EQ107)</f>
        <v>0</v>
      </c>
      <c r="BL102" s="171">
        <f>SUMIF('CF(M)'!$L$10:$EQ$10,BL$6,'CF(M)'!$L107:$EQ107)</f>
        <v>0</v>
      </c>
      <c r="BM102" s="171">
        <f>SUMIF('CF(M)'!$L$10:$EQ$10,BM$6,'CF(M)'!$L107:$EQ107)</f>
        <v>0</v>
      </c>
      <c r="BN102" s="171">
        <f>SUMIF('CF(M)'!$L$10:$EQ$10,BN$6,'CF(M)'!$L107:$EQ107)</f>
        <v>0</v>
      </c>
      <c r="BO102" s="171">
        <f>SUMIF('CF(M)'!$L$10:$EQ$10,BO$6,'CF(M)'!$L107:$EQ107)</f>
        <v>0</v>
      </c>
      <c r="BP102" s="171">
        <f>SUMIF('CF(M)'!$L$10:$EQ$10,BP$6,'CF(M)'!$L107:$EQ107)</f>
        <v>0</v>
      </c>
      <c r="BQ102" s="171">
        <f>SUMIF('CF(M)'!$L$10:$EQ$10,BQ$6,'CF(M)'!$L107:$EQ107)</f>
        <v>0</v>
      </c>
      <c r="BR102" s="171">
        <f>SUMIF('CF(M)'!$L$10:$EQ$10,BR$6,'CF(M)'!$L107:$EQ107)</f>
        <v>0</v>
      </c>
      <c r="BS102" s="171">
        <f>SUMIF('CF(M)'!$L$10:$EQ$10,BS$6,'CF(M)'!$L107:$EQ107)</f>
        <v>0</v>
      </c>
      <c r="BT102" s="171">
        <f>SUMIF('CF(M)'!$L$10:$EQ$10,BT$6,'CF(M)'!$L107:$EQ107)</f>
        <v>0</v>
      </c>
      <c r="BU102" s="171">
        <f>SUMIF('CF(M)'!$L$10:$EQ$10,BU$6,'CF(M)'!$L107:$EQ107)</f>
        <v>0</v>
      </c>
      <c r="BV102" s="171">
        <f>SUMIF('CF(M)'!$L$10:$EQ$10,BV$6,'CF(M)'!$L107:$EQ107)</f>
        <v>0</v>
      </c>
      <c r="BW102" s="171">
        <f>SUMIF('CF(M)'!$L$10:$EQ$10,BW$6,'CF(M)'!$L107:$EQ107)</f>
        <v>0</v>
      </c>
      <c r="BX102" s="171">
        <f>SUMIF('CF(M)'!$L$10:$EQ$10,BX$6,'CF(M)'!$L107:$EQ107)</f>
        <v>0</v>
      </c>
      <c r="BY102" s="171">
        <f>SUMIF('CF(M)'!$L$10:$EQ$10,BY$6,'CF(M)'!$L107:$EQ107)</f>
        <v>0</v>
      </c>
      <c r="BZ102" s="171">
        <f>SUMIF('CF(M)'!$L$10:$EQ$10,BZ$6,'CF(M)'!$L107:$EQ107)</f>
        <v>0</v>
      </c>
      <c r="CA102" s="171">
        <f>SUMIF('CF(M)'!$L$10:$EQ$10,CA$6,'CF(M)'!$L107:$EQ107)</f>
        <v>0</v>
      </c>
      <c r="CB102" s="171">
        <f>SUMIF('CF(M)'!$L$10:$EQ$10,CB$6,'CF(M)'!$L107:$EQ107)</f>
        <v>0</v>
      </c>
      <c r="CC102" s="171">
        <f>SUMIF('CF(M)'!$L$10:$EQ$10,CC$6,'CF(M)'!$L107:$EQ107)</f>
        <v>0</v>
      </c>
      <c r="CD102" s="171">
        <f>SUMIF('CF(M)'!$L$10:$EQ$10,CD$6,'CF(M)'!$L107:$EQ107)</f>
        <v>0</v>
      </c>
      <c r="CE102" s="171">
        <f>SUMIF('CF(M)'!$L$10:$EQ$10,CE$6,'CF(M)'!$L107:$EQ107)</f>
        <v>0</v>
      </c>
      <c r="CF102" s="171">
        <f>SUMIF('CF(M)'!$L$10:$EQ$10,CF$6,'CF(M)'!$L107:$EQ107)</f>
        <v>0</v>
      </c>
      <c r="CG102" s="171">
        <f>SUMIF('CF(M)'!$L$10:$EQ$10,CG$6,'CF(M)'!$L107:$EQ107)</f>
        <v>0</v>
      </c>
      <c r="CH102" s="171">
        <f>SUMIF('CF(M)'!$L$10:$EQ$10,CH$6,'CF(M)'!$L107:$EQ107)</f>
        <v>0</v>
      </c>
      <c r="CI102" s="171">
        <f>SUMIF('CF(M)'!$L$10:$EQ$10,CI$6,'CF(M)'!$L107:$EQ107)</f>
        <v>0</v>
      </c>
      <c r="CJ102" s="171">
        <f>SUMIF('CF(M)'!$L$10:$EQ$10,CJ$6,'CF(M)'!$L107:$EQ107)</f>
        <v>0</v>
      </c>
      <c r="CK102" s="171">
        <f>SUMIF('CF(M)'!$L$10:$EQ$10,CK$6,'CF(M)'!$L107:$EQ107)</f>
        <v>0</v>
      </c>
      <c r="CL102" s="171">
        <f>SUMIF('CF(M)'!$L$10:$EQ$10,CL$6,'CF(M)'!$L107:$EQ107)</f>
        <v>0</v>
      </c>
      <c r="CM102" s="171">
        <f>SUMIF('CF(M)'!$L$10:$EQ$10,CM$6,'CF(M)'!$L107:$EQ107)</f>
        <v>0</v>
      </c>
      <c r="CN102" s="171">
        <f>SUMIF('CF(M)'!$L$10:$EQ$10,CN$6,'CF(M)'!$L107:$EQ107)</f>
        <v>0</v>
      </c>
      <c r="CO102" s="171">
        <f>SUMIF('CF(M)'!$L$10:$EQ$10,CO$6,'CF(M)'!$L107:$EQ107)</f>
        <v>0</v>
      </c>
      <c r="CP102" s="171">
        <f>SUMIF('CF(M)'!$L$10:$EQ$10,CP$6,'CF(M)'!$L107:$EQ107)</f>
        <v>0</v>
      </c>
      <c r="CQ102" s="171">
        <f>SUMIF('CF(M)'!$L$10:$EQ$10,CQ$6,'CF(M)'!$L107:$EQ107)</f>
        <v>0</v>
      </c>
      <c r="CR102" s="171">
        <f>SUMIF('CF(M)'!$L$10:$EQ$10,CR$6,'CF(M)'!$L107:$EQ107)</f>
        <v>0</v>
      </c>
      <c r="CS102" s="171">
        <f>SUMIF('CF(M)'!$L$10:$EQ$10,CS$6,'CF(M)'!$L107:$EQ107)</f>
        <v>0</v>
      </c>
      <c r="CT102" s="171">
        <f>SUMIF('CF(M)'!$L$10:$EQ$10,CT$6,'CF(M)'!$L107:$EQ107)</f>
        <v>0</v>
      </c>
      <c r="CU102" s="171">
        <f>SUMIF('CF(M)'!$L$10:$EQ$10,CU$6,'CF(M)'!$L107:$EQ107)</f>
        <v>0</v>
      </c>
      <c r="CV102" s="171">
        <f>SUMIF('CF(M)'!$L$10:$EQ$10,CV$6,'CF(M)'!$L107:$EQ107)</f>
        <v>0</v>
      </c>
      <c r="CW102" s="171">
        <f>SUMIF('CF(M)'!$L$10:$EQ$10,CW$6,'CF(M)'!$L107:$EQ107)</f>
        <v>0</v>
      </c>
      <c r="CX102" s="171">
        <f>SUMIF('CF(M)'!$L$10:$EQ$10,CX$6,'CF(M)'!$L107:$EQ107)</f>
        <v>0</v>
      </c>
      <c r="CY102" s="171">
        <f>SUMIF('CF(M)'!$L$10:$EQ$10,CY$6,'CF(M)'!$L107:$EQ107)</f>
        <v>0</v>
      </c>
      <c r="CZ102" s="171">
        <f>SUMIF('CF(M)'!$L$10:$EQ$10,CZ$6,'CF(M)'!$L107:$EQ107)</f>
        <v>0</v>
      </c>
      <c r="DA102" s="171">
        <f>SUMIF('CF(M)'!$L$10:$EQ$10,DA$6,'CF(M)'!$L107:$EQ107)</f>
        <v>0</v>
      </c>
      <c r="DB102" s="171">
        <f>SUMIF('CF(M)'!$L$10:$EQ$10,DB$6,'CF(M)'!$L107:$EQ107)</f>
        <v>0</v>
      </c>
      <c r="DC102" s="171">
        <f>SUMIF('CF(M)'!$L$10:$EQ$10,DC$6,'CF(M)'!$L107:$EQ107)</f>
        <v>0</v>
      </c>
      <c r="DD102" s="171">
        <f>SUMIF('CF(M)'!$L$10:$EQ$10,DD$6,'CF(M)'!$L107:$EQ107)</f>
        <v>0</v>
      </c>
      <c r="DE102" s="171">
        <f>SUMIF('CF(M)'!$L$10:$EQ$10,DE$6,'CF(M)'!$L107:$EQ107)</f>
        <v>0</v>
      </c>
      <c r="DF102" s="171">
        <f>SUMIF('CF(M)'!$L$10:$EQ$10,DF$6,'CF(M)'!$L107:$EQ107)</f>
        <v>0</v>
      </c>
      <c r="DG102" s="171">
        <f>SUMIF('CF(M)'!$L$10:$EQ$10,DG$6,'CF(M)'!$L107:$EQ107)</f>
        <v>0</v>
      </c>
      <c r="DH102" s="171">
        <f>SUMIF('CF(M)'!$L$10:$EQ$10,DH$6,'CF(M)'!$L107:$EQ107)</f>
        <v>0</v>
      </c>
      <c r="DI102" s="171">
        <f>SUMIF('CF(M)'!$L$10:$EQ$10,DI$6,'CF(M)'!$L107:$EQ107)</f>
        <v>0</v>
      </c>
      <c r="DJ102" s="171">
        <f>SUMIF('CF(M)'!$L$10:$EQ$10,DJ$6,'CF(M)'!$L107:$EQ107)</f>
        <v>0</v>
      </c>
      <c r="DK102" s="171">
        <f>SUMIF('CF(M)'!$L$10:$EQ$10,DK$6,'CF(M)'!$L107:$EQ107)</f>
        <v>0</v>
      </c>
      <c r="DL102" s="171">
        <f>SUMIF('CF(M)'!$L$10:$EQ$10,DL$6,'CF(M)'!$L107:$EQ107)</f>
        <v>0</v>
      </c>
      <c r="DM102" s="171">
        <f>SUMIF('CF(M)'!$L$10:$EQ$10,DM$6,'CF(M)'!$L107:$EQ107)</f>
        <v>0</v>
      </c>
      <c r="DN102" s="171">
        <f>SUMIF('CF(M)'!$L$10:$EQ$10,DN$6,'CF(M)'!$L107:$EQ107)</f>
        <v>0</v>
      </c>
      <c r="DO102" s="171">
        <f>SUMIF('CF(M)'!$L$10:$EQ$10,DO$6,'CF(M)'!$L107:$EQ107)</f>
        <v>0</v>
      </c>
      <c r="DP102" s="171">
        <f>SUMIF('CF(M)'!$L$10:$EQ$10,DP$6,'CF(M)'!$L107:$EQ107)</f>
        <v>0</v>
      </c>
      <c r="DQ102" s="171">
        <f>SUMIF('CF(M)'!$L$10:$EQ$10,DQ$6,'CF(M)'!$L107:$EQ107)</f>
        <v>0</v>
      </c>
      <c r="DR102" s="171">
        <f>SUMIF('CF(M)'!$L$10:$EQ$10,DR$6,'CF(M)'!$L107:$EQ107)</f>
        <v>0</v>
      </c>
      <c r="DS102" s="171">
        <f>SUMIF('CF(M)'!$L$10:$EQ$10,DS$6,'CF(M)'!$L107:$EQ107)</f>
        <v>0</v>
      </c>
      <c r="DT102" s="171">
        <f>SUMIF('CF(M)'!$L$10:$EQ$10,DT$6,'CF(M)'!$L107:$EQ107)</f>
        <v>0</v>
      </c>
      <c r="DU102" s="171">
        <f>SUMIF('CF(M)'!$L$10:$EQ$10,DU$6,'CF(M)'!$L107:$EQ107)</f>
        <v>0</v>
      </c>
      <c r="DV102" s="171">
        <f>SUMIF('CF(M)'!$L$10:$EQ$10,DV$6,'CF(M)'!$L107:$EQ107)</f>
        <v>0</v>
      </c>
    </row>
    <row r="103" spans="2:126" ht="11.25" customHeight="1">
      <c r="B103" s="218"/>
      <c r="C103" s="163"/>
      <c r="D103" s="169" t="s">
        <v>261</v>
      </c>
      <c r="H103" s="146"/>
      <c r="I103" s="229"/>
      <c r="J103" s="171">
        <f>SUM(L103:DV103)</f>
        <v>0</v>
      </c>
      <c r="K103" s="98"/>
      <c r="L103" s="171">
        <f>SUMIF('CF(M)'!$L$10:$EQ$10,L$6,'CF(M)'!$L108:$EQ108)</f>
        <v>0</v>
      </c>
      <c r="M103" s="171">
        <f>SUMIF('CF(M)'!$L$10:$EQ$10,M$6,'CF(M)'!$L108:$EQ108)</f>
        <v>0</v>
      </c>
      <c r="N103" s="171">
        <f>SUMIF('CF(M)'!$L$10:$EQ$10,N$6,'CF(M)'!$L108:$EQ108)</f>
        <v>0</v>
      </c>
      <c r="O103" s="171">
        <f>SUMIF('CF(M)'!$L$10:$EQ$10,O$6,'CF(M)'!$L108:$EQ108)</f>
        <v>0</v>
      </c>
      <c r="P103" s="171">
        <f>SUMIF('CF(M)'!$L$10:$EQ$10,P$6,'CF(M)'!$L108:$EQ108)</f>
        <v>0</v>
      </c>
      <c r="Q103" s="171">
        <f>SUMIF('CF(M)'!$L$10:$EQ$10,Q$6,'CF(M)'!$L108:$EQ108)</f>
        <v>0</v>
      </c>
      <c r="R103" s="171">
        <f>SUMIF('CF(M)'!$L$10:$EQ$10,R$6,'CF(M)'!$L108:$EQ108)</f>
        <v>0</v>
      </c>
      <c r="S103" s="171">
        <f>SUMIF('CF(M)'!$L$10:$EQ$10,S$6,'CF(M)'!$L108:$EQ108)</f>
        <v>0</v>
      </c>
      <c r="T103" s="171">
        <f>SUMIF('CF(M)'!$L$10:$EQ$10,T$6,'CF(M)'!$L108:$EQ108)</f>
        <v>0</v>
      </c>
      <c r="U103" s="171">
        <f>SUMIF('CF(M)'!$L$10:$EQ$10,U$6,'CF(M)'!$L108:$EQ108)</f>
        <v>0</v>
      </c>
      <c r="V103" s="171">
        <f>SUMIF('CF(M)'!$L$10:$EQ$10,V$6,'CF(M)'!$L108:$EQ108)</f>
        <v>0</v>
      </c>
      <c r="W103" s="171">
        <f>SUMIF('CF(M)'!$L$10:$EQ$10,W$6,'CF(M)'!$L108:$EQ108)</f>
        <v>0</v>
      </c>
      <c r="X103" s="171">
        <f>SUMIF('CF(M)'!$L$10:$EQ$10,X$6,'CF(M)'!$L108:$EQ108)</f>
        <v>0</v>
      </c>
      <c r="Y103" s="171">
        <f>SUMIF('CF(M)'!$L$10:$EQ$10,Y$6,'CF(M)'!$L108:$EQ108)</f>
        <v>0</v>
      </c>
      <c r="Z103" s="171">
        <f>SUMIF('CF(M)'!$L$10:$EQ$10,Z$6,'CF(M)'!$L108:$EQ108)</f>
        <v>0</v>
      </c>
      <c r="AA103" s="171">
        <f>SUMIF('CF(M)'!$L$10:$EQ$10,AA$6,'CF(M)'!$L108:$EQ108)</f>
        <v>0</v>
      </c>
      <c r="AB103" s="171">
        <f>SUMIF('CF(M)'!$L$10:$EQ$10,AB$6,'CF(M)'!$L108:$EQ108)</f>
        <v>0</v>
      </c>
      <c r="AC103" s="171">
        <f>SUMIF('CF(M)'!$L$10:$EQ$10,AC$6,'CF(M)'!$L108:$EQ108)</f>
        <v>0</v>
      </c>
      <c r="AD103" s="171">
        <f>SUMIF('CF(M)'!$L$10:$EQ$10,AD$6,'CF(M)'!$L108:$EQ108)</f>
        <v>0</v>
      </c>
      <c r="AE103" s="171">
        <f>SUMIF('CF(M)'!$L$10:$EQ$10,AE$6,'CF(M)'!$L108:$EQ108)</f>
        <v>0</v>
      </c>
      <c r="AF103" s="171">
        <f>SUMIF('CF(M)'!$L$10:$EQ$10,AF$6,'CF(M)'!$L108:$EQ108)</f>
        <v>0</v>
      </c>
      <c r="AG103" s="171">
        <f>SUMIF('CF(M)'!$L$10:$EQ$10,AG$6,'CF(M)'!$L108:$EQ108)</f>
        <v>0</v>
      </c>
      <c r="AH103" s="171">
        <f>SUMIF('CF(M)'!$L$10:$EQ$10,AH$6,'CF(M)'!$L108:$EQ108)</f>
        <v>0</v>
      </c>
      <c r="AI103" s="171">
        <f>SUMIF('CF(M)'!$L$10:$EQ$10,AI$6,'CF(M)'!$L108:$EQ108)</f>
        <v>0</v>
      </c>
      <c r="AJ103" s="171">
        <f>SUMIF('CF(M)'!$L$10:$EQ$10,AJ$6,'CF(M)'!$L108:$EQ108)</f>
        <v>0</v>
      </c>
      <c r="AK103" s="171">
        <f>SUMIF('CF(M)'!$L$10:$EQ$10,AK$6,'CF(M)'!$L108:$EQ108)</f>
        <v>0</v>
      </c>
      <c r="AL103" s="171">
        <f>SUMIF('CF(M)'!$L$10:$EQ$10,AL$6,'CF(M)'!$L108:$EQ108)</f>
        <v>0</v>
      </c>
      <c r="AM103" s="171">
        <f>SUMIF('CF(M)'!$L$10:$EQ$10,AM$6,'CF(M)'!$L108:$EQ108)</f>
        <v>0</v>
      </c>
      <c r="AN103" s="171">
        <f>SUMIF('CF(M)'!$L$10:$EQ$10,AN$6,'CF(M)'!$L108:$EQ108)</f>
        <v>0</v>
      </c>
      <c r="AO103" s="171">
        <f>SUMIF('CF(M)'!$L$10:$EQ$10,AO$6,'CF(M)'!$L108:$EQ108)</f>
        <v>0</v>
      </c>
      <c r="AP103" s="171">
        <f>SUMIF('CF(M)'!$L$10:$EQ$10,AP$6,'CF(M)'!$L108:$EQ108)</f>
        <v>0</v>
      </c>
      <c r="AQ103" s="171">
        <f>SUMIF('CF(M)'!$L$10:$EQ$10,AQ$6,'CF(M)'!$L108:$EQ108)</f>
        <v>0</v>
      </c>
      <c r="AR103" s="171">
        <f>SUMIF('CF(M)'!$L$10:$EQ$10,AR$6,'CF(M)'!$L108:$EQ108)</f>
        <v>0</v>
      </c>
      <c r="AS103" s="171">
        <f>SUMIF('CF(M)'!$L$10:$EQ$10,AS$6,'CF(M)'!$L108:$EQ108)</f>
        <v>0</v>
      </c>
      <c r="AT103" s="171">
        <f>SUMIF('CF(M)'!$L$10:$EQ$10,AT$6,'CF(M)'!$L108:$EQ108)</f>
        <v>0</v>
      </c>
      <c r="AU103" s="171">
        <f>SUMIF('CF(M)'!$L$10:$EQ$10,AU$6,'CF(M)'!$L108:$EQ108)</f>
        <v>0</v>
      </c>
      <c r="AV103" s="171">
        <f>SUMIF('CF(M)'!$L$10:$EQ$10,AV$6,'CF(M)'!$L108:$EQ108)</f>
        <v>0</v>
      </c>
      <c r="AW103" s="171">
        <f>SUMIF('CF(M)'!$L$10:$EQ$10,AW$6,'CF(M)'!$L108:$EQ108)</f>
        <v>0</v>
      </c>
      <c r="AX103" s="171">
        <f>SUMIF('CF(M)'!$L$10:$EQ$10,AX$6,'CF(M)'!$L108:$EQ108)</f>
        <v>0</v>
      </c>
      <c r="AY103" s="171">
        <f>SUMIF('CF(M)'!$L$10:$EQ$10,AY$6,'CF(M)'!$L108:$EQ108)</f>
        <v>0</v>
      </c>
      <c r="AZ103" s="171">
        <f>SUMIF('CF(M)'!$L$10:$EQ$10,AZ$6,'CF(M)'!$L108:$EQ108)</f>
        <v>0</v>
      </c>
      <c r="BA103" s="171">
        <f>SUMIF('CF(M)'!$L$10:$EQ$10,BA$6,'CF(M)'!$L108:$EQ108)</f>
        <v>0</v>
      </c>
      <c r="BB103" s="171">
        <f>SUMIF('CF(M)'!$L$10:$EQ$10,BB$6,'CF(M)'!$L108:$EQ108)</f>
        <v>0</v>
      </c>
      <c r="BC103" s="171">
        <f>SUMIF('CF(M)'!$L$10:$EQ$10,BC$6,'CF(M)'!$L108:$EQ108)</f>
        <v>0</v>
      </c>
      <c r="BD103" s="171">
        <f>SUMIF('CF(M)'!$L$10:$EQ$10,BD$6,'CF(M)'!$L108:$EQ108)</f>
        <v>0</v>
      </c>
      <c r="BE103" s="171">
        <f>SUMIF('CF(M)'!$L$10:$EQ$10,BE$6,'CF(M)'!$L108:$EQ108)</f>
        <v>0</v>
      </c>
      <c r="BF103" s="171">
        <f>SUMIF('CF(M)'!$L$10:$EQ$10,BF$6,'CF(M)'!$L108:$EQ108)</f>
        <v>0</v>
      </c>
      <c r="BG103" s="171">
        <f>SUMIF('CF(M)'!$L$10:$EQ$10,BG$6,'CF(M)'!$L108:$EQ108)</f>
        <v>0</v>
      </c>
      <c r="BH103" s="171">
        <f>SUMIF('CF(M)'!$L$10:$EQ$10,BH$6,'CF(M)'!$L108:$EQ108)</f>
        <v>0</v>
      </c>
      <c r="BI103" s="171">
        <f>SUMIF('CF(M)'!$L$10:$EQ$10,BI$6,'CF(M)'!$L108:$EQ108)</f>
        <v>0</v>
      </c>
      <c r="BJ103" s="171">
        <f>SUMIF('CF(M)'!$L$10:$EQ$10,BJ$6,'CF(M)'!$L108:$EQ108)</f>
        <v>0</v>
      </c>
      <c r="BK103" s="171">
        <f>SUMIF('CF(M)'!$L$10:$EQ$10,BK$6,'CF(M)'!$L108:$EQ108)</f>
        <v>0</v>
      </c>
      <c r="BL103" s="171">
        <f>SUMIF('CF(M)'!$L$10:$EQ$10,BL$6,'CF(M)'!$L108:$EQ108)</f>
        <v>0</v>
      </c>
      <c r="BM103" s="171">
        <f>SUMIF('CF(M)'!$L$10:$EQ$10,BM$6,'CF(M)'!$L108:$EQ108)</f>
        <v>0</v>
      </c>
      <c r="BN103" s="171">
        <f>SUMIF('CF(M)'!$L$10:$EQ$10,BN$6,'CF(M)'!$L108:$EQ108)</f>
        <v>0</v>
      </c>
      <c r="BO103" s="171">
        <f>SUMIF('CF(M)'!$L$10:$EQ$10,BO$6,'CF(M)'!$L108:$EQ108)</f>
        <v>0</v>
      </c>
      <c r="BP103" s="171">
        <f>SUMIF('CF(M)'!$L$10:$EQ$10,BP$6,'CF(M)'!$L108:$EQ108)</f>
        <v>0</v>
      </c>
      <c r="BQ103" s="171">
        <f>SUMIF('CF(M)'!$L$10:$EQ$10,BQ$6,'CF(M)'!$L108:$EQ108)</f>
        <v>0</v>
      </c>
      <c r="BR103" s="171">
        <f>SUMIF('CF(M)'!$L$10:$EQ$10,BR$6,'CF(M)'!$L108:$EQ108)</f>
        <v>0</v>
      </c>
      <c r="BS103" s="171">
        <f>SUMIF('CF(M)'!$L$10:$EQ$10,BS$6,'CF(M)'!$L108:$EQ108)</f>
        <v>0</v>
      </c>
      <c r="BT103" s="171">
        <f>SUMIF('CF(M)'!$L$10:$EQ$10,BT$6,'CF(M)'!$L108:$EQ108)</f>
        <v>0</v>
      </c>
      <c r="BU103" s="171">
        <f>SUMIF('CF(M)'!$L$10:$EQ$10,BU$6,'CF(M)'!$L108:$EQ108)</f>
        <v>0</v>
      </c>
      <c r="BV103" s="171">
        <f>SUMIF('CF(M)'!$L$10:$EQ$10,BV$6,'CF(M)'!$L108:$EQ108)</f>
        <v>0</v>
      </c>
      <c r="BW103" s="171">
        <f>SUMIF('CF(M)'!$L$10:$EQ$10,BW$6,'CF(M)'!$L108:$EQ108)</f>
        <v>0</v>
      </c>
      <c r="BX103" s="171">
        <f>SUMIF('CF(M)'!$L$10:$EQ$10,BX$6,'CF(M)'!$L108:$EQ108)</f>
        <v>0</v>
      </c>
      <c r="BY103" s="171">
        <f>SUMIF('CF(M)'!$L$10:$EQ$10,BY$6,'CF(M)'!$L108:$EQ108)</f>
        <v>0</v>
      </c>
      <c r="BZ103" s="171">
        <f>SUMIF('CF(M)'!$L$10:$EQ$10,BZ$6,'CF(M)'!$L108:$EQ108)</f>
        <v>0</v>
      </c>
      <c r="CA103" s="171">
        <f>SUMIF('CF(M)'!$L$10:$EQ$10,CA$6,'CF(M)'!$L108:$EQ108)</f>
        <v>0</v>
      </c>
      <c r="CB103" s="171">
        <f>SUMIF('CF(M)'!$L$10:$EQ$10,CB$6,'CF(M)'!$L108:$EQ108)</f>
        <v>0</v>
      </c>
      <c r="CC103" s="171">
        <f>SUMIF('CF(M)'!$L$10:$EQ$10,CC$6,'CF(M)'!$L108:$EQ108)</f>
        <v>0</v>
      </c>
      <c r="CD103" s="171">
        <f>SUMIF('CF(M)'!$L$10:$EQ$10,CD$6,'CF(M)'!$L108:$EQ108)</f>
        <v>0</v>
      </c>
      <c r="CE103" s="171">
        <f>SUMIF('CF(M)'!$L$10:$EQ$10,CE$6,'CF(M)'!$L108:$EQ108)</f>
        <v>0</v>
      </c>
      <c r="CF103" s="171">
        <f>SUMIF('CF(M)'!$L$10:$EQ$10,CF$6,'CF(M)'!$L108:$EQ108)</f>
        <v>0</v>
      </c>
      <c r="CG103" s="171">
        <f>SUMIF('CF(M)'!$L$10:$EQ$10,CG$6,'CF(M)'!$L108:$EQ108)</f>
        <v>0</v>
      </c>
      <c r="CH103" s="171">
        <f>SUMIF('CF(M)'!$L$10:$EQ$10,CH$6,'CF(M)'!$L108:$EQ108)</f>
        <v>0</v>
      </c>
      <c r="CI103" s="171">
        <f>SUMIF('CF(M)'!$L$10:$EQ$10,CI$6,'CF(M)'!$L108:$EQ108)</f>
        <v>0</v>
      </c>
      <c r="CJ103" s="171">
        <f>SUMIF('CF(M)'!$L$10:$EQ$10,CJ$6,'CF(M)'!$L108:$EQ108)</f>
        <v>0</v>
      </c>
      <c r="CK103" s="171">
        <f>SUMIF('CF(M)'!$L$10:$EQ$10,CK$6,'CF(M)'!$L108:$EQ108)</f>
        <v>0</v>
      </c>
      <c r="CL103" s="171">
        <f>SUMIF('CF(M)'!$L$10:$EQ$10,CL$6,'CF(M)'!$L108:$EQ108)</f>
        <v>0</v>
      </c>
      <c r="CM103" s="171">
        <f>SUMIF('CF(M)'!$L$10:$EQ$10,CM$6,'CF(M)'!$L108:$EQ108)</f>
        <v>0</v>
      </c>
      <c r="CN103" s="171">
        <f>SUMIF('CF(M)'!$L$10:$EQ$10,CN$6,'CF(M)'!$L108:$EQ108)</f>
        <v>0</v>
      </c>
      <c r="CO103" s="171">
        <f>SUMIF('CF(M)'!$L$10:$EQ$10,CO$6,'CF(M)'!$L108:$EQ108)</f>
        <v>0</v>
      </c>
      <c r="CP103" s="171">
        <f>SUMIF('CF(M)'!$L$10:$EQ$10,CP$6,'CF(M)'!$L108:$EQ108)</f>
        <v>0</v>
      </c>
      <c r="CQ103" s="171">
        <f>SUMIF('CF(M)'!$L$10:$EQ$10,CQ$6,'CF(M)'!$L108:$EQ108)</f>
        <v>0</v>
      </c>
      <c r="CR103" s="171">
        <f>SUMIF('CF(M)'!$L$10:$EQ$10,CR$6,'CF(M)'!$L108:$EQ108)</f>
        <v>0</v>
      </c>
      <c r="CS103" s="171">
        <f>SUMIF('CF(M)'!$L$10:$EQ$10,CS$6,'CF(M)'!$L108:$EQ108)</f>
        <v>0</v>
      </c>
      <c r="CT103" s="171">
        <f>SUMIF('CF(M)'!$L$10:$EQ$10,CT$6,'CF(M)'!$L108:$EQ108)</f>
        <v>0</v>
      </c>
      <c r="CU103" s="171">
        <f>SUMIF('CF(M)'!$L$10:$EQ$10,CU$6,'CF(M)'!$L108:$EQ108)</f>
        <v>0</v>
      </c>
      <c r="CV103" s="171">
        <f>SUMIF('CF(M)'!$L$10:$EQ$10,CV$6,'CF(M)'!$L108:$EQ108)</f>
        <v>0</v>
      </c>
      <c r="CW103" s="171">
        <f>SUMIF('CF(M)'!$L$10:$EQ$10,CW$6,'CF(M)'!$L108:$EQ108)</f>
        <v>0</v>
      </c>
      <c r="CX103" s="171">
        <f>SUMIF('CF(M)'!$L$10:$EQ$10,CX$6,'CF(M)'!$L108:$EQ108)</f>
        <v>0</v>
      </c>
      <c r="CY103" s="171">
        <f>SUMIF('CF(M)'!$L$10:$EQ$10,CY$6,'CF(M)'!$L108:$EQ108)</f>
        <v>0</v>
      </c>
      <c r="CZ103" s="171">
        <f>SUMIF('CF(M)'!$L$10:$EQ$10,CZ$6,'CF(M)'!$L108:$EQ108)</f>
        <v>0</v>
      </c>
      <c r="DA103" s="171">
        <f>SUMIF('CF(M)'!$L$10:$EQ$10,DA$6,'CF(M)'!$L108:$EQ108)</f>
        <v>0</v>
      </c>
      <c r="DB103" s="171">
        <f>SUMIF('CF(M)'!$L$10:$EQ$10,DB$6,'CF(M)'!$L108:$EQ108)</f>
        <v>0</v>
      </c>
      <c r="DC103" s="171">
        <f>SUMIF('CF(M)'!$L$10:$EQ$10,DC$6,'CF(M)'!$L108:$EQ108)</f>
        <v>0</v>
      </c>
      <c r="DD103" s="171">
        <f>SUMIF('CF(M)'!$L$10:$EQ$10,DD$6,'CF(M)'!$L108:$EQ108)</f>
        <v>0</v>
      </c>
      <c r="DE103" s="171">
        <f>SUMIF('CF(M)'!$L$10:$EQ$10,DE$6,'CF(M)'!$L108:$EQ108)</f>
        <v>0</v>
      </c>
      <c r="DF103" s="171">
        <f>SUMIF('CF(M)'!$L$10:$EQ$10,DF$6,'CF(M)'!$L108:$EQ108)</f>
        <v>0</v>
      </c>
      <c r="DG103" s="171">
        <f>SUMIF('CF(M)'!$L$10:$EQ$10,DG$6,'CF(M)'!$L108:$EQ108)</f>
        <v>0</v>
      </c>
      <c r="DH103" s="171">
        <f>SUMIF('CF(M)'!$L$10:$EQ$10,DH$6,'CF(M)'!$L108:$EQ108)</f>
        <v>0</v>
      </c>
      <c r="DI103" s="171">
        <f>SUMIF('CF(M)'!$L$10:$EQ$10,DI$6,'CF(M)'!$L108:$EQ108)</f>
        <v>0</v>
      </c>
      <c r="DJ103" s="171">
        <f>SUMIF('CF(M)'!$L$10:$EQ$10,DJ$6,'CF(M)'!$L108:$EQ108)</f>
        <v>0</v>
      </c>
      <c r="DK103" s="171">
        <f>SUMIF('CF(M)'!$L$10:$EQ$10,DK$6,'CF(M)'!$L108:$EQ108)</f>
        <v>0</v>
      </c>
      <c r="DL103" s="171">
        <f>SUMIF('CF(M)'!$L$10:$EQ$10,DL$6,'CF(M)'!$L108:$EQ108)</f>
        <v>0</v>
      </c>
      <c r="DM103" s="171">
        <f>SUMIF('CF(M)'!$L$10:$EQ$10,DM$6,'CF(M)'!$L108:$EQ108)</f>
        <v>0</v>
      </c>
      <c r="DN103" s="171">
        <f>SUMIF('CF(M)'!$L$10:$EQ$10,DN$6,'CF(M)'!$L108:$EQ108)</f>
        <v>0</v>
      </c>
      <c r="DO103" s="171">
        <f>SUMIF('CF(M)'!$L$10:$EQ$10,DO$6,'CF(M)'!$L108:$EQ108)</f>
        <v>0</v>
      </c>
      <c r="DP103" s="171">
        <f>SUMIF('CF(M)'!$L$10:$EQ$10,DP$6,'CF(M)'!$L108:$EQ108)</f>
        <v>0</v>
      </c>
      <c r="DQ103" s="171">
        <f>SUMIF('CF(M)'!$L$10:$EQ$10,DQ$6,'CF(M)'!$L108:$EQ108)</f>
        <v>0</v>
      </c>
      <c r="DR103" s="171">
        <f>SUMIF('CF(M)'!$L$10:$EQ$10,DR$6,'CF(M)'!$L108:$EQ108)</f>
        <v>0</v>
      </c>
      <c r="DS103" s="171">
        <f>SUMIF('CF(M)'!$L$10:$EQ$10,DS$6,'CF(M)'!$L108:$EQ108)</f>
        <v>0</v>
      </c>
      <c r="DT103" s="171">
        <f>SUMIF('CF(M)'!$L$10:$EQ$10,DT$6,'CF(M)'!$L108:$EQ108)</f>
        <v>0</v>
      </c>
      <c r="DU103" s="171">
        <f>SUMIF('CF(M)'!$L$10:$EQ$10,DU$6,'CF(M)'!$L108:$EQ108)</f>
        <v>0</v>
      </c>
      <c r="DV103" s="171">
        <f>SUMIF('CF(M)'!$L$10:$EQ$10,DV$6,'CF(M)'!$L108:$EQ108)</f>
        <v>0</v>
      </c>
    </row>
    <row r="104" spans="2:126" ht="11.25" customHeight="1">
      <c r="B104" s="218"/>
      <c r="C104" s="163"/>
      <c r="D104" s="169" t="s">
        <v>469</v>
      </c>
      <c r="G104" s="65">
        <f>'A&amp;R'!T51</f>
        <v>7232.6196497370329</v>
      </c>
      <c r="H104" s="146">
        <f>'A&amp;R'!$E$39</f>
        <v>49979</v>
      </c>
      <c r="I104" s="229">
        <f>$J$49*$G104</f>
        <v>511504083185.88586</v>
      </c>
      <c r="J104" s="171">
        <f>SUM(L104:DV104)</f>
        <v>0</v>
      </c>
      <c r="K104" s="98"/>
      <c r="L104" s="171">
        <f>SUMIF('CF(M)'!$L$10:$EQ$10,L$6,'CF(M)'!$L109:$EQ109)</f>
        <v>0</v>
      </c>
      <c r="M104" s="171">
        <f>SUMIF('CF(M)'!$L$10:$EQ$10,M$6,'CF(M)'!$L109:$EQ109)</f>
        <v>0</v>
      </c>
      <c r="N104" s="171">
        <f>SUMIF('CF(M)'!$L$10:$EQ$10,N$6,'CF(M)'!$L109:$EQ109)</f>
        <v>0</v>
      </c>
      <c r="O104" s="171">
        <f>SUMIF('CF(M)'!$L$10:$EQ$10,O$6,'CF(M)'!$L109:$EQ109)</f>
        <v>0</v>
      </c>
      <c r="P104" s="171">
        <f>SUMIF('CF(M)'!$L$10:$EQ$10,P$6,'CF(M)'!$L109:$EQ109)</f>
        <v>0</v>
      </c>
      <c r="Q104" s="171">
        <f>SUMIF('CF(M)'!$L$10:$EQ$10,Q$6,'CF(M)'!$L109:$EQ109)</f>
        <v>0</v>
      </c>
      <c r="R104" s="171">
        <f>SUMIF('CF(M)'!$L$10:$EQ$10,R$6,'CF(M)'!$L109:$EQ109)</f>
        <v>0</v>
      </c>
      <c r="S104" s="171">
        <f>SUMIF('CF(M)'!$L$10:$EQ$10,S$6,'CF(M)'!$L109:$EQ109)</f>
        <v>0</v>
      </c>
      <c r="T104" s="171">
        <f>SUMIF('CF(M)'!$L$10:$EQ$10,T$6,'CF(M)'!$L109:$EQ109)</f>
        <v>0</v>
      </c>
      <c r="U104" s="171">
        <f>SUMIF('CF(M)'!$L$10:$EQ$10,U$6,'CF(M)'!$L109:$EQ109)</f>
        <v>0</v>
      </c>
      <c r="V104" s="171">
        <f>SUMIF('CF(M)'!$L$10:$EQ$10,V$6,'CF(M)'!$L109:$EQ109)</f>
        <v>0</v>
      </c>
      <c r="W104" s="171">
        <f>SUMIF('CF(M)'!$L$10:$EQ$10,W$6,'CF(M)'!$L109:$EQ109)</f>
        <v>0</v>
      </c>
      <c r="X104" s="171">
        <f>SUMIF('CF(M)'!$L$10:$EQ$10,X$6,'CF(M)'!$L109:$EQ109)</f>
        <v>0</v>
      </c>
      <c r="Y104" s="171">
        <f>SUMIF('CF(M)'!$L$10:$EQ$10,Y$6,'CF(M)'!$L109:$EQ109)</f>
        <v>0</v>
      </c>
      <c r="Z104" s="171">
        <f>SUMIF('CF(M)'!$L$10:$EQ$10,Z$6,'CF(M)'!$L109:$EQ109)</f>
        <v>0</v>
      </c>
      <c r="AA104" s="171">
        <f>SUMIF('CF(M)'!$L$10:$EQ$10,AA$6,'CF(M)'!$L109:$EQ109)</f>
        <v>0</v>
      </c>
      <c r="AB104" s="171">
        <f>SUMIF('CF(M)'!$L$10:$EQ$10,AB$6,'CF(M)'!$L109:$EQ109)</f>
        <v>0</v>
      </c>
      <c r="AC104" s="171">
        <f>SUMIF('CF(M)'!$L$10:$EQ$10,AC$6,'CF(M)'!$L109:$EQ109)</f>
        <v>0</v>
      </c>
      <c r="AD104" s="171">
        <f>SUMIF('CF(M)'!$L$10:$EQ$10,AD$6,'CF(M)'!$L109:$EQ109)</f>
        <v>0</v>
      </c>
      <c r="AE104" s="171">
        <f>SUMIF('CF(M)'!$L$10:$EQ$10,AE$6,'CF(M)'!$L109:$EQ109)</f>
        <v>0</v>
      </c>
      <c r="AF104" s="171">
        <f>SUMIF('CF(M)'!$L$10:$EQ$10,AF$6,'CF(M)'!$L109:$EQ109)</f>
        <v>0</v>
      </c>
      <c r="AG104" s="171">
        <f>SUMIF('CF(M)'!$L$10:$EQ$10,AG$6,'CF(M)'!$L109:$EQ109)</f>
        <v>0</v>
      </c>
      <c r="AH104" s="171">
        <f>SUMIF('CF(M)'!$L$10:$EQ$10,AH$6,'CF(M)'!$L109:$EQ109)</f>
        <v>0</v>
      </c>
      <c r="AI104" s="171">
        <f>SUMIF('CF(M)'!$L$10:$EQ$10,AI$6,'CF(M)'!$L109:$EQ109)</f>
        <v>0</v>
      </c>
      <c r="AJ104" s="171">
        <f>SUMIF('CF(M)'!$L$10:$EQ$10,AJ$6,'CF(M)'!$L109:$EQ109)</f>
        <v>0</v>
      </c>
      <c r="AK104" s="171">
        <f>SUMIF('CF(M)'!$L$10:$EQ$10,AK$6,'CF(M)'!$L109:$EQ109)</f>
        <v>0</v>
      </c>
      <c r="AL104" s="171">
        <f>SUMIF('CF(M)'!$L$10:$EQ$10,AL$6,'CF(M)'!$L109:$EQ109)</f>
        <v>0</v>
      </c>
      <c r="AM104" s="171">
        <f>SUMIF('CF(M)'!$L$10:$EQ$10,AM$6,'CF(M)'!$L109:$EQ109)</f>
        <v>0</v>
      </c>
      <c r="AN104" s="171">
        <f>SUMIF('CF(M)'!$L$10:$EQ$10,AN$6,'CF(M)'!$L109:$EQ109)</f>
        <v>0</v>
      </c>
      <c r="AO104" s="171">
        <f>SUMIF('CF(M)'!$L$10:$EQ$10,AO$6,'CF(M)'!$L109:$EQ109)</f>
        <v>0</v>
      </c>
      <c r="AP104" s="171">
        <f>SUMIF('CF(M)'!$L$10:$EQ$10,AP$6,'CF(M)'!$L109:$EQ109)</f>
        <v>0</v>
      </c>
      <c r="AQ104" s="171">
        <f>SUMIF('CF(M)'!$L$10:$EQ$10,AQ$6,'CF(M)'!$L109:$EQ109)</f>
        <v>0</v>
      </c>
      <c r="AR104" s="171">
        <f>SUMIF('CF(M)'!$L$10:$EQ$10,AR$6,'CF(M)'!$L109:$EQ109)</f>
        <v>0</v>
      </c>
      <c r="AS104" s="171">
        <f>SUMIF('CF(M)'!$L$10:$EQ$10,AS$6,'CF(M)'!$L109:$EQ109)</f>
        <v>0</v>
      </c>
      <c r="AT104" s="171">
        <f>SUMIF('CF(M)'!$L$10:$EQ$10,AT$6,'CF(M)'!$L109:$EQ109)</f>
        <v>0</v>
      </c>
      <c r="AU104" s="171">
        <f>SUMIF('CF(M)'!$L$10:$EQ$10,AU$6,'CF(M)'!$L109:$EQ109)</f>
        <v>0</v>
      </c>
      <c r="AV104" s="171">
        <f>SUMIF('CF(M)'!$L$10:$EQ$10,AV$6,'CF(M)'!$L109:$EQ109)</f>
        <v>0</v>
      </c>
      <c r="AW104" s="171">
        <f>SUMIF('CF(M)'!$L$10:$EQ$10,AW$6,'CF(M)'!$L109:$EQ109)</f>
        <v>0</v>
      </c>
      <c r="AX104" s="171">
        <f>SUMIF('CF(M)'!$L$10:$EQ$10,AX$6,'CF(M)'!$L109:$EQ109)</f>
        <v>0</v>
      </c>
      <c r="AY104" s="171">
        <f>SUMIF('CF(M)'!$L$10:$EQ$10,AY$6,'CF(M)'!$L109:$EQ109)</f>
        <v>0</v>
      </c>
      <c r="AZ104" s="171">
        <f>SUMIF('CF(M)'!$L$10:$EQ$10,AZ$6,'CF(M)'!$L109:$EQ109)</f>
        <v>0</v>
      </c>
      <c r="BA104" s="171">
        <f>SUMIF('CF(M)'!$L$10:$EQ$10,BA$6,'CF(M)'!$L109:$EQ109)</f>
        <v>0</v>
      </c>
      <c r="BB104" s="171">
        <f>SUMIF('CF(M)'!$L$10:$EQ$10,BB$6,'CF(M)'!$L109:$EQ109)</f>
        <v>0</v>
      </c>
      <c r="BC104" s="171">
        <f>SUMIF('CF(M)'!$L$10:$EQ$10,BC$6,'CF(M)'!$L109:$EQ109)</f>
        <v>0</v>
      </c>
      <c r="BD104" s="171">
        <f>SUMIF('CF(M)'!$L$10:$EQ$10,BD$6,'CF(M)'!$L109:$EQ109)</f>
        <v>0</v>
      </c>
      <c r="BE104" s="171">
        <f>SUMIF('CF(M)'!$L$10:$EQ$10,BE$6,'CF(M)'!$L109:$EQ109)</f>
        <v>0</v>
      </c>
      <c r="BF104" s="171">
        <f>SUMIF('CF(M)'!$L$10:$EQ$10,BF$6,'CF(M)'!$L109:$EQ109)</f>
        <v>0</v>
      </c>
      <c r="BG104" s="171">
        <f>SUMIF('CF(M)'!$L$10:$EQ$10,BG$6,'CF(M)'!$L109:$EQ109)</f>
        <v>0</v>
      </c>
      <c r="BH104" s="171">
        <f>SUMIF('CF(M)'!$L$10:$EQ$10,BH$6,'CF(M)'!$L109:$EQ109)</f>
        <v>0</v>
      </c>
      <c r="BI104" s="171">
        <f>SUMIF('CF(M)'!$L$10:$EQ$10,BI$6,'CF(M)'!$L109:$EQ109)</f>
        <v>0</v>
      </c>
      <c r="BJ104" s="171">
        <f>SUMIF('CF(M)'!$L$10:$EQ$10,BJ$6,'CF(M)'!$L109:$EQ109)</f>
        <v>0</v>
      </c>
      <c r="BK104" s="171">
        <f>SUMIF('CF(M)'!$L$10:$EQ$10,BK$6,'CF(M)'!$L109:$EQ109)</f>
        <v>0</v>
      </c>
      <c r="BL104" s="171">
        <f>SUMIF('CF(M)'!$L$10:$EQ$10,BL$6,'CF(M)'!$L109:$EQ109)</f>
        <v>0</v>
      </c>
      <c r="BM104" s="171">
        <f>SUMIF('CF(M)'!$L$10:$EQ$10,BM$6,'CF(M)'!$L109:$EQ109)</f>
        <v>0</v>
      </c>
      <c r="BN104" s="171">
        <f>SUMIF('CF(M)'!$L$10:$EQ$10,BN$6,'CF(M)'!$L109:$EQ109)</f>
        <v>0</v>
      </c>
      <c r="BO104" s="171">
        <f>SUMIF('CF(M)'!$L$10:$EQ$10,BO$6,'CF(M)'!$L109:$EQ109)</f>
        <v>0</v>
      </c>
      <c r="BP104" s="171">
        <f>SUMIF('CF(M)'!$L$10:$EQ$10,BP$6,'CF(M)'!$L109:$EQ109)</f>
        <v>0</v>
      </c>
      <c r="BQ104" s="171">
        <f>SUMIF('CF(M)'!$L$10:$EQ$10,BQ$6,'CF(M)'!$L109:$EQ109)</f>
        <v>0</v>
      </c>
      <c r="BR104" s="171">
        <f>SUMIF('CF(M)'!$L$10:$EQ$10,BR$6,'CF(M)'!$L109:$EQ109)</f>
        <v>0</v>
      </c>
      <c r="BS104" s="171">
        <f>SUMIF('CF(M)'!$L$10:$EQ$10,BS$6,'CF(M)'!$L109:$EQ109)</f>
        <v>0</v>
      </c>
      <c r="BT104" s="171">
        <f>SUMIF('CF(M)'!$L$10:$EQ$10,BT$6,'CF(M)'!$L109:$EQ109)</f>
        <v>0</v>
      </c>
      <c r="BU104" s="171">
        <f>SUMIF('CF(M)'!$L$10:$EQ$10,BU$6,'CF(M)'!$L109:$EQ109)</f>
        <v>0</v>
      </c>
      <c r="BV104" s="171">
        <f>SUMIF('CF(M)'!$L$10:$EQ$10,BV$6,'CF(M)'!$L109:$EQ109)</f>
        <v>0</v>
      </c>
      <c r="BW104" s="171">
        <f>SUMIF('CF(M)'!$L$10:$EQ$10,BW$6,'CF(M)'!$L109:$EQ109)</f>
        <v>0</v>
      </c>
      <c r="BX104" s="171">
        <f>SUMIF('CF(M)'!$L$10:$EQ$10,BX$6,'CF(M)'!$L109:$EQ109)</f>
        <v>0</v>
      </c>
      <c r="BY104" s="171">
        <f>SUMIF('CF(M)'!$L$10:$EQ$10,BY$6,'CF(M)'!$L109:$EQ109)</f>
        <v>0</v>
      </c>
      <c r="BZ104" s="171">
        <f>SUMIF('CF(M)'!$L$10:$EQ$10,BZ$6,'CF(M)'!$L109:$EQ109)</f>
        <v>0</v>
      </c>
      <c r="CA104" s="171">
        <f>SUMIF('CF(M)'!$L$10:$EQ$10,CA$6,'CF(M)'!$L109:$EQ109)</f>
        <v>0</v>
      </c>
      <c r="CB104" s="171">
        <f>SUMIF('CF(M)'!$L$10:$EQ$10,CB$6,'CF(M)'!$L109:$EQ109)</f>
        <v>0</v>
      </c>
      <c r="CC104" s="171">
        <f>SUMIF('CF(M)'!$L$10:$EQ$10,CC$6,'CF(M)'!$L109:$EQ109)</f>
        <v>0</v>
      </c>
      <c r="CD104" s="171">
        <f>SUMIF('CF(M)'!$L$10:$EQ$10,CD$6,'CF(M)'!$L109:$EQ109)</f>
        <v>0</v>
      </c>
      <c r="CE104" s="171">
        <f>SUMIF('CF(M)'!$L$10:$EQ$10,CE$6,'CF(M)'!$L109:$EQ109)</f>
        <v>0</v>
      </c>
      <c r="CF104" s="171">
        <f>SUMIF('CF(M)'!$L$10:$EQ$10,CF$6,'CF(M)'!$L109:$EQ109)</f>
        <v>0</v>
      </c>
      <c r="CG104" s="171">
        <f>SUMIF('CF(M)'!$L$10:$EQ$10,CG$6,'CF(M)'!$L109:$EQ109)</f>
        <v>0</v>
      </c>
      <c r="CH104" s="171">
        <f>SUMIF('CF(M)'!$L$10:$EQ$10,CH$6,'CF(M)'!$L109:$EQ109)</f>
        <v>0</v>
      </c>
      <c r="CI104" s="171">
        <f>SUMIF('CF(M)'!$L$10:$EQ$10,CI$6,'CF(M)'!$L109:$EQ109)</f>
        <v>0</v>
      </c>
      <c r="CJ104" s="171">
        <f>SUMIF('CF(M)'!$L$10:$EQ$10,CJ$6,'CF(M)'!$L109:$EQ109)</f>
        <v>0</v>
      </c>
      <c r="CK104" s="171">
        <f>SUMIF('CF(M)'!$L$10:$EQ$10,CK$6,'CF(M)'!$L109:$EQ109)</f>
        <v>0</v>
      </c>
      <c r="CL104" s="171">
        <f>SUMIF('CF(M)'!$L$10:$EQ$10,CL$6,'CF(M)'!$L109:$EQ109)</f>
        <v>0</v>
      </c>
      <c r="CM104" s="171">
        <f>SUMIF('CF(M)'!$L$10:$EQ$10,CM$6,'CF(M)'!$L109:$EQ109)</f>
        <v>0</v>
      </c>
      <c r="CN104" s="171">
        <f>SUMIF('CF(M)'!$L$10:$EQ$10,CN$6,'CF(M)'!$L109:$EQ109)</f>
        <v>0</v>
      </c>
      <c r="CO104" s="171">
        <f>SUMIF('CF(M)'!$L$10:$EQ$10,CO$6,'CF(M)'!$L109:$EQ109)</f>
        <v>0</v>
      </c>
      <c r="CP104" s="171">
        <f>SUMIF('CF(M)'!$L$10:$EQ$10,CP$6,'CF(M)'!$L109:$EQ109)</f>
        <v>0</v>
      </c>
      <c r="CQ104" s="171">
        <f>SUMIF('CF(M)'!$L$10:$EQ$10,CQ$6,'CF(M)'!$L109:$EQ109)</f>
        <v>0</v>
      </c>
      <c r="CR104" s="171">
        <f>SUMIF('CF(M)'!$L$10:$EQ$10,CR$6,'CF(M)'!$L109:$EQ109)</f>
        <v>0</v>
      </c>
      <c r="CS104" s="171">
        <f>SUMIF('CF(M)'!$L$10:$EQ$10,CS$6,'CF(M)'!$L109:$EQ109)</f>
        <v>0</v>
      </c>
      <c r="CT104" s="171">
        <f>SUMIF('CF(M)'!$L$10:$EQ$10,CT$6,'CF(M)'!$L109:$EQ109)</f>
        <v>0</v>
      </c>
      <c r="CU104" s="171">
        <f>SUMIF('CF(M)'!$L$10:$EQ$10,CU$6,'CF(M)'!$L109:$EQ109)</f>
        <v>0</v>
      </c>
      <c r="CV104" s="171">
        <f>SUMIF('CF(M)'!$L$10:$EQ$10,CV$6,'CF(M)'!$L109:$EQ109)</f>
        <v>0</v>
      </c>
      <c r="CW104" s="171">
        <f>SUMIF('CF(M)'!$L$10:$EQ$10,CW$6,'CF(M)'!$L109:$EQ109)</f>
        <v>0</v>
      </c>
      <c r="CX104" s="171">
        <f>SUMIF('CF(M)'!$L$10:$EQ$10,CX$6,'CF(M)'!$L109:$EQ109)</f>
        <v>0</v>
      </c>
      <c r="CY104" s="171">
        <f>SUMIF('CF(M)'!$L$10:$EQ$10,CY$6,'CF(M)'!$L109:$EQ109)</f>
        <v>0</v>
      </c>
      <c r="CZ104" s="171">
        <f>SUMIF('CF(M)'!$L$10:$EQ$10,CZ$6,'CF(M)'!$L109:$EQ109)</f>
        <v>0</v>
      </c>
      <c r="DA104" s="171">
        <f>SUMIF('CF(M)'!$L$10:$EQ$10,DA$6,'CF(M)'!$L109:$EQ109)</f>
        <v>0</v>
      </c>
      <c r="DB104" s="171">
        <f>SUMIF('CF(M)'!$L$10:$EQ$10,DB$6,'CF(M)'!$L109:$EQ109)</f>
        <v>0</v>
      </c>
      <c r="DC104" s="171">
        <f>SUMIF('CF(M)'!$L$10:$EQ$10,DC$6,'CF(M)'!$L109:$EQ109)</f>
        <v>0</v>
      </c>
      <c r="DD104" s="171">
        <f>SUMIF('CF(M)'!$L$10:$EQ$10,DD$6,'CF(M)'!$L109:$EQ109)</f>
        <v>0</v>
      </c>
      <c r="DE104" s="171">
        <f>SUMIF('CF(M)'!$L$10:$EQ$10,DE$6,'CF(M)'!$L109:$EQ109)</f>
        <v>0</v>
      </c>
      <c r="DF104" s="171">
        <f>SUMIF('CF(M)'!$L$10:$EQ$10,DF$6,'CF(M)'!$L109:$EQ109)</f>
        <v>0</v>
      </c>
      <c r="DG104" s="171">
        <f>SUMIF('CF(M)'!$L$10:$EQ$10,DG$6,'CF(M)'!$L109:$EQ109)</f>
        <v>0</v>
      </c>
      <c r="DH104" s="171">
        <f>SUMIF('CF(M)'!$L$10:$EQ$10,DH$6,'CF(M)'!$L109:$EQ109)</f>
        <v>0</v>
      </c>
      <c r="DI104" s="171">
        <f>SUMIF('CF(M)'!$L$10:$EQ$10,DI$6,'CF(M)'!$L109:$EQ109)</f>
        <v>0</v>
      </c>
      <c r="DJ104" s="171">
        <f>SUMIF('CF(M)'!$L$10:$EQ$10,DJ$6,'CF(M)'!$L109:$EQ109)</f>
        <v>0</v>
      </c>
      <c r="DK104" s="171">
        <f>SUMIF('CF(M)'!$L$10:$EQ$10,DK$6,'CF(M)'!$L109:$EQ109)</f>
        <v>0</v>
      </c>
      <c r="DL104" s="171">
        <f>SUMIF('CF(M)'!$L$10:$EQ$10,DL$6,'CF(M)'!$L109:$EQ109)</f>
        <v>0</v>
      </c>
      <c r="DM104" s="171">
        <f>SUMIF('CF(M)'!$L$10:$EQ$10,DM$6,'CF(M)'!$L109:$EQ109)</f>
        <v>0</v>
      </c>
      <c r="DN104" s="171">
        <f>SUMIF('CF(M)'!$L$10:$EQ$10,DN$6,'CF(M)'!$L109:$EQ109)</f>
        <v>0</v>
      </c>
      <c r="DO104" s="171">
        <f>SUMIF('CF(M)'!$L$10:$EQ$10,DO$6,'CF(M)'!$L109:$EQ109)</f>
        <v>0</v>
      </c>
      <c r="DP104" s="171">
        <f>SUMIF('CF(M)'!$L$10:$EQ$10,DP$6,'CF(M)'!$L109:$EQ109)</f>
        <v>0</v>
      </c>
      <c r="DQ104" s="171">
        <f>SUMIF('CF(M)'!$L$10:$EQ$10,DQ$6,'CF(M)'!$L109:$EQ109)</f>
        <v>0</v>
      </c>
      <c r="DR104" s="171">
        <f>SUMIF('CF(M)'!$L$10:$EQ$10,DR$6,'CF(M)'!$L109:$EQ109)</f>
        <v>0</v>
      </c>
      <c r="DS104" s="171">
        <f>SUMIF('CF(M)'!$L$10:$EQ$10,DS$6,'CF(M)'!$L109:$EQ109)</f>
        <v>0</v>
      </c>
      <c r="DT104" s="171">
        <f>SUMIF('CF(M)'!$L$10:$EQ$10,DT$6,'CF(M)'!$L109:$EQ109)</f>
        <v>0</v>
      </c>
      <c r="DU104" s="171">
        <f>SUMIF('CF(M)'!$L$10:$EQ$10,DU$6,'CF(M)'!$L109:$EQ109)</f>
        <v>0</v>
      </c>
      <c r="DV104" s="171">
        <f>SUMIF('CF(M)'!$L$10:$EQ$10,DV$6,'CF(M)'!$L109:$EQ109)</f>
        <v>0</v>
      </c>
    </row>
    <row r="105" spans="2:126" ht="11.25" customHeight="1">
      <c r="B105" s="218"/>
      <c r="C105" s="158" t="s">
        <v>19</v>
      </c>
      <c r="D105" s="159"/>
      <c r="E105" s="159"/>
      <c r="F105" s="159"/>
      <c r="G105" s="159"/>
      <c r="H105" s="160"/>
      <c r="I105" s="219"/>
      <c r="J105" s="220">
        <f ca="1">SUM(J106:J109)</f>
        <v>-48180453.350267738</v>
      </c>
      <c r="K105" s="98"/>
      <c r="L105" s="162">
        <f ca="1">SUM(L106:L109)</f>
        <v>14800000</v>
      </c>
      <c r="M105" s="162">
        <f t="shared" ref="M105:BX105" ca="1" si="51">SUM(M106:M109)</f>
        <v>-555000</v>
      </c>
      <c r="N105" s="162">
        <f t="shared" ca="1" si="51"/>
        <v>-555000</v>
      </c>
      <c r="O105" s="162">
        <f t="shared" ca="1" si="51"/>
        <v>0</v>
      </c>
      <c r="P105" s="162">
        <f t="shared" ca="1" si="51"/>
        <v>0</v>
      </c>
      <c r="Q105" s="162">
        <f t="shared" ca="1" si="51"/>
        <v>0</v>
      </c>
      <c r="R105" s="162">
        <f t="shared" ca="1" si="51"/>
        <v>0</v>
      </c>
      <c r="S105" s="162">
        <f t="shared" ca="1" si="51"/>
        <v>0</v>
      </c>
      <c r="T105" s="162">
        <f t="shared" ca="1" si="51"/>
        <v>0</v>
      </c>
      <c r="U105" s="162">
        <f t="shared" ca="1" si="51"/>
        <v>0</v>
      </c>
      <c r="V105" s="162">
        <f t="shared" ca="1" si="51"/>
        <v>0</v>
      </c>
      <c r="W105" s="162">
        <f t="shared" ca="1" si="51"/>
        <v>0</v>
      </c>
      <c r="X105" s="162">
        <f t="shared" ca="1" si="51"/>
        <v>0</v>
      </c>
      <c r="Y105" s="162">
        <f t="shared" ca="1" si="51"/>
        <v>0</v>
      </c>
      <c r="Z105" s="162">
        <f t="shared" ca="1" si="51"/>
        <v>0</v>
      </c>
      <c r="AA105" s="162">
        <f t="shared" ca="1" si="51"/>
        <v>0</v>
      </c>
      <c r="AB105" s="162">
        <f t="shared" ca="1" si="51"/>
        <v>0</v>
      </c>
      <c r="AC105" s="162">
        <f t="shared" ca="1" si="51"/>
        <v>0</v>
      </c>
      <c r="AD105" s="162">
        <f t="shared" ca="1" si="51"/>
        <v>0</v>
      </c>
      <c r="AE105" s="162">
        <f t="shared" ca="1" si="51"/>
        <v>0</v>
      </c>
      <c r="AF105" s="162">
        <f t="shared" ca="1" si="51"/>
        <v>-61870453.350267738</v>
      </c>
      <c r="AG105" s="162">
        <f t="shared" ca="1" si="51"/>
        <v>0</v>
      </c>
      <c r="AH105" s="162">
        <f t="shared" ca="1" si="51"/>
        <v>0</v>
      </c>
      <c r="AI105" s="162">
        <f t="shared" ca="1" si="51"/>
        <v>0</v>
      </c>
      <c r="AJ105" s="162">
        <f t="shared" si="51"/>
        <v>0</v>
      </c>
      <c r="AK105" s="162">
        <f t="shared" si="51"/>
        <v>0</v>
      </c>
      <c r="AL105" s="162">
        <f t="shared" si="51"/>
        <v>0</v>
      </c>
      <c r="AM105" s="162">
        <f t="shared" si="51"/>
        <v>0</v>
      </c>
      <c r="AN105" s="162">
        <f t="shared" si="51"/>
        <v>0</v>
      </c>
      <c r="AO105" s="162">
        <f t="shared" si="51"/>
        <v>0</v>
      </c>
      <c r="AP105" s="162">
        <f t="shared" si="51"/>
        <v>0</v>
      </c>
      <c r="AQ105" s="162">
        <f t="shared" si="51"/>
        <v>0</v>
      </c>
      <c r="AR105" s="162">
        <f t="shared" si="51"/>
        <v>0</v>
      </c>
      <c r="AS105" s="162">
        <f t="shared" si="51"/>
        <v>0</v>
      </c>
      <c r="AT105" s="162">
        <f t="shared" si="51"/>
        <v>0</v>
      </c>
      <c r="AU105" s="162">
        <f t="shared" si="51"/>
        <v>0</v>
      </c>
      <c r="AV105" s="162">
        <f t="shared" si="51"/>
        <v>0</v>
      </c>
      <c r="AW105" s="162">
        <f t="shared" si="51"/>
        <v>0</v>
      </c>
      <c r="AX105" s="162">
        <f t="shared" si="51"/>
        <v>0</v>
      </c>
      <c r="AY105" s="162">
        <f t="shared" si="51"/>
        <v>0</v>
      </c>
      <c r="AZ105" s="162">
        <f t="shared" si="51"/>
        <v>0</v>
      </c>
      <c r="BA105" s="162">
        <f t="shared" si="51"/>
        <v>0</v>
      </c>
      <c r="BB105" s="162">
        <f t="shared" si="51"/>
        <v>0</v>
      </c>
      <c r="BC105" s="162">
        <f t="shared" si="51"/>
        <v>0</v>
      </c>
      <c r="BD105" s="162">
        <f t="shared" si="51"/>
        <v>0</v>
      </c>
      <c r="BE105" s="162">
        <f t="shared" si="51"/>
        <v>0</v>
      </c>
      <c r="BF105" s="162">
        <f t="shared" si="51"/>
        <v>0</v>
      </c>
      <c r="BG105" s="162">
        <f t="shared" si="51"/>
        <v>0</v>
      </c>
      <c r="BH105" s="162">
        <f t="shared" si="51"/>
        <v>0</v>
      </c>
      <c r="BI105" s="162">
        <f t="shared" si="51"/>
        <v>0</v>
      </c>
      <c r="BJ105" s="162">
        <f t="shared" si="51"/>
        <v>0</v>
      </c>
      <c r="BK105" s="162">
        <f t="shared" si="51"/>
        <v>0</v>
      </c>
      <c r="BL105" s="162">
        <f t="shared" si="51"/>
        <v>0</v>
      </c>
      <c r="BM105" s="162">
        <f t="shared" si="51"/>
        <v>0</v>
      </c>
      <c r="BN105" s="162">
        <f t="shared" si="51"/>
        <v>0</v>
      </c>
      <c r="BO105" s="162">
        <f t="shared" si="51"/>
        <v>0</v>
      </c>
      <c r="BP105" s="162">
        <f t="shared" si="51"/>
        <v>0</v>
      </c>
      <c r="BQ105" s="162">
        <f t="shared" si="51"/>
        <v>0</v>
      </c>
      <c r="BR105" s="162">
        <f t="shared" si="51"/>
        <v>0</v>
      </c>
      <c r="BS105" s="162">
        <f t="shared" si="51"/>
        <v>0</v>
      </c>
      <c r="BT105" s="162">
        <f t="shared" si="51"/>
        <v>0</v>
      </c>
      <c r="BU105" s="162">
        <f t="shared" si="51"/>
        <v>0</v>
      </c>
      <c r="BV105" s="162">
        <f t="shared" si="51"/>
        <v>0</v>
      </c>
      <c r="BW105" s="162">
        <f t="shared" si="51"/>
        <v>0</v>
      </c>
      <c r="BX105" s="162">
        <f t="shared" si="51"/>
        <v>0</v>
      </c>
      <c r="BY105" s="162">
        <f t="shared" ref="BY105:DV105" si="52">SUM(BY106:BY109)</f>
        <v>0</v>
      </c>
      <c r="BZ105" s="162">
        <f t="shared" si="52"/>
        <v>0</v>
      </c>
      <c r="CA105" s="162">
        <f t="shared" si="52"/>
        <v>0</v>
      </c>
      <c r="CB105" s="162">
        <f t="shared" si="52"/>
        <v>0</v>
      </c>
      <c r="CC105" s="162">
        <f t="shared" si="52"/>
        <v>0</v>
      </c>
      <c r="CD105" s="162">
        <f t="shared" si="52"/>
        <v>0</v>
      </c>
      <c r="CE105" s="162">
        <f t="shared" si="52"/>
        <v>0</v>
      </c>
      <c r="CF105" s="162">
        <f t="shared" si="52"/>
        <v>0</v>
      </c>
      <c r="CG105" s="162">
        <f t="shared" si="52"/>
        <v>0</v>
      </c>
      <c r="CH105" s="162">
        <f t="shared" si="52"/>
        <v>0</v>
      </c>
      <c r="CI105" s="162">
        <f t="shared" si="52"/>
        <v>0</v>
      </c>
      <c r="CJ105" s="162">
        <f t="shared" si="52"/>
        <v>0</v>
      </c>
      <c r="CK105" s="162">
        <f t="shared" si="52"/>
        <v>0</v>
      </c>
      <c r="CL105" s="162">
        <f t="shared" si="52"/>
        <v>0</v>
      </c>
      <c r="CM105" s="162">
        <f t="shared" si="52"/>
        <v>0</v>
      </c>
      <c r="CN105" s="162">
        <f t="shared" si="52"/>
        <v>0</v>
      </c>
      <c r="CO105" s="162">
        <f t="shared" si="52"/>
        <v>0</v>
      </c>
      <c r="CP105" s="162">
        <f t="shared" si="52"/>
        <v>0</v>
      </c>
      <c r="CQ105" s="162">
        <f t="shared" si="52"/>
        <v>0</v>
      </c>
      <c r="CR105" s="162">
        <f t="shared" si="52"/>
        <v>0</v>
      </c>
      <c r="CS105" s="162">
        <f t="shared" si="52"/>
        <v>0</v>
      </c>
      <c r="CT105" s="162">
        <f t="shared" si="52"/>
        <v>0</v>
      </c>
      <c r="CU105" s="162">
        <f t="shared" si="52"/>
        <v>0</v>
      </c>
      <c r="CV105" s="162">
        <f t="shared" si="52"/>
        <v>0</v>
      </c>
      <c r="CW105" s="162">
        <f t="shared" si="52"/>
        <v>0</v>
      </c>
      <c r="CX105" s="162">
        <f t="shared" si="52"/>
        <v>0</v>
      </c>
      <c r="CY105" s="162">
        <f t="shared" si="52"/>
        <v>0</v>
      </c>
      <c r="CZ105" s="162">
        <f t="shared" si="52"/>
        <v>0</v>
      </c>
      <c r="DA105" s="162">
        <f t="shared" si="52"/>
        <v>0</v>
      </c>
      <c r="DB105" s="162">
        <f t="shared" si="52"/>
        <v>0</v>
      </c>
      <c r="DC105" s="162">
        <f t="shared" si="52"/>
        <v>0</v>
      </c>
      <c r="DD105" s="162">
        <f t="shared" si="52"/>
        <v>0</v>
      </c>
      <c r="DE105" s="162">
        <f t="shared" si="52"/>
        <v>0</v>
      </c>
      <c r="DF105" s="162">
        <f t="shared" si="52"/>
        <v>0</v>
      </c>
      <c r="DG105" s="162">
        <f t="shared" si="52"/>
        <v>0</v>
      </c>
      <c r="DH105" s="162">
        <f t="shared" si="52"/>
        <v>0</v>
      </c>
      <c r="DI105" s="162">
        <f t="shared" si="52"/>
        <v>0</v>
      </c>
      <c r="DJ105" s="162">
        <f t="shared" si="52"/>
        <v>0</v>
      </c>
      <c r="DK105" s="162">
        <f t="shared" si="52"/>
        <v>0</v>
      </c>
      <c r="DL105" s="162">
        <f t="shared" si="52"/>
        <v>0</v>
      </c>
      <c r="DM105" s="162">
        <f t="shared" si="52"/>
        <v>0</v>
      </c>
      <c r="DN105" s="162">
        <f t="shared" si="52"/>
        <v>0</v>
      </c>
      <c r="DO105" s="162">
        <f t="shared" si="52"/>
        <v>0</v>
      </c>
      <c r="DP105" s="162">
        <f t="shared" si="52"/>
        <v>0</v>
      </c>
      <c r="DQ105" s="162">
        <f t="shared" si="52"/>
        <v>0</v>
      </c>
      <c r="DR105" s="162">
        <f t="shared" si="52"/>
        <v>0</v>
      </c>
      <c r="DS105" s="162">
        <f t="shared" si="52"/>
        <v>0</v>
      </c>
      <c r="DT105" s="162">
        <f t="shared" si="52"/>
        <v>0</v>
      </c>
      <c r="DU105" s="162">
        <f t="shared" si="52"/>
        <v>0</v>
      </c>
      <c r="DV105" s="162">
        <f t="shared" si="52"/>
        <v>0</v>
      </c>
    </row>
    <row r="106" spans="2:126" ht="11.25" customHeight="1">
      <c r="B106" s="218"/>
      <c r="C106" s="163"/>
      <c r="D106" s="164" t="s">
        <v>208</v>
      </c>
      <c r="E106" s="165"/>
      <c r="F106" s="165"/>
      <c r="G106" s="165"/>
      <c r="H106" s="166"/>
      <c r="I106" s="228"/>
      <c r="J106" s="168">
        <f>SUM(L106:DV106)</f>
        <v>14800000</v>
      </c>
      <c r="K106" s="98"/>
      <c r="L106" s="168">
        <f>SUMIF('CF(M)'!$L$10:$EQ$10,L$6,'CF(M)'!$L111:$EQ111)</f>
        <v>14800000</v>
      </c>
      <c r="M106" s="168">
        <f>SUMIF('CF(M)'!$L$10:$EQ$10,M$6,'CF(M)'!$L111:$EQ111)</f>
        <v>0</v>
      </c>
      <c r="N106" s="168">
        <f>SUMIF('CF(M)'!$L$10:$EQ$10,N$6,'CF(M)'!$L111:$EQ111)</f>
        <v>0</v>
      </c>
      <c r="O106" s="168">
        <f>SUMIF('CF(M)'!$L$10:$EQ$10,O$6,'CF(M)'!$L111:$EQ111)</f>
        <v>0</v>
      </c>
      <c r="P106" s="168">
        <f>SUMIF('CF(M)'!$L$10:$EQ$10,P$6,'CF(M)'!$L111:$EQ111)</f>
        <v>0</v>
      </c>
      <c r="Q106" s="168">
        <f>SUMIF('CF(M)'!$L$10:$EQ$10,Q$6,'CF(M)'!$L111:$EQ111)</f>
        <v>0</v>
      </c>
      <c r="R106" s="168">
        <f>SUMIF('CF(M)'!$L$10:$EQ$10,R$6,'CF(M)'!$L111:$EQ111)</f>
        <v>0</v>
      </c>
      <c r="S106" s="168">
        <f>SUMIF('CF(M)'!$L$10:$EQ$10,S$6,'CF(M)'!$L111:$EQ111)</f>
        <v>0</v>
      </c>
      <c r="T106" s="168">
        <f>SUMIF('CF(M)'!$L$10:$EQ$10,T$6,'CF(M)'!$L111:$EQ111)</f>
        <v>0</v>
      </c>
      <c r="U106" s="168">
        <f>SUMIF('CF(M)'!$L$10:$EQ$10,U$6,'CF(M)'!$L111:$EQ111)</f>
        <v>0</v>
      </c>
      <c r="V106" s="168">
        <f>SUMIF('CF(M)'!$L$10:$EQ$10,V$6,'CF(M)'!$L111:$EQ111)</f>
        <v>0</v>
      </c>
      <c r="W106" s="168">
        <f>SUMIF('CF(M)'!$L$10:$EQ$10,W$6,'CF(M)'!$L111:$EQ111)</f>
        <v>0</v>
      </c>
      <c r="X106" s="168">
        <f>SUMIF('CF(M)'!$L$10:$EQ$10,X$6,'CF(M)'!$L111:$EQ111)</f>
        <v>0</v>
      </c>
      <c r="Y106" s="168">
        <f>SUMIF('CF(M)'!$L$10:$EQ$10,Y$6,'CF(M)'!$L111:$EQ111)</f>
        <v>0</v>
      </c>
      <c r="Z106" s="168">
        <f>SUMIF('CF(M)'!$L$10:$EQ$10,Z$6,'CF(M)'!$L111:$EQ111)</f>
        <v>0</v>
      </c>
      <c r="AA106" s="168">
        <f>SUMIF('CF(M)'!$L$10:$EQ$10,AA$6,'CF(M)'!$L111:$EQ111)</f>
        <v>0</v>
      </c>
      <c r="AB106" s="168">
        <f>SUMIF('CF(M)'!$L$10:$EQ$10,AB$6,'CF(M)'!$L111:$EQ111)</f>
        <v>0</v>
      </c>
      <c r="AC106" s="168">
        <f>SUMIF('CF(M)'!$L$10:$EQ$10,AC$6,'CF(M)'!$L111:$EQ111)</f>
        <v>0</v>
      </c>
      <c r="AD106" s="168">
        <f>SUMIF('CF(M)'!$L$10:$EQ$10,AD$6,'CF(M)'!$L111:$EQ111)</f>
        <v>0</v>
      </c>
      <c r="AE106" s="168">
        <f>SUMIF('CF(M)'!$L$10:$EQ$10,AE$6,'CF(M)'!$L111:$EQ111)</f>
        <v>0</v>
      </c>
      <c r="AF106" s="168">
        <f>SUMIF('CF(M)'!$L$10:$EQ$10,AF$6,'CF(M)'!$L111:$EQ111)</f>
        <v>0</v>
      </c>
      <c r="AG106" s="168">
        <f>SUMIF('CF(M)'!$L$10:$EQ$10,AG$6,'CF(M)'!$L111:$EQ111)</f>
        <v>0</v>
      </c>
      <c r="AH106" s="168">
        <f>SUMIF('CF(M)'!$L$10:$EQ$10,AH$6,'CF(M)'!$L111:$EQ111)</f>
        <v>0</v>
      </c>
      <c r="AI106" s="168">
        <f>SUMIF('CF(M)'!$L$10:$EQ$10,AI$6,'CF(M)'!$L111:$EQ111)</f>
        <v>0</v>
      </c>
      <c r="AJ106" s="168">
        <f>SUMIF('CF(M)'!$L$10:$EQ$10,AJ$6,'CF(M)'!$L111:$EQ111)</f>
        <v>0</v>
      </c>
      <c r="AK106" s="168">
        <f>SUMIF('CF(M)'!$L$10:$EQ$10,AK$6,'CF(M)'!$L111:$EQ111)</f>
        <v>0</v>
      </c>
      <c r="AL106" s="168">
        <f>SUMIF('CF(M)'!$L$10:$EQ$10,AL$6,'CF(M)'!$L111:$EQ111)</f>
        <v>0</v>
      </c>
      <c r="AM106" s="168">
        <f>SUMIF('CF(M)'!$L$10:$EQ$10,AM$6,'CF(M)'!$L111:$EQ111)</f>
        <v>0</v>
      </c>
      <c r="AN106" s="168">
        <f>SUMIF('CF(M)'!$L$10:$EQ$10,AN$6,'CF(M)'!$L111:$EQ111)</f>
        <v>0</v>
      </c>
      <c r="AO106" s="168">
        <f>SUMIF('CF(M)'!$L$10:$EQ$10,AO$6,'CF(M)'!$L111:$EQ111)</f>
        <v>0</v>
      </c>
      <c r="AP106" s="168">
        <f>SUMIF('CF(M)'!$L$10:$EQ$10,AP$6,'CF(M)'!$L111:$EQ111)</f>
        <v>0</v>
      </c>
      <c r="AQ106" s="168">
        <f>SUMIF('CF(M)'!$L$10:$EQ$10,AQ$6,'CF(M)'!$L111:$EQ111)</f>
        <v>0</v>
      </c>
      <c r="AR106" s="168">
        <f>SUMIF('CF(M)'!$L$10:$EQ$10,AR$6,'CF(M)'!$L111:$EQ111)</f>
        <v>0</v>
      </c>
      <c r="AS106" s="168">
        <f>SUMIF('CF(M)'!$L$10:$EQ$10,AS$6,'CF(M)'!$L111:$EQ111)</f>
        <v>0</v>
      </c>
      <c r="AT106" s="168">
        <f>SUMIF('CF(M)'!$L$10:$EQ$10,AT$6,'CF(M)'!$L111:$EQ111)</f>
        <v>0</v>
      </c>
      <c r="AU106" s="168">
        <f>SUMIF('CF(M)'!$L$10:$EQ$10,AU$6,'CF(M)'!$L111:$EQ111)</f>
        <v>0</v>
      </c>
      <c r="AV106" s="168">
        <f>SUMIF('CF(M)'!$L$10:$EQ$10,AV$6,'CF(M)'!$L111:$EQ111)</f>
        <v>0</v>
      </c>
      <c r="AW106" s="168">
        <f>SUMIF('CF(M)'!$L$10:$EQ$10,AW$6,'CF(M)'!$L111:$EQ111)</f>
        <v>0</v>
      </c>
      <c r="AX106" s="168">
        <f>SUMIF('CF(M)'!$L$10:$EQ$10,AX$6,'CF(M)'!$L111:$EQ111)</f>
        <v>0</v>
      </c>
      <c r="AY106" s="168">
        <f>SUMIF('CF(M)'!$L$10:$EQ$10,AY$6,'CF(M)'!$L111:$EQ111)</f>
        <v>0</v>
      </c>
      <c r="AZ106" s="168">
        <f>SUMIF('CF(M)'!$L$10:$EQ$10,AZ$6,'CF(M)'!$L111:$EQ111)</f>
        <v>0</v>
      </c>
      <c r="BA106" s="168">
        <f>SUMIF('CF(M)'!$L$10:$EQ$10,BA$6,'CF(M)'!$L111:$EQ111)</f>
        <v>0</v>
      </c>
      <c r="BB106" s="168">
        <f>SUMIF('CF(M)'!$L$10:$EQ$10,BB$6,'CF(M)'!$L111:$EQ111)</f>
        <v>0</v>
      </c>
      <c r="BC106" s="168">
        <f>SUMIF('CF(M)'!$L$10:$EQ$10,BC$6,'CF(M)'!$L111:$EQ111)</f>
        <v>0</v>
      </c>
      <c r="BD106" s="168">
        <f>SUMIF('CF(M)'!$L$10:$EQ$10,BD$6,'CF(M)'!$L111:$EQ111)</f>
        <v>0</v>
      </c>
      <c r="BE106" s="168">
        <f>SUMIF('CF(M)'!$L$10:$EQ$10,BE$6,'CF(M)'!$L111:$EQ111)</f>
        <v>0</v>
      </c>
      <c r="BF106" s="168">
        <f>SUMIF('CF(M)'!$L$10:$EQ$10,BF$6,'CF(M)'!$L111:$EQ111)</f>
        <v>0</v>
      </c>
      <c r="BG106" s="168">
        <f>SUMIF('CF(M)'!$L$10:$EQ$10,BG$6,'CF(M)'!$L111:$EQ111)</f>
        <v>0</v>
      </c>
      <c r="BH106" s="168">
        <f>SUMIF('CF(M)'!$L$10:$EQ$10,BH$6,'CF(M)'!$L111:$EQ111)</f>
        <v>0</v>
      </c>
      <c r="BI106" s="168">
        <f>SUMIF('CF(M)'!$L$10:$EQ$10,BI$6,'CF(M)'!$L111:$EQ111)</f>
        <v>0</v>
      </c>
      <c r="BJ106" s="168">
        <f>SUMIF('CF(M)'!$L$10:$EQ$10,BJ$6,'CF(M)'!$L111:$EQ111)</f>
        <v>0</v>
      </c>
      <c r="BK106" s="168">
        <f>SUMIF('CF(M)'!$L$10:$EQ$10,BK$6,'CF(M)'!$L111:$EQ111)</f>
        <v>0</v>
      </c>
      <c r="BL106" s="168">
        <f>SUMIF('CF(M)'!$L$10:$EQ$10,BL$6,'CF(M)'!$L111:$EQ111)</f>
        <v>0</v>
      </c>
      <c r="BM106" s="168">
        <f>SUMIF('CF(M)'!$L$10:$EQ$10,BM$6,'CF(M)'!$L111:$EQ111)</f>
        <v>0</v>
      </c>
      <c r="BN106" s="168">
        <f>SUMIF('CF(M)'!$L$10:$EQ$10,BN$6,'CF(M)'!$L111:$EQ111)</f>
        <v>0</v>
      </c>
      <c r="BO106" s="168">
        <f>SUMIF('CF(M)'!$L$10:$EQ$10,BO$6,'CF(M)'!$L111:$EQ111)</f>
        <v>0</v>
      </c>
      <c r="BP106" s="168">
        <f>SUMIF('CF(M)'!$L$10:$EQ$10,BP$6,'CF(M)'!$L111:$EQ111)</f>
        <v>0</v>
      </c>
      <c r="BQ106" s="168">
        <f>SUMIF('CF(M)'!$L$10:$EQ$10,BQ$6,'CF(M)'!$L111:$EQ111)</f>
        <v>0</v>
      </c>
      <c r="BR106" s="168">
        <f>SUMIF('CF(M)'!$L$10:$EQ$10,BR$6,'CF(M)'!$L111:$EQ111)</f>
        <v>0</v>
      </c>
      <c r="BS106" s="168">
        <f>SUMIF('CF(M)'!$L$10:$EQ$10,BS$6,'CF(M)'!$L111:$EQ111)</f>
        <v>0</v>
      </c>
      <c r="BT106" s="168">
        <f>SUMIF('CF(M)'!$L$10:$EQ$10,BT$6,'CF(M)'!$L111:$EQ111)</f>
        <v>0</v>
      </c>
      <c r="BU106" s="168">
        <f>SUMIF('CF(M)'!$L$10:$EQ$10,BU$6,'CF(M)'!$L111:$EQ111)</f>
        <v>0</v>
      </c>
      <c r="BV106" s="168">
        <f>SUMIF('CF(M)'!$L$10:$EQ$10,BV$6,'CF(M)'!$L111:$EQ111)</f>
        <v>0</v>
      </c>
      <c r="BW106" s="168">
        <f>SUMIF('CF(M)'!$L$10:$EQ$10,BW$6,'CF(M)'!$L111:$EQ111)</f>
        <v>0</v>
      </c>
      <c r="BX106" s="168">
        <f>SUMIF('CF(M)'!$L$10:$EQ$10,BX$6,'CF(M)'!$L111:$EQ111)</f>
        <v>0</v>
      </c>
      <c r="BY106" s="168">
        <f>SUMIF('CF(M)'!$L$10:$EQ$10,BY$6,'CF(M)'!$L111:$EQ111)</f>
        <v>0</v>
      </c>
      <c r="BZ106" s="168">
        <f>SUMIF('CF(M)'!$L$10:$EQ$10,BZ$6,'CF(M)'!$L111:$EQ111)</f>
        <v>0</v>
      </c>
      <c r="CA106" s="168">
        <f>SUMIF('CF(M)'!$L$10:$EQ$10,CA$6,'CF(M)'!$L111:$EQ111)</f>
        <v>0</v>
      </c>
      <c r="CB106" s="168">
        <f>SUMIF('CF(M)'!$L$10:$EQ$10,CB$6,'CF(M)'!$L111:$EQ111)</f>
        <v>0</v>
      </c>
      <c r="CC106" s="168">
        <f>SUMIF('CF(M)'!$L$10:$EQ$10,CC$6,'CF(M)'!$L111:$EQ111)</f>
        <v>0</v>
      </c>
      <c r="CD106" s="168">
        <f>SUMIF('CF(M)'!$L$10:$EQ$10,CD$6,'CF(M)'!$L111:$EQ111)</f>
        <v>0</v>
      </c>
      <c r="CE106" s="168">
        <f>SUMIF('CF(M)'!$L$10:$EQ$10,CE$6,'CF(M)'!$L111:$EQ111)</f>
        <v>0</v>
      </c>
      <c r="CF106" s="168">
        <f>SUMIF('CF(M)'!$L$10:$EQ$10,CF$6,'CF(M)'!$L111:$EQ111)</f>
        <v>0</v>
      </c>
      <c r="CG106" s="168">
        <f>SUMIF('CF(M)'!$L$10:$EQ$10,CG$6,'CF(M)'!$L111:$EQ111)</f>
        <v>0</v>
      </c>
      <c r="CH106" s="168">
        <f>SUMIF('CF(M)'!$L$10:$EQ$10,CH$6,'CF(M)'!$L111:$EQ111)</f>
        <v>0</v>
      </c>
      <c r="CI106" s="168">
        <f>SUMIF('CF(M)'!$L$10:$EQ$10,CI$6,'CF(M)'!$L111:$EQ111)</f>
        <v>0</v>
      </c>
      <c r="CJ106" s="168">
        <f>SUMIF('CF(M)'!$L$10:$EQ$10,CJ$6,'CF(M)'!$L111:$EQ111)</f>
        <v>0</v>
      </c>
      <c r="CK106" s="168">
        <f>SUMIF('CF(M)'!$L$10:$EQ$10,CK$6,'CF(M)'!$L111:$EQ111)</f>
        <v>0</v>
      </c>
      <c r="CL106" s="168">
        <f>SUMIF('CF(M)'!$L$10:$EQ$10,CL$6,'CF(M)'!$L111:$EQ111)</f>
        <v>0</v>
      </c>
      <c r="CM106" s="168">
        <f>SUMIF('CF(M)'!$L$10:$EQ$10,CM$6,'CF(M)'!$L111:$EQ111)</f>
        <v>0</v>
      </c>
      <c r="CN106" s="168">
        <f>SUMIF('CF(M)'!$L$10:$EQ$10,CN$6,'CF(M)'!$L111:$EQ111)</f>
        <v>0</v>
      </c>
      <c r="CO106" s="168">
        <f>SUMIF('CF(M)'!$L$10:$EQ$10,CO$6,'CF(M)'!$L111:$EQ111)</f>
        <v>0</v>
      </c>
      <c r="CP106" s="168">
        <f>SUMIF('CF(M)'!$L$10:$EQ$10,CP$6,'CF(M)'!$L111:$EQ111)</f>
        <v>0</v>
      </c>
      <c r="CQ106" s="168">
        <f>SUMIF('CF(M)'!$L$10:$EQ$10,CQ$6,'CF(M)'!$L111:$EQ111)</f>
        <v>0</v>
      </c>
      <c r="CR106" s="168">
        <f>SUMIF('CF(M)'!$L$10:$EQ$10,CR$6,'CF(M)'!$L111:$EQ111)</f>
        <v>0</v>
      </c>
      <c r="CS106" s="168">
        <f>SUMIF('CF(M)'!$L$10:$EQ$10,CS$6,'CF(M)'!$L111:$EQ111)</f>
        <v>0</v>
      </c>
      <c r="CT106" s="168">
        <f>SUMIF('CF(M)'!$L$10:$EQ$10,CT$6,'CF(M)'!$L111:$EQ111)</f>
        <v>0</v>
      </c>
      <c r="CU106" s="168">
        <f>SUMIF('CF(M)'!$L$10:$EQ$10,CU$6,'CF(M)'!$L111:$EQ111)</f>
        <v>0</v>
      </c>
      <c r="CV106" s="168">
        <f>SUMIF('CF(M)'!$L$10:$EQ$10,CV$6,'CF(M)'!$L111:$EQ111)</f>
        <v>0</v>
      </c>
      <c r="CW106" s="168">
        <f>SUMIF('CF(M)'!$L$10:$EQ$10,CW$6,'CF(M)'!$L111:$EQ111)</f>
        <v>0</v>
      </c>
      <c r="CX106" s="168">
        <f>SUMIF('CF(M)'!$L$10:$EQ$10,CX$6,'CF(M)'!$L111:$EQ111)</f>
        <v>0</v>
      </c>
      <c r="CY106" s="168">
        <f>SUMIF('CF(M)'!$L$10:$EQ$10,CY$6,'CF(M)'!$L111:$EQ111)</f>
        <v>0</v>
      </c>
      <c r="CZ106" s="168">
        <f>SUMIF('CF(M)'!$L$10:$EQ$10,CZ$6,'CF(M)'!$L111:$EQ111)</f>
        <v>0</v>
      </c>
      <c r="DA106" s="168">
        <f>SUMIF('CF(M)'!$L$10:$EQ$10,DA$6,'CF(M)'!$L111:$EQ111)</f>
        <v>0</v>
      </c>
      <c r="DB106" s="168">
        <f>SUMIF('CF(M)'!$L$10:$EQ$10,DB$6,'CF(M)'!$L111:$EQ111)</f>
        <v>0</v>
      </c>
      <c r="DC106" s="168">
        <f>SUMIF('CF(M)'!$L$10:$EQ$10,DC$6,'CF(M)'!$L111:$EQ111)</f>
        <v>0</v>
      </c>
      <c r="DD106" s="168">
        <f>SUMIF('CF(M)'!$L$10:$EQ$10,DD$6,'CF(M)'!$L111:$EQ111)</f>
        <v>0</v>
      </c>
      <c r="DE106" s="168">
        <f>SUMIF('CF(M)'!$L$10:$EQ$10,DE$6,'CF(M)'!$L111:$EQ111)</f>
        <v>0</v>
      </c>
      <c r="DF106" s="168">
        <f>SUMIF('CF(M)'!$L$10:$EQ$10,DF$6,'CF(M)'!$L111:$EQ111)</f>
        <v>0</v>
      </c>
      <c r="DG106" s="168">
        <f>SUMIF('CF(M)'!$L$10:$EQ$10,DG$6,'CF(M)'!$L111:$EQ111)</f>
        <v>0</v>
      </c>
      <c r="DH106" s="168">
        <f>SUMIF('CF(M)'!$L$10:$EQ$10,DH$6,'CF(M)'!$L111:$EQ111)</f>
        <v>0</v>
      </c>
      <c r="DI106" s="168">
        <f>SUMIF('CF(M)'!$L$10:$EQ$10,DI$6,'CF(M)'!$L111:$EQ111)</f>
        <v>0</v>
      </c>
      <c r="DJ106" s="168">
        <f>SUMIF('CF(M)'!$L$10:$EQ$10,DJ$6,'CF(M)'!$L111:$EQ111)</f>
        <v>0</v>
      </c>
      <c r="DK106" s="168">
        <f>SUMIF('CF(M)'!$L$10:$EQ$10,DK$6,'CF(M)'!$L111:$EQ111)</f>
        <v>0</v>
      </c>
      <c r="DL106" s="168">
        <f>SUMIF('CF(M)'!$L$10:$EQ$10,DL$6,'CF(M)'!$L111:$EQ111)</f>
        <v>0</v>
      </c>
      <c r="DM106" s="168">
        <f>SUMIF('CF(M)'!$L$10:$EQ$10,DM$6,'CF(M)'!$L111:$EQ111)</f>
        <v>0</v>
      </c>
      <c r="DN106" s="168">
        <f>SUMIF('CF(M)'!$L$10:$EQ$10,DN$6,'CF(M)'!$L111:$EQ111)</f>
        <v>0</v>
      </c>
      <c r="DO106" s="168">
        <f>SUMIF('CF(M)'!$L$10:$EQ$10,DO$6,'CF(M)'!$L111:$EQ111)</f>
        <v>0</v>
      </c>
      <c r="DP106" s="168">
        <f>SUMIF('CF(M)'!$L$10:$EQ$10,DP$6,'CF(M)'!$L111:$EQ111)</f>
        <v>0</v>
      </c>
      <c r="DQ106" s="168">
        <f>SUMIF('CF(M)'!$L$10:$EQ$10,DQ$6,'CF(M)'!$L111:$EQ111)</f>
        <v>0</v>
      </c>
      <c r="DR106" s="168">
        <f>SUMIF('CF(M)'!$L$10:$EQ$10,DR$6,'CF(M)'!$L111:$EQ111)</f>
        <v>0</v>
      </c>
      <c r="DS106" s="168">
        <f>SUMIF('CF(M)'!$L$10:$EQ$10,DS$6,'CF(M)'!$L111:$EQ111)</f>
        <v>0</v>
      </c>
      <c r="DT106" s="168">
        <f>SUMIF('CF(M)'!$L$10:$EQ$10,DT$6,'CF(M)'!$L111:$EQ111)</f>
        <v>0</v>
      </c>
      <c r="DU106" s="168">
        <f>SUMIF('CF(M)'!$L$10:$EQ$10,DU$6,'CF(M)'!$L111:$EQ111)</f>
        <v>0</v>
      </c>
      <c r="DV106" s="168">
        <f>SUMIF('CF(M)'!$L$10:$EQ$10,DV$6,'CF(M)'!$L111:$EQ111)</f>
        <v>0</v>
      </c>
    </row>
    <row r="107" spans="2:126" ht="11.25" customHeight="1">
      <c r="B107" s="218"/>
      <c r="C107" s="163"/>
      <c r="D107" s="169" t="s">
        <v>551</v>
      </c>
      <c r="H107" s="146"/>
      <c r="I107" s="229"/>
      <c r="J107" s="171">
        <f>SUM(L107:DV107)</f>
        <v>-14800000</v>
      </c>
      <c r="K107" s="98"/>
      <c r="L107" s="171">
        <f>SUMIF('CF(M)'!$L$10:$EQ$10,L$6,'CF(M)'!$L112:$EQ112)</f>
        <v>0</v>
      </c>
      <c r="M107" s="171">
        <f>SUMIF('CF(M)'!$L$10:$EQ$10,M$6,'CF(M)'!$L112:$EQ112)</f>
        <v>0</v>
      </c>
      <c r="N107" s="171">
        <f>SUMIF('CF(M)'!$L$10:$EQ$10,N$6,'CF(M)'!$L112:$EQ112)</f>
        <v>0</v>
      </c>
      <c r="O107" s="171">
        <f>SUMIF('CF(M)'!$L$10:$EQ$10,O$6,'CF(M)'!$L112:$EQ112)</f>
        <v>0</v>
      </c>
      <c r="P107" s="171">
        <f>SUMIF('CF(M)'!$L$10:$EQ$10,P$6,'CF(M)'!$L112:$EQ112)</f>
        <v>0</v>
      </c>
      <c r="Q107" s="171">
        <f>SUMIF('CF(M)'!$L$10:$EQ$10,Q$6,'CF(M)'!$L112:$EQ112)</f>
        <v>0</v>
      </c>
      <c r="R107" s="171">
        <f>SUMIF('CF(M)'!$L$10:$EQ$10,R$6,'CF(M)'!$L112:$EQ112)</f>
        <v>0</v>
      </c>
      <c r="S107" s="171">
        <f>SUMIF('CF(M)'!$L$10:$EQ$10,S$6,'CF(M)'!$L112:$EQ112)</f>
        <v>0</v>
      </c>
      <c r="T107" s="171">
        <f>SUMIF('CF(M)'!$L$10:$EQ$10,T$6,'CF(M)'!$L112:$EQ112)</f>
        <v>0</v>
      </c>
      <c r="U107" s="171">
        <f>SUMIF('CF(M)'!$L$10:$EQ$10,U$6,'CF(M)'!$L112:$EQ112)</f>
        <v>0</v>
      </c>
      <c r="V107" s="171">
        <f>SUMIF('CF(M)'!$L$10:$EQ$10,V$6,'CF(M)'!$L112:$EQ112)</f>
        <v>0</v>
      </c>
      <c r="W107" s="171">
        <f>SUMIF('CF(M)'!$L$10:$EQ$10,W$6,'CF(M)'!$L112:$EQ112)</f>
        <v>0</v>
      </c>
      <c r="X107" s="171">
        <f>SUMIF('CF(M)'!$L$10:$EQ$10,X$6,'CF(M)'!$L112:$EQ112)</f>
        <v>0</v>
      </c>
      <c r="Y107" s="171">
        <f>SUMIF('CF(M)'!$L$10:$EQ$10,Y$6,'CF(M)'!$L112:$EQ112)</f>
        <v>0</v>
      </c>
      <c r="Z107" s="171">
        <f>SUMIF('CF(M)'!$L$10:$EQ$10,Z$6,'CF(M)'!$L112:$EQ112)</f>
        <v>0</v>
      </c>
      <c r="AA107" s="171">
        <f>SUMIF('CF(M)'!$L$10:$EQ$10,AA$6,'CF(M)'!$L112:$EQ112)</f>
        <v>0</v>
      </c>
      <c r="AB107" s="171">
        <f>SUMIF('CF(M)'!$L$10:$EQ$10,AB$6,'CF(M)'!$L112:$EQ112)</f>
        <v>0</v>
      </c>
      <c r="AC107" s="171">
        <f>SUMIF('CF(M)'!$L$10:$EQ$10,AC$6,'CF(M)'!$L112:$EQ112)</f>
        <v>0</v>
      </c>
      <c r="AD107" s="171">
        <f>SUMIF('CF(M)'!$L$10:$EQ$10,AD$6,'CF(M)'!$L112:$EQ112)</f>
        <v>0</v>
      </c>
      <c r="AE107" s="171">
        <f>SUMIF('CF(M)'!$L$10:$EQ$10,AE$6,'CF(M)'!$L112:$EQ112)</f>
        <v>0</v>
      </c>
      <c r="AF107" s="171">
        <f>SUMIF('CF(M)'!$L$10:$EQ$10,AF$6,'CF(M)'!$L112:$EQ112)</f>
        <v>-14800000</v>
      </c>
      <c r="AG107" s="171">
        <f>SUMIF('CF(M)'!$L$10:$EQ$10,AG$6,'CF(M)'!$L112:$EQ112)</f>
        <v>0</v>
      </c>
      <c r="AH107" s="171">
        <f>SUMIF('CF(M)'!$L$10:$EQ$10,AH$6,'CF(M)'!$L112:$EQ112)</f>
        <v>0</v>
      </c>
      <c r="AI107" s="171">
        <f>SUMIF('CF(M)'!$L$10:$EQ$10,AI$6,'CF(M)'!$L112:$EQ112)</f>
        <v>0</v>
      </c>
      <c r="AJ107" s="171">
        <f>SUMIF('CF(M)'!$L$10:$EQ$10,AJ$6,'CF(M)'!$L112:$EQ112)</f>
        <v>0</v>
      </c>
      <c r="AK107" s="171">
        <f>SUMIF('CF(M)'!$L$10:$EQ$10,AK$6,'CF(M)'!$L112:$EQ112)</f>
        <v>0</v>
      </c>
      <c r="AL107" s="171">
        <f>SUMIF('CF(M)'!$L$10:$EQ$10,AL$6,'CF(M)'!$L112:$EQ112)</f>
        <v>0</v>
      </c>
      <c r="AM107" s="171">
        <f>SUMIF('CF(M)'!$L$10:$EQ$10,AM$6,'CF(M)'!$L112:$EQ112)</f>
        <v>0</v>
      </c>
      <c r="AN107" s="171">
        <f>SUMIF('CF(M)'!$L$10:$EQ$10,AN$6,'CF(M)'!$L112:$EQ112)</f>
        <v>0</v>
      </c>
      <c r="AO107" s="171">
        <f>SUMIF('CF(M)'!$L$10:$EQ$10,AO$6,'CF(M)'!$L112:$EQ112)</f>
        <v>0</v>
      </c>
      <c r="AP107" s="171">
        <f>SUMIF('CF(M)'!$L$10:$EQ$10,AP$6,'CF(M)'!$L112:$EQ112)</f>
        <v>0</v>
      </c>
      <c r="AQ107" s="171">
        <f>SUMIF('CF(M)'!$L$10:$EQ$10,AQ$6,'CF(M)'!$L112:$EQ112)</f>
        <v>0</v>
      </c>
      <c r="AR107" s="171">
        <f>SUMIF('CF(M)'!$L$10:$EQ$10,AR$6,'CF(M)'!$L112:$EQ112)</f>
        <v>0</v>
      </c>
      <c r="AS107" s="171">
        <f>SUMIF('CF(M)'!$L$10:$EQ$10,AS$6,'CF(M)'!$L112:$EQ112)</f>
        <v>0</v>
      </c>
      <c r="AT107" s="171">
        <f>SUMIF('CF(M)'!$L$10:$EQ$10,AT$6,'CF(M)'!$L112:$EQ112)</f>
        <v>0</v>
      </c>
      <c r="AU107" s="171">
        <f>SUMIF('CF(M)'!$L$10:$EQ$10,AU$6,'CF(M)'!$L112:$EQ112)</f>
        <v>0</v>
      </c>
      <c r="AV107" s="171">
        <f>SUMIF('CF(M)'!$L$10:$EQ$10,AV$6,'CF(M)'!$L112:$EQ112)</f>
        <v>0</v>
      </c>
      <c r="AW107" s="171">
        <f>SUMIF('CF(M)'!$L$10:$EQ$10,AW$6,'CF(M)'!$L112:$EQ112)</f>
        <v>0</v>
      </c>
      <c r="AX107" s="171">
        <f>SUMIF('CF(M)'!$L$10:$EQ$10,AX$6,'CF(M)'!$L112:$EQ112)</f>
        <v>0</v>
      </c>
      <c r="AY107" s="171">
        <f>SUMIF('CF(M)'!$L$10:$EQ$10,AY$6,'CF(M)'!$L112:$EQ112)</f>
        <v>0</v>
      </c>
      <c r="AZ107" s="171">
        <f>SUMIF('CF(M)'!$L$10:$EQ$10,AZ$6,'CF(M)'!$L112:$EQ112)</f>
        <v>0</v>
      </c>
      <c r="BA107" s="171">
        <f>SUMIF('CF(M)'!$L$10:$EQ$10,BA$6,'CF(M)'!$L112:$EQ112)</f>
        <v>0</v>
      </c>
      <c r="BB107" s="171">
        <f>SUMIF('CF(M)'!$L$10:$EQ$10,BB$6,'CF(M)'!$L112:$EQ112)</f>
        <v>0</v>
      </c>
      <c r="BC107" s="171">
        <f>SUMIF('CF(M)'!$L$10:$EQ$10,BC$6,'CF(M)'!$L112:$EQ112)</f>
        <v>0</v>
      </c>
      <c r="BD107" s="171">
        <f>SUMIF('CF(M)'!$L$10:$EQ$10,BD$6,'CF(M)'!$L112:$EQ112)</f>
        <v>0</v>
      </c>
      <c r="BE107" s="171">
        <f>SUMIF('CF(M)'!$L$10:$EQ$10,BE$6,'CF(M)'!$L112:$EQ112)</f>
        <v>0</v>
      </c>
      <c r="BF107" s="171">
        <f>SUMIF('CF(M)'!$L$10:$EQ$10,BF$6,'CF(M)'!$L112:$EQ112)</f>
        <v>0</v>
      </c>
      <c r="BG107" s="171">
        <f>SUMIF('CF(M)'!$L$10:$EQ$10,BG$6,'CF(M)'!$L112:$EQ112)</f>
        <v>0</v>
      </c>
      <c r="BH107" s="171">
        <f>SUMIF('CF(M)'!$L$10:$EQ$10,BH$6,'CF(M)'!$L112:$EQ112)</f>
        <v>0</v>
      </c>
      <c r="BI107" s="171">
        <f>SUMIF('CF(M)'!$L$10:$EQ$10,BI$6,'CF(M)'!$L112:$EQ112)</f>
        <v>0</v>
      </c>
      <c r="BJ107" s="171">
        <f>SUMIF('CF(M)'!$L$10:$EQ$10,BJ$6,'CF(M)'!$L112:$EQ112)</f>
        <v>0</v>
      </c>
      <c r="BK107" s="171">
        <f>SUMIF('CF(M)'!$L$10:$EQ$10,BK$6,'CF(M)'!$L112:$EQ112)</f>
        <v>0</v>
      </c>
      <c r="BL107" s="171">
        <f>SUMIF('CF(M)'!$L$10:$EQ$10,BL$6,'CF(M)'!$L112:$EQ112)</f>
        <v>0</v>
      </c>
      <c r="BM107" s="171">
        <f>SUMIF('CF(M)'!$L$10:$EQ$10,BM$6,'CF(M)'!$L112:$EQ112)</f>
        <v>0</v>
      </c>
      <c r="BN107" s="171">
        <f>SUMIF('CF(M)'!$L$10:$EQ$10,BN$6,'CF(M)'!$L112:$EQ112)</f>
        <v>0</v>
      </c>
      <c r="BO107" s="171">
        <f>SUMIF('CF(M)'!$L$10:$EQ$10,BO$6,'CF(M)'!$L112:$EQ112)</f>
        <v>0</v>
      </c>
      <c r="BP107" s="171">
        <f>SUMIF('CF(M)'!$L$10:$EQ$10,BP$6,'CF(M)'!$L112:$EQ112)</f>
        <v>0</v>
      </c>
      <c r="BQ107" s="171">
        <f>SUMIF('CF(M)'!$L$10:$EQ$10,BQ$6,'CF(M)'!$L112:$EQ112)</f>
        <v>0</v>
      </c>
      <c r="BR107" s="171">
        <f>SUMIF('CF(M)'!$L$10:$EQ$10,BR$6,'CF(M)'!$L112:$EQ112)</f>
        <v>0</v>
      </c>
      <c r="BS107" s="171">
        <f>SUMIF('CF(M)'!$L$10:$EQ$10,BS$6,'CF(M)'!$L112:$EQ112)</f>
        <v>0</v>
      </c>
      <c r="BT107" s="171">
        <f>SUMIF('CF(M)'!$L$10:$EQ$10,BT$6,'CF(M)'!$L112:$EQ112)</f>
        <v>0</v>
      </c>
      <c r="BU107" s="171">
        <f>SUMIF('CF(M)'!$L$10:$EQ$10,BU$6,'CF(M)'!$L112:$EQ112)</f>
        <v>0</v>
      </c>
      <c r="BV107" s="171">
        <f>SUMIF('CF(M)'!$L$10:$EQ$10,BV$6,'CF(M)'!$L112:$EQ112)</f>
        <v>0</v>
      </c>
      <c r="BW107" s="171">
        <f>SUMIF('CF(M)'!$L$10:$EQ$10,BW$6,'CF(M)'!$L112:$EQ112)</f>
        <v>0</v>
      </c>
      <c r="BX107" s="171">
        <f>SUMIF('CF(M)'!$L$10:$EQ$10,BX$6,'CF(M)'!$L112:$EQ112)</f>
        <v>0</v>
      </c>
      <c r="BY107" s="171">
        <f>SUMIF('CF(M)'!$L$10:$EQ$10,BY$6,'CF(M)'!$L112:$EQ112)</f>
        <v>0</v>
      </c>
      <c r="BZ107" s="171">
        <f>SUMIF('CF(M)'!$L$10:$EQ$10,BZ$6,'CF(M)'!$L112:$EQ112)</f>
        <v>0</v>
      </c>
      <c r="CA107" s="171">
        <f>SUMIF('CF(M)'!$L$10:$EQ$10,CA$6,'CF(M)'!$L112:$EQ112)</f>
        <v>0</v>
      </c>
      <c r="CB107" s="171">
        <f>SUMIF('CF(M)'!$L$10:$EQ$10,CB$6,'CF(M)'!$L112:$EQ112)</f>
        <v>0</v>
      </c>
      <c r="CC107" s="171">
        <f>SUMIF('CF(M)'!$L$10:$EQ$10,CC$6,'CF(M)'!$L112:$EQ112)</f>
        <v>0</v>
      </c>
      <c r="CD107" s="171">
        <f>SUMIF('CF(M)'!$L$10:$EQ$10,CD$6,'CF(M)'!$L112:$EQ112)</f>
        <v>0</v>
      </c>
      <c r="CE107" s="171">
        <f>SUMIF('CF(M)'!$L$10:$EQ$10,CE$6,'CF(M)'!$L112:$EQ112)</f>
        <v>0</v>
      </c>
      <c r="CF107" s="171">
        <f>SUMIF('CF(M)'!$L$10:$EQ$10,CF$6,'CF(M)'!$L112:$EQ112)</f>
        <v>0</v>
      </c>
      <c r="CG107" s="171">
        <f>SUMIF('CF(M)'!$L$10:$EQ$10,CG$6,'CF(M)'!$L112:$EQ112)</f>
        <v>0</v>
      </c>
      <c r="CH107" s="171">
        <f>SUMIF('CF(M)'!$L$10:$EQ$10,CH$6,'CF(M)'!$L112:$EQ112)</f>
        <v>0</v>
      </c>
      <c r="CI107" s="171">
        <f>SUMIF('CF(M)'!$L$10:$EQ$10,CI$6,'CF(M)'!$L112:$EQ112)</f>
        <v>0</v>
      </c>
      <c r="CJ107" s="171">
        <f>SUMIF('CF(M)'!$L$10:$EQ$10,CJ$6,'CF(M)'!$L112:$EQ112)</f>
        <v>0</v>
      </c>
      <c r="CK107" s="171">
        <f>SUMIF('CF(M)'!$L$10:$EQ$10,CK$6,'CF(M)'!$L112:$EQ112)</f>
        <v>0</v>
      </c>
      <c r="CL107" s="171">
        <f>SUMIF('CF(M)'!$L$10:$EQ$10,CL$6,'CF(M)'!$L112:$EQ112)</f>
        <v>0</v>
      </c>
      <c r="CM107" s="171">
        <f>SUMIF('CF(M)'!$L$10:$EQ$10,CM$6,'CF(M)'!$L112:$EQ112)</f>
        <v>0</v>
      </c>
      <c r="CN107" s="171">
        <f>SUMIF('CF(M)'!$L$10:$EQ$10,CN$6,'CF(M)'!$L112:$EQ112)</f>
        <v>0</v>
      </c>
      <c r="CO107" s="171">
        <f>SUMIF('CF(M)'!$L$10:$EQ$10,CO$6,'CF(M)'!$L112:$EQ112)</f>
        <v>0</v>
      </c>
      <c r="CP107" s="171">
        <f>SUMIF('CF(M)'!$L$10:$EQ$10,CP$6,'CF(M)'!$L112:$EQ112)</f>
        <v>0</v>
      </c>
      <c r="CQ107" s="171">
        <f>SUMIF('CF(M)'!$L$10:$EQ$10,CQ$6,'CF(M)'!$L112:$EQ112)</f>
        <v>0</v>
      </c>
      <c r="CR107" s="171">
        <f>SUMIF('CF(M)'!$L$10:$EQ$10,CR$6,'CF(M)'!$L112:$EQ112)</f>
        <v>0</v>
      </c>
      <c r="CS107" s="171">
        <f>SUMIF('CF(M)'!$L$10:$EQ$10,CS$6,'CF(M)'!$L112:$EQ112)</f>
        <v>0</v>
      </c>
      <c r="CT107" s="171">
        <f>SUMIF('CF(M)'!$L$10:$EQ$10,CT$6,'CF(M)'!$L112:$EQ112)</f>
        <v>0</v>
      </c>
      <c r="CU107" s="171">
        <f>SUMIF('CF(M)'!$L$10:$EQ$10,CU$6,'CF(M)'!$L112:$EQ112)</f>
        <v>0</v>
      </c>
      <c r="CV107" s="171">
        <f>SUMIF('CF(M)'!$L$10:$EQ$10,CV$6,'CF(M)'!$L112:$EQ112)</f>
        <v>0</v>
      </c>
      <c r="CW107" s="171">
        <f>SUMIF('CF(M)'!$L$10:$EQ$10,CW$6,'CF(M)'!$L112:$EQ112)</f>
        <v>0</v>
      </c>
      <c r="CX107" s="171">
        <f>SUMIF('CF(M)'!$L$10:$EQ$10,CX$6,'CF(M)'!$L112:$EQ112)</f>
        <v>0</v>
      </c>
      <c r="CY107" s="171">
        <f>SUMIF('CF(M)'!$L$10:$EQ$10,CY$6,'CF(M)'!$L112:$EQ112)</f>
        <v>0</v>
      </c>
      <c r="CZ107" s="171">
        <f>SUMIF('CF(M)'!$L$10:$EQ$10,CZ$6,'CF(M)'!$L112:$EQ112)</f>
        <v>0</v>
      </c>
      <c r="DA107" s="171">
        <f>SUMIF('CF(M)'!$L$10:$EQ$10,DA$6,'CF(M)'!$L112:$EQ112)</f>
        <v>0</v>
      </c>
      <c r="DB107" s="171">
        <f>SUMIF('CF(M)'!$L$10:$EQ$10,DB$6,'CF(M)'!$L112:$EQ112)</f>
        <v>0</v>
      </c>
      <c r="DC107" s="171">
        <f>SUMIF('CF(M)'!$L$10:$EQ$10,DC$6,'CF(M)'!$L112:$EQ112)</f>
        <v>0</v>
      </c>
      <c r="DD107" s="171">
        <f>SUMIF('CF(M)'!$L$10:$EQ$10,DD$6,'CF(M)'!$L112:$EQ112)</f>
        <v>0</v>
      </c>
      <c r="DE107" s="171">
        <f>SUMIF('CF(M)'!$L$10:$EQ$10,DE$6,'CF(M)'!$L112:$EQ112)</f>
        <v>0</v>
      </c>
      <c r="DF107" s="171">
        <f>SUMIF('CF(M)'!$L$10:$EQ$10,DF$6,'CF(M)'!$L112:$EQ112)</f>
        <v>0</v>
      </c>
      <c r="DG107" s="171">
        <f>SUMIF('CF(M)'!$L$10:$EQ$10,DG$6,'CF(M)'!$L112:$EQ112)</f>
        <v>0</v>
      </c>
      <c r="DH107" s="171">
        <f>SUMIF('CF(M)'!$L$10:$EQ$10,DH$6,'CF(M)'!$L112:$EQ112)</f>
        <v>0</v>
      </c>
      <c r="DI107" s="171">
        <f>SUMIF('CF(M)'!$L$10:$EQ$10,DI$6,'CF(M)'!$L112:$EQ112)</f>
        <v>0</v>
      </c>
      <c r="DJ107" s="171">
        <f>SUMIF('CF(M)'!$L$10:$EQ$10,DJ$6,'CF(M)'!$L112:$EQ112)</f>
        <v>0</v>
      </c>
      <c r="DK107" s="171">
        <f>SUMIF('CF(M)'!$L$10:$EQ$10,DK$6,'CF(M)'!$L112:$EQ112)</f>
        <v>0</v>
      </c>
      <c r="DL107" s="171">
        <f>SUMIF('CF(M)'!$L$10:$EQ$10,DL$6,'CF(M)'!$L112:$EQ112)</f>
        <v>0</v>
      </c>
      <c r="DM107" s="171">
        <f>SUMIF('CF(M)'!$L$10:$EQ$10,DM$6,'CF(M)'!$L112:$EQ112)</f>
        <v>0</v>
      </c>
      <c r="DN107" s="171">
        <f>SUMIF('CF(M)'!$L$10:$EQ$10,DN$6,'CF(M)'!$L112:$EQ112)</f>
        <v>0</v>
      </c>
      <c r="DO107" s="171">
        <f>SUMIF('CF(M)'!$L$10:$EQ$10,DO$6,'CF(M)'!$L112:$EQ112)</f>
        <v>0</v>
      </c>
      <c r="DP107" s="171">
        <f>SUMIF('CF(M)'!$L$10:$EQ$10,DP$6,'CF(M)'!$L112:$EQ112)</f>
        <v>0</v>
      </c>
      <c r="DQ107" s="171">
        <f>SUMIF('CF(M)'!$L$10:$EQ$10,DQ$6,'CF(M)'!$L112:$EQ112)</f>
        <v>0</v>
      </c>
      <c r="DR107" s="171">
        <f>SUMIF('CF(M)'!$L$10:$EQ$10,DR$6,'CF(M)'!$L112:$EQ112)</f>
        <v>0</v>
      </c>
      <c r="DS107" s="171">
        <f>SUMIF('CF(M)'!$L$10:$EQ$10,DS$6,'CF(M)'!$L112:$EQ112)</f>
        <v>0</v>
      </c>
      <c r="DT107" s="171">
        <f>SUMIF('CF(M)'!$L$10:$EQ$10,DT$6,'CF(M)'!$L112:$EQ112)</f>
        <v>0</v>
      </c>
      <c r="DU107" s="171">
        <f>SUMIF('CF(M)'!$L$10:$EQ$10,DU$6,'CF(M)'!$L112:$EQ112)</f>
        <v>0</v>
      </c>
      <c r="DV107" s="171">
        <f>SUMIF('CF(M)'!$L$10:$EQ$10,DV$6,'CF(M)'!$L112:$EQ112)</f>
        <v>0</v>
      </c>
    </row>
    <row r="108" spans="2:126" ht="11.25" customHeight="1">
      <c r="B108" s="218"/>
      <c r="C108" s="163"/>
      <c r="D108" s="169" t="s">
        <v>130</v>
      </c>
      <c r="H108" s="146"/>
      <c r="I108" s="229"/>
      <c r="J108" s="171">
        <f ca="1">SUM(L108:DV108)</f>
        <v>-1110000</v>
      </c>
      <c r="K108" s="98"/>
      <c r="L108" s="171">
        <f ca="1">SUMIF('CF(M)'!$L$10:$EQ$10,L$6,'CF(M)'!$L113:$EQ113)</f>
        <v>0</v>
      </c>
      <c r="M108" s="171">
        <f ca="1">SUMIF('CF(M)'!$L$10:$EQ$10,M$6,'CF(M)'!$L113:$EQ113)</f>
        <v>-555000</v>
      </c>
      <c r="N108" s="171">
        <f ca="1">SUMIF('CF(M)'!$L$10:$EQ$10,N$6,'CF(M)'!$L113:$EQ113)</f>
        <v>-555000</v>
      </c>
      <c r="O108" s="171">
        <f ca="1">SUMIF('CF(M)'!$L$10:$EQ$10,O$6,'CF(M)'!$L113:$EQ113)</f>
        <v>0</v>
      </c>
      <c r="P108" s="171">
        <f ca="1">SUMIF('CF(M)'!$L$10:$EQ$10,P$6,'CF(M)'!$L113:$EQ113)</f>
        <v>0</v>
      </c>
      <c r="Q108" s="171">
        <f ca="1">SUMIF('CF(M)'!$L$10:$EQ$10,Q$6,'CF(M)'!$L113:$EQ113)</f>
        <v>0</v>
      </c>
      <c r="R108" s="171">
        <f ca="1">SUMIF('CF(M)'!$L$10:$EQ$10,R$6,'CF(M)'!$L113:$EQ113)</f>
        <v>0</v>
      </c>
      <c r="S108" s="171">
        <f ca="1">SUMIF('CF(M)'!$L$10:$EQ$10,S$6,'CF(M)'!$L113:$EQ113)</f>
        <v>0</v>
      </c>
      <c r="T108" s="171">
        <f ca="1">SUMIF('CF(M)'!$L$10:$EQ$10,T$6,'CF(M)'!$L113:$EQ113)</f>
        <v>0</v>
      </c>
      <c r="U108" s="171">
        <f ca="1">SUMIF('CF(M)'!$L$10:$EQ$10,U$6,'CF(M)'!$L113:$EQ113)</f>
        <v>0</v>
      </c>
      <c r="V108" s="171">
        <f ca="1">SUMIF('CF(M)'!$L$10:$EQ$10,V$6,'CF(M)'!$L113:$EQ113)</f>
        <v>0</v>
      </c>
      <c r="W108" s="171">
        <f ca="1">SUMIF('CF(M)'!$L$10:$EQ$10,W$6,'CF(M)'!$L113:$EQ113)</f>
        <v>0</v>
      </c>
      <c r="X108" s="171">
        <f ca="1">SUMIF('CF(M)'!$L$10:$EQ$10,X$6,'CF(M)'!$L113:$EQ113)</f>
        <v>0</v>
      </c>
      <c r="Y108" s="171">
        <f ca="1">SUMIF('CF(M)'!$L$10:$EQ$10,Y$6,'CF(M)'!$L113:$EQ113)</f>
        <v>0</v>
      </c>
      <c r="Z108" s="171">
        <f ca="1">SUMIF('CF(M)'!$L$10:$EQ$10,Z$6,'CF(M)'!$L113:$EQ113)</f>
        <v>0</v>
      </c>
      <c r="AA108" s="171">
        <f ca="1">SUMIF('CF(M)'!$L$10:$EQ$10,AA$6,'CF(M)'!$L113:$EQ113)</f>
        <v>0</v>
      </c>
      <c r="AB108" s="171">
        <f ca="1">SUMIF('CF(M)'!$L$10:$EQ$10,AB$6,'CF(M)'!$L113:$EQ113)</f>
        <v>0</v>
      </c>
      <c r="AC108" s="171">
        <f ca="1">SUMIF('CF(M)'!$L$10:$EQ$10,AC$6,'CF(M)'!$L113:$EQ113)</f>
        <v>0</v>
      </c>
      <c r="AD108" s="171">
        <f ca="1">SUMIF('CF(M)'!$L$10:$EQ$10,AD$6,'CF(M)'!$L113:$EQ113)</f>
        <v>0</v>
      </c>
      <c r="AE108" s="171">
        <f ca="1">SUMIF('CF(M)'!$L$10:$EQ$10,AE$6,'CF(M)'!$L113:$EQ113)</f>
        <v>0</v>
      </c>
      <c r="AF108" s="171">
        <f ca="1">SUMIF('CF(M)'!$L$10:$EQ$10,AF$6,'CF(M)'!$L113:$EQ113)</f>
        <v>0</v>
      </c>
      <c r="AG108" s="171">
        <f ca="1">SUMIF('CF(M)'!$L$10:$EQ$10,AG$6,'CF(M)'!$L113:$EQ113)</f>
        <v>0</v>
      </c>
      <c r="AH108" s="171">
        <f ca="1">SUMIF('CF(M)'!$L$10:$EQ$10,AH$6,'CF(M)'!$L113:$EQ113)</f>
        <v>0</v>
      </c>
      <c r="AI108" s="171">
        <f ca="1">SUMIF('CF(M)'!$L$10:$EQ$10,AI$6,'CF(M)'!$L113:$EQ113)</f>
        <v>0</v>
      </c>
      <c r="AJ108" s="171">
        <f>SUMIF('CF(M)'!$L$10:$EQ$10,AJ$6,'CF(M)'!$L113:$EQ113)</f>
        <v>0</v>
      </c>
      <c r="AK108" s="171">
        <f>SUMIF('CF(M)'!$L$10:$EQ$10,AK$6,'CF(M)'!$L113:$EQ113)</f>
        <v>0</v>
      </c>
      <c r="AL108" s="171">
        <f>SUMIF('CF(M)'!$L$10:$EQ$10,AL$6,'CF(M)'!$L113:$EQ113)</f>
        <v>0</v>
      </c>
      <c r="AM108" s="171">
        <f>SUMIF('CF(M)'!$L$10:$EQ$10,AM$6,'CF(M)'!$L113:$EQ113)</f>
        <v>0</v>
      </c>
      <c r="AN108" s="171">
        <f>SUMIF('CF(M)'!$L$10:$EQ$10,AN$6,'CF(M)'!$L113:$EQ113)</f>
        <v>0</v>
      </c>
      <c r="AO108" s="171">
        <f>SUMIF('CF(M)'!$L$10:$EQ$10,AO$6,'CF(M)'!$L113:$EQ113)</f>
        <v>0</v>
      </c>
      <c r="AP108" s="171">
        <f>SUMIF('CF(M)'!$L$10:$EQ$10,AP$6,'CF(M)'!$L113:$EQ113)</f>
        <v>0</v>
      </c>
      <c r="AQ108" s="171">
        <f>SUMIF('CF(M)'!$L$10:$EQ$10,AQ$6,'CF(M)'!$L113:$EQ113)</f>
        <v>0</v>
      </c>
      <c r="AR108" s="171">
        <f>SUMIF('CF(M)'!$L$10:$EQ$10,AR$6,'CF(M)'!$L113:$EQ113)</f>
        <v>0</v>
      </c>
      <c r="AS108" s="171">
        <f>SUMIF('CF(M)'!$L$10:$EQ$10,AS$6,'CF(M)'!$L113:$EQ113)</f>
        <v>0</v>
      </c>
      <c r="AT108" s="171">
        <f>SUMIF('CF(M)'!$L$10:$EQ$10,AT$6,'CF(M)'!$L113:$EQ113)</f>
        <v>0</v>
      </c>
      <c r="AU108" s="171">
        <f>SUMIF('CF(M)'!$L$10:$EQ$10,AU$6,'CF(M)'!$L113:$EQ113)</f>
        <v>0</v>
      </c>
      <c r="AV108" s="171">
        <f>SUMIF('CF(M)'!$L$10:$EQ$10,AV$6,'CF(M)'!$L113:$EQ113)</f>
        <v>0</v>
      </c>
      <c r="AW108" s="171">
        <f>SUMIF('CF(M)'!$L$10:$EQ$10,AW$6,'CF(M)'!$L113:$EQ113)</f>
        <v>0</v>
      </c>
      <c r="AX108" s="171">
        <f>SUMIF('CF(M)'!$L$10:$EQ$10,AX$6,'CF(M)'!$L113:$EQ113)</f>
        <v>0</v>
      </c>
      <c r="AY108" s="171">
        <f>SUMIF('CF(M)'!$L$10:$EQ$10,AY$6,'CF(M)'!$L113:$EQ113)</f>
        <v>0</v>
      </c>
      <c r="AZ108" s="171">
        <f>SUMIF('CF(M)'!$L$10:$EQ$10,AZ$6,'CF(M)'!$L113:$EQ113)</f>
        <v>0</v>
      </c>
      <c r="BA108" s="171">
        <f>SUMIF('CF(M)'!$L$10:$EQ$10,BA$6,'CF(M)'!$L113:$EQ113)</f>
        <v>0</v>
      </c>
      <c r="BB108" s="171">
        <f>SUMIF('CF(M)'!$L$10:$EQ$10,BB$6,'CF(M)'!$L113:$EQ113)</f>
        <v>0</v>
      </c>
      <c r="BC108" s="171">
        <f>SUMIF('CF(M)'!$L$10:$EQ$10,BC$6,'CF(M)'!$L113:$EQ113)</f>
        <v>0</v>
      </c>
      <c r="BD108" s="171">
        <f>SUMIF('CF(M)'!$L$10:$EQ$10,BD$6,'CF(M)'!$L113:$EQ113)</f>
        <v>0</v>
      </c>
      <c r="BE108" s="171">
        <f>SUMIF('CF(M)'!$L$10:$EQ$10,BE$6,'CF(M)'!$L113:$EQ113)</f>
        <v>0</v>
      </c>
      <c r="BF108" s="171">
        <f>SUMIF('CF(M)'!$L$10:$EQ$10,BF$6,'CF(M)'!$L113:$EQ113)</f>
        <v>0</v>
      </c>
      <c r="BG108" s="171">
        <f>SUMIF('CF(M)'!$L$10:$EQ$10,BG$6,'CF(M)'!$L113:$EQ113)</f>
        <v>0</v>
      </c>
      <c r="BH108" s="171">
        <f>SUMIF('CF(M)'!$L$10:$EQ$10,BH$6,'CF(M)'!$L113:$EQ113)</f>
        <v>0</v>
      </c>
      <c r="BI108" s="171">
        <f>SUMIF('CF(M)'!$L$10:$EQ$10,BI$6,'CF(M)'!$L113:$EQ113)</f>
        <v>0</v>
      </c>
      <c r="BJ108" s="171">
        <f>SUMIF('CF(M)'!$L$10:$EQ$10,BJ$6,'CF(M)'!$L113:$EQ113)</f>
        <v>0</v>
      </c>
      <c r="BK108" s="171">
        <f>SUMIF('CF(M)'!$L$10:$EQ$10,BK$6,'CF(M)'!$L113:$EQ113)</f>
        <v>0</v>
      </c>
      <c r="BL108" s="171">
        <f>SUMIF('CF(M)'!$L$10:$EQ$10,BL$6,'CF(M)'!$L113:$EQ113)</f>
        <v>0</v>
      </c>
      <c r="BM108" s="171">
        <f>SUMIF('CF(M)'!$L$10:$EQ$10,BM$6,'CF(M)'!$L113:$EQ113)</f>
        <v>0</v>
      </c>
      <c r="BN108" s="171">
        <f>SUMIF('CF(M)'!$L$10:$EQ$10,BN$6,'CF(M)'!$L113:$EQ113)</f>
        <v>0</v>
      </c>
      <c r="BO108" s="171">
        <f>SUMIF('CF(M)'!$L$10:$EQ$10,BO$6,'CF(M)'!$L113:$EQ113)</f>
        <v>0</v>
      </c>
      <c r="BP108" s="171">
        <f>SUMIF('CF(M)'!$L$10:$EQ$10,BP$6,'CF(M)'!$L113:$EQ113)</f>
        <v>0</v>
      </c>
      <c r="BQ108" s="171">
        <f>SUMIF('CF(M)'!$L$10:$EQ$10,BQ$6,'CF(M)'!$L113:$EQ113)</f>
        <v>0</v>
      </c>
      <c r="BR108" s="171">
        <f>SUMIF('CF(M)'!$L$10:$EQ$10,BR$6,'CF(M)'!$L113:$EQ113)</f>
        <v>0</v>
      </c>
      <c r="BS108" s="171">
        <f>SUMIF('CF(M)'!$L$10:$EQ$10,BS$6,'CF(M)'!$L113:$EQ113)</f>
        <v>0</v>
      </c>
      <c r="BT108" s="171">
        <f>SUMIF('CF(M)'!$L$10:$EQ$10,BT$6,'CF(M)'!$L113:$EQ113)</f>
        <v>0</v>
      </c>
      <c r="BU108" s="171">
        <f>SUMIF('CF(M)'!$L$10:$EQ$10,BU$6,'CF(M)'!$L113:$EQ113)</f>
        <v>0</v>
      </c>
      <c r="BV108" s="171">
        <f>SUMIF('CF(M)'!$L$10:$EQ$10,BV$6,'CF(M)'!$L113:$EQ113)</f>
        <v>0</v>
      </c>
      <c r="BW108" s="171">
        <f>SUMIF('CF(M)'!$L$10:$EQ$10,BW$6,'CF(M)'!$L113:$EQ113)</f>
        <v>0</v>
      </c>
      <c r="BX108" s="171">
        <f>SUMIF('CF(M)'!$L$10:$EQ$10,BX$6,'CF(M)'!$L113:$EQ113)</f>
        <v>0</v>
      </c>
      <c r="BY108" s="171">
        <f>SUMIF('CF(M)'!$L$10:$EQ$10,BY$6,'CF(M)'!$L113:$EQ113)</f>
        <v>0</v>
      </c>
      <c r="BZ108" s="171">
        <f>SUMIF('CF(M)'!$L$10:$EQ$10,BZ$6,'CF(M)'!$L113:$EQ113)</f>
        <v>0</v>
      </c>
      <c r="CA108" s="171">
        <f>SUMIF('CF(M)'!$L$10:$EQ$10,CA$6,'CF(M)'!$L113:$EQ113)</f>
        <v>0</v>
      </c>
      <c r="CB108" s="171">
        <f>SUMIF('CF(M)'!$L$10:$EQ$10,CB$6,'CF(M)'!$L113:$EQ113)</f>
        <v>0</v>
      </c>
      <c r="CC108" s="171">
        <f>SUMIF('CF(M)'!$L$10:$EQ$10,CC$6,'CF(M)'!$L113:$EQ113)</f>
        <v>0</v>
      </c>
      <c r="CD108" s="171">
        <f>SUMIF('CF(M)'!$L$10:$EQ$10,CD$6,'CF(M)'!$L113:$EQ113)</f>
        <v>0</v>
      </c>
      <c r="CE108" s="171">
        <f>SUMIF('CF(M)'!$L$10:$EQ$10,CE$6,'CF(M)'!$L113:$EQ113)</f>
        <v>0</v>
      </c>
      <c r="CF108" s="171">
        <f>SUMIF('CF(M)'!$L$10:$EQ$10,CF$6,'CF(M)'!$L113:$EQ113)</f>
        <v>0</v>
      </c>
      <c r="CG108" s="171">
        <f>SUMIF('CF(M)'!$L$10:$EQ$10,CG$6,'CF(M)'!$L113:$EQ113)</f>
        <v>0</v>
      </c>
      <c r="CH108" s="171">
        <f>SUMIF('CF(M)'!$L$10:$EQ$10,CH$6,'CF(M)'!$L113:$EQ113)</f>
        <v>0</v>
      </c>
      <c r="CI108" s="171">
        <f>SUMIF('CF(M)'!$L$10:$EQ$10,CI$6,'CF(M)'!$L113:$EQ113)</f>
        <v>0</v>
      </c>
      <c r="CJ108" s="171">
        <f>SUMIF('CF(M)'!$L$10:$EQ$10,CJ$6,'CF(M)'!$L113:$EQ113)</f>
        <v>0</v>
      </c>
      <c r="CK108" s="171">
        <f>SUMIF('CF(M)'!$L$10:$EQ$10,CK$6,'CF(M)'!$L113:$EQ113)</f>
        <v>0</v>
      </c>
      <c r="CL108" s="171">
        <f>SUMIF('CF(M)'!$L$10:$EQ$10,CL$6,'CF(M)'!$L113:$EQ113)</f>
        <v>0</v>
      </c>
      <c r="CM108" s="171">
        <f>SUMIF('CF(M)'!$L$10:$EQ$10,CM$6,'CF(M)'!$L113:$EQ113)</f>
        <v>0</v>
      </c>
      <c r="CN108" s="171">
        <f>SUMIF('CF(M)'!$L$10:$EQ$10,CN$6,'CF(M)'!$L113:$EQ113)</f>
        <v>0</v>
      </c>
      <c r="CO108" s="171">
        <f>SUMIF('CF(M)'!$L$10:$EQ$10,CO$6,'CF(M)'!$L113:$EQ113)</f>
        <v>0</v>
      </c>
      <c r="CP108" s="171">
        <f>SUMIF('CF(M)'!$L$10:$EQ$10,CP$6,'CF(M)'!$L113:$EQ113)</f>
        <v>0</v>
      </c>
      <c r="CQ108" s="171">
        <f>SUMIF('CF(M)'!$L$10:$EQ$10,CQ$6,'CF(M)'!$L113:$EQ113)</f>
        <v>0</v>
      </c>
      <c r="CR108" s="171">
        <f>SUMIF('CF(M)'!$L$10:$EQ$10,CR$6,'CF(M)'!$L113:$EQ113)</f>
        <v>0</v>
      </c>
      <c r="CS108" s="171">
        <f>SUMIF('CF(M)'!$L$10:$EQ$10,CS$6,'CF(M)'!$L113:$EQ113)</f>
        <v>0</v>
      </c>
      <c r="CT108" s="171">
        <f>SUMIF('CF(M)'!$L$10:$EQ$10,CT$6,'CF(M)'!$L113:$EQ113)</f>
        <v>0</v>
      </c>
      <c r="CU108" s="171">
        <f>SUMIF('CF(M)'!$L$10:$EQ$10,CU$6,'CF(M)'!$L113:$EQ113)</f>
        <v>0</v>
      </c>
      <c r="CV108" s="171">
        <f>SUMIF('CF(M)'!$L$10:$EQ$10,CV$6,'CF(M)'!$L113:$EQ113)</f>
        <v>0</v>
      </c>
      <c r="CW108" s="171">
        <f>SUMIF('CF(M)'!$L$10:$EQ$10,CW$6,'CF(M)'!$L113:$EQ113)</f>
        <v>0</v>
      </c>
      <c r="CX108" s="171">
        <f>SUMIF('CF(M)'!$L$10:$EQ$10,CX$6,'CF(M)'!$L113:$EQ113)</f>
        <v>0</v>
      </c>
      <c r="CY108" s="171">
        <f>SUMIF('CF(M)'!$L$10:$EQ$10,CY$6,'CF(M)'!$L113:$EQ113)</f>
        <v>0</v>
      </c>
      <c r="CZ108" s="171">
        <f>SUMIF('CF(M)'!$L$10:$EQ$10,CZ$6,'CF(M)'!$L113:$EQ113)</f>
        <v>0</v>
      </c>
      <c r="DA108" s="171">
        <f>SUMIF('CF(M)'!$L$10:$EQ$10,DA$6,'CF(M)'!$L113:$EQ113)</f>
        <v>0</v>
      </c>
      <c r="DB108" s="171">
        <f>SUMIF('CF(M)'!$L$10:$EQ$10,DB$6,'CF(M)'!$L113:$EQ113)</f>
        <v>0</v>
      </c>
      <c r="DC108" s="171">
        <f>SUMIF('CF(M)'!$L$10:$EQ$10,DC$6,'CF(M)'!$L113:$EQ113)</f>
        <v>0</v>
      </c>
      <c r="DD108" s="171">
        <f>SUMIF('CF(M)'!$L$10:$EQ$10,DD$6,'CF(M)'!$L113:$EQ113)</f>
        <v>0</v>
      </c>
      <c r="DE108" s="171">
        <f>SUMIF('CF(M)'!$L$10:$EQ$10,DE$6,'CF(M)'!$L113:$EQ113)</f>
        <v>0</v>
      </c>
      <c r="DF108" s="171">
        <f>SUMIF('CF(M)'!$L$10:$EQ$10,DF$6,'CF(M)'!$L113:$EQ113)</f>
        <v>0</v>
      </c>
      <c r="DG108" s="171">
        <f>SUMIF('CF(M)'!$L$10:$EQ$10,DG$6,'CF(M)'!$L113:$EQ113)</f>
        <v>0</v>
      </c>
      <c r="DH108" s="171">
        <f>SUMIF('CF(M)'!$L$10:$EQ$10,DH$6,'CF(M)'!$L113:$EQ113)</f>
        <v>0</v>
      </c>
      <c r="DI108" s="171">
        <f>SUMIF('CF(M)'!$L$10:$EQ$10,DI$6,'CF(M)'!$L113:$EQ113)</f>
        <v>0</v>
      </c>
      <c r="DJ108" s="171">
        <f>SUMIF('CF(M)'!$L$10:$EQ$10,DJ$6,'CF(M)'!$L113:$EQ113)</f>
        <v>0</v>
      </c>
      <c r="DK108" s="171">
        <f>SUMIF('CF(M)'!$L$10:$EQ$10,DK$6,'CF(M)'!$L113:$EQ113)</f>
        <v>0</v>
      </c>
      <c r="DL108" s="171">
        <f>SUMIF('CF(M)'!$L$10:$EQ$10,DL$6,'CF(M)'!$L113:$EQ113)</f>
        <v>0</v>
      </c>
      <c r="DM108" s="171">
        <f>SUMIF('CF(M)'!$L$10:$EQ$10,DM$6,'CF(M)'!$L113:$EQ113)</f>
        <v>0</v>
      </c>
      <c r="DN108" s="171">
        <f>SUMIF('CF(M)'!$L$10:$EQ$10,DN$6,'CF(M)'!$L113:$EQ113)</f>
        <v>0</v>
      </c>
      <c r="DO108" s="171">
        <f>SUMIF('CF(M)'!$L$10:$EQ$10,DO$6,'CF(M)'!$L113:$EQ113)</f>
        <v>0</v>
      </c>
      <c r="DP108" s="171">
        <f>SUMIF('CF(M)'!$L$10:$EQ$10,DP$6,'CF(M)'!$L113:$EQ113)</f>
        <v>0</v>
      </c>
      <c r="DQ108" s="171">
        <f>SUMIF('CF(M)'!$L$10:$EQ$10,DQ$6,'CF(M)'!$L113:$EQ113)</f>
        <v>0</v>
      </c>
      <c r="DR108" s="171">
        <f>SUMIF('CF(M)'!$L$10:$EQ$10,DR$6,'CF(M)'!$L113:$EQ113)</f>
        <v>0</v>
      </c>
      <c r="DS108" s="171">
        <f>SUMIF('CF(M)'!$L$10:$EQ$10,DS$6,'CF(M)'!$L113:$EQ113)</f>
        <v>0</v>
      </c>
      <c r="DT108" s="171">
        <f>SUMIF('CF(M)'!$L$10:$EQ$10,DT$6,'CF(M)'!$L113:$EQ113)</f>
        <v>0</v>
      </c>
      <c r="DU108" s="171">
        <f>SUMIF('CF(M)'!$L$10:$EQ$10,DU$6,'CF(M)'!$L113:$EQ113)</f>
        <v>0</v>
      </c>
      <c r="DV108" s="171">
        <f>SUMIF('CF(M)'!$L$10:$EQ$10,DV$6,'CF(M)'!$L113:$EQ113)</f>
        <v>0</v>
      </c>
    </row>
    <row r="109" spans="2:126" ht="11.25" customHeight="1">
      <c r="B109" s="218"/>
      <c r="C109" s="163"/>
      <c r="D109" s="169" t="s">
        <v>211</v>
      </c>
      <c r="G109" s="65">
        <f>'A&amp;R'!T44</f>
        <v>0.8</v>
      </c>
      <c r="H109" s="146">
        <f>'A&amp;R'!$E$39</f>
        <v>49979</v>
      </c>
      <c r="I109" s="229">
        <f>$J$49*$G109</f>
        <v>56577462.436253883</v>
      </c>
      <c r="J109" s="171">
        <f>SUM(L109:DV109)</f>
        <v>-47070453.350267738</v>
      </c>
      <c r="K109" s="98"/>
      <c r="L109" s="171">
        <f>SUMIF('CF(M)'!$L$10:$EQ$10,L$6,'CF(M)'!$L114:$EQ114)</f>
        <v>0</v>
      </c>
      <c r="M109" s="171">
        <f>SUMIF('CF(M)'!$L$10:$EQ$10,M$6,'CF(M)'!$L114:$EQ114)</f>
        <v>0</v>
      </c>
      <c r="N109" s="171">
        <f>SUMIF('CF(M)'!$L$10:$EQ$10,N$6,'CF(M)'!$L114:$EQ114)</f>
        <v>0</v>
      </c>
      <c r="O109" s="171">
        <f>SUMIF('CF(M)'!$L$10:$EQ$10,O$6,'CF(M)'!$L114:$EQ114)</f>
        <v>0</v>
      </c>
      <c r="P109" s="171">
        <f>SUMIF('CF(M)'!$L$10:$EQ$10,P$6,'CF(M)'!$L114:$EQ114)</f>
        <v>0</v>
      </c>
      <c r="Q109" s="171">
        <f>SUMIF('CF(M)'!$L$10:$EQ$10,Q$6,'CF(M)'!$L114:$EQ114)</f>
        <v>0</v>
      </c>
      <c r="R109" s="171">
        <f>SUMIF('CF(M)'!$L$10:$EQ$10,R$6,'CF(M)'!$L114:$EQ114)</f>
        <v>0</v>
      </c>
      <c r="S109" s="171">
        <f>SUMIF('CF(M)'!$L$10:$EQ$10,S$6,'CF(M)'!$L114:$EQ114)</f>
        <v>0</v>
      </c>
      <c r="T109" s="171">
        <f>SUMIF('CF(M)'!$L$10:$EQ$10,T$6,'CF(M)'!$L114:$EQ114)</f>
        <v>0</v>
      </c>
      <c r="U109" s="171">
        <f>SUMIF('CF(M)'!$L$10:$EQ$10,U$6,'CF(M)'!$L114:$EQ114)</f>
        <v>0</v>
      </c>
      <c r="V109" s="171">
        <f>SUMIF('CF(M)'!$L$10:$EQ$10,V$6,'CF(M)'!$L114:$EQ114)</f>
        <v>0</v>
      </c>
      <c r="W109" s="171">
        <f>SUMIF('CF(M)'!$L$10:$EQ$10,W$6,'CF(M)'!$L114:$EQ114)</f>
        <v>0</v>
      </c>
      <c r="X109" s="171">
        <f>SUMIF('CF(M)'!$L$10:$EQ$10,X$6,'CF(M)'!$L114:$EQ114)</f>
        <v>0</v>
      </c>
      <c r="Y109" s="171">
        <f>SUMIF('CF(M)'!$L$10:$EQ$10,Y$6,'CF(M)'!$L114:$EQ114)</f>
        <v>0</v>
      </c>
      <c r="Z109" s="171">
        <f>SUMIF('CF(M)'!$L$10:$EQ$10,Z$6,'CF(M)'!$L114:$EQ114)</f>
        <v>0</v>
      </c>
      <c r="AA109" s="171">
        <f>SUMIF('CF(M)'!$L$10:$EQ$10,AA$6,'CF(M)'!$L114:$EQ114)</f>
        <v>0</v>
      </c>
      <c r="AB109" s="171">
        <f>SUMIF('CF(M)'!$L$10:$EQ$10,AB$6,'CF(M)'!$L114:$EQ114)</f>
        <v>0</v>
      </c>
      <c r="AC109" s="171">
        <f>SUMIF('CF(M)'!$L$10:$EQ$10,AC$6,'CF(M)'!$L114:$EQ114)</f>
        <v>0</v>
      </c>
      <c r="AD109" s="171">
        <f>SUMIF('CF(M)'!$L$10:$EQ$10,AD$6,'CF(M)'!$L114:$EQ114)</f>
        <v>0</v>
      </c>
      <c r="AE109" s="171">
        <f>SUMIF('CF(M)'!$L$10:$EQ$10,AE$6,'CF(M)'!$L114:$EQ114)</f>
        <v>0</v>
      </c>
      <c r="AF109" s="171">
        <f>SUMIF('CF(M)'!$L$10:$EQ$10,AF$6,'CF(M)'!$L114:$EQ114)</f>
        <v>-47070453.350267738</v>
      </c>
      <c r="AG109" s="171">
        <f>SUMIF('CF(M)'!$L$10:$EQ$10,AG$6,'CF(M)'!$L114:$EQ114)</f>
        <v>0</v>
      </c>
      <c r="AH109" s="171">
        <f>SUMIF('CF(M)'!$L$10:$EQ$10,AH$6,'CF(M)'!$L114:$EQ114)</f>
        <v>0</v>
      </c>
      <c r="AI109" s="171">
        <f>SUMIF('CF(M)'!$L$10:$EQ$10,AI$6,'CF(M)'!$L114:$EQ114)</f>
        <v>0</v>
      </c>
      <c r="AJ109" s="171">
        <f>SUMIF('CF(M)'!$L$10:$EQ$10,AJ$6,'CF(M)'!$L114:$EQ114)</f>
        <v>0</v>
      </c>
      <c r="AK109" s="171">
        <f>SUMIF('CF(M)'!$L$10:$EQ$10,AK$6,'CF(M)'!$L114:$EQ114)</f>
        <v>0</v>
      </c>
      <c r="AL109" s="171">
        <f>SUMIF('CF(M)'!$L$10:$EQ$10,AL$6,'CF(M)'!$L114:$EQ114)</f>
        <v>0</v>
      </c>
      <c r="AM109" s="171">
        <f>SUMIF('CF(M)'!$L$10:$EQ$10,AM$6,'CF(M)'!$L114:$EQ114)</f>
        <v>0</v>
      </c>
      <c r="AN109" s="171">
        <f>SUMIF('CF(M)'!$L$10:$EQ$10,AN$6,'CF(M)'!$L114:$EQ114)</f>
        <v>0</v>
      </c>
      <c r="AO109" s="171">
        <f>SUMIF('CF(M)'!$L$10:$EQ$10,AO$6,'CF(M)'!$L114:$EQ114)</f>
        <v>0</v>
      </c>
      <c r="AP109" s="171">
        <f>SUMIF('CF(M)'!$L$10:$EQ$10,AP$6,'CF(M)'!$L114:$EQ114)</f>
        <v>0</v>
      </c>
      <c r="AQ109" s="171">
        <f>SUMIF('CF(M)'!$L$10:$EQ$10,AQ$6,'CF(M)'!$L114:$EQ114)</f>
        <v>0</v>
      </c>
      <c r="AR109" s="171">
        <f>SUMIF('CF(M)'!$L$10:$EQ$10,AR$6,'CF(M)'!$L114:$EQ114)</f>
        <v>0</v>
      </c>
      <c r="AS109" s="171">
        <f>SUMIF('CF(M)'!$L$10:$EQ$10,AS$6,'CF(M)'!$L114:$EQ114)</f>
        <v>0</v>
      </c>
      <c r="AT109" s="171">
        <f>SUMIF('CF(M)'!$L$10:$EQ$10,AT$6,'CF(M)'!$L114:$EQ114)</f>
        <v>0</v>
      </c>
      <c r="AU109" s="171">
        <f>SUMIF('CF(M)'!$L$10:$EQ$10,AU$6,'CF(M)'!$L114:$EQ114)</f>
        <v>0</v>
      </c>
      <c r="AV109" s="171">
        <f>SUMIF('CF(M)'!$L$10:$EQ$10,AV$6,'CF(M)'!$L114:$EQ114)</f>
        <v>0</v>
      </c>
      <c r="AW109" s="171">
        <f>SUMIF('CF(M)'!$L$10:$EQ$10,AW$6,'CF(M)'!$L114:$EQ114)</f>
        <v>0</v>
      </c>
      <c r="AX109" s="171">
        <f>SUMIF('CF(M)'!$L$10:$EQ$10,AX$6,'CF(M)'!$L114:$EQ114)</f>
        <v>0</v>
      </c>
      <c r="AY109" s="171">
        <f>SUMIF('CF(M)'!$L$10:$EQ$10,AY$6,'CF(M)'!$L114:$EQ114)</f>
        <v>0</v>
      </c>
      <c r="AZ109" s="171">
        <f>SUMIF('CF(M)'!$L$10:$EQ$10,AZ$6,'CF(M)'!$L114:$EQ114)</f>
        <v>0</v>
      </c>
      <c r="BA109" s="171">
        <f>SUMIF('CF(M)'!$L$10:$EQ$10,BA$6,'CF(M)'!$L114:$EQ114)</f>
        <v>0</v>
      </c>
      <c r="BB109" s="171">
        <f>SUMIF('CF(M)'!$L$10:$EQ$10,BB$6,'CF(M)'!$L114:$EQ114)</f>
        <v>0</v>
      </c>
      <c r="BC109" s="171">
        <f>SUMIF('CF(M)'!$L$10:$EQ$10,BC$6,'CF(M)'!$L114:$EQ114)</f>
        <v>0</v>
      </c>
      <c r="BD109" s="171">
        <f>SUMIF('CF(M)'!$L$10:$EQ$10,BD$6,'CF(M)'!$L114:$EQ114)</f>
        <v>0</v>
      </c>
      <c r="BE109" s="171">
        <f>SUMIF('CF(M)'!$L$10:$EQ$10,BE$6,'CF(M)'!$L114:$EQ114)</f>
        <v>0</v>
      </c>
      <c r="BF109" s="171">
        <f>SUMIF('CF(M)'!$L$10:$EQ$10,BF$6,'CF(M)'!$L114:$EQ114)</f>
        <v>0</v>
      </c>
      <c r="BG109" s="171">
        <f>SUMIF('CF(M)'!$L$10:$EQ$10,BG$6,'CF(M)'!$L114:$EQ114)</f>
        <v>0</v>
      </c>
      <c r="BH109" s="171">
        <f>SUMIF('CF(M)'!$L$10:$EQ$10,BH$6,'CF(M)'!$L114:$EQ114)</f>
        <v>0</v>
      </c>
      <c r="BI109" s="171">
        <f>SUMIF('CF(M)'!$L$10:$EQ$10,BI$6,'CF(M)'!$L114:$EQ114)</f>
        <v>0</v>
      </c>
      <c r="BJ109" s="171">
        <f>SUMIF('CF(M)'!$L$10:$EQ$10,BJ$6,'CF(M)'!$L114:$EQ114)</f>
        <v>0</v>
      </c>
      <c r="BK109" s="171">
        <f>SUMIF('CF(M)'!$L$10:$EQ$10,BK$6,'CF(M)'!$L114:$EQ114)</f>
        <v>0</v>
      </c>
      <c r="BL109" s="171">
        <f>SUMIF('CF(M)'!$L$10:$EQ$10,BL$6,'CF(M)'!$L114:$EQ114)</f>
        <v>0</v>
      </c>
      <c r="BM109" s="171">
        <f>SUMIF('CF(M)'!$L$10:$EQ$10,BM$6,'CF(M)'!$L114:$EQ114)</f>
        <v>0</v>
      </c>
      <c r="BN109" s="171">
        <f>SUMIF('CF(M)'!$L$10:$EQ$10,BN$6,'CF(M)'!$L114:$EQ114)</f>
        <v>0</v>
      </c>
      <c r="BO109" s="171">
        <f>SUMIF('CF(M)'!$L$10:$EQ$10,BO$6,'CF(M)'!$L114:$EQ114)</f>
        <v>0</v>
      </c>
      <c r="BP109" s="171">
        <f>SUMIF('CF(M)'!$L$10:$EQ$10,BP$6,'CF(M)'!$L114:$EQ114)</f>
        <v>0</v>
      </c>
      <c r="BQ109" s="171">
        <f>SUMIF('CF(M)'!$L$10:$EQ$10,BQ$6,'CF(M)'!$L114:$EQ114)</f>
        <v>0</v>
      </c>
      <c r="BR109" s="171">
        <f>SUMIF('CF(M)'!$L$10:$EQ$10,BR$6,'CF(M)'!$L114:$EQ114)</f>
        <v>0</v>
      </c>
      <c r="BS109" s="171">
        <f>SUMIF('CF(M)'!$L$10:$EQ$10,BS$6,'CF(M)'!$L114:$EQ114)</f>
        <v>0</v>
      </c>
      <c r="BT109" s="171">
        <f>SUMIF('CF(M)'!$L$10:$EQ$10,BT$6,'CF(M)'!$L114:$EQ114)</f>
        <v>0</v>
      </c>
      <c r="BU109" s="171">
        <f>SUMIF('CF(M)'!$L$10:$EQ$10,BU$6,'CF(M)'!$L114:$EQ114)</f>
        <v>0</v>
      </c>
      <c r="BV109" s="171">
        <f>SUMIF('CF(M)'!$L$10:$EQ$10,BV$6,'CF(M)'!$L114:$EQ114)</f>
        <v>0</v>
      </c>
      <c r="BW109" s="171">
        <f>SUMIF('CF(M)'!$L$10:$EQ$10,BW$6,'CF(M)'!$L114:$EQ114)</f>
        <v>0</v>
      </c>
      <c r="BX109" s="171">
        <f>SUMIF('CF(M)'!$L$10:$EQ$10,BX$6,'CF(M)'!$L114:$EQ114)</f>
        <v>0</v>
      </c>
      <c r="BY109" s="171">
        <f>SUMIF('CF(M)'!$L$10:$EQ$10,BY$6,'CF(M)'!$L114:$EQ114)</f>
        <v>0</v>
      </c>
      <c r="BZ109" s="171">
        <f>SUMIF('CF(M)'!$L$10:$EQ$10,BZ$6,'CF(M)'!$L114:$EQ114)</f>
        <v>0</v>
      </c>
      <c r="CA109" s="171">
        <f>SUMIF('CF(M)'!$L$10:$EQ$10,CA$6,'CF(M)'!$L114:$EQ114)</f>
        <v>0</v>
      </c>
      <c r="CB109" s="171">
        <f>SUMIF('CF(M)'!$L$10:$EQ$10,CB$6,'CF(M)'!$L114:$EQ114)</f>
        <v>0</v>
      </c>
      <c r="CC109" s="171">
        <f>SUMIF('CF(M)'!$L$10:$EQ$10,CC$6,'CF(M)'!$L114:$EQ114)</f>
        <v>0</v>
      </c>
      <c r="CD109" s="171">
        <f>SUMIF('CF(M)'!$L$10:$EQ$10,CD$6,'CF(M)'!$L114:$EQ114)</f>
        <v>0</v>
      </c>
      <c r="CE109" s="171">
        <f>SUMIF('CF(M)'!$L$10:$EQ$10,CE$6,'CF(M)'!$L114:$EQ114)</f>
        <v>0</v>
      </c>
      <c r="CF109" s="171">
        <f>SUMIF('CF(M)'!$L$10:$EQ$10,CF$6,'CF(M)'!$L114:$EQ114)</f>
        <v>0</v>
      </c>
      <c r="CG109" s="171">
        <f>SUMIF('CF(M)'!$L$10:$EQ$10,CG$6,'CF(M)'!$L114:$EQ114)</f>
        <v>0</v>
      </c>
      <c r="CH109" s="171">
        <f>SUMIF('CF(M)'!$L$10:$EQ$10,CH$6,'CF(M)'!$L114:$EQ114)</f>
        <v>0</v>
      </c>
      <c r="CI109" s="171">
        <f>SUMIF('CF(M)'!$L$10:$EQ$10,CI$6,'CF(M)'!$L114:$EQ114)</f>
        <v>0</v>
      </c>
      <c r="CJ109" s="171">
        <f>SUMIF('CF(M)'!$L$10:$EQ$10,CJ$6,'CF(M)'!$L114:$EQ114)</f>
        <v>0</v>
      </c>
      <c r="CK109" s="171">
        <f>SUMIF('CF(M)'!$L$10:$EQ$10,CK$6,'CF(M)'!$L114:$EQ114)</f>
        <v>0</v>
      </c>
      <c r="CL109" s="171">
        <f>SUMIF('CF(M)'!$L$10:$EQ$10,CL$6,'CF(M)'!$L114:$EQ114)</f>
        <v>0</v>
      </c>
      <c r="CM109" s="171">
        <f>SUMIF('CF(M)'!$L$10:$EQ$10,CM$6,'CF(M)'!$L114:$EQ114)</f>
        <v>0</v>
      </c>
      <c r="CN109" s="171">
        <f>SUMIF('CF(M)'!$L$10:$EQ$10,CN$6,'CF(M)'!$L114:$EQ114)</f>
        <v>0</v>
      </c>
      <c r="CO109" s="171">
        <f>SUMIF('CF(M)'!$L$10:$EQ$10,CO$6,'CF(M)'!$L114:$EQ114)</f>
        <v>0</v>
      </c>
      <c r="CP109" s="171">
        <f>SUMIF('CF(M)'!$L$10:$EQ$10,CP$6,'CF(M)'!$L114:$EQ114)</f>
        <v>0</v>
      </c>
      <c r="CQ109" s="171">
        <f>SUMIF('CF(M)'!$L$10:$EQ$10,CQ$6,'CF(M)'!$L114:$EQ114)</f>
        <v>0</v>
      </c>
      <c r="CR109" s="171">
        <f>SUMIF('CF(M)'!$L$10:$EQ$10,CR$6,'CF(M)'!$L114:$EQ114)</f>
        <v>0</v>
      </c>
      <c r="CS109" s="171">
        <f>SUMIF('CF(M)'!$L$10:$EQ$10,CS$6,'CF(M)'!$L114:$EQ114)</f>
        <v>0</v>
      </c>
      <c r="CT109" s="171">
        <f>SUMIF('CF(M)'!$L$10:$EQ$10,CT$6,'CF(M)'!$L114:$EQ114)</f>
        <v>0</v>
      </c>
      <c r="CU109" s="171">
        <f>SUMIF('CF(M)'!$L$10:$EQ$10,CU$6,'CF(M)'!$L114:$EQ114)</f>
        <v>0</v>
      </c>
      <c r="CV109" s="171">
        <f>SUMIF('CF(M)'!$L$10:$EQ$10,CV$6,'CF(M)'!$L114:$EQ114)</f>
        <v>0</v>
      </c>
      <c r="CW109" s="171">
        <f>SUMIF('CF(M)'!$L$10:$EQ$10,CW$6,'CF(M)'!$L114:$EQ114)</f>
        <v>0</v>
      </c>
      <c r="CX109" s="171">
        <f>SUMIF('CF(M)'!$L$10:$EQ$10,CX$6,'CF(M)'!$L114:$EQ114)</f>
        <v>0</v>
      </c>
      <c r="CY109" s="171">
        <f>SUMIF('CF(M)'!$L$10:$EQ$10,CY$6,'CF(M)'!$L114:$EQ114)</f>
        <v>0</v>
      </c>
      <c r="CZ109" s="171">
        <f>SUMIF('CF(M)'!$L$10:$EQ$10,CZ$6,'CF(M)'!$L114:$EQ114)</f>
        <v>0</v>
      </c>
      <c r="DA109" s="171">
        <f>SUMIF('CF(M)'!$L$10:$EQ$10,DA$6,'CF(M)'!$L114:$EQ114)</f>
        <v>0</v>
      </c>
      <c r="DB109" s="171">
        <f>SUMIF('CF(M)'!$L$10:$EQ$10,DB$6,'CF(M)'!$L114:$EQ114)</f>
        <v>0</v>
      </c>
      <c r="DC109" s="171">
        <f>SUMIF('CF(M)'!$L$10:$EQ$10,DC$6,'CF(M)'!$L114:$EQ114)</f>
        <v>0</v>
      </c>
      <c r="DD109" s="171">
        <f>SUMIF('CF(M)'!$L$10:$EQ$10,DD$6,'CF(M)'!$L114:$EQ114)</f>
        <v>0</v>
      </c>
      <c r="DE109" s="171">
        <f>SUMIF('CF(M)'!$L$10:$EQ$10,DE$6,'CF(M)'!$L114:$EQ114)</f>
        <v>0</v>
      </c>
      <c r="DF109" s="171">
        <f>SUMIF('CF(M)'!$L$10:$EQ$10,DF$6,'CF(M)'!$L114:$EQ114)</f>
        <v>0</v>
      </c>
      <c r="DG109" s="171">
        <f>SUMIF('CF(M)'!$L$10:$EQ$10,DG$6,'CF(M)'!$L114:$EQ114)</f>
        <v>0</v>
      </c>
      <c r="DH109" s="171">
        <f>SUMIF('CF(M)'!$L$10:$EQ$10,DH$6,'CF(M)'!$L114:$EQ114)</f>
        <v>0</v>
      </c>
      <c r="DI109" s="171">
        <f>SUMIF('CF(M)'!$L$10:$EQ$10,DI$6,'CF(M)'!$L114:$EQ114)</f>
        <v>0</v>
      </c>
      <c r="DJ109" s="171">
        <f>SUMIF('CF(M)'!$L$10:$EQ$10,DJ$6,'CF(M)'!$L114:$EQ114)</f>
        <v>0</v>
      </c>
      <c r="DK109" s="171">
        <f>SUMIF('CF(M)'!$L$10:$EQ$10,DK$6,'CF(M)'!$L114:$EQ114)</f>
        <v>0</v>
      </c>
      <c r="DL109" s="171">
        <f>SUMIF('CF(M)'!$L$10:$EQ$10,DL$6,'CF(M)'!$L114:$EQ114)</f>
        <v>0</v>
      </c>
      <c r="DM109" s="171">
        <f>SUMIF('CF(M)'!$L$10:$EQ$10,DM$6,'CF(M)'!$L114:$EQ114)</f>
        <v>0</v>
      </c>
      <c r="DN109" s="171">
        <f>SUMIF('CF(M)'!$L$10:$EQ$10,DN$6,'CF(M)'!$L114:$EQ114)</f>
        <v>0</v>
      </c>
      <c r="DO109" s="171">
        <f>SUMIF('CF(M)'!$L$10:$EQ$10,DO$6,'CF(M)'!$L114:$EQ114)</f>
        <v>0</v>
      </c>
      <c r="DP109" s="171">
        <f>SUMIF('CF(M)'!$L$10:$EQ$10,DP$6,'CF(M)'!$L114:$EQ114)</f>
        <v>0</v>
      </c>
      <c r="DQ109" s="171">
        <f>SUMIF('CF(M)'!$L$10:$EQ$10,DQ$6,'CF(M)'!$L114:$EQ114)</f>
        <v>0</v>
      </c>
      <c r="DR109" s="171">
        <f>SUMIF('CF(M)'!$L$10:$EQ$10,DR$6,'CF(M)'!$L114:$EQ114)</f>
        <v>0</v>
      </c>
      <c r="DS109" s="171">
        <f>SUMIF('CF(M)'!$L$10:$EQ$10,DS$6,'CF(M)'!$L114:$EQ114)</f>
        <v>0</v>
      </c>
      <c r="DT109" s="171">
        <f>SUMIF('CF(M)'!$L$10:$EQ$10,DT$6,'CF(M)'!$L114:$EQ114)</f>
        <v>0</v>
      </c>
      <c r="DU109" s="171">
        <f>SUMIF('CF(M)'!$L$10:$EQ$10,DU$6,'CF(M)'!$L114:$EQ114)</f>
        <v>0</v>
      </c>
      <c r="DV109" s="171">
        <f>SUMIF('CF(M)'!$L$10:$EQ$10,DV$6,'CF(M)'!$L114:$EQ114)</f>
        <v>0</v>
      </c>
    </row>
    <row r="110" spans="2:126" ht="11.25" customHeight="1">
      <c r="B110" s="218"/>
      <c r="C110" s="158" t="str">
        <f>'CF(M)'!C115</f>
        <v>열후주</v>
      </c>
      <c r="D110" s="159"/>
      <c r="E110" s="159"/>
      <c r="F110" s="159"/>
      <c r="G110" s="159"/>
      <c r="H110" s="160"/>
      <c r="I110" s="219"/>
      <c r="J110" s="220">
        <f>SUM(J111:J114)</f>
        <v>0</v>
      </c>
      <c r="K110" s="98"/>
      <c r="L110" s="162">
        <f>SUM(L111:L114)</f>
        <v>0</v>
      </c>
      <c r="M110" s="162">
        <f t="shared" ref="M110:BX110" si="53">SUM(M111:M114)</f>
        <v>0</v>
      </c>
      <c r="N110" s="162">
        <f t="shared" si="53"/>
        <v>0</v>
      </c>
      <c r="O110" s="162">
        <f t="shared" si="53"/>
        <v>0</v>
      </c>
      <c r="P110" s="162">
        <f t="shared" si="53"/>
        <v>0</v>
      </c>
      <c r="Q110" s="162">
        <f t="shared" si="53"/>
        <v>0</v>
      </c>
      <c r="R110" s="162">
        <f t="shared" si="53"/>
        <v>0</v>
      </c>
      <c r="S110" s="162">
        <f t="shared" si="53"/>
        <v>0</v>
      </c>
      <c r="T110" s="162">
        <f t="shared" si="53"/>
        <v>0</v>
      </c>
      <c r="U110" s="162">
        <f t="shared" si="53"/>
        <v>0</v>
      </c>
      <c r="V110" s="162">
        <f t="shared" si="53"/>
        <v>0</v>
      </c>
      <c r="W110" s="162">
        <f t="shared" si="53"/>
        <v>0</v>
      </c>
      <c r="X110" s="162">
        <f t="shared" si="53"/>
        <v>0</v>
      </c>
      <c r="Y110" s="162">
        <f t="shared" si="53"/>
        <v>0</v>
      </c>
      <c r="Z110" s="162">
        <f t="shared" si="53"/>
        <v>0</v>
      </c>
      <c r="AA110" s="162">
        <f t="shared" si="53"/>
        <v>0</v>
      </c>
      <c r="AB110" s="162">
        <f t="shared" si="53"/>
        <v>0</v>
      </c>
      <c r="AC110" s="162">
        <f t="shared" si="53"/>
        <v>0</v>
      </c>
      <c r="AD110" s="162">
        <f t="shared" si="53"/>
        <v>0</v>
      </c>
      <c r="AE110" s="162">
        <f t="shared" si="53"/>
        <v>0</v>
      </c>
      <c r="AF110" s="162">
        <f t="shared" si="53"/>
        <v>0</v>
      </c>
      <c r="AG110" s="162">
        <f t="shared" si="53"/>
        <v>0</v>
      </c>
      <c r="AH110" s="162">
        <f t="shared" si="53"/>
        <v>0</v>
      </c>
      <c r="AI110" s="162">
        <f t="shared" si="53"/>
        <v>0</v>
      </c>
      <c r="AJ110" s="162">
        <f t="shared" si="53"/>
        <v>0</v>
      </c>
      <c r="AK110" s="162">
        <f t="shared" si="53"/>
        <v>0</v>
      </c>
      <c r="AL110" s="162">
        <f t="shared" si="53"/>
        <v>0</v>
      </c>
      <c r="AM110" s="162">
        <f t="shared" si="53"/>
        <v>0</v>
      </c>
      <c r="AN110" s="162">
        <f t="shared" si="53"/>
        <v>0</v>
      </c>
      <c r="AO110" s="162">
        <f t="shared" si="53"/>
        <v>0</v>
      </c>
      <c r="AP110" s="162">
        <f t="shared" si="53"/>
        <v>0</v>
      </c>
      <c r="AQ110" s="162">
        <f t="shared" si="53"/>
        <v>0</v>
      </c>
      <c r="AR110" s="162">
        <f t="shared" si="53"/>
        <v>0</v>
      </c>
      <c r="AS110" s="162">
        <f t="shared" si="53"/>
        <v>0</v>
      </c>
      <c r="AT110" s="162">
        <f t="shared" si="53"/>
        <v>0</v>
      </c>
      <c r="AU110" s="162">
        <f t="shared" si="53"/>
        <v>0</v>
      </c>
      <c r="AV110" s="162">
        <f t="shared" si="53"/>
        <v>0</v>
      </c>
      <c r="AW110" s="162">
        <f t="shared" si="53"/>
        <v>0</v>
      </c>
      <c r="AX110" s="162">
        <f t="shared" si="53"/>
        <v>0</v>
      </c>
      <c r="AY110" s="162">
        <f t="shared" si="53"/>
        <v>0</v>
      </c>
      <c r="AZ110" s="162">
        <f t="shared" si="53"/>
        <v>0</v>
      </c>
      <c r="BA110" s="162">
        <f t="shared" si="53"/>
        <v>0</v>
      </c>
      <c r="BB110" s="162">
        <f t="shared" si="53"/>
        <v>0</v>
      </c>
      <c r="BC110" s="162">
        <f t="shared" si="53"/>
        <v>0</v>
      </c>
      <c r="BD110" s="162">
        <f t="shared" si="53"/>
        <v>0</v>
      </c>
      <c r="BE110" s="162">
        <f t="shared" si="53"/>
        <v>0</v>
      </c>
      <c r="BF110" s="162">
        <f t="shared" si="53"/>
        <v>0</v>
      </c>
      <c r="BG110" s="162">
        <f t="shared" si="53"/>
        <v>0</v>
      </c>
      <c r="BH110" s="162">
        <f t="shared" si="53"/>
        <v>0</v>
      </c>
      <c r="BI110" s="162">
        <f t="shared" si="53"/>
        <v>0</v>
      </c>
      <c r="BJ110" s="162">
        <f t="shared" si="53"/>
        <v>0</v>
      </c>
      <c r="BK110" s="162">
        <f t="shared" si="53"/>
        <v>0</v>
      </c>
      <c r="BL110" s="162">
        <f t="shared" si="53"/>
        <v>0</v>
      </c>
      <c r="BM110" s="162">
        <f t="shared" si="53"/>
        <v>0</v>
      </c>
      <c r="BN110" s="162">
        <f t="shared" si="53"/>
        <v>0</v>
      </c>
      <c r="BO110" s="162">
        <f t="shared" si="53"/>
        <v>0</v>
      </c>
      <c r="BP110" s="162">
        <f t="shared" si="53"/>
        <v>0</v>
      </c>
      <c r="BQ110" s="162">
        <f t="shared" si="53"/>
        <v>0</v>
      </c>
      <c r="BR110" s="162">
        <f t="shared" si="53"/>
        <v>0</v>
      </c>
      <c r="BS110" s="162">
        <f t="shared" si="53"/>
        <v>0</v>
      </c>
      <c r="BT110" s="162">
        <f t="shared" si="53"/>
        <v>0</v>
      </c>
      <c r="BU110" s="162">
        <f t="shared" si="53"/>
        <v>0</v>
      </c>
      <c r="BV110" s="162">
        <f t="shared" si="53"/>
        <v>0</v>
      </c>
      <c r="BW110" s="162">
        <f t="shared" si="53"/>
        <v>0</v>
      </c>
      <c r="BX110" s="162">
        <f t="shared" si="53"/>
        <v>0</v>
      </c>
      <c r="BY110" s="162">
        <f t="shared" ref="BY110:DV110" si="54">SUM(BY111:BY114)</f>
        <v>0</v>
      </c>
      <c r="BZ110" s="162">
        <f t="shared" si="54"/>
        <v>0</v>
      </c>
      <c r="CA110" s="162">
        <f t="shared" si="54"/>
        <v>0</v>
      </c>
      <c r="CB110" s="162">
        <f t="shared" si="54"/>
        <v>0</v>
      </c>
      <c r="CC110" s="162">
        <f t="shared" si="54"/>
        <v>0</v>
      </c>
      <c r="CD110" s="162">
        <f t="shared" si="54"/>
        <v>0</v>
      </c>
      <c r="CE110" s="162">
        <f t="shared" si="54"/>
        <v>0</v>
      </c>
      <c r="CF110" s="162">
        <f t="shared" si="54"/>
        <v>0</v>
      </c>
      <c r="CG110" s="162">
        <f t="shared" si="54"/>
        <v>0</v>
      </c>
      <c r="CH110" s="162">
        <f t="shared" si="54"/>
        <v>0</v>
      </c>
      <c r="CI110" s="162">
        <f t="shared" si="54"/>
        <v>0</v>
      </c>
      <c r="CJ110" s="162">
        <f t="shared" si="54"/>
        <v>0</v>
      </c>
      <c r="CK110" s="162">
        <f t="shared" si="54"/>
        <v>0</v>
      </c>
      <c r="CL110" s="162">
        <f t="shared" si="54"/>
        <v>0</v>
      </c>
      <c r="CM110" s="162">
        <f t="shared" si="54"/>
        <v>0</v>
      </c>
      <c r="CN110" s="162">
        <f t="shared" si="54"/>
        <v>0</v>
      </c>
      <c r="CO110" s="162">
        <f t="shared" si="54"/>
        <v>0</v>
      </c>
      <c r="CP110" s="162">
        <f t="shared" si="54"/>
        <v>0</v>
      </c>
      <c r="CQ110" s="162">
        <f t="shared" si="54"/>
        <v>0</v>
      </c>
      <c r="CR110" s="162">
        <f t="shared" si="54"/>
        <v>0</v>
      </c>
      <c r="CS110" s="162">
        <f t="shared" si="54"/>
        <v>0</v>
      </c>
      <c r="CT110" s="162">
        <f t="shared" si="54"/>
        <v>0</v>
      </c>
      <c r="CU110" s="162">
        <f t="shared" si="54"/>
        <v>0</v>
      </c>
      <c r="CV110" s="162">
        <f t="shared" si="54"/>
        <v>0</v>
      </c>
      <c r="CW110" s="162">
        <f t="shared" si="54"/>
        <v>0</v>
      </c>
      <c r="CX110" s="162">
        <f t="shared" si="54"/>
        <v>0</v>
      </c>
      <c r="CY110" s="162">
        <f t="shared" si="54"/>
        <v>0</v>
      </c>
      <c r="CZ110" s="162">
        <f t="shared" si="54"/>
        <v>0</v>
      </c>
      <c r="DA110" s="162">
        <f t="shared" si="54"/>
        <v>0</v>
      </c>
      <c r="DB110" s="162">
        <f t="shared" si="54"/>
        <v>0</v>
      </c>
      <c r="DC110" s="162">
        <f t="shared" si="54"/>
        <v>0</v>
      </c>
      <c r="DD110" s="162">
        <f t="shared" si="54"/>
        <v>0</v>
      </c>
      <c r="DE110" s="162">
        <f t="shared" si="54"/>
        <v>0</v>
      </c>
      <c r="DF110" s="162">
        <f t="shared" si="54"/>
        <v>0</v>
      </c>
      <c r="DG110" s="162">
        <f t="shared" si="54"/>
        <v>0</v>
      </c>
      <c r="DH110" s="162">
        <f t="shared" si="54"/>
        <v>0</v>
      </c>
      <c r="DI110" s="162">
        <f t="shared" si="54"/>
        <v>0</v>
      </c>
      <c r="DJ110" s="162">
        <f t="shared" si="54"/>
        <v>0</v>
      </c>
      <c r="DK110" s="162">
        <f t="shared" si="54"/>
        <v>0</v>
      </c>
      <c r="DL110" s="162">
        <f t="shared" si="54"/>
        <v>0</v>
      </c>
      <c r="DM110" s="162">
        <f t="shared" si="54"/>
        <v>0</v>
      </c>
      <c r="DN110" s="162">
        <f t="shared" si="54"/>
        <v>0</v>
      </c>
      <c r="DO110" s="162">
        <f t="shared" si="54"/>
        <v>0</v>
      </c>
      <c r="DP110" s="162">
        <f t="shared" si="54"/>
        <v>0</v>
      </c>
      <c r="DQ110" s="162">
        <f t="shared" si="54"/>
        <v>0</v>
      </c>
      <c r="DR110" s="162">
        <f t="shared" si="54"/>
        <v>0</v>
      </c>
      <c r="DS110" s="162">
        <f t="shared" si="54"/>
        <v>0</v>
      </c>
      <c r="DT110" s="162">
        <f t="shared" si="54"/>
        <v>0</v>
      </c>
      <c r="DU110" s="162">
        <f t="shared" si="54"/>
        <v>0</v>
      </c>
      <c r="DV110" s="162">
        <f t="shared" si="54"/>
        <v>0</v>
      </c>
    </row>
    <row r="111" spans="2:126" ht="11.25" customHeight="1">
      <c r="B111" s="218"/>
      <c r="C111" s="163"/>
      <c r="D111" s="164" t="s">
        <v>208</v>
      </c>
      <c r="E111" s="165"/>
      <c r="F111" s="165"/>
      <c r="G111" s="165"/>
      <c r="H111" s="166"/>
      <c r="I111" s="228"/>
      <c r="J111" s="168">
        <f>SUM(L111:DV111)</f>
        <v>0</v>
      </c>
      <c r="K111" s="98"/>
      <c r="L111" s="168">
        <f>SUMIF('CF(M)'!$L$10:$EQ$10,L$6,'CF(M)'!$L116:$EQ116)</f>
        <v>0</v>
      </c>
      <c r="M111" s="168">
        <f>SUMIF('CF(M)'!$L$10:$EQ$10,M$6,'CF(M)'!$L116:$EQ116)</f>
        <v>0</v>
      </c>
      <c r="N111" s="168">
        <f>SUMIF('CF(M)'!$L$10:$EQ$10,N$6,'CF(M)'!$L116:$EQ116)</f>
        <v>0</v>
      </c>
      <c r="O111" s="168">
        <f>SUMIF('CF(M)'!$L$10:$EQ$10,O$6,'CF(M)'!$L116:$EQ116)</f>
        <v>0</v>
      </c>
      <c r="P111" s="168">
        <f>SUMIF('CF(M)'!$L$10:$EQ$10,P$6,'CF(M)'!$L116:$EQ116)</f>
        <v>0</v>
      </c>
      <c r="Q111" s="168">
        <f>SUMIF('CF(M)'!$L$10:$EQ$10,Q$6,'CF(M)'!$L116:$EQ116)</f>
        <v>0</v>
      </c>
      <c r="R111" s="168">
        <f>SUMIF('CF(M)'!$L$10:$EQ$10,R$6,'CF(M)'!$L116:$EQ116)</f>
        <v>0</v>
      </c>
      <c r="S111" s="168">
        <f>SUMIF('CF(M)'!$L$10:$EQ$10,S$6,'CF(M)'!$L116:$EQ116)</f>
        <v>0</v>
      </c>
      <c r="T111" s="168">
        <f>SUMIF('CF(M)'!$L$10:$EQ$10,T$6,'CF(M)'!$L116:$EQ116)</f>
        <v>0</v>
      </c>
      <c r="U111" s="168">
        <f>SUMIF('CF(M)'!$L$10:$EQ$10,U$6,'CF(M)'!$L116:$EQ116)</f>
        <v>0</v>
      </c>
      <c r="V111" s="168">
        <f>SUMIF('CF(M)'!$L$10:$EQ$10,V$6,'CF(M)'!$L116:$EQ116)</f>
        <v>0</v>
      </c>
      <c r="W111" s="168">
        <f>SUMIF('CF(M)'!$L$10:$EQ$10,W$6,'CF(M)'!$L116:$EQ116)</f>
        <v>0</v>
      </c>
      <c r="X111" s="168">
        <f>SUMIF('CF(M)'!$L$10:$EQ$10,X$6,'CF(M)'!$L116:$EQ116)</f>
        <v>0</v>
      </c>
      <c r="Y111" s="168">
        <f>SUMIF('CF(M)'!$L$10:$EQ$10,Y$6,'CF(M)'!$L116:$EQ116)</f>
        <v>0</v>
      </c>
      <c r="Z111" s="168">
        <f>SUMIF('CF(M)'!$L$10:$EQ$10,Z$6,'CF(M)'!$L116:$EQ116)</f>
        <v>0</v>
      </c>
      <c r="AA111" s="168">
        <f>SUMIF('CF(M)'!$L$10:$EQ$10,AA$6,'CF(M)'!$L116:$EQ116)</f>
        <v>0</v>
      </c>
      <c r="AB111" s="168">
        <f>SUMIF('CF(M)'!$L$10:$EQ$10,AB$6,'CF(M)'!$L116:$EQ116)</f>
        <v>0</v>
      </c>
      <c r="AC111" s="168">
        <f>SUMIF('CF(M)'!$L$10:$EQ$10,AC$6,'CF(M)'!$L116:$EQ116)</f>
        <v>0</v>
      </c>
      <c r="AD111" s="168">
        <f>SUMIF('CF(M)'!$L$10:$EQ$10,AD$6,'CF(M)'!$L116:$EQ116)</f>
        <v>0</v>
      </c>
      <c r="AE111" s="168">
        <f>SUMIF('CF(M)'!$L$10:$EQ$10,AE$6,'CF(M)'!$L116:$EQ116)</f>
        <v>0</v>
      </c>
      <c r="AF111" s="168">
        <f>SUMIF('CF(M)'!$L$10:$EQ$10,AF$6,'CF(M)'!$L116:$EQ116)</f>
        <v>0</v>
      </c>
      <c r="AG111" s="168">
        <f>SUMIF('CF(M)'!$L$10:$EQ$10,AG$6,'CF(M)'!$L116:$EQ116)</f>
        <v>0</v>
      </c>
      <c r="AH111" s="168">
        <f>SUMIF('CF(M)'!$L$10:$EQ$10,AH$6,'CF(M)'!$L116:$EQ116)</f>
        <v>0</v>
      </c>
      <c r="AI111" s="168">
        <f>SUMIF('CF(M)'!$L$10:$EQ$10,AI$6,'CF(M)'!$L116:$EQ116)</f>
        <v>0</v>
      </c>
      <c r="AJ111" s="168">
        <f>SUMIF('CF(M)'!$L$10:$EQ$10,AJ$6,'CF(M)'!$L116:$EQ116)</f>
        <v>0</v>
      </c>
      <c r="AK111" s="168">
        <f>SUMIF('CF(M)'!$L$10:$EQ$10,AK$6,'CF(M)'!$L116:$EQ116)</f>
        <v>0</v>
      </c>
      <c r="AL111" s="168">
        <f>SUMIF('CF(M)'!$L$10:$EQ$10,AL$6,'CF(M)'!$L116:$EQ116)</f>
        <v>0</v>
      </c>
      <c r="AM111" s="168">
        <f>SUMIF('CF(M)'!$L$10:$EQ$10,AM$6,'CF(M)'!$L116:$EQ116)</f>
        <v>0</v>
      </c>
      <c r="AN111" s="168">
        <f>SUMIF('CF(M)'!$L$10:$EQ$10,AN$6,'CF(M)'!$L116:$EQ116)</f>
        <v>0</v>
      </c>
      <c r="AO111" s="168">
        <f>SUMIF('CF(M)'!$L$10:$EQ$10,AO$6,'CF(M)'!$L116:$EQ116)</f>
        <v>0</v>
      </c>
      <c r="AP111" s="168">
        <f>SUMIF('CF(M)'!$L$10:$EQ$10,AP$6,'CF(M)'!$L116:$EQ116)</f>
        <v>0</v>
      </c>
      <c r="AQ111" s="168">
        <f>SUMIF('CF(M)'!$L$10:$EQ$10,AQ$6,'CF(M)'!$L116:$EQ116)</f>
        <v>0</v>
      </c>
      <c r="AR111" s="168">
        <f>SUMIF('CF(M)'!$L$10:$EQ$10,AR$6,'CF(M)'!$L116:$EQ116)</f>
        <v>0</v>
      </c>
      <c r="AS111" s="168">
        <f>SUMIF('CF(M)'!$L$10:$EQ$10,AS$6,'CF(M)'!$L116:$EQ116)</f>
        <v>0</v>
      </c>
      <c r="AT111" s="168">
        <f>SUMIF('CF(M)'!$L$10:$EQ$10,AT$6,'CF(M)'!$L116:$EQ116)</f>
        <v>0</v>
      </c>
      <c r="AU111" s="168">
        <f>SUMIF('CF(M)'!$L$10:$EQ$10,AU$6,'CF(M)'!$L116:$EQ116)</f>
        <v>0</v>
      </c>
      <c r="AV111" s="168">
        <f>SUMIF('CF(M)'!$L$10:$EQ$10,AV$6,'CF(M)'!$L116:$EQ116)</f>
        <v>0</v>
      </c>
      <c r="AW111" s="168">
        <f>SUMIF('CF(M)'!$L$10:$EQ$10,AW$6,'CF(M)'!$L116:$EQ116)</f>
        <v>0</v>
      </c>
      <c r="AX111" s="168">
        <f>SUMIF('CF(M)'!$L$10:$EQ$10,AX$6,'CF(M)'!$L116:$EQ116)</f>
        <v>0</v>
      </c>
      <c r="AY111" s="168">
        <f>SUMIF('CF(M)'!$L$10:$EQ$10,AY$6,'CF(M)'!$L116:$EQ116)</f>
        <v>0</v>
      </c>
      <c r="AZ111" s="168">
        <f>SUMIF('CF(M)'!$L$10:$EQ$10,AZ$6,'CF(M)'!$L116:$EQ116)</f>
        <v>0</v>
      </c>
      <c r="BA111" s="168">
        <f>SUMIF('CF(M)'!$L$10:$EQ$10,BA$6,'CF(M)'!$L116:$EQ116)</f>
        <v>0</v>
      </c>
      <c r="BB111" s="168">
        <f>SUMIF('CF(M)'!$L$10:$EQ$10,BB$6,'CF(M)'!$L116:$EQ116)</f>
        <v>0</v>
      </c>
      <c r="BC111" s="168">
        <f>SUMIF('CF(M)'!$L$10:$EQ$10,BC$6,'CF(M)'!$L116:$EQ116)</f>
        <v>0</v>
      </c>
      <c r="BD111" s="168">
        <f>SUMIF('CF(M)'!$L$10:$EQ$10,BD$6,'CF(M)'!$L116:$EQ116)</f>
        <v>0</v>
      </c>
      <c r="BE111" s="168">
        <f>SUMIF('CF(M)'!$L$10:$EQ$10,BE$6,'CF(M)'!$L116:$EQ116)</f>
        <v>0</v>
      </c>
      <c r="BF111" s="168">
        <f>SUMIF('CF(M)'!$L$10:$EQ$10,BF$6,'CF(M)'!$L116:$EQ116)</f>
        <v>0</v>
      </c>
      <c r="BG111" s="168">
        <f>SUMIF('CF(M)'!$L$10:$EQ$10,BG$6,'CF(M)'!$L116:$EQ116)</f>
        <v>0</v>
      </c>
      <c r="BH111" s="168">
        <f>SUMIF('CF(M)'!$L$10:$EQ$10,BH$6,'CF(M)'!$L116:$EQ116)</f>
        <v>0</v>
      </c>
      <c r="BI111" s="168">
        <f>SUMIF('CF(M)'!$L$10:$EQ$10,BI$6,'CF(M)'!$L116:$EQ116)</f>
        <v>0</v>
      </c>
      <c r="BJ111" s="168">
        <f>SUMIF('CF(M)'!$L$10:$EQ$10,BJ$6,'CF(M)'!$L116:$EQ116)</f>
        <v>0</v>
      </c>
      <c r="BK111" s="168">
        <f>SUMIF('CF(M)'!$L$10:$EQ$10,BK$6,'CF(M)'!$L116:$EQ116)</f>
        <v>0</v>
      </c>
      <c r="BL111" s="168">
        <f>SUMIF('CF(M)'!$L$10:$EQ$10,BL$6,'CF(M)'!$L116:$EQ116)</f>
        <v>0</v>
      </c>
      <c r="BM111" s="168">
        <f>SUMIF('CF(M)'!$L$10:$EQ$10,BM$6,'CF(M)'!$L116:$EQ116)</f>
        <v>0</v>
      </c>
      <c r="BN111" s="168">
        <f>SUMIF('CF(M)'!$L$10:$EQ$10,BN$6,'CF(M)'!$L116:$EQ116)</f>
        <v>0</v>
      </c>
      <c r="BO111" s="168">
        <f>SUMIF('CF(M)'!$L$10:$EQ$10,BO$6,'CF(M)'!$L116:$EQ116)</f>
        <v>0</v>
      </c>
      <c r="BP111" s="168">
        <f>SUMIF('CF(M)'!$L$10:$EQ$10,BP$6,'CF(M)'!$L116:$EQ116)</f>
        <v>0</v>
      </c>
      <c r="BQ111" s="168">
        <f>SUMIF('CF(M)'!$L$10:$EQ$10,BQ$6,'CF(M)'!$L116:$EQ116)</f>
        <v>0</v>
      </c>
      <c r="BR111" s="168">
        <f>SUMIF('CF(M)'!$L$10:$EQ$10,BR$6,'CF(M)'!$L116:$EQ116)</f>
        <v>0</v>
      </c>
      <c r="BS111" s="168">
        <f>SUMIF('CF(M)'!$L$10:$EQ$10,BS$6,'CF(M)'!$L116:$EQ116)</f>
        <v>0</v>
      </c>
      <c r="BT111" s="168">
        <f>SUMIF('CF(M)'!$L$10:$EQ$10,BT$6,'CF(M)'!$L116:$EQ116)</f>
        <v>0</v>
      </c>
      <c r="BU111" s="168">
        <f>SUMIF('CF(M)'!$L$10:$EQ$10,BU$6,'CF(M)'!$L116:$EQ116)</f>
        <v>0</v>
      </c>
      <c r="BV111" s="168">
        <f>SUMIF('CF(M)'!$L$10:$EQ$10,BV$6,'CF(M)'!$L116:$EQ116)</f>
        <v>0</v>
      </c>
      <c r="BW111" s="168">
        <f>SUMIF('CF(M)'!$L$10:$EQ$10,BW$6,'CF(M)'!$L116:$EQ116)</f>
        <v>0</v>
      </c>
      <c r="BX111" s="168">
        <f>SUMIF('CF(M)'!$L$10:$EQ$10,BX$6,'CF(M)'!$L116:$EQ116)</f>
        <v>0</v>
      </c>
      <c r="BY111" s="168">
        <f>SUMIF('CF(M)'!$L$10:$EQ$10,BY$6,'CF(M)'!$L116:$EQ116)</f>
        <v>0</v>
      </c>
      <c r="BZ111" s="168">
        <f>SUMIF('CF(M)'!$L$10:$EQ$10,BZ$6,'CF(M)'!$L116:$EQ116)</f>
        <v>0</v>
      </c>
      <c r="CA111" s="168">
        <f>SUMIF('CF(M)'!$L$10:$EQ$10,CA$6,'CF(M)'!$L116:$EQ116)</f>
        <v>0</v>
      </c>
      <c r="CB111" s="168">
        <f>SUMIF('CF(M)'!$L$10:$EQ$10,CB$6,'CF(M)'!$L116:$EQ116)</f>
        <v>0</v>
      </c>
      <c r="CC111" s="168">
        <f>SUMIF('CF(M)'!$L$10:$EQ$10,CC$6,'CF(M)'!$L116:$EQ116)</f>
        <v>0</v>
      </c>
      <c r="CD111" s="168">
        <f>SUMIF('CF(M)'!$L$10:$EQ$10,CD$6,'CF(M)'!$L116:$EQ116)</f>
        <v>0</v>
      </c>
      <c r="CE111" s="168">
        <f>SUMIF('CF(M)'!$L$10:$EQ$10,CE$6,'CF(M)'!$L116:$EQ116)</f>
        <v>0</v>
      </c>
      <c r="CF111" s="168">
        <f>SUMIF('CF(M)'!$L$10:$EQ$10,CF$6,'CF(M)'!$L116:$EQ116)</f>
        <v>0</v>
      </c>
      <c r="CG111" s="168">
        <f>SUMIF('CF(M)'!$L$10:$EQ$10,CG$6,'CF(M)'!$L116:$EQ116)</f>
        <v>0</v>
      </c>
      <c r="CH111" s="168">
        <f>SUMIF('CF(M)'!$L$10:$EQ$10,CH$6,'CF(M)'!$L116:$EQ116)</f>
        <v>0</v>
      </c>
      <c r="CI111" s="168">
        <f>SUMIF('CF(M)'!$L$10:$EQ$10,CI$6,'CF(M)'!$L116:$EQ116)</f>
        <v>0</v>
      </c>
      <c r="CJ111" s="168">
        <f>SUMIF('CF(M)'!$L$10:$EQ$10,CJ$6,'CF(M)'!$L116:$EQ116)</f>
        <v>0</v>
      </c>
      <c r="CK111" s="168">
        <f>SUMIF('CF(M)'!$L$10:$EQ$10,CK$6,'CF(M)'!$L116:$EQ116)</f>
        <v>0</v>
      </c>
      <c r="CL111" s="168">
        <f>SUMIF('CF(M)'!$L$10:$EQ$10,CL$6,'CF(M)'!$L116:$EQ116)</f>
        <v>0</v>
      </c>
      <c r="CM111" s="168">
        <f>SUMIF('CF(M)'!$L$10:$EQ$10,CM$6,'CF(M)'!$L116:$EQ116)</f>
        <v>0</v>
      </c>
      <c r="CN111" s="168">
        <f>SUMIF('CF(M)'!$L$10:$EQ$10,CN$6,'CF(M)'!$L116:$EQ116)</f>
        <v>0</v>
      </c>
      <c r="CO111" s="168">
        <f>SUMIF('CF(M)'!$L$10:$EQ$10,CO$6,'CF(M)'!$L116:$EQ116)</f>
        <v>0</v>
      </c>
      <c r="CP111" s="168">
        <f>SUMIF('CF(M)'!$L$10:$EQ$10,CP$6,'CF(M)'!$L116:$EQ116)</f>
        <v>0</v>
      </c>
      <c r="CQ111" s="168">
        <f>SUMIF('CF(M)'!$L$10:$EQ$10,CQ$6,'CF(M)'!$L116:$EQ116)</f>
        <v>0</v>
      </c>
      <c r="CR111" s="168">
        <f>SUMIF('CF(M)'!$L$10:$EQ$10,CR$6,'CF(M)'!$L116:$EQ116)</f>
        <v>0</v>
      </c>
      <c r="CS111" s="168">
        <f>SUMIF('CF(M)'!$L$10:$EQ$10,CS$6,'CF(M)'!$L116:$EQ116)</f>
        <v>0</v>
      </c>
      <c r="CT111" s="168">
        <f>SUMIF('CF(M)'!$L$10:$EQ$10,CT$6,'CF(M)'!$L116:$EQ116)</f>
        <v>0</v>
      </c>
      <c r="CU111" s="168">
        <f>SUMIF('CF(M)'!$L$10:$EQ$10,CU$6,'CF(M)'!$L116:$EQ116)</f>
        <v>0</v>
      </c>
      <c r="CV111" s="168">
        <f>SUMIF('CF(M)'!$L$10:$EQ$10,CV$6,'CF(M)'!$L116:$EQ116)</f>
        <v>0</v>
      </c>
      <c r="CW111" s="168">
        <f>SUMIF('CF(M)'!$L$10:$EQ$10,CW$6,'CF(M)'!$L116:$EQ116)</f>
        <v>0</v>
      </c>
      <c r="CX111" s="168">
        <f>SUMIF('CF(M)'!$L$10:$EQ$10,CX$6,'CF(M)'!$L116:$EQ116)</f>
        <v>0</v>
      </c>
      <c r="CY111" s="168">
        <f>SUMIF('CF(M)'!$L$10:$EQ$10,CY$6,'CF(M)'!$L116:$EQ116)</f>
        <v>0</v>
      </c>
      <c r="CZ111" s="168">
        <f>SUMIF('CF(M)'!$L$10:$EQ$10,CZ$6,'CF(M)'!$L116:$EQ116)</f>
        <v>0</v>
      </c>
      <c r="DA111" s="168">
        <f>SUMIF('CF(M)'!$L$10:$EQ$10,DA$6,'CF(M)'!$L116:$EQ116)</f>
        <v>0</v>
      </c>
      <c r="DB111" s="168">
        <f>SUMIF('CF(M)'!$L$10:$EQ$10,DB$6,'CF(M)'!$L116:$EQ116)</f>
        <v>0</v>
      </c>
      <c r="DC111" s="168">
        <f>SUMIF('CF(M)'!$L$10:$EQ$10,DC$6,'CF(M)'!$L116:$EQ116)</f>
        <v>0</v>
      </c>
      <c r="DD111" s="168">
        <f>SUMIF('CF(M)'!$L$10:$EQ$10,DD$6,'CF(M)'!$L116:$EQ116)</f>
        <v>0</v>
      </c>
      <c r="DE111" s="168">
        <f>SUMIF('CF(M)'!$L$10:$EQ$10,DE$6,'CF(M)'!$L116:$EQ116)</f>
        <v>0</v>
      </c>
      <c r="DF111" s="168">
        <f>SUMIF('CF(M)'!$L$10:$EQ$10,DF$6,'CF(M)'!$L116:$EQ116)</f>
        <v>0</v>
      </c>
      <c r="DG111" s="168">
        <f>SUMIF('CF(M)'!$L$10:$EQ$10,DG$6,'CF(M)'!$L116:$EQ116)</f>
        <v>0</v>
      </c>
      <c r="DH111" s="168">
        <f>SUMIF('CF(M)'!$L$10:$EQ$10,DH$6,'CF(M)'!$L116:$EQ116)</f>
        <v>0</v>
      </c>
      <c r="DI111" s="168">
        <f>SUMIF('CF(M)'!$L$10:$EQ$10,DI$6,'CF(M)'!$L116:$EQ116)</f>
        <v>0</v>
      </c>
      <c r="DJ111" s="168">
        <f>SUMIF('CF(M)'!$L$10:$EQ$10,DJ$6,'CF(M)'!$L116:$EQ116)</f>
        <v>0</v>
      </c>
      <c r="DK111" s="168">
        <f>SUMIF('CF(M)'!$L$10:$EQ$10,DK$6,'CF(M)'!$L116:$EQ116)</f>
        <v>0</v>
      </c>
      <c r="DL111" s="168">
        <f>SUMIF('CF(M)'!$L$10:$EQ$10,DL$6,'CF(M)'!$L116:$EQ116)</f>
        <v>0</v>
      </c>
      <c r="DM111" s="168">
        <f>SUMIF('CF(M)'!$L$10:$EQ$10,DM$6,'CF(M)'!$L116:$EQ116)</f>
        <v>0</v>
      </c>
      <c r="DN111" s="168">
        <f>SUMIF('CF(M)'!$L$10:$EQ$10,DN$6,'CF(M)'!$L116:$EQ116)</f>
        <v>0</v>
      </c>
      <c r="DO111" s="168">
        <f>SUMIF('CF(M)'!$L$10:$EQ$10,DO$6,'CF(M)'!$L116:$EQ116)</f>
        <v>0</v>
      </c>
      <c r="DP111" s="168">
        <f>SUMIF('CF(M)'!$L$10:$EQ$10,DP$6,'CF(M)'!$L116:$EQ116)</f>
        <v>0</v>
      </c>
      <c r="DQ111" s="168">
        <f>SUMIF('CF(M)'!$L$10:$EQ$10,DQ$6,'CF(M)'!$L116:$EQ116)</f>
        <v>0</v>
      </c>
      <c r="DR111" s="168">
        <f>SUMIF('CF(M)'!$L$10:$EQ$10,DR$6,'CF(M)'!$L116:$EQ116)</f>
        <v>0</v>
      </c>
      <c r="DS111" s="168">
        <f>SUMIF('CF(M)'!$L$10:$EQ$10,DS$6,'CF(M)'!$L116:$EQ116)</f>
        <v>0</v>
      </c>
      <c r="DT111" s="168">
        <f>SUMIF('CF(M)'!$L$10:$EQ$10,DT$6,'CF(M)'!$L116:$EQ116)</f>
        <v>0</v>
      </c>
      <c r="DU111" s="168">
        <f>SUMIF('CF(M)'!$L$10:$EQ$10,DU$6,'CF(M)'!$L116:$EQ116)</f>
        <v>0</v>
      </c>
      <c r="DV111" s="168">
        <f>SUMIF('CF(M)'!$L$10:$EQ$10,DV$6,'CF(M)'!$L116:$EQ116)</f>
        <v>0</v>
      </c>
    </row>
    <row r="112" spans="2:126" ht="11.25" customHeight="1">
      <c r="B112" s="218"/>
      <c r="C112" s="163"/>
      <c r="D112" s="169" t="s">
        <v>551</v>
      </c>
      <c r="H112" s="146"/>
      <c r="I112" s="229"/>
      <c r="J112" s="171">
        <f>SUM(L112:DV112)</f>
        <v>0</v>
      </c>
      <c r="K112" s="98"/>
      <c r="L112" s="171">
        <f>SUMIF('CF(M)'!$L$10:$EQ$10,L$6,'CF(M)'!$L117:$EQ117)</f>
        <v>0</v>
      </c>
      <c r="M112" s="171">
        <f>SUMIF('CF(M)'!$L$10:$EQ$10,M$6,'CF(M)'!$L117:$EQ117)</f>
        <v>0</v>
      </c>
      <c r="N112" s="171">
        <f>SUMIF('CF(M)'!$L$10:$EQ$10,N$6,'CF(M)'!$L117:$EQ117)</f>
        <v>0</v>
      </c>
      <c r="O112" s="171">
        <f>SUMIF('CF(M)'!$L$10:$EQ$10,O$6,'CF(M)'!$L117:$EQ117)</f>
        <v>0</v>
      </c>
      <c r="P112" s="171">
        <f>SUMIF('CF(M)'!$L$10:$EQ$10,P$6,'CF(M)'!$L117:$EQ117)</f>
        <v>0</v>
      </c>
      <c r="Q112" s="171">
        <f>SUMIF('CF(M)'!$L$10:$EQ$10,Q$6,'CF(M)'!$L117:$EQ117)</f>
        <v>0</v>
      </c>
      <c r="R112" s="171">
        <f>SUMIF('CF(M)'!$L$10:$EQ$10,R$6,'CF(M)'!$L117:$EQ117)</f>
        <v>0</v>
      </c>
      <c r="S112" s="171">
        <f>SUMIF('CF(M)'!$L$10:$EQ$10,S$6,'CF(M)'!$L117:$EQ117)</f>
        <v>0</v>
      </c>
      <c r="T112" s="171">
        <f>SUMIF('CF(M)'!$L$10:$EQ$10,T$6,'CF(M)'!$L117:$EQ117)</f>
        <v>0</v>
      </c>
      <c r="U112" s="171">
        <f>SUMIF('CF(M)'!$L$10:$EQ$10,U$6,'CF(M)'!$L117:$EQ117)</f>
        <v>0</v>
      </c>
      <c r="V112" s="171">
        <f>SUMIF('CF(M)'!$L$10:$EQ$10,V$6,'CF(M)'!$L117:$EQ117)</f>
        <v>0</v>
      </c>
      <c r="W112" s="171">
        <f>SUMIF('CF(M)'!$L$10:$EQ$10,W$6,'CF(M)'!$L117:$EQ117)</f>
        <v>0</v>
      </c>
      <c r="X112" s="171">
        <f>SUMIF('CF(M)'!$L$10:$EQ$10,X$6,'CF(M)'!$L117:$EQ117)</f>
        <v>0</v>
      </c>
      <c r="Y112" s="171">
        <f>SUMIF('CF(M)'!$L$10:$EQ$10,Y$6,'CF(M)'!$L117:$EQ117)</f>
        <v>0</v>
      </c>
      <c r="Z112" s="171">
        <f>SUMIF('CF(M)'!$L$10:$EQ$10,Z$6,'CF(M)'!$L117:$EQ117)</f>
        <v>0</v>
      </c>
      <c r="AA112" s="171">
        <f>SUMIF('CF(M)'!$L$10:$EQ$10,AA$6,'CF(M)'!$L117:$EQ117)</f>
        <v>0</v>
      </c>
      <c r="AB112" s="171">
        <f>SUMIF('CF(M)'!$L$10:$EQ$10,AB$6,'CF(M)'!$L117:$EQ117)</f>
        <v>0</v>
      </c>
      <c r="AC112" s="171">
        <f>SUMIF('CF(M)'!$L$10:$EQ$10,AC$6,'CF(M)'!$L117:$EQ117)</f>
        <v>0</v>
      </c>
      <c r="AD112" s="171">
        <f>SUMIF('CF(M)'!$L$10:$EQ$10,AD$6,'CF(M)'!$L117:$EQ117)</f>
        <v>0</v>
      </c>
      <c r="AE112" s="171">
        <f>SUMIF('CF(M)'!$L$10:$EQ$10,AE$6,'CF(M)'!$L117:$EQ117)</f>
        <v>0</v>
      </c>
      <c r="AF112" s="171">
        <f>SUMIF('CF(M)'!$L$10:$EQ$10,AF$6,'CF(M)'!$L117:$EQ117)</f>
        <v>0</v>
      </c>
      <c r="AG112" s="171">
        <f>SUMIF('CF(M)'!$L$10:$EQ$10,AG$6,'CF(M)'!$L117:$EQ117)</f>
        <v>0</v>
      </c>
      <c r="AH112" s="171">
        <f>SUMIF('CF(M)'!$L$10:$EQ$10,AH$6,'CF(M)'!$L117:$EQ117)</f>
        <v>0</v>
      </c>
      <c r="AI112" s="171">
        <f>SUMIF('CF(M)'!$L$10:$EQ$10,AI$6,'CF(M)'!$L117:$EQ117)</f>
        <v>0</v>
      </c>
      <c r="AJ112" s="171">
        <f>SUMIF('CF(M)'!$L$10:$EQ$10,AJ$6,'CF(M)'!$L117:$EQ117)</f>
        <v>0</v>
      </c>
      <c r="AK112" s="171">
        <f>SUMIF('CF(M)'!$L$10:$EQ$10,AK$6,'CF(M)'!$L117:$EQ117)</f>
        <v>0</v>
      </c>
      <c r="AL112" s="171">
        <f>SUMIF('CF(M)'!$L$10:$EQ$10,AL$6,'CF(M)'!$L117:$EQ117)</f>
        <v>0</v>
      </c>
      <c r="AM112" s="171">
        <f>SUMIF('CF(M)'!$L$10:$EQ$10,AM$6,'CF(M)'!$L117:$EQ117)</f>
        <v>0</v>
      </c>
      <c r="AN112" s="171">
        <f>SUMIF('CF(M)'!$L$10:$EQ$10,AN$6,'CF(M)'!$L117:$EQ117)</f>
        <v>0</v>
      </c>
      <c r="AO112" s="171">
        <f>SUMIF('CF(M)'!$L$10:$EQ$10,AO$6,'CF(M)'!$L117:$EQ117)</f>
        <v>0</v>
      </c>
      <c r="AP112" s="171">
        <f>SUMIF('CF(M)'!$L$10:$EQ$10,AP$6,'CF(M)'!$L117:$EQ117)</f>
        <v>0</v>
      </c>
      <c r="AQ112" s="171">
        <f>SUMIF('CF(M)'!$L$10:$EQ$10,AQ$6,'CF(M)'!$L117:$EQ117)</f>
        <v>0</v>
      </c>
      <c r="AR112" s="171">
        <f>SUMIF('CF(M)'!$L$10:$EQ$10,AR$6,'CF(M)'!$L117:$EQ117)</f>
        <v>0</v>
      </c>
      <c r="AS112" s="171">
        <f>SUMIF('CF(M)'!$L$10:$EQ$10,AS$6,'CF(M)'!$L117:$EQ117)</f>
        <v>0</v>
      </c>
      <c r="AT112" s="171">
        <f>SUMIF('CF(M)'!$L$10:$EQ$10,AT$6,'CF(M)'!$L117:$EQ117)</f>
        <v>0</v>
      </c>
      <c r="AU112" s="171">
        <f>SUMIF('CF(M)'!$L$10:$EQ$10,AU$6,'CF(M)'!$L117:$EQ117)</f>
        <v>0</v>
      </c>
      <c r="AV112" s="171">
        <f>SUMIF('CF(M)'!$L$10:$EQ$10,AV$6,'CF(M)'!$L117:$EQ117)</f>
        <v>0</v>
      </c>
      <c r="AW112" s="171">
        <f>SUMIF('CF(M)'!$L$10:$EQ$10,AW$6,'CF(M)'!$L117:$EQ117)</f>
        <v>0</v>
      </c>
      <c r="AX112" s="171">
        <f>SUMIF('CF(M)'!$L$10:$EQ$10,AX$6,'CF(M)'!$L117:$EQ117)</f>
        <v>0</v>
      </c>
      <c r="AY112" s="171">
        <f>SUMIF('CF(M)'!$L$10:$EQ$10,AY$6,'CF(M)'!$L117:$EQ117)</f>
        <v>0</v>
      </c>
      <c r="AZ112" s="171">
        <f>SUMIF('CF(M)'!$L$10:$EQ$10,AZ$6,'CF(M)'!$L117:$EQ117)</f>
        <v>0</v>
      </c>
      <c r="BA112" s="171">
        <f>SUMIF('CF(M)'!$L$10:$EQ$10,BA$6,'CF(M)'!$L117:$EQ117)</f>
        <v>0</v>
      </c>
      <c r="BB112" s="171">
        <f>SUMIF('CF(M)'!$L$10:$EQ$10,BB$6,'CF(M)'!$L117:$EQ117)</f>
        <v>0</v>
      </c>
      <c r="BC112" s="171">
        <f>SUMIF('CF(M)'!$L$10:$EQ$10,BC$6,'CF(M)'!$L117:$EQ117)</f>
        <v>0</v>
      </c>
      <c r="BD112" s="171">
        <f>SUMIF('CF(M)'!$L$10:$EQ$10,BD$6,'CF(M)'!$L117:$EQ117)</f>
        <v>0</v>
      </c>
      <c r="BE112" s="171">
        <f>SUMIF('CF(M)'!$L$10:$EQ$10,BE$6,'CF(M)'!$L117:$EQ117)</f>
        <v>0</v>
      </c>
      <c r="BF112" s="171">
        <f>SUMIF('CF(M)'!$L$10:$EQ$10,BF$6,'CF(M)'!$L117:$EQ117)</f>
        <v>0</v>
      </c>
      <c r="BG112" s="171">
        <f>SUMIF('CF(M)'!$L$10:$EQ$10,BG$6,'CF(M)'!$L117:$EQ117)</f>
        <v>0</v>
      </c>
      <c r="BH112" s="171">
        <f>SUMIF('CF(M)'!$L$10:$EQ$10,BH$6,'CF(M)'!$L117:$EQ117)</f>
        <v>0</v>
      </c>
      <c r="BI112" s="171">
        <f>SUMIF('CF(M)'!$L$10:$EQ$10,BI$6,'CF(M)'!$L117:$EQ117)</f>
        <v>0</v>
      </c>
      <c r="BJ112" s="171">
        <f>SUMIF('CF(M)'!$L$10:$EQ$10,BJ$6,'CF(M)'!$L117:$EQ117)</f>
        <v>0</v>
      </c>
      <c r="BK112" s="171">
        <f>SUMIF('CF(M)'!$L$10:$EQ$10,BK$6,'CF(M)'!$L117:$EQ117)</f>
        <v>0</v>
      </c>
      <c r="BL112" s="171">
        <f>SUMIF('CF(M)'!$L$10:$EQ$10,BL$6,'CF(M)'!$L117:$EQ117)</f>
        <v>0</v>
      </c>
      <c r="BM112" s="171">
        <f>SUMIF('CF(M)'!$L$10:$EQ$10,BM$6,'CF(M)'!$L117:$EQ117)</f>
        <v>0</v>
      </c>
      <c r="BN112" s="171">
        <f>SUMIF('CF(M)'!$L$10:$EQ$10,BN$6,'CF(M)'!$L117:$EQ117)</f>
        <v>0</v>
      </c>
      <c r="BO112" s="171">
        <f>SUMIF('CF(M)'!$L$10:$EQ$10,BO$6,'CF(M)'!$L117:$EQ117)</f>
        <v>0</v>
      </c>
      <c r="BP112" s="171">
        <f>SUMIF('CF(M)'!$L$10:$EQ$10,BP$6,'CF(M)'!$L117:$EQ117)</f>
        <v>0</v>
      </c>
      <c r="BQ112" s="171">
        <f>SUMIF('CF(M)'!$L$10:$EQ$10,BQ$6,'CF(M)'!$L117:$EQ117)</f>
        <v>0</v>
      </c>
      <c r="BR112" s="171">
        <f>SUMIF('CF(M)'!$L$10:$EQ$10,BR$6,'CF(M)'!$L117:$EQ117)</f>
        <v>0</v>
      </c>
      <c r="BS112" s="171">
        <f>SUMIF('CF(M)'!$L$10:$EQ$10,BS$6,'CF(M)'!$L117:$EQ117)</f>
        <v>0</v>
      </c>
      <c r="BT112" s="171">
        <f>SUMIF('CF(M)'!$L$10:$EQ$10,BT$6,'CF(M)'!$L117:$EQ117)</f>
        <v>0</v>
      </c>
      <c r="BU112" s="171">
        <f>SUMIF('CF(M)'!$L$10:$EQ$10,BU$6,'CF(M)'!$L117:$EQ117)</f>
        <v>0</v>
      </c>
      <c r="BV112" s="171">
        <f>SUMIF('CF(M)'!$L$10:$EQ$10,BV$6,'CF(M)'!$L117:$EQ117)</f>
        <v>0</v>
      </c>
      <c r="BW112" s="171">
        <f>SUMIF('CF(M)'!$L$10:$EQ$10,BW$6,'CF(M)'!$L117:$EQ117)</f>
        <v>0</v>
      </c>
      <c r="BX112" s="171">
        <f>SUMIF('CF(M)'!$L$10:$EQ$10,BX$6,'CF(M)'!$L117:$EQ117)</f>
        <v>0</v>
      </c>
      <c r="BY112" s="171">
        <f>SUMIF('CF(M)'!$L$10:$EQ$10,BY$6,'CF(M)'!$L117:$EQ117)</f>
        <v>0</v>
      </c>
      <c r="BZ112" s="171">
        <f>SUMIF('CF(M)'!$L$10:$EQ$10,BZ$6,'CF(M)'!$L117:$EQ117)</f>
        <v>0</v>
      </c>
      <c r="CA112" s="171">
        <f>SUMIF('CF(M)'!$L$10:$EQ$10,CA$6,'CF(M)'!$L117:$EQ117)</f>
        <v>0</v>
      </c>
      <c r="CB112" s="171">
        <f>SUMIF('CF(M)'!$L$10:$EQ$10,CB$6,'CF(M)'!$L117:$EQ117)</f>
        <v>0</v>
      </c>
      <c r="CC112" s="171">
        <f>SUMIF('CF(M)'!$L$10:$EQ$10,CC$6,'CF(M)'!$L117:$EQ117)</f>
        <v>0</v>
      </c>
      <c r="CD112" s="171">
        <f>SUMIF('CF(M)'!$L$10:$EQ$10,CD$6,'CF(M)'!$L117:$EQ117)</f>
        <v>0</v>
      </c>
      <c r="CE112" s="171">
        <f>SUMIF('CF(M)'!$L$10:$EQ$10,CE$6,'CF(M)'!$L117:$EQ117)</f>
        <v>0</v>
      </c>
      <c r="CF112" s="171">
        <f>SUMIF('CF(M)'!$L$10:$EQ$10,CF$6,'CF(M)'!$L117:$EQ117)</f>
        <v>0</v>
      </c>
      <c r="CG112" s="171">
        <f>SUMIF('CF(M)'!$L$10:$EQ$10,CG$6,'CF(M)'!$L117:$EQ117)</f>
        <v>0</v>
      </c>
      <c r="CH112" s="171">
        <f>SUMIF('CF(M)'!$L$10:$EQ$10,CH$6,'CF(M)'!$L117:$EQ117)</f>
        <v>0</v>
      </c>
      <c r="CI112" s="171">
        <f>SUMIF('CF(M)'!$L$10:$EQ$10,CI$6,'CF(M)'!$L117:$EQ117)</f>
        <v>0</v>
      </c>
      <c r="CJ112" s="171">
        <f>SUMIF('CF(M)'!$L$10:$EQ$10,CJ$6,'CF(M)'!$L117:$EQ117)</f>
        <v>0</v>
      </c>
      <c r="CK112" s="171">
        <f>SUMIF('CF(M)'!$L$10:$EQ$10,CK$6,'CF(M)'!$L117:$EQ117)</f>
        <v>0</v>
      </c>
      <c r="CL112" s="171">
        <f>SUMIF('CF(M)'!$L$10:$EQ$10,CL$6,'CF(M)'!$L117:$EQ117)</f>
        <v>0</v>
      </c>
      <c r="CM112" s="171">
        <f>SUMIF('CF(M)'!$L$10:$EQ$10,CM$6,'CF(M)'!$L117:$EQ117)</f>
        <v>0</v>
      </c>
      <c r="CN112" s="171">
        <f>SUMIF('CF(M)'!$L$10:$EQ$10,CN$6,'CF(M)'!$L117:$EQ117)</f>
        <v>0</v>
      </c>
      <c r="CO112" s="171">
        <f>SUMIF('CF(M)'!$L$10:$EQ$10,CO$6,'CF(M)'!$L117:$EQ117)</f>
        <v>0</v>
      </c>
      <c r="CP112" s="171">
        <f>SUMIF('CF(M)'!$L$10:$EQ$10,CP$6,'CF(M)'!$L117:$EQ117)</f>
        <v>0</v>
      </c>
      <c r="CQ112" s="171">
        <f>SUMIF('CF(M)'!$L$10:$EQ$10,CQ$6,'CF(M)'!$L117:$EQ117)</f>
        <v>0</v>
      </c>
      <c r="CR112" s="171">
        <f>SUMIF('CF(M)'!$L$10:$EQ$10,CR$6,'CF(M)'!$L117:$EQ117)</f>
        <v>0</v>
      </c>
      <c r="CS112" s="171">
        <f>SUMIF('CF(M)'!$L$10:$EQ$10,CS$6,'CF(M)'!$L117:$EQ117)</f>
        <v>0</v>
      </c>
      <c r="CT112" s="171">
        <f>SUMIF('CF(M)'!$L$10:$EQ$10,CT$6,'CF(M)'!$L117:$EQ117)</f>
        <v>0</v>
      </c>
      <c r="CU112" s="171">
        <f>SUMIF('CF(M)'!$L$10:$EQ$10,CU$6,'CF(M)'!$L117:$EQ117)</f>
        <v>0</v>
      </c>
      <c r="CV112" s="171">
        <f>SUMIF('CF(M)'!$L$10:$EQ$10,CV$6,'CF(M)'!$L117:$EQ117)</f>
        <v>0</v>
      </c>
      <c r="CW112" s="171">
        <f>SUMIF('CF(M)'!$L$10:$EQ$10,CW$6,'CF(M)'!$L117:$EQ117)</f>
        <v>0</v>
      </c>
      <c r="CX112" s="171">
        <f>SUMIF('CF(M)'!$L$10:$EQ$10,CX$6,'CF(M)'!$L117:$EQ117)</f>
        <v>0</v>
      </c>
      <c r="CY112" s="171">
        <f>SUMIF('CF(M)'!$L$10:$EQ$10,CY$6,'CF(M)'!$L117:$EQ117)</f>
        <v>0</v>
      </c>
      <c r="CZ112" s="171">
        <f>SUMIF('CF(M)'!$L$10:$EQ$10,CZ$6,'CF(M)'!$L117:$EQ117)</f>
        <v>0</v>
      </c>
      <c r="DA112" s="171">
        <f>SUMIF('CF(M)'!$L$10:$EQ$10,DA$6,'CF(M)'!$L117:$EQ117)</f>
        <v>0</v>
      </c>
      <c r="DB112" s="171">
        <f>SUMIF('CF(M)'!$L$10:$EQ$10,DB$6,'CF(M)'!$L117:$EQ117)</f>
        <v>0</v>
      </c>
      <c r="DC112" s="171">
        <f>SUMIF('CF(M)'!$L$10:$EQ$10,DC$6,'CF(M)'!$L117:$EQ117)</f>
        <v>0</v>
      </c>
      <c r="DD112" s="171">
        <f>SUMIF('CF(M)'!$L$10:$EQ$10,DD$6,'CF(M)'!$L117:$EQ117)</f>
        <v>0</v>
      </c>
      <c r="DE112" s="171">
        <f>SUMIF('CF(M)'!$L$10:$EQ$10,DE$6,'CF(M)'!$L117:$EQ117)</f>
        <v>0</v>
      </c>
      <c r="DF112" s="171">
        <f>SUMIF('CF(M)'!$L$10:$EQ$10,DF$6,'CF(M)'!$L117:$EQ117)</f>
        <v>0</v>
      </c>
      <c r="DG112" s="171">
        <f>SUMIF('CF(M)'!$L$10:$EQ$10,DG$6,'CF(M)'!$L117:$EQ117)</f>
        <v>0</v>
      </c>
      <c r="DH112" s="171">
        <f>SUMIF('CF(M)'!$L$10:$EQ$10,DH$6,'CF(M)'!$L117:$EQ117)</f>
        <v>0</v>
      </c>
      <c r="DI112" s="171">
        <f>SUMIF('CF(M)'!$L$10:$EQ$10,DI$6,'CF(M)'!$L117:$EQ117)</f>
        <v>0</v>
      </c>
      <c r="DJ112" s="171">
        <f>SUMIF('CF(M)'!$L$10:$EQ$10,DJ$6,'CF(M)'!$L117:$EQ117)</f>
        <v>0</v>
      </c>
      <c r="DK112" s="171">
        <f>SUMIF('CF(M)'!$L$10:$EQ$10,DK$6,'CF(M)'!$L117:$EQ117)</f>
        <v>0</v>
      </c>
      <c r="DL112" s="171">
        <f>SUMIF('CF(M)'!$L$10:$EQ$10,DL$6,'CF(M)'!$L117:$EQ117)</f>
        <v>0</v>
      </c>
      <c r="DM112" s="171">
        <f>SUMIF('CF(M)'!$L$10:$EQ$10,DM$6,'CF(M)'!$L117:$EQ117)</f>
        <v>0</v>
      </c>
      <c r="DN112" s="171">
        <f>SUMIF('CF(M)'!$L$10:$EQ$10,DN$6,'CF(M)'!$L117:$EQ117)</f>
        <v>0</v>
      </c>
      <c r="DO112" s="171">
        <f>SUMIF('CF(M)'!$L$10:$EQ$10,DO$6,'CF(M)'!$L117:$EQ117)</f>
        <v>0</v>
      </c>
      <c r="DP112" s="171">
        <f>SUMIF('CF(M)'!$L$10:$EQ$10,DP$6,'CF(M)'!$L117:$EQ117)</f>
        <v>0</v>
      </c>
      <c r="DQ112" s="171">
        <f>SUMIF('CF(M)'!$L$10:$EQ$10,DQ$6,'CF(M)'!$L117:$EQ117)</f>
        <v>0</v>
      </c>
      <c r="DR112" s="171">
        <f>SUMIF('CF(M)'!$L$10:$EQ$10,DR$6,'CF(M)'!$L117:$EQ117)</f>
        <v>0</v>
      </c>
      <c r="DS112" s="171">
        <f>SUMIF('CF(M)'!$L$10:$EQ$10,DS$6,'CF(M)'!$L117:$EQ117)</f>
        <v>0</v>
      </c>
      <c r="DT112" s="171">
        <f>SUMIF('CF(M)'!$L$10:$EQ$10,DT$6,'CF(M)'!$L117:$EQ117)</f>
        <v>0</v>
      </c>
      <c r="DU112" s="171">
        <f>SUMIF('CF(M)'!$L$10:$EQ$10,DU$6,'CF(M)'!$L117:$EQ117)</f>
        <v>0</v>
      </c>
      <c r="DV112" s="171">
        <f>SUMIF('CF(M)'!$L$10:$EQ$10,DV$6,'CF(M)'!$L117:$EQ117)</f>
        <v>0</v>
      </c>
    </row>
    <row r="113" spans="2:126" ht="11.25" customHeight="1">
      <c r="B113" s="218"/>
      <c r="C113" s="163"/>
      <c r="D113" s="169" t="s">
        <v>130</v>
      </c>
      <c r="H113" s="146"/>
      <c r="I113" s="229"/>
      <c r="J113" s="171">
        <f>SUM(L113:DV113)</f>
        <v>0</v>
      </c>
      <c r="K113" s="98"/>
      <c r="L113" s="171">
        <f>SUMIF('CF(M)'!$L$10:$EQ$10,L$6,'CF(M)'!$L118:$EQ118)</f>
        <v>0</v>
      </c>
      <c r="M113" s="171">
        <f>SUMIF('CF(M)'!$L$10:$EQ$10,M$6,'CF(M)'!$L118:$EQ118)</f>
        <v>0</v>
      </c>
      <c r="N113" s="171">
        <f>SUMIF('CF(M)'!$L$10:$EQ$10,N$6,'CF(M)'!$L118:$EQ118)</f>
        <v>0</v>
      </c>
      <c r="O113" s="171">
        <f>SUMIF('CF(M)'!$L$10:$EQ$10,O$6,'CF(M)'!$L118:$EQ118)</f>
        <v>0</v>
      </c>
      <c r="P113" s="171">
        <f>SUMIF('CF(M)'!$L$10:$EQ$10,P$6,'CF(M)'!$L118:$EQ118)</f>
        <v>0</v>
      </c>
      <c r="Q113" s="171">
        <f>SUMIF('CF(M)'!$L$10:$EQ$10,Q$6,'CF(M)'!$L118:$EQ118)</f>
        <v>0</v>
      </c>
      <c r="R113" s="171">
        <f>SUMIF('CF(M)'!$L$10:$EQ$10,R$6,'CF(M)'!$L118:$EQ118)</f>
        <v>0</v>
      </c>
      <c r="S113" s="171">
        <f>SUMIF('CF(M)'!$L$10:$EQ$10,S$6,'CF(M)'!$L118:$EQ118)</f>
        <v>0</v>
      </c>
      <c r="T113" s="171">
        <f>SUMIF('CF(M)'!$L$10:$EQ$10,T$6,'CF(M)'!$L118:$EQ118)</f>
        <v>0</v>
      </c>
      <c r="U113" s="171">
        <f>SUMIF('CF(M)'!$L$10:$EQ$10,U$6,'CF(M)'!$L118:$EQ118)</f>
        <v>0</v>
      </c>
      <c r="V113" s="171">
        <f>SUMIF('CF(M)'!$L$10:$EQ$10,V$6,'CF(M)'!$L118:$EQ118)</f>
        <v>0</v>
      </c>
      <c r="W113" s="171">
        <f>SUMIF('CF(M)'!$L$10:$EQ$10,W$6,'CF(M)'!$L118:$EQ118)</f>
        <v>0</v>
      </c>
      <c r="X113" s="171">
        <f>SUMIF('CF(M)'!$L$10:$EQ$10,X$6,'CF(M)'!$L118:$EQ118)</f>
        <v>0</v>
      </c>
      <c r="Y113" s="171">
        <f>SUMIF('CF(M)'!$L$10:$EQ$10,Y$6,'CF(M)'!$L118:$EQ118)</f>
        <v>0</v>
      </c>
      <c r="Z113" s="171">
        <f>SUMIF('CF(M)'!$L$10:$EQ$10,Z$6,'CF(M)'!$L118:$EQ118)</f>
        <v>0</v>
      </c>
      <c r="AA113" s="171">
        <f>SUMIF('CF(M)'!$L$10:$EQ$10,AA$6,'CF(M)'!$L118:$EQ118)</f>
        <v>0</v>
      </c>
      <c r="AB113" s="171">
        <f>SUMIF('CF(M)'!$L$10:$EQ$10,AB$6,'CF(M)'!$L118:$EQ118)</f>
        <v>0</v>
      </c>
      <c r="AC113" s="171">
        <f>SUMIF('CF(M)'!$L$10:$EQ$10,AC$6,'CF(M)'!$L118:$EQ118)</f>
        <v>0</v>
      </c>
      <c r="AD113" s="171">
        <f>SUMIF('CF(M)'!$L$10:$EQ$10,AD$6,'CF(M)'!$L118:$EQ118)</f>
        <v>0</v>
      </c>
      <c r="AE113" s="171">
        <f>SUMIF('CF(M)'!$L$10:$EQ$10,AE$6,'CF(M)'!$L118:$EQ118)</f>
        <v>0</v>
      </c>
      <c r="AF113" s="171">
        <f>SUMIF('CF(M)'!$L$10:$EQ$10,AF$6,'CF(M)'!$L118:$EQ118)</f>
        <v>0</v>
      </c>
      <c r="AG113" s="171">
        <f>SUMIF('CF(M)'!$L$10:$EQ$10,AG$6,'CF(M)'!$L118:$EQ118)</f>
        <v>0</v>
      </c>
      <c r="AH113" s="171">
        <f>SUMIF('CF(M)'!$L$10:$EQ$10,AH$6,'CF(M)'!$L118:$EQ118)</f>
        <v>0</v>
      </c>
      <c r="AI113" s="171">
        <f>SUMIF('CF(M)'!$L$10:$EQ$10,AI$6,'CF(M)'!$L118:$EQ118)</f>
        <v>0</v>
      </c>
      <c r="AJ113" s="171">
        <f>SUMIF('CF(M)'!$L$10:$EQ$10,AJ$6,'CF(M)'!$L118:$EQ118)</f>
        <v>0</v>
      </c>
      <c r="AK113" s="171">
        <f>SUMIF('CF(M)'!$L$10:$EQ$10,AK$6,'CF(M)'!$L118:$EQ118)</f>
        <v>0</v>
      </c>
      <c r="AL113" s="171">
        <f>SUMIF('CF(M)'!$L$10:$EQ$10,AL$6,'CF(M)'!$L118:$EQ118)</f>
        <v>0</v>
      </c>
      <c r="AM113" s="171">
        <f>SUMIF('CF(M)'!$L$10:$EQ$10,AM$6,'CF(M)'!$L118:$EQ118)</f>
        <v>0</v>
      </c>
      <c r="AN113" s="171">
        <f>SUMIF('CF(M)'!$L$10:$EQ$10,AN$6,'CF(M)'!$L118:$EQ118)</f>
        <v>0</v>
      </c>
      <c r="AO113" s="171">
        <f>SUMIF('CF(M)'!$L$10:$EQ$10,AO$6,'CF(M)'!$L118:$EQ118)</f>
        <v>0</v>
      </c>
      <c r="AP113" s="171">
        <f>SUMIF('CF(M)'!$L$10:$EQ$10,AP$6,'CF(M)'!$L118:$EQ118)</f>
        <v>0</v>
      </c>
      <c r="AQ113" s="171">
        <f>SUMIF('CF(M)'!$L$10:$EQ$10,AQ$6,'CF(M)'!$L118:$EQ118)</f>
        <v>0</v>
      </c>
      <c r="AR113" s="171">
        <f>SUMIF('CF(M)'!$L$10:$EQ$10,AR$6,'CF(M)'!$L118:$EQ118)</f>
        <v>0</v>
      </c>
      <c r="AS113" s="171">
        <f>SUMIF('CF(M)'!$L$10:$EQ$10,AS$6,'CF(M)'!$L118:$EQ118)</f>
        <v>0</v>
      </c>
      <c r="AT113" s="171">
        <f>SUMIF('CF(M)'!$L$10:$EQ$10,AT$6,'CF(M)'!$L118:$EQ118)</f>
        <v>0</v>
      </c>
      <c r="AU113" s="171">
        <f>SUMIF('CF(M)'!$L$10:$EQ$10,AU$6,'CF(M)'!$L118:$EQ118)</f>
        <v>0</v>
      </c>
      <c r="AV113" s="171">
        <f>SUMIF('CF(M)'!$L$10:$EQ$10,AV$6,'CF(M)'!$L118:$EQ118)</f>
        <v>0</v>
      </c>
      <c r="AW113" s="171">
        <f>SUMIF('CF(M)'!$L$10:$EQ$10,AW$6,'CF(M)'!$L118:$EQ118)</f>
        <v>0</v>
      </c>
      <c r="AX113" s="171">
        <f>SUMIF('CF(M)'!$L$10:$EQ$10,AX$6,'CF(M)'!$L118:$EQ118)</f>
        <v>0</v>
      </c>
      <c r="AY113" s="171">
        <f>SUMIF('CF(M)'!$L$10:$EQ$10,AY$6,'CF(M)'!$L118:$EQ118)</f>
        <v>0</v>
      </c>
      <c r="AZ113" s="171">
        <f>SUMIF('CF(M)'!$L$10:$EQ$10,AZ$6,'CF(M)'!$L118:$EQ118)</f>
        <v>0</v>
      </c>
      <c r="BA113" s="171">
        <f>SUMIF('CF(M)'!$L$10:$EQ$10,BA$6,'CF(M)'!$L118:$EQ118)</f>
        <v>0</v>
      </c>
      <c r="BB113" s="171">
        <f>SUMIF('CF(M)'!$L$10:$EQ$10,BB$6,'CF(M)'!$L118:$EQ118)</f>
        <v>0</v>
      </c>
      <c r="BC113" s="171">
        <f>SUMIF('CF(M)'!$L$10:$EQ$10,BC$6,'CF(M)'!$L118:$EQ118)</f>
        <v>0</v>
      </c>
      <c r="BD113" s="171">
        <f>SUMIF('CF(M)'!$L$10:$EQ$10,BD$6,'CF(M)'!$L118:$EQ118)</f>
        <v>0</v>
      </c>
      <c r="BE113" s="171">
        <f>SUMIF('CF(M)'!$L$10:$EQ$10,BE$6,'CF(M)'!$L118:$EQ118)</f>
        <v>0</v>
      </c>
      <c r="BF113" s="171">
        <f>SUMIF('CF(M)'!$L$10:$EQ$10,BF$6,'CF(M)'!$L118:$EQ118)</f>
        <v>0</v>
      </c>
      <c r="BG113" s="171">
        <f>SUMIF('CF(M)'!$L$10:$EQ$10,BG$6,'CF(M)'!$L118:$EQ118)</f>
        <v>0</v>
      </c>
      <c r="BH113" s="171">
        <f>SUMIF('CF(M)'!$L$10:$EQ$10,BH$6,'CF(M)'!$L118:$EQ118)</f>
        <v>0</v>
      </c>
      <c r="BI113" s="171">
        <f>SUMIF('CF(M)'!$L$10:$EQ$10,BI$6,'CF(M)'!$L118:$EQ118)</f>
        <v>0</v>
      </c>
      <c r="BJ113" s="171">
        <f>SUMIF('CF(M)'!$L$10:$EQ$10,BJ$6,'CF(M)'!$L118:$EQ118)</f>
        <v>0</v>
      </c>
      <c r="BK113" s="171">
        <f>SUMIF('CF(M)'!$L$10:$EQ$10,BK$6,'CF(M)'!$L118:$EQ118)</f>
        <v>0</v>
      </c>
      <c r="BL113" s="171">
        <f>SUMIF('CF(M)'!$L$10:$EQ$10,BL$6,'CF(M)'!$L118:$EQ118)</f>
        <v>0</v>
      </c>
      <c r="BM113" s="171">
        <f>SUMIF('CF(M)'!$L$10:$EQ$10,BM$6,'CF(M)'!$L118:$EQ118)</f>
        <v>0</v>
      </c>
      <c r="BN113" s="171">
        <f>SUMIF('CF(M)'!$L$10:$EQ$10,BN$6,'CF(M)'!$L118:$EQ118)</f>
        <v>0</v>
      </c>
      <c r="BO113" s="171">
        <f>SUMIF('CF(M)'!$L$10:$EQ$10,BO$6,'CF(M)'!$L118:$EQ118)</f>
        <v>0</v>
      </c>
      <c r="BP113" s="171">
        <f>SUMIF('CF(M)'!$L$10:$EQ$10,BP$6,'CF(M)'!$L118:$EQ118)</f>
        <v>0</v>
      </c>
      <c r="BQ113" s="171">
        <f>SUMIF('CF(M)'!$L$10:$EQ$10,BQ$6,'CF(M)'!$L118:$EQ118)</f>
        <v>0</v>
      </c>
      <c r="BR113" s="171">
        <f>SUMIF('CF(M)'!$L$10:$EQ$10,BR$6,'CF(M)'!$L118:$EQ118)</f>
        <v>0</v>
      </c>
      <c r="BS113" s="171">
        <f>SUMIF('CF(M)'!$L$10:$EQ$10,BS$6,'CF(M)'!$L118:$EQ118)</f>
        <v>0</v>
      </c>
      <c r="BT113" s="171">
        <f>SUMIF('CF(M)'!$L$10:$EQ$10,BT$6,'CF(M)'!$L118:$EQ118)</f>
        <v>0</v>
      </c>
      <c r="BU113" s="171">
        <f>SUMIF('CF(M)'!$L$10:$EQ$10,BU$6,'CF(M)'!$L118:$EQ118)</f>
        <v>0</v>
      </c>
      <c r="BV113" s="171">
        <f>SUMIF('CF(M)'!$L$10:$EQ$10,BV$6,'CF(M)'!$L118:$EQ118)</f>
        <v>0</v>
      </c>
      <c r="BW113" s="171">
        <f>SUMIF('CF(M)'!$L$10:$EQ$10,BW$6,'CF(M)'!$L118:$EQ118)</f>
        <v>0</v>
      </c>
      <c r="BX113" s="171">
        <f>SUMIF('CF(M)'!$L$10:$EQ$10,BX$6,'CF(M)'!$L118:$EQ118)</f>
        <v>0</v>
      </c>
      <c r="BY113" s="171">
        <f>SUMIF('CF(M)'!$L$10:$EQ$10,BY$6,'CF(M)'!$L118:$EQ118)</f>
        <v>0</v>
      </c>
      <c r="BZ113" s="171">
        <f>SUMIF('CF(M)'!$L$10:$EQ$10,BZ$6,'CF(M)'!$L118:$EQ118)</f>
        <v>0</v>
      </c>
      <c r="CA113" s="171">
        <f>SUMIF('CF(M)'!$L$10:$EQ$10,CA$6,'CF(M)'!$L118:$EQ118)</f>
        <v>0</v>
      </c>
      <c r="CB113" s="171">
        <f>SUMIF('CF(M)'!$L$10:$EQ$10,CB$6,'CF(M)'!$L118:$EQ118)</f>
        <v>0</v>
      </c>
      <c r="CC113" s="171">
        <f>SUMIF('CF(M)'!$L$10:$EQ$10,CC$6,'CF(M)'!$L118:$EQ118)</f>
        <v>0</v>
      </c>
      <c r="CD113" s="171">
        <f>SUMIF('CF(M)'!$L$10:$EQ$10,CD$6,'CF(M)'!$L118:$EQ118)</f>
        <v>0</v>
      </c>
      <c r="CE113" s="171">
        <f>SUMIF('CF(M)'!$L$10:$EQ$10,CE$6,'CF(M)'!$L118:$EQ118)</f>
        <v>0</v>
      </c>
      <c r="CF113" s="171">
        <f>SUMIF('CF(M)'!$L$10:$EQ$10,CF$6,'CF(M)'!$L118:$EQ118)</f>
        <v>0</v>
      </c>
      <c r="CG113" s="171">
        <f>SUMIF('CF(M)'!$L$10:$EQ$10,CG$6,'CF(M)'!$L118:$EQ118)</f>
        <v>0</v>
      </c>
      <c r="CH113" s="171">
        <f>SUMIF('CF(M)'!$L$10:$EQ$10,CH$6,'CF(M)'!$L118:$EQ118)</f>
        <v>0</v>
      </c>
      <c r="CI113" s="171">
        <f>SUMIF('CF(M)'!$L$10:$EQ$10,CI$6,'CF(M)'!$L118:$EQ118)</f>
        <v>0</v>
      </c>
      <c r="CJ113" s="171">
        <f>SUMIF('CF(M)'!$L$10:$EQ$10,CJ$6,'CF(M)'!$L118:$EQ118)</f>
        <v>0</v>
      </c>
      <c r="CK113" s="171">
        <f>SUMIF('CF(M)'!$L$10:$EQ$10,CK$6,'CF(M)'!$L118:$EQ118)</f>
        <v>0</v>
      </c>
      <c r="CL113" s="171">
        <f>SUMIF('CF(M)'!$L$10:$EQ$10,CL$6,'CF(M)'!$L118:$EQ118)</f>
        <v>0</v>
      </c>
      <c r="CM113" s="171">
        <f>SUMIF('CF(M)'!$L$10:$EQ$10,CM$6,'CF(M)'!$L118:$EQ118)</f>
        <v>0</v>
      </c>
      <c r="CN113" s="171">
        <f>SUMIF('CF(M)'!$L$10:$EQ$10,CN$6,'CF(M)'!$L118:$EQ118)</f>
        <v>0</v>
      </c>
      <c r="CO113" s="171">
        <f>SUMIF('CF(M)'!$L$10:$EQ$10,CO$6,'CF(M)'!$L118:$EQ118)</f>
        <v>0</v>
      </c>
      <c r="CP113" s="171">
        <f>SUMIF('CF(M)'!$L$10:$EQ$10,CP$6,'CF(M)'!$L118:$EQ118)</f>
        <v>0</v>
      </c>
      <c r="CQ113" s="171">
        <f>SUMIF('CF(M)'!$L$10:$EQ$10,CQ$6,'CF(M)'!$L118:$EQ118)</f>
        <v>0</v>
      </c>
      <c r="CR113" s="171">
        <f>SUMIF('CF(M)'!$L$10:$EQ$10,CR$6,'CF(M)'!$L118:$EQ118)</f>
        <v>0</v>
      </c>
      <c r="CS113" s="171">
        <f>SUMIF('CF(M)'!$L$10:$EQ$10,CS$6,'CF(M)'!$L118:$EQ118)</f>
        <v>0</v>
      </c>
      <c r="CT113" s="171">
        <f>SUMIF('CF(M)'!$L$10:$EQ$10,CT$6,'CF(M)'!$L118:$EQ118)</f>
        <v>0</v>
      </c>
      <c r="CU113" s="171">
        <f>SUMIF('CF(M)'!$L$10:$EQ$10,CU$6,'CF(M)'!$L118:$EQ118)</f>
        <v>0</v>
      </c>
      <c r="CV113" s="171">
        <f>SUMIF('CF(M)'!$L$10:$EQ$10,CV$6,'CF(M)'!$L118:$EQ118)</f>
        <v>0</v>
      </c>
      <c r="CW113" s="171">
        <f>SUMIF('CF(M)'!$L$10:$EQ$10,CW$6,'CF(M)'!$L118:$EQ118)</f>
        <v>0</v>
      </c>
      <c r="CX113" s="171">
        <f>SUMIF('CF(M)'!$L$10:$EQ$10,CX$6,'CF(M)'!$L118:$EQ118)</f>
        <v>0</v>
      </c>
      <c r="CY113" s="171">
        <f>SUMIF('CF(M)'!$L$10:$EQ$10,CY$6,'CF(M)'!$L118:$EQ118)</f>
        <v>0</v>
      </c>
      <c r="CZ113" s="171">
        <f>SUMIF('CF(M)'!$L$10:$EQ$10,CZ$6,'CF(M)'!$L118:$EQ118)</f>
        <v>0</v>
      </c>
      <c r="DA113" s="171">
        <f>SUMIF('CF(M)'!$L$10:$EQ$10,DA$6,'CF(M)'!$L118:$EQ118)</f>
        <v>0</v>
      </c>
      <c r="DB113" s="171">
        <f>SUMIF('CF(M)'!$L$10:$EQ$10,DB$6,'CF(M)'!$L118:$EQ118)</f>
        <v>0</v>
      </c>
      <c r="DC113" s="171">
        <f>SUMIF('CF(M)'!$L$10:$EQ$10,DC$6,'CF(M)'!$L118:$EQ118)</f>
        <v>0</v>
      </c>
      <c r="DD113" s="171">
        <f>SUMIF('CF(M)'!$L$10:$EQ$10,DD$6,'CF(M)'!$L118:$EQ118)</f>
        <v>0</v>
      </c>
      <c r="DE113" s="171">
        <f>SUMIF('CF(M)'!$L$10:$EQ$10,DE$6,'CF(M)'!$L118:$EQ118)</f>
        <v>0</v>
      </c>
      <c r="DF113" s="171">
        <f>SUMIF('CF(M)'!$L$10:$EQ$10,DF$6,'CF(M)'!$L118:$EQ118)</f>
        <v>0</v>
      </c>
      <c r="DG113" s="171">
        <f>SUMIF('CF(M)'!$L$10:$EQ$10,DG$6,'CF(M)'!$L118:$EQ118)</f>
        <v>0</v>
      </c>
      <c r="DH113" s="171">
        <f>SUMIF('CF(M)'!$L$10:$EQ$10,DH$6,'CF(M)'!$L118:$EQ118)</f>
        <v>0</v>
      </c>
      <c r="DI113" s="171">
        <f>SUMIF('CF(M)'!$L$10:$EQ$10,DI$6,'CF(M)'!$L118:$EQ118)</f>
        <v>0</v>
      </c>
      <c r="DJ113" s="171">
        <f>SUMIF('CF(M)'!$L$10:$EQ$10,DJ$6,'CF(M)'!$L118:$EQ118)</f>
        <v>0</v>
      </c>
      <c r="DK113" s="171">
        <f>SUMIF('CF(M)'!$L$10:$EQ$10,DK$6,'CF(M)'!$L118:$EQ118)</f>
        <v>0</v>
      </c>
      <c r="DL113" s="171">
        <f>SUMIF('CF(M)'!$L$10:$EQ$10,DL$6,'CF(M)'!$L118:$EQ118)</f>
        <v>0</v>
      </c>
      <c r="DM113" s="171">
        <f>SUMIF('CF(M)'!$L$10:$EQ$10,DM$6,'CF(M)'!$L118:$EQ118)</f>
        <v>0</v>
      </c>
      <c r="DN113" s="171">
        <f>SUMIF('CF(M)'!$L$10:$EQ$10,DN$6,'CF(M)'!$L118:$EQ118)</f>
        <v>0</v>
      </c>
      <c r="DO113" s="171">
        <f>SUMIF('CF(M)'!$L$10:$EQ$10,DO$6,'CF(M)'!$L118:$EQ118)</f>
        <v>0</v>
      </c>
      <c r="DP113" s="171">
        <f>SUMIF('CF(M)'!$L$10:$EQ$10,DP$6,'CF(M)'!$L118:$EQ118)</f>
        <v>0</v>
      </c>
      <c r="DQ113" s="171">
        <f>SUMIF('CF(M)'!$L$10:$EQ$10,DQ$6,'CF(M)'!$L118:$EQ118)</f>
        <v>0</v>
      </c>
      <c r="DR113" s="171">
        <f>SUMIF('CF(M)'!$L$10:$EQ$10,DR$6,'CF(M)'!$L118:$EQ118)</f>
        <v>0</v>
      </c>
      <c r="DS113" s="171">
        <f>SUMIF('CF(M)'!$L$10:$EQ$10,DS$6,'CF(M)'!$L118:$EQ118)</f>
        <v>0</v>
      </c>
      <c r="DT113" s="171">
        <f>SUMIF('CF(M)'!$L$10:$EQ$10,DT$6,'CF(M)'!$L118:$EQ118)</f>
        <v>0</v>
      </c>
      <c r="DU113" s="171">
        <f>SUMIF('CF(M)'!$L$10:$EQ$10,DU$6,'CF(M)'!$L118:$EQ118)</f>
        <v>0</v>
      </c>
      <c r="DV113" s="171">
        <f>SUMIF('CF(M)'!$L$10:$EQ$10,DV$6,'CF(M)'!$L118:$EQ118)</f>
        <v>0</v>
      </c>
    </row>
    <row r="114" spans="2:126" ht="11.25" customHeight="1">
      <c r="B114" s="218"/>
      <c r="C114" s="163"/>
      <c r="D114" s="169" t="s">
        <v>211</v>
      </c>
      <c r="G114" s="65"/>
      <c r="H114" s="146"/>
      <c r="I114" s="229"/>
      <c r="J114" s="171">
        <f>SUM(L114:DV114)</f>
        <v>0</v>
      </c>
      <c r="K114" s="98"/>
      <c r="L114" s="171">
        <f>SUMIF('CF(M)'!$L$10:$EQ$10,L$6,'CF(M)'!$L119:$EQ119)</f>
        <v>0</v>
      </c>
      <c r="M114" s="171">
        <f>SUMIF('CF(M)'!$L$10:$EQ$10,M$6,'CF(M)'!$L119:$EQ119)</f>
        <v>0</v>
      </c>
      <c r="N114" s="171">
        <f>SUMIF('CF(M)'!$L$10:$EQ$10,N$6,'CF(M)'!$L119:$EQ119)</f>
        <v>0</v>
      </c>
      <c r="O114" s="171">
        <f>SUMIF('CF(M)'!$L$10:$EQ$10,O$6,'CF(M)'!$L119:$EQ119)</f>
        <v>0</v>
      </c>
      <c r="P114" s="171">
        <f>SUMIF('CF(M)'!$L$10:$EQ$10,P$6,'CF(M)'!$L119:$EQ119)</f>
        <v>0</v>
      </c>
      <c r="Q114" s="171">
        <f>SUMIF('CF(M)'!$L$10:$EQ$10,Q$6,'CF(M)'!$L119:$EQ119)</f>
        <v>0</v>
      </c>
      <c r="R114" s="171">
        <f>SUMIF('CF(M)'!$L$10:$EQ$10,R$6,'CF(M)'!$L119:$EQ119)</f>
        <v>0</v>
      </c>
      <c r="S114" s="171">
        <f>SUMIF('CF(M)'!$L$10:$EQ$10,S$6,'CF(M)'!$L119:$EQ119)</f>
        <v>0</v>
      </c>
      <c r="T114" s="171">
        <f>SUMIF('CF(M)'!$L$10:$EQ$10,T$6,'CF(M)'!$L119:$EQ119)</f>
        <v>0</v>
      </c>
      <c r="U114" s="171">
        <f>SUMIF('CF(M)'!$L$10:$EQ$10,U$6,'CF(M)'!$L119:$EQ119)</f>
        <v>0</v>
      </c>
      <c r="V114" s="171">
        <f>SUMIF('CF(M)'!$L$10:$EQ$10,V$6,'CF(M)'!$L119:$EQ119)</f>
        <v>0</v>
      </c>
      <c r="W114" s="171">
        <f>SUMIF('CF(M)'!$L$10:$EQ$10,W$6,'CF(M)'!$L119:$EQ119)</f>
        <v>0</v>
      </c>
      <c r="X114" s="171">
        <f>SUMIF('CF(M)'!$L$10:$EQ$10,X$6,'CF(M)'!$L119:$EQ119)</f>
        <v>0</v>
      </c>
      <c r="Y114" s="171">
        <f>SUMIF('CF(M)'!$L$10:$EQ$10,Y$6,'CF(M)'!$L119:$EQ119)</f>
        <v>0</v>
      </c>
      <c r="Z114" s="171">
        <f>SUMIF('CF(M)'!$L$10:$EQ$10,Z$6,'CF(M)'!$L119:$EQ119)</f>
        <v>0</v>
      </c>
      <c r="AA114" s="171">
        <f>SUMIF('CF(M)'!$L$10:$EQ$10,AA$6,'CF(M)'!$L119:$EQ119)</f>
        <v>0</v>
      </c>
      <c r="AB114" s="171">
        <f>SUMIF('CF(M)'!$L$10:$EQ$10,AB$6,'CF(M)'!$L119:$EQ119)</f>
        <v>0</v>
      </c>
      <c r="AC114" s="171">
        <f>SUMIF('CF(M)'!$L$10:$EQ$10,AC$6,'CF(M)'!$L119:$EQ119)</f>
        <v>0</v>
      </c>
      <c r="AD114" s="171">
        <f>SUMIF('CF(M)'!$L$10:$EQ$10,AD$6,'CF(M)'!$L119:$EQ119)</f>
        <v>0</v>
      </c>
      <c r="AE114" s="171">
        <f>SUMIF('CF(M)'!$L$10:$EQ$10,AE$6,'CF(M)'!$L119:$EQ119)</f>
        <v>0</v>
      </c>
      <c r="AF114" s="171">
        <f>SUMIF('CF(M)'!$L$10:$EQ$10,AF$6,'CF(M)'!$L119:$EQ119)</f>
        <v>0</v>
      </c>
      <c r="AG114" s="171">
        <f>SUMIF('CF(M)'!$L$10:$EQ$10,AG$6,'CF(M)'!$L119:$EQ119)</f>
        <v>0</v>
      </c>
      <c r="AH114" s="171">
        <f>SUMIF('CF(M)'!$L$10:$EQ$10,AH$6,'CF(M)'!$L119:$EQ119)</f>
        <v>0</v>
      </c>
      <c r="AI114" s="171">
        <f>SUMIF('CF(M)'!$L$10:$EQ$10,AI$6,'CF(M)'!$L119:$EQ119)</f>
        <v>0</v>
      </c>
      <c r="AJ114" s="171">
        <f>SUMIF('CF(M)'!$L$10:$EQ$10,AJ$6,'CF(M)'!$L119:$EQ119)</f>
        <v>0</v>
      </c>
      <c r="AK114" s="171">
        <f>SUMIF('CF(M)'!$L$10:$EQ$10,AK$6,'CF(M)'!$L119:$EQ119)</f>
        <v>0</v>
      </c>
      <c r="AL114" s="171">
        <f>SUMIF('CF(M)'!$L$10:$EQ$10,AL$6,'CF(M)'!$L119:$EQ119)</f>
        <v>0</v>
      </c>
      <c r="AM114" s="171">
        <f>SUMIF('CF(M)'!$L$10:$EQ$10,AM$6,'CF(M)'!$L119:$EQ119)</f>
        <v>0</v>
      </c>
      <c r="AN114" s="171">
        <f>SUMIF('CF(M)'!$L$10:$EQ$10,AN$6,'CF(M)'!$L119:$EQ119)</f>
        <v>0</v>
      </c>
      <c r="AO114" s="171">
        <f>SUMIF('CF(M)'!$L$10:$EQ$10,AO$6,'CF(M)'!$L119:$EQ119)</f>
        <v>0</v>
      </c>
      <c r="AP114" s="171">
        <f>SUMIF('CF(M)'!$L$10:$EQ$10,AP$6,'CF(M)'!$L119:$EQ119)</f>
        <v>0</v>
      </c>
      <c r="AQ114" s="171">
        <f>SUMIF('CF(M)'!$L$10:$EQ$10,AQ$6,'CF(M)'!$L119:$EQ119)</f>
        <v>0</v>
      </c>
      <c r="AR114" s="171">
        <f>SUMIF('CF(M)'!$L$10:$EQ$10,AR$6,'CF(M)'!$L119:$EQ119)</f>
        <v>0</v>
      </c>
      <c r="AS114" s="171">
        <f>SUMIF('CF(M)'!$L$10:$EQ$10,AS$6,'CF(M)'!$L119:$EQ119)</f>
        <v>0</v>
      </c>
      <c r="AT114" s="171">
        <f>SUMIF('CF(M)'!$L$10:$EQ$10,AT$6,'CF(M)'!$L119:$EQ119)</f>
        <v>0</v>
      </c>
      <c r="AU114" s="171">
        <f>SUMIF('CF(M)'!$L$10:$EQ$10,AU$6,'CF(M)'!$L119:$EQ119)</f>
        <v>0</v>
      </c>
      <c r="AV114" s="171">
        <f>SUMIF('CF(M)'!$L$10:$EQ$10,AV$6,'CF(M)'!$L119:$EQ119)</f>
        <v>0</v>
      </c>
      <c r="AW114" s="171">
        <f>SUMIF('CF(M)'!$L$10:$EQ$10,AW$6,'CF(M)'!$L119:$EQ119)</f>
        <v>0</v>
      </c>
      <c r="AX114" s="171">
        <f>SUMIF('CF(M)'!$L$10:$EQ$10,AX$6,'CF(M)'!$L119:$EQ119)</f>
        <v>0</v>
      </c>
      <c r="AY114" s="171">
        <f>SUMIF('CF(M)'!$L$10:$EQ$10,AY$6,'CF(M)'!$L119:$EQ119)</f>
        <v>0</v>
      </c>
      <c r="AZ114" s="171">
        <f>SUMIF('CF(M)'!$L$10:$EQ$10,AZ$6,'CF(M)'!$L119:$EQ119)</f>
        <v>0</v>
      </c>
      <c r="BA114" s="171">
        <f>SUMIF('CF(M)'!$L$10:$EQ$10,BA$6,'CF(M)'!$L119:$EQ119)</f>
        <v>0</v>
      </c>
      <c r="BB114" s="171">
        <f>SUMIF('CF(M)'!$L$10:$EQ$10,BB$6,'CF(M)'!$L119:$EQ119)</f>
        <v>0</v>
      </c>
      <c r="BC114" s="171">
        <f>SUMIF('CF(M)'!$L$10:$EQ$10,BC$6,'CF(M)'!$L119:$EQ119)</f>
        <v>0</v>
      </c>
      <c r="BD114" s="171">
        <f>SUMIF('CF(M)'!$L$10:$EQ$10,BD$6,'CF(M)'!$L119:$EQ119)</f>
        <v>0</v>
      </c>
      <c r="BE114" s="171">
        <f>SUMIF('CF(M)'!$L$10:$EQ$10,BE$6,'CF(M)'!$L119:$EQ119)</f>
        <v>0</v>
      </c>
      <c r="BF114" s="171">
        <f>SUMIF('CF(M)'!$L$10:$EQ$10,BF$6,'CF(M)'!$L119:$EQ119)</f>
        <v>0</v>
      </c>
      <c r="BG114" s="171">
        <f>SUMIF('CF(M)'!$L$10:$EQ$10,BG$6,'CF(M)'!$L119:$EQ119)</f>
        <v>0</v>
      </c>
      <c r="BH114" s="171">
        <f>SUMIF('CF(M)'!$L$10:$EQ$10,BH$6,'CF(M)'!$L119:$EQ119)</f>
        <v>0</v>
      </c>
      <c r="BI114" s="171">
        <f>SUMIF('CF(M)'!$L$10:$EQ$10,BI$6,'CF(M)'!$L119:$EQ119)</f>
        <v>0</v>
      </c>
      <c r="BJ114" s="171">
        <f>SUMIF('CF(M)'!$L$10:$EQ$10,BJ$6,'CF(M)'!$L119:$EQ119)</f>
        <v>0</v>
      </c>
      <c r="BK114" s="171">
        <f>SUMIF('CF(M)'!$L$10:$EQ$10,BK$6,'CF(M)'!$L119:$EQ119)</f>
        <v>0</v>
      </c>
      <c r="BL114" s="171">
        <f>SUMIF('CF(M)'!$L$10:$EQ$10,BL$6,'CF(M)'!$L119:$EQ119)</f>
        <v>0</v>
      </c>
      <c r="BM114" s="171">
        <f>SUMIF('CF(M)'!$L$10:$EQ$10,BM$6,'CF(M)'!$L119:$EQ119)</f>
        <v>0</v>
      </c>
      <c r="BN114" s="171">
        <f>SUMIF('CF(M)'!$L$10:$EQ$10,BN$6,'CF(M)'!$L119:$EQ119)</f>
        <v>0</v>
      </c>
      <c r="BO114" s="171">
        <f>SUMIF('CF(M)'!$L$10:$EQ$10,BO$6,'CF(M)'!$L119:$EQ119)</f>
        <v>0</v>
      </c>
      <c r="BP114" s="171">
        <f>SUMIF('CF(M)'!$L$10:$EQ$10,BP$6,'CF(M)'!$L119:$EQ119)</f>
        <v>0</v>
      </c>
      <c r="BQ114" s="171">
        <f>SUMIF('CF(M)'!$L$10:$EQ$10,BQ$6,'CF(M)'!$L119:$EQ119)</f>
        <v>0</v>
      </c>
      <c r="BR114" s="171">
        <f>SUMIF('CF(M)'!$L$10:$EQ$10,BR$6,'CF(M)'!$L119:$EQ119)</f>
        <v>0</v>
      </c>
      <c r="BS114" s="171">
        <f>SUMIF('CF(M)'!$L$10:$EQ$10,BS$6,'CF(M)'!$L119:$EQ119)</f>
        <v>0</v>
      </c>
      <c r="BT114" s="171">
        <f>SUMIF('CF(M)'!$L$10:$EQ$10,BT$6,'CF(M)'!$L119:$EQ119)</f>
        <v>0</v>
      </c>
      <c r="BU114" s="171">
        <f>SUMIF('CF(M)'!$L$10:$EQ$10,BU$6,'CF(M)'!$L119:$EQ119)</f>
        <v>0</v>
      </c>
      <c r="BV114" s="171">
        <f>SUMIF('CF(M)'!$L$10:$EQ$10,BV$6,'CF(M)'!$L119:$EQ119)</f>
        <v>0</v>
      </c>
      <c r="BW114" s="171">
        <f>SUMIF('CF(M)'!$L$10:$EQ$10,BW$6,'CF(M)'!$L119:$EQ119)</f>
        <v>0</v>
      </c>
      <c r="BX114" s="171">
        <f>SUMIF('CF(M)'!$L$10:$EQ$10,BX$6,'CF(M)'!$L119:$EQ119)</f>
        <v>0</v>
      </c>
      <c r="BY114" s="171">
        <f>SUMIF('CF(M)'!$L$10:$EQ$10,BY$6,'CF(M)'!$L119:$EQ119)</f>
        <v>0</v>
      </c>
      <c r="BZ114" s="171">
        <f>SUMIF('CF(M)'!$L$10:$EQ$10,BZ$6,'CF(M)'!$L119:$EQ119)</f>
        <v>0</v>
      </c>
      <c r="CA114" s="171">
        <f>SUMIF('CF(M)'!$L$10:$EQ$10,CA$6,'CF(M)'!$L119:$EQ119)</f>
        <v>0</v>
      </c>
      <c r="CB114" s="171">
        <f>SUMIF('CF(M)'!$L$10:$EQ$10,CB$6,'CF(M)'!$L119:$EQ119)</f>
        <v>0</v>
      </c>
      <c r="CC114" s="171">
        <f>SUMIF('CF(M)'!$L$10:$EQ$10,CC$6,'CF(M)'!$L119:$EQ119)</f>
        <v>0</v>
      </c>
      <c r="CD114" s="171">
        <f>SUMIF('CF(M)'!$L$10:$EQ$10,CD$6,'CF(M)'!$L119:$EQ119)</f>
        <v>0</v>
      </c>
      <c r="CE114" s="171">
        <f>SUMIF('CF(M)'!$L$10:$EQ$10,CE$6,'CF(M)'!$L119:$EQ119)</f>
        <v>0</v>
      </c>
      <c r="CF114" s="171">
        <f>SUMIF('CF(M)'!$L$10:$EQ$10,CF$6,'CF(M)'!$L119:$EQ119)</f>
        <v>0</v>
      </c>
      <c r="CG114" s="171">
        <f>SUMIF('CF(M)'!$L$10:$EQ$10,CG$6,'CF(M)'!$L119:$EQ119)</f>
        <v>0</v>
      </c>
      <c r="CH114" s="171">
        <f>SUMIF('CF(M)'!$L$10:$EQ$10,CH$6,'CF(M)'!$L119:$EQ119)</f>
        <v>0</v>
      </c>
      <c r="CI114" s="171">
        <f>SUMIF('CF(M)'!$L$10:$EQ$10,CI$6,'CF(M)'!$L119:$EQ119)</f>
        <v>0</v>
      </c>
      <c r="CJ114" s="171">
        <f>SUMIF('CF(M)'!$L$10:$EQ$10,CJ$6,'CF(M)'!$L119:$EQ119)</f>
        <v>0</v>
      </c>
      <c r="CK114" s="171">
        <f>SUMIF('CF(M)'!$L$10:$EQ$10,CK$6,'CF(M)'!$L119:$EQ119)</f>
        <v>0</v>
      </c>
      <c r="CL114" s="171">
        <f>SUMIF('CF(M)'!$L$10:$EQ$10,CL$6,'CF(M)'!$L119:$EQ119)</f>
        <v>0</v>
      </c>
      <c r="CM114" s="171">
        <f>SUMIF('CF(M)'!$L$10:$EQ$10,CM$6,'CF(M)'!$L119:$EQ119)</f>
        <v>0</v>
      </c>
      <c r="CN114" s="171">
        <f>SUMIF('CF(M)'!$L$10:$EQ$10,CN$6,'CF(M)'!$L119:$EQ119)</f>
        <v>0</v>
      </c>
      <c r="CO114" s="171">
        <f>SUMIF('CF(M)'!$L$10:$EQ$10,CO$6,'CF(M)'!$L119:$EQ119)</f>
        <v>0</v>
      </c>
      <c r="CP114" s="171">
        <f>SUMIF('CF(M)'!$L$10:$EQ$10,CP$6,'CF(M)'!$L119:$EQ119)</f>
        <v>0</v>
      </c>
      <c r="CQ114" s="171">
        <f>SUMIF('CF(M)'!$L$10:$EQ$10,CQ$6,'CF(M)'!$L119:$EQ119)</f>
        <v>0</v>
      </c>
      <c r="CR114" s="171">
        <f>SUMIF('CF(M)'!$L$10:$EQ$10,CR$6,'CF(M)'!$L119:$EQ119)</f>
        <v>0</v>
      </c>
      <c r="CS114" s="171">
        <f>SUMIF('CF(M)'!$L$10:$EQ$10,CS$6,'CF(M)'!$L119:$EQ119)</f>
        <v>0</v>
      </c>
      <c r="CT114" s="171">
        <f>SUMIF('CF(M)'!$L$10:$EQ$10,CT$6,'CF(M)'!$L119:$EQ119)</f>
        <v>0</v>
      </c>
      <c r="CU114" s="171">
        <f>SUMIF('CF(M)'!$L$10:$EQ$10,CU$6,'CF(M)'!$L119:$EQ119)</f>
        <v>0</v>
      </c>
      <c r="CV114" s="171">
        <f>SUMIF('CF(M)'!$L$10:$EQ$10,CV$6,'CF(M)'!$L119:$EQ119)</f>
        <v>0</v>
      </c>
      <c r="CW114" s="171">
        <f>SUMIF('CF(M)'!$L$10:$EQ$10,CW$6,'CF(M)'!$L119:$EQ119)</f>
        <v>0</v>
      </c>
      <c r="CX114" s="171">
        <f>SUMIF('CF(M)'!$L$10:$EQ$10,CX$6,'CF(M)'!$L119:$EQ119)</f>
        <v>0</v>
      </c>
      <c r="CY114" s="171">
        <f>SUMIF('CF(M)'!$L$10:$EQ$10,CY$6,'CF(M)'!$L119:$EQ119)</f>
        <v>0</v>
      </c>
      <c r="CZ114" s="171">
        <f>SUMIF('CF(M)'!$L$10:$EQ$10,CZ$6,'CF(M)'!$L119:$EQ119)</f>
        <v>0</v>
      </c>
      <c r="DA114" s="171">
        <f>SUMIF('CF(M)'!$L$10:$EQ$10,DA$6,'CF(M)'!$L119:$EQ119)</f>
        <v>0</v>
      </c>
      <c r="DB114" s="171">
        <f>SUMIF('CF(M)'!$L$10:$EQ$10,DB$6,'CF(M)'!$L119:$EQ119)</f>
        <v>0</v>
      </c>
      <c r="DC114" s="171">
        <f>SUMIF('CF(M)'!$L$10:$EQ$10,DC$6,'CF(M)'!$L119:$EQ119)</f>
        <v>0</v>
      </c>
      <c r="DD114" s="171">
        <f>SUMIF('CF(M)'!$L$10:$EQ$10,DD$6,'CF(M)'!$L119:$EQ119)</f>
        <v>0</v>
      </c>
      <c r="DE114" s="171">
        <f>SUMIF('CF(M)'!$L$10:$EQ$10,DE$6,'CF(M)'!$L119:$EQ119)</f>
        <v>0</v>
      </c>
      <c r="DF114" s="171">
        <f>SUMIF('CF(M)'!$L$10:$EQ$10,DF$6,'CF(M)'!$L119:$EQ119)</f>
        <v>0</v>
      </c>
      <c r="DG114" s="171">
        <f>SUMIF('CF(M)'!$L$10:$EQ$10,DG$6,'CF(M)'!$L119:$EQ119)</f>
        <v>0</v>
      </c>
      <c r="DH114" s="171">
        <f>SUMIF('CF(M)'!$L$10:$EQ$10,DH$6,'CF(M)'!$L119:$EQ119)</f>
        <v>0</v>
      </c>
      <c r="DI114" s="171">
        <f>SUMIF('CF(M)'!$L$10:$EQ$10,DI$6,'CF(M)'!$L119:$EQ119)</f>
        <v>0</v>
      </c>
      <c r="DJ114" s="171">
        <f>SUMIF('CF(M)'!$L$10:$EQ$10,DJ$6,'CF(M)'!$L119:$EQ119)</f>
        <v>0</v>
      </c>
      <c r="DK114" s="171">
        <f>SUMIF('CF(M)'!$L$10:$EQ$10,DK$6,'CF(M)'!$L119:$EQ119)</f>
        <v>0</v>
      </c>
      <c r="DL114" s="171">
        <f>SUMIF('CF(M)'!$L$10:$EQ$10,DL$6,'CF(M)'!$L119:$EQ119)</f>
        <v>0</v>
      </c>
      <c r="DM114" s="171">
        <f>SUMIF('CF(M)'!$L$10:$EQ$10,DM$6,'CF(M)'!$L119:$EQ119)</f>
        <v>0</v>
      </c>
      <c r="DN114" s="171">
        <f>SUMIF('CF(M)'!$L$10:$EQ$10,DN$6,'CF(M)'!$L119:$EQ119)</f>
        <v>0</v>
      </c>
      <c r="DO114" s="171">
        <f>SUMIF('CF(M)'!$L$10:$EQ$10,DO$6,'CF(M)'!$L119:$EQ119)</f>
        <v>0</v>
      </c>
      <c r="DP114" s="171">
        <f>SUMIF('CF(M)'!$L$10:$EQ$10,DP$6,'CF(M)'!$L119:$EQ119)</f>
        <v>0</v>
      </c>
      <c r="DQ114" s="171">
        <f>SUMIF('CF(M)'!$L$10:$EQ$10,DQ$6,'CF(M)'!$L119:$EQ119)</f>
        <v>0</v>
      </c>
      <c r="DR114" s="171">
        <f>SUMIF('CF(M)'!$L$10:$EQ$10,DR$6,'CF(M)'!$L119:$EQ119)</f>
        <v>0</v>
      </c>
      <c r="DS114" s="171">
        <f>SUMIF('CF(M)'!$L$10:$EQ$10,DS$6,'CF(M)'!$L119:$EQ119)</f>
        <v>0</v>
      </c>
      <c r="DT114" s="171">
        <f>SUMIF('CF(M)'!$L$10:$EQ$10,DT$6,'CF(M)'!$L119:$EQ119)</f>
        <v>0</v>
      </c>
      <c r="DU114" s="171">
        <f>SUMIF('CF(M)'!$L$10:$EQ$10,DU$6,'CF(M)'!$L119:$EQ119)</f>
        <v>0</v>
      </c>
      <c r="DV114" s="171">
        <f>SUMIF('CF(M)'!$L$10:$EQ$10,DV$6,'CF(M)'!$L119:$EQ119)</f>
        <v>0</v>
      </c>
    </row>
    <row r="115" spans="2:126" ht="11.25" customHeight="1">
      <c r="B115" s="230" t="s">
        <v>212</v>
      </c>
      <c r="C115" s="231"/>
      <c r="D115" s="231"/>
      <c r="E115" s="231"/>
      <c r="F115" s="231"/>
      <c r="G115" s="231"/>
      <c r="H115" s="232"/>
      <c r="I115" s="233"/>
      <c r="J115" s="234">
        <f ca="1">SUM(J9,J49,J62)</f>
        <v>0</v>
      </c>
      <c r="L115" s="235">
        <f t="shared" ref="L115:BW115" ca="1" si="55">SUM(L9,L49,L62)</f>
        <v>10000000</v>
      </c>
      <c r="M115" s="235">
        <f t="shared" ca="1" si="55"/>
        <v>-2515991.5951309968</v>
      </c>
      <c r="N115" s="235">
        <f t="shared" ca="1" si="55"/>
        <v>-1648090.0613060147</v>
      </c>
      <c r="O115" s="235">
        <f t="shared" ca="1" si="55"/>
        <v>-1682764.9095997366</v>
      </c>
      <c r="P115" s="235">
        <f t="shared" ca="1" si="55"/>
        <v>3994717.2517928006</v>
      </c>
      <c r="Q115" s="235">
        <f t="shared" ca="1" si="55"/>
        <v>-1317428.4636388021</v>
      </c>
      <c r="R115" s="235">
        <f t="shared" ca="1" si="55"/>
        <v>-6068958.911866012</v>
      </c>
      <c r="S115" s="235">
        <f t="shared" ca="1" si="55"/>
        <v>-761483.31025122921</v>
      </c>
      <c r="T115" s="235">
        <f t="shared" ca="1" si="55"/>
        <v>0</v>
      </c>
      <c r="U115" s="235">
        <f t="shared" ca="1" si="55"/>
        <v>0</v>
      </c>
      <c r="V115" s="235">
        <f t="shared" ca="1" si="55"/>
        <v>0</v>
      </c>
      <c r="W115" s="235">
        <f t="shared" ca="1" si="55"/>
        <v>0</v>
      </c>
      <c r="X115" s="235">
        <f t="shared" ca="1" si="55"/>
        <v>0</v>
      </c>
      <c r="Y115" s="235">
        <f t="shared" ca="1" si="55"/>
        <v>0</v>
      </c>
      <c r="Z115" s="235">
        <f t="shared" ca="1" si="55"/>
        <v>0</v>
      </c>
      <c r="AA115" s="235">
        <f t="shared" ca="1" si="55"/>
        <v>226292.1503806822</v>
      </c>
      <c r="AB115" s="235">
        <f t="shared" ca="1" si="55"/>
        <v>-73780.36269095866</v>
      </c>
      <c r="AC115" s="235">
        <f t="shared" ca="1" si="55"/>
        <v>435905.60000971146</v>
      </c>
      <c r="AD115" s="235">
        <f t="shared" ca="1" si="55"/>
        <v>848341.36181767331</v>
      </c>
      <c r="AE115" s="235">
        <f t="shared" ca="1" si="55"/>
        <v>766956.5281975572</v>
      </c>
      <c r="AF115" s="235">
        <f t="shared" ca="1" si="55"/>
        <v>-2203715.2777147293</v>
      </c>
      <c r="AG115" s="235">
        <f t="shared" ca="1" si="55"/>
        <v>0</v>
      </c>
      <c r="AH115" s="235">
        <f t="shared" ca="1" si="55"/>
        <v>0</v>
      </c>
      <c r="AI115" s="235">
        <f t="shared" ca="1" si="55"/>
        <v>0</v>
      </c>
      <c r="AJ115" s="235">
        <f t="shared" si="55"/>
        <v>0</v>
      </c>
      <c r="AK115" s="235">
        <f t="shared" si="55"/>
        <v>0</v>
      </c>
      <c r="AL115" s="235">
        <f t="shared" si="55"/>
        <v>0</v>
      </c>
      <c r="AM115" s="235">
        <f t="shared" si="55"/>
        <v>0</v>
      </c>
      <c r="AN115" s="235">
        <f t="shared" si="55"/>
        <v>0</v>
      </c>
      <c r="AO115" s="235">
        <f t="shared" si="55"/>
        <v>0</v>
      </c>
      <c r="AP115" s="235">
        <f t="shared" si="55"/>
        <v>0</v>
      </c>
      <c r="AQ115" s="235">
        <f t="shared" si="55"/>
        <v>0</v>
      </c>
      <c r="AR115" s="235">
        <f t="shared" si="55"/>
        <v>0</v>
      </c>
      <c r="AS115" s="235">
        <f t="shared" si="55"/>
        <v>0</v>
      </c>
      <c r="AT115" s="235">
        <f t="shared" si="55"/>
        <v>0</v>
      </c>
      <c r="AU115" s="235">
        <f t="shared" si="55"/>
        <v>0</v>
      </c>
      <c r="AV115" s="235">
        <f t="shared" si="55"/>
        <v>0</v>
      </c>
      <c r="AW115" s="235">
        <f t="shared" si="55"/>
        <v>0</v>
      </c>
      <c r="AX115" s="235">
        <f t="shared" si="55"/>
        <v>0</v>
      </c>
      <c r="AY115" s="235">
        <f t="shared" si="55"/>
        <v>0</v>
      </c>
      <c r="AZ115" s="235">
        <f t="shared" si="55"/>
        <v>0</v>
      </c>
      <c r="BA115" s="235">
        <f t="shared" si="55"/>
        <v>0</v>
      </c>
      <c r="BB115" s="235">
        <f t="shared" si="55"/>
        <v>0</v>
      </c>
      <c r="BC115" s="235">
        <f t="shared" si="55"/>
        <v>0</v>
      </c>
      <c r="BD115" s="235">
        <f t="shared" si="55"/>
        <v>0</v>
      </c>
      <c r="BE115" s="235">
        <f t="shared" si="55"/>
        <v>0</v>
      </c>
      <c r="BF115" s="235">
        <f t="shared" si="55"/>
        <v>0</v>
      </c>
      <c r="BG115" s="235">
        <f t="shared" si="55"/>
        <v>0</v>
      </c>
      <c r="BH115" s="235">
        <f t="shared" si="55"/>
        <v>0</v>
      </c>
      <c r="BI115" s="235">
        <f t="shared" si="55"/>
        <v>0</v>
      </c>
      <c r="BJ115" s="235">
        <f t="shared" si="55"/>
        <v>0</v>
      </c>
      <c r="BK115" s="235">
        <f t="shared" si="55"/>
        <v>0</v>
      </c>
      <c r="BL115" s="235">
        <f t="shared" si="55"/>
        <v>0</v>
      </c>
      <c r="BM115" s="235">
        <f t="shared" si="55"/>
        <v>0</v>
      </c>
      <c r="BN115" s="235">
        <f t="shared" si="55"/>
        <v>0</v>
      </c>
      <c r="BO115" s="235">
        <f t="shared" si="55"/>
        <v>0</v>
      </c>
      <c r="BP115" s="235">
        <f t="shared" si="55"/>
        <v>0</v>
      </c>
      <c r="BQ115" s="235">
        <f t="shared" si="55"/>
        <v>0</v>
      </c>
      <c r="BR115" s="235">
        <f t="shared" si="55"/>
        <v>0</v>
      </c>
      <c r="BS115" s="235">
        <f t="shared" si="55"/>
        <v>0</v>
      </c>
      <c r="BT115" s="235">
        <f t="shared" si="55"/>
        <v>0</v>
      </c>
      <c r="BU115" s="235">
        <f t="shared" si="55"/>
        <v>0</v>
      </c>
      <c r="BV115" s="235">
        <f t="shared" si="55"/>
        <v>0</v>
      </c>
      <c r="BW115" s="235">
        <f t="shared" si="55"/>
        <v>0</v>
      </c>
      <c r="BX115" s="235">
        <f t="shared" ref="BX115:DV115" si="56">SUM(BX9,BX49,BX62)</f>
        <v>0</v>
      </c>
      <c r="BY115" s="235">
        <f t="shared" si="56"/>
        <v>0</v>
      </c>
      <c r="BZ115" s="235">
        <f t="shared" si="56"/>
        <v>0</v>
      </c>
      <c r="CA115" s="235">
        <f t="shared" si="56"/>
        <v>0</v>
      </c>
      <c r="CB115" s="235">
        <f t="shared" si="56"/>
        <v>0</v>
      </c>
      <c r="CC115" s="235">
        <f t="shared" si="56"/>
        <v>0</v>
      </c>
      <c r="CD115" s="235">
        <f t="shared" si="56"/>
        <v>0</v>
      </c>
      <c r="CE115" s="235">
        <f t="shared" si="56"/>
        <v>0</v>
      </c>
      <c r="CF115" s="235">
        <f t="shared" si="56"/>
        <v>0</v>
      </c>
      <c r="CG115" s="235">
        <f t="shared" si="56"/>
        <v>0</v>
      </c>
      <c r="CH115" s="235">
        <f t="shared" si="56"/>
        <v>0</v>
      </c>
      <c r="CI115" s="235">
        <f t="shared" si="56"/>
        <v>0</v>
      </c>
      <c r="CJ115" s="235">
        <f t="shared" si="56"/>
        <v>0</v>
      </c>
      <c r="CK115" s="235">
        <f t="shared" si="56"/>
        <v>0</v>
      </c>
      <c r="CL115" s="235">
        <f t="shared" si="56"/>
        <v>0</v>
      </c>
      <c r="CM115" s="235">
        <f t="shared" si="56"/>
        <v>0</v>
      </c>
      <c r="CN115" s="235">
        <f t="shared" si="56"/>
        <v>0</v>
      </c>
      <c r="CO115" s="235">
        <f t="shared" si="56"/>
        <v>0</v>
      </c>
      <c r="CP115" s="235">
        <f t="shared" si="56"/>
        <v>0</v>
      </c>
      <c r="CQ115" s="235">
        <f t="shared" si="56"/>
        <v>0</v>
      </c>
      <c r="CR115" s="235">
        <f t="shared" si="56"/>
        <v>0</v>
      </c>
      <c r="CS115" s="235">
        <f t="shared" si="56"/>
        <v>0</v>
      </c>
      <c r="CT115" s="235">
        <f t="shared" si="56"/>
        <v>0</v>
      </c>
      <c r="CU115" s="235">
        <f t="shared" si="56"/>
        <v>0</v>
      </c>
      <c r="CV115" s="235">
        <f t="shared" si="56"/>
        <v>0</v>
      </c>
      <c r="CW115" s="235">
        <f t="shared" si="56"/>
        <v>0</v>
      </c>
      <c r="CX115" s="235">
        <f t="shared" si="56"/>
        <v>0</v>
      </c>
      <c r="CY115" s="235">
        <f t="shared" si="56"/>
        <v>0</v>
      </c>
      <c r="CZ115" s="235">
        <f t="shared" si="56"/>
        <v>0</v>
      </c>
      <c r="DA115" s="235">
        <f t="shared" si="56"/>
        <v>0</v>
      </c>
      <c r="DB115" s="235">
        <f t="shared" si="56"/>
        <v>0</v>
      </c>
      <c r="DC115" s="235">
        <f t="shared" si="56"/>
        <v>0</v>
      </c>
      <c r="DD115" s="235">
        <f t="shared" si="56"/>
        <v>0</v>
      </c>
      <c r="DE115" s="235">
        <f t="shared" si="56"/>
        <v>0</v>
      </c>
      <c r="DF115" s="235">
        <f t="shared" si="56"/>
        <v>0</v>
      </c>
      <c r="DG115" s="235">
        <f t="shared" si="56"/>
        <v>0</v>
      </c>
      <c r="DH115" s="235">
        <f t="shared" si="56"/>
        <v>0</v>
      </c>
      <c r="DI115" s="235">
        <f t="shared" si="56"/>
        <v>0</v>
      </c>
      <c r="DJ115" s="235">
        <f t="shared" si="56"/>
        <v>0</v>
      </c>
      <c r="DK115" s="235">
        <f t="shared" si="56"/>
        <v>0</v>
      </c>
      <c r="DL115" s="235">
        <f t="shared" si="56"/>
        <v>0</v>
      </c>
      <c r="DM115" s="235">
        <f t="shared" si="56"/>
        <v>0</v>
      </c>
      <c r="DN115" s="235">
        <f t="shared" si="56"/>
        <v>0</v>
      </c>
      <c r="DO115" s="235">
        <f t="shared" si="56"/>
        <v>0</v>
      </c>
      <c r="DP115" s="235">
        <f t="shared" si="56"/>
        <v>0</v>
      </c>
      <c r="DQ115" s="235">
        <f t="shared" si="56"/>
        <v>0</v>
      </c>
      <c r="DR115" s="235">
        <f t="shared" si="56"/>
        <v>0</v>
      </c>
      <c r="DS115" s="235">
        <f t="shared" si="56"/>
        <v>0</v>
      </c>
      <c r="DT115" s="235">
        <f t="shared" si="56"/>
        <v>0</v>
      </c>
      <c r="DU115" s="235">
        <f t="shared" si="56"/>
        <v>0</v>
      </c>
      <c r="DV115" s="235">
        <f t="shared" si="56"/>
        <v>0</v>
      </c>
    </row>
    <row r="116" spans="2:126" ht="11.25" customHeight="1">
      <c r="B116" s="223" t="s">
        <v>213</v>
      </c>
      <c r="C116" s="224"/>
      <c r="D116" s="224"/>
      <c r="E116" s="224"/>
      <c r="F116" s="224"/>
      <c r="G116" s="224"/>
      <c r="H116" s="225"/>
      <c r="I116" s="226"/>
      <c r="J116" s="236">
        <f>L116</f>
        <v>0</v>
      </c>
      <c r="L116" s="216">
        <v>0</v>
      </c>
      <c r="M116" s="216">
        <f ca="1">L117</f>
        <v>10000000</v>
      </c>
      <c r="N116" s="216">
        <f t="shared" ref="N116:BY116" ca="1" si="57">M117</f>
        <v>7484008.4048690032</v>
      </c>
      <c r="O116" s="216">
        <f t="shared" ca="1" si="57"/>
        <v>5835918.3435629886</v>
      </c>
      <c r="P116" s="216">
        <f t="shared" ca="1" si="57"/>
        <v>4153153.4339632522</v>
      </c>
      <c r="Q116" s="216">
        <f t="shared" ca="1" si="57"/>
        <v>8147870.6857560528</v>
      </c>
      <c r="R116" s="216">
        <f t="shared" ca="1" si="57"/>
        <v>6830442.2221172508</v>
      </c>
      <c r="S116" s="216">
        <f t="shared" ca="1" si="57"/>
        <v>761483.31025123876</v>
      </c>
      <c r="T116" s="216">
        <f t="shared" ca="1" si="57"/>
        <v>9.5460563898086548E-9</v>
      </c>
      <c r="U116" s="216">
        <f t="shared" ca="1" si="57"/>
        <v>9.5460563898086548E-9</v>
      </c>
      <c r="V116" s="216">
        <f t="shared" ca="1" si="57"/>
        <v>9.5460563898086548E-9</v>
      </c>
      <c r="W116" s="216">
        <f t="shared" ca="1" si="57"/>
        <v>9.5460563898086548E-9</v>
      </c>
      <c r="X116" s="216">
        <f t="shared" ca="1" si="57"/>
        <v>9.5460563898086548E-9</v>
      </c>
      <c r="Y116" s="216">
        <f t="shared" ca="1" si="57"/>
        <v>9.5460563898086548E-9</v>
      </c>
      <c r="Z116" s="216">
        <f t="shared" ca="1" si="57"/>
        <v>9.5460563898086548E-9</v>
      </c>
      <c r="AA116" s="216">
        <f t="shared" ca="1" si="57"/>
        <v>9.5460563898086548E-9</v>
      </c>
      <c r="AB116" s="216">
        <f t="shared" ca="1" si="57"/>
        <v>226292.15038069175</v>
      </c>
      <c r="AC116" s="216">
        <f t="shared" ca="1" si="57"/>
        <v>152511.78768973309</v>
      </c>
      <c r="AD116" s="216">
        <f t="shared" ca="1" si="57"/>
        <v>588417.38769944455</v>
      </c>
      <c r="AE116" s="216">
        <f t="shared" ca="1" si="57"/>
        <v>1436758.7495171179</v>
      </c>
      <c r="AF116" s="216">
        <f t="shared" ca="1" si="57"/>
        <v>2203715.2777146753</v>
      </c>
      <c r="AG116" s="216">
        <f t="shared" ca="1" si="57"/>
        <v>-5.4016709327697754E-8</v>
      </c>
      <c r="AH116" s="216">
        <f t="shared" ca="1" si="57"/>
        <v>-5.4016709327697754E-8</v>
      </c>
      <c r="AI116" s="216">
        <f t="shared" ca="1" si="57"/>
        <v>-5.4016709327697754E-8</v>
      </c>
      <c r="AJ116" s="216">
        <f t="shared" ca="1" si="57"/>
        <v>-5.4016709327697754E-8</v>
      </c>
      <c r="AK116" s="216">
        <f t="shared" ca="1" si="57"/>
        <v>-5.4016709327697754E-8</v>
      </c>
      <c r="AL116" s="216">
        <f t="shared" ca="1" si="57"/>
        <v>-5.4016709327697754E-8</v>
      </c>
      <c r="AM116" s="216">
        <f t="shared" ca="1" si="57"/>
        <v>-5.4016709327697754E-8</v>
      </c>
      <c r="AN116" s="216">
        <f t="shared" ca="1" si="57"/>
        <v>-5.4016709327697754E-8</v>
      </c>
      <c r="AO116" s="216">
        <f t="shared" ca="1" si="57"/>
        <v>-5.4016709327697754E-8</v>
      </c>
      <c r="AP116" s="216">
        <f t="shared" ca="1" si="57"/>
        <v>-5.4016709327697754E-8</v>
      </c>
      <c r="AQ116" s="216">
        <f t="shared" ca="1" si="57"/>
        <v>-5.4016709327697754E-8</v>
      </c>
      <c r="AR116" s="216">
        <f t="shared" ca="1" si="57"/>
        <v>-5.4016709327697754E-8</v>
      </c>
      <c r="AS116" s="216">
        <f t="shared" ca="1" si="57"/>
        <v>-5.4016709327697754E-8</v>
      </c>
      <c r="AT116" s="216">
        <f t="shared" ca="1" si="57"/>
        <v>-5.4016709327697754E-8</v>
      </c>
      <c r="AU116" s="216">
        <f t="shared" ca="1" si="57"/>
        <v>-5.4016709327697754E-8</v>
      </c>
      <c r="AV116" s="216">
        <f t="shared" ca="1" si="57"/>
        <v>-5.4016709327697754E-8</v>
      </c>
      <c r="AW116" s="216">
        <f t="shared" ca="1" si="57"/>
        <v>-5.4016709327697754E-8</v>
      </c>
      <c r="AX116" s="216">
        <f t="shared" ca="1" si="57"/>
        <v>-5.4016709327697754E-8</v>
      </c>
      <c r="AY116" s="216">
        <f t="shared" ca="1" si="57"/>
        <v>-5.4016709327697754E-8</v>
      </c>
      <c r="AZ116" s="216">
        <f t="shared" ca="1" si="57"/>
        <v>-5.4016709327697754E-8</v>
      </c>
      <c r="BA116" s="216">
        <f t="shared" ca="1" si="57"/>
        <v>-5.4016709327697754E-8</v>
      </c>
      <c r="BB116" s="216">
        <f t="shared" ca="1" si="57"/>
        <v>-5.4016709327697754E-8</v>
      </c>
      <c r="BC116" s="216">
        <f t="shared" ca="1" si="57"/>
        <v>-5.4016709327697754E-8</v>
      </c>
      <c r="BD116" s="216">
        <f t="shared" ca="1" si="57"/>
        <v>-5.4016709327697754E-8</v>
      </c>
      <c r="BE116" s="216">
        <f t="shared" ca="1" si="57"/>
        <v>-5.4016709327697754E-8</v>
      </c>
      <c r="BF116" s="216">
        <f t="shared" ca="1" si="57"/>
        <v>-5.4016709327697754E-8</v>
      </c>
      <c r="BG116" s="216">
        <f t="shared" ca="1" si="57"/>
        <v>-5.4016709327697754E-8</v>
      </c>
      <c r="BH116" s="216">
        <f t="shared" ca="1" si="57"/>
        <v>-5.4016709327697754E-8</v>
      </c>
      <c r="BI116" s="216">
        <f t="shared" ca="1" si="57"/>
        <v>-5.4016709327697754E-8</v>
      </c>
      <c r="BJ116" s="216">
        <f t="shared" ca="1" si="57"/>
        <v>-5.4016709327697754E-8</v>
      </c>
      <c r="BK116" s="216">
        <f t="shared" ca="1" si="57"/>
        <v>-5.4016709327697754E-8</v>
      </c>
      <c r="BL116" s="216">
        <f t="shared" ca="1" si="57"/>
        <v>-5.4016709327697754E-8</v>
      </c>
      <c r="BM116" s="216">
        <f t="shared" ca="1" si="57"/>
        <v>-5.4016709327697754E-8</v>
      </c>
      <c r="BN116" s="216">
        <f t="shared" ca="1" si="57"/>
        <v>-5.4016709327697754E-8</v>
      </c>
      <c r="BO116" s="216">
        <f t="shared" ca="1" si="57"/>
        <v>-5.4016709327697754E-8</v>
      </c>
      <c r="BP116" s="216">
        <f t="shared" ca="1" si="57"/>
        <v>-5.4016709327697754E-8</v>
      </c>
      <c r="BQ116" s="216">
        <f t="shared" ca="1" si="57"/>
        <v>-5.4016709327697754E-8</v>
      </c>
      <c r="BR116" s="216">
        <f t="shared" ca="1" si="57"/>
        <v>-5.4016709327697754E-8</v>
      </c>
      <c r="BS116" s="216">
        <f t="shared" ca="1" si="57"/>
        <v>-5.4016709327697754E-8</v>
      </c>
      <c r="BT116" s="216">
        <f t="shared" ca="1" si="57"/>
        <v>-5.4016709327697754E-8</v>
      </c>
      <c r="BU116" s="216">
        <f t="shared" ca="1" si="57"/>
        <v>-5.4016709327697754E-8</v>
      </c>
      <c r="BV116" s="216">
        <f t="shared" ca="1" si="57"/>
        <v>-5.4016709327697754E-8</v>
      </c>
      <c r="BW116" s="216">
        <f t="shared" ca="1" si="57"/>
        <v>-5.4016709327697754E-8</v>
      </c>
      <c r="BX116" s="216">
        <f t="shared" ca="1" si="57"/>
        <v>-5.4016709327697754E-8</v>
      </c>
      <c r="BY116" s="216">
        <f t="shared" ca="1" si="57"/>
        <v>-5.4016709327697754E-8</v>
      </c>
      <c r="BZ116" s="216">
        <f t="shared" ref="BZ116:DV116" ca="1" si="58">BY117</f>
        <v>-5.4016709327697754E-8</v>
      </c>
      <c r="CA116" s="216">
        <f t="shared" ca="1" si="58"/>
        <v>-5.4016709327697754E-8</v>
      </c>
      <c r="CB116" s="216">
        <f t="shared" ca="1" si="58"/>
        <v>-5.4016709327697754E-8</v>
      </c>
      <c r="CC116" s="216">
        <f t="shared" ca="1" si="58"/>
        <v>-5.4016709327697754E-8</v>
      </c>
      <c r="CD116" s="216">
        <f t="shared" ca="1" si="58"/>
        <v>-5.4016709327697754E-8</v>
      </c>
      <c r="CE116" s="216">
        <f t="shared" ca="1" si="58"/>
        <v>-5.4016709327697754E-8</v>
      </c>
      <c r="CF116" s="216">
        <f t="shared" ca="1" si="58"/>
        <v>-5.4016709327697754E-8</v>
      </c>
      <c r="CG116" s="216">
        <f t="shared" ca="1" si="58"/>
        <v>-5.4016709327697754E-8</v>
      </c>
      <c r="CH116" s="216">
        <f t="shared" ca="1" si="58"/>
        <v>-5.4016709327697754E-8</v>
      </c>
      <c r="CI116" s="216">
        <f t="shared" ca="1" si="58"/>
        <v>-5.4016709327697754E-8</v>
      </c>
      <c r="CJ116" s="216">
        <f t="shared" ca="1" si="58"/>
        <v>-5.4016709327697754E-8</v>
      </c>
      <c r="CK116" s="216">
        <f t="shared" ca="1" si="58"/>
        <v>-5.4016709327697754E-8</v>
      </c>
      <c r="CL116" s="216">
        <f t="shared" ca="1" si="58"/>
        <v>-5.4016709327697754E-8</v>
      </c>
      <c r="CM116" s="216">
        <f t="shared" ca="1" si="58"/>
        <v>-5.4016709327697754E-8</v>
      </c>
      <c r="CN116" s="216">
        <f t="shared" ca="1" si="58"/>
        <v>-5.4016709327697754E-8</v>
      </c>
      <c r="CO116" s="216">
        <f t="shared" ca="1" si="58"/>
        <v>-5.4016709327697754E-8</v>
      </c>
      <c r="CP116" s="216">
        <f t="shared" ca="1" si="58"/>
        <v>-5.4016709327697754E-8</v>
      </c>
      <c r="CQ116" s="216">
        <f t="shared" ca="1" si="58"/>
        <v>-5.4016709327697754E-8</v>
      </c>
      <c r="CR116" s="216">
        <f t="shared" ca="1" si="58"/>
        <v>-5.4016709327697754E-8</v>
      </c>
      <c r="CS116" s="216">
        <f t="shared" ca="1" si="58"/>
        <v>-5.4016709327697754E-8</v>
      </c>
      <c r="CT116" s="216">
        <f t="shared" ca="1" si="58"/>
        <v>-5.4016709327697754E-8</v>
      </c>
      <c r="CU116" s="216">
        <f t="shared" ca="1" si="58"/>
        <v>-5.4016709327697754E-8</v>
      </c>
      <c r="CV116" s="216">
        <f t="shared" ca="1" si="58"/>
        <v>-5.4016709327697754E-8</v>
      </c>
      <c r="CW116" s="216">
        <f t="shared" ca="1" si="58"/>
        <v>-5.4016709327697754E-8</v>
      </c>
      <c r="CX116" s="216">
        <f t="shared" ca="1" si="58"/>
        <v>-5.4016709327697754E-8</v>
      </c>
      <c r="CY116" s="216">
        <f t="shared" ca="1" si="58"/>
        <v>-5.4016709327697754E-8</v>
      </c>
      <c r="CZ116" s="216">
        <f t="shared" ca="1" si="58"/>
        <v>-5.4016709327697754E-8</v>
      </c>
      <c r="DA116" s="216">
        <f t="shared" ca="1" si="58"/>
        <v>-5.4016709327697754E-8</v>
      </c>
      <c r="DB116" s="216">
        <f t="shared" ca="1" si="58"/>
        <v>-5.4016709327697754E-8</v>
      </c>
      <c r="DC116" s="216">
        <f t="shared" ca="1" si="58"/>
        <v>-5.4016709327697754E-8</v>
      </c>
      <c r="DD116" s="216">
        <f t="shared" ca="1" si="58"/>
        <v>-5.4016709327697754E-8</v>
      </c>
      <c r="DE116" s="216">
        <f t="shared" ca="1" si="58"/>
        <v>-5.4016709327697754E-8</v>
      </c>
      <c r="DF116" s="216">
        <f t="shared" ca="1" si="58"/>
        <v>-5.4016709327697754E-8</v>
      </c>
      <c r="DG116" s="216">
        <f t="shared" ca="1" si="58"/>
        <v>-5.4016709327697754E-8</v>
      </c>
      <c r="DH116" s="216">
        <f t="shared" ca="1" si="58"/>
        <v>-5.4016709327697754E-8</v>
      </c>
      <c r="DI116" s="216">
        <f t="shared" ca="1" si="58"/>
        <v>-5.4016709327697754E-8</v>
      </c>
      <c r="DJ116" s="216">
        <f t="shared" ca="1" si="58"/>
        <v>-5.4016709327697754E-8</v>
      </c>
      <c r="DK116" s="216">
        <f t="shared" ca="1" si="58"/>
        <v>-5.4016709327697754E-8</v>
      </c>
      <c r="DL116" s="216">
        <f t="shared" ca="1" si="58"/>
        <v>-5.4016709327697754E-8</v>
      </c>
      <c r="DM116" s="216">
        <f t="shared" ca="1" si="58"/>
        <v>-5.4016709327697754E-8</v>
      </c>
      <c r="DN116" s="216">
        <f t="shared" ca="1" si="58"/>
        <v>-5.4016709327697754E-8</v>
      </c>
      <c r="DO116" s="216">
        <f t="shared" ca="1" si="58"/>
        <v>-5.4016709327697754E-8</v>
      </c>
      <c r="DP116" s="216">
        <f t="shared" ca="1" si="58"/>
        <v>-5.4016709327697754E-8</v>
      </c>
      <c r="DQ116" s="216">
        <f t="shared" ca="1" si="58"/>
        <v>-5.4016709327697754E-8</v>
      </c>
      <c r="DR116" s="216">
        <f t="shared" ca="1" si="58"/>
        <v>-5.4016709327697754E-8</v>
      </c>
      <c r="DS116" s="216">
        <f t="shared" ca="1" si="58"/>
        <v>-5.4016709327697754E-8</v>
      </c>
      <c r="DT116" s="216">
        <f t="shared" ca="1" si="58"/>
        <v>-5.4016709327697754E-8</v>
      </c>
      <c r="DU116" s="216">
        <f t="shared" ca="1" si="58"/>
        <v>-5.4016709327697754E-8</v>
      </c>
      <c r="DV116" s="216">
        <f t="shared" ca="1" si="58"/>
        <v>-5.4016709327697754E-8</v>
      </c>
    </row>
    <row r="117" spans="2:126" ht="11.25" customHeight="1">
      <c r="B117" s="237" t="s">
        <v>214</v>
      </c>
      <c r="C117" s="238"/>
      <c r="D117" s="238"/>
      <c r="E117" s="238"/>
      <c r="F117" s="238"/>
      <c r="G117" s="238"/>
      <c r="H117" s="239"/>
      <c r="I117" s="240" t="str">
        <f ca="1">IF(COUNTIF($L$117:$DV$117,"&lt;-0.001")&gt;0,"Shortage","TRUE")</f>
        <v>TRUE</v>
      </c>
      <c r="J117" s="241">
        <v>5.9604644775390625E-8</v>
      </c>
      <c r="L117" s="235">
        <f ca="1">L116+L115</f>
        <v>10000000</v>
      </c>
      <c r="M117" s="235">
        <f t="shared" ref="M117:BX117" ca="1" si="59">M116+M115</f>
        <v>7484008.4048690032</v>
      </c>
      <c r="N117" s="235">
        <f t="shared" ca="1" si="59"/>
        <v>5835918.3435629886</v>
      </c>
      <c r="O117" s="235">
        <f t="shared" ca="1" si="59"/>
        <v>4153153.4339632522</v>
      </c>
      <c r="P117" s="235">
        <f t="shared" ca="1" si="59"/>
        <v>8147870.6857560528</v>
      </c>
      <c r="Q117" s="235">
        <f t="shared" ca="1" si="59"/>
        <v>6830442.2221172508</v>
      </c>
      <c r="R117" s="235">
        <f t="shared" ca="1" si="59"/>
        <v>761483.31025123876</v>
      </c>
      <c r="S117" s="235">
        <f t="shared" ca="1" si="59"/>
        <v>9.5460563898086548E-9</v>
      </c>
      <c r="T117" s="235">
        <f t="shared" ca="1" si="59"/>
        <v>9.5460563898086548E-9</v>
      </c>
      <c r="U117" s="235">
        <f t="shared" ca="1" si="59"/>
        <v>9.5460563898086548E-9</v>
      </c>
      <c r="V117" s="235">
        <f t="shared" ca="1" si="59"/>
        <v>9.5460563898086548E-9</v>
      </c>
      <c r="W117" s="235">
        <f t="shared" ca="1" si="59"/>
        <v>9.5460563898086548E-9</v>
      </c>
      <c r="X117" s="235">
        <f t="shared" ca="1" si="59"/>
        <v>9.5460563898086548E-9</v>
      </c>
      <c r="Y117" s="235">
        <f t="shared" ca="1" si="59"/>
        <v>9.5460563898086548E-9</v>
      </c>
      <c r="Z117" s="235">
        <f t="shared" ca="1" si="59"/>
        <v>9.5460563898086548E-9</v>
      </c>
      <c r="AA117" s="235">
        <f t="shared" ca="1" si="59"/>
        <v>226292.15038069175</v>
      </c>
      <c r="AB117" s="235">
        <f t="shared" ca="1" si="59"/>
        <v>152511.78768973309</v>
      </c>
      <c r="AC117" s="235">
        <f t="shared" ca="1" si="59"/>
        <v>588417.38769944455</v>
      </c>
      <c r="AD117" s="235">
        <f t="shared" ca="1" si="59"/>
        <v>1436758.7495171179</v>
      </c>
      <c r="AE117" s="235">
        <f t="shared" ca="1" si="59"/>
        <v>2203715.2777146753</v>
      </c>
      <c r="AF117" s="235">
        <f t="shared" ca="1" si="59"/>
        <v>-5.4016709327697754E-8</v>
      </c>
      <c r="AG117" s="235">
        <f t="shared" ca="1" si="59"/>
        <v>-5.4016709327697754E-8</v>
      </c>
      <c r="AH117" s="235">
        <f t="shared" ca="1" si="59"/>
        <v>-5.4016709327697754E-8</v>
      </c>
      <c r="AI117" s="235">
        <f t="shared" ca="1" si="59"/>
        <v>-5.4016709327697754E-8</v>
      </c>
      <c r="AJ117" s="235">
        <f t="shared" ca="1" si="59"/>
        <v>-5.4016709327697754E-8</v>
      </c>
      <c r="AK117" s="235">
        <f t="shared" ca="1" si="59"/>
        <v>-5.4016709327697754E-8</v>
      </c>
      <c r="AL117" s="235">
        <f t="shared" ca="1" si="59"/>
        <v>-5.4016709327697754E-8</v>
      </c>
      <c r="AM117" s="235">
        <f t="shared" ca="1" si="59"/>
        <v>-5.4016709327697754E-8</v>
      </c>
      <c r="AN117" s="235">
        <f t="shared" ca="1" si="59"/>
        <v>-5.4016709327697754E-8</v>
      </c>
      <c r="AO117" s="235">
        <f t="shared" ca="1" si="59"/>
        <v>-5.4016709327697754E-8</v>
      </c>
      <c r="AP117" s="235">
        <f t="shared" ca="1" si="59"/>
        <v>-5.4016709327697754E-8</v>
      </c>
      <c r="AQ117" s="235">
        <f t="shared" ca="1" si="59"/>
        <v>-5.4016709327697754E-8</v>
      </c>
      <c r="AR117" s="235">
        <f t="shared" ca="1" si="59"/>
        <v>-5.4016709327697754E-8</v>
      </c>
      <c r="AS117" s="235">
        <f t="shared" ca="1" si="59"/>
        <v>-5.4016709327697754E-8</v>
      </c>
      <c r="AT117" s="235">
        <f t="shared" ca="1" si="59"/>
        <v>-5.4016709327697754E-8</v>
      </c>
      <c r="AU117" s="235">
        <f t="shared" ca="1" si="59"/>
        <v>-5.4016709327697754E-8</v>
      </c>
      <c r="AV117" s="235">
        <f t="shared" ca="1" si="59"/>
        <v>-5.4016709327697754E-8</v>
      </c>
      <c r="AW117" s="235">
        <f t="shared" ca="1" si="59"/>
        <v>-5.4016709327697754E-8</v>
      </c>
      <c r="AX117" s="235">
        <f t="shared" ca="1" si="59"/>
        <v>-5.4016709327697754E-8</v>
      </c>
      <c r="AY117" s="235">
        <f t="shared" ca="1" si="59"/>
        <v>-5.4016709327697754E-8</v>
      </c>
      <c r="AZ117" s="235">
        <f t="shared" ca="1" si="59"/>
        <v>-5.4016709327697754E-8</v>
      </c>
      <c r="BA117" s="235">
        <f t="shared" ca="1" si="59"/>
        <v>-5.4016709327697754E-8</v>
      </c>
      <c r="BB117" s="235">
        <f t="shared" ca="1" si="59"/>
        <v>-5.4016709327697754E-8</v>
      </c>
      <c r="BC117" s="235">
        <f t="shared" ca="1" si="59"/>
        <v>-5.4016709327697754E-8</v>
      </c>
      <c r="BD117" s="235">
        <f t="shared" ca="1" si="59"/>
        <v>-5.4016709327697754E-8</v>
      </c>
      <c r="BE117" s="235">
        <f t="shared" ca="1" si="59"/>
        <v>-5.4016709327697754E-8</v>
      </c>
      <c r="BF117" s="235">
        <f t="shared" ca="1" si="59"/>
        <v>-5.4016709327697754E-8</v>
      </c>
      <c r="BG117" s="235">
        <f t="shared" ca="1" si="59"/>
        <v>-5.4016709327697754E-8</v>
      </c>
      <c r="BH117" s="235">
        <f t="shared" ca="1" si="59"/>
        <v>-5.4016709327697754E-8</v>
      </c>
      <c r="BI117" s="235">
        <f t="shared" ca="1" si="59"/>
        <v>-5.4016709327697754E-8</v>
      </c>
      <c r="BJ117" s="235">
        <f t="shared" ca="1" si="59"/>
        <v>-5.4016709327697754E-8</v>
      </c>
      <c r="BK117" s="235">
        <f t="shared" ca="1" si="59"/>
        <v>-5.4016709327697754E-8</v>
      </c>
      <c r="BL117" s="235">
        <f t="shared" ca="1" si="59"/>
        <v>-5.4016709327697754E-8</v>
      </c>
      <c r="BM117" s="235">
        <f t="shared" ca="1" si="59"/>
        <v>-5.4016709327697754E-8</v>
      </c>
      <c r="BN117" s="235">
        <f t="shared" ca="1" si="59"/>
        <v>-5.4016709327697754E-8</v>
      </c>
      <c r="BO117" s="235">
        <f t="shared" ca="1" si="59"/>
        <v>-5.4016709327697754E-8</v>
      </c>
      <c r="BP117" s="235">
        <f t="shared" ca="1" si="59"/>
        <v>-5.4016709327697754E-8</v>
      </c>
      <c r="BQ117" s="235">
        <f t="shared" ca="1" si="59"/>
        <v>-5.4016709327697754E-8</v>
      </c>
      <c r="BR117" s="235">
        <f t="shared" ca="1" si="59"/>
        <v>-5.4016709327697754E-8</v>
      </c>
      <c r="BS117" s="235">
        <f t="shared" ca="1" si="59"/>
        <v>-5.4016709327697754E-8</v>
      </c>
      <c r="BT117" s="235">
        <f t="shared" ca="1" si="59"/>
        <v>-5.4016709327697754E-8</v>
      </c>
      <c r="BU117" s="235">
        <f t="shared" ca="1" si="59"/>
        <v>-5.4016709327697754E-8</v>
      </c>
      <c r="BV117" s="235">
        <f t="shared" ca="1" si="59"/>
        <v>-5.4016709327697754E-8</v>
      </c>
      <c r="BW117" s="235">
        <f t="shared" ca="1" si="59"/>
        <v>-5.4016709327697754E-8</v>
      </c>
      <c r="BX117" s="235">
        <f t="shared" ca="1" si="59"/>
        <v>-5.4016709327697754E-8</v>
      </c>
      <c r="BY117" s="235">
        <f t="shared" ref="BY117:DV117" ca="1" si="60">BY116+BY115</f>
        <v>-5.4016709327697754E-8</v>
      </c>
      <c r="BZ117" s="235">
        <f t="shared" ca="1" si="60"/>
        <v>-5.4016709327697754E-8</v>
      </c>
      <c r="CA117" s="235">
        <f t="shared" ca="1" si="60"/>
        <v>-5.4016709327697754E-8</v>
      </c>
      <c r="CB117" s="235">
        <f t="shared" ca="1" si="60"/>
        <v>-5.4016709327697754E-8</v>
      </c>
      <c r="CC117" s="235">
        <f t="shared" ca="1" si="60"/>
        <v>-5.4016709327697754E-8</v>
      </c>
      <c r="CD117" s="235">
        <f t="shared" ca="1" si="60"/>
        <v>-5.4016709327697754E-8</v>
      </c>
      <c r="CE117" s="235">
        <f t="shared" ca="1" si="60"/>
        <v>-5.4016709327697754E-8</v>
      </c>
      <c r="CF117" s="235">
        <f t="shared" ca="1" si="60"/>
        <v>-5.4016709327697754E-8</v>
      </c>
      <c r="CG117" s="235">
        <f t="shared" ca="1" si="60"/>
        <v>-5.4016709327697754E-8</v>
      </c>
      <c r="CH117" s="235">
        <f t="shared" ca="1" si="60"/>
        <v>-5.4016709327697754E-8</v>
      </c>
      <c r="CI117" s="235">
        <f t="shared" ca="1" si="60"/>
        <v>-5.4016709327697754E-8</v>
      </c>
      <c r="CJ117" s="235">
        <f t="shared" ca="1" si="60"/>
        <v>-5.4016709327697754E-8</v>
      </c>
      <c r="CK117" s="235">
        <f t="shared" ca="1" si="60"/>
        <v>-5.4016709327697754E-8</v>
      </c>
      <c r="CL117" s="235">
        <f t="shared" ca="1" si="60"/>
        <v>-5.4016709327697754E-8</v>
      </c>
      <c r="CM117" s="235">
        <f t="shared" ca="1" si="60"/>
        <v>-5.4016709327697754E-8</v>
      </c>
      <c r="CN117" s="235">
        <f t="shared" ca="1" si="60"/>
        <v>-5.4016709327697754E-8</v>
      </c>
      <c r="CO117" s="235">
        <f t="shared" ca="1" si="60"/>
        <v>-5.4016709327697754E-8</v>
      </c>
      <c r="CP117" s="235">
        <f t="shared" ca="1" si="60"/>
        <v>-5.4016709327697754E-8</v>
      </c>
      <c r="CQ117" s="235">
        <f t="shared" ca="1" si="60"/>
        <v>-5.4016709327697754E-8</v>
      </c>
      <c r="CR117" s="235">
        <f t="shared" ca="1" si="60"/>
        <v>-5.4016709327697754E-8</v>
      </c>
      <c r="CS117" s="235">
        <f t="shared" ca="1" si="60"/>
        <v>-5.4016709327697754E-8</v>
      </c>
      <c r="CT117" s="235">
        <f t="shared" ca="1" si="60"/>
        <v>-5.4016709327697754E-8</v>
      </c>
      <c r="CU117" s="235">
        <f t="shared" ca="1" si="60"/>
        <v>-5.4016709327697754E-8</v>
      </c>
      <c r="CV117" s="235">
        <f t="shared" ca="1" si="60"/>
        <v>-5.4016709327697754E-8</v>
      </c>
      <c r="CW117" s="235">
        <f t="shared" ca="1" si="60"/>
        <v>-5.4016709327697754E-8</v>
      </c>
      <c r="CX117" s="235">
        <f t="shared" ca="1" si="60"/>
        <v>-5.4016709327697754E-8</v>
      </c>
      <c r="CY117" s="235">
        <f t="shared" ca="1" si="60"/>
        <v>-5.4016709327697754E-8</v>
      </c>
      <c r="CZ117" s="235">
        <f t="shared" ca="1" si="60"/>
        <v>-5.4016709327697754E-8</v>
      </c>
      <c r="DA117" s="235">
        <f t="shared" ca="1" si="60"/>
        <v>-5.4016709327697754E-8</v>
      </c>
      <c r="DB117" s="235">
        <f t="shared" ca="1" si="60"/>
        <v>-5.4016709327697754E-8</v>
      </c>
      <c r="DC117" s="235">
        <f t="shared" ca="1" si="60"/>
        <v>-5.4016709327697754E-8</v>
      </c>
      <c r="DD117" s="235">
        <f t="shared" ca="1" si="60"/>
        <v>-5.4016709327697754E-8</v>
      </c>
      <c r="DE117" s="235">
        <f t="shared" ca="1" si="60"/>
        <v>-5.4016709327697754E-8</v>
      </c>
      <c r="DF117" s="235">
        <f t="shared" ca="1" si="60"/>
        <v>-5.4016709327697754E-8</v>
      </c>
      <c r="DG117" s="235">
        <f t="shared" ca="1" si="60"/>
        <v>-5.4016709327697754E-8</v>
      </c>
      <c r="DH117" s="235">
        <f t="shared" ca="1" si="60"/>
        <v>-5.4016709327697754E-8</v>
      </c>
      <c r="DI117" s="235">
        <f t="shared" ca="1" si="60"/>
        <v>-5.4016709327697754E-8</v>
      </c>
      <c r="DJ117" s="235">
        <f t="shared" ca="1" si="60"/>
        <v>-5.4016709327697754E-8</v>
      </c>
      <c r="DK117" s="235">
        <f t="shared" ca="1" si="60"/>
        <v>-5.4016709327697754E-8</v>
      </c>
      <c r="DL117" s="235">
        <f t="shared" ca="1" si="60"/>
        <v>-5.4016709327697754E-8</v>
      </c>
      <c r="DM117" s="235">
        <f t="shared" ca="1" si="60"/>
        <v>-5.4016709327697754E-8</v>
      </c>
      <c r="DN117" s="235">
        <f t="shared" ca="1" si="60"/>
        <v>-5.4016709327697754E-8</v>
      </c>
      <c r="DO117" s="235">
        <f t="shared" ca="1" si="60"/>
        <v>-5.4016709327697754E-8</v>
      </c>
      <c r="DP117" s="235">
        <f t="shared" ca="1" si="60"/>
        <v>-5.4016709327697754E-8</v>
      </c>
      <c r="DQ117" s="235">
        <f t="shared" ca="1" si="60"/>
        <v>-5.4016709327697754E-8</v>
      </c>
      <c r="DR117" s="235">
        <f t="shared" ca="1" si="60"/>
        <v>-5.4016709327697754E-8</v>
      </c>
      <c r="DS117" s="235">
        <f t="shared" ca="1" si="60"/>
        <v>-5.4016709327697754E-8</v>
      </c>
      <c r="DT117" s="235">
        <f t="shared" ca="1" si="60"/>
        <v>-5.4016709327697754E-8</v>
      </c>
      <c r="DU117" s="235">
        <f t="shared" ca="1" si="60"/>
        <v>-5.4016709327697754E-8</v>
      </c>
      <c r="DV117" s="235">
        <f t="shared" ca="1" si="60"/>
        <v>-5.4016709327697754E-8</v>
      </c>
    </row>
    <row r="118" spans="2:126" ht="11.25" customHeight="1">
      <c r="B118" s="211" t="str">
        <f>'CF(M)'!B125</f>
        <v>1종 우선주 CF_매각차익 제외</v>
      </c>
      <c r="C118" s="212"/>
      <c r="D118" s="212"/>
      <c r="E118" s="212"/>
      <c r="F118" s="212"/>
      <c r="G118" s="212"/>
      <c r="H118" s="213"/>
      <c r="I118" s="242">
        <f t="shared" ref="I118:I125" ca="1" si="61">IFERROR((IRR($L118:$DV118,0.001)+1)^2-1,)</f>
        <v>7.1225000000000316E-2</v>
      </c>
      <c r="J118" s="216">
        <f t="shared" ref="J118:J125" ca="1" si="62">SUM(L118:DV118)</f>
        <v>16800000</v>
      </c>
      <c r="L118" s="216">
        <f ca="1">-(L90-L94)</f>
        <v>-24000000</v>
      </c>
      <c r="M118" s="216">
        <f t="shared" ref="M118:BX118" ca="1" si="63">-(M90-M94)</f>
        <v>840000.00000000012</v>
      </c>
      <c r="N118" s="216">
        <f t="shared" ca="1" si="63"/>
        <v>840000.00000000012</v>
      </c>
      <c r="O118" s="216">
        <f t="shared" ca="1" si="63"/>
        <v>840000.00000000012</v>
      </c>
      <c r="P118" s="216">
        <f t="shared" ca="1" si="63"/>
        <v>840000.00000000012</v>
      </c>
      <c r="Q118" s="216">
        <f t="shared" ca="1" si="63"/>
        <v>840000.00000000012</v>
      </c>
      <c r="R118" s="216">
        <f t="shared" ca="1" si="63"/>
        <v>840000.00000000012</v>
      </c>
      <c r="S118" s="216">
        <f t="shared" ca="1" si="63"/>
        <v>840000.00000000012</v>
      </c>
      <c r="T118" s="216">
        <f t="shared" ca="1" si="63"/>
        <v>840000.00000000012</v>
      </c>
      <c r="U118" s="216">
        <f t="shared" ca="1" si="63"/>
        <v>840000.00000000012</v>
      </c>
      <c r="V118" s="216">
        <f t="shared" ca="1" si="63"/>
        <v>840000.00000000012</v>
      </c>
      <c r="W118" s="216">
        <f t="shared" ca="1" si="63"/>
        <v>840000.00000000012</v>
      </c>
      <c r="X118" s="216">
        <f t="shared" ca="1" si="63"/>
        <v>840000.00000000012</v>
      </c>
      <c r="Y118" s="216">
        <f t="shared" ca="1" si="63"/>
        <v>840000.00000000012</v>
      </c>
      <c r="Z118" s="216">
        <f t="shared" ca="1" si="63"/>
        <v>840000.00000000012</v>
      </c>
      <c r="AA118" s="216">
        <f t="shared" ca="1" si="63"/>
        <v>840000.00000000012</v>
      </c>
      <c r="AB118" s="216">
        <f t="shared" ca="1" si="63"/>
        <v>840000.00000000012</v>
      </c>
      <c r="AC118" s="216">
        <f t="shared" ca="1" si="63"/>
        <v>840000.00000000012</v>
      </c>
      <c r="AD118" s="216">
        <f t="shared" ca="1" si="63"/>
        <v>840000.00000000012</v>
      </c>
      <c r="AE118" s="216">
        <f t="shared" ca="1" si="63"/>
        <v>840000.00000000012</v>
      </c>
      <c r="AF118" s="216">
        <f t="shared" ca="1" si="63"/>
        <v>24840000</v>
      </c>
      <c r="AG118" s="216">
        <f t="shared" ca="1" si="63"/>
        <v>0</v>
      </c>
      <c r="AH118" s="216">
        <f t="shared" ca="1" si="63"/>
        <v>0</v>
      </c>
      <c r="AI118" s="216">
        <f t="shared" ca="1" si="63"/>
        <v>0</v>
      </c>
      <c r="AJ118" s="216">
        <f t="shared" si="63"/>
        <v>0</v>
      </c>
      <c r="AK118" s="216">
        <f t="shared" si="63"/>
        <v>0</v>
      </c>
      <c r="AL118" s="216">
        <f t="shared" si="63"/>
        <v>0</v>
      </c>
      <c r="AM118" s="216">
        <f t="shared" si="63"/>
        <v>0</v>
      </c>
      <c r="AN118" s="216">
        <f t="shared" si="63"/>
        <v>0</v>
      </c>
      <c r="AO118" s="216">
        <f t="shared" si="63"/>
        <v>0</v>
      </c>
      <c r="AP118" s="216">
        <f t="shared" si="63"/>
        <v>0</v>
      </c>
      <c r="AQ118" s="216">
        <f t="shared" si="63"/>
        <v>0</v>
      </c>
      <c r="AR118" s="216">
        <f t="shared" si="63"/>
        <v>0</v>
      </c>
      <c r="AS118" s="216">
        <f t="shared" si="63"/>
        <v>0</v>
      </c>
      <c r="AT118" s="216">
        <f t="shared" si="63"/>
        <v>0</v>
      </c>
      <c r="AU118" s="216">
        <f t="shared" si="63"/>
        <v>0</v>
      </c>
      <c r="AV118" s="216">
        <f t="shared" si="63"/>
        <v>0</v>
      </c>
      <c r="AW118" s="216">
        <f t="shared" si="63"/>
        <v>0</v>
      </c>
      <c r="AX118" s="216">
        <f t="shared" si="63"/>
        <v>0</v>
      </c>
      <c r="AY118" s="216">
        <f t="shared" si="63"/>
        <v>0</v>
      </c>
      <c r="AZ118" s="216">
        <f t="shared" si="63"/>
        <v>0</v>
      </c>
      <c r="BA118" s="216">
        <f t="shared" si="63"/>
        <v>0</v>
      </c>
      <c r="BB118" s="216">
        <f t="shared" si="63"/>
        <v>0</v>
      </c>
      <c r="BC118" s="216">
        <f t="shared" si="63"/>
        <v>0</v>
      </c>
      <c r="BD118" s="216">
        <f t="shared" si="63"/>
        <v>0</v>
      </c>
      <c r="BE118" s="216">
        <f t="shared" si="63"/>
        <v>0</v>
      </c>
      <c r="BF118" s="216">
        <f t="shared" si="63"/>
        <v>0</v>
      </c>
      <c r="BG118" s="216">
        <f t="shared" si="63"/>
        <v>0</v>
      </c>
      <c r="BH118" s="216">
        <f t="shared" si="63"/>
        <v>0</v>
      </c>
      <c r="BI118" s="216">
        <f t="shared" si="63"/>
        <v>0</v>
      </c>
      <c r="BJ118" s="216">
        <f t="shared" si="63"/>
        <v>0</v>
      </c>
      <c r="BK118" s="216">
        <f t="shared" si="63"/>
        <v>0</v>
      </c>
      <c r="BL118" s="216">
        <f t="shared" si="63"/>
        <v>0</v>
      </c>
      <c r="BM118" s="216">
        <f t="shared" si="63"/>
        <v>0</v>
      </c>
      <c r="BN118" s="216">
        <f t="shared" si="63"/>
        <v>0</v>
      </c>
      <c r="BO118" s="216">
        <f t="shared" si="63"/>
        <v>0</v>
      </c>
      <c r="BP118" s="216">
        <f t="shared" si="63"/>
        <v>0</v>
      </c>
      <c r="BQ118" s="216">
        <f t="shared" si="63"/>
        <v>0</v>
      </c>
      <c r="BR118" s="216">
        <f t="shared" si="63"/>
        <v>0</v>
      </c>
      <c r="BS118" s="216">
        <f t="shared" si="63"/>
        <v>0</v>
      </c>
      <c r="BT118" s="216">
        <f t="shared" si="63"/>
        <v>0</v>
      </c>
      <c r="BU118" s="216">
        <f t="shared" si="63"/>
        <v>0</v>
      </c>
      <c r="BV118" s="216">
        <f t="shared" si="63"/>
        <v>0</v>
      </c>
      <c r="BW118" s="216">
        <f t="shared" si="63"/>
        <v>0</v>
      </c>
      <c r="BX118" s="216">
        <f t="shared" si="63"/>
        <v>0</v>
      </c>
      <c r="BY118" s="216">
        <f t="shared" ref="BY118:DV118" si="64">-(BY90-BY94)</f>
        <v>0</v>
      </c>
      <c r="BZ118" s="216">
        <f t="shared" si="64"/>
        <v>0</v>
      </c>
      <c r="CA118" s="216">
        <f t="shared" si="64"/>
        <v>0</v>
      </c>
      <c r="CB118" s="216">
        <f t="shared" si="64"/>
        <v>0</v>
      </c>
      <c r="CC118" s="216">
        <f t="shared" si="64"/>
        <v>0</v>
      </c>
      <c r="CD118" s="216">
        <f t="shared" si="64"/>
        <v>0</v>
      </c>
      <c r="CE118" s="216">
        <f t="shared" si="64"/>
        <v>0</v>
      </c>
      <c r="CF118" s="216">
        <f t="shared" si="64"/>
        <v>0</v>
      </c>
      <c r="CG118" s="216">
        <f t="shared" si="64"/>
        <v>0</v>
      </c>
      <c r="CH118" s="216">
        <f t="shared" si="64"/>
        <v>0</v>
      </c>
      <c r="CI118" s="216">
        <f t="shared" si="64"/>
        <v>0</v>
      </c>
      <c r="CJ118" s="216">
        <f t="shared" si="64"/>
        <v>0</v>
      </c>
      <c r="CK118" s="216">
        <f t="shared" si="64"/>
        <v>0</v>
      </c>
      <c r="CL118" s="216">
        <f t="shared" si="64"/>
        <v>0</v>
      </c>
      <c r="CM118" s="216">
        <f t="shared" si="64"/>
        <v>0</v>
      </c>
      <c r="CN118" s="216">
        <f t="shared" si="64"/>
        <v>0</v>
      </c>
      <c r="CO118" s="216">
        <f t="shared" si="64"/>
        <v>0</v>
      </c>
      <c r="CP118" s="216">
        <f t="shared" si="64"/>
        <v>0</v>
      </c>
      <c r="CQ118" s="216">
        <f t="shared" si="64"/>
        <v>0</v>
      </c>
      <c r="CR118" s="216">
        <f t="shared" si="64"/>
        <v>0</v>
      </c>
      <c r="CS118" s="216">
        <f t="shared" si="64"/>
        <v>0</v>
      </c>
      <c r="CT118" s="216">
        <f t="shared" si="64"/>
        <v>0</v>
      </c>
      <c r="CU118" s="216">
        <f t="shared" si="64"/>
        <v>0</v>
      </c>
      <c r="CV118" s="216">
        <f t="shared" si="64"/>
        <v>0</v>
      </c>
      <c r="CW118" s="216">
        <f t="shared" si="64"/>
        <v>0</v>
      </c>
      <c r="CX118" s="216">
        <f t="shared" si="64"/>
        <v>0</v>
      </c>
      <c r="CY118" s="216">
        <f t="shared" si="64"/>
        <v>0</v>
      </c>
      <c r="CZ118" s="216">
        <f t="shared" si="64"/>
        <v>0</v>
      </c>
      <c r="DA118" s="216">
        <f t="shared" si="64"/>
        <v>0</v>
      </c>
      <c r="DB118" s="216">
        <f t="shared" si="64"/>
        <v>0</v>
      </c>
      <c r="DC118" s="216">
        <f t="shared" si="64"/>
        <v>0</v>
      </c>
      <c r="DD118" s="216">
        <f t="shared" si="64"/>
        <v>0</v>
      </c>
      <c r="DE118" s="216">
        <f t="shared" si="64"/>
        <v>0</v>
      </c>
      <c r="DF118" s="216">
        <f t="shared" si="64"/>
        <v>0</v>
      </c>
      <c r="DG118" s="216">
        <f t="shared" si="64"/>
        <v>0</v>
      </c>
      <c r="DH118" s="216">
        <f t="shared" si="64"/>
        <v>0</v>
      </c>
      <c r="DI118" s="216">
        <f t="shared" si="64"/>
        <v>0</v>
      </c>
      <c r="DJ118" s="216">
        <f t="shared" si="64"/>
        <v>0</v>
      </c>
      <c r="DK118" s="216">
        <f t="shared" si="64"/>
        <v>0</v>
      </c>
      <c r="DL118" s="216">
        <f t="shared" si="64"/>
        <v>0</v>
      </c>
      <c r="DM118" s="216">
        <f t="shared" si="64"/>
        <v>0</v>
      </c>
      <c r="DN118" s="216">
        <f t="shared" si="64"/>
        <v>0</v>
      </c>
      <c r="DO118" s="216">
        <f t="shared" si="64"/>
        <v>0</v>
      </c>
      <c r="DP118" s="216">
        <f t="shared" si="64"/>
        <v>0</v>
      </c>
      <c r="DQ118" s="216">
        <f t="shared" si="64"/>
        <v>0</v>
      </c>
      <c r="DR118" s="216">
        <f t="shared" si="64"/>
        <v>0</v>
      </c>
      <c r="DS118" s="216">
        <f t="shared" si="64"/>
        <v>0</v>
      </c>
      <c r="DT118" s="216">
        <f t="shared" si="64"/>
        <v>0</v>
      </c>
      <c r="DU118" s="216">
        <f t="shared" si="64"/>
        <v>0</v>
      </c>
      <c r="DV118" s="216">
        <f t="shared" si="64"/>
        <v>0</v>
      </c>
    </row>
    <row r="119" spans="2:126" ht="11.25" customHeight="1">
      <c r="B119" s="237" t="str">
        <f>'CF(M)'!B126</f>
        <v>1종 우선주 CF_매각차익 포함</v>
      </c>
      <c r="C119" s="238"/>
      <c r="D119" s="238"/>
      <c r="E119" s="238"/>
      <c r="F119" s="238"/>
      <c r="G119" s="238"/>
      <c r="H119" s="239"/>
      <c r="I119" s="243">
        <f t="shared" ca="1" si="61"/>
        <v>7.1225000000000316E-2</v>
      </c>
      <c r="J119" s="241">
        <f t="shared" ca="1" si="62"/>
        <v>16800000</v>
      </c>
      <c r="L119" s="235">
        <f ca="1">-L90</f>
        <v>-24000000</v>
      </c>
      <c r="M119" s="235">
        <f t="shared" ref="M119:BX119" ca="1" si="65">-M90</f>
        <v>840000.00000000012</v>
      </c>
      <c r="N119" s="235">
        <f t="shared" ca="1" si="65"/>
        <v>840000.00000000012</v>
      </c>
      <c r="O119" s="235">
        <f t="shared" ca="1" si="65"/>
        <v>840000.00000000012</v>
      </c>
      <c r="P119" s="235">
        <f t="shared" ca="1" si="65"/>
        <v>840000.00000000012</v>
      </c>
      <c r="Q119" s="235">
        <f t="shared" ca="1" si="65"/>
        <v>840000.00000000012</v>
      </c>
      <c r="R119" s="235">
        <f t="shared" ca="1" si="65"/>
        <v>840000.00000000012</v>
      </c>
      <c r="S119" s="235">
        <f t="shared" ca="1" si="65"/>
        <v>840000.00000000012</v>
      </c>
      <c r="T119" s="235">
        <f t="shared" ca="1" si="65"/>
        <v>840000.00000000012</v>
      </c>
      <c r="U119" s="235">
        <f t="shared" ca="1" si="65"/>
        <v>840000.00000000012</v>
      </c>
      <c r="V119" s="235">
        <f t="shared" ca="1" si="65"/>
        <v>840000.00000000012</v>
      </c>
      <c r="W119" s="235">
        <f t="shared" ca="1" si="65"/>
        <v>840000.00000000012</v>
      </c>
      <c r="X119" s="235">
        <f t="shared" ca="1" si="65"/>
        <v>840000.00000000012</v>
      </c>
      <c r="Y119" s="235">
        <f t="shared" ca="1" si="65"/>
        <v>840000.00000000012</v>
      </c>
      <c r="Z119" s="235">
        <f t="shared" ca="1" si="65"/>
        <v>840000.00000000012</v>
      </c>
      <c r="AA119" s="235">
        <f t="shared" ca="1" si="65"/>
        <v>840000.00000000012</v>
      </c>
      <c r="AB119" s="235">
        <f t="shared" ca="1" si="65"/>
        <v>840000.00000000012</v>
      </c>
      <c r="AC119" s="235">
        <f t="shared" ca="1" si="65"/>
        <v>840000.00000000012</v>
      </c>
      <c r="AD119" s="235">
        <f t="shared" ca="1" si="65"/>
        <v>840000.00000000012</v>
      </c>
      <c r="AE119" s="235">
        <f t="shared" ca="1" si="65"/>
        <v>840000.00000000012</v>
      </c>
      <c r="AF119" s="235">
        <f t="shared" ca="1" si="65"/>
        <v>24840000</v>
      </c>
      <c r="AG119" s="235">
        <f t="shared" ca="1" si="65"/>
        <v>0</v>
      </c>
      <c r="AH119" s="235">
        <f t="shared" ca="1" si="65"/>
        <v>0</v>
      </c>
      <c r="AI119" s="235">
        <f t="shared" ca="1" si="65"/>
        <v>0</v>
      </c>
      <c r="AJ119" s="235">
        <f t="shared" si="65"/>
        <v>0</v>
      </c>
      <c r="AK119" s="235">
        <f t="shared" si="65"/>
        <v>0</v>
      </c>
      <c r="AL119" s="235">
        <f t="shared" si="65"/>
        <v>0</v>
      </c>
      <c r="AM119" s="235">
        <f t="shared" si="65"/>
        <v>0</v>
      </c>
      <c r="AN119" s="235">
        <f t="shared" si="65"/>
        <v>0</v>
      </c>
      <c r="AO119" s="235">
        <f t="shared" si="65"/>
        <v>0</v>
      </c>
      <c r="AP119" s="235">
        <f t="shared" si="65"/>
        <v>0</v>
      </c>
      <c r="AQ119" s="235">
        <f t="shared" si="65"/>
        <v>0</v>
      </c>
      <c r="AR119" s="235">
        <f t="shared" si="65"/>
        <v>0</v>
      </c>
      <c r="AS119" s="235">
        <f t="shared" si="65"/>
        <v>0</v>
      </c>
      <c r="AT119" s="235">
        <f t="shared" si="65"/>
        <v>0</v>
      </c>
      <c r="AU119" s="235">
        <f t="shared" si="65"/>
        <v>0</v>
      </c>
      <c r="AV119" s="235">
        <f t="shared" si="65"/>
        <v>0</v>
      </c>
      <c r="AW119" s="235">
        <f t="shared" si="65"/>
        <v>0</v>
      </c>
      <c r="AX119" s="235">
        <f t="shared" si="65"/>
        <v>0</v>
      </c>
      <c r="AY119" s="235">
        <f t="shared" si="65"/>
        <v>0</v>
      </c>
      <c r="AZ119" s="235">
        <f t="shared" si="65"/>
        <v>0</v>
      </c>
      <c r="BA119" s="235">
        <f t="shared" si="65"/>
        <v>0</v>
      </c>
      <c r="BB119" s="235">
        <f t="shared" si="65"/>
        <v>0</v>
      </c>
      <c r="BC119" s="235">
        <f t="shared" si="65"/>
        <v>0</v>
      </c>
      <c r="BD119" s="235">
        <f t="shared" si="65"/>
        <v>0</v>
      </c>
      <c r="BE119" s="235">
        <f t="shared" si="65"/>
        <v>0</v>
      </c>
      <c r="BF119" s="235">
        <f t="shared" si="65"/>
        <v>0</v>
      </c>
      <c r="BG119" s="235">
        <f t="shared" si="65"/>
        <v>0</v>
      </c>
      <c r="BH119" s="235">
        <f t="shared" si="65"/>
        <v>0</v>
      </c>
      <c r="BI119" s="235">
        <f t="shared" si="65"/>
        <v>0</v>
      </c>
      <c r="BJ119" s="235">
        <f t="shared" si="65"/>
        <v>0</v>
      </c>
      <c r="BK119" s="235">
        <f t="shared" si="65"/>
        <v>0</v>
      </c>
      <c r="BL119" s="235">
        <f t="shared" si="65"/>
        <v>0</v>
      </c>
      <c r="BM119" s="235">
        <f t="shared" si="65"/>
        <v>0</v>
      </c>
      <c r="BN119" s="235">
        <f t="shared" si="65"/>
        <v>0</v>
      </c>
      <c r="BO119" s="235">
        <f t="shared" si="65"/>
        <v>0</v>
      </c>
      <c r="BP119" s="235">
        <f t="shared" si="65"/>
        <v>0</v>
      </c>
      <c r="BQ119" s="235">
        <f t="shared" si="65"/>
        <v>0</v>
      </c>
      <c r="BR119" s="235">
        <f t="shared" si="65"/>
        <v>0</v>
      </c>
      <c r="BS119" s="235">
        <f t="shared" si="65"/>
        <v>0</v>
      </c>
      <c r="BT119" s="235">
        <f t="shared" si="65"/>
        <v>0</v>
      </c>
      <c r="BU119" s="235">
        <f t="shared" si="65"/>
        <v>0</v>
      </c>
      <c r="BV119" s="235">
        <f t="shared" si="65"/>
        <v>0</v>
      </c>
      <c r="BW119" s="235">
        <f t="shared" si="65"/>
        <v>0</v>
      </c>
      <c r="BX119" s="235">
        <f t="shared" si="65"/>
        <v>0</v>
      </c>
      <c r="BY119" s="235">
        <f t="shared" ref="BY119:DV119" si="66">-BY90</f>
        <v>0</v>
      </c>
      <c r="BZ119" s="235">
        <f t="shared" si="66"/>
        <v>0</v>
      </c>
      <c r="CA119" s="235">
        <f t="shared" si="66"/>
        <v>0</v>
      </c>
      <c r="CB119" s="235">
        <f t="shared" si="66"/>
        <v>0</v>
      </c>
      <c r="CC119" s="235">
        <f t="shared" si="66"/>
        <v>0</v>
      </c>
      <c r="CD119" s="235">
        <f t="shared" si="66"/>
        <v>0</v>
      </c>
      <c r="CE119" s="235">
        <f t="shared" si="66"/>
        <v>0</v>
      </c>
      <c r="CF119" s="235">
        <f t="shared" si="66"/>
        <v>0</v>
      </c>
      <c r="CG119" s="235">
        <f t="shared" si="66"/>
        <v>0</v>
      </c>
      <c r="CH119" s="235">
        <f t="shared" si="66"/>
        <v>0</v>
      </c>
      <c r="CI119" s="235">
        <f t="shared" si="66"/>
        <v>0</v>
      </c>
      <c r="CJ119" s="235">
        <f t="shared" si="66"/>
        <v>0</v>
      </c>
      <c r="CK119" s="235">
        <f t="shared" si="66"/>
        <v>0</v>
      </c>
      <c r="CL119" s="235">
        <f t="shared" si="66"/>
        <v>0</v>
      </c>
      <c r="CM119" s="235">
        <f t="shared" si="66"/>
        <v>0</v>
      </c>
      <c r="CN119" s="235">
        <f t="shared" si="66"/>
        <v>0</v>
      </c>
      <c r="CO119" s="235">
        <f t="shared" si="66"/>
        <v>0</v>
      </c>
      <c r="CP119" s="235">
        <f t="shared" si="66"/>
        <v>0</v>
      </c>
      <c r="CQ119" s="235">
        <f t="shared" si="66"/>
        <v>0</v>
      </c>
      <c r="CR119" s="235">
        <f t="shared" si="66"/>
        <v>0</v>
      </c>
      <c r="CS119" s="235">
        <f t="shared" si="66"/>
        <v>0</v>
      </c>
      <c r="CT119" s="235">
        <f t="shared" si="66"/>
        <v>0</v>
      </c>
      <c r="CU119" s="235">
        <f t="shared" si="66"/>
        <v>0</v>
      </c>
      <c r="CV119" s="235">
        <f t="shared" si="66"/>
        <v>0</v>
      </c>
      <c r="CW119" s="235">
        <f t="shared" si="66"/>
        <v>0</v>
      </c>
      <c r="CX119" s="235">
        <f t="shared" si="66"/>
        <v>0</v>
      </c>
      <c r="CY119" s="235">
        <f t="shared" si="66"/>
        <v>0</v>
      </c>
      <c r="CZ119" s="235">
        <f t="shared" si="66"/>
        <v>0</v>
      </c>
      <c r="DA119" s="235">
        <f t="shared" si="66"/>
        <v>0</v>
      </c>
      <c r="DB119" s="235">
        <f t="shared" si="66"/>
        <v>0</v>
      </c>
      <c r="DC119" s="235">
        <f t="shared" si="66"/>
        <v>0</v>
      </c>
      <c r="DD119" s="235">
        <f t="shared" si="66"/>
        <v>0</v>
      </c>
      <c r="DE119" s="235">
        <f t="shared" si="66"/>
        <v>0</v>
      </c>
      <c r="DF119" s="235">
        <f t="shared" si="66"/>
        <v>0</v>
      </c>
      <c r="DG119" s="235">
        <f t="shared" si="66"/>
        <v>0</v>
      </c>
      <c r="DH119" s="235">
        <f t="shared" si="66"/>
        <v>0</v>
      </c>
      <c r="DI119" s="235">
        <f t="shared" si="66"/>
        <v>0</v>
      </c>
      <c r="DJ119" s="235">
        <f t="shared" si="66"/>
        <v>0</v>
      </c>
      <c r="DK119" s="235">
        <f t="shared" si="66"/>
        <v>0</v>
      </c>
      <c r="DL119" s="235">
        <f t="shared" si="66"/>
        <v>0</v>
      </c>
      <c r="DM119" s="235">
        <f t="shared" si="66"/>
        <v>0</v>
      </c>
      <c r="DN119" s="235">
        <f t="shared" si="66"/>
        <v>0</v>
      </c>
      <c r="DO119" s="235">
        <f t="shared" si="66"/>
        <v>0</v>
      </c>
      <c r="DP119" s="235">
        <f t="shared" si="66"/>
        <v>0</v>
      </c>
      <c r="DQ119" s="235">
        <f t="shared" si="66"/>
        <v>0</v>
      </c>
      <c r="DR119" s="235">
        <f t="shared" si="66"/>
        <v>0</v>
      </c>
      <c r="DS119" s="235">
        <f t="shared" si="66"/>
        <v>0</v>
      </c>
      <c r="DT119" s="235">
        <f t="shared" si="66"/>
        <v>0</v>
      </c>
      <c r="DU119" s="235">
        <f t="shared" si="66"/>
        <v>0</v>
      </c>
      <c r="DV119" s="235">
        <f t="shared" si="66"/>
        <v>0</v>
      </c>
    </row>
    <row r="120" spans="2:126" ht="11.25" customHeight="1">
      <c r="B120" s="211" t="str">
        <f>'CF(M)'!B127</f>
        <v>2종 우선주 CF_매각차익 제외</v>
      </c>
      <c r="C120" s="212"/>
      <c r="D120" s="212"/>
      <c r="E120" s="212"/>
      <c r="F120" s="212"/>
      <c r="G120" s="212"/>
      <c r="H120" s="213"/>
      <c r="I120" s="242">
        <f t="shared" ca="1" si="61"/>
        <v>7.5965190732598664E-2</v>
      </c>
      <c r="J120" s="216">
        <f t="shared" ca="1" si="62"/>
        <v>37500000</v>
      </c>
      <c r="L120" s="216">
        <f ca="1">-(L95-L99)</f>
        <v>-50000000</v>
      </c>
      <c r="M120" s="216">
        <f t="shared" ref="M120:BX120" ca="1" si="67">-(M95-M99)</f>
        <v>1875000</v>
      </c>
      <c r="N120" s="216">
        <f t="shared" ca="1" si="67"/>
        <v>1875000</v>
      </c>
      <c r="O120" s="216">
        <f t="shared" ca="1" si="67"/>
        <v>1875000</v>
      </c>
      <c r="P120" s="216">
        <f t="shared" ca="1" si="67"/>
        <v>1875000</v>
      </c>
      <c r="Q120" s="216">
        <f t="shared" ca="1" si="67"/>
        <v>1875000</v>
      </c>
      <c r="R120" s="216">
        <f t="shared" ca="1" si="67"/>
        <v>1875000</v>
      </c>
      <c r="S120" s="216">
        <f t="shared" ca="1" si="67"/>
        <v>1762472.0129412687</v>
      </c>
      <c r="T120" s="216">
        <f t="shared" ca="1" si="67"/>
        <v>1513291.9989280105</v>
      </c>
      <c r="U120" s="216">
        <f t="shared" ca="1" si="67"/>
        <v>1265541.4966859473</v>
      </c>
      <c r="V120" s="216">
        <f t="shared" ca="1" si="67"/>
        <v>1722478.4355854392</v>
      </c>
      <c r="W120" s="216">
        <f t="shared" ca="1" si="67"/>
        <v>1805647.7403300544</v>
      </c>
      <c r="X120" s="216">
        <f t="shared" ca="1" si="67"/>
        <v>2258497.3462193981</v>
      </c>
      <c r="Y120" s="216">
        <f t="shared" ca="1" si="67"/>
        <v>2031213.1788212531</v>
      </c>
      <c r="Z120" s="216">
        <f t="shared" ca="1" si="67"/>
        <v>2480274.6567853596</v>
      </c>
      <c r="AA120" s="216">
        <f t="shared" ca="1" si="67"/>
        <v>2035583.1337032691</v>
      </c>
      <c r="AB120" s="216">
        <f t="shared" ca="1" si="67"/>
        <v>1875000</v>
      </c>
      <c r="AC120" s="216">
        <f t="shared" ca="1" si="67"/>
        <v>1875000</v>
      </c>
      <c r="AD120" s="216">
        <f t="shared" ca="1" si="67"/>
        <v>1875000</v>
      </c>
      <c r="AE120" s="216">
        <f t="shared" ca="1" si="67"/>
        <v>1875000</v>
      </c>
      <c r="AF120" s="216">
        <f t="shared" ca="1" si="67"/>
        <v>51875000</v>
      </c>
      <c r="AG120" s="216">
        <f t="shared" ca="1" si="67"/>
        <v>0</v>
      </c>
      <c r="AH120" s="216">
        <f t="shared" ca="1" si="67"/>
        <v>0</v>
      </c>
      <c r="AI120" s="216">
        <f t="shared" ca="1" si="67"/>
        <v>0</v>
      </c>
      <c r="AJ120" s="216">
        <f t="shared" si="67"/>
        <v>0</v>
      </c>
      <c r="AK120" s="216">
        <f t="shared" si="67"/>
        <v>0</v>
      </c>
      <c r="AL120" s="216">
        <f t="shared" si="67"/>
        <v>0</v>
      </c>
      <c r="AM120" s="216">
        <f t="shared" si="67"/>
        <v>0</v>
      </c>
      <c r="AN120" s="216">
        <f t="shared" si="67"/>
        <v>0</v>
      </c>
      <c r="AO120" s="216">
        <f t="shared" si="67"/>
        <v>0</v>
      </c>
      <c r="AP120" s="216">
        <f t="shared" si="67"/>
        <v>0</v>
      </c>
      <c r="AQ120" s="216">
        <f t="shared" si="67"/>
        <v>0</v>
      </c>
      <c r="AR120" s="216">
        <f t="shared" si="67"/>
        <v>0</v>
      </c>
      <c r="AS120" s="216">
        <f t="shared" si="67"/>
        <v>0</v>
      </c>
      <c r="AT120" s="216">
        <f t="shared" si="67"/>
        <v>0</v>
      </c>
      <c r="AU120" s="216">
        <f t="shared" si="67"/>
        <v>0</v>
      </c>
      <c r="AV120" s="216">
        <f t="shared" si="67"/>
        <v>0</v>
      </c>
      <c r="AW120" s="216">
        <f t="shared" si="67"/>
        <v>0</v>
      </c>
      <c r="AX120" s="216">
        <f t="shared" si="67"/>
        <v>0</v>
      </c>
      <c r="AY120" s="216">
        <f t="shared" si="67"/>
        <v>0</v>
      </c>
      <c r="AZ120" s="216">
        <f t="shared" si="67"/>
        <v>0</v>
      </c>
      <c r="BA120" s="216">
        <f t="shared" si="67"/>
        <v>0</v>
      </c>
      <c r="BB120" s="216">
        <f t="shared" si="67"/>
        <v>0</v>
      </c>
      <c r="BC120" s="216">
        <f t="shared" si="67"/>
        <v>0</v>
      </c>
      <c r="BD120" s="216">
        <f t="shared" si="67"/>
        <v>0</v>
      </c>
      <c r="BE120" s="216">
        <f t="shared" si="67"/>
        <v>0</v>
      </c>
      <c r="BF120" s="216">
        <f t="shared" si="67"/>
        <v>0</v>
      </c>
      <c r="BG120" s="216">
        <f t="shared" si="67"/>
        <v>0</v>
      </c>
      <c r="BH120" s="216">
        <f t="shared" si="67"/>
        <v>0</v>
      </c>
      <c r="BI120" s="216">
        <f t="shared" si="67"/>
        <v>0</v>
      </c>
      <c r="BJ120" s="216">
        <f t="shared" si="67"/>
        <v>0</v>
      </c>
      <c r="BK120" s="216">
        <f t="shared" si="67"/>
        <v>0</v>
      </c>
      <c r="BL120" s="216">
        <f t="shared" si="67"/>
        <v>0</v>
      </c>
      <c r="BM120" s="216">
        <f t="shared" si="67"/>
        <v>0</v>
      </c>
      <c r="BN120" s="216">
        <f t="shared" si="67"/>
        <v>0</v>
      </c>
      <c r="BO120" s="216">
        <f t="shared" si="67"/>
        <v>0</v>
      </c>
      <c r="BP120" s="216">
        <f t="shared" si="67"/>
        <v>0</v>
      </c>
      <c r="BQ120" s="216">
        <f t="shared" si="67"/>
        <v>0</v>
      </c>
      <c r="BR120" s="216">
        <f t="shared" si="67"/>
        <v>0</v>
      </c>
      <c r="BS120" s="216">
        <f t="shared" si="67"/>
        <v>0</v>
      </c>
      <c r="BT120" s="216">
        <f t="shared" si="67"/>
        <v>0</v>
      </c>
      <c r="BU120" s="216">
        <f t="shared" si="67"/>
        <v>0</v>
      </c>
      <c r="BV120" s="216">
        <f t="shared" si="67"/>
        <v>0</v>
      </c>
      <c r="BW120" s="216">
        <f t="shared" si="67"/>
        <v>0</v>
      </c>
      <c r="BX120" s="216">
        <f t="shared" si="67"/>
        <v>0</v>
      </c>
      <c r="BY120" s="216">
        <f t="shared" ref="BY120:DV120" si="68">-(BY95-BY99)</f>
        <v>0</v>
      </c>
      <c r="BZ120" s="216">
        <f t="shared" si="68"/>
        <v>0</v>
      </c>
      <c r="CA120" s="216">
        <f t="shared" si="68"/>
        <v>0</v>
      </c>
      <c r="CB120" s="216">
        <f t="shared" si="68"/>
        <v>0</v>
      </c>
      <c r="CC120" s="216">
        <f t="shared" si="68"/>
        <v>0</v>
      </c>
      <c r="CD120" s="216">
        <f t="shared" si="68"/>
        <v>0</v>
      </c>
      <c r="CE120" s="216">
        <f t="shared" si="68"/>
        <v>0</v>
      </c>
      <c r="CF120" s="216">
        <f t="shared" si="68"/>
        <v>0</v>
      </c>
      <c r="CG120" s="216">
        <f t="shared" si="68"/>
        <v>0</v>
      </c>
      <c r="CH120" s="216">
        <f t="shared" si="68"/>
        <v>0</v>
      </c>
      <c r="CI120" s="216">
        <f t="shared" si="68"/>
        <v>0</v>
      </c>
      <c r="CJ120" s="216">
        <f t="shared" si="68"/>
        <v>0</v>
      </c>
      <c r="CK120" s="216">
        <f t="shared" si="68"/>
        <v>0</v>
      </c>
      <c r="CL120" s="216">
        <f t="shared" si="68"/>
        <v>0</v>
      </c>
      <c r="CM120" s="216">
        <f t="shared" si="68"/>
        <v>0</v>
      </c>
      <c r="CN120" s="216">
        <f t="shared" si="68"/>
        <v>0</v>
      </c>
      <c r="CO120" s="216">
        <f t="shared" si="68"/>
        <v>0</v>
      </c>
      <c r="CP120" s="216">
        <f t="shared" si="68"/>
        <v>0</v>
      </c>
      <c r="CQ120" s="216">
        <f t="shared" si="68"/>
        <v>0</v>
      </c>
      <c r="CR120" s="216">
        <f t="shared" si="68"/>
        <v>0</v>
      </c>
      <c r="CS120" s="216">
        <f t="shared" si="68"/>
        <v>0</v>
      </c>
      <c r="CT120" s="216">
        <f t="shared" si="68"/>
        <v>0</v>
      </c>
      <c r="CU120" s="216">
        <f t="shared" si="68"/>
        <v>0</v>
      </c>
      <c r="CV120" s="216">
        <f t="shared" si="68"/>
        <v>0</v>
      </c>
      <c r="CW120" s="216">
        <f t="shared" si="68"/>
        <v>0</v>
      </c>
      <c r="CX120" s="216">
        <f t="shared" si="68"/>
        <v>0</v>
      </c>
      <c r="CY120" s="216">
        <f t="shared" si="68"/>
        <v>0</v>
      </c>
      <c r="CZ120" s="216">
        <f t="shared" si="68"/>
        <v>0</v>
      </c>
      <c r="DA120" s="216">
        <f t="shared" si="68"/>
        <v>0</v>
      </c>
      <c r="DB120" s="216">
        <f t="shared" si="68"/>
        <v>0</v>
      </c>
      <c r="DC120" s="216">
        <f t="shared" si="68"/>
        <v>0</v>
      </c>
      <c r="DD120" s="216">
        <f t="shared" si="68"/>
        <v>0</v>
      </c>
      <c r="DE120" s="216">
        <f t="shared" si="68"/>
        <v>0</v>
      </c>
      <c r="DF120" s="216">
        <f t="shared" si="68"/>
        <v>0</v>
      </c>
      <c r="DG120" s="216">
        <f t="shared" si="68"/>
        <v>0</v>
      </c>
      <c r="DH120" s="216">
        <f t="shared" si="68"/>
        <v>0</v>
      </c>
      <c r="DI120" s="216">
        <f t="shared" si="68"/>
        <v>0</v>
      </c>
      <c r="DJ120" s="216">
        <f t="shared" si="68"/>
        <v>0</v>
      </c>
      <c r="DK120" s="216">
        <f t="shared" si="68"/>
        <v>0</v>
      </c>
      <c r="DL120" s="216">
        <f t="shared" si="68"/>
        <v>0</v>
      </c>
      <c r="DM120" s="216">
        <f t="shared" si="68"/>
        <v>0</v>
      </c>
      <c r="DN120" s="216">
        <f t="shared" si="68"/>
        <v>0</v>
      </c>
      <c r="DO120" s="216">
        <f t="shared" si="68"/>
        <v>0</v>
      </c>
      <c r="DP120" s="216">
        <f t="shared" si="68"/>
        <v>0</v>
      </c>
      <c r="DQ120" s="216">
        <f t="shared" si="68"/>
        <v>0</v>
      </c>
      <c r="DR120" s="216">
        <f t="shared" si="68"/>
        <v>0</v>
      </c>
      <c r="DS120" s="216">
        <f t="shared" si="68"/>
        <v>0</v>
      </c>
      <c r="DT120" s="216">
        <f t="shared" si="68"/>
        <v>0</v>
      </c>
      <c r="DU120" s="216">
        <f t="shared" si="68"/>
        <v>0</v>
      </c>
      <c r="DV120" s="216">
        <f t="shared" si="68"/>
        <v>0</v>
      </c>
    </row>
    <row r="121" spans="2:126" ht="11.25" customHeight="1">
      <c r="B121" s="237" t="str">
        <f>'CF(M)'!B128</f>
        <v>2종 우선주 CF_매각차익 포함</v>
      </c>
      <c r="C121" s="238"/>
      <c r="D121" s="238"/>
      <c r="E121" s="238"/>
      <c r="F121" s="238"/>
      <c r="G121" s="238"/>
      <c r="H121" s="239"/>
      <c r="I121" s="243">
        <f t="shared" ca="1" si="61"/>
        <v>9.1542830896576222E-2</v>
      </c>
      <c r="J121" s="241">
        <f t="shared" ca="1" si="62"/>
        <v>49267613.337566935</v>
      </c>
      <c r="L121" s="235">
        <f ca="1">-L95</f>
        <v>-50000000</v>
      </c>
      <c r="M121" s="235">
        <f t="shared" ref="M121:BX121" ca="1" si="69">-M95</f>
        <v>1875000</v>
      </c>
      <c r="N121" s="235">
        <f t="shared" ca="1" si="69"/>
        <v>1875000</v>
      </c>
      <c r="O121" s="235">
        <f t="shared" ca="1" si="69"/>
        <v>1875000</v>
      </c>
      <c r="P121" s="235">
        <f t="shared" ca="1" si="69"/>
        <v>1875000</v>
      </c>
      <c r="Q121" s="235">
        <f t="shared" ca="1" si="69"/>
        <v>1875000</v>
      </c>
      <c r="R121" s="235">
        <f t="shared" ca="1" si="69"/>
        <v>1875000</v>
      </c>
      <c r="S121" s="235">
        <f t="shared" ca="1" si="69"/>
        <v>1762472.0129412687</v>
      </c>
      <c r="T121" s="235">
        <f t="shared" ca="1" si="69"/>
        <v>1513291.9989280105</v>
      </c>
      <c r="U121" s="235">
        <f t="shared" ca="1" si="69"/>
        <v>1265541.4966859473</v>
      </c>
      <c r="V121" s="235">
        <f t="shared" ca="1" si="69"/>
        <v>1722478.4355854392</v>
      </c>
      <c r="W121" s="235">
        <f t="shared" ca="1" si="69"/>
        <v>1805647.7403300544</v>
      </c>
      <c r="X121" s="235">
        <f t="shared" ca="1" si="69"/>
        <v>2258497.3462193981</v>
      </c>
      <c r="Y121" s="235">
        <f t="shared" ca="1" si="69"/>
        <v>2031213.1788212531</v>
      </c>
      <c r="Z121" s="235">
        <f t="shared" ca="1" si="69"/>
        <v>2480274.6567853596</v>
      </c>
      <c r="AA121" s="235">
        <f t="shared" ca="1" si="69"/>
        <v>2035583.1337032691</v>
      </c>
      <c r="AB121" s="235">
        <f t="shared" ca="1" si="69"/>
        <v>1875000</v>
      </c>
      <c r="AC121" s="235">
        <f t="shared" ca="1" si="69"/>
        <v>1875000</v>
      </c>
      <c r="AD121" s="235">
        <f t="shared" ca="1" si="69"/>
        <v>1875000</v>
      </c>
      <c r="AE121" s="235">
        <f t="shared" ca="1" si="69"/>
        <v>1875000</v>
      </c>
      <c r="AF121" s="235">
        <f t="shared" ca="1" si="69"/>
        <v>63642613.337566935</v>
      </c>
      <c r="AG121" s="235">
        <f t="shared" ca="1" si="69"/>
        <v>0</v>
      </c>
      <c r="AH121" s="235">
        <f t="shared" ca="1" si="69"/>
        <v>0</v>
      </c>
      <c r="AI121" s="235">
        <f t="shared" ca="1" si="69"/>
        <v>0</v>
      </c>
      <c r="AJ121" s="235">
        <f t="shared" si="69"/>
        <v>0</v>
      </c>
      <c r="AK121" s="235">
        <f t="shared" si="69"/>
        <v>0</v>
      </c>
      <c r="AL121" s="235">
        <f t="shared" si="69"/>
        <v>0</v>
      </c>
      <c r="AM121" s="235">
        <f t="shared" si="69"/>
        <v>0</v>
      </c>
      <c r="AN121" s="235">
        <f t="shared" si="69"/>
        <v>0</v>
      </c>
      <c r="AO121" s="235">
        <f t="shared" si="69"/>
        <v>0</v>
      </c>
      <c r="AP121" s="235">
        <f t="shared" si="69"/>
        <v>0</v>
      </c>
      <c r="AQ121" s="235">
        <f t="shared" si="69"/>
        <v>0</v>
      </c>
      <c r="AR121" s="235">
        <f t="shared" si="69"/>
        <v>0</v>
      </c>
      <c r="AS121" s="235">
        <f t="shared" si="69"/>
        <v>0</v>
      </c>
      <c r="AT121" s="235">
        <f t="shared" si="69"/>
        <v>0</v>
      </c>
      <c r="AU121" s="235">
        <f t="shared" si="69"/>
        <v>0</v>
      </c>
      <c r="AV121" s="235">
        <f t="shared" si="69"/>
        <v>0</v>
      </c>
      <c r="AW121" s="235">
        <f t="shared" si="69"/>
        <v>0</v>
      </c>
      <c r="AX121" s="235">
        <f t="shared" si="69"/>
        <v>0</v>
      </c>
      <c r="AY121" s="235">
        <f t="shared" si="69"/>
        <v>0</v>
      </c>
      <c r="AZ121" s="235">
        <f t="shared" si="69"/>
        <v>0</v>
      </c>
      <c r="BA121" s="235">
        <f t="shared" si="69"/>
        <v>0</v>
      </c>
      <c r="BB121" s="235">
        <f t="shared" si="69"/>
        <v>0</v>
      </c>
      <c r="BC121" s="235">
        <f t="shared" si="69"/>
        <v>0</v>
      </c>
      <c r="BD121" s="235">
        <f t="shared" si="69"/>
        <v>0</v>
      </c>
      <c r="BE121" s="235">
        <f t="shared" si="69"/>
        <v>0</v>
      </c>
      <c r="BF121" s="235">
        <f t="shared" si="69"/>
        <v>0</v>
      </c>
      <c r="BG121" s="235">
        <f t="shared" si="69"/>
        <v>0</v>
      </c>
      <c r="BH121" s="235">
        <f t="shared" si="69"/>
        <v>0</v>
      </c>
      <c r="BI121" s="235">
        <f t="shared" si="69"/>
        <v>0</v>
      </c>
      <c r="BJ121" s="235">
        <f t="shared" si="69"/>
        <v>0</v>
      </c>
      <c r="BK121" s="235">
        <f t="shared" si="69"/>
        <v>0</v>
      </c>
      <c r="BL121" s="235">
        <f t="shared" si="69"/>
        <v>0</v>
      </c>
      <c r="BM121" s="235">
        <f t="shared" si="69"/>
        <v>0</v>
      </c>
      <c r="BN121" s="235">
        <f t="shared" si="69"/>
        <v>0</v>
      </c>
      <c r="BO121" s="235">
        <f t="shared" si="69"/>
        <v>0</v>
      </c>
      <c r="BP121" s="235">
        <f t="shared" si="69"/>
        <v>0</v>
      </c>
      <c r="BQ121" s="235">
        <f t="shared" si="69"/>
        <v>0</v>
      </c>
      <c r="BR121" s="235">
        <f t="shared" si="69"/>
        <v>0</v>
      </c>
      <c r="BS121" s="235">
        <f t="shared" si="69"/>
        <v>0</v>
      </c>
      <c r="BT121" s="235">
        <f t="shared" si="69"/>
        <v>0</v>
      </c>
      <c r="BU121" s="235">
        <f t="shared" si="69"/>
        <v>0</v>
      </c>
      <c r="BV121" s="235">
        <f t="shared" si="69"/>
        <v>0</v>
      </c>
      <c r="BW121" s="235">
        <f t="shared" si="69"/>
        <v>0</v>
      </c>
      <c r="BX121" s="235">
        <f t="shared" si="69"/>
        <v>0</v>
      </c>
      <c r="BY121" s="235">
        <f t="shared" ref="BY121:DV121" si="70">-BY95</f>
        <v>0</v>
      </c>
      <c r="BZ121" s="235">
        <f t="shared" si="70"/>
        <v>0</v>
      </c>
      <c r="CA121" s="235">
        <f t="shared" si="70"/>
        <v>0</v>
      </c>
      <c r="CB121" s="235">
        <f t="shared" si="70"/>
        <v>0</v>
      </c>
      <c r="CC121" s="235">
        <f t="shared" si="70"/>
        <v>0</v>
      </c>
      <c r="CD121" s="235">
        <f t="shared" si="70"/>
        <v>0</v>
      </c>
      <c r="CE121" s="235">
        <f t="shared" si="70"/>
        <v>0</v>
      </c>
      <c r="CF121" s="235">
        <f t="shared" si="70"/>
        <v>0</v>
      </c>
      <c r="CG121" s="235">
        <f t="shared" si="70"/>
        <v>0</v>
      </c>
      <c r="CH121" s="235">
        <f t="shared" si="70"/>
        <v>0</v>
      </c>
      <c r="CI121" s="235">
        <f t="shared" si="70"/>
        <v>0</v>
      </c>
      <c r="CJ121" s="235">
        <f t="shared" si="70"/>
        <v>0</v>
      </c>
      <c r="CK121" s="235">
        <f t="shared" si="70"/>
        <v>0</v>
      </c>
      <c r="CL121" s="235">
        <f t="shared" si="70"/>
        <v>0</v>
      </c>
      <c r="CM121" s="235">
        <f t="shared" si="70"/>
        <v>0</v>
      </c>
      <c r="CN121" s="235">
        <f t="shared" si="70"/>
        <v>0</v>
      </c>
      <c r="CO121" s="235">
        <f t="shared" si="70"/>
        <v>0</v>
      </c>
      <c r="CP121" s="235">
        <f t="shared" si="70"/>
        <v>0</v>
      </c>
      <c r="CQ121" s="235">
        <f t="shared" si="70"/>
        <v>0</v>
      </c>
      <c r="CR121" s="235">
        <f t="shared" si="70"/>
        <v>0</v>
      </c>
      <c r="CS121" s="235">
        <f t="shared" si="70"/>
        <v>0</v>
      </c>
      <c r="CT121" s="235">
        <f t="shared" si="70"/>
        <v>0</v>
      </c>
      <c r="CU121" s="235">
        <f t="shared" si="70"/>
        <v>0</v>
      </c>
      <c r="CV121" s="235">
        <f t="shared" si="70"/>
        <v>0</v>
      </c>
      <c r="CW121" s="235">
        <f t="shared" si="70"/>
        <v>0</v>
      </c>
      <c r="CX121" s="235">
        <f t="shared" si="70"/>
        <v>0</v>
      </c>
      <c r="CY121" s="235">
        <f t="shared" si="70"/>
        <v>0</v>
      </c>
      <c r="CZ121" s="235">
        <f t="shared" si="70"/>
        <v>0</v>
      </c>
      <c r="DA121" s="235">
        <f t="shared" si="70"/>
        <v>0</v>
      </c>
      <c r="DB121" s="235">
        <f t="shared" si="70"/>
        <v>0</v>
      </c>
      <c r="DC121" s="235">
        <f t="shared" si="70"/>
        <v>0</v>
      </c>
      <c r="DD121" s="235">
        <f t="shared" si="70"/>
        <v>0</v>
      </c>
      <c r="DE121" s="235">
        <f t="shared" si="70"/>
        <v>0</v>
      </c>
      <c r="DF121" s="235">
        <f t="shared" si="70"/>
        <v>0</v>
      </c>
      <c r="DG121" s="235">
        <f t="shared" si="70"/>
        <v>0</v>
      </c>
      <c r="DH121" s="235">
        <f t="shared" si="70"/>
        <v>0</v>
      </c>
      <c r="DI121" s="235">
        <f t="shared" si="70"/>
        <v>0</v>
      </c>
      <c r="DJ121" s="235">
        <f t="shared" si="70"/>
        <v>0</v>
      </c>
      <c r="DK121" s="235">
        <f t="shared" si="70"/>
        <v>0</v>
      </c>
      <c r="DL121" s="235">
        <f t="shared" si="70"/>
        <v>0</v>
      </c>
      <c r="DM121" s="235">
        <f t="shared" si="70"/>
        <v>0</v>
      </c>
      <c r="DN121" s="235">
        <f t="shared" si="70"/>
        <v>0</v>
      </c>
      <c r="DO121" s="235">
        <f t="shared" si="70"/>
        <v>0</v>
      </c>
      <c r="DP121" s="235">
        <f t="shared" si="70"/>
        <v>0</v>
      </c>
      <c r="DQ121" s="235">
        <f t="shared" si="70"/>
        <v>0</v>
      </c>
      <c r="DR121" s="235">
        <f t="shared" si="70"/>
        <v>0</v>
      </c>
      <c r="DS121" s="235">
        <f t="shared" si="70"/>
        <v>0</v>
      </c>
      <c r="DT121" s="235">
        <f t="shared" si="70"/>
        <v>0</v>
      </c>
      <c r="DU121" s="235">
        <f t="shared" si="70"/>
        <v>0</v>
      </c>
      <c r="DV121" s="235">
        <f t="shared" si="70"/>
        <v>0</v>
      </c>
    </row>
    <row r="122" spans="2:126" ht="11.25" customHeight="1">
      <c r="B122" s="211" t="str">
        <f>'CF(M)'!B129</f>
        <v>3종 우선주 CF_매각차익 제외</v>
      </c>
      <c r="C122" s="212"/>
      <c r="D122" s="212"/>
      <c r="E122" s="212"/>
      <c r="F122" s="212"/>
      <c r="G122" s="212"/>
      <c r="H122" s="213"/>
      <c r="I122" s="242">
        <f t="shared" si="61"/>
        <v>0</v>
      </c>
      <c r="J122" s="216">
        <f t="shared" si="62"/>
        <v>0</v>
      </c>
      <c r="L122" s="216">
        <f>-(L100-L104)</f>
        <v>-10000000</v>
      </c>
      <c r="M122" s="216">
        <f t="shared" ref="M122:BX122" si="71">-(M100-M104)</f>
        <v>0</v>
      </c>
      <c r="N122" s="216">
        <f t="shared" si="71"/>
        <v>0</v>
      </c>
      <c r="O122" s="216">
        <f t="shared" si="71"/>
        <v>0</v>
      </c>
      <c r="P122" s="216">
        <f t="shared" si="71"/>
        <v>10000000</v>
      </c>
      <c r="Q122" s="216">
        <f t="shared" si="71"/>
        <v>0</v>
      </c>
      <c r="R122" s="216">
        <f t="shared" si="71"/>
        <v>0</v>
      </c>
      <c r="S122" s="216">
        <f t="shared" si="71"/>
        <v>0</v>
      </c>
      <c r="T122" s="216">
        <f t="shared" si="71"/>
        <v>0</v>
      </c>
      <c r="U122" s="216">
        <f t="shared" si="71"/>
        <v>0</v>
      </c>
      <c r="V122" s="216">
        <f t="shared" si="71"/>
        <v>0</v>
      </c>
      <c r="W122" s="216">
        <f t="shared" si="71"/>
        <v>0</v>
      </c>
      <c r="X122" s="216">
        <f t="shared" si="71"/>
        <v>0</v>
      </c>
      <c r="Y122" s="216">
        <f t="shared" si="71"/>
        <v>0</v>
      </c>
      <c r="Z122" s="216">
        <f t="shared" si="71"/>
        <v>0</v>
      </c>
      <c r="AA122" s="216">
        <f t="shared" si="71"/>
        <v>0</v>
      </c>
      <c r="AB122" s="216">
        <f t="shared" si="71"/>
        <v>0</v>
      </c>
      <c r="AC122" s="216">
        <f t="shared" si="71"/>
        <v>0</v>
      </c>
      <c r="AD122" s="216">
        <f t="shared" si="71"/>
        <v>0</v>
      </c>
      <c r="AE122" s="216">
        <f t="shared" si="71"/>
        <v>0</v>
      </c>
      <c r="AF122" s="216">
        <f t="shared" si="71"/>
        <v>0</v>
      </c>
      <c r="AG122" s="216">
        <f t="shared" si="71"/>
        <v>0</v>
      </c>
      <c r="AH122" s="216">
        <f t="shared" si="71"/>
        <v>0</v>
      </c>
      <c r="AI122" s="216">
        <f t="shared" si="71"/>
        <v>0</v>
      </c>
      <c r="AJ122" s="216">
        <f t="shared" si="71"/>
        <v>0</v>
      </c>
      <c r="AK122" s="216">
        <f t="shared" si="71"/>
        <v>0</v>
      </c>
      <c r="AL122" s="216">
        <f t="shared" si="71"/>
        <v>0</v>
      </c>
      <c r="AM122" s="216">
        <f t="shared" si="71"/>
        <v>0</v>
      </c>
      <c r="AN122" s="216">
        <f t="shared" si="71"/>
        <v>0</v>
      </c>
      <c r="AO122" s="216">
        <f t="shared" si="71"/>
        <v>0</v>
      </c>
      <c r="AP122" s="216">
        <f t="shared" si="71"/>
        <v>0</v>
      </c>
      <c r="AQ122" s="216">
        <f t="shared" si="71"/>
        <v>0</v>
      </c>
      <c r="AR122" s="216">
        <f t="shared" si="71"/>
        <v>0</v>
      </c>
      <c r="AS122" s="216">
        <f t="shared" si="71"/>
        <v>0</v>
      </c>
      <c r="AT122" s="216">
        <f t="shared" si="71"/>
        <v>0</v>
      </c>
      <c r="AU122" s="216">
        <f t="shared" si="71"/>
        <v>0</v>
      </c>
      <c r="AV122" s="216">
        <f t="shared" si="71"/>
        <v>0</v>
      </c>
      <c r="AW122" s="216">
        <f t="shared" si="71"/>
        <v>0</v>
      </c>
      <c r="AX122" s="216">
        <f t="shared" si="71"/>
        <v>0</v>
      </c>
      <c r="AY122" s="216">
        <f t="shared" si="71"/>
        <v>0</v>
      </c>
      <c r="AZ122" s="216">
        <f t="shared" si="71"/>
        <v>0</v>
      </c>
      <c r="BA122" s="216">
        <f t="shared" si="71"/>
        <v>0</v>
      </c>
      <c r="BB122" s="216">
        <f t="shared" si="71"/>
        <v>0</v>
      </c>
      <c r="BC122" s="216">
        <f t="shared" si="71"/>
        <v>0</v>
      </c>
      <c r="BD122" s="216">
        <f t="shared" si="71"/>
        <v>0</v>
      </c>
      <c r="BE122" s="216">
        <f t="shared" si="71"/>
        <v>0</v>
      </c>
      <c r="BF122" s="216">
        <f t="shared" si="71"/>
        <v>0</v>
      </c>
      <c r="BG122" s="216">
        <f t="shared" si="71"/>
        <v>0</v>
      </c>
      <c r="BH122" s="216">
        <f t="shared" si="71"/>
        <v>0</v>
      </c>
      <c r="BI122" s="216">
        <f t="shared" si="71"/>
        <v>0</v>
      </c>
      <c r="BJ122" s="216">
        <f t="shared" si="71"/>
        <v>0</v>
      </c>
      <c r="BK122" s="216">
        <f t="shared" si="71"/>
        <v>0</v>
      </c>
      <c r="BL122" s="216">
        <f t="shared" si="71"/>
        <v>0</v>
      </c>
      <c r="BM122" s="216">
        <f t="shared" si="71"/>
        <v>0</v>
      </c>
      <c r="BN122" s="216">
        <f t="shared" si="71"/>
        <v>0</v>
      </c>
      <c r="BO122" s="216">
        <f t="shared" si="71"/>
        <v>0</v>
      </c>
      <c r="BP122" s="216">
        <f t="shared" si="71"/>
        <v>0</v>
      </c>
      <c r="BQ122" s="216">
        <f t="shared" si="71"/>
        <v>0</v>
      </c>
      <c r="BR122" s="216">
        <f t="shared" si="71"/>
        <v>0</v>
      </c>
      <c r="BS122" s="216">
        <f t="shared" si="71"/>
        <v>0</v>
      </c>
      <c r="BT122" s="216">
        <f t="shared" si="71"/>
        <v>0</v>
      </c>
      <c r="BU122" s="216">
        <f t="shared" si="71"/>
        <v>0</v>
      </c>
      <c r="BV122" s="216">
        <f t="shared" si="71"/>
        <v>0</v>
      </c>
      <c r="BW122" s="216">
        <f t="shared" si="71"/>
        <v>0</v>
      </c>
      <c r="BX122" s="216">
        <f t="shared" si="71"/>
        <v>0</v>
      </c>
      <c r="BY122" s="216">
        <f t="shared" ref="BY122:DV122" si="72">-(BY100-BY104)</f>
        <v>0</v>
      </c>
      <c r="BZ122" s="216">
        <f t="shared" si="72"/>
        <v>0</v>
      </c>
      <c r="CA122" s="216">
        <f t="shared" si="72"/>
        <v>0</v>
      </c>
      <c r="CB122" s="216">
        <f t="shared" si="72"/>
        <v>0</v>
      </c>
      <c r="CC122" s="216">
        <f t="shared" si="72"/>
        <v>0</v>
      </c>
      <c r="CD122" s="216">
        <f t="shared" si="72"/>
        <v>0</v>
      </c>
      <c r="CE122" s="216">
        <f t="shared" si="72"/>
        <v>0</v>
      </c>
      <c r="CF122" s="216">
        <f t="shared" si="72"/>
        <v>0</v>
      </c>
      <c r="CG122" s="216">
        <f t="shared" si="72"/>
        <v>0</v>
      </c>
      <c r="CH122" s="216">
        <f t="shared" si="72"/>
        <v>0</v>
      </c>
      <c r="CI122" s="216">
        <f t="shared" si="72"/>
        <v>0</v>
      </c>
      <c r="CJ122" s="216">
        <f t="shared" si="72"/>
        <v>0</v>
      </c>
      <c r="CK122" s="216">
        <f t="shared" si="72"/>
        <v>0</v>
      </c>
      <c r="CL122" s="216">
        <f t="shared" si="72"/>
        <v>0</v>
      </c>
      <c r="CM122" s="216">
        <f t="shared" si="72"/>
        <v>0</v>
      </c>
      <c r="CN122" s="216">
        <f t="shared" si="72"/>
        <v>0</v>
      </c>
      <c r="CO122" s="216">
        <f t="shared" si="72"/>
        <v>0</v>
      </c>
      <c r="CP122" s="216">
        <f t="shared" si="72"/>
        <v>0</v>
      </c>
      <c r="CQ122" s="216">
        <f t="shared" si="72"/>
        <v>0</v>
      </c>
      <c r="CR122" s="216">
        <f t="shared" si="72"/>
        <v>0</v>
      </c>
      <c r="CS122" s="216">
        <f t="shared" si="72"/>
        <v>0</v>
      </c>
      <c r="CT122" s="216">
        <f t="shared" si="72"/>
        <v>0</v>
      </c>
      <c r="CU122" s="216">
        <f t="shared" si="72"/>
        <v>0</v>
      </c>
      <c r="CV122" s="216">
        <f t="shared" si="72"/>
        <v>0</v>
      </c>
      <c r="CW122" s="216">
        <f t="shared" si="72"/>
        <v>0</v>
      </c>
      <c r="CX122" s="216">
        <f t="shared" si="72"/>
        <v>0</v>
      </c>
      <c r="CY122" s="216">
        <f t="shared" si="72"/>
        <v>0</v>
      </c>
      <c r="CZ122" s="216">
        <f t="shared" si="72"/>
        <v>0</v>
      </c>
      <c r="DA122" s="216">
        <f t="shared" si="72"/>
        <v>0</v>
      </c>
      <c r="DB122" s="216">
        <f t="shared" si="72"/>
        <v>0</v>
      </c>
      <c r="DC122" s="216">
        <f t="shared" si="72"/>
        <v>0</v>
      </c>
      <c r="DD122" s="216">
        <f t="shared" si="72"/>
        <v>0</v>
      </c>
      <c r="DE122" s="216">
        <f t="shared" si="72"/>
        <v>0</v>
      </c>
      <c r="DF122" s="216">
        <f t="shared" si="72"/>
        <v>0</v>
      </c>
      <c r="DG122" s="216">
        <f t="shared" si="72"/>
        <v>0</v>
      </c>
      <c r="DH122" s="216">
        <f t="shared" si="72"/>
        <v>0</v>
      </c>
      <c r="DI122" s="216">
        <f t="shared" si="72"/>
        <v>0</v>
      </c>
      <c r="DJ122" s="216">
        <f t="shared" si="72"/>
        <v>0</v>
      </c>
      <c r="DK122" s="216">
        <f t="shared" si="72"/>
        <v>0</v>
      </c>
      <c r="DL122" s="216">
        <f t="shared" si="72"/>
        <v>0</v>
      </c>
      <c r="DM122" s="216">
        <f t="shared" si="72"/>
        <v>0</v>
      </c>
      <c r="DN122" s="216">
        <f t="shared" si="72"/>
        <v>0</v>
      </c>
      <c r="DO122" s="216">
        <f t="shared" si="72"/>
        <v>0</v>
      </c>
      <c r="DP122" s="216">
        <f t="shared" si="72"/>
        <v>0</v>
      </c>
      <c r="DQ122" s="216">
        <f t="shared" si="72"/>
        <v>0</v>
      </c>
      <c r="DR122" s="216">
        <f t="shared" si="72"/>
        <v>0</v>
      </c>
      <c r="DS122" s="216">
        <f t="shared" si="72"/>
        <v>0</v>
      </c>
      <c r="DT122" s="216">
        <f t="shared" si="72"/>
        <v>0</v>
      </c>
      <c r="DU122" s="216">
        <f t="shared" si="72"/>
        <v>0</v>
      </c>
      <c r="DV122" s="216">
        <f t="shared" si="72"/>
        <v>0</v>
      </c>
    </row>
    <row r="123" spans="2:126" ht="11.25" customHeight="1">
      <c r="B123" s="237" t="str">
        <f>'CF(M)'!B130</f>
        <v>3종 우선주 CF_매각차익 포함</v>
      </c>
      <c r="C123" s="238"/>
      <c r="D123" s="238"/>
      <c r="E123" s="238"/>
      <c r="F123" s="238"/>
      <c r="G123" s="238"/>
      <c r="H123" s="239"/>
      <c r="I123" s="243">
        <f t="shared" si="61"/>
        <v>0</v>
      </c>
      <c r="J123" s="241">
        <f t="shared" si="62"/>
        <v>0</v>
      </c>
      <c r="L123" s="235">
        <f>-L100</f>
        <v>-10000000</v>
      </c>
      <c r="M123" s="235">
        <f t="shared" ref="M123:BX123" si="73">-M100</f>
        <v>0</v>
      </c>
      <c r="N123" s="235">
        <f t="shared" si="73"/>
        <v>0</v>
      </c>
      <c r="O123" s="235">
        <f t="shared" si="73"/>
        <v>0</v>
      </c>
      <c r="P123" s="235">
        <f t="shared" si="73"/>
        <v>10000000</v>
      </c>
      <c r="Q123" s="235">
        <f t="shared" si="73"/>
        <v>0</v>
      </c>
      <c r="R123" s="235">
        <f t="shared" si="73"/>
        <v>0</v>
      </c>
      <c r="S123" s="235">
        <f t="shared" si="73"/>
        <v>0</v>
      </c>
      <c r="T123" s="235">
        <f t="shared" si="73"/>
        <v>0</v>
      </c>
      <c r="U123" s="235">
        <f t="shared" si="73"/>
        <v>0</v>
      </c>
      <c r="V123" s="235">
        <f t="shared" si="73"/>
        <v>0</v>
      </c>
      <c r="W123" s="235">
        <f t="shared" si="73"/>
        <v>0</v>
      </c>
      <c r="X123" s="235">
        <f t="shared" si="73"/>
        <v>0</v>
      </c>
      <c r="Y123" s="235">
        <f t="shared" si="73"/>
        <v>0</v>
      </c>
      <c r="Z123" s="235">
        <f t="shared" si="73"/>
        <v>0</v>
      </c>
      <c r="AA123" s="235">
        <f t="shared" si="73"/>
        <v>0</v>
      </c>
      <c r="AB123" s="235">
        <f t="shared" si="73"/>
        <v>0</v>
      </c>
      <c r="AC123" s="235">
        <f t="shared" si="73"/>
        <v>0</v>
      </c>
      <c r="AD123" s="235">
        <f t="shared" si="73"/>
        <v>0</v>
      </c>
      <c r="AE123" s="235">
        <f t="shared" si="73"/>
        <v>0</v>
      </c>
      <c r="AF123" s="235">
        <f t="shared" si="73"/>
        <v>0</v>
      </c>
      <c r="AG123" s="235">
        <f t="shared" si="73"/>
        <v>0</v>
      </c>
      <c r="AH123" s="235">
        <f t="shared" si="73"/>
        <v>0</v>
      </c>
      <c r="AI123" s="235">
        <f t="shared" si="73"/>
        <v>0</v>
      </c>
      <c r="AJ123" s="235">
        <f t="shared" si="73"/>
        <v>0</v>
      </c>
      <c r="AK123" s="235">
        <f t="shared" si="73"/>
        <v>0</v>
      </c>
      <c r="AL123" s="235">
        <f t="shared" si="73"/>
        <v>0</v>
      </c>
      <c r="AM123" s="235">
        <f t="shared" si="73"/>
        <v>0</v>
      </c>
      <c r="AN123" s="235">
        <f t="shared" si="73"/>
        <v>0</v>
      </c>
      <c r="AO123" s="235">
        <f t="shared" si="73"/>
        <v>0</v>
      </c>
      <c r="AP123" s="235">
        <f t="shared" si="73"/>
        <v>0</v>
      </c>
      <c r="AQ123" s="235">
        <f t="shared" si="73"/>
        <v>0</v>
      </c>
      <c r="AR123" s="235">
        <f t="shared" si="73"/>
        <v>0</v>
      </c>
      <c r="AS123" s="235">
        <f t="shared" si="73"/>
        <v>0</v>
      </c>
      <c r="AT123" s="235">
        <f t="shared" si="73"/>
        <v>0</v>
      </c>
      <c r="AU123" s="235">
        <f t="shared" si="73"/>
        <v>0</v>
      </c>
      <c r="AV123" s="235">
        <f t="shared" si="73"/>
        <v>0</v>
      </c>
      <c r="AW123" s="235">
        <f t="shared" si="73"/>
        <v>0</v>
      </c>
      <c r="AX123" s="235">
        <f t="shared" si="73"/>
        <v>0</v>
      </c>
      <c r="AY123" s="235">
        <f t="shared" si="73"/>
        <v>0</v>
      </c>
      <c r="AZ123" s="235">
        <f t="shared" si="73"/>
        <v>0</v>
      </c>
      <c r="BA123" s="235">
        <f t="shared" si="73"/>
        <v>0</v>
      </c>
      <c r="BB123" s="235">
        <f t="shared" si="73"/>
        <v>0</v>
      </c>
      <c r="BC123" s="235">
        <f t="shared" si="73"/>
        <v>0</v>
      </c>
      <c r="BD123" s="235">
        <f t="shared" si="73"/>
        <v>0</v>
      </c>
      <c r="BE123" s="235">
        <f t="shared" si="73"/>
        <v>0</v>
      </c>
      <c r="BF123" s="235">
        <f t="shared" si="73"/>
        <v>0</v>
      </c>
      <c r="BG123" s="235">
        <f t="shared" si="73"/>
        <v>0</v>
      </c>
      <c r="BH123" s="235">
        <f t="shared" si="73"/>
        <v>0</v>
      </c>
      <c r="BI123" s="235">
        <f t="shared" si="73"/>
        <v>0</v>
      </c>
      <c r="BJ123" s="235">
        <f t="shared" si="73"/>
        <v>0</v>
      </c>
      <c r="BK123" s="235">
        <f t="shared" si="73"/>
        <v>0</v>
      </c>
      <c r="BL123" s="235">
        <f t="shared" si="73"/>
        <v>0</v>
      </c>
      <c r="BM123" s="235">
        <f t="shared" si="73"/>
        <v>0</v>
      </c>
      <c r="BN123" s="235">
        <f t="shared" si="73"/>
        <v>0</v>
      </c>
      <c r="BO123" s="235">
        <f t="shared" si="73"/>
        <v>0</v>
      </c>
      <c r="BP123" s="235">
        <f t="shared" si="73"/>
        <v>0</v>
      </c>
      <c r="BQ123" s="235">
        <f t="shared" si="73"/>
        <v>0</v>
      </c>
      <c r="BR123" s="235">
        <f t="shared" si="73"/>
        <v>0</v>
      </c>
      <c r="BS123" s="235">
        <f t="shared" si="73"/>
        <v>0</v>
      </c>
      <c r="BT123" s="235">
        <f t="shared" si="73"/>
        <v>0</v>
      </c>
      <c r="BU123" s="235">
        <f t="shared" si="73"/>
        <v>0</v>
      </c>
      <c r="BV123" s="235">
        <f t="shared" si="73"/>
        <v>0</v>
      </c>
      <c r="BW123" s="235">
        <f t="shared" si="73"/>
        <v>0</v>
      </c>
      <c r="BX123" s="235">
        <f t="shared" si="73"/>
        <v>0</v>
      </c>
      <c r="BY123" s="235">
        <f t="shared" ref="BY123:DV123" si="74">-BY100</f>
        <v>0</v>
      </c>
      <c r="BZ123" s="235">
        <f t="shared" si="74"/>
        <v>0</v>
      </c>
      <c r="CA123" s="235">
        <f t="shared" si="74"/>
        <v>0</v>
      </c>
      <c r="CB123" s="235">
        <f t="shared" si="74"/>
        <v>0</v>
      </c>
      <c r="CC123" s="235">
        <f t="shared" si="74"/>
        <v>0</v>
      </c>
      <c r="CD123" s="235">
        <f t="shared" si="74"/>
        <v>0</v>
      </c>
      <c r="CE123" s="235">
        <f t="shared" si="74"/>
        <v>0</v>
      </c>
      <c r="CF123" s="235">
        <f t="shared" si="74"/>
        <v>0</v>
      </c>
      <c r="CG123" s="235">
        <f t="shared" si="74"/>
        <v>0</v>
      </c>
      <c r="CH123" s="235">
        <f t="shared" si="74"/>
        <v>0</v>
      </c>
      <c r="CI123" s="235">
        <f t="shared" si="74"/>
        <v>0</v>
      </c>
      <c r="CJ123" s="235">
        <f t="shared" si="74"/>
        <v>0</v>
      </c>
      <c r="CK123" s="235">
        <f t="shared" si="74"/>
        <v>0</v>
      </c>
      <c r="CL123" s="235">
        <f t="shared" si="74"/>
        <v>0</v>
      </c>
      <c r="CM123" s="235">
        <f t="shared" si="74"/>
        <v>0</v>
      </c>
      <c r="CN123" s="235">
        <f t="shared" si="74"/>
        <v>0</v>
      </c>
      <c r="CO123" s="235">
        <f t="shared" si="74"/>
        <v>0</v>
      </c>
      <c r="CP123" s="235">
        <f t="shared" si="74"/>
        <v>0</v>
      </c>
      <c r="CQ123" s="235">
        <f t="shared" si="74"/>
        <v>0</v>
      </c>
      <c r="CR123" s="235">
        <f t="shared" si="74"/>
        <v>0</v>
      </c>
      <c r="CS123" s="235">
        <f t="shared" si="74"/>
        <v>0</v>
      </c>
      <c r="CT123" s="235">
        <f t="shared" si="74"/>
        <v>0</v>
      </c>
      <c r="CU123" s="235">
        <f t="shared" si="74"/>
        <v>0</v>
      </c>
      <c r="CV123" s="235">
        <f t="shared" si="74"/>
        <v>0</v>
      </c>
      <c r="CW123" s="235">
        <f t="shared" si="74"/>
        <v>0</v>
      </c>
      <c r="CX123" s="235">
        <f t="shared" si="74"/>
        <v>0</v>
      </c>
      <c r="CY123" s="235">
        <f t="shared" si="74"/>
        <v>0</v>
      </c>
      <c r="CZ123" s="235">
        <f t="shared" si="74"/>
        <v>0</v>
      </c>
      <c r="DA123" s="235">
        <f t="shared" si="74"/>
        <v>0</v>
      </c>
      <c r="DB123" s="235">
        <f t="shared" si="74"/>
        <v>0</v>
      </c>
      <c r="DC123" s="235">
        <f t="shared" si="74"/>
        <v>0</v>
      </c>
      <c r="DD123" s="235">
        <f t="shared" si="74"/>
        <v>0</v>
      </c>
      <c r="DE123" s="235">
        <f t="shared" si="74"/>
        <v>0</v>
      </c>
      <c r="DF123" s="235">
        <f t="shared" si="74"/>
        <v>0</v>
      </c>
      <c r="DG123" s="235">
        <f t="shared" si="74"/>
        <v>0</v>
      </c>
      <c r="DH123" s="235">
        <f t="shared" si="74"/>
        <v>0</v>
      </c>
      <c r="DI123" s="235">
        <f t="shared" si="74"/>
        <v>0</v>
      </c>
      <c r="DJ123" s="235">
        <f t="shared" si="74"/>
        <v>0</v>
      </c>
      <c r="DK123" s="235">
        <f t="shared" si="74"/>
        <v>0</v>
      </c>
      <c r="DL123" s="235">
        <f t="shared" si="74"/>
        <v>0</v>
      </c>
      <c r="DM123" s="235">
        <f t="shared" si="74"/>
        <v>0</v>
      </c>
      <c r="DN123" s="235">
        <f t="shared" si="74"/>
        <v>0</v>
      </c>
      <c r="DO123" s="235">
        <f t="shared" si="74"/>
        <v>0</v>
      </c>
      <c r="DP123" s="235">
        <f t="shared" si="74"/>
        <v>0</v>
      </c>
      <c r="DQ123" s="235">
        <f t="shared" si="74"/>
        <v>0</v>
      </c>
      <c r="DR123" s="235">
        <f t="shared" si="74"/>
        <v>0</v>
      </c>
      <c r="DS123" s="235">
        <f t="shared" si="74"/>
        <v>0</v>
      </c>
      <c r="DT123" s="235">
        <f t="shared" si="74"/>
        <v>0</v>
      </c>
      <c r="DU123" s="235">
        <f t="shared" si="74"/>
        <v>0</v>
      </c>
      <c r="DV123" s="235">
        <f t="shared" si="74"/>
        <v>0</v>
      </c>
    </row>
    <row r="124" spans="2:126" ht="11.25" customHeight="1">
      <c r="B124" s="211" t="str">
        <f>'CF(M)'!B131</f>
        <v>보통주 CF_매각차익 제외</v>
      </c>
      <c r="C124" s="212"/>
      <c r="D124" s="212"/>
      <c r="E124" s="212"/>
      <c r="F124" s="212"/>
      <c r="G124" s="212"/>
      <c r="H124" s="213"/>
      <c r="I124" s="242">
        <f t="shared" ca="1" si="61"/>
        <v>7.7792962088116813E-3</v>
      </c>
      <c r="J124" s="216">
        <f t="shared" ca="1" si="62"/>
        <v>1110000</v>
      </c>
      <c r="L124" s="216">
        <f ca="1">-(L105-L109)</f>
        <v>-14800000</v>
      </c>
      <c r="M124" s="216">
        <f t="shared" ref="M124:BX124" ca="1" si="75">-(M105-M109)</f>
        <v>555000</v>
      </c>
      <c r="N124" s="216">
        <f t="shared" ca="1" si="75"/>
        <v>555000</v>
      </c>
      <c r="O124" s="216">
        <f t="shared" ca="1" si="75"/>
        <v>0</v>
      </c>
      <c r="P124" s="216">
        <f t="shared" ca="1" si="75"/>
        <v>0</v>
      </c>
      <c r="Q124" s="216">
        <f t="shared" ca="1" si="75"/>
        <v>0</v>
      </c>
      <c r="R124" s="216">
        <f t="shared" ca="1" si="75"/>
        <v>0</v>
      </c>
      <c r="S124" s="216">
        <f t="shared" ca="1" si="75"/>
        <v>0</v>
      </c>
      <c r="T124" s="216">
        <f t="shared" ca="1" si="75"/>
        <v>0</v>
      </c>
      <c r="U124" s="216">
        <f t="shared" ca="1" si="75"/>
        <v>0</v>
      </c>
      <c r="V124" s="216">
        <f t="shared" ca="1" si="75"/>
        <v>0</v>
      </c>
      <c r="W124" s="216">
        <f t="shared" ca="1" si="75"/>
        <v>0</v>
      </c>
      <c r="X124" s="216">
        <f t="shared" ca="1" si="75"/>
        <v>0</v>
      </c>
      <c r="Y124" s="216">
        <f t="shared" ca="1" si="75"/>
        <v>0</v>
      </c>
      <c r="Z124" s="216">
        <f t="shared" ca="1" si="75"/>
        <v>0</v>
      </c>
      <c r="AA124" s="216">
        <f t="shared" ca="1" si="75"/>
        <v>0</v>
      </c>
      <c r="AB124" s="216">
        <f t="shared" ca="1" si="75"/>
        <v>0</v>
      </c>
      <c r="AC124" s="216">
        <f t="shared" ca="1" si="75"/>
        <v>0</v>
      </c>
      <c r="AD124" s="216">
        <f t="shared" ca="1" si="75"/>
        <v>0</v>
      </c>
      <c r="AE124" s="216">
        <f t="shared" ca="1" si="75"/>
        <v>0</v>
      </c>
      <c r="AF124" s="216">
        <f t="shared" ca="1" si="75"/>
        <v>14800000</v>
      </c>
      <c r="AG124" s="216">
        <f t="shared" ca="1" si="75"/>
        <v>0</v>
      </c>
      <c r="AH124" s="216">
        <f t="shared" ca="1" si="75"/>
        <v>0</v>
      </c>
      <c r="AI124" s="216">
        <f t="shared" ca="1" si="75"/>
        <v>0</v>
      </c>
      <c r="AJ124" s="216">
        <f t="shared" si="75"/>
        <v>0</v>
      </c>
      <c r="AK124" s="216">
        <f t="shared" si="75"/>
        <v>0</v>
      </c>
      <c r="AL124" s="216">
        <f t="shared" si="75"/>
        <v>0</v>
      </c>
      <c r="AM124" s="216">
        <f t="shared" si="75"/>
        <v>0</v>
      </c>
      <c r="AN124" s="216">
        <f t="shared" si="75"/>
        <v>0</v>
      </c>
      <c r="AO124" s="216">
        <f t="shared" si="75"/>
        <v>0</v>
      </c>
      <c r="AP124" s="216">
        <f t="shared" si="75"/>
        <v>0</v>
      </c>
      <c r="AQ124" s="216">
        <f t="shared" si="75"/>
        <v>0</v>
      </c>
      <c r="AR124" s="216">
        <f t="shared" si="75"/>
        <v>0</v>
      </c>
      <c r="AS124" s="216">
        <f t="shared" si="75"/>
        <v>0</v>
      </c>
      <c r="AT124" s="216">
        <f t="shared" si="75"/>
        <v>0</v>
      </c>
      <c r="AU124" s="216">
        <f t="shared" si="75"/>
        <v>0</v>
      </c>
      <c r="AV124" s="216">
        <f t="shared" si="75"/>
        <v>0</v>
      </c>
      <c r="AW124" s="216">
        <f t="shared" si="75"/>
        <v>0</v>
      </c>
      <c r="AX124" s="216">
        <f t="shared" si="75"/>
        <v>0</v>
      </c>
      <c r="AY124" s="216">
        <f t="shared" si="75"/>
        <v>0</v>
      </c>
      <c r="AZ124" s="216">
        <f t="shared" si="75"/>
        <v>0</v>
      </c>
      <c r="BA124" s="216">
        <f t="shared" si="75"/>
        <v>0</v>
      </c>
      <c r="BB124" s="216">
        <f t="shared" si="75"/>
        <v>0</v>
      </c>
      <c r="BC124" s="216">
        <f t="shared" si="75"/>
        <v>0</v>
      </c>
      <c r="BD124" s="216">
        <f t="shared" si="75"/>
        <v>0</v>
      </c>
      <c r="BE124" s="216">
        <f t="shared" si="75"/>
        <v>0</v>
      </c>
      <c r="BF124" s="216">
        <f t="shared" si="75"/>
        <v>0</v>
      </c>
      <c r="BG124" s="216">
        <f t="shared" si="75"/>
        <v>0</v>
      </c>
      <c r="BH124" s="216">
        <f t="shared" si="75"/>
        <v>0</v>
      </c>
      <c r="BI124" s="216">
        <f t="shared" si="75"/>
        <v>0</v>
      </c>
      <c r="BJ124" s="216">
        <f t="shared" si="75"/>
        <v>0</v>
      </c>
      <c r="BK124" s="216">
        <f t="shared" si="75"/>
        <v>0</v>
      </c>
      <c r="BL124" s="216">
        <f t="shared" si="75"/>
        <v>0</v>
      </c>
      <c r="BM124" s="216">
        <f t="shared" si="75"/>
        <v>0</v>
      </c>
      <c r="BN124" s="216">
        <f t="shared" si="75"/>
        <v>0</v>
      </c>
      <c r="BO124" s="216">
        <f t="shared" si="75"/>
        <v>0</v>
      </c>
      <c r="BP124" s="216">
        <f t="shared" si="75"/>
        <v>0</v>
      </c>
      <c r="BQ124" s="216">
        <f t="shared" si="75"/>
        <v>0</v>
      </c>
      <c r="BR124" s="216">
        <f t="shared" si="75"/>
        <v>0</v>
      </c>
      <c r="BS124" s="216">
        <f t="shared" si="75"/>
        <v>0</v>
      </c>
      <c r="BT124" s="216">
        <f t="shared" si="75"/>
        <v>0</v>
      </c>
      <c r="BU124" s="216">
        <f t="shared" si="75"/>
        <v>0</v>
      </c>
      <c r="BV124" s="216">
        <f t="shared" si="75"/>
        <v>0</v>
      </c>
      <c r="BW124" s="216">
        <f t="shared" si="75"/>
        <v>0</v>
      </c>
      <c r="BX124" s="216">
        <f t="shared" si="75"/>
        <v>0</v>
      </c>
      <c r="BY124" s="216">
        <f t="shared" ref="BY124:DV124" si="76">-(BY105-BY109)</f>
        <v>0</v>
      </c>
      <c r="BZ124" s="216">
        <f t="shared" si="76"/>
        <v>0</v>
      </c>
      <c r="CA124" s="216">
        <f t="shared" si="76"/>
        <v>0</v>
      </c>
      <c r="CB124" s="216">
        <f t="shared" si="76"/>
        <v>0</v>
      </c>
      <c r="CC124" s="216">
        <f t="shared" si="76"/>
        <v>0</v>
      </c>
      <c r="CD124" s="216">
        <f t="shared" si="76"/>
        <v>0</v>
      </c>
      <c r="CE124" s="216">
        <f t="shared" si="76"/>
        <v>0</v>
      </c>
      <c r="CF124" s="216">
        <f t="shared" si="76"/>
        <v>0</v>
      </c>
      <c r="CG124" s="216">
        <f t="shared" si="76"/>
        <v>0</v>
      </c>
      <c r="CH124" s="216">
        <f t="shared" si="76"/>
        <v>0</v>
      </c>
      <c r="CI124" s="216">
        <f t="shared" si="76"/>
        <v>0</v>
      </c>
      <c r="CJ124" s="216">
        <f t="shared" si="76"/>
        <v>0</v>
      </c>
      <c r="CK124" s="216">
        <f t="shared" si="76"/>
        <v>0</v>
      </c>
      <c r="CL124" s="216">
        <f t="shared" si="76"/>
        <v>0</v>
      </c>
      <c r="CM124" s="216">
        <f t="shared" si="76"/>
        <v>0</v>
      </c>
      <c r="CN124" s="216">
        <f t="shared" si="76"/>
        <v>0</v>
      </c>
      <c r="CO124" s="216">
        <f t="shared" si="76"/>
        <v>0</v>
      </c>
      <c r="CP124" s="216">
        <f t="shared" si="76"/>
        <v>0</v>
      </c>
      <c r="CQ124" s="216">
        <f t="shared" si="76"/>
        <v>0</v>
      </c>
      <c r="CR124" s="216">
        <f t="shared" si="76"/>
        <v>0</v>
      </c>
      <c r="CS124" s="216">
        <f t="shared" si="76"/>
        <v>0</v>
      </c>
      <c r="CT124" s="216">
        <f t="shared" si="76"/>
        <v>0</v>
      </c>
      <c r="CU124" s="216">
        <f t="shared" si="76"/>
        <v>0</v>
      </c>
      <c r="CV124" s="216">
        <f t="shared" si="76"/>
        <v>0</v>
      </c>
      <c r="CW124" s="216">
        <f t="shared" si="76"/>
        <v>0</v>
      </c>
      <c r="CX124" s="216">
        <f t="shared" si="76"/>
        <v>0</v>
      </c>
      <c r="CY124" s="216">
        <f t="shared" si="76"/>
        <v>0</v>
      </c>
      <c r="CZ124" s="216">
        <f t="shared" si="76"/>
        <v>0</v>
      </c>
      <c r="DA124" s="216">
        <f t="shared" si="76"/>
        <v>0</v>
      </c>
      <c r="DB124" s="216">
        <f t="shared" si="76"/>
        <v>0</v>
      </c>
      <c r="DC124" s="216">
        <f t="shared" si="76"/>
        <v>0</v>
      </c>
      <c r="DD124" s="216">
        <f t="shared" si="76"/>
        <v>0</v>
      </c>
      <c r="DE124" s="216">
        <f t="shared" si="76"/>
        <v>0</v>
      </c>
      <c r="DF124" s="216">
        <f t="shared" si="76"/>
        <v>0</v>
      </c>
      <c r="DG124" s="216">
        <f t="shared" si="76"/>
        <v>0</v>
      </c>
      <c r="DH124" s="216">
        <f t="shared" si="76"/>
        <v>0</v>
      </c>
      <c r="DI124" s="216">
        <f t="shared" si="76"/>
        <v>0</v>
      </c>
      <c r="DJ124" s="216">
        <f t="shared" si="76"/>
        <v>0</v>
      </c>
      <c r="DK124" s="216">
        <f t="shared" si="76"/>
        <v>0</v>
      </c>
      <c r="DL124" s="216">
        <f t="shared" si="76"/>
        <v>0</v>
      </c>
      <c r="DM124" s="216">
        <f t="shared" si="76"/>
        <v>0</v>
      </c>
      <c r="DN124" s="216">
        <f t="shared" si="76"/>
        <v>0</v>
      </c>
      <c r="DO124" s="216">
        <f t="shared" si="76"/>
        <v>0</v>
      </c>
      <c r="DP124" s="216">
        <f t="shared" si="76"/>
        <v>0</v>
      </c>
      <c r="DQ124" s="216">
        <f t="shared" si="76"/>
        <v>0</v>
      </c>
      <c r="DR124" s="216">
        <f t="shared" si="76"/>
        <v>0</v>
      </c>
      <c r="DS124" s="216">
        <f t="shared" si="76"/>
        <v>0</v>
      </c>
      <c r="DT124" s="216">
        <f t="shared" si="76"/>
        <v>0</v>
      </c>
      <c r="DU124" s="216">
        <f t="shared" si="76"/>
        <v>0</v>
      </c>
      <c r="DV124" s="216">
        <f t="shared" si="76"/>
        <v>0</v>
      </c>
    </row>
    <row r="125" spans="2:126" ht="11.25" customHeight="1">
      <c r="B125" s="237" t="str">
        <f>'CF(M)'!B132</f>
        <v>보통주 CF_매각차익 포함</v>
      </c>
      <c r="C125" s="238"/>
      <c r="D125" s="238"/>
      <c r="E125" s="238"/>
      <c r="F125" s="238"/>
      <c r="G125" s="238"/>
      <c r="H125" s="239"/>
      <c r="I125" s="243">
        <f t="shared" ca="1" si="61"/>
        <v>0.1618154483970744</v>
      </c>
      <c r="J125" s="241">
        <f t="shared" ca="1" si="62"/>
        <v>48180453.350267738</v>
      </c>
      <c r="L125" s="235">
        <f ca="1">-L105</f>
        <v>-14800000</v>
      </c>
      <c r="M125" s="235">
        <f t="shared" ref="M125:BX125" ca="1" si="77">-M105</f>
        <v>555000</v>
      </c>
      <c r="N125" s="235">
        <f t="shared" ca="1" si="77"/>
        <v>555000</v>
      </c>
      <c r="O125" s="235">
        <f t="shared" ca="1" si="77"/>
        <v>0</v>
      </c>
      <c r="P125" s="235">
        <f t="shared" ca="1" si="77"/>
        <v>0</v>
      </c>
      <c r="Q125" s="235">
        <f t="shared" ca="1" si="77"/>
        <v>0</v>
      </c>
      <c r="R125" s="235">
        <f t="shared" ca="1" si="77"/>
        <v>0</v>
      </c>
      <c r="S125" s="235">
        <f t="shared" ca="1" si="77"/>
        <v>0</v>
      </c>
      <c r="T125" s="235">
        <f t="shared" ca="1" si="77"/>
        <v>0</v>
      </c>
      <c r="U125" s="235">
        <f t="shared" ca="1" si="77"/>
        <v>0</v>
      </c>
      <c r="V125" s="235">
        <f t="shared" ca="1" si="77"/>
        <v>0</v>
      </c>
      <c r="W125" s="235">
        <f t="shared" ca="1" si="77"/>
        <v>0</v>
      </c>
      <c r="X125" s="235">
        <f t="shared" ca="1" si="77"/>
        <v>0</v>
      </c>
      <c r="Y125" s="235">
        <f t="shared" ca="1" si="77"/>
        <v>0</v>
      </c>
      <c r="Z125" s="235">
        <f t="shared" ca="1" si="77"/>
        <v>0</v>
      </c>
      <c r="AA125" s="235">
        <f t="shared" ca="1" si="77"/>
        <v>0</v>
      </c>
      <c r="AB125" s="235">
        <f t="shared" ca="1" si="77"/>
        <v>0</v>
      </c>
      <c r="AC125" s="235">
        <f t="shared" ca="1" si="77"/>
        <v>0</v>
      </c>
      <c r="AD125" s="235">
        <f t="shared" ca="1" si="77"/>
        <v>0</v>
      </c>
      <c r="AE125" s="235">
        <f t="shared" ca="1" si="77"/>
        <v>0</v>
      </c>
      <c r="AF125" s="235">
        <f t="shared" ca="1" si="77"/>
        <v>61870453.350267738</v>
      </c>
      <c r="AG125" s="235">
        <f t="shared" ca="1" si="77"/>
        <v>0</v>
      </c>
      <c r="AH125" s="235">
        <f t="shared" ca="1" si="77"/>
        <v>0</v>
      </c>
      <c r="AI125" s="235">
        <f t="shared" ca="1" si="77"/>
        <v>0</v>
      </c>
      <c r="AJ125" s="235">
        <f t="shared" si="77"/>
        <v>0</v>
      </c>
      <c r="AK125" s="235">
        <f t="shared" si="77"/>
        <v>0</v>
      </c>
      <c r="AL125" s="235">
        <f t="shared" si="77"/>
        <v>0</v>
      </c>
      <c r="AM125" s="235">
        <f t="shared" si="77"/>
        <v>0</v>
      </c>
      <c r="AN125" s="235">
        <f t="shared" si="77"/>
        <v>0</v>
      </c>
      <c r="AO125" s="235">
        <f t="shared" si="77"/>
        <v>0</v>
      </c>
      <c r="AP125" s="235">
        <f t="shared" si="77"/>
        <v>0</v>
      </c>
      <c r="AQ125" s="235">
        <f t="shared" si="77"/>
        <v>0</v>
      </c>
      <c r="AR125" s="235">
        <f t="shared" si="77"/>
        <v>0</v>
      </c>
      <c r="AS125" s="235">
        <f t="shared" si="77"/>
        <v>0</v>
      </c>
      <c r="AT125" s="235">
        <f t="shared" si="77"/>
        <v>0</v>
      </c>
      <c r="AU125" s="235">
        <f t="shared" si="77"/>
        <v>0</v>
      </c>
      <c r="AV125" s="235">
        <f t="shared" si="77"/>
        <v>0</v>
      </c>
      <c r="AW125" s="235">
        <f t="shared" si="77"/>
        <v>0</v>
      </c>
      <c r="AX125" s="235">
        <f t="shared" si="77"/>
        <v>0</v>
      </c>
      <c r="AY125" s="235">
        <f t="shared" si="77"/>
        <v>0</v>
      </c>
      <c r="AZ125" s="235">
        <f t="shared" si="77"/>
        <v>0</v>
      </c>
      <c r="BA125" s="235">
        <f t="shared" si="77"/>
        <v>0</v>
      </c>
      <c r="BB125" s="235">
        <f t="shared" si="77"/>
        <v>0</v>
      </c>
      <c r="BC125" s="235">
        <f t="shared" si="77"/>
        <v>0</v>
      </c>
      <c r="BD125" s="235">
        <f t="shared" si="77"/>
        <v>0</v>
      </c>
      <c r="BE125" s="235">
        <f t="shared" si="77"/>
        <v>0</v>
      </c>
      <c r="BF125" s="235">
        <f t="shared" si="77"/>
        <v>0</v>
      </c>
      <c r="BG125" s="235">
        <f t="shared" si="77"/>
        <v>0</v>
      </c>
      <c r="BH125" s="235">
        <f t="shared" si="77"/>
        <v>0</v>
      </c>
      <c r="BI125" s="235">
        <f t="shared" si="77"/>
        <v>0</v>
      </c>
      <c r="BJ125" s="235">
        <f t="shared" si="77"/>
        <v>0</v>
      </c>
      <c r="BK125" s="235">
        <f t="shared" si="77"/>
        <v>0</v>
      </c>
      <c r="BL125" s="235">
        <f t="shared" si="77"/>
        <v>0</v>
      </c>
      <c r="BM125" s="235">
        <f t="shared" si="77"/>
        <v>0</v>
      </c>
      <c r="BN125" s="235">
        <f t="shared" si="77"/>
        <v>0</v>
      </c>
      <c r="BO125" s="235">
        <f t="shared" si="77"/>
        <v>0</v>
      </c>
      <c r="BP125" s="235">
        <f t="shared" si="77"/>
        <v>0</v>
      </c>
      <c r="BQ125" s="235">
        <f t="shared" si="77"/>
        <v>0</v>
      </c>
      <c r="BR125" s="235">
        <f t="shared" si="77"/>
        <v>0</v>
      </c>
      <c r="BS125" s="235">
        <f t="shared" si="77"/>
        <v>0</v>
      </c>
      <c r="BT125" s="235">
        <f t="shared" si="77"/>
        <v>0</v>
      </c>
      <c r="BU125" s="235">
        <f t="shared" si="77"/>
        <v>0</v>
      </c>
      <c r="BV125" s="235">
        <f t="shared" si="77"/>
        <v>0</v>
      </c>
      <c r="BW125" s="235">
        <f t="shared" si="77"/>
        <v>0</v>
      </c>
      <c r="BX125" s="235">
        <f t="shared" si="77"/>
        <v>0</v>
      </c>
      <c r="BY125" s="235">
        <f t="shared" ref="BY125:DV125" si="78">-BY105</f>
        <v>0</v>
      </c>
      <c r="BZ125" s="235">
        <f t="shared" si="78"/>
        <v>0</v>
      </c>
      <c r="CA125" s="235">
        <f t="shared" si="78"/>
        <v>0</v>
      </c>
      <c r="CB125" s="235">
        <f t="shared" si="78"/>
        <v>0</v>
      </c>
      <c r="CC125" s="235">
        <f t="shared" si="78"/>
        <v>0</v>
      </c>
      <c r="CD125" s="235">
        <f t="shared" si="78"/>
        <v>0</v>
      </c>
      <c r="CE125" s="235">
        <f t="shared" si="78"/>
        <v>0</v>
      </c>
      <c r="CF125" s="235">
        <f t="shared" si="78"/>
        <v>0</v>
      </c>
      <c r="CG125" s="235">
        <f t="shared" si="78"/>
        <v>0</v>
      </c>
      <c r="CH125" s="235">
        <f t="shared" si="78"/>
        <v>0</v>
      </c>
      <c r="CI125" s="235">
        <f t="shared" si="78"/>
        <v>0</v>
      </c>
      <c r="CJ125" s="235">
        <f t="shared" si="78"/>
        <v>0</v>
      </c>
      <c r="CK125" s="235">
        <f t="shared" si="78"/>
        <v>0</v>
      </c>
      <c r="CL125" s="235">
        <f t="shared" si="78"/>
        <v>0</v>
      </c>
      <c r="CM125" s="235">
        <f t="shared" si="78"/>
        <v>0</v>
      </c>
      <c r="CN125" s="235">
        <f t="shared" si="78"/>
        <v>0</v>
      </c>
      <c r="CO125" s="235">
        <f t="shared" si="78"/>
        <v>0</v>
      </c>
      <c r="CP125" s="235">
        <f t="shared" si="78"/>
        <v>0</v>
      </c>
      <c r="CQ125" s="235">
        <f t="shared" si="78"/>
        <v>0</v>
      </c>
      <c r="CR125" s="235">
        <f t="shared" si="78"/>
        <v>0</v>
      </c>
      <c r="CS125" s="235">
        <f t="shared" si="78"/>
        <v>0</v>
      </c>
      <c r="CT125" s="235">
        <f t="shared" si="78"/>
        <v>0</v>
      </c>
      <c r="CU125" s="235">
        <f t="shared" si="78"/>
        <v>0</v>
      </c>
      <c r="CV125" s="235">
        <f t="shared" si="78"/>
        <v>0</v>
      </c>
      <c r="CW125" s="235">
        <f t="shared" si="78"/>
        <v>0</v>
      </c>
      <c r="CX125" s="235">
        <f t="shared" si="78"/>
        <v>0</v>
      </c>
      <c r="CY125" s="235">
        <f t="shared" si="78"/>
        <v>0</v>
      </c>
      <c r="CZ125" s="235">
        <f t="shared" si="78"/>
        <v>0</v>
      </c>
      <c r="DA125" s="235">
        <f t="shared" si="78"/>
        <v>0</v>
      </c>
      <c r="DB125" s="235">
        <f t="shared" si="78"/>
        <v>0</v>
      </c>
      <c r="DC125" s="235">
        <f t="shared" si="78"/>
        <v>0</v>
      </c>
      <c r="DD125" s="235">
        <f t="shared" si="78"/>
        <v>0</v>
      </c>
      <c r="DE125" s="235">
        <f t="shared" si="78"/>
        <v>0</v>
      </c>
      <c r="DF125" s="235">
        <f t="shared" si="78"/>
        <v>0</v>
      </c>
      <c r="DG125" s="235">
        <f t="shared" si="78"/>
        <v>0</v>
      </c>
      <c r="DH125" s="235">
        <f t="shared" si="78"/>
        <v>0</v>
      </c>
      <c r="DI125" s="235">
        <f t="shared" si="78"/>
        <v>0</v>
      </c>
      <c r="DJ125" s="235">
        <f t="shared" si="78"/>
        <v>0</v>
      </c>
      <c r="DK125" s="235">
        <f t="shared" si="78"/>
        <v>0</v>
      </c>
      <c r="DL125" s="235">
        <f t="shared" si="78"/>
        <v>0</v>
      </c>
      <c r="DM125" s="235">
        <f t="shared" si="78"/>
        <v>0</v>
      </c>
      <c r="DN125" s="235">
        <f t="shared" si="78"/>
        <v>0</v>
      </c>
      <c r="DO125" s="235">
        <f t="shared" si="78"/>
        <v>0</v>
      </c>
      <c r="DP125" s="235">
        <f t="shared" si="78"/>
        <v>0</v>
      </c>
      <c r="DQ125" s="235">
        <f t="shared" si="78"/>
        <v>0</v>
      </c>
      <c r="DR125" s="235">
        <f t="shared" si="78"/>
        <v>0</v>
      </c>
      <c r="DS125" s="235">
        <f t="shared" si="78"/>
        <v>0</v>
      </c>
      <c r="DT125" s="235">
        <f t="shared" si="78"/>
        <v>0</v>
      </c>
      <c r="DU125" s="235">
        <f t="shared" si="78"/>
        <v>0</v>
      </c>
      <c r="DV125" s="235">
        <f t="shared" si="78"/>
        <v>0</v>
      </c>
    </row>
  </sheetData>
  <phoneticPr fontId="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9A549-480D-4374-8191-0E2997012CB3}">
  <sheetPr codeName="Sheet10">
    <tabColor rgb="FF0070C0"/>
  </sheetPr>
  <dimension ref="A1:DY37"/>
  <sheetViews>
    <sheetView showGridLines="0" workbookViewId="0">
      <selection activeCell="R30" sqref="R30"/>
    </sheetView>
  </sheetViews>
  <sheetFormatPr defaultColWidth="9" defaultRowHeight="12"/>
  <cols>
    <col min="1" max="1" width="2.625" style="5" customWidth="1"/>
    <col min="2" max="2" width="1.75" style="5" customWidth="1"/>
    <col min="3" max="3" width="1.875" style="5" customWidth="1"/>
    <col min="4" max="7" width="9" style="5"/>
    <col min="8" max="8" width="9.75" style="5" bestFit="1" customWidth="1"/>
    <col min="9" max="9" width="10.125" style="5" bestFit="1" customWidth="1"/>
    <col min="10" max="10" width="2.125" style="5" customWidth="1"/>
    <col min="11" max="125" width="11" style="5" customWidth="1"/>
    <col min="126" max="16384" width="9" style="5"/>
  </cols>
  <sheetData>
    <row r="1" spans="1:129" s="3" customFormat="1">
      <c r="A1" s="2" t="s">
        <v>554</v>
      </c>
    </row>
    <row r="2" spans="1:129" s="4" customFormat="1">
      <c r="A2" s="4" t="s">
        <v>577</v>
      </c>
    </row>
    <row r="4" spans="1:129">
      <c r="B4" s="187" t="s">
        <v>0</v>
      </c>
      <c r="C4" s="143"/>
      <c r="D4" s="143"/>
      <c r="E4" s="143"/>
      <c r="F4" s="143"/>
      <c r="G4" s="143"/>
      <c r="H4" s="208"/>
      <c r="I4" s="969"/>
      <c r="K4" s="145">
        <f>'CF(FY)'!L4</f>
        <v>46326</v>
      </c>
      <c r="L4" s="145">
        <f>'CF(FY)'!M4</f>
        <v>46327</v>
      </c>
      <c r="M4" s="145">
        <f>'CF(FY)'!N4</f>
        <v>46508</v>
      </c>
      <c r="N4" s="145">
        <f>'CF(FY)'!O4</f>
        <v>46692</v>
      </c>
      <c r="O4" s="145">
        <f>'CF(FY)'!P4</f>
        <v>46874</v>
      </c>
      <c r="P4" s="145">
        <f>'CF(FY)'!Q4</f>
        <v>47058</v>
      </c>
      <c r="Q4" s="145">
        <f>'CF(FY)'!R4</f>
        <v>47239</v>
      </c>
      <c r="R4" s="145">
        <f>'CF(FY)'!S4</f>
        <v>47423</v>
      </c>
      <c r="S4" s="145">
        <f>'CF(FY)'!T4</f>
        <v>47604</v>
      </c>
      <c r="T4" s="145">
        <f>'CF(FY)'!U4</f>
        <v>47788</v>
      </c>
      <c r="U4" s="145">
        <f>'CF(FY)'!V4</f>
        <v>47969</v>
      </c>
      <c r="V4" s="145">
        <f>'CF(FY)'!W4</f>
        <v>48153</v>
      </c>
      <c r="W4" s="145">
        <f>'CF(FY)'!X4</f>
        <v>48335</v>
      </c>
      <c r="X4" s="145">
        <f>'CF(FY)'!Y4</f>
        <v>48519</v>
      </c>
      <c r="Y4" s="145">
        <f>'CF(FY)'!Z4</f>
        <v>48700</v>
      </c>
      <c r="Z4" s="145">
        <f>'CF(FY)'!AA4</f>
        <v>48884</v>
      </c>
      <c r="AA4" s="145">
        <f>'CF(FY)'!AB4</f>
        <v>49065</v>
      </c>
      <c r="AB4" s="145">
        <f>'CF(FY)'!AC4</f>
        <v>49249</v>
      </c>
      <c r="AC4" s="145">
        <f>'CF(FY)'!AD4</f>
        <v>49430</v>
      </c>
      <c r="AD4" s="145">
        <f>'CF(FY)'!AE4</f>
        <v>49614</v>
      </c>
      <c r="AE4" s="145">
        <f>'CF(FY)'!AF4</f>
        <v>49796</v>
      </c>
      <c r="AF4" s="145">
        <f>'CF(FY)'!AG4</f>
        <v>49980</v>
      </c>
      <c r="AG4" s="145">
        <f>'CF(FY)'!AH4</f>
        <v>50161</v>
      </c>
      <c r="AH4" s="145">
        <f>'CF(FY)'!AI4</f>
        <v>50345</v>
      </c>
      <c r="AI4" s="145">
        <f>'CF(FY)'!AJ4</f>
        <v>50526</v>
      </c>
      <c r="AJ4" s="145">
        <f>'CF(FY)'!AK4</f>
        <v>50710</v>
      </c>
      <c r="AK4" s="145">
        <f>'CF(FY)'!AL4</f>
        <v>50891</v>
      </c>
      <c r="AL4" s="145">
        <f>'CF(FY)'!AM4</f>
        <v>51075</v>
      </c>
      <c r="AM4" s="145">
        <f>'CF(FY)'!AN4</f>
        <v>51257</v>
      </c>
      <c r="AN4" s="145">
        <f>'CF(FY)'!AO4</f>
        <v>51441</v>
      </c>
      <c r="AO4" s="145">
        <f>'CF(FY)'!AP4</f>
        <v>51622</v>
      </c>
      <c r="AP4" s="145">
        <f>'CF(FY)'!AQ4</f>
        <v>51806</v>
      </c>
      <c r="AQ4" s="145">
        <f>'CF(FY)'!AR4</f>
        <v>51987</v>
      </c>
      <c r="AR4" s="145">
        <f>'CF(FY)'!AS4</f>
        <v>52171</v>
      </c>
      <c r="AS4" s="145">
        <f>'CF(FY)'!AT4</f>
        <v>52352</v>
      </c>
      <c r="AT4" s="145">
        <f>'CF(FY)'!AU4</f>
        <v>52536</v>
      </c>
      <c r="AU4" s="145">
        <f>'CF(FY)'!AV4</f>
        <v>52718</v>
      </c>
      <c r="AV4" s="145">
        <f>'CF(FY)'!AW4</f>
        <v>52902</v>
      </c>
      <c r="AW4" s="145">
        <f>'CF(FY)'!AX4</f>
        <v>53083</v>
      </c>
      <c r="AX4" s="145">
        <f>'CF(FY)'!AY4</f>
        <v>53267</v>
      </c>
      <c r="AY4" s="145">
        <f>'CF(FY)'!AZ4</f>
        <v>53448</v>
      </c>
      <c r="AZ4" s="145">
        <f>'CF(FY)'!BA4</f>
        <v>53632</v>
      </c>
      <c r="BA4" s="145">
        <f>'CF(FY)'!BB4</f>
        <v>53813</v>
      </c>
      <c r="BB4" s="145">
        <f>'CF(FY)'!BC4</f>
        <v>53997</v>
      </c>
      <c r="BC4" s="145">
        <f>'CF(FY)'!BD4</f>
        <v>54179</v>
      </c>
      <c r="BD4" s="145">
        <f>'CF(FY)'!BE4</f>
        <v>54363</v>
      </c>
      <c r="BE4" s="145">
        <f>'CF(FY)'!BF4</f>
        <v>54544</v>
      </c>
      <c r="BF4" s="145">
        <f>'CF(FY)'!BG4</f>
        <v>54728</v>
      </c>
      <c r="BG4" s="145">
        <f>'CF(FY)'!BH4</f>
        <v>54909</v>
      </c>
      <c r="BH4" s="145">
        <f>'CF(FY)'!BI4</f>
        <v>55093</v>
      </c>
      <c r="BI4" s="145">
        <f>'CF(FY)'!BJ4</f>
        <v>55274</v>
      </c>
      <c r="BJ4" s="145">
        <f>'CF(FY)'!BK4</f>
        <v>55458</v>
      </c>
      <c r="BK4" s="145">
        <f>'CF(FY)'!BL4</f>
        <v>55640</v>
      </c>
      <c r="BL4" s="145">
        <f>'CF(FY)'!BM4</f>
        <v>55824</v>
      </c>
      <c r="BM4" s="145">
        <f>'CF(FY)'!BN4</f>
        <v>56005</v>
      </c>
      <c r="BN4" s="145">
        <f>'CF(FY)'!BO4</f>
        <v>56189</v>
      </c>
      <c r="BO4" s="145">
        <f>'CF(FY)'!BP4</f>
        <v>56370</v>
      </c>
      <c r="BP4" s="145">
        <f>'CF(FY)'!BQ4</f>
        <v>56554</v>
      </c>
      <c r="BQ4" s="145">
        <f>'CF(FY)'!BR4</f>
        <v>56735</v>
      </c>
      <c r="BR4" s="145">
        <f>'CF(FY)'!BS4</f>
        <v>56919</v>
      </c>
      <c r="BS4" s="145">
        <f>'CF(FY)'!BT4</f>
        <v>57101</v>
      </c>
      <c r="BT4" s="145">
        <f>'CF(FY)'!BU4</f>
        <v>57285</v>
      </c>
      <c r="BU4" s="145">
        <f>'CF(FY)'!BV4</f>
        <v>57466</v>
      </c>
      <c r="BV4" s="145">
        <f>'CF(FY)'!BW4</f>
        <v>57650</v>
      </c>
      <c r="BW4" s="145">
        <f>'CF(FY)'!BX4</f>
        <v>57831</v>
      </c>
      <c r="BX4" s="145">
        <f>'CF(FY)'!BY4</f>
        <v>58015</v>
      </c>
      <c r="BY4" s="145">
        <f>'CF(FY)'!BZ4</f>
        <v>58196</v>
      </c>
      <c r="BZ4" s="145">
        <f>'CF(FY)'!CA4</f>
        <v>58380</v>
      </c>
      <c r="CA4" s="145">
        <f>'CF(FY)'!CB4</f>
        <v>58562</v>
      </c>
      <c r="CB4" s="145">
        <f>'CF(FY)'!CC4</f>
        <v>58746</v>
      </c>
      <c r="CC4" s="145">
        <f>'CF(FY)'!CD4</f>
        <v>58927</v>
      </c>
      <c r="CD4" s="145">
        <f>'CF(FY)'!CE4</f>
        <v>59111</v>
      </c>
      <c r="CE4" s="145">
        <f>'CF(FY)'!CF4</f>
        <v>59292</v>
      </c>
      <c r="CF4" s="145">
        <f>'CF(FY)'!CG4</f>
        <v>59476</v>
      </c>
      <c r="CG4" s="145">
        <f>'CF(FY)'!CH4</f>
        <v>59657</v>
      </c>
      <c r="CH4" s="145">
        <f>'CF(FY)'!CI4</f>
        <v>59841</v>
      </c>
      <c r="CI4" s="145">
        <f>'CF(FY)'!CJ4</f>
        <v>60023</v>
      </c>
      <c r="CJ4" s="145">
        <f>'CF(FY)'!CK4</f>
        <v>60207</v>
      </c>
      <c r="CK4" s="145">
        <f>'CF(FY)'!CL4</f>
        <v>60388</v>
      </c>
      <c r="CL4" s="145">
        <f>'CF(FY)'!CM4</f>
        <v>60572</v>
      </c>
      <c r="CM4" s="145">
        <f>'CF(FY)'!CN4</f>
        <v>60753</v>
      </c>
      <c r="CN4" s="145">
        <f>'CF(FY)'!CO4</f>
        <v>60937</v>
      </c>
      <c r="CO4" s="145">
        <f>'CF(FY)'!CP4</f>
        <v>61118</v>
      </c>
      <c r="CP4" s="145">
        <f>'CF(FY)'!CQ4</f>
        <v>61302</v>
      </c>
      <c r="CQ4" s="145">
        <f>'CF(FY)'!CR4</f>
        <v>61484</v>
      </c>
      <c r="CR4" s="145">
        <f>'CF(FY)'!CS4</f>
        <v>61668</v>
      </c>
      <c r="CS4" s="145">
        <f>'CF(FY)'!CT4</f>
        <v>61849</v>
      </c>
      <c r="CT4" s="145">
        <f>'CF(FY)'!CU4</f>
        <v>62033</v>
      </c>
      <c r="CU4" s="145">
        <f>'CF(FY)'!CV4</f>
        <v>62214</v>
      </c>
      <c r="CV4" s="145">
        <f>'CF(FY)'!CW4</f>
        <v>62398</v>
      </c>
      <c r="CW4" s="145">
        <f>'CF(FY)'!CX4</f>
        <v>62579</v>
      </c>
      <c r="CX4" s="145">
        <f>'CF(FY)'!CY4</f>
        <v>62763</v>
      </c>
      <c r="CY4" s="145">
        <f>'CF(FY)'!CZ4</f>
        <v>62945</v>
      </c>
      <c r="CZ4" s="145">
        <f>'CF(FY)'!DA4</f>
        <v>63129</v>
      </c>
      <c r="DA4" s="145">
        <f>'CF(FY)'!DB4</f>
        <v>63310</v>
      </c>
      <c r="DB4" s="145">
        <f>'CF(FY)'!DC4</f>
        <v>63494</v>
      </c>
      <c r="DC4" s="145">
        <f>'CF(FY)'!DD4</f>
        <v>63675</v>
      </c>
      <c r="DD4" s="145">
        <f>'CF(FY)'!DE4</f>
        <v>63859</v>
      </c>
      <c r="DE4" s="145">
        <f>'CF(FY)'!DF4</f>
        <v>64040</v>
      </c>
      <c r="DF4" s="145">
        <f>'CF(FY)'!DG4</f>
        <v>64224</v>
      </c>
      <c r="DG4" s="145">
        <f>'CF(FY)'!DH4</f>
        <v>64406</v>
      </c>
      <c r="DH4" s="145">
        <f>'CF(FY)'!DI4</f>
        <v>64590</v>
      </c>
      <c r="DI4" s="145">
        <f>'CF(FY)'!DJ4</f>
        <v>64771</v>
      </c>
      <c r="DJ4" s="145">
        <f>'CF(FY)'!DK4</f>
        <v>64955</v>
      </c>
      <c r="DK4" s="145">
        <f>'CF(FY)'!DL4</f>
        <v>65136</v>
      </c>
      <c r="DL4" s="145">
        <f>'CF(FY)'!DM4</f>
        <v>65320</v>
      </c>
      <c r="DM4" s="145">
        <f>'CF(FY)'!DN4</f>
        <v>65501</v>
      </c>
      <c r="DN4" s="145">
        <f>'CF(FY)'!DO4</f>
        <v>65685</v>
      </c>
      <c r="DO4" s="145">
        <f>'CF(FY)'!DP4</f>
        <v>65867</v>
      </c>
      <c r="DP4" s="145">
        <f>'CF(FY)'!DQ4</f>
        <v>66051</v>
      </c>
      <c r="DQ4" s="145">
        <f>'CF(FY)'!DR4</f>
        <v>66232</v>
      </c>
      <c r="DR4" s="145">
        <f>'CF(FY)'!DS4</f>
        <v>66416</v>
      </c>
      <c r="DS4" s="145">
        <f>'CF(FY)'!DT4</f>
        <v>66597</v>
      </c>
      <c r="DT4" s="145">
        <f>'CF(FY)'!DU4</f>
        <v>66781</v>
      </c>
      <c r="DU4" s="145">
        <f>'CF(FY)'!DV4</f>
        <v>66962</v>
      </c>
      <c r="DV4" s="146"/>
      <c r="DW4" s="146"/>
      <c r="DX4" s="146"/>
      <c r="DY4" s="146"/>
    </row>
    <row r="5" spans="1:129">
      <c r="B5" s="187" t="s">
        <v>1</v>
      </c>
      <c r="C5" s="143"/>
      <c r="D5" s="143"/>
      <c r="E5" s="143"/>
      <c r="F5" s="143"/>
      <c r="G5" s="143"/>
      <c r="H5" s="208"/>
      <c r="I5" s="969"/>
      <c r="K5" s="145">
        <f>'CF(FY)'!L5</f>
        <v>46326</v>
      </c>
      <c r="L5" s="145">
        <f>'CF(FY)'!M5</f>
        <v>46507</v>
      </c>
      <c r="M5" s="145">
        <f>'CF(FY)'!N5</f>
        <v>46691</v>
      </c>
      <c r="N5" s="145">
        <f>'CF(FY)'!O5</f>
        <v>46873</v>
      </c>
      <c r="O5" s="145">
        <f>'CF(FY)'!P5</f>
        <v>47057</v>
      </c>
      <c r="P5" s="145">
        <f>'CF(FY)'!Q5</f>
        <v>47238</v>
      </c>
      <c r="Q5" s="145">
        <f>'CF(FY)'!R5</f>
        <v>47422</v>
      </c>
      <c r="R5" s="145">
        <f>'CF(FY)'!S5</f>
        <v>47603</v>
      </c>
      <c r="S5" s="145">
        <f>'CF(FY)'!T5</f>
        <v>47787</v>
      </c>
      <c r="T5" s="145">
        <f>'CF(FY)'!U5</f>
        <v>47968</v>
      </c>
      <c r="U5" s="145">
        <f>'CF(FY)'!V5</f>
        <v>48152</v>
      </c>
      <c r="V5" s="145">
        <f>'CF(FY)'!W5</f>
        <v>48334</v>
      </c>
      <c r="W5" s="145">
        <f>'CF(FY)'!X5</f>
        <v>48518</v>
      </c>
      <c r="X5" s="145">
        <f>'CF(FY)'!Y5</f>
        <v>48699</v>
      </c>
      <c r="Y5" s="145">
        <f>'CF(FY)'!Z5</f>
        <v>48883</v>
      </c>
      <c r="Z5" s="145">
        <f>'CF(FY)'!AA5</f>
        <v>49064</v>
      </c>
      <c r="AA5" s="145">
        <f>'CF(FY)'!AB5</f>
        <v>49248</v>
      </c>
      <c r="AB5" s="145">
        <f>'CF(FY)'!AC5</f>
        <v>49429</v>
      </c>
      <c r="AC5" s="145">
        <f>'CF(FY)'!AD5</f>
        <v>49613</v>
      </c>
      <c r="AD5" s="145">
        <f>'CF(FY)'!AE5</f>
        <v>49795</v>
      </c>
      <c r="AE5" s="145">
        <f>'CF(FY)'!AF5</f>
        <v>49979</v>
      </c>
      <c r="AF5" s="145">
        <f>'CF(FY)'!AG5</f>
        <v>50160</v>
      </c>
      <c r="AG5" s="145">
        <f>'CF(FY)'!AH5</f>
        <v>50344</v>
      </c>
      <c r="AH5" s="145">
        <f>'CF(FY)'!AI5</f>
        <v>50525</v>
      </c>
      <c r="AI5" s="145">
        <f>'CF(FY)'!AJ5</f>
        <v>50709</v>
      </c>
      <c r="AJ5" s="145">
        <f>'CF(FY)'!AK5</f>
        <v>50890</v>
      </c>
      <c r="AK5" s="145">
        <f>'CF(FY)'!AL5</f>
        <v>51074</v>
      </c>
      <c r="AL5" s="145">
        <f>'CF(FY)'!AM5</f>
        <v>51256</v>
      </c>
      <c r="AM5" s="145">
        <f>'CF(FY)'!AN5</f>
        <v>51440</v>
      </c>
      <c r="AN5" s="145">
        <f>'CF(FY)'!AO5</f>
        <v>51621</v>
      </c>
      <c r="AO5" s="145">
        <f>'CF(FY)'!AP5</f>
        <v>51805</v>
      </c>
      <c r="AP5" s="145">
        <f>'CF(FY)'!AQ5</f>
        <v>51986</v>
      </c>
      <c r="AQ5" s="145">
        <f>'CF(FY)'!AR5</f>
        <v>52170</v>
      </c>
      <c r="AR5" s="145">
        <f>'CF(FY)'!AS5</f>
        <v>52351</v>
      </c>
      <c r="AS5" s="145">
        <f>'CF(FY)'!AT5</f>
        <v>52535</v>
      </c>
      <c r="AT5" s="145">
        <f>'CF(FY)'!AU5</f>
        <v>52717</v>
      </c>
      <c r="AU5" s="145">
        <f>'CF(FY)'!AV5</f>
        <v>52901</v>
      </c>
      <c r="AV5" s="145">
        <f>'CF(FY)'!AW5</f>
        <v>53082</v>
      </c>
      <c r="AW5" s="145">
        <f>'CF(FY)'!AX5</f>
        <v>53266</v>
      </c>
      <c r="AX5" s="145">
        <f>'CF(FY)'!AY5</f>
        <v>53447</v>
      </c>
      <c r="AY5" s="145">
        <f>'CF(FY)'!AZ5</f>
        <v>53631</v>
      </c>
      <c r="AZ5" s="145">
        <f>'CF(FY)'!BA5</f>
        <v>53812</v>
      </c>
      <c r="BA5" s="145">
        <f>'CF(FY)'!BB5</f>
        <v>53996</v>
      </c>
      <c r="BB5" s="145">
        <f>'CF(FY)'!BC5</f>
        <v>54178</v>
      </c>
      <c r="BC5" s="145">
        <f>'CF(FY)'!BD5</f>
        <v>54362</v>
      </c>
      <c r="BD5" s="145">
        <f>'CF(FY)'!BE5</f>
        <v>54543</v>
      </c>
      <c r="BE5" s="145">
        <f>'CF(FY)'!BF5</f>
        <v>54727</v>
      </c>
      <c r="BF5" s="145">
        <f>'CF(FY)'!BG5</f>
        <v>54908</v>
      </c>
      <c r="BG5" s="145">
        <f>'CF(FY)'!BH5</f>
        <v>55092</v>
      </c>
      <c r="BH5" s="145">
        <f>'CF(FY)'!BI5</f>
        <v>55273</v>
      </c>
      <c r="BI5" s="145">
        <f>'CF(FY)'!BJ5</f>
        <v>55457</v>
      </c>
      <c r="BJ5" s="145">
        <f>'CF(FY)'!BK5</f>
        <v>55639</v>
      </c>
      <c r="BK5" s="145">
        <f>'CF(FY)'!BL5</f>
        <v>55823</v>
      </c>
      <c r="BL5" s="145">
        <f>'CF(FY)'!BM5</f>
        <v>56004</v>
      </c>
      <c r="BM5" s="145">
        <f>'CF(FY)'!BN5</f>
        <v>56188</v>
      </c>
      <c r="BN5" s="145">
        <f>'CF(FY)'!BO5</f>
        <v>56369</v>
      </c>
      <c r="BO5" s="145">
        <f>'CF(FY)'!BP5</f>
        <v>56553</v>
      </c>
      <c r="BP5" s="145">
        <f>'CF(FY)'!BQ5</f>
        <v>56734</v>
      </c>
      <c r="BQ5" s="145">
        <f>'CF(FY)'!BR5</f>
        <v>56918</v>
      </c>
      <c r="BR5" s="145">
        <f>'CF(FY)'!BS5</f>
        <v>57100</v>
      </c>
      <c r="BS5" s="145">
        <f>'CF(FY)'!BT5</f>
        <v>57284</v>
      </c>
      <c r="BT5" s="145">
        <f>'CF(FY)'!BU5</f>
        <v>57465</v>
      </c>
      <c r="BU5" s="145">
        <f>'CF(FY)'!BV5</f>
        <v>57649</v>
      </c>
      <c r="BV5" s="145">
        <f>'CF(FY)'!BW5</f>
        <v>57830</v>
      </c>
      <c r="BW5" s="145">
        <f>'CF(FY)'!BX5</f>
        <v>58014</v>
      </c>
      <c r="BX5" s="145">
        <f>'CF(FY)'!BY5</f>
        <v>58195</v>
      </c>
      <c r="BY5" s="145">
        <f>'CF(FY)'!BZ5</f>
        <v>58379</v>
      </c>
      <c r="BZ5" s="145">
        <f>'CF(FY)'!CA5</f>
        <v>58561</v>
      </c>
      <c r="CA5" s="145">
        <f>'CF(FY)'!CB5</f>
        <v>58745</v>
      </c>
      <c r="CB5" s="145">
        <f>'CF(FY)'!CC5</f>
        <v>58926</v>
      </c>
      <c r="CC5" s="145">
        <f>'CF(FY)'!CD5</f>
        <v>59110</v>
      </c>
      <c r="CD5" s="145">
        <f>'CF(FY)'!CE5</f>
        <v>59291</v>
      </c>
      <c r="CE5" s="145">
        <f>'CF(FY)'!CF5</f>
        <v>59475</v>
      </c>
      <c r="CF5" s="145">
        <f>'CF(FY)'!CG5</f>
        <v>59656</v>
      </c>
      <c r="CG5" s="145">
        <f>'CF(FY)'!CH5</f>
        <v>59840</v>
      </c>
      <c r="CH5" s="145">
        <f>'CF(FY)'!CI5</f>
        <v>60022</v>
      </c>
      <c r="CI5" s="145">
        <f>'CF(FY)'!CJ5</f>
        <v>60206</v>
      </c>
      <c r="CJ5" s="145">
        <f>'CF(FY)'!CK5</f>
        <v>60387</v>
      </c>
      <c r="CK5" s="145">
        <f>'CF(FY)'!CL5</f>
        <v>60571</v>
      </c>
      <c r="CL5" s="145">
        <f>'CF(FY)'!CM5</f>
        <v>60752</v>
      </c>
      <c r="CM5" s="145">
        <f>'CF(FY)'!CN5</f>
        <v>60936</v>
      </c>
      <c r="CN5" s="145">
        <f>'CF(FY)'!CO5</f>
        <v>61117</v>
      </c>
      <c r="CO5" s="145">
        <f>'CF(FY)'!CP5</f>
        <v>61301</v>
      </c>
      <c r="CP5" s="145">
        <f>'CF(FY)'!CQ5</f>
        <v>61483</v>
      </c>
      <c r="CQ5" s="145">
        <f>'CF(FY)'!CR5</f>
        <v>61667</v>
      </c>
      <c r="CR5" s="145">
        <f>'CF(FY)'!CS5</f>
        <v>61848</v>
      </c>
      <c r="CS5" s="145">
        <f>'CF(FY)'!CT5</f>
        <v>62032</v>
      </c>
      <c r="CT5" s="145">
        <f>'CF(FY)'!CU5</f>
        <v>62213</v>
      </c>
      <c r="CU5" s="145">
        <f>'CF(FY)'!CV5</f>
        <v>62397</v>
      </c>
      <c r="CV5" s="145">
        <f>'CF(FY)'!CW5</f>
        <v>62578</v>
      </c>
      <c r="CW5" s="145">
        <f>'CF(FY)'!CX5</f>
        <v>62762</v>
      </c>
      <c r="CX5" s="145">
        <f>'CF(FY)'!CY5</f>
        <v>62944</v>
      </c>
      <c r="CY5" s="145">
        <f>'CF(FY)'!CZ5</f>
        <v>63128</v>
      </c>
      <c r="CZ5" s="145">
        <f>'CF(FY)'!DA5</f>
        <v>63309</v>
      </c>
      <c r="DA5" s="145">
        <f>'CF(FY)'!DB5</f>
        <v>63493</v>
      </c>
      <c r="DB5" s="145">
        <f>'CF(FY)'!DC5</f>
        <v>63674</v>
      </c>
      <c r="DC5" s="145">
        <f>'CF(FY)'!DD5</f>
        <v>63858</v>
      </c>
      <c r="DD5" s="145">
        <f>'CF(FY)'!DE5</f>
        <v>64039</v>
      </c>
      <c r="DE5" s="145">
        <f>'CF(FY)'!DF5</f>
        <v>64223</v>
      </c>
      <c r="DF5" s="145">
        <f>'CF(FY)'!DG5</f>
        <v>64405</v>
      </c>
      <c r="DG5" s="145">
        <f>'CF(FY)'!DH5</f>
        <v>64589</v>
      </c>
      <c r="DH5" s="145">
        <f>'CF(FY)'!DI5</f>
        <v>64770</v>
      </c>
      <c r="DI5" s="145">
        <f>'CF(FY)'!DJ5</f>
        <v>64954</v>
      </c>
      <c r="DJ5" s="145">
        <f>'CF(FY)'!DK5</f>
        <v>65135</v>
      </c>
      <c r="DK5" s="145">
        <f>'CF(FY)'!DL5</f>
        <v>65319</v>
      </c>
      <c r="DL5" s="145">
        <f>'CF(FY)'!DM5</f>
        <v>65500</v>
      </c>
      <c r="DM5" s="145">
        <f>'CF(FY)'!DN5</f>
        <v>65684</v>
      </c>
      <c r="DN5" s="145">
        <f>'CF(FY)'!DO5</f>
        <v>65866</v>
      </c>
      <c r="DO5" s="145">
        <f>'CF(FY)'!DP5</f>
        <v>66050</v>
      </c>
      <c r="DP5" s="145">
        <f>'CF(FY)'!DQ5</f>
        <v>66231</v>
      </c>
      <c r="DQ5" s="145">
        <f>'CF(FY)'!DR5</f>
        <v>66415</v>
      </c>
      <c r="DR5" s="145">
        <f>'CF(FY)'!DS5</f>
        <v>66596</v>
      </c>
      <c r="DS5" s="145">
        <f>'CF(FY)'!DT5</f>
        <v>66780</v>
      </c>
      <c r="DT5" s="145">
        <f>'CF(FY)'!DU5</f>
        <v>66961</v>
      </c>
      <c r="DU5" s="145">
        <f>'CF(FY)'!DV5</f>
        <v>67145</v>
      </c>
      <c r="DV5" s="146"/>
      <c r="DW5" s="146"/>
      <c r="DX5" s="146"/>
      <c r="DY5" s="146"/>
    </row>
    <row r="6" spans="1:129">
      <c r="B6" s="189" t="s">
        <v>155</v>
      </c>
      <c r="C6" s="148"/>
      <c r="D6" s="148"/>
      <c r="E6" s="148"/>
      <c r="F6" s="148"/>
      <c r="G6" s="148"/>
      <c r="H6" s="209"/>
      <c r="I6" s="970"/>
      <c r="K6" s="152">
        <f>'CF(FY)'!L6</f>
        <v>0</v>
      </c>
      <c r="L6" s="152">
        <f>'CF(FY)'!M6</f>
        <v>1</v>
      </c>
      <c r="M6" s="152">
        <f>'CF(FY)'!N6</f>
        <v>2</v>
      </c>
      <c r="N6" s="152">
        <f>'CF(FY)'!O6</f>
        <v>3</v>
      </c>
      <c r="O6" s="152">
        <f>'CF(FY)'!P6</f>
        <v>4</v>
      </c>
      <c r="P6" s="152">
        <f>'CF(FY)'!Q6</f>
        <v>5</v>
      </c>
      <c r="Q6" s="152">
        <f>'CF(FY)'!R6</f>
        <v>6</v>
      </c>
      <c r="R6" s="152">
        <f>'CF(FY)'!S6</f>
        <v>7</v>
      </c>
      <c r="S6" s="152">
        <f>'CF(FY)'!T6</f>
        <v>8</v>
      </c>
      <c r="T6" s="152">
        <f>'CF(FY)'!U6</f>
        <v>9</v>
      </c>
      <c r="U6" s="152">
        <f>'CF(FY)'!V6</f>
        <v>10</v>
      </c>
      <c r="V6" s="152">
        <f>'CF(FY)'!W6</f>
        <v>11</v>
      </c>
      <c r="W6" s="152">
        <f>'CF(FY)'!X6</f>
        <v>12</v>
      </c>
      <c r="X6" s="152">
        <f>'CF(FY)'!Y6</f>
        <v>13</v>
      </c>
      <c r="Y6" s="152">
        <f>'CF(FY)'!Z6</f>
        <v>14</v>
      </c>
      <c r="Z6" s="152">
        <f>'CF(FY)'!AA6</f>
        <v>15</v>
      </c>
      <c r="AA6" s="152">
        <f>'CF(FY)'!AB6</f>
        <v>16</v>
      </c>
      <c r="AB6" s="152">
        <f>'CF(FY)'!AC6</f>
        <v>17</v>
      </c>
      <c r="AC6" s="152">
        <f>'CF(FY)'!AD6</f>
        <v>18</v>
      </c>
      <c r="AD6" s="152">
        <f>'CF(FY)'!AE6</f>
        <v>19</v>
      </c>
      <c r="AE6" s="152">
        <f>'CF(FY)'!AF6</f>
        <v>20</v>
      </c>
      <c r="AF6" s="152">
        <f>'CF(FY)'!AG6</f>
        <v>21</v>
      </c>
      <c r="AG6" s="152">
        <f>'CF(FY)'!AH6</f>
        <v>22</v>
      </c>
      <c r="AH6" s="152">
        <f>'CF(FY)'!AI6</f>
        <v>23</v>
      </c>
      <c r="AI6" s="152">
        <f>'CF(FY)'!AJ6</f>
        <v>24</v>
      </c>
      <c r="AJ6" s="152">
        <f>'CF(FY)'!AK6</f>
        <v>25</v>
      </c>
      <c r="AK6" s="152">
        <f>'CF(FY)'!AL6</f>
        <v>26</v>
      </c>
      <c r="AL6" s="152">
        <f>'CF(FY)'!AM6</f>
        <v>27</v>
      </c>
      <c r="AM6" s="152">
        <f>'CF(FY)'!AN6</f>
        <v>28</v>
      </c>
      <c r="AN6" s="152">
        <f>'CF(FY)'!AO6</f>
        <v>29</v>
      </c>
      <c r="AO6" s="152">
        <f>'CF(FY)'!AP6</f>
        <v>30</v>
      </c>
      <c r="AP6" s="152">
        <f>'CF(FY)'!AQ6</f>
        <v>31</v>
      </c>
      <c r="AQ6" s="152">
        <f>'CF(FY)'!AR6</f>
        <v>32</v>
      </c>
      <c r="AR6" s="152">
        <f>'CF(FY)'!AS6</f>
        <v>33</v>
      </c>
      <c r="AS6" s="152">
        <f>'CF(FY)'!AT6</f>
        <v>34</v>
      </c>
      <c r="AT6" s="152">
        <f>'CF(FY)'!AU6</f>
        <v>35</v>
      </c>
      <c r="AU6" s="152">
        <f>'CF(FY)'!AV6</f>
        <v>36</v>
      </c>
      <c r="AV6" s="152">
        <f>'CF(FY)'!AW6</f>
        <v>37</v>
      </c>
      <c r="AW6" s="152">
        <f>'CF(FY)'!AX6</f>
        <v>38</v>
      </c>
      <c r="AX6" s="152">
        <f>'CF(FY)'!AY6</f>
        <v>39</v>
      </c>
      <c r="AY6" s="152">
        <f>'CF(FY)'!AZ6</f>
        <v>40</v>
      </c>
      <c r="AZ6" s="152">
        <f>'CF(FY)'!BA6</f>
        <v>41</v>
      </c>
      <c r="BA6" s="152">
        <f>'CF(FY)'!BB6</f>
        <v>42</v>
      </c>
      <c r="BB6" s="152">
        <f>'CF(FY)'!BC6</f>
        <v>43</v>
      </c>
      <c r="BC6" s="152">
        <f>'CF(FY)'!BD6</f>
        <v>44</v>
      </c>
      <c r="BD6" s="152">
        <f>'CF(FY)'!BE6</f>
        <v>45</v>
      </c>
      <c r="BE6" s="152">
        <f>'CF(FY)'!BF6</f>
        <v>46</v>
      </c>
      <c r="BF6" s="152">
        <f>'CF(FY)'!BG6</f>
        <v>47</v>
      </c>
      <c r="BG6" s="152">
        <f>'CF(FY)'!BH6</f>
        <v>48</v>
      </c>
      <c r="BH6" s="152">
        <f>'CF(FY)'!BI6</f>
        <v>49</v>
      </c>
      <c r="BI6" s="152">
        <f>'CF(FY)'!BJ6</f>
        <v>50</v>
      </c>
      <c r="BJ6" s="152">
        <f>'CF(FY)'!BK6</f>
        <v>51</v>
      </c>
      <c r="BK6" s="152">
        <f>'CF(FY)'!BL6</f>
        <v>52</v>
      </c>
      <c r="BL6" s="152">
        <f>'CF(FY)'!BM6</f>
        <v>53</v>
      </c>
      <c r="BM6" s="152">
        <f>'CF(FY)'!BN6</f>
        <v>54</v>
      </c>
      <c r="BN6" s="152">
        <f>'CF(FY)'!BO6</f>
        <v>55</v>
      </c>
      <c r="BO6" s="152">
        <f>'CF(FY)'!BP6</f>
        <v>56</v>
      </c>
      <c r="BP6" s="152">
        <f>'CF(FY)'!BQ6</f>
        <v>57</v>
      </c>
      <c r="BQ6" s="152">
        <f>'CF(FY)'!BR6</f>
        <v>58</v>
      </c>
      <c r="BR6" s="152">
        <f>'CF(FY)'!BS6</f>
        <v>59</v>
      </c>
      <c r="BS6" s="152">
        <f>'CF(FY)'!BT6</f>
        <v>60</v>
      </c>
      <c r="BT6" s="152">
        <f>'CF(FY)'!BU6</f>
        <v>61</v>
      </c>
      <c r="BU6" s="152">
        <f>'CF(FY)'!BV6</f>
        <v>62</v>
      </c>
      <c r="BV6" s="152">
        <f>'CF(FY)'!BW6</f>
        <v>63</v>
      </c>
      <c r="BW6" s="152">
        <f>'CF(FY)'!BX6</f>
        <v>64</v>
      </c>
      <c r="BX6" s="152">
        <f>'CF(FY)'!BY6</f>
        <v>65</v>
      </c>
      <c r="BY6" s="152">
        <f>'CF(FY)'!BZ6</f>
        <v>66</v>
      </c>
      <c r="BZ6" s="152">
        <f>'CF(FY)'!CA6</f>
        <v>67</v>
      </c>
      <c r="CA6" s="152">
        <f>'CF(FY)'!CB6</f>
        <v>68</v>
      </c>
      <c r="CB6" s="152">
        <f>'CF(FY)'!CC6</f>
        <v>69</v>
      </c>
      <c r="CC6" s="152">
        <f>'CF(FY)'!CD6</f>
        <v>70</v>
      </c>
      <c r="CD6" s="152">
        <f>'CF(FY)'!CE6</f>
        <v>71</v>
      </c>
      <c r="CE6" s="152">
        <f>'CF(FY)'!CF6</f>
        <v>72</v>
      </c>
      <c r="CF6" s="152">
        <f>'CF(FY)'!CG6</f>
        <v>73</v>
      </c>
      <c r="CG6" s="152">
        <f>'CF(FY)'!CH6</f>
        <v>74</v>
      </c>
      <c r="CH6" s="152">
        <f>'CF(FY)'!CI6</f>
        <v>75</v>
      </c>
      <c r="CI6" s="152">
        <f>'CF(FY)'!CJ6</f>
        <v>76</v>
      </c>
      <c r="CJ6" s="152">
        <f>'CF(FY)'!CK6</f>
        <v>77</v>
      </c>
      <c r="CK6" s="152">
        <f>'CF(FY)'!CL6</f>
        <v>78</v>
      </c>
      <c r="CL6" s="152">
        <f>'CF(FY)'!CM6</f>
        <v>79</v>
      </c>
      <c r="CM6" s="152">
        <f>'CF(FY)'!CN6</f>
        <v>80</v>
      </c>
      <c r="CN6" s="152">
        <f>'CF(FY)'!CO6</f>
        <v>81</v>
      </c>
      <c r="CO6" s="152">
        <f>'CF(FY)'!CP6</f>
        <v>82</v>
      </c>
      <c r="CP6" s="152">
        <f>'CF(FY)'!CQ6</f>
        <v>83</v>
      </c>
      <c r="CQ6" s="152">
        <f>'CF(FY)'!CR6</f>
        <v>84</v>
      </c>
      <c r="CR6" s="152">
        <f>'CF(FY)'!CS6</f>
        <v>85</v>
      </c>
      <c r="CS6" s="152">
        <f>'CF(FY)'!CT6</f>
        <v>86</v>
      </c>
      <c r="CT6" s="152">
        <f>'CF(FY)'!CU6</f>
        <v>87</v>
      </c>
      <c r="CU6" s="152">
        <f>'CF(FY)'!CV6</f>
        <v>88</v>
      </c>
      <c r="CV6" s="152">
        <f>'CF(FY)'!CW6</f>
        <v>89</v>
      </c>
      <c r="CW6" s="152">
        <f>'CF(FY)'!CX6</f>
        <v>90</v>
      </c>
      <c r="CX6" s="152">
        <f>'CF(FY)'!CY6</f>
        <v>91</v>
      </c>
      <c r="CY6" s="152">
        <f>'CF(FY)'!CZ6</f>
        <v>92</v>
      </c>
      <c r="CZ6" s="152">
        <f>'CF(FY)'!DA6</f>
        <v>93</v>
      </c>
      <c r="DA6" s="152">
        <f>'CF(FY)'!DB6</f>
        <v>94</v>
      </c>
      <c r="DB6" s="152">
        <f>'CF(FY)'!DC6</f>
        <v>95</v>
      </c>
      <c r="DC6" s="152">
        <f>'CF(FY)'!DD6</f>
        <v>96</v>
      </c>
      <c r="DD6" s="152">
        <f>'CF(FY)'!DE6</f>
        <v>97</v>
      </c>
      <c r="DE6" s="152">
        <f>'CF(FY)'!DF6</f>
        <v>98</v>
      </c>
      <c r="DF6" s="152">
        <f>'CF(FY)'!DG6</f>
        <v>99</v>
      </c>
      <c r="DG6" s="152">
        <f>'CF(FY)'!DH6</f>
        <v>100</v>
      </c>
      <c r="DH6" s="152">
        <f>'CF(FY)'!DI6</f>
        <v>101</v>
      </c>
      <c r="DI6" s="152">
        <f>'CF(FY)'!DJ6</f>
        <v>102</v>
      </c>
      <c r="DJ6" s="152">
        <f>'CF(FY)'!DK6</f>
        <v>103</v>
      </c>
      <c r="DK6" s="152">
        <f>'CF(FY)'!DL6</f>
        <v>104</v>
      </c>
      <c r="DL6" s="152">
        <f>'CF(FY)'!DM6</f>
        <v>105</v>
      </c>
      <c r="DM6" s="152">
        <f>'CF(FY)'!DN6</f>
        <v>106</v>
      </c>
      <c r="DN6" s="152">
        <f>'CF(FY)'!DO6</f>
        <v>107</v>
      </c>
      <c r="DO6" s="152">
        <f>'CF(FY)'!DP6</f>
        <v>108</v>
      </c>
      <c r="DP6" s="152">
        <f>'CF(FY)'!DQ6</f>
        <v>109</v>
      </c>
      <c r="DQ6" s="152">
        <f>'CF(FY)'!DR6</f>
        <v>110</v>
      </c>
      <c r="DR6" s="152">
        <f>'CF(FY)'!DS6</f>
        <v>111</v>
      </c>
      <c r="DS6" s="152">
        <f>'CF(FY)'!DT6</f>
        <v>112</v>
      </c>
      <c r="DT6" s="152">
        <f>'CF(FY)'!DU6</f>
        <v>113</v>
      </c>
      <c r="DU6" s="152">
        <f>'CF(FY)'!DV6</f>
        <v>114</v>
      </c>
    </row>
    <row r="7" spans="1:129">
      <c r="C7" s="154"/>
      <c r="H7" s="146"/>
      <c r="I7" s="953"/>
    </row>
    <row r="8" spans="1:129">
      <c r="B8" s="155" t="s">
        <v>555</v>
      </c>
      <c r="C8" s="155"/>
      <c r="D8" s="155"/>
      <c r="E8" s="155"/>
      <c r="F8" s="155"/>
      <c r="G8" s="155"/>
      <c r="H8" s="191"/>
      <c r="I8" s="971"/>
      <c r="K8" s="210">
        <f t="shared" ref="K8:AP8" si="0">K5</f>
        <v>46326</v>
      </c>
      <c r="L8" s="210">
        <f t="shared" si="0"/>
        <v>46507</v>
      </c>
      <c r="M8" s="210">
        <f t="shared" si="0"/>
        <v>46691</v>
      </c>
      <c r="N8" s="210">
        <f t="shared" si="0"/>
        <v>46873</v>
      </c>
      <c r="O8" s="210">
        <f t="shared" si="0"/>
        <v>47057</v>
      </c>
      <c r="P8" s="210">
        <f t="shared" si="0"/>
        <v>47238</v>
      </c>
      <c r="Q8" s="210">
        <f t="shared" si="0"/>
        <v>47422</v>
      </c>
      <c r="R8" s="210">
        <f t="shared" si="0"/>
        <v>47603</v>
      </c>
      <c r="S8" s="210">
        <f t="shared" si="0"/>
        <v>47787</v>
      </c>
      <c r="T8" s="210">
        <f t="shared" si="0"/>
        <v>47968</v>
      </c>
      <c r="U8" s="210">
        <f t="shared" si="0"/>
        <v>48152</v>
      </c>
      <c r="V8" s="210">
        <f t="shared" si="0"/>
        <v>48334</v>
      </c>
      <c r="W8" s="210">
        <f t="shared" si="0"/>
        <v>48518</v>
      </c>
      <c r="X8" s="210">
        <f t="shared" si="0"/>
        <v>48699</v>
      </c>
      <c r="Y8" s="210">
        <f t="shared" si="0"/>
        <v>48883</v>
      </c>
      <c r="Z8" s="210">
        <f t="shared" si="0"/>
        <v>49064</v>
      </c>
      <c r="AA8" s="210">
        <f t="shared" si="0"/>
        <v>49248</v>
      </c>
      <c r="AB8" s="210">
        <f t="shared" si="0"/>
        <v>49429</v>
      </c>
      <c r="AC8" s="210">
        <f t="shared" si="0"/>
        <v>49613</v>
      </c>
      <c r="AD8" s="210">
        <f t="shared" si="0"/>
        <v>49795</v>
      </c>
      <c r="AE8" s="210">
        <f t="shared" si="0"/>
        <v>49979</v>
      </c>
      <c r="AF8" s="210">
        <f t="shared" si="0"/>
        <v>50160</v>
      </c>
      <c r="AG8" s="210">
        <f t="shared" si="0"/>
        <v>50344</v>
      </c>
      <c r="AH8" s="210">
        <f t="shared" si="0"/>
        <v>50525</v>
      </c>
      <c r="AI8" s="210">
        <f t="shared" si="0"/>
        <v>50709</v>
      </c>
      <c r="AJ8" s="210">
        <f t="shared" si="0"/>
        <v>50890</v>
      </c>
      <c r="AK8" s="210">
        <f t="shared" si="0"/>
        <v>51074</v>
      </c>
      <c r="AL8" s="210">
        <f t="shared" si="0"/>
        <v>51256</v>
      </c>
      <c r="AM8" s="210">
        <f t="shared" si="0"/>
        <v>51440</v>
      </c>
      <c r="AN8" s="210">
        <f t="shared" si="0"/>
        <v>51621</v>
      </c>
      <c r="AO8" s="210">
        <f t="shared" si="0"/>
        <v>51805</v>
      </c>
      <c r="AP8" s="210">
        <f t="shared" si="0"/>
        <v>51986</v>
      </c>
      <c r="AQ8" s="210">
        <f t="shared" ref="AQ8:BV8" si="1">AQ5</f>
        <v>52170</v>
      </c>
      <c r="AR8" s="210">
        <f t="shared" si="1"/>
        <v>52351</v>
      </c>
      <c r="AS8" s="210">
        <f t="shared" si="1"/>
        <v>52535</v>
      </c>
      <c r="AT8" s="210">
        <f t="shared" si="1"/>
        <v>52717</v>
      </c>
      <c r="AU8" s="210">
        <f t="shared" si="1"/>
        <v>52901</v>
      </c>
      <c r="AV8" s="210">
        <f t="shared" si="1"/>
        <v>53082</v>
      </c>
      <c r="AW8" s="210">
        <f t="shared" si="1"/>
        <v>53266</v>
      </c>
      <c r="AX8" s="210">
        <f t="shared" si="1"/>
        <v>53447</v>
      </c>
      <c r="AY8" s="210">
        <f t="shared" si="1"/>
        <v>53631</v>
      </c>
      <c r="AZ8" s="210">
        <f t="shared" si="1"/>
        <v>53812</v>
      </c>
      <c r="BA8" s="210">
        <f t="shared" si="1"/>
        <v>53996</v>
      </c>
      <c r="BB8" s="210">
        <f t="shared" si="1"/>
        <v>54178</v>
      </c>
      <c r="BC8" s="210">
        <f t="shared" si="1"/>
        <v>54362</v>
      </c>
      <c r="BD8" s="210">
        <f t="shared" si="1"/>
        <v>54543</v>
      </c>
      <c r="BE8" s="210">
        <f t="shared" si="1"/>
        <v>54727</v>
      </c>
      <c r="BF8" s="210">
        <f t="shared" si="1"/>
        <v>54908</v>
      </c>
      <c r="BG8" s="210">
        <f t="shared" si="1"/>
        <v>55092</v>
      </c>
      <c r="BH8" s="210">
        <f t="shared" si="1"/>
        <v>55273</v>
      </c>
      <c r="BI8" s="210">
        <f t="shared" si="1"/>
        <v>55457</v>
      </c>
      <c r="BJ8" s="210">
        <f t="shared" si="1"/>
        <v>55639</v>
      </c>
      <c r="BK8" s="210">
        <f t="shared" si="1"/>
        <v>55823</v>
      </c>
      <c r="BL8" s="210">
        <f t="shared" si="1"/>
        <v>56004</v>
      </c>
      <c r="BM8" s="210">
        <f t="shared" si="1"/>
        <v>56188</v>
      </c>
      <c r="BN8" s="210">
        <f t="shared" si="1"/>
        <v>56369</v>
      </c>
      <c r="BO8" s="210">
        <f t="shared" si="1"/>
        <v>56553</v>
      </c>
      <c r="BP8" s="210">
        <f t="shared" si="1"/>
        <v>56734</v>
      </c>
      <c r="BQ8" s="210">
        <f t="shared" si="1"/>
        <v>56918</v>
      </c>
      <c r="BR8" s="210">
        <f t="shared" si="1"/>
        <v>57100</v>
      </c>
      <c r="BS8" s="210">
        <f t="shared" si="1"/>
        <v>57284</v>
      </c>
      <c r="BT8" s="210">
        <f t="shared" si="1"/>
        <v>57465</v>
      </c>
      <c r="BU8" s="210">
        <f t="shared" si="1"/>
        <v>57649</v>
      </c>
      <c r="BV8" s="210">
        <f t="shared" si="1"/>
        <v>57830</v>
      </c>
      <c r="BW8" s="210">
        <f t="shared" ref="BW8:DB8" si="2">BW5</f>
        <v>58014</v>
      </c>
      <c r="BX8" s="210">
        <f t="shared" si="2"/>
        <v>58195</v>
      </c>
      <c r="BY8" s="210">
        <f t="shared" si="2"/>
        <v>58379</v>
      </c>
      <c r="BZ8" s="210">
        <f t="shared" si="2"/>
        <v>58561</v>
      </c>
      <c r="CA8" s="210">
        <f t="shared" si="2"/>
        <v>58745</v>
      </c>
      <c r="CB8" s="210">
        <f t="shared" si="2"/>
        <v>58926</v>
      </c>
      <c r="CC8" s="210">
        <f t="shared" si="2"/>
        <v>59110</v>
      </c>
      <c r="CD8" s="210">
        <f t="shared" si="2"/>
        <v>59291</v>
      </c>
      <c r="CE8" s="210">
        <f t="shared" si="2"/>
        <v>59475</v>
      </c>
      <c r="CF8" s="210">
        <f t="shared" si="2"/>
        <v>59656</v>
      </c>
      <c r="CG8" s="210">
        <f t="shared" si="2"/>
        <v>59840</v>
      </c>
      <c r="CH8" s="210">
        <f t="shared" si="2"/>
        <v>60022</v>
      </c>
      <c r="CI8" s="210">
        <f t="shared" si="2"/>
        <v>60206</v>
      </c>
      <c r="CJ8" s="210">
        <f t="shared" si="2"/>
        <v>60387</v>
      </c>
      <c r="CK8" s="210">
        <f t="shared" si="2"/>
        <v>60571</v>
      </c>
      <c r="CL8" s="210">
        <f t="shared" si="2"/>
        <v>60752</v>
      </c>
      <c r="CM8" s="210">
        <f t="shared" si="2"/>
        <v>60936</v>
      </c>
      <c r="CN8" s="210">
        <f t="shared" si="2"/>
        <v>61117</v>
      </c>
      <c r="CO8" s="210">
        <f t="shared" si="2"/>
        <v>61301</v>
      </c>
      <c r="CP8" s="210">
        <f t="shared" si="2"/>
        <v>61483</v>
      </c>
      <c r="CQ8" s="210">
        <f t="shared" si="2"/>
        <v>61667</v>
      </c>
      <c r="CR8" s="210">
        <f t="shared" si="2"/>
        <v>61848</v>
      </c>
      <c r="CS8" s="210">
        <f t="shared" si="2"/>
        <v>62032</v>
      </c>
      <c r="CT8" s="210">
        <f t="shared" si="2"/>
        <v>62213</v>
      </c>
      <c r="CU8" s="210">
        <f t="shared" si="2"/>
        <v>62397</v>
      </c>
      <c r="CV8" s="210">
        <f t="shared" si="2"/>
        <v>62578</v>
      </c>
      <c r="CW8" s="210">
        <f t="shared" si="2"/>
        <v>62762</v>
      </c>
      <c r="CX8" s="210">
        <f t="shared" si="2"/>
        <v>62944</v>
      </c>
      <c r="CY8" s="210">
        <f t="shared" si="2"/>
        <v>63128</v>
      </c>
      <c r="CZ8" s="210">
        <f t="shared" si="2"/>
        <v>63309</v>
      </c>
      <c r="DA8" s="210">
        <f t="shared" si="2"/>
        <v>63493</v>
      </c>
      <c r="DB8" s="210">
        <f t="shared" si="2"/>
        <v>63674</v>
      </c>
      <c r="DC8" s="210">
        <f t="shared" ref="DC8:DU8" si="3">DC5</f>
        <v>63858</v>
      </c>
      <c r="DD8" s="210">
        <f t="shared" si="3"/>
        <v>64039</v>
      </c>
      <c r="DE8" s="210">
        <f t="shared" si="3"/>
        <v>64223</v>
      </c>
      <c r="DF8" s="210">
        <f t="shared" si="3"/>
        <v>64405</v>
      </c>
      <c r="DG8" s="210">
        <f t="shared" si="3"/>
        <v>64589</v>
      </c>
      <c r="DH8" s="210">
        <f t="shared" si="3"/>
        <v>64770</v>
      </c>
      <c r="DI8" s="210">
        <f t="shared" si="3"/>
        <v>64954</v>
      </c>
      <c r="DJ8" s="210">
        <f t="shared" si="3"/>
        <v>65135</v>
      </c>
      <c r="DK8" s="210">
        <f t="shared" si="3"/>
        <v>65319</v>
      </c>
      <c r="DL8" s="210">
        <f t="shared" si="3"/>
        <v>65500</v>
      </c>
      <c r="DM8" s="210">
        <f t="shared" si="3"/>
        <v>65684</v>
      </c>
      <c r="DN8" s="210">
        <f t="shared" si="3"/>
        <v>65866</v>
      </c>
      <c r="DO8" s="210">
        <f t="shared" si="3"/>
        <v>66050</v>
      </c>
      <c r="DP8" s="210">
        <f t="shared" si="3"/>
        <v>66231</v>
      </c>
      <c r="DQ8" s="210">
        <f t="shared" si="3"/>
        <v>66415</v>
      </c>
      <c r="DR8" s="210">
        <f t="shared" si="3"/>
        <v>66596</v>
      </c>
      <c r="DS8" s="210">
        <f t="shared" si="3"/>
        <v>66780</v>
      </c>
      <c r="DT8" s="210">
        <f t="shared" si="3"/>
        <v>66961</v>
      </c>
      <c r="DU8" s="210">
        <f t="shared" si="3"/>
        <v>67145</v>
      </c>
    </row>
    <row r="9" spans="1:129">
      <c r="B9" s="211" t="s">
        <v>556</v>
      </c>
      <c r="C9" s="212"/>
      <c r="D9" s="212"/>
      <c r="E9" s="212"/>
      <c r="F9" s="212"/>
      <c r="G9" s="212"/>
      <c r="H9" s="213"/>
      <c r="I9" s="972"/>
      <c r="K9" s="216">
        <f ca="1">SUM(K10,K15)</f>
        <v>311756669.63053203</v>
      </c>
      <c r="L9" s="217">
        <f t="shared" ref="L9:BW9" ca="1" si="4">SUM(L10,L15)</f>
        <v>295102483.7255047</v>
      </c>
      <c r="M9" s="217">
        <f t="shared" ca="1" si="4"/>
        <v>291374407.81419867</v>
      </c>
      <c r="N9" s="217">
        <f t="shared" ca="1" si="4"/>
        <v>288346540.36139125</v>
      </c>
      <c r="O9" s="217">
        <f t="shared" ca="1" si="4"/>
        <v>290268694.61018401</v>
      </c>
      <c r="P9" s="217">
        <f t="shared" ca="1" si="4"/>
        <v>287598904.37554735</v>
      </c>
      <c r="Q9" s="217">
        <f t="shared" ca="1" si="4"/>
        <v>279471496.68999356</v>
      </c>
      <c r="R9" s="217">
        <f t="shared" ca="1" si="4"/>
        <v>277346463.51450163</v>
      </c>
      <c r="S9" s="217">
        <f t="shared" ca="1" si="4"/>
        <v>275285538.32346612</v>
      </c>
      <c r="T9" s="217">
        <f t="shared" ca="1" si="4"/>
        <v>273919091.6704734</v>
      </c>
      <c r="U9" s="217">
        <f t="shared" ca="1" si="4"/>
        <v>271867918.28400582</v>
      </c>
      <c r="V9" s="217">
        <f t="shared" ca="1" si="4"/>
        <v>270494640.22750413</v>
      </c>
      <c r="W9" s="217">
        <f t="shared" ca="1" si="4"/>
        <v>268450313.43876594</v>
      </c>
      <c r="X9" s="217">
        <f t="shared" ca="1" si="4"/>
        <v>267070340.93337676</v>
      </c>
      <c r="Y9" s="217">
        <f t="shared" ca="1" si="4"/>
        <v>265032723.8104133</v>
      </c>
      <c r="Z9" s="217">
        <f t="shared" ca="1" si="4"/>
        <v>263872483.2285156</v>
      </c>
      <c r="AA9" s="217">
        <f t="shared" ca="1" si="4"/>
        <v>261775399.86562526</v>
      </c>
      <c r="AB9" s="217">
        <f t="shared" ca="1" si="4"/>
        <v>260817955.98752064</v>
      </c>
      <c r="AC9" s="217">
        <f t="shared" ca="1" si="4"/>
        <v>259634349.07464218</v>
      </c>
      <c r="AD9" s="217">
        <f t="shared" ca="1" si="4"/>
        <v>259002044.42509663</v>
      </c>
      <c r="AE9" s="217">
        <f t="shared" ca="1" si="4"/>
        <v>-8.0093741416931152E-8</v>
      </c>
      <c r="AF9" s="217">
        <f t="shared" ca="1" si="4"/>
        <v>-8.0093741416931152E-8</v>
      </c>
      <c r="AG9" s="217">
        <f t="shared" ca="1" si="4"/>
        <v>-8.0093741416931152E-8</v>
      </c>
      <c r="AH9" s="217">
        <f t="shared" si="4"/>
        <v>0</v>
      </c>
      <c r="AI9" s="217">
        <f t="shared" si="4"/>
        <v>0</v>
      </c>
      <c r="AJ9" s="217">
        <f t="shared" si="4"/>
        <v>0</v>
      </c>
      <c r="AK9" s="217">
        <f t="shared" si="4"/>
        <v>0</v>
      </c>
      <c r="AL9" s="217">
        <f t="shared" si="4"/>
        <v>0</v>
      </c>
      <c r="AM9" s="217">
        <f t="shared" si="4"/>
        <v>0</v>
      </c>
      <c r="AN9" s="217">
        <f t="shared" si="4"/>
        <v>0</v>
      </c>
      <c r="AO9" s="217">
        <f t="shared" si="4"/>
        <v>0</v>
      </c>
      <c r="AP9" s="217">
        <f t="shared" si="4"/>
        <v>0</v>
      </c>
      <c r="AQ9" s="217">
        <f t="shared" si="4"/>
        <v>0</v>
      </c>
      <c r="AR9" s="217">
        <f t="shared" si="4"/>
        <v>0</v>
      </c>
      <c r="AS9" s="217">
        <f t="shared" si="4"/>
        <v>0</v>
      </c>
      <c r="AT9" s="217">
        <f t="shared" si="4"/>
        <v>0</v>
      </c>
      <c r="AU9" s="217">
        <f t="shared" si="4"/>
        <v>0</v>
      </c>
      <c r="AV9" s="217">
        <f t="shared" si="4"/>
        <v>0</v>
      </c>
      <c r="AW9" s="217">
        <f t="shared" si="4"/>
        <v>0</v>
      </c>
      <c r="AX9" s="217">
        <f t="shared" si="4"/>
        <v>0</v>
      </c>
      <c r="AY9" s="217">
        <f t="shared" si="4"/>
        <v>0</v>
      </c>
      <c r="AZ9" s="217">
        <f t="shared" si="4"/>
        <v>0</v>
      </c>
      <c r="BA9" s="217">
        <f t="shared" si="4"/>
        <v>0</v>
      </c>
      <c r="BB9" s="217">
        <f t="shared" si="4"/>
        <v>0</v>
      </c>
      <c r="BC9" s="217">
        <f t="shared" si="4"/>
        <v>0</v>
      </c>
      <c r="BD9" s="217">
        <f t="shared" si="4"/>
        <v>0</v>
      </c>
      <c r="BE9" s="217">
        <f t="shared" si="4"/>
        <v>0</v>
      </c>
      <c r="BF9" s="217">
        <f t="shared" si="4"/>
        <v>0</v>
      </c>
      <c r="BG9" s="217">
        <f t="shared" si="4"/>
        <v>0</v>
      </c>
      <c r="BH9" s="217">
        <f t="shared" si="4"/>
        <v>0</v>
      </c>
      <c r="BI9" s="217">
        <f t="shared" si="4"/>
        <v>0</v>
      </c>
      <c r="BJ9" s="217">
        <f t="shared" si="4"/>
        <v>0</v>
      </c>
      <c r="BK9" s="217">
        <f t="shared" si="4"/>
        <v>0</v>
      </c>
      <c r="BL9" s="217">
        <f t="shared" si="4"/>
        <v>0</v>
      </c>
      <c r="BM9" s="217">
        <f t="shared" si="4"/>
        <v>0</v>
      </c>
      <c r="BN9" s="217">
        <f t="shared" si="4"/>
        <v>0</v>
      </c>
      <c r="BO9" s="217">
        <f t="shared" si="4"/>
        <v>0</v>
      </c>
      <c r="BP9" s="217">
        <f t="shared" si="4"/>
        <v>0</v>
      </c>
      <c r="BQ9" s="217">
        <f t="shared" si="4"/>
        <v>0</v>
      </c>
      <c r="BR9" s="217">
        <f t="shared" si="4"/>
        <v>0</v>
      </c>
      <c r="BS9" s="217">
        <f t="shared" si="4"/>
        <v>0</v>
      </c>
      <c r="BT9" s="217">
        <f t="shared" si="4"/>
        <v>0</v>
      </c>
      <c r="BU9" s="217">
        <f t="shared" si="4"/>
        <v>0</v>
      </c>
      <c r="BV9" s="217">
        <f t="shared" si="4"/>
        <v>0</v>
      </c>
      <c r="BW9" s="217">
        <f t="shared" si="4"/>
        <v>0</v>
      </c>
      <c r="BX9" s="217">
        <f t="shared" ref="BX9:DU9" si="5">SUM(BX10,BX15)</f>
        <v>0</v>
      </c>
      <c r="BY9" s="217">
        <f t="shared" si="5"/>
        <v>0</v>
      </c>
      <c r="BZ9" s="217">
        <f t="shared" si="5"/>
        <v>0</v>
      </c>
      <c r="CA9" s="217">
        <f t="shared" si="5"/>
        <v>0</v>
      </c>
      <c r="CB9" s="217">
        <f t="shared" si="5"/>
        <v>0</v>
      </c>
      <c r="CC9" s="217">
        <f t="shared" si="5"/>
        <v>0</v>
      </c>
      <c r="CD9" s="217">
        <f t="shared" si="5"/>
        <v>0</v>
      </c>
      <c r="CE9" s="217">
        <f t="shared" si="5"/>
        <v>0</v>
      </c>
      <c r="CF9" s="217">
        <f t="shared" si="5"/>
        <v>0</v>
      </c>
      <c r="CG9" s="217">
        <f t="shared" si="5"/>
        <v>0</v>
      </c>
      <c r="CH9" s="217">
        <f t="shared" si="5"/>
        <v>0</v>
      </c>
      <c r="CI9" s="217">
        <f t="shared" si="5"/>
        <v>0</v>
      </c>
      <c r="CJ9" s="217">
        <f t="shared" si="5"/>
        <v>0</v>
      </c>
      <c r="CK9" s="217">
        <f t="shared" si="5"/>
        <v>0</v>
      </c>
      <c r="CL9" s="217">
        <f t="shared" si="5"/>
        <v>0</v>
      </c>
      <c r="CM9" s="217">
        <f t="shared" si="5"/>
        <v>0</v>
      </c>
      <c r="CN9" s="217">
        <f t="shared" si="5"/>
        <v>0</v>
      </c>
      <c r="CO9" s="217">
        <f t="shared" si="5"/>
        <v>0</v>
      </c>
      <c r="CP9" s="217">
        <f t="shared" si="5"/>
        <v>0</v>
      </c>
      <c r="CQ9" s="217">
        <f t="shared" si="5"/>
        <v>0</v>
      </c>
      <c r="CR9" s="217">
        <f t="shared" si="5"/>
        <v>0</v>
      </c>
      <c r="CS9" s="217">
        <f t="shared" si="5"/>
        <v>0</v>
      </c>
      <c r="CT9" s="217">
        <f t="shared" si="5"/>
        <v>0</v>
      </c>
      <c r="CU9" s="217">
        <f t="shared" si="5"/>
        <v>0</v>
      </c>
      <c r="CV9" s="217">
        <f t="shared" si="5"/>
        <v>0</v>
      </c>
      <c r="CW9" s="217">
        <f t="shared" si="5"/>
        <v>0</v>
      </c>
      <c r="CX9" s="217">
        <f t="shared" si="5"/>
        <v>0</v>
      </c>
      <c r="CY9" s="217">
        <f t="shared" si="5"/>
        <v>0</v>
      </c>
      <c r="CZ9" s="217">
        <f t="shared" si="5"/>
        <v>0</v>
      </c>
      <c r="DA9" s="217">
        <f t="shared" si="5"/>
        <v>0</v>
      </c>
      <c r="DB9" s="217">
        <f t="shared" si="5"/>
        <v>0</v>
      </c>
      <c r="DC9" s="217">
        <f t="shared" si="5"/>
        <v>0</v>
      </c>
      <c r="DD9" s="217">
        <f t="shared" si="5"/>
        <v>0</v>
      </c>
      <c r="DE9" s="217">
        <f t="shared" si="5"/>
        <v>0</v>
      </c>
      <c r="DF9" s="217">
        <f t="shared" si="5"/>
        <v>0</v>
      </c>
      <c r="DG9" s="217">
        <f t="shared" si="5"/>
        <v>0</v>
      </c>
      <c r="DH9" s="217">
        <f t="shared" si="5"/>
        <v>0</v>
      </c>
      <c r="DI9" s="217">
        <f t="shared" si="5"/>
        <v>0</v>
      </c>
      <c r="DJ9" s="217">
        <f t="shared" si="5"/>
        <v>0</v>
      </c>
      <c r="DK9" s="217">
        <f t="shared" si="5"/>
        <v>0</v>
      </c>
      <c r="DL9" s="217">
        <f t="shared" si="5"/>
        <v>0</v>
      </c>
      <c r="DM9" s="217">
        <f t="shared" si="5"/>
        <v>0</v>
      </c>
      <c r="DN9" s="217">
        <f t="shared" si="5"/>
        <v>0</v>
      </c>
      <c r="DO9" s="217">
        <f t="shared" si="5"/>
        <v>0</v>
      </c>
      <c r="DP9" s="217">
        <f t="shared" si="5"/>
        <v>0</v>
      </c>
      <c r="DQ9" s="217">
        <f t="shared" si="5"/>
        <v>0</v>
      </c>
      <c r="DR9" s="217">
        <f t="shared" si="5"/>
        <v>0</v>
      </c>
      <c r="DS9" s="217">
        <f t="shared" si="5"/>
        <v>0</v>
      </c>
      <c r="DT9" s="217">
        <f t="shared" si="5"/>
        <v>0</v>
      </c>
      <c r="DU9" s="217">
        <f t="shared" si="5"/>
        <v>0</v>
      </c>
    </row>
    <row r="10" spans="1:129">
      <c r="B10" s="218"/>
      <c r="C10" s="158" t="s">
        <v>557</v>
      </c>
      <c r="D10" s="159"/>
      <c r="E10" s="159"/>
      <c r="F10" s="159"/>
      <c r="G10" s="159"/>
      <c r="H10" s="160"/>
      <c r="I10" s="973"/>
      <c r="J10" s="98"/>
      <c r="K10" s="162">
        <f t="shared" ref="K10:AP10" ca="1" si="6">SUM(K11:K14)</f>
        <v>22856669.630531996</v>
      </c>
      <c r="L10" s="162">
        <f t="shared" ca="1" si="6"/>
        <v>7911327.2255047178</v>
      </c>
      <c r="M10" s="162">
        <f t="shared" ca="1" si="6"/>
        <v>5892094.8141987016</v>
      </c>
      <c r="N10" s="162">
        <f t="shared" ca="1" si="6"/>
        <v>4573070.8613912407</v>
      </c>
      <c r="O10" s="162">
        <f t="shared" ca="1" si="6"/>
        <v>8204068.6101840427</v>
      </c>
      <c r="P10" s="162">
        <f t="shared" ca="1" si="6"/>
        <v>7243121.8755473625</v>
      </c>
      <c r="Q10" s="162">
        <f t="shared" ca="1" si="6"/>
        <v>824557.68999356497</v>
      </c>
      <c r="R10" s="162">
        <f t="shared" ca="1" si="6"/>
        <v>408368.01450163603</v>
      </c>
      <c r="S10" s="162">
        <f t="shared" ca="1" si="6"/>
        <v>56286.323466105474</v>
      </c>
      <c r="T10" s="162">
        <f t="shared" ca="1" si="6"/>
        <v>398683.17047339317</v>
      </c>
      <c r="U10" s="162">
        <f t="shared" ca="1" si="6"/>
        <v>56353.284005817288</v>
      </c>
      <c r="V10" s="162">
        <f t="shared" ca="1" si="6"/>
        <v>391918.72750415769</v>
      </c>
      <c r="W10" s="162">
        <f t="shared" ca="1" si="6"/>
        <v>56435.438765933199</v>
      </c>
      <c r="X10" s="162">
        <f t="shared" ca="1" si="6"/>
        <v>385306.43337677076</v>
      </c>
      <c r="Y10" s="162">
        <f t="shared" ca="1" si="6"/>
        <v>56532.81041331085</v>
      </c>
      <c r="Z10" s="162">
        <f t="shared" ca="1" si="6"/>
        <v>605135.72851560719</v>
      </c>
      <c r="AA10" s="162">
        <f t="shared" ca="1" si="6"/>
        <v>216895.86562526849</v>
      </c>
      <c r="AB10" s="162">
        <f t="shared" ca="1" si="6"/>
        <v>968295.48752062046</v>
      </c>
      <c r="AC10" s="162">
        <f t="shared" ca="1" si="6"/>
        <v>1493532.0746421674</v>
      </c>
      <c r="AD10" s="162">
        <f t="shared" ca="1" si="6"/>
        <v>2570070.9250966264</v>
      </c>
      <c r="AE10" s="162">
        <f t="shared" ca="1" si="6"/>
        <v>-8.0093741416931152E-8</v>
      </c>
      <c r="AF10" s="162">
        <f t="shared" ca="1" si="6"/>
        <v>-8.0093741416931152E-8</v>
      </c>
      <c r="AG10" s="162">
        <f t="shared" ca="1" si="6"/>
        <v>-8.0093741416931152E-8</v>
      </c>
      <c r="AH10" s="162">
        <f t="shared" si="6"/>
        <v>0</v>
      </c>
      <c r="AI10" s="162">
        <f t="shared" si="6"/>
        <v>0</v>
      </c>
      <c r="AJ10" s="162">
        <f t="shared" si="6"/>
        <v>0</v>
      </c>
      <c r="AK10" s="162">
        <f t="shared" si="6"/>
        <v>0</v>
      </c>
      <c r="AL10" s="162">
        <f t="shared" si="6"/>
        <v>0</v>
      </c>
      <c r="AM10" s="162">
        <f t="shared" si="6"/>
        <v>0</v>
      </c>
      <c r="AN10" s="162">
        <f t="shared" si="6"/>
        <v>0</v>
      </c>
      <c r="AO10" s="162">
        <f t="shared" si="6"/>
        <v>0</v>
      </c>
      <c r="AP10" s="162">
        <f t="shared" si="6"/>
        <v>0</v>
      </c>
      <c r="AQ10" s="162">
        <f t="shared" ref="AQ10:BV10" si="7">SUM(AQ11:AQ14)</f>
        <v>0</v>
      </c>
      <c r="AR10" s="162">
        <f t="shared" si="7"/>
        <v>0</v>
      </c>
      <c r="AS10" s="162">
        <f t="shared" si="7"/>
        <v>0</v>
      </c>
      <c r="AT10" s="162">
        <f t="shared" si="7"/>
        <v>0</v>
      </c>
      <c r="AU10" s="162">
        <f t="shared" si="7"/>
        <v>0</v>
      </c>
      <c r="AV10" s="162">
        <f t="shared" si="7"/>
        <v>0</v>
      </c>
      <c r="AW10" s="162">
        <f t="shared" si="7"/>
        <v>0</v>
      </c>
      <c r="AX10" s="162">
        <f t="shared" si="7"/>
        <v>0</v>
      </c>
      <c r="AY10" s="162">
        <f t="shared" si="7"/>
        <v>0</v>
      </c>
      <c r="AZ10" s="162">
        <f t="shared" si="7"/>
        <v>0</v>
      </c>
      <c r="BA10" s="162">
        <f t="shared" si="7"/>
        <v>0</v>
      </c>
      <c r="BB10" s="162">
        <f t="shared" si="7"/>
        <v>0</v>
      </c>
      <c r="BC10" s="162">
        <f t="shared" si="7"/>
        <v>0</v>
      </c>
      <c r="BD10" s="162">
        <f t="shared" si="7"/>
        <v>0</v>
      </c>
      <c r="BE10" s="162">
        <f t="shared" si="7"/>
        <v>0</v>
      </c>
      <c r="BF10" s="162">
        <f t="shared" si="7"/>
        <v>0</v>
      </c>
      <c r="BG10" s="162">
        <f t="shared" si="7"/>
        <v>0</v>
      </c>
      <c r="BH10" s="162">
        <f t="shared" si="7"/>
        <v>0</v>
      </c>
      <c r="BI10" s="162">
        <f t="shared" si="7"/>
        <v>0</v>
      </c>
      <c r="BJ10" s="162">
        <f t="shared" si="7"/>
        <v>0</v>
      </c>
      <c r="BK10" s="162">
        <f t="shared" si="7"/>
        <v>0</v>
      </c>
      <c r="BL10" s="162">
        <f t="shared" si="7"/>
        <v>0</v>
      </c>
      <c r="BM10" s="162">
        <f t="shared" si="7"/>
        <v>0</v>
      </c>
      <c r="BN10" s="162">
        <f t="shared" si="7"/>
        <v>0</v>
      </c>
      <c r="BO10" s="162">
        <f t="shared" si="7"/>
        <v>0</v>
      </c>
      <c r="BP10" s="162">
        <f t="shared" si="7"/>
        <v>0</v>
      </c>
      <c r="BQ10" s="162">
        <f t="shared" si="7"/>
        <v>0</v>
      </c>
      <c r="BR10" s="162">
        <f t="shared" si="7"/>
        <v>0</v>
      </c>
      <c r="BS10" s="162">
        <f t="shared" si="7"/>
        <v>0</v>
      </c>
      <c r="BT10" s="162">
        <f t="shared" si="7"/>
        <v>0</v>
      </c>
      <c r="BU10" s="162">
        <f t="shared" si="7"/>
        <v>0</v>
      </c>
      <c r="BV10" s="162">
        <f t="shared" si="7"/>
        <v>0</v>
      </c>
      <c r="BW10" s="162">
        <f t="shared" ref="BW10:DB10" si="8">SUM(BW11:BW14)</f>
        <v>0</v>
      </c>
      <c r="BX10" s="162">
        <f t="shared" si="8"/>
        <v>0</v>
      </c>
      <c r="BY10" s="162">
        <f t="shared" si="8"/>
        <v>0</v>
      </c>
      <c r="BZ10" s="162">
        <f t="shared" si="8"/>
        <v>0</v>
      </c>
      <c r="CA10" s="162">
        <f t="shared" si="8"/>
        <v>0</v>
      </c>
      <c r="CB10" s="162">
        <f t="shared" si="8"/>
        <v>0</v>
      </c>
      <c r="CC10" s="162">
        <f t="shared" si="8"/>
        <v>0</v>
      </c>
      <c r="CD10" s="162">
        <f t="shared" si="8"/>
        <v>0</v>
      </c>
      <c r="CE10" s="162">
        <f t="shared" si="8"/>
        <v>0</v>
      </c>
      <c r="CF10" s="162">
        <f t="shared" si="8"/>
        <v>0</v>
      </c>
      <c r="CG10" s="162">
        <f t="shared" si="8"/>
        <v>0</v>
      </c>
      <c r="CH10" s="162">
        <f t="shared" si="8"/>
        <v>0</v>
      </c>
      <c r="CI10" s="162">
        <f t="shared" si="8"/>
        <v>0</v>
      </c>
      <c r="CJ10" s="162">
        <f t="shared" si="8"/>
        <v>0</v>
      </c>
      <c r="CK10" s="162">
        <f t="shared" si="8"/>
        <v>0</v>
      </c>
      <c r="CL10" s="162">
        <f t="shared" si="8"/>
        <v>0</v>
      </c>
      <c r="CM10" s="162">
        <f t="shared" si="8"/>
        <v>0</v>
      </c>
      <c r="CN10" s="162">
        <f t="shared" si="8"/>
        <v>0</v>
      </c>
      <c r="CO10" s="162">
        <f t="shared" si="8"/>
        <v>0</v>
      </c>
      <c r="CP10" s="162">
        <f t="shared" si="8"/>
        <v>0</v>
      </c>
      <c r="CQ10" s="162">
        <f t="shared" si="8"/>
        <v>0</v>
      </c>
      <c r="CR10" s="162">
        <f t="shared" si="8"/>
        <v>0</v>
      </c>
      <c r="CS10" s="162">
        <f t="shared" si="8"/>
        <v>0</v>
      </c>
      <c r="CT10" s="162">
        <f t="shared" si="8"/>
        <v>0</v>
      </c>
      <c r="CU10" s="162">
        <f t="shared" si="8"/>
        <v>0</v>
      </c>
      <c r="CV10" s="162">
        <f t="shared" si="8"/>
        <v>0</v>
      </c>
      <c r="CW10" s="162">
        <f t="shared" si="8"/>
        <v>0</v>
      </c>
      <c r="CX10" s="162">
        <f t="shared" si="8"/>
        <v>0</v>
      </c>
      <c r="CY10" s="162">
        <f t="shared" si="8"/>
        <v>0</v>
      </c>
      <c r="CZ10" s="162">
        <f t="shared" si="8"/>
        <v>0</v>
      </c>
      <c r="DA10" s="162">
        <f t="shared" si="8"/>
        <v>0</v>
      </c>
      <c r="DB10" s="162">
        <f t="shared" si="8"/>
        <v>0</v>
      </c>
      <c r="DC10" s="162">
        <f t="shared" ref="DC10:DU10" si="9">SUM(DC11:DC14)</f>
        <v>0</v>
      </c>
      <c r="DD10" s="162">
        <f t="shared" si="9"/>
        <v>0</v>
      </c>
      <c r="DE10" s="162">
        <f t="shared" si="9"/>
        <v>0</v>
      </c>
      <c r="DF10" s="162">
        <f t="shared" si="9"/>
        <v>0</v>
      </c>
      <c r="DG10" s="162">
        <f t="shared" si="9"/>
        <v>0</v>
      </c>
      <c r="DH10" s="162">
        <f t="shared" si="9"/>
        <v>0</v>
      </c>
      <c r="DI10" s="162">
        <f t="shared" si="9"/>
        <v>0</v>
      </c>
      <c r="DJ10" s="162">
        <f t="shared" si="9"/>
        <v>0</v>
      </c>
      <c r="DK10" s="162">
        <f t="shared" si="9"/>
        <v>0</v>
      </c>
      <c r="DL10" s="162">
        <f t="shared" si="9"/>
        <v>0</v>
      </c>
      <c r="DM10" s="162">
        <f t="shared" si="9"/>
        <v>0</v>
      </c>
      <c r="DN10" s="162">
        <f t="shared" si="9"/>
        <v>0</v>
      </c>
      <c r="DO10" s="162">
        <f t="shared" si="9"/>
        <v>0</v>
      </c>
      <c r="DP10" s="162">
        <f t="shared" si="9"/>
        <v>0</v>
      </c>
      <c r="DQ10" s="162">
        <f t="shared" si="9"/>
        <v>0</v>
      </c>
      <c r="DR10" s="162">
        <f t="shared" si="9"/>
        <v>0</v>
      </c>
      <c r="DS10" s="162">
        <f t="shared" si="9"/>
        <v>0</v>
      </c>
      <c r="DT10" s="162">
        <f t="shared" si="9"/>
        <v>0</v>
      </c>
      <c r="DU10" s="162">
        <f t="shared" si="9"/>
        <v>0</v>
      </c>
    </row>
    <row r="11" spans="1:129">
      <c r="B11" s="218"/>
      <c r="C11" s="163"/>
      <c r="D11" s="164" t="s">
        <v>558</v>
      </c>
      <c r="E11" s="165"/>
      <c r="F11" s="165"/>
      <c r="G11" s="165"/>
      <c r="H11" s="166"/>
      <c r="I11" s="974"/>
      <c r="J11" s="98"/>
      <c r="K11" s="168">
        <f ca="1">SUMIF('BS(M)'!$K$13:$EP$13,K$8,'BS(M)'!$K16:$EP16)</f>
        <v>10000000</v>
      </c>
      <c r="L11" s="168">
        <f ca="1">SUMIF('BS(M)'!$K$13:$EP$13,L$8,'BS(M)'!$K16:$EP16)</f>
        <v>7484008.4048690023</v>
      </c>
      <c r="M11" s="168">
        <f ca="1">SUMIF('BS(M)'!$K$13:$EP$13,M$8,'BS(M)'!$K16:$EP16)</f>
        <v>5835918.3435629858</v>
      </c>
      <c r="N11" s="168">
        <f ca="1">SUMIF('BS(M)'!$K$13:$EP$13,N$8,'BS(M)'!$K16:$EP16)</f>
        <v>4153153.4339632466</v>
      </c>
      <c r="O11" s="168">
        <f ca="1">SUMIF('BS(M)'!$K$13:$EP$13,O$8,'BS(M)'!$K16:$EP16)</f>
        <v>8147870.6857560482</v>
      </c>
      <c r="P11" s="168">
        <f ca="1">SUMIF('BS(M)'!$K$13:$EP$13,P$8,'BS(M)'!$K16:$EP16)</f>
        <v>6830442.2221172433</v>
      </c>
      <c r="Q11" s="168">
        <f ca="1">SUMIF('BS(M)'!$K$13:$EP$13,Q$8,'BS(M)'!$K16:$EP16)</f>
        <v>761483.31025122944</v>
      </c>
      <c r="R11" s="168">
        <f ca="1">SUMIF('BS(M)'!$K$13:$EP$13,R$8,'BS(M)'!$K16:$EP16)</f>
        <v>0</v>
      </c>
      <c r="S11" s="168">
        <f ca="1">SUMIF('BS(M)'!$K$13:$EP$13,S$8,'BS(M)'!$K16:$EP16)</f>
        <v>0</v>
      </c>
      <c r="T11" s="168">
        <f ca="1">SUMIF('BS(M)'!$K$13:$EP$13,T$8,'BS(M)'!$K16:$EP16)</f>
        <v>0</v>
      </c>
      <c r="U11" s="168">
        <f ca="1">SUMIF('BS(M)'!$K$13:$EP$13,U$8,'BS(M)'!$K16:$EP16)</f>
        <v>0</v>
      </c>
      <c r="V11" s="168">
        <f ca="1">SUMIF('BS(M)'!$K$13:$EP$13,V$8,'BS(M)'!$K16:$EP16)</f>
        <v>0</v>
      </c>
      <c r="W11" s="168">
        <f ca="1">SUMIF('BS(M)'!$K$13:$EP$13,W$8,'BS(M)'!$K16:$EP16)</f>
        <v>0</v>
      </c>
      <c r="X11" s="168">
        <f ca="1">SUMIF('BS(M)'!$K$13:$EP$13,X$8,'BS(M)'!$K16:$EP16)</f>
        <v>0</v>
      </c>
      <c r="Y11" s="168">
        <f ca="1">SUMIF('BS(M)'!$K$13:$EP$13,Y$8,'BS(M)'!$K16:$EP16)</f>
        <v>0</v>
      </c>
      <c r="Z11" s="168">
        <f ca="1">SUMIF('BS(M)'!$K$13:$EP$13,Z$8,'BS(M)'!$K16:$EP16)</f>
        <v>226292.15038068127</v>
      </c>
      <c r="AA11" s="168">
        <f ca="1">SUMIF('BS(M)'!$K$13:$EP$13,AA$8,'BS(M)'!$K16:$EP16)</f>
        <v>152511.78768972354</v>
      </c>
      <c r="AB11" s="168">
        <f ca="1">SUMIF('BS(M)'!$K$13:$EP$13,AB$8,'BS(M)'!$K16:$EP16)</f>
        <v>588417.38769943593</v>
      </c>
      <c r="AC11" s="168">
        <f ca="1">SUMIF('BS(M)'!$K$13:$EP$13,AC$8,'BS(M)'!$K16:$EP16)</f>
        <v>1436758.7495171083</v>
      </c>
      <c r="AD11" s="168">
        <f ca="1">SUMIF('BS(M)'!$K$13:$EP$13,AD$8,'BS(M)'!$K16:$EP16)</f>
        <v>2203715.2777146646</v>
      </c>
      <c r="AE11" s="168">
        <f ca="1">SUMIF('BS(M)'!$K$13:$EP$13,AE$8,'BS(M)'!$K16:$EP16)</f>
        <v>-8.0093741416931152E-8</v>
      </c>
      <c r="AF11" s="168">
        <f ca="1">SUMIF('BS(M)'!$K$13:$EP$13,AF$8,'BS(M)'!$K16:$EP16)</f>
        <v>-8.0093741416931152E-8</v>
      </c>
      <c r="AG11" s="168">
        <f ca="1">SUMIF('BS(M)'!$K$13:$EP$13,AG$8,'BS(M)'!$K16:$EP16)</f>
        <v>-8.0093741416931152E-8</v>
      </c>
      <c r="AH11" s="168">
        <f>SUMIF('BS(M)'!$K$13:$EP$13,AH$8,'BS(M)'!$K16:$EP16)</f>
        <v>0</v>
      </c>
      <c r="AI11" s="168">
        <f>SUMIF('BS(M)'!$K$13:$EP$13,AI$8,'BS(M)'!$K16:$EP16)</f>
        <v>0</v>
      </c>
      <c r="AJ11" s="168">
        <f>SUMIF('BS(M)'!$K$13:$EP$13,AJ$8,'BS(M)'!$K16:$EP16)</f>
        <v>0</v>
      </c>
      <c r="AK11" s="168">
        <f>SUMIF('BS(M)'!$K$13:$EP$13,AK$8,'BS(M)'!$K16:$EP16)</f>
        <v>0</v>
      </c>
      <c r="AL11" s="168">
        <f>SUMIF('BS(M)'!$K$13:$EP$13,AL$8,'BS(M)'!$K16:$EP16)</f>
        <v>0</v>
      </c>
      <c r="AM11" s="168">
        <f>SUMIF('BS(M)'!$K$13:$EP$13,AM$8,'BS(M)'!$K16:$EP16)</f>
        <v>0</v>
      </c>
      <c r="AN11" s="168">
        <f>SUMIF('BS(M)'!$K$13:$EP$13,AN$8,'BS(M)'!$K16:$EP16)</f>
        <v>0</v>
      </c>
      <c r="AO11" s="168">
        <f>SUMIF('BS(M)'!$K$13:$EP$13,AO$8,'BS(M)'!$K16:$EP16)</f>
        <v>0</v>
      </c>
      <c r="AP11" s="168">
        <f>SUMIF('BS(M)'!$K$13:$EP$13,AP$8,'BS(M)'!$K16:$EP16)</f>
        <v>0</v>
      </c>
      <c r="AQ11" s="168">
        <f>SUMIF('BS(M)'!$K$13:$EP$13,AQ$8,'BS(M)'!$K16:$EP16)</f>
        <v>0</v>
      </c>
      <c r="AR11" s="168">
        <f>SUMIF('BS(M)'!$K$13:$EP$13,AR$8,'BS(M)'!$K16:$EP16)</f>
        <v>0</v>
      </c>
      <c r="AS11" s="168">
        <f>SUMIF('BS(M)'!$K$13:$EP$13,AS$8,'BS(M)'!$K16:$EP16)</f>
        <v>0</v>
      </c>
      <c r="AT11" s="168">
        <f>SUMIF('BS(M)'!$K$13:$EP$13,AT$8,'BS(M)'!$K16:$EP16)</f>
        <v>0</v>
      </c>
      <c r="AU11" s="168">
        <f>SUMIF('BS(M)'!$K$13:$EP$13,AU$8,'BS(M)'!$K16:$EP16)</f>
        <v>0</v>
      </c>
      <c r="AV11" s="168">
        <f>SUMIF('BS(M)'!$K$13:$EP$13,AV$8,'BS(M)'!$K16:$EP16)</f>
        <v>0</v>
      </c>
      <c r="AW11" s="168">
        <f>SUMIF('BS(M)'!$K$13:$EP$13,AW$8,'BS(M)'!$K16:$EP16)</f>
        <v>0</v>
      </c>
      <c r="AX11" s="168">
        <f>SUMIF('BS(M)'!$K$13:$EP$13,AX$8,'BS(M)'!$K16:$EP16)</f>
        <v>0</v>
      </c>
      <c r="AY11" s="168">
        <f>SUMIF('BS(M)'!$K$13:$EP$13,AY$8,'BS(M)'!$K16:$EP16)</f>
        <v>0</v>
      </c>
      <c r="AZ11" s="168">
        <f>SUMIF('BS(M)'!$K$13:$EP$13,AZ$8,'BS(M)'!$K16:$EP16)</f>
        <v>0</v>
      </c>
      <c r="BA11" s="168">
        <f>SUMIF('BS(M)'!$K$13:$EP$13,BA$8,'BS(M)'!$K16:$EP16)</f>
        <v>0</v>
      </c>
      <c r="BB11" s="168">
        <f>SUMIF('BS(M)'!$K$13:$EP$13,BB$8,'BS(M)'!$K16:$EP16)</f>
        <v>0</v>
      </c>
      <c r="BC11" s="168">
        <f>SUMIF('BS(M)'!$K$13:$EP$13,BC$8,'BS(M)'!$K16:$EP16)</f>
        <v>0</v>
      </c>
      <c r="BD11" s="168">
        <f>SUMIF('BS(M)'!$K$13:$EP$13,BD$8,'BS(M)'!$K16:$EP16)</f>
        <v>0</v>
      </c>
      <c r="BE11" s="168">
        <f>SUMIF('BS(M)'!$K$13:$EP$13,BE$8,'BS(M)'!$K16:$EP16)</f>
        <v>0</v>
      </c>
      <c r="BF11" s="168">
        <f>SUMIF('BS(M)'!$K$13:$EP$13,BF$8,'BS(M)'!$K16:$EP16)</f>
        <v>0</v>
      </c>
      <c r="BG11" s="168">
        <f>SUMIF('BS(M)'!$K$13:$EP$13,BG$8,'BS(M)'!$K16:$EP16)</f>
        <v>0</v>
      </c>
      <c r="BH11" s="168">
        <f>SUMIF('BS(M)'!$K$13:$EP$13,BH$8,'BS(M)'!$K16:$EP16)</f>
        <v>0</v>
      </c>
      <c r="BI11" s="168">
        <f>SUMIF('BS(M)'!$K$13:$EP$13,BI$8,'BS(M)'!$K16:$EP16)</f>
        <v>0</v>
      </c>
      <c r="BJ11" s="168">
        <f>SUMIF('BS(M)'!$K$13:$EP$13,BJ$8,'BS(M)'!$K16:$EP16)</f>
        <v>0</v>
      </c>
      <c r="BK11" s="168">
        <f>SUMIF('BS(M)'!$K$13:$EP$13,BK$8,'BS(M)'!$K16:$EP16)</f>
        <v>0</v>
      </c>
      <c r="BL11" s="168">
        <f>SUMIF('BS(M)'!$K$13:$EP$13,BL$8,'BS(M)'!$K16:$EP16)</f>
        <v>0</v>
      </c>
      <c r="BM11" s="168">
        <f>SUMIF('BS(M)'!$K$13:$EP$13,BM$8,'BS(M)'!$K16:$EP16)</f>
        <v>0</v>
      </c>
      <c r="BN11" s="168">
        <f>SUMIF('BS(M)'!$K$13:$EP$13,BN$8,'BS(M)'!$K16:$EP16)</f>
        <v>0</v>
      </c>
      <c r="BO11" s="168">
        <f>SUMIF('BS(M)'!$K$13:$EP$13,BO$8,'BS(M)'!$K16:$EP16)</f>
        <v>0</v>
      </c>
      <c r="BP11" s="168">
        <f>SUMIF('BS(M)'!$K$13:$EP$13,BP$8,'BS(M)'!$K16:$EP16)</f>
        <v>0</v>
      </c>
      <c r="BQ11" s="168">
        <f>SUMIF('BS(M)'!$K$13:$EP$13,BQ$8,'BS(M)'!$K16:$EP16)</f>
        <v>0</v>
      </c>
      <c r="BR11" s="168">
        <f>SUMIF('BS(M)'!$K$13:$EP$13,BR$8,'BS(M)'!$K16:$EP16)</f>
        <v>0</v>
      </c>
      <c r="BS11" s="168">
        <f>SUMIF('BS(M)'!$K$13:$EP$13,BS$8,'BS(M)'!$K16:$EP16)</f>
        <v>0</v>
      </c>
      <c r="BT11" s="168">
        <f>SUMIF('BS(M)'!$K$13:$EP$13,BT$8,'BS(M)'!$K16:$EP16)</f>
        <v>0</v>
      </c>
      <c r="BU11" s="168">
        <f>SUMIF('BS(M)'!$K$13:$EP$13,BU$8,'BS(M)'!$K16:$EP16)</f>
        <v>0</v>
      </c>
      <c r="BV11" s="168">
        <f>SUMIF('BS(M)'!$K$13:$EP$13,BV$8,'BS(M)'!$K16:$EP16)</f>
        <v>0</v>
      </c>
      <c r="BW11" s="168">
        <f>SUMIF('BS(M)'!$K$13:$EP$13,BW$8,'BS(M)'!$K16:$EP16)</f>
        <v>0</v>
      </c>
      <c r="BX11" s="168">
        <f>SUMIF('BS(M)'!$K$13:$EP$13,BX$8,'BS(M)'!$K16:$EP16)</f>
        <v>0</v>
      </c>
      <c r="BY11" s="168">
        <f>SUMIF('BS(M)'!$K$13:$EP$13,BY$8,'BS(M)'!$K16:$EP16)</f>
        <v>0</v>
      </c>
      <c r="BZ11" s="168">
        <f>SUMIF('BS(M)'!$K$13:$EP$13,BZ$8,'BS(M)'!$K16:$EP16)</f>
        <v>0</v>
      </c>
      <c r="CA11" s="168">
        <f>SUMIF('BS(M)'!$K$13:$EP$13,CA$8,'BS(M)'!$K16:$EP16)</f>
        <v>0</v>
      </c>
      <c r="CB11" s="168">
        <f>SUMIF('BS(M)'!$K$13:$EP$13,CB$8,'BS(M)'!$K16:$EP16)</f>
        <v>0</v>
      </c>
      <c r="CC11" s="168">
        <f>SUMIF('BS(M)'!$K$13:$EP$13,CC$8,'BS(M)'!$K16:$EP16)</f>
        <v>0</v>
      </c>
      <c r="CD11" s="168">
        <f>SUMIF('BS(M)'!$K$13:$EP$13,CD$8,'BS(M)'!$K16:$EP16)</f>
        <v>0</v>
      </c>
      <c r="CE11" s="168">
        <f>SUMIF('BS(M)'!$K$13:$EP$13,CE$8,'BS(M)'!$K16:$EP16)</f>
        <v>0</v>
      </c>
      <c r="CF11" s="168">
        <f>SUMIF('BS(M)'!$K$13:$EP$13,CF$8,'BS(M)'!$K16:$EP16)</f>
        <v>0</v>
      </c>
      <c r="CG11" s="168">
        <f>SUMIF('BS(M)'!$K$13:$EP$13,CG$8,'BS(M)'!$K16:$EP16)</f>
        <v>0</v>
      </c>
      <c r="CH11" s="168">
        <f>SUMIF('BS(M)'!$K$13:$EP$13,CH$8,'BS(M)'!$K16:$EP16)</f>
        <v>0</v>
      </c>
      <c r="CI11" s="168">
        <f>SUMIF('BS(M)'!$K$13:$EP$13,CI$8,'BS(M)'!$K16:$EP16)</f>
        <v>0</v>
      </c>
      <c r="CJ11" s="168">
        <f>SUMIF('BS(M)'!$K$13:$EP$13,CJ$8,'BS(M)'!$K16:$EP16)</f>
        <v>0</v>
      </c>
      <c r="CK11" s="168">
        <f>SUMIF('BS(M)'!$K$13:$EP$13,CK$8,'BS(M)'!$K16:$EP16)</f>
        <v>0</v>
      </c>
      <c r="CL11" s="168">
        <f>SUMIF('BS(M)'!$K$13:$EP$13,CL$8,'BS(M)'!$K16:$EP16)</f>
        <v>0</v>
      </c>
      <c r="CM11" s="168">
        <f>SUMIF('BS(M)'!$K$13:$EP$13,CM$8,'BS(M)'!$K16:$EP16)</f>
        <v>0</v>
      </c>
      <c r="CN11" s="168">
        <f>SUMIF('BS(M)'!$K$13:$EP$13,CN$8,'BS(M)'!$K16:$EP16)</f>
        <v>0</v>
      </c>
      <c r="CO11" s="168">
        <f>SUMIF('BS(M)'!$K$13:$EP$13,CO$8,'BS(M)'!$K16:$EP16)</f>
        <v>0</v>
      </c>
      <c r="CP11" s="168">
        <f>SUMIF('BS(M)'!$K$13:$EP$13,CP$8,'BS(M)'!$K16:$EP16)</f>
        <v>0</v>
      </c>
      <c r="CQ11" s="168">
        <f>SUMIF('BS(M)'!$K$13:$EP$13,CQ$8,'BS(M)'!$K16:$EP16)</f>
        <v>0</v>
      </c>
      <c r="CR11" s="168">
        <f>SUMIF('BS(M)'!$K$13:$EP$13,CR$8,'BS(M)'!$K16:$EP16)</f>
        <v>0</v>
      </c>
      <c r="CS11" s="168">
        <f>SUMIF('BS(M)'!$K$13:$EP$13,CS$8,'BS(M)'!$K16:$EP16)</f>
        <v>0</v>
      </c>
      <c r="CT11" s="168">
        <f>SUMIF('BS(M)'!$K$13:$EP$13,CT$8,'BS(M)'!$K16:$EP16)</f>
        <v>0</v>
      </c>
      <c r="CU11" s="168">
        <f>SUMIF('BS(M)'!$K$13:$EP$13,CU$8,'BS(M)'!$K16:$EP16)</f>
        <v>0</v>
      </c>
      <c r="CV11" s="168">
        <f>SUMIF('BS(M)'!$K$13:$EP$13,CV$8,'BS(M)'!$K16:$EP16)</f>
        <v>0</v>
      </c>
      <c r="CW11" s="168">
        <f>SUMIF('BS(M)'!$K$13:$EP$13,CW$8,'BS(M)'!$K16:$EP16)</f>
        <v>0</v>
      </c>
      <c r="CX11" s="168">
        <f>SUMIF('BS(M)'!$K$13:$EP$13,CX$8,'BS(M)'!$K16:$EP16)</f>
        <v>0</v>
      </c>
      <c r="CY11" s="168">
        <f>SUMIF('BS(M)'!$K$13:$EP$13,CY$8,'BS(M)'!$K16:$EP16)</f>
        <v>0</v>
      </c>
      <c r="CZ11" s="168">
        <f>SUMIF('BS(M)'!$K$13:$EP$13,CZ$8,'BS(M)'!$K16:$EP16)</f>
        <v>0</v>
      </c>
      <c r="DA11" s="168">
        <f>SUMIF('BS(M)'!$K$13:$EP$13,DA$8,'BS(M)'!$K16:$EP16)</f>
        <v>0</v>
      </c>
      <c r="DB11" s="168">
        <f>SUMIF('BS(M)'!$K$13:$EP$13,DB$8,'BS(M)'!$K16:$EP16)</f>
        <v>0</v>
      </c>
      <c r="DC11" s="168">
        <f>SUMIF('BS(M)'!$K$13:$EP$13,DC$8,'BS(M)'!$K16:$EP16)</f>
        <v>0</v>
      </c>
      <c r="DD11" s="168">
        <f>SUMIF('BS(M)'!$K$13:$EP$13,DD$8,'BS(M)'!$K16:$EP16)</f>
        <v>0</v>
      </c>
      <c r="DE11" s="168">
        <f>SUMIF('BS(M)'!$K$13:$EP$13,DE$8,'BS(M)'!$K16:$EP16)</f>
        <v>0</v>
      </c>
      <c r="DF11" s="168">
        <f>SUMIF('BS(M)'!$K$13:$EP$13,DF$8,'BS(M)'!$K16:$EP16)</f>
        <v>0</v>
      </c>
      <c r="DG11" s="168">
        <f>SUMIF('BS(M)'!$K$13:$EP$13,DG$8,'BS(M)'!$K16:$EP16)</f>
        <v>0</v>
      </c>
      <c r="DH11" s="168">
        <f>SUMIF('BS(M)'!$K$13:$EP$13,DH$8,'BS(M)'!$K16:$EP16)</f>
        <v>0</v>
      </c>
      <c r="DI11" s="168">
        <f>SUMIF('BS(M)'!$K$13:$EP$13,DI$8,'BS(M)'!$K16:$EP16)</f>
        <v>0</v>
      </c>
      <c r="DJ11" s="168">
        <f>SUMIF('BS(M)'!$K$13:$EP$13,DJ$8,'BS(M)'!$K16:$EP16)</f>
        <v>0</v>
      </c>
      <c r="DK11" s="168">
        <f>SUMIF('BS(M)'!$K$13:$EP$13,DK$8,'BS(M)'!$K16:$EP16)</f>
        <v>0</v>
      </c>
      <c r="DL11" s="168">
        <f>SUMIF('BS(M)'!$K$13:$EP$13,DL$8,'BS(M)'!$K16:$EP16)</f>
        <v>0</v>
      </c>
      <c r="DM11" s="168">
        <f>SUMIF('BS(M)'!$K$13:$EP$13,DM$8,'BS(M)'!$K16:$EP16)</f>
        <v>0</v>
      </c>
      <c r="DN11" s="168">
        <f>SUMIF('BS(M)'!$K$13:$EP$13,DN$8,'BS(M)'!$K16:$EP16)</f>
        <v>0</v>
      </c>
      <c r="DO11" s="168">
        <f>SUMIF('BS(M)'!$K$13:$EP$13,DO$8,'BS(M)'!$K16:$EP16)</f>
        <v>0</v>
      </c>
      <c r="DP11" s="168">
        <f>SUMIF('BS(M)'!$K$13:$EP$13,DP$8,'BS(M)'!$K16:$EP16)</f>
        <v>0</v>
      </c>
      <c r="DQ11" s="168">
        <f>SUMIF('BS(M)'!$K$13:$EP$13,DQ$8,'BS(M)'!$K16:$EP16)</f>
        <v>0</v>
      </c>
      <c r="DR11" s="168">
        <f>SUMIF('BS(M)'!$K$13:$EP$13,DR$8,'BS(M)'!$K16:$EP16)</f>
        <v>0</v>
      </c>
      <c r="DS11" s="168">
        <f>SUMIF('BS(M)'!$K$13:$EP$13,DS$8,'BS(M)'!$K16:$EP16)</f>
        <v>0</v>
      </c>
      <c r="DT11" s="168">
        <f>SUMIF('BS(M)'!$K$13:$EP$13,DT$8,'BS(M)'!$K16:$EP16)</f>
        <v>0</v>
      </c>
      <c r="DU11" s="168">
        <f>SUMIF('BS(M)'!$K$13:$EP$13,DU$8,'BS(M)'!$K16:$EP16)</f>
        <v>0</v>
      </c>
    </row>
    <row r="12" spans="1:129">
      <c r="B12" s="218"/>
      <c r="C12" s="163"/>
      <c r="D12" s="169" t="s">
        <v>559</v>
      </c>
      <c r="H12" s="146"/>
      <c r="I12" s="953"/>
      <c r="J12" s="98"/>
      <c r="K12" s="171">
        <f>SUMIF('BS(M)'!$K$13:$EP$13,K$8,'BS(M)'!$K17:$EP17)</f>
        <v>12856669.630531998</v>
      </c>
      <c r="L12" s="171">
        <f>SUMIF('BS(M)'!$K$13:$EP$13,L$8,'BS(M)'!$K17:$EP17)</f>
        <v>56176.470635715537</v>
      </c>
      <c r="M12" s="171">
        <f>SUMIF('BS(M)'!$K$13:$EP$13,M$8,'BS(M)'!$K17:$EP17)</f>
        <v>56176.470635715537</v>
      </c>
      <c r="N12" s="171">
        <f>SUMIF('BS(M)'!$K$13:$EP$13,N$8,'BS(M)'!$K17:$EP17)</f>
        <v>56197.924427994352</v>
      </c>
      <c r="O12" s="171">
        <f>SUMIF('BS(M)'!$K$13:$EP$13,O$8,'BS(M)'!$K17:$EP17)</f>
        <v>56197.924427994352</v>
      </c>
      <c r="P12" s="171">
        <f>SUMIF('BS(M)'!$K$13:$EP$13,P$8,'BS(M)'!$K17:$EP17)</f>
        <v>56234.540490118714</v>
      </c>
      <c r="Q12" s="171">
        <f>SUMIF('BS(M)'!$K$13:$EP$13,Q$8,'BS(M)'!$K17:$EP17)</f>
        <v>63074.37974233563</v>
      </c>
      <c r="R12" s="171">
        <f>SUMIF('BS(M)'!$K$13:$EP$13,R$8,'BS(M)'!$K17:$EP17)</f>
        <v>59051.8038204361</v>
      </c>
      <c r="S12" s="171">
        <f>SUMIF('BS(M)'!$K$13:$EP$13,S$8,'BS(M)'!$K17:$EP17)</f>
        <v>56286.323466105576</v>
      </c>
      <c r="T12" s="171">
        <f>SUMIF('BS(M)'!$K$13:$EP$13,T$8,'BS(M)'!$K17:$EP17)</f>
        <v>56353.284005817288</v>
      </c>
      <c r="U12" s="171">
        <f>SUMIF('BS(M)'!$K$13:$EP$13,U$8,'BS(M)'!$K17:$EP17)</f>
        <v>56353.284005817288</v>
      </c>
      <c r="V12" s="171">
        <f>SUMIF('BS(M)'!$K$13:$EP$13,V$8,'BS(M)'!$K17:$EP17)</f>
        <v>56435.438765933271</v>
      </c>
      <c r="W12" s="171">
        <f>SUMIF('BS(M)'!$K$13:$EP$13,W$8,'BS(M)'!$K17:$EP17)</f>
        <v>56435.438765933271</v>
      </c>
      <c r="X12" s="171">
        <f>SUMIF('BS(M)'!$K$13:$EP$13,X$8,'BS(M)'!$K17:$EP17)</f>
        <v>56532.81041331085</v>
      </c>
      <c r="Y12" s="171">
        <f>SUMIF('BS(M)'!$K$13:$EP$13,Y$8,'BS(M)'!$K17:$EP17)</f>
        <v>56532.81041331085</v>
      </c>
      <c r="Z12" s="171">
        <f>SUMIF('BS(M)'!$K$13:$EP$13,Z$8,'BS(M)'!$K17:$EP17)</f>
        <v>56645.427630735066</v>
      </c>
      <c r="AA12" s="171">
        <f>SUMIF('BS(M)'!$K$13:$EP$13,AA$8,'BS(M)'!$K17:$EP17)</f>
        <v>64384.077935544949</v>
      </c>
      <c r="AB12" s="171">
        <f>SUMIF('BS(M)'!$K$13:$EP$13,AB$8,'BS(M)'!$K17:$EP17)</f>
        <v>64123.912327077422</v>
      </c>
      <c r="AC12" s="171">
        <f>SUMIF('BS(M)'!$K$13:$EP$13,AC$8,'BS(M)'!$K17:$EP17)</f>
        <v>56773.325125059106</v>
      </c>
      <c r="AD12" s="171">
        <f>SUMIF('BS(M)'!$K$13:$EP$13,AD$8,'BS(M)'!$K17:$EP17)</f>
        <v>56916.543637737108</v>
      </c>
      <c r="AE12" s="171">
        <f>SUMIF('BS(M)'!$K$13:$EP$13,AE$8,'BS(M)'!$K17:$EP17)</f>
        <v>0</v>
      </c>
      <c r="AF12" s="171">
        <f>SUMIF('BS(M)'!$K$13:$EP$13,AF$8,'BS(M)'!$K17:$EP17)</f>
        <v>0</v>
      </c>
      <c r="AG12" s="171">
        <f>SUMIF('BS(M)'!$K$13:$EP$13,AG$8,'BS(M)'!$K17:$EP17)</f>
        <v>0</v>
      </c>
      <c r="AH12" s="171">
        <f>SUMIF('BS(M)'!$K$13:$EP$13,AH$8,'BS(M)'!$K17:$EP17)</f>
        <v>0</v>
      </c>
      <c r="AI12" s="171">
        <f>SUMIF('BS(M)'!$K$13:$EP$13,AI$8,'BS(M)'!$K17:$EP17)</f>
        <v>0</v>
      </c>
      <c r="AJ12" s="171">
        <f>SUMIF('BS(M)'!$K$13:$EP$13,AJ$8,'BS(M)'!$K17:$EP17)</f>
        <v>0</v>
      </c>
      <c r="AK12" s="171">
        <f>SUMIF('BS(M)'!$K$13:$EP$13,AK$8,'BS(M)'!$K17:$EP17)</f>
        <v>0</v>
      </c>
      <c r="AL12" s="171">
        <f>SUMIF('BS(M)'!$K$13:$EP$13,AL$8,'BS(M)'!$K17:$EP17)</f>
        <v>0</v>
      </c>
      <c r="AM12" s="171">
        <f>SUMIF('BS(M)'!$K$13:$EP$13,AM$8,'BS(M)'!$K17:$EP17)</f>
        <v>0</v>
      </c>
      <c r="AN12" s="171">
        <f>SUMIF('BS(M)'!$K$13:$EP$13,AN$8,'BS(M)'!$K17:$EP17)</f>
        <v>0</v>
      </c>
      <c r="AO12" s="171">
        <f>SUMIF('BS(M)'!$K$13:$EP$13,AO$8,'BS(M)'!$K17:$EP17)</f>
        <v>0</v>
      </c>
      <c r="AP12" s="171">
        <f>SUMIF('BS(M)'!$K$13:$EP$13,AP$8,'BS(M)'!$K17:$EP17)</f>
        <v>0</v>
      </c>
      <c r="AQ12" s="171">
        <f>SUMIF('BS(M)'!$K$13:$EP$13,AQ$8,'BS(M)'!$K17:$EP17)</f>
        <v>0</v>
      </c>
      <c r="AR12" s="171">
        <f>SUMIF('BS(M)'!$K$13:$EP$13,AR$8,'BS(M)'!$K17:$EP17)</f>
        <v>0</v>
      </c>
      <c r="AS12" s="171">
        <f>SUMIF('BS(M)'!$K$13:$EP$13,AS$8,'BS(M)'!$K17:$EP17)</f>
        <v>0</v>
      </c>
      <c r="AT12" s="171">
        <f>SUMIF('BS(M)'!$K$13:$EP$13,AT$8,'BS(M)'!$K17:$EP17)</f>
        <v>0</v>
      </c>
      <c r="AU12" s="171">
        <f>SUMIF('BS(M)'!$K$13:$EP$13,AU$8,'BS(M)'!$K17:$EP17)</f>
        <v>0</v>
      </c>
      <c r="AV12" s="171">
        <f>SUMIF('BS(M)'!$K$13:$EP$13,AV$8,'BS(M)'!$K17:$EP17)</f>
        <v>0</v>
      </c>
      <c r="AW12" s="171">
        <f>SUMIF('BS(M)'!$K$13:$EP$13,AW$8,'BS(M)'!$K17:$EP17)</f>
        <v>0</v>
      </c>
      <c r="AX12" s="171">
        <f>SUMIF('BS(M)'!$K$13:$EP$13,AX$8,'BS(M)'!$K17:$EP17)</f>
        <v>0</v>
      </c>
      <c r="AY12" s="171">
        <f>SUMIF('BS(M)'!$K$13:$EP$13,AY$8,'BS(M)'!$K17:$EP17)</f>
        <v>0</v>
      </c>
      <c r="AZ12" s="171">
        <f>SUMIF('BS(M)'!$K$13:$EP$13,AZ$8,'BS(M)'!$K17:$EP17)</f>
        <v>0</v>
      </c>
      <c r="BA12" s="171">
        <f>SUMIF('BS(M)'!$K$13:$EP$13,BA$8,'BS(M)'!$K17:$EP17)</f>
        <v>0</v>
      </c>
      <c r="BB12" s="171">
        <f>SUMIF('BS(M)'!$K$13:$EP$13,BB$8,'BS(M)'!$K17:$EP17)</f>
        <v>0</v>
      </c>
      <c r="BC12" s="171">
        <f>SUMIF('BS(M)'!$K$13:$EP$13,BC$8,'BS(M)'!$K17:$EP17)</f>
        <v>0</v>
      </c>
      <c r="BD12" s="171">
        <f>SUMIF('BS(M)'!$K$13:$EP$13,BD$8,'BS(M)'!$K17:$EP17)</f>
        <v>0</v>
      </c>
      <c r="BE12" s="171">
        <f>SUMIF('BS(M)'!$K$13:$EP$13,BE$8,'BS(M)'!$K17:$EP17)</f>
        <v>0</v>
      </c>
      <c r="BF12" s="171">
        <f>SUMIF('BS(M)'!$K$13:$EP$13,BF$8,'BS(M)'!$K17:$EP17)</f>
        <v>0</v>
      </c>
      <c r="BG12" s="171">
        <f>SUMIF('BS(M)'!$K$13:$EP$13,BG$8,'BS(M)'!$K17:$EP17)</f>
        <v>0</v>
      </c>
      <c r="BH12" s="171">
        <f>SUMIF('BS(M)'!$K$13:$EP$13,BH$8,'BS(M)'!$K17:$EP17)</f>
        <v>0</v>
      </c>
      <c r="BI12" s="171">
        <f>SUMIF('BS(M)'!$K$13:$EP$13,BI$8,'BS(M)'!$K17:$EP17)</f>
        <v>0</v>
      </c>
      <c r="BJ12" s="171">
        <f>SUMIF('BS(M)'!$K$13:$EP$13,BJ$8,'BS(M)'!$K17:$EP17)</f>
        <v>0</v>
      </c>
      <c r="BK12" s="171">
        <f>SUMIF('BS(M)'!$K$13:$EP$13,BK$8,'BS(M)'!$K17:$EP17)</f>
        <v>0</v>
      </c>
      <c r="BL12" s="171">
        <f>SUMIF('BS(M)'!$K$13:$EP$13,BL$8,'BS(M)'!$K17:$EP17)</f>
        <v>0</v>
      </c>
      <c r="BM12" s="171">
        <f>SUMIF('BS(M)'!$K$13:$EP$13,BM$8,'BS(M)'!$K17:$EP17)</f>
        <v>0</v>
      </c>
      <c r="BN12" s="171">
        <f>SUMIF('BS(M)'!$K$13:$EP$13,BN$8,'BS(M)'!$K17:$EP17)</f>
        <v>0</v>
      </c>
      <c r="BO12" s="171">
        <f>SUMIF('BS(M)'!$K$13:$EP$13,BO$8,'BS(M)'!$K17:$EP17)</f>
        <v>0</v>
      </c>
      <c r="BP12" s="171">
        <f>SUMIF('BS(M)'!$K$13:$EP$13,BP$8,'BS(M)'!$K17:$EP17)</f>
        <v>0</v>
      </c>
      <c r="BQ12" s="171">
        <f>SUMIF('BS(M)'!$K$13:$EP$13,BQ$8,'BS(M)'!$K17:$EP17)</f>
        <v>0</v>
      </c>
      <c r="BR12" s="171">
        <f>SUMIF('BS(M)'!$K$13:$EP$13,BR$8,'BS(M)'!$K17:$EP17)</f>
        <v>0</v>
      </c>
      <c r="BS12" s="171">
        <f>SUMIF('BS(M)'!$K$13:$EP$13,BS$8,'BS(M)'!$K17:$EP17)</f>
        <v>0</v>
      </c>
      <c r="BT12" s="171">
        <f>SUMIF('BS(M)'!$K$13:$EP$13,BT$8,'BS(M)'!$K17:$EP17)</f>
        <v>0</v>
      </c>
      <c r="BU12" s="171">
        <f>SUMIF('BS(M)'!$K$13:$EP$13,BU$8,'BS(M)'!$K17:$EP17)</f>
        <v>0</v>
      </c>
      <c r="BV12" s="171">
        <f>SUMIF('BS(M)'!$K$13:$EP$13,BV$8,'BS(M)'!$K17:$EP17)</f>
        <v>0</v>
      </c>
      <c r="BW12" s="171">
        <f>SUMIF('BS(M)'!$K$13:$EP$13,BW$8,'BS(M)'!$K17:$EP17)</f>
        <v>0</v>
      </c>
      <c r="BX12" s="171">
        <f>SUMIF('BS(M)'!$K$13:$EP$13,BX$8,'BS(M)'!$K17:$EP17)</f>
        <v>0</v>
      </c>
      <c r="BY12" s="171">
        <f>SUMIF('BS(M)'!$K$13:$EP$13,BY$8,'BS(M)'!$K17:$EP17)</f>
        <v>0</v>
      </c>
      <c r="BZ12" s="171">
        <f>SUMIF('BS(M)'!$K$13:$EP$13,BZ$8,'BS(M)'!$K17:$EP17)</f>
        <v>0</v>
      </c>
      <c r="CA12" s="171">
        <f>SUMIF('BS(M)'!$K$13:$EP$13,CA$8,'BS(M)'!$K17:$EP17)</f>
        <v>0</v>
      </c>
      <c r="CB12" s="171">
        <f>SUMIF('BS(M)'!$K$13:$EP$13,CB$8,'BS(M)'!$K17:$EP17)</f>
        <v>0</v>
      </c>
      <c r="CC12" s="171">
        <f>SUMIF('BS(M)'!$K$13:$EP$13,CC$8,'BS(M)'!$K17:$EP17)</f>
        <v>0</v>
      </c>
      <c r="CD12" s="171">
        <f>SUMIF('BS(M)'!$K$13:$EP$13,CD$8,'BS(M)'!$K17:$EP17)</f>
        <v>0</v>
      </c>
      <c r="CE12" s="171">
        <f>SUMIF('BS(M)'!$K$13:$EP$13,CE$8,'BS(M)'!$K17:$EP17)</f>
        <v>0</v>
      </c>
      <c r="CF12" s="171">
        <f>SUMIF('BS(M)'!$K$13:$EP$13,CF$8,'BS(M)'!$K17:$EP17)</f>
        <v>0</v>
      </c>
      <c r="CG12" s="171">
        <f>SUMIF('BS(M)'!$K$13:$EP$13,CG$8,'BS(M)'!$K17:$EP17)</f>
        <v>0</v>
      </c>
      <c r="CH12" s="171">
        <f>SUMIF('BS(M)'!$K$13:$EP$13,CH$8,'BS(M)'!$K17:$EP17)</f>
        <v>0</v>
      </c>
      <c r="CI12" s="171">
        <f>SUMIF('BS(M)'!$K$13:$EP$13,CI$8,'BS(M)'!$K17:$EP17)</f>
        <v>0</v>
      </c>
      <c r="CJ12" s="171">
        <f>SUMIF('BS(M)'!$K$13:$EP$13,CJ$8,'BS(M)'!$K17:$EP17)</f>
        <v>0</v>
      </c>
      <c r="CK12" s="171">
        <f>SUMIF('BS(M)'!$K$13:$EP$13,CK$8,'BS(M)'!$K17:$EP17)</f>
        <v>0</v>
      </c>
      <c r="CL12" s="171">
        <f>SUMIF('BS(M)'!$K$13:$EP$13,CL$8,'BS(M)'!$K17:$EP17)</f>
        <v>0</v>
      </c>
      <c r="CM12" s="171">
        <f>SUMIF('BS(M)'!$K$13:$EP$13,CM$8,'BS(M)'!$K17:$EP17)</f>
        <v>0</v>
      </c>
      <c r="CN12" s="171">
        <f>SUMIF('BS(M)'!$K$13:$EP$13,CN$8,'BS(M)'!$K17:$EP17)</f>
        <v>0</v>
      </c>
      <c r="CO12" s="171">
        <f>SUMIF('BS(M)'!$K$13:$EP$13,CO$8,'BS(M)'!$K17:$EP17)</f>
        <v>0</v>
      </c>
      <c r="CP12" s="171">
        <f>SUMIF('BS(M)'!$K$13:$EP$13,CP$8,'BS(M)'!$K17:$EP17)</f>
        <v>0</v>
      </c>
      <c r="CQ12" s="171">
        <f>SUMIF('BS(M)'!$K$13:$EP$13,CQ$8,'BS(M)'!$K17:$EP17)</f>
        <v>0</v>
      </c>
      <c r="CR12" s="171">
        <f>SUMIF('BS(M)'!$K$13:$EP$13,CR$8,'BS(M)'!$K17:$EP17)</f>
        <v>0</v>
      </c>
      <c r="CS12" s="171">
        <f>SUMIF('BS(M)'!$K$13:$EP$13,CS$8,'BS(M)'!$K17:$EP17)</f>
        <v>0</v>
      </c>
      <c r="CT12" s="171">
        <f>SUMIF('BS(M)'!$K$13:$EP$13,CT$8,'BS(M)'!$K17:$EP17)</f>
        <v>0</v>
      </c>
      <c r="CU12" s="171">
        <f>SUMIF('BS(M)'!$K$13:$EP$13,CU$8,'BS(M)'!$K17:$EP17)</f>
        <v>0</v>
      </c>
      <c r="CV12" s="171">
        <f>SUMIF('BS(M)'!$K$13:$EP$13,CV$8,'BS(M)'!$K17:$EP17)</f>
        <v>0</v>
      </c>
      <c r="CW12" s="171">
        <f>SUMIF('BS(M)'!$K$13:$EP$13,CW$8,'BS(M)'!$K17:$EP17)</f>
        <v>0</v>
      </c>
      <c r="CX12" s="171">
        <f>SUMIF('BS(M)'!$K$13:$EP$13,CX$8,'BS(M)'!$K17:$EP17)</f>
        <v>0</v>
      </c>
      <c r="CY12" s="171">
        <f>SUMIF('BS(M)'!$K$13:$EP$13,CY$8,'BS(M)'!$K17:$EP17)</f>
        <v>0</v>
      </c>
      <c r="CZ12" s="171">
        <f>SUMIF('BS(M)'!$K$13:$EP$13,CZ$8,'BS(M)'!$K17:$EP17)</f>
        <v>0</v>
      </c>
      <c r="DA12" s="171">
        <f>SUMIF('BS(M)'!$K$13:$EP$13,DA$8,'BS(M)'!$K17:$EP17)</f>
        <v>0</v>
      </c>
      <c r="DB12" s="171">
        <f>SUMIF('BS(M)'!$K$13:$EP$13,DB$8,'BS(M)'!$K17:$EP17)</f>
        <v>0</v>
      </c>
      <c r="DC12" s="171">
        <f>SUMIF('BS(M)'!$K$13:$EP$13,DC$8,'BS(M)'!$K17:$EP17)</f>
        <v>0</v>
      </c>
      <c r="DD12" s="171">
        <f>SUMIF('BS(M)'!$K$13:$EP$13,DD$8,'BS(M)'!$K17:$EP17)</f>
        <v>0</v>
      </c>
      <c r="DE12" s="171">
        <f>SUMIF('BS(M)'!$K$13:$EP$13,DE$8,'BS(M)'!$K17:$EP17)</f>
        <v>0</v>
      </c>
      <c r="DF12" s="171">
        <f>SUMIF('BS(M)'!$K$13:$EP$13,DF$8,'BS(M)'!$K17:$EP17)</f>
        <v>0</v>
      </c>
      <c r="DG12" s="171">
        <f>SUMIF('BS(M)'!$K$13:$EP$13,DG$8,'BS(M)'!$K17:$EP17)</f>
        <v>0</v>
      </c>
      <c r="DH12" s="171">
        <f>SUMIF('BS(M)'!$K$13:$EP$13,DH$8,'BS(M)'!$K17:$EP17)</f>
        <v>0</v>
      </c>
      <c r="DI12" s="171">
        <f>SUMIF('BS(M)'!$K$13:$EP$13,DI$8,'BS(M)'!$K17:$EP17)</f>
        <v>0</v>
      </c>
      <c r="DJ12" s="171">
        <f>SUMIF('BS(M)'!$K$13:$EP$13,DJ$8,'BS(M)'!$K17:$EP17)</f>
        <v>0</v>
      </c>
      <c r="DK12" s="171">
        <f>SUMIF('BS(M)'!$K$13:$EP$13,DK$8,'BS(M)'!$K17:$EP17)</f>
        <v>0</v>
      </c>
      <c r="DL12" s="171">
        <f>SUMIF('BS(M)'!$K$13:$EP$13,DL$8,'BS(M)'!$K17:$EP17)</f>
        <v>0</v>
      </c>
      <c r="DM12" s="171">
        <f>SUMIF('BS(M)'!$K$13:$EP$13,DM$8,'BS(M)'!$K17:$EP17)</f>
        <v>0</v>
      </c>
      <c r="DN12" s="171">
        <f>SUMIF('BS(M)'!$K$13:$EP$13,DN$8,'BS(M)'!$K17:$EP17)</f>
        <v>0</v>
      </c>
      <c r="DO12" s="171">
        <f>SUMIF('BS(M)'!$K$13:$EP$13,DO$8,'BS(M)'!$K17:$EP17)</f>
        <v>0</v>
      </c>
      <c r="DP12" s="171">
        <f>SUMIF('BS(M)'!$K$13:$EP$13,DP$8,'BS(M)'!$K17:$EP17)</f>
        <v>0</v>
      </c>
      <c r="DQ12" s="171">
        <f>SUMIF('BS(M)'!$K$13:$EP$13,DQ$8,'BS(M)'!$K17:$EP17)</f>
        <v>0</v>
      </c>
      <c r="DR12" s="171">
        <f>SUMIF('BS(M)'!$K$13:$EP$13,DR$8,'BS(M)'!$K17:$EP17)</f>
        <v>0</v>
      </c>
      <c r="DS12" s="171">
        <f>SUMIF('BS(M)'!$K$13:$EP$13,DS$8,'BS(M)'!$K17:$EP17)</f>
        <v>0</v>
      </c>
      <c r="DT12" s="171">
        <f>SUMIF('BS(M)'!$K$13:$EP$13,DT$8,'BS(M)'!$K17:$EP17)</f>
        <v>0</v>
      </c>
      <c r="DU12" s="171">
        <f>SUMIF('BS(M)'!$K$13:$EP$13,DU$8,'BS(M)'!$K17:$EP17)</f>
        <v>0</v>
      </c>
    </row>
    <row r="13" spans="1:129">
      <c r="B13" s="218"/>
      <c r="C13" s="163"/>
      <c r="D13" s="169" t="s">
        <v>237</v>
      </c>
      <c r="H13" s="146"/>
      <c r="I13" s="953"/>
      <c r="J13" s="98"/>
      <c r="K13" s="171">
        <f>SUMIF('BS(M)'!$K$13:$EP$13,K$8,'BS(M)'!$K18:$EP18)</f>
        <v>0</v>
      </c>
      <c r="L13" s="171">
        <f>SUMIF('BS(M)'!$K$13:$EP$13,L$8,'BS(M)'!$K18:$EP18)</f>
        <v>0</v>
      </c>
      <c r="M13" s="171">
        <f>SUMIF('BS(M)'!$K$13:$EP$13,M$8,'BS(M)'!$K18:$EP18)</f>
        <v>0</v>
      </c>
      <c r="N13" s="171">
        <f>SUMIF('BS(M)'!$K$13:$EP$13,N$8,'BS(M)'!$K18:$EP18)</f>
        <v>0</v>
      </c>
      <c r="O13" s="171">
        <f>SUMIF('BS(M)'!$K$13:$EP$13,O$8,'BS(M)'!$K18:$EP18)</f>
        <v>0</v>
      </c>
      <c r="P13" s="171">
        <f>SUMIF('BS(M)'!$K$13:$EP$13,P$8,'BS(M)'!$K18:$EP18)</f>
        <v>0</v>
      </c>
      <c r="Q13" s="171">
        <f>SUMIF('BS(M)'!$K$13:$EP$13,Q$8,'BS(M)'!$K18:$EP18)</f>
        <v>0</v>
      </c>
      <c r="R13" s="171">
        <f>SUMIF('BS(M)'!$K$13:$EP$13,R$8,'BS(M)'!$K18:$EP18)</f>
        <v>0</v>
      </c>
      <c r="S13" s="171">
        <f>SUMIF('BS(M)'!$K$13:$EP$13,S$8,'BS(M)'!$K18:$EP18)</f>
        <v>0</v>
      </c>
      <c r="T13" s="171">
        <f>SUMIF('BS(M)'!$K$13:$EP$13,T$8,'BS(M)'!$K18:$EP18)</f>
        <v>0</v>
      </c>
      <c r="U13" s="171">
        <f>SUMIF('BS(M)'!$K$13:$EP$13,U$8,'BS(M)'!$K18:$EP18)</f>
        <v>0</v>
      </c>
      <c r="V13" s="171">
        <f>SUMIF('BS(M)'!$K$13:$EP$13,V$8,'BS(M)'!$K18:$EP18)</f>
        <v>0</v>
      </c>
      <c r="W13" s="171">
        <f>SUMIF('BS(M)'!$K$13:$EP$13,W$8,'BS(M)'!$K18:$EP18)</f>
        <v>0</v>
      </c>
      <c r="X13" s="171">
        <f>SUMIF('BS(M)'!$K$13:$EP$13,X$8,'BS(M)'!$K18:$EP18)</f>
        <v>0</v>
      </c>
      <c r="Y13" s="171">
        <f>SUMIF('BS(M)'!$K$13:$EP$13,Y$8,'BS(M)'!$K18:$EP18)</f>
        <v>0</v>
      </c>
      <c r="Z13" s="171">
        <f>SUMIF('BS(M)'!$K$13:$EP$13,Z$8,'BS(M)'!$K18:$EP18)</f>
        <v>0</v>
      </c>
      <c r="AA13" s="171">
        <f>SUMIF('BS(M)'!$K$13:$EP$13,AA$8,'BS(M)'!$K18:$EP18)</f>
        <v>0</v>
      </c>
      <c r="AB13" s="171">
        <f>SUMIF('BS(M)'!$K$13:$EP$13,AB$8,'BS(M)'!$K18:$EP18)</f>
        <v>0</v>
      </c>
      <c r="AC13" s="171">
        <f>SUMIF('BS(M)'!$K$13:$EP$13,AC$8,'BS(M)'!$K18:$EP18)</f>
        <v>0</v>
      </c>
      <c r="AD13" s="171">
        <f>SUMIF('BS(M)'!$K$13:$EP$13,AD$8,'BS(M)'!$K18:$EP18)</f>
        <v>0</v>
      </c>
      <c r="AE13" s="171">
        <f>SUMIF('BS(M)'!$K$13:$EP$13,AE$8,'BS(M)'!$K18:$EP18)</f>
        <v>0</v>
      </c>
      <c r="AF13" s="171">
        <f>SUMIF('BS(M)'!$K$13:$EP$13,AF$8,'BS(M)'!$K18:$EP18)</f>
        <v>0</v>
      </c>
      <c r="AG13" s="171">
        <f>SUMIF('BS(M)'!$K$13:$EP$13,AG$8,'BS(M)'!$K18:$EP18)</f>
        <v>0</v>
      </c>
      <c r="AH13" s="171">
        <f>SUMIF('BS(M)'!$K$13:$EP$13,AH$8,'BS(M)'!$K18:$EP18)</f>
        <v>0</v>
      </c>
      <c r="AI13" s="171">
        <f>SUMIF('BS(M)'!$K$13:$EP$13,AI$8,'BS(M)'!$K18:$EP18)</f>
        <v>0</v>
      </c>
      <c r="AJ13" s="171">
        <f>SUMIF('BS(M)'!$K$13:$EP$13,AJ$8,'BS(M)'!$K18:$EP18)</f>
        <v>0</v>
      </c>
      <c r="AK13" s="171">
        <f>SUMIF('BS(M)'!$K$13:$EP$13,AK$8,'BS(M)'!$K18:$EP18)</f>
        <v>0</v>
      </c>
      <c r="AL13" s="171">
        <f>SUMIF('BS(M)'!$K$13:$EP$13,AL$8,'BS(M)'!$K18:$EP18)</f>
        <v>0</v>
      </c>
      <c r="AM13" s="171">
        <f>SUMIF('BS(M)'!$K$13:$EP$13,AM$8,'BS(M)'!$K18:$EP18)</f>
        <v>0</v>
      </c>
      <c r="AN13" s="171">
        <f>SUMIF('BS(M)'!$K$13:$EP$13,AN$8,'BS(M)'!$K18:$EP18)</f>
        <v>0</v>
      </c>
      <c r="AO13" s="171">
        <f>SUMIF('BS(M)'!$K$13:$EP$13,AO$8,'BS(M)'!$K18:$EP18)</f>
        <v>0</v>
      </c>
      <c r="AP13" s="171">
        <f>SUMIF('BS(M)'!$K$13:$EP$13,AP$8,'BS(M)'!$K18:$EP18)</f>
        <v>0</v>
      </c>
      <c r="AQ13" s="171">
        <f>SUMIF('BS(M)'!$K$13:$EP$13,AQ$8,'BS(M)'!$K18:$EP18)</f>
        <v>0</v>
      </c>
      <c r="AR13" s="171">
        <f>SUMIF('BS(M)'!$K$13:$EP$13,AR$8,'BS(M)'!$K18:$EP18)</f>
        <v>0</v>
      </c>
      <c r="AS13" s="171">
        <f>SUMIF('BS(M)'!$K$13:$EP$13,AS$8,'BS(M)'!$K18:$EP18)</f>
        <v>0</v>
      </c>
      <c r="AT13" s="171">
        <f>SUMIF('BS(M)'!$K$13:$EP$13,AT$8,'BS(M)'!$K18:$EP18)</f>
        <v>0</v>
      </c>
      <c r="AU13" s="171">
        <f>SUMIF('BS(M)'!$K$13:$EP$13,AU$8,'BS(M)'!$K18:$EP18)</f>
        <v>0</v>
      </c>
      <c r="AV13" s="171">
        <f>SUMIF('BS(M)'!$K$13:$EP$13,AV$8,'BS(M)'!$K18:$EP18)</f>
        <v>0</v>
      </c>
      <c r="AW13" s="171">
        <f>SUMIF('BS(M)'!$K$13:$EP$13,AW$8,'BS(M)'!$K18:$EP18)</f>
        <v>0</v>
      </c>
      <c r="AX13" s="171">
        <f>SUMIF('BS(M)'!$K$13:$EP$13,AX$8,'BS(M)'!$K18:$EP18)</f>
        <v>0</v>
      </c>
      <c r="AY13" s="171">
        <f>SUMIF('BS(M)'!$K$13:$EP$13,AY$8,'BS(M)'!$K18:$EP18)</f>
        <v>0</v>
      </c>
      <c r="AZ13" s="171">
        <f>SUMIF('BS(M)'!$K$13:$EP$13,AZ$8,'BS(M)'!$K18:$EP18)</f>
        <v>0</v>
      </c>
      <c r="BA13" s="171">
        <f>SUMIF('BS(M)'!$K$13:$EP$13,BA$8,'BS(M)'!$K18:$EP18)</f>
        <v>0</v>
      </c>
      <c r="BB13" s="171">
        <f>SUMIF('BS(M)'!$K$13:$EP$13,BB$8,'BS(M)'!$K18:$EP18)</f>
        <v>0</v>
      </c>
      <c r="BC13" s="171">
        <f>SUMIF('BS(M)'!$K$13:$EP$13,BC$8,'BS(M)'!$K18:$EP18)</f>
        <v>0</v>
      </c>
      <c r="BD13" s="171">
        <f>SUMIF('BS(M)'!$K$13:$EP$13,BD$8,'BS(M)'!$K18:$EP18)</f>
        <v>0</v>
      </c>
      <c r="BE13" s="171">
        <f>SUMIF('BS(M)'!$K$13:$EP$13,BE$8,'BS(M)'!$K18:$EP18)</f>
        <v>0</v>
      </c>
      <c r="BF13" s="171">
        <f>SUMIF('BS(M)'!$K$13:$EP$13,BF$8,'BS(M)'!$K18:$EP18)</f>
        <v>0</v>
      </c>
      <c r="BG13" s="171">
        <f>SUMIF('BS(M)'!$K$13:$EP$13,BG$8,'BS(M)'!$K18:$EP18)</f>
        <v>0</v>
      </c>
      <c r="BH13" s="171">
        <f>SUMIF('BS(M)'!$K$13:$EP$13,BH$8,'BS(M)'!$K18:$EP18)</f>
        <v>0</v>
      </c>
      <c r="BI13" s="171">
        <f>SUMIF('BS(M)'!$K$13:$EP$13,BI$8,'BS(M)'!$K18:$EP18)</f>
        <v>0</v>
      </c>
      <c r="BJ13" s="171">
        <f>SUMIF('BS(M)'!$K$13:$EP$13,BJ$8,'BS(M)'!$K18:$EP18)</f>
        <v>0</v>
      </c>
      <c r="BK13" s="171">
        <f>SUMIF('BS(M)'!$K$13:$EP$13,BK$8,'BS(M)'!$K18:$EP18)</f>
        <v>0</v>
      </c>
      <c r="BL13" s="171">
        <f>SUMIF('BS(M)'!$K$13:$EP$13,BL$8,'BS(M)'!$K18:$EP18)</f>
        <v>0</v>
      </c>
      <c r="BM13" s="171">
        <f>SUMIF('BS(M)'!$K$13:$EP$13,BM$8,'BS(M)'!$K18:$EP18)</f>
        <v>0</v>
      </c>
      <c r="BN13" s="171">
        <f>SUMIF('BS(M)'!$K$13:$EP$13,BN$8,'BS(M)'!$K18:$EP18)</f>
        <v>0</v>
      </c>
      <c r="BO13" s="171">
        <f>SUMIF('BS(M)'!$K$13:$EP$13,BO$8,'BS(M)'!$K18:$EP18)</f>
        <v>0</v>
      </c>
      <c r="BP13" s="171">
        <f>SUMIF('BS(M)'!$K$13:$EP$13,BP$8,'BS(M)'!$K18:$EP18)</f>
        <v>0</v>
      </c>
      <c r="BQ13" s="171">
        <f>SUMIF('BS(M)'!$K$13:$EP$13,BQ$8,'BS(M)'!$K18:$EP18)</f>
        <v>0</v>
      </c>
      <c r="BR13" s="171">
        <f>SUMIF('BS(M)'!$K$13:$EP$13,BR$8,'BS(M)'!$K18:$EP18)</f>
        <v>0</v>
      </c>
      <c r="BS13" s="171">
        <f>SUMIF('BS(M)'!$K$13:$EP$13,BS$8,'BS(M)'!$K18:$EP18)</f>
        <v>0</v>
      </c>
      <c r="BT13" s="171">
        <f>SUMIF('BS(M)'!$K$13:$EP$13,BT$8,'BS(M)'!$K18:$EP18)</f>
        <v>0</v>
      </c>
      <c r="BU13" s="171">
        <f>SUMIF('BS(M)'!$K$13:$EP$13,BU$8,'BS(M)'!$K18:$EP18)</f>
        <v>0</v>
      </c>
      <c r="BV13" s="171">
        <f>SUMIF('BS(M)'!$K$13:$EP$13,BV$8,'BS(M)'!$K18:$EP18)</f>
        <v>0</v>
      </c>
      <c r="BW13" s="171">
        <f>SUMIF('BS(M)'!$K$13:$EP$13,BW$8,'BS(M)'!$K18:$EP18)</f>
        <v>0</v>
      </c>
      <c r="BX13" s="171">
        <f>SUMIF('BS(M)'!$K$13:$EP$13,BX$8,'BS(M)'!$K18:$EP18)</f>
        <v>0</v>
      </c>
      <c r="BY13" s="171">
        <f>SUMIF('BS(M)'!$K$13:$EP$13,BY$8,'BS(M)'!$K18:$EP18)</f>
        <v>0</v>
      </c>
      <c r="BZ13" s="171">
        <f>SUMIF('BS(M)'!$K$13:$EP$13,BZ$8,'BS(M)'!$K18:$EP18)</f>
        <v>0</v>
      </c>
      <c r="CA13" s="171">
        <f>SUMIF('BS(M)'!$K$13:$EP$13,CA$8,'BS(M)'!$K18:$EP18)</f>
        <v>0</v>
      </c>
      <c r="CB13" s="171">
        <f>SUMIF('BS(M)'!$K$13:$EP$13,CB$8,'BS(M)'!$K18:$EP18)</f>
        <v>0</v>
      </c>
      <c r="CC13" s="171">
        <f>SUMIF('BS(M)'!$K$13:$EP$13,CC$8,'BS(M)'!$K18:$EP18)</f>
        <v>0</v>
      </c>
      <c r="CD13" s="171">
        <f>SUMIF('BS(M)'!$K$13:$EP$13,CD$8,'BS(M)'!$K18:$EP18)</f>
        <v>0</v>
      </c>
      <c r="CE13" s="171">
        <f>SUMIF('BS(M)'!$K$13:$EP$13,CE$8,'BS(M)'!$K18:$EP18)</f>
        <v>0</v>
      </c>
      <c r="CF13" s="171">
        <f>SUMIF('BS(M)'!$K$13:$EP$13,CF$8,'BS(M)'!$K18:$EP18)</f>
        <v>0</v>
      </c>
      <c r="CG13" s="171">
        <f>SUMIF('BS(M)'!$K$13:$EP$13,CG$8,'BS(M)'!$K18:$EP18)</f>
        <v>0</v>
      </c>
      <c r="CH13" s="171">
        <f>SUMIF('BS(M)'!$K$13:$EP$13,CH$8,'BS(M)'!$K18:$EP18)</f>
        <v>0</v>
      </c>
      <c r="CI13" s="171">
        <f>SUMIF('BS(M)'!$K$13:$EP$13,CI$8,'BS(M)'!$K18:$EP18)</f>
        <v>0</v>
      </c>
      <c r="CJ13" s="171">
        <f>SUMIF('BS(M)'!$K$13:$EP$13,CJ$8,'BS(M)'!$K18:$EP18)</f>
        <v>0</v>
      </c>
      <c r="CK13" s="171">
        <f>SUMIF('BS(M)'!$K$13:$EP$13,CK$8,'BS(M)'!$K18:$EP18)</f>
        <v>0</v>
      </c>
      <c r="CL13" s="171">
        <f>SUMIF('BS(M)'!$K$13:$EP$13,CL$8,'BS(M)'!$K18:$EP18)</f>
        <v>0</v>
      </c>
      <c r="CM13" s="171">
        <f>SUMIF('BS(M)'!$K$13:$EP$13,CM$8,'BS(M)'!$K18:$EP18)</f>
        <v>0</v>
      </c>
      <c r="CN13" s="171">
        <f>SUMIF('BS(M)'!$K$13:$EP$13,CN$8,'BS(M)'!$K18:$EP18)</f>
        <v>0</v>
      </c>
      <c r="CO13" s="171">
        <f>SUMIF('BS(M)'!$K$13:$EP$13,CO$8,'BS(M)'!$K18:$EP18)</f>
        <v>0</v>
      </c>
      <c r="CP13" s="171">
        <f>SUMIF('BS(M)'!$K$13:$EP$13,CP$8,'BS(M)'!$K18:$EP18)</f>
        <v>0</v>
      </c>
      <c r="CQ13" s="171">
        <f>SUMIF('BS(M)'!$K$13:$EP$13,CQ$8,'BS(M)'!$K18:$EP18)</f>
        <v>0</v>
      </c>
      <c r="CR13" s="171">
        <f>SUMIF('BS(M)'!$K$13:$EP$13,CR$8,'BS(M)'!$K18:$EP18)</f>
        <v>0</v>
      </c>
      <c r="CS13" s="171">
        <f>SUMIF('BS(M)'!$K$13:$EP$13,CS$8,'BS(M)'!$K18:$EP18)</f>
        <v>0</v>
      </c>
      <c r="CT13" s="171">
        <f>SUMIF('BS(M)'!$K$13:$EP$13,CT$8,'BS(M)'!$K18:$EP18)</f>
        <v>0</v>
      </c>
      <c r="CU13" s="171">
        <f>SUMIF('BS(M)'!$K$13:$EP$13,CU$8,'BS(M)'!$K18:$EP18)</f>
        <v>0</v>
      </c>
      <c r="CV13" s="171">
        <f>SUMIF('BS(M)'!$K$13:$EP$13,CV$8,'BS(M)'!$K18:$EP18)</f>
        <v>0</v>
      </c>
      <c r="CW13" s="171">
        <f>SUMIF('BS(M)'!$K$13:$EP$13,CW$8,'BS(M)'!$K18:$EP18)</f>
        <v>0</v>
      </c>
      <c r="CX13" s="171">
        <f>SUMIF('BS(M)'!$K$13:$EP$13,CX$8,'BS(M)'!$K18:$EP18)</f>
        <v>0</v>
      </c>
      <c r="CY13" s="171">
        <f>SUMIF('BS(M)'!$K$13:$EP$13,CY$8,'BS(M)'!$K18:$EP18)</f>
        <v>0</v>
      </c>
      <c r="CZ13" s="171">
        <f>SUMIF('BS(M)'!$K$13:$EP$13,CZ$8,'BS(M)'!$K18:$EP18)</f>
        <v>0</v>
      </c>
      <c r="DA13" s="171">
        <f>SUMIF('BS(M)'!$K$13:$EP$13,DA$8,'BS(M)'!$K18:$EP18)</f>
        <v>0</v>
      </c>
      <c r="DB13" s="171">
        <f>SUMIF('BS(M)'!$K$13:$EP$13,DB$8,'BS(M)'!$K18:$EP18)</f>
        <v>0</v>
      </c>
      <c r="DC13" s="171">
        <f>SUMIF('BS(M)'!$K$13:$EP$13,DC$8,'BS(M)'!$K18:$EP18)</f>
        <v>0</v>
      </c>
      <c r="DD13" s="171">
        <f>SUMIF('BS(M)'!$K$13:$EP$13,DD$8,'BS(M)'!$K18:$EP18)</f>
        <v>0</v>
      </c>
      <c r="DE13" s="171">
        <f>SUMIF('BS(M)'!$K$13:$EP$13,DE$8,'BS(M)'!$K18:$EP18)</f>
        <v>0</v>
      </c>
      <c r="DF13" s="171">
        <f>SUMIF('BS(M)'!$K$13:$EP$13,DF$8,'BS(M)'!$K18:$EP18)</f>
        <v>0</v>
      </c>
      <c r="DG13" s="171">
        <f>SUMIF('BS(M)'!$K$13:$EP$13,DG$8,'BS(M)'!$K18:$EP18)</f>
        <v>0</v>
      </c>
      <c r="DH13" s="171">
        <f>SUMIF('BS(M)'!$K$13:$EP$13,DH$8,'BS(M)'!$K18:$EP18)</f>
        <v>0</v>
      </c>
      <c r="DI13" s="171">
        <f>SUMIF('BS(M)'!$K$13:$EP$13,DI$8,'BS(M)'!$K18:$EP18)</f>
        <v>0</v>
      </c>
      <c r="DJ13" s="171">
        <f>SUMIF('BS(M)'!$K$13:$EP$13,DJ$8,'BS(M)'!$K18:$EP18)</f>
        <v>0</v>
      </c>
      <c r="DK13" s="171">
        <f>SUMIF('BS(M)'!$K$13:$EP$13,DK$8,'BS(M)'!$K18:$EP18)</f>
        <v>0</v>
      </c>
      <c r="DL13" s="171">
        <f>SUMIF('BS(M)'!$K$13:$EP$13,DL$8,'BS(M)'!$K18:$EP18)</f>
        <v>0</v>
      </c>
      <c r="DM13" s="171">
        <f>SUMIF('BS(M)'!$K$13:$EP$13,DM$8,'BS(M)'!$K18:$EP18)</f>
        <v>0</v>
      </c>
      <c r="DN13" s="171">
        <f>SUMIF('BS(M)'!$K$13:$EP$13,DN$8,'BS(M)'!$K18:$EP18)</f>
        <v>0</v>
      </c>
      <c r="DO13" s="171">
        <f>SUMIF('BS(M)'!$K$13:$EP$13,DO$8,'BS(M)'!$K18:$EP18)</f>
        <v>0</v>
      </c>
      <c r="DP13" s="171">
        <f>SUMIF('BS(M)'!$K$13:$EP$13,DP$8,'BS(M)'!$K18:$EP18)</f>
        <v>0</v>
      </c>
      <c r="DQ13" s="171">
        <f>SUMIF('BS(M)'!$K$13:$EP$13,DQ$8,'BS(M)'!$K18:$EP18)</f>
        <v>0</v>
      </c>
      <c r="DR13" s="171">
        <f>SUMIF('BS(M)'!$K$13:$EP$13,DR$8,'BS(M)'!$K18:$EP18)</f>
        <v>0</v>
      </c>
      <c r="DS13" s="171">
        <f>SUMIF('BS(M)'!$K$13:$EP$13,DS$8,'BS(M)'!$K18:$EP18)</f>
        <v>0</v>
      </c>
      <c r="DT13" s="171">
        <f>SUMIF('BS(M)'!$K$13:$EP$13,DT$8,'BS(M)'!$K18:$EP18)</f>
        <v>0</v>
      </c>
      <c r="DU13" s="171">
        <f>SUMIF('BS(M)'!$K$13:$EP$13,DU$8,'BS(M)'!$K18:$EP18)</f>
        <v>0</v>
      </c>
    </row>
    <row r="14" spans="1:129">
      <c r="B14" s="218"/>
      <c r="C14" s="163"/>
      <c r="D14" s="169" t="s">
        <v>238</v>
      </c>
      <c r="H14" s="146"/>
      <c r="I14" s="953"/>
      <c r="J14" s="98"/>
      <c r="K14" s="171">
        <f ca="1">SUMIF('BS(M)'!$K$13:$EP$13,K$8,'BS(M)'!$K19:$EP19)</f>
        <v>0</v>
      </c>
      <c r="L14" s="171">
        <f ca="1">SUMIF('BS(M)'!$K$13:$EP$13,L$8,'BS(M)'!$K19:$EP19)</f>
        <v>371142.35</v>
      </c>
      <c r="M14" s="171">
        <f ca="1">SUMIF('BS(M)'!$K$13:$EP$13,M$8,'BS(M)'!$K19:$EP19)</f>
        <v>-1.0186340659856796E-10</v>
      </c>
      <c r="N14" s="171">
        <f ca="1">SUMIF('BS(M)'!$K$13:$EP$13,N$8,'BS(M)'!$K19:$EP19)</f>
        <v>363719.50299999997</v>
      </c>
      <c r="O14" s="171">
        <f ca="1">SUMIF('BS(M)'!$K$13:$EP$13,O$8,'BS(M)'!$K19:$EP19)</f>
        <v>-7.2759576141834259E-11</v>
      </c>
      <c r="P14" s="171">
        <f ca="1">SUMIF('BS(M)'!$K$13:$EP$13,P$8,'BS(M)'!$K19:$EP19)</f>
        <v>356445.1129399999</v>
      </c>
      <c r="Q14" s="171">
        <f ca="1">SUMIF('BS(M)'!$K$13:$EP$13,Q$8,'BS(M)'!$K19:$EP19)</f>
        <v>-1.3096723705530167E-10</v>
      </c>
      <c r="R14" s="171">
        <f ca="1">SUMIF('BS(M)'!$K$13:$EP$13,R$8,'BS(M)'!$K19:$EP19)</f>
        <v>349316.21068119991</v>
      </c>
      <c r="S14" s="171">
        <f ca="1">SUMIF('BS(M)'!$K$13:$EP$13,S$8,'BS(M)'!$K19:$EP19)</f>
        <v>-1.0186340659856796E-10</v>
      </c>
      <c r="T14" s="171">
        <f ca="1">SUMIF('BS(M)'!$K$13:$EP$13,T$8,'BS(M)'!$K19:$EP19)</f>
        <v>342329.88646757591</v>
      </c>
      <c r="U14" s="171">
        <f ca="1">SUMIF('BS(M)'!$K$13:$EP$13,U$8,'BS(M)'!$K19:$EP19)</f>
        <v>0</v>
      </c>
      <c r="V14" s="171">
        <f ca="1">SUMIF('BS(M)'!$K$13:$EP$13,V$8,'BS(M)'!$K19:$EP19)</f>
        <v>335483.28873822442</v>
      </c>
      <c r="W14" s="171">
        <f ca="1">SUMIF('BS(M)'!$K$13:$EP$13,W$8,'BS(M)'!$K19:$EP19)</f>
        <v>-7.2759576141834259E-11</v>
      </c>
      <c r="X14" s="171">
        <f ca="1">SUMIF('BS(M)'!$K$13:$EP$13,X$8,'BS(M)'!$K19:$EP19)</f>
        <v>328773.62296345993</v>
      </c>
      <c r="Y14" s="171">
        <f ca="1">SUMIF('BS(M)'!$K$13:$EP$13,Y$8,'BS(M)'!$K19:$EP19)</f>
        <v>0</v>
      </c>
      <c r="Z14" s="171">
        <f ca="1">SUMIF('BS(M)'!$K$13:$EP$13,Z$8,'BS(M)'!$K19:$EP19)</f>
        <v>322198.15050419082</v>
      </c>
      <c r="AA14" s="171">
        <f ca="1">SUMIF('BS(M)'!$K$13:$EP$13,AA$8,'BS(M)'!$K19:$EP19)</f>
        <v>0</v>
      </c>
      <c r="AB14" s="171">
        <f ca="1">SUMIF('BS(M)'!$K$13:$EP$13,AB$8,'BS(M)'!$K19:$EP19)</f>
        <v>315754.18749410706</v>
      </c>
      <c r="AC14" s="171">
        <f ca="1">SUMIF('BS(M)'!$K$13:$EP$13,AC$8,'BS(M)'!$K19:$EP19)</f>
        <v>1.1641532182693481E-10</v>
      </c>
      <c r="AD14" s="171">
        <f ca="1">SUMIF('BS(M)'!$K$13:$EP$13,AD$8,'BS(M)'!$K19:$EP19)</f>
        <v>309439.10374422488</v>
      </c>
      <c r="AE14" s="171">
        <f ca="1">SUMIF('BS(M)'!$K$13:$EP$13,AE$8,'BS(M)'!$K19:$EP19)</f>
        <v>0</v>
      </c>
      <c r="AF14" s="171">
        <f ca="1">SUMIF('BS(M)'!$K$13:$EP$13,AF$8,'BS(M)'!$K19:$EP19)</f>
        <v>0</v>
      </c>
      <c r="AG14" s="171">
        <f ca="1">SUMIF('BS(M)'!$K$13:$EP$13,AG$8,'BS(M)'!$K19:$EP19)</f>
        <v>0</v>
      </c>
      <c r="AH14" s="171">
        <f>SUMIF('BS(M)'!$K$13:$EP$13,AH$8,'BS(M)'!$K19:$EP19)</f>
        <v>0</v>
      </c>
      <c r="AI14" s="171">
        <f>SUMIF('BS(M)'!$K$13:$EP$13,AI$8,'BS(M)'!$K19:$EP19)</f>
        <v>0</v>
      </c>
      <c r="AJ14" s="171">
        <f>SUMIF('BS(M)'!$K$13:$EP$13,AJ$8,'BS(M)'!$K19:$EP19)</f>
        <v>0</v>
      </c>
      <c r="AK14" s="171">
        <f>SUMIF('BS(M)'!$K$13:$EP$13,AK$8,'BS(M)'!$K19:$EP19)</f>
        <v>0</v>
      </c>
      <c r="AL14" s="171">
        <f>SUMIF('BS(M)'!$K$13:$EP$13,AL$8,'BS(M)'!$K19:$EP19)</f>
        <v>0</v>
      </c>
      <c r="AM14" s="171">
        <f>SUMIF('BS(M)'!$K$13:$EP$13,AM$8,'BS(M)'!$K19:$EP19)</f>
        <v>0</v>
      </c>
      <c r="AN14" s="171">
        <f>SUMIF('BS(M)'!$K$13:$EP$13,AN$8,'BS(M)'!$K19:$EP19)</f>
        <v>0</v>
      </c>
      <c r="AO14" s="171">
        <f>SUMIF('BS(M)'!$K$13:$EP$13,AO$8,'BS(M)'!$K19:$EP19)</f>
        <v>0</v>
      </c>
      <c r="AP14" s="171">
        <f>SUMIF('BS(M)'!$K$13:$EP$13,AP$8,'BS(M)'!$K19:$EP19)</f>
        <v>0</v>
      </c>
      <c r="AQ14" s="171">
        <f>SUMIF('BS(M)'!$K$13:$EP$13,AQ$8,'BS(M)'!$K19:$EP19)</f>
        <v>0</v>
      </c>
      <c r="AR14" s="171">
        <f>SUMIF('BS(M)'!$K$13:$EP$13,AR$8,'BS(M)'!$K19:$EP19)</f>
        <v>0</v>
      </c>
      <c r="AS14" s="171">
        <f>SUMIF('BS(M)'!$K$13:$EP$13,AS$8,'BS(M)'!$K19:$EP19)</f>
        <v>0</v>
      </c>
      <c r="AT14" s="171">
        <f>SUMIF('BS(M)'!$K$13:$EP$13,AT$8,'BS(M)'!$K19:$EP19)</f>
        <v>0</v>
      </c>
      <c r="AU14" s="171">
        <f>SUMIF('BS(M)'!$K$13:$EP$13,AU$8,'BS(M)'!$K19:$EP19)</f>
        <v>0</v>
      </c>
      <c r="AV14" s="171">
        <f>SUMIF('BS(M)'!$K$13:$EP$13,AV$8,'BS(M)'!$K19:$EP19)</f>
        <v>0</v>
      </c>
      <c r="AW14" s="171">
        <f>SUMIF('BS(M)'!$K$13:$EP$13,AW$8,'BS(M)'!$K19:$EP19)</f>
        <v>0</v>
      </c>
      <c r="AX14" s="171">
        <f>SUMIF('BS(M)'!$K$13:$EP$13,AX$8,'BS(M)'!$K19:$EP19)</f>
        <v>0</v>
      </c>
      <c r="AY14" s="171">
        <f>SUMIF('BS(M)'!$K$13:$EP$13,AY$8,'BS(M)'!$K19:$EP19)</f>
        <v>0</v>
      </c>
      <c r="AZ14" s="171">
        <f>SUMIF('BS(M)'!$K$13:$EP$13,AZ$8,'BS(M)'!$K19:$EP19)</f>
        <v>0</v>
      </c>
      <c r="BA14" s="171">
        <f>SUMIF('BS(M)'!$K$13:$EP$13,BA$8,'BS(M)'!$K19:$EP19)</f>
        <v>0</v>
      </c>
      <c r="BB14" s="171">
        <f>SUMIF('BS(M)'!$K$13:$EP$13,BB$8,'BS(M)'!$K19:$EP19)</f>
        <v>0</v>
      </c>
      <c r="BC14" s="171">
        <f>SUMIF('BS(M)'!$K$13:$EP$13,BC$8,'BS(M)'!$K19:$EP19)</f>
        <v>0</v>
      </c>
      <c r="BD14" s="171">
        <f>SUMIF('BS(M)'!$K$13:$EP$13,BD$8,'BS(M)'!$K19:$EP19)</f>
        <v>0</v>
      </c>
      <c r="BE14" s="171">
        <f>SUMIF('BS(M)'!$K$13:$EP$13,BE$8,'BS(M)'!$K19:$EP19)</f>
        <v>0</v>
      </c>
      <c r="BF14" s="171">
        <f>SUMIF('BS(M)'!$K$13:$EP$13,BF$8,'BS(M)'!$K19:$EP19)</f>
        <v>0</v>
      </c>
      <c r="BG14" s="171">
        <f>SUMIF('BS(M)'!$K$13:$EP$13,BG$8,'BS(M)'!$K19:$EP19)</f>
        <v>0</v>
      </c>
      <c r="BH14" s="171">
        <f>SUMIF('BS(M)'!$K$13:$EP$13,BH$8,'BS(M)'!$K19:$EP19)</f>
        <v>0</v>
      </c>
      <c r="BI14" s="171">
        <f>SUMIF('BS(M)'!$K$13:$EP$13,BI$8,'BS(M)'!$K19:$EP19)</f>
        <v>0</v>
      </c>
      <c r="BJ14" s="171">
        <f>SUMIF('BS(M)'!$K$13:$EP$13,BJ$8,'BS(M)'!$K19:$EP19)</f>
        <v>0</v>
      </c>
      <c r="BK14" s="171">
        <f>SUMIF('BS(M)'!$K$13:$EP$13,BK$8,'BS(M)'!$K19:$EP19)</f>
        <v>0</v>
      </c>
      <c r="BL14" s="171">
        <f>SUMIF('BS(M)'!$K$13:$EP$13,BL$8,'BS(M)'!$K19:$EP19)</f>
        <v>0</v>
      </c>
      <c r="BM14" s="171">
        <f>SUMIF('BS(M)'!$K$13:$EP$13,BM$8,'BS(M)'!$K19:$EP19)</f>
        <v>0</v>
      </c>
      <c r="BN14" s="171">
        <f>SUMIF('BS(M)'!$K$13:$EP$13,BN$8,'BS(M)'!$K19:$EP19)</f>
        <v>0</v>
      </c>
      <c r="BO14" s="171">
        <f>SUMIF('BS(M)'!$K$13:$EP$13,BO$8,'BS(M)'!$K19:$EP19)</f>
        <v>0</v>
      </c>
      <c r="BP14" s="171">
        <f>SUMIF('BS(M)'!$K$13:$EP$13,BP$8,'BS(M)'!$K19:$EP19)</f>
        <v>0</v>
      </c>
      <c r="BQ14" s="171">
        <f>SUMIF('BS(M)'!$K$13:$EP$13,BQ$8,'BS(M)'!$K19:$EP19)</f>
        <v>0</v>
      </c>
      <c r="BR14" s="171">
        <f>SUMIF('BS(M)'!$K$13:$EP$13,BR$8,'BS(M)'!$K19:$EP19)</f>
        <v>0</v>
      </c>
      <c r="BS14" s="171">
        <f>SUMIF('BS(M)'!$K$13:$EP$13,BS$8,'BS(M)'!$K19:$EP19)</f>
        <v>0</v>
      </c>
      <c r="BT14" s="171">
        <f>SUMIF('BS(M)'!$K$13:$EP$13,BT$8,'BS(M)'!$K19:$EP19)</f>
        <v>0</v>
      </c>
      <c r="BU14" s="171">
        <f>SUMIF('BS(M)'!$K$13:$EP$13,BU$8,'BS(M)'!$K19:$EP19)</f>
        <v>0</v>
      </c>
      <c r="BV14" s="171">
        <f>SUMIF('BS(M)'!$K$13:$EP$13,BV$8,'BS(M)'!$K19:$EP19)</f>
        <v>0</v>
      </c>
      <c r="BW14" s="171">
        <f>SUMIF('BS(M)'!$K$13:$EP$13,BW$8,'BS(M)'!$K19:$EP19)</f>
        <v>0</v>
      </c>
      <c r="BX14" s="171">
        <f>SUMIF('BS(M)'!$K$13:$EP$13,BX$8,'BS(M)'!$K19:$EP19)</f>
        <v>0</v>
      </c>
      <c r="BY14" s="171">
        <f>SUMIF('BS(M)'!$K$13:$EP$13,BY$8,'BS(M)'!$K19:$EP19)</f>
        <v>0</v>
      </c>
      <c r="BZ14" s="171">
        <f>SUMIF('BS(M)'!$K$13:$EP$13,BZ$8,'BS(M)'!$K19:$EP19)</f>
        <v>0</v>
      </c>
      <c r="CA14" s="171">
        <f>SUMIF('BS(M)'!$K$13:$EP$13,CA$8,'BS(M)'!$K19:$EP19)</f>
        <v>0</v>
      </c>
      <c r="CB14" s="171">
        <f>SUMIF('BS(M)'!$K$13:$EP$13,CB$8,'BS(M)'!$K19:$EP19)</f>
        <v>0</v>
      </c>
      <c r="CC14" s="171">
        <f>SUMIF('BS(M)'!$K$13:$EP$13,CC$8,'BS(M)'!$K19:$EP19)</f>
        <v>0</v>
      </c>
      <c r="CD14" s="171">
        <f>SUMIF('BS(M)'!$K$13:$EP$13,CD$8,'BS(M)'!$K19:$EP19)</f>
        <v>0</v>
      </c>
      <c r="CE14" s="171">
        <f>SUMIF('BS(M)'!$K$13:$EP$13,CE$8,'BS(M)'!$K19:$EP19)</f>
        <v>0</v>
      </c>
      <c r="CF14" s="171">
        <f>SUMIF('BS(M)'!$K$13:$EP$13,CF$8,'BS(M)'!$K19:$EP19)</f>
        <v>0</v>
      </c>
      <c r="CG14" s="171">
        <f>SUMIF('BS(M)'!$K$13:$EP$13,CG$8,'BS(M)'!$K19:$EP19)</f>
        <v>0</v>
      </c>
      <c r="CH14" s="171">
        <f>SUMIF('BS(M)'!$K$13:$EP$13,CH$8,'BS(M)'!$K19:$EP19)</f>
        <v>0</v>
      </c>
      <c r="CI14" s="171">
        <f>SUMIF('BS(M)'!$K$13:$EP$13,CI$8,'BS(M)'!$K19:$EP19)</f>
        <v>0</v>
      </c>
      <c r="CJ14" s="171">
        <f>SUMIF('BS(M)'!$K$13:$EP$13,CJ$8,'BS(M)'!$K19:$EP19)</f>
        <v>0</v>
      </c>
      <c r="CK14" s="171">
        <f>SUMIF('BS(M)'!$K$13:$EP$13,CK$8,'BS(M)'!$K19:$EP19)</f>
        <v>0</v>
      </c>
      <c r="CL14" s="171">
        <f>SUMIF('BS(M)'!$K$13:$EP$13,CL$8,'BS(M)'!$K19:$EP19)</f>
        <v>0</v>
      </c>
      <c r="CM14" s="171">
        <f>SUMIF('BS(M)'!$K$13:$EP$13,CM$8,'BS(M)'!$K19:$EP19)</f>
        <v>0</v>
      </c>
      <c r="CN14" s="171">
        <f>SUMIF('BS(M)'!$K$13:$EP$13,CN$8,'BS(M)'!$K19:$EP19)</f>
        <v>0</v>
      </c>
      <c r="CO14" s="171">
        <f>SUMIF('BS(M)'!$K$13:$EP$13,CO$8,'BS(M)'!$K19:$EP19)</f>
        <v>0</v>
      </c>
      <c r="CP14" s="171">
        <f>SUMIF('BS(M)'!$K$13:$EP$13,CP$8,'BS(M)'!$K19:$EP19)</f>
        <v>0</v>
      </c>
      <c r="CQ14" s="171">
        <f>SUMIF('BS(M)'!$K$13:$EP$13,CQ$8,'BS(M)'!$K19:$EP19)</f>
        <v>0</v>
      </c>
      <c r="CR14" s="171">
        <f>SUMIF('BS(M)'!$K$13:$EP$13,CR$8,'BS(M)'!$K19:$EP19)</f>
        <v>0</v>
      </c>
      <c r="CS14" s="171">
        <f>SUMIF('BS(M)'!$K$13:$EP$13,CS$8,'BS(M)'!$K19:$EP19)</f>
        <v>0</v>
      </c>
      <c r="CT14" s="171">
        <f>SUMIF('BS(M)'!$K$13:$EP$13,CT$8,'BS(M)'!$K19:$EP19)</f>
        <v>0</v>
      </c>
      <c r="CU14" s="171">
        <f>SUMIF('BS(M)'!$K$13:$EP$13,CU$8,'BS(M)'!$K19:$EP19)</f>
        <v>0</v>
      </c>
      <c r="CV14" s="171">
        <f>SUMIF('BS(M)'!$K$13:$EP$13,CV$8,'BS(M)'!$K19:$EP19)</f>
        <v>0</v>
      </c>
      <c r="CW14" s="171">
        <f>SUMIF('BS(M)'!$K$13:$EP$13,CW$8,'BS(M)'!$K19:$EP19)</f>
        <v>0</v>
      </c>
      <c r="CX14" s="171">
        <f>SUMIF('BS(M)'!$K$13:$EP$13,CX$8,'BS(M)'!$K19:$EP19)</f>
        <v>0</v>
      </c>
      <c r="CY14" s="171">
        <f>SUMIF('BS(M)'!$K$13:$EP$13,CY$8,'BS(M)'!$K19:$EP19)</f>
        <v>0</v>
      </c>
      <c r="CZ14" s="171">
        <f>SUMIF('BS(M)'!$K$13:$EP$13,CZ$8,'BS(M)'!$K19:$EP19)</f>
        <v>0</v>
      </c>
      <c r="DA14" s="171">
        <f>SUMIF('BS(M)'!$K$13:$EP$13,DA$8,'BS(M)'!$K19:$EP19)</f>
        <v>0</v>
      </c>
      <c r="DB14" s="171">
        <f>SUMIF('BS(M)'!$K$13:$EP$13,DB$8,'BS(M)'!$K19:$EP19)</f>
        <v>0</v>
      </c>
      <c r="DC14" s="171">
        <f>SUMIF('BS(M)'!$K$13:$EP$13,DC$8,'BS(M)'!$K19:$EP19)</f>
        <v>0</v>
      </c>
      <c r="DD14" s="171">
        <f>SUMIF('BS(M)'!$K$13:$EP$13,DD$8,'BS(M)'!$K19:$EP19)</f>
        <v>0</v>
      </c>
      <c r="DE14" s="171">
        <f>SUMIF('BS(M)'!$K$13:$EP$13,DE$8,'BS(M)'!$K19:$EP19)</f>
        <v>0</v>
      </c>
      <c r="DF14" s="171">
        <f>SUMIF('BS(M)'!$K$13:$EP$13,DF$8,'BS(M)'!$K19:$EP19)</f>
        <v>0</v>
      </c>
      <c r="DG14" s="171">
        <f>SUMIF('BS(M)'!$K$13:$EP$13,DG$8,'BS(M)'!$K19:$EP19)</f>
        <v>0</v>
      </c>
      <c r="DH14" s="171">
        <f>SUMIF('BS(M)'!$K$13:$EP$13,DH$8,'BS(M)'!$K19:$EP19)</f>
        <v>0</v>
      </c>
      <c r="DI14" s="171">
        <f>SUMIF('BS(M)'!$K$13:$EP$13,DI$8,'BS(M)'!$K19:$EP19)</f>
        <v>0</v>
      </c>
      <c r="DJ14" s="171">
        <f>SUMIF('BS(M)'!$K$13:$EP$13,DJ$8,'BS(M)'!$K19:$EP19)</f>
        <v>0</v>
      </c>
      <c r="DK14" s="171">
        <f>SUMIF('BS(M)'!$K$13:$EP$13,DK$8,'BS(M)'!$K19:$EP19)</f>
        <v>0</v>
      </c>
      <c r="DL14" s="171">
        <f>SUMIF('BS(M)'!$K$13:$EP$13,DL$8,'BS(M)'!$K19:$EP19)</f>
        <v>0</v>
      </c>
      <c r="DM14" s="171">
        <f>SUMIF('BS(M)'!$K$13:$EP$13,DM$8,'BS(M)'!$K19:$EP19)</f>
        <v>0</v>
      </c>
      <c r="DN14" s="171">
        <f>SUMIF('BS(M)'!$K$13:$EP$13,DN$8,'BS(M)'!$K19:$EP19)</f>
        <v>0</v>
      </c>
      <c r="DO14" s="171">
        <f>SUMIF('BS(M)'!$K$13:$EP$13,DO$8,'BS(M)'!$K19:$EP19)</f>
        <v>0</v>
      </c>
      <c r="DP14" s="171">
        <f>SUMIF('BS(M)'!$K$13:$EP$13,DP$8,'BS(M)'!$K19:$EP19)</f>
        <v>0</v>
      </c>
      <c r="DQ14" s="171">
        <f>SUMIF('BS(M)'!$K$13:$EP$13,DQ$8,'BS(M)'!$K19:$EP19)</f>
        <v>0</v>
      </c>
      <c r="DR14" s="171">
        <f>SUMIF('BS(M)'!$K$13:$EP$13,DR$8,'BS(M)'!$K19:$EP19)</f>
        <v>0</v>
      </c>
      <c r="DS14" s="171">
        <f>SUMIF('BS(M)'!$K$13:$EP$13,DS$8,'BS(M)'!$K19:$EP19)</f>
        <v>0</v>
      </c>
      <c r="DT14" s="171">
        <f>SUMIF('BS(M)'!$K$13:$EP$13,DT$8,'BS(M)'!$K19:$EP19)</f>
        <v>0</v>
      </c>
      <c r="DU14" s="171">
        <f>SUMIF('BS(M)'!$K$13:$EP$13,DU$8,'BS(M)'!$K19:$EP19)</f>
        <v>0</v>
      </c>
    </row>
    <row r="15" spans="1:129">
      <c r="B15" s="218"/>
      <c r="C15" s="158" t="s">
        <v>560</v>
      </c>
      <c r="D15" s="159"/>
      <c r="E15" s="159"/>
      <c r="F15" s="159"/>
      <c r="G15" s="159"/>
      <c r="H15" s="160"/>
      <c r="I15" s="973"/>
      <c r="J15" s="98"/>
      <c r="K15" s="162">
        <f t="shared" ref="K15:AP15" si="10">SUM(K16:K18)</f>
        <v>288900000</v>
      </c>
      <c r="L15" s="162">
        <f t="shared" si="10"/>
        <v>287191156.5</v>
      </c>
      <c r="M15" s="162">
        <f t="shared" si="10"/>
        <v>285482313</v>
      </c>
      <c r="N15" s="162">
        <f t="shared" si="10"/>
        <v>283773469.5</v>
      </c>
      <c r="O15" s="162">
        <f t="shared" si="10"/>
        <v>282064626</v>
      </c>
      <c r="P15" s="162">
        <f t="shared" si="10"/>
        <v>280355782.5</v>
      </c>
      <c r="Q15" s="162">
        <f t="shared" si="10"/>
        <v>278646939</v>
      </c>
      <c r="R15" s="162">
        <f t="shared" si="10"/>
        <v>276938095.5</v>
      </c>
      <c r="S15" s="162">
        <f t="shared" si="10"/>
        <v>275229252</v>
      </c>
      <c r="T15" s="162">
        <f t="shared" si="10"/>
        <v>273520408.5</v>
      </c>
      <c r="U15" s="162">
        <f t="shared" si="10"/>
        <v>271811565</v>
      </c>
      <c r="V15" s="162">
        <f t="shared" si="10"/>
        <v>270102721.5</v>
      </c>
      <c r="W15" s="162">
        <f t="shared" si="10"/>
        <v>268393878</v>
      </c>
      <c r="X15" s="162">
        <f t="shared" si="10"/>
        <v>266685034.5</v>
      </c>
      <c r="Y15" s="162">
        <f t="shared" si="10"/>
        <v>264976191</v>
      </c>
      <c r="Z15" s="162">
        <f t="shared" si="10"/>
        <v>263267347.5</v>
      </c>
      <c r="AA15" s="162">
        <f t="shared" si="10"/>
        <v>261558504</v>
      </c>
      <c r="AB15" s="162">
        <f t="shared" si="10"/>
        <v>259849660.5</v>
      </c>
      <c r="AC15" s="162">
        <f t="shared" si="10"/>
        <v>258140817</v>
      </c>
      <c r="AD15" s="162">
        <f t="shared" si="10"/>
        <v>256431973.5</v>
      </c>
      <c r="AE15" s="162">
        <f t="shared" si="10"/>
        <v>0</v>
      </c>
      <c r="AF15" s="162">
        <f t="shared" si="10"/>
        <v>0</v>
      </c>
      <c r="AG15" s="162">
        <f t="shared" si="10"/>
        <v>0</v>
      </c>
      <c r="AH15" s="162">
        <f t="shared" si="10"/>
        <v>0</v>
      </c>
      <c r="AI15" s="162">
        <f t="shared" si="10"/>
        <v>0</v>
      </c>
      <c r="AJ15" s="162">
        <f t="shared" si="10"/>
        <v>0</v>
      </c>
      <c r="AK15" s="162">
        <f t="shared" si="10"/>
        <v>0</v>
      </c>
      <c r="AL15" s="162">
        <f t="shared" si="10"/>
        <v>0</v>
      </c>
      <c r="AM15" s="162">
        <f t="shared" si="10"/>
        <v>0</v>
      </c>
      <c r="AN15" s="162">
        <f t="shared" si="10"/>
        <v>0</v>
      </c>
      <c r="AO15" s="162">
        <f t="shared" si="10"/>
        <v>0</v>
      </c>
      <c r="AP15" s="162">
        <f t="shared" si="10"/>
        <v>0</v>
      </c>
      <c r="AQ15" s="162">
        <f t="shared" ref="AQ15:BV15" si="11">SUM(AQ16:AQ18)</f>
        <v>0</v>
      </c>
      <c r="AR15" s="162">
        <f t="shared" si="11"/>
        <v>0</v>
      </c>
      <c r="AS15" s="162">
        <f t="shared" si="11"/>
        <v>0</v>
      </c>
      <c r="AT15" s="162">
        <f t="shared" si="11"/>
        <v>0</v>
      </c>
      <c r="AU15" s="162">
        <f t="shared" si="11"/>
        <v>0</v>
      </c>
      <c r="AV15" s="162">
        <f t="shared" si="11"/>
        <v>0</v>
      </c>
      <c r="AW15" s="162">
        <f t="shared" si="11"/>
        <v>0</v>
      </c>
      <c r="AX15" s="162">
        <f t="shared" si="11"/>
        <v>0</v>
      </c>
      <c r="AY15" s="162">
        <f t="shared" si="11"/>
        <v>0</v>
      </c>
      <c r="AZ15" s="162">
        <f t="shared" si="11"/>
        <v>0</v>
      </c>
      <c r="BA15" s="162">
        <f t="shared" si="11"/>
        <v>0</v>
      </c>
      <c r="BB15" s="162">
        <f t="shared" si="11"/>
        <v>0</v>
      </c>
      <c r="BC15" s="162">
        <f t="shared" si="11"/>
        <v>0</v>
      </c>
      <c r="BD15" s="162">
        <f t="shared" si="11"/>
        <v>0</v>
      </c>
      <c r="BE15" s="162">
        <f t="shared" si="11"/>
        <v>0</v>
      </c>
      <c r="BF15" s="162">
        <f t="shared" si="11"/>
        <v>0</v>
      </c>
      <c r="BG15" s="162">
        <f t="shared" si="11"/>
        <v>0</v>
      </c>
      <c r="BH15" s="162">
        <f t="shared" si="11"/>
        <v>0</v>
      </c>
      <c r="BI15" s="162">
        <f t="shared" si="11"/>
        <v>0</v>
      </c>
      <c r="BJ15" s="162">
        <f t="shared" si="11"/>
        <v>0</v>
      </c>
      <c r="BK15" s="162">
        <f t="shared" si="11"/>
        <v>0</v>
      </c>
      <c r="BL15" s="162">
        <f t="shared" si="11"/>
        <v>0</v>
      </c>
      <c r="BM15" s="162">
        <f t="shared" si="11"/>
        <v>0</v>
      </c>
      <c r="BN15" s="162">
        <f t="shared" si="11"/>
        <v>0</v>
      </c>
      <c r="BO15" s="162">
        <f t="shared" si="11"/>
        <v>0</v>
      </c>
      <c r="BP15" s="162">
        <f t="shared" si="11"/>
        <v>0</v>
      </c>
      <c r="BQ15" s="162">
        <f t="shared" si="11"/>
        <v>0</v>
      </c>
      <c r="BR15" s="162">
        <f t="shared" si="11"/>
        <v>0</v>
      </c>
      <c r="BS15" s="162">
        <f t="shared" si="11"/>
        <v>0</v>
      </c>
      <c r="BT15" s="162">
        <f t="shared" si="11"/>
        <v>0</v>
      </c>
      <c r="BU15" s="162">
        <f t="shared" si="11"/>
        <v>0</v>
      </c>
      <c r="BV15" s="162">
        <f t="shared" si="11"/>
        <v>0</v>
      </c>
      <c r="BW15" s="162">
        <f t="shared" ref="BW15:DB15" si="12">SUM(BW16:BW18)</f>
        <v>0</v>
      </c>
      <c r="BX15" s="162">
        <f t="shared" si="12"/>
        <v>0</v>
      </c>
      <c r="BY15" s="162">
        <f t="shared" si="12"/>
        <v>0</v>
      </c>
      <c r="BZ15" s="162">
        <f t="shared" si="12"/>
        <v>0</v>
      </c>
      <c r="CA15" s="162">
        <f t="shared" si="12"/>
        <v>0</v>
      </c>
      <c r="CB15" s="162">
        <f t="shared" si="12"/>
        <v>0</v>
      </c>
      <c r="CC15" s="162">
        <f t="shared" si="12"/>
        <v>0</v>
      </c>
      <c r="CD15" s="162">
        <f t="shared" si="12"/>
        <v>0</v>
      </c>
      <c r="CE15" s="162">
        <f t="shared" si="12"/>
        <v>0</v>
      </c>
      <c r="CF15" s="162">
        <f t="shared" si="12"/>
        <v>0</v>
      </c>
      <c r="CG15" s="162">
        <f t="shared" si="12"/>
        <v>0</v>
      </c>
      <c r="CH15" s="162">
        <f t="shared" si="12"/>
        <v>0</v>
      </c>
      <c r="CI15" s="162">
        <f t="shared" si="12"/>
        <v>0</v>
      </c>
      <c r="CJ15" s="162">
        <f t="shared" si="12"/>
        <v>0</v>
      </c>
      <c r="CK15" s="162">
        <f t="shared" si="12"/>
        <v>0</v>
      </c>
      <c r="CL15" s="162">
        <f t="shared" si="12"/>
        <v>0</v>
      </c>
      <c r="CM15" s="162">
        <f t="shared" si="12"/>
        <v>0</v>
      </c>
      <c r="CN15" s="162">
        <f t="shared" si="12"/>
        <v>0</v>
      </c>
      <c r="CO15" s="162">
        <f t="shared" si="12"/>
        <v>0</v>
      </c>
      <c r="CP15" s="162">
        <f t="shared" si="12"/>
        <v>0</v>
      </c>
      <c r="CQ15" s="162">
        <f t="shared" si="12"/>
        <v>0</v>
      </c>
      <c r="CR15" s="162">
        <f t="shared" si="12"/>
        <v>0</v>
      </c>
      <c r="CS15" s="162">
        <f t="shared" si="12"/>
        <v>0</v>
      </c>
      <c r="CT15" s="162">
        <f t="shared" si="12"/>
        <v>0</v>
      </c>
      <c r="CU15" s="162">
        <f t="shared" si="12"/>
        <v>0</v>
      </c>
      <c r="CV15" s="162">
        <f t="shared" si="12"/>
        <v>0</v>
      </c>
      <c r="CW15" s="162">
        <f t="shared" si="12"/>
        <v>0</v>
      </c>
      <c r="CX15" s="162">
        <f t="shared" si="12"/>
        <v>0</v>
      </c>
      <c r="CY15" s="162">
        <f t="shared" si="12"/>
        <v>0</v>
      </c>
      <c r="CZ15" s="162">
        <f t="shared" si="12"/>
        <v>0</v>
      </c>
      <c r="DA15" s="162">
        <f t="shared" si="12"/>
        <v>0</v>
      </c>
      <c r="DB15" s="162">
        <f t="shared" si="12"/>
        <v>0</v>
      </c>
      <c r="DC15" s="162">
        <f t="shared" ref="DC15:DU15" si="13">SUM(DC16:DC18)</f>
        <v>0</v>
      </c>
      <c r="DD15" s="162">
        <f t="shared" si="13"/>
        <v>0</v>
      </c>
      <c r="DE15" s="162">
        <f t="shared" si="13"/>
        <v>0</v>
      </c>
      <c r="DF15" s="162">
        <f t="shared" si="13"/>
        <v>0</v>
      </c>
      <c r="DG15" s="162">
        <f t="shared" si="13"/>
        <v>0</v>
      </c>
      <c r="DH15" s="162">
        <f t="shared" si="13"/>
        <v>0</v>
      </c>
      <c r="DI15" s="162">
        <f t="shared" si="13"/>
        <v>0</v>
      </c>
      <c r="DJ15" s="162">
        <f t="shared" si="13"/>
        <v>0</v>
      </c>
      <c r="DK15" s="162">
        <f t="shared" si="13"/>
        <v>0</v>
      </c>
      <c r="DL15" s="162">
        <f t="shared" si="13"/>
        <v>0</v>
      </c>
      <c r="DM15" s="162">
        <f t="shared" si="13"/>
        <v>0</v>
      </c>
      <c r="DN15" s="162">
        <f t="shared" si="13"/>
        <v>0</v>
      </c>
      <c r="DO15" s="162">
        <f t="shared" si="13"/>
        <v>0</v>
      </c>
      <c r="DP15" s="162">
        <f t="shared" si="13"/>
        <v>0</v>
      </c>
      <c r="DQ15" s="162">
        <f t="shared" si="13"/>
        <v>0</v>
      </c>
      <c r="DR15" s="162">
        <f t="shared" si="13"/>
        <v>0</v>
      </c>
      <c r="DS15" s="162">
        <f t="shared" si="13"/>
        <v>0</v>
      </c>
      <c r="DT15" s="162">
        <f t="shared" si="13"/>
        <v>0</v>
      </c>
      <c r="DU15" s="162">
        <f t="shared" si="13"/>
        <v>0</v>
      </c>
    </row>
    <row r="16" spans="1:129">
      <c r="B16" s="218"/>
      <c r="C16" s="163"/>
      <c r="D16" s="164" t="s">
        <v>240</v>
      </c>
      <c r="E16" s="165"/>
      <c r="F16" s="165"/>
      <c r="G16" s="165"/>
      <c r="H16" s="166"/>
      <c r="I16" s="974"/>
      <c r="J16" s="98"/>
      <c r="K16" s="168">
        <f>SUMIF('BS(M)'!$K$13:$EP$13,K$8,'BS(M)'!$K21:$EP21)</f>
        <v>152192520</v>
      </c>
      <c r="L16" s="168">
        <f>SUMIF('BS(M)'!$K$13:$EP$13,L$8,'BS(M)'!$K21:$EP21)</f>
        <v>152192520</v>
      </c>
      <c r="M16" s="168">
        <f>SUMIF('BS(M)'!$K$13:$EP$13,M$8,'BS(M)'!$K21:$EP21)</f>
        <v>152192520</v>
      </c>
      <c r="N16" s="168">
        <f>SUMIF('BS(M)'!$K$13:$EP$13,N$8,'BS(M)'!$K21:$EP21)</f>
        <v>152192520</v>
      </c>
      <c r="O16" s="168">
        <f>SUMIF('BS(M)'!$K$13:$EP$13,O$8,'BS(M)'!$K21:$EP21)</f>
        <v>152192520</v>
      </c>
      <c r="P16" s="168">
        <f>SUMIF('BS(M)'!$K$13:$EP$13,P$8,'BS(M)'!$K21:$EP21)</f>
        <v>152192520</v>
      </c>
      <c r="Q16" s="168">
        <f>SUMIF('BS(M)'!$K$13:$EP$13,Q$8,'BS(M)'!$K21:$EP21)</f>
        <v>152192520</v>
      </c>
      <c r="R16" s="168">
        <f>SUMIF('BS(M)'!$K$13:$EP$13,R$8,'BS(M)'!$K21:$EP21)</f>
        <v>152192520</v>
      </c>
      <c r="S16" s="168">
        <f>SUMIF('BS(M)'!$K$13:$EP$13,S$8,'BS(M)'!$K21:$EP21)</f>
        <v>152192520</v>
      </c>
      <c r="T16" s="168">
        <f>SUMIF('BS(M)'!$K$13:$EP$13,T$8,'BS(M)'!$K21:$EP21)</f>
        <v>152192520</v>
      </c>
      <c r="U16" s="168">
        <f>SUMIF('BS(M)'!$K$13:$EP$13,U$8,'BS(M)'!$K21:$EP21)</f>
        <v>152192520</v>
      </c>
      <c r="V16" s="168">
        <f>SUMIF('BS(M)'!$K$13:$EP$13,V$8,'BS(M)'!$K21:$EP21)</f>
        <v>152192520</v>
      </c>
      <c r="W16" s="168">
        <f>SUMIF('BS(M)'!$K$13:$EP$13,W$8,'BS(M)'!$K21:$EP21)</f>
        <v>152192520</v>
      </c>
      <c r="X16" s="168">
        <f>SUMIF('BS(M)'!$K$13:$EP$13,X$8,'BS(M)'!$K21:$EP21)</f>
        <v>152192520</v>
      </c>
      <c r="Y16" s="168">
        <f>SUMIF('BS(M)'!$K$13:$EP$13,Y$8,'BS(M)'!$K21:$EP21)</f>
        <v>152192520</v>
      </c>
      <c r="Z16" s="168">
        <f>SUMIF('BS(M)'!$K$13:$EP$13,Z$8,'BS(M)'!$K21:$EP21)</f>
        <v>152192520</v>
      </c>
      <c r="AA16" s="168">
        <f>SUMIF('BS(M)'!$K$13:$EP$13,AA$8,'BS(M)'!$K21:$EP21)</f>
        <v>152192520</v>
      </c>
      <c r="AB16" s="168">
        <f>SUMIF('BS(M)'!$K$13:$EP$13,AB$8,'BS(M)'!$K21:$EP21)</f>
        <v>152192520</v>
      </c>
      <c r="AC16" s="168">
        <f>SUMIF('BS(M)'!$K$13:$EP$13,AC$8,'BS(M)'!$K21:$EP21)</f>
        <v>152192520</v>
      </c>
      <c r="AD16" s="168">
        <f>SUMIF('BS(M)'!$K$13:$EP$13,AD$8,'BS(M)'!$K21:$EP21)</f>
        <v>152192520</v>
      </c>
      <c r="AE16" s="168">
        <f>SUMIF('BS(M)'!$K$13:$EP$13,AE$8,'BS(M)'!$K21:$EP21)</f>
        <v>0</v>
      </c>
      <c r="AF16" s="168">
        <f>SUMIF('BS(M)'!$K$13:$EP$13,AF$8,'BS(M)'!$K21:$EP21)</f>
        <v>0</v>
      </c>
      <c r="AG16" s="168">
        <f>SUMIF('BS(M)'!$K$13:$EP$13,AG$8,'BS(M)'!$K21:$EP21)</f>
        <v>0</v>
      </c>
      <c r="AH16" s="168">
        <f>SUMIF('BS(M)'!$K$13:$EP$13,AH$8,'BS(M)'!$K21:$EP21)</f>
        <v>0</v>
      </c>
      <c r="AI16" s="168">
        <f>SUMIF('BS(M)'!$K$13:$EP$13,AI$8,'BS(M)'!$K21:$EP21)</f>
        <v>0</v>
      </c>
      <c r="AJ16" s="168">
        <f>SUMIF('BS(M)'!$K$13:$EP$13,AJ$8,'BS(M)'!$K21:$EP21)</f>
        <v>0</v>
      </c>
      <c r="AK16" s="168">
        <f>SUMIF('BS(M)'!$K$13:$EP$13,AK$8,'BS(M)'!$K21:$EP21)</f>
        <v>0</v>
      </c>
      <c r="AL16" s="168">
        <f>SUMIF('BS(M)'!$K$13:$EP$13,AL$8,'BS(M)'!$K21:$EP21)</f>
        <v>0</v>
      </c>
      <c r="AM16" s="168">
        <f>SUMIF('BS(M)'!$K$13:$EP$13,AM$8,'BS(M)'!$K21:$EP21)</f>
        <v>0</v>
      </c>
      <c r="AN16" s="168">
        <f>SUMIF('BS(M)'!$K$13:$EP$13,AN$8,'BS(M)'!$K21:$EP21)</f>
        <v>0</v>
      </c>
      <c r="AO16" s="168">
        <f>SUMIF('BS(M)'!$K$13:$EP$13,AO$8,'BS(M)'!$K21:$EP21)</f>
        <v>0</v>
      </c>
      <c r="AP16" s="168">
        <f>SUMIF('BS(M)'!$K$13:$EP$13,AP$8,'BS(M)'!$K21:$EP21)</f>
        <v>0</v>
      </c>
      <c r="AQ16" s="168">
        <f>SUMIF('BS(M)'!$K$13:$EP$13,AQ$8,'BS(M)'!$K21:$EP21)</f>
        <v>0</v>
      </c>
      <c r="AR16" s="168">
        <f>SUMIF('BS(M)'!$K$13:$EP$13,AR$8,'BS(M)'!$K21:$EP21)</f>
        <v>0</v>
      </c>
      <c r="AS16" s="168">
        <f>SUMIF('BS(M)'!$K$13:$EP$13,AS$8,'BS(M)'!$K21:$EP21)</f>
        <v>0</v>
      </c>
      <c r="AT16" s="168">
        <f>SUMIF('BS(M)'!$K$13:$EP$13,AT$8,'BS(M)'!$K21:$EP21)</f>
        <v>0</v>
      </c>
      <c r="AU16" s="168">
        <f>SUMIF('BS(M)'!$K$13:$EP$13,AU$8,'BS(M)'!$K21:$EP21)</f>
        <v>0</v>
      </c>
      <c r="AV16" s="168">
        <f>SUMIF('BS(M)'!$K$13:$EP$13,AV$8,'BS(M)'!$K21:$EP21)</f>
        <v>0</v>
      </c>
      <c r="AW16" s="168">
        <f>SUMIF('BS(M)'!$K$13:$EP$13,AW$8,'BS(M)'!$K21:$EP21)</f>
        <v>0</v>
      </c>
      <c r="AX16" s="168">
        <f>SUMIF('BS(M)'!$K$13:$EP$13,AX$8,'BS(M)'!$K21:$EP21)</f>
        <v>0</v>
      </c>
      <c r="AY16" s="168">
        <f>SUMIF('BS(M)'!$K$13:$EP$13,AY$8,'BS(M)'!$K21:$EP21)</f>
        <v>0</v>
      </c>
      <c r="AZ16" s="168">
        <f>SUMIF('BS(M)'!$K$13:$EP$13,AZ$8,'BS(M)'!$K21:$EP21)</f>
        <v>0</v>
      </c>
      <c r="BA16" s="168">
        <f>SUMIF('BS(M)'!$K$13:$EP$13,BA$8,'BS(M)'!$K21:$EP21)</f>
        <v>0</v>
      </c>
      <c r="BB16" s="168">
        <f>SUMIF('BS(M)'!$K$13:$EP$13,BB$8,'BS(M)'!$K21:$EP21)</f>
        <v>0</v>
      </c>
      <c r="BC16" s="168">
        <f>SUMIF('BS(M)'!$K$13:$EP$13,BC$8,'BS(M)'!$K21:$EP21)</f>
        <v>0</v>
      </c>
      <c r="BD16" s="168">
        <f>SUMIF('BS(M)'!$K$13:$EP$13,BD$8,'BS(M)'!$K21:$EP21)</f>
        <v>0</v>
      </c>
      <c r="BE16" s="168">
        <f>SUMIF('BS(M)'!$K$13:$EP$13,BE$8,'BS(M)'!$K21:$EP21)</f>
        <v>0</v>
      </c>
      <c r="BF16" s="168">
        <f>SUMIF('BS(M)'!$K$13:$EP$13,BF$8,'BS(M)'!$K21:$EP21)</f>
        <v>0</v>
      </c>
      <c r="BG16" s="168">
        <f>SUMIF('BS(M)'!$K$13:$EP$13,BG$8,'BS(M)'!$K21:$EP21)</f>
        <v>0</v>
      </c>
      <c r="BH16" s="168">
        <f>SUMIF('BS(M)'!$K$13:$EP$13,BH$8,'BS(M)'!$K21:$EP21)</f>
        <v>0</v>
      </c>
      <c r="BI16" s="168">
        <f>SUMIF('BS(M)'!$K$13:$EP$13,BI$8,'BS(M)'!$K21:$EP21)</f>
        <v>0</v>
      </c>
      <c r="BJ16" s="168">
        <f>SUMIF('BS(M)'!$K$13:$EP$13,BJ$8,'BS(M)'!$K21:$EP21)</f>
        <v>0</v>
      </c>
      <c r="BK16" s="168">
        <f>SUMIF('BS(M)'!$K$13:$EP$13,BK$8,'BS(M)'!$K21:$EP21)</f>
        <v>0</v>
      </c>
      <c r="BL16" s="168">
        <f>SUMIF('BS(M)'!$K$13:$EP$13,BL$8,'BS(M)'!$K21:$EP21)</f>
        <v>0</v>
      </c>
      <c r="BM16" s="168">
        <f>SUMIF('BS(M)'!$K$13:$EP$13,BM$8,'BS(M)'!$K21:$EP21)</f>
        <v>0</v>
      </c>
      <c r="BN16" s="168">
        <f>SUMIF('BS(M)'!$K$13:$EP$13,BN$8,'BS(M)'!$K21:$EP21)</f>
        <v>0</v>
      </c>
      <c r="BO16" s="168">
        <f>SUMIF('BS(M)'!$K$13:$EP$13,BO$8,'BS(M)'!$K21:$EP21)</f>
        <v>0</v>
      </c>
      <c r="BP16" s="168">
        <f>SUMIF('BS(M)'!$K$13:$EP$13,BP$8,'BS(M)'!$K21:$EP21)</f>
        <v>0</v>
      </c>
      <c r="BQ16" s="168">
        <f>SUMIF('BS(M)'!$K$13:$EP$13,BQ$8,'BS(M)'!$K21:$EP21)</f>
        <v>0</v>
      </c>
      <c r="BR16" s="168">
        <f>SUMIF('BS(M)'!$K$13:$EP$13,BR$8,'BS(M)'!$K21:$EP21)</f>
        <v>0</v>
      </c>
      <c r="BS16" s="168">
        <f>SUMIF('BS(M)'!$K$13:$EP$13,BS$8,'BS(M)'!$K21:$EP21)</f>
        <v>0</v>
      </c>
      <c r="BT16" s="168">
        <f>SUMIF('BS(M)'!$K$13:$EP$13,BT$8,'BS(M)'!$K21:$EP21)</f>
        <v>0</v>
      </c>
      <c r="BU16" s="168">
        <f>SUMIF('BS(M)'!$K$13:$EP$13,BU$8,'BS(M)'!$K21:$EP21)</f>
        <v>0</v>
      </c>
      <c r="BV16" s="168">
        <f>SUMIF('BS(M)'!$K$13:$EP$13,BV$8,'BS(M)'!$K21:$EP21)</f>
        <v>0</v>
      </c>
      <c r="BW16" s="168">
        <f>SUMIF('BS(M)'!$K$13:$EP$13,BW$8,'BS(M)'!$K21:$EP21)</f>
        <v>0</v>
      </c>
      <c r="BX16" s="168">
        <f>SUMIF('BS(M)'!$K$13:$EP$13,BX$8,'BS(M)'!$K21:$EP21)</f>
        <v>0</v>
      </c>
      <c r="BY16" s="168">
        <f>SUMIF('BS(M)'!$K$13:$EP$13,BY$8,'BS(M)'!$K21:$EP21)</f>
        <v>0</v>
      </c>
      <c r="BZ16" s="168">
        <f>SUMIF('BS(M)'!$K$13:$EP$13,BZ$8,'BS(M)'!$K21:$EP21)</f>
        <v>0</v>
      </c>
      <c r="CA16" s="168">
        <f>SUMIF('BS(M)'!$K$13:$EP$13,CA$8,'BS(M)'!$K21:$EP21)</f>
        <v>0</v>
      </c>
      <c r="CB16" s="168">
        <f>SUMIF('BS(M)'!$K$13:$EP$13,CB$8,'BS(M)'!$K21:$EP21)</f>
        <v>0</v>
      </c>
      <c r="CC16" s="168">
        <f>SUMIF('BS(M)'!$K$13:$EP$13,CC$8,'BS(M)'!$K21:$EP21)</f>
        <v>0</v>
      </c>
      <c r="CD16" s="168">
        <f>SUMIF('BS(M)'!$K$13:$EP$13,CD$8,'BS(M)'!$K21:$EP21)</f>
        <v>0</v>
      </c>
      <c r="CE16" s="168">
        <f>SUMIF('BS(M)'!$K$13:$EP$13,CE$8,'BS(M)'!$K21:$EP21)</f>
        <v>0</v>
      </c>
      <c r="CF16" s="168">
        <f>SUMIF('BS(M)'!$K$13:$EP$13,CF$8,'BS(M)'!$K21:$EP21)</f>
        <v>0</v>
      </c>
      <c r="CG16" s="168">
        <f>SUMIF('BS(M)'!$K$13:$EP$13,CG$8,'BS(M)'!$K21:$EP21)</f>
        <v>0</v>
      </c>
      <c r="CH16" s="168">
        <f>SUMIF('BS(M)'!$K$13:$EP$13,CH$8,'BS(M)'!$K21:$EP21)</f>
        <v>0</v>
      </c>
      <c r="CI16" s="168">
        <f>SUMIF('BS(M)'!$K$13:$EP$13,CI$8,'BS(M)'!$K21:$EP21)</f>
        <v>0</v>
      </c>
      <c r="CJ16" s="168">
        <f>SUMIF('BS(M)'!$K$13:$EP$13,CJ$8,'BS(M)'!$K21:$EP21)</f>
        <v>0</v>
      </c>
      <c r="CK16" s="168">
        <f>SUMIF('BS(M)'!$K$13:$EP$13,CK$8,'BS(M)'!$K21:$EP21)</f>
        <v>0</v>
      </c>
      <c r="CL16" s="168">
        <f>SUMIF('BS(M)'!$K$13:$EP$13,CL$8,'BS(M)'!$K21:$EP21)</f>
        <v>0</v>
      </c>
      <c r="CM16" s="168">
        <f>SUMIF('BS(M)'!$K$13:$EP$13,CM$8,'BS(M)'!$K21:$EP21)</f>
        <v>0</v>
      </c>
      <c r="CN16" s="168">
        <f>SUMIF('BS(M)'!$K$13:$EP$13,CN$8,'BS(M)'!$K21:$EP21)</f>
        <v>0</v>
      </c>
      <c r="CO16" s="168">
        <f>SUMIF('BS(M)'!$K$13:$EP$13,CO$8,'BS(M)'!$K21:$EP21)</f>
        <v>0</v>
      </c>
      <c r="CP16" s="168">
        <f>SUMIF('BS(M)'!$K$13:$EP$13,CP$8,'BS(M)'!$K21:$EP21)</f>
        <v>0</v>
      </c>
      <c r="CQ16" s="168">
        <f>SUMIF('BS(M)'!$K$13:$EP$13,CQ$8,'BS(M)'!$K21:$EP21)</f>
        <v>0</v>
      </c>
      <c r="CR16" s="168">
        <f>SUMIF('BS(M)'!$K$13:$EP$13,CR$8,'BS(M)'!$K21:$EP21)</f>
        <v>0</v>
      </c>
      <c r="CS16" s="168">
        <f>SUMIF('BS(M)'!$K$13:$EP$13,CS$8,'BS(M)'!$K21:$EP21)</f>
        <v>0</v>
      </c>
      <c r="CT16" s="168">
        <f>SUMIF('BS(M)'!$K$13:$EP$13,CT$8,'BS(M)'!$K21:$EP21)</f>
        <v>0</v>
      </c>
      <c r="CU16" s="168">
        <f>SUMIF('BS(M)'!$K$13:$EP$13,CU$8,'BS(M)'!$K21:$EP21)</f>
        <v>0</v>
      </c>
      <c r="CV16" s="168">
        <f>SUMIF('BS(M)'!$K$13:$EP$13,CV$8,'BS(M)'!$K21:$EP21)</f>
        <v>0</v>
      </c>
      <c r="CW16" s="168">
        <f>SUMIF('BS(M)'!$K$13:$EP$13,CW$8,'BS(M)'!$K21:$EP21)</f>
        <v>0</v>
      </c>
      <c r="CX16" s="168">
        <f>SUMIF('BS(M)'!$K$13:$EP$13,CX$8,'BS(M)'!$K21:$EP21)</f>
        <v>0</v>
      </c>
      <c r="CY16" s="168">
        <f>SUMIF('BS(M)'!$K$13:$EP$13,CY$8,'BS(M)'!$K21:$EP21)</f>
        <v>0</v>
      </c>
      <c r="CZ16" s="168">
        <f>SUMIF('BS(M)'!$K$13:$EP$13,CZ$8,'BS(M)'!$K21:$EP21)</f>
        <v>0</v>
      </c>
      <c r="DA16" s="168">
        <f>SUMIF('BS(M)'!$K$13:$EP$13,DA$8,'BS(M)'!$K21:$EP21)</f>
        <v>0</v>
      </c>
      <c r="DB16" s="168">
        <f>SUMIF('BS(M)'!$K$13:$EP$13,DB$8,'BS(M)'!$K21:$EP21)</f>
        <v>0</v>
      </c>
      <c r="DC16" s="168">
        <f>SUMIF('BS(M)'!$K$13:$EP$13,DC$8,'BS(M)'!$K21:$EP21)</f>
        <v>0</v>
      </c>
      <c r="DD16" s="168">
        <f>SUMIF('BS(M)'!$K$13:$EP$13,DD$8,'BS(M)'!$K21:$EP21)</f>
        <v>0</v>
      </c>
      <c r="DE16" s="168">
        <f>SUMIF('BS(M)'!$K$13:$EP$13,DE$8,'BS(M)'!$K21:$EP21)</f>
        <v>0</v>
      </c>
      <c r="DF16" s="168">
        <f>SUMIF('BS(M)'!$K$13:$EP$13,DF$8,'BS(M)'!$K21:$EP21)</f>
        <v>0</v>
      </c>
      <c r="DG16" s="168">
        <f>SUMIF('BS(M)'!$K$13:$EP$13,DG$8,'BS(M)'!$K21:$EP21)</f>
        <v>0</v>
      </c>
      <c r="DH16" s="168">
        <f>SUMIF('BS(M)'!$K$13:$EP$13,DH$8,'BS(M)'!$K21:$EP21)</f>
        <v>0</v>
      </c>
      <c r="DI16" s="168">
        <f>SUMIF('BS(M)'!$K$13:$EP$13,DI$8,'BS(M)'!$K21:$EP21)</f>
        <v>0</v>
      </c>
      <c r="DJ16" s="168">
        <f>SUMIF('BS(M)'!$K$13:$EP$13,DJ$8,'BS(M)'!$K21:$EP21)</f>
        <v>0</v>
      </c>
      <c r="DK16" s="168">
        <f>SUMIF('BS(M)'!$K$13:$EP$13,DK$8,'BS(M)'!$K21:$EP21)</f>
        <v>0</v>
      </c>
      <c r="DL16" s="168">
        <f>SUMIF('BS(M)'!$K$13:$EP$13,DL$8,'BS(M)'!$K21:$EP21)</f>
        <v>0</v>
      </c>
      <c r="DM16" s="168">
        <f>SUMIF('BS(M)'!$K$13:$EP$13,DM$8,'BS(M)'!$K21:$EP21)</f>
        <v>0</v>
      </c>
      <c r="DN16" s="168">
        <f>SUMIF('BS(M)'!$K$13:$EP$13,DN$8,'BS(M)'!$K21:$EP21)</f>
        <v>0</v>
      </c>
      <c r="DO16" s="168">
        <f>SUMIF('BS(M)'!$K$13:$EP$13,DO$8,'BS(M)'!$K21:$EP21)</f>
        <v>0</v>
      </c>
      <c r="DP16" s="168">
        <f>SUMIF('BS(M)'!$K$13:$EP$13,DP$8,'BS(M)'!$K21:$EP21)</f>
        <v>0</v>
      </c>
      <c r="DQ16" s="168">
        <f>SUMIF('BS(M)'!$K$13:$EP$13,DQ$8,'BS(M)'!$K21:$EP21)</f>
        <v>0</v>
      </c>
      <c r="DR16" s="168">
        <f>SUMIF('BS(M)'!$K$13:$EP$13,DR$8,'BS(M)'!$K21:$EP21)</f>
        <v>0</v>
      </c>
      <c r="DS16" s="168">
        <f>SUMIF('BS(M)'!$K$13:$EP$13,DS$8,'BS(M)'!$K21:$EP21)</f>
        <v>0</v>
      </c>
      <c r="DT16" s="168">
        <f>SUMIF('BS(M)'!$K$13:$EP$13,DT$8,'BS(M)'!$K21:$EP21)</f>
        <v>0</v>
      </c>
      <c r="DU16" s="168">
        <f>SUMIF('BS(M)'!$K$13:$EP$13,DU$8,'BS(M)'!$K21:$EP21)</f>
        <v>0</v>
      </c>
    </row>
    <row r="17" spans="2:125">
      <c r="B17" s="218"/>
      <c r="C17" s="163"/>
      <c r="D17" s="169" t="s">
        <v>241</v>
      </c>
      <c r="H17" s="146"/>
      <c r="I17" s="953"/>
      <c r="J17" s="98"/>
      <c r="K17" s="171">
        <f>SUMIF('BS(M)'!$K$13:$EP$13,K$8,'BS(M)'!$K22:$EP22)</f>
        <v>136707480</v>
      </c>
      <c r="L17" s="171">
        <f>SUMIF('BS(M)'!$K$13:$EP$13,L$8,'BS(M)'!$K22:$EP22)</f>
        <v>136707480</v>
      </c>
      <c r="M17" s="171">
        <f>SUMIF('BS(M)'!$K$13:$EP$13,M$8,'BS(M)'!$K22:$EP22)</f>
        <v>136707480</v>
      </c>
      <c r="N17" s="171">
        <f>SUMIF('BS(M)'!$K$13:$EP$13,N$8,'BS(M)'!$K22:$EP22)</f>
        <v>136707480</v>
      </c>
      <c r="O17" s="171">
        <f>SUMIF('BS(M)'!$K$13:$EP$13,O$8,'BS(M)'!$K22:$EP22)</f>
        <v>136707480</v>
      </c>
      <c r="P17" s="171">
        <f>SUMIF('BS(M)'!$K$13:$EP$13,P$8,'BS(M)'!$K22:$EP22)</f>
        <v>136707480</v>
      </c>
      <c r="Q17" s="171">
        <f>SUMIF('BS(M)'!$K$13:$EP$13,Q$8,'BS(M)'!$K22:$EP22)</f>
        <v>136707480</v>
      </c>
      <c r="R17" s="171">
        <f>SUMIF('BS(M)'!$K$13:$EP$13,R$8,'BS(M)'!$K22:$EP22)</f>
        <v>136707480</v>
      </c>
      <c r="S17" s="171">
        <f>SUMIF('BS(M)'!$K$13:$EP$13,S$8,'BS(M)'!$K22:$EP22)</f>
        <v>136707480</v>
      </c>
      <c r="T17" s="171">
        <f>SUMIF('BS(M)'!$K$13:$EP$13,T$8,'BS(M)'!$K22:$EP22)</f>
        <v>136707480</v>
      </c>
      <c r="U17" s="171">
        <f>SUMIF('BS(M)'!$K$13:$EP$13,U$8,'BS(M)'!$K22:$EP22)</f>
        <v>136707480</v>
      </c>
      <c r="V17" s="171">
        <f>SUMIF('BS(M)'!$K$13:$EP$13,V$8,'BS(M)'!$K22:$EP22)</f>
        <v>136707480</v>
      </c>
      <c r="W17" s="171">
        <f>SUMIF('BS(M)'!$K$13:$EP$13,W$8,'BS(M)'!$K22:$EP22)</f>
        <v>136707480</v>
      </c>
      <c r="X17" s="171">
        <f>SUMIF('BS(M)'!$K$13:$EP$13,X$8,'BS(M)'!$K22:$EP22)</f>
        <v>136707480</v>
      </c>
      <c r="Y17" s="171">
        <f>SUMIF('BS(M)'!$K$13:$EP$13,Y$8,'BS(M)'!$K22:$EP22)</f>
        <v>136707480</v>
      </c>
      <c r="Z17" s="171">
        <f>SUMIF('BS(M)'!$K$13:$EP$13,Z$8,'BS(M)'!$K22:$EP22)</f>
        <v>136707480</v>
      </c>
      <c r="AA17" s="171">
        <f>SUMIF('BS(M)'!$K$13:$EP$13,AA$8,'BS(M)'!$K22:$EP22)</f>
        <v>136707480</v>
      </c>
      <c r="AB17" s="171">
        <f>SUMIF('BS(M)'!$K$13:$EP$13,AB$8,'BS(M)'!$K22:$EP22)</f>
        <v>136707480</v>
      </c>
      <c r="AC17" s="171">
        <f>SUMIF('BS(M)'!$K$13:$EP$13,AC$8,'BS(M)'!$K22:$EP22)</f>
        <v>136707480</v>
      </c>
      <c r="AD17" s="171">
        <f>SUMIF('BS(M)'!$K$13:$EP$13,AD$8,'BS(M)'!$K22:$EP22)</f>
        <v>136707480</v>
      </c>
      <c r="AE17" s="171">
        <f>SUMIF('BS(M)'!$K$13:$EP$13,AE$8,'BS(M)'!$K22:$EP22)</f>
        <v>0</v>
      </c>
      <c r="AF17" s="171">
        <f>SUMIF('BS(M)'!$K$13:$EP$13,AF$8,'BS(M)'!$K22:$EP22)</f>
        <v>0</v>
      </c>
      <c r="AG17" s="171">
        <f>SUMIF('BS(M)'!$K$13:$EP$13,AG$8,'BS(M)'!$K22:$EP22)</f>
        <v>0</v>
      </c>
      <c r="AH17" s="171">
        <f>SUMIF('BS(M)'!$K$13:$EP$13,AH$8,'BS(M)'!$K22:$EP22)</f>
        <v>0</v>
      </c>
      <c r="AI17" s="171">
        <f>SUMIF('BS(M)'!$K$13:$EP$13,AI$8,'BS(M)'!$K22:$EP22)</f>
        <v>0</v>
      </c>
      <c r="AJ17" s="171">
        <f>SUMIF('BS(M)'!$K$13:$EP$13,AJ$8,'BS(M)'!$K22:$EP22)</f>
        <v>0</v>
      </c>
      <c r="AK17" s="171">
        <f>SUMIF('BS(M)'!$K$13:$EP$13,AK$8,'BS(M)'!$K22:$EP22)</f>
        <v>0</v>
      </c>
      <c r="AL17" s="171">
        <f>SUMIF('BS(M)'!$K$13:$EP$13,AL$8,'BS(M)'!$K22:$EP22)</f>
        <v>0</v>
      </c>
      <c r="AM17" s="171">
        <f>SUMIF('BS(M)'!$K$13:$EP$13,AM$8,'BS(M)'!$K22:$EP22)</f>
        <v>0</v>
      </c>
      <c r="AN17" s="171">
        <f>SUMIF('BS(M)'!$K$13:$EP$13,AN$8,'BS(M)'!$K22:$EP22)</f>
        <v>0</v>
      </c>
      <c r="AO17" s="171">
        <f>SUMIF('BS(M)'!$K$13:$EP$13,AO$8,'BS(M)'!$K22:$EP22)</f>
        <v>0</v>
      </c>
      <c r="AP17" s="171">
        <f>SUMIF('BS(M)'!$K$13:$EP$13,AP$8,'BS(M)'!$K22:$EP22)</f>
        <v>0</v>
      </c>
      <c r="AQ17" s="171">
        <f>SUMIF('BS(M)'!$K$13:$EP$13,AQ$8,'BS(M)'!$K22:$EP22)</f>
        <v>0</v>
      </c>
      <c r="AR17" s="171">
        <f>SUMIF('BS(M)'!$K$13:$EP$13,AR$8,'BS(M)'!$K22:$EP22)</f>
        <v>0</v>
      </c>
      <c r="AS17" s="171">
        <f>SUMIF('BS(M)'!$K$13:$EP$13,AS$8,'BS(M)'!$K22:$EP22)</f>
        <v>0</v>
      </c>
      <c r="AT17" s="171">
        <f>SUMIF('BS(M)'!$K$13:$EP$13,AT$8,'BS(M)'!$K22:$EP22)</f>
        <v>0</v>
      </c>
      <c r="AU17" s="171">
        <f>SUMIF('BS(M)'!$K$13:$EP$13,AU$8,'BS(M)'!$K22:$EP22)</f>
        <v>0</v>
      </c>
      <c r="AV17" s="171">
        <f>SUMIF('BS(M)'!$K$13:$EP$13,AV$8,'BS(M)'!$K22:$EP22)</f>
        <v>0</v>
      </c>
      <c r="AW17" s="171">
        <f>SUMIF('BS(M)'!$K$13:$EP$13,AW$8,'BS(M)'!$K22:$EP22)</f>
        <v>0</v>
      </c>
      <c r="AX17" s="171">
        <f>SUMIF('BS(M)'!$K$13:$EP$13,AX$8,'BS(M)'!$K22:$EP22)</f>
        <v>0</v>
      </c>
      <c r="AY17" s="171">
        <f>SUMIF('BS(M)'!$K$13:$EP$13,AY$8,'BS(M)'!$K22:$EP22)</f>
        <v>0</v>
      </c>
      <c r="AZ17" s="171">
        <f>SUMIF('BS(M)'!$K$13:$EP$13,AZ$8,'BS(M)'!$K22:$EP22)</f>
        <v>0</v>
      </c>
      <c r="BA17" s="171">
        <f>SUMIF('BS(M)'!$K$13:$EP$13,BA$8,'BS(M)'!$K22:$EP22)</f>
        <v>0</v>
      </c>
      <c r="BB17" s="171">
        <f>SUMIF('BS(M)'!$K$13:$EP$13,BB$8,'BS(M)'!$K22:$EP22)</f>
        <v>0</v>
      </c>
      <c r="BC17" s="171">
        <f>SUMIF('BS(M)'!$K$13:$EP$13,BC$8,'BS(M)'!$K22:$EP22)</f>
        <v>0</v>
      </c>
      <c r="BD17" s="171">
        <f>SUMIF('BS(M)'!$K$13:$EP$13,BD$8,'BS(M)'!$K22:$EP22)</f>
        <v>0</v>
      </c>
      <c r="BE17" s="171">
        <f>SUMIF('BS(M)'!$K$13:$EP$13,BE$8,'BS(M)'!$K22:$EP22)</f>
        <v>0</v>
      </c>
      <c r="BF17" s="171">
        <f>SUMIF('BS(M)'!$K$13:$EP$13,BF$8,'BS(M)'!$K22:$EP22)</f>
        <v>0</v>
      </c>
      <c r="BG17" s="171">
        <f>SUMIF('BS(M)'!$K$13:$EP$13,BG$8,'BS(M)'!$K22:$EP22)</f>
        <v>0</v>
      </c>
      <c r="BH17" s="171">
        <f>SUMIF('BS(M)'!$K$13:$EP$13,BH$8,'BS(M)'!$K22:$EP22)</f>
        <v>0</v>
      </c>
      <c r="BI17" s="171">
        <f>SUMIF('BS(M)'!$K$13:$EP$13,BI$8,'BS(M)'!$K22:$EP22)</f>
        <v>0</v>
      </c>
      <c r="BJ17" s="171">
        <f>SUMIF('BS(M)'!$K$13:$EP$13,BJ$8,'BS(M)'!$K22:$EP22)</f>
        <v>0</v>
      </c>
      <c r="BK17" s="171">
        <f>SUMIF('BS(M)'!$K$13:$EP$13,BK$8,'BS(M)'!$K22:$EP22)</f>
        <v>0</v>
      </c>
      <c r="BL17" s="171">
        <f>SUMIF('BS(M)'!$K$13:$EP$13,BL$8,'BS(M)'!$K22:$EP22)</f>
        <v>0</v>
      </c>
      <c r="BM17" s="171">
        <f>SUMIF('BS(M)'!$K$13:$EP$13,BM$8,'BS(M)'!$K22:$EP22)</f>
        <v>0</v>
      </c>
      <c r="BN17" s="171">
        <f>SUMIF('BS(M)'!$K$13:$EP$13,BN$8,'BS(M)'!$K22:$EP22)</f>
        <v>0</v>
      </c>
      <c r="BO17" s="171">
        <f>SUMIF('BS(M)'!$K$13:$EP$13,BO$8,'BS(M)'!$K22:$EP22)</f>
        <v>0</v>
      </c>
      <c r="BP17" s="171">
        <f>SUMIF('BS(M)'!$K$13:$EP$13,BP$8,'BS(M)'!$K22:$EP22)</f>
        <v>0</v>
      </c>
      <c r="BQ17" s="171">
        <f>SUMIF('BS(M)'!$K$13:$EP$13,BQ$8,'BS(M)'!$K22:$EP22)</f>
        <v>0</v>
      </c>
      <c r="BR17" s="171">
        <f>SUMIF('BS(M)'!$K$13:$EP$13,BR$8,'BS(M)'!$K22:$EP22)</f>
        <v>0</v>
      </c>
      <c r="BS17" s="171">
        <f>SUMIF('BS(M)'!$K$13:$EP$13,BS$8,'BS(M)'!$K22:$EP22)</f>
        <v>0</v>
      </c>
      <c r="BT17" s="171">
        <f>SUMIF('BS(M)'!$K$13:$EP$13,BT$8,'BS(M)'!$K22:$EP22)</f>
        <v>0</v>
      </c>
      <c r="BU17" s="171">
        <f>SUMIF('BS(M)'!$K$13:$EP$13,BU$8,'BS(M)'!$K22:$EP22)</f>
        <v>0</v>
      </c>
      <c r="BV17" s="171">
        <f>SUMIF('BS(M)'!$K$13:$EP$13,BV$8,'BS(M)'!$K22:$EP22)</f>
        <v>0</v>
      </c>
      <c r="BW17" s="171">
        <f>SUMIF('BS(M)'!$K$13:$EP$13,BW$8,'BS(M)'!$K22:$EP22)</f>
        <v>0</v>
      </c>
      <c r="BX17" s="171">
        <f>SUMIF('BS(M)'!$K$13:$EP$13,BX$8,'BS(M)'!$K22:$EP22)</f>
        <v>0</v>
      </c>
      <c r="BY17" s="171">
        <f>SUMIF('BS(M)'!$K$13:$EP$13,BY$8,'BS(M)'!$K22:$EP22)</f>
        <v>0</v>
      </c>
      <c r="BZ17" s="171">
        <f>SUMIF('BS(M)'!$K$13:$EP$13,BZ$8,'BS(M)'!$K22:$EP22)</f>
        <v>0</v>
      </c>
      <c r="CA17" s="171">
        <f>SUMIF('BS(M)'!$K$13:$EP$13,CA$8,'BS(M)'!$K22:$EP22)</f>
        <v>0</v>
      </c>
      <c r="CB17" s="171">
        <f>SUMIF('BS(M)'!$K$13:$EP$13,CB$8,'BS(M)'!$K22:$EP22)</f>
        <v>0</v>
      </c>
      <c r="CC17" s="171">
        <f>SUMIF('BS(M)'!$K$13:$EP$13,CC$8,'BS(M)'!$K22:$EP22)</f>
        <v>0</v>
      </c>
      <c r="CD17" s="171">
        <f>SUMIF('BS(M)'!$K$13:$EP$13,CD$8,'BS(M)'!$K22:$EP22)</f>
        <v>0</v>
      </c>
      <c r="CE17" s="171">
        <f>SUMIF('BS(M)'!$K$13:$EP$13,CE$8,'BS(M)'!$K22:$EP22)</f>
        <v>0</v>
      </c>
      <c r="CF17" s="171">
        <f>SUMIF('BS(M)'!$K$13:$EP$13,CF$8,'BS(M)'!$K22:$EP22)</f>
        <v>0</v>
      </c>
      <c r="CG17" s="171">
        <f>SUMIF('BS(M)'!$K$13:$EP$13,CG$8,'BS(M)'!$K22:$EP22)</f>
        <v>0</v>
      </c>
      <c r="CH17" s="171">
        <f>SUMIF('BS(M)'!$K$13:$EP$13,CH$8,'BS(M)'!$K22:$EP22)</f>
        <v>0</v>
      </c>
      <c r="CI17" s="171">
        <f>SUMIF('BS(M)'!$K$13:$EP$13,CI$8,'BS(M)'!$K22:$EP22)</f>
        <v>0</v>
      </c>
      <c r="CJ17" s="171">
        <f>SUMIF('BS(M)'!$K$13:$EP$13,CJ$8,'BS(M)'!$K22:$EP22)</f>
        <v>0</v>
      </c>
      <c r="CK17" s="171">
        <f>SUMIF('BS(M)'!$K$13:$EP$13,CK$8,'BS(M)'!$K22:$EP22)</f>
        <v>0</v>
      </c>
      <c r="CL17" s="171">
        <f>SUMIF('BS(M)'!$K$13:$EP$13,CL$8,'BS(M)'!$K22:$EP22)</f>
        <v>0</v>
      </c>
      <c r="CM17" s="171">
        <f>SUMIF('BS(M)'!$K$13:$EP$13,CM$8,'BS(M)'!$K22:$EP22)</f>
        <v>0</v>
      </c>
      <c r="CN17" s="171">
        <f>SUMIF('BS(M)'!$K$13:$EP$13,CN$8,'BS(M)'!$K22:$EP22)</f>
        <v>0</v>
      </c>
      <c r="CO17" s="171">
        <f>SUMIF('BS(M)'!$K$13:$EP$13,CO$8,'BS(M)'!$K22:$EP22)</f>
        <v>0</v>
      </c>
      <c r="CP17" s="171">
        <f>SUMIF('BS(M)'!$K$13:$EP$13,CP$8,'BS(M)'!$K22:$EP22)</f>
        <v>0</v>
      </c>
      <c r="CQ17" s="171">
        <f>SUMIF('BS(M)'!$K$13:$EP$13,CQ$8,'BS(M)'!$K22:$EP22)</f>
        <v>0</v>
      </c>
      <c r="CR17" s="171">
        <f>SUMIF('BS(M)'!$K$13:$EP$13,CR$8,'BS(M)'!$K22:$EP22)</f>
        <v>0</v>
      </c>
      <c r="CS17" s="171">
        <f>SUMIF('BS(M)'!$K$13:$EP$13,CS$8,'BS(M)'!$K22:$EP22)</f>
        <v>0</v>
      </c>
      <c r="CT17" s="171">
        <f>SUMIF('BS(M)'!$K$13:$EP$13,CT$8,'BS(M)'!$K22:$EP22)</f>
        <v>0</v>
      </c>
      <c r="CU17" s="171">
        <f>SUMIF('BS(M)'!$K$13:$EP$13,CU$8,'BS(M)'!$K22:$EP22)</f>
        <v>0</v>
      </c>
      <c r="CV17" s="171">
        <f>SUMIF('BS(M)'!$K$13:$EP$13,CV$8,'BS(M)'!$K22:$EP22)</f>
        <v>0</v>
      </c>
      <c r="CW17" s="171">
        <f>SUMIF('BS(M)'!$K$13:$EP$13,CW$8,'BS(M)'!$K22:$EP22)</f>
        <v>0</v>
      </c>
      <c r="CX17" s="171">
        <f>SUMIF('BS(M)'!$K$13:$EP$13,CX$8,'BS(M)'!$K22:$EP22)</f>
        <v>0</v>
      </c>
      <c r="CY17" s="171">
        <f>SUMIF('BS(M)'!$K$13:$EP$13,CY$8,'BS(M)'!$K22:$EP22)</f>
        <v>0</v>
      </c>
      <c r="CZ17" s="171">
        <f>SUMIF('BS(M)'!$K$13:$EP$13,CZ$8,'BS(M)'!$K22:$EP22)</f>
        <v>0</v>
      </c>
      <c r="DA17" s="171">
        <f>SUMIF('BS(M)'!$K$13:$EP$13,DA$8,'BS(M)'!$K22:$EP22)</f>
        <v>0</v>
      </c>
      <c r="DB17" s="171">
        <f>SUMIF('BS(M)'!$K$13:$EP$13,DB$8,'BS(M)'!$K22:$EP22)</f>
        <v>0</v>
      </c>
      <c r="DC17" s="171">
        <f>SUMIF('BS(M)'!$K$13:$EP$13,DC$8,'BS(M)'!$K22:$EP22)</f>
        <v>0</v>
      </c>
      <c r="DD17" s="171">
        <f>SUMIF('BS(M)'!$K$13:$EP$13,DD$8,'BS(M)'!$K22:$EP22)</f>
        <v>0</v>
      </c>
      <c r="DE17" s="171">
        <f>SUMIF('BS(M)'!$K$13:$EP$13,DE$8,'BS(M)'!$K22:$EP22)</f>
        <v>0</v>
      </c>
      <c r="DF17" s="171">
        <f>SUMIF('BS(M)'!$K$13:$EP$13,DF$8,'BS(M)'!$K22:$EP22)</f>
        <v>0</v>
      </c>
      <c r="DG17" s="171">
        <f>SUMIF('BS(M)'!$K$13:$EP$13,DG$8,'BS(M)'!$K22:$EP22)</f>
        <v>0</v>
      </c>
      <c r="DH17" s="171">
        <f>SUMIF('BS(M)'!$K$13:$EP$13,DH$8,'BS(M)'!$K22:$EP22)</f>
        <v>0</v>
      </c>
      <c r="DI17" s="171">
        <f>SUMIF('BS(M)'!$K$13:$EP$13,DI$8,'BS(M)'!$K22:$EP22)</f>
        <v>0</v>
      </c>
      <c r="DJ17" s="171">
        <f>SUMIF('BS(M)'!$K$13:$EP$13,DJ$8,'BS(M)'!$K22:$EP22)</f>
        <v>0</v>
      </c>
      <c r="DK17" s="171">
        <f>SUMIF('BS(M)'!$K$13:$EP$13,DK$8,'BS(M)'!$K22:$EP22)</f>
        <v>0</v>
      </c>
      <c r="DL17" s="171">
        <f>SUMIF('BS(M)'!$K$13:$EP$13,DL$8,'BS(M)'!$K22:$EP22)</f>
        <v>0</v>
      </c>
      <c r="DM17" s="171">
        <f>SUMIF('BS(M)'!$K$13:$EP$13,DM$8,'BS(M)'!$K22:$EP22)</f>
        <v>0</v>
      </c>
      <c r="DN17" s="171">
        <f>SUMIF('BS(M)'!$K$13:$EP$13,DN$8,'BS(M)'!$K22:$EP22)</f>
        <v>0</v>
      </c>
      <c r="DO17" s="171">
        <f>SUMIF('BS(M)'!$K$13:$EP$13,DO$8,'BS(M)'!$K22:$EP22)</f>
        <v>0</v>
      </c>
      <c r="DP17" s="171">
        <f>SUMIF('BS(M)'!$K$13:$EP$13,DP$8,'BS(M)'!$K22:$EP22)</f>
        <v>0</v>
      </c>
      <c r="DQ17" s="171">
        <f>SUMIF('BS(M)'!$K$13:$EP$13,DQ$8,'BS(M)'!$K22:$EP22)</f>
        <v>0</v>
      </c>
      <c r="DR17" s="171">
        <f>SUMIF('BS(M)'!$K$13:$EP$13,DR$8,'BS(M)'!$K22:$EP22)</f>
        <v>0</v>
      </c>
      <c r="DS17" s="171">
        <f>SUMIF('BS(M)'!$K$13:$EP$13,DS$8,'BS(M)'!$K22:$EP22)</f>
        <v>0</v>
      </c>
      <c r="DT17" s="171">
        <f>SUMIF('BS(M)'!$K$13:$EP$13,DT$8,'BS(M)'!$K22:$EP22)</f>
        <v>0</v>
      </c>
      <c r="DU17" s="171">
        <f>SUMIF('BS(M)'!$K$13:$EP$13,DU$8,'BS(M)'!$K22:$EP22)</f>
        <v>0</v>
      </c>
    </row>
    <row r="18" spans="2:125">
      <c r="B18" s="218"/>
      <c r="C18" s="163"/>
      <c r="D18" s="169" t="s">
        <v>517</v>
      </c>
      <c r="H18" s="146"/>
      <c r="I18" s="953"/>
      <c r="J18" s="98"/>
      <c r="K18" s="171">
        <f>SUMIF('BS(M)'!$K$13:$EP$13,K$8,'BS(M)'!$K23:$EP23)</f>
        <v>0</v>
      </c>
      <c r="L18" s="171">
        <f>SUMIF('BS(M)'!$K$13:$EP$13,L$8,'BS(M)'!$K23:$EP23)</f>
        <v>-1708843.5</v>
      </c>
      <c r="M18" s="171">
        <f>SUMIF('BS(M)'!$K$13:$EP$13,M$8,'BS(M)'!$K23:$EP23)</f>
        <v>-3417687</v>
      </c>
      <c r="N18" s="171">
        <f>SUMIF('BS(M)'!$K$13:$EP$13,N$8,'BS(M)'!$K23:$EP23)</f>
        <v>-5126530.5</v>
      </c>
      <c r="O18" s="171">
        <f>SUMIF('BS(M)'!$K$13:$EP$13,O$8,'BS(M)'!$K23:$EP23)</f>
        <v>-6835374</v>
      </c>
      <c r="P18" s="171">
        <f>SUMIF('BS(M)'!$K$13:$EP$13,P$8,'BS(M)'!$K23:$EP23)</f>
        <v>-8544217.5</v>
      </c>
      <c r="Q18" s="171">
        <f>SUMIF('BS(M)'!$K$13:$EP$13,Q$8,'BS(M)'!$K23:$EP23)</f>
        <v>-10253061</v>
      </c>
      <c r="R18" s="171">
        <f>SUMIF('BS(M)'!$K$13:$EP$13,R$8,'BS(M)'!$K23:$EP23)</f>
        <v>-11961904.5</v>
      </c>
      <c r="S18" s="171">
        <f>SUMIF('BS(M)'!$K$13:$EP$13,S$8,'BS(M)'!$K23:$EP23)</f>
        <v>-13670748</v>
      </c>
      <c r="T18" s="171">
        <f>SUMIF('BS(M)'!$K$13:$EP$13,T$8,'BS(M)'!$K23:$EP23)</f>
        <v>-15379591.5</v>
      </c>
      <c r="U18" s="171">
        <f>SUMIF('BS(M)'!$K$13:$EP$13,U$8,'BS(M)'!$K23:$EP23)</f>
        <v>-17088435</v>
      </c>
      <c r="V18" s="171">
        <f>SUMIF('BS(M)'!$K$13:$EP$13,V$8,'BS(M)'!$K23:$EP23)</f>
        <v>-18797278.5</v>
      </c>
      <c r="W18" s="171">
        <f>SUMIF('BS(M)'!$K$13:$EP$13,W$8,'BS(M)'!$K23:$EP23)</f>
        <v>-20506122</v>
      </c>
      <c r="X18" s="171">
        <f>SUMIF('BS(M)'!$K$13:$EP$13,X$8,'BS(M)'!$K23:$EP23)</f>
        <v>-22214965.5</v>
      </c>
      <c r="Y18" s="171">
        <f>SUMIF('BS(M)'!$K$13:$EP$13,Y$8,'BS(M)'!$K23:$EP23)</f>
        <v>-23923809</v>
      </c>
      <c r="Z18" s="171">
        <f>SUMIF('BS(M)'!$K$13:$EP$13,Z$8,'BS(M)'!$K23:$EP23)</f>
        <v>-25632652.5</v>
      </c>
      <c r="AA18" s="171">
        <f>SUMIF('BS(M)'!$K$13:$EP$13,AA$8,'BS(M)'!$K23:$EP23)</f>
        <v>-27341496</v>
      </c>
      <c r="AB18" s="171">
        <f>SUMIF('BS(M)'!$K$13:$EP$13,AB$8,'BS(M)'!$K23:$EP23)</f>
        <v>-29050339.5</v>
      </c>
      <c r="AC18" s="171">
        <f>SUMIF('BS(M)'!$K$13:$EP$13,AC$8,'BS(M)'!$K23:$EP23)</f>
        <v>-30759183</v>
      </c>
      <c r="AD18" s="171">
        <f>SUMIF('BS(M)'!$K$13:$EP$13,AD$8,'BS(M)'!$K23:$EP23)</f>
        <v>-32468026.5</v>
      </c>
      <c r="AE18" s="171">
        <f>SUMIF('BS(M)'!$K$13:$EP$13,AE$8,'BS(M)'!$K23:$EP23)</f>
        <v>0</v>
      </c>
      <c r="AF18" s="171">
        <f>SUMIF('BS(M)'!$K$13:$EP$13,AF$8,'BS(M)'!$K23:$EP23)</f>
        <v>0</v>
      </c>
      <c r="AG18" s="171">
        <f>SUMIF('BS(M)'!$K$13:$EP$13,AG$8,'BS(M)'!$K23:$EP23)</f>
        <v>0</v>
      </c>
      <c r="AH18" s="171">
        <f>SUMIF('BS(M)'!$K$13:$EP$13,AH$8,'BS(M)'!$K23:$EP23)</f>
        <v>0</v>
      </c>
      <c r="AI18" s="171">
        <f>SUMIF('BS(M)'!$K$13:$EP$13,AI$8,'BS(M)'!$K23:$EP23)</f>
        <v>0</v>
      </c>
      <c r="AJ18" s="171">
        <f>SUMIF('BS(M)'!$K$13:$EP$13,AJ$8,'BS(M)'!$K23:$EP23)</f>
        <v>0</v>
      </c>
      <c r="AK18" s="171">
        <f>SUMIF('BS(M)'!$K$13:$EP$13,AK$8,'BS(M)'!$K23:$EP23)</f>
        <v>0</v>
      </c>
      <c r="AL18" s="171">
        <f>SUMIF('BS(M)'!$K$13:$EP$13,AL$8,'BS(M)'!$K23:$EP23)</f>
        <v>0</v>
      </c>
      <c r="AM18" s="171">
        <f>SUMIF('BS(M)'!$K$13:$EP$13,AM$8,'BS(M)'!$K23:$EP23)</f>
        <v>0</v>
      </c>
      <c r="AN18" s="171">
        <f>SUMIF('BS(M)'!$K$13:$EP$13,AN$8,'BS(M)'!$K23:$EP23)</f>
        <v>0</v>
      </c>
      <c r="AO18" s="171">
        <f>SUMIF('BS(M)'!$K$13:$EP$13,AO$8,'BS(M)'!$K23:$EP23)</f>
        <v>0</v>
      </c>
      <c r="AP18" s="171">
        <f>SUMIF('BS(M)'!$K$13:$EP$13,AP$8,'BS(M)'!$K23:$EP23)</f>
        <v>0</v>
      </c>
      <c r="AQ18" s="171">
        <f>SUMIF('BS(M)'!$K$13:$EP$13,AQ$8,'BS(M)'!$K23:$EP23)</f>
        <v>0</v>
      </c>
      <c r="AR18" s="171">
        <f>SUMIF('BS(M)'!$K$13:$EP$13,AR$8,'BS(M)'!$K23:$EP23)</f>
        <v>0</v>
      </c>
      <c r="AS18" s="171">
        <f>SUMIF('BS(M)'!$K$13:$EP$13,AS$8,'BS(M)'!$K23:$EP23)</f>
        <v>0</v>
      </c>
      <c r="AT18" s="171">
        <f>SUMIF('BS(M)'!$K$13:$EP$13,AT$8,'BS(M)'!$K23:$EP23)</f>
        <v>0</v>
      </c>
      <c r="AU18" s="171">
        <f>SUMIF('BS(M)'!$K$13:$EP$13,AU$8,'BS(M)'!$K23:$EP23)</f>
        <v>0</v>
      </c>
      <c r="AV18" s="171">
        <f>SUMIF('BS(M)'!$K$13:$EP$13,AV$8,'BS(M)'!$K23:$EP23)</f>
        <v>0</v>
      </c>
      <c r="AW18" s="171">
        <f>SUMIF('BS(M)'!$K$13:$EP$13,AW$8,'BS(M)'!$K23:$EP23)</f>
        <v>0</v>
      </c>
      <c r="AX18" s="171">
        <f>SUMIF('BS(M)'!$K$13:$EP$13,AX$8,'BS(M)'!$K23:$EP23)</f>
        <v>0</v>
      </c>
      <c r="AY18" s="171">
        <f>SUMIF('BS(M)'!$K$13:$EP$13,AY$8,'BS(M)'!$K23:$EP23)</f>
        <v>0</v>
      </c>
      <c r="AZ18" s="171">
        <f>SUMIF('BS(M)'!$K$13:$EP$13,AZ$8,'BS(M)'!$K23:$EP23)</f>
        <v>0</v>
      </c>
      <c r="BA18" s="171">
        <f>SUMIF('BS(M)'!$K$13:$EP$13,BA$8,'BS(M)'!$K23:$EP23)</f>
        <v>0</v>
      </c>
      <c r="BB18" s="171">
        <f>SUMIF('BS(M)'!$K$13:$EP$13,BB$8,'BS(M)'!$K23:$EP23)</f>
        <v>0</v>
      </c>
      <c r="BC18" s="171">
        <f>SUMIF('BS(M)'!$K$13:$EP$13,BC$8,'BS(M)'!$K23:$EP23)</f>
        <v>0</v>
      </c>
      <c r="BD18" s="171">
        <f>SUMIF('BS(M)'!$K$13:$EP$13,BD$8,'BS(M)'!$K23:$EP23)</f>
        <v>0</v>
      </c>
      <c r="BE18" s="171">
        <f>SUMIF('BS(M)'!$K$13:$EP$13,BE$8,'BS(M)'!$K23:$EP23)</f>
        <v>0</v>
      </c>
      <c r="BF18" s="171">
        <f>SUMIF('BS(M)'!$K$13:$EP$13,BF$8,'BS(M)'!$K23:$EP23)</f>
        <v>0</v>
      </c>
      <c r="BG18" s="171">
        <f>SUMIF('BS(M)'!$K$13:$EP$13,BG$8,'BS(M)'!$K23:$EP23)</f>
        <v>0</v>
      </c>
      <c r="BH18" s="171">
        <f>SUMIF('BS(M)'!$K$13:$EP$13,BH$8,'BS(M)'!$K23:$EP23)</f>
        <v>0</v>
      </c>
      <c r="BI18" s="171">
        <f>SUMIF('BS(M)'!$K$13:$EP$13,BI$8,'BS(M)'!$K23:$EP23)</f>
        <v>0</v>
      </c>
      <c r="BJ18" s="171">
        <f>SUMIF('BS(M)'!$K$13:$EP$13,BJ$8,'BS(M)'!$K23:$EP23)</f>
        <v>0</v>
      </c>
      <c r="BK18" s="171">
        <f>SUMIF('BS(M)'!$K$13:$EP$13,BK$8,'BS(M)'!$K23:$EP23)</f>
        <v>0</v>
      </c>
      <c r="BL18" s="171">
        <f>SUMIF('BS(M)'!$K$13:$EP$13,BL$8,'BS(M)'!$K23:$EP23)</f>
        <v>0</v>
      </c>
      <c r="BM18" s="171">
        <f>SUMIF('BS(M)'!$K$13:$EP$13,BM$8,'BS(M)'!$K23:$EP23)</f>
        <v>0</v>
      </c>
      <c r="BN18" s="171">
        <f>SUMIF('BS(M)'!$K$13:$EP$13,BN$8,'BS(M)'!$K23:$EP23)</f>
        <v>0</v>
      </c>
      <c r="BO18" s="171">
        <f>SUMIF('BS(M)'!$K$13:$EP$13,BO$8,'BS(M)'!$K23:$EP23)</f>
        <v>0</v>
      </c>
      <c r="BP18" s="171">
        <f>SUMIF('BS(M)'!$K$13:$EP$13,BP$8,'BS(M)'!$K23:$EP23)</f>
        <v>0</v>
      </c>
      <c r="BQ18" s="171">
        <f>SUMIF('BS(M)'!$K$13:$EP$13,BQ$8,'BS(M)'!$K23:$EP23)</f>
        <v>0</v>
      </c>
      <c r="BR18" s="171">
        <f>SUMIF('BS(M)'!$K$13:$EP$13,BR$8,'BS(M)'!$K23:$EP23)</f>
        <v>0</v>
      </c>
      <c r="BS18" s="171">
        <f>SUMIF('BS(M)'!$K$13:$EP$13,BS$8,'BS(M)'!$K23:$EP23)</f>
        <v>0</v>
      </c>
      <c r="BT18" s="171">
        <f>SUMIF('BS(M)'!$K$13:$EP$13,BT$8,'BS(M)'!$K23:$EP23)</f>
        <v>0</v>
      </c>
      <c r="BU18" s="171">
        <f>SUMIF('BS(M)'!$K$13:$EP$13,BU$8,'BS(M)'!$K23:$EP23)</f>
        <v>0</v>
      </c>
      <c r="BV18" s="171">
        <f>SUMIF('BS(M)'!$K$13:$EP$13,BV$8,'BS(M)'!$K23:$EP23)</f>
        <v>0</v>
      </c>
      <c r="BW18" s="171">
        <f>SUMIF('BS(M)'!$K$13:$EP$13,BW$8,'BS(M)'!$K23:$EP23)</f>
        <v>0</v>
      </c>
      <c r="BX18" s="171">
        <f>SUMIF('BS(M)'!$K$13:$EP$13,BX$8,'BS(M)'!$K23:$EP23)</f>
        <v>0</v>
      </c>
      <c r="BY18" s="171">
        <f>SUMIF('BS(M)'!$K$13:$EP$13,BY$8,'BS(M)'!$K23:$EP23)</f>
        <v>0</v>
      </c>
      <c r="BZ18" s="171">
        <f>SUMIF('BS(M)'!$K$13:$EP$13,BZ$8,'BS(M)'!$K23:$EP23)</f>
        <v>0</v>
      </c>
      <c r="CA18" s="171">
        <f>SUMIF('BS(M)'!$K$13:$EP$13,CA$8,'BS(M)'!$K23:$EP23)</f>
        <v>0</v>
      </c>
      <c r="CB18" s="171">
        <f>SUMIF('BS(M)'!$K$13:$EP$13,CB$8,'BS(M)'!$K23:$EP23)</f>
        <v>0</v>
      </c>
      <c r="CC18" s="171">
        <f>SUMIF('BS(M)'!$K$13:$EP$13,CC$8,'BS(M)'!$K23:$EP23)</f>
        <v>0</v>
      </c>
      <c r="CD18" s="171">
        <f>SUMIF('BS(M)'!$K$13:$EP$13,CD$8,'BS(M)'!$K23:$EP23)</f>
        <v>0</v>
      </c>
      <c r="CE18" s="171">
        <f>SUMIF('BS(M)'!$K$13:$EP$13,CE$8,'BS(M)'!$K23:$EP23)</f>
        <v>0</v>
      </c>
      <c r="CF18" s="171">
        <f>SUMIF('BS(M)'!$K$13:$EP$13,CF$8,'BS(M)'!$K23:$EP23)</f>
        <v>0</v>
      </c>
      <c r="CG18" s="171">
        <f>SUMIF('BS(M)'!$K$13:$EP$13,CG$8,'BS(M)'!$K23:$EP23)</f>
        <v>0</v>
      </c>
      <c r="CH18" s="171">
        <f>SUMIF('BS(M)'!$K$13:$EP$13,CH$8,'BS(M)'!$K23:$EP23)</f>
        <v>0</v>
      </c>
      <c r="CI18" s="171">
        <f>SUMIF('BS(M)'!$K$13:$EP$13,CI$8,'BS(M)'!$K23:$EP23)</f>
        <v>0</v>
      </c>
      <c r="CJ18" s="171">
        <f>SUMIF('BS(M)'!$K$13:$EP$13,CJ$8,'BS(M)'!$K23:$EP23)</f>
        <v>0</v>
      </c>
      <c r="CK18" s="171">
        <f>SUMIF('BS(M)'!$K$13:$EP$13,CK$8,'BS(M)'!$K23:$EP23)</f>
        <v>0</v>
      </c>
      <c r="CL18" s="171">
        <f>SUMIF('BS(M)'!$K$13:$EP$13,CL$8,'BS(M)'!$K23:$EP23)</f>
        <v>0</v>
      </c>
      <c r="CM18" s="171">
        <f>SUMIF('BS(M)'!$K$13:$EP$13,CM$8,'BS(M)'!$K23:$EP23)</f>
        <v>0</v>
      </c>
      <c r="CN18" s="171">
        <f>SUMIF('BS(M)'!$K$13:$EP$13,CN$8,'BS(M)'!$K23:$EP23)</f>
        <v>0</v>
      </c>
      <c r="CO18" s="171">
        <f>SUMIF('BS(M)'!$K$13:$EP$13,CO$8,'BS(M)'!$K23:$EP23)</f>
        <v>0</v>
      </c>
      <c r="CP18" s="171">
        <f>SUMIF('BS(M)'!$K$13:$EP$13,CP$8,'BS(M)'!$K23:$EP23)</f>
        <v>0</v>
      </c>
      <c r="CQ18" s="171">
        <f>SUMIF('BS(M)'!$K$13:$EP$13,CQ$8,'BS(M)'!$K23:$EP23)</f>
        <v>0</v>
      </c>
      <c r="CR18" s="171">
        <f>SUMIF('BS(M)'!$K$13:$EP$13,CR$8,'BS(M)'!$K23:$EP23)</f>
        <v>0</v>
      </c>
      <c r="CS18" s="171">
        <f>SUMIF('BS(M)'!$K$13:$EP$13,CS$8,'BS(M)'!$K23:$EP23)</f>
        <v>0</v>
      </c>
      <c r="CT18" s="171">
        <f>SUMIF('BS(M)'!$K$13:$EP$13,CT$8,'BS(M)'!$K23:$EP23)</f>
        <v>0</v>
      </c>
      <c r="CU18" s="171">
        <f>SUMIF('BS(M)'!$K$13:$EP$13,CU$8,'BS(M)'!$K23:$EP23)</f>
        <v>0</v>
      </c>
      <c r="CV18" s="171">
        <f>SUMIF('BS(M)'!$K$13:$EP$13,CV$8,'BS(M)'!$K23:$EP23)</f>
        <v>0</v>
      </c>
      <c r="CW18" s="171">
        <f>SUMIF('BS(M)'!$K$13:$EP$13,CW$8,'BS(M)'!$K23:$EP23)</f>
        <v>0</v>
      </c>
      <c r="CX18" s="171">
        <f>SUMIF('BS(M)'!$K$13:$EP$13,CX$8,'BS(M)'!$K23:$EP23)</f>
        <v>0</v>
      </c>
      <c r="CY18" s="171">
        <f>SUMIF('BS(M)'!$K$13:$EP$13,CY$8,'BS(M)'!$K23:$EP23)</f>
        <v>0</v>
      </c>
      <c r="CZ18" s="171">
        <f>SUMIF('BS(M)'!$K$13:$EP$13,CZ$8,'BS(M)'!$K23:$EP23)</f>
        <v>0</v>
      </c>
      <c r="DA18" s="171">
        <f>SUMIF('BS(M)'!$K$13:$EP$13,DA$8,'BS(M)'!$K23:$EP23)</f>
        <v>0</v>
      </c>
      <c r="DB18" s="171">
        <f>SUMIF('BS(M)'!$K$13:$EP$13,DB$8,'BS(M)'!$K23:$EP23)</f>
        <v>0</v>
      </c>
      <c r="DC18" s="171">
        <f>SUMIF('BS(M)'!$K$13:$EP$13,DC$8,'BS(M)'!$K23:$EP23)</f>
        <v>0</v>
      </c>
      <c r="DD18" s="171">
        <f>SUMIF('BS(M)'!$K$13:$EP$13,DD$8,'BS(M)'!$K23:$EP23)</f>
        <v>0</v>
      </c>
      <c r="DE18" s="171">
        <f>SUMIF('BS(M)'!$K$13:$EP$13,DE$8,'BS(M)'!$K23:$EP23)</f>
        <v>0</v>
      </c>
      <c r="DF18" s="171">
        <f>SUMIF('BS(M)'!$K$13:$EP$13,DF$8,'BS(M)'!$K23:$EP23)</f>
        <v>0</v>
      </c>
      <c r="DG18" s="171">
        <f>SUMIF('BS(M)'!$K$13:$EP$13,DG$8,'BS(M)'!$K23:$EP23)</f>
        <v>0</v>
      </c>
      <c r="DH18" s="171">
        <f>SUMIF('BS(M)'!$K$13:$EP$13,DH$8,'BS(M)'!$K23:$EP23)</f>
        <v>0</v>
      </c>
      <c r="DI18" s="171">
        <f>SUMIF('BS(M)'!$K$13:$EP$13,DI$8,'BS(M)'!$K23:$EP23)</f>
        <v>0</v>
      </c>
      <c r="DJ18" s="171">
        <f>SUMIF('BS(M)'!$K$13:$EP$13,DJ$8,'BS(M)'!$K23:$EP23)</f>
        <v>0</v>
      </c>
      <c r="DK18" s="171">
        <f>SUMIF('BS(M)'!$K$13:$EP$13,DK$8,'BS(M)'!$K23:$EP23)</f>
        <v>0</v>
      </c>
      <c r="DL18" s="171">
        <f>SUMIF('BS(M)'!$K$13:$EP$13,DL$8,'BS(M)'!$K23:$EP23)</f>
        <v>0</v>
      </c>
      <c r="DM18" s="171">
        <f>SUMIF('BS(M)'!$K$13:$EP$13,DM$8,'BS(M)'!$K23:$EP23)</f>
        <v>0</v>
      </c>
      <c r="DN18" s="171">
        <f>SUMIF('BS(M)'!$K$13:$EP$13,DN$8,'BS(M)'!$K23:$EP23)</f>
        <v>0</v>
      </c>
      <c r="DO18" s="171">
        <f>SUMIF('BS(M)'!$K$13:$EP$13,DO$8,'BS(M)'!$K23:$EP23)</f>
        <v>0</v>
      </c>
      <c r="DP18" s="171">
        <f>SUMIF('BS(M)'!$K$13:$EP$13,DP$8,'BS(M)'!$K23:$EP23)</f>
        <v>0</v>
      </c>
      <c r="DQ18" s="171">
        <f>SUMIF('BS(M)'!$K$13:$EP$13,DQ$8,'BS(M)'!$K23:$EP23)</f>
        <v>0</v>
      </c>
      <c r="DR18" s="171">
        <f>SUMIF('BS(M)'!$K$13:$EP$13,DR$8,'BS(M)'!$K23:$EP23)</f>
        <v>0</v>
      </c>
      <c r="DS18" s="171">
        <f>SUMIF('BS(M)'!$K$13:$EP$13,DS$8,'BS(M)'!$K23:$EP23)</f>
        <v>0</v>
      </c>
      <c r="DT18" s="171">
        <f>SUMIF('BS(M)'!$K$13:$EP$13,DT$8,'BS(M)'!$K23:$EP23)</f>
        <v>0</v>
      </c>
      <c r="DU18" s="171">
        <f>SUMIF('BS(M)'!$K$13:$EP$13,DU$8,'BS(M)'!$K23:$EP23)</f>
        <v>0</v>
      </c>
    </row>
    <row r="19" spans="2:125">
      <c r="B19" s="223" t="s">
        <v>561</v>
      </c>
      <c r="C19" s="224"/>
      <c r="D19" s="224"/>
      <c r="E19" s="224"/>
      <c r="F19" s="224"/>
      <c r="G19" s="224"/>
      <c r="H19" s="225"/>
      <c r="I19" s="975"/>
      <c r="K19" s="216">
        <f t="shared" ref="K19:AP19" si="14">SUM(K20,K25)</f>
        <v>212956669.630532</v>
      </c>
      <c r="L19" s="216">
        <f t="shared" si="14"/>
        <v>200443237.67333335</v>
      </c>
      <c r="M19" s="216">
        <f t="shared" si="14"/>
        <v>200291949.20666668</v>
      </c>
      <c r="N19" s="216">
        <f t="shared" si="14"/>
        <v>200527616.47628334</v>
      </c>
      <c r="O19" s="216">
        <f t="shared" si="14"/>
        <v>215294638.45765832</v>
      </c>
      <c r="P19" s="216">
        <f t="shared" si="14"/>
        <v>215528224.14980009</v>
      </c>
      <c r="Q19" s="216">
        <f t="shared" si="14"/>
        <v>215297398.73966697</v>
      </c>
      <c r="R19" s="216">
        <f t="shared" si="14"/>
        <v>215528963.14662731</v>
      </c>
      <c r="S19" s="216">
        <f t="shared" si="14"/>
        <v>215300231.21462291</v>
      </c>
      <c r="T19" s="216">
        <f t="shared" si="14"/>
        <v>215529834.30568358</v>
      </c>
      <c r="U19" s="216">
        <f t="shared" si="14"/>
        <v>215303137.07157558</v>
      </c>
      <c r="V19" s="216">
        <f t="shared" si="14"/>
        <v>215530838.50947917</v>
      </c>
      <c r="W19" s="216">
        <f t="shared" si="14"/>
        <v>215306117.52717736</v>
      </c>
      <c r="X19" s="216">
        <f t="shared" si="14"/>
        <v>215531976.68458542</v>
      </c>
      <c r="Y19" s="216">
        <f t="shared" si="14"/>
        <v>215309173.82617864</v>
      </c>
      <c r="Z19" s="216">
        <f t="shared" si="14"/>
        <v>215533249.80212003</v>
      </c>
      <c r="AA19" s="216">
        <f t="shared" si="14"/>
        <v>215312307.24193308</v>
      </c>
      <c r="AB19" s="216">
        <f t="shared" si="14"/>
        <v>215534658.87824771</v>
      </c>
      <c r="AC19" s="216">
        <f t="shared" si="14"/>
        <v>215315519.07691413</v>
      </c>
      <c r="AD19" s="216">
        <f t="shared" si="14"/>
        <v>215536204.97469664</v>
      </c>
      <c r="AE19" s="216">
        <f t="shared" si="14"/>
        <v>0</v>
      </c>
      <c r="AF19" s="216">
        <f t="shared" si="14"/>
        <v>0</v>
      </c>
      <c r="AG19" s="216">
        <f t="shared" si="14"/>
        <v>0</v>
      </c>
      <c r="AH19" s="216">
        <f t="shared" si="14"/>
        <v>0</v>
      </c>
      <c r="AI19" s="216">
        <f t="shared" si="14"/>
        <v>0</v>
      </c>
      <c r="AJ19" s="216">
        <f t="shared" si="14"/>
        <v>0</v>
      </c>
      <c r="AK19" s="216">
        <f t="shared" si="14"/>
        <v>0</v>
      </c>
      <c r="AL19" s="216">
        <f t="shared" si="14"/>
        <v>0</v>
      </c>
      <c r="AM19" s="216">
        <f t="shared" si="14"/>
        <v>0</v>
      </c>
      <c r="AN19" s="216">
        <f t="shared" si="14"/>
        <v>0</v>
      </c>
      <c r="AO19" s="216">
        <f t="shared" si="14"/>
        <v>0</v>
      </c>
      <c r="AP19" s="216">
        <f t="shared" si="14"/>
        <v>0</v>
      </c>
      <c r="AQ19" s="216">
        <f t="shared" ref="AQ19:BV19" si="15">SUM(AQ20,AQ25)</f>
        <v>0</v>
      </c>
      <c r="AR19" s="216">
        <f t="shared" si="15"/>
        <v>0</v>
      </c>
      <c r="AS19" s="216">
        <f t="shared" si="15"/>
        <v>0</v>
      </c>
      <c r="AT19" s="216">
        <f t="shared" si="15"/>
        <v>0</v>
      </c>
      <c r="AU19" s="216">
        <f t="shared" si="15"/>
        <v>0</v>
      </c>
      <c r="AV19" s="216">
        <f t="shared" si="15"/>
        <v>0</v>
      </c>
      <c r="AW19" s="216">
        <f t="shared" si="15"/>
        <v>0</v>
      </c>
      <c r="AX19" s="216">
        <f t="shared" si="15"/>
        <v>0</v>
      </c>
      <c r="AY19" s="216">
        <f t="shared" si="15"/>
        <v>0</v>
      </c>
      <c r="AZ19" s="216">
        <f t="shared" si="15"/>
        <v>0</v>
      </c>
      <c r="BA19" s="216">
        <f t="shared" si="15"/>
        <v>0</v>
      </c>
      <c r="BB19" s="216">
        <f t="shared" si="15"/>
        <v>0</v>
      </c>
      <c r="BC19" s="216">
        <f t="shared" si="15"/>
        <v>0</v>
      </c>
      <c r="BD19" s="216">
        <f t="shared" si="15"/>
        <v>0</v>
      </c>
      <c r="BE19" s="216">
        <f t="shared" si="15"/>
        <v>0</v>
      </c>
      <c r="BF19" s="216">
        <f t="shared" si="15"/>
        <v>0</v>
      </c>
      <c r="BG19" s="216">
        <f t="shared" si="15"/>
        <v>0</v>
      </c>
      <c r="BH19" s="216">
        <f t="shared" si="15"/>
        <v>0</v>
      </c>
      <c r="BI19" s="216">
        <f t="shared" si="15"/>
        <v>0</v>
      </c>
      <c r="BJ19" s="216">
        <f t="shared" si="15"/>
        <v>0</v>
      </c>
      <c r="BK19" s="216">
        <f t="shared" si="15"/>
        <v>0</v>
      </c>
      <c r="BL19" s="216">
        <f t="shared" si="15"/>
        <v>0</v>
      </c>
      <c r="BM19" s="216">
        <f t="shared" si="15"/>
        <v>0</v>
      </c>
      <c r="BN19" s="216">
        <f t="shared" si="15"/>
        <v>0</v>
      </c>
      <c r="BO19" s="216">
        <f t="shared" si="15"/>
        <v>0</v>
      </c>
      <c r="BP19" s="216">
        <f t="shared" si="15"/>
        <v>0</v>
      </c>
      <c r="BQ19" s="216">
        <f t="shared" si="15"/>
        <v>0</v>
      </c>
      <c r="BR19" s="216">
        <f t="shared" si="15"/>
        <v>0</v>
      </c>
      <c r="BS19" s="216">
        <f t="shared" si="15"/>
        <v>0</v>
      </c>
      <c r="BT19" s="216">
        <f t="shared" si="15"/>
        <v>0</v>
      </c>
      <c r="BU19" s="216">
        <f t="shared" si="15"/>
        <v>0</v>
      </c>
      <c r="BV19" s="216">
        <f t="shared" si="15"/>
        <v>0</v>
      </c>
      <c r="BW19" s="216">
        <f t="shared" ref="BW19:DB19" si="16">SUM(BW20,BW25)</f>
        <v>0</v>
      </c>
      <c r="BX19" s="216">
        <f t="shared" si="16"/>
        <v>0</v>
      </c>
      <c r="BY19" s="216">
        <f t="shared" si="16"/>
        <v>0</v>
      </c>
      <c r="BZ19" s="216">
        <f t="shared" si="16"/>
        <v>0</v>
      </c>
      <c r="CA19" s="216">
        <f t="shared" si="16"/>
        <v>0</v>
      </c>
      <c r="CB19" s="216">
        <f t="shared" si="16"/>
        <v>0</v>
      </c>
      <c r="CC19" s="216">
        <f t="shared" si="16"/>
        <v>0</v>
      </c>
      <c r="CD19" s="216">
        <f t="shared" si="16"/>
        <v>0</v>
      </c>
      <c r="CE19" s="216">
        <f t="shared" si="16"/>
        <v>0</v>
      </c>
      <c r="CF19" s="216">
        <f t="shared" si="16"/>
        <v>0</v>
      </c>
      <c r="CG19" s="216">
        <f t="shared" si="16"/>
        <v>0</v>
      </c>
      <c r="CH19" s="216">
        <f t="shared" si="16"/>
        <v>0</v>
      </c>
      <c r="CI19" s="216">
        <f t="shared" si="16"/>
        <v>0</v>
      </c>
      <c r="CJ19" s="216">
        <f t="shared" si="16"/>
        <v>0</v>
      </c>
      <c r="CK19" s="216">
        <f t="shared" si="16"/>
        <v>0</v>
      </c>
      <c r="CL19" s="216">
        <f t="shared" si="16"/>
        <v>0</v>
      </c>
      <c r="CM19" s="216">
        <f t="shared" si="16"/>
        <v>0</v>
      </c>
      <c r="CN19" s="216">
        <f t="shared" si="16"/>
        <v>0</v>
      </c>
      <c r="CO19" s="216">
        <f t="shared" si="16"/>
        <v>0</v>
      </c>
      <c r="CP19" s="216">
        <f t="shared" si="16"/>
        <v>0</v>
      </c>
      <c r="CQ19" s="216">
        <f t="shared" si="16"/>
        <v>0</v>
      </c>
      <c r="CR19" s="216">
        <f t="shared" si="16"/>
        <v>0</v>
      </c>
      <c r="CS19" s="216">
        <f t="shared" si="16"/>
        <v>0</v>
      </c>
      <c r="CT19" s="216">
        <f t="shared" si="16"/>
        <v>0</v>
      </c>
      <c r="CU19" s="216">
        <f t="shared" si="16"/>
        <v>0</v>
      </c>
      <c r="CV19" s="216">
        <f t="shared" si="16"/>
        <v>0</v>
      </c>
      <c r="CW19" s="216">
        <f t="shared" si="16"/>
        <v>0</v>
      </c>
      <c r="CX19" s="216">
        <f t="shared" si="16"/>
        <v>0</v>
      </c>
      <c r="CY19" s="216">
        <f t="shared" si="16"/>
        <v>0</v>
      </c>
      <c r="CZ19" s="216">
        <f t="shared" si="16"/>
        <v>0</v>
      </c>
      <c r="DA19" s="216">
        <f t="shared" si="16"/>
        <v>0</v>
      </c>
      <c r="DB19" s="216">
        <f t="shared" si="16"/>
        <v>0</v>
      </c>
      <c r="DC19" s="216">
        <f t="shared" ref="DC19:DU19" si="17">SUM(DC20,DC25)</f>
        <v>0</v>
      </c>
      <c r="DD19" s="216">
        <f t="shared" si="17"/>
        <v>0</v>
      </c>
      <c r="DE19" s="216">
        <f t="shared" si="17"/>
        <v>0</v>
      </c>
      <c r="DF19" s="216">
        <f t="shared" si="17"/>
        <v>0</v>
      </c>
      <c r="DG19" s="216">
        <f t="shared" si="17"/>
        <v>0</v>
      </c>
      <c r="DH19" s="216">
        <f t="shared" si="17"/>
        <v>0</v>
      </c>
      <c r="DI19" s="216">
        <f t="shared" si="17"/>
        <v>0</v>
      </c>
      <c r="DJ19" s="216">
        <f t="shared" si="17"/>
        <v>0</v>
      </c>
      <c r="DK19" s="216">
        <f t="shared" si="17"/>
        <v>0</v>
      </c>
      <c r="DL19" s="216">
        <f t="shared" si="17"/>
        <v>0</v>
      </c>
      <c r="DM19" s="216">
        <f t="shared" si="17"/>
        <v>0</v>
      </c>
      <c r="DN19" s="216">
        <f t="shared" si="17"/>
        <v>0</v>
      </c>
      <c r="DO19" s="216">
        <f t="shared" si="17"/>
        <v>0</v>
      </c>
      <c r="DP19" s="216">
        <f t="shared" si="17"/>
        <v>0</v>
      </c>
      <c r="DQ19" s="216">
        <f t="shared" si="17"/>
        <v>0</v>
      </c>
      <c r="DR19" s="216">
        <f t="shared" si="17"/>
        <v>0</v>
      </c>
      <c r="DS19" s="216">
        <f t="shared" si="17"/>
        <v>0</v>
      </c>
      <c r="DT19" s="216">
        <f t="shared" si="17"/>
        <v>0</v>
      </c>
      <c r="DU19" s="216">
        <f t="shared" si="17"/>
        <v>0</v>
      </c>
    </row>
    <row r="20" spans="2:125">
      <c r="B20" s="218"/>
      <c r="C20" s="158" t="s">
        <v>562</v>
      </c>
      <c r="D20" s="159"/>
      <c r="E20" s="159"/>
      <c r="F20" s="159"/>
      <c r="G20" s="159"/>
      <c r="H20" s="160"/>
      <c r="I20" s="973"/>
      <c r="J20" s="98"/>
      <c r="K20" s="162">
        <f t="shared" ref="K20:AP20" si="18">SUM(K21:K24)</f>
        <v>12856669.630531998</v>
      </c>
      <c r="L20" s="162">
        <f t="shared" si="18"/>
        <v>343237.67333333334</v>
      </c>
      <c r="M20" s="162">
        <f t="shared" si="18"/>
        <v>191949.20666666667</v>
      </c>
      <c r="N20" s="162">
        <f t="shared" si="18"/>
        <v>427616.47628333332</v>
      </c>
      <c r="O20" s="162">
        <f t="shared" si="18"/>
        <v>194638.4576583333</v>
      </c>
      <c r="P20" s="162">
        <f t="shared" si="18"/>
        <v>428224.14980008331</v>
      </c>
      <c r="Q20" s="162">
        <f t="shared" si="18"/>
        <v>197398.73966695834</v>
      </c>
      <c r="R20" s="162">
        <f t="shared" si="18"/>
        <v>428963.14662730205</v>
      </c>
      <c r="S20" s="162">
        <f t="shared" si="18"/>
        <v>200231.21462292396</v>
      </c>
      <c r="T20" s="162">
        <f t="shared" si="18"/>
        <v>429834.30568359699</v>
      </c>
      <c r="U20" s="162">
        <f t="shared" si="18"/>
        <v>203137.07157556948</v>
      </c>
      <c r="V20" s="162">
        <f t="shared" si="18"/>
        <v>430838.50947916147</v>
      </c>
      <c r="W20" s="162">
        <f t="shared" si="18"/>
        <v>206117.52717736518</v>
      </c>
      <c r="X20" s="162">
        <f t="shared" si="18"/>
        <v>431976.68458540895</v>
      </c>
      <c r="Y20" s="162">
        <f t="shared" si="18"/>
        <v>209173.82617864243</v>
      </c>
      <c r="Z20" s="162">
        <f t="shared" si="18"/>
        <v>433249.80212003132</v>
      </c>
      <c r="AA20" s="162">
        <f t="shared" si="18"/>
        <v>212307.24193307932</v>
      </c>
      <c r="AB20" s="162">
        <f t="shared" si="18"/>
        <v>434658.87824770249</v>
      </c>
      <c r="AC20" s="162">
        <f t="shared" si="18"/>
        <v>215519.076914142</v>
      </c>
      <c r="AD20" s="162">
        <f t="shared" si="18"/>
        <v>436204.97469664802</v>
      </c>
      <c r="AE20" s="162">
        <f t="shared" si="18"/>
        <v>0</v>
      </c>
      <c r="AF20" s="162">
        <f t="shared" si="18"/>
        <v>0</v>
      </c>
      <c r="AG20" s="162">
        <f t="shared" si="18"/>
        <v>0</v>
      </c>
      <c r="AH20" s="162">
        <f t="shared" si="18"/>
        <v>0</v>
      </c>
      <c r="AI20" s="162">
        <f t="shared" si="18"/>
        <v>0</v>
      </c>
      <c r="AJ20" s="162">
        <f t="shared" si="18"/>
        <v>0</v>
      </c>
      <c r="AK20" s="162">
        <f t="shared" si="18"/>
        <v>0</v>
      </c>
      <c r="AL20" s="162">
        <f t="shared" si="18"/>
        <v>0</v>
      </c>
      <c r="AM20" s="162">
        <f t="shared" si="18"/>
        <v>0</v>
      </c>
      <c r="AN20" s="162">
        <f t="shared" si="18"/>
        <v>0</v>
      </c>
      <c r="AO20" s="162">
        <f t="shared" si="18"/>
        <v>0</v>
      </c>
      <c r="AP20" s="162">
        <f t="shared" si="18"/>
        <v>0</v>
      </c>
      <c r="AQ20" s="162">
        <f t="shared" ref="AQ20:BV20" si="19">SUM(AQ21:AQ24)</f>
        <v>0</v>
      </c>
      <c r="AR20" s="162">
        <f t="shared" si="19"/>
        <v>0</v>
      </c>
      <c r="AS20" s="162">
        <f t="shared" si="19"/>
        <v>0</v>
      </c>
      <c r="AT20" s="162">
        <f t="shared" si="19"/>
        <v>0</v>
      </c>
      <c r="AU20" s="162">
        <f t="shared" si="19"/>
        <v>0</v>
      </c>
      <c r="AV20" s="162">
        <f t="shared" si="19"/>
        <v>0</v>
      </c>
      <c r="AW20" s="162">
        <f t="shared" si="19"/>
        <v>0</v>
      </c>
      <c r="AX20" s="162">
        <f t="shared" si="19"/>
        <v>0</v>
      </c>
      <c r="AY20" s="162">
        <f t="shared" si="19"/>
        <v>0</v>
      </c>
      <c r="AZ20" s="162">
        <f t="shared" si="19"/>
        <v>0</v>
      </c>
      <c r="BA20" s="162">
        <f t="shared" si="19"/>
        <v>0</v>
      </c>
      <c r="BB20" s="162">
        <f t="shared" si="19"/>
        <v>0</v>
      </c>
      <c r="BC20" s="162">
        <f t="shared" si="19"/>
        <v>0</v>
      </c>
      <c r="BD20" s="162">
        <f t="shared" si="19"/>
        <v>0</v>
      </c>
      <c r="BE20" s="162">
        <f t="shared" si="19"/>
        <v>0</v>
      </c>
      <c r="BF20" s="162">
        <f t="shared" si="19"/>
        <v>0</v>
      </c>
      <c r="BG20" s="162">
        <f t="shared" si="19"/>
        <v>0</v>
      </c>
      <c r="BH20" s="162">
        <f t="shared" si="19"/>
        <v>0</v>
      </c>
      <c r="BI20" s="162">
        <f t="shared" si="19"/>
        <v>0</v>
      </c>
      <c r="BJ20" s="162">
        <f t="shared" si="19"/>
        <v>0</v>
      </c>
      <c r="BK20" s="162">
        <f t="shared" si="19"/>
        <v>0</v>
      </c>
      <c r="BL20" s="162">
        <f t="shared" si="19"/>
        <v>0</v>
      </c>
      <c r="BM20" s="162">
        <f t="shared" si="19"/>
        <v>0</v>
      </c>
      <c r="BN20" s="162">
        <f t="shared" si="19"/>
        <v>0</v>
      </c>
      <c r="BO20" s="162">
        <f t="shared" si="19"/>
        <v>0</v>
      </c>
      <c r="BP20" s="162">
        <f t="shared" si="19"/>
        <v>0</v>
      </c>
      <c r="BQ20" s="162">
        <f t="shared" si="19"/>
        <v>0</v>
      </c>
      <c r="BR20" s="162">
        <f t="shared" si="19"/>
        <v>0</v>
      </c>
      <c r="BS20" s="162">
        <f t="shared" si="19"/>
        <v>0</v>
      </c>
      <c r="BT20" s="162">
        <f t="shared" si="19"/>
        <v>0</v>
      </c>
      <c r="BU20" s="162">
        <f t="shared" si="19"/>
        <v>0</v>
      </c>
      <c r="BV20" s="162">
        <f t="shared" si="19"/>
        <v>0</v>
      </c>
      <c r="BW20" s="162">
        <f t="shared" ref="BW20:DB20" si="20">SUM(BW21:BW24)</f>
        <v>0</v>
      </c>
      <c r="BX20" s="162">
        <f t="shared" si="20"/>
        <v>0</v>
      </c>
      <c r="BY20" s="162">
        <f t="shared" si="20"/>
        <v>0</v>
      </c>
      <c r="BZ20" s="162">
        <f t="shared" si="20"/>
        <v>0</v>
      </c>
      <c r="CA20" s="162">
        <f t="shared" si="20"/>
        <v>0</v>
      </c>
      <c r="CB20" s="162">
        <f t="shared" si="20"/>
        <v>0</v>
      </c>
      <c r="CC20" s="162">
        <f t="shared" si="20"/>
        <v>0</v>
      </c>
      <c r="CD20" s="162">
        <f t="shared" si="20"/>
        <v>0</v>
      </c>
      <c r="CE20" s="162">
        <f t="shared" si="20"/>
        <v>0</v>
      </c>
      <c r="CF20" s="162">
        <f t="shared" si="20"/>
        <v>0</v>
      </c>
      <c r="CG20" s="162">
        <f t="shared" si="20"/>
        <v>0</v>
      </c>
      <c r="CH20" s="162">
        <f t="shared" si="20"/>
        <v>0</v>
      </c>
      <c r="CI20" s="162">
        <f t="shared" si="20"/>
        <v>0</v>
      </c>
      <c r="CJ20" s="162">
        <f t="shared" si="20"/>
        <v>0</v>
      </c>
      <c r="CK20" s="162">
        <f t="shared" si="20"/>
        <v>0</v>
      </c>
      <c r="CL20" s="162">
        <f t="shared" si="20"/>
        <v>0</v>
      </c>
      <c r="CM20" s="162">
        <f t="shared" si="20"/>
        <v>0</v>
      </c>
      <c r="CN20" s="162">
        <f t="shared" si="20"/>
        <v>0</v>
      </c>
      <c r="CO20" s="162">
        <f t="shared" si="20"/>
        <v>0</v>
      </c>
      <c r="CP20" s="162">
        <f t="shared" si="20"/>
        <v>0</v>
      </c>
      <c r="CQ20" s="162">
        <f t="shared" si="20"/>
        <v>0</v>
      </c>
      <c r="CR20" s="162">
        <f t="shared" si="20"/>
        <v>0</v>
      </c>
      <c r="CS20" s="162">
        <f t="shared" si="20"/>
        <v>0</v>
      </c>
      <c r="CT20" s="162">
        <f t="shared" si="20"/>
        <v>0</v>
      </c>
      <c r="CU20" s="162">
        <f t="shared" si="20"/>
        <v>0</v>
      </c>
      <c r="CV20" s="162">
        <f t="shared" si="20"/>
        <v>0</v>
      </c>
      <c r="CW20" s="162">
        <f t="shared" si="20"/>
        <v>0</v>
      </c>
      <c r="CX20" s="162">
        <f t="shared" si="20"/>
        <v>0</v>
      </c>
      <c r="CY20" s="162">
        <f t="shared" si="20"/>
        <v>0</v>
      </c>
      <c r="CZ20" s="162">
        <f t="shared" si="20"/>
        <v>0</v>
      </c>
      <c r="DA20" s="162">
        <f t="shared" si="20"/>
        <v>0</v>
      </c>
      <c r="DB20" s="162">
        <f t="shared" si="20"/>
        <v>0</v>
      </c>
      <c r="DC20" s="162">
        <f t="shared" ref="DC20:DU20" si="21">SUM(DC21:DC24)</f>
        <v>0</v>
      </c>
      <c r="DD20" s="162">
        <f t="shared" si="21"/>
        <v>0</v>
      </c>
      <c r="DE20" s="162">
        <f t="shared" si="21"/>
        <v>0</v>
      </c>
      <c r="DF20" s="162">
        <f t="shared" si="21"/>
        <v>0</v>
      </c>
      <c r="DG20" s="162">
        <f t="shared" si="21"/>
        <v>0</v>
      </c>
      <c r="DH20" s="162">
        <f t="shared" si="21"/>
        <v>0</v>
      </c>
      <c r="DI20" s="162">
        <f t="shared" si="21"/>
        <v>0</v>
      </c>
      <c r="DJ20" s="162">
        <f t="shared" si="21"/>
        <v>0</v>
      </c>
      <c r="DK20" s="162">
        <f t="shared" si="21"/>
        <v>0</v>
      </c>
      <c r="DL20" s="162">
        <f t="shared" si="21"/>
        <v>0</v>
      </c>
      <c r="DM20" s="162">
        <f t="shared" si="21"/>
        <v>0</v>
      </c>
      <c r="DN20" s="162">
        <f t="shared" si="21"/>
        <v>0</v>
      </c>
      <c r="DO20" s="162">
        <f t="shared" si="21"/>
        <v>0</v>
      </c>
      <c r="DP20" s="162">
        <f t="shared" si="21"/>
        <v>0</v>
      </c>
      <c r="DQ20" s="162">
        <f t="shared" si="21"/>
        <v>0</v>
      </c>
      <c r="DR20" s="162">
        <f t="shared" si="21"/>
        <v>0</v>
      </c>
      <c r="DS20" s="162">
        <f t="shared" si="21"/>
        <v>0</v>
      </c>
      <c r="DT20" s="162">
        <f t="shared" si="21"/>
        <v>0</v>
      </c>
      <c r="DU20" s="162">
        <f t="shared" si="21"/>
        <v>0</v>
      </c>
    </row>
    <row r="21" spans="2:125">
      <c r="B21" s="218"/>
      <c r="C21" s="163"/>
      <c r="D21" s="164" t="s">
        <v>567</v>
      </c>
      <c r="E21" s="165"/>
      <c r="F21" s="165"/>
      <c r="G21" s="165"/>
      <c r="H21" s="166"/>
      <c r="I21" s="976"/>
      <c r="J21" s="98"/>
      <c r="K21" s="168">
        <f>SUMIF('BS(M)'!$K$13:$EP$13,K$8,'BS(M)'!$K26:$EP26)</f>
        <v>0</v>
      </c>
      <c r="L21" s="168">
        <f>SUMIF('BS(M)'!$K$13:$EP$13,L$8,'BS(M)'!$K26:$EP26)</f>
        <v>0</v>
      </c>
      <c r="M21" s="168">
        <f>SUMIF('BS(M)'!$K$13:$EP$13,M$8,'BS(M)'!$K26:$EP26)</f>
        <v>0</v>
      </c>
      <c r="N21" s="168">
        <f>SUMIF('BS(M)'!$K$13:$EP$13,N$8,'BS(M)'!$K26:$EP26)</f>
        <v>0</v>
      </c>
      <c r="O21" s="168">
        <f>SUMIF('BS(M)'!$K$13:$EP$13,O$8,'BS(M)'!$K26:$EP26)</f>
        <v>0</v>
      </c>
      <c r="P21" s="168">
        <f>SUMIF('BS(M)'!$K$13:$EP$13,P$8,'BS(M)'!$K26:$EP26)</f>
        <v>0</v>
      </c>
      <c r="Q21" s="168">
        <f>SUMIF('BS(M)'!$K$13:$EP$13,Q$8,'BS(M)'!$K26:$EP26)</f>
        <v>0</v>
      </c>
      <c r="R21" s="168">
        <f>SUMIF('BS(M)'!$K$13:$EP$13,R$8,'BS(M)'!$K26:$EP26)</f>
        <v>0</v>
      </c>
      <c r="S21" s="168">
        <f>SUMIF('BS(M)'!$K$13:$EP$13,S$8,'BS(M)'!$K26:$EP26)</f>
        <v>0</v>
      </c>
      <c r="T21" s="168">
        <f>SUMIF('BS(M)'!$K$13:$EP$13,T$8,'BS(M)'!$K26:$EP26)</f>
        <v>0</v>
      </c>
      <c r="U21" s="168">
        <f>SUMIF('BS(M)'!$K$13:$EP$13,U$8,'BS(M)'!$K26:$EP26)</f>
        <v>0</v>
      </c>
      <c r="V21" s="168">
        <f>SUMIF('BS(M)'!$K$13:$EP$13,V$8,'BS(M)'!$K26:$EP26)</f>
        <v>0</v>
      </c>
      <c r="W21" s="168">
        <f>SUMIF('BS(M)'!$K$13:$EP$13,W$8,'BS(M)'!$K26:$EP26)</f>
        <v>0</v>
      </c>
      <c r="X21" s="168">
        <f>SUMIF('BS(M)'!$K$13:$EP$13,X$8,'BS(M)'!$K26:$EP26)</f>
        <v>0</v>
      </c>
      <c r="Y21" s="168">
        <f>SUMIF('BS(M)'!$K$13:$EP$13,Y$8,'BS(M)'!$K26:$EP26)</f>
        <v>0</v>
      </c>
      <c r="Z21" s="168">
        <f>SUMIF('BS(M)'!$K$13:$EP$13,Z$8,'BS(M)'!$K26:$EP26)</f>
        <v>0</v>
      </c>
      <c r="AA21" s="168">
        <f>SUMIF('BS(M)'!$K$13:$EP$13,AA$8,'BS(M)'!$K26:$EP26)</f>
        <v>0</v>
      </c>
      <c r="AB21" s="168">
        <f>SUMIF('BS(M)'!$K$13:$EP$13,AB$8,'BS(M)'!$K26:$EP26)</f>
        <v>0</v>
      </c>
      <c r="AC21" s="168">
        <f>SUMIF('BS(M)'!$K$13:$EP$13,AC$8,'BS(M)'!$K26:$EP26)</f>
        <v>0</v>
      </c>
      <c r="AD21" s="168">
        <f>SUMIF('BS(M)'!$K$13:$EP$13,AD$8,'BS(M)'!$K26:$EP26)</f>
        <v>0</v>
      </c>
      <c r="AE21" s="168">
        <f>SUMIF('BS(M)'!$K$13:$EP$13,AE$8,'BS(M)'!$K26:$EP26)</f>
        <v>0</v>
      </c>
      <c r="AF21" s="168">
        <f>SUMIF('BS(M)'!$K$13:$EP$13,AF$8,'BS(M)'!$K26:$EP26)</f>
        <v>0</v>
      </c>
      <c r="AG21" s="168">
        <f>SUMIF('BS(M)'!$K$13:$EP$13,AG$8,'BS(M)'!$K26:$EP26)</f>
        <v>0</v>
      </c>
      <c r="AH21" s="168">
        <f>SUMIF('BS(M)'!$K$13:$EP$13,AH$8,'BS(M)'!$K26:$EP26)</f>
        <v>0</v>
      </c>
      <c r="AI21" s="168">
        <f>SUMIF('BS(M)'!$K$13:$EP$13,AI$8,'BS(M)'!$K26:$EP26)</f>
        <v>0</v>
      </c>
      <c r="AJ21" s="168">
        <f>SUMIF('BS(M)'!$K$13:$EP$13,AJ$8,'BS(M)'!$K26:$EP26)</f>
        <v>0</v>
      </c>
      <c r="AK21" s="168">
        <f>SUMIF('BS(M)'!$K$13:$EP$13,AK$8,'BS(M)'!$K26:$EP26)</f>
        <v>0</v>
      </c>
      <c r="AL21" s="168">
        <f>SUMIF('BS(M)'!$K$13:$EP$13,AL$8,'BS(M)'!$K26:$EP26)</f>
        <v>0</v>
      </c>
      <c r="AM21" s="168">
        <f>SUMIF('BS(M)'!$K$13:$EP$13,AM$8,'BS(M)'!$K26:$EP26)</f>
        <v>0</v>
      </c>
      <c r="AN21" s="168">
        <f>SUMIF('BS(M)'!$K$13:$EP$13,AN$8,'BS(M)'!$K26:$EP26)</f>
        <v>0</v>
      </c>
      <c r="AO21" s="168">
        <f>SUMIF('BS(M)'!$K$13:$EP$13,AO$8,'BS(M)'!$K26:$EP26)</f>
        <v>0</v>
      </c>
      <c r="AP21" s="168">
        <f>SUMIF('BS(M)'!$K$13:$EP$13,AP$8,'BS(M)'!$K26:$EP26)</f>
        <v>0</v>
      </c>
      <c r="AQ21" s="168">
        <f>SUMIF('BS(M)'!$K$13:$EP$13,AQ$8,'BS(M)'!$K26:$EP26)</f>
        <v>0</v>
      </c>
      <c r="AR21" s="168">
        <f>SUMIF('BS(M)'!$K$13:$EP$13,AR$8,'BS(M)'!$K26:$EP26)</f>
        <v>0</v>
      </c>
      <c r="AS21" s="168">
        <f>SUMIF('BS(M)'!$K$13:$EP$13,AS$8,'BS(M)'!$K26:$EP26)</f>
        <v>0</v>
      </c>
      <c r="AT21" s="168">
        <f>SUMIF('BS(M)'!$K$13:$EP$13,AT$8,'BS(M)'!$K26:$EP26)</f>
        <v>0</v>
      </c>
      <c r="AU21" s="168">
        <f>SUMIF('BS(M)'!$K$13:$EP$13,AU$8,'BS(M)'!$K26:$EP26)</f>
        <v>0</v>
      </c>
      <c r="AV21" s="168">
        <f>SUMIF('BS(M)'!$K$13:$EP$13,AV$8,'BS(M)'!$K26:$EP26)</f>
        <v>0</v>
      </c>
      <c r="AW21" s="168">
        <f>SUMIF('BS(M)'!$K$13:$EP$13,AW$8,'BS(M)'!$K26:$EP26)</f>
        <v>0</v>
      </c>
      <c r="AX21" s="168">
        <f>SUMIF('BS(M)'!$K$13:$EP$13,AX$8,'BS(M)'!$K26:$EP26)</f>
        <v>0</v>
      </c>
      <c r="AY21" s="168">
        <f>SUMIF('BS(M)'!$K$13:$EP$13,AY$8,'BS(M)'!$K26:$EP26)</f>
        <v>0</v>
      </c>
      <c r="AZ21" s="168">
        <f>SUMIF('BS(M)'!$K$13:$EP$13,AZ$8,'BS(M)'!$K26:$EP26)</f>
        <v>0</v>
      </c>
      <c r="BA21" s="168">
        <f>SUMIF('BS(M)'!$K$13:$EP$13,BA$8,'BS(M)'!$K26:$EP26)</f>
        <v>0</v>
      </c>
      <c r="BB21" s="168">
        <f>SUMIF('BS(M)'!$K$13:$EP$13,BB$8,'BS(M)'!$K26:$EP26)</f>
        <v>0</v>
      </c>
      <c r="BC21" s="168">
        <f>SUMIF('BS(M)'!$K$13:$EP$13,BC$8,'BS(M)'!$K26:$EP26)</f>
        <v>0</v>
      </c>
      <c r="BD21" s="168">
        <f>SUMIF('BS(M)'!$K$13:$EP$13,BD$8,'BS(M)'!$K26:$EP26)</f>
        <v>0</v>
      </c>
      <c r="BE21" s="168">
        <f>SUMIF('BS(M)'!$K$13:$EP$13,BE$8,'BS(M)'!$K26:$EP26)</f>
        <v>0</v>
      </c>
      <c r="BF21" s="168">
        <f>SUMIF('BS(M)'!$K$13:$EP$13,BF$8,'BS(M)'!$K26:$EP26)</f>
        <v>0</v>
      </c>
      <c r="BG21" s="168">
        <f>SUMIF('BS(M)'!$K$13:$EP$13,BG$8,'BS(M)'!$K26:$EP26)</f>
        <v>0</v>
      </c>
      <c r="BH21" s="168">
        <f>SUMIF('BS(M)'!$K$13:$EP$13,BH$8,'BS(M)'!$K26:$EP26)</f>
        <v>0</v>
      </c>
      <c r="BI21" s="168">
        <f>SUMIF('BS(M)'!$K$13:$EP$13,BI$8,'BS(M)'!$K26:$EP26)</f>
        <v>0</v>
      </c>
      <c r="BJ21" s="168">
        <f>SUMIF('BS(M)'!$K$13:$EP$13,BJ$8,'BS(M)'!$K26:$EP26)</f>
        <v>0</v>
      </c>
      <c r="BK21" s="168">
        <f>SUMIF('BS(M)'!$K$13:$EP$13,BK$8,'BS(M)'!$K26:$EP26)</f>
        <v>0</v>
      </c>
      <c r="BL21" s="168">
        <f>SUMIF('BS(M)'!$K$13:$EP$13,BL$8,'BS(M)'!$K26:$EP26)</f>
        <v>0</v>
      </c>
      <c r="BM21" s="168">
        <f>SUMIF('BS(M)'!$K$13:$EP$13,BM$8,'BS(M)'!$K26:$EP26)</f>
        <v>0</v>
      </c>
      <c r="BN21" s="168">
        <f>SUMIF('BS(M)'!$K$13:$EP$13,BN$8,'BS(M)'!$K26:$EP26)</f>
        <v>0</v>
      </c>
      <c r="BO21" s="168">
        <f>SUMIF('BS(M)'!$K$13:$EP$13,BO$8,'BS(M)'!$K26:$EP26)</f>
        <v>0</v>
      </c>
      <c r="BP21" s="168">
        <f>SUMIF('BS(M)'!$K$13:$EP$13,BP$8,'BS(M)'!$K26:$EP26)</f>
        <v>0</v>
      </c>
      <c r="BQ21" s="168">
        <f>SUMIF('BS(M)'!$K$13:$EP$13,BQ$8,'BS(M)'!$K26:$EP26)</f>
        <v>0</v>
      </c>
      <c r="BR21" s="168">
        <f>SUMIF('BS(M)'!$K$13:$EP$13,BR$8,'BS(M)'!$K26:$EP26)</f>
        <v>0</v>
      </c>
      <c r="BS21" s="168">
        <f>SUMIF('BS(M)'!$K$13:$EP$13,BS$8,'BS(M)'!$K26:$EP26)</f>
        <v>0</v>
      </c>
      <c r="BT21" s="168">
        <f>SUMIF('BS(M)'!$K$13:$EP$13,BT$8,'BS(M)'!$K26:$EP26)</f>
        <v>0</v>
      </c>
      <c r="BU21" s="168">
        <f>SUMIF('BS(M)'!$K$13:$EP$13,BU$8,'BS(M)'!$K26:$EP26)</f>
        <v>0</v>
      </c>
      <c r="BV21" s="168">
        <f>SUMIF('BS(M)'!$K$13:$EP$13,BV$8,'BS(M)'!$K26:$EP26)</f>
        <v>0</v>
      </c>
      <c r="BW21" s="168">
        <f>SUMIF('BS(M)'!$K$13:$EP$13,BW$8,'BS(M)'!$K26:$EP26)</f>
        <v>0</v>
      </c>
      <c r="BX21" s="168">
        <f>SUMIF('BS(M)'!$K$13:$EP$13,BX$8,'BS(M)'!$K26:$EP26)</f>
        <v>0</v>
      </c>
      <c r="BY21" s="168">
        <f>SUMIF('BS(M)'!$K$13:$EP$13,BY$8,'BS(M)'!$K26:$EP26)</f>
        <v>0</v>
      </c>
      <c r="BZ21" s="168">
        <f>SUMIF('BS(M)'!$K$13:$EP$13,BZ$8,'BS(M)'!$K26:$EP26)</f>
        <v>0</v>
      </c>
      <c r="CA21" s="168">
        <f>SUMIF('BS(M)'!$K$13:$EP$13,CA$8,'BS(M)'!$K26:$EP26)</f>
        <v>0</v>
      </c>
      <c r="CB21" s="168">
        <f>SUMIF('BS(M)'!$K$13:$EP$13,CB$8,'BS(M)'!$K26:$EP26)</f>
        <v>0</v>
      </c>
      <c r="CC21" s="168">
        <f>SUMIF('BS(M)'!$K$13:$EP$13,CC$8,'BS(M)'!$K26:$EP26)</f>
        <v>0</v>
      </c>
      <c r="CD21" s="168">
        <f>SUMIF('BS(M)'!$K$13:$EP$13,CD$8,'BS(M)'!$K26:$EP26)</f>
        <v>0</v>
      </c>
      <c r="CE21" s="168">
        <f>SUMIF('BS(M)'!$K$13:$EP$13,CE$8,'BS(M)'!$K26:$EP26)</f>
        <v>0</v>
      </c>
      <c r="CF21" s="168">
        <f>SUMIF('BS(M)'!$K$13:$EP$13,CF$8,'BS(M)'!$K26:$EP26)</f>
        <v>0</v>
      </c>
      <c r="CG21" s="168">
        <f>SUMIF('BS(M)'!$K$13:$EP$13,CG$8,'BS(M)'!$K26:$EP26)</f>
        <v>0</v>
      </c>
      <c r="CH21" s="168">
        <f>SUMIF('BS(M)'!$K$13:$EP$13,CH$8,'BS(M)'!$K26:$EP26)</f>
        <v>0</v>
      </c>
      <c r="CI21" s="168">
        <f>SUMIF('BS(M)'!$K$13:$EP$13,CI$8,'BS(M)'!$K26:$EP26)</f>
        <v>0</v>
      </c>
      <c r="CJ21" s="168">
        <f>SUMIF('BS(M)'!$K$13:$EP$13,CJ$8,'BS(M)'!$K26:$EP26)</f>
        <v>0</v>
      </c>
      <c r="CK21" s="168">
        <f>SUMIF('BS(M)'!$K$13:$EP$13,CK$8,'BS(M)'!$K26:$EP26)</f>
        <v>0</v>
      </c>
      <c r="CL21" s="168">
        <f>SUMIF('BS(M)'!$K$13:$EP$13,CL$8,'BS(M)'!$K26:$EP26)</f>
        <v>0</v>
      </c>
      <c r="CM21" s="168">
        <f>SUMIF('BS(M)'!$K$13:$EP$13,CM$8,'BS(M)'!$K26:$EP26)</f>
        <v>0</v>
      </c>
      <c r="CN21" s="168">
        <f>SUMIF('BS(M)'!$K$13:$EP$13,CN$8,'BS(M)'!$K26:$EP26)</f>
        <v>0</v>
      </c>
      <c r="CO21" s="168">
        <f>SUMIF('BS(M)'!$K$13:$EP$13,CO$8,'BS(M)'!$K26:$EP26)</f>
        <v>0</v>
      </c>
      <c r="CP21" s="168">
        <f>SUMIF('BS(M)'!$K$13:$EP$13,CP$8,'BS(M)'!$K26:$EP26)</f>
        <v>0</v>
      </c>
      <c r="CQ21" s="168">
        <f>SUMIF('BS(M)'!$K$13:$EP$13,CQ$8,'BS(M)'!$K26:$EP26)</f>
        <v>0</v>
      </c>
      <c r="CR21" s="168">
        <f>SUMIF('BS(M)'!$K$13:$EP$13,CR$8,'BS(M)'!$K26:$EP26)</f>
        <v>0</v>
      </c>
      <c r="CS21" s="168">
        <f>SUMIF('BS(M)'!$K$13:$EP$13,CS$8,'BS(M)'!$K26:$EP26)</f>
        <v>0</v>
      </c>
      <c r="CT21" s="168">
        <f>SUMIF('BS(M)'!$K$13:$EP$13,CT$8,'BS(M)'!$K26:$EP26)</f>
        <v>0</v>
      </c>
      <c r="CU21" s="168">
        <f>SUMIF('BS(M)'!$K$13:$EP$13,CU$8,'BS(M)'!$K26:$EP26)</f>
        <v>0</v>
      </c>
      <c r="CV21" s="168">
        <f>SUMIF('BS(M)'!$K$13:$EP$13,CV$8,'BS(M)'!$K26:$EP26)</f>
        <v>0</v>
      </c>
      <c r="CW21" s="168">
        <f>SUMIF('BS(M)'!$K$13:$EP$13,CW$8,'BS(M)'!$K26:$EP26)</f>
        <v>0</v>
      </c>
      <c r="CX21" s="168">
        <f>SUMIF('BS(M)'!$K$13:$EP$13,CX$8,'BS(M)'!$K26:$EP26)</f>
        <v>0</v>
      </c>
      <c r="CY21" s="168">
        <f>SUMIF('BS(M)'!$K$13:$EP$13,CY$8,'BS(M)'!$K26:$EP26)</f>
        <v>0</v>
      </c>
      <c r="CZ21" s="168">
        <f>SUMIF('BS(M)'!$K$13:$EP$13,CZ$8,'BS(M)'!$K26:$EP26)</f>
        <v>0</v>
      </c>
      <c r="DA21" s="168">
        <f>SUMIF('BS(M)'!$K$13:$EP$13,DA$8,'BS(M)'!$K26:$EP26)</f>
        <v>0</v>
      </c>
      <c r="DB21" s="168">
        <f>SUMIF('BS(M)'!$K$13:$EP$13,DB$8,'BS(M)'!$K26:$EP26)</f>
        <v>0</v>
      </c>
      <c r="DC21" s="168">
        <f>SUMIF('BS(M)'!$K$13:$EP$13,DC$8,'BS(M)'!$K26:$EP26)</f>
        <v>0</v>
      </c>
      <c r="DD21" s="168">
        <f>SUMIF('BS(M)'!$K$13:$EP$13,DD$8,'BS(M)'!$K26:$EP26)</f>
        <v>0</v>
      </c>
      <c r="DE21" s="168">
        <f>SUMIF('BS(M)'!$K$13:$EP$13,DE$8,'BS(M)'!$K26:$EP26)</f>
        <v>0</v>
      </c>
      <c r="DF21" s="168">
        <f>SUMIF('BS(M)'!$K$13:$EP$13,DF$8,'BS(M)'!$K26:$EP26)</f>
        <v>0</v>
      </c>
      <c r="DG21" s="168">
        <f>SUMIF('BS(M)'!$K$13:$EP$13,DG$8,'BS(M)'!$K26:$EP26)</f>
        <v>0</v>
      </c>
      <c r="DH21" s="168">
        <f>SUMIF('BS(M)'!$K$13:$EP$13,DH$8,'BS(M)'!$K26:$EP26)</f>
        <v>0</v>
      </c>
      <c r="DI21" s="168">
        <f>SUMIF('BS(M)'!$K$13:$EP$13,DI$8,'BS(M)'!$K26:$EP26)</f>
        <v>0</v>
      </c>
      <c r="DJ21" s="168">
        <f>SUMIF('BS(M)'!$K$13:$EP$13,DJ$8,'BS(M)'!$K26:$EP26)</f>
        <v>0</v>
      </c>
      <c r="DK21" s="168">
        <f>SUMIF('BS(M)'!$K$13:$EP$13,DK$8,'BS(M)'!$K26:$EP26)</f>
        <v>0</v>
      </c>
      <c r="DL21" s="168">
        <f>SUMIF('BS(M)'!$K$13:$EP$13,DL$8,'BS(M)'!$K26:$EP26)</f>
        <v>0</v>
      </c>
      <c r="DM21" s="168">
        <f>SUMIF('BS(M)'!$K$13:$EP$13,DM$8,'BS(M)'!$K26:$EP26)</f>
        <v>0</v>
      </c>
      <c r="DN21" s="168">
        <f>SUMIF('BS(M)'!$K$13:$EP$13,DN$8,'BS(M)'!$K26:$EP26)</f>
        <v>0</v>
      </c>
      <c r="DO21" s="168">
        <f>SUMIF('BS(M)'!$K$13:$EP$13,DO$8,'BS(M)'!$K26:$EP26)</f>
        <v>0</v>
      </c>
      <c r="DP21" s="168">
        <f>SUMIF('BS(M)'!$K$13:$EP$13,DP$8,'BS(M)'!$K26:$EP26)</f>
        <v>0</v>
      </c>
      <c r="DQ21" s="168">
        <f>SUMIF('BS(M)'!$K$13:$EP$13,DQ$8,'BS(M)'!$K26:$EP26)</f>
        <v>0</v>
      </c>
      <c r="DR21" s="168">
        <f>SUMIF('BS(M)'!$K$13:$EP$13,DR$8,'BS(M)'!$K26:$EP26)</f>
        <v>0</v>
      </c>
      <c r="DS21" s="168">
        <f>SUMIF('BS(M)'!$K$13:$EP$13,DS$8,'BS(M)'!$K26:$EP26)</f>
        <v>0</v>
      </c>
      <c r="DT21" s="168">
        <f>SUMIF('BS(M)'!$K$13:$EP$13,DT$8,'BS(M)'!$K26:$EP26)</f>
        <v>0</v>
      </c>
      <c r="DU21" s="168">
        <f>SUMIF('BS(M)'!$K$13:$EP$13,DU$8,'BS(M)'!$K26:$EP26)</f>
        <v>0</v>
      </c>
    </row>
    <row r="22" spans="2:125">
      <c r="B22" s="218"/>
      <c r="C22" s="163"/>
      <c r="D22" s="169" t="s">
        <v>452</v>
      </c>
      <c r="H22" s="146"/>
      <c r="I22" s="977"/>
      <c r="J22" s="98"/>
      <c r="K22" s="171">
        <f>SUMIF('BS(M)'!$K$13:$EP$13,K$8,'BS(M)'!$K27:$EP27)</f>
        <v>12856669.630531998</v>
      </c>
      <c r="L22" s="171">
        <f>SUMIF('BS(M)'!$K$13:$EP$13,L$8,'BS(M)'!$K27:$EP27)</f>
        <v>0</v>
      </c>
      <c r="M22" s="171">
        <f>SUMIF('BS(M)'!$K$13:$EP$13,M$8,'BS(M)'!$K27:$EP27)</f>
        <v>0</v>
      </c>
      <c r="N22" s="171">
        <f>SUMIF('BS(M)'!$K$13:$EP$13,N$8,'BS(M)'!$K27:$EP27)</f>
        <v>0</v>
      </c>
      <c r="O22" s="171">
        <f>SUMIF('BS(M)'!$K$13:$EP$13,O$8,'BS(M)'!$K27:$EP27)</f>
        <v>0</v>
      </c>
      <c r="P22" s="171">
        <f>SUMIF('BS(M)'!$K$13:$EP$13,P$8,'BS(M)'!$K27:$EP27)</f>
        <v>0</v>
      </c>
      <c r="Q22" s="171">
        <f>SUMIF('BS(M)'!$K$13:$EP$13,Q$8,'BS(M)'!$K27:$EP27)</f>
        <v>0</v>
      </c>
      <c r="R22" s="171">
        <f>SUMIF('BS(M)'!$K$13:$EP$13,R$8,'BS(M)'!$K27:$EP27)</f>
        <v>0</v>
      </c>
      <c r="S22" s="171">
        <f>SUMIF('BS(M)'!$K$13:$EP$13,S$8,'BS(M)'!$K27:$EP27)</f>
        <v>0</v>
      </c>
      <c r="T22" s="171">
        <f>SUMIF('BS(M)'!$K$13:$EP$13,T$8,'BS(M)'!$K27:$EP27)</f>
        <v>0</v>
      </c>
      <c r="U22" s="171">
        <f>SUMIF('BS(M)'!$K$13:$EP$13,U$8,'BS(M)'!$K27:$EP27)</f>
        <v>0</v>
      </c>
      <c r="V22" s="171">
        <f>SUMIF('BS(M)'!$K$13:$EP$13,V$8,'BS(M)'!$K27:$EP27)</f>
        <v>0</v>
      </c>
      <c r="W22" s="171">
        <f>SUMIF('BS(M)'!$K$13:$EP$13,W$8,'BS(M)'!$K27:$EP27)</f>
        <v>0</v>
      </c>
      <c r="X22" s="171">
        <f>SUMIF('BS(M)'!$K$13:$EP$13,X$8,'BS(M)'!$K27:$EP27)</f>
        <v>0</v>
      </c>
      <c r="Y22" s="171">
        <f>SUMIF('BS(M)'!$K$13:$EP$13,Y$8,'BS(M)'!$K27:$EP27)</f>
        <v>0</v>
      </c>
      <c r="Z22" s="171">
        <f>SUMIF('BS(M)'!$K$13:$EP$13,Z$8,'BS(M)'!$K27:$EP27)</f>
        <v>0</v>
      </c>
      <c r="AA22" s="171">
        <f>SUMIF('BS(M)'!$K$13:$EP$13,AA$8,'BS(M)'!$K27:$EP27)</f>
        <v>0</v>
      </c>
      <c r="AB22" s="171">
        <f>SUMIF('BS(M)'!$K$13:$EP$13,AB$8,'BS(M)'!$K27:$EP27)</f>
        <v>0</v>
      </c>
      <c r="AC22" s="171">
        <f>SUMIF('BS(M)'!$K$13:$EP$13,AC$8,'BS(M)'!$K27:$EP27)</f>
        <v>0</v>
      </c>
      <c r="AD22" s="171">
        <f>SUMIF('BS(M)'!$K$13:$EP$13,AD$8,'BS(M)'!$K27:$EP27)</f>
        <v>0</v>
      </c>
      <c r="AE22" s="171">
        <f>SUMIF('BS(M)'!$K$13:$EP$13,AE$8,'BS(M)'!$K27:$EP27)</f>
        <v>0</v>
      </c>
      <c r="AF22" s="171">
        <f>SUMIF('BS(M)'!$K$13:$EP$13,AF$8,'BS(M)'!$K27:$EP27)</f>
        <v>0</v>
      </c>
      <c r="AG22" s="171">
        <f>SUMIF('BS(M)'!$K$13:$EP$13,AG$8,'BS(M)'!$K27:$EP27)</f>
        <v>0</v>
      </c>
      <c r="AH22" s="171">
        <f>SUMIF('BS(M)'!$K$13:$EP$13,AH$8,'BS(M)'!$K27:$EP27)</f>
        <v>0</v>
      </c>
      <c r="AI22" s="171">
        <f>SUMIF('BS(M)'!$K$13:$EP$13,AI$8,'BS(M)'!$K27:$EP27)</f>
        <v>0</v>
      </c>
      <c r="AJ22" s="171">
        <f>SUMIF('BS(M)'!$K$13:$EP$13,AJ$8,'BS(M)'!$K27:$EP27)</f>
        <v>0</v>
      </c>
      <c r="AK22" s="171">
        <f>SUMIF('BS(M)'!$K$13:$EP$13,AK$8,'BS(M)'!$K27:$EP27)</f>
        <v>0</v>
      </c>
      <c r="AL22" s="171">
        <f>SUMIF('BS(M)'!$K$13:$EP$13,AL$8,'BS(M)'!$K27:$EP27)</f>
        <v>0</v>
      </c>
      <c r="AM22" s="171">
        <f>SUMIF('BS(M)'!$K$13:$EP$13,AM$8,'BS(M)'!$K27:$EP27)</f>
        <v>0</v>
      </c>
      <c r="AN22" s="171">
        <f>SUMIF('BS(M)'!$K$13:$EP$13,AN$8,'BS(M)'!$K27:$EP27)</f>
        <v>0</v>
      </c>
      <c r="AO22" s="171">
        <f>SUMIF('BS(M)'!$K$13:$EP$13,AO$8,'BS(M)'!$K27:$EP27)</f>
        <v>0</v>
      </c>
      <c r="AP22" s="171">
        <f>SUMIF('BS(M)'!$K$13:$EP$13,AP$8,'BS(M)'!$K27:$EP27)</f>
        <v>0</v>
      </c>
      <c r="AQ22" s="171">
        <f>SUMIF('BS(M)'!$K$13:$EP$13,AQ$8,'BS(M)'!$K27:$EP27)</f>
        <v>0</v>
      </c>
      <c r="AR22" s="171">
        <f>SUMIF('BS(M)'!$K$13:$EP$13,AR$8,'BS(M)'!$K27:$EP27)</f>
        <v>0</v>
      </c>
      <c r="AS22" s="171">
        <f>SUMIF('BS(M)'!$K$13:$EP$13,AS$8,'BS(M)'!$K27:$EP27)</f>
        <v>0</v>
      </c>
      <c r="AT22" s="171">
        <f>SUMIF('BS(M)'!$K$13:$EP$13,AT$8,'BS(M)'!$K27:$EP27)</f>
        <v>0</v>
      </c>
      <c r="AU22" s="171">
        <f>SUMIF('BS(M)'!$K$13:$EP$13,AU$8,'BS(M)'!$K27:$EP27)</f>
        <v>0</v>
      </c>
      <c r="AV22" s="171">
        <f>SUMIF('BS(M)'!$K$13:$EP$13,AV$8,'BS(M)'!$K27:$EP27)</f>
        <v>0</v>
      </c>
      <c r="AW22" s="171">
        <f>SUMIF('BS(M)'!$K$13:$EP$13,AW$8,'BS(M)'!$K27:$EP27)</f>
        <v>0</v>
      </c>
      <c r="AX22" s="171">
        <f>SUMIF('BS(M)'!$K$13:$EP$13,AX$8,'BS(M)'!$K27:$EP27)</f>
        <v>0</v>
      </c>
      <c r="AY22" s="171">
        <f>SUMIF('BS(M)'!$K$13:$EP$13,AY$8,'BS(M)'!$K27:$EP27)</f>
        <v>0</v>
      </c>
      <c r="AZ22" s="171">
        <f>SUMIF('BS(M)'!$K$13:$EP$13,AZ$8,'BS(M)'!$K27:$EP27)</f>
        <v>0</v>
      </c>
      <c r="BA22" s="171">
        <f>SUMIF('BS(M)'!$K$13:$EP$13,BA$8,'BS(M)'!$K27:$EP27)</f>
        <v>0</v>
      </c>
      <c r="BB22" s="171">
        <f>SUMIF('BS(M)'!$K$13:$EP$13,BB$8,'BS(M)'!$K27:$EP27)</f>
        <v>0</v>
      </c>
      <c r="BC22" s="171">
        <f>SUMIF('BS(M)'!$K$13:$EP$13,BC$8,'BS(M)'!$K27:$EP27)</f>
        <v>0</v>
      </c>
      <c r="BD22" s="171">
        <f>SUMIF('BS(M)'!$K$13:$EP$13,BD$8,'BS(M)'!$K27:$EP27)</f>
        <v>0</v>
      </c>
      <c r="BE22" s="171">
        <f>SUMIF('BS(M)'!$K$13:$EP$13,BE$8,'BS(M)'!$K27:$EP27)</f>
        <v>0</v>
      </c>
      <c r="BF22" s="171">
        <f>SUMIF('BS(M)'!$K$13:$EP$13,BF$8,'BS(M)'!$K27:$EP27)</f>
        <v>0</v>
      </c>
      <c r="BG22" s="171">
        <f>SUMIF('BS(M)'!$K$13:$EP$13,BG$8,'BS(M)'!$K27:$EP27)</f>
        <v>0</v>
      </c>
      <c r="BH22" s="171">
        <f>SUMIF('BS(M)'!$K$13:$EP$13,BH$8,'BS(M)'!$K27:$EP27)</f>
        <v>0</v>
      </c>
      <c r="BI22" s="171">
        <f>SUMIF('BS(M)'!$K$13:$EP$13,BI$8,'BS(M)'!$K27:$EP27)</f>
        <v>0</v>
      </c>
      <c r="BJ22" s="171">
        <f>SUMIF('BS(M)'!$K$13:$EP$13,BJ$8,'BS(M)'!$K27:$EP27)</f>
        <v>0</v>
      </c>
      <c r="BK22" s="171">
        <f>SUMIF('BS(M)'!$K$13:$EP$13,BK$8,'BS(M)'!$K27:$EP27)</f>
        <v>0</v>
      </c>
      <c r="BL22" s="171">
        <f>SUMIF('BS(M)'!$K$13:$EP$13,BL$8,'BS(M)'!$K27:$EP27)</f>
        <v>0</v>
      </c>
      <c r="BM22" s="171">
        <f>SUMIF('BS(M)'!$K$13:$EP$13,BM$8,'BS(M)'!$K27:$EP27)</f>
        <v>0</v>
      </c>
      <c r="BN22" s="171">
        <f>SUMIF('BS(M)'!$K$13:$EP$13,BN$8,'BS(M)'!$K27:$EP27)</f>
        <v>0</v>
      </c>
      <c r="BO22" s="171">
        <f>SUMIF('BS(M)'!$K$13:$EP$13,BO$8,'BS(M)'!$K27:$EP27)</f>
        <v>0</v>
      </c>
      <c r="BP22" s="171">
        <f>SUMIF('BS(M)'!$K$13:$EP$13,BP$8,'BS(M)'!$K27:$EP27)</f>
        <v>0</v>
      </c>
      <c r="BQ22" s="171">
        <f>SUMIF('BS(M)'!$K$13:$EP$13,BQ$8,'BS(M)'!$K27:$EP27)</f>
        <v>0</v>
      </c>
      <c r="BR22" s="171">
        <f>SUMIF('BS(M)'!$K$13:$EP$13,BR$8,'BS(M)'!$K27:$EP27)</f>
        <v>0</v>
      </c>
      <c r="BS22" s="171">
        <f>SUMIF('BS(M)'!$K$13:$EP$13,BS$8,'BS(M)'!$K27:$EP27)</f>
        <v>0</v>
      </c>
      <c r="BT22" s="171">
        <f>SUMIF('BS(M)'!$K$13:$EP$13,BT$8,'BS(M)'!$K27:$EP27)</f>
        <v>0</v>
      </c>
      <c r="BU22" s="171">
        <f>SUMIF('BS(M)'!$K$13:$EP$13,BU$8,'BS(M)'!$K27:$EP27)</f>
        <v>0</v>
      </c>
      <c r="BV22" s="171">
        <f>SUMIF('BS(M)'!$K$13:$EP$13,BV$8,'BS(M)'!$K27:$EP27)</f>
        <v>0</v>
      </c>
      <c r="BW22" s="171">
        <f>SUMIF('BS(M)'!$K$13:$EP$13,BW$8,'BS(M)'!$K27:$EP27)</f>
        <v>0</v>
      </c>
      <c r="BX22" s="171">
        <f>SUMIF('BS(M)'!$K$13:$EP$13,BX$8,'BS(M)'!$K27:$EP27)</f>
        <v>0</v>
      </c>
      <c r="BY22" s="171">
        <f>SUMIF('BS(M)'!$K$13:$EP$13,BY$8,'BS(M)'!$K27:$EP27)</f>
        <v>0</v>
      </c>
      <c r="BZ22" s="171">
        <f>SUMIF('BS(M)'!$K$13:$EP$13,BZ$8,'BS(M)'!$K27:$EP27)</f>
        <v>0</v>
      </c>
      <c r="CA22" s="171">
        <f>SUMIF('BS(M)'!$K$13:$EP$13,CA$8,'BS(M)'!$K27:$EP27)</f>
        <v>0</v>
      </c>
      <c r="CB22" s="171">
        <f>SUMIF('BS(M)'!$K$13:$EP$13,CB$8,'BS(M)'!$K27:$EP27)</f>
        <v>0</v>
      </c>
      <c r="CC22" s="171">
        <f>SUMIF('BS(M)'!$K$13:$EP$13,CC$8,'BS(M)'!$K27:$EP27)</f>
        <v>0</v>
      </c>
      <c r="CD22" s="171">
        <f>SUMIF('BS(M)'!$K$13:$EP$13,CD$8,'BS(M)'!$K27:$EP27)</f>
        <v>0</v>
      </c>
      <c r="CE22" s="171">
        <f>SUMIF('BS(M)'!$K$13:$EP$13,CE$8,'BS(M)'!$K27:$EP27)</f>
        <v>0</v>
      </c>
      <c r="CF22" s="171">
        <f>SUMIF('BS(M)'!$K$13:$EP$13,CF$8,'BS(M)'!$K27:$EP27)</f>
        <v>0</v>
      </c>
      <c r="CG22" s="171">
        <f>SUMIF('BS(M)'!$K$13:$EP$13,CG$8,'BS(M)'!$K27:$EP27)</f>
        <v>0</v>
      </c>
      <c r="CH22" s="171">
        <f>SUMIF('BS(M)'!$K$13:$EP$13,CH$8,'BS(M)'!$K27:$EP27)</f>
        <v>0</v>
      </c>
      <c r="CI22" s="171">
        <f>SUMIF('BS(M)'!$K$13:$EP$13,CI$8,'BS(M)'!$K27:$EP27)</f>
        <v>0</v>
      </c>
      <c r="CJ22" s="171">
        <f>SUMIF('BS(M)'!$K$13:$EP$13,CJ$8,'BS(M)'!$K27:$EP27)</f>
        <v>0</v>
      </c>
      <c r="CK22" s="171">
        <f>SUMIF('BS(M)'!$K$13:$EP$13,CK$8,'BS(M)'!$K27:$EP27)</f>
        <v>0</v>
      </c>
      <c r="CL22" s="171">
        <f>SUMIF('BS(M)'!$K$13:$EP$13,CL$8,'BS(M)'!$K27:$EP27)</f>
        <v>0</v>
      </c>
      <c r="CM22" s="171">
        <f>SUMIF('BS(M)'!$K$13:$EP$13,CM$8,'BS(M)'!$K27:$EP27)</f>
        <v>0</v>
      </c>
      <c r="CN22" s="171">
        <f>SUMIF('BS(M)'!$K$13:$EP$13,CN$8,'BS(M)'!$K27:$EP27)</f>
        <v>0</v>
      </c>
      <c r="CO22" s="171">
        <f>SUMIF('BS(M)'!$K$13:$EP$13,CO$8,'BS(M)'!$K27:$EP27)</f>
        <v>0</v>
      </c>
      <c r="CP22" s="171">
        <f>SUMIF('BS(M)'!$K$13:$EP$13,CP$8,'BS(M)'!$K27:$EP27)</f>
        <v>0</v>
      </c>
      <c r="CQ22" s="171">
        <f>SUMIF('BS(M)'!$K$13:$EP$13,CQ$8,'BS(M)'!$K27:$EP27)</f>
        <v>0</v>
      </c>
      <c r="CR22" s="171">
        <f>SUMIF('BS(M)'!$K$13:$EP$13,CR$8,'BS(M)'!$K27:$EP27)</f>
        <v>0</v>
      </c>
      <c r="CS22" s="171">
        <f>SUMIF('BS(M)'!$K$13:$EP$13,CS$8,'BS(M)'!$K27:$EP27)</f>
        <v>0</v>
      </c>
      <c r="CT22" s="171">
        <f>SUMIF('BS(M)'!$K$13:$EP$13,CT$8,'BS(M)'!$K27:$EP27)</f>
        <v>0</v>
      </c>
      <c r="CU22" s="171">
        <f>SUMIF('BS(M)'!$K$13:$EP$13,CU$8,'BS(M)'!$K27:$EP27)</f>
        <v>0</v>
      </c>
      <c r="CV22" s="171">
        <f>SUMIF('BS(M)'!$K$13:$EP$13,CV$8,'BS(M)'!$K27:$EP27)</f>
        <v>0</v>
      </c>
      <c r="CW22" s="171">
        <f>SUMIF('BS(M)'!$K$13:$EP$13,CW$8,'BS(M)'!$K27:$EP27)</f>
        <v>0</v>
      </c>
      <c r="CX22" s="171">
        <f>SUMIF('BS(M)'!$K$13:$EP$13,CX$8,'BS(M)'!$K27:$EP27)</f>
        <v>0</v>
      </c>
      <c r="CY22" s="171">
        <f>SUMIF('BS(M)'!$K$13:$EP$13,CY$8,'BS(M)'!$K27:$EP27)</f>
        <v>0</v>
      </c>
      <c r="CZ22" s="171">
        <f>SUMIF('BS(M)'!$K$13:$EP$13,CZ$8,'BS(M)'!$K27:$EP27)</f>
        <v>0</v>
      </c>
      <c r="DA22" s="171">
        <f>SUMIF('BS(M)'!$K$13:$EP$13,DA$8,'BS(M)'!$K27:$EP27)</f>
        <v>0</v>
      </c>
      <c r="DB22" s="171">
        <f>SUMIF('BS(M)'!$K$13:$EP$13,DB$8,'BS(M)'!$K27:$EP27)</f>
        <v>0</v>
      </c>
      <c r="DC22" s="171">
        <f>SUMIF('BS(M)'!$K$13:$EP$13,DC$8,'BS(M)'!$K27:$EP27)</f>
        <v>0</v>
      </c>
      <c r="DD22" s="171">
        <f>SUMIF('BS(M)'!$K$13:$EP$13,DD$8,'BS(M)'!$K27:$EP27)</f>
        <v>0</v>
      </c>
      <c r="DE22" s="171">
        <f>SUMIF('BS(M)'!$K$13:$EP$13,DE$8,'BS(M)'!$K27:$EP27)</f>
        <v>0</v>
      </c>
      <c r="DF22" s="171">
        <f>SUMIF('BS(M)'!$K$13:$EP$13,DF$8,'BS(M)'!$K27:$EP27)</f>
        <v>0</v>
      </c>
      <c r="DG22" s="171">
        <f>SUMIF('BS(M)'!$K$13:$EP$13,DG$8,'BS(M)'!$K27:$EP27)</f>
        <v>0</v>
      </c>
      <c r="DH22" s="171">
        <f>SUMIF('BS(M)'!$K$13:$EP$13,DH$8,'BS(M)'!$K27:$EP27)</f>
        <v>0</v>
      </c>
      <c r="DI22" s="171">
        <f>SUMIF('BS(M)'!$K$13:$EP$13,DI$8,'BS(M)'!$K27:$EP27)</f>
        <v>0</v>
      </c>
      <c r="DJ22" s="171">
        <f>SUMIF('BS(M)'!$K$13:$EP$13,DJ$8,'BS(M)'!$K27:$EP27)</f>
        <v>0</v>
      </c>
      <c r="DK22" s="171">
        <f>SUMIF('BS(M)'!$K$13:$EP$13,DK$8,'BS(M)'!$K27:$EP27)</f>
        <v>0</v>
      </c>
      <c r="DL22" s="171">
        <f>SUMIF('BS(M)'!$K$13:$EP$13,DL$8,'BS(M)'!$K27:$EP27)</f>
        <v>0</v>
      </c>
      <c r="DM22" s="171">
        <f>SUMIF('BS(M)'!$K$13:$EP$13,DM$8,'BS(M)'!$K27:$EP27)</f>
        <v>0</v>
      </c>
      <c r="DN22" s="171">
        <f>SUMIF('BS(M)'!$K$13:$EP$13,DN$8,'BS(M)'!$K27:$EP27)</f>
        <v>0</v>
      </c>
      <c r="DO22" s="171">
        <f>SUMIF('BS(M)'!$K$13:$EP$13,DO$8,'BS(M)'!$K27:$EP27)</f>
        <v>0</v>
      </c>
      <c r="DP22" s="171">
        <f>SUMIF('BS(M)'!$K$13:$EP$13,DP$8,'BS(M)'!$K27:$EP27)</f>
        <v>0</v>
      </c>
      <c r="DQ22" s="171">
        <f>SUMIF('BS(M)'!$K$13:$EP$13,DQ$8,'BS(M)'!$K27:$EP27)</f>
        <v>0</v>
      </c>
      <c r="DR22" s="171">
        <f>SUMIF('BS(M)'!$K$13:$EP$13,DR$8,'BS(M)'!$K27:$EP27)</f>
        <v>0</v>
      </c>
      <c r="DS22" s="171">
        <f>SUMIF('BS(M)'!$K$13:$EP$13,DS$8,'BS(M)'!$K27:$EP27)</f>
        <v>0</v>
      </c>
      <c r="DT22" s="171">
        <f>SUMIF('BS(M)'!$K$13:$EP$13,DT$8,'BS(M)'!$K27:$EP27)</f>
        <v>0</v>
      </c>
      <c r="DU22" s="171">
        <f>SUMIF('BS(M)'!$K$13:$EP$13,DU$8,'BS(M)'!$K27:$EP27)</f>
        <v>0</v>
      </c>
    </row>
    <row r="23" spans="2:125">
      <c r="B23" s="218"/>
      <c r="C23" s="163"/>
      <c r="D23" s="169" t="s">
        <v>568</v>
      </c>
      <c r="H23" s="146"/>
      <c r="I23" s="977"/>
      <c r="J23" s="98"/>
      <c r="K23" s="171">
        <f>SUMIF('BS(M)'!$K$13:$EP$13,K$8,'BS(M)'!$K28:$EP28)</f>
        <v>0</v>
      </c>
      <c r="L23" s="171">
        <f>SUMIF('BS(M)'!$K$13:$EP$13,L$8,'BS(M)'!$K28:$EP28)</f>
        <v>0</v>
      </c>
      <c r="M23" s="171">
        <f>SUMIF('BS(M)'!$K$13:$EP$13,M$8,'BS(M)'!$K28:$EP28)</f>
        <v>0</v>
      </c>
      <c r="N23" s="171">
        <f>SUMIF('BS(M)'!$K$13:$EP$13,N$8,'BS(M)'!$K28:$EP28)</f>
        <v>0</v>
      </c>
      <c r="O23" s="171">
        <f>SUMIF('BS(M)'!$K$13:$EP$13,O$8,'BS(M)'!$K28:$EP28)</f>
        <v>0</v>
      </c>
      <c r="P23" s="171">
        <f>SUMIF('BS(M)'!$K$13:$EP$13,P$8,'BS(M)'!$K28:$EP28)</f>
        <v>0</v>
      </c>
      <c r="Q23" s="171">
        <f>SUMIF('BS(M)'!$K$13:$EP$13,Q$8,'BS(M)'!$K28:$EP28)</f>
        <v>0</v>
      </c>
      <c r="R23" s="171">
        <f>SUMIF('BS(M)'!$K$13:$EP$13,R$8,'BS(M)'!$K28:$EP28)</f>
        <v>0</v>
      </c>
      <c r="S23" s="171">
        <f>SUMIF('BS(M)'!$K$13:$EP$13,S$8,'BS(M)'!$K28:$EP28)</f>
        <v>0</v>
      </c>
      <c r="T23" s="171">
        <f>SUMIF('BS(M)'!$K$13:$EP$13,T$8,'BS(M)'!$K28:$EP28)</f>
        <v>0</v>
      </c>
      <c r="U23" s="171">
        <f>SUMIF('BS(M)'!$K$13:$EP$13,U$8,'BS(M)'!$K28:$EP28)</f>
        <v>0</v>
      </c>
      <c r="V23" s="171">
        <f>SUMIF('BS(M)'!$K$13:$EP$13,V$8,'BS(M)'!$K28:$EP28)</f>
        <v>0</v>
      </c>
      <c r="W23" s="171">
        <f>SUMIF('BS(M)'!$K$13:$EP$13,W$8,'BS(M)'!$K28:$EP28)</f>
        <v>0</v>
      </c>
      <c r="X23" s="171">
        <f>SUMIF('BS(M)'!$K$13:$EP$13,X$8,'BS(M)'!$K28:$EP28)</f>
        <v>0</v>
      </c>
      <c r="Y23" s="171">
        <f>SUMIF('BS(M)'!$K$13:$EP$13,Y$8,'BS(M)'!$K28:$EP28)</f>
        <v>0</v>
      </c>
      <c r="Z23" s="171">
        <f>SUMIF('BS(M)'!$K$13:$EP$13,Z$8,'BS(M)'!$K28:$EP28)</f>
        <v>0</v>
      </c>
      <c r="AA23" s="171">
        <f>SUMIF('BS(M)'!$K$13:$EP$13,AA$8,'BS(M)'!$K28:$EP28)</f>
        <v>0</v>
      </c>
      <c r="AB23" s="171">
        <f>SUMIF('BS(M)'!$K$13:$EP$13,AB$8,'BS(M)'!$K28:$EP28)</f>
        <v>0</v>
      </c>
      <c r="AC23" s="171">
        <f>SUMIF('BS(M)'!$K$13:$EP$13,AC$8,'BS(M)'!$K28:$EP28)</f>
        <v>0</v>
      </c>
      <c r="AD23" s="171">
        <f>SUMIF('BS(M)'!$K$13:$EP$13,AD$8,'BS(M)'!$K28:$EP28)</f>
        <v>0</v>
      </c>
      <c r="AE23" s="171">
        <f>SUMIF('BS(M)'!$K$13:$EP$13,AE$8,'BS(M)'!$K28:$EP28)</f>
        <v>0</v>
      </c>
      <c r="AF23" s="171">
        <f>SUMIF('BS(M)'!$K$13:$EP$13,AF$8,'BS(M)'!$K28:$EP28)</f>
        <v>0</v>
      </c>
      <c r="AG23" s="171">
        <f>SUMIF('BS(M)'!$K$13:$EP$13,AG$8,'BS(M)'!$K28:$EP28)</f>
        <v>0</v>
      </c>
      <c r="AH23" s="171">
        <f>SUMIF('BS(M)'!$K$13:$EP$13,AH$8,'BS(M)'!$K28:$EP28)</f>
        <v>0</v>
      </c>
      <c r="AI23" s="171">
        <f>SUMIF('BS(M)'!$K$13:$EP$13,AI$8,'BS(M)'!$K28:$EP28)</f>
        <v>0</v>
      </c>
      <c r="AJ23" s="171">
        <f>SUMIF('BS(M)'!$K$13:$EP$13,AJ$8,'BS(M)'!$K28:$EP28)</f>
        <v>0</v>
      </c>
      <c r="AK23" s="171">
        <f>SUMIF('BS(M)'!$K$13:$EP$13,AK$8,'BS(M)'!$K28:$EP28)</f>
        <v>0</v>
      </c>
      <c r="AL23" s="171">
        <f>SUMIF('BS(M)'!$K$13:$EP$13,AL$8,'BS(M)'!$K28:$EP28)</f>
        <v>0</v>
      </c>
      <c r="AM23" s="171">
        <f>SUMIF('BS(M)'!$K$13:$EP$13,AM$8,'BS(M)'!$K28:$EP28)</f>
        <v>0</v>
      </c>
      <c r="AN23" s="171">
        <f>SUMIF('BS(M)'!$K$13:$EP$13,AN$8,'BS(M)'!$K28:$EP28)</f>
        <v>0</v>
      </c>
      <c r="AO23" s="171">
        <f>SUMIF('BS(M)'!$K$13:$EP$13,AO$8,'BS(M)'!$K28:$EP28)</f>
        <v>0</v>
      </c>
      <c r="AP23" s="171">
        <f>SUMIF('BS(M)'!$K$13:$EP$13,AP$8,'BS(M)'!$K28:$EP28)</f>
        <v>0</v>
      </c>
      <c r="AQ23" s="171">
        <f>SUMIF('BS(M)'!$K$13:$EP$13,AQ$8,'BS(M)'!$K28:$EP28)</f>
        <v>0</v>
      </c>
      <c r="AR23" s="171">
        <f>SUMIF('BS(M)'!$K$13:$EP$13,AR$8,'BS(M)'!$K28:$EP28)</f>
        <v>0</v>
      </c>
      <c r="AS23" s="171">
        <f>SUMIF('BS(M)'!$K$13:$EP$13,AS$8,'BS(M)'!$K28:$EP28)</f>
        <v>0</v>
      </c>
      <c r="AT23" s="171">
        <f>SUMIF('BS(M)'!$K$13:$EP$13,AT$8,'BS(M)'!$K28:$EP28)</f>
        <v>0</v>
      </c>
      <c r="AU23" s="171">
        <f>SUMIF('BS(M)'!$K$13:$EP$13,AU$8,'BS(M)'!$K28:$EP28)</f>
        <v>0</v>
      </c>
      <c r="AV23" s="171">
        <f>SUMIF('BS(M)'!$K$13:$EP$13,AV$8,'BS(M)'!$K28:$EP28)</f>
        <v>0</v>
      </c>
      <c r="AW23" s="171">
        <f>SUMIF('BS(M)'!$K$13:$EP$13,AW$8,'BS(M)'!$K28:$EP28)</f>
        <v>0</v>
      </c>
      <c r="AX23" s="171">
        <f>SUMIF('BS(M)'!$K$13:$EP$13,AX$8,'BS(M)'!$K28:$EP28)</f>
        <v>0</v>
      </c>
      <c r="AY23" s="171">
        <f>SUMIF('BS(M)'!$K$13:$EP$13,AY$8,'BS(M)'!$K28:$EP28)</f>
        <v>0</v>
      </c>
      <c r="AZ23" s="171">
        <f>SUMIF('BS(M)'!$K$13:$EP$13,AZ$8,'BS(M)'!$K28:$EP28)</f>
        <v>0</v>
      </c>
      <c r="BA23" s="171">
        <f>SUMIF('BS(M)'!$K$13:$EP$13,BA$8,'BS(M)'!$K28:$EP28)</f>
        <v>0</v>
      </c>
      <c r="BB23" s="171">
        <f>SUMIF('BS(M)'!$K$13:$EP$13,BB$8,'BS(M)'!$K28:$EP28)</f>
        <v>0</v>
      </c>
      <c r="BC23" s="171">
        <f>SUMIF('BS(M)'!$K$13:$EP$13,BC$8,'BS(M)'!$K28:$EP28)</f>
        <v>0</v>
      </c>
      <c r="BD23" s="171">
        <f>SUMIF('BS(M)'!$K$13:$EP$13,BD$8,'BS(M)'!$K28:$EP28)</f>
        <v>0</v>
      </c>
      <c r="BE23" s="171">
        <f>SUMIF('BS(M)'!$K$13:$EP$13,BE$8,'BS(M)'!$K28:$EP28)</f>
        <v>0</v>
      </c>
      <c r="BF23" s="171">
        <f>SUMIF('BS(M)'!$K$13:$EP$13,BF$8,'BS(M)'!$K28:$EP28)</f>
        <v>0</v>
      </c>
      <c r="BG23" s="171">
        <f>SUMIF('BS(M)'!$K$13:$EP$13,BG$8,'BS(M)'!$K28:$EP28)</f>
        <v>0</v>
      </c>
      <c r="BH23" s="171">
        <f>SUMIF('BS(M)'!$K$13:$EP$13,BH$8,'BS(M)'!$K28:$EP28)</f>
        <v>0</v>
      </c>
      <c r="BI23" s="171">
        <f>SUMIF('BS(M)'!$K$13:$EP$13,BI$8,'BS(M)'!$K28:$EP28)</f>
        <v>0</v>
      </c>
      <c r="BJ23" s="171">
        <f>SUMIF('BS(M)'!$K$13:$EP$13,BJ$8,'BS(M)'!$K28:$EP28)</f>
        <v>0</v>
      </c>
      <c r="BK23" s="171">
        <f>SUMIF('BS(M)'!$K$13:$EP$13,BK$8,'BS(M)'!$K28:$EP28)</f>
        <v>0</v>
      </c>
      <c r="BL23" s="171">
        <f>SUMIF('BS(M)'!$K$13:$EP$13,BL$8,'BS(M)'!$K28:$EP28)</f>
        <v>0</v>
      </c>
      <c r="BM23" s="171">
        <f>SUMIF('BS(M)'!$K$13:$EP$13,BM$8,'BS(M)'!$K28:$EP28)</f>
        <v>0</v>
      </c>
      <c r="BN23" s="171">
        <f>SUMIF('BS(M)'!$K$13:$EP$13,BN$8,'BS(M)'!$K28:$EP28)</f>
        <v>0</v>
      </c>
      <c r="BO23" s="171">
        <f>SUMIF('BS(M)'!$K$13:$EP$13,BO$8,'BS(M)'!$K28:$EP28)</f>
        <v>0</v>
      </c>
      <c r="BP23" s="171">
        <f>SUMIF('BS(M)'!$K$13:$EP$13,BP$8,'BS(M)'!$K28:$EP28)</f>
        <v>0</v>
      </c>
      <c r="BQ23" s="171">
        <f>SUMIF('BS(M)'!$K$13:$EP$13,BQ$8,'BS(M)'!$K28:$EP28)</f>
        <v>0</v>
      </c>
      <c r="BR23" s="171">
        <f>SUMIF('BS(M)'!$K$13:$EP$13,BR$8,'BS(M)'!$K28:$EP28)</f>
        <v>0</v>
      </c>
      <c r="BS23" s="171">
        <f>SUMIF('BS(M)'!$K$13:$EP$13,BS$8,'BS(M)'!$K28:$EP28)</f>
        <v>0</v>
      </c>
      <c r="BT23" s="171">
        <f>SUMIF('BS(M)'!$K$13:$EP$13,BT$8,'BS(M)'!$K28:$EP28)</f>
        <v>0</v>
      </c>
      <c r="BU23" s="171">
        <f>SUMIF('BS(M)'!$K$13:$EP$13,BU$8,'BS(M)'!$K28:$EP28)</f>
        <v>0</v>
      </c>
      <c r="BV23" s="171">
        <f>SUMIF('BS(M)'!$K$13:$EP$13,BV$8,'BS(M)'!$K28:$EP28)</f>
        <v>0</v>
      </c>
      <c r="BW23" s="171">
        <f>SUMIF('BS(M)'!$K$13:$EP$13,BW$8,'BS(M)'!$K28:$EP28)</f>
        <v>0</v>
      </c>
      <c r="BX23" s="171">
        <f>SUMIF('BS(M)'!$K$13:$EP$13,BX$8,'BS(M)'!$K28:$EP28)</f>
        <v>0</v>
      </c>
      <c r="BY23" s="171">
        <f>SUMIF('BS(M)'!$K$13:$EP$13,BY$8,'BS(M)'!$K28:$EP28)</f>
        <v>0</v>
      </c>
      <c r="BZ23" s="171">
        <f>SUMIF('BS(M)'!$K$13:$EP$13,BZ$8,'BS(M)'!$K28:$EP28)</f>
        <v>0</v>
      </c>
      <c r="CA23" s="171">
        <f>SUMIF('BS(M)'!$K$13:$EP$13,CA$8,'BS(M)'!$K28:$EP28)</f>
        <v>0</v>
      </c>
      <c r="CB23" s="171">
        <f>SUMIF('BS(M)'!$K$13:$EP$13,CB$8,'BS(M)'!$K28:$EP28)</f>
        <v>0</v>
      </c>
      <c r="CC23" s="171">
        <f>SUMIF('BS(M)'!$K$13:$EP$13,CC$8,'BS(M)'!$K28:$EP28)</f>
        <v>0</v>
      </c>
      <c r="CD23" s="171">
        <f>SUMIF('BS(M)'!$K$13:$EP$13,CD$8,'BS(M)'!$K28:$EP28)</f>
        <v>0</v>
      </c>
      <c r="CE23" s="171">
        <f>SUMIF('BS(M)'!$K$13:$EP$13,CE$8,'BS(M)'!$K28:$EP28)</f>
        <v>0</v>
      </c>
      <c r="CF23" s="171">
        <f>SUMIF('BS(M)'!$K$13:$EP$13,CF$8,'BS(M)'!$K28:$EP28)</f>
        <v>0</v>
      </c>
      <c r="CG23" s="171">
        <f>SUMIF('BS(M)'!$K$13:$EP$13,CG$8,'BS(M)'!$K28:$EP28)</f>
        <v>0</v>
      </c>
      <c r="CH23" s="171">
        <f>SUMIF('BS(M)'!$K$13:$EP$13,CH$8,'BS(M)'!$K28:$EP28)</f>
        <v>0</v>
      </c>
      <c r="CI23" s="171">
        <f>SUMIF('BS(M)'!$K$13:$EP$13,CI$8,'BS(M)'!$K28:$EP28)</f>
        <v>0</v>
      </c>
      <c r="CJ23" s="171">
        <f>SUMIF('BS(M)'!$K$13:$EP$13,CJ$8,'BS(M)'!$K28:$EP28)</f>
        <v>0</v>
      </c>
      <c r="CK23" s="171">
        <f>SUMIF('BS(M)'!$K$13:$EP$13,CK$8,'BS(M)'!$K28:$EP28)</f>
        <v>0</v>
      </c>
      <c r="CL23" s="171">
        <f>SUMIF('BS(M)'!$K$13:$EP$13,CL$8,'BS(M)'!$K28:$EP28)</f>
        <v>0</v>
      </c>
      <c r="CM23" s="171">
        <f>SUMIF('BS(M)'!$K$13:$EP$13,CM$8,'BS(M)'!$K28:$EP28)</f>
        <v>0</v>
      </c>
      <c r="CN23" s="171">
        <f>SUMIF('BS(M)'!$K$13:$EP$13,CN$8,'BS(M)'!$K28:$EP28)</f>
        <v>0</v>
      </c>
      <c r="CO23" s="171">
        <f>SUMIF('BS(M)'!$K$13:$EP$13,CO$8,'BS(M)'!$K28:$EP28)</f>
        <v>0</v>
      </c>
      <c r="CP23" s="171">
        <f>SUMIF('BS(M)'!$K$13:$EP$13,CP$8,'BS(M)'!$K28:$EP28)</f>
        <v>0</v>
      </c>
      <c r="CQ23" s="171">
        <f>SUMIF('BS(M)'!$K$13:$EP$13,CQ$8,'BS(M)'!$K28:$EP28)</f>
        <v>0</v>
      </c>
      <c r="CR23" s="171">
        <f>SUMIF('BS(M)'!$K$13:$EP$13,CR$8,'BS(M)'!$K28:$EP28)</f>
        <v>0</v>
      </c>
      <c r="CS23" s="171">
        <f>SUMIF('BS(M)'!$K$13:$EP$13,CS$8,'BS(M)'!$K28:$EP28)</f>
        <v>0</v>
      </c>
      <c r="CT23" s="171">
        <f>SUMIF('BS(M)'!$K$13:$EP$13,CT$8,'BS(M)'!$K28:$EP28)</f>
        <v>0</v>
      </c>
      <c r="CU23" s="171">
        <f>SUMIF('BS(M)'!$K$13:$EP$13,CU$8,'BS(M)'!$K28:$EP28)</f>
        <v>0</v>
      </c>
      <c r="CV23" s="171">
        <f>SUMIF('BS(M)'!$K$13:$EP$13,CV$8,'BS(M)'!$K28:$EP28)</f>
        <v>0</v>
      </c>
      <c r="CW23" s="171">
        <f>SUMIF('BS(M)'!$K$13:$EP$13,CW$8,'BS(M)'!$K28:$EP28)</f>
        <v>0</v>
      </c>
      <c r="CX23" s="171">
        <f>SUMIF('BS(M)'!$K$13:$EP$13,CX$8,'BS(M)'!$K28:$EP28)</f>
        <v>0</v>
      </c>
      <c r="CY23" s="171">
        <f>SUMIF('BS(M)'!$K$13:$EP$13,CY$8,'BS(M)'!$K28:$EP28)</f>
        <v>0</v>
      </c>
      <c r="CZ23" s="171">
        <f>SUMIF('BS(M)'!$K$13:$EP$13,CZ$8,'BS(M)'!$K28:$EP28)</f>
        <v>0</v>
      </c>
      <c r="DA23" s="171">
        <f>SUMIF('BS(M)'!$K$13:$EP$13,DA$8,'BS(M)'!$K28:$EP28)</f>
        <v>0</v>
      </c>
      <c r="DB23" s="171">
        <f>SUMIF('BS(M)'!$K$13:$EP$13,DB$8,'BS(M)'!$K28:$EP28)</f>
        <v>0</v>
      </c>
      <c r="DC23" s="171">
        <f>SUMIF('BS(M)'!$K$13:$EP$13,DC$8,'BS(M)'!$K28:$EP28)</f>
        <v>0</v>
      </c>
      <c r="DD23" s="171">
        <f>SUMIF('BS(M)'!$K$13:$EP$13,DD$8,'BS(M)'!$K28:$EP28)</f>
        <v>0</v>
      </c>
      <c r="DE23" s="171">
        <f>SUMIF('BS(M)'!$K$13:$EP$13,DE$8,'BS(M)'!$K28:$EP28)</f>
        <v>0</v>
      </c>
      <c r="DF23" s="171">
        <f>SUMIF('BS(M)'!$K$13:$EP$13,DF$8,'BS(M)'!$K28:$EP28)</f>
        <v>0</v>
      </c>
      <c r="DG23" s="171">
        <f>SUMIF('BS(M)'!$K$13:$EP$13,DG$8,'BS(M)'!$K28:$EP28)</f>
        <v>0</v>
      </c>
      <c r="DH23" s="171">
        <f>SUMIF('BS(M)'!$K$13:$EP$13,DH$8,'BS(M)'!$K28:$EP28)</f>
        <v>0</v>
      </c>
      <c r="DI23" s="171">
        <f>SUMIF('BS(M)'!$K$13:$EP$13,DI$8,'BS(M)'!$K28:$EP28)</f>
        <v>0</v>
      </c>
      <c r="DJ23" s="171">
        <f>SUMIF('BS(M)'!$K$13:$EP$13,DJ$8,'BS(M)'!$K28:$EP28)</f>
        <v>0</v>
      </c>
      <c r="DK23" s="171">
        <f>SUMIF('BS(M)'!$K$13:$EP$13,DK$8,'BS(M)'!$K28:$EP28)</f>
        <v>0</v>
      </c>
      <c r="DL23" s="171">
        <f>SUMIF('BS(M)'!$K$13:$EP$13,DL$8,'BS(M)'!$K28:$EP28)</f>
        <v>0</v>
      </c>
      <c r="DM23" s="171">
        <f>SUMIF('BS(M)'!$K$13:$EP$13,DM$8,'BS(M)'!$K28:$EP28)</f>
        <v>0</v>
      </c>
      <c r="DN23" s="171">
        <f>SUMIF('BS(M)'!$K$13:$EP$13,DN$8,'BS(M)'!$K28:$EP28)</f>
        <v>0</v>
      </c>
      <c r="DO23" s="171">
        <f>SUMIF('BS(M)'!$K$13:$EP$13,DO$8,'BS(M)'!$K28:$EP28)</f>
        <v>0</v>
      </c>
      <c r="DP23" s="171">
        <f>SUMIF('BS(M)'!$K$13:$EP$13,DP$8,'BS(M)'!$K28:$EP28)</f>
        <v>0</v>
      </c>
      <c r="DQ23" s="171">
        <f>SUMIF('BS(M)'!$K$13:$EP$13,DQ$8,'BS(M)'!$K28:$EP28)</f>
        <v>0</v>
      </c>
      <c r="DR23" s="171">
        <f>SUMIF('BS(M)'!$K$13:$EP$13,DR$8,'BS(M)'!$K28:$EP28)</f>
        <v>0</v>
      </c>
      <c r="DS23" s="171">
        <f>SUMIF('BS(M)'!$K$13:$EP$13,DS$8,'BS(M)'!$K28:$EP28)</f>
        <v>0</v>
      </c>
      <c r="DT23" s="171">
        <f>SUMIF('BS(M)'!$K$13:$EP$13,DT$8,'BS(M)'!$K28:$EP28)</f>
        <v>0</v>
      </c>
      <c r="DU23" s="171">
        <f>SUMIF('BS(M)'!$K$13:$EP$13,DU$8,'BS(M)'!$K28:$EP28)</f>
        <v>0</v>
      </c>
    </row>
    <row r="24" spans="2:125">
      <c r="B24" s="218"/>
      <c r="C24" s="163"/>
      <c r="D24" s="169" t="s">
        <v>569</v>
      </c>
      <c r="H24" s="146"/>
      <c r="I24" s="977"/>
      <c r="J24" s="98"/>
      <c r="K24" s="171">
        <f>SUMIF('BS(M)'!$K$13:$EP$13,K$8,'BS(M)'!$K29:$EP29)</f>
        <v>0</v>
      </c>
      <c r="L24" s="171">
        <f>SUMIF('BS(M)'!$K$13:$EP$13,L$8,'BS(M)'!$K29:$EP29)</f>
        <v>343237.67333333334</v>
      </c>
      <c r="M24" s="171">
        <f>SUMIF('BS(M)'!$K$13:$EP$13,M$8,'BS(M)'!$K29:$EP29)</f>
        <v>191949.20666666667</v>
      </c>
      <c r="N24" s="171">
        <f>SUMIF('BS(M)'!$K$13:$EP$13,N$8,'BS(M)'!$K29:$EP29)</f>
        <v>427616.47628333332</v>
      </c>
      <c r="O24" s="171">
        <f>SUMIF('BS(M)'!$K$13:$EP$13,O$8,'BS(M)'!$K29:$EP29)</f>
        <v>194638.4576583333</v>
      </c>
      <c r="P24" s="171">
        <f>SUMIF('BS(M)'!$K$13:$EP$13,P$8,'BS(M)'!$K29:$EP29)</f>
        <v>428224.14980008331</v>
      </c>
      <c r="Q24" s="171">
        <f>SUMIF('BS(M)'!$K$13:$EP$13,Q$8,'BS(M)'!$K29:$EP29)</f>
        <v>197398.73966695834</v>
      </c>
      <c r="R24" s="171">
        <f>SUMIF('BS(M)'!$K$13:$EP$13,R$8,'BS(M)'!$K29:$EP29)</f>
        <v>428963.14662730205</v>
      </c>
      <c r="S24" s="171">
        <f>SUMIF('BS(M)'!$K$13:$EP$13,S$8,'BS(M)'!$K29:$EP29)</f>
        <v>200231.21462292396</v>
      </c>
      <c r="T24" s="171">
        <f>SUMIF('BS(M)'!$K$13:$EP$13,T$8,'BS(M)'!$K29:$EP29)</f>
        <v>429834.30568359699</v>
      </c>
      <c r="U24" s="171">
        <f>SUMIF('BS(M)'!$K$13:$EP$13,U$8,'BS(M)'!$K29:$EP29)</f>
        <v>203137.07157556948</v>
      </c>
      <c r="V24" s="171">
        <f>SUMIF('BS(M)'!$K$13:$EP$13,V$8,'BS(M)'!$K29:$EP29)</f>
        <v>430838.50947916147</v>
      </c>
      <c r="W24" s="171">
        <f>SUMIF('BS(M)'!$K$13:$EP$13,W$8,'BS(M)'!$K29:$EP29)</f>
        <v>206117.52717736518</v>
      </c>
      <c r="X24" s="171">
        <f>SUMIF('BS(M)'!$K$13:$EP$13,X$8,'BS(M)'!$K29:$EP29)</f>
        <v>431976.68458540895</v>
      </c>
      <c r="Y24" s="171">
        <f>SUMIF('BS(M)'!$K$13:$EP$13,Y$8,'BS(M)'!$K29:$EP29)</f>
        <v>209173.82617864243</v>
      </c>
      <c r="Z24" s="171">
        <f>SUMIF('BS(M)'!$K$13:$EP$13,Z$8,'BS(M)'!$K29:$EP29)</f>
        <v>433249.80212003132</v>
      </c>
      <c r="AA24" s="171">
        <f>SUMIF('BS(M)'!$K$13:$EP$13,AA$8,'BS(M)'!$K29:$EP29)</f>
        <v>212307.24193307932</v>
      </c>
      <c r="AB24" s="171">
        <f>SUMIF('BS(M)'!$K$13:$EP$13,AB$8,'BS(M)'!$K29:$EP29)</f>
        <v>434658.87824770249</v>
      </c>
      <c r="AC24" s="171">
        <f>SUMIF('BS(M)'!$K$13:$EP$13,AC$8,'BS(M)'!$K29:$EP29)</f>
        <v>215519.076914142</v>
      </c>
      <c r="AD24" s="171">
        <f>SUMIF('BS(M)'!$K$13:$EP$13,AD$8,'BS(M)'!$K29:$EP29)</f>
        <v>436204.97469664802</v>
      </c>
      <c r="AE24" s="171">
        <f>SUMIF('BS(M)'!$K$13:$EP$13,AE$8,'BS(M)'!$K29:$EP29)</f>
        <v>0</v>
      </c>
      <c r="AF24" s="171">
        <f>SUMIF('BS(M)'!$K$13:$EP$13,AF$8,'BS(M)'!$K29:$EP29)</f>
        <v>0</v>
      </c>
      <c r="AG24" s="171">
        <f>SUMIF('BS(M)'!$K$13:$EP$13,AG$8,'BS(M)'!$K29:$EP29)</f>
        <v>0</v>
      </c>
      <c r="AH24" s="171">
        <f>SUMIF('BS(M)'!$K$13:$EP$13,AH$8,'BS(M)'!$K29:$EP29)</f>
        <v>0</v>
      </c>
      <c r="AI24" s="171">
        <f>SUMIF('BS(M)'!$K$13:$EP$13,AI$8,'BS(M)'!$K29:$EP29)</f>
        <v>0</v>
      </c>
      <c r="AJ24" s="171">
        <f>SUMIF('BS(M)'!$K$13:$EP$13,AJ$8,'BS(M)'!$K29:$EP29)</f>
        <v>0</v>
      </c>
      <c r="AK24" s="171">
        <f>SUMIF('BS(M)'!$K$13:$EP$13,AK$8,'BS(M)'!$K29:$EP29)</f>
        <v>0</v>
      </c>
      <c r="AL24" s="171">
        <f>SUMIF('BS(M)'!$K$13:$EP$13,AL$8,'BS(M)'!$K29:$EP29)</f>
        <v>0</v>
      </c>
      <c r="AM24" s="171">
        <f>SUMIF('BS(M)'!$K$13:$EP$13,AM$8,'BS(M)'!$K29:$EP29)</f>
        <v>0</v>
      </c>
      <c r="AN24" s="171">
        <f>SUMIF('BS(M)'!$K$13:$EP$13,AN$8,'BS(M)'!$K29:$EP29)</f>
        <v>0</v>
      </c>
      <c r="AO24" s="171">
        <f>SUMIF('BS(M)'!$K$13:$EP$13,AO$8,'BS(M)'!$K29:$EP29)</f>
        <v>0</v>
      </c>
      <c r="AP24" s="171">
        <f>SUMIF('BS(M)'!$K$13:$EP$13,AP$8,'BS(M)'!$K29:$EP29)</f>
        <v>0</v>
      </c>
      <c r="AQ24" s="171">
        <f>SUMIF('BS(M)'!$K$13:$EP$13,AQ$8,'BS(M)'!$K29:$EP29)</f>
        <v>0</v>
      </c>
      <c r="AR24" s="171">
        <f>SUMIF('BS(M)'!$K$13:$EP$13,AR$8,'BS(M)'!$K29:$EP29)</f>
        <v>0</v>
      </c>
      <c r="AS24" s="171">
        <f>SUMIF('BS(M)'!$K$13:$EP$13,AS$8,'BS(M)'!$K29:$EP29)</f>
        <v>0</v>
      </c>
      <c r="AT24" s="171">
        <f>SUMIF('BS(M)'!$K$13:$EP$13,AT$8,'BS(M)'!$K29:$EP29)</f>
        <v>0</v>
      </c>
      <c r="AU24" s="171">
        <f>SUMIF('BS(M)'!$K$13:$EP$13,AU$8,'BS(M)'!$K29:$EP29)</f>
        <v>0</v>
      </c>
      <c r="AV24" s="171">
        <f>SUMIF('BS(M)'!$K$13:$EP$13,AV$8,'BS(M)'!$K29:$EP29)</f>
        <v>0</v>
      </c>
      <c r="AW24" s="171">
        <f>SUMIF('BS(M)'!$K$13:$EP$13,AW$8,'BS(M)'!$K29:$EP29)</f>
        <v>0</v>
      </c>
      <c r="AX24" s="171">
        <f>SUMIF('BS(M)'!$K$13:$EP$13,AX$8,'BS(M)'!$K29:$EP29)</f>
        <v>0</v>
      </c>
      <c r="AY24" s="171">
        <f>SUMIF('BS(M)'!$K$13:$EP$13,AY$8,'BS(M)'!$K29:$EP29)</f>
        <v>0</v>
      </c>
      <c r="AZ24" s="171">
        <f>SUMIF('BS(M)'!$K$13:$EP$13,AZ$8,'BS(M)'!$K29:$EP29)</f>
        <v>0</v>
      </c>
      <c r="BA24" s="171">
        <f>SUMIF('BS(M)'!$K$13:$EP$13,BA$8,'BS(M)'!$K29:$EP29)</f>
        <v>0</v>
      </c>
      <c r="BB24" s="171">
        <f>SUMIF('BS(M)'!$K$13:$EP$13,BB$8,'BS(M)'!$K29:$EP29)</f>
        <v>0</v>
      </c>
      <c r="BC24" s="171">
        <f>SUMIF('BS(M)'!$K$13:$EP$13,BC$8,'BS(M)'!$K29:$EP29)</f>
        <v>0</v>
      </c>
      <c r="BD24" s="171">
        <f>SUMIF('BS(M)'!$K$13:$EP$13,BD$8,'BS(M)'!$K29:$EP29)</f>
        <v>0</v>
      </c>
      <c r="BE24" s="171">
        <f>SUMIF('BS(M)'!$K$13:$EP$13,BE$8,'BS(M)'!$K29:$EP29)</f>
        <v>0</v>
      </c>
      <c r="BF24" s="171">
        <f>SUMIF('BS(M)'!$K$13:$EP$13,BF$8,'BS(M)'!$K29:$EP29)</f>
        <v>0</v>
      </c>
      <c r="BG24" s="171">
        <f>SUMIF('BS(M)'!$K$13:$EP$13,BG$8,'BS(M)'!$K29:$EP29)</f>
        <v>0</v>
      </c>
      <c r="BH24" s="171">
        <f>SUMIF('BS(M)'!$K$13:$EP$13,BH$8,'BS(M)'!$K29:$EP29)</f>
        <v>0</v>
      </c>
      <c r="BI24" s="171">
        <f>SUMIF('BS(M)'!$K$13:$EP$13,BI$8,'BS(M)'!$K29:$EP29)</f>
        <v>0</v>
      </c>
      <c r="BJ24" s="171">
        <f>SUMIF('BS(M)'!$K$13:$EP$13,BJ$8,'BS(M)'!$K29:$EP29)</f>
        <v>0</v>
      </c>
      <c r="BK24" s="171">
        <f>SUMIF('BS(M)'!$K$13:$EP$13,BK$8,'BS(M)'!$K29:$EP29)</f>
        <v>0</v>
      </c>
      <c r="BL24" s="171">
        <f>SUMIF('BS(M)'!$K$13:$EP$13,BL$8,'BS(M)'!$K29:$EP29)</f>
        <v>0</v>
      </c>
      <c r="BM24" s="171">
        <f>SUMIF('BS(M)'!$K$13:$EP$13,BM$8,'BS(M)'!$K29:$EP29)</f>
        <v>0</v>
      </c>
      <c r="BN24" s="171">
        <f>SUMIF('BS(M)'!$K$13:$EP$13,BN$8,'BS(M)'!$K29:$EP29)</f>
        <v>0</v>
      </c>
      <c r="BO24" s="171">
        <f>SUMIF('BS(M)'!$K$13:$EP$13,BO$8,'BS(M)'!$K29:$EP29)</f>
        <v>0</v>
      </c>
      <c r="BP24" s="171">
        <f>SUMIF('BS(M)'!$K$13:$EP$13,BP$8,'BS(M)'!$K29:$EP29)</f>
        <v>0</v>
      </c>
      <c r="BQ24" s="171">
        <f>SUMIF('BS(M)'!$K$13:$EP$13,BQ$8,'BS(M)'!$K29:$EP29)</f>
        <v>0</v>
      </c>
      <c r="BR24" s="171">
        <f>SUMIF('BS(M)'!$K$13:$EP$13,BR$8,'BS(M)'!$K29:$EP29)</f>
        <v>0</v>
      </c>
      <c r="BS24" s="171">
        <f>SUMIF('BS(M)'!$K$13:$EP$13,BS$8,'BS(M)'!$K29:$EP29)</f>
        <v>0</v>
      </c>
      <c r="BT24" s="171">
        <f>SUMIF('BS(M)'!$K$13:$EP$13,BT$8,'BS(M)'!$K29:$EP29)</f>
        <v>0</v>
      </c>
      <c r="BU24" s="171">
        <f>SUMIF('BS(M)'!$K$13:$EP$13,BU$8,'BS(M)'!$K29:$EP29)</f>
        <v>0</v>
      </c>
      <c r="BV24" s="171">
        <f>SUMIF('BS(M)'!$K$13:$EP$13,BV$8,'BS(M)'!$K29:$EP29)</f>
        <v>0</v>
      </c>
      <c r="BW24" s="171">
        <f>SUMIF('BS(M)'!$K$13:$EP$13,BW$8,'BS(M)'!$K29:$EP29)</f>
        <v>0</v>
      </c>
      <c r="BX24" s="171">
        <f>SUMIF('BS(M)'!$K$13:$EP$13,BX$8,'BS(M)'!$K29:$EP29)</f>
        <v>0</v>
      </c>
      <c r="BY24" s="171">
        <f>SUMIF('BS(M)'!$K$13:$EP$13,BY$8,'BS(M)'!$K29:$EP29)</f>
        <v>0</v>
      </c>
      <c r="BZ24" s="171">
        <f>SUMIF('BS(M)'!$K$13:$EP$13,BZ$8,'BS(M)'!$K29:$EP29)</f>
        <v>0</v>
      </c>
      <c r="CA24" s="171">
        <f>SUMIF('BS(M)'!$K$13:$EP$13,CA$8,'BS(M)'!$K29:$EP29)</f>
        <v>0</v>
      </c>
      <c r="CB24" s="171">
        <f>SUMIF('BS(M)'!$K$13:$EP$13,CB$8,'BS(M)'!$K29:$EP29)</f>
        <v>0</v>
      </c>
      <c r="CC24" s="171">
        <f>SUMIF('BS(M)'!$K$13:$EP$13,CC$8,'BS(M)'!$K29:$EP29)</f>
        <v>0</v>
      </c>
      <c r="CD24" s="171">
        <f>SUMIF('BS(M)'!$K$13:$EP$13,CD$8,'BS(M)'!$K29:$EP29)</f>
        <v>0</v>
      </c>
      <c r="CE24" s="171">
        <f>SUMIF('BS(M)'!$K$13:$EP$13,CE$8,'BS(M)'!$K29:$EP29)</f>
        <v>0</v>
      </c>
      <c r="CF24" s="171">
        <f>SUMIF('BS(M)'!$K$13:$EP$13,CF$8,'BS(M)'!$K29:$EP29)</f>
        <v>0</v>
      </c>
      <c r="CG24" s="171">
        <f>SUMIF('BS(M)'!$K$13:$EP$13,CG$8,'BS(M)'!$K29:$EP29)</f>
        <v>0</v>
      </c>
      <c r="CH24" s="171">
        <f>SUMIF('BS(M)'!$K$13:$EP$13,CH$8,'BS(M)'!$K29:$EP29)</f>
        <v>0</v>
      </c>
      <c r="CI24" s="171">
        <f>SUMIF('BS(M)'!$K$13:$EP$13,CI$8,'BS(M)'!$K29:$EP29)</f>
        <v>0</v>
      </c>
      <c r="CJ24" s="171">
        <f>SUMIF('BS(M)'!$K$13:$EP$13,CJ$8,'BS(M)'!$K29:$EP29)</f>
        <v>0</v>
      </c>
      <c r="CK24" s="171">
        <f>SUMIF('BS(M)'!$K$13:$EP$13,CK$8,'BS(M)'!$K29:$EP29)</f>
        <v>0</v>
      </c>
      <c r="CL24" s="171">
        <f>SUMIF('BS(M)'!$K$13:$EP$13,CL$8,'BS(M)'!$K29:$EP29)</f>
        <v>0</v>
      </c>
      <c r="CM24" s="171">
        <f>SUMIF('BS(M)'!$K$13:$EP$13,CM$8,'BS(M)'!$K29:$EP29)</f>
        <v>0</v>
      </c>
      <c r="CN24" s="171">
        <f>SUMIF('BS(M)'!$K$13:$EP$13,CN$8,'BS(M)'!$K29:$EP29)</f>
        <v>0</v>
      </c>
      <c r="CO24" s="171">
        <f>SUMIF('BS(M)'!$K$13:$EP$13,CO$8,'BS(M)'!$K29:$EP29)</f>
        <v>0</v>
      </c>
      <c r="CP24" s="171">
        <f>SUMIF('BS(M)'!$K$13:$EP$13,CP$8,'BS(M)'!$K29:$EP29)</f>
        <v>0</v>
      </c>
      <c r="CQ24" s="171">
        <f>SUMIF('BS(M)'!$K$13:$EP$13,CQ$8,'BS(M)'!$K29:$EP29)</f>
        <v>0</v>
      </c>
      <c r="CR24" s="171">
        <f>SUMIF('BS(M)'!$K$13:$EP$13,CR$8,'BS(M)'!$K29:$EP29)</f>
        <v>0</v>
      </c>
      <c r="CS24" s="171">
        <f>SUMIF('BS(M)'!$K$13:$EP$13,CS$8,'BS(M)'!$K29:$EP29)</f>
        <v>0</v>
      </c>
      <c r="CT24" s="171">
        <f>SUMIF('BS(M)'!$K$13:$EP$13,CT$8,'BS(M)'!$K29:$EP29)</f>
        <v>0</v>
      </c>
      <c r="CU24" s="171">
        <f>SUMIF('BS(M)'!$K$13:$EP$13,CU$8,'BS(M)'!$K29:$EP29)</f>
        <v>0</v>
      </c>
      <c r="CV24" s="171">
        <f>SUMIF('BS(M)'!$K$13:$EP$13,CV$8,'BS(M)'!$K29:$EP29)</f>
        <v>0</v>
      </c>
      <c r="CW24" s="171">
        <f>SUMIF('BS(M)'!$K$13:$EP$13,CW$8,'BS(M)'!$K29:$EP29)</f>
        <v>0</v>
      </c>
      <c r="CX24" s="171">
        <f>SUMIF('BS(M)'!$K$13:$EP$13,CX$8,'BS(M)'!$K29:$EP29)</f>
        <v>0</v>
      </c>
      <c r="CY24" s="171">
        <f>SUMIF('BS(M)'!$K$13:$EP$13,CY$8,'BS(M)'!$K29:$EP29)</f>
        <v>0</v>
      </c>
      <c r="CZ24" s="171">
        <f>SUMIF('BS(M)'!$K$13:$EP$13,CZ$8,'BS(M)'!$K29:$EP29)</f>
        <v>0</v>
      </c>
      <c r="DA24" s="171">
        <f>SUMIF('BS(M)'!$K$13:$EP$13,DA$8,'BS(M)'!$K29:$EP29)</f>
        <v>0</v>
      </c>
      <c r="DB24" s="171">
        <f>SUMIF('BS(M)'!$K$13:$EP$13,DB$8,'BS(M)'!$K29:$EP29)</f>
        <v>0</v>
      </c>
      <c r="DC24" s="171">
        <f>SUMIF('BS(M)'!$K$13:$EP$13,DC$8,'BS(M)'!$K29:$EP29)</f>
        <v>0</v>
      </c>
      <c r="DD24" s="171">
        <f>SUMIF('BS(M)'!$K$13:$EP$13,DD$8,'BS(M)'!$K29:$EP29)</f>
        <v>0</v>
      </c>
      <c r="DE24" s="171">
        <f>SUMIF('BS(M)'!$K$13:$EP$13,DE$8,'BS(M)'!$K29:$EP29)</f>
        <v>0</v>
      </c>
      <c r="DF24" s="171">
        <f>SUMIF('BS(M)'!$K$13:$EP$13,DF$8,'BS(M)'!$K29:$EP29)</f>
        <v>0</v>
      </c>
      <c r="DG24" s="171">
        <f>SUMIF('BS(M)'!$K$13:$EP$13,DG$8,'BS(M)'!$K29:$EP29)</f>
        <v>0</v>
      </c>
      <c r="DH24" s="171">
        <f>SUMIF('BS(M)'!$K$13:$EP$13,DH$8,'BS(M)'!$K29:$EP29)</f>
        <v>0</v>
      </c>
      <c r="DI24" s="171">
        <f>SUMIF('BS(M)'!$K$13:$EP$13,DI$8,'BS(M)'!$K29:$EP29)</f>
        <v>0</v>
      </c>
      <c r="DJ24" s="171">
        <f>SUMIF('BS(M)'!$K$13:$EP$13,DJ$8,'BS(M)'!$K29:$EP29)</f>
        <v>0</v>
      </c>
      <c r="DK24" s="171">
        <f>SUMIF('BS(M)'!$K$13:$EP$13,DK$8,'BS(M)'!$K29:$EP29)</f>
        <v>0</v>
      </c>
      <c r="DL24" s="171">
        <f>SUMIF('BS(M)'!$K$13:$EP$13,DL$8,'BS(M)'!$K29:$EP29)</f>
        <v>0</v>
      </c>
      <c r="DM24" s="171">
        <f>SUMIF('BS(M)'!$K$13:$EP$13,DM$8,'BS(M)'!$K29:$EP29)</f>
        <v>0</v>
      </c>
      <c r="DN24" s="171">
        <f>SUMIF('BS(M)'!$K$13:$EP$13,DN$8,'BS(M)'!$K29:$EP29)</f>
        <v>0</v>
      </c>
      <c r="DO24" s="171">
        <f>SUMIF('BS(M)'!$K$13:$EP$13,DO$8,'BS(M)'!$K29:$EP29)</f>
        <v>0</v>
      </c>
      <c r="DP24" s="171">
        <f>SUMIF('BS(M)'!$K$13:$EP$13,DP$8,'BS(M)'!$K29:$EP29)</f>
        <v>0</v>
      </c>
      <c r="DQ24" s="171">
        <f>SUMIF('BS(M)'!$K$13:$EP$13,DQ$8,'BS(M)'!$K29:$EP29)</f>
        <v>0</v>
      </c>
      <c r="DR24" s="171">
        <f>SUMIF('BS(M)'!$K$13:$EP$13,DR$8,'BS(M)'!$K29:$EP29)</f>
        <v>0</v>
      </c>
      <c r="DS24" s="171">
        <f>SUMIF('BS(M)'!$K$13:$EP$13,DS$8,'BS(M)'!$K29:$EP29)</f>
        <v>0</v>
      </c>
      <c r="DT24" s="171">
        <f>SUMIF('BS(M)'!$K$13:$EP$13,DT$8,'BS(M)'!$K29:$EP29)</f>
        <v>0</v>
      </c>
      <c r="DU24" s="171">
        <f>SUMIF('BS(M)'!$K$13:$EP$13,DU$8,'BS(M)'!$K29:$EP29)</f>
        <v>0</v>
      </c>
    </row>
    <row r="25" spans="2:125">
      <c r="B25" s="218"/>
      <c r="C25" s="158" t="s">
        <v>563</v>
      </c>
      <c r="D25" s="159"/>
      <c r="E25" s="159"/>
      <c r="F25" s="159"/>
      <c r="G25" s="159"/>
      <c r="H25" s="160"/>
      <c r="I25" s="973"/>
      <c r="J25" s="98"/>
      <c r="K25" s="162">
        <f t="shared" ref="K25:AP25" si="22">SUM(K26:K28)</f>
        <v>200100000</v>
      </c>
      <c r="L25" s="162">
        <f t="shared" si="22"/>
        <v>200100000</v>
      </c>
      <c r="M25" s="162">
        <f t="shared" si="22"/>
        <v>200100000</v>
      </c>
      <c r="N25" s="162">
        <f t="shared" si="22"/>
        <v>200100000</v>
      </c>
      <c r="O25" s="162">
        <f t="shared" si="22"/>
        <v>215100000</v>
      </c>
      <c r="P25" s="162">
        <f t="shared" si="22"/>
        <v>215100000</v>
      </c>
      <c r="Q25" s="162">
        <f t="shared" si="22"/>
        <v>215100000</v>
      </c>
      <c r="R25" s="162">
        <f t="shared" si="22"/>
        <v>215100000</v>
      </c>
      <c r="S25" s="162">
        <f t="shared" si="22"/>
        <v>215100000</v>
      </c>
      <c r="T25" s="162">
        <f t="shared" si="22"/>
        <v>215100000</v>
      </c>
      <c r="U25" s="162">
        <f t="shared" si="22"/>
        <v>215100000</v>
      </c>
      <c r="V25" s="162">
        <f t="shared" si="22"/>
        <v>215100000</v>
      </c>
      <c r="W25" s="162">
        <f t="shared" si="22"/>
        <v>215100000</v>
      </c>
      <c r="X25" s="162">
        <f t="shared" si="22"/>
        <v>215100000</v>
      </c>
      <c r="Y25" s="162">
        <f t="shared" si="22"/>
        <v>215100000</v>
      </c>
      <c r="Z25" s="162">
        <f t="shared" si="22"/>
        <v>215100000</v>
      </c>
      <c r="AA25" s="162">
        <f t="shared" si="22"/>
        <v>215100000</v>
      </c>
      <c r="AB25" s="162">
        <f t="shared" si="22"/>
        <v>215100000</v>
      </c>
      <c r="AC25" s="162">
        <f t="shared" si="22"/>
        <v>215100000</v>
      </c>
      <c r="AD25" s="162">
        <f t="shared" si="22"/>
        <v>215100000</v>
      </c>
      <c r="AE25" s="162">
        <f t="shared" si="22"/>
        <v>0</v>
      </c>
      <c r="AF25" s="162">
        <f t="shared" si="22"/>
        <v>0</v>
      </c>
      <c r="AG25" s="162">
        <f t="shared" si="22"/>
        <v>0</v>
      </c>
      <c r="AH25" s="162">
        <f t="shared" si="22"/>
        <v>0</v>
      </c>
      <c r="AI25" s="162">
        <f t="shared" si="22"/>
        <v>0</v>
      </c>
      <c r="AJ25" s="162">
        <f t="shared" si="22"/>
        <v>0</v>
      </c>
      <c r="AK25" s="162">
        <f t="shared" si="22"/>
        <v>0</v>
      </c>
      <c r="AL25" s="162">
        <f t="shared" si="22"/>
        <v>0</v>
      </c>
      <c r="AM25" s="162">
        <f t="shared" si="22"/>
        <v>0</v>
      </c>
      <c r="AN25" s="162">
        <f t="shared" si="22"/>
        <v>0</v>
      </c>
      <c r="AO25" s="162">
        <f t="shared" si="22"/>
        <v>0</v>
      </c>
      <c r="AP25" s="162">
        <f t="shared" si="22"/>
        <v>0</v>
      </c>
      <c r="AQ25" s="162">
        <f t="shared" ref="AQ25:BV25" si="23">SUM(AQ26:AQ28)</f>
        <v>0</v>
      </c>
      <c r="AR25" s="162">
        <f t="shared" si="23"/>
        <v>0</v>
      </c>
      <c r="AS25" s="162">
        <f t="shared" si="23"/>
        <v>0</v>
      </c>
      <c r="AT25" s="162">
        <f t="shared" si="23"/>
        <v>0</v>
      </c>
      <c r="AU25" s="162">
        <f t="shared" si="23"/>
        <v>0</v>
      </c>
      <c r="AV25" s="162">
        <f t="shared" si="23"/>
        <v>0</v>
      </c>
      <c r="AW25" s="162">
        <f t="shared" si="23"/>
        <v>0</v>
      </c>
      <c r="AX25" s="162">
        <f t="shared" si="23"/>
        <v>0</v>
      </c>
      <c r="AY25" s="162">
        <f t="shared" si="23"/>
        <v>0</v>
      </c>
      <c r="AZ25" s="162">
        <f t="shared" si="23"/>
        <v>0</v>
      </c>
      <c r="BA25" s="162">
        <f t="shared" si="23"/>
        <v>0</v>
      </c>
      <c r="BB25" s="162">
        <f t="shared" si="23"/>
        <v>0</v>
      </c>
      <c r="BC25" s="162">
        <f t="shared" si="23"/>
        <v>0</v>
      </c>
      <c r="BD25" s="162">
        <f t="shared" si="23"/>
        <v>0</v>
      </c>
      <c r="BE25" s="162">
        <f t="shared" si="23"/>
        <v>0</v>
      </c>
      <c r="BF25" s="162">
        <f t="shared" si="23"/>
        <v>0</v>
      </c>
      <c r="BG25" s="162">
        <f t="shared" si="23"/>
        <v>0</v>
      </c>
      <c r="BH25" s="162">
        <f t="shared" si="23"/>
        <v>0</v>
      </c>
      <c r="BI25" s="162">
        <f t="shared" si="23"/>
        <v>0</v>
      </c>
      <c r="BJ25" s="162">
        <f t="shared" si="23"/>
        <v>0</v>
      </c>
      <c r="BK25" s="162">
        <f t="shared" si="23"/>
        <v>0</v>
      </c>
      <c r="BL25" s="162">
        <f t="shared" si="23"/>
        <v>0</v>
      </c>
      <c r="BM25" s="162">
        <f t="shared" si="23"/>
        <v>0</v>
      </c>
      <c r="BN25" s="162">
        <f t="shared" si="23"/>
        <v>0</v>
      </c>
      <c r="BO25" s="162">
        <f t="shared" si="23"/>
        <v>0</v>
      </c>
      <c r="BP25" s="162">
        <f t="shared" si="23"/>
        <v>0</v>
      </c>
      <c r="BQ25" s="162">
        <f t="shared" si="23"/>
        <v>0</v>
      </c>
      <c r="BR25" s="162">
        <f t="shared" si="23"/>
        <v>0</v>
      </c>
      <c r="BS25" s="162">
        <f t="shared" si="23"/>
        <v>0</v>
      </c>
      <c r="BT25" s="162">
        <f t="shared" si="23"/>
        <v>0</v>
      </c>
      <c r="BU25" s="162">
        <f t="shared" si="23"/>
        <v>0</v>
      </c>
      <c r="BV25" s="162">
        <f t="shared" si="23"/>
        <v>0</v>
      </c>
      <c r="BW25" s="162">
        <f t="shared" ref="BW25:DB25" si="24">SUM(BW26:BW28)</f>
        <v>0</v>
      </c>
      <c r="BX25" s="162">
        <f t="shared" si="24"/>
        <v>0</v>
      </c>
      <c r="BY25" s="162">
        <f t="shared" si="24"/>
        <v>0</v>
      </c>
      <c r="BZ25" s="162">
        <f t="shared" si="24"/>
        <v>0</v>
      </c>
      <c r="CA25" s="162">
        <f t="shared" si="24"/>
        <v>0</v>
      </c>
      <c r="CB25" s="162">
        <f t="shared" si="24"/>
        <v>0</v>
      </c>
      <c r="CC25" s="162">
        <f t="shared" si="24"/>
        <v>0</v>
      </c>
      <c r="CD25" s="162">
        <f t="shared" si="24"/>
        <v>0</v>
      </c>
      <c r="CE25" s="162">
        <f t="shared" si="24"/>
        <v>0</v>
      </c>
      <c r="CF25" s="162">
        <f t="shared" si="24"/>
        <v>0</v>
      </c>
      <c r="CG25" s="162">
        <f t="shared" si="24"/>
        <v>0</v>
      </c>
      <c r="CH25" s="162">
        <f t="shared" si="24"/>
        <v>0</v>
      </c>
      <c r="CI25" s="162">
        <f t="shared" si="24"/>
        <v>0</v>
      </c>
      <c r="CJ25" s="162">
        <f t="shared" si="24"/>
        <v>0</v>
      </c>
      <c r="CK25" s="162">
        <f t="shared" si="24"/>
        <v>0</v>
      </c>
      <c r="CL25" s="162">
        <f t="shared" si="24"/>
        <v>0</v>
      </c>
      <c r="CM25" s="162">
        <f t="shared" si="24"/>
        <v>0</v>
      </c>
      <c r="CN25" s="162">
        <f t="shared" si="24"/>
        <v>0</v>
      </c>
      <c r="CO25" s="162">
        <f t="shared" si="24"/>
        <v>0</v>
      </c>
      <c r="CP25" s="162">
        <f t="shared" si="24"/>
        <v>0</v>
      </c>
      <c r="CQ25" s="162">
        <f t="shared" si="24"/>
        <v>0</v>
      </c>
      <c r="CR25" s="162">
        <f t="shared" si="24"/>
        <v>0</v>
      </c>
      <c r="CS25" s="162">
        <f t="shared" si="24"/>
        <v>0</v>
      </c>
      <c r="CT25" s="162">
        <f t="shared" si="24"/>
        <v>0</v>
      </c>
      <c r="CU25" s="162">
        <f t="shared" si="24"/>
        <v>0</v>
      </c>
      <c r="CV25" s="162">
        <f t="shared" si="24"/>
        <v>0</v>
      </c>
      <c r="CW25" s="162">
        <f t="shared" si="24"/>
        <v>0</v>
      </c>
      <c r="CX25" s="162">
        <f t="shared" si="24"/>
        <v>0</v>
      </c>
      <c r="CY25" s="162">
        <f t="shared" si="24"/>
        <v>0</v>
      </c>
      <c r="CZ25" s="162">
        <f t="shared" si="24"/>
        <v>0</v>
      </c>
      <c r="DA25" s="162">
        <f t="shared" si="24"/>
        <v>0</v>
      </c>
      <c r="DB25" s="162">
        <f t="shared" si="24"/>
        <v>0</v>
      </c>
      <c r="DC25" s="162">
        <f t="shared" ref="DC25:DU25" si="25">SUM(DC26:DC28)</f>
        <v>0</v>
      </c>
      <c r="DD25" s="162">
        <f t="shared" si="25"/>
        <v>0</v>
      </c>
      <c r="DE25" s="162">
        <f t="shared" si="25"/>
        <v>0</v>
      </c>
      <c r="DF25" s="162">
        <f t="shared" si="25"/>
        <v>0</v>
      </c>
      <c r="DG25" s="162">
        <f t="shared" si="25"/>
        <v>0</v>
      </c>
      <c r="DH25" s="162">
        <f t="shared" si="25"/>
        <v>0</v>
      </c>
      <c r="DI25" s="162">
        <f t="shared" si="25"/>
        <v>0</v>
      </c>
      <c r="DJ25" s="162">
        <f t="shared" si="25"/>
        <v>0</v>
      </c>
      <c r="DK25" s="162">
        <f t="shared" si="25"/>
        <v>0</v>
      </c>
      <c r="DL25" s="162">
        <f t="shared" si="25"/>
        <v>0</v>
      </c>
      <c r="DM25" s="162">
        <f t="shared" si="25"/>
        <v>0</v>
      </c>
      <c r="DN25" s="162">
        <f t="shared" si="25"/>
        <v>0</v>
      </c>
      <c r="DO25" s="162">
        <f t="shared" si="25"/>
        <v>0</v>
      </c>
      <c r="DP25" s="162">
        <f t="shared" si="25"/>
        <v>0</v>
      </c>
      <c r="DQ25" s="162">
        <f t="shared" si="25"/>
        <v>0</v>
      </c>
      <c r="DR25" s="162">
        <f t="shared" si="25"/>
        <v>0</v>
      </c>
      <c r="DS25" s="162">
        <f t="shared" si="25"/>
        <v>0</v>
      </c>
      <c r="DT25" s="162">
        <f t="shared" si="25"/>
        <v>0</v>
      </c>
      <c r="DU25" s="162">
        <f t="shared" si="25"/>
        <v>0</v>
      </c>
    </row>
    <row r="26" spans="2:125">
      <c r="B26" s="218"/>
      <c r="C26" s="163"/>
      <c r="D26" s="164" t="s">
        <v>642</v>
      </c>
      <c r="E26" s="165"/>
      <c r="F26" s="165"/>
      <c r="G26" s="165"/>
      <c r="H26" s="166"/>
      <c r="I26" s="976"/>
      <c r="J26" s="98"/>
      <c r="K26" s="168">
        <f>SUMIF('BS(M)'!$K$13:$EP$13,K$8,'BS(M)'!$K31:$EP31)</f>
        <v>2100000</v>
      </c>
      <c r="L26" s="168">
        <f>SUMIF('BS(M)'!$K$13:$EP$13,L$8,'BS(M)'!$K31:$EP31)</f>
        <v>2100000</v>
      </c>
      <c r="M26" s="168">
        <f>SUMIF('BS(M)'!$K$13:$EP$13,M$8,'BS(M)'!$K31:$EP31)</f>
        <v>2100000</v>
      </c>
      <c r="N26" s="168">
        <f>SUMIF('BS(M)'!$K$13:$EP$13,N$8,'BS(M)'!$K31:$EP31)</f>
        <v>2100000</v>
      </c>
      <c r="O26" s="168">
        <f>SUMIF('BS(M)'!$K$13:$EP$13,O$8,'BS(M)'!$K31:$EP31)</f>
        <v>2100000</v>
      </c>
      <c r="P26" s="168">
        <f>SUMIF('BS(M)'!$K$13:$EP$13,P$8,'BS(M)'!$K31:$EP31)</f>
        <v>2100000</v>
      </c>
      <c r="Q26" s="168">
        <f>SUMIF('BS(M)'!$K$13:$EP$13,Q$8,'BS(M)'!$K31:$EP31)</f>
        <v>2100000</v>
      </c>
      <c r="R26" s="168">
        <f>SUMIF('BS(M)'!$K$13:$EP$13,R$8,'BS(M)'!$K31:$EP31)</f>
        <v>2100000</v>
      </c>
      <c r="S26" s="168">
        <f>SUMIF('BS(M)'!$K$13:$EP$13,S$8,'BS(M)'!$K31:$EP31)</f>
        <v>2100000</v>
      </c>
      <c r="T26" s="168">
        <f>SUMIF('BS(M)'!$K$13:$EP$13,T$8,'BS(M)'!$K31:$EP31)</f>
        <v>2100000</v>
      </c>
      <c r="U26" s="168">
        <f>SUMIF('BS(M)'!$K$13:$EP$13,U$8,'BS(M)'!$K31:$EP31)</f>
        <v>2100000</v>
      </c>
      <c r="V26" s="168">
        <f>SUMIF('BS(M)'!$K$13:$EP$13,V$8,'BS(M)'!$K31:$EP31)</f>
        <v>2100000</v>
      </c>
      <c r="W26" s="168">
        <f>SUMIF('BS(M)'!$K$13:$EP$13,W$8,'BS(M)'!$K31:$EP31)</f>
        <v>2100000</v>
      </c>
      <c r="X26" s="168">
        <f>SUMIF('BS(M)'!$K$13:$EP$13,X$8,'BS(M)'!$K31:$EP31)</f>
        <v>2100000</v>
      </c>
      <c r="Y26" s="168">
        <f>SUMIF('BS(M)'!$K$13:$EP$13,Y$8,'BS(M)'!$K31:$EP31)</f>
        <v>2100000</v>
      </c>
      <c r="Z26" s="168">
        <f>SUMIF('BS(M)'!$K$13:$EP$13,Z$8,'BS(M)'!$K31:$EP31)</f>
        <v>2100000</v>
      </c>
      <c r="AA26" s="168">
        <f>SUMIF('BS(M)'!$K$13:$EP$13,AA$8,'BS(M)'!$K31:$EP31)</f>
        <v>2100000</v>
      </c>
      <c r="AB26" s="168">
        <f>SUMIF('BS(M)'!$K$13:$EP$13,AB$8,'BS(M)'!$K31:$EP31)</f>
        <v>2100000</v>
      </c>
      <c r="AC26" s="168">
        <f>SUMIF('BS(M)'!$K$13:$EP$13,AC$8,'BS(M)'!$K31:$EP31)</f>
        <v>2100000</v>
      </c>
      <c r="AD26" s="168">
        <f>SUMIF('BS(M)'!$K$13:$EP$13,AD$8,'BS(M)'!$K31:$EP31)</f>
        <v>2100000</v>
      </c>
      <c r="AE26" s="168">
        <f>SUMIF('BS(M)'!$K$13:$EP$13,AE$8,'BS(M)'!$K31:$EP31)</f>
        <v>0</v>
      </c>
      <c r="AF26" s="168">
        <f>SUMIF('BS(M)'!$K$13:$EP$13,AF$8,'BS(M)'!$K31:$EP31)</f>
        <v>0</v>
      </c>
      <c r="AG26" s="168">
        <f>SUMIF('BS(M)'!$K$13:$EP$13,AG$8,'BS(M)'!$K31:$EP31)</f>
        <v>0</v>
      </c>
      <c r="AH26" s="168">
        <f>SUMIF('BS(M)'!$K$13:$EP$13,AH$8,'BS(M)'!$K31:$EP31)</f>
        <v>0</v>
      </c>
      <c r="AI26" s="168">
        <f>SUMIF('BS(M)'!$K$13:$EP$13,AI$8,'BS(M)'!$K31:$EP31)</f>
        <v>0</v>
      </c>
      <c r="AJ26" s="168">
        <f>SUMIF('BS(M)'!$K$13:$EP$13,AJ$8,'BS(M)'!$K31:$EP31)</f>
        <v>0</v>
      </c>
      <c r="AK26" s="168">
        <f>SUMIF('BS(M)'!$K$13:$EP$13,AK$8,'BS(M)'!$K31:$EP31)</f>
        <v>0</v>
      </c>
      <c r="AL26" s="168">
        <f>SUMIF('BS(M)'!$K$13:$EP$13,AL$8,'BS(M)'!$K31:$EP31)</f>
        <v>0</v>
      </c>
      <c r="AM26" s="168">
        <f>SUMIF('BS(M)'!$K$13:$EP$13,AM$8,'BS(M)'!$K31:$EP31)</f>
        <v>0</v>
      </c>
      <c r="AN26" s="168">
        <f>SUMIF('BS(M)'!$K$13:$EP$13,AN$8,'BS(M)'!$K31:$EP31)</f>
        <v>0</v>
      </c>
      <c r="AO26" s="168">
        <f>SUMIF('BS(M)'!$K$13:$EP$13,AO$8,'BS(M)'!$K31:$EP31)</f>
        <v>0</v>
      </c>
      <c r="AP26" s="168">
        <f>SUMIF('BS(M)'!$K$13:$EP$13,AP$8,'BS(M)'!$K31:$EP31)</f>
        <v>0</v>
      </c>
      <c r="AQ26" s="168">
        <f>SUMIF('BS(M)'!$K$13:$EP$13,AQ$8,'BS(M)'!$K31:$EP31)</f>
        <v>0</v>
      </c>
      <c r="AR26" s="168">
        <f>SUMIF('BS(M)'!$K$13:$EP$13,AR$8,'BS(M)'!$K31:$EP31)</f>
        <v>0</v>
      </c>
      <c r="AS26" s="168">
        <f>SUMIF('BS(M)'!$K$13:$EP$13,AS$8,'BS(M)'!$K31:$EP31)</f>
        <v>0</v>
      </c>
      <c r="AT26" s="168">
        <f>SUMIF('BS(M)'!$K$13:$EP$13,AT$8,'BS(M)'!$K31:$EP31)</f>
        <v>0</v>
      </c>
      <c r="AU26" s="168">
        <f>SUMIF('BS(M)'!$K$13:$EP$13,AU$8,'BS(M)'!$K31:$EP31)</f>
        <v>0</v>
      </c>
      <c r="AV26" s="168">
        <f>SUMIF('BS(M)'!$K$13:$EP$13,AV$8,'BS(M)'!$K31:$EP31)</f>
        <v>0</v>
      </c>
      <c r="AW26" s="168">
        <f>SUMIF('BS(M)'!$K$13:$EP$13,AW$8,'BS(M)'!$K31:$EP31)</f>
        <v>0</v>
      </c>
      <c r="AX26" s="168">
        <f>SUMIF('BS(M)'!$K$13:$EP$13,AX$8,'BS(M)'!$K31:$EP31)</f>
        <v>0</v>
      </c>
      <c r="AY26" s="168">
        <f>SUMIF('BS(M)'!$K$13:$EP$13,AY$8,'BS(M)'!$K31:$EP31)</f>
        <v>0</v>
      </c>
      <c r="AZ26" s="168">
        <f>SUMIF('BS(M)'!$K$13:$EP$13,AZ$8,'BS(M)'!$K31:$EP31)</f>
        <v>0</v>
      </c>
      <c r="BA26" s="168">
        <f>SUMIF('BS(M)'!$K$13:$EP$13,BA$8,'BS(M)'!$K31:$EP31)</f>
        <v>0</v>
      </c>
      <c r="BB26" s="168">
        <f>SUMIF('BS(M)'!$K$13:$EP$13,BB$8,'BS(M)'!$K31:$EP31)</f>
        <v>0</v>
      </c>
      <c r="BC26" s="168">
        <f>SUMIF('BS(M)'!$K$13:$EP$13,BC$8,'BS(M)'!$K31:$EP31)</f>
        <v>0</v>
      </c>
      <c r="BD26" s="168">
        <f>SUMIF('BS(M)'!$K$13:$EP$13,BD$8,'BS(M)'!$K31:$EP31)</f>
        <v>0</v>
      </c>
      <c r="BE26" s="168">
        <f>SUMIF('BS(M)'!$K$13:$EP$13,BE$8,'BS(M)'!$K31:$EP31)</f>
        <v>0</v>
      </c>
      <c r="BF26" s="168">
        <f>SUMIF('BS(M)'!$K$13:$EP$13,BF$8,'BS(M)'!$K31:$EP31)</f>
        <v>0</v>
      </c>
      <c r="BG26" s="168">
        <f>SUMIF('BS(M)'!$K$13:$EP$13,BG$8,'BS(M)'!$K31:$EP31)</f>
        <v>0</v>
      </c>
      <c r="BH26" s="168">
        <f>SUMIF('BS(M)'!$K$13:$EP$13,BH$8,'BS(M)'!$K31:$EP31)</f>
        <v>0</v>
      </c>
      <c r="BI26" s="168">
        <f>SUMIF('BS(M)'!$K$13:$EP$13,BI$8,'BS(M)'!$K31:$EP31)</f>
        <v>0</v>
      </c>
      <c r="BJ26" s="168">
        <f>SUMIF('BS(M)'!$K$13:$EP$13,BJ$8,'BS(M)'!$K31:$EP31)</f>
        <v>0</v>
      </c>
      <c r="BK26" s="168">
        <f>SUMIF('BS(M)'!$K$13:$EP$13,BK$8,'BS(M)'!$K31:$EP31)</f>
        <v>0</v>
      </c>
      <c r="BL26" s="168">
        <f>SUMIF('BS(M)'!$K$13:$EP$13,BL$8,'BS(M)'!$K31:$EP31)</f>
        <v>0</v>
      </c>
      <c r="BM26" s="168">
        <f>SUMIF('BS(M)'!$K$13:$EP$13,BM$8,'BS(M)'!$K31:$EP31)</f>
        <v>0</v>
      </c>
      <c r="BN26" s="168">
        <f>SUMIF('BS(M)'!$K$13:$EP$13,BN$8,'BS(M)'!$K31:$EP31)</f>
        <v>0</v>
      </c>
      <c r="BO26" s="168">
        <f>SUMIF('BS(M)'!$K$13:$EP$13,BO$8,'BS(M)'!$K31:$EP31)</f>
        <v>0</v>
      </c>
      <c r="BP26" s="168">
        <f>SUMIF('BS(M)'!$K$13:$EP$13,BP$8,'BS(M)'!$K31:$EP31)</f>
        <v>0</v>
      </c>
      <c r="BQ26" s="168">
        <f>SUMIF('BS(M)'!$K$13:$EP$13,BQ$8,'BS(M)'!$K31:$EP31)</f>
        <v>0</v>
      </c>
      <c r="BR26" s="168">
        <f>SUMIF('BS(M)'!$K$13:$EP$13,BR$8,'BS(M)'!$K31:$EP31)</f>
        <v>0</v>
      </c>
      <c r="BS26" s="168">
        <f>SUMIF('BS(M)'!$K$13:$EP$13,BS$8,'BS(M)'!$K31:$EP31)</f>
        <v>0</v>
      </c>
      <c r="BT26" s="168">
        <f>SUMIF('BS(M)'!$K$13:$EP$13,BT$8,'BS(M)'!$K31:$EP31)</f>
        <v>0</v>
      </c>
      <c r="BU26" s="168">
        <f>SUMIF('BS(M)'!$K$13:$EP$13,BU$8,'BS(M)'!$K31:$EP31)</f>
        <v>0</v>
      </c>
      <c r="BV26" s="168">
        <f>SUMIF('BS(M)'!$K$13:$EP$13,BV$8,'BS(M)'!$K31:$EP31)</f>
        <v>0</v>
      </c>
      <c r="BW26" s="168">
        <f>SUMIF('BS(M)'!$K$13:$EP$13,BW$8,'BS(M)'!$K31:$EP31)</f>
        <v>0</v>
      </c>
      <c r="BX26" s="168">
        <f>SUMIF('BS(M)'!$K$13:$EP$13,BX$8,'BS(M)'!$K31:$EP31)</f>
        <v>0</v>
      </c>
      <c r="BY26" s="168">
        <f>SUMIF('BS(M)'!$K$13:$EP$13,BY$8,'BS(M)'!$K31:$EP31)</f>
        <v>0</v>
      </c>
      <c r="BZ26" s="168">
        <f>SUMIF('BS(M)'!$K$13:$EP$13,BZ$8,'BS(M)'!$K31:$EP31)</f>
        <v>0</v>
      </c>
      <c r="CA26" s="168">
        <f>SUMIF('BS(M)'!$K$13:$EP$13,CA$8,'BS(M)'!$K31:$EP31)</f>
        <v>0</v>
      </c>
      <c r="CB26" s="168">
        <f>SUMIF('BS(M)'!$K$13:$EP$13,CB$8,'BS(M)'!$K31:$EP31)</f>
        <v>0</v>
      </c>
      <c r="CC26" s="168">
        <f>SUMIF('BS(M)'!$K$13:$EP$13,CC$8,'BS(M)'!$K31:$EP31)</f>
        <v>0</v>
      </c>
      <c r="CD26" s="168">
        <f>SUMIF('BS(M)'!$K$13:$EP$13,CD$8,'BS(M)'!$K31:$EP31)</f>
        <v>0</v>
      </c>
      <c r="CE26" s="168">
        <f>SUMIF('BS(M)'!$K$13:$EP$13,CE$8,'BS(M)'!$K31:$EP31)</f>
        <v>0</v>
      </c>
      <c r="CF26" s="168">
        <f>SUMIF('BS(M)'!$K$13:$EP$13,CF$8,'BS(M)'!$K31:$EP31)</f>
        <v>0</v>
      </c>
      <c r="CG26" s="168">
        <f>SUMIF('BS(M)'!$K$13:$EP$13,CG$8,'BS(M)'!$K31:$EP31)</f>
        <v>0</v>
      </c>
      <c r="CH26" s="168">
        <f>SUMIF('BS(M)'!$K$13:$EP$13,CH$8,'BS(M)'!$K31:$EP31)</f>
        <v>0</v>
      </c>
      <c r="CI26" s="168">
        <f>SUMIF('BS(M)'!$K$13:$EP$13,CI$8,'BS(M)'!$K31:$EP31)</f>
        <v>0</v>
      </c>
      <c r="CJ26" s="168">
        <f>SUMIF('BS(M)'!$K$13:$EP$13,CJ$8,'BS(M)'!$K31:$EP31)</f>
        <v>0</v>
      </c>
      <c r="CK26" s="168">
        <f>SUMIF('BS(M)'!$K$13:$EP$13,CK$8,'BS(M)'!$K31:$EP31)</f>
        <v>0</v>
      </c>
      <c r="CL26" s="168">
        <f>SUMIF('BS(M)'!$K$13:$EP$13,CL$8,'BS(M)'!$K31:$EP31)</f>
        <v>0</v>
      </c>
      <c r="CM26" s="168">
        <f>SUMIF('BS(M)'!$K$13:$EP$13,CM$8,'BS(M)'!$K31:$EP31)</f>
        <v>0</v>
      </c>
      <c r="CN26" s="168">
        <f>SUMIF('BS(M)'!$K$13:$EP$13,CN$8,'BS(M)'!$K31:$EP31)</f>
        <v>0</v>
      </c>
      <c r="CO26" s="168">
        <f>SUMIF('BS(M)'!$K$13:$EP$13,CO$8,'BS(M)'!$K31:$EP31)</f>
        <v>0</v>
      </c>
      <c r="CP26" s="168">
        <f>SUMIF('BS(M)'!$K$13:$EP$13,CP$8,'BS(M)'!$K31:$EP31)</f>
        <v>0</v>
      </c>
      <c r="CQ26" s="168">
        <f>SUMIF('BS(M)'!$K$13:$EP$13,CQ$8,'BS(M)'!$K31:$EP31)</f>
        <v>0</v>
      </c>
      <c r="CR26" s="168">
        <f>SUMIF('BS(M)'!$K$13:$EP$13,CR$8,'BS(M)'!$K31:$EP31)</f>
        <v>0</v>
      </c>
      <c r="CS26" s="168">
        <f>SUMIF('BS(M)'!$K$13:$EP$13,CS$8,'BS(M)'!$K31:$EP31)</f>
        <v>0</v>
      </c>
      <c r="CT26" s="168">
        <f>SUMIF('BS(M)'!$K$13:$EP$13,CT$8,'BS(M)'!$K31:$EP31)</f>
        <v>0</v>
      </c>
      <c r="CU26" s="168">
        <f>SUMIF('BS(M)'!$K$13:$EP$13,CU$8,'BS(M)'!$K31:$EP31)</f>
        <v>0</v>
      </c>
      <c r="CV26" s="168">
        <f>SUMIF('BS(M)'!$K$13:$EP$13,CV$8,'BS(M)'!$K31:$EP31)</f>
        <v>0</v>
      </c>
      <c r="CW26" s="168">
        <f>SUMIF('BS(M)'!$K$13:$EP$13,CW$8,'BS(M)'!$K31:$EP31)</f>
        <v>0</v>
      </c>
      <c r="CX26" s="168">
        <f>SUMIF('BS(M)'!$K$13:$EP$13,CX$8,'BS(M)'!$K31:$EP31)</f>
        <v>0</v>
      </c>
      <c r="CY26" s="168">
        <f>SUMIF('BS(M)'!$K$13:$EP$13,CY$8,'BS(M)'!$K31:$EP31)</f>
        <v>0</v>
      </c>
      <c r="CZ26" s="168">
        <f>SUMIF('BS(M)'!$K$13:$EP$13,CZ$8,'BS(M)'!$K31:$EP31)</f>
        <v>0</v>
      </c>
      <c r="DA26" s="168">
        <f>SUMIF('BS(M)'!$K$13:$EP$13,DA$8,'BS(M)'!$K31:$EP31)</f>
        <v>0</v>
      </c>
      <c r="DB26" s="168">
        <f>SUMIF('BS(M)'!$K$13:$EP$13,DB$8,'BS(M)'!$K31:$EP31)</f>
        <v>0</v>
      </c>
      <c r="DC26" s="168">
        <f>SUMIF('BS(M)'!$K$13:$EP$13,DC$8,'BS(M)'!$K31:$EP31)</f>
        <v>0</v>
      </c>
      <c r="DD26" s="168">
        <f>SUMIF('BS(M)'!$K$13:$EP$13,DD$8,'BS(M)'!$K31:$EP31)</f>
        <v>0</v>
      </c>
      <c r="DE26" s="168">
        <f>SUMIF('BS(M)'!$K$13:$EP$13,DE$8,'BS(M)'!$K31:$EP31)</f>
        <v>0</v>
      </c>
      <c r="DF26" s="168">
        <f>SUMIF('BS(M)'!$K$13:$EP$13,DF$8,'BS(M)'!$K31:$EP31)</f>
        <v>0</v>
      </c>
      <c r="DG26" s="168">
        <f>SUMIF('BS(M)'!$K$13:$EP$13,DG$8,'BS(M)'!$K31:$EP31)</f>
        <v>0</v>
      </c>
      <c r="DH26" s="168">
        <f>SUMIF('BS(M)'!$K$13:$EP$13,DH$8,'BS(M)'!$K31:$EP31)</f>
        <v>0</v>
      </c>
      <c r="DI26" s="168">
        <f>SUMIF('BS(M)'!$K$13:$EP$13,DI$8,'BS(M)'!$K31:$EP31)</f>
        <v>0</v>
      </c>
      <c r="DJ26" s="168">
        <f>SUMIF('BS(M)'!$K$13:$EP$13,DJ$8,'BS(M)'!$K31:$EP31)</f>
        <v>0</v>
      </c>
      <c r="DK26" s="168">
        <f>SUMIF('BS(M)'!$K$13:$EP$13,DK$8,'BS(M)'!$K31:$EP31)</f>
        <v>0</v>
      </c>
      <c r="DL26" s="168">
        <f>SUMIF('BS(M)'!$K$13:$EP$13,DL$8,'BS(M)'!$K31:$EP31)</f>
        <v>0</v>
      </c>
      <c r="DM26" s="168">
        <f>SUMIF('BS(M)'!$K$13:$EP$13,DM$8,'BS(M)'!$K31:$EP31)</f>
        <v>0</v>
      </c>
      <c r="DN26" s="168">
        <f>SUMIF('BS(M)'!$K$13:$EP$13,DN$8,'BS(M)'!$K31:$EP31)</f>
        <v>0</v>
      </c>
      <c r="DO26" s="168">
        <f>SUMIF('BS(M)'!$K$13:$EP$13,DO$8,'BS(M)'!$K31:$EP31)</f>
        <v>0</v>
      </c>
      <c r="DP26" s="168">
        <f>SUMIF('BS(M)'!$K$13:$EP$13,DP$8,'BS(M)'!$K31:$EP31)</f>
        <v>0</v>
      </c>
      <c r="DQ26" s="168">
        <f>SUMIF('BS(M)'!$K$13:$EP$13,DQ$8,'BS(M)'!$K31:$EP31)</f>
        <v>0</v>
      </c>
      <c r="DR26" s="168">
        <f>SUMIF('BS(M)'!$K$13:$EP$13,DR$8,'BS(M)'!$K31:$EP31)</f>
        <v>0</v>
      </c>
      <c r="DS26" s="168">
        <f>SUMIF('BS(M)'!$K$13:$EP$13,DS$8,'BS(M)'!$K31:$EP31)</f>
        <v>0</v>
      </c>
      <c r="DT26" s="168">
        <f>SUMIF('BS(M)'!$K$13:$EP$13,DT$8,'BS(M)'!$K31:$EP31)</f>
        <v>0</v>
      </c>
      <c r="DU26" s="168">
        <f>SUMIF('BS(M)'!$K$13:$EP$13,DU$8,'BS(M)'!$K31:$EP31)</f>
        <v>0</v>
      </c>
    </row>
    <row r="27" spans="2:125">
      <c r="B27" s="218"/>
      <c r="C27" s="163"/>
      <c r="D27" s="169" t="s">
        <v>617</v>
      </c>
      <c r="H27" s="146"/>
      <c r="I27" s="977"/>
      <c r="J27" s="98"/>
      <c r="K27" s="171">
        <f>SUMIF('BS(M)'!$K$13:$EP$13,K$8,'BS(M)'!$K32:$EP32)</f>
        <v>0</v>
      </c>
      <c r="L27" s="171">
        <f>SUMIF('BS(M)'!$K$13:$EP$13,L$8,'BS(M)'!$K32:$EP32)</f>
        <v>0</v>
      </c>
      <c r="M27" s="171">
        <f>SUMIF('BS(M)'!$K$13:$EP$13,M$8,'BS(M)'!$K32:$EP32)</f>
        <v>0</v>
      </c>
      <c r="N27" s="171">
        <f>SUMIF('BS(M)'!$K$13:$EP$13,N$8,'BS(M)'!$K32:$EP32)</f>
        <v>0</v>
      </c>
      <c r="O27" s="171">
        <f>SUMIF('BS(M)'!$K$13:$EP$13,O$8,'BS(M)'!$K32:$EP32)</f>
        <v>0</v>
      </c>
      <c r="P27" s="171">
        <f>SUMIF('BS(M)'!$K$13:$EP$13,P$8,'BS(M)'!$K32:$EP32)</f>
        <v>0</v>
      </c>
      <c r="Q27" s="171">
        <f>SUMIF('BS(M)'!$K$13:$EP$13,Q$8,'BS(M)'!$K32:$EP32)</f>
        <v>0</v>
      </c>
      <c r="R27" s="171">
        <f>SUMIF('BS(M)'!$K$13:$EP$13,R$8,'BS(M)'!$K32:$EP32)</f>
        <v>0</v>
      </c>
      <c r="S27" s="171">
        <f>SUMIF('BS(M)'!$K$13:$EP$13,S$8,'BS(M)'!$K32:$EP32)</f>
        <v>0</v>
      </c>
      <c r="T27" s="171">
        <f>SUMIF('BS(M)'!$K$13:$EP$13,T$8,'BS(M)'!$K32:$EP32)</f>
        <v>0</v>
      </c>
      <c r="U27" s="171">
        <f>SUMIF('BS(M)'!$K$13:$EP$13,U$8,'BS(M)'!$K32:$EP32)</f>
        <v>0</v>
      </c>
      <c r="V27" s="171">
        <f>SUMIF('BS(M)'!$K$13:$EP$13,V$8,'BS(M)'!$K32:$EP32)</f>
        <v>0</v>
      </c>
      <c r="W27" s="171">
        <f>SUMIF('BS(M)'!$K$13:$EP$13,W$8,'BS(M)'!$K32:$EP32)</f>
        <v>0</v>
      </c>
      <c r="X27" s="171">
        <f>SUMIF('BS(M)'!$K$13:$EP$13,X$8,'BS(M)'!$K32:$EP32)</f>
        <v>0</v>
      </c>
      <c r="Y27" s="171">
        <f>SUMIF('BS(M)'!$K$13:$EP$13,Y$8,'BS(M)'!$K32:$EP32)</f>
        <v>0</v>
      </c>
      <c r="Z27" s="171">
        <f>SUMIF('BS(M)'!$K$13:$EP$13,Z$8,'BS(M)'!$K32:$EP32)</f>
        <v>0</v>
      </c>
      <c r="AA27" s="171">
        <f>SUMIF('BS(M)'!$K$13:$EP$13,AA$8,'BS(M)'!$K32:$EP32)</f>
        <v>0</v>
      </c>
      <c r="AB27" s="171">
        <f>SUMIF('BS(M)'!$K$13:$EP$13,AB$8,'BS(M)'!$K32:$EP32)</f>
        <v>0</v>
      </c>
      <c r="AC27" s="171">
        <f>SUMIF('BS(M)'!$K$13:$EP$13,AC$8,'BS(M)'!$K32:$EP32)</f>
        <v>0</v>
      </c>
      <c r="AD27" s="171">
        <f>SUMIF('BS(M)'!$K$13:$EP$13,AD$8,'BS(M)'!$K32:$EP32)</f>
        <v>0</v>
      </c>
      <c r="AE27" s="171">
        <f>SUMIF('BS(M)'!$K$13:$EP$13,AE$8,'BS(M)'!$K32:$EP32)</f>
        <v>0</v>
      </c>
      <c r="AF27" s="171">
        <f>SUMIF('BS(M)'!$K$13:$EP$13,AF$8,'BS(M)'!$K32:$EP32)</f>
        <v>0</v>
      </c>
      <c r="AG27" s="171">
        <f>SUMIF('BS(M)'!$K$13:$EP$13,AG$8,'BS(M)'!$K32:$EP32)</f>
        <v>0</v>
      </c>
      <c r="AH27" s="171">
        <f>SUMIF('BS(M)'!$K$13:$EP$13,AH$8,'BS(M)'!$K32:$EP32)</f>
        <v>0</v>
      </c>
      <c r="AI27" s="171">
        <f>SUMIF('BS(M)'!$K$13:$EP$13,AI$8,'BS(M)'!$K32:$EP32)</f>
        <v>0</v>
      </c>
      <c r="AJ27" s="171">
        <f>SUMIF('BS(M)'!$K$13:$EP$13,AJ$8,'BS(M)'!$K32:$EP32)</f>
        <v>0</v>
      </c>
      <c r="AK27" s="171">
        <f>SUMIF('BS(M)'!$K$13:$EP$13,AK$8,'BS(M)'!$K32:$EP32)</f>
        <v>0</v>
      </c>
      <c r="AL27" s="171">
        <f>SUMIF('BS(M)'!$K$13:$EP$13,AL$8,'BS(M)'!$K32:$EP32)</f>
        <v>0</v>
      </c>
      <c r="AM27" s="171">
        <f>SUMIF('BS(M)'!$K$13:$EP$13,AM$8,'BS(M)'!$K32:$EP32)</f>
        <v>0</v>
      </c>
      <c r="AN27" s="171">
        <f>SUMIF('BS(M)'!$K$13:$EP$13,AN$8,'BS(M)'!$K32:$EP32)</f>
        <v>0</v>
      </c>
      <c r="AO27" s="171">
        <f>SUMIF('BS(M)'!$K$13:$EP$13,AO$8,'BS(M)'!$K32:$EP32)</f>
        <v>0</v>
      </c>
      <c r="AP27" s="171">
        <f>SUMIF('BS(M)'!$K$13:$EP$13,AP$8,'BS(M)'!$K32:$EP32)</f>
        <v>0</v>
      </c>
      <c r="AQ27" s="171">
        <f>SUMIF('BS(M)'!$K$13:$EP$13,AQ$8,'BS(M)'!$K32:$EP32)</f>
        <v>0</v>
      </c>
      <c r="AR27" s="171">
        <f>SUMIF('BS(M)'!$K$13:$EP$13,AR$8,'BS(M)'!$K32:$EP32)</f>
        <v>0</v>
      </c>
      <c r="AS27" s="171">
        <f>SUMIF('BS(M)'!$K$13:$EP$13,AS$8,'BS(M)'!$K32:$EP32)</f>
        <v>0</v>
      </c>
      <c r="AT27" s="171">
        <f>SUMIF('BS(M)'!$K$13:$EP$13,AT$8,'BS(M)'!$K32:$EP32)</f>
        <v>0</v>
      </c>
      <c r="AU27" s="171">
        <f>SUMIF('BS(M)'!$K$13:$EP$13,AU$8,'BS(M)'!$K32:$EP32)</f>
        <v>0</v>
      </c>
      <c r="AV27" s="171">
        <f>SUMIF('BS(M)'!$K$13:$EP$13,AV$8,'BS(M)'!$K32:$EP32)</f>
        <v>0</v>
      </c>
      <c r="AW27" s="171">
        <f>SUMIF('BS(M)'!$K$13:$EP$13,AW$8,'BS(M)'!$K32:$EP32)</f>
        <v>0</v>
      </c>
      <c r="AX27" s="171">
        <f>SUMIF('BS(M)'!$K$13:$EP$13,AX$8,'BS(M)'!$K32:$EP32)</f>
        <v>0</v>
      </c>
      <c r="AY27" s="171">
        <f>SUMIF('BS(M)'!$K$13:$EP$13,AY$8,'BS(M)'!$K32:$EP32)</f>
        <v>0</v>
      </c>
      <c r="AZ27" s="171">
        <f>SUMIF('BS(M)'!$K$13:$EP$13,AZ$8,'BS(M)'!$K32:$EP32)</f>
        <v>0</v>
      </c>
      <c r="BA27" s="171">
        <f>SUMIF('BS(M)'!$K$13:$EP$13,BA$8,'BS(M)'!$K32:$EP32)</f>
        <v>0</v>
      </c>
      <c r="BB27" s="171">
        <f>SUMIF('BS(M)'!$K$13:$EP$13,BB$8,'BS(M)'!$K32:$EP32)</f>
        <v>0</v>
      </c>
      <c r="BC27" s="171">
        <f>SUMIF('BS(M)'!$K$13:$EP$13,BC$8,'BS(M)'!$K32:$EP32)</f>
        <v>0</v>
      </c>
      <c r="BD27" s="171">
        <f>SUMIF('BS(M)'!$K$13:$EP$13,BD$8,'BS(M)'!$K32:$EP32)</f>
        <v>0</v>
      </c>
      <c r="BE27" s="171">
        <f>SUMIF('BS(M)'!$K$13:$EP$13,BE$8,'BS(M)'!$K32:$EP32)</f>
        <v>0</v>
      </c>
      <c r="BF27" s="171">
        <f>SUMIF('BS(M)'!$K$13:$EP$13,BF$8,'BS(M)'!$K32:$EP32)</f>
        <v>0</v>
      </c>
      <c r="BG27" s="171">
        <f>SUMIF('BS(M)'!$K$13:$EP$13,BG$8,'BS(M)'!$K32:$EP32)</f>
        <v>0</v>
      </c>
      <c r="BH27" s="171">
        <f>SUMIF('BS(M)'!$K$13:$EP$13,BH$8,'BS(M)'!$K32:$EP32)</f>
        <v>0</v>
      </c>
      <c r="BI27" s="171">
        <f>SUMIF('BS(M)'!$K$13:$EP$13,BI$8,'BS(M)'!$K32:$EP32)</f>
        <v>0</v>
      </c>
      <c r="BJ27" s="171">
        <f>SUMIF('BS(M)'!$K$13:$EP$13,BJ$8,'BS(M)'!$K32:$EP32)</f>
        <v>0</v>
      </c>
      <c r="BK27" s="171">
        <f>SUMIF('BS(M)'!$K$13:$EP$13,BK$8,'BS(M)'!$K32:$EP32)</f>
        <v>0</v>
      </c>
      <c r="BL27" s="171">
        <f>SUMIF('BS(M)'!$K$13:$EP$13,BL$8,'BS(M)'!$K32:$EP32)</f>
        <v>0</v>
      </c>
      <c r="BM27" s="171">
        <f>SUMIF('BS(M)'!$K$13:$EP$13,BM$8,'BS(M)'!$K32:$EP32)</f>
        <v>0</v>
      </c>
      <c r="BN27" s="171">
        <f>SUMIF('BS(M)'!$K$13:$EP$13,BN$8,'BS(M)'!$K32:$EP32)</f>
        <v>0</v>
      </c>
      <c r="BO27" s="171">
        <f>SUMIF('BS(M)'!$K$13:$EP$13,BO$8,'BS(M)'!$K32:$EP32)</f>
        <v>0</v>
      </c>
      <c r="BP27" s="171">
        <f>SUMIF('BS(M)'!$K$13:$EP$13,BP$8,'BS(M)'!$K32:$EP32)</f>
        <v>0</v>
      </c>
      <c r="BQ27" s="171">
        <f>SUMIF('BS(M)'!$K$13:$EP$13,BQ$8,'BS(M)'!$K32:$EP32)</f>
        <v>0</v>
      </c>
      <c r="BR27" s="171">
        <f>SUMIF('BS(M)'!$K$13:$EP$13,BR$8,'BS(M)'!$K32:$EP32)</f>
        <v>0</v>
      </c>
      <c r="BS27" s="171">
        <f>SUMIF('BS(M)'!$K$13:$EP$13,BS$8,'BS(M)'!$K32:$EP32)</f>
        <v>0</v>
      </c>
      <c r="BT27" s="171">
        <f>SUMIF('BS(M)'!$K$13:$EP$13,BT$8,'BS(M)'!$K32:$EP32)</f>
        <v>0</v>
      </c>
      <c r="BU27" s="171">
        <f>SUMIF('BS(M)'!$K$13:$EP$13,BU$8,'BS(M)'!$K32:$EP32)</f>
        <v>0</v>
      </c>
      <c r="BV27" s="171">
        <f>SUMIF('BS(M)'!$K$13:$EP$13,BV$8,'BS(M)'!$K32:$EP32)</f>
        <v>0</v>
      </c>
      <c r="BW27" s="171">
        <f>SUMIF('BS(M)'!$K$13:$EP$13,BW$8,'BS(M)'!$K32:$EP32)</f>
        <v>0</v>
      </c>
      <c r="BX27" s="171">
        <f>SUMIF('BS(M)'!$K$13:$EP$13,BX$8,'BS(M)'!$K32:$EP32)</f>
        <v>0</v>
      </c>
      <c r="BY27" s="171">
        <f>SUMIF('BS(M)'!$K$13:$EP$13,BY$8,'BS(M)'!$K32:$EP32)</f>
        <v>0</v>
      </c>
      <c r="BZ27" s="171">
        <f>SUMIF('BS(M)'!$K$13:$EP$13,BZ$8,'BS(M)'!$K32:$EP32)</f>
        <v>0</v>
      </c>
      <c r="CA27" s="171">
        <f>SUMIF('BS(M)'!$K$13:$EP$13,CA$8,'BS(M)'!$K32:$EP32)</f>
        <v>0</v>
      </c>
      <c r="CB27" s="171">
        <f>SUMIF('BS(M)'!$K$13:$EP$13,CB$8,'BS(M)'!$K32:$EP32)</f>
        <v>0</v>
      </c>
      <c r="CC27" s="171">
        <f>SUMIF('BS(M)'!$K$13:$EP$13,CC$8,'BS(M)'!$K32:$EP32)</f>
        <v>0</v>
      </c>
      <c r="CD27" s="171">
        <f>SUMIF('BS(M)'!$K$13:$EP$13,CD$8,'BS(M)'!$K32:$EP32)</f>
        <v>0</v>
      </c>
      <c r="CE27" s="171">
        <f>SUMIF('BS(M)'!$K$13:$EP$13,CE$8,'BS(M)'!$K32:$EP32)</f>
        <v>0</v>
      </c>
      <c r="CF27" s="171">
        <f>SUMIF('BS(M)'!$K$13:$EP$13,CF$8,'BS(M)'!$K32:$EP32)</f>
        <v>0</v>
      </c>
      <c r="CG27" s="171">
        <f>SUMIF('BS(M)'!$K$13:$EP$13,CG$8,'BS(M)'!$K32:$EP32)</f>
        <v>0</v>
      </c>
      <c r="CH27" s="171">
        <f>SUMIF('BS(M)'!$K$13:$EP$13,CH$8,'BS(M)'!$K32:$EP32)</f>
        <v>0</v>
      </c>
      <c r="CI27" s="171">
        <f>SUMIF('BS(M)'!$K$13:$EP$13,CI$8,'BS(M)'!$K32:$EP32)</f>
        <v>0</v>
      </c>
      <c r="CJ27" s="171">
        <f>SUMIF('BS(M)'!$K$13:$EP$13,CJ$8,'BS(M)'!$K32:$EP32)</f>
        <v>0</v>
      </c>
      <c r="CK27" s="171">
        <f>SUMIF('BS(M)'!$K$13:$EP$13,CK$8,'BS(M)'!$K32:$EP32)</f>
        <v>0</v>
      </c>
      <c r="CL27" s="171">
        <f>SUMIF('BS(M)'!$K$13:$EP$13,CL$8,'BS(M)'!$K32:$EP32)</f>
        <v>0</v>
      </c>
      <c r="CM27" s="171">
        <f>SUMIF('BS(M)'!$K$13:$EP$13,CM$8,'BS(M)'!$K32:$EP32)</f>
        <v>0</v>
      </c>
      <c r="CN27" s="171">
        <f>SUMIF('BS(M)'!$K$13:$EP$13,CN$8,'BS(M)'!$K32:$EP32)</f>
        <v>0</v>
      </c>
      <c r="CO27" s="171">
        <f>SUMIF('BS(M)'!$K$13:$EP$13,CO$8,'BS(M)'!$K32:$EP32)</f>
        <v>0</v>
      </c>
      <c r="CP27" s="171">
        <f>SUMIF('BS(M)'!$K$13:$EP$13,CP$8,'BS(M)'!$K32:$EP32)</f>
        <v>0</v>
      </c>
      <c r="CQ27" s="171">
        <f>SUMIF('BS(M)'!$K$13:$EP$13,CQ$8,'BS(M)'!$K32:$EP32)</f>
        <v>0</v>
      </c>
      <c r="CR27" s="171">
        <f>SUMIF('BS(M)'!$K$13:$EP$13,CR$8,'BS(M)'!$K32:$EP32)</f>
        <v>0</v>
      </c>
      <c r="CS27" s="171">
        <f>SUMIF('BS(M)'!$K$13:$EP$13,CS$8,'BS(M)'!$K32:$EP32)</f>
        <v>0</v>
      </c>
      <c r="CT27" s="171">
        <f>SUMIF('BS(M)'!$K$13:$EP$13,CT$8,'BS(M)'!$K32:$EP32)</f>
        <v>0</v>
      </c>
      <c r="CU27" s="171">
        <f>SUMIF('BS(M)'!$K$13:$EP$13,CU$8,'BS(M)'!$K32:$EP32)</f>
        <v>0</v>
      </c>
      <c r="CV27" s="171">
        <f>SUMIF('BS(M)'!$K$13:$EP$13,CV$8,'BS(M)'!$K32:$EP32)</f>
        <v>0</v>
      </c>
      <c r="CW27" s="171">
        <f>SUMIF('BS(M)'!$K$13:$EP$13,CW$8,'BS(M)'!$K32:$EP32)</f>
        <v>0</v>
      </c>
      <c r="CX27" s="171">
        <f>SUMIF('BS(M)'!$K$13:$EP$13,CX$8,'BS(M)'!$K32:$EP32)</f>
        <v>0</v>
      </c>
      <c r="CY27" s="171">
        <f>SUMIF('BS(M)'!$K$13:$EP$13,CY$8,'BS(M)'!$K32:$EP32)</f>
        <v>0</v>
      </c>
      <c r="CZ27" s="171">
        <f>SUMIF('BS(M)'!$K$13:$EP$13,CZ$8,'BS(M)'!$K32:$EP32)</f>
        <v>0</v>
      </c>
      <c r="DA27" s="171">
        <f>SUMIF('BS(M)'!$K$13:$EP$13,DA$8,'BS(M)'!$K32:$EP32)</f>
        <v>0</v>
      </c>
      <c r="DB27" s="171">
        <f>SUMIF('BS(M)'!$K$13:$EP$13,DB$8,'BS(M)'!$K32:$EP32)</f>
        <v>0</v>
      </c>
      <c r="DC27" s="171">
        <f>SUMIF('BS(M)'!$K$13:$EP$13,DC$8,'BS(M)'!$K32:$EP32)</f>
        <v>0</v>
      </c>
      <c r="DD27" s="171">
        <f>SUMIF('BS(M)'!$K$13:$EP$13,DD$8,'BS(M)'!$K32:$EP32)</f>
        <v>0</v>
      </c>
      <c r="DE27" s="171">
        <f>SUMIF('BS(M)'!$K$13:$EP$13,DE$8,'BS(M)'!$K32:$EP32)</f>
        <v>0</v>
      </c>
      <c r="DF27" s="171">
        <f>SUMIF('BS(M)'!$K$13:$EP$13,DF$8,'BS(M)'!$K32:$EP32)</f>
        <v>0</v>
      </c>
      <c r="DG27" s="171">
        <f>SUMIF('BS(M)'!$K$13:$EP$13,DG$8,'BS(M)'!$K32:$EP32)</f>
        <v>0</v>
      </c>
      <c r="DH27" s="171">
        <f>SUMIF('BS(M)'!$K$13:$EP$13,DH$8,'BS(M)'!$K32:$EP32)</f>
        <v>0</v>
      </c>
      <c r="DI27" s="171">
        <f>SUMIF('BS(M)'!$K$13:$EP$13,DI$8,'BS(M)'!$K32:$EP32)</f>
        <v>0</v>
      </c>
      <c r="DJ27" s="171">
        <f>SUMIF('BS(M)'!$K$13:$EP$13,DJ$8,'BS(M)'!$K32:$EP32)</f>
        <v>0</v>
      </c>
      <c r="DK27" s="171">
        <f>SUMIF('BS(M)'!$K$13:$EP$13,DK$8,'BS(M)'!$K32:$EP32)</f>
        <v>0</v>
      </c>
      <c r="DL27" s="171">
        <f>SUMIF('BS(M)'!$K$13:$EP$13,DL$8,'BS(M)'!$K32:$EP32)</f>
        <v>0</v>
      </c>
      <c r="DM27" s="171">
        <f>SUMIF('BS(M)'!$K$13:$EP$13,DM$8,'BS(M)'!$K32:$EP32)</f>
        <v>0</v>
      </c>
      <c r="DN27" s="171">
        <f>SUMIF('BS(M)'!$K$13:$EP$13,DN$8,'BS(M)'!$K32:$EP32)</f>
        <v>0</v>
      </c>
      <c r="DO27" s="171">
        <f>SUMIF('BS(M)'!$K$13:$EP$13,DO$8,'BS(M)'!$K32:$EP32)</f>
        <v>0</v>
      </c>
      <c r="DP27" s="171">
        <f>SUMIF('BS(M)'!$K$13:$EP$13,DP$8,'BS(M)'!$K32:$EP32)</f>
        <v>0</v>
      </c>
      <c r="DQ27" s="171">
        <f>SUMIF('BS(M)'!$K$13:$EP$13,DQ$8,'BS(M)'!$K32:$EP32)</f>
        <v>0</v>
      </c>
      <c r="DR27" s="171">
        <f>SUMIF('BS(M)'!$K$13:$EP$13,DR$8,'BS(M)'!$K32:$EP32)</f>
        <v>0</v>
      </c>
      <c r="DS27" s="171">
        <f>SUMIF('BS(M)'!$K$13:$EP$13,DS$8,'BS(M)'!$K32:$EP32)</f>
        <v>0</v>
      </c>
      <c r="DT27" s="171">
        <f>SUMIF('BS(M)'!$K$13:$EP$13,DT$8,'BS(M)'!$K32:$EP32)</f>
        <v>0</v>
      </c>
      <c r="DU27" s="171">
        <f>SUMIF('BS(M)'!$K$13:$EP$13,DU$8,'BS(M)'!$K32:$EP32)</f>
        <v>0</v>
      </c>
    </row>
    <row r="28" spans="2:125">
      <c r="B28" s="218"/>
      <c r="C28" s="163"/>
      <c r="D28" s="169" t="s">
        <v>643</v>
      </c>
      <c r="H28" s="146"/>
      <c r="I28" s="977"/>
      <c r="J28" s="98"/>
      <c r="K28" s="171">
        <f>SUMIF('BS(M)'!$K$13:$EP$13,K$8,'BS(M)'!$K33:$EP33)</f>
        <v>198000000</v>
      </c>
      <c r="L28" s="171">
        <f>SUMIF('BS(M)'!$K$13:$EP$13,L$8,'BS(M)'!$K33:$EP33)</f>
        <v>198000000</v>
      </c>
      <c r="M28" s="171">
        <f>SUMIF('BS(M)'!$K$13:$EP$13,M$8,'BS(M)'!$K33:$EP33)</f>
        <v>198000000</v>
      </c>
      <c r="N28" s="171">
        <f>SUMIF('BS(M)'!$K$13:$EP$13,N$8,'BS(M)'!$K33:$EP33)</f>
        <v>198000000</v>
      </c>
      <c r="O28" s="171">
        <f>SUMIF('BS(M)'!$K$13:$EP$13,O$8,'BS(M)'!$K33:$EP33)</f>
        <v>213000000</v>
      </c>
      <c r="P28" s="171">
        <f>SUMIF('BS(M)'!$K$13:$EP$13,P$8,'BS(M)'!$K33:$EP33)</f>
        <v>213000000</v>
      </c>
      <c r="Q28" s="171">
        <f>SUMIF('BS(M)'!$K$13:$EP$13,Q$8,'BS(M)'!$K33:$EP33)</f>
        <v>213000000</v>
      </c>
      <c r="R28" s="171">
        <f>SUMIF('BS(M)'!$K$13:$EP$13,R$8,'BS(M)'!$K33:$EP33)</f>
        <v>213000000</v>
      </c>
      <c r="S28" s="171">
        <f>SUMIF('BS(M)'!$K$13:$EP$13,S$8,'BS(M)'!$K33:$EP33)</f>
        <v>213000000</v>
      </c>
      <c r="T28" s="171">
        <f>SUMIF('BS(M)'!$K$13:$EP$13,T$8,'BS(M)'!$K33:$EP33)</f>
        <v>213000000</v>
      </c>
      <c r="U28" s="171">
        <f>SUMIF('BS(M)'!$K$13:$EP$13,U$8,'BS(M)'!$K33:$EP33)</f>
        <v>213000000</v>
      </c>
      <c r="V28" s="171">
        <f>SUMIF('BS(M)'!$K$13:$EP$13,V$8,'BS(M)'!$K33:$EP33)</f>
        <v>213000000</v>
      </c>
      <c r="W28" s="171">
        <f>SUMIF('BS(M)'!$K$13:$EP$13,W$8,'BS(M)'!$K33:$EP33)</f>
        <v>213000000</v>
      </c>
      <c r="X28" s="171">
        <f>SUMIF('BS(M)'!$K$13:$EP$13,X$8,'BS(M)'!$K33:$EP33)</f>
        <v>213000000</v>
      </c>
      <c r="Y28" s="171">
        <f>SUMIF('BS(M)'!$K$13:$EP$13,Y$8,'BS(M)'!$K33:$EP33)</f>
        <v>213000000</v>
      </c>
      <c r="Z28" s="171">
        <f>SUMIF('BS(M)'!$K$13:$EP$13,Z$8,'BS(M)'!$K33:$EP33)</f>
        <v>213000000</v>
      </c>
      <c r="AA28" s="171">
        <f>SUMIF('BS(M)'!$K$13:$EP$13,AA$8,'BS(M)'!$K33:$EP33)</f>
        <v>213000000</v>
      </c>
      <c r="AB28" s="171">
        <f>SUMIF('BS(M)'!$K$13:$EP$13,AB$8,'BS(M)'!$K33:$EP33)</f>
        <v>213000000</v>
      </c>
      <c r="AC28" s="171">
        <f>SUMIF('BS(M)'!$K$13:$EP$13,AC$8,'BS(M)'!$K33:$EP33)</f>
        <v>213000000</v>
      </c>
      <c r="AD28" s="171">
        <f>SUMIF('BS(M)'!$K$13:$EP$13,AD$8,'BS(M)'!$K33:$EP33)</f>
        <v>213000000</v>
      </c>
      <c r="AE28" s="171">
        <f>SUMIF('BS(M)'!$K$13:$EP$13,AE$8,'BS(M)'!$K33:$EP33)</f>
        <v>0</v>
      </c>
      <c r="AF28" s="171">
        <f>SUMIF('BS(M)'!$K$13:$EP$13,AF$8,'BS(M)'!$K33:$EP33)</f>
        <v>0</v>
      </c>
      <c r="AG28" s="171">
        <f>SUMIF('BS(M)'!$K$13:$EP$13,AG$8,'BS(M)'!$K33:$EP33)</f>
        <v>0</v>
      </c>
      <c r="AH28" s="171">
        <f>SUMIF('BS(M)'!$K$13:$EP$13,AH$8,'BS(M)'!$K33:$EP33)</f>
        <v>0</v>
      </c>
      <c r="AI28" s="171">
        <f>SUMIF('BS(M)'!$K$13:$EP$13,AI$8,'BS(M)'!$K33:$EP33)</f>
        <v>0</v>
      </c>
      <c r="AJ28" s="171">
        <f>SUMIF('BS(M)'!$K$13:$EP$13,AJ$8,'BS(M)'!$K33:$EP33)</f>
        <v>0</v>
      </c>
      <c r="AK28" s="171">
        <f>SUMIF('BS(M)'!$K$13:$EP$13,AK$8,'BS(M)'!$K33:$EP33)</f>
        <v>0</v>
      </c>
      <c r="AL28" s="171">
        <f>SUMIF('BS(M)'!$K$13:$EP$13,AL$8,'BS(M)'!$K33:$EP33)</f>
        <v>0</v>
      </c>
      <c r="AM28" s="171">
        <f>SUMIF('BS(M)'!$K$13:$EP$13,AM$8,'BS(M)'!$K33:$EP33)</f>
        <v>0</v>
      </c>
      <c r="AN28" s="171">
        <f>SUMIF('BS(M)'!$K$13:$EP$13,AN$8,'BS(M)'!$K33:$EP33)</f>
        <v>0</v>
      </c>
      <c r="AO28" s="171">
        <f>SUMIF('BS(M)'!$K$13:$EP$13,AO$8,'BS(M)'!$K33:$EP33)</f>
        <v>0</v>
      </c>
      <c r="AP28" s="171">
        <f>SUMIF('BS(M)'!$K$13:$EP$13,AP$8,'BS(M)'!$K33:$EP33)</f>
        <v>0</v>
      </c>
      <c r="AQ28" s="171">
        <f>SUMIF('BS(M)'!$K$13:$EP$13,AQ$8,'BS(M)'!$K33:$EP33)</f>
        <v>0</v>
      </c>
      <c r="AR28" s="171">
        <f>SUMIF('BS(M)'!$K$13:$EP$13,AR$8,'BS(M)'!$K33:$EP33)</f>
        <v>0</v>
      </c>
      <c r="AS28" s="171">
        <f>SUMIF('BS(M)'!$K$13:$EP$13,AS$8,'BS(M)'!$K33:$EP33)</f>
        <v>0</v>
      </c>
      <c r="AT28" s="171">
        <f>SUMIF('BS(M)'!$K$13:$EP$13,AT$8,'BS(M)'!$K33:$EP33)</f>
        <v>0</v>
      </c>
      <c r="AU28" s="171">
        <f>SUMIF('BS(M)'!$K$13:$EP$13,AU$8,'BS(M)'!$K33:$EP33)</f>
        <v>0</v>
      </c>
      <c r="AV28" s="171">
        <f>SUMIF('BS(M)'!$K$13:$EP$13,AV$8,'BS(M)'!$K33:$EP33)</f>
        <v>0</v>
      </c>
      <c r="AW28" s="171">
        <f>SUMIF('BS(M)'!$K$13:$EP$13,AW$8,'BS(M)'!$K33:$EP33)</f>
        <v>0</v>
      </c>
      <c r="AX28" s="171">
        <f>SUMIF('BS(M)'!$K$13:$EP$13,AX$8,'BS(M)'!$K33:$EP33)</f>
        <v>0</v>
      </c>
      <c r="AY28" s="171">
        <f>SUMIF('BS(M)'!$K$13:$EP$13,AY$8,'BS(M)'!$K33:$EP33)</f>
        <v>0</v>
      </c>
      <c r="AZ28" s="171">
        <f>SUMIF('BS(M)'!$K$13:$EP$13,AZ$8,'BS(M)'!$K33:$EP33)</f>
        <v>0</v>
      </c>
      <c r="BA28" s="171">
        <f>SUMIF('BS(M)'!$K$13:$EP$13,BA$8,'BS(M)'!$K33:$EP33)</f>
        <v>0</v>
      </c>
      <c r="BB28" s="171">
        <f>SUMIF('BS(M)'!$K$13:$EP$13,BB$8,'BS(M)'!$K33:$EP33)</f>
        <v>0</v>
      </c>
      <c r="BC28" s="171">
        <f>SUMIF('BS(M)'!$K$13:$EP$13,BC$8,'BS(M)'!$K33:$EP33)</f>
        <v>0</v>
      </c>
      <c r="BD28" s="171">
        <f>SUMIF('BS(M)'!$K$13:$EP$13,BD$8,'BS(M)'!$K33:$EP33)</f>
        <v>0</v>
      </c>
      <c r="BE28" s="171">
        <f>SUMIF('BS(M)'!$K$13:$EP$13,BE$8,'BS(M)'!$K33:$EP33)</f>
        <v>0</v>
      </c>
      <c r="BF28" s="171">
        <f>SUMIF('BS(M)'!$K$13:$EP$13,BF$8,'BS(M)'!$K33:$EP33)</f>
        <v>0</v>
      </c>
      <c r="BG28" s="171">
        <f>SUMIF('BS(M)'!$K$13:$EP$13,BG$8,'BS(M)'!$K33:$EP33)</f>
        <v>0</v>
      </c>
      <c r="BH28" s="171">
        <f>SUMIF('BS(M)'!$K$13:$EP$13,BH$8,'BS(M)'!$K33:$EP33)</f>
        <v>0</v>
      </c>
      <c r="BI28" s="171">
        <f>SUMIF('BS(M)'!$K$13:$EP$13,BI$8,'BS(M)'!$K33:$EP33)</f>
        <v>0</v>
      </c>
      <c r="BJ28" s="171">
        <f>SUMIF('BS(M)'!$K$13:$EP$13,BJ$8,'BS(M)'!$K33:$EP33)</f>
        <v>0</v>
      </c>
      <c r="BK28" s="171">
        <f>SUMIF('BS(M)'!$K$13:$EP$13,BK$8,'BS(M)'!$K33:$EP33)</f>
        <v>0</v>
      </c>
      <c r="BL28" s="171">
        <f>SUMIF('BS(M)'!$K$13:$EP$13,BL$8,'BS(M)'!$K33:$EP33)</f>
        <v>0</v>
      </c>
      <c r="BM28" s="171">
        <f>SUMIF('BS(M)'!$K$13:$EP$13,BM$8,'BS(M)'!$K33:$EP33)</f>
        <v>0</v>
      </c>
      <c r="BN28" s="171">
        <f>SUMIF('BS(M)'!$K$13:$EP$13,BN$8,'BS(M)'!$K33:$EP33)</f>
        <v>0</v>
      </c>
      <c r="BO28" s="171">
        <f>SUMIF('BS(M)'!$K$13:$EP$13,BO$8,'BS(M)'!$K33:$EP33)</f>
        <v>0</v>
      </c>
      <c r="BP28" s="171">
        <f>SUMIF('BS(M)'!$K$13:$EP$13,BP$8,'BS(M)'!$K33:$EP33)</f>
        <v>0</v>
      </c>
      <c r="BQ28" s="171">
        <f>SUMIF('BS(M)'!$K$13:$EP$13,BQ$8,'BS(M)'!$K33:$EP33)</f>
        <v>0</v>
      </c>
      <c r="BR28" s="171">
        <f>SUMIF('BS(M)'!$K$13:$EP$13,BR$8,'BS(M)'!$K33:$EP33)</f>
        <v>0</v>
      </c>
      <c r="BS28" s="171">
        <f>SUMIF('BS(M)'!$K$13:$EP$13,BS$8,'BS(M)'!$K33:$EP33)</f>
        <v>0</v>
      </c>
      <c r="BT28" s="171">
        <f>SUMIF('BS(M)'!$K$13:$EP$13,BT$8,'BS(M)'!$K33:$EP33)</f>
        <v>0</v>
      </c>
      <c r="BU28" s="171">
        <f>SUMIF('BS(M)'!$K$13:$EP$13,BU$8,'BS(M)'!$K33:$EP33)</f>
        <v>0</v>
      </c>
      <c r="BV28" s="171">
        <f>SUMIF('BS(M)'!$K$13:$EP$13,BV$8,'BS(M)'!$K33:$EP33)</f>
        <v>0</v>
      </c>
      <c r="BW28" s="171">
        <f>SUMIF('BS(M)'!$K$13:$EP$13,BW$8,'BS(M)'!$K33:$EP33)</f>
        <v>0</v>
      </c>
      <c r="BX28" s="171">
        <f>SUMIF('BS(M)'!$K$13:$EP$13,BX$8,'BS(M)'!$K33:$EP33)</f>
        <v>0</v>
      </c>
      <c r="BY28" s="171">
        <f>SUMIF('BS(M)'!$K$13:$EP$13,BY$8,'BS(M)'!$K33:$EP33)</f>
        <v>0</v>
      </c>
      <c r="BZ28" s="171">
        <f>SUMIF('BS(M)'!$K$13:$EP$13,BZ$8,'BS(M)'!$K33:$EP33)</f>
        <v>0</v>
      </c>
      <c r="CA28" s="171">
        <f>SUMIF('BS(M)'!$K$13:$EP$13,CA$8,'BS(M)'!$K33:$EP33)</f>
        <v>0</v>
      </c>
      <c r="CB28" s="171">
        <f>SUMIF('BS(M)'!$K$13:$EP$13,CB$8,'BS(M)'!$K33:$EP33)</f>
        <v>0</v>
      </c>
      <c r="CC28" s="171">
        <f>SUMIF('BS(M)'!$K$13:$EP$13,CC$8,'BS(M)'!$K33:$EP33)</f>
        <v>0</v>
      </c>
      <c r="CD28" s="171">
        <f>SUMIF('BS(M)'!$K$13:$EP$13,CD$8,'BS(M)'!$K33:$EP33)</f>
        <v>0</v>
      </c>
      <c r="CE28" s="171">
        <f>SUMIF('BS(M)'!$K$13:$EP$13,CE$8,'BS(M)'!$K33:$EP33)</f>
        <v>0</v>
      </c>
      <c r="CF28" s="171">
        <f>SUMIF('BS(M)'!$K$13:$EP$13,CF$8,'BS(M)'!$K33:$EP33)</f>
        <v>0</v>
      </c>
      <c r="CG28" s="171">
        <f>SUMIF('BS(M)'!$K$13:$EP$13,CG$8,'BS(M)'!$K33:$EP33)</f>
        <v>0</v>
      </c>
      <c r="CH28" s="171">
        <f>SUMIF('BS(M)'!$K$13:$EP$13,CH$8,'BS(M)'!$K33:$EP33)</f>
        <v>0</v>
      </c>
      <c r="CI28" s="171">
        <f>SUMIF('BS(M)'!$K$13:$EP$13,CI$8,'BS(M)'!$K33:$EP33)</f>
        <v>0</v>
      </c>
      <c r="CJ28" s="171">
        <f>SUMIF('BS(M)'!$K$13:$EP$13,CJ$8,'BS(M)'!$K33:$EP33)</f>
        <v>0</v>
      </c>
      <c r="CK28" s="171">
        <f>SUMIF('BS(M)'!$K$13:$EP$13,CK$8,'BS(M)'!$K33:$EP33)</f>
        <v>0</v>
      </c>
      <c r="CL28" s="171">
        <f>SUMIF('BS(M)'!$K$13:$EP$13,CL$8,'BS(M)'!$K33:$EP33)</f>
        <v>0</v>
      </c>
      <c r="CM28" s="171">
        <f>SUMIF('BS(M)'!$K$13:$EP$13,CM$8,'BS(M)'!$K33:$EP33)</f>
        <v>0</v>
      </c>
      <c r="CN28" s="171">
        <f>SUMIF('BS(M)'!$K$13:$EP$13,CN$8,'BS(M)'!$K33:$EP33)</f>
        <v>0</v>
      </c>
      <c r="CO28" s="171">
        <f>SUMIF('BS(M)'!$K$13:$EP$13,CO$8,'BS(M)'!$K33:$EP33)</f>
        <v>0</v>
      </c>
      <c r="CP28" s="171">
        <f>SUMIF('BS(M)'!$K$13:$EP$13,CP$8,'BS(M)'!$K33:$EP33)</f>
        <v>0</v>
      </c>
      <c r="CQ28" s="171">
        <f>SUMIF('BS(M)'!$K$13:$EP$13,CQ$8,'BS(M)'!$K33:$EP33)</f>
        <v>0</v>
      </c>
      <c r="CR28" s="171">
        <f>SUMIF('BS(M)'!$K$13:$EP$13,CR$8,'BS(M)'!$K33:$EP33)</f>
        <v>0</v>
      </c>
      <c r="CS28" s="171">
        <f>SUMIF('BS(M)'!$K$13:$EP$13,CS$8,'BS(M)'!$K33:$EP33)</f>
        <v>0</v>
      </c>
      <c r="CT28" s="171">
        <f>SUMIF('BS(M)'!$K$13:$EP$13,CT$8,'BS(M)'!$K33:$EP33)</f>
        <v>0</v>
      </c>
      <c r="CU28" s="171">
        <f>SUMIF('BS(M)'!$K$13:$EP$13,CU$8,'BS(M)'!$K33:$EP33)</f>
        <v>0</v>
      </c>
      <c r="CV28" s="171">
        <f>SUMIF('BS(M)'!$K$13:$EP$13,CV$8,'BS(M)'!$K33:$EP33)</f>
        <v>0</v>
      </c>
      <c r="CW28" s="171">
        <f>SUMIF('BS(M)'!$K$13:$EP$13,CW$8,'BS(M)'!$K33:$EP33)</f>
        <v>0</v>
      </c>
      <c r="CX28" s="171">
        <f>SUMIF('BS(M)'!$K$13:$EP$13,CX$8,'BS(M)'!$K33:$EP33)</f>
        <v>0</v>
      </c>
      <c r="CY28" s="171">
        <f>SUMIF('BS(M)'!$K$13:$EP$13,CY$8,'BS(M)'!$K33:$EP33)</f>
        <v>0</v>
      </c>
      <c r="CZ28" s="171">
        <f>SUMIF('BS(M)'!$K$13:$EP$13,CZ$8,'BS(M)'!$K33:$EP33)</f>
        <v>0</v>
      </c>
      <c r="DA28" s="171">
        <f>SUMIF('BS(M)'!$K$13:$EP$13,DA$8,'BS(M)'!$K33:$EP33)</f>
        <v>0</v>
      </c>
      <c r="DB28" s="171">
        <f>SUMIF('BS(M)'!$K$13:$EP$13,DB$8,'BS(M)'!$K33:$EP33)</f>
        <v>0</v>
      </c>
      <c r="DC28" s="171">
        <f>SUMIF('BS(M)'!$K$13:$EP$13,DC$8,'BS(M)'!$K33:$EP33)</f>
        <v>0</v>
      </c>
      <c r="DD28" s="171">
        <f>SUMIF('BS(M)'!$K$13:$EP$13,DD$8,'BS(M)'!$K33:$EP33)</f>
        <v>0</v>
      </c>
      <c r="DE28" s="171">
        <f>SUMIF('BS(M)'!$K$13:$EP$13,DE$8,'BS(M)'!$K33:$EP33)</f>
        <v>0</v>
      </c>
      <c r="DF28" s="171">
        <f>SUMIF('BS(M)'!$K$13:$EP$13,DF$8,'BS(M)'!$K33:$EP33)</f>
        <v>0</v>
      </c>
      <c r="DG28" s="171">
        <f>SUMIF('BS(M)'!$K$13:$EP$13,DG$8,'BS(M)'!$K33:$EP33)</f>
        <v>0</v>
      </c>
      <c r="DH28" s="171">
        <f>SUMIF('BS(M)'!$K$13:$EP$13,DH$8,'BS(M)'!$K33:$EP33)</f>
        <v>0</v>
      </c>
      <c r="DI28" s="171">
        <f>SUMIF('BS(M)'!$K$13:$EP$13,DI$8,'BS(M)'!$K33:$EP33)</f>
        <v>0</v>
      </c>
      <c r="DJ28" s="171">
        <f>SUMIF('BS(M)'!$K$13:$EP$13,DJ$8,'BS(M)'!$K33:$EP33)</f>
        <v>0</v>
      </c>
      <c r="DK28" s="171">
        <f>SUMIF('BS(M)'!$K$13:$EP$13,DK$8,'BS(M)'!$K33:$EP33)</f>
        <v>0</v>
      </c>
      <c r="DL28" s="171">
        <f>SUMIF('BS(M)'!$K$13:$EP$13,DL$8,'BS(M)'!$K33:$EP33)</f>
        <v>0</v>
      </c>
      <c r="DM28" s="171">
        <f>SUMIF('BS(M)'!$K$13:$EP$13,DM$8,'BS(M)'!$K33:$EP33)</f>
        <v>0</v>
      </c>
      <c r="DN28" s="171">
        <f>SUMIF('BS(M)'!$K$13:$EP$13,DN$8,'BS(M)'!$K33:$EP33)</f>
        <v>0</v>
      </c>
      <c r="DO28" s="171">
        <f>SUMIF('BS(M)'!$K$13:$EP$13,DO$8,'BS(M)'!$K33:$EP33)</f>
        <v>0</v>
      </c>
      <c r="DP28" s="171">
        <f>SUMIF('BS(M)'!$K$13:$EP$13,DP$8,'BS(M)'!$K33:$EP33)</f>
        <v>0</v>
      </c>
      <c r="DQ28" s="171">
        <f>SUMIF('BS(M)'!$K$13:$EP$13,DQ$8,'BS(M)'!$K33:$EP33)</f>
        <v>0</v>
      </c>
      <c r="DR28" s="171">
        <f>SUMIF('BS(M)'!$K$13:$EP$13,DR$8,'BS(M)'!$K33:$EP33)</f>
        <v>0</v>
      </c>
      <c r="DS28" s="171">
        <f>SUMIF('BS(M)'!$K$13:$EP$13,DS$8,'BS(M)'!$K33:$EP33)</f>
        <v>0</v>
      </c>
      <c r="DT28" s="171">
        <f>SUMIF('BS(M)'!$K$13:$EP$13,DT$8,'BS(M)'!$K33:$EP33)</f>
        <v>0</v>
      </c>
      <c r="DU28" s="171">
        <f>SUMIF('BS(M)'!$K$13:$EP$13,DU$8,'BS(M)'!$K33:$EP33)</f>
        <v>0</v>
      </c>
    </row>
    <row r="29" spans="2:125">
      <c r="B29" s="223" t="s">
        <v>88</v>
      </c>
      <c r="C29" s="224"/>
      <c r="D29" s="224"/>
      <c r="E29" s="224"/>
      <c r="F29" s="224"/>
      <c r="G29" s="224"/>
      <c r="H29" s="225"/>
      <c r="I29" s="975"/>
      <c r="K29" s="216">
        <f ca="1">SUM(K30,K33)</f>
        <v>98800000</v>
      </c>
      <c r="L29" s="216">
        <f t="shared" ref="L29:BW29" ca="1" si="26">SUM(L30,L33)</f>
        <v>94659246.052171379</v>
      </c>
      <c r="M29" s="216">
        <f t="shared" ca="1" si="26"/>
        <v>91082458.607532039</v>
      </c>
      <c r="N29" s="216">
        <f t="shared" ca="1" si="26"/>
        <v>87818923.88510792</v>
      </c>
      <c r="O29" s="216">
        <f t="shared" ca="1" si="26"/>
        <v>74974056.152525723</v>
      </c>
      <c r="P29" s="216">
        <f t="shared" ca="1" si="26"/>
        <v>72070680.225747287</v>
      </c>
      <c r="Q29" s="216">
        <f t="shared" ca="1" si="26"/>
        <v>64174097.950326614</v>
      </c>
      <c r="R29" s="216">
        <f t="shared" ca="1" si="26"/>
        <v>61817500.367874339</v>
      </c>
      <c r="S29" s="216">
        <f t="shared" ca="1" si="26"/>
        <v>59985307.108843185</v>
      </c>
      <c r="T29" s="216">
        <f t="shared" ca="1" si="26"/>
        <v>58389257.364789799</v>
      </c>
      <c r="U29" s="216">
        <f t="shared" ca="1" si="26"/>
        <v>56564781.212430246</v>
      </c>
      <c r="V29" s="216">
        <f t="shared" ca="1" si="26"/>
        <v>54963801.718024991</v>
      </c>
      <c r="W29" s="216">
        <f t="shared" ca="1" si="26"/>
        <v>53144195.911588565</v>
      </c>
      <c r="X29" s="216">
        <f t="shared" ca="1" si="26"/>
        <v>51538364.248791359</v>
      </c>
      <c r="Y29" s="216">
        <f t="shared" ca="1" si="26"/>
        <v>49723549.984234676</v>
      </c>
      <c r="Z29" s="216">
        <f t="shared" ca="1" si="26"/>
        <v>48339233.426395573</v>
      </c>
      <c r="AA29" s="216">
        <f t="shared" ca="1" si="26"/>
        <v>46463092.623692192</v>
      </c>
      <c r="AB29" s="216">
        <f t="shared" ca="1" si="26"/>
        <v>45283297.10927292</v>
      </c>
      <c r="AC29" s="216">
        <f t="shared" ca="1" si="26"/>
        <v>44318829.997728035</v>
      </c>
      <c r="AD29" s="216">
        <f t="shared" ca="1" si="26"/>
        <v>43465839.45039998</v>
      </c>
      <c r="AE29" s="216">
        <f t="shared" ca="1" si="26"/>
        <v>0</v>
      </c>
      <c r="AF29" s="216">
        <f t="shared" ca="1" si="26"/>
        <v>0</v>
      </c>
      <c r="AG29" s="216">
        <f t="shared" ca="1" si="26"/>
        <v>0</v>
      </c>
      <c r="AH29" s="216">
        <f t="shared" si="26"/>
        <v>0</v>
      </c>
      <c r="AI29" s="216">
        <f t="shared" si="26"/>
        <v>0</v>
      </c>
      <c r="AJ29" s="216">
        <f t="shared" si="26"/>
        <v>0</v>
      </c>
      <c r="AK29" s="216">
        <f t="shared" si="26"/>
        <v>0</v>
      </c>
      <c r="AL29" s="216">
        <f t="shared" si="26"/>
        <v>0</v>
      </c>
      <c r="AM29" s="216">
        <f t="shared" si="26"/>
        <v>0</v>
      </c>
      <c r="AN29" s="216">
        <f t="shared" si="26"/>
        <v>0</v>
      </c>
      <c r="AO29" s="216">
        <f t="shared" si="26"/>
        <v>0</v>
      </c>
      <c r="AP29" s="216">
        <f t="shared" si="26"/>
        <v>0</v>
      </c>
      <c r="AQ29" s="216">
        <f t="shared" si="26"/>
        <v>0</v>
      </c>
      <c r="AR29" s="216">
        <f t="shared" si="26"/>
        <v>0</v>
      </c>
      <c r="AS29" s="216">
        <f t="shared" si="26"/>
        <v>0</v>
      </c>
      <c r="AT29" s="216">
        <f t="shared" si="26"/>
        <v>0</v>
      </c>
      <c r="AU29" s="216">
        <f t="shared" si="26"/>
        <v>0</v>
      </c>
      <c r="AV29" s="216">
        <f t="shared" si="26"/>
        <v>0</v>
      </c>
      <c r="AW29" s="216">
        <f t="shared" si="26"/>
        <v>0</v>
      </c>
      <c r="AX29" s="216">
        <f t="shared" si="26"/>
        <v>0</v>
      </c>
      <c r="AY29" s="216">
        <f t="shared" si="26"/>
        <v>0</v>
      </c>
      <c r="AZ29" s="216">
        <f t="shared" si="26"/>
        <v>0</v>
      </c>
      <c r="BA29" s="216">
        <f t="shared" si="26"/>
        <v>0</v>
      </c>
      <c r="BB29" s="216">
        <f t="shared" si="26"/>
        <v>0</v>
      </c>
      <c r="BC29" s="216">
        <f t="shared" si="26"/>
        <v>0</v>
      </c>
      <c r="BD29" s="216">
        <f t="shared" si="26"/>
        <v>0</v>
      </c>
      <c r="BE29" s="216">
        <f t="shared" si="26"/>
        <v>0</v>
      </c>
      <c r="BF29" s="216">
        <f t="shared" si="26"/>
        <v>0</v>
      </c>
      <c r="BG29" s="216">
        <f t="shared" si="26"/>
        <v>0</v>
      </c>
      <c r="BH29" s="216">
        <f t="shared" si="26"/>
        <v>0</v>
      </c>
      <c r="BI29" s="216">
        <f t="shared" si="26"/>
        <v>0</v>
      </c>
      <c r="BJ29" s="216">
        <f t="shared" si="26"/>
        <v>0</v>
      </c>
      <c r="BK29" s="216">
        <f t="shared" si="26"/>
        <v>0</v>
      </c>
      <c r="BL29" s="216">
        <f t="shared" si="26"/>
        <v>0</v>
      </c>
      <c r="BM29" s="216">
        <f t="shared" si="26"/>
        <v>0</v>
      </c>
      <c r="BN29" s="216">
        <f t="shared" si="26"/>
        <v>0</v>
      </c>
      <c r="BO29" s="216">
        <f t="shared" si="26"/>
        <v>0</v>
      </c>
      <c r="BP29" s="216">
        <f t="shared" si="26"/>
        <v>0</v>
      </c>
      <c r="BQ29" s="216">
        <f t="shared" si="26"/>
        <v>0</v>
      </c>
      <c r="BR29" s="216">
        <f t="shared" si="26"/>
        <v>0</v>
      </c>
      <c r="BS29" s="216">
        <f t="shared" si="26"/>
        <v>0</v>
      </c>
      <c r="BT29" s="216">
        <f t="shared" si="26"/>
        <v>0</v>
      </c>
      <c r="BU29" s="216">
        <f t="shared" si="26"/>
        <v>0</v>
      </c>
      <c r="BV29" s="216">
        <f t="shared" si="26"/>
        <v>0</v>
      </c>
      <c r="BW29" s="216">
        <f t="shared" si="26"/>
        <v>0</v>
      </c>
      <c r="BX29" s="216">
        <f t="shared" ref="BX29:DU29" si="27">SUM(BX30,BX33)</f>
        <v>0</v>
      </c>
      <c r="BY29" s="216">
        <f t="shared" si="27"/>
        <v>0</v>
      </c>
      <c r="BZ29" s="216">
        <f t="shared" si="27"/>
        <v>0</v>
      </c>
      <c r="CA29" s="216">
        <f t="shared" si="27"/>
        <v>0</v>
      </c>
      <c r="CB29" s="216">
        <f t="shared" si="27"/>
        <v>0</v>
      </c>
      <c r="CC29" s="216">
        <f t="shared" si="27"/>
        <v>0</v>
      </c>
      <c r="CD29" s="216">
        <f t="shared" si="27"/>
        <v>0</v>
      </c>
      <c r="CE29" s="216">
        <f t="shared" si="27"/>
        <v>0</v>
      </c>
      <c r="CF29" s="216">
        <f t="shared" si="27"/>
        <v>0</v>
      </c>
      <c r="CG29" s="216">
        <f t="shared" si="27"/>
        <v>0</v>
      </c>
      <c r="CH29" s="216">
        <f t="shared" si="27"/>
        <v>0</v>
      </c>
      <c r="CI29" s="216">
        <f t="shared" si="27"/>
        <v>0</v>
      </c>
      <c r="CJ29" s="216">
        <f t="shared" si="27"/>
        <v>0</v>
      </c>
      <c r="CK29" s="216">
        <f t="shared" si="27"/>
        <v>0</v>
      </c>
      <c r="CL29" s="216">
        <f t="shared" si="27"/>
        <v>0</v>
      </c>
      <c r="CM29" s="216">
        <f t="shared" si="27"/>
        <v>0</v>
      </c>
      <c r="CN29" s="216">
        <f t="shared" si="27"/>
        <v>0</v>
      </c>
      <c r="CO29" s="216">
        <f t="shared" si="27"/>
        <v>0</v>
      </c>
      <c r="CP29" s="216">
        <f t="shared" si="27"/>
        <v>0</v>
      </c>
      <c r="CQ29" s="216">
        <f t="shared" si="27"/>
        <v>0</v>
      </c>
      <c r="CR29" s="216">
        <f t="shared" si="27"/>
        <v>0</v>
      </c>
      <c r="CS29" s="216">
        <f t="shared" si="27"/>
        <v>0</v>
      </c>
      <c r="CT29" s="216">
        <f t="shared" si="27"/>
        <v>0</v>
      </c>
      <c r="CU29" s="216">
        <f t="shared" si="27"/>
        <v>0</v>
      </c>
      <c r="CV29" s="216">
        <f t="shared" si="27"/>
        <v>0</v>
      </c>
      <c r="CW29" s="216">
        <f t="shared" si="27"/>
        <v>0</v>
      </c>
      <c r="CX29" s="216">
        <f t="shared" si="27"/>
        <v>0</v>
      </c>
      <c r="CY29" s="216">
        <f t="shared" si="27"/>
        <v>0</v>
      </c>
      <c r="CZ29" s="216">
        <f t="shared" si="27"/>
        <v>0</v>
      </c>
      <c r="DA29" s="216">
        <f t="shared" si="27"/>
        <v>0</v>
      </c>
      <c r="DB29" s="216">
        <f t="shared" si="27"/>
        <v>0</v>
      </c>
      <c r="DC29" s="216">
        <f t="shared" si="27"/>
        <v>0</v>
      </c>
      <c r="DD29" s="216">
        <f t="shared" si="27"/>
        <v>0</v>
      </c>
      <c r="DE29" s="216">
        <f t="shared" si="27"/>
        <v>0</v>
      </c>
      <c r="DF29" s="216">
        <f t="shared" si="27"/>
        <v>0</v>
      </c>
      <c r="DG29" s="216">
        <f t="shared" si="27"/>
        <v>0</v>
      </c>
      <c r="DH29" s="216">
        <f t="shared" si="27"/>
        <v>0</v>
      </c>
      <c r="DI29" s="216">
        <f t="shared" si="27"/>
        <v>0</v>
      </c>
      <c r="DJ29" s="216">
        <f t="shared" si="27"/>
        <v>0</v>
      </c>
      <c r="DK29" s="216">
        <f t="shared" si="27"/>
        <v>0</v>
      </c>
      <c r="DL29" s="216">
        <f t="shared" si="27"/>
        <v>0</v>
      </c>
      <c r="DM29" s="216">
        <f t="shared" si="27"/>
        <v>0</v>
      </c>
      <c r="DN29" s="216">
        <f t="shared" si="27"/>
        <v>0</v>
      </c>
      <c r="DO29" s="216">
        <f t="shared" si="27"/>
        <v>0</v>
      </c>
      <c r="DP29" s="216">
        <f t="shared" si="27"/>
        <v>0</v>
      </c>
      <c r="DQ29" s="216">
        <f t="shared" si="27"/>
        <v>0</v>
      </c>
      <c r="DR29" s="216">
        <f t="shared" si="27"/>
        <v>0</v>
      </c>
      <c r="DS29" s="216">
        <f t="shared" si="27"/>
        <v>0</v>
      </c>
      <c r="DT29" s="216">
        <f t="shared" si="27"/>
        <v>0</v>
      </c>
      <c r="DU29" s="216">
        <f t="shared" si="27"/>
        <v>0</v>
      </c>
    </row>
    <row r="30" spans="2:125">
      <c r="B30" s="218"/>
      <c r="C30" s="158" t="s">
        <v>544</v>
      </c>
      <c r="D30" s="159"/>
      <c r="E30" s="159"/>
      <c r="F30" s="159"/>
      <c r="G30" s="159"/>
      <c r="H30" s="160"/>
      <c r="I30" s="973"/>
      <c r="J30" s="98"/>
      <c r="K30" s="162">
        <f>SUM(K31:K32)</f>
        <v>98800000</v>
      </c>
      <c r="L30" s="162">
        <f t="shared" ref="L30:BW30" si="28">SUM(L31:L32)</f>
        <v>98800000</v>
      </c>
      <c r="M30" s="162">
        <f t="shared" si="28"/>
        <v>98800000</v>
      </c>
      <c r="N30" s="162">
        <f t="shared" si="28"/>
        <v>98800000</v>
      </c>
      <c r="O30" s="162">
        <f t="shared" si="28"/>
        <v>88800000</v>
      </c>
      <c r="P30" s="162">
        <f t="shared" si="28"/>
        <v>88800000</v>
      </c>
      <c r="Q30" s="162">
        <f t="shared" si="28"/>
        <v>88800000</v>
      </c>
      <c r="R30" s="162">
        <f t="shared" si="28"/>
        <v>88800000</v>
      </c>
      <c r="S30" s="162">
        <f t="shared" si="28"/>
        <v>88800000</v>
      </c>
      <c r="T30" s="162">
        <f t="shared" si="28"/>
        <v>88800000</v>
      </c>
      <c r="U30" s="162">
        <f t="shared" si="28"/>
        <v>88800000</v>
      </c>
      <c r="V30" s="162">
        <f t="shared" si="28"/>
        <v>88800000</v>
      </c>
      <c r="W30" s="162">
        <f t="shared" si="28"/>
        <v>88800000</v>
      </c>
      <c r="X30" s="162">
        <f t="shared" si="28"/>
        <v>88800000</v>
      </c>
      <c r="Y30" s="162">
        <f t="shared" si="28"/>
        <v>88800000</v>
      </c>
      <c r="Z30" s="162">
        <f t="shared" si="28"/>
        <v>88800000</v>
      </c>
      <c r="AA30" s="162">
        <f t="shared" si="28"/>
        <v>88800000</v>
      </c>
      <c r="AB30" s="162">
        <f t="shared" si="28"/>
        <v>88800000</v>
      </c>
      <c r="AC30" s="162">
        <f t="shared" si="28"/>
        <v>88800000</v>
      </c>
      <c r="AD30" s="162">
        <f t="shared" si="28"/>
        <v>88800000</v>
      </c>
      <c r="AE30" s="162">
        <f t="shared" si="28"/>
        <v>0</v>
      </c>
      <c r="AF30" s="162">
        <f t="shared" si="28"/>
        <v>0</v>
      </c>
      <c r="AG30" s="162">
        <f t="shared" si="28"/>
        <v>0</v>
      </c>
      <c r="AH30" s="162">
        <f t="shared" si="28"/>
        <v>0</v>
      </c>
      <c r="AI30" s="162">
        <f t="shared" si="28"/>
        <v>0</v>
      </c>
      <c r="AJ30" s="162">
        <f t="shared" si="28"/>
        <v>0</v>
      </c>
      <c r="AK30" s="162">
        <f t="shared" si="28"/>
        <v>0</v>
      </c>
      <c r="AL30" s="162">
        <f t="shared" si="28"/>
        <v>0</v>
      </c>
      <c r="AM30" s="162">
        <f t="shared" si="28"/>
        <v>0</v>
      </c>
      <c r="AN30" s="162">
        <f t="shared" si="28"/>
        <v>0</v>
      </c>
      <c r="AO30" s="162">
        <f t="shared" si="28"/>
        <v>0</v>
      </c>
      <c r="AP30" s="162">
        <f t="shared" si="28"/>
        <v>0</v>
      </c>
      <c r="AQ30" s="162">
        <f t="shared" si="28"/>
        <v>0</v>
      </c>
      <c r="AR30" s="162">
        <f t="shared" si="28"/>
        <v>0</v>
      </c>
      <c r="AS30" s="162">
        <f t="shared" si="28"/>
        <v>0</v>
      </c>
      <c r="AT30" s="162">
        <f t="shared" si="28"/>
        <v>0</v>
      </c>
      <c r="AU30" s="162">
        <f t="shared" si="28"/>
        <v>0</v>
      </c>
      <c r="AV30" s="162">
        <f t="shared" si="28"/>
        <v>0</v>
      </c>
      <c r="AW30" s="162">
        <f t="shared" si="28"/>
        <v>0</v>
      </c>
      <c r="AX30" s="162">
        <f t="shared" si="28"/>
        <v>0</v>
      </c>
      <c r="AY30" s="162">
        <f t="shared" si="28"/>
        <v>0</v>
      </c>
      <c r="AZ30" s="162">
        <f t="shared" si="28"/>
        <v>0</v>
      </c>
      <c r="BA30" s="162">
        <f t="shared" si="28"/>
        <v>0</v>
      </c>
      <c r="BB30" s="162">
        <f t="shared" si="28"/>
        <v>0</v>
      </c>
      <c r="BC30" s="162">
        <f t="shared" si="28"/>
        <v>0</v>
      </c>
      <c r="BD30" s="162">
        <f t="shared" si="28"/>
        <v>0</v>
      </c>
      <c r="BE30" s="162">
        <f t="shared" si="28"/>
        <v>0</v>
      </c>
      <c r="BF30" s="162">
        <f t="shared" si="28"/>
        <v>0</v>
      </c>
      <c r="BG30" s="162">
        <f t="shared" si="28"/>
        <v>0</v>
      </c>
      <c r="BH30" s="162">
        <f t="shared" si="28"/>
        <v>0</v>
      </c>
      <c r="BI30" s="162">
        <f t="shared" si="28"/>
        <v>0</v>
      </c>
      <c r="BJ30" s="162">
        <f t="shared" si="28"/>
        <v>0</v>
      </c>
      <c r="BK30" s="162">
        <f t="shared" si="28"/>
        <v>0</v>
      </c>
      <c r="BL30" s="162">
        <f t="shared" si="28"/>
        <v>0</v>
      </c>
      <c r="BM30" s="162">
        <f t="shared" si="28"/>
        <v>0</v>
      </c>
      <c r="BN30" s="162">
        <f t="shared" si="28"/>
        <v>0</v>
      </c>
      <c r="BO30" s="162">
        <f t="shared" si="28"/>
        <v>0</v>
      </c>
      <c r="BP30" s="162">
        <f t="shared" si="28"/>
        <v>0</v>
      </c>
      <c r="BQ30" s="162">
        <f t="shared" si="28"/>
        <v>0</v>
      </c>
      <c r="BR30" s="162">
        <f t="shared" si="28"/>
        <v>0</v>
      </c>
      <c r="BS30" s="162">
        <f t="shared" si="28"/>
        <v>0</v>
      </c>
      <c r="BT30" s="162">
        <f t="shared" si="28"/>
        <v>0</v>
      </c>
      <c r="BU30" s="162">
        <f t="shared" si="28"/>
        <v>0</v>
      </c>
      <c r="BV30" s="162">
        <f t="shared" si="28"/>
        <v>0</v>
      </c>
      <c r="BW30" s="162">
        <f t="shared" si="28"/>
        <v>0</v>
      </c>
      <c r="BX30" s="162">
        <f t="shared" ref="BX30:DU30" si="29">SUM(BX31:BX32)</f>
        <v>0</v>
      </c>
      <c r="BY30" s="162">
        <f t="shared" si="29"/>
        <v>0</v>
      </c>
      <c r="BZ30" s="162">
        <f t="shared" si="29"/>
        <v>0</v>
      </c>
      <c r="CA30" s="162">
        <f t="shared" si="29"/>
        <v>0</v>
      </c>
      <c r="CB30" s="162">
        <f t="shared" si="29"/>
        <v>0</v>
      </c>
      <c r="CC30" s="162">
        <f t="shared" si="29"/>
        <v>0</v>
      </c>
      <c r="CD30" s="162">
        <f t="shared" si="29"/>
        <v>0</v>
      </c>
      <c r="CE30" s="162">
        <f t="shared" si="29"/>
        <v>0</v>
      </c>
      <c r="CF30" s="162">
        <f t="shared" si="29"/>
        <v>0</v>
      </c>
      <c r="CG30" s="162">
        <f t="shared" si="29"/>
        <v>0</v>
      </c>
      <c r="CH30" s="162">
        <f t="shared" si="29"/>
        <v>0</v>
      </c>
      <c r="CI30" s="162">
        <f t="shared" si="29"/>
        <v>0</v>
      </c>
      <c r="CJ30" s="162">
        <f t="shared" si="29"/>
        <v>0</v>
      </c>
      <c r="CK30" s="162">
        <f t="shared" si="29"/>
        <v>0</v>
      </c>
      <c r="CL30" s="162">
        <f t="shared" si="29"/>
        <v>0</v>
      </c>
      <c r="CM30" s="162">
        <f t="shared" si="29"/>
        <v>0</v>
      </c>
      <c r="CN30" s="162">
        <f t="shared" si="29"/>
        <v>0</v>
      </c>
      <c r="CO30" s="162">
        <f t="shared" si="29"/>
        <v>0</v>
      </c>
      <c r="CP30" s="162">
        <f t="shared" si="29"/>
        <v>0</v>
      </c>
      <c r="CQ30" s="162">
        <f t="shared" si="29"/>
        <v>0</v>
      </c>
      <c r="CR30" s="162">
        <f t="shared" si="29"/>
        <v>0</v>
      </c>
      <c r="CS30" s="162">
        <f t="shared" si="29"/>
        <v>0</v>
      </c>
      <c r="CT30" s="162">
        <f t="shared" si="29"/>
        <v>0</v>
      </c>
      <c r="CU30" s="162">
        <f t="shared" si="29"/>
        <v>0</v>
      </c>
      <c r="CV30" s="162">
        <f t="shared" si="29"/>
        <v>0</v>
      </c>
      <c r="CW30" s="162">
        <f t="shared" si="29"/>
        <v>0</v>
      </c>
      <c r="CX30" s="162">
        <f t="shared" si="29"/>
        <v>0</v>
      </c>
      <c r="CY30" s="162">
        <f t="shared" si="29"/>
        <v>0</v>
      </c>
      <c r="CZ30" s="162">
        <f t="shared" si="29"/>
        <v>0</v>
      </c>
      <c r="DA30" s="162">
        <f t="shared" si="29"/>
        <v>0</v>
      </c>
      <c r="DB30" s="162">
        <f t="shared" si="29"/>
        <v>0</v>
      </c>
      <c r="DC30" s="162">
        <f t="shared" si="29"/>
        <v>0</v>
      </c>
      <c r="DD30" s="162">
        <f t="shared" si="29"/>
        <v>0</v>
      </c>
      <c r="DE30" s="162">
        <f t="shared" si="29"/>
        <v>0</v>
      </c>
      <c r="DF30" s="162">
        <f t="shared" si="29"/>
        <v>0</v>
      </c>
      <c r="DG30" s="162">
        <f t="shared" si="29"/>
        <v>0</v>
      </c>
      <c r="DH30" s="162">
        <f t="shared" si="29"/>
        <v>0</v>
      </c>
      <c r="DI30" s="162">
        <f t="shared" si="29"/>
        <v>0</v>
      </c>
      <c r="DJ30" s="162">
        <f t="shared" si="29"/>
        <v>0</v>
      </c>
      <c r="DK30" s="162">
        <f t="shared" si="29"/>
        <v>0</v>
      </c>
      <c r="DL30" s="162">
        <f t="shared" si="29"/>
        <v>0</v>
      </c>
      <c r="DM30" s="162">
        <f t="shared" si="29"/>
        <v>0</v>
      </c>
      <c r="DN30" s="162">
        <f t="shared" si="29"/>
        <v>0</v>
      </c>
      <c r="DO30" s="162">
        <f t="shared" si="29"/>
        <v>0</v>
      </c>
      <c r="DP30" s="162">
        <f t="shared" si="29"/>
        <v>0</v>
      </c>
      <c r="DQ30" s="162">
        <f t="shared" si="29"/>
        <v>0</v>
      </c>
      <c r="DR30" s="162">
        <f t="shared" si="29"/>
        <v>0</v>
      </c>
      <c r="DS30" s="162">
        <f t="shared" si="29"/>
        <v>0</v>
      </c>
      <c r="DT30" s="162">
        <f t="shared" si="29"/>
        <v>0</v>
      </c>
      <c r="DU30" s="162">
        <f t="shared" si="29"/>
        <v>0</v>
      </c>
    </row>
    <row r="31" spans="2:125">
      <c r="B31" s="218"/>
      <c r="C31" s="163"/>
      <c r="D31" s="164" t="s">
        <v>543</v>
      </c>
      <c r="E31" s="165"/>
      <c r="F31" s="165"/>
      <c r="G31" s="165"/>
      <c r="H31" s="166"/>
      <c r="I31" s="976"/>
      <c r="J31" s="98"/>
      <c r="K31" s="168">
        <f>SUMIF('BS(M)'!$K$13:$EP$13,K$8,'BS(M)'!$K36:$EP36)</f>
        <v>6354782.6086956523</v>
      </c>
      <c r="L31" s="168">
        <f>SUMIF('BS(M)'!$K$13:$EP$13,L$8,'BS(M)'!$K36:$EP36)</f>
        <v>6354782.6086956523</v>
      </c>
      <c r="M31" s="168">
        <f>SUMIF('BS(M)'!$K$13:$EP$13,M$8,'BS(M)'!$K36:$EP36)</f>
        <v>6354782.6086956523</v>
      </c>
      <c r="N31" s="168">
        <f>SUMIF('BS(M)'!$K$13:$EP$13,N$8,'BS(M)'!$K36:$EP36)</f>
        <v>6354782.6086956523</v>
      </c>
      <c r="O31" s="168">
        <f>SUMIF('BS(M)'!$K$13:$EP$13,O$8,'BS(M)'!$K36:$EP36)</f>
        <v>5920000</v>
      </c>
      <c r="P31" s="168">
        <f>SUMIF('BS(M)'!$K$13:$EP$13,P$8,'BS(M)'!$K36:$EP36)</f>
        <v>5920000</v>
      </c>
      <c r="Q31" s="168">
        <f>SUMIF('BS(M)'!$K$13:$EP$13,Q$8,'BS(M)'!$K36:$EP36)</f>
        <v>5920000</v>
      </c>
      <c r="R31" s="168">
        <f>SUMIF('BS(M)'!$K$13:$EP$13,R$8,'BS(M)'!$K36:$EP36)</f>
        <v>5920000</v>
      </c>
      <c r="S31" s="168">
        <f>SUMIF('BS(M)'!$K$13:$EP$13,S$8,'BS(M)'!$K36:$EP36)</f>
        <v>5920000</v>
      </c>
      <c r="T31" s="168">
        <f>SUMIF('BS(M)'!$K$13:$EP$13,T$8,'BS(M)'!$K36:$EP36)</f>
        <v>5920000</v>
      </c>
      <c r="U31" s="168">
        <f>SUMIF('BS(M)'!$K$13:$EP$13,U$8,'BS(M)'!$K36:$EP36)</f>
        <v>5920000</v>
      </c>
      <c r="V31" s="168">
        <f>SUMIF('BS(M)'!$K$13:$EP$13,V$8,'BS(M)'!$K36:$EP36)</f>
        <v>5920000</v>
      </c>
      <c r="W31" s="168">
        <f>SUMIF('BS(M)'!$K$13:$EP$13,W$8,'BS(M)'!$K36:$EP36)</f>
        <v>5920000</v>
      </c>
      <c r="X31" s="168">
        <f>SUMIF('BS(M)'!$K$13:$EP$13,X$8,'BS(M)'!$K36:$EP36)</f>
        <v>5920000</v>
      </c>
      <c r="Y31" s="168">
        <f>SUMIF('BS(M)'!$K$13:$EP$13,Y$8,'BS(M)'!$K36:$EP36)</f>
        <v>5920000</v>
      </c>
      <c r="Z31" s="168">
        <f>SUMIF('BS(M)'!$K$13:$EP$13,Z$8,'BS(M)'!$K36:$EP36)</f>
        <v>5920000</v>
      </c>
      <c r="AA31" s="168">
        <f>SUMIF('BS(M)'!$K$13:$EP$13,AA$8,'BS(M)'!$K36:$EP36)</f>
        <v>5920000</v>
      </c>
      <c r="AB31" s="168">
        <f>SUMIF('BS(M)'!$K$13:$EP$13,AB$8,'BS(M)'!$K36:$EP36)</f>
        <v>5920000</v>
      </c>
      <c r="AC31" s="168">
        <f>SUMIF('BS(M)'!$K$13:$EP$13,AC$8,'BS(M)'!$K36:$EP36)</f>
        <v>5920000</v>
      </c>
      <c r="AD31" s="168">
        <f>SUMIF('BS(M)'!$K$13:$EP$13,AD$8,'BS(M)'!$K36:$EP36)</f>
        <v>5920000</v>
      </c>
      <c r="AE31" s="168">
        <f>SUMIF('BS(M)'!$K$13:$EP$13,AE$8,'BS(M)'!$K36:$EP36)</f>
        <v>0</v>
      </c>
      <c r="AF31" s="168">
        <f>SUMIF('BS(M)'!$K$13:$EP$13,AF$8,'BS(M)'!$K36:$EP36)</f>
        <v>0</v>
      </c>
      <c r="AG31" s="168">
        <f>SUMIF('BS(M)'!$K$13:$EP$13,AG$8,'BS(M)'!$K36:$EP36)</f>
        <v>0</v>
      </c>
      <c r="AH31" s="168">
        <f>SUMIF('BS(M)'!$K$13:$EP$13,AH$8,'BS(M)'!$K36:$EP36)</f>
        <v>0</v>
      </c>
      <c r="AI31" s="168">
        <f>SUMIF('BS(M)'!$K$13:$EP$13,AI$8,'BS(M)'!$K36:$EP36)</f>
        <v>0</v>
      </c>
      <c r="AJ31" s="168">
        <f>SUMIF('BS(M)'!$K$13:$EP$13,AJ$8,'BS(M)'!$K36:$EP36)</f>
        <v>0</v>
      </c>
      <c r="AK31" s="168">
        <f>SUMIF('BS(M)'!$K$13:$EP$13,AK$8,'BS(M)'!$K36:$EP36)</f>
        <v>0</v>
      </c>
      <c r="AL31" s="168">
        <f>SUMIF('BS(M)'!$K$13:$EP$13,AL$8,'BS(M)'!$K36:$EP36)</f>
        <v>0</v>
      </c>
      <c r="AM31" s="168">
        <f>SUMIF('BS(M)'!$K$13:$EP$13,AM$8,'BS(M)'!$K36:$EP36)</f>
        <v>0</v>
      </c>
      <c r="AN31" s="168">
        <f>SUMIF('BS(M)'!$K$13:$EP$13,AN$8,'BS(M)'!$K36:$EP36)</f>
        <v>0</v>
      </c>
      <c r="AO31" s="168">
        <f>SUMIF('BS(M)'!$K$13:$EP$13,AO$8,'BS(M)'!$K36:$EP36)</f>
        <v>0</v>
      </c>
      <c r="AP31" s="168">
        <f>SUMIF('BS(M)'!$K$13:$EP$13,AP$8,'BS(M)'!$K36:$EP36)</f>
        <v>0</v>
      </c>
      <c r="AQ31" s="168">
        <f>SUMIF('BS(M)'!$K$13:$EP$13,AQ$8,'BS(M)'!$K36:$EP36)</f>
        <v>0</v>
      </c>
      <c r="AR31" s="168">
        <f>SUMIF('BS(M)'!$K$13:$EP$13,AR$8,'BS(M)'!$K36:$EP36)</f>
        <v>0</v>
      </c>
      <c r="AS31" s="168">
        <f>SUMIF('BS(M)'!$K$13:$EP$13,AS$8,'BS(M)'!$K36:$EP36)</f>
        <v>0</v>
      </c>
      <c r="AT31" s="168">
        <f>SUMIF('BS(M)'!$K$13:$EP$13,AT$8,'BS(M)'!$K36:$EP36)</f>
        <v>0</v>
      </c>
      <c r="AU31" s="168">
        <f>SUMIF('BS(M)'!$K$13:$EP$13,AU$8,'BS(M)'!$K36:$EP36)</f>
        <v>0</v>
      </c>
      <c r="AV31" s="168">
        <f>SUMIF('BS(M)'!$K$13:$EP$13,AV$8,'BS(M)'!$K36:$EP36)</f>
        <v>0</v>
      </c>
      <c r="AW31" s="168">
        <f>SUMIF('BS(M)'!$K$13:$EP$13,AW$8,'BS(M)'!$K36:$EP36)</f>
        <v>0</v>
      </c>
      <c r="AX31" s="168">
        <f>SUMIF('BS(M)'!$K$13:$EP$13,AX$8,'BS(M)'!$K36:$EP36)</f>
        <v>0</v>
      </c>
      <c r="AY31" s="168">
        <f>SUMIF('BS(M)'!$K$13:$EP$13,AY$8,'BS(M)'!$K36:$EP36)</f>
        <v>0</v>
      </c>
      <c r="AZ31" s="168">
        <f>SUMIF('BS(M)'!$K$13:$EP$13,AZ$8,'BS(M)'!$K36:$EP36)</f>
        <v>0</v>
      </c>
      <c r="BA31" s="168">
        <f>SUMIF('BS(M)'!$K$13:$EP$13,BA$8,'BS(M)'!$K36:$EP36)</f>
        <v>0</v>
      </c>
      <c r="BB31" s="168">
        <f>SUMIF('BS(M)'!$K$13:$EP$13,BB$8,'BS(M)'!$K36:$EP36)</f>
        <v>0</v>
      </c>
      <c r="BC31" s="168">
        <f>SUMIF('BS(M)'!$K$13:$EP$13,BC$8,'BS(M)'!$K36:$EP36)</f>
        <v>0</v>
      </c>
      <c r="BD31" s="168">
        <f>SUMIF('BS(M)'!$K$13:$EP$13,BD$8,'BS(M)'!$K36:$EP36)</f>
        <v>0</v>
      </c>
      <c r="BE31" s="168">
        <f>SUMIF('BS(M)'!$K$13:$EP$13,BE$8,'BS(M)'!$K36:$EP36)</f>
        <v>0</v>
      </c>
      <c r="BF31" s="168">
        <f>SUMIF('BS(M)'!$K$13:$EP$13,BF$8,'BS(M)'!$K36:$EP36)</f>
        <v>0</v>
      </c>
      <c r="BG31" s="168">
        <f>SUMIF('BS(M)'!$K$13:$EP$13,BG$8,'BS(M)'!$K36:$EP36)</f>
        <v>0</v>
      </c>
      <c r="BH31" s="168">
        <f>SUMIF('BS(M)'!$K$13:$EP$13,BH$8,'BS(M)'!$K36:$EP36)</f>
        <v>0</v>
      </c>
      <c r="BI31" s="168">
        <f>SUMIF('BS(M)'!$K$13:$EP$13,BI$8,'BS(M)'!$K36:$EP36)</f>
        <v>0</v>
      </c>
      <c r="BJ31" s="168">
        <f>SUMIF('BS(M)'!$K$13:$EP$13,BJ$8,'BS(M)'!$K36:$EP36)</f>
        <v>0</v>
      </c>
      <c r="BK31" s="168">
        <f>SUMIF('BS(M)'!$K$13:$EP$13,BK$8,'BS(M)'!$K36:$EP36)</f>
        <v>0</v>
      </c>
      <c r="BL31" s="168">
        <f>SUMIF('BS(M)'!$K$13:$EP$13,BL$8,'BS(M)'!$K36:$EP36)</f>
        <v>0</v>
      </c>
      <c r="BM31" s="168">
        <f>SUMIF('BS(M)'!$K$13:$EP$13,BM$8,'BS(M)'!$K36:$EP36)</f>
        <v>0</v>
      </c>
      <c r="BN31" s="168">
        <f>SUMIF('BS(M)'!$K$13:$EP$13,BN$8,'BS(M)'!$K36:$EP36)</f>
        <v>0</v>
      </c>
      <c r="BO31" s="168">
        <f>SUMIF('BS(M)'!$K$13:$EP$13,BO$8,'BS(M)'!$K36:$EP36)</f>
        <v>0</v>
      </c>
      <c r="BP31" s="168">
        <f>SUMIF('BS(M)'!$K$13:$EP$13,BP$8,'BS(M)'!$K36:$EP36)</f>
        <v>0</v>
      </c>
      <c r="BQ31" s="168">
        <f>SUMIF('BS(M)'!$K$13:$EP$13,BQ$8,'BS(M)'!$K36:$EP36)</f>
        <v>0</v>
      </c>
      <c r="BR31" s="168">
        <f>SUMIF('BS(M)'!$K$13:$EP$13,BR$8,'BS(M)'!$K36:$EP36)</f>
        <v>0</v>
      </c>
      <c r="BS31" s="168">
        <f>SUMIF('BS(M)'!$K$13:$EP$13,BS$8,'BS(M)'!$K36:$EP36)</f>
        <v>0</v>
      </c>
      <c r="BT31" s="168">
        <f>SUMIF('BS(M)'!$K$13:$EP$13,BT$8,'BS(M)'!$K36:$EP36)</f>
        <v>0</v>
      </c>
      <c r="BU31" s="168">
        <f>SUMIF('BS(M)'!$K$13:$EP$13,BU$8,'BS(M)'!$K36:$EP36)</f>
        <v>0</v>
      </c>
      <c r="BV31" s="168">
        <f>SUMIF('BS(M)'!$K$13:$EP$13,BV$8,'BS(M)'!$K36:$EP36)</f>
        <v>0</v>
      </c>
      <c r="BW31" s="168">
        <f>SUMIF('BS(M)'!$K$13:$EP$13,BW$8,'BS(M)'!$K36:$EP36)</f>
        <v>0</v>
      </c>
      <c r="BX31" s="168">
        <f>SUMIF('BS(M)'!$K$13:$EP$13,BX$8,'BS(M)'!$K36:$EP36)</f>
        <v>0</v>
      </c>
      <c r="BY31" s="168">
        <f>SUMIF('BS(M)'!$K$13:$EP$13,BY$8,'BS(M)'!$K36:$EP36)</f>
        <v>0</v>
      </c>
      <c r="BZ31" s="168">
        <f>SUMIF('BS(M)'!$K$13:$EP$13,BZ$8,'BS(M)'!$K36:$EP36)</f>
        <v>0</v>
      </c>
      <c r="CA31" s="168">
        <f>SUMIF('BS(M)'!$K$13:$EP$13,CA$8,'BS(M)'!$K36:$EP36)</f>
        <v>0</v>
      </c>
      <c r="CB31" s="168">
        <f>SUMIF('BS(M)'!$K$13:$EP$13,CB$8,'BS(M)'!$K36:$EP36)</f>
        <v>0</v>
      </c>
      <c r="CC31" s="168">
        <f>SUMIF('BS(M)'!$K$13:$EP$13,CC$8,'BS(M)'!$K36:$EP36)</f>
        <v>0</v>
      </c>
      <c r="CD31" s="168">
        <f>SUMIF('BS(M)'!$K$13:$EP$13,CD$8,'BS(M)'!$K36:$EP36)</f>
        <v>0</v>
      </c>
      <c r="CE31" s="168">
        <f>SUMIF('BS(M)'!$K$13:$EP$13,CE$8,'BS(M)'!$K36:$EP36)</f>
        <v>0</v>
      </c>
      <c r="CF31" s="168">
        <f>SUMIF('BS(M)'!$K$13:$EP$13,CF$8,'BS(M)'!$K36:$EP36)</f>
        <v>0</v>
      </c>
      <c r="CG31" s="168">
        <f>SUMIF('BS(M)'!$K$13:$EP$13,CG$8,'BS(M)'!$K36:$EP36)</f>
        <v>0</v>
      </c>
      <c r="CH31" s="168">
        <f>SUMIF('BS(M)'!$K$13:$EP$13,CH$8,'BS(M)'!$K36:$EP36)</f>
        <v>0</v>
      </c>
      <c r="CI31" s="168">
        <f>SUMIF('BS(M)'!$K$13:$EP$13,CI$8,'BS(M)'!$K36:$EP36)</f>
        <v>0</v>
      </c>
      <c r="CJ31" s="168">
        <f>SUMIF('BS(M)'!$K$13:$EP$13,CJ$8,'BS(M)'!$K36:$EP36)</f>
        <v>0</v>
      </c>
      <c r="CK31" s="168">
        <f>SUMIF('BS(M)'!$K$13:$EP$13,CK$8,'BS(M)'!$K36:$EP36)</f>
        <v>0</v>
      </c>
      <c r="CL31" s="168">
        <f>SUMIF('BS(M)'!$K$13:$EP$13,CL$8,'BS(M)'!$K36:$EP36)</f>
        <v>0</v>
      </c>
      <c r="CM31" s="168">
        <f>SUMIF('BS(M)'!$K$13:$EP$13,CM$8,'BS(M)'!$K36:$EP36)</f>
        <v>0</v>
      </c>
      <c r="CN31" s="168">
        <f>SUMIF('BS(M)'!$K$13:$EP$13,CN$8,'BS(M)'!$K36:$EP36)</f>
        <v>0</v>
      </c>
      <c r="CO31" s="168">
        <f>SUMIF('BS(M)'!$K$13:$EP$13,CO$8,'BS(M)'!$K36:$EP36)</f>
        <v>0</v>
      </c>
      <c r="CP31" s="168">
        <f>SUMIF('BS(M)'!$K$13:$EP$13,CP$8,'BS(M)'!$K36:$EP36)</f>
        <v>0</v>
      </c>
      <c r="CQ31" s="168">
        <f>SUMIF('BS(M)'!$K$13:$EP$13,CQ$8,'BS(M)'!$K36:$EP36)</f>
        <v>0</v>
      </c>
      <c r="CR31" s="168">
        <f>SUMIF('BS(M)'!$K$13:$EP$13,CR$8,'BS(M)'!$K36:$EP36)</f>
        <v>0</v>
      </c>
      <c r="CS31" s="168">
        <f>SUMIF('BS(M)'!$K$13:$EP$13,CS$8,'BS(M)'!$K36:$EP36)</f>
        <v>0</v>
      </c>
      <c r="CT31" s="168">
        <f>SUMIF('BS(M)'!$K$13:$EP$13,CT$8,'BS(M)'!$K36:$EP36)</f>
        <v>0</v>
      </c>
      <c r="CU31" s="168">
        <f>SUMIF('BS(M)'!$K$13:$EP$13,CU$8,'BS(M)'!$K36:$EP36)</f>
        <v>0</v>
      </c>
      <c r="CV31" s="168">
        <f>SUMIF('BS(M)'!$K$13:$EP$13,CV$8,'BS(M)'!$K36:$EP36)</f>
        <v>0</v>
      </c>
      <c r="CW31" s="168">
        <f>SUMIF('BS(M)'!$K$13:$EP$13,CW$8,'BS(M)'!$K36:$EP36)</f>
        <v>0</v>
      </c>
      <c r="CX31" s="168">
        <f>SUMIF('BS(M)'!$K$13:$EP$13,CX$8,'BS(M)'!$K36:$EP36)</f>
        <v>0</v>
      </c>
      <c r="CY31" s="168">
        <f>SUMIF('BS(M)'!$K$13:$EP$13,CY$8,'BS(M)'!$K36:$EP36)</f>
        <v>0</v>
      </c>
      <c r="CZ31" s="168">
        <f>SUMIF('BS(M)'!$K$13:$EP$13,CZ$8,'BS(M)'!$K36:$EP36)</f>
        <v>0</v>
      </c>
      <c r="DA31" s="168">
        <f>SUMIF('BS(M)'!$K$13:$EP$13,DA$8,'BS(M)'!$K36:$EP36)</f>
        <v>0</v>
      </c>
      <c r="DB31" s="168">
        <f>SUMIF('BS(M)'!$K$13:$EP$13,DB$8,'BS(M)'!$K36:$EP36)</f>
        <v>0</v>
      </c>
      <c r="DC31" s="168">
        <f>SUMIF('BS(M)'!$K$13:$EP$13,DC$8,'BS(M)'!$K36:$EP36)</f>
        <v>0</v>
      </c>
      <c r="DD31" s="168">
        <f>SUMIF('BS(M)'!$K$13:$EP$13,DD$8,'BS(M)'!$K36:$EP36)</f>
        <v>0</v>
      </c>
      <c r="DE31" s="168">
        <f>SUMIF('BS(M)'!$K$13:$EP$13,DE$8,'BS(M)'!$K36:$EP36)</f>
        <v>0</v>
      </c>
      <c r="DF31" s="168">
        <f>SUMIF('BS(M)'!$K$13:$EP$13,DF$8,'BS(M)'!$K36:$EP36)</f>
        <v>0</v>
      </c>
      <c r="DG31" s="168">
        <f>SUMIF('BS(M)'!$K$13:$EP$13,DG$8,'BS(M)'!$K36:$EP36)</f>
        <v>0</v>
      </c>
      <c r="DH31" s="168">
        <f>SUMIF('BS(M)'!$K$13:$EP$13,DH$8,'BS(M)'!$K36:$EP36)</f>
        <v>0</v>
      </c>
      <c r="DI31" s="168">
        <f>SUMIF('BS(M)'!$K$13:$EP$13,DI$8,'BS(M)'!$K36:$EP36)</f>
        <v>0</v>
      </c>
      <c r="DJ31" s="168">
        <f>SUMIF('BS(M)'!$K$13:$EP$13,DJ$8,'BS(M)'!$K36:$EP36)</f>
        <v>0</v>
      </c>
      <c r="DK31" s="168">
        <f>SUMIF('BS(M)'!$K$13:$EP$13,DK$8,'BS(M)'!$K36:$EP36)</f>
        <v>0</v>
      </c>
      <c r="DL31" s="168">
        <f>SUMIF('BS(M)'!$K$13:$EP$13,DL$8,'BS(M)'!$K36:$EP36)</f>
        <v>0</v>
      </c>
      <c r="DM31" s="168">
        <f>SUMIF('BS(M)'!$K$13:$EP$13,DM$8,'BS(M)'!$K36:$EP36)</f>
        <v>0</v>
      </c>
      <c r="DN31" s="168">
        <f>SUMIF('BS(M)'!$K$13:$EP$13,DN$8,'BS(M)'!$K36:$EP36)</f>
        <v>0</v>
      </c>
      <c r="DO31" s="168">
        <f>SUMIF('BS(M)'!$K$13:$EP$13,DO$8,'BS(M)'!$K36:$EP36)</f>
        <v>0</v>
      </c>
      <c r="DP31" s="168">
        <f>SUMIF('BS(M)'!$K$13:$EP$13,DP$8,'BS(M)'!$K36:$EP36)</f>
        <v>0</v>
      </c>
      <c r="DQ31" s="168">
        <f>SUMIF('BS(M)'!$K$13:$EP$13,DQ$8,'BS(M)'!$K36:$EP36)</f>
        <v>0</v>
      </c>
      <c r="DR31" s="168">
        <f>SUMIF('BS(M)'!$K$13:$EP$13,DR$8,'BS(M)'!$K36:$EP36)</f>
        <v>0</v>
      </c>
      <c r="DS31" s="168">
        <f>SUMIF('BS(M)'!$K$13:$EP$13,DS$8,'BS(M)'!$K36:$EP36)</f>
        <v>0</v>
      </c>
      <c r="DT31" s="168">
        <f>SUMIF('BS(M)'!$K$13:$EP$13,DT$8,'BS(M)'!$K36:$EP36)</f>
        <v>0</v>
      </c>
      <c r="DU31" s="168">
        <f>SUMIF('BS(M)'!$K$13:$EP$13,DU$8,'BS(M)'!$K36:$EP36)</f>
        <v>0</v>
      </c>
    </row>
    <row r="32" spans="2:125">
      <c r="B32" s="218"/>
      <c r="C32" s="163"/>
      <c r="D32" s="169" t="s">
        <v>545</v>
      </c>
      <c r="H32" s="146"/>
      <c r="I32" s="977"/>
      <c r="J32" s="98"/>
      <c r="K32" s="171">
        <f>SUMIF('BS(M)'!$K$13:$EP$13,K$8,'BS(M)'!$K37:$EP37)</f>
        <v>92445217.391304344</v>
      </c>
      <c r="L32" s="171">
        <f>SUMIF('BS(M)'!$K$13:$EP$13,L$8,'BS(M)'!$K37:$EP37)</f>
        <v>92445217.391304344</v>
      </c>
      <c r="M32" s="171">
        <f>SUMIF('BS(M)'!$K$13:$EP$13,M$8,'BS(M)'!$K37:$EP37)</f>
        <v>92445217.391304344</v>
      </c>
      <c r="N32" s="171">
        <f>SUMIF('BS(M)'!$K$13:$EP$13,N$8,'BS(M)'!$K37:$EP37)</f>
        <v>92445217.391304344</v>
      </c>
      <c r="O32" s="171">
        <f>SUMIF('BS(M)'!$K$13:$EP$13,O$8,'BS(M)'!$K37:$EP37)</f>
        <v>82880000</v>
      </c>
      <c r="P32" s="171">
        <f>SUMIF('BS(M)'!$K$13:$EP$13,P$8,'BS(M)'!$K37:$EP37)</f>
        <v>82880000</v>
      </c>
      <c r="Q32" s="171">
        <f>SUMIF('BS(M)'!$K$13:$EP$13,Q$8,'BS(M)'!$K37:$EP37)</f>
        <v>82880000</v>
      </c>
      <c r="R32" s="171">
        <f>SUMIF('BS(M)'!$K$13:$EP$13,R$8,'BS(M)'!$K37:$EP37)</f>
        <v>82880000</v>
      </c>
      <c r="S32" s="171">
        <f>SUMIF('BS(M)'!$K$13:$EP$13,S$8,'BS(M)'!$K37:$EP37)</f>
        <v>82880000</v>
      </c>
      <c r="T32" s="171">
        <f>SUMIF('BS(M)'!$K$13:$EP$13,T$8,'BS(M)'!$K37:$EP37)</f>
        <v>82880000</v>
      </c>
      <c r="U32" s="171">
        <f>SUMIF('BS(M)'!$K$13:$EP$13,U$8,'BS(M)'!$K37:$EP37)</f>
        <v>82880000</v>
      </c>
      <c r="V32" s="171">
        <f>SUMIF('BS(M)'!$K$13:$EP$13,V$8,'BS(M)'!$K37:$EP37)</f>
        <v>82880000</v>
      </c>
      <c r="W32" s="171">
        <f>SUMIF('BS(M)'!$K$13:$EP$13,W$8,'BS(M)'!$K37:$EP37)</f>
        <v>82880000</v>
      </c>
      <c r="X32" s="171">
        <f>SUMIF('BS(M)'!$K$13:$EP$13,X$8,'BS(M)'!$K37:$EP37)</f>
        <v>82880000</v>
      </c>
      <c r="Y32" s="171">
        <f>SUMIF('BS(M)'!$K$13:$EP$13,Y$8,'BS(M)'!$K37:$EP37)</f>
        <v>82880000</v>
      </c>
      <c r="Z32" s="171">
        <f>SUMIF('BS(M)'!$K$13:$EP$13,Z$8,'BS(M)'!$K37:$EP37)</f>
        <v>82880000</v>
      </c>
      <c r="AA32" s="171">
        <f>SUMIF('BS(M)'!$K$13:$EP$13,AA$8,'BS(M)'!$K37:$EP37)</f>
        <v>82880000</v>
      </c>
      <c r="AB32" s="171">
        <f>SUMIF('BS(M)'!$K$13:$EP$13,AB$8,'BS(M)'!$K37:$EP37)</f>
        <v>82880000</v>
      </c>
      <c r="AC32" s="171">
        <f>SUMIF('BS(M)'!$K$13:$EP$13,AC$8,'BS(M)'!$K37:$EP37)</f>
        <v>82880000</v>
      </c>
      <c r="AD32" s="171">
        <f>SUMIF('BS(M)'!$K$13:$EP$13,AD$8,'BS(M)'!$K37:$EP37)</f>
        <v>82880000</v>
      </c>
      <c r="AE32" s="171">
        <f>SUMIF('BS(M)'!$K$13:$EP$13,AE$8,'BS(M)'!$K37:$EP37)</f>
        <v>0</v>
      </c>
      <c r="AF32" s="171">
        <f>SUMIF('BS(M)'!$K$13:$EP$13,AF$8,'BS(M)'!$K37:$EP37)</f>
        <v>0</v>
      </c>
      <c r="AG32" s="171">
        <f>SUMIF('BS(M)'!$K$13:$EP$13,AG$8,'BS(M)'!$K37:$EP37)</f>
        <v>0</v>
      </c>
      <c r="AH32" s="171">
        <f>SUMIF('BS(M)'!$K$13:$EP$13,AH$8,'BS(M)'!$K37:$EP37)</f>
        <v>0</v>
      </c>
      <c r="AI32" s="171">
        <f>SUMIF('BS(M)'!$K$13:$EP$13,AI$8,'BS(M)'!$K37:$EP37)</f>
        <v>0</v>
      </c>
      <c r="AJ32" s="171">
        <f>SUMIF('BS(M)'!$K$13:$EP$13,AJ$8,'BS(M)'!$K37:$EP37)</f>
        <v>0</v>
      </c>
      <c r="AK32" s="171">
        <f>SUMIF('BS(M)'!$K$13:$EP$13,AK$8,'BS(M)'!$K37:$EP37)</f>
        <v>0</v>
      </c>
      <c r="AL32" s="171">
        <f>SUMIF('BS(M)'!$K$13:$EP$13,AL$8,'BS(M)'!$K37:$EP37)</f>
        <v>0</v>
      </c>
      <c r="AM32" s="171">
        <f>SUMIF('BS(M)'!$K$13:$EP$13,AM$8,'BS(M)'!$K37:$EP37)</f>
        <v>0</v>
      </c>
      <c r="AN32" s="171">
        <f>SUMIF('BS(M)'!$K$13:$EP$13,AN$8,'BS(M)'!$K37:$EP37)</f>
        <v>0</v>
      </c>
      <c r="AO32" s="171">
        <f>SUMIF('BS(M)'!$K$13:$EP$13,AO$8,'BS(M)'!$K37:$EP37)</f>
        <v>0</v>
      </c>
      <c r="AP32" s="171">
        <f>SUMIF('BS(M)'!$K$13:$EP$13,AP$8,'BS(M)'!$K37:$EP37)</f>
        <v>0</v>
      </c>
      <c r="AQ32" s="171">
        <f>SUMIF('BS(M)'!$K$13:$EP$13,AQ$8,'BS(M)'!$K37:$EP37)</f>
        <v>0</v>
      </c>
      <c r="AR32" s="171">
        <f>SUMIF('BS(M)'!$K$13:$EP$13,AR$8,'BS(M)'!$K37:$EP37)</f>
        <v>0</v>
      </c>
      <c r="AS32" s="171">
        <f>SUMIF('BS(M)'!$K$13:$EP$13,AS$8,'BS(M)'!$K37:$EP37)</f>
        <v>0</v>
      </c>
      <c r="AT32" s="171">
        <f>SUMIF('BS(M)'!$K$13:$EP$13,AT$8,'BS(M)'!$K37:$EP37)</f>
        <v>0</v>
      </c>
      <c r="AU32" s="171">
        <f>SUMIF('BS(M)'!$K$13:$EP$13,AU$8,'BS(M)'!$K37:$EP37)</f>
        <v>0</v>
      </c>
      <c r="AV32" s="171">
        <f>SUMIF('BS(M)'!$K$13:$EP$13,AV$8,'BS(M)'!$K37:$EP37)</f>
        <v>0</v>
      </c>
      <c r="AW32" s="171">
        <f>SUMIF('BS(M)'!$K$13:$EP$13,AW$8,'BS(M)'!$K37:$EP37)</f>
        <v>0</v>
      </c>
      <c r="AX32" s="171">
        <f>SUMIF('BS(M)'!$K$13:$EP$13,AX$8,'BS(M)'!$K37:$EP37)</f>
        <v>0</v>
      </c>
      <c r="AY32" s="171">
        <f>SUMIF('BS(M)'!$K$13:$EP$13,AY$8,'BS(M)'!$K37:$EP37)</f>
        <v>0</v>
      </c>
      <c r="AZ32" s="171">
        <f>SUMIF('BS(M)'!$K$13:$EP$13,AZ$8,'BS(M)'!$K37:$EP37)</f>
        <v>0</v>
      </c>
      <c r="BA32" s="171">
        <f>SUMIF('BS(M)'!$K$13:$EP$13,BA$8,'BS(M)'!$K37:$EP37)</f>
        <v>0</v>
      </c>
      <c r="BB32" s="171">
        <f>SUMIF('BS(M)'!$K$13:$EP$13,BB$8,'BS(M)'!$K37:$EP37)</f>
        <v>0</v>
      </c>
      <c r="BC32" s="171">
        <f>SUMIF('BS(M)'!$K$13:$EP$13,BC$8,'BS(M)'!$K37:$EP37)</f>
        <v>0</v>
      </c>
      <c r="BD32" s="171">
        <f>SUMIF('BS(M)'!$K$13:$EP$13,BD$8,'BS(M)'!$K37:$EP37)</f>
        <v>0</v>
      </c>
      <c r="BE32" s="171">
        <f>SUMIF('BS(M)'!$K$13:$EP$13,BE$8,'BS(M)'!$K37:$EP37)</f>
        <v>0</v>
      </c>
      <c r="BF32" s="171">
        <f>SUMIF('BS(M)'!$K$13:$EP$13,BF$8,'BS(M)'!$K37:$EP37)</f>
        <v>0</v>
      </c>
      <c r="BG32" s="171">
        <f>SUMIF('BS(M)'!$K$13:$EP$13,BG$8,'BS(M)'!$K37:$EP37)</f>
        <v>0</v>
      </c>
      <c r="BH32" s="171">
        <f>SUMIF('BS(M)'!$K$13:$EP$13,BH$8,'BS(M)'!$K37:$EP37)</f>
        <v>0</v>
      </c>
      <c r="BI32" s="171">
        <f>SUMIF('BS(M)'!$K$13:$EP$13,BI$8,'BS(M)'!$K37:$EP37)</f>
        <v>0</v>
      </c>
      <c r="BJ32" s="171">
        <f>SUMIF('BS(M)'!$K$13:$EP$13,BJ$8,'BS(M)'!$K37:$EP37)</f>
        <v>0</v>
      </c>
      <c r="BK32" s="171">
        <f>SUMIF('BS(M)'!$K$13:$EP$13,BK$8,'BS(M)'!$K37:$EP37)</f>
        <v>0</v>
      </c>
      <c r="BL32" s="171">
        <f>SUMIF('BS(M)'!$K$13:$EP$13,BL$8,'BS(M)'!$K37:$EP37)</f>
        <v>0</v>
      </c>
      <c r="BM32" s="171">
        <f>SUMIF('BS(M)'!$K$13:$EP$13,BM$8,'BS(M)'!$K37:$EP37)</f>
        <v>0</v>
      </c>
      <c r="BN32" s="171">
        <f>SUMIF('BS(M)'!$K$13:$EP$13,BN$8,'BS(M)'!$K37:$EP37)</f>
        <v>0</v>
      </c>
      <c r="BO32" s="171">
        <f>SUMIF('BS(M)'!$K$13:$EP$13,BO$8,'BS(M)'!$K37:$EP37)</f>
        <v>0</v>
      </c>
      <c r="BP32" s="171">
        <f>SUMIF('BS(M)'!$K$13:$EP$13,BP$8,'BS(M)'!$K37:$EP37)</f>
        <v>0</v>
      </c>
      <c r="BQ32" s="171">
        <f>SUMIF('BS(M)'!$K$13:$EP$13,BQ$8,'BS(M)'!$K37:$EP37)</f>
        <v>0</v>
      </c>
      <c r="BR32" s="171">
        <f>SUMIF('BS(M)'!$K$13:$EP$13,BR$8,'BS(M)'!$K37:$EP37)</f>
        <v>0</v>
      </c>
      <c r="BS32" s="171">
        <f>SUMIF('BS(M)'!$K$13:$EP$13,BS$8,'BS(M)'!$K37:$EP37)</f>
        <v>0</v>
      </c>
      <c r="BT32" s="171">
        <f>SUMIF('BS(M)'!$K$13:$EP$13,BT$8,'BS(M)'!$K37:$EP37)</f>
        <v>0</v>
      </c>
      <c r="BU32" s="171">
        <f>SUMIF('BS(M)'!$K$13:$EP$13,BU$8,'BS(M)'!$K37:$EP37)</f>
        <v>0</v>
      </c>
      <c r="BV32" s="171">
        <f>SUMIF('BS(M)'!$K$13:$EP$13,BV$8,'BS(M)'!$K37:$EP37)</f>
        <v>0</v>
      </c>
      <c r="BW32" s="171">
        <f>SUMIF('BS(M)'!$K$13:$EP$13,BW$8,'BS(M)'!$K37:$EP37)</f>
        <v>0</v>
      </c>
      <c r="BX32" s="171">
        <f>SUMIF('BS(M)'!$K$13:$EP$13,BX$8,'BS(M)'!$K37:$EP37)</f>
        <v>0</v>
      </c>
      <c r="BY32" s="171">
        <f>SUMIF('BS(M)'!$K$13:$EP$13,BY$8,'BS(M)'!$K37:$EP37)</f>
        <v>0</v>
      </c>
      <c r="BZ32" s="171">
        <f>SUMIF('BS(M)'!$K$13:$EP$13,BZ$8,'BS(M)'!$K37:$EP37)</f>
        <v>0</v>
      </c>
      <c r="CA32" s="171">
        <f>SUMIF('BS(M)'!$K$13:$EP$13,CA$8,'BS(M)'!$K37:$EP37)</f>
        <v>0</v>
      </c>
      <c r="CB32" s="171">
        <f>SUMIF('BS(M)'!$K$13:$EP$13,CB$8,'BS(M)'!$K37:$EP37)</f>
        <v>0</v>
      </c>
      <c r="CC32" s="171">
        <f>SUMIF('BS(M)'!$K$13:$EP$13,CC$8,'BS(M)'!$K37:$EP37)</f>
        <v>0</v>
      </c>
      <c r="CD32" s="171">
        <f>SUMIF('BS(M)'!$K$13:$EP$13,CD$8,'BS(M)'!$K37:$EP37)</f>
        <v>0</v>
      </c>
      <c r="CE32" s="171">
        <f>SUMIF('BS(M)'!$K$13:$EP$13,CE$8,'BS(M)'!$K37:$EP37)</f>
        <v>0</v>
      </c>
      <c r="CF32" s="171">
        <f>SUMIF('BS(M)'!$K$13:$EP$13,CF$8,'BS(M)'!$K37:$EP37)</f>
        <v>0</v>
      </c>
      <c r="CG32" s="171">
        <f>SUMIF('BS(M)'!$K$13:$EP$13,CG$8,'BS(M)'!$K37:$EP37)</f>
        <v>0</v>
      </c>
      <c r="CH32" s="171">
        <f>SUMIF('BS(M)'!$K$13:$EP$13,CH$8,'BS(M)'!$K37:$EP37)</f>
        <v>0</v>
      </c>
      <c r="CI32" s="171">
        <f>SUMIF('BS(M)'!$K$13:$EP$13,CI$8,'BS(M)'!$K37:$EP37)</f>
        <v>0</v>
      </c>
      <c r="CJ32" s="171">
        <f>SUMIF('BS(M)'!$K$13:$EP$13,CJ$8,'BS(M)'!$K37:$EP37)</f>
        <v>0</v>
      </c>
      <c r="CK32" s="171">
        <f>SUMIF('BS(M)'!$K$13:$EP$13,CK$8,'BS(M)'!$K37:$EP37)</f>
        <v>0</v>
      </c>
      <c r="CL32" s="171">
        <f>SUMIF('BS(M)'!$K$13:$EP$13,CL$8,'BS(M)'!$K37:$EP37)</f>
        <v>0</v>
      </c>
      <c r="CM32" s="171">
        <f>SUMIF('BS(M)'!$K$13:$EP$13,CM$8,'BS(M)'!$K37:$EP37)</f>
        <v>0</v>
      </c>
      <c r="CN32" s="171">
        <f>SUMIF('BS(M)'!$K$13:$EP$13,CN$8,'BS(M)'!$K37:$EP37)</f>
        <v>0</v>
      </c>
      <c r="CO32" s="171">
        <f>SUMIF('BS(M)'!$K$13:$EP$13,CO$8,'BS(M)'!$K37:$EP37)</f>
        <v>0</v>
      </c>
      <c r="CP32" s="171">
        <f>SUMIF('BS(M)'!$K$13:$EP$13,CP$8,'BS(M)'!$K37:$EP37)</f>
        <v>0</v>
      </c>
      <c r="CQ32" s="171">
        <f>SUMIF('BS(M)'!$K$13:$EP$13,CQ$8,'BS(M)'!$K37:$EP37)</f>
        <v>0</v>
      </c>
      <c r="CR32" s="171">
        <f>SUMIF('BS(M)'!$K$13:$EP$13,CR$8,'BS(M)'!$K37:$EP37)</f>
        <v>0</v>
      </c>
      <c r="CS32" s="171">
        <f>SUMIF('BS(M)'!$K$13:$EP$13,CS$8,'BS(M)'!$K37:$EP37)</f>
        <v>0</v>
      </c>
      <c r="CT32" s="171">
        <f>SUMIF('BS(M)'!$K$13:$EP$13,CT$8,'BS(M)'!$K37:$EP37)</f>
        <v>0</v>
      </c>
      <c r="CU32" s="171">
        <f>SUMIF('BS(M)'!$K$13:$EP$13,CU$8,'BS(M)'!$K37:$EP37)</f>
        <v>0</v>
      </c>
      <c r="CV32" s="171">
        <f>SUMIF('BS(M)'!$K$13:$EP$13,CV$8,'BS(M)'!$K37:$EP37)</f>
        <v>0</v>
      </c>
      <c r="CW32" s="171">
        <f>SUMIF('BS(M)'!$K$13:$EP$13,CW$8,'BS(M)'!$K37:$EP37)</f>
        <v>0</v>
      </c>
      <c r="CX32" s="171">
        <f>SUMIF('BS(M)'!$K$13:$EP$13,CX$8,'BS(M)'!$K37:$EP37)</f>
        <v>0</v>
      </c>
      <c r="CY32" s="171">
        <f>SUMIF('BS(M)'!$K$13:$EP$13,CY$8,'BS(M)'!$K37:$EP37)</f>
        <v>0</v>
      </c>
      <c r="CZ32" s="171">
        <f>SUMIF('BS(M)'!$K$13:$EP$13,CZ$8,'BS(M)'!$K37:$EP37)</f>
        <v>0</v>
      </c>
      <c r="DA32" s="171">
        <f>SUMIF('BS(M)'!$K$13:$EP$13,DA$8,'BS(M)'!$K37:$EP37)</f>
        <v>0</v>
      </c>
      <c r="DB32" s="171">
        <f>SUMIF('BS(M)'!$K$13:$EP$13,DB$8,'BS(M)'!$K37:$EP37)</f>
        <v>0</v>
      </c>
      <c r="DC32" s="171">
        <f>SUMIF('BS(M)'!$K$13:$EP$13,DC$8,'BS(M)'!$K37:$EP37)</f>
        <v>0</v>
      </c>
      <c r="DD32" s="171">
        <f>SUMIF('BS(M)'!$K$13:$EP$13,DD$8,'BS(M)'!$K37:$EP37)</f>
        <v>0</v>
      </c>
      <c r="DE32" s="171">
        <f>SUMIF('BS(M)'!$K$13:$EP$13,DE$8,'BS(M)'!$K37:$EP37)</f>
        <v>0</v>
      </c>
      <c r="DF32" s="171">
        <f>SUMIF('BS(M)'!$K$13:$EP$13,DF$8,'BS(M)'!$K37:$EP37)</f>
        <v>0</v>
      </c>
      <c r="DG32" s="171">
        <f>SUMIF('BS(M)'!$K$13:$EP$13,DG$8,'BS(M)'!$K37:$EP37)</f>
        <v>0</v>
      </c>
      <c r="DH32" s="171">
        <f>SUMIF('BS(M)'!$K$13:$EP$13,DH$8,'BS(M)'!$K37:$EP37)</f>
        <v>0</v>
      </c>
      <c r="DI32" s="171">
        <f>SUMIF('BS(M)'!$K$13:$EP$13,DI$8,'BS(M)'!$K37:$EP37)</f>
        <v>0</v>
      </c>
      <c r="DJ32" s="171">
        <f>SUMIF('BS(M)'!$K$13:$EP$13,DJ$8,'BS(M)'!$K37:$EP37)</f>
        <v>0</v>
      </c>
      <c r="DK32" s="171">
        <f>SUMIF('BS(M)'!$K$13:$EP$13,DK$8,'BS(M)'!$K37:$EP37)</f>
        <v>0</v>
      </c>
      <c r="DL32" s="171">
        <f>SUMIF('BS(M)'!$K$13:$EP$13,DL$8,'BS(M)'!$K37:$EP37)</f>
        <v>0</v>
      </c>
      <c r="DM32" s="171">
        <f>SUMIF('BS(M)'!$K$13:$EP$13,DM$8,'BS(M)'!$K37:$EP37)</f>
        <v>0</v>
      </c>
      <c r="DN32" s="171">
        <f>SUMIF('BS(M)'!$K$13:$EP$13,DN$8,'BS(M)'!$K37:$EP37)</f>
        <v>0</v>
      </c>
      <c r="DO32" s="171">
        <f>SUMIF('BS(M)'!$K$13:$EP$13,DO$8,'BS(M)'!$K37:$EP37)</f>
        <v>0</v>
      </c>
      <c r="DP32" s="171">
        <f>SUMIF('BS(M)'!$K$13:$EP$13,DP$8,'BS(M)'!$K37:$EP37)</f>
        <v>0</v>
      </c>
      <c r="DQ32" s="171">
        <f>SUMIF('BS(M)'!$K$13:$EP$13,DQ$8,'BS(M)'!$K37:$EP37)</f>
        <v>0</v>
      </c>
      <c r="DR32" s="171">
        <f>SUMIF('BS(M)'!$K$13:$EP$13,DR$8,'BS(M)'!$K37:$EP37)</f>
        <v>0</v>
      </c>
      <c r="DS32" s="171">
        <f>SUMIF('BS(M)'!$K$13:$EP$13,DS$8,'BS(M)'!$K37:$EP37)</f>
        <v>0</v>
      </c>
      <c r="DT32" s="171">
        <f>SUMIF('BS(M)'!$K$13:$EP$13,DT$8,'BS(M)'!$K37:$EP37)</f>
        <v>0</v>
      </c>
      <c r="DU32" s="171">
        <f>SUMIF('BS(M)'!$K$13:$EP$13,DU$8,'BS(M)'!$K37:$EP37)</f>
        <v>0</v>
      </c>
    </row>
    <row r="33" spans="2:125">
      <c r="B33" s="218"/>
      <c r="C33" s="158" t="s">
        <v>564</v>
      </c>
      <c r="D33" s="159"/>
      <c r="E33" s="159"/>
      <c r="F33" s="159"/>
      <c r="G33" s="159"/>
      <c r="H33" s="160"/>
      <c r="I33" s="973"/>
      <c r="J33" s="98"/>
      <c r="K33" s="162">
        <f t="shared" ref="K33:AP33" ca="1" si="30">SUM(K34:K34)</f>
        <v>0</v>
      </c>
      <c r="L33" s="162">
        <f t="shared" ca="1" si="30"/>
        <v>-4140753.9478286151</v>
      </c>
      <c r="M33" s="162">
        <f t="shared" ca="1" si="30"/>
        <v>-7717541.3924679616</v>
      </c>
      <c r="N33" s="162">
        <f t="shared" ca="1" si="30"/>
        <v>-10981076.114892086</v>
      </c>
      <c r="O33" s="162">
        <f t="shared" ca="1" si="30"/>
        <v>-13825943.847474284</v>
      </c>
      <c r="P33" s="162">
        <f t="shared" ca="1" si="30"/>
        <v>-16729319.774252713</v>
      </c>
      <c r="Q33" s="162">
        <f t="shared" ca="1" si="30"/>
        <v>-24625902.049673386</v>
      </c>
      <c r="R33" s="162">
        <f t="shared" ca="1" si="30"/>
        <v>-26982499.632125657</v>
      </c>
      <c r="S33" s="162">
        <f t="shared" ca="1" si="30"/>
        <v>-28814692.891156815</v>
      </c>
      <c r="T33" s="162">
        <f t="shared" ca="1" si="30"/>
        <v>-30410742.635210201</v>
      </c>
      <c r="U33" s="162">
        <f t="shared" ca="1" si="30"/>
        <v>-32235218.787569754</v>
      </c>
      <c r="V33" s="162">
        <f t="shared" ca="1" si="30"/>
        <v>-33836198.281975009</v>
      </c>
      <c r="W33" s="162">
        <f t="shared" ca="1" si="30"/>
        <v>-35655804.088411435</v>
      </c>
      <c r="X33" s="162">
        <f t="shared" ca="1" si="30"/>
        <v>-37261635.751208641</v>
      </c>
      <c r="Y33" s="162">
        <f t="shared" ca="1" si="30"/>
        <v>-39076450.015765324</v>
      </c>
      <c r="Z33" s="162">
        <f t="shared" ca="1" si="30"/>
        <v>-40460766.573604427</v>
      </c>
      <c r="AA33" s="162">
        <f t="shared" ca="1" si="30"/>
        <v>-42336907.376307808</v>
      </c>
      <c r="AB33" s="162">
        <f t="shared" ca="1" si="30"/>
        <v>-43516702.89072708</v>
      </c>
      <c r="AC33" s="162">
        <f t="shared" ca="1" si="30"/>
        <v>-44481170.002271965</v>
      </c>
      <c r="AD33" s="162">
        <f t="shared" ca="1" si="30"/>
        <v>-45334160.54960002</v>
      </c>
      <c r="AE33" s="162">
        <f t="shared" ca="1" si="30"/>
        <v>0</v>
      </c>
      <c r="AF33" s="162">
        <f t="shared" ca="1" si="30"/>
        <v>0</v>
      </c>
      <c r="AG33" s="162">
        <f t="shared" ca="1" si="30"/>
        <v>0</v>
      </c>
      <c r="AH33" s="162">
        <f t="shared" si="30"/>
        <v>0</v>
      </c>
      <c r="AI33" s="162">
        <f t="shared" si="30"/>
        <v>0</v>
      </c>
      <c r="AJ33" s="162">
        <f t="shared" si="30"/>
        <v>0</v>
      </c>
      <c r="AK33" s="162">
        <f t="shared" si="30"/>
        <v>0</v>
      </c>
      <c r="AL33" s="162">
        <f t="shared" si="30"/>
        <v>0</v>
      </c>
      <c r="AM33" s="162">
        <f t="shared" si="30"/>
        <v>0</v>
      </c>
      <c r="AN33" s="162">
        <f t="shared" si="30"/>
        <v>0</v>
      </c>
      <c r="AO33" s="162">
        <f t="shared" si="30"/>
        <v>0</v>
      </c>
      <c r="AP33" s="162">
        <f t="shared" si="30"/>
        <v>0</v>
      </c>
      <c r="AQ33" s="162">
        <f t="shared" ref="AQ33:BV33" si="31">SUM(AQ34:AQ34)</f>
        <v>0</v>
      </c>
      <c r="AR33" s="162">
        <f t="shared" si="31"/>
        <v>0</v>
      </c>
      <c r="AS33" s="162">
        <f t="shared" si="31"/>
        <v>0</v>
      </c>
      <c r="AT33" s="162">
        <f t="shared" si="31"/>
        <v>0</v>
      </c>
      <c r="AU33" s="162">
        <f t="shared" si="31"/>
        <v>0</v>
      </c>
      <c r="AV33" s="162">
        <f t="shared" si="31"/>
        <v>0</v>
      </c>
      <c r="AW33" s="162">
        <f t="shared" si="31"/>
        <v>0</v>
      </c>
      <c r="AX33" s="162">
        <f t="shared" si="31"/>
        <v>0</v>
      </c>
      <c r="AY33" s="162">
        <f t="shared" si="31"/>
        <v>0</v>
      </c>
      <c r="AZ33" s="162">
        <f t="shared" si="31"/>
        <v>0</v>
      </c>
      <c r="BA33" s="162">
        <f t="shared" si="31"/>
        <v>0</v>
      </c>
      <c r="BB33" s="162">
        <f t="shared" si="31"/>
        <v>0</v>
      </c>
      <c r="BC33" s="162">
        <f t="shared" si="31"/>
        <v>0</v>
      </c>
      <c r="BD33" s="162">
        <f t="shared" si="31"/>
        <v>0</v>
      </c>
      <c r="BE33" s="162">
        <f t="shared" si="31"/>
        <v>0</v>
      </c>
      <c r="BF33" s="162">
        <f t="shared" si="31"/>
        <v>0</v>
      </c>
      <c r="BG33" s="162">
        <f t="shared" si="31"/>
        <v>0</v>
      </c>
      <c r="BH33" s="162">
        <f t="shared" si="31"/>
        <v>0</v>
      </c>
      <c r="BI33" s="162">
        <f t="shared" si="31"/>
        <v>0</v>
      </c>
      <c r="BJ33" s="162">
        <f t="shared" si="31"/>
        <v>0</v>
      </c>
      <c r="BK33" s="162">
        <f t="shared" si="31"/>
        <v>0</v>
      </c>
      <c r="BL33" s="162">
        <f t="shared" si="31"/>
        <v>0</v>
      </c>
      <c r="BM33" s="162">
        <f t="shared" si="31"/>
        <v>0</v>
      </c>
      <c r="BN33" s="162">
        <f t="shared" si="31"/>
        <v>0</v>
      </c>
      <c r="BO33" s="162">
        <f t="shared" si="31"/>
        <v>0</v>
      </c>
      <c r="BP33" s="162">
        <f t="shared" si="31"/>
        <v>0</v>
      </c>
      <c r="BQ33" s="162">
        <f t="shared" si="31"/>
        <v>0</v>
      </c>
      <c r="BR33" s="162">
        <f t="shared" si="31"/>
        <v>0</v>
      </c>
      <c r="BS33" s="162">
        <f t="shared" si="31"/>
        <v>0</v>
      </c>
      <c r="BT33" s="162">
        <f t="shared" si="31"/>
        <v>0</v>
      </c>
      <c r="BU33" s="162">
        <f t="shared" si="31"/>
        <v>0</v>
      </c>
      <c r="BV33" s="162">
        <f t="shared" si="31"/>
        <v>0</v>
      </c>
      <c r="BW33" s="162">
        <f t="shared" ref="BW33:DB33" si="32">SUM(BW34:BW34)</f>
        <v>0</v>
      </c>
      <c r="BX33" s="162">
        <f t="shared" si="32"/>
        <v>0</v>
      </c>
      <c r="BY33" s="162">
        <f t="shared" si="32"/>
        <v>0</v>
      </c>
      <c r="BZ33" s="162">
        <f t="shared" si="32"/>
        <v>0</v>
      </c>
      <c r="CA33" s="162">
        <f t="shared" si="32"/>
        <v>0</v>
      </c>
      <c r="CB33" s="162">
        <f t="shared" si="32"/>
        <v>0</v>
      </c>
      <c r="CC33" s="162">
        <f t="shared" si="32"/>
        <v>0</v>
      </c>
      <c r="CD33" s="162">
        <f t="shared" si="32"/>
        <v>0</v>
      </c>
      <c r="CE33" s="162">
        <f t="shared" si="32"/>
        <v>0</v>
      </c>
      <c r="CF33" s="162">
        <f t="shared" si="32"/>
        <v>0</v>
      </c>
      <c r="CG33" s="162">
        <f t="shared" si="32"/>
        <v>0</v>
      </c>
      <c r="CH33" s="162">
        <f t="shared" si="32"/>
        <v>0</v>
      </c>
      <c r="CI33" s="162">
        <f t="shared" si="32"/>
        <v>0</v>
      </c>
      <c r="CJ33" s="162">
        <f t="shared" si="32"/>
        <v>0</v>
      </c>
      <c r="CK33" s="162">
        <f t="shared" si="32"/>
        <v>0</v>
      </c>
      <c r="CL33" s="162">
        <f t="shared" si="32"/>
        <v>0</v>
      </c>
      <c r="CM33" s="162">
        <f t="shared" si="32"/>
        <v>0</v>
      </c>
      <c r="CN33" s="162">
        <f t="shared" si="32"/>
        <v>0</v>
      </c>
      <c r="CO33" s="162">
        <f t="shared" si="32"/>
        <v>0</v>
      </c>
      <c r="CP33" s="162">
        <f t="shared" si="32"/>
        <v>0</v>
      </c>
      <c r="CQ33" s="162">
        <f t="shared" si="32"/>
        <v>0</v>
      </c>
      <c r="CR33" s="162">
        <f t="shared" si="32"/>
        <v>0</v>
      </c>
      <c r="CS33" s="162">
        <f t="shared" si="32"/>
        <v>0</v>
      </c>
      <c r="CT33" s="162">
        <f t="shared" si="32"/>
        <v>0</v>
      </c>
      <c r="CU33" s="162">
        <f t="shared" si="32"/>
        <v>0</v>
      </c>
      <c r="CV33" s="162">
        <f t="shared" si="32"/>
        <v>0</v>
      </c>
      <c r="CW33" s="162">
        <f t="shared" si="32"/>
        <v>0</v>
      </c>
      <c r="CX33" s="162">
        <f t="shared" si="32"/>
        <v>0</v>
      </c>
      <c r="CY33" s="162">
        <f t="shared" si="32"/>
        <v>0</v>
      </c>
      <c r="CZ33" s="162">
        <f t="shared" si="32"/>
        <v>0</v>
      </c>
      <c r="DA33" s="162">
        <f t="shared" si="32"/>
        <v>0</v>
      </c>
      <c r="DB33" s="162">
        <f t="shared" si="32"/>
        <v>0</v>
      </c>
      <c r="DC33" s="162">
        <f t="shared" ref="DC33:DU33" si="33">SUM(DC34:DC34)</f>
        <v>0</v>
      </c>
      <c r="DD33" s="162">
        <f t="shared" si="33"/>
        <v>0</v>
      </c>
      <c r="DE33" s="162">
        <f t="shared" si="33"/>
        <v>0</v>
      </c>
      <c r="DF33" s="162">
        <f t="shared" si="33"/>
        <v>0</v>
      </c>
      <c r="DG33" s="162">
        <f t="shared" si="33"/>
        <v>0</v>
      </c>
      <c r="DH33" s="162">
        <f t="shared" si="33"/>
        <v>0</v>
      </c>
      <c r="DI33" s="162">
        <f t="shared" si="33"/>
        <v>0</v>
      </c>
      <c r="DJ33" s="162">
        <f t="shared" si="33"/>
        <v>0</v>
      </c>
      <c r="DK33" s="162">
        <f t="shared" si="33"/>
        <v>0</v>
      </c>
      <c r="DL33" s="162">
        <f t="shared" si="33"/>
        <v>0</v>
      </c>
      <c r="DM33" s="162">
        <f t="shared" si="33"/>
        <v>0</v>
      </c>
      <c r="DN33" s="162">
        <f t="shared" si="33"/>
        <v>0</v>
      </c>
      <c r="DO33" s="162">
        <f t="shared" si="33"/>
        <v>0</v>
      </c>
      <c r="DP33" s="162">
        <f t="shared" si="33"/>
        <v>0</v>
      </c>
      <c r="DQ33" s="162">
        <f t="shared" si="33"/>
        <v>0</v>
      </c>
      <c r="DR33" s="162">
        <f t="shared" si="33"/>
        <v>0</v>
      </c>
      <c r="DS33" s="162">
        <f t="shared" si="33"/>
        <v>0</v>
      </c>
      <c r="DT33" s="162">
        <f t="shared" si="33"/>
        <v>0</v>
      </c>
      <c r="DU33" s="162">
        <f t="shared" si="33"/>
        <v>0</v>
      </c>
    </row>
    <row r="34" spans="2:125">
      <c r="B34" s="218"/>
      <c r="C34" s="163"/>
      <c r="D34" s="164" t="s">
        <v>546</v>
      </c>
      <c r="E34" s="165"/>
      <c r="F34" s="165"/>
      <c r="G34" s="165"/>
      <c r="H34" s="166"/>
      <c r="I34" s="976"/>
      <c r="J34" s="98"/>
      <c r="K34" s="168">
        <f ca="1">SUMIF('BS(M)'!$K$13:$EP$13,K$8,'BS(M)'!$K39:$EP39)</f>
        <v>0</v>
      </c>
      <c r="L34" s="168">
        <f ca="1">SUMIF('BS(M)'!$K$13:$EP$13,L$8,'BS(M)'!$K39:$EP39)</f>
        <v>-4140753.9478286151</v>
      </c>
      <c r="M34" s="168">
        <f ca="1">SUMIF('BS(M)'!$K$13:$EP$13,M$8,'BS(M)'!$K39:$EP39)</f>
        <v>-7717541.3924679616</v>
      </c>
      <c r="N34" s="168">
        <f ca="1">SUMIF('BS(M)'!$K$13:$EP$13,N$8,'BS(M)'!$K39:$EP39)</f>
        <v>-10981076.114892086</v>
      </c>
      <c r="O34" s="168">
        <f ca="1">SUMIF('BS(M)'!$K$13:$EP$13,O$8,'BS(M)'!$K39:$EP39)</f>
        <v>-13825943.847474284</v>
      </c>
      <c r="P34" s="168">
        <f ca="1">SUMIF('BS(M)'!$K$13:$EP$13,P$8,'BS(M)'!$K39:$EP39)</f>
        <v>-16729319.774252713</v>
      </c>
      <c r="Q34" s="168">
        <f ca="1">SUMIF('BS(M)'!$K$13:$EP$13,Q$8,'BS(M)'!$K39:$EP39)</f>
        <v>-24625902.049673386</v>
      </c>
      <c r="R34" s="168">
        <f ca="1">SUMIF('BS(M)'!$K$13:$EP$13,R$8,'BS(M)'!$K39:$EP39)</f>
        <v>-26982499.632125657</v>
      </c>
      <c r="S34" s="168">
        <f ca="1">SUMIF('BS(M)'!$K$13:$EP$13,S$8,'BS(M)'!$K39:$EP39)</f>
        <v>-28814692.891156815</v>
      </c>
      <c r="T34" s="168">
        <f ca="1">SUMIF('BS(M)'!$K$13:$EP$13,T$8,'BS(M)'!$K39:$EP39)</f>
        <v>-30410742.635210201</v>
      </c>
      <c r="U34" s="168">
        <f ca="1">SUMIF('BS(M)'!$K$13:$EP$13,U$8,'BS(M)'!$K39:$EP39)</f>
        <v>-32235218.787569754</v>
      </c>
      <c r="V34" s="168">
        <f ca="1">SUMIF('BS(M)'!$K$13:$EP$13,V$8,'BS(M)'!$K39:$EP39)</f>
        <v>-33836198.281975009</v>
      </c>
      <c r="W34" s="168">
        <f ca="1">SUMIF('BS(M)'!$K$13:$EP$13,W$8,'BS(M)'!$K39:$EP39)</f>
        <v>-35655804.088411435</v>
      </c>
      <c r="X34" s="168">
        <f ca="1">SUMIF('BS(M)'!$K$13:$EP$13,X$8,'BS(M)'!$K39:$EP39)</f>
        <v>-37261635.751208641</v>
      </c>
      <c r="Y34" s="168">
        <f ca="1">SUMIF('BS(M)'!$K$13:$EP$13,Y$8,'BS(M)'!$K39:$EP39)</f>
        <v>-39076450.015765324</v>
      </c>
      <c r="Z34" s="168">
        <f ca="1">SUMIF('BS(M)'!$K$13:$EP$13,Z$8,'BS(M)'!$K39:$EP39)</f>
        <v>-40460766.573604427</v>
      </c>
      <c r="AA34" s="168">
        <f ca="1">SUMIF('BS(M)'!$K$13:$EP$13,AA$8,'BS(M)'!$K39:$EP39)</f>
        <v>-42336907.376307808</v>
      </c>
      <c r="AB34" s="168">
        <f ca="1">SUMIF('BS(M)'!$K$13:$EP$13,AB$8,'BS(M)'!$K39:$EP39)</f>
        <v>-43516702.89072708</v>
      </c>
      <c r="AC34" s="168">
        <f ca="1">SUMIF('BS(M)'!$K$13:$EP$13,AC$8,'BS(M)'!$K39:$EP39)</f>
        <v>-44481170.002271965</v>
      </c>
      <c r="AD34" s="168">
        <f ca="1">SUMIF('BS(M)'!$K$13:$EP$13,AD$8,'BS(M)'!$K39:$EP39)</f>
        <v>-45334160.54960002</v>
      </c>
      <c r="AE34" s="168">
        <f ca="1">SUMIF('BS(M)'!$K$13:$EP$13,AE$8,'BS(M)'!$K39:$EP39)</f>
        <v>0</v>
      </c>
      <c r="AF34" s="168">
        <f ca="1">SUMIF('BS(M)'!$K$13:$EP$13,AF$8,'BS(M)'!$K39:$EP39)</f>
        <v>0</v>
      </c>
      <c r="AG34" s="168">
        <f ca="1">SUMIF('BS(M)'!$K$13:$EP$13,AG$8,'BS(M)'!$K39:$EP39)</f>
        <v>0</v>
      </c>
      <c r="AH34" s="168">
        <f>SUMIF('BS(M)'!$K$13:$EP$13,AH$8,'BS(M)'!$K39:$EP39)</f>
        <v>0</v>
      </c>
      <c r="AI34" s="168">
        <f>SUMIF('BS(M)'!$K$13:$EP$13,AI$8,'BS(M)'!$K39:$EP39)</f>
        <v>0</v>
      </c>
      <c r="AJ34" s="168">
        <f>SUMIF('BS(M)'!$K$13:$EP$13,AJ$8,'BS(M)'!$K39:$EP39)</f>
        <v>0</v>
      </c>
      <c r="AK34" s="168">
        <f>SUMIF('BS(M)'!$K$13:$EP$13,AK$8,'BS(M)'!$K39:$EP39)</f>
        <v>0</v>
      </c>
      <c r="AL34" s="168">
        <f>SUMIF('BS(M)'!$K$13:$EP$13,AL$8,'BS(M)'!$K39:$EP39)</f>
        <v>0</v>
      </c>
      <c r="AM34" s="168">
        <f>SUMIF('BS(M)'!$K$13:$EP$13,AM$8,'BS(M)'!$K39:$EP39)</f>
        <v>0</v>
      </c>
      <c r="AN34" s="168">
        <f>SUMIF('BS(M)'!$K$13:$EP$13,AN$8,'BS(M)'!$K39:$EP39)</f>
        <v>0</v>
      </c>
      <c r="AO34" s="168">
        <f>SUMIF('BS(M)'!$K$13:$EP$13,AO$8,'BS(M)'!$K39:$EP39)</f>
        <v>0</v>
      </c>
      <c r="AP34" s="168">
        <f>SUMIF('BS(M)'!$K$13:$EP$13,AP$8,'BS(M)'!$K39:$EP39)</f>
        <v>0</v>
      </c>
      <c r="AQ34" s="168">
        <f>SUMIF('BS(M)'!$K$13:$EP$13,AQ$8,'BS(M)'!$K39:$EP39)</f>
        <v>0</v>
      </c>
      <c r="AR34" s="168">
        <f>SUMIF('BS(M)'!$K$13:$EP$13,AR$8,'BS(M)'!$K39:$EP39)</f>
        <v>0</v>
      </c>
      <c r="AS34" s="168">
        <f>SUMIF('BS(M)'!$K$13:$EP$13,AS$8,'BS(M)'!$K39:$EP39)</f>
        <v>0</v>
      </c>
      <c r="AT34" s="168">
        <f>SUMIF('BS(M)'!$K$13:$EP$13,AT$8,'BS(M)'!$K39:$EP39)</f>
        <v>0</v>
      </c>
      <c r="AU34" s="168">
        <f>SUMIF('BS(M)'!$K$13:$EP$13,AU$8,'BS(M)'!$K39:$EP39)</f>
        <v>0</v>
      </c>
      <c r="AV34" s="168">
        <f>SUMIF('BS(M)'!$K$13:$EP$13,AV$8,'BS(M)'!$K39:$EP39)</f>
        <v>0</v>
      </c>
      <c r="AW34" s="168">
        <f>SUMIF('BS(M)'!$K$13:$EP$13,AW$8,'BS(M)'!$K39:$EP39)</f>
        <v>0</v>
      </c>
      <c r="AX34" s="168">
        <f>SUMIF('BS(M)'!$K$13:$EP$13,AX$8,'BS(M)'!$K39:$EP39)</f>
        <v>0</v>
      </c>
      <c r="AY34" s="168">
        <f>SUMIF('BS(M)'!$K$13:$EP$13,AY$8,'BS(M)'!$K39:$EP39)</f>
        <v>0</v>
      </c>
      <c r="AZ34" s="168">
        <f>SUMIF('BS(M)'!$K$13:$EP$13,AZ$8,'BS(M)'!$K39:$EP39)</f>
        <v>0</v>
      </c>
      <c r="BA34" s="168">
        <f>SUMIF('BS(M)'!$K$13:$EP$13,BA$8,'BS(M)'!$K39:$EP39)</f>
        <v>0</v>
      </c>
      <c r="BB34" s="168">
        <f>SUMIF('BS(M)'!$K$13:$EP$13,BB$8,'BS(M)'!$K39:$EP39)</f>
        <v>0</v>
      </c>
      <c r="BC34" s="168">
        <f>SUMIF('BS(M)'!$K$13:$EP$13,BC$8,'BS(M)'!$K39:$EP39)</f>
        <v>0</v>
      </c>
      <c r="BD34" s="168">
        <f>SUMIF('BS(M)'!$K$13:$EP$13,BD$8,'BS(M)'!$K39:$EP39)</f>
        <v>0</v>
      </c>
      <c r="BE34" s="168">
        <f>SUMIF('BS(M)'!$K$13:$EP$13,BE$8,'BS(M)'!$K39:$EP39)</f>
        <v>0</v>
      </c>
      <c r="BF34" s="168">
        <f>SUMIF('BS(M)'!$K$13:$EP$13,BF$8,'BS(M)'!$K39:$EP39)</f>
        <v>0</v>
      </c>
      <c r="BG34" s="168">
        <f>SUMIF('BS(M)'!$K$13:$EP$13,BG$8,'BS(M)'!$K39:$EP39)</f>
        <v>0</v>
      </c>
      <c r="BH34" s="168">
        <f>SUMIF('BS(M)'!$K$13:$EP$13,BH$8,'BS(M)'!$K39:$EP39)</f>
        <v>0</v>
      </c>
      <c r="BI34" s="168">
        <f>SUMIF('BS(M)'!$K$13:$EP$13,BI$8,'BS(M)'!$K39:$EP39)</f>
        <v>0</v>
      </c>
      <c r="BJ34" s="168">
        <f>SUMIF('BS(M)'!$K$13:$EP$13,BJ$8,'BS(M)'!$K39:$EP39)</f>
        <v>0</v>
      </c>
      <c r="BK34" s="168">
        <f>SUMIF('BS(M)'!$K$13:$EP$13,BK$8,'BS(M)'!$K39:$EP39)</f>
        <v>0</v>
      </c>
      <c r="BL34" s="168">
        <f>SUMIF('BS(M)'!$K$13:$EP$13,BL$8,'BS(M)'!$K39:$EP39)</f>
        <v>0</v>
      </c>
      <c r="BM34" s="168">
        <f>SUMIF('BS(M)'!$K$13:$EP$13,BM$8,'BS(M)'!$K39:$EP39)</f>
        <v>0</v>
      </c>
      <c r="BN34" s="168">
        <f>SUMIF('BS(M)'!$K$13:$EP$13,BN$8,'BS(M)'!$K39:$EP39)</f>
        <v>0</v>
      </c>
      <c r="BO34" s="168">
        <f>SUMIF('BS(M)'!$K$13:$EP$13,BO$8,'BS(M)'!$K39:$EP39)</f>
        <v>0</v>
      </c>
      <c r="BP34" s="168">
        <f>SUMIF('BS(M)'!$K$13:$EP$13,BP$8,'BS(M)'!$K39:$EP39)</f>
        <v>0</v>
      </c>
      <c r="BQ34" s="168">
        <f>SUMIF('BS(M)'!$K$13:$EP$13,BQ$8,'BS(M)'!$K39:$EP39)</f>
        <v>0</v>
      </c>
      <c r="BR34" s="168">
        <f>SUMIF('BS(M)'!$K$13:$EP$13,BR$8,'BS(M)'!$K39:$EP39)</f>
        <v>0</v>
      </c>
      <c r="BS34" s="168">
        <f>SUMIF('BS(M)'!$K$13:$EP$13,BS$8,'BS(M)'!$K39:$EP39)</f>
        <v>0</v>
      </c>
      <c r="BT34" s="168">
        <f>SUMIF('BS(M)'!$K$13:$EP$13,BT$8,'BS(M)'!$K39:$EP39)</f>
        <v>0</v>
      </c>
      <c r="BU34" s="168">
        <f>SUMIF('BS(M)'!$K$13:$EP$13,BU$8,'BS(M)'!$K39:$EP39)</f>
        <v>0</v>
      </c>
      <c r="BV34" s="168">
        <f>SUMIF('BS(M)'!$K$13:$EP$13,BV$8,'BS(M)'!$K39:$EP39)</f>
        <v>0</v>
      </c>
      <c r="BW34" s="168">
        <f>SUMIF('BS(M)'!$K$13:$EP$13,BW$8,'BS(M)'!$K39:$EP39)</f>
        <v>0</v>
      </c>
      <c r="BX34" s="168">
        <f>SUMIF('BS(M)'!$K$13:$EP$13,BX$8,'BS(M)'!$K39:$EP39)</f>
        <v>0</v>
      </c>
      <c r="BY34" s="168">
        <f>SUMIF('BS(M)'!$K$13:$EP$13,BY$8,'BS(M)'!$K39:$EP39)</f>
        <v>0</v>
      </c>
      <c r="BZ34" s="168">
        <f>SUMIF('BS(M)'!$K$13:$EP$13,BZ$8,'BS(M)'!$K39:$EP39)</f>
        <v>0</v>
      </c>
      <c r="CA34" s="168">
        <f>SUMIF('BS(M)'!$K$13:$EP$13,CA$8,'BS(M)'!$K39:$EP39)</f>
        <v>0</v>
      </c>
      <c r="CB34" s="168">
        <f>SUMIF('BS(M)'!$K$13:$EP$13,CB$8,'BS(M)'!$K39:$EP39)</f>
        <v>0</v>
      </c>
      <c r="CC34" s="168">
        <f>SUMIF('BS(M)'!$K$13:$EP$13,CC$8,'BS(M)'!$K39:$EP39)</f>
        <v>0</v>
      </c>
      <c r="CD34" s="168">
        <f>SUMIF('BS(M)'!$K$13:$EP$13,CD$8,'BS(M)'!$K39:$EP39)</f>
        <v>0</v>
      </c>
      <c r="CE34" s="168">
        <f>SUMIF('BS(M)'!$K$13:$EP$13,CE$8,'BS(M)'!$K39:$EP39)</f>
        <v>0</v>
      </c>
      <c r="CF34" s="168">
        <f>SUMIF('BS(M)'!$K$13:$EP$13,CF$8,'BS(M)'!$K39:$EP39)</f>
        <v>0</v>
      </c>
      <c r="CG34" s="168">
        <f>SUMIF('BS(M)'!$K$13:$EP$13,CG$8,'BS(M)'!$K39:$EP39)</f>
        <v>0</v>
      </c>
      <c r="CH34" s="168">
        <f>SUMIF('BS(M)'!$K$13:$EP$13,CH$8,'BS(M)'!$K39:$EP39)</f>
        <v>0</v>
      </c>
      <c r="CI34" s="168">
        <f>SUMIF('BS(M)'!$K$13:$EP$13,CI$8,'BS(M)'!$K39:$EP39)</f>
        <v>0</v>
      </c>
      <c r="CJ34" s="168">
        <f>SUMIF('BS(M)'!$K$13:$EP$13,CJ$8,'BS(M)'!$K39:$EP39)</f>
        <v>0</v>
      </c>
      <c r="CK34" s="168">
        <f>SUMIF('BS(M)'!$K$13:$EP$13,CK$8,'BS(M)'!$K39:$EP39)</f>
        <v>0</v>
      </c>
      <c r="CL34" s="168">
        <f>SUMIF('BS(M)'!$K$13:$EP$13,CL$8,'BS(M)'!$K39:$EP39)</f>
        <v>0</v>
      </c>
      <c r="CM34" s="168">
        <f>SUMIF('BS(M)'!$K$13:$EP$13,CM$8,'BS(M)'!$K39:$EP39)</f>
        <v>0</v>
      </c>
      <c r="CN34" s="168">
        <f>SUMIF('BS(M)'!$K$13:$EP$13,CN$8,'BS(M)'!$K39:$EP39)</f>
        <v>0</v>
      </c>
      <c r="CO34" s="168">
        <f>SUMIF('BS(M)'!$K$13:$EP$13,CO$8,'BS(M)'!$K39:$EP39)</f>
        <v>0</v>
      </c>
      <c r="CP34" s="168">
        <f>SUMIF('BS(M)'!$K$13:$EP$13,CP$8,'BS(M)'!$K39:$EP39)</f>
        <v>0</v>
      </c>
      <c r="CQ34" s="168">
        <f>SUMIF('BS(M)'!$K$13:$EP$13,CQ$8,'BS(M)'!$K39:$EP39)</f>
        <v>0</v>
      </c>
      <c r="CR34" s="168">
        <f>SUMIF('BS(M)'!$K$13:$EP$13,CR$8,'BS(M)'!$K39:$EP39)</f>
        <v>0</v>
      </c>
      <c r="CS34" s="168">
        <f>SUMIF('BS(M)'!$K$13:$EP$13,CS$8,'BS(M)'!$K39:$EP39)</f>
        <v>0</v>
      </c>
      <c r="CT34" s="168">
        <f>SUMIF('BS(M)'!$K$13:$EP$13,CT$8,'BS(M)'!$K39:$EP39)</f>
        <v>0</v>
      </c>
      <c r="CU34" s="168">
        <f>SUMIF('BS(M)'!$K$13:$EP$13,CU$8,'BS(M)'!$K39:$EP39)</f>
        <v>0</v>
      </c>
      <c r="CV34" s="168">
        <f>SUMIF('BS(M)'!$K$13:$EP$13,CV$8,'BS(M)'!$K39:$EP39)</f>
        <v>0</v>
      </c>
      <c r="CW34" s="168">
        <f>SUMIF('BS(M)'!$K$13:$EP$13,CW$8,'BS(M)'!$K39:$EP39)</f>
        <v>0</v>
      </c>
      <c r="CX34" s="168">
        <f>SUMIF('BS(M)'!$K$13:$EP$13,CX$8,'BS(M)'!$K39:$EP39)</f>
        <v>0</v>
      </c>
      <c r="CY34" s="168">
        <f>SUMIF('BS(M)'!$K$13:$EP$13,CY$8,'BS(M)'!$K39:$EP39)</f>
        <v>0</v>
      </c>
      <c r="CZ34" s="168">
        <f>SUMIF('BS(M)'!$K$13:$EP$13,CZ$8,'BS(M)'!$K39:$EP39)</f>
        <v>0</v>
      </c>
      <c r="DA34" s="168">
        <f>SUMIF('BS(M)'!$K$13:$EP$13,DA$8,'BS(M)'!$K39:$EP39)</f>
        <v>0</v>
      </c>
      <c r="DB34" s="168">
        <f>SUMIF('BS(M)'!$K$13:$EP$13,DB$8,'BS(M)'!$K39:$EP39)</f>
        <v>0</v>
      </c>
      <c r="DC34" s="168">
        <f>SUMIF('BS(M)'!$K$13:$EP$13,DC$8,'BS(M)'!$K39:$EP39)</f>
        <v>0</v>
      </c>
      <c r="DD34" s="168">
        <f>SUMIF('BS(M)'!$K$13:$EP$13,DD$8,'BS(M)'!$K39:$EP39)</f>
        <v>0</v>
      </c>
      <c r="DE34" s="168">
        <f>SUMIF('BS(M)'!$K$13:$EP$13,DE$8,'BS(M)'!$K39:$EP39)</f>
        <v>0</v>
      </c>
      <c r="DF34" s="168">
        <f>SUMIF('BS(M)'!$K$13:$EP$13,DF$8,'BS(M)'!$K39:$EP39)</f>
        <v>0</v>
      </c>
      <c r="DG34" s="168">
        <f>SUMIF('BS(M)'!$K$13:$EP$13,DG$8,'BS(M)'!$K39:$EP39)</f>
        <v>0</v>
      </c>
      <c r="DH34" s="168">
        <f>SUMIF('BS(M)'!$K$13:$EP$13,DH$8,'BS(M)'!$K39:$EP39)</f>
        <v>0</v>
      </c>
      <c r="DI34" s="168">
        <f>SUMIF('BS(M)'!$K$13:$EP$13,DI$8,'BS(M)'!$K39:$EP39)</f>
        <v>0</v>
      </c>
      <c r="DJ34" s="168">
        <f>SUMIF('BS(M)'!$K$13:$EP$13,DJ$8,'BS(M)'!$K39:$EP39)</f>
        <v>0</v>
      </c>
      <c r="DK34" s="168">
        <f>SUMIF('BS(M)'!$K$13:$EP$13,DK$8,'BS(M)'!$K39:$EP39)</f>
        <v>0</v>
      </c>
      <c r="DL34" s="168">
        <f>SUMIF('BS(M)'!$K$13:$EP$13,DL$8,'BS(M)'!$K39:$EP39)</f>
        <v>0</v>
      </c>
      <c r="DM34" s="168">
        <f>SUMIF('BS(M)'!$K$13:$EP$13,DM$8,'BS(M)'!$K39:$EP39)</f>
        <v>0</v>
      </c>
      <c r="DN34" s="168">
        <f>SUMIF('BS(M)'!$K$13:$EP$13,DN$8,'BS(M)'!$K39:$EP39)</f>
        <v>0</v>
      </c>
      <c r="DO34" s="168">
        <f>SUMIF('BS(M)'!$K$13:$EP$13,DO$8,'BS(M)'!$K39:$EP39)</f>
        <v>0</v>
      </c>
      <c r="DP34" s="168">
        <f>SUMIF('BS(M)'!$K$13:$EP$13,DP$8,'BS(M)'!$K39:$EP39)</f>
        <v>0</v>
      </c>
      <c r="DQ34" s="168">
        <f>SUMIF('BS(M)'!$K$13:$EP$13,DQ$8,'BS(M)'!$K39:$EP39)</f>
        <v>0</v>
      </c>
      <c r="DR34" s="168">
        <f>SUMIF('BS(M)'!$K$13:$EP$13,DR$8,'BS(M)'!$K39:$EP39)</f>
        <v>0</v>
      </c>
      <c r="DS34" s="168">
        <f>SUMIF('BS(M)'!$K$13:$EP$13,DS$8,'BS(M)'!$K39:$EP39)</f>
        <v>0</v>
      </c>
      <c r="DT34" s="168">
        <f>SUMIF('BS(M)'!$K$13:$EP$13,DT$8,'BS(M)'!$K39:$EP39)</f>
        <v>0</v>
      </c>
      <c r="DU34" s="168">
        <f>SUMIF('BS(M)'!$K$13:$EP$13,DU$8,'BS(M)'!$K39:$EP39)</f>
        <v>0</v>
      </c>
    </row>
    <row r="35" spans="2:125">
      <c r="B35" s="230" t="s">
        <v>565</v>
      </c>
      <c r="C35" s="231"/>
      <c r="D35" s="231"/>
      <c r="E35" s="231"/>
      <c r="F35" s="231"/>
      <c r="G35" s="231"/>
      <c r="H35" s="232"/>
      <c r="I35" s="978"/>
      <c r="K35" s="235">
        <f t="shared" ref="K35:AP35" ca="1" si="34">SUM(K19,K29)</f>
        <v>311756669.63053203</v>
      </c>
      <c r="L35" s="235">
        <f t="shared" ca="1" si="34"/>
        <v>295102483.72550476</v>
      </c>
      <c r="M35" s="235">
        <f t="shared" ca="1" si="34"/>
        <v>291374407.81419873</v>
      </c>
      <c r="N35" s="235">
        <f t="shared" ca="1" si="34"/>
        <v>288346540.36139125</v>
      </c>
      <c r="O35" s="235">
        <f t="shared" ca="1" si="34"/>
        <v>290268694.61018407</v>
      </c>
      <c r="P35" s="235">
        <f t="shared" ca="1" si="34"/>
        <v>287598904.37554741</v>
      </c>
      <c r="Q35" s="235">
        <f t="shared" ca="1" si="34"/>
        <v>279471496.68999356</v>
      </c>
      <c r="R35" s="235">
        <f t="shared" ca="1" si="34"/>
        <v>277346463.51450163</v>
      </c>
      <c r="S35" s="235">
        <f t="shared" ca="1" si="34"/>
        <v>275285538.32346612</v>
      </c>
      <c r="T35" s="235">
        <f t="shared" ca="1" si="34"/>
        <v>273919091.6704734</v>
      </c>
      <c r="U35" s="235">
        <f t="shared" ca="1" si="34"/>
        <v>271867918.28400582</v>
      </c>
      <c r="V35" s="235">
        <f t="shared" ca="1" si="34"/>
        <v>270494640.22750413</v>
      </c>
      <c r="W35" s="235">
        <f t="shared" ca="1" si="34"/>
        <v>268450313.43876594</v>
      </c>
      <c r="X35" s="235">
        <f t="shared" ca="1" si="34"/>
        <v>267070340.93337679</v>
      </c>
      <c r="Y35" s="235">
        <f t="shared" ca="1" si="34"/>
        <v>265032723.8104133</v>
      </c>
      <c r="Z35" s="235">
        <f t="shared" ca="1" si="34"/>
        <v>263872483.2285156</v>
      </c>
      <c r="AA35" s="235">
        <f t="shared" ca="1" si="34"/>
        <v>261775399.86562526</v>
      </c>
      <c r="AB35" s="235">
        <f t="shared" ca="1" si="34"/>
        <v>260817955.98752064</v>
      </c>
      <c r="AC35" s="235">
        <f t="shared" ca="1" si="34"/>
        <v>259634349.07464218</v>
      </c>
      <c r="AD35" s="235">
        <f t="shared" ca="1" si="34"/>
        <v>259002044.42509663</v>
      </c>
      <c r="AE35" s="235">
        <f t="shared" ca="1" si="34"/>
        <v>0</v>
      </c>
      <c r="AF35" s="235">
        <f t="shared" ca="1" si="34"/>
        <v>0</v>
      </c>
      <c r="AG35" s="235">
        <f t="shared" ca="1" si="34"/>
        <v>0</v>
      </c>
      <c r="AH35" s="235">
        <f t="shared" si="34"/>
        <v>0</v>
      </c>
      <c r="AI35" s="235">
        <f t="shared" si="34"/>
        <v>0</v>
      </c>
      <c r="AJ35" s="235">
        <f t="shared" si="34"/>
        <v>0</v>
      </c>
      <c r="AK35" s="235">
        <f t="shared" si="34"/>
        <v>0</v>
      </c>
      <c r="AL35" s="235">
        <f t="shared" si="34"/>
        <v>0</v>
      </c>
      <c r="AM35" s="235">
        <f t="shared" si="34"/>
        <v>0</v>
      </c>
      <c r="AN35" s="235">
        <f t="shared" si="34"/>
        <v>0</v>
      </c>
      <c r="AO35" s="235">
        <f t="shared" si="34"/>
        <v>0</v>
      </c>
      <c r="AP35" s="235">
        <f t="shared" si="34"/>
        <v>0</v>
      </c>
      <c r="AQ35" s="235">
        <f t="shared" ref="AQ35:BV35" si="35">SUM(AQ19,AQ29)</f>
        <v>0</v>
      </c>
      <c r="AR35" s="235">
        <f t="shared" si="35"/>
        <v>0</v>
      </c>
      <c r="AS35" s="235">
        <f t="shared" si="35"/>
        <v>0</v>
      </c>
      <c r="AT35" s="235">
        <f t="shared" si="35"/>
        <v>0</v>
      </c>
      <c r="AU35" s="235">
        <f t="shared" si="35"/>
        <v>0</v>
      </c>
      <c r="AV35" s="235">
        <f t="shared" si="35"/>
        <v>0</v>
      </c>
      <c r="AW35" s="235">
        <f t="shared" si="35"/>
        <v>0</v>
      </c>
      <c r="AX35" s="235">
        <f t="shared" si="35"/>
        <v>0</v>
      </c>
      <c r="AY35" s="235">
        <f t="shared" si="35"/>
        <v>0</v>
      </c>
      <c r="AZ35" s="235">
        <f t="shared" si="35"/>
        <v>0</v>
      </c>
      <c r="BA35" s="235">
        <f t="shared" si="35"/>
        <v>0</v>
      </c>
      <c r="BB35" s="235">
        <f t="shared" si="35"/>
        <v>0</v>
      </c>
      <c r="BC35" s="235">
        <f t="shared" si="35"/>
        <v>0</v>
      </c>
      <c r="BD35" s="235">
        <f t="shared" si="35"/>
        <v>0</v>
      </c>
      <c r="BE35" s="235">
        <f t="shared" si="35"/>
        <v>0</v>
      </c>
      <c r="BF35" s="235">
        <f t="shared" si="35"/>
        <v>0</v>
      </c>
      <c r="BG35" s="235">
        <f t="shared" si="35"/>
        <v>0</v>
      </c>
      <c r="BH35" s="235">
        <f t="shared" si="35"/>
        <v>0</v>
      </c>
      <c r="BI35" s="235">
        <f t="shared" si="35"/>
        <v>0</v>
      </c>
      <c r="BJ35" s="235">
        <f t="shared" si="35"/>
        <v>0</v>
      </c>
      <c r="BK35" s="235">
        <f t="shared" si="35"/>
        <v>0</v>
      </c>
      <c r="BL35" s="235">
        <f t="shared" si="35"/>
        <v>0</v>
      </c>
      <c r="BM35" s="235">
        <f t="shared" si="35"/>
        <v>0</v>
      </c>
      <c r="BN35" s="235">
        <f t="shared" si="35"/>
        <v>0</v>
      </c>
      <c r="BO35" s="235">
        <f t="shared" si="35"/>
        <v>0</v>
      </c>
      <c r="BP35" s="235">
        <f t="shared" si="35"/>
        <v>0</v>
      </c>
      <c r="BQ35" s="235">
        <f t="shared" si="35"/>
        <v>0</v>
      </c>
      <c r="BR35" s="235">
        <f t="shared" si="35"/>
        <v>0</v>
      </c>
      <c r="BS35" s="235">
        <f t="shared" si="35"/>
        <v>0</v>
      </c>
      <c r="BT35" s="235">
        <f t="shared" si="35"/>
        <v>0</v>
      </c>
      <c r="BU35" s="235">
        <f t="shared" si="35"/>
        <v>0</v>
      </c>
      <c r="BV35" s="235">
        <f t="shared" si="35"/>
        <v>0</v>
      </c>
      <c r="BW35" s="235">
        <f t="shared" ref="BW35:DB35" si="36">SUM(BW19,BW29)</f>
        <v>0</v>
      </c>
      <c r="BX35" s="235">
        <f t="shared" si="36"/>
        <v>0</v>
      </c>
      <c r="BY35" s="235">
        <f t="shared" si="36"/>
        <v>0</v>
      </c>
      <c r="BZ35" s="235">
        <f t="shared" si="36"/>
        <v>0</v>
      </c>
      <c r="CA35" s="235">
        <f t="shared" si="36"/>
        <v>0</v>
      </c>
      <c r="CB35" s="235">
        <f t="shared" si="36"/>
        <v>0</v>
      </c>
      <c r="CC35" s="235">
        <f t="shared" si="36"/>
        <v>0</v>
      </c>
      <c r="CD35" s="235">
        <f t="shared" si="36"/>
        <v>0</v>
      </c>
      <c r="CE35" s="235">
        <f t="shared" si="36"/>
        <v>0</v>
      </c>
      <c r="CF35" s="235">
        <f t="shared" si="36"/>
        <v>0</v>
      </c>
      <c r="CG35" s="235">
        <f t="shared" si="36"/>
        <v>0</v>
      </c>
      <c r="CH35" s="235">
        <f t="shared" si="36"/>
        <v>0</v>
      </c>
      <c r="CI35" s="235">
        <f t="shared" si="36"/>
        <v>0</v>
      </c>
      <c r="CJ35" s="235">
        <f t="shared" si="36"/>
        <v>0</v>
      </c>
      <c r="CK35" s="235">
        <f t="shared" si="36"/>
        <v>0</v>
      </c>
      <c r="CL35" s="235">
        <f t="shared" si="36"/>
        <v>0</v>
      </c>
      <c r="CM35" s="235">
        <f t="shared" si="36"/>
        <v>0</v>
      </c>
      <c r="CN35" s="235">
        <f t="shared" si="36"/>
        <v>0</v>
      </c>
      <c r="CO35" s="235">
        <f t="shared" si="36"/>
        <v>0</v>
      </c>
      <c r="CP35" s="235">
        <f t="shared" si="36"/>
        <v>0</v>
      </c>
      <c r="CQ35" s="235">
        <f t="shared" si="36"/>
        <v>0</v>
      </c>
      <c r="CR35" s="235">
        <f t="shared" si="36"/>
        <v>0</v>
      </c>
      <c r="CS35" s="235">
        <f t="shared" si="36"/>
        <v>0</v>
      </c>
      <c r="CT35" s="235">
        <f t="shared" si="36"/>
        <v>0</v>
      </c>
      <c r="CU35" s="235">
        <f t="shared" si="36"/>
        <v>0</v>
      </c>
      <c r="CV35" s="235">
        <f t="shared" si="36"/>
        <v>0</v>
      </c>
      <c r="CW35" s="235">
        <f t="shared" si="36"/>
        <v>0</v>
      </c>
      <c r="CX35" s="235">
        <f t="shared" si="36"/>
        <v>0</v>
      </c>
      <c r="CY35" s="235">
        <f t="shared" si="36"/>
        <v>0</v>
      </c>
      <c r="CZ35" s="235">
        <f t="shared" si="36"/>
        <v>0</v>
      </c>
      <c r="DA35" s="235">
        <f t="shared" si="36"/>
        <v>0</v>
      </c>
      <c r="DB35" s="235">
        <f t="shared" si="36"/>
        <v>0</v>
      </c>
      <c r="DC35" s="235">
        <f t="shared" ref="DC35:DU35" si="37">SUM(DC19,DC29)</f>
        <v>0</v>
      </c>
      <c r="DD35" s="235">
        <f t="shared" si="37"/>
        <v>0</v>
      </c>
      <c r="DE35" s="235">
        <f t="shared" si="37"/>
        <v>0</v>
      </c>
      <c r="DF35" s="235">
        <f t="shared" si="37"/>
        <v>0</v>
      </c>
      <c r="DG35" s="235">
        <f t="shared" si="37"/>
        <v>0</v>
      </c>
      <c r="DH35" s="235">
        <f t="shared" si="37"/>
        <v>0</v>
      </c>
      <c r="DI35" s="235">
        <f t="shared" si="37"/>
        <v>0</v>
      </c>
      <c r="DJ35" s="235">
        <f t="shared" si="37"/>
        <v>0</v>
      </c>
      <c r="DK35" s="235">
        <f t="shared" si="37"/>
        <v>0</v>
      </c>
      <c r="DL35" s="235">
        <f t="shared" si="37"/>
        <v>0</v>
      </c>
      <c r="DM35" s="235">
        <f t="shared" si="37"/>
        <v>0</v>
      </c>
      <c r="DN35" s="235">
        <f t="shared" si="37"/>
        <v>0</v>
      </c>
      <c r="DO35" s="235">
        <f t="shared" si="37"/>
        <v>0</v>
      </c>
      <c r="DP35" s="235">
        <f t="shared" si="37"/>
        <v>0</v>
      </c>
      <c r="DQ35" s="235">
        <f t="shared" si="37"/>
        <v>0</v>
      </c>
      <c r="DR35" s="235">
        <f t="shared" si="37"/>
        <v>0</v>
      </c>
      <c r="DS35" s="235">
        <f t="shared" si="37"/>
        <v>0</v>
      </c>
      <c r="DT35" s="235">
        <f t="shared" si="37"/>
        <v>0</v>
      </c>
      <c r="DU35" s="235">
        <f t="shared" si="37"/>
        <v>0</v>
      </c>
    </row>
    <row r="36" spans="2:125">
      <c r="B36" s="982" t="s">
        <v>566</v>
      </c>
      <c r="C36" s="979"/>
      <c r="D36" s="979"/>
      <c r="E36" s="979"/>
      <c r="F36" s="979"/>
      <c r="G36" s="979"/>
      <c r="H36" s="980"/>
      <c r="I36" s="981"/>
      <c r="K36" s="983" t="b">
        <f ca="1">ABS(K9-K35)&lt;1</f>
        <v>1</v>
      </c>
      <c r="L36" s="983" t="b">
        <f t="shared" ref="L36:BW36" ca="1" si="38">ABS(L9-L35)&lt;1</f>
        <v>1</v>
      </c>
      <c r="M36" s="983" t="b">
        <f t="shared" ca="1" si="38"/>
        <v>1</v>
      </c>
      <c r="N36" s="983" t="b">
        <f t="shared" ca="1" si="38"/>
        <v>1</v>
      </c>
      <c r="O36" s="983" t="b">
        <f t="shared" ca="1" si="38"/>
        <v>1</v>
      </c>
      <c r="P36" s="983" t="b">
        <f t="shared" ca="1" si="38"/>
        <v>1</v>
      </c>
      <c r="Q36" s="983" t="b">
        <f t="shared" ca="1" si="38"/>
        <v>1</v>
      </c>
      <c r="R36" s="983" t="b">
        <f t="shared" ca="1" si="38"/>
        <v>1</v>
      </c>
      <c r="S36" s="983" t="b">
        <f t="shared" ca="1" si="38"/>
        <v>1</v>
      </c>
      <c r="T36" s="983" t="b">
        <f t="shared" ca="1" si="38"/>
        <v>1</v>
      </c>
      <c r="U36" s="983" t="b">
        <f t="shared" ca="1" si="38"/>
        <v>1</v>
      </c>
      <c r="V36" s="983" t="b">
        <f t="shared" ca="1" si="38"/>
        <v>1</v>
      </c>
      <c r="W36" s="983" t="b">
        <f t="shared" ca="1" si="38"/>
        <v>1</v>
      </c>
      <c r="X36" s="983" t="b">
        <f t="shared" ca="1" si="38"/>
        <v>1</v>
      </c>
      <c r="Y36" s="983" t="b">
        <f t="shared" ca="1" si="38"/>
        <v>1</v>
      </c>
      <c r="Z36" s="983" t="b">
        <f t="shared" ca="1" si="38"/>
        <v>1</v>
      </c>
      <c r="AA36" s="983" t="b">
        <f t="shared" ca="1" si="38"/>
        <v>1</v>
      </c>
      <c r="AB36" s="983" t="b">
        <f t="shared" ca="1" si="38"/>
        <v>1</v>
      </c>
      <c r="AC36" s="983" t="b">
        <f t="shared" ca="1" si="38"/>
        <v>1</v>
      </c>
      <c r="AD36" s="983" t="b">
        <f t="shared" ca="1" si="38"/>
        <v>1</v>
      </c>
      <c r="AE36" s="983" t="b">
        <f t="shared" ca="1" si="38"/>
        <v>1</v>
      </c>
      <c r="AF36" s="983" t="b">
        <f t="shared" ca="1" si="38"/>
        <v>1</v>
      </c>
      <c r="AG36" s="983" t="b">
        <f t="shared" ca="1" si="38"/>
        <v>1</v>
      </c>
      <c r="AH36" s="983" t="b">
        <f t="shared" si="38"/>
        <v>1</v>
      </c>
      <c r="AI36" s="983" t="b">
        <f t="shared" si="38"/>
        <v>1</v>
      </c>
      <c r="AJ36" s="983" t="b">
        <f t="shared" si="38"/>
        <v>1</v>
      </c>
      <c r="AK36" s="983" t="b">
        <f t="shared" si="38"/>
        <v>1</v>
      </c>
      <c r="AL36" s="983" t="b">
        <f t="shared" si="38"/>
        <v>1</v>
      </c>
      <c r="AM36" s="983" t="b">
        <f t="shared" si="38"/>
        <v>1</v>
      </c>
      <c r="AN36" s="983" t="b">
        <f t="shared" si="38"/>
        <v>1</v>
      </c>
      <c r="AO36" s="983" t="b">
        <f t="shared" si="38"/>
        <v>1</v>
      </c>
      <c r="AP36" s="983" t="b">
        <f t="shared" si="38"/>
        <v>1</v>
      </c>
      <c r="AQ36" s="983" t="b">
        <f t="shared" si="38"/>
        <v>1</v>
      </c>
      <c r="AR36" s="983" t="b">
        <f t="shared" si="38"/>
        <v>1</v>
      </c>
      <c r="AS36" s="983" t="b">
        <f t="shared" si="38"/>
        <v>1</v>
      </c>
      <c r="AT36" s="983" t="b">
        <f t="shared" si="38"/>
        <v>1</v>
      </c>
      <c r="AU36" s="983" t="b">
        <f t="shared" si="38"/>
        <v>1</v>
      </c>
      <c r="AV36" s="983" t="b">
        <f t="shared" si="38"/>
        <v>1</v>
      </c>
      <c r="AW36" s="983" t="b">
        <f t="shared" si="38"/>
        <v>1</v>
      </c>
      <c r="AX36" s="983" t="b">
        <f t="shared" si="38"/>
        <v>1</v>
      </c>
      <c r="AY36" s="983" t="b">
        <f t="shared" si="38"/>
        <v>1</v>
      </c>
      <c r="AZ36" s="983" t="b">
        <f t="shared" si="38"/>
        <v>1</v>
      </c>
      <c r="BA36" s="983" t="b">
        <f t="shared" si="38"/>
        <v>1</v>
      </c>
      <c r="BB36" s="983" t="b">
        <f t="shared" si="38"/>
        <v>1</v>
      </c>
      <c r="BC36" s="983" t="b">
        <f t="shared" si="38"/>
        <v>1</v>
      </c>
      <c r="BD36" s="983" t="b">
        <f t="shared" si="38"/>
        <v>1</v>
      </c>
      <c r="BE36" s="983" t="b">
        <f t="shared" si="38"/>
        <v>1</v>
      </c>
      <c r="BF36" s="983" t="b">
        <f t="shared" si="38"/>
        <v>1</v>
      </c>
      <c r="BG36" s="983" t="b">
        <f t="shared" si="38"/>
        <v>1</v>
      </c>
      <c r="BH36" s="983" t="b">
        <f t="shared" si="38"/>
        <v>1</v>
      </c>
      <c r="BI36" s="983" t="b">
        <f t="shared" si="38"/>
        <v>1</v>
      </c>
      <c r="BJ36" s="983" t="b">
        <f t="shared" si="38"/>
        <v>1</v>
      </c>
      <c r="BK36" s="983" t="b">
        <f t="shared" si="38"/>
        <v>1</v>
      </c>
      <c r="BL36" s="983" t="b">
        <f t="shared" si="38"/>
        <v>1</v>
      </c>
      <c r="BM36" s="983" t="b">
        <f t="shared" si="38"/>
        <v>1</v>
      </c>
      <c r="BN36" s="983" t="b">
        <f t="shared" si="38"/>
        <v>1</v>
      </c>
      <c r="BO36" s="983" t="b">
        <f t="shared" si="38"/>
        <v>1</v>
      </c>
      <c r="BP36" s="983" t="b">
        <f t="shared" si="38"/>
        <v>1</v>
      </c>
      <c r="BQ36" s="983" t="b">
        <f t="shared" si="38"/>
        <v>1</v>
      </c>
      <c r="BR36" s="983" t="b">
        <f t="shared" si="38"/>
        <v>1</v>
      </c>
      <c r="BS36" s="983" t="b">
        <f t="shared" si="38"/>
        <v>1</v>
      </c>
      <c r="BT36" s="983" t="b">
        <f t="shared" si="38"/>
        <v>1</v>
      </c>
      <c r="BU36" s="983" t="b">
        <f t="shared" si="38"/>
        <v>1</v>
      </c>
      <c r="BV36" s="983" t="b">
        <f t="shared" si="38"/>
        <v>1</v>
      </c>
      <c r="BW36" s="983" t="b">
        <f t="shared" si="38"/>
        <v>1</v>
      </c>
      <c r="BX36" s="983" t="b">
        <f t="shared" ref="BX36:DU36" si="39">ABS(BX9-BX35)&lt;1</f>
        <v>1</v>
      </c>
      <c r="BY36" s="983" t="b">
        <f t="shared" si="39"/>
        <v>1</v>
      </c>
      <c r="BZ36" s="983" t="b">
        <f t="shared" si="39"/>
        <v>1</v>
      </c>
      <c r="CA36" s="983" t="b">
        <f t="shared" si="39"/>
        <v>1</v>
      </c>
      <c r="CB36" s="983" t="b">
        <f t="shared" si="39"/>
        <v>1</v>
      </c>
      <c r="CC36" s="983" t="b">
        <f t="shared" si="39"/>
        <v>1</v>
      </c>
      <c r="CD36" s="983" t="b">
        <f t="shared" si="39"/>
        <v>1</v>
      </c>
      <c r="CE36" s="983" t="b">
        <f t="shared" si="39"/>
        <v>1</v>
      </c>
      <c r="CF36" s="983" t="b">
        <f t="shared" si="39"/>
        <v>1</v>
      </c>
      <c r="CG36" s="983" t="b">
        <f t="shared" si="39"/>
        <v>1</v>
      </c>
      <c r="CH36" s="983" t="b">
        <f t="shared" si="39"/>
        <v>1</v>
      </c>
      <c r="CI36" s="983" t="b">
        <f t="shared" si="39"/>
        <v>1</v>
      </c>
      <c r="CJ36" s="983" t="b">
        <f t="shared" si="39"/>
        <v>1</v>
      </c>
      <c r="CK36" s="983" t="b">
        <f t="shared" si="39"/>
        <v>1</v>
      </c>
      <c r="CL36" s="983" t="b">
        <f t="shared" si="39"/>
        <v>1</v>
      </c>
      <c r="CM36" s="983" t="b">
        <f t="shared" si="39"/>
        <v>1</v>
      </c>
      <c r="CN36" s="983" t="b">
        <f t="shared" si="39"/>
        <v>1</v>
      </c>
      <c r="CO36" s="983" t="b">
        <f t="shared" si="39"/>
        <v>1</v>
      </c>
      <c r="CP36" s="983" t="b">
        <f t="shared" si="39"/>
        <v>1</v>
      </c>
      <c r="CQ36" s="983" t="b">
        <f t="shared" si="39"/>
        <v>1</v>
      </c>
      <c r="CR36" s="983" t="b">
        <f t="shared" si="39"/>
        <v>1</v>
      </c>
      <c r="CS36" s="983" t="b">
        <f t="shared" si="39"/>
        <v>1</v>
      </c>
      <c r="CT36" s="983" t="b">
        <f t="shared" si="39"/>
        <v>1</v>
      </c>
      <c r="CU36" s="983" t="b">
        <f t="shared" si="39"/>
        <v>1</v>
      </c>
      <c r="CV36" s="983" t="b">
        <f t="shared" si="39"/>
        <v>1</v>
      </c>
      <c r="CW36" s="983" t="b">
        <f t="shared" si="39"/>
        <v>1</v>
      </c>
      <c r="CX36" s="983" t="b">
        <f t="shared" si="39"/>
        <v>1</v>
      </c>
      <c r="CY36" s="983" t="b">
        <f t="shared" si="39"/>
        <v>1</v>
      </c>
      <c r="CZ36" s="983" t="b">
        <f t="shared" si="39"/>
        <v>1</v>
      </c>
      <c r="DA36" s="983" t="b">
        <f t="shared" si="39"/>
        <v>1</v>
      </c>
      <c r="DB36" s="983" t="b">
        <f t="shared" si="39"/>
        <v>1</v>
      </c>
      <c r="DC36" s="983" t="b">
        <f t="shared" si="39"/>
        <v>1</v>
      </c>
      <c r="DD36" s="983" t="b">
        <f t="shared" si="39"/>
        <v>1</v>
      </c>
      <c r="DE36" s="983" t="b">
        <f t="shared" si="39"/>
        <v>1</v>
      </c>
      <c r="DF36" s="983" t="b">
        <f t="shared" si="39"/>
        <v>1</v>
      </c>
      <c r="DG36" s="983" t="b">
        <f t="shared" si="39"/>
        <v>1</v>
      </c>
      <c r="DH36" s="983" t="b">
        <f t="shared" si="39"/>
        <v>1</v>
      </c>
      <c r="DI36" s="983" t="b">
        <f t="shared" si="39"/>
        <v>1</v>
      </c>
      <c r="DJ36" s="983" t="b">
        <f t="shared" si="39"/>
        <v>1</v>
      </c>
      <c r="DK36" s="983" t="b">
        <f t="shared" si="39"/>
        <v>1</v>
      </c>
      <c r="DL36" s="983" t="b">
        <f t="shared" si="39"/>
        <v>1</v>
      </c>
      <c r="DM36" s="983" t="b">
        <f t="shared" si="39"/>
        <v>1</v>
      </c>
      <c r="DN36" s="983" t="b">
        <f t="shared" si="39"/>
        <v>1</v>
      </c>
      <c r="DO36" s="983" t="b">
        <f t="shared" si="39"/>
        <v>1</v>
      </c>
      <c r="DP36" s="983" t="b">
        <f t="shared" si="39"/>
        <v>1</v>
      </c>
      <c r="DQ36" s="983" t="b">
        <f t="shared" si="39"/>
        <v>1</v>
      </c>
      <c r="DR36" s="983" t="b">
        <f t="shared" si="39"/>
        <v>1</v>
      </c>
      <c r="DS36" s="983" t="b">
        <f t="shared" si="39"/>
        <v>1</v>
      </c>
      <c r="DT36" s="983" t="b">
        <f t="shared" si="39"/>
        <v>1</v>
      </c>
      <c r="DU36" s="983" t="b">
        <f t="shared" si="39"/>
        <v>1</v>
      </c>
    </row>
    <row r="37" spans="2:125">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0"/>
      <c r="AQ37" s="90"/>
      <c r="AR37" s="90"/>
      <c r="AS37" s="90"/>
      <c r="AT37" s="90"/>
      <c r="AU37" s="90"/>
      <c r="AV37" s="90"/>
      <c r="AW37" s="90"/>
      <c r="AX37" s="90"/>
      <c r="AY37" s="90"/>
      <c r="AZ37" s="90"/>
      <c r="BA37" s="90"/>
      <c r="BB37" s="90"/>
      <c r="BC37" s="90"/>
      <c r="BD37" s="90"/>
      <c r="BE37" s="90"/>
      <c r="BF37" s="90"/>
      <c r="BG37" s="90"/>
      <c r="BH37" s="90"/>
      <c r="BI37" s="90"/>
      <c r="BJ37" s="90"/>
      <c r="BK37" s="90"/>
      <c r="BL37" s="90"/>
      <c r="BM37" s="90"/>
      <c r="BN37" s="90"/>
      <c r="BO37" s="90"/>
      <c r="BP37" s="90"/>
      <c r="BQ37" s="90"/>
      <c r="BR37" s="90"/>
      <c r="BS37" s="90"/>
      <c r="BT37" s="90"/>
      <c r="BU37" s="90"/>
      <c r="BV37" s="90"/>
      <c r="BW37" s="90"/>
      <c r="BX37" s="90"/>
      <c r="BY37" s="90"/>
      <c r="BZ37" s="90"/>
      <c r="CA37" s="90"/>
      <c r="CB37" s="90"/>
      <c r="CC37" s="90"/>
      <c r="CD37" s="90"/>
      <c r="CE37" s="90"/>
      <c r="CF37" s="90"/>
      <c r="CG37" s="90"/>
      <c r="CH37" s="90"/>
      <c r="CI37" s="90"/>
      <c r="CJ37" s="90"/>
      <c r="CK37" s="90"/>
      <c r="CL37" s="90"/>
      <c r="CM37" s="90"/>
      <c r="CN37" s="90"/>
      <c r="CO37" s="90"/>
      <c r="CP37" s="90"/>
      <c r="CQ37" s="90"/>
      <c r="CR37" s="90"/>
      <c r="CS37" s="90"/>
      <c r="CT37" s="90"/>
      <c r="CU37" s="90"/>
      <c r="CV37" s="90"/>
      <c r="CW37" s="90"/>
      <c r="CX37" s="90"/>
      <c r="CY37" s="90"/>
      <c r="CZ37" s="90"/>
      <c r="DA37" s="90"/>
      <c r="DB37" s="90"/>
      <c r="DC37" s="90"/>
      <c r="DD37" s="90"/>
      <c r="DE37" s="90"/>
      <c r="DF37" s="90"/>
      <c r="DG37" s="90"/>
      <c r="DH37" s="90"/>
      <c r="DI37" s="90"/>
      <c r="DJ37" s="90"/>
      <c r="DK37" s="90"/>
      <c r="DL37" s="90"/>
      <c r="DM37" s="90"/>
      <c r="DN37" s="90"/>
      <c r="DO37" s="90"/>
      <c r="DP37" s="90"/>
      <c r="DQ37" s="90"/>
      <c r="DR37" s="90"/>
      <c r="DS37" s="90"/>
      <c r="DT37" s="90"/>
      <c r="DU37" s="90"/>
    </row>
  </sheetData>
  <phoneticPr fontId="2"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000CC-CBD3-4EEF-A3CB-AFA39757692A}">
  <sheetPr codeName="Sheet7">
    <tabColor theme="7" tint="-0.499984740745262"/>
  </sheetPr>
  <dimension ref="A1:EU161"/>
  <sheetViews>
    <sheetView showGridLines="0" zoomScaleNormal="100" workbookViewId="0">
      <pane xSplit="10" ySplit="11" topLeftCell="K59" activePane="bottomRight" state="frozen"/>
      <selection activeCell="M268" sqref="M268"/>
      <selection pane="topRight" activeCell="M268" sqref="M268"/>
      <selection pane="bottomLeft" activeCell="M268" sqref="M268"/>
      <selection pane="bottomRight" activeCell="I59" sqref="I59"/>
    </sheetView>
  </sheetViews>
  <sheetFormatPr defaultColWidth="9" defaultRowHeight="12"/>
  <cols>
    <col min="1" max="1" width="2.625" style="5" customWidth="1"/>
    <col min="2" max="2" width="1.75" style="5" customWidth="1"/>
    <col min="3" max="3" width="1.875" style="5" customWidth="1"/>
    <col min="4" max="7" width="9" style="5"/>
    <col min="8" max="8" width="11.25" style="5" bestFit="1" customWidth="1"/>
    <col min="9" max="9" width="10.125" style="5" bestFit="1" customWidth="1"/>
    <col min="10" max="10" width="11" style="5" customWidth="1"/>
    <col min="11" max="11" width="2.625" style="5" customWidth="1"/>
    <col min="12" max="147" width="11" style="5" customWidth="1"/>
    <col min="148" max="16384" width="9" style="5"/>
  </cols>
  <sheetData>
    <row r="1" spans="1:151" s="3" customFormat="1" ht="11.25" customHeight="1">
      <c r="A1" s="2" t="s">
        <v>250</v>
      </c>
    </row>
    <row r="2" spans="1:151" s="4" customFormat="1" ht="11.25" customHeight="1">
      <c r="A2" s="4" t="s">
        <v>254</v>
      </c>
    </row>
    <row r="4" spans="1:151" ht="11.25" customHeight="1">
      <c r="B4" s="187" t="s">
        <v>0</v>
      </c>
      <c r="C4" s="143"/>
      <c r="D4" s="143"/>
      <c r="E4" s="143"/>
      <c r="F4" s="143"/>
      <c r="G4" s="143"/>
      <c r="H4" s="208"/>
      <c r="I4" s="188"/>
      <c r="J4" s="144"/>
      <c r="L4" s="145">
        <f>Index!L4</f>
        <v>46326</v>
      </c>
      <c r="M4" s="145">
        <f>Index!M4</f>
        <v>46327</v>
      </c>
      <c r="N4" s="145">
        <f>Index!N4</f>
        <v>46357</v>
      </c>
      <c r="O4" s="145">
        <f>Index!O4</f>
        <v>46388</v>
      </c>
      <c r="P4" s="145">
        <f>Index!P4</f>
        <v>46419</v>
      </c>
      <c r="Q4" s="145">
        <f>Index!Q4</f>
        <v>46447</v>
      </c>
      <c r="R4" s="145">
        <f>Index!R4</f>
        <v>46478</v>
      </c>
      <c r="S4" s="145">
        <f>Index!S4</f>
        <v>46508</v>
      </c>
      <c r="T4" s="145">
        <f>Index!T4</f>
        <v>46539</v>
      </c>
      <c r="U4" s="145">
        <f>Index!U4</f>
        <v>46569</v>
      </c>
      <c r="V4" s="145">
        <f>Index!V4</f>
        <v>46600</v>
      </c>
      <c r="W4" s="145">
        <f>Index!W4</f>
        <v>46631</v>
      </c>
      <c r="X4" s="145">
        <f>Index!X4</f>
        <v>46661</v>
      </c>
      <c r="Y4" s="145">
        <f>Index!Y4</f>
        <v>46692</v>
      </c>
      <c r="Z4" s="145">
        <f>Index!Z4</f>
        <v>46722</v>
      </c>
      <c r="AA4" s="145">
        <f>Index!AA4</f>
        <v>46753</v>
      </c>
      <c r="AB4" s="145">
        <f>Index!AB4</f>
        <v>46784</v>
      </c>
      <c r="AC4" s="145">
        <f>Index!AC4</f>
        <v>46813</v>
      </c>
      <c r="AD4" s="145">
        <f>Index!AD4</f>
        <v>46844</v>
      </c>
      <c r="AE4" s="145">
        <f>Index!AE4</f>
        <v>46874</v>
      </c>
      <c r="AF4" s="145">
        <f>Index!AF4</f>
        <v>46905</v>
      </c>
      <c r="AG4" s="145">
        <f>Index!AG4</f>
        <v>46935</v>
      </c>
      <c r="AH4" s="145">
        <f>Index!AH4</f>
        <v>46966</v>
      </c>
      <c r="AI4" s="145">
        <f>Index!AI4</f>
        <v>46997</v>
      </c>
      <c r="AJ4" s="145">
        <f>Index!AJ4</f>
        <v>47027</v>
      </c>
      <c r="AK4" s="145">
        <f>Index!AK4</f>
        <v>47058</v>
      </c>
      <c r="AL4" s="145">
        <f>Index!AL4</f>
        <v>47088</v>
      </c>
      <c r="AM4" s="145">
        <f>Index!AM4</f>
        <v>47119</v>
      </c>
      <c r="AN4" s="145">
        <f>Index!AN4</f>
        <v>47150</v>
      </c>
      <c r="AO4" s="145">
        <f>Index!AO4</f>
        <v>47178</v>
      </c>
      <c r="AP4" s="145">
        <f>Index!AP4</f>
        <v>47209</v>
      </c>
      <c r="AQ4" s="145">
        <f>Index!AQ4</f>
        <v>47239</v>
      </c>
      <c r="AR4" s="145">
        <f>Index!AR4</f>
        <v>47270</v>
      </c>
      <c r="AS4" s="145">
        <f>Index!AS4</f>
        <v>47300</v>
      </c>
      <c r="AT4" s="145">
        <f>Index!AT4</f>
        <v>47331</v>
      </c>
      <c r="AU4" s="145">
        <f>Index!AU4</f>
        <v>47362</v>
      </c>
      <c r="AV4" s="145">
        <f>Index!AV4</f>
        <v>47392</v>
      </c>
      <c r="AW4" s="145">
        <f>Index!AW4</f>
        <v>47423</v>
      </c>
      <c r="AX4" s="145">
        <f>Index!AX4</f>
        <v>47453</v>
      </c>
      <c r="AY4" s="145">
        <f>Index!AY4</f>
        <v>47484</v>
      </c>
      <c r="AZ4" s="145">
        <f>Index!AZ4</f>
        <v>47515</v>
      </c>
      <c r="BA4" s="145">
        <f>Index!BA4</f>
        <v>47543</v>
      </c>
      <c r="BB4" s="145">
        <f>Index!BB4</f>
        <v>47574</v>
      </c>
      <c r="BC4" s="145">
        <f>Index!BC4</f>
        <v>47604</v>
      </c>
      <c r="BD4" s="145">
        <f>Index!BD4</f>
        <v>47635</v>
      </c>
      <c r="BE4" s="145">
        <f>Index!BE4</f>
        <v>47665</v>
      </c>
      <c r="BF4" s="145">
        <f>Index!BF4</f>
        <v>47696</v>
      </c>
      <c r="BG4" s="145">
        <f>Index!BG4</f>
        <v>47727</v>
      </c>
      <c r="BH4" s="145">
        <f>Index!BH4</f>
        <v>47757</v>
      </c>
      <c r="BI4" s="145">
        <f>Index!BI4</f>
        <v>47788</v>
      </c>
      <c r="BJ4" s="145">
        <f>Index!BJ4</f>
        <v>47818</v>
      </c>
      <c r="BK4" s="145">
        <f>Index!BK4</f>
        <v>47849</v>
      </c>
      <c r="BL4" s="145">
        <f>Index!BL4</f>
        <v>47880</v>
      </c>
      <c r="BM4" s="145">
        <f>Index!BM4</f>
        <v>47908</v>
      </c>
      <c r="BN4" s="145">
        <f>Index!BN4</f>
        <v>47939</v>
      </c>
      <c r="BO4" s="145">
        <f>Index!BO4</f>
        <v>47969</v>
      </c>
      <c r="BP4" s="145">
        <f>Index!BP4</f>
        <v>48000</v>
      </c>
      <c r="BQ4" s="145">
        <f>Index!BQ4</f>
        <v>48030</v>
      </c>
      <c r="BR4" s="145">
        <f>Index!BR4</f>
        <v>48061</v>
      </c>
      <c r="BS4" s="145">
        <f>Index!BS4</f>
        <v>48092</v>
      </c>
      <c r="BT4" s="145">
        <f>Index!BT4</f>
        <v>48122</v>
      </c>
      <c r="BU4" s="145">
        <f>Index!BU4</f>
        <v>48153</v>
      </c>
      <c r="BV4" s="145">
        <f>Index!BV4</f>
        <v>48183</v>
      </c>
      <c r="BW4" s="145">
        <f>Index!BW4</f>
        <v>48214</v>
      </c>
      <c r="BX4" s="145">
        <f>Index!BX4</f>
        <v>48245</v>
      </c>
      <c r="BY4" s="145">
        <f>Index!BY4</f>
        <v>48274</v>
      </c>
      <c r="BZ4" s="145">
        <f>Index!BZ4</f>
        <v>48305</v>
      </c>
      <c r="CA4" s="145">
        <f>Index!CA4</f>
        <v>48335</v>
      </c>
      <c r="CB4" s="145">
        <f>Index!CB4</f>
        <v>48366</v>
      </c>
      <c r="CC4" s="145">
        <f>Index!CC4</f>
        <v>48396</v>
      </c>
      <c r="CD4" s="145">
        <f>Index!CD4</f>
        <v>48427</v>
      </c>
      <c r="CE4" s="145">
        <f>Index!CE4</f>
        <v>48458</v>
      </c>
      <c r="CF4" s="145">
        <f>Index!CF4</f>
        <v>48488</v>
      </c>
      <c r="CG4" s="145">
        <f>Index!CG4</f>
        <v>48519</v>
      </c>
      <c r="CH4" s="145">
        <f>Index!CH4</f>
        <v>48549</v>
      </c>
      <c r="CI4" s="145">
        <f>Index!CI4</f>
        <v>48580</v>
      </c>
      <c r="CJ4" s="145">
        <f>Index!CJ4</f>
        <v>48611</v>
      </c>
      <c r="CK4" s="145">
        <f>Index!CK4</f>
        <v>48639</v>
      </c>
      <c r="CL4" s="145">
        <f>Index!CL4</f>
        <v>48670</v>
      </c>
      <c r="CM4" s="145">
        <f>Index!CM4</f>
        <v>48700</v>
      </c>
      <c r="CN4" s="145">
        <f>Index!CN4</f>
        <v>48731</v>
      </c>
      <c r="CO4" s="145">
        <f>Index!CO4</f>
        <v>48761</v>
      </c>
      <c r="CP4" s="145">
        <f>Index!CP4</f>
        <v>48792</v>
      </c>
      <c r="CQ4" s="145">
        <f>Index!CQ4</f>
        <v>48823</v>
      </c>
      <c r="CR4" s="145">
        <f>Index!CR4</f>
        <v>48853</v>
      </c>
      <c r="CS4" s="145">
        <f>Index!CS4</f>
        <v>48884</v>
      </c>
      <c r="CT4" s="145">
        <f>Index!CT4</f>
        <v>48914</v>
      </c>
      <c r="CU4" s="145">
        <f>Index!CU4</f>
        <v>48945</v>
      </c>
      <c r="CV4" s="145">
        <f>Index!CV4</f>
        <v>48976</v>
      </c>
      <c r="CW4" s="145">
        <f>Index!CW4</f>
        <v>49004</v>
      </c>
      <c r="CX4" s="145">
        <f>Index!CX4</f>
        <v>49035</v>
      </c>
      <c r="CY4" s="145">
        <f>Index!CY4</f>
        <v>49065</v>
      </c>
      <c r="CZ4" s="145">
        <f>Index!CZ4</f>
        <v>49096</v>
      </c>
      <c r="DA4" s="145">
        <f>Index!DA4</f>
        <v>49126</v>
      </c>
      <c r="DB4" s="145">
        <f>Index!DB4</f>
        <v>49157</v>
      </c>
      <c r="DC4" s="145">
        <f>Index!DC4</f>
        <v>49188</v>
      </c>
      <c r="DD4" s="145">
        <f>Index!DD4</f>
        <v>49218</v>
      </c>
      <c r="DE4" s="145">
        <f>Index!DE4</f>
        <v>49249</v>
      </c>
      <c r="DF4" s="145">
        <f>Index!DF4</f>
        <v>49279</v>
      </c>
      <c r="DG4" s="145">
        <f>Index!DG4</f>
        <v>49310</v>
      </c>
      <c r="DH4" s="145">
        <f>Index!DH4</f>
        <v>49341</v>
      </c>
      <c r="DI4" s="145">
        <f>Index!DI4</f>
        <v>49369</v>
      </c>
      <c r="DJ4" s="145">
        <f>Index!DJ4</f>
        <v>49400</v>
      </c>
      <c r="DK4" s="145">
        <f>Index!DK4</f>
        <v>49430</v>
      </c>
      <c r="DL4" s="145">
        <f>Index!DL4</f>
        <v>49461</v>
      </c>
      <c r="DM4" s="145">
        <f>Index!DM4</f>
        <v>49491</v>
      </c>
      <c r="DN4" s="145">
        <f>Index!DN4</f>
        <v>49522</v>
      </c>
      <c r="DO4" s="145">
        <f>Index!DO4</f>
        <v>49553</v>
      </c>
      <c r="DP4" s="145">
        <f>Index!DP4</f>
        <v>49583</v>
      </c>
      <c r="DQ4" s="145">
        <f>Index!DQ4</f>
        <v>49614</v>
      </c>
      <c r="DR4" s="145">
        <f>Index!DR4</f>
        <v>49644</v>
      </c>
      <c r="DS4" s="145">
        <f>Index!DS4</f>
        <v>49675</v>
      </c>
      <c r="DT4" s="145">
        <f>Index!DT4</f>
        <v>49706</v>
      </c>
      <c r="DU4" s="145">
        <f>Index!DU4</f>
        <v>49735</v>
      </c>
      <c r="DV4" s="145">
        <f>Index!DV4</f>
        <v>49766</v>
      </c>
      <c r="DW4" s="145">
        <f>Index!DW4</f>
        <v>49796</v>
      </c>
      <c r="DX4" s="145">
        <f>Index!DX4</f>
        <v>49827</v>
      </c>
      <c r="DY4" s="145">
        <f>Index!DY4</f>
        <v>49857</v>
      </c>
      <c r="DZ4" s="145">
        <f>Index!DZ4</f>
        <v>49888</v>
      </c>
      <c r="EA4" s="145">
        <f>Index!EA4</f>
        <v>49919</v>
      </c>
      <c r="EB4" s="145">
        <f>Index!EB4</f>
        <v>49949</v>
      </c>
      <c r="EC4" s="145">
        <f>Index!EC4</f>
        <v>49980</v>
      </c>
      <c r="ED4" s="145">
        <f>Index!ED4</f>
        <v>50010</v>
      </c>
      <c r="EE4" s="145">
        <f>Index!EE4</f>
        <v>50041</v>
      </c>
      <c r="EF4" s="145">
        <f>Index!EF4</f>
        <v>50072</v>
      </c>
      <c r="EG4" s="145">
        <f>Index!EG4</f>
        <v>50100</v>
      </c>
      <c r="EH4" s="145">
        <f>Index!EH4</f>
        <v>50131</v>
      </c>
      <c r="EI4" s="145">
        <f>Index!EI4</f>
        <v>50161</v>
      </c>
      <c r="EJ4" s="145">
        <f>Index!EJ4</f>
        <v>50192</v>
      </c>
      <c r="EK4" s="145">
        <f>Index!EK4</f>
        <v>50222</v>
      </c>
      <c r="EL4" s="145">
        <f>Index!EL4</f>
        <v>50253</v>
      </c>
      <c r="EM4" s="145">
        <f>Index!EM4</f>
        <v>50284</v>
      </c>
      <c r="EN4" s="145">
        <f>Index!EN4</f>
        <v>50314</v>
      </c>
      <c r="EO4" s="145">
        <f>Index!EO4</f>
        <v>50345</v>
      </c>
      <c r="EP4" s="145">
        <f>Index!EP4</f>
        <v>50375</v>
      </c>
      <c r="EQ4" s="145">
        <f>Index!EQ4</f>
        <v>50406</v>
      </c>
      <c r="ER4" s="146"/>
      <c r="ES4" s="146"/>
      <c r="ET4" s="146"/>
      <c r="EU4" s="146"/>
    </row>
    <row r="5" spans="1:151" ht="11.25" customHeight="1">
      <c r="B5" s="187" t="s">
        <v>1</v>
      </c>
      <c r="C5" s="143"/>
      <c r="D5" s="143"/>
      <c r="E5" s="143"/>
      <c r="F5" s="143"/>
      <c r="G5" s="143"/>
      <c r="H5" s="208"/>
      <c r="I5" s="188"/>
      <c r="J5" s="143"/>
      <c r="L5" s="145">
        <f>Index!L5</f>
        <v>46326</v>
      </c>
      <c r="M5" s="145">
        <f>Index!M5</f>
        <v>46356</v>
      </c>
      <c r="N5" s="145">
        <f>Index!N5</f>
        <v>46387</v>
      </c>
      <c r="O5" s="145">
        <f>Index!O5</f>
        <v>46418</v>
      </c>
      <c r="P5" s="145">
        <f>Index!P5</f>
        <v>46446</v>
      </c>
      <c r="Q5" s="145">
        <f>Index!Q5</f>
        <v>46477</v>
      </c>
      <c r="R5" s="145">
        <f>Index!R5</f>
        <v>46507</v>
      </c>
      <c r="S5" s="145">
        <f>Index!S5</f>
        <v>46538</v>
      </c>
      <c r="T5" s="145">
        <f>Index!T5</f>
        <v>46568</v>
      </c>
      <c r="U5" s="145">
        <f>Index!U5</f>
        <v>46599</v>
      </c>
      <c r="V5" s="145">
        <f>Index!V5</f>
        <v>46630</v>
      </c>
      <c r="W5" s="145">
        <f>Index!W5</f>
        <v>46660</v>
      </c>
      <c r="X5" s="145">
        <f>Index!X5</f>
        <v>46691</v>
      </c>
      <c r="Y5" s="145">
        <f>Index!Y5</f>
        <v>46721</v>
      </c>
      <c r="Z5" s="145">
        <f>Index!Z5</f>
        <v>46752</v>
      </c>
      <c r="AA5" s="145">
        <f>Index!AA5</f>
        <v>46783</v>
      </c>
      <c r="AB5" s="145">
        <f>Index!AB5</f>
        <v>46812</v>
      </c>
      <c r="AC5" s="145">
        <f>Index!AC5</f>
        <v>46843</v>
      </c>
      <c r="AD5" s="145">
        <f>Index!AD5</f>
        <v>46873</v>
      </c>
      <c r="AE5" s="145">
        <f>Index!AE5</f>
        <v>46904</v>
      </c>
      <c r="AF5" s="145">
        <f>Index!AF5</f>
        <v>46934</v>
      </c>
      <c r="AG5" s="145">
        <f>Index!AG5</f>
        <v>46965</v>
      </c>
      <c r="AH5" s="145">
        <f>Index!AH5</f>
        <v>46996</v>
      </c>
      <c r="AI5" s="145">
        <f>Index!AI5</f>
        <v>47026</v>
      </c>
      <c r="AJ5" s="145">
        <f>Index!AJ5</f>
        <v>47057</v>
      </c>
      <c r="AK5" s="145">
        <f>Index!AK5</f>
        <v>47087</v>
      </c>
      <c r="AL5" s="145">
        <f>Index!AL5</f>
        <v>47118</v>
      </c>
      <c r="AM5" s="145">
        <f>Index!AM5</f>
        <v>47149</v>
      </c>
      <c r="AN5" s="145">
        <f>Index!AN5</f>
        <v>47177</v>
      </c>
      <c r="AO5" s="145">
        <f>Index!AO5</f>
        <v>47208</v>
      </c>
      <c r="AP5" s="145">
        <f>Index!AP5</f>
        <v>47238</v>
      </c>
      <c r="AQ5" s="145">
        <f>Index!AQ5</f>
        <v>47269</v>
      </c>
      <c r="AR5" s="145">
        <f>Index!AR5</f>
        <v>47299</v>
      </c>
      <c r="AS5" s="145">
        <f>Index!AS5</f>
        <v>47330</v>
      </c>
      <c r="AT5" s="145">
        <f>Index!AT5</f>
        <v>47361</v>
      </c>
      <c r="AU5" s="145">
        <f>Index!AU5</f>
        <v>47391</v>
      </c>
      <c r="AV5" s="145">
        <f>Index!AV5</f>
        <v>47422</v>
      </c>
      <c r="AW5" s="145">
        <f>Index!AW5</f>
        <v>47452</v>
      </c>
      <c r="AX5" s="145">
        <f>Index!AX5</f>
        <v>47483</v>
      </c>
      <c r="AY5" s="145">
        <f>Index!AY5</f>
        <v>47514</v>
      </c>
      <c r="AZ5" s="145">
        <f>Index!AZ5</f>
        <v>47542</v>
      </c>
      <c r="BA5" s="145">
        <f>Index!BA5</f>
        <v>47573</v>
      </c>
      <c r="BB5" s="145">
        <f>Index!BB5</f>
        <v>47603</v>
      </c>
      <c r="BC5" s="145">
        <f>Index!BC5</f>
        <v>47634</v>
      </c>
      <c r="BD5" s="145">
        <f>Index!BD5</f>
        <v>47664</v>
      </c>
      <c r="BE5" s="145">
        <f>Index!BE5</f>
        <v>47695</v>
      </c>
      <c r="BF5" s="145">
        <f>Index!BF5</f>
        <v>47726</v>
      </c>
      <c r="BG5" s="145">
        <f>Index!BG5</f>
        <v>47756</v>
      </c>
      <c r="BH5" s="145">
        <f>Index!BH5</f>
        <v>47787</v>
      </c>
      <c r="BI5" s="145">
        <f>Index!BI5</f>
        <v>47817</v>
      </c>
      <c r="BJ5" s="145">
        <f>Index!BJ5</f>
        <v>47848</v>
      </c>
      <c r="BK5" s="145">
        <f>Index!BK5</f>
        <v>47879</v>
      </c>
      <c r="BL5" s="145">
        <f>Index!BL5</f>
        <v>47907</v>
      </c>
      <c r="BM5" s="145">
        <f>Index!BM5</f>
        <v>47938</v>
      </c>
      <c r="BN5" s="145">
        <f>Index!BN5</f>
        <v>47968</v>
      </c>
      <c r="BO5" s="145">
        <f>Index!BO5</f>
        <v>47999</v>
      </c>
      <c r="BP5" s="145">
        <f>Index!BP5</f>
        <v>48029</v>
      </c>
      <c r="BQ5" s="145">
        <f>Index!BQ5</f>
        <v>48060</v>
      </c>
      <c r="BR5" s="145">
        <f>Index!BR5</f>
        <v>48091</v>
      </c>
      <c r="BS5" s="145">
        <f>Index!BS5</f>
        <v>48121</v>
      </c>
      <c r="BT5" s="145">
        <f>Index!BT5</f>
        <v>48152</v>
      </c>
      <c r="BU5" s="145">
        <f>Index!BU5</f>
        <v>48182</v>
      </c>
      <c r="BV5" s="145">
        <f>Index!BV5</f>
        <v>48213</v>
      </c>
      <c r="BW5" s="145">
        <f>Index!BW5</f>
        <v>48244</v>
      </c>
      <c r="BX5" s="145">
        <f>Index!BX5</f>
        <v>48273</v>
      </c>
      <c r="BY5" s="145">
        <f>Index!BY5</f>
        <v>48304</v>
      </c>
      <c r="BZ5" s="145">
        <f>Index!BZ5</f>
        <v>48334</v>
      </c>
      <c r="CA5" s="145">
        <f>Index!CA5</f>
        <v>48365</v>
      </c>
      <c r="CB5" s="145">
        <f>Index!CB5</f>
        <v>48395</v>
      </c>
      <c r="CC5" s="145">
        <f>Index!CC5</f>
        <v>48426</v>
      </c>
      <c r="CD5" s="145">
        <f>Index!CD5</f>
        <v>48457</v>
      </c>
      <c r="CE5" s="145">
        <f>Index!CE5</f>
        <v>48487</v>
      </c>
      <c r="CF5" s="145">
        <f>Index!CF5</f>
        <v>48518</v>
      </c>
      <c r="CG5" s="145">
        <f>Index!CG5</f>
        <v>48548</v>
      </c>
      <c r="CH5" s="145">
        <f>Index!CH5</f>
        <v>48579</v>
      </c>
      <c r="CI5" s="145">
        <f>Index!CI5</f>
        <v>48610</v>
      </c>
      <c r="CJ5" s="145">
        <f>Index!CJ5</f>
        <v>48638</v>
      </c>
      <c r="CK5" s="145">
        <f>Index!CK5</f>
        <v>48669</v>
      </c>
      <c r="CL5" s="145">
        <f>Index!CL5</f>
        <v>48699</v>
      </c>
      <c r="CM5" s="145">
        <f>Index!CM5</f>
        <v>48730</v>
      </c>
      <c r="CN5" s="145">
        <f>Index!CN5</f>
        <v>48760</v>
      </c>
      <c r="CO5" s="145">
        <f>Index!CO5</f>
        <v>48791</v>
      </c>
      <c r="CP5" s="145">
        <f>Index!CP5</f>
        <v>48822</v>
      </c>
      <c r="CQ5" s="145">
        <f>Index!CQ5</f>
        <v>48852</v>
      </c>
      <c r="CR5" s="145">
        <f>Index!CR5</f>
        <v>48883</v>
      </c>
      <c r="CS5" s="145">
        <f>Index!CS5</f>
        <v>48913</v>
      </c>
      <c r="CT5" s="145">
        <f>Index!CT5</f>
        <v>48944</v>
      </c>
      <c r="CU5" s="145">
        <f>Index!CU5</f>
        <v>48975</v>
      </c>
      <c r="CV5" s="145">
        <f>Index!CV5</f>
        <v>49003</v>
      </c>
      <c r="CW5" s="145">
        <f>Index!CW5</f>
        <v>49034</v>
      </c>
      <c r="CX5" s="145">
        <f>Index!CX5</f>
        <v>49064</v>
      </c>
      <c r="CY5" s="145">
        <f>Index!CY5</f>
        <v>49095</v>
      </c>
      <c r="CZ5" s="145">
        <f>Index!CZ5</f>
        <v>49125</v>
      </c>
      <c r="DA5" s="145">
        <f>Index!DA5</f>
        <v>49156</v>
      </c>
      <c r="DB5" s="145">
        <f>Index!DB5</f>
        <v>49187</v>
      </c>
      <c r="DC5" s="145">
        <f>Index!DC5</f>
        <v>49217</v>
      </c>
      <c r="DD5" s="145">
        <f>Index!DD5</f>
        <v>49248</v>
      </c>
      <c r="DE5" s="145">
        <f>Index!DE5</f>
        <v>49278</v>
      </c>
      <c r="DF5" s="145">
        <f>Index!DF5</f>
        <v>49309</v>
      </c>
      <c r="DG5" s="145">
        <f>Index!DG5</f>
        <v>49340</v>
      </c>
      <c r="DH5" s="145">
        <f>Index!DH5</f>
        <v>49368</v>
      </c>
      <c r="DI5" s="145">
        <f>Index!DI5</f>
        <v>49399</v>
      </c>
      <c r="DJ5" s="145">
        <f>Index!DJ5</f>
        <v>49429</v>
      </c>
      <c r="DK5" s="145">
        <f>Index!DK5</f>
        <v>49460</v>
      </c>
      <c r="DL5" s="145">
        <f>Index!DL5</f>
        <v>49490</v>
      </c>
      <c r="DM5" s="145">
        <f>Index!DM5</f>
        <v>49521</v>
      </c>
      <c r="DN5" s="145">
        <f>Index!DN5</f>
        <v>49552</v>
      </c>
      <c r="DO5" s="145">
        <f>Index!DO5</f>
        <v>49582</v>
      </c>
      <c r="DP5" s="145">
        <f>Index!DP5</f>
        <v>49613</v>
      </c>
      <c r="DQ5" s="145">
        <f>Index!DQ5</f>
        <v>49643</v>
      </c>
      <c r="DR5" s="145">
        <f>Index!DR5</f>
        <v>49674</v>
      </c>
      <c r="DS5" s="145">
        <f>Index!DS5</f>
        <v>49705</v>
      </c>
      <c r="DT5" s="145">
        <f>Index!DT5</f>
        <v>49734</v>
      </c>
      <c r="DU5" s="145">
        <f>Index!DU5</f>
        <v>49765</v>
      </c>
      <c r="DV5" s="145">
        <f>Index!DV5</f>
        <v>49795</v>
      </c>
      <c r="DW5" s="145">
        <f>Index!DW5</f>
        <v>49826</v>
      </c>
      <c r="DX5" s="145">
        <f>Index!DX5</f>
        <v>49856</v>
      </c>
      <c r="DY5" s="145">
        <f>Index!DY5</f>
        <v>49887</v>
      </c>
      <c r="DZ5" s="145">
        <f>Index!DZ5</f>
        <v>49918</v>
      </c>
      <c r="EA5" s="145">
        <f>Index!EA5</f>
        <v>49948</v>
      </c>
      <c r="EB5" s="145">
        <f>Index!EB5</f>
        <v>49979</v>
      </c>
      <c r="EC5" s="145">
        <f>Index!EC5</f>
        <v>50009</v>
      </c>
      <c r="ED5" s="145">
        <f>Index!ED5</f>
        <v>50040</v>
      </c>
      <c r="EE5" s="145">
        <f>Index!EE5</f>
        <v>50071</v>
      </c>
      <c r="EF5" s="145">
        <f>Index!EF5</f>
        <v>50099</v>
      </c>
      <c r="EG5" s="145">
        <f>Index!EG5</f>
        <v>50130</v>
      </c>
      <c r="EH5" s="145">
        <f>Index!EH5</f>
        <v>50160</v>
      </c>
      <c r="EI5" s="145">
        <f>Index!EI5</f>
        <v>50191</v>
      </c>
      <c r="EJ5" s="145">
        <f>Index!EJ5</f>
        <v>50221</v>
      </c>
      <c r="EK5" s="145">
        <f>Index!EK5</f>
        <v>50252</v>
      </c>
      <c r="EL5" s="145">
        <f>Index!EL5</f>
        <v>50283</v>
      </c>
      <c r="EM5" s="145">
        <f>Index!EM5</f>
        <v>50313</v>
      </c>
      <c r="EN5" s="145">
        <f>Index!EN5</f>
        <v>50344</v>
      </c>
      <c r="EO5" s="145">
        <f>Index!EO5</f>
        <v>50374</v>
      </c>
      <c r="EP5" s="145">
        <f>Index!EP5</f>
        <v>50405</v>
      </c>
      <c r="EQ5" s="145">
        <f>Index!EQ5</f>
        <v>50436</v>
      </c>
      <c r="ER5" s="146"/>
      <c r="ES5" s="146"/>
      <c r="ET5" s="146"/>
      <c r="EU5" s="146"/>
    </row>
    <row r="6" spans="1:151" ht="11.25" customHeight="1">
      <c r="B6" s="189" t="s">
        <v>2</v>
      </c>
      <c r="C6" s="148"/>
      <c r="D6" s="148"/>
      <c r="E6" s="148"/>
      <c r="F6" s="148"/>
      <c r="G6" s="148"/>
      <c r="H6" s="209"/>
      <c r="I6" s="190"/>
      <c r="J6" s="148"/>
      <c r="L6" s="149">
        <f>Index!L6</f>
        <v>2026</v>
      </c>
      <c r="M6" s="149">
        <f>Index!M6</f>
        <v>2026</v>
      </c>
      <c r="N6" s="149">
        <f>Index!N6</f>
        <v>2026</v>
      </c>
      <c r="O6" s="149">
        <f>Index!O6</f>
        <v>2027</v>
      </c>
      <c r="P6" s="149">
        <f>Index!P6</f>
        <v>2027</v>
      </c>
      <c r="Q6" s="149">
        <f>Index!Q6</f>
        <v>2027</v>
      </c>
      <c r="R6" s="149">
        <f>Index!R6</f>
        <v>2027</v>
      </c>
      <c r="S6" s="149">
        <f>Index!S6</f>
        <v>2027</v>
      </c>
      <c r="T6" s="149">
        <f>Index!T6</f>
        <v>2027</v>
      </c>
      <c r="U6" s="149">
        <f>Index!U6</f>
        <v>2027</v>
      </c>
      <c r="V6" s="149">
        <f>Index!V6</f>
        <v>2027</v>
      </c>
      <c r="W6" s="149">
        <f>Index!W6</f>
        <v>2027</v>
      </c>
      <c r="X6" s="149">
        <f>Index!X6</f>
        <v>2027</v>
      </c>
      <c r="Y6" s="149">
        <f>Index!Y6</f>
        <v>2027</v>
      </c>
      <c r="Z6" s="149">
        <f>Index!Z6</f>
        <v>2027</v>
      </c>
      <c r="AA6" s="149">
        <f>Index!AA6</f>
        <v>2028</v>
      </c>
      <c r="AB6" s="149">
        <f>Index!AB6</f>
        <v>2028</v>
      </c>
      <c r="AC6" s="149">
        <f>Index!AC6</f>
        <v>2028</v>
      </c>
      <c r="AD6" s="149">
        <f>Index!AD6</f>
        <v>2028</v>
      </c>
      <c r="AE6" s="149">
        <f>Index!AE6</f>
        <v>2028</v>
      </c>
      <c r="AF6" s="149">
        <f>Index!AF6</f>
        <v>2028</v>
      </c>
      <c r="AG6" s="149">
        <f>Index!AG6</f>
        <v>2028</v>
      </c>
      <c r="AH6" s="149">
        <f>Index!AH6</f>
        <v>2028</v>
      </c>
      <c r="AI6" s="149">
        <f>Index!AI6</f>
        <v>2028</v>
      </c>
      <c r="AJ6" s="149">
        <f>Index!AJ6</f>
        <v>2028</v>
      </c>
      <c r="AK6" s="149">
        <f>Index!AK6</f>
        <v>2028</v>
      </c>
      <c r="AL6" s="149">
        <f>Index!AL6</f>
        <v>2028</v>
      </c>
      <c r="AM6" s="149">
        <f>Index!AM6</f>
        <v>2029</v>
      </c>
      <c r="AN6" s="149">
        <f>Index!AN6</f>
        <v>2029</v>
      </c>
      <c r="AO6" s="149">
        <f>Index!AO6</f>
        <v>2029</v>
      </c>
      <c r="AP6" s="149">
        <f>Index!AP6</f>
        <v>2029</v>
      </c>
      <c r="AQ6" s="149">
        <f>Index!AQ6</f>
        <v>2029</v>
      </c>
      <c r="AR6" s="149">
        <f>Index!AR6</f>
        <v>2029</v>
      </c>
      <c r="AS6" s="149">
        <f>Index!AS6</f>
        <v>2029</v>
      </c>
      <c r="AT6" s="149">
        <f>Index!AT6</f>
        <v>2029</v>
      </c>
      <c r="AU6" s="149">
        <f>Index!AU6</f>
        <v>2029</v>
      </c>
      <c r="AV6" s="149">
        <f>Index!AV6</f>
        <v>2029</v>
      </c>
      <c r="AW6" s="149">
        <f>Index!AW6</f>
        <v>2029</v>
      </c>
      <c r="AX6" s="149">
        <f>Index!AX6</f>
        <v>2029</v>
      </c>
      <c r="AY6" s="149">
        <f>Index!AY6</f>
        <v>2030</v>
      </c>
      <c r="AZ6" s="149">
        <f>Index!AZ6</f>
        <v>2030</v>
      </c>
      <c r="BA6" s="149">
        <f>Index!BA6</f>
        <v>2030</v>
      </c>
      <c r="BB6" s="149">
        <f>Index!BB6</f>
        <v>2030</v>
      </c>
      <c r="BC6" s="149">
        <f>Index!BC6</f>
        <v>2030</v>
      </c>
      <c r="BD6" s="149">
        <f>Index!BD6</f>
        <v>2030</v>
      </c>
      <c r="BE6" s="149">
        <f>Index!BE6</f>
        <v>2030</v>
      </c>
      <c r="BF6" s="149">
        <f>Index!BF6</f>
        <v>2030</v>
      </c>
      <c r="BG6" s="149">
        <f>Index!BG6</f>
        <v>2030</v>
      </c>
      <c r="BH6" s="149">
        <f>Index!BH6</f>
        <v>2030</v>
      </c>
      <c r="BI6" s="149">
        <f>Index!BI6</f>
        <v>2030</v>
      </c>
      <c r="BJ6" s="149">
        <f>Index!BJ6</f>
        <v>2030</v>
      </c>
      <c r="BK6" s="149">
        <f>Index!BK6</f>
        <v>2031</v>
      </c>
      <c r="BL6" s="149">
        <f>Index!BL6</f>
        <v>2031</v>
      </c>
      <c r="BM6" s="149">
        <f>Index!BM6</f>
        <v>2031</v>
      </c>
      <c r="BN6" s="149">
        <f>Index!BN6</f>
        <v>2031</v>
      </c>
      <c r="BO6" s="149">
        <f>Index!BO6</f>
        <v>2031</v>
      </c>
      <c r="BP6" s="149">
        <f>Index!BP6</f>
        <v>2031</v>
      </c>
      <c r="BQ6" s="149">
        <f>Index!BQ6</f>
        <v>2031</v>
      </c>
      <c r="BR6" s="149">
        <f>Index!BR6</f>
        <v>2031</v>
      </c>
      <c r="BS6" s="149">
        <f>Index!BS6</f>
        <v>2031</v>
      </c>
      <c r="BT6" s="149">
        <f>Index!BT6</f>
        <v>2031</v>
      </c>
      <c r="BU6" s="149">
        <f>Index!BU6</f>
        <v>2031</v>
      </c>
      <c r="BV6" s="149">
        <f>Index!BV6</f>
        <v>2031</v>
      </c>
      <c r="BW6" s="149">
        <f>Index!BW6</f>
        <v>2032</v>
      </c>
      <c r="BX6" s="149">
        <f>Index!BX6</f>
        <v>2032</v>
      </c>
      <c r="BY6" s="149">
        <f>Index!BY6</f>
        <v>2032</v>
      </c>
      <c r="BZ6" s="149">
        <f>Index!BZ6</f>
        <v>2032</v>
      </c>
      <c r="CA6" s="149">
        <f>Index!CA6</f>
        <v>2032</v>
      </c>
      <c r="CB6" s="149">
        <f>Index!CB6</f>
        <v>2032</v>
      </c>
      <c r="CC6" s="149">
        <f>Index!CC6</f>
        <v>2032</v>
      </c>
      <c r="CD6" s="149">
        <f>Index!CD6</f>
        <v>2032</v>
      </c>
      <c r="CE6" s="149">
        <f>Index!CE6</f>
        <v>2032</v>
      </c>
      <c r="CF6" s="149">
        <f>Index!CF6</f>
        <v>2032</v>
      </c>
      <c r="CG6" s="149">
        <f>Index!CG6</f>
        <v>2032</v>
      </c>
      <c r="CH6" s="149">
        <f>Index!CH6</f>
        <v>2032</v>
      </c>
      <c r="CI6" s="149">
        <f>Index!CI6</f>
        <v>2033</v>
      </c>
      <c r="CJ6" s="149">
        <f>Index!CJ6</f>
        <v>2033</v>
      </c>
      <c r="CK6" s="149">
        <f>Index!CK6</f>
        <v>2033</v>
      </c>
      <c r="CL6" s="149">
        <f>Index!CL6</f>
        <v>2033</v>
      </c>
      <c r="CM6" s="149">
        <f>Index!CM6</f>
        <v>2033</v>
      </c>
      <c r="CN6" s="149">
        <f>Index!CN6</f>
        <v>2033</v>
      </c>
      <c r="CO6" s="149">
        <f>Index!CO6</f>
        <v>2033</v>
      </c>
      <c r="CP6" s="149">
        <f>Index!CP6</f>
        <v>2033</v>
      </c>
      <c r="CQ6" s="149">
        <f>Index!CQ6</f>
        <v>2033</v>
      </c>
      <c r="CR6" s="149">
        <f>Index!CR6</f>
        <v>2033</v>
      </c>
      <c r="CS6" s="149">
        <f>Index!CS6</f>
        <v>2033</v>
      </c>
      <c r="CT6" s="149">
        <f>Index!CT6</f>
        <v>2033</v>
      </c>
      <c r="CU6" s="149">
        <f>Index!CU6</f>
        <v>2034</v>
      </c>
      <c r="CV6" s="149">
        <f>Index!CV6</f>
        <v>2034</v>
      </c>
      <c r="CW6" s="149">
        <f>Index!CW6</f>
        <v>2034</v>
      </c>
      <c r="CX6" s="149">
        <f>Index!CX6</f>
        <v>2034</v>
      </c>
      <c r="CY6" s="149">
        <f>Index!CY6</f>
        <v>2034</v>
      </c>
      <c r="CZ6" s="149">
        <f>Index!CZ6</f>
        <v>2034</v>
      </c>
      <c r="DA6" s="149">
        <f>Index!DA6</f>
        <v>2034</v>
      </c>
      <c r="DB6" s="149">
        <f>Index!DB6</f>
        <v>2034</v>
      </c>
      <c r="DC6" s="149">
        <f>Index!DC6</f>
        <v>2034</v>
      </c>
      <c r="DD6" s="149">
        <f>Index!DD6</f>
        <v>2034</v>
      </c>
      <c r="DE6" s="149">
        <f>Index!DE6</f>
        <v>2034</v>
      </c>
      <c r="DF6" s="149">
        <f>Index!DF6</f>
        <v>2034</v>
      </c>
      <c r="DG6" s="149">
        <f>Index!DG6</f>
        <v>2035</v>
      </c>
      <c r="DH6" s="149">
        <f>Index!DH6</f>
        <v>2035</v>
      </c>
      <c r="DI6" s="149">
        <f>Index!DI6</f>
        <v>2035</v>
      </c>
      <c r="DJ6" s="149">
        <f>Index!DJ6</f>
        <v>2035</v>
      </c>
      <c r="DK6" s="149">
        <f>Index!DK6</f>
        <v>2035</v>
      </c>
      <c r="DL6" s="149">
        <f>Index!DL6</f>
        <v>2035</v>
      </c>
      <c r="DM6" s="149">
        <f>Index!DM6</f>
        <v>2035</v>
      </c>
      <c r="DN6" s="149">
        <f>Index!DN6</f>
        <v>2035</v>
      </c>
      <c r="DO6" s="149">
        <f>Index!DO6</f>
        <v>2035</v>
      </c>
      <c r="DP6" s="149">
        <f>Index!DP6</f>
        <v>2035</v>
      </c>
      <c r="DQ6" s="149">
        <f>Index!DQ6</f>
        <v>2035</v>
      </c>
      <c r="DR6" s="149">
        <f>Index!DR6</f>
        <v>2035</v>
      </c>
      <c r="DS6" s="149">
        <f>Index!DS6</f>
        <v>2036</v>
      </c>
      <c r="DT6" s="149">
        <f>Index!DT6</f>
        <v>2036</v>
      </c>
      <c r="DU6" s="149">
        <f>Index!DU6</f>
        <v>2036</v>
      </c>
      <c r="DV6" s="149">
        <f>Index!DV6</f>
        <v>2036</v>
      </c>
      <c r="DW6" s="149">
        <f>Index!DW6</f>
        <v>2036</v>
      </c>
      <c r="DX6" s="149">
        <f>Index!DX6</f>
        <v>2036</v>
      </c>
      <c r="DY6" s="149">
        <f>Index!DY6</f>
        <v>2036</v>
      </c>
      <c r="DZ6" s="149">
        <f>Index!DZ6</f>
        <v>2036</v>
      </c>
      <c r="EA6" s="149">
        <f>Index!EA6</f>
        <v>2036</v>
      </c>
      <c r="EB6" s="149">
        <f>Index!EB6</f>
        <v>2036</v>
      </c>
      <c r="EC6" s="149">
        <f>Index!EC6</f>
        <v>2036</v>
      </c>
      <c r="ED6" s="149">
        <f>Index!ED6</f>
        <v>2036</v>
      </c>
      <c r="EE6" s="149">
        <f>Index!EE6</f>
        <v>2037</v>
      </c>
      <c r="EF6" s="149">
        <f>Index!EF6</f>
        <v>2037</v>
      </c>
      <c r="EG6" s="149">
        <f>Index!EG6</f>
        <v>2037</v>
      </c>
      <c r="EH6" s="149">
        <f>Index!EH6</f>
        <v>2037</v>
      </c>
      <c r="EI6" s="149">
        <f>Index!EI6</f>
        <v>2037</v>
      </c>
      <c r="EJ6" s="149">
        <f>Index!EJ6</f>
        <v>2037</v>
      </c>
      <c r="EK6" s="149">
        <f>Index!EK6</f>
        <v>2037</v>
      </c>
      <c r="EL6" s="149">
        <f>Index!EL6</f>
        <v>2037</v>
      </c>
      <c r="EM6" s="149">
        <f>Index!EM6</f>
        <v>2037</v>
      </c>
      <c r="EN6" s="149">
        <f>Index!EN6</f>
        <v>2037</v>
      </c>
      <c r="EO6" s="149">
        <f>Index!EO6</f>
        <v>2037</v>
      </c>
      <c r="EP6" s="149">
        <f>Index!EP6</f>
        <v>2037</v>
      </c>
      <c r="EQ6" s="149">
        <f>Index!EQ6</f>
        <v>2038</v>
      </c>
      <c r="ER6" s="146"/>
      <c r="ES6" s="146"/>
      <c r="ET6" s="146"/>
      <c r="EU6" s="146"/>
    </row>
    <row r="7" spans="1:151" ht="11.25" customHeight="1">
      <c r="B7" s="189" t="s">
        <v>3</v>
      </c>
      <c r="C7" s="148"/>
      <c r="D7" s="148"/>
      <c r="E7" s="148"/>
      <c r="F7" s="148"/>
      <c r="G7" s="148"/>
      <c r="H7" s="209"/>
      <c r="I7" s="190"/>
      <c r="J7" s="148"/>
      <c r="L7" s="149">
        <f>Index!L7</f>
        <v>10</v>
      </c>
      <c r="M7" s="149">
        <f>Index!M7</f>
        <v>11</v>
      </c>
      <c r="N7" s="149">
        <f>Index!N7</f>
        <v>12</v>
      </c>
      <c r="O7" s="149">
        <f>Index!O7</f>
        <v>1</v>
      </c>
      <c r="P7" s="149">
        <f>Index!P7</f>
        <v>2</v>
      </c>
      <c r="Q7" s="149">
        <f>Index!Q7</f>
        <v>3</v>
      </c>
      <c r="R7" s="149">
        <f>Index!R7</f>
        <v>4</v>
      </c>
      <c r="S7" s="149">
        <f>Index!S7</f>
        <v>5</v>
      </c>
      <c r="T7" s="149">
        <f>Index!T7</f>
        <v>6</v>
      </c>
      <c r="U7" s="149">
        <f>Index!U7</f>
        <v>7</v>
      </c>
      <c r="V7" s="149">
        <f>Index!V7</f>
        <v>8</v>
      </c>
      <c r="W7" s="149">
        <f>Index!W7</f>
        <v>9</v>
      </c>
      <c r="X7" s="149">
        <f>Index!X7</f>
        <v>10</v>
      </c>
      <c r="Y7" s="149">
        <f>Index!Y7</f>
        <v>11</v>
      </c>
      <c r="Z7" s="149">
        <f>Index!Z7</f>
        <v>12</v>
      </c>
      <c r="AA7" s="149">
        <f>Index!AA7</f>
        <v>1</v>
      </c>
      <c r="AB7" s="149">
        <f>Index!AB7</f>
        <v>2</v>
      </c>
      <c r="AC7" s="149">
        <f>Index!AC7</f>
        <v>3</v>
      </c>
      <c r="AD7" s="149">
        <f>Index!AD7</f>
        <v>4</v>
      </c>
      <c r="AE7" s="149">
        <f>Index!AE7</f>
        <v>5</v>
      </c>
      <c r="AF7" s="149">
        <f>Index!AF7</f>
        <v>6</v>
      </c>
      <c r="AG7" s="149">
        <f>Index!AG7</f>
        <v>7</v>
      </c>
      <c r="AH7" s="149">
        <f>Index!AH7</f>
        <v>8</v>
      </c>
      <c r="AI7" s="149">
        <f>Index!AI7</f>
        <v>9</v>
      </c>
      <c r="AJ7" s="149">
        <f>Index!AJ7</f>
        <v>10</v>
      </c>
      <c r="AK7" s="149">
        <f>Index!AK7</f>
        <v>11</v>
      </c>
      <c r="AL7" s="149">
        <f>Index!AL7</f>
        <v>12</v>
      </c>
      <c r="AM7" s="149">
        <f>Index!AM7</f>
        <v>1</v>
      </c>
      <c r="AN7" s="149">
        <f>Index!AN7</f>
        <v>2</v>
      </c>
      <c r="AO7" s="149">
        <f>Index!AO7</f>
        <v>3</v>
      </c>
      <c r="AP7" s="149">
        <f>Index!AP7</f>
        <v>4</v>
      </c>
      <c r="AQ7" s="149">
        <f>Index!AQ7</f>
        <v>5</v>
      </c>
      <c r="AR7" s="149">
        <f>Index!AR7</f>
        <v>6</v>
      </c>
      <c r="AS7" s="149">
        <f>Index!AS7</f>
        <v>7</v>
      </c>
      <c r="AT7" s="149">
        <f>Index!AT7</f>
        <v>8</v>
      </c>
      <c r="AU7" s="149">
        <f>Index!AU7</f>
        <v>9</v>
      </c>
      <c r="AV7" s="149">
        <f>Index!AV7</f>
        <v>10</v>
      </c>
      <c r="AW7" s="149">
        <f>Index!AW7</f>
        <v>11</v>
      </c>
      <c r="AX7" s="149">
        <f>Index!AX7</f>
        <v>12</v>
      </c>
      <c r="AY7" s="149">
        <f>Index!AY7</f>
        <v>1</v>
      </c>
      <c r="AZ7" s="149">
        <f>Index!AZ7</f>
        <v>2</v>
      </c>
      <c r="BA7" s="149">
        <f>Index!BA7</f>
        <v>3</v>
      </c>
      <c r="BB7" s="149">
        <f>Index!BB7</f>
        <v>4</v>
      </c>
      <c r="BC7" s="149">
        <f>Index!BC7</f>
        <v>5</v>
      </c>
      <c r="BD7" s="149">
        <f>Index!BD7</f>
        <v>6</v>
      </c>
      <c r="BE7" s="149">
        <f>Index!BE7</f>
        <v>7</v>
      </c>
      <c r="BF7" s="149">
        <f>Index!BF7</f>
        <v>8</v>
      </c>
      <c r="BG7" s="149">
        <f>Index!BG7</f>
        <v>9</v>
      </c>
      <c r="BH7" s="149">
        <f>Index!BH7</f>
        <v>10</v>
      </c>
      <c r="BI7" s="149">
        <f>Index!BI7</f>
        <v>11</v>
      </c>
      <c r="BJ7" s="149">
        <f>Index!BJ7</f>
        <v>12</v>
      </c>
      <c r="BK7" s="149">
        <f>Index!BK7</f>
        <v>1</v>
      </c>
      <c r="BL7" s="149">
        <f>Index!BL7</f>
        <v>2</v>
      </c>
      <c r="BM7" s="149">
        <f>Index!BM7</f>
        <v>3</v>
      </c>
      <c r="BN7" s="149">
        <f>Index!BN7</f>
        <v>4</v>
      </c>
      <c r="BO7" s="149">
        <f>Index!BO7</f>
        <v>5</v>
      </c>
      <c r="BP7" s="149">
        <f>Index!BP7</f>
        <v>6</v>
      </c>
      <c r="BQ7" s="149">
        <f>Index!BQ7</f>
        <v>7</v>
      </c>
      <c r="BR7" s="149">
        <f>Index!BR7</f>
        <v>8</v>
      </c>
      <c r="BS7" s="149">
        <f>Index!BS7</f>
        <v>9</v>
      </c>
      <c r="BT7" s="149">
        <f>Index!BT7</f>
        <v>10</v>
      </c>
      <c r="BU7" s="149">
        <f>Index!BU7</f>
        <v>11</v>
      </c>
      <c r="BV7" s="149">
        <f>Index!BV7</f>
        <v>12</v>
      </c>
      <c r="BW7" s="149">
        <f>Index!BW7</f>
        <v>1</v>
      </c>
      <c r="BX7" s="149">
        <f>Index!BX7</f>
        <v>2</v>
      </c>
      <c r="BY7" s="149">
        <f>Index!BY7</f>
        <v>3</v>
      </c>
      <c r="BZ7" s="149">
        <f>Index!BZ7</f>
        <v>4</v>
      </c>
      <c r="CA7" s="149">
        <f>Index!CA7</f>
        <v>5</v>
      </c>
      <c r="CB7" s="149">
        <f>Index!CB7</f>
        <v>6</v>
      </c>
      <c r="CC7" s="149">
        <f>Index!CC7</f>
        <v>7</v>
      </c>
      <c r="CD7" s="149">
        <f>Index!CD7</f>
        <v>8</v>
      </c>
      <c r="CE7" s="149">
        <f>Index!CE7</f>
        <v>9</v>
      </c>
      <c r="CF7" s="149">
        <f>Index!CF7</f>
        <v>10</v>
      </c>
      <c r="CG7" s="149">
        <f>Index!CG7</f>
        <v>11</v>
      </c>
      <c r="CH7" s="149">
        <f>Index!CH7</f>
        <v>12</v>
      </c>
      <c r="CI7" s="149">
        <f>Index!CI7</f>
        <v>1</v>
      </c>
      <c r="CJ7" s="149">
        <f>Index!CJ7</f>
        <v>2</v>
      </c>
      <c r="CK7" s="149">
        <f>Index!CK7</f>
        <v>3</v>
      </c>
      <c r="CL7" s="149">
        <f>Index!CL7</f>
        <v>4</v>
      </c>
      <c r="CM7" s="149">
        <f>Index!CM7</f>
        <v>5</v>
      </c>
      <c r="CN7" s="149">
        <f>Index!CN7</f>
        <v>6</v>
      </c>
      <c r="CO7" s="149">
        <f>Index!CO7</f>
        <v>7</v>
      </c>
      <c r="CP7" s="149">
        <f>Index!CP7</f>
        <v>8</v>
      </c>
      <c r="CQ7" s="149">
        <f>Index!CQ7</f>
        <v>9</v>
      </c>
      <c r="CR7" s="149">
        <f>Index!CR7</f>
        <v>10</v>
      </c>
      <c r="CS7" s="149">
        <f>Index!CS7</f>
        <v>11</v>
      </c>
      <c r="CT7" s="149">
        <f>Index!CT7</f>
        <v>12</v>
      </c>
      <c r="CU7" s="149">
        <f>Index!CU7</f>
        <v>1</v>
      </c>
      <c r="CV7" s="149">
        <f>Index!CV7</f>
        <v>2</v>
      </c>
      <c r="CW7" s="149">
        <f>Index!CW7</f>
        <v>3</v>
      </c>
      <c r="CX7" s="149">
        <f>Index!CX7</f>
        <v>4</v>
      </c>
      <c r="CY7" s="149">
        <f>Index!CY7</f>
        <v>5</v>
      </c>
      <c r="CZ7" s="149">
        <f>Index!CZ7</f>
        <v>6</v>
      </c>
      <c r="DA7" s="149">
        <f>Index!DA7</f>
        <v>7</v>
      </c>
      <c r="DB7" s="149">
        <f>Index!DB7</f>
        <v>8</v>
      </c>
      <c r="DC7" s="149">
        <f>Index!DC7</f>
        <v>9</v>
      </c>
      <c r="DD7" s="149">
        <f>Index!DD7</f>
        <v>10</v>
      </c>
      <c r="DE7" s="149">
        <f>Index!DE7</f>
        <v>11</v>
      </c>
      <c r="DF7" s="149">
        <f>Index!DF7</f>
        <v>12</v>
      </c>
      <c r="DG7" s="149">
        <f>Index!DG7</f>
        <v>1</v>
      </c>
      <c r="DH7" s="149">
        <f>Index!DH7</f>
        <v>2</v>
      </c>
      <c r="DI7" s="149">
        <f>Index!DI7</f>
        <v>3</v>
      </c>
      <c r="DJ7" s="149">
        <f>Index!DJ7</f>
        <v>4</v>
      </c>
      <c r="DK7" s="149">
        <f>Index!DK7</f>
        <v>5</v>
      </c>
      <c r="DL7" s="149">
        <f>Index!DL7</f>
        <v>6</v>
      </c>
      <c r="DM7" s="149">
        <f>Index!DM7</f>
        <v>7</v>
      </c>
      <c r="DN7" s="149">
        <f>Index!DN7</f>
        <v>8</v>
      </c>
      <c r="DO7" s="149">
        <f>Index!DO7</f>
        <v>9</v>
      </c>
      <c r="DP7" s="149">
        <f>Index!DP7</f>
        <v>10</v>
      </c>
      <c r="DQ7" s="149">
        <f>Index!DQ7</f>
        <v>11</v>
      </c>
      <c r="DR7" s="149">
        <f>Index!DR7</f>
        <v>12</v>
      </c>
      <c r="DS7" s="149">
        <f>Index!DS7</f>
        <v>1</v>
      </c>
      <c r="DT7" s="149">
        <f>Index!DT7</f>
        <v>2</v>
      </c>
      <c r="DU7" s="149">
        <f>Index!DU7</f>
        <v>3</v>
      </c>
      <c r="DV7" s="149">
        <f>Index!DV7</f>
        <v>4</v>
      </c>
      <c r="DW7" s="149">
        <f>Index!DW7</f>
        <v>5</v>
      </c>
      <c r="DX7" s="149">
        <f>Index!DX7</f>
        <v>6</v>
      </c>
      <c r="DY7" s="149">
        <f>Index!DY7</f>
        <v>7</v>
      </c>
      <c r="DZ7" s="149">
        <f>Index!DZ7</f>
        <v>8</v>
      </c>
      <c r="EA7" s="149">
        <f>Index!EA7</f>
        <v>9</v>
      </c>
      <c r="EB7" s="149">
        <f>Index!EB7</f>
        <v>10</v>
      </c>
      <c r="EC7" s="149">
        <f>Index!EC7</f>
        <v>11</v>
      </c>
      <c r="ED7" s="149">
        <f>Index!ED7</f>
        <v>12</v>
      </c>
      <c r="EE7" s="149">
        <f>Index!EE7</f>
        <v>1</v>
      </c>
      <c r="EF7" s="149">
        <f>Index!EF7</f>
        <v>2</v>
      </c>
      <c r="EG7" s="149">
        <f>Index!EG7</f>
        <v>3</v>
      </c>
      <c r="EH7" s="149">
        <f>Index!EH7</f>
        <v>4</v>
      </c>
      <c r="EI7" s="149">
        <f>Index!EI7</f>
        <v>5</v>
      </c>
      <c r="EJ7" s="149">
        <f>Index!EJ7</f>
        <v>6</v>
      </c>
      <c r="EK7" s="149">
        <f>Index!EK7</f>
        <v>7</v>
      </c>
      <c r="EL7" s="149">
        <f>Index!EL7</f>
        <v>8</v>
      </c>
      <c r="EM7" s="149">
        <f>Index!EM7</f>
        <v>9</v>
      </c>
      <c r="EN7" s="149">
        <f>Index!EN7</f>
        <v>10</v>
      </c>
      <c r="EO7" s="149">
        <f>Index!EO7</f>
        <v>11</v>
      </c>
      <c r="EP7" s="149">
        <f>Index!EP7</f>
        <v>12</v>
      </c>
      <c r="EQ7" s="149">
        <f>Index!EQ7</f>
        <v>1</v>
      </c>
      <c r="ER7" s="146"/>
      <c r="ES7" s="146"/>
      <c r="ET7" s="146"/>
      <c r="EU7" s="146"/>
    </row>
    <row r="8" spans="1:151" ht="11.25" customHeight="1">
      <c r="B8" s="189" t="s">
        <v>153</v>
      </c>
      <c r="C8" s="148"/>
      <c r="D8" s="148"/>
      <c r="E8" s="148"/>
      <c r="F8" s="148"/>
      <c r="G8" s="148"/>
      <c r="H8" s="209"/>
      <c r="I8" s="190"/>
      <c r="J8" s="148"/>
      <c r="L8" s="150">
        <f>Index!L8</f>
        <v>0</v>
      </c>
      <c r="M8" s="150">
        <f>Index!M8</f>
        <v>1</v>
      </c>
      <c r="N8" s="150">
        <f>Index!N8</f>
        <v>2</v>
      </c>
      <c r="O8" s="150">
        <f>Index!O8</f>
        <v>3</v>
      </c>
      <c r="P8" s="150">
        <f>Index!P8</f>
        <v>4</v>
      </c>
      <c r="Q8" s="150">
        <f>Index!Q8</f>
        <v>5</v>
      </c>
      <c r="R8" s="150">
        <f>Index!R8</f>
        <v>6</v>
      </c>
      <c r="S8" s="150">
        <f>Index!S8</f>
        <v>7</v>
      </c>
      <c r="T8" s="150">
        <f>Index!T8</f>
        <v>8</v>
      </c>
      <c r="U8" s="150">
        <f>Index!U8</f>
        <v>9</v>
      </c>
      <c r="V8" s="150">
        <f>Index!V8</f>
        <v>10</v>
      </c>
      <c r="W8" s="150">
        <f>Index!W8</f>
        <v>11</v>
      </c>
      <c r="X8" s="150">
        <f>Index!X8</f>
        <v>12</v>
      </c>
      <c r="Y8" s="150">
        <f>Index!Y8</f>
        <v>13</v>
      </c>
      <c r="Z8" s="150">
        <f>Index!Z8</f>
        <v>14</v>
      </c>
      <c r="AA8" s="150">
        <f>Index!AA8</f>
        <v>15</v>
      </c>
      <c r="AB8" s="150">
        <f>Index!AB8</f>
        <v>16</v>
      </c>
      <c r="AC8" s="150">
        <f>Index!AC8</f>
        <v>17</v>
      </c>
      <c r="AD8" s="150">
        <f>Index!AD8</f>
        <v>18</v>
      </c>
      <c r="AE8" s="150">
        <f>Index!AE8</f>
        <v>19</v>
      </c>
      <c r="AF8" s="150">
        <f>Index!AF8</f>
        <v>20</v>
      </c>
      <c r="AG8" s="150">
        <f>Index!AG8</f>
        <v>21</v>
      </c>
      <c r="AH8" s="150">
        <f>Index!AH8</f>
        <v>22</v>
      </c>
      <c r="AI8" s="150">
        <f>Index!AI8</f>
        <v>23</v>
      </c>
      <c r="AJ8" s="150">
        <f>Index!AJ8</f>
        <v>24</v>
      </c>
      <c r="AK8" s="150">
        <f>Index!AK8</f>
        <v>25</v>
      </c>
      <c r="AL8" s="150">
        <f>Index!AL8</f>
        <v>26</v>
      </c>
      <c r="AM8" s="150">
        <f>Index!AM8</f>
        <v>27</v>
      </c>
      <c r="AN8" s="150">
        <f>Index!AN8</f>
        <v>28</v>
      </c>
      <c r="AO8" s="150">
        <f>Index!AO8</f>
        <v>29</v>
      </c>
      <c r="AP8" s="150">
        <f>Index!AP8</f>
        <v>30</v>
      </c>
      <c r="AQ8" s="150">
        <f>Index!AQ8</f>
        <v>31</v>
      </c>
      <c r="AR8" s="150">
        <f>Index!AR8</f>
        <v>32</v>
      </c>
      <c r="AS8" s="150">
        <f>Index!AS8</f>
        <v>33</v>
      </c>
      <c r="AT8" s="150">
        <f>Index!AT8</f>
        <v>34</v>
      </c>
      <c r="AU8" s="150">
        <f>Index!AU8</f>
        <v>35</v>
      </c>
      <c r="AV8" s="150">
        <f>Index!AV8</f>
        <v>36</v>
      </c>
      <c r="AW8" s="150">
        <f>Index!AW8</f>
        <v>37</v>
      </c>
      <c r="AX8" s="150">
        <f>Index!AX8</f>
        <v>38</v>
      </c>
      <c r="AY8" s="150">
        <f>Index!AY8</f>
        <v>39</v>
      </c>
      <c r="AZ8" s="150">
        <f>Index!AZ8</f>
        <v>40</v>
      </c>
      <c r="BA8" s="150">
        <f>Index!BA8</f>
        <v>41</v>
      </c>
      <c r="BB8" s="150">
        <f>Index!BB8</f>
        <v>42</v>
      </c>
      <c r="BC8" s="150">
        <f>Index!BC8</f>
        <v>43</v>
      </c>
      <c r="BD8" s="150">
        <f>Index!BD8</f>
        <v>44</v>
      </c>
      <c r="BE8" s="150">
        <f>Index!BE8</f>
        <v>45</v>
      </c>
      <c r="BF8" s="150">
        <f>Index!BF8</f>
        <v>46</v>
      </c>
      <c r="BG8" s="150">
        <f>Index!BG8</f>
        <v>47</v>
      </c>
      <c r="BH8" s="150">
        <f>Index!BH8</f>
        <v>48</v>
      </c>
      <c r="BI8" s="150">
        <f>Index!BI8</f>
        <v>49</v>
      </c>
      <c r="BJ8" s="150">
        <f>Index!BJ8</f>
        <v>50</v>
      </c>
      <c r="BK8" s="150">
        <f>Index!BK8</f>
        <v>51</v>
      </c>
      <c r="BL8" s="150">
        <f>Index!BL8</f>
        <v>52</v>
      </c>
      <c r="BM8" s="150">
        <f>Index!BM8</f>
        <v>53</v>
      </c>
      <c r="BN8" s="150">
        <f>Index!BN8</f>
        <v>54</v>
      </c>
      <c r="BO8" s="150">
        <f>Index!BO8</f>
        <v>55</v>
      </c>
      <c r="BP8" s="150">
        <f>Index!BP8</f>
        <v>56</v>
      </c>
      <c r="BQ8" s="150">
        <f>Index!BQ8</f>
        <v>57</v>
      </c>
      <c r="BR8" s="150">
        <f>Index!BR8</f>
        <v>58</v>
      </c>
      <c r="BS8" s="150">
        <f>Index!BS8</f>
        <v>59</v>
      </c>
      <c r="BT8" s="150">
        <f>Index!BT8</f>
        <v>60</v>
      </c>
      <c r="BU8" s="150">
        <f>Index!BU8</f>
        <v>61</v>
      </c>
      <c r="BV8" s="150">
        <f>Index!BV8</f>
        <v>62</v>
      </c>
      <c r="BW8" s="150">
        <f>Index!BW8</f>
        <v>63</v>
      </c>
      <c r="BX8" s="150">
        <f>Index!BX8</f>
        <v>64</v>
      </c>
      <c r="BY8" s="150">
        <f>Index!BY8</f>
        <v>65</v>
      </c>
      <c r="BZ8" s="150">
        <f>Index!BZ8</f>
        <v>66</v>
      </c>
      <c r="CA8" s="150">
        <f>Index!CA8</f>
        <v>67</v>
      </c>
      <c r="CB8" s="150">
        <f>Index!CB8</f>
        <v>68</v>
      </c>
      <c r="CC8" s="150">
        <f>Index!CC8</f>
        <v>69</v>
      </c>
      <c r="CD8" s="150">
        <f>Index!CD8</f>
        <v>70</v>
      </c>
      <c r="CE8" s="150">
        <f>Index!CE8</f>
        <v>71</v>
      </c>
      <c r="CF8" s="150">
        <f>Index!CF8</f>
        <v>72</v>
      </c>
      <c r="CG8" s="150">
        <f>Index!CG8</f>
        <v>73</v>
      </c>
      <c r="CH8" s="150">
        <f>Index!CH8</f>
        <v>74</v>
      </c>
      <c r="CI8" s="150">
        <f>Index!CI8</f>
        <v>75</v>
      </c>
      <c r="CJ8" s="150">
        <f>Index!CJ8</f>
        <v>76</v>
      </c>
      <c r="CK8" s="150">
        <f>Index!CK8</f>
        <v>77</v>
      </c>
      <c r="CL8" s="150">
        <f>Index!CL8</f>
        <v>78</v>
      </c>
      <c r="CM8" s="150">
        <f>Index!CM8</f>
        <v>79</v>
      </c>
      <c r="CN8" s="150">
        <f>Index!CN8</f>
        <v>80</v>
      </c>
      <c r="CO8" s="150">
        <f>Index!CO8</f>
        <v>81</v>
      </c>
      <c r="CP8" s="150">
        <f>Index!CP8</f>
        <v>82</v>
      </c>
      <c r="CQ8" s="150">
        <f>Index!CQ8</f>
        <v>83</v>
      </c>
      <c r="CR8" s="150">
        <f>Index!CR8</f>
        <v>84</v>
      </c>
      <c r="CS8" s="150">
        <f>Index!CS8</f>
        <v>85</v>
      </c>
      <c r="CT8" s="150">
        <f>Index!CT8</f>
        <v>86</v>
      </c>
      <c r="CU8" s="150">
        <f>Index!CU8</f>
        <v>87</v>
      </c>
      <c r="CV8" s="150">
        <f>Index!CV8</f>
        <v>88</v>
      </c>
      <c r="CW8" s="150">
        <f>Index!CW8</f>
        <v>89</v>
      </c>
      <c r="CX8" s="150">
        <f>Index!CX8</f>
        <v>90</v>
      </c>
      <c r="CY8" s="150">
        <f>Index!CY8</f>
        <v>91</v>
      </c>
      <c r="CZ8" s="150">
        <f>Index!CZ8</f>
        <v>92</v>
      </c>
      <c r="DA8" s="150">
        <f>Index!DA8</f>
        <v>93</v>
      </c>
      <c r="DB8" s="150">
        <f>Index!DB8</f>
        <v>94</v>
      </c>
      <c r="DC8" s="150">
        <f>Index!DC8</f>
        <v>95</v>
      </c>
      <c r="DD8" s="150">
        <f>Index!DD8</f>
        <v>96</v>
      </c>
      <c r="DE8" s="150">
        <f>Index!DE8</f>
        <v>97</v>
      </c>
      <c r="DF8" s="150">
        <f>Index!DF8</f>
        <v>98</v>
      </c>
      <c r="DG8" s="150">
        <f>Index!DG8</f>
        <v>99</v>
      </c>
      <c r="DH8" s="150">
        <f>Index!DH8</f>
        <v>100</v>
      </c>
      <c r="DI8" s="150">
        <f>Index!DI8</f>
        <v>101</v>
      </c>
      <c r="DJ8" s="150">
        <f>Index!DJ8</f>
        <v>102</v>
      </c>
      <c r="DK8" s="150">
        <f>Index!DK8</f>
        <v>103</v>
      </c>
      <c r="DL8" s="150">
        <f>Index!DL8</f>
        <v>104</v>
      </c>
      <c r="DM8" s="150">
        <f>Index!DM8</f>
        <v>105</v>
      </c>
      <c r="DN8" s="150">
        <f>Index!DN8</f>
        <v>106</v>
      </c>
      <c r="DO8" s="150">
        <f>Index!DO8</f>
        <v>107</v>
      </c>
      <c r="DP8" s="150">
        <f>Index!DP8</f>
        <v>108</v>
      </c>
      <c r="DQ8" s="150">
        <f>Index!DQ8</f>
        <v>109</v>
      </c>
      <c r="DR8" s="150">
        <f>Index!DR8</f>
        <v>110</v>
      </c>
      <c r="DS8" s="150">
        <f>Index!DS8</f>
        <v>111</v>
      </c>
      <c r="DT8" s="150">
        <f>Index!DT8</f>
        <v>112</v>
      </c>
      <c r="DU8" s="150">
        <f>Index!DU8</f>
        <v>113</v>
      </c>
      <c r="DV8" s="150">
        <f>Index!DV8</f>
        <v>114</v>
      </c>
      <c r="DW8" s="150">
        <f>Index!DW8</f>
        <v>115</v>
      </c>
      <c r="DX8" s="150">
        <f>Index!DX8</f>
        <v>116</v>
      </c>
      <c r="DY8" s="150">
        <f>Index!DY8</f>
        <v>117</v>
      </c>
      <c r="DZ8" s="150">
        <f>Index!DZ8</f>
        <v>118</v>
      </c>
      <c r="EA8" s="150">
        <f>Index!EA8</f>
        <v>119</v>
      </c>
      <c r="EB8" s="150">
        <f>Index!EB8</f>
        <v>120</v>
      </c>
      <c r="EC8" s="150">
        <f>Index!EC8</f>
        <v>121</v>
      </c>
      <c r="ED8" s="150">
        <f>Index!ED8</f>
        <v>122</v>
      </c>
      <c r="EE8" s="150">
        <f>Index!EE8</f>
        <v>123</v>
      </c>
      <c r="EF8" s="150">
        <f>Index!EF8</f>
        <v>124</v>
      </c>
      <c r="EG8" s="150">
        <f>Index!EG8</f>
        <v>125</v>
      </c>
      <c r="EH8" s="150">
        <f>Index!EH8</f>
        <v>126</v>
      </c>
      <c r="EI8" s="150">
        <f>Index!EI8</f>
        <v>127</v>
      </c>
      <c r="EJ8" s="150">
        <f>Index!EJ8</f>
        <v>128</v>
      </c>
      <c r="EK8" s="150">
        <f>Index!EK8</f>
        <v>129</v>
      </c>
      <c r="EL8" s="150">
        <f>Index!EL8</f>
        <v>130</v>
      </c>
      <c r="EM8" s="150">
        <f>Index!EM8</f>
        <v>131</v>
      </c>
      <c r="EN8" s="150">
        <f>Index!EN8</f>
        <v>132</v>
      </c>
      <c r="EO8" s="150">
        <f>Index!EO8</f>
        <v>133</v>
      </c>
      <c r="EP8" s="150">
        <f>Index!EP8</f>
        <v>134</v>
      </c>
      <c r="EQ8" s="150">
        <f>Index!EQ8</f>
        <v>135</v>
      </c>
    </row>
    <row r="9" spans="1:151" ht="11.25" customHeight="1">
      <c r="B9" s="189" t="s">
        <v>154</v>
      </c>
      <c r="C9" s="148"/>
      <c r="D9" s="148"/>
      <c r="E9" s="148"/>
      <c r="F9" s="148"/>
      <c r="G9" s="148"/>
      <c r="H9" s="209"/>
      <c r="I9" s="190"/>
      <c r="J9" s="148"/>
      <c r="L9" s="151">
        <f>Index!L9</f>
        <v>0</v>
      </c>
      <c r="M9" s="151">
        <f>Index!M9</f>
        <v>1</v>
      </c>
      <c r="N9" s="151">
        <f>Index!N9</f>
        <v>1</v>
      </c>
      <c r="O9" s="151">
        <f>Index!O9</f>
        <v>1</v>
      </c>
      <c r="P9" s="151">
        <f>Index!P9</f>
        <v>2</v>
      </c>
      <c r="Q9" s="151">
        <f>Index!Q9</f>
        <v>2</v>
      </c>
      <c r="R9" s="151">
        <f>Index!R9</f>
        <v>2</v>
      </c>
      <c r="S9" s="151">
        <f>Index!S9</f>
        <v>3</v>
      </c>
      <c r="T9" s="151">
        <f>Index!T9</f>
        <v>3</v>
      </c>
      <c r="U9" s="151">
        <f>Index!U9</f>
        <v>3</v>
      </c>
      <c r="V9" s="151">
        <f>Index!V9</f>
        <v>4</v>
      </c>
      <c r="W9" s="151">
        <f>Index!W9</f>
        <v>4</v>
      </c>
      <c r="X9" s="151">
        <f>Index!X9</f>
        <v>4</v>
      </c>
      <c r="Y9" s="151">
        <f>Index!Y9</f>
        <v>5</v>
      </c>
      <c r="Z9" s="151">
        <f>Index!Z9</f>
        <v>5</v>
      </c>
      <c r="AA9" s="151">
        <f>Index!AA9</f>
        <v>5</v>
      </c>
      <c r="AB9" s="151">
        <f>Index!AB9</f>
        <v>6</v>
      </c>
      <c r="AC9" s="151">
        <f>Index!AC9</f>
        <v>6</v>
      </c>
      <c r="AD9" s="151">
        <f>Index!AD9</f>
        <v>6</v>
      </c>
      <c r="AE9" s="151">
        <f>Index!AE9</f>
        <v>7</v>
      </c>
      <c r="AF9" s="151">
        <f>Index!AF9</f>
        <v>7</v>
      </c>
      <c r="AG9" s="151">
        <f>Index!AG9</f>
        <v>7</v>
      </c>
      <c r="AH9" s="151">
        <f>Index!AH9</f>
        <v>8</v>
      </c>
      <c r="AI9" s="151">
        <f>Index!AI9</f>
        <v>8</v>
      </c>
      <c r="AJ9" s="151">
        <f>Index!AJ9</f>
        <v>8</v>
      </c>
      <c r="AK9" s="151">
        <f>Index!AK9</f>
        <v>9</v>
      </c>
      <c r="AL9" s="151">
        <f>Index!AL9</f>
        <v>9</v>
      </c>
      <c r="AM9" s="151">
        <f>Index!AM9</f>
        <v>9</v>
      </c>
      <c r="AN9" s="151">
        <f>Index!AN9</f>
        <v>10</v>
      </c>
      <c r="AO9" s="151">
        <f>Index!AO9</f>
        <v>10</v>
      </c>
      <c r="AP9" s="151">
        <f>Index!AP9</f>
        <v>10</v>
      </c>
      <c r="AQ9" s="151">
        <f>Index!AQ9</f>
        <v>11</v>
      </c>
      <c r="AR9" s="151">
        <f>Index!AR9</f>
        <v>11</v>
      </c>
      <c r="AS9" s="151">
        <f>Index!AS9</f>
        <v>11</v>
      </c>
      <c r="AT9" s="151">
        <f>Index!AT9</f>
        <v>12</v>
      </c>
      <c r="AU9" s="151">
        <f>Index!AU9</f>
        <v>12</v>
      </c>
      <c r="AV9" s="151">
        <f>Index!AV9</f>
        <v>12</v>
      </c>
      <c r="AW9" s="151">
        <f>Index!AW9</f>
        <v>13</v>
      </c>
      <c r="AX9" s="151">
        <f>Index!AX9</f>
        <v>13</v>
      </c>
      <c r="AY9" s="151">
        <f>Index!AY9</f>
        <v>13</v>
      </c>
      <c r="AZ9" s="151">
        <f>Index!AZ9</f>
        <v>14</v>
      </c>
      <c r="BA9" s="151">
        <f>Index!BA9</f>
        <v>14</v>
      </c>
      <c r="BB9" s="151">
        <f>Index!BB9</f>
        <v>14</v>
      </c>
      <c r="BC9" s="151">
        <f>Index!BC9</f>
        <v>15</v>
      </c>
      <c r="BD9" s="151">
        <f>Index!BD9</f>
        <v>15</v>
      </c>
      <c r="BE9" s="151">
        <f>Index!BE9</f>
        <v>15</v>
      </c>
      <c r="BF9" s="151">
        <f>Index!BF9</f>
        <v>16</v>
      </c>
      <c r="BG9" s="151">
        <f>Index!BG9</f>
        <v>16</v>
      </c>
      <c r="BH9" s="151">
        <f>Index!BH9</f>
        <v>16</v>
      </c>
      <c r="BI9" s="151">
        <f>Index!BI9</f>
        <v>17</v>
      </c>
      <c r="BJ9" s="151">
        <f>Index!BJ9</f>
        <v>17</v>
      </c>
      <c r="BK9" s="151">
        <f>Index!BK9</f>
        <v>17</v>
      </c>
      <c r="BL9" s="151">
        <f>Index!BL9</f>
        <v>18</v>
      </c>
      <c r="BM9" s="151">
        <f>Index!BM9</f>
        <v>18</v>
      </c>
      <c r="BN9" s="151">
        <f>Index!BN9</f>
        <v>18</v>
      </c>
      <c r="BO9" s="151">
        <f>Index!BO9</f>
        <v>19</v>
      </c>
      <c r="BP9" s="151">
        <f>Index!BP9</f>
        <v>19</v>
      </c>
      <c r="BQ9" s="151">
        <f>Index!BQ9</f>
        <v>19</v>
      </c>
      <c r="BR9" s="151">
        <f>Index!BR9</f>
        <v>20</v>
      </c>
      <c r="BS9" s="151">
        <f>Index!BS9</f>
        <v>20</v>
      </c>
      <c r="BT9" s="151">
        <f>Index!BT9</f>
        <v>20</v>
      </c>
      <c r="BU9" s="151">
        <f>Index!BU9</f>
        <v>21</v>
      </c>
      <c r="BV9" s="151">
        <f>Index!BV9</f>
        <v>21</v>
      </c>
      <c r="BW9" s="151">
        <f>Index!BW9</f>
        <v>21</v>
      </c>
      <c r="BX9" s="151">
        <f>Index!BX9</f>
        <v>22</v>
      </c>
      <c r="BY9" s="151">
        <f>Index!BY9</f>
        <v>22</v>
      </c>
      <c r="BZ9" s="151">
        <f>Index!BZ9</f>
        <v>22</v>
      </c>
      <c r="CA9" s="151">
        <f>Index!CA9</f>
        <v>23</v>
      </c>
      <c r="CB9" s="151">
        <f>Index!CB9</f>
        <v>23</v>
      </c>
      <c r="CC9" s="151">
        <f>Index!CC9</f>
        <v>23</v>
      </c>
      <c r="CD9" s="151">
        <f>Index!CD9</f>
        <v>24</v>
      </c>
      <c r="CE9" s="151">
        <f>Index!CE9</f>
        <v>24</v>
      </c>
      <c r="CF9" s="151">
        <f>Index!CF9</f>
        <v>24</v>
      </c>
      <c r="CG9" s="151">
        <f>Index!CG9</f>
        <v>25</v>
      </c>
      <c r="CH9" s="151">
        <f>Index!CH9</f>
        <v>25</v>
      </c>
      <c r="CI9" s="151">
        <f>Index!CI9</f>
        <v>25</v>
      </c>
      <c r="CJ9" s="151">
        <f>Index!CJ9</f>
        <v>26</v>
      </c>
      <c r="CK9" s="151">
        <f>Index!CK9</f>
        <v>26</v>
      </c>
      <c r="CL9" s="151">
        <f>Index!CL9</f>
        <v>26</v>
      </c>
      <c r="CM9" s="151">
        <f>Index!CM9</f>
        <v>27</v>
      </c>
      <c r="CN9" s="151">
        <f>Index!CN9</f>
        <v>27</v>
      </c>
      <c r="CO9" s="151">
        <f>Index!CO9</f>
        <v>27</v>
      </c>
      <c r="CP9" s="151">
        <f>Index!CP9</f>
        <v>28</v>
      </c>
      <c r="CQ9" s="151">
        <f>Index!CQ9</f>
        <v>28</v>
      </c>
      <c r="CR9" s="151">
        <f>Index!CR9</f>
        <v>28</v>
      </c>
      <c r="CS9" s="151">
        <f>Index!CS9</f>
        <v>29</v>
      </c>
      <c r="CT9" s="151">
        <f>Index!CT9</f>
        <v>29</v>
      </c>
      <c r="CU9" s="151">
        <f>Index!CU9</f>
        <v>29</v>
      </c>
      <c r="CV9" s="151">
        <f>Index!CV9</f>
        <v>30</v>
      </c>
      <c r="CW9" s="151">
        <f>Index!CW9</f>
        <v>30</v>
      </c>
      <c r="CX9" s="151">
        <f>Index!CX9</f>
        <v>30</v>
      </c>
      <c r="CY9" s="151">
        <f>Index!CY9</f>
        <v>31</v>
      </c>
      <c r="CZ9" s="151">
        <f>Index!CZ9</f>
        <v>31</v>
      </c>
      <c r="DA9" s="151">
        <f>Index!DA9</f>
        <v>31</v>
      </c>
      <c r="DB9" s="151">
        <f>Index!DB9</f>
        <v>32</v>
      </c>
      <c r="DC9" s="151">
        <f>Index!DC9</f>
        <v>32</v>
      </c>
      <c r="DD9" s="151">
        <f>Index!DD9</f>
        <v>32</v>
      </c>
      <c r="DE9" s="151">
        <f>Index!DE9</f>
        <v>33</v>
      </c>
      <c r="DF9" s="151">
        <f>Index!DF9</f>
        <v>33</v>
      </c>
      <c r="DG9" s="151">
        <f>Index!DG9</f>
        <v>33</v>
      </c>
      <c r="DH9" s="151">
        <f>Index!DH9</f>
        <v>34</v>
      </c>
      <c r="DI9" s="151">
        <f>Index!DI9</f>
        <v>34</v>
      </c>
      <c r="DJ9" s="151">
        <f>Index!DJ9</f>
        <v>34</v>
      </c>
      <c r="DK9" s="151">
        <f>Index!DK9</f>
        <v>35</v>
      </c>
      <c r="DL9" s="151">
        <f>Index!DL9</f>
        <v>35</v>
      </c>
      <c r="DM9" s="151">
        <f>Index!DM9</f>
        <v>35</v>
      </c>
      <c r="DN9" s="151">
        <f>Index!DN9</f>
        <v>36</v>
      </c>
      <c r="DO9" s="151">
        <f>Index!DO9</f>
        <v>36</v>
      </c>
      <c r="DP9" s="151">
        <f>Index!DP9</f>
        <v>36</v>
      </c>
      <c r="DQ9" s="151">
        <f>Index!DQ9</f>
        <v>37</v>
      </c>
      <c r="DR9" s="151">
        <f>Index!DR9</f>
        <v>37</v>
      </c>
      <c r="DS9" s="151">
        <f>Index!DS9</f>
        <v>37</v>
      </c>
      <c r="DT9" s="151">
        <f>Index!DT9</f>
        <v>38</v>
      </c>
      <c r="DU9" s="151">
        <f>Index!DU9</f>
        <v>38</v>
      </c>
      <c r="DV9" s="151">
        <f>Index!DV9</f>
        <v>38</v>
      </c>
      <c r="DW9" s="151">
        <f>Index!DW9</f>
        <v>39</v>
      </c>
      <c r="DX9" s="151">
        <f>Index!DX9</f>
        <v>39</v>
      </c>
      <c r="DY9" s="151">
        <f>Index!DY9</f>
        <v>39</v>
      </c>
      <c r="DZ9" s="151">
        <f>Index!DZ9</f>
        <v>40</v>
      </c>
      <c r="EA9" s="151">
        <f>Index!EA9</f>
        <v>40</v>
      </c>
      <c r="EB9" s="151">
        <f>Index!EB9</f>
        <v>40</v>
      </c>
      <c r="EC9" s="151">
        <f>Index!EC9</f>
        <v>41</v>
      </c>
      <c r="ED9" s="151">
        <f>Index!ED9</f>
        <v>41</v>
      </c>
      <c r="EE9" s="151">
        <f>Index!EE9</f>
        <v>41</v>
      </c>
      <c r="EF9" s="151">
        <f>Index!EF9</f>
        <v>42</v>
      </c>
      <c r="EG9" s="151">
        <f>Index!EG9</f>
        <v>42</v>
      </c>
      <c r="EH9" s="151">
        <f>Index!EH9</f>
        <v>42</v>
      </c>
      <c r="EI9" s="151">
        <f>Index!EI9</f>
        <v>43</v>
      </c>
      <c r="EJ9" s="151">
        <f>Index!EJ9</f>
        <v>43</v>
      </c>
      <c r="EK9" s="151">
        <f>Index!EK9</f>
        <v>43</v>
      </c>
      <c r="EL9" s="151">
        <f>Index!EL9</f>
        <v>44</v>
      </c>
      <c r="EM9" s="151">
        <f>Index!EM9</f>
        <v>44</v>
      </c>
      <c r="EN9" s="151">
        <f>Index!EN9</f>
        <v>44</v>
      </c>
      <c r="EO9" s="151">
        <f>Index!EO9</f>
        <v>45</v>
      </c>
      <c r="EP9" s="151">
        <f>Index!EP9</f>
        <v>45</v>
      </c>
      <c r="EQ9" s="151">
        <f>Index!EQ9</f>
        <v>45</v>
      </c>
    </row>
    <row r="10" spans="1:151" ht="11.25" customHeight="1">
      <c r="B10" s="189" t="s">
        <v>155</v>
      </c>
      <c r="C10" s="148"/>
      <c r="D10" s="148"/>
      <c r="E10" s="148"/>
      <c r="F10" s="148"/>
      <c r="G10" s="148"/>
      <c r="H10" s="209"/>
      <c r="I10" s="190"/>
      <c r="J10" s="148"/>
      <c r="L10" s="152">
        <f>Index!L10</f>
        <v>0</v>
      </c>
      <c r="M10" s="152">
        <f>Index!M10</f>
        <v>1</v>
      </c>
      <c r="N10" s="152">
        <f>Index!N10</f>
        <v>1</v>
      </c>
      <c r="O10" s="152">
        <f>Index!O10</f>
        <v>1</v>
      </c>
      <c r="P10" s="152">
        <f>Index!P10</f>
        <v>1</v>
      </c>
      <c r="Q10" s="152">
        <f>Index!Q10</f>
        <v>1</v>
      </c>
      <c r="R10" s="152">
        <f>Index!R10</f>
        <v>1</v>
      </c>
      <c r="S10" s="152">
        <f>Index!S10</f>
        <v>2</v>
      </c>
      <c r="T10" s="152">
        <f>Index!T10</f>
        <v>2</v>
      </c>
      <c r="U10" s="152">
        <f>Index!U10</f>
        <v>2</v>
      </c>
      <c r="V10" s="152">
        <f>Index!V10</f>
        <v>2</v>
      </c>
      <c r="W10" s="152">
        <f>Index!W10</f>
        <v>2</v>
      </c>
      <c r="X10" s="152">
        <f>Index!X10</f>
        <v>2</v>
      </c>
      <c r="Y10" s="152">
        <f>Index!Y10</f>
        <v>3</v>
      </c>
      <c r="Z10" s="152">
        <f>Index!Z10</f>
        <v>3</v>
      </c>
      <c r="AA10" s="152">
        <f>Index!AA10</f>
        <v>3</v>
      </c>
      <c r="AB10" s="152">
        <f>Index!AB10</f>
        <v>3</v>
      </c>
      <c r="AC10" s="152">
        <f>Index!AC10</f>
        <v>3</v>
      </c>
      <c r="AD10" s="152">
        <f>Index!AD10</f>
        <v>3</v>
      </c>
      <c r="AE10" s="152">
        <f>Index!AE10</f>
        <v>4</v>
      </c>
      <c r="AF10" s="152">
        <f>Index!AF10</f>
        <v>4</v>
      </c>
      <c r="AG10" s="152">
        <f>Index!AG10</f>
        <v>4</v>
      </c>
      <c r="AH10" s="152">
        <f>Index!AH10</f>
        <v>4</v>
      </c>
      <c r="AI10" s="152">
        <f>Index!AI10</f>
        <v>4</v>
      </c>
      <c r="AJ10" s="152">
        <f>Index!AJ10</f>
        <v>4</v>
      </c>
      <c r="AK10" s="152">
        <f>Index!AK10</f>
        <v>5</v>
      </c>
      <c r="AL10" s="152">
        <f>Index!AL10</f>
        <v>5</v>
      </c>
      <c r="AM10" s="152">
        <f>Index!AM10</f>
        <v>5</v>
      </c>
      <c r="AN10" s="152">
        <f>Index!AN10</f>
        <v>5</v>
      </c>
      <c r="AO10" s="152">
        <f>Index!AO10</f>
        <v>5</v>
      </c>
      <c r="AP10" s="152">
        <f>Index!AP10</f>
        <v>5</v>
      </c>
      <c r="AQ10" s="152">
        <f>Index!AQ10</f>
        <v>6</v>
      </c>
      <c r="AR10" s="152">
        <f>Index!AR10</f>
        <v>6</v>
      </c>
      <c r="AS10" s="152">
        <f>Index!AS10</f>
        <v>6</v>
      </c>
      <c r="AT10" s="152">
        <f>Index!AT10</f>
        <v>6</v>
      </c>
      <c r="AU10" s="152">
        <f>Index!AU10</f>
        <v>6</v>
      </c>
      <c r="AV10" s="152">
        <f>Index!AV10</f>
        <v>6</v>
      </c>
      <c r="AW10" s="152">
        <f>Index!AW10</f>
        <v>7</v>
      </c>
      <c r="AX10" s="152">
        <f>Index!AX10</f>
        <v>7</v>
      </c>
      <c r="AY10" s="152">
        <f>Index!AY10</f>
        <v>7</v>
      </c>
      <c r="AZ10" s="152">
        <f>Index!AZ10</f>
        <v>7</v>
      </c>
      <c r="BA10" s="152">
        <f>Index!BA10</f>
        <v>7</v>
      </c>
      <c r="BB10" s="152">
        <f>Index!BB10</f>
        <v>7</v>
      </c>
      <c r="BC10" s="152">
        <f>Index!BC10</f>
        <v>8</v>
      </c>
      <c r="BD10" s="152">
        <f>Index!BD10</f>
        <v>8</v>
      </c>
      <c r="BE10" s="152">
        <f>Index!BE10</f>
        <v>8</v>
      </c>
      <c r="BF10" s="152">
        <f>Index!BF10</f>
        <v>8</v>
      </c>
      <c r="BG10" s="152">
        <f>Index!BG10</f>
        <v>8</v>
      </c>
      <c r="BH10" s="152">
        <f>Index!BH10</f>
        <v>8</v>
      </c>
      <c r="BI10" s="152">
        <f>Index!BI10</f>
        <v>9</v>
      </c>
      <c r="BJ10" s="152">
        <f>Index!BJ10</f>
        <v>9</v>
      </c>
      <c r="BK10" s="152">
        <f>Index!BK10</f>
        <v>9</v>
      </c>
      <c r="BL10" s="152">
        <f>Index!BL10</f>
        <v>9</v>
      </c>
      <c r="BM10" s="152">
        <f>Index!BM10</f>
        <v>9</v>
      </c>
      <c r="BN10" s="152">
        <f>Index!BN10</f>
        <v>9</v>
      </c>
      <c r="BO10" s="152">
        <f>Index!BO10</f>
        <v>10</v>
      </c>
      <c r="BP10" s="152">
        <f>Index!BP10</f>
        <v>10</v>
      </c>
      <c r="BQ10" s="152">
        <f>Index!BQ10</f>
        <v>10</v>
      </c>
      <c r="BR10" s="152">
        <f>Index!BR10</f>
        <v>10</v>
      </c>
      <c r="BS10" s="152">
        <f>Index!BS10</f>
        <v>10</v>
      </c>
      <c r="BT10" s="152">
        <f>Index!BT10</f>
        <v>10</v>
      </c>
      <c r="BU10" s="152">
        <f>Index!BU10</f>
        <v>11</v>
      </c>
      <c r="BV10" s="152">
        <f>Index!BV10</f>
        <v>11</v>
      </c>
      <c r="BW10" s="152">
        <f>Index!BW10</f>
        <v>11</v>
      </c>
      <c r="BX10" s="152">
        <f>Index!BX10</f>
        <v>11</v>
      </c>
      <c r="BY10" s="152">
        <f>Index!BY10</f>
        <v>11</v>
      </c>
      <c r="BZ10" s="152">
        <f>Index!BZ10</f>
        <v>11</v>
      </c>
      <c r="CA10" s="152">
        <f>Index!CA10</f>
        <v>12</v>
      </c>
      <c r="CB10" s="152">
        <f>Index!CB10</f>
        <v>12</v>
      </c>
      <c r="CC10" s="152">
        <f>Index!CC10</f>
        <v>12</v>
      </c>
      <c r="CD10" s="152">
        <f>Index!CD10</f>
        <v>12</v>
      </c>
      <c r="CE10" s="152">
        <f>Index!CE10</f>
        <v>12</v>
      </c>
      <c r="CF10" s="152">
        <f>Index!CF10</f>
        <v>12</v>
      </c>
      <c r="CG10" s="152">
        <f>Index!CG10</f>
        <v>13</v>
      </c>
      <c r="CH10" s="152">
        <f>Index!CH10</f>
        <v>13</v>
      </c>
      <c r="CI10" s="152">
        <f>Index!CI10</f>
        <v>13</v>
      </c>
      <c r="CJ10" s="152">
        <f>Index!CJ10</f>
        <v>13</v>
      </c>
      <c r="CK10" s="152">
        <f>Index!CK10</f>
        <v>13</v>
      </c>
      <c r="CL10" s="152">
        <f>Index!CL10</f>
        <v>13</v>
      </c>
      <c r="CM10" s="152">
        <f>Index!CM10</f>
        <v>14</v>
      </c>
      <c r="CN10" s="152">
        <f>Index!CN10</f>
        <v>14</v>
      </c>
      <c r="CO10" s="152">
        <f>Index!CO10</f>
        <v>14</v>
      </c>
      <c r="CP10" s="152">
        <f>Index!CP10</f>
        <v>14</v>
      </c>
      <c r="CQ10" s="152">
        <f>Index!CQ10</f>
        <v>14</v>
      </c>
      <c r="CR10" s="152">
        <f>Index!CR10</f>
        <v>14</v>
      </c>
      <c r="CS10" s="152">
        <f>Index!CS10</f>
        <v>15</v>
      </c>
      <c r="CT10" s="152">
        <f>Index!CT10</f>
        <v>15</v>
      </c>
      <c r="CU10" s="152">
        <f>Index!CU10</f>
        <v>15</v>
      </c>
      <c r="CV10" s="152">
        <f>Index!CV10</f>
        <v>15</v>
      </c>
      <c r="CW10" s="152">
        <f>Index!CW10</f>
        <v>15</v>
      </c>
      <c r="CX10" s="152">
        <f>Index!CX10</f>
        <v>15</v>
      </c>
      <c r="CY10" s="152">
        <f>Index!CY10</f>
        <v>16</v>
      </c>
      <c r="CZ10" s="152">
        <f>Index!CZ10</f>
        <v>16</v>
      </c>
      <c r="DA10" s="152">
        <f>Index!DA10</f>
        <v>16</v>
      </c>
      <c r="DB10" s="152">
        <f>Index!DB10</f>
        <v>16</v>
      </c>
      <c r="DC10" s="152">
        <f>Index!DC10</f>
        <v>16</v>
      </c>
      <c r="DD10" s="152">
        <f>Index!DD10</f>
        <v>16</v>
      </c>
      <c r="DE10" s="152">
        <f>Index!DE10</f>
        <v>17</v>
      </c>
      <c r="DF10" s="152">
        <f>Index!DF10</f>
        <v>17</v>
      </c>
      <c r="DG10" s="152">
        <f>Index!DG10</f>
        <v>17</v>
      </c>
      <c r="DH10" s="152">
        <f>Index!DH10</f>
        <v>17</v>
      </c>
      <c r="DI10" s="152">
        <f>Index!DI10</f>
        <v>17</v>
      </c>
      <c r="DJ10" s="152">
        <f>Index!DJ10</f>
        <v>17</v>
      </c>
      <c r="DK10" s="152">
        <f>Index!DK10</f>
        <v>18</v>
      </c>
      <c r="DL10" s="152">
        <f>Index!DL10</f>
        <v>18</v>
      </c>
      <c r="DM10" s="152">
        <f>Index!DM10</f>
        <v>18</v>
      </c>
      <c r="DN10" s="152">
        <f>Index!DN10</f>
        <v>18</v>
      </c>
      <c r="DO10" s="152">
        <f>Index!DO10</f>
        <v>18</v>
      </c>
      <c r="DP10" s="152">
        <f>Index!DP10</f>
        <v>18</v>
      </c>
      <c r="DQ10" s="152">
        <f>Index!DQ10</f>
        <v>19</v>
      </c>
      <c r="DR10" s="152">
        <f>Index!DR10</f>
        <v>19</v>
      </c>
      <c r="DS10" s="152">
        <f>Index!DS10</f>
        <v>19</v>
      </c>
      <c r="DT10" s="152">
        <f>Index!DT10</f>
        <v>19</v>
      </c>
      <c r="DU10" s="152">
        <f>Index!DU10</f>
        <v>19</v>
      </c>
      <c r="DV10" s="152">
        <f>Index!DV10</f>
        <v>19</v>
      </c>
      <c r="DW10" s="152">
        <f>Index!DW10</f>
        <v>20</v>
      </c>
      <c r="DX10" s="152">
        <f>Index!DX10</f>
        <v>20</v>
      </c>
      <c r="DY10" s="152">
        <f>Index!DY10</f>
        <v>20</v>
      </c>
      <c r="DZ10" s="152">
        <f>Index!DZ10</f>
        <v>20</v>
      </c>
      <c r="EA10" s="152">
        <f>Index!EA10</f>
        <v>20</v>
      </c>
      <c r="EB10" s="152">
        <f>Index!EB10</f>
        <v>20</v>
      </c>
      <c r="EC10" s="152">
        <f>Index!EC10</f>
        <v>21</v>
      </c>
      <c r="ED10" s="152">
        <f>Index!ED10</f>
        <v>21</v>
      </c>
      <c r="EE10" s="152">
        <f>Index!EE10</f>
        <v>21</v>
      </c>
      <c r="EF10" s="152">
        <f>Index!EF10</f>
        <v>21</v>
      </c>
      <c r="EG10" s="152">
        <f>Index!EG10</f>
        <v>21</v>
      </c>
      <c r="EH10" s="152">
        <f>Index!EH10</f>
        <v>21</v>
      </c>
      <c r="EI10" s="152">
        <f>Index!EI10</f>
        <v>22</v>
      </c>
      <c r="EJ10" s="152">
        <f>Index!EJ10</f>
        <v>22</v>
      </c>
      <c r="EK10" s="152">
        <f>Index!EK10</f>
        <v>22</v>
      </c>
      <c r="EL10" s="152">
        <f>Index!EL10</f>
        <v>22</v>
      </c>
      <c r="EM10" s="152">
        <f>Index!EM10</f>
        <v>22</v>
      </c>
      <c r="EN10" s="152">
        <f>Index!EN10</f>
        <v>22</v>
      </c>
      <c r="EO10" s="152">
        <f>Index!EO10</f>
        <v>23</v>
      </c>
      <c r="EP10" s="152">
        <f>Index!EP10</f>
        <v>23</v>
      </c>
      <c r="EQ10" s="152">
        <f>Index!EQ10</f>
        <v>23</v>
      </c>
    </row>
    <row r="11" spans="1:151" ht="11.25" customHeight="1">
      <c r="B11" s="189" t="s">
        <v>156</v>
      </c>
      <c r="C11" s="148"/>
      <c r="D11" s="148"/>
      <c r="E11" s="148"/>
      <c r="F11" s="148"/>
      <c r="G11" s="148"/>
      <c r="H11" s="209"/>
      <c r="I11" s="190"/>
      <c r="J11" s="148"/>
      <c r="L11" s="153">
        <f>Index!L11</f>
        <v>0</v>
      </c>
      <c r="M11" s="153">
        <f>Index!M11</f>
        <v>1</v>
      </c>
      <c r="N11" s="153">
        <f>Index!N11</f>
        <v>1</v>
      </c>
      <c r="O11" s="153">
        <f>Index!O11</f>
        <v>1</v>
      </c>
      <c r="P11" s="153">
        <f>Index!P11</f>
        <v>1</v>
      </c>
      <c r="Q11" s="153">
        <f>Index!Q11</f>
        <v>1</v>
      </c>
      <c r="R11" s="153">
        <f>Index!R11</f>
        <v>1</v>
      </c>
      <c r="S11" s="153">
        <f>Index!S11</f>
        <v>1</v>
      </c>
      <c r="T11" s="153">
        <f>Index!T11</f>
        <v>1</v>
      </c>
      <c r="U11" s="153">
        <f>Index!U11</f>
        <v>1</v>
      </c>
      <c r="V11" s="153">
        <f>Index!V11</f>
        <v>1</v>
      </c>
      <c r="W11" s="153">
        <f>Index!W11</f>
        <v>1</v>
      </c>
      <c r="X11" s="153">
        <f>Index!X11</f>
        <v>1</v>
      </c>
      <c r="Y11" s="153">
        <f>Index!Y11</f>
        <v>2</v>
      </c>
      <c r="Z11" s="153">
        <f>Index!Z11</f>
        <v>2</v>
      </c>
      <c r="AA11" s="153">
        <f>Index!AA11</f>
        <v>2</v>
      </c>
      <c r="AB11" s="153">
        <f>Index!AB11</f>
        <v>2</v>
      </c>
      <c r="AC11" s="153">
        <f>Index!AC11</f>
        <v>2</v>
      </c>
      <c r="AD11" s="153">
        <f>Index!AD11</f>
        <v>2</v>
      </c>
      <c r="AE11" s="153">
        <f>Index!AE11</f>
        <v>2</v>
      </c>
      <c r="AF11" s="153">
        <f>Index!AF11</f>
        <v>2</v>
      </c>
      <c r="AG11" s="153">
        <f>Index!AG11</f>
        <v>2</v>
      </c>
      <c r="AH11" s="153">
        <f>Index!AH11</f>
        <v>2</v>
      </c>
      <c r="AI11" s="153">
        <f>Index!AI11</f>
        <v>2</v>
      </c>
      <c r="AJ11" s="153">
        <f>Index!AJ11</f>
        <v>2</v>
      </c>
      <c r="AK11" s="153">
        <f>Index!AK11</f>
        <v>3</v>
      </c>
      <c r="AL11" s="153">
        <f>Index!AL11</f>
        <v>3</v>
      </c>
      <c r="AM11" s="153">
        <f>Index!AM11</f>
        <v>3</v>
      </c>
      <c r="AN11" s="153">
        <f>Index!AN11</f>
        <v>3</v>
      </c>
      <c r="AO11" s="153">
        <f>Index!AO11</f>
        <v>3</v>
      </c>
      <c r="AP11" s="153">
        <f>Index!AP11</f>
        <v>3</v>
      </c>
      <c r="AQ11" s="153">
        <f>Index!AQ11</f>
        <v>3</v>
      </c>
      <c r="AR11" s="153">
        <f>Index!AR11</f>
        <v>3</v>
      </c>
      <c r="AS11" s="153">
        <f>Index!AS11</f>
        <v>3</v>
      </c>
      <c r="AT11" s="153">
        <f>Index!AT11</f>
        <v>3</v>
      </c>
      <c r="AU11" s="153">
        <f>Index!AU11</f>
        <v>3</v>
      </c>
      <c r="AV11" s="153">
        <f>Index!AV11</f>
        <v>3</v>
      </c>
      <c r="AW11" s="153">
        <f>Index!AW11</f>
        <v>4</v>
      </c>
      <c r="AX11" s="153">
        <f>Index!AX11</f>
        <v>4</v>
      </c>
      <c r="AY11" s="153">
        <f>Index!AY11</f>
        <v>4</v>
      </c>
      <c r="AZ11" s="153">
        <f>Index!AZ11</f>
        <v>4</v>
      </c>
      <c r="BA11" s="153">
        <f>Index!BA11</f>
        <v>4</v>
      </c>
      <c r="BB11" s="153">
        <f>Index!BB11</f>
        <v>4</v>
      </c>
      <c r="BC11" s="153">
        <f>Index!BC11</f>
        <v>4</v>
      </c>
      <c r="BD11" s="153">
        <f>Index!BD11</f>
        <v>4</v>
      </c>
      <c r="BE11" s="153">
        <f>Index!BE11</f>
        <v>4</v>
      </c>
      <c r="BF11" s="153">
        <f>Index!BF11</f>
        <v>4</v>
      </c>
      <c r="BG11" s="153">
        <f>Index!BG11</f>
        <v>4</v>
      </c>
      <c r="BH11" s="153">
        <f>Index!BH11</f>
        <v>4</v>
      </c>
      <c r="BI11" s="153">
        <f>Index!BI11</f>
        <v>5</v>
      </c>
      <c r="BJ11" s="153">
        <f>Index!BJ11</f>
        <v>5</v>
      </c>
      <c r="BK11" s="153">
        <f>Index!BK11</f>
        <v>5</v>
      </c>
      <c r="BL11" s="153">
        <f>Index!BL11</f>
        <v>5</v>
      </c>
      <c r="BM11" s="153">
        <f>Index!BM11</f>
        <v>5</v>
      </c>
      <c r="BN11" s="153">
        <f>Index!BN11</f>
        <v>5</v>
      </c>
      <c r="BO11" s="153">
        <f>Index!BO11</f>
        <v>5</v>
      </c>
      <c r="BP11" s="153">
        <f>Index!BP11</f>
        <v>5</v>
      </c>
      <c r="BQ11" s="153">
        <f>Index!BQ11</f>
        <v>5</v>
      </c>
      <c r="BR11" s="153">
        <f>Index!BR11</f>
        <v>5</v>
      </c>
      <c r="BS11" s="153">
        <f>Index!BS11</f>
        <v>5</v>
      </c>
      <c r="BT11" s="153">
        <f>Index!BT11</f>
        <v>5</v>
      </c>
      <c r="BU11" s="153">
        <f>Index!BU11</f>
        <v>6</v>
      </c>
      <c r="BV11" s="153">
        <f>Index!BV11</f>
        <v>6</v>
      </c>
      <c r="BW11" s="153">
        <f>Index!BW11</f>
        <v>6</v>
      </c>
      <c r="BX11" s="153">
        <f>Index!BX11</f>
        <v>6</v>
      </c>
      <c r="BY11" s="153">
        <f>Index!BY11</f>
        <v>6</v>
      </c>
      <c r="BZ11" s="153">
        <f>Index!BZ11</f>
        <v>6</v>
      </c>
      <c r="CA11" s="153">
        <f>Index!CA11</f>
        <v>6</v>
      </c>
      <c r="CB11" s="153">
        <f>Index!CB11</f>
        <v>6</v>
      </c>
      <c r="CC11" s="153">
        <f>Index!CC11</f>
        <v>6</v>
      </c>
      <c r="CD11" s="153">
        <f>Index!CD11</f>
        <v>6</v>
      </c>
      <c r="CE11" s="153">
        <f>Index!CE11</f>
        <v>6</v>
      </c>
      <c r="CF11" s="153">
        <f>Index!CF11</f>
        <v>6</v>
      </c>
      <c r="CG11" s="153">
        <f>Index!CG11</f>
        <v>7</v>
      </c>
      <c r="CH11" s="153">
        <f>Index!CH11</f>
        <v>7</v>
      </c>
      <c r="CI11" s="153">
        <f>Index!CI11</f>
        <v>7</v>
      </c>
      <c r="CJ11" s="153">
        <f>Index!CJ11</f>
        <v>7</v>
      </c>
      <c r="CK11" s="153">
        <f>Index!CK11</f>
        <v>7</v>
      </c>
      <c r="CL11" s="153">
        <f>Index!CL11</f>
        <v>7</v>
      </c>
      <c r="CM11" s="153">
        <f>Index!CM11</f>
        <v>7</v>
      </c>
      <c r="CN11" s="153">
        <f>Index!CN11</f>
        <v>7</v>
      </c>
      <c r="CO11" s="153">
        <f>Index!CO11</f>
        <v>7</v>
      </c>
      <c r="CP11" s="153">
        <f>Index!CP11</f>
        <v>7</v>
      </c>
      <c r="CQ11" s="153">
        <f>Index!CQ11</f>
        <v>7</v>
      </c>
      <c r="CR11" s="153">
        <f>Index!CR11</f>
        <v>7</v>
      </c>
      <c r="CS11" s="153">
        <f>Index!CS11</f>
        <v>8</v>
      </c>
      <c r="CT11" s="153">
        <f>Index!CT11</f>
        <v>8</v>
      </c>
      <c r="CU11" s="153">
        <f>Index!CU11</f>
        <v>8</v>
      </c>
      <c r="CV11" s="153">
        <f>Index!CV11</f>
        <v>8</v>
      </c>
      <c r="CW11" s="153">
        <f>Index!CW11</f>
        <v>8</v>
      </c>
      <c r="CX11" s="153">
        <f>Index!CX11</f>
        <v>8</v>
      </c>
      <c r="CY11" s="153">
        <f>Index!CY11</f>
        <v>8</v>
      </c>
      <c r="CZ11" s="153">
        <f>Index!CZ11</f>
        <v>8</v>
      </c>
      <c r="DA11" s="153">
        <f>Index!DA11</f>
        <v>8</v>
      </c>
      <c r="DB11" s="153">
        <f>Index!DB11</f>
        <v>8</v>
      </c>
      <c r="DC11" s="153">
        <f>Index!DC11</f>
        <v>8</v>
      </c>
      <c r="DD11" s="153">
        <f>Index!DD11</f>
        <v>8</v>
      </c>
      <c r="DE11" s="153">
        <f>Index!DE11</f>
        <v>9</v>
      </c>
      <c r="DF11" s="153">
        <f>Index!DF11</f>
        <v>9</v>
      </c>
      <c r="DG11" s="153">
        <f>Index!DG11</f>
        <v>9</v>
      </c>
      <c r="DH11" s="153">
        <f>Index!DH11</f>
        <v>9</v>
      </c>
      <c r="DI11" s="153">
        <f>Index!DI11</f>
        <v>9</v>
      </c>
      <c r="DJ11" s="153">
        <f>Index!DJ11</f>
        <v>9</v>
      </c>
      <c r="DK11" s="153">
        <f>Index!DK11</f>
        <v>9</v>
      </c>
      <c r="DL11" s="153">
        <f>Index!DL11</f>
        <v>9</v>
      </c>
      <c r="DM11" s="153">
        <f>Index!DM11</f>
        <v>9</v>
      </c>
      <c r="DN11" s="153">
        <f>Index!DN11</f>
        <v>9</v>
      </c>
      <c r="DO11" s="153">
        <f>Index!DO11</f>
        <v>9</v>
      </c>
      <c r="DP11" s="153">
        <f>Index!DP11</f>
        <v>9</v>
      </c>
      <c r="DQ11" s="153">
        <f>Index!DQ11</f>
        <v>10</v>
      </c>
      <c r="DR11" s="153">
        <f>Index!DR11</f>
        <v>10</v>
      </c>
      <c r="DS11" s="153">
        <f>Index!DS11</f>
        <v>10</v>
      </c>
      <c r="DT11" s="153">
        <f>Index!DT11</f>
        <v>10</v>
      </c>
      <c r="DU11" s="153">
        <f>Index!DU11</f>
        <v>10</v>
      </c>
      <c r="DV11" s="153">
        <f>Index!DV11</f>
        <v>10</v>
      </c>
      <c r="DW11" s="153">
        <f>Index!DW11</f>
        <v>10</v>
      </c>
      <c r="DX11" s="153">
        <f>Index!DX11</f>
        <v>10</v>
      </c>
      <c r="DY11" s="153">
        <f>Index!DY11</f>
        <v>10</v>
      </c>
      <c r="DZ11" s="153">
        <f>Index!DZ11</f>
        <v>10</v>
      </c>
      <c r="EA11" s="153">
        <f>Index!EA11</f>
        <v>10</v>
      </c>
      <c r="EB11" s="153">
        <f>Index!EB11</f>
        <v>10</v>
      </c>
      <c r="EC11" s="153">
        <f>Index!EC11</f>
        <v>11</v>
      </c>
      <c r="ED11" s="153">
        <f>Index!ED11</f>
        <v>11</v>
      </c>
      <c r="EE11" s="153">
        <f>Index!EE11</f>
        <v>11</v>
      </c>
      <c r="EF11" s="153">
        <f>Index!EF11</f>
        <v>11</v>
      </c>
      <c r="EG11" s="153">
        <f>Index!EG11</f>
        <v>11</v>
      </c>
      <c r="EH11" s="153">
        <f>Index!EH11</f>
        <v>11</v>
      </c>
      <c r="EI11" s="153">
        <f>Index!EI11</f>
        <v>11</v>
      </c>
      <c r="EJ11" s="153">
        <f>Index!EJ11</f>
        <v>11</v>
      </c>
      <c r="EK11" s="153">
        <f>Index!EK11</f>
        <v>11</v>
      </c>
      <c r="EL11" s="153">
        <f>Index!EL11</f>
        <v>11</v>
      </c>
      <c r="EM11" s="153">
        <f>Index!EM11</f>
        <v>11</v>
      </c>
      <c r="EN11" s="153">
        <f>Index!EN11</f>
        <v>11</v>
      </c>
      <c r="EO11" s="153">
        <f>Index!EO11</f>
        <v>12</v>
      </c>
      <c r="EP11" s="153">
        <f>Index!EP11</f>
        <v>12</v>
      </c>
      <c r="EQ11" s="153">
        <f>Index!EQ11</f>
        <v>12</v>
      </c>
    </row>
    <row r="12" spans="1:151" ht="11.25" customHeight="1">
      <c r="C12" s="154"/>
      <c r="H12" s="146"/>
      <c r="I12" s="13"/>
    </row>
    <row r="13" spans="1:151" ht="11.25" customHeight="1">
      <c r="B13" s="155" t="s">
        <v>180</v>
      </c>
      <c r="C13" s="155"/>
      <c r="D13" s="155"/>
      <c r="E13" s="155"/>
      <c r="F13" s="155"/>
      <c r="G13" s="155"/>
      <c r="H13" s="191"/>
      <c r="I13" s="192"/>
      <c r="J13" s="156" t="s">
        <v>59</v>
      </c>
      <c r="L13" s="210">
        <f t="shared" ref="L13:AQ13" si="0">L5</f>
        <v>46326</v>
      </c>
      <c r="M13" s="210">
        <f t="shared" si="0"/>
        <v>46356</v>
      </c>
      <c r="N13" s="210">
        <f t="shared" si="0"/>
        <v>46387</v>
      </c>
      <c r="O13" s="210">
        <f t="shared" si="0"/>
        <v>46418</v>
      </c>
      <c r="P13" s="210">
        <f t="shared" si="0"/>
        <v>46446</v>
      </c>
      <c r="Q13" s="210">
        <f t="shared" si="0"/>
        <v>46477</v>
      </c>
      <c r="R13" s="210">
        <f t="shared" si="0"/>
        <v>46507</v>
      </c>
      <c r="S13" s="210">
        <f t="shared" si="0"/>
        <v>46538</v>
      </c>
      <c r="T13" s="210">
        <f t="shared" si="0"/>
        <v>46568</v>
      </c>
      <c r="U13" s="210">
        <f t="shared" si="0"/>
        <v>46599</v>
      </c>
      <c r="V13" s="210">
        <f t="shared" si="0"/>
        <v>46630</v>
      </c>
      <c r="W13" s="210">
        <f t="shared" si="0"/>
        <v>46660</v>
      </c>
      <c r="X13" s="210">
        <f t="shared" si="0"/>
        <v>46691</v>
      </c>
      <c r="Y13" s="210">
        <f t="shared" si="0"/>
        <v>46721</v>
      </c>
      <c r="Z13" s="210">
        <f t="shared" si="0"/>
        <v>46752</v>
      </c>
      <c r="AA13" s="210">
        <f t="shared" si="0"/>
        <v>46783</v>
      </c>
      <c r="AB13" s="210">
        <f t="shared" si="0"/>
        <v>46812</v>
      </c>
      <c r="AC13" s="210">
        <f t="shared" si="0"/>
        <v>46843</v>
      </c>
      <c r="AD13" s="210">
        <f t="shared" si="0"/>
        <v>46873</v>
      </c>
      <c r="AE13" s="210">
        <f t="shared" si="0"/>
        <v>46904</v>
      </c>
      <c r="AF13" s="210">
        <f t="shared" si="0"/>
        <v>46934</v>
      </c>
      <c r="AG13" s="210">
        <f t="shared" si="0"/>
        <v>46965</v>
      </c>
      <c r="AH13" s="210">
        <f t="shared" si="0"/>
        <v>46996</v>
      </c>
      <c r="AI13" s="210">
        <f t="shared" si="0"/>
        <v>47026</v>
      </c>
      <c r="AJ13" s="210">
        <f t="shared" si="0"/>
        <v>47057</v>
      </c>
      <c r="AK13" s="210">
        <f t="shared" si="0"/>
        <v>47087</v>
      </c>
      <c r="AL13" s="210">
        <f t="shared" si="0"/>
        <v>47118</v>
      </c>
      <c r="AM13" s="210">
        <f t="shared" si="0"/>
        <v>47149</v>
      </c>
      <c r="AN13" s="210">
        <f t="shared" si="0"/>
        <v>47177</v>
      </c>
      <c r="AO13" s="210">
        <f t="shared" si="0"/>
        <v>47208</v>
      </c>
      <c r="AP13" s="210">
        <f t="shared" si="0"/>
        <v>47238</v>
      </c>
      <c r="AQ13" s="210">
        <f t="shared" si="0"/>
        <v>47269</v>
      </c>
      <c r="AR13" s="210">
        <f t="shared" ref="AR13:BW13" si="1">AR5</f>
        <v>47299</v>
      </c>
      <c r="AS13" s="210">
        <f t="shared" si="1"/>
        <v>47330</v>
      </c>
      <c r="AT13" s="210">
        <f t="shared" si="1"/>
        <v>47361</v>
      </c>
      <c r="AU13" s="210">
        <f t="shared" si="1"/>
        <v>47391</v>
      </c>
      <c r="AV13" s="210">
        <f t="shared" si="1"/>
        <v>47422</v>
      </c>
      <c r="AW13" s="210">
        <f t="shared" si="1"/>
        <v>47452</v>
      </c>
      <c r="AX13" s="210">
        <f t="shared" si="1"/>
        <v>47483</v>
      </c>
      <c r="AY13" s="210">
        <f t="shared" si="1"/>
        <v>47514</v>
      </c>
      <c r="AZ13" s="210">
        <f t="shared" si="1"/>
        <v>47542</v>
      </c>
      <c r="BA13" s="210">
        <f t="shared" si="1"/>
        <v>47573</v>
      </c>
      <c r="BB13" s="210">
        <f t="shared" si="1"/>
        <v>47603</v>
      </c>
      <c r="BC13" s="210">
        <f t="shared" si="1"/>
        <v>47634</v>
      </c>
      <c r="BD13" s="210">
        <f t="shared" si="1"/>
        <v>47664</v>
      </c>
      <c r="BE13" s="210">
        <f t="shared" si="1"/>
        <v>47695</v>
      </c>
      <c r="BF13" s="210">
        <f t="shared" si="1"/>
        <v>47726</v>
      </c>
      <c r="BG13" s="210">
        <f t="shared" si="1"/>
        <v>47756</v>
      </c>
      <c r="BH13" s="210">
        <f t="shared" si="1"/>
        <v>47787</v>
      </c>
      <c r="BI13" s="210">
        <f t="shared" si="1"/>
        <v>47817</v>
      </c>
      <c r="BJ13" s="210">
        <f t="shared" si="1"/>
        <v>47848</v>
      </c>
      <c r="BK13" s="210">
        <f t="shared" si="1"/>
        <v>47879</v>
      </c>
      <c r="BL13" s="210">
        <f t="shared" si="1"/>
        <v>47907</v>
      </c>
      <c r="BM13" s="210">
        <f t="shared" si="1"/>
        <v>47938</v>
      </c>
      <c r="BN13" s="210">
        <f t="shared" si="1"/>
        <v>47968</v>
      </c>
      <c r="BO13" s="210">
        <f t="shared" si="1"/>
        <v>47999</v>
      </c>
      <c r="BP13" s="210">
        <f t="shared" si="1"/>
        <v>48029</v>
      </c>
      <c r="BQ13" s="210">
        <f t="shared" si="1"/>
        <v>48060</v>
      </c>
      <c r="BR13" s="210">
        <f t="shared" si="1"/>
        <v>48091</v>
      </c>
      <c r="BS13" s="210">
        <f t="shared" si="1"/>
        <v>48121</v>
      </c>
      <c r="BT13" s="210">
        <f t="shared" si="1"/>
        <v>48152</v>
      </c>
      <c r="BU13" s="210">
        <f t="shared" si="1"/>
        <v>48182</v>
      </c>
      <c r="BV13" s="210">
        <f t="shared" si="1"/>
        <v>48213</v>
      </c>
      <c r="BW13" s="210">
        <f t="shared" si="1"/>
        <v>48244</v>
      </c>
      <c r="BX13" s="210">
        <f t="shared" ref="BX13:DC13" si="2">BX5</f>
        <v>48273</v>
      </c>
      <c r="BY13" s="210">
        <f t="shared" si="2"/>
        <v>48304</v>
      </c>
      <c r="BZ13" s="210">
        <f t="shared" si="2"/>
        <v>48334</v>
      </c>
      <c r="CA13" s="210">
        <f t="shared" si="2"/>
        <v>48365</v>
      </c>
      <c r="CB13" s="210">
        <f t="shared" si="2"/>
        <v>48395</v>
      </c>
      <c r="CC13" s="210">
        <f t="shared" si="2"/>
        <v>48426</v>
      </c>
      <c r="CD13" s="210">
        <f t="shared" si="2"/>
        <v>48457</v>
      </c>
      <c r="CE13" s="210">
        <f t="shared" si="2"/>
        <v>48487</v>
      </c>
      <c r="CF13" s="210">
        <f t="shared" si="2"/>
        <v>48518</v>
      </c>
      <c r="CG13" s="210">
        <f t="shared" si="2"/>
        <v>48548</v>
      </c>
      <c r="CH13" s="210">
        <f t="shared" si="2"/>
        <v>48579</v>
      </c>
      <c r="CI13" s="210">
        <f t="shared" si="2"/>
        <v>48610</v>
      </c>
      <c r="CJ13" s="210">
        <f t="shared" si="2"/>
        <v>48638</v>
      </c>
      <c r="CK13" s="210">
        <f t="shared" si="2"/>
        <v>48669</v>
      </c>
      <c r="CL13" s="210">
        <f t="shared" si="2"/>
        <v>48699</v>
      </c>
      <c r="CM13" s="210">
        <f t="shared" si="2"/>
        <v>48730</v>
      </c>
      <c r="CN13" s="210">
        <f t="shared" si="2"/>
        <v>48760</v>
      </c>
      <c r="CO13" s="210">
        <f t="shared" si="2"/>
        <v>48791</v>
      </c>
      <c r="CP13" s="210">
        <f t="shared" si="2"/>
        <v>48822</v>
      </c>
      <c r="CQ13" s="210">
        <f t="shared" si="2"/>
        <v>48852</v>
      </c>
      <c r="CR13" s="210">
        <f t="shared" si="2"/>
        <v>48883</v>
      </c>
      <c r="CS13" s="210">
        <f t="shared" si="2"/>
        <v>48913</v>
      </c>
      <c r="CT13" s="210">
        <f t="shared" si="2"/>
        <v>48944</v>
      </c>
      <c r="CU13" s="210">
        <f t="shared" si="2"/>
        <v>48975</v>
      </c>
      <c r="CV13" s="210">
        <f t="shared" si="2"/>
        <v>49003</v>
      </c>
      <c r="CW13" s="210">
        <f t="shared" si="2"/>
        <v>49034</v>
      </c>
      <c r="CX13" s="210">
        <f t="shared" si="2"/>
        <v>49064</v>
      </c>
      <c r="CY13" s="210">
        <f t="shared" si="2"/>
        <v>49095</v>
      </c>
      <c r="CZ13" s="210">
        <f t="shared" si="2"/>
        <v>49125</v>
      </c>
      <c r="DA13" s="210">
        <f t="shared" si="2"/>
        <v>49156</v>
      </c>
      <c r="DB13" s="210">
        <f t="shared" si="2"/>
        <v>49187</v>
      </c>
      <c r="DC13" s="210">
        <f t="shared" si="2"/>
        <v>49217</v>
      </c>
      <c r="DD13" s="210">
        <f t="shared" ref="DD13:DP13" si="3">DD5</f>
        <v>49248</v>
      </c>
      <c r="DE13" s="210">
        <f t="shared" si="3"/>
        <v>49278</v>
      </c>
      <c r="DF13" s="210">
        <f t="shared" si="3"/>
        <v>49309</v>
      </c>
      <c r="DG13" s="210">
        <f t="shared" si="3"/>
        <v>49340</v>
      </c>
      <c r="DH13" s="210">
        <f t="shared" si="3"/>
        <v>49368</v>
      </c>
      <c r="DI13" s="210">
        <f t="shared" si="3"/>
        <v>49399</v>
      </c>
      <c r="DJ13" s="210">
        <f t="shared" si="3"/>
        <v>49429</v>
      </c>
      <c r="DK13" s="210">
        <f t="shared" si="3"/>
        <v>49460</v>
      </c>
      <c r="DL13" s="210">
        <f t="shared" si="3"/>
        <v>49490</v>
      </c>
      <c r="DM13" s="210">
        <f t="shared" si="3"/>
        <v>49521</v>
      </c>
      <c r="DN13" s="210">
        <f t="shared" si="3"/>
        <v>49552</v>
      </c>
      <c r="DO13" s="210">
        <f t="shared" si="3"/>
        <v>49582</v>
      </c>
      <c r="DP13" s="210">
        <f t="shared" si="3"/>
        <v>49613</v>
      </c>
      <c r="DQ13" s="210">
        <f t="shared" ref="DQ13:EQ13" si="4">DQ5</f>
        <v>49643</v>
      </c>
      <c r="DR13" s="210">
        <f t="shared" si="4"/>
        <v>49674</v>
      </c>
      <c r="DS13" s="210">
        <f t="shared" si="4"/>
        <v>49705</v>
      </c>
      <c r="DT13" s="210">
        <f t="shared" si="4"/>
        <v>49734</v>
      </c>
      <c r="DU13" s="210">
        <f t="shared" si="4"/>
        <v>49765</v>
      </c>
      <c r="DV13" s="210">
        <f t="shared" si="4"/>
        <v>49795</v>
      </c>
      <c r="DW13" s="210">
        <f t="shared" si="4"/>
        <v>49826</v>
      </c>
      <c r="DX13" s="210">
        <f t="shared" si="4"/>
        <v>49856</v>
      </c>
      <c r="DY13" s="210">
        <f t="shared" si="4"/>
        <v>49887</v>
      </c>
      <c r="DZ13" s="210">
        <f t="shared" si="4"/>
        <v>49918</v>
      </c>
      <c r="EA13" s="210">
        <f t="shared" si="4"/>
        <v>49948</v>
      </c>
      <c r="EB13" s="210">
        <f t="shared" si="4"/>
        <v>49979</v>
      </c>
      <c r="EC13" s="210">
        <f t="shared" si="4"/>
        <v>50009</v>
      </c>
      <c r="ED13" s="210">
        <f t="shared" si="4"/>
        <v>50040</v>
      </c>
      <c r="EE13" s="210">
        <f t="shared" si="4"/>
        <v>50071</v>
      </c>
      <c r="EF13" s="210">
        <f t="shared" si="4"/>
        <v>50099</v>
      </c>
      <c r="EG13" s="210">
        <f t="shared" si="4"/>
        <v>50130</v>
      </c>
      <c r="EH13" s="210">
        <f t="shared" si="4"/>
        <v>50160</v>
      </c>
      <c r="EI13" s="210">
        <f t="shared" si="4"/>
        <v>50191</v>
      </c>
      <c r="EJ13" s="210">
        <f t="shared" si="4"/>
        <v>50221</v>
      </c>
      <c r="EK13" s="210">
        <f t="shared" si="4"/>
        <v>50252</v>
      </c>
      <c r="EL13" s="210">
        <f t="shared" si="4"/>
        <v>50283</v>
      </c>
      <c r="EM13" s="210">
        <f t="shared" si="4"/>
        <v>50313</v>
      </c>
      <c r="EN13" s="210">
        <f t="shared" si="4"/>
        <v>50344</v>
      </c>
      <c r="EO13" s="210">
        <f t="shared" si="4"/>
        <v>50374</v>
      </c>
      <c r="EP13" s="210">
        <f t="shared" si="4"/>
        <v>50405</v>
      </c>
      <c r="EQ13" s="210">
        <f t="shared" si="4"/>
        <v>50436</v>
      </c>
    </row>
    <row r="14" spans="1:151" ht="11.25" customHeight="1">
      <c r="B14" s="211" t="s">
        <v>181</v>
      </c>
      <c r="C14" s="212"/>
      <c r="D14" s="212"/>
      <c r="E14" s="212"/>
      <c r="F14" s="212"/>
      <c r="G14" s="212"/>
      <c r="H14" s="213"/>
      <c r="I14" s="214"/>
      <c r="J14" s="215">
        <f ca="1">SUM(J15,J22,J34,J40,J49)</f>
        <v>43526238.642517313</v>
      </c>
      <c r="L14" s="216">
        <f t="shared" ref="L14:AQ14" ca="1" si="5">SUM(L15,L22,L34,L40,L49)</f>
        <v>-12856669.630531998</v>
      </c>
      <c r="M14" s="217">
        <f t="shared" ca="1" si="5"/>
        <v>588048.03441675252</v>
      </c>
      <c r="N14" s="217">
        <f t="shared" ca="1" si="5"/>
        <v>1318973.1473344613</v>
      </c>
      <c r="O14" s="217">
        <f t="shared" ca="1" si="5"/>
        <v>10882502.009682933</v>
      </c>
      <c r="P14" s="217">
        <f t="shared" ca="1" si="5"/>
        <v>1235796.5030349561</v>
      </c>
      <c r="Q14" s="217">
        <f t="shared" ca="1" si="5"/>
        <v>1311560.1396099559</v>
      </c>
      <c r="R14" s="217">
        <f t="shared" ca="1" si="5"/>
        <v>-1726201.7986780582</v>
      </c>
      <c r="S14" s="217">
        <f t="shared" ca="1" si="5"/>
        <v>1206099.7930400812</v>
      </c>
      <c r="T14" s="217">
        <f t="shared" ca="1" si="5"/>
        <v>1395264.8032775812</v>
      </c>
      <c r="U14" s="217">
        <f t="shared" ca="1" si="5"/>
        <v>-1680670.0115651158</v>
      </c>
      <c r="V14" s="217">
        <f t="shared" ca="1" si="5"/>
        <v>1396463.713490081</v>
      </c>
      <c r="W14" s="217">
        <f t="shared" ca="1" si="5"/>
        <v>1035119.0118234146</v>
      </c>
      <c r="X14" s="217">
        <f t="shared" ca="1" si="5"/>
        <v>-1730367.3713720581</v>
      </c>
      <c r="Y14" s="217">
        <f t="shared" ca="1" si="5"/>
        <v>645788.02173089189</v>
      </c>
      <c r="Z14" s="217">
        <f t="shared" ca="1" si="5"/>
        <v>1241894.5047215431</v>
      </c>
      <c r="AA14" s="217">
        <f t="shared" ca="1" si="5"/>
        <v>-1757064.217321323</v>
      </c>
      <c r="AB14" s="217">
        <f t="shared" ca="1" si="5"/>
        <v>1264067.6658895505</v>
      </c>
      <c r="AC14" s="217">
        <f t="shared" ca="1" si="5"/>
        <v>1341725.3933789253</v>
      </c>
      <c r="AD14" s="217">
        <f t="shared" ca="1" si="5"/>
        <v>-1704176.277999325</v>
      </c>
      <c r="AE14" s="217">
        <f t="shared" ca="1" si="5"/>
        <v>1233628.5381448036</v>
      </c>
      <c r="AF14" s="217">
        <f t="shared" ca="1" si="5"/>
        <v>1427522.6736382411</v>
      </c>
      <c r="AG14" s="217">
        <f t="shared" ca="1" si="5"/>
        <v>-1711717.0337166754</v>
      </c>
      <c r="AH14" s="217">
        <f t="shared" ca="1" si="5"/>
        <v>1428751.5566060534</v>
      </c>
      <c r="AI14" s="217">
        <f t="shared" ca="1" si="5"/>
        <v>1039977.5071310536</v>
      </c>
      <c r="AJ14" s="217">
        <f t="shared" ca="1" si="5"/>
        <v>-1708445.9900106748</v>
      </c>
      <c r="AK14" s="217">
        <f t="shared" ca="1" si="5"/>
        <v>714759.92320732656</v>
      </c>
      <c r="AL14" s="217">
        <f t="shared" ca="1" si="5"/>
        <v>1270967.1318641605</v>
      </c>
      <c r="AM14" s="217">
        <f t="shared" ca="1" si="5"/>
        <v>-1641001.2726704322</v>
      </c>
      <c r="AN14" s="217">
        <f t="shared" ca="1" si="5"/>
        <v>1452268.9046576698</v>
      </c>
      <c r="AO14" s="217">
        <f t="shared" ca="1" si="5"/>
        <v>1372646.4214528105</v>
      </c>
      <c r="AP14" s="217">
        <f t="shared" ca="1" si="5"/>
        <v>-1772069.5721503384</v>
      </c>
      <c r="AQ14" s="217">
        <f t="shared" ca="1" si="5"/>
        <v>1461848.2387606164</v>
      </c>
      <c r="AR14" s="217">
        <f t="shared" ref="AR14:BW14" ca="1" si="6">SUM(AR15,AR22,AR34,AR40,AR49)</f>
        <v>292484.09332062706</v>
      </c>
      <c r="AS14" s="217">
        <f t="shared" ca="1" si="6"/>
        <v>-2715209.099308819</v>
      </c>
      <c r="AT14" s="217">
        <f t="shared" ca="1" si="6"/>
        <v>251180.24613702099</v>
      </c>
      <c r="AU14" s="217">
        <f t="shared" ca="1" si="6"/>
        <v>-56523.960821467976</v>
      </c>
      <c r="AV14" s="217">
        <f t="shared" ca="1" si="6"/>
        <v>-2587738.4299539914</v>
      </c>
      <c r="AW14" s="217">
        <f t="shared" ca="1" si="6"/>
        <v>794763.54862060945</v>
      </c>
      <c r="AX14" s="217">
        <f t="shared" ca="1" si="6"/>
        <v>1365418.08206142</v>
      </c>
      <c r="AY14" s="217">
        <f t="shared" ca="1" si="6"/>
        <v>-1538662.6809040736</v>
      </c>
      <c r="AZ14" s="217">
        <f t="shared" ca="1" si="6"/>
        <v>1495454.9335468265</v>
      </c>
      <c r="BA14" s="217">
        <f t="shared" ca="1" si="6"/>
        <v>1444262.1721594813</v>
      </c>
      <c r="BB14" s="217">
        <f t="shared" ca="1" si="6"/>
        <v>-1720247.3527942249</v>
      </c>
      <c r="BC14" s="217">
        <f t="shared" ca="1" si="6"/>
        <v>1535017.350932894</v>
      </c>
      <c r="BD14" s="217">
        <f t="shared" ca="1" si="6"/>
        <v>1535631.762133864</v>
      </c>
      <c r="BE14" s="217">
        <f t="shared" ca="1" si="6"/>
        <v>-1733435.1288387307</v>
      </c>
      <c r="BF14" s="217">
        <f t="shared" ca="1" si="6"/>
        <v>1539393.6737225831</v>
      </c>
      <c r="BG14" s="217">
        <f t="shared" ca="1" si="6"/>
        <v>1162195.3715707015</v>
      </c>
      <c r="BH14" s="217">
        <f t="shared" ca="1" si="6"/>
        <v>-1685511.0305933012</v>
      </c>
      <c r="BI14" s="217">
        <f t="shared" ca="1" si="6"/>
        <v>853580.82256564125</v>
      </c>
      <c r="BJ14" s="217">
        <f t="shared" ca="1" si="6"/>
        <v>1407659.7053600689</v>
      </c>
      <c r="BK14" s="217">
        <f t="shared" ca="1" si="6"/>
        <v>-1506559.5517574302</v>
      </c>
      <c r="BL14" s="217">
        <f t="shared" ca="1" si="6"/>
        <v>1564286.8011469315</v>
      </c>
      <c r="BM14" s="217">
        <f t="shared" ca="1" si="6"/>
        <v>1480633.429729826</v>
      </c>
      <c r="BN14" s="217">
        <f t="shared" ca="1" si="6"/>
        <v>-1694059.71035909</v>
      </c>
      <c r="BO14" s="217">
        <f t="shared" ca="1" si="6"/>
        <v>1574349.532219687</v>
      </c>
      <c r="BP14" s="217">
        <f t="shared" ca="1" si="6"/>
        <v>1574349.532219687</v>
      </c>
      <c r="BQ14" s="217">
        <f t="shared" ca="1" si="6"/>
        <v>-1712681.5936118828</v>
      </c>
      <c r="BR14" s="217">
        <f t="shared" ca="1" si="6"/>
        <v>1578205.4915981244</v>
      </c>
      <c r="BS14" s="217">
        <f t="shared" ca="1" si="6"/>
        <v>1206665.1639785208</v>
      </c>
      <c r="BT14" s="217">
        <f t="shared" ca="1" si="6"/>
        <v>-1658409.690818693</v>
      </c>
      <c r="BU14" s="217">
        <f t="shared" ca="1" si="6"/>
        <v>906059.40780073369</v>
      </c>
      <c r="BV14" s="217">
        <f t="shared" ca="1" si="6"/>
        <v>1443867.5684697293</v>
      </c>
      <c r="BW14" s="217">
        <f t="shared" ca="1" si="6"/>
        <v>-1318565.3539933902</v>
      </c>
      <c r="BX14" s="217">
        <f t="shared" ref="BX14:DC14" ca="1" si="7">SUM(BX15,BX22,BX34,BX40,BX49)</f>
        <v>1603723.3460644742</v>
      </c>
      <c r="BY14" s="217">
        <f t="shared" ca="1" si="7"/>
        <v>1517978.640361941</v>
      </c>
      <c r="BZ14" s="217">
        <f t="shared" ca="1" si="7"/>
        <v>-1507415.8683734334</v>
      </c>
      <c r="CA14" s="217">
        <f t="shared" ca="1" si="7"/>
        <v>1614037.6454140488</v>
      </c>
      <c r="CB14" s="217">
        <f t="shared" ca="1" si="7"/>
        <v>1614037.6454140488</v>
      </c>
      <c r="CC14" s="217">
        <f t="shared" ca="1" si="7"/>
        <v>-1528716.1311127581</v>
      </c>
      <c r="CD14" s="217">
        <f t="shared" ca="1" si="7"/>
        <v>1617990.0037769473</v>
      </c>
      <c r="CE14" s="217">
        <f t="shared" ca="1" si="7"/>
        <v>1252022.7810716375</v>
      </c>
      <c r="CF14" s="217">
        <f t="shared" ca="1" si="7"/>
        <v>-1470874.5983445265</v>
      </c>
      <c r="CG14" s="217">
        <f t="shared" ca="1" si="7"/>
        <v>959236.41598088655</v>
      </c>
      <c r="CH14" s="217">
        <f t="shared" ca="1" si="7"/>
        <v>1480997.0201786915</v>
      </c>
      <c r="CI14" s="217">
        <f t="shared" ca="1" si="7"/>
        <v>-1289585.7159502548</v>
      </c>
      <c r="CJ14" s="217">
        <f t="shared" ca="1" si="7"/>
        <v>1644148.4567147803</v>
      </c>
      <c r="CK14" s="217">
        <f t="shared" ca="1" si="7"/>
        <v>1556260.133369684</v>
      </c>
      <c r="CL14" s="217">
        <f t="shared" ca="1" si="7"/>
        <v>-1479843.131472535</v>
      </c>
      <c r="CM14" s="217">
        <f t="shared" ca="1" si="7"/>
        <v>1654720.6135480942</v>
      </c>
      <c r="CN14" s="217">
        <f t="shared" ca="1" si="7"/>
        <v>1654720.6135480942</v>
      </c>
      <c r="CO14" s="217">
        <f t="shared" ca="1" si="7"/>
        <v>-1503844.0879933231</v>
      </c>
      <c r="CP14" s="217">
        <f t="shared" ca="1" si="7"/>
        <v>1658771.7808700651</v>
      </c>
      <c r="CQ14" s="217">
        <f t="shared" ca="1" si="7"/>
        <v>1298294.0665053353</v>
      </c>
      <c r="CR14" s="217">
        <f t="shared" ca="1" si="7"/>
        <v>-1442388.3296929055</v>
      </c>
      <c r="CS14" s="217">
        <f t="shared" ca="1" si="7"/>
        <v>1013141.8856176417</v>
      </c>
      <c r="CT14" s="217">
        <f t="shared" ca="1" si="7"/>
        <v>1519071.6290621762</v>
      </c>
      <c r="CU14" s="217">
        <f t="shared" ca="1" si="7"/>
        <v>-1259852.706487092</v>
      </c>
      <c r="CV14" s="217">
        <f t="shared" ca="1" si="7"/>
        <v>1685587.1013031718</v>
      </c>
      <c r="CW14" s="217">
        <f t="shared" ca="1" si="7"/>
        <v>1595501.569874448</v>
      </c>
      <c r="CX14" s="217">
        <f t="shared" ca="1" si="7"/>
        <v>-1451574.1952863953</v>
      </c>
      <c r="CY14" s="217">
        <f t="shared" ca="1" si="7"/>
        <v>995749.1232065896</v>
      </c>
      <c r="CZ14" s="217">
        <f t="shared" ca="1" si="7"/>
        <v>1655916.0706290405</v>
      </c>
      <c r="DA14" s="217">
        <f t="shared" ca="1" si="7"/>
        <v>-1447743.8715642449</v>
      </c>
      <c r="DB14" s="217">
        <f t="shared" ca="1" si="7"/>
        <v>1574943.3637811514</v>
      </c>
      <c r="DC14" s="217">
        <f t="shared" ca="1" si="7"/>
        <v>1304997.9684848008</v>
      </c>
      <c r="DD14" s="217">
        <f t="shared" ref="DD14:DP14" ca="1" si="8">SUM(DD15,DD22,DD34,DD40,DD49)</f>
        <v>-1442643.0172282956</v>
      </c>
      <c r="DE14" s="217">
        <f t="shared" ca="1" si="8"/>
        <v>1027390.6893464874</v>
      </c>
      <c r="DF14" s="217">
        <f t="shared" ca="1" si="8"/>
        <v>1517488.5485067582</v>
      </c>
      <c r="DG14" s="217">
        <f t="shared" ca="1" si="8"/>
        <v>-1268917.6765692867</v>
      </c>
      <c r="DH14" s="217">
        <f t="shared" ca="1" si="8"/>
        <v>1640883.2372718533</v>
      </c>
      <c r="DI14" s="217">
        <f t="shared" ca="1" si="8"/>
        <v>1687321.9374538055</v>
      </c>
      <c r="DJ14" s="217">
        <f t="shared" ca="1" si="8"/>
        <v>-1453261.1359999054</v>
      </c>
      <c r="DK14" s="217">
        <f t="shared" ca="1" si="8"/>
        <v>1697496.6474773227</v>
      </c>
      <c r="DL14" s="217">
        <f t="shared" ca="1" si="8"/>
        <v>1698191.797356192</v>
      </c>
      <c r="DM14" s="217">
        <f t="shared" ca="1" si="8"/>
        <v>-1474454.3711655252</v>
      </c>
      <c r="DN14" s="217">
        <f t="shared" ca="1" si="8"/>
        <v>1702448.0550238374</v>
      </c>
      <c r="DO14" s="217">
        <f t="shared" ca="1" si="8"/>
        <v>1352703.5646043171</v>
      </c>
      <c r="DP14" s="217">
        <f t="shared" ca="1" si="8"/>
        <v>-1413044.3314784712</v>
      </c>
      <c r="DQ14" s="217">
        <f t="shared" ref="DQ14:EQ14" ca="1" si="9">SUM(DQ15,DQ22,DQ34,DQ40,DQ49)</f>
        <v>1082374.5755340352</v>
      </c>
      <c r="DR14" s="217">
        <f t="shared" ca="1" si="9"/>
        <v>1557050.6304157618</v>
      </c>
      <c r="DS14" s="217">
        <f t="shared" ca="1" si="9"/>
        <v>-1228126.9931943004</v>
      </c>
      <c r="DT14" s="217">
        <f t="shared" ca="1" si="9"/>
        <v>1729846.4973201042</v>
      </c>
      <c r="DU14" s="217">
        <f t="shared" ca="1" si="9"/>
        <v>1729846.4973201042</v>
      </c>
      <c r="DV14" s="217">
        <f t="shared" ca="1" si="9"/>
        <v>-1389034.6791981491</v>
      </c>
      <c r="DW14" s="217">
        <f t="shared" ca="1" si="9"/>
        <v>1740988.1037200501</v>
      </c>
      <c r="DX14" s="217">
        <f t="shared" ca="1" si="9"/>
        <v>1740988.1037200501</v>
      </c>
      <c r="DY14" s="217">
        <f t="shared" ca="1" si="9"/>
        <v>-1455671.2780481589</v>
      </c>
      <c r="DZ14" s="217">
        <f t="shared" ca="1" si="9"/>
        <v>1745350.7678293868</v>
      </c>
      <c r="EA14" s="217">
        <f t="shared" ca="1" si="9"/>
        <v>1400852.4447661594</v>
      </c>
      <c r="EB14" s="217">
        <f t="shared" ca="1" si="9"/>
        <v>-1544984.7771848876</v>
      </c>
      <c r="EC14" s="217">
        <f t="shared" ca="1" si="9"/>
        <v>0</v>
      </c>
      <c r="ED14" s="217">
        <f t="shared" ca="1" si="9"/>
        <v>0</v>
      </c>
      <c r="EE14" s="217">
        <f t="shared" ca="1" si="9"/>
        <v>0</v>
      </c>
      <c r="EF14" s="217">
        <f t="shared" ca="1" si="9"/>
        <v>0</v>
      </c>
      <c r="EG14" s="217">
        <f t="shared" ca="1" si="9"/>
        <v>0</v>
      </c>
      <c r="EH14" s="217">
        <f t="shared" ca="1" si="9"/>
        <v>0</v>
      </c>
      <c r="EI14" s="217">
        <f t="shared" ca="1" si="9"/>
        <v>0</v>
      </c>
      <c r="EJ14" s="217">
        <f t="shared" ca="1" si="9"/>
        <v>0</v>
      </c>
      <c r="EK14" s="217">
        <f t="shared" ca="1" si="9"/>
        <v>0</v>
      </c>
      <c r="EL14" s="217">
        <f t="shared" ca="1" si="9"/>
        <v>0</v>
      </c>
      <c r="EM14" s="217">
        <f t="shared" ca="1" si="9"/>
        <v>0</v>
      </c>
      <c r="EN14" s="217">
        <f t="shared" ca="1" si="9"/>
        <v>0</v>
      </c>
      <c r="EO14" s="217">
        <f t="shared" ca="1" si="9"/>
        <v>0</v>
      </c>
      <c r="EP14" s="217">
        <f t="shared" ca="1" si="9"/>
        <v>0</v>
      </c>
      <c r="EQ14" s="217">
        <f t="shared" ca="1" si="9"/>
        <v>0</v>
      </c>
    </row>
    <row r="15" spans="1:151" ht="11.25" customHeight="1">
      <c r="B15" s="218"/>
      <c r="C15" s="158" t="s">
        <v>182</v>
      </c>
      <c r="D15" s="159"/>
      <c r="E15" s="159"/>
      <c r="F15" s="159"/>
      <c r="G15" s="159"/>
      <c r="H15" s="160"/>
      <c r="I15" s="219"/>
      <c r="J15" s="220">
        <f ca="1">SUM(J16:J21)</f>
        <v>173411614.93373635</v>
      </c>
      <c r="K15" s="98"/>
      <c r="L15" s="162">
        <f>SUM(L16:L21)</f>
        <v>0</v>
      </c>
      <c r="M15" s="162">
        <f t="shared" ref="M15:BX15" ca="1" si="10">SUM(M16:M21)</f>
        <v>1295357.1049690829</v>
      </c>
      <c r="N15" s="162">
        <f t="shared" ca="1" si="10"/>
        <v>1293708.9755003331</v>
      </c>
      <c r="O15" s="162">
        <f t="shared" ca="1" si="10"/>
        <v>1102998.9648253333</v>
      </c>
      <c r="P15" s="162">
        <f t="shared" ca="1" si="10"/>
        <v>1198541.7064401768</v>
      </c>
      <c r="Q15" s="162">
        <f t="shared" ca="1" si="10"/>
        <v>1267417.7396901769</v>
      </c>
      <c r="R15" s="162">
        <f t="shared" ca="1" si="10"/>
        <v>1306297.8182901768</v>
      </c>
      <c r="S15" s="162">
        <f t="shared" ca="1" si="10"/>
        <v>1171544.697353927</v>
      </c>
      <c r="T15" s="162">
        <f t="shared" ca="1" si="10"/>
        <v>1343512.8884789271</v>
      </c>
      <c r="U15" s="162">
        <f t="shared" ca="1" si="10"/>
        <v>1344057.847666427</v>
      </c>
      <c r="V15" s="162">
        <f t="shared" ca="1" si="10"/>
        <v>1344602.806853927</v>
      </c>
      <c r="W15" s="162">
        <f t="shared" ca="1" si="10"/>
        <v>1344602.806853927</v>
      </c>
      <c r="X15" s="162">
        <f t="shared" ca="1" si="10"/>
        <v>1324456.862353927</v>
      </c>
      <c r="Y15" s="162">
        <f t="shared" ca="1" si="10"/>
        <v>1324602.0062289268</v>
      </c>
      <c r="Z15" s="162">
        <f t="shared" ca="1" si="10"/>
        <v>1322912.673523458</v>
      </c>
      <c r="AA15" s="162">
        <f t="shared" ca="1" si="10"/>
        <v>1127434.912581583</v>
      </c>
      <c r="AB15" s="162">
        <f t="shared" ca="1" si="10"/>
        <v>1225366.2227367982</v>
      </c>
      <c r="AC15" s="162">
        <f t="shared" ca="1" si="10"/>
        <v>1295964.1568180481</v>
      </c>
      <c r="AD15" s="162">
        <f t="shared" ca="1" si="10"/>
        <v>1335816.2373830481</v>
      </c>
      <c r="AE15" s="162">
        <f t="shared" ca="1" si="10"/>
        <v>1197694.2884233918</v>
      </c>
      <c r="AF15" s="162">
        <f t="shared" ca="1" si="10"/>
        <v>1373961.6843265167</v>
      </c>
      <c r="AG15" s="162">
        <f t="shared" ca="1" si="10"/>
        <v>1374520.2674937043</v>
      </c>
      <c r="AH15" s="162">
        <f t="shared" ca="1" si="10"/>
        <v>1375078.8506608917</v>
      </c>
      <c r="AI15" s="162">
        <f t="shared" ca="1" si="10"/>
        <v>1375078.8506608917</v>
      </c>
      <c r="AJ15" s="162">
        <f t="shared" ca="1" si="10"/>
        <v>1354429.2575483918</v>
      </c>
      <c r="AK15" s="162">
        <f t="shared" ca="1" si="10"/>
        <v>1375227.6231327667</v>
      </c>
      <c r="AL15" s="162">
        <f t="shared" ca="1" si="10"/>
        <v>1352846.4639971612</v>
      </c>
      <c r="AM15" s="162">
        <f t="shared" ca="1" si="10"/>
        <v>1328760.7853536143</v>
      </c>
      <c r="AN15" s="162">
        <f t="shared" ca="1" si="10"/>
        <v>1397608.310014897</v>
      </c>
      <c r="AO15" s="162">
        <f t="shared" ca="1" si="10"/>
        <v>1325224.2343741157</v>
      </c>
      <c r="AP15" s="162">
        <f t="shared" ca="1" si="10"/>
        <v>1366072.6169532407</v>
      </c>
      <c r="AQ15" s="162">
        <f t="shared" ca="1" si="10"/>
        <v>1406316.7955630303</v>
      </c>
      <c r="AR15" s="162">
        <f t="shared" ca="1" si="10"/>
        <v>343258.48152667622</v>
      </c>
      <c r="AS15" s="162">
        <f t="shared" ca="1" si="10"/>
        <v>370198.86736508075</v>
      </c>
      <c r="AT15" s="162">
        <f t="shared" ca="1" si="10"/>
        <v>374107.92206374893</v>
      </c>
      <c r="AU15" s="162">
        <f t="shared" ca="1" si="10"/>
        <v>374107.92206374893</v>
      </c>
      <c r="AV15" s="162">
        <f t="shared" ca="1" si="10"/>
        <v>352942.08912343637</v>
      </c>
      <c r="AW15" s="162">
        <f t="shared" ca="1" si="10"/>
        <v>1436173.6323910407</v>
      </c>
      <c r="AX15" s="162">
        <f t="shared" ca="1" si="10"/>
        <v>1442289.2042963956</v>
      </c>
      <c r="AY15" s="162">
        <f t="shared" ca="1" si="10"/>
        <v>1456046.9412053381</v>
      </c>
      <c r="AZ15" s="162">
        <f t="shared" ca="1" si="10"/>
        <v>1465700.2209923612</v>
      </c>
      <c r="BA15" s="162">
        <f t="shared" ca="1" si="10"/>
        <v>1391506.5434605605</v>
      </c>
      <c r="BB15" s="162">
        <f t="shared" ca="1" si="10"/>
        <v>1433376.1356041636</v>
      </c>
      <c r="BC15" s="162">
        <f t="shared" ca="1" si="10"/>
        <v>1474569.8070736355</v>
      </c>
      <c r="BD15" s="162">
        <f t="shared" ca="1" si="10"/>
        <v>1474569.8070736355</v>
      </c>
      <c r="BE15" s="162">
        <f t="shared" ca="1" si="10"/>
        <v>1474569.8070736355</v>
      </c>
      <c r="BF15" s="162">
        <f t="shared" ca="1" si="10"/>
        <v>1477989.7266997441</v>
      </c>
      <c r="BG15" s="162">
        <f t="shared" ca="1" si="10"/>
        <v>1477989.7266997441</v>
      </c>
      <c r="BH15" s="162">
        <f t="shared" ca="1" si="10"/>
        <v>1477989.7266997441</v>
      </c>
      <c r="BI15" s="162">
        <f t="shared" ca="1" si="10"/>
        <v>1478146.030778008</v>
      </c>
      <c r="BJ15" s="162">
        <f t="shared" ca="1" si="10"/>
        <v>1484344.4191571944</v>
      </c>
      <c r="BK15" s="162">
        <f t="shared" ca="1" si="10"/>
        <v>1489056.8019896327</v>
      </c>
      <c r="BL15" s="162">
        <f t="shared" ca="1" si="10"/>
        <v>1501824.3995472244</v>
      </c>
      <c r="BM15" s="162">
        <f t="shared" ca="1" si="10"/>
        <v>1425775.8800771285</v>
      </c>
      <c r="BN15" s="162">
        <f t="shared" ca="1" si="10"/>
        <v>1468692.2120243218</v>
      </c>
      <c r="BO15" s="162">
        <f t="shared" ca="1" si="10"/>
        <v>1510972.336886093</v>
      </c>
      <c r="BP15" s="162">
        <f t="shared" ca="1" si="10"/>
        <v>1510972.336886093</v>
      </c>
      <c r="BQ15" s="162">
        <f t="shared" ca="1" si="10"/>
        <v>1510972.336886093</v>
      </c>
      <c r="BR15" s="162">
        <f t="shared" ca="1" si="10"/>
        <v>1514477.7545028543</v>
      </c>
      <c r="BS15" s="162">
        <f t="shared" ca="1" si="10"/>
        <v>1514477.7545028543</v>
      </c>
      <c r="BT15" s="162">
        <f t="shared" ca="1" si="10"/>
        <v>1514477.7545028543</v>
      </c>
      <c r="BU15" s="162">
        <f t="shared" ca="1" si="10"/>
        <v>1514637.9661830745</v>
      </c>
      <c r="BV15" s="162">
        <f t="shared" ca="1" si="10"/>
        <v>1520991.3142717408</v>
      </c>
      <c r="BW15" s="162">
        <f t="shared" ca="1" si="10"/>
        <v>1525821.5066749903</v>
      </c>
      <c r="BX15" s="162">
        <f t="shared" ca="1" si="10"/>
        <v>1538908.2941715214</v>
      </c>
      <c r="BY15" s="162">
        <f t="shared" ref="BY15:DP15" ca="1" si="11">SUM(BY16:BY21)</f>
        <v>1460958.5617146732</v>
      </c>
      <c r="BZ15" s="162">
        <f t="shared" ca="1" si="11"/>
        <v>1504947.8019605465</v>
      </c>
      <c r="CA15" s="162">
        <f t="shared" ca="1" si="11"/>
        <v>1548284.9299438621</v>
      </c>
      <c r="CB15" s="162">
        <f t="shared" ca="1" si="11"/>
        <v>1548284.9299438621</v>
      </c>
      <c r="CC15" s="162">
        <f t="shared" ca="1" si="11"/>
        <v>1548284.9299438621</v>
      </c>
      <c r="CD15" s="162">
        <f t="shared" ca="1" si="11"/>
        <v>1551877.9830010424</v>
      </c>
      <c r="CE15" s="162">
        <f t="shared" ca="1" si="11"/>
        <v>1551877.9830010424</v>
      </c>
      <c r="CF15" s="162">
        <f t="shared" ca="1" si="11"/>
        <v>1551877.9830010424</v>
      </c>
      <c r="CG15" s="162">
        <f t="shared" ca="1" si="11"/>
        <v>1552042.1999732682</v>
      </c>
      <c r="CH15" s="162">
        <f t="shared" ca="1" si="11"/>
        <v>1558554.3817641509</v>
      </c>
      <c r="CI15" s="162">
        <f t="shared" ca="1" si="11"/>
        <v>1563505.3289774817</v>
      </c>
      <c r="CJ15" s="162">
        <f t="shared" ca="1" si="11"/>
        <v>1576919.2861614262</v>
      </c>
      <c r="CK15" s="162">
        <f t="shared" ca="1" si="11"/>
        <v>1497020.8103931569</v>
      </c>
      <c r="CL15" s="162">
        <f t="shared" ca="1" si="11"/>
        <v>1542109.7816451769</v>
      </c>
      <c r="CM15" s="162">
        <f t="shared" ca="1" si="11"/>
        <v>1586530.3378280753</v>
      </c>
      <c r="CN15" s="162">
        <f t="shared" ca="1" si="11"/>
        <v>1586530.3378280753</v>
      </c>
      <c r="CO15" s="162">
        <f t="shared" ca="1" si="11"/>
        <v>1586530.3378280753</v>
      </c>
      <c r="CP15" s="162">
        <f t="shared" ca="1" si="11"/>
        <v>1590213.2172116851</v>
      </c>
      <c r="CQ15" s="162">
        <f t="shared" ca="1" si="11"/>
        <v>1590213.2172116851</v>
      </c>
      <c r="CR15" s="162">
        <f t="shared" ca="1" si="11"/>
        <v>1590213.2172116851</v>
      </c>
      <c r="CS15" s="162">
        <f t="shared" ca="1" si="11"/>
        <v>1590381.5396082164</v>
      </c>
      <c r="CT15" s="162">
        <f t="shared" ca="1" si="11"/>
        <v>1597056.5259438714</v>
      </c>
      <c r="CU15" s="162">
        <f t="shared" ca="1" si="11"/>
        <v>1602131.2468375354</v>
      </c>
      <c r="CV15" s="162">
        <f t="shared" ca="1" si="11"/>
        <v>1615880.5529510784</v>
      </c>
      <c r="CW15" s="162">
        <f t="shared" ca="1" si="11"/>
        <v>1533984.6152886022</v>
      </c>
      <c r="CX15" s="162">
        <f t="shared" ca="1" si="11"/>
        <v>1580200.8108219225</v>
      </c>
      <c r="CY15" s="162">
        <f t="shared" ca="1" si="11"/>
        <v>1588906.888701868</v>
      </c>
      <c r="CZ15" s="162">
        <f t="shared" ca="1" si="11"/>
        <v>1588906.888701868</v>
      </c>
      <c r="DA15" s="162">
        <f t="shared" ca="1" si="11"/>
        <v>1588906.888701868</v>
      </c>
      <c r="DB15" s="162">
        <f t="shared" ca="1" si="11"/>
        <v>1592681.8400700677</v>
      </c>
      <c r="DC15" s="162">
        <f t="shared" ca="1" si="11"/>
        <v>1592681.8400700677</v>
      </c>
      <c r="DD15" s="162">
        <f t="shared" ca="1" si="11"/>
        <v>1592681.8400700677</v>
      </c>
      <c r="DE15" s="162">
        <f t="shared" ca="1" si="11"/>
        <v>1592937.8433986418</v>
      </c>
      <c r="DF15" s="162">
        <f t="shared" ca="1" si="11"/>
        <v>1599587.5775402654</v>
      </c>
      <c r="DG15" s="162">
        <f t="shared" ca="1" si="11"/>
        <v>1604631.4064661416</v>
      </c>
      <c r="DH15" s="162">
        <f t="shared" ca="1" si="11"/>
        <v>1618776.8189614636</v>
      </c>
      <c r="DI15" s="162">
        <f t="shared" ca="1" si="11"/>
        <v>1618776.8189614636</v>
      </c>
      <c r="DJ15" s="162">
        <f t="shared" ca="1" si="11"/>
        <v>1623978.5862584841</v>
      </c>
      <c r="DK15" s="162">
        <f t="shared" ca="1" si="11"/>
        <v>1628658.5097818151</v>
      </c>
      <c r="DL15" s="162">
        <f t="shared" ca="1" si="11"/>
        <v>1628658.5097818151</v>
      </c>
      <c r="DM15" s="162">
        <f t="shared" ca="1" si="11"/>
        <v>1628658.5097818151</v>
      </c>
      <c r="DN15" s="162">
        <f t="shared" ca="1" si="11"/>
        <v>1632527.83493422</v>
      </c>
      <c r="DO15" s="162">
        <f t="shared" ca="1" si="11"/>
        <v>1632527.83493422</v>
      </c>
      <c r="DP15" s="162">
        <f t="shared" ca="1" si="11"/>
        <v>1632527.83493422</v>
      </c>
      <c r="DQ15" s="162">
        <f t="shared" ref="DQ15:EQ15" ca="1" si="12">SUM(DQ16:DQ21)</f>
        <v>1632790.2383460081</v>
      </c>
      <c r="DR15" s="162">
        <f t="shared" ca="1" si="12"/>
        <v>1639606.2158411723</v>
      </c>
      <c r="DS15" s="162">
        <f t="shared" ca="1" si="12"/>
        <v>1644776.1404901955</v>
      </c>
      <c r="DT15" s="162">
        <f t="shared" ca="1" si="12"/>
        <v>1658784.5240711167</v>
      </c>
      <c r="DU15" s="162">
        <f t="shared" ca="1" si="12"/>
        <v>1658784.5240711167</v>
      </c>
      <c r="DV15" s="162">
        <f t="shared" ca="1" si="12"/>
        <v>1664116.3355505627</v>
      </c>
      <c r="DW15" s="162">
        <f t="shared" ca="1" si="12"/>
        <v>1668913.2571619768</v>
      </c>
      <c r="DX15" s="162">
        <f t="shared" ca="1" si="12"/>
        <v>1668913.2571619768</v>
      </c>
      <c r="DY15" s="162">
        <f t="shared" ca="1" si="12"/>
        <v>1668913.2571619768</v>
      </c>
      <c r="DZ15" s="162">
        <f t="shared" ca="1" si="12"/>
        <v>1672879.3154431919</v>
      </c>
      <c r="EA15" s="162">
        <f t="shared" ca="1" si="12"/>
        <v>1672879.3154431919</v>
      </c>
      <c r="EB15" s="162">
        <f t="shared" ca="1" si="12"/>
        <v>1672879.3154431919</v>
      </c>
      <c r="EC15" s="162">
        <f t="shared" ca="1" si="12"/>
        <v>0</v>
      </c>
      <c r="ED15" s="162">
        <f t="shared" ca="1" si="12"/>
        <v>0</v>
      </c>
      <c r="EE15" s="162">
        <f t="shared" ca="1" si="12"/>
        <v>0</v>
      </c>
      <c r="EF15" s="162">
        <f t="shared" ca="1" si="12"/>
        <v>0</v>
      </c>
      <c r="EG15" s="162">
        <f t="shared" ca="1" si="12"/>
        <v>0</v>
      </c>
      <c r="EH15" s="162">
        <f t="shared" ca="1" si="12"/>
        <v>0</v>
      </c>
      <c r="EI15" s="162">
        <f t="shared" ca="1" si="12"/>
        <v>0</v>
      </c>
      <c r="EJ15" s="162">
        <f t="shared" ca="1" si="12"/>
        <v>0</v>
      </c>
      <c r="EK15" s="162">
        <f t="shared" ca="1" si="12"/>
        <v>0</v>
      </c>
      <c r="EL15" s="162">
        <f t="shared" ca="1" si="12"/>
        <v>0</v>
      </c>
      <c r="EM15" s="162">
        <f t="shared" ca="1" si="12"/>
        <v>0</v>
      </c>
      <c r="EN15" s="162">
        <f t="shared" ca="1" si="12"/>
        <v>0</v>
      </c>
      <c r="EO15" s="162">
        <f t="shared" ca="1" si="12"/>
        <v>0</v>
      </c>
      <c r="EP15" s="162">
        <f t="shared" ca="1" si="12"/>
        <v>0</v>
      </c>
      <c r="EQ15" s="162">
        <f t="shared" ca="1" si="12"/>
        <v>0</v>
      </c>
    </row>
    <row r="16" spans="1:151" ht="11.25" customHeight="1">
      <c r="B16" s="218"/>
      <c r="C16" s="163"/>
      <c r="D16" s="164" t="s">
        <v>183</v>
      </c>
      <c r="E16" s="165"/>
      <c r="F16" s="165"/>
      <c r="G16" s="165"/>
      <c r="H16" s="166"/>
      <c r="I16" s="221"/>
      <c r="J16" s="168">
        <f t="shared" ref="J16:J21" si="13">SUM(L16:EQ16)</f>
        <v>170882854.5871703</v>
      </c>
      <c r="K16" s="98"/>
      <c r="L16" s="168">
        <f>'NOI(M)'!M16</f>
        <v>0</v>
      </c>
      <c r="M16" s="168">
        <f>'NOI(M)'!N16</f>
        <v>1239201.9141874998</v>
      </c>
      <c r="N16" s="168">
        <f>'NOI(M)'!O16</f>
        <v>1244610.4060624999</v>
      </c>
      <c r="O16" s="168">
        <f>'NOI(M)'!P16</f>
        <v>1248462.0690625</v>
      </c>
      <c r="P16" s="168">
        <f>'NOI(M)'!Q16</f>
        <v>1259478.0816718747</v>
      </c>
      <c r="Q16" s="168">
        <f>'NOI(M)'!R16</f>
        <v>1259478.0816718747</v>
      </c>
      <c r="R16" s="168">
        <f>'NOI(M)'!S16</f>
        <v>1263699.0111718748</v>
      </c>
      <c r="S16" s="168">
        <f>'NOI(M)'!T16</f>
        <v>1267368.7339171874</v>
      </c>
      <c r="T16" s="168">
        <f>'NOI(M)'!U16</f>
        <v>1267368.7339171874</v>
      </c>
      <c r="U16" s="168">
        <f>'NOI(M)'!V16</f>
        <v>1267368.7339171874</v>
      </c>
      <c r="V16" s="168">
        <f>'NOI(M)'!W16</f>
        <v>1267368.7339171874</v>
      </c>
      <c r="W16" s="168">
        <f>'NOI(M)'!X16</f>
        <v>1267368.7339171874</v>
      </c>
      <c r="X16" s="168">
        <f>'NOI(M)'!Y16</f>
        <v>1267368.7339171874</v>
      </c>
      <c r="Y16" s="168">
        <f>'NOI(M)'!Z16</f>
        <v>1267504.6510421874</v>
      </c>
      <c r="Z16" s="168">
        <f>'NOI(M)'!AA16</f>
        <v>1273048.3552140624</v>
      </c>
      <c r="AA16" s="168">
        <f>'NOI(M)'!AB16</f>
        <v>1276996.3097890622</v>
      </c>
      <c r="AB16" s="168">
        <f>'NOI(M)'!AC16</f>
        <v>1288287.7227136719</v>
      </c>
      <c r="AC16" s="168">
        <f>'NOI(M)'!AD16</f>
        <v>1288287.7227136719</v>
      </c>
      <c r="AD16" s="168">
        <f>'NOI(M)'!AE16</f>
        <v>1292614.1754511718</v>
      </c>
      <c r="AE16" s="168">
        <f>'NOI(M)'!AF16</f>
        <v>1296375.6412651171</v>
      </c>
      <c r="AF16" s="168">
        <f>'NOI(M)'!AG16</f>
        <v>1296375.6412651171</v>
      </c>
      <c r="AG16" s="168">
        <f>'NOI(M)'!AH16</f>
        <v>1296375.6412651171</v>
      </c>
      <c r="AH16" s="168">
        <f>'NOI(M)'!AI16</f>
        <v>1296375.6412651171</v>
      </c>
      <c r="AI16" s="168">
        <f>'NOI(M)'!AJ16</f>
        <v>1296375.6412651171</v>
      </c>
      <c r="AJ16" s="168">
        <f>'NOI(M)'!AK16</f>
        <v>1296375.6412651171</v>
      </c>
      <c r="AK16" s="168">
        <f>'NOI(M)'!AL16</f>
        <v>1296514.956318242</v>
      </c>
      <c r="AL16" s="168">
        <f>'NOI(M)'!AM16</f>
        <v>1302197.253094414</v>
      </c>
      <c r="AM16" s="168">
        <f>'NOI(M)'!AN16</f>
        <v>1306243.9065337889</v>
      </c>
      <c r="AN16" s="168">
        <f>'NOI(M)'!AO16</f>
        <v>1317817.6047815136</v>
      </c>
      <c r="AO16" s="168">
        <f>'NOI(M)'!AP16</f>
        <v>1317817.6047815136</v>
      </c>
      <c r="AP16" s="168">
        <f>'NOI(M)'!AQ16</f>
        <v>1322252.218837451</v>
      </c>
      <c r="AQ16" s="168">
        <f>'NOI(M)'!AR16</f>
        <v>1326107.7212967447</v>
      </c>
      <c r="AR16" s="168">
        <f>'NOI(M)'!AS16</f>
        <v>1326107.7212967447</v>
      </c>
      <c r="AS16" s="168">
        <f>'NOI(M)'!AT16</f>
        <v>1352475.5593887821</v>
      </c>
      <c r="AT16" s="168">
        <f>'NOI(M)'!AU16</f>
        <v>1355812.066341083</v>
      </c>
      <c r="AU16" s="168">
        <f>'NOI(M)'!AV16</f>
        <v>1355812.066341083</v>
      </c>
      <c r="AV16" s="168">
        <f>'NOI(M)'!AW16</f>
        <v>1355812.066341083</v>
      </c>
      <c r="AW16" s="168">
        <f>'NOI(M)'!AX16</f>
        <v>1355954.8642705362</v>
      </c>
      <c r="AX16" s="168">
        <f>'NOI(M)'!AY16</f>
        <v>1361779.2184661124</v>
      </c>
      <c r="AY16" s="168">
        <f>'NOI(M)'!AZ16</f>
        <v>1375316.3357406992</v>
      </c>
      <c r="AZ16" s="168">
        <f>'NOI(M)'!BA16</f>
        <v>1384376.4634925264</v>
      </c>
      <c r="BA16" s="168">
        <f>'NOI(M)'!BB16</f>
        <v>1384376.4634925264</v>
      </c>
      <c r="BB16" s="168">
        <f>'NOI(M)'!BC16</f>
        <v>1388921.9428998623</v>
      </c>
      <c r="BC16" s="168">
        <f>'NOI(M)'!BD16</f>
        <v>1392817.2213150761</v>
      </c>
      <c r="BD16" s="168">
        <f>'NOI(M)'!BE16</f>
        <v>1392817.2213150761</v>
      </c>
      <c r="BE16" s="168">
        <f>'NOI(M)'!BF16</f>
        <v>1392817.2213150761</v>
      </c>
      <c r="BF16" s="168">
        <f>'NOI(M)'!BG16</f>
        <v>1396237.1409411847</v>
      </c>
      <c r="BG16" s="168">
        <f>'NOI(M)'!BH16</f>
        <v>1396237.1409411847</v>
      </c>
      <c r="BH16" s="168">
        <f>'NOI(M)'!BI16</f>
        <v>1396237.1409411847</v>
      </c>
      <c r="BI16" s="168">
        <f>'NOI(M)'!BJ16</f>
        <v>1396383.5088188744</v>
      </c>
      <c r="BJ16" s="168">
        <f>'NOI(M)'!BK16</f>
        <v>1402283.3990455375</v>
      </c>
      <c r="BK16" s="168">
        <f>'NOI(M)'!BL16</f>
        <v>1406769.6467527612</v>
      </c>
      <c r="BL16" s="168">
        <f>'NOI(M)'!BM16</f>
        <v>1418929.263474277</v>
      </c>
      <c r="BM16" s="168">
        <f>'NOI(M)'!BN16</f>
        <v>1418929.263474277</v>
      </c>
      <c r="BN16" s="168">
        <f>'NOI(M)'!BO16</f>
        <v>1423588.3798667963</v>
      </c>
      <c r="BO16" s="168">
        <f>'NOI(M)'!BP16</f>
        <v>1427637.651847953</v>
      </c>
      <c r="BP16" s="168">
        <f>'NOI(M)'!BQ16</f>
        <v>1427637.651847953</v>
      </c>
      <c r="BQ16" s="168">
        <f>'NOI(M)'!BR16</f>
        <v>1427637.651847953</v>
      </c>
      <c r="BR16" s="168">
        <f>'NOI(M)'!BS16</f>
        <v>1431143.069464714</v>
      </c>
      <c r="BS16" s="168">
        <f>'NOI(M)'!BT16</f>
        <v>1431143.069464714</v>
      </c>
      <c r="BT16" s="168">
        <f>'NOI(M)'!BU16</f>
        <v>1431143.069464714</v>
      </c>
      <c r="BU16" s="168">
        <f>'NOI(M)'!BV16</f>
        <v>1431293.0965393458</v>
      </c>
      <c r="BV16" s="168">
        <f>'NOI(M)'!BW16</f>
        <v>1437340.4840216758</v>
      </c>
      <c r="BW16" s="168">
        <f>'NOI(M)'!BX16</f>
        <v>1441938.8879215803</v>
      </c>
      <c r="BX16" s="168">
        <f>'NOI(M)'!BY16</f>
        <v>1454402.4950611338</v>
      </c>
      <c r="BY16" s="168">
        <f>'NOI(M)'!BZ16</f>
        <v>1454402.4950611338</v>
      </c>
      <c r="BZ16" s="168">
        <f>'NOI(M)'!CA16</f>
        <v>1459178.0893634662</v>
      </c>
      <c r="CA16" s="168">
        <f>'NOI(M)'!CB16</f>
        <v>1463328.5931441518</v>
      </c>
      <c r="CB16" s="168">
        <f>'NOI(M)'!CC16</f>
        <v>1463328.5931441518</v>
      </c>
      <c r="CC16" s="168">
        <f>'NOI(M)'!CD16</f>
        <v>1463328.5931441518</v>
      </c>
      <c r="CD16" s="168">
        <f>'NOI(M)'!CE16</f>
        <v>1466921.6462013321</v>
      </c>
      <c r="CE16" s="168">
        <f>'NOI(M)'!CF16</f>
        <v>1466921.6462013321</v>
      </c>
      <c r="CF16" s="168">
        <f>'NOI(M)'!CG16</f>
        <v>1466921.6462013321</v>
      </c>
      <c r="CG16" s="168">
        <f>'NOI(M)'!CH16</f>
        <v>1467075.4239528296</v>
      </c>
      <c r="CH16" s="168">
        <f>'NOI(M)'!CI16</f>
        <v>1473273.9961222175</v>
      </c>
      <c r="CI16" s="168">
        <f>'NOI(M)'!CJ16</f>
        <v>1477987.3601196199</v>
      </c>
      <c r="CJ16" s="168">
        <f>'NOI(M)'!CK16</f>
        <v>1490762.5574376623</v>
      </c>
      <c r="CK16" s="168">
        <f>'NOI(M)'!CL16</f>
        <v>1490762.5574376623</v>
      </c>
      <c r="CL16" s="168">
        <f>'NOI(M)'!CM16</f>
        <v>1495657.5415975531</v>
      </c>
      <c r="CM16" s="168">
        <f>'NOI(M)'!CN16</f>
        <v>1499911.8079727555</v>
      </c>
      <c r="CN16" s="168">
        <f>'NOI(M)'!CO16</f>
        <v>1499911.8079727555</v>
      </c>
      <c r="CO16" s="168">
        <f>'NOI(M)'!CP16</f>
        <v>1499911.8079727555</v>
      </c>
      <c r="CP16" s="168">
        <f>'NOI(M)'!CQ16</f>
        <v>1503594.6873563654</v>
      </c>
      <c r="CQ16" s="168">
        <f>'NOI(M)'!CR16</f>
        <v>1503594.6873563654</v>
      </c>
      <c r="CR16" s="168">
        <f>'NOI(M)'!CS16</f>
        <v>1503594.6873563654</v>
      </c>
      <c r="CS16" s="168">
        <f>'NOI(M)'!CT16</f>
        <v>1503752.3095516502</v>
      </c>
      <c r="CT16" s="168">
        <f>'NOI(M)'!CU16</f>
        <v>1510105.846025273</v>
      </c>
      <c r="CU16" s="168">
        <f>'NOI(M)'!CV16</f>
        <v>1514937.0441226102</v>
      </c>
      <c r="CV16" s="168">
        <f>'NOI(M)'!CW16</f>
        <v>1528031.6213736036</v>
      </c>
      <c r="CW16" s="168">
        <f>'NOI(M)'!CX16</f>
        <v>1528031.6213736036</v>
      </c>
      <c r="CX16" s="168">
        <f>'NOI(M)'!CY16</f>
        <v>1533048.9801374914</v>
      </c>
      <c r="CY16" s="168">
        <f>'NOI(M)'!CZ16</f>
        <v>1500586.4630708457</v>
      </c>
      <c r="CZ16" s="168">
        <f>'NOI(M)'!DA16</f>
        <v>1500586.4630708457</v>
      </c>
      <c r="DA16" s="168">
        <f>'NOI(M)'!DB16</f>
        <v>1500586.4630708457</v>
      </c>
      <c r="DB16" s="168">
        <f>'NOI(M)'!DC16</f>
        <v>1504361.4144390454</v>
      </c>
      <c r="DC16" s="168">
        <f>'NOI(M)'!DD16</f>
        <v>1504361.4144390454</v>
      </c>
      <c r="DD16" s="168">
        <f>'NOI(M)'!DE16</f>
        <v>1504361.4144390454</v>
      </c>
      <c r="DE16" s="168">
        <f>'NOI(M)'!DF16</f>
        <v>1504604.8047225894</v>
      </c>
      <c r="DF16" s="168">
        <f>'NOI(M)'!DG16</f>
        <v>1510925.880169</v>
      </c>
      <c r="DG16" s="168">
        <f>'NOI(M)'!DH16</f>
        <v>1515720.7776377057</v>
      </c>
      <c r="DH16" s="168">
        <f>'NOI(M)'!DI16</f>
        <v>1529196.9805904694</v>
      </c>
      <c r="DI16" s="168">
        <f>'NOI(M)'!DJ16</f>
        <v>1529196.9805904694</v>
      </c>
      <c r="DJ16" s="168">
        <f>'NOI(M)'!DK16</f>
        <v>1534142.4616684054</v>
      </c>
      <c r="DK16" s="168">
        <f>'NOI(M)'!DL16</f>
        <v>1538591.7888744005</v>
      </c>
      <c r="DL16" s="168">
        <f>'NOI(M)'!DM16</f>
        <v>1538591.7888744005</v>
      </c>
      <c r="DM16" s="168">
        <f>'NOI(M)'!DN16</f>
        <v>1538591.7888744005</v>
      </c>
      <c r="DN16" s="168">
        <f>'NOI(M)'!DO16</f>
        <v>1542461.1140268054</v>
      </c>
      <c r="DO16" s="168">
        <f>'NOI(M)'!DP16</f>
        <v>1542461.1140268054</v>
      </c>
      <c r="DP16" s="168">
        <f>'NOI(M)'!DQ16</f>
        <v>1542461.1140268054</v>
      </c>
      <c r="DQ16" s="168">
        <f>'NOI(M)'!DR16</f>
        <v>1542710.5890674379</v>
      </c>
      <c r="DR16" s="168">
        <f>'NOI(M)'!DS16</f>
        <v>1549189.6914000085</v>
      </c>
      <c r="DS16" s="168">
        <f>'NOI(M)'!DT16</f>
        <v>1554104.461305432</v>
      </c>
      <c r="DT16" s="168">
        <f>'NOI(M)'!DU16</f>
        <v>1567426.9051052311</v>
      </c>
      <c r="DU16" s="168">
        <f>'NOI(M)'!DV16</f>
        <v>1567426.9051052311</v>
      </c>
      <c r="DV16" s="168">
        <f>'NOI(M)'!DW16</f>
        <v>1572496.0232101155</v>
      </c>
      <c r="DW16" s="168">
        <f>'NOI(M)'!DX16</f>
        <v>1577056.5835962603</v>
      </c>
      <c r="DX16" s="168">
        <f>'NOI(M)'!DY16</f>
        <v>1577056.5835962603</v>
      </c>
      <c r="DY16" s="168">
        <f>'NOI(M)'!DZ16</f>
        <v>1577056.5835962603</v>
      </c>
      <c r="DZ16" s="168">
        <f>'NOI(M)'!EA16</f>
        <v>1581022.6418774754</v>
      </c>
      <c r="EA16" s="168">
        <f>'NOI(M)'!EB16</f>
        <v>1581022.6418774754</v>
      </c>
      <c r="EB16" s="168">
        <f>'NOI(M)'!EC16</f>
        <v>1581022.6418774754</v>
      </c>
      <c r="EC16" s="168">
        <f>'NOI(M)'!ED16</f>
        <v>0</v>
      </c>
      <c r="ED16" s="168">
        <f>'NOI(M)'!EE16</f>
        <v>0</v>
      </c>
      <c r="EE16" s="168">
        <f>'NOI(M)'!EF16</f>
        <v>0</v>
      </c>
      <c r="EF16" s="168">
        <f>'NOI(M)'!EG16</f>
        <v>0</v>
      </c>
      <c r="EG16" s="168">
        <f>'NOI(M)'!EH16</f>
        <v>0</v>
      </c>
      <c r="EH16" s="168">
        <f>'NOI(M)'!EI16</f>
        <v>0</v>
      </c>
      <c r="EI16" s="168">
        <f>'NOI(M)'!EJ16</f>
        <v>0</v>
      </c>
      <c r="EJ16" s="168">
        <f>'NOI(M)'!EK16</f>
        <v>0</v>
      </c>
      <c r="EK16" s="168">
        <f>'NOI(M)'!EL16</f>
        <v>0</v>
      </c>
      <c r="EL16" s="168">
        <f>'NOI(M)'!EM16</f>
        <v>0</v>
      </c>
      <c r="EM16" s="168">
        <f>'NOI(M)'!EN16</f>
        <v>0</v>
      </c>
      <c r="EN16" s="168">
        <f>'NOI(M)'!EO16</f>
        <v>0</v>
      </c>
      <c r="EO16" s="168">
        <f>'NOI(M)'!EP16</f>
        <v>0</v>
      </c>
      <c r="EP16" s="168">
        <f>'NOI(M)'!EQ16</f>
        <v>0</v>
      </c>
      <c r="EQ16" s="168">
        <f>'NOI(M)'!ER16</f>
        <v>0</v>
      </c>
    </row>
    <row r="17" spans="2:147" ht="11.25" customHeight="1">
      <c r="B17" s="218"/>
      <c r="C17" s="163"/>
      <c r="D17" s="169" t="s">
        <v>184</v>
      </c>
      <c r="H17" s="146"/>
      <c r="I17" s="13"/>
      <c r="J17" s="171">
        <f t="shared" si="13"/>
        <v>-7537336.1067134272</v>
      </c>
      <c r="K17" s="98"/>
      <c r="L17" s="171">
        <f>'NOI(M)'!M17</f>
        <v>0</v>
      </c>
      <c r="M17" s="171">
        <f>'NOI(M)'!N17</f>
        <v>-19654.579999999998</v>
      </c>
      <c r="N17" s="171">
        <f>'NOI(M)'!O17</f>
        <v>-26981.625937499997</v>
      </c>
      <c r="O17" s="171">
        <f>'NOI(M)'!P17</f>
        <v>-221748.16687499997</v>
      </c>
      <c r="P17" s="171">
        <f>'NOI(M)'!Q17</f>
        <v>-137772.23850000001</v>
      </c>
      <c r="Q17" s="171">
        <f>'NOI(M)'!R17</f>
        <v>-68896.205249999999</v>
      </c>
      <c r="R17" s="171">
        <f>'NOI(M)'!S17</f>
        <v>-34448.102625</v>
      </c>
      <c r="S17" s="171">
        <f>'NOI(M)'!T17</f>
        <v>-173058.10949999999</v>
      </c>
      <c r="T17" s="171">
        <f>'NOI(M)'!U17</f>
        <v>-1089.9183749999997</v>
      </c>
      <c r="U17" s="171">
        <f>'NOI(M)'!V17</f>
        <v>-544.95918749999987</v>
      </c>
      <c r="V17" s="171">
        <f>'NOI(M)'!W17</f>
        <v>0</v>
      </c>
      <c r="W17" s="171">
        <f>'NOI(M)'!X17</f>
        <v>0</v>
      </c>
      <c r="X17" s="171">
        <f>'NOI(M)'!Y17</f>
        <v>-20145.944499999998</v>
      </c>
      <c r="Y17" s="171">
        <f>'NOI(M)'!Z17</f>
        <v>-20145.944499999998</v>
      </c>
      <c r="Z17" s="171">
        <f>'NOI(M)'!AA17</f>
        <v>-27656.166585937495</v>
      </c>
      <c r="AA17" s="171">
        <f>'NOI(M)'!AB17</f>
        <v>-227291.87104687496</v>
      </c>
      <c r="AB17" s="171">
        <f>'NOI(M)'!AC17</f>
        <v>-141216.54446249999</v>
      </c>
      <c r="AC17" s="171">
        <f>'NOI(M)'!AD17</f>
        <v>-70618.610381250008</v>
      </c>
      <c r="AD17" s="171">
        <f>'NOI(M)'!AE17</f>
        <v>-35309.305190625004</v>
      </c>
      <c r="AE17" s="171">
        <f>'NOI(M)'!AF17</f>
        <v>-177384.56223749998</v>
      </c>
      <c r="AF17" s="171">
        <f>'NOI(M)'!AG17</f>
        <v>-1117.1663343749997</v>
      </c>
      <c r="AG17" s="171">
        <f>'NOI(M)'!AH17</f>
        <v>-558.58316718749984</v>
      </c>
      <c r="AH17" s="171">
        <f>'NOI(M)'!AI17</f>
        <v>0</v>
      </c>
      <c r="AI17" s="171">
        <f>'NOI(M)'!AJ17</f>
        <v>0</v>
      </c>
      <c r="AJ17" s="171">
        <f>'NOI(M)'!AK17</f>
        <v>-20649.593112499999</v>
      </c>
      <c r="AK17" s="171">
        <f>'NOI(M)'!AL17</f>
        <v>0</v>
      </c>
      <c r="AL17" s="171">
        <f>'NOI(M)'!AM17</f>
        <v>-28347.570750585932</v>
      </c>
      <c r="AM17" s="171">
        <f>'NOI(M)'!AN17</f>
        <v>-56695.141501171864</v>
      </c>
      <c r="AN17" s="171">
        <f>'NOI(M)'!AO17</f>
        <v>0</v>
      </c>
      <c r="AO17" s="171">
        <f>'NOI(M)'!AP17</f>
        <v>-72384.075640781244</v>
      </c>
      <c r="AP17" s="171">
        <f>'NOI(M)'!AQ17</f>
        <v>-36192.037820390622</v>
      </c>
      <c r="AQ17" s="171">
        <f>'NOI(M)'!AR17</f>
        <v>0</v>
      </c>
      <c r="AR17" s="171">
        <f>'NOI(M)'!AS17</f>
        <v>-1063058.3140363542</v>
      </c>
      <c r="AS17" s="171">
        <f>'NOI(M)'!AT17</f>
        <v>-1062485.7662899871</v>
      </c>
      <c r="AT17" s="171">
        <f>'NOI(M)'!AU17</f>
        <v>-1061913.2185436198</v>
      </c>
      <c r="AU17" s="171">
        <f>'NOI(M)'!AV17</f>
        <v>-1061913.2185436198</v>
      </c>
      <c r="AV17" s="171">
        <f>'NOI(M)'!AW17</f>
        <v>-1083079.0514839324</v>
      </c>
      <c r="AW17" s="171">
        <f>'NOI(M)'!AX17</f>
        <v>0</v>
      </c>
      <c r="AX17" s="171">
        <f>'NOI(M)'!AY17</f>
        <v>0</v>
      </c>
      <c r="AY17" s="171">
        <f>'NOI(M)'!AZ17</f>
        <v>0</v>
      </c>
      <c r="AZ17" s="171">
        <f>'NOI(M)'!BA17</f>
        <v>0</v>
      </c>
      <c r="BA17" s="171">
        <f>'NOI(M)'!BB17</f>
        <v>-74193.677531800771</v>
      </c>
      <c r="BB17" s="171">
        <f>'NOI(M)'!BC17</f>
        <v>-37096.838765900386</v>
      </c>
      <c r="BC17" s="171">
        <f>'NOI(M)'!BD17</f>
        <v>0</v>
      </c>
      <c r="BD17" s="171">
        <f>'NOI(M)'!BE17</f>
        <v>0</v>
      </c>
      <c r="BE17" s="171">
        <f>'NOI(M)'!BF17</f>
        <v>0</v>
      </c>
      <c r="BF17" s="171">
        <f>'NOI(M)'!BG17</f>
        <v>0</v>
      </c>
      <c r="BG17" s="171">
        <f>'NOI(M)'!BH17</f>
        <v>0</v>
      </c>
      <c r="BH17" s="171">
        <f>'NOI(M)'!BI17</f>
        <v>0</v>
      </c>
      <c r="BI17" s="171">
        <f>'NOI(M)'!BJ17</f>
        <v>0</v>
      </c>
      <c r="BJ17" s="171">
        <f>'NOI(M)'!BK17</f>
        <v>0</v>
      </c>
      <c r="BK17" s="171">
        <f>'NOI(M)'!BL17</f>
        <v>0</v>
      </c>
      <c r="BL17" s="171">
        <f>'NOI(M)'!BM17</f>
        <v>0</v>
      </c>
      <c r="BM17" s="171">
        <f>'NOI(M)'!BN17</f>
        <v>-76048.51947009578</v>
      </c>
      <c r="BN17" s="171">
        <f>'NOI(M)'!BO17</f>
        <v>-38024.25973504789</v>
      </c>
      <c r="BO17" s="171">
        <f>'NOI(M)'!BP17</f>
        <v>0</v>
      </c>
      <c r="BP17" s="171">
        <f>'NOI(M)'!BQ17</f>
        <v>0</v>
      </c>
      <c r="BQ17" s="171">
        <f>'NOI(M)'!BR17</f>
        <v>0</v>
      </c>
      <c r="BR17" s="171">
        <f>'NOI(M)'!BS17</f>
        <v>0</v>
      </c>
      <c r="BS17" s="171">
        <f>'NOI(M)'!BT17</f>
        <v>0</v>
      </c>
      <c r="BT17" s="171">
        <f>'NOI(M)'!BU17</f>
        <v>0</v>
      </c>
      <c r="BU17" s="171">
        <f>'NOI(M)'!BV17</f>
        <v>0</v>
      </c>
      <c r="BV17" s="171">
        <f>'NOI(M)'!BW17</f>
        <v>0</v>
      </c>
      <c r="BW17" s="171">
        <f>'NOI(M)'!BX17</f>
        <v>0</v>
      </c>
      <c r="BX17" s="171">
        <f>'NOI(M)'!BY17</f>
        <v>0</v>
      </c>
      <c r="BY17" s="171">
        <f>'NOI(M)'!BZ17</f>
        <v>-77949.732456848185</v>
      </c>
      <c r="BZ17" s="171">
        <f>'NOI(M)'!CA17</f>
        <v>-38974.866228424093</v>
      </c>
      <c r="CA17" s="171">
        <f>'NOI(M)'!CB17</f>
        <v>0</v>
      </c>
      <c r="CB17" s="171">
        <f>'NOI(M)'!CC17</f>
        <v>0</v>
      </c>
      <c r="CC17" s="171">
        <f>'NOI(M)'!CD17</f>
        <v>0</v>
      </c>
      <c r="CD17" s="171">
        <f>'NOI(M)'!CE17</f>
        <v>0</v>
      </c>
      <c r="CE17" s="171">
        <f>'NOI(M)'!CF17</f>
        <v>0</v>
      </c>
      <c r="CF17" s="171">
        <f>'NOI(M)'!CG17</f>
        <v>0</v>
      </c>
      <c r="CG17" s="171">
        <f>'NOI(M)'!CH17</f>
        <v>0</v>
      </c>
      <c r="CH17" s="171">
        <f>'NOI(M)'!CI17</f>
        <v>0</v>
      </c>
      <c r="CI17" s="171">
        <f>'NOI(M)'!CJ17</f>
        <v>0</v>
      </c>
      <c r="CJ17" s="171">
        <f>'NOI(M)'!CK17</f>
        <v>0</v>
      </c>
      <c r="CK17" s="171">
        <f>'NOI(M)'!CL17</f>
        <v>-79898.475768269374</v>
      </c>
      <c r="CL17" s="171">
        <f>'NOI(M)'!CM17</f>
        <v>-39949.237884134687</v>
      </c>
      <c r="CM17" s="171">
        <f>'NOI(M)'!CN17</f>
        <v>0</v>
      </c>
      <c r="CN17" s="171">
        <f>'NOI(M)'!CO17</f>
        <v>0</v>
      </c>
      <c r="CO17" s="171">
        <f>'NOI(M)'!CP17</f>
        <v>0</v>
      </c>
      <c r="CP17" s="171">
        <f>'NOI(M)'!CQ17</f>
        <v>0</v>
      </c>
      <c r="CQ17" s="171">
        <f>'NOI(M)'!CR17</f>
        <v>0</v>
      </c>
      <c r="CR17" s="171">
        <f>'NOI(M)'!CS17</f>
        <v>0</v>
      </c>
      <c r="CS17" s="171">
        <f>'NOI(M)'!CT17</f>
        <v>0</v>
      </c>
      <c r="CT17" s="171">
        <f>'NOI(M)'!CU17</f>
        <v>0</v>
      </c>
      <c r="CU17" s="171">
        <f>'NOI(M)'!CV17</f>
        <v>0</v>
      </c>
      <c r="CV17" s="171">
        <f>'NOI(M)'!CW17</f>
        <v>0</v>
      </c>
      <c r="CW17" s="171">
        <f>'NOI(M)'!CX17</f>
        <v>-81895.937662476092</v>
      </c>
      <c r="CX17" s="171">
        <f>'NOI(M)'!CY17</f>
        <v>-40947.968831238046</v>
      </c>
      <c r="CY17" s="171">
        <f>'NOI(M)'!CZ17</f>
        <v>0</v>
      </c>
      <c r="CZ17" s="171">
        <f>'NOI(M)'!DA17</f>
        <v>0</v>
      </c>
      <c r="DA17" s="171">
        <f>'NOI(M)'!DB17</f>
        <v>0</v>
      </c>
      <c r="DB17" s="171">
        <f>'NOI(M)'!DC17</f>
        <v>0</v>
      </c>
      <c r="DC17" s="171">
        <f>'NOI(M)'!DD17</f>
        <v>0</v>
      </c>
      <c r="DD17" s="171">
        <f>'NOI(M)'!DE17</f>
        <v>0</v>
      </c>
      <c r="DE17" s="171">
        <f>'NOI(M)'!DF17</f>
        <v>0</v>
      </c>
      <c r="DF17" s="171">
        <f>'NOI(M)'!DG17</f>
        <v>0</v>
      </c>
      <c r="DG17" s="171">
        <f>'NOI(M)'!DH17</f>
        <v>0</v>
      </c>
      <c r="DH17" s="171">
        <f>'NOI(M)'!DI17</f>
        <v>0</v>
      </c>
      <c r="DI17" s="171">
        <f>'NOI(M)'!DJ17</f>
        <v>0</v>
      </c>
      <c r="DJ17" s="171">
        <f>'NOI(M)'!DK17</f>
        <v>0</v>
      </c>
      <c r="DK17" s="171">
        <f>'NOI(M)'!DL17</f>
        <v>0</v>
      </c>
      <c r="DL17" s="171">
        <f>'NOI(M)'!DM17</f>
        <v>0</v>
      </c>
      <c r="DM17" s="171">
        <f>'NOI(M)'!DN17</f>
        <v>0</v>
      </c>
      <c r="DN17" s="171">
        <f>'NOI(M)'!DO17</f>
        <v>0</v>
      </c>
      <c r="DO17" s="171">
        <f>'NOI(M)'!DP17</f>
        <v>0</v>
      </c>
      <c r="DP17" s="171">
        <f>'NOI(M)'!DQ17</f>
        <v>0</v>
      </c>
      <c r="DQ17" s="171">
        <f>'NOI(M)'!DR17</f>
        <v>0</v>
      </c>
      <c r="DR17" s="171">
        <f>'NOI(M)'!DS17</f>
        <v>0</v>
      </c>
      <c r="DS17" s="171">
        <f>'NOI(M)'!DT17</f>
        <v>0</v>
      </c>
      <c r="DT17" s="171">
        <f>'NOI(M)'!DU17</f>
        <v>0</v>
      </c>
      <c r="DU17" s="171">
        <f>'NOI(M)'!DV17</f>
        <v>0</v>
      </c>
      <c r="DV17" s="171">
        <f>'NOI(M)'!DW17</f>
        <v>0</v>
      </c>
      <c r="DW17" s="171">
        <f>'NOI(M)'!DX17</f>
        <v>0</v>
      </c>
      <c r="DX17" s="171">
        <f>'NOI(M)'!DY17</f>
        <v>0</v>
      </c>
      <c r="DY17" s="171">
        <f>'NOI(M)'!DZ17</f>
        <v>0</v>
      </c>
      <c r="DZ17" s="171">
        <f>'NOI(M)'!EA17</f>
        <v>0</v>
      </c>
      <c r="EA17" s="171">
        <f>'NOI(M)'!EB17</f>
        <v>0</v>
      </c>
      <c r="EB17" s="171">
        <f>'NOI(M)'!EC17</f>
        <v>0</v>
      </c>
      <c r="EC17" s="171">
        <f>'NOI(M)'!ED17</f>
        <v>0</v>
      </c>
      <c r="ED17" s="171">
        <f>'NOI(M)'!EE17</f>
        <v>0</v>
      </c>
      <c r="EE17" s="171">
        <f>'NOI(M)'!EF17</f>
        <v>0</v>
      </c>
      <c r="EF17" s="171">
        <f>'NOI(M)'!EG17</f>
        <v>0</v>
      </c>
      <c r="EG17" s="171">
        <f>'NOI(M)'!EH17</f>
        <v>0</v>
      </c>
      <c r="EH17" s="171">
        <f>'NOI(M)'!EI17</f>
        <v>0</v>
      </c>
      <c r="EI17" s="171">
        <f>'NOI(M)'!EJ17</f>
        <v>0</v>
      </c>
      <c r="EJ17" s="171">
        <f>'NOI(M)'!EK17</f>
        <v>0</v>
      </c>
      <c r="EK17" s="171">
        <f>'NOI(M)'!EL17</f>
        <v>0</v>
      </c>
      <c r="EL17" s="171">
        <f>'NOI(M)'!EM17</f>
        <v>0</v>
      </c>
      <c r="EM17" s="171">
        <f>'NOI(M)'!EN17</f>
        <v>0</v>
      </c>
      <c r="EN17" s="171">
        <f>'NOI(M)'!EO17</f>
        <v>0</v>
      </c>
      <c r="EO17" s="171">
        <f>'NOI(M)'!EP17</f>
        <v>0</v>
      </c>
      <c r="EP17" s="171">
        <f>'NOI(M)'!EQ17</f>
        <v>0</v>
      </c>
      <c r="EQ17" s="171">
        <f>'NOI(M)'!ER17</f>
        <v>0</v>
      </c>
    </row>
    <row r="18" spans="2:147" ht="11.25" customHeight="1">
      <c r="B18" s="218"/>
      <c r="C18" s="163"/>
      <c r="D18" s="169" t="s">
        <v>185</v>
      </c>
      <c r="H18" s="146"/>
      <c r="I18" s="13"/>
      <c r="J18" s="171">
        <f t="shared" si="13"/>
        <v>8636664.3042394556</v>
      </c>
      <c r="K18" s="98"/>
      <c r="L18" s="171">
        <f>'NOI(M)'!M18</f>
        <v>0</v>
      </c>
      <c r="M18" s="171">
        <f>'NOI(M)'!N18</f>
        <v>63897.836206250002</v>
      </c>
      <c r="N18" s="171">
        <f>'NOI(M)'!O18</f>
        <v>64168.260800000004</v>
      </c>
      <c r="O18" s="171">
        <f>'NOI(M)'!P18</f>
        <v>64373.128062500007</v>
      </c>
      <c r="P18" s="171">
        <f>'NOI(M)'!Q18</f>
        <v>64923.928692968751</v>
      </c>
      <c r="Q18" s="171">
        <f>'NOI(M)'!R18</f>
        <v>64923.928692968751</v>
      </c>
      <c r="R18" s="171">
        <f>'NOI(M)'!S18</f>
        <v>65134.975167968747</v>
      </c>
      <c r="S18" s="171">
        <f>'NOI(M)'!T18</f>
        <v>65322.138361406251</v>
      </c>
      <c r="T18" s="171">
        <f>'NOI(M)'!U18</f>
        <v>65322.138361406251</v>
      </c>
      <c r="U18" s="171">
        <f>'NOI(M)'!V18</f>
        <v>65322.138361406251</v>
      </c>
      <c r="V18" s="171">
        <f>'NOI(M)'!W18</f>
        <v>65322.138361406251</v>
      </c>
      <c r="W18" s="171">
        <f>'NOI(M)'!X18</f>
        <v>65322.138361406251</v>
      </c>
      <c r="X18" s="171">
        <f>'NOI(M)'!Y18</f>
        <v>65322.138361406251</v>
      </c>
      <c r="Y18" s="171">
        <f>'NOI(M)'!Z18</f>
        <v>65331.365111406252</v>
      </c>
      <c r="Z18" s="171">
        <f>'NOI(M)'!AA18</f>
        <v>65608.550319999995</v>
      </c>
      <c r="AA18" s="171">
        <f>'NOI(M)'!AB18</f>
        <v>65818.539264062492</v>
      </c>
      <c r="AB18" s="171">
        <f>'NOI(M)'!AC18</f>
        <v>66383.109910292958</v>
      </c>
      <c r="AC18" s="171">
        <f>'NOI(M)'!AD18</f>
        <v>66383.109910292958</v>
      </c>
      <c r="AD18" s="171">
        <f>'NOI(M)'!AE18</f>
        <v>66599.432547167962</v>
      </c>
      <c r="AE18" s="171">
        <f>'NOI(M)'!AF18</f>
        <v>66791.274820441409</v>
      </c>
      <c r="AF18" s="171">
        <f>'NOI(M)'!AG18</f>
        <v>66791.274820441409</v>
      </c>
      <c r="AG18" s="171">
        <f>'NOI(M)'!AH18</f>
        <v>66791.274820441409</v>
      </c>
      <c r="AH18" s="171">
        <f>'NOI(M)'!AI18</f>
        <v>66791.274820441409</v>
      </c>
      <c r="AI18" s="171">
        <f>'NOI(M)'!AJ18</f>
        <v>66791.274820441409</v>
      </c>
      <c r="AJ18" s="171">
        <f>'NOI(M)'!AK18</f>
        <v>66791.274820441409</v>
      </c>
      <c r="AK18" s="171">
        <f>'NOI(M)'!AL18</f>
        <v>66800.732239191406</v>
      </c>
      <c r="AL18" s="171">
        <f>'NOI(M)'!AM18</f>
        <v>67084.847078000006</v>
      </c>
      <c r="AM18" s="171">
        <f>'NOI(M)'!AN18</f>
        <v>67300.085745664052</v>
      </c>
      <c r="AN18" s="171">
        <f>'NOI(M)'!AO18</f>
        <v>67878.770658050285</v>
      </c>
      <c r="AO18" s="171">
        <f>'NOI(M)'!AP18</f>
        <v>67878.770658050285</v>
      </c>
      <c r="AP18" s="171">
        <f>'NOI(M)'!AQ18</f>
        <v>68100.501360847149</v>
      </c>
      <c r="AQ18" s="171">
        <f>'NOI(M)'!AR18</f>
        <v>68297.139690952434</v>
      </c>
      <c r="AR18" s="171">
        <f>'NOI(M)'!AS18</f>
        <v>68297.139690952434</v>
      </c>
      <c r="AS18" s="171">
        <f>'NOI(M)'!AT18</f>
        <v>68297.139690952434</v>
      </c>
      <c r="AT18" s="171">
        <f>'NOI(M)'!AU18</f>
        <v>68297.139690952434</v>
      </c>
      <c r="AU18" s="171">
        <f>'NOI(M)'!AV18</f>
        <v>68297.139690952434</v>
      </c>
      <c r="AV18" s="171">
        <f>'NOI(M)'!AW18</f>
        <v>68297.139690952434</v>
      </c>
      <c r="AW18" s="171">
        <f>'NOI(M)'!AX18</f>
        <v>68306.83354517119</v>
      </c>
      <c r="AX18" s="171">
        <f>'NOI(M)'!AY18</f>
        <v>68598.051254949998</v>
      </c>
      <c r="AY18" s="171">
        <f>'NOI(M)'!AZ18</f>
        <v>68818.670889305649</v>
      </c>
      <c r="AZ18" s="171">
        <f>'NOI(M)'!BA18</f>
        <v>69411.822924501539</v>
      </c>
      <c r="BA18" s="171">
        <f>'NOI(M)'!BB18</f>
        <v>69411.822924501539</v>
      </c>
      <c r="BB18" s="171">
        <f>'NOI(M)'!BC18</f>
        <v>69639.096894868329</v>
      </c>
      <c r="BC18" s="171">
        <f>'NOI(M)'!BD18</f>
        <v>69840.651183226233</v>
      </c>
      <c r="BD18" s="171">
        <f>'NOI(M)'!BE18</f>
        <v>69840.651183226233</v>
      </c>
      <c r="BE18" s="171">
        <f>'NOI(M)'!BF18</f>
        <v>69840.651183226233</v>
      </c>
      <c r="BF18" s="171">
        <f>'NOI(M)'!BG18</f>
        <v>69840.651183226233</v>
      </c>
      <c r="BG18" s="171">
        <f>'NOI(M)'!BH18</f>
        <v>69840.651183226233</v>
      </c>
      <c r="BH18" s="171">
        <f>'NOI(M)'!BI18</f>
        <v>69840.651183226233</v>
      </c>
      <c r="BI18" s="171">
        <f>'NOI(M)'!BJ18</f>
        <v>69850.587383800463</v>
      </c>
      <c r="BJ18" s="171">
        <f>'NOI(M)'!BK18</f>
        <v>70149.085536323735</v>
      </c>
      <c r="BK18" s="171">
        <f>'NOI(M)'!BL18</f>
        <v>70375.220661538289</v>
      </c>
      <c r="BL18" s="171">
        <f>'NOI(M)'!BM18</f>
        <v>70983.201497614064</v>
      </c>
      <c r="BM18" s="171">
        <f>'NOI(M)'!BN18</f>
        <v>70983.201497614064</v>
      </c>
      <c r="BN18" s="171">
        <f>'NOI(M)'!BO18</f>
        <v>71216.157317240039</v>
      </c>
      <c r="BO18" s="171">
        <f>'NOI(M)'!BP18</f>
        <v>71422.7504628069</v>
      </c>
      <c r="BP18" s="171">
        <f>'NOI(M)'!BQ18</f>
        <v>71422.7504628069</v>
      </c>
      <c r="BQ18" s="171">
        <f>'NOI(M)'!BR18</f>
        <v>71422.7504628069</v>
      </c>
      <c r="BR18" s="171">
        <f>'NOI(M)'!BS18</f>
        <v>71422.7504628069</v>
      </c>
      <c r="BS18" s="171">
        <f>'NOI(M)'!BT18</f>
        <v>71422.7504628069</v>
      </c>
      <c r="BT18" s="171">
        <f>'NOI(M)'!BU18</f>
        <v>71422.7504628069</v>
      </c>
      <c r="BU18" s="171">
        <f>'NOI(M)'!BV18</f>
        <v>71432.935068395469</v>
      </c>
      <c r="BV18" s="171">
        <f>'NOI(M)'!BW18</f>
        <v>71738.89567473183</v>
      </c>
      <c r="BW18" s="171">
        <f>'NOI(M)'!BX18</f>
        <v>71970.684178076743</v>
      </c>
      <c r="BX18" s="171">
        <f>'NOI(M)'!BY18</f>
        <v>72593.864535054425</v>
      </c>
      <c r="BY18" s="171">
        <f>'NOI(M)'!BZ18</f>
        <v>72593.864535054425</v>
      </c>
      <c r="BZ18" s="171">
        <f>'NOI(M)'!CA18</f>
        <v>72832.644250171041</v>
      </c>
      <c r="CA18" s="171">
        <f>'NOI(M)'!CB18</f>
        <v>73044.40222437706</v>
      </c>
      <c r="CB18" s="171">
        <f>'NOI(M)'!CC18</f>
        <v>73044.40222437706</v>
      </c>
      <c r="CC18" s="171">
        <f>'NOI(M)'!CD18</f>
        <v>73044.40222437706</v>
      </c>
      <c r="CD18" s="171">
        <f>'NOI(M)'!CE18</f>
        <v>73044.40222437706</v>
      </c>
      <c r="CE18" s="171">
        <f>'NOI(M)'!CF18</f>
        <v>73044.40222437706</v>
      </c>
      <c r="CF18" s="171">
        <f>'NOI(M)'!CG18</f>
        <v>73044.40222437706</v>
      </c>
      <c r="CG18" s="171">
        <f>'NOI(M)'!CH18</f>
        <v>73054.84144510534</v>
      </c>
      <c r="CH18" s="171">
        <f>'NOI(M)'!CI18</f>
        <v>73368.451066600101</v>
      </c>
      <c r="CI18" s="171">
        <f>'NOI(M)'!CJ18</f>
        <v>73606.03428252865</v>
      </c>
      <c r="CJ18" s="171">
        <f>'NOI(M)'!CK18</f>
        <v>74244.794148430767</v>
      </c>
      <c r="CK18" s="171">
        <f>'NOI(M)'!CL18</f>
        <v>74244.794148430767</v>
      </c>
      <c r="CL18" s="171">
        <f>'NOI(M)'!CM18</f>
        <v>74489.543356425304</v>
      </c>
      <c r="CM18" s="171">
        <f>'NOI(M)'!CN18</f>
        <v>74706.595279986475</v>
      </c>
      <c r="CN18" s="171">
        <f>'NOI(M)'!CO18</f>
        <v>74706.595279986475</v>
      </c>
      <c r="CO18" s="171">
        <f>'NOI(M)'!CP18</f>
        <v>74706.595279986475</v>
      </c>
      <c r="CP18" s="171">
        <f>'NOI(M)'!CQ18</f>
        <v>74706.595279986475</v>
      </c>
      <c r="CQ18" s="171">
        <f>'NOI(M)'!CR18</f>
        <v>74706.595279986475</v>
      </c>
      <c r="CR18" s="171">
        <f>'NOI(M)'!CS18</f>
        <v>74706.595279986475</v>
      </c>
      <c r="CS18" s="171">
        <f>'NOI(M)'!CT18</f>
        <v>74717.29548123297</v>
      </c>
      <c r="CT18" s="171">
        <f>'NOI(M)'!CU18</f>
        <v>75038.745343265109</v>
      </c>
      <c r="CU18" s="171">
        <f>'NOI(M)'!CV18</f>
        <v>75282.268139591877</v>
      </c>
      <c r="CV18" s="171">
        <f>'NOI(M)'!CW18</f>
        <v>75936.997002141536</v>
      </c>
      <c r="CW18" s="171">
        <f>'NOI(M)'!CX18</f>
        <v>75936.997002141536</v>
      </c>
      <c r="CX18" s="171">
        <f>'NOI(M)'!CY18</f>
        <v>76187.86494033593</v>
      </c>
      <c r="CY18" s="171">
        <f>'NOI(M)'!CZ18</f>
        <v>76408.491055689025</v>
      </c>
      <c r="CZ18" s="171">
        <f>'NOI(M)'!DA18</f>
        <v>76408.491055689025</v>
      </c>
      <c r="DA18" s="171">
        <f>'NOI(M)'!DB18</f>
        <v>76408.491055689025</v>
      </c>
      <c r="DB18" s="171">
        <f>'NOI(M)'!DC18</f>
        <v>76408.491055689025</v>
      </c>
      <c r="DC18" s="171">
        <f>'NOI(M)'!DD18</f>
        <v>76408.491055689025</v>
      </c>
      <c r="DD18" s="171">
        <f>'NOI(M)'!DE18</f>
        <v>76408.491055689025</v>
      </c>
      <c r="DE18" s="171">
        <f>'NOI(M)'!DF18</f>
        <v>76421.104100719094</v>
      </c>
      <c r="DF18" s="171">
        <f>'NOI(M)'!DG18</f>
        <v>76749.762795932154</v>
      </c>
      <c r="DG18" s="171">
        <f>'NOI(M)'!DH18</f>
        <v>76998.6942531026</v>
      </c>
      <c r="DH18" s="171">
        <f>'NOI(M)'!DI18</f>
        <v>77667.903795660881</v>
      </c>
      <c r="DI18" s="171">
        <f>'NOI(M)'!DJ18</f>
        <v>77667.903795660881</v>
      </c>
      <c r="DJ18" s="171">
        <f>'NOI(M)'!DK18</f>
        <v>77924.190014745342</v>
      </c>
      <c r="DK18" s="171">
        <f>'NOI(M)'!DL18</f>
        <v>78154.786332081218</v>
      </c>
      <c r="DL18" s="171">
        <f>'NOI(M)'!DM18</f>
        <v>78154.786332081218</v>
      </c>
      <c r="DM18" s="171">
        <f>'NOI(M)'!DN18</f>
        <v>78154.786332081218</v>
      </c>
      <c r="DN18" s="171">
        <f>'NOI(M)'!DO18</f>
        <v>78154.786332081218</v>
      </c>
      <c r="DO18" s="171">
        <f>'NOI(M)'!DP18</f>
        <v>78154.786332081218</v>
      </c>
      <c r="DP18" s="171">
        <f>'NOI(M)'!DQ18</f>
        <v>78154.786332081218</v>
      </c>
      <c r="DQ18" s="171">
        <f>'NOI(M)'!DR18</f>
        <v>78167.714703237056</v>
      </c>
      <c r="DR18" s="171">
        <f>'NOI(M)'!DS18</f>
        <v>78504.589865830436</v>
      </c>
      <c r="DS18" s="171">
        <f>'NOI(M)'!DT18</f>
        <v>78759.744609430156</v>
      </c>
      <c r="DT18" s="171">
        <f>'NOI(M)'!DU18</f>
        <v>79445.684390552386</v>
      </c>
      <c r="DU18" s="171">
        <f>'NOI(M)'!DV18</f>
        <v>79445.684390552386</v>
      </c>
      <c r="DV18" s="171">
        <f>'NOI(M)'!DW18</f>
        <v>79708.377765113968</v>
      </c>
      <c r="DW18" s="171">
        <f>'NOI(M)'!DX18</f>
        <v>79944.738990383266</v>
      </c>
      <c r="DX18" s="171">
        <f>'NOI(M)'!DY18</f>
        <v>79944.738990383266</v>
      </c>
      <c r="DY18" s="171">
        <f>'NOI(M)'!DZ18</f>
        <v>79944.738990383266</v>
      </c>
      <c r="DZ18" s="171">
        <f>'NOI(M)'!EA18</f>
        <v>79944.738990383266</v>
      </c>
      <c r="EA18" s="171">
        <f>'NOI(M)'!EB18</f>
        <v>79944.738990383266</v>
      </c>
      <c r="EB18" s="171">
        <f>'NOI(M)'!EC18</f>
        <v>79944.738990383266</v>
      </c>
      <c r="EC18" s="171">
        <f>'NOI(M)'!ED18</f>
        <v>0</v>
      </c>
      <c r="ED18" s="171">
        <f>'NOI(M)'!EE18</f>
        <v>0</v>
      </c>
      <c r="EE18" s="171">
        <f>'NOI(M)'!EF18</f>
        <v>0</v>
      </c>
      <c r="EF18" s="171">
        <f>'NOI(M)'!EG18</f>
        <v>0</v>
      </c>
      <c r="EG18" s="171">
        <f>'NOI(M)'!EH18</f>
        <v>0</v>
      </c>
      <c r="EH18" s="171">
        <f>'NOI(M)'!EI18</f>
        <v>0</v>
      </c>
      <c r="EI18" s="171">
        <f>'NOI(M)'!EJ18</f>
        <v>0</v>
      </c>
      <c r="EJ18" s="171">
        <f>'NOI(M)'!EK18</f>
        <v>0</v>
      </c>
      <c r="EK18" s="171">
        <f>'NOI(M)'!EL18</f>
        <v>0</v>
      </c>
      <c r="EL18" s="171">
        <f>'NOI(M)'!EM18</f>
        <v>0</v>
      </c>
      <c r="EM18" s="171">
        <f>'NOI(M)'!EN18</f>
        <v>0</v>
      </c>
      <c r="EN18" s="171">
        <f>'NOI(M)'!EO18</f>
        <v>0</v>
      </c>
      <c r="EO18" s="171">
        <f>'NOI(M)'!EP18</f>
        <v>0</v>
      </c>
      <c r="EP18" s="171">
        <f>'NOI(M)'!EQ18</f>
        <v>0</v>
      </c>
      <c r="EQ18" s="171">
        <f>'NOI(M)'!ER18</f>
        <v>0</v>
      </c>
    </row>
    <row r="19" spans="2:147" ht="11.25" customHeight="1">
      <c r="B19" s="218"/>
      <c r="C19" s="163"/>
      <c r="D19" s="169" t="s">
        <v>186</v>
      </c>
      <c r="H19" s="90"/>
      <c r="I19" s="222"/>
      <c r="J19" s="171">
        <f t="shared" si="13"/>
        <v>1429432.1490399991</v>
      </c>
      <c r="K19" s="98"/>
      <c r="L19" s="171">
        <f>'NOI(M)'!M19</f>
        <v>0</v>
      </c>
      <c r="M19" s="171">
        <f>'NOI(M)'!N19</f>
        <v>11911.934575333333</v>
      </c>
      <c r="N19" s="171">
        <f>'NOI(M)'!O19</f>
        <v>11911.934575333333</v>
      </c>
      <c r="O19" s="171">
        <f>'NOI(M)'!P19</f>
        <v>11911.934575333333</v>
      </c>
      <c r="P19" s="171">
        <f>'NOI(M)'!Q19</f>
        <v>11911.934575333333</v>
      </c>
      <c r="Q19" s="171">
        <f>'NOI(M)'!R19</f>
        <v>11911.934575333333</v>
      </c>
      <c r="R19" s="171">
        <f>'NOI(M)'!S19</f>
        <v>11911.934575333333</v>
      </c>
      <c r="S19" s="171">
        <f>'NOI(M)'!T19</f>
        <v>11911.934575333333</v>
      </c>
      <c r="T19" s="171">
        <f>'NOI(M)'!U19</f>
        <v>11911.934575333333</v>
      </c>
      <c r="U19" s="171">
        <f>'NOI(M)'!V19</f>
        <v>11911.934575333333</v>
      </c>
      <c r="V19" s="171">
        <f>'NOI(M)'!W19</f>
        <v>11911.934575333333</v>
      </c>
      <c r="W19" s="171">
        <f>'NOI(M)'!X19</f>
        <v>11911.934575333333</v>
      </c>
      <c r="X19" s="171">
        <f>'NOI(M)'!Y19</f>
        <v>11911.934575333333</v>
      </c>
      <c r="Y19" s="171">
        <f>'NOI(M)'!Z19</f>
        <v>11911.934575333333</v>
      </c>
      <c r="Z19" s="171">
        <f>'NOI(M)'!AA19</f>
        <v>11911.934575333333</v>
      </c>
      <c r="AA19" s="171">
        <f>'NOI(M)'!AB19</f>
        <v>11911.934575333333</v>
      </c>
      <c r="AB19" s="171">
        <f>'NOI(M)'!AC19</f>
        <v>11911.934575333333</v>
      </c>
      <c r="AC19" s="171">
        <f>'NOI(M)'!AD19</f>
        <v>11911.934575333333</v>
      </c>
      <c r="AD19" s="171">
        <f>'NOI(M)'!AE19</f>
        <v>11911.934575333333</v>
      </c>
      <c r="AE19" s="171">
        <f>'NOI(M)'!AF19</f>
        <v>11911.934575333333</v>
      </c>
      <c r="AF19" s="171">
        <f>'NOI(M)'!AG19</f>
        <v>11911.934575333333</v>
      </c>
      <c r="AG19" s="171">
        <f>'NOI(M)'!AH19</f>
        <v>11911.934575333333</v>
      </c>
      <c r="AH19" s="171">
        <f>'NOI(M)'!AI19</f>
        <v>11911.934575333333</v>
      </c>
      <c r="AI19" s="171">
        <f>'NOI(M)'!AJ19</f>
        <v>11911.934575333333</v>
      </c>
      <c r="AJ19" s="171">
        <f>'NOI(M)'!AK19</f>
        <v>11911.934575333333</v>
      </c>
      <c r="AK19" s="171">
        <f>'NOI(M)'!AL19</f>
        <v>11911.934575333333</v>
      </c>
      <c r="AL19" s="171">
        <f>'NOI(M)'!AM19</f>
        <v>11911.934575333333</v>
      </c>
      <c r="AM19" s="171">
        <f>'NOI(M)'!AN19</f>
        <v>11911.934575333333</v>
      </c>
      <c r="AN19" s="171">
        <f>'NOI(M)'!AO19</f>
        <v>11911.934575333333</v>
      </c>
      <c r="AO19" s="171">
        <f>'NOI(M)'!AP19</f>
        <v>11911.934575333333</v>
      </c>
      <c r="AP19" s="171">
        <f>'NOI(M)'!AQ19</f>
        <v>11911.934575333333</v>
      </c>
      <c r="AQ19" s="171">
        <f>'NOI(M)'!AR19</f>
        <v>11911.934575333333</v>
      </c>
      <c r="AR19" s="171">
        <f>'NOI(M)'!AS19</f>
        <v>11911.934575333333</v>
      </c>
      <c r="AS19" s="171">
        <f>'NOI(M)'!AT19</f>
        <v>11911.934575333333</v>
      </c>
      <c r="AT19" s="171">
        <f>'NOI(M)'!AU19</f>
        <v>11911.934575333333</v>
      </c>
      <c r="AU19" s="171">
        <f>'NOI(M)'!AV19</f>
        <v>11911.934575333333</v>
      </c>
      <c r="AV19" s="171">
        <f>'NOI(M)'!AW19</f>
        <v>11911.934575333333</v>
      </c>
      <c r="AW19" s="171">
        <f>'NOI(M)'!AX19</f>
        <v>11911.934575333333</v>
      </c>
      <c r="AX19" s="171">
        <f>'NOI(M)'!AY19</f>
        <v>11911.934575333333</v>
      </c>
      <c r="AY19" s="171">
        <f>'NOI(M)'!AZ19</f>
        <v>11911.934575333333</v>
      </c>
      <c r="AZ19" s="171">
        <f>'NOI(M)'!BA19</f>
        <v>11911.934575333333</v>
      </c>
      <c r="BA19" s="171">
        <f>'NOI(M)'!BB19</f>
        <v>11911.934575333333</v>
      </c>
      <c r="BB19" s="171">
        <f>'NOI(M)'!BC19</f>
        <v>11911.934575333333</v>
      </c>
      <c r="BC19" s="171">
        <f>'NOI(M)'!BD19</f>
        <v>11911.934575333333</v>
      </c>
      <c r="BD19" s="171">
        <f>'NOI(M)'!BE19</f>
        <v>11911.934575333333</v>
      </c>
      <c r="BE19" s="171">
        <f>'NOI(M)'!BF19</f>
        <v>11911.934575333333</v>
      </c>
      <c r="BF19" s="171">
        <f>'NOI(M)'!BG19</f>
        <v>11911.934575333333</v>
      </c>
      <c r="BG19" s="171">
        <f>'NOI(M)'!BH19</f>
        <v>11911.934575333333</v>
      </c>
      <c r="BH19" s="171">
        <f>'NOI(M)'!BI19</f>
        <v>11911.934575333333</v>
      </c>
      <c r="BI19" s="171">
        <f>'NOI(M)'!BJ19</f>
        <v>11911.934575333333</v>
      </c>
      <c r="BJ19" s="171">
        <f>'NOI(M)'!BK19</f>
        <v>11911.934575333333</v>
      </c>
      <c r="BK19" s="171">
        <f>'NOI(M)'!BL19</f>
        <v>11911.934575333333</v>
      </c>
      <c r="BL19" s="171">
        <f>'NOI(M)'!BM19</f>
        <v>11911.934575333333</v>
      </c>
      <c r="BM19" s="171">
        <f>'NOI(M)'!BN19</f>
        <v>11911.934575333333</v>
      </c>
      <c r="BN19" s="171">
        <f>'NOI(M)'!BO19</f>
        <v>11911.934575333333</v>
      </c>
      <c r="BO19" s="171">
        <f>'NOI(M)'!BP19</f>
        <v>11911.934575333333</v>
      </c>
      <c r="BP19" s="171">
        <f>'NOI(M)'!BQ19</f>
        <v>11911.934575333333</v>
      </c>
      <c r="BQ19" s="171">
        <f>'NOI(M)'!BR19</f>
        <v>11911.934575333333</v>
      </c>
      <c r="BR19" s="171">
        <f>'NOI(M)'!BS19</f>
        <v>11911.934575333333</v>
      </c>
      <c r="BS19" s="171">
        <f>'NOI(M)'!BT19</f>
        <v>11911.934575333333</v>
      </c>
      <c r="BT19" s="171">
        <f>'NOI(M)'!BU19</f>
        <v>11911.934575333333</v>
      </c>
      <c r="BU19" s="171">
        <f>'NOI(M)'!BV19</f>
        <v>11911.934575333333</v>
      </c>
      <c r="BV19" s="171">
        <f>'NOI(M)'!BW19</f>
        <v>11911.934575333333</v>
      </c>
      <c r="BW19" s="171">
        <f>'NOI(M)'!BX19</f>
        <v>11911.934575333333</v>
      </c>
      <c r="BX19" s="171">
        <f>'NOI(M)'!BY19</f>
        <v>11911.934575333333</v>
      </c>
      <c r="BY19" s="171">
        <f>'NOI(M)'!BZ19</f>
        <v>11911.934575333333</v>
      </c>
      <c r="BZ19" s="171">
        <f>'NOI(M)'!CA19</f>
        <v>11911.934575333333</v>
      </c>
      <c r="CA19" s="171">
        <f>'NOI(M)'!CB19</f>
        <v>11911.934575333333</v>
      </c>
      <c r="CB19" s="171">
        <f>'NOI(M)'!CC19</f>
        <v>11911.934575333333</v>
      </c>
      <c r="CC19" s="171">
        <f>'NOI(M)'!CD19</f>
        <v>11911.934575333333</v>
      </c>
      <c r="CD19" s="171">
        <f>'NOI(M)'!CE19</f>
        <v>11911.934575333333</v>
      </c>
      <c r="CE19" s="171">
        <f>'NOI(M)'!CF19</f>
        <v>11911.934575333333</v>
      </c>
      <c r="CF19" s="171">
        <f>'NOI(M)'!CG19</f>
        <v>11911.934575333333</v>
      </c>
      <c r="CG19" s="171">
        <f>'NOI(M)'!CH19</f>
        <v>11911.934575333333</v>
      </c>
      <c r="CH19" s="171">
        <f>'NOI(M)'!CI19</f>
        <v>11911.934575333333</v>
      </c>
      <c r="CI19" s="171">
        <f>'NOI(M)'!CJ19</f>
        <v>11911.934575333333</v>
      </c>
      <c r="CJ19" s="171">
        <f>'NOI(M)'!CK19</f>
        <v>11911.934575333333</v>
      </c>
      <c r="CK19" s="171">
        <f>'NOI(M)'!CL19</f>
        <v>11911.934575333333</v>
      </c>
      <c r="CL19" s="171">
        <f>'NOI(M)'!CM19</f>
        <v>11911.934575333333</v>
      </c>
      <c r="CM19" s="171">
        <f>'NOI(M)'!CN19</f>
        <v>11911.934575333333</v>
      </c>
      <c r="CN19" s="171">
        <f>'NOI(M)'!CO19</f>
        <v>11911.934575333333</v>
      </c>
      <c r="CO19" s="171">
        <f>'NOI(M)'!CP19</f>
        <v>11911.934575333333</v>
      </c>
      <c r="CP19" s="171">
        <f>'NOI(M)'!CQ19</f>
        <v>11911.934575333333</v>
      </c>
      <c r="CQ19" s="171">
        <f>'NOI(M)'!CR19</f>
        <v>11911.934575333333</v>
      </c>
      <c r="CR19" s="171">
        <f>'NOI(M)'!CS19</f>
        <v>11911.934575333333</v>
      </c>
      <c r="CS19" s="171">
        <f>'NOI(M)'!CT19</f>
        <v>11911.934575333333</v>
      </c>
      <c r="CT19" s="171">
        <f>'NOI(M)'!CU19</f>
        <v>11911.934575333333</v>
      </c>
      <c r="CU19" s="171">
        <f>'NOI(M)'!CV19</f>
        <v>11911.934575333333</v>
      </c>
      <c r="CV19" s="171">
        <f>'NOI(M)'!CW19</f>
        <v>11911.934575333333</v>
      </c>
      <c r="CW19" s="171">
        <f>'NOI(M)'!CX19</f>
        <v>11911.934575333333</v>
      </c>
      <c r="CX19" s="171">
        <f>'NOI(M)'!CY19</f>
        <v>11911.934575333333</v>
      </c>
      <c r="CY19" s="171">
        <f>'NOI(M)'!CZ19</f>
        <v>11911.934575333333</v>
      </c>
      <c r="CZ19" s="171">
        <f>'NOI(M)'!DA19</f>
        <v>11911.934575333333</v>
      </c>
      <c r="DA19" s="171">
        <f>'NOI(M)'!DB19</f>
        <v>11911.934575333333</v>
      </c>
      <c r="DB19" s="171">
        <f>'NOI(M)'!DC19</f>
        <v>11911.934575333333</v>
      </c>
      <c r="DC19" s="171">
        <f>'NOI(M)'!DD19</f>
        <v>11911.934575333333</v>
      </c>
      <c r="DD19" s="171">
        <f>'NOI(M)'!DE19</f>
        <v>11911.934575333333</v>
      </c>
      <c r="DE19" s="171">
        <f>'NOI(M)'!DF19</f>
        <v>11911.934575333333</v>
      </c>
      <c r="DF19" s="171">
        <f>'NOI(M)'!DG19</f>
        <v>11911.934575333333</v>
      </c>
      <c r="DG19" s="171">
        <f>'NOI(M)'!DH19</f>
        <v>11911.934575333333</v>
      </c>
      <c r="DH19" s="171">
        <f>'NOI(M)'!DI19</f>
        <v>11911.934575333333</v>
      </c>
      <c r="DI19" s="171">
        <f>'NOI(M)'!DJ19</f>
        <v>11911.934575333333</v>
      </c>
      <c r="DJ19" s="171">
        <f>'NOI(M)'!DK19</f>
        <v>11911.934575333333</v>
      </c>
      <c r="DK19" s="171">
        <f>'NOI(M)'!DL19</f>
        <v>11911.934575333333</v>
      </c>
      <c r="DL19" s="171">
        <f>'NOI(M)'!DM19</f>
        <v>11911.934575333333</v>
      </c>
      <c r="DM19" s="171">
        <f>'NOI(M)'!DN19</f>
        <v>11911.934575333333</v>
      </c>
      <c r="DN19" s="171">
        <f>'NOI(M)'!DO19</f>
        <v>11911.934575333333</v>
      </c>
      <c r="DO19" s="171">
        <f>'NOI(M)'!DP19</f>
        <v>11911.934575333333</v>
      </c>
      <c r="DP19" s="171">
        <f>'NOI(M)'!DQ19</f>
        <v>11911.934575333333</v>
      </c>
      <c r="DQ19" s="171">
        <f>'NOI(M)'!DR19</f>
        <v>11911.934575333333</v>
      </c>
      <c r="DR19" s="171">
        <f>'NOI(M)'!DS19</f>
        <v>11911.934575333333</v>
      </c>
      <c r="DS19" s="171">
        <f>'NOI(M)'!DT19</f>
        <v>11911.934575333333</v>
      </c>
      <c r="DT19" s="171">
        <f>'NOI(M)'!DU19</f>
        <v>11911.934575333333</v>
      </c>
      <c r="DU19" s="171">
        <f>'NOI(M)'!DV19</f>
        <v>11911.934575333333</v>
      </c>
      <c r="DV19" s="171">
        <f>'NOI(M)'!DW19</f>
        <v>11911.934575333333</v>
      </c>
      <c r="DW19" s="171">
        <f>'NOI(M)'!DX19</f>
        <v>11911.934575333333</v>
      </c>
      <c r="DX19" s="171">
        <f>'NOI(M)'!DY19</f>
        <v>11911.934575333333</v>
      </c>
      <c r="DY19" s="171">
        <f>'NOI(M)'!DZ19</f>
        <v>11911.934575333333</v>
      </c>
      <c r="DZ19" s="171">
        <f>'NOI(M)'!EA19</f>
        <v>11911.934575333333</v>
      </c>
      <c r="EA19" s="171">
        <f>'NOI(M)'!EB19</f>
        <v>11911.934575333333</v>
      </c>
      <c r="EB19" s="171">
        <f>'NOI(M)'!EC19</f>
        <v>11911.934575333333</v>
      </c>
      <c r="EC19" s="171">
        <f>'NOI(M)'!ED19</f>
        <v>0</v>
      </c>
      <c r="ED19" s="171">
        <f>'NOI(M)'!EE19</f>
        <v>0</v>
      </c>
      <c r="EE19" s="171">
        <f>'NOI(M)'!EF19</f>
        <v>0</v>
      </c>
      <c r="EF19" s="171">
        <f>'NOI(M)'!EG19</f>
        <v>0</v>
      </c>
      <c r="EG19" s="171">
        <f>'NOI(M)'!EH19</f>
        <v>0</v>
      </c>
      <c r="EH19" s="171">
        <f>'NOI(M)'!EI19</f>
        <v>0</v>
      </c>
      <c r="EI19" s="171">
        <f>'NOI(M)'!EJ19</f>
        <v>0</v>
      </c>
      <c r="EJ19" s="171">
        <f>'NOI(M)'!EK19</f>
        <v>0</v>
      </c>
      <c r="EK19" s="171">
        <f>'NOI(M)'!EL19</f>
        <v>0</v>
      </c>
      <c r="EL19" s="171">
        <f>'NOI(M)'!EM19</f>
        <v>0</v>
      </c>
      <c r="EM19" s="171">
        <f>'NOI(M)'!EN19</f>
        <v>0</v>
      </c>
      <c r="EN19" s="171">
        <f>'NOI(M)'!EO19</f>
        <v>0</v>
      </c>
      <c r="EO19" s="171">
        <f>'NOI(M)'!EP19</f>
        <v>0</v>
      </c>
      <c r="EP19" s="171">
        <f>'NOI(M)'!EQ19</f>
        <v>0</v>
      </c>
      <c r="EQ19" s="171">
        <f>'NOI(M)'!ER19</f>
        <v>0</v>
      </c>
    </row>
    <row r="20" spans="2:147" ht="11.25" customHeight="1">
      <c r="B20" s="218"/>
      <c r="C20" s="163"/>
      <c r="D20" s="169" t="s">
        <v>239</v>
      </c>
      <c r="H20" s="90"/>
      <c r="I20" s="222"/>
      <c r="J20" s="171">
        <f t="shared" ca="1" si="13"/>
        <v>0</v>
      </c>
      <c r="K20" s="98"/>
      <c r="L20" s="171">
        <f>'IS(M)'!M44</f>
        <v>0</v>
      </c>
      <c r="M20" s="171">
        <f ca="1">'IS(M)'!N44</f>
        <v>0</v>
      </c>
      <c r="N20" s="171">
        <f ca="1">'IS(M)'!O44</f>
        <v>0</v>
      </c>
      <c r="O20" s="171">
        <f ca="1">'IS(M)'!P44</f>
        <v>0</v>
      </c>
      <c r="P20" s="171">
        <f ca="1">'IS(M)'!Q44</f>
        <v>0</v>
      </c>
      <c r="Q20" s="171">
        <f ca="1">'IS(M)'!R44</f>
        <v>0</v>
      </c>
      <c r="R20" s="171">
        <f ca="1">'IS(M)'!S44</f>
        <v>0</v>
      </c>
      <c r="S20" s="171">
        <f ca="1">'IS(M)'!T44</f>
        <v>0</v>
      </c>
      <c r="T20" s="171">
        <f ca="1">'IS(M)'!U44</f>
        <v>0</v>
      </c>
      <c r="U20" s="171">
        <f ca="1">'IS(M)'!V44</f>
        <v>0</v>
      </c>
      <c r="V20" s="171">
        <f ca="1">'IS(M)'!W44</f>
        <v>0</v>
      </c>
      <c r="W20" s="171">
        <f ca="1">'IS(M)'!X44</f>
        <v>0</v>
      </c>
      <c r="X20" s="171">
        <f ca="1">'IS(M)'!Y44</f>
        <v>0</v>
      </c>
      <c r="Y20" s="171">
        <f ca="1">'IS(M)'!Z44</f>
        <v>0</v>
      </c>
      <c r="Z20" s="171">
        <f ca="1">'IS(M)'!AA44</f>
        <v>0</v>
      </c>
      <c r="AA20" s="171">
        <f ca="1">'IS(M)'!AB44</f>
        <v>0</v>
      </c>
      <c r="AB20" s="171">
        <f ca="1">'IS(M)'!AC44</f>
        <v>0</v>
      </c>
      <c r="AC20" s="171">
        <f ca="1">'IS(M)'!AD44</f>
        <v>0</v>
      </c>
      <c r="AD20" s="171">
        <f ca="1">'IS(M)'!AE44</f>
        <v>0</v>
      </c>
      <c r="AE20" s="171">
        <f ca="1">'IS(M)'!AF44</f>
        <v>0</v>
      </c>
      <c r="AF20" s="171">
        <f ca="1">'IS(M)'!AG44</f>
        <v>0</v>
      </c>
      <c r="AG20" s="171">
        <f ca="1">'IS(M)'!AH44</f>
        <v>0</v>
      </c>
      <c r="AH20" s="171">
        <f ca="1">'IS(M)'!AI44</f>
        <v>0</v>
      </c>
      <c r="AI20" s="171">
        <f ca="1">'IS(M)'!AJ44</f>
        <v>0</v>
      </c>
      <c r="AJ20" s="171">
        <f ca="1">'IS(M)'!AK44</f>
        <v>0</v>
      </c>
      <c r="AK20" s="171">
        <f ca="1">'IS(M)'!AL44</f>
        <v>0</v>
      </c>
      <c r="AL20" s="171">
        <f ca="1">'IS(M)'!AM44</f>
        <v>0</v>
      </c>
      <c r="AM20" s="171">
        <f ca="1">'IS(M)'!AN44</f>
        <v>0</v>
      </c>
      <c r="AN20" s="171">
        <f ca="1">'IS(M)'!AO44</f>
        <v>0</v>
      </c>
      <c r="AO20" s="171">
        <f ca="1">'IS(M)'!AP44</f>
        <v>0</v>
      </c>
      <c r="AP20" s="171">
        <f ca="1">'IS(M)'!AQ44</f>
        <v>0</v>
      </c>
      <c r="AQ20" s="171">
        <f ca="1">'IS(M)'!AR44</f>
        <v>0</v>
      </c>
      <c r="AR20" s="171">
        <f ca="1">'IS(M)'!AS44</f>
        <v>0</v>
      </c>
      <c r="AS20" s="171">
        <f ca="1">'IS(M)'!AT44</f>
        <v>0</v>
      </c>
      <c r="AT20" s="171">
        <f ca="1">'IS(M)'!AU44</f>
        <v>0</v>
      </c>
      <c r="AU20" s="171">
        <f ca="1">'IS(M)'!AV44</f>
        <v>0</v>
      </c>
      <c r="AV20" s="171">
        <f ca="1">'IS(M)'!AW44</f>
        <v>0</v>
      </c>
      <c r="AW20" s="171">
        <f ca="1">'IS(M)'!AX44</f>
        <v>0</v>
      </c>
      <c r="AX20" s="171">
        <f ca="1">'IS(M)'!AY44</f>
        <v>0</v>
      </c>
      <c r="AY20" s="171">
        <f ca="1">'IS(M)'!AZ44</f>
        <v>0</v>
      </c>
      <c r="AZ20" s="171">
        <f ca="1">'IS(M)'!BA44</f>
        <v>0</v>
      </c>
      <c r="BA20" s="171">
        <f ca="1">'IS(M)'!BB44</f>
        <v>0</v>
      </c>
      <c r="BB20" s="171">
        <f ca="1">'IS(M)'!BC44</f>
        <v>0</v>
      </c>
      <c r="BC20" s="171">
        <f ca="1">'IS(M)'!BD44</f>
        <v>0</v>
      </c>
      <c r="BD20" s="171">
        <f ca="1">'IS(M)'!BE44</f>
        <v>0</v>
      </c>
      <c r="BE20" s="171">
        <f ca="1">'IS(M)'!BF44</f>
        <v>0</v>
      </c>
      <c r="BF20" s="171">
        <f ca="1">'IS(M)'!BG44</f>
        <v>0</v>
      </c>
      <c r="BG20" s="171">
        <f ca="1">'IS(M)'!BH44</f>
        <v>0</v>
      </c>
      <c r="BH20" s="171">
        <f ca="1">'IS(M)'!BI44</f>
        <v>0</v>
      </c>
      <c r="BI20" s="171">
        <f ca="1">'IS(M)'!BJ44</f>
        <v>0</v>
      </c>
      <c r="BJ20" s="171">
        <f ca="1">'IS(M)'!BK44</f>
        <v>0</v>
      </c>
      <c r="BK20" s="171">
        <f ca="1">'IS(M)'!BL44</f>
        <v>0</v>
      </c>
      <c r="BL20" s="171">
        <f ca="1">'IS(M)'!BM44</f>
        <v>0</v>
      </c>
      <c r="BM20" s="171">
        <f ca="1">'IS(M)'!BN44</f>
        <v>0</v>
      </c>
      <c r="BN20" s="171">
        <f ca="1">'IS(M)'!BO44</f>
        <v>0</v>
      </c>
      <c r="BO20" s="171">
        <f ca="1">'IS(M)'!BP44</f>
        <v>0</v>
      </c>
      <c r="BP20" s="171">
        <f ca="1">'IS(M)'!BQ44</f>
        <v>0</v>
      </c>
      <c r="BQ20" s="171">
        <f ca="1">'IS(M)'!BR44</f>
        <v>0</v>
      </c>
      <c r="BR20" s="171">
        <f ca="1">'IS(M)'!BS44</f>
        <v>0</v>
      </c>
      <c r="BS20" s="171">
        <f ca="1">'IS(M)'!BT44</f>
        <v>0</v>
      </c>
      <c r="BT20" s="171">
        <f ca="1">'IS(M)'!BU44</f>
        <v>0</v>
      </c>
      <c r="BU20" s="171">
        <f ca="1">'IS(M)'!BV44</f>
        <v>0</v>
      </c>
      <c r="BV20" s="171">
        <f ca="1">'IS(M)'!BW44</f>
        <v>0</v>
      </c>
      <c r="BW20" s="171">
        <f ca="1">'IS(M)'!BX44</f>
        <v>0</v>
      </c>
      <c r="BX20" s="171">
        <f ca="1">'IS(M)'!BY44</f>
        <v>0</v>
      </c>
      <c r="BY20" s="171">
        <f ca="1">'IS(M)'!BZ44</f>
        <v>0</v>
      </c>
      <c r="BZ20" s="171">
        <f ca="1">'IS(M)'!CA44</f>
        <v>0</v>
      </c>
      <c r="CA20" s="171">
        <f ca="1">'IS(M)'!CB44</f>
        <v>0</v>
      </c>
      <c r="CB20" s="171">
        <f ca="1">'IS(M)'!CC44</f>
        <v>0</v>
      </c>
      <c r="CC20" s="171">
        <f ca="1">'IS(M)'!CD44</f>
        <v>0</v>
      </c>
      <c r="CD20" s="171">
        <f ca="1">'IS(M)'!CE44</f>
        <v>0</v>
      </c>
      <c r="CE20" s="171">
        <f ca="1">'IS(M)'!CF44</f>
        <v>0</v>
      </c>
      <c r="CF20" s="171">
        <f ca="1">'IS(M)'!CG44</f>
        <v>0</v>
      </c>
      <c r="CG20" s="171">
        <f ca="1">'IS(M)'!CH44</f>
        <v>0</v>
      </c>
      <c r="CH20" s="171">
        <f ca="1">'IS(M)'!CI44</f>
        <v>0</v>
      </c>
      <c r="CI20" s="171">
        <f ca="1">'IS(M)'!CJ44</f>
        <v>0</v>
      </c>
      <c r="CJ20" s="171">
        <f ca="1">'IS(M)'!CK44</f>
        <v>0</v>
      </c>
      <c r="CK20" s="171">
        <f ca="1">'IS(M)'!CL44</f>
        <v>0</v>
      </c>
      <c r="CL20" s="171">
        <f ca="1">'IS(M)'!CM44</f>
        <v>0</v>
      </c>
      <c r="CM20" s="171">
        <f ca="1">'IS(M)'!CN44</f>
        <v>0</v>
      </c>
      <c r="CN20" s="171">
        <f ca="1">'IS(M)'!CO44</f>
        <v>0</v>
      </c>
      <c r="CO20" s="171">
        <f ca="1">'IS(M)'!CP44</f>
        <v>0</v>
      </c>
      <c r="CP20" s="171">
        <f ca="1">'IS(M)'!CQ44</f>
        <v>0</v>
      </c>
      <c r="CQ20" s="171">
        <f ca="1">'IS(M)'!CR44</f>
        <v>0</v>
      </c>
      <c r="CR20" s="171">
        <f ca="1">'IS(M)'!CS44</f>
        <v>0</v>
      </c>
      <c r="CS20" s="171">
        <f ca="1">'IS(M)'!CT44</f>
        <v>0</v>
      </c>
      <c r="CT20" s="171">
        <f ca="1">'IS(M)'!CU44</f>
        <v>0</v>
      </c>
      <c r="CU20" s="171">
        <f ca="1">'IS(M)'!CV44</f>
        <v>0</v>
      </c>
      <c r="CV20" s="171">
        <f ca="1">'IS(M)'!CW44</f>
        <v>0</v>
      </c>
      <c r="CW20" s="171">
        <f ca="1">'IS(M)'!CX44</f>
        <v>0</v>
      </c>
      <c r="CX20" s="171">
        <f ca="1">'IS(M)'!CY44</f>
        <v>0</v>
      </c>
      <c r="CY20" s="171">
        <f ca="1">'IS(M)'!CZ44</f>
        <v>0</v>
      </c>
      <c r="CZ20" s="171">
        <f ca="1">'IS(M)'!DA44</f>
        <v>0</v>
      </c>
      <c r="DA20" s="171">
        <f ca="1">'IS(M)'!DB44</f>
        <v>0</v>
      </c>
      <c r="DB20" s="171">
        <f ca="1">'IS(M)'!DC44</f>
        <v>0</v>
      </c>
      <c r="DC20" s="171">
        <f ca="1">'IS(M)'!DD44</f>
        <v>0</v>
      </c>
      <c r="DD20" s="171">
        <f ca="1">'IS(M)'!DE44</f>
        <v>0</v>
      </c>
      <c r="DE20" s="171">
        <f ca="1">'IS(M)'!DF44</f>
        <v>0</v>
      </c>
      <c r="DF20" s="171">
        <f ca="1">'IS(M)'!DG44</f>
        <v>0</v>
      </c>
      <c r="DG20" s="171">
        <f ca="1">'IS(M)'!DH44</f>
        <v>0</v>
      </c>
      <c r="DH20" s="171">
        <f ca="1">'IS(M)'!DI44</f>
        <v>0</v>
      </c>
      <c r="DI20" s="171">
        <f ca="1">'IS(M)'!DJ44</f>
        <v>0</v>
      </c>
      <c r="DJ20" s="171">
        <f ca="1">'IS(M)'!DK44</f>
        <v>0</v>
      </c>
      <c r="DK20" s="171">
        <f ca="1">'IS(M)'!DL44</f>
        <v>0</v>
      </c>
      <c r="DL20" s="171">
        <f ca="1">'IS(M)'!DM44</f>
        <v>0</v>
      </c>
      <c r="DM20" s="171">
        <f ca="1">'IS(M)'!DN44</f>
        <v>0</v>
      </c>
      <c r="DN20" s="171">
        <f ca="1">'IS(M)'!DO44</f>
        <v>0</v>
      </c>
      <c r="DO20" s="171">
        <f ca="1">'IS(M)'!DP44</f>
        <v>0</v>
      </c>
      <c r="DP20" s="171">
        <f ca="1">'IS(M)'!DQ44</f>
        <v>0</v>
      </c>
      <c r="DQ20" s="171">
        <f ca="1">'IS(M)'!DR44</f>
        <v>0</v>
      </c>
      <c r="DR20" s="171">
        <f ca="1">'IS(M)'!DS44</f>
        <v>0</v>
      </c>
      <c r="DS20" s="171">
        <f ca="1">'IS(M)'!DT44</f>
        <v>0</v>
      </c>
      <c r="DT20" s="171">
        <f ca="1">'IS(M)'!DU44</f>
        <v>0</v>
      </c>
      <c r="DU20" s="171">
        <f ca="1">'IS(M)'!DV44</f>
        <v>0</v>
      </c>
      <c r="DV20" s="171">
        <f ca="1">'IS(M)'!DW44</f>
        <v>0</v>
      </c>
      <c r="DW20" s="171">
        <f ca="1">'IS(M)'!DX44</f>
        <v>0</v>
      </c>
      <c r="DX20" s="171">
        <f ca="1">'IS(M)'!DY44</f>
        <v>0</v>
      </c>
      <c r="DY20" s="171">
        <f ca="1">'IS(M)'!DZ44</f>
        <v>0</v>
      </c>
      <c r="DZ20" s="171">
        <f ca="1">'IS(M)'!EA44</f>
        <v>0</v>
      </c>
      <c r="EA20" s="171">
        <f ca="1">'IS(M)'!EB44</f>
        <v>0</v>
      </c>
      <c r="EB20" s="171">
        <f ca="1">'IS(M)'!EC44</f>
        <v>0</v>
      </c>
      <c r="EC20" s="171">
        <f ca="1">'IS(M)'!ED44</f>
        <v>0</v>
      </c>
      <c r="ED20" s="171">
        <f ca="1">'IS(M)'!EE44</f>
        <v>0</v>
      </c>
      <c r="EE20" s="171">
        <f ca="1">'IS(M)'!EF44</f>
        <v>0</v>
      </c>
      <c r="EF20" s="171">
        <f ca="1">'IS(M)'!EG44</f>
        <v>0</v>
      </c>
      <c r="EG20" s="171">
        <f ca="1">'IS(M)'!EH44</f>
        <v>0</v>
      </c>
      <c r="EH20" s="171">
        <f ca="1">'IS(M)'!EI44</f>
        <v>0</v>
      </c>
      <c r="EI20" s="171">
        <f ca="1">'IS(M)'!EJ44</f>
        <v>0</v>
      </c>
      <c r="EJ20" s="171">
        <f ca="1">'IS(M)'!EK44</f>
        <v>0</v>
      </c>
      <c r="EK20" s="171">
        <f ca="1">'IS(M)'!EL44</f>
        <v>0</v>
      </c>
      <c r="EL20" s="171">
        <f ca="1">'IS(M)'!EM44</f>
        <v>0</v>
      </c>
      <c r="EM20" s="171">
        <f ca="1">'IS(M)'!EN44</f>
        <v>0</v>
      </c>
      <c r="EN20" s="171">
        <f ca="1">'IS(M)'!EO44</f>
        <v>0</v>
      </c>
      <c r="EO20" s="171">
        <f ca="1">'IS(M)'!EP44</f>
        <v>0</v>
      </c>
      <c r="EP20" s="171">
        <f ca="1">'IS(M)'!EQ44</f>
        <v>0</v>
      </c>
      <c r="EQ20" s="171">
        <f ca="1">'IS(M)'!ER44</f>
        <v>0</v>
      </c>
    </row>
    <row r="21" spans="2:147" ht="11.25" customHeight="1">
      <c r="B21" s="218"/>
      <c r="C21" s="163"/>
      <c r="D21" s="169" t="s">
        <v>187</v>
      </c>
      <c r="H21" s="146"/>
      <c r="I21" s="13"/>
      <c r="J21" s="171">
        <f t="shared" si="13"/>
        <v>0</v>
      </c>
      <c r="K21" s="98"/>
      <c r="L21" s="171">
        <f>'NOI(M)'!M20</f>
        <v>0</v>
      </c>
      <c r="M21" s="171">
        <f>'NOI(M)'!N20</f>
        <v>0</v>
      </c>
      <c r="N21" s="171">
        <f>'NOI(M)'!O20</f>
        <v>0</v>
      </c>
      <c r="O21" s="171">
        <f>'NOI(M)'!P20</f>
        <v>0</v>
      </c>
      <c r="P21" s="171">
        <f>'NOI(M)'!Q20</f>
        <v>0</v>
      </c>
      <c r="Q21" s="171">
        <f>'NOI(M)'!R20</f>
        <v>0</v>
      </c>
      <c r="R21" s="171">
        <f>'NOI(M)'!S20</f>
        <v>0</v>
      </c>
      <c r="S21" s="171">
        <f>'NOI(M)'!T20</f>
        <v>0</v>
      </c>
      <c r="T21" s="171">
        <f>'NOI(M)'!U20</f>
        <v>0</v>
      </c>
      <c r="U21" s="171">
        <f>'NOI(M)'!V20</f>
        <v>0</v>
      </c>
      <c r="V21" s="171">
        <f>'NOI(M)'!W20</f>
        <v>0</v>
      </c>
      <c r="W21" s="171">
        <f>'NOI(M)'!X20</f>
        <v>0</v>
      </c>
      <c r="X21" s="171">
        <f>'NOI(M)'!Y20</f>
        <v>0</v>
      </c>
      <c r="Y21" s="171">
        <f>'NOI(M)'!Z20</f>
        <v>0</v>
      </c>
      <c r="Z21" s="171">
        <f>'NOI(M)'!AA20</f>
        <v>0</v>
      </c>
      <c r="AA21" s="171">
        <f>'NOI(M)'!AB20</f>
        <v>0</v>
      </c>
      <c r="AB21" s="171">
        <f>'NOI(M)'!AC20</f>
        <v>0</v>
      </c>
      <c r="AC21" s="171">
        <f>'NOI(M)'!AD20</f>
        <v>0</v>
      </c>
      <c r="AD21" s="171">
        <f>'NOI(M)'!AE20</f>
        <v>0</v>
      </c>
      <c r="AE21" s="171">
        <f>'NOI(M)'!AF20</f>
        <v>0</v>
      </c>
      <c r="AF21" s="171">
        <f>'NOI(M)'!AG20</f>
        <v>0</v>
      </c>
      <c r="AG21" s="171">
        <f>'NOI(M)'!AH20</f>
        <v>0</v>
      </c>
      <c r="AH21" s="171">
        <f>'NOI(M)'!AI20</f>
        <v>0</v>
      </c>
      <c r="AI21" s="171">
        <f>'NOI(M)'!AJ20</f>
        <v>0</v>
      </c>
      <c r="AJ21" s="171">
        <f>'NOI(M)'!AK20</f>
        <v>0</v>
      </c>
      <c r="AK21" s="171">
        <f>'NOI(M)'!AL20</f>
        <v>0</v>
      </c>
      <c r="AL21" s="171">
        <f>'NOI(M)'!AM20</f>
        <v>0</v>
      </c>
      <c r="AM21" s="171">
        <f>'NOI(M)'!AN20</f>
        <v>0</v>
      </c>
      <c r="AN21" s="171">
        <f>'NOI(M)'!AO20</f>
        <v>0</v>
      </c>
      <c r="AO21" s="171">
        <f>'NOI(M)'!AP20</f>
        <v>0</v>
      </c>
      <c r="AP21" s="171">
        <f>'NOI(M)'!AQ20</f>
        <v>0</v>
      </c>
      <c r="AQ21" s="171">
        <f>'NOI(M)'!AR20</f>
        <v>0</v>
      </c>
      <c r="AR21" s="171">
        <f>'NOI(M)'!AS20</f>
        <v>0</v>
      </c>
      <c r="AS21" s="171">
        <f>'NOI(M)'!AT20</f>
        <v>0</v>
      </c>
      <c r="AT21" s="171">
        <f>'NOI(M)'!AU20</f>
        <v>0</v>
      </c>
      <c r="AU21" s="171">
        <f>'NOI(M)'!AV20</f>
        <v>0</v>
      </c>
      <c r="AV21" s="171">
        <f>'NOI(M)'!AW20</f>
        <v>0</v>
      </c>
      <c r="AW21" s="171">
        <f>'NOI(M)'!AX20</f>
        <v>0</v>
      </c>
      <c r="AX21" s="171">
        <f>'NOI(M)'!AY20</f>
        <v>0</v>
      </c>
      <c r="AY21" s="171">
        <f>'NOI(M)'!AZ20</f>
        <v>0</v>
      </c>
      <c r="AZ21" s="171">
        <f>'NOI(M)'!BA20</f>
        <v>0</v>
      </c>
      <c r="BA21" s="171">
        <f>'NOI(M)'!BB20</f>
        <v>0</v>
      </c>
      <c r="BB21" s="171">
        <f>'NOI(M)'!BC20</f>
        <v>0</v>
      </c>
      <c r="BC21" s="171">
        <f>'NOI(M)'!BD20</f>
        <v>0</v>
      </c>
      <c r="BD21" s="171">
        <f>'NOI(M)'!BE20</f>
        <v>0</v>
      </c>
      <c r="BE21" s="171">
        <f>'NOI(M)'!BF20</f>
        <v>0</v>
      </c>
      <c r="BF21" s="171">
        <f>'NOI(M)'!BG20</f>
        <v>0</v>
      </c>
      <c r="BG21" s="171">
        <f>'NOI(M)'!BH20</f>
        <v>0</v>
      </c>
      <c r="BH21" s="171">
        <f>'NOI(M)'!BI20</f>
        <v>0</v>
      </c>
      <c r="BI21" s="171">
        <f>'NOI(M)'!BJ20</f>
        <v>0</v>
      </c>
      <c r="BJ21" s="171">
        <f>'NOI(M)'!BK20</f>
        <v>0</v>
      </c>
      <c r="BK21" s="171">
        <f>'NOI(M)'!BL20</f>
        <v>0</v>
      </c>
      <c r="BL21" s="171">
        <f>'NOI(M)'!BM20</f>
        <v>0</v>
      </c>
      <c r="BM21" s="171">
        <f>'NOI(M)'!BN20</f>
        <v>0</v>
      </c>
      <c r="BN21" s="171">
        <f>'NOI(M)'!BO20</f>
        <v>0</v>
      </c>
      <c r="BO21" s="171">
        <f>'NOI(M)'!BP20</f>
        <v>0</v>
      </c>
      <c r="BP21" s="171">
        <f>'NOI(M)'!BQ20</f>
        <v>0</v>
      </c>
      <c r="BQ21" s="171">
        <f>'NOI(M)'!BR20</f>
        <v>0</v>
      </c>
      <c r="BR21" s="171">
        <f>'NOI(M)'!BS20</f>
        <v>0</v>
      </c>
      <c r="BS21" s="171">
        <f>'NOI(M)'!BT20</f>
        <v>0</v>
      </c>
      <c r="BT21" s="171">
        <f>'NOI(M)'!BU20</f>
        <v>0</v>
      </c>
      <c r="BU21" s="171">
        <f>'NOI(M)'!BV20</f>
        <v>0</v>
      </c>
      <c r="BV21" s="171">
        <f>'NOI(M)'!BW20</f>
        <v>0</v>
      </c>
      <c r="BW21" s="171">
        <f>'NOI(M)'!BX20</f>
        <v>0</v>
      </c>
      <c r="BX21" s="171">
        <f>'NOI(M)'!BY20</f>
        <v>0</v>
      </c>
      <c r="BY21" s="171">
        <f>'NOI(M)'!BZ20</f>
        <v>0</v>
      </c>
      <c r="BZ21" s="171">
        <f>'NOI(M)'!CA20</f>
        <v>0</v>
      </c>
      <c r="CA21" s="171">
        <f>'NOI(M)'!CB20</f>
        <v>0</v>
      </c>
      <c r="CB21" s="171">
        <f>'NOI(M)'!CC20</f>
        <v>0</v>
      </c>
      <c r="CC21" s="171">
        <f>'NOI(M)'!CD20</f>
        <v>0</v>
      </c>
      <c r="CD21" s="171">
        <f>'NOI(M)'!CE20</f>
        <v>0</v>
      </c>
      <c r="CE21" s="171">
        <f>'NOI(M)'!CF20</f>
        <v>0</v>
      </c>
      <c r="CF21" s="171">
        <f>'NOI(M)'!CG20</f>
        <v>0</v>
      </c>
      <c r="CG21" s="171">
        <f>'NOI(M)'!CH20</f>
        <v>0</v>
      </c>
      <c r="CH21" s="171">
        <f>'NOI(M)'!CI20</f>
        <v>0</v>
      </c>
      <c r="CI21" s="171">
        <f>'NOI(M)'!CJ20</f>
        <v>0</v>
      </c>
      <c r="CJ21" s="171">
        <f>'NOI(M)'!CK20</f>
        <v>0</v>
      </c>
      <c r="CK21" s="171">
        <f>'NOI(M)'!CL20</f>
        <v>0</v>
      </c>
      <c r="CL21" s="171">
        <f>'NOI(M)'!CM20</f>
        <v>0</v>
      </c>
      <c r="CM21" s="171">
        <f>'NOI(M)'!CN20</f>
        <v>0</v>
      </c>
      <c r="CN21" s="171">
        <f>'NOI(M)'!CO20</f>
        <v>0</v>
      </c>
      <c r="CO21" s="171">
        <f>'NOI(M)'!CP20</f>
        <v>0</v>
      </c>
      <c r="CP21" s="171">
        <f>'NOI(M)'!CQ20</f>
        <v>0</v>
      </c>
      <c r="CQ21" s="171">
        <f>'NOI(M)'!CR20</f>
        <v>0</v>
      </c>
      <c r="CR21" s="171">
        <f>'NOI(M)'!CS20</f>
        <v>0</v>
      </c>
      <c r="CS21" s="171">
        <f>'NOI(M)'!CT20</f>
        <v>0</v>
      </c>
      <c r="CT21" s="171">
        <f>'NOI(M)'!CU20</f>
        <v>0</v>
      </c>
      <c r="CU21" s="171">
        <f>'NOI(M)'!CV20</f>
        <v>0</v>
      </c>
      <c r="CV21" s="171">
        <f>'NOI(M)'!CW20</f>
        <v>0</v>
      </c>
      <c r="CW21" s="171">
        <f>'NOI(M)'!CX20</f>
        <v>0</v>
      </c>
      <c r="CX21" s="171">
        <f>'NOI(M)'!CY20</f>
        <v>0</v>
      </c>
      <c r="CY21" s="171">
        <f>'NOI(M)'!CZ20</f>
        <v>0</v>
      </c>
      <c r="CZ21" s="171">
        <f>'NOI(M)'!DA20</f>
        <v>0</v>
      </c>
      <c r="DA21" s="171">
        <f>'NOI(M)'!DB20</f>
        <v>0</v>
      </c>
      <c r="DB21" s="171">
        <f>'NOI(M)'!DC20</f>
        <v>0</v>
      </c>
      <c r="DC21" s="171">
        <f>'NOI(M)'!DD20</f>
        <v>0</v>
      </c>
      <c r="DD21" s="171">
        <f>'NOI(M)'!DE20</f>
        <v>0</v>
      </c>
      <c r="DE21" s="171">
        <f>'NOI(M)'!DF20</f>
        <v>0</v>
      </c>
      <c r="DF21" s="171">
        <f>'NOI(M)'!DG20</f>
        <v>0</v>
      </c>
      <c r="DG21" s="171">
        <f>'NOI(M)'!DH20</f>
        <v>0</v>
      </c>
      <c r="DH21" s="171">
        <f>'NOI(M)'!DI20</f>
        <v>0</v>
      </c>
      <c r="DI21" s="171">
        <f>'NOI(M)'!DJ20</f>
        <v>0</v>
      </c>
      <c r="DJ21" s="171">
        <f>'NOI(M)'!DK20</f>
        <v>0</v>
      </c>
      <c r="DK21" s="171">
        <f>'NOI(M)'!DL20</f>
        <v>0</v>
      </c>
      <c r="DL21" s="171">
        <f>'NOI(M)'!DM20</f>
        <v>0</v>
      </c>
      <c r="DM21" s="171">
        <f>'NOI(M)'!DN20</f>
        <v>0</v>
      </c>
      <c r="DN21" s="171">
        <f>'NOI(M)'!DO20</f>
        <v>0</v>
      </c>
      <c r="DO21" s="171">
        <f>'NOI(M)'!DP20</f>
        <v>0</v>
      </c>
      <c r="DP21" s="171">
        <f>'NOI(M)'!DQ20</f>
        <v>0</v>
      </c>
      <c r="DQ21" s="171">
        <f>'NOI(M)'!DR20</f>
        <v>0</v>
      </c>
      <c r="DR21" s="171">
        <f>'NOI(M)'!DS20</f>
        <v>0</v>
      </c>
      <c r="DS21" s="171">
        <f>'NOI(M)'!DT20</f>
        <v>0</v>
      </c>
      <c r="DT21" s="171">
        <f>'NOI(M)'!DU20</f>
        <v>0</v>
      </c>
      <c r="DU21" s="171">
        <f>'NOI(M)'!DV20</f>
        <v>0</v>
      </c>
      <c r="DV21" s="171">
        <f>'NOI(M)'!DW20</f>
        <v>0</v>
      </c>
      <c r="DW21" s="171">
        <f>'NOI(M)'!DX20</f>
        <v>0</v>
      </c>
      <c r="DX21" s="171">
        <f>'NOI(M)'!DY20</f>
        <v>0</v>
      </c>
      <c r="DY21" s="171">
        <f>'NOI(M)'!DZ20</f>
        <v>0</v>
      </c>
      <c r="DZ21" s="171">
        <f>'NOI(M)'!EA20</f>
        <v>0</v>
      </c>
      <c r="EA21" s="171">
        <f>'NOI(M)'!EB20</f>
        <v>0</v>
      </c>
      <c r="EB21" s="171">
        <f>'NOI(M)'!EC20</f>
        <v>0</v>
      </c>
      <c r="EC21" s="171">
        <f>'NOI(M)'!ED20</f>
        <v>0</v>
      </c>
      <c r="ED21" s="171">
        <f>'NOI(M)'!EE20</f>
        <v>0</v>
      </c>
      <c r="EE21" s="171">
        <f>'NOI(M)'!EF20</f>
        <v>0</v>
      </c>
      <c r="EF21" s="171">
        <f>'NOI(M)'!EG20</f>
        <v>0</v>
      </c>
      <c r="EG21" s="171">
        <f>'NOI(M)'!EH20</f>
        <v>0</v>
      </c>
      <c r="EH21" s="171">
        <f>'NOI(M)'!EI20</f>
        <v>0</v>
      </c>
      <c r="EI21" s="171">
        <f>'NOI(M)'!EJ20</f>
        <v>0</v>
      </c>
      <c r="EJ21" s="171">
        <f>'NOI(M)'!EK20</f>
        <v>0</v>
      </c>
      <c r="EK21" s="171">
        <f>'NOI(M)'!EL20</f>
        <v>0</v>
      </c>
      <c r="EL21" s="171">
        <f>'NOI(M)'!EM20</f>
        <v>0</v>
      </c>
      <c r="EM21" s="171">
        <f>'NOI(M)'!EN20</f>
        <v>0</v>
      </c>
      <c r="EN21" s="171">
        <f>'NOI(M)'!EO20</f>
        <v>0</v>
      </c>
      <c r="EO21" s="171">
        <f>'NOI(M)'!EP20</f>
        <v>0</v>
      </c>
      <c r="EP21" s="171">
        <f>'NOI(M)'!EQ20</f>
        <v>0</v>
      </c>
      <c r="EQ21" s="171">
        <f>'NOI(M)'!ER20</f>
        <v>0</v>
      </c>
    </row>
    <row r="22" spans="2:147" ht="11.25" customHeight="1">
      <c r="B22" s="218"/>
      <c r="C22" s="158" t="s">
        <v>188</v>
      </c>
      <c r="D22" s="159"/>
      <c r="E22" s="159"/>
      <c r="F22" s="159"/>
      <c r="G22" s="159"/>
      <c r="H22" s="160"/>
      <c r="I22" s="219"/>
      <c r="J22" s="220">
        <f ca="1">SUM(J23:J33)</f>
        <v>-23206747.13319052</v>
      </c>
      <c r="K22" s="98"/>
      <c r="L22" s="162">
        <f ca="1">SUM(L23:L33)</f>
        <v>0</v>
      </c>
      <c r="M22" s="162">
        <f t="shared" ref="M22:BX22" ca="1" si="14">SUM(M23:M33)</f>
        <v>-813840.76037980011</v>
      </c>
      <c r="N22" s="162">
        <f t="shared" ca="1" si="14"/>
        <v>-82190.042046466653</v>
      </c>
      <c r="O22" s="162">
        <f t="shared" ca="1" si="14"/>
        <v>-65906.398622849985</v>
      </c>
      <c r="P22" s="162">
        <f t="shared" ca="1" si="14"/>
        <v>-60682.690379799991</v>
      </c>
      <c r="Q22" s="162">
        <f t="shared" ca="1" si="14"/>
        <v>-60682.690379799991</v>
      </c>
      <c r="R22" s="162">
        <f t="shared" ca="1" si="14"/>
        <v>-65906.398622849985</v>
      </c>
      <c r="S22" s="162">
        <f t="shared" ca="1" si="14"/>
        <v>-60682.690379799991</v>
      </c>
      <c r="T22" s="162">
        <f t="shared" ca="1" si="14"/>
        <v>-60682.690379799991</v>
      </c>
      <c r="U22" s="162">
        <f t="shared" ca="1" si="14"/>
        <v>-220595.18862285002</v>
      </c>
      <c r="V22" s="162">
        <f t="shared" ca="1" si="14"/>
        <v>-60682.690379799991</v>
      </c>
      <c r="W22" s="162">
        <f t="shared" ca="1" si="14"/>
        <v>-422027.39204646659</v>
      </c>
      <c r="X22" s="162">
        <f t="shared" ca="1" si="14"/>
        <v>-65906.398622849985</v>
      </c>
      <c r="Y22" s="162">
        <f t="shared" ca="1" si="14"/>
        <v>-789310.35018739616</v>
      </c>
      <c r="Z22" s="162">
        <f t="shared" ca="1" si="14"/>
        <v>-191345.6012207293</v>
      </c>
      <c r="AA22" s="162">
        <f t="shared" ca="1" si="14"/>
        <v>-67095.052430445998</v>
      </c>
      <c r="AB22" s="162">
        <f t="shared" ca="1" si="14"/>
        <v>-61871.344187395996</v>
      </c>
      <c r="AC22" s="162">
        <f t="shared" ca="1" si="14"/>
        <v>-61871.344187395996</v>
      </c>
      <c r="AD22" s="162">
        <f t="shared" ca="1" si="14"/>
        <v>-67095.052430445998</v>
      </c>
      <c r="AE22" s="162">
        <f t="shared" ca="1" si="14"/>
        <v>-61871.344187395996</v>
      </c>
      <c r="AF22" s="162">
        <f t="shared" ca="1" si="14"/>
        <v>-61871.344187395996</v>
      </c>
      <c r="AG22" s="162">
        <f t="shared" ca="1" si="14"/>
        <v>-276440.54823044589</v>
      </c>
      <c r="AH22" s="162">
        <f t="shared" ca="1" si="14"/>
        <v>-61871.344187395996</v>
      </c>
      <c r="AI22" s="162">
        <f t="shared" ca="1" si="14"/>
        <v>-450645.39366239595</v>
      </c>
      <c r="AJ22" s="162">
        <f t="shared" ca="1" si="14"/>
        <v>-67095.052430445998</v>
      </c>
      <c r="AK22" s="162">
        <f t="shared" ca="1" si="14"/>
        <v>-775973.62195114384</v>
      </c>
      <c r="AL22" s="162">
        <f t="shared" ca="1" si="14"/>
        <v>-195147.1382451439</v>
      </c>
      <c r="AM22" s="162">
        <f t="shared" ca="1" si="14"/>
        <v>-68307.104314193915</v>
      </c>
      <c r="AN22" s="162">
        <f t="shared" ca="1" si="14"/>
        <v>-63083.396071143914</v>
      </c>
      <c r="AO22" s="162">
        <f t="shared" ca="1" si="14"/>
        <v>-63083.396071143914</v>
      </c>
      <c r="AP22" s="162">
        <f t="shared" ca="1" si="14"/>
        <v>-68307.104314193915</v>
      </c>
      <c r="AQ22" s="162">
        <f t="shared" ca="1" si="14"/>
        <v>-63083.396071143914</v>
      </c>
      <c r="AR22" s="162">
        <f t="shared" ca="1" si="14"/>
        <v>-63083.396071143914</v>
      </c>
      <c r="AS22" s="162">
        <f t="shared" ca="1" si="14"/>
        <v>-281839.51003019384</v>
      </c>
      <c r="AT22" s="162">
        <f t="shared" ca="1" si="14"/>
        <v>-131481.78859331302</v>
      </c>
      <c r="AU22" s="162">
        <f t="shared" ca="1" si="14"/>
        <v>-446025.8348040189</v>
      </c>
      <c r="AV22" s="162">
        <f t="shared" ca="1" si="14"/>
        <v>-68307.104314193915</v>
      </c>
      <c r="AW22" s="162">
        <f t="shared" ca="1" si="14"/>
        <v>-762951.72972996684</v>
      </c>
      <c r="AX22" s="162">
        <f t="shared" ca="1" si="14"/>
        <v>-199024.32538504677</v>
      </c>
      <c r="AY22" s="162">
        <f t="shared" ca="1" si="14"/>
        <v>-85085.15474214073</v>
      </c>
      <c r="AZ22" s="162">
        <f t="shared" ca="1" si="14"/>
        <v>-91974.11191087203</v>
      </c>
      <c r="BA22" s="162">
        <f t="shared" ca="1" si="14"/>
        <v>-64319.308367566788</v>
      </c>
      <c r="BB22" s="162">
        <f t="shared" ca="1" si="14"/>
        <v>-69543.016610616789</v>
      </c>
      <c r="BC22" s="162">
        <f t="shared" ca="1" si="14"/>
        <v>-64877.864004811978</v>
      </c>
      <c r="BD22" s="162">
        <f t="shared" ca="1" si="14"/>
        <v>-64319.308367566788</v>
      </c>
      <c r="BE22" s="162">
        <f t="shared" ca="1" si="14"/>
        <v>-287346.07044093672</v>
      </c>
      <c r="BF22" s="162">
        <f t="shared" ca="1" si="14"/>
        <v>-64319.308367566788</v>
      </c>
      <c r="BG22" s="162">
        <f t="shared" ca="1" si="14"/>
        <v>-441517.61051944864</v>
      </c>
      <c r="BH22" s="162">
        <f t="shared" ca="1" si="14"/>
        <v>-69543.016610616789</v>
      </c>
      <c r="BI22" s="162">
        <f t="shared" ca="1" si="14"/>
        <v>-750239.32551069511</v>
      </c>
      <c r="BJ22" s="162">
        <f t="shared" ca="1" si="14"/>
        <v>-202978.66993337273</v>
      </c>
      <c r="BK22" s="162">
        <f t="shared" ca="1" si="14"/>
        <v>-70803.260818593117</v>
      </c>
      <c r="BL22" s="162">
        <f t="shared" ca="1" si="14"/>
        <v>-65579.552575543115</v>
      </c>
      <c r="BM22" s="162">
        <f t="shared" ca="1" si="14"/>
        <v>-65579.552575543115</v>
      </c>
      <c r="BN22" s="162">
        <f t="shared" ca="1" si="14"/>
        <v>-70803.260818593117</v>
      </c>
      <c r="BO22" s="162">
        <f t="shared" ca="1" si="14"/>
        <v>-65579.552575543115</v>
      </c>
      <c r="BP22" s="162">
        <f t="shared" ca="1" si="14"/>
        <v>-65579.552575543115</v>
      </c>
      <c r="BQ22" s="162">
        <f t="shared" ca="1" si="14"/>
        <v>-292962.37572551949</v>
      </c>
      <c r="BR22" s="162">
        <f t="shared" ca="1" si="14"/>
        <v>-65579.552575543115</v>
      </c>
      <c r="BS22" s="162">
        <f t="shared" ca="1" si="14"/>
        <v>-437119.88019514672</v>
      </c>
      <c r="BT22" s="162">
        <f t="shared" ca="1" si="14"/>
        <v>-70803.260818593117</v>
      </c>
      <c r="BU22" s="162">
        <f t="shared" ca="1" si="14"/>
        <v>-737831.18701473717</v>
      </c>
      <c r="BV22" s="162">
        <f t="shared" ca="1" si="14"/>
        <v>-207011.70924327453</v>
      </c>
      <c r="BW22" s="162">
        <f t="shared" ca="1" si="14"/>
        <v>-72088.317781338366</v>
      </c>
      <c r="BX22" s="162">
        <f t="shared" ca="1" si="14"/>
        <v>-66864.609538288365</v>
      </c>
      <c r="BY22" s="162">
        <f t="shared" ref="BY22:DP22" ca="1" si="15">SUM(BY23:BY33)</f>
        <v>-66864.609538288365</v>
      </c>
      <c r="BZ22" s="162">
        <f t="shared" ca="1" si="15"/>
        <v>-72088.317781338366</v>
      </c>
      <c r="CA22" s="162">
        <f t="shared" ca="1" si="15"/>
        <v>-66864.609538288365</v>
      </c>
      <c r="CB22" s="162">
        <f t="shared" ca="1" si="15"/>
        <v>-66864.609538288365</v>
      </c>
      <c r="CC22" s="162">
        <f t="shared" ca="1" si="15"/>
        <v>-298690.61498640326</v>
      </c>
      <c r="CD22" s="162">
        <f t="shared" ca="1" si="15"/>
        <v>-66864.609538288365</v>
      </c>
      <c r="CE22" s="162">
        <f t="shared" ca="1" si="15"/>
        <v>-432831.83224359807</v>
      </c>
      <c r="CF22" s="162">
        <f t="shared" ca="1" si="15"/>
        <v>-72088.317781338366</v>
      </c>
      <c r="CG22" s="162">
        <f t="shared" ca="1" si="15"/>
        <v>-725722.21555587696</v>
      </c>
      <c r="CH22" s="162">
        <f t="shared" ca="1" si="15"/>
        <v>-211125.01132804295</v>
      </c>
      <c r="CI22" s="162">
        <f t="shared" ca="1" si="15"/>
        <v>-73398.677872007014</v>
      </c>
      <c r="CJ22" s="162">
        <f t="shared" ca="1" si="15"/>
        <v>-68174.969628957013</v>
      </c>
      <c r="CK22" s="162">
        <f t="shared" ca="1" si="15"/>
        <v>-68174.969628957013</v>
      </c>
      <c r="CL22" s="162">
        <f t="shared" ca="1" si="15"/>
        <v>-73398.677872007014</v>
      </c>
      <c r="CM22" s="162">
        <f t="shared" ca="1" si="15"/>
        <v>-68174.969628957013</v>
      </c>
      <c r="CN22" s="162">
        <f t="shared" ca="1" si="15"/>
        <v>-68174.969628957013</v>
      </c>
      <c r="CO22" s="162">
        <f t="shared" ca="1" si="15"/>
        <v>-304533.02102117328</v>
      </c>
      <c r="CP22" s="162">
        <f t="shared" ca="1" si="15"/>
        <v>-68174.969628957013</v>
      </c>
      <c r="CQ22" s="162">
        <f t="shared" ca="1" si="15"/>
        <v>-428652.68399368704</v>
      </c>
      <c r="CR22" s="162">
        <f t="shared" ca="1" si="15"/>
        <v>-73398.677872007014</v>
      </c>
      <c r="CS22" s="162">
        <f t="shared" ca="1" si="15"/>
        <v>-713907.43394831941</v>
      </c>
      <c r="CT22" s="162">
        <f t="shared" ca="1" si="15"/>
        <v>-215320.17547300522</v>
      </c>
      <c r="CU22" s="162">
        <f t="shared" ca="1" si="15"/>
        <v>-74734.841182987584</v>
      </c>
      <c r="CV22" s="162">
        <f t="shared" ca="1" si="15"/>
        <v>-69511.132939937583</v>
      </c>
      <c r="CW22" s="162">
        <f t="shared" ca="1" si="15"/>
        <v>-69511.132939937583</v>
      </c>
      <c r="CX22" s="162">
        <f t="shared" ca="1" si="15"/>
        <v>-74734.841182987584</v>
      </c>
      <c r="CY22" s="162">
        <f t="shared" ca="1" si="15"/>
        <v>-669662.90332398377</v>
      </c>
      <c r="CZ22" s="162">
        <f t="shared" ca="1" si="15"/>
        <v>-69511.132939937583</v>
      </c>
      <c r="DA22" s="162">
        <f t="shared" ca="1" si="15"/>
        <v>-310491.87119513704</v>
      </c>
      <c r="DB22" s="162">
        <f t="shared" ca="1" si="15"/>
        <v>-146897.6359880364</v>
      </c>
      <c r="DC22" s="162">
        <f t="shared" ca="1" si="15"/>
        <v>-424581.68158919667</v>
      </c>
      <c r="DD22" s="162">
        <f t="shared" ca="1" si="15"/>
        <v>-74734.841182987584</v>
      </c>
      <c r="DE22" s="162">
        <f t="shared" ca="1" si="15"/>
        <v>-702381.98446412769</v>
      </c>
      <c r="DF22" s="162">
        <f t="shared" ca="1" si="15"/>
        <v>-219598.83285964275</v>
      </c>
      <c r="DG22" s="162">
        <f t="shared" ca="1" si="15"/>
        <v>-93681.820446850528</v>
      </c>
      <c r="DH22" s="162">
        <f t="shared" ca="1" si="15"/>
        <v>-113090.60964132469</v>
      </c>
      <c r="DI22" s="162">
        <f t="shared" ca="1" si="15"/>
        <v>-70873.609475913792</v>
      </c>
      <c r="DJ22" s="162">
        <f t="shared" ca="1" si="15"/>
        <v>-107386.18957373609</v>
      </c>
      <c r="DK22" s="162">
        <f t="shared" ca="1" si="15"/>
        <v>-71505.563911249366</v>
      </c>
      <c r="DL22" s="162">
        <f t="shared" ca="1" si="15"/>
        <v>-70873.609475913792</v>
      </c>
      <c r="DM22" s="162">
        <f t="shared" ca="1" si="15"/>
        <v>-316569.48833135632</v>
      </c>
      <c r="DN22" s="162">
        <f t="shared" ca="1" si="15"/>
        <v>-70873.609475913792</v>
      </c>
      <c r="DO22" s="162">
        <f t="shared" ca="1" si="15"/>
        <v>-420618.09989543393</v>
      </c>
      <c r="DP22" s="162">
        <f t="shared" ca="1" si="15"/>
        <v>-76097.317718963794</v>
      </c>
      <c r="DQ22" s="162">
        <f t="shared" ref="DQ22:EQ22" ca="1" si="16">SUM(DQ23:DQ33)</f>
        <v>-691141.1268392168</v>
      </c>
      <c r="DR22" s="162">
        <f t="shared" ca="1" si="16"/>
        <v>-223962.64720217075</v>
      </c>
      <c r="DS22" s="162">
        <f t="shared" ca="1" si="16"/>
        <v>-77486.627593817189</v>
      </c>
      <c r="DT22" s="162">
        <f t="shared" ca="1" si="16"/>
        <v>-72262.919350767188</v>
      </c>
      <c r="DU22" s="162">
        <f t="shared" ca="1" si="16"/>
        <v>-72262.919350767188</v>
      </c>
      <c r="DV22" s="162">
        <f t="shared" ca="1" si="16"/>
        <v>-77486.627593817189</v>
      </c>
      <c r="DW22" s="162">
        <f t="shared" ca="1" si="16"/>
        <v>-72262.919350767188</v>
      </c>
      <c r="DX22" s="162">
        <f t="shared" ca="1" si="16"/>
        <v>-72262.919350767188</v>
      </c>
      <c r="DY22" s="162">
        <f t="shared" ca="1" si="16"/>
        <v>-322768.24161845754</v>
      </c>
      <c r="DZ22" s="162">
        <f t="shared" ca="1" si="16"/>
        <v>-72262.919350767188</v>
      </c>
      <c r="EA22" s="162">
        <f t="shared" ca="1" si="16"/>
        <v>-416761.24241399451</v>
      </c>
      <c r="EB22" s="162">
        <f t="shared" ca="1" si="16"/>
        <v>-296297.29083650705</v>
      </c>
      <c r="EC22" s="162">
        <f t="shared" ca="1" si="16"/>
        <v>0</v>
      </c>
      <c r="ED22" s="162">
        <f t="shared" ca="1" si="16"/>
        <v>0</v>
      </c>
      <c r="EE22" s="162">
        <f t="shared" ca="1" si="16"/>
        <v>0</v>
      </c>
      <c r="EF22" s="162">
        <f t="shared" ca="1" si="16"/>
        <v>0</v>
      </c>
      <c r="EG22" s="162">
        <f t="shared" ca="1" si="16"/>
        <v>0</v>
      </c>
      <c r="EH22" s="162">
        <f t="shared" ca="1" si="16"/>
        <v>0</v>
      </c>
      <c r="EI22" s="162">
        <f t="shared" ca="1" si="16"/>
        <v>0</v>
      </c>
      <c r="EJ22" s="162">
        <f t="shared" ca="1" si="16"/>
        <v>0</v>
      </c>
      <c r="EK22" s="162">
        <f t="shared" ca="1" si="16"/>
        <v>0</v>
      </c>
      <c r="EL22" s="162">
        <f t="shared" ca="1" si="16"/>
        <v>0</v>
      </c>
      <c r="EM22" s="162">
        <f t="shared" ca="1" si="16"/>
        <v>0</v>
      </c>
      <c r="EN22" s="162">
        <f t="shared" ca="1" si="16"/>
        <v>0</v>
      </c>
      <c r="EO22" s="162">
        <f t="shared" ca="1" si="16"/>
        <v>0</v>
      </c>
      <c r="EP22" s="162">
        <f t="shared" ca="1" si="16"/>
        <v>0</v>
      </c>
      <c r="EQ22" s="162">
        <f t="shared" ca="1" si="16"/>
        <v>0</v>
      </c>
    </row>
    <row r="23" spans="2:147" ht="11.25" customHeight="1">
      <c r="B23" s="218"/>
      <c r="C23" s="163"/>
      <c r="D23" s="164" t="s">
        <v>73</v>
      </c>
      <c r="E23" s="165"/>
      <c r="F23" s="165"/>
      <c r="G23" s="165"/>
      <c r="H23" s="166"/>
      <c r="I23" s="221"/>
      <c r="J23" s="168">
        <f t="shared" ref="J23:J33" si="17">SUM(L23:EQ23)</f>
        <v>-642163.30010060011</v>
      </c>
      <c r="K23" s="98"/>
      <c r="L23" s="168">
        <f>-'NOI(M)'!M22</f>
        <v>0</v>
      </c>
      <c r="M23" s="168">
        <f>-'NOI(M)'!N22</f>
        <v>-5000</v>
      </c>
      <c r="N23" s="168">
        <f>-'NOI(M)'!O22</f>
        <v>-5000</v>
      </c>
      <c r="O23" s="168">
        <f>-'NOI(M)'!P22</f>
        <v>-5000</v>
      </c>
      <c r="P23" s="168">
        <f>-'NOI(M)'!Q22</f>
        <v>-5000</v>
      </c>
      <c r="Q23" s="168">
        <f>-'NOI(M)'!R22</f>
        <v>-5000</v>
      </c>
      <c r="R23" s="168">
        <f>-'NOI(M)'!S22</f>
        <v>-5000</v>
      </c>
      <c r="S23" s="168">
        <f>-'NOI(M)'!T22</f>
        <v>-5000</v>
      </c>
      <c r="T23" s="168">
        <f>-'NOI(M)'!U22</f>
        <v>-5000</v>
      </c>
      <c r="U23" s="168">
        <f>-'NOI(M)'!V22</f>
        <v>-5000</v>
      </c>
      <c r="V23" s="168">
        <f>-'NOI(M)'!W22</f>
        <v>-5000</v>
      </c>
      <c r="W23" s="168">
        <f>-'NOI(M)'!X22</f>
        <v>-5000</v>
      </c>
      <c r="X23" s="168">
        <f>-'NOI(M)'!Y22</f>
        <v>-5000</v>
      </c>
      <c r="Y23" s="168">
        <f>-'NOI(M)'!Z22</f>
        <v>-5074.9999999999991</v>
      </c>
      <c r="Z23" s="168">
        <f>-'NOI(M)'!AA22</f>
        <v>-5074.9999999999991</v>
      </c>
      <c r="AA23" s="168">
        <f>-'NOI(M)'!AB22</f>
        <v>-5074.9999999999991</v>
      </c>
      <c r="AB23" s="168">
        <f>-'NOI(M)'!AC22</f>
        <v>-5074.9999999999991</v>
      </c>
      <c r="AC23" s="168">
        <f>-'NOI(M)'!AD22</f>
        <v>-5074.9999999999991</v>
      </c>
      <c r="AD23" s="168">
        <f>-'NOI(M)'!AE22</f>
        <v>-5074.9999999999991</v>
      </c>
      <c r="AE23" s="168">
        <f>-'NOI(M)'!AF22</f>
        <v>-5074.9999999999991</v>
      </c>
      <c r="AF23" s="168">
        <f>-'NOI(M)'!AG22</f>
        <v>-5074.9999999999991</v>
      </c>
      <c r="AG23" s="168">
        <f>-'NOI(M)'!AH22</f>
        <v>-5074.9999999999991</v>
      </c>
      <c r="AH23" s="168">
        <f>-'NOI(M)'!AI22</f>
        <v>-5074.9999999999991</v>
      </c>
      <c r="AI23" s="168">
        <f>-'NOI(M)'!AJ22</f>
        <v>-5074.9999999999991</v>
      </c>
      <c r="AJ23" s="168">
        <f>-'NOI(M)'!AK22</f>
        <v>-5074.9999999999991</v>
      </c>
      <c r="AK23" s="168">
        <f>-'NOI(M)'!AL22</f>
        <v>-5151.1249999999982</v>
      </c>
      <c r="AL23" s="168">
        <f>-'NOI(M)'!AM22</f>
        <v>-5151.1249999999982</v>
      </c>
      <c r="AM23" s="168">
        <f>-'NOI(M)'!AN22</f>
        <v>-5151.1249999999982</v>
      </c>
      <c r="AN23" s="168">
        <f>-'NOI(M)'!AO22</f>
        <v>-5151.1249999999982</v>
      </c>
      <c r="AO23" s="168">
        <f>-'NOI(M)'!AP22</f>
        <v>-5151.1249999999982</v>
      </c>
      <c r="AP23" s="168">
        <f>-'NOI(M)'!AQ22</f>
        <v>-5151.1249999999982</v>
      </c>
      <c r="AQ23" s="168">
        <f>-'NOI(M)'!AR22</f>
        <v>-5151.1249999999982</v>
      </c>
      <c r="AR23" s="168">
        <f>-'NOI(M)'!AS22</f>
        <v>-5151.1249999999982</v>
      </c>
      <c r="AS23" s="168">
        <f>-'NOI(M)'!AT22</f>
        <v>-5151.1249999999982</v>
      </c>
      <c r="AT23" s="168">
        <f>-'NOI(M)'!AU22</f>
        <v>-5151.1249999999982</v>
      </c>
      <c r="AU23" s="168">
        <f>-'NOI(M)'!AV22</f>
        <v>-5151.1249999999982</v>
      </c>
      <c r="AV23" s="168">
        <f>-'NOI(M)'!AW22</f>
        <v>-5151.1249999999982</v>
      </c>
      <c r="AW23" s="168">
        <f>-'NOI(M)'!AX22</f>
        <v>-5228.3918749999984</v>
      </c>
      <c r="AX23" s="168">
        <f>-'NOI(M)'!AY22</f>
        <v>-5228.3918749999984</v>
      </c>
      <c r="AY23" s="168">
        <f>-'NOI(M)'!AZ22</f>
        <v>-5228.3918749999984</v>
      </c>
      <c r="AZ23" s="168">
        <f>-'NOI(M)'!BA22</f>
        <v>-5228.3918749999984</v>
      </c>
      <c r="BA23" s="168">
        <f>-'NOI(M)'!BB22</f>
        <v>-5228.3918749999984</v>
      </c>
      <c r="BB23" s="168">
        <f>-'NOI(M)'!BC22</f>
        <v>-5228.3918749999984</v>
      </c>
      <c r="BC23" s="168">
        <f>-'NOI(M)'!BD22</f>
        <v>-5228.3918749999984</v>
      </c>
      <c r="BD23" s="168">
        <f>-'NOI(M)'!BE22</f>
        <v>-5228.3918749999984</v>
      </c>
      <c r="BE23" s="168">
        <f>-'NOI(M)'!BF22</f>
        <v>-5228.3918749999984</v>
      </c>
      <c r="BF23" s="168">
        <f>-'NOI(M)'!BG22</f>
        <v>-5228.3918749999984</v>
      </c>
      <c r="BG23" s="168">
        <f>-'NOI(M)'!BH22</f>
        <v>-5228.3918749999984</v>
      </c>
      <c r="BH23" s="168">
        <f>-'NOI(M)'!BI22</f>
        <v>-5228.3918749999984</v>
      </c>
      <c r="BI23" s="168">
        <f>-'NOI(M)'!BJ22</f>
        <v>-5306.8177531249976</v>
      </c>
      <c r="BJ23" s="168">
        <f>-'NOI(M)'!BK22</f>
        <v>-5306.8177531249976</v>
      </c>
      <c r="BK23" s="168">
        <f>-'NOI(M)'!BL22</f>
        <v>-5306.8177531249976</v>
      </c>
      <c r="BL23" s="168">
        <f>-'NOI(M)'!BM22</f>
        <v>-5306.8177531249976</v>
      </c>
      <c r="BM23" s="168">
        <f>-'NOI(M)'!BN22</f>
        <v>-5306.8177531249976</v>
      </c>
      <c r="BN23" s="168">
        <f>-'NOI(M)'!BO22</f>
        <v>-5306.8177531249976</v>
      </c>
      <c r="BO23" s="168">
        <f>-'NOI(M)'!BP22</f>
        <v>-5306.8177531249976</v>
      </c>
      <c r="BP23" s="168">
        <f>-'NOI(M)'!BQ22</f>
        <v>-5306.8177531249976</v>
      </c>
      <c r="BQ23" s="168">
        <f>-'NOI(M)'!BR22</f>
        <v>-5306.8177531249976</v>
      </c>
      <c r="BR23" s="168">
        <f>-'NOI(M)'!BS22</f>
        <v>-5306.8177531249976</v>
      </c>
      <c r="BS23" s="168">
        <f>-'NOI(M)'!BT22</f>
        <v>-5306.8177531249976</v>
      </c>
      <c r="BT23" s="168">
        <f>-'NOI(M)'!BU22</f>
        <v>-5306.8177531249976</v>
      </c>
      <c r="BU23" s="168">
        <f>-'NOI(M)'!BV22</f>
        <v>-5386.4200194218711</v>
      </c>
      <c r="BV23" s="168">
        <f>-'NOI(M)'!BW22</f>
        <v>-5386.4200194218711</v>
      </c>
      <c r="BW23" s="168">
        <f>-'NOI(M)'!BX22</f>
        <v>-5386.4200194218711</v>
      </c>
      <c r="BX23" s="168">
        <f>-'NOI(M)'!BY22</f>
        <v>-5386.4200194218711</v>
      </c>
      <c r="BY23" s="168">
        <f>-'NOI(M)'!BZ22</f>
        <v>-5386.4200194218711</v>
      </c>
      <c r="BZ23" s="168">
        <f>-'NOI(M)'!CA22</f>
        <v>-5386.4200194218711</v>
      </c>
      <c r="CA23" s="168">
        <f>-'NOI(M)'!CB22</f>
        <v>-5386.4200194218711</v>
      </c>
      <c r="CB23" s="168">
        <f>-'NOI(M)'!CC22</f>
        <v>-5386.4200194218711</v>
      </c>
      <c r="CC23" s="168">
        <f>-'NOI(M)'!CD22</f>
        <v>-5386.4200194218711</v>
      </c>
      <c r="CD23" s="168">
        <f>-'NOI(M)'!CE22</f>
        <v>-5386.4200194218711</v>
      </c>
      <c r="CE23" s="168">
        <f>-'NOI(M)'!CF22</f>
        <v>-5386.4200194218711</v>
      </c>
      <c r="CF23" s="168">
        <f>-'NOI(M)'!CG22</f>
        <v>-5386.4200194218711</v>
      </c>
      <c r="CG23" s="168">
        <f>-'NOI(M)'!CH22</f>
        <v>-5467.2163197131986</v>
      </c>
      <c r="CH23" s="168">
        <f>-'NOI(M)'!CI22</f>
        <v>-5467.2163197131986</v>
      </c>
      <c r="CI23" s="168">
        <f>-'NOI(M)'!CJ22</f>
        <v>-5467.2163197131986</v>
      </c>
      <c r="CJ23" s="168">
        <f>-'NOI(M)'!CK22</f>
        <v>-5467.2163197131986</v>
      </c>
      <c r="CK23" s="168">
        <f>-'NOI(M)'!CL22</f>
        <v>-5467.2163197131986</v>
      </c>
      <c r="CL23" s="168">
        <f>-'NOI(M)'!CM22</f>
        <v>-5467.2163197131986</v>
      </c>
      <c r="CM23" s="168">
        <f>-'NOI(M)'!CN22</f>
        <v>-5467.2163197131986</v>
      </c>
      <c r="CN23" s="168">
        <f>-'NOI(M)'!CO22</f>
        <v>-5467.2163197131986</v>
      </c>
      <c r="CO23" s="168">
        <f>-'NOI(M)'!CP22</f>
        <v>-5467.2163197131986</v>
      </c>
      <c r="CP23" s="168">
        <f>-'NOI(M)'!CQ22</f>
        <v>-5467.2163197131986</v>
      </c>
      <c r="CQ23" s="168">
        <f>-'NOI(M)'!CR22</f>
        <v>-5467.2163197131986</v>
      </c>
      <c r="CR23" s="168">
        <f>-'NOI(M)'!CS22</f>
        <v>-5467.2163197131986</v>
      </c>
      <c r="CS23" s="168">
        <f>-'NOI(M)'!CT22</f>
        <v>-5549.2245645088951</v>
      </c>
      <c r="CT23" s="168">
        <f>-'NOI(M)'!CU22</f>
        <v>-5549.2245645088951</v>
      </c>
      <c r="CU23" s="168">
        <f>-'NOI(M)'!CV22</f>
        <v>-5549.2245645088951</v>
      </c>
      <c r="CV23" s="168">
        <f>-'NOI(M)'!CW22</f>
        <v>-5549.2245645088951</v>
      </c>
      <c r="CW23" s="168">
        <f>-'NOI(M)'!CX22</f>
        <v>-5549.2245645088951</v>
      </c>
      <c r="CX23" s="168">
        <f>-'NOI(M)'!CY22</f>
        <v>-5549.2245645088951</v>
      </c>
      <c r="CY23" s="168">
        <f>-'NOI(M)'!CZ22</f>
        <v>-5549.2245645088951</v>
      </c>
      <c r="CZ23" s="168">
        <f>-'NOI(M)'!DA22</f>
        <v>-5549.2245645088951</v>
      </c>
      <c r="DA23" s="168">
        <f>-'NOI(M)'!DB22</f>
        <v>-5549.2245645088951</v>
      </c>
      <c r="DB23" s="168">
        <f>-'NOI(M)'!DC22</f>
        <v>-5549.2245645088951</v>
      </c>
      <c r="DC23" s="168">
        <f>-'NOI(M)'!DD22</f>
        <v>-5549.2245645088951</v>
      </c>
      <c r="DD23" s="168">
        <f>-'NOI(M)'!DE22</f>
        <v>-5549.2245645088951</v>
      </c>
      <c r="DE23" s="168">
        <f>-'NOI(M)'!DF22</f>
        <v>-5632.4629329765285</v>
      </c>
      <c r="DF23" s="168">
        <f>-'NOI(M)'!DG22</f>
        <v>-5632.4629329765285</v>
      </c>
      <c r="DG23" s="168">
        <f>-'NOI(M)'!DH22</f>
        <v>-5632.4629329765285</v>
      </c>
      <c r="DH23" s="168">
        <f>-'NOI(M)'!DI22</f>
        <v>-5632.4629329765285</v>
      </c>
      <c r="DI23" s="168">
        <f>-'NOI(M)'!DJ22</f>
        <v>-5632.4629329765285</v>
      </c>
      <c r="DJ23" s="168">
        <f>-'NOI(M)'!DK22</f>
        <v>-5632.4629329765285</v>
      </c>
      <c r="DK23" s="168">
        <f>-'NOI(M)'!DL22</f>
        <v>-5632.4629329765285</v>
      </c>
      <c r="DL23" s="168">
        <f>-'NOI(M)'!DM22</f>
        <v>-5632.4629329765285</v>
      </c>
      <c r="DM23" s="168">
        <f>-'NOI(M)'!DN22</f>
        <v>-5632.4629329765285</v>
      </c>
      <c r="DN23" s="168">
        <f>-'NOI(M)'!DO22</f>
        <v>-5632.4629329765285</v>
      </c>
      <c r="DO23" s="168">
        <f>-'NOI(M)'!DP22</f>
        <v>-5632.4629329765285</v>
      </c>
      <c r="DP23" s="168">
        <f>-'NOI(M)'!DQ22</f>
        <v>-5632.4629329765285</v>
      </c>
      <c r="DQ23" s="168">
        <f>-'NOI(M)'!DR22</f>
        <v>-5716.9498769711754</v>
      </c>
      <c r="DR23" s="168">
        <f>-'NOI(M)'!DS22</f>
        <v>-5716.9498769711754</v>
      </c>
      <c r="DS23" s="168">
        <f>-'NOI(M)'!DT22</f>
        <v>-5716.9498769711754</v>
      </c>
      <c r="DT23" s="168">
        <f>-'NOI(M)'!DU22</f>
        <v>-5716.9498769711754</v>
      </c>
      <c r="DU23" s="168">
        <f>-'NOI(M)'!DV22</f>
        <v>-5716.9498769711754</v>
      </c>
      <c r="DV23" s="168">
        <f>-'NOI(M)'!DW22</f>
        <v>-5716.9498769711754</v>
      </c>
      <c r="DW23" s="168">
        <f>-'NOI(M)'!DX22</f>
        <v>-5716.9498769711754</v>
      </c>
      <c r="DX23" s="168">
        <f>-'NOI(M)'!DY22</f>
        <v>-5716.9498769711754</v>
      </c>
      <c r="DY23" s="168">
        <f>-'NOI(M)'!DZ22</f>
        <v>-5716.9498769711754</v>
      </c>
      <c r="DZ23" s="168">
        <f>-'NOI(M)'!EA22</f>
        <v>-5716.9498769711754</v>
      </c>
      <c r="EA23" s="168">
        <f>-'NOI(M)'!EB22</f>
        <v>-5716.9498769711754</v>
      </c>
      <c r="EB23" s="168">
        <f>-'NOI(M)'!EC22</f>
        <v>-5716.9498769711754</v>
      </c>
      <c r="EC23" s="168">
        <f>-'NOI(M)'!ED22</f>
        <v>0</v>
      </c>
      <c r="ED23" s="168">
        <f>-'NOI(M)'!EE22</f>
        <v>0</v>
      </c>
      <c r="EE23" s="168">
        <f>-'NOI(M)'!EF22</f>
        <v>0</v>
      </c>
      <c r="EF23" s="168">
        <f>-'NOI(M)'!EG22</f>
        <v>0</v>
      </c>
      <c r="EG23" s="168">
        <f>-'NOI(M)'!EH22</f>
        <v>0</v>
      </c>
      <c r="EH23" s="168">
        <f>-'NOI(M)'!EI22</f>
        <v>0</v>
      </c>
      <c r="EI23" s="168">
        <f>-'NOI(M)'!EJ22</f>
        <v>0</v>
      </c>
      <c r="EJ23" s="168">
        <f>-'NOI(M)'!EK22</f>
        <v>0</v>
      </c>
      <c r="EK23" s="168">
        <f>-'NOI(M)'!EL22</f>
        <v>0</v>
      </c>
      <c r="EL23" s="168">
        <f>-'NOI(M)'!EM22</f>
        <v>0</v>
      </c>
      <c r="EM23" s="168">
        <f>-'NOI(M)'!EN22</f>
        <v>0</v>
      </c>
      <c r="EN23" s="168">
        <f>-'NOI(M)'!EO22</f>
        <v>0</v>
      </c>
      <c r="EO23" s="168">
        <f>-'NOI(M)'!EP22</f>
        <v>0</v>
      </c>
      <c r="EP23" s="168">
        <f>-'NOI(M)'!EQ22</f>
        <v>0</v>
      </c>
      <c r="EQ23" s="168">
        <f>-'NOI(M)'!ER22</f>
        <v>0</v>
      </c>
    </row>
    <row r="24" spans="2:147" ht="11.25" customHeight="1">
      <c r="B24" s="218"/>
      <c r="C24" s="163"/>
      <c r="D24" s="169" t="s">
        <v>75</v>
      </c>
      <c r="H24" s="146"/>
      <c r="I24" s="13"/>
      <c r="J24" s="171">
        <f t="shared" si="17"/>
        <v>-6974980.3358780285</v>
      </c>
      <c r="K24" s="98"/>
      <c r="L24" s="171">
        <f>-'NOI(M)'!M23</f>
        <v>0</v>
      </c>
      <c r="M24" s="171">
        <f>-'NOI(M)'!N23</f>
        <v>-53083.394667049994</v>
      </c>
      <c r="N24" s="171">
        <f>-'NOI(M)'!O23</f>
        <v>-53083.394667049994</v>
      </c>
      <c r="O24" s="171">
        <f>-'NOI(M)'!P23</f>
        <v>-53083.394667049994</v>
      </c>
      <c r="P24" s="171">
        <f>-'NOI(M)'!Q23</f>
        <v>-53083.394667049994</v>
      </c>
      <c r="Q24" s="171">
        <f>-'NOI(M)'!R23</f>
        <v>-53083.394667049994</v>
      </c>
      <c r="R24" s="171">
        <f>-'NOI(M)'!S23</f>
        <v>-53083.394667049994</v>
      </c>
      <c r="S24" s="171">
        <f>-'NOI(M)'!T23</f>
        <v>-53083.394667049994</v>
      </c>
      <c r="T24" s="171">
        <f>-'NOI(M)'!U23</f>
        <v>-53083.394667049994</v>
      </c>
      <c r="U24" s="171">
        <f>-'NOI(M)'!V23</f>
        <v>-53083.394667049994</v>
      </c>
      <c r="V24" s="171">
        <f>-'NOI(M)'!W23</f>
        <v>-53083.394667049994</v>
      </c>
      <c r="W24" s="171">
        <f>-'NOI(M)'!X23</f>
        <v>-53083.394667049994</v>
      </c>
      <c r="X24" s="171">
        <f>-'NOI(M)'!Y23</f>
        <v>-53083.394667049994</v>
      </c>
      <c r="Y24" s="171">
        <f>-'NOI(M)'!Z23</f>
        <v>-54145.062560390994</v>
      </c>
      <c r="Z24" s="171">
        <f>-'NOI(M)'!AA23</f>
        <v>-54145.062560390994</v>
      </c>
      <c r="AA24" s="171">
        <f>-'NOI(M)'!AB23</f>
        <v>-54145.062560390994</v>
      </c>
      <c r="AB24" s="171">
        <f>-'NOI(M)'!AC23</f>
        <v>-54145.062560390994</v>
      </c>
      <c r="AC24" s="171">
        <f>-'NOI(M)'!AD23</f>
        <v>-54145.062560390994</v>
      </c>
      <c r="AD24" s="171">
        <f>-'NOI(M)'!AE23</f>
        <v>-54145.062560390994</v>
      </c>
      <c r="AE24" s="171">
        <f>-'NOI(M)'!AF23</f>
        <v>-54145.062560390994</v>
      </c>
      <c r="AF24" s="171">
        <f>-'NOI(M)'!AG23</f>
        <v>-54145.062560390994</v>
      </c>
      <c r="AG24" s="171">
        <f>-'NOI(M)'!AH23</f>
        <v>-54145.062560390994</v>
      </c>
      <c r="AH24" s="171">
        <f>-'NOI(M)'!AI23</f>
        <v>-54145.062560390994</v>
      </c>
      <c r="AI24" s="171">
        <f>-'NOI(M)'!AJ23</f>
        <v>-54145.062560390994</v>
      </c>
      <c r="AJ24" s="171">
        <f>-'NOI(M)'!AK23</f>
        <v>-54145.062560390994</v>
      </c>
      <c r="AK24" s="171">
        <f>-'NOI(M)'!AL23</f>
        <v>-55227.963811598813</v>
      </c>
      <c r="AL24" s="171">
        <f>-'NOI(M)'!AM23</f>
        <v>-55227.963811598813</v>
      </c>
      <c r="AM24" s="171">
        <f>-'NOI(M)'!AN23</f>
        <v>-55227.963811598813</v>
      </c>
      <c r="AN24" s="171">
        <f>-'NOI(M)'!AO23</f>
        <v>-55227.963811598813</v>
      </c>
      <c r="AO24" s="171">
        <f>-'NOI(M)'!AP23</f>
        <v>-55227.963811598813</v>
      </c>
      <c r="AP24" s="171">
        <f>-'NOI(M)'!AQ23</f>
        <v>-55227.963811598813</v>
      </c>
      <c r="AQ24" s="171">
        <f>-'NOI(M)'!AR23</f>
        <v>-55227.963811598813</v>
      </c>
      <c r="AR24" s="171">
        <f>-'NOI(M)'!AS23</f>
        <v>-55227.963811598813</v>
      </c>
      <c r="AS24" s="171">
        <f>-'NOI(M)'!AT23</f>
        <v>-55227.963811598813</v>
      </c>
      <c r="AT24" s="171">
        <f>-'NOI(M)'!AU23</f>
        <v>-55227.963811598813</v>
      </c>
      <c r="AU24" s="171">
        <f>-'NOI(M)'!AV23</f>
        <v>-55227.963811598813</v>
      </c>
      <c r="AV24" s="171">
        <f>-'NOI(M)'!AW23</f>
        <v>-55227.963811598813</v>
      </c>
      <c r="AW24" s="171">
        <f>-'NOI(M)'!AX23</f>
        <v>-56332.523087830785</v>
      </c>
      <c r="AX24" s="171">
        <f>-'NOI(M)'!AY23</f>
        <v>-56332.523087830785</v>
      </c>
      <c r="AY24" s="171">
        <f>-'NOI(M)'!AZ23</f>
        <v>-56332.523087830785</v>
      </c>
      <c r="AZ24" s="171">
        <f>-'NOI(M)'!BA23</f>
        <v>-56332.523087830785</v>
      </c>
      <c r="BA24" s="171">
        <f>-'NOI(M)'!BB23</f>
        <v>-56332.523087830785</v>
      </c>
      <c r="BB24" s="171">
        <f>-'NOI(M)'!BC23</f>
        <v>-56332.523087830785</v>
      </c>
      <c r="BC24" s="171">
        <f>-'NOI(M)'!BD23</f>
        <v>-56332.523087830785</v>
      </c>
      <c r="BD24" s="171">
        <f>-'NOI(M)'!BE23</f>
        <v>-56332.523087830785</v>
      </c>
      <c r="BE24" s="171">
        <f>-'NOI(M)'!BF23</f>
        <v>-56332.523087830785</v>
      </c>
      <c r="BF24" s="171">
        <f>-'NOI(M)'!BG23</f>
        <v>-56332.523087830785</v>
      </c>
      <c r="BG24" s="171">
        <f>-'NOI(M)'!BH23</f>
        <v>-56332.523087830785</v>
      </c>
      <c r="BH24" s="171">
        <f>-'NOI(M)'!BI23</f>
        <v>-56332.523087830785</v>
      </c>
      <c r="BI24" s="171">
        <f>-'NOI(M)'!BJ23</f>
        <v>-57459.173549587402</v>
      </c>
      <c r="BJ24" s="171">
        <f>-'NOI(M)'!BK23</f>
        <v>-57459.173549587402</v>
      </c>
      <c r="BK24" s="171">
        <f>-'NOI(M)'!BL23</f>
        <v>-57459.173549587402</v>
      </c>
      <c r="BL24" s="171">
        <f>-'NOI(M)'!BM23</f>
        <v>-57459.173549587402</v>
      </c>
      <c r="BM24" s="171">
        <f>-'NOI(M)'!BN23</f>
        <v>-57459.173549587402</v>
      </c>
      <c r="BN24" s="171">
        <f>-'NOI(M)'!BO23</f>
        <v>-57459.173549587402</v>
      </c>
      <c r="BO24" s="171">
        <f>-'NOI(M)'!BP23</f>
        <v>-57459.173549587402</v>
      </c>
      <c r="BP24" s="171">
        <f>-'NOI(M)'!BQ23</f>
        <v>-57459.173549587402</v>
      </c>
      <c r="BQ24" s="171">
        <f>-'NOI(M)'!BR23</f>
        <v>-57459.173549587402</v>
      </c>
      <c r="BR24" s="171">
        <f>-'NOI(M)'!BS23</f>
        <v>-57459.173549587402</v>
      </c>
      <c r="BS24" s="171">
        <f>-'NOI(M)'!BT23</f>
        <v>-57459.173549587402</v>
      </c>
      <c r="BT24" s="171">
        <f>-'NOI(M)'!BU23</f>
        <v>-57459.173549587402</v>
      </c>
      <c r="BU24" s="171">
        <f>-'NOI(M)'!BV23</f>
        <v>-58608.357020579155</v>
      </c>
      <c r="BV24" s="171">
        <f>-'NOI(M)'!BW23</f>
        <v>-58608.357020579155</v>
      </c>
      <c r="BW24" s="171">
        <f>-'NOI(M)'!BX23</f>
        <v>-58608.357020579155</v>
      </c>
      <c r="BX24" s="171">
        <f>-'NOI(M)'!BY23</f>
        <v>-58608.357020579155</v>
      </c>
      <c r="BY24" s="171">
        <f>-'NOI(M)'!BZ23</f>
        <v>-58608.357020579155</v>
      </c>
      <c r="BZ24" s="171">
        <f>-'NOI(M)'!CA23</f>
        <v>-58608.357020579155</v>
      </c>
      <c r="CA24" s="171">
        <f>-'NOI(M)'!CB23</f>
        <v>-58608.357020579155</v>
      </c>
      <c r="CB24" s="171">
        <f>-'NOI(M)'!CC23</f>
        <v>-58608.357020579155</v>
      </c>
      <c r="CC24" s="171">
        <f>-'NOI(M)'!CD23</f>
        <v>-58608.357020579155</v>
      </c>
      <c r="CD24" s="171">
        <f>-'NOI(M)'!CE23</f>
        <v>-58608.357020579155</v>
      </c>
      <c r="CE24" s="171">
        <f>-'NOI(M)'!CF23</f>
        <v>-58608.357020579155</v>
      </c>
      <c r="CF24" s="171">
        <f>-'NOI(M)'!CG23</f>
        <v>-58608.357020579155</v>
      </c>
      <c r="CG24" s="171">
        <f>-'NOI(M)'!CH23</f>
        <v>-59780.524160990739</v>
      </c>
      <c r="CH24" s="171">
        <f>-'NOI(M)'!CI23</f>
        <v>-59780.524160990739</v>
      </c>
      <c r="CI24" s="171">
        <f>-'NOI(M)'!CJ23</f>
        <v>-59780.524160990739</v>
      </c>
      <c r="CJ24" s="171">
        <f>-'NOI(M)'!CK23</f>
        <v>-59780.524160990739</v>
      </c>
      <c r="CK24" s="171">
        <f>-'NOI(M)'!CL23</f>
        <v>-59780.524160990739</v>
      </c>
      <c r="CL24" s="171">
        <f>-'NOI(M)'!CM23</f>
        <v>-59780.524160990739</v>
      </c>
      <c r="CM24" s="171">
        <f>-'NOI(M)'!CN23</f>
        <v>-59780.524160990739</v>
      </c>
      <c r="CN24" s="171">
        <f>-'NOI(M)'!CO23</f>
        <v>-59780.524160990739</v>
      </c>
      <c r="CO24" s="171">
        <f>-'NOI(M)'!CP23</f>
        <v>-59780.524160990739</v>
      </c>
      <c r="CP24" s="171">
        <f>-'NOI(M)'!CQ23</f>
        <v>-59780.524160990739</v>
      </c>
      <c r="CQ24" s="171">
        <f>-'NOI(M)'!CR23</f>
        <v>-59780.524160990739</v>
      </c>
      <c r="CR24" s="171">
        <f>-'NOI(M)'!CS23</f>
        <v>-59780.524160990739</v>
      </c>
      <c r="CS24" s="171">
        <f>-'NOI(M)'!CT23</f>
        <v>-60976.134644210542</v>
      </c>
      <c r="CT24" s="171">
        <f>-'NOI(M)'!CU23</f>
        <v>-60976.134644210542</v>
      </c>
      <c r="CU24" s="171">
        <f>-'NOI(M)'!CV23</f>
        <v>-60976.134644210542</v>
      </c>
      <c r="CV24" s="171">
        <f>-'NOI(M)'!CW23</f>
        <v>-60976.134644210542</v>
      </c>
      <c r="CW24" s="171">
        <f>-'NOI(M)'!CX23</f>
        <v>-60976.134644210542</v>
      </c>
      <c r="CX24" s="171">
        <f>-'NOI(M)'!CY23</f>
        <v>-60976.134644210542</v>
      </c>
      <c r="CY24" s="171">
        <f>-'NOI(M)'!CZ23</f>
        <v>-60976.134644210542</v>
      </c>
      <c r="CZ24" s="171">
        <f>-'NOI(M)'!DA23</f>
        <v>-60976.134644210542</v>
      </c>
      <c r="DA24" s="171">
        <f>-'NOI(M)'!DB23</f>
        <v>-60976.134644210542</v>
      </c>
      <c r="DB24" s="171">
        <f>-'NOI(M)'!DC23</f>
        <v>-60976.134644210542</v>
      </c>
      <c r="DC24" s="171">
        <f>-'NOI(M)'!DD23</f>
        <v>-60976.134644210542</v>
      </c>
      <c r="DD24" s="171">
        <f>-'NOI(M)'!DE23</f>
        <v>-60976.134644210542</v>
      </c>
      <c r="DE24" s="171">
        <f>-'NOI(M)'!DF23</f>
        <v>-62195.657337094759</v>
      </c>
      <c r="DF24" s="171">
        <f>-'NOI(M)'!DG23</f>
        <v>-62195.657337094759</v>
      </c>
      <c r="DG24" s="171">
        <f>-'NOI(M)'!DH23</f>
        <v>-62195.657337094759</v>
      </c>
      <c r="DH24" s="171">
        <f>-'NOI(M)'!DI23</f>
        <v>-62195.657337094759</v>
      </c>
      <c r="DI24" s="171">
        <f>-'NOI(M)'!DJ23</f>
        <v>-62195.657337094759</v>
      </c>
      <c r="DJ24" s="171">
        <f>-'NOI(M)'!DK23</f>
        <v>-62195.657337094759</v>
      </c>
      <c r="DK24" s="171">
        <f>-'NOI(M)'!DL23</f>
        <v>-62195.657337094759</v>
      </c>
      <c r="DL24" s="171">
        <f>-'NOI(M)'!DM23</f>
        <v>-62195.657337094759</v>
      </c>
      <c r="DM24" s="171">
        <f>-'NOI(M)'!DN23</f>
        <v>-62195.657337094759</v>
      </c>
      <c r="DN24" s="171">
        <f>-'NOI(M)'!DO23</f>
        <v>-62195.657337094759</v>
      </c>
      <c r="DO24" s="171">
        <f>-'NOI(M)'!DP23</f>
        <v>-62195.657337094759</v>
      </c>
      <c r="DP24" s="171">
        <f>-'NOI(M)'!DQ23</f>
        <v>-62195.657337094759</v>
      </c>
      <c r="DQ24" s="171">
        <f>-'NOI(M)'!DR23</f>
        <v>-63439.570483836651</v>
      </c>
      <c r="DR24" s="171">
        <f>-'NOI(M)'!DS23</f>
        <v>-63439.570483836651</v>
      </c>
      <c r="DS24" s="171">
        <f>-'NOI(M)'!DT23</f>
        <v>-63439.570483836651</v>
      </c>
      <c r="DT24" s="171">
        <f>-'NOI(M)'!DU23</f>
        <v>-63439.570483836651</v>
      </c>
      <c r="DU24" s="171">
        <f>-'NOI(M)'!DV23</f>
        <v>-63439.570483836651</v>
      </c>
      <c r="DV24" s="171">
        <f>-'NOI(M)'!DW23</f>
        <v>-63439.570483836651</v>
      </c>
      <c r="DW24" s="171">
        <f>-'NOI(M)'!DX23</f>
        <v>-63439.570483836651</v>
      </c>
      <c r="DX24" s="171">
        <f>-'NOI(M)'!DY23</f>
        <v>-63439.570483836651</v>
      </c>
      <c r="DY24" s="171">
        <f>-'NOI(M)'!DZ23</f>
        <v>-63439.570483836651</v>
      </c>
      <c r="DZ24" s="171">
        <f>-'NOI(M)'!EA23</f>
        <v>-63439.570483836651</v>
      </c>
      <c r="EA24" s="171">
        <f>-'NOI(M)'!EB23</f>
        <v>-63439.570483836651</v>
      </c>
      <c r="EB24" s="171">
        <f>-'NOI(M)'!EC23</f>
        <v>-63439.570483836651</v>
      </c>
      <c r="EC24" s="171">
        <f>-'NOI(M)'!ED23</f>
        <v>0</v>
      </c>
      <c r="ED24" s="171">
        <f>-'NOI(M)'!EE23</f>
        <v>0</v>
      </c>
      <c r="EE24" s="171">
        <f>-'NOI(M)'!EF23</f>
        <v>0</v>
      </c>
      <c r="EF24" s="171">
        <f>-'NOI(M)'!EG23</f>
        <v>0</v>
      </c>
      <c r="EG24" s="171">
        <f>-'NOI(M)'!EH23</f>
        <v>0</v>
      </c>
      <c r="EH24" s="171">
        <f>-'NOI(M)'!EI23</f>
        <v>0</v>
      </c>
      <c r="EI24" s="171">
        <f>-'NOI(M)'!EJ23</f>
        <v>0</v>
      </c>
      <c r="EJ24" s="171">
        <f>-'NOI(M)'!EK23</f>
        <v>0</v>
      </c>
      <c r="EK24" s="171">
        <f>-'NOI(M)'!EL23</f>
        <v>0</v>
      </c>
      <c r="EL24" s="171">
        <f>-'NOI(M)'!EM23</f>
        <v>0</v>
      </c>
      <c r="EM24" s="171">
        <f>-'NOI(M)'!EN23</f>
        <v>0</v>
      </c>
      <c r="EN24" s="171">
        <f>-'NOI(M)'!EO23</f>
        <v>0</v>
      </c>
      <c r="EO24" s="171">
        <f>-'NOI(M)'!EP23</f>
        <v>0</v>
      </c>
      <c r="EP24" s="171">
        <f>-'NOI(M)'!EQ23</f>
        <v>0</v>
      </c>
      <c r="EQ24" s="171">
        <f>-'NOI(M)'!ER23</f>
        <v>0</v>
      </c>
    </row>
    <row r="25" spans="2:147" ht="11.25" customHeight="1">
      <c r="B25" s="218"/>
      <c r="C25" s="163"/>
      <c r="D25" s="169" t="s">
        <v>78</v>
      </c>
      <c r="H25" s="146"/>
      <c r="I25" s="13"/>
      <c r="J25" s="171">
        <f t="shared" si="17"/>
        <v>-341538.75420512666</v>
      </c>
      <c r="K25" s="98"/>
      <c r="L25" s="171">
        <f>-'NOI(M)'!M24</f>
        <v>0</v>
      </c>
      <c r="M25" s="171">
        <f>-'NOI(M)'!N24</f>
        <v>-2599.2957127499999</v>
      </c>
      <c r="N25" s="171">
        <f>-'NOI(M)'!O24</f>
        <v>-2599.2957127499999</v>
      </c>
      <c r="O25" s="171">
        <f>-'NOI(M)'!P24</f>
        <v>-2599.2957127499999</v>
      </c>
      <c r="P25" s="171">
        <f>-'NOI(M)'!Q24</f>
        <v>-2599.2957127499999</v>
      </c>
      <c r="Q25" s="171">
        <f>-'NOI(M)'!R24</f>
        <v>-2599.2957127499999</v>
      </c>
      <c r="R25" s="171">
        <f>-'NOI(M)'!S24</f>
        <v>-2599.2957127499999</v>
      </c>
      <c r="S25" s="171">
        <f>-'NOI(M)'!T24</f>
        <v>-2599.2957127499999</v>
      </c>
      <c r="T25" s="171">
        <f>-'NOI(M)'!U24</f>
        <v>-2599.2957127499999</v>
      </c>
      <c r="U25" s="171">
        <f>-'NOI(M)'!V24</f>
        <v>-2599.2957127499999</v>
      </c>
      <c r="V25" s="171">
        <f>-'NOI(M)'!W24</f>
        <v>-2599.2957127499999</v>
      </c>
      <c r="W25" s="171">
        <f>-'NOI(M)'!X24</f>
        <v>-2599.2957127499999</v>
      </c>
      <c r="X25" s="171">
        <f>-'NOI(M)'!Y24</f>
        <v>-2599.2957127499999</v>
      </c>
      <c r="Y25" s="171">
        <f>-'NOI(M)'!Z24</f>
        <v>-2651.2816270049998</v>
      </c>
      <c r="Z25" s="171">
        <f>-'NOI(M)'!AA24</f>
        <v>-2651.2816270049998</v>
      </c>
      <c r="AA25" s="171">
        <f>-'NOI(M)'!AB24</f>
        <v>-2651.2816270049998</v>
      </c>
      <c r="AB25" s="171">
        <f>-'NOI(M)'!AC24</f>
        <v>-2651.2816270049998</v>
      </c>
      <c r="AC25" s="171">
        <f>-'NOI(M)'!AD24</f>
        <v>-2651.2816270049998</v>
      </c>
      <c r="AD25" s="171">
        <f>-'NOI(M)'!AE24</f>
        <v>-2651.2816270049998</v>
      </c>
      <c r="AE25" s="171">
        <f>-'NOI(M)'!AF24</f>
        <v>-2651.2816270049998</v>
      </c>
      <c r="AF25" s="171">
        <f>-'NOI(M)'!AG24</f>
        <v>-2651.2816270049998</v>
      </c>
      <c r="AG25" s="171">
        <f>-'NOI(M)'!AH24</f>
        <v>-2651.2816270049998</v>
      </c>
      <c r="AH25" s="171">
        <f>-'NOI(M)'!AI24</f>
        <v>-2651.2816270049998</v>
      </c>
      <c r="AI25" s="171">
        <f>-'NOI(M)'!AJ24</f>
        <v>-2651.2816270049998</v>
      </c>
      <c r="AJ25" s="171">
        <f>-'NOI(M)'!AK24</f>
        <v>-2651.2816270049998</v>
      </c>
      <c r="AK25" s="171">
        <f>-'NOI(M)'!AL24</f>
        <v>-2704.3072595450999</v>
      </c>
      <c r="AL25" s="171">
        <f>-'NOI(M)'!AM24</f>
        <v>-2704.3072595450999</v>
      </c>
      <c r="AM25" s="171">
        <f>-'NOI(M)'!AN24</f>
        <v>-2704.3072595450999</v>
      </c>
      <c r="AN25" s="171">
        <f>-'NOI(M)'!AO24</f>
        <v>-2704.3072595450999</v>
      </c>
      <c r="AO25" s="171">
        <f>-'NOI(M)'!AP24</f>
        <v>-2704.3072595450999</v>
      </c>
      <c r="AP25" s="171">
        <f>-'NOI(M)'!AQ24</f>
        <v>-2704.3072595450999</v>
      </c>
      <c r="AQ25" s="171">
        <f>-'NOI(M)'!AR24</f>
        <v>-2704.3072595450999</v>
      </c>
      <c r="AR25" s="171">
        <f>-'NOI(M)'!AS24</f>
        <v>-2704.3072595450999</v>
      </c>
      <c r="AS25" s="171">
        <f>-'NOI(M)'!AT24</f>
        <v>-2704.3072595450999</v>
      </c>
      <c r="AT25" s="171">
        <f>-'NOI(M)'!AU24</f>
        <v>-2704.3072595450999</v>
      </c>
      <c r="AU25" s="171">
        <f>-'NOI(M)'!AV24</f>
        <v>-2704.3072595450999</v>
      </c>
      <c r="AV25" s="171">
        <f>-'NOI(M)'!AW24</f>
        <v>-2704.3072595450999</v>
      </c>
      <c r="AW25" s="171">
        <f>-'NOI(M)'!AX24</f>
        <v>-2758.3934047360017</v>
      </c>
      <c r="AX25" s="171">
        <f>-'NOI(M)'!AY24</f>
        <v>-2758.3934047360017</v>
      </c>
      <c r="AY25" s="171">
        <f>-'NOI(M)'!AZ24</f>
        <v>-2758.3934047360017</v>
      </c>
      <c r="AZ25" s="171">
        <f>-'NOI(M)'!BA24</f>
        <v>-2758.3934047360017</v>
      </c>
      <c r="BA25" s="171">
        <f>-'NOI(M)'!BB24</f>
        <v>-2758.3934047360017</v>
      </c>
      <c r="BB25" s="171">
        <f>-'NOI(M)'!BC24</f>
        <v>-2758.3934047360017</v>
      </c>
      <c r="BC25" s="171">
        <f>-'NOI(M)'!BD24</f>
        <v>-2758.3934047360017</v>
      </c>
      <c r="BD25" s="171">
        <f>-'NOI(M)'!BE24</f>
        <v>-2758.3934047360017</v>
      </c>
      <c r="BE25" s="171">
        <f>-'NOI(M)'!BF24</f>
        <v>-2758.3934047360017</v>
      </c>
      <c r="BF25" s="171">
        <f>-'NOI(M)'!BG24</f>
        <v>-2758.3934047360017</v>
      </c>
      <c r="BG25" s="171">
        <f>-'NOI(M)'!BH24</f>
        <v>-2758.3934047360017</v>
      </c>
      <c r="BH25" s="171">
        <f>-'NOI(M)'!BI24</f>
        <v>-2758.3934047360017</v>
      </c>
      <c r="BI25" s="171">
        <f>-'NOI(M)'!BJ24</f>
        <v>-2813.5612728307219</v>
      </c>
      <c r="BJ25" s="171">
        <f>-'NOI(M)'!BK24</f>
        <v>-2813.5612728307219</v>
      </c>
      <c r="BK25" s="171">
        <f>-'NOI(M)'!BL24</f>
        <v>-2813.5612728307219</v>
      </c>
      <c r="BL25" s="171">
        <f>-'NOI(M)'!BM24</f>
        <v>-2813.5612728307219</v>
      </c>
      <c r="BM25" s="171">
        <f>-'NOI(M)'!BN24</f>
        <v>-2813.5612728307219</v>
      </c>
      <c r="BN25" s="171">
        <f>-'NOI(M)'!BO24</f>
        <v>-2813.5612728307219</v>
      </c>
      <c r="BO25" s="171">
        <f>-'NOI(M)'!BP24</f>
        <v>-2813.5612728307219</v>
      </c>
      <c r="BP25" s="171">
        <f>-'NOI(M)'!BQ24</f>
        <v>-2813.5612728307219</v>
      </c>
      <c r="BQ25" s="171">
        <f>-'NOI(M)'!BR24</f>
        <v>-2813.5612728307219</v>
      </c>
      <c r="BR25" s="171">
        <f>-'NOI(M)'!BS24</f>
        <v>-2813.5612728307219</v>
      </c>
      <c r="BS25" s="171">
        <f>-'NOI(M)'!BT24</f>
        <v>-2813.5612728307219</v>
      </c>
      <c r="BT25" s="171">
        <f>-'NOI(M)'!BU24</f>
        <v>-2813.5612728307219</v>
      </c>
      <c r="BU25" s="171">
        <f>-'NOI(M)'!BV24</f>
        <v>-2869.8324982873364</v>
      </c>
      <c r="BV25" s="171">
        <f>-'NOI(M)'!BW24</f>
        <v>-2869.8324982873364</v>
      </c>
      <c r="BW25" s="171">
        <f>-'NOI(M)'!BX24</f>
        <v>-2869.8324982873364</v>
      </c>
      <c r="BX25" s="171">
        <f>-'NOI(M)'!BY24</f>
        <v>-2869.8324982873364</v>
      </c>
      <c r="BY25" s="171">
        <f>-'NOI(M)'!BZ24</f>
        <v>-2869.8324982873364</v>
      </c>
      <c r="BZ25" s="171">
        <f>-'NOI(M)'!CA24</f>
        <v>-2869.8324982873364</v>
      </c>
      <c r="CA25" s="171">
        <f>-'NOI(M)'!CB24</f>
        <v>-2869.8324982873364</v>
      </c>
      <c r="CB25" s="171">
        <f>-'NOI(M)'!CC24</f>
        <v>-2869.8324982873364</v>
      </c>
      <c r="CC25" s="171">
        <f>-'NOI(M)'!CD24</f>
        <v>-2869.8324982873364</v>
      </c>
      <c r="CD25" s="171">
        <f>-'NOI(M)'!CE24</f>
        <v>-2869.8324982873364</v>
      </c>
      <c r="CE25" s="171">
        <f>-'NOI(M)'!CF24</f>
        <v>-2869.8324982873364</v>
      </c>
      <c r="CF25" s="171">
        <f>-'NOI(M)'!CG24</f>
        <v>-2869.8324982873364</v>
      </c>
      <c r="CG25" s="171">
        <f>-'NOI(M)'!CH24</f>
        <v>-2927.2291482530832</v>
      </c>
      <c r="CH25" s="171">
        <f>-'NOI(M)'!CI24</f>
        <v>-2927.2291482530832</v>
      </c>
      <c r="CI25" s="171">
        <f>-'NOI(M)'!CJ24</f>
        <v>-2927.2291482530832</v>
      </c>
      <c r="CJ25" s="171">
        <f>-'NOI(M)'!CK24</f>
        <v>-2927.2291482530832</v>
      </c>
      <c r="CK25" s="171">
        <f>-'NOI(M)'!CL24</f>
        <v>-2927.2291482530832</v>
      </c>
      <c r="CL25" s="171">
        <f>-'NOI(M)'!CM24</f>
        <v>-2927.2291482530832</v>
      </c>
      <c r="CM25" s="171">
        <f>-'NOI(M)'!CN24</f>
        <v>-2927.2291482530832</v>
      </c>
      <c r="CN25" s="171">
        <f>-'NOI(M)'!CO24</f>
        <v>-2927.2291482530832</v>
      </c>
      <c r="CO25" s="171">
        <f>-'NOI(M)'!CP24</f>
        <v>-2927.2291482530832</v>
      </c>
      <c r="CP25" s="171">
        <f>-'NOI(M)'!CQ24</f>
        <v>-2927.2291482530832</v>
      </c>
      <c r="CQ25" s="171">
        <f>-'NOI(M)'!CR24</f>
        <v>-2927.2291482530832</v>
      </c>
      <c r="CR25" s="171">
        <f>-'NOI(M)'!CS24</f>
        <v>-2927.2291482530832</v>
      </c>
      <c r="CS25" s="171">
        <f>-'NOI(M)'!CT24</f>
        <v>-2985.7737312181443</v>
      </c>
      <c r="CT25" s="171">
        <f>-'NOI(M)'!CU24</f>
        <v>-2985.7737312181443</v>
      </c>
      <c r="CU25" s="171">
        <f>-'NOI(M)'!CV24</f>
        <v>-2985.7737312181443</v>
      </c>
      <c r="CV25" s="171">
        <f>-'NOI(M)'!CW24</f>
        <v>-2985.7737312181443</v>
      </c>
      <c r="CW25" s="171">
        <f>-'NOI(M)'!CX24</f>
        <v>-2985.7737312181443</v>
      </c>
      <c r="CX25" s="171">
        <f>-'NOI(M)'!CY24</f>
        <v>-2985.7737312181443</v>
      </c>
      <c r="CY25" s="171">
        <f>-'NOI(M)'!CZ24</f>
        <v>-2985.7737312181443</v>
      </c>
      <c r="CZ25" s="171">
        <f>-'NOI(M)'!DA24</f>
        <v>-2985.7737312181443</v>
      </c>
      <c r="DA25" s="171">
        <f>-'NOI(M)'!DB24</f>
        <v>-2985.7737312181443</v>
      </c>
      <c r="DB25" s="171">
        <f>-'NOI(M)'!DC24</f>
        <v>-2985.7737312181443</v>
      </c>
      <c r="DC25" s="171">
        <f>-'NOI(M)'!DD24</f>
        <v>-2985.7737312181443</v>
      </c>
      <c r="DD25" s="171">
        <f>-'NOI(M)'!DE24</f>
        <v>-2985.7737312181443</v>
      </c>
      <c r="DE25" s="171">
        <f>-'NOI(M)'!DF24</f>
        <v>-3045.4892058425075</v>
      </c>
      <c r="DF25" s="171">
        <f>-'NOI(M)'!DG24</f>
        <v>-3045.4892058425075</v>
      </c>
      <c r="DG25" s="171">
        <f>-'NOI(M)'!DH24</f>
        <v>-3045.4892058425075</v>
      </c>
      <c r="DH25" s="171">
        <f>-'NOI(M)'!DI24</f>
        <v>-3045.4892058425075</v>
      </c>
      <c r="DI25" s="171">
        <f>-'NOI(M)'!DJ24</f>
        <v>-3045.4892058425075</v>
      </c>
      <c r="DJ25" s="171">
        <f>-'NOI(M)'!DK24</f>
        <v>-3045.4892058425075</v>
      </c>
      <c r="DK25" s="171">
        <f>-'NOI(M)'!DL24</f>
        <v>-3045.4892058425075</v>
      </c>
      <c r="DL25" s="171">
        <f>-'NOI(M)'!DM24</f>
        <v>-3045.4892058425075</v>
      </c>
      <c r="DM25" s="171">
        <f>-'NOI(M)'!DN24</f>
        <v>-3045.4892058425075</v>
      </c>
      <c r="DN25" s="171">
        <f>-'NOI(M)'!DO24</f>
        <v>-3045.4892058425075</v>
      </c>
      <c r="DO25" s="171">
        <f>-'NOI(M)'!DP24</f>
        <v>-3045.4892058425075</v>
      </c>
      <c r="DP25" s="171">
        <f>-'NOI(M)'!DQ24</f>
        <v>-3045.4892058425075</v>
      </c>
      <c r="DQ25" s="171">
        <f>-'NOI(M)'!DR24</f>
        <v>-3106.3989899593576</v>
      </c>
      <c r="DR25" s="171">
        <f>-'NOI(M)'!DS24</f>
        <v>-3106.3989899593576</v>
      </c>
      <c r="DS25" s="171">
        <f>-'NOI(M)'!DT24</f>
        <v>-3106.3989899593576</v>
      </c>
      <c r="DT25" s="171">
        <f>-'NOI(M)'!DU24</f>
        <v>-3106.3989899593576</v>
      </c>
      <c r="DU25" s="171">
        <f>-'NOI(M)'!DV24</f>
        <v>-3106.3989899593576</v>
      </c>
      <c r="DV25" s="171">
        <f>-'NOI(M)'!DW24</f>
        <v>-3106.3989899593576</v>
      </c>
      <c r="DW25" s="171">
        <f>-'NOI(M)'!DX24</f>
        <v>-3106.3989899593576</v>
      </c>
      <c r="DX25" s="171">
        <f>-'NOI(M)'!DY24</f>
        <v>-3106.3989899593576</v>
      </c>
      <c r="DY25" s="171">
        <f>-'NOI(M)'!DZ24</f>
        <v>-3106.3989899593576</v>
      </c>
      <c r="DZ25" s="171">
        <f>-'NOI(M)'!EA24</f>
        <v>-3106.3989899593576</v>
      </c>
      <c r="EA25" s="171">
        <f>-'NOI(M)'!EB24</f>
        <v>-3106.3989899593576</v>
      </c>
      <c r="EB25" s="171">
        <f>-'NOI(M)'!EC24</f>
        <v>-3106.3989899593576</v>
      </c>
      <c r="EC25" s="171">
        <f>-'NOI(M)'!ED24</f>
        <v>0</v>
      </c>
      <c r="ED25" s="171">
        <f>-'NOI(M)'!EE24</f>
        <v>0</v>
      </c>
      <c r="EE25" s="171">
        <f>-'NOI(M)'!EF24</f>
        <v>0</v>
      </c>
      <c r="EF25" s="171">
        <f>-'NOI(M)'!EG24</f>
        <v>0</v>
      </c>
      <c r="EG25" s="171">
        <f>-'NOI(M)'!EH24</f>
        <v>0</v>
      </c>
      <c r="EH25" s="171">
        <f>-'NOI(M)'!EI24</f>
        <v>0</v>
      </c>
      <c r="EI25" s="171">
        <f>-'NOI(M)'!EJ24</f>
        <v>0</v>
      </c>
      <c r="EJ25" s="171">
        <f>-'NOI(M)'!EK24</f>
        <v>0</v>
      </c>
      <c r="EK25" s="171">
        <f>-'NOI(M)'!EL24</f>
        <v>0</v>
      </c>
      <c r="EL25" s="171">
        <f>-'NOI(M)'!EM24</f>
        <v>0</v>
      </c>
      <c r="EM25" s="171">
        <f>-'NOI(M)'!EN24</f>
        <v>0</v>
      </c>
      <c r="EN25" s="171">
        <f>-'NOI(M)'!EO24</f>
        <v>0</v>
      </c>
      <c r="EO25" s="171">
        <f>-'NOI(M)'!EP24</f>
        <v>0</v>
      </c>
      <c r="EP25" s="171">
        <f>-'NOI(M)'!EQ24</f>
        <v>0</v>
      </c>
      <c r="EQ25" s="171">
        <f>-'NOI(M)'!ER24</f>
        <v>0</v>
      </c>
    </row>
    <row r="26" spans="2:147" ht="11.25" customHeight="1">
      <c r="B26" s="218"/>
      <c r="C26" s="163"/>
      <c r="D26" s="169" t="s">
        <v>80</v>
      </c>
      <c r="H26" s="146"/>
      <c r="I26" s="13"/>
      <c r="J26" s="171">
        <f t="shared" si="17"/>
        <v>0</v>
      </c>
      <c r="K26" s="98"/>
      <c r="L26" s="171">
        <f>-'NOI(M)'!M25</f>
        <v>0</v>
      </c>
      <c r="M26" s="171">
        <f>-'NOI(M)'!N25</f>
        <v>0</v>
      </c>
      <c r="N26" s="171">
        <f>-'NOI(M)'!O25</f>
        <v>0</v>
      </c>
      <c r="O26" s="171">
        <f>-'NOI(M)'!P25</f>
        <v>0</v>
      </c>
      <c r="P26" s="171">
        <f>-'NOI(M)'!Q25</f>
        <v>0</v>
      </c>
      <c r="Q26" s="171">
        <f>-'NOI(M)'!R25</f>
        <v>0</v>
      </c>
      <c r="R26" s="171">
        <f>-'NOI(M)'!S25</f>
        <v>0</v>
      </c>
      <c r="S26" s="171">
        <f>-'NOI(M)'!T25</f>
        <v>0</v>
      </c>
      <c r="T26" s="171">
        <f>-'NOI(M)'!U25</f>
        <v>0</v>
      </c>
      <c r="U26" s="171">
        <f>-'NOI(M)'!V25</f>
        <v>0</v>
      </c>
      <c r="V26" s="171">
        <f>-'NOI(M)'!W25</f>
        <v>0</v>
      </c>
      <c r="W26" s="171">
        <f>-'NOI(M)'!X25</f>
        <v>0</v>
      </c>
      <c r="X26" s="171">
        <f>-'NOI(M)'!Y25</f>
        <v>0</v>
      </c>
      <c r="Y26" s="171">
        <f>-'NOI(M)'!Z25</f>
        <v>0</v>
      </c>
      <c r="Z26" s="171">
        <f>-'NOI(M)'!AA25</f>
        <v>0</v>
      </c>
      <c r="AA26" s="171">
        <f>-'NOI(M)'!AB25</f>
        <v>0</v>
      </c>
      <c r="AB26" s="171">
        <f>-'NOI(M)'!AC25</f>
        <v>0</v>
      </c>
      <c r="AC26" s="171">
        <f>-'NOI(M)'!AD25</f>
        <v>0</v>
      </c>
      <c r="AD26" s="171">
        <f>-'NOI(M)'!AE25</f>
        <v>0</v>
      </c>
      <c r="AE26" s="171">
        <f>-'NOI(M)'!AF25</f>
        <v>0</v>
      </c>
      <c r="AF26" s="171">
        <f>-'NOI(M)'!AG25</f>
        <v>0</v>
      </c>
      <c r="AG26" s="171">
        <f>-'NOI(M)'!AH25</f>
        <v>0</v>
      </c>
      <c r="AH26" s="171">
        <f>-'NOI(M)'!AI25</f>
        <v>0</v>
      </c>
      <c r="AI26" s="171">
        <f>-'NOI(M)'!AJ25</f>
        <v>0</v>
      </c>
      <c r="AJ26" s="171">
        <f>-'NOI(M)'!AK25</f>
        <v>0</v>
      </c>
      <c r="AK26" s="171">
        <f>-'NOI(M)'!AL25</f>
        <v>0</v>
      </c>
      <c r="AL26" s="171">
        <f>-'NOI(M)'!AM25</f>
        <v>0</v>
      </c>
      <c r="AM26" s="171">
        <f>-'NOI(M)'!AN25</f>
        <v>0</v>
      </c>
      <c r="AN26" s="171">
        <f>-'NOI(M)'!AO25</f>
        <v>0</v>
      </c>
      <c r="AO26" s="171">
        <f>-'NOI(M)'!AP25</f>
        <v>0</v>
      </c>
      <c r="AP26" s="171">
        <f>-'NOI(M)'!AQ25</f>
        <v>0</v>
      </c>
      <c r="AQ26" s="171">
        <f>-'NOI(M)'!AR25</f>
        <v>0</v>
      </c>
      <c r="AR26" s="171">
        <f>-'NOI(M)'!AS25</f>
        <v>0</v>
      </c>
      <c r="AS26" s="171">
        <f>-'NOI(M)'!AT25</f>
        <v>0</v>
      </c>
      <c r="AT26" s="171">
        <f>-'NOI(M)'!AU25</f>
        <v>0</v>
      </c>
      <c r="AU26" s="171">
        <f>-'NOI(M)'!AV25</f>
        <v>0</v>
      </c>
      <c r="AV26" s="171">
        <f>-'NOI(M)'!AW25</f>
        <v>0</v>
      </c>
      <c r="AW26" s="171">
        <f>-'NOI(M)'!AX25</f>
        <v>0</v>
      </c>
      <c r="AX26" s="171">
        <f>-'NOI(M)'!AY25</f>
        <v>0</v>
      </c>
      <c r="AY26" s="171">
        <f>-'NOI(M)'!AZ25</f>
        <v>0</v>
      </c>
      <c r="AZ26" s="171">
        <f>-'NOI(M)'!BA25</f>
        <v>0</v>
      </c>
      <c r="BA26" s="171">
        <f>-'NOI(M)'!BB25</f>
        <v>0</v>
      </c>
      <c r="BB26" s="171">
        <f>-'NOI(M)'!BC25</f>
        <v>0</v>
      </c>
      <c r="BC26" s="171">
        <f>-'NOI(M)'!BD25</f>
        <v>0</v>
      </c>
      <c r="BD26" s="171">
        <f>-'NOI(M)'!BE25</f>
        <v>0</v>
      </c>
      <c r="BE26" s="171">
        <f>-'NOI(M)'!BF25</f>
        <v>0</v>
      </c>
      <c r="BF26" s="171">
        <f>-'NOI(M)'!BG25</f>
        <v>0</v>
      </c>
      <c r="BG26" s="171">
        <f>-'NOI(M)'!BH25</f>
        <v>0</v>
      </c>
      <c r="BH26" s="171">
        <f>-'NOI(M)'!BI25</f>
        <v>0</v>
      </c>
      <c r="BI26" s="171">
        <f>-'NOI(M)'!BJ25</f>
        <v>0</v>
      </c>
      <c r="BJ26" s="171">
        <f>-'NOI(M)'!BK25</f>
        <v>0</v>
      </c>
      <c r="BK26" s="171">
        <f>-'NOI(M)'!BL25</f>
        <v>0</v>
      </c>
      <c r="BL26" s="171">
        <f>-'NOI(M)'!BM25</f>
        <v>0</v>
      </c>
      <c r="BM26" s="171">
        <f>-'NOI(M)'!BN25</f>
        <v>0</v>
      </c>
      <c r="BN26" s="171">
        <f>-'NOI(M)'!BO25</f>
        <v>0</v>
      </c>
      <c r="BO26" s="171">
        <f>-'NOI(M)'!BP25</f>
        <v>0</v>
      </c>
      <c r="BP26" s="171">
        <f>-'NOI(M)'!BQ25</f>
        <v>0</v>
      </c>
      <c r="BQ26" s="171">
        <f>-'NOI(M)'!BR25</f>
        <v>0</v>
      </c>
      <c r="BR26" s="171">
        <f>-'NOI(M)'!BS25</f>
        <v>0</v>
      </c>
      <c r="BS26" s="171">
        <f>-'NOI(M)'!BT25</f>
        <v>0</v>
      </c>
      <c r="BT26" s="171">
        <f>-'NOI(M)'!BU25</f>
        <v>0</v>
      </c>
      <c r="BU26" s="171">
        <f>-'NOI(M)'!BV25</f>
        <v>0</v>
      </c>
      <c r="BV26" s="171">
        <f>-'NOI(M)'!BW25</f>
        <v>0</v>
      </c>
      <c r="BW26" s="171">
        <f>-'NOI(M)'!BX25</f>
        <v>0</v>
      </c>
      <c r="BX26" s="171">
        <f>-'NOI(M)'!BY25</f>
        <v>0</v>
      </c>
      <c r="BY26" s="171">
        <f>-'NOI(M)'!BZ25</f>
        <v>0</v>
      </c>
      <c r="BZ26" s="171">
        <f>-'NOI(M)'!CA25</f>
        <v>0</v>
      </c>
      <c r="CA26" s="171">
        <f>-'NOI(M)'!CB25</f>
        <v>0</v>
      </c>
      <c r="CB26" s="171">
        <f>-'NOI(M)'!CC25</f>
        <v>0</v>
      </c>
      <c r="CC26" s="171">
        <f>-'NOI(M)'!CD25</f>
        <v>0</v>
      </c>
      <c r="CD26" s="171">
        <f>-'NOI(M)'!CE25</f>
        <v>0</v>
      </c>
      <c r="CE26" s="171">
        <f>-'NOI(M)'!CF25</f>
        <v>0</v>
      </c>
      <c r="CF26" s="171">
        <f>-'NOI(M)'!CG25</f>
        <v>0</v>
      </c>
      <c r="CG26" s="171">
        <f>-'NOI(M)'!CH25</f>
        <v>0</v>
      </c>
      <c r="CH26" s="171">
        <f>-'NOI(M)'!CI25</f>
        <v>0</v>
      </c>
      <c r="CI26" s="171">
        <f>-'NOI(M)'!CJ25</f>
        <v>0</v>
      </c>
      <c r="CJ26" s="171">
        <f>-'NOI(M)'!CK25</f>
        <v>0</v>
      </c>
      <c r="CK26" s="171">
        <f>-'NOI(M)'!CL25</f>
        <v>0</v>
      </c>
      <c r="CL26" s="171">
        <f>-'NOI(M)'!CM25</f>
        <v>0</v>
      </c>
      <c r="CM26" s="171">
        <f>-'NOI(M)'!CN25</f>
        <v>0</v>
      </c>
      <c r="CN26" s="171">
        <f>-'NOI(M)'!CO25</f>
        <v>0</v>
      </c>
      <c r="CO26" s="171">
        <f>-'NOI(M)'!CP25</f>
        <v>0</v>
      </c>
      <c r="CP26" s="171">
        <f>-'NOI(M)'!CQ25</f>
        <v>0</v>
      </c>
      <c r="CQ26" s="171">
        <f>-'NOI(M)'!CR25</f>
        <v>0</v>
      </c>
      <c r="CR26" s="171">
        <f>-'NOI(M)'!CS25</f>
        <v>0</v>
      </c>
      <c r="CS26" s="171">
        <f>-'NOI(M)'!CT25</f>
        <v>0</v>
      </c>
      <c r="CT26" s="171">
        <f>-'NOI(M)'!CU25</f>
        <v>0</v>
      </c>
      <c r="CU26" s="171">
        <f>-'NOI(M)'!CV25</f>
        <v>0</v>
      </c>
      <c r="CV26" s="171">
        <f>-'NOI(M)'!CW25</f>
        <v>0</v>
      </c>
      <c r="CW26" s="171">
        <f>-'NOI(M)'!CX25</f>
        <v>0</v>
      </c>
      <c r="CX26" s="171">
        <f>-'NOI(M)'!CY25</f>
        <v>0</v>
      </c>
      <c r="CY26" s="171">
        <f>-'NOI(M)'!CZ25</f>
        <v>0</v>
      </c>
      <c r="CZ26" s="171">
        <f>-'NOI(M)'!DA25</f>
        <v>0</v>
      </c>
      <c r="DA26" s="171">
        <f>-'NOI(M)'!DB25</f>
        <v>0</v>
      </c>
      <c r="DB26" s="171">
        <f>-'NOI(M)'!DC25</f>
        <v>0</v>
      </c>
      <c r="DC26" s="171">
        <f>-'NOI(M)'!DD25</f>
        <v>0</v>
      </c>
      <c r="DD26" s="171">
        <f>-'NOI(M)'!DE25</f>
        <v>0</v>
      </c>
      <c r="DE26" s="171">
        <f>-'NOI(M)'!DF25</f>
        <v>0</v>
      </c>
      <c r="DF26" s="171">
        <f>-'NOI(M)'!DG25</f>
        <v>0</v>
      </c>
      <c r="DG26" s="171">
        <f>-'NOI(M)'!DH25</f>
        <v>0</v>
      </c>
      <c r="DH26" s="171">
        <f>-'NOI(M)'!DI25</f>
        <v>0</v>
      </c>
      <c r="DI26" s="171">
        <f>-'NOI(M)'!DJ25</f>
        <v>0</v>
      </c>
      <c r="DJ26" s="171">
        <f>-'NOI(M)'!DK25</f>
        <v>0</v>
      </c>
      <c r="DK26" s="171">
        <f>-'NOI(M)'!DL25</f>
        <v>0</v>
      </c>
      <c r="DL26" s="171">
        <f>-'NOI(M)'!DM25</f>
        <v>0</v>
      </c>
      <c r="DM26" s="171">
        <f>-'NOI(M)'!DN25</f>
        <v>0</v>
      </c>
      <c r="DN26" s="171">
        <f>-'NOI(M)'!DO25</f>
        <v>0</v>
      </c>
      <c r="DO26" s="171">
        <f>-'NOI(M)'!DP25</f>
        <v>0</v>
      </c>
      <c r="DP26" s="171">
        <f>-'NOI(M)'!DQ25</f>
        <v>0</v>
      </c>
      <c r="DQ26" s="171">
        <f>-'NOI(M)'!DR25</f>
        <v>0</v>
      </c>
      <c r="DR26" s="171">
        <f>-'NOI(M)'!DS25</f>
        <v>0</v>
      </c>
      <c r="DS26" s="171">
        <f>-'NOI(M)'!DT25</f>
        <v>0</v>
      </c>
      <c r="DT26" s="171">
        <f>-'NOI(M)'!DU25</f>
        <v>0</v>
      </c>
      <c r="DU26" s="171">
        <f>-'NOI(M)'!DV25</f>
        <v>0</v>
      </c>
      <c r="DV26" s="171">
        <f>-'NOI(M)'!DW25</f>
        <v>0</v>
      </c>
      <c r="DW26" s="171">
        <f>-'NOI(M)'!DX25</f>
        <v>0</v>
      </c>
      <c r="DX26" s="171">
        <f>-'NOI(M)'!DY25</f>
        <v>0</v>
      </c>
      <c r="DY26" s="171">
        <f>-'NOI(M)'!DZ25</f>
        <v>0</v>
      </c>
      <c r="DZ26" s="171">
        <f>-'NOI(M)'!EA25</f>
        <v>0</v>
      </c>
      <c r="EA26" s="171">
        <f>-'NOI(M)'!EB25</f>
        <v>0</v>
      </c>
      <c r="EB26" s="171">
        <f>-'NOI(M)'!EC25</f>
        <v>0</v>
      </c>
      <c r="EC26" s="171">
        <f>-'NOI(M)'!ED25</f>
        <v>0</v>
      </c>
      <c r="ED26" s="171">
        <f>-'NOI(M)'!EE25</f>
        <v>0</v>
      </c>
      <c r="EE26" s="171">
        <f>-'NOI(M)'!EF25</f>
        <v>0</v>
      </c>
      <c r="EF26" s="171">
        <f>-'NOI(M)'!EG25</f>
        <v>0</v>
      </c>
      <c r="EG26" s="171">
        <f>-'NOI(M)'!EH25</f>
        <v>0</v>
      </c>
      <c r="EH26" s="171">
        <f>-'NOI(M)'!EI25</f>
        <v>0</v>
      </c>
      <c r="EI26" s="171">
        <f>-'NOI(M)'!EJ25</f>
        <v>0</v>
      </c>
      <c r="EJ26" s="171">
        <f>-'NOI(M)'!EK25</f>
        <v>0</v>
      </c>
      <c r="EK26" s="171">
        <f>-'NOI(M)'!EL25</f>
        <v>0</v>
      </c>
      <c r="EL26" s="171">
        <f>-'NOI(M)'!EM25</f>
        <v>0</v>
      </c>
      <c r="EM26" s="171">
        <f>-'NOI(M)'!EN25</f>
        <v>0</v>
      </c>
      <c r="EN26" s="171">
        <f>-'NOI(M)'!EO25</f>
        <v>0</v>
      </c>
      <c r="EO26" s="171">
        <f>-'NOI(M)'!EP25</f>
        <v>0</v>
      </c>
      <c r="EP26" s="171">
        <f>-'NOI(M)'!EQ25</f>
        <v>0</v>
      </c>
      <c r="EQ26" s="171">
        <f>-'NOI(M)'!ER25</f>
        <v>0</v>
      </c>
    </row>
    <row r="27" spans="2:147" ht="11.25" customHeight="1">
      <c r="B27" s="218"/>
      <c r="C27" s="163"/>
      <c r="D27" s="169" t="s">
        <v>83</v>
      </c>
      <c r="H27" s="146"/>
      <c r="I27" s="13"/>
      <c r="J27" s="171">
        <f t="shared" ca="1" si="17"/>
        <v>-6789202.8330659661</v>
      </c>
      <c r="K27" s="98"/>
      <c r="L27" s="171">
        <f ca="1">-'FS_Detail(M)'!L165</f>
        <v>0</v>
      </c>
      <c r="M27" s="171">
        <f ca="1">-'FS_Detail(M)'!M165</f>
        <v>-742284.70000000007</v>
      </c>
      <c r="N27" s="171">
        <f ca="1">-'FS_Detail(M)'!N165</f>
        <v>0</v>
      </c>
      <c r="O27" s="171">
        <f ca="1">-'FS_Detail(M)'!O165</f>
        <v>0</v>
      </c>
      <c r="P27" s="171">
        <f ca="1">-'FS_Detail(M)'!P165</f>
        <v>0</v>
      </c>
      <c r="Q27" s="171">
        <f ca="1">-'FS_Detail(M)'!Q165</f>
        <v>0</v>
      </c>
      <c r="R27" s="171">
        <f ca="1">-'FS_Detail(M)'!R165</f>
        <v>0</v>
      </c>
      <c r="S27" s="171">
        <f ca="1">-'FS_Detail(M)'!S165</f>
        <v>0</v>
      </c>
      <c r="T27" s="171">
        <f ca="1">-'FS_Detail(M)'!T165</f>
        <v>0</v>
      </c>
      <c r="U27" s="171">
        <f ca="1">-'FS_Detail(M)'!U165</f>
        <v>0</v>
      </c>
      <c r="V27" s="171">
        <f ca="1">-'FS_Detail(M)'!V165</f>
        <v>0</v>
      </c>
      <c r="W27" s="171">
        <f ca="1">-'FS_Detail(M)'!W165</f>
        <v>0</v>
      </c>
      <c r="X27" s="171">
        <f ca="1">-'FS_Detail(M)'!X165</f>
        <v>0</v>
      </c>
      <c r="Y27" s="171">
        <f ca="1">-'FS_Detail(M)'!Y165</f>
        <v>-727439.00600000017</v>
      </c>
      <c r="Z27" s="171">
        <f ca="1">-'FS_Detail(M)'!Z165</f>
        <v>0</v>
      </c>
      <c r="AA27" s="171">
        <f ca="1">-'FS_Detail(M)'!AA165</f>
        <v>0</v>
      </c>
      <c r="AB27" s="171">
        <f ca="1">-'FS_Detail(M)'!AB165</f>
        <v>0</v>
      </c>
      <c r="AC27" s="171">
        <f ca="1">-'FS_Detail(M)'!AC165</f>
        <v>0</v>
      </c>
      <c r="AD27" s="171">
        <f ca="1">-'FS_Detail(M)'!AD165</f>
        <v>0</v>
      </c>
      <c r="AE27" s="171">
        <f ca="1">-'FS_Detail(M)'!AE165</f>
        <v>0</v>
      </c>
      <c r="AF27" s="171">
        <f ca="1">-'FS_Detail(M)'!AF165</f>
        <v>0</v>
      </c>
      <c r="AG27" s="171">
        <f ca="1">-'FS_Detail(M)'!AG165</f>
        <v>0</v>
      </c>
      <c r="AH27" s="171">
        <f ca="1">-'FS_Detail(M)'!AH165</f>
        <v>0</v>
      </c>
      <c r="AI27" s="171">
        <f ca="1">-'FS_Detail(M)'!AI165</f>
        <v>0</v>
      </c>
      <c r="AJ27" s="171">
        <f ca="1">-'FS_Detail(M)'!AJ165</f>
        <v>0</v>
      </c>
      <c r="AK27" s="171">
        <f ca="1">-'FS_Detail(M)'!AK165</f>
        <v>-712890.22587999993</v>
      </c>
      <c r="AL27" s="171">
        <f ca="1">-'FS_Detail(M)'!AL165</f>
        <v>0</v>
      </c>
      <c r="AM27" s="171">
        <f ca="1">-'FS_Detail(M)'!AM165</f>
        <v>0</v>
      </c>
      <c r="AN27" s="171">
        <f ca="1">-'FS_Detail(M)'!AN165</f>
        <v>0</v>
      </c>
      <c r="AO27" s="171">
        <f ca="1">-'FS_Detail(M)'!AO165</f>
        <v>0</v>
      </c>
      <c r="AP27" s="171">
        <f ca="1">-'FS_Detail(M)'!AP165</f>
        <v>0</v>
      </c>
      <c r="AQ27" s="171">
        <f ca="1">-'FS_Detail(M)'!AQ165</f>
        <v>0</v>
      </c>
      <c r="AR27" s="171">
        <f ca="1">-'FS_Detail(M)'!AR165</f>
        <v>0</v>
      </c>
      <c r="AS27" s="171">
        <f ca="1">-'FS_Detail(M)'!AS165</f>
        <v>0</v>
      </c>
      <c r="AT27" s="171">
        <f ca="1">-'FS_Detail(M)'!AT165</f>
        <v>0</v>
      </c>
      <c r="AU27" s="171">
        <f ca="1">-'FS_Detail(M)'!AU165</f>
        <v>0</v>
      </c>
      <c r="AV27" s="171">
        <f ca="1">-'FS_Detail(M)'!AV165</f>
        <v>0</v>
      </c>
      <c r="AW27" s="171">
        <f ca="1">-'FS_Detail(M)'!AW165</f>
        <v>-698632.42136240005</v>
      </c>
      <c r="AX27" s="171">
        <f ca="1">-'FS_Detail(M)'!AX165</f>
        <v>0</v>
      </c>
      <c r="AY27" s="171">
        <f ca="1">-'FS_Detail(M)'!AY165</f>
        <v>0</v>
      </c>
      <c r="AZ27" s="171">
        <f ca="1">-'FS_Detail(M)'!AZ165</f>
        <v>0</v>
      </c>
      <c r="BA27" s="171">
        <f ca="1">-'FS_Detail(M)'!BA165</f>
        <v>0</v>
      </c>
      <c r="BB27" s="171">
        <f ca="1">-'FS_Detail(M)'!BB165</f>
        <v>0</v>
      </c>
      <c r="BC27" s="171">
        <f ca="1">-'FS_Detail(M)'!BC165</f>
        <v>0</v>
      </c>
      <c r="BD27" s="171">
        <f ca="1">-'FS_Detail(M)'!BD165</f>
        <v>0</v>
      </c>
      <c r="BE27" s="171">
        <f ca="1">-'FS_Detail(M)'!BE165</f>
        <v>0</v>
      </c>
      <c r="BF27" s="171">
        <f ca="1">-'FS_Detail(M)'!BF165</f>
        <v>0</v>
      </c>
      <c r="BG27" s="171">
        <f ca="1">-'FS_Detail(M)'!BG165</f>
        <v>0</v>
      </c>
      <c r="BH27" s="171">
        <f ca="1">-'FS_Detail(M)'!BH165</f>
        <v>0</v>
      </c>
      <c r="BI27" s="171">
        <f ca="1">-'FS_Detail(M)'!BI165</f>
        <v>-684659.77293515205</v>
      </c>
      <c r="BJ27" s="171">
        <f ca="1">-'FS_Detail(M)'!BJ165</f>
        <v>0</v>
      </c>
      <c r="BK27" s="171">
        <f ca="1">-'FS_Detail(M)'!BK165</f>
        <v>0</v>
      </c>
      <c r="BL27" s="171">
        <f ca="1">-'FS_Detail(M)'!BL165</f>
        <v>0</v>
      </c>
      <c r="BM27" s="171">
        <f ca="1">-'FS_Detail(M)'!BM165</f>
        <v>0</v>
      </c>
      <c r="BN27" s="171">
        <f ca="1">-'FS_Detail(M)'!BN165</f>
        <v>0</v>
      </c>
      <c r="BO27" s="171">
        <f ca="1">-'FS_Detail(M)'!BO165</f>
        <v>0</v>
      </c>
      <c r="BP27" s="171">
        <f ca="1">-'FS_Detail(M)'!BP165</f>
        <v>0</v>
      </c>
      <c r="BQ27" s="171">
        <f ca="1">-'FS_Detail(M)'!BQ165</f>
        <v>0</v>
      </c>
      <c r="BR27" s="171">
        <f ca="1">-'FS_Detail(M)'!BR165</f>
        <v>0</v>
      </c>
      <c r="BS27" s="171">
        <f ca="1">-'FS_Detail(M)'!BS165</f>
        <v>0</v>
      </c>
      <c r="BT27" s="171">
        <f ca="1">-'FS_Detail(M)'!BT165</f>
        <v>0</v>
      </c>
      <c r="BU27" s="171">
        <f ca="1">-'FS_Detail(M)'!BU165</f>
        <v>-670966.57747644885</v>
      </c>
      <c r="BV27" s="171">
        <f ca="1">-'FS_Detail(M)'!BV165</f>
        <v>0</v>
      </c>
      <c r="BW27" s="171">
        <f ca="1">-'FS_Detail(M)'!BW165</f>
        <v>0</v>
      </c>
      <c r="BX27" s="171">
        <f ca="1">-'FS_Detail(M)'!BX165</f>
        <v>0</v>
      </c>
      <c r="BY27" s="171">
        <f ca="1">-'FS_Detail(M)'!BY165</f>
        <v>0</v>
      </c>
      <c r="BZ27" s="171">
        <f ca="1">-'FS_Detail(M)'!BZ165</f>
        <v>0</v>
      </c>
      <c r="CA27" s="171">
        <f ca="1">-'FS_Detail(M)'!CA165</f>
        <v>0</v>
      </c>
      <c r="CB27" s="171">
        <f ca="1">-'FS_Detail(M)'!CB165</f>
        <v>0</v>
      </c>
      <c r="CC27" s="171">
        <f ca="1">-'FS_Detail(M)'!CC165</f>
        <v>0</v>
      </c>
      <c r="CD27" s="171">
        <f ca="1">-'FS_Detail(M)'!CD165</f>
        <v>0</v>
      </c>
      <c r="CE27" s="171">
        <f ca="1">-'FS_Detail(M)'!CE165</f>
        <v>0</v>
      </c>
      <c r="CF27" s="171">
        <f ca="1">-'FS_Detail(M)'!CF165</f>
        <v>0</v>
      </c>
      <c r="CG27" s="171">
        <f ca="1">-'FS_Detail(M)'!CG165</f>
        <v>-657547.24592691998</v>
      </c>
      <c r="CH27" s="171">
        <f ca="1">-'FS_Detail(M)'!CH165</f>
        <v>0</v>
      </c>
      <c r="CI27" s="171">
        <f ca="1">-'FS_Detail(M)'!CI165</f>
        <v>0</v>
      </c>
      <c r="CJ27" s="171">
        <f ca="1">-'FS_Detail(M)'!CJ165</f>
        <v>0</v>
      </c>
      <c r="CK27" s="171">
        <f ca="1">-'FS_Detail(M)'!CK165</f>
        <v>0</v>
      </c>
      <c r="CL27" s="171">
        <f ca="1">-'FS_Detail(M)'!CL165</f>
        <v>0</v>
      </c>
      <c r="CM27" s="171">
        <f ca="1">-'FS_Detail(M)'!CM165</f>
        <v>0</v>
      </c>
      <c r="CN27" s="171">
        <f ca="1">-'FS_Detail(M)'!CN165</f>
        <v>0</v>
      </c>
      <c r="CO27" s="171">
        <f ca="1">-'FS_Detail(M)'!CO165</f>
        <v>0</v>
      </c>
      <c r="CP27" s="171">
        <f ca="1">-'FS_Detail(M)'!CP165</f>
        <v>0</v>
      </c>
      <c r="CQ27" s="171">
        <f ca="1">-'FS_Detail(M)'!CQ165</f>
        <v>0</v>
      </c>
      <c r="CR27" s="171">
        <f ca="1">-'FS_Detail(M)'!CR165</f>
        <v>0</v>
      </c>
      <c r="CS27" s="171">
        <f ca="1">-'FS_Detail(M)'!CS165</f>
        <v>-644396.30100838176</v>
      </c>
      <c r="CT27" s="171">
        <f ca="1">-'FS_Detail(M)'!CT165</f>
        <v>0</v>
      </c>
      <c r="CU27" s="171">
        <f ca="1">-'FS_Detail(M)'!CU165</f>
        <v>0</v>
      </c>
      <c r="CV27" s="171">
        <f ca="1">-'FS_Detail(M)'!CV165</f>
        <v>0</v>
      </c>
      <c r="CW27" s="171">
        <f ca="1">-'FS_Detail(M)'!CW165</f>
        <v>0</v>
      </c>
      <c r="CX27" s="171">
        <f ca="1">-'FS_Detail(M)'!CX165</f>
        <v>0</v>
      </c>
      <c r="CY27" s="171">
        <f ca="1">-'FS_Detail(M)'!CY165</f>
        <v>0</v>
      </c>
      <c r="CZ27" s="171">
        <f ca="1">-'FS_Detail(M)'!CZ165</f>
        <v>0</v>
      </c>
      <c r="DA27" s="171">
        <f ca="1">-'FS_Detail(M)'!DA165</f>
        <v>0</v>
      </c>
      <c r="DB27" s="171">
        <f ca="1">-'FS_Detail(M)'!DB165</f>
        <v>0</v>
      </c>
      <c r="DC27" s="171">
        <f ca="1">-'FS_Detail(M)'!DC165</f>
        <v>0</v>
      </c>
      <c r="DD27" s="171">
        <f ca="1">-'FS_Detail(M)'!DD165</f>
        <v>0</v>
      </c>
      <c r="DE27" s="171">
        <f ca="1">-'FS_Detail(M)'!DE165</f>
        <v>-631508.37498821388</v>
      </c>
      <c r="DF27" s="171">
        <f ca="1">-'FS_Detail(M)'!DF165</f>
        <v>0</v>
      </c>
      <c r="DG27" s="171">
        <f ca="1">-'FS_Detail(M)'!DG165</f>
        <v>0</v>
      </c>
      <c r="DH27" s="171">
        <f ca="1">-'FS_Detail(M)'!DH165</f>
        <v>0</v>
      </c>
      <c r="DI27" s="171">
        <f ca="1">-'FS_Detail(M)'!DI165</f>
        <v>0</v>
      </c>
      <c r="DJ27" s="171">
        <f ca="1">-'FS_Detail(M)'!DJ165</f>
        <v>0</v>
      </c>
      <c r="DK27" s="171">
        <f ca="1">-'FS_Detail(M)'!DK165</f>
        <v>0</v>
      </c>
      <c r="DL27" s="171">
        <f ca="1">-'FS_Detail(M)'!DL165</f>
        <v>0</v>
      </c>
      <c r="DM27" s="171">
        <f ca="1">-'FS_Detail(M)'!DM165</f>
        <v>0</v>
      </c>
      <c r="DN27" s="171">
        <f ca="1">-'FS_Detail(M)'!DN165</f>
        <v>0</v>
      </c>
      <c r="DO27" s="171">
        <f ca="1">-'FS_Detail(M)'!DO165</f>
        <v>0</v>
      </c>
      <c r="DP27" s="171">
        <f ca="1">-'FS_Detail(M)'!DP165</f>
        <v>0</v>
      </c>
      <c r="DQ27" s="171">
        <f ca="1">-'FS_Detail(M)'!DQ165</f>
        <v>-618878.20748844964</v>
      </c>
      <c r="DR27" s="171">
        <f ca="1">-'FS_Detail(M)'!DR165</f>
        <v>0</v>
      </c>
      <c r="DS27" s="171">
        <f ca="1">-'FS_Detail(M)'!DS165</f>
        <v>0</v>
      </c>
      <c r="DT27" s="171">
        <f ca="1">-'FS_Detail(M)'!DT165</f>
        <v>0</v>
      </c>
      <c r="DU27" s="171">
        <f ca="1">-'FS_Detail(M)'!DU165</f>
        <v>0</v>
      </c>
      <c r="DV27" s="171">
        <f ca="1">-'FS_Detail(M)'!DV165</f>
        <v>0</v>
      </c>
      <c r="DW27" s="171">
        <f ca="1">-'FS_Detail(M)'!DW165</f>
        <v>0</v>
      </c>
      <c r="DX27" s="171">
        <f ca="1">-'FS_Detail(M)'!DX165</f>
        <v>0</v>
      </c>
      <c r="DY27" s="171">
        <f ca="1">-'FS_Detail(M)'!DY165</f>
        <v>0</v>
      </c>
      <c r="DZ27" s="171">
        <f ca="1">-'FS_Detail(M)'!DZ165</f>
        <v>0</v>
      </c>
      <c r="EA27" s="171">
        <f ca="1">-'FS_Detail(M)'!EA165</f>
        <v>0</v>
      </c>
      <c r="EB27" s="171">
        <f ca="1">-'FS_Detail(M)'!EB165</f>
        <v>0</v>
      </c>
      <c r="EC27" s="171">
        <f ca="1">-'FS_Detail(M)'!EC165</f>
        <v>0</v>
      </c>
      <c r="ED27" s="171">
        <f ca="1">-'FS_Detail(M)'!ED165</f>
        <v>0</v>
      </c>
      <c r="EE27" s="171">
        <f ca="1">-'FS_Detail(M)'!EE165</f>
        <v>0</v>
      </c>
      <c r="EF27" s="171">
        <f ca="1">-'FS_Detail(M)'!EF165</f>
        <v>0</v>
      </c>
      <c r="EG27" s="171">
        <f ca="1">-'FS_Detail(M)'!EG165</f>
        <v>0</v>
      </c>
      <c r="EH27" s="171">
        <f ca="1">-'FS_Detail(M)'!EH165</f>
        <v>0</v>
      </c>
      <c r="EI27" s="171">
        <f ca="1">-'FS_Detail(M)'!EI165</f>
        <v>0</v>
      </c>
      <c r="EJ27" s="171">
        <f ca="1">-'FS_Detail(M)'!EJ165</f>
        <v>0</v>
      </c>
      <c r="EK27" s="171">
        <f ca="1">-'FS_Detail(M)'!EK165</f>
        <v>0</v>
      </c>
      <c r="EL27" s="171">
        <f ca="1">-'FS_Detail(M)'!EL165</f>
        <v>0</v>
      </c>
      <c r="EM27" s="171">
        <f ca="1">-'FS_Detail(M)'!EM165</f>
        <v>0</v>
      </c>
      <c r="EN27" s="171">
        <f ca="1">-'FS_Detail(M)'!EN165</f>
        <v>0</v>
      </c>
      <c r="EO27" s="171">
        <f ca="1">-'FS_Detail(M)'!EO165</f>
        <v>0</v>
      </c>
      <c r="EP27" s="171">
        <f ca="1">-'FS_Detail(M)'!EP165</f>
        <v>0</v>
      </c>
      <c r="EQ27" s="171">
        <f ca="1">-'FS_Detail(M)'!EQ165</f>
        <v>0</v>
      </c>
    </row>
    <row r="28" spans="2:147" ht="11.25" customHeight="1">
      <c r="B28" s="218"/>
      <c r="C28" s="163"/>
      <c r="D28" s="169" t="s">
        <v>86</v>
      </c>
      <c r="H28" s="146"/>
      <c r="I28" s="13"/>
      <c r="J28" s="171">
        <f t="shared" si="17"/>
        <v>-2258398.7897160524</v>
      </c>
      <c r="K28" s="98"/>
      <c r="L28" s="171">
        <f>-'FS_Detail(M)'!L171</f>
        <v>0</v>
      </c>
      <c r="M28" s="171">
        <f>-'FS_Detail(M)'!M171</f>
        <v>0</v>
      </c>
      <c r="N28" s="171">
        <f>-'FS_Detail(M)'!N171</f>
        <v>0</v>
      </c>
      <c r="O28" s="171">
        <f>-'FS_Detail(M)'!O171</f>
        <v>0</v>
      </c>
      <c r="P28" s="171">
        <f>-'FS_Detail(M)'!P171</f>
        <v>0</v>
      </c>
      <c r="Q28" s="171">
        <f>-'FS_Detail(M)'!Q171</f>
        <v>0</v>
      </c>
      <c r="R28" s="171">
        <f>-'FS_Detail(M)'!R171</f>
        <v>0</v>
      </c>
      <c r="S28" s="171">
        <f>-'FS_Detail(M)'!S171</f>
        <v>0</v>
      </c>
      <c r="T28" s="171">
        <f>-'FS_Detail(M)'!T171</f>
        <v>0</v>
      </c>
      <c r="U28" s="171">
        <f>-'FS_Detail(M)'!U171</f>
        <v>-154688.79000000004</v>
      </c>
      <c r="V28" s="171">
        <f>-'FS_Detail(M)'!V171</f>
        <v>0</v>
      </c>
      <c r="W28" s="171">
        <f>-'FS_Detail(M)'!W171</f>
        <v>0</v>
      </c>
      <c r="X28" s="171">
        <f>-'FS_Detail(M)'!X171</f>
        <v>0</v>
      </c>
      <c r="Y28" s="171">
        <f>-'FS_Detail(M)'!Y171</f>
        <v>0</v>
      </c>
      <c r="Z28" s="171">
        <f>-'FS_Detail(M)'!Z171</f>
        <v>0</v>
      </c>
      <c r="AA28" s="171">
        <f>-'FS_Detail(M)'!AA171</f>
        <v>0</v>
      </c>
      <c r="AB28" s="171">
        <f>-'FS_Detail(M)'!AB171</f>
        <v>0</v>
      </c>
      <c r="AC28" s="171">
        <f>-'FS_Detail(M)'!AC171</f>
        <v>0</v>
      </c>
      <c r="AD28" s="171">
        <f>-'FS_Detail(M)'!AD171</f>
        <v>0</v>
      </c>
      <c r="AE28" s="171">
        <f>-'FS_Detail(M)'!AE171</f>
        <v>0</v>
      </c>
      <c r="AF28" s="171">
        <f>-'FS_Detail(M)'!AF171</f>
        <v>0</v>
      </c>
      <c r="AG28" s="171">
        <f>-'FS_Detail(M)'!AG171</f>
        <v>-209345.49579999995</v>
      </c>
      <c r="AH28" s="171">
        <f>-'FS_Detail(M)'!AH171</f>
        <v>0</v>
      </c>
      <c r="AI28" s="171">
        <f>-'FS_Detail(M)'!AI171</f>
        <v>0</v>
      </c>
      <c r="AJ28" s="171">
        <f>-'FS_Detail(M)'!AJ171</f>
        <v>0</v>
      </c>
      <c r="AK28" s="171">
        <f>-'FS_Detail(M)'!AK171</f>
        <v>0</v>
      </c>
      <c r="AL28" s="171">
        <f>-'FS_Detail(M)'!AL171</f>
        <v>0</v>
      </c>
      <c r="AM28" s="171">
        <f>-'FS_Detail(M)'!AM171</f>
        <v>0</v>
      </c>
      <c r="AN28" s="171">
        <f>-'FS_Detail(M)'!AN171</f>
        <v>0</v>
      </c>
      <c r="AO28" s="171">
        <f>-'FS_Detail(M)'!AO171</f>
        <v>0</v>
      </c>
      <c r="AP28" s="171">
        <f>-'FS_Detail(M)'!AP171</f>
        <v>0</v>
      </c>
      <c r="AQ28" s="171">
        <f>-'FS_Detail(M)'!AQ171</f>
        <v>0</v>
      </c>
      <c r="AR28" s="171">
        <f>-'FS_Detail(M)'!AR171</f>
        <v>0</v>
      </c>
      <c r="AS28" s="171">
        <f>-'FS_Detail(M)'!AS171</f>
        <v>-213532.40571599995</v>
      </c>
      <c r="AT28" s="171">
        <f>-'FS_Detail(M)'!AT171</f>
        <v>0</v>
      </c>
      <c r="AU28" s="171">
        <f>-'FS_Detail(M)'!AU171</f>
        <v>0</v>
      </c>
      <c r="AV28" s="171">
        <f>-'FS_Detail(M)'!AV171</f>
        <v>0</v>
      </c>
      <c r="AW28" s="171">
        <f>-'FS_Detail(M)'!AW171</f>
        <v>0</v>
      </c>
      <c r="AX28" s="171">
        <f>-'FS_Detail(M)'!AX171</f>
        <v>0</v>
      </c>
      <c r="AY28" s="171">
        <f>-'FS_Detail(M)'!AY171</f>
        <v>0</v>
      </c>
      <c r="AZ28" s="171">
        <f>-'FS_Detail(M)'!AZ171</f>
        <v>0</v>
      </c>
      <c r="BA28" s="171">
        <f>-'FS_Detail(M)'!BA171</f>
        <v>0</v>
      </c>
      <c r="BB28" s="171">
        <f>-'FS_Detail(M)'!BB171</f>
        <v>0</v>
      </c>
      <c r="BC28" s="171">
        <f>-'FS_Detail(M)'!BC171</f>
        <v>0</v>
      </c>
      <c r="BD28" s="171">
        <f>-'FS_Detail(M)'!BD171</f>
        <v>0</v>
      </c>
      <c r="BE28" s="171">
        <f>-'FS_Detail(M)'!BE171</f>
        <v>-217803.05383031996</v>
      </c>
      <c r="BF28" s="171">
        <f>-'FS_Detail(M)'!BF171</f>
        <v>0</v>
      </c>
      <c r="BG28" s="171">
        <f>-'FS_Detail(M)'!BG171</f>
        <v>0</v>
      </c>
      <c r="BH28" s="171">
        <f>-'FS_Detail(M)'!BH171</f>
        <v>0</v>
      </c>
      <c r="BI28" s="171">
        <f>-'FS_Detail(M)'!BI171</f>
        <v>0</v>
      </c>
      <c r="BJ28" s="171">
        <f>-'FS_Detail(M)'!BJ171</f>
        <v>0</v>
      </c>
      <c r="BK28" s="171">
        <f>-'FS_Detail(M)'!BK171</f>
        <v>0</v>
      </c>
      <c r="BL28" s="171">
        <f>-'FS_Detail(M)'!BL171</f>
        <v>0</v>
      </c>
      <c r="BM28" s="171">
        <f>-'FS_Detail(M)'!BM171</f>
        <v>0</v>
      </c>
      <c r="BN28" s="171">
        <f>-'FS_Detail(M)'!BN171</f>
        <v>0</v>
      </c>
      <c r="BO28" s="171">
        <f>-'FS_Detail(M)'!BO171</f>
        <v>0</v>
      </c>
      <c r="BP28" s="171">
        <f>-'FS_Detail(M)'!BP171</f>
        <v>0</v>
      </c>
      <c r="BQ28" s="171">
        <f>-'FS_Detail(M)'!BQ171</f>
        <v>-222159.11490692641</v>
      </c>
      <c r="BR28" s="171">
        <f>-'FS_Detail(M)'!BR171</f>
        <v>0</v>
      </c>
      <c r="BS28" s="171">
        <f>-'FS_Detail(M)'!BS171</f>
        <v>0</v>
      </c>
      <c r="BT28" s="171">
        <f>-'FS_Detail(M)'!BT171</f>
        <v>0</v>
      </c>
      <c r="BU28" s="171">
        <f>-'FS_Detail(M)'!BU171</f>
        <v>0</v>
      </c>
      <c r="BV28" s="171">
        <f>-'FS_Detail(M)'!BV171</f>
        <v>0</v>
      </c>
      <c r="BW28" s="171">
        <f>-'FS_Detail(M)'!BW171</f>
        <v>0</v>
      </c>
      <c r="BX28" s="171">
        <f>-'FS_Detail(M)'!BX171</f>
        <v>0</v>
      </c>
      <c r="BY28" s="171">
        <f>-'FS_Detail(M)'!BY171</f>
        <v>0</v>
      </c>
      <c r="BZ28" s="171">
        <f>-'FS_Detail(M)'!BZ171</f>
        <v>0</v>
      </c>
      <c r="CA28" s="171">
        <f>-'FS_Detail(M)'!CA171</f>
        <v>0</v>
      </c>
      <c r="CB28" s="171">
        <f>-'FS_Detail(M)'!CB171</f>
        <v>0</v>
      </c>
      <c r="CC28" s="171">
        <f>-'FS_Detail(M)'!CC171</f>
        <v>-226602.29720506494</v>
      </c>
      <c r="CD28" s="171">
        <f>-'FS_Detail(M)'!CD171</f>
        <v>0</v>
      </c>
      <c r="CE28" s="171">
        <f>-'FS_Detail(M)'!CE171</f>
        <v>0</v>
      </c>
      <c r="CF28" s="171">
        <f>-'FS_Detail(M)'!CF171</f>
        <v>0</v>
      </c>
      <c r="CG28" s="171">
        <f>-'FS_Detail(M)'!CG171</f>
        <v>0</v>
      </c>
      <c r="CH28" s="171">
        <f>-'FS_Detail(M)'!CH171</f>
        <v>0</v>
      </c>
      <c r="CI28" s="171">
        <f>-'FS_Detail(M)'!CI171</f>
        <v>0</v>
      </c>
      <c r="CJ28" s="171">
        <f>-'FS_Detail(M)'!CJ171</f>
        <v>0</v>
      </c>
      <c r="CK28" s="171">
        <f>-'FS_Detail(M)'!CK171</f>
        <v>0</v>
      </c>
      <c r="CL28" s="171">
        <f>-'FS_Detail(M)'!CL171</f>
        <v>0</v>
      </c>
      <c r="CM28" s="171">
        <f>-'FS_Detail(M)'!CM171</f>
        <v>0</v>
      </c>
      <c r="CN28" s="171">
        <f>-'FS_Detail(M)'!CN171</f>
        <v>0</v>
      </c>
      <c r="CO28" s="171">
        <f>-'FS_Detail(M)'!CO171</f>
        <v>-231134.34314916629</v>
      </c>
      <c r="CP28" s="171">
        <f>-'FS_Detail(M)'!CP171</f>
        <v>0</v>
      </c>
      <c r="CQ28" s="171">
        <f>-'FS_Detail(M)'!CQ171</f>
        <v>0</v>
      </c>
      <c r="CR28" s="171">
        <f>-'FS_Detail(M)'!CR171</f>
        <v>0</v>
      </c>
      <c r="CS28" s="171">
        <f>-'FS_Detail(M)'!CS171</f>
        <v>0</v>
      </c>
      <c r="CT28" s="171">
        <f>-'FS_Detail(M)'!CT171</f>
        <v>0</v>
      </c>
      <c r="CU28" s="171">
        <f>-'FS_Detail(M)'!CU171</f>
        <v>0</v>
      </c>
      <c r="CV28" s="171">
        <f>-'FS_Detail(M)'!CV171</f>
        <v>0</v>
      </c>
      <c r="CW28" s="171">
        <f>-'FS_Detail(M)'!CW171</f>
        <v>0</v>
      </c>
      <c r="CX28" s="171">
        <f>-'FS_Detail(M)'!CX171</f>
        <v>0</v>
      </c>
      <c r="CY28" s="171">
        <f>-'FS_Detail(M)'!CY171</f>
        <v>0</v>
      </c>
      <c r="CZ28" s="171">
        <f>-'FS_Detail(M)'!CZ171</f>
        <v>0</v>
      </c>
      <c r="DA28" s="171">
        <f>-'FS_Detail(M)'!DA171</f>
        <v>-235757.03001214948</v>
      </c>
      <c r="DB28" s="171">
        <f>-'FS_Detail(M)'!DB171</f>
        <v>0</v>
      </c>
      <c r="DC28" s="171">
        <f>-'FS_Detail(M)'!DC171</f>
        <v>0</v>
      </c>
      <c r="DD28" s="171">
        <f>-'FS_Detail(M)'!DD171</f>
        <v>0</v>
      </c>
      <c r="DE28" s="171">
        <f>-'FS_Detail(M)'!DE171</f>
        <v>0</v>
      </c>
      <c r="DF28" s="171">
        <f>-'FS_Detail(M)'!DF171</f>
        <v>0</v>
      </c>
      <c r="DG28" s="171">
        <f>-'FS_Detail(M)'!DG171</f>
        <v>0</v>
      </c>
      <c r="DH28" s="171">
        <f>-'FS_Detail(M)'!DH171</f>
        <v>0</v>
      </c>
      <c r="DI28" s="171">
        <f>-'FS_Detail(M)'!DI171</f>
        <v>0</v>
      </c>
      <c r="DJ28" s="171">
        <f>-'FS_Detail(M)'!DJ171</f>
        <v>0</v>
      </c>
      <c r="DK28" s="171">
        <f>-'FS_Detail(M)'!DK171</f>
        <v>0</v>
      </c>
      <c r="DL28" s="171">
        <f>-'FS_Detail(M)'!DL171</f>
        <v>0</v>
      </c>
      <c r="DM28" s="171">
        <f>-'FS_Detail(M)'!DM171</f>
        <v>-240472.17061239254</v>
      </c>
      <c r="DN28" s="171">
        <f>-'FS_Detail(M)'!DN171</f>
        <v>0</v>
      </c>
      <c r="DO28" s="171">
        <f>-'FS_Detail(M)'!DO171</f>
        <v>0</v>
      </c>
      <c r="DP28" s="171">
        <f>-'FS_Detail(M)'!DP171</f>
        <v>0</v>
      </c>
      <c r="DQ28" s="171">
        <f>-'FS_Detail(M)'!DQ171</f>
        <v>0</v>
      </c>
      <c r="DR28" s="171">
        <f>-'FS_Detail(M)'!DR171</f>
        <v>0</v>
      </c>
      <c r="DS28" s="171">
        <f>-'FS_Detail(M)'!DS171</f>
        <v>0</v>
      </c>
      <c r="DT28" s="171">
        <f>-'FS_Detail(M)'!DT171</f>
        <v>0</v>
      </c>
      <c r="DU28" s="171">
        <f>-'FS_Detail(M)'!DU171</f>
        <v>0</v>
      </c>
      <c r="DV28" s="171">
        <f>-'FS_Detail(M)'!DV171</f>
        <v>0</v>
      </c>
      <c r="DW28" s="171">
        <f>-'FS_Detail(M)'!DW171</f>
        <v>0</v>
      </c>
      <c r="DX28" s="171">
        <f>-'FS_Detail(M)'!DX171</f>
        <v>0</v>
      </c>
      <c r="DY28" s="171">
        <f>-'FS_Detail(M)'!DY171</f>
        <v>-245281.61402464041</v>
      </c>
      <c r="DZ28" s="171">
        <f>-'FS_Detail(M)'!DZ171</f>
        <v>0</v>
      </c>
      <c r="EA28" s="171">
        <f>-'FS_Detail(M)'!EA171</f>
        <v>0</v>
      </c>
      <c r="EB28" s="171">
        <f>-'FS_Detail(M)'!EB171</f>
        <v>-61622.474459392412</v>
      </c>
      <c r="EC28" s="171">
        <f>-'FS_Detail(M)'!EC171</f>
        <v>0</v>
      </c>
      <c r="ED28" s="171">
        <f>-'FS_Detail(M)'!ED171</f>
        <v>0</v>
      </c>
      <c r="EE28" s="171">
        <f>-'FS_Detail(M)'!EE171</f>
        <v>0</v>
      </c>
      <c r="EF28" s="171">
        <f>-'FS_Detail(M)'!EF171</f>
        <v>0</v>
      </c>
      <c r="EG28" s="171">
        <f>-'FS_Detail(M)'!EG171</f>
        <v>0</v>
      </c>
      <c r="EH28" s="171">
        <f>-'FS_Detail(M)'!EH171</f>
        <v>0</v>
      </c>
      <c r="EI28" s="171">
        <f>-'FS_Detail(M)'!EI171</f>
        <v>0</v>
      </c>
      <c r="EJ28" s="171">
        <f>-'FS_Detail(M)'!EJ171</f>
        <v>0</v>
      </c>
      <c r="EK28" s="171">
        <f>-'FS_Detail(M)'!EK171</f>
        <v>0</v>
      </c>
      <c r="EL28" s="171">
        <f>-'FS_Detail(M)'!EL171</f>
        <v>0</v>
      </c>
      <c r="EM28" s="171">
        <f>-'FS_Detail(M)'!EM171</f>
        <v>0</v>
      </c>
      <c r="EN28" s="171">
        <f>-'FS_Detail(M)'!EN171</f>
        <v>0</v>
      </c>
      <c r="EO28" s="171">
        <f>-'FS_Detail(M)'!EO171</f>
        <v>0</v>
      </c>
      <c r="EP28" s="171">
        <f>-'FS_Detail(M)'!EP171</f>
        <v>0</v>
      </c>
      <c r="EQ28" s="171">
        <f>-'FS_Detail(M)'!EQ171</f>
        <v>0</v>
      </c>
    </row>
    <row r="29" spans="2:147" ht="11.25" customHeight="1">
      <c r="B29" s="218"/>
      <c r="C29" s="163"/>
      <c r="D29" s="169" t="s">
        <v>138</v>
      </c>
      <c r="H29" s="146"/>
      <c r="I29" s="13"/>
      <c r="J29" s="171">
        <f t="shared" si="17"/>
        <v>-1412997.0011594819</v>
      </c>
      <c r="K29" s="98"/>
      <c r="L29" s="171">
        <f>-'FS_Detail(M)'!L176</f>
        <v>0</v>
      </c>
      <c r="M29" s="171">
        <f>-'FS_Detail(M)'!M176</f>
        <v>0</v>
      </c>
      <c r="N29" s="171">
        <f>-'FS_Detail(M)'!N176</f>
        <v>-21507.351666666666</v>
      </c>
      <c r="O29" s="171">
        <f>-'FS_Detail(M)'!O176</f>
        <v>0</v>
      </c>
      <c r="P29" s="171">
        <f>-'FS_Detail(M)'!P176</f>
        <v>0</v>
      </c>
      <c r="Q29" s="171">
        <f>-'FS_Detail(M)'!Q176</f>
        <v>0</v>
      </c>
      <c r="R29" s="171">
        <f>-'FS_Detail(M)'!R176</f>
        <v>0</v>
      </c>
      <c r="S29" s="171">
        <f>-'FS_Detail(M)'!S176</f>
        <v>0</v>
      </c>
      <c r="T29" s="171">
        <f>-'FS_Detail(M)'!T176</f>
        <v>0</v>
      </c>
      <c r="U29" s="171">
        <f>-'FS_Detail(M)'!U176</f>
        <v>0</v>
      </c>
      <c r="V29" s="171">
        <f>-'FS_Detail(M)'!V176</f>
        <v>0</v>
      </c>
      <c r="W29" s="171">
        <f>-'FS_Detail(M)'!W176</f>
        <v>0</v>
      </c>
      <c r="X29" s="171">
        <f>-'FS_Detail(M)'!X176</f>
        <v>0</v>
      </c>
      <c r="Y29" s="171">
        <f>-'FS_Detail(M)'!Y176</f>
        <v>0</v>
      </c>
      <c r="Z29" s="171">
        <f>-'FS_Detail(M)'!Z176</f>
        <v>-129474.25703333331</v>
      </c>
      <c r="AA29" s="171">
        <f>-'FS_Detail(M)'!AA176</f>
        <v>0</v>
      </c>
      <c r="AB29" s="171">
        <f>-'FS_Detail(M)'!AB176</f>
        <v>0</v>
      </c>
      <c r="AC29" s="171">
        <f>-'FS_Detail(M)'!AC176</f>
        <v>0</v>
      </c>
      <c r="AD29" s="171">
        <f>-'FS_Detail(M)'!AD176</f>
        <v>0</v>
      </c>
      <c r="AE29" s="171">
        <f>-'FS_Detail(M)'!AE176</f>
        <v>0</v>
      </c>
      <c r="AF29" s="171">
        <f>-'FS_Detail(M)'!AF176</f>
        <v>0</v>
      </c>
      <c r="AG29" s="171">
        <f>-'FS_Detail(M)'!AG176</f>
        <v>0</v>
      </c>
      <c r="AH29" s="171">
        <f>-'FS_Detail(M)'!AH176</f>
        <v>0</v>
      </c>
      <c r="AI29" s="171">
        <f>-'FS_Detail(M)'!AI176</f>
        <v>0</v>
      </c>
      <c r="AJ29" s="171">
        <f>-'FS_Detail(M)'!AJ176</f>
        <v>0</v>
      </c>
      <c r="AK29" s="171">
        <f>-'FS_Detail(M)'!AK176</f>
        <v>0</v>
      </c>
      <c r="AL29" s="171">
        <f>-'FS_Detail(M)'!AL176</f>
        <v>-132063.74217399998</v>
      </c>
      <c r="AM29" s="171">
        <f>-'FS_Detail(M)'!AM176</f>
        <v>0</v>
      </c>
      <c r="AN29" s="171">
        <f>-'FS_Detail(M)'!AN176</f>
        <v>0</v>
      </c>
      <c r="AO29" s="171">
        <f>-'FS_Detail(M)'!AO176</f>
        <v>0</v>
      </c>
      <c r="AP29" s="171">
        <f>-'FS_Detail(M)'!AP176</f>
        <v>0</v>
      </c>
      <c r="AQ29" s="171">
        <f>-'FS_Detail(M)'!AQ176</f>
        <v>0</v>
      </c>
      <c r="AR29" s="171">
        <f>-'FS_Detail(M)'!AR176</f>
        <v>0</v>
      </c>
      <c r="AS29" s="171">
        <f>-'FS_Detail(M)'!AS176</f>
        <v>0</v>
      </c>
      <c r="AT29" s="171">
        <f>-'FS_Detail(M)'!AT176</f>
        <v>0</v>
      </c>
      <c r="AU29" s="171">
        <f>-'FS_Detail(M)'!AU176</f>
        <v>0</v>
      </c>
      <c r="AV29" s="171">
        <f>-'FS_Detail(M)'!AV176</f>
        <v>0</v>
      </c>
      <c r="AW29" s="171">
        <f>-'FS_Detail(M)'!AW176</f>
        <v>0</v>
      </c>
      <c r="AX29" s="171">
        <f>-'FS_Detail(M)'!AX176</f>
        <v>-134705.01701747999</v>
      </c>
      <c r="AY29" s="171">
        <f>-'FS_Detail(M)'!AY176</f>
        <v>0</v>
      </c>
      <c r="AZ29" s="171">
        <f>-'FS_Detail(M)'!AZ176</f>
        <v>0</v>
      </c>
      <c r="BA29" s="171">
        <f>-'FS_Detail(M)'!BA176</f>
        <v>0</v>
      </c>
      <c r="BB29" s="171">
        <f>-'FS_Detail(M)'!BB176</f>
        <v>0</v>
      </c>
      <c r="BC29" s="171">
        <f>-'FS_Detail(M)'!BC176</f>
        <v>0</v>
      </c>
      <c r="BD29" s="171">
        <f>-'FS_Detail(M)'!BD176</f>
        <v>0</v>
      </c>
      <c r="BE29" s="171">
        <f>-'FS_Detail(M)'!BE176</f>
        <v>0</v>
      </c>
      <c r="BF29" s="171">
        <f>-'FS_Detail(M)'!BF176</f>
        <v>0</v>
      </c>
      <c r="BG29" s="171">
        <f>-'FS_Detail(M)'!BG176</f>
        <v>0</v>
      </c>
      <c r="BH29" s="171">
        <f>-'FS_Detail(M)'!BH176</f>
        <v>0</v>
      </c>
      <c r="BI29" s="171">
        <f>-'FS_Detail(M)'!BI176</f>
        <v>0</v>
      </c>
      <c r="BJ29" s="171">
        <f>-'FS_Detail(M)'!BJ176</f>
        <v>-137399.11735782961</v>
      </c>
      <c r="BK29" s="171">
        <f>-'FS_Detail(M)'!BK176</f>
        <v>0</v>
      </c>
      <c r="BL29" s="171">
        <f>-'FS_Detail(M)'!BL176</f>
        <v>0</v>
      </c>
      <c r="BM29" s="171">
        <f>-'FS_Detail(M)'!BM176</f>
        <v>0</v>
      </c>
      <c r="BN29" s="171">
        <f>-'FS_Detail(M)'!BN176</f>
        <v>0</v>
      </c>
      <c r="BO29" s="171">
        <f>-'FS_Detail(M)'!BO176</f>
        <v>0</v>
      </c>
      <c r="BP29" s="171">
        <f>-'FS_Detail(M)'!BP176</f>
        <v>0</v>
      </c>
      <c r="BQ29" s="171">
        <f>-'FS_Detail(M)'!BQ176</f>
        <v>0</v>
      </c>
      <c r="BR29" s="171">
        <f>-'FS_Detail(M)'!BR176</f>
        <v>0</v>
      </c>
      <c r="BS29" s="171">
        <f>-'FS_Detail(M)'!BS176</f>
        <v>0</v>
      </c>
      <c r="BT29" s="171">
        <f>-'FS_Detail(M)'!BT176</f>
        <v>0</v>
      </c>
      <c r="BU29" s="171">
        <f>-'FS_Detail(M)'!BU176</f>
        <v>0</v>
      </c>
      <c r="BV29" s="171">
        <f>-'FS_Detail(M)'!BV176</f>
        <v>-140147.09970498618</v>
      </c>
      <c r="BW29" s="171">
        <f>-'FS_Detail(M)'!BW176</f>
        <v>0</v>
      </c>
      <c r="BX29" s="171">
        <f>-'FS_Detail(M)'!BX176</f>
        <v>0</v>
      </c>
      <c r="BY29" s="171">
        <f>-'FS_Detail(M)'!BY176</f>
        <v>0</v>
      </c>
      <c r="BZ29" s="171">
        <f>-'FS_Detail(M)'!BZ176</f>
        <v>0</v>
      </c>
      <c r="CA29" s="171">
        <f>-'FS_Detail(M)'!CA176</f>
        <v>0</v>
      </c>
      <c r="CB29" s="171">
        <f>-'FS_Detail(M)'!CB176</f>
        <v>0</v>
      </c>
      <c r="CC29" s="171">
        <f>-'FS_Detail(M)'!CC176</f>
        <v>0</v>
      </c>
      <c r="CD29" s="171">
        <f>-'FS_Detail(M)'!CD176</f>
        <v>0</v>
      </c>
      <c r="CE29" s="171">
        <f>-'FS_Detail(M)'!CE176</f>
        <v>0</v>
      </c>
      <c r="CF29" s="171">
        <f>-'FS_Detail(M)'!CF176</f>
        <v>0</v>
      </c>
      <c r="CG29" s="171">
        <f>-'FS_Detail(M)'!CG176</f>
        <v>0</v>
      </c>
      <c r="CH29" s="171">
        <f>-'FS_Detail(M)'!CH176</f>
        <v>-142950.04169908594</v>
      </c>
      <c r="CI29" s="171">
        <f>-'FS_Detail(M)'!CI176</f>
        <v>0</v>
      </c>
      <c r="CJ29" s="171">
        <f>-'FS_Detail(M)'!CJ176</f>
        <v>0</v>
      </c>
      <c r="CK29" s="171">
        <f>-'FS_Detail(M)'!CK176</f>
        <v>0</v>
      </c>
      <c r="CL29" s="171">
        <f>-'FS_Detail(M)'!CL176</f>
        <v>0</v>
      </c>
      <c r="CM29" s="171">
        <f>-'FS_Detail(M)'!CM176</f>
        <v>0</v>
      </c>
      <c r="CN29" s="171">
        <f>-'FS_Detail(M)'!CN176</f>
        <v>0</v>
      </c>
      <c r="CO29" s="171">
        <f>-'FS_Detail(M)'!CO176</f>
        <v>0</v>
      </c>
      <c r="CP29" s="171">
        <f>-'FS_Detail(M)'!CP176</f>
        <v>0</v>
      </c>
      <c r="CQ29" s="171">
        <f>-'FS_Detail(M)'!CQ176</f>
        <v>0</v>
      </c>
      <c r="CR29" s="171">
        <f>-'FS_Detail(M)'!CR176</f>
        <v>0</v>
      </c>
      <c r="CS29" s="171">
        <f>-'FS_Detail(M)'!CS176</f>
        <v>0</v>
      </c>
      <c r="CT29" s="171">
        <f>-'FS_Detail(M)'!CT176</f>
        <v>-145809.04253306764</v>
      </c>
      <c r="CU29" s="171">
        <f>-'FS_Detail(M)'!CU176</f>
        <v>0</v>
      </c>
      <c r="CV29" s="171">
        <f>-'FS_Detail(M)'!CV176</f>
        <v>0</v>
      </c>
      <c r="CW29" s="171">
        <f>-'FS_Detail(M)'!CW176</f>
        <v>0</v>
      </c>
      <c r="CX29" s="171">
        <f>-'FS_Detail(M)'!CX176</f>
        <v>0</v>
      </c>
      <c r="CY29" s="171">
        <f>-'FS_Detail(M)'!CY176</f>
        <v>0</v>
      </c>
      <c r="CZ29" s="171">
        <f>-'FS_Detail(M)'!CZ176</f>
        <v>0</v>
      </c>
      <c r="DA29" s="171">
        <f>-'FS_Detail(M)'!DA176</f>
        <v>0</v>
      </c>
      <c r="DB29" s="171">
        <f>-'FS_Detail(M)'!DB176</f>
        <v>0</v>
      </c>
      <c r="DC29" s="171">
        <f>-'FS_Detail(M)'!DC176</f>
        <v>0</v>
      </c>
      <c r="DD29" s="171">
        <f>-'FS_Detail(M)'!DD176</f>
        <v>0</v>
      </c>
      <c r="DE29" s="171">
        <f>-'FS_Detail(M)'!DE176</f>
        <v>0</v>
      </c>
      <c r="DF29" s="171">
        <f>-'FS_Detail(M)'!DF176</f>
        <v>-148725.22338372894</v>
      </c>
      <c r="DG29" s="171">
        <f>-'FS_Detail(M)'!DG176</f>
        <v>0</v>
      </c>
      <c r="DH29" s="171">
        <f>-'FS_Detail(M)'!DH176</f>
        <v>0</v>
      </c>
      <c r="DI29" s="171">
        <f>-'FS_Detail(M)'!DI176</f>
        <v>0</v>
      </c>
      <c r="DJ29" s="171">
        <f>-'FS_Detail(M)'!DJ176</f>
        <v>0</v>
      </c>
      <c r="DK29" s="171">
        <f>-'FS_Detail(M)'!DK176</f>
        <v>0</v>
      </c>
      <c r="DL29" s="171">
        <f>-'FS_Detail(M)'!DL176</f>
        <v>0</v>
      </c>
      <c r="DM29" s="171">
        <f>-'FS_Detail(M)'!DM176</f>
        <v>0</v>
      </c>
      <c r="DN29" s="171">
        <f>-'FS_Detail(M)'!DN176</f>
        <v>0</v>
      </c>
      <c r="DO29" s="171">
        <f>-'FS_Detail(M)'!DO176</f>
        <v>0</v>
      </c>
      <c r="DP29" s="171">
        <f>-'FS_Detail(M)'!DP176</f>
        <v>0</v>
      </c>
      <c r="DQ29" s="171">
        <f>-'FS_Detail(M)'!DQ176</f>
        <v>0</v>
      </c>
      <c r="DR29" s="171">
        <f>-'FS_Detail(M)'!DR176</f>
        <v>-151699.72785140356</v>
      </c>
      <c r="DS29" s="171">
        <f>-'FS_Detail(M)'!DS176</f>
        <v>0</v>
      </c>
      <c r="DT29" s="171">
        <f>-'FS_Detail(M)'!DT176</f>
        <v>0</v>
      </c>
      <c r="DU29" s="171">
        <f>-'FS_Detail(M)'!DU176</f>
        <v>0</v>
      </c>
      <c r="DV29" s="171">
        <f>-'FS_Detail(M)'!DV176</f>
        <v>0</v>
      </c>
      <c r="DW29" s="171">
        <f>-'FS_Detail(M)'!DW176</f>
        <v>0</v>
      </c>
      <c r="DX29" s="171">
        <f>-'FS_Detail(M)'!DX176</f>
        <v>0</v>
      </c>
      <c r="DY29" s="171">
        <f>-'FS_Detail(M)'!DY176</f>
        <v>0</v>
      </c>
      <c r="DZ29" s="171">
        <f>-'FS_Detail(M)'!DZ176</f>
        <v>0</v>
      </c>
      <c r="EA29" s="171">
        <f>-'FS_Detail(M)'!EA176</f>
        <v>0</v>
      </c>
      <c r="EB29" s="171">
        <f>-'FS_Detail(M)'!EB176</f>
        <v>-128516.38073790002</v>
      </c>
      <c r="EC29" s="171">
        <f>-'FS_Detail(M)'!EC176</f>
        <v>0</v>
      </c>
      <c r="ED29" s="171">
        <f>-'FS_Detail(M)'!ED176</f>
        <v>0</v>
      </c>
      <c r="EE29" s="171">
        <f>-'FS_Detail(M)'!EE176</f>
        <v>0</v>
      </c>
      <c r="EF29" s="171">
        <f>-'FS_Detail(M)'!EF176</f>
        <v>0</v>
      </c>
      <c r="EG29" s="171">
        <f>-'FS_Detail(M)'!EG176</f>
        <v>0</v>
      </c>
      <c r="EH29" s="171">
        <f>-'FS_Detail(M)'!EH176</f>
        <v>0</v>
      </c>
      <c r="EI29" s="171">
        <f>-'FS_Detail(M)'!EI176</f>
        <v>0</v>
      </c>
      <c r="EJ29" s="171">
        <f>-'FS_Detail(M)'!EJ176</f>
        <v>0</v>
      </c>
      <c r="EK29" s="171">
        <f>-'FS_Detail(M)'!EK176</f>
        <v>0</v>
      </c>
      <c r="EL29" s="171">
        <f>-'FS_Detail(M)'!EL176</f>
        <v>0</v>
      </c>
      <c r="EM29" s="171">
        <f>-'FS_Detail(M)'!EM176</f>
        <v>0</v>
      </c>
      <c r="EN29" s="171">
        <f>-'FS_Detail(M)'!EN176</f>
        <v>0</v>
      </c>
      <c r="EO29" s="171">
        <f>-'FS_Detail(M)'!EO176</f>
        <v>0</v>
      </c>
      <c r="EP29" s="171">
        <f>-'FS_Detail(M)'!EP176</f>
        <v>0</v>
      </c>
      <c r="EQ29" s="171">
        <f>-'FS_Detail(M)'!EQ176</f>
        <v>0</v>
      </c>
    </row>
    <row r="30" spans="2:147" ht="11.25" customHeight="1">
      <c r="B30" s="218"/>
      <c r="C30" s="163"/>
      <c r="D30" s="169" t="s">
        <v>92</v>
      </c>
      <c r="H30" s="146"/>
      <c r="I30" s="13"/>
      <c r="J30" s="171">
        <f t="shared" si="17"/>
        <v>-3686229.9268934703</v>
      </c>
      <c r="K30" s="98"/>
      <c r="L30" s="171">
        <f>-'FS_Detail(M)'!L181</f>
        <v>0</v>
      </c>
      <c r="M30" s="171">
        <f>-'FS_Detail(M)'!M181</f>
        <v>0</v>
      </c>
      <c r="N30" s="171">
        <f>-'FS_Detail(M)'!N181</f>
        <v>0</v>
      </c>
      <c r="O30" s="171">
        <f>-'FS_Detail(M)'!O181</f>
        <v>0</v>
      </c>
      <c r="P30" s="171">
        <f>-'FS_Detail(M)'!P181</f>
        <v>0</v>
      </c>
      <c r="Q30" s="171">
        <f>-'FS_Detail(M)'!Q181</f>
        <v>0</v>
      </c>
      <c r="R30" s="171">
        <f>-'FS_Detail(M)'!R181</f>
        <v>0</v>
      </c>
      <c r="S30" s="171">
        <f>-'FS_Detail(M)'!S181</f>
        <v>0</v>
      </c>
      <c r="T30" s="171">
        <f>-'FS_Detail(M)'!T181</f>
        <v>0</v>
      </c>
      <c r="U30" s="171">
        <f>-'FS_Detail(M)'!U181</f>
        <v>0</v>
      </c>
      <c r="V30" s="171">
        <f>-'FS_Detail(M)'!V181</f>
        <v>0</v>
      </c>
      <c r="W30" s="171">
        <f>-'FS_Detail(M)'!W181</f>
        <v>-361344.7016666666</v>
      </c>
      <c r="X30" s="171">
        <f>-'FS_Detail(M)'!X181</f>
        <v>0</v>
      </c>
      <c r="Y30" s="171">
        <f>-'FS_Detail(M)'!Y181</f>
        <v>0</v>
      </c>
      <c r="Z30" s="171">
        <f>-'FS_Detail(M)'!Z181</f>
        <v>0</v>
      </c>
      <c r="AA30" s="171">
        <f>-'FS_Detail(M)'!AA181</f>
        <v>0</v>
      </c>
      <c r="AB30" s="171">
        <f>-'FS_Detail(M)'!AB181</f>
        <v>0</v>
      </c>
      <c r="AC30" s="171">
        <f>-'FS_Detail(M)'!AC181</f>
        <v>0</v>
      </c>
      <c r="AD30" s="171">
        <f>-'FS_Detail(M)'!AD181</f>
        <v>0</v>
      </c>
      <c r="AE30" s="171">
        <f>-'FS_Detail(M)'!AE181</f>
        <v>0</v>
      </c>
      <c r="AF30" s="171">
        <f>-'FS_Detail(M)'!AF181</f>
        <v>0</v>
      </c>
      <c r="AG30" s="171">
        <f>-'FS_Detail(M)'!AG181</f>
        <v>0</v>
      </c>
      <c r="AH30" s="171">
        <f>-'FS_Detail(M)'!AH181</f>
        <v>0</v>
      </c>
      <c r="AI30" s="171">
        <f>-'FS_Detail(M)'!AI181</f>
        <v>-388774.04947499995</v>
      </c>
      <c r="AJ30" s="171">
        <f>-'FS_Detail(M)'!AJ181</f>
        <v>0</v>
      </c>
      <c r="AK30" s="171">
        <f>-'FS_Detail(M)'!AK181</f>
        <v>0</v>
      </c>
      <c r="AL30" s="171">
        <f>-'FS_Detail(M)'!AL181</f>
        <v>0</v>
      </c>
      <c r="AM30" s="171">
        <f>-'FS_Detail(M)'!AM181</f>
        <v>0</v>
      </c>
      <c r="AN30" s="171">
        <f>-'FS_Detail(M)'!AN181</f>
        <v>0</v>
      </c>
      <c r="AO30" s="171">
        <f>-'FS_Detail(M)'!AO181</f>
        <v>0</v>
      </c>
      <c r="AP30" s="171">
        <f>-'FS_Detail(M)'!AP181</f>
        <v>0</v>
      </c>
      <c r="AQ30" s="171">
        <f>-'FS_Detail(M)'!AQ181</f>
        <v>0</v>
      </c>
      <c r="AR30" s="171">
        <f>-'FS_Detail(M)'!AR181</f>
        <v>0</v>
      </c>
      <c r="AS30" s="171">
        <f>-'FS_Detail(M)'!AS181</f>
        <v>0</v>
      </c>
      <c r="AT30" s="171">
        <f>-'FS_Detail(M)'!AT181</f>
        <v>0</v>
      </c>
      <c r="AU30" s="171">
        <f>-'FS_Detail(M)'!AU181</f>
        <v>-382942.43873287499</v>
      </c>
      <c r="AV30" s="171">
        <f>-'FS_Detail(M)'!AV181</f>
        <v>0</v>
      </c>
      <c r="AW30" s="171">
        <f>-'FS_Detail(M)'!AW181</f>
        <v>0</v>
      </c>
      <c r="AX30" s="171">
        <f>-'FS_Detail(M)'!AX181</f>
        <v>0</v>
      </c>
      <c r="AY30" s="171">
        <f>-'FS_Detail(M)'!AY181</f>
        <v>0</v>
      </c>
      <c r="AZ30" s="171">
        <f>-'FS_Detail(M)'!AZ181</f>
        <v>0</v>
      </c>
      <c r="BA30" s="171">
        <f>-'FS_Detail(M)'!BA181</f>
        <v>0</v>
      </c>
      <c r="BB30" s="171">
        <f>-'FS_Detail(M)'!BB181</f>
        <v>0</v>
      </c>
      <c r="BC30" s="171">
        <f>-'FS_Detail(M)'!BC181</f>
        <v>0</v>
      </c>
      <c r="BD30" s="171">
        <f>-'FS_Detail(M)'!BD181</f>
        <v>0</v>
      </c>
      <c r="BE30" s="171">
        <f>-'FS_Detail(M)'!BE181</f>
        <v>0</v>
      </c>
      <c r="BF30" s="171">
        <f>-'FS_Detail(M)'!BF181</f>
        <v>0</v>
      </c>
      <c r="BG30" s="171">
        <f>-'FS_Detail(M)'!BG181</f>
        <v>-377198.30215188186</v>
      </c>
      <c r="BH30" s="171">
        <f>-'FS_Detail(M)'!BH181</f>
        <v>0</v>
      </c>
      <c r="BI30" s="171">
        <f>-'FS_Detail(M)'!BI181</f>
        <v>0</v>
      </c>
      <c r="BJ30" s="171">
        <f>-'FS_Detail(M)'!BJ181</f>
        <v>0</v>
      </c>
      <c r="BK30" s="171">
        <f>-'FS_Detail(M)'!BK181</f>
        <v>0</v>
      </c>
      <c r="BL30" s="171">
        <f>-'FS_Detail(M)'!BL181</f>
        <v>0</v>
      </c>
      <c r="BM30" s="171">
        <f>-'FS_Detail(M)'!BM181</f>
        <v>0</v>
      </c>
      <c r="BN30" s="171">
        <f>-'FS_Detail(M)'!BN181</f>
        <v>0</v>
      </c>
      <c r="BO30" s="171">
        <f>-'FS_Detail(M)'!BO181</f>
        <v>0</v>
      </c>
      <c r="BP30" s="171">
        <f>-'FS_Detail(M)'!BP181</f>
        <v>0</v>
      </c>
      <c r="BQ30" s="171">
        <f>-'FS_Detail(M)'!BQ181</f>
        <v>0</v>
      </c>
      <c r="BR30" s="171">
        <f>-'FS_Detail(M)'!BR181</f>
        <v>0</v>
      </c>
      <c r="BS30" s="171">
        <f>-'FS_Detail(M)'!BS181</f>
        <v>-371540.3276196036</v>
      </c>
      <c r="BT30" s="171">
        <f>-'FS_Detail(M)'!BT181</f>
        <v>0</v>
      </c>
      <c r="BU30" s="171">
        <f>-'FS_Detail(M)'!BU181</f>
        <v>0</v>
      </c>
      <c r="BV30" s="171">
        <f>-'FS_Detail(M)'!BV181</f>
        <v>0</v>
      </c>
      <c r="BW30" s="171">
        <f>-'FS_Detail(M)'!BW181</f>
        <v>0</v>
      </c>
      <c r="BX30" s="171">
        <f>-'FS_Detail(M)'!BX181</f>
        <v>0</v>
      </c>
      <c r="BY30" s="171">
        <f>-'FS_Detail(M)'!BY181</f>
        <v>0</v>
      </c>
      <c r="BZ30" s="171">
        <f>-'FS_Detail(M)'!BZ181</f>
        <v>0</v>
      </c>
      <c r="CA30" s="171">
        <f>-'FS_Detail(M)'!CA181</f>
        <v>0</v>
      </c>
      <c r="CB30" s="171">
        <f>-'FS_Detail(M)'!CB181</f>
        <v>0</v>
      </c>
      <c r="CC30" s="171">
        <f>-'FS_Detail(M)'!CC181</f>
        <v>0</v>
      </c>
      <c r="CD30" s="171">
        <f>-'FS_Detail(M)'!CD181</f>
        <v>0</v>
      </c>
      <c r="CE30" s="171">
        <f>-'FS_Detail(M)'!CE181</f>
        <v>-365967.22270530969</v>
      </c>
      <c r="CF30" s="171">
        <f>-'FS_Detail(M)'!CF181</f>
        <v>0</v>
      </c>
      <c r="CG30" s="171">
        <f>-'FS_Detail(M)'!CG181</f>
        <v>0</v>
      </c>
      <c r="CH30" s="171">
        <f>-'FS_Detail(M)'!CH181</f>
        <v>0</v>
      </c>
      <c r="CI30" s="171">
        <f>-'FS_Detail(M)'!CI181</f>
        <v>0</v>
      </c>
      <c r="CJ30" s="171">
        <f>-'FS_Detail(M)'!CJ181</f>
        <v>0</v>
      </c>
      <c r="CK30" s="171">
        <f>-'FS_Detail(M)'!CK181</f>
        <v>0</v>
      </c>
      <c r="CL30" s="171">
        <f>-'FS_Detail(M)'!CL181</f>
        <v>0</v>
      </c>
      <c r="CM30" s="171">
        <f>-'FS_Detail(M)'!CM181</f>
        <v>0</v>
      </c>
      <c r="CN30" s="171">
        <f>-'FS_Detail(M)'!CN181</f>
        <v>0</v>
      </c>
      <c r="CO30" s="171">
        <f>-'FS_Detail(M)'!CO181</f>
        <v>0</v>
      </c>
      <c r="CP30" s="171">
        <f>-'FS_Detail(M)'!CP181</f>
        <v>0</v>
      </c>
      <c r="CQ30" s="171">
        <f>-'FS_Detail(M)'!CQ181</f>
        <v>-360477.71436473</v>
      </c>
      <c r="CR30" s="171">
        <f>-'FS_Detail(M)'!CR181</f>
        <v>0</v>
      </c>
      <c r="CS30" s="171">
        <f>-'FS_Detail(M)'!CS181</f>
        <v>0</v>
      </c>
      <c r="CT30" s="171">
        <f>-'FS_Detail(M)'!CT181</f>
        <v>0</v>
      </c>
      <c r="CU30" s="171">
        <f>-'FS_Detail(M)'!CU181</f>
        <v>0</v>
      </c>
      <c r="CV30" s="171">
        <f>-'FS_Detail(M)'!CV181</f>
        <v>0</v>
      </c>
      <c r="CW30" s="171">
        <f>-'FS_Detail(M)'!CW181</f>
        <v>0</v>
      </c>
      <c r="CX30" s="171">
        <f>-'FS_Detail(M)'!CX181</f>
        <v>0</v>
      </c>
      <c r="CY30" s="171">
        <f>-'FS_Detail(M)'!CY181</f>
        <v>0</v>
      </c>
      <c r="CZ30" s="171">
        <f>-'FS_Detail(M)'!CZ181</f>
        <v>0</v>
      </c>
      <c r="DA30" s="171">
        <f>-'FS_Detail(M)'!DA181</f>
        <v>0</v>
      </c>
      <c r="DB30" s="171">
        <f>-'FS_Detail(M)'!DB181</f>
        <v>0</v>
      </c>
      <c r="DC30" s="171">
        <f>-'FS_Detail(M)'!DC181</f>
        <v>-355070.54864925909</v>
      </c>
      <c r="DD30" s="171">
        <f>-'FS_Detail(M)'!DD181</f>
        <v>0</v>
      </c>
      <c r="DE30" s="171">
        <f>-'FS_Detail(M)'!DE181</f>
        <v>0</v>
      </c>
      <c r="DF30" s="171">
        <f>-'FS_Detail(M)'!DF181</f>
        <v>0</v>
      </c>
      <c r="DG30" s="171">
        <f>-'FS_Detail(M)'!DG181</f>
        <v>0</v>
      </c>
      <c r="DH30" s="171">
        <f>-'FS_Detail(M)'!DH181</f>
        <v>0</v>
      </c>
      <c r="DI30" s="171">
        <f>-'FS_Detail(M)'!DI181</f>
        <v>0</v>
      </c>
      <c r="DJ30" s="171">
        <f>-'FS_Detail(M)'!DJ181</f>
        <v>0</v>
      </c>
      <c r="DK30" s="171">
        <f>-'FS_Detail(M)'!DK181</f>
        <v>0</v>
      </c>
      <c r="DL30" s="171">
        <f>-'FS_Detail(M)'!DL181</f>
        <v>0</v>
      </c>
      <c r="DM30" s="171">
        <f>-'FS_Detail(M)'!DM181</f>
        <v>0</v>
      </c>
      <c r="DN30" s="171">
        <f>-'FS_Detail(M)'!DN181</f>
        <v>0</v>
      </c>
      <c r="DO30" s="171">
        <f>-'FS_Detail(M)'!DO181</f>
        <v>-349744.49041952012</v>
      </c>
      <c r="DP30" s="171">
        <f>-'FS_Detail(M)'!DP181</f>
        <v>0</v>
      </c>
      <c r="DQ30" s="171">
        <f>-'FS_Detail(M)'!DQ181</f>
        <v>0</v>
      </c>
      <c r="DR30" s="171">
        <f>-'FS_Detail(M)'!DR181</f>
        <v>0</v>
      </c>
      <c r="DS30" s="171">
        <f>-'FS_Detail(M)'!DS181</f>
        <v>0</v>
      </c>
      <c r="DT30" s="171">
        <f>-'FS_Detail(M)'!DT181</f>
        <v>0</v>
      </c>
      <c r="DU30" s="171">
        <f>-'FS_Detail(M)'!DU181</f>
        <v>0</v>
      </c>
      <c r="DV30" s="171">
        <f>-'FS_Detail(M)'!DV181</f>
        <v>0</v>
      </c>
      <c r="DW30" s="171">
        <f>-'FS_Detail(M)'!DW181</f>
        <v>0</v>
      </c>
      <c r="DX30" s="171">
        <f>-'FS_Detail(M)'!DX181</f>
        <v>0</v>
      </c>
      <c r="DY30" s="171">
        <f>-'FS_Detail(M)'!DY181</f>
        <v>0</v>
      </c>
      <c r="DZ30" s="171">
        <f>-'FS_Detail(M)'!DZ181</f>
        <v>0</v>
      </c>
      <c r="EA30" s="171">
        <f>-'FS_Detail(M)'!EA181</f>
        <v>-344498.32306322729</v>
      </c>
      <c r="EB30" s="171">
        <f>-'FS_Detail(M)'!EB181</f>
        <v>-28671.808045397458</v>
      </c>
      <c r="EC30" s="171">
        <f>-'FS_Detail(M)'!EC181</f>
        <v>0</v>
      </c>
      <c r="ED30" s="171">
        <f>-'FS_Detail(M)'!ED181</f>
        <v>0</v>
      </c>
      <c r="EE30" s="171">
        <f>-'FS_Detail(M)'!EE181</f>
        <v>0</v>
      </c>
      <c r="EF30" s="171">
        <f>-'FS_Detail(M)'!EF181</f>
        <v>0</v>
      </c>
      <c r="EG30" s="171">
        <f>-'FS_Detail(M)'!EG181</f>
        <v>0</v>
      </c>
      <c r="EH30" s="171">
        <f>-'FS_Detail(M)'!EH181</f>
        <v>0</v>
      </c>
      <c r="EI30" s="171">
        <f>-'FS_Detail(M)'!EI181</f>
        <v>0</v>
      </c>
      <c r="EJ30" s="171">
        <f>-'FS_Detail(M)'!EJ181</f>
        <v>0</v>
      </c>
      <c r="EK30" s="171">
        <f>-'FS_Detail(M)'!EK181</f>
        <v>0</v>
      </c>
      <c r="EL30" s="171">
        <f>-'FS_Detail(M)'!EL181</f>
        <v>0</v>
      </c>
      <c r="EM30" s="171">
        <f>-'FS_Detail(M)'!EM181</f>
        <v>0</v>
      </c>
      <c r="EN30" s="171">
        <f>-'FS_Detail(M)'!EN181</f>
        <v>0</v>
      </c>
      <c r="EO30" s="171">
        <f>-'FS_Detail(M)'!EO181</f>
        <v>0</v>
      </c>
      <c r="EP30" s="171">
        <f>-'FS_Detail(M)'!EP181</f>
        <v>0</v>
      </c>
      <c r="EQ30" s="171">
        <f>-'FS_Detail(M)'!EQ181</f>
        <v>0</v>
      </c>
    </row>
    <row r="31" spans="2:147" ht="11.25" customHeight="1">
      <c r="B31" s="218"/>
      <c r="C31" s="163"/>
      <c r="D31" s="169" t="s">
        <v>93</v>
      </c>
      <c r="H31" s="90"/>
      <c r="I31" s="222"/>
      <c r="J31" s="171">
        <f t="shared" si="17"/>
        <v>0</v>
      </c>
      <c r="K31" s="98"/>
      <c r="L31" s="171">
        <f>-'FS_Detail(M)'!L186</f>
        <v>0</v>
      </c>
      <c r="M31" s="171">
        <f>-'FS_Detail(M)'!M186</f>
        <v>0</v>
      </c>
      <c r="N31" s="171">
        <f>-'FS_Detail(M)'!N186</f>
        <v>0</v>
      </c>
      <c r="O31" s="171">
        <f>-'FS_Detail(M)'!O186</f>
        <v>0</v>
      </c>
      <c r="P31" s="171">
        <f>-'FS_Detail(M)'!P186</f>
        <v>0</v>
      </c>
      <c r="Q31" s="171">
        <f>-'FS_Detail(M)'!Q186</f>
        <v>0</v>
      </c>
      <c r="R31" s="171">
        <f>-'FS_Detail(M)'!R186</f>
        <v>0</v>
      </c>
      <c r="S31" s="171">
        <f>-'FS_Detail(M)'!S186</f>
        <v>0</v>
      </c>
      <c r="T31" s="171">
        <f>-'FS_Detail(M)'!T186</f>
        <v>0</v>
      </c>
      <c r="U31" s="171">
        <f>-'FS_Detail(M)'!U186</f>
        <v>0</v>
      </c>
      <c r="V31" s="171">
        <f>-'FS_Detail(M)'!V186</f>
        <v>0</v>
      </c>
      <c r="W31" s="171">
        <f>-'FS_Detail(M)'!W186</f>
        <v>0</v>
      </c>
      <c r="X31" s="171">
        <f>-'FS_Detail(M)'!X186</f>
        <v>0</v>
      </c>
      <c r="Y31" s="171">
        <f>-'FS_Detail(M)'!Y186</f>
        <v>0</v>
      </c>
      <c r="Z31" s="171">
        <f>-'FS_Detail(M)'!Z186</f>
        <v>0</v>
      </c>
      <c r="AA31" s="171">
        <f>-'FS_Detail(M)'!AA186</f>
        <v>0</v>
      </c>
      <c r="AB31" s="171">
        <f>-'FS_Detail(M)'!AB186</f>
        <v>0</v>
      </c>
      <c r="AC31" s="171">
        <f>-'FS_Detail(M)'!AC186</f>
        <v>0</v>
      </c>
      <c r="AD31" s="171">
        <f>-'FS_Detail(M)'!AD186</f>
        <v>0</v>
      </c>
      <c r="AE31" s="171">
        <f>-'FS_Detail(M)'!AE186</f>
        <v>0</v>
      </c>
      <c r="AF31" s="171">
        <f>-'FS_Detail(M)'!AF186</f>
        <v>0</v>
      </c>
      <c r="AG31" s="171">
        <f>-'FS_Detail(M)'!AG186</f>
        <v>0</v>
      </c>
      <c r="AH31" s="171">
        <f>-'FS_Detail(M)'!AH186</f>
        <v>0</v>
      </c>
      <c r="AI31" s="171">
        <f>-'FS_Detail(M)'!AI186</f>
        <v>0</v>
      </c>
      <c r="AJ31" s="171">
        <f>-'FS_Detail(M)'!AJ186</f>
        <v>0</v>
      </c>
      <c r="AK31" s="171">
        <f>-'FS_Detail(M)'!AK186</f>
        <v>0</v>
      </c>
      <c r="AL31" s="171">
        <f>-'FS_Detail(M)'!AL186</f>
        <v>0</v>
      </c>
      <c r="AM31" s="171">
        <f>-'FS_Detail(M)'!AM186</f>
        <v>0</v>
      </c>
      <c r="AN31" s="171">
        <f>-'FS_Detail(M)'!AN186</f>
        <v>0</v>
      </c>
      <c r="AO31" s="171">
        <f>-'FS_Detail(M)'!AO186</f>
        <v>0</v>
      </c>
      <c r="AP31" s="171">
        <f>-'FS_Detail(M)'!AP186</f>
        <v>0</v>
      </c>
      <c r="AQ31" s="171">
        <f>-'FS_Detail(M)'!AQ186</f>
        <v>0</v>
      </c>
      <c r="AR31" s="171">
        <f>-'FS_Detail(M)'!AR186</f>
        <v>0</v>
      </c>
      <c r="AS31" s="171">
        <f>-'FS_Detail(M)'!AS186</f>
        <v>0</v>
      </c>
      <c r="AT31" s="171">
        <f>-'FS_Detail(M)'!AT186</f>
        <v>0</v>
      </c>
      <c r="AU31" s="171">
        <f>-'FS_Detail(M)'!AU186</f>
        <v>0</v>
      </c>
      <c r="AV31" s="171">
        <f>-'FS_Detail(M)'!AV186</f>
        <v>0</v>
      </c>
      <c r="AW31" s="171">
        <f>-'FS_Detail(M)'!AW186</f>
        <v>0</v>
      </c>
      <c r="AX31" s="171">
        <f>-'FS_Detail(M)'!AX186</f>
        <v>0</v>
      </c>
      <c r="AY31" s="171">
        <f>-'FS_Detail(M)'!AY186</f>
        <v>0</v>
      </c>
      <c r="AZ31" s="171">
        <f>-'FS_Detail(M)'!AZ186</f>
        <v>0</v>
      </c>
      <c r="BA31" s="171">
        <f>-'FS_Detail(M)'!BA186</f>
        <v>0</v>
      </c>
      <c r="BB31" s="171">
        <f>-'FS_Detail(M)'!BB186</f>
        <v>0</v>
      </c>
      <c r="BC31" s="171">
        <f>-'FS_Detail(M)'!BC186</f>
        <v>0</v>
      </c>
      <c r="BD31" s="171">
        <f>-'FS_Detail(M)'!BD186</f>
        <v>0</v>
      </c>
      <c r="BE31" s="171">
        <f>-'FS_Detail(M)'!BE186</f>
        <v>0</v>
      </c>
      <c r="BF31" s="171">
        <f>-'FS_Detail(M)'!BF186</f>
        <v>0</v>
      </c>
      <c r="BG31" s="171">
        <f>-'FS_Detail(M)'!BG186</f>
        <v>0</v>
      </c>
      <c r="BH31" s="171">
        <f>-'FS_Detail(M)'!BH186</f>
        <v>0</v>
      </c>
      <c r="BI31" s="171">
        <f>-'FS_Detail(M)'!BI186</f>
        <v>0</v>
      </c>
      <c r="BJ31" s="171">
        <f>-'FS_Detail(M)'!BJ186</f>
        <v>0</v>
      </c>
      <c r="BK31" s="171">
        <f>-'FS_Detail(M)'!BK186</f>
        <v>0</v>
      </c>
      <c r="BL31" s="171">
        <f>-'FS_Detail(M)'!BL186</f>
        <v>0</v>
      </c>
      <c r="BM31" s="171">
        <f>-'FS_Detail(M)'!BM186</f>
        <v>0</v>
      </c>
      <c r="BN31" s="171">
        <f>-'FS_Detail(M)'!BN186</f>
        <v>0</v>
      </c>
      <c r="BO31" s="171">
        <f>-'FS_Detail(M)'!BO186</f>
        <v>0</v>
      </c>
      <c r="BP31" s="171">
        <f>-'FS_Detail(M)'!BP186</f>
        <v>0</v>
      </c>
      <c r="BQ31" s="171">
        <f>-'FS_Detail(M)'!BQ186</f>
        <v>0</v>
      </c>
      <c r="BR31" s="171">
        <f>-'FS_Detail(M)'!BR186</f>
        <v>0</v>
      </c>
      <c r="BS31" s="171">
        <f>-'FS_Detail(M)'!BS186</f>
        <v>0</v>
      </c>
      <c r="BT31" s="171">
        <f>-'FS_Detail(M)'!BT186</f>
        <v>0</v>
      </c>
      <c r="BU31" s="171">
        <f>-'FS_Detail(M)'!BU186</f>
        <v>0</v>
      </c>
      <c r="BV31" s="171">
        <f>-'FS_Detail(M)'!BV186</f>
        <v>0</v>
      </c>
      <c r="BW31" s="171">
        <f>-'FS_Detail(M)'!BW186</f>
        <v>0</v>
      </c>
      <c r="BX31" s="171">
        <f>-'FS_Detail(M)'!BX186</f>
        <v>0</v>
      </c>
      <c r="BY31" s="171">
        <f>-'FS_Detail(M)'!BY186</f>
        <v>0</v>
      </c>
      <c r="BZ31" s="171">
        <f>-'FS_Detail(M)'!BZ186</f>
        <v>0</v>
      </c>
      <c r="CA31" s="171">
        <f>-'FS_Detail(M)'!CA186</f>
        <v>0</v>
      </c>
      <c r="CB31" s="171">
        <f>-'FS_Detail(M)'!CB186</f>
        <v>0</v>
      </c>
      <c r="CC31" s="171">
        <f>-'FS_Detail(M)'!CC186</f>
        <v>0</v>
      </c>
      <c r="CD31" s="171">
        <f>-'FS_Detail(M)'!CD186</f>
        <v>0</v>
      </c>
      <c r="CE31" s="171">
        <f>-'FS_Detail(M)'!CE186</f>
        <v>0</v>
      </c>
      <c r="CF31" s="171">
        <f>-'FS_Detail(M)'!CF186</f>
        <v>0</v>
      </c>
      <c r="CG31" s="171">
        <f>-'FS_Detail(M)'!CG186</f>
        <v>0</v>
      </c>
      <c r="CH31" s="171">
        <f>-'FS_Detail(M)'!CH186</f>
        <v>0</v>
      </c>
      <c r="CI31" s="171">
        <f>-'FS_Detail(M)'!CI186</f>
        <v>0</v>
      </c>
      <c r="CJ31" s="171">
        <f>-'FS_Detail(M)'!CJ186</f>
        <v>0</v>
      </c>
      <c r="CK31" s="171">
        <f>-'FS_Detail(M)'!CK186</f>
        <v>0</v>
      </c>
      <c r="CL31" s="171">
        <f>-'FS_Detail(M)'!CL186</f>
        <v>0</v>
      </c>
      <c r="CM31" s="171">
        <f>-'FS_Detail(M)'!CM186</f>
        <v>0</v>
      </c>
      <c r="CN31" s="171">
        <f>-'FS_Detail(M)'!CN186</f>
        <v>0</v>
      </c>
      <c r="CO31" s="171">
        <f>-'FS_Detail(M)'!CO186</f>
        <v>0</v>
      </c>
      <c r="CP31" s="171">
        <f>-'FS_Detail(M)'!CP186</f>
        <v>0</v>
      </c>
      <c r="CQ31" s="171">
        <f>-'FS_Detail(M)'!CQ186</f>
        <v>0</v>
      </c>
      <c r="CR31" s="171">
        <f>-'FS_Detail(M)'!CR186</f>
        <v>0</v>
      </c>
      <c r="CS31" s="171">
        <f>-'FS_Detail(M)'!CS186</f>
        <v>0</v>
      </c>
      <c r="CT31" s="171">
        <f>-'FS_Detail(M)'!CT186</f>
        <v>0</v>
      </c>
      <c r="CU31" s="171">
        <f>-'FS_Detail(M)'!CU186</f>
        <v>0</v>
      </c>
      <c r="CV31" s="171">
        <f>-'FS_Detail(M)'!CV186</f>
        <v>0</v>
      </c>
      <c r="CW31" s="171">
        <f>-'FS_Detail(M)'!CW186</f>
        <v>0</v>
      </c>
      <c r="CX31" s="171">
        <f>-'FS_Detail(M)'!CX186</f>
        <v>0</v>
      </c>
      <c r="CY31" s="171">
        <f>-'FS_Detail(M)'!CY186</f>
        <v>0</v>
      </c>
      <c r="CZ31" s="171">
        <f>-'FS_Detail(M)'!CZ186</f>
        <v>0</v>
      </c>
      <c r="DA31" s="171">
        <f>-'FS_Detail(M)'!DA186</f>
        <v>0</v>
      </c>
      <c r="DB31" s="171">
        <f>-'FS_Detail(M)'!DB186</f>
        <v>0</v>
      </c>
      <c r="DC31" s="171">
        <f>-'FS_Detail(M)'!DC186</f>
        <v>0</v>
      </c>
      <c r="DD31" s="171">
        <f>-'FS_Detail(M)'!DD186</f>
        <v>0</v>
      </c>
      <c r="DE31" s="171">
        <f>-'FS_Detail(M)'!DE186</f>
        <v>0</v>
      </c>
      <c r="DF31" s="171">
        <f>-'FS_Detail(M)'!DF186</f>
        <v>0</v>
      </c>
      <c r="DG31" s="171">
        <f>-'FS_Detail(M)'!DG186</f>
        <v>0</v>
      </c>
      <c r="DH31" s="171">
        <f>-'FS_Detail(M)'!DH186</f>
        <v>0</v>
      </c>
      <c r="DI31" s="171">
        <f>-'FS_Detail(M)'!DI186</f>
        <v>0</v>
      </c>
      <c r="DJ31" s="171">
        <f>-'FS_Detail(M)'!DJ186</f>
        <v>0</v>
      </c>
      <c r="DK31" s="171">
        <f>-'FS_Detail(M)'!DK186</f>
        <v>0</v>
      </c>
      <c r="DL31" s="171">
        <f>-'FS_Detail(M)'!DL186</f>
        <v>0</v>
      </c>
      <c r="DM31" s="171">
        <f>-'FS_Detail(M)'!DM186</f>
        <v>0</v>
      </c>
      <c r="DN31" s="171">
        <f>-'FS_Detail(M)'!DN186</f>
        <v>0</v>
      </c>
      <c r="DO31" s="171">
        <f>-'FS_Detail(M)'!DO186</f>
        <v>0</v>
      </c>
      <c r="DP31" s="171">
        <f>-'FS_Detail(M)'!DP186</f>
        <v>0</v>
      </c>
      <c r="DQ31" s="171">
        <f>-'FS_Detail(M)'!DQ186</f>
        <v>0</v>
      </c>
      <c r="DR31" s="171">
        <f>-'FS_Detail(M)'!DR186</f>
        <v>0</v>
      </c>
      <c r="DS31" s="171">
        <f>-'FS_Detail(M)'!DS186</f>
        <v>0</v>
      </c>
      <c r="DT31" s="171">
        <f>-'FS_Detail(M)'!DT186</f>
        <v>0</v>
      </c>
      <c r="DU31" s="171">
        <f>-'FS_Detail(M)'!DU186</f>
        <v>0</v>
      </c>
      <c r="DV31" s="171">
        <f>-'FS_Detail(M)'!DV186</f>
        <v>0</v>
      </c>
      <c r="DW31" s="171">
        <f>-'FS_Detail(M)'!DW186</f>
        <v>0</v>
      </c>
      <c r="DX31" s="171">
        <f>-'FS_Detail(M)'!DX186</f>
        <v>0</v>
      </c>
      <c r="DY31" s="171">
        <f>-'FS_Detail(M)'!DY186</f>
        <v>0</v>
      </c>
      <c r="DZ31" s="171">
        <f>-'FS_Detail(M)'!DZ186</f>
        <v>0</v>
      </c>
      <c r="EA31" s="171">
        <f>-'FS_Detail(M)'!EA186</f>
        <v>0</v>
      </c>
      <c r="EB31" s="171">
        <f>-'FS_Detail(M)'!EB186</f>
        <v>0</v>
      </c>
      <c r="EC31" s="171">
        <f>-'FS_Detail(M)'!EC186</f>
        <v>0</v>
      </c>
      <c r="ED31" s="171">
        <f>-'FS_Detail(M)'!ED186</f>
        <v>0</v>
      </c>
      <c r="EE31" s="171">
        <f>-'FS_Detail(M)'!EE186</f>
        <v>0</v>
      </c>
      <c r="EF31" s="171">
        <f>-'FS_Detail(M)'!EF186</f>
        <v>0</v>
      </c>
      <c r="EG31" s="171">
        <f>-'FS_Detail(M)'!EG186</f>
        <v>0</v>
      </c>
      <c r="EH31" s="171">
        <f>-'FS_Detail(M)'!EH186</f>
        <v>0</v>
      </c>
      <c r="EI31" s="171">
        <f>-'FS_Detail(M)'!EI186</f>
        <v>0</v>
      </c>
      <c r="EJ31" s="171">
        <f>-'FS_Detail(M)'!EJ186</f>
        <v>0</v>
      </c>
      <c r="EK31" s="171">
        <f>-'FS_Detail(M)'!EK186</f>
        <v>0</v>
      </c>
      <c r="EL31" s="171">
        <f>-'FS_Detail(M)'!EL186</f>
        <v>0</v>
      </c>
      <c r="EM31" s="171">
        <f>-'FS_Detail(M)'!EM186</f>
        <v>0</v>
      </c>
      <c r="EN31" s="171">
        <f>-'FS_Detail(M)'!EN186</f>
        <v>0</v>
      </c>
      <c r="EO31" s="171">
        <f>-'FS_Detail(M)'!EO186</f>
        <v>0</v>
      </c>
      <c r="EP31" s="171">
        <f>-'FS_Detail(M)'!EP186</f>
        <v>0</v>
      </c>
      <c r="EQ31" s="171">
        <f>-'FS_Detail(M)'!EQ186</f>
        <v>0</v>
      </c>
    </row>
    <row r="32" spans="2:147" ht="11.25" customHeight="1">
      <c r="B32" s="218"/>
      <c r="C32" s="163"/>
      <c r="D32" s="169" t="s">
        <v>99</v>
      </c>
      <c r="H32" s="146"/>
      <c r="I32" s="13"/>
      <c r="J32" s="171">
        <f t="shared" si="17"/>
        <v>-208948.32972200002</v>
      </c>
      <c r="K32" s="98"/>
      <c r="L32" s="171">
        <f>-'FS_Detail(M)'!L191</f>
        <v>0</v>
      </c>
      <c r="M32" s="171">
        <f>-'FS_Detail(M)'!M191</f>
        <v>0</v>
      </c>
      <c r="N32" s="171">
        <f>-'FS_Detail(M)'!N191</f>
        <v>0</v>
      </c>
      <c r="O32" s="171">
        <f>-'FS_Detail(M)'!O191</f>
        <v>-5223.7082430500004</v>
      </c>
      <c r="P32" s="171">
        <f>-'FS_Detail(M)'!P191</f>
        <v>0</v>
      </c>
      <c r="Q32" s="171">
        <f>-'FS_Detail(M)'!Q191</f>
        <v>0</v>
      </c>
      <c r="R32" s="171">
        <f>-'FS_Detail(M)'!R191</f>
        <v>-5223.7082430500004</v>
      </c>
      <c r="S32" s="171">
        <f>-'FS_Detail(M)'!S191</f>
        <v>0</v>
      </c>
      <c r="T32" s="171">
        <f>-'FS_Detail(M)'!T191</f>
        <v>0</v>
      </c>
      <c r="U32" s="171">
        <f>-'FS_Detail(M)'!U191</f>
        <v>-5223.7082430500004</v>
      </c>
      <c r="V32" s="171">
        <f>-'FS_Detail(M)'!V191</f>
        <v>0</v>
      </c>
      <c r="W32" s="171">
        <f>-'FS_Detail(M)'!W191</f>
        <v>0</v>
      </c>
      <c r="X32" s="171">
        <f>-'FS_Detail(M)'!X191</f>
        <v>-5223.7082430500004</v>
      </c>
      <c r="Y32" s="171">
        <f>-'FS_Detail(M)'!Y191</f>
        <v>0</v>
      </c>
      <c r="Z32" s="171">
        <f>-'FS_Detail(M)'!Z191</f>
        <v>0</v>
      </c>
      <c r="AA32" s="171">
        <f>-'FS_Detail(M)'!AA191</f>
        <v>-5223.7082430500004</v>
      </c>
      <c r="AB32" s="171">
        <f>-'FS_Detail(M)'!AB191</f>
        <v>0</v>
      </c>
      <c r="AC32" s="171">
        <f>-'FS_Detail(M)'!AC191</f>
        <v>0</v>
      </c>
      <c r="AD32" s="171">
        <f>-'FS_Detail(M)'!AD191</f>
        <v>-5223.7082430500004</v>
      </c>
      <c r="AE32" s="171">
        <f>-'FS_Detail(M)'!AE191</f>
        <v>0</v>
      </c>
      <c r="AF32" s="171">
        <f>-'FS_Detail(M)'!AF191</f>
        <v>0</v>
      </c>
      <c r="AG32" s="171">
        <f>-'FS_Detail(M)'!AG191</f>
        <v>-5223.7082430500004</v>
      </c>
      <c r="AH32" s="171">
        <f>-'FS_Detail(M)'!AH191</f>
        <v>0</v>
      </c>
      <c r="AI32" s="171">
        <f>-'FS_Detail(M)'!AI191</f>
        <v>0</v>
      </c>
      <c r="AJ32" s="171">
        <f>-'FS_Detail(M)'!AJ191</f>
        <v>-5223.7082430500004</v>
      </c>
      <c r="AK32" s="171">
        <f>-'FS_Detail(M)'!AK191</f>
        <v>0</v>
      </c>
      <c r="AL32" s="171">
        <f>-'FS_Detail(M)'!AL191</f>
        <v>0</v>
      </c>
      <c r="AM32" s="171">
        <f>-'FS_Detail(M)'!AM191</f>
        <v>-5223.7082430500004</v>
      </c>
      <c r="AN32" s="171">
        <f>-'FS_Detail(M)'!AN191</f>
        <v>0</v>
      </c>
      <c r="AO32" s="171">
        <f>-'FS_Detail(M)'!AO191</f>
        <v>0</v>
      </c>
      <c r="AP32" s="171">
        <f>-'FS_Detail(M)'!AP191</f>
        <v>-5223.7082430500004</v>
      </c>
      <c r="AQ32" s="171">
        <f>-'FS_Detail(M)'!AQ191</f>
        <v>0</v>
      </c>
      <c r="AR32" s="171">
        <f>-'FS_Detail(M)'!AR191</f>
        <v>0</v>
      </c>
      <c r="AS32" s="171">
        <f>-'FS_Detail(M)'!AS191</f>
        <v>-5223.7082430500004</v>
      </c>
      <c r="AT32" s="171">
        <f>-'FS_Detail(M)'!AT191</f>
        <v>0</v>
      </c>
      <c r="AU32" s="171">
        <f>-'FS_Detail(M)'!AU191</f>
        <v>0</v>
      </c>
      <c r="AV32" s="171">
        <f>-'FS_Detail(M)'!AV191</f>
        <v>-5223.7082430500004</v>
      </c>
      <c r="AW32" s="171">
        <f>-'FS_Detail(M)'!AW191</f>
        <v>0</v>
      </c>
      <c r="AX32" s="171">
        <f>-'FS_Detail(M)'!AX191</f>
        <v>0</v>
      </c>
      <c r="AY32" s="171">
        <f>-'FS_Detail(M)'!AY191</f>
        <v>-5223.7082430500004</v>
      </c>
      <c r="AZ32" s="171">
        <f>-'FS_Detail(M)'!AZ191</f>
        <v>0</v>
      </c>
      <c r="BA32" s="171">
        <f>-'FS_Detail(M)'!BA191</f>
        <v>0</v>
      </c>
      <c r="BB32" s="171">
        <f>-'FS_Detail(M)'!BB191</f>
        <v>-5223.7082430500004</v>
      </c>
      <c r="BC32" s="171">
        <f>-'FS_Detail(M)'!BC191</f>
        <v>0</v>
      </c>
      <c r="BD32" s="171">
        <f>-'FS_Detail(M)'!BD191</f>
        <v>0</v>
      </c>
      <c r="BE32" s="171">
        <f>-'FS_Detail(M)'!BE191</f>
        <v>-5223.7082430500004</v>
      </c>
      <c r="BF32" s="171">
        <f>-'FS_Detail(M)'!BF191</f>
        <v>0</v>
      </c>
      <c r="BG32" s="171">
        <f>-'FS_Detail(M)'!BG191</f>
        <v>0</v>
      </c>
      <c r="BH32" s="171">
        <f>-'FS_Detail(M)'!BH191</f>
        <v>-5223.7082430500004</v>
      </c>
      <c r="BI32" s="171">
        <f>-'FS_Detail(M)'!BI191</f>
        <v>0</v>
      </c>
      <c r="BJ32" s="171">
        <f>-'FS_Detail(M)'!BJ191</f>
        <v>0</v>
      </c>
      <c r="BK32" s="171">
        <f>-'FS_Detail(M)'!BK191</f>
        <v>-5223.7082430500004</v>
      </c>
      <c r="BL32" s="171">
        <f>-'FS_Detail(M)'!BL191</f>
        <v>0</v>
      </c>
      <c r="BM32" s="171">
        <f>-'FS_Detail(M)'!BM191</f>
        <v>0</v>
      </c>
      <c r="BN32" s="171">
        <f>-'FS_Detail(M)'!BN191</f>
        <v>-5223.7082430500004</v>
      </c>
      <c r="BO32" s="171">
        <f>-'FS_Detail(M)'!BO191</f>
        <v>0</v>
      </c>
      <c r="BP32" s="171">
        <f>-'FS_Detail(M)'!BP191</f>
        <v>0</v>
      </c>
      <c r="BQ32" s="171">
        <f>-'FS_Detail(M)'!BQ191</f>
        <v>-5223.7082430500004</v>
      </c>
      <c r="BR32" s="171">
        <f>-'FS_Detail(M)'!BR191</f>
        <v>0</v>
      </c>
      <c r="BS32" s="171">
        <f>-'FS_Detail(M)'!BS191</f>
        <v>0</v>
      </c>
      <c r="BT32" s="171">
        <f>-'FS_Detail(M)'!BT191</f>
        <v>-5223.7082430500004</v>
      </c>
      <c r="BU32" s="171">
        <f>-'FS_Detail(M)'!BU191</f>
        <v>0</v>
      </c>
      <c r="BV32" s="171">
        <f>-'FS_Detail(M)'!BV191</f>
        <v>0</v>
      </c>
      <c r="BW32" s="171">
        <f>-'FS_Detail(M)'!BW191</f>
        <v>-5223.7082430500004</v>
      </c>
      <c r="BX32" s="171">
        <f>-'FS_Detail(M)'!BX191</f>
        <v>0</v>
      </c>
      <c r="BY32" s="171">
        <f>-'FS_Detail(M)'!BY191</f>
        <v>0</v>
      </c>
      <c r="BZ32" s="171">
        <f>-'FS_Detail(M)'!BZ191</f>
        <v>-5223.7082430500004</v>
      </c>
      <c r="CA32" s="171">
        <f>-'FS_Detail(M)'!CA191</f>
        <v>0</v>
      </c>
      <c r="CB32" s="171">
        <f>-'FS_Detail(M)'!CB191</f>
        <v>0</v>
      </c>
      <c r="CC32" s="171">
        <f>-'FS_Detail(M)'!CC191</f>
        <v>-5223.7082430500004</v>
      </c>
      <c r="CD32" s="171">
        <f>-'FS_Detail(M)'!CD191</f>
        <v>0</v>
      </c>
      <c r="CE32" s="171">
        <f>-'FS_Detail(M)'!CE191</f>
        <v>0</v>
      </c>
      <c r="CF32" s="171">
        <f>-'FS_Detail(M)'!CF191</f>
        <v>-5223.7082430500004</v>
      </c>
      <c r="CG32" s="171">
        <f>-'FS_Detail(M)'!CG191</f>
        <v>0</v>
      </c>
      <c r="CH32" s="171">
        <f>-'FS_Detail(M)'!CH191</f>
        <v>0</v>
      </c>
      <c r="CI32" s="171">
        <f>-'FS_Detail(M)'!CI191</f>
        <v>-5223.7082430500004</v>
      </c>
      <c r="CJ32" s="171">
        <f>-'FS_Detail(M)'!CJ191</f>
        <v>0</v>
      </c>
      <c r="CK32" s="171">
        <f>-'FS_Detail(M)'!CK191</f>
        <v>0</v>
      </c>
      <c r="CL32" s="171">
        <f>-'FS_Detail(M)'!CL191</f>
        <v>-5223.7082430500004</v>
      </c>
      <c r="CM32" s="171">
        <f>-'FS_Detail(M)'!CM191</f>
        <v>0</v>
      </c>
      <c r="CN32" s="171">
        <f>-'FS_Detail(M)'!CN191</f>
        <v>0</v>
      </c>
      <c r="CO32" s="171">
        <f>-'FS_Detail(M)'!CO191</f>
        <v>-5223.7082430500004</v>
      </c>
      <c r="CP32" s="171">
        <f>-'FS_Detail(M)'!CP191</f>
        <v>0</v>
      </c>
      <c r="CQ32" s="171">
        <f>-'FS_Detail(M)'!CQ191</f>
        <v>0</v>
      </c>
      <c r="CR32" s="171">
        <f>-'FS_Detail(M)'!CR191</f>
        <v>-5223.7082430500004</v>
      </c>
      <c r="CS32" s="171">
        <f>-'FS_Detail(M)'!CS191</f>
        <v>0</v>
      </c>
      <c r="CT32" s="171">
        <f>-'FS_Detail(M)'!CT191</f>
        <v>0</v>
      </c>
      <c r="CU32" s="171">
        <f>-'FS_Detail(M)'!CU191</f>
        <v>-5223.7082430500004</v>
      </c>
      <c r="CV32" s="171">
        <f>-'FS_Detail(M)'!CV191</f>
        <v>0</v>
      </c>
      <c r="CW32" s="171">
        <f>-'FS_Detail(M)'!CW191</f>
        <v>0</v>
      </c>
      <c r="CX32" s="171">
        <f>-'FS_Detail(M)'!CX191</f>
        <v>-5223.7082430500004</v>
      </c>
      <c r="CY32" s="171">
        <f>-'FS_Detail(M)'!CY191</f>
        <v>0</v>
      </c>
      <c r="CZ32" s="171">
        <f>-'FS_Detail(M)'!CZ191</f>
        <v>0</v>
      </c>
      <c r="DA32" s="171">
        <f>-'FS_Detail(M)'!DA191</f>
        <v>-5223.7082430500004</v>
      </c>
      <c r="DB32" s="171">
        <f>-'FS_Detail(M)'!DB191</f>
        <v>0</v>
      </c>
      <c r="DC32" s="171">
        <f>-'FS_Detail(M)'!DC191</f>
        <v>0</v>
      </c>
      <c r="DD32" s="171">
        <f>-'FS_Detail(M)'!DD191</f>
        <v>-5223.7082430500004</v>
      </c>
      <c r="DE32" s="171">
        <f>-'FS_Detail(M)'!DE191</f>
        <v>0</v>
      </c>
      <c r="DF32" s="171">
        <f>-'FS_Detail(M)'!DF191</f>
        <v>0</v>
      </c>
      <c r="DG32" s="171">
        <f>-'FS_Detail(M)'!DG191</f>
        <v>-5223.7082430500004</v>
      </c>
      <c r="DH32" s="171">
        <f>-'FS_Detail(M)'!DH191</f>
        <v>0</v>
      </c>
      <c r="DI32" s="171">
        <f>-'FS_Detail(M)'!DI191</f>
        <v>0</v>
      </c>
      <c r="DJ32" s="171">
        <f>-'FS_Detail(M)'!DJ191</f>
        <v>-5223.7082430500004</v>
      </c>
      <c r="DK32" s="171">
        <f>-'FS_Detail(M)'!DK191</f>
        <v>0</v>
      </c>
      <c r="DL32" s="171">
        <f>-'FS_Detail(M)'!DL191</f>
        <v>0</v>
      </c>
      <c r="DM32" s="171">
        <f>-'FS_Detail(M)'!DM191</f>
        <v>-5223.7082430500004</v>
      </c>
      <c r="DN32" s="171">
        <f>-'FS_Detail(M)'!DN191</f>
        <v>0</v>
      </c>
      <c r="DO32" s="171">
        <f>-'FS_Detail(M)'!DO191</f>
        <v>0</v>
      </c>
      <c r="DP32" s="171">
        <f>-'FS_Detail(M)'!DP191</f>
        <v>-5223.7082430500004</v>
      </c>
      <c r="DQ32" s="171">
        <f>-'FS_Detail(M)'!DQ191</f>
        <v>0</v>
      </c>
      <c r="DR32" s="171">
        <f>-'FS_Detail(M)'!DR191</f>
        <v>0</v>
      </c>
      <c r="DS32" s="171">
        <f>-'FS_Detail(M)'!DS191</f>
        <v>-5223.7082430500004</v>
      </c>
      <c r="DT32" s="171">
        <f>-'FS_Detail(M)'!DT191</f>
        <v>0</v>
      </c>
      <c r="DU32" s="171">
        <f>-'FS_Detail(M)'!DU191</f>
        <v>0</v>
      </c>
      <c r="DV32" s="171">
        <f>-'FS_Detail(M)'!DV191</f>
        <v>-5223.7082430500004</v>
      </c>
      <c r="DW32" s="171">
        <f>-'FS_Detail(M)'!DW191</f>
        <v>0</v>
      </c>
      <c r="DX32" s="171">
        <f>-'FS_Detail(M)'!DX191</f>
        <v>0</v>
      </c>
      <c r="DY32" s="171">
        <f>-'FS_Detail(M)'!DY191</f>
        <v>-5223.7082430500004</v>
      </c>
      <c r="DZ32" s="171">
        <f>-'FS_Detail(M)'!DZ191</f>
        <v>0</v>
      </c>
      <c r="EA32" s="171">
        <f>-'FS_Detail(M)'!EA191</f>
        <v>0</v>
      </c>
      <c r="EB32" s="171">
        <f>-'FS_Detail(M)'!EB191</f>
        <v>-5223.7082430500004</v>
      </c>
      <c r="EC32" s="171">
        <f>-'FS_Detail(M)'!EC191</f>
        <v>0</v>
      </c>
      <c r="ED32" s="171">
        <f>-'FS_Detail(M)'!ED191</f>
        <v>0</v>
      </c>
      <c r="EE32" s="171">
        <f>-'FS_Detail(M)'!EE191</f>
        <v>0</v>
      </c>
      <c r="EF32" s="171">
        <f>-'FS_Detail(M)'!EF191</f>
        <v>0</v>
      </c>
      <c r="EG32" s="171">
        <f>-'FS_Detail(M)'!EG191</f>
        <v>0</v>
      </c>
      <c r="EH32" s="171">
        <f>-'FS_Detail(M)'!EH191</f>
        <v>0</v>
      </c>
      <c r="EI32" s="171">
        <f>-'FS_Detail(M)'!EI191</f>
        <v>0</v>
      </c>
      <c r="EJ32" s="171">
        <f>-'FS_Detail(M)'!EJ191</f>
        <v>0</v>
      </c>
      <c r="EK32" s="171">
        <f>-'FS_Detail(M)'!EK191</f>
        <v>0</v>
      </c>
      <c r="EL32" s="171">
        <f>-'FS_Detail(M)'!EL191</f>
        <v>0</v>
      </c>
      <c r="EM32" s="171">
        <f>-'FS_Detail(M)'!EM191</f>
        <v>0</v>
      </c>
      <c r="EN32" s="171">
        <f>-'FS_Detail(M)'!EN191</f>
        <v>0</v>
      </c>
      <c r="EO32" s="171">
        <f>-'FS_Detail(M)'!EO191</f>
        <v>0</v>
      </c>
      <c r="EP32" s="171">
        <f>-'FS_Detail(M)'!EP191</f>
        <v>0</v>
      </c>
      <c r="EQ32" s="171">
        <f>-'FS_Detail(M)'!EQ191</f>
        <v>0</v>
      </c>
    </row>
    <row r="33" spans="2:147" ht="11.25" customHeight="1">
      <c r="B33" s="218"/>
      <c r="C33" s="163"/>
      <c r="D33" s="169" t="s">
        <v>465</v>
      </c>
      <c r="H33" s="146"/>
      <c r="I33" s="13"/>
      <c r="J33" s="171">
        <f t="shared" si="17"/>
        <v>-892287.86244979408</v>
      </c>
      <c r="K33" s="98"/>
      <c r="L33" s="171">
        <f>-'NOI(M)'!M32</f>
        <v>0</v>
      </c>
      <c r="M33" s="171">
        <f>-'NOI(M)'!N32</f>
        <v>-10873.369999999999</v>
      </c>
      <c r="N33" s="171">
        <f>-'NOI(M)'!O32</f>
        <v>0</v>
      </c>
      <c r="O33" s="171">
        <f>-'NOI(M)'!P32</f>
        <v>0</v>
      </c>
      <c r="P33" s="171">
        <f>-'NOI(M)'!Q32</f>
        <v>0</v>
      </c>
      <c r="Q33" s="171">
        <f>-'NOI(M)'!R32</f>
        <v>0</v>
      </c>
      <c r="R33" s="171">
        <f>-'NOI(M)'!S32</f>
        <v>0</v>
      </c>
      <c r="S33" s="171">
        <f>-'NOI(M)'!T32</f>
        <v>0</v>
      </c>
      <c r="T33" s="171">
        <f>-'NOI(M)'!U32</f>
        <v>0</v>
      </c>
      <c r="U33" s="171">
        <f>-'NOI(M)'!V32</f>
        <v>0</v>
      </c>
      <c r="V33" s="171">
        <f>-'NOI(M)'!W32</f>
        <v>0</v>
      </c>
      <c r="W33" s="171">
        <f>-'NOI(M)'!X32</f>
        <v>0</v>
      </c>
      <c r="X33" s="171">
        <f>-'NOI(M)'!Y32</f>
        <v>0</v>
      </c>
      <c r="Y33" s="171">
        <f>-'NOI(M)'!Z32</f>
        <v>0</v>
      </c>
      <c r="Z33" s="171">
        <f>-'NOI(M)'!AA32</f>
        <v>0</v>
      </c>
      <c r="AA33" s="171">
        <f>-'NOI(M)'!AB32</f>
        <v>0</v>
      </c>
      <c r="AB33" s="171">
        <f>-'NOI(M)'!AC32</f>
        <v>0</v>
      </c>
      <c r="AC33" s="171">
        <f>-'NOI(M)'!AD32</f>
        <v>0</v>
      </c>
      <c r="AD33" s="171">
        <f>-'NOI(M)'!AE32</f>
        <v>0</v>
      </c>
      <c r="AE33" s="171">
        <f>-'NOI(M)'!AF32</f>
        <v>0</v>
      </c>
      <c r="AF33" s="171">
        <f>-'NOI(M)'!AG32</f>
        <v>0</v>
      </c>
      <c r="AG33" s="171">
        <f>-'NOI(M)'!AH32</f>
        <v>0</v>
      </c>
      <c r="AH33" s="171">
        <f>-'NOI(M)'!AI32</f>
        <v>0</v>
      </c>
      <c r="AI33" s="171">
        <f>-'NOI(M)'!AJ32</f>
        <v>0</v>
      </c>
      <c r="AJ33" s="171">
        <f>-'NOI(M)'!AK32</f>
        <v>0</v>
      </c>
      <c r="AK33" s="171">
        <f>-'NOI(M)'!AL32</f>
        <v>0</v>
      </c>
      <c r="AL33" s="171">
        <f>-'NOI(M)'!AM32</f>
        <v>0</v>
      </c>
      <c r="AM33" s="171">
        <f>-'NOI(M)'!AN32</f>
        <v>0</v>
      </c>
      <c r="AN33" s="171">
        <f>-'NOI(M)'!AO32</f>
        <v>0</v>
      </c>
      <c r="AO33" s="171">
        <f>-'NOI(M)'!AP32</f>
        <v>0</v>
      </c>
      <c r="AP33" s="171">
        <f>-'NOI(M)'!AQ32</f>
        <v>0</v>
      </c>
      <c r="AQ33" s="171">
        <f>-'NOI(M)'!AR32</f>
        <v>0</v>
      </c>
      <c r="AR33" s="171">
        <f>-'NOI(M)'!AS32</f>
        <v>0</v>
      </c>
      <c r="AS33" s="171">
        <f>-'NOI(M)'!AT32</f>
        <v>0</v>
      </c>
      <c r="AT33" s="171">
        <f>-'NOI(M)'!AU32</f>
        <v>-68398.392522169117</v>
      </c>
      <c r="AU33" s="171">
        <f>-'NOI(M)'!AV32</f>
        <v>0</v>
      </c>
      <c r="AV33" s="171">
        <f>-'NOI(M)'!AW32</f>
        <v>0</v>
      </c>
      <c r="AW33" s="171">
        <f>-'NOI(M)'!AX32</f>
        <v>0</v>
      </c>
      <c r="AX33" s="171">
        <f>-'NOI(M)'!AY32</f>
        <v>0</v>
      </c>
      <c r="AY33" s="171">
        <f>-'NOI(M)'!AZ32</f>
        <v>-15542.138131523938</v>
      </c>
      <c r="AZ33" s="171">
        <f>-'NOI(M)'!BA32</f>
        <v>-27654.803543305239</v>
      </c>
      <c r="BA33" s="171">
        <f>-'NOI(M)'!BB32</f>
        <v>0</v>
      </c>
      <c r="BB33" s="171">
        <f>-'NOI(M)'!BC32</f>
        <v>0</v>
      </c>
      <c r="BC33" s="171">
        <f>-'NOI(M)'!BD32</f>
        <v>-558.55563724519311</v>
      </c>
      <c r="BD33" s="171">
        <f>-'NOI(M)'!BE32</f>
        <v>0</v>
      </c>
      <c r="BE33" s="171">
        <f>-'NOI(M)'!BF32</f>
        <v>0</v>
      </c>
      <c r="BF33" s="171">
        <f>-'NOI(M)'!BG32</f>
        <v>0</v>
      </c>
      <c r="BG33" s="171">
        <f>-'NOI(M)'!BH32</f>
        <v>0</v>
      </c>
      <c r="BH33" s="171">
        <f>-'NOI(M)'!BI32</f>
        <v>0</v>
      </c>
      <c r="BI33" s="171">
        <f>-'NOI(M)'!BJ32</f>
        <v>0</v>
      </c>
      <c r="BJ33" s="171">
        <f>-'NOI(M)'!BK32</f>
        <v>0</v>
      </c>
      <c r="BK33" s="171">
        <f>-'NOI(M)'!BL32</f>
        <v>0</v>
      </c>
      <c r="BL33" s="171">
        <f>-'NOI(M)'!BM32</f>
        <v>0</v>
      </c>
      <c r="BM33" s="171">
        <f>-'NOI(M)'!BN32</f>
        <v>0</v>
      </c>
      <c r="BN33" s="171">
        <f>-'NOI(M)'!BO32</f>
        <v>0</v>
      </c>
      <c r="BO33" s="171">
        <f>-'NOI(M)'!BP32</f>
        <v>0</v>
      </c>
      <c r="BP33" s="171">
        <f>-'NOI(M)'!BQ32</f>
        <v>0</v>
      </c>
      <c r="BQ33" s="171">
        <f>-'NOI(M)'!BR32</f>
        <v>0</v>
      </c>
      <c r="BR33" s="171">
        <f>-'NOI(M)'!BS32</f>
        <v>0</v>
      </c>
      <c r="BS33" s="171">
        <f>-'NOI(M)'!BT32</f>
        <v>0</v>
      </c>
      <c r="BT33" s="171">
        <f>-'NOI(M)'!BU32</f>
        <v>0</v>
      </c>
      <c r="BU33" s="171">
        <f>-'NOI(M)'!BV32</f>
        <v>0</v>
      </c>
      <c r="BV33" s="171">
        <f>-'NOI(M)'!BW32</f>
        <v>0</v>
      </c>
      <c r="BW33" s="171">
        <f>-'NOI(M)'!BX32</f>
        <v>0</v>
      </c>
      <c r="BX33" s="171">
        <f>-'NOI(M)'!BY32</f>
        <v>0</v>
      </c>
      <c r="BY33" s="171">
        <f>-'NOI(M)'!BZ32</f>
        <v>0</v>
      </c>
      <c r="BZ33" s="171">
        <f>-'NOI(M)'!CA32</f>
        <v>0</v>
      </c>
      <c r="CA33" s="171">
        <f>-'NOI(M)'!CB32</f>
        <v>0</v>
      </c>
      <c r="CB33" s="171">
        <f>-'NOI(M)'!CC32</f>
        <v>0</v>
      </c>
      <c r="CC33" s="171">
        <f>-'NOI(M)'!CD32</f>
        <v>0</v>
      </c>
      <c r="CD33" s="171">
        <f>-'NOI(M)'!CE32</f>
        <v>0</v>
      </c>
      <c r="CE33" s="171">
        <f>-'NOI(M)'!CF32</f>
        <v>0</v>
      </c>
      <c r="CF33" s="171">
        <f>-'NOI(M)'!CG32</f>
        <v>0</v>
      </c>
      <c r="CG33" s="171">
        <f>-'NOI(M)'!CH32</f>
        <v>0</v>
      </c>
      <c r="CH33" s="171">
        <f>-'NOI(M)'!CI32</f>
        <v>0</v>
      </c>
      <c r="CI33" s="171">
        <f>-'NOI(M)'!CJ32</f>
        <v>0</v>
      </c>
      <c r="CJ33" s="171">
        <f>-'NOI(M)'!CK32</f>
        <v>0</v>
      </c>
      <c r="CK33" s="171">
        <f>-'NOI(M)'!CL32</f>
        <v>0</v>
      </c>
      <c r="CL33" s="171">
        <f>-'NOI(M)'!CM32</f>
        <v>0</v>
      </c>
      <c r="CM33" s="171">
        <f>-'NOI(M)'!CN32</f>
        <v>0</v>
      </c>
      <c r="CN33" s="171">
        <f>-'NOI(M)'!CO32</f>
        <v>0</v>
      </c>
      <c r="CO33" s="171">
        <f>-'NOI(M)'!CP32</f>
        <v>0</v>
      </c>
      <c r="CP33" s="171">
        <f>-'NOI(M)'!CQ32</f>
        <v>0</v>
      </c>
      <c r="CQ33" s="171">
        <f>-'NOI(M)'!CR32</f>
        <v>0</v>
      </c>
      <c r="CR33" s="171">
        <f>-'NOI(M)'!CS32</f>
        <v>0</v>
      </c>
      <c r="CS33" s="171">
        <f>-'NOI(M)'!CT32</f>
        <v>0</v>
      </c>
      <c r="CT33" s="171">
        <f>-'NOI(M)'!CU32</f>
        <v>0</v>
      </c>
      <c r="CU33" s="171">
        <f>-'NOI(M)'!CV32</f>
        <v>0</v>
      </c>
      <c r="CV33" s="171">
        <f>-'NOI(M)'!CW32</f>
        <v>0</v>
      </c>
      <c r="CW33" s="171">
        <f>-'NOI(M)'!CX32</f>
        <v>0</v>
      </c>
      <c r="CX33" s="171">
        <f>-'NOI(M)'!CY32</f>
        <v>0</v>
      </c>
      <c r="CY33" s="171">
        <f>-'NOI(M)'!CZ32</f>
        <v>-600151.77038404613</v>
      </c>
      <c r="CZ33" s="171">
        <f>-'NOI(M)'!DA32</f>
        <v>0</v>
      </c>
      <c r="DA33" s="171">
        <f>-'NOI(M)'!DB32</f>
        <v>0</v>
      </c>
      <c r="DB33" s="171">
        <f>-'NOI(M)'!DC32</f>
        <v>-77386.503048098835</v>
      </c>
      <c r="DC33" s="171">
        <f>-'NOI(M)'!DD32</f>
        <v>0</v>
      </c>
      <c r="DD33" s="171">
        <f>-'NOI(M)'!DE32</f>
        <v>0</v>
      </c>
      <c r="DE33" s="171">
        <f>-'NOI(M)'!DF32</f>
        <v>0</v>
      </c>
      <c r="DF33" s="171">
        <f>-'NOI(M)'!DG32</f>
        <v>0</v>
      </c>
      <c r="DG33" s="171">
        <f>-'NOI(M)'!DH32</f>
        <v>-17584.502727886731</v>
      </c>
      <c r="DH33" s="171">
        <f>-'NOI(M)'!DI32</f>
        <v>-42217.000165410893</v>
      </c>
      <c r="DI33" s="171">
        <f>-'NOI(M)'!DJ32</f>
        <v>0</v>
      </c>
      <c r="DJ33" s="171">
        <f>-'NOI(M)'!DK32</f>
        <v>-31288.871854772297</v>
      </c>
      <c r="DK33" s="171">
        <f>-'NOI(M)'!DL32</f>
        <v>-631.95443533556806</v>
      </c>
      <c r="DL33" s="171">
        <f>-'NOI(M)'!DM32</f>
        <v>0</v>
      </c>
      <c r="DM33" s="171">
        <f>-'NOI(M)'!DN32</f>
        <v>0</v>
      </c>
      <c r="DN33" s="171">
        <f>-'NOI(M)'!DO32</f>
        <v>0</v>
      </c>
      <c r="DO33" s="171">
        <f>-'NOI(M)'!DP32</f>
        <v>0</v>
      </c>
      <c r="DP33" s="171">
        <f>-'NOI(M)'!DQ32</f>
        <v>0</v>
      </c>
      <c r="DQ33" s="171">
        <f>-'NOI(M)'!DR32</f>
        <v>0</v>
      </c>
      <c r="DR33" s="171">
        <f>-'NOI(M)'!DS32</f>
        <v>0</v>
      </c>
      <c r="DS33" s="171">
        <f>-'NOI(M)'!DT32</f>
        <v>0</v>
      </c>
      <c r="DT33" s="171">
        <f>-'NOI(M)'!DU32</f>
        <v>0</v>
      </c>
      <c r="DU33" s="171">
        <f>-'NOI(M)'!DV32</f>
        <v>0</v>
      </c>
      <c r="DV33" s="171">
        <f>-'NOI(M)'!DW32</f>
        <v>0</v>
      </c>
      <c r="DW33" s="171">
        <f>-'NOI(M)'!DX32</f>
        <v>0</v>
      </c>
      <c r="DX33" s="171">
        <f>-'NOI(M)'!DY32</f>
        <v>0</v>
      </c>
      <c r="DY33" s="171">
        <f>-'NOI(M)'!DZ32</f>
        <v>0</v>
      </c>
      <c r="DZ33" s="171">
        <f>-'NOI(M)'!EA32</f>
        <v>0</v>
      </c>
      <c r="EA33" s="171">
        <f>-'NOI(M)'!EB32</f>
        <v>0</v>
      </c>
      <c r="EB33" s="171">
        <f>-'NOI(M)'!EC32</f>
        <v>0</v>
      </c>
      <c r="EC33" s="171">
        <f>-'NOI(M)'!ED32</f>
        <v>0</v>
      </c>
      <c r="ED33" s="171">
        <f>-'NOI(M)'!EE32</f>
        <v>0</v>
      </c>
      <c r="EE33" s="171">
        <f>-'NOI(M)'!EF32</f>
        <v>0</v>
      </c>
      <c r="EF33" s="171">
        <f>-'NOI(M)'!EG32</f>
        <v>0</v>
      </c>
      <c r="EG33" s="171">
        <f>-'NOI(M)'!EH32</f>
        <v>0</v>
      </c>
      <c r="EH33" s="171">
        <f>-'NOI(M)'!EI32</f>
        <v>0</v>
      </c>
      <c r="EI33" s="171">
        <f>-'NOI(M)'!EJ32</f>
        <v>0</v>
      </c>
      <c r="EJ33" s="171">
        <f>-'NOI(M)'!EK32</f>
        <v>0</v>
      </c>
      <c r="EK33" s="171">
        <f>-'NOI(M)'!EL32</f>
        <v>0</v>
      </c>
      <c r="EL33" s="171">
        <f>-'NOI(M)'!EM32</f>
        <v>0</v>
      </c>
      <c r="EM33" s="171">
        <f>-'NOI(M)'!EN32</f>
        <v>0</v>
      </c>
      <c r="EN33" s="171">
        <f>-'NOI(M)'!EO32</f>
        <v>0</v>
      </c>
      <c r="EO33" s="171">
        <f>-'NOI(M)'!EP32</f>
        <v>0</v>
      </c>
      <c r="EP33" s="171">
        <f>-'NOI(M)'!EQ32</f>
        <v>0</v>
      </c>
      <c r="EQ33" s="171">
        <f>-'NOI(M)'!ER32</f>
        <v>0</v>
      </c>
    </row>
    <row r="34" spans="2:147" ht="11.25" customHeight="1">
      <c r="B34" s="218"/>
      <c r="C34" s="158" t="s">
        <v>189</v>
      </c>
      <c r="D34" s="159"/>
      <c r="E34" s="159"/>
      <c r="F34" s="159"/>
      <c r="G34" s="159"/>
      <c r="H34" s="160"/>
      <c r="I34" s="219"/>
      <c r="J34" s="220">
        <f>SUM(J35:J39)</f>
        <v>-8096991.6246850528</v>
      </c>
      <c r="K34" s="98"/>
      <c r="L34" s="162">
        <f>SUM(L35:L39)</f>
        <v>0</v>
      </c>
      <c r="M34" s="162">
        <f t="shared" ref="M34:BX34" si="18">SUM(M35:M39)</f>
        <v>-2000</v>
      </c>
      <c r="N34" s="162">
        <f t="shared" si="18"/>
        <v>-2000</v>
      </c>
      <c r="O34" s="162">
        <f t="shared" si="18"/>
        <v>-168636.75000000003</v>
      </c>
      <c r="P34" s="162">
        <f t="shared" si="18"/>
        <v>-2000</v>
      </c>
      <c r="Q34" s="162">
        <f t="shared" si="18"/>
        <v>-2000</v>
      </c>
      <c r="R34" s="162">
        <f t="shared" si="18"/>
        <v>-223654.17043551093</v>
      </c>
      <c r="S34" s="162">
        <f t="shared" si="18"/>
        <v>-2000</v>
      </c>
      <c r="T34" s="162">
        <f t="shared" si="18"/>
        <v>-2000</v>
      </c>
      <c r="U34" s="162">
        <f t="shared" si="18"/>
        <v>-168636.75000000003</v>
      </c>
      <c r="V34" s="162">
        <f t="shared" si="18"/>
        <v>-2000</v>
      </c>
      <c r="W34" s="162">
        <f t="shared" si="18"/>
        <v>-2000</v>
      </c>
      <c r="X34" s="162">
        <f t="shared" si="18"/>
        <v>-223654.17043551093</v>
      </c>
      <c r="Y34" s="162">
        <f t="shared" si="18"/>
        <v>-2040</v>
      </c>
      <c r="Z34" s="162">
        <f t="shared" si="18"/>
        <v>-2040</v>
      </c>
      <c r="AA34" s="162">
        <f t="shared" si="18"/>
        <v>-168676.75000000003</v>
      </c>
      <c r="AB34" s="162">
        <f t="shared" si="18"/>
        <v>-2040</v>
      </c>
      <c r="AC34" s="162">
        <f t="shared" si="18"/>
        <v>-2040</v>
      </c>
      <c r="AD34" s="162">
        <f t="shared" si="18"/>
        <v>-224414.17043551093</v>
      </c>
      <c r="AE34" s="162">
        <f t="shared" si="18"/>
        <v>-2040</v>
      </c>
      <c r="AF34" s="162">
        <f t="shared" si="18"/>
        <v>-2040</v>
      </c>
      <c r="AG34" s="162">
        <f t="shared" si="18"/>
        <v>-168676.75000000003</v>
      </c>
      <c r="AH34" s="162">
        <f t="shared" si="18"/>
        <v>-2040</v>
      </c>
      <c r="AI34" s="162">
        <f t="shared" si="18"/>
        <v>-2040</v>
      </c>
      <c r="AJ34" s="162">
        <f t="shared" si="18"/>
        <v>-224414.17043551093</v>
      </c>
      <c r="AK34" s="162">
        <f t="shared" si="18"/>
        <v>-2080.8000000000002</v>
      </c>
      <c r="AL34" s="162">
        <f t="shared" si="18"/>
        <v>-2080.8000000000002</v>
      </c>
      <c r="AM34" s="162">
        <f t="shared" si="18"/>
        <v>-168717.55000000002</v>
      </c>
      <c r="AN34" s="162">
        <f t="shared" si="18"/>
        <v>-2080.8000000000002</v>
      </c>
      <c r="AO34" s="162">
        <f t="shared" si="18"/>
        <v>-2080.8000000000002</v>
      </c>
      <c r="AP34" s="162">
        <f t="shared" si="18"/>
        <v>-225189.37043551091</v>
      </c>
      <c r="AQ34" s="162">
        <f t="shared" si="18"/>
        <v>-2080.8000000000002</v>
      </c>
      <c r="AR34" s="162">
        <f t="shared" si="18"/>
        <v>-2080.8000000000002</v>
      </c>
      <c r="AS34" s="162">
        <f t="shared" si="18"/>
        <v>-168717.55000000002</v>
      </c>
      <c r="AT34" s="162">
        <f t="shared" si="18"/>
        <v>-2080.8000000000002</v>
      </c>
      <c r="AU34" s="162">
        <f t="shared" si="18"/>
        <v>-2080.8000000000002</v>
      </c>
      <c r="AV34" s="162">
        <f t="shared" si="18"/>
        <v>-225189.37043551091</v>
      </c>
      <c r="AW34" s="162">
        <f t="shared" si="18"/>
        <v>-2122.4159999999997</v>
      </c>
      <c r="AX34" s="162">
        <f t="shared" si="18"/>
        <v>-2122.4159999999997</v>
      </c>
      <c r="AY34" s="162">
        <f t="shared" si="18"/>
        <v>-168759.16600000003</v>
      </c>
      <c r="AZ34" s="162">
        <f t="shared" si="18"/>
        <v>-2122.4159999999997</v>
      </c>
      <c r="BA34" s="162">
        <f t="shared" si="18"/>
        <v>-2122.4159999999997</v>
      </c>
      <c r="BB34" s="162">
        <f t="shared" si="18"/>
        <v>-225980.07443551091</v>
      </c>
      <c r="BC34" s="162">
        <f t="shared" si="18"/>
        <v>-2122.4159999999997</v>
      </c>
      <c r="BD34" s="162">
        <f t="shared" si="18"/>
        <v>-2122.4159999999997</v>
      </c>
      <c r="BE34" s="162">
        <f t="shared" si="18"/>
        <v>-168759.16600000003</v>
      </c>
      <c r="BF34" s="162">
        <f t="shared" si="18"/>
        <v>-2122.4159999999997</v>
      </c>
      <c r="BG34" s="162">
        <f t="shared" si="18"/>
        <v>-2122.4159999999997</v>
      </c>
      <c r="BH34" s="162">
        <f t="shared" si="18"/>
        <v>-225980.07443551091</v>
      </c>
      <c r="BI34" s="162">
        <f t="shared" si="18"/>
        <v>-2164.8643200000001</v>
      </c>
      <c r="BJ34" s="162">
        <f t="shared" si="18"/>
        <v>-2164.8643200000001</v>
      </c>
      <c r="BK34" s="162">
        <f t="shared" si="18"/>
        <v>-168801.61432000002</v>
      </c>
      <c r="BL34" s="162">
        <f t="shared" si="18"/>
        <v>-2164.8643200000001</v>
      </c>
      <c r="BM34" s="162">
        <f t="shared" si="18"/>
        <v>-2164.8643200000001</v>
      </c>
      <c r="BN34" s="162">
        <f t="shared" si="18"/>
        <v>-226786.59251551091</v>
      </c>
      <c r="BO34" s="162">
        <f t="shared" si="18"/>
        <v>-2164.8643200000001</v>
      </c>
      <c r="BP34" s="162">
        <f t="shared" si="18"/>
        <v>-2164.8643200000001</v>
      </c>
      <c r="BQ34" s="162">
        <f t="shared" si="18"/>
        <v>-168801.61432000002</v>
      </c>
      <c r="BR34" s="162">
        <f t="shared" si="18"/>
        <v>-2164.8643200000001</v>
      </c>
      <c r="BS34" s="162">
        <f t="shared" si="18"/>
        <v>-2164.8643200000001</v>
      </c>
      <c r="BT34" s="162">
        <f t="shared" si="18"/>
        <v>-226786.59251551091</v>
      </c>
      <c r="BU34" s="162">
        <f t="shared" si="18"/>
        <v>-2208.1616064</v>
      </c>
      <c r="BV34" s="162">
        <f t="shared" si="18"/>
        <v>-2208.1616064</v>
      </c>
      <c r="BW34" s="162">
        <f t="shared" si="18"/>
        <v>-168844.91160640004</v>
      </c>
      <c r="BX34" s="162">
        <f t="shared" si="18"/>
        <v>-2208.1616064</v>
      </c>
      <c r="BY34" s="162">
        <f t="shared" ref="BY34:DP34" si="19">SUM(BY35:BY39)</f>
        <v>-2208.1616064</v>
      </c>
      <c r="BZ34" s="162">
        <f t="shared" si="19"/>
        <v>-227609.24095711095</v>
      </c>
      <c r="CA34" s="162">
        <f t="shared" si="19"/>
        <v>-2208.1616064</v>
      </c>
      <c r="CB34" s="162">
        <f t="shared" si="19"/>
        <v>-2208.1616064</v>
      </c>
      <c r="CC34" s="162">
        <f t="shared" si="19"/>
        <v>-168844.91160640004</v>
      </c>
      <c r="CD34" s="162">
        <f t="shared" si="19"/>
        <v>-2208.1616064</v>
      </c>
      <c r="CE34" s="162">
        <f t="shared" si="19"/>
        <v>-2208.1616064</v>
      </c>
      <c r="CF34" s="162">
        <f t="shared" si="19"/>
        <v>-227609.24095711095</v>
      </c>
      <c r="CG34" s="162">
        <f t="shared" si="19"/>
        <v>-2252.3248385280003</v>
      </c>
      <c r="CH34" s="162">
        <f t="shared" si="19"/>
        <v>-2252.3248385280003</v>
      </c>
      <c r="CI34" s="162">
        <f t="shared" si="19"/>
        <v>-168889.07483852803</v>
      </c>
      <c r="CJ34" s="162">
        <f t="shared" si="19"/>
        <v>-2252.3248385280003</v>
      </c>
      <c r="CK34" s="162">
        <f t="shared" si="19"/>
        <v>-2252.3248385280003</v>
      </c>
      <c r="CL34" s="162">
        <f t="shared" si="19"/>
        <v>-228448.34236754294</v>
      </c>
      <c r="CM34" s="162">
        <f t="shared" si="19"/>
        <v>-2252.3248385280003</v>
      </c>
      <c r="CN34" s="162">
        <f t="shared" si="19"/>
        <v>-2252.3248385280003</v>
      </c>
      <c r="CO34" s="162">
        <f t="shared" si="19"/>
        <v>-168889.07483852803</v>
      </c>
      <c r="CP34" s="162">
        <f t="shared" si="19"/>
        <v>-2252.3248385280003</v>
      </c>
      <c r="CQ34" s="162">
        <f t="shared" si="19"/>
        <v>-2252.3248385280003</v>
      </c>
      <c r="CR34" s="162">
        <f t="shared" si="19"/>
        <v>-228448.34236754294</v>
      </c>
      <c r="CS34" s="162">
        <f t="shared" si="19"/>
        <v>-2297.3713352985596</v>
      </c>
      <c r="CT34" s="162">
        <f t="shared" si="19"/>
        <v>-2297.3713352985596</v>
      </c>
      <c r="CU34" s="162">
        <f t="shared" si="19"/>
        <v>-168934.12133529858</v>
      </c>
      <c r="CV34" s="162">
        <f t="shared" si="19"/>
        <v>-2297.3713352985596</v>
      </c>
      <c r="CW34" s="162">
        <f t="shared" si="19"/>
        <v>-2297.3713352985596</v>
      </c>
      <c r="CX34" s="162">
        <f t="shared" si="19"/>
        <v>-229304.22580618356</v>
      </c>
      <c r="CY34" s="162">
        <f t="shared" si="19"/>
        <v>-2297.3713352985596</v>
      </c>
      <c r="CZ34" s="162">
        <f t="shared" si="19"/>
        <v>-2297.3713352985596</v>
      </c>
      <c r="DA34" s="162">
        <f t="shared" si="19"/>
        <v>-168934.12133529858</v>
      </c>
      <c r="DB34" s="162">
        <f t="shared" si="19"/>
        <v>-2297.3713352985596</v>
      </c>
      <c r="DC34" s="162">
        <f t="shared" si="19"/>
        <v>-2297.3713352985596</v>
      </c>
      <c r="DD34" s="162">
        <f t="shared" si="19"/>
        <v>-229304.22580618356</v>
      </c>
      <c r="DE34" s="162">
        <f t="shared" si="19"/>
        <v>-2343.318762004531</v>
      </c>
      <c r="DF34" s="162">
        <f t="shared" si="19"/>
        <v>-2343.318762004531</v>
      </c>
      <c r="DG34" s="162">
        <f t="shared" si="19"/>
        <v>-168980.06876200455</v>
      </c>
      <c r="DH34" s="162">
        <f t="shared" si="19"/>
        <v>-2343.318762004531</v>
      </c>
      <c r="DI34" s="162">
        <f t="shared" si="19"/>
        <v>-2343.318762004531</v>
      </c>
      <c r="DJ34" s="162">
        <f t="shared" si="19"/>
        <v>-230177.226913597</v>
      </c>
      <c r="DK34" s="162">
        <f t="shared" si="19"/>
        <v>-2343.318762004531</v>
      </c>
      <c r="DL34" s="162">
        <f t="shared" si="19"/>
        <v>-2343.318762004531</v>
      </c>
      <c r="DM34" s="162">
        <f t="shared" si="19"/>
        <v>-168980.06876200455</v>
      </c>
      <c r="DN34" s="162">
        <f t="shared" si="19"/>
        <v>-2343.318762004531</v>
      </c>
      <c r="DO34" s="162">
        <f t="shared" si="19"/>
        <v>-2343.318762004531</v>
      </c>
      <c r="DP34" s="162">
        <f t="shared" si="19"/>
        <v>-230177.226913597</v>
      </c>
      <c r="DQ34" s="162">
        <f t="shared" ref="DQ34:EQ34" si="20">SUM(DQ35:DQ39)</f>
        <v>-2390.1851372446217</v>
      </c>
      <c r="DR34" s="162">
        <f t="shared" si="20"/>
        <v>-2390.1851372446217</v>
      </c>
      <c r="DS34" s="162">
        <f t="shared" si="20"/>
        <v>-169026.93513724464</v>
      </c>
      <c r="DT34" s="162">
        <f t="shared" si="20"/>
        <v>-2390.1851372446217</v>
      </c>
      <c r="DU34" s="162">
        <f t="shared" si="20"/>
        <v>-2390.1851372446217</v>
      </c>
      <c r="DV34" s="162">
        <f t="shared" si="20"/>
        <v>-231067.68804315873</v>
      </c>
      <c r="DW34" s="162">
        <f t="shared" si="20"/>
        <v>-2390.1851372446217</v>
      </c>
      <c r="DX34" s="162">
        <f t="shared" si="20"/>
        <v>-2390.1851372446217</v>
      </c>
      <c r="DY34" s="162">
        <f t="shared" si="20"/>
        <v>-169026.93513724464</v>
      </c>
      <c r="DZ34" s="162">
        <f t="shared" si="20"/>
        <v>-2390.1851372446217</v>
      </c>
      <c r="EA34" s="162">
        <f t="shared" si="20"/>
        <v>-2390.1851372446217</v>
      </c>
      <c r="EB34" s="162">
        <f t="shared" si="20"/>
        <v>-231067.68804315873</v>
      </c>
      <c r="EC34" s="162">
        <f t="shared" si="20"/>
        <v>0</v>
      </c>
      <c r="ED34" s="162">
        <f t="shared" si="20"/>
        <v>0</v>
      </c>
      <c r="EE34" s="162">
        <f t="shared" si="20"/>
        <v>0</v>
      </c>
      <c r="EF34" s="162">
        <f t="shared" si="20"/>
        <v>0</v>
      </c>
      <c r="EG34" s="162">
        <f t="shared" si="20"/>
        <v>0</v>
      </c>
      <c r="EH34" s="162">
        <f t="shared" si="20"/>
        <v>0</v>
      </c>
      <c r="EI34" s="162">
        <f t="shared" si="20"/>
        <v>0</v>
      </c>
      <c r="EJ34" s="162">
        <f t="shared" si="20"/>
        <v>0</v>
      </c>
      <c r="EK34" s="162">
        <f t="shared" si="20"/>
        <v>0</v>
      </c>
      <c r="EL34" s="162">
        <f t="shared" si="20"/>
        <v>0</v>
      </c>
      <c r="EM34" s="162">
        <f t="shared" si="20"/>
        <v>0</v>
      </c>
      <c r="EN34" s="162">
        <f t="shared" si="20"/>
        <v>0</v>
      </c>
      <c r="EO34" s="162">
        <f t="shared" si="20"/>
        <v>0</v>
      </c>
      <c r="EP34" s="162">
        <f t="shared" si="20"/>
        <v>0</v>
      </c>
      <c r="EQ34" s="162">
        <f t="shared" si="20"/>
        <v>0</v>
      </c>
    </row>
    <row r="35" spans="2:147" ht="11.25" customHeight="1">
      <c r="B35" s="218"/>
      <c r="C35" s="163"/>
      <c r="D35" s="164" t="s">
        <v>463</v>
      </c>
      <c r="E35" s="165"/>
      <c r="F35" s="165"/>
      <c r="G35" s="165"/>
      <c r="H35" s="166"/>
      <c r="I35" s="221"/>
      <c r="J35" s="168">
        <f>SUM(L35:EQ35)</f>
        <v>-262793.30399370828</v>
      </c>
      <c r="K35" s="98"/>
      <c r="L35" s="168">
        <f>-'IS(M)'!M25</f>
        <v>0</v>
      </c>
      <c r="M35" s="168">
        <f>-'IS(M)'!N25</f>
        <v>-2000</v>
      </c>
      <c r="N35" s="168">
        <f>-'IS(M)'!O25</f>
        <v>-2000</v>
      </c>
      <c r="O35" s="168">
        <f>-'IS(M)'!P25</f>
        <v>-2000</v>
      </c>
      <c r="P35" s="168">
        <f>-'IS(M)'!Q25</f>
        <v>-2000</v>
      </c>
      <c r="Q35" s="168">
        <f>-'IS(M)'!R25</f>
        <v>-2000</v>
      </c>
      <c r="R35" s="168">
        <f>-'IS(M)'!S25</f>
        <v>-2000</v>
      </c>
      <c r="S35" s="168">
        <f>-'IS(M)'!T25</f>
        <v>-2000</v>
      </c>
      <c r="T35" s="168">
        <f>-'IS(M)'!U25</f>
        <v>-2000</v>
      </c>
      <c r="U35" s="168">
        <f>-'IS(M)'!V25</f>
        <v>-2000</v>
      </c>
      <c r="V35" s="168">
        <f>-'IS(M)'!W25</f>
        <v>-2000</v>
      </c>
      <c r="W35" s="168">
        <f>-'IS(M)'!X25</f>
        <v>-2000</v>
      </c>
      <c r="X35" s="168">
        <f>-'IS(M)'!Y25</f>
        <v>-2000</v>
      </c>
      <c r="Y35" s="168">
        <f>-'IS(M)'!Z25</f>
        <v>-2040</v>
      </c>
      <c r="Z35" s="168">
        <f>-'IS(M)'!AA25</f>
        <v>-2040</v>
      </c>
      <c r="AA35" s="168">
        <f>-'IS(M)'!AB25</f>
        <v>-2040</v>
      </c>
      <c r="AB35" s="168">
        <f>-'IS(M)'!AC25</f>
        <v>-2040</v>
      </c>
      <c r="AC35" s="168">
        <f>-'IS(M)'!AD25</f>
        <v>-2040</v>
      </c>
      <c r="AD35" s="168">
        <f>-'IS(M)'!AE25</f>
        <v>-2040</v>
      </c>
      <c r="AE35" s="168">
        <f>-'IS(M)'!AF25</f>
        <v>-2040</v>
      </c>
      <c r="AF35" s="168">
        <f>-'IS(M)'!AG25</f>
        <v>-2040</v>
      </c>
      <c r="AG35" s="168">
        <f>-'IS(M)'!AH25</f>
        <v>-2040</v>
      </c>
      <c r="AH35" s="168">
        <f>-'IS(M)'!AI25</f>
        <v>-2040</v>
      </c>
      <c r="AI35" s="168">
        <f>-'IS(M)'!AJ25</f>
        <v>-2040</v>
      </c>
      <c r="AJ35" s="168">
        <f>-'IS(M)'!AK25</f>
        <v>-2040</v>
      </c>
      <c r="AK35" s="168">
        <f>-'IS(M)'!AL25</f>
        <v>-2080.8000000000002</v>
      </c>
      <c r="AL35" s="168">
        <f>-'IS(M)'!AM25</f>
        <v>-2080.8000000000002</v>
      </c>
      <c r="AM35" s="168">
        <f>-'IS(M)'!AN25</f>
        <v>-2080.8000000000002</v>
      </c>
      <c r="AN35" s="168">
        <f>-'IS(M)'!AO25</f>
        <v>-2080.8000000000002</v>
      </c>
      <c r="AO35" s="168">
        <f>-'IS(M)'!AP25</f>
        <v>-2080.8000000000002</v>
      </c>
      <c r="AP35" s="168">
        <f>-'IS(M)'!AQ25</f>
        <v>-2080.8000000000002</v>
      </c>
      <c r="AQ35" s="168">
        <f>-'IS(M)'!AR25</f>
        <v>-2080.8000000000002</v>
      </c>
      <c r="AR35" s="168">
        <f>-'IS(M)'!AS25</f>
        <v>-2080.8000000000002</v>
      </c>
      <c r="AS35" s="168">
        <f>-'IS(M)'!AT25</f>
        <v>-2080.8000000000002</v>
      </c>
      <c r="AT35" s="168">
        <f>-'IS(M)'!AU25</f>
        <v>-2080.8000000000002</v>
      </c>
      <c r="AU35" s="168">
        <f>-'IS(M)'!AV25</f>
        <v>-2080.8000000000002</v>
      </c>
      <c r="AV35" s="168">
        <f>-'IS(M)'!AW25</f>
        <v>-2080.8000000000002</v>
      </c>
      <c r="AW35" s="168">
        <f>-'IS(M)'!AX25</f>
        <v>-2122.4159999999997</v>
      </c>
      <c r="AX35" s="168">
        <f>-'IS(M)'!AY25</f>
        <v>-2122.4159999999997</v>
      </c>
      <c r="AY35" s="168">
        <f>-'IS(M)'!AZ25</f>
        <v>-2122.4159999999997</v>
      </c>
      <c r="AZ35" s="168">
        <f>-'IS(M)'!BA25</f>
        <v>-2122.4159999999997</v>
      </c>
      <c r="BA35" s="168">
        <f>-'IS(M)'!BB25</f>
        <v>-2122.4159999999997</v>
      </c>
      <c r="BB35" s="168">
        <f>-'IS(M)'!BC25</f>
        <v>-2122.4159999999997</v>
      </c>
      <c r="BC35" s="168">
        <f>-'IS(M)'!BD25</f>
        <v>-2122.4159999999997</v>
      </c>
      <c r="BD35" s="168">
        <f>-'IS(M)'!BE25</f>
        <v>-2122.4159999999997</v>
      </c>
      <c r="BE35" s="168">
        <f>-'IS(M)'!BF25</f>
        <v>-2122.4159999999997</v>
      </c>
      <c r="BF35" s="168">
        <f>-'IS(M)'!BG25</f>
        <v>-2122.4159999999997</v>
      </c>
      <c r="BG35" s="168">
        <f>-'IS(M)'!BH25</f>
        <v>-2122.4159999999997</v>
      </c>
      <c r="BH35" s="168">
        <f>-'IS(M)'!BI25</f>
        <v>-2122.4159999999997</v>
      </c>
      <c r="BI35" s="168">
        <f>-'IS(M)'!BJ25</f>
        <v>-2164.8643200000001</v>
      </c>
      <c r="BJ35" s="168">
        <f>-'IS(M)'!BK25</f>
        <v>-2164.8643200000001</v>
      </c>
      <c r="BK35" s="168">
        <f>-'IS(M)'!BL25</f>
        <v>-2164.8643200000001</v>
      </c>
      <c r="BL35" s="168">
        <f>-'IS(M)'!BM25</f>
        <v>-2164.8643200000001</v>
      </c>
      <c r="BM35" s="168">
        <f>-'IS(M)'!BN25</f>
        <v>-2164.8643200000001</v>
      </c>
      <c r="BN35" s="168">
        <f>-'IS(M)'!BO25</f>
        <v>-2164.8643200000001</v>
      </c>
      <c r="BO35" s="168">
        <f>-'IS(M)'!BP25</f>
        <v>-2164.8643200000001</v>
      </c>
      <c r="BP35" s="168">
        <f>-'IS(M)'!BQ25</f>
        <v>-2164.8643200000001</v>
      </c>
      <c r="BQ35" s="168">
        <f>-'IS(M)'!BR25</f>
        <v>-2164.8643200000001</v>
      </c>
      <c r="BR35" s="168">
        <f>-'IS(M)'!BS25</f>
        <v>-2164.8643200000001</v>
      </c>
      <c r="BS35" s="168">
        <f>-'IS(M)'!BT25</f>
        <v>-2164.8643200000001</v>
      </c>
      <c r="BT35" s="168">
        <f>-'IS(M)'!BU25</f>
        <v>-2164.8643200000001</v>
      </c>
      <c r="BU35" s="168">
        <f>-'IS(M)'!BV25</f>
        <v>-2208.1616064</v>
      </c>
      <c r="BV35" s="168">
        <f>-'IS(M)'!BW25</f>
        <v>-2208.1616064</v>
      </c>
      <c r="BW35" s="168">
        <f>-'IS(M)'!BX25</f>
        <v>-2208.1616064</v>
      </c>
      <c r="BX35" s="168">
        <f>-'IS(M)'!BY25</f>
        <v>-2208.1616064</v>
      </c>
      <c r="BY35" s="168">
        <f>-'IS(M)'!BZ25</f>
        <v>-2208.1616064</v>
      </c>
      <c r="BZ35" s="168">
        <f>-'IS(M)'!CA25</f>
        <v>-2208.1616064</v>
      </c>
      <c r="CA35" s="168">
        <f>-'IS(M)'!CB25</f>
        <v>-2208.1616064</v>
      </c>
      <c r="CB35" s="168">
        <f>-'IS(M)'!CC25</f>
        <v>-2208.1616064</v>
      </c>
      <c r="CC35" s="168">
        <f>-'IS(M)'!CD25</f>
        <v>-2208.1616064</v>
      </c>
      <c r="CD35" s="168">
        <f>-'IS(M)'!CE25</f>
        <v>-2208.1616064</v>
      </c>
      <c r="CE35" s="168">
        <f>-'IS(M)'!CF25</f>
        <v>-2208.1616064</v>
      </c>
      <c r="CF35" s="168">
        <f>-'IS(M)'!CG25</f>
        <v>-2208.1616064</v>
      </c>
      <c r="CG35" s="168">
        <f>-'IS(M)'!CH25</f>
        <v>-2252.3248385280003</v>
      </c>
      <c r="CH35" s="168">
        <f>-'IS(M)'!CI25</f>
        <v>-2252.3248385280003</v>
      </c>
      <c r="CI35" s="168">
        <f>-'IS(M)'!CJ25</f>
        <v>-2252.3248385280003</v>
      </c>
      <c r="CJ35" s="168">
        <f>-'IS(M)'!CK25</f>
        <v>-2252.3248385280003</v>
      </c>
      <c r="CK35" s="168">
        <f>-'IS(M)'!CL25</f>
        <v>-2252.3248385280003</v>
      </c>
      <c r="CL35" s="168">
        <f>-'IS(M)'!CM25</f>
        <v>-2252.3248385280003</v>
      </c>
      <c r="CM35" s="168">
        <f>-'IS(M)'!CN25</f>
        <v>-2252.3248385280003</v>
      </c>
      <c r="CN35" s="168">
        <f>-'IS(M)'!CO25</f>
        <v>-2252.3248385280003</v>
      </c>
      <c r="CO35" s="168">
        <f>-'IS(M)'!CP25</f>
        <v>-2252.3248385280003</v>
      </c>
      <c r="CP35" s="168">
        <f>-'IS(M)'!CQ25</f>
        <v>-2252.3248385280003</v>
      </c>
      <c r="CQ35" s="168">
        <f>-'IS(M)'!CR25</f>
        <v>-2252.3248385280003</v>
      </c>
      <c r="CR35" s="168">
        <f>-'IS(M)'!CS25</f>
        <v>-2252.3248385280003</v>
      </c>
      <c r="CS35" s="168">
        <f>-'IS(M)'!CT25</f>
        <v>-2297.3713352985596</v>
      </c>
      <c r="CT35" s="168">
        <f>-'IS(M)'!CU25</f>
        <v>-2297.3713352985596</v>
      </c>
      <c r="CU35" s="168">
        <f>-'IS(M)'!CV25</f>
        <v>-2297.3713352985596</v>
      </c>
      <c r="CV35" s="168">
        <f>-'IS(M)'!CW25</f>
        <v>-2297.3713352985596</v>
      </c>
      <c r="CW35" s="168">
        <f>-'IS(M)'!CX25</f>
        <v>-2297.3713352985596</v>
      </c>
      <c r="CX35" s="168">
        <f>-'IS(M)'!CY25</f>
        <v>-2297.3713352985596</v>
      </c>
      <c r="CY35" s="168">
        <f>-'IS(M)'!CZ25</f>
        <v>-2297.3713352985596</v>
      </c>
      <c r="CZ35" s="168">
        <f>-'IS(M)'!DA25</f>
        <v>-2297.3713352985596</v>
      </c>
      <c r="DA35" s="168">
        <f>-'IS(M)'!DB25</f>
        <v>-2297.3713352985596</v>
      </c>
      <c r="DB35" s="168">
        <f>-'IS(M)'!DC25</f>
        <v>-2297.3713352985596</v>
      </c>
      <c r="DC35" s="168">
        <f>-'IS(M)'!DD25</f>
        <v>-2297.3713352985596</v>
      </c>
      <c r="DD35" s="168">
        <f>-'IS(M)'!DE25</f>
        <v>-2297.3713352985596</v>
      </c>
      <c r="DE35" s="168">
        <f>-'IS(M)'!DF25</f>
        <v>-2343.318762004531</v>
      </c>
      <c r="DF35" s="168">
        <f>-'IS(M)'!DG25</f>
        <v>-2343.318762004531</v>
      </c>
      <c r="DG35" s="168">
        <f>-'IS(M)'!DH25</f>
        <v>-2343.318762004531</v>
      </c>
      <c r="DH35" s="168">
        <f>-'IS(M)'!DI25</f>
        <v>-2343.318762004531</v>
      </c>
      <c r="DI35" s="168">
        <f>-'IS(M)'!DJ25</f>
        <v>-2343.318762004531</v>
      </c>
      <c r="DJ35" s="168">
        <f>-'IS(M)'!DK25</f>
        <v>-2343.318762004531</v>
      </c>
      <c r="DK35" s="168">
        <f>-'IS(M)'!DL25</f>
        <v>-2343.318762004531</v>
      </c>
      <c r="DL35" s="168">
        <f>-'IS(M)'!DM25</f>
        <v>-2343.318762004531</v>
      </c>
      <c r="DM35" s="168">
        <f>-'IS(M)'!DN25</f>
        <v>-2343.318762004531</v>
      </c>
      <c r="DN35" s="168">
        <f>-'IS(M)'!DO25</f>
        <v>-2343.318762004531</v>
      </c>
      <c r="DO35" s="168">
        <f>-'IS(M)'!DP25</f>
        <v>-2343.318762004531</v>
      </c>
      <c r="DP35" s="168">
        <f>-'IS(M)'!DQ25</f>
        <v>-2343.318762004531</v>
      </c>
      <c r="DQ35" s="168">
        <f>-'IS(M)'!DR25</f>
        <v>-2390.1851372446217</v>
      </c>
      <c r="DR35" s="168">
        <f>-'IS(M)'!DS25</f>
        <v>-2390.1851372446217</v>
      </c>
      <c r="DS35" s="168">
        <f>-'IS(M)'!DT25</f>
        <v>-2390.1851372446217</v>
      </c>
      <c r="DT35" s="168">
        <f>-'IS(M)'!DU25</f>
        <v>-2390.1851372446217</v>
      </c>
      <c r="DU35" s="168">
        <f>-'IS(M)'!DV25</f>
        <v>-2390.1851372446217</v>
      </c>
      <c r="DV35" s="168">
        <f>-'IS(M)'!DW25</f>
        <v>-2390.1851372446217</v>
      </c>
      <c r="DW35" s="168">
        <f>-'IS(M)'!DX25</f>
        <v>-2390.1851372446217</v>
      </c>
      <c r="DX35" s="168">
        <f>-'IS(M)'!DY25</f>
        <v>-2390.1851372446217</v>
      </c>
      <c r="DY35" s="168">
        <f>-'IS(M)'!DZ25</f>
        <v>-2390.1851372446217</v>
      </c>
      <c r="DZ35" s="168">
        <f>-'IS(M)'!EA25</f>
        <v>-2390.1851372446217</v>
      </c>
      <c r="EA35" s="168">
        <f>-'IS(M)'!EB25</f>
        <v>-2390.1851372446217</v>
      </c>
      <c r="EB35" s="168">
        <f>-'IS(M)'!EC25</f>
        <v>-2390.1851372446217</v>
      </c>
      <c r="EC35" s="168">
        <f>-'IS(M)'!ED25</f>
        <v>0</v>
      </c>
      <c r="ED35" s="168">
        <f>-'IS(M)'!EE25</f>
        <v>0</v>
      </c>
      <c r="EE35" s="168">
        <f>-'IS(M)'!EF25</f>
        <v>0</v>
      </c>
      <c r="EF35" s="168">
        <f>-'IS(M)'!EG25</f>
        <v>0</v>
      </c>
      <c r="EG35" s="168">
        <f>-'IS(M)'!EH25</f>
        <v>0</v>
      </c>
      <c r="EH35" s="168">
        <f>-'IS(M)'!EI25</f>
        <v>0</v>
      </c>
      <c r="EI35" s="168">
        <f>-'IS(M)'!EJ25</f>
        <v>0</v>
      </c>
      <c r="EJ35" s="168">
        <f>-'IS(M)'!EK25</f>
        <v>0</v>
      </c>
      <c r="EK35" s="168">
        <f>-'IS(M)'!EL25</f>
        <v>0</v>
      </c>
      <c r="EL35" s="168">
        <f>-'IS(M)'!EM25</f>
        <v>0</v>
      </c>
      <c r="EM35" s="168">
        <f>-'IS(M)'!EN25</f>
        <v>0</v>
      </c>
      <c r="EN35" s="168">
        <f>-'IS(M)'!EO25</f>
        <v>0</v>
      </c>
      <c r="EO35" s="168">
        <f>-'IS(M)'!EP25</f>
        <v>0</v>
      </c>
      <c r="EP35" s="168">
        <f>-'IS(M)'!EQ25</f>
        <v>0</v>
      </c>
      <c r="EQ35" s="168">
        <f>-'IS(M)'!ER25</f>
        <v>0</v>
      </c>
    </row>
    <row r="36" spans="2:147" ht="11.25" customHeight="1">
      <c r="B36" s="218"/>
      <c r="C36" s="163"/>
      <c r="D36" s="169" t="s">
        <v>190</v>
      </c>
      <c r="H36" s="146"/>
      <c r="I36" s="13"/>
      <c r="J36" s="171">
        <f>SUM(L36:EQ36)</f>
        <v>-6665470.0000000009</v>
      </c>
      <c r="K36" s="98"/>
      <c r="L36" s="171">
        <f>-'FS_Detail(M)'!L201</f>
        <v>0</v>
      </c>
      <c r="M36" s="171">
        <f>-'FS_Detail(M)'!M201</f>
        <v>0</v>
      </c>
      <c r="N36" s="171">
        <f>-'FS_Detail(M)'!N201</f>
        <v>0</v>
      </c>
      <c r="O36" s="171">
        <f>-'FS_Detail(M)'!O201</f>
        <v>-166636.75000000003</v>
      </c>
      <c r="P36" s="171">
        <f>-'FS_Detail(M)'!P201</f>
        <v>0</v>
      </c>
      <c r="Q36" s="171">
        <f>-'FS_Detail(M)'!Q201</f>
        <v>0</v>
      </c>
      <c r="R36" s="171">
        <f>-'FS_Detail(M)'!R201</f>
        <v>-166636.75000000003</v>
      </c>
      <c r="S36" s="171">
        <f>-'FS_Detail(M)'!S201</f>
        <v>0</v>
      </c>
      <c r="T36" s="171">
        <f>-'FS_Detail(M)'!T201</f>
        <v>0</v>
      </c>
      <c r="U36" s="171">
        <f>-'FS_Detail(M)'!U201</f>
        <v>-166636.75000000003</v>
      </c>
      <c r="V36" s="171">
        <f>-'FS_Detail(M)'!V201</f>
        <v>0</v>
      </c>
      <c r="W36" s="171">
        <f>-'FS_Detail(M)'!W201</f>
        <v>0</v>
      </c>
      <c r="X36" s="171">
        <f>-'FS_Detail(M)'!X201</f>
        <v>-166636.75000000003</v>
      </c>
      <c r="Y36" s="171">
        <f>-'FS_Detail(M)'!Y201</f>
        <v>0</v>
      </c>
      <c r="Z36" s="171">
        <f>-'FS_Detail(M)'!Z201</f>
        <v>0</v>
      </c>
      <c r="AA36" s="171">
        <f>-'FS_Detail(M)'!AA201</f>
        <v>-166636.75000000003</v>
      </c>
      <c r="AB36" s="171">
        <f>-'FS_Detail(M)'!AB201</f>
        <v>0</v>
      </c>
      <c r="AC36" s="171">
        <f>-'FS_Detail(M)'!AC201</f>
        <v>0</v>
      </c>
      <c r="AD36" s="171">
        <f>-'FS_Detail(M)'!AD201</f>
        <v>-166636.75000000003</v>
      </c>
      <c r="AE36" s="171">
        <f>-'FS_Detail(M)'!AE201</f>
        <v>0</v>
      </c>
      <c r="AF36" s="171">
        <f>-'FS_Detail(M)'!AF201</f>
        <v>0</v>
      </c>
      <c r="AG36" s="171">
        <f>-'FS_Detail(M)'!AG201</f>
        <v>-166636.75000000003</v>
      </c>
      <c r="AH36" s="171">
        <f>-'FS_Detail(M)'!AH201</f>
        <v>0</v>
      </c>
      <c r="AI36" s="171">
        <f>-'FS_Detail(M)'!AI201</f>
        <v>0</v>
      </c>
      <c r="AJ36" s="171">
        <f>-'FS_Detail(M)'!AJ201</f>
        <v>-166636.75000000003</v>
      </c>
      <c r="AK36" s="171">
        <f>-'FS_Detail(M)'!AK201</f>
        <v>0</v>
      </c>
      <c r="AL36" s="171">
        <f>-'FS_Detail(M)'!AL201</f>
        <v>0</v>
      </c>
      <c r="AM36" s="171">
        <f>-'FS_Detail(M)'!AM201</f>
        <v>-166636.75000000003</v>
      </c>
      <c r="AN36" s="171">
        <f>-'FS_Detail(M)'!AN201</f>
        <v>0</v>
      </c>
      <c r="AO36" s="171">
        <f>-'FS_Detail(M)'!AO201</f>
        <v>0</v>
      </c>
      <c r="AP36" s="171">
        <f>-'FS_Detail(M)'!AP201</f>
        <v>-166636.75000000003</v>
      </c>
      <c r="AQ36" s="171">
        <f>-'FS_Detail(M)'!AQ201</f>
        <v>0</v>
      </c>
      <c r="AR36" s="171">
        <f>-'FS_Detail(M)'!AR201</f>
        <v>0</v>
      </c>
      <c r="AS36" s="171">
        <f>-'FS_Detail(M)'!AS201</f>
        <v>-166636.75000000003</v>
      </c>
      <c r="AT36" s="171">
        <f>-'FS_Detail(M)'!AT201</f>
        <v>0</v>
      </c>
      <c r="AU36" s="171">
        <f>-'FS_Detail(M)'!AU201</f>
        <v>0</v>
      </c>
      <c r="AV36" s="171">
        <f>-'FS_Detail(M)'!AV201</f>
        <v>-166636.75000000003</v>
      </c>
      <c r="AW36" s="171">
        <f>-'FS_Detail(M)'!AW201</f>
        <v>0</v>
      </c>
      <c r="AX36" s="171">
        <f>-'FS_Detail(M)'!AX201</f>
        <v>0</v>
      </c>
      <c r="AY36" s="171">
        <f>-'FS_Detail(M)'!AY201</f>
        <v>-166636.75000000003</v>
      </c>
      <c r="AZ36" s="171">
        <f>-'FS_Detail(M)'!AZ201</f>
        <v>0</v>
      </c>
      <c r="BA36" s="171">
        <f>-'FS_Detail(M)'!BA201</f>
        <v>0</v>
      </c>
      <c r="BB36" s="171">
        <f>-'FS_Detail(M)'!BB201</f>
        <v>-166636.75000000003</v>
      </c>
      <c r="BC36" s="171">
        <f>-'FS_Detail(M)'!BC201</f>
        <v>0</v>
      </c>
      <c r="BD36" s="171">
        <f>-'FS_Detail(M)'!BD201</f>
        <v>0</v>
      </c>
      <c r="BE36" s="171">
        <f>-'FS_Detail(M)'!BE201</f>
        <v>-166636.75000000003</v>
      </c>
      <c r="BF36" s="171">
        <f>-'FS_Detail(M)'!BF201</f>
        <v>0</v>
      </c>
      <c r="BG36" s="171">
        <f>-'FS_Detail(M)'!BG201</f>
        <v>0</v>
      </c>
      <c r="BH36" s="171">
        <f>-'FS_Detail(M)'!BH201</f>
        <v>-166636.75000000003</v>
      </c>
      <c r="BI36" s="171">
        <f>-'FS_Detail(M)'!BI201</f>
        <v>0</v>
      </c>
      <c r="BJ36" s="171">
        <f>-'FS_Detail(M)'!BJ201</f>
        <v>0</v>
      </c>
      <c r="BK36" s="171">
        <f>-'FS_Detail(M)'!BK201</f>
        <v>-166636.75000000003</v>
      </c>
      <c r="BL36" s="171">
        <f>-'FS_Detail(M)'!BL201</f>
        <v>0</v>
      </c>
      <c r="BM36" s="171">
        <f>-'FS_Detail(M)'!BM201</f>
        <v>0</v>
      </c>
      <c r="BN36" s="171">
        <f>-'FS_Detail(M)'!BN201</f>
        <v>-166636.75000000003</v>
      </c>
      <c r="BO36" s="171">
        <f>-'FS_Detail(M)'!BO201</f>
        <v>0</v>
      </c>
      <c r="BP36" s="171">
        <f>-'FS_Detail(M)'!BP201</f>
        <v>0</v>
      </c>
      <c r="BQ36" s="171">
        <f>-'FS_Detail(M)'!BQ201</f>
        <v>-166636.75000000003</v>
      </c>
      <c r="BR36" s="171">
        <f>-'FS_Detail(M)'!BR201</f>
        <v>0</v>
      </c>
      <c r="BS36" s="171">
        <f>-'FS_Detail(M)'!BS201</f>
        <v>0</v>
      </c>
      <c r="BT36" s="171">
        <f>-'FS_Detail(M)'!BT201</f>
        <v>-166636.75000000003</v>
      </c>
      <c r="BU36" s="171">
        <f>-'FS_Detail(M)'!BU201</f>
        <v>0</v>
      </c>
      <c r="BV36" s="171">
        <f>-'FS_Detail(M)'!BV201</f>
        <v>0</v>
      </c>
      <c r="BW36" s="171">
        <f>-'FS_Detail(M)'!BW201</f>
        <v>-166636.75000000003</v>
      </c>
      <c r="BX36" s="171">
        <f>-'FS_Detail(M)'!BX201</f>
        <v>0</v>
      </c>
      <c r="BY36" s="171">
        <f>-'FS_Detail(M)'!BY201</f>
        <v>0</v>
      </c>
      <c r="BZ36" s="171">
        <f>-'FS_Detail(M)'!BZ201</f>
        <v>-166636.75000000003</v>
      </c>
      <c r="CA36" s="171">
        <f>-'FS_Detail(M)'!CA201</f>
        <v>0</v>
      </c>
      <c r="CB36" s="171">
        <f>-'FS_Detail(M)'!CB201</f>
        <v>0</v>
      </c>
      <c r="CC36" s="171">
        <f>-'FS_Detail(M)'!CC201</f>
        <v>-166636.75000000003</v>
      </c>
      <c r="CD36" s="171">
        <f>-'FS_Detail(M)'!CD201</f>
        <v>0</v>
      </c>
      <c r="CE36" s="171">
        <f>-'FS_Detail(M)'!CE201</f>
        <v>0</v>
      </c>
      <c r="CF36" s="171">
        <f>-'FS_Detail(M)'!CF201</f>
        <v>-166636.75000000003</v>
      </c>
      <c r="CG36" s="171">
        <f>-'FS_Detail(M)'!CG201</f>
        <v>0</v>
      </c>
      <c r="CH36" s="171">
        <f>-'FS_Detail(M)'!CH201</f>
        <v>0</v>
      </c>
      <c r="CI36" s="171">
        <f>-'FS_Detail(M)'!CI201</f>
        <v>-166636.75000000003</v>
      </c>
      <c r="CJ36" s="171">
        <f>-'FS_Detail(M)'!CJ201</f>
        <v>0</v>
      </c>
      <c r="CK36" s="171">
        <f>-'FS_Detail(M)'!CK201</f>
        <v>0</v>
      </c>
      <c r="CL36" s="171">
        <f>-'FS_Detail(M)'!CL201</f>
        <v>-166636.75000000003</v>
      </c>
      <c r="CM36" s="171">
        <f>-'FS_Detail(M)'!CM201</f>
        <v>0</v>
      </c>
      <c r="CN36" s="171">
        <f>-'FS_Detail(M)'!CN201</f>
        <v>0</v>
      </c>
      <c r="CO36" s="171">
        <f>-'FS_Detail(M)'!CO201</f>
        <v>-166636.75000000003</v>
      </c>
      <c r="CP36" s="171">
        <f>-'FS_Detail(M)'!CP201</f>
        <v>0</v>
      </c>
      <c r="CQ36" s="171">
        <f>-'FS_Detail(M)'!CQ201</f>
        <v>0</v>
      </c>
      <c r="CR36" s="171">
        <f>-'FS_Detail(M)'!CR201</f>
        <v>-166636.75000000003</v>
      </c>
      <c r="CS36" s="171">
        <f>-'FS_Detail(M)'!CS201</f>
        <v>0</v>
      </c>
      <c r="CT36" s="171">
        <f>-'FS_Detail(M)'!CT201</f>
        <v>0</v>
      </c>
      <c r="CU36" s="171">
        <f>-'FS_Detail(M)'!CU201</f>
        <v>-166636.75000000003</v>
      </c>
      <c r="CV36" s="171">
        <f>-'FS_Detail(M)'!CV201</f>
        <v>0</v>
      </c>
      <c r="CW36" s="171">
        <f>-'FS_Detail(M)'!CW201</f>
        <v>0</v>
      </c>
      <c r="CX36" s="171">
        <f>-'FS_Detail(M)'!CX201</f>
        <v>-166636.75000000003</v>
      </c>
      <c r="CY36" s="171">
        <f>-'FS_Detail(M)'!CY201</f>
        <v>0</v>
      </c>
      <c r="CZ36" s="171">
        <f>-'FS_Detail(M)'!CZ201</f>
        <v>0</v>
      </c>
      <c r="DA36" s="171">
        <f>-'FS_Detail(M)'!DA201</f>
        <v>-166636.75000000003</v>
      </c>
      <c r="DB36" s="171">
        <f>-'FS_Detail(M)'!DB201</f>
        <v>0</v>
      </c>
      <c r="DC36" s="171">
        <f>-'FS_Detail(M)'!DC201</f>
        <v>0</v>
      </c>
      <c r="DD36" s="171">
        <f>-'FS_Detail(M)'!DD201</f>
        <v>-166636.75000000003</v>
      </c>
      <c r="DE36" s="171">
        <f>-'FS_Detail(M)'!DE201</f>
        <v>0</v>
      </c>
      <c r="DF36" s="171">
        <f>-'FS_Detail(M)'!DF201</f>
        <v>0</v>
      </c>
      <c r="DG36" s="171">
        <f>-'FS_Detail(M)'!DG201</f>
        <v>-166636.75000000003</v>
      </c>
      <c r="DH36" s="171">
        <f>-'FS_Detail(M)'!DH201</f>
        <v>0</v>
      </c>
      <c r="DI36" s="171">
        <f>-'FS_Detail(M)'!DI201</f>
        <v>0</v>
      </c>
      <c r="DJ36" s="171">
        <f>-'FS_Detail(M)'!DJ201</f>
        <v>-166636.75000000003</v>
      </c>
      <c r="DK36" s="171">
        <f>-'FS_Detail(M)'!DK201</f>
        <v>0</v>
      </c>
      <c r="DL36" s="171">
        <f>-'FS_Detail(M)'!DL201</f>
        <v>0</v>
      </c>
      <c r="DM36" s="171">
        <f>-'FS_Detail(M)'!DM201</f>
        <v>-166636.75000000003</v>
      </c>
      <c r="DN36" s="171">
        <f>-'FS_Detail(M)'!DN201</f>
        <v>0</v>
      </c>
      <c r="DO36" s="171">
        <f>-'FS_Detail(M)'!DO201</f>
        <v>0</v>
      </c>
      <c r="DP36" s="171">
        <f>-'FS_Detail(M)'!DP201</f>
        <v>-166636.75000000003</v>
      </c>
      <c r="DQ36" s="171">
        <f>-'FS_Detail(M)'!DQ201</f>
        <v>0</v>
      </c>
      <c r="DR36" s="171">
        <f>-'FS_Detail(M)'!DR201</f>
        <v>0</v>
      </c>
      <c r="DS36" s="171">
        <f>-'FS_Detail(M)'!DS201</f>
        <v>-166636.75000000003</v>
      </c>
      <c r="DT36" s="171">
        <f>-'FS_Detail(M)'!DT201</f>
        <v>0</v>
      </c>
      <c r="DU36" s="171">
        <f>-'FS_Detail(M)'!DU201</f>
        <v>0</v>
      </c>
      <c r="DV36" s="171">
        <f>-'FS_Detail(M)'!DV201</f>
        <v>-166636.75000000003</v>
      </c>
      <c r="DW36" s="171">
        <f>-'FS_Detail(M)'!DW201</f>
        <v>0</v>
      </c>
      <c r="DX36" s="171">
        <f>-'FS_Detail(M)'!DX201</f>
        <v>0</v>
      </c>
      <c r="DY36" s="171">
        <f>-'FS_Detail(M)'!DY201</f>
        <v>-166636.75000000003</v>
      </c>
      <c r="DZ36" s="171">
        <f>-'FS_Detail(M)'!DZ201</f>
        <v>0</v>
      </c>
      <c r="EA36" s="171">
        <f>-'FS_Detail(M)'!EA201</f>
        <v>0</v>
      </c>
      <c r="EB36" s="171">
        <f>-'FS_Detail(M)'!EB201</f>
        <v>-166636.75000000003</v>
      </c>
      <c r="EC36" s="171">
        <f>-'FS_Detail(M)'!EC201</f>
        <v>0</v>
      </c>
      <c r="ED36" s="171">
        <f>-'FS_Detail(M)'!ED201</f>
        <v>0</v>
      </c>
      <c r="EE36" s="171">
        <f>-'FS_Detail(M)'!EE201</f>
        <v>0</v>
      </c>
      <c r="EF36" s="171">
        <f>-'FS_Detail(M)'!EF201</f>
        <v>0</v>
      </c>
      <c r="EG36" s="171">
        <f>-'FS_Detail(M)'!EG201</f>
        <v>0</v>
      </c>
      <c r="EH36" s="171">
        <f>-'FS_Detail(M)'!EH201</f>
        <v>0</v>
      </c>
      <c r="EI36" s="171">
        <f>-'FS_Detail(M)'!EI201</f>
        <v>0</v>
      </c>
      <c r="EJ36" s="171">
        <f>-'FS_Detail(M)'!EJ201</f>
        <v>0</v>
      </c>
      <c r="EK36" s="171">
        <f>-'FS_Detail(M)'!EK201</f>
        <v>0</v>
      </c>
      <c r="EL36" s="171">
        <f>-'FS_Detail(M)'!EL201</f>
        <v>0</v>
      </c>
      <c r="EM36" s="171">
        <f>-'FS_Detail(M)'!EM201</f>
        <v>0</v>
      </c>
      <c r="EN36" s="171">
        <f>-'FS_Detail(M)'!EN201</f>
        <v>0</v>
      </c>
      <c r="EO36" s="171">
        <f>-'FS_Detail(M)'!EO201</f>
        <v>0</v>
      </c>
      <c r="EP36" s="171">
        <f>-'FS_Detail(M)'!EP201</f>
        <v>0</v>
      </c>
      <c r="EQ36" s="171">
        <f>-'FS_Detail(M)'!EQ201</f>
        <v>0</v>
      </c>
    </row>
    <row r="37" spans="2:147" ht="11.25" customHeight="1">
      <c r="B37" s="218"/>
      <c r="C37" s="163"/>
      <c r="D37" s="169" t="s">
        <v>191</v>
      </c>
      <c r="H37" s="146"/>
      <c r="I37" s="13"/>
      <c r="J37" s="171">
        <f>SUM(L37:EQ37)</f>
        <v>-120000</v>
      </c>
      <c r="K37" s="98"/>
      <c r="L37" s="171">
        <f>-'FS_Detail(M)'!L206</f>
        <v>0</v>
      </c>
      <c r="M37" s="171">
        <f>-'FS_Detail(M)'!M206</f>
        <v>0</v>
      </c>
      <c r="N37" s="171">
        <f>-'FS_Detail(M)'!N206</f>
        <v>0</v>
      </c>
      <c r="O37" s="171">
        <f>-'FS_Detail(M)'!O206</f>
        <v>0</v>
      </c>
      <c r="P37" s="171">
        <f>-'FS_Detail(M)'!P206</f>
        <v>0</v>
      </c>
      <c r="Q37" s="171">
        <f>-'FS_Detail(M)'!Q206</f>
        <v>0</v>
      </c>
      <c r="R37" s="171">
        <f>-'FS_Detail(M)'!R206</f>
        <v>-6000</v>
      </c>
      <c r="S37" s="171">
        <f>-'FS_Detail(M)'!S206</f>
        <v>0</v>
      </c>
      <c r="T37" s="171">
        <f>-'FS_Detail(M)'!T206</f>
        <v>0</v>
      </c>
      <c r="U37" s="171">
        <f>-'FS_Detail(M)'!U206</f>
        <v>0</v>
      </c>
      <c r="V37" s="171">
        <f>-'FS_Detail(M)'!V206</f>
        <v>0</v>
      </c>
      <c r="W37" s="171">
        <f>-'FS_Detail(M)'!W206</f>
        <v>0</v>
      </c>
      <c r="X37" s="171">
        <f>-'FS_Detail(M)'!X206</f>
        <v>-6000</v>
      </c>
      <c r="Y37" s="171">
        <f>-'FS_Detail(M)'!Y206</f>
        <v>0</v>
      </c>
      <c r="Z37" s="171">
        <f>-'FS_Detail(M)'!Z206</f>
        <v>0</v>
      </c>
      <c r="AA37" s="171">
        <f>-'FS_Detail(M)'!AA206</f>
        <v>0</v>
      </c>
      <c r="AB37" s="171">
        <f>-'FS_Detail(M)'!AB206</f>
        <v>0</v>
      </c>
      <c r="AC37" s="171">
        <f>-'FS_Detail(M)'!AC206</f>
        <v>0</v>
      </c>
      <c r="AD37" s="171">
        <f>-'FS_Detail(M)'!AD206</f>
        <v>-6000</v>
      </c>
      <c r="AE37" s="171">
        <f>-'FS_Detail(M)'!AE206</f>
        <v>0</v>
      </c>
      <c r="AF37" s="171">
        <f>-'FS_Detail(M)'!AF206</f>
        <v>0</v>
      </c>
      <c r="AG37" s="171">
        <f>-'FS_Detail(M)'!AG206</f>
        <v>0</v>
      </c>
      <c r="AH37" s="171">
        <f>-'FS_Detail(M)'!AH206</f>
        <v>0</v>
      </c>
      <c r="AI37" s="171">
        <f>-'FS_Detail(M)'!AI206</f>
        <v>0</v>
      </c>
      <c r="AJ37" s="171">
        <f>-'FS_Detail(M)'!AJ206</f>
        <v>-6000</v>
      </c>
      <c r="AK37" s="171">
        <f>-'FS_Detail(M)'!AK206</f>
        <v>0</v>
      </c>
      <c r="AL37" s="171">
        <f>-'FS_Detail(M)'!AL206</f>
        <v>0</v>
      </c>
      <c r="AM37" s="171">
        <f>-'FS_Detail(M)'!AM206</f>
        <v>0</v>
      </c>
      <c r="AN37" s="171">
        <f>-'FS_Detail(M)'!AN206</f>
        <v>0</v>
      </c>
      <c r="AO37" s="171">
        <f>-'FS_Detail(M)'!AO206</f>
        <v>0</v>
      </c>
      <c r="AP37" s="171">
        <f>-'FS_Detail(M)'!AP206</f>
        <v>-6000</v>
      </c>
      <c r="AQ37" s="171">
        <f>-'FS_Detail(M)'!AQ206</f>
        <v>0</v>
      </c>
      <c r="AR37" s="171">
        <f>-'FS_Detail(M)'!AR206</f>
        <v>0</v>
      </c>
      <c r="AS37" s="171">
        <f>-'FS_Detail(M)'!AS206</f>
        <v>0</v>
      </c>
      <c r="AT37" s="171">
        <f>-'FS_Detail(M)'!AT206</f>
        <v>0</v>
      </c>
      <c r="AU37" s="171">
        <f>-'FS_Detail(M)'!AU206</f>
        <v>0</v>
      </c>
      <c r="AV37" s="171">
        <f>-'FS_Detail(M)'!AV206</f>
        <v>-6000</v>
      </c>
      <c r="AW37" s="171">
        <f>-'FS_Detail(M)'!AW206</f>
        <v>0</v>
      </c>
      <c r="AX37" s="171">
        <f>-'FS_Detail(M)'!AX206</f>
        <v>0</v>
      </c>
      <c r="AY37" s="171">
        <f>-'FS_Detail(M)'!AY206</f>
        <v>0</v>
      </c>
      <c r="AZ37" s="171">
        <f>-'FS_Detail(M)'!AZ206</f>
        <v>0</v>
      </c>
      <c r="BA37" s="171">
        <f>-'FS_Detail(M)'!BA206</f>
        <v>0</v>
      </c>
      <c r="BB37" s="171">
        <f>-'FS_Detail(M)'!BB206</f>
        <v>-6000</v>
      </c>
      <c r="BC37" s="171">
        <f>-'FS_Detail(M)'!BC206</f>
        <v>0</v>
      </c>
      <c r="BD37" s="171">
        <f>-'FS_Detail(M)'!BD206</f>
        <v>0</v>
      </c>
      <c r="BE37" s="171">
        <f>-'FS_Detail(M)'!BE206</f>
        <v>0</v>
      </c>
      <c r="BF37" s="171">
        <f>-'FS_Detail(M)'!BF206</f>
        <v>0</v>
      </c>
      <c r="BG37" s="171">
        <f>-'FS_Detail(M)'!BG206</f>
        <v>0</v>
      </c>
      <c r="BH37" s="171">
        <f>-'FS_Detail(M)'!BH206</f>
        <v>-6000</v>
      </c>
      <c r="BI37" s="171">
        <f>-'FS_Detail(M)'!BI206</f>
        <v>0</v>
      </c>
      <c r="BJ37" s="171">
        <f>-'FS_Detail(M)'!BJ206</f>
        <v>0</v>
      </c>
      <c r="BK37" s="171">
        <f>-'FS_Detail(M)'!BK206</f>
        <v>0</v>
      </c>
      <c r="BL37" s="171">
        <f>-'FS_Detail(M)'!BL206</f>
        <v>0</v>
      </c>
      <c r="BM37" s="171">
        <f>-'FS_Detail(M)'!BM206</f>
        <v>0</v>
      </c>
      <c r="BN37" s="171">
        <f>-'FS_Detail(M)'!BN206</f>
        <v>-6000</v>
      </c>
      <c r="BO37" s="171">
        <f>-'FS_Detail(M)'!BO206</f>
        <v>0</v>
      </c>
      <c r="BP37" s="171">
        <f>-'FS_Detail(M)'!BP206</f>
        <v>0</v>
      </c>
      <c r="BQ37" s="171">
        <f>-'FS_Detail(M)'!BQ206</f>
        <v>0</v>
      </c>
      <c r="BR37" s="171">
        <f>-'FS_Detail(M)'!BR206</f>
        <v>0</v>
      </c>
      <c r="BS37" s="171">
        <f>-'FS_Detail(M)'!BS206</f>
        <v>0</v>
      </c>
      <c r="BT37" s="171">
        <f>-'FS_Detail(M)'!BT206</f>
        <v>-6000</v>
      </c>
      <c r="BU37" s="171">
        <f>-'FS_Detail(M)'!BU206</f>
        <v>0</v>
      </c>
      <c r="BV37" s="171">
        <f>-'FS_Detail(M)'!BV206</f>
        <v>0</v>
      </c>
      <c r="BW37" s="171">
        <f>-'FS_Detail(M)'!BW206</f>
        <v>0</v>
      </c>
      <c r="BX37" s="171">
        <f>-'FS_Detail(M)'!BX206</f>
        <v>0</v>
      </c>
      <c r="BY37" s="171">
        <f>-'FS_Detail(M)'!BY206</f>
        <v>0</v>
      </c>
      <c r="BZ37" s="171">
        <f>-'FS_Detail(M)'!BZ206</f>
        <v>-6000</v>
      </c>
      <c r="CA37" s="171">
        <f>-'FS_Detail(M)'!CA206</f>
        <v>0</v>
      </c>
      <c r="CB37" s="171">
        <f>-'FS_Detail(M)'!CB206</f>
        <v>0</v>
      </c>
      <c r="CC37" s="171">
        <f>-'FS_Detail(M)'!CC206</f>
        <v>0</v>
      </c>
      <c r="CD37" s="171">
        <f>-'FS_Detail(M)'!CD206</f>
        <v>0</v>
      </c>
      <c r="CE37" s="171">
        <f>-'FS_Detail(M)'!CE206</f>
        <v>0</v>
      </c>
      <c r="CF37" s="171">
        <f>-'FS_Detail(M)'!CF206</f>
        <v>-6000</v>
      </c>
      <c r="CG37" s="171">
        <f>-'FS_Detail(M)'!CG206</f>
        <v>0</v>
      </c>
      <c r="CH37" s="171">
        <f>-'FS_Detail(M)'!CH206</f>
        <v>0</v>
      </c>
      <c r="CI37" s="171">
        <f>-'FS_Detail(M)'!CI206</f>
        <v>0</v>
      </c>
      <c r="CJ37" s="171">
        <f>-'FS_Detail(M)'!CJ206</f>
        <v>0</v>
      </c>
      <c r="CK37" s="171">
        <f>-'FS_Detail(M)'!CK206</f>
        <v>0</v>
      </c>
      <c r="CL37" s="171">
        <f>-'FS_Detail(M)'!CL206</f>
        <v>-6000</v>
      </c>
      <c r="CM37" s="171">
        <f>-'FS_Detail(M)'!CM206</f>
        <v>0</v>
      </c>
      <c r="CN37" s="171">
        <f>-'FS_Detail(M)'!CN206</f>
        <v>0</v>
      </c>
      <c r="CO37" s="171">
        <f>-'FS_Detail(M)'!CO206</f>
        <v>0</v>
      </c>
      <c r="CP37" s="171">
        <f>-'FS_Detail(M)'!CP206</f>
        <v>0</v>
      </c>
      <c r="CQ37" s="171">
        <f>-'FS_Detail(M)'!CQ206</f>
        <v>0</v>
      </c>
      <c r="CR37" s="171">
        <f>-'FS_Detail(M)'!CR206</f>
        <v>-6000</v>
      </c>
      <c r="CS37" s="171">
        <f>-'FS_Detail(M)'!CS206</f>
        <v>0</v>
      </c>
      <c r="CT37" s="171">
        <f>-'FS_Detail(M)'!CT206</f>
        <v>0</v>
      </c>
      <c r="CU37" s="171">
        <f>-'FS_Detail(M)'!CU206</f>
        <v>0</v>
      </c>
      <c r="CV37" s="171">
        <f>-'FS_Detail(M)'!CV206</f>
        <v>0</v>
      </c>
      <c r="CW37" s="171">
        <f>-'FS_Detail(M)'!CW206</f>
        <v>0</v>
      </c>
      <c r="CX37" s="171">
        <f>-'FS_Detail(M)'!CX206</f>
        <v>-6000</v>
      </c>
      <c r="CY37" s="171">
        <f>-'FS_Detail(M)'!CY206</f>
        <v>0</v>
      </c>
      <c r="CZ37" s="171">
        <f>-'FS_Detail(M)'!CZ206</f>
        <v>0</v>
      </c>
      <c r="DA37" s="171">
        <f>-'FS_Detail(M)'!DA206</f>
        <v>0</v>
      </c>
      <c r="DB37" s="171">
        <f>-'FS_Detail(M)'!DB206</f>
        <v>0</v>
      </c>
      <c r="DC37" s="171">
        <f>-'FS_Detail(M)'!DC206</f>
        <v>0</v>
      </c>
      <c r="DD37" s="171">
        <f>-'FS_Detail(M)'!DD206</f>
        <v>-6000</v>
      </c>
      <c r="DE37" s="171">
        <f>-'FS_Detail(M)'!DE206</f>
        <v>0</v>
      </c>
      <c r="DF37" s="171">
        <f>-'FS_Detail(M)'!DF206</f>
        <v>0</v>
      </c>
      <c r="DG37" s="171">
        <f>-'FS_Detail(M)'!DG206</f>
        <v>0</v>
      </c>
      <c r="DH37" s="171">
        <f>-'FS_Detail(M)'!DH206</f>
        <v>0</v>
      </c>
      <c r="DI37" s="171">
        <f>-'FS_Detail(M)'!DI206</f>
        <v>0</v>
      </c>
      <c r="DJ37" s="171">
        <f>-'FS_Detail(M)'!DJ206</f>
        <v>-6000</v>
      </c>
      <c r="DK37" s="171">
        <f>-'FS_Detail(M)'!DK206</f>
        <v>0</v>
      </c>
      <c r="DL37" s="171">
        <f>-'FS_Detail(M)'!DL206</f>
        <v>0</v>
      </c>
      <c r="DM37" s="171">
        <f>-'FS_Detail(M)'!DM206</f>
        <v>0</v>
      </c>
      <c r="DN37" s="171">
        <f>-'FS_Detail(M)'!DN206</f>
        <v>0</v>
      </c>
      <c r="DO37" s="171">
        <f>-'FS_Detail(M)'!DO206</f>
        <v>0</v>
      </c>
      <c r="DP37" s="171">
        <f>-'FS_Detail(M)'!DP206</f>
        <v>-6000</v>
      </c>
      <c r="DQ37" s="171">
        <f>-'FS_Detail(M)'!DQ206</f>
        <v>0</v>
      </c>
      <c r="DR37" s="171">
        <f>-'FS_Detail(M)'!DR206</f>
        <v>0</v>
      </c>
      <c r="DS37" s="171">
        <f>-'FS_Detail(M)'!DS206</f>
        <v>0</v>
      </c>
      <c r="DT37" s="171">
        <f>-'FS_Detail(M)'!DT206</f>
        <v>0</v>
      </c>
      <c r="DU37" s="171">
        <f>-'FS_Detail(M)'!DU206</f>
        <v>0</v>
      </c>
      <c r="DV37" s="171">
        <f>-'FS_Detail(M)'!DV206</f>
        <v>-6000</v>
      </c>
      <c r="DW37" s="171">
        <f>-'FS_Detail(M)'!DW206</f>
        <v>0</v>
      </c>
      <c r="DX37" s="171">
        <f>-'FS_Detail(M)'!DX206</f>
        <v>0</v>
      </c>
      <c r="DY37" s="171">
        <f>-'FS_Detail(M)'!DY206</f>
        <v>0</v>
      </c>
      <c r="DZ37" s="171">
        <f>-'FS_Detail(M)'!DZ206</f>
        <v>0</v>
      </c>
      <c r="EA37" s="171">
        <f>-'FS_Detail(M)'!EA206</f>
        <v>0</v>
      </c>
      <c r="EB37" s="171">
        <f>-'FS_Detail(M)'!EB206</f>
        <v>-6000</v>
      </c>
      <c r="EC37" s="171">
        <f>-'FS_Detail(M)'!EC206</f>
        <v>0</v>
      </c>
      <c r="ED37" s="171">
        <f>-'FS_Detail(M)'!ED206</f>
        <v>0</v>
      </c>
      <c r="EE37" s="171">
        <f>-'FS_Detail(M)'!EE206</f>
        <v>0</v>
      </c>
      <c r="EF37" s="171">
        <f>-'FS_Detail(M)'!EF206</f>
        <v>0</v>
      </c>
      <c r="EG37" s="171">
        <f>-'FS_Detail(M)'!EG206</f>
        <v>0</v>
      </c>
      <c r="EH37" s="171">
        <f>-'FS_Detail(M)'!EH206</f>
        <v>0</v>
      </c>
      <c r="EI37" s="171">
        <f>-'FS_Detail(M)'!EI206</f>
        <v>0</v>
      </c>
      <c r="EJ37" s="171">
        <f>-'FS_Detail(M)'!EJ206</f>
        <v>0</v>
      </c>
      <c r="EK37" s="171">
        <f>-'FS_Detail(M)'!EK206</f>
        <v>0</v>
      </c>
      <c r="EL37" s="171">
        <f>-'FS_Detail(M)'!EL206</f>
        <v>0</v>
      </c>
      <c r="EM37" s="171">
        <f>-'FS_Detail(M)'!EM206</f>
        <v>0</v>
      </c>
      <c r="EN37" s="171">
        <f>-'FS_Detail(M)'!EN206</f>
        <v>0</v>
      </c>
      <c r="EO37" s="171">
        <f>-'FS_Detail(M)'!EO206</f>
        <v>0</v>
      </c>
      <c r="EP37" s="171">
        <f>-'FS_Detail(M)'!EP206</f>
        <v>0</v>
      </c>
      <c r="EQ37" s="171">
        <f>-'FS_Detail(M)'!EQ206</f>
        <v>0</v>
      </c>
    </row>
    <row r="38" spans="2:147" ht="11.25" customHeight="1">
      <c r="B38" s="218"/>
      <c r="C38" s="163"/>
      <c r="D38" s="169" t="s">
        <v>192</v>
      </c>
      <c r="H38" s="146"/>
      <c r="I38" s="13"/>
      <c r="J38" s="171">
        <f>SUM(L38:EQ38)</f>
        <v>-260348.4087102178</v>
      </c>
      <c r="K38" s="98"/>
      <c r="L38" s="171">
        <f>-'FS_Detail(M)'!L211</f>
        <v>0</v>
      </c>
      <c r="M38" s="171">
        <f>-'FS_Detail(M)'!M211</f>
        <v>0</v>
      </c>
      <c r="N38" s="171">
        <f>-'FS_Detail(M)'!N211</f>
        <v>0</v>
      </c>
      <c r="O38" s="171">
        <f>-'FS_Detail(M)'!O211</f>
        <v>0</v>
      </c>
      <c r="P38" s="171">
        <f>-'FS_Detail(M)'!P211</f>
        <v>0</v>
      </c>
      <c r="Q38" s="171">
        <f>-'FS_Detail(M)'!Q211</f>
        <v>0</v>
      </c>
      <c r="R38" s="171">
        <f>-'FS_Detail(M)'!R211</f>
        <v>-13017.420435510887</v>
      </c>
      <c r="S38" s="171">
        <f>-'FS_Detail(M)'!S211</f>
        <v>0</v>
      </c>
      <c r="T38" s="171">
        <f>-'FS_Detail(M)'!T211</f>
        <v>0</v>
      </c>
      <c r="U38" s="171">
        <f>-'FS_Detail(M)'!U211</f>
        <v>0</v>
      </c>
      <c r="V38" s="171">
        <f>-'FS_Detail(M)'!V211</f>
        <v>0</v>
      </c>
      <c r="W38" s="171">
        <f>-'FS_Detail(M)'!W211</f>
        <v>0</v>
      </c>
      <c r="X38" s="171">
        <f>-'FS_Detail(M)'!X211</f>
        <v>-13017.420435510887</v>
      </c>
      <c r="Y38" s="171">
        <f>-'FS_Detail(M)'!Y211</f>
        <v>0</v>
      </c>
      <c r="Z38" s="171">
        <f>-'FS_Detail(M)'!Z211</f>
        <v>0</v>
      </c>
      <c r="AA38" s="171">
        <f>-'FS_Detail(M)'!AA211</f>
        <v>0</v>
      </c>
      <c r="AB38" s="171">
        <f>-'FS_Detail(M)'!AB211</f>
        <v>0</v>
      </c>
      <c r="AC38" s="171">
        <f>-'FS_Detail(M)'!AC211</f>
        <v>0</v>
      </c>
      <c r="AD38" s="171">
        <f>-'FS_Detail(M)'!AD211</f>
        <v>-13017.420435510887</v>
      </c>
      <c r="AE38" s="171">
        <f>-'FS_Detail(M)'!AE211</f>
        <v>0</v>
      </c>
      <c r="AF38" s="171">
        <f>-'FS_Detail(M)'!AF211</f>
        <v>0</v>
      </c>
      <c r="AG38" s="171">
        <f>-'FS_Detail(M)'!AG211</f>
        <v>0</v>
      </c>
      <c r="AH38" s="171">
        <f>-'FS_Detail(M)'!AH211</f>
        <v>0</v>
      </c>
      <c r="AI38" s="171">
        <f>-'FS_Detail(M)'!AI211</f>
        <v>0</v>
      </c>
      <c r="AJ38" s="171">
        <f>-'FS_Detail(M)'!AJ211</f>
        <v>-13017.420435510887</v>
      </c>
      <c r="AK38" s="171">
        <f>-'FS_Detail(M)'!AK211</f>
        <v>0</v>
      </c>
      <c r="AL38" s="171">
        <f>-'FS_Detail(M)'!AL211</f>
        <v>0</v>
      </c>
      <c r="AM38" s="171">
        <f>-'FS_Detail(M)'!AM211</f>
        <v>0</v>
      </c>
      <c r="AN38" s="171">
        <f>-'FS_Detail(M)'!AN211</f>
        <v>0</v>
      </c>
      <c r="AO38" s="171">
        <f>-'FS_Detail(M)'!AO211</f>
        <v>0</v>
      </c>
      <c r="AP38" s="171">
        <f>-'FS_Detail(M)'!AP211</f>
        <v>-13017.420435510887</v>
      </c>
      <c r="AQ38" s="171">
        <f>-'FS_Detail(M)'!AQ211</f>
        <v>0</v>
      </c>
      <c r="AR38" s="171">
        <f>-'FS_Detail(M)'!AR211</f>
        <v>0</v>
      </c>
      <c r="AS38" s="171">
        <f>-'FS_Detail(M)'!AS211</f>
        <v>0</v>
      </c>
      <c r="AT38" s="171">
        <f>-'FS_Detail(M)'!AT211</f>
        <v>0</v>
      </c>
      <c r="AU38" s="171">
        <f>-'FS_Detail(M)'!AU211</f>
        <v>0</v>
      </c>
      <c r="AV38" s="171">
        <f>-'FS_Detail(M)'!AV211</f>
        <v>-13017.420435510887</v>
      </c>
      <c r="AW38" s="171">
        <f>-'FS_Detail(M)'!AW211</f>
        <v>0</v>
      </c>
      <c r="AX38" s="171">
        <f>-'FS_Detail(M)'!AX211</f>
        <v>0</v>
      </c>
      <c r="AY38" s="171">
        <f>-'FS_Detail(M)'!AY211</f>
        <v>0</v>
      </c>
      <c r="AZ38" s="171">
        <f>-'FS_Detail(M)'!AZ211</f>
        <v>0</v>
      </c>
      <c r="BA38" s="171">
        <f>-'FS_Detail(M)'!BA211</f>
        <v>0</v>
      </c>
      <c r="BB38" s="171">
        <f>-'FS_Detail(M)'!BB211</f>
        <v>-13017.420435510887</v>
      </c>
      <c r="BC38" s="171">
        <f>-'FS_Detail(M)'!BC211</f>
        <v>0</v>
      </c>
      <c r="BD38" s="171">
        <f>-'FS_Detail(M)'!BD211</f>
        <v>0</v>
      </c>
      <c r="BE38" s="171">
        <f>-'FS_Detail(M)'!BE211</f>
        <v>0</v>
      </c>
      <c r="BF38" s="171">
        <f>-'FS_Detail(M)'!BF211</f>
        <v>0</v>
      </c>
      <c r="BG38" s="171">
        <f>-'FS_Detail(M)'!BG211</f>
        <v>0</v>
      </c>
      <c r="BH38" s="171">
        <f>-'FS_Detail(M)'!BH211</f>
        <v>-13017.420435510887</v>
      </c>
      <c r="BI38" s="171">
        <f>-'FS_Detail(M)'!BI211</f>
        <v>0</v>
      </c>
      <c r="BJ38" s="171">
        <f>-'FS_Detail(M)'!BJ211</f>
        <v>0</v>
      </c>
      <c r="BK38" s="171">
        <f>-'FS_Detail(M)'!BK211</f>
        <v>0</v>
      </c>
      <c r="BL38" s="171">
        <f>-'FS_Detail(M)'!BL211</f>
        <v>0</v>
      </c>
      <c r="BM38" s="171">
        <f>-'FS_Detail(M)'!BM211</f>
        <v>0</v>
      </c>
      <c r="BN38" s="171">
        <f>-'FS_Detail(M)'!BN211</f>
        <v>-13017.420435510887</v>
      </c>
      <c r="BO38" s="171">
        <f>-'FS_Detail(M)'!BO211</f>
        <v>0</v>
      </c>
      <c r="BP38" s="171">
        <f>-'FS_Detail(M)'!BP211</f>
        <v>0</v>
      </c>
      <c r="BQ38" s="171">
        <f>-'FS_Detail(M)'!BQ211</f>
        <v>0</v>
      </c>
      <c r="BR38" s="171">
        <f>-'FS_Detail(M)'!BR211</f>
        <v>0</v>
      </c>
      <c r="BS38" s="171">
        <f>-'FS_Detail(M)'!BS211</f>
        <v>0</v>
      </c>
      <c r="BT38" s="171">
        <f>-'FS_Detail(M)'!BT211</f>
        <v>-13017.420435510887</v>
      </c>
      <c r="BU38" s="171">
        <f>-'FS_Detail(M)'!BU211</f>
        <v>0</v>
      </c>
      <c r="BV38" s="171">
        <f>-'FS_Detail(M)'!BV211</f>
        <v>0</v>
      </c>
      <c r="BW38" s="171">
        <f>-'FS_Detail(M)'!BW211</f>
        <v>0</v>
      </c>
      <c r="BX38" s="171">
        <f>-'FS_Detail(M)'!BX211</f>
        <v>0</v>
      </c>
      <c r="BY38" s="171">
        <f>-'FS_Detail(M)'!BY211</f>
        <v>0</v>
      </c>
      <c r="BZ38" s="171">
        <f>-'FS_Detail(M)'!BZ211</f>
        <v>-13017.420435510887</v>
      </c>
      <c r="CA38" s="171">
        <f>-'FS_Detail(M)'!CA211</f>
        <v>0</v>
      </c>
      <c r="CB38" s="171">
        <f>-'FS_Detail(M)'!CB211</f>
        <v>0</v>
      </c>
      <c r="CC38" s="171">
        <f>-'FS_Detail(M)'!CC211</f>
        <v>0</v>
      </c>
      <c r="CD38" s="171">
        <f>-'FS_Detail(M)'!CD211</f>
        <v>0</v>
      </c>
      <c r="CE38" s="171">
        <f>-'FS_Detail(M)'!CE211</f>
        <v>0</v>
      </c>
      <c r="CF38" s="171">
        <f>-'FS_Detail(M)'!CF211</f>
        <v>-13017.420435510887</v>
      </c>
      <c r="CG38" s="171">
        <f>-'FS_Detail(M)'!CG211</f>
        <v>0</v>
      </c>
      <c r="CH38" s="171">
        <f>-'FS_Detail(M)'!CH211</f>
        <v>0</v>
      </c>
      <c r="CI38" s="171">
        <f>-'FS_Detail(M)'!CI211</f>
        <v>0</v>
      </c>
      <c r="CJ38" s="171">
        <f>-'FS_Detail(M)'!CJ211</f>
        <v>0</v>
      </c>
      <c r="CK38" s="171">
        <f>-'FS_Detail(M)'!CK211</f>
        <v>0</v>
      </c>
      <c r="CL38" s="171">
        <f>-'FS_Detail(M)'!CL211</f>
        <v>-13017.420435510887</v>
      </c>
      <c r="CM38" s="171">
        <f>-'FS_Detail(M)'!CM211</f>
        <v>0</v>
      </c>
      <c r="CN38" s="171">
        <f>-'FS_Detail(M)'!CN211</f>
        <v>0</v>
      </c>
      <c r="CO38" s="171">
        <f>-'FS_Detail(M)'!CO211</f>
        <v>0</v>
      </c>
      <c r="CP38" s="171">
        <f>-'FS_Detail(M)'!CP211</f>
        <v>0</v>
      </c>
      <c r="CQ38" s="171">
        <f>-'FS_Detail(M)'!CQ211</f>
        <v>0</v>
      </c>
      <c r="CR38" s="171">
        <f>-'FS_Detail(M)'!CR211</f>
        <v>-13017.420435510887</v>
      </c>
      <c r="CS38" s="171">
        <f>-'FS_Detail(M)'!CS211</f>
        <v>0</v>
      </c>
      <c r="CT38" s="171">
        <f>-'FS_Detail(M)'!CT211</f>
        <v>0</v>
      </c>
      <c r="CU38" s="171">
        <f>-'FS_Detail(M)'!CU211</f>
        <v>0</v>
      </c>
      <c r="CV38" s="171">
        <f>-'FS_Detail(M)'!CV211</f>
        <v>0</v>
      </c>
      <c r="CW38" s="171">
        <f>-'FS_Detail(M)'!CW211</f>
        <v>0</v>
      </c>
      <c r="CX38" s="171">
        <f>-'FS_Detail(M)'!CX211</f>
        <v>-13017.420435510887</v>
      </c>
      <c r="CY38" s="171">
        <f>-'FS_Detail(M)'!CY211</f>
        <v>0</v>
      </c>
      <c r="CZ38" s="171">
        <f>-'FS_Detail(M)'!CZ211</f>
        <v>0</v>
      </c>
      <c r="DA38" s="171">
        <f>-'FS_Detail(M)'!DA211</f>
        <v>0</v>
      </c>
      <c r="DB38" s="171">
        <f>-'FS_Detail(M)'!DB211</f>
        <v>0</v>
      </c>
      <c r="DC38" s="171">
        <f>-'FS_Detail(M)'!DC211</f>
        <v>0</v>
      </c>
      <c r="DD38" s="171">
        <f>-'FS_Detail(M)'!DD211</f>
        <v>-13017.420435510887</v>
      </c>
      <c r="DE38" s="171">
        <f>-'FS_Detail(M)'!DE211</f>
        <v>0</v>
      </c>
      <c r="DF38" s="171">
        <f>-'FS_Detail(M)'!DF211</f>
        <v>0</v>
      </c>
      <c r="DG38" s="171">
        <f>-'FS_Detail(M)'!DG211</f>
        <v>0</v>
      </c>
      <c r="DH38" s="171">
        <f>-'FS_Detail(M)'!DH211</f>
        <v>0</v>
      </c>
      <c r="DI38" s="171">
        <f>-'FS_Detail(M)'!DI211</f>
        <v>0</v>
      </c>
      <c r="DJ38" s="171">
        <f>-'FS_Detail(M)'!DJ211</f>
        <v>-13017.420435510887</v>
      </c>
      <c r="DK38" s="171">
        <f>-'FS_Detail(M)'!DK211</f>
        <v>0</v>
      </c>
      <c r="DL38" s="171">
        <f>-'FS_Detail(M)'!DL211</f>
        <v>0</v>
      </c>
      <c r="DM38" s="171">
        <f>-'FS_Detail(M)'!DM211</f>
        <v>0</v>
      </c>
      <c r="DN38" s="171">
        <f>-'FS_Detail(M)'!DN211</f>
        <v>0</v>
      </c>
      <c r="DO38" s="171">
        <f>-'FS_Detail(M)'!DO211</f>
        <v>0</v>
      </c>
      <c r="DP38" s="171">
        <f>-'FS_Detail(M)'!DP211</f>
        <v>-13017.420435510887</v>
      </c>
      <c r="DQ38" s="171">
        <f>-'FS_Detail(M)'!DQ211</f>
        <v>0</v>
      </c>
      <c r="DR38" s="171">
        <f>-'FS_Detail(M)'!DR211</f>
        <v>0</v>
      </c>
      <c r="DS38" s="171">
        <f>-'FS_Detail(M)'!DS211</f>
        <v>0</v>
      </c>
      <c r="DT38" s="171">
        <f>-'FS_Detail(M)'!DT211</f>
        <v>0</v>
      </c>
      <c r="DU38" s="171">
        <f>-'FS_Detail(M)'!DU211</f>
        <v>0</v>
      </c>
      <c r="DV38" s="171">
        <f>-'FS_Detail(M)'!DV211</f>
        <v>-13017.420435510887</v>
      </c>
      <c r="DW38" s="171">
        <f>-'FS_Detail(M)'!DW211</f>
        <v>0</v>
      </c>
      <c r="DX38" s="171">
        <f>-'FS_Detail(M)'!DX211</f>
        <v>0</v>
      </c>
      <c r="DY38" s="171">
        <f>-'FS_Detail(M)'!DY211</f>
        <v>0</v>
      </c>
      <c r="DZ38" s="171">
        <f>-'FS_Detail(M)'!DZ211</f>
        <v>0</v>
      </c>
      <c r="EA38" s="171">
        <f>-'FS_Detail(M)'!EA211</f>
        <v>0</v>
      </c>
      <c r="EB38" s="171">
        <f>-'FS_Detail(M)'!EB211</f>
        <v>-13017.420435510887</v>
      </c>
      <c r="EC38" s="171">
        <f>-'FS_Detail(M)'!EC211</f>
        <v>0</v>
      </c>
      <c r="ED38" s="171">
        <f>-'FS_Detail(M)'!ED211</f>
        <v>0</v>
      </c>
      <c r="EE38" s="171">
        <f>-'FS_Detail(M)'!EE211</f>
        <v>0</v>
      </c>
      <c r="EF38" s="171">
        <f>-'FS_Detail(M)'!EF211</f>
        <v>0</v>
      </c>
      <c r="EG38" s="171">
        <f>-'FS_Detail(M)'!EG211</f>
        <v>0</v>
      </c>
      <c r="EH38" s="171">
        <f>-'FS_Detail(M)'!EH211</f>
        <v>0</v>
      </c>
      <c r="EI38" s="171">
        <f>-'FS_Detail(M)'!EI211</f>
        <v>0</v>
      </c>
      <c r="EJ38" s="171">
        <f>-'FS_Detail(M)'!EJ211</f>
        <v>0</v>
      </c>
      <c r="EK38" s="171">
        <f>-'FS_Detail(M)'!EK211</f>
        <v>0</v>
      </c>
      <c r="EL38" s="171">
        <f>-'FS_Detail(M)'!EL211</f>
        <v>0</v>
      </c>
      <c r="EM38" s="171">
        <f>-'FS_Detail(M)'!EM211</f>
        <v>0</v>
      </c>
      <c r="EN38" s="171">
        <f>-'FS_Detail(M)'!EN211</f>
        <v>0</v>
      </c>
      <c r="EO38" s="171">
        <f>-'FS_Detail(M)'!EO211</f>
        <v>0</v>
      </c>
      <c r="EP38" s="171">
        <f>-'FS_Detail(M)'!EP211</f>
        <v>0</v>
      </c>
      <c r="EQ38" s="171">
        <f>-'FS_Detail(M)'!EQ211</f>
        <v>0</v>
      </c>
    </row>
    <row r="39" spans="2:147" ht="11.25" customHeight="1">
      <c r="B39" s="218"/>
      <c r="C39" s="163"/>
      <c r="D39" s="169" t="s">
        <v>533</v>
      </c>
      <c r="H39" s="146"/>
      <c r="I39" s="13"/>
      <c r="J39" s="171">
        <f>SUM(L39:EQ39)</f>
        <v>-788379.9119811256</v>
      </c>
      <c r="K39" s="98"/>
      <c r="L39" s="171">
        <f>-'FS_Detail(M)'!L196</f>
        <v>0</v>
      </c>
      <c r="M39" s="171">
        <f>-'FS_Detail(M)'!M196</f>
        <v>0</v>
      </c>
      <c r="N39" s="171">
        <f>-'FS_Detail(M)'!N196</f>
        <v>0</v>
      </c>
      <c r="O39" s="171">
        <f>-'FS_Detail(M)'!O196</f>
        <v>0</v>
      </c>
      <c r="P39" s="171">
        <f>-'FS_Detail(M)'!P196</f>
        <v>0</v>
      </c>
      <c r="Q39" s="171">
        <f>-'FS_Detail(M)'!Q196</f>
        <v>0</v>
      </c>
      <c r="R39" s="171">
        <f>-'FS_Detail(M)'!R196</f>
        <v>-36000</v>
      </c>
      <c r="S39" s="171">
        <f>-'FS_Detail(M)'!S196</f>
        <v>0</v>
      </c>
      <c r="T39" s="171">
        <f>-'FS_Detail(M)'!T196</f>
        <v>0</v>
      </c>
      <c r="U39" s="171">
        <f>-'FS_Detail(M)'!U196</f>
        <v>0</v>
      </c>
      <c r="V39" s="171">
        <f>-'FS_Detail(M)'!V196</f>
        <v>0</v>
      </c>
      <c r="W39" s="171">
        <f>-'FS_Detail(M)'!W196</f>
        <v>0</v>
      </c>
      <c r="X39" s="171">
        <f>-'FS_Detail(M)'!X196</f>
        <v>-36000</v>
      </c>
      <c r="Y39" s="171">
        <f>-'FS_Detail(M)'!Y196</f>
        <v>0</v>
      </c>
      <c r="Z39" s="171">
        <f>-'FS_Detail(M)'!Z196</f>
        <v>0</v>
      </c>
      <c r="AA39" s="171">
        <f>-'FS_Detail(M)'!AA196</f>
        <v>0</v>
      </c>
      <c r="AB39" s="171">
        <f>-'FS_Detail(M)'!AB196</f>
        <v>0</v>
      </c>
      <c r="AC39" s="171">
        <f>-'FS_Detail(M)'!AC196</f>
        <v>0</v>
      </c>
      <c r="AD39" s="171">
        <f>-'FS_Detail(M)'!AD196</f>
        <v>-36720</v>
      </c>
      <c r="AE39" s="171">
        <f>-'FS_Detail(M)'!AE196</f>
        <v>0</v>
      </c>
      <c r="AF39" s="171">
        <f>-'FS_Detail(M)'!AF196</f>
        <v>0</v>
      </c>
      <c r="AG39" s="171">
        <f>-'FS_Detail(M)'!AG196</f>
        <v>0</v>
      </c>
      <c r="AH39" s="171">
        <f>-'FS_Detail(M)'!AH196</f>
        <v>0</v>
      </c>
      <c r="AI39" s="171">
        <f>-'FS_Detail(M)'!AI196</f>
        <v>0</v>
      </c>
      <c r="AJ39" s="171">
        <f>-'FS_Detail(M)'!AJ196</f>
        <v>-36720</v>
      </c>
      <c r="AK39" s="171">
        <f>-'FS_Detail(M)'!AK196</f>
        <v>0</v>
      </c>
      <c r="AL39" s="171">
        <f>-'FS_Detail(M)'!AL196</f>
        <v>0</v>
      </c>
      <c r="AM39" s="171">
        <f>-'FS_Detail(M)'!AM196</f>
        <v>0</v>
      </c>
      <c r="AN39" s="171">
        <f>-'FS_Detail(M)'!AN196</f>
        <v>0</v>
      </c>
      <c r="AO39" s="171">
        <f>-'FS_Detail(M)'!AO196</f>
        <v>0</v>
      </c>
      <c r="AP39" s="171">
        <f>-'FS_Detail(M)'!AP196</f>
        <v>-37454.400000000001</v>
      </c>
      <c r="AQ39" s="171">
        <f>-'FS_Detail(M)'!AQ196</f>
        <v>0</v>
      </c>
      <c r="AR39" s="171">
        <f>-'FS_Detail(M)'!AR196</f>
        <v>0</v>
      </c>
      <c r="AS39" s="171">
        <f>-'FS_Detail(M)'!AS196</f>
        <v>0</v>
      </c>
      <c r="AT39" s="171">
        <f>-'FS_Detail(M)'!AT196</f>
        <v>0</v>
      </c>
      <c r="AU39" s="171">
        <f>-'FS_Detail(M)'!AU196</f>
        <v>0</v>
      </c>
      <c r="AV39" s="171">
        <f>-'FS_Detail(M)'!AV196</f>
        <v>-37454.400000000001</v>
      </c>
      <c r="AW39" s="171">
        <f>-'FS_Detail(M)'!AW196</f>
        <v>0</v>
      </c>
      <c r="AX39" s="171">
        <f>-'FS_Detail(M)'!AX196</f>
        <v>0</v>
      </c>
      <c r="AY39" s="171">
        <f>-'FS_Detail(M)'!AY196</f>
        <v>0</v>
      </c>
      <c r="AZ39" s="171">
        <f>-'FS_Detail(M)'!AZ196</f>
        <v>0</v>
      </c>
      <c r="BA39" s="171">
        <f>-'FS_Detail(M)'!BA196</f>
        <v>0</v>
      </c>
      <c r="BB39" s="171">
        <f>-'FS_Detail(M)'!BB196</f>
        <v>-38203.487999999998</v>
      </c>
      <c r="BC39" s="171">
        <f>-'FS_Detail(M)'!BC196</f>
        <v>0</v>
      </c>
      <c r="BD39" s="171">
        <f>-'FS_Detail(M)'!BD196</f>
        <v>0</v>
      </c>
      <c r="BE39" s="171">
        <f>-'FS_Detail(M)'!BE196</f>
        <v>0</v>
      </c>
      <c r="BF39" s="171">
        <f>-'FS_Detail(M)'!BF196</f>
        <v>0</v>
      </c>
      <c r="BG39" s="171">
        <f>-'FS_Detail(M)'!BG196</f>
        <v>0</v>
      </c>
      <c r="BH39" s="171">
        <f>-'FS_Detail(M)'!BH196</f>
        <v>-38203.487999999998</v>
      </c>
      <c r="BI39" s="171">
        <f>-'FS_Detail(M)'!BI196</f>
        <v>0</v>
      </c>
      <c r="BJ39" s="171">
        <f>-'FS_Detail(M)'!BJ196</f>
        <v>0</v>
      </c>
      <c r="BK39" s="171">
        <f>-'FS_Detail(M)'!BK196</f>
        <v>0</v>
      </c>
      <c r="BL39" s="171">
        <f>-'FS_Detail(M)'!BL196</f>
        <v>0</v>
      </c>
      <c r="BM39" s="171">
        <f>-'FS_Detail(M)'!BM196</f>
        <v>0</v>
      </c>
      <c r="BN39" s="171">
        <f>-'FS_Detail(M)'!BN196</f>
        <v>-38967.557760000003</v>
      </c>
      <c r="BO39" s="171">
        <f>-'FS_Detail(M)'!BO196</f>
        <v>0</v>
      </c>
      <c r="BP39" s="171">
        <f>-'FS_Detail(M)'!BP196</f>
        <v>0</v>
      </c>
      <c r="BQ39" s="171">
        <f>-'FS_Detail(M)'!BQ196</f>
        <v>0</v>
      </c>
      <c r="BR39" s="171">
        <f>-'FS_Detail(M)'!BR196</f>
        <v>0</v>
      </c>
      <c r="BS39" s="171">
        <f>-'FS_Detail(M)'!BS196</f>
        <v>0</v>
      </c>
      <c r="BT39" s="171">
        <f>-'FS_Detail(M)'!BT196</f>
        <v>-38967.557760000003</v>
      </c>
      <c r="BU39" s="171">
        <f>-'FS_Detail(M)'!BU196</f>
        <v>0</v>
      </c>
      <c r="BV39" s="171">
        <f>-'FS_Detail(M)'!BV196</f>
        <v>0</v>
      </c>
      <c r="BW39" s="171">
        <f>-'FS_Detail(M)'!BW196</f>
        <v>0</v>
      </c>
      <c r="BX39" s="171">
        <f>-'FS_Detail(M)'!BX196</f>
        <v>0</v>
      </c>
      <c r="BY39" s="171">
        <f>-'FS_Detail(M)'!BY196</f>
        <v>0</v>
      </c>
      <c r="BZ39" s="171">
        <f>-'FS_Detail(M)'!BZ196</f>
        <v>-39746.908915200002</v>
      </c>
      <c r="CA39" s="171">
        <f>-'FS_Detail(M)'!CA196</f>
        <v>0</v>
      </c>
      <c r="CB39" s="171">
        <f>-'FS_Detail(M)'!CB196</f>
        <v>0</v>
      </c>
      <c r="CC39" s="171">
        <f>-'FS_Detail(M)'!CC196</f>
        <v>0</v>
      </c>
      <c r="CD39" s="171">
        <f>-'FS_Detail(M)'!CD196</f>
        <v>0</v>
      </c>
      <c r="CE39" s="171">
        <f>-'FS_Detail(M)'!CE196</f>
        <v>0</v>
      </c>
      <c r="CF39" s="171">
        <f>-'FS_Detail(M)'!CF196</f>
        <v>-39746.908915200002</v>
      </c>
      <c r="CG39" s="171">
        <f>-'FS_Detail(M)'!CG196</f>
        <v>0</v>
      </c>
      <c r="CH39" s="171">
        <f>-'FS_Detail(M)'!CH196</f>
        <v>0</v>
      </c>
      <c r="CI39" s="171">
        <f>-'FS_Detail(M)'!CI196</f>
        <v>0</v>
      </c>
      <c r="CJ39" s="171">
        <f>-'FS_Detail(M)'!CJ196</f>
        <v>0</v>
      </c>
      <c r="CK39" s="171">
        <f>-'FS_Detail(M)'!CK196</f>
        <v>0</v>
      </c>
      <c r="CL39" s="171">
        <f>-'FS_Detail(M)'!CL196</f>
        <v>-40541.847093504002</v>
      </c>
      <c r="CM39" s="171">
        <f>-'FS_Detail(M)'!CM196</f>
        <v>0</v>
      </c>
      <c r="CN39" s="171">
        <f>-'FS_Detail(M)'!CN196</f>
        <v>0</v>
      </c>
      <c r="CO39" s="171">
        <f>-'FS_Detail(M)'!CO196</f>
        <v>0</v>
      </c>
      <c r="CP39" s="171">
        <f>-'FS_Detail(M)'!CP196</f>
        <v>0</v>
      </c>
      <c r="CQ39" s="171">
        <f>-'FS_Detail(M)'!CQ196</f>
        <v>0</v>
      </c>
      <c r="CR39" s="171">
        <f>-'FS_Detail(M)'!CR196</f>
        <v>-40541.847093504002</v>
      </c>
      <c r="CS39" s="171">
        <f>-'FS_Detail(M)'!CS196</f>
        <v>0</v>
      </c>
      <c r="CT39" s="171">
        <f>-'FS_Detail(M)'!CT196</f>
        <v>0</v>
      </c>
      <c r="CU39" s="171">
        <f>-'FS_Detail(M)'!CU196</f>
        <v>0</v>
      </c>
      <c r="CV39" s="171">
        <f>-'FS_Detail(M)'!CV196</f>
        <v>0</v>
      </c>
      <c r="CW39" s="171">
        <f>-'FS_Detail(M)'!CW196</f>
        <v>0</v>
      </c>
      <c r="CX39" s="171">
        <f>-'FS_Detail(M)'!CX196</f>
        <v>-41352.684035374077</v>
      </c>
      <c r="CY39" s="171">
        <f>-'FS_Detail(M)'!CY196</f>
        <v>0</v>
      </c>
      <c r="CZ39" s="171">
        <f>-'FS_Detail(M)'!CZ196</f>
        <v>0</v>
      </c>
      <c r="DA39" s="171">
        <f>-'FS_Detail(M)'!DA196</f>
        <v>0</v>
      </c>
      <c r="DB39" s="171">
        <f>-'FS_Detail(M)'!DB196</f>
        <v>0</v>
      </c>
      <c r="DC39" s="171">
        <f>-'FS_Detail(M)'!DC196</f>
        <v>0</v>
      </c>
      <c r="DD39" s="171">
        <f>-'FS_Detail(M)'!DD196</f>
        <v>-41352.684035374077</v>
      </c>
      <c r="DE39" s="171">
        <f>-'FS_Detail(M)'!DE196</f>
        <v>0</v>
      </c>
      <c r="DF39" s="171">
        <f>-'FS_Detail(M)'!DF196</f>
        <v>0</v>
      </c>
      <c r="DG39" s="171">
        <f>-'FS_Detail(M)'!DG196</f>
        <v>0</v>
      </c>
      <c r="DH39" s="171">
        <f>-'FS_Detail(M)'!DH196</f>
        <v>0</v>
      </c>
      <c r="DI39" s="171">
        <f>-'FS_Detail(M)'!DI196</f>
        <v>0</v>
      </c>
      <c r="DJ39" s="171">
        <f>-'FS_Detail(M)'!DJ196</f>
        <v>-42179.737716081559</v>
      </c>
      <c r="DK39" s="171">
        <f>-'FS_Detail(M)'!DK196</f>
        <v>0</v>
      </c>
      <c r="DL39" s="171">
        <f>-'FS_Detail(M)'!DL196</f>
        <v>0</v>
      </c>
      <c r="DM39" s="171">
        <f>-'FS_Detail(M)'!DM196</f>
        <v>0</v>
      </c>
      <c r="DN39" s="171">
        <f>-'FS_Detail(M)'!DN196</f>
        <v>0</v>
      </c>
      <c r="DO39" s="171">
        <f>-'FS_Detail(M)'!DO196</f>
        <v>0</v>
      </c>
      <c r="DP39" s="171">
        <f>-'FS_Detail(M)'!DP196</f>
        <v>-42179.737716081559</v>
      </c>
      <c r="DQ39" s="171">
        <f>-'FS_Detail(M)'!DQ196</f>
        <v>0</v>
      </c>
      <c r="DR39" s="171">
        <f>-'FS_Detail(M)'!DR196</f>
        <v>0</v>
      </c>
      <c r="DS39" s="171">
        <f>-'FS_Detail(M)'!DS196</f>
        <v>0</v>
      </c>
      <c r="DT39" s="171">
        <f>-'FS_Detail(M)'!DT196</f>
        <v>0</v>
      </c>
      <c r="DU39" s="171">
        <f>-'FS_Detail(M)'!DU196</f>
        <v>0</v>
      </c>
      <c r="DV39" s="171">
        <f>-'FS_Detail(M)'!DV196</f>
        <v>-43023.332470403184</v>
      </c>
      <c r="DW39" s="171">
        <f>-'FS_Detail(M)'!DW196</f>
        <v>0</v>
      </c>
      <c r="DX39" s="171">
        <f>-'FS_Detail(M)'!DX196</f>
        <v>0</v>
      </c>
      <c r="DY39" s="171">
        <f>-'FS_Detail(M)'!DY196</f>
        <v>0</v>
      </c>
      <c r="DZ39" s="171">
        <f>-'FS_Detail(M)'!DZ196</f>
        <v>0</v>
      </c>
      <c r="EA39" s="171">
        <f>-'FS_Detail(M)'!EA196</f>
        <v>0</v>
      </c>
      <c r="EB39" s="171">
        <f>-'FS_Detail(M)'!EB196</f>
        <v>-43023.332470403184</v>
      </c>
      <c r="EC39" s="171">
        <f>-'FS_Detail(M)'!EC196</f>
        <v>0</v>
      </c>
      <c r="ED39" s="171">
        <f>-'FS_Detail(M)'!ED196</f>
        <v>0</v>
      </c>
      <c r="EE39" s="171">
        <f>-'FS_Detail(M)'!EE196</f>
        <v>0</v>
      </c>
      <c r="EF39" s="171">
        <f>-'FS_Detail(M)'!EF196</f>
        <v>0</v>
      </c>
      <c r="EG39" s="171">
        <f>-'FS_Detail(M)'!EG196</f>
        <v>0</v>
      </c>
      <c r="EH39" s="171">
        <f>-'FS_Detail(M)'!EH196</f>
        <v>0</v>
      </c>
      <c r="EI39" s="171">
        <f>-'FS_Detail(M)'!EI196</f>
        <v>0</v>
      </c>
      <c r="EJ39" s="171">
        <f>-'FS_Detail(M)'!EJ196</f>
        <v>0</v>
      </c>
      <c r="EK39" s="171">
        <f>-'FS_Detail(M)'!EK196</f>
        <v>0</v>
      </c>
      <c r="EL39" s="171">
        <f>-'FS_Detail(M)'!EL196</f>
        <v>0</v>
      </c>
      <c r="EM39" s="171">
        <f>-'FS_Detail(M)'!EM196</f>
        <v>0</v>
      </c>
      <c r="EN39" s="171">
        <f>-'FS_Detail(M)'!EN196</f>
        <v>0</v>
      </c>
      <c r="EO39" s="171">
        <f>-'FS_Detail(M)'!EO196</f>
        <v>0</v>
      </c>
      <c r="EP39" s="171">
        <f>-'FS_Detail(M)'!EP196</f>
        <v>0</v>
      </c>
      <c r="EQ39" s="171">
        <f>-'FS_Detail(M)'!EQ196</f>
        <v>0</v>
      </c>
    </row>
    <row r="40" spans="2:147" ht="11.25" customHeight="1">
      <c r="B40" s="218"/>
      <c r="C40" s="158" t="s">
        <v>193</v>
      </c>
      <c r="D40" s="159"/>
      <c r="E40" s="159"/>
      <c r="F40" s="159"/>
      <c r="G40" s="159"/>
      <c r="H40" s="160"/>
      <c r="I40" s="219"/>
      <c r="J40" s="220">
        <f>SUM(J41:J48)</f>
        <v>-98581637.533343479</v>
      </c>
      <c r="K40" s="98"/>
      <c r="L40" s="162">
        <f>SUM(L41:L48)</f>
        <v>0</v>
      </c>
      <c r="M40" s="162">
        <f t="shared" ref="M40:BX40" si="21">SUM(M41:M48)</f>
        <v>0</v>
      </c>
      <c r="N40" s="162">
        <f t="shared" si="21"/>
        <v>0</v>
      </c>
      <c r="O40" s="162">
        <f t="shared" si="21"/>
        <v>-2624637.5333434851</v>
      </c>
      <c r="P40" s="162">
        <f t="shared" si="21"/>
        <v>0</v>
      </c>
      <c r="Q40" s="162">
        <f t="shared" si="21"/>
        <v>0</v>
      </c>
      <c r="R40" s="162">
        <f t="shared" si="21"/>
        <v>-2480000</v>
      </c>
      <c r="S40" s="162">
        <f t="shared" si="21"/>
        <v>0</v>
      </c>
      <c r="T40" s="162">
        <f t="shared" si="21"/>
        <v>0</v>
      </c>
      <c r="U40" s="162">
        <f t="shared" si="21"/>
        <v>-2480000</v>
      </c>
      <c r="V40" s="162">
        <f t="shared" si="21"/>
        <v>0</v>
      </c>
      <c r="W40" s="162">
        <f t="shared" si="21"/>
        <v>0</v>
      </c>
      <c r="X40" s="162">
        <f t="shared" si="21"/>
        <v>-2480000</v>
      </c>
      <c r="Y40" s="162">
        <f t="shared" si="21"/>
        <v>0</v>
      </c>
      <c r="Z40" s="162">
        <f t="shared" si="21"/>
        <v>0</v>
      </c>
      <c r="AA40" s="162">
        <f t="shared" si="21"/>
        <v>-2480000</v>
      </c>
      <c r="AB40" s="162">
        <f t="shared" si="21"/>
        <v>0</v>
      </c>
      <c r="AC40" s="162">
        <f t="shared" si="21"/>
        <v>0</v>
      </c>
      <c r="AD40" s="162">
        <f t="shared" si="21"/>
        <v>-2480000</v>
      </c>
      <c r="AE40" s="162">
        <f t="shared" si="21"/>
        <v>0</v>
      </c>
      <c r="AF40" s="162">
        <f t="shared" si="21"/>
        <v>0</v>
      </c>
      <c r="AG40" s="162">
        <f t="shared" si="21"/>
        <v>-2480000</v>
      </c>
      <c r="AH40" s="162">
        <f t="shared" si="21"/>
        <v>0</v>
      </c>
      <c r="AI40" s="162">
        <f t="shared" si="21"/>
        <v>0</v>
      </c>
      <c r="AJ40" s="162">
        <f t="shared" si="21"/>
        <v>-2480000</v>
      </c>
      <c r="AK40" s="162">
        <f t="shared" si="21"/>
        <v>0</v>
      </c>
      <c r="AL40" s="162">
        <f t="shared" si="21"/>
        <v>0</v>
      </c>
      <c r="AM40" s="162">
        <f t="shared" si="21"/>
        <v>-2556000</v>
      </c>
      <c r="AN40" s="162">
        <f t="shared" si="21"/>
        <v>0</v>
      </c>
      <c r="AO40" s="162">
        <f t="shared" si="21"/>
        <v>0</v>
      </c>
      <c r="AP40" s="162">
        <f t="shared" si="21"/>
        <v>-2556000</v>
      </c>
      <c r="AQ40" s="162">
        <f t="shared" si="21"/>
        <v>0</v>
      </c>
      <c r="AR40" s="162">
        <f t="shared" si="21"/>
        <v>0</v>
      </c>
      <c r="AS40" s="162">
        <f t="shared" si="21"/>
        <v>-2556000</v>
      </c>
      <c r="AT40" s="162">
        <f t="shared" si="21"/>
        <v>0</v>
      </c>
      <c r="AU40" s="162">
        <f t="shared" si="21"/>
        <v>0</v>
      </c>
      <c r="AV40" s="162">
        <f t="shared" si="21"/>
        <v>-2556000</v>
      </c>
      <c r="AW40" s="162">
        <f t="shared" si="21"/>
        <v>0</v>
      </c>
      <c r="AX40" s="162">
        <f t="shared" si="21"/>
        <v>0</v>
      </c>
      <c r="AY40" s="162">
        <f t="shared" si="21"/>
        <v>-2556000</v>
      </c>
      <c r="AZ40" s="162">
        <f t="shared" si="21"/>
        <v>0</v>
      </c>
      <c r="BA40" s="162">
        <f t="shared" si="21"/>
        <v>0</v>
      </c>
      <c r="BB40" s="162">
        <f t="shared" si="21"/>
        <v>-2556000</v>
      </c>
      <c r="BC40" s="162">
        <f t="shared" si="21"/>
        <v>0</v>
      </c>
      <c r="BD40" s="162">
        <f t="shared" si="21"/>
        <v>0</v>
      </c>
      <c r="BE40" s="162">
        <f t="shared" si="21"/>
        <v>-2556000</v>
      </c>
      <c r="BF40" s="162">
        <f t="shared" si="21"/>
        <v>0</v>
      </c>
      <c r="BG40" s="162">
        <f t="shared" si="21"/>
        <v>0</v>
      </c>
      <c r="BH40" s="162">
        <f t="shared" si="21"/>
        <v>-2556000</v>
      </c>
      <c r="BI40" s="162">
        <f t="shared" si="21"/>
        <v>0</v>
      </c>
      <c r="BJ40" s="162">
        <f t="shared" si="21"/>
        <v>0</v>
      </c>
      <c r="BK40" s="162">
        <f t="shared" si="21"/>
        <v>-2556000</v>
      </c>
      <c r="BL40" s="162">
        <f t="shared" si="21"/>
        <v>0</v>
      </c>
      <c r="BM40" s="162">
        <f t="shared" si="21"/>
        <v>0</v>
      </c>
      <c r="BN40" s="162">
        <f t="shared" si="21"/>
        <v>-2556000</v>
      </c>
      <c r="BO40" s="162">
        <f t="shared" si="21"/>
        <v>0</v>
      </c>
      <c r="BP40" s="162">
        <f t="shared" si="21"/>
        <v>0</v>
      </c>
      <c r="BQ40" s="162">
        <f t="shared" si="21"/>
        <v>-2556000</v>
      </c>
      <c r="BR40" s="162">
        <f t="shared" si="21"/>
        <v>0</v>
      </c>
      <c r="BS40" s="162">
        <f t="shared" si="21"/>
        <v>0</v>
      </c>
      <c r="BT40" s="162">
        <f t="shared" si="21"/>
        <v>-2556000</v>
      </c>
      <c r="BU40" s="162">
        <f t="shared" si="21"/>
        <v>0</v>
      </c>
      <c r="BV40" s="162">
        <f t="shared" si="21"/>
        <v>0</v>
      </c>
      <c r="BW40" s="162">
        <f t="shared" si="21"/>
        <v>-2396250</v>
      </c>
      <c r="BX40" s="162">
        <f t="shared" si="21"/>
        <v>0</v>
      </c>
      <c r="BY40" s="162">
        <f t="shared" ref="BY40:EJ40" si="22">SUM(BY41:BY48)</f>
        <v>0</v>
      </c>
      <c r="BZ40" s="162">
        <f t="shared" si="22"/>
        <v>-2396250</v>
      </c>
      <c r="CA40" s="162">
        <f t="shared" si="22"/>
        <v>0</v>
      </c>
      <c r="CB40" s="162">
        <f t="shared" si="22"/>
        <v>0</v>
      </c>
      <c r="CC40" s="162">
        <f t="shared" si="22"/>
        <v>-2396250</v>
      </c>
      <c r="CD40" s="162">
        <f t="shared" si="22"/>
        <v>0</v>
      </c>
      <c r="CE40" s="162">
        <f t="shared" si="22"/>
        <v>0</v>
      </c>
      <c r="CF40" s="162">
        <f t="shared" si="22"/>
        <v>-2396250</v>
      </c>
      <c r="CG40" s="162">
        <f t="shared" si="22"/>
        <v>0</v>
      </c>
      <c r="CH40" s="162">
        <f t="shared" si="22"/>
        <v>0</v>
      </c>
      <c r="CI40" s="162">
        <f t="shared" si="22"/>
        <v>-2396250</v>
      </c>
      <c r="CJ40" s="162">
        <f t="shared" si="22"/>
        <v>0</v>
      </c>
      <c r="CK40" s="162">
        <f t="shared" si="22"/>
        <v>0</v>
      </c>
      <c r="CL40" s="162">
        <f t="shared" si="22"/>
        <v>-2396250</v>
      </c>
      <c r="CM40" s="162">
        <f t="shared" si="22"/>
        <v>0</v>
      </c>
      <c r="CN40" s="162">
        <f t="shared" si="22"/>
        <v>0</v>
      </c>
      <c r="CO40" s="162">
        <f t="shared" si="22"/>
        <v>-2396250</v>
      </c>
      <c r="CP40" s="162">
        <f t="shared" si="22"/>
        <v>0</v>
      </c>
      <c r="CQ40" s="162">
        <f t="shared" si="22"/>
        <v>0</v>
      </c>
      <c r="CR40" s="162">
        <f t="shared" si="22"/>
        <v>-2396250</v>
      </c>
      <c r="CS40" s="162">
        <f t="shared" si="22"/>
        <v>0</v>
      </c>
      <c r="CT40" s="162">
        <f t="shared" si="22"/>
        <v>0</v>
      </c>
      <c r="CU40" s="162">
        <f t="shared" si="22"/>
        <v>-2396250</v>
      </c>
      <c r="CV40" s="162">
        <f t="shared" si="22"/>
        <v>0</v>
      </c>
      <c r="CW40" s="162">
        <f t="shared" si="22"/>
        <v>0</v>
      </c>
      <c r="CX40" s="162">
        <f t="shared" si="22"/>
        <v>-2396250</v>
      </c>
      <c r="CY40" s="162">
        <f t="shared" si="22"/>
        <v>0</v>
      </c>
      <c r="CZ40" s="162">
        <f t="shared" si="22"/>
        <v>0</v>
      </c>
      <c r="DA40" s="162">
        <f t="shared" si="22"/>
        <v>-2396250</v>
      </c>
      <c r="DB40" s="162">
        <f t="shared" si="22"/>
        <v>0</v>
      </c>
      <c r="DC40" s="162">
        <f t="shared" si="22"/>
        <v>0</v>
      </c>
      <c r="DD40" s="162">
        <f t="shared" si="22"/>
        <v>-2396250</v>
      </c>
      <c r="DE40" s="162">
        <f t="shared" si="22"/>
        <v>0</v>
      </c>
      <c r="DF40" s="162">
        <f t="shared" si="22"/>
        <v>0</v>
      </c>
      <c r="DG40" s="162">
        <f t="shared" si="22"/>
        <v>-2396250</v>
      </c>
      <c r="DH40" s="162">
        <f t="shared" si="22"/>
        <v>0</v>
      </c>
      <c r="DI40" s="162">
        <f t="shared" si="22"/>
        <v>0</v>
      </c>
      <c r="DJ40" s="162">
        <f t="shared" si="22"/>
        <v>-2396250</v>
      </c>
      <c r="DK40" s="162">
        <f t="shared" si="22"/>
        <v>0</v>
      </c>
      <c r="DL40" s="162">
        <f t="shared" si="22"/>
        <v>0</v>
      </c>
      <c r="DM40" s="162">
        <f t="shared" si="22"/>
        <v>-2396250</v>
      </c>
      <c r="DN40" s="162">
        <f t="shared" si="22"/>
        <v>0</v>
      </c>
      <c r="DO40" s="162">
        <f t="shared" si="22"/>
        <v>0</v>
      </c>
      <c r="DP40" s="162">
        <f t="shared" si="22"/>
        <v>-2396250</v>
      </c>
      <c r="DQ40" s="162">
        <f t="shared" si="22"/>
        <v>0</v>
      </c>
      <c r="DR40" s="162">
        <f t="shared" si="22"/>
        <v>0</v>
      </c>
      <c r="DS40" s="162">
        <f t="shared" si="22"/>
        <v>-2396250</v>
      </c>
      <c r="DT40" s="162">
        <f t="shared" si="22"/>
        <v>0</v>
      </c>
      <c r="DU40" s="162">
        <f t="shared" si="22"/>
        <v>0</v>
      </c>
      <c r="DV40" s="162">
        <f t="shared" si="22"/>
        <v>-2396250</v>
      </c>
      <c r="DW40" s="162">
        <f t="shared" si="22"/>
        <v>0</v>
      </c>
      <c r="DX40" s="162">
        <f t="shared" si="22"/>
        <v>0</v>
      </c>
      <c r="DY40" s="162">
        <f t="shared" si="22"/>
        <v>-2396250</v>
      </c>
      <c r="DZ40" s="162">
        <f t="shared" si="22"/>
        <v>0</v>
      </c>
      <c r="EA40" s="162">
        <f t="shared" si="22"/>
        <v>0</v>
      </c>
      <c r="EB40" s="162">
        <f t="shared" si="22"/>
        <v>-2396250</v>
      </c>
      <c r="EC40" s="162">
        <f t="shared" si="22"/>
        <v>0</v>
      </c>
      <c r="ED40" s="162">
        <f t="shared" si="22"/>
        <v>0</v>
      </c>
      <c r="EE40" s="162">
        <f t="shared" si="22"/>
        <v>0</v>
      </c>
      <c r="EF40" s="162">
        <f t="shared" si="22"/>
        <v>0</v>
      </c>
      <c r="EG40" s="162">
        <f t="shared" si="22"/>
        <v>0</v>
      </c>
      <c r="EH40" s="162">
        <f t="shared" si="22"/>
        <v>0</v>
      </c>
      <c r="EI40" s="162">
        <f t="shared" si="22"/>
        <v>0</v>
      </c>
      <c r="EJ40" s="162">
        <f t="shared" si="22"/>
        <v>0</v>
      </c>
      <c r="EK40" s="162">
        <f t="shared" ref="EK40:EQ40" si="23">SUM(EK41:EK48)</f>
        <v>0</v>
      </c>
      <c r="EL40" s="162">
        <f t="shared" si="23"/>
        <v>0</v>
      </c>
      <c r="EM40" s="162">
        <f t="shared" si="23"/>
        <v>0</v>
      </c>
      <c r="EN40" s="162">
        <f t="shared" si="23"/>
        <v>0</v>
      </c>
      <c r="EO40" s="162">
        <f t="shared" si="23"/>
        <v>0</v>
      </c>
      <c r="EP40" s="162">
        <f t="shared" si="23"/>
        <v>0</v>
      </c>
      <c r="EQ40" s="162">
        <f t="shared" si="23"/>
        <v>0</v>
      </c>
    </row>
    <row r="41" spans="2:147" ht="11.25" customHeight="1">
      <c r="B41" s="218"/>
      <c r="C41" s="163"/>
      <c r="D41" s="164" t="s">
        <v>466</v>
      </c>
      <c r="E41" s="165"/>
      <c r="F41" s="165"/>
      <c r="G41" s="165"/>
      <c r="H41" s="166"/>
      <c r="I41" s="221"/>
      <c r="J41" s="168">
        <f t="shared" ref="J41:J48" si="24">SUM(L41:EQ41)</f>
        <v>-15280000</v>
      </c>
      <c r="K41" s="98"/>
      <c r="L41" s="168">
        <f>-'FS_Detail(M)'!L101</f>
        <v>0</v>
      </c>
      <c r="M41" s="168">
        <f>-'FS_Detail(M)'!M101</f>
        <v>0</v>
      </c>
      <c r="N41" s="168">
        <f>-'FS_Detail(M)'!N101</f>
        <v>0</v>
      </c>
      <c r="O41" s="168">
        <f>-'FS_Detail(M)'!O101</f>
        <v>-1910000</v>
      </c>
      <c r="P41" s="168">
        <f>-'FS_Detail(M)'!P101</f>
        <v>0</v>
      </c>
      <c r="Q41" s="168">
        <f>-'FS_Detail(M)'!Q101</f>
        <v>0</v>
      </c>
      <c r="R41" s="168">
        <f>-'FS_Detail(M)'!R101</f>
        <v>-1910000</v>
      </c>
      <c r="S41" s="168">
        <f>-'FS_Detail(M)'!S101</f>
        <v>0</v>
      </c>
      <c r="T41" s="168">
        <f>-'FS_Detail(M)'!T101</f>
        <v>0</v>
      </c>
      <c r="U41" s="168">
        <f>-'FS_Detail(M)'!U101</f>
        <v>-1910000</v>
      </c>
      <c r="V41" s="168">
        <f>-'FS_Detail(M)'!V101</f>
        <v>0</v>
      </c>
      <c r="W41" s="168">
        <f>-'FS_Detail(M)'!W101</f>
        <v>0</v>
      </c>
      <c r="X41" s="168">
        <f>-'FS_Detail(M)'!X101</f>
        <v>-1910000</v>
      </c>
      <c r="Y41" s="168">
        <f>-'FS_Detail(M)'!Y101</f>
        <v>0</v>
      </c>
      <c r="Z41" s="168">
        <f>-'FS_Detail(M)'!Z101</f>
        <v>0</v>
      </c>
      <c r="AA41" s="168">
        <f>-'FS_Detail(M)'!AA101</f>
        <v>-1910000</v>
      </c>
      <c r="AB41" s="168">
        <f>-'FS_Detail(M)'!AB101</f>
        <v>0</v>
      </c>
      <c r="AC41" s="168">
        <f>-'FS_Detail(M)'!AC101</f>
        <v>0</v>
      </c>
      <c r="AD41" s="168">
        <f>-'FS_Detail(M)'!AD101</f>
        <v>-1910000</v>
      </c>
      <c r="AE41" s="168">
        <f>-'FS_Detail(M)'!AE101</f>
        <v>0</v>
      </c>
      <c r="AF41" s="168">
        <f>-'FS_Detail(M)'!AF101</f>
        <v>0</v>
      </c>
      <c r="AG41" s="168">
        <f>-'FS_Detail(M)'!AG101</f>
        <v>-1910000</v>
      </c>
      <c r="AH41" s="168">
        <f>-'FS_Detail(M)'!AH101</f>
        <v>0</v>
      </c>
      <c r="AI41" s="168">
        <f>-'FS_Detail(M)'!AI101</f>
        <v>0</v>
      </c>
      <c r="AJ41" s="168">
        <f>-'FS_Detail(M)'!AJ101</f>
        <v>-1910000</v>
      </c>
      <c r="AK41" s="168">
        <f>-'FS_Detail(M)'!AK101</f>
        <v>0</v>
      </c>
      <c r="AL41" s="168">
        <f>-'FS_Detail(M)'!AL101</f>
        <v>0</v>
      </c>
      <c r="AM41" s="168">
        <f>-'FS_Detail(M)'!AM101</f>
        <v>0</v>
      </c>
      <c r="AN41" s="168">
        <f>-'FS_Detail(M)'!AN101</f>
        <v>0</v>
      </c>
      <c r="AO41" s="168">
        <f>-'FS_Detail(M)'!AO101</f>
        <v>0</v>
      </c>
      <c r="AP41" s="168">
        <f>-'FS_Detail(M)'!AP101</f>
        <v>0</v>
      </c>
      <c r="AQ41" s="168">
        <f>-'FS_Detail(M)'!AQ101</f>
        <v>0</v>
      </c>
      <c r="AR41" s="168">
        <f>-'FS_Detail(M)'!AR101</f>
        <v>0</v>
      </c>
      <c r="AS41" s="168">
        <f>-'FS_Detail(M)'!AS101</f>
        <v>0</v>
      </c>
      <c r="AT41" s="168">
        <f>-'FS_Detail(M)'!AT101</f>
        <v>0</v>
      </c>
      <c r="AU41" s="168">
        <f>-'FS_Detail(M)'!AU101</f>
        <v>0</v>
      </c>
      <c r="AV41" s="168">
        <f>-'FS_Detail(M)'!AV101</f>
        <v>0</v>
      </c>
      <c r="AW41" s="168">
        <f>-'FS_Detail(M)'!AW101</f>
        <v>0</v>
      </c>
      <c r="AX41" s="168">
        <f>-'FS_Detail(M)'!AX101</f>
        <v>0</v>
      </c>
      <c r="AY41" s="168">
        <f>-'FS_Detail(M)'!AY101</f>
        <v>0</v>
      </c>
      <c r="AZ41" s="168">
        <f>-'FS_Detail(M)'!AZ101</f>
        <v>0</v>
      </c>
      <c r="BA41" s="168">
        <f>-'FS_Detail(M)'!BA101</f>
        <v>0</v>
      </c>
      <c r="BB41" s="168">
        <f>-'FS_Detail(M)'!BB101</f>
        <v>0</v>
      </c>
      <c r="BC41" s="168">
        <f>-'FS_Detail(M)'!BC101</f>
        <v>0</v>
      </c>
      <c r="BD41" s="168">
        <f>-'FS_Detail(M)'!BD101</f>
        <v>0</v>
      </c>
      <c r="BE41" s="168">
        <f>-'FS_Detail(M)'!BE101</f>
        <v>0</v>
      </c>
      <c r="BF41" s="168">
        <f>-'FS_Detail(M)'!BF101</f>
        <v>0</v>
      </c>
      <c r="BG41" s="168">
        <f>-'FS_Detail(M)'!BG101</f>
        <v>0</v>
      </c>
      <c r="BH41" s="168">
        <f>-'FS_Detail(M)'!BH101</f>
        <v>0</v>
      </c>
      <c r="BI41" s="168">
        <f>-'FS_Detail(M)'!BI101</f>
        <v>0</v>
      </c>
      <c r="BJ41" s="168">
        <f>-'FS_Detail(M)'!BJ101</f>
        <v>0</v>
      </c>
      <c r="BK41" s="168">
        <f>-'FS_Detail(M)'!BK101</f>
        <v>0</v>
      </c>
      <c r="BL41" s="168">
        <f>-'FS_Detail(M)'!BL101</f>
        <v>0</v>
      </c>
      <c r="BM41" s="168">
        <f>-'FS_Detail(M)'!BM101</f>
        <v>0</v>
      </c>
      <c r="BN41" s="168">
        <f>-'FS_Detail(M)'!BN101</f>
        <v>0</v>
      </c>
      <c r="BO41" s="168">
        <f>-'FS_Detail(M)'!BO101</f>
        <v>0</v>
      </c>
      <c r="BP41" s="168">
        <f>-'FS_Detail(M)'!BP101</f>
        <v>0</v>
      </c>
      <c r="BQ41" s="168">
        <f>-'FS_Detail(M)'!BQ101</f>
        <v>0</v>
      </c>
      <c r="BR41" s="168">
        <f>-'FS_Detail(M)'!BR101</f>
        <v>0</v>
      </c>
      <c r="BS41" s="168">
        <f>-'FS_Detail(M)'!BS101</f>
        <v>0</v>
      </c>
      <c r="BT41" s="168">
        <f>-'FS_Detail(M)'!BT101</f>
        <v>0</v>
      </c>
      <c r="BU41" s="168">
        <f>-'FS_Detail(M)'!BU101</f>
        <v>0</v>
      </c>
      <c r="BV41" s="168">
        <f>-'FS_Detail(M)'!BV101</f>
        <v>0</v>
      </c>
      <c r="BW41" s="168">
        <f>-'FS_Detail(M)'!BW101</f>
        <v>0</v>
      </c>
      <c r="BX41" s="168">
        <f>-'FS_Detail(M)'!BX101</f>
        <v>0</v>
      </c>
      <c r="BY41" s="168">
        <f>-'FS_Detail(M)'!BY101</f>
        <v>0</v>
      </c>
      <c r="BZ41" s="168">
        <f>-'FS_Detail(M)'!BZ101</f>
        <v>0</v>
      </c>
      <c r="CA41" s="168">
        <f>-'FS_Detail(M)'!CA101</f>
        <v>0</v>
      </c>
      <c r="CB41" s="168">
        <f>-'FS_Detail(M)'!CB101</f>
        <v>0</v>
      </c>
      <c r="CC41" s="168">
        <f>-'FS_Detail(M)'!CC101</f>
        <v>0</v>
      </c>
      <c r="CD41" s="168">
        <f>-'FS_Detail(M)'!CD101</f>
        <v>0</v>
      </c>
      <c r="CE41" s="168">
        <f>-'FS_Detail(M)'!CE101</f>
        <v>0</v>
      </c>
      <c r="CF41" s="168">
        <f>-'FS_Detail(M)'!CF101</f>
        <v>0</v>
      </c>
      <c r="CG41" s="168">
        <f>-'FS_Detail(M)'!CG101</f>
        <v>0</v>
      </c>
      <c r="CH41" s="168">
        <f>-'FS_Detail(M)'!CH101</f>
        <v>0</v>
      </c>
      <c r="CI41" s="168">
        <f>-'FS_Detail(M)'!CI101</f>
        <v>0</v>
      </c>
      <c r="CJ41" s="168">
        <f>-'FS_Detail(M)'!CJ101</f>
        <v>0</v>
      </c>
      <c r="CK41" s="168">
        <f>-'FS_Detail(M)'!CK101</f>
        <v>0</v>
      </c>
      <c r="CL41" s="168">
        <f>-'FS_Detail(M)'!CL101</f>
        <v>0</v>
      </c>
      <c r="CM41" s="168">
        <f>-'FS_Detail(M)'!CM101</f>
        <v>0</v>
      </c>
      <c r="CN41" s="168">
        <f>-'FS_Detail(M)'!CN101</f>
        <v>0</v>
      </c>
      <c r="CO41" s="168">
        <f>-'FS_Detail(M)'!CO101</f>
        <v>0</v>
      </c>
      <c r="CP41" s="168">
        <f>-'FS_Detail(M)'!CP101</f>
        <v>0</v>
      </c>
      <c r="CQ41" s="168">
        <f>-'FS_Detail(M)'!CQ101</f>
        <v>0</v>
      </c>
      <c r="CR41" s="168">
        <f>-'FS_Detail(M)'!CR101</f>
        <v>0</v>
      </c>
      <c r="CS41" s="168">
        <f>-'FS_Detail(M)'!CS101</f>
        <v>0</v>
      </c>
      <c r="CT41" s="168">
        <f>-'FS_Detail(M)'!CT101</f>
        <v>0</v>
      </c>
      <c r="CU41" s="168">
        <f>-'FS_Detail(M)'!CU101</f>
        <v>0</v>
      </c>
      <c r="CV41" s="168">
        <f>-'FS_Detail(M)'!CV101</f>
        <v>0</v>
      </c>
      <c r="CW41" s="168">
        <f>-'FS_Detail(M)'!CW101</f>
        <v>0</v>
      </c>
      <c r="CX41" s="168">
        <f>-'FS_Detail(M)'!CX101</f>
        <v>0</v>
      </c>
      <c r="CY41" s="168">
        <f>-'FS_Detail(M)'!CY101</f>
        <v>0</v>
      </c>
      <c r="CZ41" s="168">
        <f>-'FS_Detail(M)'!CZ101</f>
        <v>0</v>
      </c>
      <c r="DA41" s="168">
        <f>-'FS_Detail(M)'!DA101</f>
        <v>0</v>
      </c>
      <c r="DB41" s="168">
        <f>-'FS_Detail(M)'!DB101</f>
        <v>0</v>
      </c>
      <c r="DC41" s="168">
        <f>-'FS_Detail(M)'!DC101</f>
        <v>0</v>
      </c>
      <c r="DD41" s="168">
        <f>-'FS_Detail(M)'!DD101</f>
        <v>0</v>
      </c>
      <c r="DE41" s="168">
        <f>-'FS_Detail(M)'!DE101</f>
        <v>0</v>
      </c>
      <c r="DF41" s="168">
        <f>-'FS_Detail(M)'!DF101</f>
        <v>0</v>
      </c>
      <c r="DG41" s="168">
        <f>-'FS_Detail(M)'!DG101</f>
        <v>0</v>
      </c>
      <c r="DH41" s="168">
        <f>-'FS_Detail(M)'!DH101</f>
        <v>0</v>
      </c>
      <c r="DI41" s="168">
        <f>-'FS_Detail(M)'!DI101</f>
        <v>0</v>
      </c>
      <c r="DJ41" s="168">
        <f>-'FS_Detail(M)'!DJ101</f>
        <v>0</v>
      </c>
      <c r="DK41" s="168">
        <f>-'FS_Detail(M)'!DK101</f>
        <v>0</v>
      </c>
      <c r="DL41" s="168">
        <f>-'FS_Detail(M)'!DL101</f>
        <v>0</v>
      </c>
      <c r="DM41" s="168">
        <f>-'FS_Detail(M)'!DM101</f>
        <v>0</v>
      </c>
      <c r="DN41" s="168">
        <f>-'FS_Detail(M)'!DN101</f>
        <v>0</v>
      </c>
      <c r="DO41" s="168">
        <f>-'FS_Detail(M)'!DO101</f>
        <v>0</v>
      </c>
      <c r="DP41" s="168">
        <f>-'FS_Detail(M)'!DP101</f>
        <v>0</v>
      </c>
      <c r="DQ41" s="168">
        <f>-'FS_Detail(M)'!DQ101</f>
        <v>0</v>
      </c>
      <c r="DR41" s="168">
        <f>-'FS_Detail(M)'!DR101</f>
        <v>0</v>
      </c>
      <c r="DS41" s="168">
        <f>-'FS_Detail(M)'!DS101</f>
        <v>0</v>
      </c>
      <c r="DT41" s="168">
        <f>-'FS_Detail(M)'!DT101</f>
        <v>0</v>
      </c>
      <c r="DU41" s="168">
        <f>-'FS_Detail(M)'!DU101</f>
        <v>0</v>
      </c>
      <c r="DV41" s="168">
        <f>-'FS_Detail(M)'!DV101</f>
        <v>0</v>
      </c>
      <c r="DW41" s="168">
        <f>-'FS_Detail(M)'!DW101</f>
        <v>0</v>
      </c>
      <c r="DX41" s="168">
        <f>-'FS_Detail(M)'!DX101</f>
        <v>0</v>
      </c>
      <c r="DY41" s="168">
        <f>-'FS_Detail(M)'!DY101</f>
        <v>0</v>
      </c>
      <c r="DZ41" s="168">
        <f>-'FS_Detail(M)'!DZ101</f>
        <v>0</v>
      </c>
      <c r="EA41" s="168">
        <f>-'FS_Detail(M)'!EA101</f>
        <v>0</v>
      </c>
      <c r="EB41" s="168">
        <f>-'FS_Detail(M)'!EB101</f>
        <v>0</v>
      </c>
      <c r="EC41" s="168">
        <f>-'FS_Detail(M)'!EC101</f>
        <v>0</v>
      </c>
      <c r="ED41" s="168">
        <f>-'FS_Detail(M)'!ED101</f>
        <v>0</v>
      </c>
      <c r="EE41" s="168">
        <f>-'FS_Detail(M)'!EE101</f>
        <v>0</v>
      </c>
      <c r="EF41" s="168">
        <f>-'FS_Detail(M)'!EF101</f>
        <v>0</v>
      </c>
      <c r="EG41" s="168">
        <f>-'FS_Detail(M)'!EG101</f>
        <v>0</v>
      </c>
      <c r="EH41" s="168">
        <f>-'FS_Detail(M)'!EH101</f>
        <v>0</v>
      </c>
      <c r="EI41" s="168">
        <f>-'FS_Detail(M)'!EI101</f>
        <v>0</v>
      </c>
      <c r="EJ41" s="168">
        <f>-'FS_Detail(M)'!EJ101</f>
        <v>0</v>
      </c>
      <c r="EK41" s="168">
        <f>-'FS_Detail(M)'!EK101</f>
        <v>0</v>
      </c>
      <c r="EL41" s="168">
        <f>-'FS_Detail(M)'!EL101</f>
        <v>0</v>
      </c>
      <c r="EM41" s="168">
        <f>-'FS_Detail(M)'!EM101</f>
        <v>0</v>
      </c>
      <c r="EN41" s="168">
        <f>-'FS_Detail(M)'!EN101</f>
        <v>0</v>
      </c>
      <c r="EO41" s="168">
        <f>-'FS_Detail(M)'!EO101</f>
        <v>0</v>
      </c>
      <c r="EP41" s="168">
        <f>-'FS_Detail(M)'!EP101</f>
        <v>0</v>
      </c>
      <c r="EQ41" s="168">
        <f>-'FS_Detail(M)'!EQ101</f>
        <v>0</v>
      </c>
    </row>
    <row r="42" spans="2:147" ht="11.25" customHeight="1">
      <c r="B42" s="218"/>
      <c r="C42" s="163"/>
      <c r="D42" s="169" t="s">
        <v>1017</v>
      </c>
      <c r="H42" s="146"/>
      <c r="I42" s="13"/>
      <c r="J42" s="171">
        <f t="shared" si="24"/>
        <v>-30672000</v>
      </c>
      <c r="K42" s="98"/>
      <c r="L42" s="171">
        <f>-'FS_Detail(M)'!L106</f>
        <v>0</v>
      </c>
      <c r="M42" s="171">
        <f>-'FS_Detail(M)'!M106</f>
        <v>0</v>
      </c>
      <c r="N42" s="171">
        <f>-'FS_Detail(M)'!N106</f>
        <v>0</v>
      </c>
      <c r="O42" s="171">
        <f>-'FS_Detail(M)'!O106</f>
        <v>0</v>
      </c>
      <c r="P42" s="171">
        <f>-'FS_Detail(M)'!P106</f>
        <v>0</v>
      </c>
      <c r="Q42" s="171">
        <f>-'FS_Detail(M)'!Q106</f>
        <v>0</v>
      </c>
      <c r="R42" s="171">
        <f>-'FS_Detail(M)'!R106</f>
        <v>0</v>
      </c>
      <c r="S42" s="171">
        <f>-'FS_Detail(M)'!S106</f>
        <v>0</v>
      </c>
      <c r="T42" s="171">
        <f>-'FS_Detail(M)'!T106</f>
        <v>0</v>
      </c>
      <c r="U42" s="171">
        <f>-'FS_Detail(M)'!U106</f>
        <v>0</v>
      </c>
      <c r="V42" s="171">
        <f>-'FS_Detail(M)'!V106</f>
        <v>0</v>
      </c>
      <c r="W42" s="171">
        <f>-'FS_Detail(M)'!W106</f>
        <v>0</v>
      </c>
      <c r="X42" s="171">
        <f>-'FS_Detail(M)'!X106</f>
        <v>0</v>
      </c>
      <c r="Y42" s="171">
        <f>-'FS_Detail(M)'!Y106</f>
        <v>0</v>
      </c>
      <c r="Z42" s="171">
        <f>-'FS_Detail(M)'!Z106</f>
        <v>0</v>
      </c>
      <c r="AA42" s="171">
        <f>-'FS_Detail(M)'!AA106</f>
        <v>0</v>
      </c>
      <c r="AB42" s="171">
        <f>-'FS_Detail(M)'!AB106</f>
        <v>0</v>
      </c>
      <c r="AC42" s="171">
        <f>-'FS_Detail(M)'!AC106</f>
        <v>0</v>
      </c>
      <c r="AD42" s="171">
        <f>-'FS_Detail(M)'!AD106</f>
        <v>0</v>
      </c>
      <c r="AE42" s="171">
        <f>-'FS_Detail(M)'!AE106</f>
        <v>0</v>
      </c>
      <c r="AF42" s="171">
        <f>-'FS_Detail(M)'!AF106</f>
        <v>0</v>
      </c>
      <c r="AG42" s="171">
        <f>-'FS_Detail(M)'!AG106</f>
        <v>0</v>
      </c>
      <c r="AH42" s="171">
        <f>-'FS_Detail(M)'!AH106</f>
        <v>0</v>
      </c>
      <c r="AI42" s="171">
        <f>-'FS_Detail(M)'!AI106</f>
        <v>0</v>
      </c>
      <c r="AJ42" s="171">
        <f>-'FS_Detail(M)'!AJ106</f>
        <v>0</v>
      </c>
      <c r="AK42" s="171">
        <f>-'FS_Detail(M)'!AK106</f>
        <v>0</v>
      </c>
      <c r="AL42" s="171">
        <f>-'FS_Detail(M)'!AL106</f>
        <v>0</v>
      </c>
      <c r="AM42" s="171">
        <f>-'FS_Detail(M)'!AM106</f>
        <v>-2556000</v>
      </c>
      <c r="AN42" s="171">
        <f>-'FS_Detail(M)'!AN106</f>
        <v>0</v>
      </c>
      <c r="AO42" s="171">
        <f>-'FS_Detail(M)'!AO106</f>
        <v>0</v>
      </c>
      <c r="AP42" s="171">
        <f>-'FS_Detail(M)'!AP106</f>
        <v>-2556000</v>
      </c>
      <c r="AQ42" s="171">
        <f>-'FS_Detail(M)'!AQ106</f>
        <v>0</v>
      </c>
      <c r="AR42" s="171">
        <f>-'FS_Detail(M)'!AR106</f>
        <v>0</v>
      </c>
      <c r="AS42" s="171">
        <f>-'FS_Detail(M)'!AS106</f>
        <v>-2556000</v>
      </c>
      <c r="AT42" s="171">
        <f>-'FS_Detail(M)'!AT106</f>
        <v>0</v>
      </c>
      <c r="AU42" s="171">
        <f>-'FS_Detail(M)'!AU106</f>
        <v>0</v>
      </c>
      <c r="AV42" s="171">
        <f>-'FS_Detail(M)'!AV106</f>
        <v>-2556000</v>
      </c>
      <c r="AW42" s="171">
        <f>-'FS_Detail(M)'!AW106</f>
        <v>0</v>
      </c>
      <c r="AX42" s="171">
        <f>-'FS_Detail(M)'!AX106</f>
        <v>0</v>
      </c>
      <c r="AY42" s="171">
        <f>-'FS_Detail(M)'!AY106</f>
        <v>-2556000</v>
      </c>
      <c r="AZ42" s="171">
        <f>-'FS_Detail(M)'!AZ106</f>
        <v>0</v>
      </c>
      <c r="BA42" s="171">
        <f>-'FS_Detail(M)'!BA106</f>
        <v>0</v>
      </c>
      <c r="BB42" s="171">
        <f>-'FS_Detail(M)'!BB106</f>
        <v>-2556000</v>
      </c>
      <c r="BC42" s="171">
        <f>-'FS_Detail(M)'!BC106</f>
        <v>0</v>
      </c>
      <c r="BD42" s="171">
        <f>-'FS_Detail(M)'!BD106</f>
        <v>0</v>
      </c>
      <c r="BE42" s="171">
        <f>-'FS_Detail(M)'!BE106</f>
        <v>-2556000</v>
      </c>
      <c r="BF42" s="171">
        <f>-'FS_Detail(M)'!BF106</f>
        <v>0</v>
      </c>
      <c r="BG42" s="171">
        <f>-'FS_Detail(M)'!BG106</f>
        <v>0</v>
      </c>
      <c r="BH42" s="171">
        <f>-'FS_Detail(M)'!BH106</f>
        <v>-2556000</v>
      </c>
      <c r="BI42" s="171">
        <f>-'FS_Detail(M)'!BI106</f>
        <v>0</v>
      </c>
      <c r="BJ42" s="171">
        <f>-'FS_Detail(M)'!BJ106</f>
        <v>0</v>
      </c>
      <c r="BK42" s="171">
        <f>-'FS_Detail(M)'!BK106</f>
        <v>-2556000</v>
      </c>
      <c r="BL42" s="171">
        <f>-'FS_Detail(M)'!BL106</f>
        <v>0</v>
      </c>
      <c r="BM42" s="171">
        <f>-'FS_Detail(M)'!BM106</f>
        <v>0</v>
      </c>
      <c r="BN42" s="171">
        <f>-'FS_Detail(M)'!BN106</f>
        <v>-2556000</v>
      </c>
      <c r="BO42" s="171">
        <f>-'FS_Detail(M)'!BO106</f>
        <v>0</v>
      </c>
      <c r="BP42" s="171">
        <f>-'FS_Detail(M)'!BP106</f>
        <v>0</v>
      </c>
      <c r="BQ42" s="171">
        <f>-'FS_Detail(M)'!BQ106</f>
        <v>-2556000</v>
      </c>
      <c r="BR42" s="171">
        <f>-'FS_Detail(M)'!BR106</f>
        <v>0</v>
      </c>
      <c r="BS42" s="171">
        <f>-'FS_Detail(M)'!BS106</f>
        <v>0</v>
      </c>
      <c r="BT42" s="171">
        <f>-'FS_Detail(M)'!BT106</f>
        <v>-2556000</v>
      </c>
      <c r="BU42" s="171">
        <f>-'FS_Detail(M)'!BU106</f>
        <v>0</v>
      </c>
      <c r="BV42" s="171">
        <f>-'FS_Detail(M)'!BV106</f>
        <v>0</v>
      </c>
      <c r="BW42" s="171">
        <f>-'FS_Detail(M)'!BW106</f>
        <v>0</v>
      </c>
      <c r="BX42" s="171">
        <f>-'FS_Detail(M)'!BX106</f>
        <v>0</v>
      </c>
      <c r="BY42" s="171">
        <f>-'FS_Detail(M)'!BY106</f>
        <v>0</v>
      </c>
      <c r="BZ42" s="171">
        <f>-'FS_Detail(M)'!BZ106</f>
        <v>0</v>
      </c>
      <c r="CA42" s="171">
        <f>-'FS_Detail(M)'!CA106</f>
        <v>0</v>
      </c>
      <c r="CB42" s="171">
        <f>-'FS_Detail(M)'!CB106</f>
        <v>0</v>
      </c>
      <c r="CC42" s="171">
        <f>-'FS_Detail(M)'!CC106</f>
        <v>0</v>
      </c>
      <c r="CD42" s="171">
        <f>-'FS_Detail(M)'!CD106</f>
        <v>0</v>
      </c>
      <c r="CE42" s="171">
        <f>-'FS_Detail(M)'!CE106</f>
        <v>0</v>
      </c>
      <c r="CF42" s="171">
        <f>-'FS_Detail(M)'!CF106</f>
        <v>0</v>
      </c>
      <c r="CG42" s="171">
        <f>-'FS_Detail(M)'!CG106</f>
        <v>0</v>
      </c>
      <c r="CH42" s="171">
        <f>-'FS_Detail(M)'!CH106</f>
        <v>0</v>
      </c>
      <c r="CI42" s="171">
        <f>-'FS_Detail(M)'!CI106</f>
        <v>0</v>
      </c>
      <c r="CJ42" s="171">
        <f>-'FS_Detail(M)'!CJ106</f>
        <v>0</v>
      </c>
      <c r="CK42" s="171">
        <f>-'FS_Detail(M)'!CK106</f>
        <v>0</v>
      </c>
      <c r="CL42" s="171">
        <f>-'FS_Detail(M)'!CL106</f>
        <v>0</v>
      </c>
      <c r="CM42" s="171">
        <f>-'FS_Detail(M)'!CM106</f>
        <v>0</v>
      </c>
      <c r="CN42" s="171">
        <f>-'FS_Detail(M)'!CN106</f>
        <v>0</v>
      </c>
      <c r="CO42" s="171">
        <f>-'FS_Detail(M)'!CO106</f>
        <v>0</v>
      </c>
      <c r="CP42" s="171">
        <f>-'FS_Detail(M)'!CP106</f>
        <v>0</v>
      </c>
      <c r="CQ42" s="171">
        <f>-'FS_Detail(M)'!CQ106</f>
        <v>0</v>
      </c>
      <c r="CR42" s="171">
        <f>-'FS_Detail(M)'!CR106</f>
        <v>0</v>
      </c>
      <c r="CS42" s="171">
        <f>-'FS_Detail(M)'!CS106</f>
        <v>0</v>
      </c>
      <c r="CT42" s="171">
        <f>-'FS_Detail(M)'!CT106</f>
        <v>0</v>
      </c>
      <c r="CU42" s="171">
        <f>-'FS_Detail(M)'!CU106</f>
        <v>0</v>
      </c>
      <c r="CV42" s="171">
        <f>-'FS_Detail(M)'!CV106</f>
        <v>0</v>
      </c>
      <c r="CW42" s="171">
        <f>-'FS_Detail(M)'!CW106</f>
        <v>0</v>
      </c>
      <c r="CX42" s="171">
        <f>-'FS_Detail(M)'!CX106</f>
        <v>0</v>
      </c>
      <c r="CY42" s="171">
        <f>-'FS_Detail(M)'!CY106</f>
        <v>0</v>
      </c>
      <c r="CZ42" s="171">
        <f>-'FS_Detail(M)'!CZ106</f>
        <v>0</v>
      </c>
      <c r="DA42" s="171">
        <f>-'FS_Detail(M)'!DA106</f>
        <v>0</v>
      </c>
      <c r="DB42" s="171">
        <f>-'FS_Detail(M)'!DB106</f>
        <v>0</v>
      </c>
      <c r="DC42" s="171">
        <f>-'FS_Detail(M)'!DC106</f>
        <v>0</v>
      </c>
      <c r="DD42" s="171">
        <f>-'FS_Detail(M)'!DD106</f>
        <v>0</v>
      </c>
      <c r="DE42" s="171">
        <f>-'FS_Detail(M)'!DE106</f>
        <v>0</v>
      </c>
      <c r="DF42" s="171">
        <f>-'FS_Detail(M)'!DF106</f>
        <v>0</v>
      </c>
      <c r="DG42" s="171">
        <f>-'FS_Detail(M)'!DG106</f>
        <v>0</v>
      </c>
      <c r="DH42" s="171">
        <f>-'FS_Detail(M)'!DH106</f>
        <v>0</v>
      </c>
      <c r="DI42" s="171">
        <f>-'FS_Detail(M)'!DI106</f>
        <v>0</v>
      </c>
      <c r="DJ42" s="171">
        <f>-'FS_Detail(M)'!DJ106</f>
        <v>0</v>
      </c>
      <c r="DK42" s="171">
        <f>-'FS_Detail(M)'!DK106</f>
        <v>0</v>
      </c>
      <c r="DL42" s="171">
        <f>-'FS_Detail(M)'!DL106</f>
        <v>0</v>
      </c>
      <c r="DM42" s="171">
        <f>-'FS_Detail(M)'!DM106</f>
        <v>0</v>
      </c>
      <c r="DN42" s="171">
        <f>-'FS_Detail(M)'!DN106</f>
        <v>0</v>
      </c>
      <c r="DO42" s="171">
        <f>-'FS_Detail(M)'!DO106</f>
        <v>0</v>
      </c>
      <c r="DP42" s="171">
        <f>-'FS_Detail(M)'!DP106</f>
        <v>0</v>
      </c>
      <c r="DQ42" s="171">
        <f>-'FS_Detail(M)'!DQ106</f>
        <v>0</v>
      </c>
      <c r="DR42" s="171">
        <f>-'FS_Detail(M)'!DR106</f>
        <v>0</v>
      </c>
      <c r="DS42" s="171">
        <f>-'FS_Detail(M)'!DS106</f>
        <v>0</v>
      </c>
      <c r="DT42" s="171">
        <f>-'FS_Detail(M)'!DT106</f>
        <v>0</v>
      </c>
      <c r="DU42" s="171">
        <f>-'FS_Detail(M)'!DU106</f>
        <v>0</v>
      </c>
      <c r="DV42" s="171">
        <f>-'FS_Detail(M)'!DV106</f>
        <v>0</v>
      </c>
      <c r="DW42" s="171">
        <f>-'FS_Detail(M)'!DW106</f>
        <v>0</v>
      </c>
      <c r="DX42" s="171">
        <f>-'FS_Detail(M)'!DX106</f>
        <v>0</v>
      </c>
      <c r="DY42" s="171">
        <f>-'FS_Detail(M)'!DY106</f>
        <v>0</v>
      </c>
      <c r="DZ42" s="171">
        <f>-'FS_Detail(M)'!DZ106</f>
        <v>0</v>
      </c>
      <c r="EA42" s="171">
        <f>-'FS_Detail(M)'!EA106</f>
        <v>0</v>
      </c>
      <c r="EB42" s="171">
        <f>-'FS_Detail(M)'!EB106</f>
        <v>0</v>
      </c>
      <c r="EC42" s="171">
        <f>-'FS_Detail(M)'!EC106</f>
        <v>0</v>
      </c>
      <c r="ED42" s="171">
        <f>-'FS_Detail(M)'!ED106</f>
        <v>0</v>
      </c>
      <c r="EE42" s="171">
        <f>-'FS_Detail(M)'!EE106</f>
        <v>0</v>
      </c>
      <c r="EF42" s="171">
        <f>-'FS_Detail(M)'!EF106</f>
        <v>0</v>
      </c>
      <c r="EG42" s="171">
        <f>-'FS_Detail(M)'!EG106</f>
        <v>0</v>
      </c>
      <c r="EH42" s="171">
        <f>-'FS_Detail(M)'!EH106</f>
        <v>0</v>
      </c>
      <c r="EI42" s="171">
        <f>-'FS_Detail(M)'!EI106</f>
        <v>0</v>
      </c>
      <c r="EJ42" s="171">
        <f>-'FS_Detail(M)'!EJ106</f>
        <v>0</v>
      </c>
      <c r="EK42" s="171">
        <f>-'FS_Detail(M)'!EK106</f>
        <v>0</v>
      </c>
      <c r="EL42" s="171">
        <f>-'FS_Detail(M)'!EL106</f>
        <v>0</v>
      </c>
      <c r="EM42" s="171">
        <f>-'FS_Detail(M)'!EM106</f>
        <v>0</v>
      </c>
      <c r="EN42" s="171">
        <f>-'FS_Detail(M)'!EN106</f>
        <v>0</v>
      </c>
      <c r="EO42" s="171">
        <f>-'FS_Detail(M)'!EO106</f>
        <v>0</v>
      </c>
      <c r="EP42" s="171">
        <f>-'FS_Detail(M)'!EP106</f>
        <v>0</v>
      </c>
      <c r="EQ42" s="171">
        <f>-'FS_Detail(M)'!EQ106</f>
        <v>0</v>
      </c>
    </row>
    <row r="43" spans="2:147" ht="11.25" customHeight="1">
      <c r="B43" s="218"/>
      <c r="C43" s="163"/>
      <c r="D43" s="169" t="s">
        <v>1018</v>
      </c>
      <c r="H43" s="146"/>
      <c r="I43" s="13"/>
      <c r="J43" s="171">
        <f t="shared" si="24"/>
        <v>-47925000</v>
      </c>
      <c r="K43" s="98"/>
      <c r="L43" s="171">
        <f>-'FS_Detail(M)'!L111</f>
        <v>0</v>
      </c>
      <c r="M43" s="171">
        <f>-'FS_Detail(M)'!M111</f>
        <v>0</v>
      </c>
      <c r="N43" s="171">
        <f>-'FS_Detail(M)'!N111</f>
        <v>0</v>
      </c>
      <c r="O43" s="171">
        <f>-'FS_Detail(M)'!O111</f>
        <v>0</v>
      </c>
      <c r="P43" s="171">
        <f>-'FS_Detail(M)'!P111</f>
        <v>0</v>
      </c>
      <c r="Q43" s="171">
        <f>-'FS_Detail(M)'!Q111</f>
        <v>0</v>
      </c>
      <c r="R43" s="171">
        <f>-'FS_Detail(M)'!R111</f>
        <v>0</v>
      </c>
      <c r="S43" s="171">
        <f>-'FS_Detail(M)'!S111</f>
        <v>0</v>
      </c>
      <c r="T43" s="171">
        <f>-'FS_Detail(M)'!T111</f>
        <v>0</v>
      </c>
      <c r="U43" s="171">
        <f>-'FS_Detail(M)'!U111</f>
        <v>0</v>
      </c>
      <c r="V43" s="171">
        <f>-'FS_Detail(M)'!V111</f>
        <v>0</v>
      </c>
      <c r="W43" s="171">
        <f>-'FS_Detail(M)'!W111</f>
        <v>0</v>
      </c>
      <c r="X43" s="171">
        <f>-'FS_Detail(M)'!X111</f>
        <v>0</v>
      </c>
      <c r="Y43" s="171">
        <f>-'FS_Detail(M)'!Y111</f>
        <v>0</v>
      </c>
      <c r="Z43" s="171">
        <f>-'FS_Detail(M)'!Z111</f>
        <v>0</v>
      </c>
      <c r="AA43" s="171">
        <f>-'FS_Detail(M)'!AA111</f>
        <v>0</v>
      </c>
      <c r="AB43" s="171">
        <f>-'FS_Detail(M)'!AB111</f>
        <v>0</v>
      </c>
      <c r="AC43" s="171">
        <f>-'FS_Detail(M)'!AC111</f>
        <v>0</v>
      </c>
      <c r="AD43" s="171">
        <f>-'FS_Detail(M)'!AD111</f>
        <v>0</v>
      </c>
      <c r="AE43" s="171">
        <f>-'FS_Detail(M)'!AE111</f>
        <v>0</v>
      </c>
      <c r="AF43" s="171">
        <f>-'FS_Detail(M)'!AF111</f>
        <v>0</v>
      </c>
      <c r="AG43" s="171">
        <f>-'FS_Detail(M)'!AG111</f>
        <v>0</v>
      </c>
      <c r="AH43" s="171">
        <f>-'FS_Detail(M)'!AH111</f>
        <v>0</v>
      </c>
      <c r="AI43" s="171">
        <f>-'FS_Detail(M)'!AI111</f>
        <v>0</v>
      </c>
      <c r="AJ43" s="171">
        <f>-'FS_Detail(M)'!AJ111</f>
        <v>0</v>
      </c>
      <c r="AK43" s="171">
        <f>-'FS_Detail(M)'!AK111</f>
        <v>0</v>
      </c>
      <c r="AL43" s="171">
        <f>-'FS_Detail(M)'!AL111</f>
        <v>0</v>
      </c>
      <c r="AM43" s="171">
        <f>-'FS_Detail(M)'!AM111</f>
        <v>0</v>
      </c>
      <c r="AN43" s="171">
        <f>-'FS_Detail(M)'!AN111</f>
        <v>0</v>
      </c>
      <c r="AO43" s="171">
        <f>-'FS_Detail(M)'!AO111</f>
        <v>0</v>
      </c>
      <c r="AP43" s="171">
        <f>-'FS_Detail(M)'!AP111</f>
        <v>0</v>
      </c>
      <c r="AQ43" s="171">
        <f>-'FS_Detail(M)'!AQ111</f>
        <v>0</v>
      </c>
      <c r="AR43" s="171">
        <f>-'FS_Detail(M)'!AR111</f>
        <v>0</v>
      </c>
      <c r="AS43" s="171">
        <f>-'FS_Detail(M)'!AS111</f>
        <v>0</v>
      </c>
      <c r="AT43" s="171">
        <f>-'FS_Detail(M)'!AT111</f>
        <v>0</v>
      </c>
      <c r="AU43" s="171">
        <f>-'FS_Detail(M)'!AU111</f>
        <v>0</v>
      </c>
      <c r="AV43" s="171">
        <f>-'FS_Detail(M)'!AV111</f>
        <v>0</v>
      </c>
      <c r="AW43" s="171">
        <f>-'FS_Detail(M)'!AW111</f>
        <v>0</v>
      </c>
      <c r="AX43" s="171">
        <f>-'FS_Detail(M)'!AX111</f>
        <v>0</v>
      </c>
      <c r="AY43" s="171">
        <f>-'FS_Detail(M)'!AY111</f>
        <v>0</v>
      </c>
      <c r="AZ43" s="171">
        <f>-'FS_Detail(M)'!AZ111</f>
        <v>0</v>
      </c>
      <c r="BA43" s="171">
        <f>-'FS_Detail(M)'!BA111</f>
        <v>0</v>
      </c>
      <c r="BB43" s="171">
        <f>-'FS_Detail(M)'!BB111</f>
        <v>0</v>
      </c>
      <c r="BC43" s="171">
        <f>-'FS_Detail(M)'!BC111</f>
        <v>0</v>
      </c>
      <c r="BD43" s="171">
        <f>-'FS_Detail(M)'!BD111</f>
        <v>0</v>
      </c>
      <c r="BE43" s="171">
        <f>-'FS_Detail(M)'!BE111</f>
        <v>0</v>
      </c>
      <c r="BF43" s="171">
        <f>-'FS_Detail(M)'!BF111</f>
        <v>0</v>
      </c>
      <c r="BG43" s="171">
        <f>-'FS_Detail(M)'!BG111</f>
        <v>0</v>
      </c>
      <c r="BH43" s="171">
        <f>-'FS_Detail(M)'!BH111</f>
        <v>0</v>
      </c>
      <c r="BI43" s="171">
        <f>-'FS_Detail(M)'!BI111</f>
        <v>0</v>
      </c>
      <c r="BJ43" s="171">
        <f>-'FS_Detail(M)'!BJ111</f>
        <v>0</v>
      </c>
      <c r="BK43" s="171">
        <f>-'FS_Detail(M)'!BK111</f>
        <v>0</v>
      </c>
      <c r="BL43" s="171">
        <f>-'FS_Detail(M)'!BL111</f>
        <v>0</v>
      </c>
      <c r="BM43" s="171">
        <f>-'FS_Detail(M)'!BM111</f>
        <v>0</v>
      </c>
      <c r="BN43" s="171">
        <f>-'FS_Detail(M)'!BN111</f>
        <v>0</v>
      </c>
      <c r="BO43" s="171">
        <f>-'FS_Detail(M)'!BO111</f>
        <v>0</v>
      </c>
      <c r="BP43" s="171">
        <f>-'FS_Detail(M)'!BP111</f>
        <v>0</v>
      </c>
      <c r="BQ43" s="171">
        <f>-'FS_Detail(M)'!BQ111</f>
        <v>0</v>
      </c>
      <c r="BR43" s="171">
        <f>-'FS_Detail(M)'!BR111</f>
        <v>0</v>
      </c>
      <c r="BS43" s="171">
        <f>-'FS_Detail(M)'!BS111</f>
        <v>0</v>
      </c>
      <c r="BT43" s="171">
        <f>-'FS_Detail(M)'!BT111</f>
        <v>0</v>
      </c>
      <c r="BU43" s="171">
        <f>-'FS_Detail(M)'!BU111</f>
        <v>0</v>
      </c>
      <c r="BV43" s="171">
        <f>-'FS_Detail(M)'!BV111</f>
        <v>0</v>
      </c>
      <c r="BW43" s="171">
        <f>-'FS_Detail(M)'!BW111</f>
        <v>-2396250</v>
      </c>
      <c r="BX43" s="171">
        <f>-'FS_Detail(M)'!BX111</f>
        <v>0</v>
      </c>
      <c r="BY43" s="171">
        <f>-'FS_Detail(M)'!BY111</f>
        <v>0</v>
      </c>
      <c r="BZ43" s="171">
        <f>-'FS_Detail(M)'!BZ111</f>
        <v>-2396250</v>
      </c>
      <c r="CA43" s="171">
        <f>-'FS_Detail(M)'!CA111</f>
        <v>0</v>
      </c>
      <c r="CB43" s="171">
        <f>-'FS_Detail(M)'!CB111</f>
        <v>0</v>
      </c>
      <c r="CC43" s="171">
        <f>-'FS_Detail(M)'!CC111</f>
        <v>-2396250</v>
      </c>
      <c r="CD43" s="171">
        <f>-'FS_Detail(M)'!CD111</f>
        <v>0</v>
      </c>
      <c r="CE43" s="171">
        <f>-'FS_Detail(M)'!CE111</f>
        <v>0</v>
      </c>
      <c r="CF43" s="171">
        <f>-'FS_Detail(M)'!CF111</f>
        <v>-2396250</v>
      </c>
      <c r="CG43" s="171">
        <f>-'FS_Detail(M)'!CG111</f>
        <v>0</v>
      </c>
      <c r="CH43" s="171">
        <f>-'FS_Detail(M)'!CH111</f>
        <v>0</v>
      </c>
      <c r="CI43" s="171">
        <f>-'FS_Detail(M)'!CI111</f>
        <v>-2396250</v>
      </c>
      <c r="CJ43" s="171">
        <f>-'FS_Detail(M)'!CJ111</f>
        <v>0</v>
      </c>
      <c r="CK43" s="171">
        <f>-'FS_Detail(M)'!CK111</f>
        <v>0</v>
      </c>
      <c r="CL43" s="171">
        <f>-'FS_Detail(M)'!CL111</f>
        <v>-2396250</v>
      </c>
      <c r="CM43" s="171">
        <f>-'FS_Detail(M)'!CM111</f>
        <v>0</v>
      </c>
      <c r="CN43" s="171">
        <f>-'FS_Detail(M)'!CN111</f>
        <v>0</v>
      </c>
      <c r="CO43" s="171">
        <f>-'FS_Detail(M)'!CO111</f>
        <v>-2396250</v>
      </c>
      <c r="CP43" s="171">
        <f>-'FS_Detail(M)'!CP111</f>
        <v>0</v>
      </c>
      <c r="CQ43" s="171">
        <f>-'FS_Detail(M)'!CQ111</f>
        <v>0</v>
      </c>
      <c r="CR43" s="171">
        <f>-'FS_Detail(M)'!CR111</f>
        <v>-2396250</v>
      </c>
      <c r="CS43" s="171">
        <f>-'FS_Detail(M)'!CS111</f>
        <v>0</v>
      </c>
      <c r="CT43" s="171">
        <f>-'FS_Detail(M)'!CT111</f>
        <v>0</v>
      </c>
      <c r="CU43" s="171">
        <f>-'FS_Detail(M)'!CU111</f>
        <v>-2396250</v>
      </c>
      <c r="CV43" s="171">
        <f>-'FS_Detail(M)'!CV111</f>
        <v>0</v>
      </c>
      <c r="CW43" s="171">
        <f>-'FS_Detail(M)'!CW111</f>
        <v>0</v>
      </c>
      <c r="CX43" s="171">
        <f>-'FS_Detail(M)'!CX111</f>
        <v>-2396250</v>
      </c>
      <c r="CY43" s="171">
        <f>-'FS_Detail(M)'!CY111</f>
        <v>0</v>
      </c>
      <c r="CZ43" s="171">
        <f>-'FS_Detail(M)'!CZ111</f>
        <v>0</v>
      </c>
      <c r="DA43" s="171">
        <f>-'FS_Detail(M)'!DA111</f>
        <v>-2396250</v>
      </c>
      <c r="DB43" s="171">
        <f>-'FS_Detail(M)'!DB111</f>
        <v>0</v>
      </c>
      <c r="DC43" s="171">
        <f>-'FS_Detail(M)'!DC111</f>
        <v>0</v>
      </c>
      <c r="DD43" s="171">
        <f>-'FS_Detail(M)'!DD111</f>
        <v>-2396250</v>
      </c>
      <c r="DE43" s="171">
        <f>-'FS_Detail(M)'!DE111</f>
        <v>0</v>
      </c>
      <c r="DF43" s="171">
        <f>-'FS_Detail(M)'!DF111</f>
        <v>0</v>
      </c>
      <c r="DG43" s="171">
        <f>-'FS_Detail(M)'!DG111</f>
        <v>-2396250</v>
      </c>
      <c r="DH43" s="171">
        <f>-'FS_Detail(M)'!DH111</f>
        <v>0</v>
      </c>
      <c r="DI43" s="171">
        <f>-'FS_Detail(M)'!DI111</f>
        <v>0</v>
      </c>
      <c r="DJ43" s="171">
        <f>-'FS_Detail(M)'!DJ111</f>
        <v>-2396250</v>
      </c>
      <c r="DK43" s="171">
        <f>-'FS_Detail(M)'!DK111</f>
        <v>0</v>
      </c>
      <c r="DL43" s="171">
        <f>-'FS_Detail(M)'!DL111</f>
        <v>0</v>
      </c>
      <c r="DM43" s="171">
        <f>-'FS_Detail(M)'!DM111</f>
        <v>-2396250</v>
      </c>
      <c r="DN43" s="171">
        <f>-'FS_Detail(M)'!DN111</f>
        <v>0</v>
      </c>
      <c r="DO43" s="171">
        <f>-'FS_Detail(M)'!DO111</f>
        <v>0</v>
      </c>
      <c r="DP43" s="171">
        <f>-'FS_Detail(M)'!DP111</f>
        <v>-2396250</v>
      </c>
      <c r="DQ43" s="171">
        <f>-'FS_Detail(M)'!DQ111</f>
        <v>0</v>
      </c>
      <c r="DR43" s="171">
        <f>-'FS_Detail(M)'!DR111</f>
        <v>0</v>
      </c>
      <c r="DS43" s="171">
        <f>-'FS_Detail(M)'!DS111</f>
        <v>-2396250</v>
      </c>
      <c r="DT43" s="171">
        <f>-'FS_Detail(M)'!DT111</f>
        <v>0</v>
      </c>
      <c r="DU43" s="171">
        <f>-'FS_Detail(M)'!DU111</f>
        <v>0</v>
      </c>
      <c r="DV43" s="171">
        <f>-'FS_Detail(M)'!DV111</f>
        <v>-2396250</v>
      </c>
      <c r="DW43" s="171">
        <f>-'FS_Detail(M)'!DW111</f>
        <v>0</v>
      </c>
      <c r="DX43" s="171">
        <f>-'FS_Detail(M)'!DX111</f>
        <v>0</v>
      </c>
      <c r="DY43" s="171">
        <f>-'FS_Detail(M)'!DY111</f>
        <v>-2396250</v>
      </c>
      <c r="DZ43" s="171">
        <f>-'FS_Detail(M)'!DZ111</f>
        <v>0</v>
      </c>
      <c r="EA43" s="171">
        <f>-'FS_Detail(M)'!EA111</f>
        <v>0</v>
      </c>
      <c r="EB43" s="171">
        <f>-'FS_Detail(M)'!EB111</f>
        <v>-2396250</v>
      </c>
      <c r="EC43" s="171">
        <f>-'FS_Detail(M)'!EC111</f>
        <v>0</v>
      </c>
      <c r="ED43" s="171">
        <f>-'FS_Detail(M)'!ED111</f>
        <v>0</v>
      </c>
      <c r="EE43" s="171">
        <f>-'FS_Detail(M)'!EE111</f>
        <v>0</v>
      </c>
      <c r="EF43" s="171">
        <f>-'FS_Detail(M)'!EF111</f>
        <v>0</v>
      </c>
      <c r="EG43" s="171">
        <f>-'FS_Detail(M)'!EG111</f>
        <v>0</v>
      </c>
      <c r="EH43" s="171">
        <f>-'FS_Detail(M)'!EH111</f>
        <v>0</v>
      </c>
      <c r="EI43" s="171">
        <f>-'FS_Detail(M)'!EI111</f>
        <v>0</v>
      </c>
      <c r="EJ43" s="171">
        <f>-'FS_Detail(M)'!EJ111</f>
        <v>0</v>
      </c>
      <c r="EK43" s="171">
        <f>-'FS_Detail(M)'!EK111</f>
        <v>0</v>
      </c>
      <c r="EL43" s="171">
        <f>-'FS_Detail(M)'!EL111</f>
        <v>0</v>
      </c>
      <c r="EM43" s="171">
        <f>-'FS_Detail(M)'!EM111</f>
        <v>0</v>
      </c>
      <c r="EN43" s="171">
        <f>-'FS_Detail(M)'!EN111</f>
        <v>0</v>
      </c>
      <c r="EO43" s="171">
        <f>-'FS_Detail(M)'!EO111</f>
        <v>0</v>
      </c>
      <c r="EP43" s="171">
        <f>-'FS_Detail(M)'!EP111</f>
        <v>0</v>
      </c>
      <c r="EQ43" s="171">
        <f>-'FS_Detail(M)'!EQ111</f>
        <v>0</v>
      </c>
    </row>
    <row r="44" spans="2:147" ht="11.25" customHeight="1">
      <c r="B44" s="218"/>
      <c r="C44" s="163"/>
      <c r="D44" s="885" t="s">
        <v>650</v>
      </c>
      <c r="E44" s="886"/>
      <c r="F44" s="886"/>
      <c r="G44" s="886"/>
      <c r="H44" s="1647"/>
      <c r="I44" s="887"/>
      <c r="J44" s="888">
        <f t="shared" si="24"/>
        <v>-4560000</v>
      </c>
      <c r="K44" s="98"/>
      <c r="L44" s="888">
        <f>-'FS_Detail(M)'!L116</f>
        <v>0</v>
      </c>
      <c r="M44" s="888">
        <f>-'FS_Detail(M)'!M116</f>
        <v>0</v>
      </c>
      <c r="N44" s="888">
        <f>-'FS_Detail(M)'!N116</f>
        <v>0</v>
      </c>
      <c r="O44" s="888">
        <f>-'FS_Detail(M)'!O116</f>
        <v>-570000</v>
      </c>
      <c r="P44" s="888">
        <f>-'FS_Detail(M)'!P116</f>
        <v>0</v>
      </c>
      <c r="Q44" s="888">
        <f>-'FS_Detail(M)'!Q116</f>
        <v>0</v>
      </c>
      <c r="R44" s="888">
        <f>-'FS_Detail(M)'!R116</f>
        <v>-570000</v>
      </c>
      <c r="S44" s="888">
        <f>-'FS_Detail(M)'!S116</f>
        <v>0</v>
      </c>
      <c r="T44" s="888">
        <f>-'FS_Detail(M)'!T116</f>
        <v>0</v>
      </c>
      <c r="U44" s="888">
        <f>-'FS_Detail(M)'!U116</f>
        <v>-570000</v>
      </c>
      <c r="V44" s="888">
        <f>-'FS_Detail(M)'!V116</f>
        <v>0</v>
      </c>
      <c r="W44" s="888">
        <f>-'FS_Detail(M)'!W116</f>
        <v>0</v>
      </c>
      <c r="X44" s="888">
        <f>-'FS_Detail(M)'!X116</f>
        <v>-570000</v>
      </c>
      <c r="Y44" s="888">
        <f>-'FS_Detail(M)'!Y116</f>
        <v>0</v>
      </c>
      <c r="Z44" s="888">
        <f>-'FS_Detail(M)'!Z116</f>
        <v>0</v>
      </c>
      <c r="AA44" s="888">
        <f>-'FS_Detail(M)'!AA116</f>
        <v>-570000</v>
      </c>
      <c r="AB44" s="888">
        <f>-'FS_Detail(M)'!AB116</f>
        <v>0</v>
      </c>
      <c r="AC44" s="888">
        <f>-'FS_Detail(M)'!AC116</f>
        <v>0</v>
      </c>
      <c r="AD44" s="888">
        <f>-'FS_Detail(M)'!AD116</f>
        <v>-570000</v>
      </c>
      <c r="AE44" s="888">
        <f>-'FS_Detail(M)'!AE116</f>
        <v>0</v>
      </c>
      <c r="AF44" s="888">
        <f>-'FS_Detail(M)'!AF116</f>
        <v>0</v>
      </c>
      <c r="AG44" s="888">
        <f>-'FS_Detail(M)'!AG116</f>
        <v>-570000</v>
      </c>
      <c r="AH44" s="888">
        <f>-'FS_Detail(M)'!AH116</f>
        <v>0</v>
      </c>
      <c r="AI44" s="888">
        <f>-'FS_Detail(M)'!AI116</f>
        <v>0</v>
      </c>
      <c r="AJ44" s="888">
        <f>-'FS_Detail(M)'!AJ116</f>
        <v>-570000</v>
      </c>
      <c r="AK44" s="888">
        <f>-'FS_Detail(M)'!AK116</f>
        <v>0</v>
      </c>
      <c r="AL44" s="888">
        <f>-'FS_Detail(M)'!AL116</f>
        <v>0</v>
      </c>
      <c r="AM44" s="888">
        <f>-'FS_Detail(M)'!AM116</f>
        <v>0</v>
      </c>
      <c r="AN44" s="888">
        <f>-'FS_Detail(M)'!AN116</f>
        <v>0</v>
      </c>
      <c r="AO44" s="888">
        <f>-'FS_Detail(M)'!AO116</f>
        <v>0</v>
      </c>
      <c r="AP44" s="888">
        <f>-'FS_Detail(M)'!AP116</f>
        <v>0</v>
      </c>
      <c r="AQ44" s="888">
        <f>-'FS_Detail(M)'!AQ116</f>
        <v>0</v>
      </c>
      <c r="AR44" s="888">
        <f>-'FS_Detail(M)'!AR116</f>
        <v>0</v>
      </c>
      <c r="AS44" s="888">
        <f>-'FS_Detail(M)'!AS116</f>
        <v>0</v>
      </c>
      <c r="AT44" s="888">
        <f>-'FS_Detail(M)'!AT116</f>
        <v>0</v>
      </c>
      <c r="AU44" s="888">
        <f>-'FS_Detail(M)'!AU116</f>
        <v>0</v>
      </c>
      <c r="AV44" s="888">
        <f>-'FS_Detail(M)'!AV116</f>
        <v>0</v>
      </c>
      <c r="AW44" s="888">
        <f>-'FS_Detail(M)'!AW116</f>
        <v>0</v>
      </c>
      <c r="AX44" s="888">
        <f>-'FS_Detail(M)'!AX116</f>
        <v>0</v>
      </c>
      <c r="AY44" s="888">
        <f>-'FS_Detail(M)'!AY116</f>
        <v>0</v>
      </c>
      <c r="AZ44" s="888">
        <f>-'FS_Detail(M)'!AZ116</f>
        <v>0</v>
      </c>
      <c r="BA44" s="888">
        <f>-'FS_Detail(M)'!BA116</f>
        <v>0</v>
      </c>
      <c r="BB44" s="888">
        <f>-'FS_Detail(M)'!BB116</f>
        <v>0</v>
      </c>
      <c r="BC44" s="888">
        <f>-'FS_Detail(M)'!BC116</f>
        <v>0</v>
      </c>
      <c r="BD44" s="888">
        <f>-'FS_Detail(M)'!BD116</f>
        <v>0</v>
      </c>
      <c r="BE44" s="888">
        <f>-'FS_Detail(M)'!BE116</f>
        <v>0</v>
      </c>
      <c r="BF44" s="888">
        <f>-'FS_Detail(M)'!BF116</f>
        <v>0</v>
      </c>
      <c r="BG44" s="888">
        <f>-'FS_Detail(M)'!BG116</f>
        <v>0</v>
      </c>
      <c r="BH44" s="888">
        <f>-'FS_Detail(M)'!BH116</f>
        <v>0</v>
      </c>
      <c r="BI44" s="888">
        <f>-'FS_Detail(M)'!BI116</f>
        <v>0</v>
      </c>
      <c r="BJ44" s="888">
        <f>-'FS_Detail(M)'!BJ116</f>
        <v>0</v>
      </c>
      <c r="BK44" s="888">
        <f>-'FS_Detail(M)'!BK116</f>
        <v>0</v>
      </c>
      <c r="BL44" s="888">
        <f>-'FS_Detail(M)'!BL116</f>
        <v>0</v>
      </c>
      <c r="BM44" s="888">
        <f>-'FS_Detail(M)'!BM116</f>
        <v>0</v>
      </c>
      <c r="BN44" s="888">
        <f>-'FS_Detail(M)'!BN116</f>
        <v>0</v>
      </c>
      <c r="BO44" s="888">
        <f>-'FS_Detail(M)'!BO116</f>
        <v>0</v>
      </c>
      <c r="BP44" s="888">
        <f>-'FS_Detail(M)'!BP116</f>
        <v>0</v>
      </c>
      <c r="BQ44" s="888">
        <f>-'FS_Detail(M)'!BQ116</f>
        <v>0</v>
      </c>
      <c r="BR44" s="888">
        <f>-'FS_Detail(M)'!BR116</f>
        <v>0</v>
      </c>
      <c r="BS44" s="888">
        <f>-'FS_Detail(M)'!BS116</f>
        <v>0</v>
      </c>
      <c r="BT44" s="888">
        <f>-'FS_Detail(M)'!BT116</f>
        <v>0</v>
      </c>
      <c r="BU44" s="888">
        <f>-'FS_Detail(M)'!BU116</f>
        <v>0</v>
      </c>
      <c r="BV44" s="888">
        <f>-'FS_Detail(M)'!BV116</f>
        <v>0</v>
      </c>
      <c r="BW44" s="888">
        <f>-'FS_Detail(M)'!BW116</f>
        <v>0</v>
      </c>
      <c r="BX44" s="888">
        <f>-'FS_Detail(M)'!BX116</f>
        <v>0</v>
      </c>
      <c r="BY44" s="888">
        <f>-'FS_Detail(M)'!BY116</f>
        <v>0</v>
      </c>
      <c r="BZ44" s="888">
        <f>-'FS_Detail(M)'!BZ116</f>
        <v>0</v>
      </c>
      <c r="CA44" s="888">
        <f>-'FS_Detail(M)'!CA116</f>
        <v>0</v>
      </c>
      <c r="CB44" s="888">
        <f>-'FS_Detail(M)'!CB116</f>
        <v>0</v>
      </c>
      <c r="CC44" s="888">
        <f>-'FS_Detail(M)'!CC116</f>
        <v>0</v>
      </c>
      <c r="CD44" s="888">
        <f>-'FS_Detail(M)'!CD116</f>
        <v>0</v>
      </c>
      <c r="CE44" s="888">
        <f>-'FS_Detail(M)'!CE116</f>
        <v>0</v>
      </c>
      <c r="CF44" s="888">
        <f>-'FS_Detail(M)'!CF116</f>
        <v>0</v>
      </c>
      <c r="CG44" s="888">
        <f>-'FS_Detail(M)'!CG116</f>
        <v>0</v>
      </c>
      <c r="CH44" s="888">
        <f>-'FS_Detail(M)'!CH116</f>
        <v>0</v>
      </c>
      <c r="CI44" s="888">
        <f>-'FS_Detail(M)'!CI116</f>
        <v>0</v>
      </c>
      <c r="CJ44" s="888">
        <f>-'FS_Detail(M)'!CJ116</f>
        <v>0</v>
      </c>
      <c r="CK44" s="888">
        <f>-'FS_Detail(M)'!CK116</f>
        <v>0</v>
      </c>
      <c r="CL44" s="888">
        <f>-'FS_Detail(M)'!CL116</f>
        <v>0</v>
      </c>
      <c r="CM44" s="888">
        <f>-'FS_Detail(M)'!CM116</f>
        <v>0</v>
      </c>
      <c r="CN44" s="888">
        <f>-'FS_Detail(M)'!CN116</f>
        <v>0</v>
      </c>
      <c r="CO44" s="888">
        <f>-'FS_Detail(M)'!CO116</f>
        <v>0</v>
      </c>
      <c r="CP44" s="888">
        <f>-'FS_Detail(M)'!CP116</f>
        <v>0</v>
      </c>
      <c r="CQ44" s="888">
        <f>-'FS_Detail(M)'!CQ116</f>
        <v>0</v>
      </c>
      <c r="CR44" s="888">
        <f>-'FS_Detail(M)'!CR116</f>
        <v>0</v>
      </c>
      <c r="CS44" s="888">
        <f>-'FS_Detail(M)'!CS116</f>
        <v>0</v>
      </c>
      <c r="CT44" s="888">
        <f>-'FS_Detail(M)'!CT116</f>
        <v>0</v>
      </c>
      <c r="CU44" s="888">
        <f>-'FS_Detail(M)'!CU116</f>
        <v>0</v>
      </c>
      <c r="CV44" s="888">
        <f>-'FS_Detail(M)'!CV116</f>
        <v>0</v>
      </c>
      <c r="CW44" s="888">
        <f>-'FS_Detail(M)'!CW116</f>
        <v>0</v>
      </c>
      <c r="CX44" s="888">
        <f>-'FS_Detail(M)'!CX116</f>
        <v>0</v>
      </c>
      <c r="CY44" s="888">
        <f>-'FS_Detail(M)'!CY116</f>
        <v>0</v>
      </c>
      <c r="CZ44" s="888">
        <f>-'FS_Detail(M)'!CZ116</f>
        <v>0</v>
      </c>
      <c r="DA44" s="888">
        <f>-'FS_Detail(M)'!DA116</f>
        <v>0</v>
      </c>
      <c r="DB44" s="888">
        <f>-'FS_Detail(M)'!DB116</f>
        <v>0</v>
      </c>
      <c r="DC44" s="888">
        <f>-'FS_Detail(M)'!DC116</f>
        <v>0</v>
      </c>
      <c r="DD44" s="888">
        <f>-'FS_Detail(M)'!DD116</f>
        <v>0</v>
      </c>
      <c r="DE44" s="888">
        <f>-'FS_Detail(M)'!DE116</f>
        <v>0</v>
      </c>
      <c r="DF44" s="888">
        <f>-'FS_Detail(M)'!DF116</f>
        <v>0</v>
      </c>
      <c r="DG44" s="888">
        <f>-'FS_Detail(M)'!DG116</f>
        <v>0</v>
      </c>
      <c r="DH44" s="888">
        <f>-'FS_Detail(M)'!DH116</f>
        <v>0</v>
      </c>
      <c r="DI44" s="888">
        <f>-'FS_Detail(M)'!DI116</f>
        <v>0</v>
      </c>
      <c r="DJ44" s="888">
        <f>-'FS_Detail(M)'!DJ116</f>
        <v>0</v>
      </c>
      <c r="DK44" s="888">
        <f>-'FS_Detail(M)'!DK116</f>
        <v>0</v>
      </c>
      <c r="DL44" s="888">
        <f>-'FS_Detail(M)'!DL116</f>
        <v>0</v>
      </c>
      <c r="DM44" s="888">
        <f>-'FS_Detail(M)'!DM116</f>
        <v>0</v>
      </c>
      <c r="DN44" s="888">
        <f>-'FS_Detail(M)'!DN116</f>
        <v>0</v>
      </c>
      <c r="DO44" s="888">
        <f>-'FS_Detail(M)'!DO116</f>
        <v>0</v>
      </c>
      <c r="DP44" s="888">
        <f>-'FS_Detail(M)'!DP116</f>
        <v>0</v>
      </c>
      <c r="DQ44" s="888">
        <f>-'FS_Detail(M)'!DQ116</f>
        <v>0</v>
      </c>
      <c r="DR44" s="888">
        <f>-'FS_Detail(M)'!DR116</f>
        <v>0</v>
      </c>
      <c r="DS44" s="888">
        <f>-'FS_Detail(M)'!DS116</f>
        <v>0</v>
      </c>
      <c r="DT44" s="888">
        <f>-'FS_Detail(M)'!DT116</f>
        <v>0</v>
      </c>
      <c r="DU44" s="888">
        <f>-'FS_Detail(M)'!DU116</f>
        <v>0</v>
      </c>
      <c r="DV44" s="888">
        <f>-'FS_Detail(M)'!DV116</f>
        <v>0</v>
      </c>
      <c r="DW44" s="888">
        <f>-'FS_Detail(M)'!DW116</f>
        <v>0</v>
      </c>
      <c r="DX44" s="888">
        <f>-'FS_Detail(M)'!DX116</f>
        <v>0</v>
      </c>
      <c r="DY44" s="888">
        <f>-'FS_Detail(M)'!DY116</f>
        <v>0</v>
      </c>
      <c r="DZ44" s="888">
        <f>-'FS_Detail(M)'!DZ116</f>
        <v>0</v>
      </c>
      <c r="EA44" s="888">
        <f>-'FS_Detail(M)'!EA116</f>
        <v>0</v>
      </c>
      <c r="EB44" s="888">
        <f>-'FS_Detail(M)'!EB116</f>
        <v>0</v>
      </c>
      <c r="EC44" s="888">
        <f>-'FS_Detail(M)'!EC116</f>
        <v>0</v>
      </c>
      <c r="ED44" s="888">
        <f>-'FS_Detail(M)'!ED116</f>
        <v>0</v>
      </c>
      <c r="EE44" s="888">
        <f>-'FS_Detail(M)'!EE116</f>
        <v>0</v>
      </c>
      <c r="EF44" s="888">
        <f>-'FS_Detail(M)'!EF116</f>
        <v>0</v>
      </c>
      <c r="EG44" s="888">
        <f>-'FS_Detail(M)'!EG116</f>
        <v>0</v>
      </c>
      <c r="EH44" s="888">
        <f>-'FS_Detail(M)'!EH116</f>
        <v>0</v>
      </c>
      <c r="EI44" s="888">
        <f>-'FS_Detail(M)'!EI116</f>
        <v>0</v>
      </c>
      <c r="EJ44" s="888">
        <f>-'FS_Detail(M)'!EJ116</f>
        <v>0</v>
      </c>
      <c r="EK44" s="888">
        <f>-'FS_Detail(M)'!EK116</f>
        <v>0</v>
      </c>
      <c r="EL44" s="888">
        <f>-'FS_Detail(M)'!EL116</f>
        <v>0</v>
      </c>
      <c r="EM44" s="888">
        <f>-'FS_Detail(M)'!EM116</f>
        <v>0</v>
      </c>
      <c r="EN44" s="888">
        <f>-'FS_Detail(M)'!EN116</f>
        <v>0</v>
      </c>
      <c r="EO44" s="888">
        <f>-'FS_Detail(M)'!EO116</f>
        <v>0</v>
      </c>
      <c r="EP44" s="888">
        <f>-'FS_Detail(M)'!EP116</f>
        <v>0</v>
      </c>
      <c r="EQ44" s="888">
        <f>-'FS_Detail(M)'!EQ116</f>
        <v>0</v>
      </c>
    </row>
    <row r="45" spans="2:147" ht="11.25" customHeight="1">
      <c r="B45" s="218"/>
      <c r="C45" s="163"/>
      <c r="D45" s="169" t="s">
        <v>1019</v>
      </c>
      <c r="H45" s="146"/>
      <c r="I45" s="13"/>
      <c r="J45" s="171">
        <f t="shared" si="24"/>
        <v>0</v>
      </c>
      <c r="K45" s="98"/>
      <c r="L45" s="171">
        <f>-'FS_Detail(M)'!L121</f>
        <v>0</v>
      </c>
      <c r="M45" s="171">
        <f>-'FS_Detail(M)'!M121</f>
        <v>0</v>
      </c>
      <c r="N45" s="171">
        <f>-'FS_Detail(M)'!N121</f>
        <v>0</v>
      </c>
      <c r="O45" s="171">
        <f>-'FS_Detail(M)'!O121</f>
        <v>0</v>
      </c>
      <c r="P45" s="171">
        <f>-'FS_Detail(M)'!P121</f>
        <v>0</v>
      </c>
      <c r="Q45" s="171">
        <f>-'FS_Detail(M)'!Q121</f>
        <v>0</v>
      </c>
      <c r="R45" s="171">
        <f>-'FS_Detail(M)'!R121</f>
        <v>0</v>
      </c>
      <c r="S45" s="171">
        <f>-'FS_Detail(M)'!S121</f>
        <v>0</v>
      </c>
      <c r="T45" s="171">
        <f>-'FS_Detail(M)'!T121</f>
        <v>0</v>
      </c>
      <c r="U45" s="171">
        <f>-'FS_Detail(M)'!U121</f>
        <v>0</v>
      </c>
      <c r="V45" s="171">
        <f>-'FS_Detail(M)'!V121</f>
        <v>0</v>
      </c>
      <c r="W45" s="171">
        <f>-'FS_Detail(M)'!W121</f>
        <v>0</v>
      </c>
      <c r="X45" s="171">
        <f>-'FS_Detail(M)'!X121</f>
        <v>0</v>
      </c>
      <c r="Y45" s="171">
        <f>-'FS_Detail(M)'!Y121</f>
        <v>0</v>
      </c>
      <c r="Z45" s="171">
        <f>-'FS_Detail(M)'!Z121</f>
        <v>0</v>
      </c>
      <c r="AA45" s="171">
        <f>-'FS_Detail(M)'!AA121</f>
        <v>0</v>
      </c>
      <c r="AB45" s="171">
        <f>-'FS_Detail(M)'!AB121</f>
        <v>0</v>
      </c>
      <c r="AC45" s="171">
        <f>-'FS_Detail(M)'!AC121</f>
        <v>0</v>
      </c>
      <c r="AD45" s="171">
        <f>-'FS_Detail(M)'!AD121</f>
        <v>0</v>
      </c>
      <c r="AE45" s="171">
        <f>-'FS_Detail(M)'!AE121</f>
        <v>0</v>
      </c>
      <c r="AF45" s="171">
        <f>-'FS_Detail(M)'!AF121</f>
        <v>0</v>
      </c>
      <c r="AG45" s="171">
        <f>-'FS_Detail(M)'!AG121</f>
        <v>0</v>
      </c>
      <c r="AH45" s="171">
        <f>-'FS_Detail(M)'!AH121</f>
        <v>0</v>
      </c>
      <c r="AI45" s="171">
        <f>-'FS_Detail(M)'!AI121</f>
        <v>0</v>
      </c>
      <c r="AJ45" s="171">
        <f>-'FS_Detail(M)'!AJ121</f>
        <v>0</v>
      </c>
      <c r="AK45" s="171">
        <f>-'FS_Detail(M)'!AK121</f>
        <v>0</v>
      </c>
      <c r="AL45" s="171">
        <f>-'FS_Detail(M)'!AL121</f>
        <v>0</v>
      </c>
      <c r="AM45" s="171">
        <f>-'FS_Detail(M)'!AM121</f>
        <v>0</v>
      </c>
      <c r="AN45" s="171">
        <f>-'FS_Detail(M)'!AN121</f>
        <v>0</v>
      </c>
      <c r="AO45" s="171">
        <f>-'FS_Detail(M)'!AO121</f>
        <v>0</v>
      </c>
      <c r="AP45" s="171">
        <f>-'FS_Detail(M)'!AP121</f>
        <v>0</v>
      </c>
      <c r="AQ45" s="171">
        <f>-'FS_Detail(M)'!AQ121</f>
        <v>0</v>
      </c>
      <c r="AR45" s="171">
        <f>-'FS_Detail(M)'!AR121</f>
        <v>0</v>
      </c>
      <c r="AS45" s="171">
        <f>-'FS_Detail(M)'!AS121</f>
        <v>0</v>
      </c>
      <c r="AT45" s="171">
        <f>-'FS_Detail(M)'!AT121</f>
        <v>0</v>
      </c>
      <c r="AU45" s="171">
        <f>-'FS_Detail(M)'!AU121</f>
        <v>0</v>
      </c>
      <c r="AV45" s="171">
        <f>-'FS_Detail(M)'!AV121</f>
        <v>0</v>
      </c>
      <c r="AW45" s="171">
        <f>-'FS_Detail(M)'!AW121</f>
        <v>0</v>
      </c>
      <c r="AX45" s="171">
        <f>-'FS_Detail(M)'!AX121</f>
        <v>0</v>
      </c>
      <c r="AY45" s="171">
        <f>-'FS_Detail(M)'!AY121</f>
        <v>0</v>
      </c>
      <c r="AZ45" s="171">
        <f>-'FS_Detail(M)'!AZ121</f>
        <v>0</v>
      </c>
      <c r="BA45" s="171">
        <f>-'FS_Detail(M)'!BA121</f>
        <v>0</v>
      </c>
      <c r="BB45" s="171">
        <f>-'FS_Detail(M)'!BB121</f>
        <v>0</v>
      </c>
      <c r="BC45" s="171">
        <f>-'FS_Detail(M)'!BC121</f>
        <v>0</v>
      </c>
      <c r="BD45" s="171">
        <f>-'FS_Detail(M)'!BD121</f>
        <v>0</v>
      </c>
      <c r="BE45" s="171">
        <f>-'FS_Detail(M)'!BE121</f>
        <v>0</v>
      </c>
      <c r="BF45" s="171">
        <f>-'FS_Detail(M)'!BF121</f>
        <v>0</v>
      </c>
      <c r="BG45" s="171">
        <f>-'FS_Detail(M)'!BG121</f>
        <v>0</v>
      </c>
      <c r="BH45" s="171">
        <f>-'FS_Detail(M)'!BH121</f>
        <v>0</v>
      </c>
      <c r="BI45" s="171">
        <f>-'FS_Detail(M)'!BI121</f>
        <v>0</v>
      </c>
      <c r="BJ45" s="171">
        <f>-'FS_Detail(M)'!BJ121</f>
        <v>0</v>
      </c>
      <c r="BK45" s="171">
        <f>-'FS_Detail(M)'!BK121</f>
        <v>0</v>
      </c>
      <c r="BL45" s="171">
        <f>-'FS_Detail(M)'!BL121</f>
        <v>0</v>
      </c>
      <c r="BM45" s="171">
        <f>-'FS_Detail(M)'!BM121</f>
        <v>0</v>
      </c>
      <c r="BN45" s="171">
        <f>-'FS_Detail(M)'!BN121</f>
        <v>0</v>
      </c>
      <c r="BO45" s="171">
        <f>-'FS_Detail(M)'!BO121</f>
        <v>0</v>
      </c>
      <c r="BP45" s="171">
        <f>-'FS_Detail(M)'!BP121</f>
        <v>0</v>
      </c>
      <c r="BQ45" s="171">
        <f>-'FS_Detail(M)'!BQ121</f>
        <v>0</v>
      </c>
      <c r="BR45" s="171">
        <f>-'FS_Detail(M)'!BR121</f>
        <v>0</v>
      </c>
      <c r="BS45" s="171">
        <f>-'FS_Detail(M)'!BS121</f>
        <v>0</v>
      </c>
      <c r="BT45" s="171">
        <f>-'FS_Detail(M)'!BT121</f>
        <v>0</v>
      </c>
      <c r="BU45" s="171">
        <f>-'FS_Detail(M)'!BU121</f>
        <v>0</v>
      </c>
      <c r="BV45" s="171">
        <f>-'FS_Detail(M)'!BV121</f>
        <v>0</v>
      </c>
      <c r="BW45" s="171">
        <f>-'FS_Detail(M)'!BW121</f>
        <v>0</v>
      </c>
      <c r="BX45" s="171">
        <f>-'FS_Detail(M)'!BX121</f>
        <v>0</v>
      </c>
      <c r="BY45" s="171">
        <f>-'FS_Detail(M)'!BY121</f>
        <v>0</v>
      </c>
      <c r="BZ45" s="171">
        <f>-'FS_Detail(M)'!BZ121</f>
        <v>0</v>
      </c>
      <c r="CA45" s="171">
        <f>-'FS_Detail(M)'!CA121</f>
        <v>0</v>
      </c>
      <c r="CB45" s="171">
        <f>-'FS_Detail(M)'!CB121</f>
        <v>0</v>
      </c>
      <c r="CC45" s="171">
        <f>-'FS_Detail(M)'!CC121</f>
        <v>0</v>
      </c>
      <c r="CD45" s="171">
        <f>-'FS_Detail(M)'!CD121</f>
        <v>0</v>
      </c>
      <c r="CE45" s="171">
        <f>-'FS_Detail(M)'!CE121</f>
        <v>0</v>
      </c>
      <c r="CF45" s="171">
        <f>-'FS_Detail(M)'!CF121</f>
        <v>0</v>
      </c>
      <c r="CG45" s="171">
        <f>-'FS_Detail(M)'!CG121</f>
        <v>0</v>
      </c>
      <c r="CH45" s="171">
        <f>-'FS_Detail(M)'!CH121</f>
        <v>0</v>
      </c>
      <c r="CI45" s="171">
        <f>-'FS_Detail(M)'!CI121</f>
        <v>0</v>
      </c>
      <c r="CJ45" s="171">
        <f>-'FS_Detail(M)'!CJ121</f>
        <v>0</v>
      </c>
      <c r="CK45" s="171">
        <f>-'FS_Detail(M)'!CK121</f>
        <v>0</v>
      </c>
      <c r="CL45" s="171">
        <f>-'FS_Detail(M)'!CL121</f>
        <v>0</v>
      </c>
      <c r="CM45" s="171">
        <f>-'FS_Detail(M)'!CM121</f>
        <v>0</v>
      </c>
      <c r="CN45" s="171">
        <f>-'FS_Detail(M)'!CN121</f>
        <v>0</v>
      </c>
      <c r="CO45" s="171">
        <f>-'FS_Detail(M)'!CO121</f>
        <v>0</v>
      </c>
      <c r="CP45" s="171">
        <f>-'FS_Detail(M)'!CP121</f>
        <v>0</v>
      </c>
      <c r="CQ45" s="171">
        <f>-'FS_Detail(M)'!CQ121</f>
        <v>0</v>
      </c>
      <c r="CR45" s="171">
        <f>-'FS_Detail(M)'!CR121</f>
        <v>0</v>
      </c>
      <c r="CS45" s="171">
        <f>-'FS_Detail(M)'!CS121</f>
        <v>0</v>
      </c>
      <c r="CT45" s="171">
        <f>-'FS_Detail(M)'!CT121</f>
        <v>0</v>
      </c>
      <c r="CU45" s="171">
        <f>-'FS_Detail(M)'!CU121</f>
        <v>0</v>
      </c>
      <c r="CV45" s="171">
        <f>-'FS_Detail(M)'!CV121</f>
        <v>0</v>
      </c>
      <c r="CW45" s="171">
        <f>-'FS_Detail(M)'!CW121</f>
        <v>0</v>
      </c>
      <c r="CX45" s="171">
        <f>-'FS_Detail(M)'!CX121</f>
        <v>0</v>
      </c>
      <c r="CY45" s="171">
        <f>-'FS_Detail(M)'!CY121</f>
        <v>0</v>
      </c>
      <c r="CZ45" s="171">
        <f>-'FS_Detail(M)'!CZ121</f>
        <v>0</v>
      </c>
      <c r="DA45" s="171">
        <f>-'FS_Detail(M)'!DA121</f>
        <v>0</v>
      </c>
      <c r="DB45" s="171">
        <f>-'FS_Detail(M)'!DB121</f>
        <v>0</v>
      </c>
      <c r="DC45" s="171">
        <f>-'FS_Detail(M)'!DC121</f>
        <v>0</v>
      </c>
      <c r="DD45" s="171">
        <f>-'FS_Detail(M)'!DD121</f>
        <v>0</v>
      </c>
      <c r="DE45" s="171">
        <f>-'FS_Detail(M)'!DE121</f>
        <v>0</v>
      </c>
      <c r="DF45" s="171">
        <f>-'FS_Detail(M)'!DF121</f>
        <v>0</v>
      </c>
      <c r="DG45" s="171">
        <f>-'FS_Detail(M)'!DG121</f>
        <v>0</v>
      </c>
      <c r="DH45" s="171">
        <f>-'FS_Detail(M)'!DH121</f>
        <v>0</v>
      </c>
      <c r="DI45" s="171">
        <f>-'FS_Detail(M)'!DI121</f>
        <v>0</v>
      </c>
      <c r="DJ45" s="171">
        <f>-'FS_Detail(M)'!DJ121</f>
        <v>0</v>
      </c>
      <c r="DK45" s="171">
        <f>-'FS_Detail(M)'!DK121</f>
        <v>0</v>
      </c>
      <c r="DL45" s="171">
        <f>-'FS_Detail(M)'!DL121</f>
        <v>0</v>
      </c>
      <c r="DM45" s="171">
        <f>-'FS_Detail(M)'!DM121</f>
        <v>0</v>
      </c>
      <c r="DN45" s="171">
        <f>-'FS_Detail(M)'!DN121</f>
        <v>0</v>
      </c>
      <c r="DO45" s="171">
        <f>-'FS_Detail(M)'!DO121</f>
        <v>0</v>
      </c>
      <c r="DP45" s="171">
        <f>-'FS_Detail(M)'!DP121</f>
        <v>0</v>
      </c>
      <c r="DQ45" s="171">
        <f>-'FS_Detail(M)'!DQ121</f>
        <v>0</v>
      </c>
      <c r="DR45" s="171">
        <f>-'FS_Detail(M)'!DR121</f>
        <v>0</v>
      </c>
      <c r="DS45" s="171">
        <f>-'FS_Detail(M)'!DS121</f>
        <v>0</v>
      </c>
      <c r="DT45" s="171">
        <f>-'FS_Detail(M)'!DT121</f>
        <v>0</v>
      </c>
      <c r="DU45" s="171">
        <f>-'FS_Detail(M)'!DU121</f>
        <v>0</v>
      </c>
      <c r="DV45" s="171">
        <f>-'FS_Detail(M)'!DV121</f>
        <v>0</v>
      </c>
      <c r="DW45" s="171">
        <f>-'FS_Detail(M)'!DW121</f>
        <v>0</v>
      </c>
      <c r="DX45" s="171">
        <f>-'FS_Detail(M)'!DX121</f>
        <v>0</v>
      </c>
      <c r="DY45" s="171">
        <f>-'FS_Detail(M)'!DY121</f>
        <v>0</v>
      </c>
      <c r="DZ45" s="171">
        <f>-'FS_Detail(M)'!DZ121</f>
        <v>0</v>
      </c>
      <c r="EA45" s="171">
        <f>-'FS_Detail(M)'!EA121</f>
        <v>0</v>
      </c>
      <c r="EB45" s="171">
        <f>-'FS_Detail(M)'!EB121</f>
        <v>0</v>
      </c>
      <c r="EC45" s="171">
        <f>-'FS_Detail(M)'!EC121</f>
        <v>0</v>
      </c>
      <c r="ED45" s="171">
        <f>-'FS_Detail(M)'!ED121</f>
        <v>0</v>
      </c>
      <c r="EE45" s="171">
        <f>-'FS_Detail(M)'!EE121</f>
        <v>0</v>
      </c>
      <c r="EF45" s="171">
        <f>-'FS_Detail(M)'!EF121</f>
        <v>0</v>
      </c>
      <c r="EG45" s="171">
        <f>-'FS_Detail(M)'!EG121</f>
        <v>0</v>
      </c>
      <c r="EH45" s="171">
        <f>-'FS_Detail(M)'!EH121</f>
        <v>0</v>
      </c>
      <c r="EI45" s="171">
        <f>-'FS_Detail(M)'!EI121</f>
        <v>0</v>
      </c>
      <c r="EJ45" s="171">
        <f>-'FS_Detail(M)'!EJ121</f>
        <v>0</v>
      </c>
      <c r="EK45" s="171">
        <f>-'FS_Detail(M)'!EK121</f>
        <v>0</v>
      </c>
      <c r="EL45" s="171">
        <f>-'FS_Detail(M)'!EL121</f>
        <v>0</v>
      </c>
      <c r="EM45" s="171">
        <f>-'FS_Detail(M)'!EM121</f>
        <v>0</v>
      </c>
      <c r="EN45" s="171">
        <f>-'FS_Detail(M)'!EN121</f>
        <v>0</v>
      </c>
      <c r="EO45" s="171">
        <f>-'FS_Detail(M)'!EO121</f>
        <v>0</v>
      </c>
      <c r="EP45" s="171">
        <f>-'FS_Detail(M)'!EP121</f>
        <v>0</v>
      </c>
      <c r="EQ45" s="171">
        <f>-'FS_Detail(M)'!EQ121</f>
        <v>0</v>
      </c>
    </row>
    <row r="46" spans="2:147" ht="11.25" customHeight="1">
      <c r="B46" s="218"/>
      <c r="C46" s="163"/>
      <c r="D46" s="1017" t="s">
        <v>1020</v>
      </c>
      <c r="E46" s="1018"/>
      <c r="F46" s="1018"/>
      <c r="G46" s="1018"/>
      <c r="H46" s="1020"/>
      <c r="I46" s="1648"/>
      <c r="J46" s="997">
        <f t="shared" si="24"/>
        <v>0</v>
      </c>
      <c r="K46" s="98"/>
      <c r="L46" s="997">
        <f>-'FS_Detail(M)'!L126</f>
        <v>0</v>
      </c>
      <c r="M46" s="997">
        <f>-'FS_Detail(M)'!M126</f>
        <v>0</v>
      </c>
      <c r="N46" s="997">
        <f>-'FS_Detail(M)'!N126</f>
        <v>0</v>
      </c>
      <c r="O46" s="997">
        <f>-'FS_Detail(M)'!O126</f>
        <v>0</v>
      </c>
      <c r="P46" s="997">
        <f>-'FS_Detail(M)'!P126</f>
        <v>0</v>
      </c>
      <c r="Q46" s="997">
        <f>-'FS_Detail(M)'!Q126</f>
        <v>0</v>
      </c>
      <c r="R46" s="997">
        <f>-'FS_Detail(M)'!R126</f>
        <v>0</v>
      </c>
      <c r="S46" s="997">
        <f>-'FS_Detail(M)'!S126</f>
        <v>0</v>
      </c>
      <c r="T46" s="997">
        <f>-'FS_Detail(M)'!T126</f>
        <v>0</v>
      </c>
      <c r="U46" s="997">
        <f>-'FS_Detail(M)'!U126</f>
        <v>0</v>
      </c>
      <c r="V46" s="997">
        <f>-'FS_Detail(M)'!V126</f>
        <v>0</v>
      </c>
      <c r="W46" s="997">
        <f>-'FS_Detail(M)'!W126</f>
        <v>0</v>
      </c>
      <c r="X46" s="997">
        <f>-'FS_Detail(M)'!X126</f>
        <v>0</v>
      </c>
      <c r="Y46" s="997">
        <f>-'FS_Detail(M)'!Y126</f>
        <v>0</v>
      </c>
      <c r="Z46" s="997">
        <f>-'FS_Detail(M)'!Z126</f>
        <v>0</v>
      </c>
      <c r="AA46" s="997">
        <f>-'FS_Detail(M)'!AA126</f>
        <v>0</v>
      </c>
      <c r="AB46" s="997">
        <f>-'FS_Detail(M)'!AB126</f>
        <v>0</v>
      </c>
      <c r="AC46" s="997">
        <f>-'FS_Detail(M)'!AC126</f>
        <v>0</v>
      </c>
      <c r="AD46" s="997">
        <f>-'FS_Detail(M)'!AD126</f>
        <v>0</v>
      </c>
      <c r="AE46" s="997">
        <f>-'FS_Detail(M)'!AE126</f>
        <v>0</v>
      </c>
      <c r="AF46" s="997">
        <f>-'FS_Detail(M)'!AF126</f>
        <v>0</v>
      </c>
      <c r="AG46" s="997">
        <f>-'FS_Detail(M)'!AG126</f>
        <v>0</v>
      </c>
      <c r="AH46" s="997">
        <f>-'FS_Detail(M)'!AH126</f>
        <v>0</v>
      </c>
      <c r="AI46" s="997">
        <f>-'FS_Detail(M)'!AI126</f>
        <v>0</v>
      </c>
      <c r="AJ46" s="997">
        <f>-'FS_Detail(M)'!AJ126</f>
        <v>0</v>
      </c>
      <c r="AK46" s="997">
        <f>-'FS_Detail(M)'!AK126</f>
        <v>0</v>
      </c>
      <c r="AL46" s="997">
        <f>-'FS_Detail(M)'!AL126</f>
        <v>0</v>
      </c>
      <c r="AM46" s="997">
        <f>-'FS_Detail(M)'!AM126</f>
        <v>0</v>
      </c>
      <c r="AN46" s="997">
        <f>-'FS_Detail(M)'!AN126</f>
        <v>0</v>
      </c>
      <c r="AO46" s="997">
        <f>-'FS_Detail(M)'!AO126</f>
        <v>0</v>
      </c>
      <c r="AP46" s="997">
        <f>-'FS_Detail(M)'!AP126</f>
        <v>0</v>
      </c>
      <c r="AQ46" s="997">
        <f>-'FS_Detail(M)'!AQ126</f>
        <v>0</v>
      </c>
      <c r="AR46" s="997">
        <f>-'FS_Detail(M)'!AR126</f>
        <v>0</v>
      </c>
      <c r="AS46" s="997">
        <f>-'FS_Detail(M)'!AS126</f>
        <v>0</v>
      </c>
      <c r="AT46" s="997">
        <f>-'FS_Detail(M)'!AT126</f>
        <v>0</v>
      </c>
      <c r="AU46" s="997">
        <f>-'FS_Detail(M)'!AU126</f>
        <v>0</v>
      </c>
      <c r="AV46" s="997">
        <f>-'FS_Detail(M)'!AV126</f>
        <v>0</v>
      </c>
      <c r="AW46" s="997">
        <f>-'FS_Detail(M)'!AW126</f>
        <v>0</v>
      </c>
      <c r="AX46" s="997">
        <f>-'FS_Detail(M)'!AX126</f>
        <v>0</v>
      </c>
      <c r="AY46" s="997">
        <f>-'FS_Detail(M)'!AY126</f>
        <v>0</v>
      </c>
      <c r="AZ46" s="997">
        <f>-'FS_Detail(M)'!AZ126</f>
        <v>0</v>
      </c>
      <c r="BA46" s="997">
        <f>-'FS_Detail(M)'!BA126</f>
        <v>0</v>
      </c>
      <c r="BB46" s="997">
        <f>-'FS_Detail(M)'!BB126</f>
        <v>0</v>
      </c>
      <c r="BC46" s="997">
        <f>-'FS_Detail(M)'!BC126</f>
        <v>0</v>
      </c>
      <c r="BD46" s="997">
        <f>-'FS_Detail(M)'!BD126</f>
        <v>0</v>
      </c>
      <c r="BE46" s="997">
        <f>-'FS_Detail(M)'!BE126</f>
        <v>0</v>
      </c>
      <c r="BF46" s="997">
        <f>-'FS_Detail(M)'!BF126</f>
        <v>0</v>
      </c>
      <c r="BG46" s="997">
        <f>-'FS_Detail(M)'!BG126</f>
        <v>0</v>
      </c>
      <c r="BH46" s="997">
        <f>-'FS_Detail(M)'!BH126</f>
        <v>0</v>
      </c>
      <c r="BI46" s="997">
        <f>-'FS_Detail(M)'!BI126</f>
        <v>0</v>
      </c>
      <c r="BJ46" s="997">
        <f>-'FS_Detail(M)'!BJ126</f>
        <v>0</v>
      </c>
      <c r="BK46" s="997">
        <f>-'FS_Detail(M)'!BK126</f>
        <v>0</v>
      </c>
      <c r="BL46" s="997">
        <f>-'FS_Detail(M)'!BL126</f>
        <v>0</v>
      </c>
      <c r="BM46" s="997">
        <f>-'FS_Detail(M)'!BM126</f>
        <v>0</v>
      </c>
      <c r="BN46" s="997">
        <f>-'FS_Detail(M)'!BN126</f>
        <v>0</v>
      </c>
      <c r="BO46" s="997">
        <f>-'FS_Detail(M)'!BO126</f>
        <v>0</v>
      </c>
      <c r="BP46" s="997">
        <f>-'FS_Detail(M)'!BP126</f>
        <v>0</v>
      </c>
      <c r="BQ46" s="997">
        <f>-'FS_Detail(M)'!BQ126</f>
        <v>0</v>
      </c>
      <c r="BR46" s="997">
        <f>-'FS_Detail(M)'!BR126</f>
        <v>0</v>
      </c>
      <c r="BS46" s="997">
        <f>-'FS_Detail(M)'!BS126</f>
        <v>0</v>
      </c>
      <c r="BT46" s="997">
        <f>-'FS_Detail(M)'!BT126</f>
        <v>0</v>
      </c>
      <c r="BU46" s="997">
        <f>-'FS_Detail(M)'!BU126</f>
        <v>0</v>
      </c>
      <c r="BV46" s="997">
        <f>-'FS_Detail(M)'!BV126</f>
        <v>0</v>
      </c>
      <c r="BW46" s="997">
        <f>-'FS_Detail(M)'!BW126</f>
        <v>0</v>
      </c>
      <c r="BX46" s="997">
        <f>-'FS_Detail(M)'!BX126</f>
        <v>0</v>
      </c>
      <c r="BY46" s="997">
        <f>-'FS_Detail(M)'!BY126</f>
        <v>0</v>
      </c>
      <c r="BZ46" s="997">
        <f>-'FS_Detail(M)'!BZ126</f>
        <v>0</v>
      </c>
      <c r="CA46" s="997">
        <f>-'FS_Detail(M)'!CA126</f>
        <v>0</v>
      </c>
      <c r="CB46" s="997">
        <f>-'FS_Detail(M)'!CB126</f>
        <v>0</v>
      </c>
      <c r="CC46" s="997">
        <f>-'FS_Detail(M)'!CC126</f>
        <v>0</v>
      </c>
      <c r="CD46" s="997">
        <f>-'FS_Detail(M)'!CD126</f>
        <v>0</v>
      </c>
      <c r="CE46" s="997">
        <f>-'FS_Detail(M)'!CE126</f>
        <v>0</v>
      </c>
      <c r="CF46" s="997">
        <f>-'FS_Detail(M)'!CF126</f>
        <v>0</v>
      </c>
      <c r="CG46" s="997">
        <f>-'FS_Detail(M)'!CG126</f>
        <v>0</v>
      </c>
      <c r="CH46" s="997">
        <f>-'FS_Detail(M)'!CH126</f>
        <v>0</v>
      </c>
      <c r="CI46" s="997">
        <f>-'FS_Detail(M)'!CI126</f>
        <v>0</v>
      </c>
      <c r="CJ46" s="997">
        <f>-'FS_Detail(M)'!CJ126</f>
        <v>0</v>
      </c>
      <c r="CK46" s="997">
        <f>-'FS_Detail(M)'!CK126</f>
        <v>0</v>
      </c>
      <c r="CL46" s="997">
        <f>-'FS_Detail(M)'!CL126</f>
        <v>0</v>
      </c>
      <c r="CM46" s="997">
        <f>-'FS_Detail(M)'!CM126</f>
        <v>0</v>
      </c>
      <c r="CN46" s="997">
        <f>-'FS_Detail(M)'!CN126</f>
        <v>0</v>
      </c>
      <c r="CO46" s="997">
        <f>-'FS_Detail(M)'!CO126</f>
        <v>0</v>
      </c>
      <c r="CP46" s="997">
        <f>-'FS_Detail(M)'!CP126</f>
        <v>0</v>
      </c>
      <c r="CQ46" s="997">
        <f>-'FS_Detail(M)'!CQ126</f>
        <v>0</v>
      </c>
      <c r="CR46" s="997">
        <f>-'FS_Detail(M)'!CR126</f>
        <v>0</v>
      </c>
      <c r="CS46" s="997">
        <f>-'FS_Detail(M)'!CS126</f>
        <v>0</v>
      </c>
      <c r="CT46" s="997">
        <f>-'FS_Detail(M)'!CT126</f>
        <v>0</v>
      </c>
      <c r="CU46" s="997">
        <f>-'FS_Detail(M)'!CU126</f>
        <v>0</v>
      </c>
      <c r="CV46" s="997">
        <f>-'FS_Detail(M)'!CV126</f>
        <v>0</v>
      </c>
      <c r="CW46" s="997">
        <f>-'FS_Detail(M)'!CW126</f>
        <v>0</v>
      </c>
      <c r="CX46" s="997">
        <f>-'FS_Detail(M)'!CX126</f>
        <v>0</v>
      </c>
      <c r="CY46" s="997">
        <f>-'FS_Detail(M)'!CY126</f>
        <v>0</v>
      </c>
      <c r="CZ46" s="997">
        <f>-'FS_Detail(M)'!CZ126</f>
        <v>0</v>
      </c>
      <c r="DA46" s="997">
        <f>-'FS_Detail(M)'!DA126</f>
        <v>0</v>
      </c>
      <c r="DB46" s="997">
        <f>-'FS_Detail(M)'!DB126</f>
        <v>0</v>
      </c>
      <c r="DC46" s="997">
        <f>-'FS_Detail(M)'!DC126</f>
        <v>0</v>
      </c>
      <c r="DD46" s="997">
        <f>-'FS_Detail(M)'!DD126</f>
        <v>0</v>
      </c>
      <c r="DE46" s="997">
        <f>-'FS_Detail(M)'!DE126</f>
        <v>0</v>
      </c>
      <c r="DF46" s="997">
        <f>-'FS_Detail(M)'!DF126</f>
        <v>0</v>
      </c>
      <c r="DG46" s="997">
        <f>-'FS_Detail(M)'!DG126</f>
        <v>0</v>
      </c>
      <c r="DH46" s="997">
        <f>-'FS_Detail(M)'!DH126</f>
        <v>0</v>
      </c>
      <c r="DI46" s="997">
        <f>-'FS_Detail(M)'!DI126</f>
        <v>0</v>
      </c>
      <c r="DJ46" s="997">
        <f>-'FS_Detail(M)'!DJ126</f>
        <v>0</v>
      </c>
      <c r="DK46" s="997">
        <f>-'FS_Detail(M)'!DK126</f>
        <v>0</v>
      </c>
      <c r="DL46" s="997">
        <f>-'FS_Detail(M)'!DL126</f>
        <v>0</v>
      </c>
      <c r="DM46" s="997">
        <f>-'FS_Detail(M)'!DM126</f>
        <v>0</v>
      </c>
      <c r="DN46" s="997">
        <f>-'FS_Detail(M)'!DN126</f>
        <v>0</v>
      </c>
      <c r="DO46" s="997">
        <f>-'FS_Detail(M)'!DO126</f>
        <v>0</v>
      </c>
      <c r="DP46" s="997">
        <f>-'FS_Detail(M)'!DP126</f>
        <v>0</v>
      </c>
      <c r="DQ46" s="997">
        <f>-'FS_Detail(M)'!DQ126</f>
        <v>0</v>
      </c>
      <c r="DR46" s="997">
        <f>-'FS_Detail(M)'!DR126</f>
        <v>0</v>
      </c>
      <c r="DS46" s="997">
        <f>-'FS_Detail(M)'!DS126</f>
        <v>0</v>
      </c>
      <c r="DT46" s="997">
        <f>-'FS_Detail(M)'!DT126</f>
        <v>0</v>
      </c>
      <c r="DU46" s="997">
        <f>-'FS_Detail(M)'!DU126</f>
        <v>0</v>
      </c>
      <c r="DV46" s="997">
        <f>-'FS_Detail(M)'!DV126</f>
        <v>0</v>
      </c>
      <c r="DW46" s="997">
        <f>-'FS_Detail(M)'!DW126</f>
        <v>0</v>
      </c>
      <c r="DX46" s="997">
        <f>-'FS_Detail(M)'!DX126</f>
        <v>0</v>
      </c>
      <c r="DY46" s="997">
        <f>-'FS_Detail(M)'!DY126</f>
        <v>0</v>
      </c>
      <c r="DZ46" s="997">
        <f>-'FS_Detail(M)'!DZ126</f>
        <v>0</v>
      </c>
      <c r="EA46" s="997">
        <f>-'FS_Detail(M)'!EA126</f>
        <v>0</v>
      </c>
      <c r="EB46" s="997">
        <f>-'FS_Detail(M)'!EB126</f>
        <v>0</v>
      </c>
      <c r="EC46" s="997">
        <f>-'FS_Detail(M)'!EC126</f>
        <v>0</v>
      </c>
      <c r="ED46" s="997">
        <f>-'FS_Detail(M)'!ED126</f>
        <v>0</v>
      </c>
      <c r="EE46" s="997">
        <f>-'FS_Detail(M)'!EE126</f>
        <v>0</v>
      </c>
      <c r="EF46" s="997">
        <f>-'FS_Detail(M)'!EF126</f>
        <v>0</v>
      </c>
      <c r="EG46" s="997">
        <f>-'FS_Detail(M)'!EG126</f>
        <v>0</v>
      </c>
      <c r="EH46" s="997">
        <f>-'FS_Detail(M)'!EH126</f>
        <v>0</v>
      </c>
      <c r="EI46" s="997">
        <f>-'FS_Detail(M)'!EI126</f>
        <v>0</v>
      </c>
      <c r="EJ46" s="997">
        <f>-'FS_Detail(M)'!EJ126</f>
        <v>0</v>
      </c>
      <c r="EK46" s="997">
        <f>-'FS_Detail(M)'!EK126</f>
        <v>0</v>
      </c>
      <c r="EL46" s="997">
        <f>-'FS_Detail(M)'!EL126</f>
        <v>0</v>
      </c>
      <c r="EM46" s="997">
        <f>-'FS_Detail(M)'!EM126</f>
        <v>0</v>
      </c>
      <c r="EN46" s="997">
        <f>-'FS_Detail(M)'!EN126</f>
        <v>0</v>
      </c>
      <c r="EO46" s="997">
        <f>-'FS_Detail(M)'!EO126</f>
        <v>0</v>
      </c>
      <c r="EP46" s="997">
        <f>-'FS_Detail(M)'!EP126</f>
        <v>0</v>
      </c>
      <c r="EQ46" s="997">
        <f>-'FS_Detail(M)'!EQ126</f>
        <v>0</v>
      </c>
    </row>
    <row r="47" spans="2:147" ht="11.25" customHeight="1">
      <c r="B47" s="218"/>
      <c r="C47" s="163"/>
      <c r="D47" s="169" t="s">
        <v>467</v>
      </c>
      <c r="H47" s="146"/>
      <c r="I47" s="13"/>
      <c r="J47" s="171">
        <f t="shared" si="24"/>
        <v>-144637.53334348497</v>
      </c>
      <c r="K47" s="98"/>
      <c r="L47" s="171">
        <f>-'FS_Detail(M)'!L131</f>
        <v>0</v>
      </c>
      <c r="M47" s="171">
        <f>-'FS_Detail(M)'!M131</f>
        <v>0</v>
      </c>
      <c r="N47" s="171">
        <f>-'FS_Detail(M)'!N131</f>
        <v>0</v>
      </c>
      <c r="O47" s="171">
        <f>-'FS_Detail(M)'!O131</f>
        <v>-144637.53334348497</v>
      </c>
      <c r="P47" s="171">
        <f>-'FS_Detail(M)'!P131</f>
        <v>0</v>
      </c>
      <c r="Q47" s="171">
        <f>-'FS_Detail(M)'!Q131</f>
        <v>0</v>
      </c>
      <c r="R47" s="171">
        <f>-'FS_Detail(M)'!R131</f>
        <v>0</v>
      </c>
      <c r="S47" s="171">
        <f>-'FS_Detail(M)'!S131</f>
        <v>0</v>
      </c>
      <c r="T47" s="171">
        <f>-'FS_Detail(M)'!T131</f>
        <v>0</v>
      </c>
      <c r="U47" s="171">
        <f>-'FS_Detail(M)'!U131</f>
        <v>0</v>
      </c>
      <c r="V47" s="171">
        <f>-'FS_Detail(M)'!V131</f>
        <v>0</v>
      </c>
      <c r="W47" s="171">
        <f>-'FS_Detail(M)'!W131</f>
        <v>0</v>
      </c>
      <c r="X47" s="171">
        <f>-'FS_Detail(M)'!X131</f>
        <v>0</v>
      </c>
      <c r="Y47" s="171">
        <f>-'FS_Detail(M)'!Y131</f>
        <v>0</v>
      </c>
      <c r="Z47" s="171">
        <f>-'FS_Detail(M)'!Z131</f>
        <v>0</v>
      </c>
      <c r="AA47" s="171">
        <f>-'FS_Detail(M)'!AA131</f>
        <v>0</v>
      </c>
      <c r="AB47" s="171">
        <f>-'FS_Detail(M)'!AB131</f>
        <v>0</v>
      </c>
      <c r="AC47" s="171">
        <f>-'FS_Detail(M)'!AC131</f>
        <v>0</v>
      </c>
      <c r="AD47" s="171">
        <f>-'FS_Detail(M)'!AD131</f>
        <v>0</v>
      </c>
      <c r="AE47" s="171">
        <f>-'FS_Detail(M)'!AE131</f>
        <v>0</v>
      </c>
      <c r="AF47" s="171">
        <f>-'FS_Detail(M)'!AF131</f>
        <v>0</v>
      </c>
      <c r="AG47" s="171">
        <f>-'FS_Detail(M)'!AG131</f>
        <v>0</v>
      </c>
      <c r="AH47" s="171">
        <f>-'FS_Detail(M)'!AH131</f>
        <v>0</v>
      </c>
      <c r="AI47" s="171">
        <f>-'FS_Detail(M)'!AI131</f>
        <v>0</v>
      </c>
      <c r="AJ47" s="171">
        <f>-'FS_Detail(M)'!AJ131</f>
        <v>0</v>
      </c>
      <c r="AK47" s="171">
        <f>-'FS_Detail(M)'!AK131</f>
        <v>0</v>
      </c>
      <c r="AL47" s="171">
        <f>-'FS_Detail(M)'!AL131</f>
        <v>0</v>
      </c>
      <c r="AM47" s="171">
        <f>-'FS_Detail(M)'!AM131</f>
        <v>0</v>
      </c>
      <c r="AN47" s="171">
        <f>-'FS_Detail(M)'!AN131</f>
        <v>0</v>
      </c>
      <c r="AO47" s="171">
        <f>-'FS_Detail(M)'!AO131</f>
        <v>0</v>
      </c>
      <c r="AP47" s="171">
        <f>-'FS_Detail(M)'!AP131</f>
        <v>0</v>
      </c>
      <c r="AQ47" s="171">
        <f>-'FS_Detail(M)'!AQ131</f>
        <v>0</v>
      </c>
      <c r="AR47" s="171">
        <f>-'FS_Detail(M)'!AR131</f>
        <v>0</v>
      </c>
      <c r="AS47" s="171">
        <f>-'FS_Detail(M)'!AS131</f>
        <v>0</v>
      </c>
      <c r="AT47" s="171">
        <f>-'FS_Detail(M)'!AT131</f>
        <v>0</v>
      </c>
      <c r="AU47" s="171">
        <f>-'FS_Detail(M)'!AU131</f>
        <v>0</v>
      </c>
      <c r="AV47" s="171">
        <f>-'FS_Detail(M)'!AV131</f>
        <v>0</v>
      </c>
      <c r="AW47" s="171">
        <f>-'FS_Detail(M)'!AW131</f>
        <v>0</v>
      </c>
      <c r="AX47" s="171">
        <f>-'FS_Detail(M)'!AX131</f>
        <v>0</v>
      </c>
      <c r="AY47" s="171">
        <f>-'FS_Detail(M)'!AY131</f>
        <v>0</v>
      </c>
      <c r="AZ47" s="171">
        <f>-'FS_Detail(M)'!AZ131</f>
        <v>0</v>
      </c>
      <c r="BA47" s="171">
        <f>-'FS_Detail(M)'!BA131</f>
        <v>0</v>
      </c>
      <c r="BB47" s="171">
        <f>-'FS_Detail(M)'!BB131</f>
        <v>0</v>
      </c>
      <c r="BC47" s="171">
        <f>-'FS_Detail(M)'!BC131</f>
        <v>0</v>
      </c>
      <c r="BD47" s="171">
        <f>-'FS_Detail(M)'!BD131</f>
        <v>0</v>
      </c>
      <c r="BE47" s="171">
        <f>-'FS_Detail(M)'!BE131</f>
        <v>0</v>
      </c>
      <c r="BF47" s="171">
        <f>-'FS_Detail(M)'!BF131</f>
        <v>0</v>
      </c>
      <c r="BG47" s="171">
        <f>-'FS_Detail(M)'!BG131</f>
        <v>0</v>
      </c>
      <c r="BH47" s="171">
        <f>-'FS_Detail(M)'!BH131</f>
        <v>0</v>
      </c>
      <c r="BI47" s="171">
        <f>-'FS_Detail(M)'!BI131</f>
        <v>0</v>
      </c>
      <c r="BJ47" s="171">
        <f>-'FS_Detail(M)'!BJ131</f>
        <v>0</v>
      </c>
      <c r="BK47" s="171">
        <f>-'FS_Detail(M)'!BK131</f>
        <v>0</v>
      </c>
      <c r="BL47" s="171">
        <f>-'FS_Detail(M)'!BL131</f>
        <v>0</v>
      </c>
      <c r="BM47" s="171">
        <f>-'FS_Detail(M)'!BM131</f>
        <v>0</v>
      </c>
      <c r="BN47" s="171">
        <f>-'FS_Detail(M)'!BN131</f>
        <v>0</v>
      </c>
      <c r="BO47" s="171">
        <f>-'FS_Detail(M)'!BO131</f>
        <v>0</v>
      </c>
      <c r="BP47" s="171">
        <f>-'FS_Detail(M)'!BP131</f>
        <v>0</v>
      </c>
      <c r="BQ47" s="171">
        <f>-'FS_Detail(M)'!BQ131</f>
        <v>0</v>
      </c>
      <c r="BR47" s="171">
        <f>-'FS_Detail(M)'!BR131</f>
        <v>0</v>
      </c>
      <c r="BS47" s="171">
        <f>-'FS_Detail(M)'!BS131</f>
        <v>0</v>
      </c>
      <c r="BT47" s="171">
        <f>-'FS_Detail(M)'!BT131</f>
        <v>0</v>
      </c>
      <c r="BU47" s="171">
        <f>-'FS_Detail(M)'!BU131</f>
        <v>0</v>
      </c>
      <c r="BV47" s="171">
        <f>-'FS_Detail(M)'!BV131</f>
        <v>0</v>
      </c>
      <c r="BW47" s="171">
        <f>-'FS_Detail(M)'!BW131</f>
        <v>0</v>
      </c>
      <c r="BX47" s="171">
        <f>-'FS_Detail(M)'!BX131</f>
        <v>0</v>
      </c>
      <c r="BY47" s="171">
        <f>-'FS_Detail(M)'!BY131</f>
        <v>0</v>
      </c>
      <c r="BZ47" s="171">
        <f>-'FS_Detail(M)'!BZ131</f>
        <v>0</v>
      </c>
      <c r="CA47" s="171">
        <f>-'FS_Detail(M)'!CA131</f>
        <v>0</v>
      </c>
      <c r="CB47" s="171">
        <f>-'FS_Detail(M)'!CB131</f>
        <v>0</v>
      </c>
      <c r="CC47" s="171">
        <f>-'FS_Detail(M)'!CC131</f>
        <v>0</v>
      </c>
      <c r="CD47" s="171">
        <f>-'FS_Detail(M)'!CD131</f>
        <v>0</v>
      </c>
      <c r="CE47" s="171">
        <f>-'FS_Detail(M)'!CE131</f>
        <v>0</v>
      </c>
      <c r="CF47" s="171">
        <f>-'FS_Detail(M)'!CF131</f>
        <v>0</v>
      </c>
      <c r="CG47" s="171">
        <f>-'FS_Detail(M)'!CG131</f>
        <v>0</v>
      </c>
      <c r="CH47" s="171">
        <f>-'FS_Detail(M)'!CH131</f>
        <v>0</v>
      </c>
      <c r="CI47" s="171">
        <f>-'FS_Detail(M)'!CI131</f>
        <v>0</v>
      </c>
      <c r="CJ47" s="171">
        <f>-'FS_Detail(M)'!CJ131</f>
        <v>0</v>
      </c>
      <c r="CK47" s="171">
        <f>-'FS_Detail(M)'!CK131</f>
        <v>0</v>
      </c>
      <c r="CL47" s="171">
        <f>-'FS_Detail(M)'!CL131</f>
        <v>0</v>
      </c>
      <c r="CM47" s="171">
        <f>-'FS_Detail(M)'!CM131</f>
        <v>0</v>
      </c>
      <c r="CN47" s="171">
        <f>-'FS_Detail(M)'!CN131</f>
        <v>0</v>
      </c>
      <c r="CO47" s="171">
        <f>-'FS_Detail(M)'!CO131</f>
        <v>0</v>
      </c>
      <c r="CP47" s="171">
        <f>-'FS_Detail(M)'!CP131</f>
        <v>0</v>
      </c>
      <c r="CQ47" s="171">
        <f>-'FS_Detail(M)'!CQ131</f>
        <v>0</v>
      </c>
      <c r="CR47" s="171">
        <f>-'FS_Detail(M)'!CR131</f>
        <v>0</v>
      </c>
      <c r="CS47" s="171">
        <f>-'FS_Detail(M)'!CS131</f>
        <v>0</v>
      </c>
      <c r="CT47" s="171">
        <f>-'FS_Detail(M)'!CT131</f>
        <v>0</v>
      </c>
      <c r="CU47" s="171">
        <f>-'FS_Detail(M)'!CU131</f>
        <v>0</v>
      </c>
      <c r="CV47" s="171">
        <f>-'FS_Detail(M)'!CV131</f>
        <v>0</v>
      </c>
      <c r="CW47" s="171">
        <f>-'FS_Detail(M)'!CW131</f>
        <v>0</v>
      </c>
      <c r="CX47" s="171">
        <f>-'FS_Detail(M)'!CX131</f>
        <v>0</v>
      </c>
      <c r="CY47" s="171">
        <f>-'FS_Detail(M)'!CY131</f>
        <v>0</v>
      </c>
      <c r="CZ47" s="171">
        <f>-'FS_Detail(M)'!CZ131</f>
        <v>0</v>
      </c>
      <c r="DA47" s="171">
        <f>-'FS_Detail(M)'!DA131</f>
        <v>0</v>
      </c>
      <c r="DB47" s="171">
        <f>-'FS_Detail(M)'!DB131</f>
        <v>0</v>
      </c>
      <c r="DC47" s="171">
        <f>-'FS_Detail(M)'!DC131</f>
        <v>0</v>
      </c>
      <c r="DD47" s="171">
        <f>-'FS_Detail(M)'!DD131</f>
        <v>0</v>
      </c>
      <c r="DE47" s="171">
        <f>-'FS_Detail(M)'!DE131</f>
        <v>0</v>
      </c>
      <c r="DF47" s="171">
        <f>-'FS_Detail(M)'!DF131</f>
        <v>0</v>
      </c>
      <c r="DG47" s="171">
        <f>-'FS_Detail(M)'!DG131</f>
        <v>0</v>
      </c>
      <c r="DH47" s="171">
        <f>-'FS_Detail(M)'!DH131</f>
        <v>0</v>
      </c>
      <c r="DI47" s="171">
        <f>-'FS_Detail(M)'!DI131</f>
        <v>0</v>
      </c>
      <c r="DJ47" s="171">
        <f>-'FS_Detail(M)'!DJ131</f>
        <v>0</v>
      </c>
      <c r="DK47" s="171">
        <f>-'FS_Detail(M)'!DK131</f>
        <v>0</v>
      </c>
      <c r="DL47" s="171">
        <f>-'FS_Detail(M)'!DL131</f>
        <v>0</v>
      </c>
      <c r="DM47" s="171">
        <f>-'FS_Detail(M)'!DM131</f>
        <v>0</v>
      </c>
      <c r="DN47" s="171">
        <f>-'FS_Detail(M)'!DN131</f>
        <v>0</v>
      </c>
      <c r="DO47" s="171">
        <f>-'FS_Detail(M)'!DO131</f>
        <v>0</v>
      </c>
      <c r="DP47" s="171">
        <f>-'FS_Detail(M)'!DP131</f>
        <v>0</v>
      </c>
      <c r="DQ47" s="171">
        <f>-'FS_Detail(M)'!DQ131</f>
        <v>0</v>
      </c>
      <c r="DR47" s="171">
        <f>-'FS_Detail(M)'!DR131</f>
        <v>0</v>
      </c>
      <c r="DS47" s="171">
        <f>-'FS_Detail(M)'!DS131</f>
        <v>0</v>
      </c>
      <c r="DT47" s="171">
        <f>-'FS_Detail(M)'!DT131</f>
        <v>0</v>
      </c>
      <c r="DU47" s="171">
        <f>-'FS_Detail(M)'!DU131</f>
        <v>0</v>
      </c>
      <c r="DV47" s="171">
        <f>-'FS_Detail(M)'!DV131</f>
        <v>0</v>
      </c>
      <c r="DW47" s="171">
        <f>-'FS_Detail(M)'!DW131</f>
        <v>0</v>
      </c>
      <c r="DX47" s="171">
        <f>-'FS_Detail(M)'!DX131</f>
        <v>0</v>
      </c>
      <c r="DY47" s="171">
        <f>-'FS_Detail(M)'!DY131</f>
        <v>0</v>
      </c>
      <c r="DZ47" s="171">
        <f>-'FS_Detail(M)'!DZ131</f>
        <v>0</v>
      </c>
      <c r="EA47" s="171">
        <f>-'FS_Detail(M)'!EA131</f>
        <v>0</v>
      </c>
      <c r="EB47" s="171">
        <f>-'FS_Detail(M)'!EB131</f>
        <v>0</v>
      </c>
      <c r="EC47" s="171">
        <f>-'FS_Detail(M)'!EC131</f>
        <v>0</v>
      </c>
      <c r="ED47" s="171">
        <f>-'FS_Detail(M)'!ED131</f>
        <v>0</v>
      </c>
      <c r="EE47" s="171">
        <f>-'FS_Detail(M)'!EE131</f>
        <v>0</v>
      </c>
      <c r="EF47" s="171">
        <f>-'FS_Detail(M)'!EF131</f>
        <v>0</v>
      </c>
      <c r="EG47" s="171">
        <f>-'FS_Detail(M)'!EG131</f>
        <v>0</v>
      </c>
      <c r="EH47" s="171">
        <f>-'FS_Detail(M)'!EH131</f>
        <v>0</v>
      </c>
      <c r="EI47" s="171">
        <f>-'FS_Detail(M)'!EI131</f>
        <v>0</v>
      </c>
      <c r="EJ47" s="171">
        <f>-'FS_Detail(M)'!EJ131</f>
        <v>0</v>
      </c>
      <c r="EK47" s="171">
        <f>-'FS_Detail(M)'!EK131</f>
        <v>0</v>
      </c>
      <c r="EL47" s="171">
        <f>-'FS_Detail(M)'!EL131</f>
        <v>0</v>
      </c>
      <c r="EM47" s="171">
        <f>-'FS_Detail(M)'!EM131</f>
        <v>0</v>
      </c>
      <c r="EN47" s="171">
        <f>-'FS_Detail(M)'!EN131</f>
        <v>0</v>
      </c>
      <c r="EO47" s="171">
        <f>-'FS_Detail(M)'!EO131</f>
        <v>0</v>
      </c>
      <c r="EP47" s="171">
        <f>-'FS_Detail(M)'!EP131</f>
        <v>0</v>
      </c>
      <c r="EQ47" s="171">
        <f>-'FS_Detail(M)'!EQ131</f>
        <v>0</v>
      </c>
    </row>
    <row r="48" spans="2:147" ht="11.25" customHeight="1">
      <c r="B48" s="218"/>
      <c r="C48" s="163"/>
      <c r="D48" s="169" t="s">
        <v>616</v>
      </c>
      <c r="H48" s="146"/>
      <c r="I48" s="13"/>
      <c r="J48" s="171">
        <f t="shared" si="24"/>
        <v>0</v>
      </c>
      <c r="K48" s="98"/>
      <c r="L48" s="171">
        <f>-SUM('FS_Detail(M)'!L136,'FS_Detail(M)'!L141)</f>
        <v>0</v>
      </c>
      <c r="M48" s="171">
        <f>-SUM('FS_Detail(M)'!M136,'FS_Detail(M)'!M141)</f>
        <v>0</v>
      </c>
      <c r="N48" s="171">
        <f>-SUM('FS_Detail(M)'!N136,'FS_Detail(M)'!N141)</f>
        <v>0</v>
      </c>
      <c r="O48" s="171">
        <f>-SUM('FS_Detail(M)'!O136,'FS_Detail(M)'!O141)</f>
        <v>0</v>
      </c>
      <c r="P48" s="171">
        <f>-SUM('FS_Detail(M)'!P136,'FS_Detail(M)'!P141)</f>
        <v>0</v>
      </c>
      <c r="Q48" s="171">
        <f>-SUM('FS_Detail(M)'!Q136,'FS_Detail(M)'!Q141)</f>
        <v>0</v>
      </c>
      <c r="R48" s="171">
        <f>-SUM('FS_Detail(M)'!R136,'FS_Detail(M)'!R141)</f>
        <v>0</v>
      </c>
      <c r="S48" s="171">
        <f>-SUM('FS_Detail(M)'!S136,'FS_Detail(M)'!S141)</f>
        <v>0</v>
      </c>
      <c r="T48" s="171">
        <f>-SUM('FS_Detail(M)'!T136,'FS_Detail(M)'!T141)</f>
        <v>0</v>
      </c>
      <c r="U48" s="171">
        <f>-SUM('FS_Detail(M)'!U136,'FS_Detail(M)'!U141)</f>
        <v>0</v>
      </c>
      <c r="V48" s="171">
        <f>-SUM('FS_Detail(M)'!V136,'FS_Detail(M)'!V141)</f>
        <v>0</v>
      </c>
      <c r="W48" s="171">
        <f>-SUM('FS_Detail(M)'!W136,'FS_Detail(M)'!W141)</f>
        <v>0</v>
      </c>
      <c r="X48" s="171">
        <f>-SUM('FS_Detail(M)'!X136,'FS_Detail(M)'!X141)</f>
        <v>0</v>
      </c>
      <c r="Y48" s="171">
        <f>-SUM('FS_Detail(M)'!Y136,'FS_Detail(M)'!Y141)</f>
        <v>0</v>
      </c>
      <c r="Z48" s="171">
        <f>-SUM('FS_Detail(M)'!Z136,'FS_Detail(M)'!Z141)</f>
        <v>0</v>
      </c>
      <c r="AA48" s="171">
        <f>-SUM('FS_Detail(M)'!AA136,'FS_Detail(M)'!AA141)</f>
        <v>0</v>
      </c>
      <c r="AB48" s="171">
        <f>-SUM('FS_Detail(M)'!AB136,'FS_Detail(M)'!AB141)</f>
        <v>0</v>
      </c>
      <c r="AC48" s="171">
        <f>-SUM('FS_Detail(M)'!AC136,'FS_Detail(M)'!AC141)</f>
        <v>0</v>
      </c>
      <c r="AD48" s="171">
        <f>-SUM('FS_Detail(M)'!AD136,'FS_Detail(M)'!AD141)</f>
        <v>0</v>
      </c>
      <c r="AE48" s="171">
        <f>-SUM('FS_Detail(M)'!AE136,'FS_Detail(M)'!AE141)</f>
        <v>0</v>
      </c>
      <c r="AF48" s="171">
        <f>-SUM('FS_Detail(M)'!AF136,'FS_Detail(M)'!AF141)</f>
        <v>0</v>
      </c>
      <c r="AG48" s="171">
        <f>-SUM('FS_Detail(M)'!AG136,'FS_Detail(M)'!AG141)</f>
        <v>0</v>
      </c>
      <c r="AH48" s="171">
        <f>-SUM('FS_Detail(M)'!AH136,'FS_Detail(M)'!AH141)</f>
        <v>0</v>
      </c>
      <c r="AI48" s="171">
        <f>-SUM('FS_Detail(M)'!AI136,'FS_Detail(M)'!AI141)</f>
        <v>0</v>
      </c>
      <c r="AJ48" s="171">
        <f>-SUM('FS_Detail(M)'!AJ136,'FS_Detail(M)'!AJ141)</f>
        <v>0</v>
      </c>
      <c r="AK48" s="171">
        <f>-SUM('FS_Detail(M)'!AK136,'FS_Detail(M)'!AK141)</f>
        <v>0</v>
      </c>
      <c r="AL48" s="171">
        <f>-SUM('FS_Detail(M)'!AL136,'FS_Detail(M)'!AL141)</f>
        <v>0</v>
      </c>
      <c r="AM48" s="171">
        <f>-SUM('FS_Detail(M)'!AM136,'FS_Detail(M)'!AM141)</f>
        <v>0</v>
      </c>
      <c r="AN48" s="171">
        <f>-SUM('FS_Detail(M)'!AN136,'FS_Detail(M)'!AN141)</f>
        <v>0</v>
      </c>
      <c r="AO48" s="171">
        <f>-SUM('FS_Detail(M)'!AO136,'FS_Detail(M)'!AO141)</f>
        <v>0</v>
      </c>
      <c r="AP48" s="171">
        <f>-SUM('FS_Detail(M)'!AP136,'FS_Detail(M)'!AP141)</f>
        <v>0</v>
      </c>
      <c r="AQ48" s="171">
        <f>-SUM('FS_Detail(M)'!AQ136,'FS_Detail(M)'!AQ141)</f>
        <v>0</v>
      </c>
      <c r="AR48" s="171">
        <f>-SUM('FS_Detail(M)'!AR136,'FS_Detail(M)'!AR141)</f>
        <v>0</v>
      </c>
      <c r="AS48" s="171">
        <f>-SUM('FS_Detail(M)'!AS136,'FS_Detail(M)'!AS141)</f>
        <v>0</v>
      </c>
      <c r="AT48" s="171">
        <f>-SUM('FS_Detail(M)'!AT136,'FS_Detail(M)'!AT141)</f>
        <v>0</v>
      </c>
      <c r="AU48" s="171">
        <f>-SUM('FS_Detail(M)'!AU136,'FS_Detail(M)'!AU141)</f>
        <v>0</v>
      </c>
      <c r="AV48" s="171">
        <f>-SUM('FS_Detail(M)'!AV136,'FS_Detail(M)'!AV141)</f>
        <v>0</v>
      </c>
      <c r="AW48" s="171">
        <f>-SUM('FS_Detail(M)'!AW136,'FS_Detail(M)'!AW141)</f>
        <v>0</v>
      </c>
      <c r="AX48" s="171">
        <f>-SUM('FS_Detail(M)'!AX136,'FS_Detail(M)'!AX141)</f>
        <v>0</v>
      </c>
      <c r="AY48" s="171">
        <f>-SUM('FS_Detail(M)'!AY136,'FS_Detail(M)'!AY141)</f>
        <v>0</v>
      </c>
      <c r="AZ48" s="171">
        <f>-SUM('FS_Detail(M)'!AZ136,'FS_Detail(M)'!AZ141)</f>
        <v>0</v>
      </c>
      <c r="BA48" s="171">
        <f>-SUM('FS_Detail(M)'!BA136,'FS_Detail(M)'!BA141)</f>
        <v>0</v>
      </c>
      <c r="BB48" s="171">
        <f>-SUM('FS_Detail(M)'!BB136,'FS_Detail(M)'!BB141)</f>
        <v>0</v>
      </c>
      <c r="BC48" s="171">
        <f>-SUM('FS_Detail(M)'!BC136,'FS_Detail(M)'!BC141)</f>
        <v>0</v>
      </c>
      <c r="BD48" s="171">
        <f>-SUM('FS_Detail(M)'!BD136,'FS_Detail(M)'!BD141)</f>
        <v>0</v>
      </c>
      <c r="BE48" s="171">
        <f>-SUM('FS_Detail(M)'!BE136,'FS_Detail(M)'!BE141)</f>
        <v>0</v>
      </c>
      <c r="BF48" s="171">
        <f>-SUM('FS_Detail(M)'!BF136,'FS_Detail(M)'!BF141)</f>
        <v>0</v>
      </c>
      <c r="BG48" s="171">
        <f>-SUM('FS_Detail(M)'!BG136,'FS_Detail(M)'!BG141)</f>
        <v>0</v>
      </c>
      <c r="BH48" s="171">
        <f>-SUM('FS_Detail(M)'!BH136,'FS_Detail(M)'!BH141)</f>
        <v>0</v>
      </c>
      <c r="BI48" s="171">
        <f>-SUM('FS_Detail(M)'!BI136,'FS_Detail(M)'!BI141)</f>
        <v>0</v>
      </c>
      <c r="BJ48" s="171">
        <f>-SUM('FS_Detail(M)'!BJ136,'FS_Detail(M)'!BJ141)</f>
        <v>0</v>
      </c>
      <c r="BK48" s="171">
        <f>-SUM('FS_Detail(M)'!BK136,'FS_Detail(M)'!BK141)</f>
        <v>0</v>
      </c>
      <c r="BL48" s="171">
        <f>-SUM('FS_Detail(M)'!BL136,'FS_Detail(M)'!BL141)</f>
        <v>0</v>
      </c>
      <c r="BM48" s="171">
        <f>-SUM('FS_Detail(M)'!BM136,'FS_Detail(M)'!BM141)</f>
        <v>0</v>
      </c>
      <c r="BN48" s="171">
        <f>-SUM('FS_Detail(M)'!BN136,'FS_Detail(M)'!BN141)</f>
        <v>0</v>
      </c>
      <c r="BO48" s="171">
        <f>-SUM('FS_Detail(M)'!BO136,'FS_Detail(M)'!BO141)</f>
        <v>0</v>
      </c>
      <c r="BP48" s="171">
        <f>-SUM('FS_Detail(M)'!BP136,'FS_Detail(M)'!BP141)</f>
        <v>0</v>
      </c>
      <c r="BQ48" s="171">
        <f>-SUM('FS_Detail(M)'!BQ136,'FS_Detail(M)'!BQ141)</f>
        <v>0</v>
      </c>
      <c r="BR48" s="171">
        <f>-SUM('FS_Detail(M)'!BR136,'FS_Detail(M)'!BR141)</f>
        <v>0</v>
      </c>
      <c r="BS48" s="171">
        <f>-SUM('FS_Detail(M)'!BS136,'FS_Detail(M)'!BS141)</f>
        <v>0</v>
      </c>
      <c r="BT48" s="171">
        <f>-SUM('FS_Detail(M)'!BT136,'FS_Detail(M)'!BT141)</f>
        <v>0</v>
      </c>
      <c r="BU48" s="171">
        <f>-SUM('FS_Detail(M)'!BU136,'FS_Detail(M)'!BU141)</f>
        <v>0</v>
      </c>
      <c r="BV48" s="171">
        <f>-SUM('FS_Detail(M)'!BV136,'FS_Detail(M)'!BV141)</f>
        <v>0</v>
      </c>
      <c r="BW48" s="171">
        <f>-SUM('FS_Detail(M)'!BW136,'FS_Detail(M)'!BW141)</f>
        <v>0</v>
      </c>
      <c r="BX48" s="171">
        <f>-SUM('FS_Detail(M)'!BX136,'FS_Detail(M)'!BX141)</f>
        <v>0</v>
      </c>
      <c r="BY48" s="171">
        <f>-SUM('FS_Detail(M)'!BY136,'FS_Detail(M)'!BY141)</f>
        <v>0</v>
      </c>
      <c r="BZ48" s="171">
        <f>-SUM('FS_Detail(M)'!BZ136,'FS_Detail(M)'!BZ141)</f>
        <v>0</v>
      </c>
      <c r="CA48" s="171">
        <f>-SUM('FS_Detail(M)'!CA136,'FS_Detail(M)'!CA141)</f>
        <v>0</v>
      </c>
      <c r="CB48" s="171">
        <f>-SUM('FS_Detail(M)'!CB136,'FS_Detail(M)'!CB141)</f>
        <v>0</v>
      </c>
      <c r="CC48" s="171">
        <f>-SUM('FS_Detail(M)'!CC136,'FS_Detail(M)'!CC141)</f>
        <v>0</v>
      </c>
      <c r="CD48" s="171">
        <f>-SUM('FS_Detail(M)'!CD136,'FS_Detail(M)'!CD141)</f>
        <v>0</v>
      </c>
      <c r="CE48" s="171">
        <f>-SUM('FS_Detail(M)'!CE136,'FS_Detail(M)'!CE141)</f>
        <v>0</v>
      </c>
      <c r="CF48" s="171">
        <f>-SUM('FS_Detail(M)'!CF136,'FS_Detail(M)'!CF141)</f>
        <v>0</v>
      </c>
      <c r="CG48" s="171">
        <f>-SUM('FS_Detail(M)'!CG136,'FS_Detail(M)'!CG141)</f>
        <v>0</v>
      </c>
      <c r="CH48" s="171">
        <f>-SUM('FS_Detail(M)'!CH136,'FS_Detail(M)'!CH141)</f>
        <v>0</v>
      </c>
      <c r="CI48" s="171">
        <f>-SUM('FS_Detail(M)'!CI136,'FS_Detail(M)'!CI141)</f>
        <v>0</v>
      </c>
      <c r="CJ48" s="171">
        <f>-SUM('FS_Detail(M)'!CJ136,'FS_Detail(M)'!CJ141)</f>
        <v>0</v>
      </c>
      <c r="CK48" s="171">
        <f>-SUM('FS_Detail(M)'!CK136,'FS_Detail(M)'!CK141)</f>
        <v>0</v>
      </c>
      <c r="CL48" s="171">
        <f>-SUM('FS_Detail(M)'!CL136,'FS_Detail(M)'!CL141)</f>
        <v>0</v>
      </c>
      <c r="CM48" s="171">
        <f>-SUM('FS_Detail(M)'!CM136,'FS_Detail(M)'!CM141)</f>
        <v>0</v>
      </c>
      <c r="CN48" s="171">
        <f>-SUM('FS_Detail(M)'!CN136,'FS_Detail(M)'!CN141)</f>
        <v>0</v>
      </c>
      <c r="CO48" s="171">
        <f>-SUM('FS_Detail(M)'!CO136,'FS_Detail(M)'!CO141)</f>
        <v>0</v>
      </c>
      <c r="CP48" s="171">
        <f>-SUM('FS_Detail(M)'!CP136,'FS_Detail(M)'!CP141)</f>
        <v>0</v>
      </c>
      <c r="CQ48" s="171">
        <f>-SUM('FS_Detail(M)'!CQ136,'FS_Detail(M)'!CQ141)</f>
        <v>0</v>
      </c>
      <c r="CR48" s="171">
        <f>-SUM('FS_Detail(M)'!CR136,'FS_Detail(M)'!CR141)</f>
        <v>0</v>
      </c>
      <c r="CS48" s="171">
        <f>-SUM('FS_Detail(M)'!CS136,'FS_Detail(M)'!CS141)</f>
        <v>0</v>
      </c>
      <c r="CT48" s="171">
        <f>-SUM('FS_Detail(M)'!CT136,'FS_Detail(M)'!CT141)</f>
        <v>0</v>
      </c>
      <c r="CU48" s="171">
        <f>-SUM('FS_Detail(M)'!CU136,'FS_Detail(M)'!CU141)</f>
        <v>0</v>
      </c>
      <c r="CV48" s="171">
        <f>-SUM('FS_Detail(M)'!CV136,'FS_Detail(M)'!CV141)</f>
        <v>0</v>
      </c>
      <c r="CW48" s="171">
        <f>-SUM('FS_Detail(M)'!CW136,'FS_Detail(M)'!CW141)</f>
        <v>0</v>
      </c>
      <c r="CX48" s="171">
        <f>-SUM('FS_Detail(M)'!CX136,'FS_Detail(M)'!CX141)</f>
        <v>0</v>
      </c>
      <c r="CY48" s="171">
        <f>-SUM('FS_Detail(M)'!CY136,'FS_Detail(M)'!CY141)</f>
        <v>0</v>
      </c>
      <c r="CZ48" s="171">
        <f>-SUM('FS_Detail(M)'!CZ136,'FS_Detail(M)'!CZ141)</f>
        <v>0</v>
      </c>
      <c r="DA48" s="171">
        <f>-SUM('FS_Detail(M)'!DA136,'FS_Detail(M)'!DA141)</f>
        <v>0</v>
      </c>
      <c r="DB48" s="171">
        <f>-SUM('FS_Detail(M)'!DB136,'FS_Detail(M)'!DB141)</f>
        <v>0</v>
      </c>
      <c r="DC48" s="171">
        <f>-SUM('FS_Detail(M)'!DC136,'FS_Detail(M)'!DC141)</f>
        <v>0</v>
      </c>
      <c r="DD48" s="171">
        <f>-SUM('FS_Detail(M)'!DD136,'FS_Detail(M)'!DD141)</f>
        <v>0</v>
      </c>
      <c r="DE48" s="171">
        <f>-SUM('FS_Detail(M)'!DE136,'FS_Detail(M)'!DE141)</f>
        <v>0</v>
      </c>
      <c r="DF48" s="171">
        <f>-SUM('FS_Detail(M)'!DF136,'FS_Detail(M)'!DF141)</f>
        <v>0</v>
      </c>
      <c r="DG48" s="171">
        <f>-SUM('FS_Detail(M)'!DG136,'FS_Detail(M)'!DG141)</f>
        <v>0</v>
      </c>
      <c r="DH48" s="171">
        <f>-SUM('FS_Detail(M)'!DH136,'FS_Detail(M)'!DH141)</f>
        <v>0</v>
      </c>
      <c r="DI48" s="171">
        <f>-SUM('FS_Detail(M)'!DI136,'FS_Detail(M)'!DI141)</f>
        <v>0</v>
      </c>
      <c r="DJ48" s="171">
        <f>-SUM('FS_Detail(M)'!DJ136,'FS_Detail(M)'!DJ141)</f>
        <v>0</v>
      </c>
      <c r="DK48" s="171">
        <f>-SUM('FS_Detail(M)'!DK136,'FS_Detail(M)'!DK141)</f>
        <v>0</v>
      </c>
      <c r="DL48" s="171">
        <f>-SUM('FS_Detail(M)'!DL136,'FS_Detail(M)'!DL141)</f>
        <v>0</v>
      </c>
      <c r="DM48" s="171">
        <f>-SUM('FS_Detail(M)'!DM136,'FS_Detail(M)'!DM141)</f>
        <v>0</v>
      </c>
      <c r="DN48" s="171">
        <f>-SUM('FS_Detail(M)'!DN136,'FS_Detail(M)'!DN141)</f>
        <v>0</v>
      </c>
      <c r="DO48" s="171">
        <f>-SUM('FS_Detail(M)'!DO136,'FS_Detail(M)'!DO141)</f>
        <v>0</v>
      </c>
      <c r="DP48" s="171">
        <f>-SUM('FS_Detail(M)'!DP136,'FS_Detail(M)'!DP141)</f>
        <v>0</v>
      </c>
      <c r="DQ48" s="171">
        <f>-SUM('FS_Detail(M)'!DQ136,'FS_Detail(M)'!DQ141)</f>
        <v>0</v>
      </c>
      <c r="DR48" s="171">
        <f>-SUM('FS_Detail(M)'!DR136,'FS_Detail(M)'!DR141)</f>
        <v>0</v>
      </c>
      <c r="DS48" s="171">
        <f>-SUM('FS_Detail(M)'!DS136,'FS_Detail(M)'!DS141)</f>
        <v>0</v>
      </c>
      <c r="DT48" s="171">
        <f>-SUM('FS_Detail(M)'!DT136,'FS_Detail(M)'!DT141)</f>
        <v>0</v>
      </c>
      <c r="DU48" s="171">
        <f>-SUM('FS_Detail(M)'!DU136,'FS_Detail(M)'!DU141)</f>
        <v>0</v>
      </c>
      <c r="DV48" s="171">
        <f>-SUM('FS_Detail(M)'!DV136,'FS_Detail(M)'!DV141)</f>
        <v>0</v>
      </c>
      <c r="DW48" s="171">
        <f>-SUM('FS_Detail(M)'!DW136,'FS_Detail(M)'!DW141)</f>
        <v>0</v>
      </c>
      <c r="DX48" s="171">
        <f>-SUM('FS_Detail(M)'!DX136,'FS_Detail(M)'!DX141)</f>
        <v>0</v>
      </c>
      <c r="DY48" s="171">
        <f>-SUM('FS_Detail(M)'!DY136,'FS_Detail(M)'!DY141)</f>
        <v>0</v>
      </c>
      <c r="DZ48" s="171">
        <f>-SUM('FS_Detail(M)'!DZ136,'FS_Detail(M)'!DZ141)</f>
        <v>0</v>
      </c>
      <c r="EA48" s="171">
        <f>-SUM('FS_Detail(M)'!EA136,'FS_Detail(M)'!EA141)</f>
        <v>0</v>
      </c>
      <c r="EB48" s="171">
        <f>-SUM('FS_Detail(M)'!EB136,'FS_Detail(M)'!EB141)</f>
        <v>0</v>
      </c>
      <c r="EC48" s="171">
        <f>-SUM('FS_Detail(M)'!EC136,'FS_Detail(M)'!EC141)</f>
        <v>0</v>
      </c>
      <c r="ED48" s="171">
        <f>-SUM('FS_Detail(M)'!ED136,'FS_Detail(M)'!ED141)</f>
        <v>0</v>
      </c>
      <c r="EE48" s="171">
        <f>-SUM('FS_Detail(M)'!EE136,'FS_Detail(M)'!EE141)</f>
        <v>0</v>
      </c>
      <c r="EF48" s="171">
        <f>-SUM('FS_Detail(M)'!EF136,'FS_Detail(M)'!EF141)</f>
        <v>0</v>
      </c>
      <c r="EG48" s="171">
        <f>-SUM('FS_Detail(M)'!EG136,'FS_Detail(M)'!EG141)</f>
        <v>0</v>
      </c>
      <c r="EH48" s="171">
        <f>-SUM('FS_Detail(M)'!EH136,'FS_Detail(M)'!EH141)</f>
        <v>0</v>
      </c>
      <c r="EI48" s="171">
        <f>-SUM('FS_Detail(M)'!EI136,'FS_Detail(M)'!EI141)</f>
        <v>0</v>
      </c>
      <c r="EJ48" s="171">
        <f>-SUM('FS_Detail(M)'!EJ136,'FS_Detail(M)'!EJ141)</f>
        <v>0</v>
      </c>
      <c r="EK48" s="171">
        <f>-SUM('FS_Detail(M)'!EK136,'FS_Detail(M)'!EK141)</f>
        <v>0</v>
      </c>
      <c r="EL48" s="171">
        <f>-SUM('FS_Detail(M)'!EL136,'FS_Detail(M)'!EL141)</f>
        <v>0</v>
      </c>
      <c r="EM48" s="171">
        <f>-SUM('FS_Detail(M)'!EM136,'FS_Detail(M)'!EM141)</f>
        <v>0</v>
      </c>
      <c r="EN48" s="171">
        <f>-SUM('FS_Detail(M)'!EN136,'FS_Detail(M)'!EN141)</f>
        <v>0</v>
      </c>
      <c r="EO48" s="171">
        <f>-SUM('FS_Detail(M)'!EO136,'FS_Detail(M)'!EO141)</f>
        <v>0</v>
      </c>
      <c r="EP48" s="171">
        <f>-SUM('FS_Detail(M)'!EP136,'FS_Detail(M)'!EP141)</f>
        <v>0</v>
      </c>
      <c r="EQ48" s="171">
        <f>-SUM('FS_Detail(M)'!EQ136,'FS_Detail(M)'!EQ141)</f>
        <v>0</v>
      </c>
    </row>
    <row r="49" spans="2:147" ht="11.25" customHeight="1">
      <c r="B49" s="218"/>
      <c r="C49" s="158" t="s">
        <v>194</v>
      </c>
      <c r="D49" s="159"/>
      <c r="E49" s="159"/>
      <c r="F49" s="159"/>
      <c r="G49" s="159"/>
      <c r="H49" s="160"/>
      <c r="I49" s="219"/>
      <c r="J49" s="220">
        <f>SUM(J50:J53)</f>
        <v>0</v>
      </c>
      <c r="K49" s="98"/>
      <c r="L49" s="162">
        <f>SUM(L50:L53)</f>
        <v>-12856669.630531998</v>
      </c>
      <c r="M49" s="162">
        <f t="shared" ref="M49:BX49" si="25">SUM(M50:M53)</f>
        <v>108531.68982746979</v>
      </c>
      <c r="N49" s="162">
        <f t="shared" si="25"/>
        <v>109454.21388059481</v>
      </c>
      <c r="O49" s="162">
        <f t="shared" si="25"/>
        <v>12638683.726823935</v>
      </c>
      <c r="P49" s="162">
        <f t="shared" si="25"/>
        <v>99937.48697457918</v>
      </c>
      <c r="Q49" s="162">
        <f t="shared" si="25"/>
        <v>106825.09029957918</v>
      </c>
      <c r="R49" s="162">
        <f t="shared" si="25"/>
        <v>-262939.04790987389</v>
      </c>
      <c r="S49" s="162">
        <f t="shared" si="25"/>
        <v>97237.786065954191</v>
      </c>
      <c r="T49" s="162">
        <f t="shared" si="25"/>
        <v>114434.60517845419</v>
      </c>
      <c r="U49" s="162">
        <f t="shared" si="25"/>
        <v>-155495.9206086928</v>
      </c>
      <c r="V49" s="162">
        <f t="shared" si="25"/>
        <v>114543.5970159542</v>
      </c>
      <c r="W49" s="162">
        <f t="shared" si="25"/>
        <v>114543.5970159542</v>
      </c>
      <c r="X49" s="162">
        <f t="shared" si="25"/>
        <v>-285263.66466762393</v>
      </c>
      <c r="Y49" s="162">
        <f t="shared" si="25"/>
        <v>112536.36568936125</v>
      </c>
      <c r="Z49" s="162">
        <f t="shared" si="25"/>
        <v>112367.43241881435</v>
      </c>
      <c r="AA49" s="162">
        <f t="shared" si="25"/>
        <v>-168727.32747246005</v>
      </c>
      <c r="AB49" s="162">
        <f t="shared" si="25"/>
        <v>102612.7873401484</v>
      </c>
      <c r="AC49" s="162">
        <f t="shared" si="25"/>
        <v>109672.58074827338</v>
      </c>
      <c r="AD49" s="162">
        <f t="shared" si="25"/>
        <v>-268483.29251641617</v>
      </c>
      <c r="AE49" s="162">
        <f t="shared" si="25"/>
        <v>99845.593908807743</v>
      </c>
      <c r="AF49" s="162">
        <f t="shared" si="25"/>
        <v>117472.33349912024</v>
      </c>
      <c r="AG49" s="162">
        <f t="shared" si="25"/>
        <v>-161120.00297993363</v>
      </c>
      <c r="AH49" s="162">
        <f t="shared" si="25"/>
        <v>117584.05013255774</v>
      </c>
      <c r="AI49" s="162">
        <f t="shared" si="25"/>
        <v>117584.05013255774</v>
      </c>
      <c r="AJ49" s="162">
        <f t="shared" si="25"/>
        <v>-291366.02469310979</v>
      </c>
      <c r="AK49" s="162">
        <f t="shared" si="25"/>
        <v>117586.72202570378</v>
      </c>
      <c r="AL49" s="162">
        <f t="shared" si="25"/>
        <v>115348.60611214323</v>
      </c>
      <c r="AM49" s="162">
        <f t="shared" si="25"/>
        <v>-176737.40370985266</v>
      </c>
      <c r="AN49" s="162">
        <f t="shared" si="25"/>
        <v>119824.79071391679</v>
      </c>
      <c r="AO49" s="162">
        <f t="shared" si="25"/>
        <v>112586.38314983869</v>
      </c>
      <c r="AP49" s="162">
        <f t="shared" si="25"/>
        <v>-288645.71435387427</v>
      </c>
      <c r="AQ49" s="162">
        <f t="shared" si="25"/>
        <v>120695.63926873013</v>
      </c>
      <c r="AR49" s="162">
        <f t="shared" si="25"/>
        <v>14389.807865094717</v>
      </c>
      <c r="AS49" s="162">
        <f t="shared" si="25"/>
        <v>-78850.906643706126</v>
      </c>
      <c r="AT49" s="162">
        <f t="shared" si="25"/>
        <v>10634.912666585074</v>
      </c>
      <c r="AU49" s="162">
        <f t="shared" si="25"/>
        <v>17474.751918801991</v>
      </c>
      <c r="AV49" s="162">
        <f t="shared" si="25"/>
        <v>-91184.044327722688</v>
      </c>
      <c r="AW49" s="162">
        <f t="shared" si="25"/>
        <v>123664.06195953557</v>
      </c>
      <c r="AX49" s="162">
        <f t="shared" si="25"/>
        <v>124275.61915007104</v>
      </c>
      <c r="AY49" s="162">
        <f t="shared" si="25"/>
        <v>-184865.30136727093</v>
      </c>
      <c r="AZ49" s="162">
        <f t="shared" si="25"/>
        <v>123851.24046533709</v>
      </c>
      <c r="BA49" s="162">
        <f t="shared" si="25"/>
        <v>119197.35306648754</v>
      </c>
      <c r="BB49" s="162">
        <f t="shared" si="25"/>
        <v>-302100.39735226077</v>
      </c>
      <c r="BC49" s="162">
        <f t="shared" si="25"/>
        <v>127447.82386407052</v>
      </c>
      <c r="BD49" s="162">
        <f t="shared" si="25"/>
        <v>127503.67942779504</v>
      </c>
      <c r="BE49" s="162">
        <f t="shared" si="25"/>
        <v>-195899.69947142951</v>
      </c>
      <c r="BF49" s="162">
        <f t="shared" si="25"/>
        <v>127845.6713904059</v>
      </c>
      <c r="BG49" s="162">
        <f t="shared" si="25"/>
        <v>127845.6713904059</v>
      </c>
      <c r="BH49" s="162">
        <f t="shared" si="25"/>
        <v>-311977.66624691745</v>
      </c>
      <c r="BI49" s="162">
        <f t="shared" si="25"/>
        <v>127838.98161832838</v>
      </c>
      <c r="BJ49" s="162">
        <f t="shared" si="25"/>
        <v>128458.82045624703</v>
      </c>
      <c r="BK49" s="162">
        <f t="shared" si="25"/>
        <v>-200011.47860846983</v>
      </c>
      <c r="BL49" s="162">
        <f t="shared" si="25"/>
        <v>130206.81849525003</v>
      </c>
      <c r="BM49" s="162">
        <f t="shared" si="25"/>
        <v>122601.96654824044</v>
      </c>
      <c r="BN49" s="162">
        <f t="shared" si="25"/>
        <v>-309162.06904930773</v>
      </c>
      <c r="BO49" s="162">
        <f t="shared" si="25"/>
        <v>131121.6122291369</v>
      </c>
      <c r="BP49" s="162">
        <f t="shared" si="25"/>
        <v>131121.6122291369</v>
      </c>
      <c r="BQ49" s="162">
        <f t="shared" si="25"/>
        <v>-205889.94045245653</v>
      </c>
      <c r="BR49" s="162">
        <f t="shared" si="25"/>
        <v>131472.15399081304</v>
      </c>
      <c r="BS49" s="162">
        <f t="shared" si="25"/>
        <v>131472.15399081304</v>
      </c>
      <c r="BT49" s="162">
        <f t="shared" si="25"/>
        <v>-319297.59198744327</v>
      </c>
      <c r="BU49" s="162">
        <f t="shared" si="25"/>
        <v>131460.79023879638</v>
      </c>
      <c r="BV49" s="162">
        <f t="shared" si="25"/>
        <v>132096.12504766302</v>
      </c>
      <c r="BW49" s="162">
        <f t="shared" si="25"/>
        <v>-207203.63128064212</v>
      </c>
      <c r="BX49" s="162">
        <f t="shared" si="25"/>
        <v>133887.82303764106</v>
      </c>
      <c r="BY49" s="162">
        <f t="shared" ref="BY49:DP49" si="26">SUM(BY50:BY53)</f>
        <v>126092.84979195624</v>
      </c>
      <c r="BZ49" s="162">
        <f t="shared" si="26"/>
        <v>-316416.11159553059</v>
      </c>
      <c r="CA49" s="162">
        <f t="shared" si="26"/>
        <v>134825.48661487515</v>
      </c>
      <c r="CB49" s="162">
        <f t="shared" si="26"/>
        <v>134825.48661487515</v>
      </c>
      <c r="CC49" s="162">
        <f t="shared" si="26"/>
        <v>-213215.53446381708</v>
      </c>
      <c r="CD49" s="162">
        <f t="shared" si="26"/>
        <v>135184.79192059318</v>
      </c>
      <c r="CE49" s="162">
        <f t="shared" si="26"/>
        <v>135184.79192059318</v>
      </c>
      <c r="CF49" s="162">
        <f t="shared" si="26"/>
        <v>-326805.02260711958</v>
      </c>
      <c r="CG49" s="162">
        <f t="shared" si="26"/>
        <v>135168.75640202322</v>
      </c>
      <c r="CH49" s="162">
        <f t="shared" si="26"/>
        <v>135819.97458111148</v>
      </c>
      <c r="CI49" s="162">
        <f t="shared" si="26"/>
        <v>-214553.29221720144</v>
      </c>
      <c r="CJ49" s="162">
        <f t="shared" si="26"/>
        <v>137656.46502083904</v>
      </c>
      <c r="CK49" s="162">
        <f t="shared" si="26"/>
        <v>129666.61744401211</v>
      </c>
      <c r="CL49" s="162">
        <f t="shared" si="26"/>
        <v>-323855.89287816192</v>
      </c>
      <c r="CM49" s="162">
        <f t="shared" si="26"/>
        <v>138617.57018750394</v>
      </c>
      <c r="CN49" s="162">
        <f t="shared" si="26"/>
        <v>138617.57018750394</v>
      </c>
      <c r="CO49" s="162">
        <f t="shared" si="26"/>
        <v>-220702.32996169702</v>
      </c>
      <c r="CP49" s="162">
        <f t="shared" si="26"/>
        <v>138985.85812586494</v>
      </c>
      <c r="CQ49" s="162">
        <f t="shared" si="26"/>
        <v>138985.85812586494</v>
      </c>
      <c r="CR49" s="162">
        <f t="shared" si="26"/>
        <v>-334504.5266650407</v>
      </c>
      <c r="CS49" s="162">
        <f t="shared" si="26"/>
        <v>138965.15129304328</v>
      </c>
      <c r="CT49" s="162">
        <f t="shared" si="26"/>
        <v>139632.64992660878</v>
      </c>
      <c r="CU49" s="162">
        <f t="shared" si="26"/>
        <v>-222064.99080634123</v>
      </c>
      <c r="CV49" s="162">
        <f t="shared" si="26"/>
        <v>141515.05262732948</v>
      </c>
      <c r="CW49" s="162">
        <f t="shared" si="26"/>
        <v>133325.45886108186</v>
      </c>
      <c r="CX49" s="162">
        <f t="shared" si="26"/>
        <v>-331485.93911914644</v>
      </c>
      <c r="CY49" s="162">
        <f t="shared" si="26"/>
        <v>78802.509164003844</v>
      </c>
      <c r="CZ49" s="162">
        <f t="shared" si="26"/>
        <v>138817.68620240845</v>
      </c>
      <c r="DA49" s="162">
        <f t="shared" si="26"/>
        <v>-160974.76773567725</v>
      </c>
      <c r="DB49" s="162">
        <f t="shared" si="26"/>
        <v>131456.53103441853</v>
      </c>
      <c r="DC49" s="162">
        <f t="shared" si="26"/>
        <v>139195.18133922841</v>
      </c>
      <c r="DD49" s="162">
        <f t="shared" si="26"/>
        <v>-335035.79030919191</v>
      </c>
      <c r="DE49" s="162">
        <f t="shared" si="26"/>
        <v>139178.14917397784</v>
      </c>
      <c r="DF49" s="162">
        <f t="shared" si="26"/>
        <v>139843.12258814019</v>
      </c>
      <c r="DG49" s="162">
        <f t="shared" si="26"/>
        <v>-214637.19382657309</v>
      </c>
      <c r="DH49" s="162">
        <f t="shared" si="26"/>
        <v>137540.34671371893</v>
      </c>
      <c r="DI49" s="162">
        <f t="shared" si="26"/>
        <v>141762.04673026002</v>
      </c>
      <c r="DJ49" s="162">
        <f t="shared" si="26"/>
        <v>-343426.30577105639</v>
      </c>
      <c r="DK49" s="162">
        <f t="shared" si="26"/>
        <v>142687.02036876162</v>
      </c>
      <c r="DL49" s="162">
        <f t="shared" si="26"/>
        <v>142750.21581229518</v>
      </c>
      <c r="DM49" s="162">
        <f t="shared" si="26"/>
        <v>-221313.32385397941</v>
      </c>
      <c r="DN49" s="162">
        <f t="shared" si="26"/>
        <v>143137.14832753566</v>
      </c>
      <c r="DO49" s="162">
        <f t="shared" si="26"/>
        <v>143137.14832753566</v>
      </c>
      <c r="DP49" s="162">
        <f t="shared" si="26"/>
        <v>-343047.62178013037</v>
      </c>
      <c r="DQ49" s="162">
        <f t="shared" ref="DQ49:EQ49" si="27">SUM(DQ50:DQ53)</f>
        <v>143115.64916448845</v>
      </c>
      <c r="DR49" s="162">
        <f t="shared" si="27"/>
        <v>143797.24691400488</v>
      </c>
      <c r="DS49" s="162">
        <f t="shared" si="27"/>
        <v>-230139.57095343416</v>
      </c>
      <c r="DT49" s="162">
        <f t="shared" si="27"/>
        <v>145715.07773699932</v>
      </c>
      <c r="DU49" s="162">
        <f t="shared" si="27"/>
        <v>145715.07773699932</v>
      </c>
      <c r="DV49" s="162">
        <f t="shared" si="27"/>
        <v>-348346.6991117358</v>
      </c>
      <c r="DW49" s="162">
        <f t="shared" si="27"/>
        <v>146727.95104608531</v>
      </c>
      <c r="DX49" s="162">
        <f t="shared" si="27"/>
        <v>146727.95104608531</v>
      </c>
      <c r="DY49" s="162">
        <f t="shared" si="27"/>
        <v>-236539.3584544335</v>
      </c>
      <c r="DZ49" s="162">
        <f t="shared" si="27"/>
        <v>147124.55687420684</v>
      </c>
      <c r="EA49" s="162">
        <f t="shared" si="27"/>
        <v>147124.55687420684</v>
      </c>
      <c r="EB49" s="162">
        <f t="shared" si="27"/>
        <v>-294249.11374841369</v>
      </c>
      <c r="EC49" s="162">
        <f t="shared" si="27"/>
        <v>0</v>
      </c>
      <c r="ED49" s="162">
        <f t="shared" si="27"/>
        <v>0</v>
      </c>
      <c r="EE49" s="162">
        <f t="shared" si="27"/>
        <v>0</v>
      </c>
      <c r="EF49" s="162">
        <f t="shared" si="27"/>
        <v>0</v>
      </c>
      <c r="EG49" s="162">
        <f t="shared" si="27"/>
        <v>0</v>
      </c>
      <c r="EH49" s="162">
        <f t="shared" si="27"/>
        <v>0</v>
      </c>
      <c r="EI49" s="162">
        <f t="shared" si="27"/>
        <v>0</v>
      </c>
      <c r="EJ49" s="162">
        <f t="shared" si="27"/>
        <v>0</v>
      </c>
      <c r="EK49" s="162">
        <f t="shared" si="27"/>
        <v>0</v>
      </c>
      <c r="EL49" s="162">
        <f t="shared" si="27"/>
        <v>0</v>
      </c>
      <c r="EM49" s="162">
        <f t="shared" si="27"/>
        <v>0</v>
      </c>
      <c r="EN49" s="162">
        <f t="shared" si="27"/>
        <v>0</v>
      </c>
      <c r="EO49" s="162">
        <f t="shared" si="27"/>
        <v>0</v>
      </c>
      <c r="EP49" s="162">
        <f t="shared" si="27"/>
        <v>0</v>
      </c>
      <c r="EQ49" s="162">
        <f t="shared" si="27"/>
        <v>0</v>
      </c>
    </row>
    <row r="50" spans="2:147" ht="11.25" customHeight="1">
      <c r="B50" s="218"/>
      <c r="C50" s="163"/>
      <c r="D50" s="164" t="s">
        <v>195</v>
      </c>
      <c r="E50" s="165"/>
      <c r="F50" s="165"/>
      <c r="G50" s="165"/>
      <c r="H50" s="166"/>
      <c r="I50" s="221"/>
      <c r="J50" s="168">
        <f>SUM(L50:EQ50)</f>
        <v>17198218.278469637</v>
      </c>
      <c r="K50" s="98"/>
      <c r="L50" s="168">
        <f>'FS_Detail(M)'!L148</f>
        <v>0</v>
      </c>
      <c r="M50" s="168">
        <f>'FS_Detail(M)'!M148</f>
        <v>128344.51703937497</v>
      </c>
      <c r="N50" s="168">
        <f>'FS_Detail(M)'!N148</f>
        <v>128179.70409249999</v>
      </c>
      <c r="O50" s="168">
        <f>'FS_Detail(M)'!O148</f>
        <v>109108.70302500001</v>
      </c>
      <c r="P50" s="168">
        <f>'FS_Detail(M)'!P148</f>
        <v>118662.97718648436</v>
      </c>
      <c r="Q50" s="168">
        <f>'FS_Detail(M)'!Q148</f>
        <v>125550.58051148437</v>
      </c>
      <c r="R50" s="168">
        <f>'FS_Detail(M)'!R148</f>
        <v>129438.58837148437</v>
      </c>
      <c r="S50" s="168">
        <f>'FS_Detail(M)'!S148</f>
        <v>115963.27627785938</v>
      </c>
      <c r="T50" s="168">
        <f>'FS_Detail(M)'!T148</f>
        <v>133160.09539035938</v>
      </c>
      <c r="U50" s="168">
        <f>'FS_Detail(M)'!U148</f>
        <v>133214.59130910938</v>
      </c>
      <c r="V50" s="168">
        <f>'FS_Detail(M)'!V148</f>
        <v>133269.08722785939</v>
      </c>
      <c r="W50" s="168">
        <f>'FS_Detail(M)'!W148</f>
        <v>133269.08722785939</v>
      </c>
      <c r="X50" s="168">
        <f>'FS_Detail(M)'!X148</f>
        <v>131254.49277785938</v>
      </c>
      <c r="Y50" s="168">
        <f>'FS_Detail(M)'!Y148</f>
        <v>131269.00716535936</v>
      </c>
      <c r="Z50" s="168">
        <f>'FS_Detail(M)'!Z148</f>
        <v>131100.07389481246</v>
      </c>
      <c r="AA50" s="168">
        <f>'FS_Detail(M)'!AA148</f>
        <v>111552.29780062498</v>
      </c>
      <c r="AB50" s="168">
        <f>'FS_Detail(M)'!AB148</f>
        <v>121345.42881614651</v>
      </c>
      <c r="AC50" s="168">
        <f>'FS_Detail(M)'!AC148</f>
        <v>128405.22222427149</v>
      </c>
      <c r="AD50" s="168">
        <f>'FS_Detail(M)'!AD148</f>
        <v>132390.43028077148</v>
      </c>
      <c r="AE50" s="168">
        <f>'FS_Detail(M)'!AE148</f>
        <v>118578.23538480586</v>
      </c>
      <c r="AF50" s="168">
        <f>'FS_Detail(M)'!AF148</f>
        <v>136204.97497511836</v>
      </c>
      <c r="AG50" s="168">
        <f>'FS_Detail(M)'!AG148</f>
        <v>136260.8332918371</v>
      </c>
      <c r="AH50" s="168">
        <f>'FS_Detail(M)'!AH148</f>
        <v>136316.69160855585</v>
      </c>
      <c r="AI50" s="168">
        <f>'FS_Detail(M)'!AI148</f>
        <v>136316.69160855585</v>
      </c>
      <c r="AJ50" s="168">
        <f>'FS_Detail(M)'!AJ148</f>
        <v>134251.73229730586</v>
      </c>
      <c r="AK50" s="168">
        <f>'FS_Detail(M)'!AK148</f>
        <v>136331.56885574336</v>
      </c>
      <c r="AL50" s="168">
        <f>'FS_Detail(M)'!AL148</f>
        <v>134093.4529421828</v>
      </c>
      <c r="AM50" s="168">
        <f>'FS_Detail(M)'!AM148</f>
        <v>131684.8850778281</v>
      </c>
      <c r="AN50" s="168">
        <f>'FS_Detail(M)'!AN148</f>
        <v>138569.63754395637</v>
      </c>
      <c r="AO50" s="168">
        <f>'FS_Detail(M)'!AO148</f>
        <v>131331.22997987826</v>
      </c>
      <c r="AP50" s="168">
        <f>'FS_Detail(M)'!AP148</f>
        <v>135416.06823779075</v>
      </c>
      <c r="AQ50" s="168">
        <f>'FS_Detail(M)'!AQ148</f>
        <v>139440.4860987697</v>
      </c>
      <c r="AR50" s="168">
        <f>'FS_Detail(M)'!AR148</f>
        <v>33134.65469513429</v>
      </c>
      <c r="AS50" s="168">
        <f>'FS_Detail(M)'!AS148</f>
        <v>35828.693278974744</v>
      </c>
      <c r="AT50" s="168">
        <f>'FS_Detail(M)'!AT148</f>
        <v>36219.598748841563</v>
      </c>
      <c r="AU50" s="168">
        <f>'FS_Detail(M)'!AU148</f>
        <v>36219.598748841563</v>
      </c>
      <c r="AV50" s="168">
        <f>'FS_Detail(M)'!AV148</f>
        <v>34103.015454810309</v>
      </c>
      <c r="AW50" s="168">
        <f>'FS_Detail(M)'!AW148</f>
        <v>142426.16978157076</v>
      </c>
      <c r="AX50" s="168">
        <f>'FS_Detail(M)'!AX148</f>
        <v>143037.72697210623</v>
      </c>
      <c r="AY50" s="168">
        <f>'FS_Detail(M)'!AY148</f>
        <v>144413.50066300048</v>
      </c>
      <c r="AZ50" s="168">
        <f>'FS_Detail(M)'!AZ148</f>
        <v>145378.8286417028</v>
      </c>
      <c r="BA50" s="168">
        <f>'FS_Detail(M)'!BA148</f>
        <v>137959.46088852274</v>
      </c>
      <c r="BB50" s="168">
        <f>'FS_Detail(M)'!BB148</f>
        <v>142146.42010288304</v>
      </c>
      <c r="BC50" s="168">
        <f>'FS_Detail(M)'!BC148</f>
        <v>146265.78724983023</v>
      </c>
      <c r="BD50" s="168">
        <f>'FS_Detail(M)'!BD148</f>
        <v>146265.78724983023</v>
      </c>
      <c r="BE50" s="168">
        <f>'FS_Detail(M)'!BE148</f>
        <v>146265.78724983023</v>
      </c>
      <c r="BF50" s="168">
        <f>'FS_Detail(M)'!BF148</f>
        <v>146607.77921244109</v>
      </c>
      <c r="BG50" s="168">
        <f>'FS_Detail(M)'!BG148</f>
        <v>146607.77921244109</v>
      </c>
      <c r="BH50" s="168">
        <f>'FS_Detail(M)'!BH148</f>
        <v>146607.77921244109</v>
      </c>
      <c r="BI50" s="168">
        <f>'FS_Detail(M)'!BI148</f>
        <v>146623.40962026748</v>
      </c>
      <c r="BJ50" s="168">
        <f>'FS_Detail(M)'!BJ148</f>
        <v>147243.24845818614</v>
      </c>
      <c r="BK50" s="168">
        <f>'FS_Detail(M)'!BK148</f>
        <v>147714.48674142995</v>
      </c>
      <c r="BL50" s="168">
        <f>'FS_Detail(M)'!BL148</f>
        <v>148991.24649718913</v>
      </c>
      <c r="BM50" s="168">
        <f>'FS_Detail(M)'!BM148</f>
        <v>141386.39455017954</v>
      </c>
      <c r="BN50" s="168">
        <f>'FS_Detail(M)'!BN148</f>
        <v>145678.02774489886</v>
      </c>
      <c r="BO50" s="168">
        <f>'FS_Detail(M)'!BO148</f>
        <v>149906.04023107598</v>
      </c>
      <c r="BP50" s="168">
        <f>'FS_Detail(M)'!BP148</f>
        <v>149906.04023107598</v>
      </c>
      <c r="BQ50" s="168">
        <f>'FS_Detail(M)'!BQ148</f>
        <v>149906.04023107598</v>
      </c>
      <c r="BR50" s="168">
        <f>'FS_Detail(M)'!BR148</f>
        <v>150256.58199275212</v>
      </c>
      <c r="BS50" s="168">
        <f>'FS_Detail(M)'!BS148</f>
        <v>150256.58199275212</v>
      </c>
      <c r="BT50" s="168">
        <f>'FS_Detail(M)'!BT148</f>
        <v>150256.58199275212</v>
      </c>
      <c r="BU50" s="168">
        <f>'FS_Detail(M)'!BU148</f>
        <v>150272.60316077413</v>
      </c>
      <c r="BV50" s="168">
        <f>'FS_Detail(M)'!BV148</f>
        <v>150907.93796964077</v>
      </c>
      <c r="BW50" s="168">
        <f>'FS_Detail(M)'!BW148</f>
        <v>151390.95720996571</v>
      </c>
      <c r="BX50" s="168">
        <f>'FS_Detail(M)'!BX148</f>
        <v>152699.63595961881</v>
      </c>
      <c r="BY50" s="168">
        <f>'FS_Detail(M)'!BY148</f>
        <v>144904.662713934</v>
      </c>
      <c r="BZ50" s="168">
        <f>'FS_Detail(M)'!BZ148</f>
        <v>149303.58673852132</v>
      </c>
      <c r="CA50" s="168">
        <f>'FS_Detail(M)'!CA148</f>
        <v>153637.29953685289</v>
      </c>
      <c r="CB50" s="168">
        <f>'FS_Detail(M)'!CB148</f>
        <v>153637.29953685289</v>
      </c>
      <c r="CC50" s="168">
        <f>'FS_Detail(M)'!CC148</f>
        <v>153637.29953685289</v>
      </c>
      <c r="CD50" s="168">
        <f>'FS_Detail(M)'!CD148</f>
        <v>153996.60484257093</v>
      </c>
      <c r="CE50" s="168">
        <f>'FS_Detail(M)'!CE148</f>
        <v>153996.60484257093</v>
      </c>
      <c r="CF50" s="168">
        <f>'FS_Detail(M)'!CF148</f>
        <v>153996.60484257093</v>
      </c>
      <c r="CG50" s="168">
        <f>'FS_Detail(M)'!CG148</f>
        <v>154013.0265397935</v>
      </c>
      <c r="CH50" s="168">
        <f>'FS_Detail(M)'!CH148</f>
        <v>154664.24471888176</v>
      </c>
      <c r="CI50" s="168">
        <f>'FS_Detail(M)'!CI148</f>
        <v>155159.33944021486</v>
      </c>
      <c r="CJ50" s="168">
        <f>'FS_Detail(M)'!CJ148</f>
        <v>156500.73515860931</v>
      </c>
      <c r="CK50" s="168">
        <f>'FS_Detail(M)'!CK148</f>
        <v>148510.88758178239</v>
      </c>
      <c r="CL50" s="168">
        <f>'FS_Detail(M)'!CL148</f>
        <v>153019.78470698438</v>
      </c>
      <c r="CM50" s="168">
        <f>'FS_Detail(M)'!CM148</f>
        <v>157461.84032527421</v>
      </c>
      <c r="CN50" s="168">
        <f>'FS_Detail(M)'!CN148</f>
        <v>157461.84032527421</v>
      </c>
      <c r="CO50" s="168">
        <f>'FS_Detail(M)'!CO148</f>
        <v>157461.84032527421</v>
      </c>
      <c r="CP50" s="168">
        <f>'FS_Detail(M)'!CP148</f>
        <v>157830.12826363521</v>
      </c>
      <c r="CQ50" s="168">
        <f>'FS_Detail(M)'!CQ148</f>
        <v>157830.12826363521</v>
      </c>
      <c r="CR50" s="168">
        <f>'FS_Detail(M)'!CR148</f>
        <v>157830.12826363521</v>
      </c>
      <c r="CS50" s="168">
        <f>'FS_Detail(M)'!CS148</f>
        <v>157846.96050328831</v>
      </c>
      <c r="CT50" s="168">
        <f>'FS_Detail(M)'!CT148</f>
        <v>158514.45913685381</v>
      </c>
      <c r="CU50" s="168">
        <f>'FS_Detail(M)'!CU148</f>
        <v>159021.93122622021</v>
      </c>
      <c r="CV50" s="168">
        <f>'FS_Detail(M)'!CV148</f>
        <v>160396.86183757451</v>
      </c>
      <c r="CW50" s="168">
        <f>'FS_Detail(M)'!CW148</f>
        <v>152207.26807132689</v>
      </c>
      <c r="CX50" s="168">
        <f>'FS_Detail(M)'!CX148</f>
        <v>156828.88762465894</v>
      </c>
      <c r="CY50" s="168">
        <f>'FS_Detail(M)'!CY148</f>
        <v>157699.49541265349</v>
      </c>
      <c r="CZ50" s="168">
        <f>'FS_Detail(M)'!CZ148</f>
        <v>157699.49541265349</v>
      </c>
      <c r="DA50" s="168">
        <f>'FS_Detail(M)'!DA148</f>
        <v>157699.49541265349</v>
      </c>
      <c r="DB50" s="168">
        <f>'FS_Detail(M)'!DB148</f>
        <v>158076.99054947344</v>
      </c>
      <c r="DC50" s="168">
        <f>'FS_Detail(M)'!DC148</f>
        <v>158076.99054947344</v>
      </c>
      <c r="DD50" s="168">
        <f>'FS_Detail(M)'!DD148</f>
        <v>158076.99054947344</v>
      </c>
      <c r="DE50" s="168">
        <f>'FS_Detail(M)'!DE148</f>
        <v>158102.59088233087</v>
      </c>
      <c r="DF50" s="168">
        <f>'FS_Detail(M)'!DF148</f>
        <v>158767.56429649322</v>
      </c>
      <c r="DG50" s="168">
        <f>'FS_Detail(M)'!DG148</f>
        <v>159271.94718908085</v>
      </c>
      <c r="DH50" s="168">
        <f>'FS_Detail(M)'!DH148</f>
        <v>160686.48843861304</v>
      </c>
      <c r="DI50" s="168">
        <f>'FS_Detail(M)'!DI148</f>
        <v>160686.48843861304</v>
      </c>
      <c r="DJ50" s="168">
        <f>'FS_Detail(M)'!DJ148</f>
        <v>161206.66516831508</v>
      </c>
      <c r="DK50" s="168">
        <f>'FS_Detail(M)'!DK148</f>
        <v>161674.65752064821</v>
      </c>
      <c r="DL50" s="168">
        <f>'FS_Detail(M)'!DL148</f>
        <v>161674.65752064821</v>
      </c>
      <c r="DM50" s="168">
        <f>'FS_Detail(M)'!DM148</f>
        <v>161674.65752064821</v>
      </c>
      <c r="DN50" s="168">
        <f>'FS_Detail(M)'!DN148</f>
        <v>162061.59003588869</v>
      </c>
      <c r="DO50" s="168">
        <f>'FS_Detail(M)'!DO148</f>
        <v>162061.59003588869</v>
      </c>
      <c r="DP50" s="168">
        <f>'FS_Detail(M)'!DP148</f>
        <v>162061.59003588869</v>
      </c>
      <c r="DQ50" s="168">
        <f>'FS_Detail(M)'!DQ148</f>
        <v>162087.8303770675</v>
      </c>
      <c r="DR50" s="168">
        <f>'FS_Detail(M)'!DR148</f>
        <v>162769.42812658392</v>
      </c>
      <c r="DS50" s="168">
        <f>'FS_Detail(M)'!DS148</f>
        <v>163286.42059148624</v>
      </c>
      <c r="DT50" s="168">
        <f>'FS_Detail(M)'!DT148</f>
        <v>164687.25894957836</v>
      </c>
      <c r="DU50" s="168">
        <f>'FS_Detail(M)'!DU148</f>
        <v>164687.25894957836</v>
      </c>
      <c r="DV50" s="168">
        <f>'FS_Detail(M)'!DV148</f>
        <v>165220.44009752295</v>
      </c>
      <c r="DW50" s="168">
        <f>'FS_Detail(M)'!DW148</f>
        <v>165700.13225866435</v>
      </c>
      <c r="DX50" s="168">
        <f>'FS_Detail(M)'!DX148</f>
        <v>165700.13225866435</v>
      </c>
      <c r="DY50" s="168">
        <f>'FS_Detail(M)'!DY148</f>
        <v>165700.13225866435</v>
      </c>
      <c r="DZ50" s="168">
        <f>'FS_Detail(M)'!DZ148</f>
        <v>166096.73808678589</v>
      </c>
      <c r="EA50" s="168">
        <f>'FS_Detail(M)'!EA148</f>
        <v>166096.73808678589</v>
      </c>
      <c r="EB50" s="168">
        <f>'FS_Detail(M)'!EB148</f>
        <v>166096.73808678589</v>
      </c>
      <c r="EC50" s="168">
        <f>'FS_Detail(M)'!EC148</f>
        <v>0</v>
      </c>
      <c r="ED50" s="168">
        <f>'FS_Detail(M)'!ED148</f>
        <v>0</v>
      </c>
      <c r="EE50" s="168">
        <f>'FS_Detail(M)'!EE148</f>
        <v>0</v>
      </c>
      <c r="EF50" s="168">
        <f>'FS_Detail(M)'!EF148</f>
        <v>0</v>
      </c>
      <c r="EG50" s="168">
        <f>'FS_Detail(M)'!EG148</f>
        <v>0</v>
      </c>
      <c r="EH50" s="168">
        <f>'FS_Detail(M)'!EH148</f>
        <v>0</v>
      </c>
      <c r="EI50" s="168">
        <f>'FS_Detail(M)'!EI148</f>
        <v>0</v>
      </c>
      <c r="EJ50" s="168">
        <f>'FS_Detail(M)'!EJ148</f>
        <v>0</v>
      </c>
      <c r="EK50" s="168">
        <f>'FS_Detail(M)'!EK148</f>
        <v>0</v>
      </c>
      <c r="EL50" s="168">
        <f>'FS_Detail(M)'!EL148</f>
        <v>0</v>
      </c>
      <c r="EM50" s="168">
        <f>'FS_Detail(M)'!EM148</f>
        <v>0</v>
      </c>
      <c r="EN50" s="168">
        <f>'FS_Detail(M)'!EN148</f>
        <v>0</v>
      </c>
      <c r="EO50" s="168">
        <f>'FS_Detail(M)'!EO148</f>
        <v>0</v>
      </c>
      <c r="EP50" s="168">
        <f>'FS_Detail(M)'!EP148</f>
        <v>0</v>
      </c>
      <c r="EQ50" s="168">
        <f>'FS_Detail(M)'!EQ148</f>
        <v>0</v>
      </c>
    </row>
    <row r="51" spans="2:147" ht="11.25" customHeight="1">
      <c r="B51" s="218"/>
      <c r="C51" s="163"/>
      <c r="D51" s="169" t="s">
        <v>9</v>
      </c>
      <c r="H51" s="146"/>
      <c r="I51" s="13"/>
      <c r="J51" s="171">
        <f>SUM(L51:EQ51)</f>
        <v>-17198218.278469633</v>
      </c>
      <c r="K51" s="98"/>
      <c r="L51" s="171">
        <f>-'FS_Detail(M)'!L149</f>
        <v>0</v>
      </c>
      <c r="M51" s="171">
        <f>-'FS_Detail(M)'!M149</f>
        <v>0</v>
      </c>
      <c r="N51" s="171">
        <f>-'FS_Detail(M)'!N149</f>
        <v>0</v>
      </c>
      <c r="O51" s="171">
        <f>-'FS_Detail(M)'!O149</f>
        <v>-365632.92415687494</v>
      </c>
      <c r="P51" s="171">
        <f>-'FS_Detail(M)'!P149</f>
        <v>0</v>
      </c>
      <c r="Q51" s="171">
        <f>-'FS_Detail(M)'!Q149</f>
        <v>0</v>
      </c>
      <c r="R51" s="171">
        <f>-'FS_Detail(M)'!R149</f>
        <v>-373652.1460694531</v>
      </c>
      <c r="S51" s="171">
        <f>-'FS_Detail(M)'!S149</f>
        <v>0</v>
      </c>
      <c r="T51" s="171">
        <f>-'FS_Detail(M)'!T149</f>
        <v>0</v>
      </c>
      <c r="U51" s="171">
        <f>-'FS_Detail(M)'!U149</f>
        <v>-382337.9629773281</v>
      </c>
      <c r="V51" s="171">
        <f>-'FS_Detail(M)'!V149</f>
        <v>0</v>
      </c>
      <c r="W51" s="171">
        <f>-'FS_Detail(M)'!W149</f>
        <v>0</v>
      </c>
      <c r="X51" s="171">
        <f>-'FS_Detail(M)'!X149</f>
        <v>-397792.66723357816</v>
      </c>
      <c r="Y51" s="171">
        <f>-'FS_Detail(M)'!Y149</f>
        <v>0</v>
      </c>
      <c r="Z51" s="171">
        <f>-'FS_Detail(M)'!Z149</f>
        <v>0</v>
      </c>
      <c r="AA51" s="171">
        <f>-'FS_Detail(M)'!AA149</f>
        <v>-373921.3788607968</v>
      </c>
      <c r="AB51" s="171">
        <f>-'FS_Detail(M)'!AB149</f>
        <v>0</v>
      </c>
      <c r="AC51" s="171">
        <f>-'FS_Detail(M)'!AC149</f>
        <v>0</v>
      </c>
      <c r="AD51" s="171">
        <f>-'FS_Detail(M)'!AD149</f>
        <v>-382141.08132118953</v>
      </c>
      <c r="AE51" s="171">
        <f>-'FS_Detail(M)'!AE149</f>
        <v>0</v>
      </c>
      <c r="AF51" s="171">
        <f>-'FS_Detail(M)'!AF149</f>
        <v>0</v>
      </c>
      <c r="AG51" s="171">
        <f>-'FS_Detail(M)'!AG149</f>
        <v>-391044.04365176131</v>
      </c>
      <c r="AH51" s="171">
        <f>-'FS_Detail(M)'!AH149</f>
        <v>0</v>
      </c>
      <c r="AI51" s="171">
        <f>-'FS_Detail(M)'!AI149</f>
        <v>0</v>
      </c>
      <c r="AJ51" s="171">
        <f>-'FS_Detail(M)'!AJ149</f>
        <v>-406885.11551441753</v>
      </c>
      <c r="AK51" s="171">
        <f>-'FS_Detail(M)'!AK149</f>
        <v>0</v>
      </c>
      <c r="AL51" s="171">
        <f>-'FS_Detail(M)'!AL149</f>
        <v>0</v>
      </c>
      <c r="AM51" s="171">
        <f>-'FS_Detail(M)'!AM149</f>
        <v>-402109.90687575424</v>
      </c>
      <c r="AN51" s="171">
        <f>-'FS_Detail(M)'!AN149</f>
        <v>0</v>
      </c>
      <c r="AO51" s="171">
        <f>-'FS_Detail(M)'!AO149</f>
        <v>0</v>
      </c>
      <c r="AP51" s="171">
        <f>-'FS_Detail(M)'!AP149</f>
        <v>-405316.93576162541</v>
      </c>
      <c r="AQ51" s="171">
        <f>-'FS_Detail(M)'!AQ149</f>
        <v>0</v>
      </c>
      <c r="AR51" s="171">
        <f>-'FS_Detail(M)'!AR149</f>
        <v>0</v>
      </c>
      <c r="AS51" s="171">
        <f>-'FS_Detail(M)'!AS149</f>
        <v>-208403.83407287873</v>
      </c>
      <c r="AT51" s="171">
        <f>-'FS_Detail(M)'!AT149</f>
        <v>0</v>
      </c>
      <c r="AU51" s="171">
        <f>-'FS_Detail(M)'!AU149</f>
        <v>0</v>
      </c>
      <c r="AV51" s="171">
        <f>-'FS_Detail(M)'!AV149</f>
        <v>-106542.21295249343</v>
      </c>
      <c r="AW51" s="171">
        <f>-'FS_Detail(M)'!AW149</f>
        <v>0</v>
      </c>
      <c r="AX51" s="171">
        <f>-'FS_Detail(M)'!AX149</f>
        <v>0</v>
      </c>
      <c r="AY51" s="171">
        <f>-'FS_Detail(M)'!AY149</f>
        <v>-429877.39741667744</v>
      </c>
      <c r="AZ51" s="171">
        <f>-'FS_Detail(M)'!AZ149</f>
        <v>0</v>
      </c>
      <c r="BA51" s="171">
        <f>-'FS_Detail(M)'!BA149</f>
        <v>0</v>
      </c>
      <c r="BB51" s="171">
        <f>-'FS_Detail(M)'!BB149</f>
        <v>-425484.70963310858</v>
      </c>
      <c r="BC51" s="171">
        <f>-'FS_Detail(M)'!BC149</f>
        <v>0</v>
      </c>
      <c r="BD51" s="171">
        <f>-'FS_Detail(M)'!BD149</f>
        <v>0</v>
      </c>
      <c r="BE51" s="171">
        <f>-'FS_Detail(M)'!BE149</f>
        <v>-438797.36174949072</v>
      </c>
      <c r="BF51" s="171">
        <f>-'FS_Detail(M)'!BF149</f>
        <v>0</v>
      </c>
      <c r="BG51" s="171">
        <f>-'FS_Detail(M)'!BG149</f>
        <v>0</v>
      </c>
      <c r="BH51" s="171">
        <f>-'FS_Detail(M)'!BH149</f>
        <v>-439823.3376373233</v>
      </c>
      <c r="BI51" s="171">
        <f>-'FS_Detail(M)'!BI149</f>
        <v>0</v>
      </c>
      <c r="BJ51" s="171">
        <f>-'FS_Detail(M)'!BJ149</f>
        <v>0</v>
      </c>
      <c r="BK51" s="171">
        <f>-'FS_Detail(M)'!BK149</f>
        <v>-441581.14481988357</v>
      </c>
      <c r="BL51" s="171">
        <f>-'FS_Detail(M)'!BL149</f>
        <v>0</v>
      </c>
      <c r="BM51" s="171">
        <f>-'FS_Detail(M)'!BM149</f>
        <v>0</v>
      </c>
      <c r="BN51" s="171">
        <f>-'FS_Detail(M)'!BN149</f>
        <v>-436055.6687922675</v>
      </c>
      <c r="BO51" s="171">
        <f>-'FS_Detail(M)'!BO149</f>
        <v>0</v>
      </c>
      <c r="BP51" s="171">
        <f>-'FS_Detail(M)'!BP149</f>
        <v>0</v>
      </c>
      <c r="BQ51" s="171">
        <f>-'FS_Detail(M)'!BQ149</f>
        <v>-449718.12069322797</v>
      </c>
      <c r="BR51" s="171">
        <f>-'FS_Detail(M)'!BR149</f>
        <v>0</v>
      </c>
      <c r="BS51" s="171">
        <f>-'FS_Detail(M)'!BS149</f>
        <v>0</v>
      </c>
      <c r="BT51" s="171">
        <f>-'FS_Detail(M)'!BT149</f>
        <v>-450769.74597825634</v>
      </c>
      <c r="BU51" s="171">
        <f>-'FS_Detail(M)'!BU149</f>
        <v>0</v>
      </c>
      <c r="BV51" s="171">
        <f>-'FS_Detail(M)'!BV149</f>
        <v>0</v>
      </c>
      <c r="BW51" s="171">
        <f>-'FS_Detail(M)'!BW149</f>
        <v>-452571.49834038061</v>
      </c>
      <c r="BX51" s="171">
        <f>-'FS_Detail(M)'!BX149</f>
        <v>0</v>
      </c>
      <c r="BY51" s="171">
        <f>-'FS_Detail(M)'!BY149</f>
        <v>0</v>
      </c>
      <c r="BZ51" s="171">
        <f>-'FS_Detail(M)'!BZ149</f>
        <v>-446907.88541207416</v>
      </c>
      <c r="CA51" s="171">
        <f>-'FS_Detail(M)'!CA149</f>
        <v>0</v>
      </c>
      <c r="CB51" s="171">
        <f>-'FS_Detail(M)'!CB149</f>
        <v>0</v>
      </c>
      <c r="CC51" s="171">
        <f>-'FS_Detail(M)'!CC149</f>
        <v>-460911.89861055871</v>
      </c>
      <c r="CD51" s="171">
        <f>-'FS_Detail(M)'!CD149</f>
        <v>0</v>
      </c>
      <c r="CE51" s="171">
        <f>-'FS_Detail(M)'!CE149</f>
        <v>0</v>
      </c>
      <c r="CF51" s="171">
        <f>-'FS_Detail(M)'!CF149</f>
        <v>-461989.81452771276</v>
      </c>
      <c r="CG51" s="171">
        <f>-'FS_Detail(M)'!CG149</f>
        <v>0</v>
      </c>
      <c r="CH51" s="171">
        <f>-'FS_Detail(M)'!CH149</f>
        <v>0</v>
      </c>
      <c r="CI51" s="171">
        <f>-'FS_Detail(M)'!CI149</f>
        <v>-463836.61069889012</v>
      </c>
      <c r="CJ51" s="171">
        <f>-'FS_Detail(M)'!CJ149</f>
        <v>0</v>
      </c>
      <c r="CK51" s="171">
        <f>-'FS_Detail(M)'!CK149</f>
        <v>0</v>
      </c>
      <c r="CL51" s="171">
        <f>-'FS_Detail(M)'!CL149</f>
        <v>-458031.40744737606</v>
      </c>
      <c r="CM51" s="171">
        <f>-'FS_Detail(M)'!CM149</f>
        <v>0</v>
      </c>
      <c r="CN51" s="171">
        <f>-'FS_Detail(M)'!CN149</f>
        <v>0</v>
      </c>
      <c r="CO51" s="171">
        <f>-'FS_Detail(M)'!CO149</f>
        <v>-472385.52097582264</v>
      </c>
      <c r="CP51" s="171">
        <f>-'FS_Detail(M)'!CP149</f>
        <v>0</v>
      </c>
      <c r="CQ51" s="171">
        <f>-'FS_Detail(M)'!CQ149</f>
        <v>0</v>
      </c>
      <c r="CR51" s="171">
        <f>-'FS_Detail(M)'!CR149</f>
        <v>-473490.38479090563</v>
      </c>
      <c r="CS51" s="171">
        <f>-'FS_Detail(M)'!CS149</f>
        <v>0</v>
      </c>
      <c r="CT51" s="171">
        <f>-'FS_Detail(M)'!CT149</f>
        <v>0</v>
      </c>
      <c r="CU51" s="171">
        <f>-'FS_Detail(M)'!CU149</f>
        <v>-475383.35086636234</v>
      </c>
      <c r="CV51" s="171">
        <f>-'FS_Detail(M)'!CV149</f>
        <v>0</v>
      </c>
      <c r="CW51" s="171">
        <f>-'FS_Detail(M)'!CW149</f>
        <v>0</v>
      </c>
      <c r="CX51" s="171">
        <f>-'FS_Detail(M)'!CX149</f>
        <v>-469433.01753356034</v>
      </c>
      <c r="CY51" s="171">
        <f>-'FS_Detail(M)'!CY149</f>
        <v>0</v>
      </c>
      <c r="CZ51" s="171">
        <f>-'FS_Detail(M)'!CZ149</f>
        <v>0</v>
      </c>
      <c r="DA51" s="171">
        <f>-'FS_Detail(M)'!DA149</f>
        <v>-473098.48623796046</v>
      </c>
      <c r="DB51" s="171">
        <f>-'FS_Detail(M)'!DB149</f>
        <v>0</v>
      </c>
      <c r="DC51" s="171">
        <f>-'FS_Detail(M)'!DC149</f>
        <v>0</v>
      </c>
      <c r="DD51" s="171">
        <f>-'FS_Detail(M)'!DD149</f>
        <v>-474230.97164842032</v>
      </c>
      <c r="DE51" s="171">
        <f>-'FS_Detail(M)'!DE149</f>
        <v>0</v>
      </c>
      <c r="DF51" s="171">
        <f>-'FS_Detail(M)'!DF149</f>
        <v>0</v>
      </c>
      <c r="DG51" s="171">
        <f>-'FS_Detail(M)'!DG149</f>
        <v>-476142.10236790497</v>
      </c>
      <c r="DH51" s="171">
        <f>-'FS_Detail(M)'!DH149</f>
        <v>0</v>
      </c>
      <c r="DI51" s="171">
        <f>-'FS_Detail(M)'!DI149</f>
        <v>0</v>
      </c>
      <c r="DJ51" s="171">
        <f>-'FS_Detail(M)'!DJ149</f>
        <v>-482579.6420455412</v>
      </c>
      <c r="DK51" s="171">
        <f>-'FS_Detail(M)'!DK149</f>
        <v>0</v>
      </c>
      <c r="DL51" s="171">
        <f>-'FS_Detail(M)'!DL149</f>
        <v>0</v>
      </c>
      <c r="DM51" s="171">
        <f>-'FS_Detail(M)'!DM149</f>
        <v>-485023.97256194463</v>
      </c>
      <c r="DN51" s="171">
        <f>-'FS_Detail(M)'!DN149</f>
        <v>0</v>
      </c>
      <c r="DO51" s="171">
        <f>-'FS_Detail(M)'!DO149</f>
        <v>0</v>
      </c>
      <c r="DP51" s="171">
        <f>-'FS_Detail(M)'!DP149</f>
        <v>-486184.77010766603</v>
      </c>
      <c r="DQ51" s="171">
        <f>-'FS_Detail(M)'!DQ149</f>
        <v>0</v>
      </c>
      <c r="DR51" s="171">
        <f>-'FS_Detail(M)'!DR149</f>
        <v>0</v>
      </c>
      <c r="DS51" s="171">
        <f>-'FS_Detail(M)'!DS149</f>
        <v>-488143.67909513763</v>
      </c>
      <c r="DT51" s="171">
        <f>-'FS_Detail(M)'!DT149</f>
        <v>0</v>
      </c>
      <c r="DU51" s="171">
        <f>-'FS_Detail(M)'!DU149</f>
        <v>0</v>
      </c>
      <c r="DV51" s="171">
        <f>-'FS_Detail(M)'!DV149</f>
        <v>-494594.9579966797</v>
      </c>
      <c r="DW51" s="171">
        <f>-'FS_Detail(M)'!DW149</f>
        <v>0</v>
      </c>
      <c r="DX51" s="171">
        <f>-'FS_Detail(M)'!DX149</f>
        <v>0</v>
      </c>
      <c r="DY51" s="171">
        <f>-'FS_Detail(M)'!DY149</f>
        <v>-497100.39677599305</v>
      </c>
      <c r="DZ51" s="171">
        <f>-'FS_Detail(M)'!DZ149</f>
        <v>0</v>
      </c>
      <c r="EA51" s="171">
        <f>-'FS_Detail(M)'!EA149</f>
        <v>0</v>
      </c>
      <c r="EB51" s="171">
        <f>-'FS_Detail(M)'!EB149</f>
        <v>-498290.21426035766</v>
      </c>
      <c r="EC51" s="171">
        <f>-'FS_Detail(M)'!EC149</f>
        <v>0</v>
      </c>
      <c r="ED51" s="171">
        <f>-'FS_Detail(M)'!ED149</f>
        <v>0</v>
      </c>
      <c r="EE51" s="171">
        <f>-'FS_Detail(M)'!EE149</f>
        <v>0</v>
      </c>
      <c r="EF51" s="171">
        <f>-'FS_Detail(M)'!EF149</f>
        <v>0</v>
      </c>
      <c r="EG51" s="171">
        <f>-'FS_Detail(M)'!EG149</f>
        <v>0</v>
      </c>
      <c r="EH51" s="171">
        <f>-'FS_Detail(M)'!EH149</f>
        <v>0</v>
      </c>
      <c r="EI51" s="171">
        <f>-'FS_Detail(M)'!EI149</f>
        <v>0</v>
      </c>
      <c r="EJ51" s="171">
        <f>-'FS_Detail(M)'!EJ149</f>
        <v>0</v>
      </c>
      <c r="EK51" s="171">
        <f>-'FS_Detail(M)'!EK149</f>
        <v>0</v>
      </c>
      <c r="EL51" s="171">
        <f>-'FS_Detail(M)'!EL149</f>
        <v>0</v>
      </c>
      <c r="EM51" s="171">
        <f>-'FS_Detail(M)'!EM149</f>
        <v>0</v>
      </c>
      <c r="EN51" s="171">
        <f>-'FS_Detail(M)'!EN149</f>
        <v>0</v>
      </c>
      <c r="EO51" s="171">
        <f>-'FS_Detail(M)'!EO149</f>
        <v>0</v>
      </c>
      <c r="EP51" s="171">
        <f>-'FS_Detail(M)'!EP149</f>
        <v>0</v>
      </c>
      <c r="EQ51" s="171">
        <f>-'FS_Detail(M)'!EQ149</f>
        <v>0</v>
      </c>
    </row>
    <row r="52" spans="2:147" ht="11.25" customHeight="1">
      <c r="B52" s="218"/>
      <c r="C52" s="163"/>
      <c r="D52" s="169" t="s">
        <v>196</v>
      </c>
      <c r="H52" s="146"/>
      <c r="I52" s="13"/>
      <c r="J52" s="171">
        <f>SUM(L52:EQ52)</f>
        <v>-15204106.771171089</v>
      </c>
      <c r="K52" s="98"/>
      <c r="L52" s="171">
        <f>-'FS_Detail(M)'!L153</f>
        <v>-12856669.630531998</v>
      </c>
      <c r="M52" s="171">
        <f>-'FS_Detail(M)'!M153</f>
        <v>-19812.827211905184</v>
      </c>
      <c r="N52" s="171">
        <f>-'FS_Detail(M)'!N153</f>
        <v>-18725.49021190518</v>
      </c>
      <c r="O52" s="171">
        <f>-'FS_Detail(M)'!O153</f>
        <v>-18725.49021190518</v>
      </c>
      <c r="P52" s="171">
        <f>-'FS_Detail(M)'!P153</f>
        <v>-18725.49021190518</v>
      </c>
      <c r="Q52" s="171">
        <f>-'FS_Detail(M)'!Q153</f>
        <v>-18725.49021190518</v>
      </c>
      <c r="R52" s="171">
        <f>-'FS_Detail(M)'!R153</f>
        <v>-18725.49021190518</v>
      </c>
      <c r="S52" s="171">
        <f>-'FS_Detail(M)'!S153</f>
        <v>-18725.49021190518</v>
      </c>
      <c r="T52" s="171">
        <f>-'FS_Detail(M)'!T153</f>
        <v>-18725.49021190518</v>
      </c>
      <c r="U52" s="171">
        <f>-'FS_Detail(M)'!U153</f>
        <v>-18725.49021190518</v>
      </c>
      <c r="V52" s="171">
        <f>-'FS_Detail(M)'!V153</f>
        <v>-18725.49021190518</v>
      </c>
      <c r="W52" s="171">
        <f>-'FS_Detail(M)'!W153</f>
        <v>-18725.49021190518</v>
      </c>
      <c r="X52" s="171">
        <f>-'FS_Detail(M)'!X153</f>
        <v>-18725.49021190518</v>
      </c>
      <c r="Y52" s="171">
        <f>-'FS_Detail(M)'!Y153</f>
        <v>-18732.641475998116</v>
      </c>
      <c r="Z52" s="171">
        <f>-'FS_Detail(M)'!Z153</f>
        <v>-18732.641475998116</v>
      </c>
      <c r="AA52" s="171">
        <f>-'FS_Detail(M)'!AA153</f>
        <v>-18732.641475998116</v>
      </c>
      <c r="AB52" s="171">
        <f>-'FS_Detail(M)'!AB153</f>
        <v>-18732.641475998116</v>
      </c>
      <c r="AC52" s="171">
        <f>-'FS_Detail(M)'!AC153</f>
        <v>-18732.641475998116</v>
      </c>
      <c r="AD52" s="171">
        <f>-'FS_Detail(M)'!AD153</f>
        <v>-18732.641475998116</v>
      </c>
      <c r="AE52" s="171">
        <f>-'FS_Detail(M)'!AE153</f>
        <v>-18732.641475998116</v>
      </c>
      <c r="AF52" s="171">
        <f>-'FS_Detail(M)'!AF153</f>
        <v>-18732.641475998116</v>
      </c>
      <c r="AG52" s="171">
        <f>-'FS_Detail(M)'!AG153</f>
        <v>-18732.641475998116</v>
      </c>
      <c r="AH52" s="171">
        <f>-'FS_Detail(M)'!AH153</f>
        <v>-18732.641475998116</v>
      </c>
      <c r="AI52" s="171">
        <f>-'FS_Detail(M)'!AI153</f>
        <v>-18732.641475998116</v>
      </c>
      <c r="AJ52" s="171">
        <f>-'FS_Detail(M)'!AJ153</f>
        <v>-18732.641475998116</v>
      </c>
      <c r="AK52" s="171">
        <f>-'FS_Detail(M)'!AK153</f>
        <v>-18744.846830039573</v>
      </c>
      <c r="AL52" s="171">
        <f>-'FS_Detail(M)'!AL153</f>
        <v>-18744.846830039573</v>
      </c>
      <c r="AM52" s="171">
        <f>-'FS_Detail(M)'!AM153</f>
        <v>-18744.846830039573</v>
      </c>
      <c r="AN52" s="171">
        <f>-'FS_Detail(M)'!AN153</f>
        <v>-18744.846830039573</v>
      </c>
      <c r="AO52" s="171">
        <f>-'FS_Detail(M)'!AO153</f>
        <v>-18744.846830039573</v>
      </c>
      <c r="AP52" s="171">
        <f>-'FS_Detail(M)'!AP153</f>
        <v>-18744.846830039573</v>
      </c>
      <c r="AQ52" s="171">
        <f>-'FS_Detail(M)'!AQ153</f>
        <v>-18744.846830039573</v>
      </c>
      <c r="AR52" s="171">
        <f>-'FS_Detail(M)'!AR153</f>
        <v>-18744.846830039573</v>
      </c>
      <c r="AS52" s="171">
        <f>-'FS_Detail(M)'!AS153</f>
        <v>-18744.846830039573</v>
      </c>
      <c r="AT52" s="171">
        <f>-'FS_Detail(M)'!AT153</f>
        <v>-25584.686082256489</v>
      </c>
      <c r="AU52" s="171">
        <f>-'FS_Detail(M)'!AU153</f>
        <v>-18744.846830039573</v>
      </c>
      <c r="AV52" s="171">
        <f>-'FS_Detail(M)'!AV153</f>
        <v>-18744.846830039573</v>
      </c>
      <c r="AW52" s="171">
        <f>-'FS_Detail(M)'!AW153</f>
        <v>-18762.107822035192</v>
      </c>
      <c r="AX52" s="171">
        <f>-'FS_Detail(M)'!AX153</f>
        <v>-18762.107822035192</v>
      </c>
      <c r="AY52" s="171">
        <f>-'FS_Detail(M)'!AY153</f>
        <v>-20316.321635187589</v>
      </c>
      <c r="AZ52" s="171">
        <f>-'FS_Detail(M)'!AZ153</f>
        <v>-21527.588176365716</v>
      </c>
      <c r="BA52" s="171">
        <f>-'FS_Detail(M)'!BA153</f>
        <v>-18762.107822035192</v>
      </c>
      <c r="BB52" s="171">
        <f>-'FS_Detail(M)'!BB153</f>
        <v>-18762.107822035192</v>
      </c>
      <c r="BC52" s="171">
        <f>-'FS_Detail(M)'!BC153</f>
        <v>-18817.963385759711</v>
      </c>
      <c r="BD52" s="171">
        <f>-'FS_Detail(M)'!BD153</f>
        <v>-18762.107822035192</v>
      </c>
      <c r="BE52" s="171">
        <f>-'FS_Detail(M)'!BE153</f>
        <v>-18762.107822035192</v>
      </c>
      <c r="BF52" s="171">
        <f>-'FS_Detail(M)'!BF153</f>
        <v>-18762.107822035192</v>
      </c>
      <c r="BG52" s="171">
        <f>-'FS_Detail(M)'!BG153</f>
        <v>-18762.107822035192</v>
      </c>
      <c r="BH52" s="171">
        <f>-'FS_Detail(M)'!BH153</f>
        <v>-18762.107822035192</v>
      </c>
      <c r="BI52" s="171">
        <f>-'FS_Detail(M)'!BI153</f>
        <v>-18784.428001939097</v>
      </c>
      <c r="BJ52" s="171">
        <f>-'FS_Detail(M)'!BJ153</f>
        <v>-18784.428001939097</v>
      </c>
      <c r="BK52" s="171">
        <f>-'FS_Detail(M)'!BK153</f>
        <v>-18784.428001939097</v>
      </c>
      <c r="BL52" s="171">
        <f>-'FS_Detail(M)'!BL153</f>
        <v>-18784.428001939097</v>
      </c>
      <c r="BM52" s="171">
        <f>-'FS_Detail(M)'!BM153</f>
        <v>-18784.428001939097</v>
      </c>
      <c r="BN52" s="171">
        <f>-'FS_Detail(M)'!BN153</f>
        <v>-18784.428001939097</v>
      </c>
      <c r="BO52" s="171">
        <f>-'FS_Detail(M)'!BO153</f>
        <v>-18784.428001939097</v>
      </c>
      <c r="BP52" s="171">
        <f>-'FS_Detail(M)'!BP153</f>
        <v>-18784.428001939097</v>
      </c>
      <c r="BQ52" s="171">
        <f>-'FS_Detail(M)'!BQ153</f>
        <v>-18784.428001939097</v>
      </c>
      <c r="BR52" s="171">
        <f>-'FS_Detail(M)'!BR153</f>
        <v>-18784.428001939097</v>
      </c>
      <c r="BS52" s="171">
        <f>-'FS_Detail(M)'!BS153</f>
        <v>-18784.428001939097</v>
      </c>
      <c r="BT52" s="171">
        <f>-'FS_Detail(M)'!BT153</f>
        <v>-18784.428001939097</v>
      </c>
      <c r="BU52" s="171">
        <f>-'FS_Detail(M)'!BU153</f>
        <v>-18811.812921977758</v>
      </c>
      <c r="BV52" s="171">
        <f>-'FS_Detail(M)'!BV153</f>
        <v>-18811.812921977758</v>
      </c>
      <c r="BW52" s="171">
        <f>-'FS_Detail(M)'!BW153</f>
        <v>-18811.812921977758</v>
      </c>
      <c r="BX52" s="171">
        <f>-'FS_Detail(M)'!BX153</f>
        <v>-18811.812921977758</v>
      </c>
      <c r="BY52" s="171">
        <f>-'FS_Detail(M)'!BY153</f>
        <v>-18811.812921977758</v>
      </c>
      <c r="BZ52" s="171">
        <f>-'FS_Detail(M)'!BZ153</f>
        <v>-18811.812921977758</v>
      </c>
      <c r="CA52" s="171">
        <f>-'FS_Detail(M)'!CA153</f>
        <v>-18811.812921977758</v>
      </c>
      <c r="CB52" s="171">
        <f>-'FS_Detail(M)'!CB153</f>
        <v>-18811.812921977758</v>
      </c>
      <c r="CC52" s="171">
        <f>-'FS_Detail(M)'!CC153</f>
        <v>-18811.812921977758</v>
      </c>
      <c r="CD52" s="171">
        <f>-'FS_Detail(M)'!CD153</f>
        <v>-18811.812921977758</v>
      </c>
      <c r="CE52" s="171">
        <f>-'FS_Detail(M)'!CE153</f>
        <v>-18811.812921977758</v>
      </c>
      <c r="CF52" s="171">
        <f>-'FS_Detail(M)'!CF153</f>
        <v>-18811.812921977758</v>
      </c>
      <c r="CG52" s="171">
        <f>-'FS_Detail(M)'!CG153</f>
        <v>-18844.270137770283</v>
      </c>
      <c r="CH52" s="171">
        <f>-'FS_Detail(M)'!CH153</f>
        <v>-18844.270137770283</v>
      </c>
      <c r="CI52" s="171">
        <f>-'FS_Detail(M)'!CI153</f>
        <v>-18844.270137770283</v>
      </c>
      <c r="CJ52" s="171">
        <f>-'FS_Detail(M)'!CJ153</f>
        <v>-18844.270137770283</v>
      </c>
      <c r="CK52" s="171">
        <f>-'FS_Detail(M)'!CK153</f>
        <v>-18844.270137770283</v>
      </c>
      <c r="CL52" s="171">
        <f>-'FS_Detail(M)'!CL153</f>
        <v>-18844.270137770283</v>
      </c>
      <c r="CM52" s="171">
        <f>-'FS_Detail(M)'!CM153</f>
        <v>-18844.270137770283</v>
      </c>
      <c r="CN52" s="171">
        <f>-'FS_Detail(M)'!CN153</f>
        <v>-18844.270137770283</v>
      </c>
      <c r="CO52" s="171">
        <f>-'FS_Detail(M)'!CO153</f>
        <v>-18844.270137770283</v>
      </c>
      <c r="CP52" s="171">
        <f>-'FS_Detail(M)'!CP153</f>
        <v>-18844.270137770283</v>
      </c>
      <c r="CQ52" s="171">
        <f>-'FS_Detail(M)'!CQ153</f>
        <v>-18844.270137770283</v>
      </c>
      <c r="CR52" s="171">
        <f>-'FS_Detail(M)'!CR153</f>
        <v>-18844.270137770283</v>
      </c>
      <c r="CS52" s="171">
        <f>-'FS_Detail(M)'!CS153</f>
        <v>-18881.809210245021</v>
      </c>
      <c r="CT52" s="171">
        <f>-'FS_Detail(M)'!CT153</f>
        <v>-18881.809210245021</v>
      </c>
      <c r="CU52" s="171">
        <f>-'FS_Detail(M)'!CU153</f>
        <v>-18881.809210245021</v>
      </c>
      <c r="CV52" s="171">
        <f>-'FS_Detail(M)'!CV153</f>
        <v>-18881.809210245021</v>
      </c>
      <c r="CW52" s="171">
        <f>-'FS_Detail(M)'!CW153</f>
        <v>-18881.809210245021</v>
      </c>
      <c r="CX52" s="171">
        <f>-'FS_Detail(M)'!CX153</f>
        <v>-18881.809210245021</v>
      </c>
      <c r="CY52" s="171">
        <f>-'FS_Detail(M)'!CY153</f>
        <v>-78896.986248649642</v>
      </c>
      <c r="CZ52" s="171">
        <f>-'FS_Detail(M)'!CZ153</f>
        <v>-18881.809210245021</v>
      </c>
      <c r="DA52" s="171">
        <f>-'FS_Detail(M)'!DA153</f>
        <v>-18881.809210245021</v>
      </c>
      <c r="DB52" s="171">
        <f>-'FS_Detail(M)'!DB153</f>
        <v>-26620.459515054903</v>
      </c>
      <c r="DC52" s="171">
        <f>-'FS_Detail(M)'!DC153</f>
        <v>-18881.809210245021</v>
      </c>
      <c r="DD52" s="171">
        <f>-'FS_Detail(M)'!DD153</f>
        <v>-18881.809210245021</v>
      </c>
      <c r="DE52" s="171">
        <f>-'FS_Detail(M)'!DE153</f>
        <v>-18924.441708353035</v>
      </c>
      <c r="DF52" s="171">
        <f>-'FS_Detail(M)'!DF153</f>
        <v>-18924.441708353035</v>
      </c>
      <c r="DG52" s="171">
        <f>-'FS_Detail(M)'!DG153</f>
        <v>-20682.891981141711</v>
      </c>
      <c r="DH52" s="171">
        <f>-'FS_Detail(M)'!DH153</f>
        <v>-23146.141724894125</v>
      </c>
      <c r="DI52" s="171">
        <f>-'FS_Detail(M)'!DI153</f>
        <v>-18924.441708353035</v>
      </c>
      <c r="DJ52" s="171">
        <f>-'FS_Detail(M)'!DJ153</f>
        <v>-22053.328893830265</v>
      </c>
      <c r="DK52" s="171">
        <f>-'FS_Detail(M)'!DK153</f>
        <v>-18987.637151886593</v>
      </c>
      <c r="DL52" s="171">
        <f>-'FS_Detail(M)'!DL153</f>
        <v>-18924.441708353035</v>
      </c>
      <c r="DM52" s="171">
        <f>-'FS_Detail(M)'!DM153</f>
        <v>-18924.441708353035</v>
      </c>
      <c r="DN52" s="171">
        <f>-'FS_Detail(M)'!DN153</f>
        <v>-18924.441708353035</v>
      </c>
      <c r="DO52" s="171">
        <f>-'FS_Detail(M)'!DO153</f>
        <v>-18924.441708353035</v>
      </c>
      <c r="DP52" s="171">
        <f>-'FS_Detail(M)'!DP153</f>
        <v>-18924.441708353035</v>
      </c>
      <c r="DQ52" s="171">
        <f>-'FS_Detail(M)'!DQ153</f>
        <v>-18972.181212579035</v>
      </c>
      <c r="DR52" s="171">
        <f>-'FS_Detail(M)'!DR153</f>
        <v>-18972.181212579035</v>
      </c>
      <c r="DS52" s="171">
        <f>-'FS_Detail(M)'!DS153</f>
        <v>-18972.181212579035</v>
      </c>
      <c r="DT52" s="171">
        <f>-'FS_Detail(M)'!DT153</f>
        <v>-18972.181212579035</v>
      </c>
      <c r="DU52" s="171">
        <f>-'FS_Detail(M)'!DU153</f>
        <v>-18972.181212579035</v>
      </c>
      <c r="DV52" s="171">
        <f>-'FS_Detail(M)'!DV153</f>
        <v>-18972.181212579035</v>
      </c>
      <c r="DW52" s="171">
        <f>-'FS_Detail(M)'!DW153</f>
        <v>-18972.181212579035</v>
      </c>
      <c r="DX52" s="171">
        <f>-'FS_Detail(M)'!DX153</f>
        <v>-18972.181212579035</v>
      </c>
      <c r="DY52" s="171">
        <f>-'FS_Detail(M)'!DY153</f>
        <v>-18972.181212579035</v>
      </c>
      <c r="DZ52" s="171">
        <f>-'FS_Detail(M)'!DZ153</f>
        <v>-18972.181212579035</v>
      </c>
      <c r="EA52" s="171">
        <f>-'FS_Detail(M)'!EA153</f>
        <v>-18972.181212579035</v>
      </c>
      <c r="EB52" s="171">
        <f>-'FS_Detail(M)'!EB153</f>
        <v>-18972.181212579035</v>
      </c>
      <c r="EC52" s="171">
        <f>-'FS_Detail(M)'!EC153</f>
        <v>0</v>
      </c>
      <c r="ED52" s="171">
        <f>-'FS_Detail(M)'!ED153</f>
        <v>0</v>
      </c>
      <c r="EE52" s="171">
        <f>-'FS_Detail(M)'!EE153</f>
        <v>0</v>
      </c>
      <c r="EF52" s="171">
        <f>-'FS_Detail(M)'!EF153</f>
        <v>0</v>
      </c>
      <c r="EG52" s="171">
        <f>-'FS_Detail(M)'!EG153</f>
        <v>0</v>
      </c>
      <c r="EH52" s="171">
        <f>-'FS_Detail(M)'!EH153</f>
        <v>0</v>
      </c>
      <c r="EI52" s="171">
        <f>-'FS_Detail(M)'!EI153</f>
        <v>0</v>
      </c>
      <c r="EJ52" s="171">
        <f>-'FS_Detail(M)'!EJ153</f>
        <v>0</v>
      </c>
      <c r="EK52" s="171">
        <f>-'FS_Detail(M)'!EK153</f>
        <v>0</v>
      </c>
      <c r="EL52" s="171">
        <f>-'FS_Detail(M)'!EL153</f>
        <v>0</v>
      </c>
      <c r="EM52" s="171">
        <f>-'FS_Detail(M)'!EM153</f>
        <v>0</v>
      </c>
      <c r="EN52" s="171">
        <f>-'FS_Detail(M)'!EN153</f>
        <v>0</v>
      </c>
      <c r="EO52" s="171">
        <f>-'FS_Detail(M)'!EO153</f>
        <v>0</v>
      </c>
      <c r="EP52" s="171">
        <f>-'FS_Detail(M)'!EP153</f>
        <v>0</v>
      </c>
      <c r="EQ52" s="171">
        <f>-'FS_Detail(M)'!EQ153</f>
        <v>0</v>
      </c>
    </row>
    <row r="53" spans="2:147" ht="11.25" customHeight="1">
      <c r="B53" s="218"/>
      <c r="C53" s="163"/>
      <c r="D53" s="169" t="s">
        <v>10</v>
      </c>
      <c r="H53" s="146"/>
      <c r="I53" s="13"/>
      <c r="J53" s="171">
        <f>SUM(L53:EQ53)</f>
        <v>15204106.771171087</v>
      </c>
      <c r="K53" s="98"/>
      <c r="L53" s="177">
        <f>'FS_Detail(M)'!L154</f>
        <v>0</v>
      </c>
      <c r="M53" s="177">
        <f>'FS_Detail(M)'!M154</f>
        <v>0</v>
      </c>
      <c r="N53" s="177">
        <f>'FS_Detail(M)'!N154</f>
        <v>0</v>
      </c>
      <c r="O53" s="177">
        <f>'FS_Detail(M)'!O154</f>
        <v>12913933.438167715</v>
      </c>
      <c r="P53" s="177">
        <f>'FS_Detail(M)'!P154</f>
        <v>0</v>
      </c>
      <c r="Q53" s="177">
        <f>'FS_Detail(M)'!Q154</f>
        <v>0</v>
      </c>
      <c r="R53" s="177">
        <f>'FS_Detail(M)'!R154</f>
        <v>0</v>
      </c>
      <c r="S53" s="177">
        <f>'FS_Detail(M)'!S154</f>
        <v>0</v>
      </c>
      <c r="T53" s="177">
        <f>'FS_Detail(M)'!T154</f>
        <v>0</v>
      </c>
      <c r="U53" s="177">
        <f>'FS_Detail(M)'!U154</f>
        <v>112352.94127143109</v>
      </c>
      <c r="V53" s="177">
        <f>'FS_Detail(M)'!V154</f>
        <v>0</v>
      </c>
      <c r="W53" s="177">
        <f>'FS_Detail(M)'!W154</f>
        <v>0</v>
      </c>
      <c r="X53" s="177">
        <f>'FS_Detail(M)'!X154</f>
        <v>0</v>
      </c>
      <c r="Y53" s="177">
        <f>'FS_Detail(M)'!Y154</f>
        <v>0</v>
      </c>
      <c r="Z53" s="177">
        <f>'FS_Detail(M)'!Z154</f>
        <v>0</v>
      </c>
      <c r="AA53" s="177">
        <f>'FS_Detail(M)'!AA154</f>
        <v>112374.39506370988</v>
      </c>
      <c r="AB53" s="177">
        <f>'FS_Detail(M)'!AB154</f>
        <v>0</v>
      </c>
      <c r="AC53" s="177">
        <f>'FS_Detail(M)'!AC154</f>
        <v>0</v>
      </c>
      <c r="AD53" s="177">
        <f>'FS_Detail(M)'!AD154</f>
        <v>0</v>
      </c>
      <c r="AE53" s="177">
        <f>'FS_Detail(M)'!AE154</f>
        <v>0</v>
      </c>
      <c r="AF53" s="177">
        <f>'FS_Detail(M)'!AF154</f>
        <v>0</v>
      </c>
      <c r="AG53" s="177">
        <f>'FS_Detail(M)'!AG154</f>
        <v>112395.84885598869</v>
      </c>
      <c r="AH53" s="177">
        <f>'FS_Detail(M)'!AH154</f>
        <v>0</v>
      </c>
      <c r="AI53" s="177">
        <f>'FS_Detail(M)'!AI154</f>
        <v>0</v>
      </c>
      <c r="AJ53" s="177">
        <f>'FS_Detail(M)'!AJ154</f>
        <v>0</v>
      </c>
      <c r="AK53" s="177">
        <f>'FS_Detail(M)'!AK154</f>
        <v>0</v>
      </c>
      <c r="AL53" s="177">
        <f>'FS_Detail(M)'!AL154</f>
        <v>0</v>
      </c>
      <c r="AM53" s="177">
        <f>'FS_Detail(M)'!AM154</f>
        <v>112432.46491811308</v>
      </c>
      <c r="AN53" s="177">
        <f>'FS_Detail(M)'!AN154</f>
        <v>0</v>
      </c>
      <c r="AO53" s="177">
        <f>'FS_Detail(M)'!AO154</f>
        <v>0</v>
      </c>
      <c r="AP53" s="177">
        <f>'FS_Detail(M)'!AP154</f>
        <v>0</v>
      </c>
      <c r="AQ53" s="177">
        <f>'FS_Detail(M)'!AQ154</f>
        <v>0</v>
      </c>
      <c r="AR53" s="177">
        <f>'FS_Detail(M)'!AR154</f>
        <v>0</v>
      </c>
      <c r="AS53" s="177">
        <f>'FS_Detail(M)'!AS154</f>
        <v>112469.08098023744</v>
      </c>
      <c r="AT53" s="177">
        <f>'FS_Detail(M)'!AT154</f>
        <v>0</v>
      </c>
      <c r="AU53" s="177">
        <f>'FS_Detail(M)'!AU154</f>
        <v>0</v>
      </c>
      <c r="AV53" s="177">
        <f>'FS_Detail(M)'!AV154</f>
        <v>0</v>
      </c>
      <c r="AW53" s="177">
        <f>'FS_Detail(M)'!AW154</f>
        <v>0</v>
      </c>
      <c r="AX53" s="177">
        <f>'FS_Detail(M)'!AX154</f>
        <v>0</v>
      </c>
      <c r="AY53" s="177">
        <f>'FS_Detail(M)'!AY154</f>
        <v>120914.9170215936</v>
      </c>
      <c r="AZ53" s="177">
        <f>'FS_Detail(M)'!AZ154</f>
        <v>0</v>
      </c>
      <c r="BA53" s="177">
        <f>'FS_Detail(M)'!BA154</f>
        <v>0</v>
      </c>
      <c r="BB53" s="177">
        <f>'FS_Detail(M)'!BB154</f>
        <v>0</v>
      </c>
      <c r="BC53" s="177">
        <f>'FS_Detail(M)'!BC154</f>
        <v>0</v>
      </c>
      <c r="BD53" s="177">
        <f>'FS_Detail(M)'!BD154</f>
        <v>0</v>
      </c>
      <c r="BE53" s="177">
        <f>'FS_Detail(M)'!BE154</f>
        <v>115393.9828502662</v>
      </c>
      <c r="BF53" s="177">
        <f>'FS_Detail(M)'!BF154</f>
        <v>0</v>
      </c>
      <c r="BG53" s="177">
        <f>'FS_Detail(M)'!BG154</f>
        <v>0</v>
      </c>
      <c r="BH53" s="177">
        <f>'FS_Detail(M)'!BH154</f>
        <v>0</v>
      </c>
      <c r="BI53" s="177">
        <f>'FS_Detail(M)'!BI154</f>
        <v>0</v>
      </c>
      <c r="BJ53" s="177">
        <f>'FS_Detail(M)'!BJ154</f>
        <v>0</v>
      </c>
      <c r="BK53" s="177">
        <f>'FS_Detail(M)'!BK154</f>
        <v>112639.60747192288</v>
      </c>
      <c r="BL53" s="177">
        <f>'FS_Detail(M)'!BL154</f>
        <v>0</v>
      </c>
      <c r="BM53" s="177">
        <f>'FS_Detail(M)'!BM154</f>
        <v>0</v>
      </c>
      <c r="BN53" s="177">
        <f>'FS_Detail(M)'!BN154</f>
        <v>0</v>
      </c>
      <c r="BO53" s="177">
        <f>'FS_Detail(M)'!BO154</f>
        <v>0</v>
      </c>
      <c r="BP53" s="177">
        <f>'FS_Detail(M)'!BP154</f>
        <v>0</v>
      </c>
      <c r="BQ53" s="177">
        <f>'FS_Detail(M)'!BQ154</f>
        <v>112706.56801163459</v>
      </c>
      <c r="BR53" s="177">
        <f>'FS_Detail(M)'!BR154</f>
        <v>0</v>
      </c>
      <c r="BS53" s="177">
        <f>'FS_Detail(M)'!BS154</f>
        <v>0</v>
      </c>
      <c r="BT53" s="177">
        <f>'FS_Detail(M)'!BT154</f>
        <v>0</v>
      </c>
      <c r="BU53" s="177">
        <f>'FS_Detail(M)'!BU154</f>
        <v>0</v>
      </c>
      <c r="BV53" s="177">
        <f>'FS_Detail(M)'!BV154</f>
        <v>0</v>
      </c>
      <c r="BW53" s="177">
        <f>'FS_Detail(M)'!BW154</f>
        <v>112788.72277175057</v>
      </c>
      <c r="BX53" s="177">
        <f>'FS_Detail(M)'!BX154</f>
        <v>0</v>
      </c>
      <c r="BY53" s="177">
        <f>'FS_Detail(M)'!BY154</f>
        <v>0</v>
      </c>
      <c r="BZ53" s="177">
        <f>'FS_Detail(M)'!BZ154</f>
        <v>0</v>
      </c>
      <c r="CA53" s="177">
        <f>'FS_Detail(M)'!CA154</f>
        <v>0</v>
      </c>
      <c r="CB53" s="177">
        <f>'FS_Detail(M)'!CB154</f>
        <v>0</v>
      </c>
      <c r="CC53" s="177">
        <f>'FS_Detail(M)'!CC154</f>
        <v>112870.87753186656</v>
      </c>
      <c r="CD53" s="177">
        <f>'FS_Detail(M)'!CD154</f>
        <v>0</v>
      </c>
      <c r="CE53" s="177">
        <f>'FS_Detail(M)'!CE154</f>
        <v>0</v>
      </c>
      <c r="CF53" s="177">
        <f>'FS_Detail(M)'!CF154</f>
        <v>0</v>
      </c>
      <c r="CG53" s="177">
        <f>'FS_Detail(M)'!CG154</f>
        <v>0</v>
      </c>
      <c r="CH53" s="177">
        <f>'FS_Detail(M)'!CH154</f>
        <v>0</v>
      </c>
      <c r="CI53" s="177">
        <f>'FS_Detail(M)'!CI154</f>
        <v>112968.2491792441</v>
      </c>
      <c r="CJ53" s="177">
        <f>'FS_Detail(M)'!CJ154</f>
        <v>0</v>
      </c>
      <c r="CK53" s="177">
        <f>'FS_Detail(M)'!CK154</f>
        <v>0</v>
      </c>
      <c r="CL53" s="177">
        <f>'FS_Detail(M)'!CL154</f>
        <v>0</v>
      </c>
      <c r="CM53" s="177">
        <f>'FS_Detail(M)'!CM154</f>
        <v>0</v>
      </c>
      <c r="CN53" s="177">
        <f>'FS_Detail(M)'!CN154</f>
        <v>0</v>
      </c>
      <c r="CO53" s="177">
        <f>'FS_Detail(M)'!CO154</f>
        <v>113065.62082662169</v>
      </c>
      <c r="CP53" s="177">
        <f>'FS_Detail(M)'!CP154</f>
        <v>0</v>
      </c>
      <c r="CQ53" s="177">
        <f>'FS_Detail(M)'!CQ154</f>
        <v>0</v>
      </c>
      <c r="CR53" s="177">
        <f>'FS_Detail(M)'!CR154</f>
        <v>0</v>
      </c>
      <c r="CS53" s="177">
        <f>'FS_Detail(M)'!CS154</f>
        <v>0</v>
      </c>
      <c r="CT53" s="177">
        <f>'FS_Detail(M)'!CT154</f>
        <v>0</v>
      </c>
      <c r="CU53" s="177">
        <f>'FS_Detail(M)'!CU154</f>
        <v>113178.23804404591</v>
      </c>
      <c r="CV53" s="177">
        <f>'FS_Detail(M)'!CV154</f>
        <v>0</v>
      </c>
      <c r="CW53" s="177">
        <f>'FS_Detail(M)'!CW154</f>
        <v>0</v>
      </c>
      <c r="CX53" s="177">
        <f>'FS_Detail(M)'!CX154</f>
        <v>0</v>
      </c>
      <c r="CY53" s="177">
        <f>'FS_Detail(M)'!CY154</f>
        <v>0</v>
      </c>
      <c r="CZ53" s="177">
        <f>'FS_Detail(M)'!CZ154</f>
        <v>0</v>
      </c>
      <c r="DA53" s="177">
        <f>'FS_Detail(M)'!DA154</f>
        <v>173306.03229987476</v>
      </c>
      <c r="DB53" s="177">
        <f>'FS_Detail(M)'!DB154</f>
        <v>0</v>
      </c>
      <c r="DC53" s="177">
        <f>'FS_Detail(M)'!DC154</f>
        <v>0</v>
      </c>
      <c r="DD53" s="177">
        <f>'FS_Detail(M)'!DD154</f>
        <v>0</v>
      </c>
      <c r="DE53" s="177">
        <f>'FS_Detail(M)'!DE154</f>
        <v>0</v>
      </c>
      <c r="DF53" s="177">
        <f>'FS_Detail(M)'!DF154</f>
        <v>0</v>
      </c>
      <c r="DG53" s="177">
        <f>'FS_Detail(M)'!DG154</f>
        <v>122915.85333339272</v>
      </c>
      <c r="DH53" s="177">
        <f>'FS_Detail(M)'!DH154</f>
        <v>0</v>
      </c>
      <c r="DI53" s="177">
        <f>'FS_Detail(M)'!DI154</f>
        <v>0</v>
      </c>
      <c r="DJ53" s="177">
        <f>'FS_Detail(M)'!DJ154</f>
        <v>0</v>
      </c>
      <c r="DK53" s="177">
        <f>'FS_Detail(M)'!DK154</f>
        <v>0</v>
      </c>
      <c r="DL53" s="177">
        <f>'FS_Detail(M)'!DL154</f>
        <v>0</v>
      </c>
      <c r="DM53" s="177">
        <f>'FS_Detail(M)'!DM154</f>
        <v>120960.43289567006</v>
      </c>
      <c r="DN53" s="177">
        <f>'FS_Detail(M)'!DN154</f>
        <v>0</v>
      </c>
      <c r="DO53" s="177">
        <f>'FS_Detail(M)'!DO154</f>
        <v>0</v>
      </c>
      <c r="DP53" s="177">
        <f>'FS_Detail(M)'!DP154</f>
        <v>0</v>
      </c>
      <c r="DQ53" s="177">
        <f>'FS_Detail(M)'!DQ154</f>
        <v>0</v>
      </c>
      <c r="DR53" s="177">
        <f>'FS_Detail(M)'!DR154</f>
        <v>0</v>
      </c>
      <c r="DS53" s="177">
        <f>'FS_Detail(M)'!DS154</f>
        <v>113689.86876279621</v>
      </c>
      <c r="DT53" s="177">
        <f>'FS_Detail(M)'!DT154</f>
        <v>0</v>
      </c>
      <c r="DU53" s="177">
        <f>'FS_Detail(M)'!DU154</f>
        <v>0</v>
      </c>
      <c r="DV53" s="177">
        <f>'FS_Detail(M)'!DV154</f>
        <v>0</v>
      </c>
      <c r="DW53" s="177">
        <f>'FS_Detail(M)'!DW154</f>
        <v>0</v>
      </c>
      <c r="DX53" s="177">
        <f>'FS_Detail(M)'!DX154</f>
        <v>0</v>
      </c>
      <c r="DY53" s="177">
        <f>'FS_Detail(M)'!DY154</f>
        <v>113833.0872754742</v>
      </c>
      <c r="DZ53" s="177">
        <f>'FS_Detail(M)'!DZ154</f>
        <v>0</v>
      </c>
      <c r="EA53" s="177">
        <f>'FS_Detail(M)'!EA154</f>
        <v>0</v>
      </c>
      <c r="EB53" s="177">
        <f>'FS_Detail(M)'!EB154</f>
        <v>56916.543637737108</v>
      </c>
      <c r="EC53" s="177">
        <f>'FS_Detail(M)'!EC154</f>
        <v>0</v>
      </c>
      <c r="ED53" s="177">
        <f>'FS_Detail(M)'!ED154</f>
        <v>0</v>
      </c>
      <c r="EE53" s="177">
        <f>'FS_Detail(M)'!EE154</f>
        <v>0</v>
      </c>
      <c r="EF53" s="177">
        <f>'FS_Detail(M)'!EF154</f>
        <v>0</v>
      </c>
      <c r="EG53" s="177">
        <f>'FS_Detail(M)'!EG154</f>
        <v>0</v>
      </c>
      <c r="EH53" s="177">
        <f>'FS_Detail(M)'!EH154</f>
        <v>0</v>
      </c>
      <c r="EI53" s="177">
        <f>'FS_Detail(M)'!EI154</f>
        <v>0</v>
      </c>
      <c r="EJ53" s="177">
        <f>'FS_Detail(M)'!EJ154</f>
        <v>0</v>
      </c>
      <c r="EK53" s="177">
        <f>'FS_Detail(M)'!EK154</f>
        <v>0</v>
      </c>
      <c r="EL53" s="177">
        <f>'FS_Detail(M)'!EL154</f>
        <v>0</v>
      </c>
      <c r="EM53" s="177">
        <f>'FS_Detail(M)'!EM154</f>
        <v>0</v>
      </c>
      <c r="EN53" s="177">
        <f>'FS_Detail(M)'!EN154</f>
        <v>0</v>
      </c>
      <c r="EO53" s="177">
        <f>'FS_Detail(M)'!EO154</f>
        <v>0</v>
      </c>
      <c r="EP53" s="177">
        <f>'FS_Detail(M)'!EP154</f>
        <v>0</v>
      </c>
      <c r="EQ53" s="177">
        <f>'FS_Detail(M)'!EQ154</f>
        <v>0</v>
      </c>
    </row>
    <row r="54" spans="2:147" ht="11.25" customHeight="1">
      <c r="B54" s="223" t="s">
        <v>197</v>
      </c>
      <c r="C54" s="224"/>
      <c r="D54" s="224"/>
      <c r="E54" s="224"/>
      <c r="F54" s="224"/>
      <c r="G54" s="224"/>
      <c r="H54" s="225"/>
      <c r="I54" s="226"/>
      <c r="J54" s="227">
        <f>SUM(J55,J60)</f>
        <v>70721828.045317352</v>
      </c>
      <c r="L54" s="216">
        <f>SUM(L55,L60)</f>
        <v>-288900000</v>
      </c>
      <c r="M54" s="216">
        <f t="shared" ref="M54:BX54" si="28">SUM(M55,M60)</f>
        <v>0</v>
      </c>
      <c r="N54" s="216">
        <f t="shared" si="28"/>
        <v>0</v>
      </c>
      <c r="O54" s="216">
        <f t="shared" si="28"/>
        <v>0</v>
      </c>
      <c r="P54" s="216">
        <f t="shared" si="28"/>
        <v>0</v>
      </c>
      <c r="Q54" s="216">
        <f t="shared" si="28"/>
        <v>0</v>
      </c>
      <c r="R54" s="216">
        <f t="shared" si="28"/>
        <v>0</v>
      </c>
      <c r="S54" s="216">
        <f t="shared" si="28"/>
        <v>0</v>
      </c>
      <c r="T54" s="216">
        <f t="shared" si="28"/>
        <v>0</v>
      </c>
      <c r="U54" s="216">
        <f t="shared" si="28"/>
        <v>0</v>
      </c>
      <c r="V54" s="216">
        <f t="shared" si="28"/>
        <v>0</v>
      </c>
      <c r="W54" s="216">
        <f t="shared" si="28"/>
        <v>0</v>
      </c>
      <c r="X54" s="216">
        <f t="shared" si="28"/>
        <v>0</v>
      </c>
      <c r="Y54" s="216">
        <f t="shared" si="28"/>
        <v>0</v>
      </c>
      <c r="Z54" s="216">
        <f t="shared" si="28"/>
        <v>0</v>
      </c>
      <c r="AA54" s="216">
        <f t="shared" si="28"/>
        <v>0</v>
      </c>
      <c r="AB54" s="216">
        <f t="shared" si="28"/>
        <v>0</v>
      </c>
      <c r="AC54" s="216">
        <f t="shared" si="28"/>
        <v>0</v>
      </c>
      <c r="AD54" s="216">
        <f t="shared" si="28"/>
        <v>0</v>
      </c>
      <c r="AE54" s="216">
        <f t="shared" si="28"/>
        <v>0</v>
      </c>
      <c r="AF54" s="216">
        <f t="shared" si="28"/>
        <v>0</v>
      </c>
      <c r="AG54" s="216">
        <f t="shared" si="28"/>
        <v>0</v>
      </c>
      <c r="AH54" s="216">
        <f t="shared" si="28"/>
        <v>0</v>
      </c>
      <c r="AI54" s="216">
        <f t="shared" si="28"/>
        <v>0</v>
      </c>
      <c r="AJ54" s="216">
        <f t="shared" si="28"/>
        <v>0</v>
      </c>
      <c r="AK54" s="216">
        <f t="shared" si="28"/>
        <v>0</v>
      </c>
      <c r="AL54" s="216">
        <f t="shared" si="28"/>
        <v>0</v>
      </c>
      <c r="AM54" s="216">
        <f t="shared" si="28"/>
        <v>0</v>
      </c>
      <c r="AN54" s="216">
        <f t="shared" si="28"/>
        <v>0</v>
      </c>
      <c r="AO54" s="216">
        <f t="shared" si="28"/>
        <v>0</v>
      </c>
      <c r="AP54" s="216">
        <f t="shared" si="28"/>
        <v>0</v>
      </c>
      <c r="AQ54" s="216">
        <f t="shared" si="28"/>
        <v>0</v>
      </c>
      <c r="AR54" s="216">
        <f t="shared" si="28"/>
        <v>0</v>
      </c>
      <c r="AS54" s="216">
        <f t="shared" si="28"/>
        <v>0</v>
      </c>
      <c r="AT54" s="216">
        <f t="shared" si="28"/>
        <v>0</v>
      </c>
      <c r="AU54" s="216">
        <f t="shared" si="28"/>
        <v>0</v>
      </c>
      <c r="AV54" s="216">
        <f t="shared" si="28"/>
        <v>0</v>
      </c>
      <c r="AW54" s="216">
        <f t="shared" si="28"/>
        <v>0</v>
      </c>
      <c r="AX54" s="216">
        <f t="shared" si="28"/>
        <v>0</v>
      </c>
      <c r="AY54" s="216">
        <f t="shared" si="28"/>
        <v>0</v>
      </c>
      <c r="AZ54" s="216">
        <f t="shared" si="28"/>
        <v>0</v>
      </c>
      <c r="BA54" s="216">
        <f t="shared" si="28"/>
        <v>0</v>
      </c>
      <c r="BB54" s="216">
        <f t="shared" si="28"/>
        <v>0</v>
      </c>
      <c r="BC54" s="216">
        <f t="shared" si="28"/>
        <v>0</v>
      </c>
      <c r="BD54" s="216">
        <f t="shared" si="28"/>
        <v>0</v>
      </c>
      <c r="BE54" s="216">
        <f t="shared" si="28"/>
        <v>0</v>
      </c>
      <c r="BF54" s="216">
        <f t="shared" si="28"/>
        <v>0</v>
      </c>
      <c r="BG54" s="216">
        <f t="shared" si="28"/>
        <v>0</v>
      </c>
      <c r="BH54" s="216">
        <f t="shared" si="28"/>
        <v>0</v>
      </c>
      <c r="BI54" s="216">
        <f t="shared" si="28"/>
        <v>0</v>
      </c>
      <c r="BJ54" s="216">
        <f t="shared" si="28"/>
        <v>0</v>
      </c>
      <c r="BK54" s="216">
        <f t="shared" si="28"/>
        <v>0</v>
      </c>
      <c r="BL54" s="216">
        <f t="shared" si="28"/>
        <v>0</v>
      </c>
      <c r="BM54" s="216">
        <f t="shared" si="28"/>
        <v>0</v>
      </c>
      <c r="BN54" s="216">
        <f t="shared" si="28"/>
        <v>0</v>
      </c>
      <c r="BO54" s="216">
        <f t="shared" si="28"/>
        <v>0</v>
      </c>
      <c r="BP54" s="216">
        <f t="shared" si="28"/>
        <v>0</v>
      </c>
      <c r="BQ54" s="216">
        <f t="shared" si="28"/>
        <v>0</v>
      </c>
      <c r="BR54" s="216">
        <f t="shared" si="28"/>
        <v>0</v>
      </c>
      <c r="BS54" s="216">
        <f t="shared" si="28"/>
        <v>0</v>
      </c>
      <c r="BT54" s="216">
        <f t="shared" si="28"/>
        <v>0</v>
      </c>
      <c r="BU54" s="216">
        <f t="shared" si="28"/>
        <v>0</v>
      </c>
      <c r="BV54" s="216">
        <f t="shared" si="28"/>
        <v>0</v>
      </c>
      <c r="BW54" s="216">
        <f t="shared" si="28"/>
        <v>0</v>
      </c>
      <c r="BX54" s="216">
        <f t="shared" si="28"/>
        <v>0</v>
      </c>
      <c r="BY54" s="216">
        <f t="shared" ref="BY54:DP54" si="29">SUM(BY55,BY60)</f>
        <v>0</v>
      </c>
      <c r="BZ54" s="216">
        <f t="shared" si="29"/>
        <v>0</v>
      </c>
      <c r="CA54" s="216">
        <f t="shared" si="29"/>
        <v>0</v>
      </c>
      <c r="CB54" s="216">
        <f t="shared" si="29"/>
        <v>0</v>
      </c>
      <c r="CC54" s="216">
        <f t="shared" si="29"/>
        <v>0</v>
      </c>
      <c r="CD54" s="216">
        <f t="shared" si="29"/>
        <v>0</v>
      </c>
      <c r="CE54" s="216">
        <f t="shared" si="29"/>
        <v>0</v>
      </c>
      <c r="CF54" s="216">
        <f t="shared" si="29"/>
        <v>0</v>
      </c>
      <c r="CG54" s="216">
        <f t="shared" si="29"/>
        <v>0</v>
      </c>
      <c r="CH54" s="216">
        <f t="shared" si="29"/>
        <v>0</v>
      </c>
      <c r="CI54" s="216">
        <f t="shared" si="29"/>
        <v>0</v>
      </c>
      <c r="CJ54" s="216">
        <f t="shared" si="29"/>
        <v>0</v>
      </c>
      <c r="CK54" s="216">
        <f t="shared" si="29"/>
        <v>0</v>
      </c>
      <c r="CL54" s="216">
        <f t="shared" si="29"/>
        <v>0</v>
      </c>
      <c r="CM54" s="216">
        <f t="shared" si="29"/>
        <v>0</v>
      </c>
      <c r="CN54" s="216">
        <f t="shared" si="29"/>
        <v>0</v>
      </c>
      <c r="CO54" s="216">
        <f t="shared" si="29"/>
        <v>0</v>
      </c>
      <c r="CP54" s="216">
        <f t="shared" si="29"/>
        <v>0</v>
      </c>
      <c r="CQ54" s="216">
        <f t="shared" si="29"/>
        <v>0</v>
      </c>
      <c r="CR54" s="216">
        <f t="shared" si="29"/>
        <v>0</v>
      </c>
      <c r="CS54" s="216">
        <f t="shared" si="29"/>
        <v>0</v>
      </c>
      <c r="CT54" s="216">
        <f t="shared" si="29"/>
        <v>0</v>
      </c>
      <c r="CU54" s="216">
        <f t="shared" si="29"/>
        <v>0</v>
      </c>
      <c r="CV54" s="216">
        <f t="shared" si="29"/>
        <v>0</v>
      </c>
      <c r="CW54" s="216">
        <f t="shared" si="29"/>
        <v>0</v>
      </c>
      <c r="CX54" s="216">
        <f t="shared" si="29"/>
        <v>0</v>
      </c>
      <c r="CY54" s="216">
        <f t="shared" si="29"/>
        <v>0</v>
      </c>
      <c r="CZ54" s="216">
        <f t="shared" si="29"/>
        <v>0</v>
      </c>
      <c r="DA54" s="216">
        <f t="shared" si="29"/>
        <v>0</v>
      </c>
      <c r="DB54" s="216">
        <f t="shared" si="29"/>
        <v>0</v>
      </c>
      <c r="DC54" s="216">
        <f t="shared" si="29"/>
        <v>0</v>
      </c>
      <c r="DD54" s="216">
        <f t="shared" si="29"/>
        <v>0</v>
      </c>
      <c r="DE54" s="216">
        <f t="shared" si="29"/>
        <v>0</v>
      </c>
      <c r="DF54" s="216">
        <f t="shared" si="29"/>
        <v>0</v>
      </c>
      <c r="DG54" s="216">
        <f t="shared" si="29"/>
        <v>0</v>
      </c>
      <c r="DH54" s="216">
        <f t="shared" si="29"/>
        <v>0</v>
      </c>
      <c r="DI54" s="216">
        <f t="shared" si="29"/>
        <v>0</v>
      </c>
      <c r="DJ54" s="216">
        <f t="shared" si="29"/>
        <v>0</v>
      </c>
      <c r="DK54" s="216">
        <f t="shared" si="29"/>
        <v>0</v>
      </c>
      <c r="DL54" s="216">
        <f t="shared" si="29"/>
        <v>0</v>
      </c>
      <c r="DM54" s="216">
        <f t="shared" si="29"/>
        <v>0</v>
      </c>
      <c r="DN54" s="216">
        <f t="shared" si="29"/>
        <v>0</v>
      </c>
      <c r="DO54" s="216">
        <f t="shared" si="29"/>
        <v>0</v>
      </c>
      <c r="DP54" s="216">
        <f t="shared" si="29"/>
        <v>0</v>
      </c>
      <c r="DQ54" s="216">
        <f t="shared" ref="DQ54:EQ54" si="30">SUM(DQ55,DQ60)</f>
        <v>0</v>
      </c>
      <c r="DR54" s="216">
        <f t="shared" si="30"/>
        <v>0</v>
      </c>
      <c r="DS54" s="216">
        <f t="shared" si="30"/>
        <v>0</v>
      </c>
      <c r="DT54" s="216">
        <f t="shared" si="30"/>
        <v>0</v>
      </c>
      <c r="DU54" s="216">
        <f t="shared" si="30"/>
        <v>0</v>
      </c>
      <c r="DV54" s="216">
        <f t="shared" si="30"/>
        <v>0</v>
      </c>
      <c r="DW54" s="216">
        <f t="shared" si="30"/>
        <v>0</v>
      </c>
      <c r="DX54" s="216">
        <f t="shared" si="30"/>
        <v>0</v>
      </c>
      <c r="DY54" s="216">
        <f t="shared" si="30"/>
        <v>0</v>
      </c>
      <c r="DZ54" s="216">
        <f t="shared" si="30"/>
        <v>0</v>
      </c>
      <c r="EA54" s="216">
        <f t="shared" si="30"/>
        <v>0</v>
      </c>
      <c r="EB54" s="216">
        <f t="shared" si="30"/>
        <v>359621828.04531735</v>
      </c>
      <c r="EC54" s="216">
        <f t="shared" si="30"/>
        <v>0</v>
      </c>
      <c r="ED54" s="216">
        <f t="shared" si="30"/>
        <v>0</v>
      </c>
      <c r="EE54" s="216">
        <f t="shared" si="30"/>
        <v>0</v>
      </c>
      <c r="EF54" s="216">
        <f t="shared" si="30"/>
        <v>0</v>
      </c>
      <c r="EG54" s="216">
        <f t="shared" si="30"/>
        <v>0</v>
      </c>
      <c r="EH54" s="216">
        <f t="shared" si="30"/>
        <v>0</v>
      </c>
      <c r="EI54" s="216">
        <f t="shared" si="30"/>
        <v>0</v>
      </c>
      <c r="EJ54" s="216">
        <f t="shared" si="30"/>
        <v>0</v>
      </c>
      <c r="EK54" s="216">
        <f t="shared" si="30"/>
        <v>0</v>
      </c>
      <c r="EL54" s="216">
        <f t="shared" si="30"/>
        <v>0</v>
      </c>
      <c r="EM54" s="216">
        <f t="shared" si="30"/>
        <v>0</v>
      </c>
      <c r="EN54" s="216">
        <f t="shared" si="30"/>
        <v>0</v>
      </c>
      <c r="EO54" s="216">
        <f t="shared" si="30"/>
        <v>0</v>
      </c>
      <c r="EP54" s="216">
        <f t="shared" si="30"/>
        <v>0</v>
      </c>
      <c r="EQ54" s="216">
        <f t="shared" si="30"/>
        <v>0</v>
      </c>
    </row>
    <row r="55" spans="2:147" ht="11.25" customHeight="1">
      <c r="B55" s="218"/>
      <c r="C55" s="158" t="s">
        <v>198</v>
      </c>
      <c r="D55" s="159"/>
      <c r="E55" s="159"/>
      <c r="F55" s="159"/>
      <c r="G55" s="159"/>
      <c r="H55" s="160"/>
      <c r="I55" s="219"/>
      <c r="J55" s="220">
        <f>SUM(J56:J59)</f>
        <v>359621828.04531735</v>
      </c>
      <c r="K55" s="98"/>
      <c r="L55" s="162">
        <f>SUM(L56:L59)</f>
        <v>0</v>
      </c>
      <c r="M55" s="162">
        <f t="shared" ref="M55:BX55" si="31">SUM(M56:M59)</f>
        <v>0</v>
      </c>
      <c r="N55" s="162">
        <f t="shared" si="31"/>
        <v>0</v>
      </c>
      <c r="O55" s="162">
        <f t="shared" si="31"/>
        <v>0</v>
      </c>
      <c r="P55" s="162">
        <f t="shared" si="31"/>
        <v>0</v>
      </c>
      <c r="Q55" s="162">
        <f t="shared" si="31"/>
        <v>0</v>
      </c>
      <c r="R55" s="162">
        <f t="shared" si="31"/>
        <v>0</v>
      </c>
      <c r="S55" s="162">
        <f t="shared" si="31"/>
        <v>0</v>
      </c>
      <c r="T55" s="162">
        <f t="shared" si="31"/>
        <v>0</v>
      </c>
      <c r="U55" s="162">
        <f t="shared" si="31"/>
        <v>0</v>
      </c>
      <c r="V55" s="162">
        <f t="shared" si="31"/>
        <v>0</v>
      </c>
      <c r="W55" s="162">
        <f t="shared" si="31"/>
        <v>0</v>
      </c>
      <c r="X55" s="162">
        <f t="shared" si="31"/>
        <v>0</v>
      </c>
      <c r="Y55" s="162">
        <f t="shared" si="31"/>
        <v>0</v>
      </c>
      <c r="Z55" s="162">
        <f t="shared" si="31"/>
        <v>0</v>
      </c>
      <c r="AA55" s="162">
        <f t="shared" si="31"/>
        <v>0</v>
      </c>
      <c r="AB55" s="162">
        <f t="shared" si="31"/>
        <v>0</v>
      </c>
      <c r="AC55" s="162">
        <f t="shared" si="31"/>
        <v>0</v>
      </c>
      <c r="AD55" s="162">
        <f t="shared" si="31"/>
        <v>0</v>
      </c>
      <c r="AE55" s="162">
        <f t="shared" si="31"/>
        <v>0</v>
      </c>
      <c r="AF55" s="162">
        <f t="shared" si="31"/>
        <v>0</v>
      </c>
      <c r="AG55" s="162">
        <f t="shared" si="31"/>
        <v>0</v>
      </c>
      <c r="AH55" s="162">
        <f t="shared" si="31"/>
        <v>0</v>
      </c>
      <c r="AI55" s="162">
        <f t="shared" si="31"/>
        <v>0</v>
      </c>
      <c r="AJ55" s="162">
        <f t="shared" si="31"/>
        <v>0</v>
      </c>
      <c r="AK55" s="162">
        <f t="shared" si="31"/>
        <v>0</v>
      </c>
      <c r="AL55" s="162">
        <f t="shared" si="31"/>
        <v>0</v>
      </c>
      <c r="AM55" s="162">
        <f t="shared" si="31"/>
        <v>0</v>
      </c>
      <c r="AN55" s="162">
        <f t="shared" si="31"/>
        <v>0</v>
      </c>
      <c r="AO55" s="162">
        <f t="shared" si="31"/>
        <v>0</v>
      </c>
      <c r="AP55" s="162">
        <f t="shared" si="31"/>
        <v>0</v>
      </c>
      <c r="AQ55" s="162">
        <f t="shared" si="31"/>
        <v>0</v>
      </c>
      <c r="AR55" s="162">
        <f t="shared" si="31"/>
        <v>0</v>
      </c>
      <c r="AS55" s="162">
        <f t="shared" si="31"/>
        <v>0</v>
      </c>
      <c r="AT55" s="162">
        <f t="shared" si="31"/>
        <v>0</v>
      </c>
      <c r="AU55" s="162">
        <f t="shared" si="31"/>
        <v>0</v>
      </c>
      <c r="AV55" s="162">
        <f t="shared" si="31"/>
        <v>0</v>
      </c>
      <c r="AW55" s="162">
        <f t="shared" si="31"/>
        <v>0</v>
      </c>
      <c r="AX55" s="162">
        <f t="shared" si="31"/>
        <v>0</v>
      </c>
      <c r="AY55" s="162">
        <f t="shared" si="31"/>
        <v>0</v>
      </c>
      <c r="AZ55" s="162">
        <f t="shared" si="31"/>
        <v>0</v>
      </c>
      <c r="BA55" s="162">
        <f t="shared" si="31"/>
        <v>0</v>
      </c>
      <c r="BB55" s="162">
        <f t="shared" si="31"/>
        <v>0</v>
      </c>
      <c r="BC55" s="162">
        <f t="shared" si="31"/>
        <v>0</v>
      </c>
      <c r="BD55" s="162">
        <f t="shared" si="31"/>
        <v>0</v>
      </c>
      <c r="BE55" s="162">
        <f t="shared" si="31"/>
        <v>0</v>
      </c>
      <c r="BF55" s="162">
        <f t="shared" si="31"/>
        <v>0</v>
      </c>
      <c r="BG55" s="162">
        <f t="shared" si="31"/>
        <v>0</v>
      </c>
      <c r="BH55" s="162">
        <f t="shared" si="31"/>
        <v>0</v>
      </c>
      <c r="BI55" s="162">
        <f t="shared" si="31"/>
        <v>0</v>
      </c>
      <c r="BJ55" s="162">
        <f t="shared" si="31"/>
        <v>0</v>
      </c>
      <c r="BK55" s="162">
        <f t="shared" si="31"/>
        <v>0</v>
      </c>
      <c r="BL55" s="162">
        <f t="shared" si="31"/>
        <v>0</v>
      </c>
      <c r="BM55" s="162">
        <f t="shared" si="31"/>
        <v>0</v>
      </c>
      <c r="BN55" s="162">
        <f t="shared" si="31"/>
        <v>0</v>
      </c>
      <c r="BO55" s="162">
        <f t="shared" si="31"/>
        <v>0</v>
      </c>
      <c r="BP55" s="162">
        <f t="shared" si="31"/>
        <v>0</v>
      </c>
      <c r="BQ55" s="162">
        <f t="shared" si="31"/>
        <v>0</v>
      </c>
      <c r="BR55" s="162">
        <f t="shared" si="31"/>
        <v>0</v>
      </c>
      <c r="BS55" s="162">
        <f t="shared" si="31"/>
        <v>0</v>
      </c>
      <c r="BT55" s="162">
        <f t="shared" si="31"/>
        <v>0</v>
      </c>
      <c r="BU55" s="162">
        <f t="shared" si="31"/>
        <v>0</v>
      </c>
      <c r="BV55" s="162">
        <f t="shared" si="31"/>
        <v>0</v>
      </c>
      <c r="BW55" s="162">
        <f t="shared" si="31"/>
        <v>0</v>
      </c>
      <c r="BX55" s="162">
        <f t="shared" si="31"/>
        <v>0</v>
      </c>
      <c r="BY55" s="162">
        <f t="shared" ref="BY55:DP55" si="32">SUM(BY56:BY59)</f>
        <v>0</v>
      </c>
      <c r="BZ55" s="162">
        <f t="shared" si="32"/>
        <v>0</v>
      </c>
      <c r="CA55" s="162">
        <f t="shared" si="32"/>
        <v>0</v>
      </c>
      <c r="CB55" s="162">
        <f t="shared" si="32"/>
        <v>0</v>
      </c>
      <c r="CC55" s="162">
        <f t="shared" si="32"/>
        <v>0</v>
      </c>
      <c r="CD55" s="162">
        <f t="shared" si="32"/>
        <v>0</v>
      </c>
      <c r="CE55" s="162">
        <f t="shared" si="32"/>
        <v>0</v>
      </c>
      <c r="CF55" s="162">
        <f t="shared" si="32"/>
        <v>0</v>
      </c>
      <c r="CG55" s="162">
        <f t="shared" si="32"/>
        <v>0</v>
      </c>
      <c r="CH55" s="162">
        <f t="shared" si="32"/>
        <v>0</v>
      </c>
      <c r="CI55" s="162">
        <f t="shared" si="32"/>
        <v>0</v>
      </c>
      <c r="CJ55" s="162">
        <f t="shared" si="32"/>
        <v>0</v>
      </c>
      <c r="CK55" s="162">
        <f t="shared" si="32"/>
        <v>0</v>
      </c>
      <c r="CL55" s="162">
        <f t="shared" si="32"/>
        <v>0</v>
      </c>
      <c r="CM55" s="162">
        <f t="shared" si="32"/>
        <v>0</v>
      </c>
      <c r="CN55" s="162">
        <f t="shared" si="32"/>
        <v>0</v>
      </c>
      <c r="CO55" s="162">
        <f t="shared" si="32"/>
        <v>0</v>
      </c>
      <c r="CP55" s="162">
        <f t="shared" si="32"/>
        <v>0</v>
      </c>
      <c r="CQ55" s="162">
        <f t="shared" si="32"/>
        <v>0</v>
      </c>
      <c r="CR55" s="162">
        <f t="shared" si="32"/>
        <v>0</v>
      </c>
      <c r="CS55" s="162">
        <f t="shared" si="32"/>
        <v>0</v>
      </c>
      <c r="CT55" s="162">
        <f t="shared" si="32"/>
        <v>0</v>
      </c>
      <c r="CU55" s="162">
        <f t="shared" si="32"/>
        <v>0</v>
      </c>
      <c r="CV55" s="162">
        <f t="shared" si="32"/>
        <v>0</v>
      </c>
      <c r="CW55" s="162">
        <f t="shared" si="32"/>
        <v>0</v>
      </c>
      <c r="CX55" s="162">
        <f t="shared" si="32"/>
        <v>0</v>
      </c>
      <c r="CY55" s="162">
        <f t="shared" si="32"/>
        <v>0</v>
      </c>
      <c r="CZ55" s="162">
        <f t="shared" si="32"/>
        <v>0</v>
      </c>
      <c r="DA55" s="162">
        <f t="shared" si="32"/>
        <v>0</v>
      </c>
      <c r="DB55" s="162">
        <f t="shared" si="32"/>
        <v>0</v>
      </c>
      <c r="DC55" s="162">
        <f t="shared" si="32"/>
        <v>0</v>
      </c>
      <c r="DD55" s="162">
        <f t="shared" si="32"/>
        <v>0</v>
      </c>
      <c r="DE55" s="162">
        <f t="shared" si="32"/>
        <v>0</v>
      </c>
      <c r="DF55" s="162">
        <f t="shared" si="32"/>
        <v>0</v>
      </c>
      <c r="DG55" s="162">
        <f t="shared" si="32"/>
        <v>0</v>
      </c>
      <c r="DH55" s="162">
        <f t="shared" si="32"/>
        <v>0</v>
      </c>
      <c r="DI55" s="162">
        <f t="shared" si="32"/>
        <v>0</v>
      </c>
      <c r="DJ55" s="162">
        <f t="shared" si="32"/>
        <v>0</v>
      </c>
      <c r="DK55" s="162">
        <f t="shared" si="32"/>
        <v>0</v>
      </c>
      <c r="DL55" s="162">
        <f t="shared" si="32"/>
        <v>0</v>
      </c>
      <c r="DM55" s="162">
        <f t="shared" si="32"/>
        <v>0</v>
      </c>
      <c r="DN55" s="162">
        <f t="shared" si="32"/>
        <v>0</v>
      </c>
      <c r="DO55" s="162">
        <f t="shared" si="32"/>
        <v>0</v>
      </c>
      <c r="DP55" s="162">
        <f t="shared" si="32"/>
        <v>0</v>
      </c>
      <c r="DQ55" s="162">
        <f t="shared" ref="DQ55:EQ55" si="33">SUM(DQ56:DQ59)</f>
        <v>0</v>
      </c>
      <c r="DR55" s="162">
        <f t="shared" si="33"/>
        <v>0</v>
      </c>
      <c r="DS55" s="162">
        <f t="shared" si="33"/>
        <v>0</v>
      </c>
      <c r="DT55" s="162">
        <f t="shared" si="33"/>
        <v>0</v>
      </c>
      <c r="DU55" s="162">
        <f t="shared" si="33"/>
        <v>0</v>
      </c>
      <c r="DV55" s="162">
        <f t="shared" si="33"/>
        <v>0</v>
      </c>
      <c r="DW55" s="162">
        <f t="shared" si="33"/>
        <v>0</v>
      </c>
      <c r="DX55" s="162">
        <f t="shared" si="33"/>
        <v>0</v>
      </c>
      <c r="DY55" s="162">
        <f t="shared" si="33"/>
        <v>0</v>
      </c>
      <c r="DZ55" s="162">
        <f t="shared" si="33"/>
        <v>0</v>
      </c>
      <c r="EA55" s="162">
        <f t="shared" si="33"/>
        <v>0</v>
      </c>
      <c r="EB55" s="162">
        <f t="shared" si="33"/>
        <v>359621828.04531735</v>
      </c>
      <c r="EC55" s="162">
        <f t="shared" si="33"/>
        <v>0</v>
      </c>
      <c r="ED55" s="162">
        <f t="shared" si="33"/>
        <v>0</v>
      </c>
      <c r="EE55" s="162">
        <f t="shared" si="33"/>
        <v>0</v>
      </c>
      <c r="EF55" s="162">
        <f t="shared" si="33"/>
        <v>0</v>
      </c>
      <c r="EG55" s="162">
        <f t="shared" si="33"/>
        <v>0</v>
      </c>
      <c r="EH55" s="162">
        <f t="shared" si="33"/>
        <v>0</v>
      </c>
      <c r="EI55" s="162">
        <f t="shared" si="33"/>
        <v>0</v>
      </c>
      <c r="EJ55" s="162">
        <f t="shared" si="33"/>
        <v>0</v>
      </c>
      <c r="EK55" s="162">
        <f t="shared" si="33"/>
        <v>0</v>
      </c>
      <c r="EL55" s="162">
        <f t="shared" si="33"/>
        <v>0</v>
      </c>
      <c r="EM55" s="162">
        <f t="shared" si="33"/>
        <v>0</v>
      </c>
      <c r="EN55" s="162">
        <f t="shared" si="33"/>
        <v>0</v>
      </c>
      <c r="EO55" s="162">
        <f t="shared" si="33"/>
        <v>0</v>
      </c>
      <c r="EP55" s="162">
        <f t="shared" si="33"/>
        <v>0</v>
      </c>
      <c r="EQ55" s="162">
        <f t="shared" si="33"/>
        <v>0</v>
      </c>
    </row>
    <row r="56" spans="2:147" ht="11.25" customHeight="1">
      <c r="B56" s="218"/>
      <c r="C56" s="163"/>
      <c r="D56" s="164" t="s">
        <v>199</v>
      </c>
      <c r="E56" s="165"/>
      <c r="F56" s="165"/>
      <c r="G56" s="165"/>
      <c r="H56" s="166"/>
      <c r="I56" s="228">
        <f>'A&amp;R'!AJ58</f>
        <v>375860758.22378767</v>
      </c>
      <c r="J56" s="168">
        <f>SUM(L56:EQ56)</f>
        <v>375860758.22378767</v>
      </c>
      <c r="K56" s="98"/>
      <c r="L56" s="168">
        <f>$I56*Index!L$21</f>
        <v>0</v>
      </c>
      <c r="M56" s="168">
        <f>$I56*Index!M$21</f>
        <v>0</v>
      </c>
      <c r="N56" s="168">
        <f>$I56*Index!N$21</f>
        <v>0</v>
      </c>
      <c r="O56" s="168">
        <f>$I56*Index!O$21</f>
        <v>0</v>
      </c>
      <c r="P56" s="168">
        <f>$I56*Index!P$21</f>
        <v>0</v>
      </c>
      <c r="Q56" s="168">
        <f>$I56*Index!Q$21</f>
        <v>0</v>
      </c>
      <c r="R56" s="168">
        <f>$I56*Index!R$21</f>
        <v>0</v>
      </c>
      <c r="S56" s="168">
        <f>$I56*Index!S$21</f>
        <v>0</v>
      </c>
      <c r="T56" s="168">
        <f>$I56*Index!T$21</f>
        <v>0</v>
      </c>
      <c r="U56" s="168">
        <f>$I56*Index!U$21</f>
        <v>0</v>
      </c>
      <c r="V56" s="168">
        <f>$I56*Index!V$21</f>
        <v>0</v>
      </c>
      <c r="W56" s="168">
        <f>$I56*Index!W$21</f>
        <v>0</v>
      </c>
      <c r="X56" s="168">
        <f>$I56*Index!X$21</f>
        <v>0</v>
      </c>
      <c r="Y56" s="168">
        <f>$I56*Index!Y$21</f>
        <v>0</v>
      </c>
      <c r="Z56" s="168">
        <f>$I56*Index!Z$21</f>
        <v>0</v>
      </c>
      <c r="AA56" s="168">
        <f>$I56*Index!AA$21</f>
        <v>0</v>
      </c>
      <c r="AB56" s="168">
        <f>$I56*Index!AB$21</f>
        <v>0</v>
      </c>
      <c r="AC56" s="168">
        <f>$I56*Index!AC$21</f>
        <v>0</v>
      </c>
      <c r="AD56" s="168">
        <f>$I56*Index!AD$21</f>
        <v>0</v>
      </c>
      <c r="AE56" s="168">
        <f>$I56*Index!AE$21</f>
        <v>0</v>
      </c>
      <c r="AF56" s="168">
        <f>$I56*Index!AF$21</f>
        <v>0</v>
      </c>
      <c r="AG56" s="168">
        <f>$I56*Index!AG$21</f>
        <v>0</v>
      </c>
      <c r="AH56" s="168">
        <f>$I56*Index!AH$21</f>
        <v>0</v>
      </c>
      <c r="AI56" s="168">
        <f>$I56*Index!AI$21</f>
        <v>0</v>
      </c>
      <c r="AJ56" s="168">
        <f>$I56*Index!AJ$21</f>
        <v>0</v>
      </c>
      <c r="AK56" s="168">
        <f>$I56*Index!AK$21</f>
        <v>0</v>
      </c>
      <c r="AL56" s="168">
        <f>$I56*Index!AL$21</f>
        <v>0</v>
      </c>
      <c r="AM56" s="168">
        <f>$I56*Index!AM$21</f>
        <v>0</v>
      </c>
      <c r="AN56" s="168">
        <f>$I56*Index!AN$21</f>
        <v>0</v>
      </c>
      <c r="AO56" s="168">
        <f>$I56*Index!AO$21</f>
        <v>0</v>
      </c>
      <c r="AP56" s="168">
        <f>$I56*Index!AP$21</f>
        <v>0</v>
      </c>
      <c r="AQ56" s="168">
        <f>$I56*Index!AQ$21</f>
        <v>0</v>
      </c>
      <c r="AR56" s="168">
        <f>$I56*Index!AR$21</f>
        <v>0</v>
      </c>
      <c r="AS56" s="168">
        <f>$I56*Index!AS$21</f>
        <v>0</v>
      </c>
      <c r="AT56" s="168">
        <f>$I56*Index!AT$21</f>
        <v>0</v>
      </c>
      <c r="AU56" s="168">
        <f>$I56*Index!AU$21</f>
        <v>0</v>
      </c>
      <c r="AV56" s="168">
        <f>$I56*Index!AV$21</f>
        <v>0</v>
      </c>
      <c r="AW56" s="168">
        <f>$I56*Index!AW$21</f>
        <v>0</v>
      </c>
      <c r="AX56" s="168">
        <f>$I56*Index!AX$21</f>
        <v>0</v>
      </c>
      <c r="AY56" s="168">
        <f>$I56*Index!AY$21</f>
        <v>0</v>
      </c>
      <c r="AZ56" s="168">
        <f>$I56*Index!AZ$21</f>
        <v>0</v>
      </c>
      <c r="BA56" s="168">
        <f>$I56*Index!BA$21</f>
        <v>0</v>
      </c>
      <c r="BB56" s="168">
        <f>$I56*Index!BB$21</f>
        <v>0</v>
      </c>
      <c r="BC56" s="168">
        <f>$I56*Index!BC$21</f>
        <v>0</v>
      </c>
      <c r="BD56" s="168">
        <f>$I56*Index!BD$21</f>
        <v>0</v>
      </c>
      <c r="BE56" s="168">
        <f>$I56*Index!BE$21</f>
        <v>0</v>
      </c>
      <c r="BF56" s="168">
        <f>$I56*Index!BF$21</f>
        <v>0</v>
      </c>
      <c r="BG56" s="168">
        <f>$I56*Index!BG$21</f>
        <v>0</v>
      </c>
      <c r="BH56" s="168">
        <f>$I56*Index!BH$21</f>
        <v>0</v>
      </c>
      <c r="BI56" s="168">
        <f>$I56*Index!BI$21</f>
        <v>0</v>
      </c>
      <c r="BJ56" s="168">
        <f>$I56*Index!BJ$21</f>
        <v>0</v>
      </c>
      <c r="BK56" s="168">
        <f>$I56*Index!BK$21</f>
        <v>0</v>
      </c>
      <c r="BL56" s="168">
        <f>$I56*Index!BL$21</f>
        <v>0</v>
      </c>
      <c r="BM56" s="168">
        <f>$I56*Index!BM$21</f>
        <v>0</v>
      </c>
      <c r="BN56" s="168">
        <f>$I56*Index!BN$21</f>
        <v>0</v>
      </c>
      <c r="BO56" s="168">
        <f>$I56*Index!BO$21</f>
        <v>0</v>
      </c>
      <c r="BP56" s="168">
        <f>$I56*Index!BP$21</f>
        <v>0</v>
      </c>
      <c r="BQ56" s="168">
        <f>$I56*Index!BQ$21</f>
        <v>0</v>
      </c>
      <c r="BR56" s="168">
        <f>$I56*Index!BR$21</f>
        <v>0</v>
      </c>
      <c r="BS56" s="168">
        <f>$I56*Index!BS$21</f>
        <v>0</v>
      </c>
      <c r="BT56" s="168">
        <f>$I56*Index!BT$21</f>
        <v>0</v>
      </c>
      <c r="BU56" s="168">
        <f>$I56*Index!BU$21</f>
        <v>0</v>
      </c>
      <c r="BV56" s="168">
        <f>$I56*Index!BV$21</f>
        <v>0</v>
      </c>
      <c r="BW56" s="168">
        <f>$I56*Index!BW$21</f>
        <v>0</v>
      </c>
      <c r="BX56" s="168">
        <f>$I56*Index!BX$21</f>
        <v>0</v>
      </c>
      <c r="BY56" s="168">
        <f>$I56*Index!BY$21</f>
        <v>0</v>
      </c>
      <c r="BZ56" s="168">
        <f>$I56*Index!BZ$21</f>
        <v>0</v>
      </c>
      <c r="CA56" s="168">
        <f>$I56*Index!CA$21</f>
        <v>0</v>
      </c>
      <c r="CB56" s="168">
        <f>$I56*Index!CB$21</f>
        <v>0</v>
      </c>
      <c r="CC56" s="168">
        <f>$I56*Index!CC$21</f>
        <v>0</v>
      </c>
      <c r="CD56" s="168">
        <f>$I56*Index!CD$21</f>
        <v>0</v>
      </c>
      <c r="CE56" s="168">
        <f>$I56*Index!CE$21</f>
        <v>0</v>
      </c>
      <c r="CF56" s="168">
        <f>$I56*Index!CF$21</f>
        <v>0</v>
      </c>
      <c r="CG56" s="168">
        <f>$I56*Index!CG$21</f>
        <v>0</v>
      </c>
      <c r="CH56" s="168">
        <f>$I56*Index!CH$21</f>
        <v>0</v>
      </c>
      <c r="CI56" s="168">
        <f>$I56*Index!CI$21</f>
        <v>0</v>
      </c>
      <c r="CJ56" s="168">
        <f>$I56*Index!CJ$21</f>
        <v>0</v>
      </c>
      <c r="CK56" s="168">
        <f>$I56*Index!CK$21</f>
        <v>0</v>
      </c>
      <c r="CL56" s="168">
        <f>$I56*Index!CL$21</f>
        <v>0</v>
      </c>
      <c r="CM56" s="168">
        <f>$I56*Index!CM$21</f>
        <v>0</v>
      </c>
      <c r="CN56" s="168">
        <f>$I56*Index!CN$21</f>
        <v>0</v>
      </c>
      <c r="CO56" s="168">
        <f>$I56*Index!CO$21</f>
        <v>0</v>
      </c>
      <c r="CP56" s="168">
        <f>$I56*Index!CP$21</f>
        <v>0</v>
      </c>
      <c r="CQ56" s="168">
        <f>$I56*Index!CQ$21</f>
        <v>0</v>
      </c>
      <c r="CR56" s="168">
        <f>$I56*Index!CR$21</f>
        <v>0</v>
      </c>
      <c r="CS56" s="168">
        <f>$I56*Index!CS$21</f>
        <v>0</v>
      </c>
      <c r="CT56" s="168">
        <f>$I56*Index!CT$21</f>
        <v>0</v>
      </c>
      <c r="CU56" s="168">
        <f>$I56*Index!CU$21</f>
        <v>0</v>
      </c>
      <c r="CV56" s="168">
        <f>$I56*Index!CV$21</f>
        <v>0</v>
      </c>
      <c r="CW56" s="168">
        <f>$I56*Index!CW$21</f>
        <v>0</v>
      </c>
      <c r="CX56" s="168">
        <f>$I56*Index!CX$21</f>
        <v>0</v>
      </c>
      <c r="CY56" s="168">
        <f>$I56*Index!CY$21</f>
        <v>0</v>
      </c>
      <c r="CZ56" s="168">
        <f>$I56*Index!CZ$21</f>
        <v>0</v>
      </c>
      <c r="DA56" s="168">
        <f>$I56*Index!DA$21</f>
        <v>0</v>
      </c>
      <c r="DB56" s="168">
        <f>$I56*Index!DB$21</f>
        <v>0</v>
      </c>
      <c r="DC56" s="168">
        <f>$I56*Index!DC$21</f>
        <v>0</v>
      </c>
      <c r="DD56" s="168">
        <f>$I56*Index!DD$21</f>
        <v>0</v>
      </c>
      <c r="DE56" s="168">
        <f>$I56*Index!DE$21</f>
        <v>0</v>
      </c>
      <c r="DF56" s="168">
        <f>$I56*Index!DF$21</f>
        <v>0</v>
      </c>
      <c r="DG56" s="168">
        <f>$I56*Index!DG$21</f>
        <v>0</v>
      </c>
      <c r="DH56" s="168">
        <f>$I56*Index!DH$21</f>
        <v>0</v>
      </c>
      <c r="DI56" s="168">
        <f>$I56*Index!DI$21</f>
        <v>0</v>
      </c>
      <c r="DJ56" s="168">
        <f>$I56*Index!DJ$21</f>
        <v>0</v>
      </c>
      <c r="DK56" s="168">
        <f>$I56*Index!DK$21</f>
        <v>0</v>
      </c>
      <c r="DL56" s="168">
        <f>$I56*Index!DL$21</f>
        <v>0</v>
      </c>
      <c r="DM56" s="168">
        <f>$I56*Index!DM$21</f>
        <v>0</v>
      </c>
      <c r="DN56" s="168">
        <f>$I56*Index!DN$21</f>
        <v>0</v>
      </c>
      <c r="DO56" s="168">
        <f>$I56*Index!DO$21</f>
        <v>0</v>
      </c>
      <c r="DP56" s="168">
        <f>$I56*Index!DP$21</f>
        <v>0</v>
      </c>
      <c r="DQ56" s="168">
        <f>$I56*Index!DQ$21</f>
        <v>0</v>
      </c>
      <c r="DR56" s="168">
        <f>$I56*Index!DR$21</f>
        <v>0</v>
      </c>
      <c r="DS56" s="168">
        <f>$I56*Index!DS$21</f>
        <v>0</v>
      </c>
      <c r="DT56" s="168">
        <f>$I56*Index!DT$21</f>
        <v>0</v>
      </c>
      <c r="DU56" s="168">
        <f>$I56*Index!DU$21</f>
        <v>0</v>
      </c>
      <c r="DV56" s="168">
        <f>$I56*Index!DV$21</f>
        <v>0</v>
      </c>
      <c r="DW56" s="168">
        <f>$I56*Index!DW$21</f>
        <v>0</v>
      </c>
      <c r="DX56" s="168">
        <f>$I56*Index!DX$21</f>
        <v>0</v>
      </c>
      <c r="DY56" s="168">
        <f>$I56*Index!DY$21</f>
        <v>0</v>
      </c>
      <c r="DZ56" s="168">
        <f>$I56*Index!DZ$21</f>
        <v>0</v>
      </c>
      <c r="EA56" s="168">
        <f>$I56*Index!EA$21</f>
        <v>0</v>
      </c>
      <c r="EB56" s="168">
        <f>$I56*Index!EB$21</f>
        <v>375860758.22378767</v>
      </c>
      <c r="EC56" s="168">
        <f>$I56*Index!EC$21</f>
        <v>0</v>
      </c>
      <c r="ED56" s="168">
        <f>$I56*Index!ED$21</f>
        <v>0</v>
      </c>
      <c r="EE56" s="168">
        <f>$I56*Index!EE$21</f>
        <v>0</v>
      </c>
      <c r="EF56" s="168">
        <f>$I56*Index!EF$21</f>
        <v>0</v>
      </c>
      <c r="EG56" s="168">
        <f>$I56*Index!EG$21</f>
        <v>0</v>
      </c>
      <c r="EH56" s="168">
        <f>$I56*Index!EH$21</f>
        <v>0</v>
      </c>
      <c r="EI56" s="168">
        <f>$I56*Index!EI$21</f>
        <v>0</v>
      </c>
      <c r="EJ56" s="168">
        <f>$I56*Index!EJ$21</f>
        <v>0</v>
      </c>
      <c r="EK56" s="168">
        <f>$I56*Index!EK$21</f>
        <v>0</v>
      </c>
      <c r="EL56" s="168">
        <f>$I56*Index!EL$21</f>
        <v>0</v>
      </c>
      <c r="EM56" s="168">
        <f>$I56*Index!EM$21</f>
        <v>0</v>
      </c>
      <c r="EN56" s="168">
        <f>$I56*Index!EN$21</f>
        <v>0</v>
      </c>
      <c r="EO56" s="168">
        <f>$I56*Index!EO$21</f>
        <v>0</v>
      </c>
      <c r="EP56" s="168">
        <f>$I56*Index!EP$21</f>
        <v>0</v>
      </c>
      <c r="EQ56" s="168">
        <f>$I56*Index!EQ$21</f>
        <v>0</v>
      </c>
    </row>
    <row r="57" spans="2:147" ht="11.25" customHeight="1">
      <c r="B57" s="218"/>
      <c r="C57" s="163"/>
      <c r="D57" s="169" t="s">
        <v>200</v>
      </c>
      <c r="H57" s="146"/>
      <c r="I57" s="229">
        <f>-'A&amp;R'!AJ62</f>
        <v>-1879303.7911189385</v>
      </c>
      <c r="J57" s="171">
        <f>SUM(L57:EQ57)</f>
        <v>-1879303.7911189385</v>
      </c>
      <c r="K57" s="98"/>
      <c r="L57" s="171">
        <f>$I57*Index!L$21</f>
        <v>0</v>
      </c>
      <c r="M57" s="171">
        <f>$I57*Index!M$21</f>
        <v>0</v>
      </c>
      <c r="N57" s="171">
        <f>$I57*Index!N$21</f>
        <v>0</v>
      </c>
      <c r="O57" s="171">
        <f>$I57*Index!O$21</f>
        <v>0</v>
      </c>
      <c r="P57" s="171">
        <f>$I57*Index!P$21</f>
        <v>0</v>
      </c>
      <c r="Q57" s="171">
        <f>$I57*Index!Q$21</f>
        <v>0</v>
      </c>
      <c r="R57" s="171">
        <f>$I57*Index!R$21</f>
        <v>0</v>
      </c>
      <c r="S57" s="171">
        <f>$I57*Index!S$21</f>
        <v>0</v>
      </c>
      <c r="T57" s="171">
        <f>$I57*Index!T$21</f>
        <v>0</v>
      </c>
      <c r="U57" s="171">
        <f>$I57*Index!U$21</f>
        <v>0</v>
      </c>
      <c r="V57" s="171">
        <f>$I57*Index!V$21</f>
        <v>0</v>
      </c>
      <c r="W57" s="171">
        <f>$I57*Index!W$21</f>
        <v>0</v>
      </c>
      <c r="X57" s="171">
        <f>$I57*Index!X$21</f>
        <v>0</v>
      </c>
      <c r="Y57" s="171">
        <f>$I57*Index!Y$21</f>
        <v>0</v>
      </c>
      <c r="Z57" s="171">
        <f>$I57*Index!Z$21</f>
        <v>0</v>
      </c>
      <c r="AA57" s="171">
        <f>$I57*Index!AA$21</f>
        <v>0</v>
      </c>
      <c r="AB57" s="171">
        <f>$I57*Index!AB$21</f>
        <v>0</v>
      </c>
      <c r="AC57" s="171">
        <f>$I57*Index!AC$21</f>
        <v>0</v>
      </c>
      <c r="AD57" s="171">
        <f>$I57*Index!AD$21</f>
        <v>0</v>
      </c>
      <c r="AE57" s="171">
        <f>$I57*Index!AE$21</f>
        <v>0</v>
      </c>
      <c r="AF57" s="171">
        <f>$I57*Index!AF$21</f>
        <v>0</v>
      </c>
      <c r="AG57" s="171">
        <f>$I57*Index!AG$21</f>
        <v>0</v>
      </c>
      <c r="AH57" s="171">
        <f>$I57*Index!AH$21</f>
        <v>0</v>
      </c>
      <c r="AI57" s="171">
        <f>$I57*Index!AI$21</f>
        <v>0</v>
      </c>
      <c r="AJ57" s="171">
        <f>$I57*Index!AJ$21</f>
        <v>0</v>
      </c>
      <c r="AK57" s="171">
        <f>$I57*Index!AK$21</f>
        <v>0</v>
      </c>
      <c r="AL57" s="171">
        <f>$I57*Index!AL$21</f>
        <v>0</v>
      </c>
      <c r="AM57" s="171">
        <f>$I57*Index!AM$21</f>
        <v>0</v>
      </c>
      <c r="AN57" s="171">
        <f>$I57*Index!AN$21</f>
        <v>0</v>
      </c>
      <c r="AO57" s="171">
        <f>$I57*Index!AO$21</f>
        <v>0</v>
      </c>
      <c r="AP57" s="171">
        <f>$I57*Index!AP$21</f>
        <v>0</v>
      </c>
      <c r="AQ57" s="171">
        <f>$I57*Index!AQ$21</f>
        <v>0</v>
      </c>
      <c r="AR57" s="171">
        <f>$I57*Index!AR$21</f>
        <v>0</v>
      </c>
      <c r="AS57" s="171">
        <f>$I57*Index!AS$21</f>
        <v>0</v>
      </c>
      <c r="AT57" s="171">
        <f>$I57*Index!AT$21</f>
        <v>0</v>
      </c>
      <c r="AU57" s="171">
        <f>$I57*Index!AU$21</f>
        <v>0</v>
      </c>
      <c r="AV57" s="171">
        <f>$I57*Index!AV$21</f>
        <v>0</v>
      </c>
      <c r="AW57" s="171">
        <f>$I57*Index!AW$21</f>
        <v>0</v>
      </c>
      <c r="AX57" s="171">
        <f>$I57*Index!AX$21</f>
        <v>0</v>
      </c>
      <c r="AY57" s="171">
        <f>$I57*Index!AY$21</f>
        <v>0</v>
      </c>
      <c r="AZ57" s="171">
        <f>$I57*Index!AZ$21</f>
        <v>0</v>
      </c>
      <c r="BA57" s="171">
        <f>$I57*Index!BA$21</f>
        <v>0</v>
      </c>
      <c r="BB57" s="171">
        <f>$I57*Index!BB$21</f>
        <v>0</v>
      </c>
      <c r="BC57" s="171">
        <f>$I57*Index!BC$21</f>
        <v>0</v>
      </c>
      <c r="BD57" s="171">
        <f>$I57*Index!BD$21</f>
        <v>0</v>
      </c>
      <c r="BE57" s="171">
        <f>$I57*Index!BE$21</f>
        <v>0</v>
      </c>
      <c r="BF57" s="171">
        <f>$I57*Index!BF$21</f>
        <v>0</v>
      </c>
      <c r="BG57" s="171">
        <f>$I57*Index!BG$21</f>
        <v>0</v>
      </c>
      <c r="BH57" s="171">
        <f>$I57*Index!BH$21</f>
        <v>0</v>
      </c>
      <c r="BI57" s="171">
        <f>$I57*Index!BI$21</f>
        <v>0</v>
      </c>
      <c r="BJ57" s="171">
        <f>$I57*Index!BJ$21</f>
        <v>0</v>
      </c>
      <c r="BK57" s="171">
        <f>$I57*Index!BK$21</f>
        <v>0</v>
      </c>
      <c r="BL57" s="171">
        <f>$I57*Index!BL$21</f>
        <v>0</v>
      </c>
      <c r="BM57" s="171">
        <f>$I57*Index!BM$21</f>
        <v>0</v>
      </c>
      <c r="BN57" s="171">
        <f>$I57*Index!BN$21</f>
        <v>0</v>
      </c>
      <c r="BO57" s="171">
        <f>$I57*Index!BO$21</f>
        <v>0</v>
      </c>
      <c r="BP57" s="171">
        <f>$I57*Index!BP$21</f>
        <v>0</v>
      </c>
      <c r="BQ57" s="171">
        <f>$I57*Index!BQ$21</f>
        <v>0</v>
      </c>
      <c r="BR57" s="171">
        <f>$I57*Index!BR$21</f>
        <v>0</v>
      </c>
      <c r="BS57" s="171">
        <f>$I57*Index!BS$21</f>
        <v>0</v>
      </c>
      <c r="BT57" s="171">
        <f>$I57*Index!BT$21</f>
        <v>0</v>
      </c>
      <c r="BU57" s="171">
        <f>$I57*Index!BU$21</f>
        <v>0</v>
      </c>
      <c r="BV57" s="171">
        <f>$I57*Index!BV$21</f>
        <v>0</v>
      </c>
      <c r="BW57" s="171">
        <f>$I57*Index!BW$21</f>
        <v>0</v>
      </c>
      <c r="BX57" s="171">
        <f>$I57*Index!BX$21</f>
        <v>0</v>
      </c>
      <c r="BY57" s="171">
        <f>$I57*Index!BY$21</f>
        <v>0</v>
      </c>
      <c r="BZ57" s="171">
        <f>$I57*Index!BZ$21</f>
        <v>0</v>
      </c>
      <c r="CA57" s="171">
        <f>$I57*Index!CA$21</f>
        <v>0</v>
      </c>
      <c r="CB57" s="171">
        <f>$I57*Index!CB$21</f>
        <v>0</v>
      </c>
      <c r="CC57" s="171">
        <f>$I57*Index!CC$21</f>
        <v>0</v>
      </c>
      <c r="CD57" s="171">
        <f>$I57*Index!CD$21</f>
        <v>0</v>
      </c>
      <c r="CE57" s="171">
        <f>$I57*Index!CE$21</f>
        <v>0</v>
      </c>
      <c r="CF57" s="171">
        <f>$I57*Index!CF$21</f>
        <v>0</v>
      </c>
      <c r="CG57" s="171">
        <f>$I57*Index!CG$21</f>
        <v>0</v>
      </c>
      <c r="CH57" s="171">
        <f>$I57*Index!CH$21</f>
        <v>0</v>
      </c>
      <c r="CI57" s="171">
        <f>$I57*Index!CI$21</f>
        <v>0</v>
      </c>
      <c r="CJ57" s="171">
        <f>$I57*Index!CJ$21</f>
        <v>0</v>
      </c>
      <c r="CK57" s="171">
        <f>$I57*Index!CK$21</f>
        <v>0</v>
      </c>
      <c r="CL57" s="171">
        <f>$I57*Index!CL$21</f>
        <v>0</v>
      </c>
      <c r="CM57" s="171">
        <f>$I57*Index!CM$21</f>
        <v>0</v>
      </c>
      <c r="CN57" s="171">
        <f>$I57*Index!CN$21</f>
        <v>0</v>
      </c>
      <c r="CO57" s="171">
        <f>$I57*Index!CO$21</f>
        <v>0</v>
      </c>
      <c r="CP57" s="171">
        <f>$I57*Index!CP$21</f>
        <v>0</v>
      </c>
      <c r="CQ57" s="171">
        <f>$I57*Index!CQ$21</f>
        <v>0</v>
      </c>
      <c r="CR57" s="171">
        <f>$I57*Index!CR$21</f>
        <v>0</v>
      </c>
      <c r="CS57" s="171">
        <f>$I57*Index!CS$21</f>
        <v>0</v>
      </c>
      <c r="CT57" s="171">
        <f>$I57*Index!CT$21</f>
        <v>0</v>
      </c>
      <c r="CU57" s="171">
        <f>$I57*Index!CU$21</f>
        <v>0</v>
      </c>
      <c r="CV57" s="171">
        <f>$I57*Index!CV$21</f>
        <v>0</v>
      </c>
      <c r="CW57" s="171">
        <f>$I57*Index!CW$21</f>
        <v>0</v>
      </c>
      <c r="CX57" s="171">
        <f>$I57*Index!CX$21</f>
        <v>0</v>
      </c>
      <c r="CY57" s="171">
        <f>$I57*Index!CY$21</f>
        <v>0</v>
      </c>
      <c r="CZ57" s="171">
        <f>$I57*Index!CZ$21</f>
        <v>0</v>
      </c>
      <c r="DA57" s="171">
        <f>$I57*Index!DA$21</f>
        <v>0</v>
      </c>
      <c r="DB57" s="171">
        <f>$I57*Index!DB$21</f>
        <v>0</v>
      </c>
      <c r="DC57" s="171">
        <f>$I57*Index!DC$21</f>
        <v>0</v>
      </c>
      <c r="DD57" s="171">
        <f>$I57*Index!DD$21</f>
        <v>0</v>
      </c>
      <c r="DE57" s="171">
        <f>$I57*Index!DE$21</f>
        <v>0</v>
      </c>
      <c r="DF57" s="171">
        <f>$I57*Index!DF$21</f>
        <v>0</v>
      </c>
      <c r="DG57" s="171">
        <f>$I57*Index!DG$21</f>
        <v>0</v>
      </c>
      <c r="DH57" s="171">
        <f>$I57*Index!DH$21</f>
        <v>0</v>
      </c>
      <c r="DI57" s="171">
        <f>$I57*Index!DI$21</f>
        <v>0</v>
      </c>
      <c r="DJ57" s="171">
        <f>$I57*Index!DJ$21</f>
        <v>0</v>
      </c>
      <c r="DK57" s="171">
        <f>$I57*Index!DK$21</f>
        <v>0</v>
      </c>
      <c r="DL57" s="171">
        <f>$I57*Index!DL$21</f>
        <v>0</v>
      </c>
      <c r="DM57" s="171">
        <f>$I57*Index!DM$21</f>
        <v>0</v>
      </c>
      <c r="DN57" s="171">
        <f>$I57*Index!DN$21</f>
        <v>0</v>
      </c>
      <c r="DO57" s="171">
        <f>$I57*Index!DO$21</f>
        <v>0</v>
      </c>
      <c r="DP57" s="171">
        <f>$I57*Index!DP$21</f>
        <v>0</v>
      </c>
      <c r="DQ57" s="171">
        <f>$I57*Index!DQ$21</f>
        <v>0</v>
      </c>
      <c r="DR57" s="171">
        <f>$I57*Index!DR$21</f>
        <v>0</v>
      </c>
      <c r="DS57" s="171">
        <f>$I57*Index!DS$21</f>
        <v>0</v>
      </c>
      <c r="DT57" s="171">
        <f>$I57*Index!DT$21</f>
        <v>0</v>
      </c>
      <c r="DU57" s="171">
        <f>$I57*Index!DU$21</f>
        <v>0</v>
      </c>
      <c r="DV57" s="171">
        <f>$I57*Index!DV$21</f>
        <v>0</v>
      </c>
      <c r="DW57" s="171">
        <f>$I57*Index!DW$21</f>
        <v>0</v>
      </c>
      <c r="DX57" s="171">
        <f>$I57*Index!DX$21</f>
        <v>0</v>
      </c>
      <c r="DY57" s="171">
        <f>$I57*Index!DY$21</f>
        <v>0</v>
      </c>
      <c r="DZ57" s="171">
        <f>$I57*Index!DZ$21</f>
        <v>0</v>
      </c>
      <c r="EA57" s="171">
        <f>$I57*Index!EA$21</f>
        <v>0</v>
      </c>
      <c r="EB57" s="171">
        <f>$I57*Index!EB$21</f>
        <v>-1879303.7911189385</v>
      </c>
      <c r="EC57" s="171">
        <f>$I57*Index!EC$21</f>
        <v>0</v>
      </c>
      <c r="ED57" s="171">
        <f>$I57*Index!ED$21</f>
        <v>0</v>
      </c>
      <c r="EE57" s="171">
        <f>$I57*Index!EE$21</f>
        <v>0</v>
      </c>
      <c r="EF57" s="171">
        <f>$I57*Index!EF$21</f>
        <v>0</v>
      </c>
      <c r="EG57" s="171">
        <f>$I57*Index!EG$21</f>
        <v>0</v>
      </c>
      <c r="EH57" s="171">
        <f>$I57*Index!EH$21</f>
        <v>0</v>
      </c>
      <c r="EI57" s="171">
        <f>$I57*Index!EI$21</f>
        <v>0</v>
      </c>
      <c r="EJ57" s="171">
        <f>$I57*Index!EJ$21</f>
        <v>0</v>
      </c>
      <c r="EK57" s="171">
        <f>$I57*Index!EK$21</f>
        <v>0</v>
      </c>
      <c r="EL57" s="171">
        <f>$I57*Index!EL$21</f>
        <v>0</v>
      </c>
      <c r="EM57" s="171">
        <f>$I57*Index!EM$21</f>
        <v>0</v>
      </c>
      <c r="EN57" s="171">
        <f>$I57*Index!EN$21</f>
        <v>0</v>
      </c>
      <c r="EO57" s="171">
        <f>$I57*Index!EO$21</f>
        <v>0</v>
      </c>
      <c r="EP57" s="171">
        <f>$I57*Index!EP$21</f>
        <v>0</v>
      </c>
      <c r="EQ57" s="171">
        <f>$I57*Index!EQ$21</f>
        <v>0</v>
      </c>
    </row>
    <row r="58" spans="2:147" ht="11.25" customHeight="1">
      <c r="B58" s="218"/>
      <c r="C58" s="163"/>
      <c r="D58" s="169" t="s">
        <v>201</v>
      </c>
      <c r="H58" s="146"/>
      <c r="I58" s="229">
        <f>-'A&amp;R'!AJ63</f>
        <v>-1879303.7911189385</v>
      </c>
      <c r="J58" s="171">
        <f>SUM(L58:EQ58)</f>
        <v>-1879303.7911189385</v>
      </c>
      <c r="K58" s="98"/>
      <c r="L58" s="171">
        <f>$I58*Index!L$21</f>
        <v>0</v>
      </c>
      <c r="M58" s="171">
        <f>$I58*Index!M$21</f>
        <v>0</v>
      </c>
      <c r="N58" s="171">
        <f>$I58*Index!N$21</f>
        <v>0</v>
      </c>
      <c r="O58" s="171">
        <f>$I58*Index!O$21</f>
        <v>0</v>
      </c>
      <c r="P58" s="171">
        <f>$I58*Index!P$21</f>
        <v>0</v>
      </c>
      <c r="Q58" s="171">
        <f>$I58*Index!Q$21</f>
        <v>0</v>
      </c>
      <c r="R58" s="171">
        <f>$I58*Index!R$21</f>
        <v>0</v>
      </c>
      <c r="S58" s="171">
        <f>$I58*Index!S$21</f>
        <v>0</v>
      </c>
      <c r="T58" s="171">
        <f>$I58*Index!T$21</f>
        <v>0</v>
      </c>
      <c r="U58" s="171">
        <f>$I58*Index!U$21</f>
        <v>0</v>
      </c>
      <c r="V58" s="171">
        <f>$I58*Index!V$21</f>
        <v>0</v>
      </c>
      <c r="W58" s="171">
        <f>$I58*Index!W$21</f>
        <v>0</v>
      </c>
      <c r="X58" s="171">
        <f>$I58*Index!X$21</f>
        <v>0</v>
      </c>
      <c r="Y58" s="171">
        <f>$I58*Index!Y$21</f>
        <v>0</v>
      </c>
      <c r="Z58" s="171">
        <f>$I58*Index!Z$21</f>
        <v>0</v>
      </c>
      <c r="AA58" s="171">
        <f>$I58*Index!AA$21</f>
        <v>0</v>
      </c>
      <c r="AB58" s="171">
        <f>$I58*Index!AB$21</f>
        <v>0</v>
      </c>
      <c r="AC58" s="171">
        <f>$I58*Index!AC$21</f>
        <v>0</v>
      </c>
      <c r="AD58" s="171">
        <f>$I58*Index!AD$21</f>
        <v>0</v>
      </c>
      <c r="AE58" s="171">
        <f>$I58*Index!AE$21</f>
        <v>0</v>
      </c>
      <c r="AF58" s="171">
        <f>$I58*Index!AF$21</f>
        <v>0</v>
      </c>
      <c r="AG58" s="171">
        <f>$I58*Index!AG$21</f>
        <v>0</v>
      </c>
      <c r="AH58" s="171">
        <f>$I58*Index!AH$21</f>
        <v>0</v>
      </c>
      <c r="AI58" s="171">
        <f>$I58*Index!AI$21</f>
        <v>0</v>
      </c>
      <c r="AJ58" s="171">
        <f>$I58*Index!AJ$21</f>
        <v>0</v>
      </c>
      <c r="AK58" s="171">
        <f>$I58*Index!AK$21</f>
        <v>0</v>
      </c>
      <c r="AL58" s="171">
        <f>$I58*Index!AL$21</f>
        <v>0</v>
      </c>
      <c r="AM58" s="171">
        <f>$I58*Index!AM$21</f>
        <v>0</v>
      </c>
      <c r="AN58" s="171">
        <f>$I58*Index!AN$21</f>
        <v>0</v>
      </c>
      <c r="AO58" s="171">
        <f>$I58*Index!AO$21</f>
        <v>0</v>
      </c>
      <c r="AP58" s="171">
        <f>$I58*Index!AP$21</f>
        <v>0</v>
      </c>
      <c r="AQ58" s="171">
        <f>$I58*Index!AQ$21</f>
        <v>0</v>
      </c>
      <c r="AR58" s="171">
        <f>$I58*Index!AR$21</f>
        <v>0</v>
      </c>
      <c r="AS58" s="171">
        <f>$I58*Index!AS$21</f>
        <v>0</v>
      </c>
      <c r="AT58" s="171">
        <f>$I58*Index!AT$21</f>
        <v>0</v>
      </c>
      <c r="AU58" s="171">
        <f>$I58*Index!AU$21</f>
        <v>0</v>
      </c>
      <c r="AV58" s="171">
        <f>$I58*Index!AV$21</f>
        <v>0</v>
      </c>
      <c r="AW58" s="171">
        <f>$I58*Index!AW$21</f>
        <v>0</v>
      </c>
      <c r="AX58" s="171">
        <f>$I58*Index!AX$21</f>
        <v>0</v>
      </c>
      <c r="AY58" s="171">
        <f>$I58*Index!AY$21</f>
        <v>0</v>
      </c>
      <c r="AZ58" s="171">
        <f>$I58*Index!AZ$21</f>
        <v>0</v>
      </c>
      <c r="BA58" s="171">
        <f>$I58*Index!BA$21</f>
        <v>0</v>
      </c>
      <c r="BB58" s="171">
        <f>$I58*Index!BB$21</f>
        <v>0</v>
      </c>
      <c r="BC58" s="171">
        <f>$I58*Index!BC$21</f>
        <v>0</v>
      </c>
      <c r="BD58" s="171">
        <f>$I58*Index!BD$21</f>
        <v>0</v>
      </c>
      <c r="BE58" s="171">
        <f>$I58*Index!BE$21</f>
        <v>0</v>
      </c>
      <c r="BF58" s="171">
        <f>$I58*Index!BF$21</f>
        <v>0</v>
      </c>
      <c r="BG58" s="171">
        <f>$I58*Index!BG$21</f>
        <v>0</v>
      </c>
      <c r="BH58" s="171">
        <f>$I58*Index!BH$21</f>
        <v>0</v>
      </c>
      <c r="BI58" s="171">
        <f>$I58*Index!BI$21</f>
        <v>0</v>
      </c>
      <c r="BJ58" s="171">
        <f>$I58*Index!BJ$21</f>
        <v>0</v>
      </c>
      <c r="BK58" s="171">
        <f>$I58*Index!BK$21</f>
        <v>0</v>
      </c>
      <c r="BL58" s="171">
        <f>$I58*Index!BL$21</f>
        <v>0</v>
      </c>
      <c r="BM58" s="171">
        <f>$I58*Index!BM$21</f>
        <v>0</v>
      </c>
      <c r="BN58" s="171">
        <f>$I58*Index!BN$21</f>
        <v>0</v>
      </c>
      <c r="BO58" s="171">
        <f>$I58*Index!BO$21</f>
        <v>0</v>
      </c>
      <c r="BP58" s="171">
        <f>$I58*Index!BP$21</f>
        <v>0</v>
      </c>
      <c r="BQ58" s="171">
        <f>$I58*Index!BQ$21</f>
        <v>0</v>
      </c>
      <c r="BR58" s="171">
        <f>$I58*Index!BR$21</f>
        <v>0</v>
      </c>
      <c r="BS58" s="171">
        <f>$I58*Index!BS$21</f>
        <v>0</v>
      </c>
      <c r="BT58" s="171">
        <f>$I58*Index!BT$21</f>
        <v>0</v>
      </c>
      <c r="BU58" s="171">
        <f>$I58*Index!BU$21</f>
        <v>0</v>
      </c>
      <c r="BV58" s="171">
        <f>$I58*Index!BV$21</f>
        <v>0</v>
      </c>
      <c r="BW58" s="171">
        <f>$I58*Index!BW$21</f>
        <v>0</v>
      </c>
      <c r="BX58" s="171">
        <f>$I58*Index!BX$21</f>
        <v>0</v>
      </c>
      <c r="BY58" s="171">
        <f>$I58*Index!BY$21</f>
        <v>0</v>
      </c>
      <c r="BZ58" s="171">
        <f>$I58*Index!BZ$21</f>
        <v>0</v>
      </c>
      <c r="CA58" s="171">
        <f>$I58*Index!CA$21</f>
        <v>0</v>
      </c>
      <c r="CB58" s="171">
        <f>$I58*Index!CB$21</f>
        <v>0</v>
      </c>
      <c r="CC58" s="171">
        <f>$I58*Index!CC$21</f>
        <v>0</v>
      </c>
      <c r="CD58" s="171">
        <f>$I58*Index!CD$21</f>
        <v>0</v>
      </c>
      <c r="CE58" s="171">
        <f>$I58*Index!CE$21</f>
        <v>0</v>
      </c>
      <c r="CF58" s="171">
        <f>$I58*Index!CF$21</f>
        <v>0</v>
      </c>
      <c r="CG58" s="171">
        <f>$I58*Index!CG$21</f>
        <v>0</v>
      </c>
      <c r="CH58" s="171">
        <f>$I58*Index!CH$21</f>
        <v>0</v>
      </c>
      <c r="CI58" s="171">
        <f>$I58*Index!CI$21</f>
        <v>0</v>
      </c>
      <c r="CJ58" s="171">
        <f>$I58*Index!CJ$21</f>
        <v>0</v>
      </c>
      <c r="CK58" s="171">
        <f>$I58*Index!CK$21</f>
        <v>0</v>
      </c>
      <c r="CL58" s="171">
        <f>$I58*Index!CL$21</f>
        <v>0</v>
      </c>
      <c r="CM58" s="171">
        <f>$I58*Index!CM$21</f>
        <v>0</v>
      </c>
      <c r="CN58" s="171">
        <f>$I58*Index!CN$21</f>
        <v>0</v>
      </c>
      <c r="CO58" s="171">
        <f>$I58*Index!CO$21</f>
        <v>0</v>
      </c>
      <c r="CP58" s="171">
        <f>$I58*Index!CP$21</f>
        <v>0</v>
      </c>
      <c r="CQ58" s="171">
        <f>$I58*Index!CQ$21</f>
        <v>0</v>
      </c>
      <c r="CR58" s="171">
        <f>$I58*Index!CR$21</f>
        <v>0</v>
      </c>
      <c r="CS58" s="171">
        <f>$I58*Index!CS$21</f>
        <v>0</v>
      </c>
      <c r="CT58" s="171">
        <f>$I58*Index!CT$21</f>
        <v>0</v>
      </c>
      <c r="CU58" s="171">
        <f>$I58*Index!CU$21</f>
        <v>0</v>
      </c>
      <c r="CV58" s="171">
        <f>$I58*Index!CV$21</f>
        <v>0</v>
      </c>
      <c r="CW58" s="171">
        <f>$I58*Index!CW$21</f>
        <v>0</v>
      </c>
      <c r="CX58" s="171">
        <f>$I58*Index!CX$21</f>
        <v>0</v>
      </c>
      <c r="CY58" s="171">
        <f>$I58*Index!CY$21</f>
        <v>0</v>
      </c>
      <c r="CZ58" s="171">
        <f>$I58*Index!CZ$21</f>
        <v>0</v>
      </c>
      <c r="DA58" s="171">
        <f>$I58*Index!DA$21</f>
        <v>0</v>
      </c>
      <c r="DB58" s="171">
        <f>$I58*Index!DB$21</f>
        <v>0</v>
      </c>
      <c r="DC58" s="171">
        <f>$I58*Index!DC$21</f>
        <v>0</v>
      </c>
      <c r="DD58" s="171">
        <f>$I58*Index!DD$21</f>
        <v>0</v>
      </c>
      <c r="DE58" s="171">
        <f>$I58*Index!DE$21</f>
        <v>0</v>
      </c>
      <c r="DF58" s="171">
        <f>$I58*Index!DF$21</f>
        <v>0</v>
      </c>
      <c r="DG58" s="171">
        <f>$I58*Index!DG$21</f>
        <v>0</v>
      </c>
      <c r="DH58" s="171">
        <f>$I58*Index!DH$21</f>
        <v>0</v>
      </c>
      <c r="DI58" s="171">
        <f>$I58*Index!DI$21</f>
        <v>0</v>
      </c>
      <c r="DJ58" s="171">
        <f>$I58*Index!DJ$21</f>
        <v>0</v>
      </c>
      <c r="DK58" s="171">
        <f>$I58*Index!DK$21</f>
        <v>0</v>
      </c>
      <c r="DL58" s="171">
        <f>$I58*Index!DL$21</f>
        <v>0</v>
      </c>
      <c r="DM58" s="171">
        <f>$I58*Index!DM$21</f>
        <v>0</v>
      </c>
      <c r="DN58" s="171">
        <f>$I58*Index!DN$21</f>
        <v>0</v>
      </c>
      <c r="DO58" s="171">
        <f>$I58*Index!DO$21</f>
        <v>0</v>
      </c>
      <c r="DP58" s="171">
        <f>$I58*Index!DP$21</f>
        <v>0</v>
      </c>
      <c r="DQ58" s="171">
        <f>$I58*Index!DQ$21</f>
        <v>0</v>
      </c>
      <c r="DR58" s="171">
        <f>$I58*Index!DR$21</f>
        <v>0</v>
      </c>
      <c r="DS58" s="171">
        <f>$I58*Index!DS$21</f>
        <v>0</v>
      </c>
      <c r="DT58" s="171">
        <f>$I58*Index!DT$21</f>
        <v>0</v>
      </c>
      <c r="DU58" s="171">
        <f>$I58*Index!DU$21</f>
        <v>0</v>
      </c>
      <c r="DV58" s="171">
        <f>$I58*Index!DV$21</f>
        <v>0</v>
      </c>
      <c r="DW58" s="171">
        <f>$I58*Index!DW$21</f>
        <v>0</v>
      </c>
      <c r="DX58" s="171">
        <f>$I58*Index!DX$21</f>
        <v>0</v>
      </c>
      <c r="DY58" s="171">
        <f>$I58*Index!DY$21</f>
        <v>0</v>
      </c>
      <c r="DZ58" s="171">
        <f>$I58*Index!DZ$21</f>
        <v>0</v>
      </c>
      <c r="EA58" s="171">
        <f>$I58*Index!EA$21</f>
        <v>0</v>
      </c>
      <c r="EB58" s="171">
        <f>$I58*Index!EB$21</f>
        <v>-1879303.7911189385</v>
      </c>
      <c r="EC58" s="171">
        <f>$I58*Index!EC$21</f>
        <v>0</v>
      </c>
      <c r="ED58" s="171">
        <f>$I58*Index!ED$21</f>
        <v>0</v>
      </c>
      <c r="EE58" s="171">
        <f>$I58*Index!EE$21</f>
        <v>0</v>
      </c>
      <c r="EF58" s="171">
        <f>$I58*Index!EF$21</f>
        <v>0</v>
      </c>
      <c r="EG58" s="171">
        <f>$I58*Index!EG$21</f>
        <v>0</v>
      </c>
      <c r="EH58" s="171">
        <f>$I58*Index!EH$21</f>
        <v>0</v>
      </c>
      <c r="EI58" s="171">
        <f>$I58*Index!EI$21</f>
        <v>0</v>
      </c>
      <c r="EJ58" s="171">
        <f>$I58*Index!EJ$21</f>
        <v>0</v>
      </c>
      <c r="EK58" s="171">
        <f>$I58*Index!EK$21</f>
        <v>0</v>
      </c>
      <c r="EL58" s="171">
        <f>$I58*Index!EL$21</f>
        <v>0</v>
      </c>
      <c r="EM58" s="171">
        <f>$I58*Index!EM$21</f>
        <v>0</v>
      </c>
      <c r="EN58" s="171">
        <f>$I58*Index!EN$21</f>
        <v>0</v>
      </c>
      <c r="EO58" s="171">
        <f>$I58*Index!EO$21</f>
        <v>0</v>
      </c>
      <c r="EP58" s="171">
        <f>$I58*Index!EP$21</f>
        <v>0</v>
      </c>
      <c r="EQ58" s="171">
        <f>$I58*Index!EQ$21</f>
        <v>0</v>
      </c>
    </row>
    <row r="59" spans="2:147" ht="11.25" customHeight="1">
      <c r="B59" s="218"/>
      <c r="C59" s="163"/>
      <c r="D59" s="169" t="s">
        <v>202</v>
      </c>
      <c r="H59" s="90"/>
      <c r="I59" s="229">
        <f>-'A&amp;R'!AJ64</f>
        <v>-12480322.596232468</v>
      </c>
      <c r="J59" s="171">
        <f>SUM(L59:EQ59)</f>
        <v>-12480322.596232468</v>
      </c>
      <c r="K59" s="98"/>
      <c r="L59" s="171">
        <f>$I59*Index!L$21</f>
        <v>0</v>
      </c>
      <c r="M59" s="171">
        <f>$I59*Index!M$21</f>
        <v>0</v>
      </c>
      <c r="N59" s="171">
        <f>$I59*Index!N$21</f>
        <v>0</v>
      </c>
      <c r="O59" s="171">
        <f>$I59*Index!O$21</f>
        <v>0</v>
      </c>
      <c r="P59" s="171">
        <f>$I59*Index!P$21</f>
        <v>0</v>
      </c>
      <c r="Q59" s="171">
        <f>$I59*Index!Q$21</f>
        <v>0</v>
      </c>
      <c r="R59" s="171">
        <f>$I59*Index!R$21</f>
        <v>0</v>
      </c>
      <c r="S59" s="171">
        <f>$I59*Index!S$21</f>
        <v>0</v>
      </c>
      <c r="T59" s="171">
        <f>$I59*Index!T$21</f>
        <v>0</v>
      </c>
      <c r="U59" s="171">
        <f>$I59*Index!U$21</f>
        <v>0</v>
      </c>
      <c r="V59" s="171">
        <f>$I59*Index!V$21</f>
        <v>0</v>
      </c>
      <c r="W59" s="171">
        <f>$I59*Index!W$21</f>
        <v>0</v>
      </c>
      <c r="X59" s="171">
        <f>$I59*Index!X$21</f>
        <v>0</v>
      </c>
      <c r="Y59" s="171">
        <f>$I59*Index!Y$21</f>
        <v>0</v>
      </c>
      <c r="Z59" s="171">
        <f>$I59*Index!Z$21</f>
        <v>0</v>
      </c>
      <c r="AA59" s="171">
        <f>$I59*Index!AA$21</f>
        <v>0</v>
      </c>
      <c r="AB59" s="171">
        <f>$I59*Index!AB$21</f>
        <v>0</v>
      </c>
      <c r="AC59" s="171">
        <f>$I59*Index!AC$21</f>
        <v>0</v>
      </c>
      <c r="AD59" s="171">
        <f>$I59*Index!AD$21</f>
        <v>0</v>
      </c>
      <c r="AE59" s="171">
        <f>$I59*Index!AE$21</f>
        <v>0</v>
      </c>
      <c r="AF59" s="171">
        <f>$I59*Index!AF$21</f>
        <v>0</v>
      </c>
      <c r="AG59" s="171">
        <f>$I59*Index!AG$21</f>
        <v>0</v>
      </c>
      <c r="AH59" s="171">
        <f>$I59*Index!AH$21</f>
        <v>0</v>
      </c>
      <c r="AI59" s="171">
        <f>$I59*Index!AI$21</f>
        <v>0</v>
      </c>
      <c r="AJ59" s="171">
        <f>$I59*Index!AJ$21</f>
        <v>0</v>
      </c>
      <c r="AK59" s="171">
        <f>$I59*Index!AK$21</f>
        <v>0</v>
      </c>
      <c r="AL59" s="171">
        <f>$I59*Index!AL$21</f>
        <v>0</v>
      </c>
      <c r="AM59" s="171">
        <f>$I59*Index!AM$21</f>
        <v>0</v>
      </c>
      <c r="AN59" s="171">
        <f>$I59*Index!AN$21</f>
        <v>0</v>
      </c>
      <c r="AO59" s="171">
        <f>$I59*Index!AO$21</f>
        <v>0</v>
      </c>
      <c r="AP59" s="171">
        <f>$I59*Index!AP$21</f>
        <v>0</v>
      </c>
      <c r="AQ59" s="171">
        <f>$I59*Index!AQ$21</f>
        <v>0</v>
      </c>
      <c r="AR59" s="171">
        <f>$I59*Index!AR$21</f>
        <v>0</v>
      </c>
      <c r="AS59" s="171">
        <f>$I59*Index!AS$21</f>
        <v>0</v>
      </c>
      <c r="AT59" s="171">
        <f>$I59*Index!AT$21</f>
        <v>0</v>
      </c>
      <c r="AU59" s="171">
        <f>$I59*Index!AU$21</f>
        <v>0</v>
      </c>
      <c r="AV59" s="171">
        <f>$I59*Index!AV$21</f>
        <v>0</v>
      </c>
      <c r="AW59" s="171">
        <f>$I59*Index!AW$21</f>
        <v>0</v>
      </c>
      <c r="AX59" s="171">
        <f>$I59*Index!AX$21</f>
        <v>0</v>
      </c>
      <c r="AY59" s="171">
        <f>$I59*Index!AY$21</f>
        <v>0</v>
      </c>
      <c r="AZ59" s="171">
        <f>$I59*Index!AZ$21</f>
        <v>0</v>
      </c>
      <c r="BA59" s="171">
        <f>$I59*Index!BA$21</f>
        <v>0</v>
      </c>
      <c r="BB59" s="171">
        <f>$I59*Index!BB$21</f>
        <v>0</v>
      </c>
      <c r="BC59" s="171">
        <f>$I59*Index!BC$21</f>
        <v>0</v>
      </c>
      <c r="BD59" s="171">
        <f>$I59*Index!BD$21</f>
        <v>0</v>
      </c>
      <c r="BE59" s="171">
        <f>$I59*Index!BE$21</f>
        <v>0</v>
      </c>
      <c r="BF59" s="171">
        <f>$I59*Index!BF$21</f>
        <v>0</v>
      </c>
      <c r="BG59" s="171">
        <f>$I59*Index!BG$21</f>
        <v>0</v>
      </c>
      <c r="BH59" s="171">
        <f>$I59*Index!BH$21</f>
        <v>0</v>
      </c>
      <c r="BI59" s="171">
        <f>$I59*Index!BI$21</f>
        <v>0</v>
      </c>
      <c r="BJ59" s="171">
        <f>$I59*Index!BJ$21</f>
        <v>0</v>
      </c>
      <c r="BK59" s="171">
        <f>$I59*Index!BK$21</f>
        <v>0</v>
      </c>
      <c r="BL59" s="171">
        <f>$I59*Index!BL$21</f>
        <v>0</v>
      </c>
      <c r="BM59" s="171">
        <f>$I59*Index!BM$21</f>
        <v>0</v>
      </c>
      <c r="BN59" s="171">
        <f>$I59*Index!BN$21</f>
        <v>0</v>
      </c>
      <c r="BO59" s="171">
        <f>$I59*Index!BO$21</f>
        <v>0</v>
      </c>
      <c r="BP59" s="171">
        <f>$I59*Index!BP$21</f>
        <v>0</v>
      </c>
      <c r="BQ59" s="171">
        <f>$I59*Index!BQ$21</f>
        <v>0</v>
      </c>
      <c r="BR59" s="171">
        <f>$I59*Index!BR$21</f>
        <v>0</v>
      </c>
      <c r="BS59" s="171">
        <f>$I59*Index!BS$21</f>
        <v>0</v>
      </c>
      <c r="BT59" s="171">
        <f>$I59*Index!BT$21</f>
        <v>0</v>
      </c>
      <c r="BU59" s="171">
        <f>$I59*Index!BU$21</f>
        <v>0</v>
      </c>
      <c r="BV59" s="171">
        <f>$I59*Index!BV$21</f>
        <v>0</v>
      </c>
      <c r="BW59" s="171">
        <f>$I59*Index!BW$21</f>
        <v>0</v>
      </c>
      <c r="BX59" s="171">
        <f>$I59*Index!BX$21</f>
        <v>0</v>
      </c>
      <c r="BY59" s="171">
        <f>$I59*Index!BY$21</f>
        <v>0</v>
      </c>
      <c r="BZ59" s="171">
        <f>$I59*Index!BZ$21</f>
        <v>0</v>
      </c>
      <c r="CA59" s="171">
        <f>$I59*Index!CA$21</f>
        <v>0</v>
      </c>
      <c r="CB59" s="171">
        <f>$I59*Index!CB$21</f>
        <v>0</v>
      </c>
      <c r="CC59" s="171">
        <f>$I59*Index!CC$21</f>
        <v>0</v>
      </c>
      <c r="CD59" s="171">
        <f>$I59*Index!CD$21</f>
        <v>0</v>
      </c>
      <c r="CE59" s="171">
        <f>$I59*Index!CE$21</f>
        <v>0</v>
      </c>
      <c r="CF59" s="171">
        <f>$I59*Index!CF$21</f>
        <v>0</v>
      </c>
      <c r="CG59" s="171">
        <f>$I59*Index!CG$21</f>
        <v>0</v>
      </c>
      <c r="CH59" s="171">
        <f>$I59*Index!CH$21</f>
        <v>0</v>
      </c>
      <c r="CI59" s="171">
        <f>$I59*Index!CI$21</f>
        <v>0</v>
      </c>
      <c r="CJ59" s="171">
        <f>$I59*Index!CJ$21</f>
        <v>0</v>
      </c>
      <c r="CK59" s="171">
        <f>$I59*Index!CK$21</f>
        <v>0</v>
      </c>
      <c r="CL59" s="171">
        <f>$I59*Index!CL$21</f>
        <v>0</v>
      </c>
      <c r="CM59" s="171">
        <f>$I59*Index!CM$21</f>
        <v>0</v>
      </c>
      <c r="CN59" s="171">
        <f>$I59*Index!CN$21</f>
        <v>0</v>
      </c>
      <c r="CO59" s="171">
        <f>$I59*Index!CO$21</f>
        <v>0</v>
      </c>
      <c r="CP59" s="171">
        <f>$I59*Index!CP$21</f>
        <v>0</v>
      </c>
      <c r="CQ59" s="171">
        <f>$I59*Index!CQ$21</f>
        <v>0</v>
      </c>
      <c r="CR59" s="171">
        <f>$I59*Index!CR$21</f>
        <v>0</v>
      </c>
      <c r="CS59" s="171">
        <f>$I59*Index!CS$21</f>
        <v>0</v>
      </c>
      <c r="CT59" s="171">
        <f>$I59*Index!CT$21</f>
        <v>0</v>
      </c>
      <c r="CU59" s="171">
        <f>$I59*Index!CU$21</f>
        <v>0</v>
      </c>
      <c r="CV59" s="171">
        <f>$I59*Index!CV$21</f>
        <v>0</v>
      </c>
      <c r="CW59" s="171">
        <f>$I59*Index!CW$21</f>
        <v>0</v>
      </c>
      <c r="CX59" s="171">
        <f>$I59*Index!CX$21</f>
        <v>0</v>
      </c>
      <c r="CY59" s="171">
        <f>$I59*Index!CY$21</f>
        <v>0</v>
      </c>
      <c r="CZ59" s="171">
        <f>$I59*Index!CZ$21</f>
        <v>0</v>
      </c>
      <c r="DA59" s="171">
        <f>$I59*Index!DA$21</f>
        <v>0</v>
      </c>
      <c r="DB59" s="171">
        <f>$I59*Index!DB$21</f>
        <v>0</v>
      </c>
      <c r="DC59" s="171">
        <f>$I59*Index!DC$21</f>
        <v>0</v>
      </c>
      <c r="DD59" s="171">
        <f>$I59*Index!DD$21</f>
        <v>0</v>
      </c>
      <c r="DE59" s="171">
        <f>$I59*Index!DE$21</f>
        <v>0</v>
      </c>
      <c r="DF59" s="171">
        <f>$I59*Index!DF$21</f>
        <v>0</v>
      </c>
      <c r="DG59" s="171">
        <f>$I59*Index!DG$21</f>
        <v>0</v>
      </c>
      <c r="DH59" s="171">
        <f>$I59*Index!DH$21</f>
        <v>0</v>
      </c>
      <c r="DI59" s="171">
        <f>$I59*Index!DI$21</f>
        <v>0</v>
      </c>
      <c r="DJ59" s="171">
        <f>$I59*Index!DJ$21</f>
        <v>0</v>
      </c>
      <c r="DK59" s="171">
        <f>$I59*Index!DK$21</f>
        <v>0</v>
      </c>
      <c r="DL59" s="171">
        <f>$I59*Index!DL$21</f>
        <v>0</v>
      </c>
      <c r="DM59" s="171">
        <f>$I59*Index!DM$21</f>
        <v>0</v>
      </c>
      <c r="DN59" s="171">
        <f>$I59*Index!DN$21</f>
        <v>0</v>
      </c>
      <c r="DO59" s="171">
        <f>$I59*Index!DO$21</f>
        <v>0</v>
      </c>
      <c r="DP59" s="171">
        <f>$I59*Index!DP$21</f>
        <v>0</v>
      </c>
      <c r="DQ59" s="171">
        <f>$I59*Index!DQ$21</f>
        <v>0</v>
      </c>
      <c r="DR59" s="171">
        <f>$I59*Index!DR$21</f>
        <v>0</v>
      </c>
      <c r="DS59" s="171">
        <f>$I59*Index!DS$21</f>
        <v>0</v>
      </c>
      <c r="DT59" s="171">
        <f>$I59*Index!DT$21</f>
        <v>0</v>
      </c>
      <c r="DU59" s="171">
        <f>$I59*Index!DU$21</f>
        <v>0</v>
      </c>
      <c r="DV59" s="171">
        <f>$I59*Index!DV$21</f>
        <v>0</v>
      </c>
      <c r="DW59" s="171">
        <f>$I59*Index!DW$21</f>
        <v>0</v>
      </c>
      <c r="DX59" s="171">
        <f>$I59*Index!DX$21</f>
        <v>0</v>
      </c>
      <c r="DY59" s="171">
        <f>$I59*Index!DY$21</f>
        <v>0</v>
      </c>
      <c r="DZ59" s="171">
        <f>$I59*Index!DZ$21</f>
        <v>0</v>
      </c>
      <c r="EA59" s="171">
        <f>$I59*Index!EA$21</f>
        <v>0</v>
      </c>
      <c r="EB59" s="171">
        <f>$I59*Index!EB$21</f>
        <v>-12480322.596232468</v>
      </c>
      <c r="EC59" s="171">
        <f>$I59*Index!EC$21</f>
        <v>0</v>
      </c>
      <c r="ED59" s="171">
        <f>$I59*Index!ED$21</f>
        <v>0</v>
      </c>
      <c r="EE59" s="171">
        <f>$I59*Index!EE$21</f>
        <v>0</v>
      </c>
      <c r="EF59" s="171">
        <f>$I59*Index!EF$21</f>
        <v>0</v>
      </c>
      <c r="EG59" s="171">
        <f>$I59*Index!EG$21</f>
        <v>0</v>
      </c>
      <c r="EH59" s="171">
        <f>$I59*Index!EH$21</f>
        <v>0</v>
      </c>
      <c r="EI59" s="171">
        <f>$I59*Index!EI$21</f>
        <v>0</v>
      </c>
      <c r="EJ59" s="171">
        <f>$I59*Index!EJ$21</f>
        <v>0</v>
      </c>
      <c r="EK59" s="171">
        <f>$I59*Index!EK$21</f>
        <v>0</v>
      </c>
      <c r="EL59" s="171">
        <f>$I59*Index!EL$21</f>
        <v>0</v>
      </c>
      <c r="EM59" s="171">
        <f>$I59*Index!EM$21</f>
        <v>0</v>
      </c>
      <c r="EN59" s="171">
        <f>$I59*Index!EN$21</f>
        <v>0</v>
      </c>
      <c r="EO59" s="171">
        <f>$I59*Index!EO$21</f>
        <v>0</v>
      </c>
      <c r="EP59" s="171">
        <f>$I59*Index!EP$21</f>
        <v>0</v>
      </c>
      <c r="EQ59" s="171">
        <f>$I59*Index!EQ$21</f>
        <v>0</v>
      </c>
    </row>
    <row r="60" spans="2:147" ht="11.25" customHeight="1">
      <c r="B60" s="218"/>
      <c r="C60" s="158" t="s">
        <v>203</v>
      </c>
      <c r="D60" s="159"/>
      <c r="E60" s="159"/>
      <c r="F60" s="159"/>
      <c r="G60" s="159"/>
      <c r="H60" s="160"/>
      <c r="I60" s="219"/>
      <c r="J60" s="220">
        <f>SUM(J61:J66)</f>
        <v>-288900000</v>
      </c>
      <c r="K60" s="98"/>
      <c r="L60" s="162">
        <f>SUM(L61:L66)</f>
        <v>-288900000</v>
      </c>
      <c r="M60" s="162">
        <f t="shared" ref="M60:BX60" si="34">SUM(M61:M66)</f>
        <v>0</v>
      </c>
      <c r="N60" s="162">
        <f t="shared" si="34"/>
        <v>0</v>
      </c>
      <c r="O60" s="162">
        <f t="shared" si="34"/>
        <v>0</v>
      </c>
      <c r="P60" s="162">
        <f t="shared" si="34"/>
        <v>0</v>
      </c>
      <c r="Q60" s="162">
        <f t="shared" si="34"/>
        <v>0</v>
      </c>
      <c r="R60" s="162">
        <f t="shared" si="34"/>
        <v>0</v>
      </c>
      <c r="S60" s="162">
        <f t="shared" si="34"/>
        <v>0</v>
      </c>
      <c r="T60" s="162">
        <f t="shared" si="34"/>
        <v>0</v>
      </c>
      <c r="U60" s="162">
        <f t="shared" si="34"/>
        <v>0</v>
      </c>
      <c r="V60" s="162">
        <f t="shared" si="34"/>
        <v>0</v>
      </c>
      <c r="W60" s="162">
        <f t="shared" si="34"/>
        <v>0</v>
      </c>
      <c r="X60" s="162">
        <f t="shared" si="34"/>
        <v>0</v>
      </c>
      <c r="Y60" s="162">
        <f t="shared" si="34"/>
        <v>0</v>
      </c>
      <c r="Z60" s="162">
        <f t="shared" si="34"/>
        <v>0</v>
      </c>
      <c r="AA60" s="162">
        <f t="shared" si="34"/>
        <v>0</v>
      </c>
      <c r="AB60" s="162">
        <f t="shared" si="34"/>
        <v>0</v>
      </c>
      <c r="AC60" s="162">
        <f t="shared" si="34"/>
        <v>0</v>
      </c>
      <c r="AD60" s="162">
        <f t="shared" si="34"/>
        <v>0</v>
      </c>
      <c r="AE60" s="162">
        <f t="shared" si="34"/>
        <v>0</v>
      </c>
      <c r="AF60" s="162">
        <f t="shared" si="34"/>
        <v>0</v>
      </c>
      <c r="AG60" s="162">
        <f t="shared" si="34"/>
        <v>0</v>
      </c>
      <c r="AH60" s="162">
        <f t="shared" si="34"/>
        <v>0</v>
      </c>
      <c r="AI60" s="162">
        <f t="shared" si="34"/>
        <v>0</v>
      </c>
      <c r="AJ60" s="162">
        <f t="shared" si="34"/>
        <v>0</v>
      </c>
      <c r="AK60" s="162">
        <f t="shared" si="34"/>
        <v>0</v>
      </c>
      <c r="AL60" s="162">
        <f t="shared" si="34"/>
        <v>0</v>
      </c>
      <c r="AM60" s="162">
        <f t="shared" si="34"/>
        <v>0</v>
      </c>
      <c r="AN60" s="162">
        <f t="shared" si="34"/>
        <v>0</v>
      </c>
      <c r="AO60" s="162">
        <f t="shared" si="34"/>
        <v>0</v>
      </c>
      <c r="AP60" s="162">
        <f t="shared" si="34"/>
        <v>0</v>
      </c>
      <c r="AQ60" s="162">
        <f t="shared" si="34"/>
        <v>0</v>
      </c>
      <c r="AR60" s="162">
        <f t="shared" si="34"/>
        <v>0</v>
      </c>
      <c r="AS60" s="162">
        <f t="shared" si="34"/>
        <v>0</v>
      </c>
      <c r="AT60" s="162">
        <f t="shared" si="34"/>
        <v>0</v>
      </c>
      <c r="AU60" s="162">
        <f t="shared" si="34"/>
        <v>0</v>
      </c>
      <c r="AV60" s="162">
        <f t="shared" si="34"/>
        <v>0</v>
      </c>
      <c r="AW60" s="162">
        <f t="shared" si="34"/>
        <v>0</v>
      </c>
      <c r="AX60" s="162">
        <f t="shared" si="34"/>
        <v>0</v>
      </c>
      <c r="AY60" s="162">
        <f t="shared" si="34"/>
        <v>0</v>
      </c>
      <c r="AZ60" s="162">
        <f t="shared" si="34"/>
        <v>0</v>
      </c>
      <c r="BA60" s="162">
        <f t="shared" si="34"/>
        <v>0</v>
      </c>
      <c r="BB60" s="162">
        <f t="shared" si="34"/>
        <v>0</v>
      </c>
      <c r="BC60" s="162">
        <f t="shared" si="34"/>
        <v>0</v>
      </c>
      <c r="BD60" s="162">
        <f t="shared" si="34"/>
        <v>0</v>
      </c>
      <c r="BE60" s="162">
        <f t="shared" si="34"/>
        <v>0</v>
      </c>
      <c r="BF60" s="162">
        <f t="shared" si="34"/>
        <v>0</v>
      </c>
      <c r="BG60" s="162">
        <f t="shared" si="34"/>
        <v>0</v>
      </c>
      <c r="BH60" s="162">
        <f t="shared" si="34"/>
        <v>0</v>
      </c>
      <c r="BI60" s="162">
        <f t="shared" si="34"/>
        <v>0</v>
      </c>
      <c r="BJ60" s="162">
        <f t="shared" si="34"/>
        <v>0</v>
      </c>
      <c r="BK60" s="162">
        <f t="shared" si="34"/>
        <v>0</v>
      </c>
      <c r="BL60" s="162">
        <f t="shared" si="34"/>
        <v>0</v>
      </c>
      <c r="BM60" s="162">
        <f t="shared" si="34"/>
        <v>0</v>
      </c>
      <c r="BN60" s="162">
        <f t="shared" si="34"/>
        <v>0</v>
      </c>
      <c r="BO60" s="162">
        <f t="shared" si="34"/>
        <v>0</v>
      </c>
      <c r="BP60" s="162">
        <f t="shared" si="34"/>
        <v>0</v>
      </c>
      <c r="BQ60" s="162">
        <f t="shared" si="34"/>
        <v>0</v>
      </c>
      <c r="BR60" s="162">
        <f t="shared" si="34"/>
        <v>0</v>
      </c>
      <c r="BS60" s="162">
        <f t="shared" si="34"/>
        <v>0</v>
      </c>
      <c r="BT60" s="162">
        <f t="shared" si="34"/>
        <v>0</v>
      </c>
      <c r="BU60" s="162">
        <f t="shared" si="34"/>
        <v>0</v>
      </c>
      <c r="BV60" s="162">
        <f t="shared" si="34"/>
        <v>0</v>
      </c>
      <c r="BW60" s="162">
        <f t="shared" si="34"/>
        <v>0</v>
      </c>
      <c r="BX60" s="162">
        <f t="shared" si="34"/>
        <v>0</v>
      </c>
      <c r="BY60" s="162">
        <f t="shared" ref="BY60:DP60" si="35">SUM(BY61:BY66)</f>
        <v>0</v>
      </c>
      <c r="BZ60" s="162">
        <f t="shared" si="35"/>
        <v>0</v>
      </c>
      <c r="CA60" s="162">
        <f t="shared" si="35"/>
        <v>0</v>
      </c>
      <c r="CB60" s="162">
        <f t="shared" si="35"/>
        <v>0</v>
      </c>
      <c r="CC60" s="162">
        <f t="shared" si="35"/>
        <v>0</v>
      </c>
      <c r="CD60" s="162">
        <f t="shared" si="35"/>
        <v>0</v>
      </c>
      <c r="CE60" s="162">
        <f t="shared" si="35"/>
        <v>0</v>
      </c>
      <c r="CF60" s="162">
        <f t="shared" si="35"/>
        <v>0</v>
      </c>
      <c r="CG60" s="162">
        <f t="shared" si="35"/>
        <v>0</v>
      </c>
      <c r="CH60" s="162">
        <f t="shared" si="35"/>
        <v>0</v>
      </c>
      <c r="CI60" s="162">
        <f t="shared" si="35"/>
        <v>0</v>
      </c>
      <c r="CJ60" s="162">
        <f t="shared" si="35"/>
        <v>0</v>
      </c>
      <c r="CK60" s="162">
        <f t="shared" si="35"/>
        <v>0</v>
      </c>
      <c r="CL60" s="162">
        <f t="shared" si="35"/>
        <v>0</v>
      </c>
      <c r="CM60" s="162">
        <f t="shared" si="35"/>
        <v>0</v>
      </c>
      <c r="CN60" s="162">
        <f t="shared" si="35"/>
        <v>0</v>
      </c>
      <c r="CO60" s="162">
        <f t="shared" si="35"/>
        <v>0</v>
      </c>
      <c r="CP60" s="162">
        <f t="shared" si="35"/>
        <v>0</v>
      </c>
      <c r="CQ60" s="162">
        <f t="shared" si="35"/>
        <v>0</v>
      </c>
      <c r="CR60" s="162">
        <f t="shared" si="35"/>
        <v>0</v>
      </c>
      <c r="CS60" s="162">
        <f t="shared" si="35"/>
        <v>0</v>
      </c>
      <c r="CT60" s="162">
        <f t="shared" si="35"/>
        <v>0</v>
      </c>
      <c r="CU60" s="162">
        <f t="shared" si="35"/>
        <v>0</v>
      </c>
      <c r="CV60" s="162">
        <f t="shared" si="35"/>
        <v>0</v>
      </c>
      <c r="CW60" s="162">
        <f t="shared" si="35"/>
        <v>0</v>
      </c>
      <c r="CX60" s="162">
        <f t="shared" si="35"/>
        <v>0</v>
      </c>
      <c r="CY60" s="162">
        <f t="shared" si="35"/>
        <v>0</v>
      </c>
      <c r="CZ60" s="162">
        <f t="shared" si="35"/>
        <v>0</v>
      </c>
      <c r="DA60" s="162">
        <f t="shared" si="35"/>
        <v>0</v>
      </c>
      <c r="DB60" s="162">
        <f t="shared" si="35"/>
        <v>0</v>
      </c>
      <c r="DC60" s="162">
        <f t="shared" si="35"/>
        <v>0</v>
      </c>
      <c r="DD60" s="162">
        <f t="shared" si="35"/>
        <v>0</v>
      </c>
      <c r="DE60" s="162">
        <f t="shared" si="35"/>
        <v>0</v>
      </c>
      <c r="DF60" s="162">
        <f t="shared" si="35"/>
        <v>0</v>
      </c>
      <c r="DG60" s="162">
        <f t="shared" si="35"/>
        <v>0</v>
      </c>
      <c r="DH60" s="162">
        <f t="shared" si="35"/>
        <v>0</v>
      </c>
      <c r="DI60" s="162">
        <f t="shared" si="35"/>
        <v>0</v>
      </c>
      <c r="DJ60" s="162">
        <f t="shared" si="35"/>
        <v>0</v>
      </c>
      <c r="DK60" s="162">
        <f t="shared" si="35"/>
        <v>0</v>
      </c>
      <c r="DL60" s="162">
        <f t="shared" si="35"/>
        <v>0</v>
      </c>
      <c r="DM60" s="162">
        <f t="shared" si="35"/>
        <v>0</v>
      </c>
      <c r="DN60" s="162">
        <f t="shared" si="35"/>
        <v>0</v>
      </c>
      <c r="DO60" s="162">
        <f t="shared" si="35"/>
        <v>0</v>
      </c>
      <c r="DP60" s="162">
        <f t="shared" si="35"/>
        <v>0</v>
      </c>
      <c r="DQ60" s="162">
        <f t="shared" ref="DQ60:EQ60" si="36">SUM(DQ61:DQ66)</f>
        <v>0</v>
      </c>
      <c r="DR60" s="162">
        <f t="shared" si="36"/>
        <v>0</v>
      </c>
      <c r="DS60" s="162">
        <f t="shared" si="36"/>
        <v>0</v>
      </c>
      <c r="DT60" s="162">
        <f t="shared" si="36"/>
        <v>0</v>
      </c>
      <c r="DU60" s="162">
        <f t="shared" si="36"/>
        <v>0</v>
      </c>
      <c r="DV60" s="162">
        <f t="shared" si="36"/>
        <v>0</v>
      </c>
      <c r="DW60" s="162">
        <f t="shared" si="36"/>
        <v>0</v>
      </c>
      <c r="DX60" s="162">
        <f t="shared" si="36"/>
        <v>0</v>
      </c>
      <c r="DY60" s="162">
        <f t="shared" si="36"/>
        <v>0</v>
      </c>
      <c r="DZ60" s="162">
        <f t="shared" si="36"/>
        <v>0</v>
      </c>
      <c r="EA60" s="162">
        <f t="shared" si="36"/>
        <v>0</v>
      </c>
      <c r="EB60" s="162">
        <f t="shared" si="36"/>
        <v>0</v>
      </c>
      <c r="EC60" s="162">
        <f t="shared" si="36"/>
        <v>0</v>
      </c>
      <c r="ED60" s="162">
        <f t="shared" si="36"/>
        <v>0</v>
      </c>
      <c r="EE60" s="162">
        <f t="shared" si="36"/>
        <v>0</v>
      </c>
      <c r="EF60" s="162">
        <f t="shared" si="36"/>
        <v>0</v>
      </c>
      <c r="EG60" s="162">
        <f t="shared" si="36"/>
        <v>0</v>
      </c>
      <c r="EH60" s="162">
        <f t="shared" si="36"/>
        <v>0</v>
      </c>
      <c r="EI60" s="162">
        <f t="shared" si="36"/>
        <v>0</v>
      </c>
      <c r="EJ60" s="162">
        <f t="shared" si="36"/>
        <v>0</v>
      </c>
      <c r="EK60" s="162">
        <f t="shared" si="36"/>
        <v>0</v>
      </c>
      <c r="EL60" s="162">
        <f t="shared" si="36"/>
        <v>0</v>
      </c>
      <c r="EM60" s="162">
        <f t="shared" si="36"/>
        <v>0</v>
      </c>
      <c r="EN60" s="162">
        <f t="shared" si="36"/>
        <v>0</v>
      </c>
      <c r="EO60" s="162">
        <f t="shared" si="36"/>
        <v>0</v>
      </c>
      <c r="EP60" s="162">
        <f t="shared" si="36"/>
        <v>0</v>
      </c>
      <c r="EQ60" s="162">
        <f t="shared" si="36"/>
        <v>0</v>
      </c>
    </row>
    <row r="61" spans="2:147" ht="11.25" customHeight="1">
      <c r="B61" s="218"/>
      <c r="C61" s="163"/>
      <c r="D61" s="164" t="s">
        <v>171</v>
      </c>
      <c r="E61" s="165"/>
      <c r="F61" s="165"/>
      <c r="G61" s="165"/>
      <c r="H61" s="166"/>
      <c r="I61" s="228"/>
      <c r="J61" s="168">
        <f t="shared" ref="J61:J66" si="37">SUM(L61:EQ61)</f>
        <v>-270000000</v>
      </c>
      <c r="K61" s="98"/>
      <c r="L61" s="168">
        <f>-TIC!M15</f>
        <v>-270000000</v>
      </c>
      <c r="M61" s="168">
        <f>-TIC!N15</f>
        <v>0</v>
      </c>
      <c r="N61" s="168">
        <f>-TIC!O15</f>
        <v>0</v>
      </c>
      <c r="O61" s="168">
        <f>-TIC!P15</f>
        <v>0</v>
      </c>
      <c r="P61" s="168">
        <f>-TIC!Q15</f>
        <v>0</v>
      </c>
      <c r="Q61" s="168">
        <f>-TIC!R15</f>
        <v>0</v>
      </c>
      <c r="R61" s="168">
        <f>-TIC!S15</f>
        <v>0</v>
      </c>
      <c r="S61" s="168">
        <f>-TIC!T15</f>
        <v>0</v>
      </c>
      <c r="T61" s="168">
        <f>-TIC!U15</f>
        <v>0</v>
      </c>
      <c r="U61" s="168">
        <f>-TIC!V15</f>
        <v>0</v>
      </c>
      <c r="V61" s="168">
        <f>-TIC!W15</f>
        <v>0</v>
      </c>
      <c r="W61" s="168">
        <f>-TIC!X15</f>
        <v>0</v>
      </c>
      <c r="X61" s="168">
        <f>-TIC!Y15</f>
        <v>0</v>
      </c>
      <c r="Y61" s="168">
        <f>-TIC!Z15</f>
        <v>0</v>
      </c>
      <c r="Z61" s="168">
        <f>-TIC!AA15</f>
        <v>0</v>
      </c>
      <c r="AA61" s="168">
        <f>-TIC!AB15</f>
        <v>0</v>
      </c>
      <c r="AB61" s="168">
        <f>-TIC!AC15</f>
        <v>0</v>
      </c>
      <c r="AC61" s="168">
        <f>-TIC!AD15</f>
        <v>0</v>
      </c>
      <c r="AD61" s="168">
        <f>-TIC!AE15</f>
        <v>0</v>
      </c>
      <c r="AE61" s="168">
        <f>-TIC!AF15</f>
        <v>0</v>
      </c>
      <c r="AF61" s="168">
        <f>-TIC!AG15</f>
        <v>0</v>
      </c>
      <c r="AG61" s="168">
        <f>-TIC!AH15</f>
        <v>0</v>
      </c>
      <c r="AH61" s="168">
        <f>-TIC!AI15</f>
        <v>0</v>
      </c>
      <c r="AI61" s="168">
        <f>-TIC!AJ15</f>
        <v>0</v>
      </c>
      <c r="AJ61" s="168">
        <f>-TIC!AK15</f>
        <v>0</v>
      </c>
      <c r="AK61" s="168">
        <f>-TIC!AL15</f>
        <v>0</v>
      </c>
      <c r="AL61" s="168">
        <f>-TIC!AM15</f>
        <v>0</v>
      </c>
      <c r="AM61" s="168">
        <f>-TIC!AN15</f>
        <v>0</v>
      </c>
      <c r="AN61" s="168">
        <f>-TIC!AO15</f>
        <v>0</v>
      </c>
      <c r="AO61" s="168">
        <f>-TIC!AP15</f>
        <v>0</v>
      </c>
      <c r="AP61" s="168">
        <f>-TIC!AQ15</f>
        <v>0</v>
      </c>
      <c r="AQ61" s="168">
        <f>-TIC!AR15</f>
        <v>0</v>
      </c>
      <c r="AR61" s="168">
        <f>-TIC!AS15</f>
        <v>0</v>
      </c>
      <c r="AS61" s="168">
        <f>-TIC!AT15</f>
        <v>0</v>
      </c>
      <c r="AT61" s="168">
        <f>-TIC!AU15</f>
        <v>0</v>
      </c>
      <c r="AU61" s="168">
        <f>-TIC!AV15</f>
        <v>0</v>
      </c>
      <c r="AV61" s="168">
        <f>-TIC!AW15</f>
        <v>0</v>
      </c>
      <c r="AW61" s="168">
        <f>-TIC!AX15</f>
        <v>0</v>
      </c>
      <c r="AX61" s="168">
        <f>-TIC!AY15</f>
        <v>0</v>
      </c>
      <c r="AY61" s="168">
        <f>-TIC!AZ15</f>
        <v>0</v>
      </c>
      <c r="AZ61" s="168">
        <f>-TIC!BA15</f>
        <v>0</v>
      </c>
      <c r="BA61" s="168">
        <f>-TIC!BB15</f>
        <v>0</v>
      </c>
      <c r="BB61" s="168">
        <f>-TIC!BC15</f>
        <v>0</v>
      </c>
      <c r="BC61" s="168">
        <f>-TIC!BD15</f>
        <v>0</v>
      </c>
      <c r="BD61" s="168">
        <f>-TIC!BE15</f>
        <v>0</v>
      </c>
      <c r="BE61" s="168">
        <f>-TIC!BF15</f>
        <v>0</v>
      </c>
      <c r="BF61" s="168">
        <f>-TIC!BG15</f>
        <v>0</v>
      </c>
      <c r="BG61" s="168">
        <f>-TIC!BH15</f>
        <v>0</v>
      </c>
      <c r="BH61" s="168">
        <f>-TIC!BI15</f>
        <v>0</v>
      </c>
      <c r="BI61" s="168">
        <f>-TIC!BJ15</f>
        <v>0</v>
      </c>
      <c r="BJ61" s="168">
        <f>-TIC!BK15</f>
        <v>0</v>
      </c>
      <c r="BK61" s="168">
        <f>-TIC!BL15</f>
        <v>0</v>
      </c>
      <c r="BL61" s="168">
        <f>-TIC!BM15</f>
        <v>0</v>
      </c>
      <c r="BM61" s="168">
        <f>-TIC!BN15</f>
        <v>0</v>
      </c>
      <c r="BN61" s="168">
        <f>-TIC!BO15</f>
        <v>0</v>
      </c>
      <c r="BO61" s="168">
        <f>-TIC!BP15</f>
        <v>0</v>
      </c>
      <c r="BP61" s="168">
        <f>-TIC!BQ15</f>
        <v>0</v>
      </c>
      <c r="BQ61" s="168">
        <f>-TIC!BR15</f>
        <v>0</v>
      </c>
      <c r="BR61" s="168">
        <f>-TIC!BS15</f>
        <v>0</v>
      </c>
      <c r="BS61" s="168">
        <f>-TIC!BT15</f>
        <v>0</v>
      </c>
      <c r="BT61" s="168">
        <f>-TIC!BU15</f>
        <v>0</v>
      </c>
      <c r="BU61" s="168">
        <f>-TIC!BV15</f>
        <v>0</v>
      </c>
      <c r="BV61" s="168">
        <f>-TIC!BW15</f>
        <v>0</v>
      </c>
      <c r="BW61" s="168">
        <f>-TIC!BX15</f>
        <v>0</v>
      </c>
      <c r="BX61" s="168">
        <f>-TIC!BY15</f>
        <v>0</v>
      </c>
      <c r="BY61" s="168">
        <f>-TIC!BZ15</f>
        <v>0</v>
      </c>
      <c r="BZ61" s="168">
        <f>-TIC!CA15</f>
        <v>0</v>
      </c>
      <c r="CA61" s="168">
        <f>-TIC!CB15</f>
        <v>0</v>
      </c>
      <c r="CB61" s="168">
        <f>-TIC!CC15</f>
        <v>0</v>
      </c>
      <c r="CC61" s="168">
        <f>-TIC!CD15</f>
        <v>0</v>
      </c>
      <c r="CD61" s="168">
        <f>-TIC!CE15</f>
        <v>0</v>
      </c>
      <c r="CE61" s="168">
        <f>-TIC!CF15</f>
        <v>0</v>
      </c>
      <c r="CF61" s="168">
        <f>-TIC!CG15</f>
        <v>0</v>
      </c>
      <c r="CG61" s="168">
        <f>-TIC!CH15</f>
        <v>0</v>
      </c>
      <c r="CH61" s="168">
        <f>-TIC!CI15</f>
        <v>0</v>
      </c>
      <c r="CI61" s="168">
        <f>-TIC!CJ15</f>
        <v>0</v>
      </c>
      <c r="CJ61" s="168">
        <f>-TIC!CK15</f>
        <v>0</v>
      </c>
      <c r="CK61" s="168">
        <f>-TIC!CL15</f>
        <v>0</v>
      </c>
      <c r="CL61" s="168">
        <f>-TIC!CM15</f>
        <v>0</v>
      </c>
      <c r="CM61" s="168">
        <f>-TIC!CN15</f>
        <v>0</v>
      </c>
      <c r="CN61" s="168">
        <f>-TIC!CO15</f>
        <v>0</v>
      </c>
      <c r="CO61" s="168">
        <f>-TIC!CP15</f>
        <v>0</v>
      </c>
      <c r="CP61" s="168">
        <f>-TIC!CQ15</f>
        <v>0</v>
      </c>
      <c r="CQ61" s="168">
        <f>-TIC!CR15</f>
        <v>0</v>
      </c>
      <c r="CR61" s="168">
        <f>-TIC!CS15</f>
        <v>0</v>
      </c>
      <c r="CS61" s="168">
        <f>-TIC!CT15</f>
        <v>0</v>
      </c>
      <c r="CT61" s="168">
        <f>-TIC!CU15</f>
        <v>0</v>
      </c>
      <c r="CU61" s="168">
        <f>-TIC!CV15</f>
        <v>0</v>
      </c>
      <c r="CV61" s="168">
        <f>-TIC!CW15</f>
        <v>0</v>
      </c>
      <c r="CW61" s="168">
        <f>-TIC!CX15</f>
        <v>0</v>
      </c>
      <c r="CX61" s="168">
        <f>-TIC!CY15</f>
        <v>0</v>
      </c>
      <c r="CY61" s="168">
        <f>-TIC!CZ15</f>
        <v>0</v>
      </c>
      <c r="CZ61" s="168">
        <f>-TIC!DA15</f>
        <v>0</v>
      </c>
      <c r="DA61" s="168">
        <f>-TIC!DB15</f>
        <v>0</v>
      </c>
      <c r="DB61" s="168">
        <f>-TIC!DC15</f>
        <v>0</v>
      </c>
      <c r="DC61" s="168">
        <f>-TIC!DD15</f>
        <v>0</v>
      </c>
      <c r="DD61" s="168">
        <f>-TIC!DE15</f>
        <v>0</v>
      </c>
      <c r="DE61" s="168">
        <f>-TIC!DF15</f>
        <v>0</v>
      </c>
      <c r="DF61" s="168">
        <f>-TIC!DG15</f>
        <v>0</v>
      </c>
      <c r="DG61" s="168">
        <f>-TIC!DH15</f>
        <v>0</v>
      </c>
      <c r="DH61" s="168">
        <f>-TIC!DI15</f>
        <v>0</v>
      </c>
      <c r="DI61" s="168">
        <f>-TIC!DJ15</f>
        <v>0</v>
      </c>
      <c r="DJ61" s="168">
        <f>-TIC!DK15</f>
        <v>0</v>
      </c>
      <c r="DK61" s="168">
        <f>-TIC!DL15</f>
        <v>0</v>
      </c>
      <c r="DL61" s="168">
        <f>-TIC!DM15</f>
        <v>0</v>
      </c>
      <c r="DM61" s="168">
        <f>-TIC!DN15</f>
        <v>0</v>
      </c>
      <c r="DN61" s="168">
        <f>-TIC!DO15</f>
        <v>0</v>
      </c>
      <c r="DO61" s="168">
        <f>-TIC!DP15</f>
        <v>0</v>
      </c>
      <c r="DP61" s="168">
        <f>-TIC!DQ15</f>
        <v>0</v>
      </c>
      <c r="DQ61" s="168">
        <f>-TIC!DR15</f>
        <v>0</v>
      </c>
      <c r="DR61" s="168">
        <f>-TIC!DS15</f>
        <v>0</v>
      </c>
      <c r="DS61" s="168">
        <f>-TIC!DT15</f>
        <v>0</v>
      </c>
      <c r="DT61" s="168">
        <f>-TIC!DU15</f>
        <v>0</v>
      </c>
      <c r="DU61" s="168">
        <f>-TIC!DV15</f>
        <v>0</v>
      </c>
      <c r="DV61" s="168">
        <f>-TIC!DW15</f>
        <v>0</v>
      </c>
      <c r="DW61" s="168">
        <f>-TIC!DX15</f>
        <v>0</v>
      </c>
      <c r="DX61" s="168">
        <f>-TIC!DY15</f>
        <v>0</v>
      </c>
      <c r="DY61" s="168">
        <f>-TIC!DZ15</f>
        <v>0</v>
      </c>
      <c r="DZ61" s="168">
        <f>-TIC!EA15</f>
        <v>0</v>
      </c>
      <c r="EA61" s="168">
        <f>-TIC!EB15</f>
        <v>0</v>
      </c>
      <c r="EB61" s="168">
        <f>-TIC!EC15</f>
        <v>0</v>
      </c>
      <c r="EC61" s="168">
        <f>-TIC!ED15</f>
        <v>0</v>
      </c>
      <c r="ED61" s="168">
        <f>-TIC!EE15</f>
        <v>0</v>
      </c>
      <c r="EE61" s="168">
        <f>-TIC!EF15</f>
        <v>0</v>
      </c>
      <c r="EF61" s="168">
        <f>-TIC!EG15</f>
        <v>0</v>
      </c>
      <c r="EG61" s="168">
        <f>-TIC!EH15</f>
        <v>0</v>
      </c>
      <c r="EH61" s="168">
        <f>-TIC!EI15</f>
        <v>0</v>
      </c>
      <c r="EI61" s="168">
        <f>-TIC!EJ15</f>
        <v>0</v>
      </c>
      <c r="EJ61" s="168">
        <f>-TIC!EK15</f>
        <v>0</v>
      </c>
      <c r="EK61" s="168">
        <f>-TIC!EL15</f>
        <v>0</v>
      </c>
      <c r="EL61" s="168">
        <f>-TIC!EM15</f>
        <v>0</v>
      </c>
      <c r="EM61" s="168">
        <f>-TIC!EN15</f>
        <v>0</v>
      </c>
      <c r="EN61" s="168">
        <f>-TIC!EO15</f>
        <v>0</v>
      </c>
      <c r="EO61" s="168">
        <f>-TIC!EP15</f>
        <v>0</v>
      </c>
      <c r="EP61" s="168">
        <f>-TIC!EQ15</f>
        <v>0</v>
      </c>
      <c r="EQ61" s="168">
        <f>-TIC!ER15</f>
        <v>0</v>
      </c>
    </row>
    <row r="62" spans="2:147" ht="11.25" customHeight="1">
      <c r="B62" s="218"/>
      <c r="C62" s="163"/>
      <c r="D62" s="169" t="s">
        <v>249</v>
      </c>
      <c r="H62" s="146"/>
      <c r="I62" s="229"/>
      <c r="J62" s="171">
        <f t="shared" si="37"/>
        <v>-1350000</v>
      </c>
      <c r="K62" s="98"/>
      <c r="L62" s="171">
        <f>-TIC!M18</f>
        <v>-1350000</v>
      </c>
      <c r="M62" s="171">
        <f>-TIC!N18</f>
        <v>0</v>
      </c>
      <c r="N62" s="171">
        <f>-TIC!O18</f>
        <v>0</v>
      </c>
      <c r="O62" s="171">
        <f>-TIC!P18</f>
        <v>0</v>
      </c>
      <c r="P62" s="171">
        <f>-TIC!Q18</f>
        <v>0</v>
      </c>
      <c r="Q62" s="171">
        <f>-TIC!R18</f>
        <v>0</v>
      </c>
      <c r="R62" s="171">
        <f>-TIC!S18</f>
        <v>0</v>
      </c>
      <c r="S62" s="171">
        <f>-TIC!T18</f>
        <v>0</v>
      </c>
      <c r="T62" s="171">
        <f>-TIC!U18</f>
        <v>0</v>
      </c>
      <c r="U62" s="171">
        <f>-TIC!V18</f>
        <v>0</v>
      </c>
      <c r="V62" s="171">
        <f>-TIC!W18</f>
        <v>0</v>
      </c>
      <c r="W62" s="171">
        <f>-TIC!X18</f>
        <v>0</v>
      </c>
      <c r="X62" s="171">
        <f>-TIC!Y18</f>
        <v>0</v>
      </c>
      <c r="Y62" s="171">
        <f>-TIC!Z18</f>
        <v>0</v>
      </c>
      <c r="Z62" s="171">
        <f>-TIC!AA18</f>
        <v>0</v>
      </c>
      <c r="AA62" s="171">
        <f>-TIC!AB18</f>
        <v>0</v>
      </c>
      <c r="AB62" s="171">
        <f>-TIC!AC18</f>
        <v>0</v>
      </c>
      <c r="AC62" s="171">
        <f>-TIC!AD18</f>
        <v>0</v>
      </c>
      <c r="AD62" s="171">
        <f>-TIC!AE18</f>
        <v>0</v>
      </c>
      <c r="AE62" s="171">
        <f>-TIC!AF18</f>
        <v>0</v>
      </c>
      <c r="AF62" s="171">
        <f>-TIC!AG18</f>
        <v>0</v>
      </c>
      <c r="AG62" s="171">
        <f>-TIC!AH18</f>
        <v>0</v>
      </c>
      <c r="AH62" s="171">
        <f>-TIC!AI18</f>
        <v>0</v>
      </c>
      <c r="AI62" s="171">
        <f>-TIC!AJ18</f>
        <v>0</v>
      </c>
      <c r="AJ62" s="171">
        <f>-TIC!AK18</f>
        <v>0</v>
      </c>
      <c r="AK62" s="171">
        <f>-TIC!AL18</f>
        <v>0</v>
      </c>
      <c r="AL62" s="171">
        <f>-TIC!AM18</f>
        <v>0</v>
      </c>
      <c r="AM62" s="171">
        <f>-TIC!AN18</f>
        <v>0</v>
      </c>
      <c r="AN62" s="171">
        <f>-TIC!AO18</f>
        <v>0</v>
      </c>
      <c r="AO62" s="171">
        <f>-TIC!AP18</f>
        <v>0</v>
      </c>
      <c r="AP62" s="171">
        <f>-TIC!AQ18</f>
        <v>0</v>
      </c>
      <c r="AQ62" s="171">
        <f>-TIC!AR18</f>
        <v>0</v>
      </c>
      <c r="AR62" s="171">
        <f>-TIC!AS18</f>
        <v>0</v>
      </c>
      <c r="AS62" s="171">
        <f>-TIC!AT18</f>
        <v>0</v>
      </c>
      <c r="AT62" s="171">
        <f>-TIC!AU18</f>
        <v>0</v>
      </c>
      <c r="AU62" s="171">
        <f>-TIC!AV18</f>
        <v>0</v>
      </c>
      <c r="AV62" s="171">
        <f>-TIC!AW18</f>
        <v>0</v>
      </c>
      <c r="AW62" s="171">
        <f>-TIC!AX18</f>
        <v>0</v>
      </c>
      <c r="AX62" s="171">
        <f>-TIC!AY18</f>
        <v>0</v>
      </c>
      <c r="AY62" s="171">
        <f>-TIC!AZ18</f>
        <v>0</v>
      </c>
      <c r="AZ62" s="171">
        <f>-TIC!BA18</f>
        <v>0</v>
      </c>
      <c r="BA62" s="171">
        <f>-TIC!BB18</f>
        <v>0</v>
      </c>
      <c r="BB62" s="171">
        <f>-TIC!BC18</f>
        <v>0</v>
      </c>
      <c r="BC62" s="171">
        <f>-TIC!BD18</f>
        <v>0</v>
      </c>
      <c r="BD62" s="171">
        <f>-TIC!BE18</f>
        <v>0</v>
      </c>
      <c r="BE62" s="171">
        <f>-TIC!BF18</f>
        <v>0</v>
      </c>
      <c r="BF62" s="171">
        <f>-TIC!BG18</f>
        <v>0</v>
      </c>
      <c r="BG62" s="171">
        <f>-TIC!BH18</f>
        <v>0</v>
      </c>
      <c r="BH62" s="171">
        <f>-TIC!BI18</f>
        <v>0</v>
      </c>
      <c r="BI62" s="171">
        <f>-TIC!BJ18</f>
        <v>0</v>
      </c>
      <c r="BJ62" s="171">
        <f>-TIC!BK18</f>
        <v>0</v>
      </c>
      <c r="BK62" s="171">
        <f>-TIC!BL18</f>
        <v>0</v>
      </c>
      <c r="BL62" s="171">
        <f>-TIC!BM18</f>
        <v>0</v>
      </c>
      <c r="BM62" s="171">
        <f>-TIC!BN18</f>
        <v>0</v>
      </c>
      <c r="BN62" s="171">
        <f>-TIC!BO18</f>
        <v>0</v>
      </c>
      <c r="BO62" s="171">
        <f>-TIC!BP18</f>
        <v>0</v>
      </c>
      <c r="BP62" s="171">
        <f>-TIC!BQ18</f>
        <v>0</v>
      </c>
      <c r="BQ62" s="171">
        <f>-TIC!BR18</f>
        <v>0</v>
      </c>
      <c r="BR62" s="171">
        <f>-TIC!BS18</f>
        <v>0</v>
      </c>
      <c r="BS62" s="171">
        <f>-TIC!BT18</f>
        <v>0</v>
      </c>
      <c r="BT62" s="171">
        <f>-TIC!BU18</f>
        <v>0</v>
      </c>
      <c r="BU62" s="171">
        <f>-TIC!BV18</f>
        <v>0</v>
      </c>
      <c r="BV62" s="171">
        <f>-TIC!BW18</f>
        <v>0</v>
      </c>
      <c r="BW62" s="171">
        <f>-TIC!BX18</f>
        <v>0</v>
      </c>
      <c r="BX62" s="171">
        <f>-TIC!BY18</f>
        <v>0</v>
      </c>
      <c r="BY62" s="171">
        <f>-TIC!BZ18</f>
        <v>0</v>
      </c>
      <c r="BZ62" s="171">
        <f>-TIC!CA18</f>
        <v>0</v>
      </c>
      <c r="CA62" s="171">
        <f>-TIC!CB18</f>
        <v>0</v>
      </c>
      <c r="CB62" s="171">
        <f>-TIC!CC18</f>
        <v>0</v>
      </c>
      <c r="CC62" s="171">
        <f>-TIC!CD18</f>
        <v>0</v>
      </c>
      <c r="CD62" s="171">
        <f>-TIC!CE18</f>
        <v>0</v>
      </c>
      <c r="CE62" s="171">
        <f>-TIC!CF18</f>
        <v>0</v>
      </c>
      <c r="CF62" s="171">
        <f>-TIC!CG18</f>
        <v>0</v>
      </c>
      <c r="CG62" s="171">
        <f>-TIC!CH18</f>
        <v>0</v>
      </c>
      <c r="CH62" s="171">
        <f>-TIC!CI18</f>
        <v>0</v>
      </c>
      <c r="CI62" s="171">
        <f>-TIC!CJ18</f>
        <v>0</v>
      </c>
      <c r="CJ62" s="171">
        <f>-TIC!CK18</f>
        <v>0</v>
      </c>
      <c r="CK62" s="171">
        <f>-TIC!CL18</f>
        <v>0</v>
      </c>
      <c r="CL62" s="171">
        <f>-TIC!CM18</f>
        <v>0</v>
      </c>
      <c r="CM62" s="171">
        <f>-TIC!CN18</f>
        <v>0</v>
      </c>
      <c r="CN62" s="171">
        <f>-TIC!CO18</f>
        <v>0</v>
      </c>
      <c r="CO62" s="171">
        <f>-TIC!CP18</f>
        <v>0</v>
      </c>
      <c r="CP62" s="171">
        <f>-TIC!CQ18</f>
        <v>0</v>
      </c>
      <c r="CQ62" s="171">
        <f>-TIC!CR18</f>
        <v>0</v>
      </c>
      <c r="CR62" s="171">
        <f>-TIC!CS18</f>
        <v>0</v>
      </c>
      <c r="CS62" s="171">
        <f>-TIC!CT18</f>
        <v>0</v>
      </c>
      <c r="CT62" s="171">
        <f>-TIC!CU18</f>
        <v>0</v>
      </c>
      <c r="CU62" s="171">
        <f>-TIC!CV18</f>
        <v>0</v>
      </c>
      <c r="CV62" s="171">
        <f>-TIC!CW18</f>
        <v>0</v>
      </c>
      <c r="CW62" s="171">
        <f>-TIC!CX18</f>
        <v>0</v>
      </c>
      <c r="CX62" s="171">
        <f>-TIC!CY18</f>
        <v>0</v>
      </c>
      <c r="CY62" s="171">
        <f>-TIC!CZ18</f>
        <v>0</v>
      </c>
      <c r="CZ62" s="171">
        <f>-TIC!DA18</f>
        <v>0</v>
      </c>
      <c r="DA62" s="171">
        <f>-TIC!DB18</f>
        <v>0</v>
      </c>
      <c r="DB62" s="171">
        <f>-TIC!DC18</f>
        <v>0</v>
      </c>
      <c r="DC62" s="171">
        <f>-TIC!DD18</f>
        <v>0</v>
      </c>
      <c r="DD62" s="171">
        <f>-TIC!DE18</f>
        <v>0</v>
      </c>
      <c r="DE62" s="171">
        <f>-TIC!DF18</f>
        <v>0</v>
      </c>
      <c r="DF62" s="171">
        <f>-TIC!DG18</f>
        <v>0</v>
      </c>
      <c r="DG62" s="171">
        <f>-TIC!DH18</f>
        <v>0</v>
      </c>
      <c r="DH62" s="171">
        <f>-TIC!DI18</f>
        <v>0</v>
      </c>
      <c r="DI62" s="171">
        <f>-TIC!DJ18</f>
        <v>0</v>
      </c>
      <c r="DJ62" s="171">
        <f>-TIC!DK18</f>
        <v>0</v>
      </c>
      <c r="DK62" s="171">
        <f>-TIC!DL18</f>
        <v>0</v>
      </c>
      <c r="DL62" s="171">
        <f>-TIC!DM18</f>
        <v>0</v>
      </c>
      <c r="DM62" s="171">
        <f>-TIC!DN18</f>
        <v>0</v>
      </c>
      <c r="DN62" s="171">
        <f>-TIC!DO18</f>
        <v>0</v>
      </c>
      <c r="DO62" s="171">
        <f>-TIC!DP18</f>
        <v>0</v>
      </c>
      <c r="DP62" s="171">
        <f>-TIC!DQ18</f>
        <v>0</v>
      </c>
      <c r="DQ62" s="171">
        <f>-TIC!DR18</f>
        <v>0</v>
      </c>
      <c r="DR62" s="171">
        <f>-TIC!DS18</f>
        <v>0</v>
      </c>
      <c r="DS62" s="171">
        <f>-TIC!DT18</f>
        <v>0</v>
      </c>
      <c r="DT62" s="171">
        <f>-TIC!DU18</f>
        <v>0</v>
      </c>
      <c r="DU62" s="171">
        <f>-TIC!DV18</f>
        <v>0</v>
      </c>
      <c r="DV62" s="171">
        <f>-TIC!DW18</f>
        <v>0</v>
      </c>
      <c r="DW62" s="171">
        <f>-TIC!DX18</f>
        <v>0</v>
      </c>
      <c r="DX62" s="171">
        <f>-TIC!DY18</f>
        <v>0</v>
      </c>
      <c r="DY62" s="171">
        <f>-TIC!DZ18</f>
        <v>0</v>
      </c>
      <c r="DZ62" s="171">
        <f>-TIC!EA18</f>
        <v>0</v>
      </c>
      <c r="EA62" s="171">
        <f>-TIC!EB18</f>
        <v>0</v>
      </c>
      <c r="EB62" s="171">
        <f>-TIC!EC18</f>
        <v>0</v>
      </c>
      <c r="EC62" s="171">
        <f>-TIC!ED18</f>
        <v>0</v>
      </c>
      <c r="ED62" s="171">
        <f>-TIC!EE18</f>
        <v>0</v>
      </c>
      <c r="EE62" s="171">
        <f>-TIC!EF18</f>
        <v>0</v>
      </c>
      <c r="EF62" s="171">
        <f>-TIC!EG18</f>
        <v>0</v>
      </c>
      <c r="EG62" s="171">
        <f>-TIC!EH18</f>
        <v>0</v>
      </c>
      <c r="EH62" s="171">
        <f>-TIC!EI18</f>
        <v>0</v>
      </c>
      <c r="EI62" s="171">
        <f>-TIC!EJ18</f>
        <v>0</v>
      </c>
      <c r="EJ62" s="171">
        <f>-TIC!EK18</f>
        <v>0</v>
      </c>
      <c r="EK62" s="171">
        <f>-TIC!EL18</f>
        <v>0</v>
      </c>
      <c r="EL62" s="171">
        <f>-TIC!EM18</f>
        <v>0</v>
      </c>
      <c r="EM62" s="171">
        <f>-TIC!EN18</f>
        <v>0</v>
      </c>
      <c r="EN62" s="171">
        <f>-TIC!EO18</f>
        <v>0</v>
      </c>
      <c r="EO62" s="171">
        <f>-TIC!EP18</f>
        <v>0</v>
      </c>
      <c r="EP62" s="171">
        <f>-TIC!EQ18</f>
        <v>0</v>
      </c>
      <c r="EQ62" s="171">
        <f>-TIC!ER18</f>
        <v>0</v>
      </c>
    </row>
    <row r="63" spans="2:147" ht="11.25" customHeight="1">
      <c r="B63" s="218"/>
      <c r="C63" s="163"/>
      <c r="D63" s="169" t="s">
        <v>175</v>
      </c>
      <c r="H63" s="146"/>
      <c r="I63" s="229"/>
      <c r="J63" s="171">
        <f t="shared" si="37"/>
        <v>-346315.1</v>
      </c>
      <c r="K63" s="98"/>
      <c r="L63" s="171">
        <f>-TIC!M20</f>
        <v>-346315.1</v>
      </c>
      <c r="M63" s="171">
        <f>-TIC!N20</f>
        <v>0</v>
      </c>
      <c r="N63" s="171">
        <f>-TIC!O20</f>
        <v>0</v>
      </c>
      <c r="O63" s="171">
        <f>-TIC!P20</f>
        <v>0</v>
      </c>
      <c r="P63" s="171">
        <f>-TIC!Q20</f>
        <v>0</v>
      </c>
      <c r="Q63" s="171">
        <f>-TIC!R20</f>
        <v>0</v>
      </c>
      <c r="R63" s="171">
        <f>-TIC!S20</f>
        <v>0</v>
      </c>
      <c r="S63" s="171">
        <f>-TIC!T20</f>
        <v>0</v>
      </c>
      <c r="T63" s="171">
        <f>-TIC!U20</f>
        <v>0</v>
      </c>
      <c r="U63" s="171">
        <f>-TIC!V20</f>
        <v>0</v>
      </c>
      <c r="V63" s="171">
        <f>-TIC!W20</f>
        <v>0</v>
      </c>
      <c r="W63" s="171">
        <f>-TIC!X20</f>
        <v>0</v>
      </c>
      <c r="X63" s="171">
        <f>-TIC!Y20</f>
        <v>0</v>
      </c>
      <c r="Y63" s="171">
        <f>-TIC!Z20</f>
        <v>0</v>
      </c>
      <c r="Z63" s="171">
        <f>-TIC!AA20</f>
        <v>0</v>
      </c>
      <c r="AA63" s="171">
        <f>-TIC!AB20</f>
        <v>0</v>
      </c>
      <c r="AB63" s="171">
        <f>-TIC!AC20</f>
        <v>0</v>
      </c>
      <c r="AC63" s="171">
        <f>-TIC!AD20</f>
        <v>0</v>
      </c>
      <c r="AD63" s="171">
        <f>-TIC!AE20</f>
        <v>0</v>
      </c>
      <c r="AE63" s="171">
        <f>-TIC!AF20</f>
        <v>0</v>
      </c>
      <c r="AF63" s="171">
        <f>-TIC!AG20</f>
        <v>0</v>
      </c>
      <c r="AG63" s="171">
        <f>-TIC!AH20</f>
        <v>0</v>
      </c>
      <c r="AH63" s="171">
        <f>-TIC!AI20</f>
        <v>0</v>
      </c>
      <c r="AI63" s="171">
        <f>-TIC!AJ20</f>
        <v>0</v>
      </c>
      <c r="AJ63" s="171">
        <f>-TIC!AK20</f>
        <v>0</v>
      </c>
      <c r="AK63" s="171">
        <f>-TIC!AL20</f>
        <v>0</v>
      </c>
      <c r="AL63" s="171">
        <f>-TIC!AM20</f>
        <v>0</v>
      </c>
      <c r="AM63" s="171">
        <f>-TIC!AN20</f>
        <v>0</v>
      </c>
      <c r="AN63" s="171">
        <f>-TIC!AO20</f>
        <v>0</v>
      </c>
      <c r="AO63" s="171">
        <f>-TIC!AP20</f>
        <v>0</v>
      </c>
      <c r="AP63" s="171">
        <f>-TIC!AQ20</f>
        <v>0</v>
      </c>
      <c r="AQ63" s="171">
        <f>-TIC!AR20</f>
        <v>0</v>
      </c>
      <c r="AR63" s="171">
        <f>-TIC!AS20</f>
        <v>0</v>
      </c>
      <c r="AS63" s="171">
        <f>-TIC!AT20</f>
        <v>0</v>
      </c>
      <c r="AT63" s="171">
        <f>-TIC!AU20</f>
        <v>0</v>
      </c>
      <c r="AU63" s="171">
        <f>-TIC!AV20</f>
        <v>0</v>
      </c>
      <c r="AV63" s="171">
        <f>-TIC!AW20</f>
        <v>0</v>
      </c>
      <c r="AW63" s="171">
        <f>-TIC!AX20</f>
        <v>0</v>
      </c>
      <c r="AX63" s="171">
        <f>-TIC!AY20</f>
        <v>0</v>
      </c>
      <c r="AY63" s="171">
        <f>-TIC!AZ20</f>
        <v>0</v>
      </c>
      <c r="AZ63" s="171">
        <f>-TIC!BA20</f>
        <v>0</v>
      </c>
      <c r="BA63" s="171">
        <f>-TIC!BB20</f>
        <v>0</v>
      </c>
      <c r="BB63" s="171">
        <f>-TIC!BC20</f>
        <v>0</v>
      </c>
      <c r="BC63" s="171">
        <f>-TIC!BD20</f>
        <v>0</v>
      </c>
      <c r="BD63" s="171">
        <f>-TIC!BE20</f>
        <v>0</v>
      </c>
      <c r="BE63" s="171">
        <f>-TIC!BF20</f>
        <v>0</v>
      </c>
      <c r="BF63" s="171">
        <f>-TIC!BG20</f>
        <v>0</v>
      </c>
      <c r="BG63" s="171">
        <f>-TIC!BH20</f>
        <v>0</v>
      </c>
      <c r="BH63" s="171">
        <f>-TIC!BI20</f>
        <v>0</v>
      </c>
      <c r="BI63" s="171">
        <f>-TIC!BJ20</f>
        <v>0</v>
      </c>
      <c r="BJ63" s="171">
        <f>-TIC!BK20</f>
        <v>0</v>
      </c>
      <c r="BK63" s="171">
        <f>-TIC!BL20</f>
        <v>0</v>
      </c>
      <c r="BL63" s="171">
        <f>-TIC!BM20</f>
        <v>0</v>
      </c>
      <c r="BM63" s="171">
        <f>-TIC!BN20</f>
        <v>0</v>
      </c>
      <c r="BN63" s="171">
        <f>-TIC!BO20</f>
        <v>0</v>
      </c>
      <c r="BO63" s="171">
        <f>-TIC!BP20</f>
        <v>0</v>
      </c>
      <c r="BP63" s="171">
        <f>-TIC!BQ20</f>
        <v>0</v>
      </c>
      <c r="BQ63" s="171">
        <f>-TIC!BR20</f>
        <v>0</v>
      </c>
      <c r="BR63" s="171">
        <f>-TIC!BS20</f>
        <v>0</v>
      </c>
      <c r="BS63" s="171">
        <f>-TIC!BT20</f>
        <v>0</v>
      </c>
      <c r="BT63" s="171">
        <f>-TIC!BU20</f>
        <v>0</v>
      </c>
      <c r="BU63" s="171">
        <f>-TIC!BV20</f>
        <v>0</v>
      </c>
      <c r="BV63" s="171">
        <f>-TIC!BW20</f>
        <v>0</v>
      </c>
      <c r="BW63" s="171">
        <f>-TIC!BX20</f>
        <v>0</v>
      </c>
      <c r="BX63" s="171">
        <f>-TIC!BY20</f>
        <v>0</v>
      </c>
      <c r="BY63" s="171">
        <f>-TIC!BZ20</f>
        <v>0</v>
      </c>
      <c r="BZ63" s="171">
        <f>-TIC!CA20</f>
        <v>0</v>
      </c>
      <c r="CA63" s="171">
        <f>-TIC!CB20</f>
        <v>0</v>
      </c>
      <c r="CB63" s="171">
        <f>-TIC!CC20</f>
        <v>0</v>
      </c>
      <c r="CC63" s="171">
        <f>-TIC!CD20</f>
        <v>0</v>
      </c>
      <c r="CD63" s="171">
        <f>-TIC!CE20</f>
        <v>0</v>
      </c>
      <c r="CE63" s="171">
        <f>-TIC!CF20</f>
        <v>0</v>
      </c>
      <c r="CF63" s="171">
        <f>-TIC!CG20</f>
        <v>0</v>
      </c>
      <c r="CG63" s="171">
        <f>-TIC!CH20</f>
        <v>0</v>
      </c>
      <c r="CH63" s="171">
        <f>-TIC!CI20</f>
        <v>0</v>
      </c>
      <c r="CI63" s="171">
        <f>-TIC!CJ20</f>
        <v>0</v>
      </c>
      <c r="CJ63" s="171">
        <f>-TIC!CK20</f>
        <v>0</v>
      </c>
      <c r="CK63" s="171">
        <f>-TIC!CL20</f>
        <v>0</v>
      </c>
      <c r="CL63" s="171">
        <f>-TIC!CM20</f>
        <v>0</v>
      </c>
      <c r="CM63" s="171">
        <f>-TIC!CN20</f>
        <v>0</v>
      </c>
      <c r="CN63" s="171">
        <f>-TIC!CO20</f>
        <v>0</v>
      </c>
      <c r="CO63" s="171">
        <f>-TIC!CP20</f>
        <v>0</v>
      </c>
      <c r="CP63" s="171">
        <f>-TIC!CQ20</f>
        <v>0</v>
      </c>
      <c r="CQ63" s="171">
        <f>-TIC!CR20</f>
        <v>0</v>
      </c>
      <c r="CR63" s="171">
        <f>-TIC!CS20</f>
        <v>0</v>
      </c>
      <c r="CS63" s="171">
        <f>-TIC!CT20</f>
        <v>0</v>
      </c>
      <c r="CT63" s="171">
        <f>-TIC!CU20</f>
        <v>0</v>
      </c>
      <c r="CU63" s="171">
        <f>-TIC!CV20</f>
        <v>0</v>
      </c>
      <c r="CV63" s="171">
        <f>-TIC!CW20</f>
        <v>0</v>
      </c>
      <c r="CW63" s="171">
        <f>-TIC!CX20</f>
        <v>0</v>
      </c>
      <c r="CX63" s="171">
        <f>-TIC!CY20</f>
        <v>0</v>
      </c>
      <c r="CY63" s="171">
        <f>-TIC!CZ20</f>
        <v>0</v>
      </c>
      <c r="CZ63" s="171">
        <f>-TIC!DA20</f>
        <v>0</v>
      </c>
      <c r="DA63" s="171">
        <f>-TIC!DB20</f>
        <v>0</v>
      </c>
      <c r="DB63" s="171">
        <f>-TIC!DC20</f>
        <v>0</v>
      </c>
      <c r="DC63" s="171">
        <f>-TIC!DD20</f>
        <v>0</v>
      </c>
      <c r="DD63" s="171">
        <f>-TIC!DE20</f>
        <v>0</v>
      </c>
      <c r="DE63" s="171">
        <f>-TIC!DF20</f>
        <v>0</v>
      </c>
      <c r="DF63" s="171">
        <f>-TIC!DG20</f>
        <v>0</v>
      </c>
      <c r="DG63" s="171">
        <f>-TIC!DH20</f>
        <v>0</v>
      </c>
      <c r="DH63" s="171">
        <f>-TIC!DI20</f>
        <v>0</v>
      </c>
      <c r="DI63" s="171">
        <f>-TIC!DJ20</f>
        <v>0</v>
      </c>
      <c r="DJ63" s="171">
        <f>-TIC!DK20</f>
        <v>0</v>
      </c>
      <c r="DK63" s="171">
        <f>-TIC!DL20</f>
        <v>0</v>
      </c>
      <c r="DL63" s="171">
        <f>-TIC!DM20</f>
        <v>0</v>
      </c>
      <c r="DM63" s="171">
        <f>-TIC!DN20</f>
        <v>0</v>
      </c>
      <c r="DN63" s="171">
        <f>-TIC!DO20</f>
        <v>0</v>
      </c>
      <c r="DO63" s="171">
        <f>-TIC!DP20</f>
        <v>0</v>
      </c>
      <c r="DP63" s="171">
        <f>-TIC!DQ20</f>
        <v>0</v>
      </c>
      <c r="DQ63" s="171">
        <f>-TIC!DR20</f>
        <v>0</v>
      </c>
      <c r="DR63" s="171">
        <f>-TIC!DS20</f>
        <v>0</v>
      </c>
      <c r="DS63" s="171">
        <f>-TIC!DT20</f>
        <v>0</v>
      </c>
      <c r="DT63" s="171">
        <f>-TIC!DU20</f>
        <v>0</v>
      </c>
      <c r="DU63" s="171">
        <f>-TIC!DV20</f>
        <v>0</v>
      </c>
      <c r="DV63" s="171">
        <f>-TIC!DW20</f>
        <v>0</v>
      </c>
      <c r="DW63" s="171">
        <f>-TIC!DX20</f>
        <v>0</v>
      </c>
      <c r="DX63" s="171">
        <f>-TIC!DY20</f>
        <v>0</v>
      </c>
      <c r="DY63" s="171">
        <f>-TIC!DZ20</f>
        <v>0</v>
      </c>
      <c r="DZ63" s="171">
        <f>-TIC!EA20</f>
        <v>0</v>
      </c>
      <c r="EA63" s="171">
        <f>-TIC!EB20</f>
        <v>0</v>
      </c>
      <c r="EB63" s="171">
        <f>-TIC!EC20</f>
        <v>0</v>
      </c>
      <c r="EC63" s="171">
        <f>-TIC!ED20</f>
        <v>0</v>
      </c>
      <c r="ED63" s="171">
        <f>-TIC!EE20</f>
        <v>0</v>
      </c>
      <c r="EE63" s="171">
        <f>-TIC!EF20</f>
        <v>0</v>
      </c>
      <c r="EF63" s="171">
        <f>-TIC!EG20</f>
        <v>0</v>
      </c>
      <c r="EG63" s="171">
        <f>-TIC!EH20</f>
        <v>0</v>
      </c>
      <c r="EH63" s="171">
        <f>-TIC!EI20</f>
        <v>0</v>
      </c>
      <c r="EI63" s="171">
        <f>-TIC!EJ20</f>
        <v>0</v>
      </c>
      <c r="EJ63" s="171">
        <f>-TIC!EK20</f>
        <v>0</v>
      </c>
      <c r="EK63" s="171">
        <f>-TIC!EL20</f>
        <v>0</v>
      </c>
      <c r="EL63" s="171">
        <f>-TIC!EM20</f>
        <v>0</v>
      </c>
      <c r="EM63" s="171">
        <f>-TIC!EN20</f>
        <v>0</v>
      </c>
      <c r="EN63" s="171">
        <f>-TIC!EO20</f>
        <v>0</v>
      </c>
      <c r="EO63" s="171">
        <f>-TIC!EP20</f>
        <v>0</v>
      </c>
      <c r="EP63" s="171">
        <f>-TIC!EQ20</f>
        <v>0</v>
      </c>
      <c r="EQ63" s="171">
        <f>-TIC!ER20</f>
        <v>0</v>
      </c>
    </row>
    <row r="64" spans="2:147" ht="11.25" customHeight="1">
      <c r="B64" s="218"/>
      <c r="C64" s="163"/>
      <c r="D64" s="169" t="s">
        <v>176</v>
      </c>
      <c r="H64" s="90"/>
      <c r="I64" s="229"/>
      <c r="J64" s="171">
        <f t="shared" si="37"/>
        <v>-12578300.125132002</v>
      </c>
      <c r="K64" s="98"/>
      <c r="L64" s="171">
        <f>-TIC!M27</f>
        <v>-12578300.125132002</v>
      </c>
      <c r="M64" s="171">
        <f>-TIC!N27</f>
        <v>0</v>
      </c>
      <c r="N64" s="171">
        <f>-TIC!O27</f>
        <v>0</v>
      </c>
      <c r="O64" s="171">
        <f>-TIC!P27</f>
        <v>0</v>
      </c>
      <c r="P64" s="171">
        <f>-TIC!Q27</f>
        <v>0</v>
      </c>
      <c r="Q64" s="171">
        <f>-TIC!R27</f>
        <v>0</v>
      </c>
      <c r="R64" s="171">
        <f>-TIC!S27</f>
        <v>0</v>
      </c>
      <c r="S64" s="171">
        <f>-TIC!T27</f>
        <v>0</v>
      </c>
      <c r="T64" s="171">
        <f>-TIC!U27</f>
        <v>0</v>
      </c>
      <c r="U64" s="171">
        <f>-TIC!V27</f>
        <v>0</v>
      </c>
      <c r="V64" s="171">
        <f>-TIC!W27</f>
        <v>0</v>
      </c>
      <c r="W64" s="171">
        <f>-TIC!X27</f>
        <v>0</v>
      </c>
      <c r="X64" s="171">
        <f>-TIC!Y27</f>
        <v>0</v>
      </c>
      <c r="Y64" s="171">
        <f>-TIC!Z27</f>
        <v>0</v>
      </c>
      <c r="Z64" s="171">
        <f>-TIC!AA27</f>
        <v>0</v>
      </c>
      <c r="AA64" s="171">
        <f>-TIC!AB27</f>
        <v>0</v>
      </c>
      <c r="AB64" s="171">
        <f>-TIC!AC27</f>
        <v>0</v>
      </c>
      <c r="AC64" s="171">
        <f>-TIC!AD27</f>
        <v>0</v>
      </c>
      <c r="AD64" s="171">
        <f>-TIC!AE27</f>
        <v>0</v>
      </c>
      <c r="AE64" s="171">
        <f>-TIC!AF27</f>
        <v>0</v>
      </c>
      <c r="AF64" s="171">
        <f>-TIC!AG27</f>
        <v>0</v>
      </c>
      <c r="AG64" s="171">
        <f>-TIC!AH27</f>
        <v>0</v>
      </c>
      <c r="AH64" s="171">
        <f>-TIC!AI27</f>
        <v>0</v>
      </c>
      <c r="AI64" s="171">
        <f>-TIC!AJ27</f>
        <v>0</v>
      </c>
      <c r="AJ64" s="171">
        <f>-TIC!AK27</f>
        <v>0</v>
      </c>
      <c r="AK64" s="171">
        <f>-TIC!AL27</f>
        <v>0</v>
      </c>
      <c r="AL64" s="171">
        <f>-TIC!AM27</f>
        <v>0</v>
      </c>
      <c r="AM64" s="171">
        <f>-TIC!AN27</f>
        <v>0</v>
      </c>
      <c r="AN64" s="171">
        <f>-TIC!AO27</f>
        <v>0</v>
      </c>
      <c r="AO64" s="171">
        <f>-TIC!AP27</f>
        <v>0</v>
      </c>
      <c r="AP64" s="171">
        <f>-TIC!AQ27</f>
        <v>0</v>
      </c>
      <c r="AQ64" s="171">
        <f>-TIC!AR27</f>
        <v>0</v>
      </c>
      <c r="AR64" s="171">
        <f>-TIC!AS27</f>
        <v>0</v>
      </c>
      <c r="AS64" s="171">
        <f>-TIC!AT27</f>
        <v>0</v>
      </c>
      <c r="AT64" s="171">
        <f>-TIC!AU27</f>
        <v>0</v>
      </c>
      <c r="AU64" s="171">
        <f>-TIC!AV27</f>
        <v>0</v>
      </c>
      <c r="AV64" s="171">
        <f>-TIC!AW27</f>
        <v>0</v>
      </c>
      <c r="AW64" s="171">
        <f>-TIC!AX27</f>
        <v>0</v>
      </c>
      <c r="AX64" s="171">
        <f>-TIC!AY27</f>
        <v>0</v>
      </c>
      <c r="AY64" s="171">
        <f>-TIC!AZ27</f>
        <v>0</v>
      </c>
      <c r="AZ64" s="171">
        <f>-TIC!BA27</f>
        <v>0</v>
      </c>
      <c r="BA64" s="171">
        <f>-TIC!BB27</f>
        <v>0</v>
      </c>
      <c r="BB64" s="171">
        <f>-TIC!BC27</f>
        <v>0</v>
      </c>
      <c r="BC64" s="171">
        <f>-TIC!BD27</f>
        <v>0</v>
      </c>
      <c r="BD64" s="171">
        <f>-TIC!BE27</f>
        <v>0</v>
      </c>
      <c r="BE64" s="171">
        <f>-TIC!BF27</f>
        <v>0</v>
      </c>
      <c r="BF64" s="171">
        <f>-TIC!BG27</f>
        <v>0</v>
      </c>
      <c r="BG64" s="171">
        <f>-TIC!BH27</f>
        <v>0</v>
      </c>
      <c r="BH64" s="171">
        <f>-TIC!BI27</f>
        <v>0</v>
      </c>
      <c r="BI64" s="171">
        <f>-TIC!BJ27</f>
        <v>0</v>
      </c>
      <c r="BJ64" s="171">
        <f>-TIC!BK27</f>
        <v>0</v>
      </c>
      <c r="BK64" s="171">
        <f>-TIC!BL27</f>
        <v>0</v>
      </c>
      <c r="BL64" s="171">
        <f>-TIC!BM27</f>
        <v>0</v>
      </c>
      <c r="BM64" s="171">
        <f>-TIC!BN27</f>
        <v>0</v>
      </c>
      <c r="BN64" s="171">
        <f>-TIC!BO27</f>
        <v>0</v>
      </c>
      <c r="BO64" s="171">
        <f>-TIC!BP27</f>
        <v>0</v>
      </c>
      <c r="BP64" s="171">
        <f>-TIC!BQ27</f>
        <v>0</v>
      </c>
      <c r="BQ64" s="171">
        <f>-TIC!BR27</f>
        <v>0</v>
      </c>
      <c r="BR64" s="171">
        <f>-TIC!BS27</f>
        <v>0</v>
      </c>
      <c r="BS64" s="171">
        <f>-TIC!BT27</f>
        <v>0</v>
      </c>
      <c r="BT64" s="171">
        <f>-TIC!BU27</f>
        <v>0</v>
      </c>
      <c r="BU64" s="171">
        <f>-TIC!BV27</f>
        <v>0</v>
      </c>
      <c r="BV64" s="171">
        <f>-TIC!BW27</f>
        <v>0</v>
      </c>
      <c r="BW64" s="171">
        <f>-TIC!BX27</f>
        <v>0</v>
      </c>
      <c r="BX64" s="171">
        <f>-TIC!BY27</f>
        <v>0</v>
      </c>
      <c r="BY64" s="171">
        <f>-TIC!BZ27</f>
        <v>0</v>
      </c>
      <c r="BZ64" s="171">
        <f>-TIC!CA27</f>
        <v>0</v>
      </c>
      <c r="CA64" s="171">
        <f>-TIC!CB27</f>
        <v>0</v>
      </c>
      <c r="CB64" s="171">
        <f>-TIC!CC27</f>
        <v>0</v>
      </c>
      <c r="CC64" s="171">
        <f>-TIC!CD27</f>
        <v>0</v>
      </c>
      <c r="CD64" s="171">
        <f>-TIC!CE27</f>
        <v>0</v>
      </c>
      <c r="CE64" s="171">
        <f>-TIC!CF27</f>
        <v>0</v>
      </c>
      <c r="CF64" s="171">
        <f>-TIC!CG27</f>
        <v>0</v>
      </c>
      <c r="CG64" s="171">
        <f>-TIC!CH27</f>
        <v>0</v>
      </c>
      <c r="CH64" s="171">
        <f>-TIC!CI27</f>
        <v>0</v>
      </c>
      <c r="CI64" s="171">
        <f>-TIC!CJ27</f>
        <v>0</v>
      </c>
      <c r="CJ64" s="171">
        <f>-TIC!CK27</f>
        <v>0</v>
      </c>
      <c r="CK64" s="171">
        <f>-TIC!CL27</f>
        <v>0</v>
      </c>
      <c r="CL64" s="171">
        <f>-TIC!CM27</f>
        <v>0</v>
      </c>
      <c r="CM64" s="171">
        <f>-TIC!CN27</f>
        <v>0</v>
      </c>
      <c r="CN64" s="171">
        <f>-TIC!CO27</f>
        <v>0</v>
      </c>
      <c r="CO64" s="171">
        <f>-TIC!CP27</f>
        <v>0</v>
      </c>
      <c r="CP64" s="171">
        <f>-TIC!CQ27</f>
        <v>0</v>
      </c>
      <c r="CQ64" s="171">
        <f>-TIC!CR27</f>
        <v>0</v>
      </c>
      <c r="CR64" s="171">
        <f>-TIC!CS27</f>
        <v>0</v>
      </c>
      <c r="CS64" s="171">
        <f>-TIC!CT27</f>
        <v>0</v>
      </c>
      <c r="CT64" s="171">
        <f>-TIC!CU27</f>
        <v>0</v>
      </c>
      <c r="CU64" s="171">
        <f>-TIC!CV27</f>
        <v>0</v>
      </c>
      <c r="CV64" s="171">
        <f>-TIC!CW27</f>
        <v>0</v>
      </c>
      <c r="CW64" s="171">
        <f>-TIC!CX27</f>
        <v>0</v>
      </c>
      <c r="CX64" s="171">
        <f>-TIC!CY27</f>
        <v>0</v>
      </c>
      <c r="CY64" s="171">
        <f>-TIC!CZ27</f>
        <v>0</v>
      </c>
      <c r="CZ64" s="171">
        <f>-TIC!DA27</f>
        <v>0</v>
      </c>
      <c r="DA64" s="171">
        <f>-TIC!DB27</f>
        <v>0</v>
      </c>
      <c r="DB64" s="171">
        <f>-TIC!DC27</f>
        <v>0</v>
      </c>
      <c r="DC64" s="171">
        <f>-TIC!DD27</f>
        <v>0</v>
      </c>
      <c r="DD64" s="171">
        <f>-TIC!DE27</f>
        <v>0</v>
      </c>
      <c r="DE64" s="171">
        <f>-TIC!DF27</f>
        <v>0</v>
      </c>
      <c r="DF64" s="171">
        <f>-TIC!DG27</f>
        <v>0</v>
      </c>
      <c r="DG64" s="171">
        <f>-TIC!DH27</f>
        <v>0</v>
      </c>
      <c r="DH64" s="171">
        <f>-TIC!DI27</f>
        <v>0</v>
      </c>
      <c r="DI64" s="171">
        <f>-TIC!DJ27</f>
        <v>0</v>
      </c>
      <c r="DJ64" s="171">
        <f>-TIC!DK27</f>
        <v>0</v>
      </c>
      <c r="DK64" s="171">
        <f>-TIC!DL27</f>
        <v>0</v>
      </c>
      <c r="DL64" s="171">
        <f>-TIC!DM27</f>
        <v>0</v>
      </c>
      <c r="DM64" s="171">
        <f>-TIC!DN27</f>
        <v>0</v>
      </c>
      <c r="DN64" s="171">
        <f>-TIC!DO27</f>
        <v>0</v>
      </c>
      <c r="DO64" s="171">
        <f>-TIC!DP27</f>
        <v>0</v>
      </c>
      <c r="DP64" s="171">
        <f>-TIC!DQ27</f>
        <v>0</v>
      </c>
      <c r="DQ64" s="171">
        <f>-TIC!DR27</f>
        <v>0</v>
      </c>
      <c r="DR64" s="171">
        <f>-TIC!DS27</f>
        <v>0</v>
      </c>
      <c r="DS64" s="171">
        <f>-TIC!DT27</f>
        <v>0</v>
      </c>
      <c r="DT64" s="171">
        <f>-TIC!DU27</f>
        <v>0</v>
      </c>
      <c r="DU64" s="171">
        <f>-TIC!DV27</f>
        <v>0</v>
      </c>
      <c r="DV64" s="171">
        <f>-TIC!DW27</f>
        <v>0</v>
      </c>
      <c r="DW64" s="171">
        <f>-TIC!DX27</f>
        <v>0</v>
      </c>
      <c r="DX64" s="171">
        <f>-TIC!DY27</f>
        <v>0</v>
      </c>
      <c r="DY64" s="171">
        <f>-TIC!DZ27</f>
        <v>0</v>
      </c>
      <c r="DZ64" s="171">
        <f>-TIC!EA27</f>
        <v>0</v>
      </c>
      <c r="EA64" s="171">
        <f>-TIC!EB27</f>
        <v>0</v>
      </c>
      <c r="EB64" s="171">
        <f>-TIC!EC27</f>
        <v>0</v>
      </c>
      <c r="EC64" s="171">
        <f>-TIC!ED27</f>
        <v>0</v>
      </c>
      <c r="ED64" s="171">
        <f>-TIC!EE27</f>
        <v>0</v>
      </c>
      <c r="EE64" s="171">
        <f>-TIC!EF27</f>
        <v>0</v>
      </c>
      <c r="EF64" s="171">
        <f>-TIC!EG27</f>
        <v>0</v>
      </c>
      <c r="EG64" s="171">
        <f>-TIC!EH27</f>
        <v>0</v>
      </c>
      <c r="EH64" s="171">
        <f>-TIC!EI27</f>
        <v>0</v>
      </c>
      <c r="EI64" s="171">
        <f>-TIC!EJ27</f>
        <v>0</v>
      </c>
      <c r="EJ64" s="171">
        <f>-TIC!EK27</f>
        <v>0</v>
      </c>
      <c r="EK64" s="171">
        <f>-TIC!EL27</f>
        <v>0</v>
      </c>
      <c r="EL64" s="171">
        <f>-TIC!EM27</f>
        <v>0</v>
      </c>
      <c r="EM64" s="171">
        <f>-TIC!EN27</f>
        <v>0</v>
      </c>
      <c r="EN64" s="171">
        <f>-TIC!EO27</f>
        <v>0</v>
      </c>
      <c r="EO64" s="171">
        <f>-TIC!EP27</f>
        <v>0</v>
      </c>
      <c r="EP64" s="171">
        <f>-TIC!EQ27</f>
        <v>0</v>
      </c>
      <c r="EQ64" s="171">
        <f>-TIC!ER27</f>
        <v>0</v>
      </c>
    </row>
    <row r="65" spans="2:147" ht="11.25" customHeight="1">
      <c r="B65" s="218"/>
      <c r="C65" s="163"/>
      <c r="D65" s="169" t="s">
        <v>178</v>
      </c>
      <c r="H65" s="90"/>
      <c r="I65" s="229"/>
      <c r="J65" s="171">
        <f t="shared" si="37"/>
        <v>-4380000</v>
      </c>
      <c r="K65" s="98"/>
      <c r="L65" s="171">
        <f>-TIC!M32</f>
        <v>-4380000</v>
      </c>
      <c r="M65" s="171">
        <f>-TIC!N32</f>
        <v>0</v>
      </c>
      <c r="N65" s="171">
        <f>-TIC!O32</f>
        <v>0</v>
      </c>
      <c r="O65" s="171">
        <f>-TIC!P32</f>
        <v>0</v>
      </c>
      <c r="P65" s="171">
        <f>-TIC!Q32</f>
        <v>0</v>
      </c>
      <c r="Q65" s="171">
        <f>-TIC!R32</f>
        <v>0</v>
      </c>
      <c r="R65" s="171">
        <f>-TIC!S32</f>
        <v>0</v>
      </c>
      <c r="S65" s="171">
        <f>-TIC!T32</f>
        <v>0</v>
      </c>
      <c r="T65" s="171">
        <f>-TIC!U32</f>
        <v>0</v>
      </c>
      <c r="U65" s="171">
        <f>-TIC!V32</f>
        <v>0</v>
      </c>
      <c r="V65" s="171">
        <f>-TIC!W32</f>
        <v>0</v>
      </c>
      <c r="W65" s="171">
        <f>-TIC!X32</f>
        <v>0</v>
      </c>
      <c r="X65" s="171">
        <f>-TIC!Y32</f>
        <v>0</v>
      </c>
      <c r="Y65" s="171">
        <f>-TIC!Z32</f>
        <v>0</v>
      </c>
      <c r="Z65" s="171">
        <f>-TIC!AA32</f>
        <v>0</v>
      </c>
      <c r="AA65" s="171">
        <f>-TIC!AB32</f>
        <v>0</v>
      </c>
      <c r="AB65" s="171">
        <f>-TIC!AC32</f>
        <v>0</v>
      </c>
      <c r="AC65" s="171">
        <f>-TIC!AD32</f>
        <v>0</v>
      </c>
      <c r="AD65" s="171">
        <f>-TIC!AE32</f>
        <v>0</v>
      </c>
      <c r="AE65" s="171">
        <f>-TIC!AF32</f>
        <v>0</v>
      </c>
      <c r="AF65" s="171">
        <f>-TIC!AG32</f>
        <v>0</v>
      </c>
      <c r="AG65" s="171">
        <f>-TIC!AH32</f>
        <v>0</v>
      </c>
      <c r="AH65" s="171">
        <f>-TIC!AI32</f>
        <v>0</v>
      </c>
      <c r="AI65" s="171">
        <f>-TIC!AJ32</f>
        <v>0</v>
      </c>
      <c r="AJ65" s="171">
        <f>-TIC!AK32</f>
        <v>0</v>
      </c>
      <c r="AK65" s="171">
        <f>-TIC!AL32</f>
        <v>0</v>
      </c>
      <c r="AL65" s="171">
        <f>-TIC!AM32</f>
        <v>0</v>
      </c>
      <c r="AM65" s="171">
        <f>-TIC!AN32</f>
        <v>0</v>
      </c>
      <c r="AN65" s="171">
        <f>-TIC!AO32</f>
        <v>0</v>
      </c>
      <c r="AO65" s="171">
        <f>-TIC!AP32</f>
        <v>0</v>
      </c>
      <c r="AP65" s="171">
        <f>-TIC!AQ32</f>
        <v>0</v>
      </c>
      <c r="AQ65" s="171">
        <f>-TIC!AR32</f>
        <v>0</v>
      </c>
      <c r="AR65" s="171">
        <f>-TIC!AS32</f>
        <v>0</v>
      </c>
      <c r="AS65" s="171">
        <f>-TIC!AT32</f>
        <v>0</v>
      </c>
      <c r="AT65" s="171">
        <f>-TIC!AU32</f>
        <v>0</v>
      </c>
      <c r="AU65" s="171">
        <f>-TIC!AV32</f>
        <v>0</v>
      </c>
      <c r="AV65" s="171">
        <f>-TIC!AW32</f>
        <v>0</v>
      </c>
      <c r="AW65" s="171">
        <f>-TIC!AX32</f>
        <v>0</v>
      </c>
      <c r="AX65" s="171">
        <f>-TIC!AY32</f>
        <v>0</v>
      </c>
      <c r="AY65" s="171">
        <f>-TIC!AZ32</f>
        <v>0</v>
      </c>
      <c r="AZ65" s="171">
        <f>-TIC!BA32</f>
        <v>0</v>
      </c>
      <c r="BA65" s="171">
        <f>-TIC!BB32</f>
        <v>0</v>
      </c>
      <c r="BB65" s="171">
        <f>-TIC!BC32</f>
        <v>0</v>
      </c>
      <c r="BC65" s="171">
        <f>-TIC!BD32</f>
        <v>0</v>
      </c>
      <c r="BD65" s="171">
        <f>-TIC!BE32</f>
        <v>0</v>
      </c>
      <c r="BE65" s="171">
        <f>-TIC!BF32</f>
        <v>0</v>
      </c>
      <c r="BF65" s="171">
        <f>-TIC!BG32</f>
        <v>0</v>
      </c>
      <c r="BG65" s="171">
        <f>-TIC!BH32</f>
        <v>0</v>
      </c>
      <c r="BH65" s="171">
        <f>-TIC!BI32</f>
        <v>0</v>
      </c>
      <c r="BI65" s="171">
        <f>-TIC!BJ32</f>
        <v>0</v>
      </c>
      <c r="BJ65" s="171">
        <f>-TIC!BK32</f>
        <v>0</v>
      </c>
      <c r="BK65" s="171">
        <f>-TIC!BL32</f>
        <v>0</v>
      </c>
      <c r="BL65" s="171">
        <f>-TIC!BM32</f>
        <v>0</v>
      </c>
      <c r="BM65" s="171">
        <f>-TIC!BN32</f>
        <v>0</v>
      </c>
      <c r="BN65" s="171">
        <f>-TIC!BO32</f>
        <v>0</v>
      </c>
      <c r="BO65" s="171">
        <f>-TIC!BP32</f>
        <v>0</v>
      </c>
      <c r="BP65" s="171">
        <f>-TIC!BQ32</f>
        <v>0</v>
      </c>
      <c r="BQ65" s="171">
        <f>-TIC!BR32</f>
        <v>0</v>
      </c>
      <c r="BR65" s="171">
        <f>-TIC!BS32</f>
        <v>0</v>
      </c>
      <c r="BS65" s="171">
        <f>-TIC!BT32</f>
        <v>0</v>
      </c>
      <c r="BT65" s="171">
        <f>-TIC!BU32</f>
        <v>0</v>
      </c>
      <c r="BU65" s="171">
        <f>-TIC!BV32</f>
        <v>0</v>
      </c>
      <c r="BV65" s="171">
        <f>-TIC!BW32</f>
        <v>0</v>
      </c>
      <c r="BW65" s="171">
        <f>-TIC!BX32</f>
        <v>0</v>
      </c>
      <c r="BX65" s="171">
        <f>-TIC!BY32</f>
        <v>0</v>
      </c>
      <c r="BY65" s="171">
        <f>-TIC!BZ32</f>
        <v>0</v>
      </c>
      <c r="BZ65" s="171">
        <f>-TIC!CA32</f>
        <v>0</v>
      </c>
      <c r="CA65" s="171">
        <f>-TIC!CB32</f>
        <v>0</v>
      </c>
      <c r="CB65" s="171">
        <f>-TIC!CC32</f>
        <v>0</v>
      </c>
      <c r="CC65" s="171">
        <f>-TIC!CD32</f>
        <v>0</v>
      </c>
      <c r="CD65" s="171">
        <f>-TIC!CE32</f>
        <v>0</v>
      </c>
      <c r="CE65" s="171">
        <f>-TIC!CF32</f>
        <v>0</v>
      </c>
      <c r="CF65" s="171">
        <f>-TIC!CG32</f>
        <v>0</v>
      </c>
      <c r="CG65" s="171">
        <f>-TIC!CH32</f>
        <v>0</v>
      </c>
      <c r="CH65" s="171">
        <f>-TIC!CI32</f>
        <v>0</v>
      </c>
      <c r="CI65" s="171">
        <f>-TIC!CJ32</f>
        <v>0</v>
      </c>
      <c r="CJ65" s="171">
        <f>-TIC!CK32</f>
        <v>0</v>
      </c>
      <c r="CK65" s="171">
        <f>-TIC!CL32</f>
        <v>0</v>
      </c>
      <c r="CL65" s="171">
        <f>-TIC!CM32</f>
        <v>0</v>
      </c>
      <c r="CM65" s="171">
        <f>-TIC!CN32</f>
        <v>0</v>
      </c>
      <c r="CN65" s="171">
        <f>-TIC!CO32</f>
        <v>0</v>
      </c>
      <c r="CO65" s="171">
        <f>-TIC!CP32</f>
        <v>0</v>
      </c>
      <c r="CP65" s="171">
        <f>-TIC!CQ32</f>
        <v>0</v>
      </c>
      <c r="CQ65" s="171">
        <f>-TIC!CR32</f>
        <v>0</v>
      </c>
      <c r="CR65" s="171">
        <f>-TIC!CS32</f>
        <v>0</v>
      </c>
      <c r="CS65" s="171">
        <f>-TIC!CT32</f>
        <v>0</v>
      </c>
      <c r="CT65" s="171">
        <f>-TIC!CU32</f>
        <v>0</v>
      </c>
      <c r="CU65" s="171">
        <f>-TIC!CV32</f>
        <v>0</v>
      </c>
      <c r="CV65" s="171">
        <f>-TIC!CW32</f>
        <v>0</v>
      </c>
      <c r="CW65" s="171">
        <f>-TIC!CX32</f>
        <v>0</v>
      </c>
      <c r="CX65" s="171">
        <f>-TIC!CY32</f>
        <v>0</v>
      </c>
      <c r="CY65" s="171">
        <f>-TIC!CZ32</f>
        <v>0</v>
      </c>
      <c r="CZ65" s="171">
        <f>-TIC!DA32</f>
        <v>0</v>
      </c>
      <c r="DA65" s="171">
        <f>-TIC!DB32</f>
        <v>0</v>
      </c>
      <c r="DB65" s="171">
        <f>-TIC!DC32</f>
        <v>0</v>
      </c>
      <c r="DC65" s="171">
        <f>-TIC!DD32</f>
        <v>0</v>
      </c>
      <c r="DD65" s="171">
        <f>-TIC!DE32</f>
        <v>0</v>
      </c>
      <c r="DE65" s="171">
        <f>-TIC!DF32</f>
        <v>0</v>
      </c>
      <c r="DF65" s="171">
        <f>-TIC!DG32</f>
        <v>0</v>
      </c>
      <c r="DG65" s="171">
        <f>-TIC!DH32</f>
        <v>0</v>
      </c>
      <c r="DH65" s="171">
        <f>-TIC!DI32</f>
        <v>0</v>
      </c>
      <c r="DI65" s="171">
        <f>-TIC!DJ32</f>
        <v>0</v>
      </c>
      <c r="DJ65" s="171">
        <f>-TIC!DK32</f>
        <v>0</v>
      </c>
      <c r="DK65" s="171">
        <f>-TIC!DL32</f>
        <v>0</v>
      </c>
      <c r="DL65" s="171">
        <f>-TIC!DM32</f>
        <v>0</v>
      </c>
      <c r="DM65" s="171">
        <f>-TIC!DN32</f>
        <v>0</v>
      </c>
      <c r="DN65" s="171">
        <f>-TIC!DO32</f>
        <v>0</v>
      </c>
      <c r="DO65" s="171">
        <f>-TIC!DP32</f>
        <v>0</v>
      </c>
      <c r="DP65" s="171">
        <f>-TIC!DQ32</f>
        <v>0</v>
      </c>
      <c r="DQ65" s="171">
        <f>-TIC!DR32</f>
        <v>0</v>
      </c>
      <c r="DR65" s="171">
        <f>-TIC!DS32</f>
        <v>0</v>
      </c>
      <c r="DS65" s="171">
        <f>-TIC!DT32</f>
        <v>0</v>
      </c>
      <c r="DT65" s="171">
        <f>-TIC!DU32</f>
        <v>0</v>
      </c>
      <c r="DU65" s="171">
        <f>-TIC!DV32</f>
        <v>0</v>
      </c>
      <c r="DV65" s="171">
        <f>-TIC!DW32</f>
        <v>0</v>
      </c>
      <c r="DW65" s="171">
        <f>-TIC!DX32</f>
        <v>0</v>
      </c>
      <c r="DX65" s="171">
        <f>-TIC!DY32</f>
        <v>0</v>
      </c>
      <c r="DY65" s="171">
        <f>-TIC!DZ32</f>
        <v>0</v>
      </c>
      <c r="DZ65" s="171">
        <f>-TIC!EA32</f>
        <v>0</v>
      </c>
      <c r="EA65" s="171">
        <f>-TIC!EB32</f>
        <v>0</v>
      </c>
      <c r="EB65" s="171">
        <f>-TIC!EC32</f>
        <v>0</v>
      </c>
      <c r="EC65" s="171">
        <f>-TIC!ED32</f>
        <v>0</v>
      </c>
      <c r="ED65" s="171">
        <f>-TIC!EE32</f>
        <v>0</v>
      </c>
      <c r="EE65" s="171">
        <f>-TIC!EF32</f>
        <v>0</v>
      </c>
      <c r="EF65" s="171">
        <f>-TIC!EG32</f>
        <v>0</v>
      </c>
      <c r="EG65" s="171">
        <f>-TIC!EH32</f>
        <v>0</v>
      </c>
      <c r="EH65" s="171">
        <f>-TIC!EI32</f>
        <v>0</v>
      </c>
      <c r="EI65" s="171">
        <f>-TIC!EJ32</f>
        <v>0</v>
      </c>
      <c r="EJ65" s="171">
        <f>-TIC!EK32</f>
        <v>0</v>
      </c>
      <c r="EK65" s="171">
        <f>-TIC!EL32</f>
        <v>0</v>
      </c>
      <c r="EL65" s="171">
        <f>-TIC!EM32</f>
        <v>0</v>
      </c>
      <c r="EM65" s="171">
        <f>-TIC!EN32</f>
        <v>0</v>
      </c>
      <c r="EN65" s="171">
        <f>-TIC!EO32</f>
        <v>0</v>
      </c>
      <c r="EO65" s="171">
        <f>-TIC!EP32</f>
        <v>0</v>
      </c>
      <c r="EP65" s="171">
        <f>-TIC!EQ32</f>
        <v>0</v>
      </c>
      <c r="EQ65" s="171">
        <f>-TIC!ER32</f>
        <v>0</v>
      </c>
    </row>
    <row r="66" spans="2:147" ht="11.25" customHeight="1">
      <c r="B66" s="218"/>
      <c r="C66" s="163"/>
      <c r="D66" s="169" t="s">
        <v>77</v>
      </c>
      <c r="H66" s="90"/>
      <c r="I66" s="229"/>
      <c r="J66" s="171">
        <f t="shared" si="37"/>
        <v>-245384.77486795187</v>
      </c>
      <c r="K66" s="98"/>
      <c r="L66" s="171">
        <f>-TIC!M36</f>
        <v>-245384.77486795187</v>
      </c>
      <c r="M66" s="171">
        <f>-TIC!N36</f>
        <v>0</v>
      </c>
      <c r="N66" s="171">
        <f>-TIC!O36</f>
        <v>0</v>
      </c>
      <c r="O66" s="171">
        <f>-TIC!P36</f>
        <v>0</v>
      </c>
      <c r="P66" s="171">
        <f>-TIC!Q36</f>
        <v>0</v>
      </c>
      <c r="Q66" s="171">
        <f>-TIC!R36</f>
        <v>0</v>
      </c>
      <c r="R66" s="171">
        <f>-TIC!S36</f>
        <v>0</v>
      </c>
      <c r="S66" s="171">
        <f>-TIC!T36</f>
        <v>0</v>
      </c>
      <c r="T66" s="171">
        <f>-TIC!U36</f>
        <v>0</v>
      </c>
      <c r="U66" s="171">
        <f>-TIC!V36</f>
        <v>0</v>
      </c>
      <c r="V66" s="171">
        <f>-TIC!W36</f>
        <v>0</v>
      </c>
      <c r="W66" s="171">
        <f>-TIC!X36</f>
        <v>0</v>
      </c>
      <c r="X66" s="171">
        <f>-TIC!Y36</f>
        <v>0</v>
      </c>
      <c r="Y66" s="171">
        <f>-TIC!Z36</f>
        <v>0</v>
      </c>
      <c r="Z66" s="171">
        <f>-TIC!AA36</f>
        <v>0</v>
      </c>
      <c r="AA66" s="171">
        <f>-TIC!AB36</f>
        <v>0</v>
      </c>
      <c r="AB66" s="171">
        <f>-TIC!AC36</f>
        <v>0</v>
      </c>
      <c r="AC66" s="171">
        <f>-TIC!AD36</f>
        <v>0</v>
      </c>
      <c r="AD66" s="171">
        <f>-TIC!AE36</f>
        <v>0</v>
      </c>
      <c r="AE66" s="171">
        <f>-TIC!AF36</f>
        <v>0</v>
      </c>
      <c r="AF66" s="171">
        <f>-TIC!AG36</f>
        <v>0</v>
      </c>
      <c r="AG66" s="171">
        <f>-TIC!AH36</f>
        <v>0</v>
      </c>
      <c r="AH66" s="171">
        <f>-TIC!AI36</f>
        <v>0</v>
      </c>
      <c r="AI66" s="171">
        <f>-TIC!AJ36</f>
        <v>0</v>
      </c>
      <c r="AJ66" s="171">
        <f>-TIC!AK36</f>
        <v>0</v>
      </c>
      <c r="AK66" s="171">
        <f>-TIC!AL36</f>
        <v>0</v>
      </c>
      <c r="AL66" s="171">
        <f>-TIC!AM36</f>
        <v>0</v>
      </c>
      <c r="AM66" s="171">
        <f>-TIC!AN36</f>
        <v>0</v>
      </c>
      <c r="AN66" s="171">
        <f>-TIC!AO36</f>
        <v>0</v>
      </c>
      <c r="AO66" s="171">
        <f>-TIC!AP36</f>
        <v>0</v>
      </c>
      <c r="AP66" s="171">
        <f>-TIC!AQ36</f>
        <v>0</v>
      </c>
      <c r="AQ66" s="171">
        <f>-TIC!AR36</f>
        <v>0</v>
      </c>
      <c r="AR66" s="171">
        <f>-TIC!AS36</f>
        <v>0</v>
      </c>
      <c r="AS66" s="171">
        <f>-TIC!AT36</f>
        <v>0</v>
      </c>
      <c r="AT66" s="171">
        <f>-TIC!AU36</f>
        <v>0</v>
      </c>
      <c r="AU66" s="171">
        <f>-TIC!AV36</f>
        <v>0</v>
      </c>
      <c r="AV66" s="171">
        <f>-TIC!AW36</f>
        <v>0</v>
      </c>
      <c r="AW66" s="171">
        <f>-TIC!AX36</f>
        <v>0</v>
      </c>
      <c r="AX66" s="171">
        <f>-TIC!AY36</f>
        <v>0</v>
      </c>
      <c r="AY66" s="171">
        <f>-TIC!AZ36</f>
        <v>0</v>
      </c>
      <c r="AZ66" s="171">
        <f>-TIC!BA36</f>
        <v>0</v>
      </c>
      <c r="BA66" s="171">
        <f>-TIC!BB36</f>
        <v>0</v>
      </c>
      <c r="BB66" s="171">
        <f>-TIC!BC36</f>
        <v>0</v>
      </c>
      <c r="BC66" s="171">
        <f>-TIC!BD36</f>
        <v>0</v>
      </c>
      <c r="BD66" s="171">
        <f>-TIC!BE36</f>
        <v>0</v>
      </c>
      <c r="BE66" s="171">
        <f>-TIC!BF36</f>
        <v>0</v>
      </c>
      <c r="BF66" s="171">
        <f>-TIC!BG36</f>
        <v>0</v>
      </c>
      <c r="BG66" s="171">
        <f>-TIC!BH36</f>
        <v>0</v>
      </c>
      <c r="BH66" s="171">
        <f>-TIC!BI36</f>
        <v>0</v>
      </c>
      <c r="BI66" s="171">
        <f>-TIC!BJ36</f>
        <v>0</v>
      </c>
      <c r="BJ66" s="171">
        <f>-TIC!BK36</f>
        <v>0</v>
      </c>
      <c r="BK66" s="171">
        <f>-TIC!BL36</f>
        <v>0</v>
      </c>
      <c r="BL66" s="171">
        <f>-TIC!BM36</f>
        <v>0</v>
      </c>
      <c r="BM66" s="171">
        <f>-TIC!BN36</f>
        <v>0</v>
      </c>
      <c r="BN66" s="171">
        <f>-TIC!BO36</f>
        <v>0</v>
      </c>
      <c r="BO66" s="171">
        <f>-TIC!BP36</f>
        <v>0</v>
      </c>
      <c r="BP66" s="171">
        <f>-TIC!BQ36</f>
        <v>0</v>
      </c>
      <c r="BQ66" s="171">
        <f>-TIC!BR36</f>
        <v>0</v>
      </c>
      <c r="BR66" s="171">
        <f>-TIC!BS36</f>
        <v>0</v>
      </c>
      <c r="BS66" s="171">
        <f>-TIC!BT36</f>
        <v>0</v>
      </c>
      <c r="BT66" s="171">
        <f>-TIC!BU36</f>
        <v>0</v>
      </c>
      <c r="BU66" s="171">
        <f>-TIC!BV36</f>
        <v>0</v>
      </c>
      <c r="BV66" s="171">
        <f>-TIC!BW36</f>
        <v>0</v>
      </c>
      <c r="BW66" s="171">
        <f>-TIC!BX36</f>
        <v>0</v>
      </c>
      <c r="BX66" s="171">
        <f>-TIC!BY36</f>
        <v>0</v>
      </c>
      <c r="BY66" s="171">
        <f>-TIC!BZ36</f>
        <v>0</v>
      </c>
      <c r="BZ66" s="171">
        <f>-TIC!CA36</f>
        <v>0</v>
      </c>
      <c r="CA66" s="171">
        <f>-TIC!CB36</f>
        <v>0</v>
      </c>
      <c r="CB66" s="171">
        <f>-TIC!CC36</f>
        <v>0</v>
      </c>
      <c r="CC66" s="171">
        <f>-TIC!CD36</f>
        <v>0</v>
      </c>
      <c r="CD66" s="171">
        <f>-TIC!CE36</f>
        <v>0</v>
      </c>
      <c r="CE66" s="171">
        <f>-TIC!CF36</f>
        <v>0</v>
      </c>
      <c r="CF66" s="171">
        <f>-TIC!CG36</f>
        <v>0</v>
      </c>
      <c r="CG66" s="171">
        <f>-TIC!CH36</f>
        <v>0</v>
      </c>
      <c r="CH66" s="171">
        <f>-TIC!CI36</f>
        <v>0</v>
      </c>
      <c r="CI66" s="171">
        <f>-TIC!CJ36</f>
        <v>0</v>
      </c>
      <c r="CJ66" s="171">
        <f>-TIC!CK36</f>
        <v>0</v>
      </c>
      <c r="CK66" s="171">
        <f>-TIC!CL36</f>
        <v>0</v>
      </c>
      <c r="CL66" s="171">
        <f>-TIC!CM36</f>
        <v>0</v>
      </c>
      <c r="CM66" s="171">
        <f>-TIC!CN36</f>
        <v>0</v>
      </c>
      <c r="CN66" s="171">
        <f>-TIC!CO36</f>
        <v>0</v>
      </c>
      <c r="CO66" s="171">
        <f>-TIC!CP36</f>
        <v>0</v>
      </c>
      <c r="CP66" s="171">
        <f>-TIC!CQ36</f>
        <v>0</v>
      </c>
      <c r="CQ66" s="171">
        <f>-TIC!CR36</f>
        <v>0</v>
      </c>
      <c r="CR66" s="171">
        <f>-TIC!CS36</f>
        <v>0</v>
      </c>
      <c r="CS66" s="171">
        <f>-TIC!CT36</f>
        <v>0</v>
      </c>
      <c r="CT66" s="171">
        <f>-TIC!CU36</f>
        <v>0</v>
      </c>
      <c r="CU66" s="171">
        <f>-TIC!CV36</f>
        <v>0</v>
      </c>
      <c r="CV66" s="171">
        <f>-TIC!CW36</f>
        <v>0</v>
      </c>
      <c r="CW66" s="171">
        <f>-TIC!CX36</f>
        <v>0</v>
      </c>
      <c r="CX66" s="171">
        <f>-TIC!CY36</f>
        <v>0</v>
      </c>
      <c r="CY66" s="171">
        <f>-TIC!CZ36</f>
        <v>0</v>
      </c>
      <c r="CZ66" s="171">
        <f>-TIC!DA36</f>
        <v>0</v>
      </c>
      <c r="DA66" s="171">
        <f>-TIC!DB36</f>
        <v>0</v>
      </c>
      <c r="DB66" s="171">
        <f>-TIC!DC36</f>
        <v>0</v>
      </c>
      <c r="DC66" s="171">
        <f>-TIC!DD36</f>
        <v>0</v>
      </c>
      <c r="DD66" s="171">
        <f>-TIC!DE36</f>
        <v>0</v>
      </c>
      <c r="DE66" s="171">
        <f>-TIC!DF36</f>
        <v>0</v>
      </c>
      <c r="DF66" s="171">
        <f>-TIC!DG36</f>
        <v>0</v>
      </c>
      <c r="DG66" s="171">
        <f>-TIC!DH36</f>
        <v>0</v>
      </c>
      <c r="DH66" s="171">
        <f>-TIC!DI36</f>
        <v>0</v>
      </c>
      <c r="DI66" s="171">
        <f>-TIC!DJ36</f>
        <v>0</v>
      </c>
      <c r="DJ66" s="171">
        <f>-TIC!DK36</f>
        <v>0</v>
      </c>
      <c r="DK66" s="171">
        <f>-TIC!DL36</f>
        <v>0</v>
      </c>
      <c r="DL66" s="171">
        <f>-TIC!DM36</f>
        <v>0</v>
      </c>
      <c r="DM66" s="171">
        <f>-TIC!DN36</f>
        <v>0</v>
      </c>
      <c r="DN66" s="171">
        <f>-TIC!DO36</f>
        <v>0</v>
      </c>
      <c r="DO66" s="171">
        <f>-TIC!DP36</f>
        <v>0</v>
      </c>
      <c r="DP66" s="171">
        <f>-TIC!DQ36</f>
        <v>0</v>
      </c>
      <c r="DQ66" s="171">
        <f>-TIC!DR36</f>
        <v>0</v>
      </c>
      <c r="DR66" s="171">
        <f>-TIC!DS36</f>
        <v>0</v>
      </c>
      <c r="DS66" s="171">
        <f>-TIC!DT36</f>
        <v>0</v>
      </c>
      <c r="DT66" s="171">
        <f>-TIC!DU36</f>
        <v>0</v>
      </c>
      <c r="DU66" s="171">
        <f>-TIC!DV36</f>
        <v>0</v>
      </c>
      <c r="DV66" s="171">
        <f>-TIC!DW36</f>
        <v>0</v>
      </c>
      <c r="DW66" s="171">
        <f>-TIC!DX36</f>
        <v>0</v>
      </c>
      <c r="DX66" s="171">
        <f>-TIC!DY36</f>
        <v>0</v>
      </c>
      <c r="DY66" s="171">
        <f>-TIC!DZ36</f>
        <v>0</v>
      </c>
      <c r="DZ66" s="171">
        <f>-TIC!EA36</f>
        <v>0</v>
      </c>
      <c r="EA66" s="171">
        <f>-TIC!EB36</f>
        <v>0</v>
      </c>
      <c r="EB66" s="171">
        <f>-TIC!EC36</f>
        <v>0</v>
      </c>
      <c r="EC66" s="171">
        <f>-TIC!ED36</f>
        <v>0</v>
      </c>
      <c r="ED66" s="171">
        <f>-TIC!EE36</f>
        <v>0</v>
      </c>
      <c r="EE66" s="171">
        <f>-TIC!EF36</f>
        <v>0</v>
      </c>
      <c r="EF66" s="171">
        <f>-TIC!EG36</f>
        <v>0</v>
      </c>
      <c r="EG66" s="171">
        <f>-TIC!EH36</f>
        <v>0</v>
      </c>
      <c r="EH66" s="171">
        <f>-TIC!EI36</f>
        <v>0</v>
      </c>
      <c r="EI66" s="171">
        <f>-TIC!EJ36</f>
        <v>0</v>
      </c>
      <c r="EJ66" s="171">
        <f>-TIC!EK36</f>
        <v>0</v>
      </c>
      <c r="EK66" s="171">
        <f>-TIC!EL36</f>
        <v>0</v>
      </c>
      <c r="EL66" s="171">
        <f>-TIC!EM36</f>
        <v>0</v>
      </c>
      <c r="EM66" s="171">
        <f>-TIC!EN36</f>
        <v>0</v>
      </c>
      <c r="EN66" s="171">
        <f>-TIC!EO36</f>
        <v>0</v>
      </c>
      <c r="EO66" s="171">
        <f>-TIC!EP36</f>
        <v>0</v>
      </c>
      <c r="EP66" s="171">
        <f>-TIC!EQ36</f>
        <v>0</v>
      </c>
      <c r="EQ66" s="171">
        <f>-TIC!ER36</f>
        <v>0</v>
      </c>
    </row>
    <row r="67" spans="2:147" ht="11.25" customHeight="1">
      <c r="B67" s="223" t="s">
        <v>204</v>
      </c>
      <c r="C67" s="224"/>
      <c r="D67" s="224"/>
      <c r="E67" s="224"/>
      <c r="F67" s="224"/>
      <c r="G67" s="224"/>
      <c r="H67" s="225"/>
      <c r="I67" s="226"/>
      <c r="J67" s="227">
        <f ca="1">SUM(J68,J71,J92,J110,J95,J89,J80,J74,J77,J83,J86,J115,J100,J105)</f>
        <v>-114248066.68783468</v>
      </c>
      <c r="L67" s="216">
        <f ca="1">SUM(L68,L71,L92,L110,L95,L89,L80,L74,L77,L83,L86,L115,L100,L105)</f>
        <v>311756669.63053203</v>
      </c>
      <c r="M67" s="216">
        <f t="shared" ref="M67:BX67" ca="1" si="38">SUM(M68,M71,M92,M110,M95,M89,M80,M74,M77,M83,M86,M115,M100,M105)</f>
        <v>0</v>
      </c>
      <c r="N67" s="216">
        <f t="shared" ca="1" si="38"/>
        <v>0</v>
      </c>
      <c r="O67" s="216">
        <f t="shared" ca="1" si="38"/>
        <v>-12856669.630531998</v>
      </c>
      <c r="P67" s="216">
        <f t="shared" ca="1" si="38"/>
        <v>0</v>
      </c>
      <c r="Q67" s="216">
        <f t="shared" ca="1" si="38"/>
        <v>0</v>
      </c>
      <c r="R67" s="216">
        <f t="shared" ca="1" si="38"/>
        <v>-3270000</v>
      </c>
      <c r="S67" s="216">
        <f t="shared" ca="1" si="38"/>
        <v>0</v>
      </c>
      <c r="T67" s="216">
        <f t="shared" ca="1" si="38"/>
        <v>0</v>
      </c>
      <c r="U67" s="216">
        <f t="shared" ca="1" si="38"/>
        <v>0</v>
      </c>
      <c r="V67" s="216">
        <f t="shared" ca="1" si="38"/>
        <v>0</v>
      </c>
      <c r="W67" s="216">
        <f t="shared" ca="1" si="38"/>
        <v>0</v>
      </c>
      <c r="X67" s="216">
        <f t="shared" ca="1" si="38"/>
        <v>-3270000</v>
      </c>
      <c r="Y67" s="216">
        <f t="shared" ca="1" si="38"/>
        <v>0</v>
      </c>
      <c r="Z67" s="216">
        <f t="shared" ca="1" si="38"/>
        <v>0</v>
      </c>
      <c r="AA67" s="216">
        <f t="shared" ca="1" si="38"/>
        <v>0</v>
      </c>
      <c r="AB67" s="216">
        <f t="shared" ca="1" si="38"/>
        <v>0</v>
      </c>
      <c r="AC67" s="216">
        <f t="shared" ca="1" si="38"/>
        <v>0</v>
      </c>
      <c r="AD67" s="216">
        <f t="shared" ca="1" si="38"/>
        <v>-2715000</v>
      </c>
      <c r="AE67" s="216">
        <f t="shared" ca="1" si="38"/>
        <v>0</v>
      </c>
      <c r="AF67" s="216">
        <f t="shared" ca="1" si="38"/>
        <v>0</v>
      </c>
      <c r="AG67" s="216">
        <f t="shared" ca="1" si="38"/>
        <v>0</v>
      </c>
      <c r="AH67" s="216">
        <f t="shared" ca="1" si="38"/>
        <v>0</v>
      </c>
      <c r="AI67" s="216">
        <f t="shared" ca="1" si="38"/>
        <v>0</v>
      </c>
      <c r="AJ67" s="216">
        <f t="shared" ca="1" si="38"/>
        <v>2285000</v>
      </c>
      <c r="AK67" s="216">
        <f t="shared" ca="1" si="38"/>
        <v>0</v>
      </c>
      <c r="AL67" s="216">
        <f t="shared" ca="1" si="38"/>
        <v>0</v>
      </c>
      <c r="AM67" s="216">
        <f t="shared" ca="1" si="38"/>
        <v>0</v>
      </c>
      <c r="AN67" s="216">
        <f t="shared" ca="1" si="38"/>
        <v>0</v>
      </c>
      <c r="AO67" s="216">
        <f t="shared" ca="1" si="38"/>
        <v>0</v>
      </c>
      <c r="AP67" s="216">
        <f t="shared" ca="1" si="38"/>
        <v>-2715000</v>
      </c>
      <c r="AQ67" s="216">
        <f t="shared" ca="1" si="38"/>
        <v>0</v>
      </c>
      <c r="AR67" s="216">
        <f t="shared" ca="1" si="38"/>
        <v>0</v>
      </c>
      <c r="AS67" s="216">
        <f t="shared" ca="1" si="38"/>
        <v>0</v>
      </c>
      <c r="AT67" s="216">
        <f t="shared" ca="1" si="38"/>
        <v>0</v>
      </c>
      <c r="AU67" s="216">
        <f t="shared" ca="1" si="38"/>
        <v>0</v>
      </c>
      <c r="AV67" s="216">
        <f t="shared" ca="1" si="38"/>
        <v>-2715000</v>
      </c>
      <c r="AW67" s="216">
        <f t="shared" ca="1" si="38"/>
        <v>0</v>
      </c>
      <c r="AX67" s="216">
        <f t="shared" ca="1" si="38"/>
        <v>0</v>
      </c>
      <c r="AY67" s="216">
        <f t="shared" ca="1" si="38"/>
        <v>0</v>
      </c>
      <c r="AZ67" s="216">
        <f t="shared" ca="1" si="38"/>
        <v>0</v>
      </c>
      <c r="BA67" s="216">
        <f t="shared" ca="1" si="38"/>
        <v>0</v>
      </c>
      <c r="BB67" s="216">
        <f t="shared" ca="1" si="38"/>
        <v>-2602472.0129412687</v>
      </c>
      <c r="BC67" s="216">
        <f t="shared" ca="1" si="38"/>
        <v>0</v>
      </c>
      <c r="BD67" s="216">
        <f t="shared" ca="1" si="38"/>
        <v>0</v>
      </c>
      <c r="BE67" s="216">
        <f t="shared" ca="1" si="38"/>
        <v>0</v>
      </c>
      <c r="BF67" s="216">
        <f t="shared" ca="1" si="38"/>
        <v>0</v>
      </c>
      <c r="BG67" s="216">
        <f t="shared" ca="1" si="38"/>
        <v>0</v>
      </c>
      <c r="BH67" s="216">
        <f t="shared" ca="1" si="38"/>
        <v>-2353291.9989280105</v>
      </c>
      <c r="BI67" s="216">
        <f t="shared" ca="1" si="38"/>
        <v>0</v>
      </c>
      <c r="BJ67" s="216">
        <f t="shared" ca="1" si="38"/>
        <v>0</v>
      </c>
      <c r="BK67" s="216">
        <f t="shared" ca="1" si="38"/>
        <v>0</v>
      </c>
      <c r="BL67" s="216">
        <f t="shared" ca="1" si="38"/>
        <v>0</v>
      </c>
      <c r="BM67" s="216">
        <f t="shared" ca="1" si="38"/>
        <v>0</v>
      </c>
      <c r="BN67" s="216">
        <f t="shared" ca="1" si="38"/>
        <v>-2105541.4966859473</v>
      </c>
      <c r="BO67" s="216">
        <f t="shared" ca="1" si="38"/>
        <v>0</v>
      </c>
      <c r="BP67" s="216">
        <f t="shared" ca="1" si="38"/>
        <v>0</v>
      </c>
      <c r="BQ67" s="216">
        <f t="shared" ca="1" si="38"/>
        <v>0</v>
      </c>
      <c r="BR67" s="216">
        <f t="shared" ca="1" si="38"/>
        <v>0</v>
      </c>
      <c r="BS67" s="216">
        <f t="shared" ca="1" si="38"/>
        <v>0</v>
      </c>
      <c r="BT67" s="216">
        <f t="shared" ca="1" si="38"/>
        <v>-2562478.4355854392</v>
      </c>
      <c r="BU67" s="216">
        <f t="shared" ca="1" si="38"/>
        <v>0</v>
      </c>
      <c r="BV67" s="216">
        <f t="shared" ca="1" si="38"/>
        <v>0</v>
      </c>
      <c r="BW67" s="216">
        <f t="shared" ca="1" si="38"/>
        <v>0</v>
      </c>
      <c r="BX67" s="216">
        <f t="shared" ca="1" si="38"/>
        <v>0</v>
      </c>
      <c r="BY67" s="216">
        <f t="shared" ref="BY67:EJ67" ca="1" si="39">SUM(BY68,BY71,BY92,BY110,BY95,BY89,BY80,BY74,BY77,BY83,BY86,BY115,BY100,BY105)</f>
        <v>0</v>
      </c>
      <c r="BZ67" s="216">
        <f t="shared" ca="1" si="39"/>
        <v>-2645647.7403300544</v>
      </c>
      <c r="CA67" s="216">
        <f t="shared" ca="1" si="39"/>
        <v>0</v>
      </c>
      <c r="CB67" s="216">
        <f t="shared" ca="1" si="39"/>
        <v>0</v>
      </c>
      <c r="CC67" s="216">
        <f t="shared" ca="1" si="39"/>
        <v>0</v>
      </c>
      <c r="CD67" s="216">
        <f t="shared" ca="1" si="39"/>
        <v>0</v>
      </c>
      <c r="CE67" s="216">
        <f t="shared" ca="1" si="39"/>
        <v>0</v>
      </c>
      <c r="CF67" s="216">
        <f t="shared" ca="1" si="39"/>
        <v>-3098497.3462193981</v>
      </c>
      <c r="CG67" s="216">
        <f t="shared" ca="1" si="39"/>
        <v>0</v>
      </c>
      <c r="CH67" s="216">
        <f t="shared" ca="1" si="39"/>
        <v>0</v>
      </c>
      <c r="CI67" s="216">
        <f t="shared" ca="1" si="39"/>
        <v>0</v>
      </c>
      <c r="CJ67" s="216">
        <f t="shared" ca="1" si="39"/>
        <v>0</v>
      </c>
      <c r="CK67" s="216">
        <f t="shared" ca="1" si="39"/>
        <v>0</v>
      </c>
      <c r="CL67" s="216">
        <f t="shared" ca="1" si="39"/>
        <v>-2871213.1788212531</v>
      </c>
      <c r="CM67" s="216">
        <f t="shared" ca="1" si="39"/>
        <v>0</v>
      </c>
      <c r="CN67" s="216">
        <f t="shared" ca="1" si="39"/>
        <v>0</v>
      </c>
      <c r="CO67" s="216">
        <f t="shared" ca="1" si="39"/>
        <v>0</v>
      </c>
      <c r="CP67" s="216">
        <f t="shared" ca="1" si="39"/>
        <v>0</v>
      </c>
      <c r="CQ67" s="216">
        <f t="shared" ca="1" si="39"/>
        <v>0</v>
      </c>
      <c r="CR67" s="216">
        <f t="shared" ca="1" si="39"/>
        <v>-3320274.6567853596</v>
      </c>
      <c r="CS67" s="216">
        <f t="shared" ca="1" si="39"/>
        <v>0</v>
      </c>
      <c r="CT67" s="216">
        <f t="shared" ca="1" si="39"/>
        <v>0</v>
      </c>
      <c r="CU67" s="216">
        <f t="shared" ca="1" si="39"/>
        <v>0</v>
      </c>
      <c r="CV67" s="216">
        <f t="shared" ca="1" si="39"/>
        <v>0</v>
      </c>
      <c r="CW67" s="216">
        <f t="shared" ca="1" si="39"/>
        <v>0</v>
      </c>
      <c r="CX67" s="216">
        <f t="shared" ca="1" si="39"/>
        <v>-2875583.1337032691</v>
      </c>
      <c r="CY67" s="216">
        <f t="shared" ca="1" si="39"/>
        <v>0</v>
      </c>
      <c r="CZ67" s="216">
        <f t="shared" ca="1" si="39"/>
        <v>0</v>
      </c>
      <c r="DA67" s="216">
        <f t="shared" ca="1" si="39"/>
        <v>0</v>
      </c>
      <c r="DB67" s="216">
        <f t="shared" ca="1" si="39"/>
        <v>0</v>
      </c>
      <c r="DC67" s="216">
        <f t="shared" ca="1" si="39"/>
        <v>0</v>
      </c>
      <c r="DD67" s="216">
        <f t="shared" ca="1" si="39"/>
        <v>-2715000</v>
      </c>
      <c r="DE67" s="216">
        <f t="shared" ca="1" si="39"/>
        <v>0</v>
      </c>
      <c r="DF67" s="216">
        <f t="shared" ca="1" si="39"/>
        <v>0</v>
      </c>
      <c r="DG67" s="216">
        <f t="shared" ca="1" si="39"/>
        <v>0</v>
      </c>
      <c r="DH67" s="216">
        <f t="shared" ca="1" si="39"/>
        <v>0</v>
      </c>
      <c r="DI67" s="216">
        <f t="shared" ca="1" si="39"/>
        <v>0</v>
      </c>
      <c r="DJ67" s="216">
        <f t="shared" ca="1" si="39"/>
        <v>-2715000</v>
      </c>
      <c r="DK67" s="216">
        <f t="shared" ca="1" si="39"/>
        <v>0</v>
      </c>
      <c r="DL67" s="216">
        <f t="shared" ca="1" si="39"/>
        <v>0</v>
      </c>
      <c r="DM67" s="216">
        <f t="shared" ca="1" si="39"/>
        <v>0</v>
      </c>
      <c r="DN67" s="216">
        <f t="shared" ca="1" si="39"/>
        <v>0</v>
      </c>
      <c r="DO67" s="216">
        <f t="shared" ca="1" si="39"/>
        <v>0</v>
      </c>
      <c r="DP67" s="216">
        <f t="shared" ca="1" si="39"/>
        <v>-2715000</v>
      </c>
      <c r="DQ67" s="216">
        <f t="shared" ca="1" si="39"/>
        <v>0</v>
      </c>
      <c r="DR67" s="216">
        <f t="shared" ca="1" si="39"/>
        <v>0</v>
      </c>
      <c r="DS67" s="216">
        <f t="shared" ca="1" si="39"/>
        <v>0</v>
      </c>
      <c r="DT67" s="216">
        <f t="shared" ca="1" si="39"/>
        <v>0</v>
      </c>
      <c r="DU67" s="216">
        <f t="shared" ca="1" si="39"/>
        <v>0</v>
      </c>
      <c r="DV67" s="216">
        <f t="shared" ca="1" si="39"/>
        <v>-2715000</v>
      </c>
      <c r="DW67" s="216">
        <f t="shared" ca="1" si="39"/>
        <v>0</v>
      </c>
      <c r="DX67" s="216">
        <f t="shared" ca="1" si="39"/>
        <v>0</v>
      </c>
      <c r="DY67" s="216">
        <f t="shared" ca="1" si="39"/>
        <v>0</v>
      </c>
      <c r="DZ67" s="216">
        <f t="shared" ca="1" si="39"/>
        <v>0</v>
      </c>
      <c r="EA67" s="216">
        <f t="shared" ca="1" si="39"/>
        <v>0</v>
      </c>
      <c r="EB67" s="216">
        <f t="shared" ca="1" si="39"/>
        <v>-365453066.68783468</v>
      </c>
      <c r="EC67" s="216">
        <f t="shared" ca="1" si="39"/>
        <v>0</v>
      </c>
      <c r="ED67" s="216">
        <f t="shared" ca="1" si="39"/>
        <v>0</v>
      </c>
      <c r="EE67" s="216">
        <f t="shared" ca="1" si="39"/>
        <v>0</v>
      </c>
      <c r="EF67" s="216">
        <f t="shared" ca="1" si="39"/>
        <v>0</v>
      </c>
      <c r="EG67" s="216">
        <f t="shared" ca="1" si="39"/>
        <v>0</v>
      </c>
      <c r="EH67" s="216">
        <f t="shared" ca="1" si="39"/>
        <v>0</v>
      </c>
      <c r="EI67" s="216">
        <f t="shared" ca="1" si="39"/>
        <v>0</v>
      </c>
      <c r="EJ67" s="216">
        <f t="shared" ca="1" si="39"/>
        <v>0</v>
      </c>
      <c r="EK67" s="216">
        <f t="shared" ref="EK67:EQ67" ca="1" si="40">SUM(EK68,EK71,EK92,EK110,EK95,EK89,EK80,EK74,EK77,EK83,EK86,EK115,EK100,EK105)</f>
        <v>0</v>
      </c>
      <c r="EL67" s="216">
        <f t="shared" ca="1" si="40"/>
        <v>0</v>
      </c>
      <c r="EM67" s="216">
        <f t="shared" ca="1" si="40"/>
        <v>0</v>
      </c>
      <c r="EN67" s="216">
        <f t="shared" ca="1" si="40"/>
        <v>0</v>
      </c>
      <c r="EO67" s="216">
        <f t="shared" ca="1" si="40"/>
        <v>0</v>
      </c>
      <c r="EP67" s="216">
        <f t="shared" ca="1" si="40"/>
        <v>0</v>
      </c>
      <c r="EQ67" s="216">
        <f t="shared" ca="1" si="40"/>
        <v>0</v>
      </c>
    </row>
    <row r="68" spans="2:147" ht="11.25" customHeight="1">
      <c r="B68" s="218"/>
      <c r="C68" s="158" t="s">
        <v>205</v>
      </c>
      <c r="D68" s="159"/>
      <c r="E68" s="159"/>
      <c r="F68" s="159"/>
      <c r="G68" s="159"/>
      <c r="H68" s="160"/>
      <c r="I68" s="219"/>
      <c r="J68" s="220">
        <f>SUM(J69:J70)</f>
        <v>0</v>
      </c>
      <c r="K68" s="98"/>
      <c r="L68" s="162">
        <f>SUM(L69:L70)</f>
        <v>2100000</v>
      </c>
      <c r="M68" s="162">
        <f t="shared" ref="M68:BX68" si="41">SUM(M69:M70)</f>
        <v>0</v>
      </c>
      <c r="N68" s="162">
        <f t="shared" si="41"/>
        <v>0</v>
      </c>
      <c r="O68" s="162">
        <f t="shared" si="41"/>
        <v>0</v>
      </c>
      <c r="P68" s="162">
        <f t="shared" si="41"/>
        <v>0</v>
      </c>
      <c r="Q68" s="162">
        <f t="shared" si="41"/>
        <v>0</v>
      </c>
      <c r="R68" s="162">
        <f t="shared" si="41"/>
        <v>0</v>
      </c>
      <c r="S68" s="162">
        <f t="shared" si="41"/>
        <v>0</v>
      </c>
      <c r="T68" s="162">
        <f t="shared" si="41"/>
        <v>0</v>
      </c>
      <c r="U68" s="162">
        <f t="shared" si="41"/>
        <v>0</v>
      </c>
      <c r="V68" s="162">
        <f t="shared" si="41"/>
        <v>0</v>
      </c>
      <c r="W68" s="162">
        <f t="shared" si="41"/>
        <v>0</v>
      </c>
      <c r="X68" s="162">
        <f t="shared" si="41"/>
        <v>0</v>
      </c>
      <c r="Y68" s="162">
        <f t="shared" si="41"/>
        <v>0</v>
      </c>
      <c r="Z68" s="162">
        <f t="shared" si="41"/>
        <v>0</v>
      </c>
      <c r="AA68" s="162">
        <f t="shared" si="41"/>
        <v>0</v>
      </c>
      <c r="AB68" s="162">
        <f t="shared" si="41"/>
        <v>0</v>
      </c>
      <c r="AC68" s="162">
        <f t="shared" si="41"/>
        <v>0</v>
      </c>
      <c r="AD68" s="162">
        <f t="shared" si="41"/>
        <v>0</v>
      </c>
      <c r="AE68" s="162">
        <f t="shared" si="41"/>
        <v>0</v>
      </c>
      <c r="AF68" s="162">
        <f t="shared" si="41"/>
        <v>0</v>
      </c>
      <c r="AG68" s="162">
        <f t="shared" si="41"/>
        <v>0</v>
      </c>
      <c r="AH68" s="162">
        <f t="shared" si="41"/>
        <v>0</v>
      </c>
      <c r="AI68" s="162">
        <f t="shared" si="41"/>
        <v>0</v>
      </c>
      <c r="AJ68" s="162">
        <f t="shared" si="41"/>
        <v>0</v>
      </c>
      <c r="AK68" s="162">
        <f t="shared" si="41"/>
        <v>0</v>
      </c>
      <c r="AL68" s="162">
        <f t="shared" si="41"/>
        <v>0</v>
      </c>
      <c r="AM68" s="162">
        <f t="shared" si="41"/>
        <v>0</v>
      </c>
      <c r="AN68" s="162">
        <f t="shared" si="41"/>
        <v>0</v>
      </c>
      <c r="AO68" s="162">
        <f t="shared" si="41"/>
        <v>0</v>
      </c>
      <c r="AP68" s="162">
        <f t="shared" si="41"/>
        <v>0</v>
      </c>
      <c r="AQ68" s="162">
        <f t="shared" si="41"/>
        <v>0</v>
      </c>
      <c r="AR68" s="162">
        <f t="shared" si="41"/>
        <v>0</v>
      </c>
      <c r="AS68" s="162">
        <f t="shared" si="41"/>
        <v>0</v>
      </c>
      <c r="AT68" s="162">
        <f t="shared" si="41"/>
        <v>0</v>
      </c>
      <c r="AU68" s="162">
        <f t="shared" si="41"/>
        <v>0</v>
      </c>
      <c r="AV68" s="162">
        <f t="shared" si="41"/>
        <v>0</v>
      </c>
      <c r="AW68" s="162">
        <f t="shared" si="41"/>
        <v>0</v>
      </c>
      <c r="AX68" s="162">
        <f t="shared" si="41"/>
        <v>0</v>
      </c>
      <c r="AY68" s="162">
        <f t="shared" si="41"/>
        <v>0</v>
      </c>
      <c r="AZ68" s="162">
        <f t="shared" si="41"/>
        <v>0</v>
      </c>
      <c r="BA68" s="162">
        <f t="shared" si="41"/>
        <v>0</v>
      </c>
      <c r="BB68" s="162">
        <f t="shared" si="41"/>
        <v>0</v>
      </c>
      <c r="BC68" s="162">
        <f t="shared" si="41"/>
        <v>0</v>
      </c>
      <c r="BD68" s="162">
        <f t="shared" si="41"/>
        <v>0</v>
      </c>
      <c r="BE68" s="162">
        <f t="shared" si="41"/>
        <v>0</v>
      </c>
      <c r="BF68" s="162">
        <f t="shared" si="41"/>
        <v>0</v>
      </c>
      <c r="BG68" s="162">
        <f t="shared" si="41"/>
        <v>0</v>
      </c>
      <c r="BH68" s="162">
        <f t="shared" si="41"/>
        <v>0</v>
      </c>
      <c r="BI68" s="162">
        <f t="shared" si="41"/>
        <v>0</v>
      </c>
      <c r="BJ68" s="162">
        <f t="shared" si="41"/>
        <v>0</v>
      </c>
      <c r="BK68" s="162">
        <f t="shared" si="41"/>
        <v>0</v>
      </c>
      <c r="BL68" s="162">
        <f t="shared" si="41"/>
        <v>0</v>
      </c>
      <c r="BM68" s="162">
        <f t="shared" si="41"/>
        <v>0</v>
      </c>
      <c r="BN68" s="162">
        <f t="shared" si="41"/>
        <v>0</v>
      </c>
      <c r="BO68" s="162">
        <f t="shared" si="41"/>
        <v>0</v>
      </c>
      <c r="BP68" s="162">
        <f t="shared" si="41"/>
        <v>0</v>
      </c>
      <c r="BQ68" s="162">
        <f t="shared" si="41"/>
        <v>0</v>
      </c>
      <c r="BR68" s="162">
        <f t="shared" si="41"/>
        <v>0</v>
      </c>
      <c r="BS68" s="162">
        <f t="shared" si="41"/>
        <v>0</v>
      </c>
      <c r="BT68" s="162">
        <f t="shared" si="41"/>
        <v>0</v>
      </c>
      <c r="BU68" s="162">
        <f t="shared" si="41"/>
        <v>0</v>
      </c>
      <c r="BV68" s="162">
        <f t="shared" si="41"/>
        <v>0</v>
      </c>
      <c r="BW68" s="162">
        <f t="shared" si="41"/>
        <v>0</v>
      </c>
      <c r="BX68" s="162">
        <f t="shared" si="41"/>
        <v>0</v>
      </c>
      <c r="BY68" s="162">
        <f t="shared" ref="BY68:DP68" si="42">SUM(BY69:BY70)</f>
        <v>0</v>
      </c>
      <c r="BZ68" s="162">
        <f t="shared" si="42"/>
        <v>0</v>
      </c>
      <c r="CA68" s="162">
        <f t="shared" si="42"/>
        <v>0</v>
      </c>
      <c r="CB68" s="162">
        <f t="shared" si="42"/>
        <v>0</v>
      </c>
      <c r="CC68" s="162">
        <f t="shared" si="42"/>
        <v>0</v>
      </c>
      <c r="CD68" s="162">
        <f t="shared" si="42"/>
        <v>0</v>
      </c>
      <c r="CE68" s="162">
        <f t="shared" si="42"/>
        <v>0</v>
      </c>
      <c r="CF68" s="162">
        <f t="shared" si="42"/>
        <v>0</v>
      </c>
      <c r="CG68" s="162">
        <f t="shared" si="42"/>
        <v>0</v>
      </c>
      <c r="CH68" s="162">
        <f t="shared" si="42"/>
        <v>0</v>
      </c>
      <c r="CI68" s="162">
        <f t="shared" si="42"/>
        <v>0</v>
      </c>
      <c r="CJ68" s="162">
        <f t="shared" si="42"/>
        <v>0</v>
      </c>
      <c r="CK68" s="162">
        <f t="shared" si="42"/>
        <v>0</v>
      </c>
      <c r="CL68" s="162">
        <f t="shared" si="42"/>
        <v>0</v>
      </c>
      <c r="CM68" s="162">
        <f t="shared" si="42"/>
        <v>0</v>
      </c>
      <c r="CN68" s="162">
        <f t="shared" si="42"/>
        <v>0</v>
      </c>
      <c r="CO68" s="162">
        <f t="shared" si="42"/>
        <v>0</v>
      </c>
      <c r="CP68" s="162">
        <f t="shared" si="42"/>
        <v>0</v>
      </c>
      <c r="CQ68" s="162">
        <f t="shared" si="42"/>
        <v>0</v>
      </c>
      <c r="CR68" s="162">
        <f t="shared" si="42"/>
        <v>0</v>
      </c>
      <c r="CS68" s="162">
        <f t="shared" si="42"/>
        <v>0</v>
      </c>
      <c r="CT68" s="162">
        <f t="shared" si="42"/>
        <v>0</v>
      </c>
      <c r="CU68" s="162">
        <f t="shared" si="42"/>
        <v>0</v>
      </c>
      <c r="CV68" s="162">
        <f t="shared" si="42"/>
        <v>0</v>
      </c>
      <c r="CW68" s="162">
        <f t="shared" si="42"/>
        <v>0</v>
      </c>
      <c r="CX68" s="162">
        <f t="shared" si="42"/>
        <v>0</v>
      </c>
      <c r="CY68" s="162">
        <f t="shared" si="42"/>
        <v>0</v>
      </c>
      <c r="CZ68" s="162">
        <f t="shared" si="42"/>
        <v>0</v>
      </c>
      <c r="DA68" s="162">
        <f t="shared" si="42"/>
        <v>0</v>
      </c>
      <c r="DB68" s="162">
        <f t="shared" si="42"/>
        <v>0</v>
      </c>
      <c r="DC68" s="162">
        <f t="shared" si="42"/>
        <v>0</v>
      </c>
      <c r="DD68" s="162">
        <f t="shared" si="42"/>
        <v>0</v>
      </c>
      <c r="DE68" s="162">
        <f t="shared" si="42"/>
        <v>0</v>
      </c>
      <c r="DF68" s="162">
        <f t="shared" si="42"/>
        <v>0</v>
      </c>
      <c r="DG68" s="162">
        <f t="shared" si="42"/>
        <v>0</v>
      </c>
      <c r="DH68" s="162">
        <f t="shared" si="42"/>
        <v>0</v>
      </c>
      <c r="DI68" s="162">
        <f t="shared" si="42"/>
        <v>0</v>
      </c>
      <c r="DJ68" s="162">
        <f t="shared" si="42"/>
        <v>0</v>
      </c>
      <c r="DK68" s="162">
        <f t="shared" si="42"/>
        <v>0</v>
      </c>
      <c r="DL68" s="162">
        <f t="shared" si="42"/>
        <v>0</v>
      </c>
      <c r="DM68" s="162">
        <f t="shared" si="42"/>
        <v>0</v>
      </c>
      <c r="DN68" s="162">
        <f t="shared" si="42"/>
        <v>0</v>
      </c>
      <c r="DO68" s="162">
        <f t="shared" si="42"/>
        <v>0</v>
      </c>
      <c r="DP68" s="162">
        <f t="shared" si="42"/>
        <v>0</v>
      </c>
      <c r="DQ68" s="162">
        <f t="shared" ref="DQ68:EQ68" si="43">SUM(DQ69:DQ70)</f>
        <v>0</v>
      </c>
      <c r="DR68" s="162">
        <f t="shared" si="43"/>
        <v>0</v>
      </c>
      <c r="DS68" s="162">
        <f t="shared" si="43"/>
        <v>0</v>
      </c>
      <c r="DT68" s="162">
        <f t="shared" si="43"/>
        <v>0</v>
      </c>
      <c r="DU68" s="162">
        <f t="shared" si="43"/>
        <v>0</v>
      </c>
      <c r="DV68" s="162">
        <f t="shared" si="43"/>
        <v>0</v>
      </c>
      <c r="DW68" s="162">
        <f t="shared" si="43"/>
        <v>0</v>
      </c>
      <c r="DX68" s="162">
        <f t="shared" si="43"/>
        <v>0</v>
      </c>
      <c r="DY68" s="162">
        <f t="shared" si="43"/>
        <v>0</v>
      </c>
      <c r="DZ68" s="162">
        <f t="shared" si="43"/>
        <v>0</v>
      </c>
      <c r="EA68" s="162">
        <f t="shared" si="43"/>
        <v>0</v>
      </c>
      <c r="EB68" s="162">
        <f t="shared" si="43"/>
        <v>-2100000</v>
      </c>
      <c r="EC68" s="162">
        <f t="shared" si="43"/>
        <v>0</v>
      </c>
      <c r="ED68" s="162">
        <f t="shared" si="43"/>
        <v>0</v>
      </c>
      <c r="EE68" s="162">
        <f t="shared" si="43"/>
        <v>0</v>
      </c>
      <c r="EF68" s="162">
        <f t="shared" si="43"/>
        <v>0</v>
      </c>
      <c r="EG68" s="162">
        <f t="shared" si="43"/>
        <v>0</v>
      </c>
      <c r="EH68" s="162">
        <f t="shared" si="43"/>
        <v>0</v>
      </c>
      <c r="EI68" s="162">
        <f t="shared" si="43"/>
        <v>0</v>
      </c>
      <c r="EJ68" s="162">
        <f t="shared" si="43"/>
        <v>0</v>
      </c>
      <c r="EK68" s="162">
        <f t="shared" si="43"/>
        <v>0</v>
      </c>
      <c r="EL68" s="162">
        <f t="shared" si="43"/>
        <v>0</v>
      </c>
      <c r="EM68" s="162">
        <f t="shared" si="43"/>
        <v>0</v>
      </c>
      <c r="EN68" s="162">
        <f t="shared" si="43"/>
        <v>0</v>
      </c>
      <c r="EO68" s="162">
        <f t="shared" si="43"/>
        <v>0</v>
      </c>
      <c r="EP68" s="162">
        <f t="shared" si="43"/>
        <v>0</v>
      </c>
      <c r="EQ68" s="162">
        <f t="shared" si="43"/>
        <v>0</v>
      </c>
    </row>
    <row r="69" spans="2:147" ht="11.25" customHeight="1">
      <c r="B69" s="218"/>
      <c r="C69" s="163"/>
      <c r="D69" s="164" t="s">
        <v>206</v>
      </c>
      <c r="E69" s="165"/>
      <c r="F69" s="165"/>
      <c r="G69" s="165"/>
      <c r="H69" s="166"/>
      <c r="I69" s="228"/>
      <c r="J69" s="168">
        <f>SUM(L69:EQ69)</f>
        <v>2100000</v>
      </c>
      <c r="K69" s="98"/>
      <c r="L69" s="168">
        <f>'FS_Detail(M)'!L17</f>
        <v>2100000</v>
      </c>
      <c r="M69" s="168">
        <f>'FS_Detail(M)'!M17</f>
        <v>0</v>
      </c>
      <c r="N69" s="168">
        <f>'FS_Detail(M)'!N17</f>
        <v>0</v>
      </c>
      <c r="O69" s="168">
        <f>'FS_Detail(M)'!O17</f>
        <v>0</v>
      </c>
      <c r="P69" s="168">
        <f>'FS_Detail(M)'!P17</f>
        <v>0</v>
      </c>
      <c r="Q69" s="168">
        <f>'FS_Detail(M)'!Q17</f>
        <v>0</v>
      </c>
      <c r="R69" s="168">
        <f>'FS_Detail(M)'!R17</f>
        <v>0</v>
      </c>
      <c r="S69" s="168">
        <f>'FS_Detail(M)'!S17</f>
        <v>0</v>
      </c>
      <c r="T69" s="168">
        <f>'FS_Detail(M)'!T17</f>
        <v>0</v>
      </c>
      <c r="U69" s="168">
        <f>'FS_Detail(M)'!U17</f>
        <v>0</v>
      </c>
      <c r="V69" s="168">
        <f>'FS_Detail(M)'!V17</f>
        <v>0</v>
      </c>
      <c r="W69" s="168">
        <f>'FS_Detail(M)'!W17</f>
        <v>0</v>
      </c>
      <c r="X69" s="168">
        <f>'FS_Detail(M)'!X17</f>
        <v>0</v>
      </c>
      <c r="Y69" s="168">
        <f>'FS_Detail(M)'!Y17</f>
        <v>0</v>
      </c>
      <c r="Z69" s="168">
        <f>'FS_Detail(M)'!Z17</f>
        <v>0</v>
      </c>
      <c r="AA69" s="168">
        <f>'FS_Detail(M)'!AA17</f>
        <v>0</v>
      </c>
      <c r="AB69" s="168">
        <f>'FS_Detail(M)'!AB17</f>
        <v>0</v>
      </c>
      <c r="AC69" s="168">
        <f>'FS_Detail(M)'!AC17</f>
        <v>0</v>
      </c>
      <c r="AD69" s="168">
        <f>'FS_Detail(M)'!AD17</f>
        <v>0</v>
      </c>
      <c r="AE69" s="168">
        <f>'FS_Detail(M)'!AE17</f>
        <v>0</v>
      </c>
      <c r="AF69" s="168">
        <f>'FS_Detail(M)'!AF17</f>
        <v>0</v>
      </c>
      <c r="AG69" s="168">
        <f>'FS_Detail(M)'!AG17</f>
        <v>0</v>
      </c>
      <c r="AH69" s="168">
        <f>'FS_Detail(M)'!AH17</f>
        <v>0</v>
      </c>
      <c r="AI69" s="168">
        <f>'FS_Detail(M)'!AI17</f>
        <v>0</v>
      </c>
      <c r="AJ69" s="168">
        <f>'FS_Detail(M)'!AJ17</f>
        <v>0</v>
      </c>
      <c r="AK69" s="168">
        <f>'FS_Detail(M)'!AK17</f>
        <v>0</v>
      </c>
      <c r="AL69" s="168">
        <f>'FS_Detail(M)'!AL17</f>
        <v>0</v>
      </c>
      <c r="AM69" s="168">
        <f>'FS_Detail(M)'!AM17</f>
        <v>0</v>
      </c>
      <c r="AN69" s="168">
        <f>'FS_Detail(M)'!AN17</f>
        <v>0</v>
      </c>
      <c r="AO69" s="168">
        <f>'FS_Detail(M)'!AO17</f>
        <v>0</v>
      </c>
      <c r="AP69" s="168">
        <f>'FS_Detail(M)'!AP17</f>
        <v>0</v>
      </c>
      <c r="AQ69" s="168">
        <f>'FS_Detail(M)'!AQ17</f>
        <v>0</v>
      </c>
      <c r="AR69" s="168">
        <f>'FS_Detail(M)'!AR17</f>
        <v>0</v>
      </c>
      <c r="AS69" s="168">
        <f>'FS_Detail(M)'!AS17</f>
        <v>0</v>
      </c>
      <c r="AT69" s="168">
        <f>'FS_Detail(M)'!AT17</f>
        <v>0</v>
      </c>
      <c r="AU69" s="168">
        <f>'FS_Detail(M)'!AU17</f>
        <v>0</v>
      </c>
      <c r="AV69" s="168">
        <f>'FS_Detail(M)'!AV17</f>
        <v>0</v>
      </c>
      <c r="AW69" s="168">
        <f>'FS_Detail(M)'!AW17</f>
        <v>0</v>
      </c>
      <c r="AX69" s="168">
        <f>'FS_Detail(M)'!AX17</f>
        <v>0</v>
      </c>
      <c r="AY69" s="168">
        <f>'FS_Detail(M)'!AY17</f>
        <v>0</v>
      </c>
      <c r="AZ69" s="168">
        <f>'FS_Detail(M)'!AZ17</f>
        <v>0</v>
      </c>
      <c r="BA69" s="168">
        <f>'FS_Detail(M)'!BA17</f>
        <v>0</v>
      </c>
      <c r="BB69" s="168">
        <f>'FS_Detail(M)'!BB17</f>
        <v>0</v>
      </c>
      <c r="BC69" s="168">
        <f>'FS_Detail(M)'!BC17</f>
        <v>0</v>
      </c>
      <c r="BD69" s="168">
        <f>'FS_Detail(M)'!BD17</f>
        <v>0</v>
      </c>
      <c r="BE69" s="168">
        <f>'FS_Detail(M)'!BE17</f>
        <v>0</v>
      </c>
      <c r="BF69" s="168">
        <f>'FS_Detail(M)'!BF17</f>
        <v>0</v>
      </c>
      <c r="BG69" s="168">
        <f>'FS_Detail(M)'!BG17</f>
        <v>0</v>
      </c>
      <c r="BH69" s="168">
        <f>'FS_Detail(M)'!BH17</f>
        <v>0</v>
      </c>
      <c r="BI69" s="168">
        <f>'FS_Detail(M)'!BI17</f>
        <v>0</v>
      </c>
      <c r="BJ69" s="168">
        <f>'FS_Detail(M)'!BJ17</f>
        <v>0</v>
      </c>
      <c r="BK69" s="168">
        <f>'FS_Detail(M)'!BK17</f>
        <v>0</v>
      </c>
      <c r="BL69" s="168">
        <f>'FS_Detail(M)'!BL17</f>
        <v>0</v>
      </c>
      <c r="BM69" s="168">
        <f>'FS_Detail(M)'!BM17</f>
        <v>0</v>
      </c>
      <c r="BN69" s="168">
        <f>'FS_Detail(M)'!BN17</f>
        <v>0</v>
      </c>
      <c r="BO69" s="168">
        <f>'FS_Detail(M)'!BO17</f>
        <v>0</v>
      </c>
      <c r="BP69" s="168">
        <f>'FS_Detail(M)'!BP17</f>
        <v>0</v>
      </c>
      <c r="BQ69" s="168">
        <f>'FS_Detail(M)'!BQ17</f>
        <v>0</v>
      </c>
      <c r="BR69" s="168">
        <f>'FS_Detail(M)'!BR17</f>
        <v>0</v>
      </c>
      <c r="BS69" s="168">
        <f>'FS_Detail(M)'!BS17</f>
        <v>0</v>
      </c>
      <c r="BT69" s="168">
        <f>'FS_Detail(M)'!BT17</f>
        <v>0</v>
      </c>
      <c r="BU69" s="168">
        <f>'FS_Detail(M)'!BU17</f>
        <v>0</v>
      </c>
      <c r="BV69" s="168">
        <f>'FS_Detail(M)'!BV17</f>
        <v>0</v>
      </c>
      <c r="BW69" s="168">
        <f>'FS_Detail(M)'!BW17</f>
        <v>0</v>
      </c>
      <c r="BX69" s="168">
        <f>'FS_Detail(M)'!BX17</f>
        <v>0</v>
      </c>
      <c r="BY69" s="168">
        <f>'FS_Detail(M)'!BY17</f>
        <v>0</v>
      </c>
      <c r="BZ69" s="168">
        <f>'FS_Detail(M)'!BZ17</f>
        <v>0</v>
      </c>
      <c r="CA69" s="168">
        <f>'FS_Detail(M)'!CA17</f>
        <v>0</v>
      </c>
      <c r="CB69" s="168">
        <f>'FS_Detail(M)'!CB17</f>
        <v>0</v>
      </c>
      <c r="CC69" s="168">
        <f>'FS_Detail(M)'!CC17</f>
        <v>0</v>
      </c>
      <c r="CD69" s="168">
        <f>'FS_Detail(M)'!CD17</f>
        <v>0</v>
      </c>
      <c r="CE69" s="168">
        <f>'FS_Detail(M)'!CE17</f>
        <v>0</v>
      </c>
      <c r="CF69" s="168">
        <f>'FS_Detail(M)'!CF17</f>
        <v>0</v>
      </c>
      <c r="CG69" s="168">
        <f>'FS_Detail(M)'!CG17</f>
        <v>0</v>
      </c>
      <c r="CH69" s="168">
        <f>'FS_Detail(M)'!CH17</f>
        <v>0</v>
      </c>
      <c r="CI69" s="168">
        <f>'FS_Detail(M)'!CI17</f>
        <v>0</v>
      </c>
      <c r="CJ69" s="168">
        <f>'FS_Detail(M)'!CJ17</f>
        <v>0</v>
      </c>
      <c r="CK69" s="168">
        <f>'FS_Detail(M)'!CK17</f>
        <v>0</v>
      </c>
      <c r="CL69" s="168">
        <f>'FS_Detail(M)'!CL17</f>
        <v>0</v>
      </c>
      <c r="CM69" s="168">
        <f>'FS_Detail(M)'!CM17</f>
        <v>0</v>
      </c>
      <c r="CN69" s="168">
        <f>'FS_Detail(M)'!CN17</f>
        <v>0</v>
      </c>
      <c r="CO69" s="168">
        <f>'FS_Detail(M)'!CO17</f>
        <v>0</v>
      </c>
      <c r="CP69" s="168">
        <f>'FS_Detail(M)'!CP17</f>
        <v>0</v>
      </c>
      <c r="CQ69" s="168">
        <f>'FS_Detail(M)'!CQ17</f>
        <v>0</v>
      </c>
      <c r="CR69" s="168">
        <f>'FS_Detail(M)'!CR17</f>
        <v>0</v>
      </c>
      <c r="CS69" s="168">
        <f>'FS_Detail(M)'!CS17</f>
        <v>0</v>
      </c>
      <c r="CT69" s="168">
        <f>'FS_Detail(M)'!CT17</f>
        <v>0</v>
      </c>
      <c r="CU69" s="168">
        <f>'FS_Detail(M)'!CU17</f>
        <v>0</v>
      </c>
      <c r="CV69" s="168">
        <f>'FS_Detail(M)'!CV17</f>
        <v>0</v>
      </c>
      <c r="CW69" s="168">
        <f>'FS_Detail(M)'!CW17</f>
        <v>0</v>
      </c>
      <c r="CX69" s="168">
        <f>'FS_Detail(M)'!CX17</f>
        <v>0</v>
      </c>
      <c r="CY69" s="168">
        <f>'FS_Detail(M)'!CY17</f>
        <v>0</v>
      </c>
      <c r="CZ69" s="168">
        <f>'FS_Detail(M)'!CZ17</f>
        <v>0</v>
      </c>
      <c r="DA69" s="168">
        <f>'FS_Detail(M)'!DA17</f>
        <v>0</v>
      </c>
      <c r="DB69" s="168">
        <f>'FS_Detail(M)'!DB17</f>
        <v>0</v>
      </c>
      <c r="DC69" s="168">
        <f>'FS_Detail(M)'!DC17</f>
        <v>0</v>
      </c>
      <c r="DD69" s="168">
        <f>'FS_Detail(M)'!DD17</f>
        <v>0</v>
      </c>
      <c r="DE69" s="168">
        <f>'FS_Detail(M)'!DE17</f>
        <v>0</v>
      </c>
      <c r="DF69" s="168">
        <f>'FS_Detail(M)'!DF17</f>
        <v>0</v>
      </c>
      <c r="DG69" s="168">
        <f>'FS_Detail(M)'!DG17</f>
        <v>0</v>
      </c>
      <c r="DH69" s="168">
        <f>'FS_Detail(M)'!DH17</f>
        <v>0</v>
      </c>
      <c r="DI69" s="168">
        <f>'FS_Detail(M)'!DI17</f>
        <v>0</v>
      </c>
      <c r="DJ69" s="168">
        <f>'FS_Detail(M)'!DJ17</f>
        <v>0</v>
      </c>
      <c r="DK69" s="168">
        <f>'FS_Detail(M)'!DK17</f>
        <v>0</v>
      </c>
      <c r="DL69" s="168">
        <f>'FS_Detail(M)'!DL17</f>
        <v>0</v>
      </c>
      <c r="DM69" s="168">
        <f>'FS_Detail(M)'!DM17</f>
        <v>0</v>
      </c>
      <c r="DN69" s="168">
        <f>'FS_Detail(M)'!DN17</f>
        <v>0</v>
      </c>
      <c r="DO69" s="168">
        <f>'FS_Detail(M)'!DO17</f>
        <v>0</v>
      </c>
      <c r="DP69" s="168">
        <f>'FS_Detail(M)'!DP17</f>
        <v>0</v>
      </c>
      <c r="DQ69" s="168">
        <f>'FS_Detail(M)'!DQ17</f>
        <v>0</v>
      </c>
      <c r="DR69" s="168">
        <f>'FS_Detail(M)'!DR17</f>
        <v>0</v>
      </c>
      <c r="DS69" s="168">
        <f>'FS_Detail(M)'!DS17</f>
        <v>0</v>
      </c>
      <c r="DT69" s="168">
        <f>'FS_Detail(M)'!DT17</f>
        <v>0</v>
      </c>
      <c r="DU69" s="168">
        <f>'FS_Detail(M)'!DU17</f>
        <v>0</v>
      </c>
      <c r="DV69" s="168">
        <f>'FS_Detail(M)'!DV17</f>
        <v>0</v>
      </c>
      <c r="DW69" s="168">
        <f>'FS_Detail(M)'!DW17</f>
        <v>0</v>
      </c>
      <c r="DX69" s="168">
        <f>'FS_Detail(M)'!DX17</f>
        <v>0</v>
      </c>
      <c r="DY69" s="168">
        <f>'FS_Detail(M)'!DY17</f>
        <v>0</v>
      </c>
      <c r="DZ69" s="168">
        <f>'FS_Detail(M)'!DZ17</f>
        <v>0</v>
      </c>
      <c r="EA69" s="168">
        <f>'FS_Detail(M)'!EA17</f>
        <v>0</v>
      </c>
      <c r="EB69" s="168">
        <f>'FS_Detail(M)'!EB17</f>
        <v>0</v>
      </c>
      <c r="EC69" s="168">
        <f>'FS_Detail(M)'!EC17</f>
        <v>0</v>
      </c>
      <c r="ED69" s="168">
        <f>'FS_Detail(M)'!ED17</f>
        <v>0</v>
      </c>
      <c r="EE69" s="168">
        <f>'FS_Detail(M)'!EE17</f>
        <v>0</v>
      </c>
      <c r="EF69" s="168">
        <f>'FS_Detail(M)'!EF17</f>
        <v>0</v>
      </c>
      <c r="EG69" s="168">
        <f>'FS_Detail(M)'!EG17</f>
        <v>0</v>
      </c>
      <c r="EH69" s="168">
        <f>'FS_Detail(M)'!EH17</f>
        <v>0</v>
      </c>
      <c r="EI69" s="168">
        <f>'FS_Detail(M)'!EI17</f>
        <v>0</v>
      </c>
      <c r="EJ69" s="168">
        <f>'FS_Detail(M)'!EJ17</f>
        <v>0</v>
      </c>
      <c r="EK69" s="168">
        <f>'FS_Detail(M)'!EK17</f>
        <v>0</v>
      </c>
      <c r="EL69" s="168">
        <f>'FS_Detail(M)'!EL17</f>
        <v>0</v>
      </c>
      <c r="EM69" s="168">
        <f>'FS_Detail(M)'!EM17</f>
        <v>0</v>
      </c>
      <c r="EN69" s="168">
        <f>'FS_Detail(M)'!EN17</f>
        <v>0</v>
      </c>
      <c r="EO69" s="168">
        <f>'FS_Detail(M)'!EO17</f>
        <v>0</v>
      </c>
      <c r="EP69" s="168">
        <f>'FS_Detail(M)'!EP17</f>
        <v>0</v>
      </c>
      <c r="EQ69" s="168">
        <f>'FS_Detail(M)'!EQ17</f>
        <v>0</v>
      </c>
    </row>
    <row r="70" spans="2:147" ht="11.25" customHeight="1">
      <c r="B70" s="218"/>
      <c r="C70" s="163"/>
      <c r="D70" s="169" t="s">
        <v>207</v>
      </c>
      <c r="H70" s="146"/>
      <c r="I70" s="229"/>
      <c r="J70" s="171">
        <f>SUM(L70:EQ70)</f>
        <v>-2100000</v>
      </c>
      <c r="K70" s="98"/>
      <c r="L70" s="171">
        <f>-'FS_Detail(M)'!L18</f>
        <v>0</v>
      </c>
      <c r="M70" s="171">
        <f>-'FS_Detail(M)'!M18</f>
        <v>0</v>
      </c>
      <c r="N70" s="171">
        <f>-'FS_Detail(M)'!N18</f>
        <v>0</v>
      </c>
      <c r="O70" s="171">
        <f>-'FS_Detail(M)'!O18</f>
        <v>0</v>
      </c>
      <c r="P70" s="171">
        <f>-'FS_Detail(M)'!P18</f>
        <v>0</v>
      </c>
      <c r="Q70" s="171">
        <f>-'FS_Detail(M)'!Q18</f>
        <v>0</v>
      </c>
      <c r="R70" s="171">
        <f>-'FS_Detail(M)'!R18</f>
        <v>0</v>
      </c>
      <c r="S70" s="171">
        <f>-'FS_Detail(M)'!S18</f>
        <v>0</v>
      </c>
      <c r="T70" s="171">
        <f>-'FS_Detail(M)'!T18</f>
        <v>0</v>
      </c>
      <c r="U70" s="171">
        <f>-'FS_Detail(M)'!U18</f>
        <v>0</v>
      </c>
      <c r="V70" s="171">
        <f>-'FS_Detail(M)'!V18</f>
        <v>0</v>
      </c>
      <c r="W70" s="171">
        <f>-'FS_Detail(M)'!W18</f>
        <v>0</v>
      </c>
      <c r="X70" s="171">
        <f>-'FS_Detail(M)'!X18</f>
        <v>0</v>
      </c>
      <c r="Y70" s="171">
        <f>-'FS_Detail(M)'!Y18</f>
        <v>0</v>
      </c>
      <c r="Z70" s="171">
        <f>-'FS_Detail(M)'!Z18</f>
        <v>0</v>
      </c>
      <c r="AA70" s="171">
        <f>-'FS_Detail(M)'!AA18</f>
        <v>0</v>
      </c>
      <c r="AB70" s="171">
        <f>-'FS_Detail(M)'!AB18</f>
        <v>0</v>
      </c>
      <c r="AC70" s="171">
        <f>-'FS_Detail(M)'!AC18</f>
        <v>0</v>
      </c>
      <c r="AD70" s="171">
        <f>-'FS_Detail(M)'!AD18</f>
        <v>0</v>
      </c>
      <c r="AE70" s="171">
        <f>-'FS_Detail(M)'!AE18</f>
        <v>0</v>
      </c>
      <c r="AF70" s="171">
        <f>-'FS_Detail(M)'!AF18</f>
        <v>0</v>
      </c>
      <c r="AG70" s="171">
        <f>-'FS_Detail(M)'!AG18</f>
        <v>0</v>
      </c>
      <c r="AH70" s="171">
        <f>-'FS_Detail(M)'!AH18</f>
        <v>0</v>
      </c>
      <c r="AI70" s="171">
        <f>-'FS_Detail(M)'!AI18</f>
        <v>0</v>
      </c>
      <c r="AJ70" s="171">
        <f>-'FS_Detail(M)'!AJ18</f>
        <v>0</v>
      </c>
      <c r="AK70" s="171">
        <f>-'FS_Detail(M)'!AK18</f>
        <v>0</v>
      </c>
      <c r="AL70" s="171">
        <f>-'FS_Detail(M)'!AL18</f>
        <v>0</v>
      </c>
      <c r="AM70" s="171">
        <f>-'FS_Detail(M)'!AM18</f>
        <v>0</v>
      </c>
      <c r="AN70" s="171">
        <f>-'FS_Detail(M)'!AN18</f>
        <v>0</v>
      </c>
      <c r="AO70" s="171">
        <f>-'FS_Detail(M)'!AO18</f>
        <v>0</v>
      </c>
      <c r="AP70" s="171">
        <f>-'FS_Detail(M)'!AP18</f>
        <v>0</v>
      </c>
      <c r="AQ70" s="171">
        <f>-'FS_Detail(M)'!AQ18</f>
        <v>0</v>
      </c>
      <c r="AR70" s="171">
        <f>-'FS_Detail(M)'!AR18</f>
        <v>0</v>
      </c>
      <c r="AS70" s="171">
        <f>-'FS_Detail(M)'!AS18</f>
        <v>0</v>
      </c>
      <c r="AT70" s="171">
        <f>-'FS_Detail(M)'!AT18</f>
        <v>0</v>
      </c>
      <c r="AU70" s="171">
        <f>-'FS_Detail(M)'!AU18</f>
        <v>0</v>
      </c>
      <c r="AV70" s="171">
        <f>-'FS_Detail(M)'!AV18</f>
        <v>0</v>
      </c>
      <c r="AW70" s="171">
        <f>-'FS_Detail(M)'!AW18</f>
        <v>0</v>
      </c>
      <c r="AX70" s="171">
        <f>-'FS_Detail(M)'!AX18</f>
        <v>0</v>
      </c>
      <c r="AY70" s="171">
        <f>-'FS_Detail(M)'!AY18</f>
        <v>0</v>
      </c>
      <c r="AZ70" s="171">
        <f>-'FS_Detail(M)'!AZ18</f>
        <v>0</v>
      </c>
      <c r="BA70" s="171">
        <f>-'FS_Detail(M)'!BA18</f>
        <v>0</v>
      </c>
      <c r="BB70" s="171">
        <f>-'FS_Detail(M)'!BB18</f>
        <v>0</v>
      </c>
      <c r="BC70" s="171">
        <f>-'FS_Detail(M)'!BC18</f>
        <v>0</v>
      </c>
      <c r="BD70" s="171">
        <f>-'FS_Detail(M)'!BD18</f>
        <v>0</v>
      </c>
      <c r="BE70" s="171">
        <f>-'FS_Detail(M)'!BE18</f>
        <v>0</v>
      </c>
      <c r="BF70" s="171">
        <f>-'FS_Detail(M)'!BF18</f>
        <v>0</v>
      </c>
      <c r="BG70" s="171">
        <f>-'FS_Detail(M)'!BG18</f>
        <v>0</v>
      </c>
      <c r="BH70" s="171">
        <f>-'FS_Detail(M)'!BH18</f>
        <v>0</v>
      </c>
      <c r="BI70" s="171">
        <f>-'FS_Detail(M)'!BI18</f>
        <v>0</v>
      </c>
      <c r="BJ70" s="171">
        <f>-'FS_Detail(M)'!BJ18</f>
        <v>0</v>
      </c>
      <c r="BK70" s="171">
        <f>-'FS_Detail(M)'!BK18</f>
        <v>0</v>
      </c>
      <c r="BL70" s="171">
        <f>-'FS_Detail(M)'!BL18</f>
        <v>0</v>
      </c>
      <c r="BM70" s="171">
        <f>-'FS_Detail(M)'!BM18</f>
        <v>0</v>
      </c>
      <c r="BN70" s="171">
        <f>-'FS_Detail(M)'!BN18</f>
        <v>0</v>
      </c>
      <c r="BO70" s="171">
        <f>-'FS_Detail(M)'!BO18</f>
        <v>0</v>
      </c>
      <c r="BP70" s="171">
        <f>-'FS_Detail(M)'!BP18</f>
        <v>0</v>
      </c>
      <c r="BQ70" s="171">
        <f>-'FS_Detail(M)'!BQ18</f>
        <v>0</v>
      </c>
      <c r="BR70" s="171">
        <f>-'FS_Detail(M)'!BR18</f>
        <v>0</v>
      </c>
      <c r="BS70" s="171">
        <f>-'FS_Detail(M)'!BS18</f>
        <v>0</v>
      </c>
      <c r="BT70" s="171">
        <f>-'FS_Detail(M)'!BT18</f>
        <v>0</v>
      </c>
      <c r="BU70" s="171">
        <f>-'FS_Detail(M)'!BU18</f>
        <v>0</v>
      </c>
      <c r="BV70" s="171">
        <f>-'FS_Detail(M)'!BV18</f>
        <v>0</v>
      </c>
      <c r="BW70" s="171">
        <f>-'FS_Detail(M)'!BW18</f>
        <v>0</v>
      </c>
      <c r="BX70" s="171">
        <f>-'FS_Detail(M)'!BX18</f>
        <v>0</v>
      </c>
      <c r="BY70" s="171">
        <f>-'FS_Detail(M)'!BY18</f>
        <v>0</v>
      </c>
      <c r="BZ70" s="171">
        <f>-'FS_Detail(M)'!BZ18</f>
        <v>0</v>
      </c>
      <c r="CA70" s="171">
        <f>-'FS_Detail(M)'!CA18</f>
        <v>0</v>
      </c>
      <c r="CB70" s="171">
        <f>-'FS_Detail(M)'!CB18</f>
        <v>0</v>
      </c>
      <c r="CC70" s="171">
        <f>-'FS_Detail(M)'!CC18</f>
        <v>0</v>
      </c>
      <c r="CD70" s="171">
        <f>-'FS_Detail(M)'!CD18</f>
        <v>0</v>
      </c>
      <c r="CE70" s="171">
        <f>-'FS_Detail(M)'!CE18</f>
        <v>0</v>
      </c>
      <c r="CF70" s="171">
        <f>-'FS_Detail(M)'!CF18</f>
        <v>0</v>
      </c>
      <c r="CG70" s="171">
        <f>-'FS_Detail(M)'!CG18</f>
        <v>0</v>
      </c>
      <c r="CH70" s="171">
        <f>-'FS_Detail(M)'!CH18</f>
        <v>0</v>
      </c>
      <c r="CI70" s="171">
        <f>-'FS_Detail(M)'!CI18</f>
        <v>0</v>
      </c>
      <c r="CJ70" s="171">
        <f>-'FS_Detail(M)'!CJ18</f>
        <v>0</v>
      </c>
      <c r="CK70" s="171">
        <f>-'FS_Detail(M)'!CK18</f>
        <v>0</v>
      </c>
      <c r="CL70" s="171">
        <f>-'FS_Detail(M)'!CL18</f>
        <v>0</v>
      </c>
      <c r="CM70" s="171">
        <f>-'FS_Detail(M)'!CM18</f>
        <v>0</v>
      </c>
      <c r="CN70" s="171">
        <f>-'FS_Detail(M)'!CN18</f>
        <v>0</v>
      </c>
      <c r="CO70" s="171">
        <f>-'FS_Detail(M)'!CO18</f>
        <v>0</v>
      </c>
      <c r="CP70" s="171">
        <f>-'FS_Detail(M)'!CP18</f>
        <v>0</v>
      </c>
      <c r="CQ70" s="171">
        <f>-'FS_Detail(M)'!CQ18</f>
        <v>0</v>
      </c>
      <c r="CR70" s="171">
        <f>-'FS_Detail(M)'!CR18</f>
        <v>0</v>
      </c>
      <c r="CS70" s="171">
        <f>-'FS_Detail(M)'!CS18</f>
        <v>0</v>
      </c>
      <c r="CT70" s="171">
        <f>-'FS_Detail(M)'!CT18</f>
        <v>0</v>
      </c>
      <c r="CU70" s="171">
        <f>-'FS_Detail(M)'!CU18</f>
        <v>0</v>
      </c>
      <c r="CV70" s="171">
        <f>-'FS_Detail(M)'!CV18</f>
        <v>0</v>
      </c>
      <c r="CW70" s="171">
        <f>-'FS_Detail(M)'!CW18</f>
        <v>0</v>
      </c>
      <c r="CX70" s="171">
        <f>-'FS_Detail(M)'!CX18</f>
        <v>0</v>
      </c>
      <c r="CY70" s="171">
        <f>-'FS_Detail(M)'!CY18</f>
        <v>0</v>
      </c>
      <c r="CZ70" s="171">
        <f>-'FS_Detail(M)'!CZ18</f>
        <v>0</v>
      </c>
      <c r="DA70" s="171">
        <f>-'FS_Detail(M)'!DA18</f>
        <v>0</v>
      </c>
      <c r="DB70" s="171">
        <f>-'FS_Detail(M)'!DB18</f>
        <v>0</v>
      </c>
      <c r="DC70" s="171">
        <f>-'FS_Detail(M)'!DC18</f>
        <v>0</v>
      </c>
      <c r="DD70" s="171">
        <f>-'FS_Detail(M)'!DD18</f>
        <v>0</v>
      </c>
      <c r="DE70" s="171">
        <f>-'FS_Detail(M)'!DE18</f>
        <v>0</v>
      </c>
      <c r="DF70" s="171">
        <f>-'FS_Detail(M)'!DF18</f>
        <v>0</v>
      </c>
      <c r="DG70" s="171">
        <f>-'FS_Detail(M)'!DG18</f>
        <v>0</v>
      </c>
      <c r="DH70" s="171">
        <f>-'FS_Detail(M)'!DH18</f>
        <v>0</v>
      </c>
      <c r="DI70" s="171">
        <f>-'FS_Detail(M)'!DI18</f>
        <v>0</v>
      </c>
      <c r="DJ70" s="171">
        <f>-'FS_Detail(M)'!DJ18</f>
        <v>0</v>
      </c>
      <c r="DK70" s="171">
        <f>-'FS_Detail(M)'!DK18</f>
        <v>0</v>
      </c>
      <c r="DL70" s="171">
        <f>-'FS_Detail(M)'!DL18</f>
        <v>0</v>
      </c>
      <c r="DM70" s="171">
        <f>-'FS_Detail(M)'!DM18</f>
        <v>0</v>
      </c>
      <c r="DN70" s="171">
        <f>-'FS_Detail(M)'!DN18</f>
        <v>0</v>
      </c>
      <c r="DO70" s="171">
        <f>-'FS_Detail(M)'!DO18</f>
        <v>0</v>
      </c>
      <c r="DP70" s="171">
        <f>-'FS_Detail(M)'!DP18</f>
        <v>0</v>
      </c>
      <c r="DQ70" s="171">
        <f>-'FS_Detail(M)'!DQ18</f>
        <v>0</v>
      </c>
      <c r="DR70" s="171">
        <f>-'FS_Detail(M)'!DR18</f>
        <v>0</v>
      </c>
      <c r="DS70" s="171">
        <f>-'FS_Detail(M)'!DS18</f>
        <v>0</v>
      </c>
      <c r="DT70" s="171">
        <f>-'FS_Detail(M)'!DT18</f>
        <v>0</v>
      </c>
      <c r="DU70" s="171">
        <f>-'FS_Detail(M)'!DU18</f>
        <v>0</v>
      </c>
      <c r="DV70" s="171">
        <f>-'FS_Detail(M)'!DV18</f>
        <v>0</v>
      </c>
      <c r="DW70" s="171">
        <f>-'FS_Detail(M)'!DW18</f>
        <v>0</v>
      </c>
      <c r="DX70" s="171">
        <f>-'FS_Detail(M)'!DX18</f>
        <v>0</v>
      </c>
      <c r="DY70" s="171">
        <f>-'FS_Detail(M)'!DY18</f>
        <v>0</v>
      </c>
      <c r="DZ70" s="171">
        <f>-'FS_Detail(M)'!DZ18</f>
        <v>0</v>
      </c>
      <c r="EA70" s="171">
        <f>-'FS_Detail(M)'!EA18</f>
        <v>0</v>
      </c>
      <c r="EB70" s="171">
        <f>-'FS_Detail(M)'!EB18</f>
        <v>-2100000</v>
      </c>
      <c r="EC70" s="171">
        <f>-'FS_Detail(M)'!EC18</f>
        <v>0</v>
      </c>
      <c r="ED70" s="171">
        <f>-'FS_Detail(M)'!ED18</f>
        <v>0</v>
      </c>
      <c r="EE70" s="171">
        <f>-'FS_Detail(M)'!EE18</f>
        <v>0</v>
      </c>
      <c r="EF70" s="171">
        <f>-'FS_Detail(M)'!EF18</f>
        <v>0</v>
      </c>
      <c r="EG70" s="171">
        <f>-'FS_Detail(M)'!EG18</f>
        <v>0</v>
      </c>
      <c r="EH70" s="171">
        <f>-'FS_Detail(M)'!EH18</f>
        <v>0</v>
      </c>
      <c r="EI70" s="171">
        <f>-'FS_Detail(M)'!EI18</f>
        <v>0</v>
      </c>
      <c r="EJ70" s="171">
        <f>-'FS_Detail(M)'!EJ18</f>
        <v>0</v>
      </c>
      <c r="EK70" s="171">
        <f>-'FS_Detail(M)'!EK18</f>
        <v>0</v>
      </c>
      <c r="EL70" s="171">
        <f>-'FS_Detail(M)'!EL18</f>
        <v>0</v>
      </c>
      <c r="EM70" s="171">
        <f>-'FS_Detail(M)'!EM18</f>
        <v>0</v>
      </c>
      <c r="EN70" s="171">
        <f>-'FS_Detail(M)'!EN18</f>
        <v>0</v>
      </c>
      <c r="EO70" s="171">
        <f>-'FS_Detail(M)'!EO18</f>
        <v>0</v>
      </c>
      <c r="EP70" s="171">
        <f>-'FS_Detail(M)'!EP18</f>
        <v>0</v>
      </c>
      <c r="EQ70" s="171">
        <f>-'FS_Detail(M)'!EQ18</f>
        <v>0</v>
      </c>
    </row>
    <row r="71" spans="2:147" ht="11.25" customHeight="1">
      <c r="B71" s="218"/>
      <c r="C71" s="158" t="s">
        <v>273</v>
      </c>
      <c r="D71" s="159"/>
      <c r="E71" s="159"/>
      <c r="F71" s="159"/>
      <c r="G71" s="159"/>
      <c r="H71" s="160"/>
      <c r="I71" s="219"/>
      <c r="J71" s="220">
        <f>SUM(J72:J73)</f>
        <v>0</v>
      </c>
      <c r="K71" s="98"/>
      <c r="L71" s="162">
        <f>SUM(L72:L73)</f>
        <v>160000000</v>
      </c>
      <c r="M71" s="162">
        <f t="shared" ref="M71:BX71" si="44">SUM(M72:M73)</f>
        <v>0</v>
      </c>
      <c r="N71" s="162">
        <f t="shared" si="44"/>
        <v>0</v>
      </c>
      <c r="O71" s="162">
        <f t="shared" si="44"/>
        <v>0</v>
      </c>
      <c r="P71" s="162">
        <f t="shared" si="44"/>
        <v>0</v>
      </c>
      <c r="Q71" s="162">
        <f t="shared" si="44"/>
        <v>0</v>
      </c>
      <c r="R71" s="162">
        <f t="shared" si="44"/>
        <v>0</v>
      </c>
      <c r="S71" s="162">
        <f t="shared" si="44"/>
        <v>0</v>
      </c>
      <c r="T71" s="162">
        <f t="shared" si="44"/>
        <v>0</v>
      </c>
      <c r="U71" s="162">
        <f t="shared" si="44"/>
        <v>0</v>
      </c>
      <c r="V71" s="162">
        <f t="shared" si="44"/>
        <v>0</v>
      </c>
      <c r="W71" s="162">
        <f t="shared" si="44"/>
        <v>0</v>
      </c>
      <c r="X71" s="162">
        <f t="shared" si="44"/>
        <v>0</v>
      </c>
      <c r="Y71" s="162">
        <f t="shared" si="44"/>
        <v>0</v>
      </c>
      <c r="Z71" s="162">
        <f t="shared" si="44"/>
        <v>0</v>
      </c>
      <c r="AA71" s="162">
        <f t="shared" si="44"/>
        <v>0</v>
      </c>
      <c r="AB71" s="162">
        <f t="shared" si="44"/>
        <v>0</v>
      </c>
      <c r="AC71" s="162">
        <f t="shared" si="44"/>
        <v>0</v>
      </c>
      <c r="AD71" s="162">
        <f t="shared" si="44"/>
        <v>0</v>
      </c>
      <c r="AE71" s="162">
        <f t="shared" si="44"/>
        <v>0</v>
      </c>
      <c r="AF71" s="162">
        <f t="shared" si="44"/>
        <v>0</v>
      </c>
      <c r="AG71" s="162">
        <f t="shared" si="44"/>
        <v>0</v>
      </c>
      <c r="AH71" s="162">
        <f t="shared" si="44"/>
        <v>0</v>
      </c>
      <c r="AI71" s="162">
        <f t="shared" si="44"/>
        <v>0</v>
      </c>
      <c r="AJ71" s="162">
        <f t="shared" si="44"/>
        <v>-160000000</v>
      </c>
      <c r="AK71" s="162">
        <f t="shared" si="44"/>
        <v>0</v>
      </c>
      <c r="AL71" s="162">
        <f t="shared" si="44"/>
        <v>0</v>
      </c>
      <c r="AM71" s="162">
        <f t="shared" si="44"/>
        <v>0</v>
      </c>
      <c r="AN71" s="162">
        <f t="shared" si="44"/>
        <v>0</v>
      </c>
      <c r="AO71" s="162">
        <f t="shared" si="44"/>
        <v>0</v>
      </c>
      <c r="AP71" s="162">
        <f t="shared" si="44"/>
        <v>0</v>
      </c>
      <c r="AQ71" s="162">
        <f t="shared" si="44"/>
        <v>0</v>
      </c>
      <c r="AR71" s="162">
        <f t="shared" si="44"/>
        <v>0</v>
      </c>
      <c r="AS71" s="162">
        <f t="shared" si="44"/>
        <v>0</v>
      </c>
      <c r="AT71" s="162">
        <f t="shared" si="44"/>
        <v>0</v>
      </c>
      <c r="AU71" s="162">
        <f t="shared" si="44"/>
        <v>0</v>
      </c>
      <c r="AV71" s="162">
        <f t="shared" si="44"/>
        <v>0</v>
      </c>
      <c r="AW71" s="162">
        <f t="shared" si="44"/>
        <v>0</v>
      </c>
      <c r="AX71" s="162">
        <f t="shared" si="44"/>
        <v>0</v>
      </c>
      <c r="AY71" s="162">
        <f t="shared" si="44"/>
        <v>0</v>
      </c>
      <c r="AZ71" s="162">
        <f t="shared" si="44"/>
        <v>0</v>
      </c>
      <c r="BA71" s="162">
        <f t="shared" si="44"/>
        <v>0</v>
      </c>
      <c r="BB71" s="162">
        <f t="shared" si="44"/>
        <v>0</v>
      </c>
      <c r="BC71" s="162">
        <f t="shared" si="44"/>
        <v>0</v>
      </c>
      <c r="BD71" s="162">
        <f t="shared" si="44"/>
        <v>0</v>
      </c>
      <c r="BE71" s="162">
        <f t="shared" si="44"/>
        <v>0</v>
      </c>
      <c r="BF71" s="162">
        <f t="shared" si="44"/>
        <v>0</v>
      </c>
      <c r="BG71" s="162">
        <f t="shared" si="44"/>
        <v>0</v>
      </c>
      <c r="BH71" s="162">
        <f t="shared" si="44"/>
        <v>0</v>
      </c>
      <c r="BI71" s="162">
        <f t="shared" si="44"/>
        <v>0</v>
      </c>
      <c r="BJ71" s="162">
        <f t="shared" si="44"/>
        <v>0</v>
      </c>
      <c r="BK71" s="162">
        <f t="shared" si="44"/>
        <v>0</v>
      </c>
      <c r="BL71" s="162">
        <f t="shared" si="44"/>
        <v>0</v>
      </c>
      <c r="BM71" s="162">
        <f t="shared" si="44"/>
        <v>0</v>
      </c>
      <c r="BN71" s="162">
        <f t="shared" si="44"/>
        <v>0</v>
      </c>
      <c r="BO71" s="162">
        <f t="shared" si="44"/>
        <v>0</v>
      </c>
      <c r="BP71" s="162">
        <f t="shared" si="44"/>
        <v>0</v>
      </c>
      <c r="BQ71" s="162">
        <f t="shared" si="44"/>
        <v>0</v>
      </c>
      <c r="BR71" s="162">
        <f t="shared" si="44"/>
        <v>0</v>
      </c>
      <c r="BS71" s="162">
        <f t="shared" si="44"/>
        <v>0</v>
      </c>
      <c r="BT71" s="162">
        <f t="shared" si="44"/>
        <v>0</v>
      </c>
      <c r="BU71" s="162">
        <f t="shared" si="44"/>
        <v>0</v>
      </c>
      <c r="BV71" s="162">
        <f t="shared" si="44"/>
        <v>0</v>
      </c>
      <c r="BW71" s="162">
        <f t="shared" si="44"/>
        <v>0</v>
      </c>
      <c r="BX71" s="162">
        <f t="shared" si="44"/>
        <v>0</v>
      </c>
      <c r="BY71" s="162">
        <f t="shared" ref="BY71:DP71" si="45">SUM(BY72:BY73)</f>
        <v>0</v>
      </c>
      <c r="BZ71" s="162">
        <f t="shared" si="45"/>
        <v>0</v>
      </c>
      <c r="CA71" s="162">
        <f t="shared" si="45"/>
        <v>0</v>
      </c>
      <c r="CB71" s="162">
        <f t="shared" si="45"/>
        <v>0</v>
      </c>
      <c r="CC71" s="162">
        <f t="shared" si="45"/>
        <v>0</v>
      </c>
      <c r="CD71" s="162">
        <f t="shared" si="45"/>
        <v>0</v>
      </c>
      <c r="CE71" s="162">
        <f t="shared" si="45"/>
        <v>0</v>
      </c>
      <c r="CF71" s="162">
        <f t="shared" si="45"/>
        <v>0</v>
      </c>
      <c r="CG71" s="162">
        <f t="shared" si="45"/>
        <v>0</v>
      </c>
      <c r="CH71" s="162">
        <f t="shared" si="45"/>
        <v>0</v>
      </c>
      <c r="CI71" s="162">
        <f t="shared" si="45"/>
        <v>0</v>
      </c>
      <c r="CJ71" s="162">
        <f t="shared" si="45"/>
        <v>0</v>
      </c>
      <c r="CK71" s="162">
        <f t="shared" si="45"/>
        <v>0</v>
      </c>
      <c r="CL71" s="162">
        <f t="shared" si="45"/>
        <v>0</v>
      </c>
      <c r="CM71" s="162">
        <f t="shared" si="45"/>
        <v>0</v>
      </c>
      <c r="CN71" s="162">
        <f t="shared" si="45"/>
        <v>0</v>
      </c>
      <c r="CO71" s="162">
        <f t="shared" si="45"/>
        <v>0</v>
      </c>
      <c r="CP71" s="162">
        <f t="shared" si="45"/>
        <v>0</v>
      </c>
      <c r="CQ71" s="162">
        <f t="shared" si="45"/>
        <v>0</v>
      </c>
      <c r="CR71" s="162">
        <f t="shared" si="45"/>
        <v>0</v>
      </c>
      <c r="CS71" s="162">
        <f t="shared" si="45"/>
        <v>0</v>
      </c>
      <c r="CT71" s="162">
        <f t="shared" si="45"/>
        <v>0</v>
      </c>
      <c r="CU71" s="162">
        <f t="shared" si="45"/>
        <v>0</v>
      </c>
      <c r="CV71" s="162">
        <f t="shared" si="45"/>
        <v>0</v>
      </c>
      <c r="CW71" s="162">
        <f t="shared" si="45"/>
        <v>0</v>
      </c>
      <c r="CX71" s="162">
        <f t="shared" si="45"/>
        <v>0</v>
      </c>
      <c r="CY71" s="162">
        <f t="shared" si="45"/>
        <v>0</v>
      </c>
      <c r="CZ71" s="162">
        <f t="shared" si="45"/>
        <v>0</v>
      </c>
      <c r="DA71" s="162">
        <f t="shared" si="45"/>
        <v>0</v>
      </c>
      <c r="DB71" s="162">
        <f t="shared" si="45"/>
        <v>0</v>
      </c>
      <c r="DC71" s="162">
        <f t="shared" si="45"/>
        <v>0</v>
      </c>
      <c r="DD71" s="162">
        <f t="shared" si="45"/>
        <v>0</v>
      </c>
      <c r="DE71" s="162">
        <f t="shared" si="45"/>
        <v>0</v>
      </c>
      <c r="DF71" s="162">
        <f t="shared" si="45"/>
        <v>0</v>
      </c>
      <c r="DG71" s="162">
        <f t="shared" si="45"/>
        <v>0</v>
      </c>
      <c r="DH71" s="162">
        <f t="shared" si="45"/>
        <v>0</v>
      </c>
      <c r="DI71" s="162">
        <f t="shared" si="45"/>
        <v>0</v>
      </c>
      <c r="DJ71" s="162">
        <f t="shared" si="45"/>
        <v>0</v>
      </c>
      <c r="DK71" s="162">
        <f t="shared" si="45"/>
        <v>0</v>
      </c>
      <c r="DL71" s="162">
        <f t="shared" si="45"/>
        <v>0</v>
      </c>
      <c r="DM71" s="162">
        <f t="shared" si="45"/>
        <v>0</v>
      </c>
      <c r="DN71" s="162">
        <f t="shared" si="45"/>
        <v>0</v>
      </c>
      <c r="DO71" s="162">
        <f t="shared" si="45"/>
        <v>0</v>
      </c>
      <c r="DP71" s="162">
        <f t="shared" si="45"/>
        <v>0</v>
      </c>
      <c r="DQ71" s="162">
        <f t="shared" ref="DQ71:EQ71" si="46">SUM(DQ72:DQ73)</f>
        <v>0</v>
      </c>
      <c r="DR71" s="162">
        <f t="shared" si="46"/>
        <v>0</v>
      </c>
      <c r="DS71" s="162">
        <f t="shared" si="46"/>
        <v>0</v>
      </c>
      <c r="DT71" s="162">
        <f t="shared" si="46"/>
        <v>0</v>
      </c>
      <c r="DU71" s="162">
        <f t="shared" si="46"/>
        <v>0</v>
      </c>
      <c r="DV71" s="162">
        <f t="shared" si="46"/>
        <v>0</v>
      </c>
      <c r="DW71" s="162">
        <f t="shared" si="46"/>
        <v>0</v>
      </c>
      <c r="DX71" s="162">
        <f t="shared" si="46"/>
        <v>0</v>
      </c>
      <c r="DY71" s="162">
        <f t="shared" si="46"/>
        <v>0</v>
      </c>
      <c r="DZ71" s="162">
        <f t="shared" si="46"/>
        <v>0</v>
      </c>
      <c r="EA71" s="162">
        <f t="shared" si="46"/>
        <v>0</v>
      </c>
      <c r="EB71" s="162">
        <f t="shared" si="46"/>
        <v>0</v>
      </c>
      <c r="EC71" s="162">
        <f t="shared" si="46"/>
        <v>0</v>
      </c>
      <c r="ED71" s="162">
        <f t="shared" si="46"/>
        <v>0</v>
      </c>
      <c r="EE71" s="162">
        <f t="shared" si="46"/>
        <v>0</v>
      </c>
      <c r="EF71" s="162">
        <f t="shared" si="46"/>
        <v>0</v>
      </c>
      <c r="EG71" s="162">
        <f t="shared" si="46"/>
        <v>0</v>
      </c>
      <c r="EH71" s="162">
        <f t="shared" si="46"/>
        <v>0</v>
      </c>
      <c r="EI71" s="162">
        <f t="shared" si="46"/>
        <v>0</v>
      </c>
      <c r="EJ71" s="162">
        <f t="shared" si="46"/>
        <v>0</v>
      </c>
      <c r="EK71" s="162">
        <f t="shared" si="46"/>
        <v>0</v>
      </c>
      <c r="EL71" s="162">
        <f t="shared" si="46"/>
        <v>0</v>
      </c>
      <c r="EM71" s="162">
        <f t="shared" si="46"/>
        <v>0</v>
      </c>
      <c r="EN71" s="162">
        <f t="shared" si="46"/>
        <v>0</v>
      </c>
      <c r="EO71" s="162">
        <f t="shared" si="46"/>
        <v>0</v>
      </c>
      <c r="EP71" s="162">
        <f t="shared" si="46"/>
        <v>0</v>
      </c>
      <c r="EQ71" s="162">
        <f t="shared" si="46"/>
        <v>0</v>
      </c>
    </row>
    <row r="72" spans="2:147" ht="11.25" customHeight="1">
      <c r="B72" s="218"/>
      <c r="C72" s="163"/>
      <c r="D72" s="164" t="s">
        <v>208</v>
      </c>
      <c r="E72" s="165"/>
      <c r="F72" s="165"/>
      <c r="G72" s="165"/>
      <c r="H72" s="166"/>
      <c r="I72" s="228"/>
      <c r="J72" s="168">
        <f>SUM(L72:EQ72)</f>
        <v>160000000</v>
      </c>
      <c r="K72" s="98"/>
      <c r="L72" s="168">
        <f>'FS_Detail(M)'!L22</f>
        <v>160000000</v>
      </c>
      <c r="M72" s="168">
        <f>'FS_Detail(M)'!M22</f>
        <v>0</v>
      </c>
      <c r="N72" s="168">
        <f>'FS_Detail(M)'!N22</f>
        <v>0</v>
      </c>
      <c r="O72" s="168">
        <f>'FS_Detail(M)'!O22</f>
        <v>0</v>
      </c>
      <c r="P72" s="168">
        <f>'FS_Detail(M)'!P22</f>
        <v>0</v>
      </c>
      <c r="Q72" s="168">
        <f>'FS_Detail(M)'!Q22</f>
        <v>0</v>
      </c>
      <c r="R72" s="168">
        <f>'FS_Detail(M)'!R22</f>
        <v>0</v>
      </c>
      <c r="S72" s="168">
        <f>'FS_Detail(M)'!S22</f>
        <v>0</v>
      </c>
      <c r="T72" s="168">
        <f>'FS_Detail(M)'!T22</f>
        <v>0</v>
      </c>
      <c r="U72" s="168">
        <f>'FS_Detail(M)'!U22</f>
        <v>0</v>
      </c>
      <c r="V72" s="168">
        <f>'FS_Detail(M)'!V22</f>
        <v>0</v>
      </c>
      <c r="W72" s="168">
        <f>'FS_Detail(M)'!W22</f>
        <v>0</v>
      </c>
      <c r="X72" s="168">
        <f>'FS_Detail(M)'!X22</f>
        <v>0</v>
      </c>
      <c r="Y72" s="168">
        <f>'FS_Detail(M)'!Y22</f>
        <v>0</v>
      </c>
      <c r="Z72" s="168">
        <f>'FS_Detail(M)'!Z22</f>
        <v>0</v>
      </c>
      <c r="AA72" s="168">
        <f>'FS_Detail(M)'!AA22</f>
        <v>0</v>
      </c>
      <c r="AB72" s="168">
        <f>'FS_Detail(M)'!AB22</f>
        <v>0</v>
      </c>
      <c r="AC72" s="168">
        <f>'FS_Detail(M)'!AC22</f>
        <v>0</v>
      </c>
      <c r="AD72" s="168">
        <f>'FS_Detail(M)'!AD22</f>
        <v>0</v>
      </c>
      <c r="AE72" s="168">
        <f>'FS_Detail(M)'!AE22</f>
        <v>0</v>
      </c>
      <c r="AF72" s="168">
        <f>'FS_Detail(M)'!AF22</f>
        <v>0</v>
      </c>
      <c r="AG72" s="168">
        <f>'FS_Detail(M)'!AG22</f>
        <v>0</v>
      </c>
      <c r="AH72" s="168">
        <f>'FS_Detail(M)'!AH22</f>
        <v>0</v>
      </c>
      <c r="AI72" s="168">
        <f>'FS_Detail(M)'!AI22</f>
        <v>0</v>
      </c>
      <c r="AJ72" s="168">
        <f>'FS_Detail(M)'!AJ22</f>
        <v>0</v>
      </c>
      <c r="AK72" s="168">
        <f>'FS_Detail(M)'!AK22</f>
        <v>0</v>
      </c>
      <c r="AL72" s="168">
        <f>'FS_Detail(M)'!AL22</f>
        <v>0</v>
      </c>
      <c r="AM72" s="168">
        <f>'FS_Detail(M)'!AM22</f>
        <v>0</v>
      </c>
      <c r="AN72" s="168">
        <f>'FS_Detail(M)'!AN22</f>
        <v>0</v>
      </c>
      <c r="AO72" s="168">
        <f>'FS_Detail(M)'!AO22</f>
        <v>0</v>
      </c>
      <c r="AP72" s="168">
        <f>'FS_Detail(M)'!AP22</f>
        <v>0</v>
      </c>
      <c r="AQ72" s="168">
        <f>'FS_Detail(M)'!AQ22</f>
        <v>0</v>
      </c>
      <c r="AR72" s="168">
        <f>'FS_Detail(M)'!AR22</f>
        <v>0</v>
      </c>
      <c r="AS72" s="168">
        <f>'FS_Detail(M)'!AS22</f>
        <v>0</v>
      </c>
      <c r="AT72" s="168">
        <f>'FS_Detail(M)'!AT22</f>
        <v>0</v>
      </c>
      <c r="AU72" s="168">
        <f>'FS_Detail(M)'!AU22</f>
        <v>0</v>
      </c>
      <c r="AV72" s="168">
        <f>'FS_Detail(M)'!AV22</f>
        <v>0</v>
      </c>
      <c r="AW72" s="168">
        <f>'FS_Detail(M)'!AW22</f>
        <v>0</v>
      </c>
      <c r="AX72" s="168">
        <f>'FS_Detail(M)'!AX22</f>
        <v>0</v>
      </c>
      <c r="AY72" s="168">
        <f>'FS_Detail(M)'!AY22</f>
        <v>0</v>
      </c>
      <c r="AZ72" s="168">
        <f>'FS_Detail(M)'!AZ22</f>
        <v>0</v>
      </c>
      <c r="BA72" s="168">
        <f>'FS_Detail(M)'!BA22</f>
        <v>0</v>
      </c>
      <c r="BB72" s="168">
        <f>'FS_Detail(M)'!BB22</f>
        <v>0</v>
      </c>
      <c r="BC72" s="168">
        <f>'FS_Detail(M)'!BC22</f>
        <v>0</v>
      </c>
      <c r="BD72" s="168">
        <f>'FS_Detail(M)'!BD22</f>
        <v>0</v>
      </c>
      <c r="BE72" s="168">
        <f>'FS_Detail(M)'!BE22</f>
        <v>0</v>
      </c>
      <c r="BF72" s="168">
        <f>'FS_Detail(M)'!BF22</f>
        <v>0</v>
      </c>
      <c r="BG72" s="168">
        <f>'FS_Detail(M)'!BG22</f>
        <v>0</v>
      </c>
      <c r="BH72" s="168">
        <f>'FS_Detail(M)'!BH22</f>
        <v>0</v>
      </c>
      <c r="BI72" s="168">
        <f>'FS_Detail(M)'!BI22</f>
        <v>0</v>
      </c>
      <c r="BJ72" s="168">
        <f>'FS_Detail(M)'!BJ22</f>
        <v>0</v>
      </c>
      <c r="BK72" s="168">
        <f>'FS_Detail(M)'!BK22</f>
        <v>0</v>
      </c>
      <c r="BL72" s="168">
        <f>'FS_Detail(M)'!BL22</f>
        <v>0</v>
      </c>
      <c r="BM72" s="168">
        <f>'FS_Detail(M)'!BM22</f>
        <v>0</v>
      </c>
      <c r="BN72" s="168">
        <f>'FS_Detail(M)'!BN22</f>
        <v>0</v>
      </c>
      <c r="BO72" s="168">
        <f>'FS_Detail(M)'!BO22</f>
        <v>0</v>
      </c>
      <c r="BP72" s="168">
        <f>'FS_Detail(M)'!BP22</f>
        <v>0</v>
      </c>
      <c r="BQ72" s="168">
        <f>'FS_Detail(M)'!BQ22</f>
        <v>0</v>
      </c>
      <c r="BR72" s="168">
        <f>'FS_Detail(M)'!BR22</f>
        <v>0</v>
      </c>
      <c r="BS72" s="168">
        <f>'FS_Detail(M)'!BS22</f>
        <v>0</v>
      </c>
      <c r="BT72" s="168">
        <f>'FS_Detail(M)'!BT22</f>
        <v>0</v>
      </c>
      <c r="BU72" s="168">
        <f>'FS_Detail(M)'!BU22</f>
        <v>0</v>
      </c>
      <c r="BV72" s="168">
        <f>'FS_Detail(M)'!BV22</f>
        <v>0</v>
      </c>
      <c r="BW72" s="168">
        <f>'FS_Detail(M)'!BW22</f>
        <v>0</v>
      </c>
      <c r="BX72" s="168">
        <f>'FS_Detail(M)'!BX22</f>
        <v>0</v>
      </c>
      <c r="BY72" s="168">
        <f>'FS_Detail(M)'!BY22</f>
        <v>0</v>
      </c>
      <c r="BZ72" s="168">
        <f>'FS_Detail(M)'!BZ22</f>
        <v>0</v>
      </c>
      <c r="CA72" s="168">
        <f>'FS_Detail(M)'!CA22</f>
        <v>0</v>
      </c>
      <c r="CB72" s="168">
        <f>'FS_Detail(M)'!CB22</f>
        <v>0</v>
      </c>
      <c r="CC72" s="168">
        <f>'FS_Detail(M)'!CC22</f>
        <v>0</v>
      </c>
      <c r="CD72" s="168">
        <f>'FS_Detail(M)'!CD22</f>
        <v>0</v>
      </c>
      <c r="CE72" s="168">
        <f>'FS_Detail(M)'!CE22</f>
        <v>0</v>
      </c>
      <c r="CF72" s="168">
        <f>'FS_Detail(M)'!CF22</f>
        <v>0</v>
      </c>
      <c r="CG72" s="168">
        <f>'FS_Detail(M)'!CG22</f>
        <v>0</v>
      </c>
      <c r="CH72" s="168">
        <f>'FS_Detail(M)'!CH22</f>
        <v>0</v>
      </c>
      <c r="CI72" s="168">
        <f>'FS_Detail(M)'!CI22</f>
        <v>0</v>
      </c>
      <c r="CJ72" s="168">
        <f>'FS_Detail(M)'!CJ22</f>
        <v>0</v>
      </c>
      <c r="CK72" s="168">
        <f>'FS_Detail(M)'!CK22</f>
        <v>0</v>
      </c>
      <c r="CL72" s="168">
        <f>'FS_Detail(M)'!CL22</f>
        <v>0</v>
      </c>
      <c r="CM72" s="168">
        <f>'FS_Detail(M)'!CM22</f>
        <v>0</v>
      </c>
      <c r="CN72" s="168">
        <f>'FS_Detail(M)'!CN22</f>
        <v>0</v>
      </c>
      <c r="CO72" s="168">
        <f>'FS_Detail(M)'!CO22</f>
        <v>0</v>
      </c>
      <c r="CP72" s="168">
        <f>'FS_Detail(M)'!CP22</f>
        <v>0</v>
      </c>
      <c r="CQ72" s="168">
        <f>'FS_Detail(M)'!CQ22</f>
        <v>0</v>
      </c>
      <c r="CR72" s="168">
        <f>'FS_Detail(M)'!CR22</f>
        <v>0</v>
      </c>
      <c r="CS72" s="168">
        <f>'FS_Detail(M)'!CS22</f>
        <v>0</v>
      </c>
      <c r="CT72" s="168">
        <f>'FS_Detail(M)'!CT22</f>
        <v>0</v>
      </c>
      <c r="CU72" s="168">
        <f>'FS_Detail(M)'!CU22</f>
        <v>0</v>
      </c>
      <c r="CV72" s="168">
        <f>'FS_Detail(M)'!CV22</f>
        <v>0</v>
      </c>
      <c r="CW72" s="168">
        <f>'FS_Detail(M)'!CW22</f>
        <v>0</v>
      </c>
      <c r="CX72" s="168">
        <f>'FS_Detail(M)'!CX22</f>
        <v>0</v>
      </c>
      <c r="CY72" s="168">
        <f>'FS_Detail(M)'!CY22</f>
        <v>0</v>
      </c>
      <c r="CZ72" s="168">
        <f>'FS_Detail(M)'!CZ22</f>
        <v>0</v>
      </c>
      <c r="DA72" s="168">
        <f>'FS_Detail(M)'!DA22</f>
        <v>0</v>
      </c>
      <c r="DB72" s="168">
        <f>'FS_Detail(M)'!DB22</f>
        <v>0</v>
      </c>
      <c r="DC72" s="168">
        <f>'FS_Detail(M)'!DC22</f>
        <v>0</v>
      </c>
      <c r="DD72" s="168">
        <f>'FS_Detail(M)'!DD22</f>
        <v>0</v>
      </c>
      <c r="DE72" s="168">
        <f>'FS_Detail(M)'!DE22</f>
        <v>0</v>
      </c>
      <c r="DF72" s="168">
        <f>'FS_Detail(M)'!DF22</f>
        <v>0</v>
      </c>
      <c r="DG72" s="168">
        <f>'FS_Detail(M)'!DG22</f>
        <v>0</v>
      </c>
      <c r="DH72" s="168">
        <f>'FS_Detail(M)'!DH22</f>
        <v>0</v>
      </c>
      <c r="DI72" s="168">
        <f>'FS_Detail(M)'!DI22</f>
        <v>0</v>
      </c>
      <c r="DJ72" s="168">
        <f>'FS_Detail(M)'!DJ22</f>
        <v>0</v>
      </c>
      <c r="DK72" s="168">
        <f>'FS_Detail(M)'!DK22</f>
        <v>0</v>
      </c>
      <c r="DL72" s="168">
        <f>'FS_Detail(M)'!DL22</f>
        <v>0</v>
      </c>
      <c r="DM72" s="168">
        <f>'FS_Detail(M)'!DM22</f>
        <v>0</v>
      </c>
      <c r="DN72" s="168">
        <f>'FS_Detail(M)'!DN22</f>
        <v>0</v>
      </c>
      <c r="DO72" s="168">
        <f>'FS_Detail(M)'!DO22</f>
        <v>0</v>
      </c>
      <c r="DP72" s="168">
        <f>'FS_Detail(M)'!DP22</f>
        <v>0</v>
      </c>
      <c r="DQ72" s="168">
        <f>'FS_Detail(M)'!DQ22</f>
        <v>0</v>
      </c>
      <c r="DR72" s="168">
        <f>'FS_Detail(M)'!DR22</f>
        <v>0</v>
      </c>
      <c r="DS72" s="168">
        <f>'FS_Detail(M)'!DS22</f>
        <v>0</v>
      </c>
      <c r="DT72" s="168">
        <f>'FS_Detail(M)'!DT22</f>
        <v>0</v>
      </c>
      <c r="DU72" s="168">
        <f>'FS_Detail(M)'!DU22</f>
        <v>0</v>
      </c>
      <c r="DV72" s="168">
        <f>'FS_Detail(M)'!DV22</f>
        <v>0</v>
      </c>
      <c r="DW72" s="168">
        <f>'FS_Detail(M)'!DW22</f>
        <v>0</v>
      </c>
      <c r="DX72" s="168">
        <f>'FS_Detail(M)'!DX22</f>
        <v>0</v>
      </c>
      <c r="DY72" s="168">
        <f>'FS_Detail(M)'!DY22</f>
        <v>0</v>
      </c>
      <c r="DZ72" s="168">
        <f>'FS_Detail(M)'!DZ22</f>
        <v>0</v>
      </c>
      <c r="EA72" s="168">
        <f>'FS_Detail(M)'!EA22</f>
        <v>0</v>
      </c>
      <c r="EB72" s="168">
        <f>'FS_Detail(M)'!EB22</f>
        <v>0</v>
      </c>
      <c r="EC72" s="168">
        <f>'FS_Detail(M)'!EC22</f>
        <v>0</v>
      </c>
      <c r="ED72" s="168">
        <f>'FS_Detail(M)'!ED22</f>
        <v>0</v>
      </c>
      <c r="EE72" s="168">
        <f>'FS_Detail(M)'!EE22</f>
        <v>0</v>
      </c>
      <c r="EF72" s="168">
        <f>'FS_Detail(M)'!EF22</f>
        <v>0</v>
      </c>
      <c r="EG72" s="168">
        <f>'FS_Detail(M)'!EG22</f>
        <v>0</v>
      </c>
      <c r="EH72" s="168">
        <f>'FS_Detail(M)'!EH22</f>
        <v>0</v>
      </c>
      <c r="EI72" s="168">
        <f>'FS_Detail(M)'!EI22</f>
        <v>0</v>
      </c>
      <c r="EJ72" s="168">
        <f>'FS_Detail(M)'!EJ22</f>
        <v>0</v>
      </c>
      <c r="EK72" s="168">
        <f>'FS_Detail(M)'!EK22</f>
        <v>0</v>
      </c>
      <c r="EL72" s="168">
        <f>'FS_Detail(M)'!EL22</f>
        <v>0</v>
      </c>
      <c r="EM72" s="168">
        <f>'FS_Detail(M)'!EM22</f>
        <v>0</v>
      </c>
      <c r="EN72" s="168">
        <f>'FS_Detail(M)'!EN22</f>
        <v>0</v>
      </c>
      <c r="EO72" s="168">
        <f>'FS_Detail(M)'!EO22</f>
        <v>0</v>
      </c>
      <c r="EP72" s="168">
        <f>'FS_Detail(M)'!EP22</f>
        <v>0</v>
      </c>
      <c r="EQ72" s="168">
        <f>'FS_Detail(M)'!EQ22</f>
        <v>0</v>
      </c>
    </row>
    <row r="73" spans="2:147" ht="11.25" customHeight="1">
      <c r="B73" s="218"/>
      <c r="C73" s="163"/>
      <c r="D73" s="169" t="s">
        <v>209</v>
      </c>
      <c r="H73" s="146"/>
      <c r="I73" s="229"/>
      <c r="J73" s="171">
        <f>SUM(L73:EQ73)</f>
        <v>-160000000</v>
      </c>
      <c r="K73" s="98"/>
      <c r="L73" s="171">
        <f>-'FS_Detail(M)'!L23</f>
        <v>0</v>
      </c>
      <c r="M73" s="171">
        <f>-'FS_Detail(M)'!M23</f>
        <v>0</v>
      </c>
      <c r="N73" s="171">
        <f>-'FS_Detail(M)'!N23</f>
        <v>0</v>
      </c>
      <c r="O73" s="171">
        <f>-'FS_Detail(M)'!O23</f>
        <v>0</v>
      </c>
      <c r="P73" s="171">
        <f>-'FS_Detail(M)'!P23</f>
        <v>0</v>
      </c>
      <c r="Q73" s="171">
        <f>-'FS_Detail(M)'!Q23</f>
        <v>0</v>
      </c>
      <c r="R73" s="171">
        <f>-'FS_Detail(M)'!R23</f>
        <v>0</v>
      </c>
      <c r="S73" s="171">
        <f>-'FS_Detail(M)'!S23</f>
        <v>0</v>
      </c>
      <c r="T73" s="171">
        <f>-'FS_Detail(M)'!T23</f>
        <v>0</v>
      </c>
      <c r="U73" s="171">
        <f>-'FS_Detail(M)'!U23</f>
        <v>0</v>
      </c>
      <c r="V73" s="171">
        <f>-'FS_Detail(M)'!V23</f>
        <v>0</v>
      </c>
      <c r="W73" s="171">
        <f>-'FS_Detail(M)'!W23</f>
        <v>0</v>
      </c>
      <c r="X73" s="171">
        <f>-'FS_Detail(M)'!X23</f>
        <v>0</v>
      </c>
      <c r="Y73" s="171">
        <f>-'FS_Detail(M)'!Y23</f>
        <v>0</v>
      </c>
      <c r="Z73" s="171">
        <f>-'FS_Detail(M)'!Z23</f>
        <v>0</v>
      </c>
      <c r="AA73" s="171">
        <f>-'FS_Detail(M)'!AA23</f>
        <v>0</v>
      </c>
      <c r="AB73" s="171">
        <f>-'FS_Detail(M)'!AB23</f>
        <v>0</v>
      </c>
      <c r="AC73" s="171">
        <f>-'FS_Detail(M)'!AC23</f>
        <v>0</v>
      </c>
      <c r="AD73" s="171">
        <f>-'FS_Detail(M)'!AD23</f>
        <v>0</v>
      </c>
      <c r="AE73" s="171">
        <f>-'FS_Detail(M)'!AE23</f>
        <v>0</v>
      </c>
      <c r="AF73" s="171">
        <f>-'FS_Detail(M)'!AF23</f>
        <v>0</v>
      </c>
      <c r="AG73" s="171">
        <f>-'FS_Detail(M)'!AG23</f>
        <v>0</v>
      </c>
      <c r="AH73" s="171">
        <f>-'FS_Detail(M)'!AH23</f>
        <v>0</v>
      </c>
      <c r="AI73" s="171">
        <f>-'FS_Detail(M)'!AI23</f>
        <v>0</v>
      </c>
      <c r="AJ73" s="171">
        <f>-'FS_Detail(M)'!AJ23</f>
        <v>-160000000</v>
      </c>
      <c r="AK73" s="171">
        <f>-'FS_Detail(M)'!AK23</f>
        <v>0</v>
      </c>
      <c r="AL73" s="171">
        <f>-'FS_Detail(M)'!AL23</f>
        <v>0</v>
      </c>
      <c r="AM73" s="171">
        <f>-'FS_Detail(M)'!AM23</f>
        <v>0</v>
      </c>
      <c r="AN73" s="171">
        <f>-'FS_Detail(M)'!AN23</f>
        <v>0</v>
      </c>
      <c r="AO73" s="171">
        <f>-'FS_Detail(M)'!AO23</f>
        <v>0</v>
      </c>
      <c r="AP73" s="171">
        <f>-'FS_Detail(M)'!AP23</f>
        <v>0</v>
      </c>
      <c r="AQ73" s="171">
        <f>-'FS_Detail(M)'!AQ23</f>
        <v>0</v>
      </c>
      <c r="AR73" s="171">
        <f>-'FS_Detail(M)'!AR23</f>
        <v>0</v>
      </c>
      <c r="AS73" s="171">
        <f>-'FS_Detail(M)'!AS23</f>
        <v>0</v>
      </c>
      <c r="AT73" s="171">
        <f>-'FS_Detail(M)'!AT23</f>
        <v>0</v>
      </c>
      <c r="AU73" s="171">
        <f>-'FS_Detail(M)'!AU23</f>
        <v>0</v>
      </c>
      <c r="AV73" s="171">
        <f>-'FS_Detail(M)'!AV23</f>
        <v>0</v>
      </c>
      <c r="AW73" s="171">
        <f>-'FS_Detail(M)'!AW23</f>
        <v>0</v>
      </c>
      <c r="AX73" s="171">
        <f>-'FS_Detail(M)'!AX23</f>
        <v>0</v>
      </c>
      <c r="AY73" s="171">
        <f>-'FS_Detail(M)'!AY23</f>
        <v>0</v>
      </c>
      <c r="AZ73" s="171">
        <f>-'FS_Detail(M)'!AZ23</f>
        <v>0</v>
      </c>
      <c r="BA73" s="171">
        <f>-'FS_Detail(M)'!BA23</f>
        <v>0</v>
      </c>
      <c r="BB73" s="171">
        <f>-'FS_Detail(M)'!BB23</f>
        <v>0</v>
      </c>
      <c r="BC73" s="171">
        <f>-'FS_Detail(M)'!BC23</f>
        <v>0</v>
      </c>
      <c r="BD73" s="171">
        <f>-'FS_Detail(M)'!BD23</f>
        <v>0</v>
      </c>
      <c r="BE73" s="171">
        <f>-'FS_Detail(M)'!BE23</f>
        <v>0</v>
      </c>
      <c r="BF73" s="171">
        <f>-'FS_Detail(M)'!BF23</f>
        <v>0</v>
      </c>
      <c r="BG73" s="171">
        <f>-'FS_Detail(M)'!BG23</f>
        <v>0</v>
      </c>
      <c r="BH73" s="171">
        <f>-'FS_Detail(M)'!BH23</f>
        <v>0</v>
      </c>
      <c r="BI73" s="171">
        <f>-'FS_Detail(M)'!BI23</f>
        <v>0</v>
      </c>
      <c r="BJ73" s="171">
        <f>-'FS_Detail(M)'!BJ23</f>
        <v>0</v>
      </c>
      <c r="BK73" s="171">
        <f>-'FS_Detail(M)'!BK23</f>
        <v>0</v>
      </c>
      <c r="BL73" s="171">
        <f>-'FS_Detail(M)'!BL23</f>
        <v>0</v>
      </c>
      <c r="BM73" s="171">
        <f>-'FS_Detail(M)'!BM23</f>
        <v>0</v>
      </c>
      <c r="BN73" s="171">
        <f>-'FS_Detail(M)'!BN23</f>
        <v>0</v>
      </c>
      <c r="BO73" s="171">
        <f>-'FS_Detail(M)'!BO23</f>
        <v>0</v>
      </c>
      <c r="BP73" s="171">
        <f>-'FS_Detail(M)'!BP23</f>
        <v>0</v>
      </c>
      <c r="BQ73" s="171">
        <f>-'FS_Detail(M)'!BQ23</f>
        <v>0</v>
      </c>
      <c r="BR73" s="171">
        <f>-'FS_Detail(M)'!BR23</f>
        <v>0</v>
      </c>
      <c r="BS73" s="171">
        <f>-'FS_Detail(M)'!BS23</f>
        <v>0</v>
      </c>
      <c r="BT73" s="171">
        <f>-'FS_Detail(M)'!BT23</f>
        <v>0</v>
      </c>
      <c r="BU73" s="171">
        <f>-'FS_Detail(M)'!BU23</f>
        <v>0</v>
      </c>
      <c r="BV73" s="171">
        <f>-'FS_Detail(M)'!BV23</f>
        <v>0</v>
      </c>
      <c r="BW73" s="171">
        <f>-'FS_Detail(M)'!BW23</f>
        <v>0</v>
      </c>
      <c r="BX73" s="171">
        <f>-'FS_Detail(M)'!BX23</f>
        <v>0</v>
      </c>
      <c r="BY73" s="171">
        <f>-'FS_Detail(M)'!BY23</f>
        <v>0</v>
      </c>
      <c r="BZ73" s="171">
        <f>-'FS_Detail(M)'!BZ23</f>
        <v>0</v>
      </c>
      <c r="CA73" s="171">
        <f>-'FS_Detail(M)'!CA23</f>
        <v>0</v>
      </c>
      <c r="CB73" s="171">
        <f>-'FS_Detail(M)'!CB23</f>
        <v>0</v>
      </c>
      <c r="CC73" s="171">
        <f>-'FS_Detail(M)'!CC23</f>
        <v>0</v>
      </c>
      <c r="CD73" s="171">
        <f>-'FS_Detail(M)'!CD23</f>
        <v>0</v>
      </c>
      <c r="CE73" s="171">
        <f>-'FS_Detail(M)'!CE23</f>
        <v>0</v>
      </c>
      <c r="CF73" s="171">
        <f>-'FS_Detail(M)'!CF23</f>
        <v>0</v>
      </c>
      <c r="CG73" s="171">
        <f>-'FS_Detail(M)'!CG23</f>
        <v>0</v>
      </c>
      <c r="CH73" s="171">
        <f>-'FS_Detail(M)'!CH23</f>
        <v>0</v>
      </c>
      <c r="CI73" s="171">
        <f>-'FS_Detail(M)'!CI23</f>
        <v>0</v>
      </c>
      <c r="CJ73" s="171">
        <f>-'FS_Detail(M)'!CJ23</f>
        <v>0</v>
      </c>
      <c r="CK73" s="171">
        <f>-'FS_Detail(M)'!CK23</f>
        <v>0</v>
      </c>
      <c r="CL73" s="171">
        <f>-'FS_Detail(M)'!CL23</f>
        <v>0</v>
      </c>
      <c r="CM73" s="171">
        <f>-'FS_Detail(M)'!CM23</f>
        <v>0</v>
      </c>
      <c r="CN73" s="171">
        <f>-'FS_Detail(M)'!CN23</f>
        <v>0</v>
      </c>
      <c r="CO73" s="171">
        <f>-'FS_Detail(M)'!CO23</f>
        <v>0</v>
      </c>
      <c r="CP73" s="171">
        <f>-'FS_Detail(M)'!CP23</f>
        <v>0</v>
      </c>
      <c r="CQ73" s="171">
        <f>-'FS_Detail(M)'!CQ23</f>
        <v>0</v>
      </c>
      <c r="CR73" s="171">
        <f>-'FS_Detail(M)'!CR23</f>
        <v>0</v>
      </c>
      <c r="CS73" s="171">
        <f>-'FS_Detail(M)'!CS23</f>
        <v>0</v>
      </c>
      <c r="CT73" s="171">
        <f>-'FS_Detail(M)'!CT23</f>
        <v>0</v>
      </c>
      <c r="CU73" s="171">
        <f>-'FS_Detail(M)'!CU23</f>
        <v>0</v>
      </c>
      <c r="CV73" s="171">
        <f>-'FS_Detail(M)'!CV23</f>
        <v>0</v>
      </c>
      <c r="CW73" s="171">
        <f>-'FS_Detail(M)'!CW23</f>
        <v>0</v>
      </c>
      <c r="CX73" s="171">
        <f>-'FS_Detail(M)'!CX23</f>
        <v>0</v>
      </c>
      <c r="CY73" s="171">
        <f>-'FS_Detail(M)'!CY23</f>
        <v>0</v>
      </c>
      <c r="CZ73" s="171">
        <f>-'FS_Detail(M)'!CZ23</f>
        <v>0</v>
      </c>
      <c r="DA73" s="171">
        <f>-'FS_Detail(M)'!DA23</f>
        <v>0</v>
      </c>
      <c r="DB73" s="171">
        <f>-'FS_Detail(M)'!DB23</f>
        <v>0</v>
      </c>
      <c r="DC73" s="171">
        <f>-'FS_Detail(M)'!DC23</f>
        <v>0</v>
      </c>
      <c r="DD73" s="171">
        <f>-'FS_Detail(M)'!DD23</f>
        <v>0</v>
      </c>
      <c r="DE73" s="171">
        <f>-'FS_Detail(M)'!DE23</f>
        <v>0</v>
      </c>
      <c r="DF73" s="171">
        <f>-'FS_Detail(M)'!DF23</f>
        <v>0</v>
      </c>
      <c r="DG73" s="171">
        <f>-'FS_Detail(M)'!DG23</f>
        <v>0</v>
      </c>
      <c r="DH73" s="171">
        <f>-'FS_Detail(M)'!DH23</f>
        <v>0</v>
      </c>
      <c r="DI73" s="171">
        <f>-'FS_Detail(M)'!DI23</f>
        <v>0</v>
      </c>
      <c r="DJ73" s="171">
        <f>-'FS_Detail(M)'!DJ23</f>
        <v>0</v>
      </c>
      <c r="DK73" s="171">
        <f>-'FS_Detail(M)'!DK23</f>
        <v>0</v>
      </c>
      <c r="DL73" s="171">
        <f>-'FS_Detail(M)'!DL23</f>
        <v>0</v>
      </c>
      <c r="DM73" s="171">
        <f>-'FS_Detail(M)'!DM23</f>
        <v>0</v>
      </c>
      <c r="DN73" s="171">
        <f>-'FS_Detail(M)'!DN23</f>
        <v>0</v>
      </c>
      <c r="DO73" s="171">
        <f>-'FS_Detail(M)'!DO23</f>
        <v>0</v>
      </c>
      <c r="DP73" s="171">
        <f>-'FS_Detail(M)'!DP23</f>
        <v>0</v>
      </c>
      <c r="DQ73" s="171">
        <f>-'FS_Detail(M)'!DQ23</f>
        <v>0</v>
      </c>
      <c r="DR73" s="171">
        <f>-'FS_Detail(M)'!DR23</f>
        <v>0</v>
      </c>
      <c r="DS73" s="171">
        <f>-'FS_Detail(M)'!DS23</f>
        <v>0</v>
      </c>
      <c r="DT73" s="171">
        <f>-'FS_Detail(M)'!DT23</f>
        <v>0</v>
      </c>
      <c r="DU73" s="171">
        <f>-'FS_Detail(M)'!DU23</f>
        <v>0</v>
      </c>
      <c r="DV73" s="171">
        <f>-'FS_Detail(M)'!DV23</f>
        <v>0</v>
      </c>
      <c r="DW73" s="171">
        <f>-'FS_Detail(M)'!DW23</f>
        <v>0</v>
      </c>
      <c r="DX73" s="171">
        <f>-'FS_Detail(M)'!DX23</f>
        <v>0</v>
      </c>
      <c r="DY73" s="171">
        <f>-'FS_Detail(M)'!DY23</f>
        <v>0</v>
      </c>
      <c r="DZ73" s="171">
        <f>-'FS_Detail(M)'!DZ23</f>
        <v>0</v>
      </c>
      <c r="EA73" s="171">
        <f>-'FS_Detail(M)'!EA23</f>
        <v>0</v>
      </c>
      <c r="EB73" s="171">
        <f>-'FS_Detail(M)'!EB23</f>
        <v>0</v>
      </c>
      <c r="EC73" s="171">
        <f>-'FS_Detail(M)'!EC23</f>
        <v>0</v>
      </c>
      <c r="ED73" s="171">
        <f>-'FS_Detail(M)'!ED23</f>
        <v>0</v>
      </c>
      <c r="EE73" s="171">
        <f>-'FS_Detail(M)'!EE23</f>
        <v>0</v>
      </c>
      <c r="EF73" s="171">
        <f>-'FS_Detail(M)'!EF23</f>
        <v>0</v>
      </c>
      <c r="EG73" s="171">
        <f>-'FS_Detail(M)'!EG23</f>
        <v>0</v>
      </c>
      <c r="EH73" s="171">
        <f>-'FS_Detail(M)'!EH23</f>
        <v>0</v>
      </c>
      <c r="EI73" s="171">
        <f>-'FS_Detail(M)'!EI23</f>
        <v>0</v>
      </c>
      <c r="EJ73" s="171">
        <f>-'FS_Detail(M)'!EJ23</f>
        <v>0</v>
      </c>
      <c r="EK73" s="171">
        <f>-'FS_Detail(M)'!EK23</f>
        <v>0</v>
      </c>
      <c r="EL73" s="171">
        <f>-'FS_Detail(M)'!EL23</f>
        <v>0</v>
      </c>
      <c r="EM73" s="171">
        <f>-'FS_Detail(M)'!EM23</f>
        <v>0</v>
      </c>
      <c r="EN73" s="171">
        <f>-'FS_Detail(M)'!EN23</f>
        <v>0</v>
      </c>
      <c r="EO73" s="171">
        <f>-'FS_Detail(M)'!EO23</f>
        <v>0</v>
      </c>
      <c r="EP73" s="171">
        <f>-'FS_Detail(M)'!EP23</f>
        <v>0</v>
      </c>
      <c r="EQ73" s="171">
        <f>-'FS_Detail(M)'!EQ23</f>
        <v>0</v>
      </c>
    </row>
    <row r="74" spans="2:147" ht="11.25" customHeight="1">
      <c r="B74" s="218"/>
      <c r="C74" s="158" t="str">
        <f>'FS_Detail(M)'!C103</f>
        <v>담보대출(2nd)</v>
      </c>
      <c r="D74" s="159"/>
      <c r="E74" s="159"/>
      <c r="F74" s="159"/>
      <c r="G74" s="159"/>
      <c r="H74" s="160"/>
      <c r="I74" s="219"/>
      <c r="J74" s="220">
        <f>SUM(J75:J76)</f>
        <v>0</v>
      </c>
      <c r="K74" s="98"/>
      <c r="L74" s="162">
        <f>SUM(L75:L76)</f>
        <v>0</v>
      </c>
      <c r="M74" s="162">
        <f t="shared" ref="M74:BX74" si="47">SUM(M75:M76)</f>
        <v>0</v>
      </c>
      <c r="N74" s="162">
        <f t="shared" si="47"/>
        <v>0</v>
      </c>
      <c r="O74" s="162">
        <f t="shared" si="47"/>
        <v>0</v>
      </c>
      <c r="P74" s="162">
        <f t="shared" si="47"/>
        <v>0</v>
      </c>
      <c r="Q74" s="162">
        <f t="shared" si="47"/>
        <v>0</v>
      </c>
      <c r="R74" s="162">
        <f t="shared" si="47"/>
        <v>0</v>
      </c>
      <c r="S74" s="162">
        <f t="shared" si="47"/>
        <v>0</v>
      </c>
      <c r="T74" s="162">
        <f t="shared" si="47"/>
        <v>0</v>
      </c>
      <c r="U74" s="162">
        <f t="shared" si="47"/>
        <v>0</v>
      </c>
      <c r="V74" s="162">
        <f t="shared" si="47"/>
        <v>0</v>
      </c>
      <c r="W74" s="162">
        <f t="shared" si="47"/>
        <v>0</v>
      </c>
      <c r="X74" s="162">
        <f t="shared" si="47"/>
        <v>0</v>
      </c>
      <c r="Y74" s="162">
        <f t="shared" si="47"/>
        <v>0</v>
      </c>
      <c r="Z74" s="162">
        <f t="shared" si="47"/>
        <v>0</v>
      </c>
      <c r="AA74" s="162">
        <f t="shared" si="47"/>
        <v>0</v>
      </c>
      <c r="AB74" s="162">
        <f t="shared" si="47"/>
        <v>0</v>
      </c>
      <c r="AC74" s="162">
        <f t="shared" si="47"/>
        <v>0</v>
      </c>
      <c r="AD74" s="162">
        <f t="shared" si="47"/>
        <v>0</v>
      </c>
      <c r="AE74" s="162">
        <f t="shared" si="47"/>
        <v>0</v>
      </c>
      <c r="AF74" s="162">
        <f t="shared" si="47"/>
        <v>0</v>
      </c>
      <c r="AG74" s="162">
        <f t="shared" si="47"/>
        <v>0</v>
      </c>
      <c r="AH74" s="162">
        <f t="shared" si="47"/>
        <v>0</v>
      </c>
      <c r="AI74" s="162">
        <f t="shared" si="47"/>
        <v>0</v>
      </c>
      <c r="AJ74" s="162">
        <f t="shared" si="47"/>
        <v>213000000</v>
      </c>
      <c r="AK74" s="162">
        <f t="shared" si="47"/>
        <v>0</v>
      </c>
      <c r="AL74" s="162">
        <f t="shared" si="47"/>
        <v>0</v>
      </c>
      <c r="AM74" s="162">
        <f t="shared" si="47"/>
        <v>0</v>
      </c>
      <c r="AN74" s="162">
        <f t="shared" si="47"/>
        <v>0</v>
      </c>
      <c r="AO74" s="162">
        <f t="shared" si="47"/>
        <v>0</v>
      </c>
      <c r="AP74" s="162">
        <f t="shared" si="47"/>
        <v>0</v>
      </c>
      <c r="AQ74" s="162">
        <f t="shared" si="47"/>
        <v>0</v>
      </c>
      <c r="AR74" s="162">
        <f t="shared" si="47"/>
        <v>0</v>
      </c>
      <c r="AS74" s="162">
        <f t="shared" si="47"/>
        <v>0</v>
      </c>
      <c r="AT74" s="162">
        <f t="shared" si="47"/>
        <v>0</v>
      </c>
      <c r="AU74" s="162">
        <f t="shared" si="47"/>
        <v>0</v>
      </c>
      <c r="AV74" s="162">
        <f t="shared" si="47"/>
        <v>0</v>
      </c>
      <c r="AW74" s="162">
        <f t="shared" si="47"/>
        <v>0</v>
      </c>
      <c r="AX74" s="162">
        <f t="shared" si="47"/>
        <v>0</v>
      </c>
      <c r="AY74" s="162">
        <f t="shared" si="47"/>
        <v>0</v>
      </c>
      <c r="AZ74" s="162">
        <f t="shared" si="47"/>
        <v>0</v>
      </c>
      <c r="BA74" s="162">
        <f t="shared" si="47"/>
        <v>0</v>
      </c>
      <c r="BB74" s="162">
        <f t="shared" si="47"/>
        <v>0</v>
      </c>
      <c r="BC74" s="162">
        <f t="shared" si="47"/>
        <v>0</v>
      </c>
      <c r="BD74" s="162">
        <f t="shared" si="47"/>
        <v>0</v>
      </c>
      <c r="BE74" s="162">
        <f t="shared" si="47"/>
        <v>0</v>
      </c>
      <c r="BF74" s="162">
        <f t="shared" si="47"/>
        <v>0</v>
      </c>
      <c r="BG74" s="162">
        <f t="shared" si="47"/>
        <v>0</v>
      </c>
      <c r="BH74" s="162">
        <f t="shared" si="47"/>
        <v>0</v>
      </c>
      <c r="BI74" s="162">
        <f t="shared" si="47"/>
        <v>0</v>
      </c>
      <c r="BJ74" s="162">
        <f t="shared" si="47"/>
        <v>0</v>
      </c>
      <c r="BK74" s="162">
        <f t="shared" si="47"/>
        <v>0</v>
      </c>
      <c r="BL74" s="162">
        <f t="shared" si="47"/>
        <v>0</v>
      </c>
      <c r="BM74" s="162">
        <f t="shared" si="47"/>
        <v>0</v>
      </c>
      <c r="BN74" s="162">
        <f t="shared" si="47"/>
        <v>0</v>
      </c>
      <c r="BO74" s="162">
        <f t="shared" si="47"/>
        <v>0</v>
      </c>
      <c r="BP74" s="162">
        <f t="shared" si="47"/>
        <v>0</v>
      </c>
      <c r="BQ74" s="162">
        <f t="shared" si="47"/>
        <v>0</v>
      </c>
      <c r="BR74" s="162">
        <f t="shared" si="47"/>
        <v>0</v>
      </c>
      <c r="BS74" s="162">
        <f t="shared" si="47"/>
        <v>0</v>
      </c>
      <c r="BT74" s="162">
        <f t="shared" si="47"/>
        <v>-213000000</v>
      </c>
      <c r="BU74" s="162">
        <f t="shared" si="47"/>
        <v>0</v>
      </c>
      <c r="BV74" s="162">
        <f t="shared" si="47"/>
        <v>0</v>
      </c>
      <c r="BW74" s="162">
        <f t="shared" si="47"/>
        <v>0</v>
      </c>
      <c r="BX74" s="162">
        <f t="shared" si="47"/>
        <v>0</v>
      </c>
      <c r="BY74" s="162">
        <f t="shared" ref="BY74:EJ74" si="48">SUM(BY75:BY76)</f>
        <v>0</v>
      </c>
      <c r="BZ74" s="162">
        <f t="shared" si="48"/>
        <v>0</v>
      </c>
      <c r="CA74" s="162">
        <f t="shared" si="48"/>
        <v>0</v>
      </c>
      <c r="CB74" s="162">
        <f t="shared" si="48"/>
        <v>0</v>
      </c>
      <c r="CC74" s="162">
        <f t="shared" si="48"/>
        <v>0</v>
      </c>
      <c r="CD74" s="162">
        <f t="shared" si="48"/>
        <v>0</v>
      </c>
      <c r="CE74" s="162">
        <f t="shared" si="48"/>
        <v>0</v>
      </c>
      <c r="CF74" s="162">
        <f t="shared" si="48"/>
        <v>0</v>
      </c>
      <c r="CG74" s="162">
        <f t="shared" si="48"/>
        <v>0</v>
      </c>
      <c r="CH74" s="162">
        <f t="shared" si="48"/>
        <v>0</v>
      </c>
      <c r="CI74" s="162">
        <f t="shared" si="48"/>
        <v>0</v>
      </c>
      <c r="CJ74" s="162">
        <f t="shared" si="48"/>
        <v>0</v>
      </c>
      <c r="CK74" s="162">
        <f t="shared" si="48"/>
        <v>0</v>
      </c>
      <c r="CL74" s="162">
        <f t="shared" si="48"/>
        <v>0</v>
      </c>
      <c r="CM74" s="162">
        <f t="shared" si="48"/>
        <v>0</v>
      </c>
      <c r="CN74" s="162">
        <f t="shared" si="48"/>
        <v>0</v>
      </c>
      <c r="CO74" s="162">
        <f t="shared" si="48"/>
        <v>0</v>
      </c>
      <c r="CP74" s="162">
        <f t="shared" si="48"/>
        <v>0</v>
      </c>
      <c r="CQ74" s="162">
        <f t="shared" si="48"/>
        <v>0</v>
      </c>
      <c r="CR74" s="162">
        <f t="shared" si="48"/>
        <v>0</v>
      </c>
      <c r="CS74" s="162">
        <f t="shared" si="48"/>
        <v>0</v>
      </c>
      <c r="CT74" s="162">
        <f t="shared" si="48"/>
        <v>0</v>
      </c>
      <c r="CU74" s="162">
        <f t="shared" si="48"/>
        <v>0</v>
      </c>
      <c r="CV74" s="162">
        <f t="shared" si="48"/>
        <v>0</v>
      </c>
      <c r="CW74" s="162">
        <f t="shared" si="48"/>
        <v>0</v>
      </c>
      <c r="CX74" s="162">
        <f t="shared" si="48"/>
        <v>0</v>
      </c>
      <c r="CY74" s="162">
        <f t="shared" si="48"/>
        <v>0</v>
      </c>
      <c r="CZ74" s="162">
        <f t="shared" si="48"/>
        <v>0</v>
      </c>
      <c r="DA74" s="162">
        <f t="shared" si="48"/>
        <v>0</v>
      </c>
      <c r="DB74" s="162">
        <f t="shared" si="48"/>
        <v>0</v>
      </c>
      <c r="DC74" s="162">
        <f t="shared" si="48"/>
        <v>0</v>
      </c>
      <c r="DD74" s="162">
        <f t="shared" si="48"/>
        <v>0</v>
      </c>
      <c r="DE74" s="162">
        <f t="shared" si="48"/>
        <v>0</v>
      </c>
      <c r="DF74" s="162">
        <f t="shared" si="48"/>
        <v>0</v>
      </c>
      <c r="DG74" s="162">
        <f t="shared" si="48"/>
        <v>0</v>
      </c>
      <c r="DH74" s="162">
        <f t="shared" si="48"/>
        <v>0</v>
      </c>
      <c r="DI74" s="162">
        <f t="shared" si="48"/>
        <v>0</v>
      </c>
      <c r="DJ74" s="162">
        <f t="shared" si="48"/>
        <v>0</v>
      </c>
      <c r="DK74" s="162">
        <f t="shared" si="48"/>
        <v>0</v>
      </c>
      <c r="DL74" s="162">
        <f t="shared" si="48"/>
        <v>0</v>
      </c>
      <c r="DM74" s="162">
        <f t="shared" si="48"/>
        <v>0</v>
      </c>
      <c r="DN74" s="162">
        <f t="shared" si="48"/>
        <v>0</v>
      </c>
      <c r="DO74" s="162">
        <f t="shared" si="48"/>
        <v>0</v>
      </c>
      <c r="DP74" s="162">
        <f t="shared" si="48"/>
        <v>0</v>
      </c>
      <c r="DQ74" s="162">
        <f t="shared" si="48"/>
        <v>0</v>
      </c>
      <c r="DR74" s="162">
        <f t="shared" si="48"/>
        <v>0</v>
      </c>
      <c r="DS74" s="162">
        <f t="shared" si="48"/>
        <v>0</v>
      </c>
      <c r="DT74" s="162">
        <f t="shared" si="48"/>
        <v>0</v>
      </c>
      <c r="DU74" s="162">
        <f t="shared" si="48"/>
        <v>0</v>
      </c>
      <c r="DV74" s="162">
        <f t="shared" si="48"/>
        <v>0</v>
      </c>
      <c r="DW74" s="162">
        <f t="shared" si="48"/>
        <v>0</v>
      </c>
      <c r="DX74" s="162">
        <f t="shared" si="48"/>
        <v>0</v>
      </c>
      <c r="DY74" s="162">
        <f t="shared" si="48"/>
        <v>0</v>
      </c>
      <c r="DZ74" s="162">
        <f t="shared" si="48"/>
        <v>0</v>
      </c>
      <c r="EA74" s="162">
        <f t="shared" si="48"/>
        <v>0</v>
      </c>
      <c r="EB74" s="162">
        <f t="shared" si="48"/>
        <v>0</v>
      </c>
      <c r="EC74" s="162">
        <f t="shared" si="48"/>
        <v>0</v>
      </c>
      <c r="ED74" s="162">
        <f t="shared" si="48"/>
        <v>0</v>
      </c>
      <c r="EE74" s="162">
        <f t="shared" si="48"/>
        <v>0</v>
      </c>
      <c r="EF74" s="162">
        <f t="shared" si="48"/>
        <v>0</v>
      </c>
      <c r="EG74" s="162">
        <f t="shared" si="48"/>
        <v>0</v>
      </c>
      <c r="EH74" s="162">
        <f t="shared" si="48"/>
        <v>0</v>
      </c>
      <c r="EI74" s="162">
        <f t="shared" si="48"/>
        <v>0</v>
      </c>
      <c r="EJ74" s="162">
        <f t="shared" si="48"/>
        <v>0</v>
      </c>
      <c r="EK74" s="162">
        <f t="shared" ref="EK74:EQ74" si="49">SUM(EK75:EK76)</f>
        <v>0</v>
      </c>
      <c r="EL74" s="162">
        <f t="shared" si="49"/>
        <v>0</v>
      </c>
      <c r="EM74" s="162">
        <f t="shared" si="49"/>
        <v>0</v>
      </c>
      <c r="EN74" s="162">
        <f t="shared" si="49"/>
        <v>0</v>
      </c>
      <c r="EO74" s="162">
        <f t="shared" si="49"/>
        <v>0</v>
      </c>
      <c r="EP74" s="162">
        <f t="shared" si="49"/>
        <v>0</v>
      </c>
      <c r="EQ74" s="162">
        <f t="shared" si="49"/>
        <v>0</v>
      </c>
    </row>
    <row r="75" spans="2:147" ht="11.25" customHeight="1">
      <c r="B75" s="218"/>
      <c r="C75" s="163"/>
      <c r="D75" s="164" t="s">
        <v>208</v>
      </c>
      <c r="E75" s="165"/>
      <c r="F75" s="165"/>
      <c r="G75" s="165"/>
      <c r="H75" s="166"/>
      <c r="I75" s="228"/>
      <c r="J75" s="168">
        <f>SUM(L75:EQ75)</f>
        <v>213000000</v>
      </c>
      <c r="K75" s="98"/>
      <c r="L75" s="168">
        <f>'FS_Detail(M)'!L27</f>
        <v>0</v>
      </c>
      <c r="M75" s="168">
        <f>'FS_Detail(M)'!M27</f>
        <v>0</v>
      </c>
      <c r="N75" s="168">
        <f>'FS_Detail(M)'!N27</f>
        <v>0</v>
      </c>
      <c r="O75" s="168">
        <f>'FS_Detail(M)'!O27</f>
        <v>0</v>
      </c>
      <c r="P75" s="168">
        <f>'FS_Detail(M)'!P27</f>
        <v>0</v>
      </c>
      <c r="Q75" s="168">
        <f>'FS_Detail(M)'!Q27</f>
        <v>0</v>
      </c>
      <c r="R75" s="168">
        <f>'FS_Detail(M)'!R27</f>
        <v>0</v>
      </c>
      <c r="S75" s="168">
        <f>'FS_Detail(M)'!S27</f>
        <v>0</v>
      </c>
      <c r="T75" s="168">
        <f>'FS_Detail(M)'!T27</f>
        <v>0</v>
      </c>
      <c r="U75" s="168">
        <f>'FS_Detail(M)'!U27</f>
        <v>0</v>
      </c>
      <c r="V75" s="168">
        <f>'FS_Detail(M)'!V27</f>
        <v>0</v>
      </c>
      <c r="W75" s="168">
        <f>'FS_Detail(M)'!W27</f>
        <v>0</v>
      </c>
      <c r="X75" s="168">
        <f>'FS_Detail(M)'!X27</f>
        <v>0</v>
      </c>
      <c r="Y75" s="168">
        <f>'FS_Detail(M)'!Y27</f>
        <v>0</v>
      </c>
      <c r="Z75" s="168">
        <f>'FS_Detail(M)'!Z27</f>
        <v>0</v>
      </c>
      <c r="AA75" s="168">
        <f>'FS_Detail(M)'!AA27</f>
        <v>0</v>
      </c>
      <c r="AB75" s="168">
        <f>'FS_Detail(M)'!AB27</f>
        <v>0</v>
      </c>
      <c r="AC75" s="168">
        <f>'FS_Detail(M)'!AC27</f>
        <v>0</v>
      </c>
      <c r="AD75" s="168">
        <f>'FS_Detail(M)'!AD27</f>
        <v>0</v>
      </c>
      <c r="AE75" s="168">
        <f>'FS_Detail(M)'!AE27</f>
        <v>0</v>
      </c>
      <c r="AF75" s="168">
        <f>'FS_Detail(M)'!AF27</f>
        <v>0</v>
      </c>
      <c r="AG75" s="168">
        <f>'FS_Detail(M)'!AG27</f>
        <v>0</v>
      </c>
      <c r="AH75" s="168">
        <f>'FS_Detail(M)'!AH27</f>
        <v>0</v>
      </c>
      <c r="AI75" s="168">
        <f>'FS_Detail(M)'!AI27</f>
        <v>0</v>
      </c>
      <c r="AJ75" s="168">
        <f>'FS_Detail(M)'!AJ27</f>
        <v>213000000</v>
      </c>
      <c r="AK75" s="168">
        <f>'FS_Detail(M)'!AK27</f>
        <v>0</v>
      </c>
      <c r="AL75" s="168">
        <f>'FS_Detail(M)'!AL27</f>
        <v>0</v>
      </c>
      <c r="AM75" s="168">
        <f>'FS_Detail(M)'!AM27</f>
        <v>0</v>
      </c>
      <c r="AN75" s="168">
        <f>'FS_Detail(M)'!AN27</f>
        <v>0</v>
      </c>
      <c r="AO75" s="168">
        <f>'FS_Detail(M)'!AO27</f>
        <v>0</v>
      </c>
      <c r="AP75" s="168">
        <f>'FS_Detail(M)'!AP27</f>
        <v>0</v>
      </c>
      <c r="AQ75" s="168">
        <f>'FS_Detail(M)'!AQ27</f>
        <v>0</v>
      </c>
      <c r="AR75" s="168">
        <f>'FS_Detail(M)'!AR27</f>
        <v>0</v>
      </c>
      <c r="AS75" s="168">
        <f>'FS_Detail(M)'!AS27</f>
        <v>0</v>
      </c>
      <c r="AT75" s="168">
        <f>'FS_Detail(M)'!AT27</f>
        <v>0</v>
      </c>
      <c r="AU75" s="168">
        <f>'FS_Detail(M)'!AU27</f>
        <v>0</v>
      </c>
      <c r="AV75" s="168">
        <f>'FS_Detail(M)'!AV27</f>
        <v>0</v>
      </c>
      <c r="AW75" s="168">
        <f>'FS_Detail(M)'!AW27</f>
        <v>0</v>
      </c>
      <c r="AX75" s="168">
        <f>'FS_Detail(M)'!AX27</f>
        <v>0</v>
      </c>
      <c r="AY75" s="168">
        <f>'FS_Detail(M)'!AY27</f>
        <v>0</v>
      </c>
      <c r="AZ75" s="168">
        <f>'FS_Detail(M)'!AZ27</f>
        <v>0</v>
      </c>
      <c r="BA75" s="168">
        <f>'FS_Detail(M)'!BA27</f>
        <v>0</v>
      </c>
      <c r="BB75" s="168">
        <f>'FS_Detail(M)'!BB27</f>
        <v>0</v>
      </c>
      <c r="BC75" s="168">
        <f>'FS_Detail(M)'!BC27</f>
        <v>0</v>
      </c>
      <c r="BD75" s="168">
        <f>'FS_Detail(M)'!BD27</f>
        <v>0</v>
      </c>
      <c r="BE75" s="168">
        <f>'FS_Detail(M)'!BE27</f>
        <v>0</v>
      </c>
      <c r="BF75" s="168">
        <f>'FS_Detail(M)'!BF27</f>
        <v>0</v>
      </c>
      <c r="BG75" s="168">
        <f>'FS_Detail(M)'!BG27</f>
        <v>0</v>
      </c>
      <c r="BH75" s="168">
        <f>'FS_Detail(M)'!BH27</f>
        <v>0</v>
      </c>
      <c r="BI75" s="168">
        <f>'FS_Detail(M)'!BI27</f>
        <v>0</v>
      </c>
      <c r="BJ75" s="168">
        <f>'FS_Detail(M)'!BJ27</f>
        <v>0</v>
      </c>
      <c r="BK75" s="168">
        <f>'FS_Detail(M)'!BK27</f>
        <v>0</v>
      </c>
      <c r="BL75" s="168">
        <f>'FS_Detail(M)'!BL27</f>
        <v>0</v>
      </c>
      <c r="BM75" s="168">
        <f>'FS_Detail(M)'!BM27</f>
        <v>0</v>
      </c>
      <c r="BN75" s="168">
        <f>'FS_Detail(M)'!BN27</f>
        <v>0</v>
      </c>
      <c r="BO75" s="168">
        <f>'FS_Detail(M)'!BO27</f>
        <v>0</v>
      </c>
      <c r="BP75" s="168">
        <f>'FS_Detail(M)'!BP27</f>
        <v>0</v>
      </c>
      <c r="BQ75" s="168">
        <f>'FS_Detail(M)'!BQ27</f>
        <v>0</v>
      </c>
      <c r="BR75" s="168">
        <f>'FS_Detail(M)'!BR27</f>
        <v>0</v>
      </c>
      <c r="BS75" s="168">
        <f>'FS_Detail(M)'!BS27</f>
        <v>0</v>
      </c>
      <c r="BT75" s="168">
        <f>'FS_Detail(M)'!BT27</f>
        <v>0</v>
      </c>
      <c r="BU75" s="168">
        <f>'FS_Detail(M)'!BU27</f>
        <v>0</v>
      </c>
      <c r="BV75" s="168">
        <f>'FS_Detail(M)'!BV27</f>
        <v>0</v>
      </c>
      <c r="BW75" s="168">
        <f>'FS_Detail(M)'!BW27</f>
        <v>0</v>
      </c>
      <c r="BX75" s="168">
        <f>'FS_Detail(M)'!BX27</f>
        <v>0</v>
      </c>
      <c r="BY75" s="168">
        <f>'FS_Detail(M)'!BY27</f>
        <v>0</v>
      </c>
      <c r="BZ75" s="168">
        <f>'FS_Detail(M)'!BZ27</f>
        <v>0</v>
      </c>
      <c r="CA75" s="168">
        <f>'FS_Detail(M)'!CA27</f>
        <v>0</v>
      </c>
      <c r="CB75" s="168">
        <f>'FS_Detail(M)'!CB27</f>
        <v>0</v>
      </c>
      <c r="CC75" s="168">
        <f>'FS_Detail(M)'!CC27</f>
        <v>0</v>
      </c>
      <c r="CD75" s="168">
        <f>'FS_Detail(M)'!CD27</f>
        <v>0</v>
      </c>
      <c r="CE75" s="168">
        <f>'FS_Detail(M)'!CE27</f>
        <v>0</v>
      </c>
      <c r="CF75" s="168">
        <f>'FS_Detail(M)'!CF27</f>
        <v>0</v>
      </c>
      <c r="CG75" s="168">
        <f>'FS_Detail(M)'!CG27</f>
        <v>0</v>
      </c>
      <c r="CH75" s="168">
        <f>'FS_Detail(M)'!CH27</f>
        <v>0</v>
      </c>
      <c r="CI75" s="168">
        <f>'FS_Detail(M)'!CI27</f>
        <v>0</v>
      </c>
      <c r="CJ75" s="168">
        <f>'FS_Detail(M)'!CJ27</f>
        <v>0</v>
      </c>
      <c r="CK75" s="168">
        <f>'FS_Detail(M)'!CK27</f>
        <v>0</v>
      </c>
      <c r="CL75" s="168">
        <f>'FS_Detail(M)'!CL27</f>
        <v>0</v>
      </c>
      <c r="CM75" s="168">
        <f>'FS_Detail(M)'!CM27</f>
        <v>0</v>
      </c>
      <c r="CN75" s="168">
        <f>'FS_Detail(M)'!CN27</f>
        <v>0</v>
      </c>
      <c r="CO75" s="168">
        <f>'FS_Detail(M)'!CO27</f>
        <v>0</v>
      </c>
      <c r="CP75" s="168">
        <f>'FS_Detail(M)'!CP27</f>
        <v>0</v>
      </c>
      <c r="CQ75" s="168">
        <f>'FS_Detail(M)'!CQ27</f>
        <v>0</v>
      </c>
      <c r="CR75" s="168">
        <f>'FS_Detail(M)'!CR27</f>
        <v>0</v>
      </c>
      <c r="CS75" s="168">
        <f>'FS_Detail(M)'!CS27</f>
        <v>0</v>
      </c>
      <c r="CT75" s="168">
        <f>'FS_Detail(M)'!CT27</f>
        <v>0</v>
      </c>
      <c r="CU75" s="168">
        <f>'FS_Detail(M)'!CU27</f>
        <v>0</v>
      </c>
      <c r="CV75" s="168">
        <f>'FS_Detail(M)'!CV27</f>
        <v>0</v>
      </c>
      <c r="CW75" s="168">
        <f>'FS_Detail(M)'!CW27</f>
        <v>0</v>
      </c>
      <c r="CX75" s="168">
        <f>'FS_Detail(M)'!CX27</f>
        <v>0</v>
      </c>
      <c r="CY75" s="168">
        <f>'FS_Detail(M)'!CY27</f>
        <v>0</v>
      </c>
      <c r="CZ75" s="168">
        <f>'FS_Detail(M)'!CZ27</f>
        <v>0</v>
      </c>
      <c r="DA75" s="168">
        <f>'FS_Detail(M)'!DA27</f>
        <v>0</v>
      </c>
      <c r="DB75" s="168">
        <f>'FS_Detail(M)'!DB27</f>
        <v>0</v>
      </c>
      <c r="DC75" s="168">
        <f>'FS_Detail(M)'!DC27</f>
        <v>0</v>
      </c>
      <c r="DD75" s="168">
        <f>'FS_Detail(M)'!DD27</f>
        <v>0</v>
      </c>
      <c r="DE75" s="168">
        <f>'FS_Detail(M)'!DE27</f>
        <v>0</v>
      </c>
      <c r="DF75" s="168">
        <f>'FS_Detail(M)'!DF27</f>
        <v>0</v>
      </c>
      <c r="DG75" s="168">
        <f>'FS_Detail(M)'!DG27</f>
        <v>0</v>
      </c>
      <c r="DH75" s="168">
        <f>'FS_Detail(M)'!DH27</f>
        <v>0</v>
      </c>
      <c r="DI75" s="168">
        <f>'FS_Detail(M)'!DI27</f>
        <v>0</v>
      </c>
      <c r="DJ75" s="168">
        <f>'FS_Detail(M)'!DJ27</f>
        <v>0</v>
      </c>
      <c r="DK75" s="168">
        <f>'FS_Detail(M)'!DK27</f>
        <v>0</v>
      </c>
      <c r="DL75" s="168">
        <f>'FS_Detail(M)'!DL27</f>
        <v>0</v>
      </c>
      <c r="DM75" s="168">
        <f>'FS_Detail(M)'!DM27</f>
        <v>0</v>
      </c>
      <c r="DN75" s="168">
        <f>'FS_Detail(M)'!DN27</f>
        <v>0</v>
      </c>
      <c r="DO75" s="168">
        <f>'FS_Detail(M)'!DO27</f>
        <v>0</v>
      </c>
      <c r="DP75" s="168">
        <f>'FS_Detail(M)'!DP27</f>
        <v>0</v>
      </c>
      <c r="DQ75" s="168">
        <f>'FS_Detail(M)'!DQ27</f>
        <v>0</v>
      </c>
      <c r="DR75" s="168">
        <f>'FS_Detail(M)'!DR27</f>
        <v>0</v>
      </c>
      <c r="DS75" s="168">
        <f>'FS_Detail(M)'!DS27</f>
        <v>0</v>
      </c>
      <c r="DT75" s="168">
        <f>'FS_Detail(M)'!DT27</f>
        <v>0</v>
      </c>
      <c r="DU75" s="168">
        <f>'FS_Detail(M)'!DU27</f>
        <v>0</v>
      </c>
      <c r="DV75" s="168">
        <f>'FS_Detail(M)'!DV27</f>
        <v>0</v>
      </c>
      <c r="DW75" s="168">
        <f>'FS_Detail(M)'!DW27</f>
        <v>0</v>
      </c>
      <c r="DX75" s="168">
        <f>'FS_Detail(M)'!DX27</f>
        <v>0</v>
      </c>
      <c r="DY75" s="168">
        <f>'FS_Detail(M)'!DY27</f>
        <v>0</v>
      </c>
      <c r="DZ75" s="168">
        <f>'FS_Detail(M)'!DZ27</f>
        <v>0</v>
      </c>
      <c r="EA75" s="168">
        <f>'FS_Detail(M)'!EA27</f>
        <v>0</v>
      </c>
      <c r="EB75" s="168">
        <f>'FS_Detail(M)'!EB27</f>
        <v>0</v>
      </c>
      <c r="EC75" s="168">
        <f>'FS_Detail(M)'!EC27</f>
        <v>0</v>
      </c>
      <c r="ED75" s="168">
        <f>'FS_Detail(M)'!ED27</f>
        <v>0</v>
      </c>
      <c r="EE75" s="168">
        <f>'FS_Detail(M)'!EE27</f>
        <v>0</v>
      </c>
      <c r="EF75" s="168">
        <f>'FS_Detail(M)'!EF27</f>
        <v>0</v>
      </c>
      <c r="EG75" s="168">
        <f>'FS_Detail(M)'!EG27</f>
        <v>0</v>
      </c>
      <c r="EH75" s="168">
        <f>'FS_Detail(M)'!EH27</f>
        <v>0</v>
      </c>
      <c r="EI75" s="168">
        <f>'FS_Detail(M)'!EI27</f>
        <v>0</v>
      </c>
      <c r="EJ75" s="168">
        <f>'FS_Detail(M)'!EJ27</f>
        <v>0</v>
      </c>
      <c r="EK75" s="168">
        <f>'FS_Detail(M)'!EK27</f>
        <v>0</v>
      </c>
      <c r="EL75" s="168">
        <f>'FS_Detail(M)'!EL27</f>
        <v>0</v>
      </c>
      <c r="EM75" s="168">
        <f>'FS_Detail(M)'!EM27</f>
        <v>0</v>
      </c>
      <c r="EN75" s="168">
        <f>'FS_Detail(M)'!EN27</f>
        <v>0</v>
      </c>
      <c r="EO75" s="168">
        <f>'FS_Detail(M)'!EO27</f>
        <v>0</v>
      </c>
      <c r="EP75" s="168">
        <f>'FS_Detail(M)'!EP27</f>
        <v>0</v>
      </c>
      <c r="EQ75" s="168">
        <f>'FS_Detail(M)'!EQ27</f>
        <v>0</v>
      </c>
    </row>
    <row r="76" spans="2:147" ht="11.25" customHeight="1">
      <c r="B76" s="218"/>
      <c r="C76" s="163"/>
      <c r="D76" s="169" t="s">
        <v>209</v>
      </c>
      <c r="H76" s="146"/>
      <c r="I76" s="229"/>
      <c r="J76" s="171">
        <f>SUM(L76:EQ76)</f>
        <v>-213000000</v>
      </c>
      <c r="K76" s="98"/>
      <c r="L76" s="171">
        <f>-'FS_Detail(M)'!L28</f>
        <v>0</v>
      </c>
      <c r="M76" s="171">
        <f>-'FS_Detail(M)'!M28</f>
        <v>0</v>
      </c>
      <c r="N76" s="171">
        <f>-'FS_Detail(M)'!N28</f>
        <v>0</v>
      </c>
      <c r="O76" s="171">
        <f>-'FS_Detail(M)'!O28</f>
        <v>0</v>
      </c>
      <c r="P76" s="171">
        <f>-'FS_Detail(M)'!P28</f>
        <v>0</v>
      </c>
      <c r="Q76" s="171">
        <f>-'FS_Detail(M)'!Q28</f>
        <v>0</v>
      </c>
      <c r="R76" s="171">
        <f>-'FS_Detail(M)'!R28</f>
        <v>0</v>
      </c>
      <c r="S76" s="171">
        <f>-'FS_Detail(M)'!S28</f>
        <v>0</v>
      </c>
      <c r="T76" s="171">
        <f>-'FS_Detail(M)'!T28</f>
        <v>0</v>
      </c>
      <c r="U76" s="171">
        <f>-'FS_Detail(M)'!U28</f>
        <v>0</v>
      </c>
      <c r="V76" s="171">
        <f>-'FS_Detail(M)'!V28</f>
        <v>0</v>
      </c>
      <c r="W76" s="171">
        <f>-'FS_Detail(M)'!W28</f>
        <v>0</v>
      </c>
      <c r="X76" s="171">
        <f>-'FS_Detail(M)'!X28</f>
        <v>0</v>
      </c>
      <c r="Y76" s="171">
        <f>-'FS_Detail(M)'!Y28</f>
        <v>0</v>
      </c>
      <c r="Z76" s="171">
        <f>-'FS_Detail(M)'!Z28</f>
        <v>0</v>
      </c>
      <c r="AA76" s="171">
        <f>-'FS_Detail(M)'!AA28</f>
        <v>0</v>
      </c>
      <c r="AB76" s="171">
        <f>-'FS_Detail(M)'!AB28</f>
        <v>0</v>
      </c>
      <c r="AC76" s="171">
        <f>-'FS_Detail(M)'!AC28</f>
        <v>0</v>
      </c>
      <c r="AD76" s="171">
        <f>-'FS_Detail(M)'!AD28</f>
        <v>0</v>
      </c>
      <c r="AE76" s="171">
        <f>-'FS_Detail(M)'!AE28</f>
        <v>0</v>
      </c>
      <c r="AF76" s="171">
        <f>-'FS_Detail(M)'!AF28</f>
        <v>0</v>
      </c>
      <c r="AG76" s="171">
        <f>-'FS_Detail(M)'!AG28</f>
        <v>0</v>
      </c>
      <c r="AH76" s="171">
        <f>-'FS_Detail(M)'!AH28</f>
        <v>0</v>
      </c>
      <c r="AI76" s="171">
        <f>-'FS_Detail(M)'!AI28</f>
        <v>0</v>
      </c>
      <c r="AJ76" s="171">
        <f>-'FS_Detail(M)'!AJ28</f>
        <v>0</v>
      </c>
      <c r="AK76" s="171">
        <f>-'FS_Detail(M)'!AK28</f>
        <v>0</v>
      </c>
      <c r="AL76" s="171">
        <f>-'FS_Detail(M)'!AL28</f>
        <v>0</v>
      </c>
      <c r="AM76" s="171">
        <f>-'FS_Detail(M)'!AM28</f>
        <v>0</v>
      </c>
      <c r="AN76" s="171">
        <f>-'FS_Detail(M)'!AN28</f>
        <v>0</v>
      </c>
      <c r="AO76" s="171">
        <f>-'FS_Detail(M)'!AO28</f>
        <v>0</v>
      </c>
      <c r="AP76" s="171">
        <f>-'FS_Detail(M)'!AP28</f>
        <v>0</v>
      </c>
      <c r="AQ76" s="171">
        <f>-'FS_Detail(M)'!AQ28</f>
        <v>0</v>
      </c>
      <c r="AR76" s="171">
        <f>-'FS_Detail(M)'!AR28</f>
        <v>0</v>
      </c>
      <c r="AS76" s="171">
        <f>-'FS_Detail(M)'!AS28</f>
        <v>0</v>
      </c>
      <c r="AT76" s="171">
        <f>-'FS_Detail(M)'!AT28</f>
        <v>0</v>
      </c>
      <c r="AU76" s="171">
        <f>-'FS_Detail(M)'!AU28</f>
        <v>0</v>
      </c>
      <c r="AV76" s="171">
        <f>-'FS_Detail(M)'!AV28</f>
        <v>0</v>
      </c>
      <c r="AW76" s="171">
        <f>-'FS_Detail(M)'!AW28</f>
        <v>0</v>
      </c>
      <c r="AX76" s="171">
        <f>-'FS_Detail(M)'!AX28</f>
        <v>0</v>
      </c>
      <c r="AY76" s="171">
        <f>-'FS_Detail(M)'!AY28</f>
        <v>0</v>
      </c>
      <c r="AZ76" s="171">
        <f>-'FS_Detail(M)'!AZ28</f>
        <v>0</v>
      </c>
      <c r="BA76" s="171">
        <f>-'FS_Detail(M)'!BA28</f>
        <v>0</v>
      </c>
      <c r="BB76" s="171">
        <f>-'FS_Detail(M)'!BB28</f>
        <v>0</v>
      </c>
      <c r="BC76" s="171">
        <f>-'FS_Detail(M)'!BC28</f>
        <v>0</v>
      </c>
      <c r="BD76" s="171">
        <f>-'FS_Detail(M)'!BD28</f>
        <v>0</v>
      </c>
      <c r="BE76" s="171">
        <f>-'FS_Detail(M)'!BE28</f>
        <v>0</v>
      </c>
      <c r="BF76" s="171">
        <f>-'FS_Detail(M)'!BF28</f>
        <v>0</v>
      </c>
      <c r="BG76" s="171">
        <f>-'FS_Detail(M)'!BG28</f>
        <v>0</v>
      </c>
      <c r="BH76" s="171">
        <f>-'FS_Detail(M)'!BH28</f>
        <v>0</v>
      </c>
      <c r="BI76" s="171">
        <f>-'FS_Detail(M)'!BI28</f>
        <v>0</v>
      </c>
      <c r="BJ76" s="171">
        <f>-'FS_Detail(M)'!BJ28</f>
        <v>0</v>
      </c>
      <c r="BK76" s="171">
        <f>-'FS_Detail(M)'!BK28</f>
        <v>0</v>
      </c>
      <c r="BL76" s="171">
        <f>-'FS_Detail(M)'!BL28</f>
        <v>0</v>
      </c>
      <c r="BM76" s="171">
        <f>-'FS_Detail(M)'!BM28</f>
        <v>0</v>
      </c>
      <c r="BN76" s="171">
        <f>-'FS_Detail(M)'!BN28</f>
        <v>0</v>
      </c>
      <c r="BO76" s="171">
        <f>-'FS_Detail(M)'!BO28</f>
        <v>0</v>
      </c>
      <c r="BP76" s="171">
        <f>-'FS_Detail(M)'!BP28</f>
        <v>0</v>
      </c>
      <c r="BQ76" s="171">
        <f>-'FS_Detail(M)'!BQ28</f>
        <v>0</v>
      </c>
      <c r="BR76" s="171">
        <f>-'FS_Detail(M)'!BR28</f>
        <v>0</v>
      </c>
      <c r="BS76" s="171">
        <f>-'FS_Detail(M)'!BS28</f>
        <v>0</v>
      </c>
      <c r="BT76" s="171">
        <f>-'FS_Detail(M)'!BT28</f>
        <v>-213000000</v>
      </c>
      <c r="BU76" s="171">
        <f>-'FS_Detail(M)'!BU28</f>
        <v>0</v>
      </c>
      <c r="BV76" s="171">
        <f>-'FS_Detail(M)'!BV28</f>
        <v>0</v>
      </c>
      <c r="BW76" s="171">
        <f>-'FS_Detail(M)'!BW28</f>
        <v>0</v>
      </c>
      <c r="BX76" s="171">
        <f>-'FS_Detail(M)'!BX28</f>
        <v>0</v>
      </c>
      <c r="BY76" s="171">
        <f>-'FS_Detail(M)'!BY28</f>
        <v>0</v>
      </c>
      <c r="BZ76" s="171">
        <f>-'FS_Detail(M)'!BZ28</f>
        <v>0</v>
      </c>
      <c r="CA76" s="171">
        <f>-'FS_Detail(M)'!CA28</f>
        <v>0</v>
      </c>
      <c r="CB76" s="171">
        <f>-'FS_Detail(M)'!CB28</f>
        <v>0</v>
      </c>
      <c r="CC76" s="171">
        <f>-'FS_Detail(M)'!CC28</f>
        <v>0</v>
      </c>
      <c r="CD76" s="171">
        <f>-'FS_Detail(M)'!CD28</f>
        <v>0</v>
      </c>
      <c r="CE76" s="171">
        <f>-'FS_Detail(M)'!CE28</f>
        <v>0</v>
      </c>
      <c r="CF76" s="171">
        <f>-'FS_Detail(M)'!CF28</f>
        <v>0</v>
      </c>
      <c r="CG76" s="171">
        <f>-'FS_Detail(M)'!CG28</f>
        <v>0</v>
      </c>
      <c r="CH76" s="171">
        <f>-'FS_Detail(M)'!CH28</f>
        <v>0</v>
      </c>
      <c r="CI76" s="171">
        <f>-'FS_Detail(M)'!CI28</f>
        <v>0</v>
      </c>
      <c r="CJ76" s="171">
        <f>-'FS_Detail(M)'!CJ28</f>
        <v>0</v>
      </c>
      <c r="CK76" s="171">
        <f>-'FS_Detail(M)'!CK28</f>
        <v>0</v>
      </c>
      <c r="CL76" s="171">
        <f>-'FS_Detail(M)'!CL28</f>
        <v>0</v>
      </c>
      <c r="CM76" s="171">
        <f>-'FS_Detail(M)'!CM28</f>
        <v>0</v>
      </c>
      <c r="CN76" s="171">
        <f>-'FS_Detail(M)'!CN28</f>
        <v>0</v>
      </c>
      <c r="CO76" s="171">
        <f>-'FS_Detail(M)'!CO28</f>
        <v>0</v>
      </c>
      <c r="CP76" s="171">
        <f>-'FS_Detail(M)'!CP28</f>
        <v>0</v>
      </c>
      <c r="CQ76" s="171">
        <f>-'FS_Detail(M)'!CQ28</f>
        <v>0</v>
      </c>
      <c r="CR76" s="171">
        <f>-'FS_Detail(M)'!CR28</f>
        <v>0</v>
      </c>
      <c r="CS76" s="171">
        <f>-'FS_Detail(M)'!CS28</f>
        <v>0</v>
      </c>
      <c r="CT76" s="171">
        <f>-'FS_Detail(M)'!CT28</f>
        <v>0</v>
      </c>
      <c r="CU76" s="171">
        <f>-'FS_Detail(M)'!CU28</f>
        <v>0</v>
      </c>
      <c r="CV76" s="171">
        <f>-'FS_Detail(M)'!CV28</f>
        <v>0</v>
      </c>
      <c r="CW76" s="171">
        <f>-'FS_Detail(M)'!CW28</f>
        <v>0</v>
      </c>
      <c r="CX76" s="171">
        <f>-'FS_Detail(M)'!CX28</f>
        <v>0</v>
      </c>
      <c r="CY76" s="171">
        <f>-'FS_Detail(M)'!CY28</f>
        <v>0</v>
      </c>
      <c r="CZ76" s="171">
        <f>-'FS_Detail(M)'!CZ28</f>
        <v>0</v>
      </c>
      <c r="DA76" s="171">
        <f>-'FS_Detail(M)'!DA28</f>
        <v>0</v>
      </c>
      <c r="DB76" s="171">
        <f>-'FS_Detail(M)'!DB28</f>
        <v>0</v>
      </c>
      <c r="DC76" s="171">
        <f>-'FS_Detail(M)'!DC28</f>
        <v>0</v>
      </c>
      <c r="DD76" s="171">
        <f>-'FS_Detail(M)'!DD28</f>
        <v>0</v>
      </c>
      <c r="DE76" s="171">
        <f>-'FS_Detail(M)'!DE28</f>
        <v>0</v>
      </c>
      <c r="DF76" s="171">
        <f>-'FS_Detail(M)'!DF28</f>
        <v>0</v>
      </c>
      <c r="DG76" s="171">
        <f>-'FS_Detail(M)'!DG28</f>
        <v>0</v>
      </c>
      <c r="DH76" s="171">
        <f>-'FS_Detail(M)'!DH28</f>
        <v>0</v>
      </c>
      <c r="DI76" s="171">
        <f>-'FS_Detail(M)'!DI28</f>
        <v>0</v>
      </c>
      <c r="DJ76" s="171">
        <f>-'FS_Detail(M)'!DJ28</f>
        <v>0</v>
      </c>
      <c r="DK76" s="171">
        <f>-'FS_Detail(M)'!DK28</f>
        <v>0</v>
      </c>
      <c r="DL76" s="171">
        <f>-'FS_Detail(M)'!DL28</f>
        <v>0</v>
      </c>
      <c r="DM76" s="171">
        <f>-'FS_Detail(M)'!DM28</f>
        <v>0</v>
      </c>
      <c r="DN76" s="171">
        <f>-'FS_Detail(M)'!DN28</f>
        <v>0</v>
      </c>
      <c r="DO76" s="171">
        <f>-'FS_Detail(M)'!DO28</f>
        <v>0</v>
      </c>
      <c r="DP76" s="171">
        <f>-'FS_Detail(M)'!DP28</f>
        <v>0</v>
      </c>
      <c r="DQ76" s="171">
        <f>-'FS_Detail(M)'!DQ28</f>
        <v>0</v>
      </c>
      <c r="DR76" s="171">
        <f>-'FS_Detail(M)'!DR28</f>
        <v>0</v>
      </c>
      <c r="DS76" s="171">
        <f>-'FS_Detail(M)'!DS28</f>
        <v>0</v>
      </c>
      <c r="DT76" s="171">
        <f>-'FS_Detail(M)'!DT28</f>
        <v>0</v>
      </c>
      <c r="DU76" s="171">
        <f>-'FS_Detail(M)'!DU28</f>
        <v>0</v>
      </c>
      <c r="DV76" s="171">
        <f>-'FS_Detail(M)'!DV28</f>
        <v>0</v>
      </c>
      <c r="DW76" s="171">
        <f>-'FS_Detail(M)'!DW28</f>
        <v>0</v>
      </c>
      <c r="DX76" s="171">
        <f>-'FS_Detail(M)'!DX28</f>
        <v>0</v>
      </c>
      <c r="DY76" s="171">
        <f>-'FS_Detail(M)'!DY28</f>
        <v>0</v>
      </c>
      <c r="DZ76" s="171">
        <f>-'FS_Detail(M)'!DZ28</f>
        <v>0</v>
      </c>
      <c r="EA76" s="171">
        <f>-'FS_Detail(M)'!EA28</f>
        <v>0</v>
      </c>
      <c r="EB76" s="171">
        <f>-'FS_Detail(M)'!EB28</f>
        <v>0</v>
      </c>
      <c r="EC76" s="171">
        <f>-'FS_Detail(M)'!EC28</f>
        <v>0</v>
      </c>
      <c r="ED76" s="171">
        <f>-'FS_Detail(M)'!ED28</f>
        <v>0</v>
      </c>
      <c r="EE76" s="171">
        <f>-'FS_Detail(M)'!EE28</f>
        <v>0</v>
      </c>
      <c r="EF76" s="171">
        <f>-'FS_Detail(M)'!EF28</f>
        <v>0</v>
      </c>
      <c r="EG76" s="171">
        <f>-'FS_Detail(M)'!EG28</f>
        <v>0</v>
      </c>
      <c r="EH76" s="171">
        <f>-'FS_Detail(M)'!EH28</f>
        <v>0</v>
      </c>
      <c r="EI76" s="171">
        <f>-'FS_Detail(M)'!EI28</f>
        <v>0</v>
      </c>
      <c r="EJ76" s="171">
        <f>-'FS_Detail(M)'!EJ28</f>
        <v>0</v>
      </c>
      <c r="EK76" s="171">
        <f>-'FS_Detail(M)'!EK28</f>
        <v>0</v>
      </c>
      <c r="EL76" s="171">
        <f>-'FS_Detail(M)'!EL28</f>
        <v>0</v>
      </c>
      <c r="EM76" s="171">
        <f>-'FS_Detail(M)'!EM28</f>
        <v>0</v>
      </c>
      <c r="EN76" s="171">
        <f>-'FS_Detail(M)'!EN28</f>
        <v>0</v>
      </c>
      <c r="EO76" s="171">
        <f>-'FS_Detail(M)'!EO28</f>
        <v>0</v>
      </c>
      <c r="EP76" s="171">
        <f>-'FS_Detail(M)'!EP28</f>
        <v>0</v>
      </c>
      <c r="EQ76" s="171">
        <f>-'FS_Detail(M)'!EQ28</f>
        <v>0</v>
      </c>
    </row>
    <row r="77" spans="2:147" ht="11.25" customHeight="1">
      <c r="B77" s="218"/>
      <c r="C77" s="158" t="str">
        <f>'A&amp;R'!L34</f>
        <v>담보대출(3rd)</v>
      </c>
      <c r="D77" s="159"/>
      <c r="E77" s="159"/>
      <c r="F77" s="159"/>
      <c r="G77" s="159"/>
      <c r="H77" s="160"/>
      <c r="I77" s="219"/>
      <c r="J77" s="220">
        <f>SUM(J78:J79)</f>
        <v>0</v>
      </c>
      <c r="K77" s="98"/>
      <c r="L77" s="162">
        <f>SUM(L78:L79)</f>
        <v>0</v>
      </c>
      <c r="M77" s="162">
        <f t="shared" ref="M77:BX77" si="50">SUM(M78:M79)</f>
        <v>0</v>
      </c>
      <c r="N77" s="162">
        <f t="shared" si="50"/>
        <v>0</v>
      </c>
      <c r="O77" s="162">
        <f t="shared" si="50"/>
        <v>0</v>
      </c>
      <c r="P77" s="162">
        <f t="shared" si="50"/>
        <v>0</v>
      </c>
      <c r="Q77" s="162">
        <f t="shared" si="50"/>
        <v>0</v>
      </c>
      <c r="R77" s="162">
        <f t="shared" si="50"/>
        <v>0</v>
      </c>
      <c r="S77" s="162">
        <f t="shared" si="50"/>
        <v>0</v>
      </c>
      <c r="T77" s="162">
        <f t="shared" si="50"/>
        <v>0</v>
      </c>
      <c r="U77" s="162">
        <f t="shared" si="50"/>
        <v>0</v>
      </c>
      <c r="V77" s="162">
        <f t="shared" si="50"/>
        <v>0</v>
      </c>
      <c r="W77" s="162">
        <f t="shared" si="50"/>
        <v>0</v>
      </c>
      <c r="X77" s="162">
        <f t="shared" si="50"/>
        <v>0</v>
      </c>
      <c r="Y77" s="162">
        <f t="shared" si="50"/>
        <v>0</v>
      </c>
      <c r="Z77" s="162">
        <f t="shared" si="50"/>
        <v>0</v>
      </c>
      <c r="AA77" s="162">
        <f t="shared" si="50"/>
        <v>0</v>
      </c>
      <c r="AB77" s="162">
        <f t="shared" si="50"/>
        <v>0</v>
      </c>
      <c r="AC77" s="162">
        <f t="shared" si="50"/>
        <v>0</v>
      </c>
      <c r="AD77" s="162">
        <f t="shared" si="50"/>
        <v>0</v>
      </c>
      <c r="AE77" s="162">
        <f t="shared" si="50"/>
        <v>0</v>
      </c>
      <c r="AF77" s="162">
        <f t="shared" si="50"/>
        <v>0</v>
      </c>
      <c r="AG77" s="162">
        <f t="shared" si="50"/>
        <v>0</v>
      </c>
      <c r="AH77" s="162">
        <f t="shared" si="50"/>
        <v>0</v>
      </c>
      <c r="AI77" s="162">
        <f t="shared" si="50"/>
        <v>0</v>
      </c>
      <c r="AJ77" s="162">
        <f t="shared" si="50"/>
        <v>0</v>
      </c>
      <c r="AK77" s="162">
        <f t="shared" si="50"/>
        <v>0</v>
      </c>
      <c r="AL77" s="162">
        <f t="shared" si="50"/>
        <v>0</v>
      </c>
      <c r="AM77" s="162">
        <f t="shared" si="50"/>
        <v>0</v>
      </c>
      <c r="AN77" s="162">
        <f t="shared" si="50"/>
        <v>0</v>
      </c>
      <c r="AO77" s="162">
        <f t="shared" si="50"/>
        <v>0</v>
      </c>
      <c r="AP77" s="162">
        <f t="shared" si="50"/>
        <v>0</v>
      </c>
      <c r="AQ77" s="162">
        <f t="shared" si="50"/>
        <v>0</v>
      </c>
      <c r="AR77" s="162">
        <f t="shared" si="50"/>
        <v>0</v>
      </c>
      <c r="AS77" s="162">
        <f t="shared" si="50"/>
        <v>0</v>
      </c>
      <c r="AT77" s="162">
        <f t="shared" si="50"/>
        <v>0</v>
      </c>
      <c r="AU77" s="162">
        <f t="shared" si="50"/>
        <v>0</v>
      </c>
      <c r="AV77" s="162">
        <f t="shared" si="50"/>
        <v>0</v>
      </c>
      <c r="AW77" s="162">
        <f t="shared" si="50"/>
        <v>0</v>
      </c>
      <c r="AX77" s="162">
        <f t="shared" si="50"/>
        <v>0</v>
      </c>
      <c r="AY77" s="162">
        <f t="shared" si="50"/>
        <v>0</v>
      </c>
      <c r="AZ77" s="162">
        <f t="shared" si="50"/>
        <v>0</v>
      </c>
      <c r="BA77" s="162">
        <f t="shared" si="50"/>
        <v>0</v>
      </c>
      <c r="BB77" s="162">
        <f t="shared" si="50"/>
        <v>0</v>
      </c>
      <c r="BC77" s="162">
        <f t="shared" si="50"/>
        <v>0</v>
      </c>
      <c r="BD77" s="162">
        <f t="shared" si="50"/>
        <v>0</v>
      </c>
      <c r="BE77" s="162">
        <f t="shared" si="50"/>
        <v>0</v>
      </c>
      <c r="BF77" s="162">
        <f t="shared" si="50"/>
        <v>0</v>
      </c>
      <c r="BG77" s="162">
        <f t="shared" si="50"/>
        <v>0</v>
      </c>
      <c r="BH77" s="162">
        <f t="shared" si="50"/>
        <v>0</v>
      </c>
      <c r="BI77" s="162">
        <f t="shared" si="50"/>
        <v>0</v>
      </c>
      <c r="BJ77" s="162">
        <f t="shared" si="50"/>
        <v>0</v>
      </c>
      <c r="BK77" s="162">
        <f t="shared" si="50"/>
        <v>0</v>
      </c>
      <c r="BL77" s="162">
        <f t="shared" si="50"/>
        <v>0</v>
      </c>
      <c r="BM77" s="162">
        <f t="shared" si="50"/>
        <v>0</v>
      </c>
      <c r="BN77" s="162">
        <f t="shared" si="50"/>
        <v>0</v>
      </c>
      <c r="BO77" s="162">
        <f t="shared" si="50"/>
        <v>0</v>
      </c>
      <c r="BP77" s="162">
        <f t="shared" si="50"/>
        <v>0</v>
      </c>
      <c r="BQ77" s="162">
        <f t="shared" si="50"/>
        <v>0</v>
      </c>
      <c r="BR77" s="162">
        <f t="shared" si="50"/>
        <v>0</v>
      </c>
      <c r="BS77" s="162">
        <f t="shared" si="50"/>
        <v>0</v>
      </c>
      <c r="BT77" s="162">
        <f t="shared" si="50"/>
        <v>213000000</v>
      </c>
      <c r="BU77" s="162">
        <f t="shared" si="50"/>
        <v>0</v>
      </c>
      <c r="BV77" s="162">
        <f t="shared" si="50"/>
        <v>0</v>
      </c>
      <c r="BW77" s="162">
        <f t="shared" si="50"/>
        <v>0</v>
      </c>
      <c r="BX77" s="162">
        <f t="shared" si="50"/>
        <v>0</v>
      </c>
      <c r="BY77" s="162">
        <f t="shared" ref="BY77:EJ77" si="51">SUM(BY78:BY79)</f>
        <v>0</v>
      </c>
      <c r="BZ77" s="162">
        <f t="shared" si="51"/>
        <v>0</v>
      </c>
      <c r="CA77" s="162">
        <f t="shared" si="51"/>
        <v>0</v>
      </c>
      <c r="CB77" s="162">
        <f t="shared" si="51"/>
        <v>0</v>
      </c>
      <c r="CC77" s="162">
        <f t="shared" si="51"/>
        <v>0</v>
      </c>
      <c r="CD77" s="162">
        <f t="shared" si="51"/>
        <v>0</v>
      </c>
      <c r="CE77" s="162">
        <f t="shared" si="51"/>
        <v>0</v>
      </c>
      <c r="CF77" s="162">
        <f t="shared" si="51"/>
        <v>0</v>
      </c>
      <c r="CG77" s="162">
        <f t="shared" si="51"/>
        <v>0</v>
      </c>
      <c r="CH77" s="162">
        <f t="shared" si="51"/>
        <v>0</v>
      </c>
      <c r="CI77" s="162">
        <f t="shared" si="51"/>
        <v>0</v>
      </c>
      <c r="CJ77" s="162">
        <f t="shared" si="51"/>
        <v>0</v>
      </c>
      <c r="CK77" s="162">
        <f t="shared" si="51"/>
        <v>0</v>
      </c>
      <c r="CL77" s="162">
        <f t="shared" si="51"/>
        <v>0</v>
      </c>
      <c r="CM77" s="162">
        <f t="shared" si="51"/>
        <v>0</v>
      </c>
      <c r="CN77" s="162">
        <f t="shared" si="51"/>
        <v>0</v>
      </c>
      <c r="CO77" s="162">
        <f t="shared" si="51"/>
        <v>0</v>
      </c>
      <c r="CP77" s="162">
        <f t="shared" si="51"/>
        <v>0</v>
      </c>
      <c r="CQ77" s="162">
        <f t="shared" si="51"/>
        <v>0</v>
      </c>
      <c r="CR77" s="162">
        <f t="shared" si="51"/>
        <v>0</v>
      </c>
      <c r="CS77" s="162">
        <f t="shared" si="51"/>
        <v>0</v>
      </c>
      <c r="CT77" s="162">
        <f t="shared" si="51"/>
        <v>0</v>
      </c>
      <c r="CU77" s="162">
        <f t="shared" si="51"/>
        <v>0</v>
      </c>
      <c r="CV77" s="162">
        <f t="shared" si="51"/>
        <v>0</v>
      </c>
      <c r="CW77" s="162">
        <f t="shared" si="51"/>
        <v>0</v>
      </c>
      <c r="CX77" s="162">
        <f t="shared" si="51"/>
        <v>0</v>
      </c>
      <c r="CY77" s="162">
        <f t="shared" si="51"/>
        <v>0</v>
      </c>
      <c r="CZ77" s="162">
        <f t="shared" si="51"/>
        <v>0</v>
      </c>
      <c r="DA77" s="162">
        <f t="shared" si="51"/>
        <v>0</v>
      </c>
      <c r="DB77" s="162">
        <f t="shared" si="51"/>
        <v>0</v>
      </c>
      <c r="DC77" s="162">
        <f t="shared" si="51"/>
        <v>0</v>
      </c>
      <c r="DD77" s="162">
        <f t="shared" si="51"/>
        <v>0</v>
      </c>
      <c r="DE77" s="162">
        <f t="shared" si="51"/>
        <v>0</v>
      </c>
      <c r="DF77" s="162">
        <f t="shared" si="51"/>
        <v>0</v>
      </c>
      <c r="DG77" s="162">
        <f t="shared" si="51"/>
        <v>0</v>
      </c>
      <c r="DH77" s="162">
        <f t="shared" si="51"/>
        <v>0</v>
      </c>
      <c r="DI77" s="162">
        <f t="shared" si="51"/>
        <v>0</v>
      </c>
      <c r="DJ77" s="162">
        <f t="shared" si="51"/>
        <v>0</v>
      </c>
      <c r="DK77" s="162">
        <f t="shared" si="51"/>
        <v>0</v>
      </c>
      <c r="DL77" s="162">
        <f t="shared" si="51"/>
        <v>0</v>
      </c>
      <c r="DM77" s="162">
        <f t="shared" si="51"/>
        <v>0</v>
      </c>
      <c r="DN77" s="162">
        <f t="shared" si="51"/>
        <v>0</v>
      </c>
      <c r="DO77" s="162">
        <f t="shared" si="51"/>
        <v>0</v>
      </c>
      <c r="DP77" s="162">
        <f t="shared" si="51"/>
        <v>0</v>
      </c>
      <c r="DQ77" s="162">
        <f t="shared" si="51"/>
        <v>0</v>
      </c>
      <c r="DR77" s="162">
        <f t="shared" si="51"/>
        <v>0</v>
      </c>
      <c r="DS77" s="162">
        <f t="shared" si="51"/>
        <v>0</v>
      </c>
      <c r="DT77" s="162">
        <f t="shared" si="51"/>
        <v>0</v>
      </c>
      <c r="DU77" s="162">
        <f t="shared" si="51"/>
        <v>0</v>
      </c>
      <c r="DV77" s="162">
        <f t="shared" si="51"/>
        <v>0</v>
      </c>
      <c r="DW77" s="162">
        <f t="shared" si="51"/>
        <v>0</v>
      </c>
      <c r="DX77" s="162">
        <f t="shared" si="51"/>
        <v>0</v>
      </c>
      <c r="DY77" s="162">
        <f t="shared" si="51"/>
        <v>0</v>
      </c>
      <c r="DZ77" s="162">
        <f t="shared" si="51"/>
        <v>0</v>
      </c>
      <c r="EA77" s="162">
        <f t="shared" si="51"/>
        <v>0</v>
      </c>
      <c r="EB77" s="162">
        <f t="shared" si="51"/>
        <v>-213000000</v>
      </c>
      <c r="EC77" s="162">
        <f t="shared" si="51"/>
        <v>0</v>
      </c>
      <c r="ED77" s="162">
        <f t="shared" si="51"/>
        <v>0</v>
      </c>
      <c r="EE77" s="162">
        <f t="shared" si="51"/>
        <v>0</v>
      </c>
      <c r="EF77" s="162">
        <f t="shared" si="51"/>
        <v>0</v>
      </c>
      <c r="EG77" s="162">
        <f t="shared" si="51"/>
        <v>0</v>
      </c>
      <c r="EH77" s="162">
        <f t="shared" si="51"/>
        <v>0</v>
      </c>
      <c r="EI77" s="162">
        <f t="shared" si="51"/>
        <v>0</v>
      </c>
      <c r="EJ77" s="162">
        <f t="shared" si="51"/>
        <v>0</v>
      </c>
      <c r="EK77" s="162">
        <f t="shared" ref="EK77:EQ77" si="52">SUM(EK78:EK79)</f>
        <v>0</v>
      </c>
      <c r="EL77" s="162">
        <f t="shared" si="52"/>
        <v>0</v>
      </c>
      <c r="EM77" s="162">
        <f t="shared" si="52"/>
        <v>0</v>
      </c>
      <c r="EN77" s="162">
        <f t="shared" si="52"/>
        <v>0</v>
      </c>
      <c r="EO77" s="162">
        <f t="shared" si="52"/>
        <v>0</v>
      </c>
      <c r="EP77" s="162">
        <f t="shared" si="52"/>
        <v>0</v>
      </c>
      <c r="EQ77" s="162">
        <f t="shared" si="52"/>
        <v>0</v>
      </c>
    </row>
    <row r="78" spans="2:147" ht="11.25" customHeight="1">
      <c r="B78" s="218"/>
      <c r="C78" s="163"/>
      <c r="D78" s="164" t="s">
        <v>208</v>
      </c>
      <c r="E78" s="165"/>
      <c r="F78" s="165"/>
      <c r="G78" s="165"/>
      <c r="H78" s="166"/>
      <c r="I78" s="228"/>
      <c r="J78" s="168">
        <f>SUM(L78:EQ78)</f>
        <v>213000000</v>
      </c>
      <c r="K78" s="98"/>
      <c r="L78" s="168">
        <f>'FS_Detail(M)'!L32</f>
        <v>0</v>
      </c>
      <c r="M78" s="168">
        <f>'FS_Detail(M)'!M32</f>
        <v>0</v>
      </c>
      <c r="N78" s="168">
        <f>'FS_Detail(M)'!N32</f>
        <v>0</v>
      </c>
      <c r="O78" s="168">
        <f>'FS_Detail(M)'!O32</f>
        <v>0</v>
      </c>
      <c r="P78" s="168">
        <f>'FS_Detail(M)'!P32</f>
        <v>0</v>
      </c>
      <c r="Q78" s="168">
        <f>'FS_Detail(M)'!Q32</f>
        <v>0</v>
      </c>
      <c r="R78" s="168">
        <f>'FS_Detail(M)'!R32</f>
        <v>0</v>
      </c>
      <c r="S78" s="168">
        <f>'FS_Detail(M)'!S32</f>
        <v>0</v>
      </c>
      <c r="T78" s="168">
        <f>'FS_Detail(M)'!T32</f>
        <v>0</v>
      </c>
      <c r="U78" s="168">
        <f>'FS_Detail(M)'!U32</f>
        <v>0</v>
      </c>
      <c r="V78" s="168">
        <f>'FS_Detail(M)'!V32</f>
        <v>0</v>
      </c>
      <c r="W78" s="168">
        <f>'FS_Detail(M)'!W32</f>
        <v>0</v>
      </c>
      <c r="X78" s="168">
        <f>'FS_Detail(M)'!X32</f>
        <v>0</v>
      </c>
      <c r="Y78" s="168">
        <f>'FS_Detail(M)'!Y32</f>
        <v>0</v>
      </c>
      <c r="Z78" s="168">
        <f>'FS_Detail(M)'!Z32</f>
        <v>0</v>
      </c>
      <c r="AA78" s="168">
        <f>'FS_Detail(M)'!AA32</f>
        <v>0</v>
      </c>
      <c r="AB78" s="168">
        <f>'FS_Detail(M)'!AB32</f>
        <v>0</v>
      </c>
      <c r="AC78" s="168">
        <f>'FS_Detail(M)'!AC32</f>
        <v>0</v>
      </c>
      <c r="AD78" s="168">
        <f>'FS_Detail(M)'!AD32</f>
        <v>0</v>
      </c>
      <c r="AE78" s="168">
        <f>'FS_Detail(M)'!AE32</f>
        <v>0</v>
      </c>
      <c r="AF78" s="168">
        <f>'FS_Detail(M)'!AF32</f>
        <v>0</v>
      </c>
      <c r="AG78" s="168">
        <f>'FS_Detail(M)'!AG32</f>
        <v>0</v>
      </c>
      <c r="AH78" s="168">
        <f>'FS_Detail(M)'!AH32</f>
        <v>0</v>
      </c>
      <c r="AI78" s="168">
        <f>'FS_Detail(M)'!AI32</f>
        <v>0</v>
      </c>
      <c r="AJ78" s="168">
        <f>'FS_Detail(M)'!AJ32</f>
        <v>0</v>
      </c>
      <c r="AK78" s="168">
        <f>'FS_Detail(M)'!AK32</f>
        <v>0</v>
      </c>
      <c r="AL78" s="168">
        <f>'FS_Detail(M)'!AL32</f>
        <v>0</v>
      </c>
      <c r="AM78" s="168">
        <f>'FS_Detail(M)'!AM32</f>
        <v>0</v>
      </c>
      <c r="AN78" s="168">
        <f>'FS_Detail(M)'!AN32</f>
        <v>0</v>
      </c>
      <c r="AO78" s="168">
        <f>'FS_Detail(M)'!AO32</f>
        <v>0</v>
      </c>
      <c r="AP78" s="168">
        <f>'FS_Detail(M)'!AP32</f>
        <v>0</v>
      </c>
      <c r="AQ78" s="168">
        <f>'FS_Detail(M)'!AQ32</f>
        <v>0</v>
      </c>
      <c r="AR78" s="168">
        <f>'FS_Detail(M)'!AR32</f>
        <v>0</v>
      </c>
      <c r="AS78" s="168">
        <f>'FS_Detail(M)'!AS32</f>
        <v>0</v>
      </c>
      <c r="AT78" s="168">
        <f>'FS_Detail(M)'!AT32</f>
        <v>0</v>
      </c>
      <c r="AU78" s="168">
        <f>'FS_Detail(M)'!AU32</f>
        <v>0</v>
      </c>
      <c r="AV78" s="168">
        <f>'FS_Detail(M)'!AV32</f>
        <v>0</v>
      </c>
      <c r="AW78" s="168">
        <f>'FS_Detail(M)'!AW32</f>
        <v>0</v>
      </c>
      <c r="AX78" s="168">
        <f>'FS_Detail(M)'!AX32</f>
        <v>0</v>
      </c>
      <c r="AY78" s="168">
        <f>'FS_Detail(M)'!AY32</f>
        <v>0</v>
      </c>
      <c r="AZ78" s="168">
        <f>'FS_Detail(M)'!AZ32</f>
        <v>0</v>
      </c>
      <c r="BA78" s="168">
        <f>'FS_Detail(M)'!BA32</f>
        <v>0</v>
      </c>
      <c r="BB78" s="168">
        <f>'FS_Detail(M)'!BB32</f>
        <v>0</v>
      </c>
      <c r="BC78" s="168">
        <f>'FS_Detail(M)'!BC32</f>
        <v>0</v>
      </c>
      <c r="BD78" s="168">
        <f>'FS_Detail(M)'!BD32</f>
        <v>0</v>
      </c>
      <c r="BE78" s="168">
        <f>'FS_Detail(M)'!BE32</f>
        <v>0</v>
      </c>
      <c r="BF78" s="168">
        <f>'FS_Detail(M)'!BF32</f>
        <v>0</v>
      </c>
      <c r="BG78" s="168">
        <f>'FS_Detail(M)'!BG32</f>
        <v>0</v>
      </c>
      <c r="BH78" s="168">
        <f>'FS_Detail(M)'!BH32</f>
        <v>0</v>
      </c>
      <c r="BI78" s="168">
        <f>'FS_Detail(M)'!BI32</f>
        <v>0</v>
      </c>
      <c r="BJ78" s="168">
        <f>'FS_Detail(M)'!BJ32</f>
        <v>0</v>
      </c>
      <c r="BK78" s="168">
        <f>'FS_Detail(M)'!BK32</f>
        <v>0</v>
      </c>
      <c r="BL78" s="168">
        <f>'FS_Detail(M)'!BL32</f>
        <v>0</v>
      </c>
      <c r="BM78" s="168">
        <f>'FS_Detail(M)'!BM32</f>
        <v>0</v>
      </c>
      <c r="BN78" s="168">
        <f>'FS_Detail(M)'!BN32</f>
        <v>0</v>
      </c>
      <c r="BO78" s="168">
        <f>'FS_Detail(M)'!BO32</f>
        <v>0</v>
      </c>
      <c r="BP78" s="168">
        <f>'FS_Detail(M)'!BP32</f>
        <v>0</v>
      </c>
      <c r="BQ78" s="168">
        <f>'FS_Detail(M)'!BQ32</f>
        <v>0</v>
      </c>
      <c r="BR78" s="168">
        <f>'FS_Detail(M)'!BR32</f>
        <v>0</v>
      </c>
      <c r="BS78" s="168">
        <f>'FS_Detail(M)'!BS32</f>
        <v>0</v>
      </c>
      <c r="BT78" s="168">
        <f>'FS_Detail(M)'!BT32</f>
        <v>213000000</v>
      </c>
      <c r="BU78" s="168">
        <f>'FS_Detail(M)'!BU32</f>
        <v>0</v>
      </c>
      <c r="BV78" s="168">
        <f>'FS_Detail(M)'!BV32</f>
        <v>0</v>
      </c>
      <c r="BW78" s="168">
        <f>'FS_Detail(M)'!BW32</f>
        <v>0</v>
      </c>
      <c r="BX78" s="168">
        <f>'FS_Detail(M)'!BX32</f>
        <v>0</v>
      </c>
      <c r="BY78" s="168">
        <f>'FS_Detail(M)'!BY32</f>
        <v>0</v>
      </c>
      <c r="BZ78" s="168">
        <f>'FS_Detail(M)'!BZ32</f>
        <v>0</v>
      </c>
      <c r="CA78" s="168">
        <f>'FS_Detail(M)'!CA32</f>
        <v>0</v>
      </c>
      <c r="CB78" s="168">
        <f>'FS_Detail(M)'!CB32</f>
        <v>0</v>
      </c>
      <c r="CC78" s="168">
        <f>'FS_Detail(M)'!CC32</f>
        <v>0</v>
      </c>
      <c r="CD78" s="168">
        <f>'FS_Detail(M)'!CD32</f>
        <v>0</v>
      </c>
      <c r="CE78" s="168">
        <f>'FS_Detail(M)'!CE32</f>
        <v>0</v>
      </c>
      <c r="CF78" s="168">
        <f>'FS_Detail(M)'!CF32</f>
        <v>0</v>
      </c>
      <c r="CG78" s="168">
        <f>'FS_Detail(M)'!CG32</f>
        <v>0</v>
      </c>
      <c r="CH78" s="168">
        <f>'FS_Detail(M)'!CH32</f>
        <v>0</v>
      </c>
      <c r="CI78" s="168">
        <f>'FS_Detail(M)'!CI32</f>
        <v>0</v>
      </c>
      <c r="CJ78" s="168">
        <f>'FS_Detail(M)'!CJ32</f>
        <v>0</v>
      </c>
      <c r="CK78" s="168">
        <f>'FS_Detail(M)'!CK32</f>
        <v>0</v>
      </c>
      <c r="CL78" s="168">
        <f>'FS_Detail(M)'!CL32</f>
        <v>0</v>
      </c>
      <c r="CM78" s="168">
        <f>'FS_Detail(M)'!CM32</f>
        <v>0</v>
      </c>
      <c r="CN78" s="168">
        <f>'FS_Detail(M)'!CN32</f>
        <v>0</v>
      </c>
      <c r="CO78" s="168">
        <f>'FS_Detail(M)'!CO32</f>
        <v>0</v>
      </c>
      <c r="CP78" s="168">
        <f>'FS_Detail(M)'!CP32</f>
        <v>0</v>
      </c>
      <c r="CQ78" s="168">
        <f>'FS_Detail(M)'!CQ32</f>
        <v>0</v>
      </c>
      <c r="CR78" s="168">
        <f>'FS_Detail(M)'!CR32</f>
        <v>0</v>
      </c>
      <c r="CS78" s="168">
        <f>'FS_Detail(M)'!CS32</f>
        <v>0</v>
      </c>
      <c r="CT78" s="168">
        <f>'FS_Detail(M)'!CT32</f>
        <v>0</v>
      </c>
      <c r="CU78" s="168">
        <f>'FS_Detail(M)'!CU32</f>
        <v>0</v>
      </c>
      <c r="CV78" s="168">
        <f>'FS_Detail(M)'!CV32</f>
        <v>0</v>
      </c>
      <c r="CW78" s="168">
        <f>'FS_Detail(M)'!CW32</f>
        <v>0</v>
      </c>
      <c r="CX78" s="168">
        <f>'FS_Detail(M)'!CX32</f>
        <v>0</v>
      </c>
      <c r="CY78" s="168">
        <f>'FS_Detail(M)'!CY32</f>
        <v>0</v>
      </c>
      <c r="CZ78" s="168">
        <f>'FS_Detail(M)'!CZ32</f>
        <v>0</v>
      </c>
      <c r="DA78" s="168">
        <f>'FS_Detail(M)'!DA32</f>
        <v>0</v>
      </c>
      <c r="DB78" s="168">
        <f>'FS_Detail(M)'!DB32</f>
        <v>0</v>
      </c>
      <c r="DC78" s="168">
        <f>'FS_Detail(M)'!DC32</f>
        <v>0</v>
      </c>
      <c r="DD78" s="168">
        <f>'FS_Detail(M)'!DD32</f>
        <v>0</v>
      </c>
      <c r="DE78" s="168">
        <f>'FS_Detail(M)'!DE32</f>
        <v>0</v>
      </c>
      <c r="DF78" s="168">
        <f>'FS_Detail(M)'!DF32</f>
        <v>0</v>
      </c>
      <c r="DG78" s="168">
        <f>'FS_Detail(M)'!DG32</f>
        <v>0</v>
      </c>
      <c r="DH78" s="168">
        <f>'FS_Detail(M)'!DH32</f>
        <v>0</v>
      </c>
      <c r="DI78" s="168">
        <f>'FS_Detail(M)'!DI32</f>
        <v>0</v>
      </c>
      <c r="DJ78" s="168">
        <f>'FS_Detail(M)'!DJ32</f>
        <v>0</v>
      </c>
      <c r="DK78" s="168">
        <f>'FS_Detail(M)'!DK32</f>
        <v>0</v>
      </c>
      <c r="DL78" s="168">
        <f>'FS_Detail(M)'!DL32</f>
        <v>0</v>
      </c>
      <c r="DM78" s="168">
        <f>'FS_Detail(M)'!DM32</f>
        <v>0</v>
      </c>
      <c r="DN78" s="168">
        <f>'FS_Detail(M)'!DN32</f>
        <v>0</v>
      </c>
      <c r="DO78" s="168">
        <f>'FS_Detail(M)'!DO32</f>
        <v>0</v>
      </c>
      <c r="DP78" s="168">
        <f>'FS_Detail(M)'!DP32</f>
        <v>0</v>
      </c>
      <c r="DQ78" s="168">
        <f>'FS_Detail(M)'!DQ32</f>
        <v>0</v>
      </c>
      <c r="DR78" s="168">
        <f>'FS_Detail(M)'!DR32</f>
        <v>0</v>
      </c>
      <c r="DS78" s="168">
        <f>'FS_Detail(M)'!DS32</f>
        <v>0</v>
      </c>
      <c r="DT78" s="168">
        <f>'FS_Detail(M)'!DT32</f>
        <v>0</v>
      </c>
      <c r="DU78" s="168">
        <f>'FS_Detail(M)'!DU32</f>
        <v>0</v>
      </c>
      <c r="DV78" s="168">
        <f>'FS_Detail(M)'!DV32</f>
        <v>0</v>
      </c>
      <c r="DW78" s="168">
        <f>'FS_Detail(M)'!DW32</f>
        <v>0</v>
      </c>
      <c r="DX78" s="168">
        <f>'FS_Detail(M)'!DX32</f>
        <v>0</v>
      </c>
      <c r="DY78" s="168">
        <f>'FS_Detail(M)'!DY32</f>
        <v>0</v>
      </c>
      <c r="DZ78" s="168">
        <f>'FS_Detail(M)'!DZ32</f>
        <v>0</v>
      </c>
      <c r="EA78" s="168">
        <f>'FS_Detail(M)'!EA32</f>
        <v>0</v>
      </c>
      <c r="EB78" s="168">
        <f>'FS_Detail(M)'!EB32</f>
        <v>0</v>
      </c>
      <c r="EC78" s="168">
        <f>'FS_Detail(M)'!EC32</f>
        <v>0</v>
      </c>
      <c r="ED78" s="168">
        <f>'FS_Detail(M)'!ED32</f>
        <v>0</v>
      </c>
      <c r="EE78" s="168">
        <f>'FS_Detail(M)'!EE32</f>
        <v>0</v>
      </c>
      <c r="EF78" s="168">
        <f>'FS_Detail(M)'!EF32</f>
        <v>0</v>
      </c>
      <c r="EG78" s="168">
        <f>'FS_Detail(M)'!EG32</f>
        <v>0</v>
      </c>
      <c r="EH78" s="168">
        <f>'FS_Detail(M)'!EH32</f>
        <v>0</v>
      </c>
      <c r="EI78" s="168">
        <f>'FS_Detail(M)'!EI32</f>
        <v>0</v>
      </c>
      <c r="EJ78" s="168">
        <f>'FS_Detail(M)'!EJ32</f>
        <v>0</v>
      </c>
      <c r="EK78" s="168">
        <f>'FS_Detail(M)'!EK32</f>
        <v>0</v>
      </c>
      <c r="EL78" s="168">
        <f>'FS_Detail(M)'!EL32</f>
        <v>0</v>
      </c>
      <c r="EM78" s="168">
        <f>'FS_Detail(M)'!EM32</f>
        <v>0</v>
      </c>
      <c r="EN78" s="168">
        <f>'FS_Detail(M)'!EN32</f>
        <v>0</v>
      </c>
      <c r="EO78" s="168">
        <f>'FS_Detail(M)'!EO32</f>
        <v>0</v>
      </c>
      <c r="EP78" s="168">
        <f>'FS_Detail(M)'!EP32</f>
        <v>0</v>
      </c>
      <c r="EQ78" s="168">
        <f>'FS_Detail(M)'!EQ32</f>
        <v>0</v>
      </c>
    </row>
    <row r="79" spans="2:147" ht="11.25" customHeight="1">
      <c r="B79" s="218"/>
      <c r="C79" s="163"/>
      <c r="D79" s="169" t="s">
        <v>209</v>
      </c>
      <c r="H79" s="146"/>
      <c r="I79" s="229"/>
      <c r="J79" s="171">
        <f>SUM(L79:EQ79)</f>
        <v>-213000000</v>
      </c>
      <c r="K79" s="98"/>
      <c r="L79" s="171">
        <f>-'FS_Detail(M)'!L33</f>
        <v>0</v>
      </c>
      <c r="M79" s="171">
        <f>-'FS_Detail(M)'!M33</f>
        <v>0</v>
      </c>
      <c r="N79" s="171">
        <f>-'FS_Detail(M)'!N33</f>
        <v>0</v>
      </c>
      <c r="O79" s="171">
        <f>-'FS_Detail(M)'!O33</f>
        <v>0</v>
      </c>
      <c r="P79" s="171">
        <f>-'FS_Detail(M)'!P33</f>
        <v>0</v>
      </c>
      <c r="Q79" s="171">
        <f>-'FS_Detail(M)'!Q33</f>
        <v>0</v>
      </c>
      <c r="R79" s="171">
        <f>-'FS_Detail(M)'!R33</f>
        <v>0</v>
      </c>
      <c r="S79" s="171">
        <f>-'FS_Detail(M)'!S33</f>
        <v>0</v>
      </c>
      <c r="T79" s="171">
        <f>-'FS_Detail(M)'!T33</f>
        <v>0</v>
      </c>
      <c r="U79" s="171">
        <f>-'FS_Detail(M)'!U33</f>
        <v>0</v>
      </c>
      <c r="V79" s="171">
        <f>-'FS_Detail(M)'!V33</f>
        <v>0</v>
      </c>
      <c r="W79" s="171">
        <f>-'FS_Detail(M)'!W33</f>
        <v>0</v>
      </c>
      <c r="X79" s="171">
        <f>-'FS_Detail(M)'!X33</f>
        <v>0</v>
      </c>
      <c r="Y79" s="171">
        <f>-'FS_Detail(M)'!Y33</f>
        <v>0</v>
      </c>
      <c r="Z79" s="171">
        <f>-'FS_Detail(M)'!Z33</f>
        <v>0</v>
      </c>
      <c r="AA79" s="171">
        <f>-'FS_Detail(M)'!AA33</f>
        <v>0</v>
      </c>
      <c r="AB79" s="171">
        <f>-'FS_Detail(M)'!AB33</f>
        <v>0</v>
      </c>
      <c r="AC79" s="171">
        <f>-'FS_Detail(M)'!AC33</f>
        <v>0</v>
      </c>
      <c r="AD79" s="171">
        <f>-'FS_Detail(M)'!AD33</f>
        <v>0</v>
      </c>
      <c r="AE79" s="171">
        <f>-'FS_Detail(M)'!AE33</f>
        <v>0</v>
      </c>
      <c r="AF79" s="171">
        <f>-'FS_Detail(M)'!AF33</f>
        <v>0</v>
      </c>
      <c r="AG79" s="171">
        <f>-'FS_Detail(M)'!AG33</f>
        <v>0</v>
      </c>
      <c r="AH79" s="171">
        <f>-'FS_Detail(M)'!AH33</f>
        <v>0</v>
      </c>
      <c r="AI79" s="171">
        <f>-'FS_Detail(M)'!AI33</f>
        <v>0</v>
      </c>
      <c r="AJ79" s="171">
        <f>-'FS_Detail(M)'!AJ33</f>
        <v>0</v>
      </c>
      <c r="AK79" s="171">
        <f>-'FS_Detail(M)'!AK33</f>
        <v>0</v>
      </c>
      <c r="AL79" s="171">
        <f>-'FS_Detail(M)'!AL33</f>
        <v>0</v>
      </c>
      <c r="AM79" s="171">
        <f>-'FS_Detail(M)'!AM33</f>
        <v>0</v>
      </c>
      <c r="AN79" s="171">
        <f>-'FS_Detail(M)'!AN33</f>
        <v>0</v>
      </c>
      <c r="AO79" s="171">
        <f>-'FS_Detail(M)'!AO33</f>
        <v>0</v>
      </c>
      <c r="AP79" s="171">
        <f>-'FS_Detail(M)'!AP33</f>
        <v>0</v>
      </c>
      <c r="AQ79" s="171">
        <f>-'FS_Detail(M)'!AQ33</f>
        <v>0</v>
      </c>
      <c r="AR79" s="171">
        <f>-'FS_Detail(M)'!AR33</f>
        <v>0</v>
      </c>
      <c r="AS79" s="171">
        <f>-'FS_Detail(M)'!AS33</f>
        <v>0</v>
      </c>
      <c r="AT79" s="171">
        <f>-'FS_Detail(M)'!AT33</f>
        <v>0</v>
      </c>
      <c r="AU79" s="171">
        <f>-'FS_Detail(M)'!AU33</f>
        <v>0</v>
      </c>
      <c r="AV79" s="171">
        <f>-'FS_Detail(M)'!AV33</f>
        <v>0</v>
      </c>
      <c r="AW79" s="171">
        <f>-'FS_Detail(M)'!AW33</f>
        <v>0</v>
      </c>
      <c r="AX79" s="171">
        <f>-'FS_Detail(M)'!AX33</f>
        <v>0</v>
      </c>
      <c r="AY79" s="171">
        <f>-'FS_Detail(M)'!AY33</f>
        <v>0</v>
      </c>
      <c r="AZ79" s="171">
        <f>-'FS_Detail(M)'!AZ33</f>
        <v>0</v>
      </c>
      <c r="BA79" s="171">
        <f>-'FS_Detail(M)'!BA33</f>
        <v>0</v>
      </c>
      <c r="BB79" s="171">
        <f>-'FS_Detail(M)'!BB33</f>
        <v>0</v>
      </c>
      <c r="BC79" s="171">
        <f>-'FS_Detail(M)'!BC33</f>
        <v>0</v>
      </c>
      <c r="BD79" s="171">
        <f>-'FS_Detail(M)'!BD33</f>
        <v>0</v>
      </c>
      <c r="BE79" s="171">
        <f>-'FS_Detail(M)'!BE33</f>
        <v>0</v>
      </c>
      <c r="BF79" s="171">
        <f>-'FS_Detail(M)'!BF33</f>
        <v>0</v>
      </c>
      <c r="BG79" s="171">
        <f>-'FS_Detail(M)'!BG33</f>
        <v>0</v>
      </c>
      <c r="BH79" s="171">
        <f>-'FS_Detail(M)'!BH33</f>
        <v>0</v>
      </c>
      <c r="BI79" s="171">
        <f>-'FS_Detail(M)'!BI33</f>
        <v>0</v>
      </c>
      <c r="BJ79" s="171">
        <f>-'FS_Detail(M)'!BJ33</f>
        <v>0</v>
      </c>
      <c r="BK79" s="171">
        <f>-'FS_Detail(M)'!BK33</f>
        <v>0</v>
      </c>
      <c r="BL79" s="171">
        <f>-'FS_Detail(M)'!BL33</f>
        <v>0</v>
      </c>
      <c r="BM79" s="171">
        <f>-'FS_Detail(M)'!BM33</f>
        <v>0</v>
      </c>
      <c r="BN79" s="171">
        <f>-'FS_Detail(M)'!BN33</f>
        <v>0</v>
      </c>
      <c r="BO79" s="171">
        <f>-'FS_Detail(M)'!BO33</f>
        <v>0</v>
      </c>
      <c r="BP79" s="171">
        <f>-'FS_Detail(M)'!BP33</f>
        <v>0</v>
      </c>
      <c r="BQ79" s="171">
        <f>-'FS_Detail(M)'!BQ33</f>
        <v>0</v>
      </c>
      <c r="BR79" s="171">
        <f>-'FS_Detail(M)'!BR33</f>
        <v>0</v>
      </c>
      <c r="BS79" s="171">
        <f>-'FS_Detail(M)'!BS33</f>
        <v>0</v>
      </c>
      <c r="BT79" s="171">
        <f>-'FS_Detail(M)'!BT33</f>
        <v>0</v>
      </c>
      <c r="BU79" s="171">
        <f>-'FS_Detail(M)'!BU33</f>
        <v>0</v>
      </c>
      <c r="BV79" s="171">
        <f>-'FS_Detail(M)'!BV33</f>
        <v>0</v>
      </c>
      <c r="BW79" s="171">
        <f>-'FS_Detail(M)'!BW33</f>
        <v>0</v>
      </c>
      <c r="BX79" s="171">
        <f>-'FS_Detail(M)'!BX33</f>
        <v>0</v>
      </c>
      <c r="BY79" s="171">
        <f>-'FS_Detail(M)'!BY33</f>
        <v>0</v>
      </c>
      <c r="BZ79" s="171">
        <f>-'FS_Detail(M)'!BZ33</f>
        <v>0</v>
      </c>
      <c r="CA79" s="171">
        <f>-'FS_Detail(M)'!CA33</f>
        <v>0</v>
      </c>
      <c r="CB79" s="171">
        <f>-'FS_Detail(M)'!CB33</f>
        <v>0</v>
      </c>
      <c r="CC79" s="171">
        <f>-'FS_Detail(M)'!CC33</f>
        <v>0</v>
      </c>
      <c r="CD79" s="171">
        <f>-'FS_Detail(M)'!CD33</f>
        <v>0</v>
      </c>
      <c r="CE79" s="171">
        <f>-'FS_Detail(M)'!CE33</f>
        <v>0</v>
      </c>
      <c r="CF79" s="171">
        <f>-'FS_Detail(M)'!CF33</f>
        <v>0</v>
      </c>
      <c r="CG79" s="171">
        <f>-'FS_Detail(M)'!CG33</f>
        <v>0</v>
      </c>
      <c r="CH79" s="171">
        <f>-'FS_Detail(M)'!CH33</f>
        <v>0</v>
      </c>
      <c r="CI79" s="171">
        <f>-'FS_Detail(M)'!CI33</f>
        <v>0</v>
      </c>
      <c r="CJ79" s="171">
        <f>-'FS_Detail(M)'!CJ33</f>
        <v>0</v>
      </c>
      <c r="CK79" s="171">
        <f>-'FS_Detail(M)'!CK33</f>
        <v>0</v>
      </c>
      <c r="CL79" s="171">
        <f>-'FS_Detail(M)'!CL33</f>
        <v>0</v>
      </c>
      <c r="CM79" s="171">
        <f>-'FS_Detail(M)'!CM33</f>
        <v>0</v>
      </c>
      <c r="CN79" s="171">
        <f>-'FS_Detail(M)'!CN33</f>
        <v>0</v>
      </c>
      <c r="CO79" s="171">
        <f>-'FS_Detail(M)'!CO33</f>
        <v>0</v>
      </c>
      <c r="CP79" s="171">
        <f>-'FS_Detail(M)'!CP33</f>
        <v>0</v>
      </c>
      <c r="CQ79" s="171">
        <f>-'FS_Detail(M)'!CQ33</f>
        <v>0</v>
      </c>
      <c r="CR79" s="171">
        <f>-'FS_Detail(M)'!CR33</f>
        <v>0</v>
      </c>
      <c r="CS79" s="171">
        <f>-'FS_Detail(M)'!CS33</f>
        <v>0</v>
      </c>
      <c r="CT79" s="171">
        <f>-'FS_Detail(M)'!CT33</f>
        <v>0</v>
      </c>
      <c r="CU79" s="171">
        <f>-'FS_Detail(M)'!CU33</f>
        <v>0</v>
      </c>
      <c r="CV79" s="171">
        <f>-'FS_Detail(M)'!CV33</f>
        <v>0</v>
      </c>
      <c r="CW79" s="171">
        <f>-'FS_Detail(M)'!CW33</f>
        <v>0</v>
      </c>
      <c r="CX79" s="171">
        <f>-'FS_Detail(M)'!CX33</f>
        <v>0</v>
      </c>
      <c r="CY79" s="171">
        <f>-'FS_Detail(M)'!CY33</f>
        <v>0</v>
      </c>
      <c r="CZ79" s="171">
        <f>-'FS_Detail(M)'!CZ33</f>
        <v>0</v>
      </c>
      <c r="DA79" s="171">
        <f>-'FS_Detail(M)'!DA33</f>
        <v>0</v>
      </c>
      <c r="DB79" s="171">
        <f>-'FS_Detail(M)'!DB33</f>
        <v>0</v>
      </c>
      <c r="DC79" s="171">
        <f>-'FS_Detail(M)'!DC33</f>
        <v>0</v>
      </c>
      <c r="DD79" s="171">
        <f>-'FS_Detail(M)'!DD33</f>
        <v>0</v>
      </c>
      <c r="DE79" s="171">
        <f>-'FS_Detail(M)'!DE33</f>
        <v>0</v>
      </c>
      <c r="DF79" s="171">
        <f>-'FS_Detail(M)'!DF33</f>
        <v>0</v>
      </c>
      <c r="DG79" s="171">
        <f>-'FS_Detail(M)'!DG33</f>
        <v>0</v>
      </c>
      <c r="DH79" s="171">
        <f>-'FS_Detail(M)'!DH33</f>
        <v>0</v>
      </c>
      <c r="DI79" s="171">
        <f>-'FS_Detail(M)'!DI33</f>
        <v>0</v>
      </c>
      <c r="DJ79" s="171">
        <f>-'FS_Detail(M)'!DJ33</f>
        <v>0</v>
      </c>
      <c r="DK79" s="171">
        <f>-'FS_Detail(M)'!DK33</f>
        <v>0</v>
      </c>
      <c r="DL79" s="171">
        <f>-'FS_Detail(M)'!DL33</f>
        <v>0</v>
      </c>
      <c r="DM79" s="171">
        <f>-'FS_Detail(M)'!DM33</f>
        <v>0</v>
      </c>
      <c r="DN79" s="171">
        <f>-'FS_Detail(M)'!DN33</f>
        <v>0</v>
      </c>
      <c r="DO79" s="171">
        <f>-'FS_Detail(M)'!DO33</f>
        <v>0</v>
      </c>
      <c r="DP79" s="171">
        <f>-'FS_Detail(M)'!DP33</f>
        <v>0</v>
      </c>
      <c r="DQ79" s="171">
        <f>-'FS_Detail(M)'!DQ33</f>
        <v>0</v>
      </c>
      <c r="DR79" s="171">
        <f>-'FS_Detail(M)'!DR33</f>
        <v>0</v>
      </c>
      <c r="DS79" s="171">
        <f>-'FS_Detail(M)'!DS33</f>
        <v>0</v>
      </c>
      <c r="DT79" s="171">
        <f>-'FS_Detail(M)'!DT33</f>
        <v>0</v>
      </c>
      <c r="DU79" s="171">
        <f>-'FS_Detail(M)'!DU33</f>
        <v>0</v>
      </c>
      <c r="DV79" s="171">
        <f>-'FS_Detail(M)'!DV33</f>
        <v>0</v>
      </c>
      <c r="DW79" s="171">
        <f>-'FS_Detail(M)'!DW33</f>
        <v>0</v>
      </c>
      <c r="DX79" s="171">
        <f>-'FS_Detail(M)'!DX33</f>
        <v>0</v>
      </c>
      <c r="DY79" s="171">
        <f>-'FS_Detail(M)'!DY33</f>
        <v>0</v>
      </c>
      <c r="DZ79" s="171">
        <f>-'FS_Detail(M)'!DZ33</f>
        <v>0</v>
      </c>
      <c r="EA79" s="171">
        <f>-'FS_Detail(M)'!EA33</f>
        <v>0</v>
      </c>
      <c r="EB79" s="171">
        <f>-'FS_Detail(M)'!EB33</f>
        <v>-213000000</v>
      </c>
      <c r="EC79" s="171">
        <f>-'FS_Detail(M)'!EC33</f>
        <v>0</v>
      </c>
      <c r="ED79" s="171">
        <f>-'FS_Detail(M)'!ED33</f>
        <v>0</v>
      </c>
      <c r="EE79" s="171">
        <f>-'FS_Detail(M)'!EE33</f>
        <v>0</v>
      </c>
      <c r="EF79" s="171">
        <f>-'FS_Detail(M)'!EF33</f>
        <v>0</v>
      </c>
      <c r="EG79" s="171">
        <f>-'FS_Detail(M)'!EG33</f>
        <v>0</v>
      </c>
      <c r="EH79" s="171">
        <f>-'FS_Detail(M)'!EH33</f>
        <v>0</v>
      </c>
      <c r="EI79" s="171">
        <f>-'FS_Detail(M)'!EI33</f>
        <v>0</v>
      </c>
      <c r="EJ79" s="171">
        <f>-'FS_Detail(M)'!EJ33</f>
        <v>0</v>
      </c>
      <c r="EK79" s="171">
        <f>-'FS_Detail(M)'!EK33</f>
        <v>0</v>
      </c>
      <c r="EL79" s="171">
        <f>-'FS_Detail(M)'!EL33</f>
        <v>0</v>
      </c>
      <c r="EM79" s="171">
        <f>-'FS_Detail(M)'!EM33</f>
        <v>0</v>
      </c>
      <c r="EN79" s="171">
        <f>-'FS_Detail(M)'!EN33</f>
        <v>0</v>
      </c>
      <c r="EO79" s="171">
        <f>-'FS_Detail(M)'!EO33</f>
        <v>0</v>
      </c>
      <c r="EP79" s="171">
        <f>-'FS_Detail(M)'!EP33</f>
        <v>0</v>
      </c>
      <c r="EQ79" s="171">
        <f>-'FS_Detail(M)'!EQ33</f>
        <v>0</v>
      </c>
    </row>
    <row r="80" spans="2:147" ht="11.25" customHeight="1">
      <c r="B80" s="218"/>
      <c r="C80" s="158" t="s">
        <v>644</v>
      </c>
      <c r="D80" s="159"/>
      <c r="E80" s="159"/>
      <c r="F80" s="159"/>
      <c r="G80" s="159"/>
      <c r="H80" s="160"/>
      <c r="I80" s="219"/>
      <c r="J80" s="220">
        <f>SUM(J81:J82)</f>
        <v>0</v>
      </c>
      <c r="K80" s="98"/>
      <c r="L80" s="162">
        <f>SUM(L81:L82)</f>
        <v>38000000</v>
      </c>
      <c r="M80" s="162">
        <f t="shared" ref="M80:BX80" si="53">SUM(M81:M82)</f>
        <v>0</v>
      </c>
      <c r="N80" s="162">
        <f t="shared" si="53"/>
        <v>0</v>
      </c>
      <c r="O80" s="162">
        <f t="shared" si="53"/>
        <v>0</v>
      </c>
      <c r="P80" s="162">
        <f t="shared" si="53"/>
        <v>0</v>
      </c>
      <c r="Q80" s="162">
        <f t="shared" si="53"/>
        <v>0</v>
      </c>
      <c r="R80" s="162">
        <f t="shared" si="53"/>
        <v>0</v>
      </c>
      <c r="S80" s="162">
        <f t="shared" si="53"/>
        <v>0</v>
      </c>
      <c r="T80" s="162">
        <f t="shared" si="53"/>
        <v>0</v>
      </c>
      <c r="U80" s="162">
        <f t="shared" si="53"/>
        <v>0</v>
      </c>
      <c r="V80" s="162">
        <f t="shared" si="53"/>
        <v>0</v>
      </c>
      <c r="W80" s="162">
        <f t="shared" si="53"/>
        <v>0</v>
      </c>
      <c r="X80" s="162">
        <f t="shared" si="53"/>
        <v>0</v>
      </c>
      <c r="Y80" s="162">
        <f t="shared" si="53"/>
        <v>0</v>
      </c>
      <c r="Z80" s="162">
        <f t="shared" si="53"/>
        <v>0</v>
      </c>
      <c r="AA80" s="162">
        <f t="shared" si="53"/>
        <v>0</v>
      </c>
      <c r="AB80" s="162">
        <f t="shared" si="53"/>
        <v>0</v>
      </c>
      <c r="AC80" s="162">
        <f t="shared" si="53"/>
        <v>0</v>
      </c>
      <c r="AD80" s="162">
        <f t="shared" si="53"/>
        <v>0</v>
      </c>
      <c r="AE80" s="162">
        <f t="shared" si="53"/>
        <v>0</v>
      </c>
      <c r="AF80" s="162">
        <f t="shared" si="53"/>
        <v>0</v>
      </c>
      <c r="AG80" s="162">
        <f t="shared" si="53"/>
        <v>0</v>
      </c>
      <c r="AH80" s="162">
        <f t="shared" si="53"/>
        <v>0</v>
      </c>
      <c r="AI80" s="162">
        <f t="shared" si="53"/>
        <v>0</v>
      </c>
      <c r="AJ80" s="162">
        <f t="shared" si="53"/>
        <v>-38000000</v>
      </c>
      <c r="AK80" s="162">
        <f t="shared" si="53"/>
        <v>0</v>
      </c>
      <c r="AL80" s="162">
        <f t="shared" si="53"/>
        <v>0</v>
      </c>
      <c r="AM80" s="162">
        <f t="shared" si="53"/>
        <v>0</v>
      </c>
      <c r="AN80" s="162">
        <f t="shared" si="53"/>
        <v>0</v>
      </c>
      <c r="AO80" s="162">
        <f t="shared" si="53"/>
        <v>0</v>
      </c>
      <c r="AP80" s="162">
        <f t="shared" si="53"/>
        <v>0</v>
      </c>
      <c r="AQ80" s="162">
        <f t="shared" si="53"/>
        <v>0</v>
      </c>
      <c r="AR80" s="162">
        <f t="shared" si="53"/>
        <v>0</v>
      </c>
      <c r="AS80" s="162">
        <f t="shared" si="53"/>
        <v>0</v>
      </c>
      <c r="AT80" s="162">
        <f t="shared" si="53"/>
        <v>0</v>
      </c>
      <c r="AU80" s="162">
        <f t="shared" si="53"/>
        <v>0</v>
      </c>
      <c r="AV80" s="162">
        <f t="shared" si="53"/>
        <v>0</v>
      </c>
      <c r="AW80" s="162">
        <f t="shared" si="53"/>
        <v>0</v>
      </c>
      <c r="AX80" s="162">
        <f t="shared" si="53"/>
        <v>0</v>
      </c>
      <c r="AY80" s="162">
        <f t="shared" si="53"/>
        <v>0</v>
      </c>
      <c r="AZ80" s="162">
        <f t="shared" si="53"/>
        <v>0</v>
      </c>
      <c r="BA80" s="162">
        <f t="shared" si="53"/>
        <v>0</v>
      </c>
      <c r="BB80" s="162">
        <f t="shared" si="53"/>
        <v>0</v>
      </c>
      <c r="BC80" s="162">
        <f t="shared" si="53"/>
        <v>0</v>
      </c>
      <c r="BD80" s="162">
        <f t="shared" si="53"/>
        <v>0</v>
      </c>
      <c r="BE80" s="162">
        <f t="shared" si="53"/>
        <v>0</v>
      </c>
      <c r="BF80" s="162">
        <f t="shared" si="53"/>
        <v>0</v>
      </c>
      <c r="BG80" s="162">
        <f t="shared" si="53"/>
        <v>0</v>
      </c>
      <c r="BH80" s="162">
        <f t="shared" si="53"/>
        <v>0</v>
      </c>
      <c r="BI80" s="162">
        <f t="shared" si="53"/>
        <v>0</v>
      </c>
      <c r="BJ80" s="162">
        <f t="shared" si="53"/>
        <v>0</v>
      </c>
      <c r="BK80" s="162">
        <f t="shared" si="53"/>
        <v>0</v>
      </c>
      <c r="BL80" s="162">
        <f t="shared" si="53"/>
        <v>0</v>
      </c>
      <c r="BM80" s="162">
        <f t="shared" si="53"/>
        <v>0</v>
      </c>
      <c r="BN80" s="162">
        <f t="shared" si="53"/>
        <v>0</v>
      </c>
      <c r="BO80" s="162">
        <f t="shared" si="53"/>
        <v>0</v>
      </c>
      <c r="BP80" s="162">
        <f t="shared" si="53"/>
        <v>0</v>
      </c>
      <c r="BQ80" s="162">
        <f t="shared" si="53"/>
        <v>0</v>
      </c>
      <c r="BR80" s="162">
        <f t="shared" si="53"/>
        <v>0</v>
      </c>
      <c r="BS80" s="162">
        <f t="shared" si="53"/>
        <v>0</v>
      </c>
      <c r="BT80" s="162">
        <f t="shared" si="53"/>
        <v>0</v>
      </c>
      <c r="BU80" s="162">
        <f t="shared" si="53"/>
        <v>0</v>
      </c>
      <c r="BV80" s="162">
        <f t="shared" si="53"/>
        <v>0</v>
      </c>
      <c r="BW80" s="162">
        <f t="shared" si="53"/>
        <v>0</v>
      </c>
      <c r="BX80" s="162">
        <f t="shared" si="53"/>
        <v>0</v>
      </c>
      <c r="BY80" s="162">
        <f t="shared" ref="BY80:EJ80" si="54">SUM(BY81:BY82)</f>
        <v>0</v>
      </c>
      <c r="BZ80" s="162">
        <f t="shared" si="54"/>
        <v>0</v>
      </c>
      <c r="CA80" s="162">
        <f t="shared" si="54"/>
        <v>0</v>
      </c>
      <c r="CB80" s="162">
        <f t="shared" si="54"/>
        <v>0</v>
      </c>
      <c r="CC80" s="162">
        <f t="shared" si="54"/>
        <v>0</v>
      </c>
      <c r="CD80" s="162">
        <f t="shared" si="54"/>
        <v>0</v>
      </c>
      <c r="CE80" s="162">
        <f t="shared" si="54"/>
        <v>0</v>
      </c>
      <c r="CF80" s="162">
        <f t="shared" si="54"/>
        <v>0</v>
      </c>
      <c r="CG80" s="162">
        <f t="shared" si="54"/>
        <v>0</v>
      </c>
      <c r="CH80" s="162">
        <f t="shared" si="54"/>
        <v>0</v>
      </c>
      <c r="CI80" s="162">
        <f t="shared" si="54"/>
        <v>0</v>
      </c>
      <c r="CJ80" s="162">
        <f t="shared" si="54"/>
        <v>0</v>
      </c>
      <c r="CK80" s="162">
        <f t="shared" si="54"/>
        <v>0</v>
      </c>
      <c r="CL80" s="162">
        <f t="shared" si="54"/>
        <v>0</v>
      </c>
      <c r="CM80" s="162">
        <f t="shared" si="54"/>
        <v>0</v>
      </c>
      <c r="CN80" s="162">
        <f t="shared" si="54"/>
        <v>0</v>
      </c>
      <c r="CO80" s="162">
        <f t="shared" si="54"/>
        <v>0</v>
      </c>
      <c r="CP80" s="162">
        <f t="shared" si="54"/>
        <v>0</v>
      </c>
      <c r="CQ80" s="162">
        <f t="shared" si="54"/>
        <v>0</v>
      </c>
      <c r="CR80" s="162">
        <f t="shared" si="54"/>
        <v>0</v>
      </c>
      <c r="CS80" s="162">
        <f t="shared" si="54"/>
        <v>0</v>
      </c>
      <c r="CT80" s="162">
        <f t="shared" si="54"/>
        <v>0</v>
      </c>
      <c r="CU80" s="162">
        <f t="shared" si="54"/>
        <v>0</v>
      </c>
      <c r="CV80" s="162">
        <f t="shared" si="54"/>
        <v>0</v>
      </c>
      <c r="CW80" s="162">
        <f t="shared" si="54"/>
        <v>0</v>
      </c>
      <c r="CX80" s="162">
        <f t="shared" si="54"/>
        <v>0</v>
      </c>
      <c r="CY80" s="162">
        <f t="shared" si="54"/>
        <v>0</v>
      </c>
      <c r="CZ80" s="162">
        <f t="shared" si="54"/>
        <v>0</v>
      </c>
      <c r="DA80" s="162">
        <f t="shared" si="54"/>
        <v>0</v>
      </c>
      <c r="DB80" s="162">
        <f t="shared" si="54"/>
        <v>0</v>
      </c>
      <c r="DC80" s="162">
        <f t="shared" si="54"/>
        <v>0</v>
      </c>
      <c r="DD80" s="162">
        <f t="shared" si="54"/>
        <v>0</v>
      </c>
      <c r="DE80" s="162">
        <f t="shared" si="54"/>
        <v>0</v>
      </c>
      <c r="DF80" s="162">
        <f t="shared" si="54"/>
        <v>0</v>
      </c>
      <c r="DG80" s="162">
        <f t="shared" si="54"/>
        <v>0</v>
      </c>
      <c r="DH80" s="162">
        <f t="shared" si="54"/>
        <v>0</v>
      </c>
      <c r="DI80" s="162">
        <f t="shared" si="54"/>
        <v>0</v>
      </c>
      <c r="DJ80" s="162">
        <f t="shared" si="54"/>
        <v>0</v>
      </c>
      <c r="DK80" s="162">
        <f t="shared" si="54"/>
        <v>0</v>
      </c>
      <c r="DL80" s="162">
        <f t="shared" si="54"/>
        <v>0</v>
      </c>
      <c r="DM80" s="162">
        <f t="shared" si="54"/>
        <v>0</v>
      </c>
      <c r="DN80" s="162">
        <f t="shared" si="54"/>
        <v>0</v>
      </c>
      <c r="DO80" s="162">
        <f t="shared" si="54"/>
        <v>0</v>
      </c>
      <c r="DP80" s="162">
        <f t="shared" si="54"/>
        <v>0</v>
      </c>
      <c r="DQ80" s="162">
        <f t="shared" si="54"/>
        <v>0</v>
      </c>
      <c r="DR80" s="162">
        <f t="shared" si="54"/>
        <v>0</v>
      </c>
      <c r="DS80" s="162">
        <f t="shared" si="54"/>
        <v>0</v>
      </c>
      <c r="DT80" s="162">
        <f t="shared" si="54"/>
        <v>0</v>
      </c>
      <c r="DU80" s="162">
        <f t="shared" si="54"/>
        <v>0</v>
      </c>
      <c r="DV80" s="162">
        <f t="shared" si="54"/>
        <v>0</v>
      </c>
      <c r="DW80" s="162">
        <f t="shared" si="54"/>
        <v>0</v>
      </c>
      <c r="DX80" s="162">
        <f t="shared" si="54"/>
        <v>0</v>
      </c>
      <c r="DY80" s="162">
        <f t="shared" si="54"/>
        <v>0</v>
      </c>
      <c r="DZ80" s="162">
        <f t="shared" si="54"/>
        <v>0</v>
      </c>
      <c r="EA80" s="162">
        <f t="shared" si="54"/>
        <v>0</v>
      </c>
      <c r="EB80" s="162">
        <f t="shared" si="54"/>
        <v>0</v>
      </c>
      <c r="EC80" s="162">
        <f t="shared" si="54"/>
        <v>0</v>
      </c>
      <c r="ED80" s="162">
        <f t="shared" si="54"/>
        <v>0</v>
      </c>
      <c r="EE80" s="162">
        <f t="shared" si="54"/>
        <v>0</v>
      </c>
      <c r="EF80" s="162">
        <f t="shared" si="54"/>
        <v>0</v>
      </c>
      <c r="EG80" s="162">
        <f t="shared" si="54"/>
        <v>0</v>
      </c>
      <c r="EH80" s="162">
        <f t="shared" si="54"/>
        <v>0</v>
      </c>
      <c r="EI80" s="162">
        <f t="shared" si="54"/>
        <v>0</v>
      </c>
      <c r="EJ80" s="162">
        <f t="shared" si="54"/>
        <v>0</v>
      </c>
      <c r="EK80" s="162">
        <f t="shared" ref="EK80:EQ80" si="55">SUM(EK81:EK82)</f>
        <v>0</v>
      </c>
      <c r="EL80" s="162">
        <f t="shared" si="55"/>
        <v>0</v>
      </c>
      <c r="EM80" s="162">
        <f t="shared" si="55"/>
        <v>0</v>
      </c>
      <c r="EN80" s="162">
        <f t="shared" si="55"/>
        <v>0</v>
      </c>
      <c r="EO80" s="162">
        <f t="shared" si="55"/>
        <v>0</v>
      </c>
      <c r="EP80" s="162">
        <f t="shared" si="55"/>
        <v>0</v>
      </c>
      <c r="EQ80" s="162">
        <f t="shared" si="55"/>
        <v>0</v>
      </c>
    </row>
    <row r="81" spans="2:147" ht="11.25" customHeight="1">
      <c r="B81" s="218"/>
      <c r="C81" s="163"/>
      <c r="D81" s="164" t="s">
        <v>208</v>
      </c>
      <c r="E81" s="165"/>
      <c r="F81" s="165"/>
      <c r="G81" s="165"/>
      <c r="H81" s="166"/>
      <c r="I81" s="228"/>
      <c r="J81" s="168">
        <f>SUM(L81:EQ81)</f>
        <v>38000000</v>
      </c>
      <c r="K81" s="98"/>
      <c r="L81" s="168">
        <f>'FS_Detail(M)'!L37</f>
        <v>38000000</v>
      </c>
      <c r="M81" s="168">
        <f>'FS_Detail(M)'!M37</f>
        <v>0</v>
      </c>
      <c r="N81" s="168">
        <f>'FS_Detail(M)'!N37</f>
        <v>0</v>
      </c>
      <c r="O81" s="168">
        <f>'FS_Detail(M)'!O37</f>
        <v>0</v>
      </c>
      <c r="P81" s="168">
        <f>'FS_Detail(M)'!P37</f>
        <v>0</v>
      </c>
      <c r="Q81" s="168">
        <f>'FS_Detail(M)'!Q37</f>
        <v>0</v>
      </c>
      <c r="R81" s="168">
        <f>'FS_Detail(M)'!R37</f>
        <v>0</v>
      </c>
      <c r="S81" s="168">
        <f>'FS_Detail(M)'!S37</f>
        <v>0</v>
      </c>
      <c r="T81" s="168">
        <f>'FS_Detail(M)'!T37</f>
        <v>0</v>
      </c>
      <c r="U81" s="168">
        <f>'FS_Detail(M)'!U37</f>
        <v>0</v>
      </c>
      <c r="V81" s="168">
        <f>'FS_Detail(M)'!V37</f>
        <v>0</v>
      </c>
      <c r="W81" s="168">
        <f>'FS_Detail(M)'!W37</f>
        <v>0</v>
      </c>
      <c r="X81" s="168">
        <f>'FS_Detail(M)'!X37</f>
        <v>0</v>
      </c>
      <c r="Y81" s="168">
        <f>'FS_Detail(M)'!Y37</f>
        <v>0</v>
      </c>
      <c r="Z81" s="168">
        <f>'FS_Detail(M)'!Z37</f>
        <v>0</v>
      </c>
      <c r="AA81" s="168">
        <f>'FS_Detail(M)'!AA37</f>
        <v>0</v>
      </c>
      <c r="AB81" s="168">
        <f>'FS_Detail(M)'!AB37</f>
        <v>0</v>
      </c>
      <c r="AC81" s="168">
        <f>'FS_Detail(M)'!AC37</f>
        <v>0</v>
      </c>
      <c r="AD81" s="168">
        <f>'FS_Detail(M)'!AD37</f>
        <v>0</v>
      </c>
      <c r="AE81" s="168">
        <f>'FS_Detail(M)'!AE37</f>
        <v>0</v>
      </c>
      <c r="AF81" s="168">
        <f>'FS_Detail(M)'!AF37</f>
        <v>0</v>
      </c>
      <c r="AG81" s="168">
        <f>'FS_Detail(M)'!AG37</f>
        <v>0</v>
      </c>
      <c r="AH81" s="168">
        <f>'FS_Detail(M)'!AH37</f>
        <v>0</v>
      </c>
      <c r="AI81" s="168">
        <f>'FS_Detail(M)'!AI37</f>
        <v>0</v>
      </c>
      <c r="AJ81" s="168">
        <f>'FS_Detail(M)'!AJ37</f>
        <v>0</v>
      </c>
      <c r="AK81" s="168">
        <f>'FS_Detail(M)'!AK37</f>
        <v>0</v>
      </c>
      <c r="AL81" s="168">
        <f>'FS_Detail(M)'!AL37</f>
        <v>0</v>
      </c>
      <c r="AM81" s="168">
        <f>'FS_Detail(M)'!AM37</f>
        <v>0</v>
      </c>
      <c r="AN81" s="168">
        <f>'FS_Detail(M)'!AN37</f>
        <v>0</v>
      </c>
      <c r="AO81" s="168">
        <f>'FS_Detail(M)'!AO37</f>
        <v>0</v>
      </c>
      <c r="AP81" s="168">
        <f>'FS_Detail(M)'!AP37</f>
        <v>0</v>
      </c>
      <c r="AQ81" s="168">
        <f>'FS_Detail(M)'!AQ37</f>
        <v>0</v>
      </c>
      <c r="AR81" s="168">
        <f>'FS_Detail(M)'!AR37</f>
        <v>0</v>
      </c>
      <c r="AS81" s="168">
        <f>'FS_Detail(M)'!AS37</f>
        <v>0</v>
      </c>
      <c r="AT81" s="168">
        <f>'FS_Detail(M)'!AT37</f>
        <v>0</v>
      </c>
      <c r="AU81" s="168">
        <f>'FS_Detail(M)'!AU37</f>
        <v>0</v>
      </c>
      <c r="AV81" s="168">
        <f>'FS_Detail(M)'!AV37</f>
        <v>0</v>
      </c>
      <c r="AW81" s="168">
        <f>'FS_Detail(M)'!AW37</f>
        <v>0</v>
      </c>
      <c r="AX81" s="168">
        <f>'FS_Detail(M)'!AX37</f>
        <v>0</v>
      </c>
      <c r="AY81" s="168">
        <f>'FS_Detail(M)'!AY37</f>
        <v>0</v>
      </c>
      <c r="AZ81" s="168">
        <f>'FS_Detail(M)'!AZ37</f>
        <v>0</v>
      </c>
      <c r="BA81" s="168">
        <f>'FS_Detail(M)'!BA37</f>
        <v>0</v>
      </c>
      <c r="BB81" s="168">
        <f>'FS_Detail(M)'!BB37</f>
        <v>0</v>
      </c>
      <c r="BC81" s="168">
        <f>'FS_Detail(M)'!BC37</f>
        <v>0</v>
      </c>
      <c r="BD81" s="168">
        <f>'FS_Detail(M)'!BD37</f>
        <v>0</v>
      </c>
      <c r="BE81" s="168">
        <f>'FS_Detail(M)'!BE37</f>
        <v>0</v>
      </c>
      <c r="BF81" s="168">
        <f>'FS_Detail(M)'!BF37</f>
        <v>0</v>
      </c>
      <c r="BG81" s="168">
        <f>'FS_Detail(M)'!BG37</f>
        <v>0</v>
      </c>
      <c r="BH81" s="168">
        <f>'FS_Detail(M)'!BH37</f>
        <v>0</v>
      </c>
      <c r="BI81" s="168">
        <f>'FS_Detail(M)'!BI37</f>
        <v>0</v>
      </c>
      <c r="BJ81" s="168">
        <f>'FS_Detail(M)'!BJ37</f>
        <v>0</v>
      </c>
      <c r="BK81" s="168">
        <f>'FS_Detail(M)'!BK37</f>
        <v>0</v>
      </c>
      <c r="BL81" s="168">
        <f>'FS_Detail(M)'!BL37</f>
        <v>0</v>
      </c>
      <c r="BM81" s="168">
        <f>'FS_Detail(M)'!BM37</f>
        <v>0</v>
      </c>
      <c r="BN81" s="168">
        <f>'FS_Detail(M)'!BN37</f>
        <v>0</v>
      </c>
      <c r="BO81" s="168">
        <f>'FS_Detail(M)'!BO37</f>
        <v>0</v>
      </c>
      <c r="BP81" s="168">
        <f>'FS_Detail(M)'!BP37</f>
        <v>0</v>
      </c>
      <c r="BQ81" s="168">
        <f>'FS_Detail(M)'!BQ37</f>
        <v>0</v>
      </c>
      <c r="BR81" s="168">
        <f>'FS_Detail(M)'!BR37</f>
        <v>0</v>
      </c>
      <c r="BS81" s="168">
        <f>'FS_Detail(M)'!BS37</f>
        <v>0</v>
      </c>
      <c r="BT81" s="168">
        <f>'FS_Detail(M)'!BT37</f>
        <v>0</v>
      </c>
      <c r="BU81" s="168">
        <f>'FS_Detail(M)'!BU37</f>
        <v>0</v>
      </c>
      <c r="BV81" s="168">
        <f>'FS_Detail(M)'!BV37</f>
        <v>0</v>
      </c>
      <c r="BW81" s="168">
        <f>'FS_Detail(M)'!BW37</f>
        <v>0</v>
      </c>
      <c r="BX81" s="168">
        <f>'FS_Detail(M)'!BX37</f>
        <v>0</v>
      </c>
      <c r="BY81" s="168">
        <f>'FS_Detail(M)'!BY37</f>
        <v>0</v>
      </c>
      <c r="BZ81" s="168">
        <f>'FS_Detail(M)'!BZ37</f>
        <v>0</v>
      </c>
      <c r="CA81" s="168">
        <f>'FS_Detail(M)'!CA37</f>
        <v>0</v>
      </c>
      <c r="CB81" s="168">
        <f>'FS_Detail(M)'!CB37</f>
        <v>0</v>
      </c>
      <c r="CC81" s="168">
        <f>'FS_Detail(M)'!CC37</f>
        <v>0</v>
      </c>
      <c r="CD81" s="168">
        <f>'FS_Detail(M)'!CD37</f>
        <v>0</v>
      </c>
      <c r="CE81" s="168">
        <f>'FS_Detail(M)'!CE37</f>
        <v>0</v>
      </c>
      <c r="CF81" s="168">
        <f>'FS_Detail(M)'!CF37</f>
        <v>0</v>
      </c>
      <c r="CG81" s="168">
        <f>'FS_Detail(M)'!CG37</f>
        <v>0</v>
      </c>
      <c r="CH81" s="168">
        <f>'FS_Detail(M)'!CH37</f>
        <v>0</v>
      </c>
      <c r="CI81" s="168">
        <f>'FS_Detail(M)'!CI37</f>
        <v>0</v>
      </c>
      <c r="CJ81" s="168">
        <f>'FS_Detail(M)'!CJ37</f>
        <v>0</v>
      </c>
      <c r="CK81" s="168">
        <f>'FS_Detail(M)'!CK37</f>
        <v>0</v>
      </c>
      <c r="CL81" s="168">
        <f>'FS_Detail(M)'!CL37</f>
        <v>0</v>
      </c>
      <c r="CM81" s="168">
        <f>'FS_Detail(M)'!CM37</f>
        <v>0</v>
      </c>
      <c r="CN81" s="168">
        <f>'FS_Detail(M)'!CN37</f>
        <v>0</v>
      </c>
      <c r="CO81" s="168">
        <f>'FS_Detail(M)'!CO37</f>
        <v>0</v>
      </c>
      <c r="CP81" s="168">
        <f>'FS_Detail(M)'!CP37</f>
        <v>0</v>
      </c>
      <c r="CQ81" s="168">
        <f>'FS_Detail(M)'!CQ37</f>
        <v>0</v>
      </c>
      <c r="CR81" s="168">
        <f>'FS_Detail(M)'!CR37</f>
        <v>0</v>
      </c>
      <c r="CS81" s="168">
        <f>'FS_Detail(M)'!CS37</f>
        <v>0</v>
      </c>
      <c r="CT81" s="168">
        <f>'FS_Detail(M)'!CT37</f>
        <v>0</v>
      </c>
      <c r="CU81" s="168">
        <f>'FS_Detail(M)'!CU37</f>
        <v>0</v>
      </c>
      <c r="CV81" s="168">
        <f>'FS_Detail(M)'!CV37</f>
        <v>0</v>
      </c>
      <c r="CW81" s="168">
        <f>'FS_Detail(M)'!CW37</f>
        <v>0</v>
      </c>
      <c r="CX81" s="168">
        <f>'FS_Detail(M)'!CX37</f>
        <v>0</v>
      </c>
      <c r="CY81" s="168">
        <f>'FS_Detail(M)'!CY37</f>
        <v>0</v>
      </c>
      <c r="CZ81" s="168">
        <f>'FS_Detail(M)'!CZ37</f>
        <v>0</v>
      </c>
      <c r="DA81" s="168">
        <f>'FS_Detail(M)'!DA37</f>
        <v>0</v>
      </c>
      <c r="DB81" s="168">
        <f>'FS_Detail(M)'!DB37</f>
        <v>0</v>
      </c>
      <c r="DC81" s="168">
        <f>'FS_Detail(M)'!DC37</f>
        <v>0</v>
      </c>
      <c r="DD81" s="168">
        <f>'FS_Detail(M)'!DD37</f>
        <v>0</v>
      </c>
      <c r="DE81" s="168">
        <f>'FS_Detail(M)'!DE37</f>
        <v>0</v>
      </c>
      <c r="DF81" s="168">
        <f>'FS_Detail(M)'!DF37</f>
        <v>0</v>
      </c>
      <c r="DG81" s="168">
        <f>'FS_Detail(M)'!DG37</f>
        <v>0</v>
      </c>
      <c r="DH81" s="168">
        <f>'FS_Detail(M)'!DH37</f>
        <v>0</v>
      </c>
      <c r="DI81" s="168">
        <f>'FS_Detail(M)'!DI37</f>
        <v>0</v>
      </c>
      <c r="DJ81" s="168">
        <f>'FS_Detail(M)'!DJ37</f>
        <v>0</v>
      </c>
      <c r="DK81" s="168">
        <f>'FS_Detail(M)'!DK37</f>
        <v>0</v>
      </c>
      <c r="DL81" s="168">
        <f>'FS_Detail(M)'!DL37</f>
        <v>0</v>
      </c>
      <c r="DM81" s="168">
        <f>'FS_Detail(M)'!DM37</f>
        <v>0</v>
      </c>
      <c r="DN81" s="168">
        <f>'FS_Detail(M)'!DN37</f>
        <v>0</v>
      </c>
      <c r="DO81" s="168">
        <f>'FS_Detail(M)'!DO37</f>
        <v>0</v>
      </c>
      <c r="DP81" s="168">
        <f>'FS_Detail(M)'!DP37</f>
        <v>0</v>
      </c>
      <c r="DQ81" s="168">
        <f>'FS_Detail(M)'!DQ37</f>
        <v>0</v>
      </c>
      <c r="DR81" s="168">
        <f>'FS_Detail(M)'!DR37</f>
        <v>0</v>
      </c>
      <c r="DS81" s="168">
        <f>'FS_Detail(M)'!DS37</f>
        <v>0</v>
      </c>
      <c r="DT81" s="168">
        <f>'FS_Detail(M)'!DT37</f>
        <v>0</v>
      </c>
      <c r="DU81" s="168">
        <f>'FS_Detail(M)'!DU37</f>
        <v>0</v>
      </c>
      <c r="DV81" s="168">
        <f>'FS_Detail(M)'!DV37</f>
        <v>0</v>
      </c>
      <c r="DW81" s="168">
        <f>'FS_Detail(M)'!DW37</f>
        <v>0</v>
      </c>
      <c r="DX81" s="168">
        <f>'FS_Detail(M)'!DX37</f>
        <v>0</v>
      </c>
      <c r="DY81" s="168">
        <f>'FS_Detail(M)'!DY37</f>
        <v>0</v>
      </c>
      <c r="DZ81" s="168">
        <f>'FS_Detail(M)'!DZ37</f>
        <v>0</v>
      </c>
      <c r="EA81" s="168">
        <f>'FS_Detail(M)'!EA37</f>
        <v>0</v>
      </c>
      <c r="EB81" s="168">
        <f>'FS_Detail(M)'!EB37</f>
        <v>0</v>
      </c>
      <c r="EC81" s="168">
        <f>'FS_Detail(M)'!EC37</f>
        <v>0</v>
      </c>
      <c r="ED81" s="168">
        <f>'FS_Detail(M)'!ED37</f>
        <v>0</v>
      </c>
      <c r="EE81" s="168">
        <f>'FS_Detail(M)'!EE37</f>
        <v>0</v>
      </c>
      <c r="EF81" s="168">
        <f>'FS_Detail(M)'!EF37</f>
        <v>0</v>
      </c>
      <c r="EG81" s="168">
        <f>'FS_Detail(M)'!EG37</f>
        <v>0</v>
      </c>
      <c r="EH81" s="168">
        <f>'FS_Detail(M)'!EH37</f>
        <v>0</v>
      </c>
      <c r="EI81" s="168">
        <f>'FS_Detail(M)'!EI37</f>
        <v>0</v>
      </c>
      <c r="EJ81" s="168">
        <f>'FS_Detail(M)'!EJ37</f>
        <v>0</v>
      </c>
      <c r="EK81" s="168">
        <f>'FS_Detail(M)'!EK37</f>
        <v>0</v>
      </c>
      <c r="EL81" s="168">
        <f>'FS_Detail(M)'!EL37</f>
        <v>0</v>
      </c>
      <c r="EM81" s="168">
        <f>'FS_Detail(M)'!EM37</f>
        <v>0</v>
      </c>
      <c r="EN81" s="168">
        <f>'FS_Detail(M)'!EN37</f>
        <v>0</v>
      </c>
      <c r="EO81" s="168">
        <f>'FS_Detail(M)'!EO37</f>
        <v>0</v>
      </c>
      <c r="EP81" s="168">
        <f>'FS_Detail(M)'!EP37</f>
        <v>0</v>
      </c>
      <c r="EQ81" s="168">
        <f>'FS_Detail(M)'!EQ37</f>
        <v>0</v>
      </c>
    </row>
    <row r="82" spans="2:147" ht="11.25" customHeight="1">
      <c r="B82" s="218"/>
      <c r="C82" s="163"/>
      <c r="D82" s="169" t="s">
        <v>209</v>
      </c>
      <c r="H82" s="146"/>
      <c r="I82" s="229"/>
      <c r="J82" s="171">
        <f>SUM(L82:EQ82)</f>
        <v>-38000000</v>
      </c>
      <c r="K82" s="98"/>
      <c r="L82" s="171">
        <f>-'FS_Detail(M)'!L38</f>
        <v>0</v>
      </c>
      <c r="M82" s="171">
        <f>-'FS_Detail(M)'!M38</f>
        <v>0</v>
      </c>
      <c r="N82" s="171">
        <f>-'FS_Detail(M)'!N38</f>
        <v>0</v>
      </c>
      <c r="O82" s="171">
        <f>-'FS_Detail(M)'!O38</f>
        <v>0</v>
      </c>
      <c r="P82" s="171">
        <f>-'FS_Detail(M)'!P38</f>
        <v>0</v>
      </c>
      <c r="Q82" s="171">
        <f>-'FS_Detail(M)'!Q38</f>
        <v>0</v>
      </c>
      <c r="R82" s="171">
        <f>-'FS_Detail(M)'!R38</f>
        <v>0</v>
      </c>
      <c r="S82" s="171">
        <f>-'FS_Detail(M)'!S38</f>
        <v>0</v>
      </c>
      <c r="T82" s="171">
        <f>-'FS_Detail(M)'!T38</f>
        <v>0</v>
      </c>
      <c r="U82" s="171">
        <f>-'FS_Detail(M)'!U38</f>
        <v>0</v>
      </c>
      <c r="V82" s="171">
        <f>-'FS_Detail(M)'!V38</f>
        <v>0</v>
      </c>
      <c r="W82" s="171">
        <f>-'FS_Detail(M)'!W38</f>
        <v>0</v>
      </c>
      <c r="X82" s="171">
        <f>-'FS_Detail(M)'!X38</f>
        <v>0</v>
      </c>
      <c r="Y82" s="171">
        <f>-'FS_Detail(M)'!Y38</f>
        <v>0</v>
      </c>
      <c r="Z82" s="171">
        <f>-'FS_Detail(M)'!Z38</f>
        <v>0</v>
      </c>
      <c r="AA82" s="171">
        <f>-'FS_Detail(M)'!AA38</f>
        <v>0</v>
      </c>
      <c r="AB82" s="171">
        <f>-'FS_Detail(M)'!AB38</f>
        <v>0</v>
      </c>
      <c r="AC82" s="171">
        <f>-'FS_Detail(M)'!AC38</f>
        <v>0</v>
      </c>
      <c r="AD82" s="171">
        <f>-'FS_Detail(M)'!AD38</f>
        <v>0</v>
      </c>
      <c r="AE82" s="171">
        <f>-'FS_Detail(M)'!AE38</f>
        <v>0</v>
      </c>
      <c r="AF82" s="171">
        <f>-'FS_Detail(M)'!AF38</f>
        <v>0</v>
      </c>
      <c r="AG82" s="171">
        <f>-'FS_Detail(M)'!AG38</f>
        <v>0</v>
      </c>
      <c r="AH82" s="171">
        <f>-'FS_Detail(M)'!AH38</f>
        <v>0</v>
      </c>
      <c r="AI82" s="171">
        <f>-'FS_Detail(M)'!AI38</f>
        <v>0</v>
      </c>
      <c r="AJ82" s="171">
        <f>-'FS_Detail(M)'!AJ38</f>
        <v>-38000000</v>
      </c>
      <c r="AK82" s="171">
        <f>-'FS_Detail(M)'!AK38</f>
        <v>0</v>
      </c>
      <c r="AL82" s="171">
        <f>-'FS_Detail(M)'!AL38</f>
        <v>0</v>
      </c>
      <c r="AM82" s="171">
        <f>-'FS_Detail(M)'!AM38</f>
        <v>0</v>
      </c>
      <c r="AN82" s="171">
        <f>-'FS_Detail(M)'!AN38</f>
        <v>0</v>
      </c>
      <c r="AO82" s="171">
        <f>-'FS_Detail(M)'!AO38</f>
        <v>0</v>
      </c>
      <c r="AP82" s="171">
        <f>-'FS_Detail(M)'!AP38</f>
        <v>0</v>
      </c>
      <c r="AQ82" s="171">
        <f>-'FS_Detail(M)'!AQ38</f>
        <v>0</v>
      </c>
      <c r="AR82" s="171">
        <f>-'FS_Detail(M)'!AR38</f>
        <v>0</v>
      </c>
      <c r="AS82" s="171">
        <f>-'FS_Detail(M)'!AS38</f>
        <v>0</v>
      </c>
      <c r="AT82" s="171">
        <f>-'FS_Detail(M)'!AT38</f>
        <v>0</v>
      </c>
      <c r="AU82" s="171">
        <f>-'FS_Detail(M)'!AU38</f>
        <v>0</v>
      </c>
      <c r="AV82" s="171">
        <f>-'FS_Detail(M)'!AV38</f>
        <v>0</v>
      </c>
      <c r="AW82" s="171">
        <f>-'FS_Detail(M)'!AW38</f>
        <v>0</v>
      </c>
      <c r="AX82" s="171">
        <f>-'FS_Detail(M)'!AX38</f>
        <v>0</v>
      </c>
      <c r="AY82" s="171">
        <f>-'FS_Detail(M)'!AY38</f>
        <v>0</v>
      </c>
      <c r="AZ82" s="171">
        <f>-'FS_Detail(M)'!AZ38</f>
        <v>0</v>
      </c>
      <c r="BA82" s="171">
        <f>-'FS_Detail(M)'!BA38</f>
        <v>0</v>
      </c>
      <c r="BB82" s="171">
        <f>-'FS_Detail(M)'!BB38</f>
        <v>0</v>
      </c>
      <c r="BC82" s="171">
        <f>-'FS_Detail(M)'!BC38</f>
        <v>0</v>
      </c>
      <c r="BD82" s="171">
        <f>-'FS_Detail(M)'!BD38</f>
        <v>0</v>
      </c>
      <c r="BE82" s="171">
        <f>-'FS_Detail(M)'!BE38</f>
        <v>0</v>
      </c>
      <c r="BF82" s="171">
        <f>-'FS_Detail(M)'!BF38</f>
        <v>0</v>
      </c>
      <c r="BG82" s="171">
        <f>-'FS_Detail(M)'!BG38</f>
        <v>0</v>
      </c>
      <c r="BH82" s="171">
        <f>-'FS_Detail(M)'!BH38</f>
        <v>0</v>
      </c>
      <c r="BI82" s="171">
        <f>-'FS_Detail(M)'!BI38</f>
        <v>0</v>
      </c>
      <c r="BJ82" s="171">
        <f>-'FS_Detail(M)'!BJ38</f>
        <v>0</v>
      </c>
      <c r="BK82" s="171">
        <f>-'FS_Detail(M)'!BK38</f>
        <v>0</v>
      </c>
      <c r="BL82" s="171">
        <f>-'FS_Detail(M)'!BL38</f>
        <v>0</v>
      </c>
      <c r="BM82" s="171">
        <f>-'FS_Detail(M)'!BM38</f>
        <v>0</v>
      </c>
      <c r="BN82" s="171">
        <f>-'FS_Detail(M)'!BN38</f>
        <v>0</v>
      </c>
      <c r="BO82" s="171">
        <f>-'FS_Detail(M)'!BO38</f>
        <v>0</v>
      </c>
      <c r="BP82" s="171">
        <f>-'FS_Detail(M)'!BP38</f>
        <v>0</v>
      </c>
      <c r="BQ82" s="171">
        <f>-'FS_Detail(M)'!BQ38</f>
        <v>0</v>
      </c>
      <c r="BR82" s="171">
        <f>-'FS_Detail(M)'!BR38</f>
        <v>0</v>
      </c>
      <c r="BS82" s="171">
        <f>-'FS_Detail(M)'!BS38</f>
        <v>0</v>
      </c>
      <c r="BT82" s="171">
        <f>-'FS_Detail(M)'!BT38</f>
        <v>0</v>
      </c>
      <c r="BU82" s="171">
        <f>-'FS_Detail(M)'!BU38</f>
        <v>0</v>
      </c>
      <c r="BV82" s="171">
        <f>-'FS_Detail(M)'!BV38</f>
        <v>0</v>
      </c>
      <c r="BW82" s="171">
        <f>-'FS_Detail(M)'!BW38</f>
        <v>0</v>
      </c>
      <c r="BX82" s="171">
        <f>-'FS_Detail(M)'!BX38</f>
        <v>0</v>
      </c>
      <c r="BY82" s="171">
        <f>-'FS_Detail(M)'!BY38</f>
        <v>0</v>
      </c>
      <c r="BZ82" s="171">
        <f>-'FS_Detail(M)'!BZ38</f>
        <v>0</v>
      </c>
      <c r="CA82" s="171">
        <f>-'FS_Detail(M)'!CA38</f>
        <v>0</v>
      </c>
      <c r="CB82" s="171">
        <f>-'FS_Detail(M)'!CB38</f>
        <v>0</v>
      </c>
      <c r="CC82" s="171">
        <f>-'FS_Detail(M)'!CC38</f>
        <v>0</v>
      </c>
      <c r="CD82" s="171">
        <f>-'FS_Detail(M)'!CD38</f>
        <v>0</v>
      </c>
      <c r="CE82" s="171">
        <f>-'FS_Detail(M)'!CE38</f>
        <v>0</v>
      </c>
      <c r="CF82" s="171">
        <f>-'FS_Detail(M)'!CF38</f>
        <v>0</v>
      </c>
      <c r="CG82" s="171">
        <f>-'FS_Detail(M)'!CG38</f>
        <v>0</v>
      </c>
      <c r="CH82" s="171">
        <f>-'FS_Detail(M)'!CH38</f>
        <v>0</v>
      </c>
      <c r="CI82" s="171">
        <f>-'FS_Detail(M)'!CI38</f>
        <v>0</v>
      </c>
      <c r="CJ82" s="171">
        <f>-'FS_Detail(M)'!CJ38</f>
        <v>0</v>
      </c>
      <c r="CK82" s="171">
        <f>-'FS_Detail(M)'!CK38</f>
        <v>0</v>
      </c>
      <c r="CL82" s="171">
        <f>-'FS_Detail(M)'!CL38</f>
        <v>0</v>
      </c>
      <c r="CM82" s="171">
        <f>-'FS_Detail(M)'!CM38</f>
        <v>0</v>
      </c>
      <c r="CN82" s="171">
        <f>-'FS_Detail(M)'!CN38</f>
        <v>0</v>
      </c>
      <c r="CO82" s="171">
        <f>-'FS_Detail(M)'!CO38</f>
        <v>0</v>
      </c>
      <c r="CP82" s="171">
        <f>-'FS_Detail(M)'!CP38</f>
        <v>0</v>
      </c>
      <c r="CQ82" s="171">
        <f>-'FS_Detail(M)'!CQ38</f>
        <v>0</v>
      </c>
      <c r="CR82" s="171">
        <f>-'FS_Detail(M)'!CR38</f>
        <v>0</v>
      </c>
      <c r="CS82" s="171">
        <f>-'FS_Detail(M)'!CS38</f>
        <v>0</v>
      </c>
      <c r="CT82" s="171">
        <f>-'FS_Detail(M)'!CT38</f>
        <v>0</v>
      </c>
      <c r="CU82" s="171">
        <f>-'FS_Detail(M)'!CU38</f>
        <v>0</v>
      </c>
      <c r="CV82" s="171">
        <f>-'FS_Detail(M)'!CV38</f>
        <v>0</v>
      </c>
      <c r="CW82" s="171">
        <f>-'FS_Detail(M)'!CW38</f>
        <v>0</v>
      </c>
      <c r="CX82" s="171">
        <f>-'FS_Detail(M)'!CX38</f>
        <v>0</v>
      </c>
      <c r="CY82" s="171">
        <f>-'FS_Detail(M)'!CY38</f>
        <v>0</v>
      </c>
      <c r="CZ82" s="171">
        <f>-'FS_Detail(M)'!CZ38</f>
        <v>0</v>
      </c>
      <c r="DA82" s="171">
        <f>-'FS_Detail(M)'!DA38</f>
        <v>0</v>
      </c>
      <c r="DB82" s="171">
        <f>-'FS_Detail(M)'!DB38</f>
        <v>0</v>
      </c>
      <c r="DC82" s="171">
        <f>-'FS_Detail(M)'!DC38</f>
        <v>0</v>
      </c>
      <c r="DD82" s="171">
        <f>-'FS_Detail(M)'!DD38</f>
        <v>0</v>
      </c>
      <c r="DE82" s="171">
        <f>-'FS_Detail(M)'!DE38</f>
        <v>0</v>
      </c>
      <c r="DF82" s="171">
        <f>-'FS_Detail(M)'!DF38</f>
        <v>0</v>
      </c>
      <c r="DG82" s="171">
        <f>-'FS_Detail(M)'!DG38</f>
        <v>0</v>
      </c>
      <c r="DH82" s="171">
        <f>-'FS_Detail(M)'!DH38</f>
        <v>0</v>
      </c>
      <c r="DI82" s="171">
        <f>-'FS_Detail(M)'!DI38</f>
        <v>0</v>
      </c>
      <c r="DJ82" s="171">
        <f>-'FS_Detail(M)'!DJ38</f>
        <v>0</v>
      </c>
      <c r="DK82" s="171">
        <f>-'FS_Detail(M)'!DK38</f>
        <v>0</v>
      </c>
      <c r="DL82" s="171">
        <f>-'FS_Detail(M)'!DL38</f>
        <v>0</v>
      </c>
      <c r="DM82" s="171">
        <f>-'FS_Detail(M)'!DM38</f>
        <v>0</v>
      </c>
      <c r="DN82" s="171">
        <f>-'FS_Detail(M)'!DN38</f>
        <v>0</v>
      </c>
      <c r="DO82" s="171">
        <f>-'FS_Detail(M)'!DO38</f>
        <v>0</v>
      </c>
      <c r="DP82" s="171">
        <f>-'FS_Detail(M)'!DP38</f>
        <v>0</v>
      </c>
      <c r="DQ82" s="171">
        <f>-'FS_Detail(M)'!DQ38</f>
        <v>0</v>
      </c>
      <c r="DR82" s="171">
        <f>-'FS_Detail(M)'!DR38</f>
        <v>0</v>
      </c>
      <c r="DS82" s="171">
        <f>-'FS_Detail(M)'!DS38</f>
        <v>0</v>
      </c>
      <c r="DT82" s="171">
        <f>-'FS_Detail(M)'!DT38</f>
        <v>0</v>
      </c>
      <c r="DU82" s="171">
        <f>-'FS_Detail(M)'!DU38</f>
        <v>0</v>
      </c>
      <c r="DV82" s="171">
        <f>-'FS_Detail(M)'!DV38</f>
        <v>0</v>
      </c>
      <c r="DW82" s="171">
        <f>-'FS_Detail(M)'!DW38</f>
        <v>0</v>
      </c>
      <c r="DX82" s="171">
        <f>-'FS_Detail(M)'!DX38</f>
        <v>0</v>
      </c>
      <c r="DY82" s="171">
        <f>-'FS_Detail(M)'!DY38</f>
        <v>0</v>
      </c>
      <c r="DZ82" s="171">
        <f>-'FS_Detail(M)'!DZ38</f>
        <v>0</v>
      </c>
      <c r="EA82" s="171">
        <f>-'FS_Detail(M)'!EA38</f>
        <v>0</v>
      </c>
      <c r="EB82" s="171">
        <f>-'FS_Detail(M)'!EB38</f>
        <v>0</v>
      </c>
      <c r="EC82" s="171">
        <f>-'FS_Detail(M)'!EC38</f>
        <v>0</v>
      </c>
      <c r="ED82" s="171">
        <f>-'FS_Detail(M)'!ED38</f>
        <v>0</v>
      </c>
      <c r="EE82" s="171">
        <f>-'FS_Detail(M)'!EE38</f>
        <v>0</v>
      </c>
      <c r="EF82" s="171">
        <f>-'FS_Detail(M)'!EF38</f>
        <v>0</v>
      </c>
      <c r="EG82" s="171">
        <f>-'FS_Detail(M)'!EG38</f>
        <v>0</v>
      </c>
      <c r="EH82" s="171">
        <f>-'FS_Detail(M)'!EH38</f>
        <v>0</v>
      </c>
      <c r="EI82" s="171">
        <f>-'FS_Detail(M)'!EI38</f>
        <v>0</v>
      </c>
      <c r="EJ82" s="171">
        <f>-'FS_Detail(M)'!EJ38</f>
        <v>0</v>
      </c>
      <c r="EK82" s="171">
        <f>-'FS_Detail(M)'!EK38</f>
        <v>0</v>
      </c>
      <c r="EL82" s="171">
        <f>-'FS_Detail(M)'!EL38</f>
        <v>0</v>
      </c>
      <c r="EM82" s="171">
        <f>-'FS_Detail(M)'!EM38</f>
        <v>0</v>
      </c>
      <c r="EN82" s="171">
        <f>-'FS_Detail(M)'!EN38</f>
        <v>0</v>
      </c>
      <c r="EO82" s="171">
        <f>-'FS_Detail(M)'!EO38</f>
        <v>0</v>
      </c>
      <c r="EP82" s="171">
        <f>-'FS_Detail(M)'!EP38</f>
        <v>0</v>
      </c>
      <c r="EQ82" s="171">
        <f>-'FS_Detail(M)'!EQ38</f>
        <v>0</v>
      </c>
    </row>
    <row r="83" spans="2:147" ht="11.25" customHeight="1">
      <c r="B83" s="218"/>
      <c r="C83" s="158" t="str">
        <f>'A&amp;R'!L36</f>
        <v>중순위대출(2nd)</v>
      </c>
      <c r="D83" s="159"/>
      <c r="E83" s="159"/>
      <c r="F83" s="159"/>
      <c r="G83" s="159"/>
      <c r="H83" s="160"/>
      <c r="I83" s="219"/>
      <c r="J83" s="220">
        <f>SUM(J84:J85)</f>
        <v>0</v>
      </c>
      <c r="K83" s="98"/>
      <c r="L83" s="162">
        <f>SUM(L84:L85)</f>
        <v>0</v>
      </c>
      <c r="M83" s="162">
        <f t="shared" ref="M83:BX83" si="56">SUM(M84:M85)</f>
        <v>0</v>
      </c>
      <c r="N83" s="162">
        <f t="shared" si="56"/>
        <v>0</v>
      </c>
      <c r="O83" s="162">
        <f t="shared" si="56"/>
        <v>0</v>
      </c>
      <c r="P83" s="162">
        <f t="shared" si="56"/>
        <v>0</v>
      </c>
      <c r="Q83" s="162">
        <f t="shared" si="56"/>
        <v>0</v>
      </c>
      <c r="R83" s="162">
        <f t="shared" si="56"/>
        <v>0</v>
      </c>
      <c r="S83" s="162">
        <f t="shared" si="56"/>
        <v>0</v>
      </c>
      <c r="T83" s="162">
        <f t="shared" si="56"/>
        <v>0</v>
      </c>
      <c r="U83" s="162">
        <f t="shared" si="56"/>
        <v>0</v>
      </c>
      <c r="V83" s="162">
        <f t="shared" si="56"/>
        <v>0</v>
      </c>
      <c r="W83" s="162">
        <f t="shared" si="56"/>
        <v>0</v>
      </c>
      <c r="X83" s="162">
        <f t="shared" si="56"/>
        <v>0</v>
      </c>
      <c r="Y83" s="162">
        <f t="shared" si="56"/>
        <v>0</v>
      </c>
      <c r="Z83" s="162">
        <f t="shared" si="56"/>
        <v>0</v>
      </c>
      <c r="AA83" s="162">
        <f t="shared" si="56"/>
        <v>0</v>
      </c>
      <c r="AB83" s="162">
        <f t="shared" si="56"/>
        <v>0</v>
      </c>
      <c r="AC83" s="162">
        <f t="shared" si="56"/>
        <v>0</v>
      </c>
      <c r="AD83" s="162">
        <f t="shared" si="56"/>
        <v>0</v>
      </c>
      <c r="AE83" s="162">
        <f t="shared" si="56"/>
        <v>0</v>
      </c>
      <c r="AF83" s="162">
        <f t="shared" si="56"/>
        <v>0</v>
      </c>
      <c r="AG83" s="162">
        <f t="shared" si="56"/>
        <v>0</v>
      </c>
      <c r="AH83" s="162">
        <f t="shared" si="56"/>
        <v>0</v>
      </c>
      <c r="AI83" s="162">
        <f t="shared" si="56"/>
        <v>0</v>
      </c>
      <c r="AJ83" s="162">
        <f t="shared" si="56"/>
        <v>0</v>
      </c>
      <c r="AK83" s="162">
        <f t="shared" si="56"/>
        <v>0</v>
      </c>
      <c r="AL83" s="162">
        <f t="shared" si="56"/>
        <v>0</v>
      </c>
      <c r="AM83" s="162">
        <f t="shared" si="56"/>
        <v>0</v>
      </c>
      <c r="AN83" s="162">
        <f t="shared" si="56"/>
        <v>0</v>
      </c>
      <c r="AO83" s="162">
        <f t="shared" si="56"/>
        <v>0</v>
      </c>
      <c r="AP83" s="162">
        <f t="shared" si="56"/>
        <v>0</v>
      </c>
      <c r="AQ83" s="162">
        <f t="shared" si="56"/>
        <v>0</v>
      </c>
      <c r="AR83" s="162">
        <f t="shared" si="56"/>
        <v>0</v>
      </c>
      <c r="AS83" s="162">
        <f t="shared" si="56"/>
        <v>0</v>
      </c>
      <c r="AT83" s="162">
        <f t="shared" si="56"/>
        <v>0</v>
      </c>
      <c r="AU83" s="162">
        <f t="shared" si="56"/>
        <v>0</v>
      </c>
      <c r="AV83" s="162">
        <f t="shared" si="56"/>
        <v>0</v>
      </c>
      <c r="AW83" s="162">
        <f t="shared" si="56"/>
        <v>0</v>
      </c>
      <c r="AX83" s="162">
        <f t="shared" si="56"/>
        <v>0</v>
      </c>
      <c r="AY83" s="162">
        <f t="shared" si="56"/>
        <v>0</v>
      </c>
      <c r="AZ83" s="162">
        <f t="shared" si="56"/>
        <v>0</v>
      </c>
      <c r="BA83" s="162">
        <f t="shared" si="56"/>
        <v>0</v>
      </c>
      <c r="BB83" s="162">
        <f t="shared" si="56"/>
        <v>0</v>
      </c>
      <c r="BC83" s="162">
        <f t="shared" si="56"/>
        <v>0</v>
      </c>
      <c r="BD83" s="162">
        <f t="shared" si="56"/>
        <v>0</v>
      </c>
      <c r="BE83" s="162">
        <f t="shared" si="56"/>
        <v>0</v>
      </c>
      <c r="BF83" s="162">
        <f t="shared" si="56"/>
        <v>0</v>
      </c>
      <c r="BG83" s="162">
        <f t="shared" si="56"/>
        <v>0</v>
      </c>
      <c r="BH83" s="162">
        <f t="shared" si="56"/>
        <v>0</v>
      </c>
      <c r="BI83" s="162">
        <f t="shared" si="56"/>
        <v>0</v>
      </c>
      <c r="BJ83" s="162">
        <f t="shared" si="56"/>
        <v>0</v>
      </c>
      <c r="BK83" s="162">
        <f t="shared" si="56"/>
        <v>0</v>
      </c>
      <c r="BL83" s="162">
        <f t="shared" si="56"/>
        <v>0</v>
      </c>
      <c r="BM83" s="162">
        <f t="shared" si="56"/>
        <v>0</v>
      </c>
      <c r="BN83" s="162">
        <f t="shared" si="56"/>
        <v>0</v>
      </c>
      <c r="BO83" s="162">
        <f t="shared" si="56"/>
        <v>0</v>
      </c>
      <c r="BP83" s="162">
        <f t="shared" si="56"/>
        <v>0</v>
      </c>
      <c r="BQ83" s="162">
        <f t="shared" si="56"/>
        <v>0</v>
      </c>
      <c r="BR83" s="162">
        <f t="shared" si="56"/>
        <v>0</v>
      </c>
      <c r="BS83" s="162">
        <f t="shared" si="56"/>
        <v>0</v>
      </c>
      <c r="BT83" s="162">
        <f t="shared" si="56"/>
        <v>0</v>
      </c>
      <c r="BU83" s="162">
        <f t="shared" si="56"/>
        <v>0</v>
      </c>
      <c r="BV83" s="162">
        <f t="shared" si="56"/>
        <v>0</v>
      </c>
      <c r="BW83" s="162">
        <f t="shared" si="56"/>
        <v>0</v>
      </c>
      <c r="BX83" s="162">
        <f t="shared" si="56"/>
        <v>0</v>
      </c>
      <c r="BY83" s="162">
        <f t="shared" ref="BY83:EJ83" si="57">SUM(BY84:BY85)</f>
        <v>0</v>
      </c>
      <c r="BZ83" s="162">
        <f t="shared" si="57"/>
        <v>0</v>
      </c>
      <c r="CA83" s="162">
        <f t="shared" si="57"/>
        <v>0</v>
      </c>
      <c r="CB83" s="162">
        <f t="shared" si="57"/>
        <v>0</v>
      </c>
      <c r="CC83" s="162">
        <f t="shared" si="57"/>
        <v>0</v>
      </c>
      <c r="CD83" s="162">
        <f t="shared" si="57"/>
        <v>0</v>
      </c>
      <c r="CE83" s="162">
        <f t="shared" si="57"/>
        <v>0</v>
      </c>
      <c r="CF83" s="162">
        <f t="shared" si="57"/>
        <v>0</v>
      </c>
      <c r="CG83" s="162">
        <f t="shared" si="57"/>
        <v>0</v>
      </c>
      <c r="CH83" s="162">
        <f t="shared" si="57"/>
        <v>0</v>
      </c>
      <c r="CI83" s="162">
        <f t="shared" si="57"/>
        <v>0</v>
      </c>
      <c r="CJ83" s="162">
        <f t="shared" si="57"/>
        <v>0</v>
      </c>
      <c r="CK83" s="162">
        <f t="shared" si="57"/>
        <v>0</v>
      </c>
      <c r="CL83" s="162">
        <f t="shared" si="57"/>
        <v>0</v>
      </c>
      <c r="CM83" s="162">
        <f t="shared" si="57"/>
        <v>0</v>
      </c>
      <c r="CN83" s="162">
        <f t="shared" si="57"/>
        <v>0</v>
      </c>
      <c r="CO83" s="162">
        <f t="shared" si="57"/>
        <v>0</v>
      </c>
      <c r="CP83" s="162">
        <f t="shared" si="57"/>
        <v>0</v>
      </c>
      <c r="CQ83" s="162">
        <f t="shared" si="57"/>
        <v>0</v>
      </c>
      <c r="CR83" s="162">
        <f t="shared" si="57"/>
        <v>0</v>
      </c>
      <c r="CS83" s="162">
        <f t="shared" si="57"/>
        <v>0</v>
      </c>
      <c r="CT83" s="162">
        <f t="shared" si="57"/>
        <v>0</v>
      </c>
      <c r="CU83" s="162">
        <f t="shared" si="57"/>
        <v>0</v>
      </c>
      <c r="CV83" s="162">
        <f t="shared" si="57"/>
        <v>0</v>
      </c>
      <c r="CW83" s="162">
        <f t="shared" si="57"/>
        <v>0</v>
      </c>
      <c r="CX83" s="162">
        <f t="shared" si="57"/>
        <v>0</v>
      </c>
      <c r="CY83" s="162">
        <f t="shared" si="57"/>
        <v>0</v>
      </c>
      <c r="CZ83" s="162">
        <f t="shared" si="57"/>
        <v>0</v>
      </c>
      <c r="DA83" s="162">
        <f t="shared" si="57"/>
        <v>0</v>
      </c>
      <c r="DB83" s="162">
        <f t="shared" si="57"/>
        <v>0</v>
      </c>
      <c r="DC83" s="162">
        <f t="shared" si="57"/>
        <v>0</v>
      </c>
      <c r="DD83" s="162">
        <f t="shared" si="57"/>
        <v>0</v>
      </c>
      <c r="DE83" s="162">
        <f t="shared" si="57"/>
        <v>0</v>
      </c>
      <c r="DF83" s="162">
        <f t="shared" si="57"/>
        <v>0</v>
      </c>
      <c r="DG83" s="162">
        <f t="shared" si="57"/>
        <v>0</v>
      </c>
      <c r="DH83" s="162">
        <f t="shared" si="57"/>
        <v>0</v>
      </c>
      <c r="DI83" s="162">
        <f t="shared" si="57"/>
        <v>0</v>
      </c>
      <c r="DJ83" s="162">
        <f t="shared" si="57"/>
        <v>0</v>
      </c>
      <c r="DK83" s="162">
        <f t="shared" si="57"/>
        <v>0</v>
      </c>
      <c r="DL83" s="162">
        <f t="shared" si="57"/>
        <v>0</v>
      </c>
      <c r="DM83" s="162">
        <f t="shared" si="57"/>
        <v>0</v>
      </c>
      <c r="DN83" s="162">
        <f t="shared" si="57"/>
        <v>0</v>
      </c>
      <c r="DO83" s="162">
        <f t="shared" si="57"/>
        <v>0</v>
      </c>
      <c r="DP83" s="162">
        <f t="shared" si="57"/>
        <v>0</v>
      </c>
      <c r="DQ83" s="162">
        <f t="shared" si="57"/>
        <v>0</v>
      </c>
      <c r="DR83" s="162">
        <f t="shared" si="57"/>
        <v>0</v>
      </c>
      <c r="DS83" s="162">
        <f t="shared" si="57"/>
        <v>0</v>
      </c>
      <c r="DT83" s="162">
        <f t="shared" si="57"/>
        <v>0</v>
      </c>
      <c r="DU83" s="162">
        <f t="shared" si="57"/>
        <v>0</v>
      </c>
      <c r="DV83" s="162">
        <f t="shared" si="57"/>
        <v>0</v>
      </c>
      <c r="DW83" s="162">
        <f t="shared" si="57"/>
        <v>0</v>
      </c>
      <c r="DX83" s="162">
        <f t="shared" si="57"/>
        <v>0</v>
      </c>
      <c r="DY83" s="162">
        <f t="shared" si="57"/>
        <v>0</v>
      </c>
      <c r="DZ83" s="162">
        <f t="shared" si="57"/>
        <v>0</v>
      </c>
      <c r="EA83" s="162">
        <f t="shared" si="57"/>
        <v>0</v>
      </c>
      <c r="EB83" s="162">
        <f t="shared" si="57"/>
        <v>0</v>
      </c>
      <c r="EC83" s="162">
        <f t="shared" si="57"/>
        <v>0</v>
      </c>
      <c r="ED83" s="162">
        <f t="shared" si="57"/>
        <v>0</v>
      </c>
      <c r="EE83" s="162">
        <f t="shared" si="57"/>
        <v>0</v>
      </c>
      <c r="EF83" s="162">
        <f t="shared" si="57"/>
        <v>0</v>
      </c>
      <c r="EG83" s="162">
        <f t="shared" si="57"/>
        <v>0</v>
      </c>
      <c r="EH83" s="162">
        <f t="shared" si="57"/>
        <v>0</v>
      </c>
      <c r="EI83" s="162">
        <f t="shared" si="57"/>
        <v>0</v>
      </c>
      <c r="EJ83" s="162">
        <f t="shared" si="57"/>
        <v>0</v>
      </c>
      <c r="EK83" s="162">
        <f t="shared" ref="EK83:EQ83" si="58">SUM(EK84:EK85)</f>
        <v>0</v>
      </c>
      <c r="EL83" s="162">
        <f t="shared" si="58"/>
        <v>0</v>
      </c>
      <c r="EM83" s="162">
        <f t="shared" si="58"/>
        <v>0</v>
      </c>
      <c r="EN83" s="162">
        <f t="shared" si="58"/>
        <v>0</v>
      </c>
      <c r="EO83" s="162">
        <f t="shared" si="58"/>
        <v>0</v>
      </c>
      <c r="EP83" s="162">
        <f t="shared" si="58"/>
        <v>0</v>
      </c>
      <c r="EQ83" s="162">
        <f t="shared" si="58"/>
        <v>0</v>
      </c>
    </row>
    <row r="84" spans="2:147" ht="11.25" customHeight="1">
      <c r="B84" s="218"/>
      <c r="C84" s="163"/>
      <c r="D84" s="164" t="s">
        <v>208</v>
      </c>
      <c r="E84" s="165"/>
      <c r="F84" s="165"/>
      <c r="G84" s="165"/>
      <c r="H84" s="166"/>
      <c r="I84" s="228"/>
      <c r="J84" s="168">
        <f>SUM(L84:EQ84)</f>
        <v>0</v>
      </c>
      <c r="K84" s="98"/>
      <c r="L84" s="168">
        <f>'FS_Detail(M)'!L42</f>
        <v>0</v>
      </c>
      <c r="M84" s="168">
        <f>'FS_Detail(M)'!M42</f>
        <v>0</v>
      </c>
      <c r="N84" s="168">
        <f>'FS_Detail(M)'!N42</f>
        <v>0</v>
      </c>
      <c r="O84" s="168">
        <f>'FS_Detail(M)'!O42</f>
        <v>0</v>
      </c>
      <c r="P84" s="168">
        <f>'FS_Detail(M)'!P42</f>
        <v>0</v>
      </c>
      <c r="Q84" s="168">
        <f>'FS_Detail(M)'!Q42</f>
        <v>0</v>
      </c>
      <c r="R84" s="168">
        <f>'FS_Detail(M)'!R42</f>
        <v>0</v>
      </c>
      <c r="S84" s="168">
        <f>'FS_Detail(M)'!S42</f>
        <v>0</v>
      </c>
      <c r="T84" s="168">
        <f>'FS_Detail(M)'!T42</f>
        <v>0</v>
      </c>
      <c r="U84" s="168">
        <f>'FS_Detail(M)'!U42</f>
        <v>0</v>
      </c>
      <c r="V84" s="168">
        <f>'FS_Detail(M)'!V42</f>
        <v>0</v>
      </c>
      <c r="W84" s="168">
        <f>'FS_Detail(M)'!W42</f>
        <v>0</v>
      </c>
      <c r="X84" s="168">
        <f>'FS_Detail(M)'!X42</f>
        <v>0</v>
      </c>
      <c r="Y84" s="168">
        <f>'FS_Detail(M)'!Y42</f>
        <v>0</v>
      </c>
      <c r="Z84" s="168">
        <f>'FS_Detail(M)'!Z42</f>
        <v>0</v>
      </c>
      <c r="AA84" s="168">
        <f>'FS_Detail(M)'!AA42</f>
        <v>0</v>
      </c>
      <c r="AB84" s="168">
        <f>'FS_Detail(M)'!AB42</f>
        <v>0</v>
      </c>
      <c r="AC84" s="168">
        <f>'FS_Detail(M)'!AC42</f>
        <v>0</v>
      </c>
      <c r="AD84" s="168">
        <f>'FS_Detail(M)'!AD42</f>
        <v>0</v>
      </c>
      <c r="AE84" s="168">
        <f>'FS_Detail(M)'!AE42</f>
        <v>0</v>
      </c>
      <c r="AF84" s="168">
        <f>'FS_Detail(M)'!AF42</f>
        <v>0</v>
      </c>
      <c r="AG84" s="168">
        <f>'FS_Detail(M)'!AG42</f>
        <v>0</v>
      </c>
      <c r="AH84" s="168">
        <f>'FS_Detail(M)'!AH42</f>
        <v>0</v>
      </c>
      <c r="AI84" s="168">
        <f>'FS_Detail(M)'!AI42</f>
        <v>0</v>
      </c>
      <c r="AJ84" s="168">
        <f>'FS_Detail(M)'!AJ42</f>
        <v>0</v>
      </c>
      <c r="AK84" s="168">
        <f>'FS_Detail(M)'!AK42</f>
        <v>0</v>
      </c>
      <c r="AL84" s="168">
        <f>'FS_Detail(M)'!AL42</f>
        <v>0</v>
      </c>
      <c r="AM84" s="168">
        <f>'FS_Detail(M)'!AM42</f>
        <v>0</v>
      </c>
      <c r="AN84" s="168">
        <f>'FS_Detail(M)'!AN42</f>
        <v>0</v>
      </c>
      <c r="AO84" s="168">
        <f>'FS_Detail(M)'!AO42</f>
        <v>0</v>
      </c>
      <c r="AP84" s="168">
        <f>'FS_Detail(M)'!AP42</f>
        <v>0</v>
      </c>
      <c r="AQ84" s="168">
        <f>'FS_Detail(M)'!AQ42</f>
        <v>0</v>
      </c>
      <c r="AR84" s="168">
        <f>'FS_Detail(M)'!AR42</f>
        <v>0</v>
      </c>
      <c r="AS84" s="168">
        <f>'FS_Detail(M)'!AS42</f>
        <v>0</v>
      </c>
      <c r="AT84" s="168">
        <f>'FS_Detail(M)'!AT42</f>
        <v>0</v>
      </c>
      <c r="AU84" s="168">
        <f>'FS_Detail(M)'!AU42</f>
        <v>0</v>
      </c>
      <c r="AV84" s="168">
        <f>'FS_Detail(M)'!AV42</f>
        <v>0</v>
      </c>
      <c r="AW84" s="168">
        <f>'FS_Detail(M)'!AW42</f>
        <v>0</v>
      </c>
      <c r="AX84" s="168">
        <f>'FS_Detail(M)'!AX42</f>
        <v>0</v>
      </c>
      <c r="AY84" s="168">
        <f>'FS_Detail(M)'!AY42</f>
        <v>0</v>
      </c>
      <c r="AZ84" s="168">
        <f>'FS_Detail(M)'!AZ42</f>
        <v>0</v>
      </c>
      <c r="BA84" s="168">
        <f>'FS_Detail(M)'!BA42</f>
        <v>0</v>
      </c>
      <c r="BB84" s="168">
        <f>'FS_Detail(M)'!BB42</f>
        <v>0</v>
      </c>
      <c r="BC84" s="168">
        <f>'FS_Detail(M)'!BC42</f>
        <v>0</v>
      </c>
      <c r="BD84" s="168">
        <f>'FS_Detail(M)'!BD42</f>
        <v>0</v>
      </c>
      <c r="BE84" s="168">
        <f>'FS_Detail(M)'!BE42</f>
        <v>0</v>
      </c>
      <c r="BF84" s="168">
        <f>'FS_Detail(M)'!BF42</f>
        <v>0</v>
      </c>
      <c r="BG84" s="168">
        <f>'FS_Detail(M)'!BG42</f>
        <v>0</v>
      </c>
      <c r="BH84" s="168">
        <f>'FS_Detail(M)'!BH42</f>
        <v>0</v>
      </c>
      <c r="BI84" s="168">
        <f>'FS_Detail(M)'!BI42</f>
        <v>0</v>
      </c>
      <c r="BJ84" s="168">
        <f>'FS_Detail(M)'!BJ42</f>
        <v>0</v>
      </c>
      <c r="BK84" s="168">
        <f>'FS_Detail(M)'!BK42</f>
        <v>0</v>
      </c>
      <c r="BL84" s="168">
        <f>'FS_Detail(M)'!BL42</f>
        <v>0</v>
      </c>
      <c r="BM84" s="168">
        <f>'FS_Detail(M)'!BM42</f>
        <v>0</v>
      </c>
      <c r="BN84" s="168">
        <f>'FS_Detail(M)'!BN42</f>
        <v>0</v>
      </c>
      <c r="BO84" s="168">
        <f>'FS_Detail(M)'!BO42</f>
        <v>0</v>
      </c>
      <c r="BP84" s="168">
        <f>'FS_Detail(M)'!BP42</f>
        <v>0</v>
      </c>
      <c r="BQ84" s="168">
        <f>'FS_Detail(M)'!BQ42</f>
        <v>0</v>
      </c>
      <c r="BR84" s="168">
        <f>'FS_Detail(M)'!BR42</f>
        <v>0</v>
      </c>
      <c r="BS84" s="168">
        <f>'FS_Detail(M)'!BS42</f>
        <v>0</v>
      </c>
      <c r="BT84" s="168">
        <f>'FS_Detail(M)'!BT42</f>
        <v>0</v>
      </c>
      <c r="BU84" s="168">
        <f>'FS_Detail(M)'!BU42</f>
        <v>0</v>
      </c>
      <c r="BV84" s="168">
        <f>'FS_Detail(M)'!BV42</f>
        <v>0</v>
      </c>
      <c r="BW84" s="168">
        <f>'FS_Detail(M)'!BW42</f>
        <v>0</v>
      </c>
      <c r="BX84" s="168">
        <f>'FS_Detail(M)'!BX42</f>
        <v>0</v>
      </c>
      <c r="BY84" s="168">
        <f>'FS_Detail(M)'!BY42</f>
        <v>0</v>
      </c>
      <c r="BZ84" s="168">
        <f>'FS_Detail(M)'!BZ42</f>
        <v>0</v>
      </c>
      <c r="CA84" s="168">
        <f>'FS_Detail(M)'!CA42</f>
        <v>0</v>
      </c>
      <c r="CB84" s="168">
        <f>'FS_Detail(M)'!CB42</f>
        <v>0</v>
      </c>
      <c r="CC84" s="168">
        <f>'FS_Detail(M)'!CC42</f>
        <v>0</v>
      </c>
      <c r="CD84" s="168">
        <f>'FS_Detail(M)'!CD42</f>
        <v>0</v>
      </c>
      <c r="CE84" s="168">
        <f>'FS_Detail(M)'!CE42</f>
        <v>0</v>
      </c>
      <c r="CF84" s="168">
        <f>'FS_Detail(M)'!CF42</f>
        <v>0</v>
      </c>
      <c r="CG84" s="168">
        <f>'FS_Detail(M)'!CG42</f>
        <v>0</v>
      </c>
      <c r="CH84" s="168">
        <f>'FS_Detail(M)'!CH42</f>
        <v>0</v>
      </c>
      <c r="CI84" s="168">
        <f>'FS_Detail(M)'!CI42</f>
        <v>0</v>
      </c>
      <c r="CJ84" s="168">
        <f>'FS_Detail(M)'!CJ42</f>
        <v>0</v>
      </c>
      <c r="CK84" s="168">
        <f>'FS_Detail(M)'!CK42</f>
        <v>0</v>
      </c>
      <c r="CL84" s="168">
        <f>'FS_Detail(M)'!CL42</f>
        <v>0</v>
      </c>
      <c r="CM84" s="168">
        <f>'FS_Detail(M)'!CM42</f>
        <v>0</v>
      </c>
      <c r="CN84" s="168">
        <f>'FS_Detail(M)'!CN42</f>
        <v>0</v>
      </c>
      <c r="CO84" s="168">
        <f>'FS_Detail(M)'!CO42</f>
        <v>0</v>
      </c>
      <c r="CP84" s="168">
        <f>'FS_Detail(M)'!CP42</f>
        <v>0</v>
      </c>
      <c r="CQ84" s="168">
        <f>'FS_Detail(M)'!CQ42</f>
        <v>0</v>
      </c>
      <c r="CR84" s="168">
        <f>'FS_Detail(M)'!CR42</f>
        <v>0</v>
      </c>
      <c r="CS84" s="168">
        <f>'FS_Detail(M)'!CS42</f>
        <v>0</v>
      </c>
      <c r="CT84" s="168">
        <f>'FS_Detail(M)'!CT42</f>
        <v>0</v>
      </c>
      <c r="CU84" s="168">
        <f>'FS_Detail(M)'!CU42</f>
        <v>0</v>
      </c>
      <c r="CV84" s="168">
        <f>'FS_Detail(M)'!CV42</f>
        <v>0</v>
      </c>
      <c r="CW84" s="168">
        <f>'FS_Detail(M)'!CW42</f>
        <v>0</v>
      </c>
      <c r="CX84" s="168">
        <f>'FS_Detail(M)'!CX42</f>
        <v>0</v>
      </c>
      <c r="CY84" s="168">
        <f>'FS_Detail(M)'!CY42</f>
        <v>0</v>
      </c>
      <c r="CZ84" s="168">
        <f>'FS_Detail(M)'!CZ42</f>
        <v>0</v>
      </c>
      <c r="DA84" s="168">
        <f>'FS_Detail(M)'!DA42</f>
        <v>0</v>
      </c>
      <c r="DB84" s="168">
        <f>'FS_Detail(M)'!DB42</f>
        <v>0</v>
      </c>
      <c r="DC84" s="168">
        <f>'FS_Detail(M)'!DC42</f>
        <v>0</v>
      </c>
      <c r="DD84" s="168">
        <f>'FS_Detail(M)'!DD42</f>
        <v>0</v>
      </c>
      <c r="DE84" s="168">
        <f>'FS_Detail(M)'!DE42</f>
        <v>0</v>
      </c>
      <c r="DF84" s="168">
        <f>'FS_Detail(M)'!DF42</f>
        <v>0</v>
      </c>
      <c r="DG84" s="168">
        <f>'FS_Detail(M)'!DG42</f>
        <v>0</v>
      </c>
      <c r="DH84" s="168">
        <f>'FS_Detail(M)'!DH42</f>
        <v>0</v>
      </c>
      <c r="DI84" s="168">
        <f>'FS_Detail(M)'!DI42</f>
        <v>0</v>
      </c>
      <c r="DJ84" s="168">
        <f>'FS_Detail(M)'!DJ42</f>
        <v>0</v>
      </c>
      <c r="DK84" s="168">
        <f>'FS_Detail(M)'!DK42</f>
        <v>0</v>
      </c>
      <c r="DL84" s="168">
        <f>'FS_Detail(M)'!DL42</f>
        <v>0</v>
      </c>
      <c r="DM84" s="168">
        <f>'FS_Detail(M)'!DM42</f>
        <v>0</v>
      </c>
      <c r="DN84" s="168">
        <f>'FS_Detail(M)'!DN42</f>
        <v>0</v>
      </c>
      <c r="DO84" s="168">
        <f>'FS_Detail(M)'!DO42</f>
        <v>0</v>
      </c>
      <c r="DP84" s="168">
        <f>'FS_Detail(M)'!DP42</f>
        <v>0</v>
      </c>
      <c r="DQ84" s="168">
        <f>'FS_Detail(M)'!DQ42</f>
        <v>0</v>
      </c>
      <c r="DR84" s="168">
        <f>'FS_Detail(M)'!DR42</f>
        <v>0</v>
      </c>
      <c r="DS84" s="168">
        <f>'FS_Detail(M)'!DS42</f>
        <v>0</v>
      </c>
      <c r="DT84" s="168">
        <f>'FS_Detail(M)'!DT42</f>
        <v>0</v>
      </c>
      <c r="DU84" s="168">
        <f>'FS_Detail(M)'!DU42</f>
        <v>0</v>
      </c>
      <c r="DV84" s="168">
        <f>'FS_Detail(M)'!DV42</f>
        <v>0</v>
      </c>
      <c r="DW84" s="168">
        <f>'FS_Detail(M)'!DW42</f>
        <v>0</v>
      </c>
      <c r="DX84" s="168">
        <f>'FS_Detail(M)'!DX42</f>
        <v>0</v>
      </c>
      <c r="DY84" s="168">
        <f>'FS_Detail(M)'!DY42</f>
        <v>0</v>
      </c>
      <c r="DZ84" s="168">
        <f>'FS_Detail(M)'!DZ42</f>
        <v>0</v>
      </c>
      <c r="EA84" s="168">
        <f>'FS_Detail(M)'!EA42</f>
        <v>0</v>
      </c>
      <c r="EB84" s="168">
        <f>'FS_Detail(M)'!EB42</f>
        <v>0</v>
      </c>
      <c r="EC84" s="168">
        <f>'FS_Detail(M)'!EC42</f>
        <v>0</v>
      </c>
      <c r="ED84" s="168">
        <f>'FS_Detail(M)'!ED42</f>
        <v>0</v>
      </c>
      <c r="EE84" s="168">
        <f>'FS_Detail(M)'!EE42</f>
        <v>0</v>
      </c>
      <c r="EF84" s="168">
        <f>'FS_Detail(M)'!EF42</f>
        <v>0</v>
      </c>
      <c r="EG84" s="168">
        <f>'FS_Detail(M)'!EG42</f>
        <v>0</v>
      </c>
      <c r="EH84" s="168">
        <f>'FS_Detail(M)'!EH42</f>
        <v>0</v>
      </c>
      <c r="EI84" s="168">
        <f>'FS_Detail(M)'!EI42</f>
        <v>0</v>
      </c>
      <c r="EJ84" s="168">
        <f>'FS_Detail(M)'!EJ42</f>
        <v>0</v>
      </c>
      <c r="EK84" s="168">
        <f>'FS_Detail(M)'!EK42</f>
        <v>0</v>
      </c>
      <c r="EL84" s="168">
        <f>'FS_Detail(M)'!EL42</f>
        <v>0</v>
      </c>
      <c r="EM84" s="168">
        <f>'FS_Detail(M)'!EM42</f>
        <v>0</v>
      </c>
      <c r="EN84" s="168">
        <f>'FS_Detail(M)'!EN42</f>
        <v>0</v>
      </c>
      <c r="EO84" s="168">
        <f>'FS_Detail(M)'!EO42</f>
        <v>0</v>
      </c>
      <c r="EP84" s="168">
        <f>'FS_Detail(M)'!EP42</f>
        <v>0</v>
      </c>
      <c r="EQ84" s="168">
        <f>'FS_Detail(M)'!EQ42</f>
        <v>0</v>
      </c>
    </row>
    <row r="85" spans="2:147" ht="11.25" customHeight="1">
      <c r="B85" s="218"/>
      <c r="C85" s="163"/>
      <c r="D85" s="169" t="s">
        <v>209</v>
      </c>
      <c r="H85" s="146"/>
      <c r="I85" s="229"/>
      <c r="J85" s="171">
        <f>SUM(L85:EQ85)</f>
        <v>0</v>
      </c>
      <c r="K85" s="98"/>
      <c r="L85" s="171">
        <f>-'FS_Detail(M)'!L43</f>
        <v>0</v>
      </c>
      <c r="M85" s="171">
        <f>-'FS_Detail(M)'!M43</f>
        <v>0</v>
      </c>
      <c r="N85" s="171">
        <f>-'FS_Detail(M)'!N43</f>
        <v>0</v>
      </c>
      <c r="O85" s="171">
        <f>-'FS_Detail(M)'!O43</f>
        <v>0</v>
      </c>
      <c r="P85" s="171">
        <f>-'FS_Detail(M)'!P43</f>
        <v>0</v>
      </c>
      <c r="Q85" s="171">
        <f>-'FS_Detail(M)'!Q43</f>
        <v>0</v>
      </c>
      <c r="R85" s="171">
        <f>-'FS_Detail(M)'!R43</f>
        <v>0</v>
      </c>
      <c r="S85" s="171">
        <f>-'FS_Detail(M)'!S43</f>
        <v>0</v>
      </c>
      <c r="T85" s="171">
        <f>-'FS_Detail(M)'!T43</f>
        <v>0</v>
      </c>
      <c r="U85" s="171">
        <f>-'FS_Detail(M)'!U43</f>
        <v>0</v>
      </c>
      <c r="V85" s="171">
        <f>-'FS_Detail(M)'!V43</f>
        <v>0</v>
      </c>
      <c r="W85" s="171">
        <f>-'FS_Detail(M)'!W43</f>
        <v>0</v>
      </c>
      <c r="X85" s="171">
        <f>-'FS_Detail(M)'!X43</f>
        <v>0</v>
      </c>
      <c r="Y85" s="171">
        <f>-'FS_Detail(M)'!Y43</f>
        <v>0</v>
      </c>
      <c r="Z85" s="171">
        <f>-'FS_Detail(M)'!Z43</f>
        <v>0</v>
      </c>
      <c r="AA85" s="171">
        <f>-'FS_Detail(M)'!AA43</f>
        <v>0</v>
      </c>
      <c r="AB85" s="171">
        <f>-'FS_Detail(M)'!AB43</f>
        <v>0</v>
      </c>
      <c r="AC85" s="171">
        <f>-'FS_Detail(M)'!AC43</f>
        <v>0</v>
      </c>
      <c r="AD85" s="171">
        <f>-'FS_Detail(M)'!AD43</f>
        <v>0</v>
      </c>
      <c r="AE85" s="171">
        <f>-'FS_Detail(M)'!AE43</f>
        <v>0</v>
      </c>
      <c r="AF85" s="171">
        <f>-'FS_Detail(M)'!AF43</f>
        <v>0</v>
      </c>
      <c r="AG85" s="171">
        <f>-'FS_Detail(M)'!AG43</f>
        <v>0</v>
      </c>
      <c r="AH85" s="171">
        <f>-'FS_Detail(M)'!AH43</f>
        <v>0</v>
      </c>
      <c r="AI85" s="171">
        <f>-'FS_Detail(M)'!AI43</f>
        <v>0</v>
      </c>
      <c r="AJ85" s="171">
        <f>-'FS_Detail(M)'!AJ43</f>
        <v>0</v>
      </c>
      <c r="AK85" s="171">
        <f>-'FS_Detail(M)'!AK43</f>
        <v>0</v>
      </c>
      <c r="AL85" s="171">
        <f>-'FS_Detail(M)'!AL43</f>
        <v>0</v>
      </c>
      <c r="AM85" s="171">
        <f>-'FS_Detail(M)'!AM43</f>
        <v>0</v>
      </c>
      <c r="AN85" s="171">
        <f>-'FS_Detail(M)'!AN43</f>
        <v>0</v>
      </c>
      <c r="AO85" s="171">
        <f>-'FS_Detail(M)'!AO43</f>
        <v>0</v>
      </c>
      <c r="AP85" s="171">
        <f>-'FS_Detail(M)'!AP43</f>
        <v>0</v>
      </c>
      <c r="AQ85" s="171">
        <f>-'FS_Detail(M)'!AQ43</f>
        <v>0</v>
      </c>
      <c r="AR85" s="171">
        <f>-'FS_Detail(M)'!AR43</f>
        <v>0</v>
      </c>
      <c r="AS85" s="171">
        <f>-'FS_Detail(M)'!AS43</f>
        <v>0</v>
      </c>
      <c r="AT85" s="171">
        <f>-'FS_Detail(M)'!AT43</f>
        <v>0</v>
      </c>
      <c r="AU85" s="171">
        <f>-'FS_Detail(M)'!AU43</f>
        <v>0</v>
      </c>
      <c r="AV85" s="171">
        <f>-'FS_Detail(M)'!AV43</f>
        <v>0</v>
      </c>
      <c r="AW85" s="171">
        <f>-'FS_Detail(M)'!AW43</f>
        <v>0</v>
      </c>
      <c r="AX85" s="171">
        <f>-'FS_Detail(M)'!AX43</f>
        <v>0</v>
      </c>
      <c r="AY85" s="171">
        <f>-'FS_Detail(M)'!AY43</f>
        <v>0</v>
      </c>
      <c r="AZ85" s="171">
        <f>-'FS_Detail(M)'!AZ43</f>
        <v>0</v>
      </c>
      <c r="BA85" s="171">
        <f>-'FS_Detail(M)'!BA43</f>
        <v>0</v>
      </c>
      <c r="BB85" s="171">
        <f>-'FS_Detail(M)'!BB43</f>
        <v>0</v>
      </c>
      <c r="BC85" s="171">
        <f>-'FS_Detail(M)'!BC43</f>
        <v>0</v>
      </c>
      <c r="BD85" s="171">
        <f>-'FS_Detail(M)'!BD43</f>
        <v>0</v>
      </c>
      <c r="BE85" s="171">
        <f>-'FS_Detail(M)'!BE43</f>
        <v>0</v>
      </c>
      <c r="BF85" s="171">
        <f>-'FS_Detail(M)'!BF43</f>
        <v>0</v>
      </c>
      <c r="BG85" s="171">
        <f>-'FS_Detail(M)'!BG43</f>
        <v>0</v>
      </c>
      <c r="BH85" s="171">
        <f>-'FS_Detail(M)'!BH43</f>
        <v>0</v>
      </c>
      <c r="BI85" s="171">
        <f>-'FS_Detail(M)'!BI43</f>
        <v>0</v>
      </c>
      <c r="BJ85" s="171">
        <f>-'FS_Detail(M)'!BJ43</f>
        <v>0</v>
      </c>
      <c r="BK85" s="171">
        <f>-'FS_Detail(M)'!BK43</f>
        <v>0</v>
      </c>
      <c r="BL85" s="171">
        <f>-'FS_Detail(M)'!BL43</f>
        <v>0</v>
      </c>
      <c r="BM85" s="171">
        <f>-'FS_Detail(M)'!BM43</f>
        <v>0</v>
      </c>
      <c r="BN85" s="171">
        <f>-'FS_Detail(M)'!BN43</f>
        <v>0</v>
      </c>
      <c r="BO85" s="171">
        <f>-'FS_Detail(M)'!BO43</f>
        <v>0</v>
      </c>
      <c r="BP85" s="171">
        <f>-'FS_Detail(M)'!BP43</f>
        <v>0</v>
      </c>
      <c r="BQ85" s="171">
        <f>-'FS_Detail(M)'!BQ43</f>
        <v>0</v>
      </c>
      <c r="BR85" s="171">
        <f>-'FS_Detail(M)'!BR43</f>
        <v>0</v>
      </c>
      <c r="BS85" s="171">
        <f>-'FS_Detail(M)'!BS43</f>
        <v>0</v>
      </c>
      <c r="BT85" s="171">
        <f>-'FS_Detail(M)'!BT43</f>
        <v>0</v>
      </c>
      <c r="BU85" s="171">
        <f>-'FS_Detail(M)'!BU43</f>
        <v>0</v>
      </c>
      <c r="BV85" s="171">
        <f>-'FS_Detail(M)'!BV43</f>
        <v>0</v>
      </c>
      <c r="BW85" s="171">
        <f>-'FS_Detail(M)'!BW43</f>
        <v>0</v>
      </c>
      <c r="BX85" s="171">
        <f>-'FS_Detail(M)'!BX43</f>
        <v>0</v>
      </c>
      <c r="BY85" s="171">
        <f>-'FS_Detail(M)'!BY43</f>
        <v>0</v>
      </c>
      <c r="BZ85" s="171">
        <f>-'FS_Detail(M)'!BZ43</f>
        <v>0</v>
      </c>
      <c r="CA85" s="171">
        <f>-'FS_Detail(M)'!CA43</f>
        <v>0</v>
      </c>
      <c r="CB85" s="171">
        <f>-'FS_Detail(M)'!CB43</f>
        <v>0</v>
      </c>
      <c r="CC85" s="171">
        <f>-'FS_Detail(M)'!CC43</f>
        <v>0</v>
      </c>
      <c r="CD85" s="171">
        <f>-'FS_Detail(M)'!CD43</f>
        <v>0</v>
      </c>
      <c r="CE85" s="171">
        <f>-'FS_Detail(M)'!CE43</f>
        <v>0</v>
      </c>
      <c r="CF85" s="171">
        <f>-'FS_Detail(M)'!CF43</f>
        <v>0</v>
      </c>
      <c r="CG85" s="171">
        <f>-'FS_Detail(M)'!CG43</f>
        <v>0</v>
      </c>
      <c r="CH85" s="171">
        <f>-'FS_Detail(M)'!CH43</f>
        <v>0</v>
      </c>
      <c r="CI85" s="171">
        <f>-'FS_Detail(M)'!CI43</f>
        <v>0</v>
      </c>
      <c r="CJ85" s="171">
        <f>-'FS_Detail(M)'!CJ43</f>
        <v>0</v>
      </c>
      <c r="CK85" s="171">
        <f>-'FS_Detail(M)'!CK43</f>
        <v>0</v>
      </c>
      <c r="CL85" s="171">
        <f>-'FS_Detail(M)'!CL43</f>
        <v>0</v>
      </c>
      <c r="CM85" s="171">
        <f>-'FS_Detail(M)'!CM43</f>
        <v>0</v>
      </c>
      <c r="CN85" s="171">
        <f>-'FS_Detail(M)'!CN43</f>
        <v>0</v>
      </c>
      <c r="CO85" s="171">
        <f>-'FS_Detail(M)'!CO43</f>
        <v>0</v>
      </c>
      <c r="CP85" s="171">
        <f>-'FS_Detail(M)'!CP43</f>
        <v>0</v>
      </c>
      <c r="CQ85" s="171">
        <f>-'FS_Detail(M)'!CQ43</f>
        <v>0</v>
      </c>
      <c r="CR85" s="171">
        <f>-'FS_Detail(M)'!CR43</f>
        <v>0</v>
      </c>
      <c r="CS85" s="171">
        <f>-'FS_Detail(M)'!CS43</f>
        <v>0</v>
      </c>
      <c r="CT85" s="171">
        <f>-'FS_Detail(M)'!CT43</f>
        <v>0</v>
      </c>
      <c r="CU85" s="171">
        <f>-'FS_Detail(M)'!CU43</f>
        <v>0</v>
      </c>
      <c r="CV85" s="171">
        <f>-'FS_Detail(M)'!CV43</f>
        <v>0</v>
      </c>
      <c r="CW85" s="171">
        <f>-'FS_Detail(M)'!CW43</f>
        <v>0</v>
      </c>
      <c r="CX85" s="171">
        <f>-'FS_Detail(M)'!CX43</f>
        <v>0</v>
      </c>
      <c r="CY85" s="171">
        <f>-'FS_Detail(M)'!CY43</f>
        <v>0</v>
      </c>
      <c r="CZ85" s="171">
        <f>-'FS_Detail(M)'!CZ43</f>
        <v>0</v>
      </c>
      <c r="DA85" s="171">
        <f>-'FS_Detail(M)'!DA43</f>
        <v>0</v>
      </c>
      <c r="DB85" s="171">
        <f>-'FS_Detail(M)'!DB43</f>
        <v>0</v>
      </c>
      <c r="DC85" s="171">
        <f>-'FS_Detail(M)'!DC43</f>
        <v>0</v>
      </c>
      <c r="DD85" s="171">
        <f>-'FS_Detail(M)'!DD43</f>
        <v>0</v>
      </c>
      <c r="DE85" s="171">
        <f>-'FS_Detail(M)'!DE43</f>
        <v>0</v>
      </c>
      <c r="DF85" s="171">
        <f>-'FS_Detail(M)'!DF43</f>
        <v>0</v>
      </c>
      <c r="DG85" s="171">
        <f>-'FS_Detail(M)'!DG43</f>
        <v>0</v>
      </c>
      <c r="DH85" s="171">
        <f>-'FS_Detail(M)'!DH43</f>
        <v>0</v>
      </c>
      <c r="DI85" s="171">
        <f>-'FS_Detail(M)'!DI43</f>
        <v>0</v>
      </c>
      <c r="DJ85" s="171">
        <f>-'FS_Detail(M)'!DJ43</f>
        <v>0</v>
      </c>
      <c r="DK85" s="171">
        <f>-'FS_Detail(M)'!DK43</f>
        <v>0</v>
      </c>
      <c r="DL85" s="171">
        <f>-'FS_Detail(M)'!DL43</f>
        <v>0</v>
      </c>
      <c r="DM85" s="171">
        <f>-'FS_Detail(M)'!DM43</f>
        <v>0</v>
      </c>
      <c r="DN85" s="171">
        <f>-'FS_Detail(M)'!DN43</f>
        <v>0</v>
      </c>
      <c r="DO85" s="171">
        <f>-'FS_Detail(M)'!DO43</f>
        <v>0</v>
      </c>
      <c r="DP85" s="171">
        <f>-'FS_Detail(M)'!DP43</f>
        <v>0</v>
      </c>
      <c r="DQ85" s="171">
        <f>-'FS_Detail(M)'!DQ43</f>
        <v>0</v>
      </c>
      <c r="DR85" s="171">
        <f>-'FS_Detail(M)'!DR43</f>
        <v>0</v>
      </c>
      <c r="DS85" s="171">
        <f>-'FS_Detail(M)'!DS43</f>
        <v>0</v>
      </c>
      <c r="DT85" s="171">
        <f>-'FS_Detail(M)'!DT43</f>
        <v>0</v>
      </c>
      <c r="DU85" s="171">
        <f>-'FS_Detail(M)'!DU43</f>
        <v>0</v>
      </c>
      <c r="DV85" s="171">
        <f>-'FS_Detail(M)'!DV43</f>
        <v>0</v>
      </c>
      <c r="DW85" s="171">
        <f>-'FS_Detail(M)'!DW43</f>
        <v>0</v>
      </c>
      <c r="DX85" s="171">
        <f>-'FS_Detail(M)'!DX43</f>
        <v>0</v>
      </c>
      <c r="DY85" s="171">
        <f>-'FS_Detail(M)'!DY43</f>
        <v>0</v>
      </c>
      <c r="DZ85" s="171">
        <f>-'FS_Detail(M)'!DZ43</f>
        <v>0</v>
      </c>
      <c r="EA85" s="171">
        <f>-'FS_Detail(M)'!EA43</f>
        <v>0</v>
      </c>
      <c r="EB85" s="171">
        <f>-'FS_Detail(M)'!EB43</f>
        <v>0</v>
      </c>
      <c r="EC85" s="171">
        <f>-'FS_Detail(M)'!EC43</f>
        <v>0</v>
      </c>
      <c r="ED85" s="171">
        <f>-'FS_Detail(M)'!ED43</f>
        <v>0</v>
      </c>
      <c r="EE85" s="171">
        <f>-'FS_Detail(M)'!EE43</f>
        <v>0</v>
      </c>
      <c r="EF85" s="171">
        <f>-'FS_Detail(M)'!EF43</f>
        <v>0</v>
      </c>
      <c r="EG85" s="171">
        <f>-'FS_Detail(M)'!EG43</f>
        <v>0</v>
      </c>
      <c r="EH85" s="171">
        <f>-'FS_Detail(M)'!EH43</f>
        <v>0</v>
      </c>
      <c r="EI85" s="171">
        <f>-'FS_Detail(M)'!EI43</f>
        <v>0</v>
      </c>
      <c r="EJ85" s="171">
        <f>-'FS_Detail(M)'!EJ43</f>
        <v>0</v>
      </c>
      <c r="EK85" s="171">
        <f>-'FS_Detail(M)'!EK43</f>
        <v>0</v>
      </c>
      <c r="EL85" s="171">
        <f>-'FS_Detail(M)'!EL43</f>
        <v>0</v>
      </c>
      <c r="EM85" s="171">
        <f>-'FS_Detail(M)'!EM43</f>
        <v>0</v>
      </c>
      <c r="EN85" s="171">
        <f>-'FS_Detail(M)'!EN43</f>
        <v>0</v>
      </c>
      <c r="EO85" s="171">
        <f>-'FS_Detail(M)'!EO43</f>
        <v>0</v>
      </c>
      <c r="EP85" s="171">
        <f>-'FS_Detail(M)'!EP43</f>
        <v>0</v>
      </c>
      <c r="EQ85" s="171">
        <f>-'FS_Detail(M)'!EQ43</f>
        <v>0</v>
      </c>
    </row>
    <row r="86" spans="2:147" ht="11.25" customHeight="1">
      <c r="B86" s="218"/>
      <c r="C86" s="158" t="str">
        <f>'A&amp;R'!L37</f>
        <v>중순위대출(3rd)</v>
      </c>
      <c r="D86" s="159"/>
      <c r="E86" s="159"/>
      <c r="F86" s="159"/>
      <c r="G86" s="159"/>
      <c r="H86" s="160"/>
      <c r="I86" s="219"/>
      <c r="J86" s="220">
        <f>SUM(J87:J88)</f>
        <v>0</v>
      </c>
      <c r="K86" s="98"/>
      <c r="L86" s="162">
        <f>SUM(L87:L88)</f>
        <v>0</v>
      </c>
      <c r="M86" s="162">
        <f t="shared" ref="M86:BX86" si="59">SUM(M87:M88)</f>
        <v>0</v>
      </c>
      <c r="N86" s="162">
        <f t="shared" si="59"/>
        <v>0</v>
      </c>
      <c r="O86" s="162">
        <f t="shared" si="59"/>
        <v>0</v>
      </c>
      <c r="P86" s="162">
        <f t="shared" si="59"/>
        <v>0</v>
      </c>
      <c r="Q86" s="162">
        <f t="shared" si="59"/>
        <v>0</v>
      </c>
      <c r="R86" s="162">
        <f t="shared" si="59"/>
        <v>0</v>
      </c>
      <c r="S86" s="162">
        <f t="shared" si="59"/>
        <v>0</v>
      </c>
      <c r="T86" s="162">
        <f t="shared" si="59"/>
        <v>0</v>
      </c>
      <c r="U86" s="162">
        <f t="shared" si="59"/>
        <v>0</v>
      </c>
      <c r="V86" s="162">
        <f t="shared" si="59"/>
        <v>0</v>
      </c>
      <c r="W86" s="162">
        <f t="shared" si="59"/>
        <v>0</v>
      </c>
      <c r="X86" s="162">
        <f t="shared" si="59"/>
        <v>0</v>
      </c>
      <c r="Y86" s="162">
        <f t="shared" si="59"/>
        <v>0</v>
      </c>
      <c r="Z86" s="162">
        <f t="shared" si="59"/>
        <v>0</v>
      </c>
      <c r="AA86" s="162">
        <f t="shared" si="59"/>
        <v>0</v>
      </c>
      <c r="AB86" s="162">
        <f t="shared" si="59"/>
        <v>0</v>
      </c>
      <c r="AC86" s="162">
        <f t="shared" si="59"/>
        <v>0</v>
      </c>
      <c r="AD86" s="162">
        <f t="shared" si="59"/>
        <v>0</v>
      </c>
      <c r="AE86" s="162">
        <f t="shared" si="59"/>
        <v>0</v>
      </c>
      <c r="AF86" s="162">
        <f t="shared" si="59"/>
        <v>0</v>
      </c>
      <c r="AG86" s="162">
        <f t="shared" si="59"/>
        <v>0</v>
      </c>
      <c r="AH86" s="162">
        <f t="shared" si="59"/>
        <v>0</v>
      </c>
      <c r="AI86" s="162">
        <f t="shared" si="59"/>
        <v>0</v>
      </c>
      <c r="AJ86" s="162">
        <f t="shared" si="59"/>
        <v>0</v>
      </c>
      <c r="AK86" s="162">
        <f t="shared" si="59"/>
        <v>0</v>
      </c>
      <c r="AL86" s="162">
        <f t="shared" si="59"/>
        <v>0</v>
      </c>
      <c r="AM86" s="162">
        <f t="shared" si="59"/>
        <v>0</v>
      </c>
      <c r="AN86" s="162">
        <f t="shared" si="59"/>
        <v>0</v>
      </c>
      <c r="AO86" s="162">
        <f t="shared" si="59"/>
        <v>0</v>
      </c>
      <c r="AP86" s="162">
        <f t="shared" si="59"/>
        <v>0</v>
      </c>
      <c r="AQ86" s="162">
        <f t="shared" si="59"/>
        <v>0</v>
      </c>
      <c r="AR86" s="162">
        <f t="shared" si="59"/>
        <v>0</v>
      </c>
      <c r="AS86" s="162">
        <f t="shared" si="59"/>
        <v>0</v>
      </c>
      <c r="AT86" s="162">
        <f t="shared" si="59"/>
        <v>0</v>
      </c>
      <c r="AU86" s="162">
        <f t="shared" si="59"/>
        <v>0</v>
      </c>
      <c r="AV86" s="162">
        <f t="shared" si="59"/>
        <v>0</v>
      </c>
      <c r="AW86" s="162">
        <f t="shared" si="59"/>
        <v>0</v>
      </c>
      <c r="AX86" s="162">
        <f t="shared" si="59"/>
        <v>0</v>
      </c>
      <c r="AY86" s="162">
        <f t="shared" si="59"/>
        <v>0</v>
      </c>
      <c r="AZ86" s="162">
        <f t="shared" si="59"/>
        <v>0</v>
      </c>
      <c r="BA86" s="162">
        <f t="shared" si="59"/>
        <v>0</v>
      </c>
      <c r="BB86" s="162">
        <f t="shared" si="59"/>
        <v>0</v>
      </c>
      <c r="BC86" s="162">
        <f t="shared" si="59"/>
        <v>0</v>
      </c>
      <c r="BD86" s="162">
        <f t="shared" si="59"/>
        <v>0</v>
      </c>
      <c r="BE86" s="162">
        <f t="shared" si="59"/>
        <v>0</v>
      </c>
      <c r="BF86" s="162">
        <f t="shared" si="59"/>
        <v>0</v>
      </c>
      <c r="BG86" s="162">
        <f t="shared" si="59"/>
        <v>0</v>
      </c>
      <c r="BH86" s="162">
        <f t="shared" si="59"/>
        <v>0</v>
      </c>
      <c r="BI86" s="162">
        <f t="shared" si="59"/>
        <v>0</v>
      </c>
      <c r="BJ86" s="162">
        <f t="shared" si="59"/>
        <v>0</v>
      </c>
      <c r="BK86" s="162">
        <f t="shared" si="59"/>
        <v>0</v>
      </c>
      <c r="BL86" s="162">
        <f t="shared" si="59"/>
        <v>0</v>
      </c>
      <c r="BM86" s="162">
        <f t="shared" si="59"/>
        <v>0</v>
      </c>
      <c r="BN86" s="162">
        <f t="shared" si="59"/>
        <v>0</v>
      </c>
      <c r="BO86" s="162">
        <f t="shared" si="59"/>
        <v>0</v>
      </c>
      <c r="BP86" s="162">
        <f t="shared" si="59"/>
        <v>0</v>
      </c>
      <c r="BQ86" s="162">
        <f t="shared" si="59"/>
        <v>0</v>
      </c>
      <c r="BR86" s="162">
        <f t="shared" si="59"/>
        <v>0</v>
      </c>
      <c r="BS86" s="162">
        <f t="shared" si="59"/>
        <v>0</v>
      </c>
      <c r="BT86" s="162">
        <f t="shared" si="59"/>
        <v>0</v>
      </c>
      <c r="BU86" s="162">
        <f t="shared" si="59"/>
        <v>0</v>
      </c>
      <c r="BV86" s="162">
        <f t="shared" si="59"/>
        <v>0</v>
      </c>
      <c r="BW86" s="162">
        <f t="shared" si="59"/>
        <v>0</v>
      </c>
      <c r="BX86" s="162">
        <f t="shared" si="59"/>
        <v>0</v>
      </c>
      <c r="BY86" s="162">
        <f t="shared" ref="BY86:EJ86" si="60">SUM(BY87:BY88)</f>
        <v>0</v>
      </c>
      <c r="BZ86" s="162">
        <f t="shared" si="60"/>
        <v>0</v>
      </c>
      <c r="CA86" s="162">
        <f t="shared" si="60"/>
        <v>0</v>
      </c>
      <c r="CB86" s="162">
        <f t="shared" si="60"/>
        <v>0</v>
      </c>
      <c r="CC86" s="162">
        <f t="shared" si="60"/>
        <v>0</v>
      </c>
      <c r="CD86" s="162">
        <f t="shared" si="60"/>
        <v>0</v>
      </c>
      <c r="CE86" s="162">
        <f t="shared" si="60"/>
        <v>0</v>
      </c>
      <c r="CF86" s="162">
        <f t="shared" si="60"/>
        <v>0</v>
      </c>
      <c r="CG86" s="162">
        <f t="shared" si="60"/>
        <v>0</v>
      </c>
      <c r="CH86" s="162">
        <f t="shared" si="60"/>
        <v>0</v>
      </c>
      <c r="CI86" s="162">
        <f t="shared" si="60"/>
        <v>0</v>
      </c>
      <c r="CJ86" s="162">
        <f t="shared" si="60"/>
        <v>0</v>
      </c>
      <c r="CK86" s="162">
        <f t="shared" si="60"/>
        <v>0</v>
      </c>
      <c r="CL86" s="162">
        <f t="shared" si="60"/>
        <v>0</v>
      </c>
      <c r="CM86" s="162">
        <f t="shared" si="60"/>
        <v>0</v>
      </c>
      <c r="CN86" s="162">
        <f t="shared" si="60"/>
        <v>0</v>
      </c>
      <c r="CO86" s="162">
        <f t="shared" si="60"/>
        <v>0</v>
      </c>
      <c r="CP86" s="162">
        <f t="shared" si="60"/>
        <v>0</v>
      </c>
      <c r="CQ86" s="162">
        <f t="shared" si="60"/>
        <v>0</v>
      </c>
      <c r="CR86" s="162">
        <f t="shared" si="60"/>
        <v>0</v>
      </c>
      <c r="CS86" s="162">
        <f t="shared" si="60"/>
        <v>0</v>
      </c>
      <c r="CT86" s="162">
        <f t="shared" si="60"/>
        <v>0</v>
      </c>
      <c r="CU86" s="162">
        <f t="shared" si="60"/>
        <v>0</v>
      </c>
      <c r="CV86" s="162">
        <f t="shared" si="60"/>
        <v>0</v>
      </c>
      <c r="CW86" s="162">
        <f t="shared" si="60"/>
        <v>0</v>
      </c>
      <c r="CX86" s="162">
        <f t="shared" si="60"/>
        <v>0</v>
      </c>
      <c r="CY86" s="162">
        <f t="shared" si="60"/>
        <v>0</v>
      </c>
      <c r="CZ86" s="162">
        <f t="shared" si="60"/>
        <v>0</v>
      </c>
      <c r="DA86" s="162">
        <f t="shared" si="60"/>
        <v>0</v>
      </c>
      <c r="DB86" s="162">
        <f t="shared" si="60"/>
        <v>0</v>
      </c>
      <c r="DC86" s="162">
        <f t="shared" si="60"/>
        <v>0</v>
      </c>
      <c r="DD86" s="162">
        <f t="shared" si="60"/>
        <v>0</v>
      </c>
      <c r="DE86" s="162">
        <f t="shared" si="60"/>
        <v>0</v>
      </c>
      <c r="DF86" s="162">
        <f t="shared" si="60"/>
        <v>0</v>
      </c>
      <c r="DG86" s="162">
        <f t="shared" si="60"/>
        <v>0</v>
      </c>
      <c r="DH86" s="162">
        <f t="shared" si="60"/>
        <v>0</v>
      </c>
      <c r="DI86" s="162">
        <f t="shared" si="60"/>
        <v>0</v>
      </c>
      <c r="DJ86" s="162">
        <f t="shared" si="60"/>
        <v>0</v>
      </c>
      <c r="DK86" s="162">
        <f t="shared" si="60"/>
        <v>0</v>
      </c>
      <c r="DL86" s="162">
        <f t="shared" si="60"/>
        <v>0</v>
      </c>
      <c r="DM86" s="162">
        <f t="shared" si="60"/>
        <v>0</v>
      </c>
      <c r="DN86" s="162">
        <f t="shared" si="60"/>
        <v>0</v>
      </c>
      <c r="DO86" s="162">
        <f t="shared" si="60"/>
        <v>0</v>
      </c>
      <c r="DP86" s="162">
        <f t="shared" si="60"/>
        <v>0</v>
      </c>
      <c r="DQ86" s="162">
        <f t="shared" si="60"/>
        <v>0</v>
      </c>
      <c r="DR86" s="162">
        <f t="shared" si="60"/>
        <v>0</v>
      </c>
      <c r="DS86" s="162">
        <f t="shared" si="60"/>
        <v>0</v>
      </c>
      <c r="DT86" s="162">
        <f t="shared" si="60"/>
        <v>0</v>
      </c>
      <c r="DU86" s="162">
        <f t="shared" si="60"/>
        <v>0</v>
      </c>
      <c r="DV86" s="162">
        <f t="shared" si="60"/>
        <v>0</v>
      </c>
      <c r="DW86" s="162">
        <f t="shared" si="60"/>
        <v>0</v>
      </c>
      <c r="DX86" s="162">
        <f t="shared" si="60"/>
        <v>0</v>
      </c>
      <c r="DY86" s="162">
        <f t="shared" si="60"/>
        <v>0</v>
      </c>
      <c r="DZ86" s="162">
        <f t="shared" si="60"/>
        <v>0</v>
      </c>
      <c r="EA86" s="162">
        <f t="shared" si="60"/>
        <v>0</v>
      </c>
      <c r="EB86" s="162">
        <f t="shared" si="60"/>
        <v>0</v>
      </c>
      <c r="EC86" s="162">
        <f t="shared" si="60"/>
        <v>0</v>
      </c>
      <c r="ED86" s="162">
        <f t="shared" si="60"/>
        <v>0</v>
      </c>
      <c r="EE86" s="162">
        <f t="shared" si="60"/>
        <v>0</v>
      </c>
      <c r="EF86" s="162">
        <f t="shared" si="60"/>
        <v>0</v>
      </c>
      <c r="EG86" s="162">
        <f t="shared" si="60"/>
        <v>0</v>
      </c>
      <c r="EH86" s="162">
        <f t="shared" si="60"/>
        <v>0</v>
      </c>
      <c r="EI86" s="162">
        <f t="shared" si="60"/>
        <v>0</v>
      </c>
      <c r="EJ86" s="162">
        <f t="shared" si="60"/>
        <v>0</v>
      </c>
      <c r="EK86" s="162">
        <f t="shared" ref="EK86:EQ86" si="61">SUM(EK87:EK88)</f>
        <v>0</v>
      </c>
      <c r="EL86" s="162">
        <f t="shared" si="61"/>
        <v>0</v>
      </c>
      <c r="EM86" s="162">
        <f t="shared" si="61"/>
        <v>0</v>
      </c>
      <c r="EN86" s="162">
        <f t="shared" si="61"/>
        <v>0</v>
      </c>
      <c r="EO86" s="162">
        <f t="shared" si="61"/>
        <v>0</v>
      </c>
      <c r="EP86" s="162">
        <f t="shared" si="61"/>
        <v>0</v>
      </c>
      <c r="EQ86" s="162">
        <f t="shared" si="61"/>
        <v>0</v>
      </c>
    </row>
    <row r="87" spans="2:147" ht="11.25" customHeight="1">
      <c r="B87" s="218"/>
      <c r="C87" s="163"/>
      <c r="D87" s="164" t="s">
        <v>208</v>
      </c>
      <c r="E87" s="165"/>
      <c r="F87" s="165"/>
      <c r="G87" s="165"/>
      <c r="H87" s="166"/>
      <c r="I87" s="228"/>
      <c r="J87" s="168">
        <f>SUM(L87:EQ87)</f>
        <v>0</v>
      </c>
      <c r="K87" s="98"/>
      <c r="L87" s="168">
        <f>'FS_Detail(M)'!L47</f>
        <v>0</v>
      </c>
      <c r="M87" s="168">
        <f>'FS_Detail(M)'!M47</f>
        <v>0</v>
      </c>
      <c r="N87" s="168">
        <f>'FS_Detail(M)'!N47</f>
        <v>0</v>
      </c>
      <c r="O87" s="168">
        <f>'FS_Detail(M)'!O47</f>
        <v>0</v>
      </c>
      <c r="P87" s="168">
        <f>'FS_Detail(M)'!P47</f>
        <v>0</v>
      </c>
      <c r="Q87" s="168">
        <f>'FS_Detail(M)'!Q47</f>
        <v>0</v>
      </c>
      <c r="R87" s="168">
        <f>'FS_Detail(M)'!R47</f>
        <v>0</v>
      </c>
      <c r="S87" s="168">
        <f>'FS_Detail(M)'!S47</f>
        <v>0</v>
      </c>
      <c r="T87" s="168">
        <f>'FS_Detail(M)'!T47</f>
        <v>0</v>
      </c>
      <c r="U87" s="168">
        <f>'FS_Detail(M)'!U47</f>
        <v>0</v>
      </c>
      <c r="V87" s="168">
        <f>'FS_Detail(M)'!V47</f>
        <v>0</v>
      </c>
      <c r="W87" s="168">
        <f>'FS_Detail(M)'!W47</f>
        <v>0</v>
      </c>
      <c r="X87" s="168">
        <f>'FS_Detail(M)'!X47</f>
        <v>0</v>
      </c>
      <c r="Y87" s="168">
        <f>'FS_Detail(M)'!Y47</f>
        <v>0</v>
      </c>
      <c r="Z87" s="168">
        <f>'FS_Detail(M)'!Z47</f>
        <v>0</v>
      </c>
      <c r="AA87" s="168">
        <f>'FS_Detail(M)'!AA47</f>
        <v>0</v>
      </c>
      <c r="AB87" s="168">
        <f>'FS_Detail(M)'!AB47</f>
        <v>0</v>
      </c>
      <c r="AC87" s="168">
        <f>'FS_Detail(M)'!AC47</f>
        <v>0</v>
      </c>
      <c r="AD87" s="168">
        <f>'FS_Detail(M)'!AD47</f>
        <v>0</v>
      </c>
      <c r="AE87" s="168">
        <f>'FS_Detail(M)'!AE47</f>
        <v>0</v>
      </c>
      <c r="AF87" s="168">
        <f>'FS_Detail(M)'!AF47</f>
        <v>0</v>
      </c>
      <c r="AG87" s="168">
        <f>'FS_Detail(M)'!AG47</f>
        <v>0</v>
      </c>
      <c r="AH87" s="168">
        <f>'FS_Detail(M)'!AH47</f>
        <v>0</v>
      </c>
      <c r="AI87" s="168">
        <f>'FS_Detail(M)'!AI47</f>
        <v>0</v>
      </c>
      <c r="AJ87" s="168">
        <f>'FS_Detail(M)'!AJ47</f>
        <v>0</v>
      </c>
      <c r="AK87" s="168">
        <f>'FS_Detail(M)'!AK47</f>
        <v>0</v>
      </c>
      <c r="AL87" s="168">
        <f>'FS_Detail(M)'!AL47</f>
        <v>0</v>
      </c>
      <c r="AM87" s="168">
        <f>'FS_Detail(M)'!AM47</f>
        <v>0</v>
      </c>
      <c r="AN87" s="168">
        <f>'FS_Detail(M)'!AN47</f>
        <v>0</v>
      </c>
      <c r="AO87" s="168">
        <f>'FS_Detail(M)'!AO47</f>
        <v>0</v>
      </c>
      <c r="AP87" s="168">
        <f>'FS_Detail(M)'!AP47</f>
        <v>0</v>
      </c>
      <c r="AQ87" s="168">
        <f>'FS_Detail(M)'!AQ47</f>
        <v>0</v>
      </c>
      <c r="AR87" s="168">
        <f>'FS_Detail(M)'!AR47</f>
        <v>0</v>
      </c>
      <c r="AS87" s="168">
        <f>'FS_Detail(M)'!AS47</f>
        <v>0</v>
      </c>
      <c r="AT87" s="168">
        <f>'FS_Detail(M)'!AT47</f>
        <v>0</v>
      </c>
      <c r="AU87" s="168">
        <f>'FS_Detail(M)'!AU47</f>
        <v>0</v>
      </c>
      <c r="AV87" s="168">
        <f>'FS_Detail(M)'!AV47</f>
        <v>0</v>
      </c>
      <c r="AW87" s="168">
        <f>'FS_Detail(M)'!AW47</f>
        <v>0</v>
      </c>
      <c r="AX87" s="168">
        <f>'FS_Detail(M)'!AX47</f>
        <v>0</v>
      </c>
      <c r="AY87" s="168">
        <f>'FS_Detail(M)'!AY47</f>
        <v>0</v>
      </c>
      <c r="AZ87" s="168">
        <f>'FS_Detail(M)'!AZ47</f>
        <v>0</v>
      </c>
      <c r="BA87" s="168">
        <f>'FS_Detail(M)'!BA47</f>
        <v>0</v>
      </c>
      <c r="BB87" s="168">
        <f>'FS_Detail(M)'!BB47</f>
        <v>0</v>
      </c>
      <c r="BC87" s="168">
        <f>'FS_Detail(M)'!BC47</f>
        <v>0</v>
      </c>
      <c r="BD87" s="168">
        <f>'FS_Detail(M)'!BD47</f>
        <v>0</v>
      </c>
      <c r="BE87" s="168">
        <f>'FS_Detail(M)'!BE47</f>
        <v>0</v>
      </c>
      <c r="BF87" s="168">
        <f>'FS_Detail(M)'!BF47</f>
        <v>0</v>
      </c>
      <c r="BG87" s="168">
        <f>'FS_Detail(M)'!BG47</f>
        <v>0</v>
      </c>
      <c r="BH87" s="168">
        <f>'FS_Detail(M)'!BH47</f>
        <v>0</v>
      </c>
      <c r="BI87" s="168">
        <f>'FS_Detail(M)'!BI47</f>
        <v>0</v>
      </c>
      <c r="BJ87" s="168">
        <f>'FS_Detail(M)'!BJ47</f>
        <v>0</v>
      </c>
      <c r="BK87" s="168">
        <f>'FS_Detail(M)'!BK47</f>
        <v>0</v>
      </c>
      <c r="BL87" s="168">
        <f>'FS_Detail(M)'!BL47</f>
        <v>0</v>
      </c>
      <c r="BM87" s="168">
        <f>'FS_Detail(M)'!BM47</f>
        <v>0</v>
      </c>
      <c r="BN87" s="168">
        <f>'FS_Detail(M)'!BN47</f>
        <v>0</v>
      </c>
      <c r="BO87" s="168">
        <f>'FS_Detail(M)'!BO47</f>
        <v>0</v>
      </c>
      <c r="BP87" s="168">
        <f>'FS_Detail(M)'!BP47</f>
        <v>0</v>
      </c>
      <c r="BQ87" s="168">
        <f>'FS_Detail(M)'!BQ47</f>
        <v>0</v>
      </c>
      <c r="BR87" s="168">
        <f>'FS_Detail(M)'!BR47</f>
        <v>0</v>
      </c>
      <c r="BS87" s="168">
        <f>'FS_Detail(M)'!BS47</f>
        <v>0</v>
      </c>
      <c r="BT87" s="168">
        <f>'FS_Detail(M)'!BT47</f>
        <v>0</v>
      </c>
      <c r="BU87" s="168">
        <f>'FS_Detail(M)'!BU47</f>
        <v>0</v>
      </c>
      <c r="BV87" s="168">
        <f>'FS_Detail(M)'!BV47</f>
        <v>0</v>
      </c>
      <c r="BW87" s="168">
        <f>'FS_Detail(M)'!BW47</f>
        <v>0</v>
      </c>
      <c r="BX87" s="168">
        <f>'FS_Detail(M)'!BX47</f>
        <v>0</v>
      </c>
      <c r="BY87" s="168">
        <f>'FS_Detail(M)'!BY47</f>
        <v>0</v>
      </c>
      <c r="BZ87" s="168">
        <f>'FS_Detail(M)'!BZ47</f>
        <v>0</v>
      </c>
      <c r="CA87" s="168">
        <f>'FS_Detail(M)'!CA47</f>
        <v>0</v>
      </c>
      <c r="CB87" s="168">
        <f>'FS_Detail(M)'!CB47</f>
        <v>0</v>
      </c>
      <c r="CC87" s="168">
        <f>'FS_Detail(M)'!CC47</f>
        <v>0</v>
      </c>
      <c r="CD87" s="168">
        <f>'FS_Detail(M)'!CD47</f>
        <v>0</v>
      </c>
      <c r="CE87" s="168">
        <f>'FS_Detail(M)'!CE47</f>
        <v>0</v>
      </c>
      <c r="CF87" s="168">
        <f>'FS_Detail(M)'!CF47</f>
        <v>0</v>
      </c>
      <c r="CG87" s="168">
        <f>'FS_Detail(M)'!CG47</f>
        <v>0</v>
      </c>
      <c r="CH87" s="168">
        <f>'FS_Detail(M)'!CH47</f>
        <v>0</v>
      </c>
      <c r="CI87" s="168">
        <f>'FS_Detail(M)'!CI47</f>
        <v>0</v>
      </c>
      <c r="CJ87" s="168">
        <f>'FS_Detail(M)'!CJ47</f>
        <v>0</v>
      </c>
      <c r="CK87" s="168">
        <f>'FS_Detail(M)'!CK47</f>
        <v>0</v>
      </c>
      <c r="CL87" s="168">
        <f>'FS_Detail(M)'!CL47</f>
        <v>0</v>
      </c>
      <c r="CM87" s="168">
        <f>'FS_Detail(M)'!CM47</f>
        <v>0</v>
      </c>
      <c r="CN87" s="168">
        <f>'FS_Detail(M)'!CN47</f>
        <v>0</v>
      </c>
      <c r="CO87" s="168">
        <f>'FS_Detail(M)'!CO47</f>
        <v>0</v>
      </c>
      <c r="CP87" s="168">
        <f>'FS_Detail(M)'!CP47</f>
        <v>0</v>
      </c>
      <c r="CQ87" s="168">
        <f>'FS_Detail(M)'!CQ47</f>
        <v>0</v>
      </c>
      <c r="CR87" s="168">
        <f>'FS_Detail(M)'!CR47</f>
        <v>0</v>
      </c>
      <c r="CS87" s="168">
        <f>'FS_Detail(M)'!CS47</f>
        <v>0</v>
      </c>
      <c r="CT87" s="168">
        <f>'FS_Detail(M)'!CT47</f>
        <v>0</v>
      </c>
      <c r="CU87" s="168">
        <f>'FS_Detail(M)'!CU47</f>
        <v>0</v>
      </c>
      <c r="CV87" s="168">
        <f>'FS_Detail(M)'!CV47</f>
        <v>0</v>
      </c>
      <c r="CW87" s="168">
        <f>'FS_Detail(M)'!CW47</f>
        <v>0</v>
      </c>
      <c r="CX87" s="168">
        <f>'FS_Detail(M)'!CX47</f>
        <v>0</v>
      </c>
      <c r="CY87" s="168">
        <f>'FS_Detail(M)'!CY47</f>
        <v>0</v>
      </c>
      <c r="CZ87" s="168">
        <f>'FS_Detail(M)'!CZ47</f>
        <v>0</v>
      </c>
      <c r="DA87" s="168">
        <f>'FS_Detail(M)'!DA47</f>
        <v>0</v>
      </c>
      <c r="DB87" s="168">
        <f>'FS_Detail(M)'!DB47</f>
        <v>0</v>
      </c>
      <c r="DC87" s="168">
        <f>'FS_Detail(M)'!DC47</f>
        <v>0</v>
      </c>
      <c r="DD87" s="168">
        <f>'FS_Detail(M)'!DD47</f>
        <v>0</v>
      </c>
      <c r="DE87" s="168">
        <f>'FS_Detail(M)'!DE47</f>
        <v>0</v>
      </c>
      <c r="DF87" s="168">
        <f>'FS_Detail(M)'!DF47</f>
        <v>0</v>
      </c>
      <c r="DG87" s="168">
        <f>'FS_Detail(M)'!DG47</f>
        <v>0</v>
      </c>
      <c r="DH87" s="168">
        <f>'FS_Detail(M)'!DH47</f>
        <v>0</v>
      </c>
      <c r="DI87" s="168">
        <f>'FS_Detail(M)'!DI47</f>
        <v>0</v>
      </c>
      <c r="DJ87" s="168">
        <f>'FS_Detail(M)'!DJ47</f>
        <v>0</v>
      </c>
      <c r="DK87" s="168">
        <f>'FS_Detail(M)'!DK47</f>
        <v>0</v>
      </c>
      <c r="DL87" s="168">
        <f>'FS_Detail(M)'!DL47</f>
        <v>0</v>
      </c>
      <c r="DM87" s="168">
        <f>'FS_Detail(M)'!DM47</f>
        <v>0</v>
      </c>
      <c r="DN87" s="168">
        <f>'FS_Detail(M)'!DN47</f>
        <v>0</v>
      </c>
      <c r="DO87" s="168">
        <f>'FS_Detail(M)'!DO47</f>
        <v>0</v>
      </c>
      <c r="DP87" s="168">
        <f>'FS_Detail(M)'!DP47</f>
        <v>0</v>
      </c>
      <c r="DQ87" s="168">
        <f>'FS_Detail(M)'!DQ47</f>
        <v>0</v>
      </c>
      <c r="DR87" s="168">
        <f>'FS_Detail(M)'!DR47</f>
        <v>0</v>
      </c>
      <c r="DS87" s="168">
        <f>'FS_Detail(M)'!DS47</f>
        <v>0</v>
      </c>
      <c r="DT87" s="168">
        <f>'FS_Detail(M)'!DT47</f>
        <v>0</v>
      </c>
      <c r="DU87" s="168">
        <f>'FS_Detail(M)'!DU47</f>
        <v>0</v>
      </c>
      <c r="DV87" s="168">
        <f>'FS_Detail(M)'!DV47</f>
        <v>0</v>
      </c>
      <c r="DW87" s="168">
        <f>'FS_Detail(M)'!DW47</f>
        <v>0</v>
      </c>
      <c r="DX87" s="168">
        <f>'FS_Detail(M)'!DX47</f>
        <v>0</v>
      </c>
      <c r="DY87" s="168">
        <f>'FS_Detail(M)'!DY47</f>
        <v>0</v>
      </c>
      <c r="DZ87" s="168">
        <f>'FS_Detail(M)'!DZ47</f>
        <v>0</v>
      </c>
      <c r="EA87" s="168">
        <f>'FS_Detail(M)'!EA47</f>
        <v>0</v>
      </c>
      <c r="EB87" s="168">
        <f>'FS_Detail(M)'!EB47</f>
        <v>0</v>
      </c>
      <c r="EC87" s="168">
        <f>'FS_Detail(M)'!EC47</f>
        <v>0</v>
      </c>
      <c r="ED87" s="168">
        <f>'FS_Detail(M)'!ED47</f>
        <v>0</v>
      </c>
      <c r="EE87" s="168">
        <f>'FS_Detail(M)'!EE47</f>
        <v>0</v>
      </c>
      <c r="EF87" s="168">
        <f>'FS_Detail(M)'!EF47</f>
        <v>0</v>
      </c>
      <c r="EG87" s="168">
        <f>'FS_Detail(M)'!EG47</f>
        <v>0</v>
      </c>
      <c r="EH87" s="168">
        <f>'FS_Detail(M)'!EH47</f>
        <v>0</v>
      </c>
      <c r="EI87" s="168">
        <f>'FS_Detail(M)'!EI47</f>
        <v>0</v>
      </c>
      <c r="EJ87" s="168">
        <f>'FS_Detail(M)'!EJ47</f>
        <v>0</v>
      </c>
      <c r="EK87" s="168">
        <f>'FS_Detail(M)'!EK47</f>
        <v>0</v>
      </c>
      <c r="EL87" s="168">
        <f>'FS_Detail(M)'!EL47</f>
        <v>0</v>
      </c>
      <c r="EM87" s="168">
        <f>'FS_Detail(M)'!EM47</f>
        <v>0</v>
      </c>
      <c r="EN87" s="168">
        <f>'FS_Detail(M)'!EN47</f>
        <v>0</v>
      </c>
      <c r="EO87" s="168">
        <f>'FS_Detail(M)'!EO47</f>
        <v>0</v>
      </c>
      <c r="EP87" s="168">
        <f>'FS_Detail(M)'!EP47</f>
        <v>0</v>
      </c>
      <c r="EQ87" s="168">
        <f>'FS_Detail(M)'!EQ47</f>
        <v>0</v>
      </c>
    </row>
    <row r="88" spans="2:147" ht="11.25" customHeight="1">
      <c r="B88" s="218"/>
      <c r="C88" s="163"/>
      <c r="D88" s="169" t="s">
        <v>209</v>
      </c>
      <c r="H88" s="146"/>
      <c r="I88" s="229"/>
      <c r="J88" s="171">
        <f>SUM(L88:EQ88)</f>
        <v>0</v>
      </c>
      <c r="K88" s="98"/>
      <c r="L88" s="171">
        <f>-'FS_Detail(M)'!L48</f>
        <v>0</v>
      </c>
      <c r="M88" s="171">
        <f>-'FS_Detail(M)'!M48</f>
        <v>0</v>
      </c>
      <c r="N88" s="171">
        <f>-'FS_Detail(M)'!N48</f>
        <v>0</v>
      </c>
      <c r="O88" s="171">
        <f>-'FS_Detail(M)'!O48</f>
        <v>0</v>
      </c>
      <c r="P88" s="171">
        <f>-'FS_Detail(M)'!P48</f>
        <v>0</v>
      </c>
      <c r="Q88" s="171">
        <f>-'FS_Detail(M)'!Q48</f>
        <v>0</v>
      </c>
      <c r="R88" s="171">
        <f>-'FS_Detail(M)'!R48</f>
        <v>0</v>
      </c>
      <c r="S88" s="171">
        <f>-'FS_Detail(M)'!S48</f>
        <v>0</v>
      </c>
      <c r="T88" s="171">
        <f>-'FS_Detail(M)'!T48</f>
        <v>0</v>
      </c>
      <c r="U88" s="171">
        <f>-'FS_Detail(M)'!U48</f>
        <v>0</v>
      </c>
      <c r="V88" s="171">
        <f>-'FS_Detail(M)'!V48</f>
        <v>0</v>
      </c>
      <c r="W88" s="171">
        <f>-'FS_Detail(M)'!W48</f>
        <v>0</v>
      </c>
      <c r="X88" s="171">
        <f>-'FS_Detail(M)'!X48</f>
        <v>0</v>
      </c>
      <c r="Y88" s="171">
        <f>-'FS_Detail(M)'!Y48</f>
        <v>0</v>
      </c>
      <c r="Z88" s="171">
        <f>-'FS_Detail(M)'!Z48</f>
        <v>0</v>
      </c>
      <c r="AA88" s="171">
        <f>-'FS_Detail(M)'!AA48</f>
        <v>0</v>
      </c>
      <c r="AB88" s="171">
        <f>-'FS_Detail(M)'!AB48</f>
        <v>0</v>
      </c>
      <c r="AC88" s="171">
        <f>-'FS_Detail(M)'!AC48</f>
        <v>0</v>
      </c>
      <c r="AD88" s="171">
        <f>-'FS_Detail(M)'!AD48</f>
        <v>0</v>
      </c>
      <c r="AE88" s="171">
        <f>-'FS_Detail(M)'!AE48</f>
        <v>0</v>
      </c>
      <c r="AF88" s="171">
        <f>-'FS_Detail(M)'!AF48</f>
        <v>0</v>
      </c>
      <c r="AG88" s="171">
        <f>-'FS_Detail(M)'!AG48</f>
        <v>0</v>
      </c>
      <c r="AH88" s="171">
        <f>-'FS_Detail(M)'!AH48</f>
        <v>0</v>
      </c>
      <c r="AI88" s="171">
        <f>-'FS_Detail(M)'!AI48</f>
        <v>0</v>
      </c>
      <c r="AJ88" s="171">
        <f>-'FS_Detail(M)'!AJ48</f>
        <v>0</v>
      </c>
      <c r="AK88" s="171">
        <f>-'FS_Detail(M)'!AK48</f>
        <v>0</v>
      </c>
      <c r="AL88" s="171">
        <f>-'FS_Detail(M)'!AL48</f>
        <v>0</v>
      </c>
      <c r="AM88" s="171">
        <f>-'FS_Detail(M)'!AM48</f>
        <v>0</v>
      </c>
      <c r="AN88" s="171">
        <f>-'FS_Detail(M)'!AN48</f>
        <v>0</v>
      </c>
      <c r="AO88" s="171">
        <f>-'FS_Detail(M)'!AO48</f>
        <v>0</v>
      </c>
      <c r="AP88" s="171">
        <f>-'FS_Detail(M)'!AP48</f>
        <v>0</v>
      </c>
      <c r="AQ88" s="171">
        <f>-'FS_Detail(M)'!AQ48</f>
        <v>0</v>
      </c>
      <c r="AR88" s="171">
        <f>-'FS_Detail(M)'!AR48</f>
        <v>0</v>
      </c>
      <c r="AS88" s="171">
        <f>-'FS_Detail(M)'!AS48</f>
        <v>0</v>
      </c>
      <c r="AT88" s="171">
        <f>-'FS_Detail(M)'!AT48</f>
        <v>0</v>
      </c>
      <c r="AU88" s="171">
        <f>-'FS_Detail(M)'!AU48</f>
        <v>0</v>
      </c>
      <c r="AV88" s="171">
        <f>-'FS_Detail(M)'!AV48</f>
        <v>0</v>
      </c>
      <c r="AW88" s="171">
        <f>-'FS_Detail(M)'!AW48</f>
        <v>0</v>
      </c>
      <c r="AX88" s="171">
        <f>-'FS_Detail(M)'!AX48</f>
        <v>0</v>
      </c>
      <c r="AY88" s="171">
        <f>-'FS_Detail(M)'!AY48</f>
        <v>0</v>
      </c>
      <c r="AZ88" s="171">
        <f>-'FS_Detail(M)'!AZ48</f>
        <v>0</v>
      </c>
      <c r="BA88" s="171">
        <f>-'FS_Detail(M)'!BA48</f>
        <v>0</v>
      </c>
      <c r="BB88" s="171">
        <f>-'FS_Detail(M)'!BB48</f>
        <v>0</v>
      </c>
      <c r="BC88" s="171">
        <f>-'FS_Detail(M)'!BC48</f>
        <v>0</v>
      </c>
      <c r="BD88" s="171">
        <f>-'FS_Detail(M)'!BD48</f>
        <v>0</v>
      </c>
      <c r="BE88" s="171">
        <f>-'FS_Detail(M)'!BE48</f>
        <v>0</v>
      </c>
      <c r="BF88" s="171">
        <f>-'FS_Detail(M)'!BF48</f>
        <v>0</v>
      </c>
      <c r="BG88" s="171">
        <f>-'FS_Detail(M)'!BG48</f>
        <v>0</v>
      </c>
      <c r="BH88" s="171">
        <f>-'FS_Detail(M)'!BH48</f>
        <v>0</v>
      </c>
      <c r="BI88" s="171">
        <f>-'FS_Detail(M)'!BI48</f>
        <v>0</v>
      </c>
      <c r="BJ88" s="171">
        <f>-'FS_Detail(M)'!BJ48</f>
        <v>0</v>
      </c>
      <c r="BK88" s="171">
        <f>-'FS_Detail(M)'!BK48</f>
        <v>0</v>
      </c>
      <c r="BL88" s="171">
        <f>-'FS_Detail(M)'!BL48</f>
        <v>0</v>
      </c>
      <c r="BM88" s="171">
        <f>-'FS_Detail(M)'!BM48</f>
        <v>0</v>
      </c>
      <c r="BN88" s="171">
        <f>-'FS_Detail(M)'!BN48</f>
        <v>0</v>
      </c>
      <c r="BO88" s="171">
        <f>-'FS_Detail(M)'!BO48</f>
        <v>0</v>
      </c>
      <c r="BP88" s="171">
        <f>-'FS_Detail(M)'!BP48</f>
        <v>0</v>
      </c>
      <c r="BQ88" s="171">
        <f>-'FS_Detail(M)'!BQ48</f>
        <v>0</v>
      </c>
      <c r="BR88" s="171">
        <f>-'FS_Detail(M)'!BR48</f>
        <v>0</v>
      </c>
      <c r="BS88" s="171">
        <f>-'FS_Detail(M)'!BS48</f>
        <v>0</v>
      </c>
      <c r="BT88" s="171">
        <f>-'FS_Detail(M)'!BT48</f>
        <v>0</v>
      </c>
      <c r="BU88" s="171">
        <f>-'FS_Detail(M)'!BU48</f>
        <v>0</v>
      </c>
      <c r="BV88" s="171">
        <f>-'FS_Detail(M)'!BV48</f>
        <v>0</v>
      </c>
      <c r="BW88" s="171">
        <f>-'FS_Detail(M)'!BW48</f>
        <v>0</v>
      </c>
      <c r="BX88" s="171">
        <f>-'FS_Detail(M)'!BX48</f>
        <v>0</v>
      </c>
      <c r="BY88" s="171">
        <f>-'FS_Detail(M)'!BY48</f>
        <v>0</v>
      </c>
      <c r="BZ88" s="171">
        <f>-'FS_Detail(M)'!BZ48</f>
        <v>0</v>
      </c>
      <c r="CA88" s="171">
        <f>-'FS_Detail(M)'!CA48</f>
        <v>0</v>
      </c>
      <c r="CB88" s="171">
        <f>-'FS_Detail(M)'!CB48</f>
        <v>0</v>
      </c>
      <c r="CC88" s="171">
        <f>-'FS_Detail(M)'!CC48</f>
        <v>0</v>
      </c>
      <c r="CD88" s="171">
        <f>-'FS_Detail(M)'!CD48</f>
        <v>0</v>
      </c>
      <c r="CE88" s="171">
        <f>-'FS_Detail(M)'!CE48</f>
        <v>0</v>
      </c>
      <c r="CF88" s="171">
        <f>-'FS_Detail(M)'!CF48</f>
        <v>0</v>
      </c>
      <c r="CG88" s="171">
        <f>-'FS_Detail(M)'!CG48</f>
        <v>0</v>
      </c>
      <c r="CH88" s="171">
        <f>-'FS_Detail(M)'!CH48</f>
        <v>0</v>
      </c>
      <c r="CI88" s="171">
        <f>-'FS_Detail(M)'!CI48</f>
        <v>0</v>
      </c>
      <c r="CJ88" s="171">
        <f>-'FS_Detail(M)'!CJ48</f>
        <v>0</v>
      </c>
      <c r="CK88" s="171">
        <f>-'FS_Detail(M)'!CK48</f>
        <v>0</v>
      </c>
      <c r="CL88" s="171">
        <f>-'FS_Detail(M)'!CL48</f>
        <v>0</v>
      </c>
      <c r="CM88" s="171">
        <f>-'FS_Detail(M)'!CM48</f>
        <v>0</v>
      </c>
      <c r="CN88" s="171">
        <f>-'FS_Detail(M)'!CN48</f>
        <v>0</v>
      </c>
      <c r="CO88" s="171">
        <f>-'FS_Detail(M)'!CO48</f>
        <v>0</v>
      </c>
      <c r="CP88" s="171">
        <f>-'FS_Detail(M)'!CP48</f>
        <v>0</v>
      </c>
      <c r="CQ88" s="171">
        <f>-'FS_Detail(M)'!CQ48</f>
        <v>0</v>
      </c>
      <c r="CR88" s="171">
        <f>-'FS_Detail(M)'!CR48</f>
        <v>0</v>
      </c>
      <c r="CS88" s="171">
        <f>-'FS_Detail(M)'!CS48</f>
        <v>0</v>
      </c>
      <c r="CT88" s="171">
        <f>-'FS_Detail(M)'!CT48</f>
        <v>0</v>
      </c>
      <c r="CU88" s="171">
        <f>-'FS_Detail(M)'!CU48</f>
        <v>0</v>
      </c>
      <c r="CV88" s="171">
        <f>-'FS_Detail(M)'!CV48</f>
        <v>0</v>
      </c>
      <c r="CW88" s="171">
        <f>-'FS_Detail(M)'!CW48</f>
        <v>0</v>
      </c>
      <c r="CX88" s="171">
        <f>-'FS_Detail(M)'!CX48</f>
        <v>0</v>
      </c>
      <c r="CY88" s="171">
        <f>-'FS_Detail(M)'!CY48</f>
        <v>0</v>
      </c>
      <c r="CZ88" s="171">
        <f>-'FS_Detail(M)'!CZ48</f>
        <v>0</v>
      </c>
      <c r="DA88" s="171">
        <f>-'FS_Detail(M)'!DA48</f>
        <v>0</v>
      </c>
      <c r="DB88" s="171">
        <f>-'FS_Detail(M)'!DB48</f>
        <v>0</v>
      </c>
      <c r="DC88" s="171">
        <f>-'FS_Detail(M)'!DC48</f>
        <v>0</v>
      </c>
      <c r="DD88" s="171">
        <f>-'FS_Detail(M)'!DD48</f>
        <v>0</v>
      </c>
      <c r="DE88" s="171">
        <f>-'FS_Detail(M)'!DE48</f>
        <v>0</v>
      </c>
      <c r="DF88" s="171">
        <f>-'FS_Detail(M)'!DF48</f>
        <v>0</v>
      </c>
      <c r="DG88" s="171">
        <f>-'FS_Detail(M)'!DG48</f>
        <v>0</v>
      </c>
      <c r="DH88" s="171">
        <f>-'FS_Detail(M)'!DH48</f>
        <v>0</v>
      </c>
      <c r="DI88" s="171">
        <f>-'FS_Detail(M)'!DI48</f>
        <v>0</v>
      </c>
      <c r="DJ88" s="171">
        <f>-'FS_Detail(M)'!DJ48</f>
        <v>0</v>
      </c>
      <c r="DK88" s="171">
        <f>-'FS_Detail(M)'!DK48</f>
        <v>0</v>
      </c>
      <c r="DL88" s="171">
        <f>-'FS_Detail(M)'!DL48</f>
        <v>0</v>
      </c>
      <c r="DM88" s="171">
        <f>-'FS_Detail(M)'!DM48</f>
        <v>0</v>
      </c>
      <c r="DN88" s="171">
        <f>-'FS_Detail(M)'!DN48</f>
        <v>0</v>
      </c>
      <c r="DO88" s="171">
        <f>-'FS_Detail(M)'!DO48</f>
        <v>0</v>
      </c>
      <c r="DP88" s="171">
        <f>-'FS_Detail(M)'!DP48</f>
        <v>0</v>
      </c>
      <c r="DQ88" s="171">
        <f>-'FS_Detail(M)'!DQ48</f>
        <v>0</v>
      </c>
      <c r="DR88" s="171">
        <f>-'FS_Detail(M)'!DR48</f>
        <v>0</v>
      </c>
      <c r="DS88" s="171">
        <f>-'FS_Detail(M)'!DS48</f>
        <v>0</v>
      </c>
      <c r="DT88" s="171">
        <f>-'FS_Detail(M)'!DT48</f>
        <v>0</v>
      </c>
      <c r="DU88" s="171">
        <f>-'FS_Detail(M)'!DU48</f>
        <v>0</v>
      </c>
      <c r="DV88" s="171">
        <f>-'FS_Detail(M)'!DV48</f>
        <v>0</v>
      </c>
      <c r="DW88" s="171">
        <f>-'FS_Detail(M)'!DW48</f>
        <v>0</v>
      </c>
      <c r="DX88" s="171">
        <f>-'FS_Detail(M)'!DX48</f>
        <v>0</v>
      </c>
      <c r="DY88" s="171">
        <f>-'FS_Detail(M)'!DY48</f>
        <v>0</v>
      </c>
      <c r="DZ88" s="171">
        <f>-'FS_Detail(M)'!DZ48</f>
        <v>0</v>
      </c>
      <c r="EA88" s="171">
        <f>-'FS_Detail(M)'!EA48</f>
        <v>0</v>
      </c>
      <c r="EB88" s="171">
        <f>-'FS_Detail(M)'!EB48</f>
        <v>0</v>
      </c>
      <c r="EC88" s="171">
        <f>-'FS_Detail(M)'!EC48</f>
        <v>0</v>
      </c>
      <c r="ED88" s="171">
        <f>-'FS_Detail(M)'!ED48</f>
        <v>0</v>
      </c>
      <c r="EE88" s="171">
        <f>-'FS_Detail(M)'!EE48</f>
        <v>0</v>
      </c>
      <c r="EF88" s="171">
        <f>-'FS_Detail(M)'!EF48</f>
        <v>0</v>
      </c>
      <c r="EG88" s="171">
        <f>-'FS_Detail(M)'!EG48</f>
        <v>0</v>
      </c>
      <c r="EH88" s="171">
        <f>-'FS_Detail(M)'!EH48</f>
        <v>0</v>
      </c>
      <c r="EI88" s="171">
        <f>-'FS_Detail(M)'!EI48</f>
        <v>0</v>
      </c>
      <c r="EJ88" s="171">
        <f>-'FS_Detail(M)'!EJ48</f>
        <v>0</v>
      </c>
      <c r="EK88" s="171">
        <f>-'FS_Detail(M)'!EK48</f>
        <v>0</v>
      </c>
      <c r="EL88" s="171">
        <f>-'FS_Detail(M)'!EL48</f>
        <v>0</v>
      </c>
      <c r="EM88" s="171">
        <f>-'FS_Detail(M)'!EM48</f>
        <v>0</v>
      </c>
      <c r="EN88" s="171">
        <f>-'FS_Detail(M)'!EN48</f>
        <v>0</v>
      </c>
      <c r="EO88" s="171">
        <f>-'FS_Detail(M)'!EO48</f>
        <v>0</v>
      </c>
      <c r="EP88" s="171">
        <f>-'FS_Detail(M)'!EP48</f>
        <v>0</v>
      </c>
      <c r="EQ88" s="171">
        <f>-'FS_Detail(M)'!EQ48</f>
        <v>0</v>
      </c>
    </row>
    <row r="89" spans="2:147" ht="11.25" customHeight="1">
      <c r="B89" s="218"/>
      <c r="C89" s="158" t="s">
        <v>605</v>
      </c>
      <c r="D89" s="159"/>
      <c r="E89" s="159"/>
      <c r="F89" s="159"/>
      <c r="G89" s="159"/>
      <c r="H89" s="160"/>
      <c r="I89" s="219"/>
      <c r="J89" s="220">
        <f>SUM(J90:J91)</f>
        <v>0</v>
      </c>
      <c r="K89" s="98"/>
      <c r="L89" s="162">
        <f>SUM(L90:L91)</f>
        <v>0</v>
      </c>
      <c r="M89" s="162">
        <f t="shared" ref="M89:BX89" si="62">SUM(M90:M91)</f>
        <v>0</v>
      </c>
      <c r="N89" s="162">
        <f t="shared" si="62"/>
        <v>0</v>
      </c>
      <c r="O89" s="162">
        <f t="shared" si="62"/>
        <v>0</v>
      </c>
      <c r="P89" s="162">
        <f t="shared" si="62"/>
        <v>0</v>
      </c>
      <c r="Q89" s="162">
        <f t="shared" si="62"/>
        <v>0</v>
      </c>
      <c r="R89" s="162">
        <f t="shared" si="62"/>
        <v>0</v>
      </c>
      <c r="S89" s="162">
        <f t="shared" si="62"/>
        <v>0</v>
      </c>
      <c r="T89" s="162">
        <f t="shared" si="62"/>
        <v>0</v>
      </c>
      <c r="U89" s="162">
        <f t="shared" si="62"/>
        <v>0</v>
      </c>
      <c r="V89" s="162">
        <f t="shared" si="62"/>
        <v>0</v>
      </c>
      <c r="W89" s="162">
        <f t="shared" si="62"/>
        <v>0</v>
      </c>
      <c r="X89" s="162">
        <f t="shared" si="62"/>
        <v>0</v>
      </c>
      <c r="Y89" s="162">
        <f t="shared" si="62"/>
        <v>0</v>
      </c>
      <c r="Z89" s="162">
        <f t="shared" si="62"/>
        <v>0</v>
      </c>
      <c r="AA89" s="162">
        <f t="shared" si="62"/>
        <v>0</v>
      </c>
      <c r="AB89" s="162">
        <f t="shared" si="62"/>
        <v>0</v>
      </c>
      <c r="AC89" s="162">
        <f t="shared" si="62"/>
        <v>0</v>
      </c>
      <c r="AD89" s="162">
        <f t="shared" si="62"/>
        <v>0</v>
      </c>
      <c r="AE89" s="162">
        <f t="shared" si="62"/>
        <v>0</v>
      </c>
      <c r="AF89" s="162">
        <f t="shared" si="62"/>
        <v>0</v>
      </c>
      <c r="AG89" s="162">
        <f t="shared" si="62"/>
        <v>0</v>
      </c>
      <c r="AH89" s="162">
        <f t="shared" si="62"/>
        <v>0</v>
      </c>
      <c r="AI89" s="162">
        <f t="shared" si="62"/>
        <v>0</v>
      </c>
      <c r="AJ89" s="162">
        <f t="shared" si="62"/>
        <v>0</v>
      </c>
      <c r="AK89" s="162">
        <f t="shared" si="62"/>
        <v>0</v>
      </c>
      <c r="AL89" s="162">
        <f t="shared" si="62"/>
        <v>0</v>
      </c>
      <c r="AM89" s="162">
        <f t="shared" si="62"/>
        <v>0</v>
      </c>
      <c r="AN89" s="162">
        <f t="shared" si="62"/>
        <v>0</v>
      </c>
      <c r="AO89" s="162">
        <f t="shared" si="62"/>
        <v>0</v>
      </c>
      <c r="AP89" s="162">
        <f t="shared" si="62"/>
        <v>0</v>
      </c>
      <c r="AQ89" s="162">
        <f t="shared" si="62"/>
        <v>0</v>
      </c>
      <c r="AR89" s="162">
        <f t="shared" si="62"/>
        <v>0</v>
      </c>
      <c r="AS89" s="162">
        <f t="shared" si="62"/>
        <v>0</v>
      </c>
      <c r="AT89" s="162">
        <f t="shared" si="62"/>
        <v>0</v>
      </c>
      <c r="AU89" s="162">
        <f t="shared" si="62"/>
        <v>0</v>
      </c>
      <c r="AV89" s="162">
        <f t="shared" si="62"/>
        <v>0</v>
      </c>
      <c r="AW89" s="162">
        <f t="shared" si="62"/>
        <v>0</v>
      </c>
      <c r="AX89" s="162">
        <f t="shared" si="62"/>
        <v>0</v>
      </c>
      <c r="AY89" s="162">
        <f t="shared" si="62"/>
        <v>0</v>
      </c>
      <c r="AZ89" s="162">
        <f t="shared" si="62"/>
        <v>0</v>
      </c>
      <c r="BA89" s="162">
        <f t="shared" si="62"/>
        <v>0</v>
      </c>
      <c r="BB89" s="162">
        <f t="shared" si="62"/>
        <v>0</v>
      </c>
      <c r="BC89" s="162">
        <f t="shared" si="62"/>
        <v>0</v>
      </c>
      <c r="BD89" s="162">
        <f t="shared" si="62"/>
        <v>0</v>
      </c>
      <c r="BE89" s="162">
        <f t="shared" si="62"/>
        <v>0</v>
      </c>
      <c r="BF89" s="162">
        <f t="shared" si="62"/>
        <v>0</v>
      </c>
      <c r="BG89" s="162">
        <f t="shared" si="62"/>
        <v>0</v>
      </c>
      <c r="BH89" s="162">
        <f t="shared" si="62"/>
        <v>0</v>
      </c>
      <c r="BI89" s="162">
        <f t="shared" si="62"/>
        <v>0</v>
      </c>
      <c r="BJ89" s="162">
        <f t="shared" si="62"/>
        <v>0</v>
      </c>
      <c r="BK89" s="162">
        <f t="shared" si="62"/>
        <v>0</v>
      </c>
      <c r="BL89" s="162">
        <f t="shared" si="62"/>
        <v>0</v>
      </c>
      <c r="BM89" s="162">
        <f t="shared" si="62"/>
        <v>0</v>
      </c>
      <c r="BN89" s="162">
        <f t="shared" si="62"/>
        <v>0</v>
      </c>
      <c r="BO89" s="162">
        <f t="shared" si="62"/>
        <v>0</v>
      </c>
      <c r="BP89" s="162">
        <f t="shared" si="62"/>
        <v>0</v>
      </c>
      <c r="BQ89" s="162">
        <f t="shared" si="62"/>
        <v>0</v>
      </c>
      <c r="BR89" s="162">
        <f t="shared" si="62"/>
        <v>0</v>
      </c>
      <c r="BS89" s="162">
        <f t="shared" si="62"/>
        <v>0</v>
      </c>
      <c r="BT89" s="162">
        <f t="shared" si="62"/>
        <v>0</v>
      </c>
      <c r="BU89" s="162">
        <f t="shared" si="62"/>
        <v>0</v>
      </c>
      <c r="BV89" s="162">
        <f t="shared" si="62"/>
        <v>0</v>
      </c>
      <c r="BW89" s="162">
        <f t="shared" si="62"/>
        <v>0</v>
      </c>
      <c r="BX89" s="162">
        <f t="shared" si="62"/>
        <v>0</v>
      </c>
      <c r="BY89" s="162">
        <f t="shared" ref="BY89:DP89" si="63">SUM(BY90:BY91)</f>
        <v>0</v>
      </c>
      <c r="BZ89" s="162">
        <f t="shared" si="63"/>
        <v>0</v>
      </c>
      <c r="CA89" s="162">
        <f t="shared" si="63"/>
        <v>0</v>
      </c>
      <c r="CB89" s="162">
        <f t="shared" si="63"/>
        <v>0</v>
      </c>
      <c r="CC89" s="162">
        <f t="shared" si="63"/>
        <v>0</v>
      </c>
      <c r="CD89" s="162">
        <f t="shared" si="63"/>
        <v>0</v>
      </c>
      <c r="CE89" s="162">
        <f t="shared" si="63"/>
        <v>0</v>
      </c>
      <c r="CF89" s="162">
        <f t="shared" si="63"/>
        <v>0</v>
      </c>
      <c r="CG89" s="162">
        <f t="shared" si="63"/>
        <v>0</v>
      </c>
      <c r="CH89" s="162">
        <f t="shared" si="63"/>
        <v>0</v>
      </c>
      <c r="CI89" s="162">
        <f t="shared" si="63"/>
        <v>0</v>
      </c>
      <c r="CJ89" s="162">
        <f t="shared" si="63"/>
        <v>0</v>
      </c>
      <c r="CK89" s="162">
        <f t="shared" si="63"/>
        <v>0</v>
      </c>
      <c r="CL89" s="162">
        <f t="shared" si="63"/>
        <v>0</v>
      </c>
      <c r="CM89" s="162">
        <f t="shared" si="63"/>
        <v>0</v>
      </c>
      <c r="CN89" s="162">
        <f t="shared" si="63"/>
        <v>0</v>
      </c>
      <c r="CO89" s="162">
        <f t="shared" si="63"/>
        <v>0</v>
      </c>
      <c r="CP89" s="162">
        <f t="shared" si="63"/>
        <v>0</v>
      </c>
      <c r="CQ89" s="162">
        <f t="shared" si="63"/>
        <v>0</v>
      </c>
      <c r="CR89" s="162">
        <f t="shared" si="63"/>
        <v>0</v>
      </c>
      <c r="CS89" s="162">
        <f t="shared" si="63"/>
        <v>0</v>
      </c>
      <c r="CT89" s="162">
        <f t="shared" si="63"/>
        <v>0</v>
      </c>
      <c r="CU89" s="162">
        <f t="shared" si="63"/>
        <v>0</v>
      </c>
      <c r="CV89" s="162">
        <f t="shared" si="63"/>
        <v>0</v>
      </c>
      <c r="CW89" s="162">
        <f t="shared" si="63"/>
        <v>0</v>
      </c>
      <c r="CX89" s="162">
        <f t="shared" si="63"/>
        <v>0</v>
      </c>
      <c r="CY89" s="162">
        <f t="shared" si="63"/>
        <v>0</v>
      </c>
      <c r="CZ89" s="162">
        <f t="shared" si="63"/>
        <v>0</v>
      </c>
      <c r="DA89" s="162">
        <f t="shared" si="63"/>
        <v>0</v>
      </c>
      <c r="DB89" s="162">
        <f t="shared" si="63"/>
        <v>0</v>
      </c>
      <c r="DC89" s="162">
        <f t="shared" si="63"/>
        <v>0</v>
      </c>
      <c r="DD89" s="162">
        <f t="shared" si="63"/>
        <v>0</v>
      </c>
      <c r="DE89" s="162">
        <f t="shared" si="63"/>
        <v>0</v>
      </c>
      <c r="DF89" s="162">
        <f t="shared" si="63"/>
        <v>0</v>
      </c>
      <c r="DG89" s="162">
        <f t="shared" si="63"/>
        <v>0</v>
      </c>
      <c r="DH89" s="162">
        <f t="shared" si="63"/>
        <v>0</v>
      </c>
      <c r="DI89" s="162">
        <f t="shared" si="63"/>
        <v>0</v>
      </c>
      <c r="DJ89" s="162">
        <f t="shared" si="63"/>
        <v>0</v>
      </c>
      <c r="DK89" s="162">
        <f t="shared" si="63"/>
        <v>0</v>
      </c>
      <c r="DL89" s="162">
        <f t="shared" si="63"/>
        <v>0</v>
      </c>
      <c r="DM89" s="162">
        <f t="shared" si="63"/>
        <v>0</v>
      </c>
      <c r="DN89" s="162">
        <f t="shared" si="63"/>
        <v>0</v>
      </c>
      <c r="DO89" s="162">
        <f t="shared" si="63"/>
        <v>0</v>
      </c>
      <c r="DP89" s="162">
        <f t="shared" si="63"/>
        <v>0</v>
      </c>
      <c r="DQ89" s="162">
        <f t="shared" ref="DQ89:EQ89" si="64">SUM(DQ90:DQ91)</f>
        <v>0</v>
      </c>
      <c r="DR89" s="162">
        <f t="shared" si="64"/>
        <v>0</v>
      </c>
      <c r="DS89" s="162">
        <f t="shared" si="64"/>
        <v>0</v>
      </c>
      <c r="DT89" s="162">
        <f t="shared" si="64"/>
        <v>0</v>
      </c>
      <c r="DU89" s="162">
        <f t="shared" si="64"/>
        <v>0</v>
      </c>
      <c r="DV89" s="162">
        <f t="shared" si="64"/>
        <v>0</v>
      </c>
      <c r="DW89" s="162">
        <f t="shared" si="64"/>
        <v>0</v>
      </c>
      <c r="DX89" s="162">
        <f t="shared" si="64"/>
        <v>0</v>
      </c>
      <c r="DY89" s="162">
        <f t="shared" si="64"/>
        <v>0</v>
      </c>
      <c r="DZ89" s="162">
        <f t="shared" si="64"/>
        <v>0</v>
      </c>
      <c r="EA89" s="162">
        <f t="shared" si="64"/>
        <v>0</v>
      </c>
      <c r="EB89" s="162">
        <f t="shared" si="64"/>
        <v>0</v>
      </c>
      <c r="EC89" s="162">
        <f t="shared" si="64"/>
        <v>0</v>
      </c>
      <c r="ED89" s="162">
        <f t="shared" si="64"/>
        <v>0</v>
      </c>
      <c r="EE89" s="162">
        <f t="shared" si="64"/>
        <v>0</v>
      </c>
      <c r="EF89" s="162">
        <f t="shared" si="64"/>
        <v>0</v>
      </c>
      <c r="EG89" s="162">
        <f t="shared" si="64"/>
        <v>0</v>
      </c>
      <c r="EH89" s="162">
        <f t="shared" si="64"/>
        <v>0</v>
      </c>
      <c r="EI89" s="162">
        <f t="shared" si="64"/>
        <v>0</v>
      </c>
      <c r="EJ89" s="162">
        <f t="shared" si="64"/>
        <v>0</v>
      </c>
      <c r="EK89" s="162">
        <f t="shared" si="64"/>
        <v>0</v>
      </c>
      <c r="EL89" s="162">
        <f t="shared" si="64"/>
        <v>0</v>
      </c>
      <c r="EM89" s="162">
        <f t="shared" si="64"/>
        <v>0</v>
      </c>
      <c r="EN89" s="162">
        <f t="shared" si="64"/>
        <v>0</v>
      </c>
      <c r="EO89" s="162">
        <f t="shared" si="64"/>
        <v>0</v>
      </c>
      <c r="EP89" s="162">
        <f t="shared" si="64"/>
        <v>0</v>
      </c>
      <c r="EQ89" s="162">
        <f t="shared" si="64"/>
        <v>0</v>
      </c>
    </row>
    <row r="90" spans="2:147" ht="11.25" customHeight="1">
      <c r="B90" s="218"/>
      <c r="C90" s="163"/>
      <c r="D90" s="164" t="s">
        <v>206</v>
      </c>
      <c r="E90" s="165"/>
      <c r="F90" s="165"/>
      <c r="G90" s="165"/>
      <c r="H90" s="166"/>
      <c r="I90" s="228"/>
      <c r="J90" s="168">
        <f>SUM(L90:EQ90)</f>
        <v>0</v>
      </c>
      <c r="K90" s="98"/>
      <c r="L90" s="168">
        <f>'FS_Detail(M)'!L57</f>
        <v>0</v>
      </c>
      <c r="M90" s="168">
        <f>'FS_Detail(M)'!M57</f>
        <v>0</v>
      </c>
      <c r="N90" s="168">
        <f>'FS_Detail(M)'!N57</f>
        <v>0</v>
      </c>
      <c r="O90" s="168">
        <f>'FS_Detail(M)'!O57</f>
        <v>0</v>
      </c>
      <c r="P90" s="168">
        <f>'FS_Detail(M)'!P57</f>
        <v>0</v>
      </c>
      <c r="Q90" s="168">
        <f>'FS_Detail(M)'!Q57</f>
        <v>0</v>
      </c>
      <c r="R90" s="168">
        <f>'FS_Detail(M)'!R57</f>
        <v>0</v>
      </c>
      <c r="S90" s="168">
        <f>'FS_Detail(M)'!S57</f>
        <v>0</v>
      </c>
      <c r="T90" s="168">
        <f>'FS_Detail(M)'!T57</f>
        <v>0</v>
      </c>
      <c r="U90" s="168">
        <f>'FS_Detail(M)'!U57</f>
        <v>0</v>
      </c>
      <c r="V90" s="168">
        <f>'FS_Detail(M)'!V57</f>
        <v>0</v>
      </c>
      <c r="W90" s="168">
        <f>'FS_Detail(M)'!W57</f>
        <v>0</v>
      </c>
      <c r="X90" s="168">
        <f>'FS_Detail(M)'!X57</f>
        <v>0</v>
      </c>
      <c r="Y90" s="168">
        <f>'FS_Detail(M)'!Y57</f>
        <v>0</v>
      </c>
      <c r="Z90" s="168">
        <f>'FS_Detail(M)'!Z57</f>
        <v>0</v>
      </c>
      <c r="AA90" s="168">
        <f>'FS_Detail(M)'!AA57</f>
        <v>0</v>
      </c>
      <c r="AB90" s="168">
        <f>'FS_Detail(M)'!AB57</f>
        <v>0</v>
      </c>
      <c r="AC90" s="168">
        <f>'FS_Detail(M)'!AC57</f>
        <v>0</v>
      </c>
      <c r="AD90" s="168">
        <f>'FS_Detail(M)'!AD57</f>
        <v>0</v>
      </c>
      <c r="AE90" s="168">
        <f>'FS_Detail(M)'!AE57</f>
        <v>0</v>
      </c>
      <c r="AF90" s="168">
        <f>'FS_Detail(M)'!AF57</f>
        <v>0</v>
      </c>
      <c r="AG90" s="168">
        <f>'FS_Detail(M)'!AG57</f>
        <v>0</v>
      </c>
      <c r="AH90" s="168">
        <f>'FS_Detail(M)'!AH57</f>
        <v>0</v>
      </c>
      <c r="AI90" s="168">
        <f>'FS_Detail(M)'!AI57</f>
        <v>0</v>
      </c>
      <c r="AJ90" s="168">
        <f>'FS_Detail(M)'!AJ57</f>
        <v>0</v>
      </c>
      <c r="AK90" s="168">
        <f>'FS_Detail(M)'!AK57</f>
        <v>0</v>
      </c>
      <c r="AL90" s="168">
        <f>'FS_Detail(M)'!AL57</f>
        <v>0</v>
      </c>
      <c r="AM90" s="168">
        <f>'FS_Detail(M)'!AM57</f>
        <v>0</v>
      </c>
      <c r="AN90" s="168">
        <f>'FS_Detail(M)'!AN57</f>
        <v>0</v>
      </c>
      <c r="AO90" s="168">
        <f>'FS_Detail(M)'!AO57</f>
        <v>0</v>
      </c>
      <c r="AP90" s="168">
        <f>'FS_Detail(M)'!AP57</f>
        <v>0</v>
      </c>
      <c r="AQ90" s="168">
        <f>'FS_Detail(M)'!AQ57</f>
        <v>0</v>
      </c>
      <c r="AR90" s="168">
        <f>'FS_Detail(M)'!AR57</f>
        <v>0</v>
      </c>
      <c r="AS90" s="168">
        <f>'FS_Detail(M)'!AS57</f>
        <v>0</v>
      </c>
      <c r="AT90" s="168">
        <f>'FS_Detail(M)'!AT57</f>
        <v>0</v>
      </c>
      <c r="AU90" s="168">
        <f>'FS_Detail(M)'!AU57</f>
        <v>0</v>
      </c>
      <c r="AV90" s="168">
        <f>'FS_Detail(M)'!AV57</f>
        <v>0</v>
      </c>
      <c r="AW90" s="168">
        <f>'FS_Detail(M)'!AW57</f>
        <v>0</v>
      </c>
      <c r="AX90" s="168">
        <f>'FS_Detail(M)'!AX57</f>
        <v>0</v>
      </c>
      <c r="AY90" s="168">
        <f>'FS_Detail(M)'!AY57</f>
        <v>0</v>
      </c>
      <c r="AZ90" s="168">
        <f>'FS_Detail(M)'!AZ57</f>
        <v>0</v>
      </c>
      <c r="BA90" s="168">
        <f>'FS_Detail(M)'!BA57</f>
        <v>0</v>
      </c>
      <c r="BB90" s="168">
        <f>'FS_Detail(M)'!BB57</f>
        <v>0</v>
      </c>
      <c r="BC90" s="168">
        <f>'FS_Detail(M)'!BC57</f>
        <v>0</v>
      </c>
      <c r="BD90" s="168">
        <f>'FS_Detail(M)'!BD57</f>
        <v>0</v>
      </c>
      <c r="BE90" s="168">
        <f>'FS_Detail(M)'!BE57</f>
        <v>0</v>
      </c>
      <c r="BF90" s="168">
        <f>'FS_Detail(M)'!BF57</f>
        <v>0</v>
      </c>
      <c r="BG90" s="168">
        <f>'FS_Detail(M)'!BG57</f>
        <v>0</v>
      </c>
      <c r="BH90" s="168">
        <f>'FS_Detail(M)'!BH57</f>
        <v>0</v>
      </c>
      <c r="BI90" s="168">
        <f>'FS_Detail(M)'!BI57</f>
        <v>0</v>
      </c>
      <c r="BJ90" s="168">
        <f>'FS_Detail(M)'!BJ57</f>
        <v>0</v>
      </c>
      <c r="BK90" s="168">
        <f>'FS_Detail(M)'!BK57</f>
        <v>0</v>
      </c>
      <c r="BL90" s="168">
        <f>'FS_Detail(M)'!BL57</f>
        <v>0</v>
      </c>
      <c r="BM90" s="168">
        <f>'FS_Detail(M)'!BM57</f>
        <v>0</v>
      </c>
      <c r="BN90" s="168">
        <f>'FS_Detail(M)'!BN57</f>
        <v>0</v>
      </c>
      <c r="BO90" s="168">
        <f>'FS_Detail(M)'!BO57</f>
        <v>0</v>
      </c>
      <c r="BP90" s="168">
        <f>'FS_Detail(M)'!BP57</f>
        <v>0</v>
      </c>
      <c r="BQ90" s="168">
        <f>'FS_Detail(M)'!BQ57</f>
        <v>0</v>
      </c>
      <c r="BR90" s="168">
        <f>'FS_Detail(M)'!BR57</f>
        <v>0</v>
      </c>
      <c r="BS90" s="168">
        <f>'FS_Detail(M)'!BS57</f>
        <v>0</v>
      </c>
      <c r="BT90" s="168">
        <f>'FS_Detail(M)'!BT57</f>
        <v>0</v>
      </c>
      <c r="BU90" s="168">
        <f>'FS_Detail(M)'!BU57</f>
        <v>0</v>
      </c>
      <c r="BV90" s="168">
        <f>'FS_Detail(M)'!BV57</f>
        <v>0</v>
      </c>
      <c r="BW90" s="168">
        <f>'FS_Detail(M)'!BW57</f>
        <v>0</v>
      </c>
      <c r="BX90" s="168">
        <f>'FS_Detail(M)'!BX57</f>
        <v>0</v>
      </c>
      <c r="BY90" s="168">
        <f>'FS_Detail(M)'!BY57</f>
        <v>0</v>
      </c>
      <c r="BZ90" s="168">
        <f>'FS_Detail(M)'!BZ57</f>
        <v>0</v>
      </c>
      <c r="CA90" s="168">
        <f>'FS_Detail(M)'!CA57</f>
        <v>0</v>
      </c>
      <c r="CB90" s="168">
        <f>'FS_Detail(M)'!CB57</f>
        <v>0</v>
      </c>
      <c r="CC90" s="168">
        <f>'FS_Detail(M)'!CC57</f>
        <v>0</v>
      </c>
      <c r="CD90" s="168">
        <f>'FS_Detail(M)'!CD57</f>
        <v>0</v>
      </c>
      <c r="CE90" s="168">
        <f>'FS_Detail(M)'!CE57</f>
        <v>0</v>
      </c>
      <c r="CF90" s="168">
        <f>'FS_Detail(M)'!CF57</f>
        <v>0</v>
      </c>
      <c r="CG90" s="168">
        <f>'FS_Detail(M)'!CG57</f>
        <v>0</v>
      </c>
      <c r="CH90" s="168">
        <f>'FS_Detail(M)'!CH57</f>
        <v>0</v>
      </c>
      <c r="CI90" s="168">
        <f>'FS_Detail(M)'!CI57</f>
        <v>0</v>
      </c>
      <c r="CJ90" s="168">
        <f>'FS_Detail(M)'!CJ57</f>
        <v>0</v>
      </c>
      <c r="CK90" s="168">
        <f>'FS_Detail(M)'!CK57</f>
        <v>0</v>
      </c>
      <c r="CL90" s="168">
        <f>'FS_Detail(M)'!CL57</f>
        <v>0</v>
      </c>
      <c r="CM90" s="168">
        <f>'FS_Detail(M)'!CM57</f>
        <v>0</v>
      </c>
      <c r="CN90" s="168">
        <f>'FS_Detail(M)'!CN57</f>
        <v>0</v>
      </c>
      <c r="CO90" s="168">
        <f>'FS_Detail(M)'!CO57</f>
        <v>0</v>
      </c>
      <c r="CP90" s="168">
        <f>'FS_Detail(M)'!CP57</f>
        <v>0</v>
      </c>
      <c r="CQ90" s="168">
        <f>'FS_Detail(M)'!CQ57</f>
        <v>0</v>
      </c>
      <c r="CR90" s="168">
        <f>'FS_Detail(M)'!CR57</f>
        <v>0</v>
      </c>
      <c r="CS90" s="168">
        <f>'FS_Detail(M)'!CS57</f>
        <v>0</v>
      </c>
      <c r="CT90" s="168">
        <f>'FS_Detail(M)'!CT57</f>
        <v>0</v>
      </c>
      <c r="CU90" s="168">
        <f>'FS_Detail(M)'!CU57</f>
        <v>0</v>
      </c>
      <c r="CV90" s="168">
        <f>'FS_Detail(M)'!CV57</f>
        <v>0</v>
      </c>
      <c r="CW90" s="168">
        <f>'FS_Detail(M)'!CW57</f>
        <v>0</v>
      </c>
      <c r="CX90" s="168">
        <f>'FS_Detail(M)'!CX57</f>
        <v>0</v>
      </c>
      <c r="CY90" s="168">
        <f>'FS_Detail(M)'!CY57</f>
        <v>0</v>
      </c>
      <c r="CZ90" s="168">
        <f>'FS_Detail(M)'!CZ57</f>
        <v>0</v>
      </c>
      <c r="DA90" s="168">
        <f>'FS_Detail(M)'!DA57</f>
        <v>0</v>
      </c>
      <c r="DB90" s="168">
        <f>'FS_Detail(M)'!DB57</f>
        <v>0</v>
      </c>
      <c r="DC90" s="168">
        <f>'FS_Detail(M)'!DC57</f>
        <v>0</v>
      </c>
      <c r="DD90" s="168">
        <f>'FS_Detail(M)'!DD57</f>
        <v>0</v>
      </c>
      <c r="DE90" s="168">
        <f>'FS_Detail(M)'!DE57</f>
        <v>0</v>
      </c>
      <c r="DF90" s="168">
        <f>'FS_Detail(M)'!DF57</f>
        <v>0</v>
      </c>
      <c r="DG90" s="168">
        <f>'FS_Detail(M)'!DG57</f>
        <v>0</v>
      </c>
      <c r="DH90" s="168">
        <f>'FS_Detail(M)'!DH57</f>
        <v>0</v>
      </c>
      <c r="DI90" s="168">
        <f>'FS_Detail(M)'!DI57</f>
        <v>0</v>
      </c>
      <c r="DJ90" s="168">
        <f>'FS_Detail(M)'!DJ57</f>
        <v>0</v>
      </c>
      <c r="DK90" s="168">
        <f>'FS_Detail(M)'!DK57</f>
        <v>0</v>
      </c>
      <c r="DL90" s="168">
        <f>'FS_Detail(M)'!DL57</f>
        <v>0</v>
      </c>
      <c r="DM90" s="168">
        <f>'FS_Detail(M)'!DM57</f>
        <v>0</v>
      </c>
      <c r="DN90" s="168">
        <f>'FS_Detail(M)'!DN57</f>
        <v>0</v>
      </c>
      <c r="DO90" s="168">
        <f>'FS_Detail(M)'!DO57</f>
        <v>0</v>
      </c>
      <c r="DP90" s="168">
        <f>'FS_Detail(M)'!DP57</f>
        <v>0</v>
      </c>
      <c r="DQ90" s="168">
        <f>'FS_Detail(M)'!DQ57</f>
        <v>0</v>
      </c>
      <c r="DR90" s="168">
        <f>'FS_Detail(M)'!DR57</f>
        <v>0</v>
      </c>
      <c r="DS90" s="168">
        <f>'FS_Detail(M)'!DS57</f>
        <v>0</v>
      </c>
      <c r="DT90" s="168">
        <f>'FS_Detail(M)'!DT57</f>
        <v>0</v>
      </c>
      <c r="DU90" s="168">
        <f>'FS_Detail(M)'!DU57</f>
        <v>0</v>
      </c>
      <c r="DV90" s="168">
        <f>'FS_Detail(M)'!DV57</f>
        <v>0</v>
      </c>
      <c r="DW90" s="168">
        <f>'FS_Detail(M)'!DW57</f>
        <v>0</v>
      </c>
      <c r="DX90" s="168">
        <f>'FS_Detail(M)'!DX57</f>
        <v>0</v>
      </c>
      <c r="DY90" s="168">
        <f>'FS_Detail(M)'!DY57</f>
        <v>0</v>
      </c>
      <c r="DZ90" s="168">
        <f>'FS_Detail(M)'!DZ57</f>
        <v>0</v>
      </c>
      <c r="EA90" s="168">
        <f>'FS_Detail(M)'!EA57</f>
        <v>0</v>
      </c>
      <c r="EB90" s="168">
        <f>'FS_Detail(M)'!EB57</f>
        <v>0</v>
      </c>
      <c r="EC90" s="168">
        <f>'FS_Detail(M)'!EC57</f>
        <v>0</v>
      </c>
      <c r="ED90" s="168">
        <f>'FS_Detail(M)'!ED57</f>
        <v>0</v>
      </c>
      <c r="EE90" s="168">
        <f>'FS_Detail(M)'!EE57</f>
        <v>0</v>
      </c>
      <c r="EF90" s="168">
        <f>'FS_Detail(M)'!EF57</f>
        <v>0</v>
      </c>
      <c r="EG90" s="168">
        <f>'FS_Detail(M)'!EG57</f>
        <v>0</v>
      </c>
      <c r="EH90" s="168">
        <f>'FS_Detail(M)'!EH57</f>
        <v>0</v>
      </c>
      <c r="EI90" s="168">
        <f>'FS_Detail(M)'!EI57</f>
        <v>0</v>
      </c>
      <c r="EJ90" s="168">
        <f>'FS_Detail(M)'!EJ57</f>
        <v>0</v>
      </c>
      <c r="EK90" s="168">
        <f>'FS_Detail(M)'!EK57</f>
        <v>0</v>
      </c>
      <c r="EL90" s="168">
        <f>'FS_Detail(M)'!EL57</f>
        <v>0</v>
      </c>
      <c r="EM90" s="168">
        <f>'FS_Detail(M)'!EM57</f>
        <v>0</v>
      </c>
      <c r="EN90" s="168">
        <f>'FS_Detail(M)'!EN57</f>
        <v>0</v>
      </c>
      <c r="EO90" s="168">
        <f>'FS_Detail(M)'!EO57</f>
        <v>0</v>
      </c>
      <c r="EP90" s="168">
        <f>'FS_Detail(M)'!EP57</f>
        <v>0</v>
      </c>
      <c r="EQ90" s="168">
        <f>'FS_Detail(M)'!EQ57</f>
        <v>0</v>
      </c>
    </row>
    <row r="91" spans="2:147" ht="11.25" customHeight="1">
      <c r="B91" s="218"/>
      <c r="C91" s="163"/>
      <c r="D91" s="169" t="s">
        <v>207</v>
      </c>
      <c r="H91" s="146"/>
      <c r="I91" s="229"/>
      <c r="J91" s="171">
        <f>SUM(L91:EQ91)</f>
        <v>0</v>
      </c>
      <c r="K91" s="98"/>
      <c r="L91" s="171">
        <f>-'FS_Detail(M)'!L$58*('CF(M)'!L$13='FS_Detail(M)'!$H$58)</f>
        <v>0</v>
      </c>
      <c r="M91" s="171">
        <f>-'FS_Detail(M)'!M$58*('CF(M)'!M$13='FS_Detail(M)'!$H$58)</f>
        <v>0</v>
      </c>
      <c r="N91" s="171">
        <f>-'FS_Detail(M)'!N$58*('CF(M)'!N$13='FS_Detail(M)'!$H$58)</f>
        <v>0</v>
      </c>
      <c r="O91" s="171">
        <f>-'FS_Detail(M)'!O$58*('CF(M)'!O$13='FS_Detail(M)'!$H$58)</f>
        <v>0</v>
      </c>
      <c r="P91" s="171">
        <f>-'FS_Detail(M)'!P$58*('CF(M)'!P$13='FS_Detail(M)'!$H$58)</f>
        <v>0</v>
      </c>
      <c r="Q91" s="171">
        <f>-'FS_Detail(M)'!Q$58*('CF(M)'!Q$13='FS_Detail(M)'!$H$58)</f>
        <v>0</v>
      </c>
      <c r="R91" s="171">
        <f>-'FS_Detail(M)'!R$58*('CF(M)'!R$13='FS_Detail(M)'!$H$58)</f>
        <v>0</v>
      </c>
      <c r="S91" s="171">
        <f>-'FS_Detail(M)'!S$58*('CF(M)'!S$13='FS_Detail(M)'!$H$58)</f>
        <v>0</v>
      </c>
      <c r="T91" s="171">
        <f>-'FS_Detail(M)'!T$58*('CF(M)'!T$13='FS_Detail(M)'!$H$58)</f>
        <v>0</v>
      </c>
      <c r="U91" s="171">
        <f>-'FS_Detail(M)'!U$58*('CF(M)'!U$13='FS_Detail(M)'!$H$58)</f>
        <v>0</v>
      </c>
      <c r="V91" s="171">
        <f>-'FS_Detail(M)'!V$58*('CF(M)'!V$13='FS_Detail(M)'!$H$58)</f>
        <v>0</v>
      </c>
      <c r="W91" s="171">
        <f>-'FS_Detail(M)'!W$58*('CF(M)'!W$13='FS_Detail(M)'!$H$58)</f>
        <v>0</v>
      </c>
      <c r="X91" s="171">
        <f>-'FS_Detail(M)'!X$58*('CF(M)'!X$13='FS_Detail(M)'!$H$58)</f>
        <v>0</v>
      </c>
      <c r="Y91" s="171">
        <f>-'FS_Detail(M)'!Y$58*('CF(M)'!Y$13='FS_Detail(M)'!$H$58)</f>
        <v>0</v>
      </c>
      <c r="Z91" s="171">
        <f>-'FS_Detail(M)'!Z$58*('CF(M)'!Z$13='FS_Detail(M)'!$H$58)</f>
        <v>0</v>
      </c>
      <c r="AA91" s="171">
        <f>-'FS_Detail(M)'!AA$58*('CF(M)'!AA$13='FS_Detail(M)'!$H$58)</f>
        <v>0</v>
      </c>
      <c r="AB91" s="171">
        <f>-'FS_Detail(M)'!AB$58*('CF(M)'!AB$13='FS_Detail(M)'!$H$58)</f>
        <v>0</v>
      </c>
      <c r="AC91" s="171">
        <f>-'FS_Detail(M)'!AC$58*('CF(M)'!AC$13='FS_Detail(M)'!$H$58)</f>
        <v>0</v>
      </c>
      <c r="AD91" s="171">
        <f>-'FS_Detail(M)'!AD$58*('CF(M)'!AD$13='FS_Detail(M)'!$H$58)</f>
        <v>0</v>
      </c>
      <c r="AE91" s="171">
        <f>-'FS_Detail(M)'!AE$58*('CF(M)'!AE$13='FS_Detail(M)'!$H$58)</f>
        <v>0</v>
      </c>
      <c r="AF91" s="171">
        <f>-'FS_Detail(M)'!AF$58*('CF(M)'!AF$13='FS_Detail(M)'!$H$58)</f>
        <v>0</v>
      </c>
      <c r="AG91" s="171">
        <f>-'FS_Detail(M)'!AG$58*('CF(M)'!AG$13='FS_Detail(M)'!$H$58)</f>
        <v>0</v>
      </c>
      <c r="AH91" s="171">
        <f>-'FS_Detail(M)'!AH$58*('CF(M)'!AH$13='FS_Detail(M)'!$H$58)</f>
        <v>0</v>
      </c>
      <c r="AI91" s="171">
        <f>-'FS_Detail(M)'!AI$58*('CF(M)'!AI$13='FS_Detail(M)'!$H$58)</f>
        <v>0</v>
      </c>
      <c r="AJ91" s="171">
        <f>-'FS_Detail(M)'!AJ$58*('CF(M)'!AJ$13='FS_Detail(M)'!$H$58)</f>
        <v>0</v>
      </c>
      <c r="AK91" s="171">
        <f>-'FS_Detail(M)'!AK$58*('CF(M)'!AK$13='FS_Detail(M)'!$H$58)</f>
        <v>0</v>
      </c>
      <c r="AL91" s="171">
        <f>-'FS_Detail(M)'!AL$58*('CF(M)'!AL$13='FS_Detail(M)'!$H$58)</f>
        <v>0</v>
      </c>
      <c r="AM91" s="171">
        <f>-'FS_Detail(M)'!AM$58*('CF(M)'!AM$13='FS_Detail(M)'!$H$58)</f>
        <v>0</v>
      </c>
      <c r="AN91" s="171">
        <f>-'FS_Detail(M)'!AN$58*('CF(M)'!AN$13='FS_Detail(M)'!$H$58)</f>
        <v>0</v>
      </c>
      <c r="AO91" s="171">
        <f>-'FS_Detail(M)'!AO$58*('CF(M)'!AO$13='FS_Detail(M)'!$H$58)</f>
        <v>0</v>
      </c>
      <c r="AP91" s="171">
        <f>-'FS_Detail(M)'!AP$58*('CF(M)'!AP$13='FS_Detail(M)'!$H$58)</f>
        <v>0</v>
      </c>
      <c r="AQ91" s="171">
        <f>-'FS_Detail(M)'!AQ$58*('CF(M)'!AQ$13='FS_Detail(M)'!$H$58)</f>
        <v>0</v>
      </c>
      <c r="AR91" s="171">
        <f>-'FS_Detail(M)'!AR$58*('CF(M)'!AR$13='FS_Detail(M)'!$H$58)</f>
        <v>0</v>
      </c>
      <c r="AS91" s="171">
        <f>-'FS_Detail(M)'!AS$58*('CF(M)'!AS$13='FS_Detail(M)'!$H$58)</f>
        <v>0</v>
      </c>
      <c r="AT91" s="171">
        <f>-'FS_Detail(M)'!AT$58*('CF(M)'!AT$13='FS_Detail(M)'!$H$58)</f>
        <v>0</v>
      </c>
      <c r="AU91" s="171">
        <f>-'FS_Detail(M)'!AU$58*('CF(M)'!AU$13='FS_Detail(M)'!$H$58)</f>
        <v>0</v>
      </c>
      <c r="AV91" s="171">
        <f>-'FS_Detail(M)'!AV$58*('CF(M)'!AV$13='FS_Detail(M)'!$H$58)</f>
        <v>0</v>
      </c>
      <c r="AW91" s="171">
        <f>-'FS_Detail(M)'!AW$58*('CF(M)'!AW$13='FS_Detail(M)'!$H$58)</f>
        <v>0</v>
      </c>
      <c r="AX91" s="171">
        <f>-'FS_Detail(M)'!AX$58*('CF(M)'!AX$13='FS_Detail(M)'!$H$58)</f>
        <v>0</v>
      </c>
      <c r="AY91" s="171">
        <f>-'FS_Detail(M)'!AY$58*('CF(M)'!AY$13='FS_Detail(M)'!$H$58)</f>
        <v>0</v>
      </c>
      <c r="AZ91" s="171">
        <f>-'FS_Detail(M)'!AZ$58*('CF(M)'!AZ$13='FS_Detail(M)'!$H$58)</f>
        <v>0</v>
      </c>
      <c r="BA91" s="171">
        <f>-'FS_Detail(M)'!BA$58*('CF(M)'!BA$13='FS_Detail(M)'!$H$58)</f>
        <v>0</v>
      </c>
      <c r="BB91" s="171">
        <f>-'FS_Detail(M)'!BB$58*('CF(M)'!BB$13='FS_Detail(M)'!$H$58)</f>
        <v>0</v>
      </c>
      <c r="BC91" s="171">
        <f>-'FS_Detail(M)'!BC$58*('CF(M)'!BC$13='FS_Detail(M)'!$H$58)</f>
        <v>0</v>
      </c>
      <c r="BD91" s="171">
        <f>-'FS_Detail(M)'!BD$58*('CF(M)'!BD$13='FS_Detail(M)'!$H$58)</f>
        <v>0</v>
      </c>
      <c r="BE91" s="171">
        <f>-'FS_Detail(M)'!BE$58*('CF(M)'!BE$13='FS_Detail(M)'!$H$58)</f>
        <v>0</v>
      </c>
      <c r="BF91" s="171">
        <f>-'FS_Detail(M)'!BF$58*('CF(M)'!BF$13='FS_Detail(M)'!$H$58)</f>
        <v>0</v>
      </c>
      <c r="BG91" s="171">
        <f>-'FS_Detail(M)'!BG$58*('CF(M)'!BG$13='FS_Detail(M)'!$H$58)</f>
        <v>0</v>
      </c>
      <c r="BH91" s="171">
        <f>-'FS_Detail(M)'!BH$58*('CF(M)'!BH$13='FS_Detail(M)'!$H$58)</f>
        <v>0</v>
      </c>
      <c r="BI91" s="171">
        <f>-'FS_Detail(M)'!BI$58*('CF(M)'!BI$13='FS_Detail(M)'!$H$58)</f>
        <v>0</v>
      </c>
      <c r="BJ91" s="171">
        <f>-'FS_Detail(M)'!BJ$58*('CF(M)'!BJ$13='FS_Detail(M)'!$H$58)</f>
        <v>0</v>
      </c>
      <c r="BK91" s="171">
        <f>-'FS_Detail(M)'!BK$58*('CF(M)'!BK$13='FS_Detail(M)'!$H$58)</f>
        <v>0</v>
      </c>
      <c r="BL91" s="171">
        <f>-'FS_Detail(M)'!BL$58*('CF(M)'!BL$13='FS_Detail(M)'!$H$58)</f>
        <v>0</v>
      </c>
      <c r="BM91" s="171">
        <f>-'FS_Detail(M)'!BM$58*('CF(M)'!BM$13='FS_Detail(M)'!$H$58)</f>
        <v>0</v>
      </c>
      <c r="BN91" s="171">
        <f>-'FS_Detail(M)'!BN$58*('CF(M)'!BN$13='FS_Detail(M)'!$H$58)</f>
        <v>0</v>
      </c>
      <c r="BO91" s="171">
        <f>-'FS_Detail(M)'!BO$58*('CF(M)'!BO$13='FS_Detail(M)'!$H$58)</f>
        <v>0</v>
      </c>
      <c r="BP91" s="171">
        <f>-'FS_Detail(M)'!BP$58*('CF(M)'!BP$13='FS_Detail(M)'!$H$58)</f>
        <v>0</v>
      </c>
      <c r="BQ91" s="171">
        <f>-'FS_Detail(M)'!BQ$58*('CF(M)'!BQ$13='FS_Detail(M)'!$H$58)</f>
        <v>0</v>
      </c>
      <c r="BR91" s="171">
        <f>-'FS_Detail(M)'!BR$58*('CF(M)'!BR$13='FS_Detail(M)'!$H$58)</f>
        <v>0</v>
      </c>
      <c r="BS91" s="171">
        <f>-'FS_Detail(M)'!BS$58*('CF(M)'!BS$13='FS_Detail(M)'!$H$58)</f>
        <v>0</v>
      </c>
      <c r="BT91" s="171">
        <f>-'FS_Detail(M)'!BT$58*('CF(M)'!BT$13='FS_Detail(M)'!$H$58)</f>
        <v>0</v>
      </c>
      <c r="BU91" s="171">
        <f>-'FS_Detail(M)'!BU$58*('CF(M)'!BU$13='FS_Detail(M)'!$H$58)</f>
        <v>0</v>
      </c>
      <c r="BV91" s="171">
        <f>-'FS_Detail(M)'!BV$58*('CF(M)'!BV$13='FS_Detail(M)'!$H$58)</f>
        <v>0</v>
      </c>
      <c r="BW91" s="171">
        <f>-'FS_Detail(M)'!BW$58*('CF(M)'!BW$13='FS_Detail(M)'!$H$58)</f>
        <v>0</v>
      </c>
      <c r="BX91" s="171">
        <f>-'FS_Detail(M)'!BX$58*('CF(M)'!BX$13='FS_Detail(M)'!$H$58)</f>
        <v>0</v>
      </c>
      <c r="BY91" s="171">
        <f>-'FS_Detail(M)'!BY$58*('CF(M)'!BY$13='FS_Detail(M)'!$H$58)</f>
        <v>0</v>
      </c>
      <c r="BZ91" s="171">
        <f>-'FS_Detail(M)'!BZ$58*('CF(M)'!BZ$13='FS_Detail(M)'!$H$58)</f>
        <v>0</v>
      </c>
      <c r="CA91" s="171">
        <f>-'FS_Detail(M)'!CA$58*('CF(M)'!CA$13='FS_Detail(M)'!$H$58)</f>
        <v>0</v>
      </c>
      <c r="CB91" s="171">
        <f>-'FS_Detail(M)'!CB$58*('CF(M)'!CB$13='FS_Detail(M)'!$H$58)</f>
        <v>0</v>
      </c>
      <c r="CC91" s="171">
        <f>-'FS_Detail(M)'!CC$58*('CF(M)'!CC$13='FS_Detail(M)'!$H$58)</f>
        <v>0</v>
      </c>
      <c r="CD91" s="171">
        <f>-'FS_Detail(M)'!CD$58*('CF(M)'!CD$13='FS_Detail(M)'!$H$58)</f>
        <v>0</v>
      </c>
      <c r="CE91" s="171">
        <f>-'FS_Detail(M)'!CE$58*('CF(M)'!CE$13='FS_Detail(M)'!$H$58)</f>
        <v>0</v>
      </c>
      <c r="CF91" s="171">
        <f>-'FS_Detail(M)'!CF$58*('CF(M)'!CF$13='FS_Detail(M)'!$H$58)</f>
        <v>0</v>
      </c>
      <c r="CG91" s="171">
        <f>-'FS_Detail(M)'!CG$58*('CF(M)'!CG$13='FS_Detail(M)'!$H$58)</f>
        <v>0</v>
      </c>
      <c r="CH91" s="171">
        <f>-'FS_Detail(M)'!CH$58*('CF(M)'!CH$13='FS_Detail(M)'!$H$58)</f>
        <v>0</v>
      </c>
      <c r="CI91" s="171">
        <f>-'FS_Detail(M)'!CI$58*('CF(M)'!CI$13='FS_Detail(M)'!$H$58)</f>
        <v>0</v>
      </c>
      <c r="CJ91" s="171">
        <f>-'FS_Detail(M)'!CJ$58*('CF(M)'!CJ$13='FS_Detail(M)'!$H$58)</f>
        <v>0</v>
      </c>
      <c r="CK91" s="171">
        <f>-'FS_Detail(M)'!CK$58*('CF(M)'!CK$13='FS_Detail(M)'!$H$58)</f>
        <v>0</v>
      </c>
      <c r="CL91" s="171">
        <f>-'FS_Detail(M)'!CL$58*('CF(M)'!CL$13='FS_Detail(M)'!$H$58)</f>
        <v>0</v>
      </c>
      <c r="CM91" s="171">
        <f>-'FS_Detail(M)'!CM$58*('CF(M)'!CM$13='FS_Detail(M)'!$H$58)</f>
        <v>0</v>
      </c>
      <c r="CN91" s="171">
        <f>-'FS_Detail(M)'!CN$58*('CF(M)'!CN$13='FS_Detail(M)'!$H$58)</f>
        <v>0</v>
      </c>
      <c r="CO91" s="171">
        <f>-'FS_Detail(M)'!CO$58*('CF(M)'!CO$13='FS_Detail(M)'!$H$58)</f>
        <v>0</v>
      </c>
      <c r="CP91" s="171">
        <f>-'FS_Detail(M)'!CP$58*('CF(M)'!CP$13='FS_Detail(M)'!$H$58)</f>
        <v>0</v>
      </c>
      <c r="CQ91" s="171">
        <f>-'FS_Detail(M)'!CQ$58*('CF(M)'!CQ$13='FS_Detail(M)'!$H$58)</f>
        <v>0</v>
      </c>
      <c r="CR91" s="171">
        <f>-'FS_Detail(M)'!CR$58*('CF(M)'!CR$13='FS_Detail(M)'!$H$58)</f>
        <v>0</v>
      </c>
      <c r="CS91" s="171">
        <f>-'FS_Detail(M)'!CS$58*('CF(M)'!CS$13='FS_Detail(M)'!$H$58)</f>
        <v>0</v>
      </c>
      <c r="CT91" s="171">
        <f>-'FS_Detail(M)'!CT$58*('CF(M)'!CT$13='FS_Detail(M)'!$H$58)</f>
        <v>0</v>
      </c>
      <c r="CU91" s="171">
        <f>-'FS_Detail(M)'!CU$58*('CF(M)'!CU$13='FS_Detail(M)'!$H$58)</f>
        <v>0</v>
      </c>
      <c r="CV91" s="171">
        <f>-'FS_Detail(M)'!CV$58*('CF(M)'!CV$13='FS_Detail(M)'!$H$58)</f>
        <v>0</v>
      </c>
      <c r="CW91" s="171">
        <f>-'FS_Detail(M)'!CW$58*('CF(M)'!CW$13='FS_Detail(M)'!$H$58)</f>
        <v>0</v>
      </c>
      <c r="CX91" s="171">
        <f>-'FS_Detail(M)'!CX$58*('CF(M)'!CX$13='FS_Detail(M)'!$H$58)</f>
        <v>0</v>
      </c>
      <c r="CY91" s="171">
        <f>-'FS_Detail(M)'!CY$58*('CF(M)'!CY$13='FS_Detail(M)'!$H$58)</f>
        <v>0</v>
      </c>
      <c r="CZ91" s="171">
        <f>-'FS_Detail(M)'!CZ$58*('CF(M)'!CZ$13='FS_Detail(M)'!$H$58)</f>
        <v>0</v>
      </c>
      <c r="DA91" s="171">
        <f>-'FS_Detail(M)'!DA$58*('CF(M)'!DA$13='FS_Detail(M)'!$H$58)</f>
        <v>0</v>
      </c>
      <c r="DB91" s="171">
        <f>-'FS_Detail(M)'!DB$58*('CF(M)'!DB$13='FS_Detail(M)'!$H$58)</f>
        <v>0</v>
      </c>
      <c r="DC91" s="171">
        <f>-'FS_Detail(M)'!DC$58*('CF(M)'!DC$13='FS_Detail(M)'!$H$58)</f>
        <v>0</v>
      </c>
      <c r="DD91" s="171">
        <f>-'FS_Detail(M)'!DD$58*('CF(M)'!DD$13='FS_Detail(M)'!$H$58)</f>
        <v>0</v>
      </c>
      <c r="DE91" s="171">
        <f>-'FS_Detail(M)'!DE$58*('CF(M)'!DE$13='FS_Detail(M)'!$H$58)</f>
        <v>0</v>
      </c>
      <c r="DF91" s="171">
        <f>-'FS_Detail(M)'!DF$58*('CF(M)'!DF$13='FS_Detail(M)'!$H$58)</f>
        <v>0</v>
      </c>
      <c r="DG91" s="171">
        <f>-'FS_Detail(M)'!DG$58*('CF(M)'!DG$13='FS_Detail(M)'!$H$58)</f>
        <v>0</v>
      </c>
      <c r="DH91" s="171">
        <f>-'FS_Detail(M)'!DH$58*('CF(M)'!DH$13='FS_Detail(M)'!$H$58)</f>
        <v>0</v>
      </c>
      <c r="DI91" s="171">
        <f>-'FS_Detail(M)'!DI$58*('CF(M)'!DI$13='FS_Detail(M)'!$H$58)</f>
        <v>0</v>
      </c>
      <c r="DJ91" s="171">
        <f>-'FS_Detail(M)'!DJ$58*('CF(M)'!DJ$13='FS_Detail(M)'!$H$58)</f>
        <v>0</v>
      </c>
      <c r="DK91" s="171">
        <f>-'FS_Detail(M)'!DK$58*('CF(M)'!DK$13='FS_Detail(M)'!$H$58)</f>
        <v>0</v>
      </c>
      <c r="DL91" s="171">
        <f>-'FS_Detail(M)'!DL$58*('CF(M)'!DL$13='FS_Detail(M)'!$H$58)</f>
        <v>0</v>
      </c>
      <c r="DM91" s="171">
        <f>-'FS_Detail(M)'!DM$58*('CF(M)'!DM$13='FS_Detail(M)'!$H$58)</f>
        <v>0</v>
      </c>
      <c r="DN91" s="171">
        <f>-'FS_Detail(M)'!DN$58*('CF(M)'!DN$13='FS_Detail(M)'!$H$58)</f>
        <v>0</v>
      </c>
      <c r="DO91" s="171">
        <f>-'FS_Detail(M)'!DO$58*('CF(M)'!DO$13='FS_Detail(M)'!$H$58)</f>
        <v>0</v>
      </c>
      <c r="DP91" s="171">
        <f>-'FS_Detail(M)'!DP$58*('CF(M)'!DP$13='FS_Detail(M)'!$H$58)</f>
        <v>0</v>
      </c>
      <c r="DQ91" s="171">
        <f>-'FS_Detail(M)'!DQ$58*('CF(M)'!DQ$13='FS_Detail(M)'!$H$58)</f>
        <v>0</v>
      </c>
      <c r="DR91" s="171">
        <f>-'FS_Detail(M)'!DR$58*('CF(M)'!DR$13='FS_Detail(M)'!$H$58)</f>
        <v>0</v>
      </c>
      <c r="DS91" s="171">
        <f>-'FS_Detail(M)'!DS$58*('CF(M)'!DS$13='FS_Detail(M)'!$H$58)</f>
        <v>0</v>
      </c>
      <c r="DT91" s="171">
        <f>-'FS_Detail(M)'!DT$58*('CF(M)'!DT$13='FS_Detail(M)'!$H$58)</f>
        <v>0</v>
      </c>
      <c r="DU91" s="171">
        <f>-'FS_Detail(M)'!DU$58*('CF(M)'!DU$13='FS_Detail(M)'!$H$58)</f>
        <v>0</v>
      </c>
      <c r="DV91" s="171">
        <f>-'FS_Detail(M)'!DV$58*('CF(M)'!DV$13='FS_Detail(M)'!$H$58)</f>
        <v>0</v>
      </c>
      <c r="DW91" s="171">
        <f>-'FS_Detail(M)'!DW$58*('CF(M)'!DW$13='FS_Detail(M)'!$H$58)</f>
        <v>0</v>
      </c>
      <c r="DX91" s="171">
        <f>-'FS_Detail(M)'!DX$58*('CF(M)'!DX$13='FS_Detail(M)'!$H$58)</f>
        <v>0</v>
      </c>
      <c r="DY91" s="171">
        <f>-'FS_Detail(M)'!DY$58*('CF(M)'!DY$13='FS_Detail(M)'!$H$58)</f>
        <v>0</v>
      </c>
      <c r="DZ91" s="171">
        <f>-'FS_Detail(M)'!DZ$58*('CF(M)'!DZ$13='FS_Detail(M)'!$H$58)</f>
        <v>0</v>
      </c>
      <c r="EA91" s="171">
        <f>-'FS_Detail(M)'!EA$58*('CF(M)'!EA$13='FS_Detail(M)'!$H$58)</f>
        <v>0</v>
      </c>
      <c r="EB91" s="171">
        <f>-'FS_Detail(M)'!EB$58*('CF(M)'!EB$13='FS_Detail(M)'!$H$58)</f>
        <v>0</v>
      </c>
      <c r="EC91" s="171">
        <f>-'FS_Detail(M)'!EC$58*('CF(M)'!EC$13='FS_Detail(M)'!$H$58)</f>
        <v>0</v>
      </c>
      <c r="ED91" s="171">
        <f>-'FS_Detail(M)'!ED$58*('CF(M)'!ED$13='FS_Detail(M)'!$H$58)</f>
        <v>0</v>
      </c>
      <c r="EE91" s="171">
        <f>-'FS_Detail(M)'!EE$58*('CF(M)'!EE$13='FS_Detail(M)'!$H$58)</f>
        <v>0</v>
      </c>
      <c r="EF91" s="171">
        <f>-'FS_Detail(M)'!EF$58*('CF(M)'!EF$13='FS_Detail(M)'!$H$58)</f>
        <v>0</v>
      </c>
      <c r="EG91" s="171">
        <f>-'FS_Detail(M)'!EG$58*('CF(M)'!EG$13='FS_Detail(M)'!$H$58)</f>
        <v>0</v>
      </c>
      <c r="EH91" s="171">
        <f>-'FS_Detail(M)'!EH$58*('CF(M)'!EH$13='FS_Detail(M)'!$H$58)</f>
        <v>0</v>
      </c>
      <c r="EI91" s="171">
        <f>-'FS_Detail(M)'!EI$58*('CF(M)'!EI$13='FS_Detail(M)'!$H$58)</f>
        <v>0</v>
      </c>
      <c r="EJ91" s="171">
        <f>-'FS_Detail(M)'!EJ$58*('CF(M)'!EJ$13='FS_Detail(M)'!$H$58)</f>
        <v>0</v>
      </c>
      <c r="EK91" s="171">
        <f>-'FS_Detail(M)'!EK$58*('CF(M)'!EK$13='FS_Detail(M)'!$H$58)</f>
        <v>0</v>
      </c>
      <c r="EL91" s="171">
        <f>-'FS_Detail(M)'!EL$58*('CF(M)'!EL$13='FS_Detail(M)'!$H$58)</f>
        <v>0</v>
      </c>
      <c r="EM91" s="171">
        <f>-'FS_Detail(M)'!EM$58*('CF(M)'!EM$13='FS_Detail(M)'!$H$58)</f>
        <v>0</v>
      </c>
      <c r="EN91" s="171">
        <f>-'FS_Detail(M)'!EN$58*('CF(M)'!EN$13='FS_Detail(M)'!$H$58)</f>
        <v>0</v>
      </c>
      <c r="EO91" s="171">
        <f>-'FS_Detail(M)'!EO$58*('CF(M)'!EO$13='FS_Detail(M)'!$H$58)</f>
        <v>0</v>
      </c>
      <c r="EP91" s="171">
        <f>-'FS_Detail(M)'!EP$58*('CF(M)'!EP$13='FS_Detail(M)'!$H$58)</f>
        <v>0</v>
      </c>
      <c r="EQ91" s="171">
        <f>-'FS_Detail(M)'!EQ$58*('CF(M)'!EQ$13='FS_Detail(M)'!$H$58)</f>
        <v>0</v>
      </c>
    </row>
    <row r="92" spans="2:147" ht="11.25" customHeight="1">
      <c r="B92" s="218"/>
      <c r="C92" s="158" t="s">
        <v>210</v>
      </c>
      <c r="D92" s="159"/>
      <c r="E92" s="159"/>
      <c r="F92" s="159"/>
      <c r="G92" s="159"/>
      <c r="H92" s="160"/>
      <c r="I92" s="219"/>
      <c r="J92" s="220">
        <f>SUM(J93:J94)</f>
        <v>0</v>
      </c>
      <c r="K92" s="98"/>
      <c r="L92" s="162">
        <f>SUM(L93:L94)</f>
        <v>12856669.630531998</v>
      </c>
      <c r="M92" s="162">
        <f t="shared" ref="M92:BX92" si="65">SUM(M93:M94)</f>
        <v>0</v>
      </c>
      <c r="N92" s="162">
        <f t="shared" si="65"/>
        <v>0</v>
      </c>
      <c r="O92" s="162">
        <f t="shared" si="65"/>
        <v>-12856669.630531998</v>
      </c>
      <c r="P92" s="162">
        <f t="shared" si="65"/>
        <v>0</v>
      </c>
      <c r="Q92" s="162">
        <f t="shared" si="65"/>
        <v>0</v>
      </c>
      <c r="R92" s="162">
        <f t="shared" si="65"/>
        <v>0</v>
      </c>
      <c r="S92" s="162">
        <f t="shared" si="65"/>
        <v>0</v>
      </c>
      <c r="T92" s="162">
        <f t="shared" si="65"/>
        <v>0</v>
      </c>
      <c r="U92" s="162">
        <f t="shared" si="65"/>
        <v>0</v>
      </c>
      <c r="V92" s="162">
        <f t="shared" si="65"/>
        <v>0</v>
      </c>
      <c r="W92" s="162">
        <f t="shared" si="65"/>
        <v>0</v>
      </c>
      <c r="X92" s="162">
        <f t="shared" si="65"/>
        <v>0</v>
      </c>
      <c r="Y92" s="162">
        <f t="shared" si="65"/>
        <v>0</v>
      </c>
      <c r="Z92" s="162">
        <f t="shared" si="65"/>
        <v>0</v>
      </c>
      <c r="AA92" s="162">
        <f t="shared" si="65"/>
        <v>0</v>
      </c>
      <c r="AB92" s="162">
        <f t="shared" si="65"/>
        <v>0</v>
      </c>
      <c r="AC92" s="162">
        <f t="shared" si="65"/>
        <v>0</v>
      </c>
      <c r="AD92" s="162">
        <f t="shared" si="65"/>
        <v>0</v>
      </c>
      <c r="AE92" s="162">
        <f t="shared" si="65"/>
        <v>0</v>
      </c>
      <c r="AF92" s="162">
        <f t="shared" si="65"/>
        <v>0</v>
      </c>
      <c r="AG92" s="162">
        <f t="shared" si="65"/>
        <v>0</v>
      </c>
      <c r="AH92" s="162">
        <f t="shared" si="65"/>
        <v>0</v>
      </c>
      <c r="AI92" s="162">
        <f t="shared" si="65"/>
        <v>0</v>
      </c>
      <c r="AJ92" s="162">
        <f t="shared" si="65"/>
        <v>0</v>
      </c>
      <c r="AK92" s="162">
        <f t="shared" si="65"/>
        <v>0</v>
      </c>
      <c r="AL92" s="162">
        <f t="shared" si="65"/>
        <v>0</v>
      </c>
      <c r="AM92" s="162">
        <f t="shared" si="65"/>
        <v>0</v>
      </c>
      <c r="AN92" s="162">
        <f t="shared" si="65"/>
        <v>0</v>
      </c>
      <c r="AO92" s="162">
        <f t="shared" si="65"/>
        <v>0</v>
      </c>
      <c r="AP92" s="162">
        <f t="shared" si="65"/>
        <v>0</v>
      </c>
      <c r="AQ92" s="162">
        <f t="shared" si="65"/>
        <v>0</v>
      </c>
      <c r="AR92" s="162">
        <f t="shared" si="65"/>
        <v>0</v>
      </c>
      <c r="AS92" s="162">
        <f t="shared" si="65"/>
        <v>0</v>
      </c>
      <c r="AT92" s="162">
        <f t="shared" si="65"/>
        <v>0</v>
      </c>
      <c r="AU92" s="162">
        <f t="shared" si="65"/>
        <v>0</v>
      </c>
      <c r="AV92" s="162">
        <f t="shared" si="65"/>
        <v>0</v>
      </c>
      <c r="AW92" s="162">
        <f t="shared" si="65"/>
        <v>0</v>
      </c>
      <c r="AX92" s="162">
        <f t="shared" si="65"/>
        <v>0</v>
      </c>
      <c r="AY92" s="162">
        <f t="shared" si="65"/>
        <v>0</v>
      </c>
      <c r="AZ92" s="162">
        <f t="shared" si="65"/>
        <v>0</v>
      </c>
      <c r="BA92" s="162">
        <f t="shared" si="65"/>
        <v>0</v>
      </c>
      <c r="BB92" s="162">
        <f t="shared" si="65"/>
        <v>0</v>
      </c>
      <c r="BC92" s="162">
        <f t="shared" si="65"/>
        <v>0</v>
      </c>
      <c r="BD92" s="162">
        <f t="shared" si="65"/>
        <v>0</v>
      </c>
      <c r="BE92" s="162">
        <f t="shared" si="65"/>
        <v>0</v>
      </c>
      <c r="BF92" s="162">
        <f t="shared" si="65"/>
        <v>0</v>
      </c>
      <c r="BG92" s="162">
        <f t="shared" si="65"/>
        <v>0</v>
      </c>
      <c r="BH92" s="162">
        <f t="shared" si="65"/>
        <v>0</v>
      </c>
      <c r="BI92" s="162">
        <f t="shared" si="65"/>
        <v>0</v>
      </c>
      <c r="BJ92" s="162">
        <f t="shared" si="65"/>
        <v>0</v>
      </c>
      <c r="BK92" s="162">
        <f t="shared" si="65"/>
        <v>0</v>
      </c>
      <c r="BL92" s="162">
        <f t="shared" si="65"/>
        <v>0</v>
      </c>
      <c r="BM92" s="162">
        <f t="shared" si="65"/>
        <v>0</v>
      </c>
      <c r="BN92" s="162">
        <f t="shared" si="65"/>
        <v>0</v>
      </c>
      <c r="BO92" s="162">
        <f t="shared" si="65"/>
        <v>0</v>
      </c>
      <c r="BP92" s="162">
        <f t="shared" si="65"/>
        <v>0</v>
      </c>
      <c r="BQ92" s="162">
        <f t="shared" si="65"/>
        <v>0</v>
      </c>
      <c r="BR92" s="162">
        <f t="shared" si="65"/>
        <v>0</v>
      </c>
      <c r="BS92" s="162">
        <f t="shared" si="65"/>
        <v>0</v>
      </c>
      <c r="BT92" s="162">
        <f t="shared" si="65"/>
        <v>0</v>
      </c>
      <c r="BU92" s="162">
        <f t="shared" si="65"/>
        <v>0</v>
      </c>
      <c r="BV92" s="162">
        <f t="shared" si="65"/>
        <v>0</v>
      </c>
      <c r="BW92" s="162">
        <f t="shared" si="65"/>
        <v>0</v>
      </c>
      <c r="BX92" s="162">
        <f t="shared" si="65"/>
        <v>0</v>
      </c>
      <c r="BY92" s="162">
        <f t="shared" ref="BY92:DP92" si="66">SUM(BY93:BY94)</f>
        <v>0</v>
      </c>
      <c r="BZ92" s="162">
        <f t="shared" si="66"/>
        <v>0</v>
      </c>
      <c r="CA92" s="162">
        <f t="shared" si="66"/>
        <v>0</v>
      </c>
      <c r="CB92" s="162">
        <f t="shared" si="66"/>
        <v>0</v>
      </c>
      <c r="CC92" s="162">
        <f t="shared" si="66"/>
        <v>0</v>
      </c>
      <c r="CD92" s="162">
        <f t="shared" si="66"/>
        <v>0</v>
      </c>
      <c r="CE92" s="162">
        <f t="shared" si="66"/>
        <v>0</v>
      </c>
      <c r="CF92" s="162">
        <f t="shared" si="66"/>
        <v>0</v>
      </c>
      <c r="CG92" s="162">
        <f t="shared" si="66"/>
        <v>0</v>
      </c>
      <c r="CH92" s="162">
        <f t="shared" si="66"/>
        <v>0</v>
      </c>
      <c r="CI92" s="162">
        <f t="shared" si="66"/>
        <v>0</v>
      </c>
      <c r="CJ92" s="162">
        <f t="shared" si="66"/>
        <v>0</v>
      </c>
      <c r="CK92" s="162">
        <f t="shared" si="66"/>
        <v>0</v>
      </c>
      <c r="CL92" s="162">
        <f t="shared" si="66"/>
        <v>0</v>
      </c>
      <c r="CM92" s="162">
        <f t="shared" si="66"/>
        <v>0</v>
      </c>
      <c r="CN92" s="162">
        <f t="shared" si="66"/>
        <v>0</v>
      </c>
      <c r="CO92" s="162">
        <f t="shared" si="66"/>
        <v>0</v>
      </c>
      <c r="CP92" s="162">
        <f t="shared" si="66"/>
        <v>0</v>
      </c>
      <c r="CQ92" s="162">
        <f t="shared" si="66"/>
        <v>0</v>
      </c>
      <c r="CR92" s="162">
        <f t="shared" si="66"/>
        <v>0</v>
      </c>
      <c r="CS92" s="162">
        <f t="shared" si="66"/>
        <v>0</v>
      </c>
      <c r="CT92" s="162">
        <f t="shared" si="66"/>
        <v>0</v>
      </c>
      <c r="CU92" s="162">
        <f t="shared" si="66"/>
        <v>0</v>
      </c>
      <c r="CV92" s="162">
        <f t="shared" si="66"/>
        <v>0</v>
      </c>
      <c r="CW92" s="162">
        <f t="shared" si="66"/>
        <v>0</v>
      </c>
      <c r="CX92" s="162">
        <f t="shared" si="66"/>
        <v>0</v>
      </c>
      <c r="CY92" s="162">
        <f t="shared" si="66"/>
        <v>0</v>
      </c>
      <c r="CZ92" s="162">
        <f t="shared" si="66"/>
        <v>0</v>
      </c>
      <c r="DA92" s="162">
        <f t="shared" si="66"/>
        <v>0</v>
      </c>
      <c r="DB92" s="162">
        <f t="shared" si="66"/>
        <v>0</v>
      </c>
      <c r="DC92" s="162">
        <f t="shared" si="66"/>
        <v>0</v>
      </c>
      <c r="DD92" s="162">
        <f t="shared" si="66"/>
        <v>0</v>
      </c>
      <c r="DE92" s="162">
        <f t="shared" si="66"/>
        <v>0</v>
      </c>
      <c r="DF92" s="162">
        <f t="shared" si="66"/>
        <v>0</v>
      </c>
      <c r="DG92" s="162">
        <f t="shared" si="66"/>
        <v>0</v>
      </c>
      <c r="DH92" s="162">
        <f t="shared" si="66"/>
        <v>0</v>
      </c>
      <c r="DI92" s="162">
        <f t="shared" si="66"/>
        <v>0</v>
      </c>
      <c r="DJ92" s="162">
        <f t="shared" si="66"/>
        <v>0</v>
      </c>
      <c r="DK92" s="162">
        <f t="shared" si="66"/>
        <v>0</v>
      </c>
      <c r="DL92" s="162">
        <f t="shared" si="66"/>
        <v>0</v>
      </c>
      <c r="DM92" s="162">
        <f t="shared" si="66"/>
        <v>0</v>
      </c>
      <c r="DN92" s="162">
        <f t="shared" si="66"/>
        <v>0</v>
      </c>
      <c r="DO92" s="162">
        <f t="shared" si="66"/>
        <v>0</v>
      </c>
      <c r="DP92" s="162">
        <f t="shared" si="66"/>
        <v>0</v>
      </c>
      <c r="DQ92" s="162">
        <f t="shared" ref="DQ92:EQ92" si="67">SUM(DQ93:DQ94)</f>
        <v>0</v>
      </c>
      <c r="DR92" s="162">
        <f t="shared" si="67"/>
        <v>0</v>
      </c>
      <c r="DS92" s="162">
        <f t="shared" si="67"/>
        <v>0</v>
      </c>
      <c r="DT92" s="162">
        <f t="shared" si="67"/>
        <v>0</v>
      </c>
      <c r="DU92" s="162">
        <f t="shared" si="67"/>
        <v>0</v>
      </c>
      <c r="DV92" s="162">
        <f t="shared" si="67"/>
        <v>0</v>
      </c>
      <c r="DW92" s="162">
        <f t="shared" si="67"/>
        <v>0</v>
      </c>
      <c r="DX92" s="162">
        <f t="shared" si="67"/>
        <v>0</v>
      </c>
      <c r="DY92" s="162">
        <f t="shared" si="67"/>
        <v>0</v>
      </c>
      <c r="DZ92" s="162">
        <f t="shared" si="67"/>
        <v>0</v>
      </c>
      <c r="EA92" s="162">
        <f t="shared" si="67"/>
        <v>0</v>
      </c>
      <c r="EB92" s="162">
        <f t="shared" si="67"/>
        <v>0</v>
      </c>
      <c r="EC92" s="162">
        <f t="shared" si="67"/>
        <v>0</v>
      </c>
      <c r="ED92" s="162">
        <f t="shared" si="67"/>
        <v>0</v>
      </c>
      <c r="EE92" s="162">
        <f t="shared" si="67"/>
        <v>0</v>
      </c>
      <c r="EF92" s="162">
        <f t="shared" si="67"/>
        <v>0</v>
      </c>
      <c r="EG92" s="162">
        <f t="shared" si="67"/>
        <v>0</v>
      </c>
      <c r="EH92" s="162">
        <f t="shared" si="67"/>
        <v>0</v>
      </c>
      <c r="EI92" s="162">
        <f t="shared" si="67"/>
        <v>0</v>
      </c>
      <c r="EJ92" s="162">
        <f t="shared" si="67"/>
        <v>0</v>
      </c>
      <c r="EK92" s="162">
        <f t="shared" si="67"/>
        <v>0</v>
      </c>
      <c r="EL92" s="162">
        <f t="shared" si="67"/>
        <v>0</v>
      </c>
      <c r="EM92" s="162">
        <f t="shared" si="67"/>
        <v>0</v>
      </c>
      <c r="EN92" s="162">
        <f t="shared" si="67"/>
        <v>0</v>
      </c>
      <c r="EO92" s="162">
        <f t="shared" si="67"/>
        <v>0</v>
      </c>
      <c r="EP92" s="162">
        <f t="shared" si="67"/>
        <v>0</v>
      </c>
      <c r="EQ92" s="162">
        <f t="shared" si="67"/>
        <v>0</v>
      </c>
    </row>
    <row r="93" spans="2:147" ht="11.25" customHeight="1">
      <c r="B93" s="218"/>
      <c r="C93" s="163"/>
      <c r="D93" s="164" t="s">
        <v>208</v>
      </c>
      <c r="E93" s="165"/>
      <c r="F93" s="165"/>
      <c r="G93" s="165"/>
      <c r="H93" s="166"/>
      <c r="I93" s="228"/>
      <c r="J93" s="168">
        <f>SUM(L93:EQ93)</f>
        <v>12856669.630531998</v>
      </c>
      <c r="K93" s="98"/>
      <c r="L93" s="168">
        <f>'FS_Detail(M)'!L52</f>
        <v>12856669.630531998</v>
      </c>
      <c r="M93" s="168">
        <f>'FS_Detail(M)'!M52</f>
        <v>0</v>
      </c>
      <c r="N93" s="168">
        <f>'FS_Detail(M)'!N52</f>
        <v>0</v>
      </c>
      <c r="O93" s="168">
        <f>'FS_Detail(M)'!O52</f>
        <v>0</v>
      </c>
      <c r="P93" s="168">
        <f>'FS_Detail(M)'!P52</f>
        <v>0</v>
      </c>
      <c r="Q93" s="168">
        <f>'FS_Detail(M)'!Q52</f>
        <v>0</v>
      </c>
      <c r="R93" s="168">
        <f>'FS_Detail(M)'!R52</f>
        <v>0</v>
      </c>
      <c r="S93" s="168">
        <f>'FS_Detail(M)'!S52</f>
        <v>0</v>
      </c>
      <c r="T93" s="168">
        <f>'FS_Detail(M)'!T52</f>
        <v>0</v>
      </c>
      <c r="U93" s="168">
        <f>'FS_Detail(M)'!U52</f>
        <v>0</v>
      </c>
      <c r="V93" s="168">
        <f>'FS_Detail(M)'!V52</f>
        <v>0</v>
      </c>
      <c r="W93" s="168">
        <f>'FS_Detail(M)'!W52</f>
        <v>0</v>
      </c>
      <c r="X93" s="168">
        <f>'FS_Detail(M)'!X52</f>
        <v>0</v>
      </c>
      <c r="Y93" s="168">
        <f>'FS_Detail(M)'!Y52</f>
        <v>0</v>
      </c>
      <c r="Z93" s="168">
        <f>'FS_Detail(M)'!Z52</f>
        <v>0</v>
      </c>
      <c r="AA93" s="168">
        <f>'FS_Detail(M)'!AA52</f>
        <v>0</v>
      </c>
      <c r="AB93" s="168">
        <f>'FS_Detail(M)'!AB52</f>
        <v>0</v>
      </c>
      <c r="AC93" s="168">
        <f>'FS_Detail(M)'!AC52</f>
        <v>0</v>
      </c>
      <c r="AD93" s="168">
        <f>'FS_Detail(M)'!AD52</f>
        <v>0</v>
      </c>
      <c r="AE93" s="168">
        <f>'FS_Detail(M)'!AE52</f>
        <v>0</v>
      </c>
      <c r="AF93" s="168">
        <f>'FS_Detail(M)'!AF52</f>
        <v>0</v>
      </c>
      <c r="AG93" s="168">
        <f>'FS_Detail(M)'!AG52</f>
        <v>0</v>
      </c>
      <c r="AH93" s="168">
        <f>'FS_Detail(M)'!AH52</f>
        <v>0</v>
      </c>
      <c r="AI93" s="168">
        <f>'FS_Detail(M)'!AI52</f>
        <v>0</v>
      </c>
      <c r="AJ93" s="168">
        <f>'FS_Detail(M)'!AJ52</f>
        <v>0</v>
      </c>
      <c r="AK93" s="168">
        <f>'FS_Detail(M)'!AK52</f>
        <v>0</v>
      </c>
      <c r="AL93" s="168">
        <f>'FS_Detail(M)'!AL52</f>
        <v>0</v>
      </c>
      <c r="AM93" s="168">
        <f>'FS_Detail(M)'!AM52</f>
        <v>0</v>
      </c>
      <c r="AN93" s="168">
        <f>'FS_Detail(M)'!AN52</f>
        <v>0</v>
      </c>
      <c r="AO93" s="168">
        <f>'FS_Detail(M)'!AO52</f>
        <v>0</v>
      </c>
      <c r="AP93" s="168">
        <f>'FS_Detail(M)'!AP52</f>
        <v>0</v>
      </c>
      <c r="AQ93" s="168">
        <f>'FS_Detail(M)'!AQ52</f>
        <v>0</v>
      </c>
      <c r="AR93" s="168">
        <f>'FS_Detail(M)'!AR52</f>
        <v>0</v>
      </c>
      <c r="AS93" s="168">
        <f>'FS_Detail(M)'!AS52</f>
        <v>0</v>
      </c>
      <c r="AT93" s="168">
        <f>'FS_Detail(M)'!AT52</f>
        <v>0</v>
      </c>
      <c r="AU93" s="168">
        <f>'FS_Detail(M)'!AU52</f>
        <v>0</v>
      </c>
      <c r="AV93" s="168">
        <f>'FS_Detail(M)'!AV52</f>
        <v>0</v>
      </c>
      <c r="AW93" s="168">
        <f>'FS_Detail(M)'!AW52</f>
        <v>0</v>
      </c>
      <c r="AX93" s="168">
        <f>'FS_Detail(M)'!AX52</f>
        <v>0</v>
      </c>
      <c r="AY93" s="168">
        <f>'FS_Detail(M)'!AY52</f>
        <v>0</v>
      </c>
      <c r="AZ93" s="168">
        <f>'FS_Detail(M)'!AZ52</f>
        <v>0</v>
      </c>
      <c r="BA93" s="168">
        <f>'FS_Detail(M)'!BA52</f>
        <v>0</v>
      </c>
      <c r="BB93" s="168">
        <f>'FS_Detail(M)'!BB52</f>
        <v>0</v>
      </c>
      <c r="BC93" s="168">
        <f>'FS_Detail(M)'!BC52</f>
        <v>0</v>
      </c>
      <c r="BD93" s="168">
        <f>'FS_Detail(M)'!BD52</f>
        <v>0</v>
      </c>
      <c r="BE93" s="168">
        <f>'FS_Detail(M)'!BE52</f>
        <v>0</v>
      </c>
      <c r="BF93" s="168">
        <f>'FS_Detail(M)'!BF52</f>
        <v>0</v>
      </c>
      <c r="BG93" s="168">
        <f>'FS_Detail(M)'!BG52</f>
        <v>0</v>
      </c>
      <c r="BH93" s="168">
        <f>'FS_Detail(M)'!BH52</f>
        <v>0</v>
      </c>
      <c r="BI93" s="168">
        <f>'FS_Detail(M)'!BI52</f>
        <v>0</v>
      </c>
      <c r="BJ93" s="168">
        <f>'FS_Detail(M)'!BJ52</f>
        <v>0</v>
      </c>
      <c r="BK93" s="168">
        <f>'FS_Detail(M)'!BK52</f>
        <v>0</v>
      </c>
      <c r="BL93" s="168">
        <f>'FS_Detail(M)'!BL52</f>
        <v>0</v>
      </c>
      <c r="BM93" s="168">
        <f>'FS_Detail(M)'!BM52</f>
        <v>0</v>
      </c>
      <c r="BN93" s="168">
        <f>'FS_Detail(M)'!BN52</f>
        <v>0</v>
      </c>
      <c r="BO93" s="168">
        <f>'FS_Detail(M)'!BO52</f>
        <v>0</v>
      </c>
      <c r="BP93" s="168">
        <f>'FS_Detail(M)'!BP52</f>
        <v>0</v>
      </c>
      <c r="BQ93" s="168">
        <f>'FS_Detail(M)'!BQ52</f>
        <v>0</v>
      </c>
      <c r="BR93" s="168">
        <f>'FS_Detail(M)'!BR52</f>
        <v>0</v>
      </c>
      <c r="BS93" s="168">
        <f>'FS_Detail(M)'!BS52</f>
        <v>0</v>
      </c>
      <c r="BT93" s="168">
        <f>'FS_Detail(M)'!BT52</f>
        <v>0</v>
      </c>
      <c r="BU93" s="168">
        <f>'FS_Detail(M)'!BU52</f>
        <v>0</v>
      </c>
      <c r="BV93" s="168">
        <f>'FS_Detail(M)'!BV52</f>
        <v>0</v>
      </c>
      <c r="BW93" s="168">
        <f>'FS_Detail(M)'!BW52</f>
        <v>0</v>
      </c>
      <c r="BX93" s="168">
        <f>'FS_Detail(M)'!BX52</f>
        <v>0</v>
      </c>
      <c r="BY93" s="168">
        <f>'FS_Detail(M)'!BY52</f>
        <v>0</v>
      </c>
      <c r="BZ93" s="168">
        <f>'FS_Detail(M)'!BZ52</f>
        <v>0</v>
      </c>
      <c r="CA93" s="168">
        <f>'FS_Detail(M)'!CA52</f>
        <v>0</v>
      </c>
      <c r="CB93" s="168">
        <f>'FS_Detail(M)'!CB52</f>
        <v>0</v>
      </c>
      <c r="CC93" s="168">
        <f>'FS_Detail(M)'!CC52</f>
        <v>0</v>
      </c>
      <c r="CD93" s="168">
        <f>'FS_Detail(M)'!CD52</f>
        <v>0</v>
      </c>
      <c r="CE93" s="168">
        <f>'FS_Detail(M)'!CE52</f>
        <v>0</v>
      </c>
      <c r="CF93" s="168">
        <f>'FS_Detail(M)'!CF52</f>
        <v>0</v>
      </c>
      <c r="CG93" s="168">
        <f>'FS_Detail(M)'!CG52</f>
        <v>0</v>
      </c>
      <c r="CH93" s="168">
        <f>'FS_Detail(M)'!CH52</f>
        <v>0</v>
      </c>
      <c r="CI93" s="168">
        <f>'FS_Detail(M)'!CI52</f>
        <v>0</v>
      </c>
      <c r="CJ93" s="168">
        <f>'FS_Detail(M)'!CJ52</f>
        <v>0</v>
      </c>
      <c r="CK93" s="168">
        <f>'FS_Detail(M)'!CK52</f>
        <v>0</v>
      </c>
      <c r="CL93" s="168">
        <f>'FS_Detail(M)'!CL52</f>
        <v>0</v>
      </c>
      <c r="CM93" s="168">
        <f>'FS_Detail(M)'!CM52</f>
        <v>0</v>
      </c>
      <c r="CN93" s="168">
        <f>'FS_Detail(M)'!CN52</f>
        <v>0</v>
      </c>
      <c r="CO93" s="168">
        <f>'FS_Detail(M)'!CO52</f>
        <v>0</v>
      </c>
      <c r="CP93" s="168">
        <f>'FS_Detail(M)'!CP52</f>
        <v>0</v>
      </c>
      <c r="CQ93" s="168">
        <f>'FS_Detail(M)'!CQ52</f>
        <v>0</v>
      </c>
      <c r="CR93" s="168">
        <f>'FS_Detail(M)'!CR52</f>
        <v>0</v>
      </c>
      <c r="CS93" s="168">
        <f>'FS_Detail(M)'!CS52</f>
        <v>0</v>
      </c>
      <c r="CT93" s="168">
        <f>'FS_Detail(M)'!CT52</f>
        <v>0</v>
      </c>
      <c r="CU93" s="168">
        <f>'FS_Detail(M)'!CU52</f>
        <v>0</v>
      </c>
      <c r="CV93" s="168">
        <f>'FS_Detail(M)'!CV52</f>
        <v>0</v>
      </c>
      <c r="CW93" s="168">
        <f>'FS_Detail(M)'!CW52</f>
        <v>0</v>
      </c>
      <c r="CX93" s="168">
        <f>'FS_Detail(M)'!CX52</f>
        <v>0</v>
      </c>
      <c r="CY93" s="168">
        <f>'FS_Detail(M)'!CY52</f>
        <v>0</v>
      </c>
      <c r="CZ93" s="168">
        <f>'FS_Detail(M)'!CZ52</f>
        <v>0</v>
      </c>
      <c r="DA93" s="168">
        <f>'FS_Detail(M)'!DA52</f>
        <v>0</v>
      </c>
      <c r="DB93" s="168">
        <f>'FS_Detail(M)'!DB52</f>
        <v>0</v>
      </c>
      <c r="DC93" s="168">
        <f>'FS_Detail(M)'!DC52</f>
        <v>0</v>
      </c>
      <c r="DD93" s="168">
        <f>'FS_Detail(M)'!DD52</f>
        <v>0</v>
      </c>
      <c r="DE93" s="168">
        <f>'FS_Detail(M)'!DE52</f>
        <v>0</v>
      </c>
      <c r="DF93" s="168">
        <f>'FS_Detail(M)'!DF52</f>
        <v>0</v>
      </c>
      <c r="DG93" s="168">
        <f>'FS_Detail(M)'!DG52</f>
        <v>0</v>
      </c>
      <c r="DH93" s="168">
        <f>'FS_Detail(M)'!DH52</f>
        <v>0</v>
      </c>
      <c r="DI93" s="168">
        <f>'FS_Detail(M)'!DI52</f>
        <v>0</v>
      </c>
      <c r="DJ93" s="168">
        <f>'FS_Detail(M)'!DJ52</f>
        <v>0</v>
      </c>
      <c r="DK93" s="168">
        <f>'FS_Detail(M)'!DK52</f>
        <v>0</v>
      </c>
      <c r="DL93" s="168">
        <f>'FS_Detail(M)'!DL52</f>
        <v>0</v>
      </c>
      <c r="DM93" s="168">
        <f>'FS_Detail(M)'!DM52</f>
        <v>0</v>
      </c>
      <c r="DN93" s="168">
        <f>'FS_Detail(M)'!DN52</f>
        <v>0</v>
      </c>
      <c r="DO93" s="168">
        <f>'FS_Detail(M)'!DO52</f>
        <v>0</v>
      </c>
      <c r="DP93" s="168">
        <f>'FS_Detail(M)'!DP52</f>
        <v>0</v>
      </c>
      <c r="DQ93" s="168">
        <f>'FS_Detail(M)'!DQ52</f>
        <v>0</v>
      </c>
      <c r="DR93" s="168">
        <f>'FS_Detail(M)'!DR52</f>
        <v>0</v>
      </c>
      <c r="DS93" s="168">
        <f>'FS_Detail(M)'!DS52</f>
        <v>0</v>
      </c>
      <c r="DT93" s="168">
        <f>'FS_Detail(M)'!DT52</f>
        <v>0</v>
      </c>
      <c r="DU93" s="168">
        <f>'FS_Detail(M)'!DU52</f>
        <v>0</v>
      </c>
      <c r="DV93" s="168">
        <f>'FS_Detail(M)'!DV52</f>
        <v>0</v>
      </c>
      <c r="DW93" s="168">
        <f>'FS_Detail(M)'!DW52</f>
        <v>0</v>
      </c>
      <c r="DX93" s="168">
        <f>'FS_Detail(M)'!DX52</f>
        <v>0</v>
      </c>
      <c r="DY93" s="168">
        <f>'FS_Detail(M)'!DY52</f>
        <v>0</v>
      </c>
      <c r="DZ93" s="168">
        <f>'FS_Detail(M)'!DZ52</f>
        <v>0</v>
      </c>
      <c r="EA93" s="168">
        <f>'FS_Detail(M)'!EA52</f>
        <v>0</v>
      </c>
      <c r="EB93" s="168">
        <f>'FS_Detail(M)'!EB52</f>
        <v>0</v>
      </c>
      <c r="EC93" s="168">
        <f>'FS_Detail(M)'!EC52</f>
        <v>0</v>
      </c>
      <c r="ED93" s="168">
        <f>'FS_Detail(M)'!ED52</f>
        <v>0</v>
      </c>
      <c r="EE93" s="168">
        <f>'FS_Detail(M)'!EE52</f>
        <v>0</v>
      </c>
      <c r="EF93" s="168">
        <f>'FS_Detail(M)'!EF52</f>
        <v>0</v>
      </c>
      <c r="EG93" s="168">
        <f>'FS_Detail(M)'!EG52</f>
        <v>0</v>
      </c>
      <c r="EH93" s="168">
        <f>'FS_Detail(M)'!EH52</f>
        <v>0</v>
      </c>
      <c r="EI93" s="168">
        <f>'FS_Detail(M)'!EI52</f>
        <v>0</v>
      </c>
      <c r="EJ93" s="168">
        <f>'FS_Detail(M)'!EJ52</f>
        <v>0</v>
      </c>
      <c r="EK93" s="168">
        <f>'FS_Detail(M)'!EK52</f>
        <v>0</v>
      </c>
      <c r="EL93" s="168">
        <f>'FS_Detail(M)'!EL52</f>
        <v>0</v>
      </c>
      <c r="EM93" s="168">
        <f>'FS_Detail(M)'!EM52</f>
        <v>0</v>
      </c>
      <c r="EN93" s="168">
        <f>'FS_Detail(M)'!EN52</f>
        <v>0</v>
      </c>
      <c r="EO93" s="168">
        <f>'FS_Detail(M)'!EO52</f>
        <v>0</v>
      </c>
      <c r="EP93" s="168">
        <f>'FS_Detail(M)'!EP52</f>
        <v>0</v>
      </c>
      <c r="EQ93" s="168">
        <f>'FS_Detail(M)'!EQ52</f>
        <v>0</v>
      </c>
    </row>
    <row r="94" spans="2:147" ht="11.25" customHeight="1">
      <c r="B94" s="218"/>
      <c r="C94" s="163"/>
      <c r="D94" s="169" t="s">
        <v>209</v>
      </c>
      <c r="H94" s="146"/>
      <c r="I94" s="229"/>
      <c r="J94" s="171">
        <f>SUM(L94:EQ94)</f>
        <v>-12856669.630531998</v>
      </c>
      <c r="K94" s="98"/>
      <c r="L94" s="171">
        <f>-'FS_Detail(M)'!L53</f>
        <v>0</v>
      </c>
      <c r="M94" s="171">
        <f>-'FS_Detail(M)'!M53</f>
        <v>0</v>
      </c>
      <c r="N94" s="171">
        <f>-'FS_Detail(M)'!N53</f>
        <v>0</v>
      </c>
      <c r="O94" s="171">
        <f>-'FS_Detail(M)'!O53</f>
        <v>-12856669.630531998</v>
      </c>
      <c r="P94" s="171">
        <f>-'FS_Detail(M)'!P53</f>
        <v>0</v>
      </c>
      <c r="Q94" s="171">
        <f>-'FS_Detail(M)'!Q53</f>
        <v>0</v>
      </c>
      <c r="R94" s="171">
        <f>-'FS_Detail(M)'!R53</f>
        <v>0</v>
      </c>
      <c r="S94" s="171">
        <f>-'FS_Detail(M)'!S53</f>
        <v>0</v>
      </c>
      <c r="T94" s="171">
        <f>-'FS_Detail(M)'!T53</f>
        <v>0</v>
      </c>
      <c r="U94" s="171">
        <f>-'FS_Detail(M)'!U53</f>
        <v>0</v>
      </c>
      <c r="V94" s="171">
        <f>-'FS_Detail(M)'!V53</f>
        <v>0</v>
      </c>
      <c r="W94" s="171">
        <f>-'FS_Detail(M)'!W53</f>
        <v>0</v>
      </c>
      <c r="X94" s="171">
        <f>-'FS_Detail(M)'!X53</f>
        <v>0</v>
      </c>
      <c r="Y94" s="171">
        <f>-'FS_Detail(M)'!Y53</f>
        <v>0</v>
      </c>
      <c r="Z94" s="171">
        <f>-'FS_Detail(M)'!Z53</f>
        <v>0</v>
      </c>
      <c r="AA94" s="171">
        <f>-'FS_Detail(M)'!AA53</f>
        <v>0</v>
      </c>
      <c r="AB94" s="171">
        <f>-'FS_Detail(M)'!AB53</f>
        <v>0</v>
      </c>
      <c r="AC94" s="171">
        <f>-'FS_Detail(M)'!AC53</f>
        <v>0</v>
      </c>
      <c r="AD94" s="171">
        <f>-'FS_Detail(M)'!AD53</f>
        <v>0</v>
      </c>
      <c r="AE94" s="171">
        <f>-'FS_Detail(M)'!AE53</f>
        <v>0</v>
      </c>
      <c r="AF94" s="171">
        <f>-'FS_Detail(M)'!AF53</f>
        <v>0</v>
      </c>
      <c r="AG94" s="171">
        <f>-'FS_Detail(M)'!AG53</f>
        <v>0</v>
      </c>
      <c r="AH94" s="171">
        <f>-'FS_Detail(M)'!AH53</f>
        <v>0</v>
      </c>
      <c r="AI94" s="171">
        <f>-'FS_Detail(M)'!AI53</f>
        <v>0</v>
      </c>
      <c r="AJ94" s="171">
        <f>-'FS_Detail(M)'!AJ53</f>
        <v>0</v>
      </c>
      <c r="AK94" s="171">
        <f>-'FS_Detail(M)'!AK53</f>
        <v>0</v>
      </c>
      <c r="AL94" s="171">
        <f>-'FS_Detail(M)'!AL53</f>
        <v>0</v>
      </c>
      <c r="AM94" s="171">
        <f>-'FS_Detail(M)'!AM53</f>
        <v>0</v>
      </c>
      <c r="AN94" s="171">
        <f>-'FS_Detail(M)'!AN53</f>
        <v>0</v>
      </c>
      <c r="AO94" s="171">
        <f>-'FS_Detail(M)'!AO53</f>
        <v>0</v>
      </c>
      <c r="AP94" s="171">
        <f>-'FS_Detail(M)'!AP53</f>
        <v>0</v>
      </c>
      <c r="AQ94" s="171">
        <f>-'FS_Detail(M)'!AQ53</f>
        <v>0</v>
      </c>
      <c r="AR94" s="171">
        <f>-'FS_Detail(M)'!AR53</f>
        <v>0</v>
      </c>
      <c r="AS94" s="171">
        <f>-'FS_Detail(M)'!AS53</f>
        <v>0</v>
      </c>
      <c r="AT94" s="171">
        <f>-'FS_Detail(M)'!AT53</f>
        <v>0</v>
      </c>
      <c r="AU94" s="171">
        <f>-'FS_Detail(M)'!AU53</f>
        <v>0</v>
      </c>
      <c r="AV94" s="171">
        <f>-'FS_Detail(M)'!AV53</f>
        <v>0</v>
      </c>
      <c r="AW94" s="171">
        <f>-'FS_Detail(M)'!AW53</f>
        <v>0</v>
      </c>
      <c r="AX94" s="171">
        <f>-'FS_Detail(M)'!AX53</f>
        <v>0</v>
      </c>
      <c r="AY94" s="171">
        <f>-'FS_Detail(M)'!AY53</f>
        <v>0</v>
      </c>
      <c r="AZ94" s="171">
        <f>-'FS_Detail(M)'!AZ53</f>
        <v>0</v>
      </c>
      <c r="BA94" s="171">
        <f>-'FS_Detail(M)'!BA53</f>
        <v>0</v>
      </c>
      <c r="BB94" s="171">
        <f>-'FS_Detail(M)'!BB53</f>
        <v>0</v>
      </c>
      <c r="BC94" s="171">
        <f>-'FS_Detail(M)'!BC53</f>
        <v>0</v>
      </c>
      <c r="BD94" s="171">
        <f>-'FS_Detail(M)'!BD53</f>
        <v>0</v>
      </c>
      <c r="BE94" s="171">
        <f>-'FS_Detail(M)'!BE53</f>
        <v>0</v>
      </c>
      <c r="BF94" s="171">
        <f>-'FS_Detail(M)'!BF53</f>
        <v>0</v>
      </c>
      <c r="BG94" s="171">
        <f>-'FS_Detail(M)'!BG53</f>
        <v>0</v>
      </c>
      <c r="BH94" s="171">
        <f>-'FS_Detail(M)'!BH53</f>
        <v>0</v>
      </c>
      <c r="BI94" s="171">
        <f>-'FS_Detail(M)'!BI53</f>
        <v>0</v>
      </c>
      <c r="BJ94" s="171">
        <f>-'FS_Detail(M)'!BJ53</f>
        <v>0</v>
      </c>
      <c r="BK94" s="171">
        <f>-'FS_Detail(M)'!BK53</f>
        <v>0</v>
      </c>
      <c r="BL94" s="171">
        <f>-'FS_Detail(M)'!BL53</f>
        <v>0</v>
      </c>
      <c r="BM94" s="171">
        <f>-'FS_Detail(M)'!BM53</f>
        <v>0</v>
      </c>
      <c r="BN94" s="171">
        <f>-'FS_Detail(M)'!BN53</f>
        <v>0</v>
      </c>
      <c r="BO94" s="171">
        <f>-'FS_Detail(M)'!BO53</f>
        <v>0</v>
      </c>
      <c r="BP94" s="171">
        <f>-'FS_Detail(M)'!BP53</f>
        <v>0</v>
      </c>
      <c r="BQ94" s="171">
        <f>-'FS_Detail(M)'!BQ53</f>
        <v>0</v>
      </c>
      <c r="BR94" s="171">
        <f>-'FS_Detail(M)'!BR53</f>
        <v>0</v>
      </c>
      <c r="BS94" s="171">
        <f>-'FS_Detail(M)'!BS53</f>
        <v>0</v>
      </c>
      <c r="BT94" s="171">
        <f>-'FS_Detail(M)'!BT53</f>
        <v>0</v>
      </c>
      <c r="BU94" s="171">
        <f>-'FS_Detail(M)'!BU53</f>
        <v>0</v>
      </c>
      <c r="BV94" s="171">
        <f>-'FS_Detail(M)'!BV53</f>
        <v>0</v>
      </c>
      <c r="BW94" s="171">
        <f>-'FS_Detail(M)'!BW53</f>
        <v>0</v>
      </c>
      <c r="BX94" s="171">
        <f>-'FS_Detail(M)'!BX53</f>
        <v>0</v>
      </c>
      <c r="BY94" s="171">
        <f>-'FS_Detail(M)'!BY53</f>
        <v>0</v>
      </c>
      <c r="BZ94" s="171">
        <f>-'FS_Detail(M)'!BZ53</f>
        <v>0</v>
      </c>
      <c r="CA94" s="171">
        <f>-'FS_Detail(M)'!CA53</f>
        <v>0</v>
      </c>
      <c r="CB94" s="171">
        <f>-'FS_Detail(M)'!CB53</f>
        <v>0</v>
      </c>
      <c r="CC94" s="171">
        <f>-'FS_Detail(M)'!CC53</f>
        <v>0</v>
      </c>
      <c r="CD94" s="171">
        <f>-'FS_Detail(M)'!CD53</f>
        <v>0</v>
      </c>
      <c r="CE94" s="171">
        <f>-'FS_Detail(M)'!CE53</f>
        <v>0</v>
      </c>
      <c r="CF94" s="171">
        <f>-'FS_Detail(M)'!CF53</f>
        <v>0</v>
      </c>
      <c r="CG94" s="171">
        <f>-'FS_Detail(M)'!CG53</f>
        <v>0</v>
      </c>
      <c r="CH94" s="171">
        <f>-'FS_Detail(M)'!CH53</f>
        <v>0</v>
      </c>
      <c r="CI94" s="171">
        <f>-'FS_Detail(M)'!CI53</f>
        <v>0</v>
      </c>
      <c r="CJ94" s="171">
        <f>-'FS_Detail(M)'!CJ53</f>
        <v>0</v>
      </c>
      <c r="CK94" s="171">
        <f>-'FS_Detail(M)'!CK53</f>
        <v>0</v>
      </c>
      <c r="CL94" s="171">
        <f>-'FS_Detail(M)'!CL53</f>
        <v>0</v>
      </c>
      <c r="CM94" s="171">
        <f>-'FS_Detail(M)'!CM53</f>
        <v>0</v>
      </c>
      <c r="CN94" s="171">
        <f>-'FS_Detail(M)'!CN53</f>
        <v>0</v>
      </c>
      <c r="CO94" s="171">
        <f>-'FS_Detail(M)'!CO53</f>
        <v>0</v>
      </c>
      <c r="CP94" s="171">
        <f>-'FS_Detail(M)'!CP53</f>
        <v>0</v>
      </c>
      <c r="CQ94" s="171">
        <f>-'FS_Detail(M)'!CQ53</f>
        <v>0</v>
      </c>
      <c r="CR94" s="171">
        <f>-'FS_Detail(M)'!CR53</f>
        <v>0</v>
      </c>
      <c r="CS94" s="171">
        <f>-'FS_Detail(M)'!CS53</f>
        <v>0</v>
      </c>
      <c r="CT94" s="171">
        <f>-'FS_Detail(M)'!CT53</f>
        <v>0</v>
      </c>
      <c r="CU94" s="171">
        <f>-'FS_Detail(M)'!CU53</f>
        <v>0</v>
      </c>
      <c r="CV94" s="171">
        <f>-'FS_Detail(M)'!CV53</f>
        <v>0</v>
      </c>
      <c r="CW94" s="171">
        <f>-'FS_Detail(M)'!CW53</f>
        <v>0</v>
      </c>
      <c r="CX94" s="171">
        <f>-'FS_Detail(M)'!CX53</f>
        <v>0</v>
      </c>
      <c r="CY94" s="171">
        <f>-'FS_Detail(M)'!CY53</f>
        <v>0</v>
      </c>
      <c r="CZ94" s="171">
        <f>-'FS_Detail(M)'!CZ53</f>
        <v>0</v>
      </c>
      <c r="DA94" s="171">
        <f>-'FS_Detail(M)'!DA53</f>
        <v>0</v>
      </c>
      <c r="DB94" s="171">
        <f>-'FS_Detail(M)'!DB53</f>
        <v>0</v>
      </c>
      <c r="DC94" s="171">
        <f>-'FS_Detail(M)'!DC53</f>
        <v>0</v>
      </c>
      <c r="DD94" s="171">
        <f>-'FS_Detail(M)'!DD53</f>
        <v>0</v>
      </c>
      <c r="DE94" s="171">
        <f>-'FS_Detail(M)'!DE53</f>
        <v>0</v>
      </c>
      <c r="DF94" s="171">
        <f>-'FS_Detail(M)'!DF53</f>
        <v>0</v>
      </c>
      <c r="DG94" s="171">
        <f>-'FS_Detail(M)'!DG53</f>
        <v>0</v>
      </c>
      <c r="DH94" s="171">
        <f>-'FS_Detail(M)'!DH53</f>
        <v>0</v>
      </c>
      <c r="DI94" s="171">
        <f>-'FS_Detail(M)'!DI53</f>
        <v>0</v>
      </c>
      <c r="DJ94" s="171">
        <f>-'FS_Detail(M)'!DJ53</f>
        <v>0</v>
      </c>
      <c r="DK94" s="171">
        <f>-'FS_Detail(M)'!DK53</f>
        <v>0</v>
      </c>
      <c r="DL94" s="171">
        <f>-'FS_Detail(M)'!DL53</f>
        <v>0</v>
      </c>
      <c r="DM94" s="171">
        <f>-'FS_Detail(M)'!DM53</f>
        <v>0</v>
      </c>
      <c r="DN94" s="171">
        <f>-'FS_Detail(M)'!DN53</f>
        <v>0</v>
      </c>
      <c r="DO94" s="171">
        <f>-'FS_Detail(M)'!DO53</f>
        <v>0</v>
      </c>
      <c r="DP94" s="171">
        <f>-'FS_Detail(M)'!DP53</f>
        <v>0</v>
      </c>
      <c r="DQ94" s="171">
        <f>-'FS_Detail(M)'!DQ53</f>
        <v>0</v>
      </c>
      <c r="DR94" s="171">
        <f>-'FS_Detail(M)'!DR53</f>
        <v>0</v>
      </c>
      <c r="DS94" s="171">
        <f>-'FS_Detail(M)'!DS53</f>
        <v>0</v>
      </c>
      <c r="DT94" s="171">
        <f>-'FS_Detail(M)'!DT53</f>
        <v>0</v>
      </c>
      <c r="DU94" s="171">
        <f>-'FS_Detail(M)'!DU53</f>
        <v>0</v>
      </c>
      <c r="DV94" s="171">
        <f>-'FS_Detail(M)'!DV53</f>
        <v>0</v>
      </c>
      <c r="DW94" s="171">
        <f>-'FS_Detail(M)'!DW53</f>
        <v>0</v>
      </c>
      <c r="DX94" s="171">
        <f>-'FS_Detail(M)'!DX53</f>
        <v>0</v>
      </c>
      <c r="DY94" s="171">
        <f>-'FS_Detail(M)'!DY53</f>
        <v>0</v>
      </c>
      <c r="DZ94" s="171">
        <f>-'FS_Detail(M)'!DZ53</f>
        <v>0</v>
      </c>
      <c r="EA94" s="171">
        <f>-'FS_Detail(M)'!EA53</f>
        <v>0</v>
      </c>
      <c r="EB94" s="171">
        <f>-'FS_Detail(M)'!EB53</f>
        <v>0</v>
      </c>
      <c r="EC94" s="171">
        <f>-'FS_Detail(M)'!EC53</f>
        <v>0</v>
      </c>
      <c r="ED94" s="171">
        <f>-'FS_Detail(M)'!ED53</f>
        <v>0</v>
      </c>
      <c r="EE94" s="171">
        <f>-'FS_Detail(M)'!EE53</f>
        <v>0</v>
      </c>
      <c r="EF94" s="171">
        <f>-'FS_Detail(M)'!EF53</f>
        <v>0</v>
      </c>
      <c r="EG94" s="171">
        <f>-'FS_Detail(M)'!EG53</f>
        <v>0</v>
      </c>
      <c r="EH94" s="171">
        <f>-'FS_Detail(M)'!EH53</f>
        <v>0</v>
      </c>
      <c r="EI94" s="171">
        <f>-'FS_Detail(M)'!EI53</f>
        <v>0</v>
      </c>
      <c r="EJ94" s="171">
        <f>-'FS_Detail(M)'!EJ53</f>
        <v>0</v>
      </c>
      <c r="EK94" s="171">
        <f>-'FS_Detail(M)'!EK53</f>
        <v>0</v>
      </c>
      <c r="EL94" s="171">
        <f>-'FS_Detail(M)'!EL53</f>
        <v>0</v>
      </c>
      <c r="EM94" s="171">
        <f>-'FS_Detail(M)'!EM53</f>
        <v>0</v>
      </c>
      <c r="EN94" s="171">
        <f>-'FS_Detail(M)'!EN53</f>
        <v>0</v>
      </c>
      <c r="EO94" s="171">
        <f>-'FS_Detail(M)'!EO53</f>
        <v>0</v>
      </c>
      <c r="EP94" s="171">
        <f>-'FS_Detail(M)'!EP53</f>
        <v>0</v>
      </c>
      <c r="EQ94" s="171">
        <f>-'FS_Detail(M)'!EQ53</f>
        <v>0</v>
      </c>
    </row>
    <row r="95" spans="2:147" ht="11.25" customHeight="1">
      <c r="B95" s="218"/>
      <c r="C95" s="158" t="str">
        <f>'A&amp;R'!L41</f>
        <v>1종 우선주</v>
      </c>
      <c r="D95" s="159"/>
      <c r="E95" s="159"/>
      <c r="F95" s="159"/>
      <c r="G95" s="159"/>
      <c r="H95" s="160"/>
      <c r="I95" s="219"/>
      <c r="J95" s="220">
        <f ca="1">SUM(J96:J99)</f>
        <v>-16800000.000000004</v>
      </c>
      <c r="K95" s="98"/>
      <c r="L95" s="162">
        <f ca="1">SUM(L96:L99)</f>
        <v>24000000</v>
      </c>
      <c r="M95" s="162">
        <f t="shared" ref="M95:BX95" ca="1" si="68">SUM(M96:M99)</f>
        <v>0</v>
      </c>
      <c r="N95" s="162">
        <f t="shared" ca="1" si="68"/>
        <v>0</v>
      </c>
      <c r="O95" s="162">
        <f t="shared" ca="1" si="68"/>
        <v>0</v>
      </c>
      <c r="P95" s="162">
        <f t="shared" ca="1" si="68"/>
        <v>0</v>
      </c>
      <c r="Q95" s="162">
        <f t="shared" ca="1" si="68"/>
        <v>0</v>
      </c>
      <c r="R95" s="162">
        <f t="shared" ca="1" si="68"/>
        <v>-840000.00000000012</v>
      </c>
      <c r="S95" s="162">
        <f t="shared" ca="1" si="68"/>
        <v>0</v>
      </c>
      <c r="T95" s="162">
        <f t="shared" ca="1" si="68"/>
        <v>0</v>
      </c>
      <c r="U95" s="162">
        <f t="shared" ca="1" si="68"/>
        <v>0</v>
      </c>
      <c r="V95" s="162">
        <f t="shared" ca="1" si="68"/>
        <v>0</v>
      </c>
      <c r="W95" s="162">
        <f t="shared" ca="1" si="68"/>
        <v>0</v>
      </c>
      <c r="X95" s="162">
        <f t="shared" ca="1" si="68"/>
        <v>-840000.00000000012</v>
      </c>
      <c r="Y95" s="162">
        <f t="shared" ca="1" si="68"/>
        <v>0</v>
      </c>
      <c r="Z95" s="162">
        <f t="shared" ca="1" si="68"/>
        <v>0</v>
      </c>
      <c r="AA95" s="162">
        <f t="shared" ca="1" si="68"/>
        <v>0</v>
      </c>
      <c r="AB95" s="162">
        <f t="shared" ca="1" si="68"/>
        <v>0</v>
      </c>
      <c r="AC95" s="162">
        <f t="shared" ca="1" si="68"/>
        <v>0</v>
      </c>
      <c r="AD95" s="162">
        <f t="shared" ca="1" si="68"/>
        <v>-840000.00000000012</v>
      </c>
      <c r="AE95" s="162">
        <f t="shared" ca="1" si="68"/>
        <v>0</v>
      </c>
      <c r="AF95" s="162">
        <f t="shared" ca="1" si="68"/>
        <v>0</v>
      </c>
      <c r="AG95" s="162">
        <f t="shared" ca="1" si="68"/>
        <v>0</v>
      </c>
      <c r="AH95" s="162">
        <f t="shared" ca="1" si="68"/>
        <v>0</v>
      </c>
      <c r="AI95" s="162">
        <f t="shared" ca="1" si="68"/>
        <v>0</v>
      </c>
      <c r="AJ95" s="162">
        <f t="shared" ca="1" si="68"/>
        <v>-840000.00000000012</v>
      </c>
      <c r="AK95" s="162">
        <f t="shared" ca="1" si="68"/>
        <v>0</v>
      </c>
      <c r="AL95" s="162">
        <f t="shared" ca="1" si="68"/>
        <v>0</v>
      </c>
      <c r="AM95" s="162">
        <f t="shared" ca="1" si="68"/>
        <v>0</v>
      </c>
      <c r="AN95" s="162">
        <f t="shared" ca="1" si="68"/>
        <v>0</v>
      </c>
      <c r="AO95" s="162">
        <f t="shared" ca="1" si="68"/>
        <v>0</v>
      </c>
      <c r="AP95" s="162">
        <f t="shared" ca="1" si="68"/>
        <v>-840000.00000000012</v>
      </c>
      <c r="AQ95" s="162">
        <f t="shared" ca="1" si="68"/>
        <v>0</v>
      </c>
      <c r="AR95" s="162">
        <f t="shared" ca="1" si="68"/>
        <v>0</v>
      </c>
      <c r="AS95" s="162">
        <f t="shared" ca="1" si="68"/>
        <v>0</v>
      </c>
      <c r="AT95" s="162">
        <f t="shared" ca="1" si="68"/>
        <v>0</v>
      </c>
      <c r="AU95" s="162">
        <f t="shared" ca="1" si="68"/>
        <v>0</v>
      </c>
      <c r="AV95" s="162">
        <f t="shared" ca="1" si="68"/>
        <v>-840000.00000000012</v>
      </c>
      <c r="AW95" s="162">
        <f t="shared" ca="1" si="68"/>
        <v>0</v>
      </c>
      <c r="AX95" s="162">
        <f t="shared" ca="1" si="68"/>
        <v>0</v>
      </c>
      <c r="AY95" s="162">
        <f t="shared" ca="1" si="68"/>
        <v>0</v>
      </c>
      <c r="AZ95" s="162">
        <f t="shared" ca="1" si="68"/>
        <v>0</v>
      </c>
      <c r="BA95" s="162">
        <f t="shared" ca="1" si="68"/>
        <v>0</v>
      </c>
      <c r="BB95" s="162">
        <f t="shared" ca="1" si="68"/>
        <v>-840000.00000000012</v>
      </c>
      <c r="BC95" s="162">
        <f t="shared" ca="1" si="68"/>
        <v>0</v>
      </c>
      <c r="BD95" s="162">
        <f t="shared" ca="1" si="68"/>
        <v>0</v>
      </c>
      <c r="BE95" s="162">
        <f t="shared" ca="1" si="68"/>
        <v>0</v>
      </c>
      <c r="BF95" s="162">
        <f t="shared" ca="1" si="68"/>
        <v>0</v>
      </c>
      <c r="BG95" s="162">
        <f t="shared" ca="1" si="68"/>
        <v>0</v>
      </c>
      <c r="BH95" s="162">
        <f t="shared" ca="1" si="68"/>
        <v>-840000.00000000012</v>
      </c>
      <c r="BI95" s="162">
        <f t="shared" ca="1" si="68"/>
        <v>0</v>
      </c>
      <c r="BJ95" s="162">
        <f t="shared" ca="1" si="68"/>
        <v>0</v>
      </c>
      <c r="BK95" s="162">
        <f t="shared" ca="1" si="68"/>
        <v>0</v>
      </c>
      <c r="BL95" s="162">
        <f t="shared" ca="1" si="68"/>
        <v>0</v>
      </c>
      <c r="BM95" s="162">
        <f t="shared" ca="1" si="68"/>
        <v>0</v>
      </c>
      <c r="BN95" s="162">
        <f t="shared" ca="1" si="68"/>
        <v>-840000.00000000012</v>
      </c>
      <c r="BO95" s="162">
        <f t="shared" ca="1" si="68"/>
        <v>0</v>
      </c>
      <c r="BP95" s="162">
        <f t="shared" ca="1" si="68"/>
        <v>0</v>
      </c>
      <c r="BQ95" s="162">
        <f t="shared" ca="1" si="68"/>
        <v>0</v>
      </c>
      <c r="BR95" s="162">
        <f t="shared" ca="1" si="68"/>
        <v>0</v>
      </c>
      <c r="BS95" s="162">
        <f t="shared" ca="1" si="68"/>
        <v>0</v>
      </c>
      <c r="BT95" s="162">
        <f t="shared" ca="1" si="68"/>
        <v>-840000.00000000012</v>
      </c>
      <c r="BU95" s="162">
        <f t="shared" ca="1" si="68"/>
        <v>0</v>
      </c>
      <c r="BV95" s="162">
        <f t="shared" ca="1" si="68"/>
        <v>0</v>
      </c>
      <c r="BW95" s="162">
        <f t="shared" ca="1" si="68"/>
        <v>0</v>
      </c>
      <c r="BX95" s="162">
        <f t="shared" ca="1" si="68"/>
        <v>0</v>
      </c>
      <c r="BY95" s="162">
        <f t="shared" ref="BY95:DP95" ca="1" si="69">SUM(BY96:BY99)</f>
        <v>0</v>
      </c>
      <c r="BZ95" s="162">
        <f t="shared" ca="1" si="69"/>
        <v>-840000.00000000012</v>
      </c>
      <c r="CA95" s="162">
        <f t="shared" ca="1" si="69"/>
        <v>0</v>
      </c>
      <c r="CB95" s="162">
        <f t="shared" ca="1" si="69"/>
        <v>0</v>
      </c>
      <c r="CC95" s="162">
        <f t="shared" ca="1" si="69"/>
        <v>0</v>
      </c>
      <c r="CD95" s="162">
        <f t="shared" ca="1" si="69"/>
        <v>0</v>
      </c>
      <c r="CE95" s="162">
        <f t="shared" ca="1" si="69"/>
        <v>0</v>
      </c>
      <c r="CF95" s="162">
        <f t="shared" ca="1" si="69"/>
        <v>-840000.00000000012</v>
      </c>
      <c r="CG95" s="162">
        <f t="shared" ca="1" si="69"/>
        <v>0</v>
      </c>
      <c r="CH95" s="162">
        <f t="shared" ca="1" si="69"/>
        <v>0</v>
      </c>
      <c r="CI95" s="162">
        <f t="shared" ca="1" si="69"/>
        <v>0</v>
      </c>
      <c r="CJ95" s="162">
        <f t="shared" ca="1" si="69"/>
        <v>0</v>
      </c>
      <c r="CK95" s="162">
        <f t="shared" ca="1" si="69"/>
        <v>0</v>
      </c>
      <c r="CL95" s="162">
        <f t="shared" ca="1" si="69"/>
        <v>-840000.00000000012</v>
      </c>
      <c r="CM95" s="162">
        <f t="shared" ca="1" si="69"/>
        <v>0</v>
      </c>
      <c r="CN95" s="162">
        <f t="shared" ca="1" si="69"/>
        <v>0</v>
      </c>
      <c r="CO95" s="162">
        <f t="shared" ca="1" si="69"/>
        <v>0</v>
      </c>
      <c r="CP95" s="162">
        <f t="shared" ca="1" si="69"/>
        <v>0</v>
      </c>
      <c r="CQ95" s="162">
        <f t="shared" ca="1" si="69"/>
        <v>0</v>
      </c>
      <c r="CR95" s="162">
        <f t="shared" ca="1" si="69"/>
        <v>-840000.00000000012</v>
      </c>
      <c r="CS95" s="162">
        <f t="shared" ca="1" si="69"/>
        <v>0</v>
      </c>
      <c r="CT95" s="162">
        <f t="shared" ca="1" si="69"/>
        <v>0</v>
      </c>
      <c r="CU95" s="162">
        <f t="shared" ca="1" si="69"/>
        <v>0</v>
      </c>
      <c r="CV95" s="162">
        <f t="shared" ca="1" si="69"/>
        <v>0</v>
      </c>
      <c r="CW95" s="162">
        <f t="shared" ca="1" si="69"/>
        <v>0</v>
      </c>
      <c r="CX95" s="162">
        <f t="shared" ca="1" si="69"/>
        <v>-840000.00000000012</v>
      </c>
      <c r="CY95" s="162">
        <f t="shared" ca="1" si="69"/>
        <v>0</v>
      </c>
      <c r="CZ95" s="162">
        <f t="shared" ca="1" si="69"/>
        <v>0</v>
      </c>
      <c r="DA95" s="162">
        <f t="shared" ca="1" si="69"/>
        <v>0</v>
      </c>
      <c r="DB95" s="162">
        <f t="shared" ca="1" si="69"/>
        <v>0</v>
      </c>
      <c r="DC95" s="162">
        <f t="shared" ca="1" si="69"/>
        <v>0</v>
      </c>
      <c r="DD95" s="162">
        <f t="shared" ca="1" si="69"/>
        <v>-840000.00000000012</v>
      </c>
      <c r="DE95" s="162">
        <f t="shared" ca="1" si="69"/>
        <v>0</v>
      </c>
      <c r="DF95" s="162">
        <f t="shared" ca="1" si="69"/>
        <v>0</v>
      </c>
      <c r="DG95" s="162">
        <f t="shared" ca="1" si="69"/>
        <v>0</v>
      </c>
      <c r="DH95" s="162">
        <f t="shared" ca="1" si="69"/>
        <v>0</v>
      </c>
      <c r="DI95" s="162">
        <f t="shared" ca="1" si="69"/>
        <v>0</v>
      </c>
      <c r="DJ95" s="162">
        <f t="shared" ca="1" si="69"/>
        <v>-840000.00000000012</v>
      </c>
      <c r="DK95" s="162">
        <f t="shared" ca="1" si="69"/>
        <v>0</v>
      </c>
      <c r="DL95" s="162">
        <f t="shared" ca="1" si="69"/>
        <v>0</v>
      </c>
      <c r="DM95" s="162">
        <f t="shared" ca="1" si="69"/>
        <v>0</v>
      </c>
      <c r="DN95" s="162">
        <f t="shared" ca="1" si="69"/>
        <v>0</v>
      </c>
      <c r="DO95" s="162">
        <f t="shared" ca="1" si="69"/>
        <v>0</v>
      </c>
      <c r="DP95" s="162">
        <f t="shared" ca="1" si="69"/>
        <v>-840000.00000000012</v>
      </c>
      <c r="DQ95" s="162">
        <f t="shared" ref="DQ95:EQ95" ca="1" si="70">SUM(DQ96:DQ99)</f>
        <v>0</v>
      </c>
      <c r="DR95" s="162">
        <f t="shared" ca="1" si="70"/>
        <v>0</v>
      </c>
      <c r="DS95" s="162">
        <f t="shared" ca="1" si="70"/>
        <v>0</v>
      </c>
      <c r="DT95" s="162">
        <f t="shared" ca="1" si="70"/>
        <v>0</v>
      </c>
      <c r="DU95" s="162">
        <f t="shared" ca="1" si="70"/>
        <v>0</v>
      </c>
      <c r="DV95" s="162">
        <f t="shared" ca="1" si="70"/>
        <v>-840000.00000000012</v>
      </c>
      <c r="DW95" s="162">
        <f t="shared" ca="1" si="70"/>
        <v>0</v>
      </c>
      <c r="DX95" s="162">
        <f t="shared" ca="1" si="70"/>
        <v>0</v>
      </c>
      <c r="DY95" s="162">
        <f t="shared" ca="1" si="70"/>
        <v>0</v>
      </c>
      <c r="DZ95" s="162">
        <f t="shared" ca="1" si="70"/>
        <v>0</v>
      </c>
      <c r="EA95" s="162">
        <f t="shared" ca="1" si="70"/>
        <v>0</v>
      </c>
      <c r="EB95" s="162">
        <f t="shared" ca="1" si="70"/>
        <v>-24840000</v>
      </c>
      <c r="EC95" s="162">
        <f t="shared" ca="1" si="70"/>
        <v>0</v>
      </c>
      <c r="ED95" s="162">
        <f t="shared" ca="1" si="70"/>
        <v>0</v>
      </c>
      <c r="EE95" s="162">
        <f t="shared" ca="1" si="70"/>
        <v>0</v>
      </c>
      <c r="EF95" s="162">
        <f t="shared" ca="1" si="70"/>
        <v>0</v>
      </c>
      <c r="EG95" s="162">
        <f t="shared" ca="1" si="70"/>
        <v>0</v>
      </c>
      <c r="EH95" s="162">
        <f t="shared" ca="1" si="70"/>
        <v>0</v>
      </c>
      <c r="EI95" s="162">
        <f t="shared" ca="1" si="70"/>
        <v>0</v>
      </c>
      <c r="EJ95" s="162">
        <f t="shared" ca="1" si="70"/>
        <v>0</v>
      </c>
      <c r="EK95" s="162">
        <f t="shared" ca="1" si="70"/>
        <v>0</v>
      </c>
      <c r="EL95" s="162">
        <f t="shared" ca="1" si="70"/>
        <v>0</v>
      </c>
      <c r="EM95" s="162">
        <f t="shared" ca="1" si="70"/>
        <v>0</v>
      </c>
      <c r="EN95" s="162">
        <f t="shared" ca="1" si="70"/>
        <v>0</v>
      </c>
      <c r="EO95" s="162">
        <f t="shared" ca="1" si="70"/>
        <v>0</v>
      </c>
      <c r="EP95" s="162">
        <f t="shared" ca="1" si="70"/>
        <v>0</v>
      </c>
      <c r="EQ95" s="162">
        <f t="shared" ca="1" si="70"/>
        <v>0</v>
      </c>
    </row>
    <row r="96" spans="2:147" ht="11.25" customHeight="1">
      <c r="B96" s="218"/>
      <c r="C96" s="163"/>
      <c r="D96" s="164" t="s">
        <v>208</v>
      </c>
      <c r="E96" s="165"/>
      <c r="F96" s="165"/>
      <c r="G96" s="165"/>
      <c r="H96" s="166"/>
      <c r="I96" s="228"/>
      <c r="J96" s="168">
        <f>SUM(L96:EQ96)</f>
        <v>24000000</v>
      </c>
      <c r="K96" s="98"/>
      <c r="L96" s="168">
        <f>'FS_Detail(M)'!L62</f>
        <v>24000000</v>
      </c>
      <c r="M96" s="168">
        <f>'FS_Detail(M)'!M62</f>
        <v>0</v>
      </c>
      <c r="N96" s="168">
        <f>'FS_Detail(M)'!N62</f>
        <v>0</v>
      </c>
      <c r="O96" s="168">
        <f>'FS_Detail(M)'!O62</f>
        <v>0</v>
      </c>
      <c r="P96" s="168">
        <f>'FS_Detail(M)'!P62</f>
        <v>0</v>
      </c>
      <c r="Q96" s="168">
        <f>'FS_Detail(M)'!Q62</f>
        <v>0</v>
      </c>
      <c r="R96" s="168">
        <f>'FS_Detail(M)'!R62</f>
        <v>0</v>
      </c>
      <c r="S96" s="168">
        <f>'FS_Detail(M)'!S62</f>
        <v>0</v>
      </c>
      <c r="T96" s="168">
        <f>'FS_Detail(M)'!T62</f>
        <v>0</v>
      </c>
      <c r="U96" s="168">
        <f>'FS_Detail(M)'!U62</f>
        <v>0</v>
      </c>
      <c r="V96" s="168">
        <f>'FS_Detail(M)'!V62</f>
        <v>0</v>
      </c>
      <c r="W96" s="168">
        <f>'FS_Detail(M)'!W62</f>
        <v>0</v>
      </c>
      <c r="X96" s="168">
        <f>'FS_Detail(M)'!X62</f>
        <v>0</v>
      </c>
      <c r="Y96" s="168">
        <f>'FS_Detail(M)'!Y62</f>
        <v>0</v>
      </c>
      <c r="Z96" s="168">
        <f>'FS_Detail(M)'!Z62</f>
        <v>0</v>
      </c>
      <c r="AA96" s="168">
        <f>'FS_Detail(M)'!AA62</f>
        <v>0</v>
      </c>
      <c r="AB96" s="168">
        <f>'FS_Detail(M)'!AB62</f>
        <v>0</v>
      </c>
      <c r="AC96" s="168">
        <f>'FS_Detail(M)'!AC62</f>
        <v>0</v>
      </c>
      <c r="AD96" s="168">
        <f>'FS_Detail(M)'!AD62</f>
        <v>0</v>
      </c>
      <c r="AE96" s="168">
        <f>'FS_Detail(M)'!AE62</f>
        <v>0</v>
      </c>
      <c r="AF96" s="168">
        <f>'FS_Detail(M)'!AF62</f>
        <v>0</v>
      </c>
      <c r="AG96" s="168">
        <f>'FS_Detail(M)'!AG62</f>
        <v>0</v>
      </c>
      <c r="AH96" s="168">
        <f>'FS_Detail(M)'!AH62</f>
        <v>0</v>
      </c>
      <c r="AI96" s="168">
        <f>'FS_Detail(M)'!AI62</f>
        <v>0</v>
      </c>
      <c r="AJ96" s="168">
        <f>'FS_Detail(M)'!AJ62</f>
        <v>0</v>
      </c>
      <c r="AK96" s="168">
        <f>'FS_Detail(M)'!AK62</f>
        <v>0</v>
      </c>
      <c r="AL96" s="168">
        <f>'FS_Detail(M)'!AL62</f>
        <v>0</v>
      </c>
      <c r="AM96" s="168">
        <f>'FS_Detail(M)'!AM62</f>
        <v>0</v>
      </c>
      <c r="AN96" s="168">
        <f>'FS_Detail(M)'!AN62</f>
        <v>0</v>
      </c>
      <c r="AO96" s="168">
        <f>'FS_Detail(M)'!AO62</f>
        <v>0</v>
      </c>
      <c r="AP96" s="168">
        <f>'FS_Detail(M)'!AP62</f>
        <v>0</v>
      </c>
      <c r="AQ96" s="168">
        <f>'FS_Detail(M)'!AQ62</f>
        <v>0</v>
      </c>
      <c r="AR96" s="168">
        <f>'FS_Detail(M)'!AR62</f>
        <v>0</v>
      </c>
      <c r="AS96" s="168">
        <f>'FS_Detail(M)'!AS62</f>
        <v>0</v>
      </c>
      <c r="AT96" s="168">
        <f>'FS_Detail(M)'!AT62</f>
        <v>0</v>
      </c>
      <c r="AU96" s="168">
        <f>'FS_Detail(M)'!AU62</f>
        <v>0</v>
      </c>
      <c r="AV96" s="168">
        <f>'FS_Detail(M)'!AV62</f>
        <v>0</v>
      </c>
      <c r="AW96" s="168">
        <f>'FS_Detail(M)'!AW62</f>
        <v>0</v>
      </c>
      <c r="AX96" s="168">
        <f>'FS_Detail(M)'!AX62</f>
        <v>0</v>
      </c>
      <c r="AY96" s="168">
        <f>'FS_Detail(M)'!AY62</f>
        <v>0</v>
      </c>
      <c r="AZ96" s="168">
        <f>'FS_Detail(M)'!AZ62</f>
        <v>0</v>
      </c>
      <c r="BA96" s="168">
        <f>'FS_Detail(M)'!BA62</f>
        <v>0</v>
      </c>
      <c r="BB96" s="168">
        <f>'FS_Detail(M)'!BB62</f>
        <v>0</v>
      </c>
      <c r="BC96" s="168">
        <f>'FS_Detail(M)'!BC62</f>
        <v>0</v>
      </c>
      <c r="BD96" s="168">
        <f>'FS_Detail(M)'!BD62</f>
        <v>0</v>
      </c>
      <c r="BE96" s="168">
        <f>'FS_Detail(M)'!BE62</f>
        <v>0</v>
      </c>
      <c r="BF96" s="168">
        <f>'FS_Detail(M)'!BF62</f>
        <v>0</v>
      </c>
      <c r="BG96" s="168">
        <f>'FS_Detail(M)'!BG62</f>
        <v>0</v>
      </c>
      <c r="BH96" s="168">
        <f>'FS_Detail(M)'!BH62</f>
        <v>0</v>
      </c>
      <c r="BI96" s="168">
        <f>'FS_Detail(M)'!BI62</f>
        <v>0</v>
      </c>
      <c r="BJ96" s="168">
        <f>'FS_Detail(M)'!BJ62</f>
        <v>0</v>
      </c>
      <c r="BK96" s="168">
        <f>'FS_Detail(M)'!BK62</f>
        <v>0</v>
      </c>
      <c r="BL96" s="168">
        <f>'FS_Detail(M)'!BL62</f>
        <v>0</v>
      </c>
      <c r="BM96" s="168">
        <f>'FS_Detail(M)'!BM62</f>
        <v>0</v>
      </c>
      <c r="BN96" s="168">
        <f>'FS_Detail(M)'!BN62</f>
        <v>0</v>
      </c>
      <c r="BO96" s="168">
        <f>'FS_Detail(M)'!BO62</f>
        <v>0</v>
      </c>
      <c r="BP96" s="168">
        <f>'FS_Detail(M)'!BP62</f>
        <v>0</v>
      </c>
      <c r="BQ96" s="168">
        <f>'FS_Detail(M)'!BQ62</f>
        <v>0</v>
      </c>
      <c r="BR96" s="168">
        <f>'FS_Detail(M)'!BR62</f>
        <v>0</v>
      </c>
      <c r="BS96" s="168">
        <f>'FS_Detail(M)'!BS62</f>
        <v>0</v>
      </c>
      <c r="BT96" s="168">
        <f>'FS_Detail(M)'!BT62</f>
        <v>0</v>
      </c>
      <c r="BU96" s="168">
        <f>'FS_Detail(M)'!BU62</f>
        <v>0</v>
      </c>
      <c r="BV96" s="168">
        <f>'FS_Detail(M)'!BV62</f>
        <v>0</v>
      </c>
      <c r="BW96" s="168">
        <f>'FS_Detail(M)'!BW62</f>
        <v>0</v>
      </c>
      <c r="BX96" s="168">
        <f>'FS_Detail(M)'!BX62</f>
        <v>0</v>
      </c>
      <c r="BY96" s="168">
        <f>'FS_Detail(M)'!BY62</f>
        <v>0</v>
      </c>
      <c r="BZ96" s="168">
        <f>'FS_Detail(M)'!BZ62</f>
        <v>0</v>
      </c>
      <c r="CA96" s="168">
        <f>'FS_Detail(M)'!CA62</f>
        <v>0</v>
      </c>
      <c r="CB96" s="168">
        <f>'FS_Detail(M)'!CB62</f>
        <v>0</v>
      </c>
      <c r="CC96" s="168">
        <f>'FS_Detail(M)'!CC62</f>
        <v>0</v>
      </c>
      <c r="CD96" s="168">
        <f>'FS_Detail(M)'!CD62</f>
        <v>0</v>
      </c>
      <c r="CE96" s="168">
        <f>'FS_Detail(M)'!CE62</f>
        <v>0</v>
      </c>
      <c r="CF96" s="168">
        <f>'FS_Detail(M)'!CF62</f>
        <v>0</v>
      </c>
      <c r="CG96" s="168">
        <f>'FS_Detail(M)'!CG62</f>
        <v>0</v>
      </c>
      <c r="CH96" s="168">
        <f>'FS_Detail(M)'!CH62</f>
        <v>0</v>
      </c>
      <c r="CI96" s="168">
        <f>'FS_Detail(M)'!CI62</f>
        <v>0</v>
      </c>
      <c r="CJ96" s="168">
        <f>'FS_Detail(M)'!CJ62</f>
        <v>0</v>
      </c>
      <c r="CK96" s="168">
        <f>'FS_Detail(M)'!CK62</f>
        <v>0</v>
      </c>
      <c r="CL96" s="168">
        <f>'FS_Detail(M)'!CL62</f>
        <v>0</v>
      </c>
      <c r="CM96" s="168">
        <f>'FS_Detail(M)'!CM62</f>
        <v>0</v>
      </c>
      <c r="CN96" s="168">
        <f>'FS_Detail(M)'!CN62</f>
        <v>0</v>
      </c>
      <c r="CO96" s="168">
        <f>'FS_Detail(M)'!CO62</f>
        <v>0</v>
      </c>
      <c r="CP96" s="168">
        <f>'FS_Detail(M)'!CP62</f>
        <v>0</v>
      </c>
      <c r="CQ96" s="168">
        <f>'FS_Detail(M)'!CQ62</f>
        <v>0</v>
      </c>
      <c r="CR96" s="168">
        <f>'FS_Detail(M)'!CR62</f>
        <v>0</v>
      </c>
      <c r="CS96" s="168">
        <f>'FS_Detail(M)'!CS62</f>
        <v>0</v>
      </c>
      <c r="CT96" s="168">
        <f>'FS_Detail(M)'!CT62</f>
        <v>0</v>
      </c>
      <c r="CU96" s="168">
        <f>'FS_Detail(M)'!CU62</f>
        <v>0</v>
      </c>
      <c r="CV96" s="168">
        <f>'FS_Detail(M)'!CV62</f>
        <v>0</v>
      </c>
      <c r="CW96" s="168">
        <f>'FS_Detail(M)'!CW62</f>
        <v>0</v>
      </c>
      <c r="CX96" s="168">
        <f>'FS_Detail(M)'!CX62</f>
        <v>0</v>
      </c>
      <c r="CY96" s="168">
        <f>'FS_Detail(M)'!CY62</f>
        <v>0</v>
      </c>
      <c r="CZ96" s="168">
        <f>'FS_Detail(M)'!CZ62</f>
        <v>0</v>
      </c>
      <c r="DA96" s="168">
        <f>'FS_Detail(M)'!DA62</f>
        <v>0</v>
      </c>
      <c r="DB96" s="168">
        <f>'FS_Detail(M)'!DB62</f>
        <v>0</v>
      </c>
      <c r="DC96" s="168">
        <f>'FS_Detail(M)'!DC62</f>
        <v>0</v>
      </c>
      <c r="DD96" s="168">
        <f>'FS_Detail(M)'!DD62</f>
        <v>0</v>
      </c>
      <c r="DE96" s="168">
        <f>'FS_Detail(M)'!DE62</f>
        <v>0</v>
      </c>
      <c r="DF96" s="168">
        <f>'FS_Detail(M)'!DF62</f>
        <v>0</v>
      </c>
      <c r="DG96" s="168">
        <f>'FS_Detail(M)'!DG62</f>
        <v>0</v>
      </c>
      <c r="DH96" s="168">
        <f>'FS_Detail(M)'!DH62</f>
        <v>0</v>
      </c>
      <c r="DI96" s="168">
        <f>'FS_Detail(M)'!DI62</f>
        <v>0</v>
      </c>
      <c r="DJ96" s="168">
        <f>'FS_Detail(M)'!DJ62</f>
        <v>0</v>
      </c>
      <c r="DK96" s="168">
        <f>'FS_Detail(M)'!DK62</f>
        <v>0</v>
      </c>
      <c r="DL96" s="168">
        <f>'FS_Detail(M)'!DL62</f>
        <v>0</v>
      </c>
      <c r="DM96" s="168">
        <f>'FS_Detail(M)'!DM62</f>
        <v>0</v>
      </c>
      <c r="DN96" s="168">
        <f>'FS_Detail(M)'!DN62</f>
        <v>0</v>
      </c>
      <c r="DO96" s="168">
        <f>'FS_Detail(M)'!DO62</f>
        <v>0</v>
      </c>
      <c r="DP96" s="168">
        <f>'FS_Detail(M)'!DP62</f>
        <v>0</v>
      </c>
      <c r="DQ96" s="168">
        <f>'FS_Detail(M)'!DQ62</f>
        <v>0</v>
      </c>
      <c r="DR96" s="168">
        <f>'FS_Detail(M)'!DR62</f>
        <v>0</v>
      </c>
      <c r="DS96" s="168">
        <f>'FS_Detail(M)'!DS62</f>
        <v>0</v>
      </c>
      <c r="DT96" s="168">
        <f>'FS_Detail(M)'!DT62</f>
        <v>0</v>
      </c>
      <c r="DU96" s="168">
        <f>'FS_Detail(M)'!DU62</f>
        <v>0</v>
      </c>
      <c r="DV96" s="168">
        <f>'FS_Detail(M)'!DV62</f>
        <v>0</v>
      </c>
      <c r="DW96" s="168">
        <f>'FS_Detail(M)'!DW62</f>
        <v>0</v>
      </c>
      <c r="DX96" s="168">
        <f>'FS_Detail(M)'!DX62</f>
        <v>0</v>
      </c>
      <c r="DY96" s="168">
        <f>'FS_Detail(M)'!DY62</f>
        <v>0</v>
      </c>
      <c r="DZ96" s="168">
        <f>'FS_Detail(M)'!DZ62</f>
        <v>0</v>
      </c>
      <c r="EA96" s="168">
        <f>'FS_Detail(M)'!EA62</f>
        <v>0</v>
      </c>
      <c r="EB96" s="168">
        <f>'FS_Detail(M)'!EB62</f>
        <v>0</v>
      </c>
      <c r="EC96" s="168">
        <f>'FS_Detail(M)'!EC62</f>
        <v>0</v>
      </c>
      <c r="ED96" s="168">
        <f>'FS_Detail(M)'!ED62</f>
        <v>0</v>
      </c>
      <c r="EE96" s="168">
        <f>'FS_Detail(M)'!EE62</f>
        <v>0</v>
      </c>
      <c r="EF96" s="168">
        <f>'FS_Detail(M)'!EF62</f>
        <v>0</v>
      </c>
      <c r="EG96" s="168">
        <f>'FS_Detail(M)'!EG62</f>
        <v>0</v>
      </c>
      <c r="EH96" s="168">
        <f>'FS_Detail(M)'!EH62</f>
        <v>0</v>
      </c>
      <c r="EI96" s="168">
        <f>'FS_Detail(M)'!EI62</f>
        <v>0</v>
      </c>
      <c r="EJ96" s="168">
        <f>'FS_Detail(M)'!EJ62</f>
        <v>0</v>
      </c>
      <c r="EK96" s="168">
        <f>'FS_Detail(M)'!EK62</f>
        <v>0</v>
      </c>
      <c r="EL96" s="168">
        <f>'FS_Detail(M)'!EL62</f>
        <v>0</v>
      </c>
      <c r="EM96" s="168">
        <f>'FS_Detail(M)'!EM62</f>
        <v>0</v>
      </c>
      <c r="EN96" s="168">
        <f>'FS_Detail(M)'!EN62</f>
        <v>0</v>
      </c>
      <c r="EO96" s="168">
        <f>'FS_Detail(M)'!EO62</f>
        <v>0</v>
      </c>
      <c r="EP96" s="168">
        <f>'FS_Detail(M)'!EP62</f>
        <v>0</v>
      </c>
      <c r="EQ96" s="168">
        <f>'FS_Detail(M)'!EQ62</f>
        <v>0</v>
      </c>
    </row>
    <row r="97" spans="2:147" ht="11.25" customHeight="1">
      <c r="B97" s="218"/>
      <c r="C97" s="163"/>
      <c r="D97" s="169" t="s">
        <v>551</v>
      </c>
      <c r="H97" s="146"/>
      <c r="I97" s="229"/>
      <c r="J97" s="171">
        <f>SUM(L97:EQ97)</f>
        <v>-24000000</v>
      </c>
      <c r="K97" s="98"/>
      <c r="L97" s="171">
        <f>-'FS_Detail(M)'!L63</f>
        <v>0</v>
      </c>
      <c r="M97" s="171">
        <f>-'FS_Detail(M)'!M63</f>
        <v>0</v>
      </c>
      <c r="N97" s="171">
        <f>-'FS_Detail(M)'!N63</f>
        <v>0</v>
      </c>
      <c r="O97" s="171">
        <f>-'FS_Detail(M)'!O63</f>
        <v>0</v>
      </c>
      <c r="P97" s="171">
        <f>-'FS_Detail(M)'!P63</f>
        <v>0</v>
      </c>
      <c r="Q97" s="171">
        <f>-'FS_Detail(M)'!Q63</f>
        <v>0</v>
      </c>
      <c r="R97" s="171">
        <f>-'FS_Detail(M)'!R63</f>
        <v>0</v>
      </c>
      <c r="S97" s="171">
        <f>-'FS_Detail(M)'!S63</f>
        <v>0</v>
      </c>
      <c r="T97" s="171">
        <f>-'FS_Detail(M)'!T63</f>
        <v>0</v>
      </c>
      <c r="U97" s="171">
        <f>-'FS_Detail(M)'!U63</f>
        <v>0</v>
      </c>
      <c r="V97" s="171">
        <f>-'FS_Detail(M)'!V63</f>
        <v>0</v>
      </c>
      <c r="W97" s="171">
        <f>-'FS_Detail(M)'!W63</f>
        <v>0</v>
      </c>
      <c r="X97" s="171">
        <f>-'FS_Detail(M)'!X63</f>
        <v>0</v>
      </c>
      <c r="Y97" s="171">
        <f>-'FS_Detail(M)'!Y63</f>
        <v>0</v>
      </c>
      <c r="Z97" s="171">
        <f>-'FS_Detail(M)'!Z63</f>
        <v>0</v>
      </c>
      <c r="AA97" s="171">
        <f>-'FS_Detail(M)'!AA63</f>
        <v>0</v>
      </c>
      <c r="AB97" s="171">
        <f>-'FS_Detail(M)'!AB63</f>
        <v>0</v>
      </c>
      <c r="AC97" s="171">
        <f>-'FS_Detail(M)'!AC63</f>
        <v>0</v>
      </c>
      <c r="AD97" s="171">
        <f>-'FS_Detail(M)'!AD63</f>
        <v>0</v>
      </c>
      <c r="AE97" s="171">
        <f>-'FS_Detail(M)'!AE63</f>
        <v>0</v>
      </c>
      <c r="AF97" s="171">
        <f>-'FS_Detail(M)'!AF63</f>
        <v>0</v>
      </c>
      <c r="AG97" s="171">
        <f>-'FS_Detail(M)'!AG63</f>
        <v>0</v>
      </c>
      <c r="AH97" s="171">
        <f>-'FS_Detail(M)'!AH63</f>
        <v>0</v>
      </c>
      <c r="AI97" s="171">
        <f>-'FS_Detail(M)'!AI63</f>
        <v>0</v>
      </c>
      <c r="AJ97" s="171">
        <f>-'FS_Detail(M)'!AJ63</f>
        <v>0</v>
      </c>
      <c r="AK97" s="171">
        <f>-'FS_Detail(M)'!AK63</f>
        <v>0</v>
      </c>
      <c r="AL97" s="171">
        <f>-'FS_Detail(M)'!AL63</f>
        <v>0</v>
      </c>
      <c r="AM97" s="171">
        <f>-'FS_Detail(M)'!AM63</f>
        <v>0</v>
      </c>
      <c r="AN97" s="171">
        <f>-'FS_Detail(M)'!AN63</f>
        <v>0</v>
      </c>
      <c r="AO97" s="171">
        <f>-'FS_Detail(M)'!AO63</f>
        <v>0</v>
      </c>
      <c r="AP97" s="171">
        <f>-'FS_Detail(M)'!AP63</f>
        <v>0</v>
      </c>
      <c r="AQ97" s="171">
        <f>-'FS_Detail(M)'!AQ63</f>
        <v>0</v>
      </c>
      <c r="AR97" s="171">
        <f>-'FS_Detail(M)'!AR63</f>
        <v>0</v>
      </c>
      <c r="AS97" s="171">
        <f>-'FS_Detail(M)'!AS63</f>
        <v>0</v>
      </c>
      <c r="AT97" s="171">
        <f>-'FS_Detail(M)'!AT63</f>
        <v>0</v>
      </c>
      <c r="AU97" s="171">
        <f>-'FS_Detail(M)'!AU63</f>
        <v>0</v>
      </c>
      <c r="AV97" s="171">
        <f>-'FS_Detail(M)'!AV63</f>
        <v>0</v>
      </c>
      <c r="AW97" s="171">
        <f>-'FS_Detail(M)'!AW63</f>
        <v>0</v>
      </c>
      <c r="AX97" s="171">
        <f>-'FS_Detail(M)'!AX63</f>
        <v>0</v>
      </c>
      <c r="AY97" s="171">
        <f>-'FS_Detail(M)'!AY63</f>
        <v>0</v>
      </c>
      <c r="AZ97" s="171">
        <f>-'FS_Detail(M)'!AZ63</f>
        <v>0</v>
      </c>
      <c r="BA97" s="171">
        <f>-'FS_Detail(M)'!BA63</f>
        <v>0</v>
      </c>
      <c r="BB97" s="171">
        <f>-'FS_Detail(M)'!BB63</f>
        <v>0</v>
      </c>
      <c r="BC97" s="171">
        <f>-'FS_Detail(M)'!BC63</f>
        <v>0</v>
      </c>
      <c r="BD97" s="171">
        <f>-'FS_Detail(M)'!BD63</f>
        <v>0</v>
      </c>
      <c r="BE97" s="171">
        <f>-'FS_Detail(M)'!BE63</f>
        <v>0</v>
      </c>
      <c r="BF97" s="171">
        <f>-'FS_Detail(M)'!BF63</f>
        <v>0</v>
      </c>
      <c r="BG97" s="171">
        <f>-'FS_Detail(M)'!BG63</f>
        <v>0</v>
      </c>
      <c r="BH97" s="171">
        <f>-'FS_Detail(M)'!BH63</f>
        <v>0</v>
      </c>
      <c r="BI97" s="171">
        <f>-'FS_Detail(M)'!BI63</f>
        <v>0</v>
      </c>
      <c r="BJ97" s="171">
        <f>-'FS_Detail(M)'!BJ63</f>
        <v>0</v>
      </c>
      <c r="BK97" s="171">
        <f>-'FS_Detail(M)'!BK63</f>
        <v>0</v>
      </c>
      <c r="BL97" s="171">
        <f>-'FS_Detail(M)'!BL63</f>
        <v>0</v>
      </c>
      <c r="BM97" s="171">
        <f>-'FS_Detail(M)'!BM63</f>
        <v>0</v>
      </c>
      <c r="BN97" s="171">
        <f>-'FS_Detail(M)'!BN63</f>
        <v>0</v>
      </c>
      <c r="BO97" s="171">
        <f>-'FS_Detail(M)'!BO63</f>
        <v>0</v>
      </c>
      <c r="BP97" s="171">
        <f>-'FS_Detail(M)'!BP63</f>
        <v>0</v>
      </c>
      <c r="BQ97" s="171">
        <f>-'FS_Detail(M)'!BQ63</f>
        <v>0</v>
      </c>
      <c r="BR97" s="171">
        <f>-'FS_Detail(M)'!BR63</f>
        <v>0</v>
      </c>
      <c r="BS97" s="171">
        <f>-'FS_Detail(M)'!BS63</f>
        <v>0</v>
      </c>
      <c r="BT97" s="171">
        <f>-'FS_Detail(M)'!BT63</f>
        <v>0</v>
      </c>
      <c r="BU97" s="171">
        <f>-'FS_Detail(M)'!BU63</f>
        <v>0</v>
      </c>
      <c r="BV97" s="171">
        <f>-'FS_Detail(M)'!BV63</f>
        <v>0</v>
      </c>
      <c r="BW97" s="171">
        <f>-'FS_Detail(M)'!BW63</f>
        <v>0</v>
      </c>
      <c r="BX97" s="171">
        <f>-'FS_Detail(M)'!BX63</f>
        <v>0</v>
      </c>
      <c r="BY97" s="171">
        <f>-'FS_Detail(M)'!BY63</f>
        <v>0</v>
      </c>
      <c r="BZ97" s="171">
        <f>-'FS_Detail(M)'!BZ63</f>
        <v>0</v>
      </c>
      <c r="CA97" s="171">
        <f>-'FS_Detail(M)'!CA63</f>
        <v>0</v>
      </c>
      <c r="CB97" s="171">
        <f>-'FS_Detail(M)'!CB63</f>
        <v>0</v>
      </c>
      <c r="CC97" s="171">
        <f>-'FS_Detail(M)'!CC63</f>
        <v>0</v>
      </c>
      <c r="CD97" s="171">
        <f>-'FS_Detail(M)'!CD63</f>
        <v>0</v>
      </c>
      <c r="CE97" s="171">
        <f>-'FS_Detail(M)'!CE63</f>
        <v>0</v>
      </c>
      <c r="CF97" s="171">
        <f>-'FS_Detail(M)'!CF63</f>
        <v>0</v>
      </c>
      <c r="CG97" s="171">
        <f>-'FS_Detail(M)'!CG63</f>
        <v>0</v>
      </c>
      <c r="CH97" s="171">
        <f>-'FS_Detail(M)'!CH63</f>
        <v>0</v>
      </c>
      <c r="CI97" s="171">
        <f>-'FS_Detail(M)'!CI63</f>
        <v>0</v>
      </c>
      <c r="CJ97" s="171">
        <f>-'FS_Detail(M)'!CJ63</f>
        <v>0</v>
      </c>
      <c r="CK97" s="171">
        <f>-'FS_Detail(M)'!CK63</f>
        <v>0</v>
      </c>
      <c r="CL97" s="171">
        <f>-'FS_Detail(M)'!CL63</f>
        <v>0</v>
      </c>
      <c r="CM97" s="171">
        <f>-'FS_Detail(M)'!CM63</f>
        <v>0</v>
      </c>
      <c r="CN97" s="171">
        <f>-'FS_Detail(M)'!CN63</f>
        <v>0</v>
      </c>
      <c r="CO97" s="171">
        <f>-'FS_Detail(M)'!CO63</f>
        <v>0</v>
      </c>
      <c r="CP97" s="171">
        <f>-'FS_Detail(M)'!CP63</f>
        <v>0</v>
      </c>
      <c r="CQ97" s="171">
        <f>-'FS_Detail(M)'!CQ63</f>
        <v>0</v>
      </c>
      <c r="CR97" s="171">
        <f>-'FS_Detail(M)'!CR63</f>
        <v>0</v>
      </c>
      <c r="CS97" s="171">
        <f>-'FS_Detail(M)'!CS63</f>
        <v>0</v>
      </c>
      <c r="CT97" s="171">
        <f>-'FS_Detail(M)'!CT63</f>
        <v>0</v>
      </c>
      <c r="CU97" s="171">
        <f>-'FS_Detail(M)'!CU63</f>
        <v>0</v>
      </c>
      <c r="CV97" s="171">
        <f>-'FS_Detail(M)'!CV63</f>
        <v>0</v>
      </c>
      <c r="CW97" s="171">
        <f>-'FS_Detail(M)'!CW63</f>
        <v>0</v>
      </c>
      <c r="CX97" s="171">
        <f>-'FS_Detail(M)'!CX63</f>
        <v>0</v>
      </c>
      <c r="CY97" s="171">
        <f>-'FS_Detail(M)'!CY63</f>
        <v>0</v>
      </c>
      <c r="CZ97" s="171">
        <f>-'FS_Detail(M)'!CZ63</f>
        <v>0</v>
      </c>
      <c r="DA97" s="171">
        <f>-'FS_Detail(M)'!DA63</f>
        <v>0</v>
      </c>
      <c r="DB97" s="171">
        <f>-'FS_Detail(M)'!DB63</f>
        <v>0</v>
      </c>
      <c r="DC97" s="171">
        <f>-'FS_Detail(M)'!DC63</f>
        <v>0</v>
      </c>
      <c r="DD97" s="171">
        <f>-'FS_Detail(M)'!DD63</f>
        <v>0</v>
      </c>
      <c r="DE97" s="171">
        <f>-'FS_Detail(M)'!DE63</f>
        <v>0</v>
      </c>
      <c r="DF97" s="171">
        <f>-'FS_Detail(M)'!DF63</f>
        <v>0</v>
      </c>
      <c r="DG97" s="171">
        <f>-'FS_Detail(M)'!DG63</f>
        <v>0</v>
      </c>
      <c r="DH97" s="171">
        <f>-'FS_Detail(M)'!DH63</f>
        <v>0</v>
      </c>
      <c r="DI97" s="171">
        <f>-'FS_Detail(M)'!DI63</f>
        <v>0</v>
      </c>
      <c r="DJ97" s="171">
        <f>-'FS_Detail(M)'!DJ63</f>
        <v>0</v>
      </c>
      <c r="DK97" s="171">
        <f>-'FS_Detail(M)'!DK63</f>
        <v>0</v>
      </c>
      <c r="DL97" s="171">
        <f>-'FS_Detail(M)'!DL63</f>
        <v>0</v>
      </c>
      <c r="DM97" s="171">
        <f>-'FS_Detail(M)'!DM63</f>
        <v>0</v>
      </c>
      <c r="DN97" s="171">
        <f>-'FS_Detail(M)'!DN63</f>
        <v>0</v>
      </c>
      <c r="DO97" s="171">
        <f>-'FS_Detail(M)'!DO63</f>
        <v>0</v>
      </c>
      <c r="DP97" s="171">
        <f>-'FS_Detail(M)'!DP63</f>
        <v>0</v>
      </c>
      <c r="DQ97" s="171">
        <f>-'FS_Detail(M)'!DQ63</f>
        <v>0</v>
      </c>
      <c r="DR97" s="171">
        <f>-'FS_Detail(M)'!DR63</f>
        <v>0</v>
      </c>
      <c r="DS97" s="171">
        <f>-'FS_Detail(M)'!DS63</f>
        <v>0</v>
      </c>
      <c r="DT97" s="171">
        <f>-'FS_Detail(M)'!DT63</f>
        <v>0</v>
      </c>
      <c r="DU97" s="171">
        <f>-'FS_Detail(M)'!DU63</f>
        <v>0</v>
      </c>
      <c r="DV97" s="171">
        <f>-'FS_Detail(M)'!DV63</f>
        <v>0</v>
      </c>
      <c r="DW97" s="171">
        <f>-'FS_Detail(M)'!DW63</f>
        <v>0</v>
      </c>
      <c r="DX97" s="171">
        <f>-'FS_Detail(M)'!DX63</f>
        <v>0</v>
      </c>
      <c r="DY97" s="171">
        <f>-'FS_Detail(M)'!DY63</f>
        <v>0</v>
      </c>
      <c r="DZ97" s="171">
        <f>-'FS_Detail(M)'!DZ63</f>
        <v>0</v>
      </c>
      <c r="EA97" s="171">
        <f>-'FS_Detail(M)'!EA63</f>
        <v>0</v>
      </c>
      <c r="EB97" s="171">
        <f>-'FS_Detail(M)'!EB63</f>
        <v>-24000000</v>
      </c>
      <c r="EC97" s="171">
        <f>-'FS_Detail(M)'!EC63</f>
        <v>0</v>
      </c>
      <c r="ED97" s="171">
        <f>-'FS_Detail(M)'!ED63</f>
        <v>0</v>
      </c>
      <c r="EE97" s="171">
        <f>-'FS_Detail(M)'!EE63</f>
        <v>0</v>
      </c>
      <c r="EF97" s="171">
        <f>-'FS_Detail(M)'!EF63</f>
        <v>0</v>
      </c>
      <c r="EG97" s="171">
        <f>-'FS_Detail(M)'!EG63</f>
        <v>0</v>
      </c>
      <c r="EH97" s="171">
        <f>-'FS_Detail(M)'!EH63</f>
        <v>0</v>
      </c>
      <c r="EI97" s="171">
        <f>-'FS_Detail(M)'!EI63</f>
        <v>0</v>
      </c>
      <c r="EJ97" s="171">
        <f>-'FS_Detail(M)'!EJ63</f>
        <v>0</v>
      </c>
      <c r="EK97" s="171">
        <f>-'FS_Detail(M)'!EK63</f>
        <v>0</v>
      </c>
      <c r="EL97" s="171">
        <f>-'FS_Detail(M)'!EL63</f>
        <v>0</v>
      </c>
      <c r="EM97" s="171">
        <f>-'FS_Detail(M)'!EM63</f>
        <v>0</v>
      </c>
      <c r="EN97" s="171">
        <f>-'FS_Detail(M)'!EN63</f>
        <v>0</v>
      </c>
      <c r="EO97" s="171">
        <f>-'FS_Detail(M)'!EO63</f>
        <v>0</v>
      </c>
      <c r="EP97" s="171">
        <f>-'FS_Detail(M)'!EP63</f>
        <v>0</v>
      </c>
      <c r="EQ97" s="171">
        <f>-'FS_Detail(M)'!EQ63</f>
        <v>0</v>
      </c>
    </row>
    <row r="98" spans="2:147" ht="11.25" customHeight="1">
      <c r="B98" s="218"/>
      <c r="C98" s="163"/>
      <c r="D98" s="169" t="s">
        <v>261</v>
      </c>
      <c r="H98" s="146"/>
      <c r="I98" s="229"/>
      <c r="J98" s="171">
        <f ca="1">SUM(L98:EQ98)</f>
        <v>-16800000.000000004</v>
      </c>
      <c r="K98" s="98"/>
      <c r="L98" s="171">
        <f ca="1">-'IS(M)'!M75</f>
        <v>0</v>
      </c>
      <c r="M98" s="171">
        <f ca="1">-'IS(M)'!N75</f>
        <v>0</v>
      </c>
      <c r="N98" s="171">
        <f ca="1">-'IS(M)'!O75</f>
        <v>0</v>
      </c>
      <c r="O98" s="171">
        <f ca="1">-'IS(M)'!P75</f>
        <v>0</v>
      </c>
      <c r="P98" s="171">
        <f ca="1">-'IS(M)'!Q75</f>
        <v>0</v>
      </c>
      <c r="Q98" s="171">
        <f ca="1">-'IS(M)'!R75</f>
        <v>0</v>
      </c>
      <c r="R98" s="171">
        <f ca="1">-'IS(M)'!S75</f>
        <v>-840000.00000000012</v>
      </c>
      <c r="S98" s="171">
        <f ca="1">-'IS(M)'!T75</f>
        <v>0</v>
      </c>
      <c r="T98" s="171">
        <f ca="1">-'IS(M)'!U75</f>
        <v>0</v>
      </c>
      <c r="U98" s="171">
        <f ca="1">-'IS(M)'!V75</f>
        <v>0</v>
      </c>
      <c r="V98" s="171">
        <f ca="1">-'IS(M)'!W75</f>
        <v>0</v>
      </c>
      <c r="W98" s="171">
        <f ca="1">-'IS(M)'!X75</f>
        <v>0</v>
      </c>
      <c r="X98" s="171">
        <f ca="1">-'IS(M)'!Y75</f>
        <v>-840000.00000000012</v>
      </c>
      <c r="Y98" s="171">
        <f ca="1">-'IS(M)'!Z75</f>
        <v>0</v>
      </c>
      <c r="Z98" s="171">
        <f ca="1">-'IS(M)'!AA75</f>
        <v>0</v>
      </c>
      <c r="AA98" s="171">
        <f ca="1">-'IS(M)'!AB75</f>
        <v>0</v>
      </c>
      <c r="AB98" s="171">
        <f ca="1">-'IS(M)'!AC75</f>
        <v>0</v>
      </c>
      <c r="AC98" s="171">
        <f ca="1">-'IS(M)'!AD75</f>
        <v>0</v>
      </c>
      <c r="AD98" s="171">
        <f ca="1">-'IS(M)'!AE75</f>
        <v>-840000.00000000012</v>
      </c>
      <c r="AE98" s="171">
        <f ca="1">-'IS(M)'!AF75</f>
        <v>0</v>
      </c>
      <c r="AF98" s="171">
        <f ca="1">-'IS(M)'!AG75</f>
        <v>0</v>
      </c>
      <c r="AG98" s="171">
        <f ca="1">-'IS(M)'!AH75</f>
        <v>0</v>
      </c>
      <c r="AH98" s="171">
        <f ca="1">-'IS(M)'!AI75</f>
        <v>0</v>
      </c>
      <c r="AI98" s="171">
        <f ca="1">-'IS(M)'!AJ75</f>
        <v>0</v>
      </c>
      <c r="AJ98" s="171">
        <f ca="1">-'IS(M)'!AK75</f>
        <v>-840000.00000000012</v>
      </c>
      <c r="AK98" s="171">
        <f ca="1">-'IS(M)'!AL75</f>
        <v>0</v>
      </c>
      <c r="AL98" s="171">
        <f ca="1">-'IS(M)'!AM75</f>
        <v>0</v>
      </c>
      <c r="AM98" s="171">
        <f ca="1">-'IS(M)'!AN75</f>
        <v>0</v>
      </c>
      <c r="AN98" s="171">
        <f ca="1">-'IS(M)'!AO75</f>
        <v>0</v>
      </c>
      <c r="AO98" s="171">
        <f ca="1">-'IS(M)'!AP75</f>
        <v>0</v>
      </c>
      <c r="AP98" s="171">
        <f ca="1">-'IS(M)'!AQ75</f>
        <v>-840000.00000000012</v>
      </c>
      <c r="AQ98" s="171">
        <f ca="1">-'IS(M)'!AR75</f>
        <v>0</v>
      </c>
      <c r="AR98" s="171">
        <f ca="1">-'IS(M)'!AS75</f>
        <v>0</v>
      </c>
      <c r="AS98" s="171">
        <f ca="1">-'IS(M)'!AT75</f>
        <v>0</v>
      </c>
      <c r="AT98" s="171">
        <f ca="1">-'IS(M)'!AU75</f>
        <v>0</v>
      </c>
      <c r="AU98" s="171">
        <f ca="1">-'IS(M)'!AV75</f>
        <v>0</v>
      </c>
      <c r="AV98" s="171">
        <f ca="1">-'IS(M)'!AW75</f>
        <v>-840000.00000000012</v>
      </c>
      <c r="AW98" s="171">
        <f ca="1">-'IS(M)'!AX75</f>
        <v>0</v>
      </c>
      <c r="AX98" s="171">
        <f ca="1">-'IS(M)'!AY75</f>
        <v>0</v>
      </c>
      <c r="AY98" s="171">
        <f ca="1">-'IS(M)'!AZ75</f>
        <v>0</v>
      </c>
      <c r="AZ98" s="171">
        <f ca="1">-'IS(M)'!BA75</f>
        <v>0</v>
      </c>
      <c r="BA98" s="171">
        <f ca="1">-'IS(M)'!BB75</f>
        <v>0</v>
      </c>
      <c r="BB98" s="171">
        <f ca="1">-'IS(M)'!BC75</f>
        <v>-840000.00000000012</v>
      </c>
      <c r="BC98" s="171">
        <f ca="1">-'IS(M)'!BD75</f>
        <v>0</v>
      </c>
      <c r="BD98" s="171">
        <f ca="1">-'IS(M)'!BE75</f>
        <v>0</v>
      </c>
      <c r="BE98" s="171">
        <f ca="1">-'IS(M)'!BF75</f>
        <v>0</v>
      </c>
      <c r="BF98" s="171">
        <f ca="1">-'IS(M)'!BG75</f>
        <v>0</v>
      </c>
      <c r="BG98" s="171">
        <f ca="1">-'IS(M)'!BH75</f>
        <v>0</v>
      </c>
      <c r="BH98" s="171">
        <f ca="1">-'IS(M)'!BI75</f>
        <v>-840000.00000000012</v>
      </c>
      <c r="BI98" s="171">
        <f ca="1">-'IS(M)'!BJ75</f>
        <v>0</v>
      </c>
      <c r="BJ98" s="171">
        <f ca="1">-'IS(M)'!BK75</f>
        <v>0</v>
      </c>
      <c r="BK98" s="171">
        <f ca="1">-'IS(M)'!BL75</f>
        <v>0</v>
      </c>
      <c r="BL98" s="171">
        <f ca="1">-'IS(M)'!BM75</f>
        <v>0</v>
      </c>
      <c r="BM98" s="171">
        <f ca="1">-'IS(M)'!BN75</f>
        <v>0</v>
      </c>
      <c r="BN98" s="171">
        <f ca="1">-'IS(M)'!BO75</f>
        <v>-840000.00000000012</v>
      </c>
      <c r="BO98" s="171">
        <f ca="1">-'IS(M)'!BP75</f>
        <v>0</v>
      </c>
      <c r="BP98" s="171">
        <f ca="1">-'IS(M)'!BQ75</f>
        <v>0</v>
      </c>
      <c r="BQ98" s="171">
        <f ca="1">-'IS(M)'!BR75</f>
        <v>0</v>
      </c>
      <c r="BR98" s="171">
        <f ca="1">-'IS(M)'!BS75</f>
        <v>0</v>
      </c>
      <c r="BS98" s="171">
        <f ca="1">-'IS(M)'!BT75</f>
        <v>0</v>
      </c>
      <c r="BT98" s="171">
        <f ca="1">-'IS(M)'!BU75</f>
        <v>-840000.00000000012</v>
      </c>
      <c r="BU98" s="171">
        <f ca="1">-'IS(M)'!BV75</f>
        <v>0</v>
      </c>
      <c r="BV98" s="171">
        <f ca="1">-'IS(M)'!BW75</f>
        <v>0</v>
      </c>
      <c r="BW98" s="171">
        <f ca="1">-'IS(M)'!BX75</f>
        <v>0</v>
      </c>
      <c r="BX98" s="171">
        <f ca="1">-'IS(M)'!BY75</f>
        <v>0</v>
      </c>
      <c r="BY98" s="171">
        <f ca="1">-'IS(M)'!BZ75</f>
        <v>0</v>
      </c>
      <c r="BZ98" s="171">
        <f ca="1">-'IS(M)'!CA75</f>
        <v>-840000.00000000012</v>
      </c>
      <c r="CA98" s="171">
        <f ca="1">-'IS(M)'!CB75</f>
        <v>0</v>
      </c>
      <c r="CB98" s="171">
        <f ca="1">-'IS(M)'!CC75</f>
        <v>0</v>
      </c>
      <c r="CC98" s="171">
        <f ca="1">-'IS(M)'!CD75</f>
        <v>0</v>
      </c>
      <c r="CD98" s="171">
        <f ca="1">-'IS(M)'!CE75</f>
        <v>0</v>
      </c>
      <c r="CE98" s="171">
        <f ca="1">-'IS(M)'!CF75</f>
        <v>0</v>
      </c>
      <c r="CF98" s="171">
        <f ca="1">-'IS(M)'!CG75</f>
        <v>-840000.00000000012</v>
      </c>
      <c r="CG98" s="171">
        <f ca="1">-'IS(M)'!CH75</f>
        <v>0</v>
      </c>
      <c r="CH98" s="171">
        <f ca="1">-'IS(M)'!CI75</f>
        <v>0</v>
      </c>
      <c r="CI98" s="171">
        <f ca="1">-'IS(M)'!CJ75</f>
        <v>0</v>
      </c>
      <c r="CJ98" s="171">
        <f ca="1">-'IS(M)'!CK75</f>
        <v>0</v>
      </c>
      <c r="CK98" s="171">
        <f ca="1">-'IS(M)'!CL75</f>
        <v>0</v>
      </c>
      <c r="CL98" s="171">
        <f ca="1">-'IS(M)'!CM75</f>
        <v>-840000.00000000012</v>
      </c>
      <c r="CM98" s="171">
        <f ca="1">-'IS(M)'!CN75</f>
        <v>0</v>
      </c>
      <c r="CN98" s="171">
        <f ca="1">-'IS(M)'!CO75</f>
        <v>0</v>
      </c>
      <c r="CO98" s="171">
        <f ca="1">-'IS(M)'!CP75</f>
        <v>0</v>
      </c>
      <c r="CP98" s="171">
        <f ca="1">-'IS(M)'!CQ75</f>
        <v>0</v>
      </c>
      <c r="CQ98" s="171">
        <f ca="1">-'IS(M)'!CR75</f>
        <v>0</v>
      </c>
      <c r="CR98" s="171">
        <f ca="1">-'IS(M)'!CS75</f>
        <v>-840000.00000000012</v>
      </c>
      <c r="CS98" s="171">
        <f ca="1">-'IS(M)'!CT75</f>
        <v>0</v>
      </c>
      <c r="CT98" s="171">
        <f ca="1">-'IS(M)'!CU75</f>
        <v>0</v>
      </c>
      <c r="CU98" s="171">
        <f ca="1">-'IS(M)'!CV75</f>
        <v>0</v>
      </c>
      <c r="CV98" s="171">
        <f ca="1">-'IS(M)'!CW75</f>
        <v>0</v>
      </c>
      <c r="CW98" s="171">
        <f ca="1">-'IS(M)'!CX75</f>
        <v>0</v>
      </c>
      <c r="CX98" s="171">
        <f ca="1">-'IS(M)'!CY75</f>
        <v>-840000.00000000012</v>
      </c>
      <c r="CY98" s="171">
        <f ca="1">-'IS(M)'!CZ75</f>
        <v>0</v>
      </c>
      <c r="CZ98" s="171">
        <f ca="1">-'IS(M)'!DA75</f>
        <v>0</v>
      </c>
      <c r="DA98" s="171">
        <f ca="1">-'IS(M)'!DB75</f>
        <v>0</v>
      </c>
      <c r="DB98" s="171">
        <f ca="1">-'IS(M)'!DC75</f>
        <v>0</v>
      </c>
      <c r="DC98" s="171">
        <f ca="1">-'IS(M)'!DD75</f>
        <v>0</v>
      </c>
      <c r="DD98" s="171">
        <f ca="1">-'IS(M)'!DE75</f>
        <v>-840000.00000000012</v>
      </c>
      <c r="DE98" s="171">
        <f ca="1">-'IS(M)'!DF75</f>
        <v>0</v>
      </c>
      <c r="DF98" s="171">
        <f ca="1">-'IS(M)'!DG75</f>
        <v>0</v>
      </c>
      <c r="DG98" s="171">
        <f ca="1">-'IS(M)'!DH75</f>
        <v>0</v>
      </c>
      <c r="DH98" s="171">
        <f ca="1">-'IS(M)'!DI75</f>
        <v>0</v>
      </c>
      <c r="DI98" s="171">
        <f ca="1">-'IS(M)'!DJ75</f>
        <v>0</v>
      </c>
      <c r="DJ98" s="171">
        <f ca="1">-'IS(M)'!DK75</f>
        <v>-840000.00000000012</v>
      </c>
      <c r="DK98" s="171">
        <f ca="1">-'IS(M)'!DL75</f>
        <v>0</v>
      </c>
      <c r="DL98" s="171">
        <f ca="1">-'IS(M)'!DM75</f>
        <v>0</v>
      </c>
      <c r="DM98" s="171">
        <f ca="1">-'IS(M)'!DN75</f>
        <v>0</v>
      </c>
      <c r="DN98" s="171">
        <f ca="1">-'IS(M)'!DO75</f>
        <v>0</v>
      </c>
      <c r="DO98" s="171">
        <f ca="1">-'IS(M)'!DP75</f>
        <v>0</v>
      </c>
      <c r="DP98" s="171">
        <f ca="1">-'IS(M)'!DQ75</f>
        <v>-840000.00000000012</v>
      </c>
      <c r="DQ98" s="171">
        <f ca="1">-'IS(M)'!DR75</f>
        <v>0</v>
      </c>
      <c r="DR98" s="171">
        <f ca="1">-'IS(M)'!DS75</f>
        <v>0</v>
      </c>
      <c r="DS98" s="171">
        <f ca="1">-'IS(M)'!DT75</f>
        <v>0</v>
      </c>
      <c r="DT98" s="171">
        <f ca="1">-'IS(M)'!DU75</f>
        <v>0</v>
      </c>
      <c r="DU98" s="171">
        <f ca="1">-'IS(M)'!DV75</f>
        <v>0</v>
      </c>
      <c r="DV98" s="171">
        <f ca="1">-'IS(M)'!DW75</f>
        <v>-840000.00000000012</v>
      </c>
      <c r="DW98" s="171">
        <f ca="1">-'IS(M)'!DX75</f>
        <v>0</v>
      </c>
      <c r="DX98" s="171">
        <f ca="1">-'IS(M)'!DY75</f>
        <v>0</v>
      </c>
      <c r="DY98" s="171">
        <f ca="1">-'IS(M)'!DZ75</f>
        <v>0</v>
      </c>
      <c r="DZ98" s="171">
        <f ca="1">-'IS(M)'!EA75</f>
        <v>0</v>
      </c>
      <c r="EA98" s="171">
        <f ca="1">-'IS(M)'!EB75</f>
        <v>0</v>
      </c>
      <c r="EB98" s="171">
        <f ca="1">-'IS(M)'!EC75</f>
        <v>-840000.00000000012</v>
      </c>
      <c r="EC98" s="171">
        <f ca="1">-'IS(M)'!ED75</f>
        <v>0</v>
      </c>
      <c r="ED98" s="171">
        <f ca="1">-'IS(M)'!EE75</f>
        <v>0</v>
      </c>
      <c r="EE98" s="171">
        <f ca="1">-'IS(M)'!EF75</f>
        <v>0</v>
      </c>
      <c r="EF98" s="171">
        <f ca="1">-'IS(M)'!EG75</f>
        <v>0</v>
      </c>
      <c r="EG98" s="171">
        <f ca="1">-'IS(M)'!EH75</f>
        <v>0</v>
      </c>
      <c r="EH98" s="171">
        <f ca="1">-'IS(M)'!EI75</f>
        <v>0</v>
      </c>
      <c r="EI98" s="171">
        <f ca="1">-'IS(M)'!EJ75</f>
        <v>0</v>
      </c>
      <c r="EJ98" s="171">
        <f ca="1">-'IS(M)'!EK75</f>
        <v>0</v>
      </c>
      <c r="EK98" s="171">
        <f ca="1">-'IS(M)'!EL75</f>
        <v>0</v>
      </c>
      <c r="EL98" s="171">
        <f ca="1">-'IS(M)'!EM75</f>
        <v>0</v>
      </c>
      <c r="EM98" s="171">
        <f ca="1">-'IS(M)'!EN75</f>
        <v>0</v>
      </c>
      <c r="EN98" s="171">
        <f ca="1">-'IS(M)'!EO75</f>
        <v>0</v>
      </c>
      <c r="EO98" s="171">
        <f ca="1">-'IS(M)'!EP75</f>
        <v>0</v>
      </c>
      <c r="EP98" s="171">
        <f ca="1">-'IS(M)'!EQ75</f>
        <v>0</v>
      </c>
      <c r="EQ98" s="171">
        <f ca="1">-'IS(M)'!ER75</f>
        <v>0</v>
      </c>
    </row>
    <row r="99" spans="2:147" ht="11.25" customHeight="1">
      <c r="B99" s="218"/>
      <c r="C99" s="163"/>
      <c r="D99" s="169" t="s">
        <v>469</v>
      </c>
      <c r="G99" s="65">
        <f>'A&amp;R'!T41*('A&amp;R'!$P$41&gt;0)/('A&amp;R'!$T$41+'A&amp;R'!$T$44)</f>
        <v>0</v>
      </c>
      <c r="H99" s="146">
        <f>'A&amp;R'!$E$39</f>
        <v>49979</v>
      </c>
      <c r="I99" s="229">
        <f>$H$156*G99</f>
        <v>0</v>
      </c>
      <c r="J99" s="171">
        <f>SUM(L99:EQ99)</f>
        <v>0</v>
      </c>
      <c r="K99" s="98"/>
      <c r="L99" s="171">
        <f>-$I99*(L$13=$H99)</f>
        <v>0</v>
      </c>
      <c r="M99" s="171">
        <f t="shared" ref="M99:BX99" si="71">-$I99*(M$13=$H99)</f>
        <v>0</v>
      </c>
      <c r="N99" s="171">
        <f t="shared" si="71"/>
        <v>0</v>
      </c>
      <c r="O99" s="171">
        <f t="shared" si="71"/>
        <v>0</v>
      </c>
      <c r="P99" s="171">
        <f t="shared" si="71"/>
        <v>0</v>
      </c>
      <c r="Q99" s="171">
        <f t="shared" si="71"/>
        <v>0</v>
      </c>
      <c r="R99" s="171">
        <f t="shared" si="71"/>
        <v>0</v>
      </c>
      <c r="S99" s="171">
        <f t="shared" si="71"/>
        <v>0</v>
      </c>
      <c r="T99" s="171">
        <f t="shared" si="71"/>
        <v>0</v>
      </c>
      <c r="U99" s="171">
        <f t="shared" si="71"/>
        <v>0</v>
      </c>
      <c r="V99" s="171">
        <f t="shared" si="71"/>
        <v>0</v>
      </c>
      <c r="W99" s="171">
        <f t="shared" si="71"/>
        <v>0</v>
      </c>
      <c r="X99" s="171">
        <f t="shared" si="71"/>
        <v>0</v>
      </c>
      <c r="Y99" s="171">
        <f t="shared" si="71"/>
        <v>0</v>
      </c>
      <c r="Z99" s="171">
        <f t="shared" si="71"/>
        <v>0</v>
      </c>
      <c r="AA99" s="171">
        <f t="shared" si="71"/>
        <v>0</v>
      </c>
      <c r="AB99" s="171">
        <f t="shared" si="71"/>
        <v>0</v>
      </c>
      <c r="AC99" s="171">
        <f t="shared" si="71"/>
        <v>0</v>
      </c>
      <c r="AD99" s="171">
        <f t="shared" si="71"/>
        <v>0</v>
      </c>
      <c r="AE99" s="171">
        <f t="shared" si="71"/>
        <v>0</v>
      </c>
      <c r="AF99" s="171">
        <f t="shared" si="71"/>
        <v>0</v>
      </c>
      <c r="AG99" s="171">
        <f t="shared" si="71"/>
        <v>0</v>
      </c>
      <c r="AH99" s="171">
        <f t="shared" si="71"/>
        <v>0</v>
      </c>
      <c r="AI99" s="171">
        <f t="shared" si="71"/>
        <v>0</v>
      </c>
      <c r="AJ99" s="171">
        <f t="shared" si="71"/>
        <v>0</v>
      </c>
      <c r="AK99" s="171">
        <f t="shared" si="71"/>
        <v>0</v>
      </c>
      <c r="AL99" s="171">
        <f t="shared" si="71"/>
        <v>0</v>
      </c>
      <c r="AM99" s="171">
        <f t="shared" si="71"/>
        <v>0</v>
      </c>
      <c r="AN99" s="171">
        <f t="shared" si="71"/>
        <v>0</v>
      </c>
      <c r="AO99" s="171">
        <f t="shared" si="71"/>
        <v>0</v>
      </c>
      <c r="AP99" s="171">
        <f t="shared" si="71"/>
        <v>0</v>
      </c>
      <c r="AQ99" s="171">
        <f t="shared" si="71"/>
        <v>0</v>
      </c>
      <c r="AR99" s="171">
        <f t="shared" si="71"/>
        <v>0</v>
      </c>
      <c r="AS99" s="171">
        <f t="shared" si="71"/>
        <v>0</v>
      </c>
      <c r="AT99" s="171">
        <f t="shared" si="71"/>
        <v>0</v>
      </c>
      <c r="AU99" s="171">
        <f t="shared" si="71"/>
        <v>0</v>
      </c>
      <c r="AV99" s="171">
        <f t="shared" si="71"/>
        <v>0</v>
      </c>
      <c r="AW99" s="171">
        <f t="shared" si="71"/>
        <v>0</v>
      </c>
      <c r="AX99" s="171">
        <f t="shared" si="71"/>
        <v>0</v>
      </c>
      <c r="AY99" s="171">
        <f t="shared" si="71"/>
        <v>0</v>
      </c>
      <c r="AZ99" s="171">
        <f t="shared" si="71"/>
        <v>0</v>
      </c>
      <c r="BA99" s="171">
        <f t="shared" si="71"/>
        <v>0</v>
      </c>
      <c r="BB99" s="171">
        <f t="shared" si="71"/>
        <v>0</v>
      </c>
      <c r="BC99" s="171">
        <f t="shared" si="71"/>
        <v>0</v>
      </c>
      <c r="BD99" s="171">
        <f t="shared" si="71"/>
        <v>0</v>
      </c>
      <c r="BE99" s="171">
        <f t="shared" si="71"/>
        <v>0</v>
      </c>
      <c r="BF99" s="171">
        <f t="shared" si="71"/>
        <v>0</v>
      </c>
      <c r="BG99" s="171">
        <f t="shared" si="71"/>
        <v>0</v>
      </c>
      <c r="BH99" s="171">
        <f t="shared" si="71"/>
        <v>0</v>
      </c>
      <c r="BI99" s="171">
        <f t="shared" si="71"/>
        <v>0</v>
      </c>
      <c r="BJ99" s="171">
        <f t="shared" si="71"/>
        <v>0</v>
      </c>
      <c r="BK99" s="171">
        <f t="shared" si="71"/>
        <v>0</v>
      </c>
      <c r="BL99" s="171">
        <f t="shared" si="71"/>
        <v>0</v>
      </c>
      <c r="BM99" s="171">
        <f t="shared" si="71"/>
        <v>0</v>
      </c>
      <c r="BN99" s="171">
        <f t="shared" si="71"/>
        <v>0</v>
      </c>
      <c r="BO99" s="171">
        <f t="shared" si="71"/>
        <v>0</v>
      </c>
      <c r="BP99" s="171">
        <f t="shared" si="71"/>
        <v>0</v>
      </c>
      <c r="BQ99" s="171">
        <f t="shared" si="71"/>
        <v>0</v>
      </c>
      <c r="BR99" s="171">
        <f t="shared" si="71"/>
        <v>0</v>
      </c>
      <c r="BS99" s="171">
        <f t="shared" si="71"/>
        <v>0</v>
      </c>
      <c r="BT99" s="171">
        <f t="shared" si="71"/>
        <v>0</v>
      </c>
      <c r="BU99" s="171">
        <f t="shared" si="71"/>
        <v>0</v>
      </c>
      <c r="BV99" s="171">
        <f t="shared" si="71"/>
        <v>0</v>
      </c>
      <c r="BW99" s="171">
        <f t="shared" si="71"/>
        <v>0</v>
      </c>
      <c r="BX99" s="171">
        <f t="shared" si="71"/>
        <v>0</v>
      </c>
      <c r="BY99" s="171">
        <f t="shared" ref="BY99:EJ99" si="72">-$I99*(BY$13=$H99)</f>
        <v>0</v>
      </c>
      <c r="BZ99" s="171">
        <f t="shared" si="72"/>
        <v>0</v>
      </c>
      <c r="CA99" s="171">
        <f t="shared" si="72"/>
        <v>0</v>
      </c>
      <c r="CB99" s="171">
        <f t="shared" si="72"/>
        <v>0</v>
      </c>
      <c r="CC99" s="171">
        <f t="shared" si="72"/>
        <v>0</v>
      </c>
      <c r="CD99" s="171">
        <f t="shared" si="72"/>
        <v>0</v>
      </c>
      <c r="CE99" s="171">
        <f t="shared" si="72"/>
        <v>0</v>
      </c>
      <c r="CF99" s="171">
        <f t="shared" si="72"/>
        <v>0</v>
      </c>
      <c r="CG99" s="171">
        <f t="shared" si="72"/>
        <v>0</v>
      </c>
      <c r="CH99" s="171">
        <f t="shared" si="72"/>
        <v>0</v>
      </c>
      <c r="CI99" s="171">
        <f t="shared" si="72"/>
        <v>0</v>
      </c>
      <c r="CJ99" s="171">
        <f t="shared" si="72"/>
        <v>0</v>
      </c>
      <c r="CK99" s="171">
        <f t="shared" si="72"/>
        <v>0</v>
      </c>
      <c r="CL99" s="171">
        <f t="shared" si="72"/>
        <v>0</v>
      </c>
      <c r="CM99" s="171">
        <f t="shared" si="72"/>
        <v>0</v>
      </c>
      <c r="CN99" s="171">
        <f t="shared" si="72"/>
        <v>0</v>
      </c>
      <c r="CO99" s="171">
        <f t="shared" si="72"/>
        <v>0</v>
      </c>
      <c r="CP99" s="171">
        <f t="shared" si="72"/>
        <v>0</v>
      </c>
      <c r="CQ99" s="171">
        <f t="shared" si="72"/>
        <v>0</v>
      </c>
      <c r="CR99" s="171">
        <f t="shared" si="72"/>
        <v>0</v>
      </c>
      <c r="CS99" s="171">
        <f t="shared" si="72"/>
        <v>0</v>
      </c>
      <c r="CT99" s="171">
        <f t="shared" si="72"/>
        <v>0</v>
      </c>
      <c r="CU99" s="171">
        <f t="shared" si="72"/>
        <v>0</v>
      </c>
      <c r="CV99" s="171">
        <f t="shared" si="72"/>
        <v>0</v>
      </c>
      <c r="CW99" s="171">
        <f t="shared" si="72"/>
        <v>0</v>
      </c>
      <c r="CX99" s="171">
        <f t="shared" si="72"/>
        <v>0</v>
      </c>
      <c r="CY99" s="171">
        <f t="shared" si="72"/>
        <v>0</v>
      </c>
      <c r="CZ99" s="171">
        <f t="shared" si="72"/>
        <v>0</v>
      </c>
      <c r="DA99" s="171">
        <f t="shared" si="72"/>
        <v>0</v>
      </c>
      <c r="DB99" s="171">
        <f t="shared" si="72"/>
        <v>0</v>
      </c>
      <c r="DC99" s="171">
        <f t="shared" si="72"/>
        <v>0</v>
      </c>
      <c r="DD99" s="171">
        <f t="shared" si="72"/>
        <v>0</v>
      </c>
      <c r="DE99" s="171">
        <f t="shared" si="72"/>
        <v>0</v>
      </c>
      <c r="DF99" s="171">
        <f t="shared" si="72"/>
        <v>0</v>
      </c>
      <c r="DG99" s="171">
        <f t="shared" si="72"/>
        <v>0</v>
      </c>
      <c r="DH99" s="171">
        <f t="shared" si="72"/>
        <v>0</v>
      </c>
      <c r="DI99" s="171">
        <f t="shared" si="72"/>
        <v>0</v>
      </c>
      <c r="DJ99" s="171">
        <f t="shared" si="72"/>
        <v>0</v>
      </c>
      <c r="DK99" s="171">
        <f t="shared" si="72"/>
        <v>0</v>
      </c>
      <c r="DL99" s="171">
        <f t="shared" si="72"/>
        <v>0</v>
      </c>
      <c r="DM99" s="171">
        <f t="shared" si="72"/>
        <v>0</v>
      </c>
      <c r="DN99" s="171">
        <f t="shared" si="72"/>
        <v>0</v>
      </c>
      <c r="DO99" s="171">
        <f t="shared" si="72"/>
        <v>0</v>
      </c>
      <c r="DP99" s="171">
        <f t="shared" si="72"/>
        <v>0</v>
      </c>
      <c r="DQ99" s="171">
        <f t="shared" si="72"/>
        <v>0</v>
      </c>
      <c r="DR99" s="171">
        <f t="shared" si="72"/>
        <v>0</v>
      </c>
      <c r="DS99" s="171">
        <f t="shared" si="72"/>
        <v>0</v>
      </c>
      <c r="DT99" s="171">
        <f t="shared" si="72"/>
        <v>0</v>
      </c>
      <c r="DU99" s="171">
        <f t="shared" si="72"/>
        <v>0</v>
      </c>
      <c r="DV99" s="171">
        <f t="shared" si="72"/>
        <v>0</v>
      </c>
      <c r="DW99" s="171">
        <f t="shared" si="72"/>
        <v>0</v>
      </c>
      <c r="DX99" s="171">
        <f t="shared" si="72"/>
        <v>0</v>
      </c>
      <c r="DY99" s="171">
        <f t="shared" si="72"/>
        <v>0</v>
      </c>
      <c r="DZ99" s="171">
        <f t="shared" si="72"/>
        <v>0</v>
      </c>
      <c r="EA99" s="171">
        <f t="shared" si="72"/>
        <v>0</v>
      </c>
      <c r="EB99" s="171">
        <f t="shared" si="72"/>
        <v>0</v>
      </c>
      <c r="EC99" s="171">
        <f t="shared" si="72"/>
        <v>0</v>
      </c>
      <c r="ED99" s="171">
        <f t="shared" si="72"/>
        <v>0</v>
      </c>
      <c r="EE99" s="171">
        <f t="shared" si="72"/>
        <v>0</v>
      </c>
      <c r="EF99" s="171">
        <f t="shared" si="72"/>
        <v>0</v>
      </c>
      <c r="EG99" s="171">
        <f t="shared" si="72"/>
        <v>0</v>
      </c>
      <c r="EH99" s="171">
        <f t="shared" si="72"/>
        <v>0</v>
      </c>
      <c r="EI99" s="171">
        <f t="shared" si="72"/>
        <v>0</v>
      </c>
      <c r="EJ99" s="171">
        <f t="shared" si="72"/>
        <v>0</v>
      </c>
      <c r="EK99" s="171">
        <f t="shared" ref="EK99:EQ99" si="73">-$I99*(EK$13=$H99)</f>
        <v>0</v>
      </c>
      <c r="EL99" s="171">
        <f t="shared" si="73"/>
        <v>0</v>
      </c>
      <c r="EM99" s="171">
        <f t="shared" si="73"/>
        <v>0</v>
      </c>
      <c r="EN99" s="171">
        <f t="shared" si="73"/>
        <v>0</v>
      </c>
      <c r="EO99" s="171">
        <f t="shared" si="73"/>
        <v>0</v>
      </c>
      <c r="EP99" s="171">
        <f t="shared" si="73"/>
        <v>0</v>
      </c>
      <c r="EQ99" s="171">
        <f t="shared" si="73"/>
        <v>0</v>
      </c>
    </row>
    <row r="100" spans="2:147" ht="11.25" customHeight="1">
      <c r="B100" s="218"/>
      <c r="C100" s="158" t="str">
        <f>'A&amp;R'!L42</f>
        <v>2종 우선주(삼성)</v>
      </c>
      <c r="D100" s="159"/>
      <c r="E100" s="159"/>
      <c r="F100" s="159"/>
      <c r="G100" s="159"/>
      <c r="H100" s="160"/>
      <c r="I100" s="219"/>
      <c r="J100" s="220">
        <f ca="1">SUM(J101:J104)</f>
        <v>-49267613.337566935</v>
      </c>
      <c r="K100" s="98"/>
      <c r="L100" s="162">
        <f ca="1">SUM(L101:L104)</f>
        <v>50000000</v>
      </c>
      <c r="M100" s="162">
        <f t="shared" ref="M100:BX100" ca="1" si="74">SUM(M101:M104)</f>
        <v>0</v>
      </c>
      <c r="N100" s="162">
        <f t="shared" ca="1" si="74"/>
        <v>0</v>
      </c>
      <c r="O100" s="162">
        <f t="shared" ca="1" si="74"/>
        <v>0</v>
      </c>
      <c r="P100" s="162">
        <f t="shared" ca="1" si="74"/>
        <v>0</v>
      </c>
      <c r="Q100" s="162">
        <f t="shared" ca="1" si="74"/>
        <v>0</v>
      </c>
      <c r="R100" s="162">
        <f t="shared" ca="1" si="74"/>
        <v>-1875000</v>
      </c>
      <c r="S100" s="162">
        <f t="shared" ca="1" si="74"/>
        <v>0</v>
      </c>
      <c r="T100" s="162">
        <f t="shared" ca="1" si="74"/>
        <v>0</v>
      </c>
      <c r="U100" s="162">
        <f t="shared" ca="1" si="74"/>
        <v>0</v>
      </c>
      <c r="V100" s="162">
        <f t="shared" ca="1" si="74"/>
        <v>0</v>
      </c>
      <c r="W100" s="162">
        <f t="shared" ca="1" si="74"/>
        <v>0</v>
      </c>
      <c r="X100" s="162">
        <f t="shared" ca="1" si="74"/>
        <v>-1875000</v>
      </c>
      <c r="Y100" s="162">
        <f t="shared" ca="1" si="74"/>
        <v>0</v>
      </c>
      <c r="Z100" s="162">
        <f t="shared" ca="1" si="74"/>
        <v>0</v>
      </c>
      <c r="AA100" s="162">
        <f t="shared" ca="1" si="74"/>
        <v>0</v>
      </c>
      <c r="AB100" s="162">
        <f t="shared" ca="1" si="74"/>
        <v>0</v>
      </c>
      <c r="AC100" s="162">
        <f t="shared" ca="1" si="74"/>
        <v>0</v>
      </c>
      <c r="AD100" s="162">
        <f t="shared" ca="1" si="74"/>
        <v>-1875000</v>
      </c>
      <c r="AE100" s="162">
        <f t="shared" ca="1" si="74"/>
        <v>0</v>
      </c>
      <c r="AF100" s="162">
        <f t="shared" ca="1" si="74"/>
        <v>0</v>
      </c>
      <c r="AG100" s="162">
        <f t="shared" ca="1" si="74"/>
        <v>0</v>
      </c>
      <c r="AH100" s="162">
        <f t="shared" ca="1" si="74"/>
        <v>0</v>
      </c>
      <c r="AI100" s="162">
        <f t="shared" ca="1" si="74"/>
        <v>0</v>
      </c>
      <c r="AJ100" s="162">
        <f t="shared" ca="1" si="74"/>
        <v>-1875000</v>
      </c>
      <c r="AK100" s="162">
        <f t="shared" ca="1" si="74"/>
        <v>0</v>
      </c>
      <c r="AL100" s="162">
        <f t="shared" ca="1" si="74"/>
        <v>0</v>
      </c>
      <c r="AM100" s="162">
        <f t="shared" ca="1" si="74"/>
        <v>0</v>
      </c>
      <c r="AN100" s="162">
        <f t="shared" ca="1" si="74"/>
        <v>0</v>
      </c>
      <c r="AO100" s="162">
        <f t="shared" ca="1" si="74"/>
        <v>0</v>
      </c>
      <c r="AP100" s="162">
        <f t="shared" ca="1" si="74"/>
        <v>-1875000</v>
      </c>
      <c r="AQ100" s="162">
        <f t="shared" ca="1" si="74"/>
        <v>0</v>
      </c>
      <c r="AR100" s="162">
        <f t="shared" ca="1" si="74"/>
        <v>0</v>
      </c>
      <c r="AS100" s="162">
        <f t="shared" ca="1" si="74"/>
        <v>0</v>
      </c>
      <c r="AT100" s="162">
        <f t="shared" ca="1" si="74"/>
        <v>0</v>
      </c>
      <c r="AU100" s="162">
        <f t="shared" ca="1" si="74"/>
        <v>0</v>
      </c>
      <c r="AV100" s="162">
        <f t="shared" ca="1" si="74"/>
        <v>-1875000</v>
      </c>
      <c r="AW100" s="162">
        <f t="shared" ca="1" si="74"/>
        <v>0</v>
      </c>
      <c r="AX100" s="162">
        <f t="shared" ca="1" si="74"/>
        <v>0</v>
      </c>
      <c r="AY100" s="162">
        <f t="shared" ca="1" si="74"/>
        <v>0</v>
      </c>
      <c r="AZ100" s="162">
        <f t="shared" ca="1" si="74"/>
        <v>0</v>
      </c>
      <c r="BA100" s="162">
        <f t="shared" ca="1" si="74"/>
        <v>0</v>
      </c>
      <c r="BB100" s="162">
        <f t="shared" ca="1" si="74"/>
        <v>-1762472.0129412687</v>
      </c>
      <c r="BC100" s="162">
        <f t="shared" ca="1" si="74"/>
        <v>0</v>
      </c>
      <c r="BD100" s="162">
        <f t="shared" ca="1" si="74"/>
        <v>0</v>
      </c>
      <c r="BE100" s="162">
        <f t="shared" ca="1" si="74"/>
        <v>0</v>
      </c>
      <c r="BF100" s="162">
        <f t="shared" ca="1" si="74"/>
        <v>0</v>
      </c>
      <c r="BG100" s="162">
        <f t="shared" ca="1" si="74"/>
        <v>0</v>
      </c>
      <c r="BH100" s="162">
        <f t="shared" ca="1" si="74"/>
        <v>-1513291.9989280105</v>
      </c>
      <c r="BI100" s="162">
        <f t="shared" ca="1" si="74"/>
        <v>0</v>
      </c>
      <c r="BJ100" s="162">
        <f t="shared" ca="1" si="74"/>
        <v>0</v>
      </c>
      <c r="BK100" s="162">
        <f t="shared" ca="1" si="74"/>
        <v>0</v>
      </c>
      <c r="BL100" s="162">
        <f t="shared" ca="1" si="74"/>
        <v>0</v>
      </c>
      <c r="BM100" s="162">
        <f t="shared" ca="1" si="74"/>
        <v>0</v>
      </c>
      <c r="BN100" s="162">
        <f t="shared" ca="1" si="74"/>
        <v>-1265541.4966859473</v>
      </c>
      <c r="BO100" s="162">
        <f t="shared" ca="1" si="74"/>
        <v>0</v>
      </c>
      <c r="BP100" s="162">
        <f t="shared" ca="1" si="74"/>
        <v>0</v>
      </c>
      <c r="BQ100" s="162">
        <f t="shared" ca="1" si="74"/>
        <v>0</v>
      </c>
      <c r="BR100" s="162">
        <f t="shared" ca="1" si="74"/>
        <v>0</v>
      </c>
      <c r="BS100" s="162">
        <f t="shared" ca="1" si="74"/>
        <v>0</v>
      </c>
      <c r="BT100" s="162">
        <f t="shared" ca="1" si="74"/>
        <v>-1722478.4355854392</v>
      </c>
      <c r="BU100" s="162">
        <f t="shared" ca="1" si="74"/>
        <v>0</v>
      </c>
      <c r="BV100" s="162">
        <f t="shared" ca="1" si="74"/>
        <v>0</v>
      </c>
      <c r="BW100" s="162">
        <f t="shared" ca="1" si="74"/>
        <v>0</v>
      </c>
      <c r="BX100" s="162">
        <f t="shared" ca="1" si="74"/>
        <v>0</v>
      </c>
      <c r="BY100" s="162">
        <f t="shared" ref="BY100:EJ100" ca="1" si="75">SUM(BY101:BY104)</f>
        <v>0</v>
      </c>
      <c r="BZ100" s="162">
        <f t="shared" ca="1" si="75"/>
        <v>-1805647.7403300544</v>
      </c>
      <c r="CA100" s="162">
        <f t="shared" ca="1" si="75"/>
        <v>0</v>
      </c>
      <c r="CB100" s="162">
        <f t="shared" ca="1" si="75"/>
        <v>0</v>
      </c>
      <c r="CC100" s="162">
        <f t="shared" ca="1" si="75"/>
        <v>0</v>
      </c>
      <c r="CD100" s="162">
        <f t="shared" ca="1" si="75"/>
        <v>0</v>
      </c>
      <c r="CE100" s="162">
        <f t="shared" ca="1" si="75"/>
        <v>0</v>
      </c>
      <c r="CF100" s="162">
        <f t="shared" ca="1" si="75"/>
        <v>-2258497.3462193981</v>
      </c>
      <c r="CG100" s="162">
        <f t="shared" ca="1" si="75"/>
        <v>0</v>
      </c>
      <c r="CH100" s="162">
        <f t="shared" ca="1" si="75"/>
        <v>0</v>
      </c>
      <c r="CI100" s="162">
        <f t="shared" ca="1" si="75"/>
        <v>0</v>
      </c>
      <c r="CJ100" s="162">
        <f t="shared" ca="1" si="75"/>
        <v>0</v>
      </c>
      <c r="CK100" s="162">
        <f t="shared" ca="1" si="75"/>
        <v>0</v>
      </c>
      <c r="CL100" s="162">
        <f t="shared" ca="1" si="75"/>
        <v>-2031213.1788212531</v>
      </c>
      <c r="CM100" s="162">
        <f t="shared" ca="1" si="75"/>
        <v>0</v>
      </c>
      <c r="CN100" s="162">
        <f t="shared" ca="1" si="75"/>
        <v>0</v>
      </c>
      <c r="CO100" s="162">
        <f t="shared" ca="1" si="75"/>
        <v>0</v>
      </c>
      <c r="CP100" s="162">
        <f t="shared" ca="1" si="75"/>
        <v>0</v>
      </c>
      <c r="CQ100" s="162">
        <f t="shared" ca="1" si="75"/>
        <v>0</v>
      </c>
      <c r="CR100" s="162">
        <f t="shared" ca="1" si="75"/>
        <v>-2480274.6567853596</v>
      </c>
      <c r="CS100" s="162">
        <f t="shared" ca="1" si="75"/>
        <v>0</v>
      </c>
      <c r="CT100" s="162">
        <f t="shared" ca="1" si="75"/>
        <v>0</v>
      </c>
      <c r="CU100" s="162">
        <f t="shared" ca="1" si="75"/>
        <v>0</v>
      </c>
      <c r="CV100" s="162">
        <f t="shared" ca="1" si="75"/>
        <v>0</v>
      </c>
      <c r="CW100" s="162">
        <f t="shared" ca="1" si="75"/>
        <v>0</v>
      </c>
      <c r="CX100" s="162">
        <f t="shared" ca="1" si="75"/>
        <v>-2035583.1337032691</v>
      </c>
      <c r="CY100" s="162">
        <f t="shared" ca="1" si="75"/>
        <v>0</v>
      </c>
      <c r="CZ100" s="162">
        <f t="shared" ca="1" si="75"/>
        <v>0</v>
      </c>
      <c r="DA100" s="162">
        <f t="shared" ca="1" si="75"/>
        <v>0</v>
      </c>
      <c r="DB100" s="162">
        <f t="shared" ca="1" si="75"/>
        <v>0</v>
      </c>
      <c r="DC100" s="162">
        <f t="shared" ca="1" si="75"/>
        <v>0</v>
      </c>
      <c r="DD100" s="162">
        <f t="shared" ca="1" si="75"/>
        <v>-1875000</v>
      </c>
      <c r="DE100" s="162">
        <f t="shared" ca="1" si="75"/>
        <v>0</v>
      </c>
      <c r="DF100" s="162">
        <f t="shared" ca="1" si="75"/>
        <v>0</v>
      </c>
      <c r="DG100" s="162">
        <f t="shared" ca="1" si="75"/>
        <v>0</v>
      </c>
      <c r="DH100" s="162">
        <f t="shared" ca="1" si="75"/>
        <v>0</v>
      </c>
      <c r="DI100" s="162">
        <f t="shared" ca="1" si="75"/>
        <v>0</v>
      </c>
      <c r="DJ100" s="162">
        <f t="shared" ca="1" si="75"/>
        <v>-1875000</v>
      </c>
      <c r="DK100" s="162">
        <f t="shared" ca="1" si="75"/>
        <v>0</v>
      </c>
      <c r="DL100" s="162">
        <f t="shared" ca="1" si="75"/>
        <v>0</v>
      </c>
      <c r="DM100" s="162">
        <f t="shared" ca="1" si="75"/>
        <v>0</v>
      </c>
      <c r="DN100" s="162">
        <f t="shared" ca="1" si="75"/>
        <v>0</v>
      </c>
      <c r="DO100" s="162">
        <f t="shared" ca="1" si="75"/>
        <v>0</v>
      </c>
      <c r="DP100" s="162">
        <f t="shared" ca="1" si="75"/>
        <v>-1875000</v>
      </c>
      <c r="DQ100" s="162">
        <f t="shared" ca="1" si="75"/>
        <v>0</v>
      </c>
      <c r="DR100" s="162">
        <f t="shared" ca="1" si="75"/>
        <v>0</v>
      </c>
      <c r="DS100" s="162">
        <f t="shared" ca="1" si="75"/>
        <v>0</v>
      </c>
      <c r="DT100" s="162">
        <f t="shared" ca="1" si="75"/>
        <v>0</v>
      </c>
      <c r="DU100" s="162">
        <f t="shared" ca="1" si="75"/>
        <v>0</v>
      </c>
      <c r="DV100" s="162">
        <f t="shared" ca="1" si="75"/>
        <v>-1875000</v>
      </c>
      <c r="DW100" s="162">
        <f t="shared" ca="1" si="75"/>
        <v>0</v>
      </c>
      <c r="DX100" s="162">
        <f t="shared" ca="1" si="75"/>
        <v>0</v>
      </c>
      <c r="DY100" s="162">
        <f t="shared" ca="1" si="75"/>
        <v>0</v>
      </c>
      <c r="DZ100" s="162">
        <f t="shared" ca="1" si="75"/>
        <v>0</v>
      </c>
      <c r="EA100" s="162">
        <f t="shared" ca="1" si="75"/>
        <v>0</v>
      </c>
      <c r="EB100" s="162">
        <f t="shared" ca="1" si="75"/>
        <v>-63642613.337566935</v>
      </c>
      <c r="EC100" s="162">
        <f t="shared" ca="1" si="75"/>
        <v>0</v>
      </c>
      <c r="ED100" s="162">
        <f t="shared" ca="1" si="75"/>
        <v>0</v>
      </c>
      <c r="EE100" s="162">
        <f t="shared" ca="1" si="75"/>
        <v>0</v>
      </c>
      <c r="EF100" s="162">
        <f t="shared" ca="1" si="75"/>
        <v>0</v>
      </c>
      <c r="EG100" s="162">
        <f t="shared" ca="1" si="75"/>
        <v>0</v>
      </c>
      <c r="EH100" s="162">
        <f t="shared" ca="1" si="75"/>
        <v>0</v>
      </c>
      <c r="EI100" s="162">
        <f t="shared" ca="1" si="75"/>
        <v>0</v>
      </c>
      <c r="EJ100" s="162">
        <f t="shared" ca="1" si="75"/>
        <v>0</v>
      </c>
      <c r="EK100" s="162">
        <f t="shared" ref="EK100:EQ100" ca="1" si="76">SUM(EK101:EK104)</f>
        <v>0</v>
      </c>
      <c r="EL100" s="162">
        <f t="shared" ca="1" si="76"/>
        <v>0</v>
      </c>
      <c r="EM100" s="162">
        <f t="shared" ca="1" si="76"/>
        <v>0</v>
      </c>
      <c r="EN100" s="162">
        <f t="shared" ca="1" si="76"/>
        <v>0</v>
      </c>
      <c r="EO100" s="162">
        <f t="shared" ca="1" si="76"/>
        <v>0</v>
      </c>
      <c r="EP100" s="162">
        <f t="shared" ca="1" si="76"/>
        <v>0</v>
      </c>
      <c r="EQ100" s="162">
        <f t="shared" ca="1" si="76"/>
        <v>0</v>
      </c>
    </row>
    <row r="101" spans="2:147" ht="11.25" customHeight="1">
      <c r="B101" s="218"/>
      <c r="C101" s="163"/>
      <c r="D101" s="164" t="s">
        <v>208</v>
      </c>
      <c r="E101" s="165"/>
      <c r="F101" s="165"/>
      <c r="G101" s="165"/>
      <c r="H101" s="166"/>
      <c r="I101" s="228"/>
      <c r="J101" s="168">
        <f>SUM(L101:EQ101)</f>
        <v>50000000</v>
      </c>
      <c r="K101" s="98"/>
      <c r="L101" s="168">
        <f>'FS_Detail(M)'!L67</f>
        <v>50000000</v>
      </c>
      <c r="M101" s="168">
        <f>'FS_Detail(M)'!M67</f>
        <v>0</v>
      </c>
      <c r="N101" s="168">
        <f>'FS_Detail(M)'!N67</f>
        <v>0</v>
      </c>
      <c r="O101" s="168">
        <f>'FS_Detail(M)'!O67</f>
        <v>0</v>
      </c>
      <c r="P101" s="168">
        <f>'FS_Detail(M)'!P67</f>
        <v>0</v>
      </c>
      <c r="Q101" s="168">
        <f>'FS_Detail(M)'!Q67</f>
        <v>0</v>
      </c>
      <c r="R101" s="168">
        <f>'FS_Detail(M)'!R67</f>
        <v>0</v>
      </c>
      <c r="S101" s="168">
        <f>'FS_Detail(M)'!S67</f>
        <v>0</v>
      </c>
      <c r="T101" s="168">
        <f>'FS_Detail(M)'!T67</f>
        <v>0</v>
      </c>
      <c r="U101" s="168">
        <f>'FS_Detail(M)'!U67</f>
        <v>0</v>
      </c>
      <c r="V101" s="168">
        <f>'FS_Detail(M)'!V67</f>
        <v>0</v>
      </c>
      <c r="W101" s="168">
        <f>'FS_Detail(M)'!W67</f>
        <v>0</v>
      </c>
      <c r="X101" s="168">
        <f>'FS_Detail(M)'!X67</f>
        <v>0</v>
      </c>
      <c r="Y101" s="168">
        <f>'FS_Detail(M)'!Y67</f>
        <v>0</v>
      </c>
      <c r="Z101" s="168">
        <f>'FS_Detail(M)'!Z67</f>
        <v>0</v>
      </c>
      <c r="AA101" s="168">
        <f>'FS_Detail(M)'!AA67</f>
        <v>0</v>
      </c>
      <c r="AB101" s="168">
        <f>'FS_Detail(M)'!AB67</f>
        <v>0</v>
      </c>
      <c r="AC101" s="168">
        <f>'FS_Detail(M)'!AC67</f>
        <v>0</v>
      </c>
      <c r="AD101" s="168">
        <f>'FS_Detail(M)'!AD67</f>
        <v>0</v>
      </c>
      <c r="AE101" s="168">
        <f>'FS_Detail(M)'!AE67</f>
        <v>0</v>
      </c>
      <c r="AF101" s="168">
        <f>'FS_Detail(M)'!AF67</f>
        <v>0</v>
      </c>
      <c r="AG101" s="168">
        <f>'FS_Detail(M)'!AG67</f>
        <v>0</v>
      </c>
      <c r="AH101" s="168">
        <f>'FS_Detail(M)'!AH67</f>
        <v>0</v>
      </c>
      <c r="AI101" s="168">
        <f>'FS_Detail(M)'!AI67</f>
        <v>0</v>
      </c>
      <c r="AJ101" s="168">
        <f>'FS_Detail(M)'!AJ67</f>
        <v>0</v>
      </c>
      <c r="AK101" s="168">
        <f>'FS_Detail(M)'!AK67</f>
        <v>0</v>
      </c>
      <c r="AL101" s="168">
        <f>'FS_Detail(M)'!AL67</f>
        <v>0</v>
      </c>
      <c r="AM101" s="168">
        <f>'FS_Detail(M)'!AM67</f>
        <v>0</v>
      </c>
      <c r="AN101" s="168">
        <f>'FS_Detail(M)'!AN67</f>
        <v>0</v>
      </c>
      <c r="AO101" s="168">
        <f>'FS_Detail(M)'!AO67</f>
        <v>0</v>
      </c>
      <c r="AP101" s="168">
        <f>'FS_Detail(M)'!AP67</f>
        <v>0</v>
      </c>
      <c r="AQ101" s="168">
        <f>'FS_Detail(M)'!AQ67</f>
        <v>0</v>
      </c>
      <c r="AR101" s="168">
        <f>'FS_Detail(M)'!AR67</f>
        <v>0</v>
      </c>
      <c r="AS101" s="168">
        <f>'FS_Detail(M)'!AS67</f>
        <v>0</v>
      </c>
      <c r="AT101" s="168">
        <f>'FS_Detail(M)'!AT67</f>
        <v>0</v>
      </c>
      <c r="AU101" s="168">
        <f>'FS_Detail(M)'!AU67</f>
        <v>0</v>
      </c>
      <c r="AV101" s="168">
        <f>'FS_Detail(M)'!AV67</f>
        <v>0</v>
      </c>
      <c r="AW101" s="168">
        <f>'FS_Detail(M)'!AW67</f>
        <v>0</v>
      </c>
      <c r="AX101" s="168">
        <f>'FS_Detail(M)'!AX67</f>
        <v>0</v>
      </c>
      <c r="AY101" s="168">
        <f>'FS_Detail(M)'!AY67</f>
        <v>0</v>
      </c>
      <c r="AZ101" s="168">
        <f>'FS_Detail(M)'!AZ67</f>
        <v>0</v>
      </c>
      <c r="BA101" s="168">
        <f>'FS_Detail(M)'!BA67</f>
        <v>0</v>
      </c>
      <c r="BB101" s="168">
        <f>'FS_Detail(M)'!BB67</f>
        <v>0</v>
      </c>
      <c r="BC101" s="168">
        <f>'FS_Detail(M)'!BC67</f>
        <v>0</v>
      </c>
      <c r="BD101" s="168">
        <f>'FS_Detail(M)'!BD67</f>
        <v>0</v>
      </c>
      <c r="BE101" s="168">
        <f>'FS_Detail(M)'!BE67</f>
        <v>0</v>
      </c>
      <c r="BF101" s="168">
        <f>'FS_Detail(M)'!BF67</f>
        <v>0</v>
      </c>
      <c r="BG101" s="168">
        <f>'FS_Detail(M)'!BG67</f>
        <v>0</v>
      </c>
      <c r="BH101" s="168">
        <f>'FS_Detail(M)'!BH67</f>
        <v>0</v>
      </c>
      <c r="BI101" s="168">
        <f>'FS_Detail(M)'!BI67</f>
        <v>0</v>
      </c>
      <c r="BJ101" s="168">
        <f>'FS_Detail(M)'!BJ67</f>
        <v>0</v>
      </c>
      <c r="BK101" s="168">
        <f>'FS_Detail(M)'!BK67</f>
        <v>0</v>
      </c>
      <c r="BL101" s="168">
        <f>'FS_Detail(M)'!BL67</f>
        <v>0</v>
      </c>
      <c r="BM101" s="168">
        <f>'FS_Detail(M)'!BM67</f>
        <v>0</v>
      </c>
      <c r="BN101" s="168">
        <f>'FS_Detail(M)'!BN67</f>
        <v>0</v>
      </c>
      <c r="BO101" s="168">
        <f>'FS_Detail(M)'!BO67</f>
        <v>0</v>
      </c>
      <c r="BP101" s="168">
        <f>'FS_Detail(M)'!BP67</f>
        <v>0</v>
      </c>
      <c r="BQ101" s="168">
        <f>'FS_Detail(M)'!BQ67</f>
        <v>0</v>
      </c>
      <c r="BR101" s="168">
        <f>'FS_Detail(M)'!BR67</f>
        <v>0</v>
      </c>
      <c r="BS101" s="168">
        <f>'FS_Detail(M)'!BS67</f>
        <v>0</v>
      </c>
      <c r="BT101" s="168">
        <f>'FS_Detail(M)'!BT67</f>
        <v>0</v>
      </c>
      <c r="BU101" s="168">
        <f>'FS_Detail(M)'!BU67</f>
        <v>0</v>
      </c>
      <c r="BV101" s="168">
        <f>'FS_Detail(M)'!BV67</f>
        <v>0</v>
      </c>
      <c r="BW101" s="168">
        <f>'FS_Detail(M)'!BW67</f>
        <v>0</v>
      </c>
      <c r="BX101" s="168">
        <f>'FS_Detail(M)'!BX67</f>
        <v>0</v>
      </c>
      <c r="BY101" s="168">
        <f>'FS_Detail(M)'!BY67</f>
        <v>0</v>
      </c>
      <c r="BZ101" s="168">
        <f>'FS_Detail(M)'!BZ67</f>
        <v>0</v>
      </c>
      <c r="CA101" s="168">
        <f>'FS_Detail(M)'!CA67</f>
        <v>0</v>
      </c>
      <c r="CB101" s="168">
        <f>'FS_Detail(M)'!CB67</f>
        <v>0</v>
      </c>
      <c r="CC101" s="168">
        <f>'FS_Detail(M)'!CC67</f>
        <v>0</v>
      </c>
      <c r="CD101" s="168">
        <f>'FS_Detail(M)'!CD67</f>
        <v>0</v>
      </c>
      <c r="CE101" s="168">
        <f>'FS_Detail(M)'!CE67</f>
        <v>0</v>
      </c>
      <c r="CF101" s="168">
        <f>'FS_Detail(M)'!CF67</f>
        <v>0</v>
      </c>
      <c r="CG101" s="168">
        <f>'FS_Detail(M)'!CG67</f>
        <v>0</v>
      </c>
      <c r="CH101" s="168">
        <f>'FS_Detail(M)'!CH67</f>
        <v>0</v>
      </c>
      <c r="CI101" s="168">
        <f>'FS_Detail(M)'!CI67</f>
        <v>0</v>
      </c>
      <c r="CJ101" s="168">
        <f>'FS_Detail(M)'!CJ67</f>
        <v>0</v>
      </c>
      <c r="CK101" s="168">
        <f>'FS_Detail(M)'!CK67</f>
        <v>0</v>
      </c>
      <c r="CL101" s="168">
        <f>'FS_Detail(M)'!CL67</f>
        <v>0</v>
      </c>
      <c r="CM101" s="168">
        <f>'FS_Detail(M)'!CM67</f>
        <v>0</v>
      </c>
      <c r="CN101" s="168">
        <f>'FS_Detail(M)'!CN67</f>
        <v>0</v>
      </c>
      <c r="CO101" s="168">
        <f>'FS_Detail(M)'!CO67</f>
        <v>0</v>
      </c>
      <c r="CP101" s="168">
        <f>'FS_Detail(M)'!CP67</f>
        <v>0</v>
      </c>
      <c r="CQ101" s="168">
        <f>'FS_Detail(M)'!CQ67</f>
        <v>0</v>
      </c>
      <c r="CR101" s="168">
        <f>'FS_Detail(M)'!CR67</f>
        <v>0</v>
      </c>
      <c r="CS101" s="168">
        <f>'FS_Detail(M)'!CS67</f>
        <v>0</v>
      </c>
      <c r="CT101" s="168">
        <f>'FS_Detail(M)'!CT67</f>
        <v>0</v>
      </c>
      <c r="CU101" s="168">
        <f>'FS_Detail(M)'!CU67</f>
        <v>0</v>
      </c>
      <c r="CV101" s="168">
        <f>'FS_Detail(M)'!CV67</f>
        <v>0</v>
      </c>
      <c r="CW101" s="168">
        <f>'FS_Detail(M)'!CW67</f>
        <v>0</v>
      </c>
      <c r="CX101" s="168">
        <f>'FS_Detail(M)'!CX67</f>
        <v>0</v>
      </c>
      <c r="CY101" s="168">
        <f>'FS_Detail(M)'!CY67</f>
        <v>0</v>
      </c>
      <c r="CZ101" s="168">
        <f>'FS_Detail(M)'!CZ67</f>
        <v>0</v>
      </c>
      <c r="DA101" s="168">
        <f>'FS_Detail(M)'!DA67</f>
        <v>0</v>
      </c>
      <c r="DB101" s="168">
        <f>'FS_Detail(M)'!DB67</f>
        <v>0</v>
      </c>
      <c r="DC101" s="168">
        <f>'FS_Detail(M)'!DC67</f>
        <v>0</v>
      </c>
      <c r="DD101" s="168">
        <f>'FS_Detail(M)'!DD67</f>
        <v>0</v>
      </c>
      <c r="DE101" s="168">
        <f>'FS_Detail(M)'!DE67</f>
        <v>0</v>
      </c>
      <c r="DF101" s="168">
        <f>'FS_Detail(M)'!DF67</f>
        <v>0</v>
      </c>
      <c r="DG101" s="168">
        <f>'FS_Detail(M)'!DG67</f>
        <v>0</v>
      </c>
      <c r="DH101" s="168">
        <f>'FS_Detail(M)'!DH67</f>
        <v>0</v>
      </c>
      <c r="DI101" s="168">
        <f>'FS_Detail(M)'!DI67</f>
        <v>0</v>
      </c>
      <c r="DJ101" s="168">
        <f>'FS_Detail(M)'!DJ67</f>
        <v>0</v>
      </c>
      <c r="DK101" s="168">
        <f>'FS_Detail(M)'!DK67</f>
        <v>0</v>
      </c>
      <c r="DL101" s="168">
        <f>'FS_Detail(M)'!DL67</f>
        <v>0</v>
      </c>
      <c r="DM101" s="168">
        <f>'FS_Detail(M)'!DM67</f>
        <v>0</v>
      </c>
      <c r="DN101" s="168">
        <f>'FS_Detail(M)'!DN67</f>
        <v>0</v>
      </c>
      <c r="DO101" s="168">
        <f>'FS_Detail(M)'!DO67</f>
        <v>0</v>
      </c>
      <c r="DP101" s="168">
        <f>'FS_Detail(M)'!DP67</f>
        <v>0</v>
      </c>
      <c r="DQ101" s="168">
        <f>'FS_Detail(M)'!DQ67</f>
        <v>0</v>
      </c>
      <c r="DR101" s="168">
        <f>'FS_Detail(M)'!DR67</f>
        <v>0</v>
      </c>
      <c r="DS101" s="168">
        <f>'FS_Detail(M)'!DS67</f>
        <v>0</v>
      </c>
      <c r="DT101" s="168">
        <f>'FS_Detail(M)'!DT67</f>
        <v>0</v>
      </c>
      <c r="DU101" s="168">
        <f>'FS_Detail(M)'!DU67</f>
        <v>0</v>
      </c>
      <c r="DV101" s="168">
        <f>'FS_Detail(M)'!DV67</f>
        <v>0</v>
      </c>
      <c r="DW101" s="168">
        <f>'FS_Detail(M)'!DW67</f>
        <v>0</v>
      </c>
      <c r="DX101" s="168">
        <f>'FS_Detail(M)'!DX67</f>
        <v>0</v>
      </c>
      <c r="DY101" s="168">
        <f>'FS_Detail(M)'!DY67</f>
        <v>0</v>
      </c>
      <c r="DZ101" s="168">
        <f>'FS_Detail(M)'!DZ67</f>
        <v>0</v>
      </c>
      <c r="EA101" s="168">
        <f>'FS_Detail(M)'!EA67</f>
        <v>0</v>
      </c>
      <c r="EB101" s="168">
        <f>'FS_Detail(M)'!EB67</f>
        <v>0</v>
      </c>
      <c r="EC101" s="168">
        <f>'FS_Detail(M)'!EC67</f>
        <v>0</v>
      </c>
      <c r="ED101" s="168">
        <f>'FS_Detail(M)'!ED67</f>
        <v>0</v>
      </c>
      <c r="EE101" s="168">
        <f>'FS_Detail(M)'!EE67</f>
        <v>0</v>
      </c>
      <c r="EF101" s="168">
        <f>'FS_Detail(M)'!EF67</f>
        <v>0</v>
      </c>
      <c r="EG101" s="168">
        <f>'FS_Detail(M)'!EG67</f>
        <v>0</v>
      </c>
      <c r="EH101" s="168">
        <f>'FS_Detail(M)'!EH67</f>
        <v>0</v>
      </c>
      <c r="EI101" s="168">
        <f>'FS_Detail(M)'!EI67</f>
        <v>0</v>
      </c>
      <c r="EJ101" s="168">
        <f>'FS_Detail(M)'!EJ67</f>
        <v>0</v>
      </c>
      <c r="EK101" s="168">
        <f>'FS_Detail(M)'!EK67</f>
        <v>0</v>
      </c>
      <c r="EL101" s="168">
        <f>'FS_Detail(M)'!EL67</f>
        <v>0</v>
      </c>
      <c r="EM101" s="168">
        <f>'FS_Detail(M)'!EM67</f>
        <v>0</v>
      </c>
      <c r="EN101" s="168">
        <f>'FS_Detail(M)'!EN67</f>
        <v>0</v>
      </c>
      <c r="EO101" s="168">
        <f>'FS_Detail(M)'!EO67</f>
        <v>0</v>
      </c>
      <c r="EP101" s="168">
        <f>'FS_Detail(M)'!EP67</f>
        <v>0</v>
      </c>
      <c r="EQ101" s="168">
        <f>'FS_Detail(M)'!EQ67</f>
        <v>0</v>
      </c>
    </row>
    <row r="102" spans="2:147" ht="11.25" customHeight="1">
      <c r="B102" s="218"/>
      <c r="C102" s="163"/>
      <c r="D102" s="169" t="s">
        <v>551</v>
      </c>
      <c r="H102" s="146"/>
      <c r="I102" s="229"/>
      <c r="J102" s="171">
        <f>SUM(L102:EQ102)</f>
        <v>-50000000</v>
      </c>
      <c r="K102" s="98"/>
      <c r="L102" s="171">
        <f>-'FS_Detail(M)'!L68</f>
        <v>0</v>
      </c>
      <c r="M102" s="171">
        <f>-'FS_Detail(M)'!M68</f>
        <v>0</v>
      </c>
      <c r="N102" s="171">
        <f>-'FS_Detail(M)'!N68</f>
        <v>0</v>
      </c>
      <c r="O102" s="171">
        <f>-'FS_Detail(M)'!O68</f>
        <v>0</v>
      </c>
      <c r="P102" s="171">
        <f>-'FS_Detail(M)'!P68</f>
        <v>0</v>
      </c>
      <c r="Q102" s="171">
        <f>-'FS_Detail(M)'!Q68</f>
        <v>0</v>
      </c>
      <c r="R102" s="171">
        <f>-'FS_Detail(M)'!R68</f>
        <v>0</v>
      </c>
      <c r="S102" s="171">
        <f>-'FS_Detail(M)'!S68</f>
        <v>0</v>
      </c>
      <c r="T102" s="171">
        <f>-'FS_Detail(M)'!T68</f>
        <v>0</v>
      </c>
      <c r="U102" s="171">
        <f>-'FS_Detail(M)'!U68</f>
        <v>0</v>
      </c>
      <c r="V102" s="171">
        <f>-'FS_Detail(M)'!V68</f>
        <v>0</v>
      </c>
      <c r="W102" s="171">
        <f>-'FS_Detail(M)'!W68</f>
        <v>0</v>
      </c>
      <c r="X102" s="171">
        <f>-'FS_Detail(M)'!X68</f>
        <v>0</v>
      </c>
      <c r="Y102" s="171">
        <f>-'FS_Detail(M)'!Y68</f>
        <v>0</v>
      </c>
      <c r="Z102" s="171">
        <f>-'FS_Detail(M)'!Z68</f>
        <v>0</v>
      </c>
      <c r="AA102" s="171">
        <f>-'FS_Detail(M)'!AA68</f>
        <v>0</v>
      </c>
      <c r="AB102" s="171">
        <f>-'FS_Detail(M)'!AB68</f>
        <v>0</v>
      </c>
      <c r="AC102" s="171">
        <f>-'FS_Detail(M)'!AC68</f>
        <v>0</v>
      </c>
      <c r="AD102" s="171">
        <f>-'FS_Detail(M)'!AD68</f>
        <v>0</v>
      </c>
      <c r="AE102" s="171">
        <f>-'FS_Detail(M)'!AE68</f>
        <v>0</v>
      </c>
      <c r="AF102" s="171">
        <f>-'FS_Detail(M)'!AF68</f>
        <v>0</v>
      </c>
      <c r="AG102" s="171">
        <f>-'FS_Detail(M)'!AG68</f>
        <v>0</v>
      </c>
      <c r="AH102" s="171">
        <f>-'FS_Detail(M)'!AH68</f>
        <v>0</v>
      </c>
      <c r="AI102" s="171">
        <f>-'FS_Detail(M)'!AI68</f>
        <v>0</v>
      </c>
      <c r="AJ102" s="171">
        <f>-'FS_Detail(M)'!AJ68</f>
        <v>0</v>
      </c>
      <c r="AK102" s="171">
        <f>-'FS_Detail(M)'!AK68</f>
        <v>0</v>
      </c>
      <c r="AL102" s="171">
        <f>-'FS_Detail(M)'!AL68</f>
        <v>0</v>
      </c>
      <c r="AM102" s="171">
        <f>-'FS_Detail(M)'!AM68</f>
        <v>0</v>
      </c>
      <c r="AN102" s="171">
        <f>-'FS_Detail(M)'!AN68</f>
        <v>0</v>
      </c>
      <c r="AO102" s="171">
        <f>-'FS_Detail(M)'!AO68</f>
        <v>0</v>
      </c>
      <c r="AP102" s="171">
        <f>-'FS_Detail(M)'!AP68</f>
        <v>0</v>
      </c>
      <c r="AQ102" s="171">
        <f>-'FS_Detail(M)'!AQ68</f>
        <v>0</v>
      </c>
      <c r="AR102" s="171">
        <f>-'FS_Detail(M)'!AR68</f>
        <v>0</v>
      </c>
      <c r="AS102" s="171">
        <f>-'FS_Detail(M)'!AS68</f>
        <v>0</v>
      </c>
      <c r="AT102" s="171">
        <f>-'FS_Detail(M)'!AT68</f>
        <v>0</v>
      </c>
      <c r="AU102" s="171">
        <f>-'FS_Detail(M)'!AU68</f>
        <v>0</v>
      </c>
      <c r="AV102" s="171">
        <f>-'FS_Detail(M)'!AV68</f>
        <v>0</v>
      </c>
      <c r="AW102" s="171">
        <f>-'FS_Detail(M)'!AW68</f>
        <v>0</v>
      </c>
      <c r="AX102" s="171">
        <f>-'FS_Detail(M)'!AX68</f>
        <v>0</v>
      </c>
      <c r="AY102" s="171">
        <f>-'FS_Detail(M)'!AY68</f>
        <v>0</v>
      </c>
      <c r="AZ102" s="171">
        <f>-'FS_Detail(M)'!AZ68</f>
        <v>0</v>
      </c>
      <c r="BA102" s="171">
        <f>-'FS_Detail(M)'!BA68</f>
        <v>0</v>
      </c>
      <c r="BB102" s="171">
        <f>-'FS_Detail(M)'!BB68</f>
        <v>0</v>
      </c>
      <c r="BC102" s="171">
        <f>-'FS_Detail(M)'!BC68</f>
        <v>0</v>
      </c>
      <c r="BD102" s="171">
        <f>-'FS_Detail(M)'!BD68</f>
        <v>0</v>
      </c>
      <c r="BE102" s="171">
        <f>-'FS_Detail(M)'!BE68</f>
        <v>0</v>
      </c>
      <c r="BF102" s="171">
        <f>-'FS_Detail(M)'!BF68</f>
        <v>0</v>
      </c>
      <c r="BG102" s="171">
        <f>-'FS_Detail(M)'!BG68</f>
        <v>0</v>
      </c>
      <c r="BH102" s="171">
        <f>-'FS_Detail(M)'!BH68</f>
        <v>0</v>
      </c>
      <c r="BI102" s="171">
        <f>-'FS_Detail(M)'!BI68</f>
        <v>0</v>
      </c>
      <c r="BJ102" s="171">
        <f>-'FS_Detail(M)'!BJ68</f>
        <v>0</v>
      </c>
      <c r="BK102" s="171">
        <f>-'FS_Detail(M)'!BK68</f>
        <v>0</v>
      </c>
      <c r="BL102" s="171">
        <f>-'FS_Detail(M)'!BL68</f>
        <v>0</v>
      </c>
      <c r="BM102" s="171">
        <f>-'FS_Detail(M)'!BM68</f>
        <v>0</v>
      </c>
      <c r="BN102" s="171">
        <f>-'FS_Detail(M)'!BN68</f>
        <v>0</v>
      </c>
      <c r="BO102" s="171">
        <f>-'FS_Detail(M)'!BO68</f>
        <v>0</v>
      </c>
      <c r="BP102" s="171">
        <f>-'FS_Detail(M)'!BP68</f>
        <v>0</v>
      </c>
      <c r="BQ102" s="171">
        <f>-'FS_Detail(M)'!BQ68</f>
        <v>0</v>
      </c>
      <c r="BR102" s="171">
        <f>-'FS_Detail(M)'!BR68</f>
        <v>0</v>
      </c>
      <c r="BS102" s="171">
        <f>-'FS_Detail(M)'!BS68</f>
        <v>0</v>
      </c>
      <c r="BT102" s="171">
        <f>-'FS_Detail(M)'!BT68</f>
        <v>0</v>
      </c>
      <c r="BU102" s="171">
        <f>-'FS_Detail(M)'!BU68</f>
        <v>0</v>
      </c>
      <c r="BV102" s="171">
        <f>-'FS_Detail(M)'!BV68</f>
        <v>0</v>
      </c>
      <c r="BW102" s="171">
        <f>-'FS_Detail(M)'!BW68</f>
        <v>0</v>
      </c>
      <c r="BX102" s="171">
        <f>-'FS_Detail(M)'!BX68</f>
        <v>0</v>
      </c>
      <c r="BY102" s="171">
        <f>-'FS_Detail(M)'!BY68</f>
        <v>0</v>
      </c>
      <c r="BZ102" s="171">
        <f>-'FS_Detail(M)'!BZ68</f>
        <v>0</v>
      </c>
      <c r="CA102" s="171">
        <f>-'FS_Detail(M)'!CA68</f>
        <v>0</v>
      </c>
      <c r="CB102" s="171">
        <f>-'FS_Detail(M)'!CB68</f>
        <v>0</v>
      </c>
      <c r="CC102" s="171">
        <f>-'FS_Detail(M)'!CC68</f>
        <v>0</v>
      </c>
      <c r="CD102" s="171">
        <f>-'FS_Detail(M)'!CD68</f>
        <v>0</v>
      </c>
      <c r="CE102" s="171">
        <f>-'FS_Detail(M)'!CE68</f>
        <v>0</v>
      </c>
      <c r="CF102" s="171">
        <f>-'FS_Detail(M)'!CF68</f>
        <v>0</v>
      </c>
      <c r="CG102" s="171">
        <f>-'FS_Detail(M)'!CG68</f>
        <v>0</v>
      </c>
      <c r="CH102" s="171">
        <f>-'FS_Detail(M)'!CH68</f>
        <v>0</v>
      </c>
      <c r="CI102" s="171">
        <f>-'FS_Detail(M)'!CI68</f>
        <v>0</v>
      </c>
      <c r="CJ102" s="171">
        <f>-'FS_Detail(M)'!CJ68</f>
        <v>0</v>
      </c>
      <c r="CK102" s="171">
        <f>-'FS_Detail(M)'!CK68</f>
        <v>0</v>
      </c>
      <c r="CL102" s="171">
        <f>-'FS_Detail(M)'!CL68</f>
        <v>0</v>
      </c>
      <c r="CM102" s="171">
        <f>-'FS_Detail(M)'!CM68</f>
        <v>0</v>
      </c>
      <c r="CN102" s="171">
        <f>-'FS_Detail(M)'!CN68</f>
        <v>0</v>
      </c>
      <c r="CO102" s="171">
        <f>-'FS_Detail(M)'!CO68</f>
        <v>0</v>
      </c>
      <c r="CP102" s="171">
        <f>-'FS_Detail(M)'!CP68</f>
        <v>0</v>
      </c>
      <c r="CQ102" s="171">
        <f>-'FS_Detail(M)'!CQ68</f>
        <v>0</v>
      </c>
      <c r="CR102" s="171">
        <f>-'FS_Detail(M)'!CR68</f>
        <v>0</v>
      </c>
      <c r="CS102" s="171">
        <f>-'FS_Detail(M)'!CS68</f>
        <v>0</v>
      </c>
      <c r="CT102" s="171">
        <f>-'FS_Detail(M)'!CT68</f>
        <v>0</v>
      </c>
      <c r="CU102" s="171">
        <f>-'FS_Detail(M)'!CU68</f>
        <v>0</v>
      </c>
      <c r="CV102" s="171">
        <f>-'FS_Detail(M)'!CV68</f>
        <v>0</v>
      </c>
      <c r="CW102" s="171">
        <f>-'FS_Detail(M)'!CW68</f>
        <v>0</v>
      </c>
      <c r="CX102" s="171">
        <f>-'FS_Detail(M)'!CX68</f>
        <v>0</v>
      </c>
      <c r="CY102" s="171">
        <f>-'FS_Detail(M)'!CY68</f>
        <v>0</v>
      </c>
      <c r="CZ102" s="171">
        <f>-'FS_Detail(M)'!CZ68</f>
        <v>0</v>
      </c>
      <c r="DA102" s="171">
        <f>-'FS_Detail(M)'!DA68</f>
        <v>0</v>
      </c>
      <c r="DB102" s="171">
        <f>-'FS_Detail(M)'!DB68</f>
        <v>0</v>
      </c>
      <c r="DC102" s="171">
        <f>-'FS_Detail(M)'!DC68</f>
        <v>0</v>
      </c>
      <c r="DD102" s="171">
        <f>-'FS_Detail(M)'!DD68</f>
        <v>0</v>
      </c>
      <c r="DE102" s="171">
        <f>-'FS_Detail(M)'!DE68</f>
        <v>0</v>
      </c>
      <c r="DF102" s="171">
        <f>-'FS_Detail(M)'!DF68</f>
        <v>0</v>
      </c>
      <c r="DG102" s="171">
        <f>-'FS_Detail(M)'!DG68</f>
        <v>0</v>
      </c>
      <c r="DH102" s="171">
        <f>-'FS_Detail(M)'!DH68</f>
        <v>0</v>
      </c>
      <c r="DI102" s="171">
        <f>-'FS_Detail(M)'!DI68</f>
        <v>0</v>
      </c>
      <c r="DJ102" s="171">
        <f>-'FS_Detail(M)'!DJ68</f>
        <v>0</v>
      </c>
      <c r="DK102" s="171">
        <f>-'FS_Detail(M)'!DK68</f>
        <v>0</v>
      </c>
      <c r="DL102" s="171">
        <f>-'FS_Detail(M)'!DL68</f>
        <v>0</v>
      </c>
      <c r="DM102" s="171">
        <f>-'FS_Detail(M)'!DM68</f>
        <v>0</v>
      </c>
      <c r="DN102" s="171">
        <f>-'FS_Detail(M)'!DN68</f>
        <v>0</v>
      </c>
      <c r="DO102" s="171">
        <f>-'FS_Detail(M)'!DO68</f>
        <v>0</v>
      </c>
      <c r="DP102" s="171">
        <f>-'FS_Detail(M)'!DP68</f>
        <v>0</v>
      </c>
      <c r="DQ102" s="171">
        <f>-'FS_Detail(M)'!DQ68</f>
        <v>0</v>
      </c>
      <c r="DR102" s="171">
        <f>-'FS_Detail(M)'!DR68</f>
        <v>0</v>
      </c>
      <c r="DS102" s="171">
        <f>-'FS_Detail(M)'!DS68</f>
        <v>0</v>
      </c>
      <c r="DT102" s="171">
        <f>-'FS_Detail(M)'!DT68</f>
        <v>0</v>
      </c>
      <c r="DU102" s="171">
        <f>-'FS_Detail(M)'!DU68</f>
        <v>0</v>
      </c>
      <c r="DV102" s="171">
        <f>-'FS_Detail(M)'!DV68</f>
        <v>0</v>
      </c>
      <c r="DW102" s="171">
        <f>-'FS_Detail(M)'!DW68</f>
        <v>0</v>
      </c>
      <c r="DX102" s="171">
        <f>-'FS_Detail(M)'!DX68</f>
        <v>0</v>
      </c>
      <c r="DY102" s="171">
        <f>-'FS_Detail(M)'!DY68</f>
        <v>0</v>
      </c>
      <c r="DZ102" s="171">
        <f>-'FS_Detail(M)'!DZ68</f>
        <v>0</v>
      </c>
      <c r="EA102" s="171">
        <f>-'FS_Detail(M)'!EA68</f>
        <v>0</v>
      </c>
      <c r="EB102" s="171">
        <f>-'FS_Detail(M)'!EB68</f>
        <v>-50000000</v>
      </c>
      <c r="EC102" s="171">
        <f>-'FS_Detail(M)'!EC68</f>
        <v>0</v>
      </c>
      <c r="ED102" s="171">
        <f>-'FS_Detail(M)'!ED68</f>
        <v>0</v>
      </c>
      <c r="EE102" s="171">
        <f>-'FS_Detail(M)'!EE68</f>
        <v>0</v>
      </c>
      <c r="EF102" s="171">
        <f>-'FS_Detail(M)'!EF68</f>
        <v>0</v>
      </c>
      <c r="EG102" s="171">
        <f>-'FS_Detail(M)'!EG68</f>
        <v>0</v>
      </c>
      <c r="EH102" s="171">
        <f>-'FS_Detail(M)'!EH68</f>
        <v>0</v>
      </c>
      <c r="EI102" s="171">
        <f>-'FS_Detail(M)'!EI68</f>
        <v>0</v>
      </c>
      <c r="EJ102" s="171">
        <f>-'FS_Detail(M)'!EJ68</f>
        <v>0</v>
      </c>
      <c r="EK102" s="171">
        <f>-'FS_Detail(M)'!EK68</f>
        <v>0</v>
      </c>
      <c r="EL102" s="171">
        <f>-'FS_Detail(M)'!EL68</f>
        <v>0</v>
      </c>
      <c r="EM102" s="171">
        <f>-'FS_Detail(M)'!EM68</f>
        <v>0</v>
      </c>
      <c r="EN102" s="171">
        <f>-'FS_Detail(M)'!EN68</f>
        <v>0</v>
      </c>
      <c r="EO102" s="171">
        <f>-'FS_Detail(M)'!EO68</f>
        <v>0</v>
      </c>
      <c r="EP102" s="171">
        <f>-'FS_Detail(M)'!EP68</f>
        <v>0</v>
      </c>
      <c r="EQ102" s="171">
        <f>-'FS_Detail(M)'!EQ68</f>
        <v>0</v>
      </c>
    </row>
    <row r="103" spans="2:147" ht="11.25" customHeight="1">
      <c r="B103" s="218"/>
      <c r="C103" s="163"/>
      <c r="D103" s="169" t="s">
        <v>261</v>
      </c>
      <c r="H103" s="146"/>
      <c r="I103" s="229"/>
      <c r="J103" s="171">
        <f ca="1">SUM(L103:EQ103)</f>
        <v>-37500000</v>
      </c>
      <c r="K103" s="98"/>
      <c r="L103" s="171">
        <f ca="1">-'IS(M)'!M80</f>
        <v>0</v>
      </c>
      <c r="M103" s="171">
        <f ca="1">-'IS(M)'!N80</f>
        <v>0</v>
      </c>
      <c r="N103" s="171">
        <f ca="1">-'IS(M)'!O80</f>
        <v>0</v>
      </c>
      <c r="O103" s="171">
        <f ca="1">-'IS(M)'!P80</f>
        <v>0</v>
      </c>
      <c r="P103" s="171">
        <f ca="1">-'IS(M)'!Q80</f>
        <v>0</v>
      </c>
      <c r="Q103" s="171">
        <f ca="1">-'IS(M)'!R80</f>
        <v>0</v>
      </c>
      <c r="R103" s="171">
        <f ca="1">-'IS(M)'!S80</f>
        <v>-1875000</v>
      </c>
      <c r="S103" s="171">
        <f ca="1">-'IS(M)'!T80</f>
        <v>0</v>
      </c>
      <c r="T103" s="171">
        <f ca="1">-'IS(M)'!U80</f>
        <v>0</v>
      </c>
      <c r="U103" s="171">
        <f ca="1">-'IS(M)'!V80</f>
        <v>0</v>
      </c>
      <c r="V103" s="171">
        <f ca="1">-'IS(M)'!W80</f>
        <v>0</v>
      </c>
      <c r="W103" s="171">
        <f ca="1">-'IS(M)'!X80</f>
        <v>0</v>
      </c>
      <c r="X103" s="171">
        <f ca="1">-'IS(M)'!Y80</f>
        <v>-1875000</v>
      </c>
      <c r="Y103" s="171">
        <f ca="1">-'IS(M)'!Z80</f>
        <v>0</v>
      </c>
      <c r="Z103" s="171">
        <f ca="1">-'IS(M)'!AA80</f>
        <v>0</v>
      </c>
      <c r="AA103" s="171">
        <f ca="1">-'IS(M)'!AB80</f>
        <v>0</v>
      </c>
      <c r="AB103" s="171">
        <f ca="1">-'IS(M)'!AC80</f>
        <v>0</v>
      </c>
      <c r="AC103" s="171">
        <f ca="1">-'IS(M)'!AD80</f>
        <v>0</v>
      </c>
      <c r="AD103" s="171">
        <f ca="1">-'IS(M)'!AE80</f>
        <v>-1875000</v>
      </c>
      <c r="AE103" s="171">
        <f ca="1">-'IS(M)'!AF80</f>
        <v>0</v>
      </c>
      <c r="AF103" s="171">
        <f ca="1">-'IS(M)'!AG80</f>
        <v>0</v>
      </c>
      <c r="AG103" s="171">
        <f ca="1">-'IS(M)'!AH80</f>
        <v>0</v>
      </c>
      <c r="AH103" s="171">
        <f ca="1">-'IS(M)'!AI80</f>
        <v>0</v>
      </c>
      <c r="AI103" s="171">
        <f ca="1">-'IS(M)'!AJ80</f>
        <v>0</v>
      </c>
      <c r="AJ103" s="171">
        <f ca="1">-'IS(M)'!AK80</f>
        <v>-1875000</v>
      </c>
      <c r="AK103" s="171">
        <f ca="1">-'IS(M)'!AL80</f>
        <v>0</v>
      </c>
      <c r="AL103" s="171">
        <f ca="1">-'IS(M)'!AM80</f>
        <v>0</v>
      </c>
      <c r="AM103" s="171">
        <f ca="1">-'IS(M)'!AN80</f>
        <v>0</v>
      </c>
      <c r="AN103" s="171">
        <f ca="1">-'IS(M)'!AO80</f>
        <v>0</v>
      </c>
      <c r="AO103" s="171">
        <f ca="1">-'IS(M)'!AP80</f>
        <v>0</v>
      </c>
      <c r="AP103" s="171">
        <f ca="1">-'IS(M)'!AQ80</f>
        <v>-1875000</v>
      </c>
      <c r="AQ103" s="171">
        <f ca="1">-'IS(M)'!AR80</f>
        <v>0</v>
      </c>
      <c r="AR103" s="171">
        <f ca="1">-'IS(M)'!AS80</f>
        <v>0</v>
      </c>
      <c r="AS103" s="171">
        <f ca="1">-'IS(M)'!AT80</f>
        <v>0</v>
      </c>
      <c r="AT103" s="171">
        <f ca="1">-'IS(M)'!AU80</f>
        <v>0</v>
      </c>
      <c r="AU103" s="171">
        <f ca="1">-'IS(M)'!AV80</f>
        <v>0</v>
      </c>
      <c r="AV103" s="171">
        <f ca="1">-'IS(M)'!AW80</f>
        <v>-1875000</v>
      </c>
      <c r="AW103" s="171">
        <f ca="1">-'IS(M)'!AX80</f>
        <v>0</v>
      </c>
      <c r="AX103" s="171">
        <f ca="1">-'IS(M)'!AY80</f>
        <v>0</v>
      </c>
      <c r="AY103" s="171">
        <f ca="1">-'IS(M)'!AZ80</f>
        <v>0</v>
      </c>
      <c r="AZ103" s="171">
        <f ca="1">-'IS(M)'!BA80</f>
        <v>0</v>
      </c>
      <c r="BA103" s="171">
        <f ca="1">-'IS(M)'!BB80</f>
        <v>0</v>
      </c>
      <c r="BB103" s="171">
        <f ca="1">-'IS(M)'!BC80</f>
        <v>-1762472.0129412687</v>
      </c>
      <c r="BC103" s="171">
        <f ca="1">-'IS(M)'!BD80</f>
        <v>0</v>
      </c>
      <c r="BD103" s="171">
        <f ca="1">-'IS(M)'!BE80</f>
        <v>0</v>
      </c>
      <c r="BE103" s="171">
        <f ca="1">-'IS(M)'!BF80</f>
        <v>0</v>
      </c>
      <c r="BF103" s="171">
        <f ca="1">-'IS(M)'!BG80</f>
        <v>0</v>
      </c>
      <c r="BG103" s="171">
        <f ca="1">-'IS(M)'!BH80</f>
        <v>0</v>
      </c>
      <c r="BH103" s="171">
        <f ca="1">-'IS(M)'!BI80</f>
        <v>-1513291.9989280105</v>
      </c>
      <c r="BI103" s="171">
        <f ca="1">-'IS(M)'!BJ80</f>
        <v>0</v>
      </c>
      <c r="BJ103" s="171">
        <f ca="1">-'IS(M)'!BK80</f>
        <v>0</v>
      </c>
      <c r="BK103" s="171">
        <f ca="1">-'IS(M)'!BL80</f>
        <v>0</v>
      </c>
      <c r="BL103" s="171">
        <f ca="1">-'IS(M)'!BM80</f>
        <v>0</v>
      </c>
      <c r="BM103" s="171">
        <f ca="1">-'IS(M)'!BN80</f>
        <v>0</v>
      </c>
      <c r="BN103" s="171">
        <f ca="1">-'IS(M)'!BO80</f>
        <v>-1265541.4966859473</v>
      </c>
      <c r="BO103" s="171">
        <f ca="1">-'IS(M)'!BP80</f>
        <v>0</v>
      </c>
      <c r="BP103" s="171">
        <f ca="1">-'IS(M)'!BQ80</f>
        <v>0</v>
      </c>
      <c r="BQ103" s="171">
        <f ca="1">-'IS(M)'!BR80</f>
        <v>0</v>
      </c>
      <c r="BR103" s="171">
        <f ca="1">-'IS(M)'!BS80</f>
        <v>0</v>
      </c>
      <c r="BS103" s="171">
        <f ca="1">-'IS(M)'!BT80</f>
        <v>0</v>
      </c>
      <c r="BT103" s="171">
        <f ca="1">-'IS(M)'!BU80</f>
        <v>-1722478.4355854392</v>
      </c>
      <c r="BU103" s="171">
        <f ca="1">-'IS(M)'!BV80</f>
        <v>0</v>
      </c>
      <c r="BV103" s="171">
        <f ca="1">-'IS(M)'!BW80</f>
        <v>0</v>
      </c>
      <c r="BW103" s="171">
        <f ca="1">-'IS(M)'!BX80</f>
        <v>0</v>
      </c>
      <c r="BX103" s="171">
        <f ca="1">-'IS(M)'!BY80</f>
        <v>0</v>
      </c>
      <c r="BY103" s="171">
        <f ca="1">-'IS(M)'!BZ80</f>
        <v>0</v>
      </c>
      <c r="BZ103" s="171">
        <f ca="1">-'IS(M)'!CA80</f>
        <v>-1805647.7403300544</v>
      </c>
      <c r="CA103" s="171">
        <f ca="1">-'IS(M)'!CB80</f>
        <v>0</v>
      </c>
      <c r="CB103" s="171">
        <f ca="1">-'IS(M)'!CC80</f>
        <v>0</v>
      </c>
      <c r="CC103" s="171">
        <f ca="1">-'IS(M)'!CD80</f>
        <v>0</v>
      </c>
      <c r="CD103" s="171">
        <f ca="1">-'IS(M)'!CE80</f>
        <v>0</v>
      </c>
      <c r="CE103" s="171">
        <f ca="1">-'IS(M)'!CF80</f>
        <v>0</v>
      </c>
      <c r="CF103" s="171">
        <f ca="1">-'IS(M)'!CG80</f>
        <v>-2258497.3462193981</v>
      </c>
      <c r="CG103" s="171">
        <f ca="1">-'IS(M)'!CH80</f>
        <v>0</v>
      </c>
      <c r="CH103" s="171">
        <f ca="1">-'IS(M)'!CI80</f>
        <v>0</v>
      </c>
      <c r="CI103" s="171">
        <f ca="1">-'IS(M)'!CJ80</f>
        <v>0</v>
      </c>
      <c r="CJ103" s="171">
        <f ca="1">-'IS(M)'!CK80</f>
        <v>0</v>
      </c>
      <c r="CK103" s="171">
        <f ca="1">-'IS(M)'!CL80</f>
        <v>0</v>
      </c>
      <c r="CL103" s="171">
        <f ca="1">-'IS(M)'!CM80</f>
        <v>-2031213.1788212531</v>
      </c>
      <c r="CM103" s="171">
        <f ca="1">-'IS(M)'!CN80</f>
        <v>0</v>
      </c>
      <c r="CN103" s="171">
        <f ca="1">-'IS(M)'!CO80</f>
        <v>0</v>
      </c>
      <c r="CO103" s="171">
        <f ca="1">-'IS(M)'!CP80</f>
        <v>0</v>
      </c>
      <c r="CP103" s="171">
        <f ca="1">-'IS(M)'!CQ80</f>
        <v>0</v>
      </c>
      <c r="CQ103" s="171">
        <f ca="1">-'IS(M)'!CR80</f>
        <v>0</v>
      </c>
      <c r="CR103" s="171">
        <f ca="1">-'IS(M)'!CS80</f>
        <v>-2480274.6567853596</v>
      </c>
      <c r="CS103" s="171">
        <f ca="1">-'IS(M)'!CT80</f>
        <v>0</v>
      </c>
      <c r="CT103" s="171">
        <f ca="1">-'IS(M)'!CU80</f>
        <v>0</v>
      </c>
      <c r="CU103" s="171">
        <f ca="1">-'IS(M)'!CV80</f>
        <v>0</v>
      </c>
      <c r="CV103" s="171">
        <f ca="1">-'IS(M)'!CW80</f>
        <v>0</v>
      </c>
      <c r="CW103" s="171">
        <f ca="1">-'IS(M)'!CX80</f>
        <v>0</v>
      </c>
      <c r="CX103" s="171">
        <f ca="1">-'IS(M)'!CY80</f>
        <v>-2035583.1337032691</v>
      </c>
      <c r="CY103" s="171">
        <f ca="1">-'IS(M)'!CZ80</f>
        <v>0</v>
      </c>
      <c r="CZ103" s="171">
        <f ca="1">-'IS(M)'!DA80</f>
        <v>0</v>
      </c>
      <c r="DA103" s="171">
        <f ca="1">-'IS(M)'!DB80</f>
        <v>0</v>
      </c>
      <c r="DB103" s="171">
        <f ca="1">-'IS(M)'!DC80</f>
        <v>0</v>
      </c>
      <c r="DC103" s="171">
        <f ca="1">-'IS(M)'!DD80</f>
        <v>0</v>
      </c>
      <c r="DD103" s="171">
        <f ca="1">-'IS(M)'!DE80</f>
        <v>-1875000</v>
      </c>
      <c r="DE103" s="171">
        <f ca="1">-'IS(M)'!DF80</f>
        <v>0</v>
      </c>
      <c r="DF103" s="171">
        <f ca="1">-'IS(M)'!DG80</f>
        <v>0</v>
      </c>
      <c r="DG103" s="171">
        <f ca="1">-'IS(M)'!DH80</f>
        <v>0</v>
      </c>
      <c r="DH103" s="171">
        <f ca="1">-'IS(M)'!DI80</f>
        <v>0</v>
      </c>
      <c r="DI103" s="171">
        <f ca="1">-'IS(M)'!DJ80</f>
        <v>0</v>
      </c>
      <c r="DJ103" s="171">
        <f ca="1">-'IS(M)'!DK80</f>
        <v>-1875000</v>
      </c>
      <c r="DK103" s="171">
        <f ca="1">-'IS(M)'!DL80</f>
        <v>0</v>
      </c>
      <c r="DL103" s="171">
        <f ca="1">-'IS(M)'!DM80</f>
        <v>0</v>
      </c>
      <c r="DM103" s="171">
        <f ca="1">-'IS(M)'!DN80</f>
        <v>0</v>
      </c>
      <c r="DN103" s="171">
        <f ca="1">-'IS(M)'!DO80</f>
        <v>0</v>
      </c>
      <c r="DO103" s="171">
        <f ca="1">-'IS(M)'!DP80</f>
        <v>0</v>
      </c>
      <c r="DP103" s="171">
        <f ca="1">-'IS(M)'!DQ80</f>
        <v>-1875000</v>
      </c>
      <c r="DQ103" s="171">
        <f ca="1">-'IS(M)'!DR80</f>
        <v>0</v>
      </c>
      <c r="DR103" s="171">
        <f ca="1">-'IS(M)'!DS80</f>
        <v>0</v>
      </c>
      <c r="DS103" s="171">
        <f ca="1">-'IS(M)'!DT80</f>
        <v>0</v>
      </c>
      <c r="DT103" s="171">
        <f ca="1">-'IS(M)'!DU80</f>
        <v>0</v>
      </c>
      <c r="DU103" s="171">
        <f ca="1">-'IS(M)'!DV80</f>
        <v>0</v>
      </c>
      <c r="DV103" s="171">
        <f ca="1">-'IS(M)'!DW80</f>
        <v>-1875000</v>
      </c>
      <c r="DW103" s="171">
        <f ca="1">-'IS(M)'!DX80</f>
        <v>0</v>
      </c>
      <c r="DX103" s="171">
        <f ca="1">-'IS(M)'!DY80</f>
        <v>0</v>
      </c>
      <c r="DY103" s="171">
        <f ca="1">-'IS(M)'!DZ80</f>
        <v>0</v>
      </c>
      <c r="DZ103" s="171">
        <f ca="1">-'IS(M)'!EA80</f>
        <v>0</v>
      </c>
      <c r="EA103" s="171">
        <f ca="1">-'IS(M)'!EB80</f>
        <v>0</v>
      </c>
      <c r="EB103" s="171">
        <f ca="1">-'IS(M)'!EC80</f>
        <v>-1875000</v>
      </c>
      <c r="EC103" s="171">
        <f ca="1">-'IS(M)'!ED80</f>
        <v>0</v>
      </c>
      <c r="ED103" s="171">
        <f ca="1">-'IS(M)'!EE80</f>
        <v>0</v>
      </c>
      <c r="EE103" s="171">
        <f ca="1">-'IS(M)'!EF80</f>
        <v>0</v>
      </c>
      <c r="EF103" s="171">
        <f ca="1">-'IS(M)'!EG80</f>
        <v>0</v>
      </c>
      <c r="EG103" s="171">
        <f ca="1">-'IS(M)'!EH80</f>
        <v>0</v>
      </c>
      <c r="EH103" s="171">
        <f ca="1">-'IS(M)'!EI80</f>
        <v>0</v>
      </c>
      <c r="EI103" s="171">
        <f ca="1">-'IS(M)'!EJ80</f>
        <v>0</v>
      </c>
      <c r="EJ103" s="171">
        <f ca="1">-'IS(M)'!EK80</f>
        <v>0</v>
      </c>
      <c r="EK103" s="171">
        <f ca="1">-'IS(M)'!EL80</f>
        <v>0</v>
      </c>
      <c r="EL103" s="171">
        <f ca="1">-'IS(M)'!EM80</f>
        <v>0</v>
      </c>
      <c r="EM103" s="171">
        <f ca="1">-'IS(M)'!EN80</f>
        <v>0</v>
      </c>
      <c r="EN103" s="171">
        <f ca="1">-'IS(M)'!EO80</f>
        <v>0</v>
      </c>
      <c r="EO103" s="171">
        <f ca="1">-'IS(M)'!EP80</f>
        <v>0</v>
      </c>
      <c r="EP103" s="171">
        <f ca="1">-'IS(M)'!EQ80</f>
        <v>0</v>
      </c>
      <c r="EQ103" s="171">
        <f ca="1">-'IS(M)'!ER80</f>
        <v>0</v>
      </c>
    </row>
    <row r="104" spans="2:147" ht="11.25" customHeight="1">
      <c r="B104" s="218"/>
      <c r="C104" s="163"/>
      <c r="D104" s="169" t="s">
        <v>469</v>
      </c>
      <c r="G104" s="65">
        <f>'A&amp;R'!T42</f>
        <v>0.2</v>
      </c>
      <c r="H104" s="146">
        <f>'A&amp;R'!$E$39</f>
        <v>49979</v>
      </c>
      <c r="I104" s="229">
        <f>$H$156*G104</f>
        <v>11767613.337566935</v>
      </c>
      <c r="J104" s="171">
        <f>SUM(L104:EQ104)</f>
        <v>-11767613.337566935</v>
      </c>
      <c r="K104" s="98"/>
      <c r="L104" s="171">
        <f>-$I104*(L$13=$H104)</f>
        <v>0</v>
      </c>
      <c r="M104" s="171">
        <f t="shared" ref="M104:BX104" si="77">-$I104*(M$13=$H104)</f>
        <v>0</v>
      </c>
      <c r="N104" s="171">
        <f t="shared" si="77"/>
        <v>0</v>
      </c>
      <c r="O104" s="171">
        <f t="shared" si="77"/>
        <v>0</v>
      </c>
      <c r="P104" s="171">
        <f t="shared" si="77"/>
        <v>0</v>
      </c>
      <c r="Q104" s="171">
        <f t="shared" si="77"/>
        <v>0</v>
      </c>
      <c r="R104" s="171">
        <f t="shared" si="77"/>
        <v>0</v>
      </c>
      <c r="S104" s="171">
        <f t="shared" si="77"/>
        <v>0</v>
      </c>
      <c r="T104" s="171">
        <f t="shared" si="77"/>
        <v>0</v>
      </c>
      <c r="U104" s="171">
        <f t="shared" si="77"/>
        <v>0</v>
      </c>
      <c r="V104" s="171">
        <f t="shared" si="77"/>
        <v>0</v>
      </c>
      <c r="W104" s="171">
        <f t="shared" si="77"/>
        <v>0</v>
      </c>
      <c r="X104" s="171">
        <f t="shared" si="77"/>
        <v>0</v>
      </c>
      <c r="Y104" s="171">
        <f t="shared" si="77"/>
        <v>0</v>
      </c>
      <c r="Z104" s="171">
        <f t="shared" si="77"/>
        <v>0</v>
      </c>
      <c r="AA104" s="171">
        <f t="shared" si="77"/>
        <v>0</v>
      </c>
      <c r="AB104" s="171">
        <f t="shared" si="77"/>
        <v>0</v>
      </c>
      <c r="AC104" s="171">
        <f t="shared" si="77"/>
        <v>0</v>
      </c>
      <c r="AD104" s="171">
        <f t="shared" si="77"/>
        <v>0</v>
      </c>
      <c r="AE104" s="171">
        <f t="shared" si="77"/>
        <v>0</v>
      </c>
      <c r="AF104" s="171">
        <f t="shared" si="77"/>
        <v>0</v>
      </c>
      <c r="AG104" s="171">
        <f t="shared" si="77"/>
        <v>0</v>
      </c>
      <c r="AH104" s="171">
        <f t="shared" si="77"/>
        <v>0</v>
      </c>
      <c r="AI104" s="171">
        <f t="shared" si="77"/>
        <v>0</v>
      </c>
      <c r="AJ104" s="171">
        <f t="shared" si="77"/>
        <v>0</v>
      </c>
      <c r="AK104" s="171">
        <f t="shared" si="77"/>
        <v>0</v>
      </c>
      <c r="AL104" s="171">
        <f t="shared" si="77"/>
        <v>0</v>
      </c>
      <c r="AM104" s="171">
        <f t="shared" si="77"/>
        <v>0</v>
      </c>
      <c r="AN104" s="171">
        <f t="shared" si="77"/>
        <v>0</v>
      </c>
      <c r="AO104" s="171">
        <f t="shared" si="77"/>
        <v>0</v>
      </c>
      <c r="AP104" s="171">
        <f t="shared" si="77"/>
        <v>0</v>
      </c>
      <c r="AQ104" s="171">
        <f t="shared" si="77"/>
        <v>0</v>
      </c>
      <c r="AR104" s="171">
        <f t="shared" si="77"/>
        <v>0</v>
      </c>
      <c r="AS104" s="171">
        <f t="shared" si="77"/>
        <v>0</v>
      </c>
      <c r="AT104" s="171">
        <f t="shared" si="77"/>
        <v>0</v>
      </c>
      <c r="AU104" s="171">
        <f t="shared" si="77"/>
        <v>0</v>
      </c>
      <c r="AV104" s="171">
        <f t="shared" si="77"/>
        <v>0</v>
      </c>
      <c r="AW104" s="171">
        <f t="shared" si="77"/>
        <v>0</v>
      </c>
      <c r="AX104" s="171">
        <f t="shared" si="77"/>
        <v>0</v>
      </c>
      <c r="AY104" s="171">
        <f t="shared" si="77"/>
        <v>0</v>
      </c>
      <c r="AZ104" s="171">
        <f t="shared" si="77"/>
        <v>0</v>
      </c>
      <c r="BA104" s="171">
        <f t="shared" si="77"/>
        <v>0</v>
      </c>
      <c r="BB104" s="171">
        <f t="shared" si="77"/>
        <v>0</v>
      </c>
      <c r="BC104" s="171">
        <f t="shared" si="77"/>
        <v>0</v>
      </c>
      <c r="BD104" s="171">
        <f t="shared" si="77"/>
        <v>0</v>
      </c>
      <c r="BE104" s="171">
        <f t="shared" si="77"/>
        <v>0</v>
      </c>
      <c r="BF104" s="171">
        <f t="shared" si="77"/>
        <v>0</v>
      </c>
      <c r="BG104" s="171">
        <f t="shared" si="77"/>
        <v>0</v>
      </c>
      <c r="BH104" s="171">
        <f t="shared" si="77"/>
        <v>0</v>
      </c>
      <c r="BI104" s="171">
        <f t="shared" si="77"/>
        <v>0</v>
      </c>
      <c r="BJ104" s="171">
        <f t="shared" si="77"/>
        <v>0</v>
      </c>
      <c r="BK104" s="171">
        <f t="shared" si="77"/>
        <v>0</v>
      </c>
      <c r="BL104" s="171">
        <f t="shared" si="77"/>
        <v>0</v>
      </c>
      <c r="BM104" s="171">
        <f t="shared" si="77"/>
        <v>0</v>
      </c>
      <c r="BN104" s="171">
        <f t="shared" si="77"/>
        <v>0</v>
      </c>
      <c r="BO104" s="171">
        <f t="shared" si="77"/>
        <v>0</v>
      </c>
      <c r="BP104" s="171">
        <f t="shared" si="77"/>
        <v>0</v>
      </c>
      <c r="BQ104" s="171">
        <f t="shared" si="77"/>
        <v>0</v>
      </c>
      <c r="BR104" s="171">
        <f t="shared" si="77"/>
        <v>0</v>
      </c>
      <c r="BS104" s="171">
        <f t="shared" si="77"/>
        <v>0</v>
      </c>
      <c r="BT104" s="171">
        <f t="shared" si="77"/>
        <v>0</v>
      </c>
      <c r="BU104" s="171">
        <f t="shared" si="77"/>
        <v>0</v>
      </c>
      <c r="BV104" s="171">
        <f t="shared" si="77"/>
        <v>0</v>
      </c>
      <c r="BW104" s="171">
        <f t="shared" si="77"/>
        <v>0</v>
      </c>
      <c r="BX104" s="171">
        <f t="shared" si="77"/>
        <v>0</v>
      </c>
      <c r="BY104" s="171">
        <f t="shared" ref="BY104:EJ104" si="78">-$I104*(BY$13=$H104)</f>
        <v>0</v>
      </c>
      <c r="BZ104" s="171">
        <f t="shared" si="78"/>
        <v>0</v>
      </c>
      <c r="CA104" s="171">
        <f t="shared" si="78"/>
        <v>0</v>
      </c>
      <c r="CB104" s="171">
        <f t="shared" si="78"/>
        <v>0</v>
      </c>
      <c r="CC104" s="171">
        <f t="shared" si="78"/>
        <v>0</v>
      </c>
      <c r="CD104" s="171">
        <f t="shared" si="78"/>
        <v>0</v>
      </c>
      <c r="CE104" s="171">
        <f t="shared" si="78"/>
        <v>0</v>
      </c>
      <c r="CF104" s="171">
        <f t="shared" si="78"/>
        <v>0</v>
      </c>
      <c r="CG104" s="171">
        <f t="shared" si="78"/>
        <v>0</v>
      </c>
      <c r="CH104" s="171">
        <f t="shared" si="78"/>
        <v>0</v>
      </c>
      <c r="CI104" s="171">
        <f t="shared" si="78"/>
        <v>0</v>
      </c>
      <c r="CJ104" s="171">
        <f t="shared" si="78"/>
        <v>0</v>
      </c>
      <c r="CK104" s="171">
        <f t="shared" si="78"/>
        <v>0</v>
      </c>
      <c r="CL104" s="171">
        <f t="shared" si="78"/>
        <v>0</v>
      </c>
      <c r="CM104" s="171">
        <f t="shared" si="78"/>
        <v>0</v>
      </c>
      <c r="CN104" s="171">
        <f t="shared" si="78"/>
        <v>0</v>
      </c>
      <c r="CO104" s="171">
        <f t="shared" si="78"/>
        <v>0</v>
      </c>
      <c r="CP104" s="171">
        <f t="shared" si="78"/>
        <v>0</v>
      </c>
      <c r="CQ104" s="171">
        <f t="shared" si="78"/>
        <v>0</v>
      </c>
      <c r="CR104" s="171">
        <f t="shared" si="78"/>
        <v>0</v>
      </c>
      <c r="CS104" s="171">
        <f t="shared" si="78"/>
        <v>0</v>
      </c>
      <c r="CT104" s="171">
        <f t="shared" si="78"/>
        <v>0</v>
      </c>
      <c r="CU104" s="171">
        <f t="shared" si="78"/>
        <v>0</v>
      </c>
      <c r="CV104" s="171">
        <f t="shared" si="78"/>
        <v>0</v>
      </c>
      <c r="CW104" s="171">
        <f t="shared" si="78"/>
        <v>0</v>
      </c>
      <c r="CX104" s="171">
        <f t="shared" si="78"/>
        <v>0</v>
      </c>
      <c r="CY104" s="171">
        <f t="shared" si="78"/>
        <v>0</v>
      </c>
      <c r="CZ104" s="171">
        <f t="shared" si="78"/>
        <v>0</v>
      </c>
      <c r="DA104" s="171">
        <f t="shared" si="78"/>
        <v>0</v>
      </c>
      <c r="DB104" s="171">
        <f t="shared" si="78"/>
        <v>0</v>
      </c>
      <c r="DC104" s="171">
        <f t="shared" si="78"/>
        <v>0</v>
      </c>
      <c r="DD104" s="171">
        <f t="shared" si="78"/>
        <v>0</v>
      </c>
      <c r="DE104" s="171">
        <f t="shared" si="78"/>
        <v>0</v>
      </c>
      <c r="DF104" s="171">
        <f t="shared" si="78"/>
        <v>0</v>
      </c>
      <c r="DG104" s="171">
        <f t="shared" si="78"/>
        <v>0</v>
      </c>
      <c r="DH104" s="171">
        <f t="shared" si="78"/>
        <v>0</v>
      </c>
      <c r="DI104" s="171">
        <f t="shared" si="78"/>
        <v>0</v>
      </c>
      <c r="DJ104" s="171">
        <f t="shared" si="78"/>
        <v>0</v>
      </c>
      <c r="DK104" s="171">
        <f t="shared" si="78"/>
        <v>0</v>
      </c>
      <c r="DL104" s="171">
        <f t="shared" si="78"/>
        <v>0</v>
      </c>
      <c r="DM104" s="171">
        <f t="shared" si="78"/>
        <v>0</v>
      </c>
      <c r="DN104" s="171">
        <f t="shared" si="78"/>
        <v>0</v>
      </c>
      <c r="DO104" s="171">
        <f t="shared" si="78"/>
        <v>0</v>
      </c>
      <c r="DP104" s="171">
        <f t="shared" si="78"/>
        <v>0</v>
      </c>
      <c r="DQ104" s="171">
        <f t="shared" si="78"/>
        <v>0</v>
      </c>
      <c r="DR104" s="171">
        <f t="shared" si="78"/>
        <v>0</v>
      </c>
      <c r="DS104" s="171">
        <f t="shared" si="78"/>
        <v>0</v>
      </c>
      <c r="DT104" s="171">
        <f t="shared" si="78"/>
        <v>0</v>
      </c>
      <c r="DU104" s="171">
        <f t="shared" si="78"/>
        <v>0</v>
      </c>
      <c r="DV104" s="171">
        <f t="shared" si="78"/>
        <v>0</v>
      </c>
      <c r="DW104" s="171">
        <f t="shared" si="78"/>
        <v>0</v>
      </c>
      <c r="DX104" s="171">
        <f t="shared" si="78"/>
        <v>0</v>
      </c>
      <c r="DY104" s="171">
        <f t="shared" si="78"/>
        <v>0</v>
      </c>
      <c r="DZ104" s="171">
        <f t="shared" si="78"/>
        <v>0</v>
      </c>
      <c r="EA104" s="171">
        <f t="shared" si="78"/>
        <v>0</v>
      </c>
      <c r="EB104" s="171">
        <f t="shared" si="78"/>
        <v>-11767613.337566935</v>
      </c>
      <c r="EC104" s="171">
        <f t="shared" si="78"/>
        <v>0</v>
      </c>
      <c r="ED104" s="171">
        <f t="shared" si="78"/>
        <v>0</v>
      </c>
      <c r="EE104" s="171">
        <f t="shared" si="78"/>
        <v>0</v>
      </c>
      <c r="EF104" s="171">
        <f t="shared" si="78"/>
        <v>0</v>
      </c>
      <c r="EG104" s="171">
        <f t="shared" si="78"/>
        <v>0</v>
      </c>
      <c r="EH104" s="171">
        <f t="shared" si="78"/>
        <v>0</v>
      </c>
      <c r="EI104" s="171">
        <f t="shared" si="78"/>
        <v>0</v>
      </c>
      <c r="EJ104" s="171">
        <f t="shared" si="78"/>
        <v>0</v>
      </c>
      <c r="EK104" s="171">
        <f t="shared" ref="EK104:EQ104" si="79">-$I104*(EK$13=$H104)</f>
        <v>0</v>
      </c>
      <c r="EL104" s="171">
        <f t="shared" si="79"/>
        <v>0</v>
      </c>
      <c r="EM104" s="171">
        <f t="shared" si="79"/>
        <v>0</v>
      </c>
      <c r="EN104" s="171">
        <f t="shared" si="79"/>
        <v>0</v>
      </c>
      <c r="EO104" s="171">
        <f t="shared" si="79"/>
        <v>0</v>
      </c>
      <c r="EP104" s="171">
        <f t="shared" si="79"/>
        <v>0</v>
      </c>
      <c r="EQ104" s="171">
        <f t="shared" si="79"/>
        <v>0</v>
      </c>
    </row>
    <row r="105" spans="2:147" ht="11.25" customHeight="1">
      <c r="B105" s="218"/>
      <c r="C105" s="158" t="str">
        <f>'A&amp;R'!L43</f>
        <v>3종 우선주(LF)</v>
      </c>
      <c r="D105" s="159"/>
      <c r="E105" s="159"/>
      <c r="F105" s="159"/>
      <c r="G105" s="159"/>
      <c r="H105" s="160"/>
      <c r="I105" s="219"/>
      <c r="J105" s="220">
        <f>SUM(J106:J109)</f>
        <v>0</v>
      </c>
      <c r="K105" s="98"/>
      <c r="L105" s="162">
        <f>SUM(L106:L109)</f>
        <v>10000000</v>
      </c>
      <c r="M105" s="162">
        <f t="shared" ref="M105:BX105" si="80">SUM(M106:M109)</f>
        <v>0</v>
      </c>
      <c r="N105" s="162">
        <f t="shared" si="80"/>
        <v>0</v>
      </c>
      <c r="O105" s="162">
        <f t="shared" si="80"/>
        <v>0</v>
      </c>
      <c r="P105" s="162">
        <f t="shared" si="80"/>
        <v>0</v>
      </c>
      <c r="Q105" s="162">
        <f t="shared" si="80"/>
        <v>0</v>
      </c>
      <c r="R105" s="162">
        <f t="shared" si="80"/>
        <v>0</v>
      </c>
      <c r="S105" s="162">
        <f t="shared" si="80"/>
        <v>0</v>
      </c>
      <c r="T105" s="162">
        <f t="shared" si="80"/>
        <v>0</v>
      </c>
      <c r="U105" s="162">
        <f t="shared" si="80"/>
        <v>0</v>
      </c>
      <c r="V105" s="162">
        <f t="shared" si="80"/>
        <v>0</v>
      </c>
      <c r="W105" s="162">
        <f t="shared" si="80"/>
        <v>0</v>
      </c>
      <c r="X105" s="162">
        <f t="shared" si="80"/>
        <v>0</v>
      </c>
      <c r="Y105" s="162">
        <f t="shared" si="80"/>
        <v>0</v>
      </c>
      <c r="Z105" s="162">
        <f t="shared" si="80"/>
        <v>0</v>
      </c>
      <c r="AA105" s="162">
        <f t="shared" si="80"/>
        <v>0</v>
      </c>
      <c r="AB105" s="162">
        <f t="shared" si="80"/>
        <v>0</v>
      </c>
      <c r="AC105" s="162">
        <f t="shared" si="80"/>
        <v>0</v>
      </c>
      <c r="AD105" s="162">
        <f t="shared" si="80"/>
        <v>0</v>
      </c>
      <c r="AE105" s="162">
        <f t="shared" si="80"/>
        <v>0</v>
      </c>
      <c r="AF105" s="162">
        <f t="shared" si="80"/>
        <v>0</v>
      </c>
      <c r="AG105" s="162">
        <f t="shared" si="80"/>
        <v>0</v>
      </c>
      <c r="AH105" s="162">
        <f t="shared" si="80"/>
        <v>0</v>
      </c>
      <c r="AI105" s="162">
        <f t="shared" si="80"/>
        <v>0</v>
      </c>
      <c r="AJ105" s="162">
        <f t="shared" si="80"/>
        <v>-10000000</v>
      </c>
      <c r="AK105" s="162">
        <f t="shared" si="80"/>
        <v>0</v>
      </c>
      <c r="AL105" s="162">
        <f t="shared" si="80"/>
        <v>0</v>
      </c>
      <c r="AM105" s="162">
        <f t="shared" si="80"/>
        <v>0</v>
      </c>
      <c r="AN105" s="162">
        <f t="shared" si="80"/>
        <v>0</v>
      </c>
      <c r="AO105" s="162">
        <f t="shared" si="80"/>
        <v>0</v>
      </c>
      <c r="AP105" s="162">
        <f t="shared" si="80"/>
        <v>0</v>
      </c>
      <c r="AQ105" s="162">
        <f t="shared" si="80"/>
        <v>0</v>
      </c>
      <c r="AR105" s="162">
        <f t="shared" si="80"/>
        <v>0</v>
      </c>
      <c r="AS105" s="162">
        <f t="shared" si="80"/>
        <v>0</v>
      </c>
      <c r="AT105" s="162">
        <f t="shared" si="80"/>
        <v>0</v>
      </c>
      <c r="AU105" s="162">
        <f t="shared" si="80"/>
        <v>0</v>
      </c>
      <c r="AV105" s="162">
        <f t="shared" si="80"/>
        <v>0</v>
      </c>
      <c r="AW105" s="162">
        <f t="shared" si="80"/>
        <v>0</v>
      </c>
      <c r="AX105" s="162">
        <f t="shared" si="80"/>
        <v>0</v>
      </c>
      <c r="AY105" s="162">
        <f t="shared" si="80"/>
        <v>0</v>
      </c>
      <c r="AZ105" s="162">
        <f t="shared" si="80"/>
        <v>0</v>
      </c>
      <c r="BA105" s="162">
        <f t="shared" si="80"/>
        <v>0</v>
      </c>
      <c r="BB105" s="162">
        <f t="shared" si="80"/>
        <v>0</v>
      </c>
      <c r="BC105" s="162">
        <f t="shared" si="80"/>
        <v>0</v>
      </c>
      <c r="BD105" s="162">
        <f t="shared" si="80"/>
        <v>0</v>
      </c>
      <c r="BE105" s="162">
        <f t="shared" si="80"/>
        <v>0</v>
      </c>
      <c r="BF105" s="162">
        <f t="shared" si="80"/>
        <v>0</v>
      </c>
      <c r="BG105" s="162">
        <f t="shared" si="80"/>
        <v>0</v>
      </c>
      <c r="BH105" s="162">
        <f t="shared" si="80"/>
        <v>0</v>
      </c>
      <c r="BI105" s="162">
        <f t="shared" si="80"/>
        <v>0</v>
      </c>
      <c r="BJ105" s="162">
        <f t="shared" si="80"/>
        <v>0</v>
      </c>
      <c r="BK105" s="162">
        <f t="shared" si="80"/>
        <v>0</v>
      </c>
      <c r="BL105" s="162">
        <f t="shared" si="80"/>
        <v>0</v>
      </c>
      <c r="BM105" s="162">
        <f t="shared" si="80"/>
        <v>0</v>
      </c>
      <c r="BN105" s="162">
        <f t="shared" si="80"/>
        <v>0</v>
      </c>
      <c r="BO105" s="162">
        <f t="shared" si="80"/>
        <v>0</v>
      </c>
      <c r="BP105" s="162">
        <f t="shared" si="80"/>
        <v>0</v>
      </c>
      <c r="BQ105" s="162">
        <f t="shared" si="80"/>
        <v>0</v>
      </c>
      <c r="BR105" s="162">
        <f t="shared" si="80"/>
        <v>0</v>
      </c>
      <c r="BS105" s="162">
        <f t="shared" si="80"/>
        <v>0</v>
      </c>
      <c r="BT105" s="162">
        <f t="shared" si="80"/>
        <v>0</v>
      </c>
      <c r="BU105" s="162">
        <f t="shared" si="80"/>
        <v>0</v>
      </c>
      <c r="BV105" s="162">
        <f t="shared" si="80"/>
        <v>0</v>
      </c>
      <c r="BW105" s="162">
        <f t="shared" si="80"/>
        <v>0</v>
      </c>
      <c r="BX105" s="162">
        <f t="shared" si="80"/>
        <v>0</v>
      </c>
      <c r="BY105" s="162">
        <f t="shared" ref="BY105:EJ105" si="81">SUM(BY106:BY109)</f>
        <v>0</v>
      </c>
      <c r="BZ105" s="162">
        <f t="shared" si="81"/>
        <v>0</v>
      </c>
      <c r="CA105" s="162">
        <f t="shared" si="81"/>
        <v>0</v>
      </c>
      <c r="CB105" s="162">
        <f t="shared" si="81"/>
        <v>0</v>
      </c>
      <c r="CC105" s="162">
        <f t="shared" si="81"/>
        <v>0</v>
      </c>
      <c r="CD105" s="162">
        <f t="shared" si="81"/>
        <v>0</v>
      </c>
      <c r="CE105" s="162">
        <f t="shared" si="81"/>
        <v>0</v>
      </c>
      <c r="CF105" s="162">
        <f t="shared" si="81"/>
        <v>0</v>
      </c>
      <c r="CG105" s="162">
        <f t="shared" si="81"/>
        <v>0</v>
      </c>
      <c r="CH105" s="162">
        <f t="shared" si="81"/>
        <v>0</v>
      </c>
      <c r="CI105" s="162">
        <f t="shared" si="81"/>
        <v>0</v>
      </c>
      <c r="CJ105" s="162">
        <f t="shared" si="81"/>
        <v>0</v>
      </c>
      <c r="CK105" s="162">
        <f t="shared" si="81"/>
        <v>0</v>
      </c>
      <c r="CL105" s="162">
        <f t="shared" si="81"/>
        <v>0</v>
      </c>
      <c r="CM105" s="162">
        <f t="shared" si="81"/>
        <v>0</v>
      </c>
      <c r="CN105" s="162">
        <f t="shared" si="81"/>
        <v>0</v>
      </c>
      <c r="CO105" s="162">
        <f t="shared" si="81"/>
        <v>0</v>
      </c>
      <c r="CP105" s="162">
        <f t="shared" si="81"/>
        <v>0</v>
      </c>
      <c r="CQ105" s="162">
        <f t="shared" si="81"/>
        <v>0</v>
      </c>
      <c r="CR105" s="162">
        <f t="shared" si="81"/>
        <v>0</v>
      </c>
      <c r="CS105" s="162">
        <f t="shared" si="81"/>
        <v>0</v>
      </c>
      <c r="CT105" s="162">
        <f t="shared" si="81"/>
        <v>0</v>
      </c>
      <c r="CU105" s="162">
        <f t="shared" si="81"/>
        <v>0</v>
      </c>
      <c r="CV105" s="162">
        <f t="shared" si="81"/>
        <v>0</v>
      </c>
      <c r="CW105" s="162">
        <f t="shared" si="81"/>
        <v>0</v>
      </c>
      <c r="CX105" s="162">
        <f t="shared" si="81"/>
        <v>0</v>
      </c>
      <c r="CY105" s="162">
        <f t="shared" si="81"/>
        <v>0</v>
      </c>
      <c r="CZ105" s="162">
        <f t="shared" si="81"/>
        <v>0</v>
      </c>
      <c r="DA105" s="162">
        <f t="shared" si="81"/>
        <v>0</v>
      </c>
      <c r="DB105" s="162">
        <f t="shared" si="81"/>
        <v>0</v>
      </c>
      <c r="DC105" s="162">
        <f t="shared" si="81"/>
        <v>0</v>
      </c>
      <c r="DD105" s="162">
        <f t="shared" si="81"/>
        <v>0</v>
      </c>
      <c r="DE105" s="162">
        <f t="shared" si="81"/>
        <v>0</v>
      </c>
      <c r="DF105" s="162">
        <f t="shared" si="81"/>
        <v>0</v>
      </c>
      <c r="DG105" s="162">
        <f t="shared" si="81"/>
        <v>0</v>
      </c>
      <c r="DH105" s="162">
        <f t="shared" si="81"/>
        <v>0</v>
      </c>
      <c r="DI105" s="162">
        <f t="shared" si="81"/>
        <v>0</v>
      </c>
      <c r="DJ105" s="162">
        <f t="shared" si="81"/>
        <v>0</v>
      </c>
      <c r="DK105" s="162">
        <f t="shared" si="81"/>
        <v>0</v>
      </c>
      <c r="DL105" s="162">
        <f t="shared" si="81"/>
        <v>0</v>
      </c>
      <c r="DM105" s="162">
        <f t="shared" si="81"/>
        <v>0</v>
      </c>
      <c r="DN105" s="162">
        <f t="shared" si="81"/>
        <v>0</v>
      </c>
      <c r="DO105" s="162">
        <f t="shared" si="81"/>
        <v>0</v>
      </c>
      <c r="DP105" s="162">
        <f t="shared" si="81"/>
        <v>0</v>
      </c>
      <c r="DQ105" s="162">
        <f t="shared" si="81"/>
        <v>0</v>
      </c>
      <c r="DR105" s="162">
        <f t="shared" si="81"/>
        <v>0</v>
      </c>
      <c r="DS105" s="162">
        <f t="shared" si="81"/>
        <v>0</v>
      </c>
      <c r="DT105" s="162">
        <f t="shared" si="81"/>
        <v>0</v>
      </c>
      <c r="DU105" s="162">
        <f t="shared" si="81"/>
        <v>0</v>
      </c>
      <c r="DV105" s="162">
        <f t="shared" si="81"/>
        <v>0</v>
      </c>
      <c r="DW105" s="162">
        <f t="shared" si="81"/>
        <v>0</v>
      </c>
      <c r="DX105" s="162">
        <f t="shared" si="81"/>
        <v>0</v>
      </c>
      <c r="DY105" s="162">
        <f t="shared" si="81"/>
        <v>0</v>
      </c>
      <c r="DZ105" s="162">
        <f t="shared" si="81"/>
        <v>0</v>
      </c>
      <c r="EA105" s="162">
        <f t="shared" si="81"/>
        <v>0</v>
      </c>
      <c r="EB105" s="162">
        <f t="shared" si="81"/>
        <v>0</v>
      </c>
      <c r="EC105" s="162">
        <f t="shared" si="81"/>
        <v>0</v>
      </c>
      <c r="ED105" s="162">
        <f t="shared" si="81"/>
        <v>0</v>
      </c>
      <c r="EE105" s="162">
        <f t="shared" si="81"/>
        <v>0</v>
      </c>
      <c r="EF105" s="162">
        <f t="shared" si="81"/>
        <v>0</v>
      </c>
      <c r="EG105" s="162">
        <f t="shared" si="81"/>
        <v>0</v>
      </c>
      <c r="EH105" s="162">
        <f t="shared" si="81"/>
        <v>0</v>
      </c>
      <c r="EI105" s="162">
        <f t="shared" si="81"/>
        <v>0</v>
      </c>
      <c r="EJ105" s="162">
        <f t="shared" si="81"/>
        <v>0</v>
      </c>
      <c r="EK105" s="162">
        <f t="shared" ref="EK105:EQ105" si="82">SUM(EK106:EK109)</f>
        <v>0</v>
      </c>
      <c r="EL105" s="162">
        <f t="shared" si="82"/>
        <v>0</v>
      </c>
      <c r="EM105" s="162">
        <f t="shared" si="82"/>
        <v>0</v>
      </c>
      <c r="EN105" s="162">
        <f t="shared" si="82"/>
        <v>0</v>
      </c>
      <c r="EO105" s="162">
        <f t="shared" si="82"/>
        <v>0</v>
      </c>
      <c r="EP105" s="162">
        <f t="shared" si="82"/>
        <v>0</v>
      </c>
      <c r="EQ105" s="162">
        <f t="shared" si="82"/>
        <v>0</v>
      </c>
    </row>
    <row r="106" spans="2:147" ht="11.25" customHeight="1">
      <c r="B106" s="218"/>
      <c r="C106" s="163"/>
      <c r="D106" s="164" t="s">
        <v>208</v>
      </c>
      <c r="E106" s="165"/>
      <c r="F106" s="165"/>
      <c r="G106" s="165"/>
      <c r="H106" s="166"/>
      <c r="I106" s="228"/>
      <c r="J106" s="168">
        <f>SUM(L106:EQ106)</f>
        <v>10000000</v>
      </c>
      <c r="K106" s="98"/>
      <c r="L106" s="168">
        <f>'FS_Detail(M)'!L72</f>
        <v>10000000</v>
      </c>
      <c r="M106" s="168">
        <f>'FS_Detail(M)'!M72</f>
        <v>0</v>
      </c>
      <c r="N106" s="168">
        <f>'FS_Detail(M)'!N72</f>
        <v>0</v>
      </c>
      <c r="O106" s="168">
        <f>'FS_Detail(M)'!O72</f>
        <v>0</v>
      </c>
      <c r="P106" s="168">
        <f>'FS_Detail(M)'!P72</f>
        <v>0</v>
      </c>
      <c r="Q106" s="168">
        <f>'FS_Detail(M)'!Q72</f>
        <v>0</v>
      </c>
      <c r="R106" s="168">
        <f>'FS_Detail(M)'!R72</f>
        <v>0</v>
      </c>
      <c r="S106" s="168">
        <f>'FS_Detail(M)'!S72</f>
        <v>0</v>
      </c>
      <c r="T106" s="168">
        <f>'FS_Detail(M)'!T72</f>
        <v>0</v>
      </c>
      <c r="U106" s="168">
        <f>'FS_Detail(M)'!U72</f>
        <v>0</v>
      </c>
      <c r="V106" s="168">
        <f>'FS_Detail(M)'!V72</f>
        <v>0</v>
      </c>
      <c r="W106" s="168">
        <f>'FS_Detail(M)'!W72</f>
        <v>0</v>
      </c>
      <c r="X106" s="168">
        <f>'FS_Detail(M)'!X72</f>
        <v>0</v>
      </c>
      <c r="Y106" s="168">
        <f>'FS_Detail(M)'!Y72</f>
        <v>0</v>
      </c>
      <c r="Z106" s="168">
        <f>'FS_Detail(M)'!Z72</f>
        <v>0</v>
      </c>
      <c r="AA106" s="168">
        <f>'FS_Detail(M)'!AA72</f>
        <v>0</v>
      </c>
      <c r="AB106" s="168">
        <f>'FS_Detail(M)'!AB72</f>
        <v>0</v>
      </c>
      <c r="AC106" s="168">
        <f>'FS_Detail(M)'!AC72</f>
        <v>0</v>
      </c>
      <c r="AD106" s="168">
        <f>'FS_Detail(M)'!AD72</f>
        <v>0</v>
      </c>
      <c r="AE106" s="168">
        <f>'FS_Detail(M)'!AE72</f>
        <v>0</v>
      </c>
      <c r="AF106" s="168">
        <f>'FS_Detail(M)'!AF72</f>
        <v>0</v>
      </c>
      <c r="AG106" s="168">
        <f>'FS_Detail(M)'!AG72</f>
        <v>0</v>
      </c>
      <c r="AH106" s="168">
        <f>'FS_Detail(M)'!AH72</f>
        <v>0</v>
      </c>
      <c r="AI106" s="168">
        <f>'FS_Detail(M)'!AI72</f>
        <v>0</v>
      </c>
      <c r="AJ106" s="168">
        <f>'FS_Detail(M)'!AJ72</f>
        <v>0</v>
      </c>
      <c r="AK106" s="168">
        <f>'FS_Detail(M)'!AK72</f>
        <v>0</v>
      </c>
      <c r="AL106" s="168">
        <f>'FS_Detail(M)'!AL72</f>
        <v>0</v>
      </c>
      <c r="AM106" s="168">
        <f>'FS_Detail(M)'!AM72</f>
        <v>0</v>
      </c>
      <c r="AN106" s="168">
        <f>'FS_Detail(M)'!AN72</f>
        <v>0</v>
      </c>
      <c r="AO106" s="168">
        <f>'FS_Detail(M)'!AO72</f>
        <v>0</v>
      </c>
      <c r="AP106" s="168">
        <f>'FS_Detail(M)'!AP72</f>
        <v>0</v>
      </c>
      <c r="AQ106" s="168">
        <f>'FS_Detail(M)'!AQ72</f>
        <v>0</v>
      </c>
      <c r="AR106" s="168">
        <f>'FS_Detail(M)'!AR72</f>
        <v>0</v>
      </c>
      <c r="AS106" s="168">
        <f>'FS_Detail(M)'!AS72</f>
        <v>0</v>
      </c>
      <c r="AT106" s="168">
        <f>'FS_Detail(M)'!AT72</f>
        <v>0</v>
      </c>
      <c r="AU106" s="168">
        <f>'FS_Detail(M)'!AU72</f>
        <v>0</v>
      </c>
      <c r="AV106" s="168">
        <f>'FS_Detail(M)'!AV72</f>
        <v>0</v>
      </c>
      <c r="AW106" s="168">
        <f>'FS_Detail(M)'!AW72</f>
        <v>0</v>
      </c>
      <c r="AX106" s="168">
        <f>'FS_Detail(M)'!AX72</f>
        <v>0</v>
      </c>
      <c r="AY106" s="168">
        <f>'FS_Detail(M)'!AY72</f>
        <v>0</v>
      </c>
      <c r="AZ106" s="168">
        <f>'FS_Detail(M)'!AZ72</f>
        <v>0</v>
      </c>
      <c r="BA106" s="168">
        <f>'FS_Detail(M)'!BA72</f>
        <v>0</v>
      </c>
      <c r="BB106" s="168">
        <f>'FS_Detail(M)'!BB72</f>
        <v>0</v>
      </c>
      <c r="BC106" s="168">
        <f>'FS_Detail(M)'!BC72</f>
        <v>0</v>
      </c>
      <c r="BD106" s="168">
        <f>'FS_Detail(M)'!BD72</f>
        <v>0</v>
      </c>
      <c r="BE106" s="168">
        <f>'FS_Detail(M)'!BE72</f>
        <v>0</v>
      </c>
      <c r="BF106" s="168">
        <f>'FS_Detail(M)'!BF72</f>
        <v>0</v>
      </c>
      <c r="BG106" s="168">
        <f>'FS_Detail(M)'!BG72</f>
        <v>0</v>
      </c>
      <c r="BH106" s="168">
        <f>'FS_Detail(M)'!BH72</f>
        <v>0</v>
      </c>
      <c r="BI106" s="168">
        <f>'FS_Detail(M)'!BI72</f>
        <v>0</v>
      </c>
      <c r="BJ106" s="168">
        <f>'FS_Detail(M)'!BJ72</f>
        <v>0</v>
      </c>
      <c r="BK106" s="168">
        <f>'FS_Detail(M)'!BK72</f>
        <v>0</v>
      </c>
      <c r="BL106" s="168">
        <f>'FS_Detail(M)'!BL72</f>
        <v>0</v>
      </c>
      <c r="BM106" s="168">
        <f>'FS_Detail(M)'!BM72</f>
        <v>0</v>
      </c>
      <c r="BN106" s="168">
        <f>'FS_Detail(M)'!BN72</f>
        <v>0</v>
      </c>
      <c r="BO106" s="168">
        <f>'FS_Detail(M)'!BO72</f>
        <v>0</v>
      </c>
      <c r="BP106" s="168">
        <f>'FS_Detail(M)'!BP72</f>
        <v>0</v>
      </c>
      <c r="BQ106" s="168">
        <f>'FS_Detail(M)'!BQ72</f>
        <v>0</v>
      </c>
      <c r="BR106" s="168">
        <f>'FS_Detail(M)'!BR72</f>
        <v>0</v>
      </c>
      <c r="BS106" s="168">
        <f>'FS_Detail(M)'!BS72</f>
        <v>0</v>
      </c>
      <c r="BT106" s="168">
        <f>'FS_Detail(M)'!BT72</f>
        <v>0</v>
      </c>
      <c r="BU106" s="168">
        <f>'FS_Detail(M)'!BU72</f>
        <v>0</v>
      </c>
      <c r="BV106" s="168">
        <f>'FS_Detail(M)'!BV72</f>
        <v>0</v>
      </c>
      <c r="BW106" s="168">
        <f>'FS_Detail(M)'!BW72</f>
        <v>0</v>
      </c>
      <c r="BX106" s="168">
        <f>'FS_Detail(M)'!BX72</f>
        <v>0</v>
      </c>
      <c r="BY106" s="168">
        <f>'FS_Detail(M)'!BY72</f>
        <v>0</v>
      </c>
      <c r="BZ106" s="168">
        <f>'FS_Detail(M)'!BZ72</f>
        <v>0</v>
      </c>
      <c r="CA106" s="168">
        <f>'FS_Detail(M)'!CA72</f>
        <v>0</v>
      </c>
      <c r="CB106" s="168">
        <f>'FS_Detail(M)'!CB72</f>
        <v>0</v>
      </c>
      <c r="CC106" s="168">
        <f>'FS_Detail(M)'!CC72</f>
        <v>0</v>
      </c>
      <c r="CD106" s="168">
        <f>'FS_Detail(M)'!CD72</f>
        <v>0</v>
      </c>
      <c r="CE106" s="168">
        <f>'FS_Detail(M)'!CE72</f>
        <v>0</v>
      </c>
      <c r="CF106" s="168">
        <f>'FS_Detail(M)'!CF72</f>
        <v>0</v>
      </c>
      <c r="CG106" s="168">
        <f>'FS_Detail(M)'!CG72</f>
        <v>0</v>
      </c>
      <c r="CH106" s="168">
        <f>'FS_Detail(M)'!CH72</f>
        <v>0</v>
      </c>
      <c r="CI106" s="168">
        <f>'FS_Detail(M)'!CI72</f>
        <v>0</v>
      </c>
      <c r="CJ106" s="168">
        <f>'FS_Detail(M)'!CJ72</f>
        <v>0</v>
      </c>
      <c r="CK106" s="168">
        <f>'FS_Detail(M)'!CK72</f>
        <v>0</v>
      </c>
      <c r="CL106" s="168">
        <f>'FS_Detail(M)'!CL72</f>
        <v>0</v>
      </c>
      <c r="CM106" s="168">
        <f>'FS_Detail(M)'!CM72</f>
        <v>0</v>
      </c>
      <c r="CN106" s="168">
        <f>'FS_Detail(M)'!CN72</f>
        <v>0</v>
      </c>
      <c r="CO106" s="168">
        <f>'FS_Detail(M)'!CO72</f>
        <v>0</v>
      </c>
      <c r="CP106" s="168">
        <f>'FS_Detail(M)'!CP72</f>
        <v>0</v>
      </c>
      <c r="CQ106" s="168">
        <f>'FS_Detail(M)'!CQ72</f>
        <v>0</v>
      </c>
      <c r="CR106" s="168">
        <f>'FS_Detail(M)'!CR72</f>
        <v>0</v>
      </c>
      <c r="CS106" s="168">
        <f>'FS_Detail(M)'!CS72</f>
        <v>0</v>
      </c>
      <c r="CT106" s="168">
        <f>'FS_Detail(M)'!CT72</f>
        <v>0</v>
      </c>
      <c r="CU106" s="168">
        <f>'FS_Detail(M)'!CU72</f>
        <v>0</v>
      </c>
      <c r="CV106" s="168">
        <f>'FS_Detail(M)'!CV72</f>
        <v>0</v>
      </c>
      <c r="CW106" s="168">
        <f>'FS_Detail(M)'!CW72</f>
        <v>0</v>
      </c>
      <c r="CX106" s="168">
        <f>'FS_Detail(M)'!CX72</f>
        <v>0</v>
      </c>
      <c r="CY106" s="168">
        <f>'FS_Detail(M)'!CY72</f>
        <v>0</v>
      </c>
      <c r="CZ106" s="168">
        <f>'FS_Detail(M)'!CZ72</f>
        <v>0</v>
      </c>
      <c r="DA106" s="168">
        <f>'FS_Detail(M)'!DA72</f>
        <v>0</v>
      </c>
      <c r="DB106" s="168">
        <f>'FS_Detail(M)'!DB72</f>
        <v>0</v>
      </c>
      <c r="DC106" s="168">
        <f>'FS_Detail(M)'!DC72</f>
        <v>0</v>
      </c>
      <c r="DD106" s="168">
        <f>'FS_Detail(M)'!DD72</f>
        <v>0</v>
      </c>
      <c r="DE106" s="168">
        <f>'FS_Detail(M)'!DE72</f>
        <v>0</v>
      </c>
      <c r="DF106" s="168">
        <f>'FS_Detail(M)'!DF72</f>
        <v>0</v>
      </c>
      <c r="DG106" s="168">
        <f>'FS_Detail(M)'!DG72</f>
        <v>0</v>
      </c>
      <c r="DH106" s="168">
        <f>'FS_Detail(M)'!DH72</f>
        <v>0</v>
      </c>
      <c r="DI106" s="168">
        <f>'FS_Detail(M)'!DI72</f>
        <v>0</v>
      </c>
      <c r="DJ106" s="168">
        <f>'FS_Detail(M)'!DJ72</f>
        <v>0</v>
      </c>
      <c r="DK106" s="168">
        <f>'FS_Detail(M)'!DK72</f>
        <v>0</v>
      </c>
      <c r="DL106" s="168">
        <f>'FS_Detail(M)'!DL72</f>
        <v>0</v>
      </c>
      <c r="DM106" s="168">
        <f>'FS_Detail(M)'!DM72</f>
        <v>0</v>
      </c>
      <c r="DN106" s="168">
        <f>'FS_Detail(M)'!DN72</f>
        <v>0</v>
      </c>
      <c r="DO106" s="168">
        <f>'FS_Detail(M)'!DO72</f>
        <v>0</v>
      </c>
      <c r="DP106" s="168">
        <f>'FS_Detail(M)'!DP72</f>
        <v>0</v>
      </c>
      <c r="DQ106" s="168">
        <f>'FS_Detail(M)'!DQ72</f>
        <v>0</v>
      </c>
      <c r="DR106" s="168">
        <f>'FS_Detail(M)'!DR72</f>
        <v>0</v>
      </c>
      <c r="DS106" s="168">
        <f>'FS_Detail(M)'!DS72</f>
        <v>0</v>
      </c>
      <c r="DT106" s="168">
        <f>'FS_Detail(M)'!DT72</f>
        <v>0</v>
      </c>
      <c r="DU106" s="168">
        <f>'FS_Detail(M)'!DU72</f>
        <v>0</v>
      </c>
      <c r="DV106" s="168">
        <f>'FS_Detail(M)'!DV72</f>
        <v>0</v>
      </c>
      <c r="DW106" s="168">
        <f>'FS_Detail(M)'!DW72</f>
        <v>0</v>
      </c>
      <c r="DX106" s="168">
        <f>'FS_Detail(M)'!DX72</f>
        <v>0</v>
      </c>
      <c r="DY106" s="168">
        <f>'FS_Detail(M)'!DY72</f>
        <v>0</v>
      </c>
      <c r="DZ106" s="168">
        <f>'FS_Detail(M)'!DZ72</f>
        <v>0</v>
      </c>
      <c r="EA106" s="168">
        <f>'FS_Detail(M)'!EA72</f>
        <v>0</v>
      </c>
      <c r="EB106" s="168">
        <f>'FS_Detail(M)'!EB72</f>
        <v>0</v>
      </c>
      <c r="EC106" s="168">
        <f>'FS_Detail(M)'!EC72</f>
        <v>0</v>
      </c>
      <c r="ED106" s="168">
        <f>'FS_Detail(M)'!ED72</f>
        <v>0</v>
      </c>
      <c r="EE106" s="168">
        <f>'FS_Detail(M)'!EE72</f>
        <v>0</v>
      </c>
      <c r="EF106" s="168">
        <f>'FS_Detail(M)'!EF72</f>
        <v>0</v>
      </c>
      <c r="EG106" s="168">
        <f>'FS_Detail(M)'!EG72</f>
        <v>0</v>
      </c>
      <c r="EH106" s="168">
        <f>'FS_Detail(M)'!EH72</f>
        <v>0</v>
      </c>
      <c r="EI106" s="168">
        <f>'FS_Detail(M)'!EI72</f>
        <v>0</v>
      </c>
      <c r="EJ106" s="168">
        <f>'FS_Detail(M)'!EJ72</f>
        <v>0</v>
      </c>
      <c r="EK106" s="168">
        <f>'FS_Detail(M)'!EK72</f>
        <v>0</v>
      </c>
      <c r="EL106" s="168">
        <f>'FS_Detail(M)'!EL72</f>
        <v>0</v>
      </c>
      <c r="EM106" s="168">
        <f>'FS_Detail(M)'!EM72</f>
        <v>0</v>
      </c>
      <c r="EN106" s="168">
        <f>'FS_Detail(M)'!EN72</f>
        <v>0</v>
      </c>
      <c r="EO106" s="168">
        <f>'FS_Detail(M)'!EO72</f>
        <v>0</v>
      </c>
      <c r="EP106" s="168">
        <f>'FS_Detail(M)'!EP72</f>
        <v>0</v>
      </c>
      <c r="EQ106" s="168">
        <f>'FS_Detail(M)'!EQ72</f>
        <v>0</v>
      </c>
    </row>
    <row r="107" spans="2:147" ht="11.25" customHeight="1">
      <c r="B107" s="218"/>
      <c r="C107" s="163"/>
      <c r="D107" s="169" t="s">
        <v>551</v>
      </c>
      <c r="H107" s="146"/>
      <c r="I107" s="229"/>
      <c r="J107" s="171">
        <f>SUM(L107:EQ107)</f>
        <v>-10000000</v>
      </c>
      <c r="K107" s="98"/>
      <c r="L107" s="171">
        <f>-'FS_Detail(M)'!L73</f>
        <v>0</v>
      </c>
      <c r="M107" s="171">
        <f>-'FS_Detail(M)'!M73</f>
        <v>0</v>
      </c>
      <c r="N107" s="171">
        <f>-'FS_Detail(M)'!N73</f>
        <v>0</v>
      </c>
      <c r="O107" s="171">
        <f>-'FS_Detail(M)'!O73</f>
        <v>0</v>
      </c>
      <c r="P107" s="171">
        <f>-'FS_Detail(M)'!P73</f>
        <v>0</v>
      </c>
      <c r="Q107" s="171">
        <f>-'FS_Detail(M)'!Q73</f>
        <v>0</v>
      </c>
      <c r="R107" s="171">
        <f>-'FS_Detail(M)'!R73</f>
        <v>0</v>
      </c>
      <c r="S107" s="171">
        <f>-'FS_Detail(M)'!S73</f>
        <v>0</v>
      </c>
      <c r="T107" s="171">
        <f>-'FS_Detail(M)'!T73</f>
        <v>0</v>
      </c>
      <c r="U107" s="171">
        <f>-'FS_Detail(M)'!U73</f>
        <v>0</v>
      </c>
      <c r="V107" s="171">
        <f>-'FS_Detail(M)'!V73</f>
        <v>0</v>
      </c>
      <c r="W107" s="171">
        <f>-'FS_Detail(M)'!W73</f>
        <v>0</v>
      </c>
      <c r="X107" s="171">
        <f>-'FS_Detail(M)'!X73</f>
        <v>0</v>
      </c>
      <c r="Y107" s="171">
        <f>-'FS_Detail(M)'!Y73</f>
        <v>0</v>
      </c>
      <c r="Z107" s="171">
        <f>-'FS_Detail(M)'!Z73</f>
        <v>0</v>
      </c>
      <c r="AA107" s="171">
        <f>-'FS_Detail(M)'!AA73</f>
        <v>0</v>
      </c>
      <c r="AB107" s="171">
        <f>-'FS_Detail(M)'!AB73</f>
        <v>0</v>
      </c>
      <c r="AC107" s="171">
        <f>-'FS_Detail(M)'!AC73</f>
        <v>0</v>
      </c>
      <c r="AD107" s="171">
        <f>-'FS_Detail(M)'!AD73</f>
        <v>0</v>
      </c>
      <c r="AE107" s="171">
        <f>-'FS_Detail(M)'!AE73</f>
        <v>0</v>
      </c>
      <c r="AF107" s="171">
        <f>-'FS_Detail(M)'!AF73</f>
        <v>0</v>
      </c>
      <c r="AG107" s="171">
        <f>-'FS_Detail(M)'!AG73</f>
        <v>0</v>
      </c>
      <c r="AH107" s="171">
        <f>-'FS_Detail(M)'!AH73</f>
        <v>0</v>
      </c>
      <c r="AI107" s="171">
        <f>-'FS_Detail(M)'!AI73</f>
        <v>0</v>
      </c>
      <c r="AJ107" s="171">
        <f>-'FS_Detail(M)'!AJ73</f>
        <v>-10000000</v>
      </c>
      <c r="AK107" s="171">
        <f>-'FS_Detail(M)'!AK73</f>
        <v>0</v>
      </c>
      <c r="AL107" s="171">
        <f>-'FS_Detail(M)'!AL73</f>
        <v>0</v>
      </c>
      <c r="AM107" s="171">
        <f>-'FS_Detail(M)'!AM73</f>
        <v>0</v>
      </c>
      <c r="AN107" s="171">
        <f>-'FS_Detail(M)'!AN73</f>
        <v>0</v>
      </c>
      <c r="AO107" s="171">
        <f>-'FS_Detail(M)'!AO73</f>
        <v>0</v>
      </c>
      <c r="AP107" s="171">
        <f>-'FS_Detail(M)'!AP73</f>
        <v>0</v>
      </c>
      <c r="AQ107" s="171">
        <f>-'FS_Detail(M)'!AQ73</f>
        <v>0</v>
      </c>
      <c r="AR107" s="171">
        <f>-'FS_Detail(M)'!AR73</f>
        <v>0</v>
      </c>
      <c r="AS107" s="171">
        <f>-'FS_Detail(M)'!AS73</f>
        <v>0</v>
      </c>
      <c r="AT107" s="171">
        <f>-'FS_Detail(M)'!AT73</f>
        <v>0</v>
      </c>
      <c r="AU107" s="171">
        <f>-'FS_Detail(M)'!AU73</f>
        <v>0</v>
      </c>
      <c r="AV107" s="171">
        <f>-'FS_Detail(M)'!AV73</f>
        <v>0</v>
      </c>
      <c r="AW107" s="171">
        <f>-'FS_Detail(M)'!AW73</f>
        <v>0</v>
      </c>
      <c r="AX107" s="171">
        <f>-'FS_Detail(M)'!AX73</f>
        <v>0</v>
      </c>
      <c r="AY107" s="171">
        <f>-'FS_Detail(M)'!AY73</f>
        <v>0</v>
      </c>
      <c r="AZ107" s="171">
        <f>-'FS_Detail(M)'!AZ73</f>
        <v>0</v>
      </c>
      <c r="BA107" s="171">
        <f>-'FS_Detail(M)'!BA73</f>
        <v>0</v>
      </c>
      <c r="BB107" s="171">
        <f>-'FS_Detail(M)'!BB73</f>
        <v>0</v>
      </c>
      <c r="BC107" s="171">
        <f>-'FS_Detail(M)'!BC73</f>
        <v>0</v>
      </c>
      <c r="BD107" s="171">
        <f>-'FS_Detail(M)'!BD73</f>
        <v>0</v>
      </c>
      <c r="BE107" s="171">
        <f>-'FS_Detail(M)'!BE73</f>
        <v>0</v>
      </c>
      <c r="BF107" s="171">
        <f>-'FS_Detail(M)'!BF73</f>
        <v>0</v>
      </c>
      <c r="BG107" s="171">
        <f>-'FS_Detail(M)'!BG73</f>
        <v>0</v>
      </c>
      <c r="BH107" s="171">
        <f>-'FS_Detail(M)'!BH73</f>
        <v>0</v>
      </c>
      <c r="BI107" s="171">
        <f>-'FS_Detail(M)'!BI73</f>
        <v>0</v>
      </c>
      <c r="BJ107" s="171">
        <f>-'FS_Detail(M)'!BJ73</f>
        <v>0</v>
      </c>
      <c r="BK107" s="171">
        <f>-'FS_Detail(M)'!BK73</f>
        <v>0</v>
      </c>
      <c r="BL107" s="171">
        <f>-'FS_Detail(M)'!BL73</f>
        <v>0</v>
      </c>
      <c r="BM107" s="171">
        <f>-'FS_Detail(M)'!BM73</f>
        <v>0</v>
      </c>
      <c r="BN107" s="171">
        <f>-'FS_Detail(M)'!BN73</f>
        <v>0</v>
      </c>
      <c r="BO107" s="171">
        <f>-'FS_Detail(M)'!BO73</f>
        <v>0</v>
      </c>
      <c r="BP107" s="171">
        <f>-'FS_Detail(M)'!BP73</f>
        <v>0</v>
      </c>
      <c r="BQ107" s="171">
        <f>-'FS_Detail(M)'!BQ73</f>
        <v>0</v>
      </c>
      <c r="BR107" s="171">
        <f>-'FS_Detail(M)'!BR73</f>
        <v>0</v>
      </c>
      <c r="BS107" s="171">
        <f>-'FS_Detail(M)'!BS73</f>
        <v>0</v>
      </c>
      <c r="BT107" s="171">
        <f>-'FS_Detail(M)'!BT73</f>
        <v>0</v>
      </c>
      <c r="BU107" s="171">
        <f>-'FS_Detail(M)'!BU73</f>
        <v>0</v>
      </c>
      <c r="BV107" s="171">
        <f>-'FS_Detail(M)'!BV73</f>
        <v>0</v>
      </c>
      <c r="BW107" s="171">
        <f>-'FS_Detail(M)'!BW73</f>
        <v>0</v>
      </c>
      <c r="BX107" s="171">
        <f>-'FS_Detail(M)'!BX73</f>
        <v>0</v>
      </c>
      <c r="BY107" s="171">
        <f>-'FS_Detail(M)'!BY73</f>
        <v>0</v>
      </c>
      <c r="BZ107" s="171">
        <f>-'FS_Detail(M)'!BZ73</f>
        <v>0</v>
      </c>
      <c r="CA107" s="171">
        <f>-'FS_Detail(M)'!CA73</f>
        <v>0</v>
      </c>
      <c r="CB107" s="171">
        <f>-'FS_Detail(M)'!CB73</f>
        <v>0</v>
      </c>
      <c r="CC107" s="171">
        <f>-'FS_Detail(M)'!CC73</f>
        <v>0</v>
      </c>
      <c r="CD107" s="171">
        <f>-'FS_Detail(M)'!CD73</f>
        <v>0</v>
      </c>
      <c r="CE107" s="171">
        <f>-'FS_Detail(M)'!CE73</f>
        <v>0</v>
      </c>
      <c r="CF107" s="171">
        <f>-'FS_Detail(M)'!CF73</f>
        <v>0</v>
      </c>
      <c r="CG107" s="171">
        <f>-'FS_Detail(M)'!CG73</f>
        <v>0</v>
      </c>
      <c r="CH107" s="171">
        <f>-'FS_Detail(M)'!CH73</f>
        <v>0</v>
      </c>
      <c r="CI107" s="171">
        <f>-'FS_Detail(M)'!CI73</f>
        <v>0</v>
      </c>
      <c r="CJ107" s="171">
        <f>-'FS_Detail(M)'!CJ73</f>
        <v>0</v>
      </c>
      <c r="CK107" s="171">
        <f>-'FS_Detail(M)'!CK73</f>
        <v>0</v>
      </c>
      <c r="CL107" s="171">
        <f>-'FS_Detail(M)'!CL73</f>
        <v>0</v>
      </c>
      <c r="CM107" s="171">
        <f>-'FS_Detail(M)'!CM73</f>
        <v>0</v>
      </c>
      <c r="CN107" s="171">
        <f>-'FS_Detail(M)'!CN73</f>
        <v>0</v>
      </c>
      <c r="CO107" s="171">
        <f>-'FS_Detail(M)'!CO73</f>
        <v>0</v>
      </c>
      <c r="CP107" s="171">
        <f>-'FS_Detail(M)'!CP73</f>
        <v>0</v>
      </c>
      <c r="CQ107" s="171">
        <f>-'FS_Detail(M)'!CQ73</f>
        <v>0</v>
      </c>
      <c r="CR107" s="171">
        <f>-'FS_Detail(M)'!CR73</f>
        <v>0</v>
      </c>
      <c r="CS107" s="171">
        <f>-'FS_Detail(M)'!CS73</f>
        <v>0</v>
      </c>
      <c r="CT107" s="171">
        <f>-'FS_Detail(M)'!CT73</f>
        <v>0</v>
      </c>
      <c r="CU107" s="171">
        <f>-'FS_Detail(M)'!CU73</f>
        <v>0</v>
      </c>
      <c r="CV107" s="171">
        <f>-'FS_Detail(M)'!CV73</f>
        <v>0</v>
      </c>
      <c r="CW107" s="171">
        <f>-'FS_Detail(M)'!CW73</f>
        <v>0</v>
      </c>
      <c r="CX107" s="171">
        <f>-'FS_Detail(M)'!CX73</f>
        <v>0</v>
      </c>
      <c r="CY107" s="171">
        <f>-'FS_Detail(M)'!CY73</f>
        <v>0</v>
      </c>
      <c r="CZ107" s="171">
        <f>-'FS_Detail(M)'!CZ73</f>
        <v>0</v>
      </c>
      <c r="DA107" s="171">
        <f>-'FS_Detail(M)'!DA73</f>
        <v>0</v>
      </c>
      <c r="DB107" s="171">
        <f>-'FS_Detail(M)'!DB73</f>
        <v>0</v>
      </c>
      <c r="DC107" s="171">
        <f>-'FS_Detail(M)'!DC73</f>
        <v>0</v>
      </c>
      <c r="DD107" s="171">
        <f>-'FS_Detail(M)'!DD73</f>
        <v>0</v>
      </c>
      <c r="DE107" s="171">
        <f>-'FS_Detail(M)'!DE73</f>
        <v>0</v>
      </c>
      <c r="DF107" s="171">
        <f>-'FS_Detail(M)'!DF73</f>
        <v>0</v>
      </c>
      <c r="DG107" s="171">
        <f>-'FS_Detail(M)'!DG73</f>
        <v>0</v>
      </c>
      <c r="DH107" s="171">
        <f>-'FS_Detail(M)'!DH73</f>
        <v>0</v>
      </c>
      <c r="DI107" s="171">
        <f>-'FS_Detail(M)'!DI73</f>
        <v>0</v>
      </c>
      <c r="DJ107" s="171">
        <f>-'FS_Detail(M)'!DJ73</f>
        <v>0</v>
      </c>
      <c r="DK107" s="171">
        <f>-'FS_Detail(M)'!DK73</f>
        <v>0</v>
      </c>
      <c r="DL107" s="171">
        <f>-'FS_Detail(M)'!DL73</f>
        <v>0</v>
      </c>
      <c r="DM107" s="171">
        <f>-'FS_Detail(M)'!DM73</f>
        <v>0</v>
      </c>
      <c r="DN107" s="171">
        <f>-'FS_Detail(M)'!DN73</f>
        <v>0</v>
      </c>
      <c r="DO107" s="171">
        <f>-'FS_Detail(M)'!DO73</f>
        <v>0</v>
      </c>
      <c r="DP107" s="171">
        <f>-'FS_Detail(M)'!DP73</f>
        <v>0</v>
      </c>
      <c r="DQ107" s="171">
        <f>-'FS_Detail(M)'!DQ73</f>
        <v>0</v>
      </c>
      <c r="DR107" s="171">
        <f>-'FS_Detail(M)'!DR73</f>
        <v>0</v>
      </c>
      <c r="DS107" s="171">
        <f>-'FS_Detail(M)'!DS73</f>
        <v>0</v>
      </c>
      <c r="DT107" s="171">
        <f>-'FS_Detail(M)'!DT73</f>
        <v>0</v>
      </c>
      <c r="DU107" s="171">
        <f>-'FS_Detail(M)'!DU73</f>
        <v>0</v>
      </c>
      <c r="DV107" s="171">
        <f>-'FS_Detail(M)'!DV73</f>
        <v>0</v>
      </c>
      <c r="DW107" s="171">
        <f>-'FS_Detail(M)'!DW73</f>
        <v>0</v>
      </c>
      <c r="DX107" s="171">
        <f>-'FS_Detail(M)'!DX73</f>
        <v>0</v>
      </c>
      <c r="DY107" s="171">
        <f>-'FS_Detail(M)'!DY73</f>
        <v>0</v>
      </c>
      <c r="DZ107" s="171">
        <f>-'FS_Detail(M)'!DZ73</f>
        <v>0</v>
      </c>
      <c r="EA107" s="171">
        <f>-'FS_Detail(M)'!EA73</f>
        <v>0</v>
      </c>
      <c r="EB107" s="171">
        <f>-'FS_Detail(M)'!EB73</f>
        <v>0</v>
      </c>
      <c r="EC107" s="171">
        <f>-'FS_Detail(M)'!EC73</f>
        <v>0</v>
      </c>
      <c r="ED107" s="171">
        <f>-'FS_Detail(M)'!ED73</f>
        <v>0</v>
      </c>
      <c r="EE107" s="171">
        <f>-'FS_Detail(M)'!EE73</f>
        <v>0</v>
      </c>
      <c r="EF107" s="171">
        <f>-'FS_Detail(M)'!EF73</f>
        <v>0</v>
      </c>
      <c r="EG107" s="171">
        <f>-'FS_Detail(M)'!EG73</f>
        <v>0</v>
      </c>
      <c r="EH107" s="171">
        <f>-'FS_Detail(M)'!EH73</f>
        <v>0</v>
      </c>
      <c r="EI107" s="171">
        <f>-'FS_Detail(M)'!EI73</f>
        <v>0</v>
      </c>
      <c r="EJ107" s="171">
        <f>-'FS_Detail(M)'!EJ73</f>
        <v>0</v>
      </c>
      <c r="EK107" s="171">
        <f>-'FS_Detail(M)'!EK73</f>
        <v>0</v>
      </c>
      <c r="EL107" s="171">
        <f>-'FS_Detail(M)'!EL73</f>
        <v>0</v>
      </c>
      <c r="EM107" s="171">
        <f>-'FS_Detail(M)'!EM73</f>
        <v>0</v>
      </c>
      <c r="EN107" s="171">
        <f>-'FS_Detail(M)'!EN73</f>
        <v>0</v>
      </c>
      <c r="EO107" s="171">
        <f>-'FS_Detail(M)'!EO73</f>
        <v>0</v>
      </c>
      <c r="EP107" s="171">
        <f>-'FS_Detail(M)'!EP73</f>
        <v>0</v>
      </c>
      <c r="EQ107" s="171">
        <f>-'FS_Detail(M)'!EQ73</f>
        <v>0</v>
      </c>
    </row>
    <row r="108" spans="2:147" ht="11.25" customHeight="1">
      <c r="B108" s="218"/>
      <c r="C108" s="163"/>
      <c r="D108" s="169" t="s">
        <v>261</v>
      </c>
      <c r="H108" s="146"/>
      <c r="I108" s="229"/>
      <c r="J108" s="171">
        <f>SUM(L108:EQ108)</f>
        <v>0</v>
      </c>
      <c r="K108" s="98"/>
      <c r="L108" s="171">
        <f>-'IS(M)'!M85</f>
        <v>0</v>
      </c>
      <c r="M108" s="171">
        <f>-'IS(M)'!N85</f>
        <v>0</v>
      </c>
      <c r="N108" s="171">
        <f>-'IS(M)'!O85</f>
        <v>0</v>
      </c>
      <c r="O108" s="171">
        <f>-'IS(M)'!P85</f>
        <v>0</v>
      </c>
      <c r="P108" s="171">
        <f>-'IS(M)'!Q85</f>
        <v>0</v>
      </c>
      <c r="Q108" s="171">
        <f>-'IS(M)'!R85</f>
        <v>0</v>
      </c>
      <c r="R108" s="171">
        <f>-'IS(M)'!S85</f>
        <v>0</v>
      </c>
      <c r="S108" s="171">
        <f>-'IS(M)'!T85</f>
        <v>0</v>
      </c>
      <c r="T108" s="171">
        <f>-'IS(M)'!U85</f>
        <v>0</v>
      </c>
      <c r="U108" s="171">
        <f>-'IS(M)'!V85</f>
        <v>0</v>
      </c>
      <c r="V108" s="171">
        <f>-'IS(M)'!W85</f>
        <v>0</v>
      </c>
      <c r="W108" s="171">
        <f>-'IS(M)'!X85</f>
        <v>0</v>
      </c>
      <c r="X108" s="171">
        <f>-'IS(M)'!Y85</f>
        <v>0</v>
      </c>
      <c r="Y108" s="171">
        <f>-'IS(M)'!Z85</f>
        <v>0</v>
      </c>
      <c r="Z108" s="171">
        <f>-'IS(M)'!AA85</f>
        <v>0</v>
      </c>
      <c r="AA108" s="171">
        <f>-'IS(M)'!AB85</f>
        <v>0</v>
      </c>
      <c r="AB108" s="171">
        <f>-'IS(M)'!AC85</f>
        <v>0</v>
      </c>
      <c r="AC108" s="171">
        <f>-'IS(M)'!AD85</f>
        <v>0</v>
      </c>
      <c r="AD108" s="171">
        <f>-'IS(M)'!AE85</f>
        <v>0</v>
      </c>
      <c r="AE108" s="171">
        <f>-'IS(M)'!AF85</f>
        <v>0</v>
      </c>
      <c r="AF108" s="171">
        <f>-'IS(M)'!AG85</f>
        <v>0</v>
      </c>
      <c r="AG108" s="171">
        <f>-'IS(M)'!AH85</f>
        <v>0</v>
      </c>
      <c r="AH108" s="171">
        <f>-'IS(M)'!AI85</f>
        <v>0</v>
      </c>
      <c r="AI108" s="171">
        <f>-'IS(M)'!AJ85</f>
        <v>0</v>
      </c>
      <c r="AJ108" s="171">
        <f>-'IS(M)'!AK85</f>
        <v>0</v>
      </c>
      <c r="AK108" s="171">
        <f>-'IS(M)'!AL85</f>
        <v>0</v>
      </c>
      <c r="AL108" s="171">
        <f>-'IS(M)'!AM85</f>
        <v>0</v>
      </c>
      <c r="AM108" s="171">
        <f>-'IS(M)'!AN85</f>
        <v>0</v>
      </c>
      <c r="AN108" s="171">
        <f>-'IS(M)'!AO85</f>
        <v>0</v>
      </c>
      <c r="AO108" s="171">
        <f>-'IS(M)'!AP85</f>
        <v>0</v>
      </c>
      <c r="AP108" s="171">
        <f>-'IS(M)'!AQ85</f>
        <v>0</v>
      </c>
      <c r="AQ108" s="171">
        <f>-'IS(M)'!AR85</f>
        <v>0</v>
      </c>
      <c r="AR108" s="171">
        <f>-'IS(M)'!AS85</f>
        <v>0</v>
      </c>
      <c r="AS108" s="171">
        <f>-'IS(M)'!AT85</f>
        <v>0</v>
      </c>
      <c r="AT108" s="171">
        <f>-'IS(M)'!AU85</f>
        <v>0</v>
      </c>
      <c r="AU108" s="171">
        <f>-'IS(M)'!AV85</f>
        <v>0</v>
      </c>
      <c r="AV108" s="171">
        <f>-'IS(M)'!AW85</f>
        <v>0</v>
      </c>
      <c r="AW108" s="171">
        <f>-'IS(M)'!AX85</f>
        <v>0</v>
      </c>
      <c r="AX108" s="171">
        <f>-'IS(M)'!AY85</f>
        <v>0</v>
      </c>
      <c r="AY108" s="171">
        <f>-'IS(M)'!AZ85</f>
        <v>0</v>
      </c>
      <c r="AZ108" s="171">
        <f>-'IS(M)'!BA85</f>
        <v>0</v>
      </c>
      <c r="BA108" s="171">
        <f>-'IS(M)'!BB85</f>
        <v>0</v>
      </c>
      <c r="BB108" s="171">
        <f>-'IS(M)'!BC85</f>
        <v>0</v>
      </c>
      <c r="BC108" s="171">
        <f>-'IS(M)'!BD85</f>
        <v>0</v>
      </c>
      <c r="BD108" s="171">
        <f>-'IS(M)'!BE85</f>
        <v>0</v>
      </c>
      <c r="BE108" s="171">
        <f>-'IS(M)'!BF85</f>
        <v>0</v>
      </c>
      <c r="BF108" s="171">
        <f>-'IS(M)'!BG85</f>
        <v>0</v>
      </c>
      <c r="BG108" s="171">
        <f>-'IS(M)'!BH85</f>
        <v>0</v>
      </c>
      <c r="BH108" s="171">
        <f>-'IS(M)'!BI85</f>
        <v>0</v>
      </c>
      <c r="BI108" s="171">
        <f>-'IS(M)'!BJ85</f>
        <v>0</v>
      </c>
      <c r="BJ108" s="171">
        <f>-'IS(M)'!BK85</f>
        <v>0</v>
      </c>
      <c r="BK108" s="171">
        <f>-'IS(M)'!BL85</f>
        <v>0</v>
      </c>
      <c r="BL108" s="171">
        <f>-'IS(M)'!BM85</f>
        <v>0</v>
      </c>
      <c r="BM108" s="171">
        <f>-'IS(M)'!BN85</f>
        <v>0</v>
      </c>
      <c r="BN108" s="171">
        <f>-'IS(M)'!BO85</f>
        <v>0</v>
      </c>
      <c r="BO108" s="171">
        <f>-'IS(M)'!BP85</f>
        <v>0</v>
      </c>
      <c r="BP108" s="171">
        <f>-'IS(M)'!BQ85</f>
        <v>0</v>
      </c>
      <c r="BQ108" s="171">
        <f>-'IS(M)'!BR85</f>
        <v>0</v>
      </c>
      <c r="BR108" s="171">
        <f>-'IS(M)'!BS85</f>
        <v>0</v>
      </c>
      <c r="BS108" s="171">
        <f>-'IS(M)'!BT85</f>
        <v>0</v>
      </c>
      <c r="BT108" s="171">
        <f>-'IS(M)'!BU85</f>
        <v>0</v>
      </c>
      <c r="BU108" s="171">
        <f>-'IS(M)'!BV85</f>
        <v>0</v>
      </c>
      <c r="BV108" s="171">
        <f>-'IS(M)'!BW85</f>
        <v>0</v>
      </c>
      <c r="BW108" s="171">
        <f>-'IS(M)'!BX85</f>
        <v>0</v>
      </c>
      <c r="BX108" s="171">
        <f>-'IS(M)'!BY85</f>
        <v>0</v>
      </c>
      <c r="BY108" s="171">
        <f>-'IS(M)'!BZ85</f>
        <v>0</v>
      </c>
      <c r="BZ108" s="171">
        <f>-'IS(M)'!CA85</f>
        <v>0</v>
      </c>
      <c r="CA108" s="171">
        <f>-'IS(M)'!CB85</f>
        <v>0</v>
      </c>
      <c r="CB108" s="171">
        <f>-'IS(M)'!CC85</f>
        <v>0</v>
      </c>
      <c r="CC108" s="171">
        <f>-'IS(M)'!CD85</f>
        <v>0</v>
      </c>
      <c r="CD108" s="171">
        <f>-'IS(M)'!CE85</f>
        <v>0</v>
      </c>
      <c r="CE108" s="171">
        <f>-'IS(M)'!CF85</f>
        <v>0</v>
      </c>
      <c r="CF108" s="171">
        <f>-'IS(M)'!CG85</f>
        <v>0</v>
      </c>
      <c r="CG108" s="171">
        <f>-'IS(M)'!CH85</f>
        <v>0</v>
      </c>
      <c r="CH108" s="171">
        <f>-'IS(M)'!CI85</f>
        <v>0</v>
      </c>
      <c r="CI108" s="171">
        <f>-'IS(M)'!CJ85</f>
        <v>0</v>
      </c>
      <c r="CJ108" s="171">
        <f>-'IS(M)'!CK85</f>
        <v>0</v>
      </c>
      <c r="CK108" s="171">
        <f>-'IS(M)'!CL85</f>
        <v>0</v>
      </c>
      <c r="CL108" s="171">
        <f>-'IS(M)'!CM85</f>
        <v>0</v>
      </c>
      <c r="CM108" s="171">
        <f>-'IS(M)'!CN85</f>
        <v>0</v>
      </c>
      <c r="CN108" s="171">
        <f>-'IS(M)'!CO85</f>
        <v>0</v>
      </c>
      <c r="CO108" s="171">
        <f>-'IS(M)'!CP85</f>
        <v>0</v>
      </c>
      <c r="CP108" s="171">
        <f>-'IS(M)'!CQ85</f>
        <v>0</v>
      </c>
      <c r="CQ108" s="171">
        <f>-'IS(M)'!CR85</f>
        <v>0</v>
      </c>
      <c r="CR108" s="171">
        <f>-'IS(M)'!CS85</f>
        <v>0</v>
      </c>
      <c r="CS108" s="171">
        <f>-'IS(M)'!CT85</f>
        <v>0</v>
      </c>
      <c r="CT108" s="171">
        <f>-'IS(M)'!CU85</f>
        <v>0</v>
      </c>
      <c r="CU108" s="171">
        <f>-'IS(M)'!CV85</f>
        <v>0</v>
      </c>
      <c r="CV108" s="171">
        <f>-'IS(M)'!CW85</f>
        <v>0</v>
      </c>
      <c r="CW108" s="171">
        <f>-'IS(M)'!CX85</f>
        <v>0</v>
      </c>
      <c r="CX108" s="171">
        <f>-'IS(M)'!CY85</f>
        <v>0</v>
      </c>
      <c r="CY108" s="171">
        <f>-'IS(M)'!CZ85</f>
        <v>0</v>
      </c>
      <c r="CZ108" s="171">
        <f>-'IS(M)'!DA85</f>
        <v>0</v>
      </c>
      <c r="DA108" s="171">
        <f>-'IS(M)'!DB85</f>
        <v>0</v>
      </c>
      <c r="DB108" s="171">
        <f>-'IS(M)'!DC85</f>
        <v>0</v>
      </c>
      <c r="DC108" s="171">
        <f>-'IS(M)'!DD85</f>
        <v>0</v>
      </c>
      <c r="DD108" s="171">
        <f>-'IS(M)'!DE85</f>
        <v>0</v>
      </c>
      <c r="DE108" s="171">
        <f>-'IS(M)'!DF85</f>
        <v>0</v>
      </c>
      <c r="DF108" s="171">
        <f>-'IS(M)'!DG85</f>
        <v>0</v>
      </c>
      <c r="DG108" s="171">
        <f>-'IS(M)'!DH85</f>
        <v>0</v>
      </c>
      <c r="DH108" s="171">
        <f>-'IS(M)'!DI85</f>
        <v>0</v>
      </c>
      <c r="DI108" s="171">
        <f>-'IS(M)'!DJ85</f>
        <v>0</v>
      </c>
      <c r="DJ108" s="171">
        <f>-'IS(M)'!DK85</f>
        <v>0</v>
      </c>
      <c r="DK108" s="171">
        <f>-'IS(M)'!DL85</f>
        <v>0</v>
      </c>
      <c r="DL108" s="171">
        <f>-'IS(M)'!DM85</f>
        <v>0</v>
      </c>
      <c r="DM108" s="171">
        <f>-'IS(M)'!DN85</f>
        <v>0</v>
      </c>
      <c r="DN108" s="171">
        <f>-'IS(M)'!DO85</f>
        <v>0</v>
      </c>
      <c r="DO108" s="171">
        <f>-'IS(M)'!DP85</f>
        <v>0</v>
      </c>
      <c r="DP108" s="171">
        <f>-'IS(M)'!DQ85</f>
        <v>0</v>
      </c>
      <c r="DQ108" s="171">
        <f>-'IS(M)'!DR85</f>
        <v>0</v>
      </c>
      <c r="DR108" s="171">
        <f>-'IS(M)'!DS85</f>
        <v>0</v>
      </c>
      <c r="DS108" s="171">
        <f>-'IS(M)'!DT85</f>
        <v>0</v>
      </c>
      <c r="DT108" s="171">
        <f>-'IS(M)'!DU85</f>
        <v>0</v>
      </c>
      <c r="DU108" s="171">
        <f>-'IS(M)'!DV85</f>
        <v>0</v>
      </c>
      <c r="DV108" s="171">
        <f>-'IS(M)'!DW85</f>
        <v>0</v>
      </c>
      <c r="DW108" s="171">
        <f>-'IS(M)'!DX85</f>
        <v>0</v>
      </c>
      <c r="DX108" s="171">
        <f>-'IS(M)'!DY85</f>
        <v>0</v>
      </c>
      <c r="DY108" s="171">
        <f>-'IS(M)'!DZ85</f>
        <v>0</v>
      </c>
      <c r="DZ108" s="171">
        <f>-'IS(M)'!EA85</f>
        <v>0</v>
      </c>
      <c r="EA108" s="171">
        <f>-'IS(M)'!EB85</f>
        <v>0</v>
      </c>
      <c r="EB108" s="171">
        <f>-'IS(M)'!EC85</f>
        <v>0</v>
      </c>
      <c r="EC108" s="171">
        <f>-'IS(M)'!ED85</f>
        <v>0</v>
      </c>
      <c r="ED108" s="171">
        <f>-'IS(M)'!EE85</f>
        <v>0</v>
      </c>
      <c r="EE108" s="171">
        <f>-'IS(M)'!EF85</f>
        <v>0</v>
      </c>
      <c r="EF108" s="171">
        <f>-'IS(M)'!EG85</f>
        <v>0</v>
      </c>
      <c r="EG108" s="171">
        <f>-'IS(M)'!EH85</f>
        <v>0</v>
      </c>
      <c r="EH108" s="171">
        <f>-'IS(M)'!EI85</f>
        <v>0</v>
      </c>
      <c r="EI108" s="171">
        <f>-'IS(M)'!EJ85</f>
        <v>0</v>
      </c>
      <c r="EJ108" s="171">
        <f>-'IS(M)'!EK85</f>
        <v>0</v>
      </c>
      <c r="EK108" s="171">
        <f>-'IS(M)'!EL85</f>
        <v>0</v>
      </c>
      <c r="EL108" s="171">
        <f>-'IS(M)'!EM85</f>
        <v>0</v>
      </c>
      <c r="EM108" s="171">
        <f>-'IS(M)'!EN85</f>
        <v>0</v>
      </c>
      <c r="EN108" s="171">
        <f>-'IS(M)'!EO85</f>
        <v>0</v>
      </c>
      <c r="EO108" s="171">
        <f>-'IS(M)'!EP85</f>
        <v>0</v>
      </c>
      <c r="EP108" s="171">
        <f>-'IS(M)'!EQ85</f>
        <v>0</v>
      </c>
      <c r="EQ108" s="171">
        <f>-'IS(M)'!ER85</f>
        <v>0</v>
      </c>
    </row>
    <row r="109" spans="2:147" ht="11.25" customHeight="1">
      <c r="B109" s="218"/>
      <c r="C109" s="163"/>
      <c r="D109" s="169" t="s">
        <v>469</v>
      </c>
      <c r="G109" s="65">
        <f>'A&amp;R'!T43</f>
        <v>0</v>
      </c>
      <c r="H109" s="146">
        <f>'A&amp;R'!$E$39</f>
        <v>49979</v>
      </c>
      <c r="I109" s="229">
        <f>$H$156*G109</f>
        <v>0</v>
      </c>
      <c r="J109" s="171">
        <f>SUM(L109:EQ109)</f>
        <v>0</v>
      </c>
      <c r="K109" s="98"/>
      <c r="L109" s="171">
        <f>-$I109*(L$13=$H109)</f>
        <v>0</v>
      </c>
      <c r="M109" s="171">
        <f t="shared" ref="M109:BX109" si="83">-$I109*(M$13=$H109)</f>
        <v>0</v>
      </c>
      <c r="N109" s="171">
        <f t="shared" si="83"/>
        <v>0</v>
      </c>
      <c r="O109" s="171">
        <f t="shared" si="83"/>
        <v>0</v>
      </c>
      <c r="P109" s="171">
        <f t="shared" si="83"/>
        <v>0</v>
      </c>
      <c r="Q109" s="171">
        <f t="shared" si="83"/>
        <v>0</v>
      </c>
      <c r="R109" s="171">
        <f t="shared" si="83"/>
        <v>0</v>
      </c>
      <c r="S109" s="171">
        <f t="shared" si="83"/>
        <v>0</v>
      </c>
      <c r="T109" s="171">
        <f t="shared" si="83"/>
        <v>0</v>
      </c>
      <c r="U109" s="171">
        <f t="shared" si="83"/>
        <v>0</v>
      </c>
      <c r="V109" s="171">
        <f t="shared" si="83"/>
        <v>0</v>
      </c>
      <c r="W109" s="171">
        <f t="shared" si="83"/>
        <v>0</v>
      </c>
      <c r="X109" s="171">
        <f t="shared" si="83"/>
        <v>0</v>
      </c>
      <c r="Y109" s="171">
        <f t="shared" si="83"/>
        <v>0</v>
      </c>
      <c r="Z109" s="171">
        <f t="shared" si="83"/>
        <v>0</v>
      </c>
      <c r="AA109" s="171">
        <f t="shared" si="83"/>
        <v>0</v>
      </c>
      <c r="AB109" s="171">
        <f t="shared" si="83"/>
        <v>0</v>
      </c>
      <c r="AC109" s="171">
        <f t="shared" si="83"/>
        <v>0</v>
      </c>
      <c r="AD109" s="171">
        <f t="shared" si="83"/>
        <v>0</v>
      </c>
      <c r="AE109" s="171">
        <f t="shared" si="83"/>
        <v>0</v>
      </c>
      <c r="AF109" s="171">
        <f t="shared" si="83"/>
        <v>0</v>
      </c>
      <c r="AG109" s="171">
        <f t="shared" si="83"/>
        <v>0</v>
      </c>
      <c r="AH109" s="171">
        <f t="shared" si="83"/>
        <v>0</v>
      </c>
      <c r="AI109" s="171">
        <f t="shared" si="83"/>
        <v>0</v>
      </c>
      <c r="AJ109" s="171">
        <f t="shared" si="83"/>
        <v>0</v>
      </c>
      <c r="AK109" s="171">
        <f t="shared" si="83"/>
        <v>0</v>
      </c>
      <c r="AL109" s="171">
        <f t="shared" si="83"/>
        <v>0</v>
      </c>
      <c r="AM109" s="171">
        <f t="shared" si="83"/>
        <v>0</v>
      </c>
      <c r="AN109" s="171">
        <f t="shared" si="83"/>
        <v>0</v>
      </c>
      <c r="AO109" s="171">
        <f t="shared" si="83"/>
        <v>0</v>
      </c>
      <c r="AP109" s="171">
        <f t="shared" si="83"/>
        <v>0</v>
      </c>
      <c r="AQ109" s="171">
        <f t="shared" si="83"/>
        <v>0</v>
      </c>
      <c r="AR109" s="171">
        <f t="shared" si="83"/>
        <v>0</v>
      </c>
      <c r="AS109" s="171">
        <f t="shared" si="83"/>
        <v>0</v>
      </c>
      <c r="AT109" s="171">
        <f t="shared" si="83"/>
        <v>0</v>
      </c>
      <c r="AU109" s="171">
        <f t="shared" si="83"/>
        <v>0</v>
      </c>
      <c r="AV109" s="171">
        <f t="shared" si="83"/>
        <v>0</v>
      </c>
      <c r="AW109" s="171">
        <f t="shared" si="83"/>
        <v>0</v>
      </c>
      <c r="AX109" s="171">
        <f t="shared" si="83"/>
        <v>0</v>
      </c>
      <c r="AY109" s="171">
        <f t="shared" si="83"/>
        <v>0</v>
      </c>
      <c r="AZ109" s="171">
        <f t="shared" si="83"/>
        <v>0</v>
      </c>
      <c r="BA109" s="171">
        <f t="shared" si="83"/>
        <v>0</v>
      </c>
      <c r="BB109" s="171">
        <f t="shared" si="83"/>
        <v>0</v>
      </c>
      <c r="BC109" s="171">
        <f t="shared" si="83"/>
        <v>0</v>
      </c>
      <c r="BD109" s="171">
        <f t="shared" si="83"/>
        <v>0</v>
      </c>
      <c r="BE109" s="171">
        <f t="shared" si="83"/>
        <v>0</v>
      </c>
      <c r="BF109" s="171">
        <f t="shared" si="83"/>
        <v>0</v>
      </c>
      <c r="BG109" s="171">
        <f t="shared" si="83"/>
        <v>0</v>
      </c>
      <c r="BH109" s="171">
        <f t="shared" si="83"/>
        <v>0</v>
      </c>
      <c r="BI109" s="171">
        <f t="shared" si="83"/>
        <v>0</v>
      </c>
      <c r="BJ109" s="171">
        <f t="shared" si="83"/>
        <v>0</v>
      </c>
      <c r="BK109" s="171">
        <f t="shared" si="83"/>
        <v>0</v>
      </c>
      <c r="BL109" s="171">
        <f t="shared" si="83"/>
        <v>0</v>
      </c>
      <c r="BM109" s="171">
        <f t="shared" si="83"/>
        <v>0</v>
      </c>
      <c r="BN109" s="171">
        <f t="shared" si="83"/>
        <v>0</v>
      </c>
      <c r="BO109" s="171">
        <f t="shared" si="83"/>
        <v>0</v>
      </c>
      <c r="BP109" s="171">
        <f t="shared" si="83"/>
        <v>0</v>
      </c>
      <c r="BQ109" s="171">
        <f t="shared" si="83"/>
        <v>0</v>
      </c>
      <c r="BR109" s="171">
        <f t="shared" si="83"/>
        <v>0</v>
      </c>
      <c r="BS109" s="171">
        <f t="shared" si="83"/>
        <v>0</v>
      </c>
      <c r="BT109" s="171">
        <f t="shared" si="83"/>
        <v>0</v>
      </c>
      <c r="BU109" s="171">
        <f t="shared" si="83"/>
        <v>0</v>
      </c>
      <c r="BV109" s="171">
        <f t="shared" si="83"/>
        <v>0</v>
      </c>
      <c r="BW109" s="171">
        <f t="shared" si="83"/>
        <v>0</v>
      </c>
      <c r="BX109" s="171">
        <f t="shared" si="83"/>
        <v>0</v>
      </c>
      <c r="BY109" s="171">
        <f t="shared" ref="BY109:EJ109" si="84">-$I109*(BY$13=$H109)</f>
        <v>0</v>
      </c>
      <c r="BZ109" s="171">
        <f t="shared" si="84"/>
        <v>0</v>
      </c>
      <c r="CA109" s="171">
        <f t="shared" si="84"/>
        <v>0</v>
      </c>
      <c r="CB109" s="171">
        <f t="shared" si="84"/>
        <v>0</v>
      </c>
      <c r="CC109" s="171">
        <f t="shared" si="84"/>
        <v>0</v>
      </c>
      <c r="CD109" s="171">
        <f t="shared" si="84"/>
        <v>0</v>
      </c>
      <c r="CE109" s="171">
        <f t="shared" si="84"/>
        <v>0</v>
      </c>
      <c r="CF109" s="171">
        <f t="shared" si="84"/>
        <v>0</v>
      </c>
      <c r="CG109" s="171">
        <f t="shared" si="84"/>
        <v>0</v>
      </c>
      <c r="CH109" s="171">
        <f t="shared" si="84"/>
        <v>0</v>
      </c>
      <c r="CI109" s="171">
        <f t="shared" si="84"/>
        <v>0</v>
      </c>
      <c r="CJ109" s="171">
        <f t="shared" si="84"/>
        <v>0</v>
      </c>
      <c r="CK109" s="171">
        <f t="shared" si="84"/>
        <v>0</v>
      </c>
      <c r="CL109" s="171">
        <f t="shared" si="84"/>
        <v>0</v>
      </c>
      <c r="CM109" s="171">
        <f t="shared" si="84"/>
        <v>0</v>
      </c>
      <c r="CN109" s="171">
        <f t="shared" si="84"/>
        <v>0</v>
      </c>
      <c r="CO109" s="171">
        <f t="shared" si="84"/>
        <v>0</v>
      </c>
      <c r="CP109" s="171">
        <f t="shared" si="84"/>
        <v>0</v>
      </c>
      <c r="CQ109" s="171">
        <f t="shared" si="84"/>
        <v>0</v>
      </c>
      <c r="CR109" s="171">
        <f t="shared" si="84"/>
        <v>0</v>
      </c>
      <c r="CS109" s="171">
        <f t="shared" si="84"/>
        <v>0</v>
      </c>
      <c r="CT109" s="171">
        <f t="shared" si="84"/>
        <v>0</v>
      </c>
      <c r="CU109" s="171">
        <f t="shared" si="84"/>
        <v>0</v>
      </c>
      <c r="CV109" s="171">
        <f t="shared" si="84"/>
        <v>0</v>
      </c>
      <c r="CW109" s="171">
        <f t="shared" si="84"/>
        <v>0</v>
      </c>
      <c r="CX109" s="171">
        <f t="shared" si="84"/>
        <v>0</v>
      </c>
      <c r="CY109" s="171">
        <f t="shared" si="84"/>
        <v>0</v>
      </c>
      <c r="CZ109" s="171">
        <f t="shared" si="84"/>
        <v>0</v>
      </c>
      <c r="DA109" s="171">
        <f t="shared" si="84"/>
        <v>0</v>
      </c>
      <c r="DB109" s="171">
        <f t="shared" si="84"/>
        <v>0</v>
      </c>
      <c r="DC109" s="171">
        <f t="shared" si="84"/>
        <v>0</v>
      </c>
      <c r="DD109" s="171">
        <f t="shared" si="84"/>
        <v>0</v>
      </c>
      <c r="DE109" s="171">
        <f t="shared" si="84"/>
        <v>0</v>
      </c>
      <c r="DF109" s="171">
        <f t="shared" si="84"/>
        <v>0</v>
      </c>
      <c r="DG109" s="171">
        <f t="shared" si="84"/>
        <v>0</v>
      </c>
      <c r="DH109" s="171">
        <f t="shared" si="84"/>
        <v>0</v>
      </c>
      <c r="DI109" s="171">
        <f t="shared" si="84"/>
        <v>0</v>
      </c>
      <c r="DJ109" s="171">
        <f t="shared" si="84"/>
        <v>0</v>
      </c>
      <c r="DK109" s="171">
        <f t="shared" si="84"/>
        <v>0</v>
      </c>
      <c r="DL109" s="171">
        <f t="shared" si="84"/>
        <v>0</v>
      </c>
      <c r="DM109" s="171">
        <f t="shared" si="84"/>
        <v>0</v>
      </c>
      <c r="DN109" s="171">
        <f t="shared" si="84"/>
        <v>0</v>
      </c>
      <c r="DO109" s="171">
        <f t="shared" si="84"/>
        <v>0</v>
      </c>
      <c r="DP109" s="171">
        <f t="shared" si="84"/>
        <v>0</v>
      </c>
      <c r="DQ109" s="171">
        <f t="shared" si="84"/>
        <v>0</v>
      </c>
      <c r="DR109" s="171">
        <f t="shared" si="84"/>
        <v>0</v>
      </c>
      <c r="DS109" s="171">
        <f t="shared" si="84"/>
        <v>0</v>
      </c>
      <c r="DT109" s="171">
        <f t="shared" si="84"/>
        <v>0</v>
      </c>
      <c r="DU109" s="171">
        <f t="shared" si="84"/>
        <v>0</v>
      </c>
      <c r="DV109" s="171">
        <f t="shared" si="84"/>
        <v>0</v>
      </c>
      <c r="DW109" s="171">
        <f t="shared" si="84"/>
        <v>0</v>
      </c>
      <c r="DX109" s="171">
        <f t="shared" si="84"/>
        <v>0</v>
      </c>
      <c r="DY109" s="171">
        <f t="shared" si="84"/>
        <v>0</v>
      </c>
      <c r="DZ109" s="171">
        <f t="shared" si="84"/>
        <v>0</v>
      </c>
      <c r="EA109" s="171">
        <f t="shared" si="84"/>
        <v>0</v>
      </c>
      <c r="EB109" s="171">
        <f t="shared" si="84"/>
        <v>0</v>
      </c>
      <c r="EC109" s="171">
        <f t="shared" si="84"/>
        <v>0</v>
      </c>
      <c r="ED109" s="171">
        <f t="shared" si="84"/>
        <v>0</v>
      </c>
      <c r="EE109" s="171">
        <f t="shared" si="84"/>
        <v>0</v>
      </c>
      <c r="EF109" s="171">
        <f t="shared" si="84"/>
        <v>0</v>
      </c>
      <c r="EG109" s="171">
        <f t="shared" si="84"/>
        <v>0</v>
      </c>
      <c r="EH109" s="171">
        <f t="shared" si="84"/>
        <v>0</v>
      </c>
      <c r="EI109" s="171">
        <f t="shared" si="84"/>
        <v>0</v>
      </c>
      <c r="EJ109" s="171">
        <f t="shared" si="84"/>
        <v>0</v>
      </c>
      <c r="EK109" s="171">
        <f t="shared" ref="EK109:EQ109" si="85">-$I109*(EK$13=$H109)</f>
        <v>0</v>
      </c>
      <c r="EL109" s="171">
        <f t="shared" si="85"/>
        <v>0</v>
      </c>
      <c r="EM109" s="171">
        <f t="shared" si="85"/>
        <v>0</v>
      </c>
      <c r="EN109" s="171">
        <f t="shared" si="85"/>
        <v>0</v>
      </c>
      <c r="EO109" s="171">
        <f t="shared" si="85"/>
        <v>0</v>
      </c>
      <c r="EP109" s="171">
        <f t="shared" si="85"/>
        <v>0</v>
      </c>
      <c r="EQ109" s="171">
        <f t="shared" si="85"/>
        <v>0</v>
      </c>
    </row>
    <row r="110" spans="2:147" ht="11.25" customHeight="1">
      <c r="B110" s="218"/>
      <c r="C110" s="158" t="str">
        <f>'A&amp;R'!L44</f>
        <v>보통주(KLI)</v>
      </c>
      <c r="D110" s="159"/>
      <c r="E110" s="159"/>
      <c r="F110" s="159"/>
      <c r="G110" s="159"/>
      <c r="H110" s="160"/>
      <c r="I110" s="219"/>
      <c r="J110" s="220">
        <f ca="1">SUM(J111:J114)</f>
        <v>-48180453.350267738</v>
      </c>
      <c r="K110" s="98"/>
      <c r="L110" s="162">
        <f ca="1">SUM(L111:L114)</f>
        <v>14800000</v>
      </c>
      <c r="M110" s="162">
        <f t="shared" ref="M110:BX110" ca="1" si="86">SUM(M111:M114)</f>
        <v>0</v>
      </c>
      <c r="N110" s="162">
        <f t="shared" ca="1" si="86"/>
        <v>0</v>
      </c>
      <c r="O110" s="162">
        <f t="shared" ca="1" si="86"/>
        <v>0</v>
      </c>
      <c r="P110" s="162">
        <f t="shared" ca="1" si="86"/>
        <v>0</v>
      </c>
      <c r="Q110" s="162">
        <f t="shared" ca="1" si="86"/>
        <v>0</v>
      </c>
      <c r="R110" s="162">
        <f t="shared" ca="1" si="86"/>
        <v>-555000</v>
      </c>
      <c r="S110" s="162">
        <f t="shared" ca="1" si="86"/>
        <v>0</v>
      </c>
      <c r="T110" s="162">
        <f t="shared" ca="1" si="86"/>
        <v>0</v>
      </c>
      <c r="U110" s="162">
        <f t="shared" ca="1" si="86"/>
        <v>0</v>
      </c>
      <c r="V110" s="162">
        <f t="shared" ca="1" si="86"/>
        <v>0</v>
      </c>
      <c r="W110" s="162">
        <f t="shared" ca="1" si="86"/>
        <v>0</v>
      </c>
      <c r="X110" s="162">
        <f t="shared" ca="1" si="86"/>
        <v>-555000</v>
      </c>
      <c r="Y110" s="162">
        <f t="shared" ca="1" si="86"/>
        <v>0</v>
      </c>
      <c r="Z110" s="162">
        <f t="shared" ca="1" si="86"/>
        <v>0</v>
      </c>
      <c r="AA110" s="162">
        <f t="shared" ca="1" si="86"/>
        <v>0</v>
      </c>
      <c r="AB110" s="162">
        <f t="shared" ca="1" si="86"/>
        <v>0</v>
      </c>
      <c r="AC110" s="162">
        <f t="shared" ca="1" si="86"/>
        <v>0</v>
      </c>
      <c r="AD110" s="162">
        <f t="shared" ca="1" si="86"/>
        <v>0</v>
      </c>
      <c r="AE110" s="162">
        <f t="shared" ca="1" si="86"/>
        <v>0</v>
      </c>
      <c r="AF110" s="162">
        <f t="shared" ca="1" si="86"/>
        <v>0</v>
      </c>
      <c r="AG110" s="162">
        <f t="shared" ca="1" si="86"/>
        <v>0</v>
      </c>
      <c r="AH110" s="162">
        <f t="shared" ca="1" si="86"/>
        <v>0</v>
      </c>
      <c r="AI110" s="162">
        <f t="shared" ca="1" si="86"/>
        <v>0</v>
      </c>
      <c r="AJ110" s="162">
        <f t="shared" ca="1" si="86"/>
        <v>0</v>
      </c>
      <c r="AK110" s="162">
        <f t="shared" ca="1" si="86"/>
        <v>0</v>
      </c>
      <c r="AL110" s="162">
        <f t="shared" ca="1" si="86"/>
        <v>0</v>
      </c>
      <c r="AM110" s="162">
        <f t="shared" ca="1" si="86"/>
        <v>0</v>
      </c>
      <c r="AN110" s="162">
        <f t="shared" ca="1" si="86"/>
        <v>0</v>
      </c>
      <c r="AO110" s="162">
        <f t="shared" ca="1" si="86"/>
        <v>0</v>
      </c>
      <c r="AP110" s="162">
        <f t="shared" ca="1" si="86"/>
        <v>0</v>
      </c>
      <c r="AQ110" s="162">
        <f t="shared" ca="1" si="86"/>
        <v>0</v>
      </c>
      <c r="AR110" s="162">
        <f t="shared" ca="1" si="86"/>
        <v>0</v>
      </c>
      <c r="AS110" s="162">
        <f t="shared" ca="1" si="86"/>
        <v>0</v>
      </c>
      <c r="AT110" s="162">
        <f t="shared" ca="1" si="86"/>
        <v>0</v>
      </c>
      <c r="AU110" s="162">
        <f t="shared" ca="1" si="86"/>
        <v>0</v>
      </c>
      <c r="AV110" s="162">
        <f t="shared" ca="1" si="86"/>
        <v>0</v>
      </c>
      <c r="AW110" s="162">
        <f t="shared" ca="1" si="86"/>
        <v>0</v>
      </c>
      <c r="AX110" s="162">
        <f t="shared" ca="1" si="86"/>
        <v>0</v>
      </c>
      <c r="AY110" s="162">
        <f t="shared" ca="1" si="86"/>
        <v>0</v>
      </c>
      <c r="AZ110" s="162">
        <f t="shared" ca="1" si="86"/>
        <v>0</v>
      </c>
      <c r="BA110" s="162">
        <f t="shared" ca="1" si="86"/>
        <v>0</v>
      </c>
      <c r="BB110" s="162">
        <f t="shared" ca="1" si="86"/>
        <v>0</v>
      </c>
      <c r="BC110" s="162">
        <f t="shared" ca="1" si="86"/>
        <v>0</v>
      </c>
      <c r="BD110" s="162">
        <f t="shared" ca="1" si="86"/>
        <v>0</v>
      </c>
      <c r="BE110" s="162">
        <f t="shared" ca="1" si="86"/>
        <v>0</v>
      </c>
      <c r="BF110" s="162">
        <f t="shared" ca="1" si="86"/>
        <v>0</v>
      </c>
      <c r="BG110" s="162">
        <f t="shared" ca="1" si="86"/>
        <v>0</v>
      </c>
      <c r="BH110" s="162">
        <f t="shared" ca="1" si="86"/>
        <v>0</v>
      </c>
      <c r="BI110" s="162">
        <f t="shared" ca="1" si="86"/>
        <v>0</v>
      </c>
      <c r="BJ110" s="162">
        <f t="shared" ca="1" si="86"/>
        <v>0</v>
      </c>
      <c r="BK110" s="162">
        <f t="shared" ca="1" si="86"/>
        <v>0</v>
      </c>
      <c r="BL110" s="162">
        <f t="shared" ca="1" si="86"/>
        <v>0</v>
      </c>
      <c r="BM110" s="162">
        <f t="shared" ca="1" si="86"/>
        <v>0</v>
      </c>
      <c r="BN110" s="162">
        <f t="shared" ca="1" si="86"/>
        <v>0</v>
      </c>
      <c r="BO110" s="162">
        <f t="shared" ca="1" si="86"/>
        <v>0</v>
      </c>
      <c r="BP110" s="162">
        <f t="shared" ca="1" si="86"/>
        <v>0</v>
      </c>
      <c r="BQ110" s="162">
        <f t="shared" ca="1" si="86"/>
        <v>0</v>
      </c>
      <c r="BR110" s="162">
        <f t="shared" ca="1" si="86"/>
        <v>0</v>
      </c>
      <c r="BS110" s="162">
        <f t="shared" ca="1" si="86"/>
        <v>0</v>
      </c>
      <c r="BT110" s="162">
        <f t="shared" ca="1" si="86"/>
        <v>0</v>
      </c>
      <c r="BU110" s="162">
        <f t="shared" ca="1" si="86"/>
        <v>0</v>
      </c>
      <c r="BV110" s="162">
        <f t="shared" ca="1" si="86"/>
        <v>0</v>
      </c>
      <c r="BW110" s="162">
        <f t="shared" ca="1" si="86"/>
        <v>0</v>
      </c>
      <c r="BX110" s="162">
        <f t="shared" ca="1" si="86"/>
        <v>0</v>
      </c>
      <c r="BY110" s="162">
        <f t="shared" ref="BY110:DP110" ca="1" si="87">SUM(BY111:BY114)</f>
        <v>0</v>
      </c>
      <c r="BZ110" s="162">
        <f t="shared" ca="1" si="87"/>
        <v>0</v>
      </c>
      <c r="CA110" s="162">
        <f t="shared" ca="1" si="87"/>
        <v>0</v>
      </c>
      <c r="CB110" s="162">
        <f t="shared" ca="1" si="87"/>
        <v>0</v>
      </c>
      <c r="CC110" s="162">
        <f t="shared" ca="1" si="87"/>
        <v>0</v>
      </c>
      <c r="CD110" s="162">
        <f t="shared" ca="1" si="87"/>
        <v>0</v>
      </c>
      <c r="CE110" s="162">
        <f t="shared" ca="1" si="87"/>
        <v>0</v>
      </c>
      <c r="CF110" s="162">
        <f t="shared" ca="1" si="87"/>
        <v>0</v>
      </c>
      <c r="CG110" s="162">
        <f t="shared" ca="1" si="87"/>
        <v>0</v>
      </c>
      <c r="CH110" s="162">
        <f t="shared" ca="1" si="87"/>
        <v>0</v>
      </c>
      <c r="CI110" s="162">
        <f t="shared" ca="1" si="87"/>
        <v>0</v>
      </c>
      <c r="CJ110" s="162">
        <f t="shared" ca="1" si="87"/>
        <v>0</v>
      </c>
      <c r="CK110" s="162">
        <f t="shared" ca="1" si="87"/>
        <v>0</v>
      </c>
      <c r="CL110" s="162">
        <f t="shared" ca="1" si="87"/>
        <v>0</v>
      </c>
      <c r="CM110" s="162">
        <f t="shared" ca="1" si="87"/>
        <v>0</v>
      </c>
      <c r="CN110" s="162">
        <f t="shared" ca="1" si="87"/>
        <v>0</v>
      </c>
      <c r="CO110" s="162">
        <f t="shared" ca="1" si="87"/>
        <v>0</v>
      </c>
      <c r="CP110" s="162">
        <f t="shared" ca="1" si="87"/>
        <v>0</v>
      </c>
      <c r="CQ110" s="162">
        <f t="shared" ca="1" si="87"/>
        <v>0</v>
      </c>
      <c r="CR110" s="162">
        <f t="shared" ca="1" si="87"/>
        <v>0</v>
      </c>
      <c r="CS110" s="162">
        <f t="shared" ca="1" si="87"/>
        <v>0</v>
      </c>
      <c r="CT110" s="162">
        <f t="shared" ca="1" si="87"/>
        <v>0</v>
      </c>
      <c r="CU110" s="162">
        <f t="shared" ca="1" si="87"/>
        <v>0</v>
      </c>
      <c r="CV110" s="162">
        <f t="shared" ca="1" si="87"/>
        <v>0</v>
      </c>
      <c r="CW110" s="162">
        <f t="shared" ca="1" si="87"/>
        <v>0</v>
      </c>
      <c r="CX110" s="162">
        <f t="shared" ca="1" si="87"/>
        <v>0</v>
      </c>
      <c r="CY110" s="162">
        <f t="shared" ca="1" si="87"/>
        <v>0</v>
      </c>
      <c r="CZ110" s="162">
        <f t="shared" ca="1" si="87"/>
        <v>0</v>
      </c>
      <c r="DA110" s="162">
        <f t="shared" ca="1" si="87"/>
        <v>0</v>
      </c>
      <c r="DB110" s="162">
        <f t="shared" ca="1" si="87"/>
        <v>0</v>
      </c>
      <c r="DC110" s="162">
        <f t="shared" ca="1" si="87"/>
        <v>0</v>
      </c>
      <c r="DD110" s="162">
        <f t="shared" ca="1" si="87"/>
        <v>0</v>
      </c>
      <c r="DE110" s="162">
        <f t="shared" ca="1" si="87"/>
        <v>0</v>
      </c>
      <c r="DF110" s="162">
        <f t="shared" ca="1" si="87"/>
        <v>0</v>
      </c>
      <c r="DG110" s="162">
        <f t="shared" ca="1" si="87"/>
        <v>0</v>
      </c>
      <c r="DH110" s="162">
        <f t="shared" ca="1" si="87"/>
        <v>0</v>
      </c>
      <c r="DI110" s="162">
        <f t="shared" ca="1" si="87"/>
        <v>0</v>
      </c>
      <c r="DJ110" s="162">
        <f t="shared" ca="1" si="87"/>
        <v>0</v>
      </c>
      <c r="DK110" s="162">
        <f t="shared" ca="1" si="87"/>
        <v>0</v>
      </c>
      <c r="DL110" s="162">
        <f t="shared" ca="1" si="87"/>
        <v>0</v>
      </c>
      <c r="DM110" s="162">
        <f t="shared" ca="1" si="87"/>
        <v>0</v>
      </c>
      <c r="DN110" s="162">
        <f t="shared" ca="1" si="87"/>
        <v>0</v>
      </c>
      <c r="DO110" s="162">
        <f t="shared" ca="1" si="87"/>
        <v>0</v>
      </c>
      <c r="DP110" s="162">
        <f t="shared" ca="1" si="87"/>
        <v>0</v>
      </c>
      <c r="DQ110" s="162">
        <f t="shared" ref="DQ110:EQ110" ca="1" si="88">SUM(DQ111:DQ114)</f>
        <v>0</v>
      </c>
      <c r="DR110" s="162">
        <f t="shared" ca="1" si="88"/>
        <v>0</v>
      </c>
      <c r="DS110" s="162">
        <f t="shared" ca="1" si="88"/>
        <v>0</v>
      </c>
      <c r="DT110" s="162">
        <f t="shared" ca="1" si="88"/>
        <v>0</v>
      </c>
      <c r="DU110" s="162">
        <f t="shared" ca="1" si="88"/>
        <v>0</v>
      </c>
      <c r="DV110" s="162">
        <f t="shared" ca="1" si="88"/>
        <v>0</v>
      </c>
      <c r="DW110" s="162">
        <f t="shared" ca="1" si="88"/>
        <v>0</v>
      </c>
      <c r="DX110" s="162">
        <f t="shared" ca="1" si="88"/>
        <v>0</v>
      </c>
      <c r="DY110" s="162">
        <f t="shared" ca="1" si="88"/>
        <v>0</v>
      </c>
      <c r="DZ110" s="162">
        <f t="shared" ca="1" si="88"/>
        <v>0</v>
      </c>
      <c r="EA110" s="162">
        <f t="shared" ca="1" si="88"/>
        <v>0</v>
      </c>
      <c r="EB110" s="162">
        <f t="shared" ca="1" si="88"/>
        <v>-61870453.350267738</v>
      </c>
      <c r="EC110" s="162">
        <f t="shared" ca="1" si="88"/>
        <v>0</v>
      </c>
      <c r="ED110" s="162">
        <f t="shared" ca="1" si="88"/>
        <v>0</v>
      </c>
      <c r="EE110" s="162">
        <f t="shared" ca="1" si="88"/>
        <v>0</v>
      </c>
      <c r="EF110" s="162">
        <f t="shared" ca="1" si="88"/>
        <v>0</v>
      </c>
      <c r="EG110" s="162">
        <f t="shared" ca="1" si="88"/>
        <v>0</v>
      </c>
      <c r="EH110" s="162">
        <f t="shared" ca="1" si="88"/>
        <v>0</v>
      </c>
      <c r="EI110" s="162">
        <f t="shared" ca="1" si="88"/>
        <v>0</v>
      </c>
      <c r="EJ110" s="162">
        <f t="shared" ca="1" si="88"/>
        <v>0</v>
      </c>
      <c r="EK110" s="162">
        <f t="shared" ca="1" si="88"/>
        <v>0</v>
      </c>
      <c r="EL110" s="162">
        <f t="shared" ca="1" si="88"/>
        <v>0</v>
      </c>
      <c r="EM110" s="162">
        <f t="shared" ca="1" si="88"/>
        <v>0</v>
      </c>
      <c r="EN110" s="162">
        <f t="shared" ca="1" si="88"/>
        <v>0</v>
      </c>
      <c r="EO110" s="162">
        <f t="shared" ca="1" si="88"/>
        <v>0</v>
      </c>
      <c r="EP110" s="162">
        <f t="shared" ca="1" si="88"/>
        <v>0</v>
      </c>
      <c r="EQ110" s="162">
        <f t="shared" ca="1" si="88"/>
        <v>0</v>
      </c>
    </row>
    <row r="111" spans="2:147" ht="11.25" customHeight="1">
      <c r="B111" s="218"/>
      <c r="C111" s="163"/>
      <c r="D111" s="164" t="s">
        <v>208</v>
      </c>
      <c r="E111" s="165"/>
      <c r="F111" s="165"/>
      <c r="G111" s="165"/>
      <c r="H111" s="166"/>
      <c r="I111" s="228"/>
      <c r="J111" s="168">
        <f>SUM(L111:EQ111)</f>
        <v>14800000</v>
      </c>
      <c r="K111" s="98"/>
      <c r="L111" s="168">
        <f>'FS_Detail(M)'!L77</f>
        <v>14800000</v>
      </c>
      <c r="M111" s="168">
        <f>'FS_Detail(M)'!M77</f>
        <v>0</v>
      </c>
      <c r="N111" s="168">
        <f>'FS_Detail(M)'!N77</f>
        <v>0</v>
      </c>
      <c r="O111" s="168">
        <f>'FS_Detail(M)'!O77</f>
        <v>0</v>
      </c>
      <c r="P111" s="168">
        <f>'FS_Detail(M)'!P77</f>
        <v>0</v>
      </c>
      <c r="Q111" s="168">
        <f>'FS_Detail(M)'!Q77</f>
        <v>0</v>
      </c>
      <c r="R111" s="168">
        <f>'FS_Detail(M)'!R77</f>
        <v>0</v>
      </c>
      <c r="S111" s="168">
        <f>'FS_Detail(M)'!S77</f>
        <v>0</v>
      </c>
      <c r="T111" s="168">
        <f>'FS_Detail(M)'!T77</f>
        <v>0</v>
      </c>
      <c r="U111" s="168">
        <f>'FS_Detail(M)'!U77</f>
        <v>0</v>
      </c>
      <c r="V111" s="168">
        <f>'FS_Detail(M)'!V77</f>
        <v>0</v>
      </c>
      <c r="W111" s="168">
        <f>'FS_Detail(M)'!W77</f>
        <v>0</v>
      </c>
      <c r="X111" s="168">
        <f>'FS_Detail(M)'!X77</f>
        <v>0</v>
      </c>
      <c r="Y111" s="168">
        <f>'FS_Detail(M)'!Y77</f>
        <v>0</v>
      </c>
      <c r="Z111" s="168">
        <f>'FS_Detail(M)'!Z77</f>
        <v>0</v>
      </c>
      <c r="AA111" s="168">
        <f>'FS_Detail(M)'!AA77</f>
        <v>0</v>
      </c>
      <c r="AB111" s="168">
        <f>'FS_Detail(M)'!AB77</f>
        <v>0</v>
      </c>
      <c r="AC111" s="168">
        <f>'FS_Detail(M)'!AC77</f>
        <v>0</v>
      </c>
      <c r="AD111" s="168">
        <f>'FS_Detail(M)'!AD77</f>
        <v>0</v>
      </c>
      <c r="AE111" s="168">
        <f>'FS_Detail(M)'!AE77</f>
        <v>0</v>
      </c>
      <c r="AF111" s="168">
        <f>'FS_Detail(M)'!AF77</f>
        <v>0</v>
      </c>
      <c r="AG111" s="168">
        <f>'FS_Detail(M)'!AG77</f>
        <v>0</v>
      </c>
      <c r="AH111" s="168">
        <f>'FS_Detail(M)'!AH77</f>
        <v>0</v>
      </c>
      <c r="AI111" s="168">
        <f>'FS_Detail(M)'!AI77</f>
        <v>0</v>
      </c>
      <c r="AJ111" s="168">
        <f>'FS_Detail(M)'!AJ77</f>
        <v>0</v>
      </c>
      <c r="AK111" s="168">
        <f>'FS_Detail(M)'!AK77</f>
        <v>0</v>
      </c>
      <c r="AL111" s="168">
        <f>'FS_Detail(M)'!AL77</f>
        <v>0</v>
      </c>
      <c r="AM111" s="168">
        <f>'FS_Detail(M)'!AM77</f>
        <v>0</v>
      </c>
      <c r="AN111" s="168">
        <f>'FS_Detail(M)'!AN77</f>
        <v>0</v>
      </c>
      <c r="AO111" s="168">
        <f>'FS_Detail(M)'!AO77</f>
        <v>0</v>
      </c>
      <c r="AP111" s="168">
        <f>'FS_Detail(M)'!AP77</f>
        <v>0</v>
      </c>
      <c r="AQ111" s="168">
        <f>'FS_Detail(M)'!AQ77</f>
        <v>0</v>
      </c>
      <c r="AR111" s="168">
        <f>'FS_Detail(M)'!AR77</f>
        <v>0</v>
      </c>
      <c r="AS111" s="168">
        <f>'FS_Detail(M)'!AS77</f>
        <v>0</v>
      </c>
      <c r="AT111" s="168">
        <f>'FS_Detail(M)'!AT77</f>
        <v>0</v>
      </c>
      <c r="AU111" s="168">
        <f>'FS_Detail(M)'!AU77</f>
        <v>0</v>
      </c>
      <c r="AV111" s="168">
        <f>'FS_Detail(M)'!AV77</f>
        <v>0</v>
      </c>
      <c r="AW111" s="168">
        <f>'FS_Detail(M)'!AW77</f>
        <v>0</v>
      </c>
      <c r="AX111" s="168">
        <f>'FS_Detail(M)'!AX77</f>
        <v>0</v>
      </c>
      <c r="AY111" s="168">
        <f>'FS_Detail(M)'!AY77</f>
        <v>0</v>
      </c>
      <c r="AZ111" s="168">
        <f>'FS_Detail(M)'!AZ77</f>
        <v>0</v>
      </c>
      <c r="BA111" s="168">
        <f>'FS_Detail(M)'!BA77</f>
        <v>0</v>
      </c>
      <c r="BB111" s="168">
        <f>'FS_Detail(M)'!BB77</f>
        <v>0</v>
      </c>
      <c r="BC111" s="168">
        <f>'FS_Detail(M)'!BC77</f>
        <v>0</v>
      </c>
      <c r="BD111" s="168">
        <f>'FS_Detail(M)'!BD77</f>
        <v>0</v>
      </c>
      <c r="BE111" s="168">
        <f>'FS_Detail(M)'!BE77</f>
        <v>0</v>
      </c>
      <c r="BF111" s="168">
        <f>'FS_Detail(M)'!BF77</f>
        <v>0</v>
      </c>
      <c r="BG111" s="168">
        <f>'FS_Detail(M)'!BG77</f>
        <v>0</v>
      </c>
      <c r="BH111" s="168">
        <f>'FS_Detail(M)'!BH77</f>
        <v>0</v>
      </c>
      <c r="BI111" s="168">
        <f>'FS_Detail(M)'!BI77</f>
        <v>0</v>
      </c>
      <c r="BJ111" s="168">
        <f>'FS_Detail(M)'!BJ77</f>
        <v>0</v>
      </c>
      <c r="BK111" s="168">
        <f>'FS_Detail(M)'!BK77</f>
        <v>0</v>
      </c>
      <c r="BL111" s="168">
        <f>'FS_Detail(M)'!BL77</f>
        <v>0</v>
      </c>
      <c r="BM111" s="168">
        <f>'FS_Detail(M)'!BM77</f>
        <v>0</v>
      </c>
      <c r="BN111" s="168">
        <f>'FS_Detail(M)'!BN77</f>
        <v>0</v>
      </c>
      <c r="BO111" s="168">
        <f>'FS_Detail(M)'!BO77</f>
        <v>0</v>
      </c>
      <c r="BP111" s="168">
        <f>'FS_Detail(M)'!BP77</f>
        <v>0</v>
      </c>
      <c r="BQ111" s="168">
        <f>'FS_Detail(M)'!BQ77</f>
        <v>0</v>
      </c>
      <c r="BR111" s="168">
        <f>'FS_Detail(M)'!BR77</f>
        <v>0</v>
      </c>
      <c r="BS111" s="168">
        <f>'FS_Detail(M)'!BS77</f>
        <v>0</v>
      </c>
      <c r="BT111" s="168">
        <f>'FS_Detail(M)'!BT77</f>
        <v>0</v>
      </c>
      <c r="BU111" s="168">
        <f>'FS_Detail(M)'!BU77</f>
        <v>0</v>
      </c>
      <c r="BV111" s="168">
        <f>'FS_Detail(M)'!BV77</f>
        <v>0</v>
      </c>
      <c r="BW111" s="168">
        <f>'FS_Detail(M)'!BW77</f>
        <v>0</v>
      </c>
      <c r="BX111" s="168">
        <f>'FS_Detail(M)'!BX77</f>
        <v>0</v>
      </c>
      <c r="BY111" s="168">
        <f>'FS_Detail(M)'!BY77</f>
        <v>0</v>
      </c>
      <c r="BZ111" s="168">
        <f>'FS_Detail(M)'!BZ77</f>
        <v>0</v>
      </c>
      <c r="CA111" s="168">
        <f>'FS_Detail(M)'!CA77</f>
        <v>0</v>
      </c>
      <c r="CB111" s="168">
        <f>'FS_Detail(M)'!CB77</f>
        <v>0</v>
      </c>
      <c r="CC111" s="168">
        <f>'FS_Detail(M)'!CC77</f>
        <v>0</v>
      </c>
      <c r="CD111" s="168">
        <f>'FS_Detail(M)'!CD77</f>
        <v>0</v>
      </c>
      <c r="CE111" s="168">
        <f>'FS_Detail(M)'!CE77</f>
        <v>0</v>
      </c>
      <c r="CF111" s="168">
        <f>'FS_Detail(M)'!CF77</f>
        <v>0</v>
      </c>
      <c r="CG111" s="168">
        <f>'FS_Detail(M)'!CG77</f>
        <v>0</v>
      </c>
      <c r="CH111" s="168">
        <f>'FS_Detail(M)'!CH77</f>
        <v>0</v>
      </c>
      <c r="CI111" s="168">
        <f>'FS_Detail(M)'!CI77</f>
        <v>0</v>
      </c>
      <c r="CJ111" s="168">
        <f>'FS_Detail(M)'!CJ77</f>
        <v>0</v>
      </c>
      <c r="CK111" s="168">
        <f>'FS_Detail(M)'!CK77</f>
        <v>0</v>
      </c>
      <c r="CL111" s="168">
        <f>'FS_Detail(M)'!CL77</f>
        <v>0</v>
      </c>
      <c r="CM111" s="168">
        <f>'FS_Detail(M)'!CM77</f>
        <v>0</v>
      </c>
      <c r="CN111" s="168">
        <f>'FS_Detail(M)'!CN77</f>
        <v>0</v>
      </c>
      <c r="CO111" s="168">
        <f>'FS_Detail(M)'!CO77</f>
        <v>0</v>
      </c>
      <c r="CP111" s="168">
        <f>'FS_Detail(M)'!CP77</f>
        <v>0</v>
      </c>
      <c r="CQ111" s="168">
        <f>'FS_Detail(M)'!CQ77</f>
        <v>0</v>
      </c>
      <c r="CR111" s="168">
        <f>'FS_Detail(M)'!CR77</f>
        <v>0</v>
      </c>
      <c r="CS111" s="168">
        <f>'FS_Detail(M)'!CS77</f>
        <v>0</v>
      </c>
      <c r="CT111" s="168">
        <f>'FS_Detail(M)'!CT77</f>
        <v>0</v>
      </c>
      <c r="CU111" s="168">
        <f>'FS_Detail(M)'!CU77</f>
        <v>0</v>
      </c>
      <c r="CV111" s="168">
        <f>'FS_Detail(M)'!CV77</f>
        <v>0</v>
      </c>
      <c r="CW111" s="168">
        <f>'FS_Detail(M)'!CW77</f>
        <v>0</v>
      </c>
      <c r="CX111" s="168">
        <f>'FS_Detail(M)'!CX77</f>
        <v>0</v>
      </c>
      <c r="CY111" s="168">
        <f>'FS_Detail(M)'!CY77</f>
        <v>0</v>
      </c>
      <c r="CZ111" s="168">
        <f>'FS_Detail(M)'!CZ77</f>
        <v>0</v>
      </c>
      <c r="DA111" s="168">
        <f>'FS_Detail(M)'!DA77</f>
        <v>0</v>
      </c>
      <c r="DB111" s="168">
        <f>'FS_Detail(M)'!DB77</f>
        <v>0</v>
      </c>
      <c r="DC111" s="168">
        <f>'FS_Detail(M)'!DC77</f>
        <v>0</v>
      </c>
      <c r="DD111" s="168">
        <f>'FS_Detail(M)'!DD77</f>
        <v>0</v>
      </c>
      <c r="DE111" s="168">
        <f>'FS_Detail(M)'!DE77</f>
        <v>0</v>
      </c>
      <c r="DF111" s="168">
        <f>'FS_Detail(M)'!DF77</f>
        <v>0</v>
      </c>
      <c r="DG111" s="168">
        <f>'FS_Detail(M)'!DG77</f>
        <v>0</v>
      </c>
      <c r="DH111" s="168">
        <f>'FS_Detail(M)'!DH77</f>
        <v>0</v>
      </c>
      <c r="DI111" s="168">
        <f>'FS_Detail(M)'!DI77</f>
        <v>0</v>
      </c>
      <c r="DJ111" s="168">
        <f>'FS_Detail(M)'!DJ77</f>
        <v>0</v>
      </c>
      <c r="DK111" s="168">
        <f>'FS_Detail(M)'!DK77</f>
        <v>0</v>
      </c>
      <c r="DL111" s="168">
        <f>'FS_Detail(M)'!DL77</f>
        <v>0</v>
      </c>
      <c r="DM111" s="168">
        <f>'FS_Detail(M)'!DM77</f>
        <v>0</v>
      </c>
      <c r="DN111" s="168">
        <f>'FS_Detail(M)'!DN77</f>
        <v>0</v>
      </c>
      <c r="DO111" s="168">
        <f>'FS_Detail(M)'!DO77</f>
        <v>0</v>
      </c>
      <c r="DP111" s="168">
        <f>'FS_Detail(M)'!DP77</f>
        <v>0</v>
      </c>
      <c r="DQ111" s="168">
        <f>'FS_Detail(M)'!DQ77</f>
        <v>0</v>
      </c>
      <c r="DR111" s="168">
        <f>'FS_Detail(M)'!DR77</f>
        <v>0</v>
      </c>
      <c r="DS111" s="168">
        <f>'FS_Detail(M)'!DS77</f>
        <v>0</v>
      </c>
      <c r="DT111" s="168">
        <f>'FS_Detail(M)'!DT77</f>
        <v>0</v>
      </c>
      <c r="DU111" s="168">
        <f>'FS_Detail(M)'!DU77</f>
        <v>0</v>
      </c>
      <c r="DV111" s="168">
        <f>'FS_Detail(M)'!DV77</f>
        <v>0</v>
      </c>
      <c r="DW111" s="168">
        <f>'FS_Detail(M)'!DW77</f>
        <v>0</v>
      </c>
      <c r="DX111" s="168">
        <f>'FS_Detail(M)'!DX77</f>
        <v>0</v>
      </c>
      <c r="DY111" s="168">
        <f>'FS_Detail(M)'!DY77</f>
        <v>0</v>
      </c>
      <c r="DZ111" s="168">
        <f>'FS_Detail(M)'!DZ77</f>
        <v>0</v>
      </c>
      <c r="EA111" s="168">
        <f>'FS_Detail(M)'!EA77</f>
        <v>0</v>
      </c>
      <c r="EB111" s="168">
        <f>'FS_Detail(M)'!EB77</f>
        <v>0</v>
      </c>
      <c r="EC111" s="168">
        <f>'FS_Detail(M)'!EC77</f>
        <v>0</v>
      </c>
      <c r="ED111" s="168">
        <f>'FS_Detail(M)'!ED77</f>
        <v>0</v>
      </c>
      <c r="EE111" s="168">
        <f>'FS_Detail(M)'!EE77</f>
        <v>0</v>
      </c>
      <c r="EF111" s="168">
        <f>'FS_Detail(M)'!EF77</f>
        <v>0</v>
      </c>
      <c r="EG111" s="168">
        <f>'FS_Detail(M)'!EG77</f>
        <v>0</v>
      </c>
      <c r="EH111" s="168">
        <f>'FS_Detail(M)'!EH77</f>
        <v>0</v>
      </c>
      <c r="EI111" s="168">
        <f>'FS_Detail(M)'!EI77</f>
        <v>0</v>
      </c>
      <c r="EJ111" s="168">
        <f>'FS_Detail(M)'!EJ77</f>
        <v>0</v>
      </c>
      <c r="EK111" s="168">
        <f>'FS_Detail(M)'!EK77</f>
        <v>0</v>
      </c>
      <c r="EL111" s="168">
        <f>'FS_Detail(M)'!EL77</f>
        <v>0</v>
      </c>
      <c r="EM111" s="168">
        <f>'FS_Detail(M)'!EM77</f>
        <v>0</v>
      </c>
      <c r="EN111" s="168">
        <f>'FS_Detail(M)'!EN77</f>
        <v>0</v>
      </c>
      <c r="EO111" s="168">
        <f>'FS_Detail(M)'!EO77</f>
        <v>0</v>
      </c>
      <c r="EP111" s="168">
        <f>'FS_Detail(M)'!EP77</f>
        <v>0</v>
      </c>
      <c r="EQ111" s="168">
        <f>'FS_Detail(M)'!EQ77</f>
        <v>0</v>
      </c>
    </row>
    <row r="112" spans="2:147" ht="11.25" customHeight="1">
      <c r="B112" s="218"/>
      <c r="C112" s="163"/>
      <c r="D112" s="169" t="s">
        <v>551</v>
      </c>
      <c r="G112" s="13"/>
      <c r="H112" s="90">
        <f ca="1">-I112+J14</f>
        <v>47826093.034985274</v>
      </c>
      <c r="I112" s="229">
        <f>-'IS(FY)'!K83*('A&amp;R'!$F$104=1)</f>
        <v>-4299854.3924679644</v>
      </c>
      <c r="J112" s="171">
        <f>SUM(L112:EQ112)</f>
        <v>-14800000</v>
      </c>
      <c r="K112" s="98"/>
      <c r="L112" s="171">
        <f>-'FS_Detail(M)'!L78-'FS_Detail(M)'!L85</f>
        <v>0</v>
      </c>
      <c r="M112" s="171">
        <f>-'FS_Detail(M)'!M78-'FS_Detail(M)'!M85</f>
        <v>0</v>
      </c>
      <c r="N112" s="171">
        <f>-'FS_Detail(M)'!N78-'FS_Detail(M)'!N85</f>
        <v>0</v>
      </c>
      <c r="O112" s="171">
        <f>-'FS_Detail(M)'!O78-'FS_Detail(M)'!O85</f>
        <v>0</v>
      </c>
      <c r="P112" s="171">
        <f>-'FS_Detail(M)'!P78-'FS_Detail(M)'!P85</f>
        <v>0</v>
      </c>
      <c r="Q112" s="171">
        <f>-'FS_Detail(M)'!Q78-'FS_Detail(M)'!Q85</f>
        <v>0</v>
      </c>
      <c r="R112" s="171">
        <f>-'FS_Detail(M)'!R78-'FS_Detail(M)'!R85</f>
        <v>0</v>
      </c>
      <c r="S112" s="171">
        <f>-'FS_Detail(M)'!S78-'FS_Detail(M)'!S85</f>
        <v>0</v>
      </c>
      <c r="T112" s="171">
        <f>-'FS_Detail(M)'!T78-'FS_Detail(M)'!T85</f>
        <v>0</v>
      </c>
      <c r="U112" s="171">
        <f>-'FS_Detail(M)'!U78-'FS_Detail(M)'!U85</f>
        <v>0</v>
      </c>
      <c r="V112" s="171">
        <f>-'FS_Detail(M)'!V78-'FS_Detail(M)'!V85</f>
        <v>0</v>
      </c>
      <c r="W112" s="171">
        <f>-'FS_Detail(M)'!W78-'FS_Detail(M)'!W85</f>
        <v>0</v>
      </c>
      <c r="X112" s="171">
        <f>-'FS_Detail(M)'!X78-'FS_Detail(M)'!X85</f>
        <v>0</v>
      </c>
      <c r="Y112" s="171">
        <f>-'FS_Detail(M)'!Y78-'FS_Detail(M)'!Y85</f>
        <v>0</v>
      </c>
      <c r="Z112" s="171">
        <f>-'FS_Detail(M)'!Z78-'FS_Detail(M)'!Z85</f>
        <v>0</v>
      </c>
      <c r="AA112" s="171">
        <f>-'FS_Detail(M)'!AA78-'FS_Detail(M)'!AA85</f>
        <v>0</v>
      </c>
      <c r="AB112" s="171">
        <f>-'FS_Detail(M)'!AB78-'FS_Detail(M)'!AB85</f>
        <v>0</v>
      </c>
      <c r="AC112" s="171">
        <f>-'FS_Detail(M)'!AC78-'FS_Detail(M)'!AC85</f>
        <v>0</v>
      </c>
      <c r="AD112" s="171">
        <f>-'FS_Detail(M)'!AD78-'FS_Detail(M)'!AD85</f>
        <v>0</v>
      </c>
      <c r="AE112" s="171">
        <f>-'FS_Detail(M)'!AE78-'FS_Detail(M)'!AE85</f>
        <v>0</v>
      </c>
      <c r="AF112" s="171">
        <f>-'FS_Detail(M)'!AF78-'FS_Detail(M)'!AF85</f>
        <v>0</v>
      </c>
      <c r="AG112" s="171">
        <f>-'FS_Detail(M)'!AG78-'FS_Detail(M)'!AG85</f>
        <v>0</v>
      </c>
      <c r="AH112" s="171">
        <f>-'FS_Detail(M)'!AH78-'FS_Detail(M)'!AH85</f>
        <v>0</v>
      </c>
      <c r="AI112" s="171">
        <f>-'FS_Detail(M)'!AI78-'FS_Detail(M)'!AI85</f>
        <v>0</v>
      </c>
      <c r="AJ112" s="171">
        <f>-'FS_Detail(M)'!AJ78-'FS_Detail(M)'!AJ85</f>
        <v>0</v>
      </c>
      <c r="AK112" s="171">
        <f>-'FS_Detail(M)'!AK78-'FS_Detail(M)'!AK85</f>
        <v>0</v>
      </c>
      <c r="AL112" s="171">
        <f>-'FS_Detail(M)'!AL78-'FS_Detail(M)'!AL85</f>
        <v>0</v>
      </c>
      <c r="AM112" s="171">
        <f>-'FS_Detail(M)'!AM78-'FS_Detail(M)'!AM85</f>
        <v>0</v>
      </c>
      <c r="AN112" s="171">
        <f>-'FS_Detail(M)'!AN78-'FS_Detail(M)'!AN85</f>
        <v>0</v>
      </c>
      <c r="AO112" s="171">
        <f>-'FS_Detail(M)'!AO78-'FS_Detail(M)'!AO85</f>
        <v>0</v>
      </c>
      <c r="AP112" s="171">
        <f>-'FS_Detail(M)'!AP78-'FS_Detail(M)'!AP85</f>
        <v>0</v>
      </c>
      <c r="AQ112" s="171">
        <f>-'FS_Detail(M)'!AQ78-'FS_Detail(M)'!AQ85</f>
        <v>0</v>
      </c>
      <c r="AR112" s="171">
        <f>-'FS_Detail(M)'!AR78-'FS_Detail(M)'!AR85</f>
        <v>0</v>
      </c>
      <c r="AS112" s="171">
        <f>-'FS_Detail(M)'!AS78-'FS_Detail(M)'!AS85</f>
        <v>0</v>
      </c>
      <c r="AT112" s="171">
        <f>-'FS_Detail(M)'!AT78-'FS_Detail(M)'!AT85</f>
        <v>0</v>
      </c>
      <c r="AU112" s="171">
        <f>-'FS_Detail(M)'!AU78-'FS_Detail(M)'!AU85</f>
        <v>0</v>
      </c>
      <c r="AV112" s="171">
        <f>-'FS_Detail(M)'!AV78-'FS_Detail(M)'!AV85</f>
        <v>0</v>
      </c>
      <c r="AW112" s="171">
        <f>-'FS_Detail(M)'!AW78-'FS_Detail(M)'!AW85</f>
        <v>0</v>
      </c>
      <c r="AX112" s="171">
        <f>-'FS_Detail(M)'!AX78-'FS_Detail(M)'!AX85</f>
        <v>0</v>
      </c>
      <c r="AY112" s="171">
        <f>-'FS_Detail(M)'!AY78-'FS_Detail(M)'!AY85</f>
        <v>0</v>
      </c>
      <c r="AZ112" s="171">
        <f>-'FS_Detail(M)'!AZ78-'FS_Detail(M)'!AZ85</f>
        <v>0</v>
      </c>
      <c r="BA112" s="171">
        <f>-'FS_Detail(M)'!BA78-'FS_Detail(M)'!BA85</f>
        <v>0</v>
      </c>
      <c r="BB112" s="171">
        <f>-'FS_Detail(M)'!BB78-'FS_Detail(M)'!BB85</f>
        <v>0</v>
      </c>
      <c r="BC112" s="171">
        <f>-'FS_Detail(M)'!BC78-'FS_Detail(M)'!BC85</f>
        <v>0</v>
      </c>
      <c r="BD112" s="171">
        <f>-'FS_Detail(M)'!BD78-'FS_Detail(M)'!BD85</f>
        <v>0</v>
      </c>
      <c r="BE112" s="171">
        <f>-'FS_Detail(M)'!BE78-'FS_Detail(M)'!BE85</f>
        <v>0</v>
      </c>
      <c r="BF112" s="171">
        <f>-'FS_Detail(M)'!BF78-'FS_Detail(M)'!BF85</f>
        <v>0</v>
      </c>
      <c r="BG112" s="171">
        <f>-'FS_Detail(M)'!BG78-'FS_Detail(M)'!BG85</f>
        <v>0</v>
      </c>
      <c r="BH112" s="171">
        <f>-'FS_Detail(M)'!BH78-'FS_Detail(M)'!BH85</f>
        <v>0</v>
      </c>
      <c r="BI112" s="171">
        <f>-'FS_Detail(M)'!BI78-'FS_Detail(M)'!BI85</f>
        <v>0</v>
      </c>
      <c r="BJ112" s="171">
        <f>-'FS_Detail(M)'!BJ78-'FS_Detail(M)'!BJ85</f>
        <v>0</v>
      </c>
      <c r="BK112" s="171">
        <f>-'FS_Detail(M)'!BK78-'FS_Detail(M)'!BK85</f>
        <v>0</v>
      </c>
      <c r="BL112" s="171">
        <f>-'FS_Detail(M)'!BL78-'FS_Detail(M)'!BL85</f>
        <v>0</v>
      </c>
      <c r="BM112" s="171">
        <f>-'FS_Detail(M)'!BM78-'FS_Detail(M)'!BM85</f>
        <v>0</v>
      </c>
      <c r="BN112" s="171">
        <f>-'FS_Detail(M)'!BN78-'FS_Detail(M)'!BN85</f>
        <v>0</v>
      </c>
      <c r="BO112" s="171">
        <f>-'FS_Detail(M)'!BO78-'FS_Detail(M)'!BO85</f>
        <v>0</v>
      </c>
      <c r="BP112" s="171">
        <f>-'FS_Detail(M)'!BP78-'FS_Detail(M)'!BP85</f>
        <v>0</v>
      </c>
      <c r="BQ112" s="171">
        <f>-'FS_Detail(M)'!BQ78-'FS_Detail(M)'!BQ85</f>
        <v>0</v>
      </c>
      <c r="BR112" s="171">
        <f>-'FS_Detail(M)'!BR78-'FS_Detail(M)'!BR85</f>
        <v>0</v>
      </c>
      <c r="BS112" s="171">
        <f>-'FS_Detail(M)'!BS78-'FS_Detail(M)'!BS85</f>
        <v>0</v>
      </c>
      <c r="BT112" s="171">
        <f>-'FS_Detail(M)'!BT78-'FS_Detail(M)'!BT85</f>
        <v>0</v>
      </c>
      <c r="BU112" s="171">
        <f>-'FS_Detail(M)'!BU78-'FS_Detail(M)'!BU85</f>
        <v>0</v>
      </c>
      <c r="BV112" s="171">
        <f>-'FS_Detail(M)'!BV78-'FS_Detail(M)'!BV85</f>
        <v>0</v>
      </c>
      <c r="BW112" s="171">
        <f>-'FS_Detail(M)'!BW78-'FS_Detail(M)'!BW85</f>
        <v>0</v>
      </c>
      <c r="BX112" s="171">
        <f>-'FS_Detail(M)'!BX78-'FS_Detail(M)'!BX85</f>
        <v>0</v>
      </c>
      <c r="BY112" s="171">
        <f>-'FS_Detail(M)'!BY78-'FS_Detail(M)'!BY85</f>
        <v>0</v>
      </c>
      <c r="BZ112" s="171">
        <f>-'FS_Detail(M)'!BZ78-'FS_Detail(M)'!BZ85</f>
        <v>0</v>
      </c>
      <c r="CA112" s="171">
        <f>-'FS_Detail(M)'!CA78-'FS_Detail(M)'!CA85</f>
        <v>0</v>
      </c>
      <c r="CB112" s="171">
        <f>-'FS_Detail(M)'!CB78-'FS_Detail(M)'!CB85</f>
        <v>0</v>
      </c>
      <c r="CC112" s="171">
        <f>-'FS_Detail(M)'!CC78-'FS_Detail(M)'!CC85</f>
        <v>0</v>
      </c>
      <c r="CD112" s="171">
        <f>-'FS_Detail(M)'!CD78-'FS_Detail(M)'!CD85</f>
        <v>0</v>
      </c>
      <c r="CE112" s="171">
        <f>-'FS_Detail(M)'!CE78-'FS_Detail(M)'!CE85</f>
        <v>0</v>
      </c>
      <c r="CF112" s="171">
        <f>-'FS_Detail(M)'!CF78-'FS_Detail(M)'!CF85</f>
        <v>0</v>
      </c>
      <c r="CG112" s="171">
        <f>-'FS_Detail(M)'!CG78-'FS_Detail(M)'!CG85</f>
        <v>0</v>
      </c>
      <c r="CH112" s="171">
        <f>-'FS_Detail(M)'!CH78-'FS_Detail(M)'!CH85</f>
        <v>0</v>
      </c>
      <c r="CI112" s="171">
        <f>-'FS_Detail(M)'!CI78-'FS_Detail(M)'!CI85</f>
        <v>0</v>
      </c>
      <c r="CJ112" s="171">
        <f>-'FS_Detail(M)'!CJ78-'FS_Detail(M)'!CJ85</f>
        <v>0</v>
      </c>
      <c r="CK112" s="171">
        <f>-'FS_Detail(M)'!CK78-'FS_Detail(M)'!CK85</f>
        <v>0</v>
      </c>
      <c r="CL112" s="171">
        <f>-'FS_Detail(M)'!CL78-'FS_Detail(M)'!CL85</f>
        <v>0</v>
      </c>
      <c r="CM112" s="171">
        <f>-'FS_Detail(M)'!CM78-'FS_Detail(M)'!CM85</f>
        <v>0</v>
      </c>
      <c r="CN112" s="171">
        <f>-'FS_Detail(M)'!CN78-'FS_Detail(M)'!CN85</f>
        <v>0</v>
      </c>
      <c r="CO112" s="171">
        <f>-'FS_Detail(M)'!CO78-'FS_Detail(M)'!CO85</f>
        <v>0</v>
      </c>
      <c r="CP112" s="171">
        <f>-'FS_Detail(M)'!CP78-'FS_Detail(M)'!CP85</f>
        <v>0</v>
      </c>
      <c r="CQ112" s="171">
        <f>-'FS_Detail(M)'!CQ78-'FS_Detail(M)'!CQ85</f>
        <v>0</v>
      </c>
      <c r="CR112" s="171">
        <f>-'FS_Detail(M)'!CR78-'FS_Detail(M)'!CR85</f>
        <v>0</v>
      </c>
      <c r="CS112" s="171">
        <f>-'FS_Detail(M)'!CS78-'FS_Detail(M)'!CS85</f>
        <v>0</v>
      </c>
      <c r="CT112" s="171">
        <f>-'FS_Detail(M)'!CT78-'FS_Detail(M)'!CT85</f>
        <v>0</v>
      </c>
      <c r="CU112" s="171">
        <f>-'FS_Detail(M)'!CU78-'FS_Detail(M)'!CU85</f>
        <v>0</v>
      </c>
      <c r="CV112" s="171">
        <f>-'FS_Detail(M)'!CV78-'FS_Detail(M)'!CV85</f>
        <v>0</v>
      </c>
      <c r="CW112" s="171">
        <f>-'FS_Detail(M)'!CW78-'FS_Detail(M)'!CW85</f>
        <v>0</v>
      </c>
      <c r="CX112" s="171">
        <f>-'FS_Detail(M)'!CX78-'FS_Detail(M)'!CX85</f>
        <v>0</v>
      </c>
      <c r="CY112" s="171">
        <f>-'FS_Detail(M)'!CY78-'FS_Detail(M)'!CY85</f>
        <v>0</v>
      </c>
      <c r="CZ112" s="171">
        <f>-'FS_Detail(M)'!CZ78-'FS_Detail(M)'!CZ85</f>
        <v>0</v>
      </c>
      <c r="DA112" s="171">
        <f>-'FS_Detail(M)'!DA78-'FS_Detail(M)'!DA85</f>
        <v>0</v>
      </c>
      <c r="DB112" s="171">
        <f>-'FS_Detail(M)'!DB78-'FS_Detail(M)'!DB85</f>
        <v>0</v>
      </c>
      <c r="DC112" s="171">
        <f>-'FS_Detail(M)'!DC78-'FS_Detail(M)'!DC85</f>
        <v>0</v>
      </c>
      <c r="DD112" s="171">
        <f>-'FS_Detail(M)'!DD78-'FS_Detail(M)'!DD85</f>
        <v>0</v>
      </c>
      <c r="DE112" s="171">
        <f>-'FS_Detail(M)'!DE78-'FS_Detail(M)'!DE85</f>
        <v>0</v>
      </c>
      <c r="DF112" s="171">
        <f>-'FS_Detail(M)'!DF78-'FS_Detail(M)'!DF85</f>
        <v>0</v>
      </c>
      <c r="DG112" s="171">
        <f>-'FS_Detail(M)'!DG78-'FS_Detail(M)'!DG85</f>
        <v>0</v>
      </c>
      <c r="DH112" s="171">
        <f>-'FS_Detail(M)'!DH78-'FS_Detail(M)'!DH85</f>
        <v>0</v>
      </c>
      <c r="DI112" s="171">
        <f>-'FS_Detail(M)'!DI78-'FS_Detail(M)'!DI85</f>
        <v>0</v>
      </c>
      <c r="DJ112" s="171">
        <f>-'FS_Detail(M)'!DJ78-'FS_Detail(M)'!DJ85</f>
        <v>0</v>
      </c>
      <c r="DK112" s="171">
        <f>-'FS_Detail(M)'!DK78-'FS_Detail(M)'!DK85</f>
        <v>0</v>
      </c>
      <c r="DL112" s="171">
        <f>-'FS_Detail(M)'!DL78-'FS_Detail(M)'!DL85</f>
        <v>0</v>
      </c>
      <c r="DM112" s="171">
        <f>-'FS_Detail(M)'!DM78-'FS_Detail(M)'!DM85</f>
        <v>0</v>
      </c>
      <c r="DN112" s="171">
        <f>-'FS_Detail(M)'!DN78-'FS_Detail(M)'!DN85</f>
        <v>0</v>
      </c>
      <c r="DO112" s="171">
        <f>-'FS_Detail(M)'!DO78-'FS_Detail(M)'!DO85</f>
        <v>0</v>
      </c>
      <c r="DP112" s="171">
        <f>-'FS_Detail(M)'!DP78-'FS_Detail(M)'!DP85</f>
        <v>0</v>
      </c>
      <c r="DQ112" s="171">
        <f>-'FS_Detail(M)'!DQ78-'FS_Detail(M)'!DQ85</f>
        <v>0</v>
      </c>
      <c r="DR112" s="171">
        <f>-'FS_Detail(M)'!DR78-'FS_Detail(M)'!DR85</f>
        <v>0</v>
      </c>
      <c r="DS112" s="171">
        <f>-'FS_Detail(M)'!DS78-'FS_Detail(M)'!DS85</f>
        <v>0</v>
      </c>
      <c r="DT112" s="171">
        <f>-'FS_Detail(M)'!DT78-'FS_Detail(M)'!DT85</f>
        <v>0</v>
      </c>
      <c r="DU112" s="171">
        <f>-'FS_Detail(M)'!DU78-'FS_Detail(M)'!DU85</f>
        <v>0</v>
      </c>
      <c r="DV112" s="171">
        <f>-'FS_Detail(M)'!DV78-'FS_Detail(M)'!DV85</f>
        <v>0</v>
      </c>
      <c r="DW112" s="171">
        <f>-'FS_Detail(M)'!DW78-'FS_Detail(M)'!DW85</f>
        <v>0</v>
      </c>
      <c r="DX112" s="171">
        <f>-'FS_Detail(M)'!DX78-'FS_Detail(M)'!DX85</f>
        <v>0</v>
      </c>
      <c r="DY112" s="171">
        <f>-'FS_Detail(M)'!DY78-'FS_Detail(M)'!DY85</f>
        <v>0</v>
      </c>
      <c r="DZ112" s="171">
        <f>-'FS_Detail(M)'!DZ78-'FS_Detail(M)'!DZ85</f>
        <v>0</v>
      </c>
      <c r="EA112" s="171">
        <f>-'FS_Detail(M)'!EA78-'FS_Detail(M)'!EA85</f>
        <v>0</v>
      </c>
      <c r="EB112" s="171">
        <f>-'FS_Detail(M)'!EB78-'FS_Detail(M)'!EB85</f>
        <v>-14800000</v>
      </c>
      <c r="EC112" s="171">
        <f>-'FS_Detail(M)'!EC78-'FS_Detail(M)'!EC85</f>
        <v>0</v>
      </c>
      <c r="ED112" s="171">
        <f>-'FS_Detail(M)'!ED78-'FS_Detail(M)'!ED85</f>
        <v>0</v>
      </c>
      <c r="EE112" s="171">
        <f>-'FS_Detail(M)'!EE78-'FS_Detail(M)'!EE85</f>
        <v>0</v>
      </c>
      <c r="EF112" s="171">
        <f>-'FS_Detail(M)'!EF78-'FS_Detail(M)'!EF85</f>
        <v>0</v>
      </c>
      <c r="EG112" s="171">
        <f>-'FS_Detail(M)'!EG78-'FS_Detail(M)'!EG85</f>
        <v>0</v>
      </c>
      <c r="EH112" s="171">
        <f>-'FS_Detail(M)'!EH78-'FS_Detail(M)'!EH85</f>
        <v>0</v>
      </c>
      <c r="EI112" s="171">
        <f>-'FS_Detail(M)'!EI78-'FS_Detail(M)'!EI85</f>
        <v>0</v>
      </c>
      <c r="EJ112" s="171">
        <f>-'FS_Detail(M)'!EJ78-'FS_Detail(M)'!EJ85</f>
        <v>0</v>
      </c>
      <c r="EK112" s="171">
        <f>-'FS_Detail(M)'!EK78-'FS_Detail(M)'!EK85</f>
        <v>0</v>
      </c>
      <c r="EL112" s="171">
        <f>-'FS_Detail(M)'!EL78-'FS_Detail(M)'!EL85</f>
        <v>0</v>
      </c>
      <c r="EM112" s="171">
        <f>-'FS_Detail(M)'!EM78-'FS_Detail(M)'!EM85</f>
        <v>0</v>
      </c>
      <c r="EN112" s="171">
        <f>-'FS_Detail(M)'!EN78-'FS_Detail(M)'!EN85</f>
        <v>0</v>
      </c>
      <c r="EO112" s="171">
        <f>-'FS_Detail(M)'!EO78-'FS_Detail(M)'!EO85</f>
        <v>0</v>
      </c>
      <c r="EP112" s="171">
        <f>-'FS_Detail(M)'!EP78-'FS_Detail(M)'!EP85</f>
        <v>0</v>
      </c>
      <c r="EQ112" s="171">
        <f>-'FS_Detail(M)'!EQ78-'FS_Detail(M)'!EQ85</f>
        <v>0</v>
      </c>
    </row>
    <row r="113" spans="2:147" ht="11.25" customHeight="1">
      <c r="B113" s="218"/>
      <c r="C113" s="163"/>
      <c r="D113" s="169" t="s">
        <v>130</v>
      </c>
      <c r="H113" s="90">
        <v>-7583906.9650147511</v>
      </c>
      <c r="I113" s="229">
        <f ca="1">'IS(M)'!K94-'IS(M)'!K95</f>
        <v>-7583906.9650147511</v>
      </c>
      <c r="J113" s="171">
        <f ca="1">SUM(L113:EQ113)</f>
        <v>-1110000</v>
      </c>
      <c r="K113" s="98"/>
      <c r="L113" s="171">
        <f ca="1">-'IS(M)'!M90</f>
        <v>0</v>
      </c>
      <c r="M113" s="171">
        <f ca="1">-'IS(M)'!N90</f>
        <v>0</v>
      </c>
      <c r="N113" s="171">
        <f ca="1">-'IS(M)'!O90</f>
        <v>0</v>
      </c>
      <c r="O113" s="171">
        <f ca="1">-'IS(M)'!P90</f>
        <v>0</v>
      </c>
      <c r="P113" s="171">
        <f ca="1">-'IS(M)'!Q90</f>
        <v>0</v>
      </c>
      <c r="Q113" s="171">
        <f ca="1">-'IS(M)'!R90</f>
        <v>0</v>
      </c>
      <c r="R113" s="171">
        <f ca="1">-'IS(M)'!S90</f>
        <v>-555000</v>
      </c>
      <c r="S113" s="171">
        <f ca="1">-'IS(M)'!T90</f>
        <v>0</v>
      </c>
      <c r="T113" s="171">
        <f ca="1">-'IS(M)'!U90</f>
        <v>0</v>
      </c>
      <c r="U113" s="171">
        <f ca="1">-'IS(M)'!V90</f>
        <v>0</v>
      </c>
      <c r="V113" s="171">
        <f ca="1">-'IS(M)'!W90</f>
        <v>0</v>
      </c>
      <c r="W113" s="171">
        <f ca="1">-'IS(M)'!X90</f>
        <v>0</v>
      </c>
      <c r="X113" s="171">
        <f ca="1">-'IS(M)'!Y90</f>
        <v>-555000</v>
      </c>
      <c r="Y113" s="171">
        <f ca="1">-'IS(M)'!Z90</f>
        <v>0</v>
      </c>
      <c r="Z113" s="171">
        <f ca="1">-'IS(M)'!AA90</f>
        <v>0</v>
      </c>
      <c r="AA113" s="171">
        <f ca="1">-'IS(M)'!AB90</f>
        <v>0</v>
      </c>
      <c r="AB113" s="171">
        <f ca="1">-'IS(M)'!AC90</f>
        <v>0</v>
      </c>
      <c r="AC113" s="171">
        <f ca="1">-'IS(M)'!AD90</f>
        <v>0</v>
      </c>
      <c r="AD113" s="171">
        <f ca="1">-'IS(M)'!AE90</f>
        <v>0</v>
      </c>
      <c r="AE113" s="171">
        <f ca="1">-'IS(M)'!AF90</f>
        <v>0</v>
      </c>
      <c r="AF113" s="171">
        <f ca="1">-'IS(M)'!AG90</f>
        <v>0</v>
      </c>
      <c r="AG113" s="171">
        <f ca="1">-'IS(M)'!AH90</f>
        <v>0</v>
      </c>
      <c r="AH113" s="171">
        <f ca="1">-'IS(M)'!AI90</f>
        <v>0</v>
      </c>
      <c r="AI113" s="171">
        <f ca="1">-'IS(M)'!AJ90</f>
        <v>0</v>
      </c>
      <c r="AJ113" s="171">
        <f ca="1">-'IS(M)'!AK90</f>
        <v>0</v>
      </c>
      <c r="AK113" s="171">
        <f ca="1">-'IS(M)'!AL90</f>
        <v>0</v>
      </c>
      <c r="AL113" s="171">
        <f ca="1">-'IS(M)'!AM90</f>
        <v>0</v>
      </c>
      <c r="AM113" s="171">
        <f ca="1">-'IS(M)'!AN90</f>
        <v>0</v>
      </c>
      <c r="AN113" s="171">
        <f ca="1">-'IS(M)'!AO90</f>
        <v>0</v>
      </c>
      <c r="AO113" s="171">
        <f ca="1">-'IS(M)'!AP90</f>
        <v>0</v>
      </c>
      <c r="AP113" s="171">
        <f ca="1">-'IS(M)'!AQ90</f>
        <v>0</v>
      </c>
      <c r="AQ113" s="171">
        <f ca="1">-'IS(M)'!AR90</f>
        <v>0</v>
      </c>
      <c r="AR113" s="171">
        <f ca="1">-'IS(M)'!AS90</f>
        <v>0</v>
      </c>
      <c r="AS113" s="171">
        <f ca="1">-'IS(M)'!AT90</f>
        <v>0</v>
      </c>
      <c r="AT113" s="171">
        <f ca="1">-'IS(M)'!AU90</f>
        <v>0</v>
      </c>
      <c r="AU113" s="171">
        <f ca="1">-'IS(M)'!AV90</f>
        <v>0</v>
      </c>
      <c r="AV113" s="171">
        <f ca="1">-'IS(M)'!AW90</f>
        <v>0</v>
      </c>
      <c r="AW113" s="171">
        <f ca="1">-'IS(M)'!AX90</f>
        <v>0</v>
      </c>
      <c r="AX113" s="171">
        <f ca="1">-'IS(M)'!AY90</f>
        <v>0</v>
      </c>
      <c r="AY113" s="171">
        <f ca="1">-'IS(M)'!AZ90</f>
        <v>0</v>
      </c>
      <c r="AZ113" s="171">
        <f ca="1">-'IS(M)'!BA90</f>
        <v>0</v>
      </c>
      <c r="BA113" s="171">
        <f ca="1">-'IS(M)'!BB90</f>
        <v>0</v>
      </c>
      <c r="BB113" s="171">
        <f ca="1">-'IS(M)'!BC90</f>
        <v>0</v>
      </c>
      <c r="BC113" s="171">
        <f ca="1">-'IS(M)'!BD90</f>
        <v>0</v>
      </c>
      <c r="BD113" s="171">
        <f ca="1">-'IS(M)'!BE90</f>
        <v>0</v>
      </c>
      <c r="BE113" s="171">
        <f ca="1">-'IS(M)'!BF90</f>
        <v>0</v>
      </c>
      <c r="BF113" s="171">
        <f ca="1">-'IS(M)'!BG90</f>
        <v>0</v>
      </c>
      <c r="BG113" s="171">
        <f ca="1">-'IS(M)'!BH90</f>
        <v>0</v>
      </c>
      <c r="BH113" s="171">
        <f ca="1">-'IS(M)'!BI90</f>
        <v>0</v>
      </c>
      <c r="BI113" s="171">
        <f ca="1">-'IS(M)'!BJ90</f>
        <v>0</v>
      </c>
      <c r="BJ113" s="171">
        <f ca="1">-'IS(M)'!BK90</f>
        <v>0</v>
      </c>
      <c r="BK113" s="171">
        <f ca="1">-'IS(M)'!BL90</f>
        <v>0</v>
      </c>
      <c r="BL113" s="171">
        <f ca="1">-'IS(M)'!BM90</f>
        <v>0</v>
      </c>
      <c r="BM113" s="171">
        <f ca="1">-'IS(M)'!BN90</f>
        <v>0</v>
      </c>
      <c r="BN113" s="171">
        <f ca="1">-'IS(M)'!BO90</f>
        <v>0</v>
      </c>
      <c r="BO113" s="171">
        <f ca="1">-'IS(M)'!BP90</f>
        <v>0</v>
      </c>
      <c r="BP113" s="171">
        <f ca="1">-'IS(M)'!BQ90</f>
        <v>0</v>
      </c>
      <c r="BQ113" s="171">
        <f ca="1">-'IS(M)'!BR90</f>
        <v>0</v>
      </c>
      <c r="BR113" s="171">
        <f ca="1">-'IS(M)'!BS90</f>
        <v>0</v>
      </c>
      <c r="BS113" s="171">
        <f ca="1">-'IS(M)'!BT90</f>
        <v>0</v>
      </c>
      <c r="BT113" s="171">
        <f ca="1">-'IS(M)'!BU90</f>
        <v>0</v>
      </c>
      <c r="BU113" s="171">
        <f ca="1">-'IS(M)'!BV90</f>
        <v>0</v>
      </c>
      <c r="BV113" s="171">
        <f ca="1">-'IS(M)'!BW90</f>
        <v>0</v>
      </c>
      <c r="BW113" s="171">
        <f ca="1">-'IS(M)'!BX90</f>
        <v>0</v>
      </c>
      <c r="BX113" s="171">
        <f ca="1">-'IS(M)'!BY90</f>
        <v>0</v>
      </c>
      <c r="BY113" s="171">
        <f ca="1">-'IS(M)'!BZ90</f>
        <v>0</v>
      </c>
      <c r="BZ113" s="171">
        <f ca="1">-'IS(M)'!CA90</f>
        <v>0</v>
      </c>
      <c r="CA113" s="171">
        <f ca="1">-'IS(M)'!CB90</f>
        <v>0</v>
      </c>
      <c r="CB113" s="171">
        <f ca="1">-'IS(M)'!CC90</f>
        <v>0</v>
      </c>
      <c r="CC113" s="171">
        <f ca="1">-'IS(M)'!CD90</f>
        <v>0</v>
      </c>
      <c r="CD113" s="171">
        <f ca="1">-'IS(M)'!CE90</f>
        <v>0</v>
      </c>
      <c r="CE113" s="171">
        <f ca="1">-'IS(M)'!CF90</f>
        <v>0</v>
      </c>
      <c r="CF113" s="171">
        <f ca="1">-'IS(M)'!CG90</f>
        <v>0</v>
      </c>
      <c r="CG113" s="171">
        <f ca="1">-'IS(M)'!CH90</f>
        <v>0</v>
      </c>
      <c r="CH113" s="171">
        <f ca="1">-'IS(M)'!CI90</f>
        <v>0</v>
      </c>
      <c r="CI113" s="171">
        <f ca="1">-'IS(M)'!CJ90</f>
        <v>0</v>
      </c>
      <c r="CJ113" s="171">
        <f ca="1">-'IS(M)'!CK90</f>
        <v>0</v>
      </c>
      <c r="CK113" s="171">
        <f ca="1">-'IS(M)'!CL90</f>
        <v>0</v>
      </c>
      <c r="CL113" s="171">
        <f ca="1">-'IS(M)'!CM90</f>
        <v>0</v>
      </c>
      <c r="CM113" s="171">
        <f ca="1">-'IS(M)'!CN90</f>
        <v>0</v>
      </c>
      <c r="CN113" s="171">
        <f ca="1">-'IS(M)'!CO90</f>
        <v>0</v>
      </c>
      <c r="CO113" s="171">
        <f ca="1">-'IS(M)'!CP90</f>
        <v>0</v>
      </c>
      <c r="CP113" s="171">
        <f ca="1">-'IS(M)'!CQ90</f>
        <v>0</v>
      </c>
      <c r="CQ113" s="171">
        <f ca="1">-'IS(M)'!CR90</f>
        <v>0</v>
      </c>
      <c r="CR113" s="171">
        <f ca="1">-'IS(M)'!CS90</f>
        <v>0</v>
      </c>
      <c r="CS113" s="171">
        <f ca="1">-'IS(M)'!CT90</f>
        <v>0</v>
      </c>
      <c r="CT113" s="171">
        <f ca="1">-'IS(M)'!CU90</f>
        <v>0</v>
      </c>
      <c r="CU113" s="171">
        <f ca="1">-'IS(M)'!CV90</f>
        <v>0</v>
      </c>
      <c r="CV113" s="171">
        <f ca="1">-'IS(M)'!CW90</f>
        <v>0</v>
      </c>
      <c r="CW113" s="171">
        <f ca="1">-'IS(M)'!CX90</f>
        <v>0</v>
      </c>
      <c r="CX113" s="171">
        <f ca="1">-'IS(M)'!CY90</f>
        <v>0</v>
      </c>
      <c r="CY113" s="171">
        <f ca="1">-'IS(M)'!CZ90</f>
        <v>0</v>
      </c>
      <c r="CZ113" s="171">
        <f ca="1">-'IS(M)'!DA90</f>
        <v>0</v>
      </c>
      <c r="DA113" s="171">
        <f ca="1">-'IS(M)'!DB90</f>
        <v>0</v>
      </c>
      <c r="DB113" s="171">
        <f ca="1">-'IS(M)'!DC90</f>
        <v>0</v>
      </c>
      <c r="DC113" s="171">
        <f ca="1">-'IS(M)'!DD90</f>
        <v>0</v>
      </c>
      <c r="DD113" s="171">
        <f ca="1">-'IS(M)'!DE90</f>
        <v>0</v>
      </c>
      <c r="DE113" s="171">
        <f ca="1">-'IS(M)'!DF90</f>
        <v>0</v>
      </c>
      <c r="DF113" s="171">
        <f ca="1">-'IS(M)'!DG90</f>
        <v>0</v>
      </c>
      <c r="DG113" s="171">
        <f ca="1">-'IS(M)'!DH90</f>
        <v>0</v>
      </c>
      <c r="DH113" s="171">
        <f ca="1">-'IS(M)'!DI90</f>
        <v>0</v>
      </c>
      <c r="DI113" s="171">
        <f ca="1">-'IS(M)'!DJ90</f>
        <v>0</v>
      </c>
      <c r="DJ113" s="171">
        <f ca="1">-'IS(M)'!DK90</f>
        <v>0</v>
      </c>
      <c r="DK113" s="171">
        <f ca="1">-'IS(M)'!DL90</f>
        <v>0</v>
      </c>
      <c r="DL113" s="171">
        <f ca="1">-'IS(M)'!DM90</f>
        <v>0</v>
      </c>
      <c r="DM113" s="171">
        <f ca="1">-'IS(M)'!DN90</f>
        <v>0</v>
      </c>
      <c r="DN113" s="171">
        <f ca="1">-'IS(M)'!DO90</f>
        <v>0</v>
      </c>
      <c r="DO113" s="171">
        <f ca="1">-'IS(M)'!DP90</f>
        <v>0</v>
      </c>
      <c r="DP113" s="171">
        <f ca="1">-'IS(M)'!DQ90</f>
        <v>0</v>
      </c>
      <c r="DQ113" s="171">
        <f ca="1">-'IS(M)'!DR90</f>
        <v>0</v>
      </c>
      <c r="DR113" s="171">
        <f ca="1">-'IS(M)'!DS90</f>
        <v>0</v>
      </c>
      <c r="DS113" s="171">
        <f ca="1">-'IS(M)'!DT90</f>
        <v>0</v>
      </c>
      <c r="DT113" s="171">
        <f ca="1">-'IS(M)'!DU90</f>
        <v>0</v>
      </c>
      <c r="DU113" s="171">
        <f ca="1">-'IS(M)'!DV90</f>
        <v>0</v>
      </c>
      <c r="DV113" s="171">
        <f ca="1">-'IS(M)'!DW90</f>
        <v>0</v>
      </c>
      <c r="DW113" s="171">
        <f ca="1">-'IS(M)'!DX90</f>
        <v>0</v>
      </c>
      <c r="DX113" s="171">
        <f ca="1">-'IS(M)'!DY90</f>
        <v>0</v>
      </c>
      <c r="DY113" s="171">
        <f ca="1">-'IS(M)'!DZ90</f>
        <v>0</v>
      </c>
      <c r="DZ113" s="171">
        <f ca="1">-'IS(M)'!EA90</f>
        <v>0</v>
      </c>
      <c r="EA113" s="171">
        <f ca="1">-'IS(M)'!EB90</f>
        <v>0</v>
      </c>
      <c r="EB113" s="171">
        <f ca="1">-'IS(M)'!EC90</f>
        <v>0</v>
      </c>
      <c r="EC113" s="171">
        <f ca="1">-'IS(M)'!ED90</f>
        <v>0</v>
      </c>
      <c r="ED113" s="171">
        <f ca="1">-'IS(M)'!EE90</f>
        <v>0</v>
      </c>
      <c r="EE113" s="171">
        <f ca="1">-'IS(M)'!EF90</f>
        <v>0</v>
      </c>
      <c r="EF113" s="171">
        <f ca="1">-'IS(M)'!EG90</f>
        <v>0</v>
      </c>
      <c r="EG113" s="171">
        <f ca="1">-'IS(M)'!EH90</f>
        <v>0</v>
      </c>
      <c r="EH113" s="171">
        <f ca="1">-'IS(M)'!EI90</f>
        <v>0</v>
      </c>
      <c r="EI113" s="171">
        <f ca="1">-'IS(M)'!EJ90</f>
        <v>0</v>
      </c>
      <c r="EJ113" s="171">
        <f ca="1">-'IS(M)'!EK90</f>
        <v>0</v>
      </c>
      <c r="EK113" s="171">
        <f ca="1">-'IS(M)'!EL90</f>
        <v>0</v>
      </c>
      <c r="EL113" s="171">
        <f ca="1">-'IS(M)'!EM90</f>
        <v>0</v>
      </c>
      <c r="EM113" s="171">
        <f ca="1">-'IS(M)'!EN90</f>
        <v>0</v>
      </c>
      <c r="EN113" s="171">
        <f ca="1">-'IS(M)'!EO90</f>
        <v>0</v>
      </c>
      <c r="EO113" s="171">
        <f ca="1">-'IS(M)'!EP90</f>
        <v>0</v>
      </c>
      <c r="EP113" s="171">
        <f ca="1">-'IS(M)'!EQ90</f>
        <v>0</v>
      </c>
      <c r="EQ113" s="171">
        <f ca="1">-'IS(M)'!ER90</f>
        <v>0</v>
      </c>
    </row>
    <row r="114" spans="2:147" ht="11.25" customHeight="1">
      <c r="B114" s="218"/>
      <c r="C114" s="163"/>
      <c r="D114" s="169" t="s">
        <v>211</v>
      </c>
      <c r="G114" s="65">
        <f>'A&amp;R'!T44</f>
        <v>0.8</v>
      </c>
      <c r="H114" s="146">
        <f>'A&amp;R'!$E$39</f>
        <v>49979</v>
      </c>
      <c r="I114" s="229">
        <f>$H$156*G114</f>
        <v>47070453.350267738</v>
      </c>
      <c r="J114" s="171">
        <f>SUM(L114:EQ114)</f>
        <v>-47070453.350267738</v>
      </c>
      <c r="K114" s="98"/>
      <c r="L114" s="171">
        <f>-$I114*(L$13=$H114)</f>
        <v>0</v>
      </c>
      <c r="M114" s="171">
        <f t="shared" ref="M114:BX114" si="89">-$I114*(M$13=$H114)</f>
        <v>0</v>
      </c>
      <c r="N114" s="171">
        <f t="shared" si="89"/>
        <v>0</v>
      </c>
      <c r="O114" s="171">
        <f t="shared" si="89"/>
        <v>0</v>
      </c>
      <c r="P114" s="171">
        <f t="shared" si="89"/>
        <v>0</v>
      </c>
      <c r="Q114" s="171">
        <f t="shared" si="89"/>
        <v>0</v>
      </c>
      <c r="R114" s="171">
        <f t="shared" si="89"/>
        <v>0</v>
      </c>
      <c r="S114" s="171">
        <f t="shared" si="89"/>
        <v>0</v>
      </c>
      <c r="T114" s="171">
        <f t="shared" si="89"/>
        <v>0</v>
      </c>
      <c r="U114" s="171">
        <f t="shared" si="89"/>
        <v>0</v>
      </c>
      <c r="V114" s="171">
        <f t="shared" si="89"/>
        <v>0</v>
      </c>
      <c r="W114" s="171">
        <f t="shared" si="89"/>
        <v>0</v>
      </c>
      <c r="X114" s="171">
        <f t="shared" si="89"/>
        <v>0</v>
      </c>
      <c r="Y114" s="171">
        <f t="shared" si="89"/>
        <v>0</v>
      </c>
      <c r="Z114" s="171">
        <f t="shared" si="89"/>
        <v>0</v>
      </c>
      <c r="AA114" s="171">
        <f t="shared" si="89"/>
        <v>0</v>
      </c>
      <c r="AB114" s="171">
        <f t="shared" si="89"/>
        <v>0</v>
      </c>
      <c r="AC114" s="171">
        <f t="shared" si="89"/>
        <v>0</v>
      </c>
      <c r="AD114" s="171">
        <f t="shared" si="89"/>
        <v>0</v>
      </c>
      <c r="AE114" s="171">
        <f t="shared" si="89"/>
        <v>0</v>
      </c>
      <c r="AF114" s="171">
        <f t="shared" si="89"/>
        <v>0</v>
      </c>
      <c r="AG114" s="171">
        <f t="shared" si="89"/>
        <v>0</v>
      </c>
      <c r="AH114" s="171">
        <f t="shared" si="89"/>
        <v>0</v>
      </c>
      <c r="AI114" s="171">
        <f t="shared" si="89"/>
        <v>0</v>
      </c>
      <c r="AJ114" s="171">
        <f t="shared" si="89"/>
        <v>0</v>
      </c>
      <c r="AK114" s="171">
        <f t="shared" si="89"/>
        <v>0</v>
      </c>
      <c r="AL114" s="171">
        <f t="shared" si="89"/>
        <v>0</v>
      </c>
      <c r="AM114" s="171">
        <f t="shared" si="89"/>
        <v>0</v>
      </c>
      <c r="AN114" s="171">
        <f t="shared" si="89"/>
        <v>0</v>
      </c>
      <c r="AO114" s="171">
        <f t="shared" si="89"/>
        <v>0</v>
      </c>
      <c r="AP114" s="171">
        <f t="shared" si="89"/>
        <v>0</v>
      </c>
      <c r="AQ114" s="171">
        <f t="shared" si="89"/>
        <v>0</v>
      </c>
      <c r="AR114" s="171">
        <f t="shared" si="89"/>
        <v>0</v>
      </c>
      <c r="AS114" s="171">
        <f t="shared" si="89"/>
        <v>0</v>
      </c>
      <c r="AT114" s="171">
        <f t="shared" si="89"/>
        <v>0</v>
      </c>
      <c r="AU114" s="171">
        <f t="shared" si="89"/>
        <v>0</v>
      </c>
      <c r="AV114" s="171">
        <f t="shared" si="89"/>
        <v>0</v>
      </c>
      <c r="AW114" s="171">
        <f t="shared" si="89"/>
        <v>0</v>
      </c>
      <c r="AX114" s="171">
        <f t="shared" si="89"/>
        <v>0</v>
      </c>
      <c r="AY114" s="171">
        <f t="shared" si="89"/>
        <v>0</v>
      </c>
      <c r="AZ114" s="171">
        <f t="shared" si="89"/>
        <v>0</v>
      </c>
      <c r="BA114" s="171">
        <f t="shared" si="89"/>
        <v>0</v>
      </c>
      <c r="BB114" s="171">
        <f t="shared" si="89"/>
        <v>0</v>
      </c>
      <c r="BC114" s="171">
        <f t="shared" si="89"/>
        <v>0</v>
      </c>
      <c r="BD114" s="171">
        <f t="shared" si="89"/>
        <v>0</v>
      </c>
      <c r="BE114" s="171">
        <f t="shared" si="89"/>
        <v>0</v>
      </c>
      <c r="BF114" s="171">
        <f t="shared" si="89"/>
        <v>0</v>
      </c>
      <c r="BG114" s="171">
        <f t="shared" si="89"/>
        <v>0</v>
      </c>
      <c r="BH114" s="171">
        <f t="shared" si="89"/>
        <v>0</v>
      </c>
      <c r="BI114" s="171">
        <f t="shared" si="89"/>
        <v>0</v>
      </c>
      <c r="BJ114" s="171">
        <f t="shared" si="89"/>
        <v>0</v>
      </c>
      <c r="BK114" s="171">
        <f t="shared" si="89"/>
        <v>0</v>
      </c>
      <c r="BL114" s="171">
        <f t="shared" si="89"/>
        <v>0</v>
      </c>
      <c r="BM114" s="171">
        <f t="shared" si="89"/>
        <v>0</v>
      </c>
      <c r="BN114" s="171">
        <f t="shared" si="89"/>
        <v>0</v>
      </c>
      <c r="BO114" s="171">
        <f t="shared" si="89"/>
        <v>0</v>
      </c>
      <c r="BP114" s="171">
        <f t="shared" si="89"/>
        <v>0</v>
      </c>
      <c r="BQ114" s="171">
        <f t="shared" si="89"/>
        <v>0</v>
      </c>
      <c r="BR114" s="171">
        <f t="shared" si="89"/>
        <v>0</v>
      </c>
      <c r="BS114" s="171">
        <f t="shared" si="89"/>
        <v>0</v>
      </c>
      <c r="BT114" s="171">
        <f t="shared" si="89"/>
        <v>0</v>
      </c>
      <c r="BU114" s="171">
        <f t="shared" si="89"/>
        <v>0</v>
      </c>
      <c r="BV114" s="171">
        <f t="shared" si="89"/>
        <v>0</v>
      </c>
      <c r="BW114" s="171">
        <f t="shared" si="89"/>
        <v>0</v>
      </c>
      <c r="BX114" s="171">
        <f t="shared" si="89"/>
        <v>0</v>
      </c>
      <c r="BY114" s="171">
        <f t="shared" ref="BY114:EQ114" si="90">-$I114*(BY$13=$H114)</f>
        <v>0</v>
      </c>
      <c r="BZ114" s="171">
        <f t="shared" si="90"/>
        <v>0</v>
      </c>
      <c r="CA114" s="171">
        <f t="shared" si="90"/>
        <v>0</v>
      </c>
      <c r="CB114" s="171">
        <f t="shared" si="90"/>
        <v>0</v>
      </c>
      <c r="CC114" s="171">
        <f t="shared" si="90"/>
        <v>0</v>
      </c>
      <c r="CD114" s="171">
        <f t="shared" si="90"/>
        <v>0</v>
      </c>
      <c r="CE114" s="171">
        <f t="shared" si="90"/>
        <v>0</v>
      </c>
      <c r="CF114" s="171">
        <f t="shared" si="90"/>
        <v>0</v>
      </c>
      <c r="CG114" s="171">
        <f t="shared" si="90"/>
        <v>0</v>
      </c>
      <c r="CH114" s="171">
        <f t="shared" si="90"/>
        <v>0</v>
      </c>
      <c r="CI114" s="171">
        <f t="shared" si="90"/>
        <v>0</v>
      </c>
      <c r="CJ114" s="171">
        <f t="shared" si="90"/>
        <v>0</v>
      </c>
      <c r="CK114" s="171">
        <f t="shared" si="90"/>
        <v>0</v>
      </c>
      <c r="CL114" s="171">
        <f t="shared" si="90"/>
        <v>0</v>
      </c>
      <c r="CM114" s="171">
        <f t="shared" si="90"/>
        <v>0</v>
      </c>
      <c r="CN114" s="171">
        <f t="shared" si="90"/>
        <v>0</v>
      </c>
      <c r="CO114" s="171">
        <f t="shared" si="90"/>
        <v>0</v>
      </c>
      <c r="CP114" s="171">
        <f t="shared" si="90"/>
        <v>0</v>
      </c>
      <c r="CQ114" s="171">
        <f t="shared" si="90"/>
        <v>0</v>
      </c>
      <c r="CR114" s="171">
        <f t="shared" si="90"/>
        <v>0</v>
      </c>
      <c r="CS114" s="171">
        <f t="shared" si="90"/>
        <v>0</v>
      </c>
      <c r="CT114" s="171">
        <f t="shared" si="90"/>
        <v>0</v>
      </c>
      <c r="CU114" s="171">
        <f t="shared" si="90"/>
        <v>0</v>
      </c>
      <c r="CV114" s="171">
        <f t="shared" si="90"/>
        <v>0</v>
      </c>
      <c r="CW114" s="171">
        <f t="shared" si="90"/>
        <v>0</v>
      </c>
      <c r="CX114" s="171">
        <f t="shared" si="90"/>
        <v>0</v>
      </c>
      <c r="CY114" s="171">
        <f t="shared" si="90"/>
        <v>0</v>
      </c>
      <c r="CZ114" s="171">
        <f t="shared" si="90"/>
        <v>0</v>
      </c>
      <c r="DA114" s="171">
        <f t="shared" si="90"/>
        <v>0</v>
      </c>
      <c r="DB114" s="171">
        <f t="shared" si="90"/>
        <v>0</v>
      </c>
      <c r="DC114" s="171">
        <f t="shared" si="90"/>
        <v>0</v>
      </c>
      <c r="DD114" s="171">
        <f t="shared" si="90"/>
        <v>0</v>
      </c>
      <c r="DE114" s="171">
        <f t="shared" si="90"/>
        <v>0</v>
      </c>
      <c r="DF114" s="171">
        <f t="shared" si="90"/>
        <v>0</v>
      </c>
      <c r="DG114" s="171">
        <f t="shared" si="90"/>
        <v>0</v>
      </c>
      <c r="DH114" s="171">
        <f t="shared" si="90"/>
        <v>0</v>
      </c>
      <c r="DI114" s="171">
        <f t="shared" si="90"/>
        <v>0</v>
      </c>
      <c r="DJ114" s="171">
        <f t="shared" si="90"/>
        <v>0</v>
      </c>
      <c r="DK114" s="171">
        <f t="shared" si="90"/>
        <v>0</v>
      </c>
      <c r="DL114" s="171">
        <f t="shared" si="90"/>
        <v>0</v>
      </c>
      <c r="DM114" s="171">
        <f t="shared" si="90"/>
        <v>0</v>
      </c>
      <c r="DN114" s="171">
        <f t="shared" si="90"/>
        <v>0</v>
      </c>
      <c r="DO114" s="171">
        <f t="shared" si="90"/>
        <v>0</v>
      </c>
      <c r="DP114" s="171">
        <f t="shared" si="90"/>
        <v>0</v>
      </c>
      <c r="DQ114" s="171">
        <f t="shared" si="90"/>
        <v>0</v>
      </c>
      <c r="DR114" s="171">
        <f t="shared" si="90"/>
        <v>0</v>
      </c>
      <c r="DS114" s="171">
        <f t="shared" si="90"/>
        <v>0</v>
      </c>
      <c r="DT114" s="171">
        <f t="shared" si="90"/>
        <v>0</v>
      </c>
      <c r="DU114" s="171">
        <f t="shared" si="90"/>
        <v>0</v>
      </c>
      <c r="DV114" s="171">
        <f t="shared" si="90"/>
        <v>0</v>
      </c>
      <c r="DW114" s="171">
        <f t="shared" si="90"/>
        <v>0</v>
      </c>
      <c r="DX114" s="171">
        <f t="shared" si="90"/>
        <v>0</v>
      </c>
      <c r="DY114" s="171">
        <f t="shared" si="90"/>
        <v>0</v>
      </c>
      <c r="DZ114" s="171">
        <f t="shared" si="90"/>
        <v>0</v>
      </c>
      <c r="EA114" s="171">
        <f t="shared" si="90"/>
        <v>0</v>
      </c>
      <c r="EB114" s="171">
        <f t="shared" si="90"/>
        <v>-47070453.350267738</v>
      </c>
      <c r="EC114" s="171">
        <f t="shared" si="90"/>
        <v>0</v>
      </c>
      <c r="ED114" s="171">
        <f t="shared" si="90"/>
        <v>0</v>
      </c>
      <c r="EE114" s="171">
        <f t="shared" si="90"/>
        <v>0</v>
      </c>
      <c r="EF114" s="171">
        <f t="shared" si="90"/>
        <v>0</v>
      </c>
      <c r="EG114" s="171">
        <f t="shared" si="90"/>
        <v>0</v>
      </c>
      <c r="EH114" s="171">
        <f t="shared" si="90"/>
        <v>0</v>
      </c>
      <c r="EI114" s="171">
        <f t="shared" si="90"/>
        <v>0</v>
      </c>
      <c r="EJ114" s="171">
        <f t="shared" si="90"/>
        <v>0</v>
      </c>
      <c r="EK114" s="171">
        <f t="shared" si="90"/>
        <v>0</v>
      </c>
      <c r="EL114" s="171">
        <f t="shared" si="90"/>
        <v>0</v>
      </c>
      <c r="EM114" s="171">
        <f t="shared" si="90"/>
        <v>0</v>
      </c>
      <c r="EN114" s="171">
        <f t="shared" si="90"/>
        <v>0</v>
      </c>
      <c r="EO114" s="171">
        <f t="shared" si="90"/>
        <v>0</v>
      </c>
      <c r="EP114" s="171">
        <f t="shared" si="90"/>
        <v>0</v>
      </c>
      <c r="EQ114" s="171">
        <f t="shared" si="90"/>
        <v>0</v>
      </c>
    </row>
    <row r="115" spans="2:147" ht="11.25" customHeight="1">
      <c r="B115" s="218"/>
      <c r="C115" s="158" t="str">
        <f>'A&amp;R'!L45</f>
        <v>열후주</v>
      </c>
      <c r="D115" s="159"/>
      <c r="E115" s="159"/>
      <c r="F115" s="159"/>
      <c r="G115" s="159"/>
      <c r="H115" s="160"/>
      <c r="I115" s="219"/>
      <c r="J115" s="220">
        <f>SUM(J116:J119)</f>
        <v>0</v>
      </c>
      <c r="K115" s="98"/>
      <c r="L115" s="162">
        <f>SUM(L116:L119)</f>
        <v>0</v>
      </c>
      <c r="M115" s="162">
        <f t="shared" ref="M115:BX115" si="91">SUM(M116:M119)</f>
        <v>0</v>
      </c>
      <c r="N115" s="162">
        <f t="shared" si="91"/>
        <v>0</v>
      </c>
      <c r="O115" s="162">
        <f t="shared" si="91"/>
        <v>0</v>
      </c>
      <c r="P115" s="162">
        <f t="shared" si="91"/>
        <v>0</v>
      </c>
      <c r="Q115" s="162">
        <f t="shared" si="91"/>
        <v>0</v>
      </c>
      <c r="R115" s="162">
        <f t="shared" si="91"/>
        <v>0</v>
      </c>
      <c r="S115" s="162">
        <f t="shared" si="91"/>
        <v>0</v>
      </c>
      <c r="T115" s="162">
        <f t="shared" si="91"/>
        <v>0</v>
      </c>
      <c r="U115" s="162">
        <f t="shared" si="91"/>
        <v>0</v>
      </c>
      <c r="V115" s="162">
        <f t="shared" si="91"/>
        <v>0</v>
      </c>
      <c r="W115" s="162">
        <f t="shared" si="91"/>
        <v>0</v>
      </c>
      <c r="X115" s="162">
        <f t="shared" si="91"/>
        <v>0</v>
      </c>
      <c r="Y115" s="162">
        <f t="shared" si="91"/>
        <v>0</v>
      </c>
      <c r="Z115" s="162">
        <f t="shared" si="91"/>
        <v>0</v>
      </c>
      <c r="AA115" s="162">
        <f t="shared" si="91"/>
        <v>0</v>
      </c>
      <c r="AB115" s="162">
        <f t="shared" si="91"/>
        <v>0</v>
      </c>
      <c r="AC115" s="162">
        <f t="shared" si="91"/>
        <v>0</v>
      </c>
      <c r="AD115" s="162">
        <f t="shared" si="91"/>
        <v>0</v>
      </c>
      <c r="AE115" s="162">
        <f t="shared" si="91"/>
        <v>0</v>
      </c>
      <c r="AF115" s="162">
        <f t="shared" si="91"/>
        <v>0</v>
      </c>
      <c r="AG115" s="162">
        <f t="shared" si="91"/>
        <v>0</v>
      </c>
      <c r="AH115" s="162">
        <f t="shared" si="91"/>
        <v>0</v>
      </c>
      <c r="AI115" s="162">
        <f t="shared" si="91"/>
        <v>0</v>
      </c>
      <c r="AJ115" s="162">
        <f t="shared" si="91"/>
        <v>0</v>
      </c>
      <c r="AK115" s="162">
        <f t="shared" si="91"/>
        <v>0</v>
      </c>
      <c r="AL115" s="162">
        <f t="shared" si="91"/>
        <v>0</v>
      </c>
      <c r="AM115" s="162">
        <f t="shared" si="91"/>
        <v>0</v>
      </c>
      <c r="AN115" s="162">
        <f t="shared" si="91"/>
        <v>0</v>
      </c>
      <c r="AO115" s="162">
        <f t="shared" si="91"/>
        <v>0</v>
      </c>
      <c r="AP115" s="162">
        <f t="shared" si="91"/>
        <v>0</v>
      </c>
      <c r="AQ115" s="162">
        <f t="shared" si="91"/>
        <v>0</v>
      </c>
      <c r="AR115" s="162">
        <f t="shared" si="91"/>
        <v>0</v>
      </c>
      <c r="AS115" s="162">
        <f t="shared" si="91"/>
        <v>0</v>
      </c>
      <c r="AT115" s="162">
        <f t="shared" si="91"/>
        <v>0</v>
      </c>
      <c r="AU115" s="162">
        <f t="shared" si="91"/>
        <v>0</v>
      </c>
      <c r="AV115" s="162">
        <f t="shared" si="91"/>
        <v>0</v>
      </c>
      <c r="AW115" s="162">
        <f t="shared" si="91"/>
        <v>0</v>
      </c>
      <c r="AX115" s="162">
        <f t="shared" si="91"/>
        <v>0</v>
      </c>
      <c r="AY115" s="162">
        <f t="shared" si="91"/>
        <v>0</v>
      </c>
      <c r="AZ115" s="162">
        <f t="shared" si="91"/>
        <v>0</v>
      </c>
      <c r="BA115" s="162">
        <f t="shared" si="91"/>
        <v>0</v>
      </c>
      <c r="BB115" s="162">
        <f t="shared" si="91"/>
        <v>0</v>
      </c>
      <c r="BC115" s="162">
        <f t="shared" si="91"/>
        <v>0</v>
      </c>
      <c r="BD115" s="162">
        <f t="shared" si="91"/>
        <v>0</v>
      </c>
      <c r="BE115" s="162">
        <f t="shared" si="91"/>
        <v>0</v>
      </c>
      <c r="BF115" s="162">
        <f t="shared" si="91"/>
        <v>0</v>
      </c>
      <c r="BG115" s="162">
        <f t="shared" si="91"/>
        <v>0</v>
      </c>
      <c r="BH115" s="162">
        <f t="shared" si="91"/>
        <v>0</v>
      </c>
      <c r="BI115" s="162">
        <f t="shared" si="91"/>
        <v>0</v>
      </c>
      <c r="BJ115" s="162">
        <f t="shared" si="91"/>
        <v>0</v>
      </c>
      <c r="BK115" s="162">
        <f t="shared" si="91"/>
        <v>0</v>
      </c>
      <c r="BL115" s="162">
        <f t="shared" si="91"/>
        <v>0</v>
      </c>
      <c r="BM115" s="162">
        <f t="shared" si="91"/>
        <v>0</v>
      </c>
      <c r="BN115" s="162">
        <f t="shared" si="91"/>
        <v>0</v>
      </c>
      <c r="BO115" s="162">
        <f t="shared" si="91"/>
        <v>0</v>
      </c>
      <c r="BP115" s="162">
        <f t="shared" si="91"/>
        <v>0</v>
      </c>
      <c r="BQ115" s="162">
        <f t="shared" si="91"/>
        <v>0</v>
      </c>
      <c r="BR115" s="162">
        <f t="shared" si="91"/>
        <v>0</v>
      </c>
      <c r="BS115" s="162">
        <f t="shared" si="91"/>
        <v>0</v>
      </c>
      <c r="BT115" s="162">
        <f t="shared" si="91"/>
        <v>0</v>
      </c>
      <c r="BU115" s="162">
        <f t="shared" si="91"/>
        <v>0</v>
      </c>
      <c r="BV115" s="162">
        <f t="shared" si="91"/>
        <v>0</v>
      </c>
      <c r="BW115" s="162">
        <f t="shared" si="91"/>
        <v>0</v>
      </c>
      <c r="BX115" s="162">
        <f t="shared" si="91"/>
        <v>0</v>
      </c>
      <c r="BY115" s="162">
        <f t="shared" ref="BY115:EJ115" si="92">SUM(BY116:BY119)</f>
        <v>0</v>
      </c>
      <c r="BZ115" s="162">
        <f t="shared" si="92"/>
        <v>0</v>
      </c>
      <c r="CA115" s="162">
        <f t="shared" si="92"/>
        <v>0</v>
      </c>
      <c r="CB115" s="162">
        <f t="shared" si="92"/>
        <v>0</v>
      </c>
      <c r="CC115" s="162">
        <f t="shared" si="92"/>
        <v>0</v>
      </c>
      <c r="CD115" s="162">
        <f t="shared" si="92"/>
        <v>0</v>
      </c>
      <c r="CE115" s="162">
        <f t="shared" si="92"/>
        <v>0</v>
      </c>
      <c r="CF115" s="162">
        <f t="shared" si="92"/>
        <v>0</v>
      </c>
      <c r="CG115" s="162">
        <f t="shared" si="92"/>
        <v>0</v>
      </c>
      <c r="CH115" s="162">
        <f t="shared" si="92"/>
        <v>0</v>
      </c>
      <c r="CI115" s="162">
        <f t="shared" si="92"/>
        <v>0</v>
      </c>
      <c r="CJ115" s="162">
        <f t="shared" si="92"/>
        <v>0</v>
      </c>
      <c r="CK115" s="162">
        <f t="shared" si="92"/>
        <v>0</v>
      </c>
      <c r="CL115" s="162">
        <f t="shared" si="92"/>
        <v>0</v>
      </c>
      <c r="CM115" s="162">
        <f t="shared" si="92"/>
        <v>0</v>
      </c>
      <c r="CN115" s="162">
        <f t="shared" si="92"/>
        <v>0</v>
      </c>
      <c r="CO115" s="162">
        <f t="shared" si="92"/>
        <v>0</v>
      </c>
      <c r="CP115" s="162">
        <f t="shared" si="92"/>
        <v>0</v>
      </c>
      <c r="CQ115" s="162">
        <f t="shared" si="92"/>
        <v>0</v>
      </c>
      <c r="CR115" s="162">
        <f t="shared" si="92"/>
        <v>0</v>
      </c>
      <c r="CS115" s="162">
        <f t="shared" si="92"/>
        <v>0</v>
      </c>
      <c r="CT115" s="162">
        <f t="shared" si="92"/>
        <v>0</v>
      </c>
      <c r="CU115" s="162">
        <f t="shared" si="92"/>
        <v>0</v>
      </c>
      <c r="CV115" s="162">
        <f t="shared" si="92"/>
        <v>0</v>
      </c>
      <c r="CW115" s="162">
        <f t="shared" si="92"/>
        <v>0</v>
      </c>
      <c r="CX115" s="162">
        <f t="shared" si="92"/>
        <v>0</v>
      </c>
      <c r="CY115" s="162">
        <f t="shared" si="92"/>
        <v>0</v>
      </c>
      <c r="CZ115" s="162">
        <f t="shared" si="92"/>
        <v>0</v>
      </c>
      <c r="DA115" s="162">
        <f t="shared" si="92"/>
        <v>0</v>
      </c>
      <c r="DB115" s="162">
        <f t="shared" si="92"/>
        <v>0</v>
      </c>
      <c r="DC115" s="162">
        <f t="shared" si="92"/>
        <v>0</v>
      </c>
      <c r="DD115" s="162">
        <f t="shared" si="92"/>
        <v>0</v>
      </c>
      <c r="DE115" s="162">
        <f t="shared" si="92"/>
        <v>0</v>
      </c>
      <c r="DF115" s="162">
        <f t="shared" si="92"/>
        <v>0</v>
      </c>
      <c r="DG115" s="162">
        <f t="shared" si="92"/>
        <v>0</v>
      </c>
      <c r="DH115" s="162">
        <f t="shared" si="92"/>
        <v>0</v>
      </c>
      <c r="DI115" s="162">
        <f t="shared" si="92"/>
        <v>0</v>
      </c>
      <c r="DJ115" s="162">
        <f t="shared" si="92"/>
        <v>0</v>
      </c>
      <c r="DK115" s="162">
        <f t="shared" si="92"/>
        <v>0</v>
      </c>
      <c r="DL115" s="162">
        <f t="shared" si="92"/>
        <v>0</v>
      </c>
      <c r="DM115" s="162">
        <f t="shared" si="92"/>
        <v>0</v>
      </c>
      <c r="DN115" s="162">
        <f t="shared" si="92"/>
        <v>0</v>
      </c>
      <c r="DO115" s="162">
        <f t="shared" si="92"/>
        <v>0</v>
      </c>
      <c r="DP115" s="162">
        <f t="shared" si="92"/>
        <v>0</v>
      </c>
      <c r="DQ115" s="162">
        <f t="shared" si="92"/>
        <v>0</v>
      </c>
      <c r="DR115" s="162">
        <f t="shared" si="92"/>
        <v>0</v>
      </c>
      <c r="DS115" s="162">
        <f t="shared" si="92"/>
        <v>0</v>
      </c>
      <c r="DT115" s="162">
        <f t="shared" si="92"/>
        <v>0</v>
      </c>
      <c r="DU115" s="162">
        <f t="shared" si="92"/>
        <v>0</v>
      </c>
      <c r="DV115" s="162">
        <f t="shared" si="92"/>
        <v>0</v>
      </c>
      <c r="DW115" s="162">
        <f t="shared" si="92"/>
        <v>0</v>
      </c>
      <c r="DX115" s="162">
        <f t="shared" si="92"/>
        <v>0</v>
      </c>
      <c r="DY115" s="162">
        <f t="shared" si="92"/>
        <v>0</v>
      </c>
      <c r="DZ115" s="162">
        <f t="shared" si="92"/>
        <v>0</v>
      </c>
      <c r="EA115" s="162">
        <f t="shared" si="92"/>
        <v>0</v>
      </c>
      <c r="EB115" s="162">
        <f t="shared" si="92"/>
        <v>0</v>
      </c>
      <c r="EC115" s="162">
        <f t="shared" si="92"/>
        <v>0</v>
      </c>
      <c r="ED115" s="162">
        <f t="shared" si="92"/>
        <v>0</v>
      </c>
      <c r="EE115" s="162">
        <f t="shared" si="92"/>
        <v>0</v>
      </c>
      <c r="EF115" s="162">
        <f t="shared" si="92"/>
        <v>0</v>
      </c>
      <c r="EG115" s="162">
        <f t="shared" si="92"/>
        <v>0</v>
      </c>
      <c r="EH115" s="162">
        <f t="shared" si="92"/>
        <v>0</v>
      </c>
      <c r="EI115" s="162">
        <f t="shared" si="92"/>
        <v>0</v>
      </c>
      <c r="EJ115" s="162">
        <f t="shared" si="92"/>
        <v>0</v>
      </c>
      <c r="EK115" s="162">
        <f t="shared" ref="EK115:EQ115" si="93">SUM(EK116:EK119)</f>
        <v>0</v>
      </c>
      <c r="EL115" s="162">
        <f t="shared" si="93"/>
        <v>0</v>
      </c>
      <c r="EM115" s="162">
        <f t="shared" si="93"/>
        <v>0</v>
      </c>
      <c r="EN115" s="162">
        <f t="shared" si="93"/>
        <v>0</v>
      </c>
      <c r="EO115" s="162">
        <f t="shared" si="93"/>
        <v>0</v>
      </c>
      <c r="EP115" s="162">
        <f t="shared" si="93"/>
        <v>0</v>
      </c>
      <c r="EQ115" s="162">
        <f t="shared" si="93"/>
        <v>0</v>
      </c>
    </row>
    <row r="116" spans="2:147" ht="11.25" customHeight="1">
      <c r="B116" s="218"/>
      <c r="C116" s="163"/>
      <c r="D116" s="164" t="s">
        <v>208</v>
      </c>
      <c r="E116" s="165"/>
      <c r="F116" s="165"/>
      <c r="G116" s="165"/>
      <c r="H116" s="166"/>
      <c r="I116" s="228"/>
      <c r="J116" s="168">
        <f>SUM(L116:EQ116)</f>
        <v>0</v>
      </c>
      <c r="K116" s="98"/>
      <c r="L116" s="168">
        <f>'FS_Detail(M)'!L93</f>
        <v>0</v>
      </c>
      <c r="M116" s="168">
        <f>'FS_Detail(M)'!M93</f>
        <v>0</v>
      </c>
      <c r="N116" s="168">
        <f>'FS_Detail(M)'!N93</f>
        <v>0</v>
      </c>
      <c r="O116" s="168">
        <f>'FS_Detail(M)'!O93</f>
        <v>0</v>
      </c>
      <c r="P116" s="168">
        <f>'FS_Detail(M)'!P93</f>
        <v>0</v>
      </c>
      <c r="Q116" s="168">
        <f>'FS_Detail(M)'!Q93</f>
        <v>0</v>
      </c>
      <c r="R116" s="168">
        <f>'FS_Detail(M)'!R93</f>
        <v>0</v>
      </c>
      <c r="S116" s="168">
        <f>'FS_Detail(M)'!S93</f>
        <v>0</v>
      </c>
      <c r="T116" s="168">
        <f>'FS_Detail(M)'!T93</f>
        <v>0</v>
      </c>
      <c r="U116" s="168">
        <f>'FS_Detail(M)'!U93</f>
        <v>0</v>
      </c>
      <c r="V116" s="168">
        <f>'FS_Detail(M)'!V93</f>
        <v>0</v>
      </c>
      <c r="W116" s="168">
        <f>'FS_Detail(M)'!W93</f>
        <v>0</v>
      </c>
      <c r="X116" s="168">
        <f>'FS_Detail(M)'!X93</f>
        <v>0</v>
      </c>
      <c r="Y116" s="168">
        <f>'FS_Detail(M)'!Y93</f>
        <v>0</v>
      </c>
      <c r="Z116" s="168">
        <f>'FS_Detail(M)'!Z93</f>
        <v>0</v>
      </c>
      <c r="AA116" s="168">
        <f>'FS_Detail(M)'!AA93</f>
        <v>0</v>
      </c>
      <c r="AB116" s="168">
        <f>'FS_Detail(M)'!AB93</f>
        <v>0</v>
      </c>
      <c r="AC116" s="168">
        <f>'FS_Detail(M)'!AC93</f>
        <v>0</v>
      </c>
      <c r="AD116" s="168">
        <f>'FS_Detail(M)'!AD93</f>
        <v>0</v>
      </c>
      <c r="AE116" s="168">
        <f>'FS_Detail(M)'!AE93</f>
        <v>0</v>
      </c>
      <c r="AF116" s="168">
        <f>'FS_Detail(M)'!AF93</f>
        <v>0</v>
      </c>
      <c r="AG116" s="168">
        <f>'FS_Detail(M)'!AG93</f>
        <v>0</v>
      </c>
      <c r="AH116" s="168">
        <f>'FS_Detail(M)'!AH93</f>
        <v>0</v>
      </c>
      <c r="AI116" s="168">
        <f>'FS_Detail(M)'!AI93</f>
        <v>0</v>
      </c>
      <c r="AJ116" s="168">
        <f>'FS_Detail(M)'!AJ93</f>
        <v>0</v>
      </c>
      <c r="AK116" s="168">
        <f>'FS_Detail(M)'!AK93</f>
        <v>0</v>
      </c>
      <c r="AL116" s="168">
        <f>'FS_Detail(M)'!AL93</f>
        <v>0</v>
      </c>
      <c r="AM116" s="168">
        <f>'FS_Detail(M)'!AM93</f>
        <v>0</v>
      </c>
      <c r="AN116" s="168">
        <f>'FS_Detail(M)'!AN93</f>
        <v>0</v>
      </c>
      <c r="AO116" s="168">
        <f>'FS_Detail(M)'!AO93</f>
        <v>0</v>
      </c>
      <c r="AP116" s="168">
        <f>'FS_Detail(M)'!AP93</f>
        <v>0</v>
      </c>
      <c r="AQ116" s="168">
        <f>'FS_Detail(M)'!AQ93</f>
        <v>0</v>
      </c>
      <c r="AR116" s="168">
        <f>'FS_Detail(M)'!AR93</f>
        <v>0</v>
      </c>
      <c r="AS116" s="168">
        <f>'FS_Detail(M)'!AS93</f>
        <v>0</v>
      </c>
      <c r="AT116" s="168">
        <f>'FS_Detail(M)'!AT93</f>
        <v>0</v>
      </c>
      <c r="AU116" s="168">
        <f>'FS_Detail(M)'!AU93</f>
        <v>0</v>
      </c>
      <c r="AV116" s="168">
        <f>'FS_Detail(M)'!AV93</f>
        <v>0</v>
      </c>
      <c r="AW116" s="168">
        <f>'FS_Detail(M)'!AW93</f>
        <v>0</v>
      </c>
      <c r="AX116" s="168">
        <f>'FS_Detail(M)'!AX93</f>
        <v>0</v>
      </c>
      <c r="AY116" s="168">
        <f>'FS_Detail(M)'!AY93</f>
        <v>0</v>
      </c>
      <c r="AZ116" s="168">
        <f>'FS_Detail(M)'!AZ93</f>
        <v>0</v>
      </c>
      <c r="BA116" s="168">
        <f>'FS_Detail(M)'!BA93</f>
        <v>0</v>
      </c>
      <c r="BB116" s="168">
        <f>'FS_Detail(M)'!BB93</f>
        <v>0</v>
      </c>
      <c r="BC116" s="168">
        <f>'FS_Detail(M)'!BC93</f>
        <v>0</v>
      </c>
      <c r="BD116" s="168">
        <f>'FS_Detail(M)'!BD93</f>
        <v>0</v>
      </c>
      <c r="BE116" s="168">
        <f>'FS_Detail(M)'!BE93</f>
        <v>0</v>
      </c>
      <c r="BF116" s="168">
        <f>'FS_Detail(M)'!BF93</f>
        <v>0</v>
      </c>
      <c r="BG116" s="168">
        <f>'FS_Detail(M)'!BG93</f>
        <v>0</v>
      </c>
      <c r="BH116" s="168">
        <f>'FS_Detail(M)'!BH93</f>
        <v>0</v>
      </c>
      <c r="BI116" s="168">
        <f>'FS_Detail(M)'!BI93</f>
        <v>0</v>
      </c>
      <c r="BJ116" s="168">
        <f>'FS_Detail(M)'!BJ93</f>
        <v>0</v>
      </c>
      <c r="BK116" s="168">
        <f>'FS_Detail(M)'!BK93</f>
        <v>0</v>
      </c>
      <c r="BL116" s="168">
        <f>'FS_Detail(M)'!BL93</f>
        <v>0</v>
      </c>
      <c r="BM116" s="168">
        <f>'FS_Detail(M)'!BM93</f>
        <v>0</v>
      </c>
      <c r="BN116" s="168">
        <f>'FS_Detail(M)'!BN93</f>
        <v>0</v>
      </c>
      <c r="BO116" s="168">
        <f>'FS_Detail(M)'!BO93</f>
        <v>0</v>
      </c>
      <c r="BP116" s="168">
        <f>'FS_Detail(M)'!BP93</f>
        <v>0</v>
      </c>
      <c r="BQ116" s="168">
        <f>'FS_Detail(M)'!BQ93</f>
        <v>0</v>
      </c>
      <c r="BR116" s="168">
        <f>'FS_Detail(M)'!BR93</f>
        <v>0</v>
      </c>
      <c r="BS116" s="168">
        <f>'FS_Detail(M)'!BS93</f>
        <v>0</v>
      </c>
      <c r="BT116" s="168">
        <f>'FS_Detail(M)'!BT93</f>
        <v>0</v>
      </c>
      <c r="BU116" s="168">
        <f>'FS_Detail(M)'!BU93</f>
        <v>0</v>
      </c>
      <c r="BV116" s="168">
        <f>'FS_Detail(M)'!BV93</f>
        <v>0</v>
      </c>
      <c r="BW116" s="168">
        <f>'FS_Detail(M)'!BW93</f>
        <v>0</v>
      </c>
      <c r="BX116" s="168">
        <f>'FS_Detail(M)'!BX93</f>
        <v>0</v>
      </c>
      <c r="BY116" s="168">
        <f>'FS_Detail(M)'!BY93</f>
        <v>0</v>
      </c>
      <c r="BZ116" s="168">
        <f>'FS_Detail(M)'!BZ93</f>
        <v>0</v>
      </c>
      <c r="CA116" s="168">
        <f>'FS_Detail(M)'!CA93</f>
        <v>0</v>
      </c>
      <c r="CB116" s="168">
        <f>'FS_Detail(M)'!CB93</f>
        <v>0</v>
      </c>
      <c r="CC116" s="168">
        <f>'FS_Detail(M)'!CC93</f>
        <v>0</v>
      </c>
      <c r="CD116" s="168">
        <f>'FS_Detail(M)'!CD93</f>
        <v>0</v>
      </c>
      <c r="CE116" s="168">
        <f>'FS_Detail(M)'!CE93</f>
        <v>0</v>
      </c>
      <c r="CF116" s="168">
        <f>'FS_Detail(M)'!CF93</f>
        <v>0</v>
      </c>
      <c r="CG116" s="168">
        <f>'FS_Detail(M)'!CG93</f>
        <v>0</v>
      </c>
      <c r="CH116" s="168">
        <f>'FS_Detail(M)'!CH93</f>
        <v>0</v>
      </c>
      <c r="CI116" s="168">
        <f>'FS_Detail(M)'!CI93</f>
        <v>0</v>
      </c>
      <c r="CJ116" s="168">
        <f>'FS_Detail(M)'!CJ93</f>
        <v>0</v>
      </c>
      <c r="CK116" s="168">
        <f>'FS_Detail(M)'!CK93</f>
        <v>0</v>
      </c>
      <c r="CL116" s="168">
        <f>'FS_Detail(M)'!CL93</f>
        <v>0</v>
      </c>
      <c r="CM116" s="168">
        <f>'FS_Detail(M)'!CM93</f>
        <v>0</v>
      </c>
      <c r="CN116" s="168">
        <f>'FS_Detail(M)'!CN93</f>
        <v>0</v>
      </c>
      <c r="CO116" s="168">
        <f>'FS_Detail(M)'!CO93</f>
        <v>0</v>
      </c>
      <c r="CP116" s="168">
        <f>'FS_Detail(M)'!CP93</f>
        <v>0</v>
      </c>
      <c r="CQ116" s="168">
        <f>'FS_Detail(M)'!CQ93</f>
        <v>0</v>
      </c>
      <c r="CR116" s="168">
        <f>'FS_Detail(M)'!CR93</f>
        <v>0</v>
      </c>
      <c r="CS116" s="168">
        <f>'FS_Detail(M)'!CS93</f>
        <v>0</v>
      </c>
      <c r="CT116" s="168">
        <f>'FS_Detail(M)'!CT93</f>
        <v>0</v>
      </c>
      <c r="CU116" s="168">
        <f>'FS_Detail(M)'!CU93</f>
        <v>0</v>
      </c>
      <c r="CV116" s="168">
        <f>'FS_Detail(M)'!CV93</f>
        <v>0</v>
      </c>
      <c r="CW116" s="168">
        <f>'FS_Detail(M)'!CW93</f>
        <v>0</v>
      </c>
      <c r="CX116" s="168">
        <f>'FS_Detail(M)'!CX93</f>
        <v>0</v>
      </c>
      <c r="CY116" s="168">
        <f>'FS_Detail(M)'!CY93</f>
        <v>0</v>
      </c>
      <c r="CZ116" s="168">
        <f>'FS_Detail(M)'!CZ93</f>
        <v>0</v>
      </c>
      <c r="DA116" s="168">
        <f>'FS_Detail(M)'!DA93</f>
        <v>0</v>
      </c>
      <c r="DB116" s="168">
        <f>'FS_Detail(M)'!DB93</f>
        <v>0</v>
      </c>
      <c r="DC116" s="168">
        <f>'FS_Detail(M)'!DC93</f>
        <v>0</v>
      </c>
      <c r="DD116" s="168">
        <f>'FS_Detail(M)'!DD93</f>
        <v>0</v>
      </c>
      <c r="DE116" s="168">
        <f>'FS_Detail(M)'!DE93</f>
        <v>0</v>
      </c>
      <c r="DF116" s="168">
        <f>'FS_Detail(M)'!DF93</f>
        <v>0</v>
      </c>
      <c r="DG116" s="168">
        <f>'FS_Detail(M)'!DG93</f>
        <v>0</v>
      </c>
      <c r="DH116" s="168">
        <f>'FS_Detail(M)'!DH93</f>
        <v>0</v>
      </c>
      <c r="DI116" s="168">
        <f>'FS_Detail(M)'!DI93</f>
        <v>0</v>
      </c>
      <c r="DJ116" s="168">
        <f>'FS_Detail(M)'!DJ93</f>
        <v>0</v>
      </c>
      <c r="DK116" s="168">
        <f>'FS_Detail(M)'!DK93</f>
        <v>0</v>
      </c>
      <c r="DL116" s="168">
        <f>'FS_Detail(M)'!DL93</f>
        <v>0</v>
      </c>
      <c r="DM116" s="168">
        <f>'FS_Detail(M)'!DM93</f>
        <v>0</v>
      </c>
      <c r="DN116" s="168">
        <f>'FS_Detail(M)'!DN93</f>
        <v>0</v>
      </c>
      <c r="DO116" s="168">
        <f>'FS_Detail(M)'!DO93</f>
        <v>0</v>
      </c>
      <c r="DP116" s="168">
        <f>'FS_Detail(M)'!DP93</f>
        <v>0</v>
      </c>
      <c r="DQ116" s="168">
        <f>'FS_Detail(M)'!DQ93</f>
        <v>0</v>
      </c>
      <c r="DR116" s="168">
        <f>'FS_Detail(M)'!DR93</f>
        <v>0</v>
      </c>
      <c r="DS116" s="168">
        <f>'FS_Detail(M)'!DS93</f>
        <v>0</v>
      </c>
      <c r="DT116" s="168">
        <f>'FS_Detail(M)'!DT93</f>
        <v>0</v>
      </c>
      <c r="DU116" s="168">
        <f>'FS_Detail(M)'!DU93</f>
        <v>0</v>
      </c>
      <c r="DV116" s="168">
        <f>'FS_Detail(M)'!DV93</f>
        <v>0</v>
      </c>
      <c r="DW116" s="168">
        <f>'FS_Detail(M)'!DW93</f>
        <v>0</v>
      </c>
      <c r="DX116" s="168">
        <f>'FS_Detail(M)'!DX93</f>
        <v>0</v>
      </c>
      <c r="DY116" s="168">
        <f>'FS_Detail(M)'!DY93</f>
        <v>0</v>
      </c>
      <c r="DZ116" s="168">
        <f>'FS_Detail(M)'!DZ93</f>
        <v>0</v>
      </c>
      <c r="EA116" s="168">
        <f>'FS_Detail(M)'!EA93</f>
        <v>0</v>
      </c>
      <c r="EB116" s="168">
        <f>'FS_Detail(M)'!EB93</f>
        <v>0</v>
      </c>
      <c r="EC116" s="168">
        <f>'FS_Detail(M)'!EC93</f>
        <v>0</v>
      </c>
      <c r="ED116" s="168">
        <f>'FS_Detail(M)'!ED93</f>
        <v>0</v>
      </c>
      <c r="EE116" s="168">
        <f>'FS_Detail(M)'!EE93</f>
        <v>0</v>
      </c>
      <c r="EF116" s="168">
        <f>'FS_Detail(M)'!EF93</f>
        <v>0</v>
      </c>
      <c r="EG116" s="168">
        <f>'FS_Detail(M)'!EG93</f>
        <v>0</v>
      </c>
      <c r="EH116" s="168">
        <f>'FS_Detail(M)'!EH93</f>
        <v>0</v>
      </c>
      <c r="EI116" s="168">
        <f>'FS_Detail(M)'!EI93</f>
        <v>0</v>
      </c>
      <c r="EJ116" s="168">
        <f>'FS_Detail(M)'!EJ93</f>
        <v>0</v>
      </c>
      <c r="EK116" s="168">
        <f>'FS_Detail(M)'!EK93</f>
        <v>0</v>
      </c>
      <c r="EL116" s="168">
        <f>'FS_Detail(M)'!EL93</f>
        <v>0</v>
      </c>
      <c r="EM116" s="168">
        <f>'FS_Detail(M)'!EM93</f>
        <v>0</v>
      </c>
      <c r="EN116" s="168">
        <f>'FS_Detail(M)'!EN93</f>
        <v>0</v>
      </c>
      <c r="EO116" s="168">
        <f>'FS_Detail(M)'!EO93</f>
        <v>0</v>
      </c>
      <c r="EP116" s="168">
        <f>'FS_Detail(M)'!EP93</f>
        <v>0</v>
      </c>
      <c r="EQ116" s="168">
        <f>'FS_Detail(M)'!EQ93</f>
        <v>0</v>
      </c>
    </row>
    <row r="117" spans="2:147" ht="11.25" customHeight="1">
      <c r="B117" s="218"/>
      <c r="C117" s="163"/>
      <c r="D117" s="169" t="s">
        <v>1027</v>
      </c>
      <c r="G117" s="13"/>
      <c r="H117" s="90"/>
      <c r="I117" s="229"/>
      <c r="J117" s="171">
        <f>SUM(L117:EQ117)</f>
        <v>0</v>
      </c>
      <c r="K117" s="98"/>
      <c r="L117" s="171">
        <f>-'FS_Detail(M)'!L94</f>
        <v>0</v>
      </c>
      <c r="M117" s="171">
        <f>-'FS_Detail(M)'!M94</f>
        <v>0</v>
      </c>
      <c r="N117" s="171">
        <f>-'FS_Detail(M)'!N94</f>
        <v>0</v>
      </c>
      <c r="O117" s="171">
        <f>-'FS_Detail(M)'!O94</f>
        <v>0</v>
      </c>
      <c r="P117" s="171">
        <f>-'FS_Detail(M)'!P94</f>
        <v>0</v>
      </c>
      <c r="Q117" s="171">
        <f>-'FS_Detail(M)'!Q94</f>
        <v>0</v>
      </c>
      <c r="R117" s="171">
        <f>-'FS_Detail(M)'!R94</f>
        <v>0</v>
      </c>
      <c r="S117" s="171">
        <f>-'FS_Detail(M)'!S94</f>
        <v>0</v>
      </c>
      <c r="T117" s="171">
        <f>-'FS_Detail(M)'!T94</f>
        <v>0</v>
      </c>
      <c r="U117" s="171">
        <f>-'FS_Detail(M)'!U94</f>
        <v>0</v>
      </c>
      <c r="V117" s="171">
        <f>-'FS_Detail(M)'!V94</f>
        <v>0</v>
      </c>
      <c r="W117" s="171">
        <f>-'FS_Detail(M)'!W94</f>
        <v>0</v>
      </c>
      <c r="X117" s="171">
        <f>-'FS_Detail(M)'!X94</f>
        <v>0</v>
      </c>
      <c r="Y117" s="171">
        <f>-'FS_Detail(M)'!Y94</f>
        <v>0</v>
      </c>
      <c r="Z117" s="171">
        <f>-'FS_Detail(M)'!Z94</f>
        <v>0</v>
      </c>
      <c r="AA117" s="171">
        <f>-'FS_Detail(M)'!AA94</f>
        <v>0</v>
      </c>
      <c r="AB117" s="171">
        <f>-'FS_Detail(M)'!AB94</f>
        <v>0</v>
      </c>
      <c r="AC117" s="171">
        <f>-'FS_Detail(M)'!AC94</f>
        <v>0</v>
      </c>
      <c r="AD117" s="171">
        <f>-'FS_Detail(M)'!AD94</f>
        <v>0</v>
      </c>
      <c r="AE117" s="171">
        <f>-'FS_Detail(M)'!AE94</f>
        <v>0</v>
      </c>
      <c r="AF117" s="171">
        <f>-'FS_Detail(M)'!AF94</f>
        <v>0</v>
      </c>
      <c r="AG117" s="171">
        <f>-'FS_Detail(M)'!AG94</f>
        <v>0</v>
      </c>
      <c r="AH117" s="171">
        <f>-'FS_Detail(M)'!AH94</f>
        <v>0</v>
      </c>
      <c r="AI117" s="171">
        <f>-'FS_Detail(M)'!AI94</f>
        <v>0</v>
      </c>
      <c r="AJ117" s="171">
        <f>-'FS_Detail(M)'!AJ94</f>
        <v>0</v>
      </c>
      <c r="AK117" s="171">
        <f>-'FS_Detail(M)'!AK94</f>
        <v>0</v>
      </c>
      <c r="AL117" s="171">
        <f>-'FS_Detail(M)'!AL94</f>
        <v>0</v>
      </c>
      <c r="AM117" s="171">
        <f>-'FS_Detail(M)'!AM94</f>
        <v>0</v>
      </c>
      <c r="AN117" s="171">
        <f>-'FS_Detail(M)'!AN94</f>
        <v>0</v>
      </c>
      <c r="AO117" s="171">
        <f>-'FS_Detail(M)'!AO94</f>
        <v>0</v>
      </c>
      <c r="AP117" s="171">
        <f>-'FS_Detail(M)'!AP94</f>
        <v>0</v>
      </c>
      <c r="AQ117" s="171">
        <f>-'FS_Detail(M)'!AQ94</f>
        <v>0</v>
      </c>
      <c r="AR117" s="171">
        <f>-'FS_Detail(M)'!AR94</f>
        <v>0</v>
      </c>
      <c r="AS117" s="171">
        <f>-'FS_Detail(M)'!AS94</f>
        <v>0</v>
      </c>
      <c r="AT117" s="171">
        <f>-'FS_Detail(M)'!AT94</f>
        <v>0</v>
      </c>
      <c r="AU117" s="171">
        <f>-'FS_Detail(M)'!AU94</f>
        <v>0</v>
      </c>
      <c r="AV117" s="171">
        <f>-'FS_Detail(M)'!AV94</f>
        <v>0</v>
      </c>
      <c r="AW117" s="171">
        <f>-'FS_Detail(M)'!AW94</f>
        <v>0</v>
      </c>
      <c r="AX117" s="171">
        <f>-'FS_Detail(M)'!AX94</f>
        <v>0</v>
      </c>
      <c r="AY117" s="171">
        <f>-'FS_Detail(M)'!AY94</f>
        <v>0</v>
      </c>
      <c r="AZ117" s="171">
        <f>-'FS_Detail(M)'!AZ94</f>
        <v>0</v>
      </c>
      <c r="BA117" s="171">
        <f>-'FS_Detail(M)'!BA94</f>
        <v>0</v>
      </c>
      <c r="BB117" s="171">
        <f>-'FS_Detail(M)'!BB94</f>
        <v>0</v>
      </c>
      <c r="BC117" s="171">
        <f>-'FS_Detail(M)'!BC94</f>
        <v>0</v>
      </c>
      <c r="BD117" s="171">
        <f>-'FS_Detail(M)'!BD94</f>
        <v>0</v>
      </c>
      <c r="BE117" s="171">
        <f>-'FS_Detail(M)'!BE94</f>
        <v>0</v>
      </c>
      <c r="BF117" s="171">
        <f>-'FS_Detail(M)'!BF94</f>
        <v>0</v>
      </c>
      <c r="BG117" s="171">
        <f>-'FS_Detail(M)'!BG94</f>
        <v>0</v>
      </c>
      <c r="BH117" s="171">
        <f>-'FS_Detail(M)'!BH94</f>
        <v>0</v>
      </c>
      <c r="BI117" s="171">
        <f>-'FS_Detail(M)'!BI94</f>
        <v>0</v>
      </c>
      <c r="BJ117" s="171">
        <f>-'FS_Detail(M)'!BJ94</f>
        <v>0</v>
      </c>
      <c r="BK117" s="171">
        <f>-'FS_Detail(M)'!BK94</f>
        <v>0</v>
      </c>
      <c r="BL117" s="171">
        <f>-'FS_Detail(M)'!BL94</f>
        <v>0</v>
      </c>
      <c r="BM117" s="171">
        <f>-'FS_Detail(M)'!BM94</f>
        <v>0</v>
      </c>
      <c r="BN117" s="171">
        <f>-'FS_Detail(M)'!BN94</f>
        <v>0</v>
      </c>
      <c r="BO117" s="171">
        <f>-'FS_Detail(M)'!BO94</f>
        <v>0</v>
      </c>
      <c r="BP117" s="171">
        <f>-'FS_Detail(M)'!BP94</f>
        <v>0</v>
      </c>
      <c r="BQ117" s="171">
        <f>-'FS_Detail(M)'!BQ94</f>
        <v>0</v>
      </c>
      <c r="BR117" s="171">
        <f>-'FS_Detail(M)'!BR94</f>
        <v>0</v>
      </c>
      <c r="BS117" s="171">
        <f>-'FS_Detail(M)'!BS94</f>
        <v>0</v>
      </c>
      <c r="BT117" s="171">
        <f>-'FS_Detail(M)'!BT94</f>
        <v>0</v>
      </c>
      <c r="BU117" s="171">
        <f>-'FS_Detail(M)'!BU94</f>
        <v>0</v>
      </c>
      <c r="BV117" s="171">
        <f>-'FS_Detail(M)'!BV94</f>
        <v>0</v>
      </c>
      <c r="BW117" s="171">
        <f>-'FS_Detail(M)'!BW94</f>
        <v>0</v>
      </c>
      <c r="BX117" s="171">
        <f>-'FS_Detail(M)'!BX94</f>
        <v>0</v>
      </c>
      <c r="BY117" s="171">
        <f>-'FS_Detail(M)'!BY94</f>
        <v>0</v>
      </c>
      <c r="BZ117" s="171">
        <f>-'FS_Detail(M)'!BZ94</f>
        <v>0</v>
      </c>
      <c r="CA117" s="171">
        <f>-'FS_Detail(M)'!CA94</f>
        <v>0</v>
      </c>
      <c r="CB117" s="171">
        <f>-'FS_Detail(M)'!CB94</f>
        <v>0</v>
      </c>
      <c r="CC117" s="171">
        <f>-'FS_Detail(M)'!CC94</f>
        <v>0</v>
      </c>
      <c r="CD117" s="171">
        <f>-'FS_Detail(M)'!CD94</f>
        <v>0</v>
      </c>
      <c r="CE117" s="171">
        <f>-'FS_Detail(M)'!CE94</f>
        <v>0</v>
      </c>
      <c r="CF117" s="171">
        <f>-'FS_Detail(M)'!CF94</f>
        <v>0</v>
      </c>
      <c r="CG117" s="171">
        <f>-'FS_Detail(M)'!CG94</f>
        <v>0</v>
      </c>
      <c r="CH117" s="171">
        <f>-'FS_Detail(M)'!CH94</f>
        <v>0</v>
      </c>
      <c r="CI117" s="171">
        <f>-'FS_Detail(M)'!CI94</f>
        <v>0</v>
      </c>
      <c r="CJ117" s="171">
        <f>-'FS_Detail(M)'!CJ94</f>
        <v>0</v>
      </c>
      <c r="CK117" s="171">
        <f>-'FS_Detail(M)'!CK94</f>
        <v>0</v>
      </c>
      <c r="CL117" s="171">
        <f>-'FS_Detail(M)'!CL94</f>
        <v>0</v>
      </c>
      <c r="CM117" s="171">
        <f>-'FS_Detail(M)'!CM94</f>
        <v>0</v>
      </c>
      <c r="CN117" s="171">
        <f>-'FS_Detail(M)'!CN94</f>
        <v>0</v>
      </c>
      <c r="CO117" s="171">
        <f>-'FS_Detail(M)'!CO94</f>
        <v>0</v>
      </c>
      <c r="CP117" s="171">
        <f>-'FS_Detail(M)'!CP94</f>
        <v>0</v>
      </c>
      <c r="CQ117" s="171">
        <f>-'FS_Detail(M)'!CQ94</f>
        <v>0</v>
      </c>
      <c r="CR117" s="171">
        <f>-'FS_Detail(M)'!CR94</f>
        <v>0</v>
      </c>
      <c r="CS117" s="171">
        <f>-'FS_Detail(M)'!CS94</f>
        <v>0</v>
      </c>
      <c r="CT117" s="171">
        <f>-'FS_Detail(M)'!CT94</f>
        <v>0</v>
      </c>
      <c r="CU117" s="171">
        <f>-'FS_Detail(M)'!CU94</f>
        <v>0</v>
      </c>
      <c r="CV117" s="171">
        <f>-'FS_Detail(M)'!CV94</f>
        <v>0</v>
      </c>
      <c r="CW117" s="171">
        <f>-'FS_Detail(M)'!CW94</f>
        <v>0</v>
      </c>
      <c r="CX117" s="171">
        <f>-'FS_Detail(M)'!CX94</f>
        <v>0</v>
      </c>
      <c r="CY117" s="171">
        <f>-'FS_Detail(M)'!CY94</f>
        <v>0</v>
      </c>
      <c r="CZ117" s="171">
        <f>-'FS_Detail(M)'!CZ94</f>
        <v>0</v>
      </c>
      <c r="DA117" s="171">
        <f>-'FS_Detail(M)'!DA94</f>
        <v>0</v>
      </c>
      <c r="DB117" s="171">
        <f>-'FS_Detail(M)'!DB94</f>
        <v>0</v>
      </c>
      <c r="DC117" s="171">
        <f>-'FS_Detail(M)'!DC94</f>
        <v>0</v>
      </c>
      <c r="DD117" s="171">
        <f>-'FS_Detail(M)'!DD94</f>
        <v>0</v>
      </c>
      <c r="DE117" s="171">
        <f>-'FS_Detail(M)'!DE94</f>
        <v>0</v>
      </c>
      <c r="DF117" s="171">
        <f>-'FS_Detail(M)'!DF94</f>
        <v>0</v>
      </c>
      <c r="DG117" s="171">
        <f>-'FS_Detail(M)'!DG94</f>
        <v>0</v>
      </c>
      <c r="DH117" s="171">
        <f>-'FS_Detail(M)'!DH94</f>
        <v>0</v>
      </c>
      <c r="DI117" s="171">
        <f>-'FS_Detail(M)'!DI94</f>
        <v>0</v>
      </c>
      <c r="DJ117" s="171">
        <f>-'FS_Detail(M)'!DJ94</f>
        <v>0</v>
      </c>
      <c r="DK117" s="171">
        <f>-'FS_Detail(M)'!DK94</f>
        <v>0</v>
      </c>
      <c r="DL117" s="171">
        <f>-'FS_Detail(M)'!DL94</f>
        <v>0</v>
      </c>
      <c r="DM117" s="171">
        <f>-'FS_Detail(M)'!DM94</f>
        <v>0</v>
      </c>
      <c r="DN117" s="171">
        <f>-'FS_Detail(M)'!DN94</f>
        <v>0</v>
      </c>
      <c r="DO117" s="171">
        <f>-'FS_Detail(M)'!DO94</f>
        <v>0</v>
      </c>
      <c r="DP117" s="171">
        <f>-'FS_Detail(M)'!DP94</f>
        <v>0</v>
      </c>
      <c r="DQ117" s="171">
        <f>-'FS_Detail(M)'!DQ94</f>
        <v>0</v>
      </c>
      <c r="DR117" s="171">
        <f>-'FS_Detail(M)'!DR94</f>
        <v>0</v>
      </c>
      <c r="DS117" s="171">
        <f>-'FS_Detail(M)'!DS94</f>
        <v>0</v>
      </c>
      <c r="DT117" s="171">
        <f>-'FS_Detail(M)'!DT94</f>
        <v>0</v>
      </c>
      <c r="DU117" s="171">
        <f>-'FS_Detail(M)'!DU94</f>
        <v>0</v>
      </c>
      <c r="DV117" s="171">
        <f>-'FS_Detail(M)'!DV94</f>
        <v>0</v>
      </c>
      <c r="DW117" s="171">
        <f>-'FS_Detail(M)'!DW94</f>
        <v>0</v>
      </c>
      <c r="DX117" s="171">
        <f>-'FS_Detail(M)'!DX94</f>
        <v>0</v>
      </c>
      <c r="DY117" s="171">
        <f>-'FS_Detail(M)'!DY94</f>
        <v>0</v>
      </c>
      <c r="DZ117" s="171">
        <f>-'FS_Detail(M)'!DZ94</f>
        <v>0</v>
      </c>
      <c r="EA117" s="171">
        <f>-'FS_Detail(M)'!EA94</f>
        <v>0</v>
      </c>
      <c r="EB117" s="171">
        <f>-'FS_Detail(M)'!EB94</f>
        <v>0</v>
      </c>
      <c r="EC117" s="171">
        <f>-'FS_Detail(M)'!EC94</f>
        <v>0</v>
      </c>
      <c r="ED117" s="171">
        <f>-'FS_Detail(M)'!ED94</f>
        <v>0</v>
      </c>
      <c r="EE117" s="171">
        <f>-'FS_Detail(M)'!EE94</f>
        <v>0</v>
      </c>
      <c r="EF117" s="171">
        <f>-'FS_Detail(M)'!EF94</f>
        <v>0</v>
      </c>
      <c r="EG117" s="171">
        <f>-'FS_Detail(M)'!EG94</f>
        <v>0</v>
      </c>
      <c r="EH117" s="171">
        <f>-'FS_Detail(M)'!EH94</f>
        <v>0</v>
      </c>
      <c r="EI117" s="171">
        <f>-'FS_Detail(M)'!EI94</f>
        <v>0</v>
      </c>
      <c r="EJ117" s="171">
        <f>-'FS_Detail(M)'!EJ94</f>
        <v>0</v>
      </c>
      <c r="EK117" s="171">
        <f>-'FS_Detail(M)'!EK94</f>
        <v>0</v>
      </c>
      <c r="EL117" s="171">
        <f>-'FS_Detail(M)'!EL94</f>
        <v>0</v>
      </c>
      <c r="EM117" s="171">
        <f>-'FS_Detail(M)'!EM94</f>
        <v>0</v>
      </c>
      <c r="EN117" s="171">
        <f>-'FS_Detail(M)'!EN94</f>
        <v>0</v>
      </c>
      <c r="EO117" s="171">
        <f>-'FS_Detail(M)'!EO94</f>
        <v>0</v>
      </c>
      <c r="EP117" s="171">
        <f>-'FS_Detail(M)'!EP94</f>
        <v>0</v>
      </c>
      <c r="EQ117" s="171">
        <f>-'FS_Detail(M)'!EQ94</f>
        <v>0</v>
      </c>
    </row>
    <row r="118" spans="2:147" ht="11.25" customHeight="1">
      <c r="B118" s="218"/>
      <c r="C118" s="163"/>
      <c r="D118" s="1761" t="s">
        <v>261</v>
      </c>
      <c r="E118" s="1762"/>
      <c r="F118" s="1762"/>
      <c r="G118" s="1762"/>
      <c r="H118" s="1763"/>
      <c r="I118" s="1764"/>
      <c r="J118" s="1765">
        <f>SUM(L118:EQ118)</f>
        <v>0</v>
      </c>
      <c r="K118" s="1766"/>
      <c r="L118" s="1765">
        <v>0</v>
      </c>
      <c r="M118" s="1765">
        <v>0</v>
      </c>
      <c r="N118" s="1765">
        <v>0</v>
      </c>
      <c r="O118" s="1765">
        <v>0</v>
      </c>
      <c r="P118" s="1765">
        <v>0</v>
      </c>
      <c r="Q118" s="1765">
        <v>0</v>
      </c>
      <c r="R118" s="1765">
        <v>0</v>
      </c>
      <c r="S118" s="1765">
        <v>0</v>
      </c>
      <c r="T118" s="1765">
        <v>0</v>
      </c>
      <c r="U118" s="1765">
        <v>0</v>
      </c>
      <c r="V118" s="1765">
        <v>0</v>
      </c>
      <c r="W118" s="1765">
        <v>0</v>
      </c>
      <c r="X118" s="1765">
        <v>0</v>
      </c>
      <c r="Y118" s="1765">
        <v>0</v>
      </c>
      <c r="Z118" s="1765">
        <v>0</v>
      </c>
      <c r="AA118" s="1765">
        <v>0</v>
      </c>
      <c r="AB118" s="1765">
        <v>0</v>
      </c>
      <c r="AC118" s="1765">
        <v>0</v>
      </c>
      <c r="AD118" s="1765">
        <v>0</v>
      </c>
      <c r="AE118" s="1765">
        <v>0</v>
      </c>
      <c r="AF118" s="1765">
        <v>0</v>
      </c>
      <c r="AG118" s="1765">
        <v>0</v>
      </c>
      <c r="AH118" s="1765">
        <v>0</v>
      </c>
      <c r="AI118" s="1765">
        <v>0</v>
      </c>
      <c r="AJ118" s="1765">
        <v>0</v>
      </c>
      <c r="AK118" s="1765">
        <v>0</v>
      </c>
      <c r="AL118" s="1765">
        <v>0</v>
      </c>
      <c r="AM118" s="1765">
        <v>0</v>
      </c>
      <c r="AN118" s="1765">
        <v>0</v>
      </c>
      <c r="AO118" s="1765">
        <v>0</v>
      </c>
      <c r="AP118" s="1765">
        <v>0</v>
      </c>
      <c r="AQ118" s="1765">
        <v>0</v>
      </c>
      <c r="AR118" s="1765">
        <v>0</v>
      </c>
      <c r="AS118" s="1765">
        <v>0</v>
      </c>
      <c r="AT118" s="1765">
        <v>0</v>
      </c>
      <c r="AU118" s="1765">
        <v>0</v>
      </c>
      <c r="AV118" s="1765">
        <v>0</v>
      </c>
      <c r="AW118" s="1765">
        <v>0</v>
      </c>
      <c r="AX118" s="1765">
        <v>0</v>
      </c>
      <c r="AY118" s="1765">
        <v>0</v>
      </c>
      <c r="AZ118" s="1765">
        <v>0</v>
      </c>
      <c r="BA118" s="1765">
        <v>0</v>
      </c>
      <c r="BB118" s="1765">
        <v>0</v>
      </c>
      <c r="BC118" s="1765">
        <v>0</v>
      </c>
      <c r="BD118" s="1765">
        <v>0</v>
      </c>
      <c r="BE118" s="1765">
        <v>0</v>
      </c>
      <c r="BF118" s="1765">
        <v>0</v>
      </c>
      <c r="BG118" s="1765">
        <v>0</v>
      </c>
      <c r="BH118" s="1765">
        <v>0</v>
      </c>
      <c r="BI118" s="1765">
        <v>0</v>
      </c>
      <c r="BJ118" s="1765">
        <v>0</v>
      </c>
      <c r="BK118" s="1765">
        <v>0</v>
      </c>
      <c r="BL118" s="1765">
        <v>0</v>
      </c>
      <c r="BM118" s="1765">
        <v>0</v>
      </c>
      <c r="BN118" s="1765">
        <v>0</v>
      </c>
      <c r="BO118" s="1765">
        <v>0</v>
      </c>
      <c r="BP118" s="1765">
        <v>0</v>
      </c>
      <c r="BQ118" s="1765">
        <v>0</v>
      </c>
      <c r="BR118" s="1765">
        <v>0</v>
      </c>
      <c r="BS118" s="1765">
        <v>0</v>
      </c>
      <c r="BT118" s="1765">
        <v>0</v>
      </c>
      <c r="BU118" s="1765">
        <v>0</v>
      </c>
      <c r="BV118" s="1765">
        <v>0</v>
      </c>
      <c r="BW118" s="1765">
        <v>0</v>
      </c>
      <c r="BX118" s="1765">
        <v>0</v>
      </c>
      <c r="BY118" s="1765">
        <v>0</v>
      </c>
      <c r="BZ118" s="1765">
        <v>0</v>
      </c>
      <c r="CA118" s="1765">
        <v>0</v>
      </c>
      <c r="CB118" s="1765">
        <v>0</v>
      </c>
      <c r="CC118" s="1765">
        <v>0</v>
      </c>
      <c r="CD118" s="1765">
        <v>0</v>
      </c>
      <c r="CE118" s="1765">
        <v>0</v>
      </c>
      <c r="CF118" s="1765">
        <v>0</v>
      </c>
      <c r="CG118" s="1765">
        <v>0</v>
      </c>
      <c r="CH118" s="1765">
        <v>0</v>
      </c>
      <c r="CI118" s="1765">
        <v>0</v>
      </c>
      <c r="CJ118" s="1765">
        <v>0</v>
      </c>
      <c r="CK118" s="1765">
        <v>0</v>
      </c>
      <c r="CL118" s="1765">
        <v>0</v>
      </c>
      <c r="CM118" s="1765">
        <v>0</v>
      </c>
      <c r="CN118" s="1765">
        <v>0</v>
      </c>
      <c r="CO118" s="1765">
        <v>0</v>
      </c>
      <c r="CP118" s="1765">
        <v>0</v>
      </c>
      <c r="CQ118" s="1765">
        <v>0</v>
      </c>
      <c r="CR118" s="1765">
        <v>0</v>
      </c>
      <c r="CS118" s="1765">
        <v>0</v>
      </c>
      <c r="CT118" s="1765">
        <v>0</v>
      </c>
      <c r="CU118" s="1765">
        <v>0</v>
      </c>
      <c r="CV118" s="1765">
        <v>0</v>
      </c>
      <c r="CW118" s="1765">
        <v>0</v>
      </c>
      <c r="CX118" s="1765">
        <v>0</v>
      </c>
      <c r="CY118" s="1765">
        <v>0</v>
      </c>
      <c r="CZ118" s="1765">
        <v>0</v>
      </c>
      <c r="DA118" s="1765">
        <v>0</v>
      </c>
      <c r="DB118" s="1765">
        <v>0</v>
      </c>
      <c r="DC118" s="1765">
        <v>0</v>
      </c>
      <c r="DD118" s="1765">
        <v>0</v>
      </c>
      <c r="DE118" s="1765">
        <v>0</v>
      </c>
      <c r="DF118" s="1765">
        <v>0</v>
      </c>
      <c r="DG118" s="1765">
        <v>0</v>
      </c>
      <c r="DH118" s="1765">
        <v>0</v>
      </c>
      <c r="DI118" s="1765">
        <v>0</v>
      </c>
      <c r="DJ118" s="1765">
        <v>0</v>
      </c>
      <c r="DK118" s="1765">
        <v>0</v>
      </c>
      <c r="DL118" s="1765">
        <v>0</v>
      </c>
      <c r="DM118" s="1765">
        <v>0</v>
      </c>
      <c r="DN118" s="1765">
        <v>0</v>
      </c>
      <c r="DO118" s="1765">
        <v>0</v>
      </c>
      <c r="DP118" s="1765">
        <v>0</v>
      </c>
      <c r="DQ118" s="1765">
        <v>0</v>
      </c>
      <c r="DR118" s="1765">
        <v>0</v>
      </c>
      <c r="DS118" s="1765">
        <v>0</v>
      </c>
      <c r="DT118" s="1765">
        <v>0</v>
      </c>
      <c r="DU118" s="1765">
        <v>0</v>
      </c>
      <c r="DV118" s="1765">
        <v>0</v>
      </c>
      <c r="DW118" s="1765">
        <v>0</v>
      </c>
      <c r="DX118" s="1765">
        <v>0</v>
      </c>
      <c r="DY118" s="1765">
        <v>0</v>
      </c>
      <c r="DZ118" s="1765">
        <v>0</v>
      </c>
      <c r="EA118" s="1765">
        <v>0</v>
      </c>
      <c r="EB118" s="1765">
        <v>0</v>
      </c>
      <c r="EC118" s="1765">
        <v>0</v>
      </c>
      <c r="ED118" s="1765">
        <v>0</v>
      </c>
      <c r="EE118" s="1765">
        <v>0</v>
      </c>
      <c r="EF118" s="1765">
        <v>0</v>
      </c>
      <c r="EG118" s="1765">
        <v>0</v>
      </c>
      <c r="EH118" s="1765">
        <v>0</v>
      </c>
      <c r="EI118" s="1765">
        <v>0</v>
      </c>
      <c r="EJ118" s="1765">
        <v>0</v>
      </c>
      <c r="EK118" s="1765">
        <v>0</v>
      </c>
      <c r="EL118" s="1765">
        <v>0</v>
      </c>
      <c r="EM118" s="1765">
        <v>0</v>
      </c>
      <c r="EN118" s="1765">
        <v>0</v>
      </c>
      <c r="EO118" s="1765">
        <v>0</v>
      </c>
      <c r="EP118" s="1765">
        <v>0</v>
      </c>
      <c r="EQ118" s="1765">
        <v>0</v>
      </c>
    </row>
    <row r="119" spans="2:147" ht="11.25" customHeight="1">
      <c r="B119" s="218"/>
      <c r="C119" s="163"/>
      <c r="D119" s="1662" t="s">
        <v>469</v>
      </c>
      <c r="E119" s="1663"/>
      <c r="F119" s="1663"/>
      <c r="G119" s="1667"/>
      <c r="H119" s="1664"/>
      <c r="I119" s="1665"/>
      <c r="J119" s="1666">
        <f>SUM(L119:EQ119)</f>
        <v>0</v>
      </c>
      <c r="K119" s="98"/>
      <c r="L119" s="1666">
        <v>0</v>
      </c>
      <c r="M119" s="1666">
        <v>0</v>
      </c>
      <c r="N119" s="1666">
        <v>0</v>
      </c>
      <c r="O119" s="1666">
        <v>0</v>
      </c>
      <c r="P119" s="1666">
        <v>0</v>
      </c>
      <c r="Q119" s="1666">
        <v>0</v>
      </c>
      <c r="R119" s="1666">
        <v>0</v>
      </c>
      <c r="S119" s="1666">
        <v>0</v>
      </c>
      <c r="T119" s="1666">
        <v>0</v>
      </c>
      <c r="U119" s="1666">
        <v>0</v>
      </c>
      <c r="V119" s="1666">
        <v>0</v>
      </c>
      <c r="W119" s="1666">
        <v>0</v>
      </c>
      <c r="X119" s="1666">
        <v>0</v>
      </c>
      <c r="Y119" s="1666">
        <v>0</v>
      </c>
      <c r="Z119" s="1666">
        <v>0</v>
      </c>
      <c r="AA119" s="1666">
        <v>0</v>
      </c>
      <c r="AB119" s="1666">
        <v>0</v>
      </c>
      <c r="AC119" s="1666">
        <v>0</v>
      </c>
      <c r="AD119" s="1666">
        <v>0</v>
      </c>
      <c r="AE119" s="1666">
        <v>0</v>
      </c>
      <c r="AF119" s="1666">
        <v>0</v>
      </c>
      <c r="AG119" s="1666">
        <v>0</v>
      </c>
      <c r="AH119" s="1666">
        <v>0</v>
      </c>
      <c r="AI119" s="1666">
        <v>0</v>
      </c>
      <c r="AJ119" s="1666">
        <v>0</v>
      </c>
      <c r="AK119" s="1666">
        <v>0</v>
      </c>
      <c r="AL119" s="1666">
        <v>0</v>
      </c>
      <c r="AM119" s="1666">
        <v>0</v>
      </c>
      <c r="AN119" s="1666">
        <v>0</v>
      </c>
      <c r="AO119" s="1666">
        <v>0</v>
      </c>
      <c r="AP119" s="1666">
        <v>0</v>
      </c>
      <c r="AQ119" s="1666">
        <v>0</v>
      </c>
      <c r="AR119" s="1666">
        <v>0</v>
      </c>
      <c r="AS119" s="1666">
        <v>0</v>
      </c>
      <c r="AT119" s="1666">
        <v>0</v>
      </c>
      <c r="AU119" s="1666">
        <v>0</v>
      </c>
      <c r="AV119" s="1666">
        <v>0</v>
      </c>
      <c r="AW119" s="1666">
        <v>0</v>
      </c>
      <c r="AX119" s="1666">
        <v>0</v>
      </c>
      <c r="AY119" s="1666">
        <v>0</v>
      </c>
      <c r="AZ119" s="1666">
        <v>0</v>
      </c>
      <c r="BA119" s="1666">
        <v>0</v>
      </c>
      <c r="BB119" s="1666">
        <v>0</v>
      </c>
      <c r="BC119" s="1666">
        <v>0</v>
      </c>
      <c r="BD119" s="1666">
        <v>0</v>
      </c>
      <c r="BE119" s="1666">
        <v>0</v>
      </c>
      <c r="BF119" s="1666">
        <v>0</v>
      </c>
      <c r="BG119" s="1666">
        <v>0</v>
      </c>
      <c r="BH119" s="1666">
        <v>0</v>
      </c>
      <c r="BI119" s="1666">
        <v>0</v>
      </c>
      <c r="BJ119" s="1666">
        <v>0</v>
      </c>
      <c r="BK119" s="1666">
        <v>0</v>
      </c>
      <c r="BL119" s="1666">
        <v>0</v>
      </c>
      <c r="BM119" s="1666">
        <v>0</v>
      </c>
      <c r="BN119" s="1666">
        <v>0</v>
      </c>
      <c r="BO119" s="1666">
        <v>0</v>
      </c>
      <c r="BP119" s="1666">
        <v>0</v>
      </c>
      <c r="BQ119" s="1666">
        <v>0</v>
      </c>
      <c r="BR119" s="1666">
        <v>0</v>
      </c>
      <c r="BS119" s="1666">
        <v>0</v>
      </c>
      <c r="BT119" s="1666">
        <v>0</v>
      </c>
      <c r="BU119" s="1666">
        <v>0</v>
      </c>
      <c r="BV119" s="1666">
        <v>0</v>
      </c>
      <c r="BW119" s="1666">
        <v>0</v>
      </c>
      <c r="BX119" s="1666">
        <v>0</v>
      </c>
      <c r="BY119" s="1666">
        <v>0</v>
      </c>
      <c r="BZ119" s="1666">
        <v>0</v>
      </c>
      <c r="CA119" s="1666">
        <v>0</v>
      </c>
      <c r="CB119" s="1666">
        <v>0</v>
      </c>
      <c r="CC119" s="1666">
        <v>0</v>
      </c>
      <c r="CD119" s="1666">
        <v>0</v>
      </c>
      <c r="CE119" s="1666">
        <v>0</v>
      </c>
      <c r="CF119" s="1666">
        <v>0</v>
      </c>
      <c r="CG119" s="1666">
        <v>0</v>
      </c>
      <c r="CH119" s="1666">
        <v>0</v>
      </c>
      <c r="CI119" s="1666">
        <v>0</v>
      </c>
      <c r="CJ119" s="1666">
        <v>0</v>
      </c>
      <c r="CK119" s="1666">
        <v>0</v>
      </c>
      <c r="CL119" s="1666">
        <v>0</v>
      </c>
      <c r="CM119" s="1666">
        <v>0</v>
      </c>
      <c r="CN119" s="1666">
        <v>0</v>
      </c>
      <c r="CO119" s="1666">
        <v>0</v>
      </c>
      <c r="CP119" s="1666">
        <v>0</v>
      </c>
      <c r="CQ119" s="1666">
        <v>0</v>
      </c>
      <c r="CR119" s="1666">
        <v>0</v>
      </c>
      <c r="CS119" s="1666">
        <v>0</v>
      </c>
      <c r="CT119" s="1666">
        <v>0</v>
      </c>
      <c r="CU119" s="1666">
        <v>0</v>
      </c>
      <c r="CV119" s="1666">
        <v>0</v>
      </c>
      <c r="CW119" s="1666">
        <v>0</v>
      </c>
      <c r="CX119" s="1666">
        <v>0</v>
      </c>
      <c r="CY119" s="1666">
        <v>0</v>
      </c>
      <c r="CZ119" s="1666">
        <v>0</v>
      </c>
      <c r="DA119" s="1666">
        <v>0</v>
      </c>
      <c r="DB119" s="1666">
        <v>0</v>
      </c>
      <c r="DC119" s="1666">
        <v>0</v>
      </c>
      <c r="DD119" s="1666">
        <v>0</v>
      </c>
      <c r="DE119" s="1666">
        <v>0</v>
      </c>
      <c r="DF119" s="1666">
        <v>0</v>
      </c>
      <c r="DG119" s="1666">
        <v>0</v>
      </c>
      <c r="DH119" s="1666">
        <v>0</v>
      </c>
      <c r="DI119" s="1666">
        <v>0</v>
      </c>
      <c r="DJ119" s="1666">
        <v>0</v>
      </c>
      <c r="DK119" s="1666">
        <v>0</v>
      </c>
      <c r="DL119" s="1666">
        <v>0</v>
      </c>
      <c r="DM119" s="1666">
        <v>0</v>
      </c>
      <c r="DN119" s="1666">
        <v>0</v>
      </c>
      <c r="DO119" s="1666">
        <v>0</v>
      </c>
      <c r="DP119" s="1666">
        <v>0</v>
      </c>
      <c r="DQ119" s="1666">
        <v>0</v>
      </c>
      <c r="DR119" s="1666">
        <v>0</v>
      </c>
      <c r="DS119" s="1666">
        <v>0</v>
      </c>
      <c r="DT119" s="1666">
        <v>0</v>
      </c>
      <c r="DU119" s="1666">
        <v>0</v>
      </c>
      <c r="DV119" s="1666">
        <v>0</v>
      </c>
      <c r="DW119" s="1666">
        <v>0</v>
      </c>
      <c r="DX119" s="1666">
        <v>0</v>
      </c>
      <c r="DY119" s="1666">
        <v>0</v>
      </c>
      <c r="DZ119" s="1666">
        <v>0</v>
      </c>
      <c r="EA119" s="1666">
        <v>0</v>
      </c>
      <c r="EB119" s="1666">
        <v>0</v>
      </c>
      <c r="EC119" s="1666">
        <v>0</v>
      </c>
      <c r="ED119" s="1666">
        <v>0</v>
      </c>
      <c r="EE119" s="1666">
        <v>0</v>
      </c>
      <c r="EF119" s="1666">
        <v>0</v>
      </c>
      <c r="EG119" s="1666">
        <v>0</v>
      </c>
      <c r="EH119" s="1666">
        <v>0</v>
      </c>
      <c r="EI119" s="1666">
        <v>0</v>
      </c>
      <c r="EJ119" s="1666">
        <v>0</v>
      </c>
      <c r="EK119" s="1666">
        <v>0</v>
      </c>
      <c r="EL119" s="1666">
        <v>0</v>
      </c>
      <c r="EM119" s="1666">
        <v>0</v>
      </c>
      <c r="EN119" s="1666">
        <v>0</v>
      </c>
      <c r="EO119" s="1666">
        <v>0</v>
      </c>
      <c r="EP119" s="1666">
        <v>0</v>
      </c>
      <c r="EQ119" s="1666">
        <v>0</v>
      </c>
    </row>
    <row r="120" spans="2:147" ht="11.25" customHeight="1">
      <c r="B120" s="230" t="s">
        <v>212</v>
      </c>
      <c r="C120" s="231"/>
      <c r="D120" s="231"/>
      <c r="E120" s="231"/>
      <c r="F120" s="231"/>
      <c r="G120" s="231"/>
      <c r="H120" s="232"/>
      <c r="I120" s="233"/>
      <c r="J120" s="234">
        <f ca="1">SUM(J14,J54,J67)</f>
        <v>0</v>
      </c>
      <c r="L120" s="235">
        <f t="shared" ref="L120:AQ120" ca="1" si="94">SUM(L14,L54,L67)</f>
        <v>10000000</v>
      </c>
      <c r="M120" s="235">
        <f t="shared" ca="1" si="94"/>
        <v>588048.03441675252</v>
      </c>
      <c r="N120" s="235">
        <f t="shared" ca="1" si="94"/>
        <v>1318973.1473344613</v>
      </c>
      <c r="O120" s="235">
        <f t="shared" ca="1" si="94"/>
        <v>-1974167.6208490655</v>
      </c>
      <c r="P120" s="235">
        <f t="shared" ca="1" si="94"/>
        <v>1235796.5030349561</v>
      </c>
      <c r="Q120" s="235">
        <f t="shared" ca="1" si="94"/>
        <v>1311560.1396099559</v>
      </c>
      <c r="R120" s="235">
        <f t="shared" ca="1" si="94"/>
        <v>-4996201.7986780582</v>
      </c>
      <c r="S120" s="235">
        <f t="shared" ca="1" si="94"/>
        <v>1206099.7930400812</v>
      </c>
      <c r="T120" s="235">
        <f t="shared" ca="1" si="94"/>
        <v>1395264.8032775812</v>
      </c>
      <c r="U120" s="235">
        <f t="shared" ca="1" si="94"/>
        <v>-1680670.0115651158</v>
      </c>
      <c r="V120" s="235">
        <f t="shared" ca="1" si="94"/>
        <v>1396463.713490081</v>
      </c>
      <c r="W120" s="235">
        <f t="shared" ca="1" si="94"/>
        <v>1035119.0118234146</v>
      </c>
      <c r="X120" s="235">
        <f t="shared" ca="1" si="94"/>
        <v>-5000367.3713720581</v>
      </c>
      <c r="Y120" s="235">
        <f t="shared" ca="1" si="94"/>
        <v>645788.02173089189</v>
      </c>
      <c r="Z120" s="235">
        <f t="shared" ca="1" si="94"/>
        <v>1241894.5047215431</v>
      </c>
      <c r="AA120" s="235">
        <f t="shared" ca="1" si="94"/>
        <v>-1757064.217321323</v>
      </c>
      <c r="AB120" s="235">
        <f t="shared" ca="1" si="94"/>
        <v>1264067.6658895505</v>
      </c>
      <c r="AC120" s="235">
        <f t="shared" ca="1" si="94"/>
        <v>1341725.3933789253</v>
      </c>
      <c r="AD120" s="235">
        <f t="shared" ca="1" si="94"/>
        <v>-4419176.2779993247</v>
      </c>
      <c r="AE120" s="235">
        <f t="shared" ca="1" si="94"/>
        <v>1233628.5381448036</v>
      </c>
      <c r="AF120" s="235">
        <f t="shared" ca="1" si="94"/>
        <v>1427522.6736382411</v>
      </c>
      <c r="AG120" s="235">
        <f t="shared" ca="1" si="94"/>
        <v>-1711717.0337166754</v>
      </c>
      <c r="AH120" s="235">
        <f t="shared" ca="1" si="94"/>
        <v>1428751.5566060534</v>
      </c>
      <c r="AI120" s="235">
        <f t="shared" ca="1" si="94"/>
        <v>1039977.5071310536</v>
      </c>
      <c r="AJ120" s="235">
        <f t="shared" ca="1" si="94"/>
        <v>576554.00998932519</v>
      </c>
      <c r="AK120" s="235">
        <f t="shared" ca="1" si="94"/>
        <v>714759.92320732656</v>
      </c>
      <c r="AL120" s="235">
        <f t="shared" ca="1" si="94"/>
        <v>1270967.1318641605</v>
      </c>
      <c r="AM120" s="235">
        <f t="shared" ca="1" si="94"/>
        <v>-1641001.2726704322</v>
      </c>
      <c r="AN120" s="235">
        <f t="shared" ca="1" si="94"/>
        <v>1452268.9046576698</v>
      </c>
      <c r="AO120" s="235">
        <f t="shared" ca="1" si="94"/>
        <v>1372646.4214528105</v>
      </c>
      <c r="AP120" s="235">
        <f t="shared" ca="1" si="94"/>
        <v>-4487069.5721503384</v>
      </c>
      <c r="AQ120" s="235">
        <f t="shared" ca="1" si="94"/>
        <v>1461848.2387606164</v>
      </c>
      <c r="AR120" s="235">
        <f t="shared" ref="AR120:BW120" ca="1" si="95">SUM(AR14,AR54,AR67)</f>
        <v>292484.09332062706</v>
      </c>
      <c r="AS120" s="235">
        <f t="shared" ca="1" si="95"/>
        <v>-2715209.099308819</v>
      </c>
      <c r="AT120" s="235">
        <f t="shared" ca="1" si="95"/>
        <v>251180.24613702099</v>
      </c>
      <c r="AU120" s="235">
        <f t="shared" ca="1" si="95"/>
        <v>-56523.960821467976</v>
      </c>
      <c r="AV120" s="235">
        <f t="shared" ca="1" si="95"/>
        <v>-5302738.4299539914</v>
      </c>
      <c r="AW120" s="235">
        <f t="shared" ca="1" si="95"/>
        <v>794763.54862060945</v>
      </c>
      <c r="AX120" s="235">
        <f t="shared" ca="1" si="95"/>
        <v>1365418.08206142</v>
      </c>
      <c r="AY120" s="235">
        <f t="shared" ca="1" si="95"/>
        <v>-1538662.6809040736</v>
      </c>
      <c r="AZ120" s="235">
        <f t="shared" ca="1" si="95"/>
        <v>1495454.9335468265</v>
      </c>
      <c r="BA120" s="235">
        <f t="shared" ca="1" si="95"/>
        <v>1444262.1721594813</v>
      </c>
      <c r="BB120" s="235">
        <f t="shared" ca="1" si="95"/>
        <v>-4322719.3657354936</v>
      </c>
      <c r="BC120" s="235">
        <f t="shared" ca="1" si="95"/>
        <v>1535017.350932894</v>
      </c>
      <c r="BD120" s="235">
        <f t="shared" ca="1" si="95"/>
        <v>1535631.762133864</v>
      </c>
      <c r="BE120" s="235">
        <f t="shared" ca="1" si="95"/>
        <v>-1733435.1288387307</v>
      </c>
      <c r="BF120" s="235">
        <f t="shared" ca="1" si="95"/>
        <v>1539393.6737225831</v>
      </c>
      <c r="BG120" s="235">
        <f t="shared" ca="1" si="95"/>
        <v>1162195.3715707015</v>
      </c>
      <c r="BH120" s="235">
        <f t="shared" ca="1" si="95"/>
        <v>-4038803.0295213116</v>
      </c>
      <c r="BI120" s="235">
        <f t="shared" ca="1" si="95"/>
        <v>853580.82256564125</v>
      </c>
      <c r="BJ120" s="235">
        <f t="shared" ca="1" si="95"/>
        <v>1407659.7053600689</v>
      </c>
      <c r="BK120" s="235">
        <f t="shared" ca="1" si="95"/>
        <v>-1506559.5517574302</v>
      </c>
      <c r="BL120" s="235">
        <f t="shared" ca="1" si="95"/>
        <v>1564286.8011469315</v>
      </c>
      <c r="BM120" s="235">
        <f t="shared" ca="1" si="95"/>
        <v>1480633.429729826</v>
      </c>
      <c r="BN120" s="235">
        <f t="shared" ca="1" si="95"/>
        <v>-3799601.2070450373</v>
      </c>
      <c r="BO120" s="235">
        <f t="shared" ca="1" si="95"/>
        <v>1574349.532219687</v>
      </c>
      <c r="BP120" s="235">
        <f t="shared" ca="1" si="95"/>
        <v>1574349.532219687</v>
      </c>
      <c r="BQ120" s="235">
        <f t="shared" ca="1" si="95"/>
        <v>-1712681.5936118828</v>
      </c>
      <c r="BR120" s="235">
        <f t="shared" ca="1" si="95"/>
        <v>1578205.4915981244</v>
      </c>
      <c r="BS120" s="235">
        <f t="shared" ca="1" si="95"/>
        <v>1206665.1639785208</v>
      </c>
      <c r="BT120" s="235">
        <f t="shared" ca="1" si="95"/>
        <v>-4220888.1264041327</v>
      </c>
      <c r="BU120" s="235">
        <f t="shared" ca="1" si="95"/>
        <v>906059.40780073369</v>
      </c>
      <c r="BV120" s="235">
        <f t="shared" ca="1" si="95"/>
        <v>1443867.5684697293</v>
      </c>
      <c r="BW120" s="235">
        <f t="shared" ca="1" si="95"/>
        <v>-1318565.3539933902</v>
      </c>
      <c r="BX120" s="235">
        <f t="shared" ref="BX120:DC120" ca="1" si="96">SUM(BX14,BX54,BX67)</f>
        <v>1603723.3460644742</v>
      </c>
      <c r="BY120" s="235">
        <f t="shared" ca="1" si="96"/>
        <v>1517978.640361941</v>
      </c>
      <c r="BZ120" s="235">
        <f t="shared" ca="1" si="96"/>
        <v>-4153063.6087034876</v>
      </c>
      <c r="CA120" s="235">
        <f t="shared" ca="1" si="96"/>
        <v>1614037.6454140488</v>
      </c>
      <c r="CB120" s="235">
        <f t="shared" ca="1" si="96"/>
        <v>1614037.6454140488</v>
      </c>
      <c r="CC120" s="235">
        <f t="shared" ca="1" si="96"/>
        <v>-1528716.1311127581</v>
      </c>
      <c r="CD120" s="235">
        <f t="shared" ca="1" si="96"/>
        <v>1617990.0037769473</v>
      </c>
      <c r="CE120" s="235">
        <f t="shared" ca="1" si="96"/>
        <v>1252022.7810716375</v>
      </c>
      <c r="CF120" s="235">
        <f t="shared" ca="1" si="96"/>
        <v>-4569371.9445639243</v>
      </c>
      <c r="CG120" s="235">
        <f t="shared" ca="1" si="96"/>
        <v>959236.41598088655</v>
      </c>
      <c r="CH120" s="235">
        <f t="shared" ca="1" si="96"/>
        <v>1480997.0201786915</v>
      </c>
      <c r="CI120" s="235">
        <f t="shared" ca="1" si="96"/>
        <v>-1289585.7159502548</v>
      </c>
      <c r="CJ120" s="235">
        <f t="shared" ca="1" si="96"/>
        <v>1644148.4567147803</v>
      </c>
      <c r="CK120" s="235">
        <f t="shared" ca="1" si="96"/>
        <v>1556260.133369684</v>
      </c>
      <c r="CL120" s="235">
        <f t="shared" ca="1" si="96"/>
        <v>-4351056.3102937881</v>
      </c>
      <c r="CM120" s="235">
        <f t="shared" ca="1" si="96"/>
        <v>1654720.6135480942</v>
      </c>
      <c r="CN120" s="235">
        <f t="shared" ca="1" si="96"/>
        <v>1654720.6135480942</v>
      </c>
      <c r="CO120" s="235">
        <f t="shared" ca="1" si="96"/>
        <v>-1503844.0879933231</v>
      </c>
      <c r="CP120" s="235">
        <f t="shared" ca="1" si="96"/>
        <v>1658771.7808700651</v>
      </c>
      <c r="CQ120" s="235">
        <f t="shared" ca="1" si="96"/>
        <v>1298294.0665053353</v>
      </c>
      <c r="CR120" s="235">
        <f t="shared" ca="1" si="96"/>
        <v>-4762662.9864782654</v>
      </c>
      <c r="CS120" s="235">
        <f t="shared" ca="1" si="96"/>
        <v>1013141.8856176417</v>
      </c>
      <c r="CT120" s="235">
        <f t="shared" ca="1" si="96"/>
        <v>1519071.6290621762</v>
      </c>
      <c r="CU120" s="235">
        <f t="shared" ca="1" si="96"/>
        <v>-1259852.706487092</v>
      </c>
      <c r="CV120" s="235">
        <f t="shared" ca="1" si="96"/>
        <v>1685587.1013031718</v>
      </c>
      <c r="CW120" s="235">
        <f t="shared" ca="1" si="96"/>
        <v>1595501.569874448</v>
      </c>
      <c r="CX120" s="235">
        <f t="shared" ca="1" si="96"/>
        <v>-4327157.3289896641</v>
      </c>
      <c r="CY120" s="235">
        <f t="shared" ca="1" si="96"/>
        <v>995749.1232065896</v>
      </c>
      <c r="CZ120" s="235">
        <f t="shared" ca="1" si="96"/>
        <v>1655916.0706290405</v>
      </c>
      <c r="DA120" s="235">
        <f t="shared" ca="1" si="96"/>
        <v>-1447743.8715642449</v>
      </c>
      <c r="DB120" s="235">
        <f t="shared" ca="1" si="96"/>
        <v>1574943.3637811514</v>
      </c>
      <c r="DC120" s="235">
        <f t="shared" ca="1" si="96"/>
        <v>1304997.9684848008</v>
      </c>
      <c r="DD120" s="235">
        <f t="shared" ref="DD120:DP120" ca="1" si="97">SUM(DD14,DD54,DD67)</f>
        <v>-4157643.0172282956</v>
      </c>
      <c r="DE120" s="235">
        <f t="shared" ca="1" si="97"/>
        <v>1027390.6893464874</v>
      </c>
      <c r="DF120" s="235">
        <f t="shared" ca="1" si="97"/>
        <v>1517488.5485067582</v>
      </c>
      <c r="DG120" s="235">
        <f t="shared" ca="1" si="97"/>
        <v>-1268917.6765692867</v>
      </c>
      <c r="DH120" s="235">
        <f t="shared" ca="1" si="97"/>
        <v>1640883.2372718533</v>
      </c>
      <c r="DI120" s="235">
        <f t="shared" ca="1" si="97"/>
        <v>1687321.9374538055</v>
      </c>
      <c r="DJ120" s="235">
        <f t="shared" ca="1" si="97"/>
        <v>-4168261.1359999054</v>
      </c>
      <c r="DK120" s="235">
        <f t="shared" ca="1" si="97"/>
        <v>1697496.6474773227</v>
      </c>
      <c r="DL120" s="235">
        <f t="shared" ca="1" si="97"/>
        <v>1698191.797356192</v>
      </c>
      <c r="DM120" s="235">
        <f t="shared" ca="1" si="97"/>
        <v>-1474454.3711655252</v>
      </c>
      <c r="DN120" s="235">
        <f t="shared" ca="1" si="97"/>
        <v>1702448.0550238374</v>
      </c>
      <c r="DO120" s="235">
        <f t="shared" ca="1" si="97"/>
        <v>1352703.5646043171</v>
      </c>
      <c r="DP120" s="235">
        <f t="shared" ca="1" si="97"/>
        <v>-4128044.3314784709</v>
      </c>
      <c r="DQ120" s="235">
        <f t="shared" ref="DQ120:EQ120" ca="1" si="98">SUM(DQ14,DQ54,DQ67)</f>
        <v>1082374.5755340352</v>
      </c>
      <c r="DR120" s="235">
        <f t="shared" ca="1" si="98"/>
        <v>1557050.6304157618</v>
      </c>
      <c r="DS120" s="235">
        <f t="shared" ca="1" si="98"/>
        <v>-1228126.9931943004</v>
      </c>
      <c r="DT120" s="235">
        <f t="shared" ca="1" si="98"/>
        <v>1729846.4973201042</v>
      </c>
      <c r="DU120" s="235">
        <f t="shared" ca="1" si="98"/>
        <v>1729846.4973201042</v>
      </c>
      <c r="DV120" s="235">
        <f t="shared" ca="1" si="98"/>
        <v>-4104034.6791981491</v>
      </c>
      <c r="DW120" s="235">
        <f t="shared" ca="1" si="98"/>
        <v>1740988.1037200501</v>
      </c>
      <c r="DX120" s="235">
        <f t="shared" ca="1" si="98"/>
        <v>1740988.1037200501</v>
      </c>
      <c r="DY120" s="235">
        <f t="shared" ca="1" si="98"/>
        <v>-1455671.2780481589</v>
      </c>
      <c r="DZ120" s="235">
        <f t="shared" ca="1" si="98"/>
        <v>1745350.7678293868</v>
      </c>
      <c r="EA120" s="235">
        <f t="shared" ca="1" si="98"/>
        <v>1400852.4447661594</v>
      </c>
      <c r="EB120" s="235">
        <f t="shared" ca="1" si="98"/>
        <v>-7376223.4197022319</v>
      </c>
      <c r="EC120" s="235">
        <f t="shared" ca="1" si="98"/>
        <v>0</v>
      </c>
      <c r="ED120" s="235">
        <f t="shared" ca="1" si="98"/>
        <v>0</v>
      </c>
      <c r="EE120" s="235">
        <f t="shared" ca="1" si="98"/>
        <v>0</v>
      </c>
      <c r="EF120" s="235">
        <f t="shared" ca="1" si="98"/>
        <v>0</v>
      </c>
      <c r="EG120" s="235">
        <f t="shared" ca="1" si="98"/>
        <v>0</v>
      </c>
      <c r="EH120" s="235">
        <f t="shared" ca="1" si="98"/>
        <v>0</v>
      </c>
      <c r="EI120" s="235">
        <f t="shared" ca="1" si="98"/>
        <v>0</v>
      </c>
      <c r="EJ120" s="235">
        <f t="shared" ca="1" si="98"/>
        <v>0</v>
      </c>
      <c r="EK120" s="235">
        <f t="shared" ca="1" si="98"/>
        <v>0</v>
      </c>
      <c r="EL120" s="235">
        <f t="shared" ca="1" si="98"/>
        <v>0</v>
      </c>
      <c r="EM120" s="235">
        <f t="shared" ca="1" si="98"/>
        <v>0</v>
      </c>
      <c r="EN120" s="235">
        <f t="shared" ca="1" si="98"/>
        <v>0</v>
      </c>
      <c r="EO120" s="235">
        <f t="shared" ca="1" si="98"/>
        <v>0</v>
      </c>
      <c r="EP120" s="235">
        <f t="shared" ca="1" si="98"/>
        <v>0</v>
      </c>
      <c r="EQ120" s="235">
        <f t="shared" ca="1" si="98"/>
        <v>0</v>
      </c>
    </row>
    <row r="121" spans="2:147" ht="11.25" customHeight="1">
      <c r="B121" s="223" t="s">
        <v>213</v>
      </c>
      <c r="C121" s="224"/>
      <c r="D121" s="224"/>
      <c r="E121" s="224"/>
      <c r="F121" s="224"/>
      <c r="G121" s="224"/>
      <c r="H121" s="225"/>
      <c r="I121" s="226"/>
      <c r="J121" s="236">
        <f>L121</f>
        <v>0</v>
      </c>
      <c r="L121" s="216">
        <v>0</v>
      </c>
      <c r="M121" s="216">
        <f ca="1">L122</f>
        <v>10000000</v>
      </c>
      <c r="N121" s="216">
        <f t="shared" ref="N121:BY121" ca="1" si="99">M122</f>
        <v>10588048.034416752</v>
      </c>
      <c r="O121" s="216">
        <f t="shared" ca="1" si="99"/>
        <v>11907021.181751214</v>
      </c>
      <c r="P121" s="216">
        <f t="shared" ca="1" si="99"/>
        <v>9932853.5609021485</v>
      </c>
      <c r="Q121" s="216">
        <f t="shared" ca="1" si="99"/>
        <v>11168650.063937105</v>
      </c>
      <c r="R121" s="216">
        <f t="shared" ca="1" si="99"/>
        <v>12480210.20354706</v>
      </c>
      <c r="S121" s="216">
        <f t="shared" ca="1" si="99"/>
        <v>7484008.4048690023</v>
      </c>
      <c r="T121" s="216">
        <f t="shared" ca="1" si="99"/>
        <v>8690108.1979090832</v>
      </c>
      <c r="U121" s="216">
        <f t="shared" ca="1" si="99"/>
        <v>10085373.001186665</v>
      </c>
      <c r="V121" s="216">
        <f t="shared" ca="1" si="99"/>
        <v>8404702.9896215498</v>
      </c>
      <c r="W121" s="216">
        <f t="shared" ca="1" si="99"/>
        <v>9801166.7031116299</v>
      </c>
      <c r="X121" s="216">
        <f t="shared" ca="1" si="99"/>
        <v>10836285.714935044</v>
      </c>
      <c r="Y121" s="216">
        <f t="shared" ca="1" si="99"/>
        <v>5835918.3435629858</v>
      </c>
      <c r="Z121" s="216">
        <f t="shared" ca="1" si="99"/>
        <v>6481706.3652938772</v>
      </c>
      <c r="AA121" s="216">
        <f t="shared" ca="1" si="99"/>
        <v>7723600.87001542</v>
      </c>
      <c r="AB121" s="216">
        <f t="shared" ca="1" si="99"/>
        <v>5966536.6526940968</v>
      </c>
      <c r="AC121" s="216">
        <f t="shared" ca="1" si="99"/>
        <v>7230604.3185836468</v>
      </c>
      <c r="AD121" s="216">
        <f t="shared" ca="1" si="99"/>
        <v>8572329.7119625714</v>
      </c>
      <c r="AE121" s="216">
        <f t="shared" ca="1" si="99"/>
        <v>4153153.4339632466</v>
      </c>
      <c r="AF121" s="216">
        <f t="shared" ca="1" si="99"/>
        <v>5386781.9721080502</v>
      </c>
      <c r="AG121" s="216">
        <f t="shared" ca="1" si="99"/>
        <v>6814304.6457462916</v>
      </c>
      <c r="AH121" s="216">
        <f t="shared" ca="1" si="99"/>
        <v>5102587.6120296158</v>
      </c>
      <c r="AI121" s="216">
        <f t="shared" ca="1" si="99"/>
        <v>6531339.1686356692</v>
      </c>
      <c r="AJ121" s="2610">
        <f t="shared" ca="1" si="99"/>
        <v>7571316.6757667232</v>
      </c>
      <c r="AK121" s="216">
        <f t="shared" ca="1" si="99"/>
        <v>8147870.6857560482</v>
      </c>
      <c r="AL121" s="216">
        <f t="shared" ca="1" si="99"/>
        <v>8862630.608963374</v>
      </c>
      <c r="AM121" s="216">
        <f t="shared" ca="1" si="99"/>
        <v>10133597.740827534</v>
      </c>
      <c r="AN121" s="216">
        <f t="shared" ca="1" si="99"/>
        <v>8492596.4681571014</v>
      </c>
      <c r="AO121" s="216">
        <f t="shared" ca="1" si="99"/>
        <v>9944865.3728147708</v>
      </c>
      <c r="AP121" s="216">
        <f t="shared" ca="1" si="99"/>
        <v>11317511.794267582</v>
      </c>
      <c r="AQ121" s="216">
        <f t="shared" ca="1" si="99"/>
        <v>6830442.2221172433</v>
      </c>
      <c r="AR121" s="216">
        <f t="shared" ca="1" si="99"/>
        <v>8292290.46087786</v>
      </c>
      <c r="AS121" s="216">
        <f t="shared" ca="1" si="99"/>
        <v>8584774.5541984867</v>
      </c>
      <c r="AT121" s="216">
        <f t="shared" ca="1" si="99"/>
        <v>5869565.4548896682</v>
      </c>
      <c r="AU121" s="216">
        <f t="shared" ca="1" si="99"/>
        <v>6120745.7010266893</v>
      </c>
      <c r="AV121" s="216">
        <f t="shared" ca="1" si="99"/>
        <v>6064221.7402052209</v>
      </c>
      <c r="AW121" s="216">
        <f t="shared" ca="1" si="99"/>
        <v>761483.31025122944</v>
      </c>
      <c r="AX121" s="216">
        <f t="shared" ca="1" si="99"/>
        <v>1556246.858871839</v>
      </c>
      <c r="AY121" s="216">
        <f t="shared" ca="1" si="99"/>
        <v>2921664.9409332592</v>
      </c>
      <c r="AZ121" s="216">
        <f t="shared" ca="1" si="99"/>
        <v>1383002.2600291856</v>
      </c>
      <c r="BA121" s="216">
        <f t="shared" ca="1" si="99"/>
        <v>2878457.1935760118</v>
      </c>
      <c r="BB121" s="216">
        <f t="shared" ca="1" si="99"/>
        <v>4322719.3657354936</v>
      </c>
      <c r="BC121" s="216">
        <f t="shared" ca="1" si="99"/>
        <v>0</v>
      </c>
      <c r="BD121" s="216">
        <f t="shared" ca="1" si="99"/>
        <v>1535017.350932894</v>
      </c>
      <c r="BE121" s="216">
        <f t="shared" ca="1" si="99"/>
        <v>3070649.113066758</v>
      </c>
      <c r="BF121" s="216">
        <f t="shared" ca="1" si="99"/>
        <v>1337213.9842280273</v>
      </c>
      <c r="BG121" s="216">
        <f t="shared" ca="1" si="99"/>
        <v>2876607.6579506104</v>
      </c>
      <c r="BH121" s="216">
        <f t="shared" ca="1" si="99"/>
        <v>4038803.0295213116</v>
      </c>
      <c r="BI121" s="216">
        <f t="shared" ca="1" si="99"/>
        <v>0</v>
      </c>
      <c r="BJ121" s="216">
        <f t="shared" ca="1" si="99"/>
        <v>853580.82256564125</v>
      </c>
      <c r="BK121" s="216">
        <f t="shared" ca="1" si="99"/>
        <v>2261240.5279257102</v>
      </c>
      <c r="BL121" s="216">
        <f t="shared" ca="1" si="99"/>
        <v>754680.97616828</v>
      </c>
      <c r="BM121" s="216">
        <f t="shared" ca="1" si="99"/>
        <v>2318967.7773152115</v>
      </c>
      <c r="BN121" s="216">
        <f t="shared" ca="1" si="99"/>
        <v>3799601.2070450373</v>
      </c>
      <c r="BO121" s="216">
        <f t="shared" ca="1" si="99"/>
        <v>0</v>
      </c>
      <c r="BP121" s="216">
        <f t="shared" ca="1" si="99"/>
        <v>1574349.532219687</v>
      </c>
      <c r="BQ121" s="216">
        <f t="shared" ca="1" si="99"/>
        <v>3148699.064439374</v>
      </c>
      <c r="BR121" s="216">
        <f t="shared" ca="1" si="99"/>
        <v>1436017.4708274913</v>
      </c>
      <c r="BS121" s="216">
        <f t="shared" ca="1" si="99"/>
        <v>3014222.9624256156</v>
      </c>
      <c r="BT121" s="216">
        <f t="shared" ca="1" si="99"/>
        <v>4220888.1264041364</v>
      </c>
      <c r="BU121" s="216">
        <f t="shared" ca="1" si="99"/>
        <v>0</v>
      </c>
      <c r="BV121" s="216">
        <f t="shared" ca="1" si="99"/>
        <v>906059.40780073369</v>
      </c>
      <c r="BW121" s="216">
        <f t="shared" ca="1" si="99"/>
        <v>2349926.9762704629</v>
      </c>
      <c r="BX121" s="216">
        <f t="shared" ca="1" si="99"/>
        <v>1031361.6222770726</v>
      </c>
      <c r="BY121" s="216">
        <f t="shared" ca="1" si="99"/>
        <v>2635084.9683415471</v>
      </c>
      <c r="BZ121" s="216">
        <f t="shared" ref="BZ121:DP121" ca="1" si="100">BY122</f>
        <v>4153063.608703488</v>
      </c>
      <c r="CA121" s="216">
        <f t="shared" ca="1" si="100"/>
        <v>0</v>
      </c>
      <c r="CB121" s="216">
        <f t="shared" ca="1" si="100"/>
        <v>1614037.6454140488</v>
      </c>
      <c r="CC121" s="216">
        <f t="shared" ca="1" si="100"/>
        <v>3228075.2908280976</v>
      </c>
      <c r="CD121" s="216">
        <f t="shared" ca="1" si="100"/>
        <v>1699359.1597153395</v>
      </c>
      <c r="CE121" s="216">
        <f t="shared" ca="1" si="100"/>
        <v>3317349.1634922866</v>
      </c>
      <c r="CF121" s="216">
        <f t="shared" ca="1" si="100"/>
        <v>4569371.9445639243</v>
      </c>
      <c r="CG121" s="216">
        <f t="shared" ca="1" si="100"/>
        <v>0</v>
      </c>
      <c r="CH121" s="216">
        <f t="shared" ca="1" si="100"/>
        <v>959236.41598088655</v>
      </c>
      <c r="CI121" s="216">
        <f t="shared" ca="1" si="100"/>
        <v>2440233.4361595782</v>
      </c>
      <c r="CJ121" s="216">
        <f t="shared" ca="1" si="100"/>
        <v>1150647.7202093233</v>
      </c>
      <c r="CK121" s="216">
        <f t="shared" ca="1" si="100"/>
        <v>2794796.1769241039</v>
      </c>
      <c r="CL121" s="216">
        <f t="shared" ca="1" si="100"/>
        <v>4351056.3102937881</v>
      </c>
      <c r="CM121" s="216">
        <f t="shared" ca="1" si="100"/>
        <v>0</v>
      </c>
      <c r="CN121" s="216">
        <f t="shared" ca="1" si="100"/>
        <v>1654720.6135480942</v>
      </c>
      <c r="CO121" s="216">
        <f t="shared" ca="1" si="100"/>
        <v>3309441.2270961883</v>
      </c>
      <c r="CP121" s="216">
        <f t="shared" ca="1" si="100"/>
        <v>1805597.1391028652</v>
      </c>
      <c r="CQ121" s="216">
        <f t="shared" ca="1" si="100"/>
        <v>3464368.9199729301</v>
      </c>
      <c r="CR121" s="216">
        <f t="shared" ca="1" si="100"/>
        <v>4762662.9864782654</v>
      </c>
      <c r="CS121" s="216">
        <f t="shared" ca="1" si="100"/>
        <v>0</v>
      </c>
      <c r="CT121" s="216">
        <f t="shared" ca="1" si="100"/>
        <v>1013141.8856176417</v>
      </c>
      <c r="CU121" s="216">
        <f t="shared" ca="1" si="100"/>
        <v>2532213.5146798179</v>
      </c>
      <c r="CV121" s="216">
        <f t="shared" ca="1" si="100"/>
        <v>1272360.808192726</v>
      </c>
      <c r="CW121" s="216">
        <f t="shared" ca="1" si="100"/>
        <v>2957947.9094958976</v>
      </c>
      <c r="CX121" s="216">
        <f t="shared" ca="1" si="100"/>
        <v>4553449.4793703454</v>
      </c>
      <c r="CY121" s="216">
        <f t="shared" ca="1" si="100"/>
        <v>226292.15038068127</v>
      </c>
      <c r="CZ121" s="216">
        <f t="shared" ca="1" si="100"/>
        <v>1222041.2735872709</v>
      </c>
      <c r="DA121" s="216">
        <f t="shared" ca="1" si="100"/>
        <v>2877957.3442163114</v>
      </c>
      <c r="DB121" s="216">
        <f t="shared" ca="1" si="100"/>
        <v>1430213.4726520665</v>
      </c>
      <c r="DC121" s="216">
        <f t="shared" ca="1" si="100"/>
        <v>3005156.8364332179</v>
      </c>
      <c r="DD121" s="216">
        <f t="shared" ca="1" si="100"/>
        <v>4310154.8049180191</v>
      </c>
      <c r="DE121" s="216">
        <f t="shared" ca="1" si="100"/>
        <v>152511.78768972354</v>
      </c>
      <c r="DF121" s="216">
        <f t="shared" ca="1" si="100"/>
        <v>1179902.4770362109</v>
      </c>
      <c r="DG121" s="216">
        <f t="shared" ca="1" si="100"/>
        <v>2697391.0255429689</v>
      </c>
      <c r="DH121" s="216">
        <f t="shared" ca="1" si="100"/>
        <v>1428473.3489736822</v>
      </c>
      <c r="DI121" s="216">
        <f t="shared" ca="1" si="100"/>
        <v>3069356.5862455354</v>
      </c>
      <c r="DJ121" s="216">
        <f t="shared" ca="1" si="100"/>
        <v>4756678.5236993413</v>
      </c>
      <c r="DK121" s="216">
        <f t="shared" ca="1" si="100"/>
        <v>588417.38769943593</v>
      </c>
      <c r="DL121" s="216">
        <f t="shared" ca="1" si="100"/>
        <v>2285914.0351767587</v>
      </c>
      <c r="DM121" s="216">
        <f t="shared" ca="1" si="100"/>
        <v>3984105.8325329507</v>
      </c>
      <c r="DN121" s="216">
        <f t="shared" ca="1" si="100"/>
        <v>2509651.4613674255</v>
      </c>
      <c r="DO121" s="216">
        <f t="shared" ca="1" si="100"/>
        <v>4212099.5163912624</v>
      </c>
      <c r="DP121" s="216">
        <f t="shared" ca="1" si="100"/>
        <v>5564803.0809955793</v>
      </c>
      <c r="DQ121" s="216">
        <f t="shared" ref="DQ121:EQ121" ca="1" si="101">DP122</f>
        <v>1436758.7495171083</v>
      </c>
      <c r="DR121" s="216">
        <f t="shared" ca="1" si="101"/>
        <v>2519133.3250511438</v>
      </c>
      <c r="DS121" s="216">
        <f t="shared" ca="1" si="101"/>
        <v>4076183.9554669056</v>
      </c>
      <c r="DT121" s="216">
        <f t="shared" ca="1" si="101"/>
        <v>2848056.9622726049</v>
      </c>
      <c r="DU121" s="216">
        <f t="shared" ca="1" si="101"/>
        <v>4577903.4595927093</v>
      </c>
      <c r="DV121" s="216">
        <f t="shared" ca="1" si="101"/>
        <v>6307749.9569128137</v>
      </c>
      <c r="DW121" s="216">
        <f t="shared" ca="1" si="101"/>
        <v>2203715.2777146646</v>
      </c>
      <c r="DX121" s="216">
        <f t="shared" ca="1" si="101"/>
        <v>3944703.3814347144</v>
      </c>
      <c r="DY121" s="216">
        <f t="shared" ca="1" si="101"/>
        <v>5685691.4851547647</v>
      </c>
      <c r="DZ121" s="216">
        <f t="shared" ca="1" si="101"/>
        <v>4230020.2071066061</v>
      </c>
      <c r="EA121" s="216">
        <f t="shared" ca="1" si="101"/>
        <v>5975370.9749359926</v>
      </c>
      <c r="EB121" s="216">
        <f t="shared" ca="1" si="101"/>
        <v>7376223.4197021518</v>
      </c>
      <c r="EC121" s="216">
        <f t="shared" ca="1" si="101"/>
        <v>-8.0093741416931152E-8</v>
      </c>
      <c r="ED121" s="216">
        <f t="shared" ca="1" si="101"/>
        <v>-8.0093741416931152E-8</v>
      </c>
      <c r="EE121" s="216">
        <f t="shared" ca="1" si="101"/>
        <v>-8.0093741416931152E-8</v>
      </c>
      <c r="EF121" s="216">
        <f t="shared" ca="1" si="101"/>
        <v>-8.0093741416931152E-8</v>
      </c>
      <c r="EG121" s="216">
        <f t="shared" ca="1" si="101"/>
        <v>-8.0093741416931152E-8</v>
      </c>
      <c r="EH121" s="216">
        <f t="shared" ca="1" si="101"/>
        <v>-8.0093741416931152E-8</v>
      </c>
      <c r="EI121" s="216">
        <f t="shared" ca="1" si="101"/>
        <v>-8.0093741416931152E-8</v>
      </c>
      <c r="EJ121" s="216">
        <f t="shared" ca="1" si="101"/>
        <v>-8.0093741416931152E-8</v>
      </c>
      <c r="EK121" s="216">
        <f t="shared" ca="1" si="101"/>
        <v>-8.0093741416931152E-8</v>
      </c>
      <c r="EL121" s="216">
        <f t="shared" ca="1" si="101"/>
        <v>-8.0093741416931152E-8</v>
      </c>
      <c r="EM121" s="216">
        <f t="shared" ca="1" si="101"/>
        <v>-8.0093741416931152E-8</v>
      </c>
      <c r="EN121" s="216">
        <f t="shared" ca="1" si="101"/>
        <v>-8.0093741416931152E-8</v>
      </c>
      <c r="EO121" s="216">
        <f t="shared" ca="1" si="101"/>
        <v>-8.0093741416931152E-8</v>
      </c>
      <c r="EP121" s="216">
        <f t="shared" ca="1" si="101"/>
        <v>-8.0093741416931152E-8</v>
      </c>
      <c r="EQ121" s="216">
        <f t="shared" ca="1" si="101"/>
        <v>-8.0093741416931152E-8</v>
      </c>
    </row>
    <row r="122" spans="2:147" ht="11.25" customHeight="1">
      <c r="B122" s="237" t="s">
        <v>214</v>
      </c>
      <c r="C122" s="238"/>
      <c r="D122" s="238"/>
      <c r="E122" s="238"/>
      <c r="F122" s="238"/>
      <c r="G122" s="238"/>
      <c r="H122" s="239"/>
      <c r="I122" s="240" t="str">
        <f ca="1">IF(COUNTIF($L$122:$EQ$122,"&lt;-0.001")&gt;0,"Shortage","TRUE")</f>
        <v>TRUE</v>
      </c>
      <c r="J122" s="241">
        <v>5.9604644775390625E-8</v>
      </c>
      <c r="L122" s="235">
        <f ca="1">L121+L120</f>
        <v>10000000</v>
      </c>
      <c r="M122" s="235">
        <f t="shared" ref="M122:BX122" ca="1" si="102">M121+M120</f>
        <v>10588048.034416752</v>
      </c>
      <c r="N122" s="235">
        <f t="shared" ca="1" si="102"/>
        <v>11907021.181751214</v>
      </c>
      <c r="O122" s="235">
        <f t="shared" ca="1" si="102"/>
        <v>9932853.5609021485</v>
      </c>
      <c r="P122" s="235">
        <f t="shared" ca="1" si="102"/>
        <v>11168650.063937105</v>
      </c>
      <c r="Q122" s="235">
        <f t="shared" ca="1" si="102"/>
        <v>12480210.20354706</v>
      </c>
      <c r="R122" s="235">
        <f t="shared" ca="1" si="102"/>
        <v>7484008.4048690023</v>
      </c>
      <c r="S122" s="235">
        <f t="shared" ca="1" si="102"/>
        <v>8690108.1979090832</v>
      </c>
      <c r="T122" s="235">
        <f t="shared" ca="1" si="102"/>
        <v>10085373.001186665</v>
      </c>
      <c r="U122" s="235">
        <f t="shared" ca="1" si="102"/>
        <v>8404702.9896215498</v>
      </c>
      <c r="V122" s="235">
        <f t="shared" ca="1" si="102"/>
        <v>9801166.7031116299</v>
      </c>
      <c r="W122" s="235">
        <f t="shared" ca="1" si="102"/>
        <v>10836285.714935044</v>
      </c>
      <c r="X122" s="235">
        <f t="shared" ca="1" si="102"/>
        <v>5835918.3435629858</v>
      </c>
      <c r="Y122" s="235">
        <f t="shared" ca="1" si="102"/>
        <v>6481706.3652938772</v>
      </c>
      <c r="Z122" s="235">
        <f t="shared" ca="1" si="102"/>
        <v>7723600.87001542</v>
      </c>
      <c r="AA122" s="235">
        <f t="shared" ca="1" si="102"/>
        <v>5966536.6526940968</v>
      </c>
      <c r="AB122" s="235">
        <f t="shared" ca="1" si="102"/>
        <v>7230604.3185836468</v>
      </c>
      <c r="AC122" s="235">
        <f t="shared" ca="1" si="102"/>
        <v>8572329.7119625714</v>
      </c>
      <c r="AD122" s="235">
        <f t="shared" ca="1" si="102"/>
        <v>4153153.4339632466</v>
      </c>
      <c r="AE122" s="235">
        <f t="shared" ca="1" si="102"/>
        <v>5386781.9721080502</v>
      </c>
      <c r="AF122" s="235">
        <f t="shared" ca="1" si="102"/>
        <v>6814304.6457462916</v>
      </c>
      <c r="AG122" s="235">
        <f t="shared" ca="1" si="102"/>
        <v>5102587.6120296158</v>
      </c>
      <c r="AH122" s="235">
        <f t="shared" ca="1" si="102"/>
        <v>6531339.1686356692</v>
      </c>
      <c r="AI122" s="235">
        <f t="shared" ca="1" si="102"/>
        <v>7571316.6757667232</v>
      </c>
      <c r="AJ122" s="2609">
        <f t="shared" ca="1" si="102"/>
        <v>8147870.6857560482</v>
      </c>
      <c r="AK122" s="235">
        <f t="shared" ca="1" si="102"/>
        <v>8862630.608963374</v>
      </c>
      <c r="AL122" s="235">
        <f t="shared" ca="1" si="102"/>
        <v>10133597.740827534</v>
      </c>
      <c r="AM122" s="235">
        <f t="shared" ca="1" si="102"/>
        <v>8492596.4681571014</v>
      </c>
      <c r="AN122" s="235">
        <f t="shared" ca="1" si="102"/>
        <v>9944865.3728147708</v>
      </c>
      <c r="AO122" s="235">
        <f t="shared" ca="1" si="102"/>
        <v>11317511.794267582</v>
      </c>
      <c r="AP122" s="235">
        <f t="shared" ca="1" si="102"/>
        <v>6830442.2221172433</v>
      </c>
      <c r="AQ122" s="235">
        <f t="shared" ca="1" si="102"/>
        <v>8292290.46087786</v>
      </c>
      <c r="AR122" s="235">
        <f t="shared" ca="1" si="102"/>
        <v>8584774.5541984867</v>
      </c>
      <c r="AS122" s="235">
        <f t="shared" ca="1" si="102"/>
        <v>5869565.4548896682</v>
      </c>
      <c r="AT122" s="235">
        <f t="shared" ca="1" si="102"/>
        <v>6120745.7010266893</v>
      </c>
      <c r="AU122" s="235">
        <f t="shared" ca="1" si="102"/>
        <v>6064221.7402052209</v>
      </c>
      <c r="AV122" s="235">
        <f t="shared" ca="1" si="102"/>
        <v>761483.31025122944</v>
      </c>
      <c r="AW122" s="235">
        <f t="shared" ca="1" si="102"/>
        <v>1556246.858871839</v>
      </c>
      <c r="AX122" s="235">
        <f t="shared" ca="1" si="102"/>
        <v>2921664.9409332592</v>
      </c>
      <c r="AY122" s="235">
        <f t="shared" ca="1" si="102"/>
        <v>1383002.2600291856</v>
      </c>
      <c r="AZ122" s="235">
        <f t="shared" ca="1" si="102"/>
        <v>2878457.1935760118</v>
      </c>
      <c r="BA122" s="235">
        <f t="shared" ca="1" si="102"/>
        <v>4322719.3657354936</v>
      </c>
      <c r="BB122" s="235">
        <f t="shared" ca="1" si="102"/>
        <v>0</v>
      </c>
      <c r="BC122" s="235">
        <f t="shared" ca="1" si="102"/>
        <v>1535017.350932894</v>
      </c>
      <c r="BD122" s="235">
        <f t="shared" ca="1" si="102"/>
        <v>3070649.113066758</v>
      </c>
      <c r="BE122" s="235">
        <f t="shared" ca="1" si="102"/>
        <v>1337213.9842280273</v>
      </c>
      <c r="BF122" s="235">
        <f t="shared" ca="1" si="102"/>
        <v>2876607.6579506104</v>
      </c>
      <c r="BG122" s="235">
        <f t="shared" ca="1" si="102"/>
        <v>4038803.0295213116</v>
      </c>
      <c r="BH122" s="235">
        <f t="shared" ca="1" si="102"/>
        <v>0</v>
      </c>
      <c r="BI122" s="235">
        <f t="shared" ca="1" si="102"/>
        <v>853580.82256564125</v>
      </c>
      <c r="BJ122" s="235">
        <f t="shared" ca="1" si="102"/>
        <v>2261240.5279257102</v>
      </c>
      <c r="BK122" s="235">
        <f t="shared" ca="1" si="102"/>
        <v>754680.97616828</v>
      </c>
      <c r="BL122" s="235">
        <f t="shared" ca="1" si="102"/>
        <v>2318967.7773152115</v>
      </c>
      <c r="BM122" s="235">
        <f t="shared" ca="1" si="102"/>
        <v>3799601.2070450373</v>
      </c>
      <c r="BN122" s="235">
        <f t="shared" ca="1" si="102"/>
        <v>0</v>
      </c>
      <c r="BO122" s="235">
        <f t="shared" ca="1" si="102"/>
        <v>1574349.532219687</v>
      </c>
      <c r="BP122" s="235">
        <f t="shared" ca="1" si="102"/>
        <v>3148699.064439374</v>
      </c>
      <c r="BQ122" s="235">
        <f t="shared" ca="1" si="102"/>
        <v>1436017.4708274913</v>
      </c>
      <c r="BR122" s="235">
        <f t="shared" ca="1" si="102"/>
        <v>3014222.9624256156</v>
      </c>
      <c r="BS122" s="235">
        <f t="shared" ca="1" si="102"/>
        <v>4220888.1264041364</v>
      </c>
      <c r="BT122" s="235">
        <f t="shared" ca="1" si="102"/>
        <v>0</v>
      </c>
      <c r="BU122" s="235">
        <f t="shared" ca="1" si="102"/>
        <v>906059.40780073369</v>
      </c>
      <c r="BV122" s="235">
        <f t="shared" ca="1" si="102"/>
        <v>2349926.9762704629</v>
      </c>
      <c r="BW122" s="235">
        <f t="shared" ca="1" si="102"/>
        <v>1031361.6222770726</v>
      </c>
      <c r="BX122" s="235">
        <f t="shared" ca="1" si="102"/>
        <v>2635084.9683415471</v>
      </c>
      <c r="BY122" s="235">
        <f t="shared" ref="BY122:DP122" ca="1" si="103">BY121+BY120</f>
        <v>4153063.608703488</v>
      </c>
      <c r="BZ122" s="235">
        <f t="shared" ca="1" si="103"/>
        <v>0</v>
      </c>
      <c r="CA122" s="235">
        <f t="shared" ca="1" si="103"/>
        <v>1614037.6454140488</v>
      </c>
      <c r="CB122" s="235">
        <f t="shared" ca="1" si="103"/>
        <v>3228075.2908280976</v>
      </c>
      <c r="CC122" s="235">
        <f t="shared" ca="1" si="103"/>
        <v>1699359.1597153395</v>
      </c>
      <c r="CD122" s="235">
        <f t="shared" ca="1" si="103"/>
        <v>3317349.1634922866</v>
      </c>
      <c r="CE122" s="235">
        <f t="shared" ca="1" si="103"/>
        <v>4569371.9445639243</v>
      </c>
      <c r="CF122" s="235">
        <f t="shared" ca="1" si="103"/>
        <v>0</v>
      </c>
      <c r="CG122" s="235">
        <f t="shared" ca="1" si="103"/>
        <v>959236.41598088655</v>
      </c>
      <c r="CH122" s="235">
        <f t="shared" ca="1" si="103"/>
        <v>2440233.4361595782</v>
      </c>
      <c r="CI122" s="235">
        <f t="shared" ca="1" si="103"/>
        <v>1150647.7202093233</v>
      </c>
      <c r="CJ122" s="235">
        <f t="shared" ca="1" si="103"/>
        <v>2794796.1769241039</v>
      </c>
      <c r="CK122" s="235">
        <f t="shared" ca="1" si="103"/>
        <v>4351056.3102937881</v>
      </c>
      <c r="CL122" s="235">
        <f t="shared" ca="1" si="103"/>
        <v>0</v>
      </c>
      <c r="CM122" s="235">
        <f t="shared" ca="1" si="103"/>
        <v>1654720.6135480942</v>
      </c>
      <c r="CN122" s="235">
        <f t="shared" ca="1" si="103"/>
        <v>3309441.2270961883</v>
      </c>
      <c r="CO122" s="235">
        <f t="shared" ca="1" si="103"/>
        <v>1805597.1391028652</v>
      </c>
      <c r="CP122" s="235">
        <f t="shared" ca="1" si="103"/>
        <v>3464368.9199729301</v>
      </c>
      <c r="CQ122" s="235">
        <f t="shared" ca="1" si="103"/>
        <v>4762662.9864782654</v>
      </c>
      <c r="CR122" s="235">
        <f t="shared" ca="1" si="103"/>
        <v>0</v>
      </c>
      <c r="CS122" s="235">
        <f t="shared" ca="1" si="103"/>
        <v>1013141.8856176417</v>
      </c>
      <c r="CT122" s="235">
        <f t="shared" ca="1" si="103"/>
        <v>2532213.5146798179</v>
      </c>
      <c r="CU122" s="235">
        <f t="shared" ca="1" si="103"/>
        <v>1272360.808192726</v>
      </c>
      <c r="CV122" s="235">
        <f t="shared" ca="1" si="103"/>
        <v>2957947.9094958976</v>
      </c>
      <c r="CW122" s="235">
        <f t="shared" ca="1" si="103"/>
        <v>4553449.4793703454</v>
      </c>
      <c r="CX122" s="235">
        <f t="shared" ca="1" si="103"/>
        <v>226292.15038068127</v>
      </c>
      <c r="CY122" s="235">
        <f t="shared" ca="1" si="103"/>
        <v>1222041.2735872709</v>
      </c>
      <c r="CZ122" s="235">
        <f t="shared" ca="1" si="103"/>
        <v>2877957.3442163114</v>
      </c>
      <c r="DA122" s="235">
        <f t="shared" ca="1" si="103"/>
        <v>1430213.4726520665</v>
      </c>
      <c r="DB122" s="235">
        <f t="shared" ca="1" si="103"/>
        <v>3005156.8364332179</v>
      </c>
      <c r="DC122" s="235">
        <f t="shared" ca="1" si="103"/>
        <v>4310154.8049180191</v>
      </c>
      <c r="DD122" s="235">
        <f t="shared" ca="1" si="103"/>
        <v>152511.78768972354</v>
      </c>
      <c r="DE122" s="235">
        <f t="shared" ca="1" si="103"/>
        <v>1179902.4770362109</v>
      </c>
      <c r="DF122" s="235">
        <f t="shared" ca="1" si="103"/>
        <v>2697391.0255429689</v>
      </c>
      <c r="DG122" s="235">
        <f t="shared" ca="1" si="103"/>
        <v>1428473.3489736822</v>
      </c>
      <c r="DH122" s="235">
        <f t="shared" ca="1" si="103"/>
        <v>3069356.5862455354</v>
      </c>
      <c r="DI122" s="235">
        <f t="shared" ca="1" si="103"/>
        <v>4756678.5236993413</v>
      </c>
      <c r="DJ122" s="235">
        <f t="shared" ca="1" si="103"/>
        <v>588417.38769943593</v>
      </c>
      <c r="DK122" s="235">
        <f t="shared" ca="1" si="103"/>
        <v>2285914.0351767587</v>
      </c>
      <c r="DL122" s="235">
        <f t="shared" ca="1" si="103"/>
        <v>3984105.8325329507</v>
      </c>
      <c r="DM122" s="235">
        <f t="shared" ca="1" si="103"/>
        <v>2509651.4613674255</v>
      </c>
      <c r="DN122" s="235">
        <f t="shared" ca="1" si="103"/>
        <v>4212099.5163912624</v>
      </c>
      <c r="DO122" s="235">
        <f t="shared" ca="1" si="103"/>
        <v>5564803.0809955793</v>
      </c>
      <c r="DP122" s="235">
        <f t="shared" ca="1" si="103"/>
        <v>1436758.7495171083</v>
      </c>
      <c r="DQ122" s="235">
        <f t="shared" ref="DQ122:EQ122" ca="1" si="104">DQ121+DQ120</f>
        <v>2519133.3250511438</v>
      </c>
      <c r="DR122" s="235">
        <f t="shared" ca="1" si="104"/>
        <v>4076183.9554669056</v>
      </c>
      <c r="DS122" s="235">
        <f t="shared" ca="1" si="104"/>
        <v>2848056.9622726049</v>
      </c>
      <c r="DT122" s="235">
        <f t="shared" ca="1" si="104"/>
        <v>4577903.4595927093</v>
      </c>
      <c r="DU122" s="235">
        <f t="shared" ca="1" si="104"/>
        <v>6307749.9569128137</v>
      </c>
      <c r="DV122" s="235">
        <f t="shared" ca="1" si="104"/>
        <v>2203715.2777146646</v>
      </c>
      <c r="DW122" s="235">
        <f t="shared" ca="1" si="104"/>
        <v>3944703.3814347144</v>
      </c>
      <c r="DX122" s="235">
        <f t="shared" ca="1" si="104"/>
        <v>5685691.4851547647</v>
      </c>
      <c r="DY122" s="235">
        <f t="shared" ca="1" si="104"/>
        <v>4230020.2071066061</v>
      </c>
      <c r="DZ122" s="235">
        <f t="shared" ca="1" si="104"/>
        <v>5975370.9749359926</v>
      </c>
      <c r="EA122" s="235">
        <f t="shared" ca="1" si="104"/>
        <v>7376223.4197021518</v>
      </c>
      <c r="EB122" s="235">
        <f ca="1">EB121+EB120</f>
        <v>-8.0093741416931152E-8</v>
      </c>
      <c r="EC122" s="235">
        <f t="shared" ca="1" si="104"/>
        <v>-8.0093741416931152E-8</v>
      </c>
      <c r="ED122" s="235">
        <f t="shared" ca="1" si="104"/>
        <v>-8.0093741416931152E-8</v>
      </c>
      <c r="EE122" s="235">
        <f t="shared" ca="1" si="104"/>
        <v>-8.0093741416931152E-8</v>
      </c>
      <c r="EF122" s="235">
        <f t="shared" ca="1" si="104"/>
        <v>-8.0093741416931152E-8</v>
      </c>
      <c r="EG122" s="235">
        <f t="shared" ca="1" si="104"/>
        <v>-8.0093741416931152E-8</v>
      </c>
      <c r="EH122" s="235">
        <f t="shared" ca="1" si="104"/>
        <v>-8.0093741416931152E-8</v>
      </c>
      <c r="EI122" s="235">
        <f t="shared" ca="1" si="104"/>
        <v>-8.0093741416931152E-8</v>
      </c>
      <c r="EJ122" s="235">
        <f t="shared" ca="1" si="104"/>
        <v>-8.0093741416931152E-8</v>
      </c>
      <c r="EK122" s="235">
        <f t="shared" ca="1" si="104"/>
        <v>-8.0093741416931152E-8</v>
      </c>
      <c r="EL122" s="235">
        <f t="shared" ca="1" si="104"/>
        <v>-8.0093741416931152E-8</v>
      </c>
      <c r="EM122" s="235">
        <f t="shared" ca="1" si="104"/>
        <v>-8.0093741416931152E-8</v>
      </c>
      <c r="EN122" s="235">
        <f t="shared" ca="1" si="104"/>
        <v>-8.0093741416931152E-8</v>
      </c>
      <c r="EO122" s="235">
        <f t="shared" ca="1" si="104"/>
        <v>-8.0093741416931152E-8</v>
      </c>
      <c r="EP122" s="235">
        <f t="shared" ca="1" si="104"/>
        <v>-8.0093741416931152E-8</v>
      </c>
      <c r="EQ122" s="235">
        <f t="shared" ca="1" si="104"/>
        <v>-8.0093741416931152E-8</v>
      </c>
    </row>
    <row r="123" spans="2:147" ht="11.25" customHeight="1">
      <c r="B123" s="211" t="s">
        <v>2437</v>
      </c>
      <c r="C123" s="2716"/>
      <c r="D123" s="2716"/>
      <c r="E123" s="2716"/>
      <c r="F123" s="2716"/>
      <c r="G123" s="2716"/>
      <c r="H123" s="2717"/>
      <c r="I123" s="2718"/>
      <c r="J123" s="216"/>
      <c r="L123" s="216">
        <f>L143</f>
        <v>0</v>
      </c>
      <c r="M123" s="216">
        <f t="shared" ref="M123:BX123" si="105">M143</f>
        <v>0</v>
      </c>
      <c r="N123" s="216">
        <f t="shared" si="105"/>
        <v>0</v>
      </c>
      <c r="O123" s="216">
        <f t="shared" si="105"/>
        <v>2480000</v>
      </c>
      <c r="P123" s="216">
        <f t="shared" si="105"/>
        <v>2480000</v>
      </c>
      <c r="Q123" s="216">
        <f t="shared" si="105"/>
        <v>2480000</v>
      </c>
      <c r="R123" s="216">
        <f t="shared" si="105"/>
        <v>0</v>
      </c>
      <c r="S123" s="216">
        <f t="shared" si="105"/>
        <v>0</v>
      </c>
      <c r="T123" s="216">
        <f t="shared" si="105"/>
        <v>0</v>
      </c>
      <c r="U123" s="216">
        <f t="shared" si="105"/>
        <v>0</v>
      </c>
      <c r="V123" s="216">
        <f t="shared" si="105"/>
        <v>0</v>
      </c>
      <c r="W123" s="216">
        <f t="shared" si="105"/>
        <v>0</v>
      </c>
      <c r="X123" s="216">
        <f t="shared" si="105"/>
        <v>0</v>
      </c>
      <c r="Y123" s="216">
        <f t="shared" si="105"/>
        <v>0</v>
      </c>
      <c r="Z123" s="216">
        <f t="shared" si="105"/>
        <v>0</v>
      </c>
      <c r="AA123" s="216">
        <f t="shared" si="105"/>
        <v>0</v>
      </c>
      <c r="AB123" s="216">
        <f t="shared" si="105"/>
        <v>0</v>
      </c>
      <c r="AC123" s="216">
        <f t="shared" si="105"/>
        <v>0</v>
      </c>
      <c r="AD123" s="216">
        <f t="shared" si="105"/>
        <v>0</v>
      </c>
      <c r="AE123" s="216">
        <f t="shared" si="105"/>
        <v>0</v>
      </c>
      <c r="AF123" s="216">
        <f t="shared" si="105"/>
        <v>0</v>
      </c>
      <c r="AG123" s="216">
        <f t="shared" si="105"/>
        <v>0</v>
      </c>
      <c r="AH123" s="216">
        <f t="shared" si="105"/>
        <v>0</v>
      </c>
      <c r="AI123" s="216">
        <f t="shared" si="105"/>
        <v>0</v>
      </c>
      <c r="AJ123" s="2610">
        <f t="shared" si="105"/>
        <v>0</v>
      </c>
      <c r="AK123" s="216">
        <f t="shared" si="105"/>
        <v>0</v>
      </c>
      <c r="AL123" s="216">
        <f t="shared" si="105"/>
        <v>0</v>
      </c>
      <c r="AM123" s="216">
        <f t="shared" si="105"/>
        <v>0</v>
      </c>
      <c r="AN123" s="216">
        <f t="shared" si="105"/>
        <v>0</v>
      </c>
      <c r="AO123" s="216">
        <f t="shared" si="105"/>
        <v>0</v>
      </c>
      <c r="AP123" s="216">
        <f t="shared" si="105"/>
        <v>0</v>
      </c>
      <c r="AQ123" s="216">
        <f t="shared" si="105"/>
        <v>0</v>
      </c>
      <c r="AR123" s="216">
        <f t="shared" si="105"/>
        <v>0</v>
      </c>
      <c r="AS123" s="216">
        <f t="shared" si="105"/>
        <v>0</v>
      </c>
      <c r="AT123" s="216">
        <f t="shared" si="105"/>
        <v>0</v>
      </c>
      <c r="AU123" s="216">
        <f t="shared" si="105"/>
        <v>0</v>
      </c>
      <c r="AV123" s="216">
        <f t="shared" si="105"/>
        <v>0</v>
      </c>
      <c r="AW123" s="216">
        <f t="shared" si="105"/>
        <v>0</v>
      </c>
      <c r="AX123" s="216">
        <f t="shared" si="105"/>
        <v>0</v>
      </c>
      <c r="AY123" s="216">
        <f t="shared" si="105"/>
        <v>0</v>
      </c>
      <c r="AZ123" s="216">
        <f t="shared" si="105"/>
        <v>0</v>
      </c>
      <c r="BA123" s="216">
        <f t="shared" si="105"/>
        <v>0</v>
      </c>
      <c r="BB123" s="216">
        <f t="shared" si="105"/>
        <v>0</v>
      </c>
      <c r="BC123" s="216">
        <f t="shared" si="105"/>
        <v>0</v>
      </c>
      <c r="BD123" s="216">
        <f t="shared" si="105"/>
        <v>0</v>
      </c>
      <c r="BE123" s="216">
        <f t="shared" si="105"/>
        <v>0</v>
      </c>
      <c r="BF123" s="216">
        <f t="shared" si="105"/>
        <v>0</v>
      </c>
      <c r="BG123" s="216">
        <f t="shared" si="105"/>
        <v>0</v>
      </c>
      <c r="BH123" s="216">
        <f t="shared" si="105"/>
        <v>0</v>
      </c>
      <c r="BI123" s="216">
        <f t="shared" si="105"/>
        <v>0</v>
      </c>
      <c r="BJ123" s="216">
        <f t="shared" si="105"/>
        <v>0</v>
      </c>
      <c r="BK123" s="216">
        <f t="shared" si="105"/>
        <v>0</v>
      </c>
      <c r="BL123" s="216">
        <f t="shared" si="105"/>
        <v>0</v>
      </c>
      <c r="BM123" s="216">
        <f t="shared" si="105"/>
        <v>0</v>
      </c>
      <c r="BN123" s="216">
        <f t="shared" si="105"/>
        <v>0</v>
      </c>
      <c r="BO123" s="216">
        <f t="shared" si="105"/>
        <v>0</v>
      </c>
      <c r="BP123" s="216">
        <f t="shared" si="105"/>
        <v>0</v>
      </c>
      <c r="BQ123" s="216">
        <f t="shared" si="105"/>
        <v>0</v>
      </c>
      <c r="BR123" s="216">
        <f t="shared" si="105"/>
        <v>0</v>
      </c>
      <c r="BS123" s="216">
        <f t="shared" si="105"/>
        <v>0</v>
      </c>
      <c r="BT123" s="216">
        <f t="shared" si="105"/>
        <v>0</v>
      </c>
      <c r="BU123" s="216">
        <f t="shared" si="105"/>
        <v>0</v>
      </c>
      <c r="BV123" s="216">
        <f t="shared" si="105"/>
        <v>0</v>
      </c>
      <c r="BW123" s="216">
        <f t="shared" si="105"/>
        <v>0</v>
      </c>
      <c r="BX123" s="216">
        <f t="shared" si="105"/>
        <v>0</v>
      </c>
      <c r="BY123" s="216">
        <f t="shared" ref="BY123:EJ123" si="106">BY143</f>
        <v>0</v>
      </c>
      <c r="BZ123" s="216">
        <f t="shared" si="106"/>
        <v>0</v>
      </c>
      <c r="CA123" s="216">
        <f t="shared" si="106"/>
        <v>0</v>
      </c>
      <c r="CB123" s="216">
        <f t="shared" si="106"/>
        <v>0</v>
      </c>
      <c r="CC123" s="216">
        <f t="shared" si="106"/>
        <v>0</v>
      </c>
      <c r="CD123" s="216">
        <f t="shared" si="106"/>
        <v>0</v>
      </c>
      <c r="CE123" s="216">
        <f t="shared" si="106"/>
        <v>0</v>
      </c>
      <c r="CF123" s="216">
        <f t="shared" si="106"/>
        <v>0</v>
      </c>
      <c r="CG123" s="216">
        <f t="shared" si="106"/>
        <v>0</v>
      </c>
      <c r="CH123" s="216">
        <f t="shared" si="106"/>
        <v>0</v>
      </c>
      <c r="CI123" s="216">
        <f t="shared" si="106"/>
        <v>0</v>
      </c>
      <c r="CJ123" s="216">
        <f t="shared" si="106"/>
        <v>0</v>
      </c>
      <c r="CK123" s="216">
        <f t="shared" si="106"/>
        <v>0</v>
      </c>
      <c r="CL123" s="216">
        <f t="shared" si="106"/>
        <v>0</v>
      </c>
      <c r="CM123" s="216">
        <f t="shared" si="106"/>
        <v>0</v>
      </c>
      <c r="CN123" s="216">
        <f t="shared" si="106"/>
        <v>0</v>
      </c>
      <c r="CO123" s="216">
        <f t="shared" si="106"/>
        <v>0</v>
      </c>
      <c r="CP123" s="216">
        <f t="shared" si="106"/>
        <v>0</v>
      </c>
      <c r="CQ123" s="216">
        <f t="shared" si="106"/>
        <v>0</v>
      </c>
      <c r="CR123" s="216">
        <f t="shared" si="106"/>
        <v>0</v>
      </c>
      <c r="CS123" s="216">
        <f t="shared" si="106"/>
        <v>0</v>
      </c>
      <c r="CT123" s="216">
        <f t="shared" si="106"/>
        <v>0</v>
      </c>
      <c r="CU123" s="216">
        <f t="shared" si="106"/>
        <v>0</v>
      </c>
      <c r="CV123" s="216">
        <f t="shared" si="106"/>
        <v>0</v>
      </c>
      <c r="CW123" s="216">
        <f t="shared" si="106"/>
        <v>0</v>
      </c>
      <c r="CX123" s="216">
        <f t="shared" si="106"/>
        <v>0</v>
      </c>
      <c r="CY123" s="216">
        <f t="shared" si="106"/>
        <v>0</v>
      </c>
      <c r="CZ123" s="216">
        <f t="shared" si="106"/>
        <v>0</v>
      </c>
      <c r="DA123" s="216">
        <f t="shared" si="106"/>
        <v>0</v>
      </c>
      <c r="DB123" s="216">
        <f t="shared" si="106"/>
        <v>0</v>
      </c>
      <c r="DC123" s="216">
        <f t="shared" si="106"/>
        <v>0</v>
      </c>
      <c r="DD123" s="216">
        <f t="shared" si="106"/>
        <v>0</v>
      </c>
      <c r="DE123" s="216">
        <f t="shared" si="106"/>
        <v>0</v>
      </c>
      <c r="DF123" s="216">
        <f t="shared" si="106"/>
        <v>0</v>
      </c>
      <c r="DG123" s="216">
        <f t="shared" si="106"/>
        <v>0</v>
      </c>
      <c r="DH123" s="216">
        <f t="shared" si="106"/>
        <v>0</v>
      </c>
      <c r="DI123" s="216">
        <f t="shared" si="106"/>
        <v>0</v>
      </c>
      <c r="DJ123" s="216">
        <f t="shared" si="106"/>
        <v>0</v>
      </c>
      <c r="DK123" s="216">
        <f t="shared" si="106"/>
        <v>0</v>
      </c>
      <c r="DL123" s="216">
        <f t="shared" si="106"/>
        <v>0</v>
      </c>
      <c r="DM123" s="216">
        <f t="shared" si="106"/>
        <v>0</v>
      </c>
      <c r="DN123" s="216">
        <f t="shared" si="106"/>
        <v>0</v>
      </c>
      <c r="DO123" s="216">
        <f t="shared" si="106"/>
        <v>0</v>
      </c>
      <c r="DP123" s="216">
        <f t="shared" si="106"/>
        <v>0</v>
      </c>
      <c r="DQ123" s="216">
        <f t="shared" si="106"/>
        <v>0</v>
      </c>
      <c r="DR123" s="216">
        <f t="shared" si="106"/>
        <v>0</v>
      </c>
      <c r="DS123" s="216">
        <f t="shared" si="106"/>
        <v>0</v>
      </c>
      <c r="DT123" s="216">
        <f t="shared" si="106"/>
        <v>0</v>
      </c>
      <c r="DU123" s="216">
        <f t="shared" si="106"/>
        <v>0</v>
      </c>
      <c r="DV123" s="216">
        <f t="shared" si="106"/>
        <v>0</v>
      </c>
      <c r="DW123" s="216">
        <f t="shared" si="106"/>
        <v>0</v>
      </c>
      <c r="DX123" s="216">
        <f t="shared" si="106"/>
        <v>0</v>
      </c>
      <c r="DY123" s="216">
        <f t="shared" si="106"/>
        <v>0</v>
      </c>
      <c r="DZ123" s="216">
        <f t="shared" si="106"/>
        <v>0</v>
      </c>
      <c r="EA123" s="216">
        <f t="shared" si="106"/>
        <v>0</v>
      </c>
      <c r="EB123" s="216">
        <f t="shared" si="106"/>
        <v>0</v>
      </c>
      <c r="EC123" s="216">
        <f t="shared" si="106"/>
        <v>0</v>
      </c>
      <c r="ED123" s="216">
        <f t="shared" si="106"/>
        <v>0</v>
      </c>
      <c r="EE123" s="216">
        <f t="shared" si="106"/>
        <v>0</v>
      </c>
      <c r="EF123" s="216">
        <f t="shared" si="106"/>
        <v>0</v>
      </c>
      <c r="EG123" s="216">
        <f t="shared" si="106"/>
        <v>0</v>
      </c>
      <c r="EH123" s="216">
        <f t="shared" si="106"/>
        <v>0</v>
      </c>
      <c r="EI123" s="216">
        <f t="shared" si="106"/>
        <v>0</v>
      </c>
      <c r="EJ123" s="216">
        <f t="shared" si="106"/>
        <v>0</v>
      </c>
      <c r="EK123" s="216">
        <f t="shared" ref="EK123:EQ123" si="107">EK143</f>
        <v>0</v>
      </c>
      <c r="EL123" s="216">
        <f t="shared" si="107"/>
        <v>0</v>
      </c>
      <c r="EM123" s="216">
        <f t="shared" si="107"/>
        <v>0</v>
      </c>
      <c r="EN123" s="216">
        <f t="shared" si="107"/>
        <v>0</v>
      </c>
      <c r="EO123" s="216">
        <f t="shared" si="107"/>
        <v>0</v>
      </c>
      <c r="EP123" s="216">
        <f t="shared" si="107"/>
        <v>0</v>
      </c>
      <c r="EQ123" s="216">
        <f t="shared" si="107"/>
        <v>0</v>
      </c>
    </row>
    <row r="124" spans="2:147" ht="11.25" customHeight="1">
      <c r="B124" s="211" t="s">
        <v>2441</v>
      </c>
      <c r="C124" s="2716"/>
      <c r="D124" s="2716"/>
      <c r="E124" s="2716"/>
      <c r="F124" s="2716"/>
      <c r="G124" s="2716"/>
      <c r="H124" s="2717"/>
      <c r="I124" s="2718"/>
      <c r="J124" s="216"/>
      <c r="L124" s="216">
        <f ca="1">L122-L123</f>
        <v>10000000</v>
      </c>
      <c r="M124" s="216">
        <f t="shared" ref="M124:BX124" ca="1" si="108">M122-M123</f>
        <v>10588048.034416752</v>
      </c>
      <c r="N124" s="216">
        <f t="shared" ca="1" si="108"/>
        <v>11907021.181751214</v>
      </c>
      <c r="O124" s="216">
        <f t="shared" ca="1" si="108"/>
        <v>7452853.5609021485</v>
      </c>
      <c r="P124" s="216">
        <f t="shared" ca="1" si="108"/>
        <v>8688650.0639371052</v>
      </c>
      <c r="Q124" s="216">
        <f t="shared" ca="1" si="108"/>
        <v>10000210.20354706</v>
      </c>
      <c r="R124" s="216">
        <f t="shared" ca="1" si="108"/>
        <v>7484008.4048690023</v>
      </c>
      <c r="S124" s="216">
        <f t="shared" ca="1" si="108"/>
        <v>8690108.1979090832</v>
      </c>
      <c r="T124" s="216">
        <f t="shared" ca="1" si="108"/>
        <v>10085373.001186665</v>
      </c>
      <c r="U124" s="216">
        <f t="shared" ca="1" si="108"/>
        <v>8404702.9896215498</v>
      </c>
      <c r="V124" s="216">
        <f t="shared" ca="1" si="108"/>
        <v>9801166.7031116299</v>
      </c>
      <c r="W124" s="216">
        <f t="shared" ca="1" si="108"/>
        <v>10836285.714935044</v>
      </c>
      <c r="X124" s="216">
        <f t="shared" ca="1" si="108"/>
        <v>5835918.3435629858</v>
      </c>
      <c r="Y124" s="216">
        <f t="shared" ca="1" si="108"/>
        <v>6481706.3652938772</v>
      </c>
      <c r="Z124" s="216">
        <f t="shared" ca="1" si="108"/>
        <v>7723600.87001542</v>
      </c>
      <c r="AA124" s="216">
        <f t="shared" ca="1" si="108"/>
        <v>5966536.6526940968</v>
      </c>
      <c r="AB124" s="216">
        <f t="shared" ca="1" si="108"/>
        <v>7230604.3185836468</v>
      </c>
      <c r="AC124" s="216">
        <f t="shared" ca="1" si="108"/>
        <v>8572329.7119625714</v>
      </c>
      <c r="AD124" s="216">
        <f t="shared" ca="1" si="108"/>
        <v>4153153.4339632466</v>
      </c>
      <c r="AE124" s="216">
        <f t="shared" ca="1" si="108"/>
        <v>5386781.9721080502</v>
      </c>
      <c r="AF124" s="216">
        <f t="shared" ca="1" si="108"/>
        <v>6814304.6457462916</v>
      </c>
      <c r="AG124" s="216">
        <f t="shared" ca="1" si="108"/>
        <v>5102587.6120296158</v>
      </c>
      <c r="AH124" s="216">
        <f t="shared" ca="1" si="108"/>
        <v>6531339.1686356692</v>
      </c>
      <c r="AI124" s="216">
        <f t="shared" ca="1" si="108"/>
        <v>7571316.6757667232</v>
      </c>
      <c r="AJ124" s="2610">
        <f t="shared" ca="1" si="108"/>
        <v>8147870.6857560482</v>
      </c>
      <c r="AK124" s="216">
        <f t="shared" ca="1" si="108"/>
        <v>8862630.608963374</v>
      </c>
      <c r="AL124" s="216">
        <f t="shared" ca="1" si="108"/>
        <v>10133597.740827534</v>
      </c>
      <c r="AM124" s="216">
        <f t="shared" ca="1" si="108"/>
        <v>8492596.4681571014</v>
      </c>
      <c r="AN124" s="216">
        <f t="shared" ca="1" si="108"/>
        <v>9944865.3728147708</v>
      </c>
      <c r="AO124" s="216">
        <f t="shared" ca="1" si="108"/>
        <v>11317511.794267582</v>
      </c>
      <c r="AP124" s="216">
        <f t="shared" ca="1" si="108"/>
        <v>6830442.2221172433</v>
      </c>
      <c r="AQ124" s="216">
        <f t="shared" ca="1" si="108"/>
        <v>8292290.46087786</v>
      </c>
      <c r="AR124" s="216">
        <f t="shared" ca="1" si="108"/>
        <v>8584774.5541984867</v>
      </c>
      <c r="AS124" s="216">
        <f t="shared" ca="1" si="108"/>
        <v>5869565.4548896682</v>
      </c>
      <c r="AT124" s="216">
        <f t="shared" ca="1" si="108"/>
        <v>6120745.7010266893</v>
      </c>
      <c r="AU124" s="216">
        <f t="shared" ca="1" si="108"/>
        <v>6064221.7402052209</v>
      </c>
      <c r="AV124" s="216">
        <f t="shared" ca="1" si="108"/>
        <v>761483.31025122944</v>
      </c>
      <c r="AW124" s="216">
        <f t="shared" ca="1" si="108"/>
        <v>1556246.858871839</v>
      </c>
      <c r="AX124" s="216">
        <f t="shared" ca="1" si="108"/>
        <v>2921664.9409332592</v>
      </c>
      <c r="AY124" s="216">
        <f t="shared" ca="1" si="108"/>
        <v>1383002.2600291856</v>
      </c>
      <c r="AZ124" s="216">
        <f t="shared" ca="1" si="108"/>
        <v>2878457.1935760118</v>
      </c>
      <c r="BA124" s="216">
        <f t="shared" ca="1" si="108"/>
        <v>4322719.3657354936</v>
      </c>
      <c r="BB124" s="216">
        <f t="shared" ca="1" si="108"/>
        <v>0</v>
      </c>
      <c r="BC124" s="216">
        <f t="shared" ca="1" si="108"/>
        <v>1535017.350932894</v>
      </c>
      <c r="BD124" s="216">
        <f t="shared" ca="1" si="108"/>
        <v>3070649.113066758</v>
      </c>
      <c r="BE124" s="216">
        <f t="shared" ca="1" si="108"/>
        <v>1337213.9842280273</v>
      </c>
      <c r="BF124" s="216">
        <f t="shared" ca="1" si="108"/>
        <v>2876607.6579506104</v>
      </c>
      <c r="BG124" s="216">
        <f t="shared" ca="1" si="108"/>
        <v>4038803.0295213116</v>
      </c>
      <c r="BH124" s="216">
        <f t="shared" ca="1" si="108"/>
        <v>0</v>
      </c>
      <c r="BI124" s="216">
        <f t="shared" ca="1" si="108"/>
        <v>853580.82256564125</v>
      </c>
      <c r="BJ124" s="216">
        <f t="shared" ca="1" si="108"/>
        <v>2261240.5279257102</v>
      </c>
      <c r="BK124" s="216">
        <f t="shared" ca="1" si="108"/>
        <v>754680.97616828</v>
      </c>
      <c r="BL124" s="216">
        <f t="shared" ca="1" si="108"/>
        <v>2318967.7773152115</v>
      </c>
      <c r="BM124" s="216">
        <f t="shared" ca="1" si="108"/>
        <v>3799601.2070450373</v>
      </c>
      <c r="BN124" s="216">
        <f t="shared" ca="1" si="108"/>
        <v>0</v>
      </c>
      <c r="BO124" s="216">
        <f t="shared" ca="1" si="108"/>
        <v>1574349.532219687</v>
      </c>
      <c r="BP124" s="216">
        <f t="shared" ca="1" si="108"/>
        <v>3148699.064439374</v>
      </c>
      <c r="BQ124" s="216">
        <f t="shared" ca="1" si="108"/>
        <v>1436017.4708274913</v>
      </c>
      <c r="BR124" s="216">
        <f t="shared" ca="1" si="108"/>
        <v>3014222.9624256156</v>
      </c>
      <c r="BS124" s="216">
        <f t="shared" ca="1" si="108"/>
        <v>4220888.1264041364</v>
      </c>
      <c r="BT124" s="216">
        <f t="shared" ca="1" si="108"/>
        <v>0</v>
      </c>
      <c r="BU124" s="216">
        <f t="shared" ca="1" si="108"/>
        <v>906059.40780073369</v>
      </c>
      <c r="BV124" s="216">
        <f t="shared" ca="1" si="108"/>
        <v>2349926.9762704629</v>
      </c>
      <c r="BW124" s="216">
        <f t="shared" ca="1" si="108"/>
        <v>1031361.6222770726</v>
      </c>
      <c r="BX124" s="216">
        <f t="shared" ca="1" si="108"/>
        <v>2635084.9683415471</v>
      </c>
      <c r="BY124" s="216">
        <f t="shared" ref="BY124:EJ124" ca="1" si="109">BY122-BY123</f>
        <v>4153063.608703488</v>
      </c>
      <c r="BZ124" s="216">
        <f t="shared" ca="1" si="109"/>
        <v>0</v>
      </c>
      <c r="CA124" s="216">
        <f t="shared" ca="1" si="109"/>
        <v>1614037.6454140488</v>
      </c>
      <c r="CB124" s="216">
        <f t="shared" ca="1" si="109"/>
        <v>3228075.2908280976</v>
      </c>
      <c r="CC124" s="216">
        <f t="shared" ca="1" si="109"/>
        <v>1699359.1597153395</v>
      </c>
      <c r="CD124" s="216">
        <f t="shared" ca="1" si="109"/>
        <v>3317349.1634922866</v>
      </c>
      <c r="CE124" s="216">
        <f t="shared" ca="1" si="109"/>
        <v>4569371.9445639243</v>
      </c>
      <c r="CF124" s="216">
        <f t="shared" ca="1" si="109"/>
        <v>0</v>
      </c>
      <c r="CG124" s="216">
        <f t="shared" ca="1" si="109"/>
        <v>959236.41598088655</v>
      </c>
      <c r="CH124" s="216">
        <f t="shared" ca="1" si="109"/>
        <v>2440233.4361595782</v>
      </c>
      <c r="CI124" s="216">
        <f t="shared" ca="1" si="109"/>
        <v>1150647.7202093233</v>
      </c>
      <c r="CJ124" s="216">
        <f t="shared" ca="1" si="109"/>
        <v>2794796.1769241039</v>
      </c>
      <c r="CK124" s="216">
        <f t="shared" ca="1" si="109"/>
        <v>4351056.3102937881</v>
      </c>
      <c r="CL124" s="216">
        <f t="shared" ca="1" si="109"/>
        <v>0</v>
      </c>
      <c r="CM124" s="216">
        <f t="shared" ca="1" si="109"/>
        <v>1654720.6135480942</v>
      </c>
      <c r="CN124" s="216">
        <f t="shared" ca="1" si="109"/>
        <v>3309441.2270961883</v>
      </c>
      <c r="CO124" s="216">
        <f t="shared" ca="1" si="109"/>
        <v>1805597.1391028652</v>
      </c>
      <c r="CP124" s="216">
        <f t="shared" ca="1" si="109"/>
        <v>3464368.9199729301</v>
      </c>
      <c r="CQ124" s="216">
        <f t="shared" ca="1" si="109"/>
        <v>4762662.9864782654</v>
      </c>
      <c r="CR124" s="216">
        <f t="shared" ca="1" si="109"/>
        <v>0</v>
      </c>
      <c r="CS124" s="216">
        <f t="shared" ca="1" si="109"/>
        <v>1013141.8856176417</v>
      </c>
      <c r="CT124" s="216">
        <f t="shared" ca="1" si="109"/>
        <v>2532213.5146798179</v>
      </c>
      <c r="CU124" s="216">
        <f t="shared" ca="1" si="109"/>
        <v>1272360.808192726</v>
      </c>
      <c r="CV124" s="216">
        <f t="shared" ca="1" si="109"/>
        <v>2957947.9094958976</v>
      </c>
      <c r="CW124" s="216">
        <f t="shared" ca="1" si="109"/>
        <v>4553449.4793703454</v>
      </c>
      <c r="CX124" s="216">
        <f t="shared" ca="1" si="109"/>
        <v>226292.15038068127</v>
      </c>
      <c r="CY124" s="216">
        <f t="shared" ca="1" si="109"/>
        <v>1222041.2735872709</v>
      </c>
      <c r="CZ124" s="216">
        <f t="shared" ca="1" si="109"/>
        <v>2877957.3442163114</v>
      </c>
      <c r="DA124" s="216">
        <f t="shared" ca="1" si="109"/>
        <v>1430213.4726520665</v>
      </c>
      <c r="DB124" s="216">
        <f t="shared" ca="1" si="109"/>
        <v>3005156.8364332179</v>
      </c>
      <c r="DC124" s="216">
        <f t="shared" ca="1" si="109"/>
        <v>4310154.8049180191</v>
      </c>
      <c r="DD124" s="216">
        <f t="shared" ca="1" si="109"/>
        <v>152511.78768972354</v>
      </c>
      <c r="DE124" s="216">
        <f t="shared" ca="1" si="109"/>
        <v>1179902.4770362109</v>
      </c>
      <c r="DF124" s="216">
        <f t="shared" ca="1" si="109"/>
        <v>2697391.0255429689</v>
      </c>
      <c r="DG124" s="216">
        <f t="shared" ca="1" si="109"/>
        <v>1428473.3489736822</v>
      </c>
      <c r="DH124" s="216">
        <f t="shared" ca="1" si="109"/>
        <v>3069356.5862455354</v>
      </c>
      <c r="DI124" s="216">
        <f t="shared" ca="1" si="109"/>
        <v>4756678.5236993413</v>
      </c>
      <c r="DJ124" s="216">
        <f t="shared" ca="1" si="109"/>
        <v>588417.38769943593</v>
      </c>
      <c r="DK124" s="216">
        <f t="shared" ca="1" si="109"/>
        <v>2285914.0351767587</v>
      </c>
      <c r="DL124" s="216">
        <f t="shared" ca="1" si="109"/>
        <v>3984105.8325329507</v>
      </c>
      <c r="DM124" s="216">
        <f t="shared" ca="1" si="109"/>
        <v>2509651.4613674255</v>
      </c>
      <c r="DN124" s="216">
        <f t="shared" ca="1" si="109"/>
        <v>4212099.5163912624</v>
      </c>
      <c r="DO124" s="216">
        <f t="shared" ca="1" si="109"/>
        <v>5564803.0809955793</v>
      </c>
      <c r="DP124" s="216">
        <f t="shared" ca="1" si="109"/>
        <v>1436758.7495171083</v>
      </c>
      <c r="DQ124" s="216">
        <f t="shared" ca="1" si="109"/>
        <v>2519133.3250511438</v>
      </c>
      <c r="DR124" s="216">
        <f t="shared" ca="1" si="109"/>
        <v>4076183.9554669056</v>
      </c>
      <c r="DS124" s="216">
        <f t="shared" ca="1" si="109"/>
        <v>2848056.9622726049</v>
      </c>
      <c r="DT124" s="216">
        <f t="shared" ca="1" si="109"/>
        <v>4577903.4595927093</v>
      </c>
      <c r="DU124" s="216">
        <f t="shared" ca="1" si="109"/>
        <v>6307749.9569128137</v>
      </c>
      <c r="DV124" s="216">
        <f t="shared" ca="1" si="109"/>
        <v>2203715.2777146646</v>
      </c>
      <c r="DW124" s="216">
        <f t="shared" ca="1" si="109"/>
        <v>3944703.3814347144</v>
      </c>
      <c r="DX124" s="216">
        <f t="shared" ca="1" si="109"/>
        <v>5685691.4851547647</v>
      </c>
      <c r="DY124" s="216">
        <f t="shared" ca="1" si="109"/>
        <v>4230020.2071066061</v>
      </c>
      <c r="DZ124" s="216">
        <f t="shared" ca="1" si="109"/>
        <v>5975370.9749359926</v>
      </c>
      <c r="EA124" s="216">
        <f t="shared" ca="1" si="109"/>
        <v>7376223.4197021518</v>
      </c>
      <c r="EB124" s="216">
        <f t="shared" ca="1" si="109"/>
        <v>-8.0093741416931152E-8</v>
      </c>
      <c r="EC124" s="216">
        <f t="shared" ca="1" si="109"/>
        <v>-8.0093741416931152E-8</v>
      </c>
      <c r="ED124" s="216">
        <f t="shared" ca="1" si="109"/>
        <v>-8.0093741416931152E-8</v>
      </c>
      <c r="EE124" s="216">
        <f t="shared" ca="1" si="109"/>
        <v>-8.0093741416931152E-8</v>
      </c>
      <c r="EF124" s="216">
        <f t="shared" ca="1" si="109"/>
        <v>-8.0093741416931152E-8</v>
      </c>
      <c r="EG124" s="216">
        <f t="shared" ca="1" si="109"/>
        <v>-8.0093741416931152E-8</v>
      </c>
      <c r="EH124" s="216">
        <f t="shared" ca="1" si="109"/>
        <v>-8.0093741416931152E-8</v>
      </c>
      <c r="EI124" s="216">
        <f t="shared" ca="1" si="109"/>
        <v>-8.0093741416931152E-8</v>
      </c>
      <c r="EJ124" s="216">
        <f t="shared" ca="1" si="109"/>
        <v>-8.0093741416931152E-8</v>
      </c>
      <c r="EK124" s="216">
        <f t="shared" ref="EK124:EQ124" ca="1" si="110">EK122-EK123</f>
        <v>-8.0093741416931152E-8</v>
      </c>
      <c r="EL124" s="216">
        <f t="shared" ca="1" si="110"/>
        <v>-8.0093741416931152E-8</v>
      </c>
      <c r="EM124" s="216">
        <f t="shared" ca="1" si="110"/>
        <v>-8.0093741416931152E-8</v>
      </c>
      <c r="EN124" s="216">
        <f t="shared" ca="1" si="110"/>
        <v>-8.0093741416931152E-8</v>
      </c>
      <c r="EO124" s="216">
        <f t="shared" ca="1" si="110"/>
        <v>-8.0093741416931152E-8</v>
      </c>
      <c r="EP124" s="216">
        <f t="shared" ca="1" si="110"/>
        <v>-8.0093741416931152E-8</v>
      </c>
      <c r="EQ124" s="216">
        <f t="shared" ca="1" si="110"/>
        <v>-8.0093741416931152E-8</v>
      </c>
    </row>
    <row r="125" spans="2:147" ht="11.25" customHeight="1">
      <c r="B125" s="2719" t="s">
        <v>1096</v>
      </c>
      <c r="C125" s="2720"/>
      <c r="D125" s="2720"/>
      <c r="E125" s="2720"/>
      <c r="F125" s="2720"/>
      <c r="G125" s="2720"/>
      <c r="H125" s="2721"/>
      <c r="I125" s="2722">
        <f t="shared" ref="I125:I135" ca="1" si="111">IFERROR((IRR($L125:$EQ125,0.001)+1)^12-1,)</f>
        <v>7.122499999999965E-2</v>
      </c>
      <c r="J125" s="2723">
        <f t="shared" ref="J125:J135" ca="1" si="112">SUM(L125:EQ125)</f>
        <v>16800000</v>
      </c>
      <c r="L125" s="2723">
        <f ca="1">-(L95-L99)</f>
        <v>-24000000</v>
      </c>
      <c r="M125" s="2723">
        <f t="shared" ref="M125:BX125" ca="1" si="113">-(M95-M99)</f>
        <v>0</v>
      </c>
      <c r="N125" s="2723">
        <f t="shared" ca="1" si="113"/>
        <v>0</v>
      </c>
      <c r="O125" s="2723">
        <f t="shared" ca="1" si="113"/>
        <v>0</v>
      </c>
      <c r="P125" s="2723">
        <f t="shared" ca="1" si="113"/>
        <v>0</v>
      </c>
      <c r="Q125" s="2723">
        <f t="shared" ca="1" si="113"/>
        <v>0</v>
      </c>
      <c r="R125" s="2723">
        <f t="shared" ca="1" si="113"/>
        <v>840000.00000000012</v>
      </c>
      <c r="S125" s="2723">
        <f t="shared" ca="1" si="113"/>
        <v>0</v>
      </c>
      <c r="T125" s="2723">
        <f t="shared" ca="1" si="113"/>
        <v>0</v>
      </c>
      <c r="U125" s="2723">
        <f t="shared" ca="1" si="113"/>
        <v>0</v>
      </c>
      <c r="V125" s="2723">
        <f t="shared" ca="1" si="113"/>
        <v>0</v>
      </c>
      <c r="W125" s="2723">
        <f t="shared" ca="1" si="113"/>
        <v>0</v>
      </c>
      <c r="X125" s="2723">
        <f t="shared" ca="1" si="113"/>
        <v>840000.00000000012</v>
      </c>
      <c r="Y125" s="2723">
        <f t="shared" ca="1" si="113"/>
        <v>0</v>
      </c>
      <c r="Z125" s="2723">
        <f t="shared" ca="1" si="113"/>
        <v>0</v>
      </c>
      <c r="AA125" s="2723">
        <f t="shared" ca="1" si="113"/>
        <v>0</v>
      </c>
      <c r="AB125" s="2723">
        <f t="shared" ca="1" si="113"/>
        <v>0</v>
      </c>
      <c r="AC125" s="2723">
        <f t="shared" ca="1" si="113"/>
        <v>0</v>
      </c>
      <c r="AD125" s="2723">
        <f t="shared" ca="1" si="113"/>
        <v>840000.00000000012</v>
      </c>
      <c r="AE125" s="2723">
        <f t="shared" ca="1" si="113"/>
        <v>0</v>
      </c>
      <c r="AF125" s="2723">
        <f t="shared" ca="1" si="113"/>
        <v>0</v>
      </c>
      <c r="AG125" s="2723">
        <f t="shared" ca="1" si="113"/>
        <v>0</v>
      </c>
      <c r="AH125" s="2723">
        <f t="shared" ca="1" si="113"/>
        <v>0</v>
      </c>
      <c r="AI125" s="2723">
        <f t="shared" ca="1" si="113"/>
        <v>0</v>
      </c>
      <c r="AJ125" s="2723">
        <f t="shared" ca="1" si="113"/>
        <v>840000.00000000012</v>
      </c>
      <c r="AK125" s="2723">
        <f t="shared" ca="1" si="113"/>
        <v>0</v>
      </c>
      <c r="AL125" s="2723">
        <f t="shared" ca="1" si="113"/>
        <v>0</v>
      </c>
      <c r="AM125" s="2723">
        <f t="shared" ca="1" si="113"/>
        <v>0</v>
      </c>
      <c r="AN125" s="2723">
        <f t="shared" ca="1" si="113"/>
        <v>0</v>
      </c>
      <c r="AO125" s="2723">
        <f t="shared" ca="1" si="113"/>
        <v>0</v>
      </c>
      <c r="AP125" s="2723">
        <f t="shared" ca="1" si="113"/>
        <v>840000.00000000012</v>
      </c>
      <c r="AQ125" s="2723">
        <f t="shared" ca="1" si="113"/>
        <v>0</v>
      </c>
      <c r="AR125" s="2723">
        <f t="shared" ca="1" si="113"/>
        <v>0</v>
      </c>
      <c r="AS125" s="2723">
        <f t="shared" ca="1" si="113"/>
        <v>0</v>
      </c>
      <c r="AT125" s="2723">
        <f t="shared" ca="1" si="113"/>
        <v>0</v>
      </c>
      <c r="AU125" s="2723">
        <f t="shared" ca="1" si="113"/>
        <v>0</v>
      </c>
      <c r="AV125" s="2723">
        <f t="shared" ca="1" si="113"/>
        <v>840000.00000000012</v>
      </c>
      <c r="AW125" s="2723">
        <f t="shared" ca="1" si="113"/>
        <v>0</v>
      </c>
      <c r="AX125" s="2723">
        <f t="shared" ca="1" si="113"/>
        <v>0</v>
      </c>
      <c r="AY125" s="2723">
        <f t="shared" ca="1" si="113"/>
        <v>0</v>
      </c>
      <c r="AZ125" s="2723">
        <f t="shared" ca="1" si="113"/>
        <v>0</v>
      </c>
      <c r="BA125" s="2723">
        <f t="shared" ca="1" si="113"/>
        <v>0</v>
      </c>
      <c r="BB125" s="2723">
        <f t="shared" ca="1" si="113"/>
        <v>840000.00000000012</v>
      </c>
      <c r="BC125" s="2723">
        <f t="shared" ca="1" si="113"/>
        <v>0</v>
      </c>
      <c r="BD125" s="2723">
        <f t="shared" ca="1" si="113"/>
        <v>0</v>
      </c>
      <c r="BE125" s="2723">
        <f t="shared" ca="1" si="113"/>
        <v>0</v>
      </c>
      <c r="BF125" s="2723">
        <f t="shared" ca="1" si="113"/>
        <v>0</v>
      </c>
      <c r="BG125" s="2723">
        <f t="shared" ca="1" si="113"/>
        <v>0</v>
      </c>
      <c r="BH125" s="2723">
        <f t="shared" ca="1" si="113"/>
        <v>840000.00000000012</v>
      </c>
      <c r="BI125" s="2723">
        <f t="shared" ca="1" si="113"/>
        <v>0</v>
      </c>
      <c r="BJ125" s="2723">
        <f t="shared" ca="1" si="113"/>
        <v>0</v>
      </c>
      <c r="BK125" s="2723">
        <f t="shared" ca="1" si="113"/>
        <v>0</v>
      </c>
      <c r="BL125" s="2723">
        <f t="shared" ca="1" si="113"/>
        <v>0</v>
      </c>
      <c r="BM125" s="2723">
        <f t="shared" ca="1" si="113"/>
        <v>0</v>
      </c>
      <c r="BN125" s="2723">
        <f t="shared" ca="1" si="113"/>
        <v>840000.00000000012</v>
      </c>
      <c r="BO125" s="2723">
        <f t="shared" ca="1" si="113"/>
        <v>0</v>
      </c>
      <c r="BP125" s="2723">
        <f t="shared" ca="1" si="113"/>
        <v>0</v>
      </c>
      <c r="BQ125" s="2723">
        <f t="shared" ca="1" si="113"/>
        <v>0</v>
      </c>
      <c r="BR125" s="2723">
        <f t="shared" ca="1" si="113"/>
        <v>0</v>
      </c>
      <c r="BS125" s="2723">
        <f t="shared" ca="1" si="113"/>
        <v>0</v>
      </c>
      <c r="BT125" s="2723">
        <f t="shared" ca="1" si="113"/>
        <v>840000.00000000012</v>
      </c>
      <c r="BU125" s="2723">
        <f t="shared" ca="1" si="113"/>
        <v>0</v>
      </c>
      <c r="BV125" s="2723">
        <f t="shared" ca="1" si="113"/>
        <v>0</v>
      </c>
      <c r="BW125" s="2723">
        <f t="shared" ca="1" si="113"/>
        <v>0</v>
      </c>
      <c r="BX125" s="2723">
        <f t="shared" ca="1" si="113"/>
        <v>0</v>
      </c>
      <c r="BY125" s="2723">
        <f t="shared" ref="BY125:DP125" ca="1" si="114">-(BY95-BY99)</f>
        <v>0</v>
      </c>
      <c r="BZ125" s="2723">
        <f t="shared" ca="1" si="114"/>
        <v>840000.00000000012</v>
      </c>
      <c r="CA125" s="2723">
        <f t="shared" ca="1" si="114"/>
        <v>0</v>
      </c>
      <c r="CB125" s="2723">
        <f t="shared" ca="1" si="114"/>
        <v>0</v>
      </c>
      <c r="CC125" s="2723">
        <f t="shared" ca="1" si="114"/>
        <v>0</v>
      </c>
      <c r="CD125" s="2723">
        <f t="shared" ca="1" si="114"/>
        <v>0</v>
      </c>
      <c r="CE125" s="2723">
        <f t="shared" ca="1" si="114"/>
        <v>0</v>
      </c>
      <c r="CF125" s="2723">
        <f t="shared" ca="1" si="114"/>
        <v>840000.00000000012</v>
      </c>
      <c r="CG125" s="2723">
        <f t="shared" ca="1" si="114"/>
        <v>0</v>
      </c>
      <c r="CH125" s="2723">
        <f t="shared" ca="1" si="114"/>
        <v>0</v>
      </c>
      <c r="CI125" s="2723">
        <f t="shared" ca="1" si="114"/>
        <v>0</v>
      </c>
      <c r="CJ125" s="2723">
        <f t="shared" ca="1" si="114"/>
        <v>0</v>
      </c>
      <c r="CK125" s="2723">
        <f t="shared" ca="1" si="114"/>
        <v>0</v>
      </c>
      <c r="CL125" s="2723">
        <f t="shared" ca="1" si="114"/>
        <v>840000.00000000012</v>
      </c>
      <c r="CM125" s="2723">
        <f t="shared" ca="1" si="114"/>
        <v>0</v>
      </c>
      <c r="CN125" s="2723">
        <f t="shared" ca="1" si="114"/>
        <v>0</v>
      </c>
      <c r="CO125" s="2723">
        <f t="shared" ca="1" si="114"/>
        <v>0</v>
      </c>
      <c r="CP125" s="2723">
        <f t="shared" ca="1" si="114"/>
        <v>0</v>
      </c>
      <c r="CQ125" s="2723">
        <f t="shared" ca="1" si="114"/>
        <v>0</v>
      </c>
      <c r="CR125" s="2723">
        <f t="shared" ca="1" si="114"/>
        <v>840000.00000000012</v>
      </c>
      <c r="CS125" s="2723">
        <f t="shared" ca="1" si="114"/>
        <v>0</v>
      </c>
      <c r="CT125" s="2723">
        <f t="shared" ca="1" si="114"/>
        <v>0</v>
      </c>
      <c r="CU125" s="2723">
        <f t="shared" ca="1" si="114"/>
        <v>0</v>
      </c>
      <c r="CV125" s="2723">
        <f t="shared" ca="1" si="114"/>
        <v>0</v>
      </c>
      <c r="CW125" s="2723">
        <f t="shared" ca="1" si="114"/>
        <v>0</v>
      </c>
      <c r="CX125" s="2723">
        <f t="shared" ca="1" si="114"/>
        <v>840000.00000000012</v>
      </c>
      <c r="CY125" s="2723">
        <f t="shared" ca="1" si="114"/>
        <v>0</v>
      </c>
      <c r="CZ125" s="2723">
        <f t="shared" ca="1" si="114"/>
        <v>0</v>
      </c>
      <c r="DA125" s="2723">
        <f t="shared" ca="1" si="114"/>
        <v>0</v>
      </c>
      <c r="DB125" s="2723">
        <f t="shared" ca="1" si="114"/>
        <v>0</v>
      </c>
      <c r="DC125" s="2723">
        <f t="shared" ca="1" si="114"/>
        <v>0</v>
      </c>
      <c r="DD125" s="2723">
        <f t="shared" ca="1" si="114"/>
        <v>840000.00000000012</v>
      </c>
      <c r="DE125" s="2723">
        <f t="shared" ca="1" si="114"/>
        <v>0</v>
      </c>
      <c r="DF125" s="2723">
        <f t="shared" ca="1" si="114"/>
        <v>0</v>
      </c>
      <c r="DG125" s="2723">
        <f t="shared" ca="1" si="114"/>
        <v>0</v>
      </c>
      <c r="DH125" s="2723">
        <f t="shared" ca="1" si="114"/>
        <v>0</v>
      </c>
      <c r="DI125" s="2723">
        <f t="shared" ca="1" si="114"/>
        <v>0</v>
      </c>
      <c r="DJ125" s="2723">
        <f t="shared" ca="1" si="114"/>
        <v>840000.00000000012</v>
      </c>
      <c r="DK125" s="2723">
        <f t="shared" ca="1" si="114"/>
        <v>0</v>
      </c>
      <c r="DL125" s="2723">
        <f t="shared" ca="1" si="114"/>
        <v>0</v>
      </c>
      <c r="DM125" s="2723">
        <f t="shared" ca="1" si="114"/>
        <v>0</v>
      </c>
      <c r="DN125" s="2723">
        <f t="shared" ca="1" si="114"/>
        <v>0</v>
      </c>
      <c r="DO125" s="2723">
        <f t="shared" ca="1" si="114"/>
        <v>0</v>
      </c>
      <c r="DP125" s="2723">
        <f t="shared" ca="1" si="114"/>
        <v>840000.00000000012</v>
      </c>
      <c r="DQ125" s="2723">
        <f t="shared" ref="DQ125:EQ125" ca="1" si="115">-(DQ95-DQ99)</f>
        <v>0</v>
      </c>
      <c r="DR125" s="2723">
        <f t="shared" ca="1" si="115"/>
        <v>0</v>
      </c>
      <c r="DS125" s="2723">
        <f t="shared" ca="1" si="115"/>
        <v>0</v>
      </c>
      <c r="DT125" s="2723">
        <f t="shared" ca="1" si="115"/>
        <v>0</v>
      </c>
      <c r="DU125" s="2723">
        <f t="shared" ca="1" si="115"/>
        <v>0</v>
      </c>
      <c r="DV125" s="2723">
        <f t="shared" ca="1" si="115"/>
        <v>840000.00000000012</v>
      </c>
      <c r="DW125" s="2723">
        <f t="shared" ca="1" si="115"/>
        <v>0</v>
      </c>
      <c r="DX125" s="2723">
        <f t="shared" ca="1" si="115"/>
        <v>0</v>
      </c>
      <c r="DY125" s="2723">
        <f t="shared" ca="1" si="115"/>
        <v>0</v>
      </c>
      <c r="DZ125" s="2723">
        <f t="shared" ca="1" si="115"/>
        <v>0</v>
      </c>
      <c r="EA125" s="2723">
        <f t="shared" ca="1" si="115"/>
        <v>0</v>
      </c>
      <c r="EB125" s="2723">
        <f t="shared" ca="1" si="115"/>
        <v>24840000</v>
      </c>
      <c r="EC125" s="2723">
        <f t="shared" ca="1" si="115"/>
        <v>0</v>
      </c>
      <c r="ED125" s="2723">
        <f t="shared" ca="1" si="115"/>
        <v>0</v>
      </c>
      <c r="EE125" s="2723">
        <f t="shared" ca="1" si="115"/>
        <v>0</v>
      </c>
      <c r="EF125" s="2723">
        <f t="shared" ca="1" si="115"/>
        <v>0</v>
      </c>
      <c r="EG125" s="2723">
        <f t="shared" ca="1" si="115"/>
        <v>0</v>
      </c>
      <c r="EH125" s="2723">
        <f t="shared" ca="1" si="115"/>
        <v>0</v>
      </c>
      <c r="EI125" s="2723">
        <f t="shared" ca="1" si="115"/>
        <v>0</v>
      </c>
      <c r="EJ125" s="2723">
        <f t="shared" ca="1" si="115"/>
        <v>0</v>
      </c>
      <c r="EK125" s="2723">
        <f t="shared" ca="1" si="115"/>
        <v>0</v>
      </c>
      <c r="EL125" s="2723">
        <f t="shared" ca="1" si="115"/>
        <v>0</v>
      </c>
      <c r="EM125" s="2723">
        <f t="shared" ca="1" si="115"/>
        <v>0</v>
      </c>
      <c r="EN125" s="2723">
        <f t="shared" ca="1" si="115"/>
        <v>0</v>
      </c>
      <c r="EO125" s="2723">
        <f t="shared" ca="1" si="115"/>
        <v>0</v>
      </c>
      <c r="EP125" s="2723">
        <f t="shared" ca="1" si="115"/>
        <v>0</v>
      </c>
      <c r="EQ125" s="2723">
        <f t="shared" ca="1" si="115"/>
        <v>0</v>
      </c>
    </row>
    <row r="126" spans="2:147" ht="11.25" customHeight="1">
      <c r="B126" s="237" t="s">
        <v>1097</v>
      </c>
      <c r="C126" s="238"/>
      <c r="D126" s="238"/>
      <c r="E126" s="238"/>
      <c r="F126" s="238"/>
      <c r="G126" s="238"/>
      <c r="H126" s="239"/>
      <c r="I126" s="243">
        <f t="shared" ca="1" si="111"/>
        <v>7.122499999999965E-2</v>
      </c>
      <c r="J126" s="241">
        <f t="shared" ca="1" si="112"/>
        <v>16800000</v>
      </c>
      <c r="L126" s="235">
        <f ca="1">-L95</f>
        <v>-24000000</v>
      </c>
      <c r="M126" s="235">
        <f t="shared" ref="M126:BX126" ca="1" si="116">-M95</f>
        <v>0</v>
      </c>
      <c r="N126" s="235">
        <f t="shared" ca="1" si="116"/>
        <v>0</v>
      </c>
      <c r="O126" s="235">
        <f t="shared" ca="1" si="116"/>
        <v>0</v>
      </c>
      <c r="P126" s="235">
        <f t="shared" ca="1" si="116"/>
        <v>0</v>
      </c>
      <c r="Q126" s="235">
        <f t="shared" ca="1" si="116"/>
        <v>0</v>
      </c>
      <c r="R126" s="235">
        <f t="shared" ca="1" si="116"/>
        <v>840000.00000000012</v>
      </c>
      <c r="S126" s="235">
        <f t="shared" ca="1" si="116"/>
        <v>0</v>
      </c>
      <c r="T126" s="235">
        <f t="shared" ca="1" si="116"/>
        <v>0</v>
      </c>
      <c r="U126" s="235">
        <f t="shared" ca="1" si="116"/>
        <v>0</v>
      </c>
      <c r="V126" s="235">
        <f t="shared" ca="1" si="116"/>
        <v>0</v>
      </c>
      <c r="W126" s="235">
        <f t="shared" ca="1" si="116"/>
        <v>0</v>
      </c>
      <c r="X126" s="235">
        <f t="shared" ca="1" si="116"/>
        <v>840000.00000000012</v>
      </c>
      <c r="Y126" s="235">
        <f t="shared" ca="1" si="116"/>
        <v>0</v>
      </c>
      <c r="Z126" s="235">
        <f t="shared" ca="1" si="116"/>
        <v>0</v>
      </c>
      <c r="AA126" s="235">
        <f t="shared" ca="1" si="116"/>
        <v>0</v>
      </c>
      <c r="AB126" s="235">
        <f t="shared" ca="1" si="116"/>
        <v>0</v>
      </c>
      <c r="AC126" s="235">
        <f t="shared" ca="1" si="116"/>
        <v>0</v>
      </c>
      <c r="AD126" s="235">
        <f t="shared" ca="1" si="116"/>
        <v>840000.00000000012</v>
      </c>
      <c r="AE126" s="235">
        <f t="shared" ca="1" si="116"/>
        <v>0</v>
      </c>
      <c r="AF126" s="235">
        <f t="shared" ca="1" si="116"/>
        <v>0</v>
      </c>
      <c r="AG126" s="235">
        <f t="shared" ca="1" si="116"/>
        <v>0</v>
      </c>
      <c r="AH126" s="235">
        <f t="shared" ca="1" si="116"/>
        <v>0</v>
      </c>
      <c r="AI126" s="235">
        <f t="shared" ca="1" si="116"/>
        <v>0</v>
      </c>
      <c r="AJ126" s="235">
        <f t="shared" ca="1" si="116"/>
        <v>840000.00000000012</v>
      </c>
      <c r="AK126" s="235">
        <f t="shared" ca="1" si="116"/>
        <v>0</v>
      </c>
      <c r="AL126" s="235">
        <f t="shared" ca="1" si="116"/>
        <v>0</v>
      </c>
      <c r="AM126" s="235">
        <f t="shared" ca="1" si="116"/>
        <v>0</v>
      </c>
      <c r="AN126" s="235">
        <f t="shared" ca="1" si="116"/>
        <v>0</v>
      </c>
      <c r="AO126" s="235">
        <f t="shared" ca="1" si="116"/>
        <v>0</v>
      </c>
      <c r="AP126" s="235">
        <f t="shared" ca="1" si="116"/>
        <v>840000.00000000012</v>
      </c>
      <c r="AQ126" s="235">
        <f t="shared" ca="1" si="116"/>
        <v>0</v>
      </c>
      <c r="AR126" s="235">
        <f t="shared" ca="1" si="116"/>
        <v>0</v>
      </c>
      <c r="AS126" s="235">
        <f t="shared" ca="1" si="116"/>
        <v>0</v>
      </c>
      <c r="AT126" s="235">
        <f t="shared" ca="1" si="116"/>
        <v>0</v>
      </c>
      <c r="AU126" s="235">
        <f t="shared" ca="1" si="116"/>
        <v>0</v>
      </c>
      <c r="AV126" s="235">
        <f t="shared" ca="1" si="116"/>
        <v>840000.00000000012</v>
      </c>
      <c r="AW126" s="235">
        <f t="shared" ca="1" si="116"/>
        <v>0</v>
      </c>
      <c r="AX126" s="235">
        <f t="shared" ca="1" si="116"/>
        <v>0</v>
      </c>
      <c r="AY126" s="235">
        <f t="shared" ca="1" si="116"/>
        <v>0</v>
      </c>
      <c r="AZ126" s="235">
        <f t="shared" ca="1" si="116"/>
        <v>0</v>
      </c>
      <c r="BA126" s="235">
        <f t="shared" ca="1" si="116"/>
        <v>0</v>
      </c>
      <c r="BB126" s="235">
        <f t="shared" ca="1" si="116"/>
        <v>840000.00000000012</v>
      </c>
      <c r="BC126" s="235">
        <f t="shared" ca="1" si="116"/>
        <v>0</v>
      </c>
      <c r="BD126" s="235">
        <f t="shared" ca="1" si="116"/>
        <v>0</v>
      </c>
      <c r="BE126" s="235">
        <f t="shared" ca="1" si="116"/>
        <v>0</v>
      </c>
      <c r="BF126" s="235">
        <f t="shared" ca="1" si="116"/>
        <v>0</v>
      </c>
      <c r="BG126" s="235">
        <f t="shared" ca="1" si="116"/>
        <v>0</v>
      </c>
      <c r="BH126" s="235">
        <f t="shared" ca="1" si="116"/>
        <v>840000.00000000012</v>
      </c>
      <c r="BI126" s="235">
        <f t="shared" ca="1" si="116"/>
        <v>0</v>
      </c>
      <c r="BJ126" s="235">
        <f t="shared" ca="1" si="116"/>
        <v>0</v>
      </c>
      <c r="BK126" s="235">
        <f t="shared" ca="1" si="116"/>
        <v>0</v>
      </c>
      <c r="BL126" s="235">
        <f t="shared" ca="1" si="116"/>
        <v>0</v>
      </c>
      <c r="BM126" s="235">
        <f t="shared" ca="1" si="116"/>
        <v>0</v>
      </c>
      <c r="BN126" s="235">
        <f t="shared" ca="1" si="116"/>
        <v>840000.00000000012</v>
      </c>
      <c r="BO126" s="235">
        <f t="shared" ca="1" si="116"/>
        <v>0</v>
      </c>
      <c r="BP126" s="235">
        <f t="shared" ca="1" si="116"/>
        <v>0</v>
      </c>
      <c r="BQ126" s="235">
        <f t="shared" ca="1" si="116"/>
        <v>0</v>
      </c>
      <c r="BR126" s="235">
        <f t="shared" ca="1" si="116"/>
        <v>0</v>
      </c>
      <c r="BS126" s="235">
        <f t="shared" ca="1" si="116"/>
        <v>0</v>
      </c>
      <c r="BT126" s="235">
        <f t="shared" ca="1" si="116"/>
        <v>840000.00000000012</v>
      </c>
      <c r="BU126" s="235">
        <f t="shared" ca="1" si="116"/>
        <v>0</v>
      </c>
      <c r="BV126" s="235">
        <f t="shared" ca="1" si="116"/>
        <v>0</v>
      </c>
      <c r="BW126" s="235">
        <f t="shared" ca="1" si="116"/>
        <v>0</v>
      </c>
      <c r="BX126" s="235">
        <f t="shared" ca="1" si="116"/>
        <v>0</v>
      </c>
      <c r="BY126" s="235">
        <f t="shared" ref="BY126:DP126" ca="1" si="117">-BY95</f>
        <v>0</v>
      </c>
      <c r="BZ126" s="235">
        <f t="shared" ca="1" si="117"/>
        <v>840000.00000000012</v>
      </c>
      <c r="CA126" s="235">
        <f t="shared" ca="1" si="117"/>
        <v>0</v>
      </c>
      <c r="CB126" s="235">
        <f t="shared" ca="1" si="117"/>
        <v>0</v>
      </c>
      <c r="CC126" s="235">
        <f t="shared" ca="1" si="117"/>
        <v>0</v>
      </c>
      <c r="CD126" s="235">
        <f t="shared" ca="1" si="117"/>
        <v>0</v>
      </c>
      <c r="CE126" s="235">
        <f t="shared" ca="1" si="117"/>
        <v>0</v>
      </c>
      <c r="CF126" s="235">
        <f t="shared" ca="1" si="117"/>
        <v>840000.00000000012</v>
      </c>
      <c r="CG126" s="235">
        <f t="shared" ca="1" si="117"/>
        <v>0</v>
      </c>
      <c r="CH126" s="235">
        <f t="shared" ca="1" si="117"/>
        <v>0</v>
      </c>
      <c r="CI126" s="235">
        <f t="shared" ca="1" si="117"/>
        <v>0</v>
      </c>
      <c r="CJ126" s="235">
        <f t="shared" ca="1" si="117"/>
        <v>0</v>
      </c>
      <c r="CK126" s="235">
        <f t="shared" ca="1" si="117"/>
        <v>0</v>
      </c>
      <c r="CL126" s="235">
        <f t="shared" ca="1" si="117"/>
        <v>840000.00000000012</v>
      </c>
      <c r="CM126" s="235">
        <f t="shared" ca="1" si="117"/>
        <v>0</v>
      </c>
      <c r="CN126" s="235">
        <f t="shared" ca="1" si="117"/>
        <v>0</v>
      </c>
      <c r="CO126" s="235">
        <f t="shared" ca="1" si="117"/>
        <v>0</v>
      </c>
      <c r="CP126" s="235">
        <f t="shared" ca="1" si="117"/>
        <v>0</v>
      </c>
      <c r="CQ126" s="235">
        <f t="shared" ca="1" si="117"/>
        <v>0</v>
      </c>
      <c r="CR126" s="235">
        <f t="shared" ca="1" si="117"/>
        <v>840000.00000000012</v>
      </c>
      <c r="CS126" s="235">
        <f t="shared" ca="1" si="117"/>
        <v>0</v>
      </c>
      <c r="CT126" s="235">
        <f t="shared" ca="1" si="117"/>
        <v>0</v>
      </c>
      <c r="CU126" s="235">
        <f t="shared" ca="1" si="117"/>
        <v>0</v>
      </c>
      <c r="CV126" s="235">
        <f t="shared" ca="1" si="117"/>
        <v>0</v>
      </c>
      <c r="CW126" s="235">
        <f t="shared" ca="1" si="117"/>
        <v>0</v>
      </c>
      <c r="CX126" s="235">
        <f t="shared" ca="1" si="117"/>
        <v>840000.00000000012</v>
      </c>
      <c r="CY126" s="235">
        <f t="shared" ca="1" si="117"/>
        <v>0</v>
      </c>
      <c r="CZ126" s="235">
        <f t="shared" ca="1" si="117"/>
        <v>0</v>
      </c>
      <c r="DA126" s="235">
        <f t="shared" ca="1" si="117"/>
        <v>0</v>
      </c>
      <c r="DB126" s="235">
        <f t="shared" ca="1" si="117"/>
        <v>0</v>
      </c>
      <c r="DC126" s="235">
        <f t="shared" ca="1" si="117"/>
        <v>0</v>
      </c>
      <c r="DD126" s="235">
        <f t="shared" ca="1" si="117"/>
        <v>840000.00000000012</v>
      </c>
      <c r="DE126" s="235">
        <f t="shared" ca="1" si="117"/>
        <v>0</v>
      </c>
      <c r="DF126" s="235">
        <f t="shared" ca="1" si="117"/>
        <v>0</v>
      </c>
      <c r="DG126" s="235">
        <f t="shared" ca="1" si="117"/>
        <v>0</v>
      </c>
      <c r="DH126" s="235">
        <f t="shared" ca="1" si="117"/>
        <v>0</v>
      </c>
      <c r="DI126" s="235">
        <f t="shared" ca="1" si="117"/>
        <v>0</v>
      </c>
      <c r="DJ126" s="235">
        <f t="shared" ca="1" si="117"/>
        <v>840000.00000000012</v>
      </c>
      <c r="DK126" s="235">
        <f t="shared" ca="1" si="117"/>
        <v>0</v>
      </c>
      <c r="DL126" s="235">
        <f t="shared" ca="1" si="117"/>
        <v>0</v>
      </c>
      <c r="DM126" s="235">
        <f t="shared" ca="1" si="117"/>
        <v>0</v>
      </c>
      <c r="DN126" s="235">
        <f t="shared" ca="1" si="117"/>
        <v>0</v>
      </c>
      <c r="DO126" s="235">
        <f t="shared" ca="1" si="117"/>
        <v>0</v>
      </c>
      <c r="DP126" s="235">
        <f t="shared" ca="1" si="117"/>
        <v>840000.00000000012</v>
      </c>
      <c r="DQ126" s="235">
        <f t="shared" ref="DQ126:EQ126" ca="1" si="118">-DQ95</f>
        <v>0</v>
      </c>
      <c r="DR126" s="235">
        <f t="shared" ca="1" si="118"/>
        <v>0</v>
      </c>
      <c r="DS126" s="235">
        <f t="shared" ca="1" si="118"/>
        <v>0</v>
      </c>
      <c r="DT126" s="235">
        <f t="shared" ca="1" si="118"/>
        <v>0</v>
      </c>
      <c r="DU126" s="235">
        <f t="shared" ca="1" si="118"/>
        <v>0</v>
      </c>
      <c r="DV126" s="235">
        <f t="shared" ca="1" si="118"/>
        <v>840000.00000000012</v>
      </c>
      <c r="DW126" s="235">
        <f t="shared" ca="1" si="118"/>
        <v>0</v>
      </c>
      <c r="DX126" s="235">
        <f t="shared" ca="1" si="118"/>
        <v>0</v>
      </c>
      <c r="DY126" s="235">
        <f t="shared" ca="1" si="118"/>
        <v>0</v>
      </c>
      <c r="DZ126" s="235">
        <f t="shared" ca="1" si="118"/>
        <v>0</v>
      </c>
      <c r="EA126" s="235">
        <f t="shared" ca="1" si="118"/>
        <v>0</v>
      </c>
      <c r="EB126" s="235">
        <f t="shared" ca="1" si="118"/>
        <v>24840000</v>
      </c>
      <c r="EC126" s="235">
        <f t="shared" ca="1" si="118"/>
        <v>0</v>
      </c>
      <c r="ED126" s="235">
        <f t="shared" ca="1" si="118"/>
        <v>0</v>
      </c>
      <c r="EE126" s="235">
        <f t="shared" ca="1" si="118"/>
        <v>0</v>
      </c>
      <c r="EF126" s="235">
        <f t="shared" ca="1" si="118"/>
        <v>0</v>
      </c>
      <c r="EG126" s="235">
        <f t="shared" ca="1" si="118"/>
        <v>0</v>
      </c>
      <c r="EH126" s="235">
        <f t="shared" ca="1" si="118"/>
        <v>0</v>
      </c>
      <c r="EI126" s="235">
        <f t="shared" ca="1" si="118"/>
        <v>0</v>
      </c>
      <c r="EJ126" s="235">
        <f t="shared" ca="1" si="118"/>
        <v>0</v>
      </c>
      <c r="EK126" s="235">
        <f t="shared" ca="1" si="118"/>
        <v>0</v>
      </c>
      <c r="EL126" s="235">
        <f t="shared" ca="1" si="118"/>
        <v>0</v>
      </c>
      <c r="EM126" s="235">
        <f t="shared" ca="1" si="118"/>
        <v>0</v>
      </c>
      <c r="EN126" s="235">
        <f t="shared" ca="1" si="118"/>
        <v>0</v>
      </c>
      <c r="EO126" s="235">
        <f t="shared" ca="1" si="118"/>
        <v>0</v>
      </c>
      <c r="EP126" s="235">
        <f t="shared" ca="1" si="118"/>
        <v>0</v>
      </c>
      <c r="EQ126" s="235">
        <f t="shared" ca="1" si="118"/>
        <v>0</v>
      </c>
    </row>
    <row r="127" spans="2:147" ht="11.25" customHeight="1">
      <c r="B127" s="211" t="s">
        <v>1098</v>
      </c>
      <c r="C127" s="212"/>
      <c r="D127" s="212"/>
      <c r="E127" s="212"/>
      <c r="F127" s="212"/>
      <c r="G127" s="212"/>
      <c r="H127" s="213"/>
      <c r="I127" s="242">
        <f t="shared" ca="1" si="111"/>
        <v>7.5965190732597998E-2</v>
      </c>
      <c r="J127" s="216">
        <f t="shared" ca="1" si="112"/>
        <v>37500000</v>
      </c>
      <c r="L127" s="216">
        <f ca="1">-(L100-L104)</f>
        <v>-50000000</v>
      </c>
      <c r="M127" s="216">
        <f t="shared" ref="M127:BX127" ca="1" si="119">-(M100-M104)</f>
        <v>0</v>
      </c>
      <c r="N127" s="216">
        <f t="shared" ca="1" si="119"/>
        <v>0</v>
      </c>
      <c r="O127" s="216">
        <f t="shared" ca="1" si="119"/>
        <v>0</v>
      </c>
      <c r="P127" s="216">
        <f t="shared" ca="1" si="119"/>
        <v>0</v>
      </c>
      <c r="Q127" s="216">
        <f t="shared" ca="1" si="119"/>
        <v>0</v>
      </c>
      <c r="R127" s="216">
        <f t="shared" ca="1" si="119"/>
        <v>1875000</v>
      </c>
      <c r="S127" s="216">
        <f t="shared" ca="1" si="119"/>
        <v>0</v>
      </c>
      <c r="T127" s="216">
        <f t="shared" ca="1" si="119"/>
        <v>0</v>
      </c>
      <c r="U127" s="216">
        <f t="shared" ca="1" si="119"/>
        <v>0</v>
      </c>
      <c r="V127" s="216">
        <f t="shared" ca="1" si="119"/>
        <v>0</v>
      </c>
      <c r="W127" s="216">
        <f t="shared" ca="1" si="119"/>
        <v>0</v>
      </c>
      <c r="X127" s="216">
        <f t="shared" ca="1" si="119"/>
        <v>1875000</v>
      </c>
      <c r="Y127" s="216">
        <f t="shared" ca="1" si="119"/>
        <v>0</v>
      </c>
      <c r="Z127" s="216">
        <f t="shared" ca="1" si="119"/>
        <v>0</v>
      </c>
      <c r="AA127" s="216">
        <f t="shared" ca="1" si="119"/>
        <v>0</v>
      </c>
      <c r="AB127" s="216">
        <f t="shared" ca="1" si="119"/>
        <v>0</v>
      </c>
      <c r="AC127" s="216">
        <f t="shared" ca="1" si="119"/>
        <v>0</v>
      </c>
      <c r="AD127" s="216">
        <f t="shared" ca="1" si="119"/>
        <v>1875000</v>
      </c>
      <c r="AE127" s="216">
        <f t="shared" ca="1" si="119"/>
        <v>0</v>
      </c>
      <c r="AF127" s="216">
        <f t="shared" ca="1" si="119"/>
        <v>0</v>
      </c>
      <c r="AG127" s="216">
        <f t="shared" ca="1" si="119"/>
        <v>0</v>
      </c>
      <c r="AH127" s="216">
        <f t="shared" ca="1" si="119"/>
        <v>0</v>
      </c>
      <c r="AI127" s="216">
        <f t="shared" ca="1" si="119"/>
        <v>0</v>
      </c>
      <c r="AJ127" s="216">
        <f t="shared" ca="1" si="119"/>
        <v>1875000</v>
      </c>
      <c r="AK127" s="216">
        <f t="shared" ca="1" si="119"/>
        <v>0</v>
      </c>
      <c r="AL127" s="216">
        <f t="shared" ca="1" si="119"/>
        <v>0</v>
      </c>
      <c r="AM127" s="216">
        <f t="shared" ca="1" si="119"/>
        <v>0</v>
      </c>
      <c r="AN127" s="216">
        <f t="shared" ca="1" si="119"/>
        <v>0</v>
      </c>
      <c r="AO127" s="216">
        <f t="shared" ca="1" si="119"/>
        <v>0</v>
      </c>
      <c r="AP127" s="216">
        <f t="shared" ca="1" si="119"/>
        <v>1875000</v>
      </c>
      <c r="AQ127" s="216">
        <f t="shared" ca="1" si="119"/>
        <v>0</v>
      </c>
      <c r="AR127" s="216">
        <f t="shared" ca="1" si="119"/>
        <v>0</v>
      </c>
      <c r="AS127" s="216">
        <f t="shared" ca="1" si="119"/>
        <v>0</v>
      </c>
      <c r="AT127" s="216">
        <f t="shared" ca="1" si="119"/>
        <v>0</v>
      </c>
      <c r="AU127" s="216">
        <f t="shared" ca="1" si="119"/>
        <v>0</v>
      </c>
      <c r="AV127" s="216">
        <f t="shared" ca="1" si="119"/>
        <v>1875000</v>
      </c>
      <c r="AW127" s="216">
        <f t="shared" ca="1" si="119"/>
        <v>0</v>
      </c>
      <c r="AX127" s="216">
        <f t="shared" ca="1" si="119"/>
        <v>0</v>
      </c>
      <c r="AY127" s="216">
        <f t="shared" ca="1" si="119"/>
        <v>0</v>
      </c>
      <c r="AZ127" s="216">
        <f t="shared" ca="1" si="119"/>
        <v>0</v>
      </c>
      <c r="BA127" s="216">
        <f t="shared" ca="1" si="119"/>
        <v>0</v>
      </c>
      <c r="BB127" s="216">
        <f t="shared" ca="1" si="119"/>
        <v>1762472.0129412687</v>
      </c>
      <c r="BC127" s="216">
        <f t="shared" ca="1" si="119"/>
        <v>0</v>
      </c>
      <c r="BD127" s="216">
        <f t="shared" ca="1" si="119"/>
        <v>0</v>
      </c>
      <c r="BE127" s="216">
        <f t="shared" ca="1" si="119"/>
        <v>0</v>
      </c>
      <c r="BF127" s="216">
        <f t="shared" ca="1" si="119"/>
        <v>0</v>
      </c>
      <c r="BG127" s="216">
        <f t="shared" ca="1" si="119"/>
        <v>0</v>
      </c>
      <c r="BH127" s="216">
        <f t="shared" ca="1" si="119"/>
        <v>1513291.9989280105</v>
      </c>
      <c r="BI127" s="216">
        <f t="shared" ca="1" si="119"/>
        <v>0</v>
      </c>
      <c r="BJ127" s="216">
        <f t="shared" ca="1" si="119"/>
        <v>0</v>
      </c>
      <c r="BK127" s="216">
        <f t="shared" ca="1" si="119"/>
        <v>0</v>
      </c>
      <c r="BL127" s="216">
        <f t="shared" ca="1" si="119"/>
        <v>0</v>
      </c>
      <c r="BM127" s="216">
        <f t="shared" ca="1" si="119"/>
        <v>0</v>
      </c>
      <c r="BN127" s="216">
        <f t="shared" ca="1" si="119"/>
        <v>1265541.4966859473</v>
      </c>
      <c r="BO127" s="216">
        <f t="shared" ca="1" si="119"/>
        <v>0</v>
      </c>
      <c r="BP127" s="216">
        <f t="shared" ca="1" si="119"/>
        <v>0</v>
      </c>
      <c r="BQ127" s="216">
        <f t="shared" ca="1" si="119"/>
        <v>0</v>
      </c>
      <c r="BR127" s="216">
        <f t="shared" ca="1" si="119"/>
        <v>0</v>
      </c>
      <c r="BS127" s="216">
        <f t="shared" ca="1" si="119"/>
        <v>0</v>
      </c>
      <c r="BT127" s="216">
        <f t="shared" ca="1" si="119"/>
        <v>1722478.4355854392</v>
      </c>
      <c r="BU127" s="216">
        <f t="shared" ca="1" si="119"/>
        <v>0</v>
      </c>
      <c r="BV127" s="216">
        <f t="shared" ca="1" si="119"/>
        <v>0</v>
      </c>
      <c r="BW127" s="216">
        <f t="shared" ca="1" si="119"/>
        <v>0</v>
      </c>
      <c r="BX127" s="216">
        <f t="shared" ca="1" si="119"/>
        <v>0</v>
      </c>
      <c r="BY127" s="216">
        <f t="shared" ref="BY127:EJ127" ca="1" si="120">-(BY100-BY104)</f>
        <v>0</v>
      </c>
      <c r="BZ127" s="216">
        <f t="shared" ca="1" si="120"/>
        <v>1805647.7403300544</v>
      </c>
      <c r="CA127" s="216">
        <f t="shared" ca="1" si="120"/>
        <v>0</v>
      </c>
      <c r="CB127" s="216">
        <f t="shared" ca="1" si="120"/>
        <v>0</v>
      </c>
      <c r="CC127" s="216">
        <f t="shared" ca="1" si="120"/>
        <v>0</v>
      </c>
      <c r="CD127" s="216">
        <f t="shared" ca="1" si="120"/>
        <v>0</v>
      </c>
      <c r="CE127" s="216">
        <f t="shared" ca="1" si="120"/>
        <v>0</v>
      </c>
      <c r="CF127" s="216">
        <f t="shared" ca="1" si="120"/>
        <v>2258497.3462193981</v>
      </c>
      <c r="CG127" s="216">
        <f t="shared" ca="1" si="120"/>
        <v>0</v>
      </c>
      <c r="CH127" s="216">
        <f t="shared" ca="1" si="120"/>
        <v>0</v>
      </c>
      <c r="CI127" s="216">
        <f t="shared" ca="1" si="120"/>
        <v>0</v>
      </c>
      <c r="CJ127" s="216">
        <f t="shared" ca="1" si="120"/>
        <v>0</v>
      </c>
      <c r="CK127" s="216">
        <f t="shared" ca="1" si="120"/>
        <v>0</v>
      </c>
      <c r="CL127" s="216">
        <f t="shared" ca="1" si="120"/>
        <v>2031213.1788212531</v>
      </c>
      <c r="CM127" s="216">
        <f t="shared" ca="1" si="120"/>
        <v>0</v>
      </c>
      <c r="CN127" s="216">
        <f t="shared" ca="1" si="120"/>
        <v>0</v>
      </c>
      <c r="CO127" s="216">
        <f t="shared" ca="1" si="120"/>
        <v>0</v>
      </c>
      <c r="CP127" s="216">
        <f t="shared" ca="1" si="120"/>
        <v>0</v>
      </c>
      <c r="CQ127" s="216">
        <f t="shared" ca="1" si="120"/>
        <v>0</v>
      </c>
      <c r="CR127" s="216">
        <f t="shared" ca="1" si="120"/>
        <v>2480274.6567853596</v>
      </c>
      <c r="CS127" s="216">
        <f t="shared" ca="1" si="120"/>
        <v>0</v>
      </c>
      <c r="CT127" s="216">
        <f t="shared" ca="1" si="120"/>
        <v>0</v>
      </c>
      <c r="CU127" s="216">
        <f t="shared" ca="1" si="120"/>
        <v>0</v>
      </c>
      <c r="CV127" s="216">
        <f t="shared" ca="1" si="120"/>
        <v>0</v>
      </c>
      <c r="CW127" s="216">
        <f t="shared" ca="1" si="120"/>
        <v>0</v>
      </c>
      <c r="CX127" s="216">
        <f t="shared" ca="1" si="120"/>
        <v>2035583.1337032691</v>
      </c>
      <c r="CY127" s="216">
        <f t="shared" ca="1" si="120"/>
        <v>0</v>
      </c>
      <c r="CZ127" s="216">
        <f t="shared" ca="1" si="120"/>
        <v>0</v>
      </c>
      <c r="DA127" s="216">
        <f t="shared" ca="1" si="120"/>
        <v>0</v>
      </c>
      <c r="DB127" s="216">
        <f t="shared" ca="1" si="120"/>
        <v>0</v>
      </c>
      <c r="DC127" s="216">
        <f t="shared" ca="1" si="120"/>
        <v>0</v>
      </c>
      <c r="DD127" s="216">
        <f t="shared" ca="1" si="120"/>
        <v>1875000</v>
      </c>
      <c r="DE127" s="216">
        <f t="shared" ca="1" si="120"/>
        <v>0</v>
      </c>
      <c r="DF127" s="216">
        <f t="shared" ca="1" si="120"/>
        <v>0</v>
      </c>
      <c r="DG127" s="216">
        <f t="shared" ca="1" si="120"/>
        <v>0</v>
      </c>
      <c r="DH127" s="216">
        <f t="shared" ca="1" si="120"/>
        <v>0</v>
      </c>
      <c r="DI127" s="216">
        <f t="shared" ca="1" si="120"/>
        <v>0</v>
      </c>
      <c r="DJ127" s="216">
        <f t="shared" ca="1" si="120"/>
        <v>1875000</v>
      </c>
      <c r="DK127" s="216">
        <f t="shared" ca="1" si="120"/>
        <v>0</v>
      </c>
      <c r="DL127" s="216">
        <f t="shared" ca="1" si="120"/>
        <v>0</v>
      </c>
      <c r="DM127" s="216">
        <f t="shared" ca="1" si="120"/>
        <v>0</v>
      </c>
      <c r="DN127" s="216">
        <f t="shared" ca="1" si="120"/>
        <v>0</v>
      </c>
      <c r="DO127" s="216">
        <f t="shared" ca="1" si="120"/>
        <v>0</v>
      </c>
      <c r="DP127" s="216">
        <f t="shared" ca="1" si="120"/>
        <v>1875000</v>
      </c>
      <c r="DQ127" s="216">
        <f t="shared" ca="1" si="120"/>
        <v>0</v>
      </c>
      <c r="DR127" s="216">
        <f t="shared" ca="1" si="120"/>
        <v>0</v>
      </c>
      <c r="DS127" s="216">
        <f t="shared" ca="1" si="120"/>
        <v>0</v>
      </c>
      <c r="DT127" s="216">
        <f t="shared" ca="1" si="120"/>
        <v>0</v>
      </c>
      <c r="DU127" s="216">
        <f t="shared" ca="1" si="120"/>
        <v>0</v>
      </c>
      <c r="DV127" s="216">
        <f t="shared" ca="1" si="120"/>
        <v>1875000</v>
      </c>
      <c r="DW127" s="216">
        <f t="shared" ca="1" si="120"/>
        <v>0</v>
      </c>
      <c r="DX127" s="216">
        <f t="shared" ca="1" si="120"/>
        <v>0</v>
      </c>
      <c r="DY127" s="216">
        <f t="shared" ca="1" si="120"/>
        <v>0</v>
      </c>
      <c r="DZ127" s="216">
        <f t="shared" ca="1" si="120"/>
        <v>0</v>
      </c>
      <c r="EA127" s="216">
        <f t="shared" ca="1" si="120"/>
        <v>0</v>
      </c>
      <c r="EB127" s="216">
        <f t="shared" ca="1" si="120"/>
        <v>51875000</v>
      </c>
      <c r="EC127" s="216">
        <f t="shared" ca="1" si="120"/>
        <v>0</v>
      </c>
      <c r="ED127" s="216">
        <f t="shared" ca="1" si="120"/>
        <v>0</v>
      </c>
      <c r="EE127" s="216">
        <f t="shared" ca="1" si="120"/>
        <v>0</v>
      </c>
      <c r="EF127" s="216">
        <f t="shared" ca="1" si="120"/>
        <v>0</v>
      </c>
      <c r="EG127" s="216">
        <f t="shared" ca="1" si="120"/>
        <v>0</v>
      </c>
      <c r="EH127" s="216">
        <f t="shared" ca="1" si="120"/>
        <v>0</v>
      </c>
      <c r="EI127" s="216">
        <f t="shared" ca="1" si="120"/>
        <v>0</v>
      </c>
      <c r="EJ127" s="216">
        <f t="shared" ca="1" si="120"/>
        <v>0</v>
      </c>
      <c r="EK127" s="216">
        <f t="shared" ref="EK127:EQ127" ca="1" si="121">-(EK100-EK104)</f>
        <v>0</v>
      </c>
      <c r="EL127" s="216">
        <f t="shared" ca="1" si="121"/>
        <v>0</v>
      </c>
      <c r="EM127" s="216">
        <f t="shared" ca="1" si="121"/>
        <v>0</v>
      </c>
      <c r="EN127" s="216">
        <f t="shared" ca="1" si="121"/>
        <v>0</v>
      </c>
      <c r="EO127" s="216">
        <f t="shared" ca="1" si="121"/>
        <v>0</v>
      </c>
      <c r="EP127" s="216">
        <f t="shared" ca="1" si="121"/>
        <v>0</v>
      </c>
      <c r="EQ127" s="216">
        <f t="shared" ca="1" si="121"/>
        <v>0</v>
      </c>
    </row>
    <row r="128" spans="2:147" ht="11.25" customHeight="1">
      <c r="B128" s="237" t="s">
        <v>1099</v>
      </c>
      <c r="C128" s="238"/>
      <c r="D128" s="238"/>
      <c r="E128" s="238"/>
      <c r="F128" s="238"/>
      <c r="G128" s="238"/>
      <c r="H128" s="239"/>
      <c r="I128" s="243">
        <f t="shared" ca="1" si="111"/>
        <v>9.1542830896573557E-2</v>
      </c>
      <c r="J128" s="241">
        <f t="shared" ca="1" si="112"/>
        <v>49267613.337566935</v>
      </c>
      <c r="L128" s="235">
        <f ca="1">-L100</f>
        <v>-50000000</v>
      </c>
      <c r="M128" s="235">
        <f t="shared" ref="M128:BX128" ca="1" si="122">-M100</f>
        <v>0</v>
      </c>
      <c r="N128" s="235">
        <f t="shared" ca="1" si="122"/>
        <v>0</v>
      </c>
      <c r="O128" s="235">
        <f t="shared" ca="1" si="122"/>
        <v>0</v>
      </c>
      <c r="P128" s="235">
        <f t="shared" ca="1" si="122"/>
        <v>0</v>
      </c>
      <c r="Q128" s="235">
        <f t="shared" ca="1" si="122"/>
        <v>0</v>
      </c>
      <c r="R128" s="235">
        <f t="shared" ca="1" si="122"/>
        <v>1875000</v>
      </c>
      <c r="S128" s="235">
        <f t="shared" ca="1" si="122"/>
        <v>0</v>
      </c>
      <c r="T128" s="235">
        <f t="shared" ca="1" si="122"/>
        <v>0</v>
      </c>
      <c r="U128" s="235">
        <f t="shared" ca="1" si="122"/>
        <v>0</v>
      </c>
      <c r="V128" s="235">
        <f t="shared" ca="1" si="122"/>
        <v>0</v>
      </c>
      <c r="W128" s="235">
        <f t="shared" ca="1" si="122"/>
        <v>0</v>
      </c>
      <c r="X128" s="235">
        <f t="shared" ca="1" si="122"/>
        <v>1875000</v>
      </c>
      <c r="Y128" s="235">
        <f t="shared" ca="1" si="122"/>
        <v>0</v>
      </c>
      <c r="Z128" s="235">
        <f t="shared" ca="1" si="122"/>
        <v>0</v>
      </c>
      <c r="AA128" s="235">
        <f t="shared" ca="1" si="122"/>
        <v>0</v>
      </c>
      <c r="AB128" s="235">
        <f t="shared" ca="1" si="122"/>
        <v>0</v>
      </c>
      <c r="AC128" s="235">
        <f t="shared" ca="1" si="122"/>
        <v>0</v>
      </c>
      <c r="AD128" s="235">
        <f t="shared" ca="1" si="122"/>
        <v>1875000</v>
      </c>
      <c r="AE128" s="235">
        <f t="shared" ca="1" si="122"/>
        <v>0</v>
      </c>
      <c r="AF128" s="235">
        <f t="shared" ca="1" si="122"/>
        <v>0</v>
      </c>
      <c r="AG128" s="235">
        <f t="shared" ca="1" si="122"/>
        <v>0</v>
      </c>
      <c r="AH128" s="235">
        <f t="shared" ca="1" si="122"/>
        <v>0</v>
      </c>
      <c r="AI128" s="235">
        <f t="shared" ca="1" si="122"/>
        <v>0</v>
      </c>
      <c r="AJ128" s="235">
        <f t="shared" ca="1" si="122"/>
        <v>1875000</v>
      </c>
      <c r="AK128" s="235">
        <f t="shared" ca="1" si="122"/>
        <v>0</v>
      </c>
      <c r="AL128" s="235">
        <f t="shared" ca="1" si="122"/>
        <v>0</v>
      </c>
      <c r="AM128" s="235">
        <f t="shared" ca="1" si="122"/>
        <v>0</v>
      </c>
      <c r="AN128" s="235">
        <f t="shared" ca="1" si="122"/>
        <v>0</v>
      </c>
      <c r="AO128" s="235">
        <f t="shared" ca="1" si="122"/>
        <v>0</v>
      </c>
      <c r="AP128" s="235">
        <f t="shared" ca="1" si="122"/>
        <v>1875000</v>
      </c>
      <c r="AQ128" s="235">
        <f t="shared" ca="1" si="122"/>
        <v>0</v>
      </c>
      <c r="AR128" s="235">
        <f t="shared" ca="1" si="122"/>
        <v>0</v>
      </c>
      <c r="AS128" s="235">
        <f t="shared" ca="1" si="122"/>
        <v>0</v>
      </c>
      <c r="AT128" s="235">
        <f t="shared" ca="1" si="122"/>
        <v>0</v>
      </c>
      <c r="AU128" s="235">
        <f t="shared" ca="1" si="122"/>
        <v>0</v>
      </c>
      <c r="AV128" s="235">
        <f t="shared" ca="1" si="122"/>
        <v>1875000</v>
      </c>
      <c r="AW128" s="235">
        <f t="shared" ca="1" si="122"/>
        <v>0</v>
      </c>
      <c r="AX128" s="235">
        <f t="shared" ca="1" si="122"/>
        <v>0</v>
      </c>
      <c r="AY128" s="235">
        <f t="shared" ca="1" si="122"/>
        <v>0</v>
      </c>
      <c r="AZ128" s="235">
        <f t="shared" ca="1" si="122"/>
        <v>0</v>
      </c>
      <c r="BA128" s="235">
        <f t="shared" ca="1" si="122"/>
        <v>0</v>
      </c>
      <c r="BB128" s="235">
        <f t="shared" ca="1" si="122"/>
        <v>1762472.0129412687</v>
      </c>
      <c r="BC128" s="235">
        <f t="shared" ca="1" si="122"/>
        <v>0</v>
      </c>
      <c r="BD128" s="235">
        <f t="shared" ca="1" si="122"/>
        <v>0</v>
      </c>
      <c r="BE128" s="235">
        <f t="shared" ca="1" si="122"/>
        <v>0</v>
      </c>
      <c r="BF128" s="235">
        <f t="shared" ca="1" si="122"/>
        <v>0</v>
      </c>
      <c r="BG128" s="235">
        <f t="shared" ca="1" si="122"/>
        <v>0</v>
      </c>
      <c r="BH128" s="235">
        <f t="shared" ca="1" si="122"/>
        <v>1513291.9989280105</v>
      </c>
      <c r="BI128" s="235">
        <f t="shared" ca="1" si="122"/>
        <v>0</v>
      </c>
      <c r="BJ128" s="235">
        <f t="shared" ca="1" si="122"/>
        <v>0</v>
      </c>
      <c r="BK128" s="235">
        <f t="shared" ca="1" si="122"/>
        <v>0</v>
      </c>
      <c r="BL128" s="235">
        <f t="shared" ca="1" si="122"/>
        <v>0</v>
      </c>
      <c r="BM128" s="235">
        <f t="shared" ca="1" si="122"/>
        <v>0</v>
      </c>
      <c r="BN128" s="235">
        <f t="shared" ca="1" si="122"/>
        <v>1265541.4966859473</v>
      </c>
      <c r="BO128" s="235">
        <f t="shared" ca="1" si="122"/>
        <v>0</v>
      </c>
      <c r="BP128" s="235">
        <f t="shared" ca="1" si="122"/>
        <v>0</v>
      </c>
      <c r="BQ128" s="235">
        <f t="shared" ca="1" si="122"/>
        <v>0</v>
      </c>
      <c r="BR128" s="235">
        <f t="shared" ca="1" si="122"/>
        <v>0</v>
      </c>
      <c r="BS128" s="235">
        <f t="shared" ca="1" si="122"/>
        <v>0</v>
      </c>
      <c r="BT128" s="235">
        <f t="shared" ca="1" si="122"/>
        <v>1722478.4355854392</v>
      </c>
      <c r="BU128" s="235">
        <f t="shared" ca="1" si="122"/>
        <v>0</v>
      </c>
      <c r="BV128" s="235">
        <f t="shared" ca="1" si="122"/>
        <v>0</v>
      </c>
      <c r="BW128" s="235">
        <f t="shared" ca="1" si="122"/>
        <v>0</v>
      </c>
      <c r="BX128" s="235">
        <f t="shared" ca="1" si="122"/>
        <v>0</v>
      </c>
      <c r="BY128" s="235">
        <f t="shared" ref="BY128:EJ128" ca="1" si="123">-BY100</f>
        <v>0</v>
      </c>
      <c r="BZ128" s="235">
        <f t="shared" ca="1" si="123"/>
        <v>1805647.7403300544</v>
      </c>
      <c r="CA128" s="235">
        <f t="shared" ca="1" si="123"/>
        <v>0</v>
      </c>
      <c r="CB128" s="235">
        <f t="shared" ca="1" si="123"/>
        <v>0</v>
      </c>
      <c r="CC128" s="235">
        <f t="shared" ca="1" si="123"/>
        <v>0</v>
      </c>
      <c r="CD128" s="235">
        <f t="shared" ca="1" si="123"/>
        <v>0</v>
      </c>
      <c r="CE128" s="235">
        <f t="shared" ca="1" si="123"/>
        <v>0</v>
      </c>
      <c r="CF128" s="235">
        <f t="shared" ca="1" si="123"/>
        <v>2258497.3462193981</v>
      </c>
      <c r="CG128" s="235">
        <f t="shared" ca="1" si="123"/>
        <v>0</v>
      </c>
      <c r="CH128" s="235">
        <f t="shared" ca="1" si="123"/>
        <v>0</v>
      </c>
      <c r="CI128" s="235">
        <f t="shared" ca="1" si="123"/>
        <v>0</v>
      </c>
      <c r="CJ128" s="235">
        <f t="shared" ca="1" si="123"/>
        <v>0</v>
      </c>
      <c r="CK128" s="235">
        <f t="shared" ca="1" si="123"/>
        <v>0</v>
      </c>
      <c r="CL128" s="235">
        <f t="shared" ca="1" si="123"/>
        <v>2031213.1788212531</v>
      </c>
      <c r="CM128" s="235">
        <f t="shared" ca="1" si="123"/>
        <v>0</v>
      </c>
      <c r="CN128" s="235">
        <f t="shared" ca="1" si="123"/>
        <v>0</v>
      </c>
      <c r="CO128" s="235">
        <f t="shared" ca="1" si="123"/>
        <v>0</v>
      </c>
      <c r="CP128" s="235">
        <f t="shared" ca="1" si="123"/>
        <v>0</v>
      </c>
      <c r="CQ128" s="235">
        <f t="shared" ca="1" si="123"/>
        <v>0</v>
      </c>
      <c r="CR128" s="235">
        <f t="shared" ca="1" si="123"/>
        <v>2480274.6567853596</v>
      </c>
      <c r="CS128" s="235">
        <f t="shared" ca="1" si="123"/>
        <v>0</v>
      </c>
      <c r="CT128" s="235">
        <f t="shared" ca="1" si="123"/>
        <v>0</v>
      </c>
      <c r="CU128" s="235">
        <f t="shared" ca="1" si="123"/>
        <v>0</v>
      </c>
      <c r="CV128" s="235">
        <f t="shared" ca="1" si="123"/>
        <v>0</v>
      </c>
      <c r="CW128" s="235">
        <f t="shared" ca="1" si="123"/>
        <v>0</v>
      </c>
      <c r="CX128" s="235">
        <f t="shared" ca="1" si="123"/>
        <v>2035583.1337032691</v>
      </c>
      <c r="CY128" s="235">
        <f t="shared" ca="1" si="123"/>
        <v>0</v>
      </c>
      <c r="CZ128" s="235">
        <f t="shared" ca="1" si="123"/>
        <v>0</v>
      </c>
      <c r="DA128" s="235">
        <f t="shared" ca="1" si="123"/>
        <v>0</v>
      </c>
      <c r="DB128" s="235">
        <f t="shared" ca="1" si="123"/>
        <v>0</v>
      </c>
      <c r="DC128" s="235">
        <f t="shared" ca="1" si="123"/>
        <v>0</v>
      </c>
      <c r="DD128" s="235">
        <f t="shared" ca="1" si="123"/>
        <v>1875000</v>
      </c>
      <c r="DE128" s="235">
        <f t="shared" ca="1" si="123"/>
        <v>0</v>
      </c>
      <c r="DF128" s="235">
        <f t="shared" ca="1" si="123"/>
        <v>0</v>
      </c>
      <c r="DG128" s="235">
        <f t="shared" ca="1" si="123"/>
        <v>0</v>
      </c>
      <c r="DH128" s="235">
        <f t="shared" ca="1" si="123"/>
        <v>0</v>
      </c>
      <c r="DI128" s="235">
        <f t="shared" ca="1" si="123"/>
        <v>0</v>
      </c>
      <c r="DJ128" s="235">
        <f t="shared" ca="1" si="123"/>
        <v>1875000</v>
      </c>
      <c r="DK128" s="235">
        <f t="shared" ca="1" si="123"/>
        <v>0</v>
      </c>
      <c r="DL128" s="235">
        <f t="shared" ca="1" si="123"/>
        <v>0</v>
      </c>
      <c r="DM128" s="235">
        <f t="shared" ca="1" si="123"/>
        <v>0</v>
      </c>
      <c r="DN128" s="235">
        <f t="shared" ca="1" si="123"/>
        <v>0</v>
      </c>
      <c r="DO128" s="235">
        <f t="shared" ca="1" si="123"/>
        <v>0</v>
      </c>
      <c r="DP128" s="235">
        <f t="shared" ca="1" si="123"/>
        <v>1875000</v>
      </c>
      <c r="DQ128" s="235">
        <f t="shared" ca="1" si="123"/>
        <v>0</v>
      </c>
      <c r="DR128" s="235">
        <f t="shared" ca="1" si="123"/>
        <v>0</v>
      </c>
      <c r="DS128" s="235">
        <f t="shared" ca="1" si="123"/>
        <v>0</v>
      </c>
      <c r="DT128" s="235">
        <f t="shared" ca="1" si="123"/>
        <v>0</v>
      </c>
      <c r="DU128" s="235">
        <f t="shared" ca="1" si="123"/>
        <v>0</v>
      </c>
      <c r="DV128" s="235">
        <f t="shared" ca="1" si="123"/>
        <v>1875000</v>
      </c>
      <c r="DW128" s="235">
        <f t="shared" ca="1" si="123"/>
        <v>0</v>
      </c>
      <c r="DX128" s="235">
        <f t="shared" ca="1" si="123"/>
        <v>0</v>
      </c>
      <c r="DY128" s="235">
        <f t="shared" ca="1" si="123"/>
        <v>0</v>
      </c>
      <c r="DZ128" s="235">
        <f t="shared" ca="1" si="123"/>
        <v>0</v>
      </c>
      <c r="EA128" s="235">
        <f t="shared" ca="1" si="123"/>
        <v>0</v>
      </c>
      <c r="EB128" s="235">
        <f t="shared" ca="1" si="123"/>
        <v>63642613.337566935</v>
      </c>
      <c r="EC128" s="235">
        <f t="shared" ca="1" si="123"/>
        <v>0</v>
      </c>
      <c r="ED128" s="235">
        <f t="shared" ca="1" si="123"/>
        <v>0</v>
      </c>
      <c r="EE128" s="235">
        <f t="shared" ca="1" si="123"/>
        <v>0</v>
      </c>
      <c r="EF128" s="235">
        <f t="shared" ca="1" si="123"/>
        <v>0</v>
      </c>
      <c r="EG128" s="235">
        <f t="shared" ca="1" si="123"/>
        <v>0</v>
      </c>
      <c r="EH128" s="235">
        <f t="shared" ca="1" si="123"/>
        <v>0</v>
      </c>
      <c r="EI128" s="235">
        <f t="shared" ca="1" si="123"/>
        <v>0</v>
      </c>
      <c r="EJ128" s="235">
        <f t="shared" ca="1" si="123"/>
        <v>0</v>
      </c>
      <c r="EK128" s="235">
        <f t="shared" ref="EK128:EQ128" ca="1" si="124">-EK100</f>
        <v>0</v>
      </c>
      <c r="EL128" s="235">
        <f t="shared" ca="1" si="124"/>
        <v>0</v>
      </c>
      <c r="EM128" s="235">
        <f t="shared" ca="1" si="124"/>
        <v>0</v>
      </c>
      <c r="EN128" s="235">
        <f t="shared" ca="1" si="124"/>
        <v>0</v>
      </c>
      <c r="EO128" s="235">
        <f t="shared" ca="1" si="124"/>
        <v>0</v>
      </c>
      <c r="EP128" s="235">
        <f t="shared" ca="1" si="124"/>
        <v>0</v>
      </c>
      <c r="EQ128" s="235">
        <f t="shared" ca="1" si="124"/>
        <v>0</v>
      </c>
    </row>
    <row r="129" spans="2:147" ht="11.25" customHeight="1">
      <c r="B129" s="211" t="s">
        <v>1100</v>
      </c>
      <c r="C129" s="212"/>
      <c r="D129" s="212"/>
      <c r="E129" s="212"/>
      <c r="F129" s="212"/>
      <c r="G129" s="212"/>
      <c r="H129" s="213"/>
      <c r="I129" s="242">
        <f t="shared" si="111"/>
        <v>0</v>
      </c>
      <c r="J129" s="216">
        <f t="shared" si="112"/>
        <v>0</v>
      </c>
      <c r="L129" s="216">
        <f>-(L105-L109)</f>
        <v>-10000000</v>
      </c>
      <c r="M129" s="216">
        <f t="shared" ref="M129:BX129" si="125">-(M105-M109)</f>
        <v>0</v>
      </c>
      <c r="N129" s="216">
        <f t="shared" si="125"/>
        <v>0</v>
      </c>
      <c r="O129" s="216">
        <f t="shared" si="125"/>
        <v>0</v>
      </c>
      <c r="P129" s="216">
        <f t="shared" si="125"/>
        <v>0</v>
      </c>
      <c r="Q129" s="216">
        <f t="shared" si="125"/>
        <v>0</v>
      </c>
      <c r="R129" s="216">
        <f t="shared" si="125"/>
        <v>0</v>
      </c>
      <c r="S129" s="216">
        <f t="shared" si="125"/>
        <v>0</v>
      </c>
      <c r="T129" s="216">
        <f t="shared" si="125"/>
        <v>0</v>
      </c>
      <c r="U129" s="216">
        <f t="shared" si="125"/>
        <v>0</v>
      </c>
      <c r="V129" s="216">
        <f t="shared" si="125"/>
        <v>0</v>
      </c>
      <c r="W129" s="216">
        <f t="shared" si="125"/>
        <v>0</v>
      </c>
      <c r="X129" s="216">
        <f t="shared" si="125"/>
        <v>0</v>
      </c>
      <c r="Y129" s="216">
        <f t="shared" si="125"/>
        <v>0</v>
      </c>
      <c r="Z129" s="216">
        <f t="shared" si="125"/>
        <v>0</v>
      </c>
      <c r="AA129" s="216">
        <f t="shared" si="125"/>
        <v>0</v>
      </c>
      <c r="AB129" s="216">
        <f t="shared" si="125"/>
        <v>0</v>
      </c>
      <c r="AC129" s="216">
        <f t="shared" si="125"/>
        <v>0</v>
      </c>
      <c r="AD129" s="216">
        <f t="shared" si="125"/>
        <v>0</v>
      </c>
      <c r="AE129" s="216">
        <f t="shared" si="125"/>
        <v>0</v>
      </c>
      <c r="AF129" s="216">
        <f t="shared" si="125"/>
        <v>0</v>
      </c>
      <c r="AG129" s="216">
        <f t="shared" si="125"/>
        <v>0</v>
      </c>
      <c r="AH129" s="216">
        <f t="shared" si="125"/>
        <v>0</v>
      </c>
      <c r="AI129" s="216">
        <f t="shared" si="125"/>
        <v>0</v>
      </c>
      <c r="AJ129" s="216">
        <f t="shared" si="125"/>
        <v>10000000</v>
      </c>
      <c r="AK129" s="216">
        <f t="shared" si="125"/>
        <v>0</v>
      </c>
      <c r="AL129" s="216">
        <f t="shared" si="125"/>
        <v>0</v>
      </c>
      <c r="AM129" s="216">
        <f t="shared" si="125"/>
        <v>0</v>
      </c>
      <c r="AN129" s="216">
        <f t="shared" si="125"/>
        <v>0</v>
      </c>
      <c r="AO129" s="216">
        <f t="shared" si="125"/>
        <v>0</v>
      </c>
      <c r="AP129" s="216">
        <f t="shared" si="125"/>
        <v>0</v>
      </c>
      <c r="AQ129" s="216">
        <f t="shared" si="125"/>
        <v>0</v>
      </c>
      <c r="AR129" s="216">
        <f t="shared" si="125"/>
        <v>0</v>
      </c>
      <c r="AS129" s="216">
        <f t="shared" si="125"/>
        <v>0</v>
      </c>
      <c r="AT129" s="216">
        <f t="shared" si="125"/>
        <v>0</v>
      </c>
      <c r="AU129" s="216">
        <f t="shared" si="125"/>
        <v>0</v>
      </c>
      <c r="AV129" s="216">
        <f t="shared" si="125"/>
        <v>0</v>
      </c>
      <c r="AW129" s="216">
        <f t="shared" si="125"/>
        <v>0</v>
      </c>
      <c r="AX129" s="216">
        <f t="shared" si="125"/>
        <v>0</v>
      </c>
      <c r="AY129" s="216">
        <f t="shared" si="125"/>
        <v>0</v>
      </c>
      <c r="AZ129" s="216">
        <f t="shared" si="125"/>
        <v>0</v>
      </c>
      <c r="BA129" s="216">
        <f t="shared" si="125"/>
        <v>0</v>
      </c>
      <c r="BB129" s="216">
        <f t="shared" si="125"/>
        <v>0</v>
      </c>
      <c r="BC129" s="216">
        <f t="shared" si="125"/>
        <v>0</v>
      </c>
      <c r="BD129" s="216">
        <f t="shared" si="125"/>
        <v>0</v>
      </c>
      <c r="BE129" s="216">
        <f t="shared" si="125"/>
        <v>0</v>
      </c>
      <c r="BF129" s="216">
        <f t="shared" si="125"/>
        <v>0</v>
      </c>
      <c r="BG129" s="216">
        <f t="shared" si="125"/>
        <v>0</v>
      </c>
      <c r="BH129" s="216">
        <f t="shared" si="125"/>
        <v>0</v>
      </c>
      <c r="BI129" s="216">
        <f t="shared" si="125"/>
        <v>0</v>
      </c>
      <c r="BJ129" s="216">
        <f t="shared" si="125"/>
        <v>0</v>
      </c>
      <c r="BK129" s="216">
        <f t="shared" si="125"/>
        <v>0</v>
      </c>
      <c r="BL129" s="216">
        <f t="shared" si="125"/>
        <v>0</v>
      </c>
      <c r="BM129" s="216">
        <f t="shared" si="125"/>
        <v>0</v>
      </c>
      <c r="BN129" s="216">
        <f t="shared" si="125"/>
        <v>0</v>
      </c>
      <c r="BO129" s="216">
        <f t="shared" si="125"/>
        <v>0</v>
      </c>
      <c r="BP129" s="216">
        <f t="shared" si="125"/>
        <v>0</v>
      </c>
      <c r="BQ129" s="216">
        <f t="shared" si="125"/>
        <v>0</v>
      </c>
      <c r="BR129" s="216">
        <f t="shared" si="125"/>
        <v>0</v>
      </c>
      <c r="BS129" s="216">
        <f t="shared" si="125"/>
        <v>0</v>
      </c>
      <c r="BT129" s="216">
        <f t="shared" si="125"/>
        <v>0</v>
      </c>
      <c r="BU129" s="216">
        <f t="shared" si="125"/>
        <v>0</v>
      </c>
      <c r="BV129" s="216">
        <f t="shared" si="125"/>
        <v>0</v>
      </c>
      <c r="BW129" s="216">
        <f t="shared" si="125"/>
        <v>0</v>
      </c>
      <c r="BX129" s="216">
        <f t="shared" si="125"/>
        <v>0</v>
      </c>
      <c r="BY129" s="216">
        <f t="shared" ref="BY129:EJ129" si="126">-(BY105-BY109)</f>
        <v>0</v>
      </c>
      <c r="BZ129" s="216">
        <f t="shared" si="126"/>
        <v>0</v>
      </c>
      <c r="CA129" s="216">
        <f t="shared" si="126"/>
        <v>0</v>
      </c>
      <c r="CB129" s="216">
        <f t="shared" si="126"/>
        <v>0</v>
      </c>
      <c r="CC129" s="216">
        <f t="shared" si="126"/>
        <v>0</v>
      </c>
      <c r="CD129" s="216">
        <f t="shared" si="126"/>
        <v>0</v>
      </c>
      <c r="CE129" s="216">
        <f t="shared" si="126"/>
        <v>0</v>
      </c>
      <c r="CF129" s="216">
        <f t="shared" si="126"/>
        <v>0</v>
      </c>
      <c r="CG129" s="216">
        <f t="shared" si="126"/>
        <v>0</v>
      </c>
      <c r="CH129" s="216">
        <f t="shared" si="126"/>
        <v>0</v>
      </c>
      <c r="CI129" s="216">
        <f t="shared" si="126"/>
        <v>0</v>
      </c>
      <c r="CJ129" s="216">
        <f t="shared" si="126"/>
        <v>0</v>
      </c>
      <c r="CK129" s="216">
        <f t="shared" si="126"/>
        <v>0</v>
      </c>
      <c r="CL129" s="216">
        <f t="shared" si="126"/>
        <v>0</v>
      </c>
      <c r="CM129" s="216">
        <f t="shared" si="126"/>
        <v>0</v>
      </c>
      <c r="CN129" s="216">
        <f t="shared" si="126"/>
        <v>0</v>
      </c>
      <c r="CO129" s="216">
        <f t="shared" si="126"/>
        <v>0</v>
      </c>
      <c r="CP129" s="216">
        <f t="shared" si="126"/>
        <v>0</v>
      </c>
      <c r="CQ129" s="216">
        <f t="shared" si="126"/>
        <v>0</v>
      </c>
      <c r="CR129" s="216">
        <f t="shared" si="126"/>
        <v>0</v>
      </c>
      <c r="CS129" s="216">
        <f t="shared" si="126"/>
        <v>0</v>
      </c>
      <c r="CT129" s="216">
        <f t="shared" si="126"/>
        <v>0</v>
      </c>
      <c r="CU129" s="216">
        <f t="shared" si="126"/>
        <v>0</v>
      </c>
      <c r="CV129" s="216">
        <f t="shared" si="126"/>
        <v>0</v>
      </c>
      <c r="CW129" s="216">
        <f t="shared" si="126"/>
        <v>0</v>
      </c>
      <c r="CX129" s="216">
        <f t="shared" si="126"/>
        <v>0</v>
      </c>
      <c r="CY129" s="216">
        <f t="shared" si="126"/>
        <v>0</v>
      </c>
      <c r="CZ129" s="216">
        <f t="shared" si="126"/>
        <v>0</v>
      </c>
      <c r="DA129" s="216">
        <f t="shared" si="126"/>
        <v>0</v>
      </c>
      <c r="DB129" s="216">
        <f t="shared" si="126"/>
        <v>0</v>
      </c>
      <c r="DC129" s="216">
        <f t="shared" si="126"/>
        <v>0</v>
      </c>
      <c r="DD129" s="216">
        <f t="shared" si="126"/>
        <v>0</v>
      </c>
      <c r="DE129" s="216">
        <f t="shared" si="126"/>
        <v>0</v>
      </c>
      <c r="DF129" s="216">
        <f t="shared" si="126"/>
        <v>0</v>
      </c>
      <c r="DG129" s="216">
        <f t="shared" si="126"/>
        <v>0</v>
      </c>
      <c r="DH129" s="216">
        <f t="shared" si="126"/>
        <v>0</v>
      </c>
      <c r="DI129" s="216">
        <f t="shared" si="126"/>
        <v>0</v>
      </c>
      <c r="DJ129" s="216">
        <f t="shared" si="126"/>
        <v>0</v>
      </c>
      <c r="DK129" s="216">
        <f t="shared" si="126"/>
        <v>0</v>
      </c>
      <c r="DL129" s="216">
        <f t="shared" si="126"/>
        <v>0</v>
      </c>
      <c r="DM129" s="216">
        <f t="shared" si="126"/>
        <v>0</v>
      </c>
      <c r="DN129" s="216">
        <f t="shared" si="126"/>
        <v>0</v>
      </c>
      <c r="DO129" s="216">
        <f t="shared" si="126"/>
        <v>0</v>
      </c>
      <c r="DP129" s="216">
        <f t="shared" si="126"/>
        <v>0</v>
      </c>
      <c r="DQ129" s="216">
        <f t="shared" si="126"/>
        <v>0</v>
      </c>
      <c r="DR129" s="216">
        <f t="shared" si="126"/>
        <v>0</v>
      </c>
      <c r="DS129" s="216">
        <f t="shared" si="126"/>
        <v>0</v>
      </c>
      <c r="DT129" s="216">
        <f t="shared" si="126"/>
        <v>0</v>
      </c>
      <c r="DU129" s="216">
        <f t="shared" si="126"/>
        <v>0</v>
      </c>
      <c r="DV129" s="216">
        <f t="shared" si="126"/>
        <v>0</v>
      </c>
      <c r="DW129" s="216">
        <f t="shared" si="126"/>
        <v>0</v>
      </c>
      <c r="DX129" s="216">
        <f t="shared" si="126"/>
        <v>0</v>
      </c>
      <c r="DY129" s="216">
        <f t="shared" si="126"/>
        <v>0</v>
      </c>
      <c r="DZ129" s="216">
        <f t="shared" si="126"/>
        <v>0</v>
      </c>
      <c r="EA129" s="216">
        <f t="shared" si="126"/>
        <v>0</v>
      </c>
      <c r="EB129" s="216">
        <f t="shared" si="126"/>
        <v>0</v>
      </c>
      <c r="EC129" s="216">
        <f t="shared" si="126"/>
        <v>0</v>
      </c>
      <c r="ED129" s="216">
        <f t="shared" si="126"/>
        <v>0</v>
      </c>
      <c r="EE129" s="216">
        <f t="shared" si="126"/>
        <v>0</v>
      </c>
      <c r="EF129" s="216">
        <f t="shared" si="126"/>
        <v>0</v>
      </c>
      <c r="EG129" s="216">
        <f t="shared" si="126"/>
        <v>0</v>
      </c>
      <c r="EH129" s="216">
        <f t="shared" si="126"/>
        <v>0</v>
      </c>
      <c r="EI129" s="216">
        <f t="shared" si="126"/>
        <v>0</v>
      </c>
      <c r="EJ129" s="216">
        <f t="shared" si="126"/>
        <v>0</v>
      </c>
      <c r="EK129" s="216">
        <f t="shared" ref="EK129:EQ129" si="127">-(EK105-EK109)</f>
        <v>0</v>
      </c>
      <c r="EL129" s="216">
        <f t="shared" si="127"/>
        <v>0</v>
      </c>
      <c r="EM129" s="216">
        <f t="shared" si="127"/>
        <v>0</v>
      </c>
      <c r="EN129" s="216">
        <f t="shared" si="127"/>
        <v>0</v>
      </c>
      <c r="EO129" s="216">
        <f t="shared" si="127"/>
        <v>0</v>
      </c>
      <c r="EP129" s="216">
        <f t="shared" si="127"/>
        <v>0</v>
      </c>
      <c r="EQ129" s="216">
        <f t="shared" si="127"/>
        <v>0</v>
      </c>
    </row>
    <row r="130" spans="2:147" ht="11.25" customHeight="1">
      <c r="B130" s="237" t="s">
        <v>1101</v>
      </c>
      <c r="C130" s="238"/>
      <c r="D130" s="238"/>
      <c r="E130" s="238"/>
      <c r="F130" s="238"/>
      <c r="G130" s="238"/>
      <c r="H130" s="239"/>
      <c r="I130" s="243">
        <f t="shared" si="111"/>
        <v>0</v>
      </c>
      <c r="J130" s="241">
        <f t="shared" si="112"/>
        <v>0</v>
      </c>
      <c r="L130" s="235">
        <f>-L105</f>
        <v>-10000000</v>
      </c>
      <c r="M130" s="235">
        <f t="shared" ref="M130:BX130" si="128">-M105</f>
        <v>0</v>
      </c>
      <c r="N130" s="235">
        <f t="shared" si="128"/>
        <v>0</v>
      </c>
      <c r="O130" s="235">
        <f t="shared" si="128"/>
        <v>0</v>
      </c>
      <c r="P130" s="235">
        <f t="shared" si="128"/>
        <v>0</v>
      </c>
      <c r="Q130" s="235">
        <f t="shared" si="128"/>
        <v>0</v>
      </c>
      <c r="R130" s="235">
        <f t="shared" si="128"/>
        <v>0</v>
      </c>
      <c r="S130" s="235">
        <f t="shared" si="128"/>
        <v>0</v>
      </c>
      <c r="T130" s="235">
        <f t="shared" si="128"/>
        <v>0</v>
      </c>
      <c r="U130" s="235">
        <f t="shared" si="128"/>
        <v>0</v>
      </c>
      <c r="V130" s="235">
        <f t="shared" si="128"/>
        <v>0</v>
      </c>
      <c r="W130" s="235">
        <f t="shared" si="128"/>
        <v>0</v>
      </c>
      <c r="X130" s="235">
        <f t="shared" si="128"/>
        <v>0</v>
      </c>
      <c r="Y130" s="235">
        <f t="shared" si="128"/>
        <v>0</v>
      </c>
      <c r="Z130" s="235">
        <f t="shared" si="128"/>
        <v>0</v>
      </c>
      <c r="AA130" s="235">
        <f t="shared" si="128"/>
        <v>0</v>
      </c>
      <c r="AB130" s="235">
        <f t="shared" si="128"/>
        <v>0</v>
      </c>
      <c r="AC130" s="235">
        <f t="shared" si="128"/>
        <v>0</v>
      </c>
      <c r="AD130" s="235">
        <f t="shared" si="128"/>
        <v>0</v>
      </c>
      <c r="AE130" s="235">
        <f t="shared" si="128"/>
        <v>0</v>
      </c>
      <c r="AF130" s="235">
        <f t="shared" si="128"/>
        <v>0</v>
      </c>
      <c r="AG130" s="235">
        <f t="shared" si="128"/>
        <v>0</v>
      </c>
      <c r="AH130" s="235">
        <f t="shared" si="128"/>
        <v>0</v>
      </c>
      <c r="AI130" s="235">
        <f t="shared" si="128"/>
        <v>0</v>
      </c>
      <c r="AJ130" s="235">
        <f t="shared" si="128"/>
        <v>10000000</v>
      </c>
      <c r="AK130" s="235">
        <f t="shared" si="128"/>
        <v>0</v>
      </c>
      <c r="AL130" s="235">
        <f t="shared" si="128"/>
        <v>0</v>
      </c>
      <c r="AM130" s="235">
        <f t="shared" si="128"/>
        <v>0</v>
      </c>
      <c r="AN130" s="235">
        <f t="shared" si="128"/>
        <v>0</v>
      </c>
      <c r="AO130" s="235">
        <f t="shared" si="128"/>
        <v>0</v>
      </c>
      <c r="AP130" s="235">
        <f t="shared" si="128"/>
        <v>0</v>
      </c>
      <c r="AQ130" s="235">
        <f t="shared" si="128"/>
        <v>0</v>
      </c>
      <c r="AR130" s="235">
        <f t="shared" si="128"/>
        <v>0</v>
      </c>
      <c r="AS130" s="235">
        <f t="shared" si="128"/>
        <v>0</v>
      </c>
      <c r="AT130" s="235">
        <f t="shared" si="128"/>
        <v>0</v>
      </c>
      <c r="AU130" s="235">
        <f t="shared" si="128"/>
        <v>0</v>
      </c>
      <c r="AV130" s="235">
        <f t="shared" si="128"/>
        <v>0</v>
      </c>
      <c r="AW130" s="235">
        <f t="shared" si="128"/>
        <v>0</v>
      </c>
      <c r="AX130" s="235">
        <f t="shared" si="128"/>
        <v>0</v>
      </c>
      <c r="AY130" s="235">
        <f t="shared" si="128"/>
        <v>0</v>
      </c>
      <c r="AZ130" s="235">
        <f t="shared" si="128"/>
        <v>0</v>
      </c>
      <c r="BA130" s="235">
        <f t="shared" si="128"/>
        <v>0</v>
      </c>
      <c r="BB130" s="235">
        <f t="shared" si="128"/>
        <v>0</v>
      </c>
      <c r="BC130" s="235">
        <f t="shared" si="128"/>
        <v>0</v>
      </c>
      <c r="BD130" s="235">
        <f t="shared" si="128"/>
        <v>0</v>
      </c>
      <c r="BE130" s="235">
        <f t="shared" si="128"/>
        <v>0</v>
      </c>
      <c r="BF130" s="235">
        <f t="shared" si="128"/>
        <v>0</v>
      </c>
      <c r="BG130" s="235">
        <f t="shared" si="128"/>
        <v>0</v>
      </c>
      <c r="BH130" s="235">
        <f t="shared" si="128"/>
        <v>0</v>
      </c>
      <c r="BI130" s="235">
        <f t="shared" si="128"/>
        <v>0</v>
      </c>
      <c r="BJ130" s="235">
        <f t="shared" si="128"/>
        <v>0</v>
      </c>
      <c r="BK130" s="235">
        <f t="shared" si="128"/>
        <v>0</v>
      </c>
      <c r="BL130" s="235">
        <f t="shared" si="128"/>
        <v>0</v>
      </c>
      <c r="BM130" s="235">
        <f t="shared" si="128"/>
        <v>0</v>
      </c>
      <c r="BN130" s="235">
        <f t="shared" si="128"/>
        <v>0</v>
      </c>
      <c r="BO130" s="235">
        <f t="shared" si="128"/>
        <v>0</v>
      </c>
      <c r="BP130" s="235">
        <f t="shared" si="128"/>
        <v>0</v>
      </c>
      <c r="BQ130" s="235">
        <f t="shared" si="128"/>
        <v>0</v>
      </c>
      <c r="BR130" s="235">
        <f t="shared" si="128"/>
        <v>0</v>
      </c>
      <c r="BS130" s="235">
        <f t="shared" si="128"/>
        <v>0</v>
      </c>
      <c r="BT130" s="235">
        <f t="shared" si="128"/>
        <v>0</v>
      </c>
      <c r="BU130" s="235">
        <f t="shared" si="128"/>
        <v>0</v>
      </c>
      <c r="BV130" s="235">
        <f t="shared" si="128"/>
        <v>0</v>
      </c>
      <c r="BW130" s="235">
        <f t="shared" si="128"/>
        <v>0</v>
      </c>
      <c r="BX130" s="235">
        <f t="shared" si="128"/>
        <v>0</v>
      </c>
      <c r="BY130" s="235">
        <f t="shared" ref="BY130:EJ130" si="129">-BY105</f>
        <v>0</v>
      </c>
      <c r="BZ130" s="235">
        <f t="shared" si="129"/>
        <v>0</v>
      </c>
      <c r="CA130" s="235">
        <f t="shared" si="129"/>
        <v>0</v>
      </c>
      <c r="CB130" s="235">
        <f t="shared" si="129"/>
        <v>0</v>
      </c>
      <c r="CC130" s="235">
        <f t="shared" si="129"/>
        <v>0</v>
      </c>
      <c r="CD130" s="235">
        <f t="shared" si="129"/>
        <v>0</v>
      </c>
      <c r="CE130" s="235">
        <f t="shared" si="129"/>
        <v>0</v>
      </c>
      <c r="CF130" s="235">
        <f t="shared" si="129"/>
        <v>0</v>
      </c>
      <c r="CG130" s="235">
        <f t="shared" si="129"/>
        <v>0</v>
      </c>
      <c r="CH130" s="235">
        <f t="shared" si="129"/>
        <v>0</v>
      </c>
      <c r="CI130" s="235">
        <f t="shared" si="129"/>
        <v>0</v>
      </c>
      <c r="CJ130" s="235">
        <f t="shared" si="129"/>
        <v>0</v>
      </c>
      <c r="CK130" s="235">
        <f t="shared" si="129"/>
        <v>0</v>
      </c>
      <c r="CL130" s="235">
        <f t="shared" si="129"/>
        <v>0</v>
      </c>
      <c r="CM130" s="235">
        <f t="shared" si="129"/>
        <v>0</v>
      </c>
      <c r="CN130" s="235">
        <f t="shared" si="129"/>
        <v>0</v>
      </c>
      <c r="CO130" s="235">
        <f t="shared" si="129"/>
        <v>0</v>
      </c>
      <c r="CP130" s="235">
        <f t="shared" si="129"/>
        <v>0</v>
      </c>
      <c r="CQ130" s="235">
        <f t="shared" si="129"/>
        <v>0</v>
      </c>
      <c r="CR130" s="235">
        <f t="shared" si="129"/>
        <v>0</v>
      </c>
      <c r="CS130" s="235">
        <f t="shared" si="129"/>
        <v>0</v>
      </c>
      <c r="CT130" s="235">
        <f t="shared" si="129"/>
        <v>0</v>
      </c>
      <c r="CU130" s="235">
        <f t="shared" si="129"/>
        <v>0</v>
      </c>
      <c r="CV130" s="235">
        <f t="shared" si="129"/>
        <v>0</v>
      </c>
      <c r="CW130" s="235">
        <f t="shared" si="129"/>
        <v>0</v>
      </c>
      <c r="CX130" s="235">
        <f t="shared" si="129"/>
        <v>0</v>
      </c>
      <c r="CY130" s="235">
        <f t="shared" si="129"/>
        <v>0</v>
      </c>
      <c r="CZ130" s="235">
        <f t="shared" si="129"/>
        <v>0</v>
      </c>
      <c r="DA130" s="235">
        <f t="shared" si="129"/>
        <v>0</v>
      </c>
      <c r="DB130" s="235">
        <f t="shared" si="129"/>
        <v>0</v>
      </c>
      <c r="DC130" s="235">
        <f t="shared" si="129"/>
        <v>0</v>
      </c>
      <c r="DD130" s="235">
        <f t="shared" si="129"/>
        <v>0</v>
      </c>
      <c r="DE130" s="235">
        <f t="shared" si="129"/>
        <v>0</v>
      </c>
      <c r="DF130" s="235">
        <f t="shared" si="129"/>
        <v>0</v>
      </c>
      <c r="DG130" s="235">
        <f t="shared" si="129"/>
        <v>0</v>
      </c>
      <c r="DH130" s="235">
        <f t="shared" si="129"/>
        <v>0</v>
      </c>
      <c r="DI130" s="235">
        <f t="shared" si="129"/>
        <v>0</v>
      </c>
      <c r="DJ130" s="235">
        <f t="shared" si="129"/>
        <v>0</v>
      </c>
      <c r="DK130" s="235">
        <f t="shared" si="129"/>
        <v>0</v>
      </c>
      <c r="DL130" s="235">
        <f t="shared" si="129"/>
        <v>0</v>
      </c>
      <c r="DM130" s="235">
        <f t="shared" si="129"/>
        <v>0</v>
      </c>
      <c r="DN130" s="235">
        <f t="shared" si="129"/>
        <v>0</v>
      </c>
      <c r="DO130" s="235">
        <f t="shared" si="129"/>
        <v>0</v>
      </c>
      <c r="DP130" s="235">
        <f t="shared" si="129"/>
        <v>0</v>
      </c>
      <c r="DQ130" s="235">
        <f t="shared" si="129"/>
        <v>0</v>
      </c>
      <c r="DR130" s="235">
        <f t="shared" si="129"/>
        <v>0</v>
      </c>
      <c r="DS130" s="235">
        <f t="shared" si="129"/>
        <v>0</v>
      </c>
      <c r="DT130" s="235">
        <f t="shared" si="129"/>
        <v>0</v>
      </c>
      <c r="DU130" s="235">
        <f t="shared" si="129"/>
        <v>0</v>
      </c>
      <c r="DV130" s="235">
        <f t="shared" si="129"/>
        <v>0</v>
      </c>
      <c r="DW130" s="235">
        <f t="shared" si="129"/>
        <v>0</v>
      </c>
      <c r="DX130" s="235">
        <f t="shared" si="129"/>
        <v>0</v>
      </c>
      <c r="DY130" s="235">
        <f t="shared" si="129"/>
        <v>0</v>
      </c>
      <c r="DZ130" s="235">
        <f t="shared" si="129"/>
        <v>0</v>
      </c>
      <c r="EA130" s="235">
        <f t="shared" si="129"/>
        <v>0</v>
      </c>
      <c r="EB130" s="235">
        <f t="shared" si="129"/>
        <v>0</v>
      </c>
      <c r="EC130" s="235">
        <f t="shared" si="129"/>
        <v>0</v>
      </c>
      <c r="ED130" s="235">
        <f t="shared" si="129"/>
        <v>0</v>
      </c>
      <c r="EE130" s="235">
        <f t="shared" si="129"/>
        <v>0</v>
      </c>
      <c r="EF130" s="235">
        <f t="shared" si="129"/>
        <v>0</v>
      </c>
      <c r="EG130" s="235">
        <f t="shared" si="129"/>
        <v>0</v>
      </c>
      <c r="EH130" s="235">
        <f t="shared" si="129"/>
        <v>0</v>
      </c>
      <c r="EI130" s="235">
        <f t="shared" si="129"/>
        <v>0</v>
      </c>
      <c r="EJ130" s="235">
        <f t="shared" si="129"/>
        <v>0</v>
      </c>
      <c r="EK130" s="235">
        <f t="shared" ref="EK130:EQ130" si="130">-EK105</f>
        <v>0</v>
      </c>
      <c r="EL130" s="235">
        <f t="shared" si="130"/>
        <v>0</v>
      </c>
      <c r="EM130" s="235">
        <f t="shared" si="130"/>
        <v>0</v>
      </c>
      <c r="EN130" s="235">
        <f t="shared" si="130"/>
        <v>0</v>
      </c>
      <c r="EO130" s="235">
        <f t="shared" si="130"/>
        <v>0</v>
      </c>
      <c r="EP130" s="235">
        <f t="shared" si="130"/>
        <v>0</v>
      </c>
      <c r="EQ130" s="235">
        <f t="shared" si="130"/>
        <v>0</v>
      </c>
    </row>
    <row r="131" spans="2:147" ht="11.25" customHeight="1">
      <c r="B131" s="211" t="s">
        <v>215</v>
      </c>
      <c r="C131" s="212"/>
      <c r="D131" s="212"/>
      <c r="E131" s="212"/>
      <c r="F131" s="212"/>
      <c r="G131" s="212"/>
      <c r="H131" s="213"/>
      <c r="I131" s="242">
        <f t="shared" ca="1" si="111"/>
        <v>7.7792962088110151E-3</v>
      </c>
      <c r="J131" s="216">
        <f t="shared" ca="1" si="112"/>
        <v>1110000</v>
      </c>
      <c r="L131" s="216">
        <f ca="1">-(L110-L114)-'FS_Detail(M)'!L84</f>
        <v>-14800000</v>
      </c>
      <c r="M131" s="216">
        <f ca="1">-(M110-M114)-'FS_Detail(M)'!M84</f>
        <v>0</v>
      </c>
      <c r="N131" s="216">
        <f ca="1">-(N110-N114)-'FS_Detail(M)'!N84</f>
        <v>0</v>
      </c>
      <c r="O131" s="216">
        <f ca="1">-(O110-O114)-'FS_Detail(M)'!O84</f>
        <v>0</v>
      </c>
      <c r="P131" s="216">
        <f ca="1">-(P110-P114)-'FS_Detail(M)'!P84</f>
        <v>0</v>
      </c>
      <c r="Q131" s="216">
        <f ca="1">-(Q110-Q114)-'FS_Detail(M)'!Q84</f>
        <v>0</v>
      </c>
      <c r="R131" s="216">
        <f ca="1">-(R110-R114)-'FS_Detail(M)'!R84</f>
        <v>555000</v>
      </c>
      <c r="S131" s="216">
        <f ca="1">-(S110-S114)-'FS_Detail(M)'!S84</f>
        <v>0</v>
      </c>
      <c r="T131" s="216">
        <f ca="1">-(T110-T114)-'FS_Detail(M)'!T84</f>
        <v>0</v>
      </c>
      <c r="U131" s="216">
        <f ca="1">-(U110-U114)-'FS_Detail(M)'!U84</f>
        <v>0</v>
      </c>
      <c r="V131" s="216">
        <f ca="1">-(V110-V114)-'FS_Detail(M)'!V84</f>
        <v>0</v>
      </c>
      <c r="W131" s="216">
        <f ca="1">-(W110-W114)-'FS_Detail(M)'!W84</f>
        <v>0</v>
      </c>
      <c r="X131" s="216">
        <f ca="1">-(X110-X114)-'FS_Detail(M)'!X84</f>
        <v>555000</v>
      </c>
      <c r="Y131" s="216">
        <f ca="1">-(Y110-Y114)-'FS_Detail(M)'!Y84</f>
        <v>0</v>
      </c>
      <c r="Z131" s="216">
        <f ca="1">-(Z110-Z114)-'FS_Detail(M)'!Z84</f>
        <v>0</v>
      </c>
      <c r="AA131" s="216">
        <f ca="1">-(AA110-AA114)-'FS_Detail(M)'!AA84</f>
        <v>0</v>
      </c>
      <c r="AB131" s="216">
        <f ca="1">-(AB110-AB114)-'FS_Detail(M)'!AB84</f>
        <v>0</v>
      </c>
      <c r="AC131" s="216">
        <f ca="1">-(AC110-AC114)-'FS_Detail(M)'!AC84</f>
        <v>0</v>
      </c>
      <c r="AD131" s="216">
        <f ca="1">-(AD110-AD114)-'FS_Detail(M)'!AD84</f>
        <v>0</v>
      </c>
      <c r="AE131" s="216">
        <f ca="1">-(AE110-AE114)-'FS_Detail(M)'!AE84</f>
        <v>0</v>
      </c>
      <c r="AF131" s="216">
        <f ca="1">-(AF110-AF114)-'FS_Detail(M)'!AF84</f>
        <v>0</v>
      </c>
      <c r="AG131" s="216">
        <f ca="1">-(AG110-AG114)-'FS_Detail(M)'!AG84</f>
        <v>0</v>
      </c>
      <c r="AH131" s="216">
        <f ca="1">-(AH110-AH114)-'FS_Detail(M)'!AH84</f>
        <v>0</v>
      </c>
      <c r="AI131" s="216">
        <f ca="1">-(AI110-AI114)-'FS_Detail(M)'!AI84</f>
        <v>0</v>
      </c>
      <c r="AJ131" s="216">
        <f ca="1">-(AJ110-AJ114)-'FS_Detail(M)'!AJ84</f>
        <v>0</v>
      </c>
      <c r="AK131" s="216">
        <f ca="1">-(AK110-AK114)-'FS_Detail(M)'!AK84</f>
        <v>0</v>
      </c>
      <c r="AL131" s="216">
        <f ca="1">-(AL110-AL114)-'FS_Detail(M)'!AL84</f>
        <v>0</v>
      </c>
      <c r="AM131" s="216">
        <f ca="1">-(AM110-AM114)-'FS_Detail(M)'!AM84</f>
        <v>0</v>
      </c>
      <c r="AN131" s="216">
        <f ca="1">-(AN110-AN114)-'FS_Detail(M)'!AN84</f>
        <v>0</v>
      </c>
      <c r="AO131" s="216">
        <f ca="1">-(AO110-AO114)-'FS_Detail(M)'!AO84</f>
        <v>0</v>
      </c>
      <c r="AP131" s="216">
        <f ca="1">-(AP110-AP114)-'FS_Detail(M)'!AP84</f>
        <v>0</v>
      </c>
      <c r="AQ131" s="216">
        <f ca="1">-(AQ110-AQ114)-'FS_Detail(M)'!AQ84</f>
        <v>0</v>
      </c>
      <c r="AR131" s="216">
        <f ca="1">-(AR110-AR114)-'FS_Detail(M)'!AR84</f>
        <v>0</v>
      </c>
      <c r="AS131" s="216">
        <f ca="1">-(AS110-AS114)-'FS_Detail(M)'!AS84</f>
        <v>0</v>
      </c>
      <c r="AT131" s="216">
        <f ca="1">-(AT110-AT114)-'FS_Detail(M)'!AT84</f>
        <v>0</v>
      </c>
      <c r="AU131" s="216">
        <f ca="1">-(AU110-AU114)-'FS_Detail(M)'!AU84</f>
        <v>0</v>
      </c>
      <c r="AV131" s="216">
        <f ca="1">-(AV110-AV114)-'FS_Detail(M)'!AV84</f>
        <v>0</v>
      </c>
      <c r="AW131" s="216">
        <f ca="1">-(AW110-AW114)-'FS_Detail(M)'!AW84</f>
        <v>0</v>
      </c>
      <c r="AX131" s="216">
        <f ca="1">-(AX110-AX114)-'FS_Detail(M)'!AX84</f>
        <v>0</v>
      </c>
      <c r="AY131" s="216">
        <f ca="1">-(AY110-AY114)-'FS_Detail(M)'!AY84</f>
        <v>0</v>
      </c>
      <c r="AZ131" s="216">
        <f ca="1">-(AZ110-AZ114)-'FS_Detail(M)'!AZ84</f>
        <v>0</v>
      </c>
      <c r="BA131" s="216">
        <f ca="1">-(BA110-BA114)-'FS_Detail(M)'!BA84</f>
        <v>0</v>
      </c>
      <c r="BB131" s="216">
        <f ca="1">-(BB110-BB114)-'FS_Detail(M)'!BB84</f>
        <v>0</v>
      </c>
      <c r="BC131" s="216">
        <f ca="1">-(BC110-BC114)-'FS_Detail(M)'!BC84</f>
        <v>0</v>
      </c>
      <c r="BD131" s="216">
        <f ca="1">-(BD110-BD114)-'FS_Detail(M)'!BD84</f>
        <v>0</v>
      </c>
      <c r="BE131" s="216">
        <f ca="1">-(BE110-BE114)-'FS_Detail(M)'!BE84</f>
        <v>0</v>
      </c>
      <c r="BF131" s="216">
        <f ca="1">-(BF110-BF114)-'FS_Detail(M)'!BF84</f>
        <v>0</v>
      </c>
      <c r="BG131" s="216">
        <f ca="1">-(BG110-BG114)-'FS_Detail(M)'!BG84</f>
        <v>0</v>
      </c>
      <c r="BH131" s="216">
        <f ca="1">-(BH110-BH114)-'FS_Detail(M)'!BH84</f>
        <v>0</v>
      </c>
      <c r="BI131" s="216">
        <f ca="1">-(BI110-BI114)-'FS_Detail(M)'!BI84</f>
        <v>0</v>
      </c>
      <c r="BJ131" s="216">
        <f ca="1">-(BJ110-BJ114)-'FS_Detail(M)'!BJ84</f>
        <v>0</v>
      </c>
      <c r="BK131" s="216">
        <f ca="1">-(BK110-BK114)-'FS_Detail(M)'!BK84</f>
        <v>0</v>
      </c>
      <c r="BL131" s="216">
        <f ca="1">-(BL110-BL114)-'FS_Detail(M)'!BL84</f>
        <v>0</v>
      </c>
      <c r="BM131" s="216">
        <f ca="1">-(BM110-BM114)-'FS_Detail(M)'!BM84</f>
        <v>0</v>
      </c>
      <c r="BN131" s="216">
        <f ca="1">-(BN110-BN114)-'FS_Detail(M)'!BN84</f>
        <v>0</v>
      </c>
      <c r="BO131" s="216">
        <f ca="1">-(BO110-BO114)-'FS_Detail(M)'!BO84</f>
        <v>0</v>
      </c>
      <c r="BP131" s="216">
        <f ca="1">-(BP110-BP114)-'FS_Detail(M)'!BP84</f>
        <v>0</v>
      </c>
      <c r="BQ131" s="216">
        <f ca="1">-(BQ110-BQ114)-'FS_Detail(M)'!BQ84</f>
        <v>0</v>
      </c>
      <c r="BR131" s="216">
        <f ca="1">-(BR110-BR114)-'FS_Detail(M)'!BR84</f>
        <v>0</v>
      </c>
      <c r="BS131" s="216">
        <f ca="1">-(BS110-BS114)-'FS_Detail(M)'!BS84</f>
        <v>0</v>
      </c>
      <c r="BT131" s="216">
        <f ca="1">-(BT110-BT114)-'FS_Detail(M)'!BT84</f>
        <v>0</v>
      </c>
      <c r="BU131" s="216">
        <f ca="1">-(BU110-BU114)-'FS_Detail(M)'!BU84</f>
        <v>0</v>
      </c>
      <c r="BV131" s="216">
        <f ca="1">-(BV110-BV114)-'FS_Detail(M)'!BV84</f>
        <v>0</v>
      </c>
      <c r="BW131" s="216">
        <f ca="1">-(BW110-BW114)-'FS_Detail(M)'!BW84</f>
        <v>0</v>
      </c>
      <c r="BX131" s="216">
        <f ca="1">-(BX110-BX114)-'FS_Detail(M)'!BX84</f>
        <v>0</v>
      </c>
      <c r="BY131" s="216">
        <f ca="1">-(BY110-BY114)-'FS_Detail(M)'!BY84</f>
        <v>0</v>
      </c>
      <c r="BZ131" s="216">
        <f ca="1">-(BZ110-BZ114)-'FS_Detail(M)'!BZ84</f>
        <v>0</v>
      </c>
      <c r="CA131" s="216">
        <f ca="1">-(CA110-CA114)-'FS_Detail(M)'!CA84</f>
        <v>0</v>
      </c>
      <c r="CB131" s="216">
        <f ca="1">-(CB110-CB114)-'FS_Detail(M)'!CB84</f>
        <v>0</v>
      </c>
      <c r="CC131" s="216">
        <f ca="1">-(CC110-CC114)-'FS_Detail(M)'!CC84</f>
        <v>0</v>
      </c>
      <c r="CD131" s="216">
        <f ca="1">-(CD110-CD114)-'FS_Detail(M)'!CD84</f>
        <v>0</v>
      </c>
      <c r="CE131" s="216">
        <f ca="1">-(CE110-CE114)-'FS_Detail(M)'!CE84</f>
        <v>0</v>
      </c>
      <c r="CF131" s="216">
        <f ca="1">-(CF110-CF114)-'FS_Detail(M)'!CF84</f>
        <v>0</v>
      </c>
      <c r="CG131" s="216">
        <f ca="1">-(CG110-CG114)-'FS_Detail(M)'!CG84</f>
        <v>0</v>
      </c>
      <c r="CH131" s="216">
        <f ca="1">-(CH110-CH114)-'FS_Detail(M)'!CH84</f>
        <v>0</v>
      </c>
      <c r="CI131" s="216">
        <f ca="1">-(CI110-CI114)-'FS_Detail(M)'!CI84</f>
        <v>0</v>
      </c>
      <c r="CJ131" s="216">
        <f ca="1">-(CJ110-CJ114)-'FS_Detail(M)'!CJ84</f>
        <v>0</v>
      </c>
      <c r="CK131" s="216">
        <f ca="1">-(CK110-CK114)-'FS_Detail(M)'!CK84</f>
        <v>0</v>
      </c>
      <c r="CL131" s="216">
        <f ca="1">-(CL110-CL114)-'FS_Detail(M)'!CL84</f>
        <v>0</v>
      </c>
      <c r="CM131" s="216">
        <f ca="1">-(CM110-CM114)-'FS_Detail(M)'!CM84</f>
        <v>0</v>
      </c>
      <c r="CN131" s="216">
        <f ca="1">-(CN110-CN114)-'FS_Detail(M)'!CN84</f>
        <v>0</v>
      </c>
      <c r="CO131" s="216">
        <f ca="1">-(CO110-CO114)-'FS_Detail(M)'!CO84</f>
        <v>0</v>
      </c>
      <c r="CP131" s="216">
        <f ca="1">-(CP110-CP114)-'FS_Detail(M)'!CP84</f>
        <v>0</v>
      </c>
      <c r="CQ131" s="216">
        <f ca="1">-(CQ110-CQ114)-'FS_Detail(M)'!CQ84</f>
        <v>0</v>
      </c>
      <c r="CR131" s="216">
        <f ca="1">-(CR110-CR114)-'FS_Detail(M)'!CR84</f>
        <v>0</v>
      </c>
      <c r="CS131" s="216">
        <f ca="1">-(CS110-CS114)-'FS_Detail(M)'!CS84</f>
        <v>0</v>
      </c>
      <c r="CT131" s="216">
        <f ca="1">-(CT110-CT114)-'FS_Detail(M)'!CT84</f>
        <v>0</v>
      </c>
      <c r="CU131" s="216">
        <f ca="1">-(CU110-CU114)-'FS_Detail(M)'!CU84</f>
        <v>0</v>
      </c>
      <c r="CV131" s="216">
        <f ca="1">-(CV110-CV114)-'FS_Detail(M)'!CV84</f>
        <v>0</v>
      </c>
      <c r="CW131" s="216">
        <f ca="1">-(CW110-CW114)-'FS_Detail(M)'!CW84</f>
        <v>0</v>
      </c>
      <c r="CX131" s="216">
        <f ca="1">-(CX110-CX114)-'FS_Detail(M)'!CX84</f>
        <v>0</v>
      </c>
      <c r="CY131" s="216">
        <f ca="1">-(CY110-CY114)-'FS_Detail(M)'!CY84</f>
        <v>0</v>
      </c>
      <c r="CZ131" s="216">
        <f ca="1">-(CZ110-CZ114)-'FS_Detail(M)'!CZ84</f>
        <v>0</v>
      </c>
      <c r="DA131" s="216">
        <f ca="1">-(DA110-DA114)-'FS_Detail(M)'!DA84</f>
        <v>0</v>
      </c>
      <c r="DB131" s="216">
        <f ca="1">-(DB110-DB114)-'FS_Detail(M)'!DB84</f>
        <v>0</v>
      </c>
      <c r="DC131" s="216">
        <f ca="1">-(DC110-DC114)-'FS_Detail(M)'!DC84</f>
        <v>0</v>
      </c>
      <c r="DD131" s="216">
        <f ca="1">-(DD110-DD114)-'FS_Detail(M)'!DD84</f>
        <v>0</v>
      </c>
      <c r="DE131" s="216">
        <f ca="1">-(DE110-DE114)-'FS_Detail(M)'!DE84</f>
        <v>0</v>
      </c>
      <c r="DF131" s="216">
        <f ca="1">-(DF110-DF114)-'FS_Detail(M)'!DF84</f>
        <v>0</v>
      </c>
      <c r="DG131" s="216">
        <f ca="1">-(DG110-DG114)-'FS_Detail(M)'!DG84</f>
        <v>0</v>
      </c>
      <c r="DH131" s="216">
        <f ca="1">-(DH110-DH114)-'FS_Detail(M)'!DH84</f>
        <v>0</v>
      </c>
      <c r="DI131" s="216">
        <f ca="1">-(DI110-DI114)-'FS_Detail(M)'!DI84</f>
        <v>0</v>
      </c>
      <c r="DJ131" s="216">
        <f ca="1">-(DJ110-DJ114)-'FS_Detail(M)'!DJ84</f>
        <v>0</v>
      </c>
      <c r="DK131" s="216">
        <f ca="1">-(DK110-DK114)-'FS_Detail(M)'!DK84</f>
        <v>0</v>
      </c>
      <c r="DL131" s="216">
        <f ca="1">-(DL110-DL114)-'FS_Detail(M)'!DL84</f>
        <v>0</v>
      </c>
      <c r="DM131" s="216">
        <f ca="1">-(DM110-DM114)-'FS_Detail(M)'!DM84</f>
        <v>0</v>
      </c>
      <c r="DN131" s="216">
        <f ca="1">-(DN110-DN114)-'FS_Detail(M)'!DN84</f>
        <v>0</v>
      </c>
      <c r="DO131" s="216">
        <f ca="1">-(DO110-DO114)-'FS_Detail(M)'!DO84</f>
        <v>0</v>
      </c>
      <c r="DP131" s="216">
        <f ca="1">-(DP110-DP114)-'FS_Detail(M)'!DP84</f>
        <v>0</v>
      </c>
      <c r="DQ131" s="216">
        <f ca="1">-(DQ110-DQ114)-'FS_Detail(M)'!DQ84</f>
        <v>0</v>
      </c>
      <c r="DR131" s="216">
        <f ca="1">-(DR110-DR114)-'FS_Detail(M)'!DR84</f>
        <v>0</v>
      </c>
      <c r="DS131" s="216">
        <f ca="1">-(DS110-DS114)-'FS_Detail(M)'!DS84</f>
        <v>0</v>
      </c>
      <c r="DT131" s="216">
        <f ca="1">-(DT110-DT114)-'FS_Detail(M)'!DT84</f>
        <v>0</v>
      </c>
      <c r="DU131" s="216">
        <f ca="1">-(DU110-DU114)-'FS_Detail(M)'!DU84</f>
        <v>0</v>
      </c>
      <c r="DV131" s="216">
        <f ca="1">-(DV110-DV114)-'FS_Detail(M)'!DV84</f>
        <v>0</v>
      </c>
      <c r="DW131" s="216">
        <f ca="1">-(DW110-DW114)-'FS_Detail(M)'!DW84</f>
        <v>0</v>
      </c>
      <c r="DX131" s="216">
        <f ca="1">-(DX110-DX114)-'FS_Detail(M)'!DX84</f>
        <v>0</v>
      </c>
      <c r="DY131" s="216">
        <f ca="1">-(DY110-DY114)-'FS_Detail(M)'!DY84</f>
        <v>0</v>
      </c>
      <c r="DZ131" s="216">
        <f ca="1">-(DZ110-DZ114)-'FS_Detail(M)'!DZ84</f>
        <v>0</v>
      </c>
      <c r="EA131" s="216">
        <f ca="1">-(EA110-EA114)-'FS_Detail(M)'!EA84</f>
        <v>0</v>
      </c>
      <c r="EB131" s="216">
        <f ca="1">-(EB110-EB114)-'FS_Detail(M)'!EB84</f>
        <v>14800000</v>
      </c>
      <c r="EC131" s="216">
        <f ca="1">-(EC110-EC114)-'FS_Detail(M)'!EC84</f>
        <v>0</v>
      </c>
      <c r="ED131" s="216">
        <f ca="1">-(ED110-ED114)-'FS_Detail(M)'!ED84</f>
        <v>0</v>
      </c>
      <c r="EE131" s="216">
        <f ca="1">-(EE110-EE114)-'FS_Detail(M)'!EE84</f>
        <v>0</v>
      </c>
      <c r="EF131" s="216">
        <f ca="1">-(EF110-EF114)-'FS_Detail(M)'!EF84</f>
        <v>0</v>
      </c>
      <c r="EG131" s="216">
        <f ca="1">-(EG110-EG114)-'FS_Detail(M)'!EG84</f>
        <v>0</v>
      </c>
      <c r="EH131" s="216">
        <f ca="1">-(EH110-EH114)-'FS_Detail(M)'!EH84</f>
        <v>0</v>
      </c>
      <c r="EI131" s="216">
        <f ca="1">-(EI110-EI114)-'FS_Detail(M)'!EI84</f>
        <v>0</v>
      </c>
      <c r="EJ131" s="216">
        <f ca="1">-(EJ110-EJ114)-'FS_Detail(M)'!EJ84</f>
        <v>0</v>
      </c>
      <c r="EK131" s="216">
        <f ca="1">-(EK110-EK114)-'FS_Detail(M)'!EK84</f>
        <v>0</v>
      </c>
      <c r="EL131" s="216">
        <f ca="1">-(EL110-EL114)-'FS_Detail(M)'!EL84</f>
        <v>0</v>
      </c>
      <c r="EM131" s="216">
        <f ca="1">-(EM110-EM114)-'FS_Detail(M)'!EM84</f>
        <v>0</v>
      </c>
      <c r="EN131" s="216">
        <f ca="1">-(EN110-EN114)-'FS_Detail(M)'!EN84</f>
        <v>0</v>
      </c>
      <c r="EO131" s="216">
        <f ca="1">-(EO110-EO114)-'FS_Detail(M)'!EO84</f>
        <v>0</v>
      </c>
      <c r="EP131" s="216">
        <f ca="1">-(EP110-EP114)-'FS_Detail(M)'!EP84</f>
        <v>0</v>
      </c>
      <c r="EQ131" s="216">
        <f ca="1">-(EQ110-EQ114)-'FS_Detail(M)'!EQ84</f>
        <v>0</v>
      </c>
    </row>
    <row r="132" spans="2:147" ht="11.25" customHeight="1">
      <c r="B132" s="237" t="s">
        <v>216</v>
      </c>
      <c r="C132" s="238"/>
      <c r="D132" s="238"/>
      <c r="E132" s="238"/>
      <c r="F132" s="238" t="s">
        <v>840</v>
      </c>
      <c r="G132" s="238"/>
      <c r="H132" s="239"/>
      <c r="I132" s="243">
        <f t="shared" ca="1" si="111"/>
        <v>0.16181544839707418</v>
      </c>
      <c r="J132" s="241">
        <f t="shared" ca="1" si="112"/>
        <v>48180453.350267738</v>
      </c>
      <c r="L132" s="235">
        <f ca="1">-L110-'FS_Detail(M)'!L84</f>
        <v>-14800000</v>
      </c>
      <c r="M132" s="235">
        <f ca="1">-M110-'FS_Detail(M)'!M84</f>
        <v>0</v>
      </c>
      <c r="N132" s="235">
        <f ca="1">-N110-'FS_Detail(M)'!N84</f>
        <v>0</v>
      </c>
      <c r="O132" s="235">
        <f ca="1">-O110-'FS_Detail(M)'!O84</f>
        <v>0</v>
      </c>
      <c r="P132" s="235">
        <f ca="1">-P110-'FS_Detail(M)'!P84</f>
        <v>0</v>
      </c>
      <c r="Q132" s="235">
        <f ca="1">-Q110-'FS_Detail(M)'!Q84</f>
        <v>0</v>
      </c>
      <c r="R132" s="235">
        <f ca="1">-R110-'FS_Detail(M)'!R84</f>
        <v>555000</v>
      </c>
      <c r="S132" s="235">
        <f ca="1">-S110-'FS_Detail(M)'!S84</f>
        <v>0</v>
      </c>
      <c r="T132" s="235">
        <f ca="1">-T110-'FS_Detail(M)'!T84</f>
        <v>0</v>
      </c>
      <c r="U132" s="235">
        <f ca="1">-U110-'FS_Detail(M)'!U84</f>
        <v>0</v>
      </c>
      <c r="V132" s="235">
        <f ca="1">-V110-'FS_Detail(M)'!V84</f>
        <v>0</v>
      </c>
      <c r="W132" s="235">
        <f ca="1">-W110-'FS_Detail(M)'!W84</f>
        <v>0</v>
      </c>
      <c r="X132" s="235">
        <f ca="1">-X110-'FS_Detail(M)'!X84</f>
        <v>555000</v>
      </c>
      <c r="Y132" s="235">
        <f ca="1">-Y110-'FS_Detail(M)'!Y84</f>
        <v>0</v>
      </c>
      <c r="Z132" s="235">
        <f ca="1">-Z110-'FS_Detail(M)'!Z84</f>
        <v>0</v>
      </c>
      <c r="AA132" s="235">
        <f ca="1">-AA110-'FS_Detail(M)'!AA84</f>
        <v>0</v>
      </c>
      <c r="AB132" s="235">
        <f ca="1">-AB110-'FS_Detail(M)'!AB84</f>
        <v>0</v>
      </c>
      <c r="AC132" s="235">
        <f ca="1">-AC110-'FS_Detail(M)'!AC84</f>
        <v>0</v>
      </c>
      <c r="AD132" s="235">
        <f ca="1">-AD110-'FS_Detail(M)'!AD84</f>
        <v>0</v>
      </c>
      <c r="AE132" s="235">
        <f ca="1">-AE110-'FS_Detail(M)'!AE84</f>
        <v>0</v>
      </c>
      <c r="AF132" s="235">
        <f ca="1">-AF110-'FS_Detail(M)'!AF84</f>
        <v>0</v>
      </c>
      <c r="AG132" s="235">
        <f ca="1">-AG110-'FS_Detail(M)'!AG84</f>
        <v>0</v>
      </c>
      <c r="AH132" s="235">
        <f ca="1">-AH110-'FS_Detail(M)'!AH84</f>
        <v>0</v>
      </c>
      <c r="AI132" s="235">
        <f ca="1">-AI110-'FS_Detail(M)'!AI84</f>
        <v>0</v>
      </c>
      <c r="AJ132" s="235">
        <f ca="1">-AJ110-'FS_Detail(M)'!AJ84</f>
        <v>0</v>
      </c>
      <c r="AK132" s="235">
        <f ca="1">-AK110-'FS_Detail(M)'!AK84</f>
        <v>0</v>
      </c>
      <c r="AL132" s="235">
        <f ca="1">-AL110-'FS_Detail(M)'!AL84</f>
        <v>0</v>
      </c>
      <c r="AM132" s="235">
        <f ca="1">-AM110-'FS_Detail(M)'!AM84</f>
        <v>0</v>
      </c>
      <c r="AN132" s="235">
        <f ca="1">-AN110-'FS_Detail(M)'!AN84</f>
        <v>0</v>
      </c>
      <c r="AO132" s="235">
        <f ca="1">-AO110-'FS_Detail(M)'!AO84</f>
        <v>0</v>
      </c>
      <c r="AP132" s="235">
        <f ca="1">-AP110-'FS_Detail(M)'!AP84</f>
        <v>0</v>
      </c>
      <c r="AQ132" s="235">
        <f ca="1">-AQ110-'FS_Detail(M)'!AQ84</f>
        <v>0</v>
      </c>
      <c r="AR132" s="235">
        <f ca="1">-AR110-'FS_Detail(M)'!AR84</f>
        <v>0</v>
      </c>
      <c r="AS132" s="235">
        <f ca="1">-AS110-'FS_Detail(M)'!AS84</f>
        <v>0</v>
      </c>
      <c r="AT132" s="235">
        <f ca="1">-AT110-'FS_Detail(M)'!AT84</f>
        <v>0</v>
      </c>
      <c r="AU132" s="235">
        <f ca="1">-AU110-'FS_Detail(M)'!AU84</f>
        <v>0</v>
      </c>
      <c r="AV132" s="235">
        <f ca="1">-AV110-'FS_Detail(M)'!AV84</f>
        <v>0</v>
      </c>
      <c r="AW132" s="235">
        <f ca="1">-AW110-'FS_Detail(M)'!AW84</f>
        <v>0</v>
      </c>
      <c r="AX132" s="235">
        <f ca="1">-AX110-'FS_Detail(M)'!AX84</f>
        <v>0</v>
      </c>
      <c r="AY132" s="235">
        <f ca="1">-AY110-'FS_Detail(M)'!AY84</f>
        <v>0</v>
      </c>
      <c r="AZ132" s="235">
        <f ca="1">-AZ110-'FS_Detail(M)'!AZ84</f>
        <v>0</v>
      </c>
      <c r="BA132" s="235">
        <f ca="1">-BA110-'FS_Detail(M)'!BA84</f>
        <v>0</v>
      </c>
      <c r="BB132" s="235">
        <f ca="1">-BB110-'FS_Detail(M)'!BB84</f>
        <v>0</v>
      </c>
      <c r="BC132" s="235">
        <f ca="1">-BC110-'FS_Detail(M)'!BC84</f>
        <v>0</v>
      </c>
      <c r="BD132" s="235">
        <f ca="1">-BD110-'FS_Detail(M)'!BD84</f>
        <v>0</v>
      </c>
      <c r="BE132" s="235">
        <f ca="1">-BE110-'FS_Detail(M)'!BE84</f>
        <v>0</v>
      </c>
      <c r="BF132" s="235">
        <f ca="1">-BF110-'FS_Detail(M)'!BF84</f>
        <v>0</v>
      </c>
      <c r="BG132" s="235">
        <f ca="1">-BG110-'FS_Detail(M)'!BG84</f>
        <v>0</v>
      </c>
      <c r="BH132" s="235">
        <f ca="1">-BH110-'FS_Detail(M)'!BH84</f>
        <v>0</v>
      </c>
      <c r="BI132" s="235">
        <f ca="1">-BI110-'FS_Detail(M)'!BI84</f>
        <v>0</v>
      </c>
      <c r="BJ132" s="235">
        <f ca="1">-BJ110-'FS_Detail(M)'!BJ84</f>
        <v>0</v>
      </c>
      <c r="BK132" s="235">
        <f ca="1">-BK110-'FS_Detail(M)'!BK84</f>
        <v>0</v>
      </c>
      <c r="BL132" s="235">
        <f ca="1">-BL110-'FS_Detail(M)'!BL84</f>
        <v>0</v>
      </c>
      <c r="BM132" s="235">
        <f ca="1">-BM110-'FS_Detail(M)'!BM84</f>
        <v>0</v>
      </c>
      <c r="BN132" s="235">
        <f ca="1">-BN110-'FS_Detail(M)'!BN84</f>
        <v>0</v>
      </c>
      <c r="BO132" s="235">
        <f ca="1">-BO110-'FS_Detail(M)'!BO84</f>
        <v>0</v>
      </c>
      <c r="BP132" s="235">
        <f ca="1">-BP110-'FS_Detail(M)'!BP84</f>
        <v>0</v>
      </c>
      <c r="BQ132" s="235">
        <f ca="1">-BQ110-'FS_Detail(M)'!BQ84</f>
        <v>0</v>
      </c>
      <c r="BR132" s="235">
        <f ca="1">-BR110-'FS_Detail(M)'!BR84</f>
        <v>0</v>
      </c>
      <c r="BS132" s="235">
        <f ca="1">-BS110-'FS_Detail(M)'!BS84</f>
        <v>0</v>
      </c>
      <c r="BT132" s="235">
        <f ca="1">-BT110-'FS_Detail(M)'!BT84</f>
        <v>0</v>
      </c>
      <c r="BU132" s="235">
        <f ca="1">-BU110-'FS_Detail(M)'!BU84</f>
        <v>0</v>
      </c>
      <c r="BV132" s="235">
        <f ca="1">-BV110-'FS_Detail(M)'!BV84</f>
        <v>0</v>
      </c>
      <c r="BW132" s="235">
        <f ca="1">-BW110-'FS_Detail(M)'!BW84</f>
        <v>0</v>
      </c>
      <c r="BX132" s="235">
        <f ca="1">-BX110-'FS_Detail(M)'!BX84</f>
        <v>0</v>
      </c>
      <c r="BY132" s="235">
        <f ca="1">-BY110-'FS_Detail(M)'!BY84</f>
        <v>0</v>
      </c>
      <c r="BZ132" s="235">
        <f ca="1">-BZ110-'FS_Detail(M)'!BZ84</f>
        <v>0</v>
      </c>
      <c r="CA132" s="235">
        <f ca="1">-CA110-'FS_Detail(M)'!CA84</f>
        <v>0</v>
      </c>
      <c r="CB132" s="235">
        <f ca="1">-CB110-'FS_Detail(M)'!CB84</f>
        <v>0</v>
      </c>
      <c r="CC132" s="235">
        <f ca="1">-CC110-'FS_Detail(M)'!CC84</f>
        <v>0</v>
      </c>
      <c r="CD132" s="235">
        <f ca="1">-CD110-'FS_Detail(M)'!CD84</f>
        <v>0</v>
      </c>
      <c r="CE132" s="235">
        <f ca="1">-CE110-'FS_Detail(M)'!CE84</f>
        <v>0</v>
      </c>
      <c r="CF132" s="235">
        <f ca="1">-CF110-'FS_Detail(M)'!CF84</f>
        <v>0</v>
      </c>
      <c r="CG132" s="235">
        <f ca="1">-CG110-'FS_Detail(M)'!CG84</f>
        <v>0</v>
      </c>
      <c r="CH132" s="235">
        <f ca="1">-CH110-'FS_Detail(M)'!CH84</f>
        <v>0</v>
      </c>
      <c r="CI132" s="235">
        <f ca="1">-CI110-'FS_Detail(M)'!CI84</f>
        <v>0</v>
      </c>
      <c r="CJ132" s="235">
        <f ca="1">-CJ110-'FS_Detail(M)'!CJ84</f>
        <v>0</v>
      </c>
      <c r="CK132" s="235">
        <f ca="1">-CK110-'FS_Detail(M)'!CK84</f>
        <v>0</v>
      </c>
      <c r="CL132" s="235">
        <f ca="1">-CL110-'FS_Detail(M)'!CL84</f>
        <v>0</v>
      </c>
      <c r="CM132" s="235">
        <f ca="1">-CM110-'FS_Detail(M)'!CM84</f>
        <v>0</v>
      </c>
      <c r="CN132" s="235">
        <f ca="1">-CN110-'FS_Detail(M)'!CN84</f>
        <v>0</v>
      </c>
      <c r="CO132" s="235">
        <f ca="1">-CO110-'FS_Detail(M)'!CO84</f>
        <v>0</v>
      </c>
      <c r="CP132" s="235">
        <f ca="1">-CP110-'FS_Detail(M)'!CP84</f>
        <v>0</v>
      </c>
      <c r="CQ132" s="235">
        <f ca="1">-CQ110-'FS_Detail(M)'!CQ84</f>
        <v>0</v>
      </c>
      <c r="CR132" s="235">
        <f ca="1">-CR110-'FS_Detail(M)'!CR84</f>
        <v>0</v>
      </c>
      <c r="CS132" s="235">
        <f ca="1">-CS110-'FS_Detail(M)'!CS84</f>
        <v>0</v>
      </c>
      <c r="CT132" s="235">
        <f ca="1">-CT110-'FS_Detail(M)'!CT84</f>
        <v>0</v>
      </c>
      <c r="CU132" s="235">
        <f ca="1">-CU110-'FS_Detail(M)'!CU84</f>
        <v>0</v>
      </c>
      <c r="CV132" s="235">
        <f ca="1">-CV110-'FS_Detail(M)'!CV84</f>
        <v>0</v>
      </c>
      <c r="CW132" s="235">
        <f ca="1">-CW110-'FS_Detail(M)'!CW84</f>
        <v>0</v>
      </c>
      <c r="CX132" s="235">
        <f ca="1">-CX110-'FS_Detail(M)'!CX84</f>
        <v>0</v>
      </c>
      <c r="CY132" s="235">
        <f ca="1">-CY110-'FS_Detail(M)'!CY84</f>
        <v>0</v>
      </c>
      <c r="CZ132" s="235">
        <f ca="1">-CZ110-'FS_Detail(M)'!CZ84</f>
        <v>0</v>
      </c>
      <c r="DA132" s="235">
        <f ca="1">-DA110-'FS_Detail(M)'!DA84</f>
        <v>0</v>
      </c>
      <c r="DB132" s="235">
        <f ca="1">-DB110-'FS_Detail(M)'!DB84</f>
        <v>0</v>
      </c>
      <c r="DC132" s="235">
        <f ca="1">-DC110-'FS_Detail(M)'!DC84</f>
        <v>0</v>
      </c>
      <c r="DD132" s="235">
        <f ca="1">-DD110-'FS_Detail(M)'!DD84</f>
        <v>0</v>
      </c>
      <c r="DE132" s="235">
        <f ca="1">-DE110-'FS_Detail(M)'!DE84</f>
        <v>0</v>
      </c>
      <c r="DF132" s="235">
        <f ca="1">-DF110-'FS_Detail(M)'!DF84</f>
        <v>0</v>
      </c>
      <c r="DG132" s="235">
        <f ca="1">-DG110-'FS_Detail(M)'!DG84</f>
        <v>0</v>
      </c>
      <c r="DH132" s="235">
        <f ca="1">-DH110-'FS_Detail(M)'!DH84</f>
        <v>0</v>
      </c>
      <c r="DI132" s="235">
        <f ca="1">-DI110-'FS_Detail(M)'!DI84</f>
        <v>0</v>
      </c>
      <c r="DJ132" s="235">
        <f ca="1">-DJ110-'FS_Detail(M)'!DJ84</f>
        <v>0</v>
      </c>
      <c r="DK132" s="235">
        <f ca="1">-DK110-'FS_Detail(M)'!DK84</f>
        <v>0</v>
      </c>
      <c r="DL132" s="235">
        <f ca="1">-DL110-'FS_Detail(M)'!DL84</f>
        <v>0</v>
      </c>
      <c r="DM132" s="235">
        <f ca="1">-DM110-'FS_Detail(M)'!DM84</f>
        <v>0</v>
      </c>
      <c r="DN132" s="235">
        <f ca="1">-DN110-'FS_Detail(M)'!DN84</f>
        <v>0</v>
      </c>
      <c r="DO132" s="235">
        <f ca="1">-DO110-'FS_Detail(M)'!DO84</f>
        <v>0</v>
      </c>
      <c r="DP132" s="235">
        <f ca="1">-DP110-'FS_Detail(M)'!DP84</f>
        <v>0</v>
      </c>
      <c r="DQ132" s="235">
        <f ca="1">-DQ110-'FS_Detail(M)'!DQ84</f>
        <v>0</v>
      </c>
      <c r="DR132" s="235">
        <f ca="1">-DR110-'FS_Detail(M)'!DR84</f>
        <v>0</v>
      </c>
      <c r="DS132" s="235">
        <f ca="1">-DS110-'FS_Detail(M)'!DS84</f>
        <v>0</v>
      </c>
      <c r="DT132" s="235">
        <f ca="1">-DT110-'FS_Detail(M)'!DT84</f>
        <v>0</v>
      </c>
      <c r="DU132" s="235">
        <f ca="1">-DU110-'FS_Detail(M)'!DU84</f>
        <v>0</v>
      </c>
      <c r="DV132" s="235">
        <f ca="1">-DV110-'FS_Detail(M)'!DV84</f>
        <v>0</v>
      </c>
      <c r="DW132" s="235">
        <f ca="1">-DW110-'FS_Detail(M)'!DW84</f>
        <v>0</v>
      </c>
      <c r="DX132" s="235">
        <f ca="1">-DX110-'FS_Detail(M)'!DX84</f>
        <v>0</v>
      </c>
      <c r="DY132" s="235">
        <f ca="1">-DY110-'FS_Detail(M)'!DY84</f>
        <v>0</v>
      </c>
      <c r="DZ132" s="235">
        <f ca="1">-DZ110-'FS_Detail(M)'!DZ84</f>
        <v>0</v>
      </c>
      <c r="EA132" s="235">
        <f ca="1">-EA110-'FS_Detail(M)'!EA84</f>
        <v>0</v>
      </c>
      <c r="EB132" s="235">
        <f ca="1">-EB110-'FS_Detail(M)'!EB84</f>
        <v>61870453.350267738</v>
      </c>
      <c r="EC132" s="235">
        <f ca="1">-EC110-'FS_Detail(M)'!EC84</f>
        <v>0</v>
      </c>
      <c r="ED132" s="235">
        <f ca="1">-ED110-'FS_Detail(M)'!ED84</f>
        <v>0</v>
      </c>
      <c r="EE132" s="235">
        <f ca="1">-EE110-'FS_Detail(M)'!EE84</f>
        <v>0</v>
      </c>
      <c r="EF132" s="235">
        <f ca="1">-EF110-'FS_Detail(M)'!EF84</f>
        <v>0</v>
      </c>
      <c r="EG132" s="235">
        <f ca="1">-EG110-'FS_Detail(M)'!EG84</f>
        <v>0</v>
      </c>
      <c r="EH132" s="235">
        <f ca="1">-EH110-'FS_Detail(M)'!EH84</f>
        <v>0</v>
      </c>
      <c r="EI132" s="235">
        <f ca="1">-EI110-'FS_Detail(M)'!EI84</f>
        <v>0</v>
      </c>
      <c r="EJ132" s="235">
        <f ca="1">-EJ110-'FS_Detail(M)'!EJ84</f>
        <v>0</v>
      </c>
      <c r="EK132" s="235">
        <f ca="1">-EK110-'FS_Detail(M)'!EK84</f>
        <v>0</v>
      </c>
      <c r="EL132" s="235">
        <f ca="1">-EL110-'FS_Detail(M)'!EL84</f>
        <v>0</v>
      </c>
      <c r="EM132" s="235">
        <f ca="1">-EM110-'FS_Detail(M)'!EM84</f>
        <v>0</v>
      </c>
      <c r="EN132" s="235">
        <f ca="1">-EN110-'FS_Detail(M)'!EN84</f>
        <v>0</v>
      </c>
      <c r="EO132" s="235">
        <f ca="1">-EO110-'FS_Detail(M)'!EO84</f>
        <v>0</v>
      </c>
      <c r="EP132" s="235">
        <f ca="1">-EP110-'FS_Detail(M)'!EP84</f>
        <v>0</v>
      </c>
      <c r="EQ132" s="235">
        <f ca="1">-EQ110-'FS_Detail(M)'!EQ84</f>
        <v>0</v>
      </c>
    </row>
    <row r="133" spans="2:147" ht="11.25" customHeight="1">
      <c r="B133" s="211" t="s">
        <v>1121</v>
      </c>
      <c r="C133" s="212"/>
      <c r="D133" s="212"/>
      <c r="E133" s="212"/>
      <c r="F133" s="212"/>
      <c r="G133" s="212"/>
      <c r="H133" s="213"/>
      <c r="I133" s="242">
        <f t="shared" ca="1" si="111"/>
        <v>6.1772181236007917E-2</v>
      </c>
      <c r="J133" s="216">
        <f t="shared" ca="1" si="112"/>
        <v>55410000</v>
      </c>
      <c r="L133" s="216">
        <f ca="1">SUM(L125,L127,L129,L131)</f>
        <v>-98800000</v>
      </c>
      <c r="M133" s="216">
        <f t="shared" ref="M133:BX133" ca="1" si="131">SUM(M125,M127,M129,M131)</f>
        <v>0</v>
      </c>
      <c r="N133" s="216">
        <f t="shared" ca="1" si="131"/>
        <v>0</v>
      </c>
      <c r="O133" s="216">
        <f t="shared" ca="1" si="131"/>
        <v>0</v>
      </c>
      <c r="P133" s="216">
        <f t="shared" ca="1" si="131"/>
        <v>0</v>
      </c>
      <c r="Q133" s="216">
        <f t="shared" ca="1" si="131"/>
        <v>0</v>
      </c>
      <c r="R133" s="216">
        <f t="shared" ca="1" si="131"/>
        <v>3270000</v>
      </c>
      <c r="S133" s="216">
        <f t="shared" ca="1" si="131"/>
        <v>0</v>
      </c>
      <c r="T133" s="216">
        <f t="shared" ca="1" si="131"/>
        <v>0</v>
      </c>
      <c r="U133" s="216">
        <f t="shared" ca="1" si="131"/>
        <v>0</v>
      </c>
      <c r="V133" s="216">
        <f t="shared" ca="1" si="131"/>
        <v>0</v>
      </c>
      <c r="W133" s="216">
        <f t="shared" ca="1" si="131"/>
        <v>0</v>
      </c>
      <c r="X133" s="216">
        <f t="shared" ca="1" si="131"/>
        <v>3270000</v>
      </c>
      <c r="Y133" s="216">
        <f t="shared" ca="1" si="131"/>
        <v>0</v>
      </c>
      <c r="Z133" s="216">
        <f t="shared" ca="1" si="131"/>
        <v>0</v>
      </c>
      <c r="AA133" s="216">
        <f t="shared" ca="1" si="131"/>
        <v>0</v>
      </c>
      <c r="AB133" s="216">
        <f t="shared" ca="1" si="131"/>
        <v>0</v>
      </c>
      <c r="AC133" s="216">
        <f t="shared" ca="1" si="131"/>
        <v>0</v>
      </c>
      <c r="AD133" s="216">
        <f t="shared" ca="1" si="131"/>
        <v>2715000</v>
      </c>
      <c r="AE133" s="216">
        <f t="shared" ca="1" si="131"/>
        <v>0</v>
      </c>
      <c r="AF133" s="216">
        <f t="shared" ca="1" si="131"/>
        <v>0</v>
      </c>
      <c r="AG133" s="216">
        <f t="shared" ca="1" si="131"/>
        <v>0</v>
      </c>
      <c r="AH133" s="216">
        <f t="shared" ca="1" si="131"/>
        <v>0</v>
      </c>
      <c r="AI133" s="216">
        <f t="shared" ca="1" si="131"/>
        <v>0</v>
      </c>
      <c r="AJ133" s="216">
        <f t="shared" ca="1" si="131"/>
        <v>12715000</v>
      </c>
      <c r="AK133" s="216">
        <f t="shared" ca="1" si="131"/>
        <v>0</v>
      </c>
      <c r="AL133" s="216">
        <f t="shared" ca="1" si="131"/>
        <v>0</v>
      </c>
      <c r="AM133" s="216">
        <f t="shared" ca="1" si="131"/>
        <v>0</v>
      </c>
      <c r="AN133" s="216">
        <f t="shared" ca="1" si="131"/>
        <v>0</v>
      </c>
      <c r="AO133" s="216">
        <f t="shared" ca="1" si="131"/>
        <v>0</v>
      </c>
      <c r="AP133" s="216">
        <f t="shared" ca="1" si="131"/>
        <v>2715000</v>
      </c>
      <c r="AQ133" s="216">
        <f t="shared" ca="1" si="131"/>
        <v>0</v>
      </c>
      <c r="AR133" s="216">
        <f t="shared" ca="1" si="131"/>
        <v>0</v>
      </c>
      <c r="AS133" s="216">
        <f t="shared" ca="1" si="131"/>
        <v>0</v>
      </c>
      <c r="AT133" s="216">
        <f t="shared" ca="1" si="131"/>
        <v>0</v>
      </c>
      <c r="AU133" s="216">
        <f t="shared" ca="1" si="131"/>
        <v>0</v>
      </c>
      <c r="AV133" s="216">
        <f t="shared" ca="1" si="131"/>
        <v>2715000</v>
      </c>
      <c r="AW133" s="216">
        <f t="shared" ca="1" si="131"/>
        <v>0</v>
      </c>
      <c r="AX133" s="216">
        <f t="shared" ca="1" si="131"/>
        <v>0</v>
      </c>
      <c r="AY133" s="216">
        <f t="shared" ca="1" si="131"/>
        <v>0</v>
      </c>
      <c r="AZ133" s="216">
        <f t="shared" ca="1" si="131"/>
        <v>0</v>
      </c>
      <c r="BA133" s="216">
        <f t="shared" ca="1" si="131"/>
        <v>0</v>
      </c>
      <c r="BB133" s="216">
        <f t="shared" ca="1" si="131"/>
        <v>2602472.0129412687</v>
      </c>
      <c r="BC133" s="216">
        <f t="shared" ca="1" si="131"/>
        <v>0</v>
      </c>
      <c r="BD133" s="216">
        <f t="shared" ca="1" si="131"/>
        <v>0</v>
      </c>
      <c r="BE133" s="216">
        <f t="shared" ca="1" si="131"/>
        <v>0</v>
      </c>
      <c r="BF133" s="216">
        <f t="shared" ca="1" si="131"/>
        <v>0</v>
      </c>
      <c r="BG133" s="216">
        <f t="shared" ca="1" si="131"/>
        <v>0</v>
      </c>
      <c r="BH133" s="216">
        <f t="shared" ca="1" si="131"/>
        <v>2353291.9989280105</v>
      </c>
      <c r="BI133" s="216">
        <f t="shared" ca="1" si="131"/>
        <v>0</v>
      </c>
      <c r="BJ133" s="216">
        <f t="shared" ca="1" si="131"/>
        <v>0</v>
      </c>
      <c r="BK133" s="216">
        <f t="shared" ca="1" si="131"/>
        <v>0</v>
      </c>
      <c r="BL133" s="216">
        <f t="shared" ca="1" si="131"/>
        <v>0</v>
      </c>
      <c r="BM133" s="216">
        <f t="shared" ca="1" si="131"/>
        <v>0</v>
      </c>
      <c r="BN133" s="216">
        <f t="shared" ca="1" si="131"/>
        <v>2105541.4966859473</v>
      </c>
      <c r="BO133" s="216">
        <f t="shared" ca="1" si="131"/>
        <v>0</v>
      </c>
      <c r="BP133" s="216">
        <f t="shared" ca="1" si="131"/>
        <v>0</v>
      </c>
      <c r="BQ133" s="216">
        <f t="shared" ca="1" si="131"/>
        <v>0</v>
      </c>
      <c r="BR133" s="216">
        <f t="shared" ca="1" si="131"/>
        <v>0</v>
      </c>
      <c r="BS133" s="216">
        <f t="shared" ca="1" si="131"/>
        <v>0</v>
      </c>
      <c r="BT133" s="216">
        <f t="shared" ca="1" si="131"/>
        <v>2562478.4355854392</v>
      </c>
      <c r="BU133" s="216">
        <f t="shared" ca="1" si="131"/>
        <v>0</v>
      </c>
      <c r="BV133" s="216">
        <f t="shared" ca="1" si="131"/>
        <v>0</v>
      </c>
      <c r="BW133" s="216">
        <f t="shared" ca="1" si="131"/>
        <v>0</v>
      </c>
      <c r="BX133" s="216">
        <f t="shared" ca="1" si="131"/>
        <v>0</v>
      </c>
      <c r="BY133" s="216">
        <f t="shared" ref="BY133:EJ133" ca="1" si="132">SUM(BY125,BY127,BY129,BY131)</f>
        <v>0</v>
      </c>
      <c r="BZ133" s="216">
        <f t="shared" ca="1" si="132"/>
        <v>2645647.7403300544</v>
      </c>
      <c r="CA133" s="216">
        <f t="shared" ca="1" si="132"/>
        <v>0</v>
      </c>
      <c r="CB133" s="216">
        <f t="shared" ca="1" si="132"/>
        <v>0</v>
      </c>
      <c r="CC133" s="216">
        <f t="shared" ca="1" si="132"/>
        <v>0</v>
      </c>
      <c r="CD133" s="216">
        <f t="shared" ca="1" si="132"/>
        <v>0</v>
      </c>
      <c r="CE133" s="216">
        <f t="shared" ca="1" si="132"/>
        <v>0</v>
      </c>
      <c r="CF133" s="216">
        <f t="shared" ca="1" si="132"/>
        <v>3098497.3462193981</v>
      </c>
      <c r="CG133" s="216">
        <f t="shared" ca="1" si="132"/>
        <v>0</v>
      </c>
      <c r="CH133" s="216">
        <f t="shared" ca="1" si="132"/>
        <v>0</v>
      </c>
      <c r="CI133" s="216">
        <f t="shared" ca="1" si="132"/>
        <v>0</v>
      </c>
      <c r="CJ133" s="216">
        <f t="shared" ca="1" si="132"/>
        <v>0</v>
      </c>
      <c r="CK133" s="216">
        <f t="shared" ca="1" si="132"/>
        <v>0</v>
      </c>
      <c r="CL133" s="216">
        <f t="shared" ca="1" si="132"/>
        <v>2871213.1788212531</v>
      </c>
      <c r="CM133" s="216">
        <f t="shared" ca="1" si="132"/>
        <v>0</v>
      </c>
      <c r="CN133" s="216">
        <f t="shared" ca="1" si="132"/>
        <v>0</v>
      </c>
      <c r="CO133" s="216">
        <f t="shared" ca="1" si="132"/>
        <v>0</v>
      </c>
      <c r="CP133" s="216">
        <f t="shared" ca="1" si="132"/>
        <v>0</v>
      </c>
      <c r="CQ133" s="216">
        <f t="shared" ca="1" si="132"/>
        <v>0</v>
      </c>
      <c r="CR133" s="216">
        <f t="shared" ca="1" si="132"/>
        <v>3320274.6567853596</v>
      </c>
      <c r="CS133" s="216">
        <f t="shared" ca="1" si="132"/>
        <v>0</v>
      </c>
      <c r="CT133" s="216">
        <f t="shared" ca="1" si="132"/>
        <v>0</v>
      </c>
      <c r="CU133" s="216">
        <f t="shared" ca="1" si="132"/>
        <v>0</v>
      </c>
      <c r="CV133" s="216">
        <f t="shared" ca="1" si="132"/>
        <v>0</v>
      </c>
      <c r="CW133" s="216">
        <f t="shared" ca="1" si="132"/>
        <v>0</v>
      </c>
      <c r="CX133" s="216">
        <f t="shared" ca="1" si="132"/>
        <v>2875583.1337032691</v>
      </c>
      <c r="CY133" s="216">
        <f t="shared" ca="1" si="132"/>
        <v>0</v>
      </c>
      <c r="CZ133" s="216">
        <f t="shared" ca="1" si="132"/>
        <v>0</v>
      </c>
      <c r="DA133" s="216">
        <f t="shared" ca="1" si="132"/>
        <v>0</v>
      </c>
      <c r="DB133" s="216">
        <f t="shared" ca="1" si="132"/>
        <v>0</v>
      </c>
      <c r="DC133" s="216">
        <f t="shared" ca="1" si="132"/>
        <v>0</v>
      </c>
      <c r="DD133" s="216">
        <f t="shared" ca="1" si="132"/>
        <v>2715000</v>
      </c>
      <c r="DE133" s="216">
        <f t="shared" ca="1" si="132"/>
        <v>0</v>
      </c>
      <c r="DF133" s="216">
        <f t="shared" ca="1" si="132"/>
        <v>0</v>
      </c>
      <c r="DG133" s="216">
        <f t="shared" ca="1" si="132"/>
        <v>0</v>
      </c>
      <c r="DH133" s="216">
        <f t="shared" ca="1" si="132"/>
        <v>0</v>
      </c>
      <c r="DI133" s="216">
        <f t="shared" ca="1" si="132"/>
        <v>0</v>
      </c>
      <c r="DJ133" s="216">
        <f t="shared" ca="1" si="132"/>
        <v>2715000</v>
      </c>
      <c r="DK133" s="216">
        <f t="shared" ca="1" si="132"/>
        <v>0</v>
      </c>
      <c r="DL133" s="216">
        <f t="shared" ca="1" si="132"/>
        <v>0</v>
      </c>
      <c r="DM133" s="216">
        <f t="shared" ca="1" si="132"/>
        <v>0</v>
      </c>
      <c r="DN133" s="216">
        <f t="shared" ca="1" si="132"/>
        <v>0</v>
      </c>
      <c r="DO133" s="216">
        <f t="shared" ca="1" si="132"/>
        <v>0</v>
      </c>
      <c r="DP133" s="216">
        <f t="shared" ca="1" si="132"/>
        <v>2715000</v>
      </c>
      <c r="DQ133" s="216">
        <f t="shared" ca="1" si="132"/>
        <v>0</v>
      </c>
      <c r="DR133" s="216">
        <f t="shared" ca="1" si="132"/>
        <v>0</v>
      </c>
      <c r="DS133" s="216">
        <f t="shared" ca="1" si="132"/>
        <v>0</v>
      </c>
      <c r="DT133" s="216">
        <f t="shared" ca="1" si="132"/>
        <v>0</v>
      </c>
      <c r="DU133" s="216">
        <f t="shared" ca="1" si="132"/>
        <v>0</v>
      </c>
      <c r="DV133" s="216">
        <f t="shared" ca="1" si="132"/>
        <v>2715000</v>
      </c>
      <c r="DW133" s="216">
        <f t="shared" ca="1" si="132"/>
        <v>0</v>
      </c>
      <c r="DX133" s="216">
        <f t="shared" ca="1" si="132"/>
        <v>0</v>
      </c>
      <c r="DY133" s="216">
        <f t="shared" ca="1" si="132"/>
        <v>0</v>
      </c>
      <c r="DZ133" s="216">
        <f t="shared" ca="1" si="132"/>
        <v>0</v>
      </c>
      <c r="EA133" s="216">
        <f t="shared" ca="1" si="132"/>
        <v>0</v>
      </c>
      <c r="EB133" s="216">
        <f t="shared" ca="1" si="132"/>
        <v>91515000</v>
      </c>
      <c r="EC133" s="216">
        <f t="shared" ca="1" si="132"/>
        <v>0</v>
      </c>
      <c r="ED133" s="216">
        <f t="shared" ca="1" si="132"/>
        <v>0</v>
      </c>
      <c r="EE133" s="216">
        <f t="shared" ca="1" si="132"/>
        <v>0</v>
      </c>
      <c r="EF133" s="216">
        <f t="shared" ca="1" si="132"/>
        <v>0</v>
      </c>
      <c r="EG133" s="216">
        <f t="shared" ca="1" si="132"/>
        <v>0</v>
      </c>
      <c r="EH133" s="216">
        <f t="shared" ca="1" si="132"/>
        <v>0</v>
      </c>
      <c r="EI133" s="216">
        <f t="shared" ca="1" si="132"/>
        <v>0</v>
      </c>
      <c r="EJ133" s="216">
        <f t="shared" ca="1" si="132"/>
        <v>0</v>
      </c>
      <c r="EK133" s="216">
        <f t="shared" ref="EK133:EQ133" ca="1" si="133">SUM(EK125,EK127,EK129,EK131)</f>
        <v>0</v>
      </c>
      <c r="EL133" s="216">
        <f t="shared" ca="1" si="133"/>
        <v>0</v>
      </c>
      <c r="EM133" s="216">
        <f t="shared" ca="1" si="133"/>
        <v>0</v>
      </c>
      <c r="EN133" s="216">
        <f t="shared" ca="1" si="133"/>
        <v>0</v>
      </c>
      <c r="EO133" s="216">
        <f t="shared" ca="1" si="133"/>
        <v>0</v>
      </c>
      <c r="EP133" s="216">
        <f t="shared" ca="1" si="133"/>
        <v>0</v>
      </c>
      <c r="EQ133" s="216">
        <f t="shared" ca="1" si="133"/>
        <v>0</v>
      </c>
    </row>
    <row r="134" spans="2:147" ht="11.25" customHeight="1">
      <c r="B134" s="237" t="s">
        <v>1122</v>
      </c>
      <c r="C134" s="238"/>
      <c r="D134" s="238"/>
      <c r="E134" s="238"/>
      <c r="F134" s="238"/>
      <c r="G134" s="238"/>
      <c r="H134" s="239"/>
      <c r="I134" s="243">
        <f t="shared" ca="1" si="111"/>
        <v>0.10214270785652579</v>
      </c>
      <c r="J134" s="241">
        <f t="shared" ca="1" si="112"/>
        <v>114248066.68783468</v>
      </c>
      <c r="L134" s="235">
        <f ca="1">SUM(L126,L128,L130,L132)</f>
        <v>-98800000</v>
      </c>
      <c r="M134" s="235">
        <f t="shared" ref="M134:BX134" ca="1" si="134">SUM(M126,M128,M130,M132)</f>
        <v>0</v>
      </c>
      <c r="N134" s="235">
        <f t="shared" ca="1" si="134"/>
        <v>0</v>
      </c>
      <c r="O134" s="235">
        <f t="shared" ca="1" si="134"/>
        <v>0</v>
      </c>
      <c r="P134" s="235">
        <f t="shared" ca="1" si="134"/>
        <v>0</v>
      </c>
      <c r="Q134" s="235">
        <f t="shared" ca="1" si="134"/>
        <v>0</v>
      </c>
      <c r="R134" s="235">
        <f t="shared" ca="1" si="134"/>
        <v>3270000</v>
      </c>
      <c r="S134" s="235">
        <f t="shared" ca="1" si="134"/>
        <v>0</v>
      </c>
      <c r="T134" s="235">
        <f t="shared" ca="1" si="134"/>
        <v>0</v>
      </c>
      <c r="U134" s="235">
        <f t="shared" ca="1" si="134"/>
        <v>0</v>
      </c>
      <c r="V134" s="235">
        <f t="shared" ca="1" si="134"/>
        <v>0</v>
      </c>
      <c r="W134" s="235">
        <f t="shared" ca="1" si="134"/>
        <v>0</v>
      </c>
      <c r="X134" s="235">
        <f t="shared" ca="1" si="134"/>
        <v>3270000</v>
      </c>
      <c r="Y134" s="235">
        <f t="shared" ca="1" si="134"/>
        <v>0</v>
      </c>
      <c r="Z134" s="235">
        <f t="shared" ca="1" si="134"/>
        <v>0</v>
      </c>
      <c r="AA134" s="235">
        <f t="shared" ca="1" si="134"/>
        <v>0</v>
      </c>
      <c r="AB134" s="235">
        <f t="shared" ca="1" si="134"/>
        <v>0</v>
      </c>
      <c r="AC134" s="235">
        <f t="shared" ca="1" si="134"/>
        <v>0</v>
      </c>
      <c r="AD134" s="235">
        <f t="shared" ca="1" si="134"/>
        <v>2715000</v>
      </c>
      <c r="AE134" s="235">
        <f t="shared" ca="1" si="134"/>
        <v>0</v>
      </c>
      <c r="AF134" s="235">
        <f t="shared" ca="1" si="134"/>
        <v>0</v>
      </c>
      <c r="AG134" s="235">
        <f t="shared" ca="1" si="134"/>
        <v>0</v>
      </c>
      <c r="AH134" s="235">
        <f t="shared" ca="1" si="134"/>
        <v>0</v>
      </c>
      <c r="AI134" s="235">
        <f t="shared" ca="1" si="134"/>
        <v>0</v>
      </c>
      <c r="AJ134" s="235">
        <f t="shared" ca="1" si="134"/>
        <v>12715000</v>
      </c>
      <c r="AK134" s="235">
        <f t="shared" ca="1" si="134"/>
        <v>0</v>
      </c>
      <c r="AL134" s="235">
        <f t="shared" ca="1" si="134"/>
        <v>0</v>
      </c>
      <c r="AM134" s="235">
        <f t="shared" ca="1" si="134"/>
        <v>0</v>
      </c>
      <c r="AN134" s="235">
        <f t="shared" ca="1" si="134"/>
        <v>0</v>
      </c>
      <c r="AO134" s="235">
        <f t="shared" ca="1" si="134"/>
        <v>0</v>
      </c>
      <c r="AP134" s="235">
        <f t="shared" ca="1" si="134"/>
        <v>2715000</v>
      </c>
      <c r="AQ134" s="235">
        <f t="shared" ca="1" si="134"/>
        <v>0</v>
      </c>
      <c r="AR134" s="235">
        <f t="shared" ca="1" si="134"/>
        <v>0</v>
      </c>
      <c r="AS134" s="235">
        <f t="shared" ca="1" si="134"/>
        <v>0</v>
      </c>
      <c r="AT134" s="235">
        <f t="shared" ca="1" si="134"/>
        <v>0</v>
      </c>
      <c r="AU134" s="235">
        <f t="shared" ca="1" si="134"/>
        <v>0</v>
      </c>
      <c r="AV134" s="235">
        <f t="shared" ca="1" si="134"/>
        <v>2715000</v>
      </c>
      <c r="AW134" s="235">
        <f t="shared" ca="1" si="134"/>
        <v>0</v>
      </c>
      <c r="AX134" s="235">
        <f t="shared" ca="1" si="134"/>
        <v>0</v>
      </c>
      <c r="AY134" s="235">
        <f t="shared" ca="1" si="134"/>
        <v>0</v>
      </c>
      <c r="AZ134" s="235">
        <f t="shared" ca="1" si="134"/>
        <v>0</v>
      </c>
      <c r="BA134" s="235">
        <f t="shared" ca="1" si="134"/>
        <v>0</v>
      </c>
      <c r="BB134" s="235">
        <f t="shared" ca="1" si="134"/>
        <v>2602472.0129412687</v>
      </c>
      <c r="BC134" s="235">
        <f t="shared" ca="1" si="134"/>
        <v>0</v>
      </c>
      <c r="BD134" s="235">
        <f t="shared" ca="1" si="134"/>
        <v>0</v>
      </c>
      <c r="BE134" s="235">
        <f t="shared" ca="1" si="134"/>
        <v>0</v>
      </c>
      <c r="BF134" s="235">
        <f t="shared" ca="1" si="134"/>
        <v>0</v>
      </c>
      <c r="BG134" s="235">
        <f t="shared" ca="1" si="134"/>
        <v>0</v>
      </c>
      <c r="BH134" s="235">
        <f t="shared" ca="1" si="134"/>
        <v>2353291.9989280105</v>
      </c>
      <c r="BI134" s="235">
        <f t="shared" ca="1" si="134"/>
        <v>0</v>
      </c>
      <c r="BJ134" s="235">
        <f t="shared" ca="1" si="134"/>
        <v>0</v>
      </c>
      <c r="BK134" s="235">
        <f t="shared" ca="1" si="134"/>
        <v>0</v>
      </c>
      <c r="BL134" s="235">
        <f t="shared" ca="1" si="134"/>
        <v>0</v>
      </c>
      <c r="BM134" s="235">
        <f t="shared" ca="1" si="134"/>
        <v>0</v>
      </c>
      <c r="BN134" s="235">
        <f t="shared" ca="1" si="134"/>
        <v>2105541.4966859473</v>
      </c>
      <c r="BO134" s="235">
        <f t="shared" ca="1" si="134"/>
        <v>0</v>
      </c>
      <c r="BP134" s="235">
        <f t="shared" ca="1" si="134"/>
        <v>0</v>
      </c>
      <c r="BQ134" s="235">
        <f t="shared" ca="1" si="134"/>
        <v>0</v>
      </c>
      <c r="BR134" s="235">
        <f t="shared" ca="1" si="134"/>
        <v>0</v>
      </c>
      <c r="BS134" s="235">
        <f t="shared" ca="1" si="134"/>
        <v>0</v>
      </c>
      <c r="BT134" s="235">
        <f t="shared" ca="1" si="134"/>
        <v>2562478.4355854392</v>
      </c>
      <c r="BU134" s="235">
        <f t="shared" ca="1" si="134"/>
        <v>0</v>
      </c>
      <c r="BV134" s="235">
        <f t="shared" ca="1" si="134"/>
        <v>0</v>
      </c>
      <c r="BW134" s="235">
        <f t="shared" ca="1" si="134"/>
        <v>0</v>
      </c>
      <c r="BX134" s="235">
        <f t="shared" ca="1" si="134"/>
        <v>0</v>
      </c>
      <c r="BY134" s="235">
        <f t="shared" ref="BY134:EJ134" ca="1" si="135">SUM(BY126,BY128,BY130,BY132)</f>
        <v>0</v>
      </c>
      <c r="BZ134" s="235">
        <f t="shared" ca="1" si="135"/>
        <v>2645647.7403300544</v>
      </c>
      <c r="CA134" s="235">
        <f t="shared" ca="1" si="135"/>
        <v>0</v>
      </c>
      <c r="CB134" s="235">
        <f t="shared" ca="1" si="135"/>
        <v>0</v>
      </c>
      <c r="CC134" s="235">
        <f t="shared" ca="1" si="135"/>
        <v>0</v>
      </c>
      <c r="CD134" s="235">
        <f t="shared" ca="1" si="135"/>
        <v>0</v>
      </c>
      <c r="CE134" s="235">
        <f t="shared" ca="1" si="135"/>
        <v>0</v>
      </c>
      <c r="CF134" s="235">
        <f t="shared" ca="1" si="135"/>
        <v>3098497.3462193981</v>
      </c>
      <c r="CG134" s="235">
        <f t="shared" ca="1" si="135"/>
        <v>0</v>
      </c>
      <c r="CH134" s="235">
        <f t="shared" ca="1" si="135"/>
        <v>0</v>
      </c>
      <c r="CI134" s="235">
        <f t="shared" ca="1" si="135"/>
        <v>0</v>
      </c>
      <c r="CJ134" s="235">
        <f t="shared" ca="1" si="135"/>
        <v>0</v>
      </c>
      <c r="CK134" s="235">
        <f t="shared" ca="1" si="135"/>
        <v>0</v>
      </c>
      <c r="CL134" s="235">
        <f t="shared" ca="1" si="135"/>
        <v>2871213.1788212531</v>
      </c>
      <c r="CM134" s="235">
        <f t="shared" ca="1" si="135"/>
        <v>0</v>
      </c>
      <c r="CN134" s="235">
        <f t="shared" ca="1" si="135"/>
        <v>0</v>
      </c>
      <c r="CO134" s="235">
        <f t="shared" ca="1" si="135"/>
        <v>0</v>
      </c>
      <c r="CP134" s="235">
        <f t="shared" ca="1" si="135"/>
        <v>0</v>
      </c>
      <c r="CQ134" s="235">
        <f t="shared" ca="1" si="135"/>
        <v>0</v>
      </c>
      <c r="CR134" s="235">
        <f t="shared" ca="1" si="135"/>
        <v>3320274.6567853596</v>
      </c>
      <c r="CS134" s="235">
        <f t="shared" ca="1" si="135"/>
        <v>0</v>
      </c>
      <c r="CT134" s="235">
        <f t="shared" ca="1" si="135"/>
        <v>0</v>
      </c>
      <c r="CU134" s="235">
        <f t="shared" ca="1" si="135"/>
        <v>0</v>
      </c>
      <c r="CV134" s="235">
        <f t="shared" ca="1" si="135"/>
        <v>0</v>
      </c>
      <c r="CW134" s="235">
        <f t="shared" ca="1" si="135"/>
        <v>0</v>
      </c>
      <c r="CX134" s="235">
        <f t="shared" ca="1" si="135"/>
        <v>2875583.1337032691</v>
      </c>
      <c r="CY134" s="235">
        <f t="shared" ca="1" si="135"/>
        <v>0</v>
      </c>
      <c r="CZ134" s="235">
        <f t="shared" ca="1" si="135"/>
        <v>0</v>
      </c>
      <c r="DA134" s="235">
        <f t="shared" ca="1" si="135"/>
        <v>0</v>
      </c>
      <c r="DB134" s="235">
        <f t="shared" ca="1" si="135"/>
        <v>0</v>
      </c>
      <c r="DC134" s="235">
        <f t="shared" ca="1" si="135"/>
        <v>0</v>
      </c>
      <c r="DD134" s="235">
        <f t="shared" ca="1" si="135"/>
        <v>2715000</v>
      </c>
      <c r="DE134" s="235">
        <f t="shared" ca="1" si="135"/>
        <v>0</v>
      </c>
      <c r="DF134" s="235">
        <f t="shared" ca="1" si="135"/>
        <v>0</v>
      </c>
      <c r="DG134" s="235">
        <f t="shared" ca="1" si="135"/>
        <v>0</v>
      </c>
      <c r="DH134" s="235">
        <f t="shared" ca="1" si="135"/>
        <v>0</v>
      </c>
      <c r="DI134" s="235">
        <f t="shared" ca="1" si="135"/>
        <v>0</v>
      </c>
      <c r="DJ134" s="235">
        <f t="shared" ca="1" si="135"/>
        <v>2715000</v>
      </c>
      <c r="DK134" s="235">
        <f t="shared" ca="1" si="135"/>
        <v>0</v>
      </c>
      <c r="DL134" s="235">
        <f t="shared" ca="1" si="135"/>
        <v>0</v>
      </c>
      <c r="DM134" s="235">
        <f t="shared" ca="1" si="135"/>
        <v>0</v>
      </c>
      <c r="DN134" s="235">
        <f t="shared" ca="1" si="135"/>
        <v>0</v>
      </c>
      <c r="DO134" s="235">
        <f t="shared" ca="1" si="135"/>
        <v>0</v>
      </c>
      <c r="DP134" s="235">
        <f t="shared" ca="1" si="135"/>
        <v>2715000</v>
      </c>
      <c r="DQ134" s="235">
        <f t="shared" ca="1" si="135"/>
        <v>0</v>
      </c>
      <c r="DR134" s="235">
        <f t="shared" ca="1" si="135"/>
        <v>0</v>
      </c>
      <c r="DS134" s="235">
        <f t="shared" ca="1" si="135"/>
        <v>0</v>
      </c>
      <c r="DT134" s="235">
        <f t="shared" ca="1" si="135"/>
        <v>0</v>
      </c>
      <c r="DU134" s="235">
        <f t="shared" ca="1" si="135"/>
        <v>0</v>
      </c>
      <c r="DV134" s="235">
        <f t="shared" ca="1" si="135"/>
        <v>2715000</v>
      </c>
      <c r="DW134" s="235">
        <f t="shared" ca="1" si="135"/>
        <v>0</v>
      </c>
      <c r="DX134" s="235">
        <f t="shared" ca="1" si="135"/>
        <v>0</v>
      </c>
      <c r="DY134" s="235">
        <f t="shared" ca="1" si="135"/>
        <v>0</v>
      </c>
      <c r="DZ134" s="235">
        <f t="shared" ca="1" si="135"/>
        <v>0</v>
      </c>
      <c r="EA134" s="235">
        <f t="shared" ca="1" si="135"/>
        <v>0</v>
      </c>
      <c r="EB134" s="235">
        <f t="shared" ca="1" si="135"/>
        <v>150353066.68783468</v>
      </c>
      <c r="EC134" s="235">
        <f t="shared" ca="1" si="135"/>
        <v>0</v>
      </c>
      <c r="ED134" s="235">
        <f t="shared" ca="1" si="135"/>
        <v>0</v>
      </c>
      <c r="EE134" s="235">
        <f t="shared" ca="1" si="135"/>
        <v>0</v>
      </c>
      <c r="EF134" s="235">
        <f t="shared" ca="1" si="135"/>
        <v>0</v>
      </c>
      <c r="EG134" s="235">
        <f t="shared" ca="1" si="135"/>
        <v>0</v>
      </c>
      <c r="EH134" s="235">
        <f t="shared" ca="1" si="135"/>
        <v>0</v>
      </c>
      <c r="EI134" s="235">
        <f t="shared" ca="1" si="135"/>
        <v>0</v>
      </c>
      <c r="EJ134" s="235">
        <f t="shared" ca="1" si="135"/>
        <v>0</v>
      </c>
      <c r="EK134" s="235">
        <f t="shared" ref="EK134:EQ134" ca="1" si="136">SUM(EK126,EK128,EK130,EK132)</f>
        <v>0</v>
      </c>
      <c r="EL134" s="235">
        <f t="shared" ca="1" si="136"/>
        <v>0</v>
      </c>
      <c r="EM134" s="235">
        <f t="shared" ca="1" si="136"/>
        <v>0</v>
      </c>
      <c r="EN134" s="235">
        <f t="shared" ca="1" si="136"/>
        <v>0</v>
      </c>
      <c r="EO134" s="235">
        <f t="shared" ca="1" si="136"/>
        <v>0</v>
      </c>
      <c r="EP134" s="235">
        <f t="shared" ca="1" si="136"/>
        <v>0</v>
      </c>
      <c r="EQ134" s="235">
        <f t="shared" ca="1" si="136"/>
        <v>0</v>
      </c>
    </row>
    <row r="135" spans="2:147" ht="11.25" customHeight="1">
      <c r="B135" s="237"/>
      <c r="C135" s="238"/>
      <c r="D135" s="238"/>
      <c r="E135" s="238"/>
      <c r="F135" s="238" t="s">
        <v>841</v>
      </c>
      <c r="G135" s="238"/>
      <c r="H135" s="239"/>
      <c r="I135" s="243">
        <f t="shared" ca="1" si="111"/>
        <v>0.26497710615128045</v>
      </c>
      <c r="J135" s="241">
        <f t="shared" ca="1" si="112"/>
        <v>135141211.5740554</v>
      </c>
      <c r="L135" s="235">
        <f ca="1">-L110-'FS_Detail(M)'!L84</f>
        <v>-14800000</v>
      </c>
      <c r="M135" s="235">
        <f ca="1">-M110-'FS_Detail(M)'!M84</f>
        <v>0</v>
      </c>
      <c r="N135" s="235">
        <f ca="1">-N110-'FS_Detail(M)'!N84</f>
        <v>0</v>
      </c>
      <c r="O135" s="235">
        <f ca="1">-O110-'FS_Detail(M)'!O84</f>
        <v>0</v>
      </c>
      <c r="P135" s="235">
        <f ca="1">-P110-'FS_Detail(M)'!P84</f>
        <v>0</v>
      </c>
      <c r="Q135" s="235">
        <f ca="1">-Q110-'FS_Detail(M)'!Q84</f>
        <v>0</v>
      </c>
      <c r="R135" s="235">
        <f ca="1">-R110-'FS_Detail(M)'!R84</f>
        <v>555000</v>
      </c>
      <c r="S135" s="235">
        <f ca="1">-S110-'FS_Detail(M)'!S84</f>
        <v>0</v>
      </c>
      <c r="T135" s="235">
        <f ca="1">-T110-'FS_Detail(M)'!T84</f>
        <v>0</v>
      </c>
      <c r="U135" s="235">
        <f ca="1">-U110-'FS_Detail(M)'!U84</f>
        <v>0</v>
      </c>
      <c r="V135" s="235">
        <f ca="1">-V110-'FS_Detail(M)'!V84</f>
        <v>0</v>
      </c>
      <c r="W135" s="235">
        <f ca="1">-W110-'FS_Detail(M)'!W84</f>
        <v>0</v>
      </c>
      <c r="X135" s="235">
        <f ca="1">-X110-'FS_Detail(M)'!X84</f>
        <v>555000</v>
      </c>
      <c r="Y135" s="235">
        <f ca="1">-Y110-'FS_Detail(M)'!Y84</f>
        <v>0</v>
      </c>
      <c r="Z135" s="235">
        <f ca="1">-Z110-'FS_Detail(M)'!Z84</f>
        <v>0</v>
      </c>
      <c r="AA135" s="235">
        <f ca="1">-AA110-'FS_Detail(M)'!AA84</f>
        <v>0</v>
      </c>
      <c r="AB135" s="235">
        <f ca="1">-AB110-'FS_Detail(M)'!AB84</f>
        <v>0</v>
      </c>
      <c r="AC135" s="235">
        <f ca="1">-AC110-'FS_Detail(M)'!AC84</f>
        <v>0</v>
      </c>
      <c r="AD135" s="235">
        <f ca="1">-AD110-'FS_Detail(M)'!AD84</f>
        <v>0</v>
      </c>
      <c r="AE135" s="235">
        <f ca="1">-AE110-'FS_Detail(M)'!AE84</f>
        <v>0</v>
      </c>
      <c r="AF135" s="235">
        <f ca="1">-AF110-'FS_Detail(M)'!AF84</f>
        <v>0</v>
      </c>
      <c r="AG135" s="235">
        <f ca="1">-AG110-'FS_Detail(M)'!AG84</f>
        <v>0</v>
      </c>
      <c r="AH135" s="235">
        <f ca="1">-AH110-'FS_Detail(M)'!AH84</f>
        <v>0</v>
      </c>
      <c r="AI135" s="235">
        <f ca="1">-AI110-'FS_Detail(M)'!AI84</f>
        <v>0</v>
      </c>
      <c r="AJ135" s="235">
        <f ca="1">-AJ110-'FS_Detail(M)'!AJ84</f>
        <v>0</v>
      </c>
      <c r="AK135" s="235">
        <f ca="1">-AK110-'FS_Detail(M)'!AK84</f>
        <v>0</v>
      </c>
      <c r="AL135" s="235">
        <f ca="1">-AL110-'FS_Detail(M)'!AL84</f>
        <v>0</v>
      </c>
      <c r="AM135" s="235">
        <f ca="1">-AM110-'FS_Detail(M)'!AM84</f>
        <v>0</v>
      </c>
      <c r="AN135" s="235">
        <f ca="1">-AN110-'FS_Detail(M)'!AN84</f>
        <v>0</v>
      </c>
      <c r="AO135" s="235">
        <f ca="1">-AO110-'FS_Detail(M)'!AO84</f>
        <v>0</v>
      </c>
      <c r="AP135" s="235">
        <f ca="1">-AP110-'FS_Detail(M)'!AP84</f>
        <v>0</v>
      </c>
      <c r="AQ135" s="235">
        <f ca="1">-AQ110-'FS_Detail(M)'!AQ84</f>
        <v>0</v>
      </c>
      <c r="AR135" s="235">
        <f ca="1">-AR110-'FS_Detail(M)'!AR84</f>
        <v>0</v>
      </c>
      <c r="AS135" s="235">
        <f ca="1">-AS110-'FS_Detail(M)'!AS84</f>
        <v>0</v>
      </c>
      <c r="AT135" s="235">
        <f ca="1">-AT110-'FS_Detail(M)'!AT84</f>
        <v>0</v>
      </c>
      <c r="AU135" s="235">
        <f ca="1">-AU110-'FS_Detail(M)'!AU84</f>
        <v>0</v>
      </c>
      <c r="AV135" s="235">
        <f ca="1">-AV110-'FS_Detail(M)'!AV84</f>
        <v>0</v>
      </c>
      <c r="AW135" s="235">
        <f ca="1">-AW110-'FS_Detail(M)'!AW84</f>
        <v>0</v>
      </c>
      <c r="AX135" s="235">
        <f ca="1">-AX110-'FS_Detail(M)'!AX84</f>
        <v>0</v>
      </c>
      <c r="AY135" s="235">
        <f ca="1">-AY110-'FS_Detail(M)'!AY84</f>
        <v>0</v>
      </c>
      <c r="AZ135" s="235">
        <f ca="1">-AZ110-'FS_Detail(M)'!AZ84</f>
        <v>0</v>
      </c>
      <c r="BA135" s="235">
        <f ca="1">-BA110-'FS_Detail(M)'!BA84</f>
        <v>0</v>
      </c>
      <c r="BB135" s="235">
        <f ca="1">-BB110-'FS_Detail(M)'!BB84</f>
        <v>0</v>
      </c>
      <c r="BC135" s="235">
        <f ca="1">-BC110-'FS_Detail(M)'!BC84</f>
        <v>0</v>
      </c>
      <c r="BD135" s="235">
        <f ca="1">-BD110-'FS_Detail(M)'!BD84</f>
        <v>0</v>
      </c>
      <c r="BE135" s="235">
        <f ca="1">-BE110-'FS_Detail(M)'!BE84</f>
        <v>0</v>
      </c>
      <c r="BF135" s="235">
        <f ca="1">-BF110-'FS_Detail(M)'!BF84</f>
        <v>0</v>
      </c>
      <c r="BG135" s="235">
        <f ca="1">-BG110-'FS_Detail(M)'!BG84</f>
        <v>0</v>
      </c>
      <c r="BH135" s="235">
        <f ca="1">-BH110-'FS_Detail(M)'!BH84</f>
        <v>0</v>
      </c>
      <c r="BI135" s="235">
        <f ca="1">-BI110-'FS_Detail(M)'!BI84</f>
        <v>0</v>
      </c>
      <c r="BJ135" s="235">
        <f ca="1">-BJ110-'FS_Detail(M)'!BJ84</f>
        <v>0</v>
      </c>
      <c r="BK135" s="235">
        <f ca="1">-BK110-'FS_Detail(M)'!BK84</f>
        <v>0</v>
      </c>
      <c r="BL135" s="235">
        <f ca="1">-BL110-'FS_Detail(M)'!BL84</f>
        <v>0</v>
      </c>
      <c r="BM135" s="235">
        <f ca="1">-BM110-'FS_Detail(M)'!BM84</f>
        <v>0</v>
      </c>
      <c r="BN135" s="235">
        <f ca="1">-BN110-'FS_Detail(M)'!BN84</f>
        <v>0</v>
      </c>
      <c r="BO135" s="235">
        <f ca="1">-BO110-'FS_Detail(M)'!BO84</f>
        <v>0</v>
      </c>
      <c r="BP135" s="235">
        <f ca="1">-BP110-'FS_Detail(M)'!BP84</f>
        <v>0</v>
      </c>
      <c r="BQ135" s="235">
        <f ca="1">-BQ110-'FS_Detail(M)'!BQ84</f>
        <v>0</v>
      </c>
      <c r="BR135" s="235">
        <f ca="1">-BR110-'FS_Detail(M)'!BR84</f>
        <v>0</v>
      </c>
      <c r="BS135" s="235">
        <f ca="1">-BS110-'FS_Detail(M)'!BS84</f>
        <v>0</v>
      </c>
      <c r="BT135" s="235">
        <f ca="1">-BT110-'FS_Detail(M)'!BT84</f>
        <v>0</v>
      </c>
      <c r="BU135" s="235">
        <f ca="1">-BU110-'FS_Detail(M)'!BU84</f>
        <v>0</v>
      </c>
      <c r="BV135" s="235">
        <f ca="1">-BV110-'FS_Detail(M)'!BV84</f>
        <v>0</v>
      </c>
      <c r="BW135" s="235">
        <f ca="1">-BW110-'FS_Detail(M)'!BW84</f>
        <v>0</v>
      </c>
      <c r="BX135" s="235">
        <f ca="1">-BX110-'FS_Detail(M)'!BX84</f>
        <v>0</v>
      </c>
      <c r="BY135" s="235">
        <f ca="1">-BY110-'FS_Detail(M)'!BY84</f>
        <v>0</v>
      </c>
      <c r="BZ135" s="235">
        <f ca="1">-BZ110-'FS_Detail(M)'!BZ84</f>
        <v>0</v>
      </c>
      <c r="CA135" s="235">
        <f ca="1">-CA110-'FS_Detail(M)'!CA84</f>
        <v>0</v>
      </c>
      <c r="CB135" s="235">
        <f ca="1">-CB110-'FS_Detail(M)'!CB84</f>
        <v>0</v>
      </c>
      <c r="CC135" s="235">
        <f ca="1">-CC110-'FS_Detail(M)'!CC84</f>
        <v>0</v>
      </c>
      <c r="CD135" s="235">
        <f ca="1">-CD110-'FS_Detail(M)'!CD84</f>
        <v>0</v>
      </c>
      <c r="CE135" s="235">
        <f ca="1">-CE110-'FS_Detail(M)'!CE84</f>
        <v>0</v>
      </c>
      <c r="CF135" s="235">
        <f ca="1">-CF110-'FS_Detail(M)'!CF84</f>
        <v>0</v>
      </c>
      <c r="CG135" s="235">
        <f ca="1">-CG110-'FS_Detail(M)'!CG84</f>
        <v>0</v>
      </c>
      <c r="CH135" s="235">
        <f ca="1">-CH110-'FS_Detail(M)'!CH84</f>
        <v>0</v>
      </c>
      <c r="CI135" s="235">
        <f ca="1">-CI110-'FS_Detail(M)'!CI84</f>
        <v>0</v>
      </c>
      <c r="CJ135" s="235">
        <f ca="1">-CJ110-'FS_Detail(M)'!CJ84</f>
        <v>0</v>
      </c>
      <c r="CK135" s="235">
        <f ca="1">-CK110-'FS_Detail(M)'!CK84</f>
        <v>0</v>
      </c>
      <c r="CL135" s="235">
        <f ca="1">-CL110-'FS_Detail(M)'!CL84</f>
        <v>0</v>
      </c>
      <c r="CM135" s="235">
        <f ca="1">-CM110-'FS_Detail(M)'!CM84</f>
        <v>0</v>
      </c>
      <c r="CN135" s="235">
        <f ca="1">-CN110-'FS_Detail(M)'!CN84</f>
        <v>0</v>
      </c>
      <c r="CO135" s="235">
        <f ca="1">-CO110-'FS_Detail(M)'!CO84</f>
        <v>0</v>
      </c>
      <c r="CP135" s="235">
        <f ca="1">-CP110-'FS_Detail(M)'!CP84</f>
        <v>0</v>
      </c>
      <c r="CQ135" s="235">
        <f ca="1">-CQ110-'FS_Detail(M)'!CQ84</f>
        <v>0</v>
      </c>
      <c r="CR135" s="235">
        <f ca="1">-CR110-'FS_Detail(M)'!CR84</f>
        <v>0</v>
      </c>
      <c r="CS135" s="235">
        <f ca="1">-CS110-'FS_Detail(M)'!CS84</f>
        <v>0</v>
      </c>
      <c r="CT135" s="235">
        <f ca="1">-CT110-'FS_Detail(M)'!CT84</f>
        <v>0</v>
      </c>
      <c r="CU135" s="235">
        <f ca="1">-CU110-'FS_Detail(M)'!CU84</f>
        <v>0</v>
      </c>
      <c r="CV135" s="235">
        <f ca="1">-CV110-'FS_Detail(M)'!CV84</f>
        <v>0</v>
      </c>
      <c r="CW135" s="235">
        <f ca="1">-CW110-'FS_Detail(M)'!CW84</f>
        <v>0</v>
      </c>
      <c r="CX135" s="235">
        <f ca="1">-CX110-'FS_Detail(M)'!CX84</f>
        <v>0</v>
      </c>
      <c r="CY135" s="235">
        <f ca="1">-CY110-'FS_Detail(M)'!CY84</f>
        <v>0</v>
      </c>
      <c r="CZ135" s="235">
        <f ca="1">-CZ110-'FS_Detail(M)'!CZ84</f>
        <v>0</v>
      </c>
      <c r="DA135" s="235">
        <f ca="1">-DA110-'FS_Detail(M)'!DA84</f>
        <v>0</v>
      </c>
      <c r="DB135" s="235">
        <f ca="1">-DB110-'FS_Detail(M)'!DB84</f>
        <v>0</v>
      </c>
      <c r="DC135" s="235">
        <f ca="1">-DC110-'FS_Detail(M)'!DC84</f>
        <v>0</v>
      </c>
      <c r="DD135" s="235">
        <f ca="1">-DD110-'FS_Detail(M)'!DD84</f>
        <v>0</v>
      </c>
      <c r="DE135" s="235">
        <f ca="1">-DE110-'FS_Detail(M)'!DE84</f>
        <v>0</v>
      </c>
      <c r="DF135" s="235">
        <f ca="1">-DF110-'FS_Detail(M)'!DF84</f>
        <v>0</v>
      </c>
      <c r="DG135" s="235">
        <f ca="1">-DG110-'FS_Detail(M)'!DG84</f>
        <v>0</v>
      </c>
      <c r="DH135" s="235">
        <f ca="1">-DH110-'FS_Detail(M)'!DH84</f>
        <v>0</v>
      </c>
      <c r="DI135" s="235">
        <f ca="1">-DI110-'FS_Detail(M)'!DI84</f>
        <v>0</v>
      </c>
      <c r="DJ135" s="235">
        <f ca="1">-DJ110-'FS_Detail(M)'!DJ84</f>
        <v>0</v>
      </c>
      <c r="DK135" s="235">
        <f ca="1">-DK110-'FS_Detail(M)'!DK84</f>
        <v>0</v>
      </c>
      <c r="DL135" s="235">
        <f ca="1">-DL110-'FS_Detail(M)'!DL84</f>
        <v>0</v>
      </c>
      <c r="DM135" s="235">
        <f ca="1">-DM110-'FS_Detail(M)'!DM84</f>
        <v>0</v>
      </c>
      <c r="DN135" s="235">
        <f ca="1">-DN110-'FS_Detail(M)'!DN84</f>
        <v>0</v>
      </c>
      <c r="DO135" s="235">
        <f ca="1">-DO110-'FS_Detail(M)'!DO84</f>
        <v>0</v>
      </c>
      <c r="DP135" s="235">
        <f ca="1">-DP110-'FS_Detail(M)'!DP84</f>
        <v>0</v>
      </c>
      <c r="DQ135" s="235">
        <f ca="1">-DQ110-'FS_Detail(M)'!DQ84</f>
        <v>0</v>
      </c>
      <c r="DR135" s="235">
        <f ca="1">-DR110-'FS_Detail(M)'!DR84</f>
        <v>0</v>
      </c>
      <c r="DS135" s="235">
        <f ca="1">-DS110-'FS_Detail(M)'!DS84</f>
        <v>0</v>
      </c>
      <c r="DT135" s="235">
        <f ca="1">-DT110-'FS_Detail(M)'!DT84</f>
        <v>0</v>
      </c>
      <c r="DU135" s="235">
        <f ca="1">-DU110-'FS_Detail(M)'!DU84</f>
        <v>0</v>
      </c>
      <c r="DV135" s="235">
        <f ca="1">-DV110-'FS_Detail(M)'!DV84</f>
        <v>0</v>
      </c>
      <c r="DW135" s="235">
        <f ca="1">-DW110-'FS_Detail(M)'!DW84</f>
        <v>0</v>
      </c>
      <c r="DX135" s="235">
        <f ca="1">-DX110-'FS_Detail(M)'!DX84</f>
        <v>0</v>
      </c>
      <c r="DY135" s="235">
        <f ca="1">-DY110-'FS_Detail(M)'!DY84</f>
        <v>0</v>
      </c>
      <c r="DZ135" s="235">
        <f ca="1">-DZ110-'FS_Detail(M)'!DZ84</f>
        <v>0</v>
      </c>
      <c r="EA135" s="235">
        <f ca="1">-EA110-'FS_Detail(M)'!EA84</f>
        <v>0</v>
      </c>
      <c r="EB135" s="235">
        <f ca="1">-EB110-'FS_Detail(M)'!EB84</f>
        <v>61870453.350267738</v>
      </c>
      <c r="EC135" s="235">
        <f ca="1">-EC110-'FS_Detail(M)'!EC84</f>
        <v>0</v>
      </c>
      <c r="ED135" s="235">
        <f ca="1">-(SUM(ED111,ED112,ED113,-('A&amp;R'!AJ61)))-'FS_Detail(M)'!ED84</f>
        <v>86960758.223787665</v>
      </c>
      <c r="EE135" s="235">
        <f t="shared" ref="EE135:EJ135" ca="1" si="137">EE132</f>
        <v>0</v>
      </c>
      <c r="EF135" s="235">
        <f t="shared" ca="1" si="137"/>
        <v>0</v>
      </c>
      <c r="EG135" s="235">
        <f t="shared" ca="1" si="137"/>
        <v>0</v>
      </c>
      <c r="EH135" s="235">
        <f t="shared" ca="1" si="137"/>
        <v>0</v>
      </c>
      <c r="EI135" s="235">
        <f t="shared" ca="1" si="137"/>
        <v>0</v>
      </c>
      <c r="EJ135" s="235">
        <f t="shared" ca="1" si="137"/>
        <v>0</v>
      </c>
      <c r="EK135" s="235">
        <f t="shared" ref="EK135:EQ135" ca="1" si="138">EK132</f>
        <v>0</v>
      </c>
      <c r="EL135" s="235">
        <f t="shared" ca="1" si="138"/>
        <v>0</v>
      </c>
      <c r="EM135" s="235">
        <f t="shared" ca="1" si="138"/>
        <v>0</v>
      </c>
      <c r="EN135" s="235">
        <f t="shared" ca="1" si="138"/>
        <v>0</v>
      </c>
      <c r="EO135" s="235">
        <f t="shared" ca="1" si="138"/>
        <v>0</v>
      </c>
      <c r="EP135" s="235">
        <f t="shared" ca="1" si="138"/>
        <v>0</v>
      </c>
      <c r="EQ135" s="235">
        <f t="shared" ca="1" si="138"/>
        <v>0</v>
      </c>
    </row>
    <row r="137" spans="2:147">
      <c r="B137" s="5" t="s">
        <v>2439</v>
      </c>
      <c r="L137" s="2724">
        <f>SUMIF('DSCR(선,중)'!$F$4:$U$4,L$5,'DSCR(선,중)'!$F$33:$U$33)</f>
        <v>0</v>
      </c>
      <c r="M137" s="2724">
        <f>SUMIF('DSCR(선,중)'!$F$4:$U$4,M$5,'DSCR(선,중)'!$F$33:$U$33)</f>
        <v>0</v>
      </c>
      <c r="N137" s="2724">
        <f>SUMIF('DSCR(선,중)'!$F$4:$U$4,N$5,'DSCR(선,중)'!$F$33:$U$33)</f>
        <v>0</v>
      </c>
      <c r="O137" s="2725">
        <v>1</v>
      </c>
      <c r="P137" s="2724">
        <f>SUMIF('DSCR(선,중)'!$F$4:$U$4,P$5,'DSCR(선,중)'!$F$33:$U$33)</f>
        <v>0</v>
      </c>
      <c r="Q137" s="2724">
        <f>SUMIF('DSCR(선,중)'!$F$4:$U$4,Q$5,'DSCR(선,중)'!$F$33:$U$33)</f>
        <v>0</v>
      </c>
      <c r="R137" s="2724">
        <f>SUMIF('DSCR(선,중)'!$F$4:$U$4,R$5,'DSCR(선,중)'!$F$33:$U$33)</f>
        <v>1.6843150772450681</v>
      </c>
      <c r="S137" s="2724">
        <f>SUMIF('DSCR(선,중)'!$F$4:$U$4,S$5,'DSCR(선,중)'!$F$33:$U$33)</f>
        <v>0</v>
      </c>
      <c r="T137" s="2724">
        <f>SUMIF('DSCR(선,중)'!$F$4:$U$4,T$5,'DSCR(선,중)'!$F$33:$U$33)</f>
        <v>0</v>
      </c>
      <c r="U137" s="2724">
        <f>SUMIF('DSCR(선,중)'!$F$4:$U$4,U$5,'DSCR(선,중)'!$F$33:$U$33)</f>
        <v>1.7297905584381317</v>
      </c>
      <c r="V137" s="2724">
        <f>SUMIF('DSCR(선,중)'!$F$4:$U$4,V$5,'DSCR(선,중)'!$F$33:$U$33)</f>
        <v>0</v>
      </c>
      <c r="W137" s="2724">
        <f>SUMIF('DSCR(선,중)'!$F$4:$U$4,W$5,'DSCR(선,중)'!$F$33:$U$33)</f>
        <v>0</v>
      </c>
      <c r="X137" s="2724">
        <f>SUMIF('DSCR(선,중)'!$F$4:$U$4,X$5,'DSCR(선,중)'!$F$33:$U$33)</f>
        <v>1.8107052404080266</v>
      </c>
      <c r="Y137" s="2724">
        <f>SUMIF('DSCR(선,중)'!$F$4:$U$4,Y$5,'DSCR(선,중)'!$F$33:$U$33)</f>
        <v>0</v>
      </c>
      <c r="Z137" s="2724">
        <f>SUMIF('DSCR(선,중)'!$F$4:$U$4,Z$5,'DSCR(선,중)'!$F$33:$U$33)</f>
        <v>0</v>
      </c>
      <c r="AA137" s="2724">
        <f>SUMIF('DSCR(선,중)'!$F$4:$U$4,AA$5,'DSCR(선,중)'!$F$33:$U$33)</f>
        <v>1.685697034923419</v>
      </c>
      <c r="AB137" s="2724">
        <f>SUMIF('DSCR(선,중)'!$F$4:$U$4,AB$5,'DSCR(선,중)'!$F$33:$U$33)</f>
        <v>0</v>
      </c>
      <c r="AC137" s="2724">
        <f>SUMIF('DSCR(선,중)'!$F$4:$U$4,AC$5,'DSCR(선,중)'!$F$33:$U$33)</f>
        <v>0</v>
      </c>
      <c r="AD137" s="2724">
        <f>SUMIF('DSCR(선,중)'!$F$4:$U$4,AD$5,'DSCR(선,중)'!$F$33:$U$33)</f>
        <v>1.7287321263390873</v>
      </c>
      <c r="AE137" s="2724">
        <f>SUMIF('DSCR(선,중)'!$F$4:$U$4,AE$5,'DSCR(선,중)'!$F$33:$U$33)</f>
        <v>0</v>
      </c>
      <c r="AF137" s="2724">
        <f>SUMIF('DSCR(선,중)'!$F$4:$U$4,AF$5,'DSCR(선,중)'!$F$33:$U$33)</f>
        <v>0</v>
      </c>
      <c r="AG137" s="2724">
        <f>SUMIF('DSCR(선,중)'!$F$4:$U$4,AG$5,'DSCR(선,중)'!$F$33:$U$33)</f>
        <v>1.7753444945619765</v>
      </c>
      <c r="AH137" s="2724">
        <f>SUMIF('DSCR(선,중)'!$F$4:$U$4,AH$5,'DSCR(선,중)'!$F$33:$U$33)</f>
        <v>0</v>
      </c>
      <c r="AI137" s="2724">
        <f>SUMIF('DSCR(선,중)'!$F$4:$U$4,AI$5,'DSCR(선,중)'!$F$33:$U$33)</f>
        <v>0</v>
      </c>
      <c r="AJ137" s="2724">
        <f>SUMIF('DSCR(선,중)'!$F$4:$U$4,AJ$5,'DSCR(선,중)'!$F$33:$U$33)</f>
        <v>1.8582820435811189</v>
      </c>
      <c r="AK137" s="2724">
        <f>SUMIF('DSCR(선,중)'!$F$4:$U$4,AK$5,'DSCR(선,중)'!$F$33:$U$33)</f>
        <v>0</v>
      </c>
      <c r="AL137" s="2724">
        <f>SUMIF('DSCR(선,중)'!$F$4:$U$4,AL$5,'DSCR(선,중)'!$F$33:$U$33)</f>
        <v>0</v>
      </c>
      <c r="AM137" s="2724">
        <f>SUMIF('DSCR(선,중)'!$F$4:$U$4,AM$5,'DSCR(선,중)'!$F$33:$U$33)</f>
        <v>0</v>
      </c>
      <c r="AN137" s="2724">
        <f>SUMIF('DSCR(선,중)'!$F$4:$U$4,AN$5,'DSCR(선,중)'!$F$33:$U$33)</f>
        <v>0</v>
      </c>
      <c r="AO137" s="2724">
        <f>SUMIF('DSCR(선,중)'!$F$4:$U$4,AO$5,'DSCR(선,중)'!$F$33:$U$33)</f>
        <v>0</v>
      </c>
      <c r="AP137" s="2724">
        <f>SUMIF('DSCR(선,중)'!$F$4:$U$4,AP$5,'DSCR(선,중)'!$F$33:$U$33)</f>
        <v>0</v>
      </c>
      <c r="AQ137" s="2724">
        <f>SUMIF('DSCR(선,중)'!$F$4:$U$4,AQ$5,'DSCR(선,중)'!$F$33:$U$33)</f>
        <v>0</v>
      </c>
      <c r="AR137" s="2724">
        <f>SUMIF('DSCR(선,중)'!$F$4:$U$4,AR$5,'DSCR(선,중)'!$F$33:$U$33)</f>
        <v>0</v>
      </c>
      <c r="AS137" s="2724">
        <f>SUMIF('DSCR(선,중)'!$F$4:$U$4,AS$5,'DSCR(선,중)'!$F$33:$U$33)</f>
        <v>0</v>
      </c>
      <c r="AT137" s="2724">
        <f>SUMIF('DSCR(선,중)'!$F$4:$U$4,AT$5,'DSCR(선,중)'!$F$33:$U$33)</f>
        <v>0</v>
      </c>
      <c r="AU137" s="2724">
        <f>SUMIF('DSCR(선,중)'!$F$4:$U$4,AU$5,'DSCR(선,중)'!$F$33:$U$33)</f>
        <v>0</v>
      </c>
      <c r="AV137" s="2724">
        <f>SUMIF('DSCR(선,중)'!$F$4:$U$4,AV$5,'DSCR(선,중)'!$F$33:$U$33)</f>
        <v>0</v>
      </c>
      <c r="AW137" s="2724">
        <f>SUMIF('DSCR(선,중)'!$F$4:$U$4,AW$5,'DSCR(선,중)'!$F$33:$U$33)</f>
        <v>0</v>
      </c>
      <c r="AX137" s="2724">
        <f>SUMIF('DSCR(선,중)'!$F$4:$U$4,AX$5,'DSCR(선,중)'!$F$33:$U$33)</f>
        <v>0</v>
      </c>
      <c r="AY137" s="2724">
        <f>SUMIF('DSCR(선,중)'!$F$4:$U$4,AY$5,'DSCR(선,중)'!$F$33:$U$33)</f>
        <v>0</v>
      </c>
      <c r="AZ137" s="2724">
        <f>SUMIF('DSCR(선,중)'!$F$4:$U$4,AZ$5,'DSCR(선,중)'!$F$33:$U$33)</f>
        <v>0</v>
      </c>
      <c r="BA137" s="2724">
        <f>SUMIF('DSCR(선,중)'!$F$4:$U$4,BA$5,'DSCR(선,중)'!$F$33:$U$33)</f>
        <v>0</v>
      </c>
      <c r="BB137" s="2724">
        <f>SUMIF('DSCR(선,중)'!$F$4:$U$4,BB$5,'DSCR(선,중)'!$F$33:$U$33)</f>
        <v>0</v>
      </c>
      <c r="BC137" s="2724">
        <f>SUMIF('DSCR(선,중)'!$F$4:$U$4,BC$5,'DSCR(선,중)'!$F$33:$U$33)</f>
        <v>0</v>
      </c>
      <c r="BD137" s="2724">
        <f>SUMIF('DSCR(선,중)'!$F$4:$U$4,BD$5,'DSCR(선,중)'!$F$33:$U$33)</f>
        <v>0</v>
      </c>
      <c r="BE137" s="2724">
        <f>SUMIF('DSCR(선,중)'!$F$4:$U$4,BE$5,'DSCR(선,중)'!$F$33:$U$33)</f>
        <v>0</v>
      </c>
      <c r="BF137" s="2724">
        <f>SUMIF('DSCR(선,중)'!$F$4:$U$4,BF$5,'DSCR(선,중)'!$F$33:$U$33)</f>
        <v>0</v>
      </c>
      <c r="BG137" s="2724">
        <f>SUMIF('DSCR(선,중)'!$F$4:$U$4,BG$5,'DSCR(선,중)'!$F$33:$U$33)</f>
        <v>0</v>
      </c>
      <c r="BH137" s="2724">
        <f>SUMIF('DSCR(선,중)'!$F$4:$U$4,BH$5,'DSCR(선,중)'!$F$33:$U$33)</f>
        <v>0</v>
      </c>
      <c r="BI137" s="2724">
        <f>SUMIF('DSCR(선,중)'!$F$4:$U$4,BI$5,'DSCR(선,중)'!$F$33:$U$33)</f>
        <v>0</v>
      </c>
      <c r="BJ137" s="2724">
        <f>SUMIF('DSCR(선,중)'!$F$4:$U$4,BJ$5,'DSCR(선,중)'!$F$33:$U$33)</f>
        <v>0</v>
      </c>
      <c r="BK137" s="2724">
        <f>SUMIF('DSCR(선,중)'!$F$4:$U$4,BK$5,'DSCR(선,중)'!$F$33:$U$33)</f>
        <v>0</v>
      </c>
      <c r="BL137" s="2724">
        <f>SUMIF('DSCR(선,중)'!$F$4:$U$4,BL$5,'DSCR(선,중)'!$F$33:$U$33)</f>
        <v>0</v>
      </c>
      <c r="BM137" s="2724">
        <f>SUMIF('DSCR(선,중)'!$F$4:$U$4,BM$5,'DSCR(선,중)'!$F$33:$U$33)</f>
        <v>0</v>
      </c>
      <c r="BN137" s="2724">
        <f>SUMIF('DSCR(선,중)'!$F$4:$U$4,BN$5,'DSCR(선,중)'!$F$33:$U$33)</f>
        <v>0</v>
      </c>
      <c r="BO137" s="2724">
        <f>SUMIF('DSCR(선,중)'!$F$4:$U$4,BO$5,'DSCR(선,중)'!$F$33:$U$33)</f>
        <v>0</v>
      </c>
      <c r="BP137" s="2724">
        <f>SUMIF('DSCR(선,중)'!$F$4:$U$4,BP$5,'DSCR(선,중)'!$F$33:$U$33)</f>
        <v>0</v>
      </c>
      <c r="BQ137" s="2724">
        <f>SUMIF('DSCR(선,중)'!$F$4:$U$4,BQ$5,'DSCR(선,중)'!$F$33:$U$33)</f>
        <v>0</v>
      </c>
      <c r="BR137" s="2724">
        <f>SUMIF('DSCR(선,중)'!$F$4:$U$4,BR$5,'DSCR(선,중)'!$F$33:$U$33)</f>
        <v>0</v>
      </c>
      <c r="BS137" s="2724">
        <f>SUMIF('DSCR(선,중)'!$F$4:$U$4,BS$5,'DSCR(선,중)'!$F$33:$U$33)</f>
        <v>0</v>
      </c>
      <c r="BT137" s="2724">
        <f>SUMIF('DSCR(선,중)'!$F$4:$U$4,BT$5,'DSCR(선,중)'!$F$33:$U$33)</f>
        <v>0</v>
      </c>
      <c r="BU137" s="2724">
        <f>SUMIF('DSCR(선,중)'!$F$4:$U$4,BU$5,'DSCR(선,중)'!$F$33:$U$33)</f>
        <v>0</v>
      </c>
      <c r="BV137" s="2724">
        <f>SUMIF('DSCR(선,중)'!$F$4:$U$4,BV$5,'DSCR(선,중)'!$F$33:$U$33)</f>
        <v>0</v>
      </c>
      <c r="BW137" s="2724">
        <f>SUMIF('DSCR(선,중)'!$F$4:$U$4,BW$5,'DSCR(선,중)'!$F$33:$U$33)</f>
        <v>0</v>
      </c>
      <c r="BX137" s="2724">
        <f>SUMIF('DSCR(선,중)'!$F$4:$U$4,BX$5,'DSCR(선,중)'!$F$33:$U$33)</f>
        <v>0</v>
      </c>
      <c r="BY137" s="2724">
        <f>SUMIF('DSCR(선,중)'!$F$4:$U$4,BY$5,'DSCR(선,중)'!$F$33:$U$33)</f>
        <v>0</v>
      </c>
      <c r="BZ137" s="2724">
        <f>SUMIF('DSCR(선,중)'!$F$4:$U$4,BZ$5,'DSCR(선,중)'!$F$33:$U$33)</f>
        <v>0</v>
      </c>
      <c r="CA137" s="2724">
        <f>SUMIF('DSCR(선,중)'!$F$4:$U$4,CA$5,'DSCR(선,중)'!$F$33:$U$33)</f>
        <v>0</v>
      </c>
      <c r="CB137" s="2724">
        <f>SUMIF('DSCR(선,중)'!$F$4:$U$4,CB$5,'DSCR(선,중)'!$F$33:$U$33)</f>
        <v>0</v>
      </c>
      <c r="CC137" s="2724">
        <f>SUMIF('DSCR(선,중)'!$F$4:$U$4,CC$5,'DSCR(선,중)'!$F$33:$U$33)</f>
        <v>0</v>
      </c>
      <c r="CD137" s="2724">
        <f>SUMIF('DSCR(선,중)'!$F$4:$U$4,CD$5,'DSCR(선,중)'!$F$33:$U$33)</f>
        <v>0</v>
      </c>
      <c r="CE137" s="2724">
        <f>SUMIF('DSCR(선,중)'!$F$4:$U$4,CE$5,'DSCR(선,중)'!$F$33:$U$33)</f>
        <v>0</v>
      </c>
      <c r="CF137" s="2724">
        <f>SUMIF('DSCR(선,중)'!$F$4:$U$4,CF$5,'DSCR(선,중)'!$F$33:$U$33)</f>
        <v>0</v>
      </c>
      <c r="CG137" s="2724">
        <f>SUMIF('DSCR(선,중)'!$F$4:$U$4,CG$5,'DSCR(선,중)'!$F$33:$U$33)</f>
        <v>0</v>
      </c>
      <c r="CH137" s="2724">
        <f>SUMIF('DSCR(선,중)'!$F$4:$U$4,CH$5,'DSCR(선,중)'!$F$33:$U$33)</f>
        <v>0</v>
      </c>
      <c r="CI137" s="2724">
        <f>SUMIF('DSCR(선,중)'!$F$4:$U$4,CI$5,'DSCR(선,중)'!$F$33:$U$33)</f>
        <v>0</v>
      </c>
      <c r="CJ137" s="2724">
        <f>SUMIF('DSCR(선,중)'!$F$4:$U$4,CJ$5,'DSCR(선,중)'!$F$33:$U$33)</f>
        <v>0</v>
      </c>
      <c r="CK137" s="2724">
        <f>SUMIF('DSCR(선,중)'!$F$4:$U$4,CK$5,'DSCR(선,중)'!$F$33:$U$33)</f>
        <v>0</v>
      </c>
      <c r="CL137" s="2724">
        <f>SUMIF('DSCR(선,중)'!$F$4:$U$4,CL$5,'DSCR(선,중)'!$F$33:$U$33)</f>
        <v>0</v>
      </c>
      <c r="CM137" s="2724">
        <f>SUMIF('DSCR(선,중)'!$F$4:$U$4,CM$5,'DSCR(선,중)'!$F$33:$U$33)</f>
        <v>0</v>
      </c>
      <c r="CN137" s="2724">
        <f>SUMIF('DSCR(선,중)'!$F$4:$U$4,CN$5,'DSCR(선,중)'!$F$33:$U$33)</f>
        <v>0</v>
      </c>
      <c r="CO137" s="2724">
        <f>SUMIF('DSCR(선,중)'!$F$4:$U$4,CO$5,'DSCR(선,중)'!$F$33:$U$33)</f>
        <v>0</v>
      </c>
      <c r="CP137" s="2724">
        <f>SUMIF('DSCR(선,중)'!$F$4:$U$4,CP$5,'DSCR(선,중)'!$F$33:$U$33)</f>
        <v>0</v>
      </c>
      <c r="CQ137" s="2724">
        <f>SUMIF('DSCR(선,중)'!$F$4:$U$4,CQ$5,'DSCR(선,중)'!$F$33:$U$33)</f>
        <v>0</v>
      </c>
      <c r="CR137" s="2724">
        <f>SUMIF('DSCR(선,중)'!$F$4:$U$4,CR$5,'DSCR(선,중)'!$F$33:$U$33)</f>
        <v>0</v>
      </c>
      <c r="CS137" s="2724">
        <f>SUMIF('DSCR(선,중)'!$F$4:$U$4,CS$5,'DSCR(선,중)'!$F$33:$U$33)</f>
        <v>0</v>
      </c>
      <c r="CT137" s="2724">
        <f>SUMIF('DSCR(선,중)'!$F$4:$U$4,CT$5,'DSCR(선,중)'!$F$33:$U$33)</f>
        <v>0</v>
      </c>
      <c r="CU137" s="2724">
        <f>SUMIF('DSCR(선,중)'!$F$4:$U$4,CU$5,'DSCR(선,중)'!$F$33:$U$33)</f>
        <v>0</v>
      </c>
      <c r="CV137" s="2724">
        <f>SUMIF('DSCR(선,중)'!$F$4:$U$4,CV$5,'DSCR(선,중)'!$F$33:$U$33)</f>
        <v>0</v>
      </c>
      <c r="CW137" s="2724">
        <f>SUMIF('DSCR(선,중)'!$F$4:$U$4,CW$5,'DSCR(선,중)'!$F$33:$U$33)</f>
        <v>0</v>
      </c>
      <c r="CX137" s="2724">
        <f>SUMIF('DSCR(선,중)'!$F$4:$U$4,CX$5,'DSCR(선,중)'!$F$33:$U$33)</f>
        <v>0</v>
      </c>
      <c r="CY137" s="2724">
        <f>SUMIF('DSCR(선,중)'!$F$4:$U$4,CY$5,'DSCR(선,중)'!$F$33:$U$33)</f>
        <v>0</v>
      </c>
      <c r="CZ137" s="2724">
        <f>SUMIF('DSCR(선,중)'!$F$4:$U$4,CZ$5,'DSCR(선,중)'!$F$33:$U$33)</f>
        <v>0</v>
      </c>
      <c r="DA137" s="2724">
        <f>SUMIF('DSCR(선,중)'!$F$4:$U$4,DA$5,'DSCR(선,중)'!$F$33:$U$33)</f>
        <v>0</v>
      </c>
      <c r="DB137" s="2724">
        <f>SUMIF('DSCR(선,중)'!$F$4:$U$4,DB$5,'DSCR(선,중)'!$F$33:$U$33)</f>
        <v>0</v>
      </c>
      <c r="DC137" s="2724">
        <f>SUMIF('DSCR(선,중)'!$F$4:$U$4,DC$5,'DSCR(선,중)'!$F$33:$U$33)</f>
        <v>0</v>
      </c>
      <c r="DD137" s="2724">
        <f>SUMIF('DSCR(선,중)'!$F$4:$U$4,DD$5,'DSCR(선,중)'!$F$33:$U$33)</f>
        <v>0</v>
      </c>
      <c r="DE137" s="2724">
        <f>SUMIF('DSCR(선,중)'!$F$4:$U$4,DE$5,'DSCR(선,중)'!$F$33:$U$33)</f>
        <v>0</v>
      </c>
      <c r="DF137" s="2724">
        <f>SUMIF('DSCR(선,중)'!$F$4:$U$4,DF$5,'DSCR(선,중)'!$F$33:$U$33)</f>
        <v>0</v>
      </c>
      <c r="DG137" s="2724">
        <f>SUMIF('DSCR(선,중)'!$F$4:$U$4,DG$5,'DSCR(선,중)'!$F$33:$U$33)</f>
        <v>0</v>
      </c>
      <c r="DH137" s="2724">
        <f>SUMIF('DSCR(선,중)'!$F$4:$U$4,DH$5,'DSCR(선,중)'!$F$33:$U$33)</f>
        <v>0</v>
      </c>
      <c r="DI137" s="2724">
        <f>SUMIF('DSCR(선,중)'!$F$4:$U$4,DI$5,'DSCR(선,중)'!$F$33:$U$33)</f>
        <v>0</v>
      </c>
      <c r="DJ137" s="2724">
        <f>SUMIF('DSCR(선,중)'!$F$4:$U$4,DJ$5,'DSCR(선,중)'!$F$33:$U$33)</f>
        <v>0</v>
      </c>
      <c r="DK137" s="2724">
        <f>SUMIF('DSCR(선,중)'!$F$4:$U$4,DK$5,'DSCR(선,중)'!$F$33:$U$33)</f>
        <v>0</v>
      </c>
      <c r="DL137" s="2724">
        <f>SUMIF('DSCR(선,중)'!$F$4:$U$4,DL$5,'DSCR(선,중)'!$F$33:$U$33)</f>
        <v>0</v>
      </c>
      <c r="DM137" s="2724">
        <f>SUMIF('DSCR(선,중)'!$F$4:$U$4,DM$5,'DSCR(선,중)'!$F$33:$U$33)</f>
        <v>0</v>
      </c>
      <c r="DN137" s="2724">
        <f>SUMIF('DSCR(선,중)'!$F$4:$U$4,DN$5,'DSCR(선,중)'!$F$33:$U$33)</f>
        <v>0</v>
      </c>
      <c r="DO137" s="2724">
        <f>SUMIF('DSCR(선,중)'!$F$4:$U$4,DO$5,'DSCR(선,중)'!$F$33:$U$33)</f>
        <v>0</v>
      </c>
      <c r="DP137" s="2724">
        <f>SUMIF('DSCR(선,중)'!$F$4:$U$4,DP$5,'DSCR(선,중)'!$F$33:$U$33)</f>
        <v>0</v>
      </c>
      <c r="DQ137" s="2724">
        <f>SUMIF('DSCR(선,중)'!$F$4:$U$4,DQ$5,'DSCR(선,중)'!$F$33:$U$33)</f>
        <v>0</v>
      </c>
      <c r="DR137" s="2724">
        <f>SUMIF('DSCR(선,중)'!$F$4:$U$4,DR$5,'DSCR(선,중)'!$F$33:$U$33)</f>
        <v>0</v>
      </c>
      <c r="DS137" s="2724">
        <f>SUMIF('DSCR(선,중)'!$F$4:$U$4,DS$5,'DSCR(선,중)'!$F$33:$U$33)</f>
        <v>0</v>
      </c>
      <c r="DT137" s="2724">
        <f>SUMIF('DSCR(선,중)'!$F$4:$U$4,DT$5,'DSCR(선,중)'!$F$33:$U$33)</f>
        <v>0</v>
      </c>
      <c r="DU137" s="2724">
        <f>SUMIF('DSCR(선,중)'!$F$4:$U$4,DU$5,'DSCR(선,중)'!$F$33:$U$33)</f>
        <v>0</v>
      </c>
      <c r="DV137" s="2724">
        <f>SUMIF('DSCR(선,중)'!$F$4:$U$4,DV$5,'DSCR(선,중)'!$F$33:$U$33)</f>
        <v>0</v>
      </c>
      <c r="DW137" s="2724">
        <f>SUMIF('DSCR(선,중)'!$F$4:$U$4,DW$5,'DSCR(선,중)'!$F$33:$U$33)</f>
        <v>0</v>
      </c>
      <c r="DX137" s="2724">
        <f>SUMIF('DSCR(선,중)'!$F$4:$U$4,DX$5,'DSCR(선,중)'!$F$33:$U$33)</f>
        <v>0</v>
      </c>
      <c r="DY137" s="2724">
        <f>SUMIF('DSCR(선,중)'!$F$4:$U$4,DY$5,'DSCR(선,중)'!$F$33:$U$33)</f>
        <v>0</v>
      </c>
      <c r="DZ137" s="2724">
        <f>SUMIF('DSCR(선,중)'!$F$4:$U$4,DZ$5,'DSCR(선,중)'!$F$33:$U$33)</f>
        <v>0</v>
      </c>
      <c r="EA137" s="2724">
        <f>SUMIF('DSCR(선,중)'!$F$4:$U$4,EA$5,'DSCR(선,중)'!$F$33:$U$33)</f>
        <v>0</v>
      </c>
      <c r="EB137" s="2724">
        <f>SUMIF('DSCR(선,중)'!$F$4:$U$4,EB$5,'DSCR(선,중)'!$F$33:$U$33)</f>
        <v>0</v>
      </c>
      <c r="EC137" s="2724">
        <f>SUMIF('DSCR(선,중)'!$F$4:$U$4,EC$5,'DSCR(선,중)'!$F$33:$U$33)</f>
        <v>0</v>
      </c>
      <c r="ED137" s="2724">
        <f>SUMIF('DSCR(선,중)'!$F$4:$U$4,ED$5,'DSCR(선,중)'!$F$33:$U$33)</f>
        <v>0</v>
      </c>
      <c r="EE137" s="2724">
        <f>SUMIF('DSCR(선,중)'!$F$4:$U$4,EE$5,'DSCR(선,중)'!$F$33:$U$33)</f>
        <v>0</v>
      </c>
      <c r="EF137" s="2724">
        <f>SUMIF('DSCR(선,중)'!$F$4:$U$4,EF$5,'DSCR(선,중)'!$F$33:$U$33)</f>
        <v>0</v>
      </c>
      <c r="EG137" s="2724">
        <f>SUMIF('DSCR(선,중)'!$F$4:$U$4,EG$5,'DSCR(선,중)'!$F$33:$U$33)</f>
        <v>0</v>
      </c>
      <c r="EH137" s="2724">
        <f>SUMIF('DSCR(선,중)'!$F$4:$U$4,EH$5,'DSCR(선,중)'!$F$33:$U$33)</f>
        <v>0</v>
      </c>
      <c r="EI137" s="2724">
        <f>SUMIF('DSCR(선,중)'!$F$4:$U$4,EI$5,'DSCR(선,중)'!$F$33:$U$33)</f>
        <v>0</v>
      </c>
      <c r="EJ137" s="2724">
        <f>SUMIF('DSCR(선,중)'!$F$4:$U$4,EJ$5,'DSCR(선,중)'!$F$33:$U$33)</f>
        <v>0</v>
      </c>
      <c r="EK137" s="2724">
        <f>SUMIF('DSCR(선,중)'!$F$4:$U$4,EK$5,'DSCR(선,중)'!$F$33:$U$33)</f>
        <v>0</v>
      </c>
      <c r="EL137" s="2724">
        <f>SUMIF('DSCR(선,중)'!$F$4:$U$4,EL$5,'DSCR(선,중)'!$F$33:$U$33)</f>
        <v>0</v>
      </c>
      <c r="EM137" s="2724">
        <f>SUMIF('DSCR(선,중)'!$F$4:$U$4,EM$5,'DSCR(선,중)'!$F$33:$U$33)</f>
        <v>0</v>
      </c>
      <c r="EN137" s="2724">
        <f>SUMIF('DSCR(선,중)'!$F$4:$U$4,EN$5,'DSCR(선,중)'!$F$33:$U$33)</f>
        <v>0</v>
      </c>
      <c r="EO137" s="2724">
        <f>SUMIF('DSCR(선,중)'!$F$4:$U$4,EO$5,'DSCR(선,중)'!$F$33:$U$33)</f>
        <v>0</v>
      </c>
      <c r="EP137" s="2724">
        <f>SUMIF('DSCR(선,중)'!$F$4:$U$4,EP$5,'DSCR(선,중)'!$F$33:$U$33)</f>
        <v>0</v>
      </c>
      <c r="EQ137" s="2724">
        <f>SUMIF('DSCR(선,중)'!$F$4:$U$4,EQ$5,'DSCR(선,중)'!$F$33:$U$33)</f>
        <v>0</v>
      </c>
    </row>
    <row r="138" spans="2:147">
      <c r="B138" s="5" t="s">
        <v>2440</v>
      </c>
      <c r="L138" s="2724">
        <f>SUMIF('DSCR(선,중)'!$F$4:$U$4,L$5,'DSCR(선,중)'!$F$35:$U$35)</f>
        <v>0</v>
      </c>
      <c r="M138" s="2724">
        <f>SUMIF('DSCR(선,중)'!$F$4:$U$4,M$5,'DSCR(선,중)'!$F$35:$U$35)</f>
        <v>0</v>
      </c>
      <c r="N138" s="2724">
        <f>SUMIF('DSCR(선,중)'!$F$4:$U$4,N$5,'DSCR(선,중)'!$F$35:$U$35)</f>
        <v>0</v>
      </c>
      <c r="O138" s="2724">
        <v>1</v>
      </c>
      <c r="P138" s="2724">
        <f>SUMIF('DSCR(선,중)'!$F$4:$U$4,P$5,'DSCR(선,중)'!$F$35:$U$35)</f>
        <v>0</v>
      </c>
      <c r="Q138" s="2724">
        <f>SUMIF('DSCR(선,중)'!$F$4:$U$4,Q$5,'DSCR(선,중)'!$F$35:$U$35)</f>
        <v>0</v>
      </c>
      <c r="R138" s="2724">
        <f>SUMIF('DSCR(선,중)'!$F$4:$U$4,R$5,'DSCR(선,중)'!$F$35:$U$35)</f>
        <v>1.2971942732008388</v>
      </c>
      <c r="S138" s="2724">
        <f>SUMIF('DSCR(선,중)'!$F$4:$U$4,S$5,'DSCR(선,중)'!$F$35:$U$35)</f>
        <v>0</v>
      </c>
      <c r="T138" s="2724">
        <f>SUMIF('DSCR(선,중)'!$F$4:$U$4,T$5,'DSCR(선,중)'!$F$35:$U$35)</f>
        <v>0</v>
      </c>
      <c r="U138" s="2724">
        <f>SUMIF('DSCR(선,중)'!$F$4:$U$4,U$5,'DSCR(선,중)'!$F$35:$U$35)</f>
        <v>1.3322177284745289</v>
      </c>
      <c r="V138" s="2724">
        <f>SUMIF('DSCR(선,중)'!$F$4:$U$4,V$5,'DSCR(선,중)'!$F$35:$U$35)</f>
        <v>0</v>
      </c>
      <c r="W138" s="2724">
        <f>SUMIF('DSCR(선,중)'!$F$4:$U$4,W$5,'DSCR(선,중)'!$F$35:$U$35)</f>
        <v>0</v>
      </c>
      <c r="X138" s="2724">
        <f>SUMIF('DSCR(선,중)'!$F$4:$U$4,X$5,'DSCR(선,중)'!$F$35:$U$35)</f>
        <v>1.3945350843465045</v>
      </c>
      <c r="Y138" s="2724">
        <f>SUMIF('DSCR(선,중)'!$F$4:$U$4,Y$5,'DSCR(선,중)'!$F$35:$U$35)</f>
        <v>0</v>
      </c>
      <c r="Z138" s="2724">
        <f>SUMIF('DSCR(선,중)'!$F$4:$U$4,Z$5,'DSCR(선,중)'!$F$35:$U$35)</f>
        <v>0</v>
      </c>
      <c r="AA138" s="2724">
        <f>SUMIF('DSCR(선,중)'!$F$4:$U$4,AA$5,'DSCR(선,중)'!$F$35:$U$35)</f>
        <v>1.2982586035095687</v>
      </c>
      <c r="AB138" s="2724">
        <f>SUMIF('DSCR(선,중)'!$F$4:$U$4,AB$5,'DSCR(선,중)'!$F$35:$U$35)</f>
        <v>0</v>
      </c>
      <c r="AC138" s="2724">
        <f>SUMIF('DSCR(선,중)'!$F$4:$U$4,AC$5,'DSCR(선,중)'!$F$35:$U$35)</f>
        <v>0</v>
      </c>
      <c r="AD138" s="2724">
        <f>SUMIF('DSCR(선,중)'!$F$4:$U$4,AD$5,'DSCR(선,중)'!$F$35:$U$35)</f>
        <v>1.33140256504341</v>
      </c>
      <c r="AE138" s="2724">
        <f>SUMIF('DSCR(선,중)'!$F$4:$U$4,AE$5,'DSCR(선,중)'!$F$35:$U$35)</f>
        <v>0</v>
      </c>
      <c r="AF138" s="2724">
        <f>SUMIF('DSCR(선,중)'!$F$4:$U$4,AF$5,'DSCR(선,중)'!$F$35:$U$35)</f>
        <v>0</v>
      </c>
      <c r="AG138" s="2724">
        <f>SUMIF('DSCR(선,중)'!$F$4:$U$4,AG$5,'DSCR(선,중)'!$F$35:$U$35)</f>
        <v>1.3673016066989416</v>
      </c>
      <c r="AH138" s="2724">
        <f>SUMIF('DSCR(선,중)'!$F$4:$U$4,AH$5,'DSCR(선,중)'!$F$35:$U$35)</f>
        <v>0</v>
      </c>
      <c r="AI138" s="2724">
        <f>SUMIF('DSCR(선,중)'!$F$4:$U$4,AI$5,'DSCR(선,중)'!$F$35:$U$35)</f>
        <v>0</v>
      </c>
      <c r="AJ138" s="2724">
        <f>SUMIF('DSCR(선,중)'!$F$4:$U$4,AJ$5,'DSCR(선,중)'!$F$35:$U$35)</f>
        <v>1.4311768964677167</v>
      </c>
      <c r="AK138" s="2724">
        <f>SUMIF('DSCR(선,중)'!$F$4:$U$4,AK$5,'DSCR(선,중)'!$F$35:$U$35)</f>
        <v>0</v>
      </c>
      <c r="AL138" s="2724">
        <f>SUMIF('DSCR(선,중)'!$F$4:$U$4,AL$5,'DSCR(선,중)'!$F$35:$U$35)</f>
        <v>0</v>
      </c>
      <c r="AM138" s="2724">
        <f>SUMIF('DSCR(선,중)'!$F$4:$U$4,AM$5,'DSCR(선,중)'!$F$35:$U$35)</f>
        <v>0</v>
      </c>
      <c r="AN138" s="2724">
        <f>SUMIF('DSCR(선,중)'!$F$4:$U$4,AN$5,'DSCR(선,중)'!$F$35:$U$35)</f>
        <v>0</v>
      </c>
      <c r="AO138" s="2724">
        <f>SUMIF('DSCR(선,중)'!$F$4:$U$4,AO$5,'DSCR(선,중)'!$F$35:$U$35)</f>
        <v>0</v>
      </c>
      <c r="AP138" s="2724">
        <f>SUMIF('DSCR(선,중)'!$F$4:$U$4,AP$5,'DSCR(선,중)'!$F$35:$U$35)</f>
        <v>0</v>
      </c>
      <c r="AQ138" s="2724">
        <f>SUMIF('DSCR(선,중)'!$F$4:$U$4,AQ$5,'DSCR(선,중)'!$F$35:$U$35)</f>
        <v>0</v>
      </c>
      <c r="AR138" s="2724">
        <f>SUMIF('DSCR(선,중)'!$F$4:$U$4,AR$5,'DSCR(선,중)'!$F$35:$U$35)</f>
        <v>0</v>
      </c>
      <c r="AS138" s="2724">
        <f>SUMIF('DSCR(선,중)'!$F$4:$U$4,AS$5,'DSCR(선,중)'!$F$35:$U$35)</f>
        <v>0</v>
      </c>
      <c r="AT138" s="2724">
        <f>SUMIF('DSCR(선,중)'!$F$4:$U$4,AT$5,'DSCR(선,중)'!$F$35:$U$35)</f>
        <v>0</v>
      </c>
      <c r="AU138" s="2724">
        <f>SUMIF('DSCR(선,중)'!$F$4:$U$4,AU$5,'DSCR(선,중)'!$F$35:$U$35)</f>
        <v>0</v>
      </c>
      <c r="AV138" s="2724">
        <f>SUMIF('DSCR(선,중)'!$F$4:$U$4,AV$5,'DSCR(선,중)'!$F$35:$U$35)</f>
        <v>0</v>
      </c>
      <c r="AW138" s="2724">
        <f>SUMIF('DSCR(선,중)'!$F$4:$U$4,AW$5,'DSCR(선,중)'!$F$35:$U$35)</f>
        <v>0</v>
      </c>
      <c r="AX138" s="2724">
        <f>SUMIF('DSCR(선,중)'!$F$4:$U$4,AX$5,'DSCR(선,중)'!$F$35:$U$35)</f>
        <v>0</v>
      </c>
      <c r="AY138" s="2724">
        <f>SUMIF('DSCR(선,중)'!$F$4:$U$4,AY$5,'DSCR(선,중)'!$F$35:$U$35)</f>
        <v>0</v>
      </c>
      <c r="AZ138" s="2724">
        <f>SUMIF('DSCR(선,중)'!$F$4:$U$4,AZ$5,'DSCR(선,중)'!$F$35:$U$35)</f>
        <v>0</v>
      </c>
      <c r="BA138" s="2724">
        <f>SUMIF('DSCR(선,중)'!$F$4:$U$4,BA$5,'DSCR(선,중)'!$F$35:$U$35)</f>
        <v>0</v>
      </c>
      <c r="BB138" s="2724">
        <f>SUMIF('DSCR(선,중)'!$F$4:$U$4,BB$5,'DSCR(선,중)'!$F$35:$U$35)</f>
        <v>0</v>
      </c>
      <c r="BC138" s="2724">
        <f>SUMIF('DSCR(선,중)'!$F$4:$U$4,BC$5,'DSCR(선,중)'!$F$35:$U$35)</f>
        <v>0</v>
      </c>
      <c r="BD138" s="2724">
        <f>SUMIF('DSCR(선,중)'!$F$4:$U$4,BD$5,'DSCR(선,중)'!$F$35:$U$35)</f>
        <v>0</v>
      </c>
      <c r="BE138" s="2724">
        <f>SUMIF('DSCR(선,중)'!$F$4:$U$4,BE$5,'DSCR(선,중)'!$F$35:$U$35)</f>
        <v>0</v>
      </c>
      <c r="BF138" s="2724">
        <f>SUMIF('DSCR(선,중)'!$F$4:$U$4,BF$5,'DSCR(선,중)'!$F$35:$U$35)</f>
        <v>0</v>
      </c>
      <c r="BG138" s="2724">
        <f>SUMIF('DSCR(선,중)'!$F$4:$U$4,BG$5,'DSCR(선,중)'!$F$35:$U$35)</f>
        <v>0</v>
      </c>
      <c r="BH138" s="2724">
        <f>SUMIF('DSCR(선,중)'!$F$4:$U$4,BH$5,'DSCR(선,중)'!$F$35:$U$35)</f>
        <v>0</v>
      </c>
      <c r="BI138" s="2724">
        <f>SUMIF('DSCR(선,중)'!$F$4:$U$4,BI$5,'DSCR(선,중)'!$F$35:$U$35)</f>
        <v>0</v>
      </c>
      <c r="BJ138" s="2724">
        <f>SUMIF('DSCR(선,중)'!$F$4:$U$4,BJ$5,'DSCR(선,중)'!$F$35:$U$35)</f>
        <v>0</v>
      </c>
      <c r="BK138" s="2724">
        <f>SUMIF('DSCR(선,중)'!$F$4:$U$4,BK$5,'DSCR(선,중)'!$F$35:$U$35)</f>
        <v>0</v>
      </c>
      <c r="BL138" s="2724">
        <f>SUMIF('DSCR(선,중)'!$F$4:$U$4,BL$5,'DSCR(선,중)'!$F$35:$U$35)</f>
        <v>0</v>
      </c>
      <c r="BM138" s="2724">
        <f>SUMIF('DSCR(선,중)'!$F$4:$U$4,BM$5,'DSCR(선,중)'!$F$35:$U$35)</f>
        <v>0</v>
      </c>
      <c r="BN138" s="2724">
        <f>SUMIF('DSCR(선,중)'!$F$4:$U$4,BN$5,'DSCR(선,중)'!$F$35:$U$35)</f>
        <v>0</v>
      </c>
      <c r="BO138" s="2724">
        <f>SUMIF('DSCR(선,중)'!$F$4:$U$4,BO$5,'DSCR(선,중)'!$F$35:$U$35)</f>
        <v>0</v>
      </c>
      <c r="BP138" s="2724">
        <f>SUMIF('DSCR(선,중)'!$F$4:$U$4,BP$5,'DSCR(선,중)'!$F$35:$U$35)</f>
        <v>0</v>
      </c>
      <c r="BQ138" s="2724">
        <f>SUMIF('DSCR(선,중)'!$F$4:$U$4,BQ$5,'DSCR(선,중)'!$F$35:$U$35)</f>
        <v>0</v>
      </c>
      <c r="BR138" s="2724">
        <f>SUMIF('DSCR(선,중)'!$F$4:$U$4,BR$5,'DSCR(선,중)'!$F$35:$U$35)</f>
        <v>0</v>
      </c>
      <c r="BS138" s="2724">
        <f>SUMIF('DSCR(선,중)'!$F$4:$U$4,BS$5,'DSCR(선,중)'!$F$35:$U$35)</f>
        <v>0</v>
      </c>
      <c r="BT138" s="2724">
        <f>SUMIF('DSCR(선,중)'!$F$4:$U$4,BT$5,'DSCR(선,중)'!$F$35:$U$35)</f>
        <v>0</v>
      </c>
      <c r="BU138" s="2724">
        <f>SUMIF('DSCR(선,중)'!$F$4:$U$4,BU$5,'DSCR(선,중)'!$F$35:$U$35)</f>
        <v>0</v>
      </c>
      <c r="BV138" s="2724">
        <f>SUMIF('DSCR(선,중)'!$F$4:$U$4,BV$5,'DSCR(선,중)'!$F$35:$U$35)</f>
        <v>0</v>
      </c>
      <c r="BW138" s="2724">
        <f>SUMIF('DSCR(선,중)'!$F$4:$U$4,BW$5,'DSCR(선,중)'!$F$35:$U$35)</f>
        <v>0</v>
      </c>
      <c r="BX138" s="2724">
        <f>SUMIF('DSCR(선,중)'!$F$4:$U$4,BX$5,'DSCR(선,중)'!$F$35:$U$35)</f>
        <v>0</v>
      </c>
      <c r="BY138" s="2724">
        <f>SUMIF('DSCR(선,중)'!$F$4:$U$4,BY$5,'DSCR(선,중)'!$F$35:$U$35)</f>
        <v>0</v>
      </c>
      <c r="BZ138" s="2724">
        <f>SUMIF('DSCR(선,중)'!$F$4:$U$4,BZ$5,'DSCR(선,중)'!$F$35:$U$35)</f>
        <v>0</v>
      </c>
      <c r="CA138" s="2724">
        <f>SUMIF('DSCR(선,중)'!$F$4:$U$4,CA$5,'DSCR(선,중)'!$F$35:$U$35)</f>
        <v>0</v>
      </c>
      <c r="CB138" s="2724">
        <f>SUMIF('DSCR(선,중)'!$F$4:$U$4,CB$5,'DSCR(선,중)'!$F$35:$U$35)</f>
        <v>0</v>
      </c>
      <c r="CC138" s="2724">
        <f>SUMIF('DSCR(선,중)'!$F$4:$U$4,CC$5,'DSCR(선,중)'!$F$35:$U$35)</f>
        <v>0</v>
      </c>
      <c r="CD138" s="2724">
        <f>SUMIF('DSCR(선,중)'!$F$4:$U$4,CD$5,'DSCR(선,중)'!$F$35:$U$35)</f>
        <v>0</v>
      </c>
      <c r="CE138" s="2724">
        <f>SUMIF('DSCR(선,중)'!$F$4:$U$4,CE$5,'DSCR(선,중)'!$F$35:$U$35)</f>
        <v>0</v>
      </c>
      <c r="CF138" s="2724">
        <f>SUMIF('DSCR(선,중)'!$F$4:$U$4,CF$5,'DSCR(선,중)'!$F$35:$U$35)</f>
        <v>0</v>
      </c>
      <c r="CG138" s="2724">
        <f>SUMIF('DSCR(선,중)'!$F$4:$U$4,CG$5,'DSCR(선,중)'!$F$35:$U$35)</f>
        <v>0</v>
      </c>
      <c r="CH138" s="2724">
        <f>SUMIF('DSCR(선,중)'!$F$4:$U$4,CH$5,'DSCR(선,중)'!$F$35:$U$35)</f>
        <v>0</v>
      </c>
      <c r="CI138" s="2724">
        <f>SUMIF('DSCR(선,중)'!$F$4:$U$4,CI$5,'DSCR(선,중)'!$F$35:$U$35)</f>
        <v>0</v>
      </c>
      <c r="CJ138" s="2724">
        <f>SUMIF('DSCR(선,중)'!$F$4:$U$4,CJ$5,'DSCR(선,중)'!$F$35:$U$35)</f>
        <v>0</v>
      </c>
      <c r="CK138" s="2724">
        <f>SUMIF('DSCR(선,중)'!$F$4:$U$4,CK$5,'DSCR(선,중)'!$F$35:$U$35)</f>
        <v>0</v>
      </c>
      <c r="CL138" s="2724">
        <f>SUMIF('DSCR(선,중)'!$F$4:$U$4,CL$5,'DSCR(선,중)'!$F$35:$U$35)</f>
        <v>0</v>
      </c>
      <c r="CM138" s="2724">
        <f>SUMIF('DSCR(선,중)'!$F$4:$U$4,CM$5,'DSCR(선,중)'!$F$35:$U$35)</f>
        <v>0</v>
      </c>
      <c r="CN138" s="2724">
        <f>SUMIF('DSCR(선,중)'!$F$4:$U$4,CN$5,'DSCR(선,중)'!$F$35:$U$35)</f>
        <v>0</v>
      </c>
      <c r="CO138" s="2724">
        <f>SUMIF('DSCR(선,중)'!$F$4:$U$4,CO$5,'DSCR(선,중)'!$F$35:$U$35)</f>
        <v>0</v>
      </c>
      <c r="CP138" s="2724">
        <f>SUMIF('DSCR(선,중)'!$F$4:$U$4,CP$5,'DSCR(선,중)'!$F$35:$U$35)</f>
        <v>0</v>
      </c>
      <c r="CQ138" s="2724">
        <f>SUMIF('DSCR(선,중)'!$F$4:$U$4,CQ$5,'DSCR(선,중)'!$F$35:$U$35)</f>
        <v>0</v>
      </c>
      <c r="CR138" s="2724">
        <f>SUMIF('DSCR(선,중)'!$F$4:$U$4,CR$5,'DSCR(선,중)'!$F$35:$U$35)</f>
        <v>0</v>
      </c>
      <c r="CS138" s="2724">
        <f>SUMIF('DSCR(선,중)'!$F$4:$U$4,CS$5,'DSCR(선,중)'!$F$35:$U$35)</f>
        <v>0</v>
      </c>
      <c r="CT138" s="2724">
        <f>SUMIF('DSCR(선,중)'!$F$4:$U$4,CT$5,'DSCR(선,중)'!$F$35:$U$35)</f>
        <v>0</v>
      </c>
      <c r="CU138" s="2724">
        <f>SUMIF('DSCR(선,중)'!$F$4:$U$4,CU$5,'DSCR(선,중)'!$F$35:$U$35)</f>
        <v>0</v>
      </c>
      <c r="CV138" s="2724">
        <f>SUMIF('DSCR(선,중)'!$F$4:$U$4,CV$5,'DSCR(선,중)'!$F$35:$U$35)</f>
        <v>0</v>
      </c>
      <c r="CW138" s="2724">
        <f>SUMIF('DSCR(선,중)'!$F$4:$U$4,CW$5,'DSCR(선,중)'!$F$35:$U$35)</f>
        <v>0</v>
      </c>
      <c r="CX138" s="2724">
        <f>SUMIF('DSCR(선,중)'!$F$4:$U$4,CX$5,'DSCR(선,중)'!$F$35:$U$35)</f>
        <v>0</v>
      </c>
      <c r="CY138" s="2724">
        <f>SUMIF('DSCR(선,중)'!$F$4:$U$4,CY$5,'DSCR(선,중)'!$F$35:$U$35)</f>
        <v>0</v>
      </c>
      <c r="CZ138" s="2724">
        <f>SUMIF('DSCR(선,중)'!$F$4:$U$4,CZ$5,'DSCR(선,중)'!$F$35:$U$35)</f>
        <v>0</v>
      </c>
      <c r="DA138" s="2724">
        <f>SUMIF('DSCR(선,중)'!$F$4:$U$4,DA$5,'DSCR(선,중)'!$F$35:$U$35)</f>
        <v>0</v>
      </c>
      <c r="DB138" s="2724">
        <f>SUMIF('DSCR(선,중)'!$F$4:$U$4,DB$5,'DSCR(선,중)'!$F$35:$U$35)</f>
        <v>0</v>
      </c>
      <c r="DC138" s="2724">
        <f>SUMIF('DSCR(선,중)'!$F$4:$U$4,DC$5,'DSCR(선,중)'!$F$35:$U$35)</f>
        <v>0</v>
      </c>
      <c r="DD138" s="2724">
        <f>SUMIF('DSCR(선,중)'!$F$4:$U$4,DD$5,'DSCR(선,중)'!$F$35:$U$35)</f>
        <v>0</v>
      </c>
      <c r="DE138" s="2724">
        <f>SUMIF('DSCR(선,중)'!$F$4:$U$4,DE$5,'DSCR(선,중)'!$F$35:$U$35)</f>
        <v>0</v>
      </c>
      <c r="DF138" s="2724">
        <f>SUMIF('DSCR(선,중)'!$F$4:$U$4,DF$5,'DSCR(선,중)'!$F$35:$U$35)</f>
        <v>0</v>
      </c>
      <c r="DG138" s="2724">
        <f>SUMIF('DSCR(선,중)'!$F$4:$U$4,DG$5,'DSCR(선,중)'!$F$35:$U$35)</f>
        <v>0</v>
      </c>
      <c r="DH138" s="2724">
        <f>SUMIF('DSCR(선,중)'!$F$4:$U$4,DH$5,'DSCR(선,중)'!$F$35:$U$35)</f>
        <v>0</v>
      </c>
      <c r="DI138" s="2724">
        <f>SUMIF('DSCR(선,중)'!$F$4:$U$4,DI$5,'DSCR(선,중)'!$F$35:$U$35)</f>
        <v>0</v>
      </c>
      <c r="DJ138" s="2724">
        <f>SUMIF('DSCR(선,중)'!$F$4:$U$4,DJ$5,'DSCR(선,중)'!$F$35:$U$35)</f>
        <v>0</v>
      </c>
      <c r="DK138" s="2724">
        <f>SUMIF('DSCR(선,중)'!$F$4:$U$4,DK$5,'DSCR(선,중)'!$F$35:$U$35)</f>
        <v>0</v>
      </c>
      <c r="DL138" s="2724">
        <f>SUMIF('DSCR(선,중)'!$F$4:$U$4,DL$5,'DSCR(선,중)'!$F$35:$U$35)</f>
        <v>0</v>
      </c>
      <c r="DM138" s="2724">
        <f>SUMIF('DSCR(선,중)'!$F$4:$U$4,DM$5,'DSCR(선,중)'!$F$35:$U$35)</f>
        <v>0</v>
      </c>
      <c r="DN138" s="2724">
        <f>SUMIF('DSCR(선,중)'!$F$4:$U$4,DN$5,'DSCR(선,중)'!$F$35:$U$35)</f>
        <v>0</v>
      </c>
      <c r="DO138" s="2724">
        <f>SUMIF('DSCR(선,중)'!$F$4:$U$4,DO$5,'DSCR(선,중)'!$F$35:$U$35)</f>
        <v>0</v>
      </c>
      <c r="DP138" s="2724">
        <f>SUMIF('DSCR(선,중)'!$F$4:$U$4,DP$5,'DSCR(선,중)'!$F$35:$U$35)</f>
        <v>0</v>
      </c>
      <c r="DQ138" s="2724">
        <f>SUMIF('DSCR(선,중)'!$F$4:$U$4,DQ$5,'DSCR(선,중)'!$F$35:$U$35)</f>
        <v>0</v>
      </c>
      <c r="DR138" s="2724">
        <f>SUMIF('DSCR(선,중)'!$F$4:$U$4,DR$5,'DSCR(선,중)'!$F$35:$U$35)</f>
        <v>0</v>
      </c>
      <c r="DS138" s="2724">
        <f>SUMIF('DSCR(선,중)'!$F$4:$U$4,DS$5,'DSCR(선,중)'!$F$35:$U$35)</f>
        <v>0</v>
      </c>
      <c r="DT138" s="2724">
        <f>SUMIF('DSCR(선,중)'!$F$4:$U$4,DT$5,'DSCR(선,중)'!$F$35:$U$35)</f>
        <v>0</v>
      </c>
      <c r="DU138" s="2724">
        <f>SUMIF('DSCR(선,중)'!$F$4:$U$4,DU$5,'DSCR(선,중)'!$F$35:$U$35)</f>
        <v>0</v>
      </c>
      <c r="DV138" s="2724">
        <f>SUMIF('DSCR(선,중)'!$F$4:$U$4,DV$5,'DSCR(선,중)'!$F$35:$U$35)</f>
        <v>0</v>
      </c>
      <c r="DW138" s="2724">
        <f>SUMIF('DSCR(선,중)'!$F$4:$U$4,DW$5,'DSCR(선,중)'!$F$35:$U$35)</f>
        <v>0</v>
      </c>
      <c r="DX138" s="2724">
        <f>SUMIF('DSCR(선,중)'!$F$4:$U$4,DX$5,'DSCR(선,중)'!$F$35:$U$35)</f>
        <v>0</v>
      </c>
      <c r="DY138" s="2724">
        <f>SUMIF('DSCR(선,중)'!$F$4:$U$4,DY$5,'DSCR(선,중)'!$F$35:$U$35)</f>
        <v>0</v>
      </c>
      <c r="DZ138" s="2724">
        <f>SUMIF('DSCR(선,중)'!$F$4:$U$4,DZ$5,'DSCR(선,중)'!$F$35:$U$35)</f>
        <v>0</v>
      </c>
      <c r="EA138" s="2724">
        <f>SUMIF('DSCR(선,중)'!$F$4:$U$4,EA$5,'DSCR(선,중)'!$F$35:$U$35)</f>
        <v>0</v>
      </c>
      <c r="EB138" s="2724">
        <f>SUMIF('DSCR(선,중)'!$F$4:$U$4,EB$5,'DSCR(선,중)'!$F$35:$U$35)</f>
        <v>0</v>
      </c>
      <c r="EC138" s="2724">
        <f>SUMIF('DSCR(선,중)'!$F$4:$U$4,EC$5,'DSCR(선,중)'!$F$35:$U$35)</f>
        <v>0</v>
      </c>
      <c r="ED138" s="2724">
        <f>SUMIF('DSCR(선,중)'!$F$4:$U$4,ED$5,'DSCR(선,중)'!$F$35:$U$35)</f>
        <v>0</v>
      </c>
      <c r="EE138" s="2724">
        <f>SUMIF('DSCR(선,중)'!$F$4:$U$4,EE$5,'DSCR(선,중)'!$F$35:$U$35)</f>
        <v>0</v>
      </c>
      <c r="EF138" s="2724">
        <f>SUMIF('DSCR(선,중)'!$F$4:$U$4,EF$5,'DSCR(선,중)'!$F$35:$U$35)</f>
        <v>0</v>
      </c>
      <c r="EG138" s="2724">
        <f>SUMIF('DSCR(선,중)'!$F$4:$U$4,EG$5,'DSCR(선,중)'!$F$35:$U$35)</f>
        <v>0</v>
      </c>
      <c r="EH138" s="2724">
        <f>SUMIF('DSCR(선,중)'!$F$4:$U$4,EH$5,'DSCR(선,중)'!$F$35:$U$35)</f>
        <v>0</v>
      </c>
      <c r="EI138" s="2724">
        <f>SUMIF('DSCR(선,중)'!$F$4:$U$4,EI$5,'DSCR(선,중)'!$F$35:$U$35)</f>
        <v>0</v>
      </c>
      <c r="EJ138" s="2724">
        <f>SUMIF('DSCR(선,중)'!$F$4:$U$4,EJ$5,'DSCR(선,중)'!$F$35:$U$35)</f>
        <v>0</v>
      </c>
      <c r="EK138" s="2724">
        <f>SUMIF('DSCR(선,중)'!$F$4:$U$4,EK$5,'DSCR(선,중)'!$F$35:$U$35)</f>
        <v>0</v>
      </c>
      <c r="EL138" s="2724">
        <f>SUMIF('DSCR(선,중)'!$F$4:$U$4,EL$5,'DSCR(선,중)'!$F$35:$U$35)</f>
        <v>0</v>
      </c>
      <c r="EM138" s="2724">
        <f>SUMIF('DSCR(선,중)'!$F$4:$U$4,EM$5,'DSCR(선,중)'!$F$35:$U$35)</f>
        <v>0</v>
      </c>
      <c r="EN138" s="2724">
        <f>SUMIF('DSCR(선,중)'!$F$4:$U$4,EN$5,'DSCR(선,중)'!$F$35:$U$35)</f>
        <v>0</v>
      </c>
      <c r="EO138" s="2724">
        <f>SUMIF('DSCR(선,중)'!$F$4:$U$4,EO$5,'DSCR(선,중)'!$F$35:$U$35)</f>
        <v>0</v>
      </c>
      <c r="EP138" s="2724">
        <f>SUMIF('DSCR(선,중)'!$F$4:$U$4,EP$5,'DSCR(선,중)'!$F$35:$U$35)</f>
        <v>0</v>
      </c>
      <c r="EQ138" s="2724">
        <f>SUMIF('DSCR(선,중)'!$F$4:$U$4,EQ$5,'DSCR(선,중)'!$F$35:$U$35)</f>
        <v>0</v>
      </c>
    </row>
    <row r="139" spans="2:147" ht="11.25" customHeight="1">
      <c r="B139" s="218"/>
      <c r="C139" s="158" t="s">
        <v>2436</v>
      </c>
      <c r="D139" s="159"/>
      <c r="E139" s="159"/>
      <c r="F139" s="159"/>
      <c r="G139" s="159"/>
      <c r="H139" s="160"/>
      <c r="I139" s="219"/>
      <c r="J139" s="220"/>
      <c r="K139" s="98"/>
      <c r="L139" s="162"/>
      <c r="M139" s="162"/>
      <c r="N139" s="162"/>
      <c r="O139" s="162"/>
      <c r="P139" s="162"/>
      <c r="Q139" s="162"/>
      <c r="R139" s="162"/>
      <c r="S139" s="162"/>
      <c r="T139" s="162"/>
      <c r="U139" s="162"/>
      <c r="V139" s="162"/>
      <c r="W139" s="162"/>
      <c r="X139" s="162"/>
      <c r="Y139" s="162"/>
      <c r="Z139" s="162"/>
      <c r="AA139" s="162"/>
      <c r="AB139" s="162"/>
      <c r="AC139" s="162"/>
      <c r="AD139" s="162"/>
      <c r="AE139" s="162"/>
      <c r="AF139" s="162"/>
      <c r="AG139" s="162"/>
      <c r="AH139" s="162"/>
      <c r="AI139" s="162"/>
      <c r="AJ139" s="162"/>
      <c r="AK139" s="162"/>
      <c r="AL139" s="162"/>
      <c r="AM139" s="162"/>
      <c r="AN139" s="162"/>
      <c r="AO139" s="162"/>
      <c r="AP139" s="162"/>
      <c r="AQ139" s="162"/>
      <c r="AR139" s="162"/>
      <c r="AS139" s="162"/>
      <c r="AT139" s="162"/>
      <c r="AU139" s="162"/>
      <c r="AV139" s="162"/>
      <c r="AW139" s="162"/>
      <c r="AX139" s="162"/>
      <c r="AY139" s="162"/>
      <c r="AZ139" s="162"/>
      <c r="BA139" s="162"/>
      <c r="BB139" s="162"/>
      <c r="BC139" s="162"/>
      <c r="BD139" s="162"/>
      <c r="BE139" s="162"/>
      <c r="BF139" s="162"/>
      <c r="BG139" s="162"/>
      <c r="BH139" s="162"/>
      <c r="BI139" s="162"/>
      <c r="BJ139" s="162"/>
      <c r="BK139" s="162"/>
      <c r="BL139" s="162"/>
      <c r="BM139" s="162"/>
      <c r="BN139" s="162"/>
      <c r="BO139" s="162"/>
      <c r="BP139" s="162"/>
      <c r="BQ139" s="162"/>
      <c r="BR139" s="162"/>
      <c r="BS139" s="162"/>
      <c r="BT139" s="162"/>
      <c r="BU139" s="162"/>
      <c r="BV139" s="162"/>
      <c r="BW139" s="162"/>
      <c r="BX139" s="162"/>
      <c r="BY139" s="162"/>
      <c r="BZ139" s="162"/>
      <c r="CA139" s="162"/>
      <c r="CB139" s="162"/>
      <c r="CC139" s="162"/>
      <c r="CD139" s="162"/>
      <c r="CE139" s="162"/>
      <c r="CF139" s="162"/>
      <c r="CG139" s="162"/>
      <c r="CH139" s="162"/>
      <c r="CI139" s="162"/>
      <c r="CJ139" s="162"/>
      <c r="CK139" s="162"/>
      <c r="CL139" s="162"/>
      <c r="CM139" s="162"/>
      <c r="CN139" s="162"/>
      <c r="CO139" s="162"/>
      <c r="CP139" s="162"/>
      <c r="CQ139" s="162"/>
      <c r="CR139" s="162"/>
      <c r="CS139" s="162"/>
      <c r="CT139" s="162"/>
      <c r="CU139" s="162"/>
      <c r="CV139" s="162"/>
      <c r="CW139" s="162"/>
      <c r="CX139" s="162"/>
      <c r="CY139" s="162"/>
      <c r="CZ139" s="162"/>
      <c r="DA139" s="162"/>
      <c r="DB139" s="162"/>
      <c r="DC139" s="162"/>
      <c r="DD139" s="162"/>
      <c r="DE139" s="162"/>
      <c r="DF139" s="162"/>
      <c r="DG139" s="162"/>
      <c r="DH139" s="162"/>
      <c r="DI139" s="162"/>
      <c r="DJ139" s="162"/>
      <c r="DK139" s="162"/>
      <c r="DL139" s="162"/>
      <c r="DM139" s="162"/>
      <c r="DN139" s="162"/>
      <c r="DO139" s="162"/>
      <c r="DP139" s="162"/>
      <c r="DQ139" s="162"/>
      <c r="DR139" s="162"/>
      <c r="DS139" s="162"/>
      <c r="DT139" s="162"/>
      <c r="DU139" s="162"/>
      <c r="DV139" s="162"/>
      <c r="DW139" s="162"/>
      <c r="DX139" s="162"/>
      <c r="DY139" s="162"/>
      <c r="DZ139" s="162"/>
      <c r="EA139" s="162"/>
      <c r="EB139" s="162"/>
      <c r="EC139" s="162"/>
      <c r="ED139" s="162"/>
      <c r="EE139" s="162"/>
      <c r="EF139" s="162"/>
      <c r="EG139" s="162"/>
      <c r="EH139" s="162"/>
      <c r="EI139" s="162"/>
      <c r="EJ139" s="162"/>
      <c r="EK139" s="162"/>
      <c r="EL139" s="162"/>
      <c r="EM139" s="162"/>
      <c r="EN139" s="162"/>
      <c r="EO139" s="162"/>
      <c r="EP139" s="162"/>
      <c r="EQ139" s="162"/>
    </row>
    <row r="140" spans="2:147" ht="11.25" customHeight="1">
      <c r="B140" s="218"/>
      <c r="C140" s="163"/>
      <c r="D140" s="164" t="s">
        <v>2438</v>
      </c>
      <c r="E140" s="165"/>
      <c r="F140" s="165"/>
      <c r="G140" s="165"/>
      <c r="H140" s="166"/>
      <c r="I140" s="228"/>
      <c r="J140" s="168"/>
      <c r="K140" s="98"/>
      <c r="L140" s="168">
        <f>K143</f>
        <v>0</v>
      </c>
      <c r="M140" s="168">
        <f t="shared" ref="M140:BX140" si="139">L143</f>
        <v>0</v>
      </c>
      <c r="N140" s="168">
        <f t="shared" si="139"/>
        <v>0</v>
      </c>
      <c r="O140" s="168">
        <f t="shared" si="139"/>
        <v>0</v>
      </c>
      <c r="P140" s="168">
        <f t="shared" si="139"/>
        <v>2480000</v>
      </c>
      <c r="Q140" s="168">
        <f t="shared" si="139"/>
        <v>2480000</v>
      </c>
      <c r="R140" s="168">
        <f t="shared" si="139"/>
        <v>2480000</v>
      </c>
      <c r="S140" s="168">
        <f t="shared" si="139"/>
        <v>0</v>
      </c>
      <c r="T140" s="168">
        <f t="shared" si="139"/>
        <v>0</v>
      </c>
      <c r="U140" s="168">
        <f t="shared" si="139"/>
        <v>0</v>
      </c>
      <c r="V140" s="168">
        <f t="shared" si="139"/>
        <v>0</v>
      </c>
      <c r="W140" s="168">
        <f t="shared" si="139"/>
        <v>0</v>
      </c>
      <c r="X140" s="168">
        <f t="shared" si="139"/>
        <v>0</v>
      </c>
      <c r="Y140" s="168">
        <f t="shared" si="139"/>
        <v>0</v>
      </c>
      <c r="Z140" s="168">
        <f t="shared" si="139"/>
        <v>0</v>
      </c>
      <c r="AA140" s="168">
        <f t="shared" si="139"/>
        <v>0</v>
      </c>
      <c r="AB140" s="168">
        <f t="shared" si="139"/>
        <v>0</v>
      </c>
      <c r="AC140" s="168">
        <f t="shared" si="139"/>
        <v>0</v>
      </c>
      <c r="AD140" s="168">
        <f t="shared" si="139"/>
        <v>0</v>
      </c>
      <c r="AE140" s="168">
        <f t="shared" si="139"/>
        <v>0</v>
      </c>
      <c r="AF140" s="168">
        <f t="shared" si="139"/>
        <v>0</v>
      </c>
      <c r="AG140" s="168">
        <f t="shared" si="139"/>
        <v>0</v>
      </c>
      <c r="AH140" s="168">
        <f t="shared" si="139"/>
        <v>0</v>
      </c>
      <c r="AI140" s="168">
        <f t="shared" si="139"/>
        <v>0</v>
      </c>
      <c r="AJ140" s="168">
        <f t="shared" si="139"/>
        <v>0</v>
      </c>
      <c r="AK140" s="168">
        <f t="shared" si="139"/>
        <v>0</v>
      </c>
      <c r="AL140" s="168">
        <f t="shared" si="139"/>
        <v>0</v>
      </c>
      <c r="AM140" s="168">
        <f t="shared" si="139"/>
        <v>0</v>
      </c>
      <c r="AN140" s="168">
        <f t="shared" si="139"/>
        <v>0</v>
      </c>
      <c r="AO140" s="168">
        <f t="shared" si="139"/>
        <v>0</v>
      </c>
      <c r="AP140" s="168">
        <f t="shared" si="139"/>
        <v>0</v>
      </c>
      <c r="AQ140" s="168">
        <f t="shared" si="139"/>
        <v>0</v>
      </c>
      <c r="AR140" s="168">
        <f t="shared" si="139"/>
        <v>0</v>
      </c>
      <c r="AS140" s="168">
        <f t="shared" si="139"/>
        <v>0</v>
      </c>
      <c r="AT140" s="168">
        <f t="shared" si="139"/>
        <v>0</v>
      </c>
      <c r="AU140" s="168">
        <f t="shared" si="139"/>
        <v>0</v>
      </c>
      <c r="AV140" s="168">
        <f t="shared" si="139"/>
        <v>0</v>
      </c>
      <c r="AW140" s="168">
        <f t="shared" si="139"/>
        <v>0</v>
      </c>
      <c r="AX140" s="168">
        <f t="shared" si="139"/>
        <v>0</v>
      </c>
      <c r="AY140" s="168">
        <f t="shared" si="139"/>
        <v>0</v>
      </c>
      <c r="AZ140" s="168">
        <f t="shared" si="139"/>
        <v>0</v>
      </c>
      <c r="BA140" s="168">
        <f t="shared" si="139"/>
        <v>0</v>
      </c>
      <c r="BB140" s="168">
        <f t="shared" si="139"/>
        <v>0</v>
      </c>
      <c r="BC140" s="168">
        <f t="shared" si="139"/>
        <v>0</v>
      </c>
      <c r="BD140" s="168">
        <f t="shared" si="139"/>
        <v>0</v>
      </c>
      <c r="BE140" s="168">
        <f t="shared" si="139"/>
        <v>0</v>
      </c>
      <c r="BF140" s="168">
        <f t="shared" si="139"/>
        <v>0</v>
      </c>
      <c r="BG140" s="168">
        <f t="shared" si="139"/>
        <v>0</v>
      </c>
      <c r="BH140" s="168">
        <f t="shared" si="139"/>
        <v>0</v>
      </c>
      <c r="BI140" s="168">
        <f t="shared" si="139"/>
        <v>0</v>
      </c>
      <c r="BJ140" s="168">
        <f t="shared" si="139"/>
        <v>0</v>
      </c>
      <c r="BK140" s="168">
        <f t="shared" si="139"/>
        <v>0</v>
      </c>
      <c r="BL140" s="168">
        <f t="shared" si="139"/>
        <v>0</v>
      </c>
      <c r="BM140" s="168">
        <f t="shared" si="139"/>
        <v>0</v>
      </c>
      <c r="BN140" s="168">
        <f t="shared" si="139"/>
        <v>0</v>
      </c>
      <c r="BO140" s="168">
        <f t="shared" si="139"/>
        <v>0</v>
      </c>
      <c r="BP140" s="168">
        <f t="shared" si="139"/>
        <v>0</v>
      </c>
      <c r="BQ140" s="168">
        <f t="shared" si="139"/>
        <v>0</v>
      </c>
      <c r="BR140" s="168">
        <f t="shared" si="139"/>
        <v>0</v>
      </c>
      <c r="BS140" s="168">
        <f t="shared" si="139"/>
        <v>0</v>
      </c>
      <c r="BT140" s="168">
        <f t="shared" si="139"/>
        <v>0</v>
      </c>
      <c r="BU140" s="168">
        <f t="shared" si="139"/>
        <v>0</v>
      </c>
      <c r="BV140" s="168">
        <f t="shared" si="139"/>
        <v>0</v>
      </c>
      <c r="BW140" s="168">
        <f t="shared" si="139"/>
        <v>0</v>
      </c>
      <c r="BX140" s="168">
        <f t="shared" si="139"/>
        <v>0</v>
      </c>
      <c r="BY140" s="168">
        <f t="shared" ref="BY140:EJ140" si="140">BX143</f>
        <v>0</v>
      </c>
      <c r="BZ140" s="168">
        <f t="shared" si="140"/>
        <v>0</v>
      </c>
      <c r="CA140" s="168">
        <f t="shared" si="140"/>
        <v>0</v>
      </c>
      <c r="CB140" s="168">
        <f t="shared" si="140"/>
        <v>0</v>
      </c>
      <c r="CC140" s="168">
        <f t="shared" si="140"/>
        <v>0</v>
      </c>
      <c r="CD140" s="168">
        <f t="shared" si="140"/>
        <v>0</v>
      </c>
      <c r="CE140" s="168">
        <f t="shared" si="140"/>
        <v>0</v>
      </c>
      <c r="CF140" s="168">
        <f t="shared" si="140"/>
        <v>0</v>
      </c>
      <c r="CG140" s="168">
        <f t="shared" si="140"/>
        <v>0</v>
      </c>
      <c r="CH140" s="168">
        <f t="shared" si="140"/>
        <v>0</v>
      </c>
      <c r="CI140" s="168">
        <f t="shared" si="140"/>
        <v>0</v>
      </c>
      <c r="CJ140" s="168">
        <f t="shared" si="140"/>
        <v>0</v>
      </c>
      <c r="CK140" s="168">
        <f t="shared" si="140"/>
        <v>0</v>
      </c>
      <c r="CL140" s="168">
        <f t="shared" si="140"/>
        <v>0</v>
      </c>
      <c r="CM140" s="168">
        <f t="shared" si="140"/>
        <v>0</v>
      </c>
      <c r="CN140" s="168">
        <f t="shared" si="140"/>
        <v>0</v>
      </c>
      <c r="CO140" s="168">
        <f t="shared" si="140"/>
        <v>0</v>
      </c>
      <c r="CP140" s="168">
        <f t="shared" si="140"/>
        <v>0</v>
      </c>
      <c r="CQ140" s="168">
        <f t="shared" si="140"/>
        <v>0</v>
      </c>
      <c r="CR140" s="168">
        <f t="shared" si="140"/>
        <v>0</v>
      </c>
      <c r="CS140" s="168">
        <f t="shared" si="140"/>
        <v>0</v>
      </c>
      <c r="CT140" s="168">
        <f t="shared" si="140"/>
        <v>0</v>
      </c>
      <c r="CU140" s="168">
        <f t="shared" si="140"/>
        <v>0</v>
      </c>
      <c r="CV140" s="168">
        <f t="shared" si="140"/>
        <v>0</v>
      </c>
      <c r="CW140" s="168">
        <f t="shared" si="140"/>
        <v>0</v>
      </c>
      <c r="CX140" s="168">
        <f t="shared" si="140"/>
        <v>0</v>
      </c>
      <c r="CY140" s="168">
        <f t="shared" si="140"/>
        <v>0</v>
      </c>
      <c r="CZ140" s="168">
        <f t="shared" si="140"/>
        <v>0</v>
      </c>
      <c r="DA140" s="168">
        <f t="shared" si="140"/>
        <v>0</v>
      </c>
      <c r="DB140" s="168">
        <f t="shared" si="140"/>
        <v>0</v>
      </c>
      <c r="DC140" s="168">
        <f t="shared" si="140"/>
        <v>0</v>
      </c>
      <c r="DD140" s="168">
        <f t="shared" si="140"/>
        <v>0</v>
      </c>
      <c r="DE140" s="168">
        <f t="shared" si="140"/>
        <v>0</v>
      </c>
      <c r="DF140" s="168">
        <f t="shared" si="140"/>
        <v>0</v>
      </c>
      <c r="DG140" s="168">
        <f t="shared" si="140"/>
        <v>0</v>
      </c>
      <c r="DH140" s="168">
        <f t="shared" si="140"/>
        <v>0</v>
      </c>
      <c r="DI140" s="168">
        <f t="shared" si="140"/>
        <v>0</v>
      </c>
      <c r="DJ140" s="168">
        <f t="shared" si="140"/>
        <v>0</v>
      </c>
      <c r="DK140" s="168">
        <f t="shared" si="140"/>
        <v>0</v>
      </c>
      <c r="DL140" s="168">
        <f t="shared" si="140"/>
        <v>0</v>
      </c>
      <c r="DM140" s="168">
        <f t="shared" si="140"/>
        <v>0</v>
      </c>
      <c r="DN140" s="168">
        <f t="shared" si="140"/>
        <v>0</v>
      </c>
      <c r="DO140" s="168">
        <f t="shared" si="140"/>
        <v>0</v>
      </c>
      <c r="DP140" s="168">
        <f t="shared" si="140"/>
        <v>0</v>
      </c>
      <c r="DQ140" s="168">
        <f t="shared" si="140"/>
        <v>0</v>
      </c>
      <c r="DR140" s="168">
        <f t="shared" si="140"/>
        <v>0</v>
      </c>
      <c r="DS140" s="168">
        <f t="shared" si="140"/>
        <v>0</v>
      </c>
      <c r="DT140" s="168">
        <f t="shared" si="140"/>
        <v>0</v>
      </c>
      <c r="DU140" s="168">
        <f t="shared" si="140"/>
        <v>0</v>
      </c>
      <c r="DV140" s="168">
        <f t="shared" si="140"/>
        <v>0</v>
      </c>
      <c r="DW140" s="168">
        <f t="shared" si="140"/>
        <v>0</v>
      </c>
      <c r="DX140" s="168">
        <f t="shared" si="140"/>
        <v>0</v>
      </c>
      <c r="DY140" s="168">
        <f t="shared" si="140"/>
        <v>0</v>
      </c>
      <c r="DZ140" s="168">
        <f t="shared" si="140"/>
        <v>0</v>
      </c>
      <c r="EA140" s="168">
        <f t="shared" si="140"/>
        <v>0</v>
      </c>
      <c r="EB140" s="168">
        <f t="shared" si="140"/>
        <v>0</v>
      </c>
      <c r="EC140" s="168">
        <f t="shared" si="140"/>
        <v>0</v>
      </c>
      <c r="ED140" s="168">
        <f t="shared" si="140"/>
        <v>0</v>
      </c>
      <c r="EE140" s="168">
        <f t="shared" si="140"/>
        <v>0</v>
      </c>
      <c r="EF140" s="168">
        <f t="shared" si="140"/>
        <v>0</v>
      </c>
      <c r="EG140" s="168">
        <f t="shared" si="140"/>
        <v>0</v>
      </c>
      <c r="EH140" s="168">
        <f t="shared" si="140"/>
        <v>0</v>
      </c>
      <c r="EI140" s="168">
        <f t="shared" si="140"/>
        <v>0</v>
      </c>
      <c r="EJ140" s="168">
        <f t="shared" si="140"/>
        <v>0</v>
      </c>
      <c r="EK140" s="168">
        <f t="shared" ref="EK140:EQ140" si="141">EJ143</f>
        <v>0</v>
      </c>
      <c r="EL140" s="168">
        <f t="shared" si="141"/>
        <v>0</v>
      </c>
      <c r="EM140" s="168">
        <f t="shared" si="141"/>
        <v>0</v>
      </c>
      <c r="EN140" s="168">
        <f t="shared" si="141"/>
        <v>0</v>
      </c>
      <c r="EO140" s="168">
        <f t="shared" si="141"/>
        <v>0</v>
      </c>
      <c r="EP140" s="168">
        <f t="shared" si="141"/>
        <v>0</v>
      </c>
      <c r="EQ140" s="168">
        <f t="shared" si="141"/>
        <v>0</v>
      </c>
    </row>
    <row r="141" spans="2:147" ht="11.25" customHeight="1">
      <c r="B141" s="218"/>
      <c r="C141" s="163"/>
      <c r="D141" s="169" t="s">
        <v>218</v>
      </c>
      <c r="G141" s="13"/>
      <c r="H141" s="90"/>
      <c r="I141" s="229"/>
      <c r="J141" s="171">
        <f t="shared" ref="J141:J142" si="142">SUM(L141:EQ141)</f>
        <v>2480000</v>
      </c>
      <c r="K141" s="98"/>
      <c r="L141" s="171">
        <f>(L137&lt;1.2)*(-L41)+(L138&lt;1.2)*(-L44)</f>
        <v>0</v>
      </c>
      <c r="M141" s="171">
        <f t="shared" ref="M141:BX141" si="143">(M137&lt;1.2)*(-M41)+(M138&lt;1.2)*(-M44)</f>
        <v>0</v>
      </c>
      <c r="N141" s="171">
        <f t="shared" si="143"/>
        <v>0</v>
      </c>
      <c r="O141" s="171">
        <f t="shared" si="143"/>
        <v>2480000</v>
      </c>
      <c r="P141" s="171">
        <f t="shared" si="143"/>
        <v>0</v>
      </c>
      <c r="Q141" s="171">
        <f t="shared" si="143"/>
        <v>0</v>
      </c>
      <c r="R141" s="171">
        <f t="shared" si="143"/>
        <v>0</v>
      </c>
      <c r="S141" s="171">
        <f t="shared" si="143"/>
        <v>0</v>
      </c>
      <c r="T141" s="171">
        <f t="shared" si="143"/>
        <v>0</v>
      </c>
      <c r="U141" s="171">
        <f t="shared" si="143"/>
        <v>0</v>
      </c>
      <c r="V141" s="171">
        <f t="shared" si="143"/>
        <v>0</v>
      </c>
      <c r="W141" s="171">
        <f t="shared" si="143"/>
        <v>0</v>
      </c>
      <c r="X141" s="171">
        <f t="shared" si="143"/>
        <v>0</v>
      </c>
      <c r="Y141" s="171">
        <f t="shared" si="143"/>
        <v>0</v>
      </c>
      <c r="Z141" s="171">
        <f t="shared" si="143"/>
        <v>0</v>
      </c>
      <c r="AA141" s="171">
        <f t="shared" si="143"/>
        <v>0</v>
      </c>
      <c r="AB141" s="171">
        <f t="shared" si="143"/>
        <v>0</v>
      </c>
      <c r="AC141" s="171">
        <f t="shared" si="143"/>
        <v>0</v>
      </c>
      <c r="AD141" s="171">
        <f t="shared" si="143"/>
        <v>0</v>
      </c>
      <c r="AE141" s="171">
        <f t="shared" si="143"/>
        <v>0</v>
      </c>
      <c r="AF141" s="171">
        <f t="shared" si="143"/>
        <v>0</v>
      </c>
      <c r="AG141" s="171">
        <f t="shared" si="143"/>
        <v>0</v>
      </c>
      <c r="AH141" s="171">
        <f t="shared" si="143"/>
        <v>0</v>
      </c>
      <c r="AI141" s="171">
        <f t="shared" si="143"/>
        <v>0</v>
      </c>
      <c r="AJ141" s="171">
        <f t="shared" si="143"/>
        <v>0</v>
      </c>
      <c r="AK141" s="171">
        <f t="shared" si="143"/>
        <v>0</v>
      </c>
      <c r="AL141" s="171">
        <f t="shared" si="143"/>
        <v>0</v>
      </c>
      <c r="AM141" s="171">
        <f t="shared" si="143"/>
        <v>0</v>
      </c>
      <c r="AN141" s="171">
        <f t="shared" si="143"/>
        <v>0</v>
      </c>
      <c r="AO141" s="171">
        <f t="shared" si="143"/>
        <v>0</v>
      </c>
      <c r="AP141" s="171">
        <f t="shared" si="143"/>
        <v>0</v>
      </c>
      <c r="AQ141" s="171">
        <f t="shared" si="143"/>
        <v>0</v>
      </c>
      <c r="AR141" s="171">
        <f t="shared" si="143"/>
        <v>0</v>
      </c>
      <c r="AS141" s="171">
        <f t="shared" si="143"/>
        <v>0</v>
      </c>
      <c r="AT141" s="171">
        <f t="shared" si="143"/>
        <v>0</v>
      </c>
      <c r="AU141" s="171">
        <f t="shared" si="143"/>
        <v>0</v>
      </c>
      <c r="AV141" s="171">
        <f t="shared" si="143"/>
        <v>0</v>
      </c>
      <c r="AW141" s="171">
        <f t="shared" si="143"/>
        <v>0</v>
      </c>
      <c r="AX141" s="171">
        <f t="shared" si="143"/>
        <v>0</v>
      </c>
      <c r="AY141" s="171">
        <f t="shared" si="143"/>
        <v>0</v>
      </c>
      <c r="AZ141" s="171">
        <f t="shared" si="143"/>
        <v>0</v>
      </c>
      <c r="BA141" s="171">
        <f t="shared" si="143"/>
        <v>0</v>
      </c>
      <c r="BB141" s="171">
        <f t="shared" si="143"/>
        <v>0</v>
      </c>
      <c r="BC141" s="171">
        <f t="shared" si="143"/>
        <v>0</v>
      </c>
      <c r="BD141" s="171">
        <f t="shared" si="143"/>
        <v>0</v>
      </c>
      <c r="BE141" s="171">
        <f t="shared" si="143"/>
        <v>0</v>
      </c>
      <c r="BF141" s="171">
        <f t="shared" si="143"/>
        <v>0</v>
      </c>
      <c r="BG141" s="171">
        <f t="shared" si="143"/>
        <v>0</v>
      </c>
      <c r="BH141" s="171">
        <f t="shared" si="143"/>
        <v>0</v>
      </c>
      <c r="BI141" s="171">
        <f t="shared" si="143"/>
        <v>0</v>
      </c>
      <c r="BJ141" s="171">
        <f t="shared" si="143"/>
        <v>0</v>
      </c>
      <c r="BK141" s="171">
        <f t="shared" si="143"/>
        <v>0</v>
      </c>
      <c r="BL141" s="171">
        <f t="shared" si="143"/>
        <v>0</v>
      </c>
      <c r="BM141" s="171">
        <f t="shared" si="143"/>
        <v>0</v>
      </c>
      <c r="BN141" s="171">
        <f t="shared" si="143"/>
        <v>0</v>
      </c>
      <c r="BO141" s="171">
        <f t="shared" si="143"/>
        <v>0</v>
      </c>
      <c r="BP141" s="171">
        <f t="shared" si="143"/>
        <v>0</v>
      </c>
      <c r="BQ141" s="171">
        <f t="shared" si="143"/>
        <v>0</v>
      </c>
      <c r="BR141" s="171">
        <f t="shared" si="143"/>
        <v>0</v>
      </c>
      <c r="BS141" s="171">
        <f t="shared" si="143"/>
        <v>0</v>
      </c>
      <c r="BT141" s="171">
        <f t="shared" si="143"/>
        <v>0</v>
      </c>
      <c r="BU141" s="171">
        <f t="shared" si="143"/>
        <v>0</v>
      </c>
      <c r="BV141" s="171">
        <f t="shared" si="143"/>
        <v>0</v>
      </c>
      <c r="BW141" s="171">
        <f t="shared" si="143"/>
        <v>0</v>
      </c>
      <c r="BX141" s="171">
        <f t="shared" si="143"/>
        <v>0</v>
      </c>
      <c r="BY141" s="171">
        <f t="shared" ref="BY141:EJ141" si="144">(BY137&lt;1.2)*(-BY41)+(BY138&lt;1.2)*(-BY44)</f>
        <v>0</v>
      </c>
      <c r="BZ141" s="171">
        <f t="shared" si="144"/>
        <v>0</v>
      </c>
      <c r="CA141" s="171">
        <f t="shared" si="144"/>
        <v>0</v>
      </c>
      <c r="CB141" s="171">
        <f t="shared" si="144"/>
        <v>0</v>
      </c>
      <c r="CC141" s="171">
        <f t="shared" si="144"/>
        <v>0</v>
      </c>
      <c r="CD141" s="171">
        <f t="shared" si="144"/>
        <v>0</v>
      </c>
      <c r="CE141" s="171">
        <f t="shared" si="144"/>
        <v>0</v>
      </c>
      <c r="CF141" s="171">
        <f t="shared" si="144"/>
        <v>0</v>
      </c>
      <c r="CG141" s="171">
        <f t="shared" si="144"/>
        <v>0</v>
      </c>
      <c r="CH141" s="171">
        <f t="shared" si="144"/>
        <v>0</v>
      </c>
      <c r="CI141" s="171">
        <f t="shared" si="144"/>
        <v>0</v>
      </c>
      <c r="CJ141" s="171">
        <f t="shared" si="144"/>
        <v>0</v>
      </c>
      <c r="CK141" s="171">
        <f t="shared" si="144"/>
        <v>0</v>
      </c>
      <c r="CL141" s="171">
        <f t="shared" si="144"/>
        <v>0</v>
      </c>
      <c r="CM141" s="171">
        <f t="shared" si="144"/>
        <v>0</v>
      </c>
      <c r="CN141" s="171">
        <f t="shared" si="144"/>
        <v>0</v>
      </c>
      <c r="CO141" s="171">
        <f t="shared" si="144"/>
        <v>0</v>
      </c>
      <c r="CP141" s="171">
        <f t="shared" si="144"/>
        <v>0</v>
      </c>
      <c r="CQ141" s="171">
        <f t="shared" si="144"/>
        <v>0</v>
      </c>
      <c r="CR141" s="171">
        <f t="shared" si="144"/>
        <v>0</v>
      </c>
      <c r="CS141" s="171">
        <f t="shared" si="144"/>
        <v>0</v>
      </c>
      <c r="CT141" s="171">
        <f t="shared" si="144"/>
        <v>0</v>
      </c>
      <c r="CU141" s="171">
        <f t="shared" si="144"/>
        <v>0</v>
      </c>
      <c r="CV141" s="171">
        <f t="shared" si="144"/>
        <v>0</v>
      </c>
      <c r="CW141" s="171">
        <f t="shared" si="144"/>
        <v>0</v>
      </c>
      <c r="CX141" s="171">
        <f t="shared" si="144"/>
        <v>0</v>
      </c>
      <c r="CY141" s="171">
        <f t="shared" si="144"/>
        <v>0</v>
      </c>
      <c r="CZ141" s="171">
        <f t="shared" si="144"/>
        <v>0</v>
      </c>
      <c r="DA141" s="171">
        <f t="shared" si="144"/>
        <v>0</v>
      </c>
      <c r="DB141" s="171">
        <f t="shared" si="144"/>
        <v>0</v>
      </c>
      <c r="DC141" s="171">
        <f t="shared" si="144"/>
        <v>0</v>
      </c>
      <c r="DD141" s="171">
        <f t="shared" si="144"/>
        <v>0</v>
      </c>
      <c r="DE141" s="171">
        <f t="shared" si="144"/>
        <v>0</v>
      </c>
      <c r="DF141" s="171">
        <f t="shared" si="144"/>
        <v>0</v>
      </c>
      <c r="DG141" s="171">
        <f t="shared" si="144"/>
        <v>0</v>
      </c>
      <c r="DH141" s="171">
        <f t="shared" si="144"/>
        <v>0</v>
      </c>
      <c r="DI141" s="171">
        <f t="shared" si="144"/>
        <v>0</v>
      </c>
      <c r="DJ141" s="171">
        <f t="shared" si="144"/>
        <v>0</v>
      </c>
      <c r="DK141" s="171">
        <f t="shared" si="144"/>
        <v>0</v>
      </c>
      <c r="DL141" s="171">
        <f t="shared" si="144"/>
        <v>0</v>
      </c>
      <c r="DM141" s="171">
        <f t="shared" si="144"/>
        <v>0</v>
      </c>
      <c r="DN141" s="171">
        <f t="shared" si="144"/>
        <v>0</v>
      </c>
      <c r="DO141" s="171">
        <f t="shared" si="144"/>
        <v>0</v>
      </c>
      <c r="DP141" s="171">
        <f t="shared" si="144"/>
        <v>0</v>
      </c>
      <c r="DQ141" s="171">
        <f t="shared" si="144"/>
        <v>0</v>
      </c>
      <c r="DR141" s="171">
        <f t="shared" si="144"/>
        <v>0</v>
      </c>
      <c r="DS141" s="171">
        <f t="shared" si="144"/>
        <v>0</v>
      </c>
      <c r="DT141" s="171">
        <f t="shared" si="144"/>
        <v>0</v>
      </c>
      <c r="DU141" s="171">
        <f t="shared" si="144"/>
        <v>0</v>
      </c>
      <c r="DV141" s="171">
        <f t="shared" si="144"/>
        <v>0</v>
      </c>
      <c r="DW141" s="171">
        <f t="shared" si="144"/>
        <v>0</v>
      </c>
      <c r="DX141" s="171">
        <f t="shared" si="144"/>
        <v>0</v>
      </c>
      <c r="DY141" s="171">
        <f t="shared" si="144"/>
        <v>0</v>
      </c>
      <c r="DZ141" s="171">
        <f t="shared" si="144"/>
        <v>0</v>
      </c>
      <c r="EA141" s="171">
        <f t="shared" si="144"/>
        <v>0</v>
      </c>
      <c r="EB141" s="171">
        <f t="shared" si="144"/>
        <v>0</v>
      </c>
      <c r="EC141" s="171">
        <f t="shared" si="144"/>
        <v>0</v>
      </c>
      <c r="ED141" s="171">
        <f t="shared" si="144"/>
        <v>0</v>
      </c>
      <c r="EE141" s="171">
        <f t="shared" si="144"/>
        <v>0</v>
      </c>
      <c r="EF141" s="171">
        <f t="shared" si="144"/>
        <v>0</v>
      </c>
      <c r="EG141" s="171">
        <f t="shared" si="144"/>
        <v>0</v>
      </c>
      <c r="EH141" s="171">
        <f t="shared" si="144"/>
        <v>0</v>
      </c>
      <c r="EI141" s="171">
        <f t="shared" si="144"/>
        <v>0</v>
      </c>
      <c r="EJ141" s="171">
        <f t="shared" si="144"/>
        <v>0</v>
      </c>
      <c r="EK141" s="171">
        <f t="shared" ref="EK141:EQ141" si="145">(EK137&lt;1.2)*(-EK41)+(EK138&lt;1.2)*(-EK44)</f>
        <v>0</v>
      </c>
      <c r="EL141" s="171">
        <f t="shared" si="145"/>
        <v>0</v>
      </c>
      <c r="EM141" s="171">
        <f t="shared" si="145"/>
        <v>0</v>
      </c>
      <c r="EN141" s="171">
        <f t="shared" si="145"/>
        <v>0</v>
      </c>
      <c r="EO141" s="171">
        <f t="shared" si="145"/>
        <v>0</v>
      </c>
      <c r="EP141" s="171">
        <f t="shared" si="145"/>
        <v>0</v>
      </c>
      <c r="EQ141" s="171">
        <f t="shared" si="145"/>
        <v>0</v>
      </c>
    </row>
    <row r="142" spans="2:147" ht="11.25" customHeight="1">
      <c r="B142" s="218"/>
      <c r="C142" s="163"/>
      <c r="D142" s="169" t="s">
        <v>219</v>
      </c>
      <c r="H142" s="90"/>
      <c r="I142" s="229"/>
      <c r="J142" s="171">
        <f t="shared" si="142"/>
        <v>2480000</v>
      </c>
      <c r="K142" s="98"/>
      <c r="L142" s="171">
        <f>SUM(L140:L141)*(L138&gt;1.2)</f>
        <v>0</v>
      </c>
      <c r="M142" s="171">
        <f t="shared" ref="M142:BX142" si="146">SUM(M140:M141)*(M138&gt;1.2)</f>
        <v>0</v>
      </c>
      <c r="N142" s="171">
        <f t="shared" si="146"/>
        <v>0</v>
      </c>
      <c r="O142" s="171">
        <f t="shared" si="146"/>
        <v>0</v>
      </c>
      <c r="P142" s="171">
        <f t="shared" si="146"/>
        <v>0</v>
      </c>
      <c r="Q142" s="171">
        <f t="shared" si="146"/>
        <v>0</v>
      </c>
      <c r="R142" s="171">
        <f t="shared" si="146"/>
        <v>2480000</v>
      </c>
      <c r="S142" s="171">
        <f t="shared" si="146"/>
        <v>0</v>
      </c>
      <c r="T142" s="171">
        <f t="shared" si="146"/>
        <v>0</v>
      </c>
      <c r="U142" s="171">
        <f t="shared" si="146"/>
        <v>0</v>
      </c>
      <c r="V142" s="171">
        <f t="shared" si="146"/>
        <v>0</v>
      </c>
      <c r="W142" s="171">
        <f t="shared" si="146"/>
        <v>0</v>
      </c>
      <c r="X142" s="171">
        <f t="shared" si="146"/>
        <v>0</v>
      </c>
      <c r="Y142" s="171">
        <f t="shared" si="146"/>
        <v>0</v>
      </c>
      <c r="Z142" s="171">
        <f t="shared" si="146"/>
        <v>0</v>
      </c>
      <c r="AA142" s="171">
        <f t="shared" si="146"/>
        <v>0</v>
      </c>
      <c r="AB142" s="171">
        <f t="shared" si="146"/>
        <v>0</v>
      </c>
      <c r="AC142" s="171">
        <f t="shared" si="146"/>
        <v>0</v>
      </c>
      <c r="AD142" s="171">
        <f t="shared" si="146"/>
        <v>0</v>
      </c>
      <c r="AE142" s="171">
        <f t="shared" si="146"/>
        <v>0</v>
      </c>
      <c r="AF142" s="171">
        <f t="shared" si="146"/>
        <v>0</v>
      </c>
      <c r="AG142" s="171">
        <f t="shared" si="146"/>
        <v>0</v>
      </c>
      <c r="AH142" s="171">
        <f t="shared" si="146"/>
        <v>0</v>
      </c>
      <c r="AI142" s="171">
        <f t="shared" si="146"/>
        <v>0</v>
      </c>
      <c r="AJ142" s="171">
        <f t="shared" si="146"/>
        <v>0</v>
      </c>
      <c r="AK142" s="171">
        <f t="shared" si="146"/>
        <v>0</v>
      </c>
      <c r="AL142" s="171">
        <f t="shared" si="146"/>
        <v>0</v>
      </c>
      <c r="AM142" s="171">
        <f t="shared" si="146"/>
        <v>0</v>
      </c>
      <c r="AN142" s="171">
        <f t="shared" si="146"/>
        <v>0</v>
      </c>
      <c r="AO142" s="171">
        <f t="shared" si="146"/>
        <v>0</v>
      </c>
      <c r="AP142" s="171">
        <f t="shared" si="146"/>
        <v>0</v>
      </c>
      <c r="AQ142" s="171">
        <f t="shared" si="146"/>
        <v>0</v>
      </c>
      <c r="AR142" s="171">
        <f t="shared" si="146"/>
        <v>0</v>
      </c>
      <c r="AS142" s="171">
        <f t="shared" si="146"/>
        <v>0</v>
      </c>
      <c r="AT142" s="171">
        <f t="shared" si="146"/>
        <v>0</v>
      </c>
      <c r="AU142" s="171">
        <f t="shared" si="146"/>
        <v>0</v>
      </c>
      <c r="AV142" s="171">
        <f t="shared" si="146"/>
        <v>0</v>
      </c>
      <c r="AW142" s="171">
        <f t="shared" si="146"/>
        <v>0</v>
      </c>
      <c r="AX142" s="171">
        <f t="shared" si="146"/>
        <v>0</v>
      </c>
      <c r="AY142" s="171">
        <f t="shared" si="146"/>
        <v>0</v>
      </c>
      <c r="AZ142" s="171">
        <f t="shared" si="146"/>
        <v>0</v>
      </c>
      <c r="BA142" s="171">
        <f t="shared" si="146"/>
        <v>0</v>
      </c>
      <c r="BB142" s="171">
        <f t="shared" si="146"/>
        <v>0</v>
      </c>
      <c r="BC142" s="171">
        <f t="shared" si="146"/>
        <v>0</v>
      </c>
      <c r="BD142" s="171">
        <f t="shared" si="146"/>
        <v>0</v>
      </c>
      <c r="BE142" s="171">
        <f t="shared" si="146"/>
        <v>0</v>
      </c>
      <c r="BF142" s="171">
        <f t="shared" si="146"/>
        <v>0</v>
      </c>
      <c r="BG142" s="171">
        <f t="shared" si="146"/>
        <v>0</v>
      </c>
      <c r="BH142" s="171">
        <f t="shared" si="146"/>
        <v>0</v>
      </c>
      <c r="BI142" s="171">
        <f t="shared" si="146"/>
        <v>0</v>
      </c>
      <c r="BJ142" s="171">
        <f t="shared" si="146"/>
        <v>0</v>
      </c>
      <c r="BK142" s="171">
        <f t="shared" si="146"/>
        <v>0</v>
      </c>
      <c r="BL142" s="171">
        <f t="shared" si="146"/>
        <v>0</v>
      </c>
      <c r="BM142" s="171">
        <f t="shared" si="146"/>
        <v>0</v>
      </c>
      <c r="BN142" s="171">
        <f t="shared" si="146"/>
        <v>0</v>
      </c>
      <c r="BO142" s="171">
        <f t="shared" si="146"/>
        <v>0</v>
      </c>
      <c r="BP142" s="171">
        <f t="shared" si="146"/>
        <v>0</v>
      </c>
      <c r="BQ142" s="171">
        <f t="shared" si="146"/>
        <v>0</v>
      </c>
      <c r="BR142" s="171">
        <f t="shared" si="146"/>
        <v>0</v>
      </c>
      <c r="BS142" s="171">
        <f t="shared" si="146"/>
        <v>0</v>
      </c>
      <c r="BT142" s="171">
        <f t="shared" si="146"/>
        <v>0</v>
      </c>
      <c r="BU142" s="171">
        <f t="shared" si="146"/>
        <v>0</v>
      </c>
      <c r="BV142" s="171">
        <f t="shared" si="146"/>
        <v>0</v>
      </c>
      <c r="BW142" s="171">
        <f t="shared" si="146"/>
        <v>0</v>
      </c>
      <c r="BX142" s="171">
        <f t="shared" si="146"/>
        <v>0</v>
      </c>
      <c r="BY142" s="171">
        <f t="shared" ref="BY142:EJ142" si="147">SUM(BY140:BY141)*(BY138&gt;1.2)</f>
        <v>0</v>
      </c>
      <c r="BZ142" s="171">
        <f t="shared" si="147"/>
        <v>0</v>
      </c>
      <c r="CA142" s="171">
        <f t="shared" si="147"/>
        <v>0</v>
      </c>
      <c r="CB142" s="171">
        <f t="shared" si="147"/>
        <v>0</v>
      </c>
      <c r="CC142" s="171">
        <f t="shared" si="147"/>
        <v>0</v>
      </c>
      <c r="CD142" s="171">
        <f t="shared" si="147"/>
        <v>0</v>
      </c>
      <c r="CE142" s="171">
        <f t="shared" si="147"/>
        <v>0</v>
      </c>
      <c r="CF142" s="171">
        <f t="shared" si="147"/>
        <v>0</v>
      </c>
      <c r="CG142" s="171">
        <f t="shared" si="147"/>
        <v>0</v>
      </c>
      <c r="CH142" s="171">
        <f t="shared" si="147"/>
        <v>0</v>
      </c>
      <c r="CI142" s="171">
        <f t="shared" si="147"/>
        <v>0</v>
      </c>
      <c r="CJ142" s="171">
        <f t="shared" si="147"/>
        <v>0</v>
      </c>
      <c r="CK142" s="171">
        <f t="shared" si="147"/>
        <v>0</v>
      </c>
      <c r="CL142" s="171">
        <f t="shared" si="147"/>
        <v>0</v>
      </c>
      <c r="CM142" s="171">
        <f t="shared" si="147"/>
        <v>0</v>
      </c>
      <c r="CN142" s="171">
        <f t="shared" si="147"/>
        <v>0</v>
      </c>
      <c r="CO142" s="171">
        <f t="shared" si="147"/>
        <v>0</v>
      </c>
      <c r="CP142" s="171">
        <f t="shared" si="147"/>
        <v>0</v>
      </c>
      <c r="CQ142" s="171">
        <f t="shared" si="147"/>
        <v>0</v>
      </c>
      <c r="CR142" s="171">
        <f t="shared" si="147"/>
        <v>0</v>
      </c>
      <c r="CS142" s="171">
        <f t="shared" si="147"/>
        <v>0</v>
      </c>
      <c r="CT142" s="171">
        <f t="shared" si="147"/>
        <v>0</v>
      </c>
      <c r="CU142" s="171">
        <f t="shared" si="147"/>
        <v>0</v>
      </c>
      <c r="CV142" s="171">
        <f t="shared" si="147"/>
        <v>0</v>
      </c>
      <c r="CW142" s="171">
        <f t="shared" si="147"/>
        <v>0</v>
      </c>
      <c r="CX142" s="171">
        <f t="shared" si="147"/>
        <v>0</v>
      </c>
      <c r="CY142" s="171">
        <f t="shared" si="147"/>
        <v>0</v>
      </c>
      <c r="CZ142" s="171">
        <f t="shared" si="147"/>
        <v>0</v>
      </c>
      <c r="DA142" s="171">
        <f t="shared" si="147"/>
        <v>0</v>
      </c>
      <c r="DB142" s="171">
        <f t="shared" si="147"/>
        <v>0</v>
      </c>
      <c r="DC142" s="171">
        <f t="shared" si="147"/>
        <v>0</v>
      </c>
      <c r="DD142" s="171">
        <f t="shared" si="147"/>
        <v>0</v>
      </c>
      <c r="DE142" s="171">
        <f t="shared" si="147"/>
        <v>0</v>
      </c>
      <c r="DF142" s="171">
        <f t="shared" si="147"/>
        <v>0</v>
      </c>
      <c r="DG142" s="171">
        <f t="shared" si="147"/>
        <v>0</v>
      </c>
      <c r="DH142" s="171">
        <f t="shared" si="147"/>
        <v>0</v>
      </c>
      <c r="DI142" s="171">
        <f t="shared" si="147"/>
        <v>0</v>
      </c>
      <c r="DJ142" s="171">
        <f t="shared" si="147"/>
        <v>0</v>
      </c>
      <c r="DK142" s="171">
        <f t="shared" si="147"/>
        <v>0</v>
      </c>
      <c r="DL142" s="171">
        <f t="shared" si="147"/>
        <v>0</v>
      </c>
      <c r="DM142" s="171">
        <f t="shared" si="147"/>
        <v>0</v>
      </c>
      <c r="DN142" s="171">
        <f t="shared" si="147"/>
        <v>0</v>
      </c>
      <c r="DO142" s="171">
        <f t="shared" si="147"/>
        <v>0</v>
      </c>
      <c r="DP142" s="171">
        <f t="shared" si="147"/>
        <v>0</v>
      </c>
      <c r="DQ142" s="171">
        <f t="shared" si="147"/>
        <v>0</v>
      </c>
      <c r="DR142" s="171">
        <f t="shared" si="147"/>
        <v>0</v>
      </c>
      <c r="DS142" s="171">
        <f t="shared" si="147"/>
        <v>0</v>
      </c>
      <c r="DT142" s="171">
        <f t="shared" si="147"/>
        <v>0</v>
      </c>
      <c r="DU142" s="171">
        <f t="shared" si="147"/>
        <v>0</v>
      </c>
      <c r="DV142" s="171">
        <f t="shared" si="147"/>
        <v>0</v>
      </c>
      <c r="DW142" s="171">
        <f t="shared" si="147"/>
        <v>0</v>
      </c>
      <c r="DX142" s="171">
        <f t="shared" si="147"/>
        <v>0</v>
      </c>
      <c r="DY142" s="171">
        <f t="shared" si="147"/>
        <v>0</v>
      </c>
      <c r="DZ142" s="171">
        <f t="shared" si="147"/>
        <v>0</v>
      </c>
      <c r="EA142" s="171">
        <f t="shared" si="147"/>
        <v>0</v>
      </c>
      <c r="EB142" s="171">
        <f t="shared" si="147"/>
        <v>0</v>
      </c>
      <c r="EC142" s="171">
        <f t="shared" si="147"/>
        <v>0</v>
      </c>
      <c r="ED142" s="171">
        <f t="shared" si="147"/>
        <v>0</v>
      </c>
      <c r="EE142" s="171">
        <f t="shared" si="147"/>
        <v>0</v>
      </c>
      <c r="EF142" s="171">
        <f t="shared" si="147"/>
        <v>0</v>
      </c>
      <c r="EG142" s="171">
        <f t="shared" si="147"/>
        <v>0</v>
      </c>
      <c r="EH142" s="171">
        <f t="shared" si="147"/>
        <v>0</v>
      </c>
      <c r="EI142" s="171">
        <f t="shared" si="147"/>
        <v>0</v>
      </c>
      <c r="EJ142" s="171">
        <f t="shared" si="147"/>
        <v>0</v>
      </c>
      <c r="EK142" s="171">
        <f t="shared" ref="EK142:EQ142" si="148">SUM(EK140:EK141)*(EK138&gt;1.2)</f>
        <v>0</v>
      </c>
      <c r="EL142" s="171">
        <f t="shared" si="148"/>
        <v>0</v>
      </c>
      <c r="EM142" s="171">
        <f t="shared" si="148"/>
        <v>0</v>
      </c>
      <c r="EN142" s="171">
        <f t="shared" si="148"/>
        <v>0</v>
      </c>
      <c r="EO142" s="171">
        <f t="shared" si="148"/>
        <v>0</v>
      </c>
      <c r="EP142" s="171">
        <f t="shared" si="148"/>
        <v>0</v>
      </c>
      <c r="EQ142" s="171">
        <f t="shared" si="148"/>
        <v>0</v>
      </c>
    </row>
    <row r="143" spans="2:147" ht="11.25" customHeight="1">
      <c r="B143" s="244"/>
      <c r="C143" s="178"/>
      <c r="D143" s="179" t="s">
        <v>220</v>
      </c>
      <c r="E143" s="180"/>
      <c r="F143" s="180"/>
      <c r="G143" s="1095"/>
      <c r="H143" s="181"/>
      <c r="I143" s="1096"/>
      <c r="J143" s="184"/>
      <c r="K143" s="98"/>
      <c r="L143" s="184">
        <f>L140+L141-L142</f>
        <v>0</v>
      </c>
      <c r="M143" s="184">
        <f t="shared" ref="M143:BX143" si="149">M140+M141-M142</f>
        <v>0</v>
      </c>
      <c r="N143" s="184">
        <f t="shared" si="149"/>
        <v>0</v>
      </c>
      <c r="O143" s="184">
        <f t="shared" si="149"/>
        <v>2480000</v>
      </c>
      <c r="P143" s="184">
        <f t="shared" si="149"/>
        <v>2480000</v>
      </c>
      <c r="Q143" s="184">
        <f t="shared" si="149"/>
        <v>2480000</v>
      </c>
      <c r="R143" s="184">
        <f t="shared" si="149"/>
        <v>0</v>
      </c>
      <c r="S143" s="184">
        <f t="shared" si="149"/>
        <v>0</v>
      </c>
      <c r="T143" s="184">
        <f t="shared" si="149"/>
        <v>0</v>
      </c>
      <c r="U143" s="184">
        <f t="shared" si="149"/>
        <v>0</v>
      </c>
      <c r="V143" s="184">
        <f t="shared" si="149"/>
        <v>0</v>
      </c>
      <c r="W143" s="184">
        <f t="shared" si="149"/>
        <v>0</v>
      </c>
      <c r="X143" s="184">
        <f t="shared" si="149"/>
        <v>0</v>
      </c>
      <c r="Y143" s="184">
        <f t="shared" si="149"/>
        <v>0</v>
      </c>
      <c r="Z143" s="184">
        <f t="shared" si="149"/>
        <v>0</v>
      </c>
      <c r="AA143" s="184">
        <f t="shared" si="149"/>
        <v>0</v>
      </c>
      <c r="AB143" s="184">
        <f t="shared" si="149"/>
        <v>0</v>
      </c>
      <c r="AC143" s="184">
        <f t="shared" si="149"/>
        <v>0</v>
      </c>
      <c r="AD143" s="184">
        <f t="shared" si="149"/>
        <v>0</v>
      </c>
      <c r="AE143" s="184">
        <f t="shared" si="149"/>
        <v>0</v>
      </c>
      <c r="AF143" s="184">
        <f t="shared" si="149"/>
        <v>0</v>
      </c>
      <c r="AG143" s="184">
        <f t="shared" si="149"/>
        <v>0</v>
      </c>
      <c r="AH143" s="184">
        <f t="shared" si="149"/>
        <v>0</v>
      </c>
      <c r="AI143" s="184">
        <f t="shared" si="149"/>
        <v>0</v>
      </c>
      <c r="AJ143" s="184">
        <f t="shared" si="149"/>
        <v>0</v>
      </c>
      <c r="AK143" s="184">
        <f t="shared" si="149"/>
        <v>0</v>
      </c>
      <c r="AL143" s="184">
        <f t="shared" si="149"/>
        <v>0</v>
      </c>
      <c r="AM143" s="184">
        <f t="shared" si="149"/>
        <v>0</v>
      </c>
      <c r="AN143" s="184">
        <f t="shared" si="149"/>
        <v>0</v>
      </c>
      <c r="AO143" s="184">
        <f t="shared" si="149"/>
        <v>0</v>
      </c>
      <c r="AP143" s="184">
        <f t="shared" si="149"/>
        <v>0</v>
      </c>
      <c r="AQ143" s="184">
        <f t="shared" si="149"/>
        <v>0</v>
      </c>
      <c r="AR143" s="184">
        <f t="shared" si="149"/>
        <v>0</v>
      </c>
      <c r="AS143" s="184">
        <f t="shared" si="149"/>
        <v>0</v>
      </c>
      <c r="AT143" s="184">
        <f t="shared" si="149"/>
        <v>0</v>
      </c>
      <c r="AU143" s="184">
        <f t="shared" si="149"/>
        <v>0</v>
      </c>
      <c r="AV143" s="184">
        <f t="shared" si="149"/>
        <v>0</v>
      </c>
      <c r="AW143" s="184">
        <f t="shared" si="149"/>
        <v>0</v>
      </c>
      <c r="AX143" s="184">
        <f t="shared" si="149"/>
        <v>0</v>
      </c>
      <c r="AY143" s="184">
        <f t="shared" si="149"/>
        <v>0</v>
      </c>
      <c r="AZ143" s="184">
        <f t="shared" si="149"/>
        <v>0</v>
      </c>
      <c r="BA143" s="184">
        <f t="shared" si="149"/>
        <v>0</v>
      </c>
      <c r="BB143" s="184">
        <f t="shared" si="149"/>
        <v>0</v>
      </c>
      <c r="BC143" s="184">
        <f t="shared" si="149"/>
        <v>0</v>
      </c>
      <c r="BD143" s="184">
        <f t="shared" si="149"/>
        <v>0</v>
      </c>
      <c r="BE143" s="184">
        <f t="shared" si="149"/>
        <v>0</v>
      </c>
      <c r="BF143" s="184">
        <f t="shared" si="149"/>
        <v>0</v>
      </c>
      <c r="BG143" s="184">
        <f t="shared" si="149"/>
        <v>0</v>
      </c>
      <c r="BH143" s="184">
        <f t="shared" si="149"/>
        <v>0</v>
      </c>
      <c r="BI143" s="184">
        <f t="shared" si="149"/>
        <v>0</v>
      </c>
      <c r="BJ143" s="184">
        <f t="shared" si="149"/>
        <v>0</v>
      </c>
      <c r="BK143" s="184">
        <f t="shared" si="149"/>
        <v>0</v>
      </c>
      <c r="BL143" s="184">
        <f t="shared" si="149"/>
        <v>0</v>
      </c>
      <c r="BM143" s="184">
        <f t="shared" si="149"/>
        <v>0</v>
      </c>
      <c r="BN143" s="184">
        <f t="shared" si="149"/>
        <v>0</v>
      </c>
      <c r="BO143" s="184">
        <f t="shared" si="149"/>
        <v>0</v>
      </c>
      <c r="BP143" s="184">
        <f t="shared" si="149"/>
        <v>0</v>
      </c>
      <c r="BQ143" s="184">
        <f t="shared" si="149"/>
        <v>0</v>
      </c>
      <c r="BR143" s="184">
        <f t="shared" si="149"/>
        <v>0</v>
      </c>
      <c r="BS143" s="184">
        <f t="shared" si="149"/>
        <v>0</v>
      </c>
      <c r="BT143" s="184">
        <f t="shared" si="149"/>
        <v>0</v>
      </c>
      <c r="BU143" s="184">
        <f t="shared" si="149"/>
        <v>0</v>
      </c>
      <c r="BV143" s="184">
        <f t="shared" si="149"/>
        <v>0</v>
      </c>
      <c r="BW143" s="184">
        <f t="shared" si="149"/>
        <v>0</v>
      </c>
      <c r="BX143" s="184">
        <f t="shared" si="149"/>
        <v>0</v>
      </c>
      <c r="BY143" s="184">
        <f t="shared" ref="BY143:EJ143" si="150">BY140+BY141-BY142</f>
        <v>0</v>
      </c>
      <c r="BZ143" s="184">
        <f t="shared" si="150"/>
        <v>0</v>
      </c>
      <c r="CA143" s="184">
        <f t="shared" si="150"/>
        <v>0</v>
      </c>
      <c r="CB143" s="184">
        <f t="shared" si="150"/>
        <v>0</v>
      </c>
      <c r="CC143" s="184">
        <f t="shared" si="150"/>
        <v>0</v>
      </c>
      <c r="CD143" s="184">
        <f t="shared" si="150"/>
        <v>0</v>
      </c>
      <c r="CE143" s="184">
        <f t="shared" si="150"/>
        <v>0</v>
      </c>
      <c r="CF143" s="184">
        <f t="shared" si="150"/>
        <v>0</v>
      </c>
      <c r="CG143" s="184">
        <f t="shared" si="150"/>
        <v>0</v>
      </c>
      <c r="CH143" s="184">
        <f t="shared" si="150"/>
        <v>0</v>
      </c>
      <c r="CI143" s="184">
        <f t="shared" si="150"/>
        <v>0</v>
      </c>
      <c r="CJ143" s="184">
        <f t="shared" si="150"/>
        <v>0</v>
      </c>
      <c r="CK143" s="184">
        <f t="shared" si="150"/>
        <v>0</v>
      </c>
      <c r="CL143" s="184">
        <f t="shared" si="150"/>
        <v>0</v>
      </c>
      <c r="CM143" s="184">
        <f t="shared" si="150"/>
        <v>0</v>
      </c>
      <c r="CN143" s="184">
        <f t="shared" si="150"/>
        <v>0</v>
      </c>
      <c r="CO143" s="184">
        <f t="shared" si="150"/>
        <v>0</v>
      </c>
      <c r="CP143" s="184">
        <f t="shared" si="150"/>
        <v>0</v>
      </c>
      <c r="CQ143" s="184">
        <f t="shared" si="150"/>
        <v>0</v>
      </c>
      <c r="CR143" s="184">
        <f t="shared" si="150"/>
        <v>0</v>
      </c>
      <c r="CS143" s="184">
        <f t="shared" si="150"/>
        <v>0</v>
      </c>
      <c r="CT143" s="184">
        <f t="shared" si="150"/>
        <v>0</v>
      </c>
      <c r="CU143" s="184">
        <f t="shared" si="150"/>
        <v>0</v>
      </c>
      <c r="CV143" s="184">
        <f t="shared" si="150"/>
        <v>0</v>
      </c>
      <c r="CW143" s="184">
        <f t="shared" si="150"/>
        <v>0</v>
      </c>
      <c r="CX143" s="184">
        <f t="shared" si="150"/>
        <v>0</v>
      </c>
      <c r="CY143" s="184">
        <f t="shared" si="150"/>
        <v>0</v>
      </c>
      <c r="CZ143" s="184">
        <f t="shared" si="150"/>
        <v>0</v>
      </c>
      <c r="DA143" s="184">
        <f t="shared" si="150"/>
        <v>0</v>
      </c>
      <c r="DB143" s="184">
        <f t="shared" si="150"/>
        <v>0</v>
      </c>
      <c r="DC143" s="184">
        <f t="shared" si="150"/>
        <v>0</v>
      </c>
      <c r="DD143" s="184">
        <f t="shared" si="150"/>
        <v>0</v>
      </c>
      <c r="DE143" s="184">
        <f t="shared" si="150"/>
        <v>0</v>
      </c>
      <c r="DF143" s="184">
        <f t="shared" si="150"/>
        <v>0</v>
      </c>
      <c r="DG143" s="184">
        <f t="shared" si="150"/>
        <v>0</v>
      </c>
      <c r="DH143" s="184">
        <f t="shared" si="150"/>
        <v>0</v>
      </c>
      <c r="DI143" s="184">
        <f t="shared" si="150"/>
        <v>0</v>
      </c>
      <c r="DJ143" s="184">
        <f t="shared" si="150"/>
        <v>0</v>
      </c>
      <c r="DK143" s="184">
        <f t="shared" si="150"/>
        <v>0</v>
      </c>
      <c r="DL143" s="184">
        <f t="shared" si="150"/>
        <v>0</v>
      </c>
      <c r="DM143" s="184">
        <f t="shared" si="150"/>
        <v>0</v>
      </c>
      <c r="DN143" s="184">
        <f t="shared" si="150"/>
        <v>0</v>
      </c>
      <c r="DO143" s="184">
        <f t="shared" si="150"/>
        <v>0</v>
      </c>
      <c r="DP143" s="184">
        <f t="shared" si="150"/>
        <v>0</v>
      </c>
      <c r="DQ143" s="184">
        <f t="shared" si="150"/>
        <v>0</v>
      </c>
      <c r="DR143" s="184">
        <f t="shared" si="150"/>
        <v>0</v>
      </c>
      <c r="DS143" s="184">
        <f t="shared" si="150"/>
        <v>0</v>
      </c>
      <c r="DT143" s="184">
        <f t="shared" si="150"/>
        <v>0</v>
      </c>
      <c r="DU143" s="184">
        <f t="shared" si="150"/>
        <v>0</v>
      </c>
      <c r="DV143" s="184">
        <f t="shared" si="150"/>
        <v>0</v>
      </c>
      <c r="DW143" s="184">
        <f t="shared" si="150"/>
        <v>0</v>
      </c>
      <c r="DX143" s="184">
        <f t="shared" si="150"/>
        <v>0</v>
      </c>
      <c r="DY143" s="184">
        <f t="shared" si="150"/>
        <v>0</v>
      </c>
      <c r="DZ143" s="184">
        <f t="shared" si="150"/>
        <v>0</v>
      </c>
      <c r="EA143" s="184">
        <f t="shared" si="150"/>
        <v>0</v>
      </c>
      <c r="EB143" s="184">
        <f t="shared" si="150"/>
        <v>0</v>
      </c>
      <c r="EC143" s="184">
        <f t="shared" si="150"/>
        <v>0</v>
      </c>
      <c r="ED143" s="184">
        <f t="shared" si="150"/>
        <v>0</v>
      </c>
      <c r="EE143" s="184">
        <f t="shared" si="150"/>
        <v>0</v>
      </c>
      <c r="EF143" s="184">
        <f t="shared" si="150"/>
        <v>0</v>
      </c>
      <c r="EG143" s="184">
        <f t="shared" si="150"/>
        <v>0</v>
      </c>
      <c r="EH143" s="184">
        <f t="shared" si="150"/>
        <v>0</v>
      </c>
      <c r="EI143" s="184">
        <f t="shared" si="150"/>
        <v>0</v>
      </c>
      <c r="EJ143" s="184">
        <f t="shared" si="150"/>
        <v>0</v>
      </c>
      <c r="EK143" s="184">
        <f t="shared" ref="EK143:EQ143" si="151">EK140+EK141-EK142</f>
        <v>0</v>
      </c>
      <c r="EL143" s="184">
        <f t="shared" si="151"/>
        <v>0</v>
      </c>
      <c r="EM143" s="184">
        <f t="shared" si="151"/>
        <v>0</v>
      </c>
      <c r="EN143" s="184">
        <f t="shared" si="151"/>
        <v>0</v>
      </c>
      <c r="EO143" s="184">
        <f t="shared" si="151"/>
        <v>0</v>
      </c>
      <c r="EP143" s="184">
        <f t="shared" si="151"/>
        <v>0</v>
      </c>
      <c r="EQ143" s="184">
        <f t="shared" si="151"/>
        <v>0</v>
      </c>
    </row>
    <row r="147" spans="6:16">
      <c r="G147" s="5" t="s">
        <v>1112</v>
      </c>
      <c r="H147" s="13">
        <f>J55</f>
        <v>359621828.04531735</v>
      </c>
      <c r="M147" s="5" t="s">
        <v>24</v>
      </c>
      <c r="N147" s="1927" t="s">
        <v>1139</v>
      </c>
      <c r="O147" s="1927" t="s">
        <v>1140</v>
      </c>
    </row>
    <row r="148" spans="6:16">
      <c r="G148" s="5" t="s">
        <v>1143</v>
      </c>
      <c r="H148" s="13">
        <f>P157+N154</f>
        <v>15000000</v>
      </c>
      <c r="M148" s="21" t="s">
        <v>642</v>
      </c>
      <c r="N148" s="1090">
        <f>'A&amp;R'!T14</f>
        <v>2100000</v>
      </c>
      <c r="O148" s="1090">
        <f>'A&amp;R'!P31</f>
        <v>2100000</v>
      </c>
    </row>
    <row r="149" spans="6:16">
      <c r="G149" s="5" t="s">
        <v>1114</v>
      </c>
      <c r="H149" s="13">
        <f>-'A&amp;R'!P31</f>
        <v>-2100000</v>
      </c>
      <c r="M149" s="5" t="s">
        <v>643</v>
      </c>
      <c r="N149" s="13">
        <f>'A&amp;R'!T15</f>
        <v>160000000</v>
      </c>
      <c r="O149" s="13">
        <f>'A&amp;R'!P34</f>
        <v>213000000</v>
      </c>
    </row>
    <row r="150" spans="6:16">
      <c r="G150" s="5" t="s">
        <v>273</v>
      </c>
      <c r="H150" s="13">
        <f>-'A&amp;R'!P34</f>
        <v>-213000000</v>
      </c>
      <c r="M150" s="5" t="s">
        <v>1141</v>
      </c>
      <c r="N150" s="13">
        <f>'A&amp;R'!T16</f>
        <v>38000000</v>
      </c>
      <c r="O150" s="13">
        <f>'A&amp;R'!P37</f>
        <v>0</v>
      </c>
    </row>
    <row r="151" spans="6:16">
      <c r="G151" s="5" t="s">
        <v>1081</v>
      </c>
      <c r="H151" s="13">
        <f>-'A&amp;R'!P41</f>
        <v>-24000000</v>
      </c>
      <c r="M151" s="5" t="s">
        <v>617</v>
      </c>
      <c r="N151" s="13">
        <f>'A&amp;R'!T17</f>
        <v>0</v>
      </c>
      <c r="O151" s="13"/>
    </row>
    <row r="152" spans="6:16">
      <c r="G152" s="5" t="s">
        <v>1082</v>
      </c>
      <c r="H152" s="13">
        <f>-'A&amp;R'!P42</f>
        <v>-50000000</v>
      </c>
      <c r="M152" s="5" t="s">
        <v>1115</v>
      </c>
      <c r="N152" s="13">
        <f>'A&amp;R'!T18</f>
        <v>24000000</v>
      </c>
      <c r="O152" s="13">
        <f>'A&amp;R'!P41</f>
        <v>24000000</v>
      </c>
    </row>
    <row r="153" spans="6:16">
      <c r="G153" s="5" t="s">
        <v>1086</v>
      </c>
      <c r="H153" s="13">
        <v>0</v>
      </c>
      <c r="M153" s="5" t="s">
        <v>1116</v>
      </c>
      <c r="N153" s="13">
        <f>'A&amp;R'!T19</f>
        <v>50000000</v>
      </c>
      <c r="O153" s="13">
        <f>'A&amp;R'!P42</f>
        <v>50000000</v>
      </c>
    </row>
    <row r="154" spans="6:16">
      <c r="G154" s="5" t="s">
        <v>1118</v>
      </c>
      <c r="H154" s="13">
        <f>-'A&amp;R'!P44</f>
        <v>-14800000</v>
      </c>
      <c r="M154" s="5" t="s">
        <v>1117</v>
      </c>
      <c r="N154" s="13">
        <f>'A&amp;R'!T20</f>
        <v>10000000</v>
      </c>
      <c r="O154" s="13">
        <v>0</v>
      </c>
    </row>
    <row r="155" spans="6:16">
      <c r="G155" s="5" t="s">
        <v>1119</v>
      </c>
      <c r="H155" s="13">
        <v>-11883761.357482687</v>
      </c>
      <c r="M155" s="5" t="s">
        <v>225</v>
      </c>
      <c r="N155" s="13">
        <f>'A&amp;R'!T21</f>
        <v>14800000</v>
      </c>
      <c r="O155" s="13">
        <f>'A&amp;R'!P44</f>
        <v>14800000</v>
      </c>
    </row>
    <row r="156" spans="6:16">
      <c r="F156" s="5" t="b">
        <f>H156=I114</f>
        <v>0</v>
      </c>
      <c r="G156" s="5" t="s">
        <v>551</v>
      </c>
      <c r="H156" s="13">
        <f>SUM(H147:H155)</f>
        <v>58838066.687834665</v>
      </c>
      <c r="M156" s="180" t="s">
        <v>1142</v>
      </c>
      <c r="N156" s="860">
        <f>'A&amp;R'!T22</f>
        <v>0</v>
      </c>
      <c r="O156" s="860">
        <v>0</v>
      </c>
    </row>
    <row r="157" spans="6:16">
      <c r="M157" s="5" t="s">
        <v>59</v>
      </c>
      <c r="N157" s="13">
        <f>SUM(N148:N156)</f>
        <v>298900000</v>
      </c>
      <c r="O157" s="13">
        <f>SUM(O148:O156)</f>
        <v>303900000</v>
      </c>
      <c r="P157" s="13">
        <f>O157-N157</f>
        <v>5000000</v>
      </c>
    </row>
    <row r="159" spans="6:16">
      <c r="G159" s="5" t="s">
        <v>1136</v>
      </c>
      <c r="H159" s="13">
        <f ca="1">SUM(J98,J103,J108,J113)</f>
        <v>-55410000</v>
      </c>
    </row>
    <row r="160" spans="6:16">
      <c r="G160" s="5" t="s">
        <v>1137</v>
      </c>
      <c r="H160" s="13">
        <f ca="1">J14</f>
        <v>43526238.642517313</v>
      </c>
    </row>
    <row r="161" spans="7:8">
      <c r="G161" s="5" t="s">
        <v>1138</v>
      </c>
      <c r="H161" s="13">
        <f ca="1">SUM(H159:H160)</f>
        <v>-11883761.357482687</v>
      </c>
    </row>
  </sheetData>
  <phoneticPr fontId="2" type="noConversion"/>
  <conditionalFormatting sqref="L122:EQ124">
    <cfRule type="cellIs" dxfId="3" priority="1" operator="lessThan">
      <formula>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8F73F-6692-4068-869D-D54000084EB3}">
  <sheetPr codeName="Sheet4">
    <tabColor theme="7" tint="-0.499984740745262"/>
  </sheetPr>
  <dimension ref="A1:EV55"/>
  <sheetViews>
    <sheetView showGridLines="0" topLeftCell="A48" zoomScaleNormal="100" workbookViewId="0">
      <selection activeCell="A64" sqref="A64"/>
    </sheetView>
  </sheetViews>
  <sheetFormatPr defaultColWidth="9" defaultRowHeight="11.25" customHeight="1"/>
  <cols>
    <col min="1" max="1" width="2.625" style="5" customWidth="1"/>
    <col min="2" max="2" width="2.125" style="5" customWidth="1"/>
    <col min="3" max="3" width="1.875" style="5" customWidth="1"/>
    <col min="4" max="5" width="9" style="5"/>
    <col min="6" max="8" width="11" style="704" customWidth="1"/>
    <col min="9" max="9" width="9.75" style="5" bestFit="1" customWidth="1"/>
    <col min="10" max="10" width="11.5" style="5" bestFit="1" customWidth="1"/>
    <col min="11" max="11" width="11" style="5" customWidth="1"/>
    <col min="12" max="12" width="2.625" style="5" customWidth="1"/>
    <col min="13" max="148" width="11" style="5" customWidth="1"/>
    <col min="149" max="16384" width="9" style="5"/>
  </cols>
  <sheetData>
    <row r="1" spans="1:152" s="3" customFormat="1" ht="11.25" customHeight="1">
      <c r="A1" s="2" t="s">
        <v>250</v>
      </c>
      <c r="F1" s="702"/>
      <c r="G1" s="702"/>
      <c r="H1" s="702"/>
    </row>
    <row r="2" spans="1:152" s="4" customFormat="1" ht="11.25" customHeight="1">
      <c r="A2" s="4" t="s">
        <v>256</v>
      </c>
      <c r="F2" s="703"/>
      <c r="G2" s="703"/>
      <c r="H2" s="703"/>
    </row>
    <row r="4" spans="1:152" ht="11.25" customHeight="1">
      <c r="C4" s="187" t="s">
        <v>0</v>
      </c>
      <c r="D4" s="143"/>
      <c r="E4" s="143"/>
      <c r="F4" s="706"/>
      <c r="G4" s="706"/>
      <c r="H4" s="706"/>
      <c r="I4" s="208"/>
      <c r="J4" s="188"/>
      <c r="K4" s="144"/>
      <c r="M4" s="145">
        <f>Index!L4</f>
        <v>46326</v>
      </c>
      <c r="N4" s="145">
        <f>Index!M4</f>
        <v>46327</v>
      </c>
      <c r="O4" s="145">
        <f>Index!N4</f>
        <v>46357</v>
      </c>
      <c r="P4" s="145">
        <f>Index!O4</f>
        <v>46388</v>
      </c>
      <c r="Q4" s="145">
        <f>Index!P4</f>
        <v>46419</v>
      </c>
      <c r="R4" s="145">
        <f>Index!Q4</f>
        <v>46447</v>
      </c>
      <c r="S4" s="145">
        <f>Index!R4</f>
        <v>46478</v>
      </c>
      <c r="T4" s="145">
        <f>Index!S4</f>
        <v>46508</v>
      </c>
      <c r="U4" s="145">
        <f>Index!T4</f>
        <v>46539</v>
      </c>
      <c r="V4" s="145">
        <f>Index!U4</f>
        <v>46569</v>
      </c>
      <c r="W4" s="145">
        <f>Index!V4</f>
        <v>46600</v>
      </c>
      <c r="X4" s="145">
        <f>Index!W4</f>
        <v>46631</v>
      </c>
      <c r="Y4" s="145">
        <f>Index!X4</f>
        <v>46661</v>
      </c>
      <c r="Z4" s="145">
        <f>Index!Y4</f>
        <v>46692</v>
      </c>
      <c r="AA4" s="145">
        <f>Index!Z4</f>
        <v>46722</v>
      </c>
      <c r="AB4" s="145">
        <f>Index!AA4</f>
        <v>46753</v>
      </c>
      <c r="AC4" s="145">
        <f>Index!AB4</f>
        <v>46784</v>
      </c>
      <c r="AD4" s="145">
        <f>Index!AC4</f>
        <v>46813</v>
      </c>
      <c r="AE4" s="145">
        <f>Index!AD4</f>
        <v>46844</v>
      </c>
      <c r="AF4" s="145">
        <f>Index!AE4</f>
        <v>46874</v>
      </c>
      <c r="AG4" s="145">
        <f>Index!AF4</f>
        <v>46905</v>
      </c>
      <c r="AH4" s="145">
        <f>Index!AG4</f>
        <v>46935</v>
      </c>
      <c r="AI4" s="145">
        <f>Index!AH4</f>
        <v>46966</v>
      </c>
      <c r="AJ4" s="145">
        <f>Index!AI4</f>
        <v>46997</v>
      </c>
      <c r="AK4" s="145">
        <f>Index!AJ4</f>
        <v>47027</v>
      </c>
      <c r="AL4" s="145">
        <f>Index!AK4</f>
        <v>47058</v>
      </c>
      <c r="AM4" s="145">
        <f>Index!AL4</f>
        <v>47088</v>
      </c>
      <c r="AN4" s="145">
        <f>Index!AM4</f>
        <v>47119</v>
      </c>
      <c r="AO4" s="145">
        <f>Index!AN4</f>
        <v>47150</v>
      </c>
      <c r="AP4" s="145">
        <f>Index!AO4</f>
        <v>47178</v>
      </c>
      <c r="AQ4" s="145">
        <f>Index!AP4</f>
        <v>47209</v>
      </c>
      <c r="AR4" s="145">
        <f>Index!AQ4</f>
        <v>47239</v>
      </c>
      <c r="AS4" s="145">
        <f>Index!AR4</f>
        <v>47270</v>
      </c>
      <c r="AT4" s="145">
        <f>Index!AS4</f>
        <v>47300</v>
      </c>
      <c r="AU4" s="145">
        <f>Index!AT4</f>
        <v>47331</v>
      </c>
      <c r="AV4" s="145">
        <f>Index!AU4</f>
        <v>47362</v>
      </c>
      <c r="AW4" s="145">
        <f>Index!AV4</f>
        <v>47392</v>
      </c>
      <c r="AX4" s="145">
        <f>Index!AW4</f>
        <v>47423</v>
      </c>
      <c r="AY4" s="145">
        <f>Index!AX4</f>
        <v>47453</v>
      </c>
      <c r="AZ4" s="145">
        <f>Index!AY4</f>
        <v>47484</v>
      </c>
      <c r="BA4" s="145">
        <f>Index!AZ4</f>
        <v>47515</v>
      </c>
      <c r="BB4" s="145">
        <f>Index!BA4</f>
        <v>47543</v>
      </c>
      <c r="BC4" s="145">
        <f>Index!BB4</f>
        <v>47574</v>
      </c>
      <c r="BD4" s="145">
        <f>Index!BC4</f>
        <v>47604</v>
      </c>
      <c r="BE4" s="145">
        <f>Index!BD4</f>
        <v>47635</v>
      </c>
      <c r="BF4" s="145">
        <f>Index!BE4</f>
        <v>47665</v>
      </c>
      <c r="BG4" s="145">
        <f>Index!BF4</f>
        <v>47696</v>
      </c>
      <c r="BH4" s="145">
        <f>Index!BG4</f>
        <v>47727</v>
      </c>
      <c r="BI4" s="145">
        <f>Index!BH4</f>
        <v>47757</v>
      </c>
      <c r="BJ4" s="145">
        <f>Index!BI4</f>
        <v>47788</v>
      </c>
      <c r="BK4" s="145">
        <f>Index!BJ4</f>
        <v>47818</v>
      </c>
      <c r="BL4" s="145">
        <f>Index!BK4</f>
        <v>47849</v>
      </c>
      <c r="BM4" s="145">
        <f>Index!BL4</f>
        <v>47880</v>
      </c>
      <c r="BN4" s="145">
        <f>Index!BM4</f>
        <v>47908</v>
      </c>
      <c r="BO4" s="145">
        <f>Index!BN4</f>
        <v>47939</v>
      </c>
      <c r="BP4" s="145">
        <f>Index!BO4</f>
        <v>47969</v>
      </c>
      <c r="BQ4" s="145">
        <f>Index!BP4</f>
        <v>48000</v>
      </c>
      <c r="BR4" s="145">
        <f>Index!BQ4</f>
        <v>48030</v>
      </c>
      <c r="BS4" s="145">
        <f>Index!BR4</f>
        <v>48061</v>
      </c>
      <c r="BT4" s="145">
        <f>Index!BS4</f>
        <v>48092</v>
      </c>
      <c r="BU4" s="145">
        <f>Index!BT4</f>
        <v>48122</v>
      </c>
      <c r="BV4" s="145">
        <f>Index!BU4</f>
        <v>48153</v>
      </c>
      <c r="BW4" s="145">
        <f>Index!BV4</f>
        <v>48183</v>
      </c>
      <c r="BX4" s="145">
        <f>Index!BW4</f>
        <v>48214</v>
      </c>
      <c r="BY4" s="145">
        <f>Index!BX4</f>
        <v>48245</v>
      </c>
      <c r="BZ4" s="145">
        <f>Index!BY4</f>
        <v>48274</v>
      </c>
      <c r="CA4" s="145">
        <f>Index!BZ4</f>
        <v>48305</v>
      </c>
      <c r="CB4" s="145">
        <f>Index!CA4</f>
        <v>48335</v>
      </c>
      <c r="CC4" s="145">
        <f>Index!CB4</f>
        <v>48366</v>
      </c>
      <c r="CD4" s="145">
        <f>Index!CC4</f>
        <v>48396</v>
      </c>
      <c r="CE4" s="145">
        <f>Index!CD4</f>
        <v>48427</v>
      </c>
      <c r="CF4" s="145">
        <f>Index!CE4</f>
        <v>48458</v>
      </c>
      <c r="CG4" s="145">
        <f>Index!CF4</f>
        <v>48488</v>
      </c>
      <c r="CH4" s="145">
        <f>Index!CG4</f>
        <v>48519</v>
      </c>
      <c r="CI4" s="145">
        <f>Index!CH4</f>
        <v>48549</v>
      </c>
      <c r="CJ4" s="145">
        <f>Index!CI4</f>
        <v>48580</v>
      </c>
      <c r="CK4" s="145">
        <f>Index!CJ4</f>
        <v>48611</v>
      </c>
      <c r="CL4" s="145">
        <f>Index!CK4</f>
        <v>48639</v>
      </c>
      <c r="CM4" s="145">
        <f>Index!CL4</f>
        <v>48670</v>
      </c>
      <c r="CN4" s="145">
        <f>Index!CM4</f>
        <v>48700</v>
      </c>
      <c r="CO4" s="145">
        <f>Index!CN4</f>
        <v>48731</v>
      </c>
      <c r="CP4" s="145">
        <f>Index!CO4</f>
        <v>48761</v>
      </c>
      <c r="CQ4" s="145">
        <f>Index!CP4</f>
        <v>48792</v>
      </c>
      <c r="CR4" s="145">
        <f>Index!CQ4</f>
        <v>48823</v>
      </c>
      <c r="CS4" s="145">
        <f>Index!CR4</f>
        <v>48853</v>
      </c>
      <c r="CT4" s="145">
        <f>Index!CS4</f>
        <v>48884</v>
      </c>
      <c r="CU4" s="145">
        <f>Index!CT4</f>
        <v>48914</v>
      </c>
      <c r="CV4" s="145">
        <f>Index!CU4</f>
        <v>48945</v>
      </c>
      <c r="CW4" s="145">
        <f>Index!CV4</f>
        <v>48976</v>
      </c>
      <c r="CX4" s="145">
        <f>Index!CW4</f>
        <v>49004</v>
      </c>
      <c r="CY4" s="145">
        <f>Index!CX4</f>
        <v>49035</v>
      </c>
      <c r="CZ4" s="145">
        <f>Index!CY4</f>
        <v>49065</v>
      </c>
      <c r="DA4" s="145">
        <f>Index!CZ4</f>
        <v>49096</v>
      </c>
      <c r="DB4" s="145">
        <f>Index!DA4</f>
        <v>49126</v>
      </c>
      <c r="DC4" s="145">
        <f>Index!DB4</f>
        <v>49157</v>
      </c>
      <c r="DD4" s="145">
        <f>Index!DC4</f>
        <v>49188</v>
      </c>
      <c r="DE4" s="145">
        <f>Index!DD4</f>
        <v>49218</v>
      </c>
      <c r="DF4" s="145">
        <f>Index!DE4</f>
        <v>49249</v>
      </c>
      <c r="DG4" s="145">
        <f>Index!DF4</f>
        <v>49279</v>
      </c>
      <c r="DH4" s="145">
        <f>Index!DG4</f>
        <v>49310</v>
      </c>
      <c r="DI4" s="145">
        <f>Index!DH4</f>
        <v>49341</v>
      </c>
      <c r="DJ4" s="145">
        <f>Index!DI4</f>
        <v>49369</v>
      </c>
      <c r="DK4" s="145">
        <f>Index!DJ4</f>
        <v>49400</v>
      </c>
      <c r="DL4" s="145">
        <f>Index!DK4</f>
        <v>49430</v>
      </c>
      <c r="DM4" s="145">
        <f>Index!DL4</f>
        <v>49461</v>
      </c>
      <c r="DN4" s="145">
        <f>Index!DM4</f>
        <v>49491</v>
      </c>
      <c r="DO4" s="145">
        <f>Index!DN4</f>
        <v>49522</v>
      </c>
      <c r="DP4" s="145">
        <f>Index!DO4</f>
        <v>49553</v>
      </c>
      <c r="DQ4" s="145">
        <f>Index!DP4</f>
        <v>49583</v>
      </c>
      <c r="DR4" s="145">
        <f>Index!DQ4</f>
        <v>49614</v>
      </c>
      <c r="DS4" s="145">
        <f>Index!DR4</f>
        <v>49644</v>
      </c>
      <c r="DT4" s="145">
        <f>Index!DS4</f>
        <v>49675</v>
      </c>
      <c r="DU4" s="145">
        <f>Index!DT4</f>
        <v>49706</v>
      </c>
      <c r="DV4" s="145">
        <f>Index!DU4</f>
        <v>49735</v>
      </c>
      <c r="DW4" s="145">
        <f>Index!DV4</f>
        <v>49766</v>
      </c>
      <c r="DX4" s="145">
        <f>Index!DW4</f>
        <v>49796</v>
      </c>
      <c r="DY4" s="145">
        <f>Index!DX4</f>
        <v>49827</v>
      </c>
      <c r="DZ4" s="145">
        <f>Index!DY4</f>
        <v>49857</v>
      </c>
      <c r="EA4" s="145">
        <f>Index!DZ4</f>
        <v>49888</v>
      </c>
      <c r="EB4" s="145">
        <f>Index!EA4</f>
        <v>49919</v>
      </c>
      <c r="EC4" s="145">
        <f>Index!EB4</f>
        <v>49949</v>
      </c>
      <c r="ED4" s="145">
        <f>Index!EC4</f>
        <v>49980</v>
      </c>
      <c r="EE4" s="145">
        <f>Index!ED4</f>
        <v>50010</v>
      </c>
      <c r="EF4" s="145">
        <f>Index!EE4</f>
        <v>50041</v>
      </c>
      <c r="EG4" s="145">
        <f>Index!EF4</f>
        <v>50072</v>
      </c>
      <c r="EH4" s="145">
        <f>Index!EG4</f>
        <v>50100</v>
      </c>
      <c r="EI4" s="145">
        <f>Index!EH4</f>
        <v>50131</v>
      </c>
      <c r="EJ4" s="145">
        <f>Index!EI4</f>
        <v>50161</v>
      </c>
      <c r="EK4" s="145">
        <f>Index!EJ4</f>
        <v>50192</v>
      </c>
      <c r="EL4" s="145">
        <f>Index!EK4</f>
        <v>50222</v>
      </c>
      <c r="EM4" s="145">
        <f>Index!EL4</f>
        <v>50253</v>
      </c>
      <c r="EN4" s="145">
        <f>Index!EM4</f>
        <v>50284</v>
      </c>
      <c r="EO4" s="145">
        <f>Index!EN4</f>
        <v>50314</v>
      </c>
      <c r="EP4" s="145">
        <f>Index!EO4</f>
        <v>50345</v>
      </c>
      <c r="EQ4" s="145">
        <f>Index!EP4</f>
        <v>50375</v>
      </c>
      <c r="ER4" s="145">
        <f>Index!EQ4</f>
        <v>50406</v>
      </c>
      <c r="ES4" s="146"/>
      <c r="ET4" s="146"/>
      <c r="EU4" s="146"/>
      <c r="EV4" s="146"/>
    </row>
    <row r="5" spans="1:152" ht="11.25" customHeight="1">
      <c r="C5" s="187" t="s">
        <v>1</v>
      </c>
      <c r="D5" s="143"/>
      <c r="E5" s="143"/>
      <c r="F5" s="706"/>
      <c r="G5" s="706"/>
      <c r="H5" s="706"/>
      <c r="I5" s="208"/>
      <c r="J5" s="188"/>
      <c r="K5" s="143"/>
      <c r="M5" s="145">
        <f>Index!L5</f>
        <v>46326</v>
      </c>
      <c r="N5" s="145">
        <f>Index!M5</f>
        <v>46356</v>
      </c>
      <c r="O5" s="145">
        <f>Index!N5</f>
        <v>46387</v>
      </c>
      <c r="P5" s="145">
        <f>Index!O5</f>
        <v>46418</v>
      </c>
      <c r="Q5" s="145">
        <f>Index!P5</f>
        <v>46446</v>
      </c>
      <c r="R5" s="145">
        <f>Index!Q5</f>
        <v>46477</v>
      </c>
      <c r="S5" s="145">
        <f>Index!R5</f>
        <v>46507</v>
      </c>
      <c r="T5" s="145">
        <f>Index!S5</f>
        <v>46538</v>
      </c>
      <c r="U5" s="145">
        <f>Index!T5</f>
        <v>46568</v>
      </c>
      <c r="V5" s="145">
        <f>Index!U5</f>
        <v>46599</v>
      </c>
      <c r="W5" s="145">
        <f>Index!V5</f>
        <v>46630</v>
      </c>
      <c r="X5" s="145">
        <f>Index!W5</f>
        <v>46660</v>
      </c>
      <c r="Y5" s="145">
        <f>Index!X5</f>
        <v>46691</v>
      </c>
      <c r="Z5" s="145">
        <f>Index!Y5</f>
        <v>46721</v>
      </c>
      <c r="AA5" s="145">
        <f>Index!Z5</f>
        <v>46752</v>
      </c>
      <c r="AB5" s="145">
        <f>Index!AA5</f>
        <v>46783</v>
      </c>
      <c r="AC5" s="145">
        <f>Index!AB5</f>
        <v>46812</v>
      </c>
      <c r="AD5" s="145">
        <f>Index!AC5</f>
        <v>46843</v>
      </c>
      <c r="AE5" s="145">
        <f>Index!AD5</f>
        <v>46873</v>
      </c>
      <c r="AF5" s="145">
        <f>Index!AE5</f>
        <v>46904</v>
      </c>
      <c r="AG5" s="145">
        <f>Index!AF5</f>
        <v>46934</v>
      </c>
      <c r="AH5" s="145">
        <f>Index!AG5</f>
        <v>46965</v>
      </c>
      <c r="AI5" s="145">
        <f>Index!AH5</f>
        <v>46996</v>
      </c>
      <c r="AJ5" s="145">
        <f>Index!AI5</f>
        <v>47026</v>
      </c>
      <c r="AK5" s="145">
        <f>Index!AJ5</f>
        <v>47057</v>
      </c>
      <c r="AL5" s="145">
        <f>Index!AK5</f>
        <v>47087</v>
      </c>
      <c r="AM5" s="145">
        <f>Index!AL5</f>
        <v>47118</v>
      </c>
      <c r="AN5" s="145">
        <f>Index!AM5</f>
        <v>47149</v>
      </c>
      <c r="AO5" s="145">
        <f>Index!AN5</f>
        <v>47177</v>
      </c>
      <c r="AP5" s="145">
        <f>Index!AO5</f>
        <v>47208</v>
      </c>
      <c r="AQ5" s="145">
        <f>Index!AP5</f>
        <v>47238</v>
      </c>
      <c r="AR5" s="145">
        <f>Index!AQ5</f>
        <v>47269</v>
      </c>
      <c r="AS5" s="145">
        <f>Index!AR5</f>
        <v>47299</v>
      </c>
      <c r="AT5" s="145">
        <f>Index!AS5</f>
        <v>47330</v>
      </c>
      <c r="AU5" s="145">
        <f>Index!AT5</f>
        <v>47361</v>
      </c>
      <c r="AV5" s="145">
        <f>Index!AU5</f>
        <v>47391</v>
      </c>
      <c r="AW5" s="145">
        <f>Index!AV5</f>
        <v>47422</v>
      </c>
      <c r="AX5" s="145">
        <f>Index!AW5</f>
        <v>47452</v>
      </c>
      <c r="AY5" s="145">
        <f>Index!AX5</f>
        <v>47483</v>
      </c>
      <c r="AZ5" s="145">
        <f>Index!AY5</f>
        <v>47514</v>
      </c>
      <c r="BA5" s="145">
        <f>Index!AZ5</f>
        <v>47542</v>
      </c>
      <c r="BB5" s="145">
        <f>Index!BA5</f>
        <v>47573</v>
      </c>
      <c r="BC5" s="145">
        <f>Index!BB5</f>
        <v>47603</v>
      </c>
      <c r="BD5" s="145">
        <f>Index!BC5</f>
        <v>47634</v>
      </c>
      <c r="BE5" s="145">
        <f>Index!BD5</f>
        <v>47664</v>
      </c>
      <c r="BF5" s="145">
        <f>Index!BE5</f>
        <v>47695</v>
      </c>
      <c r="BG5" s="145">
        <f>Index!BF5</f>
        <v>47726</v>
      </c>
      <c r="BH5" s="145">
        <f>Index!BG5</f>
        <v>47756</v>
      </c>
      <c r="BI5" s="145">
        <f>Index!BH5</f>
        <v>47787</v>
      </c>
      <c r="BJ5" s="145">
        <f>Index!BI5</f>
        <v>47817</v>
      </c>
      <c r="BK5" s="145">
        <f>Index!BJ5</f>
        <v>47848</v>
      </c>
      <c r="BL5" s="145">
        <f>Index!BK5</f>
        <v>47879</v>
      </c>
      <c r="BM5" s="145">
        <f>Index!BL5</f>
        <v>47907</v>
      </c>
      <c r="BN5" s="145">
        <f>Index!BM5</f>
        <v>47938</v>
      </c>
      <c r="BO5" s="145">
        <f>Index!BN5</f>
        <v>47968</v>
      </c>
      <c r="BP5" s="145">
        <f>Index!BO5</f>
        <v>47999</v>
      </c>
      <c r="BQ5" s="145">
        <f>Index!BP5</f>
        <v>48029</v>
      </c>
      <c r="BR5" s="145">
        <f>Index!BQ5</f>
        <v>48060</v>
      </c>
      <c r="BS5" s="145">
        <f>Index!BR5</f>
        <v>48091</v>
      </c>
      <c r="BT5" s="145">
        <f>Index!BS5</f>
        <v>48121</v>
      </c>
      <c r="BU5" s="145">
        <f>Index!BT5</f>
        <v>48152</v>
      </c>
      <c r="BV5" s="145">
        <f>Index!BU5</f>
        <v>48182</v>
      </c>
      <c r="BW5" s="145">
        <f>Index!BV5</f>
        <v>48213</v>
      </c>
      <c r="BX5" s="145">
        <f>Index!BW5</f>
        <v>48244</v>
      </c>
      <c r="BY5" s="145">
        <f>Index!BX5</f>
        <v>48273</v>
      </c>
      <c r="BZ5" s="145">
        <f>Index!BY5</f>
        <v>48304</v>
      </c>
      <c r="CA5" s="145">
        <f>Index!BZ5</f>
        <v>48334</v>
      </c>
      <c r="CB5" s="145">
        <f>Index!CA5</f>
        <v>48365</v>
      </c>
      <c r="CC5" s="145">
        <f>Index!CB5</f>
        <v>48395</v>
      </c>
      <c r="CD5" s="145">
        <f>Index!CC5</f>
        <v>48426</v>
      </c>
      <c r="CE5" s="145">
        <f>Index!CD5</f>
        <v>48457</v>
      </c>
      <c r="CF5" s="145">
        <f>Index!CE5</f>
        <v>48487</v>
      </c>
      <c r="CG5" s="145">
        <f>Index!CF5</f>
        <v>48518</v>
      </c>
      <c r="CH5" s="145">
        <f>Index!CG5</f>
        <v>48548</v>
      </c>
      <c r="CI5" s="145">
        <f>Index!CH5</f>
        <v>48579</v>
      </c>
      <c r="CJ5" s="145">
        <f>Index!CI5</f>
        <v>48610</v>
      </c>
      <c r="CK5" s="145">
        <f>Index!CJ5</f>
        <v>48638</v>
      </c>
      <c r="CL5" s="145">
        <f>Index!CK5</f>
        <v>48669</v>
      </c>
      <c r="CM5" s="145">
        <f>Index!CL5</f>
        <v>48699</v>
      </c>
      <c r="CN5" s="145">
        <f>Index!CM5</f>
        <v>48730</v>
      </c>
      <c r="CO5" s="145">
        <f>Index!CN5</f>
        <v>48760</v>
      </c>
      <c r="CP5" s="145">
        <f>Index!CO5</f>
        <v>48791</v>
      </c>
      <c r="CQ5" s="145">
        <f>Index!CP5</f>
        <v>48822</v>
      </c>
      <c r="CR5" s="145">
        <f>Index!CQ5</f>
        <v>48852</v>
      </c>
      <c r="CS5" s="145">
        <f>Index!CR5</f>
        <v>48883</v>
      </c>
      <c r="CT5" s="145">
        <f>Index!CS5</f>
        <v>48913</v>
      </c>
      <c r="CU5" s="145">
        <f>Index!CT5</f>
        <v>48944</v>
      </c>
      <c r="CV5" s="145">
        <f>Index!CU5</f>
        <v>48975</v>
      </c>
      <c r="CW5" s="145">
        <f>Index!CV5</f>
        <v>49003</v>
      </c>
      <c r="CX5" s="145">
        <f>Index!CW5</f>
        <v>49034</v>
      </c>
      <c r="CY5" s="145">
        <f>Index!CX5</f>
        <v>49064</v>
      </c>
      <c r="CZ5" s="145">
        <f>Index!CY5</f>
        <v>49095</v>
      </c>
      <c r="DA5" s="145">
        <f>Index!CZ5</f>
        <v>49125</v>
      </c>
      <c r="DB5" s="145">
        <f>Index!DA5</f>
        <v>49156</v>
      </c>
      <c r="DC5" s="145">
        <f>Index!DB5</f>
        <v>49187</v>
      </c>
      <c r="DD5" s="145">
        <f>Index!DC5</f>
        <v>49217</v>
      </c>
      <c r="DE5" s="145">
        <f>Index!DD5</f>
        <v>49248</v>
      </c>
      <c r="DF5" s="145">
        <f>Index!DE5</f>
        <v>49278</v>
      </c>
      <c r="DG5" s="145">
        <f>Index!DF5</f>
        <v>49309</v>
      </c>
      <c r="DH5" s="145">
        <f>Index!DG5</f>
        <v>49340</v>
      </c>
      <c r="DI5" s="145">
        <f>Index!DH5</f>
        <v>49368</v>
      </c>
      <c r="DJ5" s="145">
        <f>Index!DI5</f>
        <v>49399</v>
      </c>
      <c r="DK5" s="145">
        <f>Index!DJ5</f>
        <v>49429</v>
      </c>
      <c r="DL5" s="145">
        <f>Index!DK5</f>
        <v>49460</v>
      </c>
      <c r="DM5" s="145">
        <f>Index!DL5</f>
        <v>49490</v>
      </c>
      <c r="DN5" s="145">
        <f>Index!DM5</f>
        <v>49521</v>
      </c>
      <c r="DO5" s="145">
        <f>Index!DN5</f>
        <v>49552</v>
      </c>
      <c r="DP5" s="145">
        <f>Index!DO5</f>
        <v>49582</v>
      </c>
      <c r="DQ5" s="145">
        <f>Index!DP5</f>
        <v>49613</v>
      </c>
      <c r="DR5" s="145">
        <f>Index!DQ5</f>
        <v>49643</v>
      </c>
      <c r="DS5" s="145">
        <f>Index!DR5</f>
        <v>49674</v>
      </c>
      <c r="DT5" s="145">
        <f>Index!DS5</f>
        <v>49705</v>
      </c>
      <c r="DU5" s="145">
        <f>Index!DT5</f>
        <v>49734</v>
      </c>
      <c r="DV5" s="145">
        <f>Index!DU5</f>
        <v>49765</v>
      </c>
      <c r="DW5" s="145">
        <f>Index!DV5</f>
        <v>49795</v>
      </c>
      <c r="DX5" s="145">
        <f>Index!DW5</f>
        <v>49826</v>
      </c>
      <c r="DY5" s="145">
        <f>Index!DX5</f>
        <v>49856</v>
      </c>
      <c r="DZ5" s="145">
        <f>Index!DY5</f>
        <v>49887</v>
      </c>
      <c r="EA5" s="145">
        <f>Index!DZ5</f>
        <v>49918</v>
      </c>
      <c r="EB5" s="145">
        <f>Index!EA5</f>
        <v>49948</v>
      </c>
      <c r="EC5" s="145">
        <f>Index!EB5</f>
        <v>49979</v>
      </c>
      <c r="ED5" s="145">
        <f>Index!EC5</f>
        <v>50009</v>
      </c>
      <c r="EE5" s="145">
        <f>Index!ED5</f>
        <v>50040</v>
      </c>
      <c r="EF5" s="145">
        <f>Index!EE5</f>
        <v>50071</v>
      </c>
      <c r="EG5" s="145">
        <f>Index!EF5</f>
        <v>50099</v>
      </c>
      <c r="EH5" s="145">
        <f>Index!EG5</f>
        <v>50130</v>
      </c>
      <c r="EI5" s="145">
        <f>Index!EH5</f>
        <v>50160</v>
      </c>
      <c r="EJ5" s="145">
        <f>Index!EI5</f>
        <v>50191</v>
      </c>
      <c r="EK5" s="145">
        <f>Index!EJ5</f>
        <v>50221</v>
      </c>
      <c r="EL5" s="145">
        <f>Index!EK5</f>
        <v>50252</v>
      </c>
      <c r="EM5" s="145">
        <f>Index!EL5</f>
        <v>50283</v>
      </c>
      <c r="EN5" s="145">
        <f>Index!EM5</f>
        <v>50313</v>
      </c>
      <c r="EO5" s="145">
        <f>Index!EN5</f>
        <v>50344</v>
      </c>
      <c r="EP5" s="145">
        <f>Index!EO5</f>
        <v>50374</v>
      </c>
      <c r="EQ5" s="145">
        <f>Index!EP5</f>
        <v>50405</v>
      </c>
      <c r="ER5" s="145">
        <f>Index!EQ5</f>
        <v>50436</v>
      </c>
      <c r="ES5" s="146"/>
      <c r="ET5" s="146"/>
      <c r="EU5" s="146"/>
      <c r="EV5" s="146"/>
    </row>
    <row r="6" spans="1:152" ht="11.25" customHeight="1">
      <c r="C6" s="189" t="s">
        <v>2</v>
      </c>
      <c r="D6" s="148"/>
      <c r="E6" s="148"/>
      <c r="F6" s="713"/>
      <c r="G6" s="713"/>
      <c r="H6" s="713"/>
      <c r="I6" s="209"/>
      <c r="J6" s="190"/>
      <c r="K6" s="148"/>
      <c r="M6" s="149">
        <f>Index!L6</f>
        <v>2026</v>
      </c>
      <c r="N6" s="149">
        <f>Index!M6</f>
        <v>2026</v>
      </c>
      <c r="O6" s="149">
        <f>Index!N6</f>
        <v>2026</v>
      </c>
      <c r="P6" s="149">
        <f>Index!O6</f>
        <v>2027</v>
      </c>
      <c r="Q6" s="149">
        <f>Index!P6</f>
        <v>2027</v>
      </c>
      <c r="R6" s="149">
        <f>Index!Q6</f>
        <v>2027</v>
      </c>
      <c r="S6" s="149">
        <f>Index!R6</f>
        <v>2027</v>
      </c>
      <c r="T6" s="149">
        <f>Index!S6</f>
        <v>2027</v>
      </c>
      <c r="U6" s="149">
        <f>Index!T6</f>
        <v>2027</v>
      </c>
      <c r="V6" s="149">
        <f>Index!U6</f>
        <v>2027</v>
      </c>
      <c r="W6" s="149">
        <f>Index!V6</f>
        <v>2027</v>
      </c>
      <c r="X6" s="149">
        <f>Index!W6</f>
        <v>2027</v>
      </c>
      <c r="Y6" s="149">
        <f>Index!X6</f>
        <v>2027</v>
      </c>
      <c r="Z6" s="149">
        <f>Index!Y6</f>
        <v>2027</v>
      </c>
      <c r="AA6" s="149">
        <f>Index!Z6</f>
        <v>2027</v>
      </c>
      <c r="AB6" s="149">
        <f>Index!AA6</f>
        <v>2028</v>
      </c>
      <c r="AC6" s="149">
        <f>Index!AB6</f>
        <v>2028</v>
      </c>
      <c r="AD6" s="149">
        <f>Index!AC6</f>
        <v>2028</v>
      </c>
      <c r="AE6" s="149">
        <f>Index!AD6</f>
        <v>2028</v>
      </c>
      <c r="AF6" s="149">
        <f>Index!AE6</f>
        <v>2028</v>
      </c>
      <c r="AG6" s="149">
        <f>Index!AF6</f>
        <v>2028</v>
      </c>
      <c r="AH6" s="149">
        <f>Index!AG6</f>
        <v>2028</v>
      </c>
      <c r="AI6" s="149">
        <f>Index!AH6</f>
        <v>2028</v>
      </c>
      <c r="AJ6" s="149">
        <f>Index!AI6</f>
        <v>2028</v>
      </c>
      <c r="AK6" s="149">
        <f>Index!AJ6</f>
        <v>2028</v>
      </c>
      <c r="AL6" s="149">
        <f>Index!AK6</f>
        <v>2028</v>
      </c>
      <c r="AM6" s="149">
        <f>Index!AL6</f>
        <v>2028</v>
      </c>
      <c r="AN6" s="149">
        <f>Index!AM6</f>
        <v>2029</v>
      </c>
      <c r="AO6" s="149">
        <f>Index!AN6</f>
        <v>2029</v>
      </c>
      <c r="AP6" s="149">
        <f>Index!AO6</f>
        <v>2029</v>
      </c>
      <c r="AQ6" s="149">
        <f>Index!AP6</f>
        <v>2029</v>
      </c>
      <c r="AR6" s="149">
        <f>Index!AQ6</f>
        <v>2029</v>
      </c>
      <c r="AS6" s="149">
        <f>Index!AR6</f>
        <v>2029</v>
      </c>
      <c r="AT6" s="149">
        <f>Index!AS6</f>
        <v>2029</v>
      </c>
      <c r="AU6" s="149">
        <f>Index!AT6</f>
        <v>2029</v>
      </c>
      <c r="AV6" s="149">
        <f>Index!AU6</f>
        <v>2029</v>
      </c>
      <c r="AW6" s="149">
        <f>Index!AV6</f>
        <v>2029</v>
      </c>
      <c r="AX6" s="149">
        <f>Index!AW6</f>
        <v>2029</v>
      </c>
      <c r="AY6" s="149">
        <f>Index!AX6</f>
        <v>2029</v>
      </c>
      <c r="AZ6" s="149">
        <f>Index!AY6</f>
        <v>2030</v>
      </c>
      <c r="BA6" s="149">
        <f>Index!AZ6</f>
        <v>2030</v>
      </c>
      <c r="BB6" s="149">
        <f>Index!BA6</f>
        <v>2030</v>
      </c>
      <c r="BC6" s="149">
        <f>Index!BB6</f>
        <v>2030</v>
      </c>
      <c r="BD6" s="149">
        <f>Index!BC6</f>
        <v>2030</v>
      </c>
      <c r="BE6" s="149">
        <f>Index!BD6</f>
        <v>2030</v>
      </c>
      <c r="BF6" s="149">
        <f>Index!BE6</f>
        <v>2030</v>
      </c>
      <c r="BG6" s="149">
        <f>Index!BF6</f>
        <v>2030</v>
      </c>
      <c r="BH6" s="149">
        <f>Index!BG6</f>
        <v>2030</v>
      </c>
      <c r="BI6" s="149">
        <f>Index!BH6</f>
        <v>2030</v>
      </c>
      <c r="BJ6" s="149">
        <f>Index!BI6</f>
        <v>2030</v>
      </c>
      <c r="BK6" s="149">
        <f>Index!BJ6</f>
        <v>2030</v>
      </c>
      <c r="BL6" s="149">
        <f>Index!BK6</f>
        <v>2031</v>
      </c>
      <c r="BM6" s="149">
        <f>Index!BL6</f>
        <v>2031</v>
      </c>
      <c r="BN6" s="149">
        <f>Index!BM6</f>
        <v>2031</v>
      </c>
      <c r="BO6" s="149">
        <f>Index!BN6</f>
        <v>2031</v>
      </c>
      <c r="BP6" s="149">
        <f>Index!BO6</f>
        <v>2031</v>
      </c>
      <c r="BQ6" s="149">
        <f>Index!BP6</f>
        <v>2031</v>
      </c>
      <c r="BR6" s="149">
        <f>Index!BQ6</f>
        <v>2031</v>
      </c>
      <c r="BS6" s="149">
        <f>Index!BR6</f>
        <v>2031</v>
      </c>
      <c r="BT6" s="149">
        <f>Index!BS6</f>
        <v>2031</v>
      </c>
      <c r="BU6" s="149">
        <f>Index!BT6</f>
        <v>2031</v>
      </c>
      <c r="BV6" s="149">
        <f>Index!BU6</f>
        <v>2031</v>
      </c>
      <c r="BW6" s="149">
        <f>Index!BV6</f>
        <v>2031</v>
      </c>
      <c r="BX6" s="149">
        <f>Index!BW6</f>
        <v>2032</v>
      </c>
      <c r="BY6" s="149">
        <f>Index!BX6</f>
        <v>2032</v>
      </c>
      <c r="BZ6" s="149">
        <f>Index!BY6</f>
        <v>2032</v>
      </c>
      <c r="CA6" s="149">
        <f>Index!BZ6</f>
        <v>2032</v>
      </c>
      <c r="CB6" s="149">
        <f>Index!CA6</f>
        <v>2032</v>
      </c>
      <c r="CC6" s="149">
        <f>Index!CB6</f>
        <v>2032</v>
      </c>
      <c r="CD6" s="149">
        <f>Index!CC6</f>
        <v>2032</v>
      </c>
      <c r="CE6" s="149">
        <f>Index!CD6</f>
        <v>2032</v>
      </c>
      <c r="CF6" s="149">
        <f>Index!CE6</f>
        <v>2032</v>
      </c>
      <c r="CG6" s="149">
        <f>Index!CF6</f>
        <v>2032</v>
      </c>
      <c r="CH6" s="149">
        <f>Index!CG6</f>
        <v>2032</v>
      </c>
      <c r="CI6" s="149">
        <f>Index!CH6</f>
        <v>2032</v>
      </c>
      <c r="CJ6" s="149">
        <f>Index!CI6</f>
        <v>2033</v>
      </c>
      <c r="CK6" s="149">
        <f>Index!CJ6</f>
        <v>2033</v>
      </c>
      <c r="CL6" s="149">
        <f>Index!CK6</f>
        <v>2033</v>
      </c>
      <c r="CM6" s="149">
        <f>Index!CL6</f>
        <v>2033</v>
      </c>
      <c r="CN6" s="149">
        <f>Index!CM6</f>
        <v>2033</v>
      </c>
      <c r="CO6" s="149">
        <f>Index!CN6</f>
        <v>2033</v>
      </c>
      <c r="CP6" s="149">
        <f>Index!CO6</f>
        <v>2033</v>
      </c>
      <c r="CQ6" s="149">
        <f>Index!CP6</f>
        <v>2033</v>
      </c>
      <c r="CR6" s="149">
        <f>Index!CQ6</f>
        <v>2033</v>
      </c>
      <c r="CS6" s="149">
        <f>Index!CR6</f>
        <v>2033</v>
      </c>
      <c r="CT6" s="149">
        <f>Index!CS6</f>
        <v>2033</v>
      </c>
      <c r="CU6" s="149">
        <f>Index!CT6</f>
        <v>2033</v>
      </c>
      <c r="CV6" s="149">
        <f>Index!CU6</f>
        <v>2034</v>
      </c>
      <c r="CW6" s="149">
        <f>Index!CV6</f>
        <v>2034</v>
      </c>
      <c r="CX6" s="149">
        <f>Index!CW6</f>
        <v>2034</v>
      </c>
      <c r="CY6" s="149">
        <f>Index!CX6</f>
        <v>2034</v>
      </c>
      <c r="CZ6" s="149">
        <f>Index!CY6</f>
        <v>2034</v>
      </c>
      <c r="DA6" s="149">
        <f>Index!CZ6</f>
        <v>2034</v>
      </c>
      <c r="DB6" s="149">
        <f>Index!DA6</f>
        <v>2034</v>
      </c>
      <c r="DC6" s="149">
        <f>Index!DB6</f>
        <v>2034</v>
      </c>
      <c r="DD6" s="149">
        <f>Index!DC6</f>
        <v>2034</v>
      </c>
      <c r="DE6" s="149">
        <f>Index!DD6</f>
        <v>2034</v>
      </c>
      <c r="DF6" s="149">
        <f>Index!DE6</f>
        <v>2034</v>
      </c>
      <c r="DG6" s="149">
        <f>Index!DF6</f>
        <v>2034</v>
      </c>
      <c r="DH6" s="149">
        <f>Index!DG6</f>
        <v>2035</v>
      </c>
      <c r="DI6" s="149">
        <f>Index!DH6</f>
        <v>2035</v>
      </c>
      <c r="DJ6" s="149">
        <f>Index!DI6</f>
        <v>2035</v>
      </c>
      <c r="DK6" s="149">
        <f>Index!DJ6</f>
        <v>2035</v>
      </c>
      <c r="DL6" s="149">
        <f>Index!DK6</f>
        <v>2035</v>
      </c>
      <c r="DM6" s="149">
        <f>Index!DL6</f>
        <v>2035</v>
      </c>
      <c r="DN6" s="149">
        <f>Index!DM6</f>
        <v>2035</v>
      </c>
      <c r="DO6" s="149">
        <f>Index!DN6</f>
        <v>2035</v>
      </c>
      <c r="DP6" s="149">
        <f>Index!DO6</f>
        <v>2035</v>
      </c>
      <c r="DQ6" s="149">
        <f>Index!DP6</f>
        <v>2035</v>
      </c>
      <c r="DR6" s="149">
        <f>Index!DQ6</f>
        <v>2035</v>
      </c>
      <c r="DS6" s="149">
        <f>Index!DR6</f>
        <v>2035</v>
      </c>
      <c r="DT6" s="149">
        <f>Index!DS6</f>
        <v>2036</v>
      </c>
      <c r="DU6" s="149">
        <f>Index!DT6</f>
        <v>2036</v>
      </c>
      <c r="DV6" s="149">
        <f>Index!DU6</f>
        <v>2036</v>
      </c>
      <c r="DW6" s="149">
        <f>Index!DV6</f>
        <v>2036</v>
      </c>
      <c r="DX6" s="149">
        <f>Index!DW6</f>
        <v>2036</v>
      </c>
      <c r="DY6" s="149">
        <f>Index!DX6</f>
        <v>2036</v>
      </c>
      <c r="DZ6" s="149">
        <f>Index!DY6</f>
        <v>2036</v>
      </c>
      <c r="EA6" s="149">
        <f>Index!DZ6</f>
        <v>2036</v>
      </c>
      <c r="EB6" s="149">
        <f>Index!EA6</f>
        <v>2036</v>
      </c>
      <c r="EC6" s="149">
        <f>Index!EB6</f>
        <v>2036</v>
      </c>
      <c r="ED6" s="149">
        <f>Index!EC6</f>
        <v>2036</v>
      </c>
      <c r="EE6" s="149">
        <f>Index!ED6</f>
        <v>2036</v>
      </c>
      <c r="EF6" s="149">
        <f>Index!EE6</f>
        <v>2037</v>
      </c>
      <c r="EG6" s="149">
        <f>Index!EF6</f>
        <v>2037</v>
      </c>
      <c r="EH6" s="149">
        <f>Index!EG6</f>
        <v>2037</v>
      </c>
      <c r="EI6" s="149">
        <f>Index!EH6</f>
        <v>2037</v>
      </c>
      <c r="EJ6" s="149">
        <f>Index!EI6</f>
        <v>2037</v>
      </c>
      <c r="EK6" s="149">
        <f>Index!EJ6</f>
        <v>2037</v>
      </c>
      <c r="EL6" s="149">
        <f>Index!EK6</f>
        <v>2037</v>
      </c>
      <c r="EM6" s="149">
        <f>Index!EL6</f>
        <v>2037</v>
      </c>
      <c r="EN6" s="149">
        <f>Index!EM6</f>
        <v>2037</v>
      </c>
      <c r="EO6" s="149">
        <f>Index!EN6</f>
        <v>2037</v>
      </c>
      <c r="EP6" s="149">
        <f>Index!EO6</f>
        <v>2037</v>
      </c>
      <c r="EQ6" s="149">
        <f>Index!EP6</f>
        <v>2037</v>
      </c>
      <c r="ER6" s="149">
        <f>Index!EQ6</f>
        <v>2038</v>
      </c>
      <c r="ES6" s="146"/>
      <c r="ET6" s="146"/>
      <c r="EU6" s="146"/>
      <c r="EV6" s="146"/>
    </row>
    <row r="7" spans="1:152" ht="11.25" customHeight="1">
      <c r="C7" s="189" t="s">
        <v>3</v>
      </c>
      <c r="D7" s="148"/>
      <c r="E7" s="148"/>
      <c r="F7" s="713"/>
      <c r="G7" s="713"/>
      <c r="H7" s="713"/>
      <c r="I7" s="209"/>
      <c r="J7" s="190"/>
      <c r="K7" s="148"/>
      <c r="M7" s="149">
        <f>Index!L7</f>
        <v>10</v>
      </c>
      <c r="N7" s="149">
        <f>Index!M7</f>
        <v>11</v>
      </c>
      <c r="O7" s="149">
        <f>Index!N7</f>
        <v>12</v>
      </c>
      <c r="P7" s="149">
        <f>Index!O7</f>
        <v>1</v>
      </c>
      <c r="Q7" s="149">
        <f>Index!P7</f>
        <v>2</v>
      </c>
      <c r="R7" s="149">
        <f>Index!Q7</f>
        <v>3</v>
      </c>
      <c r="S7" s="149">
        <f>Index!R7</f>
        <v>4</v>
      </c>
      <c r="T7" s="149">
        <f>Index!S7</f>
        <v>5</v>
      </c>
      <c r="U7" s="149">
        <f>Index!T7</f>
        <v>6</v>
      </c>
      <c r="V7" s="149">
        <f>Index!U7</f>
        <v>7</v>
      </c>
      <c r="W7" s="149">
        <f>Index!V7</f>
        <v>8</v>
      </c>
      <c r="X7" s="149">
        <f>Index!W7</f>
        <v>9</v>
      </c>
      <c r="Y7" s="149">
        <f>Index!X7</f>
        <v>10</v>
      </c>
      <c r="Z7" s="149">
        <f>Index!Y7</f>
        <v>11</v>
      </c>
      <c r="AA7" s="149">
        <f>Index!Z7</f>
        <v>12</v>
      </c>
      <c r="AB7" s="149">
        <f>Index!AA7</f>
        <v>1</v>
      </c>
      <c r="AC7" s="149">
        <f>Index!AB7</f>
        <v>2</v>
      </c>
      <c r="AD7" s="149">
        <f>Index!AC7</f>
        <v>3</v>
      </c>
      <c r="AE7" s="149">
        <f>Index!AD7</f>
        <v>4</v>
      </c>
      <c r="AF7" s="149">
        <f>Index!AE7</f>
        <v>5</v>
      </c>
      <c r="AG7" s="149">
        <f>Index!AF7</f>
        <v>6</v>
      </c>
      <c r="AH7" s="149">
        <f>Index!AG7</f>
        <v>7</v>
      </c>
      <c r="AI7" s="149">
        <f>Index!AH7</f>
        <v>8</v>
      </c>
      <c r="AJ7" s="149">
        <f>Index!AI7</f>
        <v>9</v>
      </c>
      <c r="AK7" s="149">
        <f>Index!AJ7</f>
        <v>10</v>
      </c>
      <c r="AL7" s="149">
        <f>Index!AK7</f>
        <v>11</v>
      </c>
      <c r="AM7" s="149">
        <f>Index!AL7</f>
        <v>12</v>
      </c>
      <c r="AN7" s="149">
        <f>Index!AM7</f>
        <v>1</v>
      </c>
      <c r="AO7" s="149">
        <f>Index!AN7</f>
        <v>2</v>
      </c>
      <c r="AP7" s="149">
        <f>Index!AO7</f>
        <v>3</v>
      </c>
      <c r="AQ7" s="149">
        <f>Index!AP7</f>
        <v>4</v>
      </c>
      <c r="AR7" s="149">
        <f>Index!AQ7</f>
        <v>5</v>
      </c>
      <c r="AS7" s="149">
        <f>Index!AR7</f>
        <v>6</v>
      </c>
      <c r="AT7" s="149">
        <f>Index!AS7</f>
        <v>7</v>
      </c>
      <c r="AU7" s="149">
        <f>Index!AT7</f>
        <v>8</v>
      </c>
      <c r="AV7" s="149">
        <f>Index!AU7</f>
        <v>9</v>
      </c>
      <c r="AW7" s="149">
        <f>Index!AV7</f>
        <v>10</v>
      </c>
      <c r="AX7" s="149">
        <f>Index!AW7</f>
        <v>11</v>
      </c>
      <c r="AY7" s="149">
        <f>Index!AX7</f>
        <v>12</v>
      </c>
      <c r="AZ7" s="149">
        <f>Index!AY7</f>
        <v>1</v>
      </c>
      <c r="BA7" s="149">
        <f>Index!AZ7</f>
        <v>2</v>
      </c>
      <c r="BB7" s="149">
        <f>Index!BA7</f>
        <v>3</v>
      </c>
      <c r="BC7" s="149">
        <f>Index!BB7</f>
        <v>4</v>
      </c>
      <c r="BD7" s="149">
        <f>Index!BC7</f>
        <v>5</v>
      </c>
      <c r="BE7" s="149">
        <f>Index!BD7</f>
        <v>6</v>
      </c>
      <c r="BF7" s="149">
        <f>Index!BE7</f>
        <v>7</v>
      </c>
      <c r="BG7" s="149">
        <f>Index!BF7</f>
        <v>8</v>
      </c>
      <c r="BH7" s="149">
        <f>Index!BG7</f>
        <v>9</v>
      </c>
      <c r="BI7" s="149">
        <f>Index!BH7</f>
        <v>10</v>
      </c>
      <c r="BJ7" s="149">
        <f>Index!BI7</f>
        <v>11</v>
      </c>
      <c r="BK7" s="149">
        <f>Index!BJ7</f>
        <v>12</v>
      </c>
      <c r="BL7" s="149">
        <f>Index!BK7</f>
        <v>1</v>
      </c>
      <c r="BM7" s="149">
        <f>Index!BL7</f>
        <v>2</v>
      </c>
      <c r="BN7" s="149">
        <f>Index!BM7</f>
        <v>3</v>
      </c>
      <c r="BO7" s="149">
        <f>Index!BN7</f>
        <v>4</v>
      </c>
      <c r="BP7" s="149">
        <f>Index!BO7</f>
        <v>5</v>
      </c>
      <c r="BQ7" s="149">
        <f>Index!BP7</f>
        <v>6</v>
      </c>
      <c r="BR7" s="149">
        <f>Index!BQ7</f>
        <v>7</v>
      </c>
      <c r="BS7" s="149">
        <f>Index!BR7</f>
        <v>8</v>
      </c>
      <c r="BT7" s="149">
        <f>Index!BS7</f>
        <v>9</v>
      </c>
      <c r="BU7" s="149">
        <f>Index!BT7</f>
        <v>10</v>
      </c>
      <c r="BV7" s="149">
        <f>Index!BU7</f>
        <v>11</v>
      </c>
      <c r="BW7" s="149">
        <f>Index!BV7</f>
        <v>12</v>
      </c>
      <c r="BX7" s="149">
        <f>Index!BW7</f>
        <v>1</v>
      </c>
      <c r="BY7" s="149">
        <f>Index!BX7</f>
        <v>2</v>
      </c>
      <c r="BZ7" s="149">
        <f>Index!BY7</f>
        <v>3</v>
      </c>
      <c r="CA7" s="149">
        <f>Index!BZ7</f>
        <v>4</v>
      </c>
      <c r="CB7" s="149">
        <f>Index!CA7</f>
        <v>5</v>
      </c>
      <c r="CC7" s="149">
        <f>Index!CB7</f>
        <v>6</v>
      </c>
      <c r="CD7" s="149">
        <f>Index!CC7</f>
        <v>7</v>
      </c>
      <c r="CE7" s="149">
        <f>Index!CD7</f>
        <v>8</v>
      </c>
      <c r="CF7" s="149">
        <f>Index!CE7</f>
        <v>9</v>
      </c>
      <c r="CG7" s="149">
        <f>Index!CF7</f>
        <v>10</v>
      </c>
      <c r="CH7" s="149">
        <f>Index!CG7</f>
        <v>11</v>
      </c>
      <c r="CI7" s="149">
        <f>Index!CH7</f>
        <v>12</v>
      </c>
      <c r="CJ7" s="149">
        <f>Index!CI7</f>
        <v>1</v>
      </c>
      <c r="CK7" s="149">
        <f>Index!CJ7</f>
        <v>2</v>
      </c>
      <c r="CL7" s="149">
        <f>Index!CK7</f>
        <v>3</v>
      </c>
      <c r="CM7" s="149">
        <f>Index!CL7</f>
        <v>4</v>
      </c>
      <c r="CN7" s="149">
        <f>Index!CM7</f>
        <v>5</v>
      </c>
      <c r="CO7" s="149">
        <f>Index!CN7</f>
        <v>6</v>
      </c>
      <c r="CP7" s="149">
        <f>Index!CO7</f>
        <v>7</v>
      </c>
      <c r="CQ7" s="149">
        <f>Index!CP7</f>
        <v>8</v>
      </c>
      <c r="CR7" s="149">
        <f>Index!CQ7</f>
        <v>9</v>
      </c>
      <c r="CS7" s="149">
        <f>Index!CR7</f>
        <v>10</v>
      </c>
      <c r="CT7" s="149">
        <f>Index!CS7</f>
        <v>11</v>
      </c>
      <c r="CU7" s="149">
        <f>Index!CT7</f>
        <v>12</v>
      </c>
      <c r="CV7" s="149">
        <f>Index!CU7</f>
        <v>1</v>
      </c>
      <c r="CW7" s="149">
        <f>Index!CV7</f>
        <v>2</v>
      </c>
      <c r="CX7" s="149">
        <f>Index!CW7</f>
        <v>3</v>
      </c>
      <c r="CY7" s="149">
        <f>Index!CX7</f>
        <v>4</v>
      </c>
      <c r="CZ7" s="149">
        <f>Index!CY7</f>
        <v>5</v>
      </c>
      <c r="DA7" s="149">
        <f>Index!CZ7</f>
        <v>6</v>
      </c>
      <c r="DB7" s="149">
        <f>Index!DA7</f>
        <v>7</v>
      </c>
      <c r="DC7" s="149">
        <f>Index!DB7</f>
        <v>8</v>
      </c>
      <c r="DD7" s="149">
        <f>Index!DC7</f>
        <v>9</v>
      </c>
      <c r="DE7" s="149">
        <f>Index!DD7</f>
        <v>10</v>
      </c>
      <c r="DF7" s="149">
        <f>Index!DE7</f>
        <v>11</v>
      </c>
      <c r="DG7" s="149">
        <f>Index!DF7</f>
        <v>12</v>
      </c>
      <c r="DH7" s="149">
        <f>Index!DG7</f>
        <v>1</v>
      </c>
      <c r="DI7" s="149">
        <f>Index!DH7</f>
        <v>2</v>
      </c>
      <c r="DJ7" s="149">
        <f>Index!DI7</f>
        <v>3</v>
      </c>
      <c r="DK7" s="149">
        <f>Index!DJ7</f>
        <v>4</v>
      </c>
      <c r="DL7" s="149">
        <f>Index!DK7</f>
        <v>5</v>
      </c>
      <c r="DM7" s="149">
        <f>Index!DL7</f>
        <v>6</v>
      </c>
      <c r="DN7" s="149">
        <f>Index!DM7</f>
        <v>7</v>
      </c>
      <c r="DO7" s="149">
        <f>Index!DN7</f>
        <v>8</v>
      </c>
      <c r="DP7" s="149">
        <f>Index!DO7</f>
        <v>9</v>
      </c>
      <c r="DQ7" s="149">
        <f>Index!DP7</f>
        <v>10</v>
      </c>
      <c r="DR7" s="149">
        <f>Index!DQ7</f>
        <v>11</v>
      </c>
      <c r="DS7" s="149">
        <f>Index!DR7</f>
        <v>12</v>
      </c>
      <c r="DT7" s="149">
        <f>Index!DS7</f>
        <v>1</v>
      </c>
      <c r="DU7" s="149">
        <f>Index!DT7</f>
        <v>2</v>
      </c>
      <c r="DV7" s="149">
        <f>Index!DU7</f>
        <v>3</v>
      </c>
      <c r="DW7" s="149">
        <f>Index!DV7</f>
        <v>4</v>
      </c>
      <c r="DX7" s="149">
        <f>Index!DW7</f>
        <v>5</v>
      </c>
      <c r="DY7" s="149">
        <f>Index!DX7</f>
        <v>6</v>
      </c>
      <c r="DZ7" s="149">
        <f>Index!DY7</f>
        <v>7</v>
      </c>
      <c r="EA7" s="149">
        <f>Index!DZ7</f>
        <v>8</v>
      </c>
      <c r="EB7" s="149">
        <f>Index!EA7</f>
        <v>9</v>
      </c>
      <c r="EC7" s="149">
        <f>Index!EB7</f>
        <v>10</v>
      </c>
      <c r="ED7" s="149">
        <f>Index!EC7</f>
        <v>11</v>
      </c>
      <c r="EE7" s="149">
        <f>Index!ED7</f>
        <v>12</v>
      </c>
      <c r="EF7" s="149">
        <f>Index!EE7</f>
        <v>1</v>
      </c>
      <c r="EG7" s="149">
        <f>Index!EF7</f>
        <v>2</v>
      </c>
      <c r="EH7" s="149">
        <f>Index!EG7</f>
        <v>3</v>
      </c>
      <c r="EI7" s="149">
        <f>Index!EH7</f>
        <v>4</v>
      </c>
      <c r="EJ7" s="149">
        <f>Index!EI7</f>
        <v>5</v>
      </c>
      <c r="EK7" s="149">
        <f>Index!EJ7</f>
        <v>6</v>
      </c>
      <c r="EL7" s="149">
        <f>Index!EK7</f>
        <v>7</v>
      </c>
      <c r="EM7" s="149">
        <f>Index!EL7</f>
        <v>8</v>
      </c>
      <c r="EN7" s="149">
        <f>Index!EM7</f>
        <v>9</v>
      </c>
      <c r="EO7" s="149">
        <f>Index!EN7</f>
        <v>10</v>
      </c>
      <c r="EP7" s="149">
        <f>Index!EO7</f>
        <v>11</v>
      </c>
      <c r="EQ7" s="149">
        <f>Index!EP7</f>
        <v>12</v>
      </c>
      <c r="ER7" s="149">
        <f>Index!EQ7</f>
        <v>1</v>
      </c>
      <c r="ES7" s="146"/>
      <c r="ET7" s="146"/>
      <c r="EU7" s="146"/>
      <c r="EV7" s="146"/>
    </row>
    <row r="8" spans="1:152" ht="11.25" customHeight="1">
      <c r="C8" s="189" t="s">
        <v>153</v>
      </c>
      <c r="D8" s="148"/>
      <c r="E8" s="148"/>
      <c r="F8" s="713"/>
      <c r="G8" s="713"/>
      <c r="H8" s="713"/>
      <c r="I8" s="209"/>
      <c r="J8" s="190"/>
      <c r="K8" s="148"/>
      <c r="M8" s="150">
        <f>Index!L8</f>
        <v>0</v>
      </c>
      <c r="N8" s="150">
        <f>Index!M8</f>
        <v>1</v>
      </c>
      <c r="O8" s="150">
        <f>Index!N8</f>
        <v>2</v>
      </c>
      <c r="P8" s="150">
        <f>Index!O8</f>
        <v>3</v>
      </c>
      <c r="Q8" s="150">
        <f>Index!P8</f>
        <v>4</v>
      </c>
      <c r="R8" s="150">
        <f>Index!Q8</f>
        <v>5</v>
      </c>
      <c r="S8" s="150">
        <f>Index!R8</f>
        <v>6</v>
      </c>
      <c r="T8" s="150">
        <f>Index!S8</f>
        <v>7</v>
      </c>
      <c r="U8" s="150">
        <f>Index!T8</f>
        <v>8</v>
      </c>
      <c r="V8" s="150">
        <f>Index!U8</f>
        <v>9</v>
      </c>
      <c r="W8" s="150">
        <f>Index!V8</f>
        <v>10</v>
      </c>
      <c r="X8" s="150">
        <f>Index!W8</f>
        <v>11</v>
      </c>
      <c r="Y8" s="150">
        <f>Index!X8</f>
        <v>12</v>
      </c>
      <c r="Z8" s="150">
        <f>Index!Y8</f>
        <v>13</v>
      </c>
      <c r="AA8" s="150">
        <f>Index!Z8</f>
        <v>14</v>
      </c>
      <c r="AB8" s="150">
        <f>Index!AA8</f>
        <v>15</v>
      </c>
      <c r="AC8" s="150">
        <f>Index!AB8</f>
        <v>16</v>
      </c>
      <c r="AD8" s="150">
        <f>Index!AC8</f>
        <v>17</v>
      </c>
      <c r="AE8" s="150">
        <f>Index!AD8</f>
        <v>18</v>
      </c>
      <c r="AF8" s="150">
        <f>Index!AE8</f>
        <v>19</v>
      </c>
      <c r="AG8" s="150">
        <f>Index!AF8</f>
        <v>20</v>
      </c>
      <c r="AH8" s="150">
        <f>Index!AG8</f>
        <v>21</v>
      </c>
      <c r="AI8" s="150">
        <f>Index!AH8</f>
        <v>22</v>
      </c>
      <c r="AJ8" s="150">
        <f>Index!AI8</f>
        <v>23</v>
      </c>
      <c r="AK8" s="150">
        <f>Index!AJ8</f>
        <v>24</v>
      </c>
      <c r="AL8" s="150">
        <f>Index!AK8</f>
        <v>25</v>
      </c>
      <c r="AM8" s="150">
        <f>Index!AL8</f>
        <v>26</v>
      </c>
      <c r="AN8" s="150">
        <f>Index!AM8</f>
        <v>27</v>
      </c>
      <c r="AO8" s="150">
        <f>Index!AN8</f>
        <v>28</v>
      </c>
      <c r="AP8" s="150">
        <f>Index!AO8</f>
        <v>29</v>
      </c>
      <c r="AQ8" s="150">
        <f>Index!AP8</f>
        <v>30</v>
      </c>
      <c r="AR8" s="150">
        <f>Index!AQ8</f>
        <v>31</v>
      </c>
      <c r="AS8" s="150">
        <f>Index!AR8</f>
        <v>32</v>
      </c>
      <c r="AT8" s="150">
        <f>Index!AS8</f>
        <v>33</v>
      </c>
      <c r="AU8" s="150">
        <f>Index!AT8</f>
        <v>34</v>
      </c>
      <c r="AV8" s="150">
        <f>Index!AU8</f>
        <v>35</v>
      </c>
      <c r="AW8" s="150">
        <f>Index!AV8</f>
        <v>36</v>
      </c>
      <c r="AX8" s="150">
        <f>Index!AW8</f>
        <v>37</v>
      </c>
      <c r="AY8" s="150">
        <f>Index!AX8</f>
        <v>38</v>
      </c>
      <c r="AZ8" s="150">
        <f>Index!AY8</f>
        <v>39</v>
      </c>
      <c r="BA8" s="150">
        <f>Index!AZ8</f>
        <v>40</v>
      </c>
      <c r="BB8" s="150">
        <f>Index!BA8</f>
        <v>41</v>
      </c>
      <c r="BC8" s="150">
        <f>Index!BB8</f>
        <v>42</v>
      </c>
      <c r="BD8" s="150">
        <f>Index!BC8</f>
        <v>43</v>
      </c>
      <c r="BE8" s="150">
        <f>Index!BD8</f>
        <v>44</v>
      </c>
      <c r="BF8" s="150">
        <f>Index!BE8</f>
        <v>45</v>
      </c>
      <c r="BG8" s="150">
        <f>Index!BF8</f>
        <v>46</v>
      </c>
      <c r="BH8" s="150">
        <f>Index!BG8</f>
        <v>47</v>
      </c>
      <c r="BI8" s="150">
        <f>Index!BH8</f>
        <v>48</v>
      </c>
      <c r="BJ8" s="150">
        <f>Index!BI8</f>
        <v>49</v>
      </c>
      <c r="BK8" s="150">
        <f>Index!BJ8</f>
        <v>50</v>
      </c>
      <c r="BL8" s="150">
        <f>Index!BK8</f>
        <v>51</v>
      </c>
      <c r="BM8" s="150">
        <f>Index!BL8</f>
        <v>52</v>
      </c>
      <c r="BN8" s="150">
        <f>Index!BM8</f>
        <v>53</v>
      </c>
      <c r="BO8" s="150">
        <f>Index!BN8</f>
        <v>54</v>
      </c>
      <c r="BP8" s="150">
        <f>Index!BO8</f>
        <v>55</v>
      </c>
      <c r="BQ8" s="150">
        <f>Index!BP8</f>
        <v>56</v>
      </c>
      <c r="BR8" s="150">
        <f>Index!BQ8</f>
        <v>57</v>
      </c>
      <c r="BS8" s="150">
        <f>Index!BR8</f>
        <v>58</v>
      </c>
      <c r="BT8" s="150">
        <f>Index!BS8</f>
        <v>59</v>
      </c>
      <c r="BU8" s="150">
        <f>Index!BT8</f>
        <v>60</v>
      </c>
      <c r="BV8" s="150">
        <f>Index!BU8</f>
        <v>61</v>
      </c>
      <c r="BW8" s="150">
        <f>Index!BV8</f>
        <v>62</v>
      </c>
      <c r="BX8" s="150">
        <f>Index!BW8</f>
        <v>63</v>
      </c>
      <c r="BY8" s="150">
        <f>Index!BX8</f>
        <v>64</v>
      </c>
      <c r="BZ8" s="150">
        <f>Index!BY8</f>
        <v>65</v>
      </c>
      <c r="CA8" s="150">
        <f>Index!BZ8</f>
        <v>66</v>
      </c>
      <c r="CB8" s="150">
        <f>Index!CA8</f>
        <v>67</v>
      </c>
      <c r="CC8" s="150">
        <f>Index!CB8</f>
        <v>68</v>
      </c>
      <c r="CD8" s="150">
        <f>Index!CC8</f>
        <v>69</v>
      </c>
      <c r="CE8" s="150">
        <f>Index!CD8</f>
        <v>70</v>
      </c>
      <c r="CF8" s="150">
        <f>Index!CE8</f>
        <v>71</v>
      </c>
      <c r="CG8" s="150">
        <f>Index!CF8</f>
        <v>72</v>
      </c>
      <c r="CH8" s="150">
        <f>Index!CG8</f>
        <v>73</v>
      </c>
      <c r="CI8" s="150">
        <f>Index!CH8</f>
        <v>74</v>
      </c>
      <c r="CJ8" s="150">
        <f>Index!CI8</f>
        <v>75</v>
      </c>
      <c r="CK8" s="150">
        <f>Index!CJ8</f>
        <v>76</v>
      </c>
      <c r="CL8" s="150">
        <f>Index!CK8</f>
        <v>77</v>
      </c>
      <c r="CM8" s="150">
        <f>Index!CL8</f>
        <v>78</v>
      </c>
      <c r="CN8" s="150">
        <f>Index!CM8</f>
        <v>79</v>
      </c>
      <c r="CO8" s="150">
        <f>Index!CN8</f>
        <v>80</v>
      </c>
      <c r="CP8" s="150">
        <f>Index!CO8</f>
        <v>81</v>
      </c>
      <c r="CQ8" s="150">
        <f>Index!CP8</f>
        <v>82</v>
      </c>
      <c r="CR8" s="150">
        <f>Index!CQ8</f>
        <v>83</v>
      </c>
      <c r="CS8" s="150">
        <f>Index!CR8</f>
        <v>84</v>
      </c>
      <c r="CT8" s="150">
        <f>Index!CS8</f>
        <v>85</v>
      </c>
      <c r="CU8" s="150">
        <f>Index!CT8</f>
        <v>86</v>
      </c>
      <c r="CV8" s="150">
        <f>Index!CU8</f>
        <v>87</v>
      </c>
      <c r="CW8" s="150">
        <f>Index!CV8</f>
        <v>88</v>
      </c>
      <c r="CX8" s="150">
        <f>Index!CW8</f>
        <v>89</v>
      </c>
      <c r="CY8" s="150">
        <f>Index!CX8</f>
        <v>90</v>
      </c>
      <c r="CZ8" s="150">
        <f>Index!CY8</f>
        <v>91</v>
      </c>
      <c r="DA8" s="150">
        <f>Index!CZ8</f>
        <v>92</v>
      </c>
      <c r="DB8" s="150">
        <f>Index!DA8</f>
        <v>93</v>
      </c>
      <c r="DC8" s="150">
        <f>Index!DB8</f>
        <v>94</v>
      </c>
      <c r="DD8" s="150">
        <f>Index!DC8</f>
        <v>95</v>
      </c>
      <c r="DE8" s="150">
        <f>Index!DD8</f>
        <v>96</v>
      </c>
      <c r="DF8" s="150">
        <f>Index!DE8</f>
        <v>97</v>
      </c>
      <c r="DG8" s="150">
        <f>Index!DF8</f>
        <v>98</v>
      </c>
      <c r="DH8" s="150">
        <f>Index!DG8</f>
        <v>99</v>
      </c>
      <c r="DI8" s="150">
        <f>Index!DH8</f>
        <v>100</v>
      </c>
      <c r="DJ8" s="150">
        <f>Index!DI8</f>
        <v>101</v>
      </c>
      <c r="DK8" s="150">
        <f>Index!DJ8</f>
        <v>102</v>
      </c>
      <c r="DL8" s="150">
        <f>Index!DK8</f>
        <v>103</v>
      </c>
      <c r="DM8" s="150">
        <f>Index!DL8</f>
        <v>104</v>
      </c>
      <c r="DN8" s="150">
        <f>Index!DM8</f>
        <v>105</v>
      </c>
      <c r="DO8" s="150">
        <f>Index!DN8</f>
        <v>106</v>
      </c>
      <c r="DP8" s="150">
        <f>Index!DO8</f>
        <v>107</v>
      </c>
      <c r="DQ8" s="150">
        <f>Index!DP8</f>
        <v>108</v>
      </c>
      <c r="DR8" s="150">
        <f>Index!DQ8</f>
        <v>109</v>
      </c>
      <c r="DS8" s="150">
        <f>Index!DR8</f>
        <v>110</v>
      </c>
      <c r="DT8" s="150">
        <f>Index!DS8</f>
        <v>111</v>
      </c>
      <c r="DU8" s="150">
        <f>Index!DT8</f>
        <v>112</v>
      </c>
      <c r="DV8" s="150">
        <f>Index!DU8</f>
        <v>113</v>
      </c>
      <c r="DW8" s="150">
        <f>Index!DV8</f>
        <v>114</v>
      </c>
      <c r="DX8" s="150">
        <f>Index!DW8</f>
        <v>115</v>
      </c>
      <c r="DY8" s="150">
        <f>Index!DX8</f>
        <v>116</v>
      </c>
      <c r="DZ8" s="150">
        <f>Index!DY8</f>
        <v>117</v>
      </c>
      <c r="EA8" s="150">
        <f>Index!DZ8</f>
        <v>118</v>
      </c>
      <c r="EB8" s="150">
        <f>Index!EA8</f>
        <v>119</v>
      </c>
      <c r="EC8" s="150">
        <f>Index!EB8</f>
        <v>120</v>
      </c>
      <c r="ED8" s="150">
        <f>Index!EC8</f>
        <v>121</v>
      </c>
      <c r="EE8" s="150">
        <f>Index!ED8</f>
        <v>122</v>
      </c>
      <c r="EF8" s="150">
        <f>Index!EE8</f>
        <v>123</v>
      </c>
      <c r="EG8" s="150">
        <f>Index!EF8</f>
        <v>124</v>
      </c>
      <c r="EH8" s="150">
        <f>Index!EG8</f>
        <v>125</v>
      </c>
      <c r="EI8" s="150">
        <f>Index!EH8</f>
        <v>126</v>
      </c>
      <c r="EJ8" s="150">
        <f>Index!EI8</f>
        <v>127</v>
      </c>
      <c r="EK8" s="150">
        <f>Index!EJ8</f>
        <v>128</v>
      </c>
      <c r="EL8" s="150">
        <f>Index!EK8</f>
        <v>129</v>
      </c>
      <c r="EM8" s="150">
        <f>Index!EL8</f>
        <v>130</v>
      </c>
      <c r="EN8" s="150">
        <f>Index!EM8</f>
        <v>131</v>
      </c>
      <c r="EO8" s="150">
        <f>Index!EN8</f>
        <v>132</v>
      </c>
      <c r="EP8" s="150">
        <f>Index!EO8</f>
        <v>133</v>
      </c>
      <c r="EQ8" s="150">
        <f>Index!EP8</f>
        <v>134</v>
      </c>
      <c r="ER8" s="150">
        <f>Index!EQ8</f>
        <v>135</v>
      </c>
    </row>
    <row r="9" spans="1:152" ht="11.25" customHeight="1">
      <c r="C9" s="189" t="s">
        <v>154</v>
      </c>
      <c r="D9" s="148"/>
      <c r="E9" s="148"/>
      <c r="F9" s="713"/>
      <c r="G9" s="713"/>
      <c r="H9" s="713"/>
      <c r="I9" s="209"/>
      <c r="J9" s="190"/>
      <c r="K9" s="148"/>
      <c r="M9" s="151">
        <f>Index!L9</f>
        <v>0</v>
      </c>
      <c r="N9" s="151">
        <f>Index!M9</f>
        <v>1</v>
      </c>
      <c r="O9" s="151">
        <f>Index!N9</f>
        <v>1</v>
      </c>
      <c r="P9" s="151">
        <f>Index!O9</f>
        <v>1</v>
      </c>
      <c r="Q9" s="151">
        <f>Index!P9</f>
        <v>2</v>
      </c>
      <c r="R9" s="151">
        <f>Index!Q9</f>
        <v>2</v>
      </c>
      <c r="S9" s="151">
        <f>Index!R9</f>
        <v>2</v>
      </c>
      <c r="T9" s="151">
        <f>Index!S9</f>
        <v>3</v>
      </c>
      <c r="U9" s="151">
        <f>Index!T9</f>
        <v>3</v>
      </c>
      <c r="V9" s="151">
        <f>Index!U9</f>
        <v>3</v>
      </c>
      <c r="W9" s="151">
        <f>Index!V9</f>
        <v>4</v>
      </c>
      <c r="X9" s="151">
        <f>Index!W9</f>
        <v>4</v>
      </c>
      <c r="Y9" s="151">
        <f>Index!X9</f>
        <v>4</v>
      </c>
      <c r="Z9" s="151">
        <f>Index!Y9</f>
        <v>5</v>
      </c>
      <c r="AA9" s="151">
        <f>Index!Z9</f>
        <v>5</v>
      </c>
      <c r="AB9" s="151">
        <f>Index!AA9</f>
        <v>5</v>
      </c>
      <c r="AC9" s="151">
        <f>Index!AB9</f>
        <v>6</v>
      </c>
      <c r="AD9" s="151">
        <f>Index!AC9</f>
        <v>6</v>
      </c>
      <c r="AE9" s="151">
        <f>Index!AD9</f>
        <v>6</v>
      </c>
      <c r="AF9" s="151">
        <f>Index!AE9</f>
        <v>7</v>
      </c>
      <c r="AG9" s="151">
        <f>Index!AF9</f>
        <v>7</v>
      </c>
      <c r="AH9" s="151">
        <f>Index!AG9</f>
        <v>7</v>
      </c>
      <c r="AI9" s="151">
        <f>Index!AH9</f>
        <v>8</v>
      </c>
      <c r="AJ9" s="151">
        <f>Index!AI9</f>
        <v>8</v>
      </c>
      <c r="AK9" s="151">
        <f>Index!AJ9</f>
        <v>8</v>
      </c>
      <c r="AL9" s="151">
        <f>Index!AK9</f>
        <v>9</v>
      </c>
      <c r="AM9" s="151">
        <f>Index!AL9</f>
        <v>9</v>
      </c>
      <c r="AN9" s="151">
        <f>Index!AM9</f>
        <v>9</v>
      </c>
      <c r="AO9" s="151">
        <f>Index!AN9</f>
        <v>10</v>
      </c>
      <c r="AP9" s="151">
        <f>Index!AO9</f>
        <v>10</v>
      </c>
      <c r="AQ9" s="151">
        <f>Index!AP9</f>
        <v>10</v>
      </c>
      <c r="AR9" s="151">
        <f>Index!AQ9</f>
        <v>11</v>
      </c>
      <c r="AS9" s="151">
        <f>Index!AR9</f>
        <v>11</v>
      </c>
      <c r="AT9" s="151">
        <f>Index!AS9</f>
        <v>11</v>
      </c>
      <c r="AU9" s="151">
        <f>Index!AT9</f>
        <v>12</v>
      </c>
      <c r="AV9" s="151">
        <f>Index!AU9</f>
        <v>12</v>
      </c>
      <c r="AW9" s="151">
        <f>Index!AV9</f>
        <v>12</v>
      </c>
      <c r="AX9" s="151">
        <f>Index!AW9</f>
        <v>13</v>
      </c>
      <c r="AY9" s="151">
        <f>Index!AX9</f>
        <v>13</v>
      </c>
      <c r="AZ9" s="151">
        <f>Index!AY9</f>
        <v>13</v>
      </c>
      <c r="BA9" s="151">
        <f>Index!AZ9</f>
        <v>14</v>
      </c>
      <c r="BB9" s="151">
        <f>Index!BA9</f>
        <v>14</v>
      </c>
      <c r="BC9" s="151">
        <f>Index!BB9</f>
        <v>14</v>
      </c>
      <c r="BD9" s="151">
        <f>Index!BC9</f>
        <v>15</v>
      </c>
      <c r="BE9" s="151">
        <f>Index!BD9</f>
        <v>15</v>
      </c>
      <c r="BF9" s="151">
        <f>Index!BE9</f>
        <v>15</v>
      </c>
      <c r="BG9" s="151">
        <f>Index!BF9</f>
        <v>16</v>
      </c>
      <c r="BH9" s="151">
        <f>Index!BG9</f>
        <v>16</v>
      </c>
      <c r="BI9" s="151">
        <f>Index!BH9</f>
        <v>16</v>
      </c>
      <c r="BJ9" s="151">
        <f>Index!BI9</f>
        <v>17</v>
      </c>
      <c r="BK9" s="151">
        <f>Index!BJ9</f>
        <v>17</v>
      </c>
      <c r="BL9" s="151">
        <f>Index!BK9</f>
        <v>17</v>
      </c>
      <c r="BM9" s="151">
        <f>Index!BL9</f>
        <v>18</v>
      </c>
      <c r="BN9" s="151">
        <f>Index!BM9</f>
        <v>18</v>
      </c>
      <c r="BO9" s="151">
        <f>Index!BN9</f>
        <v>18</v>
      </c>
      <c r="BP9" s="151">
        <f>Index!BO9</f>
        <v>19</v>
      </c>
      <c r="BQ9" s="151">
        <f>Index!BP9</f>
        <v>19</v>
      </c>
      <c r="BR9" s="151">
        <f>Index!BQ9</f>
        <v>19</v>
      </c>
      <c r="BS9" s="151">
        <f>Index!BR9</f>
        <v>20</v>
      </c>
      <c r="BT9" s="151">
        <f>Index!BS9</f>
        <v>20</v>
      </c>
      <c r="BU9" s="151">
        <f>Index!BT9</f>
        <v>20</v>
      </c>
      <c r="BV9" s="151">
        <f>Index!BU9</f>
        <v>21</v>
      </c>
      <c r="BW9" s="151">
        <f>Index!BV9</f>
        <v>21</v>
      </c>
      <c r="BX9" s="151">
        <f>Index!BW9</f>
        <v>21</v>
      </c>
      <c r="BY9" s="151">
        <f>Index!BX9</f>
        <v>22</v>
      </c>
      <c r="BZ9" s="151">
        <f>Index!BY9</f>
        <v>22</v>
      </c>
      <c r="CA9" s="151">
        <f>Index!BZ9</f>
        <v>22</v>
      </c>
      <c r="CB9" s="151">
        <f>Index!CA9</f>
        <v>23</v>
      </c>
      <c r="CC9" s="151">
        <f>Index!CB9</f>
        <v>23</v>
      </c>
      <c r="CD9" s="151">
        <f>Index!CC9</f>
        <v>23</v>
      </c>
      <c r="CE9" s="151">
        <f>Index!CD9</f>
        <v>24</v>
      </c>
      <c r="CF9" s="151">
        <f>Index!CE9</f>
        <v>24</v>
      </c>
      <c r="CG9" s="151">
        <f>Index!CF9</f>
        <v>24</v>
      </c>
      <c r="CH9" s="151">
        <f>Index!CG9</f>
        <v>25</v>
      </c>
      <c r="CI9" s="151">
        <f>Index!CH9</f>
        <v>25</v>
      </c>
      <c r="CJ9" s="151">
        <f>Index!CI9</f>
        <v>25</v>
      </c>
      <c r="CK9" s="151">
        <f>Index!CJ9</f>
        <v>26</v>
      </c>
      <c r="CL9" s="151">
        <f>Index!CK9</f>
        <v>26</v>
      </c>
      <c r="CM9" s="151">
        <f>Index!CL9</f>
        <v>26</v>
      </c>
      <c r="CN9" s="151">
        <f>Index!CM9</f>
        <v>27</v>
      </c>
      <c r="CO9" s="151">
        <f>Index!CN9</f>
        <v>27</v>
      </c>
      <c r="CP9" s="151">
        <f>Index!CO9</f>
        <v>27</v>
      </c>
      <c r="CQ9" s="151">
        <f>Index!CP9</f>
        <v>28</v>
      </c>
      <c r="CR9" s="151">
        <f>Index!CQ9</f>
        <v>28</v>
      </c>
      <c r="CS9" s="151">
        <f>Index!CR9</f>
        <v>28</v>
      </c>
      <c r="CT9" s="151">
        <f>Index!CS9</f>
        <v>29</v>
      </c>
      <c r="CU9" s="151">
        <f>Index!CT9</f>
        <v>29</v>
      </c>
      <c r="CV9" s="151">
        <f>Index!CU9</f>
        <v>29</v>
      </c>
      <c r="CW9" s="151">
        <f>Index!CV9</f>
        <v>30</v>
      </c>
      <c r="CX9" s="151">
        <f>Index!CW9</f>
        <v>30</v>
      </c>
      <c r="CY9" s="151">
        <f>Index!CX9</f>
        <v>30</v>
      </c>
      <c r="CZ9" s="151">
        <f>Index!CY9</f>
        <v>31</v>
      </c>
      <c r="DA9" s="151">
        <f>Index!CZ9</f>
        <v>31</v>
      </c>
      <c r="DB9" s="151">
        <f>Index!DA9</f>
        <v>31</v>
      </c>
      <c r="DC9" s="151">
        <f>Index!DB9</f>
        <v>32</v>
      </c>
      <c r="DD9" s="151">
        <f>Index!DC9</f>
        <v>32</v>
      </c>
      <c r="DE9" s="151">
        <f>Index!DD9</f>
        <v>32</v>
      </c>
      <c r="DF9" s="151">
        <f>Index!DE9</f>
        <v>33</v>
      </c>
      <c r="DG9" s="151">
        <f>Index!DF9</f>
        <v>33</v>
      </c>
      <c r="DH9" s="151">
        <f>Index!DG9</f>
        <v>33</v>
      </c>
      <c r="DI9" s="151">
        <f>Index!DH9</f>
        <v>34</v>
      </c>
      <c r="DJ9" s="151">
        <f>Index!DI9</f>
        <v>34</v>
      </c>
      <c r="DK9" s="151">
        <f>Index!DJ9</f>
        <v>34</v>
      </c>
      <c r="DL9" s="151">
        <f>Index!DK9</f>
        <v>35</v>
      </c>
      <c r="DM9" s="151">
        <f>Index!DL9</f>
        <v>35</v>
      </c>
      <c r="DN9" s="151">
        <f>Index!DM9</f>
        <v>35</v>
      </c>
      <c r="DO9" s="151">
        <f>Index!DN9</f>
        <v>36</v>
      </c>
      <c r="DP9" s="151">
        <f>Index!DO9</f>
        <v>36</v>
      </c>
      <c r="DQ9" s="151">
        <f>Index!DP9</f>
        <v>36</v>
      </c>
      <c r="DR9" s="151">
        <f>Index!DQ9</f>
        <v>37</v>
      </c>
      <c r="DS9" s="151">
        <f>Index!DR9</f>
        <v>37</v>
      </c>
      <c r="DT9" s="151">
        <f>Index!DS9</f>
        <v>37</v>
      </c>
      <c r="DU9" s="151">
        <f>Index!DT9</f>
        <v>38</v>
      </c>
      <c r="DV9" s="151">
        <f>Index!DU9</f>
        <v>38</v>
      </c>
      <c r="DW9" s="151">
        <f>Index!DV9</f>
        <v>38</v>
      </c>
      <c r="DX9" s="151">
        <f>Index!DW9</f>
        <v>39</v>
      </c>
      <c r="DY9" s="151">
        <f>Index!DX9</f>
        <v>39</v>
      </c>
      <c r="DZ9" s="151">
        <f>Index!DY9</f>
        <v>39</v>
      </c>
      <c r="EA9" s="151">
        <f>Index!DZ9</f>
        <v>40</v>
      </c>
      <c r="EB9" s="151">
        <f>Index!EA9</f>
        <v>40</v>
      </c>
      <c r="EC9" s="151">
        <f>Index!EB9</f>
        <v>40</v>
      </c>
      <c r="ED9" s="151">
        <f>Index!EC9</f>
        <v>41</v>
      </c>
      <c r="EE9" s="151">
        <f>Index!ED9</f>
        <v>41</v>
      </c>
      <c r="EF9" s="151">
        <f>Index!EE9</f>
        <v>41</v>
      </c>
      <c r="EG9" s="151">
        <f>Index!EF9</f>
        <v>42</v>
      </c>
      <c r="EH9" s="151">
        <f>Index!EG9</f>
        <v>42</v>
      </c>
      <c r="EI9" s="151">
        <f>Index!EH9</f>
        <v>42</v>
      </c>
      <c r="EJ9" s="151">
        <f>Index!EI9</f>
        <v>43</v>
      </c>
      <c r="EK9" s="151">
        <f>Index!EJ9</f>
        <v>43</v>
      </c>
      <c r="EL9" s="151">
        <f>Index!EK9</f>
        <v>43</v>
      </c>
      <c r="EM9" s="151">
        <f>Index!EL9</f>
        <v>44</v>
      </c>
      <c r="EN9" s="151">
        <f>Index!EM9</f>
        <v>44</v>
      </c>
      <c r="EO9" s="151">
        <f>Index!EN9</f>
        <v>44</v>
      </c>
      <c r="EP9" s="151">
        <f>Index!EO9</f>
        <v>45</v>
      </c>
      <c r="EQ9" s="151">
        <f>Index!EP9</f>
        <v>45</v>
      </c>
      <c r="ER9" s="151">
        <f>Index!EQ9</f>
        <v>45</v>
      </c>
    </row>
    <row r="10" spans="1:152" ht="11.25" customHeight="1">
      <c r="C10" s="189" t="s">
        <v>155</v>
      </c>
      <c r="D10" s="148"/>
      <c r="E10" s="148"/>
      <c r="F10" s="713"/>
      <c r="G10" s="713"/>
      <c r="H10" s="713"/>
      <c r="I10" s="209"/>
      <c r="J10" s="190"/>
      <c r="K10" s="148"/>
      <c r="M10" s="152">
        <f>Index!L10</f>
        <v>0</v>
      </c>
      <c r="N10" s="152">
        <f>Index!M10</f>
        <v>1</v>
      </c>
      <c r="O10" s="152">
        <f>Index!N10</f>
        <v>1</v>
      </c>
      <c r="P10" s="152">
        <f>Index!O10</f>
        <v>1</v>
      </c>
      <c r="Q10" s="152">
        <f>Index!P10</f>
        <v>1</v>
      </c>
      <c r="R10" s="152">
        <f>Index!Q10</f>
        <v>1</v>
      </c>
      <c r="S10" s="152">
        <f>Index!R10</f>
        <v>1</v>
      </c>
      <c r="T10" s="152">
        <f>Index!S10</f>
        <v>2</v>
      </c>
      <c r="U10" s="152">
        <f>Index!T10</f>
        <v>2</v>
      </c>
      <c r="V10" s="152">
        <f>Index!U10</f>
        <v>2</v>
      </c>
      <c r="W10" s="152">
        <f>Index!V10</f>
        <v>2</v>
      </c>
      <c r="X10" s="152">
        <f>Index!W10</f>
        <v>2</v>
      </c>
      <c r="Y10" s="152">
        <f>Index!X10</f>
        <v>2</v>
      </c>
      <c r="Z10" s="152">
        <f>Index!Y10</f>
        <v>3</v>
      </c>
      <c r="AA10" s="152">
        <f>Index!Z10</f>
        <v>3</v>
      </c>
      <c r="AB10" s="152">
        <f>Index!AA10</f>
        <v>3</v>
      </c>
      <c r="AC10" s="152">
        <f>Index!AB10</f>
        <v>3</v>
      </c>
      <c r="AD10" s="152">
        <f>Index!AC10</f>
        <v>3</v>
      </c>
      <c r="AE10" s="152">
        <f>Index!AD10</f>
        <v>3</v>
      </c>
      <c r="AF10" s="152">
        <f>Index!AE10</f>
        <v>4</v>
      </c>
      <c r="AG10" s="152">
        <f>Index!AF10</f>
        <v>4</v>
      </c>
      <c r="AH10" s="152">
        <f>Index!AG10</f>
        <v>4</v>
      </c>
      <c r="AI10" s="152">
        <f>Index!AH10</f>
        <v>4</v>
      </c>
      <c r="AJ10" s="152">
        <f>Index!AI10</f>
        <v>4</v>
      </c>
      <c r="AK10" s="152">
        <f>Index!AJ10</f>
        <v>4</v>
      </c>
      <c r="AL10" s="152">
        <f>Index!AK10</f>
        <v>5</v>
      </c>
      <c r="AM10" s="152">
        <f>Index!AL10</f>
        <v>5</v>
      </c>
      <c r="AN10" s="152">
        <f>Index!AM10</f>
        <v>5</v>
      </c>
      <c r="AO10" s="152">
        <f>Index!AN10</f>
        <v>5</v>
      </c>
      <c r="AP10" s="152">
        <f>Index!AO10</f>
        <v>5</v>
      </c>
      <c r="AQ10" s="152">
        <f>Index!AP10</f>
        <v>5</v>
      </c>
      <c r="AR10" s="152">
        <f>Index!AQ10</f>
        <v>6</v>
      </c>
      <c r="AS10" s="152">
        <f>Index!AR10</f>
        <v>6</v>
      </c>
      <c r="AT10" s="152">
        <f>Index!AS10</f>
        <v>6</v>
      </c>
      <c r="AU10" s="152">
        <f>Index!AT10</f>
        <v>6</v>
      </c>
      <c r="AV10" s="152">
        <f>Index!AU10</f>
        <v>6</v>
      </c>
      <c r="AW10" s="152">
        <f>Index!AV10</f>
        <v>6</v>
      </c>
      <c r="AX10" s="152">
        <f>Index!AW10</f>
        <v>7</v>
      </c>
      <c r="AY10" s="152">
        <f>Index!AX10</f>
        <v>7</v>
      </c>
      <c r="AZ10" s="152">
        <f>Index!AY10</f>
        <v>7</v>
      </c>
      <c r="BA10" s="152">
        <f>Index!AZ10</f>
        <v>7</v>
      </c>
      <c r="BB10" s="152">
        <f>Index!BA10</f>
        <v>7</v>
      </c>
      <c r="BC10" s="152">
        <f>Index!BB10</f>
        <v>7</v>
      </c>
      <c r="BD10" s="152">
        <f>Index!BC10</f>
        <v>8</v>
      </c>
      <c r="BE10" s="152">
        <f>Index!BD10</f>
        <v>8</v>
      </c>
      <c r="BF10" s="152">
        <f>Index!BE10</f>
        <v>8</v>
      </c>
      <c r="BG10" s="152">
        <f>Index!BF10</f>
        <v>8</v>
      </c>
      <c r="BH10" s="152">
        <f>Index!BG10</f>
        <v>8</v>
      </c>
      <c r="BI10" s="152">
        <f>Index!BH10</f>
        <v>8</v>
      </c>
      <c r="BJ10" s="152">
        <f>Index!BI10</f>
        <v>9</v>
      </c>
      <c r="BK10" s="152">
        <f>Index!BJ10</f>
        <v>9</v>
      </c>
      <c r="BL10" s="152">
        <f>Index!BK10</f>
        <v>9</v>
      </c>
      <c r="BM10" s="152">
        <f>Index!BL10</f>
        <v>9</v>
      </c>
      <c r="BN10" s="152">
        <f>Index!BM10</f>
        <v>9</v>
      </c>
      <c r="BO10" s="152">
        <f>Index!BN10</f>
        <v>9</v>
      </c>
      <c r="BP10" s="152">
        <f>Index!BO10</f>
        <v>10</v>
      </c>
      <c r="BQ10" s="152">
        <f>Index!BP10</f>
        <v>10</v>
      </c>
      <c r="BR10" s="152">
        <f>Index!BQ10</f>
        <v>10</v>
      </c>
      <c r="BS10" s="152">
        <f>Index!BR10</f>
        <v>10</v>
      </c>
      <c r="BT10" s="152">
        <f>Index!BS10</f>
        <v>10</v>
      </c>
      <c r="BU10" s="152">
        <f>Index!BT10</f>
        <v>10</v>
      </c>
      <c r="BV10" s="152">
        <f>Index!BU10</f>
        <v>11</v>
      </c>
      <c r="BW10" s="152">
        <f>Index!BV10</f>
        <v>11</v>
      </c>
      <c r="BX10" s="152">
        <f>Index!BW10</f>
        <v>11</v>
      </c>
      <c r="BY10" s="152">
        <f>Index!BX10</f>
        <v>11</v>
      </c>
      <c r="BZ10" s="152">
        <f>Index!BY10</f>
        <v>11</v>
      </c>
      <c r="CA10" s="152">
        <f>Index!BZ10</f>
        <v>11</v>
      </c>
      <c r="CB10" s="152">
        <f>Index!CA10</f>
        <v>12</v>
      </c>
      <c r="CC10" s="152">
        <f>Index!CB10</f>
        <v>12</v>
      </c>
      <c r="CD10" s="152">
        <f>Index!CC10</f>
        <v>12</v>
      </c>
      <c r="CE10" s="152">
        <f>Index!CD10</f>
        <v>12</v>
      </c>
      <c r="CF10" s="152">
        <f>Index!CE10</f>
        <v>12</v>
      </c>
      <c r="CG10" s="152">
        <f>Index!CF10</f>
        <v>12</v>
      </c>
      <c r="CH10" s="152">
        <f>Index!CG10</f>
        <v>13</v>
      </c>
      <c r="CI10" s="152">
        <f>Index!CH10</f>
        <v>13</v>
      </c>
      <c r="CJ10" s="152">
        <f>Index!CI10</f>
        <v>13</v>
      </c>
      <c r="CK10" s="152">
        <f>Index!CJ10</f>
        <v>13</v>
      </c>
      <c r="CL10" s="152">
        <f>Index!CK10</f>
        <v>13</v>
      </c>
      <c r="CM10" s="152">
        <f>Index!CL10</f>
        <v>13</v>
      </c>
      <c r="CN10" s="152">
        <f>Index!CM10</f>
        <v>14</v>
      </c>
      <c r="CO10" s="152">
        <f>Index!CN10</f>
        <v>14</v>
      </c>
      <c r="CP10" s="152">
        <f>Index!CO10</f>
        <v>14</v>
      </c>
      <c r="CQ10" s="152">
        <f>Index!CP10</f>
        <v>14</v>
      </c>
      <c r="CR10" s="152">
        <f>Index!CQ10</f>
        <v>14</v>
      </c>
      <c r="CS10" s="152">
        <f>Index!CR10</f>
        <v>14</v>
      </c>
      <c r="CT10" s="152">
        <f>Index!CS10</f>
        <v>15</v>
      </c>
      <c r="CU10" s="152">
        <f>Index!CT10</f>
        <v>15</v>
      </c>
      <c r="CV10" s="152">
        <f>Index!CU10</f>
        <v>15</v>
      </c>
      <c r="CW10" s="152">
        <f>Index!CV10</f>
        <v>15</v>
      </c>
      <c r="CX10" s="152">
        <f>Index!CW10</f>
        <v>15</v>
      </c>
      <c r="CY10" s="152">
        <f>Index!CX10</f>
        <v>15</v>
      </c>
      <c r="CZ10" s="152">
        <f>Index!CY10</f>
        <v>16</v>
      </c>
      <c r="DA10" s="152">
        <f>Index!CZ10</f>
        <v>16</v>
      </c>
      <c r="DB10" s="152">
        <f>Index!DA10</f>
        <v>16</v>
      </c>
      <c r="DC10" s="152">
        <f>Index!DB10</f>
        <v>16</v>
      </c>
      <c r="DD10" s="152">
        <f>Index!DC10</f>
        <v>16</v>
      </c>
      <c r="DE10" s="152">
        <f>Index!DD10</f>
        <v>16</v>
      </c>
      <c r="DF10" s="152">
        <f>Index!DE10</f>
        <v>17</v>
      </c>
      <c r="DG10" s="152">
        <f>Index!DF10</f>
        <v>17</v>
      </c>
      <c r="DH10" s="152">
        <f>Index!DG10</f>
        <v>17</v>
      </c>
      <c r="DI10" s="152">
        <f>Index!DH10</f>
        <v>17</v>
      </c>
      <c r="DJ10" s="152">
        <f>Index!DI10</f>
        <v>17</v>
      </c>
      <c r="DK10" s="152">
        <f>Index!DJ10</f>
        <v>17</v>
      </c>
      <c r="DL10" s="152">
        <f>Index!DK10</f>
        <v>18</v>
      </c>
      <c r="DM10" s="152">
        <f>Index!DL10</f>
        <v>18</v>
      </c>
      <c r="DN10" s="152">
        <f>Index!DM10</f>
        <v>18</v>
      </c>
      <c r="DO10" s="152">
        <f>Index!DN10</f>
        <v>18</v>
      </c>
      <c r="DP10" s="152">
        <f>Index!DO10</f>
        <v>18</v>
      </c>
      <c r="DQ10" s="152">
        <f>Index!DP10</f>
        <v>18</v>
      </c>
      <c r="DR10" s="152">
        <f>Index!DQ10</f>
        <v>19</v>
      </c>
      <c r="DS10" s="152">
        <f>Index!DR10</f>
        <v>19</v>
      </c>
      <c r="DT10" s="152">
        <f>Index!DS10</f>
        <v>19</v>
      </c>
      <c r="DU10" s="152">
        <f>Index!DT10</f>
        <v>19</v>
      </c>
      <c r="DV10" s="152">
        <f>Index!DU10</f>
        <v>19</v>
      </c>
      <c r="DW10" s="152">
        <f>Index!DV10</f>
        <v>19</v>
      </c>
      <c r="DX10" s="152">
        <f>Index!DW10</f>
        <v>20</v>
      </c>
      <c r="DY10" s="152">
        <f>Index!DX10</f>
        <v>20</v>
      </c>
      <c r="DZ10" s="152">
        <f>Index!DY10</f>
        <v>20</v>
      </c>
      <c r="EA10" s="152">
        <f>Index!DZ10</f>
        <v>20</v>
      </c>
      <c r="EB10" s="152">
        <f>Index!EA10</f>
        <v>20</v>
      </c>
      <c r="EC10" s="152">
        <f>Index!EB10</f>
        <v>20</v>
      </c>
      <c r="ED10" s="152">
        <f>Index!EC10</f>
        <v>21</v>
      </c>
      <c r="EE10" s="152">
        <f>Index!ED10</f>
        <v>21</v>
      </c>
      <c r="EF10" s="152">
        <f>Index!EE10</f>
        <v>21</v>
      </c>
      <c r="EG10" s="152">
        <f>Index!EF10</f>
        <v>21</v>
      </c>
      <c r="EH10" s="152">
        <f>Index!EG10</f>
        <v>21</v>
      </c>
      <c r="EI10" s="152">
        <f>Index!EH10</f>
        <v>21</v>
      </c>
      <c r="EJ10" s="152">
        <f>Index!EI10</f>
        <v>22</v>
      </c>
      <c r="EK10" s="152">
        <f>Index!EJ10</f>
        <v>22</v>
      </c>
      <c r="EL10" s="152">
        <f>Index!EK10</f>
        <v>22</v>
      </c>
      <c r="EM10" s="152">
        <f>Index!EL10</f>
        <v>22</v>
      </c>
      <c r="EN10" s="152">
        <f>Index!EM10</f>
        <v>22</v>
      </c>
      <c r="EO10" s="152">
        <f>Index!EN10</f>
        <v>22</v>
      </c>
      <c r="EP10" s="152">
        <f>Index!EO10</f>
        <v>23</v>
      </c>
      <c r="EQ10" s="152">
        <f>Index!EP10</f>
        <v>23</v>
      </c>
      <c r="ER10" s="152">
        <f>Index!EQ10</f>
        <v>23</v>
      </c>
    </row>
    <row r="11" spans="1:152" ht="11.25" customHeight="1">
      <c r="C11" s="189" t="s">
        <v>156</v>
      </c>
      <c r="D11" s="148"/>
      <c r="E11" s="148"/>
      <c r="F11" s="713"/>
      <c r="G11" s="713"/>
      <c r="H11" s="713"/>
      <c r="I11" s="209"/>
      <c r="J11" s="190"/>
      <c r="K11" s="148"/>
      <c r="M11" s="153">
        <f>Index!L11</f>
        <v>0</v>
      </c>
      <c r="N11" s="153">
        <f>Index!M11</f>
        <v>1</v>
      </c>
      <c r="O11" s="153">
        <f>Index!N11</f>
        <v>1</v>
      </c>
      <c r="P11" s="153">
        <f>Index!O11</f>
        <v>1</v>
      </c>
      <c r="Q11" s="153">
        <f>Index!P11</f>
        <v>1</v>
      </c>
      <c r="R11" s="153">
        <f>Index!Q11</f>
        <v>1</v>
      </c>
      <c r="S11" s="153">
        <f>Index!R11</f>
        <v>1</v>
      </c>
      <c r="T11" s="153">
        <f>Index!S11</f>
        <v>1</v>
      </c>
      <c r="U11" s="153">
        <f>Index!T11</f>
        <v>1</v>
      </c>
      <c r="V11" s="153">
        <f>Index!U11</f>
        <v>1</v>
      </c>
      <c r="W11" s="153">
        <f>Index!V11</f>
        <v>1</v>
      </c>
      <c r="X11" s="153">
        <f>Index!W11</f>
        <v>1</v>
      </c>
      <c r="Y11" s="153">
        <f>Index!X11</f>
        <v>1</v>
      </c>
      <c r="Z11" s="153">
        <f>Index!Y11</f>
        <v>2</v>
      </c>
      <c r="AA11" s="153">
        <f>Index!Z11</f>
        <v>2</v>
      </c>
      <c r="AB11" s="153">
        <f>Index!AA11</f>
        <v>2</v>
      </c>
      <c r="AC11" s="153">
        <f>Index!AB11</f>
        <v>2</v>
      </c>
      <c r="AD11" s="153">
        <f>Index!AC11</f>
        <v>2</v>
      </c>
      <c r="AE11" s="153">
        <f>Index!AD11</f>
        <v>2</v>
      </c>
      <c r="AF11" s="153">
        <f>Index!AE11</f>
        <v>2</v>
      </c>
      <c r="AG11" s="153">
        <f>Index!AF11</f>
        <v>2</v>
      </c>
      <c r="AH11" s="153">
        <f>Index!AG11</f>
        <v>2</v>
      </c>
      <c r="AI11" s="153">
        <f>Index!AH11</f>
        <v>2</v>
      </c>
      <c r="AJ11" s="153">
        <f>Index!AI11</f>
        <v>2</v>
      </c>
      <c r="AK11" s="153">
        <f>Index!AJ11</f>
        <v>2</v>
      </c>
      <c r="AL11" s="153">
        <f>Index!AK11</f>
        <v>3</v>
      </c>
      <c r="AM11" s="153">
        <f>Index!AL11</f>
        <v>3</v>
      </c>
      <c r="AN11" s="153">
        <f>Index!AM11</f>
        <v>3</v>
      </c>
      <c r="AO11" s="153">
        <f>Index!AN11</f>
        <v>3</v>
      </c>
      <c r="AP11" s="153">
        <f>Index!AO11</f>
        <v>3</v>
      </c>
      <c r="AQ11" s="153">
        <f>Index!AP11</f>
        <v>3</v>
      </c>
      <c r="AR11" s="153">
        <f>Index!AQ11</f>
        <v>3</v>
      </c>
      <c r="AS11" s="153">
        <f>Index!AR11</f>
        <v>3</v>
      </c>
      <c r="AT11" s="153">
        <f>Index!AS11</f>
        <v>3</v>
      </c>
      <c r="AU11" s="153">
        <f>Index!AT11</f>
        <v>3</v>
      </c>
      <c r="AV11" s="153">
        <f>Index!AU11</f>
        <v>3</v>
      </c>
      <c r="AW11" s="153">
        <f>Index!AV11</f>
        <v>3</v>
      </c>
      <c r="AX11" s="153">
        <f>Index!AW11</f>
        <v>4</v>
      </c>
      <c r="AY11" s="153">
        <f>Index!AX11</f>
        <v>4</v>
      </c>
      <c r="AZ11" s="153">
        <f>Index!AY11</f>
        <v>4</v>
      </c>
      <c r="BA11" s="153">
        <f>Index!AZ11</f>
        <v>4</v>
      </c>
      <c r="BB11" s="153">
        <f>Index!BA11</f>
        <v>4</v>
      </c>
      <c r="BC11" s="153">
        <f>Index!BB11</f>
        <v>4</v>
      </c>
      <c r="BD11" s="153">
        <f>Index!BC11</f>
        <v>4</v>
      </c>
      <c r="BE11" s="153">
        <f>Index!BD11</f>
        <v>4</v>
      </c>
      <c r="BF11" s="153">
        <f>Index!BE11</f>
        <v>4</v>
      </c>
      <c r="BG11" s="153">
        <f>Index!BF11</f>
        <v>4</v>
      </c>
      <c r="BH11" s="153">
        <f>Index!BG11</f>
        <v>4</v>
      </c>
      <c r="BI11" s="153">
        <f>Index!BH11</f>
        <v>4</v>
      </c>
      <c r="BJ11" s="153">
        <f>Index!BI11</f>
        <v>5</v>
      </c>
      <c r="BK11" s="153">
        <f>Index!BJ11</f>
        <v>5</v>
      </c>
      <c r="BL11" s="153">
        <f>Index!BK11</f>
        <v>5</v>
      </c>
      <c r="BM11" s="153">
        <f>Index!BL11</f>
        <v>5</v>
      </c>
      <c r="BN11" s="153">
        <f>Index!BM11</f>
        <v>5</v>
      </c>
      <c r="BO11" s="153">
        <f>Index!BN11</f>
        <v>5</v>
      </c>
      <c r="BP11" s="153">
        <f>Index!BO11</f>
        <v>5</v>
      </c>
      <c r="BQ11" s="153">
        <f>Index!BP11</f>
        <v>5</v>
      </c>
      <c r="BR11" s="153">
        <f>Index!BQ11</f>
        <v>5</v>
      </c>
      <c r="BS11" s="153">
        <f>Index!BR11</f>
        <v>5</v>
      </c>
      <c r="BT11" s="153">
        <f>Index!BS11</f>
        <v>5</v>
      </c>
      <c r="BU11" s="153">
        <f>Index!BT11</f>
        <v>5</v>
      </c>
      <c r="BV11" s="153">
        <f>Index!BU11</f>
        <v>6</v>
      </c>
      <c r="BW11" s="153">
        <f>Index!BV11</f>
        <v>6</v>
      </c>
      <c r="BX11" s="153">
        <f>Index!BW11</f>
        <v>6</v>
      </c>
      <c r="BY11" s="153">
        <f>Index!BX11</f>
        <v>6</v>
      </c>
      <c r="BZ11" s="153">
        <f>Index!BY11</f>
        <v>6</v>
      </c>
      <c r="CA11" s="153">
        <f>Index!BZ11</f>
        <v>6</v>
      </c>
      <c r="CB11" s="153">
        <f>Index!CA11</f>
        <v>6</v>
      </c>
      <c r="CC11" s="153">
        <f>Index!CB11</f>
        <v>6</v>
      </c>
      <c r="CD11" s="153">
        <f>Index!CC11</f>
        <v>6</v>
      </c>
      <c r="CE11" s="153">
        <f>Index!CD11</f>
        <v>6</v>
      </c>
      <c r="CF11" s="153">
        <f>Index!CE11</f>
        <v>6</v>
      </c>
      <c r="CG11" s="153">
        <f>Index!CF11</f>
        <v>6</v>
      </c>
      <c r="CH11" s="153">
        <f>Index!CG11</f>
        <v>7</v>
      </c>
      <c r="CI11" s="153">
        <f>Index!CH11</f>
        <v>7</v>
      </c>
      <c r="CJ11" s="153">
        <f>Index!CI11</f>
        <v>7</v>
      </c>
      <c r="CK11" s="153">
        <f>Index!CJ11</f>
        <v>7</v>
      </c>
      <c r="CL11" s="153">
        <f>Index!CK11</f>
        <v>7</v>
      </c>
      <c r="CM11" s="153">
        <f>Index!CL11</f>
        <v>7</v>
      </c>
      <c r="CN11" s="153">
        <f>Index!CM11</f>
        <v>7</v>
      </c>
      <c r="CO11" s="153">
        <f>Index!CN11</f>
        <v>7</v>
      </c>
      <c r="CP11" s="153">
        <f>Index!CO11</f>
        <v>7</v>
      </c>
      <c r="CQ11" s="153">
        <f>Index!CP11</f>
        <v>7</v>
      </c>
      <c r="CR11" s="153">
        <f>Index!CQ11</f>
        <v>7</v>
      </c>
      <c r="CS11" s="153">
        <f>Index!CR11</f>
        <v>7</v>
      </c>
      <c r="CT11" s="153">
        <f>Index!CS11</f>
        <v>8</v>
      </c>
      <c r="CU11" s="153">
        <f>Index!CT11</f>
        <v>8</v>
      </c>
      <c r="CV11" s="153">
        <f>Index!CU11</f>
        <v>8</v>
      </c>
      <c r="CW11" s="153">
        <f>Index!CV11</f>
        <v>8</v>
      </c>
      <c r="CX11" s="153">
        <f>Index!CW11</f>
        <v>8</v>
      </c>
      <c r="CY11" s="153">
        <f>Index!CX11</f>
        <v>8</v>
      </c>
      <c r="CZ11" s="153">
        <f>Index!CY11</f>
        <v>8</v>
      </c>
      <c r="DA11" s="153">
        <f>Index!CZ11</f>
        <v>8</v>
      </c>
      <c r="DB11" s="153">
        <f>Index!DA11</f>
        <v>8</v>
      </c>
      <c r="DC11" s="153">
        <f>Index!DB11</f>
        <v>8</v>
      </c>
      <c r="DD11" s="153">
        <f>Index!DC11</f>
        <v>8</v>
      </c>
      <c r="DE11" s="153">
        <f>Index!DD11</f>
        <v>8</v>
      </c>
      <c r="DF11" s="153">
        <f>Index!DE11</f>
        <v>9</v>
      </c>
      <c r="DG11" s="153">
        <f>Index!DF11</f>
        <v>9</v>
      </c>
      <c r="DH11" s="153">
        <f>Index!DG11</f>
        <v>9</v>
      </c>
      <c r="DI11" s="153">
        <f>Index!DH11</f>
        <v>9</v>
      </c>
      <c r="DJ11" s="153">
        <f>Index!DI11</f>
        <v>9</v>
      </c>
      <c r="DK11" s="153">
        <f>Index!DJ11</f>
        <v>9</v>
      </c>
      <c r="DL11" s="153">
        <f>Index!DK11</f>
        <v>9</v>
      </c>
      <c r="DM11" s="153">
        <f>Index!DL11</f>
        <v>9</v>
      </c>
      <c r="DN11" s="153">
        <f>Index!DM11</f>
        <v>9</v>
      </c>
      <c r="DO11" s="153">
        <f>Index!DN11</f>
        <v>9</v>
      </c>
      <c r="DP11" s="153">
        <f>Index!DO11</f>
        <v>9</v>
      </c>
      <c r="DQ11" s="153">
        <f>Index!DP11</f>
        <v>9</v>
      </c>
      <c r="DR11" s="153">
        <f>Index!DQ11</f>
        <v>10</v>
      </c>
      <c r="DS11" s="153">
        <f>Index!DR11</f>
        <v>10</v>
      </c>
      <c r="DT11" s="153">
        <f>Index!DS11</f>
        <v>10</v>
      </c>
      <c r="DU11" s="153">
        <f>Index!DT11</f>
        <v>10</v>
      </c>
      <c r="DV11" s="153">
        <f>Index!DU11</f>
        <v>10</v>
      </c>
      <c r="DW11" s="153">
        <f>Index!DV11</f>
        <v>10</v>
      </c>
      <c r="DX11" s="153">
        <f>Index!DW11</f>
        <v>10</v>
      </c>
      <c r="DY11" s="153">
        <f>Index!DX11</f>
        <v>10</v>
      </c>
      <c r="DZ11" s="153">
        <f>Index!DY11</f>
        <v>10</v>
      </c>
      <c r="EA11" s="153">
        <f>Index!DZ11</f>
        <v>10</v>
      </c>
      <c r="EB11" s="153">
        <f>Index!EA11</f>
        <v>10</v>
      </c>
      <c r="EC11" s="153">
        <f>Index!EB11</f>
        <v>10</v>
      </c>
      <c r="ED11" s="153">
        <f>Index!EC11</f>
        <v>11</v>
      </c>
      <c r="EE11" s="153">
        <f>Index!ED11</f>
        <v>11</v>
      </c>
      <c r="EF11" s="153">
        <f>Index!EE11</f>
        <v>11</v>
      </c>
      <c r="EG11" s="153">
        <f>Index!EF11</f>
        <v>11</v>
      </c>
      <c r="EH11" s="153">
        <f>Index!EG11</f>
        <v>11</v>
      </c>
      <c r="EI11" s="153">
        <f>Index!EH11</f>
        <v>11</v>
      </c>
      <c r="EJ11" s="153">
        <f>Index!EI11</f>
        <v>11</v>
      </c>
      <c r="EK11" s="153">
        <f>Index!EJ11</f>
        <v>11</v>
      </c>
      <c r="EL11" s="153">
        <f>Index!EK11</f>
        <v>11</v>
      </c>
      <c r="EM11" s="153">
        <f>Index!EL11</f>
        <v>11</v>
      </c>
      <c r="EN11" s="153">
        <f>Index!EM11</f>
        <v>11</v>
      </c>
      <c r="EO11" s="153">
        <f>Index!EN11</f>
        <v>11</v>
      </c>
      <c r="EP11" s="153">
        <f>Index!EO11</f>
        <v>12</v>
      </c>
      <c r="EQ11" s="153">
        <f>Index!EP11</f>
        <v>12</v>
      </c>
      <c r="ER11" s="153">
        <f>Index!EQ11</f>
        <v>12</v>
      </c>
    </row>
    <row r="12" spans="1:152" ht="11.25" customHeight="1">
      <c r="C12" s="189" t="s">
        <v>1113</v>
      </c>
      <c r="D12" s="148"/>
      <c r="E12" s="148"/>
      <c r="F12" s="713"/>
      <c r="G12" s="713"/>
      <c r="H12" s="713"/>
      <c r="I12" s="209"/>
      <c r="J12" s="190"/>
      <c r="K12" s="148"/>
      <c r="M12" s="1872">
        <f>SUMIF('A&amp;R'!$Y$35:$AH$35,M$11,'A&amp;R'!$Y$34:$AH$34)</f>
        <v>0</v>
      </c>
      <c r="N12" s="1872">
        <f>SUMIF('A&amp;R'!$Y$35:$AH$35,N$11,'A&amp;R'!$Y$34:$AH$34)</f>
        <v>0</v>
      </c>
      <c r="O12" s="1872">
        <f>SUMIF('A&amp;R'!$Y$35:$AH$35,O$11,'A&amp;R'!$Y$34:$AH$34)</f>
        <v>0</v>
      </c>
      <c r="P12" s="1872">
        <f>SUMIF('A&amp;R'!$Y$35:$AH$35,P$11,'A&amp;R'!$Y$34:$AH$34)</f>
        <v>0</v>
      </c>
      <c r="Q12" s="1872">
        <f>SUMIF('A&amp;R'!$Y$35:$AH$35,Q$11,'A&amp;R'!$Y$34:$AH$34)</f>
        <v>0</v>
      </c>
      <c r="R12" s="1872">
        <f>SUMIF('A&amp;R'!$Y$35:$AH$35,R$11,'A&amp;R'!$Y$34:$AH$34)</f>
        <v>0</v>
      </c>
      <c r="S12" s="1872">
        <f>SUMIF('A&amp;R'!$Y$35:$AH$35,S$11,'A&amp;R'!$Y$34:$AH$34)</f>
        <v>0</v>
      </c>
      <c r="T12" s="1872">
        <f>SUMIF('A&amp;R'!$Y$35:$AH$35,T$11,'A&amp;R'!$Y$34:$AH$34)</f>
        <v>0</v>
      </c>
      <c r="U12" s="1872">
        <f>SUMIF('A&amp;R'!$Y$35:$AH$35,U$11,'A&amp;R'!$Y$34:$AH$34)</f>
        <v>0</v>
      </c>
      <c r="V12" s="1872">
        <f>SUMIF('A&amp;R'!$Y$35:$AH$35,V$11,'A&amp;R'!$Y$34:$AH$34)</f>
        <v>0</v>
      </c>
      <c r="W12" s="1872">
        <f>SUMIF('A&amp;R'!$Y$35:$AH$35,W$11,'A&amp;R'!$Y$34:$AH$34)</f>
        <v>0</v>
      </c>
      <c r="X12" s="1872">
        <f>SUMIF('A&amp;R'!$Y$35:$AH$35,X$11,'A&amp;R'!$Y$34:$AH$34)</f>
        <v>0</v>
      </c>
      <c r="Y12" s="1872">
        <f>SUMIF('A&amp;R'!$Y$35:$AH$35,Y$11,'A&amp;R'!$Y$34:$AH$34)</f>
        <v>0</v>
      </c>
      <c r="Z12" s="1872">
        <f>SUMIF('A&amp;R'!$Y$35:$AH$35,Z$11,'A&amp;R'!$Y$34:$AH$34)</f>
        <v>0</v>
      </c>
      <c r="AA12" s="1872">
        <f>SUMIF('A&amp;R'!$Y$35:$AH$35,AA$11,'A&amp;R'!$Y$34:$AH$34)</f>
        <v>0</v>
      </c>
      <c r="AB12" s="1872">
        <f>SUMIF('A&amp;R'!$Y$35:$AH$35,AB$11,'A&amp;R'!$Y$34:$AH$34)</f>
        <v>0</v>
      </c>
      <c r="AC12" s="1872">
        <f>SUMIF('A&amp;R'!$Y$35:$AH$35,AC$11,'A&amp;R'!$Y$34:$AH$34)</f>
        <v>0</v>
      </c>
      <c r="AD12" s="1872">
        <f>SUMIF('A&amp;R'!$Y$35:$AH$35,AD$11,'A&amp;R'!$Y$34:$AH$34)</f>
        <v>0</v>
      </c>
      <c r="AE12" s="1872">
        <f>SUMIF('A&amp;R'!$Y$35:$AH$35,AE$11,'A&amp;R'!$Y$34:$AH$34)</f>
        <v>0</v>
      </c>
      <c r="AF12" s="1872">
        <f>SUMIF('A&amp;R'!$Y$35:$AH$35,AF$11,'A&amp;R'!$Y$34:$AH$34)</f>
        <v>0</v>
      </c>
      <c r="AG12" s="1872">
        <f>SUMIF('A&amp;R'!$Y$35:$AH$35,AG$11,'A&amp;R'!$Y$34:$AH$34)</f>
        <v>0</v>
      </c>
      <c r="AH12" s="1872">
        <f>SUMIF('A&amp;R'!$Y$35:$AH$35,AH$11,'A&amp;R'!$Y$34:$AH$34)</f>
        <v>0</v>
      </c>
      <c r="AI12" s="1872">
        <f>SUMIF('A&amp;R'!$Y$35:$AH$35,AI$11,'A&amp;R'!$Y$34:$AH$34)</f>
        <v>0</v>
      </c>
      <c r="AJ12" s="1872">
        <f>SUMIF('A&amp;R'!$Y$35:$AH$35,AJ$11,'A&amp;R'!$Y$34:$AH$34)</f>
        <v>0</v>
      </c>
      <c r="AK12" s="1872">
        <f>SUMIF('A&amp;R'!$Y$35:$AH$35,AK$11,'A&amp;R'!$Y$34:$AH$34)</f>
        <v>0</v>
      </c>
      <c r="AL12" s="1872">
        <f>SUMIF('A&amp;R'!$Y$35:$AH$35,AL$11,'A&amp;R'!$Y$34:$AH$34)</f>
        <v>0</v>
      </c>
      <c r="AM12" s="1872">
        <f>SUMIF('A&amp;R'!$Y$35:$AH$35,AM$11,'A&amp;R'!$Y$34:$AH$34)</f>
        <v>0</v>
      </c>
      <c r="AN12" s="1872">
        <f>SUMIF('A&amp;R'!$Y$35:$AH$35,AN$11,'A&amp;R'!$Y$34:$AH$34)</f>
        <v>0</v>
      </c>
      <c r="AO12" s="1872">
        <f>SUMIF('A&amp;R'!$Y$35:$AH$35,AO$11,'A&amp;R'!$Y$34:$AH$34)</f>
        <v>0</v>
      </c>
      <c r="AP12" s="1872">
        <f>SUMIF('A&amp;R'!$Y$35:$AH$35,AP$11,'A&amp;R'!$Y$34:$AH$34)</f>
        <v>0</v>
      </c>
      <c r="AQ12" s="1872">
        <f>SUMIF('A&amp;R'!$Y$35:$AH$35,AQ$11,'A&amp;R'!$Y$34:$AH$34)</f>
        <v>0</v>
      </c>
      <c r="AR12" s="1872">
        <f>SUMIF('A&amp;R'!$Y$35:$AH$35,AR$11,'A&amp;R'!$Y$34:$AH$34)</f>
        <v>0</v>
      </c>
      <c r="AS12" s="1872">
        <f>SUMIF('A&amp;R'!$Y$35:$AH$35,AS$11,'A&amp;R'!$Y$34:$AH$34)</f>
        <v>0</v>
      </c>
      <c r="AT12" s="1872">
        <f>SUMIF('A&amp;R'!$Y$35:$AH$35,AT$11,'A&amp;R'!$Y$34:$AH$34)</f>
        <v>0</v>
      </c>
      <c r="AU12" s="1872">
        <f>SUMIF('A&amp;R'!$Y$35:$AH$35,AU$11,'A&amp;R'!$Y$34:$AH$34)</f>
        <v>0</v>
      </c>
      <c r="AV12" s="1872">
        <f>SUMIF('A&amp;R'!$Y$35:$AH$35,AV$11,'A&amp;R'!$Y$34:$AH$34)</f>
        <v>0</v>
      </c>
      <c r="AW12" s="1872">
        <f>SUMIF('A&amp;R'!$Y$35:$AH$35,AW$11,'A&amp;R'!$Y$34:$AH$34)</f>
        <v>0</v>
      </c>
      <c r="AX12" s="1872">
        <f>SUMIF('A&amp;R'!$Y$35:$AH$35,AX$11,'A&amp;R'!$Y$34:$AH$34)</f>
        <v>0</v>
      </c>
      <c r="AY12" s="1872">
        <f>SUMIF('A&amp;R'!$Y$35:$AH$35,AY$11,'A&amp;R'!$Y$34:$AH$34)</f>
        <v>0</v>
      </c>
      <c r="AZ12" s="1872">
        <f>SUMIF('A&amp;R'!$Y$35:$AH$35,AZ$11,'A&amp;R'!$Y$34:$AH$34)</f>
        <v>0</v>
      </c>
      <c r="BA12" s="1872">
        <f>SUMIF('A&amp;R'!$Y$35:$AH$35,BA$11,'A&amp;R'!$Y$34:$AH$34)</f>
        <v>0</v>
      </c>
      <c r="BB12" s="1872">
        <f>SUMIF('A&amp;R'!$Y$35:$AH$35,BB$11,'A&amp;R'!$Y$34:$AH$34)</f>
        <v>0</v>
      </c>
      <c r="BC12" s="1872">
        <f>SUMIF('A&amp;R'!$Y$35:$AH$35,BC$11,'A&amp;R'!$Y$34:$AH$34)</f>
        <v>0</v>
      </c>
      <c r="BD12" s="1872">
        <f>SUMIF('A&amp;R'!$Y$35:$AH$35,BD$11,'A&amp;R'!$Y$34:$AH$34)</f>
        <v>0</v>
      </c>
      <c r="BE12" s="1872">
        <f>SUMIF('A&amp;R'!$Y$35:$AH$35,BE$11,'A&amp;R'!$Y$34:$AH$34)</f>
        <v>0</v>
      </c>
      <c r="BF12" s="1872">
        <f>SUMIF('A&amp;R'!$Y$35:$AH$35,BF$11,'A&amp;R'!$Y$34:$AH$34)</f>
        <v>0</v>
      </c>
      <c r="BG12" s="1872">
        <f>SUMIF('A&amp;R'!$Y$35:$AH$35,BG$11,'A&amp;R'!$Y$34:$AH$34)</f>
        <v>0</v>
      </c>
      <c r="BH12" s="1872">
        <f>SUMIF('A&amp;R'!$Y$35:$AH$35,BH$11,'A&amp;R'!$Y$34:$AH$34)</f>
        <v>0</v>
      </c>
      <c r="BI12" s="1872">
        <f>SUMIF('A&amp;R'!$Y$35:$AH$35,BI$11,'A&amp;R'!$Y$34:$AH$34)</f>
        <v>0</v>
      </c>
      <c r="BJ12" s="1872">
        <f>SUMIF('A&amp;R'!$Y$35:$AH$35,BJ$11,'A&amp;R'!$Y$34:$AH$34)</f>
        <v>0</v>
      </c>
      <c r="BK12" s="1872">
        <f>SUMIF('A&amp;R'!$Y$35:$AH$35,BK$11,'A&amp;R'!$Y$34:$AH$34)</f>
        <v>0</v>
      </c>
      <c r="BL12" s="1872">
        <f>SUMIF('A&amp;R'!$Y$35:$AH$35,BL$11,'A&amp;R'!$Y$34:$AH$34)</f>
        <v>0</v>
      </c>
      <c r="BM12" s="1872">
        <f>SUMIF('A&amp;R'!$Y$35:$AH$35,BM$11,'A&amp;R'!$Y$34:$AH$34)</f>
        <v>0</v>
      </c>
      <c r="BN12" s="1872">
        <f>SUMIF('A&amp;R'!$Y$35:$AH$35,BN$11,'A&amp;R'!$Y$34:$AH$34)</f>
        <v>0</v>
      </c>
      <c r="BO12" s="1872">
        <f>SUMIF('A&amp;R'!$Y$35:$AH$35,BO$11,'A&amp;R'!$Y$34:$AH$34)</f>
        <v>0</v>
      </c>
      <c r="BP12" s="1872">
        <f>SUMIF('A&amp;R'!$Y$35:$AH$35,BP$11,'A&amp;R'!$Y$34:$AH$34)</f>
        <v>0</v>
      </c>
      <c r="BQ12" s="1872">
        <f>SUMIF('A&amp;R'!$Y$35:$AH$35,BQ$11,'A&amp;R'!$Y$34:$AH$34)</f>
        <v>0</v>
      </c>
      <c r="BR12" s="1872">
        <f>SUMIF('A&amp;R'!$Y$35:$AH$35,BR$11,'A&amp;R'!$Y$34:$AH$34)</f>
        <v>0</v>
      </c>
      <c r="BS12" s="1872">
        <f>SUMIF('A&amp;R'!$Y$35:$AH$35,BS$11,'A&amp;R'!$Y$34:$AH$34)</f>
        <v>0</v>
      </c>
      <c r="BT12" s="1872">
        <f>SUMIF('A&amp;R'!$Y$35:$AH$35,BT$11,'A&amp;R'!$Y$34:$AH$34)</f>
        <v>0</v>
      </c>
      <c r="BU12" s="1872">
        <f>SUMIF('A&amp;R'!$Y$35:$AH$35,BU$11,'A&amp;R'!$Y$34:$AH$34)</f>
        <v>0</v>
      </c>
      <c r="BV12" s="1872">
        <f>SUMIF('A&amp;R'!$Y$35:$AH$35,BV$11,'A&amp;R'!$Y$34:$AH$34)</f>
        <v>0</v>
      </c>
      <c r="BW12" s="1872">
        <f>SUMIF('A&amp;R'!$Y$35:$AH$35,BW$11,'A&amp;R'!$Y$34:$AH$34)</f>
        <v>0</v>
      </c>
      <c r="BX12" s="1872">
        <f>SUMIF('A&amp;R'!$Y$35:$AH$35,BX$11,'A&amp;R'!$Y$34:$AH$34)</f>
        <v>0</v>
      </c>
      <c r="BY12" s="1872">
        <f>SUMIF('A&amp;R'!$Y$35:$AH$35,BY$11,'A&amp;R'!$Y$34:$AH$34)</f>
        <v>0</v>
      </c>
      <c r="BZ12" s="1872">
        <f>SUMIF('A&amp;R'!$Y$35:$AH$35,BZ$11,'A&amp;R'!$Y$34:$AH$34)</f>
        <v>0</v>
      </c>
      <c r="CA12" s="1872">
        <f>SUMIF('A&amp;R'!$Y$35:$AH$35,CA$11,'A&amp;R'!$Y$34:$AH$34)</f>
        <v>0</v>
      </c>
      <c r="CB12" s="1872">
        <f>SUMIF('A&amp;R'!$Y$35:$AH$35,CB$11,'A&amp;R'!$Y$34:$AH$34)</f>
        <v>0</v>
      </c>
      <c r="CC12" s="1872">
        <f>SUMIF('A&amp;R'!$Y$35:$AH$35,CC$11,'A&amp;R'!$Y$34:$AH$34)</f>
        <v>0</v>
      </c>
      <c r="CD12" s="1872">
        <f>SUMIF('A&amp;R'!$Y$35:$AH$35,CD$11,'A&amp;R'!$Y$34:$AH$34)</f>
        <v>0</v>
      </c>
      <c r="CE12" s="1872">
        <f>SUMIF('A&amp;R'!$Y$35:$AH$35,CE$11,'A&amp;R'!$Y$34:$AH$34)</f>
        <v>0</v>
      </c>
      <c r="CF12" s="1872">
        <f>SUMIF('A&amp;R'!$Y$35:$AH$35,CF$11,'A&amp;R'!$Y$34:$AH$34)</f>
        <v>0</v>
      </c>
      <c r="CG12" s="1872">
        <f>SUMIF('A&amp;R'!$Y$35:$AH$35,CG$11,'A&amp;R'!$Y$34:$AH$34)</f>
        <v>0</v>
      </c>
      <c r="CH12" s="1872">
        <f>SUMIF('A&amp;R'!$Y$35:$AH$35,CH$11,'A&amp;R'!$Y$34:$AH$34)</f>
        <v>0</v>
      </c>
      <c r="CI12" s="1872">
        <f>SUMIF('A&amp;R'!$Y$35:$AH$35,CI$11,'A&amp;R'!$Y$34:$AH$34)</f>
        <v>0</v>
      </c>
      <c r="CJ12" s="1872">
        <f>SUMIF('A&amp;R'!$Y$35:$AH$35,CJ$11,'A&amp;R'!$Y$34:$AH$34)</f>
        <v>0</v>
      </c>
      <c r="CK12" s="1872">
        <f>SUMIF('A&amp;R'!$Y$35:$AH$35,CK$11,'A&amp;R'!$Y$34:$AH$34)</f>
        <v>0</v>
      </c>
      <c r="CL12" s="1872">
        <f>SUMIF('A&amp;R'!$Y$35:$AH$35,CL$11,'A&amp;R'!$Y$34:$AH$34)</f>
        <v>0</v>
      </c>
      <c r="CM12" s="1872">
        <f>SUMIF('A&amp;R'!$Y$35:$AH$35,CM$11,'A&amp;R'!$Y$34:$AH$34)</f>
        <v>0</v>
      </c>
      <c r="CN12" s="1872">
        <f>SUMIF('A&amp;R'!$Y$35:$AH$35,CN$11,'A&amp;R'!$Y$34:$AH$34)</f>
        <v>0</v>
      </c>
      <c r="CO12" s="1872">
        <f>SUMIF('A&amp;R'!$Y$35:$AH$35,CO$11,'A&amp;R'!$Y$34:$AH$34)</f>
        <v>0</v>
      </c>
      <c r="CP12" s="1872">
        <f>SUMIF('A&amp;R'!$Y$35:$AH$35,CP$11,'A&amp;R'!$Y$34:$AH$34)</f>
        <v>0</v>
      </c>
      <c r="CQ12" s="1872">
        <f>SUMIF('A&amp;R'!$Y$35:$AH$35,CQ$11,'A&amp;R'!$Y$34:$AH$34)</f>
        <v>0</v>
      </c>
      <c r="CR12" s="1872">
        <f>SUMIF('A&amp;R'!$Y$35:$AH$35,CR$11,'A&amp;R'!$Y$34:$AH$34)</f>
        <v>0</v>
      </c>
      <c r="CS12" s="1872">
        <f>SUMIF('A&amp;R'!$Y$35:$AH$35,CS$11,'A&amp;R'!$Y$34:$AH$34)</f>
        <v>0</v>
      </c>
      <c r="CT12" s="1872">
        <f>SUMIF('A&amp;R'!$Y$35:$AH$35,CT$11,'A&amp;R'!$Y$34:$AH$34)</f>
        <v>0</v>
      </c>
      <c r="CU12" s="1872">
        <f>SUMIF('A&amp;R'!$Y$35:$AH$35,CU$11,'A&amp;R'!$Y$34:$AH$34)</f>
        <v>0</v>
      </c>
      <c r="CV12" s="1872">
        <f>SUMIF('A&amp;R'!$Y$35:$AH$35,CV$11,'A&amp;R'!$Y$34:$AH$34)</f>
        <v>0</v>
      </c>
      <c r="CW12" s="1872">
        <f>SUMIF('A&amp;R'!$Y$35:$AH$35,CW$11,'A&amp;R'!$Y$34:$AH$34)</f>
        <v>0</v>
      </c>
      <c r="CX12" s="1872">
        <f>SUMIF('A&amp;R'!$Y$35:$AH$35,CX$11,'A&amp;R'!$Y$34:$AH$34)</f>
        <v>0</v>
      </c>
      <c r="CY12" s="1872">
        <f>SUMIF('A&amp;R'!$Y$35:$AH$35,CY$11,'A&amp;R'!$Y$34:$AH$34)</f>
        <v>0</v>
      </c>
      <c r="CZ12" s="1872">
        <f>SUMIF('A&amp;R'!$Y$35:$AH$35,CZ$11,'A&amp;R'!$Y$34:$AH$34)</f>
        <v>0</v>
      </c>
      <c r="DA12" s="1872">
        <f>SUMIF('A&amp;R'!$Y$35:$AH$35,DA$11,'A&amp;R'!$Y$34:$AH$34)</f>
        <v>0</v>
      </c>
      <c r="DB12" s="1872">
        <f>SUMIF('A&amp;R'!$Y$35:$AH$35,DB$11,'A&amp;R'!$Y$34:$AH$34)</f>
        <v>0</v>
      </c>
      <c r="DC12" s="1872">
        <f>SUMIF('A&amp;R'!$Y$35:$AH$35,DC$11,'A&amp;R'!$Y$34:$AH$34)</f>
        <v>0</v>
      </c>
      <c r="DD12" s="1872">
        <f>SUMIF('A&amp;R'!$Y$35:$AH$35,DD$11,'A&amp;R'!$Y$34:$AH$34)</f>
        <v>0</v>
      </c>
      <c r="DE12" s="1872">
        <f>SUMIF('A&amp;R'!$Y$35:$AH$35,DE$11,'A&amp;R'!$Y$34:$AH$34)</f>
        <v>0</v>
      </c>
      <c r="DF12" s="1872">
        <f>SUMIF('A&amp;R'!$Y$35:$AH$35,DF$11,'A&amp;R'!$Y$34:$AH$34)</f>
        <v>0</v>
      </c>
      <c r="DG12" s="1872">
        <f>SUMIF('A&amp;R'!$Y$35:$AH$35,DG$11,'A&amp;R'!$Y$34:$AH$34)</f>
        <v>0</v>
      </c>
      <c r="DH12" s="1872">
        <f>SUMIF('A&amp;R'!$Y$35:$AH$35,DH$11,'A&amp;R'!$Y$34:$AH$34)</f>
        <v>0</v>
      </c>
      <c r="DI12" s="1872">
        <f>SUMIF('A&amp;R'!$Y$35:$AH$35,DI$11,'A&amp;R'!$Y$34:$AH$34)</f>
        <v>0</v>
      </c>
      <c r="DJ12" s="1872">
        <f>SUMIF('A&amp;R'!$Y$35:$AH$35,DJ$11,'A&amp;R'!$Y$34:$AH$34)</f>
        <v>0</v>
      </c>
      <c r="DK12" s="1872">
        <f>SUMIF('A&amp;R'!$Y$35:$AH$35,DK$11,'A&amp;R'!$Y$34:$AH$34)</f>
        <v>0</v>
      </c>
      <c r="DL12" s="1872">
        <f>SUMIF('A&amp;R'!$Y$35:$AH$35,DL$11,'A&amp;R'!$Y$34:$AH$34)</f>
        <v>0</v>
      </c>
      <c r="DM12" s="1872">
        <f>SUMIF('A&amp;R'!$Y$35:$AH$35,DM$11,'A&amp;R'!$Y$34:$AH$34)</f>
        <v>0</v>
      </c>
      <c r="DN12" s="1872">
        <f>SUMIF('A&amp;R'!$Y$35:$AH$35,DN$11,'A&amp;R'!$Y$34:$AH$34)</f>
        <v>0</v>
      </c>
      <c r="DO12" s="1872">
        <f>SUMIF('A&amp;R'!$Y$35:$AH$35,DO$11,'A&amp;R'!$Y$34:$AH$34)</f>
        <v>0</v>
      </c>
      <c r="DP12" s="1872">
        <f>SUMIF('A&amp;R'!$Y$35:$AH$35,DP$11,'A&amp;R'!$Y$34:$AH$34)</f>
        <v>0</v>
      </c>
      <c r="DQ12" s="1872">
        <f>SUMIF('A&amp;R'!$Y$35:$AH$35,DQ$11,'A&amp;R'!$Y$34:$AH$34)</f>
        <v>0</v>
      </c>
      <c r="DR12" s="1872">
        <f>SUMIF('A&amp;R'!$Y$35:$AH$35,DR$11,'A&amp;R'!$Y$34:$AH$34)</f>
        <v>0</v>
      </c>
      <c r="DS12" s="1872">
        <f>SUMIF('A&amp;R'!$Y$35:$AH$35,DS$11,'A&amp;R'!$Y$34:$AH$34)</f>
        <v>0</v>
      </c>
      <c r="DT12" s="1872">
        <f>SUMIF('A&amp;R'!$Y$35:$AH$35,DT$11,'A&amp;R'!$Y$34:$AH$34)</f>
        <v>0</v>
      </c>
      <c r="DU12" s="1872">
        <f>SUMIF('A&amp;R'!$Y$35:$AH$35,DU$11,'A&amp;R'!$Y$34:$AH$34)</f>
        <v>0</v>
      </c>
      <c r="DV12" s="1872">
        <f>SUMIF('A&amp;R'!$Y$35:$AH$35,DV$11,'A&amp;R'!$Y$34:$AH$34)</f>
        <v>0</v>
      </c>
      <c r="DW12" s="1872">
        <f>SUMIF('A&amp;R'!$Y$35:$AH$35,DW$11,'A&amp;R'!$Y$34:$AH$34)</f>
        <v>0</v>
      </c>
      <c r="DX12" s="1872">
        <f>SUMIF('A&amp;R'!$Y$35:$AH$35,DX$11,'A&amp;R'!$Y$34:$AH$34)</f>
        <v>0</v>
      </c>
      <c r="DY12" s="1872">
        <f>SUMIF('A&amp;R'!$Y$35:$AH$35,DY$11,'A&amp;R'!$Y$34:$AH$34)</f>
        <v>0</v>
      </c>
      <c r="DZ12" s="1872">
        <f>SUMIF('A&amp;R'!$Y$35:$AH$35,DZ$11,'A&amp;R'!$Y$34:$AH$34)</f>
        <v>0</v>
      </c>
      <c r="EA12" s="1872">
        <f>SUMIF('A&amp;R'!$Y$35:$AH$35,EA$11,'A&amp;R'!$Y$34:$AH$34)</f>
        <v>0</v>
      </c>
      <c r="EB12" s="1872">
        <f>SUMIF('A&amp;R'!$Y$35:$AH$35,EB$11,'A&amp;R'!$Y$34:$AH$34)</f>
        <v>0</v>
      </c>
      <c r="EC12" s="1872">
        <f>SUMIF('A&amp;R'!$Y$35:$AH$35,EC$11,'A&amp;R'!$Y$34:$AH$34)</f>
        <v>0</v>
      </c>
      <c r="ED12" s="1872">
        <f>$EC$12</f>
        <v>0</v>
      </c>
      <c r="EE12" s="1872">
        <f t="shared" ref="EE12:ER12" si="0">$EC$12</f>
        <v>0</v>
      </c>
      <c r="EF12" s="1872">
        <f t="shared" si="0"/>
        <v>0</v>
      </c>
      <c r="EG12" s="1872">
        <f t="shared" si="0"/>
        <v>0</v>
      </c>
      <c r="EH12" s="1872">
        <f t="shared" si="0"/>
        <v>0</v>
      </c>
      <c r="EI12" s="1872">
        <f t="shared" si="0"/>
        <v>0</v>
      </c>
      <c r="EJ12" s="1872">
        <f t="shared" si="0"/>
        <v>0</v>
      </c>
      <c r="EK12" s="1872">
        <f t="shared" si="0"/>
        <v>0</v>
      </c>
      <c r="EL12" s="1872">
        <f t="shared" si="0"/>
        <v>0</v>
      </c>
      <c r="EM12" s="1872">
        <f t="shared" si="0"/>
        <v>0</v>
      </c>
      <c r="EN12" s="1872">
        <f t="shared" si="0"/>
        <v>0</v>
      </c>
      <c r="EO12" s="1872">
        <f t="shared" si="0"/>
        <v>0</v>
      </c>
      <c r="EP12" s="1872">
        <f t="shared" si="0"/>
        <v>0</v>
      </c>
      <c r="EQ12" s="1872">
        <f t="shared" si="0"/>
        <v>0</v>
      </c>
      <c r="ER12" s="1872">
        <f t="shared" si="0"/>
        <v>0</v>
      </c>
    </row>
    <row r="13" spans="1:152" ht="11.25" customHeight="1">
      <c r="C13" s="154"/>
      <c r="I13" s="146"/>
      <c r="J13" s="13"/>
    </row>
    <row r="14" spans="1:152" ht="11.25" customHeight="1">
      <c r="C14" s="155" t="s">
        <v>103</v>
      </c>
      <c r="D14" s="155"/>
      <c r="E14" s="155"/>
      <c r="F14" s="723"/>
      <c r="G14" s="723"/>
      <c r="H14" s="723"/>
      <c r="I14" s="191"/>
      <c r="J14" s="192"/>
      <c r="K14" s="156" t="s">
        <v>59</v>
      </c>
      <c r="M14" s="157">
        <f t="shared" ref="M14:AR14" si="1">M5</f>
        <v>46326</v>
      </c>
      <c r="N14" s="157">
        <f t="shared" si="1"/>
        <v>46356</v>
      </c>
      <c r="O14" s="157">
        <f t="shared" si="1"/>
        <v>46387</v>
      </c>
      <c r="P14" s="157">
        <f t="shared" si="1"/>
        <v>46418</v>
      </c>
      <c r="Q14" s="157">
        <f t="shared" si="1"/>
        <v>46446</v>
      </c>
      <c r="R14" s="157">
        <f t="shared" si="1"/>
        <v>46477</v>
      </c>
      <c r="S14" s="157">
        <f t="shared" si="1"/>
        <v>46507</v>
      </c>
      <c r="T14" s="157">
        <f t="shared" si="1"/>
        <v>46538</v>
      </c>
      <c r="U14" s="157">
        <f t="shared" si="1"/>
        <v>46568</v>
      </c>
      <c r="V14" s="157">
        <f t="shared" si="1"/>
        <v>46599</v>
      </c>
      <c r="W14" s="157">
        <f t="shared" si="1"/>
        <v>46630</v>
      </c>
      <c r="X14" s="157">
        <f t="shared" si="1"/>
        <v>46660</v>
      </c>
      <c r="Y14" s="157">
        <f t="shared" si="1"/>
        <v>46691</v>
      </c>
      <c r="Z14" s="157">
        <f t="shared" si="1"/>
        <v>46721</v>
      </c>
      <c r="AA14" s="157">
        <f t="shared" si="1"/>
        <v>46752</v>
      </c>
      <c r="AB14" s="157">
        <f t="shared" si="1"/>
        <v>46783</v>
      </c>
      <c r="AC14" s="157">
        <f t="shared" si="1"/>
        <v>46812</v>
      </c>
      <c r="AD14" s="157">
        <f t="shared" si="1"/>
        <v>46843</v>
      </c>
      <c r="AE14" s="157">
        <f t="shared" si="1"/>
        <v>46873</v>
      </c>
      <c r="AF14" s="157">
        <f t="shared" si="1"/>
        <v>46904</v>
      </c>
      <c r="AG14" s="157">
        <f t="shared" si="1"/>
        <v>46934</v>
      </c>
      <c r="AH14" s="157">
        <f t="shared" si="1"/>
        <v>46965</v>
      </c>
      <c r="AI14" s="157">
        <f t="shared" si="1"/>
        <v>46996</v>
      </c>
      <c r="AJ14" s="157">
        <f t="shared" si="1"/>
        <v>47026</v>
      </c>
      <c r="AK14" s="157">
        <f t="shared" si="1"/>
        <v>47057</v>
      </c>
      <c r="AL14" s="157">
        <f t="shared" si="1"/>
        <v>47087</v>
      </c>
      <c r="AM14" s="157">
        <f t="shared" si="1"/>
        <v>47118</v>
      </c>
      <c r="AN14" s="157">
        <f t="shared" si="1"/>
        <v>47149</v>
      </c>
      <c r="AO14" s="157">
        <f t="shared" si="1"/>
        <v>47177</v>
      </c>
      <c r="AP14" s="157">
        <f t="shared" si="1"/>
        <v>47208</v>
      </c>
      <c r="AQ14" s="157">
        <f t="shared" si="1"/>
        <v>47238</v>
      </c>
      <c r="AR14" s="157">
        <f t="shared" si="1"/>
        <v>47269</v>
      </c>
      <c r="AS14" s="157">
        <f t="shared" ref="AS14:BX14" si="2">AS5</f>
        <v>47299</v>
      </c>
      <c r="AT14" s="157">
        <f t="shared" si="2"/>
        <v>47330</v>
      </c>
      <c r="AU14" s="157">
        <f t="shared" si="2"/>
        <v>47361</v>
      </c>
      <c r="AV14" s="157">
        <f t="shared" si="2"/>
        <v>47391</v>
      </c>
      <c r="AW14" s="157">
        <f t="shared" si="2"/>
        <v>47422</v>
      </c>
      <c r="AX14" s="157">
        <f t="shared" si="2"/>
        <v>47452</v>
      </c>
      <c r="AY14" s="157">
        <f t="shared" si="2"/>
        <v>47483</v>
      </c>
      <c r="AZ14" s="157">
        <f t="shared" si="2"/>
        <v>47514</v>
      </c>
      <c r="BA14" s="157">
        <f t="shared" si="2"/>
        <v>47542</v>
      </c>
      <c r="BB14" s="157">
        <f t="shared" si="2"/>
        <v>47573</v>
      </c>
      <c r="BC14" s="157">
        <f t="shared" si="2"/>
        <v>47603</v>
      </c>
      <c r="BD14" s="157">
        <f t="shared" si="2"/>
        <v>47634</v>
      </c>
      <c r="BE14" s="157">
        <f t="shared" si="2"/>
        <v>47664</v>
      </c>
      <c r="BF14" s="157">
        <f t="shared" si="2"/>
        <v>47695</v>
      </c>
      <c r="BG14" s="157">
        <f t="shared" si="2"/>
        <v>47726</v>
      </c>
      <c r="BH14" s="157">
        <f t="shared" si="2"/>
        <v>47756</v>
      </c>
      <c r="BI14" s="157">
        <f t="shared" si="2"/>
        <v>47787</v>
      </c>
      <c r="BJ14" s="157">
        <f t="shared" si="2"/>
        <v>47817</v>
      </c>
      <c r="BK14" s="157">
        <f t="shared" si="2"/>
        <v>47848</v>
      </c>
      <c r="BL14" s="157">
        <f t="shared" si="2"/>
        <v>47879</v>
      </c>
      <c r="BM14" s="157">
        <f t="shared" si="2"/>
        <v>47907</v>
      </c>
      <c r="BN14" s="157">
        <f t="shared" si="2"/>
        <v>47938</v>
      </c>
      <c r="BO14" s="157">
        <f t="shared" si="2"/>
        <v>47968</v>
      </c>
      <c r="BP14" s="157">
        <f t="shared" si="2"/>
        <v>47999</v>
      </c>
      <c r="BQ14" s="157">
        <f t="shared" si="2"/>
        <v>48029</v>
      </c>
      <c r="BR14" s="157">
        <f t="shared" si="2"/>
        <v>48060</v>
      </c>
      <c r="BS14" s="157">
        <f t="shared" si="2"/>
        <v>48091</v>
      </c>
      <c r="BT14" s="157">
        <f t="shared" si="2"/>
        <v>48121</v>
      </c>
      <c r="BU14" s="157">
        <f t="shared" si="2"/>
        <v>48152</v>
      </c>
      <c r="BV14" s="157">
        <f t="shared" si="2"/>
        <v>48182</v>
      </c>
      <c r="BW14" s="157">
        <f t="shared" si="2"/>
        <v>48213</v>
      </c>
      <c r="BX14" s="157">
        <f t="shared" si="2"/>
        <v>48244</v>
      </c>
      <c r="BY14" s="157">
        <f t="shared" ref="BY14:DD14" si="3">BY5</f>
        <v>48273</v>
      </c>
      <c r="BZ14" s="157">
        <f t="shared" si="3"/>
        <v>48304</v>
      </c>
      <c r="CA14" s="157">
        <f t="shared" si="3"/>
        <v>48334</v>
      </c>
      <c r="CB14" s="157">
        <f t="shared" si="3"/>
        <v>48365</v>
      </c>
      <c r="CC14" s="157">
        <f t="shared" si="3"/>
        <v>48395</v>
      </c>
      <c r="CD14" s="157">
        <f t="shared" si="3"/>
        <v>48426</v>
      </c>
      <c r="CE14" s="157">
        <f t="shared" si="3"/>
        <v>48457</v>
      </c>
      <c r="CF14" s="157">
        <f t="shared" si="3"/>
        <v>48487</v>
      </c>
      <c r="CG14" s="157">
        <f t="shared" si="3"/>
        <v>48518</v>
      </c>
      <c r="CH14" s="157">
        <f t="shared" si="3"/>
        <v>48548</v>
      </c>
      <c r="CI14" s="157">
        <f t="shared" si="3"/>
        <v>48579</v>
      </c>
      <c r="CJ14" s="157">
        <f t="shared" si="3"/>
        <v>48610</v>
      </c>
      <c r="CK14" s="157">
        <f t="shared" si="3"/>
        <v>48638</v>
      </c>
      <c r="CL14" s="157">
        <f t="shared" si="3"/>
        <v>48669</v>
      </c>
      <c r="CM14" s="157">
        <f t="shared" si="3"/>
        <v>48699</v>
      </c>
      <c r="CN14" s="157">
        <f t="shared" si="3"/>
        <v>48730</v>
      </c>
      <c r="CO14" s="157">
        <f t="shared" si="3"/>
        <v>48760</v>
      </c>
      <c r="CP14" s="157">
        <f t="shared" si="3"/>
        <v>48791</v>
      </c>
      <c r="CQ14" s="157">
        <f t="shared" si="3"/>
        <v>48822</v>
      </c>
      <c r="CR14" s="157">
        <f t="shared" si="3"/>
        <v>48852</v>
      </c>
      <c r="CS14" s="157">
        <f t="shared" si="3"/>
        <v>48883</v>
      </c>
      <c r="CT14" s="157">
        <f t="shared" si="3"/>
        <v>48913</v>
      </c>
      <c r="CU14" s="157">
        <f t="shared" si="3"/>
        <v>48944</v>
      </c>
      <c r="CV14" s="157">
        <f t="shared" si="3"/>
        <v>48975</v>
      </c>
      <c r="CW14" s="157">
        <f t="shared" si="3"/>
        <v>49003</v>
      </c>
      <c r="CX14" s="157">
        <f t="shared" si="3"/>
        <v>49034</v>
      </c>
      <c r="CY14" s="157">
        <f t="shared" si="3"/>
        <v>49064</v>
      </c>
      <c r="CZ14" s="157">
        <f t="shared" si="3"/>
        <v>49095</v>
      </c>
      <c r="DA14" s="157">
        <f t="shared" si="3"/>
        <v>49125</v>
      </c>
      <c r="DB14" s="157">
        <f t="shared" si="3"/>
        <v>49156</v>
      </c>
      <c r="DC14" s="157">
        <f t="shared" si="3"/>
        <v>49187</v>
      </c>
      <c r="DD14" s="157">
        <f t="shared" si="3"/>
        <v>49217</v>
      </c>
      <c r="DE14" s="157">
        <f t="shared" ref="DE14:EJ14" si="4">DE5</f>
        <v>49248</v>
      </c>
      <c r="DF14" s="157">
        <f t="shared" si="4"/>
        <v>49278</v>
      </c>
      <c r="DG14" s="157">
        <f t="shared" si="4"/>
        <v>49309</v>
      </c>
      <c r="DH14" s="157">
        <f t="shared" si="4"/>
        <v>49340</v>
      </c>
      <c r="DI14" s="157">
        <f t="shared" si="4"/>
        <v>49368</v>
      </c>
      <c r="DJ14" s="157">
        <f t="shared" si="4"/>
        <v>49399</v>
      </c>
      <c r="DK14" s="157">
        <f t="shared" si="4"/>
        <v>49429</v>
      </c>
      <c r="DL14" s="157">
        <f t="shared" si="4"/>
        <v>49460</v>
      </c>
      <c r="DM14" s="157">
        <f t="shared" si="4"/>
        <v>49490</v>
      </c>
      <c r="DN14" s="157">
        <f t="shared" si="4"/>
        <v>49521</v>
      </c>
      <c r="DO14" s="157">
        <f t="shared" si="4"/>
        <v>49552</v>
      </c>
      <c r="DP14" s="157">
        <f t="shared" si="4"/>
        <v>49582</v>
      </c>
      <c r="DQ14" s="157">
        <f t="shared" si="4"/>
        <v>49613</v>
      </c>
      <c r="DR14" s="157">
        <f t="shared" si="4"/>
        <v>49643</v>
      </c>
      <c r="DS14" s="157">
        <f t="shared" si="4"/>
        <v>49674</v>
      </c>
      <c r="DT14" s="157">
        <f t="shared" si="4"/>
        <v>49705</v>
      </c>
      <c r="DU14" s="157">
        <f t="shared" si="4"/>
        <v>49734</v>
      </c>
      <c r="DV14" s="157">
        <f t="shared" si="4"/>
        <v>49765</v>
      </c>
      <c r="DW14" s="157">
        <f t="shared" si="4"/>
        <v>49795</v>
      </c>
      <c r="DX14" s="157">
        <f t="shared" si="4"/>
        <v>49826</v>
      </c>
      <c r="DY14" s="157">
        <f t="shared" si="4"/>
        <v>49856</v>
      </c>
      <c r="DZ14" s="157">
        <f t="shared" si="4"/>
        <v>49887</v>
      </c>
      <c r="EA14" s="157">
        <f t="shared" si="4"/>
        <v>49918</v>
      </c>
      <c r="EB14" s="157">
        <f t="shared" si="4"/>
        <v>49948</v>
      </c>
      <c r="EC14" s="157">
        <f t="shared" si="4"/>
        <v>49979</v>
      </c>
      <c r="ED14" s="157">
        <f t="shared" si="4"/>
        <v>50009</v>
      </c>
      <c r="EE14" s="157">
        <f t="shared" si="4"/>
        <v>50040</v>
      </c>
      <c r="EF14" s="157">
        <f t="shared" si="4"/>
        <v>50071</v>
      </c>
      <c r="EG14" s="157">
        <f t="shared" si="4"/>
        <v>50099</v>
      </c>
      <c r="EH14" s="157">
        <f t="shared" si="4"/>
        <v>50130</v>
      </c>
      <c r="EI14" s="157">
        <f t="shared" si="4"/>
        <v>50160</v>
      </c>
      <c r="EJ14" s="157">
        <f t="shared" si="4"/>
        <v>50191</v>
      </c>
      <c r="EK14" s="157">
        <f t="shared" ref="EK14:ER14" si="5">EK5</f>
        <v>50221</v>
      </c>
      <c r="EL14" s="157">
        <f t="shared" si="5"/>
        <v>50252</v>
      </c>
      <c r="EM14" s="157">
        <f t="shared" si="5"/>
        <v>50283</v>
      </c>
      <c r="EN14" s="157">
        <f t="shared" si="5"/>
        <v>50313</v>
      </c>
      <c r="EO14" s="157">
        <f t="shared" si="5"/>
        <v>50344</v>
      </c>
      <c r="EP14" s="157">
        <f t="shared" si="5"/>
        <v>50374</v>
      </c>
      <c r="EQ14" s="157">
        <f t="shared" si="5"/>
        <v>50405</v>
      </c>
      <c r="ER14" s="157">
        <f t="shared" si="5"/>
        <v>50436</v>
      </c>
    </row>
    <row r="15" spans="1:152" ht="11.25" customHeight="1">
      <c r="C15" s="158" t="s">
        <v>182</v>
      </c>
      <c r="D15" s="159"/>
      <c r="E15" s="159"/>
      <c r="F15" s="729"/>
      <c r="G15" s="729"/>
      <c r="H15" s="729"/>
      <c r="I15" s="160"/>
      <c r="J15" s="219"/>
      <c r="K15" s="161">
        <f>SUM(K16:K20)</f>
        <v>173411614.93373635</v>
      </c>
      <c r="L15" s="98"/>
      <c r="M15" s="162">
        <f>SUM(M16:M20)</f>
        <v>0</v>
      </c>
      <c r="N15" s="162">
        <f t="shared" ref="N15:BY15" si="6">SUM(N16:N20)</f>
        <v>1295357.1049690829</v>
      </c>
      <c r="O15" s="162">
        <f t="shared" si="6"/>
        <v>1293708.9755003331</v>
      </c>
      <c r="P15" s="162">
        <f t="shared" si="6"/>
        <v>1102998.9648253333</v>
      </c>
      <c r="Q15" s="162">
        <f t="shared" si="6"/>
        <v>1198541.7064401768</v>
      </c>
      <c r="R15" s="162">
        <f t="shared" si="6"/>
        <v>1267417.7396901769</v>
      </c>
      <c r="S15" s="162">
        <f t="shared" si="6"/>
        <v>1306297.8182901768</v>
      </c>
      <c r="T15" s="162">
        <f t="shared" si="6"/>
        <v>1171544.697353927</v>
      </c>
      <c r="U15" s="162">
        <f t="shared" si="6"/>
        <v>1343512.8884789271</v>
      </c>
      <c r="V15" s="162">
        <f t="shared" si="6"/>
        <v>1344057.847666427</v>
      </c>
      <c r="W15" s="162">
        <f t="shared" si="6"/>
        <v>1344602.806853927</v>
      </c>
      <c r="X15" s="162">
        <f t="shared" si="6"/>
        <v>1344602.806853927</v>
      </c>
      <c r="Y15" s="162">
        <f t="shared" si="6"/>
        <v>1324456.862353927</v>
      </c>
      <c r="Z15" s="162">
        <f t="shared" si="6"/>
        <v>1324602.0062289268</v>
      </c>
      <c r="AA15" s="162">
        <f t="shared" si="6"/>
        <v>1322912.673523458</v>
      </c>
      <c r="AB15" s="162">
        <f t="shared" si="6"/>
        <v>1127434.912581583</v>
      </c>
      <c r="AC15" s="162">
        <f t="shared" si="6"/>
        <v>1225366.2227367982</v>
      </c>
      <c r="AD15" s="162">
        <f t="shared" si="6"/>
        <v>1295964.1568180481</v>
      </c>
      <c r="AE15" s="162">
        <f t="shared" si="6"/>
        <v>1335816.2373830481</v>
      </c>
      <c r="AF15" s="162">
        <f t="shared" si="6"/>
        <v>1197694.2884233918</v>
      </c>
      <c r="AG15" s="162">
        <f t="shared" si="6"/>
        <v>1373961.6843265167</v>
      </c>
      <c r="AH15" s="162">
        <f t="shared" si="6"/>
        <v>1374520.2674937043</v>
      </c>
      <c r="AI15" s="162">
        <f t="shared" si="6"/>
        <v>1375078.8506608917</v>
      </c>
      <c r="AJ15" s="162">
        <f t="shared" si="6"/>
        <v>1375078.8506608917</v>
      </c>
      <c r="AK15" s="162">
        <f t="shared" si="6"/>
        <v>1354429.2575483918</v>
      </c>
      <c r="AL15" s="162">
        <f t="shared" si="6"/>
        <v>1375227.6231327667</v>
      </c>
      <c r="AM15" s="162">
        <f t="shared" si="6"/>
        <v>1352846.4639971612</v>
      </c>
      <c r="AN15" s="162">
        <f t="shared" si="6"/>
        <v>1328760.7853536143</v>
      </c>
      <c r="AO15" s="162">
        <f t="shared" si="6"/>
        <v>1397608.310014897</v>
      </c>
      <c r="AP15" s="162">
        <f t="shared" si="6"/>
        <v>1325224.2343741157</v>
      </c>
      <c r="AQ15" s="162">
        <f t="shared" si="6"/>
        <v>1366072.6169532407</v>
      </c>
      <c r="AR15" s="162">
        <f t="shared" si="6"/>
        <v>1406316.7955630303</v>
      </c>
      <c r="AS15" s="162">
        <f t="shared" si="6"/>
        <v>343258.48152667622</v>
      </c>
      <c r="AT15" s="162">
        <f t="shared" si="6"/>
        <v>370198.86736508075</v>
      </c>
      <c r="AU15" s="162">
        <f t="shared" si="6"/>
        <v>374107.92206374893</v>
      </c>
      <c r="AV15" s="162">
        <f t="shared" si="6"/>
        <v>374107.92206374893</v>
      </c>
      <c r="AW15" s="162">
        <f t="shared" si="6"/>
        <v>352942.08912343637</v>
      </c>
      <c r="AX15" s="162">
        <f t="shared" si="6"/>
        <v>1436173.6323910407</v>
      </c>
      <c r="AY15" s="162">
        <f t="shared" si="6"/>
        <v>1442289.2042963956</v>
      </c>
      <c r="AZ15" s="162">
        <f t="shared" si="6"/>
        <v>1456046.9412053381</v>
      </c>
      <c r="BA15" s="162">
        <f t="shared" si="6"/>
        <v>1465700.2209923612</v>
      </c>
      <c r="BB15" s="162">
        <f t="shared" si="6"/>
        <v>1391506.5434605605</v>
      </c>
      <c r="BC15" s="162">
        <f t="shared" si="6"/>
        <v>1433376.1356041636</v>
      </c>
      <c r="BD15" s="162">
        <f t="shared" si="6"/>
        <v>1474569.8070736355</v>
      </c>
      <c r="BE15" s="162">
        <f t="shared" si="6"/>
        <v>1474569.8070736355</v>
      </c>
      <c r="BF15" s="162">
        <f t="shared" si="6"/>
        <v>1474569.8070736355</v>
      </c>
      <c r="BG15" s="162">
        <f t="shared" si="6"/>
        <v>1477989.7266997441</v>
      </c>
      <c r="BH15" s="162">
        <f t="shared" si="6"/>
        <v>1477989.7266997441</v>
      </c>
      <c r="BI15" s="162">
        <f t="shared" si="6"/>
        <v>1477989.7266997441</v>
      </c>
      <c r="BJ15" s="162">
        <f t="shared" si="6"/>
        <v>1478146.030778008</v>
      </c>
      <c r="BK15" s="162">
        <f t="shared" si="6"/>
        <v>1484344.4191571944</v>
      </c>
      <c r="BL15" s="162">
        <f t="shared" si="6"/>
        <v>1489056.8019896327</v>
      </c>
      <c r="BM15" s="162">
        <f t="shared" si="6"/>
        <v>1501824.3995472244</v>
      </c>
      <c r="BN15" s="162">
        <f t="shared" si="6"/>
        <v>1425775.8800771285</v>
      </c>
      <c r="BO15" s="162">
        <f t="shared" si="6"/>
        <v>1468692.2120243218</v>
      </c>
      <c r="BP15" s="162">
        <f t="shared" si="6"/>
        <v>1510972.336886093</v>
      </c>
      <c r="BQ15" s="162">
        <f t="shared" si="6"/>
        <v>1510972.336886093</v>
      </c>
      <c r="BR15" s="162">
        <f t="shared" si="6"/>
        <v>1510972.336886093</v>
      </c>
      <c r="BS15" s="162">
        <f t="shared" si="6"/>
        <v>1514477.7545028543</v>
      </c>
      <c r="BT15" s="162">
        <f t="shared" si="6"/>
        <v>1514477.7545028543</v>
      </c>
      <c r="BU15" s="162">
        <f t="shared" si="6"/>
        <v>1514477.7545028543</v>
      </c>
      <c r="BV15" s="162">
        <f t="shared" si="6"/>
        <v>1514637.9661830745</v>
      </c>
      <c r="BW15" s="162">
        <f t="shared" si="6"/>
        <v>1520991.3142717408</v>
      </c>
      <c r="BX15" s="162">
        <f t="shared" si="6"/>
        <v>1525821.5066749903</v>
      </c>
      <c r="BY15" s="162">
        <f t="shared" si="6"/>
        <v>1538908.2941715214</v>
      </c>
      <c r="BZ15" s="162">
        <f t="shared" ref="BZ15:DV15" si="7">SUM(BZ16:BZ20)</f>
        <v>1460958.5617146732</v>
      </c>
      <c r="CA15" s="162">
        <f t="shared" si="7"/>
        <v>1504947.8019605465</v>
      </c>
      <c r="CB15" s="162">
        <f t="shared" si="7"/>
        <v>1548284.9299438621</v>
      </c>
      <c r="CC15" s="162">
        <f t="shared" si="7"/>
        <v>1548284.9299438621</v>
      </c>
      <c r="CD15" s="162">
        <f t="shared" si="7"/>
        <v>1548284.9299438621</v>
      </c>
      <c r="CE15" s="162">
        <f t="shared" si="7"/>
        <v>1551877.9830010424</v>
      </c>
      <c r="CF15" s="162">
        <f t="shared" si="7"/>
        <v>1551877.9830010424</v>
      </c>
      <c r="CG15" s="162">
        <f t="shared" si="7"/>
        <v>1551877.9830010424</v>
      </c>
      <c r="CH15" s="162">
        <f t="shared" si="7"/>
        <v>1552042.1999732682</v>
      </c>
      <c r="CI15" s="162">
        <f t="shared" si="7"/>
        <v>1558554.3817641509</v>
      </c>
      <c r="CJ15" s="162">
        <f t="shared" si="7"/>
        <v>1563505.3289774817</v>
      </c>
      <c r="CK15" s="162">
        <f t="shared" si="7"/>
        <v>1576919.2861614262</v>
      </c>
      <c r="CL15" s="162">
        <f t="shared" si="7"/>
        <v>1497020.8103931569</v>
      </c>
      <c r="CM15" s="162">
        <f t="shared" si="7"/>
        <v>1542109.7816451769</v>
      </c>
      <c r="CN15" s="162">
        <f t="shared" si="7"/>
        <v>1586530.3378280753</v>
      </c>
      <c r="CO15" s="162">
        <f t="shared" si="7"/>
        <v>1586530.3378280753</v>
      </c>
      <c r="CP15" s="162">
        <f t="shared" si="7"/>
        <v>1586530.3378280753</v>
      </c>
      <c r="CQ15" s="162">
        <f t="shared" si="7"/>
        <v>1590213.2172116851</v>
      </c>
      <c r="CR15" s="162">
        <f t="shared" si="7"/>
        <v>1590213.2172116851</v>
      </c>
      <c r="CS15" s="162">
        <f t="shared" si="7"/>
        <v>1590213.2172116851</v>
      </c>
      <c r="CT15" s="162">
        <f t="shared" si="7"/>
        <v>1590381.5396082164</v>
      </c>
      <c r="CU15" s="162">
        <f t="shared" si="7"/>
        <v>1597056.5259438714</v>
      </c>
      <c r="CV15" s="162">
        <f t="shared" si="7"/>
        <v>1602131.2468375354</v>
      </c>
      <c r="CW15" s="162">
        <f t="shared" si="7"/>
        <v>1615880.5529510784</v>
      </c>
      <c r="CX15" s="162">
        <f t="shared" si="7"/>
        <v>1533984.6152886022</v>
      </c>
      <c r="CY15" s="162">
        <f t="shared" si="7"/>
        <v>1580200.8108219225</v>
      </c>
      <c r="CZ15" s="162">
        <f t="shared" si="7"/>
        <v>1588906.888701868</v>
      </c>
      <c r="DA15" s="162">
        <f t="shared" si="7"/>
        <v>1588906.888701868</v>
      </c>
      <c r="DB15" s="162">
        <f t="shared" si="7"/>
        <v>1588906.888701868</v>
      </c>
      <c r="DC15" s="162">
        <f t="shared" si="7"/>
        <v>1592681.8400700677</v>
      </c>
      <c r="DD15" s="162">
        <f t="shared" si="7"/>
        <v>1592681.8400700677</v>
      </c>
      <c r="DE15" s="162">
        <f t="shared" si="7"/>
        <v>1592681.8400700677</v>
      </c>
      <c r="DF15" s="162">
        <f t="shared" si="7"/>
        <v>1592937.8433986418</v>
      </c>
      <c r="DG15" s="162">
        <f t="shared" si="7"/>
        <v>1599587.5775402654</v>
      </c>
      <c r="DH15" s="162">
        <f t="shared" si="7"/>
        <v>1604631.4064661416</v>
      </c>
      <c r="DI15" s="162">
        <f t="shared" si="7"/>
        <v>1618776.8189614636</v>
      </c>
      <c r="DJ15" s="162">
        <f t="shared" si="7"/>
        <v>1618776.8189614636</v>
      </c>
      <c r="DK15" s="162">
        <f t="shared" si="7"/>
        <v>1623978.5862584841</v>
      </c>
      <c r="DL15" s="162">
        <f t="shared" si="7"/>
        <v>1628658.5097818151</v>
      </c>
      <c r="DM15" s="162">
        <f t="shared" si="7"/>
        <v>1628658.5097818151</v>
      </c>
      <c r="DN15" s="162">
        <f t="shared" si="7"/>
        <v>1628658.5097818151</v>
      </c>
      <c r="DO15" s="162">
        <f t="shared" si="7"/>
        <v>1632527.83493422</v>
      </c>
      <c r="DP15" s="162">
        <f t="shared" si="7"/>
        <v>1632527.83493422</v>
      </c>
      <c r="DQ15" s="162">
        <f t="shared" si="7"/>
        <v>1632527.83493422</v>
      </c>
      <c r="DR15" s="162">
        <f t="shared" si="7"/>
        <v>1632790.2383460081</v>
      </c>
      <c r="DS15" s="162">
        <f t="shared" si="7"/>
        <v>1639606.2158411723</v>
      </c>
      <c r="DT15" s="162">
        <f t="shared" si="7"/>
        <v>1644776.1404901955</v>
      </c>
      <c r="DU15" s="162">
        <f t="shared" si="7"/>
        <v>1658784.5240711167</v>
      </c>
      <c r="DV15" s="162">
        <f t="shared" si="7"/>
        <v>1658784.5240711167</v>
      </c>
      <c r="DW15" s="162">
        <f t="shared" ref="DW15:ER15" si="8">SUM(DW16:DW20)</f>
        <v>1664116.3355505627</v>
      </c>
      <c r="DX15" s="162">
        <f t="shared" si="8"/>
        <v>1668913.2571619768</v>
      </c>
      <c r="DY15" s="162">
        <f t="shared" si="8"/>
        <v>1668913.2571619768</v>
      </c>
      <c r="DZ15" s="162">
        <f t="shared" si="8"/>
        <v>1668913.2571619768</v>
      </c>
      <c r="EA15" s="162">
        <f t="shared" si="8"/>
        <v>1672879.3154431919</v>
      </c>
      <c r="EB15" s="162">
        <f t="shared" si="8"/>
        <v>1672879.3154431919</v>
      </c>
      <c r="EC15" s="162">
        <f t="shared" si="8"/>
        <v>1672879.3154431919</v>
      </c>
      <c r="ED15" s="162">
        <f t="shared" si="8"/>
        <v>0</v>
      </c>
      <c r="EE15" s="162">
        <f t="shared" si="8"/>
        <v>0</v>
      </c>
      <c r="EF15" s="162">
        <f t="shared" si="8"/>
        <v>0</v>
      </c>
      <c r="EG15" s="162">
        <f t="shared" si="8"/>
        <v>0</v>
      </c>
      <c r="EH15" s="162">
        <f t="shared" si="8"/>
        <v>0</v>
      </c>
      <c r="EI15" s="162">
        <f t="shared" si="8"/>
        <v>0</v>
      </c>
      <c r="EJ15" s="162">
        <f t="shared" si="8"/>
        <v>0</v>
      </c>
      <c r="EK15" s="162">
        <f t="shared" si="8"/>
        <v>0</v>
      </c>
      <c r="EL15" s="162">
        <f t="shared" si="8"/>
        <v>0</v>
      </c>
      <c r="EM15" s="162">
        <f t="shared" si="8"/>
        <v>0</v>
      </c>
      <c r="EN15" s="162">
        <f t="shared" si="8"/>
        <v>0</v>
      </c>
      <c r="EO15" s="162">
        <f t="shared" si="8"/>
        <v>0</v>
      </c>
      <c r="EP15" s="162">
        <f t="shared" si="8"/>
        <v>0</v>
      </c>
      <c r="EQ15" s="162">
        <f t="shared" si="8"/>
        <v>0</v>
      </c>
      <c r="ER15" s="162">
        <f t="shared" si="8"/>
        <v>0</v>
      </c>
    </row>
    <row r="16" spans="1:152" ht="11.25" customHeight="1">
      <c r="C16" s="163"/>
      <c r="D16" s="164" t="s">
        <v>183</v>
      </c>
      <c r="E16" s="165"/>
      <c r="F16" s="737"/>
      <c r="G16" s="737"/>
      <c r="H16" s="750"/>
      <c r="I16" s="194"/>
      <c r="J16" s="2618">
        <f>K16+K17</f>
        <v>163345518.48045689</v>
      </c>
      <c r="K16" s="168">
        <f>SUM(M16:ER16)</f>
        <v>170882854.5871703</v>
      </c>
      <c r="L16" s="98"/>
      <c r="M16" s="168">
        <f>SUM('Rent-roll'!P16,'Rent-roll'!P34)*M$12</f>
        <v>0</v>
      </c>
      <c r="N16" s="168">
        <f>SUM('Rent-roll'!Q16,'Rent-roll'!Q34)</f>
        <v>1239201.9141874998</v>
      </c>
      <c r="O16" s="168">
        <f>SUM('Rent-roll'!R16,'Rent-roll'!R34)</f>
        <v>1244610.4060624999</v>
      </c>
      <c r="P16" s="168">
        <f>SUM('Rent-roll'!S16,'Rent-roll'!S34)</f>
        <v>1248462.0690625</v>
      </c>
      <c r="Q16" s="168">
        <f>SUM('Rent-roll'!T16,'Rent-roll'!T34)</f>
        <v>1259478.0816718747</v>
      </c>
      <c r="R16" s="168">
        <f>SUM('Rent-roll'!U16,'Rent-roll'!U34)</f>
        <v>1259478.0816718747</v>
      </c>
      <c r="S16" s="168">
        <f>SUM('Rent-roll'!V16,'Rent-roll'!V34)</f>
        <v>1263699.0111718748</v>
      </c>
      <c r="T16" s="168">
        <f>SUM('Rent-roll'!W16,'Rent-roll'!W34)</f>
        <v>1267368.7339171874</v>
      </c>
      <c r="U16" s="168">
        <f>SUM('Rent-roll'!X16,'Rent-roll'!X34)</f>
        <v>1267368.7339171874</v>
      </c>
      <c r="V16" s="168">
        <f>SUM('Rent-roll'!Y16,'Rent-roll'!Y34)</f>
        <v>1267368.7339171874</v>
      </c>
      <c r="W16" s="168">
        <f>SUM('Rent-roll'!Z16,'Rent-roll'!Z34)</f>
        <v>1267368.7339171874</v>
      </c>
      <c r="X16" s="168">
        <f>SUM('Rent-roll'!AA16,'Rent-roll'!AA34)</f>
        <v>1267368.7339171874</v>
      </c>
      <c r="Y16" s="168">
        <f>SUM('Rent-roll'!AB16,'Rent-roll'!AB34)</f>
        <v>1267368.7339171874</v>
      </c>
      <c r="Z16" s="168">
        <f>SUM('Rent-roll'!AC16,'Rent-roll'!AC34)</f>
        <v>1267504.6510421874</v>
      </c>
      <c r="AA16" s="168">
        <f>SUM('Rent-roll'!AD16,'Rent-roll'!AD34)</f>
        <v>1273048.3552140624</v>
      </c>
      <c r="AB16" s="168">
        <f>SUM('Rent-roll'!AE16,'Rent-roll'!AE34)</f>
        <v>1276996.3097890622</v>
      </c>
      <c r="AC16" s="168">
        <f>SUM('Rent-roll'!AF16,'Rent-roll'!AF34)</f>
        <v>1288287.7227136719</v>
      </c>
      <c r="AD16" s="168">
        <f>SUM('Rent-roll'!AG16,'Rent-roll'!AG34)</f>
        <v>1288287.7227136719</v>
      </c>
      <c r="AE16" s="168">
        <f>SUM('Rent-roll'!AH16,'Rent-roll'!AH34)</f>
        <v>1292614.1754511718</v>
      </c>
      <c r="AF16" s="168">
        <f>SUM('Rent-roll'!AI16,'Rent-roll'!AI34)</f>
        <v>1296375.6412651171</v>
      </c>
      <c r="AG16" s="168">
        <f>SUM('Rent-roll'!AJ16,'Rent-roll'!AJ34)</f>
        <v>1296375.6412651171</v>
      </c>
      <c r="AH16" s="168">
        <f>SUM('Rent-roll'!AK16,'Rent-roll'!AK34)</f>
        <v>1296375.6412651171</v>
      </c>
      <c r="AI16" s="168">
        <f>SUM('Rent-roll'!AL16,'Rent-roll'!AL34)</f>
        <v>1296375.6412651171</v>
      </c>
      <c r="AJ16" s="168">
        <f>SUM('Rent-roll'!AM16,'Rent-roll'!AM34)</f>
        <v>1296375.6412651171</v>
      </c>
      <c r="AK16" s="168">
        <f>SUM('Rent-roll'!AN16,'Rent-roll'!AN34)</f>
        <v>1296375.6412651171</v>
      </c>
      <c r="AL16" s="168">
        <f>SUM('Rent-roll'!AO16,'Rent-roll'!AO34)</f>
        <v>1296514.956318242</v>
      </c>
      <c r="AM16" s="168">
        <f>SUM('Rent-roll'!AP16,'Rent-roll'!AP34)</f>
        <v>1302197.253094414</v>
      </c>
      <c r="AN16" s="168">
        <f>SUM('Rent-roll'!AQ16,'Rent-roll'!AQ34)</f>
        <v>1306243.9065337889</v>
      </c>
      <c r="AO16" s="168">
        <f>SUM('Rent-roll'!AR16,'Rent-roll'!AR34)</f>
        <v>1317817.6047815136</v>
      </c>
      <c r="AP16" s="168">
        <f>SUM('Rent-roll'!AS16,'Rent-roll'!AS34)</f>
        <v>1317817.6047815136</v>
      </c>
      <c r="AQ16" s="168">
        <f>SUM('Rent-roll'!AT16,'Rent-roll'!AT34)</f>
        <v>1322252.218837451</v>
      </c>
      <c r="AR16" s="168">
        <f>SUM('Rent-roll'!AU16,'Rent-roll'!AU34)</f>
        <v>1326107.7212967447</v>
      </c>
      <c r="AS16" s="168">
        <f>SUM('Rent-roll'!AV16,'Rent-roll'!AV34)</f>
        <v>1326107.7212967447</v>
      </c>
      <c r="AT16" s="168">
        <f>SUM('Rent-roll'!AW16,'Rent-roll'!AW34)</f>
        <v>1352475.5593887821</v>
      </c>
      <c r="AU16" s="168">
        <f>SUM('Rent-roll'!AX16,'Rent-roll'!AX34)</f>
        <v>1355812.066341083</v>
      </c>
      <c r="AV16" s="168">
        <f>SUM('Rent-roll'!AY16,'Rent-roll'!AY34)</f>
        <v>1355812.066341083</v>
      </c>
      <c r="AW16" s="168">
        <f>SUM('Rent-roll'!AZ16,'Rent-roll'!AZ34)</f>
        <v>1355812.066341083</v>
      </c>
      <c r="AX16" s="168">
        <f>SUM('Rent-roll'!BA16,'Rent-roll'!BA34)</f>
        <v>1355954.8642705362</v>
      </c>
      <c r="AY16" s="168">
        <f>SUM('Rent-roll'!BB16,'Rent-roll'!BB34)</f>
        <v>1361779.2184661124</v>
      </c>
      <c r="AZ16" s="168">
        <f>SUM('Rent-roll'!BC16,'Rent-roll'!BC34)</f>
        <v>1375316.3357406992</v>
      </c>
      <c r="BA16" s="168">
        <f>SUM('Rent-roll'!BD16,'Rent-roll'!BD34)</f>
        <v>1384376.4634925264</v>
      </c>
      <c r="BB16" s="168">
        <f>SUM('Rent-roll'!BE16,'Rent-roll'!BE34)</f>
        <v>1384376.4634925264</v>
      </c>
      <c r="BC16" s="168">
        <f>SUM('Rent-roll'!BF16,'Rent-roll'!BF34)</f>
        <v>1388921.9428998623</v>
      </c>
      <c r="BD16" s="168">
        <f>SUM('Rent-roll'!BG16,'Rent-roll'!BG34)</f>
        <v>1392817.2213150761</v>
      </c>
      <c r="BE16" s="168">
        <f>SUM('Rent-roll'!BH16,'Rent-roll'!BH34)</f>
        <v>1392817.2213150761</v>
      </c>
      <c r="BF16" s="168">
        <f>SUM('Rent-roll'!BI16,'Rent-roll'!BI34)</f>
        <v>1392817.2213150761</v>
      </c>
      <c r="BG16" s="168">
        <f>SUM('Rent-roll'!BJ16,'Rent-roll'!BJ34)</f>
        <v>1396237.1409411847</v>
      </c>
      <c r="BH16" s="168">
        <f>SUM('Rent-roll'!BK16,'Rent-roll'!BK34)</f>
        <v>1396237.1409411847</v>
      </c>
      <c r="BI16" s="168">
        <f>SUM('Rent-roll'!BL16,'Rent-roll'!BL34)</f>
        <v>1396237.1409411847</v>
      </c>
      <c r="BJ16" s="168">
        <f>SUM('Rent-roll'!BM16,'Rent-roll'!BM34)</f>
        <v>1396383.5088188744</v>
      </c>
      <c r="BK16" s="168">
        <f>SUM('Rent-roll'!BN16,'Rent-roll'!BN34)</f>
        <v>1402283.3990455375</v>
      </c>
      <c r="BL16" s="168">
        <f>SUM('Rent-roll'!BO16,'Rent-roll'!BO34)</f>
        <v>1406769.6467527612</v>
      </c>
      <c r="BM16" s="168">
        <f>SUM('Rent-roll'!BP16,'Rent-roll'!BP34)</f>
        <v>1418929.263474277</v>
      </c>
      <c r="BN16" s="168">
        <f>SUM('Rent-roll'!BQ16,'Rent-roll'!BQ34)</f>
        <v>1418929.263474277</v>
      </c>
      <c r="BO16" s="168">
        <f>SUM('Rent-roll'!BR16,'Rent-roll'!BR34)</f>
        <v>1423588.3798667963</v>
      </c>
      <c r="BP16" s="168">
        <f>SUM('Rent-roll'!BS16,'Rent-roll'!BS34)</f>
        <v>1427637.651847953</v>
      </c>
      <c r="BQ16" s="168">
        <f>SUM('Rent-roll'!BT16,'Rent-roll'!BT34)</f>
        <v>1427637.651847953</v>
      </c>
      <c r="BR16" s="168">
        <f>SUM('Rent-roll'!BU16,'Rent-roll'!BU34)</f>
        <v>1427637.651847953</v>
      </c>
      <c r="BS16" s="168">
        <f>SUM('Rent-roll'!BV16,'Rent-roll'!BV34)</f>
        <v>1431143.069464714</v>
      </c>
      <c r="BT16" s="168">
        <f>SUM('Rent-roll'!BW16,'Rent-roll'!BW34)</f>
        <v>1431143.069464714</v>
      </c>
      <c r="BU16" s="168">
        <f>SUM('Rent-roll'!BX16,'Rent-roll'!BX34)</f>
        <v>1431143.069464714</v>
      </c>
      <c r="BV16" s="168">
        <f>SUM('Rent-roll'!BY16,'Rent-roll'!BY34)</f>
        <v>1431293.0965393458</v>
      </c>
      <c r="BW16" s="168">
        <f>SUM('Rent-roll'!BZ16,'Rent-roll'!BZ34)</f>
        <v>1437340.4840216758</v>
      </c>
      <c r="BX16" s="168">
        <f>SUM('Rent-roll'!CA16,'Rent-roll'!CA34)</f>
        <v>1441938.8879215803</v>
      </c>
      <c r="BY16" s="168">
        <f>SUM('Rent-roll'!CB16,'Rent-roll'!CB34)</f>
        <v>1454402.4950611338</v>
      </c>
      <c r="BZ16" s="168">
        <f>SUM('Rent-roll'!CC16,'Rent-roll'!CC34)</f>
        <v>1454402.4950611338</v>
      </c>
      <c r="CA16" s="168">
        <f>SUM('Rent-roll'!CD16,'Rent-roll'!CD34)</f>
        <v>1459178.0893634662</v>
      </c>
      <c r="CB16" s="168">
        <f>SUM('Rent-roll'!CE16,'Rent-roll'!CE34)</f>
        <v>1463328.5931441518</v>
      </c>
      <c r="CC16" s="168">
        <f>SUM('Rent-roll'!CF16,'Rent-roll'!CF34)</f>
        <v>1463328.5931441518</v>
      </c>
      <c r="CD16" s="168">
        <f>SUM('Rent-roll'!CG16,'Rent-roll'!CG34)</f>
        <v>1463328.5931441518</v>
      </c>
      <c r="CE16" s="168">
        <f>SUM('Rent-roll'!CH16,'Rent-roll'!CH34)</f>
        <v>1466921.6462013321</v>
      </c>
      <c r="CF16" s="168">
        <f>SUM('Rent-roll'!CI16,'Rent-roll'!CI34)</f>
        <v>1466921.6462013321</v>
      </c>
      <c r="CG16" s="168">
        <f>SUM('Rent-roll'!CJ16,'Rent-roll'!CJ34)</f>
        <v>1466921.6462013321</v>
      </c>
      <c r="CH16" s="168">
        <f>SUM('Rent-roll'!CK16,'Rent-roll'!CK34)</f>
        <v>1467075.4239528296</v>
      </c>
      <c r="CI16" s="168">
        <f>SUM('Rent-roll'!CL16,'Rent-roll'!CL34)</f>
        <v>1473273.9961222175</v>
      </c>
      <c r="CJ16" s="168">
        <f>SUM('Rent-roll'!CM16,'Rent-roll'!CM34)</f>
        <v>1477987.3601196199</v>
      </c>
      <c r="CK16" s="168">
        <f>SUM('Rent-roll'!CN16,'Rent-roll'!CN34)</f>
        <v>1490762.5574376623</v>
      </c>
      <c r="CL16" s="168">
        <f>SUM('Rent-roll'!CO16,'Rent-roll'!CO34)</f>
        <v>1490762.5574376623</v>
      </c>
      <c r="CM16" s="168">
        <f>SUM('Rent-roll'!CP16,'Rent-roll'!CP34)</f>
        <v>1495657.5415975531</v>
      </c>
      <c r="CN16" s="168">
        <f>SUM('Rent-roll'!CQ16,'Rent-roll'!CQ34)</f>
        <v>1499911.8079727555</v>
      </c>
      <c r="CO16" s="168">
        <f>SUM('Rent-roll'!CR16,'Rent-roll'!CR34)</f>
        <v>1499911.8079727555</v>
      </c>
      <c r="CP16" s="168">
        <f>SUM('Rent-roll'!CS16,'Rent-roll'!CS34)</f>
        <v>1499911.8079727555</v>
      </c>
      <c r="CQ16" s="168">
        <f>SUM('Rent-roll'!CT16,'Rent-roll'!CT34)</f>
        <v>1503594.6873563654</v>
      </c>
      <c r="CR16" s="168">
        <f>SUM('Rent-roll'!CU16,'Rent-roll'!CU34)</f>
        <v>1503594.6873563654</v>
      </c>
      <c r="CS16" s="168">
        <f>SUM('Rent-roll'!CV16,'Rent-roll'!CV34)</f>
        <v>1503594.6873563654</v>
      </c>
      <c r="CT16" s="168">
        <f>SUM('Rent-roll'!CW16,'Rent-roll'!CW34)</f>
        <v>1503752.3095516502</v>
      </c>
      <c r="CU16" s="168">
        <f>SUM('Rent-roll'!CX16,'Rent-roll'!CX34)</f>
        <v>1510105.846025273</v>
      </c>
      <c r="CV16" s="168">
        <f>SUM('Rent-roll'!CY16,'Rent-roll'!CY34)</f>
        <v>1514937.0441226102</v>
      </c>
      <c r="CW16" s="168">
        <f>SUM('Rent-roll'!CZ16,'Rent-roll'!CZ34)</f>
        <v>1528031.6213736036</v>
      </c>
      <c r="CX16" s="168">
        <f>SUM('Rent-roll'!DA16,'Rent-roll'!DA34)</f>
        <v>1528031.6213736036</v>
      </c>
      <c r="CY16" s="168">
        <f>SUM('Rent-roll'!DB16,'Rent-roll'!DB34)</f>
        <v>1533048.9801374914</v>
      </c>
      <c r="CZ16" s="168">
        <f>SUM('Rent-roll'!DC16,'Rent-roll'!DC34)</f>
        <v>1500586.4630708457</v>
      </c>
      <c r="DA16" s="168">
        <f>SUM('Rent-roll'!DD16,'Rent-roll'!DD34)</f>
        <v>1500586.4630708457</v>
      </c>
      <c r="DB16" s="168">
        <f>SUM('Rent-roll'!DE16,'Rent-roll'!DE34)</f>
        <v>1500586.4630708457</v>
      </c>
      <c r="DC16" s="168">
        <f>SUM('Rent-roll'!DF16,'Rent-roll'!DF34)</f>
        <v>1504361.4144390454</v>
      </c>
      <c r="DD16" s="168">
        <f>SUM('Rent-roll'!DG16,'Rent-roll'!DG34)</f>
        <v>1504361.4144390454</v>
      </c>
      <c r="DE16" s="168">
        <f>SUM('Rent-roll'!DH16,'Rent-roll'!DH34)</f>
        <v>1504361.4144390454</v>
      </c>
      <c r="DF16" s="168">
        <f>SUM('Rent-roll'!DI16,'Rent-roll'!DI34)</f>
        <v>1504604.8047225894</v>
      </c>
      <c r="DG16" s="168">
        <f>SUM('Rent-roll'!DJ16,'Rent-roll'!DJ34)</f>
        <v>1510925.880169</v>
      </c>
      <c r="DH16" s="168">
        <f>SUM('Rent-roll'!DK16,'Rent-roll'!DK34)</f>
        <v>1515720.7776377057</v>
      </c>
      <c r="DI16" s="168">
        <f>SUM('Rent-roll'!DL16,'Rent-roll'!DL34)</f>
        <v>1529196.9805904694</v>
      </c>
      <c r="DJ16" s="168">
        <f>SUM('Rent-roll'!DM16,'Rent-roll'!DM34)</f>
        <v>1529196.9805904694</v>
      </c>
      <c r="DK16" s="168">
        <f>SUM('Rent-roll'!DN16,'Rent-roll'!DN34)</f>
        <v>1534142.4616684054</v>
      </c>
      <c r="DL16" s="168">
        <f>SUM('Rent-roll'!DO16,'Rent-roll'!DO34)</f>
        <v>1538591.7888744005</v>
      </c>
      <c r="DM16" s="168">
        <f>SUM('Rent-roll'!DP16,'Rent-roll'!DP34)</f>
        <v>1538591.7888744005</v>
      </c>
      <c r="DN16" s="168">
        <f>SUM('Rent-roll'!DQ16,'Rent-roll'!DQ34)</f>
        <v>1538591.7888744005</v>
      </c>
      <c r="DO16" s="168">
        <f>SUM('Rent-roll'!DR16,'Rent-roll'!DR34)</f>
        <v>1542461.1140268054</v>
      </c>
      <c r="DP16" s="168">
        <f>SUM('Rent-roll'!DS16,'Rent-roll'!DS34)</f>
        <v>1542461.1140268054</v>
      </c>
      <c r="DQ16" s="168">
        <f>SUM('Rent-roll'!DT16,'Rent-roll'!DT34)</f>
        <v>1542461.1140268054</v>
      </c>
      <c r="DR16" s="168">
        <f>SUM('Rent-roll'!DU16,'Rent-roll'!DU34)</f>
        <v>1542710.5890674379</v>
      </c>
      <c r="DS16" s="168">
        <f>SUM('Rent-roll'!DV16,'Rent-roll'!DV34)</f>
        <v>1549189.6914000085</v>
      </c>
      <c r="DT16" s="168">
        <f>SUM('Rent-roll'!DW16,'Rent-roll'!DW34)</f>
        <v>1554104.461305432</v>
      </c>
      <c r="DU16" s="168">
        <f>SUM('Rent-roll'!DX16,'Rent-roll'!DX34)</f>
        <v>1567426.9051052311</v>
      </c>
      <c r="DV16" s="168">
        <f>SUM('Rent-roll'!DY16,'Rent-roll'!DY34)</f>
        <v>1567426.9051052311</v>
      </c>
      <c r="DW16" s="168">
        <f>SUM('Rent-roll'!DZ16,'Rent-roll'!DZ34)</f>
        <v>1572496.0232101155</v>
      </c>
      <c r="DX16" s="168">
        <f>SUM('Rent-roll'!EA16,'Rent-roll'!EA34)</f>
        <v>1577056.5835962603</v>
      </c>
      <c r="DY16" s="168">
        <f>SUM('Rent-roll'!EB16,'Rent-roll'!EB34)</f>
        <v>1577056.5835962603</v>
      </c>
      <c r="DZ16" s="168">
        <f>SUM('Rent-roll'!EC16,'Rent-roll'!EC34)</f>
        <v>1577056.5835962603</v>
      </c>
      <c r="EA16" s="168">
        <f>SUM('Rent-roll'!ED16,'Rent-roll'!ED34)</f>
        <v>1581022.6418774754</v>
      </c>
      <c r="EB16" s="168">
        <f>SUM('Rent-roll'!EE16,'Rent-roll'!EE34)</f>
        <v>1581022.6418774754</v>
      </c>
      <c r="EC16" s="168">
        <f>SUM('Rent-roll'!EF16,'Rent-roll'!EF34)</f>
        <v>1581022.6418774754</v>
      </c>
      <c r="ED16" s="168">
        <f>SUM('Rent-roll'!EG16,'Rent-roll'!EG34)</f>
        <v>0</v>
      </c>
      <c r="EE16" s="168">
        <f>SUM('Rent-roll'!EH16,'Rent-roll'!EH34)</f>
        <v>0</v>
      </c>
      <c r="EF16" s="168">
        <f>SUM('Rent-roll'!EI16,'Rent-roll'!EI34)</f>
        <v>0</v>
      </c>
      <c r="EG16" s="168">
        <f>SUM('Rent-roll'!EJ16,'Rent-roll'!EJ34)</f>
        <v>0</v>
      </c>
      <c r="EH16" s="168">
        <f>SUM('Rent-roll'!EK16,'Rent-roll'!EK34)</f>
        <v>0</v>
      </c>
      <c r="EI16" s="168">
        <f>SUM('Rent-roll'!EL16,'Rent-roll'!EL34)</f>
        <v>0</v>
      </c>
      <c r="EJ16" s="168">
        <f>SUM('Rent-roll'!EM16,'Rent-roll'!EM34)</f>
        <v>0</v>
      </c>
      <c r="EK16" s="168">
        <f>SUM('Rent-roll'!EN16,'Rent-roll'!EN34)</f>
        <v>0</v>
      </c>
      <c r="EL16" s="168">
        <f>SUM('Rent-roll'!EO16,'Rent-roll'!EO34)</f>
        <v>0</v>
      </c>
      <c r="EM16" s="168">
        <f>SUM('Rent-roll'!EP16,'Rent-roll'!EP34)</f>
        <v>0</v>
      </c>
      <c r="EN16" s="168">
        <f>SUM('Rent-roll'!EQ16,'Rent-roll'!EQ34)</f>
        <v>0</v>
      </c>
      <c r="EO16" s="168">
        <f>SUM('Rent-roll'!ER16,'Rent-roll'!ER34)</f>
        <v>0</v>
      </c>
      <c r="EP16" s="168">
        <f>SUM('Rent-roll'!ES16,'Rent-roll'!ES34)</f>
        <v>0</v>
      </c>
      <c r="EQ16" s="168">
        <f>SUM('Rent-roll'!ET16,'Rent-roll'!ET34)</f>
        <v>0</v>
      </c>
      <c r="ER16" s="168">
        <f>SUM('Rent-roll'!EU16,'Rent-roll'!EU34)</f>
        <v>0</v>
      </c>
    </row>
    <row r="17" spans="3:148" ht="11.25" customHeight="1">
      <c r="C17" s="163"/>
      <c r="D17" s="169" t="s">
        <v>184</v>
      </c>
      <c r="I17" s="146"/>
      <c r="J17" s="13"/>
      <c r="K17" s="171">
        <f>SUM(M17:ER17)</f>
        <v>-7537336.1067134272</v>
      </c>
      <c r="L17" s="98"/>
      <c r="M17" s="171">
        <f>'Rent-roll'!P106</f>
        <v>0</v>
      </c>
      <c r="N17" s="171">
        <f>'Rent-roll'!Q106</f>
        <v>-19654.579999999998</v>
      </c>
      <c r="O17" s="171">
        <f>'Rent-roll'!R106</f>
        <v>-26981.625937499997</v>
      </c>
      <c r="P17" s="171">
        <f>'Rent-roll'!S106</f>
        <v>-221748.16687499997</v>
      </c>
      <c r="Q17" s="171">
        <f>'Rent-roll'!T106</f>
        <v>-137772.23850000001</v>
      </c>
      <c r="R17" s="171">
        <f>'Rent-roll'!U106</f>
        <v>-68896.205249999999</v>
      </c>
      <c r="S17" s="171">
        <f>'Rent-roll'!V106</f>
        <v>-34448.102625</v>
      </c>
      <c r="T17" s="171">
        <f>'Rent-roll'!W106</f>
        <v>-173058.10949999999</v>
      </c>
      <c r="U17" s="171">
        <f>'Rent-roll'!X106</f>
        <v>-1089.9183749999997</v>
      </c>
      <c r="V17" s="171">
        <f>'Rent-roll'!Y106</f>
        <v>-544.95918749999987</v>
      </c>
      <c r="W17" s="171">
        <f>'Rent-roll'!Z106</f>
        <v>0</v>
      </c>
      <c r="X17" s="171">
        <f>'Rent-roll'!AA106</f>
        <v>0</v>
      </c>
      <c r="Y17" s="171">
        <f>'Rent-roll'!AB106</f>
        <v>-20145.944499999998</v>
      </c>
      <c r="Z17" s="171">
        <f>'Rent-roll'!AC106</f>
        <v>-20145.944499999998</v>
      </c>
      <c r="AA17" s="171">
        <f>'Rent-roll'!AD106</f>
        <v>-27656.166585937495</v>
      </c>
      <c r="AB17" s="171">
        <f>'Rent-roll'!AE106</f>
        <v>-227291.87104687496</v>
      </c>
      <c r="AC17" s="171">
        <f>'Rent-roll'!AF106</f>
        <v>-141216.54446249999</v>
      </c>
      <c r="AD17" s="171">
        <f>'Rent-roll'!AG106</f>
        <v>-70618.610381250008</v>
      </c>
      <c r="AE17" s="171">
        <f>'Rent-roll'!AH106</f>
        <v>-35309.305190625004</v>
      </c>
      <c r="AF17" s="171">
        <f>'Rent-roll'!AI106</f>
        <v>-177384.56223749998</v>
      </c>
      <c r="AG17" s="171">
        <f>'Rent-roll'!AJ106</f>
        <v>-1117.1663343749997</v>
      </c>
      <c r="AH17" s="171">
        <f>'Rent-roll'!AK106</f>
        <v>-558.58316718749984</v>
      </c>
      <c r="AI17" s="171">
        <f>'Rent-roll'!AL106</f>
        <v>0</v>
      </c>
      <c r="AJ17" s="171">
        <f>'Rent-roll'!AM106</f>
        <v>0</v>
      </c>
      <c r="AK17" s="171">
        <f>'Rent-roll'!AN106</f>
        <v>-20649.593112499999</v>
      </c>
      <c r="AL17" s="1332">
        <f>'Rent-roll'!AO106</f>
        <v>0</v>
      </c>
      <c r="AM17" s="1332">
        <f>'Rent-roll'!AP106</f>
        <v>-28347.570750585932</v>
      </c>
      <c r="AN17" s="1332">
        <f>'Rent-roll'!AQ106</f>
        <v>-56695.141501171864</v>
      </c>
      <c r="AO17" s="1332">
        <f>'Rent-roll'!AR106</f>
        <v>0</v>
      </c>
      <c r="AP17" s="1332">
        <f>'Rent-roll'!AS106</f>
        <v>-72384.075640781244</v>
      </c>
      <c r="AQ17" s="1332">
        <f>'Rent-roll'!AT106</f>
        <v>-36192.037820390622</v>
      </c>
      <c r="AR17" s="1332">
        <f>'Rent-roll'!AU106</f>
        <v>0</v>
      </c>
      <c r="AS17" s="1332">
        <f>'Rent-roll'!AV106</f>
        <v>-1063058.3140363542</v>
      </c>
      <c r="AT17" s="1332">
        <f>'Rent-roll'!AW106</f>
        <v>-1062485.7662899871</v>
      </c>
      <c r="AU17" s="1332">
        <f>'Rent-roll'!AX106</f>
        <v>-1061913.2185436198</v>
      </c>
      <c r="AV17" s="1332">
        <f>'Rent-roll'!AY106</f>
        <v>-1061913.2185436198</v>
      </c>
      <c r="AW17" s="1332">
        <f>'Rent-roll'!AZ106</f>
        <v>-1083079.0514839324</v>
      </c>
      <c r="AX17" s="171">
        <f>'Rent-roll'!BA106</f>
        <v>0</v>
      </c>
      <c r="AY17" s="171">
        <f>'Rent-roll'!BB106</f>
        <v>0</v>
      </c>
      <c r="AZ17" s="171">
        <f>'Rent-roll'!BC106</f>
        <v>0</v>
      </c>
      <c r="BA17" s="171">
        <f>'Rent-roll'!BD106</f>
        <v>0</v>
      </c>
      <c r="BB17" s="171">
        <f>'Rent-roll'!BE106</f>
        <v>-74193.677531800771</v>
      </c>
      <c r="BC17" s="171">
        <f>'Rent-roll'!BF106</f>
        <v>-37096.838765900386</v>
      </c>
      <c r="BD17" s="171">
        <f>'Rent-roll'!BG106</f>
        <v>0</v>
      </c>
      <c r="BE17" s="171">
        <f>'Rent-roll'!BH106</f>
        <v>0</v>
      </c>
      <c r="BF17" s="171">
        <f>'Rent-roll'!BI106</f>
        <v>0</v>
      </c>
      <c r="BG17" s="171">
        <f>'Rent-roll'!BJ106</f>
        <v>0</v>
      </c>
      <c r="BH17" s="171">
        <f>'Rent-roll'!BK106</f>
        <v>0</v>
      </c>
      <c r="BI17" s="171">
        <f>'Rent-roll'!BL106</f>
        <v>0</v>
      </c>
      <c r="BJ17" s="171">
        <f>'Rent-roll'!BM106</f>
        <v>0</v>
      </c>
      <c r="BK17" s="171">
        <f>'Rent-roll'!BN106</f>
        <v>0</v>
      </c>
      <c r="BL17" s="171">
        <f>'Rent-roll'!BO106</f>
        <v>0</v>
      </c>
      <c r="BM17" s="171">
        <f>'Rent-roll'!BP106</f>
        <v>0</v>
      </c>
      <c r="BN17" s="171">
        <f>'Rent-roll'!BQ106</f>
        <v>-76048.51947009578</v>
      </c>
      <c r="BO17" s="171">
        <f>'Rent-roll'!BR106</f>
        <v>-38024.25973504789</v>
      </c>
      <c r="BP17" s="171">
        <f>'Rent-roll'!BS106</f>
        <v>0</v>
      </c>
      <c r="BQ17" s="171">
        <f>'Rent-roll'!BT106</f>
        <v>0</v>
      </c>
      <c r="BR17" s="171">
        <f>'Rent-roll'!BU106</f>
        <v>0</v>
      </c>
      <c r="BS17" s="171">
        <f>'Rent-roll'!BV106</f>
        <v>0</v>
      </c>
      <c r="BT17" s="171">
        <f>'Rent-roll'!BW106</f>
        <v>0</v>
      </c>
      <c r="BU17" s="171">
        <f>'Rent-roll'!BX106</f>
        <v>0</v>
      </c>
      <c r="BV17" s="171">
        <f>'Rent-roll'!BY106</f>
        <v>0</v>
      </c>
      <c r="BW17" s="171">
        <f>'Rent-roll'!BZ106</f>
        <v>0</v>
      </c>
      <c r="BX17" s="171">
        <f>'Rent-roll'!CA106</f>
        <v>0</v>
      </c>
      <c r="BY17" s="171">
        <f>'Rent-roll'!CB106</f>
        <v>0</v>
      </c>
      <c r="BZ17" s="171">
        <f>'Rent-roll'!CC106</f>
        <v>-77949.732456848185</v>
      </c>
      <c r="CA17" s="171">
        <f>'Rent-roll'!CD106</f>
        <v>-38974.866228424093</v>
      </c>
      <c r="CB17" s="171">
        <f>'Rent-roll'!CE106</f>
        <v>0</v>
      </c>
      <c r="CC17" s="171">
        <f>'Rent-roll'!CF106</f>
        <v>0</v>
      </c>
      <c r="CD17" s="171">
        <f>'Rent-roll'!CG106</f>
        <v>0</v>
      </c>
      <c r="CE17" s="171">
        <f>'Rent-roll'!CH106</f>
        <v>0</v>
      </c>
      <c r="CF17" s="171">
        <f>'Rent-roll'!CI106</f>
        <v>0</v>
      </c>
      <c r="CG17" s="171">
        <f>'Rent-roll'!CJ106</f>
        <v>0</v>
      </c>
      <c r="CH17" s="171">
        <f>'Rent-roll'!CK106</f>
        <v>0</v>
      </c>
      <c r="CI17" s="171">
        <f>'Rent-roll'!CL106</f>
        <v>0</v>
      </c>
      <c r="CJ17" s="171">
        <f>'Rent-roll'!CM106</f>
        <v>0</v>
      </c>
      <c r="CK17" s="171">
        <f>'Rent-roll'!CN106</f>
        <v>0</v>
      </c>
      <c r="CL17" s="171">
        <f>'Rent-roll'!CO106</f>
        <v>-79898.475768269374</v>
      </c>
      <c r="CM17" s="171">
        <f>'Rent-roll'!CP106</f>
        <v>-39949.237884134687</v>
      </c>
      <c r="CN17" s="171">
        <f>'Rent-roll'!CQ106</f>
        <v>0</v>
      </c>
      <c r="CO17" s="171">
        <f>'Rent-roll'!CR106</f>
        <v>0</v>
      </c>
      <c r="CP17" s="171">
        <f>'Rent-roll'!CS106</f>
        <v>0</v>
      </c>
      <c r="CQ17" s="171">
        <f>'Rent-roll'!CT106</f>
        <v>0</v>
      </c>
      <c r="CR17" s="171">
        <f>'Rent-roll'!CU106</f>
        <v>0</v>
      </c>
      <c r="CS17" s="171">
        <f>'Rent-roll'!CV106</f>
        <v>0</v>
      </c>
      <c r="CT17" s="171">
        <f>'Rent-roll'!CW106</f>
        <v>0</v>
      </c>
      <c r="CU17" s="171">
        <f>'Rent-roll'!CX106</f>
        <v>0</v>
      </c>
      <c r="CV17" s="171">
        <f>'Rent-roll'!CY106</f>
        <v>0</v>
      </c>
      <c r="CW17" s="171">
        <f>'Rent-roll'!CZ106</f>
        <v>0</v>
      </c>
      <c r="CX17" s="171">
        <f>'Rent-roll'!DA106</f>
        <v>-81895.937662476092</v>
      </c>
      <c r="CY17" s="171">
        <f>'Rent-roll'!DB106</f>
        <v>-40947.968831238046</v>
      </c>
      <c r="CZ17" s="171">
        <f>'Rent-roll'!DC106</f>
        <v>0</v>
      </c>
      <c r="DA17" s="171">
        <f>'Rent-roll'!DD106</f>
        <v>0</v>
      </c>
      <c r="DB17" s="171">
        <f>'Rent-roll'!DE106</f>
        <v>0</v>
      </c>
      <c r="DC17" s="171">
        <f>'Rent-roll'!DF106</f>
        <v>0</v>
      </c>
      <c r="DD17" s="171">
        <f>'Rent-roll'!DG106</f>
        <v>0</v>
      </c>
      <c r="DE17" s="171">
        <f>'Rent-roll'!DH106</f>
        <v>0</v>
      </c>
      <c r="DF17" s="171">
        <f>'Rent-roll'!DI106</f>
        <v>0</v>
      </c>
      <c r="DG17" s="171">
        <f>'Rent-roll'!DJ106</f>
        <v>0</v>
      </c>
      <c r="DH17" s="171">
        <f>'Rent-roll'!DK106</f>
        <v>0</v>
      </c>
      <c r="DI17" s="171">
        <f>'Rent-roll'!DL106</f>
        <v>0</v>
      </c>
      <c r="DJ17" s="171">
        <f>'Rent-roll'!DM106</f>
        <v>0</v>
      </c>
      <c r="DK17" s="171">
        <f>'Rent-roll'!DN106</f>
        <v>0</v>
      </c>
      <c r="DL17" s="171">
        <f>'Rent-roll'!DO106</f>
        <v>0</v>
      </c>
      <c r="DM17" s="171">
        <f>'Rent-roll'!DP106</f>
        <v>0</v>
      </c>
      <c r="DN17" s="171">
        <f>'Rent-roll'!DQ106</f>
        <v>0</v>
      </c>
      <c r="DO17" s="171">
        <f>'Rent-roll'!DR106</f>
        <v>0</v>
      </c>
      <c r="DP17" s="171">
        <f>'Rent-roll'!DS106</f>
        <v>0</v>
      </c>
      <c r="DQ17" s="171">
        <f>'Rent-roll'!DT106</f>
        <v>0</v>
      </c>
      <c r="DR17" s="171">
        <f>'Rent-roll'!DU106</f>
        <v>0</v>
      </c>
      <c r="DS17" s="171">
        <f>'Rent-roll'!DV106</f>
        <v>0</v>
      </c>
      <c r="DT17" s="171">
        <f>'Rent-roll'!DW106</f>
        <v>0</v>
      </c>
      <c r="DU17" s="171">
        <f>'Rent-roll'!DX106</f>
        <v>0</v>
      </c>
      <c r="DV17" s="171">
        <f>'Rent-roll'!DY106</f>
        <v>0</v>
      </c>
      <c r="DW17" s="171">
        <f>'Rent-roll'!DZ106</f>
        <v>0</v>
      </c>
      <c r="DX17" s="171">
        <f>'Rent-roll'!EA106</f>
        <v>0</v>
      </c>
      <c r="DY17" s="171">
        <f>'Rent-roll'!EB106</f>
        <v>0</v>
      </c>
      <c r="DZ17" s="171">
        <f>'Rent-roll'!EC106</f>
        <v>0</v>
      </c>
      <c r="EA17" s="171">
        <f>'Rent-roll'!ED106</f>
        <v>0</v>
      </c>
      <c r="EB17" s="171">
        <f>'Rent-roll'!EE106</f>
        <v>0</v>
      </c>
      <c r="EC17" s="171">
        <f>'Rent-roll'!EF106</f>
        <v>0</v>
      </c>
      <c r="ED17" s="171">
        <f>'Rent-roll'!EG106</f>
        <v>0</v>
      </c>
      <c r="EE17" s="171">
        <f>'Rent-roll'!EH106</f>
        <v>0</v>
      </c>
      <c r="EF17" s="171">
        <f>'Rent-roll'!EI106</f>
        <v>0</v>
      </c>
      <c r="EG17" s="171">
        <f>'Rent-roll'!EJ106</f>
        <v>0</v>
      </c>
      <c r="EH17" s="171">
        <f>'Rent-roll'!EK106</f>
        <v>0</v>
      </c>
      <c r="EI17" s="171">
        <f>'Rent-roll'!EL106</f>
        <v>0</v>
      </c>
      <c r="EJ17" s="171">
        <f>'Rent-roll'!EM106</f>
        <v>0</v>
      </c>
      <c r="EK17" s="171">
        <f>'Rent-roll'!EN106</f>
        <v>0</v>
      </c>
      <c r="EL17" s="171">
        <f>'Rent-roll'!EO106</f>
        <v>0</v>
      </c>
      <c r="EM17" s="171">
        <f>'Rent-roll'!EP106</f>
        <v>0</v>
      </c>
      <c r="EN17" s="171">
        <f>'Rent-roll'!EQ106</f>
        <v>0</v>
      </c>
      <c r="EO17" s="171">
        <f>'Rent-roll'!ER106</f>
        <v>0</v>
      </c>
      <c r="EP17" s="171">
        <f>'Rent-roll'!ES106</f>
        <v>0</v>
      </c>
      <c r="EQ17" s="171">
        <f>'Rent-roll'!ET106</f>
        <v>0</v>
      </c>
      <c r="ER17" s="171">
        <f>'Rent-roll'!EU106</f>
        <v>0</v>
      </c>
    </row>
    <row r="18" spans="3:148" ht="11.25" customHeight="1">
      <c r="C18" s="163"/>
      <c r="D18" s="169" t="s">
        <v>185</v>
      </c>
      <c r="I18" s="146"/>
      <c r="J18" s="13"/>
      <c r="K18" s="171">
        <f>SUM(M18:ER18)</f>
        <v>8636664.3042394556</v>
      </c>
      <c r="L18" s="98"/>
      <c r="M18" s="171">
        <f>'Rent-roll'!P142+'Rent-roll'!P160</f>
        <v>0</v>
      </c>
      <c r="N18" s="171">
        <f>'Rent-roll'!Q142+'Rent-roll'!Q160</f>
        <v>63897.836206250002</v>
      </c>
      <c r="O18" s="171">
        <f>'Rent-roll'!R142+'Rent-roll'!R160</f>
        <v>64168.260800000004</v>
      </c>
      <c r="P18" s="171">
        <f>'Rent-roll'!S142+'Rent-roll'!S160</f>
        <v>64373.128062500007</v>
      </c>
      <c r="Q18" s="171">
        <f>'Rent-roll'!T142+'Rent-roll'!T160</f>
        <v>64923.928692968751</v>
      </c>
      <c r="R18" s="171">
        <f>'Rent-roll'!U142+'Rent-roll'!U160</f>
        <v>64923.928692968751</v>
      </c>
      <c r="S18" s="171">
        <f>'Rent-roll'!V142+'Rent-roll'!V160</f>
        <v>65134.975167968747</v>
      </c>
      <c r="T18" s="171">
        <f>'Rent-roll'!W142+'Rent-roll'!W160</f>
        <v>65322.138361406251</v>
      </c>
      <c r="U18" s="171">
        <f>'Rent-roll'!X142+'Rent-roll'!X160</f>
        <v>65322.138361406251</v>
      </c>
      <c r="V18" s="171">
        <f>'Rent-roll'!Y142+'Rent-roll'!Y160</f>
        <v>65322.138361406251</v>
      </c>
      <c r="W18" s="171">
        <f>'Rent-roll'!Z142+'Rent-roll'!Z160</f>
        <v>65322.138361406251</v>
      </c>
      <c r="X18" s="171">
        <f>'Rent-roll'!AA142+'Rent-roll'!AA160</f>
        <v>65322.138361406251</v>
      </c>
      <c r="Y18" s="171">
        <f>'Rent-roll'!AB142+'Rent-roll'!AB160</f>
        <v>65322.138361406251</v>
      </c>
      <c r="Z18" s="171">
        <f>'Rent-roll'!AC142+'Rent-roll'!AC160</f>
        <v>65331.365111406252</v>
      </c>
      <c r="AA18" s="171">
        <f>'Rent-roll'!AD142+'Rent-roll'!AD160</f>
        <v>65608.550319999995</v>
      </c>
      <c r="AB18" s="171">
        <f>'Rent-roll'!AE142+'Rent-roll'!AE160</f>
        <v>65818.539264062492</v>
      </c>
      <c r="AC18" s="171">
        <f>'Rent-roll'!AF142+'Rent-roll'!AF160</f>
        <v>66383.109910292958</v>
      </c>
      <c r="AD18" s="171">
        <f>'Rent-roll'!AG142+'Rent-roll'!AG160</f>
        <v>66383.109910292958</v>
      </c>
      <c r="AE18" s="171">
        <f>'Rent-roll'!AH142+'Rent-roll'!AH160</f>
        <v>66599.432547167962</v>
      </c>
      <c r="AF18" s="171">
        <f>'Rent-roll'!AI142+'Rent-roll'!AI160</f>
        <v>66791.274820441409</v>
      </c>
      <c r="AG18" s="171">
        <f>'Rent-roll'!AJ142+'Rent-roll'!AJ160</f>
        <v>66791.274820441409</v>
      </c>
      <c r="AH18" s="171">
        <f>'Rent-roll'!AK142+'Rent-roll'!AK160</f>
        <v>66791.274820441409</v>
      </c>
      <c r="AI18" s="171">
        <f>'Rent-roll'!AL142+'Rent-roll'!AL160</f>
        <v>66791.274820441409</v>
      </c>
      <c r="AJ18" s="171">
        <f>'Rent-roll'!AM142+'Rent-roll'!AM160</f>
        <v>66791.274820441409</v>
      </c>
      <c r="AK18" s="171">
        <f>'Rent-roll'!AN142+'Rent-roll'!AN160</f>
        <v>66791.274820441409</v>
      </c>
      <c r="AL18" s="171">
        <f>'Rent-roll'!AO142+'Rent-roll'!AO160</f>
        <v>66800.732239191406</v>
      </c>
      <c r="AM18" s="171">
        <f>'Rent-roll'!AP142+'Rent-roll'!AP160</f>
        <v>67084.847078000006</v>
      </c>
      <c r="AN18" s="171">
        <f>'Rent-roll'!AQ142+'Rent-roll'!AQ160</f>
        <v>67300.085745664052</v>
      </c>
      <c r="AO18" s="171">
        <f>'Rent-roll'!AR142+'Rent-roll'!AR160</f>
        <v>67878.770658050285</v>
      </c>
      <c r="AP18" s="171">
        <f>'Rent-roll'!AS142+'Rent-roll'!AS160</f>
        <v>67878.770658050285</v>
      </c>
      <c r="AQ18" s="171">
        <f>'Rent-roll'!AT142+'Rent-roll'!AT160</f>
        <v>68100.501360847149</v>
      </c>
      <c r="AR18" s="171">
        <f>'Rent-roll'!AU142+'Rent-roll'!AU160</f>
        <v>68297.139690952434</v>
      </c>
      <c r="AS18" s="171">
        <f>'Rent-roll'!AV142+'Rent-roll'!AV160</f>
        <v>68297.139690952434</v>
      </c>
      <c r="AT18" s="171">
        <f>'Rent-roll'!AW142+'Rent-roll'!AW160</f>
        <v>68297.139690952434</v>
      </c>
      <c r="AU18" s="171">
        <f>'Rent-roll'!AX142+'Rent-roll'!AX160</f>
        <v>68297.139690952434</v>
      </c>
      <c r="AV18" s="171">
        <f>'Rent-roll'!AY142+'Rent-roll'!AY160</f>
        <v>68297.139690952434</v>
      </c>
      <c r="AW18" s="171">
        <f>'Rent-roll'!AZ142+'Rent-roll'!AZ160</f>
        <v>68297.139690952434</v>
      </c>
      <c r="AX18" s="171">
        <f>'Rent-roll'!BA142+'Rent-roll'!BA160</f>
        <v>68306.83354517119</v>
      </c>
      <c r="AY18" s="171">
        <f>'Rent-roll'!BB142+'Rent-roll'!BB160</f>
        <v>68598.051254949998</v>
      </c>
      <c r="AZ18" s="171">
        <f>'Rent-roll'!BC142+'Rent-roll'!BC160</f>
        <v>68818.670889305649</v>
      </c>
      <c r="BA18" s="171">
        <f>'Rent-roll'!BD142+'Rent-roll'!BD160</f>
        <v>69411.822924501539</v>
      </c>
      <c r="BB18" s="171">
        <f>'Rent-roll'!BE142+'Rent-roll'!BE160</f>
        <v>69411.822924501539</v>
      </c>
      <c r="BC18" s="171">
        <f>'Rent-roll'!BF142+'Rent-roll'!BF160</f>
        <v>69639.096894868329</v>
      </c>
      <c r="BD18" s="171">
        <f>'Rent-roll'!BG142+'Rent-roll'!BG160</f>
        <v>69840.651183226233</v>
      </c>
      <c r="BE18" s="171">
        <f>'Rent-roll'!BH142+'Rent-roll'!BH160</f>
        <v>69840.651183226233</v>
      </c>
      <c r="BF18" s="171">
        <f>'Rent-roll'!BI142+'Rent-roll'!BI160</f>
        <v>69840.651183226233</v>
      </c>
      <c r="BG18" s="171">
        <f>'Rent-roll'!BJ142+'Rent-roll'!BJ160</f>
        <v>69840.651183226233</v>
      </c>
      <c r="BH18" s="171">
        <f>'Rent-roll'!BK142+'Rent-roll'!BK160</f>
        <v>69840.651183226233</v>
      </c>
      <c r="BI18" s="171">
        <f>'Rent-roll'!BL142+'Rent-roll'!BL160</f>
        <v>69840.651183226233</v>
      </c>
      <c r="BJ18" s="171">
        <f>'Rent-roll'!BM142+'Rent-roll'!BM160</f>
        <v>69850.587383800463</v>
      </c>
      <c r="BK18" s="171">
        <f>'Rent-roll'!BN142+'Rent-roll'!BN160</f>
        <v>70149.085536323735</v>
      </c>
      <c r="BL18" s="171">
        <f>'Rent-roll'!BO142+'Rent-roll'!BO160</f>
        <v>70375.220661538289</v>
      </c>
      <c r="BM18" s="171">
        <f>'Rent-roll'!BP142+'Rent-roll'!BP160</f>
        <v>70983.201497614064</v>
      </c>
      <c r="BN18" s="171">
        <f>'Rent-roll'!BQ142+'Rent-roll'!BQ160</f>
        <v>70983.201497614064</v>
      </c>
      <c r="BO18" s="171">
        <f>'Rent-roll'!BR142+'Rent-roll'!BR160</f>
        <v>71216.157317240039</v>
      </c>
      <c r="BP18" s="171">
        <f>'Rent-roll'!BS142+'Rent-roll'!BS160</f>
        <v>71422.7504628069</v>
      </c>
      <c r="BQ18" s="171">
        <f>'Rent-roll'!BT142+'Rent-roll'!BT160</f>
        <v>71422.7504628069</v>
      </c>
      <c r="BR18" s="171">
        <f>'Rent-roll'!BU142+'Rent-roll'!BU160</f>
        <v>71422.7504628069</v>
      </c>
      <c r="BS18" s="171">
        <f>'Rent-roll'!BV142+'Rent-roll'!BV160</f>
        <v>71422.7504628069</v>
      </c>
      <c r="BT18" s="171">
        <f>'Rent-roll'!BW142+'Rent-roll'!BW160</f>
        <v>71422.7504628069</v>
      </c>
      <c r="BU18" s="171">
        <f>'Rent-roll'!BX142+'Rent-roll'!BX160</f>
        <v>71422.7504628069</v>
      </c>
      <c r="BV18" s="171">
        <f>'Rent-roll'!BY142+'Rent-roll'!BY160</f>
        <v>71432.935068395469</v>
      </c>
      <c r="BW18" s="171">
        <f>'Rent-roll'!BZ142+'Rent-roll'!BZ160</f>
        <v>71738.89567473183</v>
      </c>
      <c r="BX18" s="171">
        <f>'Rent-roll'!CA142+'Rent-roll'!CA160</f>
        <v>71970.684178076743</v>
      </c>
      <c r="BY18" s="171">
        <f>'Rent-roll'!CB142+'Rent-roll'!CB160</f>
        <v>72593.864535054425</v>
      </c>
      <c r="BZ18" s="171">
        <f>'Rent-roll'!CC142+'Rent-roll'!CC160</f>
        <v>72593.864535054425</v>
      </c>
      <c r="CA18" s="171">
        <f>'Rent-roll'!CD142+'Rent-roll'!CD160</f>
        <v>72832.644250171041</v>
      </c>
      <c r="CB18" s="171">
        <f>'Rent-roll'!CE142+'Rent-roll'!CE160</f>
        <v>73044.40222437706</v>
      </c>
      <c r="CC18" s="171">
        <f>'Rent-roll'!CF142+'Rent-roll'!CF160</f>
        <v>73044.40222437706</v>
      </c>
      <c r="CD18" s="171">
        <f>'Rent-roll'!CG142+'Rent-roll'!CG160</f>
        <v>73044.40222437706</v>
      </c>
      <c r="CE18" s="171">
        <f>'Rent-roll'!CH142+'Rent-roll'!CH160</f>
        <v>73044.40222437706</v>
      </c>
      <c r="CF18" s="171">
        <f>'Rent-roll'!CI142+'Rent-roll'!CI160</f>
        <v>73044.40222437706</v>
      </c>
      <c r="CG18" s="171">
        <f>'Rent-roll'!CJ142+'Rent-roll'!CJ160</f>
        <v>73044.40222437706</v>
      </c>
      <c r="CH18" s="171">
        <f>'Rent-roll'!CK142+'Rent-roll'!CK160</f>
        <v>73054.84144510534</v>
      </c>
      <c r="CI18" s="171">
        <f>'Rent-roll'!CL142+'Rent-roll'!CL160</f>
        <v>73368.451066600101</v>
      </c>
      <c r="CJ18" s="171">
        <f>'Rent-roll'!CM142+'Rent-roll'!CM160</f>
        <v>73606.03428252865</v>
      </c>
      <c r="CK18" s="171">
        <f>'Rent-roll'!CN142+'Rent-roll'!CN160</f>
        <v>74244.794148430767</v>
      </c>
      <c r="CL18" s="171">
        <f>'Rent-roll'!CO142+'Rent-roll'!CO160</f>
        <v>74244.794148430767</v>
      </c>
      <c r="CM18" s="171">
        <f>'Rent-roll'!CP142+'Rent-roll'!CP160</f>
        <v>74489.543356425304</v>
      </c>
      <c r="CN18" s="171">
        <f>'Rent-roll'!CQ142+'Rent-roll'!CQ160</f>
        <v>74706.595279986475</v>
      </c>
      <c r="CO18" s="171">
        <f>'Rent-roll'!CR142+'Rent-roll'!CR160</f>
        <v>74706.595279986475</v>
      </c>
      <c r="CP18" s="171">
        <f>'Rent-roll'!CS142+'Rent-roll'!CS160</f>
        <v>74706.595279986475</v>
      </c>
      <c r="CQ18" s="171">
        <f>'Rent-roll'!CT142+'Rent-roll'!CT160</f>
        <v>74706.595279986475</v>
      </c>
      <c r="CR18" s="171">
        <f>'Rent-roll'!CU142+'Rent-roll'!CU160</f>
        <v>74706.595279986475</v>
      </c>
      <c r="CS18" s="171">
        <f>'Rent-roll'!CV142+'Rent-roll'!CV160</f>
        <v>74706.595279986475</v>
      </c>
      <c r="CT18" s="171">
        <f>'Rent-roll'!CW142+'Rent-roll'!CW160</f>
        <v>74717.29548123297</v>
      </c>
      <c r="CU18" s="171">
        <f>'Rent-roll'!CX142+'Rent-roll'!CX160</f>
        <v>75038.745343265109</v>
      </c>
      <c r="CV18" s="171">
        <f>'Rent-roll'!CY142+'Rent-roll'!CY160</f>
        <v>75282.268139591877</v>
      </c>
      <c r="CW18" s="171">
        <f>'Rent-roll'!CZ142+'Rent-roll'!CZ160</f>
        <v>75936.997002141536</v>
      </c>
      <c r="CX18" s="171">
        <f>'Rent-roll'!DA142+'Rent-roll'!DA160</f>
        <v>75936.997002141536</v>
      </c>
      <c r="CY18" s="171">
        <f>'Rent-roll'!DB142+'Rent-roll'!DB160</f>
        <v>76187.86494033593</v>
      </c>
      <c r="CZ18" s="171">
        <f>'Rent-roll'!DC142+'Rent-roll'!DC160</f>
        <v>76408.491055689025</v>
      </c>
      <c r="DA18" s="171">
        <f>'Rent-roll'!DD142+'Rent-roll'!DD160</f>
        <v>76408.491055689025</v>
      </c>
      <c r="DB18" s="171">
        <f>'Rent-roll'!DE142+'Rent-roll'!DE160</f>
        <v>76408.491055689025</v>
      </c>
      <c r="DC18" s="171">
        <f>'Rent-roll'!DF142+'Rent-roll'!DF160</f>
        <v>76408.491055689025</v>
      </c>
      <c r="DD18" s="171">
        <f>'Rent-roll'!DG142+'Rent-roll'!DG160</f>
        <v>76408.491055689025</v>
      </c>
      <c r="DE18" s="171">
        <f>'Rent-roll'!DH142+'Rent-roll'!DH160</f>
        <v>76408.491055689025</v>
      </c>
      <c r="DF18" s="171">
        <f>'Rent-roll'!DI142+'Rent-roll'!DI160</f>
        <v>76421.104100719094</v>
      </c>
      <c r="DG18" s="171">
        <f>'Rent-roll'!DJ142+'Rent-roll'!DJ160</f>
        <v>76749.762795932154</v>
      </c>
      <c r="DH18" s="171">
        <f>'Rent-roll'!DK142+'Rent-roll'!DK160</f>
        <v>76998.6942531026</v>
      </c>
      <c r="DI18" s="171">
        <f>'Rent-roll'!DL142+'Rent-roll'!DL160</f>
        <v>77667.903795660881</v>
      </c>
      <c r="DJ18" s="171">
        <f>'Rent-roll'!DM142+'Rent-roll'!DM160</f>
        <v>77667.903795660881</v>
      </c>
      <c r="DK18" s="171">
        <f>'Rent-roll'!DN142+'Rent-roll'!DN160</f>
        <v>77924.190014745342</v>
      </c>
      <c r="DL18" s="171">
        <f>'Rent-roll'!DO142+'Rent-roll'!DO160</f>
        <v>78154.786332081218</v>
      </c>
      <c r="DM18" s="171">
        <f>'Rent-roll'!DP142+'Rent-roll'!DP160</f>
        <v>78154.786332081218</v>
      </c>
      <c r="DN18" s="171">
        <f>'Rent-roll'!DQ142+'Rent-roll'!DQ160</f>
        <v>78154.786332081218</v>
      </c>
      <c r="DO18" s="171">
        <f>'Rent-roll'!DR142+'Rent-roll'!DR160</f>
        <v>78154.786332081218</v>
      </c>
      <c r="DP18" s="171">
        <f>'Rent-roll'!DS142+'Rent-roll'!DS160</f>
        <v>78154.786332081218</v>
      </c>
      <c r="DQ18" s="171">
        <f>'Rent-roll'!DT142+'Rent-roll'!DT160</f>
        <v>78154.786332081218</v>
      </c>
      <c r="DR18" s="171">
        <f>'Rent-roll'!DU142+'Rent-roll'!DU160</f>
        <v>78167.714703237056</v>
      </c>
      <c r="DS18" s="171">
        <f>'Rent-roll'!DV142+'Rent-roll'!DV160</f>
        <v>78504.589865830436</v>
      </c>
      <c r="DT18" s="171">
        <f>'Rent-roll'!DW142+'Rent-roll'!DW160</f>
        <v>78759.744609430156</v>
      </c>
      <c r="DU18" s="171">
        <f>'Rent-roll'!DX142+'Rent-roll'!DX160</f>
        <v>79445.684390552386</v>
      </c>
      <c r="DV18" s="171">
        <f>'Rent-roll'!DY142+'Rent-roll'!DY160</f>
        <v>79445.684390552386</v>
      </c>
      <c r="DW18" s="171">
        <f>'Rent-roll'!DZ142+'Rent-roll'!DZ160</f>
        <v>79708.377765113968</v>
      </c>
      <c r="DX18" s="171">
        <f>'Rent-roll'!EA142+'Rent-roll'!EA160</f>
        <v>79944.738990383266</v>
      </c>
      <c r="DY18" s="171">
        <f>'Rent-roll'!EB142+'Rent-roll'!EB160</f>
        <v>79944.738990383266</v>
      </c>
      <c r="DZ18" s="171">
        <f>'Rent-roll'!EC142+'Rent-roll'!EC160</f>
        <v>79944.738990383266</v>
      </c>
      <c r="EA18" s="171">
        <f>'Rent-roll'!ED142+'Rent-roll'!ED160</f>
        <v>79944.738990383266</v>
      </c>
      <c r="EB18" s="171">
        <f>'Rent-roll'!EE142+'Rent-roll'!EE160</f>
        <v>79944.738990383266</v>
      </c>
      <c r="EC18" s="171">
        <f>'Rent-roll'!EF142+'Rent-roll'!EF160</f>
        <v>79944.738990383266</v>
      </c>
      <c r="ED18" s="171">
        <f>'Rent-roll'!EG142+'Rent-roll'!EG160</f>
        <v>0</v>
      </c>
      <c r="EE18" s="171">
        <f>'Rent-roll'!EH142+'Rent-roll'!EH160</f>
        <v>0</v>
      </c>
      <c r="EF18" s="171">
        <f>'Rent-roll'!EI142+'Rent-roll'!EI160</f>
        <v>0</v>
      </c>
      <c r="EG18" s="171">
        <f>'Rent-roll'!EJ142+'Rent-roll'!EJ160</f>
        <v>0</v>
      </c>
      <c r="EH18" s="171">
        <f>'Rent-roll'!EK142+'Rent-roll'!EK160</f>
        <v>0</v>
      </c>
      <c r="EI18" s="171">
        <f>'Rent-roll'!EL142+'Rent-roll'!EL160</f>
        <v>0</v>
      </c>
      <c r="EJ18" s="171">
        <f>'Rent-roll'!EM142+'Rent-roll'!EM160</f>
        <v>0</v>
      </c>
      <c r="EK18" s="171">
        <f>'Rent-roll'!EN142+'Rent-roll'!EN160</f>
        <v>0</v>
      </c>
      <c r="EL18" s="171">
        <f>'Rent-roll'!EO142+'Rent-roll'!EO160</f>
        <v>0</v>
      </c>
      <c r="EM18" s="171">
        <f>'Rent-roll'!EP142+'Rent-roll'!EP160</f>
        <v>0</v>
      </c>
      <c r="EN18" s="171">
        <f>'Rent-roll'!EQ142+'Rent-roll'!EQ160</f>
        <v>0</v>
      </c>
      <c r="EO18" s="171">
        <f>'Rent-roll'!ER142+'Rent-roll'!ER160</f>
        <v>0</v>
      </c>
      <c r="EP18" s="171">
        <f>'Rent-roll'!ES142+'Rent-roll'!ES160</f>
        <v>0</v>
      </c>
      <c r="EQ18" s="171">
        <f>'Rent-roll'!ET142+'Rent-roll'!ET160</f>
        <v>0</v>
      </c>
      <c r="ER18" s="171">
        <f>'Rent-roll'!EU142+'Rent-roll'!EU160</f>
        <v>0</v>
      </c>
    </row>
    <row r="19" spans="3:148" ht="11.25" customHeight="1">
      <c r="C19" s="163"/>
      <c r="D19" s="169" t="s">
        <v>186</v>
      </c>
      <c r="H19" s="748"/>
      <c r="I19" s="1331"/>
      <c r="J19" s="222"/>
      <c r="K19" s="171">
        <f>SUM(M19:ER19)</f>
        <v>1429432.1490399991</v>
      </c>
      <c r="L19" s="98"/>
      <c r="M19" s="171">
        <f>'IS(M)'!M21</f>
        <v>0</v>
      </c>
      <c r="N19" s="171">
        <f>'IS(M)'!N21</f>
        <v>11911.934575333333</v>
      </c>
      <c r="O19" s="171">
        <f>'IS(M)'!O21</f>
        <v>11911.934575333333</v>
      </c>
      <c r="P19" s="171">
        <f>'IS(M)'!P21</f>
        <v>11911.934575333333</v>
      </c>
      <c r="Q19" s="171">
        <f>'IS(M)'!Q21</f>
        <v>11911.934575333333</v>
      </c>
      <c r="R19" s="171">
        <f>'IS(M)'!R21</f>
        <v>11911.934575333333</v>
      </c>
      <c r="S19" s="171">
        <f>'IS(M)'!S21</f>
        <v>11911.934575333333</v>
      </c>
      <c r="T19" s="171">
        <f>'IS(M)'!T21</f>
        <v>11911.934575333333</v>
      </c>
      <c r="U19" s="171">
        <f>'IS(M)'!U21</f>
        <v>11911.934575333333</v>
      </c>
      <c r="V19" s="171">
        <f>'IS(M)'!V21</f>
        <v>11911.934575333333</v>
      </c>
      <c r="W19" s="171">
        <f>'IS(M)'!W21</f>
        <v>11911.934575333333</v>
      </c>
      <c r="X19" s="171">
        <f>'IS(M)'!X21</f>
        <v>11911.934575333333</v>
      </c>
      <c r="Y19" s="171">
        <f>'IS(M)'!Y21</f>
        <v>11911.934575333333</v>
      </c>
      <c r="Z19" s="171">
        <f>'IS(M)'!Z21</f>
        <v>11911.934575333333</v>
      </c>
      <c r="AA19" s="171">
        <f>'IS(M)'!AA21</f>
        <v>11911.934575333333</v>
      </c>
      <c r="AB19" s="171">
        <f>'IS(M)'!AB21</f>
        <v>11911.934575333333</v>
      </c>
      <c r="AC19" s="171">
        <f>'IS(M)'!AC21</f>
        <v>11911.934575333333</v>
      </c>
      <c r="AD19" s="171">
        <f>'IS(M)'!AD21</f>
        <v>11911.934575333333</v>
      </c>
      <c r="AE19" s="171">
        <f>'IS(M)'!AE21</f>
        <v>11911.934575333333</v>
      </c>
      <c r="AF19" s="171">
        <f>'IS(M)'!AF21</f>
        <v>11911.934575333333</v>
      </c>
      <c r="AG19" s="171">
        <f>'IS(M)'!AG21</f>
        <v>11911.934575333333</v>
      </c>
      <c r="AH19" s="171">
        <f>'IS(M)'!AH21</f>
        <v>11911.934575333333</v>
      </c>
      <c r="AI19" s="171">
        <f>'IS(M)'!AI21</f>
        <v>11911.934575333333</v>
      </c>
      <c r="AJ19" s="171">
        <f>'IS(M)'!AJ21</f>
        <v>11911.934575333333</v>
      </c>
      <c r="AK19" s="171">
        <f>'IS(M)'!AK21</f>
        <v>11911.934575333333</v>
      </c>
      <c r="AL19" s="171">
        <f>'IS(M)'!AL21</f>
        <v>11911.934575333333</v>
      </c>
      <c r="AM19" s="171">
        <f>'IS(M)'!AM21</f>
        <v>11911.934575333333</v>
      </c>
      <c r="AN19" s="171">
        <f>'IS(M)'!AN21</f>
        <v>11911.934575333333</v>
      </c>
      <c r="AO19" s="171">
        <f>'IS(M)'!AO21</f>
        <v>11911.934575333333</v>
      </c>
      <c r="AP19" s="171">
        <f>'IS(M)'!AP21</f>
        <v>11911.934575333333</v>
      </c>
      <c r="AQ19" s="171">
        <f>'IS(M)'!AQ21</f>
        <v>11911.934575333333</v>
      </c>
      <c r="AR19" s="171">
        <f>'IS(M)'!AR21</f>
        <v>11911.934575333333</v>
      </c>
      <c r="AS19" s="171">
        <f>'IS(M)'!AS21</f>
        <v>11911.934575333333</v>
      </c>
      <c r="AT19" s="171">
        <f>'IS(M)'!AT21</f>
        <v>11911.934575333333</v>
      </c>
      <c r="AU19" s="171">
        <f>'IS(M)'!AU21</f>
        <v>11911.934575333333</v>
      </c>
      <c r="AV19" s="171">
        <f>'IS(M)'!AV21</f>
        <v>11911.934575333333</v>
      </c>
      <c r="AW19" s="171">
        <f>'IS(M)'!AW21</f>
        <v>11911.934575333333</v>
      </c>
      <c r="AX19" s="171">
        <f>'IS(M)'!AX21</f>
        <v>11911.934575333333</v>
      </c>
      <c r="AY19" s="171">
        <f>'IS(M)'!AY21</f>
        <v>11911.934575333333</v>
      </c>
      <c r="AZ19" s="171">
        <f>'IS(M)'!AZ21</f>
        <v>11911.934575333333</v>
      </c>
      <c r="BA19" s="171">
        <f>'IS(M)'!BA21</f>
        <v>11911.934575333333</v>
      </c>
      <c r="BB19" s="171">
        <f>'IS(M)'!BB21</f>
        <v>11911.934575333333</v>
      </c>
      <c r="BC19" s="171">
        <f>'IS(M)'!BC21</f>
        <v>11911.934575333333</v>
      </c>
      <c r="BD19" s="171">
        <f>'IS(M)'!BD21</f>
        <v>11911.934575333333</v>
      </c>
      <c r="BE19" s="171">
        <f>'IS(M)'!BE21</f>
        <v>11911.934575333333</v>
      </c>
      <c r="BF19" s="171">
        <f>'IS(M)'!BF21</f>
        <v>11911.934575333333</v>
      </c>
      <c r="BG19" s="171">
        <f>'IS(M)'!BG21</f>
        <v>11911.934575333333</v>
      </c>
      <c r="BH19" s="171">
        <f>'IS(M)'!BH21</f>
        <v>11911.934575333333</v>
      </c>
      <c r="BI19" s="171">
        <f>'IS(M)'!BI21</f>
        <v>11911.934575333333</v>
      </c>
      <c r="BJ19" s="171">
        <f>'IS(M)'!BJ21</f>
        <v>11911.934575333333</v>
      </c>
      <c r="BK19" s="171">
        <f>'IS(M)'!BK21</f>
        <v>11911.934575333333</v>
      </c>
      <c r="BL19" s="171">
        <f>'IS(M)'!BL21</f>
        <v>11911.934575333333</v>
      </c>
      <c r="BM19" s="171">
        <f>'IS(M)'!BM21</f>
        <v>11911.934575333333</v>
      </c>
      <c r="BN19" s="171">
        <f>'IS(M)'!BN21</f>
        <v>11911.934575333333</v>
      </c>
      <c r="BO19" s="171">
        <f>'IS(M)'!BO21</f>
        <v>11911.934575333333</v>
      </c>
      <c r="BP19" s="171">
        <f>'IS(M)'!BP21</f>
        <v>11911.934575333333</v>
      </c>
      <c r="BQ19" s="171">
        <f>'IS(M)'!BQ21</f>
        <v>11911.934575333333</v>
      </c>
      <c r="BR19" s="171">
        <f>'IS(M)'!BR21</f>
        <v>11911.934575333333</v>
      </c>
      <c r="BS19" s="171">
        <f>'IS(M)'!BS21</f>
        <v>11911.934575333333</v>
      </c>
      <c r="BT19" s="171">
        <f>'IS(M)'!BT21</f>
        <v>11911.934575333333</v>
      </c>
      <c r="BU19" s="171">
        <f>'IS(M)'!BU21</f>
        <v>11911.934575333333</v>
      </c>
      <c r="BV19" s="171">
        <f>'IS(M)'!BV21</f>
        <v>11911.934575333333</v>
      </c>
      <c r="BW19" s="171">
        <f>'IS(M)'!BW21</f>
        <v>11911.934575333333</v>
      </c>
      <c r="BX19" s="171">
        <f>'IS(M)'!BX21</f>
        <v>11911.934575333333</v>
      </c>
      <c r="BY19" s="171">
        <f>'IS(M)'!BY21</f>
        <v>11911.934575333333</v>
      </c>
      <c r="BZ19" s="171">
        <f>'IS(M)'!BZ21</f>
        <v>11911.934575333333</v>
      </c>
      <c r="CA19" s="171">
        <f>'IS(M)'!CA21</f>
        <v>11911.934575333333</v>
      </c>
      <c r="CB19" s="171">
        <f>'IS(M)'!CB21</f>
        <v>11911.934575333333</v>
      </c>
      <c r="CC19" s="171">
        <f>'IS(M)'!CC21</f>
        <v>11911.934575333333</v>
      </c>
      <c r="CD19" s="171">
        <f>'IS(M)'!CD21</f>
        <v>11911.934575333333</v>
      </c>
      <c r="CE19" s="171">
        <f>'IS(M)'!CE21</f>
        <v>11911.934575333333</v>
      </c>
      <c r="CF19" s="171">
        <f>'IS(M)'!CF21</f>
        <v>11911.934575333333</v>
      </c>
      <c r="CG19" s="171">
        <f>'IS(M)'!CG21</f>
        <v>11911.934575333333</v>
      </c>
      <c r="CH19" s="171">
        <f>'IS(M)'!CH21</f>
        <v>11911.934575333333</v>
      </c>
      <c r="CI19" s="171">
        <f>'IS(M)'!CI21</f>
        <v>11911.934575333333</v>
      </c>
      <c r="CJ19" s="171">
        <f>'IS(M)'!CJ21</f>
        <v>11911.934575333333</v>
      </c>
      <c r="CK19" s="171">
        <f>'IS(M)'!CK21</f>
        <v>11911.934575333333</v>
      </c>
      <c r="CL19" s="171">
        <f>'IS(M)'!CL21</f>
        <v>11911.934575333333</v>
      </c>
      <c r="CM19" s="171">
        <f>'IS(M)'!CM21</f>
        <v>11911.934575333333</v>
      </c>
      <c r="CN19" s="171">
        <f>'IS(M)'!CN21</f>
        <v>11911.934575333333</v>
      </c>
      <c r="CO19" s="171">
        <f>'IS(M)'!CO21</f>
        <v>11911.934575333333</v>
      </c>
      <c r="CP19" s="171">
        <f>'IS(M)'!CP21</f>
        <v>11911.934575333333</v>
      </c>
      <c r="CQ19" s="171">
        <f>'IS(M)'!CQ21</f>
        <v>11911.934575333333</v>
      </c>
      <c r="CR19" s="171">
        <f>'IS(M)'!CR21</f>
        <v>11911.934575333333</v>
      </c>
      <c r="CS19" s="171">
        <f>'IS(M)'!CS21</f>
        <v>11911.934575333333</v>
      </c>
      <c r="CT19" s="171">
        <f>'IS(M)'!CT21</f>
        <v>11911.934575333333</v>
      </c>
      <c r="CU19" s="171">
        <f>'IS(M)'!CU21</f>
        <v>11911.934575333333</v>
      </c>
      <c r="CV19" s="171">
        <f>'IS(M)'!CV21</f>
        <v>11911.934575333333</v>
      </c>
      <c r="CW19" s="171">
        <f>'IS(M)'!CW21</f>
        <v>11911.934575333333</v>
      </c>
      <c r="CX19" s="171">
        <f>'IS(M)'!CX21</f>
        <v>11911.934575333333</v>
      </c>
      <c r="CY19" s="171">
        <f>'IS(M)'!CY21</f>
        <v>11911.934575333333</v>
      </c>
      <c r="CZ19" s="171">
        <f>'IS(M)'!CZ21</f>
        <v>11911.934575333333</v>
      </c>
      <c r="DA19" s="171">
        <f>'IS(M)'!DA21</f>
        <v>11911.934575333333</v>
      </c>
      <c r="DB19" s="171">
        <f>'IS(M)'!DB21</f>
        <v>11911.934575333333</v>
      </c>
      <c r="DC19" s="171">
        <f>'IS(M)'!DC21</f>
        <v>11911.934575333333</v>
      </c>
      <c r="DD19" s="171">
        <f>'IS(M)'!DD21</f>
        <v>11911.934575333333</v>
      </c>
      <c r="DE19" s="171">
        <f>'IS(M)'!DE21</f>
        <v>11911.934575333333</v>
      </c>
      <c r="DF19" s="171">
        <f>'IS(M)'!DF21</f>
        <v>11911.934575333333</v>
      </c>
      <c r="DG19" s="171">
        <f>'IS(M)'!DG21</f>
        <v>11911.934575333333</v>
      </c>
      <c r="DH19" s="171">
        <f>'IS(M)'!DH21</f>
        <v>11911.934575333333</v>
      </c>
      <c r="DI19" s="171">
        <f>'IS(M)'!DI21</f>
        <v>11911.934575333333</v>
      </c>
      <c r="DJ19" s="171">
        <f>'IS(M)'!DJ21</f>
        <v>11911.934575333333</v>
      </c>
      <c r="DK19" s="171">
        <f>'IS(M)'!DK21</f>
        <v>11911.934575333333</v>
      </c>
      <c r="DL19" s="171">
        <f>'IS(M)'!DL21</f>
        <v>11911.934575333333</v>
      </c>
      <c r="DM19" s="171">
        <f>'IS(M)'!DM21</f>
        <v>11911.934575333333</v>
      </c>
      <c r="DN19" s="171">
        <f>'IS(M)'!DN21</f>
        <v>11911.934575333333</v>
      </c>
      <c r="DO19" s="171">
        <f>'IS(M)'!DO21</f>
        <v>11911.934575333333</v>
      </c>
      <c r="DP19" s="171">
        <f>'IS(M)'!DP21</f>
        <v>11911.934575333333</v>
      </c>
      <c r="DQ19" s="171">
        <f>'IS(M)'!DQ21</f>
        <v>11911.934575333333</v>
      </c>
      <c r="DR19" s="171">
        <f>'IS(M)'!DR21</f>
        <v>11911.934575333333</v>
      </c>
      <c r="DS19" s="171">
        <f>'IS(M)'!DS21</f>
        <v>11911.934575333333</v>
      </c>
      <c r="DT19" s="171">
        <f>'IS(M)'!DT21</f>
        <v>11911.934575333333</v>
      </c>
      <c r="DU19" s="171">
        <f>'IS(M)'!DU21</f>
        <v>11911.934575333333</v>
      </c>
      <c r="DV19" s="171">
        <f>'IS(M)'!DV21</f>
        <v>11911.934575333333</v>
      </c>
      <c r="DW19" s="171">
        <f>'IS(M)'!DW21</f>
        <v>11911.934575333333</v>
      </c>
      <c r="DX19" s="171">
        <f>'IS(M)'!DX21</f>
        <v>11911.934575333333</v>
      </c>
      <c r="DY19" s="171">
        <f>'IS(M)'!DY21</f>
        <v>11911.934575333333</v>
      </c>
      <c r="DZ19" s="171">
        <f>'IS(M)'!DZ21</f>
        <v>11911.934575333333</v>
      </c>
      <c r="EA19" s="171">
        <f>'IS(M)'!EA21</f>
        <v>11911.934575333333</v>
      </c>
      <c r="EB19" s="171">
        <f>'IS(M)'!EB21</f>
        <v>11911.934575333333</v>
      </c>
      <c r="EC19" s="171">
        <f>'IS(M)'!EC21</f>
        <v>11911.934575333333</v>
      </c>
      <c r="ED19" s="171">
        <f>'IS(M)'!ED21</f>
        <v>0</v>
      </c>
      <c r="EE19" s="171">
        <f>'IS(M)'!EE21</f>
        <v>0</v>
      </c>
      <c r="EF19" s="171">
        <f>'IS(M)'!EF21</f>
        <v>0</v>
      </c>
      <c r="EG19" s="171">
        <f>'IS(M)'!EG21</f>
        <v>0</v>
      </c>
      <c r="EH19" s="171">
        <f>'IS(M)'!EH21</f>
        <v>0</v>
      </c>
      <c r="EI19" s="171">
        <f>'IS(M)'!EI21</f>
        <v>0</v>
      </c>
      <c r="EJ19" s="171">
        <f>'IS(M)'!EJ21</f>
        <v>0</v>
      </c>
      <c r="EK19" s="171">
        <f>'IS(M)'!EK21</f>
        <v>0</v>
      </c>
      <c r="EL19" s="171">
        <f>'IS(M)'!EL21</f>
        <v>0</v>
      </c>
      <c r="EM19" s="171">
        <f>'IS(M)'!EM21</f>
        <v>0</v>
      </c>
      <c r="EN19" s="171">
        <f>'IS(M)'!EN21</f>
        <v>0</v>
      </c>
      <c r="EO19" s="171">
        <f>'IS(M)'!EO21</f>
        <v>0</v>
      </c>
      <c r="EP19" s="171">
        <f>'IS(M)'!EP21</f>
        <v>0</v>
      </c>
      <c r="EQ19" s="171">
        <f>'IS(M)'!EQ21</f>
        <v>0</v>
      </c>
      <c r="ER19" s="171">
        <f>'IS(M)'!ER21</f>
        <v>0</v>
      </c>
    </row>
    <row r="20" spans="3:148" ht="11.25" customHeight="1">
      <c r="C20" s="163"/>
      <c r="D20" s="169" t="s">
        <v>1669</v>
      </c>
      <c r="I20" s="146"/>
      <c r="J20" s="13"/>
      <c r="K20" s="171">
        <f>SUM(M20:ER20)</f>
        <v>0</v>
      </c>
      <c r="L20" s="98"/>
      <c r="M20" s="171">
        <v>0</v>
      </c>
      <c r="N20" s="171">
        <v>0</v>
      </c>
      <c r="O20" s="171">
        <v>0</v>
      </c>
      <c r="P20" s="171">
        <v>0</v>
      </c>
      <c r="Q20" s="171">
        <v>0</v>
      </c>
      <c r="R20" s="171">
        <v>0</v>
      </c>
      <c r="S20" s="171">
        <v>0</v>
      </c>
      <c r="T20" s="171">
        <v>0</v>
      </c>
      <c r="U20" s="171">
        <v>0</v>
      </c>
      <c r="V20" s="171">
        <v>0</v>
      </c>
      <c r="W20" s="171">
        <v>0</v>
      </c>
      <c r="X20" s="171">
        <v>0</v>
      </c>
      <c r="Y20" s="171">
        <v>0</v>
      </c>
      <c r="Z20" s="171">
        <v>0</v>
      </c>
      <c r="AA20" s="171">
        <v>0</v>
      </c>
      <c r="AB20" s="171">
        <v>0</v>
      </c>
      <c r="AC20" s="171">
        <v>0</v>
      </c>
      <c r="AD20" s="171">
        <v>0</v>
      </c>
      <c r="AE20" s="171">
        <v>0</v>
      </c>
      <c r="AF20" s="171">
        <v>0</v>
      </c>
      <c r="AG20" s="171">
        <v>0</v>
      </c>
      <c r="AH20" s="171">
        <v>0</v>
      </c>
      <c r="AI20" s="171">
        <v>0</v>
      </c>
      <c r="AJ20" s="171">
        <v>0</v>
      </c>
      <c r="AK20" s="171">
        <v>0</v>
      </c>
      <c r="AL20" s="171">
        <v>0</v>
      </c>
      <c r="AM20" s="171">
        <v>0</v>
      </c>
      <c r="AN20" s="171">
        <v>0</v>
      </c>
      <c r="AO20" s="171">
        <v>0</v>
      </c>
      <c r="AP20" s="171">
        <v>0</v>
      </c>
      <c r="AQ20" s="171">
        <v>0</v>
      </c>
      <c r="AR20" s="171">
        <v>0</v>
      </c>
      <c r="AS20" s="171">
        <v>0</v>
      </c>
      <c r="AT20" s="171">
        <v>0</v>
      </c>
      <c r="AU20" s="171">
        <v>0</v>
      </c>
      <c r="AV20" s="171">
        <v>0</v>
      </c>
      <c r="AW20" s="171">
        <v>0</v>
      </c>
      <c r="AX20" s="171">
        <v>0</v>
      </c>
      <c r="AY20" s="171">
        <v>0</v>
      </c>
      <c r="AZ20" s="171">
        <v>0</v>
      </c>
      <c r="BA20" s="171">
        <v>0</v>
      </c>
      <c r="BB20" s="171">
        <v>0</v>
      </c>
      <c r="BC20" s="171">
        <v>0</v>
      </c>
      <c r="BD20" s="171">
        <v>0</v>
      </c>
      <c r="BE20" s="171">
        <v>0</v>
      </c>
      <c r="BF20" s="171">
        <v>0</v>
      </c>
      <c r="BG20" s="171">
        <v>0</v>
      </c>
      <c r="BH20" s="171">
        <v>0</v>
      </c>
      <c r="BI20" s="171">
        <v>0</v>
      </c>
      <c r="BJ20" s="171">
        <v>0</v>
      </c>
      <c r="BK20" s="171">
        <v>0</v>
      </c>
      <c r="BL20" s="171">
        <v>0</v>
      </c>
      <c r="BM20" s="171">
        <v>0</v>
      </c>
      <c r="BN20" s="171">
        <v>0</v>
      </c>
      <c r="BO20" s="171">
        <v>0</v>
      </c>
      <c r="BP20" s="171">
        <v>0</v>
      </c>
      <c r="BQ20" s="171">
        <v>0</v>
      </c>
      <c r="BR20" s="171">
        <v>0</v>
      </c>
      <c r="BS20" s="171">
        <v>0</v>
      </c>
      <c r="BT20" s="171">
        <v>0</v>
      </c>
      <c r="BU20" s="171">
        <v>0</v>
      </c>
      <c r="BV20" s="171">
        <v>0</v>
      </c>
      <c r="BW20" s="171">
        <v>0</v>
      </c>
      <c r="BX20" s="171">
        <v>0</v>
      </c>
      <c r="BY20" s="171">
        <v>0</v>
      </c>
      <c r="BZ20" s="171">
        <v>0</v>
      </c>
      <c r="CA20" s="171">
        <v>0</v>
      </c>
      <c r="CB20" s="171">
        <v>0</v>
      </c>
      <c r="CC20" s="171">
        <v>0</v>
      </c>
      <c r="CD20" s="171">
        <v>0</v>
      </c>
      <c r="CE20" s="171">
        <v>0</v>
      </c>
      <c r="CF20" s="171">
        <v>0</v>
      </c>
      <c r="CG20" s="171">
        <v>0</v>
      </c>
      <c r="CH20" s="171">
        <v>0</v>
      </c>
      <c r="CI20" s="171">
        <v>0</v>
      </c>
      <c r="CJ20" s="171">
        <v>0</v>
      </c>
      <c r="CK20" s="171">
        <v>0</v>
      </c>
      <c r="CL20" s="171">
        <v>0</v>
      </c>
      <c r="CM20" s="171">
        <v>0</v>
      </c>
      <c r="CN20" s="171">
        <v>0</v>
      </c>
      <c r="CO20" s="171">
        <v>0</v>
      </c>
      <c r="CP20" s="171">
        <v>0</v>
      </c>
      <c r="CQ20" s="171">
        <v>0</v>
      </c>
      <c r="CR20" s="171">
        <v>0</v>
      </c>
      <c r="CS20" s="171">
        <v>0</v>
      </c>
      <c r="CT20" s="171">
        <v>0</v>
      </c>
      <c r="CU20" s="171">
        <v>0</v>
      </c>
      <c r="CV20" s="171">
        <v>0</v>
      </c>
      <c r="CW20" s="171">
        <v>0</v>
      </c>
      <c r="CX20" s="171">
        <v>0</v>
      </c>
      <c r="CY20" s="171">
        <v>0</v>
      </c>
      <c r="CZ20" s="171">
        <v>0</v>
      </c>
      <c r="DA20" s="171">
        <v>0</v>
      </c>
      <c r="DB20" s="171">
        <v>0</v>
      </c>
      <c r="DC20" s="171">
        <v>0</v>
      </c>
      <c r="DD20" s="171">
        <v>0</v>
      </c>
      <c r="DE20" s="171">
        <v>0</v>
      </c>
      <c r="DF20" s="171">
        <v>0</v>
      </c>
      <c r="DG20" s="171">
        <v>0</v>
      </c>
      <c r="DH20" s="171">
        <v>0</v>
      </c>
      <c r="DI20" s="171">
        <v>0</v>
      </c>
      <c r="DJ20" s="171">
        <v>0</v>
      </c>
      <c r="DK20" s="171">
        <v>0</v>
      </c>
      <c r="DL20" s="171">
        <v>0</v>
      </c>
      <c r="DM20" s="171">
        <v>0</v>
      </c>
      <c r="DN20" s="171">
        <v>0</v>
      </c>
      <c r="DO20" s="171">
        <v>0</v>
      </c>
      <c r="DP20" s="171">
        <v>0</v>
      </c>
      <c r="DQ20" s="171">
        <v>0</v>
      </c>
      <c r="DR20" s="171">
        <v>0</v>
      </c>
      <c r="DS20" s="171">
        <v>0</v>
      </c>
      <c r="DT20" s="171">
        <v>0</v>
      </c>
      <c r="DU20" s="171">
        <v>0</v>
      </c>
      <c r="DV20" s="171">
        <v>0</v>
      </c>
      <c r="DW20" s="171">
        <v>0</v>
      </c>
      <c r="DX20" s="171">
        <v>0</v>
      </c>
      <c r="DY20" s="171">
        <v>0</v>
      </c>
      <c r="DZ20" s="171">
        <v>0</v>
      </c>
      <c r="EA20" s="171">
        <v>0</v>
      </c>
      <c r="EB20" s="171">
        <v>0</v>
      </c>
      <c r="EC20" s="171">
        <v>0</v>
      </c>
      <c r="ED20" s="171">
        <v>0</v>
      </c>
      <c r="EE20" s="171">
        <v>0</v>
      </c>
      <c r="EF20" s="171">
        <v>0</v>
      </c>
      <c r="EG20" s="171">
        <v>0</v>
      </c>
      <c r="EH20" s="171">
        <v>0</v>
      </c>
      <c r="EI20" s="171">
        <v>0</v>
      </c>
      <c r="EJ20" s="171">
        <v>0</v>
      </c>
      <c r="EK20" s="171">
        <v>0</v>
      </c>
      <c r="EL20" s="171">
        <v>0</v>
      </c>
      <c r="EM20" s="171">
        <v>0</v>
      </c>
      <c r="EN20" s="171">
        <v>0</v>
      </c>
      <c r="EO20" s="171">
        <v>0</v>
      </c>
      <c r="EP20" s="171">
        <v>0</v>
      </c>
      <c r="EQ20" s="171">
        <v>0</v>
      </c>
      <c r="ER20" s="171">
        <v>0</v>
      </c>
    </row>
    <row r="21" spans="3:148" ht="11.25" customHeight="1">
      <c r="C21" s="158" t="s">
        <v>188</v>
      </c>
      <c r="D21" s="159"/>
      <c r="E21" s="159"/>
      <c r="F21" s="729"/>
      <c r="G21" s="729"/>
      <c r="H21" s="729"/>
      <c r="I21" s="160"/>
      <c r="J21" s="219"/>
      <c r="K21" s="250">
        <f>SUM(K22:K32)</f>
        <v>23206747.133190524</v>
      </c>
      <c r="L21" s="98"/>
      <c r="M21" s="162">
        <f>SUM(M22:M32)</f>
        <v>0</v>
      </c>
      <c r="N21" s="162">
        <f t="shared" ref="N21:BY21" si="9">SUM(N22:N32)</f>
        <v>195945.19229415001</v>
      </c>
      <c r="O21" s="162">
        <f t="shared" si="9"/>
        <v>185071.82229415001</v>
      </c>
      <c r="P21" s="162">
        <f t="shared" si="9"/>
        <v>185071.82229415001</v>
      </c>
      <c r="Q21" s="162">
        <f t="shared" si="9"/>
        <v>185071.82229415001</v>
      </c>
      <c r="R21" s="162">
        <f t="shared" si="9"/>
        <v>185071.82229415001</v>
      </c>
      <c r="S21" s="162">
        <f t="shared" si="9"/>
        <v>185071.82229415001</v>
      </c>
      <c r="T21" s="162">
        <f t="shared" si="9"/>
        <v>185071.82229415001</v>
      </c>
      <c r="U21" s="162">
        <f t="shared" si="9"/>
        <v>185071.82229415001</v>
      </c>
      <c r="V21" s="162">
        <f t="shared" si="9"/>
        <v>185071.82229415001</v>
      </c>
      <c r="W21" s="162">
        <f t="shared" si="9"/>
        <v>185071.82229415001</v>
      </c>
      <c r="X21" s="162">
        <f t="shared" si="9"/>
        <v>185071.82229415001</v>
      </c>
      <c r="Y21" s="162">
        <f t="shared" si="9"/>
        <v>185071.82229415001</v>
      </c>
      <c r="Z21" s="162">
        <f t="shared" si="9"/>
        <v>185089.41854341264</v>
      </c>
      <c r="AA21" s="162">
        <f t="shared" si="9"/>
        <v>185089.41854341264</v>
      </c>
      <c r="AB21" s="162">
        <f t="shared" si="9"/>
        <v>185089.41854341264</v>
      </c>
      <c r="AC21" s="162">
        <f t="shared" si="9"/>
        <v>185089.41854341264</v>
      </c>
      <c r="AD21" s="162">
        <f t="shared" si="9"/>
        <v>185089.41854341264</v>
      </c>
      <c r="AE21" s="162">
        <f t="shared" si="9"/>
        <v>185089.41854341264</v>
      </c>
      <c r="AF21" s="162">
        <f t="shared" si="9"/>
        <v>185089.41854341264</v>
      </c>
      <c r="AG21" s="162">
        <f t="shared" si="9"/>
        <v>185089.41854341264</v>
      </c>
      <c r="AH21" s="162">
        <f t="shared" si="9"/>
        <v>185089.41854341264</v>
      </c>
      <c r="AI21" s="162">
        <f t="shared" si="9"/>
        <v>185089.41854341264</v>
      </c>
      <c r="AJ21" s="162">
        <f t="shared" si="9"/>
        <v>185089.41854341264</v>
      </c>
      <c r="AK21" s="162">
        <f t="shared" si="9"/>
        <v>185089.41854341264</v>
      </c>
      <c r="AL21" s="162">
        <f t="shared" si="9"/>
        <v>185173.72336145223</v>
      </c>
      <c r="AM21" s="162">
        <f t="shared" si="9"/>
        <v>185173.72336145223</v>
      </c>
      <c r="AN21" s="162">
        <f t="shared" si="9"/>
        <v>185173.72336145223</v>
      </c>
      <c r="AO21" s="162">
        <f t="shared" si="9"/>
        <v>185173.72336145223</v>
      </c>
      <c r="AP21" s="162">
        <f t="shared" si="9"/>
        <v>185173.72336145223</v>
      </c>
      <c r="AQ21" s="162">
        <f t="shared" si="9"/>
        <v>185173.72336145223</v>
      </c>
      <c r="AR21" s="162">
        <f t="shared" si="9"/>
        <v>185173.72336145223</v>
      </c>
      <c r="AS21" s="162">
        <f t="shared" si="9"/>
        <v>185173.72336145223</v>
      </c>
      <c r="AT21" s="162">
        <f t="shared" si="9"/>
        <v>185173.72336145223</v>
      </c>
      <c r="AU21" s="162">
        <f t="shared" si="9"/>
        <v>253572.11588362133</v>
      </c>
      <c r="AV21" s="162">
        <f t="shared" si="9"/>
        <v>185173.72336145223</v>
      </c>
      <c r="AW21" s="162">
        <f t="shared" si="9"/>
        <v>185173.72336145223</v>
      </c>
      <c r="AX21" s="162">
        <f t="shared" si="9"/>
        <v>185324.81689175408</v>
      </c>
      <c r="AY21" s="162">
        <f t="shared" si="9"/>
        <v>185324.81689175408</v>
      </c>
      <c r="AZ21" s="162">
        <f t="shared" si="9"/>
        <v>200866.95502327802</v>
      </c>
      <c r="BA21" s="162">
        <f t="shared" si="9"/>
        <v>212979.6204350593</v>
      </c>
      <c r="BB21" s="162">
        <f t="shared" si="9"/>
        <v>185324.81689175408</v>
      </c>
      <c r="BC21" s="162">
        <f t="shared" si="9"/>
        <v>185324.81689175408</v>
      </c>
      <c r="BD21" s="162">
        <f t="shared" si="9"/>
        <v>185883.37252899926</v>
      </c>
      <c r="BE21" s="162">
        <f t="shared" si="9"/>
        <v>185324.81689175408</v>
      </c>
      <c r="BF21" s="162">
        <f t="shared" si="9"/>
        <v>185324.81689175408</v>
      </c>
      <c r="BG21" s="162">
        <f t="shared" si="9"/>
        <v>185324.81689175408</v>
      </c>
      <c r="BH21" s="162">
        <f t="shared" si="9"/>
        <v>185324.81689175408</v>
      </c>
      <c r="BI21" s="162">
        <f t="shared" si="9"/>
        <v>185324.81689175408</v>
      </c>
      <c r="BJ21" s="162">
        <f t="shared" si="9"/>
        <v>185542.80447090621</v>
      </c>
      <c r="BK21" s="162">
        <f t="shared" si="9"/>
        <v>185542.80447090621</v>
      </c>
      <c r="BL21" s="162">
        <f t="shared" si="9"/>
        <v>185542.80447090621</v>
      </c>
      <c r="BM21" s="162">
        <f t="shared" si="9"/>
        <v>185542.80447090621</v>
      </c>
      <c r="BN21" s="162">
        <f t="shared" si="9"/>
        <v>185542.80447090621</v>
      </c>
      <c r="BO21" s="162">
        <f t="shared" si="9"/>
        <v>185542.80447090621</v>
      </c>
      <c r="BP21" s="162">
        <f t="shared" si="9"/>
        <v>185542.80447090621</v>
      </c>
      <c r="BQ21" s="162">
        <f t="shared" si="9"/>
        <v>185542.80447090621</v>
      </c>
      <c r="BR21" s="162">
        <f t="shared" si="9"/>
        <v>185542.80447090621</v>
      </c>
      <c r="BS21" s="162">
        <f t="shared" si="9"/>
        <v>185542.80447090621</v>
      </c>
      <c r="BT21" s="162">
        <f t="shared" si="9"/>
        <v>185542.80447090621</v>
      </c>
      <c r="BU21" s="162">
        <f t="shared" si="9"/>
        <v>185542.80447090621</v>
      </c>
      <c r="BV21" s="162">
        <f t="shared" si="9"/>
        <v>185827.81667710547</v>
      </c>
      <c r="BW21" s="162">
        <f t="shared" si="9"/>
        <v>185827.81667710547</v>
      </c>
      <c r="BX21" s="162">
        <f t="shared" si="9"/>
        <v>185827.81667710547</v>
      </c>
      <c r="BY21" s="162">
        <f t="shared" si="9"/>
        <v>185827.81667710547</v>
      </c>
      <c r="BZ21" s="162">
        <f t="shared" ref="BZ21:DV21" si="10">SUM(BZ22:BZ32)</f>
        <v>185827.81667710547</v>
      </c>
      <c r="CA21" s="162">
        <f t="shared" si="10"/>
        <v>185827.81667710547</v>
      </c>
      <c r="CB21" s="162">
        <f t="shared" si="10"/>
        <v>185827.81667710547</v>
      </c>
      <c r="CC21" s="162">
        <f t="shared" si="10"/>
        <v>185827.81667710547</v>
      </c>
      <c r="CD21" s="162">
        <f t="shared" si="10"/>
        <v>185827.81667710547</v>
      </c>
      <c r="CE21" s="162">
        <f t="shared" si="10"/>
        <v>185827.81667710547</v>
      </c>
      <c r="CF21" s="162">
        <f t="shared" si="10"/>
        <v>185827.81667710547</v>
      </c>
      <c r="CG21" s="162">
        <f t="shared" si="10"/>
        <v>185827.81667710547</v>
      </c>
      <c r="CH21" s="162">
        <f t="shared" si="10"/>
        <v>186180.00938840528</v>
      </c>
      <c r="CI21" s="162">
        <f t="shared" si="10"/>
        <v>186180.00938840528</v>
      </c>
      <c r="CJ21" s="162">
        <f t="shared" si="10"/>
        <v>186180.00938840528</v>
      </c>
      <c r="CK21" s="162">
        <f t="shared" si="10"/>
        <v>186180.00938840528</v>
      </c>
      <c r="CL21" s="162">
        <f t="shared" si="10"/>
        <v>186180.00938840528</v>
      </c>
      <c r="CM21" s="162">
        <f t="shared" si="10"/>
        <v>186180.00938840528</v>
      </c>
      <c r="CN21" s="162">
        <f t="shared" si="10"/>
        <v>186180.00938840528</v>
      </c>
      <c r="CO21" s="162">
        <f t="shared" si="10"/>
        <v>186180.00938840528</v>
      </c>
      <c r="CP21" s="162">
        <f t="shared" si="10"/>
        <v>186180.00938840528</v>
      </c>
      <c r="CQ21" s="162">
        <f t="shared" si="10"/>
        <v>186180.00938840528</v>
      </c>
      <c r="CR21" s="162">
        <f t="shared" si="10"/>
        <v>186180.00938840528</v>
      </c>
      <c r="CS21" s="162">
        <f t="shared" si="10"/>
        <v>186180.00938840528</v>
      </c>
      <c r="CT21" s="162">
        <f t="shared" si="10"/>
        <v>186599.56385072879</v>
      </c>
      <c r="CU21" s="162">
        <f t="shared" si="10"/>
        <v>186599.56385072879</v>
      </c>
      <c r="CV21" s="162">
        <f t="shared" si="10"/>
        <v>186599.56385072879</v>
      </c>
      <c r="CW21" s="162">
        <f t="shared" si="10"/>
        <v>186599.56385072879</v>
      </c>
      <c r="CX21" s="162">
        <f t="shared" si="10"/>
        <v>186599.56385072879</v>
      </c>
      <c r="CY21" s="162">
        <f t="shared" si="10"/>
        <v>186599.56385072879</v>
      </c>
      <c r="CZ21" s="162">
        <f t="shared" si="10"/>
        <v>786751.33423477493</v>
      </c>
      <c r="DA21" s="162">
        <f t="shared" si="10"/>
        <v>186599.56385072879</v>
      </c>
      <c r="DB21" s="162">
        <f t="shared" si="10"/>
        <v>186599.56385072879</v>
      </c>
      <c r="DC21" s="162">
        <f t="shared" si="10"/>
        <v>263986.06689882762</v>
      </c>
      <c r="DD21" s="162">
        <f t="shared" si="10"/>
        <v>186599.56385072879</v>
      </c>
      <c r="DE21" s="162">
        <f t="shared" si="10"/>
        <v>186599.56385072879</v>
      </c>
      <c r="DF21" s="162">
        <f t="shared" si="10"/>
        <v>187086.68675567361</v>
      </c>
      <c r="DG21" s="162">
        <f t="shared" si="10"/>
        <v>187086.68675567361</v>
      </c>
      <c r="DH21" s="162">
        <f t="shared" si="10"/>
        <v>204671.18948356033</v>
      </c>
      <c r="DI21" s="162">
        <f t="shared" si="10"/>
        <v>229303.6869210845</v>
      </c>
      <c r="DJ21" s="162">
        <f t="shared" si="10"/>
        <v>187086.68675567361</v>
      </c>
      <c r="DK21" s="162">
        <f t="shared" si="10"/>
        <v>218375.55861044591</v>
      </c>
      <c r="DL21" s="162">
        <f t="shared" si="10"/>
        <v>187718.64119100917</v>
      </c>
      <c r="DM21" s="162">
        <f t="shared" si="10"/>
        <v>187086.68675567361</v>
      </c>
      <c r="DN21" s="162">
        <f t="shared" si="10"/>
        <v>187086.68675567361</v>
      </c>
      <c r="DO21" s="162">
        <f t="shared" si="10"/>
        <v>187086.68675567361</v>
      </c>
      <c r="DP21" s="162">
        <f t="shared" si="10"/>
        <v>187086.68675567361</v>
      </c>
      <c r="DQ21" s="162">
        <f t="shared" si="10"/>
        <v>187086.68675567361</v>
      </c>
      <c r="DR21" s="162">
        <f t="shared" si="10"/>
        <v>187641.61032813956</v>
      </c>
      <c r="DS21" s="162">
        <f t="shared" si="10"/>
        <v>187641.61032813956</v>
      </c>
      <c r="DT21" s="162">
        <f t="shared" si="10"/>
        <v>187641.61032813956</v>
      </c>
      <c r="DU21" s="162">
        <f t="shared" si="10"/>
        <v>187641.61032813956</v>
      </c>
      <c r="DV21" s="162">
        <f t="shared" si="10"/>
        <v>187641.61032813956</v>
      </c>
      <c r="DW21" s="162">
        <f t="shared" ref="DW21:ER21" si="11">SUM(DW22:DW32)</f>
        <v>187641.61032813956</v>
      </c>
      <c r="DX21" s="162">
        <f t="shared" si="11"/>
        <v>187641.61032813956</v>
      </c>
      <c r="DY21" s="162">
        <f t="shared" si="11"/>
        <v>187641.61032813956</v>
      </c>
      <c r="DZ21" s="162">
        <f t="shared" si="11"/>
        <v>187641.61032813956</v>
      </c>
      <c r="EA21" s="162">
        <f t="shared" si="11"/>
        <v>187641.61032813956</v>
      </c>
      <c r="EB21" s="162">
        <f t="shared" si="11"/>
        <v>187641.61032813956</v>
      </c>
      <c r="EC21" s="162">
        <f t="shared" si="11"/>
        <v>187641.61032813956</v>
      </c>
      <c r="ED21" s="162">
        <f t="shared" si="11"/>
        <v>0</v>
      </c>
      <c r="EE21" s="162">
        <f t="shared" si="11"/>
        <v>0</v>
      </c>
      <c r="EF21" s="162">
        <f t="shared" si="11"/>
        <v>0</v>
      </c>
      <c r="EG21" s="162">
        <f t="shared" si="11"/>
        <v>0</v>
      </c>
      <c r="EH21" s="162">
        <f t="shared" si="11"/>
        <v>0</v>
      </c>
      <c r="EI21" s="162">
        <f t="shared" si="11"/>
        <v>0</v>
      </c>
      <c r="EJ21" s="162">
        <f t="shared" si="11"/>
        <v>0</v>
      </c>
      <c r="EK21" s="162">
        <f t="shared" si="11"/>
        <v>0</v>
      </c>
      <c r="EL21" s="162">
        <f t="shared" si="11"/>
        <v>0</v>
      </c>
      <c r="EM21" s="162">
        <f t="shared" si="11"/>
        <v>0</v>
      </c>
      <c r="EN21" s="162">
        <f t="shared" si="11"/>
        <v>0</v>
      </c>
      <c r="EO21" s="162">
        <f t="shared" si="11"/>
        <v>0</v>
      </c>
      <c r="EP21" s="162">
        <f t="shared" si="11"/>
        <v>0</v>
      </c>
      <c r="EQ21" s="162">
        <f t="shared" si="11"/>
        <v>0</v>
      </c>
      <c r="ER21" s="162">
        <f t="shared" si="11"/>
        <v>0</v>
      </c>
    </row>
    <row r="22" spans="3:148" ht="11.25" customHeight="1">
      <c r="C22" s="163"/>
      <c r="D22" s="164" t="s">
        <v>73</v>
      </c>
      <c r="E22" s="165"/>
      <c r="F22" s="802">
        <f>'A&amp;R'!O68</f>
        <v>5000</v>
      </c>
      <c r="G22" s="803">
        <f>'A&amp;R'!R68</f>
        <v>46691</v>
      </c>
      <c r="H22" s="804">
        <f>'A&amp;R'!Q68</f>
        <v>1.4999999999999999E-2</v>
      </c>
      <c r="I22" s="194"/>
      <c r="J22" s="221"/>
      <c r="K22" s="168">
        <f t="shared" ref="K22:K32" si="12">SUM(M22:ER22)</f>
        <v>642163.30010060011</v>
      </c>
      <c r="L22" s="98"/>
      <c r="M22" s="168">
        <f>$F22*(1+$H22)^ROUNDUP(IFERROR(DATEDIF($G22-1,M$14+1,"m"),)/12,)*Index!L$22</f>
        <v>0</v>
      </c>
      <c r="N22" s="168">
        <f>$F22*(1+$H22)^ROUNDUP(IFERROR(DATEDIF($G22-1,N$14+1,"m"),)/12,)*Index!M$22</f>
        <v>5000</v>
      </c>
      <c r="O22" s="168">
        <f>$F22*(1+$H22)^ROUNDUP(IFERROR(DATEDIF($G22-1,O$14+1,"m"),)/12,)*Index!N$22</f>
        <v>5000</v>
      </c>
      <c r="P22" s="168">
        <f>$F22*(1+$H22)^ROUNDUP(IFERROR(DATEDIF($G22-1,P$14+1,"m"),)/12,)*Index!O$22</f>
        <v>5000</v>
      </c>
      <c r="Q22" s="168">
        <f>$F22*(1+$H22)^ROUNDUP(IFERROR(DATEDIF($G22-1,Q$14+1,"m"),)/12,)*Index!P$22</f>
        <v>5000</v>
      </c>
      <c r="R22" s="168">
        <f>$F22*(1+$H22)^ROUNDUP(IFERROR(DATEDIF($G22-1,R$14+1,"m"),)/12,)*Index!Q$22</f>
        <v>5000</v>
      </c>
      <c r="S22" s="168">
        <f>$F22*(1+$H22)^ROUNDUP(IFERROR(DATEDIF($G22-1,S$14+1,"m"),)/12,)*Index!R$22</f>
        <v>5000</v>
      </c>
      <c r="T22" s="168">
        <f>$F22*(1+$H22)^ROUNDUP(IFERROR(DATEDIF($G22-1,T$14+1,"m"),)/12,)*Index!S$22</f>
        <v>5000</v>
      </c>
      <c r="U22" s="168">
        <f>$F22*(1+$H22)^ROUNDUP(IFERROR(DATEDIF($G22-1,U$14+1,"m"),)/12,)*Index!T$22</f>
        <v>5000</v>
      </c>
      <c r="V22" s="168">
        <f>$F22*(1+$H22)^ROUNDUP(IFERROR(DATEDIF($G22-1,V$14+1,"m"),)/12,)*Index!U$22</f>
        <v>5000</v>
      </c>
      <c r="W22" s="168">
        <f>$F22*(1+$H22)^ROUNDUP(IFERROR(DATEDIF($G22-1,W$14+1,"m"),)/12,)*Index!V$22</f>
        <v>5000</v>
      </c>
      <c r="X22" s="168">
        <f>$F22*(1+$H22)^ROUNDUP(IFERROR(DATEDIF($G22-1,X$14+1,"m"),)/12,)*Index!W$22</f>
        <v>5000</v>
      </c>
      <c r="Y22" s="168">
        <f>$F22*(1+$H22)^ROUNDUP(IFERROR(DATEDIF($G22-1,Y$14+1,"m"),)/12,)*Index!X$22</f>
        <v>5000</v>
      </c>
      <c r="Z22" s="168">
        <f>$F22*(1+$H22)^ROUNDUP(IFERROR(DATEDIF($G22-1,Z$14+1,"m"),)/12,)*Index!Y$22</f>
        <v>5074.9999999999991</v>
      </c>
      <c r="AA22" s="168">
        <f>$F22*(1+$H22)^ROUNDUP(IFERROR(DATEDIF($G22-1,AA$14+1,"m"),)/12,)*Index!Z$22</f>
        <v>5074.9999999999991</v>
      </c>
      <c r="AB22" s="168">
        <f>$F22*(1+$H22)^ROUNDUP(IFERROR(DATEDIF($G22-1,AB$14+1,"m"),)/12,)*Index!AA$22</f>
        <v>5074.9999999999991</v>
      </c>
      <c r="AC22" s="168">
        <f>$F22*(1+$H22)^ROUNDUP(IFERROR(DATEDIF($G22-1,AC$14+1,"m"),)/12,)*Index!AB$22</f>
        <v>5074.9999999999991</v>
      </c>
      <c r="AD22" s="168">
        <f>$F22*(1+$H22)^ROUNDUP(IFERROR(DATEDIF($G22-1,AD$14+1,"m"),)/12,)*Index!AC$22</f>
        <v>5074.9999999999991</v>
      </c>
      <c r="AE22" s="168">
        <f>$F22*(1+$H22)^ROUNDUP(IFERROR(DATEDIF($G22-1,AE$14+1,"m"),)/12,)*Index!AD$22</f>
        <v>5074.9999999999991</v>
      </c>
      <c r="AF22" s="168">
        <f>$F22*(1+$H22)^ROUNDUP(IFERROR(DATEDIF($G22-1,AF$14+1,"m"),)/12,)*Index!AE$22</f>
        <v>5074.9999999999991</v>
      </c>
      <c r="AG22" s="168">
        <f>$F22*(1+$H22)^ROUNDUP(IFERROR(DATEDIF($G22-1,AG$14+1,"m"),)/12,)*Index!AF$22</f>
        <v>5074.9999999999991</v>
      </c>
      <c r="AH22" s="168">
        <f>$F22*(1+$H22)^ROUNDUP(IFERROR(DATEDIF($G22-1,AH$14+1,"m"),)/12,)*Index!AG$22</f>
        <v>5074.9999999999991</v>
      </c>
      <c r="AI22" s="168">
        <f>$F22*(1+$H22)^ROUNDUP(IFERROR(DATEDIF($G22-1,AI$14+1,"m"),)/12,)*Index!AH$22</f>
        <v>5074.9999999999991</v>
      </c>
      <c r="AJ22" s="168">
        <f>$F22*(1+$H22)^ROUNDUP(IFERROR(DATEDIF($G22-1,AJ$14+1,"m"),)/12,)*Index!AI$22</f>
        <v>5074.9999999999991</v>
      </c>
      <c r="AK22" s="168">
        <f>$F22*(1+$H22)^ROUNDUP(IFERROR(DATEDIF($G22-1,AK$14+1,"m"),)/12,)*Index!AJ$22</f>
        <v>5074.9999999999991</v>
      </c>
      <c r="AL22" s="168">
        <f>$F22*(1+$H22)^ROUNDUP(IFERROR(DATEDIF($G22-1,AL$14+1,"m"),)/12,)*Index!AK$22</f>
        <v>5151.1249999999982</v>
      </c>
      <c r="AM22" s="168">
        <f>$F22*(1+$H22)^ROUNDUP(IFERROR(DATEDIF($G22-1,AM$14+1,"m"),)/12,)*Index!AL$22</f>
        <v>5151.1249999999982</v>
      </c>
      <c r="AN22" s="168">
        <f>$F22*(1+$H22)^ROUNDUP(IFERROR(DATEDIF($G22-1,AN$14+1,"m"),)/12,)*Index!AM$22</f>
        <v>5151.1249999999982</v>
      </c>
      <c r="AO22" s="168">
        <f>$F22*(1+$H22)^ROUNDUP(IFERROR(DATEDIF($G22-1,AO$14+1,"m"),)/12,)*Index!AN$22</f>
        <v>5151.1249999999982</v>
      </c>
      <c r="AP22" s="168">
        <f>$F22*(1+$H22)^ROUNDUP(IFERROR(DATEDIF($G22-1,AP$14+1,"m"),)/12,)*Index!AO$22</f>
        <v>5151.1249999999982</v>
      </c>
      <c r="AQ22" s="168">
        <f>$F22*(1+$H22)^ROUNDUP(IFERROR(DATEDIF($G22-1,AQ$14+1,"m"),)/12,)*Index!AP$22</f>
        <v>5151.1249999999982</v>
      </c>
      <c r="AR22" s="168">
        <f>$F22*(1+$H22)^ROUNDUP(IFERROR(DATEDIF($G22-1,AR$14+1,"m"),)/12,)*Index!AQ$22</f>
        <v>5151.1249999999982</v>
      </c>
      <c r="AS22" s="168">
        <f>$F22*(1+$H22)^ROUNDUP(IFERROR(DATEDIF($G22-1,AS$14+1,"m"),)/12,)*Index!AR$22</f>
        <v>5151.1249999999982</v>
      </c>
      <c r="AT22" s="168">
        <f>$F22*(1+$H22)^ROUNDUP(IFERROR(DATEDIF($G22-1,AT$14+1,"m"),)/12,)*Index!AS$22</f>
        <v>5151.1249999999982</v>
      </c>
      <c r="AU22" s="168">
        <f>$F22*(1+$H22)^ROUNDUP(IFERROR(DATEDIF($G22-1,AU$14+1,"m"),)/12,)*Index!AT$22</f>
        <v>5151.1249999999982</v>
      </c>
      <c r="AV22" s="168">
        <f>$F22*(1+$H22)^ROUNDUP(IFERROR(DATEDIF($G22-1,AV$14+1,"m"),)/12,)*Index!AU$22</f>
        <v>5151.1249999999982</v>
      </c>
      <c r="AW22" s="168">
        <f>$F22*(1+$H22)^ROUNDUP(IFERROR(DATEDIF($G22-1,AW$14+1,"m"),)/12,)*Index!AV$22</f>
        <v>5151.1249999999982</v>
      </c>
      <c r="AX22" s="168">
        <f>$F22*(1+$H22)^ROUNDUP(IFERROR(DATEDIF($G22-1,AX$14+1,"m"),)/12,)*Index!AW$22</f>
        <v>5228.3918749999984</v>
      </c>
      <c r="AY22" s="168">
        <f>$F22*(1+$H22)^ROUNDUP(IFERROR(DATEDIF($G22-1,AY$14+1,"m"),)/12,)*Index!AX$22</f>
        <v>5228.3918749999984</v>
      </c>
      <c r="AZ22" s="168">
        <f>$F22*(1+$H22)^ROUNDUP(IFERROR(DATEDIF($G22-1,AZ$14+1,"m"),)/12,)*Index!AY$22</f>
        <v>5228.3918749999984</v>
      </c>
      <c r="BA22" s="168">
        <f>$F22*(1+$H22)^ROUNDUP(IFERROR(DATEDIF($G22-1,BA$14+1,"m"),)/12,)*Index!AZ$22</f>
        <v>5228.3918749999984</v>
      </c>
      <c r="BB22" s="168">
        <f>$F22*(1+$H22)^ROUNDUP(IFERROR(DATEDIF($G22-1,BB$14+1,"m"),)/12,)*Index!BA$22</f>
        <v>5228.3918749999984</v>
      </c>
      <c r="BC22" s="168">
        <f>$F22*(1+$H22)^ROUNDUP(IFERROR(DATEDIF($G22-1,BC$14+1,"m"),)/12,)*Index!BB$22</f>
        <v>5228.3918749999984</v>
      </c>
      <c r="BD22" s="168">
        <f>$F22*(1+$H22)^ROUNDUP(IFERROR(DATEDIF($G22-1,BD$14+1,"m"),)/12,)*Index!BC$22</f>
        <v>5228.3918749999984</v>
      </c>
      <c r="BE22" s="168">
        <f>$F22*(1+$H22)^ROUNDUP(IFERROR(DATEDIF($G22-1,BE$14+1,"m"),)/12,)*Index!BD$22</f>
        <v>5228.3918749999984</v>
      </c>
      <c r="BF22" s="168">
        <f>$F22*(1+$H22)^ROUNDUP(IFERROR(DATEDIF($G22-1,BF$14+1,"m"),)/12,)*Index!BE$22</f>
        <v>5228.3918749999984</v>
      </c>
      <c r="BG22" s="168">
        <f>$F22*(1+$H22)^ROUNDUP(IFERROR(DATEDIF($G22-1,BG$14+1,"m"),)/12,)*Index!BF$22</f>
        <v>5228.3918749999984</v>
      </c>
      <c r="BH22" s="168">
        <f>$F22*(1+$H22)^ROUNDUP(IFERROR(DATEDIF($G22-1,BH$14+1,"m"),)/12,)*Index!BG$22</f>
        <v>5228.3918749999984</v>
      </c>
      <c r="BI22" s="168">
        <f>$F22*(1+$H22)^ROUNDUP(IFERROR(DATEDIF($G22-1,BI$14+1,"m"),)/12,)*Index!BH$22</f>
        <v>5228.3918749999984</v>
      </c>
      <c r="BJ22" s="168">
        <f>$F22*(1+$H22)^ROUNDUP(IFERROR(DATEDIF($G22-1,BJ$14+1,"m"),)/12,)*Index!BI$22</f>
        <v>5306.8177531249976</v>
      </c>
      <c r="BK22" s="168">
        <f>$F22*(1+$H22)^ROUNDUP(IFERROR(DATEDIF($G22-1,BK$14+1,"m"),)/12,)*Index!BJ$22</f>
        <v>5306.8177531249976</v>
      </c>
      <c r="BL22" s="168">
        <f>$F22*(1+$H22)^ROUNDUP(IFERROR(DATEDIF($G22-1,BL$14+1,"m"),)/12,)*Index!BK$22</f>
        <v>5306.8177531249976</v>
      </c>
      <c r="BM22" s="168">
        <f>$F22*(1+$H22)^ROUNDUP(IFERROR(DATEDIF($G22-1,BM$14+1,"m"),)/12,)*Index!BL$22</f>
        <v>5306.8177531249976</v>
      </c>
      <c r="BN22" s="168">
        <f>$F22*(1+$H22)^ROUNDUP(IFERROR(DATEDIF($G22-1,BN$14+1,"m"),)/12,)*Index!BM$22</f>
        <v>5306.8177531249976</v>
      </c>
      <c r="BO22" s="168">
        <f>$F22*(1+$H22)^ROUNDUP(IFERROR(DATEDIF($G22-1,BO$14+1,"m"),)/12,)*Index!BN$22</f>
        <v>5306.8177531249976</v>
      </c>
      <c r="BP22" s="168">
        <f>$F22*(1+$H22)^ROUNDUP(IFERROR(DATEDIF($G22-1,BP$14+1,"m"),)/12,)*Index!BO$22</f>
        <v>5306.8177531249976</v>
      </c>
      <c r="BQ22" s="168">
        <f>$F22*(1+$H22)^ROUNDUP(IFERROR(DATEDIF($G22-1,BQ$14+1,"m"),)/12,)*Index!BP$22</f>
        <v>5306.8177531249976</v>
      </c>
      <c r="BR22" s="168">
        <f>$F22*(1+$H22)^ROUNDUP(IFERROR(DATEDIF($G22-1,BR$14+1,"m"),)/12,)*Index!BQ$22</f>
        <v>5306.8177531249976</v>
      </c>
      <c r="BS22" s="168">
        <f>$F22*(1+$H22)^ROUNDUP(IFERROR(DATEDIF($G22-1,BS$14+1,"m"),)/12,)*Index!BR$22</f>
        <v>5306.8177531249976</v>
      </c>
      <c r="BT22" s="168">
        <f>$F22*(1+$H22)^ROUNDUP(IFERROR(DATEDIF($G22-1,BT$14+1,"m"),)/12,)*Index!BS$22</f>
        <v>5306.8177531249976</v>
      </c>
      <c r="BU22" s="168">
        <f>$F22*(1+$H22)^ROUNDUP(IFERROR(DATEDIF($G22-1,BU$14+1,"m"),)/12,)*Index!BT$22</f>
        <v>5306.8177531249976</v>
      </c>
      <c r="BV22" s="168">
        <f>$F22*(1+$H22)^ROUNDUP(IFERROR(DATEDIF($G22-1,BV$14+1,"m"),)/12,)*Index!BU$22</f>
        <v>5386.4200194218711</v>
      </c>
      <c r="BW22" s="168">
        <f>$F22*(1+$H22)^ROUNDUP(IFERROR(DATEDIF($G22-1,BW$14+1,"m"),)/12,)*Index!BV$22</f>
        <v>5386.4200194218711</v>
      </c>
      <c r="BX22" s="168">
        <f>$F22*(1+$H22)^ROUNDUP(IFERROR(DATEDIF($G22-1,BX$14+1,"m"),)/12,)*Index!BW$22</f>
        <v>5386.4200194218711</v>
      </c>
      <c r="BY22" s="168">
        <f>$F22*(1+$H22)^ROUNDUP(IFERROR(DATEDIF($G22-1,BY$14+1,"m"),)/12,)*Index!BX$22</f>
        <v>5386.4200194218711</v>
      </c>
      <c r="BZ22" s="168">
        <f>$F22*(1+$H22)^ROUNDUP(IFERROR(DATEDIF($G22-1,BZ$14+1,"m"),)/12,)*Index!BY$22</f>
        <v>5386.4200194218711</v>
      </c>
      <c r="CA22" s="168">
        <f>$F22*(1+$H22)^ROUNDUP(IFERROR(DATEDIF($G22-1,CA$14+1,"m"),)/12,)*Index!BZ$22</f>
        <v>5386.4200194218711</v>
      </c>
      <c r="CB22" s="168">
        <f>$F22*(1+$H22)^ROUNDUP(IFERROR(DATEDIF($G22-1,CB$14+1,"m"),)/12,)*Index!CA$22</f>
        <v>5386.4200194218711</v>
      </c>
      <c r="CC22" s="168">
        <f>$F22*(1+$H22)^ROUNDUP(IFERROR(DATEDIF($G22-1,CC$14+1,"m"),)/12,)*Index!CB$22</f>
        <v>5386.4200194218711</v>
      </c>
      <c r="CD22" s="168">
        <f>$F22*(1+$H22)^ROUNDUP(IFERROR(DATEDIF($G22-1,CD$14+1,"m"),)/12,)*Index!CC$22</f>
        <v>5386.4200194218711</v>
      </c>
      <c r="CE22" s="168">
        <f>$F22*(1+$H22)^ROUNDUP(IFERROR(DATEDIF($G22-1,CE$14+1,"m"),)/12,)*Index!CD$22</f>
        <v>5386.4200194218711</v>
      </c>
      <c r="CF22" s="168">
        <f>$F22*(1+$H22)^ROUNDUP(IFERROR(DATEDIF($G22-1,CF$14+1,"m"),)/12,)*Index!CE$22</f>
        <v>5386.4200194218711</v>
      </c>
      <c r="CG22" s="168">
        <f>$F22*(1+$H22)^ROUNDUP(IFERROR(DATEDIF($G22-1,CG$14+1,"m"),)/12,)*Index!CF$22</f>
        <v>5386.4200194218711</v>
      </c>
      <c r="CH22" s="168">
        <f>$F22*(1+$H22)^ROUNDUP(IFERROR(DATEDIF($G22-1,CH$14+1,"m"),)/12,)*Index!CG$22</f>
        <v>5467.2163197131986</v>
      </c>
      <c r="CI22" s="168">
        <f>$F22*(1+$H22)^ROUNDUP(IFERROR(DATEDIF($G22-1,CI$14+1,"m"),)/12,)*Index!CH$22</f>
        <v>5467.2163197131986</v>
      </c>
      <c r="CJ22" s="168">
        <f>$F22*(1+$H22)^ROUNDUP(IFERROR(DATEDIF($G22-1,CJ$14+1,"m"),)/12,)*Index!CI$22</f>
        <v>5467.2163197131986</v>
      </c>
      <c r="CK22" s="168">
        <f>$F22*(1+$H22)^ROUNDUP(IFERROR(DATEDIF($G22-1,CK$14+1,"m"),)/12,)*Index!CJ$22</f>
        <v>5467.2163197131986</v>
      </c>
      <c r="CL22" s="168">
        <f>$F22*(1+$H22)^ROUNDUP(IFERROR(DATEDIF($G22-1,CL$14+1,"m"),)/12,)*Index!CK$22</f>
        <v>5467.2163197131986</v>
      </c>
      <c r="CM22" s="168">
        <f>$F22*(1+$H22)^ROUNDUP(IFERROR(DATEDIF($G22-1,CM$14+1,"m"),)/12,)*Index!CL$22</f>
        <v>5467.2163197131986</v>
      </c>
      <c r="CN22" s="168">
        <f>$F22*(1+$H22)^ROUNDUP(IFERROR(DATEDIF($G22-1,CN$14+1,"m"),)/12,)*Index!CM$22</f>
        <v>5467.2163197131986</v>
      </c>
      <c r="CO22" s="168">
        <f>$F22*(1+$H22)^ROUNDUP(IFERROR(DATEDIF($G22-1,CO$14+1,"m"),)/12,)*Index!CN$22</f>
        <v>5467.2163197131986</v>
      </c>
      <c r="CP22" s="168">
        <f>$F22*(1+$H22)^ROUNDUP(IFERROR(DATEDIF($G22-1,CP$14+1,"m"),)/12,)*Index!CO$22</f>
        <v>5467.2163197131986</v>
      </c>
      <c r="CQ22" s="168">
        <f>$F22*(1+$H22)^ROUNDUP(IFERROR(DATEDIF($G22-1,CQ$14+1,"m"),)/12,)*Index!CP$22</f>
        <v>5467.2163197131986</v>
      </c>
      <c r="CR22" s="168">
        <f>$F22*(1+$H22)^ROUNDUP(IFERROR(DATEDIF($G22-1,CR$14+1,"m"),)/12,)*Index!CQ$22</f>
        <v>5467.2163197131986</v>
      </c>
      <c r="CS22" s="168">
        <f>$F22*(1+$H22)^ROUNDUP(IFERROR(DATEDIF($G22-1,CS$14+1,"m"),)/12,)*Index!CR$22</f>
        <v>5467.2163197131986</v>
      </c>
      <c r="CT22" s="168">
        <f>$F22*(1+$H22)^ROUNDUP(IFERROR(DATEDIF($G22-1,CT$14+1,"m"),)/12,)*Index!CS$22</f>
        <v>5549.2245645088951</v>
      </c>
      <c r="CU22" s="168">
        <f>$F22*(1+$H22)^ROUNDUP(IFERROR(DATEDIF($G22-1,CU$14+1,"m"),)/12,)*Index!CT$22</f>
        <v>5549.2245645088951</v>
      </c>
      <c r="CV22" s="168">
        <f>$F22*(1+$H22)^ROUNDUP(IFERROR(DATEDIF($G22-1,CV$14+1,"m"),)/12,)*Index!CU$22</f>
        <v>5549.2245645088951</v>
      </c>
      <c r="CW22" s="168">
        <f>$F22*(1+$H22)^ROUNDUP(IFERROR(DATEDIF($G22-1,CW$14+1,"m"),)/12,)*Index!CV$22</f>
        <v>5549.2245645088951</v>
      </c>
      <c r="CX22" s="168">
        <f>$F22*(1+$H22)^ROUNDUP(IFERROR(DATEDIF($G22-1,CX$14+1,"m"),)/12,)*Index!CW$22</f>
        <v>5549.2245645088951</v>
      </c>
      <c r="CY22" s="168">
        <f>$F22*(1+$H22)^ROUNDUP(IFERROR(DATEDIF($G22-1,CY$14+1,"m"),)/12,)*Index!CX$22</f>
        <v>5549.2245645088951</v>
      </c>
      <c r="CZ22" s="168">
        <f>$F22*(1+$H22)^ROUNDUP(IFERROR(DATEDIF($G22-1,CZ$14+1,"m"),)/12,)*Index!CY$22</f>
        <v>5549.2245645088951</v>
      </c>
      <c r="DA22" s="168">
        <f>$F22*(1+$H22)^ROUNDUP(IFERROR(DATEDIF($G22-1,DA$14+1,"m"),)/12,)*Index!CZ$22</f>
        <v>5549.2245645088951</v>
      </c>
      <c r="DB22" s="168">
        <f>$F22*(1+$H22)^ROUNDUP(IFERROR(DATEDIF($G22-1,DB$14+1,"m"),)/12,)*Index!DA$22</f>
        <v>5549.2245645088951</v>
      </c>
      <c r="DC22" s="168">
        <f>$F22*(1+$H22)^ROUNDUP(IFERROR(DATEDIF($G22-1,DC$14+1,"m"),)/12,)*Index!DB$22</f>
        <v>5549.2245645088951</v>
      </c>
      <c r="DD22" s="168">
        <f>$F22*(1+$H22)^ROUNDUP(IFERROR(DATEDIF($G22-1,DD$14+1,"m"),)/12,)*Index!DC$22</f>
        <v>5549.2245645088951</v>
      </c>
      <c r="DE22" s="168">
        <f>$F22*(1+$H22)^ROUNDUP(IFERROR(DATEDIF($G22-1,DE$14+1,"m"),)/12,)*Index!DD$22</f>
        <v>5549.2245645088951</v>
      </c>
      <c r="DF22" s="168">
        <f>$F22*(1+$H22)^ROUNDUP(IFERROR(DATEDIF($G22-1,DF$14+1,"m"),)/12,)*Index!DE$22</f>
        <v>5632.4629329765285</v>
      </c>
      <c r="DG22" s="168">
        <f>$F22*(1+$H22)^ROUNDUP(IFERROR(DATEDIF($G22-1,DG$14+1,"m"),)/12,)*Index!DF$22</f>
        <v>5632.4629329765285</v>
      </c>
      <c r="DH22" s="168">
        <f>$F22*(1+$H22)^ROUNDUP(IFERROR(DATEDIF($G22-1,DH$14+1,"m"),)/12,)*Index!DG$22</f>
        <v>5632.4629329765285</v>
      </c>
      <c r="DI22" s="168">
        <f>$F22*(1+$H22)^ROUNDUP(IFERROR(DATEDIF($G22-1,DI$14+1,"m"),)/12,)*Index!DH$22</f>
        <v>5632.4629329765285</v>
      </c>
      <c r="DJ22" s="168">
        <f>$F22*(1+$H22)^ROUNDUP(IFERROR(DATEDIF($G22-1,DJ$14+1,"m"),)/12,)*Index!DI$22</f>
        <v>5632.4629329765285</v>
      </c>
      <c r="DK22" s="168">
        <f>$F22*(1+$H22)^ROUNDUP(IFERROR(DATEDIF($G22-1,DK$14+1,"m"),)/12,)*Index!DJ$22</f>
        <v>5632.4629329765285</v>
      </c>
      <c r="DL22" s="168">
        <f>$F22*(1+$H22)^ROUNDUP(IFERROR(DATEDIF($G22-1,DL$14+1,"m"),)/12,)*Index!DK$22</f>
        <v>5632.4629329765285</v>
      </c>
      <c r="DM22" s="168">
        <f>$F22*(1+$H22)^ROUNDUP(IFERROR(DATEDIF($G22-1,DM$14+1,"m"),)/12,)*Index!DL$22</f>
        <v>5632.4629329765285</v>
      </c>
      <c r="DN22" s="168">
        <f>$F22*(1+$H22)^ROUNDUP(IFERROR(DATEDIF($G22-1,DN$14+1,"m"),)/12,)*Index!DM$22</f>
        <v>5632.4629329765285</v>
      </c>
      <c r="DO22" s="168">
        <f>$F22*(1+$H22)^ROUNDUP(IFERROR(DATEDIF($G22-1,DO$14+1,"m"),)/12,)*Index!DN$22</f>
        <v>5632.4629329765285</v>
      </c>
      <c r="DP22" s="168">
        <f>$F22*(1+$H22)^ROUNDUP(IFERROR(DATEDIF($G22-1,DP$14+1,"m"),)/12,)*Index!DO$22</f>
        <v>5632.4629329765285</v>
      </c>
      <c r="DQ22" s="168">
        <f>$F22*(1+$H22)^ROUNDUP(IFERROR(DATEDIF($G22-1,DQ$14+1,"m"),)/12,)*Index!DP$22</f>
        <v>5632.4629329765285</v>
      </c>
      <c r="DR22" s="168">
        <f>$F22*(1+$H22)^ROUNDUP(IFERROR(DATEDIF($G22-1,DR$14+1,"m"),)/12,)*Index!DQ$22</f>
        <v>5716.9498769711754</v>
      </c>
      <c r="DS22" s="168">
        <f>$F22*(1+$H22)^ROUNDUP(IFERROR(DATEDIF($G22-1,DS$14+1,"m"),)/12,)*Index!DR$22</f>
        <v>5716.9498769711754</v>
      </c>
      <c r="DT22" s="168">
        <f>$F22*(1+$H22)^ROUNDUP(IFERROR(DATEDIF($G22-1,DT$14+1,"m"),)/12,)*Index!DS$22</f>
        <v>5716.9498769711754</v>
      </c>
      <c r="DU22" s="168">
        <f>$F22*(1+$H22)^ROUNDUP(IFERROR(DATEDIF($G22-1,DU$14+1,"m"),)/12,)*Index!DT$22</f>
        <v>5716.9498769711754</v>
      </c>
      <c r="DV22" s="168">
        <f>$F22*(1+$H22)^ROUNDUP(IFERROR(DATEDIF($G22-1,DV$14+1,"m"),)/12,)*Index!DU$22</f>
        <v>5716.9498769711754</v>
      </c>
      <c r="DW22" s="168">
        <f>$F22*(1+$H22)^ROUNDUP(IFERROR(DATEDIF($G22-1,DW$14+1,"m"),)/12,)*Index!DV$22</f>
        <v>5716.9498769711754</v>
      </c>
      <c r="DX22" s="168">
        <f>$F22*(1+$H22)^ROUNDUP(IFERROR(DATEDIF($G22-1,DX$14+1,"m"),)/12,)*Index!DW$22</f>
        <v>5716.9498769711754</v>
      </c>
      <c r="DY22" s="168">
        <f>$F22*(1+$H22)^ROUNDUP(IFERROR(DATEDIF($G22-1,DY$14+1,"m"),)/12,)*Index!DX$22</f>
        <v>5716.9498769711754</v>
      </c>
      <c r="DZ22" s="168">
        <f>$F22*(1+$H22)^ROUNDUP(IFERROR(DATEDIF($G22-1,DZ$14+1,"m"),)/12,)*Index!DY$22</f>
        <v>5716.9498769711754</v>
      </c>
      <c r="EA22" s="168">
        <f>$F22*(1+$H22)^ROUNDUP(IFERROR(DATEDIF($G22-1,EA$14+1,"m"),)/12,)*Index!DZ$22</f>
        <v>5716.9498769711754</v>
      </c>
      <c r="EB22" s="168">
        <f>$F22*(1+$H22)^ROUNDUP(IFERROR(DATEDIF($G22-1,EB$14+1,"m"),)/12,)*Index!EA$22</f>
        <v>5716.9498769711754</v>
      </c>
      <c r="EC22" s="168">
        <f>$F22*(1+$H22)^ROUNDUP(IFERROR(DATEDIF($G22-1,EC$14+1,"m"),)/12,)*Index!EB$22</f>
        <v>5716.9498769711754</v>
      </c>
      <c r="ED22" s="168">
        <f>$F22*(1+$H22)^ROUNDUP(IFERROR(DATEDIF($G22-1,ED$14+1,"m"),)/12,)*Index!EC$22</f>
        <v>0</v>
      </c>
      <c r="EE22" s="168">
        <f>$F22*(1+$H22)^ROUNDUP(IFERROR(DATEDIF($G22-1,EE$14+1,"m"),)/12,)*Index!ED$22</f>
        <v>0</v>
      </c>
      <c r="EF22" s="168">
        <f>$F22*(1+$H22)^ROUNDUP(IFERROR(DATEDIF($G22-1,EF$14+1,"m"),)/12,)*Index!EE$22</f>
        <v>0</v>
      </c>
      <c r="EG22" s="168">
        <f>$F22*(1+$H22)^ROUNDUP(IFERROR(DATEDIF($G22-1,EG$14+1,"m"),)/12,)*Index!EF$22</f>
        <v>0</v>
      </c>
      <c r="EH22" s="168">
        <f>$F22*(1+$H22)^ROUNDUP(IFERROR(DATEDIF($G22-1,EH$14+1,"m"),)/12,)*Index!EG$22</f>
        <v>0</v>
      </c>
      <c r="EI22" s="168">
        <f>$F22*(1+$H22)^ROUNDUP(IFERROR(DATEDIF($G22-1,EI$14+1,"m"),)/12,)*Index!EH$22</f>
        <v>0</v>
      </c>
      <c r="EJ22" s="168">
        <f>$F22*(1+$H22)^ROUNDUP(IFERROR(DATEDIF($G22-1,EJ$14+1,"m"),)/12,)*Index!EI$22</f>
        <v>0</v>
      </c>
      <c r="EK22" s="168">
        <f>$F22*(1+$H22)^ROUNDUP(IFERROR(DATEDIF($G22-1,EK$14+1,"m"),)/12,)*Index!EJ$22</f>
        <v>0</v>
      </c>
      <c r="EL22" s="168">
        <f>$F22*(1+$H22)^ROUNDUP(IFERROR(DATEDIF($G22-1,EL$14+1,"m"),)/12,)*Index!EK$22</f>
        <v>0</v>
      </c>
      <c r="EM22" s="168">
        <f>$F22*(1+$H22)^ROUNDUP(IFERROR(DATEDIF($G22-1,EM$14+1,"m"),)/12,)*Index!EL$22</f>
        <v>0</v>
      </c>
      <c r="EN22" s="168">
        <f>$F22*(1+$H22)^ROUNDUP(IFERROR(DATEDIF($G22-1,EN$14+1,"m"),)/12,)*Index!EM$22</f>
        <v>0</v>
      </c>
      <c r="EO22" s="168">
        <f>$F22*(1+$H22)^ROUNDUP(IFERROR(DATEDIF($G22-1,EO$14+1,"m"),)/12,)*Index!EN$22</f>
        <v>0</v>
      </c>
      <c r="EP22" s="168">
        <f>$F22*(1+$H22)^ROUNDUP(IFERROR(DATEDIF($G22-1,EP$14+1,"m"),)/12,)*Index!EO$22</f>
        <v>0</v>
      </c>
      <c r="EQ22" s="168">
        <f>$F22*(1+$H22)^ROUNDUP(IFERROR(DATEDIF($G22-1,EQ$14+1,"m"),)/12,)*Index!EP$22</f>
        <v>0</v>
      </c>
      <c r="ER22" s="168">
        <f>$F22*(1+$H22)^ROUNDUP(IFERROR(DATEDIF($G22-1,ER$14+1,"m"),)/12,)*Index!EQ$22</f>
        <v>0</v>
      </c>
    </row>
    <row r="23" spans="3:148" ht="11.25" customHeight="1">
      <c r="C23" s="163"/>
      <c r="D23" s="169" t="s">
        <v>75</v>
      </c>
      <c r="F23" s="805">
        <f>'A&amp;R'!O69</f>
        <v>53083.394667049994</v>
      </c>
      <c r="G23" s="806">
        <f>'A&amp;R'!R69</f>
        <v>46691</v>
      </c>
      <c r="H23" s="807">
        <f>'A&amp;R'!Q69</f>
        <v>0.02</v>
      </c>
      <c r="I23" s="65"/>
      <c r="J23" s="13"/>
      <c r="K23" s="171">
        <f t="shared" si="12"/>
        <v>6974980.3358780285</v>
      </c>
      <c r="L23" s="98"/>
      <c r="M23" s="171">
        <f>$F23*(1+$H23)^ROUNDUP(IFERROR(DATEDIF($G23-1,M$14+1,"m"),)/12,)*Index!L$22</f>
        <v>0</v>
      </c>
      <c r="N23" s="171">
        <f>$F23*(1+$H23)^ROUNDUP(IFERROR(DATEDIF($G23-1,N$14+1,"m"),)/12,)*Index!M$22</f>
        <v>53083.394667049994</v>
      </c>
      <c r="O23" s="171">
        <f>$F23*(1+$H23)^ROUNDUP(IFERROR(DATEDIF($G23-1,O$14+1,"m"),)/12,)*Index!N$22</f>
        <v>53083.394667049994</v>
      </c>
      <c r="P23" s="171">
        <f>$F23*(1+$H23)^ROUNDUP(IFERROR(DATEDIF($G23-1,P$14+1,"m"),)/12,)*Index!O$22</f>
        <v>53083.394667049994</v>
      </c>
      <c r="Q23" s="171">
        <f>$F23*(1+$H23)^ROUNDUP(IFERROR(DATEDIF($G23-1,Q$14+1,"m"),)/12,)*Index!P$22</f>
        <v>53083.394667049994</v>
      </c>
      <c r="R23" s="171">
        <f>$F23*(1+$H23)^ROUNDUP(IFERROR(DATEDIF($G23-1,R$14+1,"m"),)/12,)*Index!Q$22</f>
        <v>53083.394667049994</v>
      </c>
      <c r="S23" s="171">
        <f>$F23*(1+$H23)^ROUNDUP(IFERROR(DATEDIF($G23-1,S$14+1,"m"),)/12,)*Index!R$22</f>
        <v>53083.394667049994</v>
      </c>
      <c r="T23" s="171">
        <f>$F23*(1+$H23)^ROUNDUP(IFERROR(DATEDIF($G23-1,T$14+1,"m"),)/12,)*Index!S$22</f>
        <v>53083.394667049994</v>
      </c>
      <c r="U23" s="171">
        <f>$F23*(1+$H23)^ROUNDUP(IFERROR(DATEDIF($G23-1,U$14+1,"m"),)/12,)*Index!T$22</f>
        <v>53083.394667049994</v>
      </c>
      <c r="V23" s="171">
        <f>$F23*(1+$H23)^ROUNDUP(IFERROR(DATEDIF($G23-1,V$14+1,"m"),)/12,)*Index!U$22</f>
        <v>53083.394667049994</v>
      </c>
      <c r="W23" s="171">
        <f>$F23*(1+$H23)^ROUNDUP(IFERROR(DATEDIF($G23-1,W$14+1,"m"),)/12,)*Index!V$22</f>
        <v>53083.394667049994</v>
      </c>
      <c r="X23" s="171">
        <f>$F23*(1+$H23)^ROUNDUP(IFERROR(DATEDIF($G23-1,X$14+1,"m"),)/12,)*Index!W$22</f>
        <v>53083.394667049994</v>
      </c>
      <c r="Y23" s="171">
        <f>$F23*(1+$H23)^ROUNDUP(IFERROR(DATEDIF($G23-1,Y$14+1,"m"),)/12,)*Index!X$22</f>
        <v>53083.394667049994</v>
      </c>
      <c r="Z23" s="171">
        <f>$F23*(1+$H23)^ROUNDUP(IFERROR(DATEDIF($G23-1,Z$14+1,"m"),)/12,)*Index!Y$22</f>
        <v>54145.062560390994</v>
      </c>
      <c r="AA23" s="171">
        <f>$F23*(1+$H23)^ROUNDUP(IFERROR(DATEDIF($G23-1,AA$14+1,"m"),)/12,)*Index!Z$22</f>
        <v>54145.062560390994</v>
      </c>
      <c r="AB23" s="171">
        <f>$F23*(1+$H23)^ROUNDUP(IFERROR(DATEDIF($G23-1,AB$14+1,"m"),)/12,)*Index!AA$22</f>
        <v>54145.062560390994</v>
      </c>
      <c r="AC23" s="171">
        <f>$F23*(1+$H23)^ROUNDUP(IFERROR(DATEDIF($G23-1,AC$14+1,"m"),)/12,)*Index!AB$22</f>
        <v>54145.062560390994</v>
      </c>
      <c r="AD23" s="171">
        <f>$F23*(1+$H23)^ROUNDUP(IFERROR(DATEDIF($G23-1,AD$14+1,"m"),)/12,)*Index!AC$22</f>
        <v>54145.062560390994</v>
      </c>
      <c r="AE23" s="171">
        <f>$F23*(1+$H23)^ROUNDUP(IFERROR(DATEDIF($G23-1,AE$14+1,"m"),)/12,)*Index!AD$22</f>
        <v>54145.062560390994</v>
      </c>
      <c r="AF23" s="171">
        <f>$F23*(1+$H23)^ROUNDUP(IFERROR(DATEDIF($G23-1,AF$14+1,"m"),)/12,)*Index!AE$22</f>
        <v>54145.062560390994</v>
      </c>
      <c r="AG23" s="171">
        <f>$F23*(1+$H23)^ROUNDUP(IFERROR(DATEDIF($G23-1,AG$14+1,"m"),)/12,)*Index!AF$22</f>
        <v>54145.062560390994</v>
      </c>
      <c r="AH23" s="171">
        <f>$F23*(1+$H23)^ROUNDUP(IFERROR(DATEDIF($G23-1,AH$14+1,"m"),)/12,)*Index!AG$22</f>
        <v>54145.062560390994</v>
      </c>
      <c r="AI23" s="171">
        <f>$F23*(1+$H23)^ROUNDUP(IFERROR(DATEDIF($G23-1,AI$14+1,"m"),)/12,)*Index!AH$22</f>
        <v>54145.062560390994</v>
      </c>
      <c r="AJ23" s="171">
        <f>$F23*(1+$H23)^ROUNDUP(IFERROR(DATEDIF($G23-1,AJ$14+1,"m"),)/12,)*Index!AI$22</f>
        <v>54145.062560390994</v>
      </c>
      <c r="AK23" s="171">
        <f>$F23*(1+$H23)^ROUNDUP(IFERROR(DATEDIF($G23-1,AK$14+1,"m"),)/12,)*Index!AJ$22</f>
        <v>54145.062560390994</v>
      </c>
      <c r="AL23" s="171">
        <f>$F23*(1+$H23)^ROUNDUP(IFERROR(DATEDIF($G23-1,AL$14+1,"m"),)/12,)*Index!AK$22</f>
        <v>55227.963811598813</v>
      </c>
      <c r="AM23" s="171">
        <f>$F23*(1+$H23)^ROUNDUP(IFERROR(DATEDIF($G23-1,AM$14+1,"m"),)/12,)*Index!AL$22</f>
        <v>55227.963811598813</v>
      </c>
      <c r="AN23" s="171">
        <f>$F23*(1+$H23)^ROUNDUP(IFERROR(DATEDIF($G23-1,AN$14+1,"m"),)/12,)*Index!AM$22</f>
        <v>55227.963811598813</v>
      </c>
      <c r="AO23" s="171">
        <f>$F23*(1+$H23)^ROUNDUP(IFERROR(DATEDIF($G23-1,AO$14+1,"m"),)/12,)*Index!AN$22</f>
        <v>55227.963811598813</v>
      </c>
      <c r="AP23" s="171">
        <f>$F23*(1+$H23)^ROUNDUP(IFERROR(DATEDIF($G23-1,AP$14+1,"m"),)/12,)*Index!AO$22</f>
        <v>55227.963811598813</v>
      </c>
      <c r="AQ23" s="171">
        <f>$F23*(1+$H23)^ROUNDUP(IFERROR(DATEDIF($G23-1,AQ$14+1,"m"),)/12,)*Index!AP$22</f>
        <v>55227.963811598813</v>
      </c>
      <c r="AR23" s="171">
        <f>$F23*(1+$H23)^ROUNDUP(IFERROR(DATEDIF($G23-1,AR$14+1,"m"),)/12,)*Index!AQ$22</f>
        <v>55227.963811598813</v>
      </c>
      <c r="AS23" s="171">
        <f>$F23*(1+$H23)^ROUNDUP(IFERROR(DATEDIF($G23-1,AS$14+1,"m"),)/12,)*Index!AR$22</f>
        <v>55227.963811598813</v>
      </c>
      <c r="AT23" s="171">
        <f>$F23*(1+$H23)^ROUNDUP(IFERROR(DATEDIF($G23-1,AT$14+1,"m"),)/12,)*Index!AS$22</f>
        <v>55227.963811598813</v>
      </c>
      <c r="AU23" s="171">
        <f>$F23*(1+$H23)^ROUNDUP(IFERROR(DATEDIF($G23-1,AU$14+1,"m"),)/12,)*Index!AT$22</f>
        <v>55227.963811598813</v>
      </c>
      <c r="AV23" s="171">
        <f>$F23*(1+$H23)^ROUNDUP(IFERROR(DATEDIF($G23-1,AV$14+1,"m"),)/12,)*Index!AU$22</f>
        <v>55227.963811598813</v>
      </c>
      <c r="AW23" s="171">
        <f>$F23*(1+$H23)^ROUNDUP(IFERROR(DATEDIF($G23-1,AW$14+1,"m"),)/12,)*Index!AV$22</f>
        <v>55227.963811598813</v>
      </c>
      <c r="AX23" s="171">
        <f>$F23*(1+$H23)^ROUNDUP(IFERROR(DATEDIF($G23-1,AX$14+1,"m"),)/12,)*Index!AW$22</f>
        <v>56332.523087830785</v>
      </c>
      <c r="AY23" s="171">
        <f>$F23*(1+$H23)^ROUNDUP(IFERROR(DATEDIF($G23-1,AY$14+1,"m"),)/12,)*Index!AX$22</f>
        <v>56332.523087830785</v>
      </c>
      <c r="AZ23" s="171">
        <f>$F23*(1+$H23)^ROUNDUP(IFERROR(DATEDIF($G23-1,AZ$14+1,"m"),)/12,)*Index!AY$22</f>
        <v>56332.523087830785</v>
      </c>
      <c r="BA23" s="171">
        <f>$F23*(1+$H23)^ROUNDUP(IFERROR(DATEDIF($G23-1,BA$14+1,"m"),)/12,)*Index!AZ$22</f>
        <v>56332.523087830785</v>
      </c>
      <c r="BB23" s="171">
        <f>$F23*(1+$H23)^ROUNDUP(IFERROR(DATEDIF($G23-1,BB$14+1,"m"),)/12,)*Index!BA$22</f>
        <v>56332.523087830785</v>
      </c>
      <c r="BC23" s="171">
        <f>$F23*(1+$H23)^ROUNDUP(IFERROR(DATEDIF($G23-1,BC$14+1,"m"),)/12,)*Index!BB$22</f>
        <v>56332.523087830785</v>
      </c>
      <c r="BD23" s="171">
        <f>$F23*(1+$H23)^ROUNDUP(IFERROR(DATEDIF($G23-1,BD$14+1,"m"),)/12,)*Index!BC$22</f>
        <v>56332.523087830785</v>
      </c>
      <c r="BE23" s="171">
        <f>$F23*(1+$H23)^ROUNDUP(IFERROR(DATEDIF($G23-1,BE$14+1,"m"),)/12,)*Index!BD$22</f>
        <v>56332.523087830785</v>
      </c>
      <c r="BF23" s="171">
        <f>$F23*(1+$H23)^ROUNDUP(IFERROR(DATEDIF($G23-1,BF$14+1,"m"),)/12,)*Index!BE$22</f>
        <v>56332.523087830785</v>
      </c>
      <c r="BG23" s="171">
        <f>$F23*(1+$H23)^ROUNDUP(IFERROR(DATEDIF($G23-1,BG$14+1,"m"),)/12,)*Index!BF$22</f>
        <v>56332.523087830785</v>
      </c>
      <c r="BH23" s="171">
        <f>$F23*(1+$H23)^ROUNDUP(IFERROR(DATEDIF($G23-1,BH$14+1,"m"),)/12,)*Index!BG$22</f>
        <v>56332.523087830785</v>
      </c>
      <c r="BI23" s="171">
        <f>$F23*(1+$H23)^ROUNDUP(IFERROR(DATEDIF($G23-1,BI$14+1,"m"),)/12,)*Index!BH$22</f>
        <v>56332.523087830785</v>
      </c>
      <c r="BJ23" s="171">
        <f>$F23*(1+$H23)^ROUNDUP(IFERROR(DATEDIF($G23-1,BJ$14+1,"m"),)/12,)*Index!BI$22</f>
        <v>57459.173549587402</v>
      </c>
      <c r="BK23" s="171">
        <f>$F23*(1+$H23)^ROUNDUP(IFERROR(DATEDIF($G23-1,BK$14+1,"m"),)/12,)*Index!BJ$22</f>
        <v>57459.173549587402</v>
      </c>
      <c r="BL23" s="171">
        <f>$F23*(1+$H23)^ROUNDUP(IFERROR(DATEDIF($G23-1,BL$14+1,"m"),)/12,)*Index!BK$22</f>
        <v>57459.173549587402</v>
      </c>
      <c r="BM23" s="171">
        <f>$F23*(1+$H23)^ROUNDUP(IFERROR(DATEDIF($G23-1,BM$14+1,"m"),)/12,)*Index!BL$22</f>
        <v>57459.173549587402</v>
      </c>
      <c r="BN23" s="171">
        <f>$F23*(1+$H23)^ROUNDUP(IFERROR(DATEDIF($G23-1,BN$14+1,"m"),)/12,)*Index!BM$22</f>
        <v>57459.173549587402</v>
      </c>
      <c r="BO23" s="171">
        <f>$F23*(1+$H23)^ROUNDUP(IFERROR(DATEDIF($G23-1,BO$14+1,"m"),)/12,)*Index!BN$22</f>
        <v>57459.173549587402</v>
      </c>
      <c r="BP23" s="171">
        <f>$F23*(1+$H23)^ROUNDUP(IFERROR(DATEDIF($G23-1,BP$14+1,"m"),)/12,)*Index!BO$22</f>
        <v>57459.173549587402</v>
      </c>
      <c r="BQ23" s="171">
        <f>$F23*(1+$H23)^ROUNDUP(IFERROR(DATEDIF($G23-1,BQ$14+1,"m"),)/12,)*Index!BP$22</f>
        <v>57459.173549587402</v>
      </c>
      <c r="BR23" s="171">
        <f>$F23*(1+$H23)^ROUNDUP(IFERROR(DATEDIF($G23-1,BR$14+1,"m"),)/12,)*Index!BQ$22</f>
        <v>57459.173549587402</v>
      </c>
      <c r="BS23" s="171">
        <f>$F23*(1+$H23)^ROUNDUP(IFERROR(DATEDIF($G23-1,BS$14+1,"m"),)/12,)*Index!BR$22</f>
        <v>57459.173549587402</v>
      </c>
      <c r="BT23" s="171">
        <f>$F23*(1+$H23)^ROUNDUP(IFERROR(DATEDIF($G23-1,BT$14+1,"m"),)/12,)*Index!BS$22</f>
        <v>57459.173549587402</v>
      </c>
      <c r="BU23" s="171">
        <f>$F23*(1+$H23)^ROUNDUP(IFERROR(DATEDIF($G23-1,BU$14+1,"m"),)/12,)*Index!BT$22</f>
        <v>57459.173549587402</v>
      </c>
      <c r="BV23" s="171">
        <f>$F23*(1+$H23)^ROUNDUP(IFERROR(DATEDIF($G23-1,BV$14+1,"m"),)/12,)*Index!BU$22</f>
        <v>58608.357020579155</v>
      </c>
      <c r="BW23" s="171">
        <f>$F23*(1+$H23)^ROUNDUP(IFERROR(DATEDIF($G23-1,BW$14+1,"m"),)/12,)*Index!BV$22</f>
        <v>58608.357020579155</v>
      </c>
      <c r="BX23" s="171">
        <f>$F23*(1+$H23)^ROUNDUP(IFERROR(DATEDIF($G23-1,BX$14+1,"m"),)/12,)*Index!BW$22</f>
        <v>58608.357020579155</v>
      </c>
      <c r="BY23" s="171">
        <f>$F23*(1+$H23)^ROUNDUP(IFERROR(DATEDIF($G23-1,BY$14+1,"m"),)/12,)*Index!BX$22</f>
        <v>58608.357020579155</v>
      </c>
      <c r="BZ23" s="171">
        <f>$F23*(1+$H23)^ROUNDUP(IFERROR(DATEDIF($G23-1,BZ$14+1,"m"),)/12,)*Index!BY$22</f>
        <v>58608.357020579155</v>
      </c>
      <c r="CA23" s="171">
        <f>$F23*(1+$H23)^ROUNDUP(IFERROR(DATEDIF($G23-1,CA$14+1,"m"),)/12,)*Index!BZ$22</f>
        <v>58608.357020579155</v>
      </c>
      <c r="CB23" s="171">
        <f>$F23*(1+$H23)^ROUNDUP(IFERROR(DATEDIF($G23-1,CB$14+1,"m"),)/12,)*Index!CA$22</f>
        <v>58608.357020579155</v>
      </c>
      <c r="CC23" s="171">
        <f>$F23*(1+$H23)^ROUNDUP(IFERROR(DATEDIF($G23-1,CC$14+1,"m"),)/12,)*Index!CB$22</f>
        <v>58608.357020579155</v>
      </c>
      <c r="CD23" s="171">
        <f>$F23*(1+$H23)^ROUNDUP(IFERROR(DATEDIF($G23-1,CD$14+1,"m"),)/12,)*Index!CC$22</f>
        <v>58608.357020579155</v>
      </c>
      <c r="CE23" s="171">
        <f>$F23*(1+$H23)^ROUNDUP(IFERROR(DATEDIF($G23-1,CE$14+1,"m"),)/12,)*Index!CD$22</f>
        <v>58608.357020579155</v>
      </c>
      <c r="CF23" s="171">
        <f>$F23*(1+$H23)^ROUNDUP(IFERROR(DATEDIF($G23-1,CF$14+1,"m"),)/12,)*Index!CE$22</f>
        <v>58608.357020579155</v>
      </c>
      <c r="CG23" s="171">
        <f>$F23*(1+$H23)^ROUNDUP(IFERROR(DATEDIF($G23-1,CG$14+1,"m"),)/12,)*Index!CF$22</f>
        <v>58608.357020579155</v>
      </c>
      <c r="CH23" s="171">
        <f>$F23*(1+$H23)^ROUNDUP(IFERROR(DATEDIF($G23-1,CH$14+1,"m"),)/12,)*Index!CG$22</f>
        <v>59780.524160990739</v>
      </c>
      <c r="CI23" s="171">
        <f>$F23*(1+$H23)^ROUNDUP(IFERROR(DATEDIF($G23-1,CI$14+1,"m"),)/12,)*Index!CH$22</f>
        <v>59780.524160990739</v>
      </c>
      <c r="CJ23" s="171">
        <f>$F23*(1+$H23)^ROUNDUP(IFERROR(DATEDIF($G23-1,CJ$14+1,"m"),)/12,)*Index!CI$22</f>
        <v>59780.524160990739</v>
      </c>
      <c r="CK23" s="171">
        <f>$F23*(1+$H23)^ROUNDUP(IFERROR(DATEDIF($G23-1,CK$14+1,"m"),)/12,)*Index!CJ$22</f>
        <v>59780.524160990739</v>
      </c>
      <c r="CL23" s="171">
        <f>$F23*(1+$H23)^ROUNDUP(IFERROR(DATEDIF($G23-1,CL$14+1,"m"),)/12,)*Index!CK$22</f>
        <v>59780.524160990739</v>
      </c>
      <c r="CM23" s="171">
        <f>$F23*(1+$H23)^ROUNDUP(IFERROR(DATEDIF($G23-1,CM$14+1,"m"),)/12,)*Index!CL$22</f>
        <v>59780.524160990739</v>
      </c>
      <c r="CN23" s="171">
        <f>$F23*(1+$H23)^ROUNDUP(IFERROR(DATEDIF($G23-1,CN$14+1,"m"),)/12,)*Index!CM$22</f>
        <v>59780.524160990739</v>
      </c>
      <c r="CO23" s="171">
        <f>$F23*(1+$H23)^ROUNDUP(IFERROR(DATEDIF($G23-1,CO$14+1,"m"),)/12,)*Index!CN$22</f>
        <v>59780.524160990739</v>
      </c>
      <c r="CP23" s="171">
        <f>$F23*(1+$H23)^ROUNDUP(IFERROR(DATEDIF($G23-1,CP$14+1,"m"),)/12,)*Index!CO$22</f>
        <v>59780.524160990739</v>
      </c>
      <c r="CQ23" s="171">
        <f>$F23*(1+$H23)^ROUNDUP(IFERROR(DATEDIF($G23-1,CQ$14+1,"m"),)/12,)*Index!CP$22</f>
        <v>59780.524160990739</v>
      </c>
      <c r="CR23" s="171">
        <f>$F23*(1+$H23)^ROUNDUP(IFERROR(DATEDIF($G23-1,CR$14+1,"m"),)/12,)*Index!CQ$22</f>
        <v>59780.524160990739</v>
      </c>
      <c r="CS23" s="171">
        <f>$F23*(1+$H23)^ROUNDUP(IFERROR(DATEDIF($G23-1,CS$14+1,"m"),)/12,)*Index!CR$22</f>
        <v>59780.524160990739</v>
      </c>
      <c r="CT23" s="171">
        <f>$F23*(1+$H23)^ROUNDUP(IFERROR(DATEDIF($G23-1,CT$14+1,"m"),)/12,)*Index!CS$22</f>
        <v>60976.134644210542</v>
      </c>
      <c r="CU23" s="171">
        <f>$F23*(1+$H23)^ROUNDUP(IFERROR(DATEDIF($G23-1,CU$14+1,"m"),)/12,)*Index!CT$22</f>
        <v>60976.134644210542</v>
      </c>
      <c r="CV23" s="171">
        <f>$F23*(1+$H23)^ROUNDUP(IFERROR(DATEDIF($G23-1,CV$14+1,"m"),)/12,)*Index!CU$22</f>
        <v>60976.134644210542</v>
      </c>
      <c r="CW23" s="171">
        <f>$F23*(1+$H23)^ROUNDUP(IFERROR(DATEDIF($G23-1,CW$14+1,"m"),)/12,)*Index!CV$22</f>
        <v>60976.134644210542</v>
      </c>
      <c r="CX23" s="171">
        <f>$F23*(1+$H23)^ROUNDUP(IFERROR(DATEDIF($G23-1,CX$14+1,"m"),)/12,)*Index!CW$22</f>
        <v>60976.134644210542</v>
      </c>
      <c r="CY23" s="171">
        <f>$F23*(1+$H23)^ROUNDUP(IFERROR(DATEDIF($G23-1,CY$14+1,"m"),)/12,)*Index!CX$22</f>
        <v>60976.134644210542</v>
      </c>
      <c r="CZ23" s="171">
        <f>$F23*(1+$H23)^ROUNDUP(IFERROR(DATEDIF($G23-1,CZ$14+1,"m"),)/12,)*Index!CY$22</f>
        <v>60976.134644210542</v>
      </c>
      <c r="DA23" s="171">
        <f>$F23*(1+$H23)^ROUNDUP(IFERROR(DATEDIF($G23-1,DA$14+1,"m"),)/12,)*Index!CZ$22</f>
        <v>60976.134644210542</v>
      </c>
      <c r="DB23" s="171">
        <f>$F23*(1+$H23)^ROUNDUP(IFERROR(DATEDIF($G23-1,DB$14+1,"m"),)/12,)*Index!DA$22</f>
        <v>60976.134644210542</v>
      </c>
      <c r="DC23" s="171">
        <f>$F23*(1+$H23)^ROUNDUP(IFERROR(DATEDIF($G23-1,DC$14+1,"m"),)/12,)*Index!DB$22</f>
        <v>60976.134644210542</v>
      </c>
      <c r="DD23" s="171">
        <f>$F23*(1+$H23)^ROUNDUP(IFERROR(DATEDIF($G23-1,DD$14+1,"m"),)/12,)*Index!DC$22</f>
        <v>60976.134644210542</v>
      </c>
      <c r="DE23" s="171">
        <f>$F23*(1+$H23)^ROUNDUP(IFERROR(DATEDIF($G23-1,DE$14+1,"m"),)/12,)*Index!DD$22</f>
        <v>60976.134644210542</v>
      </c>
      <c r="DF23" s="171">
        <f>$F23*(1+$H23)^ROUNDUP(IFERROR(DATEDIF($G23-1,DF$14+1,"m"),)/12,)*Index!DE$22</f>
        <v>62195.657337094759</v>
      </c>
      <c r="DG23" s="171">
        <f>$F23*(1+$H23)^ROUNDUP(IFERROR(DATEDIF($G23-1,DG$14+1,"m"),)/12,)*Index!DF$22</f>
        <v>62195.657337094759</v>
      </c>
      <c r="DH23" s="171">
        <f>$F23*(1+$H23)^ROUNDUP(IFERROR(DATEDIF($G23-1,DH$14+1,"m"),)/12,)*Index!DG$22</f>
        <v>62195.657337094759</v>
      </c>
      <c r="DI23" s="171">
        <f>$F23*(1+$H23)^ROUNDUP(IFERROR(DATEDIF($G23-1,DI$14+1,"m"),)/12,)*Index!DH$22</f>
        <v>62195.657337094759</v>
      </c>
      <c r="DJ23" s="171">
        <f>$F23*(1+$H23)^ROUNDUP(IFERROR(DATEDIF($G23-1,DJ$14+1,"m"),)/12,)*Index!DI$22</f>
        <v>62195.657337094759</v>
      </c>
      <c r="DK23" s="171">
        <f>$F23*(1+$H23)^ROUNDUP(IFERROR(DATEDIF($G23-1,DK$14+1,"m"),)/12,)*Index!DJ$22</f>
        <v>62195.657337094759</v>
      </c>
      <c r="DL23" s="171">
        <f>$F23*(1+$H23)^ROUNDUP(IFERROR(DATEDIF($G23-1,DL$14+1,"m"),)/12,)*Index!DK$22</f>
        <v>62195.657337094759</v>
      </c>
      <c r="DM23" s="171">
        <f>$F23*(1+$H23)^ROUNDUP(IFERROR(DATEDIF($G23-1,DM$14+1,"m"),)/12,)*Index!DL$22</f>
        <v>62195.657337094759</v>
      </c>
      <c r="DN23" s="171">
        <f>$F23*(1+$H23)^ROUNDUP(IFERROR(DATEDIF($G23-1,DN$14+1,"m"),)/12,)*Index!DM$22</f>
        <v>62195.657337094759</v>
      </c>
      <c r="DO23" s="171">
        <f>$F23*(1+$H23)^ROUNDUP(IFERROR(DATEDIF($G23-1,DO$14+1,"m"),)/12,)*Index!DN$22</f>
        <v>62195.657337094759</v>
      </c>
      <c r="DP23" s="171">
        <f>$F23*(1+$H23)^ROUNDUP(IFERROR(DATEDIF($G23-1,DP$14+1,"m"),)/12,)*Index!DO$22</f>
        <v>62195.657337094759</v>
      </c>
      <c r="DQ23" s="171">
        <f>$F23*(1+$H23)^ROUNDUP(IFERROR(DATEDIF($G23-1,DQ$14+1,"m"),)/12,)*Index!DP$22</f>
        <v>62195.657337094759</v>
      </c>
      <c r="DR23" s="171">
        <f>$F23*(1+$H23)^ROUNDUP(IFERROR(DATEDIF($G23-1,DR$14+1,"m"),)/12,)*Index!DQ$22</f>
        <v>63439.570483836651</v>
      </c>
      <c r="DS23" s="171">
        <f>$F23*(1+$H23)^ROUNDUP(IFERROR(DATEDIF($G23-1,DS$14+1,"m"),)/12,)*Index!DR$22</f>
        <v>63439.570483836651</v>
      </c>
      <c r="DT23" s="171">
        <f>$F23*(1+$H23)^ROUNDUP(IFERROR(DATEDIF($G23-1,DT$14+1,"m"),)/12,)*Index!DS$22</f>
        <v>63439.570483836651</v>
      </c>
      <c r="DU23" s="171">
        <f>$F23*(1+$H23)^ROUNDUP(IFERROR(DATEDIF($G23-1,DU$14+1,"m"),)/12,)*Index!DT$22</f>
        <v>63439.570483836651</v>
      </c>
      <c r="DV23" s="171">
        <f>$F23*(1+$H23)^ROUNDUP(IFERROR(DATEDIF($G23-1,DV$14+1,"m"),)/12,)*Index!DU$22</f>
        <v>63439.570483836651</v>
      </c>
      <c r="DW23" s="171">
        <f>$F23*(1+$H23)^ROUNDUP(IFERROR(DATEDIF($G23-1,DW$14+1,"m"),)/12,)*Index!DV$22</f>
        <v>63439.570483836651</v>
      </c>
      <c r="DX23" s="171">
        <f>$F23*(1+$H23)^ROUNDUP(IFERROR(DATEDIF($G23-1,DX$14+1,"m"),)/12,)*Index!DW$22</f>
        <v>63439.570483836651</v>
      </c>
      <c r="DY23" s="171">
        <f>$F23*(1+$H23)^ROUNDUP(IFERROR(DATEDIF($G23-1,DY$14+1,"m"),)/12,)*Index!DX$22</f>
        <v>63439.570483836651</v>
      </c>
      <c r="DZ23" s="171">
        <f>$F23*(1+$H23)^ROUNDUP(IFERROR(DATEDIF($G23-1,DZ$14+1,"m"),)/12,)*Index!DY$22</f>
        <v>63439.570483836651</v>
      </c>
      <c r="EA23" s="171">
        <f>$F23*(1+$H23)^ROUNDUP(IFERROR(DATEDIF($G23-1,EA$14+1,"m"),)/12,)*Index!DZ$22</f>
        <v>63439.570483836651</v>
      </c>
      <c r="EB23" s="171">
        <f>$F23*(1+$H23)^ROUNDUP(IFERROR(DATEDIF($G23-1,EB$14+1,"m"),)/12,)*Index!EA$22</f>
        <v>63439.570483836651</v>
      </c>
      <c r="EC23" s="171">
        <f>$F23*(1+$H23)^ROUNDUP(IFERROR(DATEDIF($G23-1,EC$14+1,"m"),)/12,)*Index!EB$22</f>
        <v>63439.570483836651</v>
      </c>
      <c r="ED23" s="171">
        <f>$F23*(1+$H23)^ROUNDUP(IFERROR(DATEDIF($G23-1,ED$14+1,"m"),)/12,)*Index!EC$22</f>
        <v>0</v>
      </c>
      <c r="EE23" s="171">
        <f>$F23*(1+$H23)^ROUNDUP(IFERROR(DATEDIF($G23-1,EE$14+1,"m"),)/12,)*Index!ED$22</f>
        <v>0</v>
      </c>
      <c r="EF23" s="171">
        <f>$F23*(1+$H23)^ROUNDUP(IFERROR(DATEDIF($G23-1,EF$14+1,"m"),)/12,)*Index!EE$22</f>
        <v>0</v>
      </c>
      <c r="EG23" s="171">
        <f>$F23*(1+$H23)^ROUNDUP(IFERROR(DATEDIF($G23-1,EG$14+1,"m"),)/12,)*Index!EF$22</f>
        <v>0</v>
      </c>
      <c r="EH23" s="171">
        <f>$F23*(1+$H23)^ROUNDUP(IFERROR(DATEDIF($G23-1,EH$14+1,"m"),)/12,)*Index!EG$22</f>
        <v>0</v>
      </c>
      <c r="EI23" s="171">
        <f>$F23*(1+$H23)^ROUNDUP(IFERROR(DATEDIF($G23-1,EI$14+1,"m"),)/12,)*Index!EH$22</f>
        <v>0</v>
      </c>
      <c r="EJ23" s="171">
        <f>$F23*(1+$H23)^ROUNDUP(IFERROR(DATEDIF($G23-1,EJ$14+1,"m"),)/12,)*Index!EI$22</f>
        <v>0</v>
      </c>
      <c r="EK23" s="171">
        <f>$F23*(1+$H23)^ROUNDUP(IFERROR(DATEDIF($G23-1,EK$14+1,"m"),)/12,)*Index!EJ$22</f>
        <v>0</v>
      </c>
      <c r="EL23" s="171">
        <f>$F23*(1+$H23)^ROUNDUP(IFERROR(DATEDIF($G23-1,EL$14+1,"m"),)/12,)*Index!EK$22</f>
        <v>0</v>
      </c>
      <c r="EM23" s="171">
        <f>$F23*(1+$H23)^ROUNDUP(IFERROR(DATEDIF($G23-1,EM$14+1,"m"),)/12,)*Index!EL$22</f>
        <v>0</v>
      </c>
      <c r="EN23" s="171">
        <f>$F23*(1+$H23)^ROUNDUP(IFERROR(DATEDIF($G23-1,EN$14+1,"m"),)/12,)*Index!EM$22</f>
        <v>0</v>
      </c>
      <c r="EO23" s="171">
        <f>$F23*(1+$H23)^ROUNDUP(IFERROR(DATEDIF($G23-1,EO$14+1,"m"),)/12,)*Index!EN$22</f>
        <v>0</v>
      </c>
      <c r="EP23" s="171">
        <f>$F23*(1+$H23)^ROUNDUP(IFERROR(DATEDIF($G23-1,EP$14+1,"m"),)/12,)*Index!EO$22</f>
        <v>0</v>
      </c>
      <c r="EQ23" s="171">
        <f>$F23*(1+$H23)^ROUNDUP(IFERROR(DATEDIF($G23-1,EQ$14+1,"m"),)/12,)*Index!EP$22</f>
        <v>0</v>
      </c>
      <c r="ER23" s="171">
        <f>$F23*(1+$H23)^ROUNDUP(IFERROR(DATEDIF($G23-1,ER$14+1,"m"),)/12,)*Index!EQ$22</f>
        <v>0</v>
      </c>
    </row>
    <row r="24" spans="3:148" ht="11.25" customHeight="1">
      <c r="C24" s="163"/>
      <c r="D24" s="169" t="s">
        <v>78</v>
      </c>
      <c r="F24" s="805">
        <f>'A&amp;R'!O70</f>
        <v>2599.2957127499999</v>
      </c>
      <c r="G24" s="806">
        <f>'A&amp;R'!R70</f>
        <v>46691</v>
      </c>
      <c r="H24" s="807">
        <f>'A&amp;R'!Q70</f>
        <v>0.02</v>
      </c>
      <c r="I24" s="65"/>
      <c r="J24" s="13"/>
      <c r="K24" s="171">
        <f t="shared" si="12"/>
        <v>341538.75420512666</v>
      </c>
      <c r="L24" s="98"/>
      <c r="M24" s="171">
        <f>$F24*(1+$H24)^ROUNDUP(IFERROR(DATEDIF($G24-1,M$14+1,"m"),)/12,)*Index!L$22</f>
        <v>0</v>
      </c>
      <c r="N24" s="171">
        <f>$F24*(1+$H24)^ROUNDUP(IFERROR(DATEDIF($G24-1,N$14+1,"m"),)/12,)*Index!M$22</f>
        <v>2599.2957127499999</v>
      </c>
      <c r="O24" s="171">
        <f>$F24*(1+$H24)^ROUNDUP(IFERROR(DATEDIF($G24-1,O$14+1,"m"),)/12,)*Index!N$22</f>
        <v>2599.2957127499999</v>
      </c>
      <c r="P24" s="171">
        <f>$F24*(1+$H24)^ROUNDUP(IFERROR(DATEDIF($G24-1,P$14+1,"m"),)/12,)*Index!O$22</f>
        <v>2599.2957127499999</v>
      </c>
      <c r="Q24" s="171">
        <f>$F24*(1+$H24)^ROUNDUP(IFERROR(DATEDIF($G24-1,Q$14+1,"m"),)/12,)*Index!P$22</f>
        <v>2599.2957127499999</v>
      </c>
      <c r="R24" s="171">
        <f>$F24*(1+$H24)^ROUNDUP(IFERROR(DATEDIF($G24-1,R$14+1,"m"),)/12,)*Index!Q$22</f>
        <v>2599.2957127499999</v>
      </c>
      <c r="S24" s="171">
        <f>$F24*(1+$H24)^ROUNDUP(IFERROR(DATEDIF($G24-1,S$14+1,"m"),)/12,)*Index!R$22</f>
        <v>2599.2957127499999</v>
      </c>
      <c r="T24" s="171">
        <f>$F24*(1+$H24)^ROUNDUP(IFERROR(DATEDIF($G24-1,T$14+1,"m"),)/12,)*Index!S$22</f>
        <v>2599.2957127499999</v>
      </c>
      <c r="U24" s="171">
        <f>$F24*(1+$H24)^ROUNDUP(IFERROR(DATEDIF($G24-1,U$14+1,"m"),)/12,)*Index!T$22</f>
        <v>2599.2957127499999</v>
      </c>
      <c r="V24" s="171">
        <f>$F24*(1+$H24)^ROUNDUP(IFERROR(DATEDIF($G24-1,V$14+1,"m"),)/12,)*Index!U$22</f>
        <v>2599.2957127499999</v>
      </c>
      <c r="W24" s="171">
        <f>$F24*(1+$H24)^ROUNDUP(IFERROR(DATEDIF($G24-1,W$14+1,"m"),)/12,)*Index!V$22</f>
        <v>2599.2957127499999</v>
      </c>
      <c r="X24" s="171">
        <f>$F24*(1+$H24)^ROUNDUP(IFERROR(DATEDIF($G24-1,X$14+1,"m"),)/12,)*Index!W$22</f>
        <v>2599.2957127499999</v>
      </c>
      <c r="Y24" s="171">
        <f>$F24*(1+$H24)^ROUNDUP(IFERROR(DATEDIF($G24-1,Y$14+1,"m"),)/12,)*Index!X$22</f>
        <v>2599.2957127499999</v>
      </c>
      <c r="Z24" s="171">
        <f>$F24*(1+$H24)^ROUNDUP(IFERROR(DATEDIF($G24-1,Z$14+1,"m"),)/12,)*Index!Y$22</f>
        <v>2651.2816270049998</v>
      </c>
      <c r="AA24" s="171">
        <f>$F24*(1+$H24)^ROUNDUP(IFERROR(DATEDIF($G24-1,AA$14+1,"m"),)/12,)*Index!Z$22</f>
        <v>2651.2816270049998</v>
      </c>
      <c r="AB24" s="171">
        <f>$F24*(1+$H24)^ROUNDUP(IFERROR(DATEDIF($G24-1,AB$14+1,"m"),)/12,)*Index!AA$22</f>
        <v>2651.2816270049998</v>
      </c>
      <c r="AC24" s="171">
        <f>$F24*(1+$H24)^ROUNDUP(IFERROR(DATEDIF($G24-1,AC$14+1,"m"),)/12,)*Index!AB$22</f>
        <v>2651.2816270049998</v>
      </c>
      <c r="AD24" s="171">
        <f>$F24*(1+$H24)^ROUNDUP(IFERROR(DATEDIF($G24-1,AD$14+1,"m"),)/12,)*Index!AC$22</f>
        <v>2651.2816270049998</v>
      </c>
      <c r="AE24" s="171">
        <f>$F24*(1+$H24)^ROUNDUP(IFERROR(DATEDIF($G24-1,AE$14+1,"m"),)/12,)*Index!AD$22</f>
        <v>2651.2816270049998</v>
      </c>
      <c r="AF24" s="171">
        <f>$F24*(1+$H24)^ROUNDUP(IFERROR(DATEDIF($G24-1,AF$14+1,"m"),)/12,)*Index!AE$22</f>
        <v>2651.2816270049998</v>
      </c>
      <c r="AG24" s="171">
        <f>$F24*(1+$H24)^ROUNDUP(IFERROR(DATEDIF($G24-1,AG$14+1,"m"),)/12,)*Index!AF$22</f>
        <v>2651.2816270049998</v>
      </c>
      <c r="AH24" s="171">
        <f>$F24*(1+$H24)^ROUNDUP(IFERROR(DATEDIF($G24-1,AH$14+1,"m"),)/12,)*Index!AG$22</f>
        <v>2651.2816270049998</v>
      </c>
      <c r="AI24" s="171">
        <f>$F24*(1+$H24)^ROUNDUP(IFERROR(DATEDIF($G24-1,AI$14+1,"m"),)/12,)*Index!AH$22</f>
        <v>2651.2816270049998</v>
      </c>
      <c r="AJ24" s="171">
        <f>$F24*(1+$H24)^ROUNDUP(IFERROR(DATEDIF($G24-1,AJ$14+1,"m"),)/12,)*Index!AI$22</f>
        <v>2651.2816270049998</v>
      </c>
      <c r="AK24" s="171">
        <f>$F24*(1+$H24)^ROUNDUP(IFERROR(DATEDIF($G24-1,AK$14+1,"m"),)/12,)*Index!AJ$22</f>
        <v>2651.2816270049998</v>
      </c>
      <c r="AL24" s="171">
        <f>$F24*(1+$H24)^ROUNDUP(IFERROR(DATEDIF($G24-1,AL$14+1,"m"),)/12,)*Index!AK$22</f>
        <v>2704.3072595450999</v>
      </c>
      <c r="AM24" s="171">
        <f>$F24*(1+$H24)^ROUNDUP(IFERROR(DATEDIF($G24-1,AM$14+1,"m"),)/12,)*Index!AL$22</f>
        <v>2704.3072595450999</v>
      </c>
      <c r="AN24" s="171">
        <f>$F24*(1+$H24)^ROUNDUP(IFERROR(DATEDIF($G24-1,AN$14+1,"m"),)/12,)*Index!AM$22</f>
        <v>2704.3072595450999</v>
      </c>
      <c r="AO24" s="171">
        <f>$F24*(1+$H24)^ROUNDUP(IFERROR(DATEDIF($G24-1,AO$14+1,"m"),)/12,)*Index!AN$22</f>
        <v>2704.3072595450999</v>
      </c>
      <c r="AP24" s="171">
        <f>$F24*(1+$H24)^ROUNDUP(IFERROR(DATEDIF($G24-1,AP$14+1,"m"),)/12,)*Index!AO$22</f>
        <v>2704.3072595450999</v>
      </c>
      <c r="AQ24" s="171">
        <f>$F24*(1+$H24)^ROUNDUP(IFERROR(DATEDIF($G24-1,AQ$14+1,"m"),)/12,)*Index!AP$22</f>
        <v>2704.3072595450999</v>
      </c>
      <c r="AR24" s="171">
        <f>$F24*(1+$H24)^ROUNDUP(IFERROR(DATEDIF($G24-1,AR$14+1,"m"),)/12,)*Index!AQ$22</f>
        <v>2704.3072595450999</v>
      </c>
      <c r="AS24" s="171">
        <f>$F24*(1+$H24)^ROUNDUP(IFERROR(DATEDIF($G24-1,AS$14+1,"m"),)/12,)*Index!AR$22</f>
        <v>2704.3072595450999</v>
      </c>
      <c r="AT24" s="171">
        <f>$F24*(1+$H24)^ROUNDUP(IFERROR(DATEDIF($G24-1,AT$14+1,"m"),)/12,)*Index!AS$22</f>
        <v>2704.3072595450999</v>
      </c>
      <c r="AU24" s="171">
        <f>$F24*(1+$H24)^ROUNDUP(IFERROR(DATEDIF($G24-1,AU$14+1,"m"),)/12,)*Index!AT$22</f>
        <v>2704.3072595450999</v>
      </c>
      <c r="AV24" s="171">
        <f>$F24*(1+$H24)^ROUNDUP(IFERROR(DATEDIF($G24-1,AV$14+1,"m"),)/12,)*Index!AU$22</f>
        <v>2704.3072595450999</v>
      </c>
      <c r="AW24" s="171">
        <f>$F24*(1+$H24)^ROUNDUP(IFERROR(DATEDIF($G24-1,AW$14+1,"m"),)/12,)*Index!AV$22</f>
        <v>2704.3072595450999</v>
      </c>
      <c r="AX24" s="171">
        <f>$F24*(1+$H24)^ROUNDUP(IFERROR(DATEDIF($G24-1,AX$14+1,"m"),)/12,)*Index!AW$22</f>
        <v>2758.3934047360017</v>
      </c>
      <c r="AY24" s="171">
        <f>$F24*(1+$H24)^ROUNDUP(IFERROR(DATEDIF($G24-1,AY$14+1,"m"),)/12,)*Index!AX$22</f>
        <v>2758.3934047360017</v>
      </c>
      <c r="AZ24" s="171">
        <f>$F24*(1+$H24)^ROUNDUP(IFERROR(DATEDIF($G24-1,AZ$14+1,"m"),)/12,)*Index!AY$22</f>
        <v>2758.3934047360017</v>
      </c>
      <c r="BA24" s="171">
        <f>$F24*(1+$H24)^ROUNDUP(IFERROR(DATEDIF($G24-1,BA$14+1,"m"),)/12,)*Index!AZ$22</f>
        <v>2758.3934047360017</v>
      </c>
      <c r="BB24" s="171">
        <f>$F24*(1+$H24)^ROUNDUP(IFERROR(DATEDIF($G24-1,BB$14+1,"m"),)/12,)*Index!BA$22</f>
        <v>2758.3934047360017</v>
      </c>
      <c r="BC24" s="171">
        <f>$F24*(1+$H24)^ROUNDUP(IFERROR(DATEDIF($G24-1,BC$14+1,"m"),)/12,)*Index!BB$22</f>
        <v>2758.3934047360017</v>
      </c>
      <c r="BD24" s="171">
        <f>$F24*(1+$H24)^ROUNDUP(IFERROR(DATEDIF($G24-1,BD$14+1,"m"),)/12,)*Index!BC$22</f>
        <v>2758.3934047360017</v>
      </c>
      <c r="BE24" s="171">
        <f>$F24*(1+$H24)^ROUNDUP(IFERROR(DATEDIF($G24-1,BE$14+1,"m"),)/12,)*Index!BD$22</f>
        <v>2758.3934047360017</v>
      </c>
      <c r="BF24" s="171">
        <f>$F24*(1+$H24)^ROUNDUP(IFERROR(DATEDIF($G24-1,BF$14+1,"m"),)/12,)*Index!BE$22</f>
        <v>2758.3934047360017</v>
      </c>
      <c r="BG24" s="171">
        <f>$F24*(1+$H24)^ROUNDUP(IFERROR(DATEDIF($G24-1,BG$14+1,"m"),)/12,)*Index!BF$22</f>
        <v>2758.3934047360017</v>
      </c>
      <c r="BH24" s="171">
        <f>$F24*(1+$H24)^ROUNDUP(IFERROR(DATEDIF($G24-1,BH$14+1,"m"),)/12,)*Index!BG$22</f>
        <v>2758.3934047360017</v>
      </c>
      <c r="BI24" s="171">
        <f>$F24*(1+$H24)^ROUNDUP(IFERROR(DATEDIF($G24-1,BI$14+1,"m"),)/12,)*Index!BH$22</f>
        <v>2758.3934047360017</v>
      </c>
      <c r="BJ24" s="171">
        <f>$F24*(1+$H24)^ROUNDUP(IFERROR(DATEDIF($G24-1,BJ$14+1,"m"),)/12,)*Index!BI$22</f>
        <v>2813.5612728307219</v>
      </c>
      <c r="BK24" s="171">
        <f>$F24*(1+$H24)^ROUNDUP(IFERROR(DATEDIF($G24-1,BK$14+1,"m"),)/12,)*Index!BJ$22</f>
        <v>2813.5612728307219</v>
      </c>
      <c r="BL24" s="171">
        <f>$F24*(1+$H24)^ROUNDUP(IFERROR(DATEDIF($G24-1,BL$14+1,"m"),)/12,)*Index!BK$22</f>
        <v>2813.5612728307219</v>
      </c>
      <c r="BM24" s="171">
        <f>$F24*(1+$H24)^ROUNDUP(IFERROR(DATEDIF($G24-1,BM$14+1,"m"),)/12,)*Index!BL$22</f>
        <v>2813.5612728307219</v>
      </c>
      <c r="BN24" s="171">
        <f>$F24*(1+$H24)^ROUNDUP(IFERROR(DATEDIF($G24-1,BN$14+1,"m"),)/12,)*Index!BM$22</f>
        <v>2813.5612728307219</v>
      </c>
      <c r="BO24" s="171">
        <f>$F24*(1+$H24)^ROUNDUP(IFERROR(DATEDIF($G24-1,BO$14+1,"m"),)/12,)*Index!BN$22</f>
        <v>2813.5612728307219</v>
      </c>
      <c r="BP24" s="171">
        <f>$F24*(1+$H24)^ROUNDUP(IFERROR(DATEDIF($G24-1,BP$14+1,"m"),)/12,)*Index!BO$22</f>
        <v>2813.5612728307219</v>
      </c>
      <c r="BQ24" s="171">
        <f>$F24*(1+$H24)^ROUNDUP(IFERROR(DATEDIF($G24-1,BQ$14+1,"m"),)/12,)*Index!BP$22</f>
        <v>2813.5612728307219</v>
      </c>
      <c r="BR24" s="171">
        <f>$F24*(1+$H24)^ROUNDUP(IFERROR(DATEDIF($G24-1,BR$14+1,"m"),)/12,)*Index!BQ$22</f>
        <v>2813.5612728307219</v>
      </c>
      <c r="BS24" s="171">
        <f>$F24*(1+$H24)^ROUNDUP(IFERROR(DATEDIF($G24-1,BS$14+1,"m"),)/12,)*Index!BR$22</f>
        <v>2813.5612728307219</v>
      </c>
      <c r="BT24" s="171">
        <f>$F24*(1+$H24)^ROUNDUP(IFERROR(DATEDIF($G24-1,BT$14+1,"m"),)/12,)*Index!BS$22</f>
        <v>2813.5612728307219</v>
      </c>
      <c r="BU24" s="171">
        <f>$F24*(1+$H24)^ROUNDUP(IFERROR(DATEDIF($G24-1,BU$14+1,"m"),)/12,)*Index!BT$22</f>
        <v>2813.5612728307219</v>
      </c>
      <c r="BV24" s="171">
        <f>$F24*(1+$H24)^ROUNDUP(IFERROR(DATEDIF($G24-1,BV$14+1,"m"),)/12,)*Index!BU$22</f>
        <v>2869.8324982873364</v>
      </c>
      <c r="BW24" s="171">
        <f>$F24*(1+$H24)^ROUNDUP(IFERROR(DATEDIF($G24-1,BW$14+1,"m"),)/12,)*Index!BV$22</f>
        <v>2869.8324982873364</v>
      </c>
      <c r="BX24" s="171">
        <f>$F24*(1+$H24)^ROUNDUP(IFERROR(DATEDIF($G24-1,BX$14+1,"m"),)/12,)*Index!BW$22</f>
        <v>2869.8324982873364</v>
      </c>
      <c r="BY24" s="171">
        <f>$F24*(1+$H24)^ROUNDUP(IFERROR(DATEDIF($G24-1,BY$14+1,"m"),)/12,)*Index!BX$22</f>
        <v>2869.8324982873364</v>
      </c>
      <c r="BZ24" s="171">
        <f>$F24*(1+$H24)^ROUNDUP(IFERROR(DATEDIF($G24-1,BZ$14+1,"m"),)/12,)*Index!BY$22</f>
        <v>2869.8324982873364</v>
      </c>
      <c r="CA24" s="171">
        <f>$F24*(1+$H24)^ROUNDUP(IFERROR(DATEDIF($G24-1,CA$14+1,"m"),)/12,)*Index!BZ$22</f>
        <v>2869.8324982873364</v>
      </c>
      <c r="CB24" s="171">
        <f>$F24*(1+$H24)^ROUNDUP(IFERROR(DATEDIF($G24-1,CB$14+1,"m"),)/12,)*Index!CA$22</f>
        <v>2869.8324982873364</v>
      </c>
      <c r="CC24" s="171">
        <f>$F24*(1+$H24)^ROUNDUP(IFERROR(DATEDIF($G24-1,CC$14+1,"m"),)/12,)*Index!CB$22</f>
        <v>2869.8324982873364</v>
      </c>
      <c r="CD24" s="171">
        <f>$F24*(1+$H24)^ROUNDUP(IFERROR(DATEDIF($G24-1,CD$14+1,"m"),)/12,)*Index!CC$22</f>
        <v>2869.8324982873364</v>
      </c>
      <c r="CE24" s="171">
        <f>$F24*(1+$H24)^ROUNDUP(IFERROR(DATEDIF($G24-1,CE$14+1,"m"),)/12,)*Index!CD$22</f>
        <v>2869.8324982873364</v>
      </c>
      <c r="CF24" s="171">
        <f>$F24*(1+$H24)^ROUNDUP(IFERROR(DATEDIF($G24-1,CF$14+1,"m"),)/12,)*Index!CE$22</f>
        <v>2869.8324982873364</v>
      </c>
      <c r="CG24" s="171">
        <f>$F24*(1+$H24)^ROUNDUP(IFERROR(DATEDIF($G24-1,CG$14+1,"m"),)/12,)*Index!CF$22</f>
        <v>2869.8324982873364</v>
      </c>
      <c r="CH24" s="171">
        <f>$F24*(1+$H24)^ROUNDUP(IFERROR(DATEDIF($G24-1,CH$14+1,"m"),)/12,)*Index!CG$22</f>
        <v>2927.2291482530832</v>
      </c>
      <c r="CI24" s="171">
        <f>$F24*(1+$H24)^ROUNDUP(IFERROR(DATEDIF($G24-1,CI$14+1,"m"),)/12,)*Index!CH$22</f>
        <v>2927.2291482530832</v>
      </c>
      <c r="CJ24" s="171">
        <f>$F24*(1+$H24)^ROUNDUP(IFERROR(DATEDIF($G24-1,CJ$14+1,"m"),)/12,)*Index!CI$22</f>
        <v>2927.2291482530832</v>
      </c>
      <c r="CK24" s="171">
        <f>$F24*(1+$H24)^ROUNDUP(IFERROR(DATEDIF($G24-1,CK$14+1,"m"),)/12,)*Index!CJ$22</f>
        <v>2927.2291482530832</v>
      </c>
      <c r="CL24" s="171">
        <f>$F24*(1+$H24)^ROUNDUP(IFERROR(DATEDIF($G24-1,CL$14+1,"m"),)/12,)*Index!CK$22</f>
        <v>2927.2291482530832</v>
      </c>
      <c r="CM24" s="171">
        <f>$F24*(1+$H24)^ROUNDUP(IFERROR(DATEDIF($G24-1,CM$14+1,"m"),)/12,)*Index!CL$22</f>
        <v>2927.2291482530832</v>
      </c>
      <c r="CN24" s="171">
        <f>$F24*(1+$H24)^ROUNDUP(IFERROR(DATEDIF($G24-1,CN$14+1,"m"),)/12,)*Index!CM$22</f>
        <v>2927.2291482530832</v>
      </c>
      <c r="CO24" s="171">
        <f>$F24*(1+$H24)^ROUNDUP(IFERROR(DATEDIF($G24-1,CO$14+1,"m"),)/12,)*Index!CN$22</f>
        <v>2927.2291482530832</v>
      </c>
      <c r="CP24" s="171">
        <f>$F24*(1+$H24)^ROUNDUP(IFERROR(DATEDIF($G24-1,CP$14+1,"m"),)/12,)*Index!CO$22</f>
        <v>2927.2291482530832</v>
      </c>
      <c r="CQ24" s="171">
        <f>$F24*(1+$H24)^ROUNDUP(IFERROR(DATEDIF($G24-1,CQ$14+1,"m"),)/12,)*Index!CP$22</f>
        <v>2927.2291482530832</v>
      </c>
      <c r="CR24" s="171">
        <f>$F24*(1+$H24)^ROUNDUP(IFERROR(DATEDIF($G24-1,CR$14+1,"m"),)/12,)*Index!CQ$22</f>
        <v>2927.2291482530832</v>
      </c>
      <c r="CS24" s="171">
        <f>$F24*(1+$H24)^ROUNDUP(IFERROR(DATEDIF($G24-1,CS$14+1,"m"),)/12,)*Index!CR$22</f>
        <v>2927.2291482530832</v>
      </c>
      <c r="CT24" s="171">
        <f>$F24*(1+$H24)^ROUNDUP(IFERROR(DATEDIF($G24-1,CT$14+1,"m"),)/12,)*Index!CS$22</f>
        <v>2985.7737312181443</v>
      </c>
      <c r="CU24" s="171">
        <f>$F24*(1+$H24)^ROUNDUP(IFERROR(DATEDIF($G24-1,CU$14+1,"m"),)/12,)*Index!CT$22</f>
        <v>2985.7737312181443</v>
      </c>
      <c r="CV24" s="171">
        <f>$F24*(1+$H24)^ROUNDUP(IFERROR(DATEDIF($G24-1,CV$14+1,"m"),)/12,)*Index!CU$22</f>
        <v>2985.7737312181443</v>
      </c>
      <c r="CW24" s="171">
        <f>$F24*(1+$H24)^ROUNDUP(IFERROR(DATEDIF($G24-1,CW$14+1,"m"),)/12,)*Index!CV$22</f>
        <v>2985.7737312181443</v>
      </c>
      <c r="CX24" s="171">
        <f>$F24*(1+$H24)^ROUNDUP(IFERROR(DATEDIF($G24-1,CX$14+1,"m"),)/12,)*Index!CW$22</f>
        <v>2985.7737312181443</v>
      </c>
      <c r="CY24" s="171">
        <f>$F24*(1+$H24)^ROUNDUP(IFERROR(DATEDIF($G24-1,CY$14+1,"m"),)/12,)*Index!CX$22</f>
        <v>2985.7737312181443</v>
      </c>
      <c r="CZ24" s="171">
        <f>$F24*(1+$H24)^ROUNDUP(IFERROR(DATEDIF($G24-1,CZ$14+1,"m"),)/12,)*Index!CY$22</f>
        <v>2985.7737312181443</v>
      </c>
      <c r="DA24" s="171">
        <f>$F24*(1+$H24)^ROUNDUP(IFERROR(DATEDIF($G24-1,DA$14+1,"m"),)/12,)*Index!CZ$22</f>
        <v>2985.7737312181443</v>
      </c>
      <c r="DB24" s="171">
        <f>$F24*(1+$H24)^ROUNDUP(IFERROR(DATEDIF($G24-1,DB$14+1,"m"),)/12,)*Index!DA$22</f>
        <v>2985.7737312181443</v>
      </c>
      <c r="DC24" s="171">
        <f>$F24*(1+$H24)^ROUNDUP(IFERROR(DATEDIF($G24-1,DC$14+1,"m"),)/12,)*Index!DB$22</f>
        <v>2985.7737312181443</v>
      </c>
      <c r="DD24" s="171">
        <f>$F24*(1+$H24)^ROUNDUP(IFERROR(DATEDIF($G24-1,DD$14+1,"m"),)/12,)*Index!DC$22</f>
        <v>2985.7737312181443</v>
      </c>
      <c r="DE24" s="171">
        <f>$F24*(1+$H24)^ROUNDUP(IFERROR(DATEDIF($G24-1,DE$14+1,"m"),)/12,)*Index!DD$22</f>
        <v>2985.7737312181443</v>
      </c>
      <c r="DF24" s="171">
        <f>$F24*(1+$H24)^ROUNDUP(IFERROR(DATEDIF($G24-1,DF$14+1,"m"),)/12,)*Index!DE$22</f>
        <v>3045.4892058425075</v>
      </c>
      <c r="DG24" s="171">
        <f>$F24*(1+$H24)^ROUNDUP(IFERROR(DATEDIF($G24-1,DG$14+1,"m"),)/12,)*Index!DF$22</f>
        <v>3045.4892058425075</v>
      </c>
      <c r="DH24" s="171">
        <f>$F24*(1+$H24)^ROUNDUP(IFERROR(DATEDIF($G24-1,DH$14+1,"m"),)/12,)*Index!DG$22</f>
        <v>3045.4892058425075</v>
      </c>
      <c r="DI24" s="171">
        <f>$F24*(1+$H24)^ROUNDUP(IFERROR(DATEDIF($G24-1,DI$14+1,"m"),)/12,)*Index!DH$22</f>
        <v>3045.4892058425075</v>
      </c>
      <c r="DJ24" s="171">
        <f>$F24*(1+$H24)^ROUNDUP(IFERROR(DATEDIF($G24-1,DJ$14+1,"m"),)/12,)*Index!DI$22</f>
        <v>3045.4892058425075</v>
      </c>
      <c r="DK24" s="171">
        <f>$F24*(1+$H24)^ROUNDUP(IFERROR(DATEDIF($G24-1,DK$14+1,"m"),)/12,)*Index!DJ$22</f>
        <v>3045.4892058425075</v>
      </c>
      <c r="DL24" s="171">
        <f>$F24*(1+$H24)^ROUNDUP(IFERROR(DATEDIF($G24-1,DL$14+1,"m"),)/12,)*Index!DK$22</f>
        <v>3045.4892058425075</v>
      </c>
      <c r="DM24" s="171">
        <f>$F24*(1+$H24)^ROUNDUP(IFERROR(DATEDIF($G24-1,DM$14+1,"m"),)/12,)*Index!DL$22</f>
        <v>3045.4892058425075</v>
      </c>
      <c r="DN24" s="171">
        <f>$F24*(1+$H24)^ROUNDUP(IFERROR(DATEDIF($G24-1,DN$14+1,"m"),)/12,)*Index!DM$22</f>
        <v>3045.4892058425075</v>
      </c>
      <c r="DO24" s="171">
        <f>$F24*(1+$H24)^ROUNDUP(IFERROR(DATEDIF($G24-1,DO$14+1,"m"),)/12,)*Index!DN$22</f>
        <v>3045.4892058425075</v>
      </c>
      <c r="DP24" s="171">
        <f>$F24*(1+$H24)^ROUNDUP(IFERROR(DATEDIF($G24-1,DP$14+1,"m"),)/12,)*Index!DO$22</f>
        <v>3045.4892058425075</v>
      </c>
      <c r="DQ24" s="171">
        <f>$F24*(1+$H24)^ROUNDUP(IFERROR(DATEDIF($G24-1,DQ$14+1,"m"),)/12,)*Index!DP$22</f>
        <v>3045.4892058425075</v>
      </c>
      <c r="DR24" s="171">
        <f>$F24*(1+$H24)^ROUNDUP(IFERROR(DATEDIF($G24-1,DR$14+1,"m"),)/12,)*Index!DQ$22</f>
        <v>3106.3989899593576</v>
      </c>
      <c r="DS24" s="171">
        <f>$F24*(1+$H24)^ROUNDUP(IFERROR(DATEDIF($G24-1,DS$14+1,"m"),)/12,)*Index!DR$22</f>
        <v>3106.3989899593576</v>
      </c>
      <c r="DT24" s="171">
        <f>$F24*(1+$H24)^ROUNDUP(IFERROR(DATEDIF($G24-1,DT$14+1,"m"),)/12,)*Index!DS$22</f>
        <v>3106.3989899593576</v>
      </c>
      <c r="DU24" s="171">
        <f>$F24*(1+$H24)^ROUNDUP(IFERROR(DATEDIF($G24-1,DU$14+1,"m"),)/12,)*Index!DT$22</f>
        <v>3106.3989899593576</v>
      </c>
      <c r="DV24" s="171">
        <f>$F24*(1+$H24)^ROUNDUP(IFERROR(DATEDIF($G24-1,DV$14+1,"m"),)/12,)*Index!DU$22</f>
        <v>3106.3989899593576</v>
      </c>
      <c r="DW24" s="171">
        <f>$F24*(1+$H24)^ROUNDUP(IFERROR(DATEDIF($G24-1,DW$14+1,"m"),)/12,)*Index!DV$22</f>
        <v>3106.3989899593576</v>
      </c>
      <c r="DX24" s="171">
        <f>$F24*(1+$H24)^ROUNDUP(IFERROR(DATEDIF($G24-1,DX$14+1,"m"),)/12,)*Index!DW$22</f>
        <v>3106.3989899593576</v>
      </c>
      <c r="DY24" s="171">
        <f>$F24*(1+$H24)^ROUNDUP(IFERROR(DATEDIF($G24-1,DY$14+1,"m"),)/12,)*Index!DX$22</f>
        <v>3106.3989899593576</v>
      </c>
      <c r="DZ24" s="171">
        <f>$F24*(1+$H24)^ROUNDUP(IFERROR(DATEDIF($G24-1,DZ$14+1,"m"),)/12,)*Index!DY$22</f>
        <v>3106.3989899593576</v>
      </c>
      <c r="EA24" s="171">
        <f>$F24*(1+$H24)^ROUNDUP(IFERROR(DATEDIF($G24-1,EA$14+1,"m"),)/12,)*Index!DZ$22</f>
        <v>3106.3989899593576</v>
      </c>
      <c r="EB24" s="171">
        <f>$F24*(1+$H24)^ROUNDUP(IFERROR(DATEDIF($G24-1,EB$14+1,"m"),)/12,)*Index!EA$22</f>
        <v>3106.3989899593576</v>
      </c>
      <c r="EC24" s="171">
        <f>$F24*(1+$H24)^ROUNDUP(IFERROR(DATEDIF($G24-1,EC$14+1,"m"),)/12,)*Index!EB$22</f>
        <v>3106.3989899593576</v>
      </c>
      <c r="ED24" s="171">
        <f>$F24*(1+$H24)^ROUNDUP(IFERROR(DATEDIF($G24-1,ED$14+1,"m"),)/12,)*Index!EC$22</f>
        <v>0</v>
      </c>
      <c r="EE24" s="171">
        <f>$F24*(1+$H24)^ROUNDUP(IFERROR(DATEDIF($G24-1,EE$14+1,"m"),)/12,)*Index!ED$22</f>
        <v>0</v>
      </c>
      <c r="EF24" s="171">
        <f>$F24*(1+$H24)^ROUNDUP(IFERROR(DATEDIF($G24-1,EF$14+1,"m"),)/12,)*Index!EE$22</f>
        <v>0</v>
      </c>
      <c r="EG24" s="171">
        <f>$F24*(1+$H24)^ROUNDUP(IFERROR(DATEDIF($G24-1,EG$14+1,"m"),)/12,)*Index!EF$22</f>
        <v>0</v>
      </c>
      <c r="EH24" s="171">
        <f>$F24*(1+$H24)^ROUNDUP(IFERROR(DATEDIF($G24-1,EH$14+1,"m"),)/12,)*Index!EG$22</f>
        <v>0</v>
      </c>
      <c r="EI24" s="171">
        <f>$F24*(1+$H24)^ROUNDUP(IFERROR(DATEDIF($G24-1,EI$14+1,"m"),)/12,)*Index!EH$22</f>
        <v>0</v>
      </c>
      <c r="EJ24" s="171">
        <f>$F24*(1+$H24)^ROUNDUP(IFERROR(DATEDIF($G24-1,EJ$14+1,"m"),)/12,)*Index!EI$22</f>
        <v>0</v>
      </c>
      <c r="EK24" s="171">
        <f>$F24*(1+$H24)^ROUNDUP(IFERROR(DATEDIF($G24-1,EK$14+1,"m"),)/12,)*Index!EJ$22</f>
        <v>0</v>
      </c>
      <c r="EL24" s="171">
        <f>$F24*(1+$H24)^ROUNDUP(IFERROR(DATEDIF($G24-1,EL$14+1,"m"),)/12,)*Index!EK$22</f>
        <v>0</v>
      </c>
      <c r="EM24" s="171">
        <f>$F24*(1+$H24)^ROUNDUP(IFERROR(DATEDIF($G24-1,EM$14+1,"m"),)/12,)*Index!EL$22</f>
        <v>0</v>
      </c>
      <c r="EN24" s="171">
        <f>$F24*(1+$H24)^ROUNDUP(IFERROR(DATEDIF($G24-1,EN$14+1,"m"),)/12,)*Index!EM$22</f>
        <v>0</v>
      </c>
      <c r="EO24" s="171">
        <f>$F24*(1+$H24)^ROUNDUP(IFERROR(DATEDIF($G24-1,EO$14+1,"m"),)/12,)*Index!EN$22</f>
        <v>0</v>
      </c>
      <c r="EP24" s="171">
        <f>$F24*(1+$H24)^ROUNDUP(IFERROR(DATEDIF($G24-1,EP$14+1,"m"),)/12,)*Index!EO$22</f>
        <v>0</v>
      </c>
      <c r="EQ24" s="171">
        <f>$F24*(1+$H24)^ROUNDUP(IFERROR(DATEDIF($G24-1,EQ$14+1,"m"),)/12,)*Index!EP$22</f>
        <v>0</v>
      </c>
      <c r="ER24" s="171">
        <f>$F24*(1+$H24)^ROUNDUP(IFERROR(DATEDIF($G24-1,ER$14+1,"m"),)/12,)*Index!EQ$22</f>
        <v>0</v>
      </c>
    </row>
    <row r="25" spans="3:148" ht="11.25" customHeight="1">
      <c r="C25" s="163"/>
      <c r="D25" s="169" t="s">
        <v>80</v>
      </c>
      <c r="F25" s="805">
        <f>'A&amp;R'!O71</f>
        <v>0</v>
      </c>
      <c r="G25" s="806">
        <f>'A&amp;R'!R71</f>
        <v>46691</v>
      </c>
      <c r="H25" s="807">
        <f>'A&amp;R'!Q71</f>
        <v>0.02</v>
      </c>
      <c r="I25" s="146"/>
      <c r="J25" s="13"/>
      <c r="K25" s="171">
        <f t="shared" si="12"/>
        <v>0</v>
      </c>
      <c r="L25" s="98"/>
      <c r="M25" s="171">
        <f>$F25*(1+$H25)^ROUNDUP(IFERROR(DATEDIF($G25-1,M$14+1,"m"),)/12,)*Index!L$22</f>
        <v>0</v>
      </c>
      <c r="N25" s="171">
        <f>$F25*(1+$H25)^ROUNDUP(IFERROR(DATEDIF($G25-1,N$14+1,"m"),)/12,)*Index!M$22</f>
        <v>0</v>
      </c>
      <c r="O25" s="171">
        <f>$F25*(1+$H25)^ROUNDUP(IFERROR(DATEDIF($G25-1,O$14+1,"m"),)/12,)*Index!N$22</f>
        <v>0</v>
      </c>
      <c r="P25" s="171">
        <f>$F25*(1+$H25)^ROUNDUP(IFERROR(DATEDIF($G25-1,P$14+1,"m"),)/12,)*Index!O$22</f>
        <v>0</v>
      </c>
      <c r="Q25" s="171">
        <f>$F25*(1+$H25)^ROUNDUP(IFERROR(DATEDIF($G25-1,Q$14+1,"m"),)/12,)*Index!P$22</f>
        <v>0</v>
      </c>
      <c r="R25" s="171">
        <f>$F25*(1+$H25)^ROUNDUP(IFERROR(DATEDIF($G25-1,R$14+1,"m"),)/12,)*Index!Q$22</f>
        <v>0</v>
      </c>
      <c r="S25" s="171">
        <f>$F25*(1+$H25)^ROUNDUP(IFERROR(DATEDIF($G25-1,S$14+1,"m"),)/12,)*Index!R$22</f>
        <v>0</v>
      </c>
      <c r="T25" s="171">
        <f>$F25*(1+$H25)^ROUNDUP(IFERROR(DATEDIF($G25-1,T$14+1,"m"),)/12,)*Index!S$22</f>
        <v>0</v>
      </c>
      <c r="U25" s="171">
        <f>$F25*(1+$H25)^ROUNDUP(IFERROR(DATEDIF($G25-1,U$14+1,"m"),)/12,)*Index!T$22</f>
        <v>0</v>
      </c>
      <c r="V25" s="171">
        <f>$F25*(1+$H25)^ROUNDUP(IFERROR(DATEDIF($G25-1,V$14+1,"m"),)/12,)*Index!U$22</f>
        <v>0</v>
      </c>
      <c r="W25" s="171">
        <f>$F25*(1+$H25)^ROUNDUP(IFERROR(DATEDIF($G25-1,W$14+1,"m"),)/12,)*Index!V$22</f>
        <v>0</v>
      </c>
      <c r="X25" s="171">
        <f>$F25*(1+$H25)^ROUNDUP(IFERROR(DATEDIF($G25-1,X$14+1,"m"),)/12,)*Index!W$22</f>
        <v>0</v>
      </c>
      <c r="Y25" s="171">
        <f>$F25*(1+$H25)^ROUNDUP(IFERROR(DATEDIF($G25-1,Y$14+1,"m"),)/12,)*Index!X$22</f>
        <v>0</v>
      </c>
      <c r="Z25" s="171">
        <f>$F25*(1+$H25)^ROUNDUP(IFERROR(DATEDIF($G25-1,Z$14+1,"m"),)/12,)*Index!Y$22</f>
        <v>0</v>
      </c>
      <c r="AA25" s="171">
        <f>$F25*(1+$H25)^ROUNDUP(IFERROR(DATEDIF($G25-1,AA$14+1,"m"),)/12,)*Index!Z$22</f>
        <v>0</v>
      </c>
      <c r="AB25" s="171">
        <f>$F25*(1+$H25)^ROUNDUP(IFERROR(DATEDIF($G25-1,AB$14+1,"m"),)/12,)*Index!AA$22</f>
        <v>0</v>
      </c>
      <c r="AC25" s="171">
        <f>$F25*(1+$H25)^ROUNDUP(IFERROR(DATEDIF($G25-1,AC$14+1,"m"),)/12,)*Index!AB$22</f>
        <v>0</v>
      </c>
      <c r="AD25" s="171">
        <f>$F25*(1+$H25)^ROUNDUP(IFERROR(DATEDIF($G25-1,AD$14+1,"m"),)/12,)*Index!AC$22</f>
        <v>0</v>
      </c>
      <c r="AE25" s="171">
        <f>$F25*(1+$H25)^ROUNDUP(IFERROR(DATEDIF($G25-1,AE$14+1,"m"),)/12,)*Index!AD$22</f>
        <v>0</v>
      </c>
      <c r="AF25" s="171">
        <f>$F25*(1+$H25)^ROUNDUP(IFERROR(DATEDIF($G25-1,AF$14+1,"m"),)/12,)*Index!AE$22</f>
        <v>0</v>
      </c>
      <c r="AG25" s="171">
        <f>$F25*(1+$H25)^ROUNDUP(IFERROR(DATEDIF($G25-1,AG$14+1,"m"),)/12,)*Index!AF$22</f>
        <v>0</v>
      </c>
      <c r="AH25" s="171">
        <f>$F25*(1+$H25)^ROUNDUP(IFERROR(DATEDIF($G25-1,AH$14+1,"m"),)/12,)*Index!AG$22</f>
        <v>0</v>
      </c>
      <c r="AI25" s="171">
        <f>$F25*(1+$H25)^ROUNDUP(IFERROR(DATEDIF($G25-1,AI$14+1,"m"),)/12,)*Index!AH$22</f>
        <v>0</v>
      </c>
      <c r="AJ25" s="171">
        <f>$F25*(1+$H25)^ROUNDUP(IFERROR(DATEDIF($G25-1,AJ$14+1,"m"),)/12,)*Index!AI$22</f>
        <v>0</v>
      </c>
      <c r="AK25" s="171">
        <f>$F25*(1+$H25)^ROUNDUP(IFERROR(DATEDIF($G25-1,AK$14+1,"m"),)/12,)*Index!AJ$22</f>
        <v>0</v>
      </c>
      <c r="AL25" s="171">
        <f>$F25*(1+$H25)^ROUNDUP(IFERROR(DATEDIF($G25-1,AL$14+1,"m"),)/12,)*Index!AK$22</f>
        <v>0</v>
      </c>
      <c r="AM25" s="171">
        <f>$F25*(1+$H25)^ROUNDUP(IFERROR(DATEDIF($G25-1,AM$14+1,"m"),)/12,)*Index!AL$22</f>
        <v>0</v>
      </c>
      <c r="AN25" s="171">
        <f>$F25*(1+$H25)^ROUNDUP(IFERROR(DATEDIF($G25-1,AN$14+1,"m"),)/12,)*Index!AM$22</f>
        <v>0</v>
      </c>
      <c r="AO25" s="171">
        <f>$F25*(1+$H25)^ROUNDUP(IFERROR(DATEDIF($G25-1,AO$14+1,"m"),)/12,)*Index!AN$22</f>
        <v>0</v>
      </c>
      <c r="AP25" s="171">
        <f>$F25*(1+$H25)^ROUNDUP(IFERROR(DATEDIF($G25-1,AP$14+1,"m"),)/12,)*Index!AO$22</f>
        <v>0</v>
      </c>
      <c r="AQ25" s="171">
        <f>$F25*(1+$H25)^ROUNDUP(IFERROR(DATEDIF($G25-1,AQ$14+1,"m"),)/12,)*Index!AP$22</f>
        <v>0</v>
      </c>
      <c r="AR25" s="171">
        <f>$F25*(1+$H25)^ROUNDUP(IFERROR(DATEDIF($G25-1,AR$14+1,"m"),)/12,)*Index!AQ$22</f>
        <v>0</v>
      </c>
      <c r="AS25" s="171">
        <f>$F25*(1+$H25)^ROUNDUP(IFERROR(DATEDIF($G25-1,AS$14+1,"m"),)/12,)*Index!AR$22</f>
        <v>0</v>
      </c>
      <c r="AT25" s="171">
        <f>$F25*(1+$H25)^ROUNDUP(IFERROR(DATEDIF($G25-1,AT$14+1,"m"),)/12,)*Index!AS$22</f>
        <v>0</v>
      </c>
      <c r="AU25" s="171">
        <f>$F25*(1+$H25)^ROUNDUP(IFERROR(DATEDIF($G25-1,AU$14+1,"m"),)/12,)*Index!AT$22</f>
        <v>0</v>
      </c>
      <c r="AV25" s="171">
        <f>$F25*(1+$H25)^ROUNDUP(IFERROR(DATEDIF($G25-1,AV$14+1,"m"),)/12,)*Index!AU$22</f>
        <v>0</v>
      </c>
      <c r="AW25" s="171">
        <f>$F25*(1+$H25)^ROUNDUP(IFERROR(DATEDIF($G25-1,AW$14+1,"m"),)/12,)*Index!AV$22</f>
        <v>0</v>
      </c>
      <c r="AX25" s="171">
        <f>$F25*(1+$H25)^ROUNDUP(IFERROR(DATEDIF($G25-1,AX$14+1,"m"),)/12,)*Index!AW$22</f>
        <v>0</v>
      </c>
      <c r="AY25" s="171">
        <f>$F25*(1+$H25)^ROUNDUP(IFERROR(DATEDIF($G25-1,AY$14+1,"m"),)/12,)*Index!AX$22</f>
        <v>0</v>
      </c>
      <c r="AZ25" s="171">
        <f>$F25*(1+$H25)^ROUNDUP(IFERROR(DATEDIF($G25-1,AZ$14+1,"m"),)/12,)*Index!AY$22</f>
        <v>0</v>
      </c>
      <c r="BA25" s="171">
        <f>$F25*(1+$H25)^ROUNDUP(IFERROR(DATEDIF($G25-1,BA$14+1,"m"),)/12,)*Index!AZ$22</f>
        <v>0</v>
      </c>
      <c r="BB25" s="171">
        <f>$F25*(1+$H25)^ROUNDUP(IFERROR(DATEDIF($G25-1,BB$14+1,"m"),)/12,)*Index!BA$22</f>
        <v>0</v>
      </c>
      <c r="BC25" s="171">
        <f>$F25*(1+$H25)^ROUNDUP(IFERROR(DATEDIF($G25-1,BC$14+1,"m"),)/12,)*Index!BB$22</f>
        <v>0</v>
      </c>
      <c r="BD25" s="171">
        <f>$F25*(1+$H25)^ROUNDUP(IFERROR(DATEDIF($G25-1,BD$14+1,"m"),)/12,)*Index!BC$22</f>
        <v>0</v>
      </c>
      <c r="BE25" s="171">
        <f>$F25*(1+$H25)^ROUNDUP(IFERROR(DATEDIF($G25-1,BE$14+1,"m"),)/12,)*Index!BD$22</f>
        <v>0</v>
      </c>
      <c r="BF25" s="171">
        <f>$F25*(1+$H25)^ROUNDUP(IFERROR(DATEDIF($G25-1,BF$14+1,"m"),)/12,)*Index!BE$22</f>
        <v>0</v>
      </c>
      <c r="BG25" s="171">
        <f>$F25*(1+$H25)^ROUNDUP(IFERROR(DATEDIF($G25-1,BG$14+1,"m"),)/12,)*Index!BF$22</f>
        <v>0</v>
      </c>
      <c r="BH25" s="171">
        <f>$F25*(1+$H25)^ROUNDUP(IFERROR(DATEDIF($G25-1,BH$14+1,"m"),)/12,)*Index!BG$22</f>
        <v>0</v>
      </c>
      <c r="BI25" s="171">
        <f>$F25*(1+$H25)^ROUNDUP(IFERROR(DATEDIF($G25-1,BI$14+1,"m"),)/12,)*Index!BH$22</f>
        <v>0</v>
      </c>
      <c r="BJ25" s="171">
        <f>$F25*(1+$H25)^ROUNDUP(IFERROR(DATEDIF($G25-1,BJ$14+1,"m"),)/12,)*Index!BI$22</f>
        <v>0</v>
      </c>
      <c r="BK25" s="171">
        <f>$F25*(1+$H25)^ROUNDUP(IFERROR(DATEDIF($G25-1,BK$14+1,"m"),)/12,)*Index!BJ$22</f>
        <v>0</v>
      </c>
      <c r="BL25" s="171">
        <f>$F25*(1+$H25)^ROUNDUP(IFERROR(DATEDIF($G25-1,BL$14+1,"m"),)/12,)*Index!BK$22</f>
        <v>0</v>
      </c>
      <c r="BM25" s="171">
        <f>$F25*(1+$H25)^ROUNDUP(IFERROR(DATEDIF($G25-1,BM$14+1,"m"),)/12,)*Index!BL$22</f>
        <v>0</v>
      </c>
      <c r="BN25" s="171">
        <f>$F25*(1+$H25)^ROUNDUP(IFERROR(DATEDIF($G25-1,BN$14+1,"m"),)/12,)*Index!BM$22</f>
        <v>0</v>
      </c>
      <c r="BO25" s="171">
        <f>$F25*(1+$H25)^ROUNDUP(IFERROR(DATEDIF($G25-1,BO$14+1,"m"),)/12,)*Index!BN$22</f>
        <v>0</v>
      </c>
      <c r="BP25" s="171">
        <f>$F25*(1+$H25)^ROUNDUP(IFERROR(DATEDIF($G25-1,BP$14+1,"m"),)/12,)*Index!BO$22</f>
        <v>0</v>
      </c>
      <c r="BQ25" s="171">
        <f>$F25*(1+$H25)^ROUNDUP(IFERROR(DATEDIF($G25-1,BQ$14+1,"m"),)/12,)*Index!BP$22</f>
        <v>0</v>
      </c>
      <c r="BR25" s="171">
        <f>$F25*(1+$H25)^ROUNDUP(IFERROR(DATEDIF($G25-1,BR$14+1,"m"),)/12,)*Index!BQ$22</f>
        <v>0</v>
      </c>
      <c r="BS25" s="171">
        <f>$F25*(1+$H25)^ROUNDUP(IFERROR(DATEDIF($G25-1,BS$14+1,"m"),)/12,)*Index!BR$22</f>
        <v>0</v>
      </c>
      <c r="BT25" s="171">
        <f>$F25*(1+$H25)^ROUNDUP(IFERROR(DATEDIF($G25-1,BT$14+1,"m"),)/12,)*Index!BS$22</f>
        <v>0</v>
      </c>
      <c r="BU25" s="171">
        <f>$F25*(1+$H25)^ROUNDUP(IFERROR(DATEDIF($G25-1,BU$14+1,"m"),)/12,)*Index!BT$22</f>
        <v>0</v>
      </c>
      <c r="BV25" s="171">
        <f>$F25*(1+$H25)^ROUNDUP(IFERROR(DATEDIF($G25-1,BV$14+1,"m"),)/12,)*Index!BU$22</f>
        <v>0</v>
      </c>
      <c r="BW25" s="171">
        <f>$F25*(1+$H25)^ROUNDUP(IFERROR(DATEDIF($G25-1,BW$14+1,"m"),)/12,)*Index!BV$22</f>
        <v>0</v>
      </c>
      <c r="BX25" s="171">
        <f>$F25*(1+$H25)^ROUNDUP(IFERROR(DATEDIF($G25-1,BX$14+1,"m"),)/12,)*Index!BW$22</f>
        <v>0</v>
      </c>
      <c r="BY25" s="171">
        <f>$F25*(1+$H25)^ROUNDUP(IFERROR(DATEDIF($G25-1,BY$14+1,"m"),)/12,)*Index!BX$22</f>
        <v>0</v>
      </c>
      <c r="BZ25" s="171">
        <f>$F25*(1+$H25)^ROUNDUP(IFERROR(DATEDIF($G25-1,BZ$14+1,"m"),)/12,)*Index!BY$22</f>
        <v>0</v>
      </c>
      <c r="CA25" s="171">
        <f>$F25*(1+$H25)^ROUNDUP(IFERROR(DATEDIF($G25-1,CA$14+1,"m"),)/12,)*Index!BZ$22</f>
        <v>0</v>
      </c>
      <c r="CB25" s="171">
        <f>$F25*(1+$H25)^ROUNDUP(IFERROR(DATEDIF($G25-1,CB$14+1,"m"),)/12,)*Index!CA$22</f>
        <v>0</v>
      </c>
      <c r="CC25" s="171">
        <f>$F25*(1+$H25)^ROUNDUP(IFERROR(DATEDIF($G25-1,CC$14+1,"m"),)/12,)*Index!CB$22</f>
        <v>0</v>
      </c>
      <c r="CD25" s="171">
        <f>$F25*(1+$H25)^ROUNDUP(IFERROR(DATEDIF($G25-1,CD$14+1,"m"),)/12,)*Index!CC$22</f>
        <v>0</v>
      </c>
      <c r="CE25" s="171">
        <f>$F25*(1+$H25)^ROUNDUP(IFERROR(DATEDIF($G25-1,CE$14+1,"m"),)/12,)*Index!CD$22</f>
        <v>0</v>
      </c>
      <c r="CF25" s="171">
        <f>$F25*(1+$H25)^ROUNDUP(IFERROR(DATEDIF($G25-1,CF$14+1,"m"),)/12,)*Index!CE$22</f>
        <v>0</v>
      </c>
      <c r="CG25" s="171">
        <f>$F25*(1+$H25)^ROUNDUP(IFERROR(DATEDIF($G25-1,CG$14+1,"m"),)/12,)*Index!CF$22</f>
        <v>0</v>
      </c>
      <c r="CH25" s="171">
        <f>$F25*(1+$H25)^ROUNDUP(IFERROR(DATEDIF($G25-1,CH$14+1,"m"),)/12,)*Index!CG$22</f>
        <v>0</v>
      </c>
      <c r="CI25" s="171">
        <f>$F25*(1+$H25)^ROUNDUP(IFERROR(DATEDIF($G25-1,CI$14+1,"m"),)/12,)*Index!CH$22</f>
        <v>0</v>
      </c>
      <c r="CJ25" s="171">
        <f>$F25*(1+$H25)^ROUNDUP(IFERROR(DATEDIF($G25-1,CJ$14+1,"m"),)/12,)*Index!CI$22</f>
        <v>0</v>
      </c>
      <c r="CK25" s="171">
        <f>$F25*(1+$H25)^ROUNDUP(IFERROR(DATEDIF($G25-1,CK$14+1,"m"),)/12,)*Index!CJ$22</f>
        <v>0</v>
      </c>
      <c r="CL25" s="171">
        <f>$F25*(1+$H25)^ROUNDUP(IFERROR(DATEDIF($G25-1,CL$14+1,"m"),)/12,)*Index!CK$22</f>
        <v>0</v>
      </c>
      <c r="CM25" s="171">
        <f>$F25*(1+$H25)^ROUNDUP(IFERROR(DATEDIF($G25-1,CM$14+1,"m"),)/12,)*Index!CL$22</f>
        <v>0</v>
      </c>
      <c r="CN25" s="171">
        <f>$F25*(1+$H25)^ROUNDUP(IFERROR(DATEDIF($G25-1,CN$14+1,"m"),)/12,)*Index!CM$22</f>
        <v>0</v>
      </c>
      <c r="CO25" s="171">
        <f>$F25*(1+$H25)^ROUNDUP(IFERROR(DATEDIF($G25-1,CO$14+1,"m"),)/12,)*Index!CN$22</f>
        <v>0</v>
      </c>
      <c r="CP25" s="171">
        <f>$F25*(1+$H25)^ROUNDUP(IFERROR(DATEDIF($G25-1,CP$14+1,"m"),)/12,)*Index!CO$22</f>
        <v>0</v>
      </c>
      <c r="CQ25" s="171">
        <f>$F25*(1+$H25)^ROUNDUP(IFERROR(DATEDIF($G25-1,CQ$14+1,"m"),)/12,)*Index!CP$22</f>
        <v>0</v>
      </c>
      <c r="CR25" s="171">
        <f>$F25*(1+$H25)^ROUNDUP(IFERROR(DATEDIF($G25-1,CR$14+1,"m"),)/12,)*Index!CQ$22</f>
        <v>0</v>
      </c>
      <c r="CS25" s="171">
        <f>$F25*(1+$H25)^ROUNDUP(IFERROR(DATEDIF($G25-1,CS$14+1,"m"),)/12,)*Index!CR$22</f>
        <v>0</v>
      </c>
      <c r="CT25" s="171">
        <f>$F25*(1+$H25)^ROUNDUP(IFERROR(DATEDIF($G25-1,CT$14+1,"m"),)/12,)*Index!CS$22</f>
        <v>0</v>
      </c>
      <c r="CU25" s="171">
        <f>$F25*(1+$H25)^ROUNDUP(IFERROR(DATEDIF($G25-1,CU$14+1,"m"),)/12,)*Index!CT$22</f>
        <v>0</v>
      </c>
      <c r="CV25" s="171">
        <f>$F25*(1+$H25)^ROUNDUP(IFERROR(DATEDIF($G25-1,CV$14+1,"m"),)/12,)*Index!CU$22</f>
        <v>0</v>
      </c>
      <c r="CW25" s="171">
        <f>$F25*(1+$H25)^ROUNDUP(IFERROR(DATEDIF($G25-1,CW$14+1,"m"),)/12,)*Index!CV$22</f>
        <v>0</v>
      </c>
      <c r="CX25" s="171">
        <f>$F25*(1+$H25)^ROUNDUP(IFERROR(DATEDIF($G25-1,CX$14+1,"m"),)/12,)*Index!CW$22</f>
        <v>0</v>
      </c>
      <c r="CY25" s="171">
        <f>$F25*(1+$H25)^ROUNDUP(IFERROR(DATEDIF($G25-1,CY$14+1,"m"),)/12,)*Index!CX$22</f>
        <v>0</v>
      </c>
      <c r="CZ25" s="171">
        <f>$F25*(1+$H25)^ROUNDUP(IFERROR(DATEDIF($G25-1,CZ$14+1,"m"),)/12,)*Index!CY$22</f>
        <v>0</v>
      </c>
      <c r="DA25" s="171">
        <f>$F25*(1+$H25)^ROUNDUP(IFERROR(DATEDIF($G25-1,DA$14+1,"m"),)/12,)*Index!CZ$22</f>
        <v>0</v>
      </c>
      <c r="DB25" s="171">
        <f>$F25*(1+$H25)^ROUNDUP(IFERROR(DATEDIF($G25-1,DB$14+1,"m"),)/12,)*Index!DA$22</f>
        <v>0</v>
      </c>
      <c r="DC25" s="171">
        <f>$F25*(1+$H25)^ROUNDUP(IFERROR(DATEDIF($G25-1,DC$14+1,"m"),)/12,)*Index!DB$22</f>
        <v>0</v>
      </c>
      <c r="DD25" s="171">
        <f>$F25*(1+$H25)^ROUNDUP(IFERROR(DATEDIF($G25-1,DD$14+1,"m"),)/12,)*Index!DC$22</f>
        <v>0</v>
      </c>
      <c r="DE25" s="171">
        <f>$F25*(1+$H25)^ROUNDUP(IFERROR(DATEDIF($G25-1,DE$14+1,"m"),)/12,)*Index!DD$22</f>
        <v>0</v>
      </c>
      <c r="DF25" s="171">
        <f>$F25*(1+$H25)^ROUNDUP(IFERROR(DATEDIF($G25-1,DF$14+1,"m"),)/12,)*Index!DE$22</f>
        <v>0</v>
      </c>
      <c r="DG25" s="171">
        <f>$F25*(1+$H25)^ROUNDUP(IFERROR(DATEDIF($G25-1,DG$14+1,"m"),)/12,)*Index!DF$22</f>
        <v>0</v>
      </c>
      <c r="DH25" s="171">
        <f>$F25*(1+$H25)^ROUNDUP(IFERROR(DATEDIF($G25-1,DH$14+1,"m"),)/12,)*Index!DG$22</f>
        <v>0</v>
      </c>
      <c r="DI25" s="171">
        <f>$F25*(1+$H25)^ROUNDUP(IFERROR(DATEDIF($G25-1,DI$14+1,"m"),)/12,)*Index!DH$22</f>
        <v>0</v>
      </c>
      <c r="DJ25" s="171">
        <f>$F25*(1+$H25)^ROUNDUP(IFERROR(DATEDIF($G25-1,DJ$14+1,"m"),)/12,)*Index!DI$22</f>
        <v>0</v>
      </c>
      <c r="DK25" s="171">
        <f>$F25*(1+$H25)^ROUNDUP(IFERROR(DATEDIF($G25-1,DK$14+1,"m"),)/12,)*Index!DJ$22</f>
        <v>0</v>
      </c>
      <c r="DL25" s="171">
        <f>$F25*(1+$H25)^ROUNDUP(IFERROR(DATEDIF($G25-1,DL$14+1,"m"),)/12,)*Index!DK$22</f>
        <v>0</v>
      </c>
      <c r="DM25" s="171">
        <f>$F25*(1+$H25)^ROUNDUP(IFERROR(DATEDIF($G25-1,DM$14+1,"m"),)/12,)*Index!DL$22</f>
        <v>0</v>
      </c>
      <c r="DN25" s="171">
        <f>$F25*(1+$H25)^ROUNDUP(IFERROR(DATEDIF($G25-1,DN$14+1,"m"),)/12,)*Index!DM$22</f>
        <v>0</v>
      </c>
      <c r="DO25" s="171">
        <f>$F25*(1+$H25)^ROUNDUP(IFERROR(DATEDIF($G25-1,DO$14+1,"m"),)/12,)*Index!DN$22</f>
        <v>0</v>
      </c>
      <c r="DP25" s="171">
        <f>$F25*(1+$H25)^ROUNDUP(IFERROR(DATEDIF($G25-1,DP$14+1,"m"),)/12,)*Index!DO$22</f>
        <v>0</v>
      </c>
      <c r="DQ25" s="171">
        <f>$F25*(1+$H25)^ROUNDUP(IFERROR(DATEDIF($G25-1,DQ$14+1,"m"),)/12,)*Index!DP$22</f>
        <v>0</v>
      </c>
      <c r="DR25" s="171">
        <f>$F25*(1+$H25)^ROUNDUP(IFERROR(DATEDIF($G25-1,DR$14+1,"m"),)/12,)*Index!DQ$22</f>
        <v>0</v>
      </c>
      <c r="DS25" s="171">
        <f>$F25*(1+$H25)^ROUNDUP(IFERROR(DATEDIF($G25-1,DS$14+1,"m"),)/12,)*Index!DR$22</f>
        <v>0</v>
      </c>
      <c r="DT25" s="171">
        <f>$F25*(1+$H25)^ROUNDUP(IFERROR(DATEDIF($G25-1,DT$14+1,"m"),)/12,)*Index!DS$22</f>
        <v>0</v>
      </c>
      <c r="DU25" s="171">
        <f>$F25*(1+$H25)^ROUNDUP(IFERROR(DATEDIF($G25-1,DU$14+1,"m"),)/12,)*Index!DT$22</f>
        <v>0</v>
      </c>
      <c r="DV25" s="171">
        <f>$F25*(1+$H25)^ROUNDUP(IFERROR(DATEDIF($G25-1,DV$14+1,"m"),)/12,)*Index!DU$22</f>
        <v>0</v>
      </c>
      <c r="DW25" s="171">
        <f>$F25*(1+$H25)^ROUNDUP(IFERROR(DATEDIF($G25-1,DW$14+1,"m"),)/12,)*Index!DV$22</f>
        <v>0</v>
      </c>
      <c r="DX25" s="171">
        <f>$F25*(1+$H25)^ROUNDUP(IFERROR(DATEDIF($G25-1,DX$14+1,"m"),)/12,)*Index!DW$22</f>
        <v>0</v>
      </c>
      <c r="DY25" s="171">
        <f>$F25*(1+$H25)^ROUNDUP(IFERROR(DATEDIF($G25-1,DY$14+1,"m"),)/12,)*Index!DX$22</f>
        <v>0</v>
      </c>
      <c r="DZ25" s="171">
        <f>$F25*(1+$H25)^ROUNDUP(IFERROR(DATEDIF($G25-1,DZ$14+1,"m"),)/12,)*Index!DY$22</f>
        <v>0</v>
      </c>
      <c r="EA25" s="171">
        <f>$F25*(1+$H25)^ROUNDUP(IFERROR(DATEDIF($G25-1,EA$14+1,"m"),)/12,)*Index!DZ$22</f>
        <v>0</v>
      </c>
      <c r="EB25" s="171">
        <f>$F25*(1+$H25)^ROUNDUP(IFERROR(DATEDIF($G25-1,EB$14+1,"m"),)/12,)*Index!EA$22</f>
        <v>0</v>
      </c>
      <c r="EC25" s="171">
        <f>$F25*(1+$H25)^ROUNDUP(IFERROR(DATEDIF($G25-1,EC$14+1,"m"),)/12,)*Index!EB$22</f>
        <v>0</v>
      </c>
      <c r="ED25" s="171">
        <f>$F25*(1+$H25)^ROUNDUP(IFERROR(DATEDIF($G25-1,ED$14+1,"m"),)/12,)*Index!EC$22</f>
        <v>0</v>
      </c>
      <c r="EE25" s="171">
        <f>$F25*(1+$H25)^ROUNDUP(IFERROR(DATEDIF($G25-1,EE$14+1,"m"),)/12,)*Index!ED$22</f>
        <v>0</v>
      </c>
      <c r="EF25" s="171">
        <f>$F25*(1+$H25)^ROUNDUP(IFERROR(DATEDIF($G25-1,EF$14+1,"m"),)/12,)*Index!EE$22</f>
        <v>0</v>
      </c>
      <c r="EG25" s="171">
        <f>$F25*(1+$H25)^ROUNDUP(IFERROR(DATEDIF($G25-1,EG$14+1,"m"),)/12,)*Index!EF$22</f>
        <v>0</v>
      </c>
      <c r="EH25" s="171">
        <f>$F25*(1+$H25)^ROUNDUP(IFERROR(DATEDIF($G25-1,EH$14+1,"m"),)/12,)*Index!EG$22</f>
        <v>0</v>
      </c>
      <c r="EI25" s="171">
        <f>$F25*(1+$H25)^ROUNDUP(IFERROR(DATEDIF($G25-1,EI$14+1,"m"),)/12,)*Index!EH$22</f>
        <v>0</v>
      </c>
      <c r="EJ25" s="171">
        <f>$F25*(1+$H25)^ROUNDUP(IFERROR(DATEDIF($G25-1,EJ$14+1,"m"),)/12,)*Index!EI$22</f>
        <v>0</v>
      </c>
      <c r="EK25" s="171">
        <f>$F25*(1+$H25)^ROUNDUP(IFERROR(DATEDIF($G25-1,EK$14+1,"m"),)/12,)*Index!EJ$22</f>
        <v>0</v>
      </c>
      <c r="EL25" s="171">
        <f>$F25*(1+$H25)^ROUNDUP(IFERROR(DATEDIF($G25-1,EL$14+1,"m"),)/12,)*Index!EK$22</f>
        <v>0</v>
      </c>
      <c r="EM25" s="171">
        <f>$F25*(1+$H25)^ROUNDUP(IFERROR(DATEDIF($G25-1,EM$14+1,"m"),)/12,)*Index!EL$22</f>
        <v>0</v>
      </c>
      <c r="EN25" s="171">
        <f>$F25*(1+$H25)^ROUNDUP(IFERROR(DATEDIF($G25-1,EN$14+1,"m"),)/12,)*Index!EM$22</f>
        <v>0</v>
      </c>
      <c r="EO25" s="171">
        <f>$F25*(1+$H25)^ROUNDUP(IFERROR(DATEDIF($G25-1,EO$14+1,"m"),)/12,)*Index!EN$22</f>
        <v>0</v>
      </c>
      <c r="EP25" s="171">
        <f>$F25*(1+$H25)^ROUNDUP(IFERROR(DATEDIF($G25-1,EP$14+1,"m"),)/12,)*Index!EO$22</f>
        <v>0</v>
      </c>
      <c r="EQ25" s="171">
        <f>$F25*(1+$H25)^ROUNDUP(IFERROR(DATEDIF($G25-1,EQ$14+1,"m"),)/12,)*Index!EP$22</f>
        <v>0</v>
      </c>
      <c r="ER25" s="171">
        <f>$F25*(1+$H25)^ROUNDUP(IFERROR(DATEDIF($G25-1,ER$14+1,"m"),)/12,)*Index!EQ$22</f>
        <v>0</v>
      </c>
    </row>
    <row r="26" spans="3:148" ht="11.25" customHeight="1">
      <c r="C26" s="163"/>
      <c r="D26" s="169" t="s">
        <v>83</v>
      </c>
      <c r="E26" s="90"/>
      <c r="F26" s="805">
        <f>'A&amp;R'!O72</f>
        <v>61857.058333333342</v>
      </c>
      <c r="G26" s="806">
        <f>'A&amp;R'!R72</f>
        <v>46691</v>
      </c>
      <c r="H26" s="807">
        <f>'A&amp;R'!Q72</f>
        <v>-0.02</v>
      </c>
      <c r="I26" s="65"/>
      <c r="J26" s="90"/>
      <c r="K26" s="171">
        <f t="shared" si="12"/>
        <v>6789202.8330659764</v>
      </c>
      <c r="L26" s="98"/>
      <c r="M26" s="171">
        <f>$F26*(1+$H26)^ROUNDUP(IFERROR(DATEDIF($G26-1,M$14+1,"m"),)/12,)*Index!L$22</f>
        <v>0</v>
      </c>
      <c r="N26" s="171">
        <f>$F26*(1+$H26)^ROUNDUP(IFERROR(DATEDIF($G26-1,N$14+1,"m"),)/12,)*Index!M$22</f>
        <v>61857.058333333342</v>
      </c>
      <c r="O26" s="171">
        <f>$F26*(1+$H26)^ROUNDUP(IFERROR(DATEDIF($G26-1,O$14+1,"m"),)/12,)*Index!N$22</f>
        <v>61857.058333333342</v>
      </c>
      <c r="P26" s="171">
        <f>$F26*(1+$H26)^ROUNDUP(IFERROR(DATEDIF($G26-1,P$14+1,"m"),)/12,)*Index!O$22</f>
        <v>61857.058333333342</v>
      </c>
      <c r="Q26" s="171">
        <f>$F26*(1+$H26)^ROUNDUP(IFERROR(DATEDIF($G26-1,Q$14+1,"m"),)/12,)*Index!P$22</f>
        <v>61857.058333333342</v>
      </c>
      <c r="R26" s="171">
        <f>$F26*(1+$H26)^ROUNDUP(IFERROR(DATEDIF($G26-1,R$14+1,"m"),)/12,)*Index!Q$22</f>
        <v>61857.058333333342</v>
      </c>
      <c r="S26" s="171">
        <f>$F26*(1+$H26)^ROUNDUP(IFERROR(DATEDIF($G26-1,S$14+1,"m"),)/12,)*Index!R$22</f>
        <v>61857.058333333342</v>
      </c>
      <c r="T26" s="171">
        <f>$F26*(1+$H26)^ROUNDUP(IFERROR(DATEDIF($G26-1,T$14+1,"m"),)/12,)*Index!S$22</f>
        <v>61857.058333333342</v>
      </c>
      <c r="U26" s="171">
        <f>$F26*(1+$H26)^ROUNDUP(IFERROR(DATEDIF($G26-1,U$14+1,"m"),)/12,)*Index!T$22</f>
        <v>61857.058333333342</v>
      </c>
      <c r="V26" s="171">
        <f>$F26*(1+$H26)^ROUNDUP(IFERROR(DATEDIF($G26-1,V$14+1,"m"),)/12,)*Index!U$22</f>
        <v>61857.058333333342</v>
      </c>
      <c r="W26" s="171">
        <f>$F26*(1+$H26)^ROUNDUP(IFERROR(DATEDIF($G26-1,W$14+1,"m"),)/12,)*Index!V$22</f>
        <v>61857.058333333342</v>
      </c>
      <c r="X26" s="171">
        <f>$F26*(1+$H26)^ROUNDUP(IFERROR(DATEDIF($G26-1,X$14+1,"m"),)/12,)*Index!W$22</f>
        <v>61857.058333333342</v>
      </c>
      <c r="Y26" s="171">
        <f>$F26*(1+$H26)^ROUNDUP(IFERROR(DATEDIF($G26-1,Y$14+1,"m"),)/12,)*Index!X$22</f>
        <v>61857.058333333342</v>
      </c>
      <c r="Z26" s="171">
        <f>$F26*(1+$H26)^ROUNDUP(IFERROR(DATEDIF($G26-1,Z$14+1,"m"),)/12,)*Index!Y$22</f>
        <v>60619.917166666673</v>
      </c>
      <c r="AA26" s="171">
        <f>$F26*(1+$H26)^ROUNDUP(IFERROR(DATEDIF($G26-1,AA$14+1,"m"),)/12,)*Index!Z$22</f>
        <v>60619.917166666673</v>
      </c>
      <c r="AB26" s="171">
        <f>$F26*(1+$H26)^ROUNDUP(IFERROR(DATEDIF($G26-1,AB$14+1,"m"),)/12,)*Index!AA$22</f>
        <v>60619.917166666673</v>
      </c>
      <c r="AC26" s="171">
        <f>$F26*(1+$H26)^ROUNDUP(IFERROR(DATEDIF($G26-1,AC$14+1,"m"),)/12,)*Index!AB$22</f>
        <v>60619.917166666673</v>
      </c>
      <c r="AD26" s="171">
        <f>$F26*(1+$H26)^ROUNDUP(IFERROR(DATEDIF($G26-1,AD$14+1,"m"),)/12,)*Index!AC$22</f>
        <v>60619.917166666673</v>
      </c>
      <c r="AE26" s="171">
        <f>$F26*(1+$H26)^ROUNDUP(IFERROR(DATEDIF($G26-1,AE$14+1,"m"),)/12,)*Index!AD$22</f>
        <v>60619.917166666673</v>
      </c>
      <c r="AF26" s="171">
        <f>$F26*(1+$H26)^ROUNDUP(IFERROR(DATEDIF($G26-1,AF$14+1,"m"),)/12,)*Index!AE$22</f>
        <v>60619.917166666673</v>
      </c>
      <c r="AG26" s="171">
        <f>$F26*(1+$H26)^ROUNDUP(IFERROR(DATEDIF($G26-1,AG$14+1,"m"),)/12,)*Index!AF$22</f>
        <v>60619.917166666673</v>
      </c>
      <c r="AH26" s="171">
        <f>$F26*(1+$H26)^ROUNDUP(IFERROR(DATEDIF($G26-1,AH$14+1,"m"),)/12,)*Index!AG$22</f>
        <v>60619.917166666673</v>
      </c>
      <c r="AI26" s="171">
        <f>$F26*(1+$H26)^ROUNDUP(IFERROR(DATEDIF($G26-1,AI$14+1,"m"),)/12,)*Index!AH$22</f>
        <v>60619.917166666673</v>
      </c>
      <c r="AJ26" s="171">
        <f>$F26*(1+$H26)^ROUNDUP(IFERROR(DATEDIF($G26-1,AJ$14+1,"m"),)/12,)*Index!AI$22</f>
        <v>60619.917166666673</v>
      </c>
      <c r="AK26" s="171">
        <f>$F26*(1+$H26)^ROUNDUP(IFERROR(DATEDIF($G26-1,AK$14+1,"m"),)/12,)*Index!AJ$22</f>
        <v>60619.917166666673</v>
      </c>
      <c r="AL26" s="171">
        <f>$F26*(1+$H26)^ROUNDUP(IFERROR(DATEDIF($G26-1,AL$14+1,"m"),)/12,)*Index!AK$22</f>
        <v>59407.518823333339</v>
      </c>
      <c r="AM26" s="171">
        <f>$F26*(1+$H26)^ROUNDUP(IFERROR(DATEDIF($G26-1,AM$14+1,"m"),)/12,)*Index!AL$22</f>
        <v>59407.518823333339</v>
      </c>
      <c r="AN26" s="171">
        <f>$F26*(1+$H26)^ROUNDUP(IFERROR(DATEDIF($G26-1,AN$14+1,"m"),)/12,)*Index!AM$22</f>
        <v>59407.518823333339</v>
      </c>
      <c r="AO26" s="171">
        <f>$F26*(1+$H26)^ROUNDUP(IFERROR(DATEDIF($G26-1,AO$14+1,"m"),)/12,)*Index!AN$22</f>
        <v>59407.518823333339</v>
      </c>
      <c r="AP26" s="171">
        <f>$F26*(1+$H26)^ROUNDUP(IFERROR(DATEDIF($G26-1,AP$14+1,"m"),)/12,)*Index!AO$22</f>
        <v>59407.518823333339</v>
      </c>
      <c r="AQ26" s="171">
        <f>$F26*(1+$H26)^ROUNDUP(IFERROR(DATEDIF($G26-1,AQ$14+1,"m"),)/12,)*Index!AP$22</f>
        <v>59407.518823333339</v>
      </c>
      <c r="AR26" s="171">
        <f>$F26*(1+$H26)^ROUNDUP(IFERROR(DATEDIF($G26-1,AR$14+1,"m"),)/12,)*Index!AQ$22</f>
        <v>59407.518823333339</v>
      </c>
      <c r="AS26" s="171">
        <f>$F26*(1+$H26)^ROUNDUP(IFERROR(DATEDIF($G26-1,AS$14+1,"m"),)/12,)*Index!AR$22</f>
        <v>59407.518823333339</v>
      </c>
      <c r="AT26" s="171">
        <f>$F26*(1+$H26)^ROUNDUP(IFERROR(DATEDIF($G26-1,AT$14+1,"m"),)/12,)*Index!AS$22</f>
        <v>59407.518823333339</v>
      </c>
      <c r="AU26" s="171">
        <f>$F26*(1+$H26)^ROUNDUP(IFERROR(DATEDIF($G26-1,AU$14+1,"m"),)/12,)*Index!AT$22</f>
        <v>59407.518823333339</v>
      </c>
      <c r="AV26" s="171">
        <f>$F26*(1+$H26)^ROUNDUP(IFERROR(DATEDIF($G26-1,AV$14+1,"m"),)/12,)*Index!AU$22</f>
        <v>59407.518823333339</v>
      </c>
      <c r="AW26" s="171">
        <f>$F26*(1+$H26)^ROUNDUP(IFERROR(DATEDIF($G26-1,AW$14+1,"m"),)/12,)*Index!AV$22</f>
        <v>59407.518823333339</v>
      </c>
      <c r="AX26" s="171">
        <f>$F26*(1+$H26)^ROUNDUP(IFERROR(DATEDIF($G26-1,AX$14+1,"m"),)/12,)*Index!AW$22</f>
        <v>58219.368446866669</v>
      </c>
      <c r="AY26" s="171">
        <f>$F26*(1+$H26)^ROUNDUP(IFERROR(DATEDIF($G26-1,AY$14+1,"m"),)/12,)*Index!AX$22</f>
        <v>58219.368446866669</v>
      </c>
      <c r="AZ26" s="171">
        <f>$F26*(1+$H26)^ROUNDUP(IFERROR(DATEDIF($G26-1,AZ$14+1,"m"),)/12,)*Index!AY$22</f>
        <v>58219.368446866669</v>
      </c>
      <c r="BA26" s="171">
        <f>$F26*(1+$H26)^ROUNDUP(IFERROR(DATEDIF($G26-1,BA$14+1,"m"),)/12,)*Index!AZ$22</f>
        <v>58219.368446866669</v>
      </c>
      <c r="BB26" s="171">
        <f>$F26*(1+$H26)^ROUNDUP(IFERROR(DATEDIF($G26-1,BB$14+1,"m"),)/12,)*Index!BA$22</f>
        <v>58219.368446866669</v>
      </c>
      <c r="BC26" s="171">
        <f>$F26*(1+$H26)^ROUNDUP(IFERROR(DATEDIF($G26-1,BC$14+1,"m"),)/12,)*Index!BB$22</f>
        <v>58219.368446866669</v>
      </c>
      <c r="BD26" s="171">
        <f>$F26*(1+$H26)^ROUNDUP(IFERROR(DATEDIF($G26-1,BD$14+1,"m"),)/12,)*Index!BC$22</f>
        <v>58219.368446866669</v>
      </c>
      <c r="BE26" s="171">
        <f>$F26*(1+$H26)^ROUNDUP(IFERROR(DATEDIF($G26-1,BE$14+1,"m"),)/12,)*Index!BD$22</f>
        <v>58219.368446866669</v>
      </c>
      <c r="BF26" s="171">
        <f>$F26*(1+$H26)^ROUNDUP(IFERROR(DATEDIF($G26-1,BF$14+1,"m"),)/12,)*Index!BE$22</f>
        <v>58219.368446866669</v>
      </c>
      <c r="BG26" s="171">
        <f>$F26*(1+$H26)^ROUNDUP(IFERROR(DATEDIF($G26-1,BG$14+1,"m"),)/12,)*Index!BF$22</f>
        <v>58219.368446866669</v>
      </c>
      <c r="BH26" s="171">
        <f>$F26*(1+$H26)^ROUNDUP(IFERROR(DATEDIF($G26-1,BH$14+1,"m"),)/12,)*Index!BG$22</f>
        <v>58219.368446866669</v>
      </c>
      <c r="BI26" s="171">
        <f>$F26*(1+$H26)^ROUNDUP(IFERROR(DATEDIF($G26-1,BI$14+1,"m"),)/12,)*Index!BH$22</f>
        <v>58219.368446866669</v>
      </c>
      <c r="BJ26" s="171">
        <f>$F26*(1+$H26)^ROUNDUP(IFERROR(DATEDIF($G26-1,BJ$14+1,"m"),)/12,)*Index!BI$22</f>
        <v>57054.981077929333</v>
      </c>
      <c r="BK26" s="171">
        <f>$F26*(1+$H26)^ROUNDUP(IFERROR(DATEDIF($G26-1,BK$14+1,"m"),)/12,)*Index!BJ$22</f>
        <v>57054.981077929333</v>
      </c>
      <c r="BL26" s="171">
        <f>$F26*(1+$H26)^ROUNDUP(IFERROR(DATEDIF($G26-1,BL$14+1,"m"),)/12,)*Index!BK$22</f>
        <v>57054.981077929333</v>
      </c>
      <c r="BM26" s="171">
        <f>$F26*(1+$H26)^ROUNDUP(IFERROR(DATEDIF($G26-1,BM$14+1,"m"),)/12,)*Index!BL$22</f>
        <v>57054.981077929333</v>
      </c>
      <c r="BN26" s="171">
        <f>$F26*(1+$H26)^ROUNDUP(IFERROR(DATEDIF($G26-1,BN$14+1,"m"),)/12,)*Index!BM$22</f>
        <v>57054.981077929333</v>
      </c>
      <c r="BO26" s="171">
        <f>$F26*(1+$H26)^ROUNDUP(IFERROR(DATEDIF($G26-1,BO$14+1,"m"),)/12,)*Index!BN$22</f>
        <v>57054.981077929333</v>
      </c>
      <c r="BP26" s="171">
        <f>$F26*(1+$H26)^ROUNDUP(IFERROR(DATEDIF($G26-1,BP$14+1,"m"),)/12,)*Index!BO$22</f>
        <v>57054.981077929333</v>
      </c>
      <c r="BQ26" s="171">
        <f>$F26*(1+$H26)^ROUNDUP(IFERROR(DATEDIF($G26-1,BQ$14+1,"m"),)/12,)*Index!BP$22</f>
        <v>57054.981077929333</v>
      </c>
      <c r="BR26" s="171">
        <f>$F26*(1+$H26)^ROUNDUP(IFERROR(DATEDIF($G26-1,BR$14+1,"m"),)/12,)*Index!BQ$22</f>
        <v>57054.981077929333</v>
      </c>
      <c r="BS26" s="171">
        <f>$F26*(1+$H26)^ROUNDUP(IFERROR(DATEDIF($G26-1,BS$14+1,"m"),)/12,)*Index!BR$22</f>
        <v>57054.981077929333</v>
      </c>
      <c r="BT26" s="171">
        <f>$F26*(1+$H26)^ROUNDUP(IFERROR(DATEDIF($G26-1,BT$14+1,"m"),)/12,)*Index!BS$22</f>
        <v>57054.981077929333</v>
      </c>
      <c r="BU26" s="171">
        <f>$F26*(1+$H26)^ROUNDUP(IFERROR(DATEDIF($G26-1,BU$14+1,"m"),)/12,)*Index!BT$22</f>
        <v>57054.981077929333</v>
      </c>
      <c r="BV26" s="171">
        <f>$F26*(1+$H26)^ROUNDUP(IFERROR(DATEDIF($G26-1,BV$14+1,"m"),)/12,)*Index!BU$22</f>
        <v>55913.881456370742</v>
      </c>
      <c r="BW26" s="171">
        <f>$F26*(1+$H26)^ROUNDUP(IFERROR(DATEDIF($G26-1,BW$14+1,"m"),)/12,)*Index!BV$22</f>
        <v>55913.881456370742</v>
      </c>
      <c r="BX26" s="171">
        <f>$F26*(1+$H26)^ROUNDUP(IFERROR(DATEDIF($G26-1,BX$14+1,"m"),)/12,)*Index!BW$22</f>
        <v>55913.881456370742</v>
      </c>
      <c r="BY26" s="171">
        <f>$F26*(1+$H26)^ROUNDUP(IFERROR(DATEDIF($G26-1,BY$14+1,"m"),)/12,)*Index!BX$22</f>
        <v>55913.881456370742</v>
      </c>
      <c r="BZ26" s="171">
        <f>$F26*(1+$H26)^ROUNDUP(IFERROR(DATEDIF($G26-1,BZ$14+1,"m"),)/12,)*Index!BY$22</f>
        <v>55913.881456370742</v>
      </c>
      <c r="CA26" s="171">
        <f>$F26*(1+$H26)^ROUNDUP(IFERROR(DATEDIF($G26-1,CA$14+1,"m"),)/12,)*Index!BZ$22</f>
        <v>55913.881456370742</v>
      </c>
      <c r="CB26" s="171">
        <f>$F26*(1+$H26)^ROUNDUP(IFERROR(DATEDIF($G26-1,CB$14+1,"m"),)/12,)*Index!CA$22</f>
        <v>55913.881456370742</v>
      </c>
      <c r="CC26" s="171">
        <f>$F26*(1+$H26)^ROUNDUP(IFERROR(DATEDIF($G26-1,CC$14+1,"m"),)/12,)*Index!CB$22</f>
        <v>55913.881456370742</v>
      </c>
      <c r="CD26" s="171">
        <f>$F26*(1+$H26)^ROUNDUP(IFERROR(DATEDIF($G26-1,CD$14+1,"m"),)/12,)*Index!CC$22</f>
        <v>55913.881456370742</v>
      </c>
      <c r="CE26" s="171">
        <f>$F26*(1+$H26)^ROUNDUP(IFERROR(DATEDIF($G26-1,CE$14+1,"m"),)/12,)*Index!CD$22</f>
        <v>55913.881456370742</v>
      </c>
      <c r="CF26" s="171">
        <f>$F26*(1+$H26)^ROUNDUP(IFERROR(DATEDIF($G26-1,CF$14+1,"m"),)/12,)*Index!CE$22</f>
        <v>55913.881456370742</v>
      </c>
      <c r="CG26" s="171">
        <f>$F26*(1+$H26)^ROUNDUP(IFERROR(DATEDIF($G26-1,CG$14+1,"m"),)/12,)*Index!CF$22</f>
        <v>55913.881456370742</v>
      </c>
      <c r="CH26" s="171">
        <f>$F26*(1+$H26)^ROUNDUP(IFERROR(DATEDIF($G26-1,CH$14+1,"m"),)/12,)*Index!CG$22</f>
        <v>54795.603827243329</v>
      </c>
      <c r="CI26" s="171">
        <f>$F26*(1+$H26)^ROUNDUP(IFERROR(DATEDIF($G26-1,CI$14+1,"m"),)/12,)*Index!CH$22</f>
        <v>54795.603827243329</v>
      </c>
      <c r="CJ26" s="171">
        <f>$F26*(1+$H26)^ROUNDUP(IFERROR(DATEDIF($G26-1,CJ$14+1,"m"),)/12,)*Index!CI$22</f>
        <v>54795.603827243329</v>
      </c>
      <c r="CK26" s="171">
        <f>$F26*(1+$H26)^ROUNDUP(IFERROR(DATEDIF($G26-1,CK$14+1,"m"),)/12,)*Index!CJ$22</f>
        <v>54795.603827243329</v>
      </c>
      <c r="CL26" s="171">
        <f>$F26*(1+$H26)^ROUNDUP(IFERROR(DATEDIF($G26-1,CL$14+1,"m"),)/12,)*Index!CK$22</f>
        <v>54795.603827243329</v>
      </c>
      <c r="CM26" s="171">
        <f>$F26*(1+$H26)^ROUNDUP(IFERROR(DATEDIF($G26-1,CM$14+1,"m"),)/12,)*Index!CL$22</f>
        <v>54795.603827243329</v>
      </c>
      <c r="CN26" s="171">
        <f>$F26*(1+$H26)^ROUNDUP(IFERROR(DATEDIF($G26-1,CN$14+1,"m"),)/12,)*Index!CM$22</f>
        <v>54795.603827243329</v>
      </c>
      <c r="CO26" s="171">
        <f>$F26*(1+$H26)^ROUNDUP(IFERROR(DATEDIF($G26-1,CO$14+1,"m"),)/12,)*Index!CN$22</f>
        <v>54795.603827243329</v>
      </c>
      <c r="CP26" s="171">
        <f>$F26*(1+$H26)^ROUNDUP(IFERROR(DATEDIF($G26-1,CP$14+1,"m"),)/12,)*Index!CO$22</f>
        <v>54795.603827243329</v>
      </c>
      <c r="CQ26" s="171">
        <f>$F26*(1+$H26)^ROUNDUP(IFERROR(DATEDIF($G26-1,CQ$14+1,"m"),)/12,)*Index!CP$22</f>
        <v>54795.603827243329</v>
      </c>
      <c r="CR26" s="171">
        <f>$F26*(1+$H26)^ROUNDUP(IFERROR(DATEDIF($G26-1,CR$14+1,"m"),)/12,)*Index!CQ$22</f>
        <v>54795.603827243329</v>
      </c>
      <c r="CS26" s="171">
        <f>$F26*(1+$H26)^ROUNDUP(IFERROR(DATEDIF($G26-1,CS$14+1,"m"),)/12,)*Index!CR$22</f>
        <v>54795.603827243329</v>
      </c>
      <c r="CT26" s="171">
        <f>$F26*(1+$H26)^ROUNDUP(IFERROR(DATEDIF($G26-1,CT$14+1,"m"),)/12,)*Index!CS$22</f>
        <v>53699.691750698461</v>
      </c>
      <c r="CU26" s="171">
        <f>$F26*(1+$H26)^ROUNDUP(IFERROR(DATEDIF($G26-1,CU$14+1,"m"),)/12,)*Index!CT$22</f>
        <v>53699.691750698461</v>
      </c>
      <c r="CV26" s="171">
        <f>$F26*(1+$H26)^ROUNDUP(IFERROR(DATEDIF($G26-1,CV$14+1,"m"),)/12,)*Index!CU$22</f>
        <v>53699.691750698461</v>
      </c>
      <c r="CW26" s="171">
        <f>$F26*(1+$H26)^ROUNDUP(IFERROR(DATEDIF($G26-1,CW$14+1,"m"),)/12,)*Index!CV$22</f>
        <v>53699.691750698461</v>
      </c>
      <c r="CX26" s="171">
        <f>$F26*(1+$H26)^ROUNDUP(IFERROR(DATEDIF($G26-1,CX$14+1,"m"),)/12,)*Index!CW$22</f>
        <v>53699.691750698461</v>
      </c>
      <c r="CY26" s="171">
        <f>$F26*(1+$H26)^ROUNDUP(IFERROR(DATEDIF($G26-1,CY$14+1,"m"),)/12,)*Index!CX$22</f>
        <v>53699.691750698461</v>
      </c>
      <c r="CZ26" s="171">
        <f>$F26*(1+$H26)^ROUNDUP(IFERROR(DATEDIF($G26-1,CZ$14+1,"m"),)/12,)*Index!CY$22</f>
        <v>53699.691750698461</v>
      </c>
      <c r="DA26" s="171">
        <f>$F26*(1+$H26)^ROUNDUP(IFERROR(DATEDIF($G26-1,DA$14+1,"m"),)/12,)*Index!CZ$22</f>
        <v>53699.691750698461</v>
      </c>
      <c r="DB26" s="171">
        <f>$F26*(1+$H26)^ROUNDUP(IFERROR(DATEDIF($G26-1,DB$14+1,"m"),)/12,)*Index!DA$22</f>
        <v>53699.691750698461</v>
      </c>
      <c r="DC26" s="171">
        <f>$F26*(1+$H26)^ROUNDUP(IFERROR(DATEDIF($G26-1,DC$14+1,"m"),)/12,)*Index!DB$22</f>
        <v>53699.691750698461</v>
      </c>
      <c r="DD26" s="171">
        <f>$F26*(1+$H26)^ROUNDUP(IFERROR(DATEDIF($G26-1,DD$14+1,"m"),)/12,)*Index!DC$22</f>
        <v>53699.691750698461</v>
      </c>
      <c r="DE26" s="171">
        <f>$F26*(1+$H26)^ROUNDUP(IFERROR(DATEDIF($G26-1,DE$14+1,"m"),)/12,)*Index!DD$22</f>
        <v>53699.691750698461</v>
      </c>
      <c r="DF26" s="171">
        <f>$F26*(1+$H26)^ROUNDUP(IFERROR(DATEDIF($G26-1,DF$14+1,"m"),)/12,)*Index!DE$22</f>
        <v>52625.69791568449</v>
      </c>
      <c r="DG26" s="171">
        <f>$F26*(1+$H26)^ROUNDUP(IFERROR(DATEDIF($G26-1,DG$14+1,"m"),)/12,)*Index!DF$22</f>
        <v>52625.69791568449</v>
      </c>
      <c r="DH26" s="171">
        <f>$F26*(1+$H26)^ROUNDUP(IFERROR(DATEDIF($G26-1,DH$14+1,"m"),)/12,)*Index!DG$22</f>
        <v>52625.69791568449</v>
      </c>
      <c r="DI26" s="171">
        <f>$F26*(1+$H26)^ROUNDUP(IFERROR(DATEDIF($G26-1,DI$14+1,"m"),)/12,)*Index!DH$22</f>
        <v>52625.69791568449</v>
      </c>
      <c r="DJ26" s="171">
        <f>$F26*(1+$H26)^ROUNDUP(IFERROR(DATEDIF($G26-1,DJ$14+1,"m"),)/12,)*Index!DI$22</f>
        <v>52625.69791568449</v>
      </c>
      <c r="DK26" s="171">
        <f>$F26*(1+$H26)^ROUNDUP(IFERROR(DATEDIF($G26-1,DK$14+1,"m"),)/12,)*Index!DJ$22</f>
        <v>52625.69791568449</v>
      </c>
      <c r="DL26" s="171">
        <f>$F26*(1+$H26)^ROUNDUP(IFERROR(DATEDIF($G26-1,DL$14+1,"m"),)/12,)*Index!DK$22</f>
        <v>52625.69791568449</v>
      </c>
      <c r="DM26" s="171">
        <f>$F26*(1+$H26)^ROUNDUP(IFERROR(DATEDIF($G26-1,DM$14+1,"m"),)/12,)*Index!DL$22</f>
        <v>52625.69791568449</v>
      </c>
      <c r="DN26" s="171">
        <f>$F26*(1+$H26)^ROUNDUP(IFERROR(DATEDIF($G26-1,DN$14+1,"m"),)/12,)*Index!DM$22</f>
        <v>52625.69791568449</v>
      </c>
      <c r="DO26" s="171">
        <f>$F26*(1+$H26)^ROUNDUP(IFERROR(DATEDIF($G26-1,DO$14+1,"m"),)/12,)*Index!DN$22</f>
        <v>52625.69791568449</v>
      </c>
      <c r="DP26" s="171">
        <f>$F26*(1+$H26)^ROUNDUP(IFERROR(DATEDIF($G26-1,DP$14+1,"m"),)/12,)*Index!DO$22</f>
        <v>52625.69791568449</v>
      </c>
      <c r="DQ26" s="171">
        <f>$F26*(1+$H26)^ROUNDUP(IFERROR(DATEDIF($G26-1,DQ$14+1,"m"),)/12,)*Index!DP$22</f>
        <v>52625.69791568449</v>
      </c>
      <c r="DR26" s="171">
        <f>$F26*(1+$H26)^ROUNDUP(IFERROR(DATEDIF($G26-1,DR$14+1,"m"),)/12,)*Index!DQ$22</f>
        <v>51573.183957370798</v>
      </c>
      <c r="DS26" s="171">
        <f>$F26*(1+$H26)^ROUNDUP(IFERROR(DATEDIF($G26-1,DS$14+1,"m"),)/12,)*Index!DR$22</f>
        <v>51573.183957370798</v>
      </c>
      <c r="DT26" s="171">
        <f>$F26*(1+$H26)^ROUNDUP(IFERROR(DATEDIF($G26-1,DT$14+1,"m"),)/12,)*Index!DS$22</f>
        <v>51573.183957370798</v>
      </c>
      <c r="DU26" s="171">
        <f>$F26*(1+$H26)^ROUNDUP(IFERROR(DATEDIF($G26-1,DU$14+1,"m"),)/12,)*Index!DT$22</f>
        <v>51573.183957370798</v>
      </c>
      <c r="DV26" s="171">
        <f>$F26*(1+$H26)^ROUNDUP(IFERROR(DATEDIF($G26-1,DV$14+1,"m"),)/12,)*Index!DU$22</f>
        <v>51573.183957370798</v>
      </c>
      <c r="DW26" s="171">
        <f>$F26*(1+$H26)^ROUNDUP(IFERROR(DATEDIF($G26-1,DW$14+1,"m"),)/12,)*Index!DV$22</f>
        <v>51573.183957370798</v>
      </c>
      <c r="DX26" s="171">
        <f>$F26*(1+$H26)^ROUNDUP(IFERROR(DATEDIF($G26-1,DX$14+1,"m"),)/12,)*Index!DW$22</f>
        <v>51573.183957370798</v>
      </c>
      <c r="DY26" s="171">
        <f>$F26*(1+$H26)^ROUNDUP(IFERROR(DATEDIF($G26-1,DY$14+1,"m"),)/12,)*Index!DX$22</f>
        <v>51573.183957370798</v>
      </c>
      <c r="DZ26" s="171">
        <f>$F26*(1+$H26)^ROUNDUP(IFERROR(DATEDIF($G26-1,DZ$14+1,"m"),)/12,)*Index!DY$22</f>
        <v>51573.183957370798</v>
      </c>
      <c r="EA26" s="171">
        <f>$F26*(1+$H26)^ROUNDUP(IFERROR(DATEDIF($G26-1,EA$14+1,"m"),)/12,)*Index!DZ$22</f>
        <v>51573.183957370798</v>
      </c>
      <c r="EB26" s="171">
        <f>$F26*(1+$H26)^ROUNDUP(IFERROR(DATEDIF($G26-1,EB$14+1,"m"),)/12,)*Index!EA$22</f>
        <v>51573.183957370798</v>
      </c>
      <c r="EC26" s="171">
        <f>$F26*(1+$H26)^ROUNDUP(IFERROR(DATEDIF($G26-1,EC$14+1,"m"),)/12,)*Index!EB$22</f>
        <v>51573.183957370798</v>
      </c>
      <c r="ED26" s="171">
        <f>$F26*(1+$H26)^ROUNDUP(IFERROR(DATEDIF($G26-1,ED$14+1,"m"),)/12,)*Index!EC$22</f>
        <v>0</v>
      </c>
      <c r="EE26" s="171">
        <f>$F26*(1+$H26)^ROUNDUP(IFERROR(DATEDIF($G26-1,EE$14+1,"m"),)/12,)*Index!ED$22</f>
        <v>0</v>
      </c>
      <c r="EF26" s="171">
        <f>$F26*(1+$H26)^ROUNDUP(IFERROR(DATEDIF($G26-1,EF$14+1,"m"),)/12,)*Index!EE$22</f>
        <v>0</v>
      </c>
      <c r="EG26" s="171">
        <f>$F26*(1+$H26)^ROUNDUP(IFERROR(DATEDIF($G26-1,EG$14+1,"m"),)/12,)*Index!EF$22</f>
        <v>0</v>
      </c>
      <c r="EH26" s="171">
        <f>$F26*(1+$H26)^ROUNDUP(IFERROR(DATEDIF($G26-1,EH$14+1,"m"),)/12,)*Index!EG$22</f>
        <v>0</v>
      </c>
      <c r="EI26" s="171">
        <f>$F26*(1+$H26)^ROUNDUP(IFERROR(DATEDIF($G26-1,EI$14+1,"m"),)/12,)*Index!EH$22</f>
        <v>0</v>
      </c>
      <c r="EJ26" s="171">
        <f>$F26*(1+$H26)^ROUNDUP(IFERROR(DATEDIF($G26-1,EJ$14+1,"m"),)/12,)*Index!EI$22</f>
        <v>0</v>
      </c>
      <c r="EK26" s="171">
        <f>$F26*(1+$H26)^ROUNDUP(IFERROR(DATEDIF($G26-1,EK$14+1,"m"),)/12,)*Index!EJ$22</f>
        <v>0</v>
      </c>
      <c r="EL26" s="171">
        <f>$F26*(1+$H26)^ROUNDUP(IFERROR(DATEDIF($G26-1,EL$14+1,"m"),)/12,)*Index!EK$22</f>
        <v>0</v>
      </c>
      <c r="EM26" s="171">
        <f>$F26*(1+$H26)^ROUNDUP(IFERROR(DATEDIF($G26-1,EM$14+1,"m"),)/12,)*Index!EL$22</f>
        <v>0</v>
      </c>
      <c r="EN26" s="171">
        <f>$F26*(1+$H26)^ROUNDUP(IFERROR(DATEDIF($G26-1,EN$14+1,"m"),)/12,)*Index!EM$22</f>
        <v>0</v>
      </c>
      <c r="EO26" s="171">
        <f>$F26*(1+$H26)^ROUNDUP(IFERROR(DATEDIF($G26-1,EO$14+1,"m"),)/12,)*Index!EN$22</f>
        <v>0</v>
      </c>
      <c r="EP26" s="171">
        <f>$F26*(1+$H26)^ROUNDUP(IFERROR(DATEDIF($G26-1,EP$14+1,"m"),)/12,)*Index!EO$22</f>
        <v>0</v>
      </c>
      <c r="EQ26" s="171">
        <f>$F26*(1+$H26)^ROUNDUP(IFERROR(DATEDIF($G26-1,EQ$14+1,"m"),)/12,)*Index!EP$22</f>
        <v>0</v>
      </c>
      <c r="ER26" s="171">
        <f>$F26*(1+$H26)^ROUNDUP(IFERROR(DATEDIF($G26-1,ER$14+1,"m"),)/12,)*Index!EQ$22</f>
        <v>0</v>
      </c>
    </row>
    <row r="27" spans="3:148" ht="11.25" customHeight="1">
      <c r="C27" s="163"/>
      <c r="D27" s="169" t="s">
        <v>86</v>
      </c>
      <c r="F27" s="805">
        <f>'A&amp;R'!O73</f>
        <v>17187.643333333333</v>
      </c>
      <c r="G27" s="806">
        <f>'A&amp;R'!R73</f>
        <v>46691</v>
      </c>
      <c r="H27" s="807">
        <f>'A&amp;R'!Q73</f>
        <v>0.02</v>
      </c>
      <c r="I27" s="65"/>
      <c r="J27" s="90"/>
      <c r="K27" s="171">
        <f t="shared" si="12"/>
        <v>2258398.7897160519</v>
      </c>
      <c r="L27" s="98"/>
      <c r="M27" s="171">
        <f>$F27*(1+$H27)^ROUNDUP(IFERROR(DATEDIF($G27-1,M$14+1,"m"),)/12,)*Index!L$22</f>
        <v>0</v>
      </c>
      <c r="N27" s="171">
        <f>$F27*(1+$H27)^ROUNDUP(IFERROR(DATEDIF($G27-1,N$14+1,"m"),)/12,)*Index!M$22</f>
        <v>17187.643333333333</v>
      </c>
      <c r="O27" s="171">
        <f>$F27*(1+$H27)^ROUNDUP(IFERROR(DATEDIF($G27-1,O$14+1,"m"),)/12,)*Index!N$22</f>
        <v>17187.643333333333</v>
      </c>
      <c r="P27" s="171">
        <f>$F27*(1+$H27)^ROUNDUP(IFERROR(DATEDIF($G27-1,P$14+1,"m"),)/12,)*Index!O$22</f>
        <v>17187.643333333333</v>
      </c>
      <c r="Q27" s="171">
        <f>$F27*(1+$H27)^ROUNDUP(IFERROR(DATEDIF($G27-1,Q$14+1,"m"),)/12,)*Index!P$22</f>
        <v>17187.643333333333</v>
      </c>
      <c r="R27" s="171">
        <f>$F27*(1+$H27)^ROUNDUP(IFERROR(DATEDIF($G27-1,R$14+1,"m"),)/12,)*Index!Q$22</f>
        <v>17187.643333333333</v>
      </c>
      <c r="S27" s="171">
        <f>$F27*(1+$H27)^ROUNDUP(IFERROR(DATEDIF($G27-1,S$14+1,"m"),)/12,)*Index!R$22</f>
        <v>17187.643333333333</v>
      </c>
      <c r="T27" s="171">
        <f>$F27*(1+$H27)^ROUNDUP(IFERROR(DATEDIF($G27-1,T$14+1,"m"),)/12,)*Index!S$22</f>
        <v>17187.643333333333</v>
      </c>
      <c r="U27" s="171">
        <f>$F27*(1+$H27)^ROUNDUP(IFERROR(DATEDIF($G27-1,U$14+1,"m"),)/12,)*Index!T$22</f>
        <v>17187.643333333333</v>
      </c>
      <c r="V27" s="171">
        <f>$F27*(1+$H27)^ROUNDUP(IFERROR(DATEDIF($G27-1,V$14+1,"m"),)/12,)*Index!U$22</f>
        <v>17187.643333333333</v>
      </c>
      <c r="W27" s="171">
        <f>$F27*(1+$H27)^ROUNDUP(IFERROR(DATEDIF($G27-1,W$14+1,"m"),)/12,)*Index!V$22</f>
        <v>17187.643333333333</v>
      </c>
      <c r="X27" s="171">
        <f>$F27*(1+$H27)^ROUNDUP(IFERROR(DATEDIF($G27-1,X$14+1,"m"),)/12,)*Index!W$22</f>
        <v>17187.643333333333</v>
      </c>
      <c r="Y27" s="171">
        <f>$F27*(1+$H27)^ROUNDUP(IFERROR(DATEDIF($G27-1,Y$14+1,"m"),)/12,)*Index!X$22</f>
        <v>17187.643333333333</v>
      </c>
      <c r="Z27" s="171">
        <f>$F27*(1+$H27)^ROUNDUP(IFERROR(DATEDIF($G27-1,Z$14+1,"m"),)/12,)*Index!Y$22</f>
        <v>17531.396199999999</v>
      </c>
      <c r="AA27" s="171">
        <f>$F27*(1+$H27)^ROUNDUP(IFERROR(DATEDIF($G27-1,AA$14+1,"m"),)/12,)*Index!Z$22</f>
        <v>17531.396199999999</v>
      </c>
      <c r="AB27" s="171">
        <f>$F27*(1+$H27)^ROUNDUP(IFERROR(DATEDIF($G27-1,AB$14+1,"m"),)/12,)*Index!AA$22</f>
        <v>17531.396199999999</v>
      </c>
      <c r="AC27" s="171">
        <f>$F27*(1+$H27)^ROUNDUP(IFERROR(DATEDIF($G27-1,AC$14+1,"m"),)/12,)*Index!AB$22</f>
        <v>17531.396199999999</v>
      </c>
      <c r="AD27" s="171">
        <f>$F27*(1+$H27)^ROUNDUP(IFERROR(DATEDIF($G27-1,AD$14+1,"m"),)/12,)*Index!AC$22</f>
        <v>17531.396199999999</v>
      </c>
      <c r="AE27" s="171">
        <f>$F27*(1+$H27)^ROUNDUP(IFERROR(DATEDIF($G27-1,AE$14+1,"m"),)/12,)*Index!AD$22</f>
        <v>17531.396199999999</v>
      </c>
      <c r="AF27" s="171">
        <f>$F27*(1+$H27)^ROUNDUP(IFERROR(DATEDIF($G27-1,AF$14+1,"m"),)/12,)*Index!AE$22</f>
        <v>17531.396199999999</v>
      </c>
      <c r="AG27" s="171">
        <f>$F27*(1+$H27)^ROUNDUP(IFERROR(DATEDIF($G27-1,AG$14+1,"m"),)/12,)*Index!AF$22</f>
        <v>17531.396199999999</v>
      </c>
      <c r="AH27" s="171">
        <f>$F27*(1+$H27)^ROUNDUP(IFERROR(DATEDIF($G27-1,AH$14+1,"m"),)/12,)*Index!AG$22</f>
        <v>17531.396199999999</v>
      </c>
      <c r="AI27" s="171">
        <f>$F27*(1+$H27)^ROUNDUP(IFERROR(DATEDIF($G27-1,AI$14+1,"m"),)/12,)*Index!AH$22</f>
        <v>17531.396199999999</v>
      </c>
      <c r="AJ27" s="171">
        <f>$F27*(1+$H27)^ROUNDUP(IFERROR(DATEDIF($G27-1,AJ$14+1,"m"),)/12,)*Index!AI$22</f>
        <v>17531.396199999999</v>
      </c>
      <c r="AK27" s="171">
        <f>$F27*(1+$H27)^ROUNDUP(IFERROR(DATEDIF($G27-1,AK$14+1,"m"),)/12,)*Index!AJ$22</f>
        <v>17531.396199999999</v>
      </c>
      <c r="AL27" s="171">
        <f>$F27*(1+$H27)^ROUNDUP(IFERROR(DATEDIF($G27-1,AL$14+1,"m"),)/12,)*Index!AK$22</f>
        <v>17882.024124</v>
      </c>
      <c r="AM27" s="171">
        <f>$F27*(1+$H27)^ROUNDUP(IFERROR(DATEDIF($G27-1,AM$14+1,"m"),)/12,)*Index!AL$22</f>
        <v>17882.024124</v>
      </c>
      <c r="AN27" s="171">
        <f>$F27*(1+$H27)^ROUNDUP(IFERROR(DATEDIF($G27-1,AN$14+1,"m"),)/12,)*Index!AM$22</f>
        <v>17882.024124</v>
      </c>
      <c r="AO27" s="171">
        <f>$F27*(1+$H27)^ROUNDUP(IFERROR(DATEDIF($G27-1,AO$14+1,"m"),)/12,)*Index!AN$22</f>
        <v>17882.024124</v>
      </c>
      <c r="AP27" s="171">
        <f>$F27*(1+$H27)^ROUNDUP(IFERROR(DATEDIF($G27-1,AP$14+1,"m"),)/12,)*Index!AO$22</f>
        <v>17882.024124</v>
      </c>
      <c r="AQ27" s="171">
        <f>$F27*(1+$H27)^ROUNDUP(IFERROR(DATEDIF($G27-1,AQ$14+1,"m"),)/12,)*Index!AP$22</f>
        <v>17882.024124</v>
      </c>
      <c r="AR27" s="171">
        <f>$F27*(1+$H27)^ROUNDUP(IFERROR(DATEDIF($G27-1,AR$14+1,"m"),)/12,)*Index!AQ$22</f>
        <v>17882.024124</v>
      </c>
      <c r="AS27" s="171">
        <f>$F27*(1+$H27)^ROUNDUP(IFERROR(DATEDIF($G27-1,AS$14+1,"m"),)/12,)*Index!AR$22</f>
        <v>17882.024124</v>
      </c>
      <c r="AT27" s="171">
        <f>$F27*(1+$H27)^ROUNDUP(IFERROR(DATEDIF($G27-1,AT$14+1,"m"),)/12,)*Index!AS$22</f>
        <v>17882.024124</v>
      </c>
      <c r="AU27" s="171">
        <f>$F27*(1+$H27)^ROUNDUP(IFERROR(DATEDIF($G27-1,AU$14+1,"m"),)/12,)*Index!AT$22</f>
        <v>17882.024124</v>
      </c>
      <c r="AV27" s="171">
        <f>$F27*(1+$H27)^ROUNDUP(IFERROR(DATEDIF($G27-1,AV$14+1,"m"),)/12,)*Index!AU$22</f>
        <v>17882.024124</v>
      </c>
      <c r="AW27" s="171">
        <f>$F27*(1+$H27)^ROUNDUP(IFERROR(DATEDIF($G27-1,AW$14+1,"m"),)/12,)*Index!AV$22</f>
        <v>17882.024124</v>
      </c>
      <c r="AX27" s="171">
        <f>$F27*(1+$H27)^ROUNDUP(IFERROR(DATEDIF($G27-1,AX$14+1,"m"),)/12,)*Index!AW$22</f>
        <v>18239.664606480001</v>
      </c>
      <c r="AY27" s="171">
        <f>$F27*(1+$H27)^ROUNDUP(IFERROR(DATEDIF($G27-1,AY$14+1,"m"),)/12,)*Index!AX$22</f>
        <v>18239.664606480001</v>
      </c>
      <c r="AZ27" s="171">
        <f>$F27*(1+$H27)^ROUNDUP(IFERROR(DATEDIF($G27-1,AZ$14+1,"m"),)/12,)*Index!AY$22</f>
        <v>18239.664606480001</v>
      </c>
      <c r="BA27" s="171">
        <f>$F27*(1+$H27)^ROUNDUP(IFERROR(DATEDIF($G27-1,BA$14+1,"m"),)/12,)*Index!AZ$22</f>
        <v>18239.664606480001</v>
      </c>
      <c r="BB27" s="171">
        <f>$F27*(1+$H27)^ROUNDUP(IFERROR(DATEDIF($G27-1,BB$14+1,"m"),)/12,)*Index!BA$22</f>
        <v>18239.664606480001</v>
      </c>
      <c r="BC27" s="171">
        <f>$F27*(1+$H27)^ROUNDUP(IFERROR(DATEDIF($G27-1,BC$14+1,"m"),)/12,)*Index!BB$22</f>
        <v>18239.664606480001</v>
      </c>
      <c r="BD27" s="171">
        <f>$F27*(1+$H27)^ROUNDUP(IFERROR(DATEDIF($G27-1,BD$14+1,"m"),)/12,)*Index!BC$22</f>
        <v>18239.664606480001</v>
      </c>
      <c r="BE27" s="171">
        <f>$F27*(1+$H27)^ROUNDUP(IFERROR(DATEDIF($G27-1,BE$14+1,"m"),)/12,)*Index!BD$22</f>
        <v>18239.664606480001</v>
      </c>
      <c r="BF27" s="171">
        <f>$F27*(1+$H27)^ROUNDUP(IFERROR(DATEDIF($G27-1,BF$14+1,"m"),)/12,)*Index!BE$22</f>
        <v>18239.664606480001</v>
      </c>
      <c r="BG27" s="171">
        <f>$F27*(1+$H27)^ROUNDUP(IFERROR(DATEDIF($G27-1,BG$14+1,"m"),)/12,)*Index!BF$22</f>
        <v>18239.664606480001</v>
      </c>
      <c r="BH27" s="171">
        <f>$F27*(1+$H27)^ROUNDUP(IFERROR(DATEDIF($G27-1,BH$14+1,"m"),)/12,)*Index!BG$22</f>
        <v>18239.664606480001</v>
      </c>
      <c r="BI27" s="171">
        <f>$F27*(1+$H27)^ROUNDUP(IFERROR(DATEDIF($G27-1,BI$14+1,"m"),)/12,)*Index!BH$22</f>
        <v>18239.664606480001</v>
      </c>
      <c r="BJ27" s="171">
        <f>$F27*(1+$H27)^ROUNDUP(IFERROR(DATEDIF($G27-1,BJ$14+1,"m"),)/12,)*Index!BI$22</f>
        <v>18604.457898609598</v>
      </c>
      <c r="BK27" s="171">
        <f>$F27*(1+$H27)^ROUNDUP(IFERROR(DATEDIF($G27-1,BK$14+1,"m"),)/12,)*Index!BJ$22</f>
        <v>18604.457898609598</v>
      </c>
      <c r="BL27" s="171">
        <f>$F27*(1+$H27)^ROUNDUP(IFERROR(DATEDIF($G27-1,BL$14+1,"m"),)/12,)*Index!BK$22</f>
        <v>18604.457898609598</v>
      </c>
      <c r="BM27" s="171">
        <f>$F27*(1+$H27)^ROUNDUP(IFERROR(DATEDIF($G27-1,BM$14+1,"m"),)/12,)*Index!BL$22</f>
        <v>18604.457898609598</v>
      </c>
      <c r="BN27" s="171">
        <f>$F27*(1+$H27)^ROUNDUP(IFERROR(DATEDIF($G27-1,BN$14+1,"m"),)/12,)*Index!BM$22</f>
        <v>18604.457898609598</v>
      </c>
      <c r="BO27" s="171">
        <f>$F27*(1+$H27)^ROUNDUP(IFERROR(DATEDIF($G27-1,BO$14+1,"m"),)/12,)*Index!BN$22</f>
        <v>18604.457898609598</v>
      </c>
      <c r="BP27" s="171">
        <f>$F27*(1+$H27)^ROUNDUP(IFERROR(DATEDIF($G27-1,BP$14+1,"m"),)/12,)*Index!BO$22</f>
        <v>18604.457898609598</v>
      </c>
      <c r="BQ27" s="171">
        <f>$F27*(1+$H27)^ROUNDUP(IFERROR(DATEDIF($G27-1,BQ$14+1,"m"),)/12,)*Index!BP$22</f>
        <v>18604.457898609598</v>
      </c>
      <c r="BR27" s="171">
        <f>$F27*(1+$H27)^ROUNDUP(IFERROR(DATEDIF($G27-1,BR$14+1,"m"),)/12,)*Index!BQ$22</f>
        <v>18604.457898609598</v>
      </c>
      <c r="BS27" s="171">
        <f>$F27*(1+$H27)^ROUNDUP(IFERROR(DATEDIF($G27-1,BS$14+1,"m"),)/12,)*Index!BR$22</f>
        <v>18604.457898609598</v>
      </c>
      <c r="BT27" s="171">
        <f>$F27*(1+$H27)^ROUNDUP(IFERROR(DATEDIF($G27-1,BT$14+1,"m"),)/12,)*Index!BS$22</f>
        <v>18604.457898609598</v>
      </c>
      <c r="BU27" s="171">
        <f>$F27*(1+$H27)^ROUNDUP(IFERROR(DATEDIF($G27-1,BU$14+1,"m"),)/12,)*Index!BT$22</f>
        <v>18604.457898609598</v>
      </c>
      <c r="BV27" s="171">
        <f>$F27*(1+$H27)^ROUNDUP(IFERROR(DATEDIF($G27-1,BV$14+1,"m"),)/12,)*Index!BU$22</f>
        <v>18976.547056581792</v>
      </c>
      <c r="BW27" s="171">
        <f>$F27*(1+$H27)^ROUNDUP(IFERROR(DATEDIF($G27-1,BW$14+1,"m"),)/12,)*Index!BV$22</f>
        <v>18976.547056581792</v>
      </c>
      <c r="BX27" s="171">
        <f>$F27*(1+$H27)^ROUNDUP(IFERROR(DATEDIF($G27-1,BX$14+1,"m"),)/12,)*Index!BW$22</f>
        <v>18976.547056581792</v>
      </c>
      <c r="BY27" s="171">
        <f>$F27*(1+$H27)^ROUNDUP(IFERROR(DATEDIF($G27-1,BY$14+1,"m"),)/12,)*Index!BX$22</f>
        <v>18976.547056581792</v>
      </c>
      <c r="BZ27" s="171">
        <f>$F27*(1+$H27)^ROUNDUP(IFERROR(DATEDIF($G27-1,BZ$14+1,"m"),)/12,)*Index!BY$22</f>
        <v>18976.547056581792</v>
      </c>
      <c r="CA27" s="171">
        <f>$F27*(1+$H27)^ROUNDUP(IFERROR(DATEDIF($G27-1,CA$14+1,"m"),)/12,)*Index!BZ$22</f>
        <v>18976.547056581792</v>
      </c>
      <c r="CB27" s="171">
        <f>$F27*(1+$H27)^ROUNDUP(IFERROR(DATEDIF($G27-1,CB$14+1,"m"),)/12,)*Index!CA$22</f>
        <v>18976.547056581792</v>
      </c>
      <c r="CC27" s="171">
        <f>$F27*(1+$H27)^ROUNDUP(IFERROR(DATEDIF($G27-1,CC$14+1,"m"),)/12,)*Index!CB$22</f>
        <v>18976.547056581792</v>
      </c>
      <c r="CD27" s="171">
        <f>$F27*(1+$H27)^ROUNDUP(IFERROR(DATEDIF($G27-1,CD$14+1,"m"),)/12,)*Index!CC$22</f>
        <v>18976.547056581792</v>
      </c>
      <c r="CE27" s="171">
        <f>$F27*(1+$H27)^ROUNDUP(IFERROR(DATEDIF($G27-1,CE$14+1,"m"),)/12,)*Index!CD$22</f>
        <v>18976.547056581792</v>
      </c>
      <c r="CF27" s="171">
        <f>$F27*(1+$H27)^ROUNDUP(IFERROR(DATEDIF($G27-1,CF$14+1,"m"),)/12,)*Index!CE$22</f>
        <v>18976.547056581792</v>
      </c>
      <c r="CG27" s="171">
        <f>$F27*(1+$H27)^ROUNDUP(IFERROR(DATEDIF($G27-1,CG$14+1,"m"),)/12,)*Index!CF$22</f>
        <v>18976.547056581792</v>
      </c>
      <c r="CH27" s="171">
        <f>$F27*(1+$H27)^ROUNDUP(IFERROR(DATEDIF($G27-1,CH$14+1,"m"),)/12,)*Index!CG$22</f>
        <v>19356.07799771343</v>
      </c>
      <c r="CI27" s="171">
        <f>$F27*(1+$H27)^ROUNDUP(IFERROR(DATEDIF($G27-1,CI$14+1,"m"),)/12,)*Index!CH$22</f>
        <v>19356.07799771343</v>
      </c>
      <c r="CJ27" s="171">
        <f>$F27*(1+$H27)^ROUNDUP(IFERROR(DATEDIF($G27-1,CJ$14+1,"m"),)/12,)*Index!CI$22</f>
        <v>19356.07799771343</v>
      </c>
      <c r="CK27" s="171">
        <f>$F27*(1+$H27)^ROUNDUP(IFERROR(DATEDIF($G27-1,CK$14+1,"m"),)/12,)*Index!CJ$22</f>
        <v>19356.07799771343</v>
      </c>
      <c r="CL27" s="171">
        <f>$F27*(1+$H27)^ROUNDUP(IFERROR(DATEDIF($G27-1,CL$14+1,"m"),)/12,)*Index!CK$22</f>
        <v>19356.07799771343</v>
      </c>
      <c r="CM27" s="171">
        <f>$F27*(1+$H27)^ROUNDUP(IFERROR(DATEDIF($G27-1,CM$14+1,"m"),)/12,)*Index!CL$22</f>
        <v>19356.07799771343</v>
      </c>
      <c r="CN27" s="171">
        <f>$F27*(1+$H27)^ROUNDUP(IFERROR(DATEDIF($G27-1,CN$14+1,"m"),)/12,)*Index!CM$22</f>
        <v>19356.07799771343</v>
      </c>
      <c r="CO27" s="171">
        <f>$F27*(1+$H27)^ROUNDUP(IFERROR(DATEDIF($G27-1,CO$14+1,"m"),)/12,)*Index!CN$22</f>
        <v>19356.07799771343</v>
      </c>
      <c r="CP27" s="171">
        <f>$F27*(1+$H27)^ROUNDUP(IFERROR(DATEDIF($G27-1,CP$14+1,"m"),)/12,)*Index!CO$22</f>
        <v>19356.07799771343</v>
      </c>
      <c r="CQ27" s="171">
        <f>$F27*(1+$H27)^ROUNDUP(IFERROR(DATEDIF($G27-1,CQ$14+1,"m"),)/12,)*Index!CP$22</f>
        <v>19356.07799771343</v>
      </c>
      <c r="CR27" s="171">
        <f>$F27*(1+$H27)^ROUNDUP(IFERROR(DATEDIF($G27-1,CR$14+1,"m"),)/12,)*Index!CQ$22</f>
        <v>19356.07799771343</v>
      </c>
      <c r="CS27" s="171">
        <f>$F27*(1+$H27)^ROUNDUP(IFERROR(DATEDIF($G27-1,CS$14+1,"m"),)/12,)*Index!CR$22</f>
        <v>19356.07799771343</v>
      </c>
      <c r="CT27" s="171">
        <f>$F27*(1+$H27)^ROUNDUP(IFERROR(DATEDIF($G27-1,CT$14+1,"m"),)/12,)*Index!CS$22</f>
        <v>19743.199557667693</v>
      </c>
      <c r="CU27" s="171">
        <f>$F27*(1+$H27)^ROUNDUP(IFERROR(DATEDIF($G27-1,CU$14+1,"m"),)/12,)*Index!CT$22</f>
        <v>19743.199557667693</v>
      </c>
      <c r="CV27" s="171">
        <f>$F27*(1+$H27)^ROUNDUP(IFERROR(DATEDIF($G27-1,CV$14+1,"m"),)/12,)*Index!CU$22</f>
        <v>19743.199557667693</v>
      </c>
      <c r="CW27" s="171">
        <f>$F27*(1+$H27)^ROUNDUP(IFERROR(DATEDIF($G27-1,CW$14+1,"m"),)/12,)*Index!CV$22</f>
        <v>19743.199557667693</v>
      </c>
      <c r="CX27" s="171">
        <f>$F27*(1+$H27)^ROUNDUP(IFERROR(DATEDIF($G27-1,CX$14+1,"m"),)/12,)*Index!CW$22</f>
        <v>19743.199557667693</v>
      </c>
      <c r="CY27" s="171">
        <f>$F27*(1+$H27)^ROUNDUP(IFERROR(DATEDIF($G27-1,CY$14+1,"m"),)/12,)*Index!CX$22</f>
        <v>19743.199557667693</v>
      </c>
      <c r="CZ27" s="171">
        <f>$F27*(1+$H27)^ROUNDUP(IFERROR(DATEDIF($G27-1,CZ$14+1,"m"),)/12,)*Index!CY$22</f>
        <v>19743.199557667693</v>
      </c>
      <c r="DA27" s="171">
        <f>$F27*(1+$H27)^ROUNDUP(IFERROR(DATEDIF($G27-1,DA$14+1,"m"),)/12,)*Index!CZ$22</f>
        <v>19743.199557667693</v>
      </c>
      <c r="DB27" s="171">
        <f>$F27*(1+$H27)^ROUNDUP(IFERROR(DATEDIF($G27-1,DB$14+1,"m"),)/12,)*Index!DA$22</f>
        <v>19743.199557667693</v>
      </c>
      <c r="DC27" s="171">
        <f>$F27*(1+$H27)^ROUNDUP(IFERROR(DATEDIF($G27-1,DC$14+1,"m"),)/12,)*Index!DB$22</f>
        <v>19743.199557667693</v>
      </c>
      <c r="DD27" s="171">
        <f>$F27*(1+$H27)^ROUNDUP(IFERROR(DATEDIF($G27-1,DD$14+1,"m"),)/12,)*Index!DC$22</f>
        <v>19743.199557667693</v>
      </c>
      <c r="DE27" s="171">
        <f>$F27*(1+$H27)^ROUNDUP(IFERROR(DATEDIF($G27-1,DE$14+1,"m"),)/12,)*Index!DD$22</f>
        <v>19743.199557667693</v>
      </c>
      <c r="DF27" s="171">
        <f>$F27*(1+$H27)^ROUNDUP(IFERROR(DATEDIF($G27-1,DF$14+1,"m"),)/12,)*Index!DE$22</f>
        <v>20138.06354882105</v>
      </c>
      <c r="DG27" s="171">
        <f>$F27*(1+$H27)^ROUNDUP(IFERROR(DATEDIF($G27-1,DG$14+1,"m"),)/12,)*Index!DF$22</f>
        <v>20138.06354882105</v>
      </c>
      <c r="DH27" s="171">
        <f>$F27*(1+$H27)^ROUNDUP(IFERROR(DATEDIF($G27-1,DH$14+1,"m"),)/12,)*Index!DG$22</f>
        <v>20138.06354882105</v>
      </c>
      <c r="DI27" s="171">
        <f>$F27*(1+$H27)^ROUNDUP(IFERROR(DATEDIF($G27-1,DI$14+1,"m"),)/12,)*Index!DH$22</f>
        <v>20138.06354882105</v>
      </c>
      <c r="DJ27" s="171">
        <f>$F27*(1+$H27)^ROUNDUP(IFERROR(DATEDIF($G27-1,DJ$14+1,"m"),)/12,)*Index!DI$22</f>
        <v>20138.06354882105</v>
      </c>
      <c r="DK27" s="171">
        <f>$F27*(1+$H27)^ROUNDUP(IFERROR(DATEDIF($G27-1,DK$14+1,"m"),)/12,)*Index!DJ$22</f>
        <v>20138.06354882105</v>
      </c>
      <c r="DL27" s="171">
        <f>$F27*(1+$H27)^ROUNDUP(IFERROR(DATEDIF($G27-1,DL$14+1,"m"),)/12,)*Index!DK$22</f>
        <v>20138.06354882105</v>
      </c>
      <c r="DM27" s="171">
        <f>$F27*(1+$H27)^ROUNDUP(IFERROR(DATEDIF($G27-1,DM$14+1,"m"),)/12,)*Index!DL$22</f>
        <v>20138.06354882105</v>
      </c>
      <c r="DN27" s="171">
        <f>$F27*(1+$H27)^ROUNDUP(IFERROR(DATEDIF($G27-1,DN$14+1,"m"),)/12,)*Index!DM$22</f>
        <v>20138.06354882105</v>
      </c>
      <c r="DO27" s="171">
        <f>$F27*(1+$H27)^ROUNDUP(IFERROR(DATEDIF($G27-1,DO$14+1,"m"),)/12,)*Index!DN$22</f>
        <v>20138.06354882105</v>
      </c>
      <c r="DP27" s="171">
        <f>$F27*(1+$H27)^ROUNDUP(IFERROR(DATEDIF($G27-1,DP$14+1,"m"),)/12,)*Index!DO$22</f>
        <v>20138.06354882105</v>
      </c>
      <c r="DQ27" s="171">
        <f>$F27*(1+$H27)^ROUNDUP(IFERROR(DATEDIF($G27-1,DQ$14+1,"m"),)/12,)*Index!DP$22</f>
        <v>20138.06354882105</v>
      </c>
      <c r="DR27" s="171">
        <f>$F27*(1+$H27)^ROUNDUP(IFERROR(DATEDIF($G27-1,DR$14+1,"m"),)/12,)*Index!DQ$22</f>
        <v>20540.824819797472</v>
      </c>
      <c r="DS27" s="171">
        <f>$F27*(1+$H27)^ROUNDUP(IFERROR(DATEDIF($G27-1,DS$14+1,"m"),)/12,)*Index!DR$22</f>
        <v>20540.824819797472</v>
      </c>
      <c r="DT27" s="171">
        <f>$F27*(1+$H27)^ROUNDUP(IFERROR(DATEDIF($G27-1,DT$14+1,"m"),)/12,)*Index!DS$22</f>
        <v>20540.824819797472</v>
      </c>
      <c r="DU27" s="171">
        <f>$F27*(1+$H27)^ROUNDUP(IFERROR(DATEDIF($G27-1,DU$14+1,"m"),)/12,)*Index!DT$22</f>
        <v>20540.824819797472</v>
      </c>
      <c r="DV27" s="171">
        <f>$F27*(1+$H27)^ROUNDUP(IFERROR(DATEDIF($G27-1,DV$14+1,"m"),)/12,)*Index!DU$22</f>
        <v>20540.824819797472</v>
      </c>
      <c r="DW27" s="171">
        <f>$F27*(1+$H27)^ROUNDUP(IFERROR(DATEDIF($G27-1,DW$14+1,"m"),)/12,)*Index!DV$22</f>
        <v>20540.824819797472</v>
      </c>
      <c r="DX27" s="171">
        <f>$F27*(1+$H27)^ROUNDUP(IFERROR(DATEDIF($G27-1,DX$14+1,"m"),)/12,)*Index!DW$22</f>
        <v>20540.824819797472</v>
      </c>
      <c r="DY27" s="171">
        <f>$F27*(1+$H27)^ROUNDUP(IFERROR(DATEDIF($G27-1,DY$14+1,"m"),)/12,)*Index!DX$22</f>
        <v>20540.824819797472</v>
      </c>
      <c r="DZ27" s="171">
        <f>$F27*(1+$H27)^ROUNDUP(IFERROR(DATEDIF($G27-1,DZ$14+1,"m"),)/12,)*Index!DY$22</f>
        <v>20540.824819797472</v>
      </c>
      <c r="EA27" s="171">
        <f>$F27*(1+$H27)^ROUNDUP(IFERROR(DATEDIF($G27-1,EA$14+1,"m"),)/12,)*Index!DZ$22</f>
        <v>20540.824819797472</v>
      </c>
      <c r="EB27" s="171">
        <f>$F27*(1+$H27)^ROUNDUP(IFERROR(DATEDIF($G27-1,EB$14+1,"m"),)/12,)*Index!EA$22</f>
        <v>20540.824819797472</v>
      </c>
      <c r="EC27" s="171">
        <f>$F27*(1+$H27)^ROUNDUP(IFERROR(DATEDIF($G27-1,EC$14+1,"m"),)/12,)*Index!EB$22</f>
        <v>20540.824819797472</v>
      </c>
      <c r="ED27" s="171">
        <f>$F27*(1+$H27)^ROUNDUP(IFERROR(DATEDIF($G27-1,ED$14+1,"m"),)/12,)*Index!EC$22</f>
        <v>0</v>
      </c>
      <c r="EE27" s="171">
        <f>$F27*(1+$H27)^ROUNDUP(IFERROR(DATEDIF($G27-1,EE$14+1,"m"),)/12,)*Index!ED$22</f>
        <v>0</v>
      </c>
      <c r="EF27" s="171">
        <f>$F27*(1+$H27)^ROUNDUP(IFERROR(DATEDIF($G27-1,EF$14+1,"m"),)/12,)*Index!EE$22</f>
        <v>0</v>
      </c>
      <c r="EG27" s="171">
        <f>$F27*(1+$H27)^ROUNDUP(IFERROR(DATEDIF($G27-1,EG$14+1,"m"),)/12,)*Index!EF$22</f>
        <v>0</v>
      </c>
      <c r="EH27" s="171">
        <f>$F27*(1+$H27)^ROUNDUP(IFERROR(DATEDIF($G27-1,EH$14+1,"m"),)/12,)*Index!EG$22</f>
        <v>0</v>
      </c>
      <c r="EI27" s="171">
        <f>$F27*(1+$H27)^ROUNDUP(IFERROR(DATEDIF($G27-1,EI$14+1,"m"),)/12,)*Index!EH$22</f>
        <v>0</v>
      </c>
      <c r="EJ27" s="171">
        <f>$F27*(1+$H27)^ROUNDUP(IFERROR(DATEDIF($G27-1,EJ$14+1,"m"),)/12,)*Index!EI$22</f>
        <v>0</v>
      </c>
      <c r="EK27" s="171">
        <f>$F27*(1+$H27)^ROUNDUP(IFERROR(DATEDIF($G27-1,EK$14+1,"m"),)/12,)*Index!EJ$22</f>
        <v>0</v>
      </c>
      <c r="EL27" s="171">
        <f>$F27*(1+$H27)^ROUNDUP(IFERROR(DATEDIF($G27-1,EL$14+1,"m"),)/12,)*Index!EK$22</f>
        <v>0</v>
      </c>
      <c r="EM27" s="171">
        <f>$F27*(1+$H27)^ROUNDUP(IFERROR(DATEDIF($G27-1,EM$14+1,"m"),)/12,)*Index!EL$22</f>
        <v>0</v>
      </c>
      <c r="EN27" s="171">
        <f>$F27*(1+$H27)^ROUNDUP(IFERROR(DATEDIF($G27-1,EN$14+1,"m"),)/12,)*Index!EM$22</f>
        <v>0</v>
      </c>
      <c r="EO27" s="171">
        <f>$F27*(1+$H27)^ROUNDUP(IFERROR(DATEDIF($G27-1,EO$14+1,"m"),)/12,)*Index!EN$22</f>
        <v>0</v>
      </c>
      <c r="EP27" s="171">
        <f>$F27*(1+$H27)^ROUNDUP(IFERROR(DATEDIF($G27-1,EP$14+1,"m"),)/12,)*Index!EO$22</f>
        <v>0</v>
      </c>
      <c r="EQ27" s="171">
        <f>$F27*(1+$H27)^ROUNDUP(IFERROR(DATEDIF($G27-1,EQ$14+1,"m"),)/12,)*Index!EP$22</f>
        <v>0</v>
      </c>
      <c r="ER27" s="171">
        <f>$F27*(1+$H27)^ROUNDUP(IFERROR(DATEDIF($G27-1,ER$14+1,"m"),)/12,)*Index!EQ$22</f>
        <v>0</v>
      </c>
    </row>
    <row r="28" spans="3:148" ht="11.25" customHeight="1">
      <c r="C28" s="163"/>
      <c r="D28" s="169" t="s">
        <v>138</v>
      </c>
      <c r="F28" s="805">
        <f>'A&amp;R'!O74</f>
        <v>10753.675833333333</v>
      </c>
      <c r="G28" s="806">
        <f>'A&amp;R'!R74</f>
        <v>46691</v>
      </c>
      <c r="H28" s="807">
        <f>'A&amp;R'!Q74</f>
        <v>0.02</v>
      </c>
      <c r="I28" s="65"/>
      <c r="J28" s="90"/>
      <c r="K28" s="171">
        <f t="shared" si="12"/>
        <v>1412997.001159481</v>
      </c>
      <c r="L28" s="98"/>
      <c r="M28" s="171">
        <f>$F28*(1+$H28)^ROUNDUP(IFERROR(DATEDIF($G28-1,M$14+1,"m"),)/12,)*Index!L$22</f>
        <v>0</v>
      </c>
      <c r="N28" s="171">
        <f>$F28*(1+$H28)^ROUNDUP(IFERROR(DATEDIF($G28-1,N$14+1,"m"),)/12,)*Index!M$22</f>
        <v>10753.675833333333</v>
      </c>
      <c r="O28" s="171">
        <f>$F28*(1+$H28)^ROUNDUP(IFERROR(DATEDIF($G28-1,O$14+1,"m"),)/12,)*Index!N$22</f>
        <v>10753.675833333333</v>
      </c>
      <c r="P28" s="171">
        <f>$F28*(1+$H28)^ROUNDUP(IFERROR(DATEDIF($G28-1,P$14+1,"m"),)/12,)*Index!O$22</f>
        <v>10753.675833333333</v>
      </c>
      <c r="Q28" s="171">
        <f>$F28*(1+$H28)^ROUNDUP(IFERROR(DATEDIF($G28-1,Q$14+1,"m"),)/12,)*Index!P$22</f>
        <v>10753.675833333333</v>
      </c>
      <c r="R28" s="171">
        <f>$F28*(1+$H28)^ROUNDUP(IFERROR(DATEDIF($G28-1,R$14+1,"m"),)/12,)*Index!Q$22</f>
        <v>10753.675833333333</v>
      </c>
      <c r="S28" s="171">
        <f>$F28*(1+$H28)^ROUNDUP(IFERROR(DATEDIF($G28-1,S$14+1,"m"),)/12,)*Index!R$22</f>
        <v>10753.675833333333</v>
      </c>
      <c r="T28" s="171">
        <f>$F28*(1+$H28)^ROUNDUP(IFERROR(DATEDIF($G28-1,T$14+1,"m"),)/12,)*Index!S$22</f>
        <v>10753.675833333333</v>
      </c>
      <c r="U28" s="171">
        <f>$F28*(1+$H28)^ROUNDUP(IFERROR(DATEDIF($G28-1,U$14+1,"m"),)/12,)*Index!T$22</f>
        <v>10753.675833333333</v>
      </c>
      <c r="V28" s="171">
        <f>$F28*(1+$H28)^ROUNDUP(IFERROR(DATEDIF($G28-1,V$14+1,"m"),)/12,)*Index!U$22</f>
        <v>10753.675833333333</v>
      </c>
      <c r="W28" s="171">
        <f>$F28*(1+$H28)^ROUNDUP(IFERROR(DATEDIF($G28-1,W$14+1,"m"),)/12,)*Index!V$22</f>
        <v>10753.675833333333</v>
      </c>
      <c r="X28" s="171">
        <f>$F28*(1+$H28)^ROUNDUP(IFERROR(DATEDIF($G28-1,X$14+1,"m"),)/12,)*Index!W$22</f>
        <v>10753.675833333333</v>
      </c>
      <c r="Y28" s="171">
        <f>$F28*(1+$H28)^ROUNDUP(IFERROR(DATEDIF($G28-1,Y$14+1,"m"),)/12,)*Index!X$22</f>
        <v>10753.675833333333</v>
      </c>
      <c r="Z28" s="171">
        <f>$F28*(1+$H28)^ROUNDUP(IFERROR(DATEDIF($G28-1,Z$14+1,"m"),)/12,)*Index!Y$22</f>
        <v>10968.74935</v>
      </c>
      <c r="AA28" s="171">
        <f>$F28*(1+$H28)^ROUNDUP(IFERROR(DATEDIF($G28-1,AA$14+1,"m"),)/12,)*Index!Z$22</f>
        <v>10968.74935</v>
      </c>
      <c r="AB28" s="171">
        <f>$F28*(1+$H28)^ROUNDUP(IFERROR(DATEDIF($G28-1,AB$14+1,"m"),)/12,)*Index!AA$22</f>
        <v>10968.74935</v>
      </c>
      <c r="AC28" s="171">
        <f>$F28*(1+$H28)^ROUNDUP(IFERROR(DATEDIF($G28-1,AC$14+1,"m"),)/12,)*Index!AB$22</f>
        <v>10968.74935</v>
      </c>
      <c r="AD28" s="171">
        <f>$F28*(1+$H28)^ROUNDUP(IFERROR(DATEDIF($G28-1,AD$14+1,"m"),)/12,)*Index!AC$22</f>
        <v>10968.74935</v>
      </c>
      <c r="AE28" s="171">
        <f>$F28*(1+$H28)^ROUNDUP(IFERROR(DATEDIF($G28-1,AE$14+1,"m"),)/12,)*Index!AD$22</f>
        <v>10968.74935</v>
      </c>
      <c r="AF28" s="171">
        <f>$F28*(1+$H28)^ROUNDUP(IFERROR(DATEDIF($G28-1,AF$14+1,"m"),)/12,)*Index!AE$22</f>
        <v>10968.74935</v>
      </c>
      <c r="AG28" s="171">
        <f>$F28*(1+$H28)^ROUNDUP(IFERROR(DATEDIF($G28-1,AG$14+1,"m"),)/12,)*Index!AF$22</f>
        <v>10968.74935</v>
      </c>
      <c r="AH28" s="171">
        <f>$F28*(1+$H28)^ROUNDUP(IFERROR(DATEDIF($G28-1,AH$14+1,"m"),)/12,)*Index!AG$22</f>
        <v>10968.74935</v>
      </c>
      <c r="AI28" s="171">
        <f>$F28*(1+$H28)^ROUNDUP(IFERROR(DATEDIF($G28-1,AI$14+1,"m"),)/12,)*Index!AH$22</f>
        <v>10968.74935</v>
      </c>
      <c r="AJ28" s="171">
        <f>$F28*(1+$H28)^ROUNDUP(IFERROR(DATEDIF($G28-1,AJ$14+1,"m"),)/12,)*Index!AI$22</f>
        <v>10968.74935</v>
      </c>
      <c r="AK28" s="171">
        <f>$F28*(1+$H28)^ROUNDUP(IFERROR(DATEDIF($G28-1,AK$14+1,"m"),)/12,)*Index!AJ$22</f>
        <v>10968.74935</v>
      </c>
      <c r="AL28" s="171">
        <f>$F28*(1+$H28)^ROUNDUP(IFERROR(DATEDIF($G28-1,AL$14+1,"m"),)/12,)*Index!AK$22</f>
        <v>11188.124336999999</v>
      </c>
      <c r="AM28" s="171">
        <f>$F28*(1+$H28)^ROUNDUP(IFERROR(DATEDIF($G28-1,AM$14+1,"m"),)/12,)*Index!AL$22</f>
        <v>11188.124336999999</v>
      </c>
      <c r="AN28" s="171">
        <f>$F28*(1+$H28)^ROUNDUP(IFERROR(DATEDIF($G28-1,AN$14+1,"m"),)/12,)*Index!AM$22</f>
        <v>11188.124336999999</v>
      </c>
      <c r="AO28" s="171">
        <f>$F28*(1+$H28)^ROUNDUP(IFERROR(DATEDIF($G28-1,AO$14+1,"m"),)/12,)*Index!AN$22</f>
        <v>11188.124336999999</v>
      </c>
      <c r="AP28" s="171">
        <f>$F28*(1+$H28)^ROUNDUP(IFERROR(DATEDIF($G28-1,AP$14+1,"m"),)/12,)*Index!AO$22</f>
        <v>11188.124336999999</v>
      </c>
      <c r="AQ28" s="171">
        <f>$F28*(1+$H28)^ROUNDUP(IFERROR(DATEDIF($G28-1,AQ$14+1,"m"),)/12,)*Index!AP$22</f>
        <v>11188.124336999999</v>
      </c>
      <c r="AR28" s="171">
        <f>$F28*(1+$H28)^ROUNDUP(IFERROR(DATEDIF($G28-1,AR$14+1,"m"),)/12,)*Index!AQ$22</f>
        <v>11188.124336999999</v>
      </c>
      <c r="AS28" s="171">
        <f>$F28*(1+$H28)^ROUNDUP(IFERROR(DATEDIF($G28-1,AS$14+1,"m"),)/12,)*Index!AR$22</f>
        <v>11188.124336999999</v>
      </c>
      <c r="AT28" s="171">
        <f>$F28*(1+$H28)^ROUNDUP(IFERROR(DATEDIF($G28-1,AT$14+1,"m"),)/12,)*Index!AS$22</f>
        <v>11188.124336999999</v>
      </c>
      <c r="AU28" s="171">
        <f>$F28*(1+$H28)^ROUNDUP(IFERROR(DATEDIF($G28-1,AU$14+1,"m"),)/12,)*Index!AT$22</f>
        <v>11188.124336999999</v>
      </c>
      <c r="AV28" s="171">
        <f>$F28*(1+$H28)^ROUNDUP(IFERROR(DATEDIF($G28-1,AV$14+1,"m"),)/12,)*Index!AU$22</f>
        <v>11188.124336999999</v>
      </c>
      <c r="AW28" s="171">
        <f>$F28*(1+$H28)^ROUNDUP(IFERROR(DATEDIF($G28-1,AW$14+1,"m"),)/12,)*Index!AV$22</f>
        <v>11188.124336999999</v>
      </c>
      <c r="AX28" s="171">
        <f>$F28*(1+$H28)^ROUNDUP(IFERROR(DATEDIF($G28-1,AX$14+1,"m"),)/12,)*Index!AW$22</f>
        <v>11411.886823739998</v>
      </c>
      <c r="AY28" s="171">
        <f>$F28*(1+$H28)^ROUNDUP(IFERROR(DATEDIF($G28-1,AY$14+1,"m"),)/12,)*Index!AX$22</f>
        <v>11411.886823739998</v>
      </c>
      <c r="AZ28" s="171">
        <f>$F28*(1+$H28)^ROUNDUP(IFERROR(DATEDIF($G28-1,AZ$14+1,"m"),)/12,)*Index!AY$22</f>
        <v>11411.886823739998</v>
      </c>
      <c r="BA28" s="171">
        <f>$F28*(1+$H28)^ROUNDUP(IFERROR(DATEDIF($G28-1,BA$14+1,"m"),)/12,)*Index!AZ$22</f>
        <v>11411.886823739998</v>
      </c>
      <c r="BB28" s="171">
        <f>$F28*(1+$H28)^ROUNDUP(IFERROR(DATEDIF($G28-1,BB$14+1,"m"),)/12,)*Index!BA$22</f>
        <v>11411.886823739998</v>
      </c>
      <c r="BC28" s="171">
        <f>$F28*(1+$H28)^ROUNDUP(IFERROR(DATEDIF($G28-1,BC$14+1,"m"),)/12,)*Index!BB$22</f>
        <v>11411.886823739998</v>
      </c>
      <c r="BD28" s="171">
        <f>$F28*(1+$H28)^ROUNDUP(IFERROR(DATEDIF($G28-1,BD$14+1,"m"),)/12,)*Index!BC$22</f>
        <v>11411.886823739998</v>
      </c>
      <c r="BE28" s="171">
        <f>$F28*(1+$H28)^ROUNDUP(IFERROR(DATEDIF($G28-1,BE$14+1,"m"),)/12,)*Index!BD$22</f>
        <v>11411.886823739998</v>
      </c>
      <c r="BF28" s="171">
        <f>$F28*(1+$H28)^ROUNDUP(IFERROR(DATEDIF($G28-1,BF$14+1,"m"),)/12,)*Index!BE$22</f>
        <v>11411.886823739998</v>
      </c>
      <c r="BG28" s="171">
        <f>$F28*(1+$H28)^ROUNDUP(IFERROR(DATEDIF($G28-1,BG$14+1,"m"),)/12,)*Index!BF$22</f>
        <v>11411.886823739998</v>
      </c>
      <c r="BH28" s="171">
        <f>$F28*(1+$H28)^ROUNDUP(IFERROR(DATEDIF($G28-1,BH$14+1,"m"),)/12,)*Index!BG$22</f>
        <v>11411.886823739998</v>
      </c>
      <c r="BI28" s="171">
        <f>$F28*(1+$H28)^ROUNDUP(IFERROR(DATEDIF($G28-1,BI$14+1,"m"),)/12,)*Index!BH$22</f>
        <v>11411.886823739998</v>
      </c>
      <c r="BJ28" s="171">
        <f>$F28*(1+$H28)^ROUNDUP(IFERROR(DATEDIF($G28-1,BJ$14+1,"m"),)/12,)*Index!BI$22</f>
        <v>11640.124560214799</v>
      </c>
      <c r="BK28" s="171">
        <f>$F28*(1+$H28)^ROUNDUP(IFERROR(DATEDIF($G28-1,BK$14+1,"m"),)/12,)*Index!BJ$22</f>
        <v>11640.124560214799</v>
      </c>
      <c r="BL28" s="171">
        <f>$F28*(1+$H28)^ROUNDUP(IFERROR(DATEDIF($G28-1,BL$14+1,"m"),)/12,)*Index!BK$22</f>
        <v>11640.124560214799</v>
      </c>
      <c r="BM28" s="171">
        <f>$F28*(1+$H28)^ROUNDUP(IFERROR(DATEDIF($G28-1,BM$14+1,"m"),)/12,)*Index!BL$22</f>
        <v>11640.124560214799</v>
      </c>
      <c r="BN28" s="171">
        <f>$F28*(1+$H28)^ROUNDUP(IFERROR(DATEDIF($G28-1,BN$14+1,"m"),)/12,)*Index!BM$22</f>
        <v>11640.124560214799</v>
      </c>
      <c r="BO28" s="171">
        <f>$F28*(1+$H28)^ROUNDUP(IFERROR(DATEDIF($G28-1,BO$14+1,"m"),)/12,)*Index!BN$22</f>
        <v>11640.124560214799</v>
      </c>
      <c r="BP28" s="171">
        <f>$F28*(1+$H28)^ROUNDUP(IFERROR(DATEDIF($G28-1,BP$14+1,"m"),)/12,)*Index!BO$22</f>
        <v>11640.124560214799</v>
      </c>
      <c r="BQ28" s="171">
        <f>$F28*(1+$H28)^ROUNDUP(IFERROR(DATEDIF($G28-1,BQ$14+1,"m"),)/12,)*Index!BP$22</f>
        <v>11640.124560214799</v>
      </c>
      <c r="BR28" s="171">
        <f>$F28*(1+$H28)^ROUNDUP(IFERROR(DATEDIF($G28-1,BR$14+1,"m"),)/12,)*Index!BQ$22</f>
        <v>11640.124560214799</v>
      </c>
      <c r="BS28" s="171">
        <f>$F28*(1+$H28)^ROUNDUP(IFERROR(DATEDIF($G28-1,BS$14+1,"m"),)/12,)*Index!BR$22</f>
        <v>11640.124560214799</v>
      </c>
      <c r="BT28" s="171">
        <f>$F28*(1+$H28)^ROUNDUP(IFERROR(DATEDIF($G28-1,BT$14+1,"m"),)/12,)*Index!BS$22</f>
        <v>11640.124560214799</v>
      </c>
      <c r="BU28" s="171">
        <f>$F28*(1+$H28)^ROUNDUP(IFERROR(DATEDIF($G28-1,BU$14+1,"m"),)/12,)*Index!BT$22</f>
        <v>11640.124560214799</v>
      </c>
      <c r="BV28" s="171">
        <f>$F28*(1+$H28)^ROUNDUP(IFERROR(DATEDIF($G28-1,BV$14+1,"m"),)/12,)*Index!BU$22</f>
        <v>11872.927051419096</v>
      </c>
      <c r="BW28" s="171">
        <f>$F28*(1+$H28)^ROUNDUP(IFERROR(DATEDIF($G28-1,BW$14+1,"m"),)/12,)*Index!BV$22</f>
        <v>11872.927051419096</v>
      </c>
      <c r="BX28" s="171">
        <f>$F28*(1+$H28)^ROUNDUP(IFERROR(DATEDIF($G28-1,BX$14+1,"m"),)/12,)*Index!BW$22</f>
        <v>11872.927051419096</v>
      </c>
      <c r="BY28" s="171">
        <f>$F28*(1+$H28)^ROUNDUP(IFERROR(DATEDIF($G28-1,BY$14+1,"m"),)/12,)*Index!BX$22</f>
        <v>11872.927051419096</v>
      </c>
      <c r="BZ28" s="171">
        <f>$F28*(1+$H28)^ROUNDUP(IFERROR(DATEDIF($G28-1,BZ$14+1,"m"),)/12,)*Index!BY$22</f>
        <v>11872.927051419096</v>
      </c>
      <c r="CA28" s="171">
        <f>$F28*(1+$H28)^ROUNDUP(IFERROR(DATEDIF($G28-1,CA$14+1,"m"),)/12,)*Index!BZ$22</f>
        <v>11872.927051419096</v>
      </c>
      <c r="CB28" s="171">
        <f>$F28*(1+$H28)^ROUNDUP(IFERROR(DATEDIF($G28-1,CB$14+1,"m"),)/12,)*Index!CA$22</f>
        <v>11872.927051419096</v>
      </c>
      <c r="CC28" s="171">
        <f>$F28*(1+$H28)^ROUNDUP(IFERROR(DATEDIF($G28-1,CC$14+1,"m"),)/12,)*Index!CB$22</f>
        <v>11872.927051419096</v>
      </c>
      <c r="CD28" s="171">
        <f>$F28*(1+$H28)^ROUNDUP(IFERROR(DATEDIF($G28-1,CD$14+1,"m"),)/12,)*Index!CC$22</f>
        <v>11872.927051419096</v>
      </c>
      <c r="CE28" s="171">
        <f>$F28*(1+$H28)^ROUNDUP(IFERROR(DATEDIF($G28-1,CE$14+1,"m"),)/12,)*Index!CD$22</f>
        <v>11872.927051419096</v>
      </c>
      <c r="CF28" s="171">
        <f>$F28*(1+$H28)^ROUNDUP(IFERROR(DATEDIF($G28-1,CF$14+1,"m"),)/12,)*Index!CE$22</f>
        <v>11872.927051419096</v>
      </c>
      <c r="CG28" s="171">
        <f>$F28*(1+$H28)^ROUNDUP(IFERROR(DATEDIF($G28-1,CG$14+1,"m"),)/12,)*Index!CF$22</f>
        <v>11872.927051419096</v>
      </c>
      <c r="CH28" s="171">
        <f>$F28*(1+$H28)^ROUNDUP(IFERROR(DATEDIF($G28-1,CH$14+1,"m"),)/12,)*Index!CG$22</f>
        <v>12110.385592447477</v>
      </c>
      <c r="CI28" s="171">
        <f>$F28*(1+$H28)^ROUNDUP(IFERROR(DATEDIF($G28-1,CI$14+1,"m"),)/12,)*Index!CH$22</f>
        <v>12110.385592447477</v>
      </c>
      <c r="CJ28" s="171">
        <f>$F28*(1+$H28)^ROUNDUP(IFERROR(DATEDIF($G28-1,CJ$14+1,"m"),)/12,)*Index!CI$22</f>
        <v>12110.385592447477</v>
      </c>
      <c r="CK28" s="171">
        <f>$F28*(1+$H28)^ROUNDUP(IFERROR(DATEDIF($G28-1,CK$14+1,"m"),)/12,)*Index!CJ$22</f>
        <v>12110.385592447477</v>
      </c>
      <c r="CL28" s="171">
        <f>$F28*(1+$H28)^ROUNDUP(IFERROR(DATEDIF($G28-1,CL$14+1,"m"),)/12,)*Index!CK$22</f>
        <v>12110.385592447477</v>
      </c>
      <c r="CM28" s="171">
        <f>$F28*(1+$H28)^ROUNDUP(IFERROR(DATEDIF($G28-1,CM$14+1,"m"),)/12,)*Index!CL$22</f>
        <v>12110.385592447477</v>
      </c>
      <c r="CN28" s="171">
        <f>$F28*(1+$H28)^ROUNDUP(IFERROR(DATEDIF($G28-1,CN$14+1,"m"),)/12,)*Index!CM$22</f>
        <v>12110.385592447477</v>
      </c>
      <c r="CO28" s="171">
        <f>$F28*(1+$H28)^ROUNDUP(IFERROR(DATEDIF($G28-1,CO$14+1,"m"),)/12,)*Index!CN$22</f>
        <v>12110.385592447477</v>
      </c>
      <c r="CP28" s="171">
        <f>$F28*(1+$H28)^ROUNDUP(IFERROR(DATEDIF($G28-1,CP$14+1,"m"),)/12,)*Index!CO$22</f>
        <v>12110.385592447477</v>
      </c>
      <c r="CQ28" s="171">
        <f>$F28*(1+$H28)^ROUNDUP(IFERROR(DATEDIF($G28-1,CQ$14+1,"m"),)/12,)*Index!CP$22</f>
        <v>12110.385592447477</v>
      </c>
      <c r="CR28" s="171">
        <f>$F28*(1+$H28)^ROUNDUP(IFERROR(DATEDIF($G28-1,CR$14+1,"m"),)/12,)*Index!CQ$22</f>
        <v>12110.385592447477</v>
      </c>
      <c r="CS28" s="171">
        <f>$F28*(1+$H28)^ROUNDUP(IFERROR(DATEDIF($G28-1,CS$14+1,"m"),)/12,)*Index!CR$22</f>
        <v>12110.385592447477</v>
      </c>
      <c r="CT28" s="171">
        <f>$F28*(1+$H28)^ROUNDUP(IFERROR(DATEDIF($G28-1,CT$14+1,"m"),)/12,)*Index!CS$22</f>
        <v>12352.593304296424</v>
      </c>
      <c r="CU28" s="171">
        <f>$F28*(1+$H28)^ROUNDUP(IFERROR(DATEDIF($G28-1,CU$14+1,"m"),)/12,)*Index!CT$22</f>
        <v>12352.593304296424</v>
      </c>
      <c r="CV28" s="171">
        <f>$F28*(1+$H28)^ROUNDUP(IFERROR(DATEDIF($G28-1,CV$14+1,"m"),)/12,)*Index!CU$22</f>
        <v>12352.593304296424</v>
      </c>
      <c r="CW28" s="171">
        <f>$F28*(1+$H28)^ROUNDUP(IFERROR(DATEDIF($G28-1,CW$14+1,"m"),)/12,)*Index!CV$22</f>
        <v>12352.593304296424</v>
      </c>
      <c r="CX28" s="171">
        <f>$F28*(1+$H28)^ROUNDUP(IFERROR(DATEDIF($G28-1,CX$14+1,"m"),)/12,)*Index!CW$22</f>
        <v>12352.593304296424</v>
      </c>
      <c r="CY28" s="171">
        <f>$F28*(1+$H28)^ROUNDUP(IFERROR(DATEDIF($G28-1,CY$14+1,"m"),)/12,)*Index!CX$22</f>
        <v>12352.593304296424</v>
      </c>
      <c r="CZ28" s="171">
        <f>$F28*(1+$H28)^ROUNDUP(IFERROR(DATEDIF($G28-1,CZ$14+1,"m"),)/12,)*Index!CY$22</f>
        <v>12352.593304296424</v>
      </c>
      <c r="DA28" s="171">
        <f>$F28*(1+$H28)^ROUNDUP(IFERROR(DATEDIF($G28-1,DA$14+1,"m"),)/12,)*Index!CZ$22</f>
        <v>12352.593304296424</v>
      </c>
      <c r="DB28" s="171">
        <f>$F28*(1+$H28)^ROUNDUP(IFERROR(DATEDIF($G28-1,DB$14+1,"m"),)/12,)*Index!DA$22</f>
        <v>12352.593304296424</v>
      </c>
      <c r="DC28" s="171">
        <f>$F28*(1+$H28)^ROUNDUP(IFERROR(DATEDIF($G28-1,DC$14+1,"m"),)/12,)*Index!DB$22</f>
        <v>12352.593304296424</v>
      </c>
      <c r="DD28" s="171">
        <f>$F28*(1+$H28)^ROUNDUP(IFERROR(DATEDIF($G28-1,DD$14+1,"m"),)/12,)*Index!DC$22</f>
        <v>12352.593304296424</v>
      </c>
      <c r="DE28" s="171">
        <f>$F28*(1+$H28)^ROUNDUP(IFERROR(DATEDIF($G28-1,DE$14+1,"m"),)/12,)*Index!DD$22</f>
        <v>12352.593304296424</v>
      </c>
      <c r="DF28" s="171">
        <f>$F28*(1+$H28)^ROUNDUP(IFERROR(DATEDIF($G28-1,DF$14+1,"m"),)/12,)*Index!DE$22</f>
        <v>12599.645170382355</v>
      </c>
      <c r="DG28" s="171">
        <f>$F28*(1+$H28)^ROUNDUP(IFERROR(DATEDIF($G28-1,DG$14+1,"m"),)/12,)*Index!DF$22</f>
        <v>12599.645170382355</v>
      </c>
      <c r="DH28" s="171">
        <f>$F28*(1+$H28)^ROUNDUP(IFERROR(DATEDIF($G28-1,DH$14+1,"m"),)/12,)*Index!DG$22</f>
        <v>12599.645170382355</v>
      </c>
      <c r="DI28" s="171">
        <f>$F28*(1+$H28)^ROUNDUP(IFERROR(DATEDIF($G28-1,DI$14+1,"m"),)/12,)*Index!DH$22</f>
        <v>12599.645170382355</v>
      </c>
      <c r="DJ28" s="171">
        <f>$F28*(1+$H28)^ROUNDUP(IFERROR(DATEDIF($G28-1,DJ$14+1,"m"),)/12,)*Index!DI$22</f>
        <v>12599.645170382355</v>
      </c>
      <c r="DK28" s="171">
        <f>$F28*(1+$H28)^ROUNDUP(IFERROR(DATEDIF($G28-1,DK$14+1,"m"),)/12,)*Index!DJ$22</f>
        <v>12599.645170382355</v>
      </c>
      <c r="DL28" s="171">
        <f>$F28*(1+$H28)^ROUNDUP(IFERROR(DATEDIF($G28-1,DL$14+1,"m"),)/12,)*Index!DK$22</f>
        <v>12599.645170382355</v>
      </c>
      <c r="DM28" s="171">
        <f>$F28*(1+$H28)^ROUNDUP(IFERROR(DATEDIF($G28-1,DM$14+1,"m"),)/12,)*Index!DL$22</f>
        <v>12599.645170382355</v>
      </c>
      <c r="DN28" s="171">
        <f>$F28*(1+$H28)^ROUNDUP(IFERROR(DATEDIF($G28-1,DN$14+1,"m"),)/12,)*Index!DM$22</f>
        <v>12599.645170382355</v>
      </c>
      <c r="DO28" s="171">
        <f>$F28*(1+$H28)^ROUNDUP(IFERROR(DATEDIF($G28-1,DO$14+1,"m"),)/12,)*Index!DN$22</f>
        <v>12599.645170382355</v>
      </c>
      <c r="DP28" s="171">
        <f>$F28*(1+$H28)^ROUNDUP(IFERROR(DATEDIF($G28-1,DP$14+1,"m"),)/12,)*Index!DO$22</f>
        <v>12599.645170382355</v>
      </c>
      <c r="DQ28" s="171">
        <f>$F28*(1+$H28)^ROUNDUP(IFERROR(DATEDIF($G28-1,DQ$14+1,"m"),)/12,)*Index!DP$22</f>
        <v>12599.645170382355</v>
      </c>
      <c r="DR28" s="171">
        <f>$F28*(1+$H28)^ROUNDUP(IFERROR(DATEDIF($G28-1,DR$14+1,"m"),)/12,)*Index!DQ$22</f>
        <v>12851.638073790002</v>
      </c>
      <c r="DS28" s="171">
        <f>$F28*(1+$H28)^ROUNDUP(IFERROR(DATEDIF($G28-1,DS$14+1,"m"),)/12,)*Index!DR$22</f>
        <v>12851.638073790002</v>
      </c>
      <c r="DT28" s="171">
        <f>$F28*(1+$H28)^ROUNDUP(IFERROR(DATEDIF($G28-1,DT$14+1,"m"),)/12,)*Index!DS$22</f>
        <v>12851.638073790002</v>
      </c>
      <c r="DU28" s="171">
        <f>$F28*(1+$H28)^ROUNDUP(IFERROR(DATEDIF($G28-1,DU$14+1,"m"),)/12,)*Index!DT$22</f>
        <v>12851.638073790002</v>
      </c>
      <c r="DV28" s="171">
        <f>$F28*(1+$H28)^ROUNDUP(IFERROR(DATEDIF($G28-1,DV$14+1,"m"),)/12,)*Index!DU$22</f>
        <v>12851.638073790002</v>
      </c>
      <c r="DW28" s="171">
        <f>$F28*(1+$H28)^ROUNDUP(IFERROR(DATEDIF($G28-1,DW$14+1,"m"),)/12,)*Index!DV$22</f>
        <v>12851.638073790002</v>
      </c>
      <c r="DX28" s="171">
        <f>$F28*(1+$H28)^ROUNDUP(IFERROR(DATEDIF($G28-1,DX$14+1,"m"),)/12,)*Index!DW$22</f>
        <v>12851.638073790002</v>
      </c>
      <c r="DY28" s="171">
        <f>$F28*(1+$H28)^ROUNDUP(IFERROR(DATEDIF($G28-1,DY$14+1,"m"),)/12,)*Index!DX$22</f>
        <v>12851.638073790002</v>
      </c>
      <c r="DZ28" s="171">
        <f>$F28*(1+$H28)^ROUNDUP(IFERROR(DATEDIF($G28-1,DZ$14+1,"m"),)/12,)*Index!DY$22</f>
        <v>12851.638073790002</v>
      </c>
      <c r="EA28" s="171">
        <f>$F28*(1+$H28)^ROUNDUP(IFERROR(DATEDIF($G28-1,EA$14+1,"m"),)/12,)*Index!DZ$22</f>
        <v>12851.638073790002</v>
      </c>
      <c r="EB28" s="171">
        <f>$F28*(1+$H28)^ROUNDUP(IFERROR(DATEDIF($G28-1,EB$14+1,"m"),)/12,)*Index!EA$22</f>
        <v>12851.638073790002</v>
      </c>
      <c r="EC28" s="171">
        <f>$F28*(1+$H28)^ROUNDUP(IFERROR(DATEDIF($G28-1,EC$14+1,"m"),)/12,)*Index!EB$22</f>
        <v>12851.638073790002</v>
      </c>
      <c r="ED28" s="171">
        <f>$F28*(1+$H28)^ROUNDUP(IFERROR(DATEDIF($G28-1,ED$14+1,"m"),)/12,)*Index!EC$22</f>
        <v>0</v>
      </c>
      <c r="EE28" s="171">
        <f>$F28*(1+$H28)^ROUNDUP(IFERROR(DATEDIF($G28-1,EE$14+1,"m"),)/12,)*Index!ED$22</f>
        <v>0</v>
      </c>
      <c r="EF28" s="171">
        <f>$F28*(1+$H28)^ROUNDUP(IFERROR(DATEDIF($G28-1,EF$14+1,"m"),)/12,)*Index!EE$22</f>
        <v>0</v>
      </c>
      <c r="EG28" s="171">
        <f>$F28*(1+$H28)^ROUNDUP(IFERROR(DATEDIF($G28-1,EG$14+1,"m"),)/12,)*Index!EF$22</f>
        <v>0</v>
      </c>
      <c r="EH28" s="171">
        <f>$F28*(1+$H28)^ROUNDUP(IFERROR(DATEDIF($G28-1,EH$14+1,"m"),)/12,)*Index!EG$22</f>
        <v>0</v>
      </c>
      <c r="EI28" s="171">
        <f>$F28*(1+$H28)^ROUNDUP(IFERROR(DATEDIF($G28-1,EI$14+1,"m"),)/12,)*Index!EH$22</f>
        <v>0</v>
      </c>
      <c r="EJ28" s="171">
        <f>$F28*(1+$H28)^ROUNDUP(IFERROR(DATEDIF($G28-1,EJ$14+1,"m"),)/12,)*Index!EI$22</f>
        <v>0</v>
      </c>
      <c r="EK28" s="171">
        <f>$F28*(1+$H28)^ROUNDUP(IFERROR(DATEDIF($G28-1,EK$14+1,"m"),)/12,)*Index!EJ$22</f>
        <v>0</v>
      </c>
      <c r="EL28" s="171">
        <f>$F28*(1+$H28)^ROUNDUP(IFERROR(DATEDIF($G28-1,EL$14+1,"m"),)/12,)*Index!EK$22</f>
        <v>0</v>
      </c>
      <c r="EM28" s="171">
        <f>$F28*(1+$H28)^ROUNDUP(IFERROR(DATEDIF($G28-1,EM$14+1,"m"),)/12,)*Index!EL$22</f>
        <v>0</v>
      </c>
      <c r="EN28" s="171">
        <f>$F28*(1+$H28)^ROUNDUP(IFERROR(DATEDIF($G28-1,EN$14+1,"m"),)/12,)*Index!EM$22</f>
        <v>0</v>
      </c>
      <c r="EO28" s="171">
        <f>$F28*(1+$H28)^ROUNDUP(IFERROR(DATEDIF($G28-1,EO$14+1,"m"),)/12,)*Index!EN$22</f>
        <v>0</v>
      </c>
      <c r="EP28" s="171">
        <f>$F28*(1+$H28)^ROUNDUP(IFERROR(DATEDIF($G28-1,EP$14+1,"m"),)/12,)*Index!EO$22</f>
        <v>0</v>
      </c>
      <c r="EQ28" s="171">
        <f>$F28*(1+$H28)^ROUNDUP(IFERROR(DATEDIF($G28-1,EQ$14+1,"m"),)/12,)*Index!EP$22</f>
        <v>0</v>
      </c>
      <c r="ER28" s="171">
        <f>$F28*(1+$H28)^ROUNDUP(IFERROR(DATEDIF($G28-1,ER$14+1,"m"),)/12,)*Index!EQ$22</f>
        <v>0</v>
      </c>
    </row>
    <row r="29" spans="3:148" ht="11.25" customHeight="1">
      <c r="C29" s="163"/>
      <c r="D29" s="169" t="s">
        <v>92</v>
      </c>
      <c r="F29" s="805">
        <f>'A&amp;R'!O75</f>
        <v>32849.518333333333</v>
      </c>
      <c r="G29" s="806">
        <f>'A&amp;R'!R75</f>
        <v>46691</v>
      </c>
      <c r="H29" s="807">
        <f>'A&amp;R'!Q75</f>
        <v>-1.4999999999999999E-2</v>
      </c>
      <c r="I29" s="65"/>
      <c r="J29" s="90"/>
      <c r="K29" s="171">
        <f t="shared" si="12"/>
        <v>3686229.9268934671</v>
      </c>
      <c r="L29" s="98"/>
      <c r="M29" s="171">
        <f>$F29*(1+$H29)^ROUNDUP(IFERROR(DATEDIF($G29-1,M$14+1,"m"),)/12,)*Index!L$22</f>
        <v>0</v>
      </c>
      <c r="N29" s="171">
        <f>$F29*(1+$H29)^ROUNDUP(IFERROR(DATEDIF($G29-1,N$14+1,"m"),)/12,)*Index!M$22</f>
        <v>32849.518333333333</v>
      </c>
      <c r="O29" s="171">
        <f>$F29*(1+$H29)^ROUNDUP(IFERROR(DATEDIF($G29-1,O$14+1,"m"),)/12,)*Index!N$22</f>
        <v>32849.518333333333</v>
      </c>
      <c r="P29" s="171">
        <f>$F29*(1+$H29)^ROUNDUP(IFERROR(DATEDIF($G29-1,P$14+1,"m"),)/12,)*Index!O$22</f>
        <v>32849.518333333333</v>
      </c>
      <c r="Q29" s="171">
        <f>$F29*(1+$H29)^ROUNDUP(IFERROR(DATEDIF($G29-1,Q$14+1,"m"),)/12,)*Index!P$22</f>
        <v>32849.518333333333</v>
      </c>
      <c r="R29" s="171">
        <f>$F29*(1+$H29)^ROUNDUP(IFERROR(DATEDIF($G29-1,R$14+1,"m"),)/12,)*Index!Q$22</f>
        <v>32849.518333333333</v>
      </c>
      <c r="S29" s="171">
        <f>$F29*(1+$H29)^ROUNDUP(IFERROR(DATEDIF($G29-1,S$14+1,"m"),)/12,)*Index!R$22</f>
        <v>32849.518333333333</v>
      </c>
      <c r="T29" s="171">
        <f>$F29*(1+$H29)^ROUNDUP(IFERROR(DATEDIF($G29-1,T$14+1,"m"),)/12,)*Index!S$22</f>
        <v>32849.518333333333</v>
      </c>
      <c r="U29" s="171">
        <f>$F29*(1+$H29)^ROUNDUP(IFERROR(DATEDIF($G29-1,U$14+1,"m"),)/12,)*Index!T$22</f>
        <v>32849.518333333333</v>
      </c>
      <c r="V29" s="171">
        <f>$F29*(1+$H29)^ROUNDUP(IFERROR(DATEDIF($G29-1,V$14+1,"m"),)/12,)*Index!U$22</f>
        <v>32849.518333333333</v>
      </c>
      <c r="W29" s="171">
        <f>$F29*(1+$H29)^ROUNDUP(IFERROR(DATEDIF($G29-1,W$14+1,"m"),)/12,)*Index!V$22</f>
        <v>32849.518333333333</v>
      </c>
      <c r="X29" s="171">
        <f>$F29*(1+$H29)^ROUNDUP(IFERROR(DATEDIF($G29-1,X$14+1,"m"),)/12,)*Index!W$22</f>
        <v>32849.518333333333</v>
      </c>
      <c r="Y29" s="171">
        <f>$F29*(1+$H29)^ROUNDUP(IFERROR(DATEDIF($G29-1,Y$14+1,"m"),)/12,)*Index!X$22</f>
        <v>32849.518333333333</v>
      </c>
      <c r="Z29" s="171">
        <f>$F29*(1+$H29)^ROUNDUP(IFERROR(DATEDIF($G29-1,Z$14+1,"m"),)/12,)*Index!Y$22</f>
        <v>32356.775558333335</v>
      </c>
      <c r="AA29" s="171">
        <f>$F29*(1+$H29)^ROUNDUP(IFERROR(DATEDIF($G29-1,AA$14+1,"m"),)/12,)*Index!Z$22</f>
        <v>32356.775558333335</v>
      </c>
      <c r="AB29" s="171">
        <f>$F29*(1+$H29)^ROUNDUP(IFERROR(DATEDIF($G29-1,AB$14+1,"m"),)/12,)*Index!AA$22</f>
        <v>32356.775558333335</v>
      </c>
      <c r="AC29" s="171">
        <f>$F29*(1+$H29)^ROUNDUP(IFERROR(DATEDIF($G29-1,AC$14+1,"m"),)/12,)*Index!AB$22</f>
        <v>32356.775558333335</v>
      </c>
      <c r="AD29" s="171">
        <f>$F29*(1+$H29)^ROUNDUP(IFERROR(DATEDIF($G29-1,AD$14+1,"m"),)/12,)*Index!AC$22</f>
        <v>32356.775558333335</v>
      </c>
      <c r="AE29" s="171">
        <f>$F29*(1+$H29)^ROUNDUP(IFERROR(DATEDIF($G29-1,AE$14+1,"m"),)/12,)*Index!AD$22</f>
        <v>32356.775558333335</v>
      </c>
      <c r="AF29" s="171">
        <f>$F29*(1+$H29)^ROUNDUP(IFERROR(DATEDIF($G29-1,AF$14+1,"m"),)/12,)*Index!AE$22</f>
        <v>32356.775558333335</v>
      </c>
      <c r="AG29" s="171">
        <f>$F29*(1+$H29)^ROUNDUP(IFERROR(DATEDIF($G29-1,AG$14+1,"m"),)/12,)*Index!AF$22</f>
        <v>32356.775558333335</v>
      </c>
      <c r="AH29" s="171">
        <f>$F29*(1+$H29)^ROUNDUP(IFERROR(DATEDIF($G29-1,AH$14+1,"m"),)/12,)*Index!AG$22</f>
        <v>32356.775558333335</v>
      </c>
      <c r="AI29" s="171">
        <f>$F29*(1+$H29)^ROUNDUP(IFERROR(DATEDIF($G29-1,AI$14+1,"m"),)/12,)*Index!AH$22</f>
        <v>32356.775558333335</v>
      </c>
      <c r="AJ29" s="171">
        <f>$F29*(1+$H29)^ROUNDUP(IFERROR(DATEDIF($G29-1,AJ$14+1,"m"),)/12,)*Index!AI$22</f>
        <v>32356.775558333335</v>
      </c>
      <c r="AK29" s="171">
        <f>$F29*(1+$H29)^ROUNDUP(IFERROR(DATEDIF($G29-1,AK$14+1,"m"),)/12,)*Index!AJ$22</f>
        <v>32356.775558333335</v>
      </c>
      <c r="AL29" s="171">
        <f>$F29*(1+$H29)^ROUNDUP(IFERROR(DATEDIF($G29-1,AL$14+1,"m"),)/12,)*Index!AK$22</f>
        <v>31871.423924958333</v>
      </c>
      <c r="AM29" s="171">
        <f>$F29*(1+$H29)^ROUNDUP(IFERROR(DATEDIF($G29-1,AM$14+1,"m"),)/12,)*Index!AL$22</f>
        <v>31871.423924958333</v>
      </c>
      <c r="AN29" s="171">
        <f>$F29*(1+$H29)^ROUNDUP(IFERROR(DATEDIF($G29-1,AN$14+1,"m"),)/12,)*Index!AM$22</f>
        <v>31871.423924958333</v>
      </c>
      <c r="AO29" s="171">
        <f>$F29*(1+$H29)^ROUNDUP(IFERROR(DATEDIF($G29-1,AO$14+1,"m"),)/12,)*Index!AN$22</f>
        <v>31871.423924958333</v>
      </c>
      <c r="AP29" s="171">
        <f>$F29*(1+$H29)^ROUNDUP(IFERROR(DATEDIF($G29-1,AP$14+1,"m"),)/12,)*Index!AO$22</f>
        <v>31871.423924958333</v>
      </c>
      <c r="AQ29" s="171">
        <f>$F29*(1+$H29)^ROUNDUP(IFERROR(DATEDIF($G29-1,AQ$14+1,"m"),)/12,)*Index!AP$22</f>
        <v>31871.423924958333</v>
      </c>
      <c r="AR29" s="171">
        <f>$F29*(1+$H29)^ROUNDUP(IFERROR(DATEDIF($G29-1,AR$14+1,"m"),)/12,)*Index!AQ$22</f>
        <v>31871.423924958333</v>
      </c>
      <c r="AS29" s="171">
        <f>$F29*(1+$H29)^ROUNDUP(IFERROR(DATEDIF($G29-1,AS$14+1,"m"),)/12,)*Index!AR$22</f>
        <v>31871.423924958333</v>
      </c>
      <c r="AT29" s="171">
        <f>$F29*(1+$H29)^ROUNDUP(IFERROR(DATEDIF($G29-1,AT$14+1,"m"),)/12,)*Index!AS$22</f>
        <v>31871.423924958333</v>
      </c>
      <c r="AU29" s="171">
        <f>$F29*(1+$H29)^ROUNDUP(IFERROR(DATEDIF($G29-1,AU$14+1,"m"),)/12,)*Index!AT$22</f>
        <v>31871.423924958333</v>
      </c>
      <c r="AV29" s="171">
        <f>$F29*(1+$H29)^ROUNDUP(IFERROR(DATEDIF($G29-1,AV$14+1,"m"),)/12,)*Index!AU$22</f>
        <v>31871.423924958333</v>
      </c>
      <c r="AW29" s="171">
        <f>$F29*(1+$H29)^ROUNDUP(IFERROR(DATEDIF($G29-1,AW$14+1,"m"),)/12,)*Index!AV$22</f>
        <v>31871.423924958333</v>
      </c>
      <c r="AX29" s="171">
        <f>$F29*(1+$H29)^ROUNDUP(IFERROR(DATEDIF($G29-1,AX$14+1,"m"),)/12,)*Index!AW$22</f>
        <v>31393.352566083959</v>
      </c>
      <c r="AY29" s="171">
        <f>$F29*(1+$H29)^ROUNDUP(IFERROR(DATEDIF($G29-1,AY$14+1,"m"),)/12,)*Index!AX$22</f>
        <v>31393.352566083959</v>
      </c>
      <c r="AZ29" s="171">
        <f>$F29*(1+$H29)^ROUNDUP(IFERROR(DATEDIF($G29-1,AZ$14+1,"m"),)/12,)*Index!AY$22</f>
        <v>31393.352566083959</v>
      </c>
      <c r="BA29" s="171">
        <f>$F29*(1+$H29)^ROUNDUP(IFERROR(DATEDIF($G29-1,BA$14+1,"m"),)/12,)*Index!AZ$22</f>
        <v>31393.352566083959</v>
      </c>
      <c r="BB29" s="171">
        <f>$F29*(1+$H29)^ROUNDUP(IFERROR(DATEDIF($G29-1,BB$14+1,"m"),)/12,)*Index!BA$22</f>
        <v>31393.352566083959</v>
      </c>
      <c r="BC29" s="171">
        <f>$F29*(1+$H29)^ROUNDUP(IFERROR(DATEDIF($G29-1,BC$14+1,"m"),)/12,)*Index!BB$22</f>
        <v>31393.352566083959</v>
      </c>
      <c r="BD29" s="171">
        <f>$F29*(1+$H29)^ROUNDUP(IFERROR(DATEDIF($G29-1,BD$14+1,"m"),)/12,)*Index!BC$22</f>
        <v>31393.352566083959</v>
      </c>
      <c r="BE29" s="171">
        <f>$F29*(1+$H29)^ROUNDUP(IFERROR(DATEDIF($G29-1,BE$14+1,"m"),)/12,)*Index!BD$22</f>
        <v>31393.352566083959</v>
      </c>
      <c r="BF29" s="171">
        <f>$F29*(1+$H29)^ROUNDUP(IFERROR(DATEDIF($G29-1,BF$14+1,"m"),)/12,)*Index!BE$22</f>
        <v>31393.352566083959</v>
      </c>
      <c r="BG29" s="171">
        <f>$F29*(1+$H29)^ROUNDUP(IFERROR(DATEDIF($G29-1,BG$14+1,"m"),)/12,)*Index!BF$22</f>
        <v>31393.352566083959</v>
      </c>
      <c r="BH29" s="171">
        <f>$F29*(1+$H29)^ROUNDUP(IFERROR(DATEDIF($G29-1,BH$14+1,"m"),)/12,)*Index!BG$22</f>
        <v>31393.352566083959</v>
      </c>
      <c r="BI29" s="171">
        <f>$F29*(1+$H29)^ROUNDUP(IFERROR(DATEDIF($G29-1,BI$14+1,"m"),)/12,)*Index!BH$22</f>
        <v>31393.352566083959</v>
      </c>
      <c r="BJ29" s="171">
        <f>$F29*(1+$H29)^ROUNDUP(IFERROR(DATEDIF($G29-1,BJ$14+1,"m"),)/12,)*Index!BI$22</f>
        <v>30922.4522775927</v>
      </c>
      <c r="BK29" s="171">
        <f>$F29*(1+$H29)^ROUNDUP(IFERROR(DATEDIF($G29-1,BK$14+1,"m"),)/12,)*Index!BJ$22</f>
        <v>30922.4522775927</v>
      </c>
      <c r="BL29" s="171">
        <f>$F29*(1+$H29)^ROUNDUP(IFERROR(DATEDIF($G29-1,BL$14+1,"m"),)/12,)*Index!BK$22</f>
        <v>30922.4522775927</v>
      </c>
      <c r="BM29" s="171">
        <f>$F29*(1+$H29)^ROUNDUP(IFERROR(DATEDIF($G29-1,BM$14+1,"m"),)/12,)*Index!BL$22</f>
        <v>30922.4522775927</v>
      </c>
      <c r="BN29" s="171">
        <f>$F29*(1+$H29)^ROUNDUP(IFERROR(DATEDIF($G29-1,BN$14+1,"m"),)/12,)*Index!BM$22</f>
        <v>30922.4522775927</v>
      </c>
      <c r="BO29" s="171">
        <f>$F29*(1+$H29)^ROUNDUP(IFERROR(DATEDIF($G29-1,BO$14+1,"m"),)/12,)*Index!BN$22</f>
        <v>30922.4522775927</v>
      </c>
      <c r="BP29" s="171">
        <f>$F29*(1+$H29)^ROUNDUP(IFERROR(DATEDIF($G29-1,BP$14+1,"m"),)/12,)*Index!BO$22</f>
        <v>30922.4522775927</v>
      </c>
      <c r="BQ29" s="171">
        <f>$F29*(1+$H29)^ROUNDUP(IFERROR(DATEDIF($G29-1,BQ$14+1,"m"),)/12,)*Index!BP$22</f>
        <v>30922.4522775927</v>
      </c>
      <c r="BR29" s="171">
        <f>$F29*(1+$H29)^ROUNDUP(IFERROR(DATEDIF($G29-1,BR$14+1,"m"),)/12,)*Index!BQ$22</f>
        <v>30922.4522775927</v>
      </c>
      <c r="BS29" s="171">
        <f>$F29*(1+$H29)^ROUNDUP(IFERROR(DATEDIF($G29-1,BS$14+1,"m"),)/12,)*Index!BR$22</f>
        <v>30922.4522775927</v>
      </c>
      <c r="BT29" s="171">
        <f>$F29*(1+$H29)^ROUNDUP(IFERROR(DATEDIF($G29-1,BT$14+1,"m"),)/12,)*Index!BS$22</f>
        <v>30922.4522775927</v>
      </c>
      <c r="BU29" s="171">
        <f>$F29*(1+$H29)^ROUNDUP(IFERROR(DATEDIF($G29-1,BU$14+1,"m"),)/12,)*Index!BT$22</f>
        <v>30922.4522775927</v>
      </c>
      <c r="BV29" s="171">
        <f>$F29*(1+$H29)^ROUNDUP(IFERROR(DATEDIF($G29-1,BV$14+1,"m"),)/12,)*Index!BU$22</f>
        <v>30458.61549342881</v>
      </c>
      <c r="BW29" s="171">
        <f>$F29*(1+$H29)^ROUNDUP(IFERROR(DATEDIF($G29-1,BW$14+1,"m"),)/12,)*Index!BV$22</f>
        <v>30458.61549342881</v>
      </c>
      <c r="BX29" s="171">
        <f>$F29*(1+$H29)^ROUNDUP(IFERROR(DATEDIF($G29-1,BX$14+1,"m"),)/12,)*Index!BW$22</f>
        <v>30458.61549342881</v>
      </c>
      <c r="BY29" s="171">
        <f>$F29*(1+$H29)^ROUNDUP(IFERROR(DATEDIF($G29-1,BY$14+1,"m"),)/12,)*Index!BX$22</f>
        <v>30458.61549342881</v>
      </c>
      <c r="BZ29" s="171">
        <f>$F29*(1+$H29)^ROUNDUP(IFERROR(DATEDIF($G29-1,BZ$14+1,"m"),)/12,)*Index!BY$22</f>
        <v>30458.61549342881</v>
      </c>
      <c r="CA29" s="171">
        <f>$F29*(1+$H29)^ROUNDUP(IFERROR(DATEDIF($G29-1,CA$14+1,"m"),)/12,)*Index!BZ$22</f>
        <v>30458.61549342881</v>
      </c>
      <c r="CB29" s="171">
        <f>$F29*(1+$H29)^ROUNDUP(IFERROR(DATEDIF($G29-1,CB$14+1,"m"),)/12,)*Index!CA$22</f>
        <v>30458.61549342881</v>
      </c>
      <c r="CC29" s="171">
        <f>$F29*(1+$H29)^ROUNDUP(IFERROR(DATEDIF($G29-1,CC$14+1,"m"),)/12,)*Index!CB$22</f>
        <v>30458.61549342881</v>
      </c>
      <c r="CD29" s="171">
        <f>$F29*(1+$H29)^ROUNDUP(IFERROR(DATEDIF($G29-1,CD$14+1,"m"),)/12,)*Index!CC$22</f>
        <v>30458.61549342881</v>
      </c>
      <c r="CE29" s="171">
        <f>$F29*(1+$H29)^ROUNDUP(IFERROR(DATEDIF($G29-1,CE$14+1,"m"),)/12,)*Index!CD$22</f>
        <v>30458.61549342881</v>
      </c>
      <c r="CF29" s="171">
        <f>$F29*(1+$H29)^ROUNDUP(IFERROR(DATEDIF($G29-1,CF$14+1,"m"),)/12,)*Index!CE$22</f>
        <v>30458.61549342881</v>
      </c>
      <c r="CG29" s="171">
        <f>$F29*(1+$H29)^ROUNDUP(IFERROR(DATEDIF($G29-1,CG$14+1,"m"),)/12,)*Index!CF$22</f>
        <v>30458.61549342881</v>
      </c>
      <c r="CH29" s="171">
        <f>$F29*(1+$H29)^ROUNDUP(IFERROR(DATEDIF($G29-1,CH$14+1,"m"),)/12,)*Index!CG$22</f>
        <v>30001.736261027378</v>
      </c>
      <c r="CI29" s="171">
        <f>$F29*(1+$H29)^ROUNDUP(IFERROR(DATEDIF($G29-1,CI$14+1,"m"),)/12,)*Index!CH$22</f>
        <v>30001.736261027378</v>
      </c>
      <c r="CJ29" s="171">
        <f>$F29*(1+$H29)^ROUNDUP(IFERROR(DATEDIF($G29-1,CJ$14+1,"m"),)/12,)*Index!CI$22</f>
        <v>30001.736261027378</v>
      </c>
      <c r="CK29" s="171">
        <f>$F29*(1+$H29)^ROUNDUP(IFERROR(DATEDIF($G29-1,CK$14+1,"m"),)/12,)*Index!CJ$22</f>
        <v>30001.736261027378</v>
      </c>
      <c r="CL29" s="171">
        <f>$F29*(1+$H29)^ROUNDUP(IFERROR(DATEDIF($G29-1,CL$14+1,"m"),)/12,)*Index!CK$22</f>
        <v>30001.736261027378</v>
      </c>
      <c r="CM29" s="171">
        <f>$F29*(1+$H29)^ROUNDUP(IFERROR(DATEDIF($G29-1,CM$14+1,"m"),)/12,)*Index!CL$22</f>
        <v>30001.736261027378</v>
      </c>
      <c r="CN29" s="171">
        <f>$F29*(1+$H29)^ROUNDUP(IFERROR(DATEDIF($G29-1,CN$14+1,"m"),)/12,)*Index!CM$22</f>
        <v>30001.736261027378</v>
      </c>
      <c r="CO29" s="171">
        <f>$F29*(1+$H29)^ROUNDUP(IFERROR(DATEDIF($G29-1,CO$14+1,"m"),)/12,)*Index!CN$22</f>
        <v>30001.736261027378</v>
      </c>
      <c r="CP29" s="171">
        <f>$F29*(1+$H29)^ROUNDUP(IFERROR(DATEDIF($G29-1,CP$14+1,"m"),)/12,)*Index!CO$22</f>
        <v>30001.736261027378</v>
      </c>
      <c r="CQ29" s="171">
        <f>$F29*(1+$H29)^ROUNDUP(IFERROR(DATEDIF($G29-1,CQ$14+1,"m"),)/12,)*Index!CP$22</f>
        <v>30001.736261027378</v>
      </c>
      <c r="CR29" s="171">
        <f>$F29*(1+$H29)^ROUNDUP(IFERROR(DATEDIF($G29-1,CR$14+1,"m"),)/12,)*Index!CQ$22</f>
        <v>30001.736261027378</v>
      </c>
      <c r="CS29" s="171">
        <f>$F29*(1+$H29)^ROUNDUP(IFERROR(DATEDIF($G29-1,CS$14+1,"m"),)/12,)*Index!CR$22</f>
        <v>30001.736261027378</v>
      </c>
      <c r="CT29" s="171">
        <f>$F29*(1+$H29)^ROUNDUP(IFERROR(DATEDIF($G29-1,CT$14+1,"m"),)/12,)*Index!CS$22</f>
        <v>29551.710217111966</v>
      </c>
      <c r="CU29" s="171">
        <f>$F29*(1+$H29)^ROUNDUP(IFERROR(DATEDIF($G29-1,CU$14+1,"m"),)/12,)*Index!CT$22</f>
        <v>29551.710217111966</v>
      </c>
      <c r="CV29" s="171">
        <f>$F29*(1+$H29)^ROUNDUP(IFERROR(DATEDIF($G29-1,CV$14+1,"m"),)/12,)*Index!CU$22</f>
        <v>29551.710217111966</v>
      </c>
      <c r="CW29" s="171">
        <f>$F29*(1+$H29)^ROUNDUP(IFERROR(DATEDIF($G29-1,CW$14+1,"m"),)/12,)*Index!CV$22</f>
        <v>29551.710217111966</v>
      </c>
      <c r="CX29" s="171">
        <f>$F29*(1+$H29)^ROUNDUP(IFERROR(DATEDIF($G29-1,CX$14+1,"m"),)/12,)*Index!CW$22</f>
        <v>29551.710217111966</v>
      </c>
      <c r="CY29" s="171">
        <f>$F29*(1+$H29)^ROUNDUP(IFERROR(DATEDIF($G29-1,CY$14+1,"m"),)/12,)*Index!CX$22</f>
        <v>29551.710217111966</v>
      </c>
      <c r="CZ29" s="171">
        <f>$F29*(1+$H29)^ROUNDUP(IFERROR(DATEDIF($G29-1,CZ$14+1,"m"),)/12,)*Index!CY$22</f>
        <v>29551.710217111966</v>
      </c>
      <c r="DA29" s="171">
        <f>$F29*(1+$H29)^ROUNDUP(IFERROR(DATEDIF($G29-1,DA$14+1,"m"),)/12,)*Index!CZ$22</f>
        <v>29551.710217111966</v>
      </c>
      <c r="DB29" s="171">
        <f>$F29*(1+$H29)^ROUNDUP(IFERROR(DATEDIF($G29-1,DB$14+1,"m"),)/12,)*Index!DA$22</f>
        <v>29551.710217111966</v>
      </c>
      <c r="DC29" s="171">
        <f>$F29*(1+$H29)^ROUNDUP(IFERROR(DATEDIF($G29-1,DC$14+1,"m"),)/12,)*Index!DB$22</f>
        <v>29551.710217111966</v>
      </c>
      <c r="DD29" s="171">
        <f>$F29*(1+$H29)^ROUNDUP(IFERROR(DATEDIF($G29-1,DD$14+1,"m"),)/12,)*Index!DC$22</f>
        <v>29551.710217111966</v>
      </c>
      <c r="DE29" s="171">
        <f>$F29*(1+$H29)^ROUNDUP(IFERROR(DATEDIF($G29-1,DE$14+1,"m"),)/12,)*Index!DD$22</f>
        <v>29551.710217111966</v>
      </c>
      <c r="DF29" s="171">
        <f>$F29*(1+$H29)^ROUNDUP(IFERROR(DATEDIF($G29-1,DF$14+1,"m"),)/12,)*Index!DE$22</f>
        <v>29108.434563855288</v>
      </c>
      <c r="DG29" s="171">
        <f>$F29*(1+$H29)^ROUNDUP(IFERROR(DATEDIF($G29-1,DG$14+1,"m"),)/12,)*Index!DF$22</f>
        <v>29108.434563855288</v>
      </c>
      <c r="DH29" s="171">
        <f>$F29*(1+$H29)^ROUNDUP(IFERROR(DATEDIF($G29-1,DH$14+1,"m"),)/12,)*Index!DG$22</f>
        <v>29108.434563855288</v>
      </c>
      <c r="DI29" s="171">
        <f>$F29*(1+$H29)^ROUNDUP(IFERROR(DATEDIF($G29-1,DI$14+1,"m"),)/12,)*Index!DH$22</f>
        <v>29108.434563855288</v>
      </c>
      <c r="DJ29" s="171">
        <f>$F29*(1+$H29)^ROUNDUP(IFERROR(DATEDIF($G29-1,DJ$14+1,"m"),)/12,)*Index!DI$22</f>
        <v>29108.434563855288</v>
      </c>
      <c r="DK29" s="171">
        <f>$F29*(1+$H29)^ROUNDUP(IFERROR(DATEDIF($G29-1,DK$14+1,"m"),)/12,)*Index!DJ$22</f>
        <v>29108.434563855288</v>
      </c>
      <c r="DL29" s="171">
        <f>$F29*(1+$H29)^ROUNDUP(IFERROR(DATEDIF($G29-1,DL$14+1,"m"),)/12,)*Index!DK$22</f>
        <v>29108.434563855288</v>
      </c>
      <c r="DM29" s="171">
        <f>$F29*(1+$H29)^ROUNDUP(IFERROR(DATEDIF($G29-1,DM$14+1,"m"),)/12,)*Index!DL$22</f>
        <v>29108.434563855288</v>
      </c>
      <c r="DN29" s="171">
        <f>$F29*(1+$H29)^ROUNDUP(IFERROR(DATEDIF($G29-1,DN$14+1,"m"),)/12,)*Index!DM$22</f>
        <v>29108.434563855288</v>
      </c>
      <c r="DO29" s="171">
        <f>$F29*(1+$H29)^ROUNDUP(IFERROR(DATEDIF($G29-1,DO$14+1,"m"),)/12,)*Index!DN$22</f>
        <v>29108.434563855288</v>
      </c>
      <c r="DP29" s="171">
        <f>$F29*(1+$H29)^ROUNDUP(IFERROR(DATEDIF($G29-1,DP$14+1,"m"),)/12,)*Index!DO$22</f>
        <v>29108.434563855288</v>
      </c>
      <c r="DQ29" s="171">
        <f>$F29*(1+$H29)^ROUNDUP(IFERROR(DATEDIF($G29-1,DQ$14+1,"m"),)/12,)*Index!DP$22</f>
        <v>29108.434563855288</v>
      </c>
      <c r="DR29" s="171">
        <f>$F29*(1+$H29)^ROUNDUP(IFERROR(DATEDIF($G29-1,DR$14+1,"m"),)/12,)*Index!DQ$22</f>
        <v>28671.808045397458</v>
      </c>
      <c r="DS29" s="171">
        <f>$F29*(1+$H29)^ROUNDUP(IFERROR(DATEDIF($G29-1,DS$14+1,"m"),)/12,)*Index!DR$22</f>
        <v>28671.808045397458</v>
      </c>
      <c r="DT29" s="171">
        <f>$F29*(1+$H29)^ROUNDUP(IFERROR(DATEDIF($G29-1,DT$14+1,"m"),)/12,)*Index!DS$22</f>
        <v>28671.808045397458</v>
      </c>
      <c r="DU29" s="171">
        <f>$F29*(1+$H29)^ROUNDUP(IFERROR(DATEDIF($G29-1,DU$14+1,"m"),)/12,)*Index!DT$22</f>
        <v>28671.808045397458</v>
      </c>
      <c r="DV29" s="171">
        <f>$F29*(1+$H29)^ROUNDUP(IFERROR(DATEDIF($G29-1,DV$14+1,"m"),)/12,)*Index!DU$22</f>
        <v>28671.808045397458</v>
      </c>
      <c r="DW29" s="171">
        <f>$F29*(1+$H29)^ROUNDUP(IFERROR(DATEDIF($G29-1,DW$14+1,"m"),)/12,)*Index!DV$22</f>
        <v>28671.808045397458</v>
      </c>
      <c r="DX29" s="171">
        <f>$F29*(1+$H29)^ROUNDUP(IFERROR(DATEDIF($G29-1,DX$14+1,"m"),)/12,)*Index!DW$22</f>
        <v>28671.808045397458</v>
      </c>
      <c r="DY29" s="171">
        <f>$F29*(1+$H29)^ROUNDUP(IFERROR(DATEDIF($G29-1,DY$14+1,"m"),)/12,)*Index!DX$22</f>
        <v>28671.808045397458</v>
      </c>
      <c r="DZ29" s="171">
        <f>$F29*(1+$H29)^ROUNDUP(IFERROR(DATEDIF($G29-1,DZ$14+1,"m"),)/12,)*Index!DY$22</f>
        <v>28671.808045397458</v>
      </c>
      <c r="EA29" s="171">
        <f>$F29*(1+$H29)^ROUNDUP(IFERROR(DATEDIF($G29-1,EA$14+1,"m"),)/12,)*Index!DZ$22</f>
        <v>28671.808045397458</v>
      </c>
      <c r="EB29" s="171">
        <f>$F29*(1+$H29)^ROUNDUP(IFERROR(DATEDIF($G29-1,EB$14+1,"m"),)/12,)*Index!EA$22</f>
        <v>28671.808045397458</v>
      </c>
      <c r="EC29" s="171">
        <f>$F29*(1+$H29)^ROUNDUP(IFERROR(DATEDIF($G29-1,EC$14+1,"m"),)/12,)*Index!EB$22</f>
        <v>28671.808045397458</v>
      </c>
      <c r="ED29" s="171">
        <f>$F29*(1+$H29)^ROUNDUP(IFERROR(DATEDIF($G29-1,ED$14+1,"m"),)/12,)*Index!EC$22</f>
        <v>0</v>
      </c>
      <c r="EE29" s="171">
        <f>$F29*(1+$H29)^ROUNDUP(IFERROR(DATEDIF($G29-1,EE$14+1,"m"),)/12,)*Index!ED$22</f>
        <v>0</v>
      </c>
      <c r="EF29" s="171">
        <f>$F29*(1+$H29)^ROUNDUP(IFERROR(DATEDIF($G29-1,EF$14+1,"m"),)/12,)*Index!EE$22</f>
        <v>0</v>
      </c>
      <c r="EG29" s="171">
        <f>$F29*(1+$H29)^ROUNDUP(IFERROR(DATEDIF($G29-1,EG$14+1,"m"),)/12,)*Index!EF$22</f>
        <v>0</v>
      </c>
      <c r="EH29" s="171">
        <f>$F29*(1+$H29)^ROUNDUP(IFERROR(DATEDIF($G29-1,EH$14+1,"m"),)/12,)*Index!EG$22</f>
        <v>0</v>
      </c>
      <c r="EI29" s="171">
        <f>$F29*(1+$H29)^ROUNDUP(IFERROR(DATEDIF($G29-1,EI$14+1,"m"),)/12,)*Index!EH$22</f>
        <v>0</v>
      </c>
      <c r="EJ29" s="171">
        <f>$F29*(1+$H29)^ROUNDUP(IFERROR(DATEDIF($G29-1,EJ$14+1,"m"),)/12,)*Index!EI$22</f>
        <v>0</v>
      </c>
      <c r="EK29" s="171">
        <f>$F29*(1+$H29)^ROUNDUP(IFERROR(DATEDIF($G29-1,EK$14+1,"m"),)/12,)*Index!EJ$22</f>
        <v>0</v>
      </c>
      <c r="EL29" s="171">
        <f>$F29*(1+$H29)^ROUNDUP(IFERROR(DATEDIF($G29-1,EL$14+1,"m"),)/12,)*Index!EK$22</f>
        <v>0</v>
      </c>
      <c r="EM29" s="171">
        <f>$F29*(1+$H29)^ROUNDUP(IFERROR(DATEDIF($G29-1,EM$14+1,"m"),)/12,)*Index!EL$22</f>
        <v>0</v>
      </c>
      <c r="EN29" s="171">
        <f>$F29*(1+$H29)^ROUNDUP(IFERROR(DATEDIF($G29-1,EN$14+1,"m"),)/12,)*Index!EM$22</f>
        <v>0</v>
      </c>
      <c r="EO29" s="171">
        <f>$F29*(1+$H29)^ROUNDUP(IFERROR(DATEDIF($G29-1,EO$14+1,"m"),)/12,)*Index!EN$22</f>
        <v>0</v>
      </c>
      <c r="EP29" s="171">
        <f>$F29*(1+$H29)^ROUNDUP(IFERROR(DATEDIF($G29-1,EP$14+1,"m"),)/12,)*Index!EO$22</f>
        <v>0</v>
      </c>
      <c r="EQ29" s="171">
        <f>$F29*(1+$H29)^ROUNDUP(IFERROR(DATEDIF($G29-1,EQ$14+1,"m"),)/12,)*Index!EP$22</f>
        <v>0</v>
      </c>
      <c r="ER29" s="171">
        <f>$F29*(1+$H29)^ROUNDUP(IFERROR(DATEDIF($G29-1,ER$14+1,"m"),)/12,)*Index!EQ$22</f>
        <v>0</v>
      </c>
    </row>
    <row r="30" spans="3:148" ht="11.25" customHeight="1">
      <c r="C30" s="163"/>
      <c r="D30" s="169" t="s">
        <v>93</v>
      </c>
      <c r="F30" s="805">
        <f>'A&amp;R'!O76</f>
        <v>0</v>
      </c>
      <c r="G30" s="806">
        <f>'A&amp;R'!R76</f>
        <v>46691</v>
      </c>
      <c r="H30" s="807">
        <f>'A&amp;R'!Q76</f>
        <v>0.02</v>
      </c>
      <c r="I30" s="65"/>
      <c r="J30" s="90"/>
      <c r="K30" s="171">
        <f t="shared" si="12"/>
        <v>0</v>
      </c>
      <c r="L30" s="98"/>
      <c r="M30" s="171">
        <f>$F30*(1+$H30)^ROUNDUP(IFERROR(DATEDIF($G30-1,M$14+1,"m"),)/12,)*Index!L$22</f>
        <v>0</v>
      </c>
      <c r="N30" s="171">
        <f>$F30*(1+$H30)^ROUNDUP(IFERROR(DATEDIF($G30-1,N$14+1,"m"),)/12,)*Index!M$22</f>
        <v>0</v>
      </c>
      <c r="O30" s="171">
        <f>$F30*(1+$H30)^ROUNDUP(IFERROR(DATEDIF($G30-1,O$14+1,"m"),)/12,)*Index!N$22</f>
        <v>0</v>
      </c>
      <c r="P30" s="171">
        <f>$F30*(1+$H30)^ROUNDUP(IFERROR(DATEDIF($G30-1,P$14+1,"m"),)/12,)*Index!O$22</f>
        <v>0</v>
      </c>
      <c r="Q30" s="171">
        <f>$F30*(1+$H30)^ROUNDUP(IFERROR(DATEDIF($G30-1,Q$14+1,"m"),)/12,)*Index!P$22</f>
        <v>0</v>
      </c>
      <c r="R30" s="171">
        <f>$F30*(1+$H30)^ROUNDUP(IFERROR(DATEDIF($G30-1,R$14+1,"m"),)/12,)*Index!Q$22</f>
        <v>0</v>
      </c>
      <c r="S30" s="171">
        <f>$F30*(1+$H30)^ROUNDUP(IFERROR(DATEDIF($G30-1,S$14+1,"m"),)/12,)*Index!R$22</f>
        <v>0</v>
      </c>
      <c r="T30" s="171">
        <f>$F30*(1+$H30)^ROUNDUP(IFERROR(DATEDIF($G30-1,T$14+1,"m"),)/12,)*Index!S$22</f>
        <v>0</v>
      </c>
      <c r="U30" s="171">
        <f>$F30*(1+$H30)^ROUNDUP(IFERROR(DATEDIF($G30-1,U$14+1,"m"),)/12,)*Index!T$22</f>
        <v>0</v>
      </c>
      <c r="V30" s="171">
        <f>$F30*(1+$H30)^ROUNDUP(IFERROR(DATEDIF($G30-1,V$14+1,"m"),)/12,)*Index!U$22</f>
        <v>0</v>
      </c>
      <c r="W30" s="171">
        <f>$F30*(1+$H30)^ROUNDUP(IFERROR(DATEDIF($G30-1,W$14+1,"m"),)/12,)*Index!V$22</f>
        <v>0</v>
      </c>
      <c r="X30" s="171">
        <f>$F30*(1+$H30)^ROUNDUP(IFERROR(DATEDIF($G30-1,X$14+1,"m"),)/12,)*Index!W$22</f>
        <v>0</v>
      </c>
      <c r="Y30" s="171">
        <f>$F30*(1+$H30)^ROUNDUP(IFERROR(DATEDIF($G30-1,Y$14+1,"m"),)/12,)*Index!X$22</f>
        <v>0</v>
      </c>
      <c r="Z30" s="171">
        <f>$F30*(1+$H30)^ROUNDUP(IFERROR(DATEDIF($G30-1,Z$14+1,"m"),)/12,)*Index!Y$22</f>
        <v>0</v>
      </c>
      <c r="AA30" s="171">
        <f>$F30*(1+$H30)^ROUNDUP(IFERROR(DATEDIF($G30-1,AA$14+1,"m"),)/12,)*Index!Z$22</f>
        <v>0</v>
      </c>
      <c r="AB30" s="171">
        <f>$F30*(1+$H30)^ROUNDUP(IFERROR(DATEDIF($G30-1,AB$14+1,"m"),)/12,)*Index!AA$22</f>
        <v>0</v>
      </c>
      <c r="AC30" s="171">
        <f>$F30*(1+$H30)^ROUNDUP(IFERROR(DATEDIF($G30-1,AC$14+1,"m"),)/12,)*Index!AB$22</f>
        <v>0</v>
      </c>
      <c r="AD30" s="171">
        <f>$F30*(1+$H30)^ROUNDUP(IFERROR(DATEDIF($G30-1,AD$14+1,"m"),)/12,)*Index!AC$22</f>
        <v>0</v>
      </c>
      <c r="AE30" s="171">
        <f>$F30*(1+$H30)^ROUNDUP(IFERROR(DATEDIF($G30-1,AE$14+1,"m"),)/12,)*Index!AD$22</f>
        <v>0</v>
      </c>
      <c r="AF30" s="171">
        <f>$F30*(1+$H30)^ROUNDUP(IFERROR(DATEDIF($G30-1,AF$14+1,"m"),)/12,)*Index!AE$22</f>
        <v>0</v>
      </c>
      <c r="AG30" s="171">
        <f>$F30*(1+$H30)^ROUNDUP(IFERROR(DATEDIF($G30-1,AG$14+1,"m"),)/12,)*Index!AF$22</f>
        <v>0</v>
      </c>
      <c r="AH30" s="171">
        <f>$F30*(1+$H30)^ROUNDUP(IFERROR(DATEDIF($G30-1,AH$14+1,"m"),)/12,)*Index!AG$22</f>
        <v>0</v>
      </c>
      <c r="AI30" s="171">
        <f>$F30*(1+$H30)^ROUNDUP(IFERROR(DATEDIF($G30-1,AI$14+1,"m"),)/12,)*Index!AH$22</f>
        <v>0</v>
      </c>
      <c r="AJ30" s="171">
        <f>$F30*(1+$H30)^ROUNDUP(IFERROR(DATEDIF($G30-1,AJ$14+1,"m"),)/12,)*Index!AI$22</f>
        <v>0</v>
      </c>
      <c r="AK30" s="171">
        <f>$F30*(1+$H30)^ROUNDUP(IFERROR(DATEDIF($G30-1,AK$14+1,"m"),)/12,)*Index!AJ$22</f>
        <v>0</v>
      </c>
      <c r="AL30" s="171">
        <f>$F30*(1+$H30)^ROUNDUP(IFERROR(DATEDIF($G30-1,AL$14+1,"m"),)/12,)*Index!AK$22</f>
        <v>0</v>
      </c>
      <c r="AM30" s="171">
        <f>$F30*(1+$H30)^ROUNDUP(IFERROR(DATEDIF($G30-1,AM$14+1,"m"),)/12,)*Index!AL$22</f>
        <v>0</v>
      </c>
      <c r="AN30" s="171">
        <f>$F30*(1+$H30)^ROUNDUP(IFERROR(DATEDIF($G30-1,AN$14+1,"m"),)/12,)*Index!AM$22</f>
        <v>0</v>
      </c>
      <c r="AO30" s="171">
        <f>$F30*(1+$H30)^ROUNDUP(IFERROR(DATEDIF($G30-1,AO$14+1,"m"),)/12,)*Index!AN$22</f>
        <v>0</v>
      </c>
      <c r="AP30" s="171">
        <f>$F30*(1+$H30)^ROUNDUP(IFERROR(DATEDIF($G30-1,AP$14+1,"m"),)/12,)*Index!AO$22</f>
        <v>0</v>
      </c>
      <c r="AQ30" s="171">
        <f>$F30*(1+$H30)^ROUNDUP(IFERROR(DATEDIF($G30-1,AQ$14+1,"m"),)/12,)*Index!AP$22</f>
        <v>0</v>
      </c>
      <c r="AR30" s="171">
        <f>$F30*(1+$H30)^ROUNDUP(IFERROR(DATEDIF($G30-1,AR$14+1,"m"),)/12,)*Index!AQ$22</f>
        <v>0</v>
      </c>
      <c r="AS30" s="171">
        <f>$F30*(1+$H30)^ROUNDUP(IFERROR(DATEDIF($G30-1,AS$14+1,"m"),)/12,)*Index!AR$22</f>
        <v>0</v>
      </c>
      <c r="AT30" s="171">
        <f>$F30*(1+$H30)^ROUNDUP(IFERROR(DATEDIF($G30-1,AT$14+1,"m"),)/12,)*Index!AS$22</f>
        <v>0</v>
      </c>
      <c r="AU30" s="171">
        <f>$F30*(1+$H30)^ROUNDUP(IFERROR(DATEDIF($G30-1,AU$14+1,"m"),)/12,)*Index!AT$22</f>
        <v>0</v>
      </c>
      <c r="AV30" s="171">
        <f>$F30*(1+$H30)^ROUNDUP(IFERROR(DATEDIF($G30-1,AV$14+1,"m"),)/12,)*Index!AU$22</f>
        <v>0</v>
      </c>
      <c r="AW30" s="171">
        <f>$F30*(1+$H30)^ROUNDUP(IFERROR(DATEDIF($G30-1,AW$14+1,"m"),)/12,)*Index!AV$22</f>
        <v>0</v>
      </c>
      <c r="AX30" s="171">
        <f>$F30*(1+$H30)^ROUNDUP(IFERROR(DATEDIF($G30-1,AX$14+1,"m"),)/12,)*Index!AW$22</f>
        <v>0</v>
      </c>
      <c r="AY30" s="171">
        <f>$F30*(1+$H30)^ROUNDUP(IFERROR(DATEDIF($G30-1,AY$14+1,"m"),)/12,)*Index!AX$22</f>
        <v>0</v>
      </c>
      <c r="AZ30" s="171">
        <f>$F30*(1+$H30)^ROUNDUP(IFERROR(DATEDIF($G30-1,AZ$14+1,"m"),)/12,)*Index!AY$22</f>
        <v>0</v>
      </c>
      <c r="BA30" s="171">
        <f>$F30*(1+$H30)^ROUNDUP(IFERROR(DATEDIF($G30-1,BA$14+1,"m"),)/12,)*Index!AZ$22</f>
        <v>0</v>
      </c>
      <c r="BB30" s="171">
        <f>$F30*(1+$H30)^ROUNDUP(IFERROR(DATEDIF($G30-1,BB$14+1,"m"),)/12,)*Index!BA$22</f>
        <v>0</v>
      </c>
      <c r="BC30" s="171">
        <f>$F30*(1+$H30)^ROUNDUP(IFERROR(DATEDIF($G30-1,BC$14+1,"m"),)/12,)*Index!BB$22</f>
        <v>0</v>
      </c>
      <c r="BD30" s="171">
        <f>$F30*(1+$H30)^ROUNDUP(IFERROR(DATEDIF($G30-1,BD$14+1,"m"),)/12,)*Index!BC$22</f>
        <v>0</v>
      </c>
      <c r="BE30" s="171">
        <f>$F30*(1+$H30)^ROUNDUP(IFERROR(DATEDIF($G30-1,BE$14+1,"m"),)/12,)*Index!BD$22</f>
        <v>0</v>
      </c>
      <c r="BF30" s="171">
        <f>$F30*(1+$H30)^ROUNDUP(IFERROR(DATEDIF($G30-1,BF$14+1,"m"),)/12,)*Index!BE$22</f>
        <v>0</v>
      </c>
      <c r="BG30" s="171">
        <f>$F30*(1+$H30)^ROUNDUP(IFERROR(DATEDIF($G30-1,BG$14+1,"m"),)/12,)*Index!BF$22</f>
        <v>0</v>
      </c>
      <c r="BH30" s="171">
        <f>$F30*(1+$H30)^ROUNDUP(IFERROR(DATEDIF($G30-1,BH$14+1,"m"),)/12,)*Index!BG$22</f>
        <v>0</v>
      </c>
      <c r="BI30" s="171">
        <f>$F30*(1+$H30)^ROUNDUP(IFERROR(DATEDIF($G30-1,BI$14+1,"m"),)/12,)*Index!BH$22</f>
        <v>0</v>
      </c>
      <c r="BJ30" s="171">
        <f>$F30*(1+$H30)^ROUNDUP(IFERROR(DATEDIF($G30-1,BJ$14+1,"m"),)/12,)*Index!BI$22</f>
        <v>0</v>
      </c>
      <c r="BK30" s="171">
        <f>$F30*(1+$H30)^ROUNDUP(IFERROR(DATEDIF($G30-1,BK$14+1,"m"),)/12,)*Index!BJ$22</f>
        <v>0</v>
      </c>
      <c r="BL30" s="171">
        <f>$F30*(1+$H30)^ROUNDUP(IFERROR(DATEDIF($G30-1,BL$14+1,"m"),)/12,)*Index!BK$22</f>
        <v>0</v>
      </c>
      <c r="BM30" s="171">
        <f>$F30*(1+$H30)^ROUNDUP(IFERROR(DATEDIF($G30-1,BM$14+1,"m"),)/12,)*Index!BL$22</f>
        <v>0</v>
      </c>
      <c r="BN30" s="171">
        <f>$F30*(1+$H30)^ROUNDUP(IFERROR(DATEDIF($G30-1,BN$14+1,"m"),)/12,)*Index!BM$22</f>
        <v>0</v>
      </c>
      <c r="BO30" s="171">
        <f>$F30*(1+$H30)^ROUNDUP(IFERROR(DATEDIF($G30-1,BO$14+1,"m"),)/12,)*Index!BN$22</f>
        <v>0</v>
      </c>
      <c r="BP30" s="171">
        <f>$F30*(1+$H30)^ROUNDUP(IFERROR(DATEDIF($G30-1,BP$14+1,"m"),)/12,)*Index!BO$22</f>
        <v>0</v>
      </c>
      <c r="BQ30" s="171">
        <f>$F30*(1+$H30)^ROUNDUP(IFERROR(DATEDIF($G30-1,BQ$14+1,"m"),)/12,)*Index!BP$22</f>
        <v>0</v>
      </c>
      <c r="BR30" s="171">
        <f>$F30*(1+$H30)^ROUNDUP(IFERROR(DATEDIF($G30-1,BR$14+1,"m"),)/12,)*Index!BQ$22</f>
        <v>0</v>
      </c>
      <c r="BS30" s="171">
        <f>$F30*(1+$H30)^ROUNDUP(IFERROR(DATEDIF($G30-1,BS$14+1,"m"),)/12,)*Index!BR$22</f>
        <v>0</v>
      </c>
      <c r="BT30" s="171">
        <f>$F30*(1+$H30)^ROUNDUP(IFERROR(DATEDIF($G30-1,BT$14+1,"m"),)/12,)*Index!BS$22</f>
        <v>0</v>
      </c>
      <c r="BU30" s="171">
        <f>$F30*(1+$H30)^ROUNDUP(IFERROR(DATEDIF($G30-1,BU$14+1,"m"),)/12,)*Index!BT$22</f>
        <v>0</v>
      </c>
      <c r="BV30" s="171">
        <f>$F30*(1+$H30)^ROUNDUP(IFERROR(DATEDIF($G30-1,BV$14+1,"m"),)/12,)*Index!BU$22</f>
        <v>0</v>
      </c>
      <c r="BW30" s="171">
        <f>$F30*(1+$H30)^ROUNDUP(IFERROR(DATEDIF($G30-1,BW$14+1,"m"),)/12,)*Index!BV$22</f>
        <v>0</v>
      </c>
      <c r="BX30" s="171">
        <f>$F30*(1+$H30)^ROUNDUP(IFERROR(DATEDIF($G30-1,BX$14+1,"m"),)/12,)*Index!BW$22</f>
        <v>0</v>
      </c>
      <c r="BY30" s="171">
        <f>$F30*(1+$H30)^ROUNDUP(IFERROR(DATEDIF($G30-1,BY$14+1,"m"),)/12,)*Index!BX$22</f>
        <v>0</v>
      </c>
      <c r="BZ30" s="171">
        <f>$F30*(1+$H30)^ROUNDUP(IFERROR(DATEDIF($G30-1,BZ$14+1,"m"),)/12,)*Index!BY$22</f>
        <v>0</v>
      </c>
      <c r="CA30" s="171">
        <f>$F30*(1+$H30)^ROUNDUP(IFERROR(DATEDIF($G30-1,CA$14+1,"m"),)/12,)*Index!BZ$22</f>
        <v>0</v>
      </c>
      <c r="CB30" s="171">
        <f>$F30*(1+$H30)^ROUNDUP(IFERROR(DATEDIF($G30-1,CB$14+1,"m"),)/12,)*Index!CA$22</f>
        <v>0</v>
      </c>
      <c r="CC30" s="171">
        <f>$F30*(1+$H30)^ROUNDUP(IFERROR(DATEDIF($G30-1,CC$14+1,"m"),)/12,)*Index!CB$22</f>
        <v>0</v>
      </c>
      <c r="CD30" s="171">
        <f>$F30*(1+$H30)^ROUNDUP(IFERROR(DATEDIF($G30-1,CD$14+1,"m"),)/12,)*Index!CC$22</f>
        <v>0</v>
      </c>
      <c r="CE30" s="171">
        <f>$F30*(1+$H30)^ROUNDUP(IFERROR(DATEDIF($G30-1,CE$14+1,"m"),)/12,)*Index!CD$22</f>
        <v>0</v>
      </c>
      <c r="CF30" s="171">
        <f>$F30*(1+$H30)^ROUNDUP(IFERROR(DATEDIF($G30-1,CF$14+1,"m"),)/12,)*Index!CE$22</f>
        <v>0</v>
      </c>
      <c r="CG30" s="171">
        <f>$F30*(1+$H30)^ROUNDUP(IFERROR(DATEDIF($G30-1,CG$14+1,"m"),)/12,)*Index!CF$22</f>
        <v>0</v>
      </c>
      <c r="CH30" s="171">
        <f>$F30*(1+$H30)^ROUNDUP(IFERROR(DATEDIF($G30-1,CH$14+1,"m"),)/12,)*Index!CG$22</f>
        <v>0</v>
      </c>
      <c r="CI30" s="171">
        <f>$F30*(1+$H30)^ROUNDUP(IFERROR(DATEDIF($G30-1,CI$14+1,"m"),)/12,)*Index!CH$22</f>
        <v>0</v>
      </c>
      <c r="CJ30" s="171">
        <f>$F30*(1+$H30)^ROUNDUP(IFERROR(DATEDIF($G30-1,CJ$14+1,"m"),)/12,)*Index!CI$22</f>
        <v>0</v>
      </c>
      <c r="CK30" s="171">
        <f>$F30*(1+$H30)^ROUNDUP(IFERROR(DATEDIF($G30-1,CK$14+1,"m"),)/12,)*Index!CJ$22</f>
        <v>0</v>
      </c>
      <c r="CL30" s="171">
        <f>$F30*(1+$H30)^ROUNDUP(IFERROR(DATEDIF($G30-1,CL$14+1,"m"),)/12,)*Index!CK$22</f>
        <v>0</v>
      </c>
      <c r="CM30" s="171">
        <f>$F30*(1+$H30)^ROUNDUP(IFERROR(DATEDIF($G30-1,CM$14+1,"m"),)/12,)*Index!CL$22</f>
        <v>0</v>
      </c>
      <c r="CN30" s="171">
        <f>$F30*(1+$H30)^ROUNDUP(IFERROR(DATEDIF($G30-1,CN$14+1,"m"),)/12,)*Index!CM$22</f>
        <v>0</v>
      </c>
      <c r="CO30" s="171">
        <f>$F30*(1+$H30)^ROUNDUP(IFERROR(DATEDIF($G30-1,CO$14+1,"m"),)/12,)*Index!CN$22</f>
        <v>0</v>
      </c>
      <c r="CP30" s="171">
        <f>$F30*(1+$H30)^ROUNDUP(IFERROR(DATEDIF($G30-1,CP$14+1,"m"),)/12,)*Index!CO$22</f>
        <v>0</v>
      </c>
      <c r="CQ30" s="171">
        <f>$F30*(1+$H30)^ROUNDUP(IFERROR(DATEDIF($G30-1,CQ$14+1,"m"),)/12,)*Index!CP$22</f>
        <v>0</v>
      </c>
      <c r="CR30" s="171">
        <f>$F30*(1+$H30)^ROUNDUP(IFERROR(DATEDIF($G30-1,CR$14+1,"m"),)/12,)*Index!CQ$22</f>
        <v>0</v>
      </c>
      <c r="CS30" s="171">
        <f>$F30*(1+$H30)^ROUNDUP(IFERROR(DATEDIF($G30-1,CS$14+1,"m"),)/12,)*Index!CR$22</f>
        <v>0</v>
      </c>
      <c r="CT30" s="171">
        <f>$F30*(1+$H30)^ROUNDUP(IFERROR(DATEDIF($G30-1,CT$14+1,"m"),)/12,)*Index!CS$22</f>
        <v>0</v>
      </c>
      <c r="CU30" s="171">
        <f>$F30*(1+$H30)^ROUNDUP(IFERROR(DATEDIF($G30-1,CU$14+1,"m"),)/12,)*Index!CT$22</f>
        <v>0</v>
      </c>
      <c r="CV30" s="171">
        <f>$F30*(1+$H30)^ROUNDUP(IFERROR(DATEDIF($G30-1,CV$14+1,"m"),)/12,)*Index!CU$22</f>
        <v>0</v>
      </c>
      <c r="CW30" s="171">
        <f>$F30*(1+$H30)^ROUNDUP(IFERROR(DATEDIF($G30-1,CW$14+1,"m"),)/12,)*Index!CV$22</f>
        <v>0</v>
      </c>
      <c r="CX30" s="171">
        <f>$F30*(1+$H30)^ROUNDUP(IFERROR(DATEDIF($G30-1,CX$14+1,"m"),)/12,)*Index!CW$22</f>
        <v>0</v>
      </c>
      <c r="CY30" s="171">
        <f>$F30*(1+$H30)^ROUNDUP(IFERROR(DATEDIF($G30-1,CY$14+1,"m"),)/12,)*Index!CX$22</f>
        <v>0</v>
      </c>
      <c r="CZ30" s="171">
        <f>$F30*(1+$H30)^ROUNDUP(IFERROR(DATEDIF($G30-1,CZ$14+1,"m"),)/12,)*Index!CY$22</f>
        <v>0</v>
      </c>
      <c r="DA30" s="171">
        <f>$F30*(1+$H30)^ROUNDUP(IFERROR(DATEDIF($G30-1,DA$14+1,"m"),)/12,)*Index!CZ$22</f>
        <v>0</v>
      </c>
      <c r="DB30" s="171">
        <f>$F30*(1+$H30)^ROUNDUP(IFERROR(DATEDIF($G30-1,DB$14+1,"m"),)/12,)*Index!DA$22</f>
        <v>0</v>
      </c>
      <c r="DC30" s="171">
        <f>$F30*(1+$H30)^ROUNDUP(IFERROR(DATEDIF($G30-1,DC$14+1,"m"),)/12,)*Index!DB$22</f>
        <v>0</v>
      </c>
      <c r="DD30" s="171">
        <f>$F30*(1+$H30)^ROUNDUP(IFERROR(DATEDIF($G30-1,DD$14+1,"m"),)/12,)*Index!DC$22</f>
        <v>0</v>
      </c>
      <c r="DE30" s="171">
        <f>$F30*(1+$H30)^ROUNDUP(IFERROR(DATEDIF($G30-1,DE$14+1,"m"),)/12,)*Index!DD$22</f>
        <v>0</v>
      </c>
      <c r="DF30" s="171">
        <f>$F30*(1+$H30)^ROUNDUP(IFERROR(DATEDIF($G30-1,DF$14+1,"m"),)/12,)*Index!DE$22</f>
        <v>0</v>
      </c>
      <c r="DG30" s="171">
        <f>$F30*(1+$H30)^ROUNDUP(IFERROR(DATEDIF($G30-1,DG$14+1,"m"),)/12,)*Index!DF$22</f>
        <v>0</v>
      </c>
      <c r="DH30" s="171">
        <f>$F30*(1+$H30)^ROUNDUP(IFERROR(DATEDIF($G30-1,DH$14+1,"m"),)/12,)*Index!DG$22</f>
        <v>0</v>
      </c>
      <c r="DI30" s="171">
        <f>$F30*(1+$H30)^ROUNDUP(IFERROR(DATEDIF($G30-1,DI$14+1,"m"),)/12,)*Index!DH$22</f>
        <v>0</v>
      </c>
      <c r="DJ30" s="171">
        <f>$F30*(1+$H30)^ROUNDUP(IFERROR(DATEDIF($G30-1,DJ$14+1,"m"),)/12,)*Index!DI$22</f>
        <v>0</v>
      </c>
      <c r="DK30" s="171">
        <f>$F30*(1+$H30)^ROUNDUP(IFERROR(DATEDIF($G30-1,DK$14+1,"m"),)/12,)*Index!DJ$22</f>
        <v>0</v>
      </c>
      <c r="DL30" s="171">
        <f>$F30*(1+$H30)^ROUNDUP(IFERROR(DATEDIF($G30-1,DL$14+1,"m"),)/12,)*Index!DK$22</f>
        <v>0</v>
      </c>
      <c r="DM30" s="171">
        <f>$F30*(1+$H30)^ROUNDUP(IFERROR(DATEDIF($G30-1,DM$14+1,"m"),)/12,)*Index!DL$22</f>
        <v>0</v>
      </c>
      <c r="DN30" s="171">
        <f>$F30*(1+$H30)^ROUNDUP(IFERROR(DATEDIF($G30-1,DN$14+1,"m"),)/12,)*Index!DM$22</f>
        <v>0</v>
      </c>
      <c r="DO30" s="171">
        <f>$F30*(1+$H30)^ROUNDUP(IFERROR(DATEDIF($G30-1,DO$14+1,"m"),)/12,)*Index!DN$22</f>
        <v>0</v>
      </c>
      <c r="DP30" s="171">
        <f>$F30*(1+$H30)^ROUNDUP(IFERROR(DATEDIF($G30-1,DP$14+1,"m"),)/12,)*Index!DO$22</f>
        <v>0</v>
      </c>
      <c r="DQ30" s="171">
        <f>$F30*(1+$H30)^ROUNDUP(IFERROR(DATEDIF($G30-1,DQ$14+1,"m"),)/12,)*Index!DP$22</f>
        <v>0</v>
      </c>
      <c r="DR30" s="171">
        <f>$F30*(1+$H30)^ROUNDUP(IFERROR(DATEDIF($G30-1,DR$14+1,"m"),)/12,)*Index!DQ$22</f>
        <v>0</v>
      </c>
      <c r="DS30" s="171">
        <f>$F30*(1+$H30)^ROUNDUP(IFERROR(DATEDIF($G30-1,DS$14+1,"m"),)/12,)*Index!DR$22</f>
        <v>0</v>
      </c>
      <c r="DT30" s="171">
        <f>$F30*(1+$H30)^ROUNDUP(IFERROR(DATEDIF($G30-1,DT$14+1,"m"),)/12,)*Index!DS$22</f>
        <v>0</v>
      </c>
      <c r="DU30" s="171">
        <f>$F30*(1+$H30)^ROUNDUP(IFERROR(DATEDIF($G30-1,DU$14+1,"m"),)/12,)*Index!DT$22</f>
        <v>0</v>
      </c>
      <c r="DV30" s="171">
        <f>$F30*(1+$H30)^ROUNDUP(IFERROR(DATEDIF($G30-1,DV$14+1,"m"),)/12,)*Index!DU$22</f>
        <v>0</v>
      </c>
      <c r="DW30" s="171">
        <f>$F30*(1+$H30)^ROUNDUP(IFERROR(DATEDIF($G30-1,DW$14+1,"m"),)/12,)*Index!DV$22</f>
        <v>0</v>
      </c>
      <c r="DX30" s="171">
        <f>$F30*(1+$H30)^ROUNDUP(IFERROR(DATEDIF($G30-1,DX$14+1,"m"),)/12,)*Index!DW$22</f>
        <v>0</v>
      </c>
      <c r="DY30" s="171">
        <f>$F30*(1+$H30)^ROUNDUP(IFERROR(DATEDIF($G30-1,DY$14+1,"m"),)/12,)*Index!DX$22</f>
        <v>0</v>
      </c>
      <c r="DZ30" s="171">
        <f>$F30*(1+$H30)^ROUNDUP(IFERROR(DATEDIF($G30-1,DZ$14+1,"m"),)/12,)*Index!DY$22</f>
        <v>0</v>
      </c>
      <c r="EA30" s="171">
        <f>$F30*(1+$H30)^ROUNDUP(IFERROR(DATEDIF($G30-1,EA$14+1,"m"),)/12,)*Index!DZ$22</f>
        <v>0</v>
      </c>
      <c r="EB30" s="171">
        <f>$F30*(1+$H30)^ROUNDUP(IFERROR(DATEDIF($G30-1,EB$14+1,"m"),)/12,)*Index!EA$22</f>
        <v>0</v>
      </c>
      <c r="EC30" s="171">
        <f>$F30*(1+$H30)^ROUNDUP(IFERROR(DATEDIF($G30-1,EC$14+1,"m"),)/12,)*Index!EB$22</f>
        <v>0</v>
      </c>
      <c r="ED30" s="171">
        <f>$F30*(1+$H30)^ROUNDUP(IFERROR(DATEDIF($G30-1,ED$14+1,"m"),)/12,)*Index!EC$22</f>
        <v>0</v>
      </c>
      <c r="EE30" s="171">
        <f>$F30*(1+$H30)^ROUNDUP(IFERROR(DATEDIF($G30-1,EE$14+1,"m"),)/12,)*Index!ED$22</f>
        <v>0</v>
      </c>
      <c r="EF30" s="171">
        <f>$F30*(1+$H30)^ROUNDUP(IFERROR(DATEDIF($G30-1,EF$14+1,"m"),)/12,)*Index!EE$22</f>
        <v>0</v>
      </c>
      <c r="EG30" s="171">
        <f>$F30*(1+$H30)^ROUNDUP(IFERROR(DATEDIF($G30-1,EG$14+1,"m"),)/12,)*Index!EF$22</f>
        <v>0</v>
      </c>
      <c r="EH30" s="171">
        <f>$F30*(1+$H30)^ROUNDUP(IFERROR(DATEDIF($G30-1,EH$14+1,"m"),)/12,)*Index!EG$22</f>
        <v>0</v>
      </c>
      <c r="EI30" s="171">
        <f>$F30*(1+$H30)^ROUNDUP(IFERROR(DATEDIF($G30-1,EI$14+1,"m"),)/12,)*Index!EH$22</f>
        <v>0</v>
      </c>
      <c r="EJ30" s="171">
        <f>$F30*(1+$H30)^ROUNDUP(IFERROR(DATEDIF($G30-1,EJ$14+1,"m"),)/12,)*Index!EI$22</f>
        <v>0</v>
      </c>
      <c r="EK30" s="171">
        <f>$F30*(1+$H30)^ROUNDUP(IFERROR(DATEDIF($G30-1,EK$14+1,"m"),)/12,)*Index!EJ$22</f>
        <v>0</v>
      </c>
      <c r="EL30" s="171">
        <f>$F30*(1+$H30)^ROUNDUP(IFERROR(DATEDIF($G30-1,EL$14+1,"m"),)/12,)*Index!EK$22</f>
        <v>0</v>
      </c>
      <c r="EM30" s="171">
        <f>$F30*(1+$H30)^ROUNDUP(IFERROR(DATEDIF($G30-1,EM$14+1,"m"),)/12,)*Index!EL$22</f>
        <v>0</v>
      </c>
      <c r="EN30" s="171">
        <f>$F30*(1+$H30)^ROUNDUP(IFERROR(DATEDIF($G30-1,EN$14+1,"m"),)/12,)*Index!EM$22</f>
        <v>0</v>
      </c>
      <c r="EO30" s="171">
        <f>$F30*(1+$H30)^ROUNDUP(IFERROR(DATEDIF($G30-1,EO$14+1,"m"),)/12,)*Index!EN$22</f>
        <v>0</v>
      </c>
      <c r="EP30" s="171">
        <f>$F30*(1+$H30)^ROUNDUP(IFERROR(DATEDIF($G30-1,EP$14+1,"m"),)/12,)*Index!EO$22</f>
        <v>0</v>
      </c>
      <c r="EQ30" s="171">
        <f>$F30*(1+$H30)^ROUNDUP(IFERROR(DATEDIF($G30-1,EQ$14+1,"m"),)/12,)*Index!EP$22</f>
        <v>0</v>
      </c>
      <c r="ER30" s="171">
        <f>$F30*(1+$H30)^ROUNDUP(IFERROR(DATEDIF($G30-1,ER$14+1,"m"),)/12,)*Index!EQ$22</f>
        <v>0</v>
      </c>
    </row>
    <row r="31" spans="3:148" ht="11.25" customHeight="1">
      <c r="C31" s="163"/>
      <c r="D31" s="169" t="s">
        <v>99</v>
      </c>
      <c r="F31" s="805">
        <f>SUM('A&amp;R'!AE23/1000)*10%*2.9%/12</f>
        <v>1741.2360810166667</v>
      </c>
      <c r="G31" s="806">
        <f>'A&amp;R'!R77</f>
        <v>46691</v>
      </c>
      <c r="H31" s="807">
        <f>'A&amp;R'!Q77</f>
        <v>0</v>
      </c>
      <c r="I31" s="65"/>
      <c r="J31" s="90"/>
      <c r="K31" s="171">
        <f t="shared" si="12"/>
        <v>208948.32972199976</v>
      </c>
      <c r="L31" s="98"/>
      <c r="M31" s="171">
        <f>$F31*(1+$H31)^ROUNDUP(IFERROR(DATEDIF($G31-1,M$14+1,"m"),)/12,)*Index!L$22</f>
        <v>0</v>
      </c>
      <c r="N31" s="171">
        <f>$F31*(1+$H31)^ROUNDUP(IFERROR(DATEDIF($G31-1,N$14+1,"m"),)/12,)*Index!M$22</f>
        <v>1741.2360810166667</v>
      </c>
      <c r="O31" s="171">
        <f>$F31*(1+$H31)^ROUNDUP(IFERROR(DATEDIF($G31-1,O$14+1,"m"),)/12,)*Index!N$22</f>
        <v>1741.2360810166667</v>
      </c>
      <c r="P31" s="171">
        <f>$F31*(1+$H31)^ROUNDUP(IFERROR(DATEDIF($G31-1,P$14+1,"m"),)/12,)*Index!O$22</f>
        <v>1741.2360810166667</v>
      </c>
      <c r="Q31" s="171">
        <f>$F31*(1+$H31)^ROUNDUP(IFERROR(DATEDIF($G31-1,Q$14+1,"m"),)/12,)*Index!P$22</f>
        <v>1741.2360810166667</v>
      </c>
      <c r="R31" s="171">
        <f>$F31*(1+$H31)^ROUNDUP(IFERROR(DATEDIF($G31-1,R$14+1,"m"),)/12,)*Index!Q$22</f>
        <v>1741.2360810166667</v>
      </c>
      <c r="S31" s="171">
        <f>$F31*(1+$H31)^ROUNDUP(IFERROR(DATEDIF($G31-1,S$14+1,"m"),)/12,)*Index!R$22</f>
        <v>1741.2360810166667</v>
      </c>
      <c r="T31" s="171">
        <f>$F31*(1+$H31)^ROUNDUP(IFERROR(DATEDIF($G31-1,T$14+1,"m"),)/12,)*Index!S$22</f>
        <v>1741.2360810166667</v>
      </c>
      <c r="U31" s="171">
        <f>$F31*(1+$H31)^ROUNDUP(IFERROR(DATEDIF($G31-1,U$14+1,"m"),)/12,)*Index!T$22</f>
        <v>1741.2360810166667</v>
      </c>
      <c r="V31" s="171">
        <f>$F31*(1+$H31)^ROUNDUP(IFERROR(DATEDIF($G31-1,V$14+1,"m"),)/12,)*Index!U$22</f>
        <v>1741.2360810166667</v>
      </c>
      <c r="W31" s="171">
        <f>$F31*(1+$H31)^ROUNDUP(IFERROR(DATEDIF($G31-1,W$14+1,"m"),)/12,)*Index!V$22</f>
        <v>1741.2360810166667</v>
      </c>
      <c r="X31" s="171">
        <f>$F31*(1+$H31)^ROUNDUP(IFERROR(DATEDIF($G31-1,X$14+1,"m"),)/12,)*Index!W$22</f>
        <v>1741.2360810166667</v>
      </c>
      <c r="Y31" s="171">
        <f>$F31*(1+$H31)^ROUNDUP(IFERROR(DATEDIF($G31-1,Y$14+1,"m"),)/12,)*Index!X$22</f>
        <v>1741.2360810166667</v>
      </c>
      <c r="Z31" s="171">
        <f>$F31*(1+$H31)^ROUNDUP(IFERROR(DATEDIF($G31-1,Z$14+1,"m"),)/12,)*Index!Y$22</f>
        <v>1741.2360810166667</v>
      </c>
      <c r="AA31" s="171">
        <f>$F31*(1+$H31)^ROUNDUP(IFERROR(DATEDIF($G31-1,AA$14+1,"m"),)/12,)*Index!Z$22</f>
        <v>1741.2360810166667</v>
      </c>
      <c r="AB31" s="171">
        <f>$F31*(1+$H31)^ROUNDUP(IFERROR(DATEDIF($G31-1,AB$14+1,"m"),)/12,)*Index!AA$22</f>
        <v>1741.2360810166667</v>
      </c>
      <c r="AC31" s="171">
        <f>$F31*(1+$H31)^ROUNDUP(IFERROR(DATEDIF($G31-1,AC$14+1,"m"),)/12,)*Index!AB$22</f>
        <v>1741.2360810166667</v>
      </c>
      <c r="AD31" s="171">
        <f>$F31*(1+$H31)^ROUNDUP(IFERROR(DATEDIF($G31-1,AD$14+1,"m"),)/12,)*Index!AC$22</f>
        <v>1741.2360810166667</v>
      </c>
      <c r="AE31" s="171">
        <f>$F31*(1+$H31)^ROUNDUP(IFERROR(DATEDIF($G31-1,AE$14+1,"m"),)/12,)*Index!AD$22</f>
        <v>1741.2360810166667</v>
      </c>
      <c r="AF31" s="171">
        <f>$F31*(1+$H31)^ROUNDUP(IFERROR(DATEDIF($G31-1,AF$14+1,"m"),)/12,)*Index!AE$22</f>
        <v>1741.2360810166667</v>
      </c>
      <c r="AG31" s="171">
        <f>$F31*(1+$H31)^ROUNDUP(IFERROR(DATEDIF($G31-1,AG$14+1,"m"),)/12,)*Index!AF$22</f>
        <v>1741.2360810166667</v>
      </c>
      <c r="AH31" s="171">
        <f>$F31*(1+$H31)^ROUNDUP(IFERROR(DATEDIF($G31-1,AH$14+1,"m"),)/12,)*Index!AG$22</f>
        <v>1741.2360810166667</v>
      </c>
      <c r="AI31" s="171">
        <f>$F31*(1+$H31)^ROUNDUP(IFERROR(DATEDIF($G31-1,AI$14+1,"m"),)/12,)*Index!AH$22</f>
        <v>1741.2360810166667</v>
      </c>
      <c r="AJ31" s="171">
        <f>$F31*(1+$H31)^ROUNDUP(IFERROR(DATEDIF($G31-1,AJ$14+1,"m"),)/12,)*Index!AI$22</f>
        <v>1741.2360810166667</v>
      </c>
      <c r="AK31" s="171">
        <f>$F31*(1+$H31)^ROUNDUP(IFERROR(DATEDIF($G31-1,AK$14+1,"m"),)/12,)*Index!AJ$22</f>
        <v>1741.2360810166667</v>
      </c>
      <c r="AL31" s="171">
        <f>$F31*(1+$H31)^ROUNDUP(IFERROR(DATEDIF($G31-1,AL$14+1,"m"),)/12,)*Index!AK$22</f>
        <v>1741.2360810166667</v>
      </c>
      <c r="AM31" s="171">
        <f>$F31*(1+$H31)^ROUNDUP(IFERROR(DATEDIF($G31-1,AM$14+1,"m"),)/12,)*Index!AL$22</f>
        <v>1741.2360810166667</v>
      </c>
      <c r="AN31" s="171">
        <f>$F31*(1+$H31)^ROUNDUP(IFERROR(DATEDIF($G31-1,AN$14+1,"m"),)/12,)*Index!AM$22</f>
        <v>1741.2360810166667</v>
      </c>
      <c r="AO31" s="171">
        <f>$F31*(1+$H31)^ROUNDUP(IFERROR(DATEDIF($G31-1,AO$14+1,"m"),)/12,)*Index!AN$22</f>
        <v>1741.2360810166667</v>
      </c>
      <c r="AP31" s="171">
        <f>$F31*(1+$H31)^ROUNDUP(IFERROR(DATEDIF($G31-1,AP$14+1,"m"),)/12,)*Index!AO$22</f>
        <v>1741.2360810166667</v>
      </c>
      <c r="AQ31" s="171">
        <f>$F31*(1+$H31)^ROUNDUP(IFERROR(DATEDIF($G31-1,AQ$14+1,"m"),)/12,)*Index!AP$22</f>
        <v>1741.2360810166667</v>
      </c>
      <c r="AR31" s="171">
        <f>$F31*(1+$H31)^ROUNDUP(IFERROR(DATEDIF($G31-1,AR$14+1,"m"),)/12,)*Index!AQ$22</f>
        <v>1741.2360810166667</v>
      </c>
      <c r="AS31" s="171">
        <f>$F31*(1+$H31)^ROUNDUP(IFERROR(DATEDIF($G31-1,AS$14+1,"m"),)/12,)*Index!AR$22</f>
        <v>1741.2360810166667</v>
      </c>
      <c r="AT31" s="171">
        <f>$F31*(1+$H31)^ROUNDUP(IFERROR(DATEDIF($G31-1,AT$14+1,"m"),)/12,)*Index!AS$22</f>
        <v>1741.2360810166667</v>
      </c>
      <c r="AU31" s="171">
        <f>$F31*(1+$H31)^ROUNDUP(IFERROR(DATEDIF($G31-1,AU$14+1,"m"),)/12,)*Index!AT$22</f>
        <v>1741.2360810166667</v>
      </c>
      <c r="AV31" s="171">
        <f>$F31*(1+$H31)^ROUNDUP(IFERROR(DATEDIF($G31-1,AV$14+1,"m"),)/12,)*Index!AU$22</f>
        <v>1741.2360810166667</v>
      </c>
      <c r="AW31" s="171">
        <f>$F31*(1+$H31)^ROUNDUP(IFERROR(DATEDIF($G31-1,AW$14+1,"m"),)/12,)*Index!AV$22</f>
        <v>1741.2360810166667</v>
      </c>
      <c r="AX31" s="171">
        <f>$F31*(1+$H31)^ROUNDUP(IFERROR(DATEDIF($G31-1,AX$14+1,"m"),)/12,)*Index!AW$22</f>
        <v>1741.2360810166667</v>
      </c>
      <c r="AY31" s="171">
        <f>$F31*(1+$H31)^ROUNDUP(IFERROR(DATEDIF($G31-1,AY$14+1,"m"),)/12,)*Index!AX$22</f>
        <v>1741.2360810166667</v>
      </c>
      <c r="AZ31" s="171">
        <f>$F31*(1+$H31)^ROUNDUP(IFERROR(DATEDIF($G31-1,AZ$14+1,"m"),)/12,)*Index!AY$22</f>
        <v>1741.2360810166667</v>
      </c>
      <c r="BA31" s="171">
        <f>$F31*(1+$H31)^ROUNDUP(IFERROR(DATEDIF($G31-1,BA$14+1,"m"),)/12,)*Index!AZ$22</f>
        <v>1741.2360810166667</v>
      </c>
      <c r="BB31" s="171">
        <f>$F31*(1+$H31)^ROUNDUP(IFERROR(DATEDIF($G31-1,BB$14+1,"m"),)/12,)*Index!BA$22</f>
        <v>1741.2360810166667</v>
      </c>
      <c r="BC31" s="171">
        <f>$F31*(1+$H31)^ROUNDUP(IFERROR(DATEDIF($G31-1,BC$14+1,"m"),)/12,)*Index!BB$22</f>
        <v>1741.2360810166667</v>
      </c>
      <c r="BD31" s="171">
        <f>$F31*(1+$H31)^ROUNDUP(IFERROR(DATEDIF($G31-1,BD$14+1,"m"),)/12,)*Index!BC$22</f>
        <v>1741.2360810166667</v>
      </c>
      <c r="BE31" s="171">
        <f>$F31*(1+$H31)^ROUNDUP(IFERROR(DATEDIF($G31-1,BE$14+1,"m"),)/12,)*Index!BD$22</f>
        <v>1741.2360810166667</v>
      </c>
      <c r="BF31" s="171">
        <f>$F31*(1+$H31)^ROUNDUP(IFERROR(DATEDIF($G31-1,BF$14+1,"m"),)/12,)*Index!BE$22</f>
        <v>1741.2360810166667</v>
      </c>
      <c r="BG31" s="171">
        <f>$F31*(1+$H31)^ROUNDUP(IFERROR(DATEDIF($G31-1,BG$14+1,"m"),)/12,)*Index!BF$22</f>
        <v>1741.2360810166667</v>
      </c>
      <c r="BH31" s="171">
        <f>$F31*(1+$H31)^ROUNDUP(IFERROR(DATEDIF($G31-1,BH$14+1,"m"),)/12,)*Index!BG$22</f>
        <v>1741.2360810166667</v>
      </c>
      <c r="BI31" s="171">
        <f>$F31*(1+$H31)^ROUNDUP(IFERROR(DATEDIF($G31-1,BI$14+1,"m"),)/12,)*Index!BH$22</f>
        <v>1741.2360810166667</v>
      </c>
      <c r="BJ31" s="171">
        <f>$F31*(1+$H31)^ROUNDUP(IFERROR(DATEDIF($G31-1,BJ$14+1,"m"),)/12,)*Index!BI$22</f>
        <v>1741.2360810166667</v>
      </c>
      <c r="BK31" s="171">
        <f>$F31*(1+$H31)^ROUNDUP(IFERROR(DATEDIF($G31-1,BK$14+1,"m"),)/12,)*Index!BJ$22</f>
        <v>1741.2360810166667</v>
      </c>
      <c r="BL31" s="171">
        <f>$F31*(1+$H31)^ROUNDUP(IFERROR(DATEDIF($G31-1,BL$14+1,"m"),)/12,)*Index!BK$22</f>
        <v>1741.2360810166667</v>
      </c>
      <c r="BM31" s="171">
        <f>$F31*(1+$H31)^ROUNDUP(IFERROR(DATEDIF($G31-1,BM$14+1,"m"),)/12,)*Index!BL$22</f>
        <v>1741.2360810166667</v>
      </c>
      <c r="BN31" s="171">
        <f>$F31*(1+$H31)^ROUNDUP(IFERROR(DATEDIF($G31-1,BN$14+1,"m"),)/12,)*Index!BM$22</f>
        <v>1741.2360810166667</v>
      </c>
      <c r="BO31" s="171">
        <f>$F31*(1+$H31)^ROUNDUP(IFERROR(DATEDIF($G31-1,BO$14+1,"m"),)/12,)*Index!BN$22</f>
        <v>1741.2360810166667</v>
      </c>
      <c r="BP31" s="171">
        <f>$F31*(1+$H31)^ROUNDUP(IFERROR(DATEDIF($G31-1,BP$14+1,"m"),)/12,)*Index!BO$22</f>
        <v>1741.2360810166667</v>
      </c>
      <c r="BQ31" s="171">
        <f>$F31*(1+$H31)^ROUNDUP(IFERROR(DATEDIF($G31-1,BQ$14+1,"m"),)/12,)*Index!BP$22</f>
        <v>1741.2360810166667</v>
      </c>
      <c r="BR31" s="171">
        <f>$F31*(1+$H31)^ROUNDUP(IFERROR(DATEDIF($G31-1,BR$14+1,"m"),)/12,)*Index!BQ$22</f>
        <v>1741.2360810166667</v>
      </c>
      <c r="BS31" s="171">
        <f>$F31*(1+$H31)^ROUNDUP(IFERROR(DATEDIF($G31-1,BS$14+1,"m"),)/12,)*Index!BR$22</f>
        <v>1741.2360810166667</v>
      </c>
      <c r="BT31" s="171">
        <f>$F31*(1+$H31)^ROUNDUP(IFERROR(DATEDIF($G31-1,BT$14+1,"m"),)/12,)*Index!BS$22</f>
        <v>1741.2360810166667</v>
      </c>
      <c r="BU31" s="171">
        <f>$F31*(1+$H31)^ROUNDUP(IFERROR(DATEDIF($G31-1,BU$14+1,"m"),)/12,)*Index!BT$22</f>
        <v>1741.2360810166667</v>
      </c>
      <c r="BV31" s="171">
        <f>$F31*(1+$H31)^ROUNDUP(IFERROR(DATEDIF($G31-1,BV$14+1,"m"),)/12,)*Index!BU$22</f>
        <v>1741.2360810166667</v>
      </c>
      <c r="BW31" s="171">
        <f>$F31*(1+$H31)^ROUNDUP(IFERROR(DATEDIF($G31-1,BW$14+1,"m"),)/12,)*Index!BV$22</f>
        <v>1741.2360810166667</v>
      </c>
      <c r="BX31" s="171">
        <f>$F31*(1+$H31)^ROUNDUP(IFERROR(DATEDIF($G31-1,BX$14+1,"m"),)/12,)*Index!BW$22</f>
        <v>1741.2360810166667</v>
      </c>
      <c r="BY31" s="171">
        <f>$F31*(1+$H31)^ROUNDUP(IFERROR(DATEDIF($G31-1,BY$14+1,"m"),)/12,)*Index!BX$22</f>
        <v>1741.2360810166667</v>
      </c>
      <c r="BZ31" s="171">
        <f>$F31*(1+$H31)^ROUNDUP(IFERROR(DATEDIF($G31-1,BZ$14+1,"m"),)/12,)*Index!BY$22</f>
        <v>1741.2360810166667</v>
      </c>
      <c r="CA31" s="171">
        <f>$F31*(1+$H31)^ROUNDUP(IFERROR(DATEDIF($G31-1,CA$14+1,"m"),)/12,)*Index!BZ$22</f>
        <v>1741.2360810166667</v>
      </c>
      <c r="CB31" s="171">
        <f>$F31*(1+$H31)^ROUNDUP(IFERROR(DATEDIF($G31-1,CB$14+1,"m"),)/12,)*Index!CA$22</f>
        <v>1741.2360810166667</v>
      </c>
      <c r="CC31" s="171">
        <f>$F31*(1+$H31)^ROUNDUP(IFERROR(DATEDIF($G31-1,CC$14+1,"m"),)/12,)*Index!CB$22</f>
        <v>1741.2360810166667</v>
      </c>
      <c r="CD31" s="171">
        <f>$F31*(1+$H31)^ROUNDUP(IFERROR(DATEDIF($G31-1,CD$14+1,"m"),)/12,)*Index!CC$22</f>
        <v>1741.2360810166667</v>
      </c>
      <c r="CE31" s="171">
        <f>$F31*(1+$H31)^ROUNDUP(IFERROR(DATEDIF($G31-1,CE$14+1,"m"),)/12,)*Index!CD$22</f>
        <v>1741.2360810166667</v>
      </c>
      <c r="CF31" s="171">
        <f>$F31*(1+$H31)^ROUNDUP(IFERROR(DATEDIF($G31-1,CF$14+1,"m"),)/12,)*Index!CE$22</f>
        <v>1741.2360810166667</v>
      </c>
      <c r="CG31" s="171">
        <f>$F31*(1+$H31)^ROUNDUP(IFERROR(DATEDIF($G31-1,CG$14+1,"m"),)/12,)*Index!CF$22</f>
        <v>1741.2360810166667</v>
      </c>
      <c r="CH31" s="171">
        <f>$F31*(1+$H31)^ROUNDUP(IFERROR(DATEDIF($G31-1,CH$14+1,"m"),)/12,)*Index!CG$22</f>
        <v>1741.2360810166667</v>
      </c>
      <c r="CI31" s="171">
        <f>$F31*(1+$H31)^ROUNDUP(IFERROR(DATEDIF($G31-1,CI$14+1,"m"),)/12,)*Index!CH$22</f>
        <v>1741.2360810166667</v>
      </c>
      <c r="CJ31" s="171">
        <f>$F31*(1+$H31)^ROUNDUP(IFERROR(DATEDIF($G31-1,CJ$14+1,"m"),)/12,)*Index!CI$22</f>
        <v>1741.2360810166667</v>
      </c>
      <c r="CK31" s="171">
        <f>$F31*(1+$H31)^ROUNDUP(IFERROR(DATEDIF($G31-1,CK$14+1,"m"),)/12,)*Index!CJ$22</f>
        <v>1741.2360810166667</v>
      </c>
      <c r="CL31" s="171">
        <f>$F31*(1+$H31)^ROUNDUP(IFERROR(DATEDIF($G31-1,CL$14+1,"m"),)/12,)*Index!CK$22</f>
        <v>1741.2360810166667</v>
      </c>
      <c r="CM31" s="171">
        <f>$F31*(1+$H31)^ROUNDUP(IFERROR(DATEDIF($G31-1,CM$14+1,"m"),)/12,)*Index!CL$22</f>
        <v>1741.2360810166667</v>
      </c>
      <c r="CN31" s="171">
        <f>$F31*(1+$H31)^ROUNDUP(IFERROR(DATEDIF($G31-1,CN$14+1,"m"),)/12,)*Index!CM$22</f>
        <v>1741.2360810166667</v>
      </c>
      <c r="CO31" s="171">
        <f>$F31*(1+$H31)^ROUNDUP(IFERROR(DATEDIF($G31-1,CO$14+1,"m"),)/12,)*Index!CN$22</f>
        <v>1741.2360810166667</v>
      </c>
      <c r="CP31" s="171">
        <f>$F31*(1+$H31)^ROUNDUP(IFERROR(DATEDIF($G31-1,CP$14+1,"m"),)/12,)*Index!CO$22</f>
        <v>1741.2360810166667</v>
      </c>
      <c r="CQ31" s="171">
        <f>$F31*(1+$H31)^ROUNDUP(IFERROR(DATEDIF($G31-1,CQ$14+1,"m"),)/12,)*Index!CP$22</f>
        <v>1741.2360810166667</v>
      </c>
      <c r="CR31" s="171">
        <f>$F31*(1+$H31)^ROUNDUP(IFERROR(DATEDIF($G31-1,CR$14+1,"m"),)/12,)*Index!CQ$22</f>
        <v>1741.2360810166667</v>
      </c>
      <c r="CS31" s="171">
        <f>$F31*(1+$H31)^ROUNDUP(IFERROR(DATEDIF($G31-1,CS$14+1,"m"),)/12,)*Index!CR$22</f>
        <v>1741.2360810166667</v>
      </c>
      <c r="CT31" s="171">
        <f>$F31*(1+$H31)^ROUNDUP(IFERROR(DATEDIF($G31-1,CT$14+1,"m"),)/12,)*Index!CS$22</f>
        <v>1741.2360810166667</v>
      </c>
      <c r="CU31" s="171">
        <f>$F31*(1+$H31)^ROUNDUP(IFERROR(DATEDIF($G31-1,CU$14+1,"m"),)/12,)*Index!CT$22</f>
        <v>1741.2360810166667</v>
      </c>
      <c r="CV31" s="171">
        <f>$F31*(1+$H31)^ROUNDUP(IFERROR(DATEDIF($G31-1,CV$14+1,"m"),)/12,)*Index!CU$22</f>
        <v>1741.2360810166667</v>
      </c>
      <c r="CW31" s="171">
        <f>$F31*(1+$H31)^ROUNDUP(IFERROR(DATEDIF($G31-1,CW$14+1,"m"),)/12,)*Index!CV$22</f>
        <v>1741.2360810166667</v>
      </c>
      <c r="CX31" s="171">
        <f>$F31*(1+$H31)^ROUNDUP(IFERROR(DATEDIF($G31-1,CX$14+1,"m"),)/12,)*Index!CW$22</f>
        <v>1741.2360810166667</v>
      </c>
      <c r="CY31" s="171">
        <f>$F31*(1+$H31)^ROUNDUP(IFERROR(DATEDIF($G31-1,CY$14+1,"m"),)/12,)*Index!CX$22</f>
        <v>1741.2360810166667</v>
      </c>
      <c r="CZ31" s="171">
        <f>$F31*(1+$H31)^ROUNDUP(IFERROR(DATEDIF($G31-1,CZ$14+1,"m"),)/12,)*Index!CY$22</f>
        <v>1741.2360810166667</v>
      </c>
      <c r="DA31" s="171">
        <f>$F31*(1+$H31)^ROUNDUP(IFERROR(DATEDIF($G31-1,DA$14+1,"m"),)/12,)*Index!CZ$22</f>
        <v>1741.2360810166667</v>
      </c>
      <c r="DB31" s="171">
        <f>$F31*(1+$H31)^ROUNDUP(IFERROR(DATEDIF($G31-1,DB$14+1,"m"),)/12,)*Index!DA$22</f>
        <v>1741.2360810166667</v>
      </c>
      <c r="DC31" s="171">
        <f>$F31*(1+$H31)^ROUNDUP(IFERROR(DATEDIF($G31-1,DC$14+1,"m"),)/12,)*Index!DB$22</f>
        <v>1741.2360810166667</v>
      </c>
      <c r="DD31" s="171">
        <f>$F31*(1+$H31)^ROUNDUP(IFERROR(DATEDIF($G31-1,DD$14+1,"m"),)/12,)*Index!DC$22</f>
        <v>1741.2360810166667</v>
      </c>
      <c r="DE31" s="171">
        <f>$F31*(1+$H31)^ROUNDUP(IFERROR(DATEDIF($G31-1,DE$14+1,"m"),)/12,)*Index!DD$22</f>
        <v>1741.2360810166667</v>
      </c>
      <c r="DF31" s="171">
        <f>$F31*(1+$H31)^ROUNDUP(IFERROR(DATEDIF($G31-1,DF$14+1,"m"),)/12,)*Index!DE$22</f>
        <v>1741.2360810166667</v>
      </c>
      <c r="DG31" s="171">
        <f>$F31*(1+$H31)^ROUNDUP(IFERROR(DATEDIF($G31-1,DG$14+1,"m"),)/12,)*Index!DF$22</f>
        <v>1741.2360810166667</v>
      </c>
      <c r="DH31" s="171">
        <f>$F31*(1+$H31)^ROUNDUP(IFERROR(DATEDIF($G31-1,DH$14+1,"m"),)/12,)*Index!DG$22</f>
        <v>1741.2360810166667</v>
      </c>
      <c r="DI31" s="171">
        <f>$F31*(1+$H31)^ROUNDUP(IFERROR(DATEDIF($G31-1,DI$14+1,"m"),)/12,)*Index!DH$22</f>
        <v>1741.2360810166667</v>
      </c>
      <c r="DJ31" s="171">
        <f>$F31*(1+$H31)^ROUNDUP(IFERROR(DATEDIF($G31-1,DJ$14+1,"m"),)/12,)*Index!DI$22</f>
        <v>1741.2360810166667</v>
      </c>
      <c r="DK31" s="171">
        <f>$F31*(1+$H31)^ROUNDUP(IFERROR(DATEDIF($G31-1,DK$14+1,"m"),)/12,)*Index!DJ$22</f>
        <v>1741.2360810166667</v>
      </c>
      <c r="DL31" s="171">
        <f>$F31*(1+$H31)^ROUNDUP(IFERROR(DATEDIF($G31-1,DL$14+1,"m"),)/12,)*Index!DK$22</f>
        <v>1741.2360810166667</v>
      </c>
      <c r="DM31" s="171">
        <f>$F31*(1+$H31)^ROUNDUP(IFERROR(DATEDIF($G31-1,DM$14+1,"m"),)/12,)*Index!DL$22</f>
        <v>1741.2360810166667</v>
      </c>
      <c r="DN31" s="171">
        <f>$F31*(1+$H31)^ROUNDUP(IFERROR(DATEDIF($G31-1,DN$14+1,"m"),)/12,)*Index!DM$22</f>
        <v>1741.2360810166667</v>
      </c>
      <c r="DO31" s="171">
        <f>$F31*(1+$H31)^ROUNDUP(IFERROR(DATEDIF($G31-1,DO$14+1,"m"),)/12,)*Index!DN$22</f>
        <v>1741.2360810166667</v>
      </c>
      <c r="DP31" s="171">
        <f>$F31*(1+$H31)^ROUNDUP(IFERROR(DATEDIF($G31-1,DP$14+1,"m"),)/12,)*Index!DO$22</f>
        <v>1741.2360810166667</v>
      </c>
      <c r="DQ31" s="171">
        <f>$F31*(1+$H31)^ROUNDUP(IFERROR(DATEDIF($G31-1,DQ$14+1,"m"),)/12,)*Index!DP$22</f>
        <v>1741.2360810166667</v>
      </c>
      <c r="DR31" s="171">
        <f>$F31*(1+$H31)^ROUNDUP(IFERROR(DATEDIF($G31-1,DR$14+1,"m"),)/12,)*Index!DQ$22</f>
        <v>1741.2360810166667</v>
      </c>
      <c r="DS31" s="171">
        <f>$F31*(1+$H31)^ROUNDUP(IFERROR(DATEDIF($G31-1,DS$14+1,"m"),)/12,)*Index!DR$22</f>
        <v>1741.2360810166667</v>
      </c>
      <c r="DT31" s="171">
        <f>$F31*(1+$H31)^ROUNDUP(IFERROR(DATEDIF($G31-1,DT$14+1,"m"),)/12,)*Index!DS$22</f>
        <v>1741.2360810166667</v>
      </c>
      <c r="DU31" s="171">
        <f>$F31*(1+$H31)^ROUNDUP(IFERROR(DATEDIF($G31-1,DU$14+1,"m"),)/12,)*Index!DT$22</f>
        <v>1741.2360810166667</v>
      </c>
      <c r="DV31" s="171">
        <f>$F31*(1+$H31)^ROUNDUP(IFERROR(DATEDIF($G31-1,DV$14+1,"m"),)/12,)*Index!DU$22</f>
        <v>1741.2360810166667</v>
      </c>
      <c r="DW31" s="171">
        <f>$F31*(1+$H31)^ROUNDUP(IFERROR(DATEDIF($G31-1,DW$14+1,"m"),)/12,)*Index!DV$22</f>
        <v>1741.2360810166667</v>
      </c>
      <c r="DX31" s="171">
        <f>$F31*(1+$H31)^ROUNDUP(IFERROR(DATEDIF($G31-1,DX$14+1,"m"),)/12,)*Index!DW$22</f>
        <v>1741.2360810166667</v>
      </c>
      <c r="DY31" s="171">
        <f>$F31*(1+$H31)^ROUNDUP(IFERROR(DATEDIF($G31-1,DY$14+1,"m"),)/12,)*Index!DX$22</f>
        <v>1741.2360810166667</v>
      </c>
      <c r="DZ31" s="171">
        <f>$F31*(1+$H31)^ROUNDUP(IFERROR(DATEDIF($G31-1,DZ$14+1,"m"),)/12,)*Index!DY$22</f>
        <v>1741.2360810166667</v>
      </c>
      <c r="EA31" s="171">
        <f>$F31*(1+$H31)^ROUNDUP(IFERROR(DATEDIF($G31-1,EA$14+1,"m"),)/12,)*Index!DZ$22</f>
        <v>1741.2360810166667</v>
      </c>
      <c r="EB31" s="171">
        <f>$F31*(1+$H31)^ROUNDUP(IFERROR(DATEDIF($G31-1,EB$14+1,"m"),)/12,)*Index!EA$22</f>
        <v>1741.2360810166667</v>
      </c>
      <c r="EC31" s="171">
        <f>$F31*(1+$H31)^ROUNDUP(IFERROR(DATEDIF($G31-1,EC$14+1,"m"),)/12,)*Index!EB$22</f>
        <v>1741.2360810166667</v>
      </c>
      <c r="ED31" s="171">
        <f>$F31*(1+$H31)^ROUNDUP(IFERROR(DATEDIF($G31-1,ED$14+1,"m"),)/12,)*Index!EC$22</f>
        <v>0</v>
      </c>
      <c r="EE31" s="171">
        <f>$F31*(1+$H31)^ROUNDUP(IFERROR(DATEDIF($G31-1,EE$14+1,"m"),)/12,)*Index!ED$22</f>
        <v>0</v>
      </c>
      <c r="EF31" s="171">
        <f>$F31*(1+$H31)^ROUNDUP(IFERROR(DATEDIF($G31-1,EF$14+1,"m"),)/12,)*Index!EE$22</f>
        <v>0</v>
      </c>
      <c r="EG31" s="171">
        <f>$F31*(1+$H31)^ROUNDUP(IFERROR(DATEDIF($G31-1,EG$14+1,"m"),)/12,)*Index!EF$22</f>
        <v>0</v>
      </c>
      <c r="EH31" s="171">
        <f>$F31*(1+$H31)^ROUNDUP(IFERROR(DATEDIF($G31-1,EH$14+1,"m"),)/12,)*Index!EG$22</f>
        <v>0</v>
      </c>
      <c r="EI31" s="171">
        <f>$F31*(1+$H31)^ROUNDUP(IFERROR(DATEDIF($G31-1,EI$14+1,"m"),)/12,)*Index!EH$22</f>
        <v>0</v>
      </c>
      <c r="EJ31" s="171">
        <f>$F31*(1+$H31)^ROUNDUP(IFERROR(DATEDIF($G31-1,EJ$14+1,"m"),)/12,)*Index!EI$22</f>
        <v>0</v>
      </c>
      <c r="EK31" s="171">
        <f>$F31*(1+$H31)^ROUNDUP(IFERROR(DATEDIF($G31-1,EK$14+1,"m"),)/12,)*Index!EJ$22</f>
        <v>0</v>
      </c>
      <c r="EL31" s="171">
        <f>$F31*(1+$H31)^ROUNDUP(IFERROR(DATEDIF($G31-1,EL$14+1,"m"),)/12,)*Index!EK$22</f>
        <v>0</v>
      </c>
      <c r="EM31" s="171">
        <f>$F31*(1+$H31)^ROUNDUP(IFERROR(DATEDIF($G31-1,EM$14+1,"m"),)/12,)*Index!EL$22</f>
        <v>0</v>
      </c>
      <c r="EN31" s="171">
        <f>$F31*(1+$H31)^ROUNDUP(IFERROR(DATEDIF($G31-1,EN$14+1,"m"),)/12,)*Index!EM$22</f>
        <v>0</v>
      </c>
      <c r="EO31" s="171">
        <f>$F31*(1+$H31)^ROUNDUP(IFERROR(DATEDIF($G31-1,EO$14+1,"m"),)/12,)*Index!EN$22</f>
        <v>0</v>
      </c>
      <c r="EP31" s="171">
        <f>$F31*(1+$H31)^ROUNDUP(IFERROR(DATEDIF($G31-1,EP$14+1,"m"),)/12,)*Index!EO$22</f>
        <v>0</v>
      </c>
      <c r="EQ31" s="171">
        <f>$F31*(1+$H31)^ROUNDUP(IFERROR(DATEDIF($G31-1,EQ$14+1,"m"),)/12,)*Index!EP$22</f>
        <v>0</v>
      </c>
      <c r="ER31" s="171">
        <f>$F31*(1+$H31)^ROUNDUP(IFERROR(DATEDIF($G31-1,ER$14+1,"m"),)/12,)*Index!EQ$22</f>
        <v>0</v>
      </c>
    </row>
    <row r="32" spans="3:148" ht="11.25" customHeight="1">
      <c r="C32" s="163"/>
      <c r="D32" s="169" t="s">
        <v>468</v>
      </c>
      <c r="F32" s="798"/>
      <c r="G32" s="799"/>
      <c r="H32" s="800"/>
      <c r="I32" s="65"/>
      <c r="J32" s="90"/>
      <c r="K32" s="171">
        <f t="shared" si="12"/>
        <v>892287.86244979408</v>
      </c>
      <c r="L32" s="98"/>
      <c r="M32" s="171">
        <f>'Rent-roll'!P214</f>
        <v>0</v>
      </c>
      <c r="N32" s="171">
        <f>'Rent-roll'!Q214</f>
        <v>10873.369999999999</v>
      </c>
      <c r="O32" s="171">
        <f>'Rent-roll'!R214</f>
        <v>0</v>
      </c>
      <c r="P32" s="171">
        <f>'Rent-roll'!S214</f>
        <v>0</v>
      </c>
      <c r="Q32" s="171">
        <f>'Rent-roll'!T214</f>
        <v>0</v>
      </c>
      <c r="R32" s="171">
        <f>'Rent-roll'!U214</f>
        <v>0</v>
      </c>
      <c r="S32" s="171">
        <f>'Rent-roll'!V214</f>
        <v>0</v>
      </c>
      <c r="T32" s="171">
        <f>'Rent-roll'!W214</f>
        <v>0</v>
      </c>
      <c r="U32" s="171">
        <f>'Rent-roll'!X214</f>
        <v>0</v>
      </c>
      <c r="V32" s="171">
        <f>'Rent-roll'!Y214</f>
        <v>0</v>
      </c>
      <c r="W32" s="171">
        <f>'Rent-roll'!Z214</f>
        <v>0</v>
      </c>
      <c r="X32" s="171">
        <f>'Rent-roll'!AA214</f>
        <v>0</v>
      </c>
      <c r="Y32" s="171">
        <f>'Rent-roll'!AB214</f>
        <v>0</v>
      </c>
      <c r="Z32" s="171">
        <f>'Rent-roll'!AC214</f>
        <v>0</v>
      </c>
      <c r="AA32" s="171">
        <f>'Rent-roll'!AD214</f>
        <v>0</v>
      </c>
      <c r="AB32" s="171">
        <f>'Rent-roll'!AE214</f>
        <v>0</v>
      </c>
      <c r="AC32" s="171">
        <f>'Rent-roll'!AF214</f>
        <v>0</v>
      </c>
      <c r="AD32" s="171">
        <f>'Rent-roll'!AG214</f>
        <v>0</v>
      </c>
      <c r="AE32" s="171">
        <f>'Rent-roll'!AH214</f>
        <v>0</v>
      </c>
      <c r="AF32" s="171">
        <f>'Rent-roll'!AI214</f>
        <v>0</v>
      </c>
      <c r="AG32" s="171">
        <f>'Rent-roll'!AJ214</f>
        <v>0</v>
      </c>
      <c r="AH32" s="171">
        <f>'Rent-roll'!AK214</f>
        <v>0</v>
      </c>
      <c r="AI32" s="171">
        <f>'Rent-roll'!AL214</f>
        <v>0</v>
      </c>
      <c r="AJ32" s="171">
        <f>'Rent-roll'!AM214</f>
        <v>0</v>
      </c>
      <c r="AK32" s="171">
        <f>'Rent-roll'!AN214</f>
        <v>0</v>
      </c>
      <c r="AL32" s="171">
        <f>'Rent-roll'!AO214</f>
        <v>0</v>
      </c>
      <c r="AM32" s="171">
        <f>'Rent-roll'!AP214</f>
        <v>0</v>
      </c>
      <c r="AN32" s="171">
        <f>'Rent-roll'!AQ214</f>
        <v>0</v>
      </c>
      <c r="AO32" s="171">
        <f>'Rent-roll'!AR214</f>
        <v>0</v>
      </c>
      <c r="AP32" s="171">
        <f>'Rent-roll'!AS214</f>
        <v>0</v>
      </c>
      <c r="AQ32" s="171">
        <f>'Rent-roll'!AT214</f>
        <v>0</v>
      </c>
      <c r="AR32" s="171">
        <f>'Rent-roll'!AU214</f>
        <v>0</v>
      </c>
      <c r="AS32" s="171">
        <f>'Rent-roll'!AV214</f>
        <v>0</v>
      </c>
      <c r="AT32" s="171">
        <f>'Rent-roll'!AW214</f>
        <v>0</v>
      </c>
      <c r="AU32" s="171">
        <f>'Rent-roll'!AX214</f>
        <v>68398.392522169117</v>
      </c>
      <c r="AV32" s="171">
        <f>'Rent-roll'!AY214</f>
        <v>0</v>
      </c>
      <c r="AW32" s="171">
        <f>'Rent-roll'!AZ214</f>
        <v>0</v>
      </c>
      <c r="AX32" s="171">
        <f>'Rent-roll'!BA214</f>
        <v>0</v>
      </c>
      <c r="AY32" s="171">
        <f>'Rent-roll'!BB214</f>
        <v>0</v>
      </c>
      <c r="AZ32" s="171">
        <f>'Rent-roll'!BC214</f>
        <v>15542.138131523938</v>
      </c>
      <c r="BA32" s="171">
        <f>'Rent-roll'!BD214</f>
        <v>27654.803543305239</v>
      </c>
      <c r="BB32" s="171">
        <f>'Rent-roll'!BE214</f>
        <v>0</v>
      </c>
      <c r="BC32" s="171">
        <f>'Rent-roll'!BF214</f>
        <v>0</v>
      </c>
      <c r="BD32" s="171">
        <f>'Rent-roll'!BG214</f>
        <v>558.55563724519311</v>
      </c>
      <c r="BE32" s="171">
        <f>'Rent-roll'!BH214</f>
        <v>0</v>
      </c>
      <c r="BF32" s="171">
        <f>'Rent-roll'!BI214</f>
        <v>0</v>
      </c>
      <c r="BG32" s="171">
        <f>'Rent-roll'!BJ214</f>
        <v>0</v>
      </c>
      <c r="BH32" s="171">
        <f>'Rent-roll'!BK214</f>
        <v>0</v>
      </c>
      <c r="BI32" s="171">
        <f>'Rent-roll'!BL214</f>
        <v>0</v>
      </c>
      <c r="BJ32" s="171">
        <f>'Rent-roll'!BM214</f>
        <v>0</v>
      </c>
      <c r="BK32" s="171">
        <f>'Rent-roll'!BN214</f>
        <v>0</v>
      </c>
      <c r="BL32" s="171">
        <f>'Rent-roll'!BO214</f>
        <v>0</v>
      </c>
      <c r="BM32" s="171">
        <f>'Rent-roll'!BP214</f>
        <v>0</v>
      </c>
      <c r="BN32" s="171">
        <f>'Rent-roll'!BQ214</f>
        <v>0</v>
      </c>
      <c r="BO32" s="171">
        <f>'Rent-roll'!BR214</f>
        <v>0</v>
      </c>
      <c r="BP32" s="171">
        <f>'Rent-roll'!BS214</f>
        <v>0</v>
      </c>
      <c r="BQ32" s="171">
        <f>'Rent-roll'!BT214</f>
        <v>0</v>
      </c>
      <c r="BR32" s="171">
        <f>'Rent-roll'!BU214</f>
        <v>0</v>
      </c>
      <c r="BS32" s="171">
        <f>'Rent-roll'!BV214</f>
        <v>0</v>
      </c>
      <c r="BT32" s="171">
        <f>'Rent-roll'!BW214</f>
        <v>0</v>
      </c>
      <c r="BU32" s="171">
        <f>'Rent-roll'!BX214</f>
        <v>0</v>
      </c>
      <c r="BV32" s="171">
        <f>'Rent-roll'!BY214</f>
        <v>0</v>
      </c>
      <c r="BW32" s="171">
        <f>'Rent-roll'!BZ214</f>
        <v>0</v>
      </c>
      <c r="BX32" s="171">
        <f>'Rent-roll'!CA214</f>
        <v>0</v>
      </c>
      <c r="BY32" s="171">
        <f>'Rent-roll'!CB214</f>
        <v>0</v>
      </c>
      <c r="BZ32" s="171">
        <f>'Rent-roll'!CC214</f>
        <v>0</v>
      </c>
      <c r="CA32" s="171">
        <f>'Rent-roll'!CD214</f>
        <v>0</v>
      </c>
      <c r="CB32" s="171">
        <f>'Rent-roll'!CE214</f>
        <v>0</v>
      </c>
      <c r="CC32" s="171">
        <f>'Rent-roll'!CF214</f>
        <v>0</v>
      </c>
      <c r="CD32" s="171">
        <f>'Rent-roll'!CG214</f>
        <v>0</v>
      </c>
      <c r="CE32" s="171">
        <f>'Rent-roll'!CH214</f>
        <v>0</v>
      </c>
      <c r="CF32" s="171">
        <f>'Rent-roll'!CI214</f>
        <v>0</v>
      </c>
      <c r="CG32" s="171">
        <f>'Rent-roll'!CJ214</f>
        <v>0</v>
      </c>
      <c r="CH32" s="171">
        <f>'Rent-roll'!CK214</f>
        <v>0</v>
      </c>
      <c r="CI32" s="171">
        <f>'Rent-roll'!CL214</f>
        <v>0</v>
      </c>
      <c r="CJ32" s="171">
        <f>'Rent-roll'!CM214</f>
        <v>0</v>
      </c>
      <c r="CK32" s="171">
        <f>'Rent-roll'!CN214</f>
        <v>0</v>
      </c>
      <c r="CL32" s="171">
        <f>'Rent-roll'!CO214</f>
        <v>0</v>
      </c>
      <c r="CM32" s="171">
        <f>'Rent-roll'!CP214</f>
        <v>0</v>
      </c>
      <c r="CN32" s="171">
        <f>'Rent-roll'!CQ214</f>
        <v>0</v>
      </c>
      <c r="CO32" s="171">
        <f>'Rent-roll'!CR214</f>
        <v>0</v>
      </c>
      <c r="CP32" s="171">
        <f>'Rent-roll'!CS214</f>
        <v>0</v>
      </c>
      <c r="CQ32" s="171">
        <f>'Rent-roll'!CT214</f>
        <v>0</v>
      </c>
      <c r="CR32" s="171">
        <f>'Rent-roll'!CU214</f>
        <v>0</v>
      </c>
      <c r="CS32" s="171">
        <f>'Rent-roll'!CV214</f>
        <v>0</v>
      </c>
      <c r="CT32" s="171">
        <f>'Rent-roll'!CW214</f>
        <v>0</v>
      </c>
      <c r="CU32" s="171">
        <f>'Rent-roll'!CX214</f>
        <v>0</v>
      </c>
      <c r="CV32" s="171">
        <f>'Rent-roll'!CY214</f>
        <v>0</v>
      </c>
      <c r="CW32" s="171">
        <f>'Rent-roll'!CZ214</f>
        <v>0</v>
      </c>
      <c r="CX32" s="171">
        <f>'Rent-roll'!DA214</f>
        <v>0</v>
      </c>
      <c r="CY32" s="171">
        <f>'Rent-roll'!DB214</f>
        <v>0</v>
      </c>
      <c r="CZ32" s="171">
        <f>'Rent-roll'!DC214</f>
        <v>600151.77038404613</v>
      </c>
      <c r="DA32" s="171">
        <f>'Rent-roll'!DD214</f>
        <v>0</v>
      </c>
      <c r="DB32" s="171">
        <f>'Rent-roll'!DE214</f>
        <v>0</v>
      </c>
      <c r="DC32" s="171">
        <f>'Rent-roll'!DF214</f>
        <v>77386.503048098835</v>
      </c>
      <c r="DD32" s="171">
        <f>'Rent-roll'!DG214</f>
        <v>0</v>
      </c>
      <c r="DE32" s="171">
        <f>'Rent-roll'!DH214</f>
        <v>0</v>
      </c>
      <c r="DF32" s="171">
        <f>'Rent-roll'!DI214</f>
        <v>0</v>
      </c>
      <c r="DG32" s="171">
        <f>'Rent-roll'!DJ214</f>
        <v>0</v>
      </c>
      <c r="DH32" s="171">
        <f>'Rent-roll'!DK214</f>
        <v>17584.502727886731</v>
      </c>
      <c r="DI32" s="171">
        <f>'Rent-roll'!DL214</f>
        <v>42217.000165410893</v>
      </c>
      <c r="DJ32" s="171">
        <f>'Rent-roll'!DM214</f>
        <v>0</v>
      </c>
      <c r="DK32" s="171">
        <f>'Rent-roll'!DN214</f>
        <v>31288.871854772297</v>
      </c>
      <c r="DL32" s="171">
        <f>'Rent-roll'!DO214</f>
        <v>631.95443533556806</v>
      </c>
      <c r="DM32" s="171">
        <f>'Rent-roll'!DP214</f>
        <v>0</v>
      </c>
      <c r="DN32" s="171">
        <f>'Rent-roll'!DQ214</f>
        <v>0</v>
      </c>
      <c r="DO32" s="171">
        <f>'Rent-roll'!DR214</f>
        <v>0</v>
      </c>
      <c r="DP32" s="171">
        <f>'Rent-roll'!DS214</f>
        <v>0</v>
      </c>
      <c r="DQ32" s="171">
        <f>'Rent-roll'!DT214</f>
        <v>0</v>
      </c>
      <c r="DR32" s="171">
        <f>'Rent-roll'!DU214</f>
        <v>0</v>
      </c>
      <c r="DS32" s="171">
        <f>'Rent-roll'!DV214</f>
        <v>0</v>
      </c>
      <c r="DT32" s="171">
        <f>'Rent-roll'!DW214</f>
        <v>0</v>
      </c>
      <c r="DU32" s="171">
        <f>'Rent-roll'!DX214</f>
        <v>0</v>
      </c>
      <c r="DV32" s="171">
        <f>'Rent-roll'!DY214</f>
        <v>0</v>
      </c>
      <c r="DW32" s="171">
        <f>'Rent-roll'!DZ214</f>
        <v>0</v>
      </c>
      <c r="DX32" s="171">
        <f>'Rent-roll'!EA214</f>
        <v>0</v>
      </c>
      <c r="DY32" s="171">
        <f>'Rent-roll'!EB214</f>
        <v>0</v>
      </c>
      <c r="DZ32" s="171">
        <f>'Rent-roll'!EC214</f>
        <v>0</v>
      </c>
      <c r="EA32" s="171">
        <f>'Rent-roll'!ED214</f>
        <v>0</v>
      </c>
      <c r="EB32" s="171">
        <f>'Rent-roll'!EE214</f>
        <v>0</v>
      </c>
      <c r="EC32" s="171">
        <f>'Rent-roll'!EF214</f>
        <v>0</v>
      </c>
      <c r="ED32" s="171">
        <f>'Rent-roll'!EG214</f>
        <v>0</v>
      </c>
      <c r="EE32" s="171">
        <f>'Rent-roll'!EH214</f>
        <v>0</v>
      </c>
      <c r="EF32" s="171">
        <f>'Rent-roll'!EI214</f>
        <v>0</v>
      </c>
      <c r="EG32" s="171">
        <f>'Rent-roll'!EJ214</f>
        <v>0</v>
      </c>
      <c r="EH32" s="171">
        <f>'Rent-roll'!EK214</f>
        <v>0</v>
      </c>
      <c r="EI32" s="171">
        <f>'Rent-roll'!EL214</f>
        <v>0</v>
      </c>
      <c r="EJ32" s="171">
        <f>'Rent-roll'!EM214</f>
        <v>0</v>
      </c>
      <c r="EK32" s="171">
        <f>'Rent-roll'!EN214</f>
        <v>0</v>
      </c>
      <c r="EL32" s="171">
        <f>'Rent-roll'!EO214</f>
        <v>0</v>
      </c>
      <c r="EM32" s="171">
        <f>'Rent-roll'!EP214</f>
        <v>0</v>
      </c>
      <c r="EN32" s="171">
        <f>'Rent-roll'!EQ214</f>
        <v>0</v>
      </c>
      <c r="EO32" s="171">
        <f>'Rent-roll'!ER214</f>
        <v>0</v>
      </c>
      <c r="EP32" s="171">
        <f>'Rent-roll'!ES214</f>
        <v>0</v>
      </c>
      <c r="EQ32" s="171">
        <f>'Rent-roll'!ET214</f>
        <v>0</v>
      </c>
      <c r="ER32" s="171">
        <f>'Rent-roll'!EU214</f>
        <v>0</v>
      </c>
    </row>
    <row r="33" spans="3:148" ht="11.25" customHeight="1">
      <c r="C33" s="251" t="s">
        <v>103</v>
      </c>
      <c r="D33" s="252"/>
      <c r="E33" s="252"/>
      <c r="F33" s="801"/>
      <c r="G33" s="801"/>
      <c r="H33" s="801"/>
      <c r="I33" s="253"/>
      <c r="J33" s="254"/>
      <c r="K33" s="255">
        <f>K15-K21</f>
        <v>150204867.80054584</v>
      </c>
      <c r="L33" s="98"/>
      <c r="M33" s="256">
        <f>M15-M21</f>
        <v>0</v>
      </c>
      <c r="N33" s="256">
        <f t="shared" ref="N33:BY33" si="13">N15-N21</f>
        <v>1099411.9126749327</v>
      </c>
      <c r="O33" s="256">
        <f t="shared" si="13"/>
        <v>1108637.1532061831</v>
      </c>
      <c r="P33" s="256">
        <f t="shared" si="13"/>
        <v>917927.14253118332</v>
      </c>
      <c r="Q33" s="256">
        <f t="shared" si="13"/>
        <v>1013469.8841460268</v>
      </c>
      <c r="R33" s="256">
        <f t="shared" si="13"/>
        <v>1082345.9173960269</v>
      </c>
      <c r="S33" s="256">
        <f t="shared" si="13"/>
        <v>1121225.9959960268</v>
      </c>
      <c r="T33" s="256">
        <f t="shared" si="13"/>
        <v>986472.87505977694</v>
      </c>
      <c r="U33" s="256">
        <f t="shared" si="13"/>
        <v>1158441.0661847771</v>
      </c>
      <c r="V33" s="256">
        <f t="shared" si="13"/>
        <v>1158986.025372277</v>
      </c>
      <c r="W33" s="256">
        <f t="shared" si="13"/>
        <v>1159530.984559777</v>
      </c>
      <c r="X33" s="256">
        <f t="shared" si="13"/>
        <v>1159530.984559777</v>
      </c>
      <c r="Y33" s="256">
        <f t="shared" si="13"/>
        <v>1139385.040059777</v>
      </c>
      <c r="Z33" s="256">
        <f t="shared" si="13"/>
        <v>1139512.5876855142</v>
      </c>
      <c r="AA33" s="256">
        <f t="shared" si="13"/>
        <v>1137823.2549800454</v>
      </c>
      <c r="AB33" s="256">
        <f t="shared" si="13"/>
        <v>942345.49403817044</v>
      </c>
      <c r="AC33" s="256">
        <f t="shared" si="13"/>
        <v>1040276.8041933856</v>
      </c>
      <c r="AD33" s="256">
        <f t="shared" si="13"/>
        <v>1110874.7382746355</v>
      </c>
      <c r="AE33" s="256">
        <f t="shared" si="13"/>
        <v>1150726.8188396355</v>
      </c>
      <c r="AF33" s="256">
        <f t="shared" si="13"/>
        <v>1012604.8698799792</v>
      </c>
      <c r="AG33" s="256">
        <f t="shared" si="13"/>
        <v>1188872.2657831041</v>
      </c>
      <c r="AH33" s="256">
        <f t="shared" si="13"/>
        <v>1189430.8489502918</v>
      </c>
      <c r="AI33" s="256">
        <f t="shared" si="13"/>
        <v>1189989.4321174792</v>
      </c>
      <c r="AJ33" s="256">
        <f t="shared" si="13"/>
        <v>1189989.4321174792</v>
      </c>
      <c r="AK33" s="256">
        <f t="shared" si="13"/>
        <v>1169339.8390049792</v>
      </c>
      <c r="AL33" s="256">
        <f t="shared" si="13"/>
        <v>1190053.8997713146</v>
      </c>
      <c r="AM33" s="256">
        <f t="shared" si="13"/>
        <v>1167672.7406357089</v>
      </c>
      <c r="AN33" s="256">
        <f t="shared" si="13"/>
        <v>1143587.0619921619</v>
      </c>
      <c r="AO33" s="256">
        <f t="shared" si="13"/>
        <v>1212434.5866534449</v>
      </c>
      <c r="AP33" s="256">
        <f t="shared" si="13"/>
        <v>1140050.5110126636</v>
      </c>
      <c r="AQ33" s="256">
        <f t="shared" si="13"/>
        <v>1180898.8935917886</v>
      </c>
      <c r="AR33" s="256">
        <f t="shared" si="13"/>
        <v>1221143.0722015779</v>
      </c>
      <c r="AS33" s="256">
        <f t="shared" si="13"/>
        <v>158084.75816522399</v>
      </c>
      <c r="AT33" s="256">
        <f t="shared" si="13"/>
        <v>185025.14400362852</v>
      </c>
      <c r="AU33" s="256">
        <f t="shared" si="13"/>
        <v>120535.80618012761</v>
      </c>
      <c r="AV33" s="256">
        <f t="shared" si="13"/>
        <v>188934.19870229671</v>
      </c>
      <c r="AW33" s="256">
        <f t="shared" si="13"/>
        <v>167768.36576198414</v>
      </c>
      <c r="AX33" s="256">
        <f t="shared" si="13"/>
        <v>1250848.8154992866</v>
      </c>
      <c r="AY33" s="256">
        <f t="shared" si="13"/>
        <v>1256964.3874046416</v>
      </c>
      <c r="AZ33" s="256">
        <f t="shared" si="13"/>
        <v>1255179.9861820601</v>
      </c>
      <c r="BA33" s="256">
        <f t="shared" si="13"/>
        <v>1252720.6005573019</v>
      </c>
      <c r="BB33" s="256">
        <f t="shared" si="13"/>
        <v>1206181.7265688065</v>
      </c>
      <c r="BC33" s="256">
        <f t="shared" si="13"/>
        <v>1248051.3187124096</v>
      </c>
      <c r="BD33" s="256">
        <f t="shared" si="13"/>
        <v>1288686.4345446362</v>
      </c>
      <c r="BE33" s="256">
        <f t="shared" si="13"/>
        <v>1289244.9901818815</v>
      </c>
      <c r="BF33" s="256">
        <f t="shared" si="13"/>
        <v>1289244.9901818815</v>
      </c>
      <c r="BG33" s="256">
        <f t="shared" si="13"/>
        <v>1292664.9098079901</v>
      </c>
      <c r="BH33" s="256">
        <f t="shared" si="13"/>
        <v>1292664.9098079901</v>
      </c>
      <c r="BI33" s="256">
        <f t="shared" si="13"/>
        <v>1292664.9098079901</v>
      </c>
      <c r="BJ33" s="256">
        <f t="shared" si="13"/>
        <v>1292603.2263071018</v>
      </c>
      <c r="BK33" s="256">
        <f t="shared" si="13"/>
        <v>1298801.6146862882</v>
      </c>
      <c r="BL33" s="256">
        <f t="shared" si="13"/>
        <v>1303513.9975187264</v>
      </c>
      <c r="BM33" s="256">
        <f t="shared" si="13"/>
        <v>1316281.5950763181</v>
      </c>
      <c r="BN33" s="256">
        <f t="shared" si="13"/>
        <v>1240233.0756062223</v>
      </c>
      <c r="BO33" s="256">
        <f t="shared" si="13"/>
        <v>1283149.4075534155</v>
      </c>
      <c r="BP33" s="256">
        <f t="shared" si="13"/>
        <v>1325429.5324151868</v>
      </c>
      <c r="BQ33" s="256">
        <f t="shared" si="13"/>
        <v>1325429.5324151868</v>
      </c>
      <c r="BR33" s="256">
        <f t="shared" si="13"/>
        <v>1325429.5324151868</v>
      </c>
      <c r="BS33" s="256">
        <f t="shared" si="13"/>
        <v>1328934.950031948</v>
      </c>
      <c r="BT33" s="256">
        <f t="shared" si="13"/>
        <v>1328934.950031948</v>
      </c>
      <c r="BU33" s="256">
        <f t="shared" si="13"/>
        <v>1328934.950031948</v>
      </c>
      <c r="BV33" s="256">
        <f t="shared" si="13"/>
        <v>1328810.1495059691</v>
      </c>
      <c r="BW33" s="256">
        <f t="shared" si="13"/>
        <v>1335163.4975946355</v>
      </c>
      <c r="BX33" s="256">
        <f t="shared" si="13"/>
        <v>1339993.6899978849</v>
      </c>
      <c r="BY33" s="256">
        <f t="shared" si="13"/>
        <v>1353080.4774944161</v>
      </c>
      <c r="BZ33" s="256">
        <f t="shared" ref="BZ33:DV33" si="14">BZ15-BZ21</f>
        <v>1275130.7450375678</v>
      </c>
      <c r="CA33" s="256">
        <f t="shared" si="14"/>
        <v>1319119.9852834411</v>
      </c>
      <c r="CB33" s="256">
        <f t="shared" si="14"/>
        <v>1362457.1132667568</v>
      </c>
      <c r="CC33" s="256">
        <f t="shared" si="14"/>
        <v>1362457.1132667568</v>
      </c>
      <c r="CD33" s="256">
        <f t="shared" si="14"/>
        <v>1362457.1132667568</v>
      </c>
      <c r="CE33" s="256">
        <f t="shared" si="14"/>
        <v>1366050.166323937</v>
      </c>
      <c r="CF33" s="256">
        <f t="shared" si="14"/>
        <v>1366050.166323937</v>
      </c>
      <c r="CG33" s="256">
        <f t="shared" si="14"/>
        <v>1366050.166323937</v>
      </c>
      <c r="CH33" s="256">
        <f t="shared" si="14"/>
        <v>1365862.1905848628</v>
      </c>
      <c r="CI33" s="256">
        <f t="shared" si="14"/>
        <v>1372374.3723757456</v>
      </c>
      <c r="CJ33" s="256">
        <f t="shared" si="14"/>
        <v>1377325.3195890763</v>
      </c>
      <c r="CK33" s="256">
        <f t="shared" si="14"/>
        <v>1390739.2767730209</v>
      </c>
      <c r="CL33" s="256">
        <f t="shared" si="14"/>
        <v>1310840.8010047516</v>
      </c>
      <c r="CM33" s="256">
        <f t="shared" si="14"/>
        <v>1355929.7722567716</v>
      </c>
      <c r="CN33" s="256">
        <f t="shared" si="14"/>
        <v>1400350.3284396699</v>
      </c>
      <c r="CO33" s="256">
        <f t="shared" si="14"/>
        <v>1400350.3284396699</v>
      </c>
      <c r="CP33" s="256">
        <f t="shared" si="14"/>
        <v>1400350.3284396699</v>
      </c>
      <c r="CQ33" s="256">
        <f t="shared" si="14"/>
        <v>1404033.2078232798</v>
      </c>
      <c r="CR33" s="256">
        <f t="shared" si="14"/>
        <v>1404033.2078232798</v>
      </c>
      <c r="CS33" s="256">
        <f t="shared" si="14"/>
        <v>1404033.2078232798</v>
      </c>
      <c r="CT33" s="256">
        <f t="shared" si="14"/>
        <v>1403781.9757574876</v>
      </c>
      <c r="CU33" s="256">
        <f t="shared" si="14"/>
        <v>1410456.9620931426</v>
      </c>
      <c r="CV33" s="256">
        <f t="shared" si="14"/>
        <v>1415531.6829868066</v>
      </c>
      <c r="CW33" s="256">
        <f t="shared" si="14"/>
        <v>1429280.9891003496</v>
      </c>
      <c r="CX33" s="256">
        <f t="shared" si="14"/>
        <v>1347385.0514378734</v>
      </c>
      <c r="CY33" s="256">
        <f t="shared" si="14"/>
        <v>1393601.2469711937</v>
      </c>
      <c r="CZ33" s="256">
        <f t="shared" si="14"/>
        <v>802155.55446709308</v>
      </c>
      <c r="DA33" s="256">
        <f t="shared" si="14"/>
        <v>1402307.3248511392</v>
      </c>
      <c r="DB33" s="256">
        <f t="shared" si="14"/>
        <v>1402307.3248511392</v>
      </c>
      <c r="DC33" s="256">
        <f t="shared" si="14"/>
        <v>1328695.77317124</v>
      </c>
      <c r="DD33" s="256">
        <f t="shared" si="14"/>
        <v>1406082.2762193389</v>
      </c>
      <c r="DE33" s="256">
        <f t="shared" si="14"/>
        <v>1406082.2762193389</v>
      </c>
      <c r="DF33" s="256">
        <f t="shared" si="14"/>
        <v>1405851.1566429683</v>
      </c>
      <c r="DG33" s="256">
        <f t="shared" si="14"/>
        <v>1412500.8907845919</v>
      </c>
      <c r="DH33" s="256">
        <f t="shared" si="14"/>
        <v>1399960.2169825812</v>
      </c>
      <c r="DI33" s="256">
        <f t="shared" si="14"/>
        <v>1389473.1320403791</v>
      </c>
      <c r="DJ33" s="256">
        <f t="shared" si="14"/>
        <v>1431690.1322057899</v>
      </c>
      <c r="DK33" s="256">
        <f t="shared" si="14"/>
        <v>1405603.0276480382</v>
      </c>
      <c r="DL33" s="256">
        <f t="shared" si="14"/>
        <v>1440939.8685908059</v>
      </c>
      <c r="DM33" s="256">
        <f t="shared" si="14"/>
        <v>1441571.8230261416</v>
      </c>
      <c r="DN33" s="256">
        <f t="shared" si="14"/>
        <v>1441571.8230261416</v>
      </c>
      <c r="DO33" s="256">
        <f t="shared" si="14"/>
        <v>1445441.1481785462</v>
      </c>
      <c r="DP33" s="256">
        <f t="shared" si="14"/>
        <v>1445441.1481785462</v>
      </c>
      <c r="DQ33" s="256">
        <f t="shared" si="14"/>
        <v>1445441.1481785462</v>
      </c>
      <c r="DR33" s="256">
        <f t="shared" si="14"/>
        <v>1445148.6280178686</v>
      </c>
      <c r="DS33" s="256">
        <f t="shared" si="14"/>
        <v>1451964.6055130328</v>
      </c>
      <c r="DT33" s="256">
        <f t="shared" si="14"/>
        <v>1457134.530162056</v>
      </c>
      <c r="DU33" s="256">
        <f t="shared" si="14"/>
        <v>1471142.9137429772</v>
      </c>
      <c r="DV33" s="256">
        <f t="shared" si="14"/>
        <v>1471142.9137429772</v>
      </c>
      <c r="DW33" s="256">
        <f t="shared" ref="DW33:ER33" si="15">DW15-DW21</f>
        <v>1476474.7252224232</v>
      </c>
      <c r="DX33" s="256">
        <f t="shared" si="15"/>
        <v>1481271.6468338373</v>
      </c>
      <c r="DY33" s="256">
        <f t="shared" si="15"/>
        <v>1481271.6468338373</v>
      </c>
      <c r="DZ33" s="256">
        <f t="shared" si="15"/>
        <v>1481271.6468338373</v>
      </c>
      <c r="EA33" s="256">
        <f t="shared" si="15"/>
        <v>1485237.7051150524</v>
      </c>
      <c r="EB33" s="256">
        <f t="shared" si="15"/>
        <v>1485237.7051150524</v>
      </c>
      <c r="EC33" s="256">
        <f t="shared" si="15"/>
        <v>1485237.7051150524</v>
      </c>
      <c r="ED33" s="256">
        <f t="shared" si="15"/>
        <v>0</v>
      </c>
      <c r="EE33" s="256">
        <f t="shared" si="15"/>
        <v>0</v>
      </c>
      <c r="EF33" s="256">
        <f t="shared" si="15"/>
        <v>0</v>
      </c>
      <c r="EG33" s="256">
        <f t="shared" si="15"/>
        <v>0</v>
      </c>
      <c r="EH33" s="256">
        <f t="shared" si="15"/>
        <v>0</v>
      </c>
      <c r="EI33" s="256">
        <f t="shared" si="15"/>
        <v>0</v>
      </c>
      <c r="EJ33" s="256">
        <f t="shared" si="15"/>
        <v>0</v>
      </c>
      <c r="EK33" s="256">
        <f t="shared" si="15"/>
        <v>0</v>
      </c>
      <c r="EL33" s="256">
        <f t="shared" si="15"/>
        <v>0</v>
      </c>
      <c r="EM33" s="256">
        <f t="shared" si="15"/>
        <v>0</v>
      </c>
      <c r="EN33" s="256">
        <f t="shared" si="15"/>
        <v>0</v>
      </c>
      <c r="EO33" s="256">
        <f t="shared" si="15"/>
        <v>0</v>
      </c>
      <c r="EP33" s="256">
        <f t="shared" si="15"/>
        <v>0</v>
      </c>
      <c r="EQ33" s="256">
        <f t="shared" si="15"/>
        <v>0</v>
      </c>
      <c r="ER33" s="256">
        <f t="shared" si="15"/>
        <v>0</v>
      </c>
    </row>
    <row r="36" spans="3:148" ht="11.25" customHeight="1">
      <c r="C36" s="155" t="s">
        <v>221</v>
      </c>
      <c r="D36" s="155"/>
      <c r="E36" s="155"/>
      <c r="F36" s="723"/>
      <c r="G36" s="723"/>
      <c r="H36" s="723"/>
      <c r="I36" s="191"/>
      <c r="J36" s="192"/>
      <c r="K36" s="156"/>
      <c r="M36" s="157">
        <f t="shared" ref="M36:AR36" si="16">M14</f>
        <v>46326</v>
      </c>
      <c r="N36" s="157">
        <f t="shared" si="16"/>
        <v>46356</v>
      </c>
      <c r="O36" s="157">
        <f t="shared" si="16"/>
        <v>46387</v>
      </c>
      <c r="P36" s="157">
        <f t="shared" si="16"/>
        <v>46418</v>
      </c>
      <c r="Q36" s="157">
        <f t="shared" si="16"/>
        <v>46446</v>
      </c>
      <c r="R36" s="157">
        <f t="shared" si="16"/>
        <v>46477</v>
      </c>
      <c r="S36" s="157">
        <f t="shared" si="16"/>
        <v>46507</v>
      </c>
      <c r="T36" s="157">
        <f t="shared" si="16"/>
        <v>46538</v>
      </c>
      <c r="U36" s="157">
        <f t="shared" si="16"/>
        <v>46568</v>
      </c>
      <c r="V36" s="157">
        <f t="shared" si="16"/>
        <v>46599</v>
      </c>
      <c r="W36" s="157">
        <f t="shared" si="16"/>
        <v>46630</v>
      </c>
      <c r="X36" s="157">
        <f t="shared" si="16"/>
        <v>46660</v>
      </c>
      <c r="Y36" s="157">
        <f t="shared" si="16"/>
        <v>46691</v>
      </c>
      <c r="Z36" s="157">
        <f t="shared" si="16"/>
        <v>46721</v>
      </c>
      <c r="AA36" s="157">
        <f t="shared" si="16"/>
        <v>46752</v>
      </c>
      <c r="AB36" s="157">
        <f t="shared" si="16"/>
        <v>46783</v>
      </c>
      <c r="AC36" s="157">
        <f t="shared" si="16"/>
        <v>46812</v>
      </c>
      <c r="AD36" s="157">
        <f t="shared" si="16"/>
        <v>46843</v>
      </c>
      <c r="AE36" s="157">
        <f t="shared" si="16"/>
        <v>46873</v>
      </c>
      <c r="AF36" s="157">
        <f t="shared" si="16"/>
        <v>46904</v>
      </c>
      <c r="AG36" s="157">
        <f t="shared" si="16"/>
        <v>46934</v>
      </c>
      <c r="AH36" s="157">
        <f t="shared" si="16"/>
        <v>46965</v>
      </c>
      <c r="AI36" s="157">
        <f t="shared" si="16"/>
        <v>46996</v>
      </c>
      <c r="AJ36" s="157">
        <f t="shared" si="16"/>
        <v>47026</v>
      </c>
      <c r="AK36" s="157">
        <f t="shared" si="16"/>
        <v>47057</v>
      </c>
      <c r="AL36" s="157">
        <f t="shared" si="16"/>
        <v>47087</v>
      </c>
      <c r="AM36" s="157">
        <f t="shared" si="16"/>
        <v>47118</v>
      </c>
      <c r="AN36" s="157">
        <f t="shared" si="16"/>
        <v>47149</v>
      </c>
      <c r="AO36" s="157">
        <f t="shared" si="16"/>
        <v>47177</v>
      </c>
      <c r="AP36" s="157">
        <f t="shared" si="16"/>
        <v>47208</v>
      </c>
      <c r="AQ36" s="157">
        <f t="shared" si="16"/>
        <v>47238</v>
      </c>
      <c r="AR36" s="157">
        <f t="shared" si="16"/>
        <v>47269</v>
      </c>
      <c r="AS36" s="157">
        <f t="shared" ref="AS36:BX36" si="17">AS14</f>
        <v>47299</v>
      </c>
      <c r="AT36" s="157">
        <f t="shared" si="17"/>
        <v>47330</v>
      </c>
      <c r="AU36" s="157">
        <f t="shared" si="17"/>
        <v>47361</v>
      </c>
      <c r="AV36" s="157">
        <f t="shared" si="17"/>
        <v>47391</v>
      </c>
      <c r="AW36" s="157">
        <f t="shared" si="17"/>
        <v>47422</v>
      </c>
      <c r="AX36" s="157">
        <f t="shared" si="17"/>
        <v>47452</v>
      </c>
      <c r="AY36" s="157">
        <f t="shared" si="17"/>
        <v>47483</v>
      </c>
      <c r="AZ36" s="157">
        <f t="shared" si="17"/>
        <v>47514</v>
      </c>
      <c r="BA36" s="157">
        <f t="shared" si="17"/>
        <v>47542</v>
      </c>
      <c r="BB36" s="157">
        <f t="shared" si="17"/>
        <v>47573</v>
      </c>
      <c r="BC36" s="157">
        <f t="shared" si="17"/>
        <v>47603</v>
      </c>
      <c r="BD36" s="157">
        <f t="shared" si="17"/>
        <v>47634</v>
      </c>
      <c r="BE36" s="157">
        <f t="shared" si="17"/>
        <v>47664</v>
      </c>
      <c r="BF36" s="157">
        <f t="shared" si="17"/>
        <v>47695</v>
      </c>
      <c r="BG36" s="157">
        <f t="shared" si="17"/>
        <v>47726</v>
      </c>
      <c r="BH36" s="157">
        <f t="shared" si="17"/>
        <v>47756</v>
      </c>
      <c r="BI36" s="157">
        <f t="shared" si="17"/>
        <v>47787</v>
      </c>
      <c r="BJ36" s="157">
        <f t="shared" si="17"/>
        <v>47817</v>
      </c>
      <c r="BK36" s="157">
        <f t="shared" si="17"/>
        <v>47848</v>
      </c>
      <c r="BL36" s="157">
        <f t="shared" si="17"/>
        <v>47879</v>
      </c>
      <c r="BM36" s="157">
        <f t="shared" si="17"/>
        <v>47907</v>
      </c>
      <c r="BN36" s="157">
        <f t="shared" si="17"/>
        <v>47938</v>
      </c>
      <c r="BO36" s="157">
        <f t="shared" si="17"/>
        <v>47968</v>
      </c>
      <c r="BP36" s="157">
        <f t="shared" si="17"/>
        <v>47999</v>
      </c>
      <c r="BQ36" s="157">
        <f t="shared" si="17"/>
        <v>48029</v>
      </c>
      <c r="BR36" s="157">
        <f t="shared" si="17"/>
        <v>48060</v>
      </c>
      <c r="BS36" s="157">
        <f t="shared" si="17"/>
        <v>48091</v>
      </c>
      <c r="BT36" s="157">
        <f t="shared" si="17"/>
        <v>48121</v>
      </c>
      <c r="BU36" s="157">
        <f t="shared" si="17"/>
        <v>48152</v>
      </c>
      <c r="BV36" s="157">
        <f t="shared" si="17"/>
        <v>48182</v>
      </c>
      <c r="BW36" s="157">
        <f t="shared" si="17"/>
        <v>48213</v>
      </c>
      <c r="BX36" s="157">
        <f t="shared" si="17"/>
        <v>48244</v>
      </c>
      <c r="BY36" s="157">
        <f t="shared" ref="BY36:DD36" si="18">BY14</f>
        <v>48273</v>
      </c>
      <c r="BZ36" s="157">
        <f t="shared" si="18"/>
        <v>48304</v>
      </c>
      <c r="CA36" s="157">
        <f t="shared" si="18"/>
        <v>48334</v>
      </c>
      <c r="CB36" s="157">
        <f t="shared" si="18"/>
        <v>48365</v>
      </c>
      <c r="CC36" s="157">
        <f t="shared" si="18"/>
        <v>48395</v>
      </c>
      <c r="CD36" s="157">
        <f t="shared" si="18"/>
        <v>48426</v>
      </c>
      <c r="CE36" s="157">
        <f t="shared" si="18"/>
        <v>48457</v>
      </c>
      <c r="CF36" s="157">
        <f t="shared" si="18"/>
        <v>48487</v>
      </c>
      <c r="CG36" s="157">
        <f t="shared" si="18"/>
        <v>48518</v>
      </c>
      <c r="CH36" s="157">
        <f t="shared" si="18"/>
        <v>48548</v>
      </c>
      <c r="CI36" s="157">
        <f t="shared" si="18"/>
        <v>48579</v>
      </c>
      <c r="CJ36" s="157">
        <f t="shared" si="18"/>
        <v>48610</v>
      </c>
      <c r="CK36" s="157">
        <f t="shared" si="18"/>
        <v>48638</v>
      </c>
      <c r="CL36" s="157">
        <f t="shared" si="18"/>
        <v>48669</v>
      </c>
      <c r="CM36" s="157">
        <f t="shared" si="18"/>
        <v>48699</v>
      </c>
      <c r="CN36" s="157">
        <f t="shared" si="18"/>
        <v>48730</v>
      </c>
      <c r="CO36" s="157">
        <f t="shared" si="18"/>
        <v>48760</v>
      </c>
      <c r="CP36" s="157">
        <f t="shared" si="18"/>
        <v>48791</v>
      </c>
      <c r="CQ36" s="157">
        <f t="shared" si="18"/>
        <v>48822</v>
      </c>
      <c r="CR36" s="157">
        <f t="shared" si="18"/>
        <v>48852</v>
      </c>
      <c r="CS36" s="157">
        <f t="shared" si="18"/>
        <v>48883</v>
      </c>
      <c r="CT36" s="157">
        <f t="shared" si="18"/>
        <v>48913</v>
      </c>
      <c r="CU36" s="157">
        <f t="shared" si="18"/>
        <v>48944</v>
      </c>
      <c r="CV36" s="157">
        <f t="shared" si="18"/>
        <v>48975</v>
      </c>
      <c r="CW36" s="157">
        <f t="shared" si="18"/>
        <v>49003</v>
      </c>
      <c r="CX36" s="157">
        <f t="shared" si="18"/>
        <v>49034</v>
      </c>
      <c r="CY36" s="157">
        <f t="shared" si="18"/>
        <v>49064</v>
      </c>
      <c r="CZ36" s="157">
        <f t="shared" si="18"/>
        <v>49095</v>
      </c>
      <c r="DA36" s="157">
        <f t="shared" si="18"/>
        <v>49125</v>
      </c>
      <c r="DB36" s="157">
        <f t="shared" si="18"/>
        <v>49156</v>
      </c>
      <c r="DC36" s="157">
        <f t="shared" si="18"/>
        <v>49187</v>
      </c>
      <c r="DD36" s="157">
        <f t="shared" si="18"/>
        <v>49217</v>
      </c>
      <c r="DE36" s="157">
        <f t="shared" ref="DE36:DV36" si="19">DE14</f>
        <v>49248</v>
      </c>
      <c r="DF36" s="157">
        <f t="shared" si="19"/>
        <v>49278</v>
      </c>
      <c r="DG36" s="157">
        <f t="shared" si="19"/>
        <v>49309</v>
      </c>
      <c r="DH36" s="157">
        <f t="shared" si="19"/>
        <v>49340</v>
      </c>
      <c r="DI36" s="157">
        <f t="shared" si="19"/>
        <v>49368</v>
      </c>
      <c r="DJ36" s="157">
        <f t="shared" si="19"/>
        <v>49399</v>
      </c>
      <c r="DK36" s="157">
        <f t="shared" si="19"/>
        <v>49429</v>
      </c>
      <c r="DL36" s="157">
        <f t="shared" si="19"/>
        <v>49460</v>
      </c>
      <c r="DM36" s="157">
        <f t="shared" si="19"/>
        <v>49490</v>
      </c>
      <c r="DN36" s="157">
        <f t="shared" si="19"/>
        <v>49521</v>
      </c>
      <c r="DO36" s="157">
        <f t="shared" si="19"/>
        <v>49552</v>
      </c>
      <c r="DP36" s="157">
        <f t="shared" si="19"/>
        <v>49582</v>
      </c>
      <c r="DQ36" s="157">
        <f t="shared" si="19"/>
        <v>49613</v>
      </c>
      <c r="DR36" s="157">
        <f t="shared" si="19"/>
        <v>49643</v>
      </c>
      <c r="DS36" s="157">
        <f t="shared" si="19"/>
        <v>49674</v>
      </c>
      <c r="DT36" s="157">
        <f t="shared" si="19"/>
        <v>49705</v>
      </c>
      <c r="DU36" s="157">
        <f t="shared" si="19"/>
        <v>49734</v>
      </c>
      <c r="DV36" s="157">
        <f t="shared" si="19"/>
        <v>49765</v>
      </c>
      <c r="DW36" s="157">
        <f t="shared" ref="DW36:ER36" si="20">DW14</f>
        <v>49795</v>
      </c>
      <c r="DX36" s="157">
        <f t="shared" si="20"/>
        <v>49826</v>
      </c>
      <c r="DY36" s="157">
        <f t="shared" si="20"/>
        <v>49856</v>
      </c>
      <c r="DZ36" s="157">
        <f t="shared" si="20"/>
        <v>49887</v>
      </c>
      <c r="EA36" s="157">
        <f t="shared" si="20"/>
        <v>49918</v>
      </c>
      <c r="EB36" s="157">
        <f t="shared" si="20"/>
        <v>49948</v>
      </c>
      <c r="EC36" s="157">
        <f t="shared" si="20"/>
        <v>49979</v>
      </c>
      <c r="ED36" s="157">
        <f t="shared" si="20"/>
        <v>50009</v>
      </c>
      <c r="EE36" s="157">
        <f t="shared" si="20"/>
        <v>50040</v>
      </c>
      <c r="EF36" s="157">
        <f t="shared" si="20"/>
        <v>50071</v>
      </c>
      <c r="EG36" s="157">
        <f t="shared" si="20"/>
        <v>50099</v>
      </c>
      <c r="EH36" s="157">
        <f t="shared" si="20"/>
        <v>50130</v>
      </c>
      <c r="EI36" s="157">
        <f t="shared" si="20"/>
        <v>50160</v>
      </c>
      <c r="EJ36" s="157">
        <f t="shared" si="20"/>
        <v>50191</v>
      </c>
      <c r="EK36" s="157">
        <f t="shared" si="20"/>
        <v>50221</v>
      </c>
      <c r="EL36" s="157">
        <f t="shared" si="20"/>
        <v>50252</v>
      </c>
      <c r="EM36" s="157">
        <f t="shared" si="20"/>
        <v>50283</v>
      </c>
      <c r="EN36" s="157">
        <f t="shared" si="20"/>
        <v>50313</v>
      </c>
      <c r="EO36" s="157">
        <f t="shared" si="20"/>
        <v>50344</v>
      </c>
      <c r="EP36" s="157">
        <f t="shared" si="20"/>
        <v>50374</v>
      </c>
      <c r="EQ36" s="157">
        <f t="shared" si="20"/>
        <v>50405</v>
      </c>
      <c r="ER36" s="157">
        <f t="shared" si="20"/>
        <v>50436</v>
      </c>
    </row>
    <row r="37" spans="3:148" ht="11.25" customHeight="1">
      <c r="C37" s="158" t="s">
        <v>222</v>
      </c>
      <c r="D37" s="159"/>
      <c r="E37" s="159"/>
      <c r="F37" s="729"/>
      <c r="G37" s="729"/>
      <c r="H37" s="729"/>
      <c r="I37" s="160"/>
      <c r="J37" s="880">
        <f>'A&amp;R'!AH34</f>
        <v>0</v>
      </c>
      <c r="K37" s="161">
        <f>SUM(K38:K42)</f>
        <v>20543128.645394322</v>
      </c>
      <c r="L37" s="98"/>
      <c r="M37" s="162">
        <f>SUM(M38:M42)</f>
        <v>0</v>
      </c>
      <c r="N37" s="162">
        <f t="shared" ref="N37:BY37" si="21">SUM(N38:N42)</f>
        <v>0</v>
      </c>
      <c r="O37" s="162">
        <f t="shared" si="21"/>
        <v>0</v>
      </c>
      <c r="P37" s="162">
        <f t="shared" si="21"/>
        <v>0</v>
      </c>
      <c r="Q37" s="162">
        <f t="shared" si="21"/>
        <v>0</v>
      </c>
      <c r="R37" s="162">
        <f t="shared" si="21"/>
        <v>0</v>
      </c>
      <c r="S37" s="162">
        <f t="shared" si="21"/>
        <v>0</v>
      </c>
      <c r="T37" s="162">
        <f t="shared" si="21"/>
        <v>0</v>
      </c>
      <c r="U37" s="162">
        <f t="shared" si="21"/>
        <v>0</v>
      </c>
      <c r="V37" s="162">
        <f t="shared" si="21"/>
        <v>0</v>
      </c>
      <c r="W37" s="162">
        <f t="shared" si="21"/>
        <v>0</v>
      </c>
      <c r="X37" s="162">
        <f t="shared" si="21"/>
        <v>0</v>
      </c>
      <c r="Y37" s="162">
        <f t="shared" si="21"/>
        <v>0</v>
      </c>
      <c r="Z37" s="162">
        <f t="shared" si="21"/>
        <v>0</v>
      </c>
      <c r="AA37" s="162">
        <f t="shared" si="21"/>
        <v>0</v>
      </c>
      <c r="AB37" s="162">
        <f t="shared" si="21"/>
        <v>0</v>
      </c>
      <c r="AC37" s="162">
        <f t="shared" si="21"/>
        <v>0</v>
      </c>
      <c r="AD37" s="162">
        <f t="shared" si="21"/>
        <v>0</v>
      </c>
      <c r="AE37" s="162">
        <f t="shared" si="21"/>
        <v>0</v>
      </c>
      <c r="AF37" s="162">
        <f t="shared" si="21"/>
        <v>0</v>
      </c>
      <c r="AG37" s="162">
        <f t="shared" si="21"/>
        <v>0</v>
      </c>
      <c r="AH37" s="162">
        <f t="shared" si="21"/>
        <v>0</v>
      </c>
      <c r="AI37" s="162">
        <f t="shared" si="21"/>
        <v>0</v>
      </c>
      <c r="AJ37" s="162">
        <f t="shared" si="21"/>
        <v>0</v>
      </c>
      <c r="AK37" s="162">
        <f t="shared" si="21"/>
        <v>0</v>
      </c>
      <c r="AL37" s="162">
        <f t="shared" si="21"/>
        <v>0</v>
      </c>
      <c r="AM37" s="162">
        <f t="shared" si="21"/>
        <v>0</v>
      </c>
      <c r="AN37" s="162">
        <f t="shared" si="21"/>
        <v>0</v>
      </c>
      <c r="AO37" s="162">
        <f t="shared" si="21"/>
        <v>0</v>
      </c>
      <c r="AP37" s="162">
        <f t="shared" si="21"/>
        <v>0</v>
      </c>
      <c r="AQ37" s="162">
        <f t="shared" si="21"/>
        <v>0</v>
      </c>
      <c r="AR37" s="162">
        <f t="shared" si="21"/>
        <v>0</v>
      </c>
      <c r="AS37" s="162">
        <f t="shared" si="21"/>
        <v>0</v>
      </c>
      <c r="AT37" s="162">
        <f t="shared" si="21"/>
        <v>0</v>
      </c>
      <c r="AU37" s="162">
        <f t="shared" si="21"/>
        <v>0</v>
      </c>
      <c r="AV37" s="162">
        <f t="shared" si="21"/>
        <v>0</v>
      </c>
      <c r="AW37" s="162">
        <f t="shared" si="21"/>
        <v>0</v>
      </c>
      <c r="AX37" s="162">
        <f t="shared" si="21"/>
        <v>0</v>
      </c>
      <c r="AY37" s="162">
        <f t="shared" si="21"/>
        <v>0</v>
      </c>
      <c r="AZ37" s="162">
        <f t="shared" si="21"/>
        <v>0</v>
      </c>
      <c r="BA37" s="162">
        <f t="shared" si="21"/>
        <v>0</v>
      </c>
      <c r="BB37" s="162">
        <f t="shared" si="21"/>
        <v>0</v>
      </c>
      <c r="BC37" s="162">
        <f t="shared" si="21"/>
        <v>0</v>
      </c>
      <c r="BD37" s="162">
        <f t="shared" si="21"/>
        <v>0</v>
      </c>
      <c r="BE37" s="162">
        <f t="shared" si="21"/>
        <v>0</v>
      </c>
      <c r="BF37" s="162">
        <f t="shared" si="21"/>
        <v>0</v>
      </c>
      <c r="BG37" s="162">
        <f t="shared" si="21"/>
        <v>0</v>
      </c>
      <c r="BH37" s="162">
        <f t="shared" si="21"/>
        <v>0</v>
      </c>
      <c r="BI37" s="162">
        <f t="shared" si="21"/>
        <v>0</v>
      </c>
      <c r="BJ37" s="162">
        <f t="shared" si="21"/>
        <v>0</v>
      </c>
      <c r="BK37" s="162">
        <f t="shared" si="21"/>
        <v>0</v>
      </c>
      <c r="BL37" s="162">
        <f t="shared" si="21"/>
        <v>0</v>
      </c>
      <c r="BM37" s="162">
        <f t="shared" si="21"/>
        <v>0</v>
      </c>
      <c r="BN37" s="162">
        <f t="shared" si="21"/>
        <v>0</v>
      </c>
      <c r="BO37" s="162">
        <f t="shared" si="21"/>
        <v>0</v>
      </c>
      <c r="BP37" s="162">
        <f t="shared" si="21"/>
        <v>0</v>
      </c>
      <c r="BQ37" s="162">
        <f t="shared" si="21"/>
        <v>0</v>
      </c>
      <c r="BR37" s="162">
        <f t="shared" si="21"/>
        <v>0</v>
      </c>
      <c r="BS37" s="162">
        <f t="shared" si="21"/>
        <v>0</v>
      </c>
      <c r="BT37" s="162">
        <f t="shared" si="21"/>
        <v>0</v>
      </c>
      <c r="BU37" s="162">
        <f t="shared" si="21"/>
        <v>0</v>
      </c>
      <c r="BV37" s="162">
        <f t="shared" si="21"/>
        <v>0</v>
      </c>
      <c r="BW37" s="162">
        <f t="shared" si="21"/>
        <v>0</v>
      </c>
      <c r="BX37" s="162">
        <f t="shared" si="21"/>
        <v>0</v>
      </c>
      <c r="BY37" s="162">
        <f t="shared" si="21"/>
        <v>0</v>
      </c>
      <c r="BZ37" s="162">
        <f t="shared" ref="BZ37:DV37" si="22">SUM(BZ38:BZ42)</f>
        <v>0</v>
      </c>
      <c r="CA37" s="162">
        <f t="shared" si="22"/>
        <v>0</v>
      </c>
      <c r="CB37" s="162">
        <f t="shared" si="22"/>
        <v>0</v>
      </c>
      <c r="CC37" s="162">
        <f t="shared" si="22"/>
        <v>0</v>
      </c>
      <c r="CD37" s="162">
        <f t="shared" si="22"/>
        <v>0</v>
      </c>
      <c r="CE37" s="162">
        <f t="shared" si="22"/>
        <v>0</v>
      </c>
      <c r="CF37" s="162">
        <f t="shared" si="22"/>
        <v>0</v>
      </c>
      <c r="CG37" s="162">
        <f t="shared" si="22"/>
        <v>0</v>
      </c>
      <c r="CH37" s="162">
        <f t="shared" si="22"/>
        <v>0</v>
      </c>
      <c r="CI37" s="162">
        <f t="shared" si="22"/>
        <v>0</v>
      </c>
      <c r="CJ37" s="162">
        <f t="shared" si="22"/>
        <v>0</v>
      </c>
      <c r="CK37" s="162">
        <f t="shared" si="22"/>
        <v>0</v>
      </c>
      <c r="CL37" s="162">
        <f t="shared" si="22"/>
        <v>0</v>
      </c>
      <c r="CM37" s="162">
        <f t="shared" si="22"/>
        <v>0</v>
      </c>
      <c r="CN37" s="162">
        <f t="shared" si="22"/>
        <v>0</v>
      </c>
      <c r="CO37" s="162">
        <f t="shared" si="22"/>
        <v>0</v>
      </c>
      <c r="CP37" s="162">
        <f t="shared" si="22"/>
        <v>0</v>
      </c>
      <c r="CQ37" s="162">
        <f t="shared" si="22"/>
        <v>0</v>
      </c>
      <c r="CR37" s="162">
        <f t="shared" si="22"/>
        <v>0</v>
      </c>
      <c r="CS37" s="162">
        <f t="shared" si="22"/>
        <v>0</v>
      </c>
      <c r="CT37" s="162">
        <f t="shared" si="22"/>
        <v>0</v>
      </c>
      <c r="CU37" s="162">
        <f t="shared" si="22"/>
        <v>0</v>
      </c>
      <c r="CV37" s="162">
        <f t="shared" si="22"/>
        <v>0</v>
      </c>
      <c r="CW37" s="162">
        <f t="shared" si="22"/>
        <v>0</v>
      </c>
      <c r="CX37" s="162">
        <f t="shared" si="22"/>
        <v>0</v>
      </c>
      <c r="CY37" s="162">
        <f t="shared" si="22"/>
        <v>0</v>
      </c>
      <c r="CZ37" s="162">
        <f t="shared" si="22"/>
        <v>0</v>
      </c>
      <c r="DA37" s="162">
        <f t="shared" si="22"/>
        <v>0</v>
      </c>
      <c r="DB37" s="162">
        <f t="shared" si="22"/>
        <v>0</v>
      </c>
      <c r="DC37" s="162">
        <f t="shared" si="22"/>
        <v>0</v>
      </c>
      <c r="DD37" s="162">
        <f t="shared" si="22"/>
        <v>0</v>
      </c>
      <c r="DE37" s="162">
        <f t="shared" si="22"/>
        <v>0</v>
      </c>
      <c r="DF37" s="162">
        <f t="shared" si="22"/>
        <v>0</v>
      </c>
      <c r="DG37" s="162">
        <f t="shared" si="22"/>
        <v>0</v>
      </c>
      <c r="DH37" s="162">
        <f t="shared" si="22"/>
        <v>0</v>
      </c>
      <c r="DI37" s="162">
        <f t="shared" si="22"/>
        <v>0</v>
      </c>
      <c r="DJ37" s="162">
        <f t="shared" si="22"/>
        <v>0</v>
      </c>
      <c r="DK37" s="162">
        <f t="shared" si="22"/>
        <v>0</v>
      </c>
      <c r="DL37" s="162">
        <f t="shared" si="22"/>
        <v>0</v>
      </c>
      <c r="DM37" s="162">
        <f t="shared" si="22"/>
        <v>0</v>
      </c>
      <c r="DN37" s="162">
        <f t="shared" si="22"/>
        <v>0</v>
      </c>
      <c r="DO37" s="162">
        <f t="shared" si="22"/>
        <v>0</v>
      </c>
      <c r="DP37" s="162">
        <f t="shared" si="22"/>
        <v>0</v>
      </c>
      <c r="DQ37" s="162">
        <f t="shared" si="22"/>
        <v>0</v>
      </c>
      <c r="DR37" s="162">
        <f t="shared" si="22"/>
        <v>0</v>
      </c>
      <c r="DS37" s="162">
        <f t="shared" si="22"/>
        <v>0</v>
      </c>
      <c r="DT37" s="162">
        <f t="shared" si="22"/>
        <v>0</v>
      </c>
      <c r="DU37" s="162">
        <f t="shared" si="22"/>
        <v>0</v>
      </c>
      <c r="DV37" s="162">
        <f t="shared" si="22"/>
        <v>0</v>
      </c>
      <c r="DW37" s="162">
        <f t="shared" ref="DW37:ER37" si="23">SUM(DW38:DW42)</f>
        <v>0</v>
      </c>
      <c r="DX37" s="162">
        <f t="shared" si="23"/>
        <v>0</v>
      </c>
      <c r="DY37" s="162">
        <f t="shared" si="23"/>
        <v>0</v>
      </c>
      <c r="DZ37" s="162">
        <f t="shared" si="23"/>
        <v>0</v>
      </c>
      <c r="EA37" s="162">
        <f t="shared" si="23"/>
        <v>0</v>
      </c>
      <c r="EB37" s="162">
        <f t="shared" si="23"/>
        <v>0</v>
      </c>
      <c r="EC37" s="162">
        <f t="shared" si="23"/>
        <v>0</v>
      </c>
      <c r="ED37" s="162">
        <f t="shared" si="23"/>
        <v>1683675.5823716589</v>
      </c>
      <c r="EE37" s="162">
        <f t="shared" si="23"/>
        <v>1690661.9593042016</v>
      </c>
      <c r="EF37" s="162">
        <f t="shared" si="23"/>
        <v>1695961.1320694506</v>
      </c>
      <c r="EG37" s="162">
        <f t="shared" si="23"/>
        <v>1710319.7252398953</v>
      </c>
      <c r="EH37" s="162">
        <f t="shared" si="23"/>
        <v>1710319.7252398953</v>
      </c>
      <c r="EI37" s="162">
        <f t="shared" si="23"/>
        <v>1715784.8320063271</v>
      </c>
      <c r="EJ37" s="162">
        <f t="shared" si="23"/>
        <v>1720701.6766580264</v>
      </c>
      <c r="EK37" s="162">
        <f t="shared" si="23"/>
        <v>1720701.6766580264</v>
      </c>
      <c r="EL37" s="162">
        <f t="shared" si="23"/>
        <v>1720701.6766580264</v>
      </c>
      <c r="EM37" s="162">
        <f t="shared" si="23"/>
        <v>1724766.8863962721</v>
      </c>
      <c r="EN37" s="162">
        <f t="shared" si="23"/>
        <v>1724766.8863962721</v>
      </c>
      <c r="EO37" s="162">
        <f t="shared" si="23"/>
        <v>1724766.8863962721</v>
      </c>
      <c r="EP37" s="162">
        <f t="shared" si="23"/>
        <v>0</v>
      </c>
      <c r="EQ37" s="162">
        <f t="shared" si="23"/>
        <v>0</v>
      </c>
      <c r="ER37" s="162">
        <f t="shared" si="23"/>
        <v>0</v>
      </c>
    </row>
    <row r="38" spans="3:148" ht="11.25" customHeight="1">
      <c r="C38" s="163"/>
      <c r="D38" s="164" t="s">
        <v>183</v>
      </c>
      <c r="E38" s="165"/>
      <c r="F38" s="737"/>
      <c r="G38" s="737"/>
      <c r="H38" s="750"/>
      <c r="I38" s="194"/>
      <c r="J38" s="221"/>
      <c r="K38" s="168">
        <f>SUM(M38:ER38)</f>
        <v>19418111.529104855</v>
      </c>
      <c r="L38" s="98"/>
      <c r="M38" s="168">
        <f>SUM('Rent-roll'!P52,'Rent-roll'!P70)</f>
        <v>0</v>
      </c>
      <c r="N38" s="168">
        <f>SUM('Rent-roll'!Q52,'Rent-roll'!Q70)</f>
        <v>0</v>
      </c>
      <c r="O38" s="168">
        <f>SUM('Rent-roll'!R52,'Rent-roll'!R70)</f>
        <v>0</v>
      </c>
      <c r="P38" s="168">
        <f>SUM('Rent-roll'!S52,'Rent-roll'!S70)</f>
        <v>0</v>
      </c>
      <c r="Q38" s="168">
        <f>SUM('Rent-roll'!T52,'Rent-roll'!T70)</f>
        <v>0</v>
      </c>
      <c r="R38" s="168">
        <f>SUM('Rent-roll'!U52,'Rent-roll'!U70)</f>
        <v>0</v>
      </c>
      <c r="S38" s="168">
        <f>SUM('Rent-roll'!V52,'Rent-roll'!V70)</f>
        <v>0</v>
      </c>
      <c r="T38" s="168">
        <f>SUM('Rent-roll'!W52,'Rent-roll'!W70)</f>
        <v>0</v>
      </c>
      <c r="U38" s="168">
        <f>SUM('Rent-roll'!X52,'Rent-roll'!X70)</f>
        <v>0</v>
      </c>
      <c r="V38" s="168">
        <f>SUM('Rent-roll'!Y52,'Rent-roll'!Y70)</f>
        <v>0</v>
      </c>
      <c r="W38" s="168">
        <f>SUM('Rent-roll'!Z52,'Rent-roll'!Z70)</f>
        <v>0</v>
      </c>
      <c r="X38" s="168">
        <f>SUM('Rent-roll'!AA52,'Rent-roll'!AA70)</f>
        <v>0</v>
      </c>
      <c r="Y38" s="168">
        <f>SUM('Rent-roll'!AB52,'Rent-roll'!AB70)</f>
        <v>0</v>
      </c>
      <c r="Z38" s="168">
        <f>SUM('Rent-roll'!AC52,'Rent-roll'!AC70)</f>
        <v>0</v>
      </c>
      <c r="AA38" s="168">
        <f>SUM('Rent-roll'!AD52,'Rent-roll'!AD70)</f>
        <v>0</v>
      </c>
      <c r="AB38" s="168">
        <f>SUM('Rent-roll'!AE52,'Rent-roll'!AE70)</f>
        <v>0</v>
      </c>
      <c r="AC38" s="168">
        <f>SUM('Rent-roll'!AF52,'Rent-roll'!AF70)</f>
        <v>0</v>
      </c>
      <c r="AD38" s="168">
        <f>SUM('Rent-roll'!AG52,'Rent-roll'!AG70)</f>
        <v>0</v>
      </c>
      <c r="AE38" s="168">
        <f>SUM('Rent-roll'!AH52,'Rent-roll'!AH70)</f>
        <v>0</v>
      </c>
      <c r="AF38" s="168">
        <f>SUM('Rent-roll'!AI52,'Rent-roll'!AI70)</f>
        <v>0</v>
      </c>
      <c r="AG38" s="168">
        <f>SUM('Rent-roll'!AJ52,'Rent-roll'!AJ70)</f>
        <v>0</v>
      </c>
      <c r="AH38" s="168">
        <f>SUM('Rent-roll'!AK52,'Rent-roll'!AK70)</f>
        <v>0</v>
      </c>
      <c r="AI38" s="168">
        <f>SUM('Rent-roll'!AL52,'Rent-roll'!AL70)</f>
        <v>0</v>
      </c>
      <c r="AJ38" s="168">
        <f>SUM('Rent-roll'!AM52,'Rent-roll'!AM70)</f>
        <v>0</v>
      </c>
      <c r="AK38" s="168">
        <f>SUM('Rent-roll'!AN52,'Rent-roll'!AN70)</f>
        <v>0</v>
      </c>
      <c r="AL38" s="168">
        <f>SUM('Rent-roll'!AO52,'Rent-roll'!AO70)</f>
        <v>0</v>
      </c>
      <c r="AM38" s="168">
        <f>SUM('Rent-roll'!AP52,'Rent-roll'!AP70)</f>
        <v>0</v>
      </c>
      <c r="AN38" s="168">
        <f>SUM('Rent-roll'!AQ52,'Rent-roll'!AQ70)</f>
        <v>0</v>
      </c>
      <c r="AO38" s="168">
        <f>SUM('Rent-roll'!AR52,'Rent-roll'!AR70)</f>
        <v>0</v>
      </c>
      <c r="AP38" s="168">
        <f>SUM('Rent-roll'!AS52,'Rent-roll'!AS70)</f>
        <v>0</v>
      </c>
      <c r="AQ38" s="168">
        <f>SUM('Rent-roll'!AT52,'Rent-roll'!AT70)</f>
        <v>0</v>
      </c>
      <c r="AR38" s="168">
        <f>SUM('Rent-roll'!AU52,'Rent-roll'!AU70)</f>
        <v>0</v>
      </c>
      <c r="AS38" s="168">
        <f>SUM('Rent-roll'!AV52,'Rent-roll'!AV70)</f>
        <v>0</v>
      </c>
      <c r="AT38" s="168">
        <f>SUM('Rent-roll'!AW52,'Rent-roll'!AW70)</f>
        <v>0</v>
      </c>
      <c r="AU38" s="168">
        <f>SUM('Rent-roll'!AX52,'Rent-roll'!AX70)</f>
        <v>0</v>
      </c>
      <c r="AV38" s="168">
        <f>SUM('Rent-roll'!AY52,'Rent-roll'!AY70)</f>
        <v>0</v>
      </c>
      <c r="AW38" s="168">
        <f>SUM('Rent-roll'!AZ52,'Rent-roll'!AZ70)</f>
        <v>0</v>
      </c>
      <c r="AX38" s="168">
        <f>SUM('Rent-roll'!BA52,'Rent-roll'!BA70)</f>
        <v>0</v>
      </c>
      <c r="AY38" s="168">
        <f>SUM('Rent-roll'!BB52,'Rent-roll'!BB70)</f>
        <v>0</v>
      </c>
      <c r="AZ38" s="168">
        <f>SUM('Rent-roll'!BC52,'Rent-roll'!BC70)</f>
        <v>0</v>
      </c>
      <c r="BA38" s="168">
        <f>SUM('Rent-roll'!BD52,'Rent-roll'!BD70)</f>
        <v>0</v>
      </c>
      <c r="BB38" s="168">
        <f>SUM('Rent-roll'!BE52,'Rent-roll'!BE70)</f>
        <v>0</v>
      </c>
      <c r="BC38" s="168">
        <f>SUM('Rent-roll'!BF52,'Rent-roll'!BF70)</f>
        <v>0</v>
      </c>
      <c r="BD38" s="168">
        <f>SUM('Rent-roll'!BG52,'Rent-roll'!BG70)</f>
        <v>0</v>
      </c>
      <c r="BE38" s="168">
        <f>SUM('Rent-roll'!BH52,'Rent-roll'!BH70)</f>
        <v>0</v>
      </c>
      <c r="BF38" s="168">
        <f>SUM('Rent-roll'!BI52,'Rent-roll'!BI70)</f>
        <v>0</v>
      </c>
      <c r="BG38" s="168">
        <f>SUM('Rent-roll'!BJ52,'Rent-roll'!BJ70)</f>
        <v>0</v>
      </c>
      <c r="BH38" s="168">
        <f>SUM('Rent-roll'!BK52,'Rent-roll'!BK70)</f>
        <v>0</v>
      </c>
      <c r="BI38" s="168">
        <f>SUM('Rent-roll'!BL52,'Rent-roll'!BL70)</f>
        <v>0</v>
      </c>
      <c r="BJ38" s="168">
        <f>SUM('Rent-roll'!BM52,'Rent-roll'!BM70)</f>
        <v>0</v>
      </c>
      <c r="BK38" s="168">
        <f>SUM('Rent-roll'!BN52,'Rent-roll'!BN70)</f>
        <v>0</v>
      </c>
      <c r="BL38" s="168">
        <f>SUM('Rent-roll'!BO52,'Rent-roll'!BO70)</f>
        <v>0</v>
      </c>
      <c r="BM38" s="168">
        <f>SUM('Rent-roll'!BP52,'Rent-roll'!BP70)</f>
        <v>0</v>
      </c>
      <c r="BN38" s="168">
        <f>SUM('Rent-roll'!BQ52,'Rent-roll'!BQ70)</f>
        <v>0</v>
      </c>
      <c r="BO38" s="168">
        <f>SUM('Rent-roll'!BR52,'Rent-roll'!BR70)</f>
        <v>0</v>
      </c>
      <c r="BP38" s="168">
        <f>SUM('Rent-roll'!BS52,'Rent-roll'!BS70)</f>
        <v>0</v>
      </c>
      <c r="BQ38" s="168">
        <f>SUM('Rent-roll'!BT52,'Rent-roll'!BT70)</f>
        <v>0</v>
      </c>
      <c r="BR38" s="168">
        <f>SUM('Rent-roll'!BU52,'Rent-roll'!BU70)</f>
        <v>0</v>
      </c>
      <c r="BS38" s="168">
        <f>SUM('Rent-roll'!BV52,'Rent-roll'!BV70)</f>
        <v>0</v>
      </c>
      <c r="BT38" s="168">
        <f>SUM('Rent-roll'!BW52,'Rent-roll'!BW70)</f>
        <v>0</v>
      </c>
      <c r="BU38" s="168">
        <f>SUM('Rent-roll'!BX52,'Rent-roll'!BX70)</f>
        <v>0</v>
      </c>
      <c r="BV38" s="168">
        <f>SUM('Rent-roll'!BY52,'Rent-roll'!BY70)</f>
        <v>0</v>
      </c>
      <c r="BW38" s="168">
        <f>SUM('Rent-roll'!BZ52,'Rent-roll'!BZ70)</f>
        <v>0</v>
      </c>
      <c r="BX38" s="168">
        <f>SUM('Rent-roll'!CA52,'Rent-roll'!CA70)</f>
        <v>0</v>
      </c>
      <c r="BY38" s="168">
        <f>SUM('Rent-roll'!CB52,'Rent-roll'!CB70)</f>
        <v>0</v>
      </c>
      <c r="BZ38" s="168">
        <f>SUM('Rent-roll'!CC52,'Rent-roll'!CC70)</f>
        <v>0</v>
      </c>
      <c r="CA38" s="168">
        <f>SUM('Rent-roll'!CD52,'Rent-roll'!CD70)</f>
        <v>0</v>
      </c>
      <c r="CB38" s="168">
        <f>SUM('Rent-roll'!CE52,'Rent-roll'!CE70)</f>
        <v>0</v>
      </c>
      <c r="CC38" s="168">
        <f>SUM('Rent-roll'!CF52,'Rent-roll'!CF70)</f>
        <v>0</v>
      </c>
      <c r="CD38" s="168">
        <f>SUM('Rent-roll'!CG52,'Rent-roll'!CG70)</f>
        <v>0</v>
      </c>
      <c r="CE38" s="168">
        <f>SUM('Rent-roll'!CH52,'Rent-roll'!CH70)</f>
        <v>0</v>
      </c>
      <c r="CF38" s="168">
        <f>SUM('Rent-roll'!CI52,'Rent-roll'!CI70)</f>
        <v>0</v>
      </c>
      <c r="CG38" s="168">
        <f>SUM('Rent-roll'!CJ52,'Rent-roll'!CJ70)</f>
        <v>0</v>
      </c>
      <c r="CH38" s="168">
        <f>SUM('Rent-roll'!CK52,'Rent-roll'!CK70)</f>
        <v>0</v>
      </c>
      <c r="CI38" s="168">
        <f>SUM('Rent-roll'!CL52,'Rent-roll'!CL70)</f>
        <v>0</v>
      </c>
      <c r="CJ38" s="168">
        <f>SUM('Rent-roll'!CM52,'Rent-roll'!CM70)</f>
        <v>0</v>
      </c>
      <c r="CK38" s="168">
        <f>SUM('Rent-roll'!CN52,'Rent-roll'!CN70)</f>
        <v>0</v>
      </c>
      <c r="CL38" s="168">
        <f>SUM('Rent-roll'!CO52,'Rent-roll'!CO70)</f>
        <v>0</v>
      </c>
      <c r="CM38" s="168">
        <f>SUM('Rent-roll'!CP52,'Rent-roll'!CP70)</f>
        <v>0</v>
      </c>
      <c r="CN38" s="168">
        <f>SUM('Rent-roll'!CQ52,'Rent-roll'!CQ70)</f>
        <v>0</v>
      </c>
      <c r="CO38" s="168">
        <f>SUM('Rent-roll'!CR52,'Rent-roll'!CR70)</f>
        <v>0</v>
      </c>
      <c r="CP38" s="168">
        <f>SUM('Rent-roll'!CS52,'Rent-roll'!CS70)</f>
        <v>0</v>
      </c>
      <c r="CQ38" s="168">
        <f>SUM('Rent-roll'!CT52,'Rent-roll'!CT70)</f>
        <v>0</v>
      </c>
      <c r="CR38" s="168">
        <f>SUM('Rent-roll'!CU52,'Rent-roll'!CU70)</f>
        <v>0</v>
      </c>
      <c r="CS38" s="168">
        <f>SUM('Rent-roll'!CV52,'Rent-roll'!CV70)</f>
        <v>0</v>
      </c>
      <c r="CT38" s="168">
        <f>SUM('Rent-roll'!CW52,'Rent-roll'!CW70)</f>
        <v>0</v>
      </c>
      <c r="CU38" s="168">
        <f>SUM('Rent-roll'!CX52,'Rent-roll'!CX70)</f>
        <v>0</v>
      </c>
      <c r="CV38" s="168">
        <f>SUM('Rent-roll'!CY52,'Rent-roll'!CY70)</f>
        <v>0</v>
      </c>
      <c r="CW38" s="168">
        <f>SUM('Rent-roll'!CZ52,'Rent-roll'!CZ70)</f>
        <v>0</v>
      </c>
      <c r="CX38" s="168">
        <f>SUM('Rent-roll'!DA52,'Rent-roll'!DA70)</f>
        <v>0</v>
      </c>
      <c r="CY38" s="168">
        <f>SUM('Rent-roll'!DB52,'Rent-roll'!DB70)</f>
        <v>0</v>
      </c>
      <c r="CZ38" s="168">
        <f>SUM('Rent-roll'!DC52,'Rent-roll'!DC70)</f>
        <v>0</v>
      </c>
      <c r="DA38" s="168">
        <f>SUM('Rent-roll'!DD52,'Rent-roll'!DD70)</f>
        <v>0</v>
      </c>
      <c r="DB38" s="168">
        <f>SUM('Rent-roll'!DE52,'Rent-roll'!DE70)</f>
        <v>0</v>
      </c>
      <c r="DC38" s="168">
        <f>SUM('Rent-roll'!DF52,'Rent-roll'!DF70)</f>
        <v>0</v>
      </c>
      <c r="DD38" s="168">
        <f>SUM('Rent-roll'!DG52,'Rent-roll'!DG70)</f>
        <v>0</v>
      </c>
      <c r="DE38" s="168">
        <f>SUM('Rent-roll'!DH52,'Rent-roll'!DH70)</f>
        <v>0</v>
      </c>
      <c r="DF38" s="168">
        <f>SUM('Rent-roll'!DI52,'Rent-roll'!DI70)</f>
        <v>0</v>
      </c>
      <c r="DG38" s="168">
        <f>SUM('Rent-roll'!DJ52,'Rent-roll'!DJ70)</f>
        <v>0</v>
      </c>
      <c r="DH38" s="168">
        <f>SUM('Rent-roll'!DK52,'Rent-roll'!DK70)</f>
        <v>0</v>
      </c>
      <c r="DI38" s="168">
        <f>SUM('Rent-roll'!DL52,'Rent-roll'!DL70)</f>
        <v>0</v>
      </c>
      <c r="DJ38" s="168">
        <f>SUM('Rent-roll'!DM52,'Rent-roll'!DM70)</f>
        <v>0</v>
      </c>
      <c r="DK38" s="168">
        <f>SUM('Rent-roll'!DN52,'Rent-roll'!DN70)</f>
        <v>0</v>
      </c>
      <c r="DL38" s="168">
        <f>SUM('Rent-roll'!DO52,'Rent-roll'!DO70)</f>
        <v>0</v>
      </c>
      <c r="DM38" s="168">
        <f>SUM('Rent-roll'!DP52,'Rent-roll'!DP70)</f>
        <v>0</v>
      </c>
      <c r="DN38" s="168">
        <f>SUM('Rent-roll'!DQ52,'Rent-roll'!DQ70)</f>
        <v>0</v>
      </c>
      <c r="DO38" s="168">
        <f>SUM('Rent-roll'!DR52,'Rent-roll'!DR70)</f>
        <v>0</v>
      </c>
      <c r="DP38" s="168">
        <f>SUM('Rent-roll'!DS52,'Rent-roll'!DS70)</f>
        <v>0</v>
      </c>
      <c r="DQ38" s="168">
        <f>SUM('Rent-roll'!DT52,'Rent-roll'!DT70)</f>
        <v>0</v>
      </c>
      <c r="DR38" s="168">
        <f>SUM('Rent-roll'!DU52,'Rent-roll'!DU70)</f>
        <v>0</v>
      </c>
      <c r="DS38" s="168">
        <f>SUM('Rent-roll'!DV52,'Rent-roll'!DV70)</f>
        <v>0</v>
      </c>
      <c r="DT38" s="168">
        <f>SUM('Rent-roll'!DW52,'Rent-roll'!DW70)</f>
        <v>0</v>
      </c>
      <c r="DU38" s="168">
        <f>SUM('Rent-roll'!DX52,'Rent-roll'!DX70)</f>
        <v>0</v>
      </c>
      <c r="DV38" s="168">
        <f>SUM('Rent-roll'!DY52,'Rent-roll'!DY70)</f>
        <v>0</v>
      </c>
      <c r="DW38" s="168">
        <f>SUM('Rent-roll'!DZ52,'Rent-roll'!DZ70)</f>
        <v>0</v>
      </c>
      <c r="DX38" s="168">
        <f>SUM('Rent-roll'!EA52,'Rent-roll'!EA70)</f>
        <v>0</v>
      </c>
      <c r="DY38" s="168">
        <f>SUM('Rent-roll'!EB52,'Rent-roll'!EB70)</f>
        <v>0</v>
      </c>
      <c r="DZ38" s="168">
        <f>SUM('Rent-roll'!EC52,'Rent-roll'!EC70)</f>
        <v>0</v>
      </c>
      <c r="EA38" s="168">
        <f>SUM('Rent-roll'!ED52,'Rent-roll'!ED70)</f>
        <v>0</v>
      </c>
      <c r="EB38" s="168">
        <f>SUM('Rent-roll'!EE52,'Rent-roll'!EE70)</f>
        <v>0</v>
      </c>
      <c r="EC38" s="168">
        <f>SUM('Rent-roll'!EF52,'Rent-roll'!EF70)</f>
        <v>0</v>
      </c>
      <c r="ED38" s="168">
        <f>SUM('Rent-roll'!EG52,'Rent-roll'!EG70)</f>
        <v>1591264.1430607762</v>
      </c>
      <c r="EE38" s="168">
        <f>SUM('Rent-roll'!EH52,'Rent-roll'!EH70)</f>
        <v>1597905.2229516609</v>
      </c>
      <c r="EF38" s="168">
        <f>SUM('Rent-roll'!EI52,'Rent-roll'!EI70)</f>
        <v>1602942.86210472</v>
      </c>
      <c r="EG38" s="168">
        <f>SUM('Rent-roll'!EJ52,'Rent-roll'!EJ70)</f>
        <v>1616598.3669995144</v>
      </c>
      <c r="EH38" s="168">
        <f>SUM('Rent-roll'!EK52,'Rent-roll'!EK70)</f>
        <v>1616598.3669995144</v>
      </c>
      <c r="EI38" s="168">
        <f>SUM('Rent-roll'!EL52,'Rent-roll'!EL70)</f>
        <v>1621794.2130570207</v>
      </c>
      <c r="EJ38" s="168">
        <f>SUM('Rent-roll'!EM52,'Rent-roll'!EM70)</f>
        <v>1626468.7874528188</v>
      </c>
      <c r="EK38" s="168">
        <f>SUM('Rent-roll'!EN52,'Rent-roll'!EN70)</f>
        <v>1626468.7874528188</v>
      </c>
      <c r="EL38" s="168">
        <f>SUM('Rent-roll'!EO52,'Rent-roll'!EO70)</f>
        <v>1626468.7874528188</v>
      </c>
      <c r="EM38" s="168">
        <f>SUM('Rent-roll'!EP52,'Rent-roll'!EP70)</f>
        <v>1630533.9971910645</v>
      </c>
      <c r="EN38" s="168">
        <f>SUM('Rent-roll'!EQ52,'Rent-roll'!EQ70)</f>
        <v>1630533.9971910645</v>
      </c>
      <c r="EO38" s="168">
        <f>SUM('Rent-roll'!ER52,'Rent-roll'!ER70)</f>
        <v>1630533.9971910645</v>
      </c>
      <c r="EP38" s="168">
        <f>SUM('Rent-roll'!ES52,'Rent-roll'!ES70)</f>
        <v>0</v>
      </c>
      <c r="EQ38" s="168">
        <f>SUM('Rent-roll'!ET52,'Rent-roll'!ET70)</f>
        <v>0</v>
      </c>
      <c r="ER38" s="168">
        <f>SUM('Rent-roll'!EU52,'Rent-roll'!EU70)</f>
        <v>0</v>
      </c>
    </row>
    <row r="39" spans="3:148" ht="11.25" customHeight="1">
      <c r="C39" s="163"/>
      <c r="D39" s="169" t="s">
        <v>184</v>
      </c>
      <c r="I39" s="146"/>
      <c r="J39" s="13"/>
      <c r="K39" s="171">
        <f>SUM(M39:ER39)</f>
        <v>0</v>
      </c>
      <c r="L39" s="98"/>
      <c r="M39" s="171">
        <f>SUM('Rent-roll'!P124)</f>
        <v>0</v>
      </c>
      <c r="N39" s="171">
        <f>SUM('Rent-roll'!Q124)</f>
        <v>0</v>
      </c>
      <c r="O39" s="171">
        <f>SUM('Rent-roll'!R124)</f>
        <v>0</v>
      </c>
      <c r="P39" s="171">
        <f>SUM('Rent-roll'!S124)</f>
        <v>0</v>
      </c>
      <c r="Q39" s="171">
        <f>SUM('Rent-roll'!T124)</f>
        <v>0</v>
      </c>
      <c r="R39" s="171">
        <f>SUM('Rent-roll'!U124)</f>
        <v>0</v>
      </c>
      <c r="S39" s="171">
        <f>SUM('Rent-roll'!V124)</f>
        <v>0</v>
      </c>
      <c r="T39" s="171">
        <f>SUM('Rent-roll'!W124)</f>
        <v>0</v>
      </c>
      <c r="U39" s="171">
        <f>SUM('Rent-roll'!X124)</f>
        <v>0</v>
      </c>
      <c r="V39" s="171">
        <f>SUM('Rent-roll'!Y124)</f>
        <v>0</v>
      </c>
      <c r="W39" s="171">
        <f>SUM('Rent-roll'!Z124)</f>
        <v>0</v>
      </c>
      <c r="X39" s="171">
        <f>SUM('Rent-roll'!AA124)</f>
        <v>0</v>
      </c>
      <c r="Y39" s="171">
        <f>SUM('Rent-roll'!AB124)</f>
        <v>0</v>
      </c>
      <c r="Z39" s="171">
        <f>SUM('Rent-roll'!AC124)</f>
        <v>0</v>
      </c>
      <c r="AA39" s="171">
        <f>SUM('Rent-roll'!AD124)</f>
        <v>0</v>
      </c>
      <c r="AB39" s="171">
        <f>SUM('Rent-roll'!AE124)</f>
        <v>0</v>
      </c>
      <c r="AC39" s="171">
        <f>SUM('Rent-roll'!AF124)</f>
        <v>0</v>
      </c>
      <c r="AD39" s="171">
        <f>SUM('Rent-roll'!AG124)</f>
        <v>0</v>
      </c>
      <c r="AE39" s="171">
        <f>SUM('Rent-roll'!AH124)</f>
        <v>0</v>
      </c>
      <c r="AF39" s="171">
        <f>SUM('Rent-roll'!AI124)</f>
        <v>0</v>
      </c>
      <c r="AG39" s="171">
        <f>SUM('Rent-roll'!AJ124)</f>
        <v>0</v>
      </c>
      <c r="AH39" s="171">
        <f>SUM('Rent-roll'!AK124)</f>
        <v>0</v>
      </c>
      <c r="AI39" s="171">
        <f>SUM('Rent-roll'!AL124)</f>
        <v>0</v>
      </c>
      <c r="AJ39" s="171">
        <f>SUM('Rent-roll'!AM124)</f>
        <v>0</v>
      </c>
      <c r="AK39" s="171">
        <f>SUM('Rent-roll'!AN124)</f>
        <v>0</v>
      </c>
      <c r="AL39" s="171">
        <f>SUM('Rent-roll'!AO124)</f>
        <v>0</v>
      </c>
      <c r="AM39" s="171">
        <f>SUM('Rent-roll'!AP124)</f>
        <v>0</v>
      </c>
      <c r="AN39" s="171">
        <f>SUM('Rent-roll'!AQ124)</f>
        <v>0</v>
      </c>
      <c r="AO39" s="171">
        <f>SUM('Rent-roll'!AR124)</f>
        <v>0</v>
      </c>
      <c r="AP39" s="171">
        <f>SUM('Rent-roll'!AS124)</f>
        <v>0</v>
      </c>
      <c r="AQ39" s="171">
        <f>SUM('Rent-roll'!AT124)</f>
        <v>0</v>
      </c>
      <c r="AR39" s="171">
        <f>SUM('Rent-roll'!AU124)</f>
        <v>0</v>
      </c>
      <c r="AS39" s="171">
        <f>SUM('Rent-roll'!AV124)</f>
        <v>0</v>
      </c>
      <c r="AT39" s="171">
        <f>SUM('Rent-roll'!AW124)</f>
        <v>0</v>
      </c>
      <c r="AU39" s="171">
        <f>SUM('Rent-roll'!AX124)</f>
        <v>0</v>
      </c>
      <c r="AV39" s="171">
        <f>SUM('Rent-roll'!AY124)</f>
        <v>0</v>
      </c>
      <c r="AW39" s="171">
        <f>SUM('Rent-roll'!AZ124)</f>
        <v>0</v>
      </c>
      <c r="AX39" s="171">
        <f>SUM('Rent-roll'!BA124)</f>
        <v>0</v>
      </c>
      <c r="AY39" s="171">
        <f>SUM('Rent-roll'!BB124)</f>
        <v>0</v>
      </c>
      <c r="AZ39" s="171">
        <f>SUM('Rent-roll'!BC124)</f>
        <v>0</v>
      </c>
      <c r="BA39" s="171">
        <f>SUM('Rent-roll'!BD124)</f>
        <v>0</v>
      </c>
      <c r="BB39" s="171">
        <f>SUM('Rent-roll'!BE124)</f>
        <v>0</v>
      </c>
      <c r="BC39" s="171">
        <f>SUM('Rent-roll'!BF124)</f>
        <v>0</v>
      </c>
      <c r="BD39" s="171">
        <f>SUM('Rent-roll'!BG124)</f>
        <v>0</v>
      </c>
      <c r="BE39" s="171">
        <f>SUM('Rent-roll'!BH124)</f>
        <v>0</v>
      </c>
      <c r="BF39" s="171">
        <f>SUM('Rent-roll'!BI124)</f>
        <v>0</v>
      </c>
      <c r="BG39" s="171">
        <f>SUM('Rent-roll'!BJ124)</f>
        <v>0</v>
      </c>
      <c r="BH39" s="171">
        <f>SUM('Rent-roll'!BK124)</f>
        <v>0</v>
      </c>
      <c r="BI39" s="171">
        <f>SUM('Rent-roll'!BL124)</f>
        <v>0</v>
      </c>
      <c r="BJ39" s="171">
        <f>SUM('Rent-roll'!BM124)</f>
        <v>0</v>
      </c>
      <c r="BK39" s="171">
        <f>SUM('Rent-roll'!BN124)</f>
        <v>0</v>
      </c>
      <c r="BL39" s="171">
        <f>SUM('Rent-roll'!BO124)</f>
        <v>0</v>
      </c>
      <c r="BM39" s="171">
        <f>SUM('Rent-roll'!BP124)</f>
        <v>0</v>
      </c>
      <c r="BN39" s="171">
        <f>SUM('Rent-roll'!BQ124)</f>
        <v>0</v>
      </c>
      <c r="BO39" s="171">
        <f>SUM('Rent-roll'!BR124)</f>
        <v>0</v>
      </c>
      <c r="BP39" s="171">
        <f>SUM('Rent-roll'!BS124)</f>
        <v>0</v>
      </c>
      <c r="BQ39" s="171">
        <f>SUM('Rent-roll'!BT124)</f>
        <v>0</v>
      </c>
      <c r="BR39" s="171">
        <f>SUM('Rent-roll'!BU124)</f>
        <v>0</v>
      </c>
      <c r="BS39" s="171">
        <f>SUM('Rent-roll'!BV124)</f>
        <v>0</v>
      </c>
      <c r="BT39" s="171">
        <f>SUM('Rent-roll'!BW124)</f>
        <v>0</v>
      </c>
      <c r="BU39" s="171">
        <f>SUM('Rent-roll'!BX124)</f>
        <v>0</v>
      </c>
      <c r="BV39" s="171">
        <f>SUM('Rent-roll'!BY124)</f>
        <v>0</v>
      </c>
      <c r="BW39" s="171">
        <f>SUM('Rent-roll'!BZ124)</f>
        <v>0</v>
      </c>
      <c r="BX39" s="171">
        <f>SUM('Rent-roll'!CA124)</f>
        <v>0</v>
      </c>
      <c r="BY39" s="171">
        <f>SUM('Rent-roll'!CB124)</f>
        <v>0</v>
      </c>
      <c r="BZ39" s="171">
        <f>SUM('Rent-roll'!CC124)</f>
        <v>0</v>
      </c>
      <c r="CA39" s="171">
        <f>SUM('Rent-roll'!CD124)</f>
        <v>0</v>
      </c>
      <c r="CB39" s="171">
        <f>SUM('Rent-roll'!CE124)</f>
        <v>0</v>
      </c>
      <c r="CC39" s="171">
        <f>SUM('Rent-roll'!CF124)</f>
        <v>0</v>
      </c>
      <c r="CD39" s="171">
        <f>SUM('Rent-roll'!CG124)</f>
        <v>0</v>
      </c>
      <c r="CE39" s="171">
        <f>SUM('Rent-roll'!CH124)</f>
        <v>0</v>
      </c>
      <c r="CF39" s="171">
        <f>SUM('Rent-roll'!CI124)</f>
        <v>0</v>
      </c>
      <c r="CG39" s="171">
        <f>SUM('Rent-roll'!CJ124)</f>
        <v>0</v>
      </c>
      <c r="CH39" s="171">
        <f>SUM('Rent-roll'!CK124)</f>
        <v>0</v>
      </c>
      <c r="CI39" s="171">
        <f>SUM('Rent-roll'!CL124)</f>
        <v>0</v>
      </c>
      <c r="CJ39" s="171">
        <f>SUM('Rent-roll'!CM124)</f>
        <v>0</v>
      </c>
      <c r="CK39" s="171">
        <f>SUM('Rent-roll'!CN124)</f>
        <v>0</v>
      </c>
      <c r="CL39" s="171">
        <f>SUM('Rent-roll'!CO124)</f>
        <v>0</v>
      </c>
      <c r="CM39" s="171">
        <f>SUM('Rent-roll'!CP124)</f>
        <v>0</v>
      </c>
      <c r="CN39" s="171">
        <f>SUM('Rent-roll'!CQ124)</f>
        <v>0</v>
      </c>
      <c r="CO39" s="171">
        <f>SUM('Rent-roll'!CR124)</f>
        <v>0</v>
      </c>
      <c r="CP39" s="171">
        <f>SUM('Rent-roll'!CS124)</f>
        <v>0</v>
      </c>
      <c r="CQ39" s="171">
        <f>SUM('Rent-roll'!CT124)</f>
        <v>0</v>
      </c>
      <c r="CR39" s="171">
        <f>SUM('Rent-roll'!CU124)</f>
        <v>0</v>
      </c>
      <c r="CS39" s="171">
        <f>SUM('Rent-roll'!CV124)</f>
        <v>0</v>
      </c>
      <c r="CT39" s="171">
        <f>SUM('Rent-roll'!CW124)</f>
        <v>0</v>
      </c>
      <c r="CU39" s="171">
        <f>SUM('Rent-roll'!CX124)</f>
        <v>0</v>
      </c>
      <c r="CV39" s="171">
        <f>SUM('Rent-roll'!CY124)</f>
        <v>0</v>
      </c>
      <c r="CW39" s="171">
        <f>SUM('Rent-roll'!CZ124)</f>
        <v>0</v>
      </c>
      <c r="CX39" s="171">
        <f>SUM('Rent-roll'!DA124)</f>
        <v>0</v>
      </c>
      <c r="CY39" s="171">
        <f>SUM('Rent-roll'!DB124)</f>
        <v>0</v>
      </c>
      <c r="CZ39" s="171">
        <f>SUM('Rent-roll'!DC124)</f>
        <v>0</v>
      </c>
      <c r="DA39" s="171">
        <f>SUM('Rent-roll'!DD124)</f>
        <v>0</v>
      </c>
      <c r="DB39" s="171">
        <f>SUM('Rent-roll'!DE124)</f>
        <v>0</v>
      </c>
      <c r="DC39" s="171">
        <f>SUM('Rent-roll'!DF124)</f>
        <v>0</v>
      </c>
      <c r="DD39" s="171">
        <f>SUM('Rent-roll'!DG124)</f>
        <v>0</v>
      </c>
      <c r="DE39" s="171">
        <f>SUM('Rent-roll'!DH124)</f>
        <v>0</v>
      </c>
      <c r="DF39" s="171">
        <f>SUM('Rent-roll'!DI124)</f>
        <v>0</v>
      </c>
      <c r="DG39" s="171">
        <f>SUM('Rent-roll'!DJ124)</f>
        <v>0</v>
      </c>
      <c r="DH39" s="171">
        <f>SUM('Rent-roll'!DK124)</f>
        <v>0</v>
      </c>
      <c r="DI39" s="171">
        <f>SUM('Rent-roll'!DL124)</f>
        <v>0</v>
      </c>
      <c r="DJ39" s="171">
        <f>SUM('Rent-roll'!DM124)</f>
        <v>0</v>
      </c>
      <c r="DK39" s="171">
        <f>SUM('Rent-roll'!DN124)</f>
        <v>0</v>
      </c>
      <c r="DL39" s="171">
        <f>SUM('Rent-roll'!DO124)</f>
        <v>0</v>
      </c>
      <c r="DM39" s="171">
        <f>SUM('Rent-roll'!DP124)</f>
        <v>0</v>
      </c>
      <c r="DN39" s="171">
        <f>SUM('Rent-roll'!DQ124)</f>
        <v>0</v>
      </c>
      <c r="DO39" s="171">
        <f>SUM('Rent-roll'!DR124)</f>
        <v>0</v>
      </c>
      <c r="DP39" s="171">
        <f>SUM('Rent-roll'!DS124)</f>
        <v>0</v>
      </c>
      <c r="DQ39" s="171">
        <f>SUM('Rent-roll'!DT124)</f>
        <v>0</v>
      </c>
      <c r="DR39" s="171">
        <f>SUM('Rent-roll'!DU124)</f>
        <v>0</v>
      </c>
      <c r="DS39" s="171">
        <f>SUM('Rent-roll'!DV124)</f>
        <v>0</v>
      </c>
      <c r="DT39" s="171">
        <f>SUM('Rent-roll'!DW124)</f>
        <v>0</v>
      </c>
      <c r="DU39" s="171">
        <f>SUM('Rent-roll'!DX124)</f>
        <v>0</v>
      </c>
      <c r="DV39" s="171">
        <f>SUM('Rent-roll'!DY124)</f>
        <v>0</v>
      </c>
      <c r="DW39" s="171">
        <f>SUM('Rent-roll'!DZ124)</f>
        <v>0</v>
      </c>
      <c r="DX39" s="171">
        <f>SUM('Rent-roll'!EA124)</f>
        <v>0</v>
      </c>
      <c r="DY39" s="171">
        <f>SUM('Rent-roll'!EB124)</f>
        <v>0</v>
      </c>
      <c r="DZ39" s="171">
        <f>SUM('Rent-roll'!EC124)</f>
        <v>0</v>
      </c>
      <c r="EA39" s="171">
        <f>SUM('Rent-roll'!ED124)</f>
        <v>0</v>
      </c>
      <c r="EB39" s="171">
        <f>SUM('Rent-roll'!EE124)</f>
        <v>0</v>
      </c>
      <c r="EC39" s="171">
        <f>SUM('Rent-roll'!EF124)</f>
        <v>0</v>
      </c>
      <c r="ED39" s="171">
        <f>SUM('Rent-roll'!EG124)</f>
        <v>0</v>
      </c>
      <c r="EE39" s="171">
        <f>SUM('Rent-roll'!EH124)</f>
        <v>0</v>
      </c>
      <c r="EF39" s="171">
        <f>SUM('Rent-roll'!EI124)</f>
        <v>0</v>
      </c>
      <c r="EG39" s="171">
        <f>SUM('Rent-roll'!EJ124)</f>
        <v>0</v>
      </c>
      <c r="EH39" s="171">
        <f>SUM('Rent-roll'!EK124)</f>
        <v>0</v>
      </c>
      <c r="EI39" s="171">
        <f>SUM('Rent-roll'!EL124)</f>
        <v>0</v>
      </c>
      <c r="EJ39" s="171">
        <f>SUM('Rent-roll'!EM124)</f>
        <v>0</v>
      </c>
      <c r="EK39" s="171">
        <f>SUM('Rent-roll'!EN124)</f>
        <v>0</v>
      </c>
      <c r="EL39" s="171">
        <f>SUM('Rent-roll'!EO124)</f>
        <v>0</v>
      </c>
      <c r="EM39" s="171">
        <f>SUM('Rent-roll'!EP124)</f>
        <v>0</v>
      </c>
      <c r="EN39" s="171">
        <f>SUM('Rent-roll'!EQ124)</f>
        <v>0</v>
      </c>
      <c r="EO39" s="171">
        <f>SUM('Rent-roll'!ER124)</f>
        <v>0</v>
      </c>
      <c r="EP39" s="171">
        <f>SUM('Rent-roll'!ES124)</f>
        <v>0</v>
      </c>
      <c r="EQ39" s="171">
        <f>SUM('Rent-roll'!ET124)</f>
        <v>0</v>
      </c>
      <c r="ER39" s="171">
        <f>SUM('Rent-roll'!EU124)</f>
        <v>0</v>
      </c>
    </row>
    <row r="40" spans="3:148" ht="11.25" customHeight="1">
      <c r="C40" s="163"/>
      <c r="D40" s="169" t="s">
        <v>185</v>
      </c>
      <c r="I40" s="146"/>
      <c r="J40" s="13"/>
      <c r="K40" s="171">
        <f>SUM(M40:ER40)</f>
        <v>982073.90138546797</v>
      </c>
      <c r="L40" s="98"/>
      <c r="M40" s="171">
        <f>SUM('Rent-roll'!P178,'Rent-roll'!P196)</f>
        <v>0</v>
      </c>
      <c r="N40" s="171">
        <f>SUM('Rent-roll'!Q178,'Rent-roll'!Q196)</f>
        <v>0</v>
      </c>
      <c r="O40" s="171">
        <f>SUM('Rent-roll'!R178,'Rent-roll'!R196)</f>
        <v>0</v>
      </c>
      <c r="P40" s="171">
        <f>SUM('Rent-roll'!S178,'Rent-roll'!S196)</f>
        <v>0</v>
      </c>
      <c r="Q40" s="171">
        <f>SUM('Rent-roll'!T178,'Rent-roll'!T196)</f>
        <v>0</v>
      </c>
      <c r="R40" s="171">
        <f>SUM('Rent-roll'!U178,'Rent-roll'!U196)</f>
        <v>0</v>
      </c>
      <c r="S40" s="171">
        <f>SUM('Rent-roll'!V178,'Rent-roll'!V196)</f>
        <v>0</v>
      </c>
      <c r="T40" s="171">
        <f>SUM('Rent-roll'!W178,'Rent-roll'!W196)</f>
        <v>0</v>
      </c>
      <c r="U40" s="171">
        <f>SUM('Rent-roll'!X178,'Rent-roll'!X196)</f>
        <v>0</v>
      </c>
      <c r="V40" s="171">
        <f>SUM('Rent-roll'!Y178,'Rent-roll'!Y196)</f>
        <v>0</v>
      </c>
      <c r="W40" s="171">
        <f>SUM('Rent-roll'!Z178,'Rent-roll'!Z196)</f>
        <v>0</v>
      </c>
      <c r="X40" s="171">
        <f>SUM('Rent-roll'!AA178,'Rent-roll'!AA196)</f>
        <v>0</v>
      </c>
      <c r="Y40" s="171">
        <f>SUM('Rent-roll'!AB178,'Rent-roll'!AB196)</f>
        <v>0</v>
      </c>
      <c r="Z40" s="171">
        <f>SUM('Rent-roll'!AC178,'Rent-roll'!AC196)</f>
        <v>0</v>
      </c>
      <c r="AA40" s="171">
        <f>SUM('Rent-roll'!AD178,'Rent-roll'!AD196)</f>
        <v>0</v>
      </c>
      <c r="AB40" s="171">
        <f>SUM('Rent-roll'!AE178,'Rent-roll'!AE196)</f>
        <v>0</v>
      </c>
      <c r="AC40" s="171">
        <f>SUM('Rent-roll'!AF178,'Rent-roll'!AF196)</f>
        <v>0</v>
      </c>
      <c r="AD40" s="171">
        <f>SUM('Rent-roll'!AG178,'Rent-roll'!AG196)</f>
        <v>0</v>
      </c>
      <c r="AE40" s="171">
        <f>SUM('Rent-roll'!AH178,'Rent-roll'!AH196)</f>
        <v>0</v>
      </c>
      <c r="AF40" s="171">
        <f>SUM('Rent-roll'!AI178,'Rent-roll'!AI196)</f>
        <v>0</v>
      </c>
      <c r="AG40" s="171">
        <f>SUM('Rent-roll'!AJ178,'Rent-roll'!AJ196)</f>
        <v>0</v>
      </c>
      <c r="AH40" s="171">
        <f>SUM('Rent-roll'!AK178,'Rent-roll'!AK196)</f>
        <v>0</v>
      </c>
      <c r="AI40" s="171">
        <f>SUM('Rent-roll'!AL178,'Rent-roll'!AL196)</f>
        <v>0</v>
      </c>
      <c r="AJ40" s="171">
        <f>SUM('Rent-roll'!AM178,'Rent-roll'!AM196)</f>
        <v>0</v>
      </c>
      <c r="AK40" s="171">
        <f>SUM('Rent-roll'!AN178,'Rent-roll'!AN196)</f>
        <v>0</v>
      </c>
      <c r="AL40" s="171">
        <f>SUM('Rent-roll'!AO178,'Rent-roll'!AO196)</f>
        <v>0</v>
      </c>
      <c r="AM40" s="171">
        <f>SUM('Rent-roll'!AP178,'Rent-roll'!AP196)</f>
        <v>0</v>
      </c>
      <c r="AN40" s="171">
        <f>SUM('Rent-roll'!AQ178,'Rent-roll'!AQ196)</f>
        <v>0</v>
      </c>
      <c r="AO40" s="171">
        <f>SUM('Rent-roll'!AR178,'Rent-roll'!AR196)</f>
        <v>0</v>
      </c>
      <c r="AP40" s="171">
        <f>SUM('Rent-roll'!AS178,'Rent-roll'!AS196)</f>
        <v>0</v>
      </c>
      <c r="AQ40" s="171">
        <f>SUM('Rent-roll'!AT178,'Rent-roll'!AT196)</f>
        <v>0</v>
      </c>
      <c r="AR40" s="171">
        <f>SUM('Rent-roll'!AU178,'Rent-roll'!AU196)</f>
        <v>0</v>
      </c>
      <c r="AS40" s="171">
        <f>SUM('Rent-roll'!AV178,'Rent-roll'!AV196)</f>
        <v>0</v>
      </c>
      <c r="AT40" s="171">
        <f>SUM('Rent-roll'!AW178,'Rent-roll'!AW196)</f>
        <v>0</v>
      </c>
      <c r="AU40" s="171">
        <f>SUM('Rent-roll'!AX178,'Rent-roll'!AX196)</f>
        <v>0</v>
      </c>
      <c r="AV40" s="171">
        <f>SUM('Rent-roll'!AY178,'Rent-roll'!AY196)</f>
        <v>0</v>
      </c>
      <c r="AW40" s="171">
        <f>SUM('Rent-roll'!AZ178,'Rent-roll'!AZ196)</f>
        <v>0</v>
      </c>
      <c r="AX40" s="171">
        <f>SUM('Rent-roll'!BA178,'Rent-roll'!BA196)</f>
        <v>0</v>
      </c>
      <c r="AY40" s="171">
        <f>SUM('Rent-roll'!BB178,'Rent-roll'!BB196)</f>
        <v>0</v>
      </c>
      <c r="AZ40" s="171">
        <f>SUM('Rent-roll'!BC178,'Rent-roll'!BC196)</f>
        <v>0</v>
      </c>
      <c r="BA40" s="171">
        <f>SUM('Rent-roll'!BD178,'Rent-roll'!BD196)</f>
        <v>0</v>
      </c>
      <c r="BB40" s="171">
        <f>SUM('Rent-roll'!BE178,'Rent-roll'!BE196)</f>
        <v>0</v>
      </c>
      <c r="BC40" s="171">
        <f>SUM('Rent-roll'!BF178,'Rent-roll'!BF196)</f>
        <v>0</v>
      </c>
      <c r="BD40" s="171">
        <f>SUM('Rent-roll'!BG178,'Rent-roll'!BG196)</f>
        <v>0</v>
      </c>
      <c r="BE40" s="171">
        <f>SUM('Rent-roll'!BH178,'Rent-roll'!BH196)</f>
        <v>0</v>
      </c>
      <c r="BF40" s="171">
        <f>SUM('Rent-roll'!BI178,'Rent-roll'!BI196)</f>
        <v>0</v>
      </c>
      <c r="BG40" s="171">
        <f>SUM('Rent-roll'!BJ178,'Rent-roll'!BJ196)</f>
        <v>0</v>
      </c>
      <c r="BH40" s="171">
        <f>SUM('Rent-roll'!BK178,'Rent-roll'!BK196)</f>
        <v>0</v>
      </c>
      <c r="BI40" s="171">
        <f>SUM('Rent-roll'!BL178,'Rent-roll'!BL196)</f>
        <v>0</v>
      </c>
      <c r="BJ40" s="171">
        <f>SUM('Rent-roll'!BM178,'Rent-roll'!BM196)</f>
        <v>0</v>
      </c>
      <c r="BK40" s="171">
        <f>SUM('Rent-roll'!BN178,'Rent-roll'!BN196)</f>
        <v>0</v>
      </c>
      <c r="BL40" s="171">
        <f>SUM('Rent-roll'!BO178,'Rent-roll'!BO196)</f>
        <v>0</v>
      </c>
      <c r="BM40" s="171">
        <f>SUM('Rent-roll'!BP178,'Rent-roll'!BP196)</f>
        <v>0</v>
      </c>
      <c r="BN40" s="171">
        <f>SUM('Rent-roll'!BQ178,'Rent-roll'!BQ196)</f>
        <v>0</v>
      </c>
      <c r="BO40" s="171">
        <f>SUM('Rent-roll'!BR178,'Rent-roll'!BR196)</f>
        <v>0</v>
      </c>
      <c r="BP40" s="171">
        <f>SUM('Rent-roll'!BS178,'Rent-roll'!BS196)</f>
        <v>0</v>
      </c>
      <c r="BQ40" s="171">
        <f>SUM('Rent-roll'!BT178,'Rent-roll'!BT196)</f>
        <v>0</v>
      </c>
      <c r="BR40" s="171">
        <f>SUM('Rent-roll'!BU178,'Rent-roll'!BU196)</f>
        <v>0</v>
      </c>
      <c r="BS40" s="171">
        <f>SUM('Rent-roll'!BV178,'Rent-roll'!BV196)</f>
        <v>0</v>
      </c>
      <c r="BT40" s="171">
        <f>SUM('Rent-roll'!BW178,'Rent-roll'!BW196)</f>
        <v>0</v>
      </c>
      <c r="BU40" s="171">
        <f>SUM('Rent-roll'!BX178,'Rent-roll'!BX196)</f>
        <v>0</v>
      </c>
      <c r="BV40" s="171">
        <f>SUM('Rent-roll'!BY178,'Rent-roll'!BY196)</f>
        <v>0</v>
      </c>
      <c r="BW40" s="171">
        <f>SUM('Rent-roll'!BZ178,'Rent-roll'!BZ196)</f>
        <v>0</v>
      </c>
      <c r="BX40" s="171">
        <f>SUM('Rent-roll'!CA178,'Rent-roll'!CA196)</f>
        <v>0</v>
      </c>
      <c r="BY40" s="171">
        <f>SUM('Rent-roll'!CB178,'Rent-roll'!CB196)</f>
        <v>0</v>
      </c>
      <c r="BZ40" s="171">
        <f>SUM('Rent-roll'!CC178,'Rent-roll'!CC196)</f>
        <v>0</v>
      </c>
      <c r="CA40" s="171">
        <f>SUM('Rent-roll'!CD178,'Rent-roll'!CD196)</f>
        <v>0</v>
      </c>
      <c r="CB40" s="171">
        <f>SUM('Rent-roll'!CE178,'Rent-roll'!CE196)</f>
        <v>0</v>
      </c>
      <c r="CC40" s="171">
        <f>SUM('Rent-roll'!CF178,'Rent-roll'!CF196)</f>
        <v>0</v>
      </c>
      <c r="CD40" s="171">
        <f>SUM('Rent-roll'!CG178,'Rent-roll'!CG196)</f>
        <v>0</v>
      </c>
      <c r="CE40" s="171">
        <f>SUM('Rent-roll'!CH178,'Rent-roll'!CH196)</f>
        <v>0</v>
      </c>
      <c r="CF40" s="171">
        <f>SUM('Rent-roll'!CI178,'Rent-roll'!CI196)</f>
        <v>0</v>
      </c>
      <c r="CG40" s="171">
        <f>SUM('Rent-roll'!CJ178,'Rent-roll'!CJ196)</f>
        <v>0</v>
      </c>
      <c r="CH40" s="171">
        <f>SUM('Rent-roll'!CK178,'Rent-roll'!CK196)</f>
        <v>0</v>
      </c>
      <c r="CI40" s="171">
        <f>SUM('Rent-roll'!CL178,'Rent-roll'!CL196)</f>
        <v>0</v>
      </c>
      <c r="CJ40" s="171">
        <f>SUM('Rent-roll'!CM178,'Rent-roll'!CM196)</f>
        <v>0</v>
      </c>
      <c r="CK40" s="171">
        <f>SUM('Rent-roll'!CN178,'Rent-roll'!CN196)</f>
        <v>0</v>
      </c>
      <c r="CL40" s="171">
        <f>SUM('Rent-roll'!CO178,'Rent-roll'!CO196)</f>
        <v>0</v>
      </c>
      <c r="CM40" s="171">
        <f>SUM('Rent-roll'!CP178,'Rent-roll'!CP196)</f>
        <v>0</v>
      </c>
      <c r="CN40" s="171">
        <f>SUM('Rent-roll'!CQ178,'Rent-roll'!CQ196)</f>
        <v>0</v>
      </c>
      <c r="CO40" s="171">
        <f>SUM('Rent-roll'!CR178,'Rent-roll'!CR196)</f>
        <v>0</v>
      </c>
      <c r="CP40" s="171">
        <f>SUM('Rent-roll'!CS178,'Rent-roll'!CS196)</f>
        <v>0</v>
      </c>
      <c r="CQ40" s="171">
        <f>SUM('Rent-roll'!CT178,'Rent-roll'!CT196)</f>
        <v>0</v>
      </c>
      <c r="CR40" s="171">
        <f>SUM('Rent-roll'!CU178,'Rent-roll'!CU196)</f>
        <v>0</v>
      </c>
      <c r="CS40" s="171">
        <f>SUM('Rent-roll'!CV178,'Rent-roll'!CV196)</f>
        <v>0</v>
      </c>
      <c r="CT40" s="171">
        <f>SUM('Rent-roll'!CW178,'Rent-roll'!CW196)</f>
        <v>0</v>
      </c>
      <c r="CU40" s="171">
        <f>SUM('Rent-roll'!CX178,'Rent-roll'!CX196)</f>
        <v>0</v>
      </c>
      <c r="CV40" s="171">
        <f>SUM('Rent-roll'!CY178,'Rent-roll'!CY196)</f>
        <v>0</v>
      </c>
      <c r="CW40" s="171">
        <f>SUM('Rent-roll'!CZ178,'Rent-roll'!CZ196)</f>
        <v>0</v>
      </c>
      <c r="CX40" s="171">
        <f>SUM('Rent-roll'!DA178,'Rent-roll'!DA196)</f>
        <v>0</v>
      </c>
      <c r="CY40" s="171">
        <f>SUM('Rent-roll'!DB178,'Rent-roll'!DB196)</f>
        <v>0</v>
      </c>
      <c r="CZ40" s="171">
        <f>SUM('Rent-roll'!DC178,'Rent-roll'!DC196)</f>
        <v>0</v>
      </c>
      <c r="DA40" s="171">
        <f>SUM('Rent-roll'!DD178,'Rent-roll'!DD196)</f>
        <v>0</v>
      </c>
      <c r="DB40" s="171">
        <f>SUM('Rent-roll'!DE178,'Rent-roll'!DE196)</f>
        <v>0</v>
      </c>
      <c r="DC40" s="171">
        <f>SUM('Rent-roll'!DF178,'Rent-roll'!DF196)</f>
        <v>0</v>
      </c>
      <c r="DD40" s="171">
        <f>SUM('Rent-roll'!DG178,'Rent-roll'!DG196)</f>
        <v>0</v>
      </c>
      <c r="DE40" s="171">
        <f>SUM('Rent-roll'!DH178,'Rent-roll'!DH196)</f>
        <v>0</v>
      </c>
      <c r="DF40" s="171">
        <f>SUM('Rent-roll'!DI178,'Rent-roll'!DI196)</f>
        <v>0</v>
      </c>
      <c r="DG40" s="171">
        <f>SUM('Rent-roll'!DJ178,'Rent-roll'!DJ196)</f>
        <v>0</v>
      </c>
      <c r="DH40" s="171">
        <f>SUM('Rent-roll'!DK178,'Rent-roll'!DK196)</f>
        <v>0</v>
      </c>
      <c r="DI40" s="171">
        <f>SUM('Rent-roll'!DL178,'Rent-roll'!DL196)</f>
        <v>0</v>
      </c>
      <c r="DJ40" s="171">
        <f>SUM('Rent-roll'!DM178,'Rent-roll'!DM196)</f>
        <v>0</v>
      </c>
      <c r="DK40" s="171">
        <f>SUM('Rent-roll'!DN178,'Rent-roll'!DN196)</f>
        <v>0</v>
      </c>
      <c r="DL40" s="171">
        <f>SUM('Rent-roll'!DO178,'Rent-roll'!DO196)</f>
        <v>0</v>
      </c>
      <c r="DM40" s="171">
        <f>SUM('Rent-roll'!DP178,'Rent-roll'!DP196)</f>
        <v>0</v>
      </c>
      <c r="DN40" s="171">
        <f>SUM('Rent-roll'!DQ178,'Rent-roll'!DQ196)</f>
        <v>0</v>
      </c>
      <c r="DO40" s="171">
        <f>SUM('Rent-roll'!DR178,'Rent-roll'!DR196)</f>
        <v>0</v>
      </c>
      <c r="DP40" s="171">
        <f>SUM('Rent-roll'!DS178,'Rent-roll'!DS196)</f>
        <v>0</v>
      </c>
      <c r="DQ40" s="171">
        <f>SUM('Rent-roll'!DT178,'Rent-roll'!DT196)</f>
        <v>0</v>
      </c>
      <c r="DR40" s="171">
        <f>SUM('Rent-roll'!DU178,'Rent-roll'!DU196)</f>
        <v>0</v>
      </c>
      <c r="DS40" s="171">
        <f>SUM('Rent-roll'!DV178,'Rent-roll'!DV196)</f>
        <v>0</v>
      </c>
      <c r="DT40" s="171">
        <f>SUM('Rent-roll'!DW178,'Rent-roll'!DW196)</f>
        <v>0</v>
      </c>
      <c r="DU40" s="171">
        <f>SUM('Rent-roll'!DX178,'Rent-roll'!DX196)</f>
        <v>0</v>
      </c>
      <c r="DV40" s="171">
        <f>SUM('Rent-roll'!DY178,'Rent-roll'!DY196)</f>
        <v>0</v>
      </c>
      <c r="DW40" s="171">
        <f>SUM('Rent-roll'!DZ178,'Rent-roll'!DZ196)</f>
        <v>0</v>
      </c>
      <c r="DX40" s="171">
        <f>SUM('Rent-roll'!EA178,'Rent-roll'!EA196)</f>
        <v>0</v>
      </c>
      <c r="DY40" s="171">
        <f>SUM('Rent-roll'!EB178,'Rent-roll'!EB196)</f>
        <v>0</v>
      </c>
      <c r="DZ40" s="171">
        <f>SUM('Rent-roll'!EC178,'Rent-roll'!EC196)</f>
        <v>0</v>
      </c>
      <c r="EA40" s="171">
        <f>SUM('Rent-roll'!ED178,'Rent-roll'!ED196)</f>
        <v>0</v>
      </c>
      <c r="EB40" s="171">
        <f>SUM('Rent-roll'!EE178,'Rent-roll'!EE196)</f>
        <v>0</v>
      </c>
      <c r="EC40" s="171">
        <f>SUM('Rent-roll'!EF178,'Rent-roll'!EF196)</f>
        <v>0</v>
      </c>
      <c r="ED40" s="171">
        <f>SUM('Rent-roll'!EG178,'Rent-roll'!EG196)</f>
        <v>80499.504735549373</v>
      </c>
      <c r="EE40" s="171">
        <f>SUM('Rent-roll'!EH178,'Rent-roll'!EH196)</f>
        <v>80844.801777207598</v>
      </c>
      <c r="EF40" s="171">
        <f>SUM('Rent-roll'!EI178,'Rent-roll'!EI196)</f>
        <v>81106.335389397296</v>
      </c>
      <c r="EG40" s="171">
        <f>SUM('Rent-roll'!EJ178,'Rent-roll'!EJ196)</f>
        <v>81809.423665047594</v>
      </c>
      <c r="EH40" s="171">
        <f>SUM('Rent-roll'!EK178,'Rent-roll'!EK196)</f>
        <v>81809.423665047594</v>
      </c>
      <c r="EI40" s="171">
        <f>SUM('Rent-roll'!EL178,'Rent-roll'!EL196)</f>
        <v>82078.684373973214</v>
      </c>
      <c r="EJ40" s="171">
        <f>SUM('Rent-roll'!EM178,'Rent-roll'!EM196)</f>
        <v>82320.954629874221</v>
      </c>
      <c r="EK40" s="171">
        <f>SUM('Rent-roll'!EN178,'Rent-roll'!EN196)</f>
        <v>82320.954629874221</v>
      </c>
      <c r="EL40" s="171">
        <f>SUM('Rent-roll'!EO178,'Rent-roll'!EO196)</f>
        <v>82320.954629874221</v>
      </c>
      <c r="EM40" s="171">
        <f>SUM('Rent-roll'!EP178,'Rent-roll'!EP196)</f>
        <v>82320.954629874221</v>
      </c>
      <c r="EN40" s="171">
        <f>SUM('Rent-roll'!EQ178,'Rent-roll'!EQ196)</f>
        <v>82320.954629874221</v>
      </c>
      <c r="EO40" s="171">
        <f>SUM('Rent-roll'!ER178,'Rent-roll'!ER196)</f>
        <v>82320.954629874221</v>
      </c>
      <c r="EP40" s="171">
        <f>SUM('Rent-roll'!ES178,'Rent-roll'!ES196)</f>
        <v>0</v>
      </c>
      <c r="EQ40" s="171">
        <f>SUM('Rent-roll'!ET178,'Rent-roll'!ET196)</f>
        <v>0</v>
      </c>
      <c r="ER40" s="171">
        <f>SUM('Rent-roll'!EU178,'Rent-roll'!EU196)</f>
        <v>0</v>
      </c>
    </row>
    <row r="41" spans="3:148" ht="11.25" customHeight="1">
      <c r="C41" s="163"/>
      <c r="D41" s="169" t="s">
        <v>186</v>
      </c>
      <c r="I41" s="90"/>
      <c r="J41" s="222"/>
      <c r="K41" s="171">
        <f>SUM(M41:ER41)</f>
        <v>142943.21490399999</v>
      </c>
      <c r="L41" s="98"/>
      <c r="M41" s="171">
        <v>0</v>
      </c>
      <c r="N41" s="171">
        <v>0</v>
      </c>
      <c r="O41" s="171">
        <v>0</v>
      </c>
      <c r="P41" s="171">
        <v>0</v>
      </c>
      <c r="Q41" s="171">
        <v>0</v>
      </c>
      <c r="R41" s="171">
        <v>0</v>
      </c>
      <c r="S41" s="171">
        <v>0</v>
      </c>
      <c r="T41" s="171">
        <v>0</v>
      </c>
      <c r="U41" s="171">
        <v>0</v>
      </c>
      <c r="V41" s="171">
        <v>0</v>
      </c>
      <c r="W41" s="171">
        <v>0</v>
      </c>
      <c r="X41" s="171">
        <v>0</v>
      </c>
      <c r="Y41" s="171">
        <v>0</v>
      </c>
      <c r="Z41" s="171">
        <v>0</v>
      </c>
      <c r="AA41" s="171">
        <v>0</v>
      </c>
      <c r="AB41" s="171">
        <v>0</v>
      </c>
      <c r="AC41" s="171">
        <v>0</v>
      </c>
      <c r="AD41" s="171">
        <v>0</v>
      </c>
      <c r="AE41" s="171">
        <v>0</v>
      </c>
      <c r="AF41" s="171">
        <v>0</v>
      </c>
      <c r="AG41" s="171">
        <v>0</v>
      </c>
      <c r="AH41" s="171">
        <v>0</v>
      </c>
      <c r="AI41" s="171">
        <v>0</v>
      </c>
      <c r="AJ41" s="171">
        <v>0</v>
      </c>
      <c r="AK41" s="171">
        <v>0</v>
      </c>
      <c r="AL41" s="171">
        <v>0</v>
      </c>
      <c r="AM41" s="171">
        <v>0</v>
      </c>
      <c r="AN41" s="171">
        <v>0</v>
      </c>
      <c r="AO41" s="171">
        <v>0</v>
      </c>
      <c r="AP41" s="171">
        <v>0</v>
      </c>
      <c r="AQ41" s="171">
        <v>0</v>
      </c>
      <c r="AR41" s="171">
        <v>0</v>
      </c>
      <c r="AS41" s="171">
        <v>0</v>
      </c>
      <c r="AT41" s="171">
        <v>0</v>
      </c>
      <c r="AU41" s="171">
        <v>0</v>
      </c>
      <c r="AV41" s="171">
        <v>0</v>
      </c>
      <c r="AW41" s="171">
        <v>0</v>
      </c>
      <c r="AX41" s="171">
        <v>0</v>
      </c>
      <c r="AY41" s="171">
        <v>0</v>
      </c>
      <c r="AZ41" s="171">
        <v>0</v>
      </c>
      <c r="BA41" s="171">
        <v>0</v>
      </c>
      <c r="BB41" s="171">
        <v>0</v>
      </c>
      <c r="BC41" s="171">
        <v>0</v>
      </c>
      <c r="BD41" s="171">
        <v>0</v>
      </c>
      <c r="BE41" s="171">
        <v>0</v>
      </c>
      <c r="BF41" s="171">
        <v>0</v>
      </c>
      <c r="BG41" s="171">
        <v>0</v>
      </c>
      <c r="BH41" s="171">
        <v>0</v>
      </c>
      <c r="BI41" s="171">
        <v>0</v>
      </c>
      <c r="BJ41" s="171">
        <v>0</v>
      </c>
      <c r="BK41" s="171">
        <v>0</v>
      </c>
      <c r="BL41" s="171">
        <v>0</v>
      </c>
      <c r="BM41" s="171">
        <v>0</v>
      </c>
      <c r="BN41" s="171">
        <v>0</v>
      </c>
      <c r="BO41" s="171">
        <v>0</v>
      </c>
      <c r="BP41" s="171">
        <v>0</v>
      </c>
      <c r="BQ41" s="171">
        <v>0</v>
      </c>
      <c r="BR41" s="171">
        <v>0</v>
      </c>
      <c r="BS41" s="171">
        <v>0</v>
      </c>
      <c r="BT41" s="171">
        <v>0</v>
      </c>
      <c r="BU41" s="171">
        <v>0</v>
      </c>
      <c r="BV41" s="171">
        <v>0</v>
      </c>
      <c r="BW41" s="171">
        <v>0</v>
      </c>
      <c r="BX41" s="171">
        <v>0</v>
      </c>
      <c r="BY41" s="171">
        <v>0</v>
      </c>
      <c r="BZ41" s="171">
        <v>0</v>
      </c>
      <c r="CA41" s="171">
        <v>0</v>
      </c>
      <c r="CB41" s="171">
        <v>0</v>
      </c>
      <c r="CC41" s="171">
        <v>0</v>
      </c>
      <c r="CD41" s="171">
        <v>0</v>
      </c>
      <c r="CE41" s="171">
        <v>0</v>
      </c>
      <c r="CF41" s="171">
        <v>0</v>
      </c>
      <c r="CG41" s="171">
        <v>0</v>
      </c>
      <c r="CH41" s="171">
        <v>0</v>
      </c>
      <c r="CI41" s="171">
        <v>0</v>
      </c>
      <c r="CJ41" s="171">
        <v>0</v>
      </c>
      <c r="CK41" s="171">
        <v>0</v>
      </c>
      <c r="CL41" s="171">
        <v>0</v>
      </c>
      <c r="CM41" s="171">
        <v>0</v>
      </c>
      <c r="CN41" s="171">
        <v>0</v>
      </c>
      <c r="CO41" s="171">
        <v>0</v>
      </c>
      <c r="CP41" s="171">
        <v>0</v>
      </c>
      <c r="CQ41" s="171">
        <v>0</v>
      </c>
      <c r="CR41" s="171">
        <v>0</v>
      </c>
      <c r="CS41" s="171">
        <v>0</v>
      </c>
      <c r="CT41" s="171">
        <v>0</v>
      </c>
      <c r="CU41" s="171">
        <v>0</v>
      </c>
      <c r="CV41" s="171">
        <v>0</v>
      </c>
      <c r="CW41" s="171">
        <v>0</v>
      </c>
      <c r="CX41" s="171">
        <v>0</v>
      </c>
      <c r="CY41" s="171">
        <v>0</v>
      </c>
      <c r="CZ41" s="171">
        <v>0</v>
      </c>
      <c r="DA41" s="171">
        <v>0</v>
      </c>
      <c r="DB41" s="171">
        <v>0</v>
      </c>
      <c r="DC41" s="171">
        <v>0</v>
      </c>
      <c r="DD41" s="171">
        <v>0</v>
      </c>
      <c r="DE41" s="171">
        <v>0</v>
      </c>
      <c r="DF41" s="171">
        <v>0</v>
      </c>
      <c r="DG41" s="171">
        <v>0</v>
      </c>
      <c r="DH41" s="171">
        <v>0</v>
      </c>
      <c r="DI41" s="171">
        <v>0</v>
      </c>
      <c r="DJ41" s="171">
        <v>0</v>
      </c>
      <c r="DK41" s="171">
        <v>0</v>
      </c>
      <c r="DL41" s="171">
        <v>0</v>
      </c>
      <c r="DM41" s="171">
        <v>0</v>
      </c>
      <c r="DN41" s="171">
        <v>0</v>
      </c>
      <c r="DO41" s="171">
        <v>0</v>
      </c>
      <c r="DP41" s="171">
        <v>0</v>
      </c>
      <c r="DQ41" s="171">
        <v>0</v>
      </c>
      <c r="DR41" s="171">
        <v>0</v>
      </c>
      <c r="DS41" s="171">
        <v>0</v>
      </c>
      <c r="DT41" s="171">
        <v>0</v>
      </c>
      <c r="DU41" s="171">
        <v>0</v>
      </c>
      <c r="DV41" s="171">
        <v>0</v>
      </c>
      <c r="DW41" s="171">
        <v>0</v>
      </c>
      <c r="DX41" s="171">
        <v>0</v>
      </c>
      <c r="DY41" s="171">
        <v>0</v>
      </c>
      <c r="DZ41" s="171">
        <v>0</v>
      </c>
      <c r="EA41" s="171">
        <v>0</v>
      </c>
      <c r="EB41" s="171">
        <v>0</v>
      </c>
      <c r="EC41" s="171">
        <v>0</v>
      </c>
      <c r="ED41" s="171">
        <f t="shared" ref="ED41" si="24">EC19</f>
        <v>11911.934575333333</v>
      </c>
      <c r="EE41" s="171">
        <f t="shared" ref="EE41:EO41" si="25">ED41</f>
        <v>11911.934575333333</v>
      </c>
      <c r="EF41" s="171">
        <f t="shared" si="25"/>
        <v>11911.934575333333</v>
      </c>
      <c r="EG41" s="171">
        <f t="shared" si="25"/>
        <v>11911.934575333333</v>
      </c>
      <c r="EH41" s="171">
        <f t="shared" si="25"/>
        <v>11911.934575333333</v>
      </c>
      <c r="EI41" s="171">
        <f t="shared" si="25"/>
        <v>11911.934575333333</v>
      </c>
      <c r="EJ41" s="171">
        <f t="shared" si="25"/>
        <v>11911.934575333333</v>
      </c>
      <c r="EK41" s="171">
        <f t="shared" si="25"/>
        <v>11911.934575333333</v>
      </c>
      <c r="EL41" s="171">
        <f t="shared" si="25"/>
        <v>11911.934575333333</v>
      </c>
      <c r="EM41" s="171">
        <f t="shared" si="25"/>
        <v>11911.934575333333</v>
      </c>
      <c r="EN41" s="171">
        <f t="shared" si="25"/>
        <v>11911.934575333333</v>
      </c>
      <c r="EO41" s="171">
        <f t="shared" si="25"/>
        <v>11911.934575333333</v>
      </c>
      <c r="EP41" s="171"/>
      <c r="EQ41" s="171"/>
      <c r="ER41" s="171"/>
    </row>
    <row r="42" spans="3:148" ht="11.25" customHeight="1">
      <c r="C42" s="163"/>
      <c r="D42" s="169" t="s">
        <v>187</v>
      </c>
      <c r="I42" s="146"/>
      <c r="J42" s="13"/>
      <c r="K42" s="171">
        <f>SUM(M42:ER42)</f>
        <v>0</v>
      </c>
      <c r="L42" s="98"/>
      <c r="M42" s="171">
        <v>0</v>
      </c>
      <c r="N42" s="171">
        <v>0</v>
      </c>
      <c r="O42" s="171">
        <v>0</v>
      </c>
      <c r="P42" s="171">
        <v>0</v>
      </c>
      <c r="Q42" s="171">
        <v>0</v>
      </c>
      <c r="R42" s="171">
        <v>0</v>
      </c>
      <c r="S42" s="171">
        <v>0</v>
      </c>
      <c r="T42" s="171">
        <v>0</v>
      </c>
      <c r="U42" s="171">
        <v>0</v>
      </c>
      <c r="V42" s="171">
        <v>0</v>
      </c>
      <c r="W42" s="171">
        <v>0</v>
      </c>
      <c r="X42" s="171">
        <v>0</v>
      </c>
      <c r="Y42" s="171">
        <v>0</v>
      </c>
      <c r="Z42" s="171">
        <v>0</v>
      </c>
      <c r="AA42" s="171">
        <v>0</v>
      </c>
      <c r="AB42" s="171">
        <v>0</v>
      </c>
      <c r="AC42" s="171">
        <v>0</v>
      </c>
      <c r="AD42" s="171">
        <v>0</v>
      </c>
      <c r="AE42" s="171">
        <v>0</v>
      </c>
      <c r="AF42" s="171">
        <v>0</v>
      </c>
      <c r="AG42" s="171">
        <v>0</v>
      </c>
      <c r="AH42" s="171">
        <v>0</v>
      </c>
      <c r="AI42" s="171">
        <v>0</v>
      </c>
      <c r="AJ42" s="171">
        <v>0</v>
      </c>
      <c r="AK42" s="171">
        <v>0</v>
      </c>
      <c r="AL42" s="171">
        <v>0</v>
      </c>
      <c r="AM42" s="171">
        <v>0</v>
      </c>
      <c r="AN42" s="171">
        <v>0</v>
      </c>
      <c r="AO42" s="171">
        <v>0</v>
      </c>
      <c r="AP42" s="171">
        <v>0</v>
      </c>
      <c r="AQ42" s="171">
        <v>0</v>
      </c>
      <c r="AR42" s="171">
        <v>0</v>
      </c>
      <c r="AS42" s="171">
        <v>0</v>
      </c>
      <c r="AT42" s="171">
        <v>0</v>
      </c>
      <c r="AU42" s="171">
        <v>0</v>
      </c>
      <c r="AV42" s="171">
        <v>0</v>
      </c>
      <c r="AW42" s="171">
        <v>0</v>
      </c>
      <c r="AX42" s="171">
        <v>0</v>
      </c>
      <c r="AY42" s="171">
        <v>0</v>
      </c>
      <c r="AZ42" s="171">
        <v>0</v>
      </c>
      <c r="BA42" s="171">
        <v>0</v>
      </c>
      <c r="BB42" s="171">
        <v>0</v>
      </c>
      <c r="BC42" s="171">
        <v>0</v>
      </c>
      <c r="BD42" s="171">
        <v>0</v>
      </c>
      <c r="BE42" s="171">
        <v>0</v>
      </c>
      <c r="BF42" s="171">
        <v>0</v>
      </c>
      <c r="BG42" s="171">
        <v>0</v>
      </c>
      <c r="BH42" s="171">
        <v>0</v>
      </c>
      <c r="BI42" s="171">
        <v>0</v>
      </c>
      <c r="BJ42" s="171">
        <v>0</v>
      </c>
      <c r="BK42" s="171">
        <v>0</v>
      </c>
      <c r="BL42" s="171">
        <v>0</v>
      </c>
      <c r="BM42" s="171">
        <v>0</v>
      </c>
      <c r="BN42" s="171">
        <v>0</v>
      </c>
      <c r="BO42" s="171">
        <v>0</v>
      </c>
      <c r="BP42" s="171">
        <v>0</v>
      </c>
      <c r="BQ42" s="171">
        <v>0</v>
      </c>
      <c r="BR42" s="171">
        <v>0</v>
      </c>
      <c r="BS42" s="171">
        <v>0</v>
      </c>
      <c r="BT42" s="171">
        <v>0</v>
      </c>
      <c r="BU42" s="171">
        <v>0</v>
      </c>
      <c r="BV42" s="171">
        <v>0</v>
      </c>
      <c r="BW42" s="171">
        <v>0</v>
      </c>
      <c r="BX42" s="171">
        <v>0</v>
      </c>
      <c r="BY42" s="171">
        <v>0</v>
      </c>
      <c r="BZ42" s="171">
        <v>0</v>
      </c>
      <c r="CA42" s="171">
        <v>0</v>
      </c>
      <c r="CB42" s="171">
        <v>0</v>
      </c>
      <c r="CC42" s="171">
        <v>0</v>
      </c>
      <c r="CD42" s="171">
        <v>0</v>
      </c>
      <c r="CE42" s="171">
        <v>0</v>
      </c>
      <c r="CF42" s="171">
        <v>0</v>
      </c>
      <c r="CG42" s="171">
        <v>0</v>
      </c>
      <c r="CH42" s="171">
        <v>0</v>
      </c>
      <c r="CI42" s="171">
        <v>0</v>
      </c>
      <c r="CJ42" s="171">
        <v>0</v>
      </c>
      <c r="CK42" s="171">
        <v>0</v>
      </c>
      <c r="CL42" s="171">
        <v>0</v>
      </c>
      <c r="CM42" s="171">
        <v>0</v>
      </c>
      <c r="CN42" s="171">
        <v>0</v>
      </c>
      <c r="CO42" s="171">
        <v>0</v>
      </c>
      <c r="CP42" s="171">
        <v>0</v>
      </c>
      <c r="CQ42" s="171">
        <v>0</v>
      </c>
      <c r="CR42" s="171">
        <v>0</v>
      </c>
      <c r="CS42" s="171">
        <v>0</v>
      </c>
      <c r="CT42" s="171">
        <v>0</v>
      </c>
      <c r="CU42" s="171">
        <v>0</v>
      </c>
      <c r="CV42" s="171">
        <v>0</v>
      </c>
      <c r="CW42" s="171">
        <v>0</v>
      </c>
      <c r="CX42" s="171">
        <v>0</v>
      </c>
      <c r="CY42" s="171">
        <v>0</v>
      </c>
      <c r="CZ42" s="171">
        <v>0</v>
      </c>
      <c r="DA42" s="171">
        <v>0</v>
      </c>
      <c r="DB42" s="171">
        <v>0</v>
      </c>
      <c r="DC42" s="171">
        <v>0</v>
      </c>
      <c r="DD42" s="171">
        <v>0</v>
      </c>
      <c r="DE42" s="171">
        <v>0</v>
      </c>
      <c r="DF42" s="171">
        <v>0</v>
      </c>
      <c r="DG42" s="171">
        <v>0</v>
      </c>
      <c r="DH42" s="171">
        <v>0</v>
      </c>
      <c r="DI42" s="171">
        <v>0</v>
      </c>
      <c r="DJ42" s="171">
        <v>0</v>
      </c>
      <c r="DK42" s="171">
        <v>0</v>
      </c>
      <c r="DL42" s="171">
        <v>0</v>
      </c>
      <c r="DM42" s="171">
        <v>0</v>
      </c>
      <c r="DN42" s="171">
        <v>0</v>
      </c>
      <c r="DO42" s="171">
        <v>0</v>
      </c>
      <c r="DP42" s="171">
        <v>0</v>
      </c>
      <c r="DQ42" s="171">
        <v>0</v>
      </c>
      <c r="DR42" s="171">
        <v>0</v>
      </c>
      <c r="DS42" s="171">
        <v>0</v>
      </c>
      <c r="DT42" s="171">
        <v>0</v>
      </c>
      <c r="DU42" s="171">
        <v>0</v>
      </c>
      <c r="DV42" s="171">
        <v>0</v>
      </c>
      <c r="DW42" s="171">
        <v>0</v>
      </c>
      <c r="DX42" s="171">
        <v>0</v>
      </c>
      <c r="DY42" s="171">
        <v>0</v>
      </c>
      <c r="DZ42" s="171">
        <v>0</v>
      </c>
      <c r="EA42" s="171">
        <v>0</v>
      </c>
      <c r="EB42" s="171">
        <v>0</v>
      </c>
      <c r="EC42" s="171">
        <v>0</v>
      </c>
      <c r="ED42" s="171">
        <v>0</v>
      </c>
      <c r="EE42" s="171">
        <v>0</v>
      </c>
      <c r="EF42" s="171">
        <v>0</v>
      </c>
      <c r="EG42" s="171">
        <v>0</v>
      </c>
      <c r="EH42" s="171">
        <v>0</v>
      </c>
      <c r="EI42" s="171">
        <v>0</v>
      </c>
      <c r="EJ42" s="171">
        <v>0</v>
      </c>
      <c r="EK42" s="171">
        <v>0</v>
      </c>
      <c r="EL42" s="171">
        <v>0</v>
      </c>
      <c r="EM42" s="171">
        <v>0</v>
      </c>
      <c r="EN42" s="171">
        <v>0</v>
      </c>
      <c r="EO42" s="171">
        <v>0</v>
      </c>
      <c r="EP42" s="171">
        <v>0</v>
      </c>
      <c r="EQ42" s="171">
        <v>0</v>
      </c>
      <c r="ER42" s="171">
        <v>0</v>
      </c>
    </row>
    <row r="43" spans="3:148" ht="11.25" customHeight="1">
      <c r="C43" s="158" t="s">
        <v>223</v>
      </c>
      <c r="D43" s="159"/>
      <c r="E43" s="159"/>
      <c r="F43" s="729"/>
      <c r="G43" s="729"/>
      <c r="H43" s="729"/>
      <c r="I43" s="160"/>
      <c r="J43" s="219"/>
      <c r="K43" s="250">
        <f>SUM(K44:K54)</f>
        <v>2259175.1090857615</v>
      </c>
      <c r="L43" s="98"/>
      <c r="M43" s="162">
        <f>SUM(M44:M54)</f>
        <v>0</v>
      </c>
      <c r="N43" s="162">
        <f t="shared" ref="N43:BY43" si="26">SUM(N44:N54)</f>
        <v>0</v>
      </c>
      <c r="O43" s="162">
        <f t="shared" si="26"/>
        <v>0</v>
      </c>
      <c r="P43" s="162">
        <f t="shared" si="26"/>
        <v>0</v>
      </c>
      <c r="Q43" s="162">
        <f t="shared" si="26"/>
        <v>0</v>
      </c>
      <c r="R43" s="162">
        <f t="shared" si="26"/>
        <v>0</v>
      </c>
      <c r="S43" s="162">
        <f t="shared" si="26"/>
        <v>0</v>
      </c>
      <c r="T43" s="162">
        <f t="shared" si="26"/>
        <v>0</v>
      </c>
      <c r="U43" s="162">
        <f t="shared" si="26"/>
        <v>0</v>
      </c>
      <c r="V43" s="162">
        <f t="shared" si="26"/>
        <v>0</v>
      </c>
      <c r="W43" s="162">
        <f t="shared" si="26"/>
        <v>0</v>
      </c>
      <c r="X43" s="162">
        <f t="shared" si="26"/>
        <v>0</v>
      </c>
      <c r="Y43" s="162">
        <f t="shared" si="26"/>
        <v>0</v>
      </c>
      <c r="Z43" s="162">
        <f t="shared" si="26"/>
        <v>0</v>
      </c>
      <c r="AA43" s="162">
        <f t="shared" si="26"/>
        <v>0</v>
      </c>
      <c r="AB43" s="162">
        <f t="shared" si="26"/>
        <v>0</v>
      </c>
      <c r="AC43" s="162">
        <f t="shared" si="26"/>
        <v>0</v>
      </c>
      <c r="AD43" s="162">
        <f t="shared" si="26"/>
        <v>0</v>
      </c>
      <c r="AE43" s="162">
        <f t="shared" si="26"/>
        <v>0</v>
      </c>
      <c r="AF43" s="162">
        <f t="shared" si="26"/>
        <v>0</v>
      </c>
      <c r="AG43" s="162">
        <f t="shared" si="26"/>
        <v>0</v>
      </c>
      <c r="AH43" s="162">
        <f t="shared" si="26"/>
        <v>0</v>
      </c>
      <c r="AI43" s="162">
        <f t="shared" si="26"/>
        <v>0</v>
      </c>
      <c r="AJ43" s="162">
        <f t="shared" si="26"/>
        <v>0</v>
      </c>
      <c r="AK43" s="162">
        <f t="shared" si="26"/>
        <v>0</v>
      </c>
      <c r="AL43" s="162">
        <f t="shared" si="26"/>
        <v>0</v>
      </c>
      <c r="AM43" s="162">
        <f t="shared" si="26"/>
        <v>0</v>
      </c>
      <c r="AN43" s="162">
        <f t="shared" si="26"/>
        <v>0</v>
      </c>
      <c r="AO43" s="162">
        <f t="shared" si="26"/>
        <v>0</v>
      </c>
      <c r="AP43" s="162">
        <f t="shared" si="26"/>
        <v>0</v>
      </c>
      <c r="AQ43" s="162">
        <f t="shared" si="26"/>
        <v>0</v>
      </c>
      <c r="AR43" s="162">
        <f t="shared" si="26"/>
        <v>0</v>
      </c>
      <c r="AS43" s="162">
        <f t="shared" si="26"/>
        <v>0</v>
      </c>
      <c r="AT43" s="162">
        <f t="shared" si="26"/>
        <v>0</v>
      </c>
      <c r="AU43" s="162">
        <f t="shared" si="26"/>
        <v>0</v>
      </c>
      <c r="AV43" s="162">
        <f t="shared" si="26"/>
        <v>0</v>
      </c>
      <c r="AW43" s="162">
        <f t="shared" si="26"/>
        <v>0</v>
      </c>
      <c r="AX43" s="162">
        <f t="shared" si="26"/>
        <v>0</v>
      </c>
      <c r="AY43" s="162">
        <f t="shared" si="26"/>
        <v>0</v>
      </c>
      <c r="AZ43" s="162">
        <f t="shared" si="26"/>
        <v>0</v>
      </c>
      <c r="BA43" s="162">
        <f t="shared" si="26"/>
        <v>0</v>
      </c>
      <c r="BB43" s="162">
        <f t="shared" si="26"/>
        <v>0</v>
      </c>
      <c r="BC43" s="162">
        <f t="shared" si="26"/>
        <v>0</v>
      </c>
      <c r="BD43" s="162">
        <f t="shared" si="26"/>
        <v>0</v>
      </c>
      <c r="BE43" s="162">
        <f t="shared" si="26"/>
        <v>0</v>
      </c>
      <c r="BF43" s="162">
        <f t="shared" si="26"/>
        <v>0</v>
      </c>
      <c r="BG43" s="162">
        <f t="shared" si="26"/>
        <v>0</v>
      </c>
      <c r="BH43" s="162">
        <f t="shared" si="26"/>
        <v>0</v>
      </c>
      <c r="BI43" s="162">
        <f t="shared" si="26"/>
        <v>0</v>
      </c>
      <c r="BJ43" s="162">
        <f t="shared" si="26"/>
        <v>0</v>
      </c>
      <c r="BK43" s="162">
        <f t="shared" si="26"/>
        <v>0</v>
      </c>
      <c r="BL43" s="162">
        <f t="shared" si="26"/>
        <v>0</v>
      </c>
      <c r="BM43" s="162">
        <f t="shared" si="26"/>
        <v>0</v>
      </c>
      <c r="BN43" s="162">
        <f t="shared" si="26"/>
        <v>0</v>
      </c>
      <c r="BO43" s="162">
        <f t="shared" si="26"/>
        <v>0</v>
      </c>
      <c r="BP43" s="162">
        <f t="shared" si="26"/>
        <v>0</v>
      </c>
      <c r="BQ43" s="162">
        <f t="shared" si="26"/>
        <v>0</v>
      </c>
      <c r="BR43" s="162">
        <f t="shared" si="26"/>
        <v>0</v>
      </c>
      <c r="BS43" s="162">
        <f t="shared" si="26"/>
        <v>0</v>
      </c>
      <c r="BT43" s="162">
        <f t="shared" si="26"/>
        <v>0</v>
      </c>
      <c r="BU43" s="162">
        <f t="shared" si="26"/>
        <v>0</v>
      </c>
      <c r="BV43" s="162">
        <f t="shared" si="26"/>
        <v>0</v>
      </c>
      <c r="BW43" s="162">
        <f t="shared" si="26"/>
        <v>0</v>
      </c>
      <c r="BX43" s="162">
        <f t="shared" si="26"/>
        <v>0</v>
      </c>
      <c r="BY43" s="162">
        <f t="shared" si="26"/>
        <v>0</v>
      </c>
      <c r="BZ43" s="162">
        <f t="shared" ref="BZ43:DV43" si="27">SUM(BZ44:BZ54)</f>
        <v>0</v>
      </c>
      <c r="CA43" s="162">
        <f t="shared" si="27"/>
        <v>0</v>
      </c>
      <c r="CB43" s="162">
        <f t="shared" si="27"/>
        <v>0</v>
      </c>
      <c r="CC43" s="162">
        <f t="shared" si="27"/>
        <v>0</v>
      </c>
      <c r="CD43" s="162">
        <f t="shared" si="27"/>
        <v>0</v>
      </c>
      <c r="CE43" s="162">
        <f t="shared" si="27"/>
        <v>0</v>
      </c>
      <c r="CF43" s="162">
        <f t="shared" si="27"/>
        <v>0</v>
      </c>
      <c r="CG43" s="162">
        <f t="shared" si="27"/>
        <v>0</v>
      </c>
      <c r="CH43" s="162">
        <f t="shared" si="27"/>
        <v>0</v>
      </c>
      <c r="CI43" s="162">
        <f t="shared" si="27"/>
        <v>0</v>
      </c>
      <c r="CJ43" s="162">
        <f t="shared" si="27"/>
        <v>0</v>
      </c>
      <c r="CK43" s="162">
        <f t="shared" si="27"/>
        <v>0</v>
      </c>
      <c r="CL43" s="162">
        <f t="shared" si="27"/>
        <v>0</v>
      </c>
      <c r="CM43" s="162">
        <f t="shared" si="27"/>
        <v>0</v>
      </c>
      <c r="CN43" s="162">
        <f t="shared" si="27"/>
        <v>0</v>
      </c>
      <c r="CO43" s="162">
        <f t="shared" si="27"/>
        <v>0</v>
      </c>
      <c r="CP43" s="162">
        <f t="shared" si="27"/>
        <v>0</v>
      </c>
      <c r="CQ43" s="162">
        <f t="shared" si="27"/>
        <v>0</v>
      </c>
      <c r="CR43" s="162">
        <f t="shared" si="27"/>
        <v>0</v>
      </c>
      <c r="CS43" s="162">
        <f t="shared" si="27"/>
        <v>0</v>
      </c>
      <c r="CT43" s="162">
        <f t="shared" si="27"/>
        <v>0</v>
      </c>
      <c r="CU43" s="162">
        <f t="shared" si="27"/>
        <v>0</v>
      </c>
      <c r="CV43" s="162">
        <f t="shared" si="27"/>
        <v>0</v>
      </c>
      <c r="CW43" s="162">
        <f t="shared" si="27"/>
        <v>0</v>
      </c>
      <c r="CX43" s="162">
        <f t="shared" si="27"/>
        <v>0</v>
      </c>
      <c r="CY43" s="162">
        <f t="shared" si="27"/>
        <v>0</v>
      </c>
      <c r="CZ43" s="162">
        <f t="shared" si="27"/>
        <v>0</v>
      </c>
      <c r="DA43" s="162">
        <f t="shared" si="27"/>
        <v>0</v>
      </c>
      <c r="DB43" s="162">
        <f t="shared" si="27"/>
        <v>0</v>
      </c>
      <c r="DC43" s="162">
        <f t="shared" si="27"/>
        <v>0</v>
      </c>
      <c r="DD43" s="162">
        <f t="shared" si="27"/>
        <v>0</v>
      </c>
      <c r="DE43" s="162">
        <f t="shared" si="27"/>
        <v>0</v>
      </c>
      <c r="DF43" s="162">
        <f t="shared" si="27"/>
        <v>0</v>
      </c>
      <c r="DG43" s="162">
        <f t="shared" si="27"/>
        <v>0</v>
      </c>
      <c r="DH43" s="162">
        <f t="shared" si="27"/>
        <v>0</v>
      </c>
      <c r="DI43" s="162">
        <f t="shared" si="27"/>
        <v>0</v>
      </c>
      <c r="DJ43" s="162">
        <f t="shared" si="27"/>
        <v>0</v>
      </c>
      <c r="DK43" s="162">
        <f t="shared" si="27"/>
        <v>0</v>
      </c>
      <c r="DL43" s="162">
        <f t="shared" si="27"/>
        <v>0</v>
      </c>
      <c r="DM43" s="162">
        <f t="shared" si="27"/>
        <v>0</v>
      </c>
      <c r="DN43" s="162">
        <f t="shared" si="27"/>
        <v>0</v>
      </c>
      <c r="DO43" s="162">
        <f t="shared" si="27"/>
        <v>0</v>
      </c>
      <c r="DP43" s="162">
        <f t="shared" si="27"/>
        <v>0</v>
      </c>
      <c r="DQ43" s="162">
        <f t="shared" si="27"/>
        <v>0</v>
      </c>
      <c r="DR43" s="162">
        <f t="shared" si="27"/>
        <v>0</v>
      </c>
      <c r="DS43" s="162">
        <f t="shared" si="27"/>
        <v>0</v>
      </c>
      <c r="DT43" s="162">
        <f t="shared" si="27"/>
        <v>0</v>
      </c>
      <c r="DU43" s="162">
        <f t="shared" si="27"/>
        <v>0</v>
      </c>
      <c r="DV43" s="162">
        <f t="shared" si="27"/>
        <v>0</v>
      </c>
      <c r="DW43" s="162">
        <f t="shared" ref="DW43:ER43" si="28">SUM(DW44:DW54)</f>
        <v>0</v>
      </c>
      <c r="DX43" s="162">
        <f t="shared" si="28"/>
        <v>0</v>
      </c>
      <c r="DY43" s="162">
        <f t="shared" si="28"/>
        <v>0</v>
      </c>
      <c r="DZ43" s="162">
        <f t="shared" si="28"/>
        <v>0</v>
      </c>
      <c r="EA43" s="162">
        <f t="shared" si="28"/>
        <v>0</v>
      </c>
      <c r="EB43" s="162">
        <f t="shared" si="28"/>
        <v>0</v>
      </c>
      <c r="EC43" s="162">
        <f t="shared" si="28"/>
        <v>0</v>
      </c>
      <c r="ED43" s="162">
        <f t="shared" si="28"/>
        <v>188264.59242381342</v>
      </c>
      <c r="EE43" s="162">
        <f t="shared" si="28"/>
        <v>188264.59242381342</v>
      </c>
      <c r="EF43" s="162">
        <f t="shared" si="28"/>
        <v>188264.59242381342</v>
      </c>
      <c r="EG43" s="162">
        <f t="shared" si="28"/>
        <v>188264.59242381342</v>
      </c>
      <c r="EH43" s="162">
        <f t="shared" si="28"/>
        <v>188264.59242381342</v>
      </c>
      <c r="EI43" s="162">
        <f t="shared" si="28"/>
        <v>188264.59242381342</v>
      </c>
      <c r="EJ43" s="162">
        <f t="shared" si="28"/>
        <v>188264.59242381342</v>
      </c>
      <c r="EK43" s="162">
        <f t="shared" si="28"/>
        <v>188264.59242381342</v>
      </c>
      <c r="EL43" s="162">
        <f t="shared" si="28"/>
        <v>188264.59242381342</v>
      </c>
      <c r="EM43" s="162">
        <f t="shared" si="28"/>
        <v>188264.59242381342</v>
      </c>
      <c r="EN43" s="162">
        <f t="shared" si="28"/>
        <v>188264.59242381342</v>
      </c>
      <c r="EO43" s="162">
        <f t="shared" si="28"/>
        <v>188264.59242381342</v>
      </c>
      <c r="EP43" s="162">
        <f t="shared" si="28"/>
        <v>0</v>
      </c>
      <c r="EQ43" s="162">
        <f t="shared" si="28"/>
        <v>0</v>
      </c>
      <c r="ER43" s="162">
        <f t="shared" si="28"/>
        <v>0</v>
      </c>
    </row>
    <row r="44" spans="3:148" ht="11.25" customHeight="1">
      <c r="C44" s="163"/>
      <c r="D44" s="164" t="s">
        <v>73</v>
      </c>
      <c r="E44" s="165"/>
      <c r="F44" s="802">
        <f t="shared" ref="F44:H53" si="29">F22</f>
        <v>5000</v>
      </c>
      <c r="G44" s="803">
        <f t="shared" si="29"/>
        <v>46691</v>
      </c>
      <c r="H44" s="804">
        <f t="shared" si="29"/>
        <v>1.4999999999999999E-2</v>
      </c>
      <c r="I44" s="194"/>
      <c r="J44" s="221"/>
      <c r="K44" s="168">
        <f t="shared" ref="K44:K53" si="30">SUM(M44:ER44)</f>
        <v>69632.449501508891</v>
      </c>
      <c r="L44" s="98"/>
      <c r="M44" s="168">
        <f>$F44*(1+$H44)^ROUNDUP(IFERROR(DATEDIF($G44-1,M$14+1,"m"),)/12,)*Index!L$23</f>
        <v>0</v>
      </c>
      <c r="N44" s="168">
        <f>$F44*(1+$H44)^ROUNDUP(IFERROR(DATEDIF($G44-1,N$14+1,"m"),)/12,)*Index!M$23</f>
        <v>0</v>
      </c>
      <c r="O44" s="168">
        <f>$F44*(1+$H44)^ROUNDUP(IFERROR(DATEDIF($G44-1,O$14+1,"m"),)/12,)*Index!N$23</f>
        <v>0</v>
      </c>
      <c r="P44" s="168">
        <f>$F44*(1+$H44)^ROUNDUP(IFERROR(DATEDIF($G44-1,P$14+1,"m"),)/12,)*Index!O$23</f>
        <v>0</v>
      </c>
      <c r="Q44" s="168">
        <f>$F44*(1+$H44)^ROUNDUP(IFERROR(DATEDIF($G44-1,Q$14+1,"m"),)/12,)*Index!P$23</f>
        <v>0</v>
      </c>
      <c r="R44" s="168">
        <f>$F44*(1+$H44)^ROUNDUP(IFERROR(DATEDIF($G44-1,R$14+1,"m"),)/12,)*Index!Q$23</f>
        <v>0</v>
      </c>
      <c r="S44" s="168">
        <f>$F44*(1+$H44)^ROUNDUP(IFERROR(DATEDIF($G44-1,S$14+1,"m"),)/12,)*Index!R$23</f>
        <v>0</v>
      </c>
      <c r="T44" s="168">
        <f>$F44*(1+$H44)^ROUNDUP(IFERROR(DATEDIF($G44-1,T$14+1,"m"),)/12,)*Index!S$23</f>
        <v>0</v>
      </c>
      <c r="U44" s="168">
        <f>$F44*(1+$H44)^ROUNDUP(IFERROR(DATEDIF($G44-1,U$14+1,"m"),)/12,)*Index!T$23</f>
        <v>0</v>
      </c>
      <c r="V44" s="168">
        <f>$F44*(1+$H44)^ROUNDUP(IFERROR(DATEDIF($G44-1,V$14+1,"m"),)/12,)*Index!U$23</f>
        <v>0</v>
      </c>
      <c r="W44" s="168">
        <f>$F44*(1+$H44)^ROUNDUP(IFERROR(DATEDIF($G44-1,W$14+1,"m"),)/12,)*Index!V$23</f>
        <v>0</v>
      </c>
      <c r="X44" s="168">
        <f>$F44*(1+$H44)^ROUNDUP(IFERROR(DATEDIF($G44-1,X$14+1,"m"),)/12,)*Index!W$23</f>
        <v>0</v>
      </c>
      <c r="Y44" s="168">
        <f>$F44*(1+$H44)^ROUNDUP(IFERROR(DATEDIF($G44-1,Y$14+1,"m"),)/12,)*Index!X$23</f>
        <v>0</v>
      </c>
      <c r="Z44" s="168">
        <f>$F44*(1+$H44)^ROUNDUP(IFERROR(DATEDIF($G44-1,Z$14+1,"m"),)/12,)*Index!Y$23</f>
        <v>0</v>
      </c>
      <c r="AA44" s="168">
        <f>$F44*(1+$H44)^ROUNDUP(IFERROR(DATEDIF($G44-1,AA$14+1,"m"),)/12,)*Index!Z$23</f>
        <v>0</v>
      </c>
      <c r="AB44" s="168">
        <f>$F44*(1+$H44)^ROUNDUP(IFERROR(DATEDIF($G44-1,AB$14+1,"m"),)/12,)*Index!AA$23</f>
        <v>0</v>
      </c>
      <c r="AC44" s="168">
        <f>$F44*(1+$H44)^ROUNDUP(IFERROR(DATEDIF($G44-1,AC$14+1,"m"),)/12,)*Index!AB$23</f>
        <v>0</v>
      </c>
      <c r="AD44" s="168">
        <f>$F44*(1+$H44)^ROUNDUP(IFERROR(DATEDIF($G44-1,AD$14+1,"m"),)/12,)*Index!AC$23</f>
        <v>0</v>
      </c>
      <c r="AE44" s="168">
        <f>$F44*(1+$H44)^ROUNDUP(IFERROR(DATEDIF($G44-1,AE$14+1,"m"),)/12,)*Index!AD$23</f>
        <v>0</v>
      </c>
      <c r="AF44" s="168">
        <f>$F44*(1+$H44)^ROUNDUP(IFERROR(DATEDIF($G44-1,AF$14+1,"m"),)/12,)*Index!AE$23</f>
        <v>0</v>
      </c>
      <c r="AG44" s="168">
        <f>$F44*(1+$H44)^ROUNDUP(IFERROR(DATEDIF($G44-1,AG$14+1,"m"),)/12,)*Index!AF$23</f>
        <v>0</v>
      </c>
      <c r="AH44" s="168">
        <f>$F44*(1+$H44)^ROUNDUP(IFERROR(DATEDIF($G44-1,AH$14+1,"m"),)/12,)*Index!AG$23</f>
        <v>0</v>
      </c>
      <c r="AI44" s="168">
        <f>$F44*(1+$H44)^ROUNDUP(IFERROR(DATEDIF($G44-1,AI$14+1,"m"),)/12,)*Index!AH$23</f>
        <v>0</v>
      </c>
      <c r="AJ44" s="168">
        <f>$F44*(1+$H44)^ROUNDUP(IFERROR(DATEDIF($G44-1,AJ$14+1,"m"),)/12,)*Index!AI$23</f>
        <v>0</v>
      </c>
      <c r="AK44" s="168">
        <f>$F44*(1+$H44)^ROUNDUP(IFERROR(DATEDIF($G44-1,AK$14+1,"m"),)/12,)*Index!AJ$23</f>
        <v>0</v>
      </c>
      <c r="AL44" s="168">
        <f>$F44*(1+$H44)^ROUNDUP(IFERROR(DATEDIF($G44-1,AL$14+1,"m"),)/12,)*Index!AK$23</f>
        <v>0</v>
      </c>
      <c r="AM44" s="168">
        <f>$F44*(1+$H44)^ROUNDUP(IFERROR(DATEDIF($G44-1,AM$14+1,"m"),)/12,)*Index!AL$23</f>
        <v>0</v>
      </c>
      <c r="AN44" s="168">
        <f>$F44*(1+$H44)^ROUNDUP(IFERROR(DATEDIF($G44-1,AN$14+1,"m"),)/12,)*Index!AM$23</f>
        <v>0</v>
      </c>
      <c r="AO44" s="168">
        <f>$F44*(1+$H44)^ROUNDUP(IFERROR(DATEDIF($G44-1,AO$14+1,"m"),)/12,)*Index!AN$23</f>
        <v>0</v>
      </c>
      <c r="AP44" s="168">
        <f>$F44*(1+$H44)^ROUNDUP(IFERROR(DATEDIF($G44-1,AP$14+1,"m"),)/12,)*Index!AO$23</f>
        <v>0</v>
      </c>
      <c r="AQ44" s="168">
        <f>$F44*(1+$H44)^ROUNDUP(IFERROR(DATEDIF($G44-1,AQ$14+1,"m"),)/12,)*Index!AP$23</f>
        <v>0</v>
      </c>
      <c r="AR44" s="168">
        <f>$F44*(1+$H44)^ROUNDUP(IFERROR(DATEDIF($G44-1,AR$14+1,"m"),)/12,)*Index!AQ$23</f>
        <v>0</v>
      </c>
      <c r="AS44" s="168">
        <f>$F44*(1+$H44)^ROUNDUP(IFERROR(DATEDIF($G44-1,AS$14+1,"m"),)/12,)*Index!AR$23</f>
        <v>0</v>
      </c>
      <c r="AT44" s="168">
        <f>$F44*(1+$H44)^ROUNDUP(IFERROR(DATEDIF($G44-1,AT$14+1,"m"),)/12,)*Index!AS$23</f>
        <v>0</v>
      </c>
      <c r="AU44" s="168">
        <f>$F44*(1+$H44)^ROUNDUP(IFERROR(DATEDIF($G44-1,AU$14+1,"m"),)/12,)*Index!AT$23</f>
        <v>0</v>
      </c>
      <c r="AV44" s="168">
        <f>$F44*(1+$H44)^ROUNDUP(IFERROR(DATEDIF($G44-1,AV$14+1,"m"),)/12,)*Index!AU$23</f>
        <v>0</v>
      </c>
      <c r="AW44" s="168">
        <f>$F44*(1+$H44)^ROUNDUP(IFERROR(DATEDIF($G44-1,AW$14+1,"m"),)/12,)*Index!AV$23</f>
        <v>0</v>
      </c>
      <c r="AX44" s="168">
        <f>$F44*(1+$H44)^ROUNDUP(IFERROR(DATEDIF($G44-1,AX$14+1,"m"),)/12,)*Index!AW$23</f>
        <v>0</v>
      </c>
      <c r="AY44" s="168">
        <f>$F44*(1+$H44)^ROUNDUP(IFERROR(DATEDIF($G44-1,AY$14+1,"m"),)/12,)*Index!AX$23</f>
        <v>0</v>
      </c>
      <c r="AZ44" s="168">
        <f>$F44*(1+$H44)^ROUNDUP(IFERROR(DATEDIF($G44-1,AZ$14+1,"m"),)/12,)*Index!AY$23</f>
        <v>0</v>
      </c>
      <c r="BA44" s="168">
        <f>$F44*(1+$H44)^ROUNDUP(IFERROR(DATEDIF($G44-1,BA$14+1,"m"),)/12,)*Index!AZ$23</f>
        <v>0</v>
      </c>
      <c r="BB44" s="168">
        <f>$F44*(1+$H44)^ROUNDUP(IFERROR(DATEDIF($G44-1,BB$14+1,"m"),)/12,)*Index!BA$23</f>
        <v>0</v>
      </c>
      <c r="BC44" s="168">
        <f>$F44*(1+$H44)^ROUNDUP(IFERROR(DATEDIF($G44-1,BC$14+1,"m"),)/12,)*Index!BB$23</f>
        <v>0</v>
      </c>
      <c r="BD44" s="168">
        <f>$F44*(1+$H44)^ROUNDUP(IFERROR(DATEDIF($G44-1,BD$14+1,"m"),)/12,)*Index!BC$23</f>
        <v>0</v>
      </c>
      <c r="BE44" s="168">
        <f>$F44*(1+$H44)^ROUNDUP(IFERROR(DATEDIF($G44-1,BE$14+1,"m"),)/12,)*Index!BD$23</f>
        <v>0</v>
      </c>
      <c r="BF44" s="168">
        <f>$F44*(1+$H44)^ROUNDUP(IFERROR(DATEDIF($G44-1,BF$14+1,"m"),)/12,)*Index!BE$23</f>
        <v>0</v>
      </c>
      <c r="BG44" s="168">
        <f>$F44*(1+$H44)^ROUNDUP(IFERROR(DATEDIF($G44-1,BG$14+1,"m"),)/12,)*Index!BF$23</f>
        <v>0</v>
      </c>
      <c r="BH44" s="168">
        <f>$F44*(1+$H44)^ROUNDUP(IFERROR(DATEDIF($G44-1,BH$14+1,"m"),)/12,)*Index!BG$23</f>
        <v>0</v>
      </c>
      <c r="BI44" s="168">
        <f>$F44*(1+$H44)^ROUNDUP(IFERROR(DATEDIF($G44-1,BI$14+1,"m"),)/12,)*Index!BH$23</f>
        <v>0</v>
      </c>
      <c r="BJ44" s="168">
        <f>$F44*(1+$H44)^ROUNDUP(IFERROR(DATEDIF($G44-1,BJ$14+1,"m"),)/12,)*Index!BI$23</f>
        <v>0</v>
      </c>
      <c r="BK44" s="168">
        <f>$F44*(1+$H44)^ROUNDUP(IFERROR(DATEDIF($G44-1,BK$14+1,"m"),)/12,)*Index!BJ$23</f>
        <v>0</v>
      </c>
      <c r="BL44" s="168">
        <f>$F44*(1+$H44)^ROUNDUP(IFERROR(DATEDIF($G44-1,BL$14+1,"m"),)/12,)*Index!BK$23</f>
        <v>0</v>
      </c>
      <c r="BM44" s="168">
        <f>$F44*(1+$H44)^ROUNDUP(IFERROR(DATEDIF($G44-1,BM$14+1,"m"),)/12,)*Index!BL$23</f>
        <v>0</v>
      </c>
      <c r="BN44" s="168">
        <f>$F44*(1+$H44)^ROUNDUP(IFERROR(DATEDIF($G44-1,BN$14+1,"m"),)/12,)*Index!BM$23</f>
        <v>0</v>
      </c>
      <c r="BO44" s="168">
        <f>$F44*(1+$H44)^ROUNDUP(IFERROR(DATEDIF($G44-1,BO$14+1,"m"),)/12,)*Index!BN$23</f>
        <v>0</v>
      </c>
      <c r="BP44" s="168">
        <f>$F44*(1+$H44)^ROUNDUP(IFERROR(DATEDIF($G44-1,BP$14+1,"m"),)/12,)*Index!BO$23</f>
        <v>0</v>
      </c>
      <c r="BQ44" s="168">
        <f>$F44*(1+$H44)^ROUNDUP(IFERROR(DATEDIF($G44-1,BQ$14+1,"m"),)/12,)*Index!BP$23</f>
        <v>0</v>
      </c>
      <c r="BR44" s="168">
        <f>$F44*(1+$H44)^ROUNDUP(IFERROR(DATEDIF($G44-1,BR$14+1,"m"),)/12,)*Index!BQ$23</f>
        <v>0</v>
      </c>
      <c r="BS44" s="168">
        <f>$F44*(1+$H44)^ROUNDUP(IFERROR(DATEDIF($G44-1,BS$14+1,"m"),)/12,)*Index!BR$23</f>
        <v>0</v>
      </c>
      <c r="BT44" s="168">
        <f>$F44*(1+$H44)^ROUNDUP(IFERROR(DATEDIF($G44-1,BT$14+1,"m"),)/12,)*Index!BS$23</f>
        <v>0</v>
      </c>
      <c r="BU44" s="168">
        <f>$F44*(1+$H44)^ROUNDUP(IFERROR(DATEDIF($G44-1,BU$14+1,"m"),)/12,)*Index!BT$23</f>
        <v>0</v>
      </c>
      <c r="BV44" s="168">
        <f>$F44*(1+$H44)^ROUNDUP(IFERROR(DATEDIF($G44-1,BV$14+1,"m"),)/12,)*Index!BU$23</f>
        <v>0</v>
      </c>
      <c r="BW44" s="168">
        <f>$F44*(1+$H44)^ROUNDUP(IFERROR(DATEDIF($G44-1,BW$14+1,"m"),)/12,)*Index!BV$23</f>
        <v>0</v>
      </c>
      <c r="BX44" s="168">
        <f>$F44*(1+$H44)^ROUNDUP(IFERROR(DATEDIF($G44-1,BX$14+1,"m"),)/12,)*Index!BW$23</f>
        <v>0</v>
      </c>
      <c r="BY44" s="168">
        <f>$F44*(1+$H44)^ROUNDUP(IFERROR(DATEDIF($G44-1,BY$14+1,"m"),)/12,)*Index!BX$23</f>
        <v>0</v>
      </c>
      <c r="BZ44" s="168">
        <f>$F44*(1+$H44)^ROUNDUP(IFERROR(DATEDIF($G44-1,BZ$14+1,"m"),)/12,)*Index!BY$23</f>
        <v>0</v>
      </c>
      <c r="CA44" s="168">
        <f>$F44*(1+$H44)^ROUNDUP(IFERROR(DATEDIF($G44-1,CA$14+1,"m"),)/12,)*Index!BZ$23</f>
        <v>0</v>
      </c>
      <c r="CB44" s="168">
        <f>$F44*(1+$H44)^ROUNDUP(IFERROR(DATEDIF($G44-1,CB$14+1,"m"),)/12,)*Index!CA$23</f>
        <v>0</v>
      </c>
      <c r="CC44" s="168">
        <f>$F44*(1+$H44)^ROUNDUP(IFERROR(DATEDIF($G44-1,CC$14+1,"m"),)/12,)*Index!CB$23</f>
        <v>0</v>
      </c>
      <c r="CD44" s="168">
        <f>$F44*(1+$H44)^ROUNDUP(IFERROR(DATEDIF($G44-1,CD$14+1,"m"),)/12,)*Index!CC$23</f>
        <v>0</v>
      </c>
      <c r="CE44" s="168">
        <f>$F44*(1+$H44)^ROUNDUP(IFERROR(DATEDIF($G44-1,CE$14+1,"m"),)/12,)*Index!CD$23</f>
        <v>0</v>
      </c>
      <c r="CF44" s="168">
        <f>$F44*(1+$H44)^ROUNDUP(IFERROR(DATEDIF($G44-1,CF$14+1,"m"),)/12,)*Index!CE$23</f>
        <v>0</v>
      </c>
      <c r="CG44" s="168">
        <f>$F44*(1+$H44)^ROUNDUP(IFERROR(DATEDIF($G44-1,CG$14+1,"m"),)/12,)*Index!CF$23</f>
        <v>0</v>
      </c>
      <c r="CH44" s="168">
        <f>$F44*(1+$H44)^ROUNDUP(IFERROR(DATEDIF($G44-1,CH$14+1,"m"),)/12,)*Index!CG$23</f>
        <v>0</v>
      </c>
      <c r="CI44" s="168">
        <f>$F44*(1+$H44)^ROUNDUP(IFERROR(DATEDIF($G44-1,CI$14+1,"m"),)/12,)*Index!CH$23</f>
        <v>0</v>
      </c>
      <c r="CJ44" s="168">
        <f>$F44*(1+$H44)^ROUNDUP(IFERROR(DATEDIF($G44-1,CJ$14+1,"m"),)/12,)*Index!CI$23</f>
        <v>0</v>
      </c>
      <c r="CK44" s="168">
        <f>$F44*(1+$H44)^ROUNDUP(IFERROR(DATEDIF($G44-1,CK$14+1,"m"),)/12,)*Index!CJ$23</f>
        <v>0</v>
      </c>
      <c r="CL44" s="168">
        <f>$F44*(1+$H44)^ROUNDUP(IFERROR(DATEDIF($G44-1,CL$14+1,"m"),)/12,)*Index!CK$23</f>
        <v>0</v>
      </c>
      <c r="CM44" s="168">
        <f>$F44*(1+$H44)^ROUNDUP(IFERROR(DATEDIF($G44-1,CM$14+1,"m"),)/12,)*Index!CL$23</f>
        <v>0</v>
      </c>
      <c r="CN44" s="168">
        <f>$F44*(1+$H44)^ROUNDUP(IFERROR(DATEDIF($G44-1,CN$14+1,"m"),)/12,)*Index!CM$23</f>
        <v>0</v>
      </c>
      <c r="CO44" s="168">
        <f>$F44*(1+$H44)^ROUNDUP(IFERROR(DATEDIF($G44-1,CO$14+1,"m"),)/12,)*Index!CN$23</f>
        <v>0</v>
      </c>
      <c r="CP44" s="168">
        <f>$F44*(1+$H44)^ROUNDUP(IFERROR(DATEDIF($G44-1,CP$14+1,"m"),)/12,)*Index!CO$23</f>
        <v>0</v>
      </c>
      <c r="CQ44" s="168">
        <f>$F44*(1+$H44)^ROUNDUP(IFERROR(DATEDIF($G44-1,CQ$14+1,"m"),)/12,)*Index!CP$23</f>
        <v>0</v>
      </c>
      <c r="CR44" s="168">
        <f>$F44*(1+$H44)^ROUNDUP(IFERROR(DATEDIF($G44-1,CR$14+1,"m"),)/12,)*Index!CQ$23</f>
        <v>0</v>
      </c>
      <c r="CS44" s="168">
        <f>$F44*(1+$H44)^ROUNDUP(IFERROR(DATEDIF($G44-1,CS$14+1,"m"),)/12,)*Index!CR$23</f>
        <v>0</v>
      </c>
      <c r="CT44" s="168">
        <f>$F44*(1+$H44)^ROUNDUP(IFERROR(DATEDIF($G44-1,CT$14+1,"m"),)/12,)*Index!CS$23</f>
        <v>0</v>
      </c>
      <c r="CU44" s="168">
        <f>$F44*(1+$H44)^ROUNDUP(IFERROR(DATEDIF($G44-1,CU$14+1,"m"),)/12,)*Index!CT$23</f>
        <v>0</v>
      </c>
      <c r="CV44" s="168">
        <f>$F44*(1+$H44)^ROUNDUP(IFERROR(DATEDIF($G44-1,CV$14+1,"m"),)/12,)*Index!CU$23</f>
        <v>0</v>
      </c>
      <c r="CW44" s="168">
        <f>$F44*(1+$H44)^ROUNDUP(IFERROR(DATEDIF($G44-1,CW$14+1,"m"),)/12,)*Index!CV$23</f>
        <v>0</v>
      </c>
      <c r="CX44" s="168">
        <f>$F44*(1+$H44)^ROUNDUP(IFERROR(DATEDIF($G44-1,CX$14+1,"m"),)/12,)*Index!CW$23</f>
        <v>0</v>
      </c>
      <c r="CY44" s="168">
        <f>$F44*(1+$H44)^ROUNDUP(IFERROR(DATEDIF($G44-1,CY$14+1,"m"),)/12,)*Index!CX$23</f>
        <v>0</v>
      </c>
      <c r="CZ44" s="168">
        <f>$F44*(1+$H44)^ROUNDUP(IFERROR(DATEDIF($G44-1,CZ$14+1,"m"),)/12,)*Index!CY$23</f>
        <v>0</v>
      </c>
      <c r="DA44" s="168">
        <f>$F44*(1+$H44)^ROUNDUP(IFERROR(DATEDIF($G44-1,DA$14+1,"m"),)/12,)*Index!CZ$23</f>
        <v>0</v>
      </c>
      <c r="DB44" s="168">
        <f>$F44*(1+$H44)^ROUNDUP(IFERROR(DATEDIF($G44-1,DB$14+1,"m"),)/12,)*Index!DA$23</f>
        <v>0</v>
      </c>
      <c r="DC44" s="168">
        <f>$F44*(1+$H44)^ROUNDUP(IFERROR(DATEDIF($G44-1,DC$14+1,"m"),)/12,)*Index!DB$23</f>
        <v>0</v>
      </c>
      <c r="DD44" s="168">
        <f>$F44*(1+$H44)^ROUNDUP(IFERROR(DATEDIF($G44-1,DD$14+1,"m"),)/12,)*Index!DC$23</f>
        <v>0</v>
      </c>
      <c r="DE44" s="168">
        <f>$F44*(1+$H44)^ROUNDUP(IFERROR(DATEDIF($G44-1,DE$14+1,"m"),)/12,)*Index!DD$23</f>
        <v>0</v>
      </c>
      <c r="DF44" s="168">
        <f>$F44*(1+$H44)^ROUNDUP(IFERROR(DATEDIF($G44-1,DF$14+1,"m"),)/12,)*Index!DE$23</f>
        <v>0</v>
      </c>
      <c r="DG44" s="168">
        <f>$F44*(1+$H44)^ROUNDUP(IFERROR(DATEDIF($G44-1,DG$14+1,"m"),)/12,)*Index!DF$23</f>
        <v>0</v>
      </c>
      <c r="DH44" s="168">
        <f>$F44*(1+$H44)^ROUNDUP(IFERROR(DATEDIF($G44-1,DH$14+1,"m"),)/12,)*Index!DG$23</f>
        <v>0</v>
      </c>
      <c r="DI44" s="168">
        <f>$F44*(1+$H44)^ROUNDUP(IFERROR(DATEDIF($G44-1,DI$14+1,"m"),)/12,)*Index!DH$23</f>
        <v>0</v>
      </c>
      <c r="DJ44" s="168">
        <f>$F44*(1+$H44)^ROUNDUP(IFERROR(DATEDIF($G44-1,DJ$14+1,"m"),)/12,)*Index!DI$23</f>
        <v>0</v>
      </c>
      <c r="DK44" s="168">
        <f>$F44*(1+$H44)^ROUNDUP(IFERROR(DATEDIF($G44-1,DK$14+1,"m"),)/12,)*Index!DJ$23</f>
        <v>0</v>
      </c>
      <c r="DL44" s="168">
        <f>$F44*(1+$H44)^ROUNDUP(IFERROR(DATEDIF($G44-1,DL$14+1,"m"),)/12,)*Index!DK$23</f>
        <v>0</v>
      </c>
      <c r="DM44" s="168">
        <f>$F44*(1+$H44)^ROUNDUP(IFERROR(DATEDIF($G44-1,DM$14+1,"m"),)/12,)*Index!DL$23</f>
        <v>0</v>
      </c>
      <c r="DN44" s="168">
        <f>$F44*(1+$H44)^ROUNDUP(IFERROR(DATEDIF($G44-1,DN$14+1,"m"),)/12,)*Index!DM$23</f>
        <v>0</v>
      </c>
      <c r="DO44" s="168">
        <f>$F44*(1+$H44)^ROUNDUP(IFERROR(DATEDIF($G44-1,DO$14+1,"m"),)/12,)*Index!DN$23</f>
        <v>0</v>
      </c>
      <c r="DP44" s="168">
        <f>$F44*(1+$H44)^ROUNDUP(IFERROR(DATEDIF($G44-1,DP$14+1,"m"),)/12,)*Index!DO$23</f>
        <v>0</v>
      </c>
      <c r="DQ44" s="168">
        <f>$F44*(1+$H44)^ROUNDUP(IFERROR(DATEDIF($G44-1,DQ$14+1,"m"),)/12,)*Index!DP$23</f>
        <v>0</v>
      </c>
      <c r="DR44" s="168">
        <f>$F44*(1+$H44)^ROUNDUP(IFERROR(DATEDIF($G44-1,DR$14+1,"m"),)/12,)*Index!DQ$23</f>
        <v>0</v>
      </c>
      <c r="DS44" s="168">
        <f>$F44*(1+$H44)^ROUNDUP(IFERROR(DATEDIF($G44-1,DS$14+1,"m"),)/12,)*Index!DR$23</f>
        <v>0</v>
      </c>
      <c r="DT44" s="168">
        <f>$F44*(1+$H44)^ROUNDUP(IFERROR(DATEDIF($G44-1,DT$14+1,"m"),)/12,)*Index!DS$23</f>
        <v>0</v>
      </c>
      <c r="DU44" s="168">
        <f>$F44*(1+$H44)^ROUNDUP(IFERROR(DATEDIF($G44-1,DU$14+1,"m"),)/12,)*Index!DT$23</f>
        <v>0</v>
      </c>
      <c r="DV44" s="168">
        <f>$F44*(1+$H44)^ROUNDUP(IFERROR(DATEDIF($G44-1,DV$14+1,"m"),)/12,)*Index!DU$23</f>
        <v>0</v>
      </c>
      <c r="DW44" s="168">
        <f>$F44*(1+$H44)^ROUNDUP(IFERROR(DATEDIF($G44-1,DW$14+1,"m"),)/12,)*Index!DV$23</f>
        <v>0</v>
      </c>
      <c r="DX44" s="168">
        <f>$F44*(1+$H44)^ROUNDUP(IFERROR(DATEDIF($G44-1,DX$14+1,"m"),)/12,)*Index!DW$23</f>
        <v>0</v>
      </c>
      <c r="DY44" s="168">
        <f>$F44*(1+$H44)^ROUNDUP(IFERROR(DATEDIF($G44-1,DY$14+1,"m"),)/12,)*Index!DX$23</f>
        <v>0</v>
      </c>
      <c r="DZ44" s="168">
        <f>$F44*(1+$H44)^ROUNDUP(IFERROR(DATEDIF($G44-1,DZ$14+1,"m"),)/12,)*Index!DY$23</f>
        <v>0</v>
      </c>
      <c r="EA44" s="168">
        <f>$F44*(1+$H44)^ROUNDUP(IFERROR(DATEDIF($G44-1,EA$14+1,"m"),)/12,)*Index!DZ$23</f>
        <v>0</v>
      </c>
      <c r="EB44" s="168">
        <f>$F44*(1+$H44)^ROUNDUP(IFERROR(DATEDIF($G44-1,EB$14+1,"m"),)/12,)*Index!EA$23</f>
        <v>0</v>
      </c>
      <c r="EC44" s="168">
        <f>$F44*(1+$H44)^ROUNDUP(IFERROR(DATEDIF($G44-1,EC$14+1,"m"),)/12,)*Index!EB$23</f>
        <v>0</v>
      </c>
      <c r="ED44" s="168">
        <f>$F44*(1+$H44)^ROUNDUP(IFERROR(DATEDIF($G44-1,ED$14+1,"m"),)/12,)*Index!EC$23</f>
        <v>5802.7041251257424</v>
      </c>
      <c r="EE44" s="168">
        <f>$F44*(1+$H44)^ROUNDUP(IFERROR(DATEDIF($G44-1,EE$14+1,"m"),)/12,)*Index!ED$23</f>
        <v>5802.7041251257424</v>
      </c>
      <c r="EF44" s="168">
        <f>$F44*(1+$H44)^ROUNDUP(IFERROR(DATEDIF($G44-1,EF$14+1,"m"),)/12,)*Index!EE$23</f>
        <v>5802.7041251257424</v>
      </c>
      <c r="EG44" s="168">
        <f>$F44*(1+$H44)^ROUNDUP(IFERROR(DATEDIF($G44-1,EG$14+1,"m"),)/12,)*Index!EF$23</f>
        <v>5802.7041251257424</v>
      </c>
      <c r="EH44" s="168">
        <f>$F44*(1+$H44)^ROUNDUP(IFERROR(DATEDIF($G44-1,EH$14+1,"m"),)/12,)*Index!EG$23</f>
        <v>5802.7041251257424</v>
      </c>
      <c r="EI44" s="168">
        <f>$F44*(1+$H44)^ROUNDUP(IFERROR(DATEDIF($G44-1,EI$14+1,"m"),)/12,)*Index!EH$23</f>
        <v>5802.7041251257424</v>
      </c>
      <c r="EJ44" s="168">
        <f>$F44*(1+$H44)^ROUNDUP(IFERROR(DATEDIF($G44-1,EJ$14+1,"m"),)/12,)*Index!EI$23</f>
        <v>5802.7041251257424</v>
      </c>
      <c r="EK44" s="168">
        <f>$F44*(1+$H44)^ROUNDUP(IFERROR(DATEDIF($G44-1,EK$14+1,"m"),)/12,)*Index!EJ$23</f>
        <v>5802.7041251257424</v>
      </c>
      <c r="EL44" s="168">
        <f>$F44*(1+$H44)^ROUNDUP(IFERROR(DATEDIF($G44-1,EL$14+1,"m"),)/12,)*Index!EK$23</f>
        <v>5802.7041251257424</v>
      </c>
      <c r="EM44" s="168">
        <f>$F44*(1+$H44)^ROUNDUP(IFERROR(DATEDIF($G44-1,EM$14+1,"m"),)/12,)*Index!EL$23</f>
        <v>5802.7041251257424</v>
      </c>
      <c r="EN44" s="168">
        <f>$F44*(1+$H44)^ROUNDUP(IFERROR(DATEDIF($G44-1,EN$14+1,"m"),)/12,)*Index!EM$23</f>
        <v>5802.7041251257424</v>
      </c>
      <c r="EO44" s="168">
        <f>$F44*(1+$H44)^ROUNDUP(IFERROR(DATEDIF($G44-1,EO$14+1,"m"),)/12,)*Index!EN$23</f>
        <v>5802.7041251257424</v>
      </c>
      <c r="EP44" s="168">
        <f>$F44*(1+$H44)^ROUNDUP(IFERROR(DATEDIF($G44-1,EP$14+1,"m"),)/12,)*Index!EO$23</f>
        <v>0</v>
      </c>
      <c r="EQ44" s="168">
        <f>$F44*(1+$H44)^ROUNDUP(IFERROR(DATEDIF($G44-1,EQ$14+1,"m"),)/12,)*Index!EP$23</f>
        <v>0</v>
      </c>
      <c r="ER44" s="168">
        <f>$F44*(1+$H44)^ROUNDUP(IFERROR(DATEDIF($G44-1,ER$14+1,"m"),)/12,)*Index!EQ$23</f>
        <v>0</v>
      </c>
    </row>
    <row r="45" spans="3:148" ht="11.25" customHeight="1">
      <c r="C45" s="163"/>
      <c r="D45" s="169" t="s">
        <v>75</v>
      </c>
      <c r="F45" s="805">
        <f t="shared" si="29"/>
        <v>53083.394667049994</v>
      </c>
      <c r="G45" s="806">
        <f t="shared" si="29"/>
        <v>46691</v>
      </c>
      <c r="H45" s="807">
        <f t="shared" si="29"/>
        <v>0.02</v>
      </c>
      <c r="I45" s="65"/>
      <c r="J45" s="13"/>
      <c r="K45" s="171">
        <f t="shared" si="30"/>
        <v>776500.34272216063</v>
      </c>
      <c r="L45" s="98"/>
      <c r="M45" s="171">
        <f>$F45*(1+$H45)^ROUNDUP(IFERROR(DATEDIF($G45-1,M$14+1,"m"),)/12,)*Index!L$23</f>
        <v>0</v>
      </c>
      <c r="N45" s="171">
        <f>$F45*(1+$H45)^ROUNDUP(IFERROR(DATEDIF($G45-1,N$14+1,"m"),)/12,)*Index!M$23</f>
        <v>0</v>
      </c>
      <c r="O45" s="171">
        <f>$F45*(1+$H45)^ROUNDUP(IFERROR(DATEDIF($G45-1,O$14+1,"m"),)/12,)*Index!N$23</f>
        <v>0</v>
      </c>
      <c r="P45" s="171">
        <f>$F45*(1+$H45)^ROUNDUP(IFERROR(DATEDIF($G45-1,P$14+1,"m"),)/12,)*Index!O$23</f>
        <v>0</v>
      </c>
      <c r="Q45" s="171">
        <f>$F45*(1+$H45)^ROUNDUP(IFERROR(DATEDIF($G45-1,Q$14+1,"m"),)/12,)*Index!P$23</f>
        <v>0</v>
      </c>
      <c r="R45" s="171">
        <f>$F45*(1+$H45)^ROUNDUP(IFERROR(DATEDIF($G45-1,R$14+1,"m"),)/12,)*Index!Q$23</f>
        <v>0</v>
      </c>
      <c r="S45" s="171">
        <f>$F45*(1+$H45)^ROUNDUP(IFERROR(DATEDIF($G45-1,S$14+1,"m"),)/12,)*Index!R$23</f>
        <v>0</v>
      </c>
      <c r="T45" s="171">
        <f>$F45*(1+$H45)^ROUNDUP(IFERROR(DATEDIF($G45-1,T$14+1,"m"),)/12,)*Index!S$23</f>
        <v>0</v>
      </c>
      <c r="U45" s="171">
        <f>$F45*(1+$H45)^ROUNDUP(IFERROR(DATEDIF($G45-1,U$14+1,"m"),)/12,)*Index!T$23</f>
        <v>0</v>
      </c>
      <c r="V45" s="171">
        <f>$F45*(1+$H45)^ROUNDUP(IFERROR(DATEDIF($G45-1,V$14+1,"m"),)/12,)*Index!U$23</f>
        <v>0</v>
      </c>
      <c r="W45" s="171">
        <f>$F45*(1+$H45)^ROUNDUP(IFERROR(DATEDIF($G45-1,W$14+1,"m"),)/12,)*Index!V$23</f>
        <v>0</v>
      </c>
      <c r="X45" s="171">
        <f>$F45*(1+$H45)^ROUNDUP(IFERROR(DATEDIF($G45-1,X$14+1,"m"),)/12,)*Index!W$23</f>
        <v>0</v>
      </c>
      <c r="Y45" s="171">
        <f>$F45*(1+$H45)^ROUNDUP(IFERROR(DATEDIF($G45-1,Y$14+1,"m"),)/12,)*Index!X$23</f>
        <v>0</v>
      </c>
      <c r="Z45" s="171">
        <f>$F45*(1+$H45)^ROUNDUP(IFERROR(DATEDIF($G45-1,Z$14+1,"m"),)/12,)*Index!Y$23</f>
        <v>0</v>
      </c>
      <c r="AA45" s="171">
        <f>$F45*(1+$H45)^ROUNDUP(IFERROR(DATEDIF($G45-1,AA$14+1,"m"),)/12,)*Index!Z$23</f>
        <v>0</v>
      </c>
      <c r="AB45" s="171">
        <f>$F45*(1+$H45)^ROUNDUP(IFERROR(DATEDIF($G45-1,AB$14+1,"m"),)/12,)*Index!AA$23</f>
        <v>0</v>
      </c>
      <c r="AC45" s="171">
        <f>$F45*(1+$H45)^ROUNDUP(IFERROR(DATEDIF($G45-1,AC$14+1,"m"),)/12,)*Index!AB$23</f>
        <v>0</v>
      </c>
      <c r="AD45" s="171">
        <f>$F45*(1+$H45)^ROUNDUP(IFERROR(DATEDIF($G45-1,AD$14+1,"m"),)/12,)*Index!AC$23</f>
        <v>0</v>
      </c>
      <c r="AE45" s="171">
        <f>$F45*(1+$H45)^ROUNDUP(IFERROR(DATEDIF($G45-1,AE$14+1,"m"),)/12,)*Index!AD$23</f>
        <v>0</v>
      </c>
      <c r="AF45" s="171">
        <f>$F45*(1+$H45)^ROUNDUP(IFERROR(DATEDIF($G45-1,AF$14+1,"m"),)/12,)*Index!AE$23</f>
        <v>0</v>
      </c>
      <c r="AG45" s="171">
        <f>$F45*(1+$H45)^ROUNDUP(IFERROR(DATEDIF($G45-1,AG$14+1,"m"),)/12,)*Index!AF$23</f>
        <v>0</v>
      </c>
      <c r="AH45" s="171">
        <f>$F45*(1+$H45)^ROUNDUP(IFERROR(DATEDIF($G45-1,AH$14+1,"m"),)/12,)*Index!AG$23</f>
        <v>0</v>
      </c>
      <c r="AI45" s="171">
        <f>$F45*(1+$H45)^ROUNDUP(IFERROR(DATEDIF($G45-1,AI$14+1,"m"),)/12,)*Index!AH$23</f>
        <v>0</v>
      </c>
      <c r="AJ45" s="171">
        <f>$F45*(1+$H45)^ROUNDUP(IFERROR(DATEDIF($G45-1,AJ$14+1,"m"),)/12,)*Index!AI$23</f>
        <v>0</v>
      </c>
      <c r="AK45" s="171">
        <f>$F45*(1+$H45)^ROUNDUP(IFERROR(DATEDIF($G45-1,AK$14+1,"m"),)/12,)*Index!AJ$23</f>
        <v>0</v>
      </c>
      <c r="AL45" s="171">
        <f>$F45*(1+$H45)^ROUNDUP(IFERROR(DATEDIF($G45-1,AL$14+1,"m"),)/12,)*Index!AK$23</f>
        <v>0</v>
      </c>
      <c r="AM45" s="171">
        <f>$F45*(1+$H45)^ROUNDUP(IFERROR(DATEDIF($G45-1,AM$14+1,"m"),)/12,)*Index!AL$23</f>
        <v>0</v>
      </c>
      <c r="AN45" s="171">
        <f>$F45*(1+$H45)^ROUNDUP(IFERROR(DATEDIF($G45-1,AN$14+1,"m"),)/12,)*Index!AM$23</f>
        <v>0</v>
      </c>
      <c r="AO45" s="171">
        <f>$F45*(1+$H45)^ROUNDUP(IFERROR(DATEDIF($G45-1,AO$14+1,"m"),)/12,)*Index!AN$23</f>
        <v>0</v>
      </c>
      <c r="AP45" s="171">
        <f>$F45*(1+$H45)^ROUNDUP(IFERROR(DATEDIF($G45-1,AP$14+1,"m"),)/12,)*Index!AO$23</f>
        <v>0</v>
      </c>
      <c r="AQ45" s="171">
        <f>$F45*(1+$H45)^ROUNDUP(IFERROR(DATEDIF($G45-1,AQ$14+1,"m"),)/12,)*Index!AP$23</f>
        <v>0</v>
      </c>
      <c r="AR45" s="171">
        <f>$F45*(1+$H45)^ROUNDUP(IFERROR(DATEDIF($G45-1,AR$14+1,"m"),)/12,)*Index!AQ$23</f>
        <v>0</v>
      </c>
      <c r="AS45" s="171">
        <f>$F45*(1+$H45)^ROUNDUP(IFERROR(DATEDIF($G45-1,AS$14+1,"m"),)/12,)*Index!AR$23</f>
        <v>0</v>
      </c>
      <c r="AT45" s="171">
        <f>$F45*(1+$H45)^ROUNDUP(IFERROR(DATEDIF($G45-1,AT$14+1,"m"),)/12,)*Index!AS$23</f>
        <v>0</v>
      </c>
      <c r="AU45" s="171">
        <f>$F45*(1+$H45)^ROUNDUP(IFERROR(DATEDIF($G45-1,AU$14+1,"m"),)/12,)*Index!AT$23</f>
        <v>0</v>
      </c>
      <c r="AV45" s="171">
        <f>$F45*(1+$H45)^ROUNDUP(IFERROR(DATEDIF($G45-1,AV$14+1,"m"),)/12,)*Index!AU$23</f>
        <v>0</v>
      </c>
      <c r="AW45" s="171">
        <f>$F45*(1+$H45)^ROUNDUP(IFERROR(DATEDIF($G45-1,AW$14+1,"m"),)/12,)*Index!AV$23</f>
        <v>0</v>
      </c>
      <c r="AX45" s="171">
        <f>$F45*(1+$H45)^ROUNDUP(IFERROR(DATEDIF($G45-1,AX$14+1,"m"),)/12,)*Index!AW$23</f>
        <v>0</v>
      </c>
      <c r="AY45" s="171">
        <f>$F45*(1+$H45)^ROUNDUP(IFERROR(DATEDIF($G45-1,AY$14+1,"m"),)/12,)*Index!AX$23</f>
        <v>0</v>
      </c>
      <c r="AZ45" s="171">
        <f>$F45*(1+$H45)^ROUNDUP(IFERROR(DATEDIF($G45-1,AZ$14+1,"m"),)/12,)*Index!AY$23</f>
        <v>0</v>
      </c>
      <c r="BA45" s="171">
        <f>$F45*(1+$H45)^ROUNDUP(IFERROR(DATEDIF($G45-1,BA$14+1,"m"),)/12,)*Index!AZ$23</f>
        <v>0</v>
      </c>
      <c r="BB45" s="171">
        <f>$F45*(1+$H45)^ROUNDUP(IFERROR(DATEDIF($G45-1,BB$14+1,"m"),)/12,)*Index!BA$23</f>
        <v>0</v>
      </c>
      <c r="BC45" s="171">
        <f>$F45*(1+$H45)^ROUNDUP(IFERROR(DATEDIF($G45-1,BC$14+1,"m"),)/12,)*Index!BB$23</f>
        <v>0</v>
      </c>
      <c r="BD45" s="171">
        <f>$F45*(1+$H45)^ROUNDUP(IFERROR(DATEDIF($G45-1,BD$14+1,"m"),)/12,)*Index!BC$23</f>
        <v>0</v>
      </c>
      <c r="BE45" s="171">
        <f>$F45*(1+$H45)^ROUNDUP(IFERROR(DATEDIF($G45-1,BE$14+1,"m"),)/12,)*Index!BD$23</f>
        <v>0</v>
      </c>
      <c r="BF45" s="171">
        <f>$F45*(1+$H45)^ROUNDUP(IFERROR(DATEDIF($G45-1,BF$14+1,"m"),)/12,)*Index!BE$23</f>
        <v>0</v>
      </c>
      <c r="BG45" s="171">
        <f>$F45*(1+$H45)^ROUNDUP(IFERROR(DATEDIF($G45-1,BG$14+1,"m"),)/12,)*Index!BF$23</f>
        <v>0</v>
      </c>
      <c r="BH45" s="171">
        <f>$F45*(1+$H45)^ROUNDUP(IFERROR(DATEDIF($G45-1,BH$14+1,"m"),)/12,)*Index!BG$23</f>
        <v>0</v>
      </c>
      <c r="BI45" s="171">
        <f>$F45*(1+$H45)^ROUNDUP(IFERROR(DATEDIF($G45-1,BI$14+1,"m"),)/12,)*Index!BH$23</f>
        <v>0</v>
      </c>
      <c r="BJ45" s="171">
        <f>$F45*(1+$H45)^ROUNDUP(IFERROR(DATEDIF($G45-1,BJ$14+1,"m"),)/12,)*Index!BI$23</f>
        <v>0</v>
      </c>
      <c r="BK45" s="171">
        <f>$F45*(1+$H45)^ROUNDUP(IFERROR(DATEDIF($G45-1,BK$14+1,"m"),)/12,)*Index!BJ$23</f>
        <v>0</v>
      </c>
      <c r="BL45" s="171">
        <f>$F45*(1+$H45)^ROUNDUP(IFERROR(DATEDIF($G45-1,BL$14+1,"m"),)/12,)*Index!BK$23</f>
        <v>0</v>
      </c>
      <c r="BM45" s="171">
        <f>$F45*(1+$H45)^ROUNDUP(IFERROR(DATEDIF($G45-1,BM$14+1,"m"),)/12,)*Index!BL$23</f>
        <v>0</v>
      </c>
      <c r="BN45" s="171">
        <f>$F45*(1+$H45)^ROUNDUP(IFERROR(DATEDIF($G45-1,BN$14+1,"m"),)/12,)*Index!BM$23</f>
        <v>0</v>
      </c>
      <c r="BO45" s="171">
        <f>$F45*(1+$H45)^ROUNDUP(IFERROR(DATEDIF($G45-1,BO$14+1,"m"),)/12,)*Index!BN$23</f>
        <v>0</v>
      </c>
      <c r="BP45" s="171">
        <f>$F45*(1+$H45)^ROUNDUP(IFERROR(DATEDIF($G45-1,BP$14+1,"m"),)/12,)*Index!BO$23</f>
        <v>0</v>
      </c>
      <c r="BQ45" s="171">
        <f>$F45*(1+$H45)^ROUNDUP(IFERROR(DATEDIF($G45-1,BQ$14+1,"m"),)/12,)*Index!BP$23</f>
        <v>0</v>
      </c>
      <c r="BR45" s="171">
        <f>$F45*(1+$H45)^ROUNDUP(IFERROR(DATEDIF($G45-1,BR$14+1,"m"),)/12,)*Index!BQ$23</f>
        <v>0</v>
      </c>
      <c r="BS45" s="171">
        <f>$F45*(1+$H45)^ROUNDUP(IFERROR(DATEDIF($G45-1,BS$14+1,"m"),)/12,)*Index!BR$23</f>
        <v>0</v>
      </c>
      <c r="BT45" s="171">
        <f>$F45*(1+$H45)^ROUNDUP(IFERROR(DATEDIF($G45-1,BT$14+1,"m"),)/12,)*Index!BS$23</f>
        <v>0</v>
      </c>
      <c r="BU45" s="171">
        <f>$F45*(1+$H45)^ROUNDUP(IFERROR(DATEDIF($G45-1,BU$14+1,"m"),)/12,)*Index!BT$23</f>
        <v>0</v>
      </c>
      <c r="BV45" s="171">
        <f>$F45*(1+$H45)^ROUNDUP(IFERROR(DATEDIF($G45-1,BV$14+1,"m"),)/12,)*Index!BU$23</f>
        <v>0</v>
      </c>
      <c r="BW45" s="171">
        <f>$F45*(1+$H45)^ROUNDUP(IFERROR(DATEDIF($G45-1,BW$14+1,"m"),)/12,)*Index!BV$23</f>
        <v>0</v>
      </c>
      <c r="BX45" s="171">
        <f>$F45*(1+$H45)^ROUNDUP(IFERROR(DATEDIF($G45-1,BX$14+1,"m"),)/12,)*Index!BW$23</f>
        <v>0</v>
      </c>
      <c r="BY45" s="171">
        <f>$F45*(1+$H45)^ROUNDUP(IFERROR(DATEDIF($G45-1,BY$14+1,"m"),)/12,)*Index!BX$23</f>
        <v>0</v>
      </c>
      <c r="BZ45" s="171">
        <f>$F45*(1+$H45)^ROUNDUP(IFERROR(DATEDIF($G45-1,BZ$14+1,"m"),)/12,)*Index!BY$23</f>
        <v>0</v>
      </c>
      <c r="CA45" s="171">
        <f>$F45*(1+$H45)^ROUNDUP(IFERROR(DATEDIF($G45-1,CA$14+1,"m"),)/12,)*Index!BZ$23</f>
        <v>0</v>
      </c>
      <c r="CB45" s="171">
        <f>$F45*(1+$H45)^ROUNDUP(IFERROR(DATEDIF($G45-1,CB$14+1,"m"),)/12,)*Index!CA$23</f>
        <v>0</v>
      </c>
      <c r="CC45" s="171">
        <f>$F45*(1+$H45)^ROUNDUP(IFERROR(DATEDIF($G45-1,CC$14+1,"m"),)/12,)*Index!CB$23</f>
        <v>0</v>
      </c>
      <c r="CD45" s="171">
        <f>$F45*(1+$H45)^ROUNDUP(IFERROR(DATEDIF($G45-1,CD$14+1,"m"),)/12,)*Index!CC$23</f>
        <v>0</v>
      </c>
      <c r="CE45" s="171">
        <f>$F45*(1+$H45)^ROUNDUP(IFERROR(DATEDIF($G45-1,CE$14+1,"m"),)/12,)*Index!CD$23</f>
        <v>0</v>
      </c>
      <c r="CF45" s="171">
        <f>$F45*(1+$H45)^ROUNDUP(IFERROR(DATEDIF($G45-1,CF$14+1,"m"),)/12,)*Index!CE$23</f>
        <v>0</v>
      </c>
      <c r="CG45" s="171">
        <f>$F45*(1+$H45)^ROUNDUP(IFERROR(DATEDIF($G45-1,CG$14+1,"m"),)/12,)*Index!CF$23</f>
        <v>0</v>
      </c>
      <c r="CH45" s="171">
        <f>$F45*(1+$H45)^ROUNDUP(IFERROR(DATEDIF($G45-1,CH$14+1,"m"),)/12,)*Index!CG$23</f>
        <v>0</v>
      </c>
      <c r="CI45" s="171">
        <f>$F45*(1+$H45)^ROUNDUP(IFERROR(DATEDIF($G45-1,CI$14+1,"m"),)/12,)*Index!CH$23</f>
        <v>0</v>
      </c>
      <c r="CJ45" s="171">
        <f>$F45*(1+$H45)^ROUNDUP(IFERROR(DATEDIF($G45-1,CJ$14+1,"m"),)/12,)*Index!CI$23</f>
        <v>0</v>
      </c>
      <c r="CK45" s="171">
        <f>$F45*(1+$H45)^ROUNDUP(IFERROR(DATEDIF($G45-1,CK$14+1,"m"),)/12,)*Index!CJ$23</f>
        <v>0</v>
      </c>
      <c r="CL45" s="171">
        <f>$F45*(1+$H45)^ROUNDUP(IFERROR(DATEDIF($G45-1,CL$14+1,"m"),)/12,)*Index!CK$23</f>
        <v>0</v>
      </c>
      <c r="CM45" s="171">
        <f>$F45*(1+$H45)^ROUNDUP(IFERROR(DATEDIF($G45-1,CM$14+1,"m"),)/12,)*Index!CL$23</f>
        <v>0</v>
      </c>
      <c r="CN45" s="171">
        <f>$F45*(1+$H45)^ROUNDUP(IFERROR(DATEDIF($G45-1,CN$14+1,"m"),)/12,)*Index!CM$23</f>
        <v>0</v>
      </c>
      <c r="CO45" s="171">
        <f>$F45*(1+$H45)^ROUNDUP(IFERROR(DATEDIF($G45-1,CO$14+1,"m"),)/12,)*Index!CN$23</f>
        <v>0</v>
      </c>
      <c r="CP45" s="171">
        <f>$F45*(1+$H45)^ROUNDUP(IFERROR(DATEDIF($G45-1,CP$14+1,"m"),)/12,)*Index!CO$23</f>
        <v>0</v>
      </c>
      <c r="CQ45" s="171">
        <f>$F45*(1+$H45)^ROUNDUP(IFERROR(DATEDIF($G45-1,CQ$14+1,"m"),)/12,)*Index!CP$23</f>
        <v>0</v>
      </c>
      <c r="CR45" s="171">
        <f>$F45*(1+$H45)^ROUNDUP(IFERROR(DATEDIF($G45-1,CR$14+1,"m"),)/12,)*Index!CQ$23</f>
        <v>0</v>
      </c>
      <c r="CS45" s="171">
        <f>$F45*(1+$H45)^ROUNDUP(IFERROR(DATEDIF($G45-1,CS$14+1,"m"),)/12,)*Index!CR$23</f>
        <v>0</v>
      </c>
      <c r="CT45" s="171">
        <f>$F45*(1+$H45)^ROUNDUP(IFERROR(DATEDIF($G45-1,CT$14+1,"m"),)/12,)*Index!CS$23</f>
        <v>0</v>
      </c>
      <c r="CU45" s="171">
        <f>$F45*(1+$H45)^ROUNDUP(IFERROR(DATEDIF($G45-1,CU$14+1,"m"),)/12,)*Index!CT$23</f>
        <v>0</v>
      </c>
      <c r="CV45" s="171">
        <f>$F45*(1+$H45)^ROUNDUP(IFERROR(DATEDIF($G45-1,CV$14+1,"m"),)/12,)*Index!CU$23</f>
        <v>0</v>
      </c>
      <c r="CW45" s="171">
        <f>$F45*(1+$H45)^ROUNDUP(IFERROR(DATEDIF($G45-1,CW$14+1,"m"),)/12,)*Index!CV$23</f>
        <v>0</v>
      </c>
      <c r="CX45" s="171">
        <f>$F45*(1+$H45)^ROUNDUP(IFERROR(DATEDIF($G45-1,CX$14+1,"m"),)/12,)*Index!CW$23</f>
        <v>0</v>
      </c>
      <c r="CY45" s="171">
        <f>$F45*(1+$H45)^ROUNDUP(IFERROR(DATEDIF($G45-1,CY$14+1,"m"),)/12,)*Index!CX$23</f>
        <v>0</v>
      </c>
      <c r="CZ45" s="171">
        <f>$F45*(1+$H45)^ROUNDUP(IFERROR(DATEDIF($G45-1,CZ$14+1,"m"),)/12,)*Index!CY$23</f>
        <v>0</v>
      </c>
      <c r="DA45" s="171">
        <f>$F45*(1+$H45)^ROUNDUP(IFERROR(DATEDIF($G45-1,DA$14+1,"m"),)/12,)*Index!CZ$23</f>
        <v>0</v>
      </c>
      <c r="DB45" s="171">
        <f>$F45*(1+$H45)^ROUNDUP(IFERROR(DATEDIF($G45-1,DB$14+1,"m"),)/12,)*Index!DA$23</f>
        <v>0</v>
      </c>
      <c r="DC45" s="171">
        <f>$F45*(1+$H45)^ROUNDUP(IFERROR(DATEDIF($G45-1,DC$14+1,"m"),)/12,)*Index!DB$23</f>
        <v>0</v>
      </c>
      <c r="DD45" s="171">
        <f>$F45*(1+$H45)^ROUNDUP(IFERROR(DATEDIF($G45-1,DD$14+1,"m"),)/12,)*Index!DC$23</f>
        <v>0</v>
      </c>
      <c r="DE45" s="171">
        <f>$F45*(1+$H45)^ROUNDUP(IFERROR(DATEDIF($G45-1,DE$14+1,"m"),)/12,)*Index!DD$23</f>
        <v>0</v>
      </c>
      <c r="DF45" s="171">
        <f>$F45*(1+$H45)^ROUNDUP(IFERROR(DATEDIF($G45-1,DF$14+1,"m"),)/12,)*Index!DE$23</f>
        <v>0</v>
      </c>
      <c r="DG45" s="171">
        <f>$F45*(1+$H45)^ROUNDUP(IFERROR(DATEDIF($G45-1,DG$14+1,"m"),)/12,)*Index!DF$23</f>
        <v>0</v>
      </c>
      <c r="DH45" s="171">
        <f>$F45*(1+$H45)^ROUNDUP(IFERROR(DATEDIF($G45-1,DH$14+1,"m"),)/12,)*Index!DG$23</f>
        <v>0</v>
      </c>
      <c r="DI45" s="171">
        <f>$F45*(1+$H45)^ROUNDUP(IFERROR(DATEDIF($G45-1,DI$14+1,"m"),)/12,)*Index!DH$23</f>
        <v>0</v>
      </c>
      <c r="DJ45" s="171">
        <f>$F45*(1+$H45)^ROUNDUP(IFERROR(DATEDIF($G45-1,DJ$14+1,"m"),)/12,)*Index!DI$23</f>
        <v>0</v>
      </c>
      <c r="DK45" s="171">
        <f>$F45*(1+$H45)^ROUNDUP(IFERROR(DATEDIF($G45-1,DK$14+1,"m"),)/12,)*Index!DJ$23</f>
        <v>0</v>
      </c>
      <c r="DL45" s="171">
        <f>$F45*(1+$H45)^ROUNDUP(IFERROR(DATEDIF($G45-1,DL$14+1,"m"),)/12,)*Index!DK$23</f>
        <v>0</v>
      </c>
      <c r="DM45" s="171">
        <f>$F45*(1+$H45)^ROUNDUP(IFERROR(DATEDIF($G45-1,DM$14+1,"m"),)/12,)*Index!DL$23</f>
        <v>0</v>
      </c>
      <c r="DN45" s="171">
        <f>$F45*(1+$H45)^ROUNDUP(IFERROR(DATEDIF($G45-1,DN$14+1,"m"),)/12,)*Index!DM$23</f>
        <v>0</v>
      </c>
      <c r="DO45" s="171">
        <f>$F45*(1+$H45)^ROUNDUP(IFERROR(DATEDIF($G45-1,DO$14+1,"m"),)/12,)*Index!DN$23</f>
        <v>0</v>
      </c>
      <c r="DP45" s="171">
        <f>$F45*(1+$H45)^ROUNDUP(IFERROR(DATEDIF($G45-1,DP$14+1,"m"),)/12,)*Index!DO$23</f>
        <v>0</v>
      </c>
      <c r="DQ45" s="171">
        <f>$F45*(1+$H45)^ROUNDUP(IFERROR(DATEDIF($G45-1,DQ$14+1,"m"),)/12,)*Index!DP$23</f>
        <v>0</v>
      </c>
      <c r="DR45" s="171">
        <f>$F45*(1+$H45)^ROUNDUP(IFERROR(DATEDIF($G45-1,DR$14+1,"m"),)/12,)*Index!DQ$23</f>
        <v>0</v>
      </c>
      <c r="DS45" s="171">
        <f>$F45*(1+$H45)^ROUNDUP(IFERROR(DATEDIF($G45-1,DS$14+1,"m"),)/12,)*Index!DR$23</f>
        <v>0</v>
      </c>
      <c r="DT45" s="171">
        <f>$F45*(1+$H45)^ROUNDUP(IFERROR(DATEDIF($G45-1,DT$14+1,"m"),)/12,)*Index!DS$23</f>
        <v>0</v>
      </c>
      <c r="DU45" s="171">
        <f>$F45*(1+$H45)^ROUNDUP(IFERROR(DATEDIF($G45-1,DU$14+1,"m"),)/12,)*Index!DT$23</f>
        <v>0</v>
      </c>
      <c r="DV45" s="171">
        <f>$F45*(1+$H45)^ROUNDUP(IFERROR(DATEDIF($G45-1,DV$14+1,"m"),)/12,)*Index!DU$23</f>
        <v>0</v>
      </c>
      <c r="DW45" s="171">
        <f>$F45*(1+$H45)^ROUNDUP(IFERROR(DATEDIF($G45-1,DW$14+1,"m"),)/12,)*Index!DV$23</f>
        <v>0</v>
      </c>
      <c r="DX45" s="171">
        <f>$F45*(1+$H45)^ROUNDUP(IFERROR(DATEDIF($G45-1,DX$14+1,"m"),)/12,)*Index!DW$23</f>
        <v>0</v>
      </c>
      <c r="DY45" s="171">
        <f>$F45*(1+$H45)^ROUNDUP(IFERROR(DATEDIF($G45-1,DY$14+1,"m"),)/12,)*Index!DX$23</f>
        <v>0</v>
      </c>
      <c r="DZ45" s="171">
        <f>$F45*(1+$H45)^ROUNDUP(IFERROR(DATEDIF($G45-1,DZ$14+1,"m"),)/12,)*Index!DY$23</f>
        <v>0</v>
      </c>
      <c r="EA45" s="171">
        <f>$F45*(1+$H45)^ROUNDUP(IFERROR(DATEDIF($G45-1,EA$14+1,"m"),)/12,)*Index!DZ$23</f>
        <v>0</v>
      </c>
      <c r="EB45" s="171">
        <f>$F45*(1+$H45)^ROUNDUP(IFERROR(DATEDIF($G45-1,EB$14+1,"m"),)/12,)*Index!EA$23</f>
        <v>0</v>
      </c>
      <c r="EC45" s="171">
        <f>$F45*(1+$H45)^ROUNDUP(IFERROR(DATEDIF($G45-1,EC$14+1,"m"),)/12,)*Index!EB$23</f>
        <v>0</v>
      </c>
      <c r="ED45" s="171">
        <f>$F45*(1+$H45)^ROUNDUP(IFERROR(DATEDIF($G45-1,ED$14+1,"m"),)/12,)*Index!EC$23</f>
        <v>64708.361893513393</v>
      </c>
      <c r="EE45" s="171">
        <f>$F45*(1+$H45)^ROUNDUP(IFERROR(DATEDIF($G45-1,EE$14+1,"m"),)/12,)*Index!ED$23</f>
        <v>64708.361893513393</v>
      </c>
      <c r="EF45" s="171">
        <f>$F45*(1+$H45)^ROUNDUP(IFERROR(DATEDIF($G45-1,EF$14+1,"m"),)/12,)*Index!EE$23</f>
        <v>64708.361893513393</v>
      </c>
      <c r="EG45" s="171">
        <f>$F45*(1+$H45)^ROUNDUP(IFERROR(DATEDIF($G45-1,EG$14+1,"m"),)/12,)*Index!EF$23</f>
        <v>64708.361893513393</v>
      </c>
      <c r="EH45" s="171">
        <f>$F45*(1+$H45)^ROUNDUP(IFERROR(DATEDIF($G45-1,EH$14+1,"m"),)/12,)*Index!EG$23</f>
        <v>64708.361893513393</v>
      </c>
      <c r="EI45" s="171">
        <f>$F45*(1+$H45)^ROUNDUP(IFERROR(DATEDIF($G45-1,EI$14+1,"m"),)/12,)*Index!EH$23</f>
        <v>64708.361893513393</v>
      </c>
      <c r="EJ45" s="171">
        <f>$F45*(1+$H45)^ROUNDUP(IFERROR(DATEDIF($G45-1,EJ$14+1,"m"),)/12,)*Index!EI$23</f>
        <v>64708.361893513393</v>
      </c>
      <c r="EK45" s="171">
        <f>$F45*(1+$H45)^ROUNDUP(IFERROR(DATEDIF($G45-1,EK$14+1,"m"),)/12,)*Index!EJ$23</f>
        <v>64708.361893513393</v>
      </c>
      <c r="EL45" s="171">
        <f>$F45*(1+$H45)^ROUNDUP(IFERROR(DATEDIF($G45-1,EL$14+1,"m"),)/12,)*Index!EK$23</f>
        <v>64708.361893513393</v>
      </c>
      <c r="EM45" s="171">
        <f>$F45*(1+$H45)^ROUNDUP(IFERROR(DATEDIF($G45-1,EM$14+1,"m"),)/12,)*Index!EL$23</f>
        <v>64708.361893513393</v>
      </c>
      <c r="EN45" s="171">
        <f>$F45*(1+$H45)^ROUNDUP(IFERROR(DATEDIF($G45-1,EN$14+1,"m"),)/12,)*Index!EM$23</f>
        <v>64708.361893513393</v>
      </c>
      <c r="EO45" s="171">
        <f>$F45*(1+$H45)^ROUNDUP(IFERROR(DATEDIF($G45-1,EO$14+1,"m"),)/12,)*Index!EN$23</f>
        <v>64708.361893513393</v>
      </c>
      <c r="EP45" s="171">
        <f>$F45*(1+$H45)^ROUNDUP(IFERROR(DATEDIF($G45-1,EP$14+1,"m"),)/12,)*Index!EO$23</f>
        <v>0</v>
      </c>
      <c r="EQ45" s="171">
        <f>$F45*(1+$H45)^ROUNDUP(IFERROR(DATEDIF($G45-1,EQ$14+1,"m"),)/12,)*Index!EP$23</f>
        <v>0</v>
      </c>
      <c r="ER45" s="171">
        <f>$F45*(1+$H45)^ROUNDUP(IFERROR(DATEDIF($G45-1,ER$14+1,"m"),)/12,)*Index!EQ$23</f>
        <v>0</v>
      </c>
    </row>
    <row r="46" spans="3:148" ht="11.25" customHeight="1">
      <c r="C46" s="163"/>
      <c r="D46" s="169" t="s">
        <v>78</v>
      </c>
      <c r="F46" s="805">
        <f t="shared" si="29"/>
        <v>2599.2957127499999</v>
      </c>
      <c r="G46" s="806">
        <f t="shared" si="29"/>
        <v>46691</v>
      </c>
      <c r="H46" s="807">
        <f t="shared" si="29"/>
        <v>0.02</v>
      </c>
      <c r="I46" s="65"/>
      <c r="J46" s="13"/>
      <c r="K46" s="171">
        <f t="shared" si="30"/>
        <v>38022.323637102549</v>
      </c>
      <c r="L46" s="98"/>
      <c r="M46" s="171">
        <f>$F46*(1+$H46)^ROUNDUP(IFERROR(DATEDIF($G46-1,M$14+1,"m"),)/12,)*Index!L$23</f>
        <v>0</v>
      </c>
      <c r="N46" s="171">
        <f>$F46*(1+$H46)^ROUNDUP(IFERROR(DATEDIF($G46-1,N$14+1,"m"),)/12,)*Index!M$23</f>
        <v>0</v>
      </c>
      <c r="O46" s="171">
        <f>$F46*(1+$H46)^ROUNDUP(IFERROR(DATEDIF($G46-1,O$14+1,"m"),)/12,)*Index!N$23</f>
        <v>0</v>
      </c>
      <c r="P46" s="171">
        <f>$F46*(1+$H46)^ROUNDUP(IFERROR(DATEDIF($G46-1,P$14+1,"m"),)/12,)*Index!O$23</f>
        <v>0</v>
      </c>
      <c r="Q46" s="171">
        <f>$F46*(1+$H46)^ROUNDUP(IFERROR(DATEDIF($G46-1,Q$14+1,"m"),)/12,)*Index!P$23</f>
        <v>0</v>
      </c>
      <c r="R46" s="171">
        <f>$F46*(1+$H46)^ROUNDUP(IFERROR(DATEDIF($G46-1,R$14+1,"m"),)/12,)*Index!Q$23</f>
        <v>0</v>
      </c>
      <c r="S46" s="171">
        <f>$F46*(1+$H46)^ROUNDUP(IFERROR(DATEDIF($G46-1,S$14+1,"m"),)/12,)*Index!R$23</f>
        <v>0</v>
      </c>
      <c r="T46" s="171">
        <f>$F46*(1+$H46)^ROUNDUP(IFERROR(DATEDIF($G46-1,T$14+1,"m"),)/12,)*Index!S$23</f>
        <v>0</v>
      </c>
      <c r="U46" s="171">
        <f>$F46*(1+$H46)^ROUNDUP(IFERROR(DATEDIF($G46-1,U$14+1,"m"),)/12,)*Index!T$23</f>
        <v>0</v>
      </c>
      <c r="V46" s="171">
        <f>$F46*(1+$H46)^ROUNDUP(IFERROR(DATEDIF($G46-1,V$14+1,"m"),)/12,)*Index!U$23</f>
        <v>0</v>
      </c>
      <c r="W46" s="171">
        <f>$F46*(1+$H46)^ROUNDUP(IFERROR(DATEDIF($G46-1,W$14+1,"m"),)/12,)*Index!V$23</f>
        <v>0</v>
      </c>
      <c r="X46" s="171">
        <f>$F46*(1+$H46)^ROUNDUP(IFERROR(DATEDIF($G46-1,X$14+1,"m"),)/12,)*Index!W$23</f>
        <v>0</v>
      </c>
      <c r="Y46" s="171">
        <f>$F46*(1+$H46)^ROUNDUP(IFERROR(DATEDIF($G46-1,Y$14+1,"m"),)/12,)*Index!X$23</f>
        <v>0</v>
      </c>
      <c r="Z46" s="171">
        <f>$F46*(1+$H46)^ROUNDUP(IFERROR(DATEDIF($G46-1,Z$14+1,"m"),)/12,)*Index!Y$23</f>
        <v>0</v>
      </c>
      <c r="AA46" s="171">
        <f>$F46*(1+$H46)^ROUNDUP(IFERROR(DATEDIF($G46-1,AA$14+1,"m"),)/12,)*Index!Z$23</f>
        <v>0</v>
      </c>
      <c r="AB46" s="171">
        <f>$F46*(1+$H46)^ROUNDUP(IFERROR(DATEDIF($G46-1,AB$14+1,"m"),)/12,)*Index!AA$23</f>
        <v>0</v>
      </c>
      <c r="AC46" s="171">
        <f>$F46*(1+$H46)^ROUNDUP(IFERROR(DATEDIF($G46-1,AC$14+1,"m"),)/12,)*Index!AB$23</f>
        <v>0</v>
      </c>
      <c r="AD46" s="171">
        <f>$F46*(1+$H46)^ROUNDUP(IFERROR(DATEDIF($G46-1,AD$14+1,"m"),)/12,)*Index!AC$23</f>
        <v>0</v>
      </c>
      <c r="AE46" s="171">
        <f>$F46*(1+$H46)^ROUNDUP(IFERROR(DATEDIF($G46-1,AE$14+1,"m"),)/12,)*Index!AD$23</f>
        <v>0</v>
      </c>
      <c r="AF46" s="171">
        <f>$F46*(1+$H46)^ROUNDUP(IFERROR(DATEDIF($G46-1,AF$14+1,"m"),)/12,)*Index!AE$23</f>
        <v>0</v>
      </c>
      <c r="AG46" s="171">
        <f>$F46*(1+$H46)^ROUNDUP(IFERROR(DATEDIF($G46-1,AG$14+1,"m"),)/12,)*Index!AF$23</f>
        <v>0</v>
      </c>
      <c r="AH46" s="171">
        <f>$F46*(1+$H46)^ROUNDUP(IFERROR(DATEDIF($G46-1,AH$14+1,"m"),)/12,)*Index!AG$23</f>
        <v>0</v>
      </c>
      <c r="AI46" s="171">
        <f>$F46*(1+$H46)^ROUNDUP(IFERROR(DATEDIF($G46-1,AI$14+1,"m"),)/12,)*Index!AH$23</f>
        <v>0</v>
      </c>
      <c r="AJ46" s="171">
        <f>$F46*(1+$H46)^ROUNDUP(IFERROR(DATEDIF($G46-1,AJ$14+1,"m"),)/12,)*Index!AI$23</f>
        <v>0</v>
      </c>
      <c r="AK46" s="171">
        <f>$F46*(1+$H46)^ROUNDUP(IFERROR(DATEDIF($G46-1,AK$14+1,"m"),)/12,)*Index!AJ$23</f>
        <v>0</v>
      </c>
      <c r="AL46" s="171">
        <f>$F46*(1+$H46)^ROUNDUP(IFERROR(DATEDIF($G46-1,AL$14+1,"m"),)/12,)*Index!AK$23</f>
        <v>0</v>
      </c>
      <c r="AM46" s="171">
        <f>$F46*(1+$H46)^ROUNDUP(IFERROR(DATEDIF($G46-1,AM$14+1,"m"),)/12,)*Index!AL$23</f>
        <v>0</v>
      </c>
      <c r="AN46" s="171">
        <f>$F46*(1+$H46)^ROUNDUP(IFERROR(DATEDIF($G46-1,AN$14+1,"m"),)/12,)*Index!AM$23</f>
        <v>0</v>
      </c>
      <c r="AO46" s="171">
        <f>$F46*(1+$H46)^ROUNDUP(IFERROR(DATEDIF($G46-1,AO$14+1,"m"),)/12,)*Index!AN$23</f>
        <v>0</v>
      </c>
      <c r="AP46" s="171">
        <f>$F46*(1+$H46)^ROUNDUP(IFERROR(DATEDIF($G46-1,AP$14+1,"m"),)/12,)*Index!AO$23</f>
        <v>0</v>
      </c>
      <c r="AQ46" s="171">
        <f>$F46*(1+$H46)^ROUNDUP(IFERROR(DATEDIF($G46-1,AQ$14+1,"m"),)/12,)*Index!AP$23</f>
        <v>0</v>
      </c>
      <c r="AR46" s="171">
        <f>$F46*(1+$H46)^ROUNDUP(IFERROR(DATEDIF($G46-1,AR$14+1,"m"),)/12,)*Index!AQ$23</f>
        <v>0</v>
      </c>
      <c r="AS46" s="171">
        <f>$F46*(1+$H46)^ROUNDUP(IFERROR(DATEDIF($G46-1,AS$14+1,"m"),)/12,)*Index!AR$23</f>
        <v>0</v>
      </c>
      <c r="AT46" s="171">
        <f>$F46*(1+$H46)^ROUNDUP(IFERROR(DATEDIF($G46-1,AT$14+1,"m"),)/12,)*Index!AS$23</f>
        <v>0</v>
      </c>
      <c r="AU46" s="171">
        <f>$F46*(1+$H46)^ROUNDUP(IFERROR(DATEDIF($G46-1,AU$14+1,"m"),)/12,)*Index!AT$23</f>
        <v>0</v>
      </c>
      <c r="AV46" s="171">
        <f>$F46*(1+$H46)^ROUNDUP(IFERROR(DATEDIF($G46-1,AV$14+1,"m"),)/12,)*Index!AU$23</f>
        <v>0</v>
      </c>
      <c r="AW46" s="171">
        <f>$F46*(1+$H46)^ROUNDUP(IFERROR(DATEDIF($G46-1,AW$14+1,"m"),)/12,)*Index!AV$23</f>
        <v>0</v>
      </c>
      <c r="AX46" s="171">
        <f>$F46*(1+$H46)^ROUNDUP(IFERROR(DATEDIF($G46-1,AX$14+1,"m"),)/12,)*Index!AW$23</f>
        <v>0</v>
      </c>
      <c r="AY46" s="171">
        <f>$F46*(1+$H46)^ROUNDUP(IFERROR(DATEDIF($G46-1,AY$14+1,"m"),)/12,)*Index!AX$23</f>
        <v>0</v>
      </c>
      <c r="AZ46" s="171">
        <f>$F46*(1+$H46)^ROUNDUP(IFERROR(DATEDIF($G46-1,AZ$14+1,"m"),)/12,)*Index!AY$23</f>
        <v>0</v>
      </c>
      <c r="BA46" s="171">
        <f>$F46*(1+$H46)^ROUNDUP(IFERROR(DATEDIF($G46-1,BA$14+1,"m"),)/12,)*Index!AZ$23</f>
        <v>0</v>
      </c>
      <c r="BB46" s="171">
        <f>$F46*(1+$H46)^ROUNDUP(IFERROR(DATEDIF($G46-1,BB$14+1,"m"),)/12,)*Index!BA$23</f>
        <v>0</v>
      </c>
      <c r="BC46" s="171">
        <f>$F46*(1+$H46)^ROUNDUP(IFERROR(DATEDIF($G46-1,BC$14+1,"m"),)/12,)*Index!BB$23</f>
        <v>0</v>
      </c>
      <c r="BD46" s="171">
        <f>$F46*(1+$H46)^ROUNDUP(IFERROR(DATEDIF($G46-1,BD$14+1,"m"),)/12,)*Index!BC$23</f>
        <v>0</v>
      </c>
      <c r="BE46" s="171">
        <f>$F46*(1+$H46)^ROUNDUP(IFERROR(DATEDIF($G46-1,BE$14+1,"m"),)/12,)*Index!BD$23</f>
        <v>0</v>
      </c>
      <c r="BF46" s="171">
        <f>$F46*(1+$H46)^ROUNDUP(IFERROR(DATEDIF($G46-1,BF$14+1,"m"),)/12,)*Index!BE$23</f>
        <v>0</v>
      </c>
      <c r="BG46" s="171">
        <f>$F46*(1+$H46)^ROUNDUP(IFERROR(DATEDIF($G46-1,BG$14+1,"m"),)/12,)*Index!BF$23</f>
        <v>0</v>
      </c>
      <c r="BH46" s="171">
        <f>$F46*(1+$H46)^ROUNDUP(IFERROR(DATEDIF($G46-1,BH$14+1,"m"),)/12,)*Index!BG$23</f>
        <v>0</v>
      </c>
      <c r="BI46" s="171">
        <f>$F46*(1+$H46)^ROUNDUP(IFERROR(DATEDIF($G46-1,BI$14+1,"m"),)/12,)*Index!BH$23</f>
        <v>0</v>
      </c>
      <c r="BJ46" s="171">
        <f>$F46*(1+$H46)^ROUNDUP(IFERROR(DATEDIF($G46-1,BJ$14+1,"m"),)/12,)*Index!BI$23</f>
        <v>0</v>
      </c>
      <c r="BK46" s="171">
        <f>$F46*(1+$H46)^ROUNDUP(IFERROR(DATEDIF($G46-1,BK$14+1,"m"),)/12,)*Index!BJ$23</f>
        <v>0</v>
      </c>
      <c r="BL46" s="171">
        <f>$F46*(1+$H46)^ROUNDUP(IFERROR(DATEDIF($G46-1,BL$14+1,"m"),)/12,)*Index!BK$23</f>
        <v>0</v>
      </c>
      <c r="BM46" s="171">
        <f>$F46*(1+$H46)^ROUNDUP(IFERROR(DATEDIF($G46-1,BM$14+1,"m"),)/12,)*Index!BL$23</f>
        <v>0</v>
      </c>
      <c r="BN46" s="171">
        <f>$F46*(1+$H46)^ROUNDUP(IFERROR(DATEDIF($G46-1,BN$14+1,"m"),)/12,)*Index!BM$23</f>
        <v>0</v>
      </c>
      <c r="BO46" s="171">
        <f>$F46*(1+$H46)^ROUNDUP(IFERROR(DATEDIF($G46-1,BO$14+1,"m"),)/12,)*Index!BN$23</f>
        <v>0</v>
      </c>
      <c r="BP46" s="171">
        <f>$F46*(1+$H46)^ROUNDUP(IFERROR(DATEDIF($G46-1,BP$14+1,"m"),)/12,)*Index!BO$23</f>
        <v>0</v>
      </c>
      <c r="BQ46" s="171">
        <f>$F46*(1+$H46)^ROUNDUP(IFERROR(DATEDIF($G46-1,BQ$14+1,"m"),)/12,)*Index!BP$23</f>
        <v>0</v>
      </c>
      <c r="BR46" s="171">
        <f>$F46*(1+$H46)^ROUNDUP(IFERROR(DATEDIF($G46-1,BR$14+1,"m"),)/12,)*Index!BQ$23</f>
        <v>0</v>
      </c>
      <c r="BS46" s="171">
        <f>$F46*(1+$H46)^ROUNDUP(IFERROR(DATEDIF($G46-1,BS$14+1,"m"),)/12,)*Index!BR$23</f>
        <v>0</v>
      </c>
      <c r="BT46" s="171">
        <f>$F46*(1+$H46)^ROUNDUP(IFERROR(DATEDIF($G46-1,BT$14+1,"m"),)/12,)*Index!BS$23</f>
        <v>0</v>
      </c>
      <c r="BU46" s="171">
        <f>$F46*(1+$H46)^ROUNDUP(IFERROR(DATEDIF($G46-1,BU$14+1,"m"),)/12,)*Index!BT$23</f>
        <v>0</v>
      </c>
      <c r="BV46" s="171">
        <f>$F46*(1+$H46)^ROUNDUP(IFERROR(DATEDIF($G46-1,BV$14+1,"m"),)/12,)*Index!BU$23</f>
        <v>0</v>
      </c>
      <c r="BW46" s="171">
        <f>$F46*(1+$H46)^ROUNDUP(IFERROR(DATEDIF($G46-1,BW$14+1,"m"),)/12,)*Index!BV$23</f>
        <v>0</v>
      </c>
      <c r="BX46" s="171">
        <f>$F46*(1+$H46)^ROUNDUP(IFERROR(DATEDIF($G46-1,BX$14+1,"m"),)/12,)*Index!BW$23</f>
        <v>0</v>
      </c>
      <c r="BY46" s="171">
        <f>$F46*(1+$H46)^ROUNDUP(IFERROR(DATEDIF($G46-1,BY$14+1,"m"),)/12,)*Index!BX$23</f>
        <v>0</v>
      </c>
      <c r="BZ46" s="171">
        <f>$F46*(1+$H46)^ROUNDUP(IFERROR(DATEDIF($G46-1,BZ$14+1,"m"),)/12,)*Index!BY$23</f>
        <v>0</v>
      </c>
      <c r="CA46" s="171">
        <f>$F46*(1+$H46)^ROUNDUP(IFERROR(DATEDIF($G46-1,CA$14+1,"m"),)/12,)*Index!BZ$23</f>
        <v>0</v>
      </c>
      <c r="CB46" s="171">
        <f>$F46*(1+$H46)^ROUNDUP(IFERROR(DATEDIF($G46-1,CB$14+1,"m"),)/12,)*Index!CA$23</f>
        <v>0</v>
      </c>
      <c r="CC46" s="171">
        <f>$F46*(1+$H46)^ROUNDUP(IFERROR(DATEDIF($G46-1,CC$14+1,"m"),)/12,)*Index!CB$23</f>
        <v>0</v>
      </c>
      <c r="CD46" s="171">
        <f>$F46*(1+$H46)^ROUNDUP(IFERROR(DATEDIF($G46-1,CD$14+1,"m"),)/12,)*Index!CC$23</f>
        <v>0</v>
      </c>
      <c r="CE46" s="171">
        <f>$F46*(1+$H46)^ROUNDUP(IFERROR(DATEDIF($G46-1,CE$14+1,"m"),)/12,)*Index!CD$23</f>
        <v>0</v>
      </c>
      <c r="CF46" s="171">
        <f>$F46*(1+$H46)^ROUNDUP(IFERROR(DATEDIF($G46-1,CF$14+1,"m"),)/12,)*Index!CE$23</f>
        <v>0</v>
      </c>
      <c r="CG46" s="171">
        <f>$F46*(1+$H46)^ROUNDUP(IFERROR(DATEDIF($G46-1,CG$14+1,"m"),)/12,)*Index!CF$23</f>
        <v>0</v>
      </c>
      <c r="CH46" s="171">
        <f>$F46*(1+$H46)^ROUNDUP(IFERROR(DATEDIF($G46-1,CH$14+1,"m"),)/12,)*Index!CG$23</f>
        <v>0</v>
      </c>
      <c r="CI46" s="171">
        <f>$F46*(1+$H46)^ROUNDUP(IFERROR(DATEDIF($G46-1,CI$14+1,"m"),)/12,)*Index!CH$23</f>
        <v>0</v>
      </c>
      <c r="CJ46" s="171">
        <f>$F46*(1+$H46)^ROUNDUP(IFERROR(DATEDIF($G46-1,CJ$14+1,"m"),)/12,)*Index!CI$23</f>
        <v>0</v>
      </c>
      <c r="CK46" s="171">
        <f>$F46*(1+$H46)^ROUNDUP(IFERROR(DATEDIF($G46-1,CK$14+1,"m"),)/12,)*Index!CJ$23</f>
        <v>0</v>
      </c>
      <c r="CL46" s="171">
        <f>$F46*(1+$H46)^ROUNDUP(IFERROR(DATEDIF($G46-1,CL$14+1,"m"),)/12,)*Index!CK$23</f>
        <v>0</v>
      </c>
      <c r="CM46" s="171">
        <f>$F46*(1+$H46)^ROUNDUP(IFERROR(DATEDIF($G46-1,CM$14+1,"m"),)/12,)*Index!CL$23</f>
        <v>0</v>
      </c>
      <c r="CN46" s="171">
        <f>$F46*(1+$H46)^ROUNDUP(IFERROR(DATEDIF($G46-1,CN$14+1,"m"),)/12,)*Index!CM$23</f>
        <v>0</v>
      </c>
      <c r="CO46" s="171">
        <f>$F46*(1+$H46)^ROUNDUP(IFERROR(DATEDIF($G46-1,CO$14+1,"m"),)/12,)*Index!CN$23</f>
        <v>0</v>
      </c>
      <c r="CP46" s="171">
        <f>$F46*(1+$H46)^ROUNDUP(IFERROR(DATEDIF($G46-1,CP$14+1,"m"),)/12,)*Index!CO$23</f>
        <v>0</v>
      </c>
      <c r="CQ46" s="171">
        <f>$F46*(1+$H46)^ROUNDUP(IFERROR(DATEDIF($G46-1,CQ$14+1,"m"),)/12,)*Index!CP$23</f>
        <v>0</v>
      </c>
      <c r="CR46" s="171">
        <f>$F46*(1+$H46)^ROUNDUP(IFERROR(DATEDIF($G46-1,CR$14+1,"m"),)/12,)*Index!CQ$23</f>
        <v>0</v>
      </c>
      <c r="CS46" s="171">
        <f>$F46*(1+$H46)^ROUNDUP(IFERROR(DATEDIF($G46-1,CS$14+1,"m"),)/12,)*Index!CR$23</f>
        <v>0</v>
      </c>
      <c r="CT46" s="171">
        <f>$F46*(1+$H46)^ROUNDUP(IFERROR(DATEDIF($G46-1,CT$14+1,"m"),)/12,)*Index!CS$23</f>
        <v>0</v>
      </c>
      <c r="CU46" s="171">
        <f>$F46*(1+$H46)^ROUNDUP(IFERROR(DATEDIF($G46-1,CU$14+1,"m"),)/12,)*Index!CT$23</f>
        <v>0</v>
      </c>
      <c r="CV46" s="171">
        <f>$F46*(1+$H46)^ROUNDUP(IFERROR(DATEDIF($G46-1,CV$14+1,"m"),)/12,)*Index!CU$23</f>
        <v>0</v>
      </c>
      <c r="CW46" s="171">
        <f>$F46*(1+$H46)^ROUNDUP(IFERROR(DATEDIF($G46-1,CW$14+1,"m"),)/12,)*Index!CV$23</f>
        <v>0</v>
      </c>
      <c r="CX46" s="171">
        <f>$F46*(1+$H46)^ROUNDUP(IFERROR(DATEDIF($G46-1,CX$14+1,"m"),)/12,)*Index!CW$23</f>
        <v>0</v>
      </c>
      <c r="CY46" s="171">
        <f>$F46*(1+$H46)^ROUNDUP(IFERROR(DATEDIF($G46-1,CY$14+1,"m"),)/12,)*Index!CX$23</f>
        <v>0</v>
      </c>
      <c r="CZ46" s="171">
        <f>$F46*(1+$H46)^ROUNDUP(IFERROR(DATEDIF($G46-1,CZ$14+1,"m"),)/12,)*Index!CY$23</f>
        <v>0</v>
      </c>
      <c r="DA46" s="171">
        <f>$F46*(1+$H46)^ROUNDUP(IFERROR(DATEDIF($G46-1,DA$14+1,"m"),)/12,)*Index!CZ$23</f>
        <v>0</v>
      </c>
      <c r="DB46" s="171">
        <f>$F46*(1+$H46)^ROUNDUP(IFERROR(DATEDIF($G46-1,DB$14+1,"m"),)/12,)*Index!DA$23</f>
        <v>0</v>
      </c>
      <c r="DC46" s="171">
        <f>$F46*(1+$H46)^ROUNDUP(IFERROR(DATEDIF($G46-1,DC$14+1,"m"),)/12,)*Index!DB$23</f>
        <v>0</v>
      </c>
      <c r="DD46" s="171">
        <f>$F46*(1+$H46)^ROUNDUP(IFERROR(DATEDIF($G46-1,DD$14+1,"m"),)/12,)*Index!DC$23</f>
        <v>0</v>
      </c>
      <c r="DE46" s="171">
        <f>$F46*(1+$H46)^ROUNDUP(IFERROR(DATEDIF($G46-1,DE$14+1,"m"),)/12,)*Index!DD$23</f>
        <v>0</v>
      </c>
      <c r="DF46" s="171">
        <f>$F46*(1+$H46)^ROUNDUP(IFERROR(DATEDIF($G46-1,DF$14+1,"m"),)/12,)*Index!DE$23</f>
        <v>0</v>
      </c>
      <c r="DG46" s="171">
        <f>$F46*(1+$H46)^ROUNDUP(IFERROR(DATEDIF($G46-1,DG$14+1,"m"),)/12,)*Index!DF$23</f>
        <v>0</v>
      </c>
      <c r="DH46" s="171">
        <f>$F46*(1+$H46)^ROUNDUP(IFERROR(DATEDIF($G46-1,DH$14+1,"m"),)/12,)*Index!DG$23</f>
        <v>0</v>
      </c>
      <c r="DI46" s="171">
        <f>$F46*(1+$H46)^ROUNDUP(IFERROR(DATEDIF($G46-1,DI$14+1,"m"),)/12,)*Index!DH$23</f>
        <v>0</v>
      </c>
      <c r="DJ46" s="171">
        <f>$F46*(1+$H46)^ROUNDUP(IFERROR(DATEDIF($G46-1,DJ$14+1,"m"),)/12,)*Index!DI$23</f>
        <v>0</v>
      </c>
      <c r="DK46" s="171">
        <f>$F46*(1+$H46)^ROUNDUP(IFERROR(DATEDIF($G46-1,DK$14+1,"m"),)/12,)*Index!DJ$23</f>
        <v>0</v>
      </c>
      <c r="DL46" s="171">
        <f>$F46*(1+$H46)^ROUNDUP(IFERROR(DATEDIF($G46-1,DL$14+1,"m"),)/12,)*Index!DK$23</f>
        <v>0</v>
      </c>
      <c r="DM46" s="171">
        <f>$F46*(1+$H46)^ROUNDUP(IFERROR(DATEDIF($G46-1,DM$14+1,"m"),)/12,)*Index!DL$23</f>
        <v>0</v>
      </c>
      <c r="DN46" s="171">
        <f>$F46*(1+$H46)^ROUNDUP(IFERROR(DATEDIF($G46-1,DN$14+1,"m"),)/12,)*Index!DM$23</f>
        <v>0</v>
      </c>
      <c r="DO46" s="171">
        <f>$F46*(1+$H46)^ROUNDUP(IFERROR(DATEDIF($G46-1,DO$14+1,"m"),)/12,)*Index!DN$23</f>
        <v>0</v>
      </c>
      <c r="DP46" s="171">
        <f>$F46*(1+$H46)^ROUNDUP(IFERROR(DATEDIF($G46-1,DP$14+1,"m"),)/12,)*Index!DO$23</f>
        <v>0</v>
      </c>
      <c r="DQ46" s="171">
        <f>$F46*(1+$H46)^ROUNDUP(IFERROR(DATEDIF($G46-1,DQ$14+1,"m"),)/12,)*Index!DP$23</f>
        <v>0</v>
      </c>
      <c r="DR46" s="171">
        <f>$F46*(1+$H46)^ROUNDUP(IFERROR(DATEDIF($G46-1,DR$14+1,"m"),)/12,)*Index!DQ$23</f>
        <v>0</v>
      </c>
      <c r="DS46" s="171">
        <f>$F46*(1+$H46)^ROUNDUP(IFERROR(DATEDIF($G46-1,DS$14+1,"m"),)/12,)*Index!DR$23</f>
        <v>0</v>
      </c>
      <c r="DT46" s="171">
        <f>$F46*(1+$H46)^ROUNDUP(IFERROR(DATEDIF($G46-1,DT$14+1,"m"),)/12,)*Index!DS$23</f>
        <v>0</v>
      </c>
      <c r="DU46" s="171">
        <f>$F46*(1+$H46)^ROUNDUP(IFERROR(DATEDIF($G46-1,DU$14+1,"m"),)/12,)*Index!DT$23</f>
        <v>0</v>
      </c>
      <c r="DV46" s="171">
        <f>$F46*(1+$H46)^ROUNDUP(IFERROR(DATEDIF($G46-1,DV$14+1,"m"),)/12,)*Index!DU$23</f>
        <v>0</v>
      </c>
      <c r="DW46" s="171">
        <f>$F46*(1+$H46)^ROUNDUP(IFERROR(DATEDIF($G46-1,DW$14+1,"m"),)/12,)*Index!DV$23</f>
        <v>0</v>
      </c>
      <c r="DX46" s="171">
        <f>$F46*(1+$H46)^ROUNDUP(IFERROR(DATEDIF($G46-1,DX$14+1,"m"),)/12,)*Index!DW$23</f>
        <v>0</v>
      </c>
      <c r="DY46" s="171">
        <f>$F46*(1+$H46)^ROUNDUP(IFERROR(DATEDIF($G46-1,DY$14+1,"m"),)/12,)*Index!DX$23</f>
        <v>0</v>
      </c>
      <c r="DZ46" s="171">
        <f>$F46*(1+$H46)^ROUNDUP(IFERROR(DATEDIF($G46-1,DZ$14+1,"m"),)/12,)*Index!DY$23</f>
        <v>0</v>
      </c>
      <c r="EA46" s="171">
        <f>$F46*(1+$H46)^ROUNDUP(IFERROR(DATEDIF($G46-1,EA$14+1,"m"),)/12,)*Index!DZ$23</f>
        <v>0</v>
      </c>
      <c r="EB46" s="171">
        <f>$F46*(1+$H46)^ROUNDUP(IFERROR(DATEDIF($G46-1,EB$14+1,"m"),)/12,)*Index!EA$23</f>
        <v>0</v>
      </c>
      <c r="EC46" s="171">
        <f>$F46*(1+$H46)^ROUNDUP(IFERROR(DATEDIF($G46-1,EC$14+1,"m"),)/12,)*Index!EB$23</f>
        <v>0</v>
      </c>
      <c r="ED46" s="171">
        <f>$F46*(1+$H46)^ROUNDUP(IFERROR(DATEDIF($G46-1,ED$14+1,"m"),)/12,)*Index!EC$23</f>
        <v>3168.526969758545</v>
      </c>
      <c r="EE46" s="171">
        <f>$F46*(1+$H46)^ROUNDUP(IFERROR(DATEDIF($G46-1,EE$14+1,"m"),)/12,)*Index!ED$23</f>
        <v>3168.526969758545</v>
      </c>
      <c r="EF46" s="171">
        <f>$F46*(1+$H46)^ROUNDUP(IFERROR(DATEDIF($G46-1,EF$14+1,"m"),)/12,)*Index!EE$23</f>
        <v>3168.526969758545</v>
      </c>
      <c r="EG46" s="171">
        <f>$F46*(1+$H46)^ROUNDUP(IFERROR(DATEDIF($G46-1,EG$14+1,"m"),)/12,)*Index!EF$23</f>
        <v>3168.526969758545</v>
      </c>
      <c r="EH46" s="171">
        <f>$F46*(1+$H46)^ROUNDUP(IFERROR(DATEDIF($G46-1,EH$14+1,"m"),)/12,)*Index!EG$23</f>
        <v>3168.526969758545</v>
      </c>
      <c r="EI46" s="171">
        <f>$F46*(1+$H46)^ROUNDUP(IFERROR(DATEDIF($G46-1,EI$14+1,"m"),)/12,)*Index!EH$23</f>
        <v>3168.526969758545</v>
      </c>
      <c r="EJ46" s="171">
        <f>$F46*(1+$H46)^ROUNDUP(IFERROR(DATEDIF($G46-1,EJ$14+1,"m"),)/12,)*Index!EI$23</f>
        <v>3168.526969758545</v>
      </c>
      <c r="EK46" s="171">
        <f>$F46*(1+$H46)^ROUNDUP(IFERROR(DATEDIF($G46-1,EK$14+1,"m"),)/12,)*Index!EJ$23</f>
        <v>3168.526969758545</v>
      </c>
      <c r="EL46" s="171">
        <f>$F46*(1+$H46)^ROUNDUP(IFERROR(DATEDIF($G46-1,EL$14+1,"m"),)/12,)*Index!EK$23</f>
        <v>3168.526969758545</v>
      </c>
      <c r="EM46" s="171">
        <f>$F46*(1+$H46)^ROUNDUP(IFERROR(DATEDIF($G46-1,EM$14+1,"m"),)/12,)*Index!EL$23</f>
        <v>3168.526969758545</v>
      </c>
      <c r="EN46" s="171">
        <f>$F46*(1+$H46)^ROUNDUP(IFERROR(DATEDIF($G46-1,EN$14+1,"m"),)/12,)*Index!EM$23</f>
        <v>3168.526969758545</v>
      </c>
      <c r="EO46" s="171">
        <f>$F46*(1+$H46)^ROUNDUP(IFERROR(DATEDIF($G46-1,EO$14+1,"m"),)/12,)*Index!EN$23</f>
        <v>3168.526969758545</v>
      </c>
      <c r="EP46" s="171">
        <f>$F46*(1+$H46)^ROUNDUP(IFERROR(DATEDIF($G46-1,EP$14+1,"m"),)/12,)*Index!EO$23</f>
        <v>0</v>
      </c>
      <c r="EQ46" s="171">
        <f>$F46*(1+$H46)^ROUNDUP(IFERROR(DATEDIF($G46-1,EQ$14+1,"m"),)/12,)*Index!EP$23</f>
        <v>0</v>
      </c>
      <c r="ER46" s="171">
        <f>$F46*(1+$H46)^ROUNDUP(IFERROR(DATEDIF($G46-1,ER$14+1,"m"),)/12,)*Index!EQ$23</f>
        <v>0</v>
      </c>
    </row>
    <row r="47" spans="3:148" ht="11.25" customHeight="1">
      <c r="C47" s="163"/>
      <c r="D47" s="169" t="s">
        <v>80</v>
      </c>
      <c r="F47" s="805">
        <f t="shared" si="29"/>
        <v>0</v>
      </c>
      <c r="G47" s="806">
        <f t="shared" si="29"/>
        <v>46691</v>
      </c>
      <c r="H47" s="807">
        <f t="shared" si="29"/>
        <v>0.02</v>
      </c>
      <c r="I47" s="146"/>
      <c r="J47" s="13"/>
      <c r="K47" s="171">
        <f t="shared" si="30"/>
        <v>0</v>
      </c>
      <c r="L47" s="98"/>
      <c r="M47" s="171">
        <f>$F47*(1+$H47)^ROUNDUP(IFERROR(DATEDIF($G47-1,M$14+1,"m"),)/12,)*Index!L$23</f>
        <v>0</v>
      </c>
      <c r="N47" s="171">
        <f>$F47*(1+$H47)^ROUNDUP(IFERROR(DATEDIF($G47-1,N$14+1,"m"),)/12,)*Index!M$23</f>
        <v>0</v>
      </c>
      <c r="O47" s="171">
        <f>$F47*(1+$H47)^ROUNDUP(IFERROR(DATEDIF($G47-1,O$14+1,"m"),)/12,)*Index!N$23</f>
        <v>0</v>
      </c>
      <c r="P47" s="171">
        <f>$F47*(1+$H47)^ROUNDUP(IFERROR(DATEDIF($G47-1,P$14+1,"m"),)/12,)*Index!O$23</f>
        <v>0</v>
      </c>
      <c r="Q47" s="171">
        <f>$F47*(1+$H47)^ROUNDUP(IFERROR(DATEDIF($G47-1,Q$14+1,"m"),)/12,)*Index!P$23</f>
        <v>0</v>
      </c>
      <c r="R47" s="171">
        <f>$F47*(1+$H47)^ROUNDUP(IFERROR(DATEDIF($G47-1,R$14+1,"m"),)/12,)*Index!Q$23</f>
        <v>0</v>
      </c>
      <c r="S47" s="171">
        <f>$F47*(1+$H47)^ROUNDUP(IFERROR(DATEDIF($G47-1,S$14+1,"m"),)/12,)*Index!R$23</f>
        <v>0</v>
      </c>
      <c r="T47" s="171">
        <f>$F47*(1+$H47)^ROUNDUP(IFERROR(DATEDIF($G47-1,T$14+1,"m"),)/12,)*Index!S$23</f>
        <v>0</v>
      </c>
      <c r="U47" s="171">
        <f>$F47*(1+$H47)^ROUNDUP(IFERROR(DATEDIF($G47-1,U$14+1,"m"),)/12,)*Index!T$23</f>
        <v>0</v>
      </c>
      <c r="V47" s="171">
        <f>$F47*(1+$H47)^ROUNDUP(IFERROR(DATEDIF($G47-1,V$14+1,"m"),)/12,)*Index!U$23</f>
        <v>0</v>
      </c>
      <c r="W47" s="171">
        <f>$F47*(1+$H47)^ROUNDUP(IFERROR(DATEDIF($G47-1,W$14+1,"m"),)/12,)*Index!V$23</f>
        <v>0</v>
      </c>
      <c r="X47" s="171">
        <f>$F47*(1+$H47)^ROUNDUP(IFERROR(DATEDIF($G47-1,X$14+1,"m"),)/12,)*Index!W$23</f>
        <v>0</v>
      </c>
      <c r="Y47" s="171">
        <f>$F47*(1+$H47)^ROUNDUP(IFERROR(DATEDIF($G47-1,Y$14+1,"m"),)/12,)*Index!X$23</f>
        <v>0</v>
      </c>
      <c r="Z47" s="171">
        <f>$F47*(1+$H47)^ROUNDUP(IFERROR(DATEDIF($G47-1,Z$14+1,"m"),)/12,)*Index!Y$23</f>
        <v>0</v>
      </c>
      <c r="AA47" s="171">
        <f>$F47*(1+$H47)^ROUNDUP(IFERROR(DATEDIF($G47-1,AA$14+1,"m"),)/12,)*Index!Z$23</f>
        <v>0</v>
      </c>
      <c r="AB47" s="171">
        <f>$F47*(1+$H47)^ROUNDUP(IFERROR(DATEDIF($G47-1,AB$14+1,"m"),)/12,)*Index!AA$23</f>
        <v>0</v>
      </c>
      <c r="AC47" s="171">
        <f>$F47*(1+$H47)^ROUNDUP(IFERROR(DATEDIF($G47-1,AC$14+1,"m"),)/12,)*Index!AB$23</f>
        <v>0</v>
      </c>
      <c r="AD47" s="171">
        <f>$F47*(1+$H47)^ROUNDUP(IFERROR(DATEDIF($G47-1,AD$14+1,"m"),)/12,)*Index!AC$23</f>
        <v>0</v>
      </c>
      <c r="AE47" s="171">
        <f>$F47*(1+$H47)^ROUNDUP(IFERROR(DATEDIF($G47-1,AE$14+1,"m"),)/12,)*Index!AD$23</f>
        <v>0</v>
      </c>
      <c r="AF47" s="171">
        <f>$F47*(1+$H47)^ROUNDUP(IFERROR(DATEDIF($G47-1,AF$14+1,"m"),)/12,)*Index!AE$23</f>
        <v>0</v>
      </c>
      <c r="AG47" s="171">
        <f>$F47*(1+$H47)^ROUNDUP(IFERROR(DATEDIF($G47-1,AG$14+1,"m"),)/12,)*Index!AF$23</f>
        <v>0</v>
      </c>
      <c r="AH47" s="171">
        <f>$F47*(1+$H47)^ROUNDUP(IFERROR(DATEDIF($G47-1,AH$14+1,"m"),)/12,)*Index!AG$23</f>
        <v>0</v>
      </c>
      <c r="AI47" s="171">
        <f>$F47*(1+$H47)^ROUNDUP(IFERROR(DATEDIF($G47-1,AI$14+1,"m"),)/12,)*Index!AH$23</f>
        <v>0</v>
      </c>
      <c r="AJ47" s="171">
        <f>$F47*(1+$H47)^ROUNDUP(IFERROR(DATEDIF($G47-1,AJ$14+1,"m"),)/12,)*Index!AI$23</f>
        <v>0</v>
      </c>
      <c r="AK47" s="171">
        <f>$F47*(1+$H47)^ROUNDUP(IFERROR(DATEDIF($G47-1,AK$14+1,"m"),)/12,)*Index!AJ$23</f>
        <v>0</v>
      </c>
      <c r="AL47" s="171">
        <f>$F47*(1+$H47)^ROUNDUP(IFERROR(DATEDIF($G47-1,AL$14+1,"m"),)/12,)*Index!AK$23</f>
        <v>0</v>
      </c>
      <c r="AM47" s="171">
        <f>$F47*(1+$H47)^ROUNDUP(IFERROR(DATEDIF($G47-1,AM$14+1,"m"),)/12,)*Index!AL$23</f>
        <v>0</v>
      </c>
      <c r="AN47" s="171">
        <f>$F47*(1+$H47)^ROUNDUP(IFERROR(DATEDIF($G47-1,AN$14+1,"m"),)/12,)*Index!AM$23</f>
        <v>0</v>
      </c>
      <c r="AO47" s="171">
        <f>$F47*(1+$H47)^ROUNDUP(IFERROR(DATEDIF($G47-1,AO$14+1,"m"),)/12,)*Index!AN$23</f>
        <v>0</v>
      </c>
      <c r="AP47" s="171">
        <f>$F47*(1+$H47)^ROUNDUP(IFERROR(DATEDIF($G47-1,AP$14+1,"m"),)/12,)*Index!AO$23</f>
        <v>0</v>
      </c>
      <c r="AQ47" s="171">
        <f>$F47*(1+$H47)^ROUNDUP(IFERROR(DATEDIF($G47-1,AQ$14+1,"m"),)/12,)*Index!AP$23</f>
        <v>0</v>
      </c>
      <c r="AR47" s="171">
        <f>$F47*(1+$H47)^ROUNDUP(IFERROR(DATEDIF($G47-1,AR$14+1,"m"),)/12,)*Index!AQ$23</f>
        <v>0</v>
      </c>
      <c r="AS47" s="171">
        <f>$F47*(1+$H47)^ROUNDUP(IFERROR(DATEDIF($G47-1,AS$14+1,"m"),)/12,)*Index!AR$23</f>
        <v>0</v>
      </c>
      <c r="AT47" s="171">
        <f>$F47*(1+$H47)^ROUNDUP(IFERROR(DATEDIF($G47-1,AT$14+1,"m"),)/12,)*Index!AS$23</f>
        <v>0</v>
      </c>
      <c r="AU47" s="171">
        <f>$F47*(1+$H47)^ROUNDUP(IFERROR(DATEDIF($G47-1,AU$14+1,"m"),)/12,)*Index!AT$23</f>
        <v>0</v>
      </c>
      <c r="AV47" s="171">
        <f>$F47*(1+$H47)^ROUNDUP(IFERROR(DATEDIF($G47-1,AV$14+1,"m"),)/12,)*Index!AU$23</f>
        <v>0</v>
      </c>
      <c r="AW47" s="171">
        <f>$F47*(1+$H47)^ROUNDUP(IFERROR(DATEDIF($G47-1,AW$14+1,"m"),)/12,)*Index!AV$23</f>
        <v>0</v>
      </c>
      <c r="AX47" s="171">
        <f>$F47*(1+$H47)^ROUNDUP(IFERROR(DATEDIF($G47-1,AX$14+1,"m"),)/12,)*Index!AW$23</f>
        <v>0</v>
      </c>
      <c r="AY47" s="171">
        <f>$F47*(1+$H47)^ROUNDUP(IFERROR(DATEDIF($G47-1,AY$14+1,"m"),)/12,)*Index!AX$23</f>
        <v>0</v>
      </c>
      <c r="AZ47" s="171">
        <f>$F47*(1+$H47)^ROUNDUP(IFERROR(DATEDIF($G47-1,AZ$14+1,"m"),)/12,)*Index!AY$23</f>
        <v>0</v>
      </c>
      <c r="BA47" s="171">
        <f>$F47*(1+$H47)^ROUNDUP(IFERROR(DATEDIF($G47-1,BA$14+1,"m"),)/12,)*Index!AZ$23</f>
        <v>0</v>
      </c>
      <c r="BB47" s="171">
        <f>$F47*(1+$H47)^ROUNDUP(IFERROR(DATEDIF($G47-1,BB$14+1,"m"),)/12,)*Index!BA$23</f>
        <v>0</v>
      </c>
      <c r="BC47" s="171">
        <f>$F47*(1+$H47)^ROUNDUP(IFERROR(DATEDIF($G47-1,BC$14+1,"m"),)/12,)*Index!BB$23</f>
        <v>0</v>
      </c>
      <c r="BD47" s="171">
        <f>$F47*(1+$H47)^ROUNDUP(IFERROR(DATEDIF($G47-1,BD$14+1,"m"),)/12,)*Index!BC$23</f>
        <v>0</v>
      </c>
      <c r="BE47" s="171">
        <f>$F47*(1+$H47)^ROUNDUP(IFERROR(DATEDIF($G47-1,BE$14+1,"m"),)/12,)*Index!BD$23</f>
        <v>0</v>
      </c>
      <c r="BF47" s="171">
        <f>$F47*(1+$H47)^ROUNDUP(IFERROR(DATEDIF($G47-1,BF$14+1,"m"),)/12,)*Index!BE$23</f>
        <v>0</v>
      </c>
      <c r="BG47" s="171">
        <f>$F47*(1+$H47)^ROUNDUP(IFERROR(DATEDIF($G47-1,BG$14+1,"m"),)/12,)*Index!BF$23</f>
        <v>0</v>
      </c>
      <c r="BH47" s="171">
        <f>$F47*(1+$H47)^ROUNDUP(IFERROR(DATEDIF($G47-1,BH$14+1,"m"),)/12,)*Index!BG$23</f>
        <v>0</v>
      </c>
      <c r="BI47" s="171">
        <f>$F47*(1+$H47)^ROUNDUP(IFERROR(DATEDIF($G47-1,BI$14+1,"m"),)/12,)*Index!BH$23</f>
        <v>0</v>
      </c>
      <c r="BJ47" s="171">
        <f>$F47*(1+$H47)^ROUNDUP(IFERROR(DATEDIF($G47-1,BJ$14+1,"m"),)/12,)*Index!BI$23</f>
        <v>0</v>
      </c>
      <c r="BK47" s="171">
        <f>$F47*(1+$H47)^ROUNDUP(IFERROR(DATEDIF($G47-1,BK$14+1,"m"),)/12,)*Index!BJ$23</f>
        <v>0</v>
      </c>
      <c r="BL47" s="171">
        <f>$F47*(1+$H47)^ROUNDUP(IFERROR(DATEDIF($G47-1,BL$14+1,"m"),)/12,)*Index!BK$23</f>
        <v>0</v>
      </c>
      <c r="BM47" s="171">
        <f>$F47*(1+$H47)^ROUNDUP(IFERROR(DATEDIF($G47-1,BM$14+1,"m"),)/12,)*Index!BL$23</f>
        <v>0</v>
      </c>
      <c r="BN47" s="171">
        <f>$F47*(1+$H47)^ROUNDUP(IFERROR(DATEDIF($G47-1,BN$14+1,"m"),)/12,)*Index!BM$23</f>
        <v>0</v>
      </c>
      <c r="BO47" s="171">
        <f>$F47*(1+$H47)^ROUNDUP(IFERROR(DATEDIF($G47-1,BO$14+1,"m"),)/12,)*Index!BN$23</f>
        <v>0</v>
      </c>
      <c r="BP47" s="171">
        <f>$F47*(1+$H47)^ROUNDUP(IFERROR(DATEDIF($G47-1,BP$14+1,"m"),)/12,)*Index!BO$23</f>
        <v>0</v>
      </c>
      <c r="BQ47" s="171">
        <f>$F47*(1+$H47)^ROUNDUP(IFERROR(DATEDIF($G47-1,BQ$14+1,"m"),)/12,)*Index!BP$23</f>
        <v>0</v>
      </c>
      <c r="BR47" s="171">
        <f>$F47*(1+$H47)^ROUNDUP(IFERROR(DATEDIF($G47-1,BR$14+1,"m"),)/12,)*Index!BQ$23</f>
        <v>0</v>
      </c>
      <c r="BS47" s="171">
        <f>$F47*(1+$H47)^ROUNDUP(IFERROR(DATEDIF($G47-1,BS$14+1,"m"),)/12,)*Index!BR$23</f>
        <v>0</v>
      </c>
      <c r="BT47" s="171">
        <f>$F47*(1+$H47)^ROUNDUP(IFERROR(DATEDIF($G47-1,BT$14+1,"m"),)/12,)*Index!BS$23</f>
        <v>0</v>
      </c>
      <c r="BU47" s="171">
        <f>$F47*(1+$H47)^ROUNDUP(IFERROR(DATEDIF($G47-1,BU$14+1,"m"),)/12,)*Index!BT$23</f>
        <v>0</v>
      </c>
      <c r="BV47" s="171">
        <f>$F47*(1+$H47)^ROUNDUP(IFERROR(DATEDIF($G47-1,BV$14+1,"m"),)/12,)*Index!BU$23</f>
        <v>0</v>
      </c>
      <c r="BW47" s="171">
        <f>$F47*(1+$H47)^ROUNDUP(IFERROR(DATEDIF($G47-1,BW$14+1,"m"),)/12,)*Index!BV$23</f>
        <v>0</v>
      </c>
      <c r="BX47" s="171">
        <f>$F47*(1+$H47)^ROUNDUP(IFERROR(DATEDIF($G47-1,BX$14+1,"m"),)/12,)*Index!BW$23</f>
        <v>0</v>
      </c>
      <c r="BY47" s="171">
        <f>$F47*(1+$H47)^ROUNDUP(IFERROR(DATEDIF($G47-1,BY$14+1,"m"),)/12,)*Index!BX$23</f>
        <v>0</v>
      </c>
      <c r="BZ47" s="171">
        <f>$F47*(1+$H47)^ROUNDUP(IFERROR(DATEDIF($G47-1,BZ$14+1,"m"),)/12,)*Index!BY$23</f>
        <v>0</v>
      </c>
      <c r="CA47" s="171">
        <f>$F47*(1+$H47)^ROUNDUP(IFERROR(DATEDIF($G47-1,CA$14+1,"m"),)/12,)*Index!BZ$23</f>
        <v>0</v>
      </c>
      <c r="CB47" s="171">
        <f>$F47*(1+$H47)^ROUNDUP(IFERROR(DATEDIF($G47-1,CB$14+1,"m"),)/12,)*Index!CA$23</f>
        <v>0</v>
      </c>
      <c r="CC47" s="171">
        <f>$F47*(1+$H47)^ROUNDUP(IFERROR(DATEDIF($G47-1,CC$14+1,"m"),)/12,)*Index!CB$23</f>
        <v>0</v>
      </c>
      <c r="CD47" s="171">
        <f>$F47*(1+$H47)^ROUNDUP(IFERROR(DATEDIF($G47-1,CD$14+1,"m"),)/12,)*Index!CC$23</f>
        <v>0</v>
      </c>
      <c r="CE47" s="171">
        <f>$F47*(1+$H47)^ROUNDUP(IFERROR(DATEDIF($G47-1,CE$14+1,"m"),)/12,)*Index!CD$23</f>
        <v>0</v>
      </c>
      <c r="CF47" s="171">
        <f>$F47*(1+$H47)^ROUNDUP(IFERROR(DATEDIF($G47-1,CF$14+1,"m"),)/12,)*Index!CE$23</f>
        <v>0</v>
      </c>
      <c r="CG47" s="171">
        <f>$F47*(1+$H47)^ROUNDUP(IFERROR(DATEDIF($G47-1,CG$14+1,"m"),)/12,)*Index!CF$23</f>
        <v>0</v>
      </c>
      <c r="CH47" s="171">
        <f>$F47*(1+$H47)^ROUNDUP(IFERROR(DATEDIF($G47-1,CH$14+1,"m"),)/12,)*Index!CG$23</f>
        <v>0</v>
      </c>
      <c r="CI47" s="171">
        <f>$F47*(1+$H47)^ROUNDUP(IFERROR(DATEDIF($G47-1,CI$14+1,"m"),)/12,)*Index!CH$23</f>
        <v>0</v>
      </c>
      <c r="CJ47" s="171">
        <f>$F47*(1+$H47)^ROUNDUP(IFERROR(DATEDIF($G47-1,CJ$14+1,"m"),)/12,)*Index!CI$23</f>
        <v>0</v>
      </c>
      <c r="CK47" s="171">
        <f>$F47*(1+$H47)^ROUNDUP(IFERROR(DATEDIF($G47-1,CK$14+1,"m"),)/12,)*Index!CJ$23</f>
        <v>0</v>
      </c>
      <c r="CL47" s="171">
        <f>$F47*(1+$H47)^ROUNDUP(IFERROR(DATEDIF($G47-1,CL$14+1,"m"),)/12,)*Index!CK$23</f>
        <v>0</v>
      </c>
      <c r="CM47" s="171">
        <f>$F47*(1+$H47)^ROUNDUP(IFERROR(DATEDIF($G47-1,CM$14+1,"m"),)/12,)*Index!CL$23</f>
        <v>0</v>
      </c>
      <c r="CN47" s="171">
        <f>$F47*(1+$H47)^ROUNDUP(IFERROR(DATEDIF($G47-1,CN$14+1,"m"),)/12,)*Index!CM$23</f>
        <v>0</v>
      </c>
      <c r="CO47" s="171">
        <f>$F47*(1+$H47)^ROUNDUP(IFERROR(DATEDIF($G47-1,CO$14+1,"m"),)/12,)*Index!CN$23</f>
        <v>0</v>
      </c>
      <c r="CP47" s="171">
        <f>$F47*(1+$H47)^ROUNDUP(IFERROR(DATEDIF($G47-1,CP$14+1,"m"),)/12,)*Index!CO$23</f>
        <v>0</v>
      </c>
      <c r="CQ47" s="171">
        <f>$F47*(1+$H47)^ROUNDUP(IFERROR(DATEDIF($G47-1,CQ$14+1,"m"),)/12,)*Index!CP$23</f>
        <v>0</v>
      </c>
      <c r="CR47" s="171">
        <f>$F47*(1+$H47)^ROUNDUP(IFERROR(DATEDIF($G47-1,CR$14+1,"m"),)/12,)*Index!CQ$23</f>
        <v>0</v>
      </c>
      <c r="CS47" s="171">
        <f>$F47*(1+$H47)^ROUNDUP(IFERROR(DATEDIF($G47-1,CS$14+1,"m"),)/12,)*Index!CR$23</f>
        <v>0</v>
      </c>
      <c r="CT47" s="171">
        <f>$F47*(1+$H47)^ROUNDUP(IFERROR(DATEDIF($G47-1,CT$14+1,"m"),)/12,)*Index!CS$23</f>
        <v>0</v>
      </c>
      <c r="CU47" s="171">
        <f>$F47*(1+$H47)^ROUNDUP(IFERROR(DATEDIF($G47-1,CU$14+1,"m"),)/12,)*Index!CT$23</f>
        <v>0</v>
      </c>
      <c r="CV47" s="171">
        <f>$F47*(1+$H47)^ROUNDUP(IFERROR(DATEDIF($G47-1,CV$14+1,"m"),)/12,)*Index!CU$23</f>
        <v>0</v>
      </c>
      <c r="CW47" s="171">
        <f>$F47*(1+$H47)^ROUNDUP(IFERROR(DATEDIF($G47-1,CW$14+1,"m"),)/12,)*Index!CV$23</f>
        <v>0</v>
      </c>
      <c r="CX47" s="171">
        <f>$F47*(1+$H47)^ROUNDUP(IFERROR(DATEDIF($G47-1,CX$14+1,"m"),)/12,)*Index!CW$23</f>
        <v>0</v>
      </c>
      <c r="CY47" s="171">
        <f>$F47*(1+$H47)^ROUNDUP(IFERROR(DATEDIF($G47-1,CY$14+1,"m"),)/12,)*Index!CX$23</f>
        <v>0</v>
      </c>
      <c r="CZ47" s="171">
        <f>$F47*(1+$H47)^ROUNDUP(IFERROR(DATEDIF($G47-1,CZ$14+1,"m"),)/12,)*Index!CY$23</f>
        <v>0</v>
      </c>
      <c r="DA47" s="171">
        <f>$F47*(1+$H47)^ROUNDUP(IFERROR(DATEDIF($G47-1,DA$14+1,"m"),)/12,)*Index!CZ$23</f>
        <v>0</v>
      </c>
      <c r="DB47" s="171">
        <f>$F47*(1+$H47)^ROUNDUP(IFERROR(DATEDIF($G47-1,DB$14+1,"m"),)/12,)*Index!DA$23</f>
        <v>0</v>
      </c>
      <c r="DC47" s="171">
        <f>$F47*(1+$H47)^ROUNDUP(IFERROR(DATEDIF($G47-1,DC$14+1,"m"),)/12,)*Index!DB$23</f>
        <v>0</v>
      </c>
      <c r="DD47" s="171">
        <f>$F47*(1+$H47)^ROUNDUP(IFERROR(DATEDIF($G47-1,DD$14+1,"m"),)/12,)*Index!DC$23</f>
        <v>0</v>
      </c>
      <c r="DE47" s="171">
        <f>$F47*(1+$H47)^ROUNDUP(IFERROR(DATEDIF($G47-1,DE$14+1,"m"),)/12,)*Index!DD$23</f>
        <v>0</v>
      </c>
      <c r="DF47" s="171">
        <f>$F47*(1+$H47)^ROUNDUP(IFERROR(DATEDIF($G47-1,DF$14+1,"m"),)/12,)*Index!DE$23</f>
        <v>0</v>
      </c>
      <c r="DG47" s="171">
        <f>$F47*(1+$H47)^ROUNDUP(IFERROR(DATEDIF($G47-1,DG$14+1,"m"),)/12,)*Index!DF$23</f>
        <v>0</v>
      </c>
      <c r="DH47" s="171">
        <f>$F47*(1+$H47)^ROUNDUP(IFERROR(DATEDIF($G47-1,DH$14+1,"m"),)/12,)*Index!DG$23</f>
        <v>0</v>
      </c>
      <c r="DI47" s="171">
        <f>$F47*(1+$H47)^ROUNDUP(IFERROR(DATEDIF($G47-1,DI$14+1,"m"),)/12,)*Index!DH$23</f>
        <v>0</v>
      </c>
      <c r="DJ47" s="171">
        <f>$F47*(1+$H47)^ROUNDUP(IFERROR(DATEDIF($G47-1,DJ$14+1,"m"),)/12,)*Index!DI$23</f>
        <v>0</v>
      </c>
      <c r="DK47" s="171">
        <f>$F47*(1+$H47)^ROUNDUP(IFERROR(DATEDIF($G47-1,DK$14+1,"m"),)/12,)*Index!DJ$23</f>
        <v>0</v>
      </c>
      <c r="DL47" s="171">
        <f>$F47*(1+$H47)^ROUNDUP(IFERROR(DATEDIF($G47-1,DL$14+1,"m"),)/12,)*Index!DK$23</f>
        <v>0</v>
      </c>
      <c r="DM47" s="171">
        <f>$F47*(1+$H47)^ROUNDUP(IFERROR(DATEDIF($G47-1,DM$14+1,"m"),)/12,)*Index!DL$23</f>
        <v>0</v>
      </c>
      <c r="DN47" s="171">
        <f>$F47*(1+$H47)^ROUNDUP(IFERROR(DATEDIF($G47-1,DN$14+1,"m"),)/12,)*Index!DM$23</f>
        <v>0</v>
      </c>
      <c r="DO47" s="171">
        <f>$F47*(1+$H47)^ROUNDUP(IFERROR(DATEDIF($G47-1,DO$14+1,"m"),)/12,)*Index!DN$23</f>
        <v>0</v>
      </c>
      <c r="DP47" s="171">
        <f>$F47*(1+$H47)^ROUNDUP(IFERROR(DATEDIF($G47-1,DP$14+1,"m"),)/12,)*Index!DO$23</f>
        <v>0</v>
      </c>
      <c r="DQ47" s="171">
        <f>$F47*(1+$H47)^ROUNDUP(IFERROR(DATEDIF($G47-1,DQ$14+1,"m"),)/12,)*Index!DP$23</f>
        <v>0</v>
      </c>
      <c r="DR47" s="171">
        <f>$F47*(1+$H47)^ROUNDUP(IFERROR(DATEDIF($G47-1,DR$14+1,"m"),)/12,)*Index!DQ$23</f>
        <v>0</v>
      </c>
      <c r="DS47" s="171">
        <f>$F47*(1+$H47)^ROUNDUP(IFERROR(DATEDIF($G47-1,DS$14+1,"m"),)/12,)*Index!DR$23</f>
        <v>0</v>
      </c>
      <c r="DT47" s="171">
        <f>$F47*(1+$H47)^ROUNDUP(IFERROR(DATEDIF($G47-1,DT$14+1,"m"),)/12,)*Index!DS$23</f>
        <v>0</v>
      </c>
      <c r="DU47" s="171">
        <f>$F47*(1+$H47)^ROUNDUP(IFERROR(DATEDIF($G47-1,DU$14+1,"m"),)/12,)*Index!DT$23</f>
        <v>0</v>
      </c>
      <c r="DV47" s="171">
        <f>$F47*(1+$H47)^ROUNDUP(IFERROR(DATEDIF($G47-1,DV$14+1,"m"),)/12,)*Index!DU$23</f>
        <v>0</v>
      </c>
      <c r="DW47" s="171">
        <f>$F47*(1+$H47)^ROUNDUP(IFERROR(DATEDIF($G47-1,DW$14+1,"m"),)/12,)*Index!DV$23</f>
        <v>0</v>
      </c>
      <c r="DX47" s="171">
        <f>$F47*(1+$H47)^ROUNDUP(IFERROR(DATEDIF($G47-1,DX$14+1,"m"),)/12,)*Index!DW$23</f>
        <v>0</v>
      </c>
      <c r="DY47" s="171">
        <f>$F47*(1+$H47)^ROUNDUP(IFERROR(DATEDIF($G47-1,DY$14+1,"m"),)/12,)*Index!DX$23</f>
        <v>0</v>
      </c>
      <c r="DZ47" s="171">
        <f>$F47*(1+$H47)^ROUNDUP(IFERROR(DATEDIF($G47-1,DZ$14+1,"m"),)/12,)*Index!DY$23</f>
        <v>0</v>
      </c>
      <c r="EA47" s="171">
        <f>$F47*(1+$H47)^ROUNDUP(IFERROR(DATEDIF($G47-1,EA$14+1,"m"),)/12,)*Index!DZ$23</f>
        <v>0</v>
      </c>
      <c r="EB47" s="171">
        <f>$F47*(1+$H47)^ROUNDUP(IFERROR(DATEDIF($G47-1,EB$14+1,"m"),)/12,)*Index!EA$23</f>
        <v>0</v>
      </c>
      <c r="EC47" s="171">
        <f>$F47*(1+$H47)^ROUNDUP(IFERROR(DATEDIF($G47-1,EC$14+1,"m"),)/12,)*Index!EB$23</f>
        <v>0</v>
      </c>
      <c r="ED47" s="171">
        <f>$F47*(1+$H47)^ROUNDUP(IFERROR(DATEDIF($G47-1,ED$14+1,"m"),)/12,)*Index!EC$23</f>
        <v>0</v>
      </c>
      <c r="EE47" s="171">
        <f>$F47*(1+$H47)^ROUNDUP(IFERROR(DATEDIF($G47-1,EE$14+1,"m"),)/12,)*Index!ED$23</f>
        <v>0</v>
      </c>
      <c r="EF47" s="171">
        <f>$F47*(1+$H47)^ROUNDUP(IFERROR(DATEDIF($G47-1,EF$14+1,"m"),)/12,)*Index!EE$23</f>
        <v>0</v>
      </c>
      <c r="EG47" s="171">
        <f>$F47*(1+$H47)^ROUNDUP(IFERROR(DATEDIF($G47-1,EG$14+1,"m"),)/12,)*Index!EF$23</f>
        <v>0</v>
      </c>
      <c r="EH47" s="171">
        <f>$F47*(1+$H47)^ROUNDUP(IFERROR(DATEDIF($G47-1,EH$14+1,"m"),)/12,)*Index!EG$23</f>
        <v>0</v>
      </c>
      <c r="EI47" s="171">
        <f>$F47*(1+$H47)^ROUNDUP(IFERROR(DATEDIF($G47-1,EI$14+1,"m"),)/12,)*Index!EH$23</f>
        <v>0</v>
      </c>
      <c r="EJ47" s="171">
        <f>$F47*(1+$H47)^ROUNDUP(IFERROR(DATEDIF($G47-1,EJ$14+1,"m"),)/12,)*Index!EI$23</f>
        <v>0</v>
      </c>
      <c r="EK47" s="171">
        <f>$F47*(1+$H47)^ROUNDUP(IFERROR(DATEDIF($G47-1,EK$14+1,"m"),)/12,)*Index!EJ$23</f>
        <v>0</v>
      </c>
      <c r="EL47" s="171">
        <f>$F47*(1+$H47)^ROUNDUP(IFERROR(DATEDIF($G47-1,EL$14+1,"m"),)/12,)*Index!EK$23</f>
        <v>0</v>
      </c>
      <c r="EM47" s="171">
        <f>$F47*(1+$H47)^ROUNDUP(IFERROR(DATEDIF($G47-1,EM$14+1,"m"),)/12,)*Index!EL$23</f>
        <v>0</v>
      </c>
      <c r="EN47" s="171">
        <f>$F47*(1+$H47)^ROUNDUP(IFERROR(DATEDIF($G47-1,EN$14+1,"m"),)/12,)*Index!EM$23</f>
        <v>0</v>
      </c>
      <c r="EO47" s="171">
        <f>$F47*(1+$H47)^ROUNDUP(IFERROR(DATEDIF($G47-1,EO$14+1,"m"),)/12,)*Index!EN$23</f>
        <v>0</v>
      </c>
      <c r="EP47" s="171">
        <f>$F47*(1+$H47)^ROUNDUP(IFERROR(DATEDIF($G47-1,EP$14+1,"m"),)/12,)*Index!EO$23</f>
        <v>0</v>
      </c>
      <c r="EQ47" s="171">
        <f>$F47*(1+$H47)^ROUNDUP(IFERROR(DATEDIF($G47-1,EQ$14+1,"m"),)/12,)*Index!EP$23</f>
        <v>0</v>
      </c>
      <c r="ER47" s="171">
        <f>$F47*(1+$H47)^ROUNDUP(IFERROR(DATEDIF($G47-1,ER$14+1,"m"),)/12,)*Index!EQ$23</f>
        <v>0</v>
      </c>
    </row>
    <row r="48" spans="3:148" ht="11.25" customHeight="1">
      <c r="C48" s="163"/>
      <c r="D48" s="169" t="s">
        <v>83</v>
      </c>
      <c r="E48" s="90"/>
      <c r="F48" s="805">
        <f t="shared" si="29"/>
        <v>61857.058333333342</v>
      </c>
      <c r="G48" s="806">
        <f t="shared" si="29"/>
        <v>46691</v>
      </c>
      <c r="H48" s="807">
        <f t="shared" si="29"/>
        <v>-0.02</v>
      </c>
      <c r="I48" s="65"/>
      <c r="J48" s="90"/>
      <c r="K48" s="171">
        <f t="shared" si="30"/>
        <v>606500.64333868062</v>
      </c>
      <c r="L48" s="98"/>
      <c r="M48" s="171">
        <f>$F48*(1+$H48)^ROUNDUP(IFERROR(DATEDIF($G48-1,M$14+1,"m"),)/12,)*Index!L$23</f>
        <v>0</v>
      </c>
      <c r="N48" s="171">
        <f>$F48*(1+$H48)^ROUNDUP(IFERROR(DATEDIF($G48-1,N$14+1,"m"),)/12,)*Index!M$23</f>
        <v>0</v>
      </c>
      <c r="O48" s="171">
        <f>$F48*(1+$H48)^ROUNDUP(IFERROR(DATEDIF($G48-1,O$14+1,"m"),)/12,)*Index!N$23</f>
        <v>0</v>
      </c>
      <c r="P48" s="171">
        <f>$F48*(1+$H48)^ROUNDUP(IFERROR(DATEDIF($G48-1,P$14+1,"m"),)/12,)*Index!O$23</f>
        <v>0</v>
      </c>
      <c r="Q48" s="171">
        <f>$F48*(1+$H48)^ROUNDUP(IFERROR(DATEDIF($G48-1,Q$14+1,"m"),)/12,)*Index!P$23</f>
        <v>0</v>
      </c>
      <c r="R48" s="171">
        <f>$F48*(1+$H48)^ROUNDUP(IFERROR(DATEDIF($G48-1,R$14+1,"m"),)/12,)*Index!Q$23</f>
        <v>0</v>
      </c>
      <c r="S48" s="171">
        <f>$F48*(1+$H48)^ROUNDUP(IFERROR(DATEDIF($G48-1,S$14+1,"m"),)/12,)*Index!R$23</f>
        <v>0</v>
      </c>
      <c r="T48" s="171">
        <f>$F48*(1+$H48)^ROUNDUP(IFERROR(DATEDIF($G48-1,T$14+1,"m"),)/12,)*Index!S$23</f>
        <v>0</v>
      </c>
      <c r="U48" s="171">
        <f>$F48*(1+$H48)^ROUNDUP(IFERROR(DATEDIF($G48-1,U$14+1,"m"),)/12,)*Index!T$23</f>
        <v>0</v>
      </c>
      <c r="V48" s="171">
        <f>$F48*(1+$H48)^ROUNDUP(IFERROR(DATEDIF($G48-1,V$14+1,"m"),)/12,)*Index!U$23</f>
        <v>0</v>
      </c>
      <c r="W48" s="171">
        <f>$F48*(1+$H48)^ROUNDUP(IFERROR(DATEDIF($G48-1,W$14+1,"m"),)/12,)*Index!V$23</f>
        <v>0</v>
      </c>
      <c r="X48" s="171">
        <f>$F48*(1+$H48)^ROUNDUP(IFERROR(DATEDIF($G48-1,X$14+1,"m"),)/12,)*Index!W$23</f>
        <v>0</v>
      </c>
      <c r="Y48" s="171">
        <f>$F48*(1+$H48)^ROUNDUP(IFERROR(DATEDIF($G48-1,Y$14+1,"m"),)/12,)*Index!X$23</f>
        <v>0</v>
      </c>
      <c r="Z48" s="171">
        <f>$F48*(1+$H48)^ROUNDUP(IFERROR(DATEDIF($G48-1,Z$14+1,"m"),)/12,)*Index!Y$23</f>
        <v>0</v>
      </c>
      <c r="AA48" s="171">
        <f>$F48*(1+$H48)^ROUNDUP(IFERROR(DATEDIF($G48-1,AA$14+1,"m"),)/12,)*Index!Z$23</f>
        <v>0</v>
      </c>
      <c r="AB48" s="171">
        <f>$F48*(1+$H48)^ROUNDUP(IFERROR(DATEDIF($G48-1,AB$14+1,"m"),)/12,)*Index!AA$23</f>
        <v>0</v>
      </c>
      <c r="AC48" s="171">
        <f>$F48*(1+$H48)^ROUNDUP(IFERROR(DATEDIF($G48-1,AC$14+1,"m"),)/12,)*Index!AB$23</f>
        <v>0</v>
      </c>
      <c r="AD48" s="171">
        <f>$F48*(1+$H48)^ROUNDUP(IFERROR(DATEDIF($G48-1,AD$14+1,"m"),)/12,)*Index!AC$23</f>
        <v>0</v>
      </c>
      <c r="AE48" s="171">
        <f>$F48*(1+$H48)^ROUNDUP(IFERROR(DATEDIF($G48-1,AE$14+1,"m"),)/12,)*Index!AD$23</f>
        <v>0</v>
      </c>
      <c r="AF48" s="171">
        <f>$F48*(1+$H48)^ROUNDUP(IFERROR(DATEDIF($G48-1,AF$14+1,"m"),)/12,)*Index!AE$23</f>
        <v>0</v>
      </c>
      <c r="AG48" s="171">
        <f>$F48*(1+$H48)^ROUNDUP(IFERROR(DATEDIF($G48-1,AG$14+1,"m"),)/12,)*Index!AF$23</f>
        <v>0</v>
      </c>
      <c r="AH48" s="171">
        <f>$F48*(1+$H48)^ROUNDUP(IFERROR(DATEDIF($G48-1,AH$14+1,"m"),)/12,)*Index!AG$23</f>
        <v>0</v>
      </c>
      <c r="AI48" s="171">
        <f>$F48*(1+$H48)^ROUNDUP(IFERROR(DATEDIF($G48-1,AI$14+1,"m"),)/12,)*Index!AH$23</f>
        <v>0</v>
      </c>
      <c r="AJ48" s="171">
        <f>$F48*(1+$H48)^ROUNDUP(IFERROR(DATEDIF($G48-1,AJ$14+1,"m"),)/12,)*Index!AI$23</f>
        <v>0</v>
      </c>
      <c r="AK48" s="171">
        <f>$F48*(1+$H48)^ROUNDUP(IFERROR(DATEDIF($G48-1,AK$14+1,"m"),)/12,)*Index!AJ$23</f>
        <v>0</v>
      </c>
      <c r="AL48" s="171">
        <f>$F48*(1+$H48)^ROUNDUP(IFERROR(DATEDIF($G48-1,AL$14+1,"m"),)/12,)*Index!AK$23</f>
        <v>0</v>
      </c>
      <c r="AM48" s="171">
        <f>$F48*(1+$H48)^ROUNDUP(IFERROR(DATEDIF($G48-1,AM$14+1,"m"),)/12,)*Index!AL$23</f>
        <v>0</v>
      </c>
      <c r="AN48" s="171">
        <f>$F48*(1+$H48)^ROUNDUP(IFERROR(DATEDIF($G48-1,AN$14+1,"m"),)/12,)*Index!AM$23</f>
        <v>0</v>
      </c>
      <c r="AO48" s="171">
        <f>$F48*(1+$H48)^ROUNDUP(IFERROR(DATEDIF($G48-1,AO$14+1,"m"),)/12,)*Index!AN$23</f>
        <v>0</v>
      </c>
      <c r="AP48" s="171">
        <f>$F48*(1+$H48)^ROUNDUP(IFERROR(DATEDIF($G48-1,AP$14+1,"m"),)/12,)*Index!AO$23</f>
        <v>0</v>
      </c>
      <c r="AQ48" s="171">
        <f>$F48*(1+$H48)^ROUNDUP(IFERROR(DATEDIF($G48-1,AQ$14+1,"m"),)/12,)*Index!AP$23</f>
        <v>0</v>
      </c>
      <c r="AR48" s="171">
        <f>$F48*(1+$H48)^ROUNDUP(IFERROR(DATEDIF($G48-1,AR$14+1,"m"),)/12,)*Index!AQ$23</f>
        <v>0</v>
      </c>
      <c r="AS48" s="171">
        <f>$F48*(1+$H48)^ROUNDUP(IFERROR(DATEDIF($G48-1,AS$14+1,"m"),)/12,)*Index!AR$23</f>
        <v>0</v>
      </c>
      <c r="AT48" s="171">
        <f>$F48*(1+$H48)^ROUNDUP(IFERROR(DATEDIF($G48-1,AT$14+1,"m"),)/12,)*Index!AS$23</f>
        <v>0</v>
      </c>
      <c r="AU48" s="171">
        <f>$F48*(1+$H48)^ROUNDUP(IFERROR(DATEDIF($G48-1,AU$14+1,"m"),)/12,)*Index!AT$23</f>
        <v>0</v>
      </c>
      <c r="AV48" s="171">
        <f>$F48*(1+$H48)^ROUNDUP(IFERROR(DATEDIF($G48-1,AV$14+1,"m"),)/12,)*Index!AU$23</f>
        <v>0</v>
      </c>
      <c r="AW48" s="171">
        <f>$F48*(1+$H48)^ROUNDUP(IFERROR(DATEDIF($G48-1,AW$14+1,"m"),)/12,)*Index!AV$23</f>
        <v>0</v>
      </c>
      <c r="AX48" s="171">
        <f>$F48*(1+$H48)^ROUNDUP(IFERROR(DATEDIF($G48-1,AX$14+1,"m"),)/12,)*Index!AW$23</f>
        <v>0</v>
      </c>
      <c r="AY48" s="171">
        <f>$F48*(1+$H48)^ROUNDUP(IFERROR(DATEDIF($G48-1,AY$14+1,"m"),)/12,)*Index!AX$23</f>
        <v>0</v>
      </c>
      <c r="AZ48" s="171">
        <f>$F48*(1+$H48)^ROUNDUP(IFERROR(DATEDIF($G48-1,AZ$14+1,"m"),)/12,)*Index!AY$23</f>
        <v>0</v>
      </c>
      <c r="BA48" s="171">
        <f>$F48*(1+$H48)^ROUNDUP(IFERROR(DATEDIF($G48-1,BA$14+1,"m"),)/12,)*Index!AZ$23</f>
        <v>0</v>
      </c>
      <c r="BB48" s="171">
        <f>$F48*(1+$H48)^ROUNDUP(IFERROR(DATEDIF($G48-1,BB$14+1,"m"),)/12,)*Index!BA$23</f>
        <v>0</v>
      </c>
      <c r="BC48" s="171">
        <f>$F48*(1+$H48)^ROUNDUP(IFERROR(DATEDIF($G48-1,BC$14+1,"m"),)/12,)*Index!BB$23</f>
        <v>0</v>
      </c>
      <c r="BD48" s="171">
        <f>$F48*(1+$H48)^ROUNDUP(IFERROR(DATEDIF($G48-1,BD$14+1,"m"),)/12,)*Index!BC$23</f>
        <v>0</v>
      </c>
      <c r="BE48" s="171">
        <f>$F48*(1+$H48)^ROUNDUP(IFERROR(DATEDIF($G48-1,BE$14+1,"m"),)/12,)*Index!BD$23</f>
        <v>0</v>
      </c>
      <c r="BF48" s="171">
        <f>$F48*(1+$H48)^ROUNDUP(IFERROR(DATEDIF($G48-1,BF$14+1,"m"),)/12,)*Index!BE$23</f>
        <v>0</v>
      </c>
      <c r="BG48" s="171">
        <f>$F48*(1+$H48)^ROUNDUP(IFERROR(DATEDIF($G48-1,BG$14+1,"m"),)/12,)*Index!BF$23</f>
        <v>0</v>
      </c>
      <c r="BH48" s="171">
        <f>$F48*(1+$H48)^ROUNDUP(IFERROR(DATEDIF($G48-1,BH$14+1,"m"),)/12,)*Index!BG$23</f>
        <v>0</v>
      </c>
      <c r="BI48" s="171">
        <f>$F48*(1+$H48)^ROUNDUP(IFERROR(DATEDIF($G48-1,BI$14+1,"m"),)/12,)*Index!BH$23</f>
        <v>0</v>
      </c>
      <c r="BJ48" s="171">
        <f>$F48*(1+$H48)^ROUNDUP(IFERROR(DATEDIF($G48-1,BJ$14+1,"m"),)/12,)*Index!BI$23</f>
        <v>0</v>
      </c>
      <c r="BK48" s="171">
        <f>$F48*(1+$H48)^ROUNDUP(IFERROR(DATEDIF($G48-1,BK$14+1,"m"),)/12,)*Index!BJ$23</f>
        <v>0</v>
      </c>
      <c r="BL48" s="171">
        <f>$F48*(1+$H48)^ROUNDUP(IFERROR(DATEDIF($G48-1,BL$14+1,"m"),)/12,)*Index!BK$23</f>
        <v>0</v>
      </c>
      <c r="BM48" s="171">
        <f>$F48*(1+$H48)^ROUNDUP(IFERROR(DATEDIF($G48-1,BM$14+1,"m"),)/12,)*Index!BL$23</f>
        <v>0</v>
      </c>
      <c r="BN48" s="171">
        <f>$F48*(1+$H48)^ROUNDUP(IFERROR(DATEDIF($G48-1,BN$14+1,"m"),)/12,)*Index!BM$23</f>
        <v>0</v>
      </c>
      <c r="BO48" s="171">
        <f>$F48*(1+$H48)^ROUNDUP(IFERROR(DATEDIF($G48-1,BO$14+1,"m"),)/12,)*Index!BN$23</f>
        <v>0</v>
      </c>
      <c r="BP48" s="171">
        <f>$F48*(1+$H48)^ROUNDUP(IFERROR(DATEDIF($G48-1,BP$14+1,"m"),)/12,)*Index!BO$23</f>
        <v>0</v>
      </c>
      <c r="BQ48" s="171">
        <f>$F48*(1+$H48)^ROUNDUP(IFERROR(DATEDIF($G48-1,BQ$14+1,"m"),)/12,)*Index!BP$23</f>
        <v>0</v>
      </c>
      <c r="BR48" s="171">
        <f>$F48*(1+$H48)^ROUNDUP(IFERROR(DATEDIF($G48-1,BR$14+1,"m"),)/12,)*Index!BQ$23</f>
        <v>0</v>
      </c>
      <c r="BS48" s="171">
        <f>$F48*(1+$H48)^ROUNDUP(IFERROR(DATEDIF($G48-1,BS$14+1,"m"),)/12,)*Index!BR$23</f>
        <v>0</v>
      </c>
      <c r="BT48" s="171">
        <f>$F48*(1+$H48)^ROUNDUP(IFERROR(DATEDIF($G48-1,BT$14+1,"m"),)/12,)*Index!BS$23</f>
        <v>0</v>
      </c>
      <c r="BU48" s="171">
        <f>$F48*(1+$H48)^ROUNDUP(IFERROR(DATEDIF($G48-1,BU$14+1,"m"),)/12,)*Index!BT$23</f>
        <v>0</v>
      </c>
      <c r="BV48" s="171">
        <f>$F48*(1+$H48)^ROUNDUP(IFERROR(DATEDIF($G48-1,BV$14+1,"m"),)/12,)*Index!BU$23</f>
        <v>0</v>
      </c>
      <c r="BW48" s="171">
        <f>$F48*(1+$H48)^ROUNDUP(IFERROR(DATEDIF($G48-1,BW$14+1,"m"),)/12,)*Index!BV$23</f>
        <v>0</v>
      </c>
      <c r="BX48" s="171">
        <f>$F48*(1+$H48)^ROUNDUP(IFERROR(DATEDIF($G48-1,BX$14+1,"m"),)/12,)*Index!BW$23</f>
        <v>0</v>
      </c>
      <c r="BY48" s="171">
        <f>$F48*(1+$H48)^ROUNDUP(IFERROR(DATEDIF($G48-1,BY$14+1,"m"),)/12,)*Index!BX$23</f>
        <v>0</v>
      </c>
      <c r="BZ48" s="171">
        <f>$F48*(1+$H48)^ROUNDUP(IFERROR(DATEDIF($G48-1,BZ$14+1,"m"),)/12,)*Index!BY$23</f>
        <v>0</v>
      </c>
      <c r="CA48" s="171">
        <f>$F48*(1+$H48)^ROUNDUP(IFERROR(DATEDIF($G48-1,CA$14+1,"m"),)/12,)*Index!BZ$23</f>
        <v>0</v>
      </c>
      <c r="CB48" s="171">
        <f>$F48*(1+$H48)^ROUNDUP(IFERROR(DATEDIF($G48-1,CB$14+1,"m"),)/12,)*Index!CA$23</f>
        <v>0</v>
      </c>
      <c r="CC48" s="171">
        <f>$F48*(1+$H48)^ROUNDUP(IFERROR(DATEDIF($G48-1,CC$14+1,"m"),)/12,)*Index!CB$23</f>
        <v>0</v>
      </c>
      <c r="CD48" s="171">
        <f>$F48*(1+$H48)^ROUNDUP(IFERROR(DATEDIF($G48-1,CD$14+1,"m"),)/12,)*Index!CC$23</f>
        <v>0</v>
      </c>
      <c r="CE48" s="171">
        <f>$F48*(1+$H48)^ROUNDUP(IFERROR(DATEDIF($G48-1,CE$14+1,"m"),)/12,)*Index!CD$23</f>
        <v>0</v>
      </c>
      <c r="CF48" s="171">
        <f>$F48*(1+$H48)^ROUNDUP(IFERROR(DATEDIF($G48-1,CF$14+1,"m"),)/12,)*Index!CE$23</f>
        <v>0</v>
      </c>
      <c r="CG48" s="171">
        <f>$F48*(1+$H48)^ROUNDUP(IFERROR(DATEDIF($G48-1,CG$14+1,"m"),)/12,)*Index!CF$23</f>
        <v>0</v>
      </c>
      <c r="CH48" s="171">
        <f>$F48*(1+$H48)^ROUNDUP(IFERROR(DATEDIF($G48-1,CH$14+1,"m"),)/12,)*Index!CG$23</f>
        <v>0</v>
      </c>
      <c r="CI48" s="171">
        <f>$F48*(1+$H48)^ROUNDUP(IFERROR(DATEDIF($G48-1,CI$14+1,"m"),)/12,)*Index!CH$23</f>
        <v>0</v>
      </c>
      <c r="CJ48" s="171">
        <f>$F48*(1+$H48)^ROUNDUP(IFERROR(DATEDIF($G48-1,CJ$14+1,"m"),)/12,)*Index!CI$23</f>
        <v>0</v>
      </c>
      <c r="CK48" s="171">
        <f>$F48*(1+$H48)^ROUNDUP(IFERROR(DATEDIF($G48-1,CK$14+1,"m"),)/12,)*Index!CJ$23</f>
        <v>0</v>
      </c>
      <c r="CL48" s="171">
        <f>$F48*(1+$H48)^ROUNDUP(IFERROR(DATEDIF($G48-1,CL$14+1,"m"),)/12,)*Index!CK$23</f>
        <v>0</v>
      </c>
      <c r="CM48" s="171">
        <f>$F48*(1+$H48)^ROUNDUP(IFERROR(DATEDIF($G48-1,CM$14+1,"m"),)/12,)*Index!CL$23</f>
        <v>0</v>
      </c>
      <c r="CN48" s="171">
        <f>$F48*(1+$H48)^ROUNDUP(IFERROR(DATEDIF($G48-1,CN$14+1,"m"),)/12,)*Index!CM$23</f>
        <v>0</v>
      </c>
      <c r="CO48" s="171">
        <f>$F48*(1+$H48)^ROUNDUP(IFERROR(DATEDIF($G48-1,CO$14+1,"m"),)/12,)*Index!CN$23</f>
        <v>0</v>
      </c>
      <c r="CP48" s="171">
        <f>$F48*(1+$H48)^ROUNDUP(IFERROR(DATEDIF($G48-1,CP$14+1,"m"),)/12,)*Index!CO$23</f>
        <v>0</v>
      </c>
      <c r="CQ48" s="171">
        <f>$F48*(1+$H48)^ROUNDUP(IFERROR(DATEDIF($G48-1,CQ$14+1,"m"),)/12,)*Index!CP$23</f>
        <v>0</v>
      </c>
      <c r="CR48" s="171">
        <f>$F48*(1+$H48)^ROUNDUP(IFERROR(DATEDIF($G48-1,CR$14+1,"m"),)/12,)*Index!CQ$23</f>
        <v>0</v>
      </c>
      <c r="CS48" s="171">
        <f>$F48*(1+$H48)^ROUNDUP(IFERROR(DATEDIF($G48-1,CS$14+1,"m"),)/12,)*Index!CR$23</f>
        <v>0</v>
      </c>
      <c r="CT48" s="171">
        <f>$F48*(1+$H48)^ROUNDUP(IFERROR(DATEDIF($G48-1,CT$14+1,"m"),)/12,)*Index!CS$23</f>
        <v>0</v>
      </c>
      <c r="CU48" s="171">
        <f>$F48*(1+$H48)^ROUNDUP(IFERROR(DATEDIF($G48-1,CU$14+1,"m"),)/12,)*Index!CT$23</f>
        <v>0</v>
      </c>
      <c r="CV48" s="171">
        <f>$F48*(1+$H48)^ROUNDUP(IFERROR(DATEDIF($G48-1,CV$14+1,"m"),)/12,)*Index!CU$23</f>
        <v>0</v>
      </c>
      <c r="CW48" s="171">
        <f>$F48*(1+$H48)^ROUNDUP(IFERROR(DATEDIF($G48-1,CW$14+1,"m"),)/12,)*Index!CV$23</f>
        <v>0</v>
      </c>
      <c r="CX48" s="171">
        <f>$F48*(1+$H48)^ROUNDUP(IFERROR(DATEDIF($G48-1,CX$14+1,"m"),)/12,)*Index!CW$23</f>
        <v>0</v>
      </c>
      <c r="CY48" s="171">
        <f>$F48*(1+$H48)^ROUNDUP(IFERROR(DATEDIF($G48-1,CY$14+1,"m"),)/12,)*Index!CX$23</f>
        <v>0</v>
      </c>
      <c r="CZ48" s="171">
        <f>$F48*(1+$H48)^ROUNDUP(IFERROR(DATEDIF($G48-1,CZ$14+1,"m"),)/12,)*Index!CY$23</f>
        <v>0</v>
      </c>
      <c r="DA48" s="171">
        <f>$F48*(1+$H48)^ROUNDUP(IFERROR(DATEDIF($G48-1,DA$14+1,"m"),)/12,)*Index!CZ$23</f>
        <v>0</v>
      </c>
      <c r="DB48" s="171">
        <f>$F48*(1+$H48)^ROUNDUP(IFERROR(DATEDIF($G48-1,DB$14+1,"m"),)/12,)*Index!DA$23</f>
        <v>0</v>
      </c>
      <c r="DC48" s="171">
        <f>$F48*(1+$H48)^ROUNDUP(IFERROR(DATEDIF($G48-1,DC$14+1,"m"),)/12,)*Index!DB$23</f>
        <v>0</v>
      </c>
      <c r="DD48" s="171">
        <f>$F48*(1+$H48)^ROUNDUP(IFERROR(DATEDIF($G48-1,DD$14+1,"m"),)/12,)*Index!DC$23</f>
        <v>0</v>
      </c>
      <c r="DE48" s="171">
        <f>$F48*(1+$H48)^ROUNDUP(IFERROR(DATEDIF($G48-1,DE$14+1,"m"),)/12,)*Index!DD$23</f>
        <v>0</v>
      </c>
      <c r="DF48" s="171">
        <f>$F48*(1+$H48)^ROUNDUP(IFERROR(DATEDIF($G48-1,DF$14+1,"m"),)/12,)*Index!DE$23</f>
        <v>0</v>
      </c>
      <c r="DG48" s="171">
        <f>$F48*(1+$H48)^ROUNDUP(IFERROR(DATEDIF($G48-1,DG$14+1,"m"),)/12,)*Index!DF$23</f>
        <v>0</v>
      </c>
      <c r="DH48" s="171">
        <f>$F48*(1+$H48)^ROUNDUP(IFERROR(DATEDIF($G48-1,DH$14+1,"m"),)/12,)*Index!DG$23</f>
        <v>0</v>
      </c>
      <c r="DI48" s="171">
        <f>$F48*(1+$H48)^ROUNDUP(IFERROR(DATEDIF($G48-1,DI$14+1,"m"),)/12,)*Index!DH$23</f>
        <v>0</v>
      </c>
      <c r="DJ48" s="171">
        <f>$F48*(1+$H48)^ROUNDUP(IFERROR(DATEDIF($G48-1,DJ$14+1,"m"),)/12,)*Index!DI$23</f>
        <v>0</v>
      </c>
      <c r="DK48" s="171">
        <f>$F48*(1+$H48)^ROUNDUP(IFERROR(DATEDIF($G48-1,DK$14+1,"m"),)/12,)*Index!DJ$23</f>
        <v>0</v>
      </c>
      <c r="DL48" s="171">
        <f>$F48*(1+$H48)^ROUNDUP(IFERROR(DATEDIF($G48-1,DL$14+1,"m"),)/12,)*Index!DK$23</f>
        <v>0</v>
      </c>
      <c r="DM48" s="171">
        <f>$F48*(1+$H48)^ROUNDUP(IFERROR(DATEDIF($G48-1,DM$14+1,"m"),)/12,)*Index!DL$23</f>
        <v>0</v>
      </c>
      <c r="DN48" s="171">
        <f>$F48*(1+$H48)^ROUNDUP(IFERROR(DATEDIF($G48-1,DN$14+1,"m"),)/12,)*Index!DM$23</f>
        <v>0</v>
      </c>
      <c r="DO48" s="171">
        <f>$F48*(1+$H48)^ROUNDUP(IFERROR(DATEDIF($G48-1,DO$14+1,"m"),)/12,)*Index!DN$23</f>
        <v>0</v>
      </c>
      <c r="DP48" s="171">
        <f>$F48*(1+$H48)^ROUNDUP(IFERROR(DATEDIF($G48-1,DP$14+1,"m"),)/12,)*Index!DO$23</f>
        <v>0</v>
      </c>
      <c r="DQ48" s="171">
        <f>$F48*(1+$H48)^ROUNDUP(IFERROR(DATEDIF($G48-1,DQ$14+1,"m"),)/12,)*Index!DP$23</f>
        <v>0</v>
      </c>
      <c r="DR48" s="171">
        <f>$F48*(1+$H48)^ROUNDUP(IFERROR(DATEDIF($G48-1,DR$14+1,"m"),)/12,)*Index!DQ$23</f>
        <v>0</v>
      </c>
      <c r="DS48" s="171">
        <f>$F48*(1+$H48)^ROUNDUP(IFERROR(DATEDIF($G48-1,DS$14+1,"m"),)/12,)*Index!DR$23</f>
        <v>0</v>
      </c>
      <c r="DT48" s="171">
        <f>$F48*(1+$H48)^ROUNDUP(IFERROR(DATEDIF($G48-1,DT$14+1,"m"),)/12,)*Index!DS$23</f>
        <v>0</v>
      </c>
      <c r="DU48" s="171">
        <f>$F48*(1+$H48)^ROUNDUP(IFERROR(DATEDIF($G48-1,DU$14+1,"m"),)/12,)*Index!DT$23</f>
        <v>0</v>
      </c>
      <c r="DV48" s="171">
        <f>$F48*(1+$H48)^ROUNDUP(IFERROR(DATEDIF($G48-1,DV$14+1,"m"),)/12,)*Index!DU$23</f>
        <v>0</v>
      </c>
      <c r="DW48" s="171">
        <f>$F48*(1+$H48)^ROUNDUP(IFERROR(DATEDIF($G48-1,DW$14+1,"m"),)/12,)*Index!DV$23</f>
        <v>0</v>
      </c>
      <c r="DX48" s="171">
        <f>$F48*(1+$H48)^ROUNDUP(IFERROR(DATEDIF($G48-1,DX$14+1,"m"),)/12,)*Index!DW$23</f>
        <v>0</v>
      </c>
      <c r="DY48" s="171">
        <f>$F48*(1+$H48)^ROUNDUP(IFERROR(DATEDIF($G48-1,DY$14+1,"m"),)/12,)*Index!DX$23</f>
        <v>0</v>
      </c>
      <c r="DZ48" s="171">
        <f>$F48*(1+$H48)^ROUNDUP(IFERROR(DATEDIF($G48-1,DZ$14+1,"m"),)/12,)*Index!DY$23</f>
        <v>0</v>
      </c>
      <c r="EA48" s="171">
        <f>$F48*(1+$H48)^ROUNDUP(IFERROR(DATEDIF($G48-1,EA$14+1,"m"),)/12,)*Index!DZ$23</f>
        <v>0</v>
      </c>
      <c r="EB48" s="171">
        <f>$F48*(1+$H48)^ROUNDUP(IFERROR(DATEDIF($G48-1,EB$14+1,"m"),)/12,)*Index!EA$23</f>
        <v>0</v>
      </c>
      <c r="EC48" s="171">
        <f>$F48*(1+$H48)^ROUNDUP(IFERROR(DATEDIF($G48-1,EC$14+1,"m"),)/12,)*Index!EB$23</f>
        <v>0</v>
      </c>
      <c r="ED48" s="171">
        <f>$F48*(1+$H48)^ROUNDUP(IFERROR(DATEDIF($G48-1,ED$14+1,"m"),)/12,)*Index!EC$23</f>
        <v>50541.72027822338</v>
      </c>
      <c r="EE48" s="171">
        <f>$F48*(1+$H48)^ROUNDUP(IFERROR(DATEDIF($G48-1,EE$14+1,"m"),)/12,)*Index!ED$23</f>
        <v>50541.72027822338</v>
      </c>
      <c r="EF48" s="171">
        <f>$F48*(1+$H48)^ROUNDUP(IFERROR(DATEDIF($G48-1,EF$14+1,"m"),)/12,)*Index!EE$23</f>
        <v>50541.72027822338</v>
      </c>
      <c r="EG48" s="171">
        <f>$F48*(1+$H48)^ROUNDUP(IFERROR(DATEDIF($G48-1,EG$14+1,"m"),)/12,)*Index!EF$23</f>
        <v>50541.72027822338</v>
      </c>
      <c r="EH48" s="171">
        <f>$F48*(1+$H48)^ROUNDUP(IFERROR(DATEDIF($G48-1,EH$14+1,"m"),)/12,)*Index!EG$23</f>
        <v>50541.72027822338</v>
      </c>
      <c r="EI48" s="171">
        <f>$F48*(1+$H48)^ROUNDUP(IFERROR(DATEDIF($G48-1,EI$14+1,"m"),)/12,)*Index!EH$23</f>
        <v>50541.72027822338</v>
      </c>
      <c r="EJ48" s="171">
        <f>$F48*(1+$H48)^ROUNDUP(IFERROR(DATEDIF($G48-1,EJ$14+1,"m"),)/12,)*Index!EI$23</f>
        <v>50541.72027822338</v>
      </c>
      <c r="EK48" s="171">
        <f>$F48*(1+$H48)^ROUNDUP(IFERROR(DATEDIF($G48-1,EK$14+1,"m"),)/12,)*Index!EJ$23</f>
        <v>50541.72027822338</v>
      </c>
      <c r="EL48" s="171">
        <f>$F48*(1+$H48)^ROUNDUP(IFERROR(DATEDIF($G48-1,EL$14+1,"m"),)/12,)*Index!EK$23</f>
        <v>50541.72027822338</v>
      </c>
      <c r="EM48" s="171">
        <f>$F48*(1+$H48)^ROUNDUP(IFERROR(DATEDIF($G48-1,EM$14+1,"m"),)/12,)*Index!EL$23</f>
        <v>50541.72027822338</v>
      </c>
      <c r="EN48" s="171">
        <f>$F48*(1+$H48)^ROUNDUP(IFERROR(DATEDIF($G48-1,EN$14+1,"m"),)/12,)*Index!EM$23</f>
        <v>50541.72027822338</v>
      </c>
      <c r="EO48" s="171">
        <f>$F48*(1+$H48)^ROUNDUP(IFERROR(DATEDIF($G48-1,EO$14+1,"m"),)/12,)*Index!EN$23</f>
        <v>50541.72027822338</v>
      </c>
      <c r="EP48" s="171">
        <f>$F48*(1+$H48)^ROUNDUP(IFERROR(DATEDIF($G48-1,EP$14+1,"m"),)/12,)*Index!EO$23</f>
        <v>0</v>
      </c>
      <c r="EQ48" s="171">
        <f>$F48*(1+$H48)^ROUNDUP(IFERROR(DATEDIF($G48-1,EQ$14+1,"m"),)/12,)*Index!EP$23</f>
        <v>0</v>
      </c>
      <c r="ER48" s="171">
        <f>$F48*(1+$H48)^ROUNDUP(IFERROR(DATEDIF($G48-1,ER$14+1,"m"),)/12,)*Index!EQ$23</f>
        <v>0</v>
      </c>
    </row>
    <row r="49" spans="3:148" ht="11.25" customHeight="1">
      <c r="C49" s="163"/>
      <c r="D49" s="169" t="s">
        <v>86</v>
      </c>
      <c r="F49" s="805">
        <f t="shared" si="29"/>
        <v>17187.643333333333</v>
      </c>
      <c r="G49" s="806">
        <f t="shared" si="29"/>
        <v>46691</v>
      </c>
      <c r="H49" s="807">
        <f t="shared" si="29"/>
        <v>0.02</v>
      </c>
      <c r="I49" s="65"/>
      <c r="J49" s="90"/>
      <c r="K49" s="171">
        <f t="shared" si="30"/>
        <v>251419.69579432104</v>
      </c>
      <c r="L49" s="98"/>
      <c r="M49" s="171">
        <f>$F49*(1+$H49)^ROUNDUP(IFERROR(DATEDIF($G49-1,M$14+1,"m"),)/12,)*Index!L$23</f>
        <v>0</v>
      </c>
      <c r="N49" s="171">
        <f>$F49*(1+$H49)^ROUNDUP(IFERROR(DATEDIF($G49-1,N$14+1,"m"),)/12,)*Index!M$23</f>
        <v>0</v>
      </c>
      <c r="O49" s="171">
        <f>$F49*(1+$H49)^ROUNDUP(IFERROR(DATEDIF($G49-1,O$14+1,"m"),)/12,)*Index!N$23</f>
        <v>0</v>
      </c>
      <c r="P49" s="171">
        <f>$F49*(1+$H49)^ROUNDUP(IFERROR(DATEDIF($G49-1,P$14+1,"m"),)/12,)*Index!O$23</f>
        <v>0</v>
      </c>
      <c r="Q49" s="171">
        <f>$F49*(1+$H49)^ROUNDUP(IFERROR(DATEDIF($G49-1,Q$14+1,"m"),)/12,)*Index!P$23</f>
        <v>0</v>
      </c>
      <c r="R49" s="171">
        <f>$F49*(1+$H49)^ROUNDUP(IFERROR(DATEDIF($G49-1,R$14+1,"m"),)/12,)*Index!Q$23</f>
        <v>0</v>
      </c>
      <c r="S49" s="171">
        <f>$F49*(1+$H49)^ROUNDUP(IFERROR(DATEDIF($G49-1,S$14+1,"m"),)/12,)*Index!R$23</f>
        <v>0</v>
      </c>
      <c r="T49" s="171">
        <f>$F49*(1+$H49)^ROUNDUP(IFERROR(DATEDIF($G49-1,T$14+1,"m"),)/12,)*Index!S$23</f>
        <v>0</v>
      </c>
      <c r="U49" s="171">
        <f>$F49*(1+$H49)^ROUNDUP(IFERROR(DATEDIF($G49-1,U$14+1,"m"),)/12,)*Index!T$23</f>
        <v>0</v>
      </c>
      <c r="V49" s="171">
        <f>$F49*(1+$H49)^ROUNDUP(IFERROR(DATEDIF($G49-1,V$14+1,"m"),)/12,)*Index!U$23</f>
        <v>0</v>
      </c>
      <c r="W49" s="171">
        <f>$F49*(1+$H49)^ROUNDUP(IFERROR(DATEDIF($G49-1,W$14+1,"m"),)/12,)*Index!V$23</f>
        <v>0</v>
      </c>
      <c r="X49" s="171">
        <f>$F49*(1+$H49)^ROUNDUP(IFERROR(DATEDIF($G49-1,X$14+1,"m"),)/12,)*Index!W$23</f>
        <v>0</v>
      </c>
      <c r="Y49" s="171">
        <f>$F49*(1+$H49)^ROUNDUP(IFERROR(DATEDIF($G49-1,Y$14+1,"m"),)/12,)*Index!X$23</f>
        <v>0</v>
      </c>
      <c r="Z49" s="171">
        <f>$F49*(1+$H49)^ROUNDUP(IFERROR(DATEDIF($G49-1,Z$14+1,"m"),)/12,)*Index!Y$23</f>
        <v>0</v>
      </c>
      <c r="AA49" s="171">
        <f>$F49*(1+$H49)^ROUNDUP(IFERROR(DATEDIF($G49-1,AA$14+1,"m"),)/12,)*Index!Z$23</f>
        <v>0</v>
      </c>
      <c r="AB49" s="171">
        <f>$F49*(1+$H49)^ROUNDUP(IFERROR(DATEDIF($G49-1,AB$14+1,"m"),)/12,)*Index!AA$23</f>
        <v>0</v>
      </c>
      <c r="AC49" s="171">
        <f>$F49*(1+$H49)^ROUNDUP(IFERROR(DATEDIF($G49-1,AC$14+1,"m"),)/12,)*Index!AB$23</f>
        <v>0</v>
      </c>
      <c r="AD49" s="171">
        <f>$F49*(1+$H49)^ROUNDUP(IFERROR(DATEDIF($G49-1,AD$14+1,"m"),)/12,)*Index!AC$23</f>
        <v>0</v>
      </c>
      <c r="AE49" s="171">
        <f>$F49*(1+$H49)^ROUNDUP(IFERROR(DATEDIF($G49-1,AE$14+1,"m"),)/12,)*Index!AD$23</f>
        <v>0</v>
      </c>
      <c r="AF49" s="171">
        <f>$F49*(1+$H49)^ROUNDUP(IFERROR(DATEDIF($G49-1,AF$14+1,"m"),)/12,)*Index!AE$23</f>
        <v>0</v>
      </c>
      <c r="AG49" s="171">
        <f>$F49*(1+$H49)^ROUNDUP(IFERROR(DATEDIF($G49-1,AG$14+1,"m"),)/12,)*Index!AF$23</f>
        <v>0</v>
      </c>
      <c r="AH49" s="171">
        <f>$F49*(1+$H49)^ROUNDUP(IFERROR(DATEDIF($G49-1,AH$14+1,"m"),)/12,)*Index!AG$23</f>
        <v>0</v>
      </c>
      <c r="AI49" s="171">
        <f>$F49*(1+$H49)^ROUNDUP(IFERROR(DATEDIF($G49-1,AI$14+1,"m"),)/12,)*Index!AH$23</f>
        <v>0</v>
      </c>
      <c r="AJ49" s="171">
        <f>$F49*(1+$H49)^ROUNDUP(IFERROR(DATEDIF($G49-1,AJ$14+1,"m"),)/12,)*Index!AI$23</f>
        <v>0</v>
      </c>
      <c r="AK49" s="171">
        <f>$F49*(1+$H49)^ROUNDUP(IFERROR(DATEDIF($G49-1,AK$14+1,"m"),)/12,)*Index!AJ$23</f>
        <v>0</v>
      </c>
      <c r="AL49" s="171">
        <f>$F49*(1+$H49)^ROUNDUP(IFERROR(DATEDIF($G49-1,AL$14+1,"m"),)/12,)*Index!AK$23</f>
        <v>0</v>
      </c>
      <c r="AM49" s="171">
        <f>$F49*(1+$H49)^ROUNDUP(IFERROR(DATEDIF($G49-1,AM$14+1,"m"),)/12,)*Index!AL$23</f>
        <v>0</v>
      </c>
      <c r="AN49" s="171">
        <f>$F49*(1+$H49)^ROUNDUP(IFERROR(DATEDIF($G49-1,AN$14+1,"m"),)/12,)*Index!AM$23</f>
        <v>0</v>
      </c>
      <c r="AO49" s="171">
        <f>$F49*(1+$H49)^ROUNDUP(IFERROR(DATEDIF($G49-1,AO$14+1,"m"),)/12,)*Index!AN$23</f>
        <v>0</v>
      </c>
      <c r="AP49" s="171">
        <f>$F49*(1+$H49)^ROUNDUP(IFERROR(DATEDIF($G49-1,AP$14+1,"m"),)/12,)*Index!AO$23</f>
        <v>0</v>
      </c>
      <c r="AQ49" s="171">
        <f>$F49*(1+$H49)^ROUNDUP(IFERROR(DATEDIF($G49-1,AQ$14+1,"m"),)/12,)*Index!AP$23</f>
        <v>0</v>
      </c>
      <c r="AR49" s="171">
        <f>$F49*(1+$H49)^ROUNDUP(IFERROR(DATEDIF($G49-1,AR$14+1,"m"),)/12,)*Index!AQ$23</f>
        <v>0</v>
      </c>
      <c r="AS49" s="171">
        <f>$F49*(1+$H49)^ROUNDUP(IFERROR(DATEDIF($G49-1,AS$14+1,"m"),)/12,)*Index!AR$23</f>
        <v>0</v>
      </c>
      <c r="AT49" s="171">
        <f>$F49*(1+$H49)^ROUNDUP(IFERROR(DATEDIF($G49-1,AT$14+1,"m"),)/12,)*Index!AS$23</f>
        <v>0</v>
      </c>
      <c r="AU49" s="171">
        <f>$F49*(1+$H49)^ROUNDUP(IFERROR(DATEDIF($G49-1,AU$14+1,"m"),)/12,)*Index!AT$23</f>
        <v>0</v>
      </c>
      <c r="AV49" s="171">
        <f>$F49*(1+$H49)^ROUNDUP(IFERROR(DATEDIF($G49-1,AV$14+1,"m"),)/12,)*Index!AU$23</f>
        <v>0</v>
      </c>
      <c r="AW49" s="171">
        <f>$F49*(1+$H49)^ROUNDUP(IFERROR(DATEDIF($G49-1,AW$14+1,"m"),)/12,)*Index!AV$23</f>
        <v>0</v>
      </c>
      <c r="AX49" s="171">
        <f>$F49*(1+$H49)^ROUNDUP(IFERROR(DATEDIF($G49-1,AX$14+1,"m"),)/12,)*Index!AW$23</f>
        <v>0</v>
      </c>
      <c r="AY49" s="171">
        <f>$F49*(1+$H49)^ROUNDUP(IFERROR(DATEDIF($G49-1,AY$14+1,"m"),)/12,)*Index!AX$23</f>
        <v>0</v>
      </c>
      <c r="AZ49" s="171">
        <f>$F49*(1+$H49)^ROUNDUP(IFERROR(DATEDIF($G49-1,AZ$14+1,"m"),)/12,)*Index!AY$23</f>
        <v>0</v>
      </c>
      <c r="BA49" s="171">
        <f>$F49*(1+$H49)^ROUNDUP(IFERROR(DATEDIF($G49-1,BA$14+1,"m"),)/12,)*Index!AZ$23</f>
        <v>0</v>
      </c>
      <c r="BB49" s="171">
        <f>$F49*(1+$H49)^ROUNDUP(IFERROR(DATEDIF($G49-1,BB$14+1,"m"),)/12,)*Index!BA$23</f>
        <v>0</v>
      </c>
      <c r="BC49" s="171">
        <f>$F49*(1+$H49)^ROUNDUP(IFERROR(DATEDIF($G49-1,BC$14+1,"m"),)/12,)*Index!BB$23</f>
        <v>0</v>
      </c>
      <c r="BD49" s="171">
        <f>$F49*(1+$H49)^ROUNDUP(IFERROR(DATEDIF($G49-1,BD$14+1,"m"),)/12,)*Index!BC$23</f>
        <v>0</v>
      </c>
      <c r="BE49" s="171">
        <f>$F49*(1+$H49)^ROUNDUP(IFERROR(DATEDIF($G49-1,BE$14+1,"m"),)/12,)*Index!BD$23</f>
        <v>0</v>
      </c>
      <c r="BF49" s="171">
        <f>$F49*(1+$H49)^ROUNDUP(IFERROR(DATEDIF($G49-1,BF$14+1,"m"),)/12,)*Index!BE$23</f>
        <v>0</v>
      </c>
      <c r="BG49" s="171">
        <f>$F49*(1+$H49)^ROUNDUP(IFERROR(DATEDIF($G49-1,BG$14+1,"m"),)/12,)*Index!BF$23</f>
        <v>0</v>
      </c>
      <c r="BH49" s="171">
        <f>$F49*(1+$H49)^ROUNDUP(IFERROR(DATEDIF($G49-1,BH$14+1,"m"),)/12,)*Index!BG$23</f>
        <v>0</v>
      </c>
      <c r="BI49" s="171">
        <f>$F49*(1+$H49)^ROUNDUP(IFERROR(DATEDIF($G49-1,BI$14+1,"m"),)/12,)*Index!BH$23</f>
        <v>0</v>
      </c>
      <c r="BJ49" s="171">
        <f>$F49*(1+$H49)^ROUNDUP(IFERROR(DATEDIF($G49-1,BJ$14+1,"m"),)/12,)*Index!BI$23</f>
        <v>0</v>
      </c>
      <c r="BK49" s="171">
        <f>$F49*(1+$H49)^ROUNDUP(IFERROR(DATEDIF($G49-1,BK$14+1,"m"),)/12,)*Index!BJ$23</f>
        <v>0</v>
      </c>
      <c r="BL49" s="171">
        <f>$F49*(1+$H49)^ROUNDUP(IFERROR(DATEDIF($G49-1,BL$14+1,"m"),)/12,)*Index!BK$23</f>
        <v>0</v>
      </c>
      <c r="BM49" s="171">
        <f>$F49*(1+$H49)^ROUNDUP(IFERROR(DATEDIF($G49-1,BM$14+1,"m"),)/12,)*Index!BL$23</f>
        <v>0</v>
      </c>
      <c r="BN49" s="171">
        <f>$F49*(1+$H49)^ROUNDUP(IFERROR(DATEDIF($G49-1,BN$14+1,"m"),)/12,)*Index!BM$23</f>
        <v>0</v>
      </c>
      <c r="BO49" s="171">
        <f>$F49*(1+$H49)^ROUNDUP(IFERROR(DATEDIF($G49-1,BO$14+1,"m"),)/12,)*Index!BN$23</f>
        <v>0</v>
      </c>
      <c r="BP49" s="171">
        <f>$F49*(1+$H49)^ROUNDUP(IFERROR(DATEDIF($G49-1,BP$14+1,"m"),)/12,)*Index!BO$23</f>
        <v>0</v>
      </c>
      <c r="BQ49" s="171">
        <f>$F49*(1+$H49)^ROUNDUP(IFERROR(DATEDIF($G49-1,BQ$14+1,"m"),)/12,)*Index!BP$23</f>
        <v>0</v>
      </c>
      <c r="BR49" s="171">
        <f>$F49*(1+$H49)^ROUNDUP(IFERROR(DATEDIF($G49-1,BR$14+1,"m"),)/12,)*Index!BQ$23</f>
        <v>0</v>
      </c>
      <c r="BS49" s="171">
        <f>$F49*(1+$H49)^ROUNDUP(IFERROR(DATEDIF($G49-1,BS$14+1,"m"),)/12,)*Index!BR$23</f>
        <v>0</v>
      </c>
      <c r="BT49" s="171">
        <f>$F49*(1+$H49)^ROUNDUP(IFERROR(DATEDIF($G49-1,BT$14+1,"m"),)/12,)*Index!BS$23</f>
        <v>0</v>
      </c>
      <c r="BU49" s="171">
        <f>$F49*(1+$H49)^ROUNDUP(IFERROR(DATEDIF($G49-1,BU$14+1,"m"),)/12,)*Index!BT$23</f>
        <v>0</v>
      </c>
      <c r="BV49" s="171">
        <f>$F49*(1+$H49)^ROUNDUP(IFERROR(DATEDIF($G49-1,BV$14+1,"m"),)/12,)*Index!BU$23</f>
        <v>0</v>
      </c>
      <c r="BW49" s="171">
        <f>$F49*(1+$H49)^ROUNDUP(IFERROR(DATEDIF($G49-1,BW$14+1,"m"),)/12,)*Index!BV$23</f>
        <v>0</v>
      </c>
      <c r="BX49" s="171">
        <f>$F49*(1+$H49)^ROUNDUP(IFERROR(DATEDIF($G49-1,BX$14+1,"m"),)/12,)*Index!BW$23</f>
        <v>0</v>
      </c>
      <c r="BY49" s="171">
        <f>$F49*(1+$H49)^ROUNDUP(IFERROR(DATEDIF($G49-1,BY$14+1,"m"),)/12,)*Index!BX$23</f>
        <v>0</v>
      </c>
      <c r="BZ49" s="171">
        <f>$F49*(1+$H49)^ROUNDUP(IFERROR(DATEDIF($G49-1,BZ$14+1,"m"),)/12,)*Index!BY$23</f>
        <v>0</v>
      </c>
      <c r="CA49" s="171">
        <f>$F49*(1+$H49)^ROUNDUP(IFERROR(DATEDIF($G49-1,CA$14+1,"m"),)/12,)*Index!BZ$23</f>
        <v>0</v>
      </c>
      <c r="CB49" s="171">
        <f>$F49*(1+$H49)^ROUNDUP(IFERROR(DATEDIF($G49-1,CB$14+1,"m"),)/12,)*Index!CA$23</f>
        <v>0</v>
      </c>
      <c r="CC49" s="171">
        <f>$F49*(1+$H49)^ROUNDUP(IFERROR(DATEDIF($G49-1,CC$14+1,"m"),)/12,)*Index!CB$23</f>
        <v>0</v>
      </c>
      <c r="CD49" s="171">
        <f>$F49*(1+$H49)^ROUNDUP(IFERROR(DATEDIF($G49-1,CD$14+1,"m"),)/12,)*Index!CC$23</f>
        <v>0</v>
      </c>
      <c r="CE49" s="171">
        <f>$F49*(1+$H49)^ROUNDUP(IFERROR(DATEDIF($G49-1,CE$14+1,"m"),)/12,)*Index!CD$23</f>
        <v>0</v>
      </c>
      <c r="CF49" s="171">
        <f>$F49*(1+$H49)^ROUNDUP(IFERROR(DATEDIF($G49-1,CF$14+1,"m"),)/12,)*Index!CE$23</f>
        <v>0</v>
      </c>
      <c r="CG49" s="171">
        <f>$F49*(1+$H49)^ROUNDUP(IFERROR(DATEDIF($G49-1,CG$14+1,"m"),)/12,)*Index!CF$23</f>
        <v>0</v>
      </c>
      <c r="CH49" s="171">
        <f>$F49*(1+$H49)^ROUNDUP(IFERROR(DATEDIF($G49-1,CH$14+1,"m"),)/12,)*Index!CG$23</f>
        <v>0</v>
      </c>
      <c r="CI49" s="171">
        <f>$F49*(1+$H49)^ROUNDUP(IFERROR(DATEDIF($G49-1,CI$14+1,"m"),)/12,)*Index!CH$23</f>
        <v>0</v>
      </c>
      <c r="CJ49" s="171">
        <f>$F49*(1+$H49)^ROUNDUP(IFERROR(DATEDIF($G49-1,CJ$14+1,"m"),)/12,)*Index!CI$23</f>
        <v>0</v>
      </c>
      <c r="CK49" s="171">
        <f>$F49*(1+$H49)^ROUNDUP(IFERROR(DATEDIF($G49-1,CK$14+1,"m"),)/12,)*Index!CJ$23</f>
        <v>0</v>
      </c>
      <c r="CL49" s="171">
        <f>$F49*(1+$H49)^ROUNDUP(IFERROR(DATEDIF($G49-1,CL$14+1,"m"),)/12,)*Index!CK$23</f>
        <v>0</v>
      </c>
      <c r="CM49" s="171">
        <f>$F49*(1+$H49)^ROUNDUP(IFERROR(DATEDIF($G49-1,CM$14+1,"m"),)/12,)*Index!CL$23</f>
        <v>0</v>
      </c>
      <c r="CN49" s="171">
        <f>$F49*(1+$H49)^ROUNDUP(IFERROR(DATEDIF($G49-1,CN$14+1,"m"),)/12,)*Index!CM$23</f>
        <v>0</v>
      </c>
      <c r="CO49" s="171">
        <f>$F49*(1+$H49)^ROUNDUP(IFERROR(DATEDIF($G49-1,CO$14+1,"m"),)/12,)*Index!CN$23</f>
        <v>0</v>
      </c>
      <c r="CP49" s="171">
        <f>$F49*(1+$H49)^ROUNDUP(IFERROR(DATEDIF($G49-1,CP$14+1,"m"),)/12,)*Index!CO$23</f>
        <v>0</v>
      </c>
      <c r="CQ49" s="171">
        <f>$F49*(1+$H49)^ROUNDUP(IFERROR(DATEDIF($G49-1,CQ$14+1,"m"),)/12,)*Index!CP$23</f>
        <v>0</v>
      </c>
      <c r="CR49" s="171">
        <f>$F49*(1+$H49)^ROUNDUP(IFERROR(DATEDIF($G49-1,CR$14+1,"m"),)/12,)*Index!CQ$23</f>
        <v>0</v>
      </c>
      <c r="CS49" s="171">
        <f>$F49*(1+$H49)^ROUNDUP(IFERROR(DATEDIF($G49-1,CS$14+1,"m"),)/12,)*Index!CR$23</f>
        <v>0</v>
      </c>
      <c r="CT49" s="171">
        <f>$F49*(1+$H49)^ROUNDUP(IFERROR(DATEDIF($G49-1,CT$14+1,"m"),)/12,)*Index!CS$23</f>
        <v>0</v>
      </c>
      <c r="CU49" s="171">
        <f>$F49*(1+$H49)^ROUNDUP(IFERROR(DATEDIF($G49-1,CU$14+1,"m"),)/12,)*Index!CT$23</f>
        <v>0</v>
      </c>
      <c r="CV49" s="171">
        <f>$F49*(1+$H49)^ROUNDUP(IFERROR(DATEDIF($G49-1,CV$14+1,"m"),)/12,)*Index!CU$23</f>
        <v>0</v>
      </c>
      <c r="CW49" s="171">
        <f>$F49*(1+$H49)^ROUNDUP(IFERROR(DATEDIF($G49-1,CW$14+1,"m"),)/12,)*Index!CV$23</f>
        <v>0</v>
      </c>
      <c r="CX49" s="171">
        <f>$F49*(1+$H49)^ROUNDUP(IFERROR(DATEDIF($G49-1,CX$14+1,"m"),)/12,)*Index!CW$23</f>
        <v>0</v>
      </c>
      <c r="CY49" s="171">
        <f>$F49*(1+$H49)^ROUNDUP(IFERROR(DATEDIF($G49-1,CY$14+1,"m"),)/12,)*Index!CX$23</f>
        <v>0</v>
      </c>
      <c r="CZ49" s="171">
        <f>$F49*(1+$H49)^ROUNDUP(IFERROR(DATEDIF($G49-1,CZ$14+1,"m"),)/12,)*Index!CY$23</f>
        <v>0</v>
      </c>
      <c r="DA49" s="171">
        <f>$F49*(1+$H49)^ROUNDUP(IFERROR(DATEDIF($G49-1,DA$14+1,"m"),)/12,)*Index!CZ$23</f>
        <v>0</v>
      </c>
      <c r="DB49" s="171">
        <f>$F49*(1+$H49)^ROUNDUP(IFERROR(DATEDIF($G49-1,DB$14+1,"m"),)/12,)*Index!DA$23</f>
        <v>0</v>
      </c>
      <c r="DC49" s="171">
        <f>$F49*(1+$H49)^ROUNDUP(IFERROR(DATEDIF($G49-1,DC$14+1,"m"),)/12,)*Index!DB$23</f>
        <v>0</v>
      </c>
      <c r="DD49" s="171">
        <f>$F49*(1+$H49)^ROUNDUP(IFERROR(DATEDIF($G49-1,DD$14+1,"m"),)/12,)*Index!DC$23</f>
        <v>0</v>
      </c>
      <c r="DE49" s="171">
        <f>$F49*(1+$H49)^ROUNDUP(IFERROR(DATEDIF($G49-1,DE$14+1,"m"),)/12,)*Index!DD$23</f>
        <v>0</v>
      </c>
      <c r="DF49" s="171">
        <f>$F49*(1+$H49)^ROUNDUP(IFERROR(DATEDIF($G49-1,DF$14+1,"m"),)/12,)*Index!DE$23</f>
        <v>0</v>
      </c>
      <c r="DG49" s="171">
        <f>$F49*(1+$H49)^ROUNDUP(IFERROR(DATEDIF($G49-1,DG$14+1,"m"),)/12,)*Index!DF$23</f>
        <v>0</v>
      </c>
      <c r="DH49" s="171">
        <f>$F49*(1+$H49)^ROUNDUP(IFERROR(DATEDIF($G49-1,DH$14+1,"m"),)/12,)*Index!DG$23</f>
        <v>0</v>
      </c>
      <c r="DI49" s="171">
        <f>$F49*(1+$H49)^ROUNDUP(IFERROR(DATEDIF($G49-1,DI$14+1,"m"),)/12,)*Index!DH$23</f>
        <v>0</v>
      </c>
      <c r="DJ49" s="171">
        <f>$F49*(1+$H49)^ROUNDUP(IFERROR(DATEDIF($G49-1,DJ$14+1,"m"),)/12,)*Index!DI$23</f>
        <v>0</v>
      </c>
      <c r="DK49" s="171">
        <f>$F49*(1+$H49)^ROUNDUP(IFERROR(DATEDIF($G49-1,DK$14+1,"m"),)/12,)*Index!DJ$23</f>
        <v>0</v>
      </c>
      <c r="DL49" s="171">
        <f>$F49*(1+$H49)^ROUNDUP(IFERROR(DATEDIF($G49-1,DL$14+1,"m"),)/12,)*Index!DK$23</f>
        <v>0</v>
      </c>
      <c r="DM49" s="171">
        <f>$F49*(1+$H49)^ROUNDUP(IFERROR(DATEDIF($G49-1,DM$14+1,"m"),)/12,)*Index!DL$23</f>
        <v>0</v>
      </c>
      <c r="DN49" s="171">
        <f>$F49*(1+$H49)^ROUNDUP(IFERROR(DATEDIF($G49-1,DN$14+1,"m"),)/12,)*Index!DM$23</f>
        <v>0</v>
      </c>
      <c r="DO49" s="171">
        <f>$F49*(1+$H49)^ROUNDUP(IFERROR(DATEDIF($G49-1,DO$14+1,"m"),)/12,)*Index!DN$23</f>
        <v>0</v>
      </c>
      <c r="DP49" s="171">
        <f>$F49*(1+$H49)^ROUNDUP(IFERROR(DATEDIF($G49-1,DP$14+1,"m"),)/12,)*Index!DO$23</f>
        <v>0</v>
      </c>
      <c r="DQ49" s="171">
        <f>$F49*(1+$H49)^ROUNDUP(IFERROR(DATEDIF($G49-1,DQ$14+1,"m"),)/12,)*Index!DP$23</f>
        <v>0</v>
      </c>
      <c r="DR49" s="171">
        <f>$F49*(1+$H49)^ROUNDUP(IFERROR(DATEDIF($G49-1,DR$14+1,"m"),)/12,)*Index!DQ$23</f>
        <v>0</v>
      </c>
      <c r="DS49" s="171">
        <f>$F49*(1+$H49)^ROUNDUP(IFERROR(DATEDIF($G49-1,DS$14+1,"m"),)/12,)*Index!DR$23</f>
        <v>0</v>
      </c>
      <c r="DT49" s="171">
        <f>$F49*(1+$H49)^ROUNDUP(IFERROR(DATEDIF($G49-1,DT$14+1,"m"),)/12,)*Index!DS$23</f>
        <v>0</v>
      </c>
      <c r="DU49" s="171">
        <f>$F49*(1+$H49)^ROUNDUP(IFERROR(DATEDIF($G49-1,DU$14+1,"m"),)/12,)*Index!DT$23</f>
        <v>0</v>
      </c>
      <c r="DV49" s="171">
        <f>$F49*(1+$H49)^ROUNDUP(IFERROR(DATEDIF($G49-1,DV$14+1,"m"),)/12,)*Index!DU$23</f>
        <v>0</v>
      </c>
      <c r="DW49" s="171">
        <f>$F49*(1+$H49)^ROUNDUP(IFERROR(DATEDIF($G49-1,DW$14+1,"m"),)/12,)*Index!DV$23</f>
        <v>0</v>
      </c>
      <c r="DX49" s="171">
        <f>$F49*(1+$H49)^ROUNDUP(IFERROR(DATEDIF($G49-1,DX$14+1,"m"),)/12,)*Index!DW$23</f>
        <v>0</v>
      </c>
      <c r="DY49" s="171">
        <f>$F49*(1+$H49)^ROUNDUP(IFERROR(DATEDIF($G49-1,DY$14+1,"m"),)/12,)*Index!DX$23</f>
        <v>0</v>
      </c>
      <c r="DZ49" s="171">
        <f>$F49*(1+$H49)^ROUNDUP(IFERROR(DATEDIF($G49-1,DZ$14+1,"m"),)/12,)*Index!DY$23</f>
        <v>0</v>
      </c>
      <c r="EA49" s="171">
        <f>$F49*(1+$H49)^ROUNDUP(IFERROR(DATEDIF($G49-1,EA$14+1,"m"),)/12,)*Index!DZ$23</f>
        <v>0</v>
      </c>
      <c r="EB49" s="171">
        <f>$F49*(1+$H49)^ROUNDUP(IFERROR(DATEDIF($G49-1,EB$14+1,"m"),)/12,)*Index!EA$23</f>
        <v>0</v>
      </c>
      <c r="EC49" s="171">
        <f>$F49*(1+$H49)^ROUNDUP(IFERROR(DATEDIF($G49-1,EC$14+1,"m"),)/12,)*Index!EB$23</f>
        <v>0</v>
      </c>
      <c r="ED49" s="171">
        <f>$F49*(1+$H49)^ROUNDUP(IFERROR(DATEDIF($G49-1,ED$14+1,"m"),)/12,)*Index!EC$23</f>
        <v>20951.641316193422</v>
      </c>
      <c r="EE49" s="171">
        <f>$F49*(1+$H49)^ROUNDUP(IFERROR(DATEDIF($G49-1,EE$14+1,"m"),)/12,)*Index!ED$23</f>
        <v>20951.641316193422</v>
      </c>
      <c r="EF49" s="171">
        <f>$F49*(1+$H49)^ROUNDUP(IFERROR(DATEDIF($G49-1,EF$14+1,"m"),)/12,)*Index!EE$23</f>
        <v>20951.641316193422</v>
      </c>
      <c r="EG49" s="171">
        <f>$F49*(1+$H49)^ROUNDUP(IFERROR(DATEDIF($G49-1,EG$14+1,"m"),)/12,)*Index!EF$23</f>
        <v>20951.641316193422</v>
      </c>
      <c r="EH49" s="171">
        <f>$F49*(1+$H49)^ROUNDUP(IFERROR(DATEDIF($G49-1,EH$14+1,"m"),)/12,)*Index!EG$23</f>
        <v>20951.641316193422</v>
      </c>
      <c r="EI49" s="171">
        <f>$F49*(1+$H49)^ROUNDUP(IFERROR(DATEDIF($G49-1,EI$14+1,"m"),)/12,)*Index!EH$23</f>
        <v>20951.641316193422</v>
      </c>
      <c r="EJ49" s="171">
        <f>$F49*(1+$H49)^ROUNDUP(IFERROR(DATEDIF($G49-1,EJ$14+1,"m"),)/12,)*Index!EI$23</f>
        <v>20951.641316193422</v>
      </c>
      <c r="EK49" s="171">
        <f>$F49*(1+$H49)^ROUNDUP(IFERROR(DATEDIF($G49-1,EK$14+1,"m"),)/12,)*Index!EJ$23</f>
        <v>20951.641316193422</v>
      </c>
      <c r="EL49" s="171">
        <f>$F49*(1+$H49)^ROUNDUP(IFERROR(DATEDIF($G49-1,EL$14+1,"m"),)/12,)*Index!EK$23</f>
        <v>20951.641316193422</v>
      </c>
      <c r="EM49" s="171">
        <f>$F49*(1+$H49)^ROUNDUP(IFERROR(DATEDIF($G49-1,EM$14+1,"m"),)/12,)*Index!EL$23</f>
        <v>20951.641316193422</v>
      </c>
      <c r="EN49" s="171">
        <f>$F49*(1+$H49)^ROUNDUP(IFERROR(DATEDIF($G49-1,EN$14+1,"m"),)/12,)*Index!EM$23</f>
        <v>20951.641316193422</v>
      </c>
      <c r="EO49" s="171">
        <f>$F49*(1+$H49)^ROUNDUP(IFERROR(DATEDIF($G49-1,EO$14+1,"m"),)/12,)*Index!EN$23</f>
        <v>20951.641316193422</v>
      </c>
      <c r="EP49" s="171">
        <f>$F49*(1+$H49)^ROUNDUP(IFERROR(DATEDIF($G49-1,EP$14+1,"m"),)/12,)*Index!EO$23</f>
        <v>0</v>
      </c>
      <c r="EQ49" s="171">
        <f>$F49*(1+$H49)^ROUNDUP(IFERROR(DATEDIF($G49-1,EQ$14+1,"m"),)/12,)*Index!EP$23</f>
        <v>0</v>
      </c>
      <c r="ER49" s="171">
        <f>$F49*(1+$H49)^ROUNDUP(IFERROR(DATEDIF($G49-1,ER$14+1,"m"),)/12,)*Index!EQ$23</f>
        <v>0</v>
      </c>
    </row>
    <row r="50" spans="3:148" ht="11.25" customHeight="1">
      <c r="C50" s="163"/>
      <c r="D50" s="169" t="s">
        <v>138</v>
      </c>
      <c r="F50" s="805">
        <f t="shared" si="29"/>
        <v>10753.675833333333</v>
      </c>
      <c r="G50" s="806">
        <f t="shared" si="29"/>
        <v>46691</v>
      </c>
      <c r="H50" s="807">
        <f t="shared" si="29"/>
        <v>0.02</v>
      </c>
      <c r="I50" s="65"/>
      <c r="J50" s="90"/>
      <c r="K50" s="171">
        <f t="shared" si="30"/>
        <v>157304.05002318963</v>
      </c>
      <c r="L50" s="98"/>
      <c r="M50" s="171">
        <f>$F50*(1+$H50)^ROUNDUP(IFERROR(DATEDIF($G50-1,M$14+1,"m"),)/12,)*Index!L$23</f>
        <v>0</v>
      </c>
      <c r="N50" s="171">
        <f>$F50*(1+$H50)^ROUNDUP(IFERROR(DATEDIF($G50-1,N$14+1,"m"),)/12,)*Index!M$23</f>
        <v>0</v>
      </c>
      <c r="O50" s="171">
        <f>$F50*(1+$H50)^ROUNDUP(IFERROR(DATEDIF($G50-1,O$14+1,"m"),)/12,)*Index!N$23</f>
        <v>0</v>
      </c>
      <c r="P50" s="171">
        <f>$F50*(1+$H50)^ROUNDUP(IFERROR(DATEDIF($G50-1,P$14+1,"m"),)/12,)*Index!O$23</f>
        <v>0</v>
      </c>
      <c r="Q50" s="171">
        <f>$F50*(1+$H50)^ROUNDUP(IFERROR(DATEDIF($G50-1,Q$14+1,"m"),)/12,)*Index!P$23</f>
        <v>0</v>
      </c>
      <c r="R50" s="171">
        <f>$F50*(1+$H50)^ROUNDUP(IFERROR(DATEDIF($G50-1,R$14+1,"m"),)/12,)*Index!Q$23</f>
        <v>0</v>
      </c>
      <c r="S50" s="171">
        <f>$F50*(1+$H50)^ROUNDUP(IFERROR(DATEDIF($G50-1,S$14+1,"m"),)/12,)*Index!R$23</f>
        <v>0</v>
      </c>
      <c r="T50" s="171">
        <f>$F50*(1+$H50)^ROUNDUP(IFERROR(DATEDIF($G50-1,T$14+1,"m"),)/12,)*Index!S$23</f>
        <v>0</v>
      </c>
      <c r="U50" s="171">
        <f>$F50*(1+$H50)^ROUNDUP(IFERROR(DATEDIF($G50-1,U$14+1,"m"),)/12,)*Index!T$23</f>
        <v>0</v>
      </c>
      <c r="V50" s="171">
        <f>$F50*(1+$H50)^ROUNDUP(IFERROR(DATEDIF($G50-1,V$14+1,"m"),)/12,)*Index!U$23</f>
        <v>0</v>
      </c>
      <c r="W50" s="171">
        <f>$F50*(1+$H50)^ROUNDUP(IFERROR(DATEDIF($G50-1,W$14+1,"m"),)/12,)*Index!V$23</f>
        <v>0</v>
      </c>
      <c r="X50" s="171">
        <f>$F50*(1+$H50)^ROUNDUP(IFERROR(DATEDIF($G50-1,X$14+1,"m"),)/12,)*Index!W$23</f>
        <v>0</v>
      </c>
      <c r="Y50" s="171">
        <f>$F50*(1+$H50)^ROUNDUP(IFERROR(DATEDIF($G50-1,Y$14+1,"m"),)/12,)*Index!X$23</f>
        <v>0</v>
      </c>
      <c r="Z50" s="171">
        <f>$F50*(1+$H50)^ROUNDUP(IFERROR(DATEDIF($G50-1,Z$14+1,"m"),)/12,)*Index!Y$23</f>
        <v>0</v>
      </c>
      <c r="AA50" s="171">
        <f>$F50*(1+$H50)^ROUNDUP(IFERROR(DATEDIF($G50-1,AA$14+1,"m"),)/12,)*Index!Z$23</f>
        <v>0</v>
      </c>
      <c r="AB50" s="171">
        <f>$F50*(1+$H50)^ROUNDUP(IFERROR(DATEDIF($G50-1,AB$14+1,"m"),)/12,)*Index!AA$23</f>
        <v>0</v>
      </c>
      <c r="AC50" s="171">
        <f>$F50*(1+$H50)^ROUNDUP(IFERROR(DATEDIF($G50-1,AC$14+1,"m"),)/12,)*Index!AB$23</f>
        <v>0</v>
      </c>
      <c r="AD50" s="171">
        <f>$F50*(1+$H50)^ROUNDUP(IFERROR(DATEDIF($G50-1,AD$14+1,"m"),)/12,)*Index!AC$23</f>
        <v>0</v>
      </c>
      <c r="AE50" s="171">
        <f>$F50*(1+$H50)^ROUNDUP(IFERROR(DATEDIF($G50-1,AE$14+1,"m"),)/12,)*Index!AD$23</f>
        <v>0</v>
      </c>
      <c r="AF50" s="171">
        <f>$F50*(1+$H50)^ROUNDUP(IFERROR(DATEDIF($G50-1,AF$14+1,"m"),)/12,)*Index!AE$23</f>
        <v>0</v>
      </c>
      <c r="AG50" s="171">
        <f>$F50*(1+$H50)^ROUNDUP(IFERROR(DATEDIF($G50-1,AG$14+1,"m"),)/12,)*Index!AF$23</f>
        <v>0</v>
      </c>
      <c r="AH50" s="171">
        <f>$F50*(1+$H50)^ROUNDUP(IFERROR(DATEDIF($G50-1,AH$14+1,"m"),)/12,)*Index!AG$23</f>
        <v>0</v>
      </c>
      <c r="AI50" s="171">
        <f>$F50*(1+$H50)^ROUNDUP(IFERROR(DATEDIF($G50-1,AI$14+1,"m"),)/12,)*Index!AH$23</f>
        <v>0</v>
      </c>
      <c r="AJ50" s="171">
        <f>$F50*(1+$H50)^ROUNDUP(IFERROR(DATEDIF($G50-1,AJ$14+1,"m"),)/12,)*Index!AI$23</f>
        <v>0</v>
      </c>
      <c r="AK50" s="171">
        <f>$F50*(1+$H50)^ROUNDUP(IFERROR(DATEDIF($G50-1,AK$14+1,"m"),)/12,)*Index!AJ$23</f>
        <v>0</v>
      </c>
      <c r="AL50" s="171">
        <f>$F50*(1+$H50)^ROUNDUP(IFERROR(DATEDIF($G50-1,AL$14+1,"m"),)/12,)*Index!AK$23</f>
        <v>0</v>
      </c>
      <c r="AM50" s="171">
        <f>$F50*(1+$H50)^ROUNDUP(IFERROR(DATEDIF($G50-1,AM$14+1,"m"),)/12,)*Index!AL$23</f>
        <v>0</v>
      </c>
      <c r="AN50" s="171">
        <f>$F50*(1+$H50)^ROUNDUP(IFERROR(DATEDIF($G50-1,AN$14+1,"m"),)/12,)*Index!AM$23</f>
        <v>0</v>
      </c>
      <c r="AO50" s="171">
        <f>$F50*(1+$H50)^ROUNDUP(IFERROR(DATEDIF($G50-1,AO$14+1,"m"),)/12,)*Index!AN$23</f>
        <v>0</v>
      </c>
      <c r="AP50" s="171">
        <f>$F50*(1+$H50)^ROUNDUP(IFERROR(DATEDIF($G50-1,AP$14+1,"m"),)/12,)*Index!AO$23</f>
        <v>0</v>
      </c>
      <c r="AQ50" s="171">
        <f>$F50*(1+$H50)^ROUNDUP(IFERROR(DATEDIF($G50-1,AQ$14+1,"m"),)/12,)*Index!AP$23</f>
        <v>0</v>
      </c>
      <c r="AR50" s="171">
        <f>$F50*(1+$H50)^ROUNDUP(IFERROR(DATEDIF($G50-1,AR$14+1,"m"),)/12,)*Index!AQ$23</f>
        <v>0</v>
      </c>
      <c r="AS50" s="171">
        <f>$F50*(1+$H50)^ROUNDUP(IFERROR(DATEDIF($G50-1,AS$14+1,"m"),)/12,)*Index!AR$23</f>
        <v>0</v>
      </c>
      <c r="AT50" s="171">
        <f>$F50*(1+$H50)^ROUNDUP(IFERROR(DATEDIF($G50-1,AT$14+1,"m"),)/12,)*Index!AS$23</f>
        <v>0</v>
      </c>
      <c r="AU50" s="171">
        <f>$F50*(1+$H50)^ROUNDUP(IFERROR(DATEDIF($G50-1,AU$14+1,"m"),)/12,)*Index!AT$23</f>
        <v>0</v>
      </c>
      <c r="AV50" s="171">
        <f>$F50*(1+$H50)^ROUNDUP(IFERROR(DATEDIF($G50-1,AV$14+1,"m"),)/12,)*Index!AU$23</f>
        <v>0</v>
      </c>
      <c r="AW50" s="171">
        <f>$F50*(1+$H50)^ROUNDUP(IFERROR(DATEDIF($G50-1,AW$14+1,"m"),)/12,)*Index!AV$23</f>
        <v>0</v>
      </c>
      <c r="AX50" s="171">
        <f>$F50*(1+$H50)^ROUNDUP(IFERROR(DATEDIF($G50-1,AX$14+1,"m"),)/12,)*Index!AW$23</f>
        <v>0</v>
      </c>
      <c r="AY50" s="171">
        <f>$F50*(1+$H50)^ROUNDUP(IFERROR(DATEDIF($G50-1,AY$14+1,"m"),)/12,)*Index!AX$23</f>
        <v>0</v>
      </c>
      <c r="AZ50" s="171">
        <f>$F50*(1+$H50)^ROUNDUP(IFERROR(DATEDIF($G50-1,AZ$14+1,"m"),)/12,)*Index!AY$23</f>
        <v>0</v>
      </c>
      <c r="BA50" s="171">
        <f>$F50*(1+$H50)^ROUNDUP(IFERROR(DATEDIF($G50-1,BA$14+1,"m"),)/12,)*Index!AZ$23</f>
        <v>0</v>
      </c>
      <c r="BB50" s="171">
        <f>$F50*(1+$H50)^ROUNDUP(IFERROR(DATEDIF($G50-1,BB$14+1,"m"),)/12,)*Index!BA$23</f>
        <v>0</v>
      </c>
      <c r="BC50" s="171">
        <f>$F50*(1+$H50)^ROUNDUP(IFERROR(DATEDIF($G50-1,BC$14+1,"m"),)/12,)*Index!BB$23</f>
        <v>0</v>
      </c>
      <c r="BD50" s="171">
        <f>$F50*(1+$H50)^ROUNDUP(IFERROR(DATEDIF($G50-1,BD$14+1,"m"),)/12,)*Index!BC$23</f>
        <v>0</v>
      </c>
      <c r="BE50" s="171">
        <f>$F50*(1+$H50)^ROUNDUP(IFERROR(DATEDIF($G50-1,BE$14+1,"m"),)/12,)*Index!BD$23</f>
        <v>0</v>
      </c>
      <c r="BF50" s="171">
        <f>$F50*(1+$H50)^ROUNDUP(IFERROR(DATEDIF($G50-1,BF$14+1,"m"),)/12,)*Index!BE$23</f>
        <v>0</v>
      </c>
      <c r="BG50" s="171">
        <f>$F50*(1+$H50)^ROUNDUP(IFERROR(DATEDIF($G50-1,BG$14+1,"m"),)/12,)*Index!BF$23</f>
        <v>0</v>
      </c>
      <c r="BH50" s="171">
        <f>$F50*(1+$H50)^ROUNDUP(IFERROR(DATEDIF($G50-1,BH$14+1,"m"),)/12,)*Index!BG$23</f>
        <v>0</v>
      </c>
      <c r="BI50" s="171">
        <f>$F50*(1+$H50)^ROUNDUP(IFERROR(DATEDIF($G50-1,BI$14+1,"m"),)/12,)*Index!BH$23</f>
        <v>0</v>
      </c>
      <c r="BJ50" s="171">
        <f>$F50*(1+$H50)^ROUNDUP(IFERROR(DATEDIF($G50-1,BJ$14+1,"m"),)/12,)*Index!BI$23</f>
        <v>0</v>
      </c>
      <c r="BK50" s="171">
        <f>$F50*(1+$H50)^ROUNDUP(IFERROR(DATEDIF($G50-1,BK$14+1,"m"),)/12,)*Index!BJ$23</f>
        <v>0</v>
      </c>
      <c r="BL50" s="171">
        <f>$F50*(1+$H50)^ROUNDUP(IFERROR(DATEDIF($G50-1,BL$14+1,"m"),)/12,)*Index!BK$23</f>
        <v>0</v>
      </c>
      <c r="BM50" s="171">
        <f>$F50*(1+$H50)^ROUNDUP(IFERROR(DATEDIF($G50-1,BM$14+1,"m"),)/12,)*Index!BL$23</f>
        <v>0</v>
      </c>
      <c r="BN50" s="171">
        <f>$F50*(1+$H50)^ROUNDUP(IFERROR(DATEDIF($G50-1,BN$14+1,"m"),)/12,)*Index!BM$23</f>
        <v>0</v>
      </c>
      <c r="BO50" s="171">
        <f>$F50*(1+$H50)^ROUNDUP(IFERROR(DATEDIF($G50-1,BO$14+1,"m"),)/12,)*Index!BN$23</f>
        <v>0</v>
      </c>
      <c r="BP50" s="171">
        <f>$F50*(1+$H50)^ROUNDUP(IFERROR(DATEDIF($G50-1,BP$14+1,"m"),)/12,)*Index!BO$23</f>
        <v>0</v>
      </c>
      <c r="BQ50" s="171">
        <f>$F50*(1+$H50)^ROUNDUP(IFERROR(DATEDIF($G50-1,BQ$14+1,"m"),)/12,)*Index!BP$23</f>
        <v>0</v>
      </c>
      <c r="BR50" s="171">
        <f>$F50*(1+$H50)^ROUNDUP(IFERROR(DATEDIF($G50-1,BR$14+1,"m"),)/12,)*Index!BQ$23</f>
        <v>0</v>
      </c>
      <c r="BS50" s="171">
        <f>$F50*(1+$H50)^ROUNDUP(IFERROR(DATEDIF($G50-1,BS$14+1,"m"),)/12,)*Index!BR$23</f>
        <v>0</v>
      </c>
      <c r="BT50" s="171">
        <f>$F50*(1+$H50)^ROUNDUP(IFERROR(DATEDIF($G50-1,BT$14+1,"m"),)/12,)*Index!BS$23</f>
        <v>0</v>
      </c>
      <c r="BU50" s="171">
        <f>$F50*(1+$H50)^ROUNDUP(IFERROR(DATEDIF($G50-1,BU$14+1,"m"),)/12,)*Index!BT$23</f>
        <v>0</v>
      </c>
      <c r="BV50" s="171">
        <f>$F50*(1+$H50)^ROUNDUP(IFERROR(DATEDIF($G50-1,BV$14+1,"m"),)/12,)*Index!BU$23</f>
        <v>0</v>
      </c>
      <c r="BW50" s="171">
        <f>$F50*(1+$H50)^ROUNDUP(IFERROR(DATEDIF($G50-1,BW$14+1,"m"),)/12,)*Index!BV$23</f>
        <v>0</v>
      </c>
      <c r="BX50" s="171">
        <f>$F50*(1+$H50)^ROUNDUP(IFERROR(DATEDIF($G50-1,BX$14+1,"m"),)/12,)*Index!BW$23</f>
        <v>0</v>
      </c>
      <c r="BY50" s="171">
        <f>$F50*(1+$H50)^ROUNDUP(IFERROR(DATEDIF($G50-1,BY$14+1,"m"),)/12,)*Index!BX$23</f>
        <v>0</v>
      </c>
      <c r="BZ50" s="171">
        <f>$F50*(1+$H50)^ROUNDUP(IFERROR(DATEDIF($G50-1,BZ$14+1,"m"),)/12,)*Index!BY$23</f>
        <v>0</v>
      </c>
      <c r="CA50" s="171">
        <f>$F50*(1+$H50)^ROUNDUP(IFERROR(DATEDIF($G50-1,CA$14+1,"m"),)/12,)*Index!BZ$23</f>
        <v>0</v>
      </c>
      <c r="CB50" s="171">
        <f>$F50*(1+$H50)^ROUNDUP(IFERROR(DATEDIF($G50-1,CB$14+1,"m"),)/12,)*Index!CA$23</f>
        <v>0</v>
      </c>
      <c r="CC50" s="171">
        <f>$F50*(1+$H50)^ROUNDUP(IFERROR(DATEDIF($G50-1,CC$14+1,"m"),)/12,)*Index!CB$23</f>
        <v>0</v>
      </c>
      <c r="CD50" s="171">
        <f>$F50*(1+$H50)^ROUNDUP(IFERROR(DATEDIF($G50-1,CD$14+1,"m"),)/12,)*Index!CC$23</f>
        <v>0</v>
      </c>
      <c r="CE50" s="171">
        <f>$F50*(1+$H50)^ROUNDUP(IFERROR(DATEDIF($G50-1,CE$14+1,"m"),)/12,)*Index!CD$23</f>
        <v>0</v>
      </c>
      <c r="CF50" s="171">
        <f>$F50*(1+$H50)^ROUNDUP(IFERROR(DATEDIF($G50-1,CF$14+1,"m"),)/12,)*Index!CE$23</f>
        <v>0</v>
      </c>
      <c r="CG50" s="171">
        <f>$F50*(1+$H50)^ROUNDUP(IFERROR(DATEDIF($G50-1,CG$14+1,"m"),)/12,)*Index!CF$23</f>
        <v>0</v>
      </c>
      <c r="CH50" s="171">
        <f>$F50*(1+$H50)^ROUNDUP(IFERROR(DATEDIF($G50-1,CH$14+1,"m"),)/12,)*Index!CG$23</f>
        <v>0</v>
      </c>
      <c r="CI50" s="171">
        <f>$F50*(1+$H50)^ROUNDUP(IFERROR(DATEDIF($G50-1,CI$14+1,"m"),)/12,)*Index!CH$23</f>
        <v>0</v>
      </c>
      <c r="CJ50" s="171">
        <f>$F50*(1+$H50)^ROUNDUP(IFERROR(DATEDIF($G50-1,CJ$14+1,"m"),)/12,)*Index!CI$23</f>
        <v>0</v>
      </c>
      <c r="CK50" s="171">
        <f>$F50*(1+$H50)^ROUNDUP(IFERROR(DATEDIF($G50-1,CK$14+1,"m"),)/12,)*Index!CJ$23</f>
        <v>0</v>
      </c>
      <c r="CL50" s="171">
        <f>$F50*(1+$H50)^ROUNDUP(IFERROR(DATEDIF($G50-1,CL$14+1,"m"),)/12,)*Index!CK$23</f>
        <v>0</v>
      </c>
      <c r="CM50" s="171">
        <f>$F50*(1+$H50)^ROUNDUP(IFERROR(DATEDIF($G50-1,CM$14+1,"m"),)/12,)*Index!CL$23</f>
        <v>0</v>
      </c>
      <c r="CN50" s="171">
        <f>$F50*(1+$H50)^ROUNDUP(IFERROR(DATEDIF($G50-1,CN$14+1,"m"),)/12,)*Index!CM$23</f>
        <v>0</v>
      </c>
      <c r="CO50" s="171">
        <f>$F50*(1+$H50)^ROUNDUP(IFERROR(DATEDIF($G50-1,CO$14+1,"m"),)/12,)*Index!CN$23</f>
        <v>0</v>
      </c>
      <c r="CP50" s="171">
        <f>$F50*(1+$H50)^ROUNDUP(IFERROR(DATEDIF($G50-1,CP$14+1,"m"),)/12,)*Index!CO$23</f>
        <v>0</v>
      </c>
      <c r="CQ50" s="171">
        <f>$F50*(1+$H50)^ROUNDUP(IFERROR(DATEDIF($G50-1,CQ$14+1,"m"),)/12,)*Index!CP$23</f>
        <v>0</v>
      </c>
      <c r="CR50" s="171">
        <f>$F50*(1+$H50)^ROUNDUP(IFERROR(DATEDIF($G50-1,CR$14+1,"m"),)/12,)*Index!CQ$23</f>
        <v>0</v>
      </c>
      <c r="CS50" s="171">
        <f>$F50*(1+$H50)^ROUNDUP(IFERROR(DATEDIF($G50-1,CS$14+1,"m"),)/12,)*Index!CR$23</f>
        <v>0</v>
      </c>
      <c r="CT50" s="171">
        <f>$F50*(1+$H50)^ROUNDUP(IFERROR(DATEDIF($G50-1,CT$14+1,"m"),)/12,)*Index!CS$23</f>
        <v>0</v>
      </c>
      <c r="CU50" s="171">
        <f>$F50*(1+$H50)^ROUNDUP(IFERROR(DATEDIF($G50-1,CU$14+1,"m"),)/12,)*Index!CT$23</f>
        <v>0</v>
      </c>
      <c r="CV50" s="171">
        <f>$F50*(1+$H50)^ROUNDUP(IFERROR(DATEDIF($G50-1,CV$14+1,"m"),)/12,)*Index!CU$23</f>
        <v>0</v>
      </c>
      <c r="CW50" s="171">
        <f>$F50*(1+$H50)^ROUNDUP(IFERROR(DATEDIF($G50-1,CW$14+1,"m"),)/12,)*Index!CV$23</f>
        <v>0</v>
      </c>
      <c r="CX50" s="171">
        <f>$F50*(1+$H50)^ROUNDUP(IFERROR(DATEDIF($G50-1,CX$14+1,"m"),)/12,)*Index!CW$23</f>
        <v>0</v>
      </c>
      <c r="CY50" s="171">
        <f>$F50*(1+$H50)^ROUNDUP(IFERROR(DATEDIF($G50-1,CY$14+1,"m"),)/12,)*Index!CX$23</f>
        <v>0</v>
      </c>
      <c r="CZ50" s="171">
        <f>$F50*(1+$H50)^ROUNDUP(IFERROR(DATEDIF($G50-1,CZ$14+1,"m"),)/12,)*Index!CY$23</f>
        <v>0</v>
      </c>
      <c r="DA50" s="171">
        <f>$F50*(1+$H50)^ROUNDUP(IFERROR(DATEDIF($G50-1,DA$14+1,"m"),)/12,)*Index!CZ$23</f>
        <v>0</v>
      </c>
      <c r="DB50" s="171">
        <f>$F50*(1+$H50)^ROUNDUP(IFERROR(DATEDIF($G50-1,DB$14+1,"m"),)/12,)*Index!DA$23</f>
        <v>0</v>
      </c>
      <c r="DC50" s="171">
        <f>$F50*(1+$H50)^ROUNDUP(IFERROR(DATEDIF($G50-1,DC$14+1,"m"),)/12,)*Index!DB$23</f>
        <v>0</v>
      </c>
      <c r="DD50" s="171">
        <f>$F50*(1+$H50)^ROUNDUP(IFERROR(DATEDIF($G50-1,DD$14+1,"m"),)/12,)*Index!DC$23</f>
        <v>0</v>
      </c>
      <c r="DE50" s="171">
        <f>$F50*(1+$H50)^ROUNDUP(IFERROR(DATEDIF($G50-1,DE$14+1,"m"),)/12,)*Index!DD$23</f>
        <v>0</v>
      </c>
      <c r="DF50" s="171">
        <f>$F50*(1+$H50)^ROUNDUP(IFERROR(DATEDIF($G50-1,DF$14+1,"m"),)/12,)*Index!DE$23</f>
        <v>0</v>
      </c>
      <c r="DG50" s="171">
        <f>$F50*(1+$H50)^ROUNDUP(IFERROR(DATEDIF($G50-1,DG$14+1,"m"),)/12,)*Index!DF$23</f>
        <v>0</v>
      </c>
      <c r="DH50" s="171">
        <f>$F50*(1+$H50)^ROUNDUP(IFERROR(DATEDIF($G50-1,DH$14+1,"m"),)/12,)*Index!DG$23</f>
        <v>0</v>
      </c>
      <c r="DI50" s="171">
        <f>$F50*(1+$H50)^ROUNDUP(IFERROR(DATEDIF($G50-1,DI$14+1,"m"),)/12,)*Index!DH$23</f>
        <v>0</v>
      </c>
      <c r="DJ50" s="171">
        <f>$F50*(1+$H50)^ROUNDUP(IFERROR(DATEDIF($G50-1,DJ$14+1,"m"),)/12,)*Index!DI$23</f>
        <v>0</v>
      </c>
      <c r="DK50" s="171">
        <f>$F50*(1+$H50)^ROUNDUP(IFERROR(DATEDIF($G50-1,DK$14+1,"m"),)/12,)*Index!DJ$23</f>
        <v>0</v>
      </c>
      <c r="DL50" s="171">
        <f>$F50*(1+$H50)^ROUNDUP(IFERROR(DATEDIF($G50-1,DL$14+1,"m"),)/12,)*Index!DK$23</f>
        <v>0</v>
      </c>
      <c r="DM50" s="171">
        <f>$F50*(1+$H50)^ROUNDUP(IFERROR(DATEDIF($G50-1,DM$14+1,"m"),)/12,)*Index!DL$23</f>
        <v>0</v>
      </c>
      <c r="DN50" s="171">
        <f>$F50*(1+$H50)^ROUNDUP(IFERROR(DATEDIF($G50-1,DN$14+1,"m"),)/12,)*Index!DM$23</f>
        <v>0</v>
      </c>
      <c r="DO50" s="171">
        <f>$F50*(1+$H50)^ROUNDUP(IFERROR(DATEDIF($G50-1,DO$14+1,"m"),)/12,)*Index!DN$23</f>
        <v>0</v>
      </c>
      <c r="DP50" s="171">
        <f>$F50*(1+$H50)^ROUNDUP(IFERROR(DATEDIF($G50-1,DP$14+1,"m"),)/12,)*Index!DO$23</f>
        <v>0</v>
      </c>
      <c r="DQ50" s="171">
        <f>$F50*(1+$H50)^ROUNDUP(IFERROR(DATEDIF($G50-1,DQ$14+1,"m"),)/12,)*Index!DP$23</f>
        <v>0</v>
      </c>
      <c r="DR50" s="171">
        <f>$F50*(1+$H50)^ROUNDUP(IFERROR(DATEDIF($G50-1,DR$14+1,"m"),)/12,)*Index!DQ$23</f>
        <v>0</v>
      </c>
      <c r="DS50" s="171">
        <f>$F50*(1+$H50)^ROUNDUP(IFERROR(DATEDIF($G50-1,DS$14+1,"m"),)/12,)*Index!DR$23</f>
        <v>0</v>
      </c>
      <c r="DT50" s="171">
        <f>$F50*(1+$H50)^ROUNDUP(IFERROR(DATEDIF($G50-1,DT$14+1,"m"),)/12,)*Index!DS$23</f>
        <v>0</v>
      </c>
      <c r="DU50" s="171">
        <f>$F50*(1+$H50)^ROUNDUP(IFERROR(DATEDIF($G50-1,DU$14+1,"m"),)/12,)*Index!DT$23</f>
        <v>0</v>
      </c>
      <c r="DV50" s="171">
        <f>$F50*(1+$H50)^ROUNDUP(IFERROR(DATEDIF($G50-1,DV$14+1,"m"),)/12,)*Index!DU$23</f>
        <v>0</v>
      </c>
      <c r="DW50" s="171">
        <f>$F50*(1+$H50)^ROUNDUP(IFERROR(DATEDIF($G50-1,DW$14+1,"m"),)/12,)*Index!DV$23</f>
        <v>0</v>
      </c>
      <c r="DX50" s="171">
        <f>$F50*(1+$H50)^ROUNDUP(IFERROR(DATEDIF($G50-1,DX$14+1,"m"),)/12,)*Index!DW$23</f>
        <v>0</v>
      </c>
      <c r="DY50" s="171">
        <f>$F50*(1+$H50)^ROUNDUP(IFERROR(DATEDIF($G50-1,DY$14+1,"m"),)/12,)*Index!DX$23</f>
        <v>0</v>
      </c>
      <c r="DZ50" s="171">
        <f>$F50*(1+$H50)^ROUNDUP(IFERROR(DATEDIF($G50-1,DZ$14+1,"m"),)/12,)*Index!DY$23</f>
        <v>0</v>
      </c>
      <c r="EA50" s="171">
        <f>$F50*(1+$H50)^ROUNDUP(IFERROR(DATEDIF($G50-1,EA$14+1,"m"),)/12,)*Index!DZ$23</f>
        <v>0</v>
      </c>
      <c r="EB50" s="171">
        <f>$F50*(1+$H50)^ROUNDUP(IFERROR(DATEDIF($G50-1,EB$14+1,"m"),)/12,)*Index!EA$23</f>
        <v>0</v>
      </c>
      <c r="EC50" s="171">
        <f>$F50*(1+$H50)^ROUNDUP(IFERROR(DATEDIF($G50-1,EC$14+1,"m"),)/12,)*Index!EB$23</f>
        <v>0</v>
      </c>
      <c r="ED50" s="171">
        <f>$F50*(1+$H50)^ROUNDUP(IFERROR(DATEDIF($G50-1,ED$14+1,"m"),)/12,)*Index!EC$23</f>
        <v>13108.670835265802</v>
      </c>
      <c r="EE50" s="171">
        <f>$F50*(1+$H50)^ROUNDUP(IFERROR(DATEDIF($G50-1,EE$14+1,"m"),)/12,)*Index!ED$23</f>
        <v>13108.670835265802</v>
      </c>
      <c r="EF50" s="171">
        <f>$F50*(1+$H50)^ROUNDUP(IFERROR(DATEDIF($G50-1,EF$14+1,"m"),)/12,)*Index!EE$23</f>
        <v>13108.670835265802</v>
      </c>
      <c r="EG50" s="171">
        <f>$F50*(1+$H50)^ROUNDUP(IFERROR(DATEDIF($G50-1,EG$14+1,"m"),)/12,)*Index!EF$23</f>
        <v>13108.670835265802</v>
      </c>
      <c r="EH50" s="171">
        <f>$F50*(1+$H50)^ROUNDUP(IFERROR(DATEDIF($G50-1,EH$14+1,"m"),)/12,)*Index!EG$23</f>
        <v>13108.670835265802</v>
      </c>
      <c r="EI50" s="171">
        <f>$F50*(1+$H50)^ROUNDUP(IFERROR(DATEDIF($G50-1,EI$14+1,"m"),)/12,)*Index!EH$23</f>
        <v>13108.670835265802</v>
      </c>
      <c r="EJ50" s="171">
        <f>$F50*(1+$H50)^ROUNDUP(IFERROR(DATEDIF($G50-1,EJ$14+1,"m"),)/12,)*Index!EI$23</f>
        <v>13108.670835265802</v>
      </c>
      <c r="EK50" s="171">
        <f>$F50*(1+$H50)^ROUNDUP(IFERROR(DATEDIF($G50-1,EK$14+1,"m"),)/12,)*Index!EJ$23</f>
        <v>13108.670835265802</v>
      </c>
      <c r="EL50" s="171">
        <f>$F50*(1+$H50)^ROUNDUP(IFERROR(DATEDIF($G50-1,EL$14+1,"m"),)/12,)*Index!EK$23</f>
        <v>13108.670835265802</v>
      </c>
      <c r="EM50" s="171">
        <f>$F50*(1+$H50)^ROUNDUP(IFERROR(DATEDIF($G50-1,EM$14+1,"m"),)/12,)*Index!EL$23</f>
        <v>13108.670835265802</v>
      </c>
      <c r="EN50" s="171">
        <f>$F50*(1+$H50)^ROUNDUP(IFERROR(DATEDIF($G50-1,EN$14+1,"m"),)/12,)*Index!EM$23</f>
        <v>13108.670835265802</v>
      </c>
      <c r="EO50" s="171">
        <f>$F50*(1+$H50)^ROUNDUP(IFERROR(DATEDIF($G50-1,EO$14+1,"m"),)/12,)*Index!EN$23</f>
        <v>13108.670835265802</v>
      </c>
      <c r="EP50" s="171">
        <f>$F50*(1+$H50)^ROUNDUP(IFERROR(DATEDIF($G50-1,EP$14+1,"m"),)/12,)*Index!EO$23</f>
        <v>0</v>
      </c>
      <c r="EQ50" s="171">
        <f>$F50*(1+$H50)^ROUNDUP(IFERROR(DATEDIF($G50-1,EQ$14+1,"m"),)/12,)*Index!EP$23</f>
        <v>0</v>
      </c>
      <c r="ER50" s="171">
        <f>$F50*(1+$H50)^ROUNDUP(IFERROR(DATEDIF($G50-1,ER$14+1,"m"),)/12,)*Index!EQ$23</f>
        <v>0</v>
      </c>
    </row>
    <row r="51" spans="3:148" ht="11.25" customHeight="1">
      <c r="C51" s="163"/>
      <c r="D51" s="169" t="s">
        <v>92</v>
      </c>
      <c r="F51" s="805">
        <f t="shared" si="29"/>
        <v>32849.518333333333</v>
      </c>
      <c r="G51" s="806">
        <f t="shared" si="29"/>
        <v>46691</v>
      </c>
      <c r="H51" s="807">
        <f t="shared" si="29"/>
        <v>-1.4999999999999999E-2</v>
      </c>
      <c r="I51" s="65"/>
      <c r="J51" s="90"/>
      <c r="K51" s="171">
        <f t="shared" si="30"/>
        <v>338900.77109659807</v>
      </c>
      <c r="L51" s="98"/>
      <c r="M51" s="171">
        <f>$F51*(1+$H51)^ROUNDUP(IFERROR(DATEDIF($G51-1,M$14+1,"m"),)/12,)*Index!L$23</f>
        <v>0</v>
      </c>
      <c r="N51" s="171">
        <f>$F51*(1+$H51)^ROUNDUP(IFERROR(DATEDIF($G51-1,N$14+1,"m"),)/12,)*Index!M$23</f>
        <v>0</v>
      </c>
      <c r="O51" s="171">
        <f>$F51*(1+$H51)^ROUNDUP(IFERROR(DATEDIF($G51-1,O$14+1,"m"),)/12,)*Index!N$23</f>
        <v>0</v>
      </c>
      <c r="P51" s="171">
        <f>$F51*(1+$H51)^ROUNDUP(IFERROR(DATEDIF($G51-1,P$14+1,"m"),)/12,)*Index!O$23</f>
        <v>0</v>
      </c>
      <c r="Q51" s="171">
        <f>$F51*(1+$H51)^ROUNDUP(IFERROR(DATEDIF($G51-1,Q$14+1,"m"),)/12,)*Index!P$23</f>
        <v>0</v>
      </c>
      <c r="R51" s="171">
        <f>$F51*(1+$H51)^ROUNDUP(IFERROR(DATEDIF($G51-1,R$14+1,"m"),)/12,)*Index!Q$23</f>
        <v>0</v>
      </c>
      <c r="S51" s="171">
        <f>$F51*(1+$H51)^ROUNDUP(IFERROR(DATEDIF($G51-1,S$14+1,"m"),)/12,)*Index!R$23</f>
        <v>0</v>
      </c>
      <c r="T51" s="171">
        <f>$F51*(1+$H51)^ROUNDUP(IFERROR(DATEDIF($G51-1,T$14+1,"m"),)/12,)*Index!S$23</f>
        <v>0</v>
      </c>
      <c r="U51" s="171">
        <f>$F51*(1+$H51)^ROUNDUP(IFERROR(DATEDIF($G51-1,U$14+1,"m"),)/12,)*Index!T$23</f>
        <v>0</v>
      </c>
      <c r="V51" s="171">
        <f>$F51*(1+$H51)^ROUNDUP(IFERROR(DATEDIF($G51-1,V$14+1,"m"),)/12,)*Index!U$23</f>
        <v>0</v>
      </c>
      <c r="W51" s="171">
        <f>$F51*(1+$H51)^ROUNDUP(IFERROR(DATEDIF($G51-1,W$14+1,"m"),)/12,)*Index!V$23</f>
        <v>0</v>
      </c>
      <c r="X51" s="171">
        <f>$F51*(1+$H51)^ROUNDUP(IFERROR(DATEDIF($G51-1,X$14+1,"m"),)/12,)*Index!W$23</f>
        <v>0</v>
      </c>
      <c r="Y51" s="171">
        <f>$F51*(1+$H51)^ROUNDUP(IFERROR(DATEDIF($G51-1,Y$14+1,"m"),)/12,)*Index!X$23</f>
        <v>0</v>
      </c>
      <c r="Z51" s="171">
        <f>$F51*(1+$H51)^ROUNDUP(IFERROR(DATEDIF($G51-1,Z$14+1,"m"),)/12,)*Index!Y$23</f>
        <v>0</v>
      </c>
      <c r="AA51" s="171">
        <f>$F51*(1+$H51)^ROUNDUP(IFERROR(DATEDIF($G51-1,AA$14+1,"m"),)/12,)*Index!Z$23</f>
        <v>0</v>
      </c>
      <c r="AB51" s="171">
        <f>$F51*(1+$H51)^ROUNDUP(IFERROR(DATEDIF($G51-1,AB$14+1,"m"),)/12,)*Index!AA$23</f>
        <v>0</v>
      </c>
      <c r="AC51" s="171">
        <f>$F51*(1+$H51)^ROUNDUP(IFERROR(DATEDIF($G51-1,AC$14+1,"m"),)/12,)*Index!AB$23</f>
        <v>0</v>
      </c>
      <c r="AD51" s="171">
        <f>$F51*(1+$H51)^ROUNDUP(IFERROR(DATEDIF($G51-1,AD$14+1,"m"),)/12,)*Index!AC$23</f>
        <v>0</v>
      </c>
      <c r="AE51" s="171">
        <f>$F51*(1+$H51)^ROUNDUP(IFERROR(DATEDIF($G51-1,AE$14+1,"m"),)/12,)*Index!AD$23</f>
        <v>0</v>
      </c>
      <c r="AF51" s="171">
        <f>$F51*(1+$H51)^ROUNDUP(IFERROR(DATEDIF($G51-1,AF$14+1,"m"),)/12,)*Index!AE$23</f>
        <v>0</v>
      </c>
      <c r="AG51" s="171">
        <f>$F51*(1+$H51)^ROUNDUP(IFERROR(DATEDIF($G51-1,AG$14+1,"m"),)/12,)*Index!AF$23</f>
        <v>0</v>
      </c>
      <c r="AH51" s="171">
        <f>$F51*(1+$H51)^ROUNDUP(IFERROR(DATEDIF($G51-1,AH$14+1,"m"),)/12,)*Index!AG$23</f>
        <v>0</v>
      </c>
      <c r="AI51" s="171">
        <f>$F51*(1+$H51)^ROUNDUP(IFERROR(DATEDIF($G51-1,AI$14+1,"m"),)/12,)*Index!AH$23</f>
        <v>0</v>
      </c>
      <c r="AJ51" s="171">
        <f>$F51*(1+$H51)^ROUNDUP(IFERROR(DATEDIF($G51-1,AJ$14+1,"m"),)/12,)*Index!AI$23</f>
        <v>0</v>
      </c>
      <c r="AK51" s="171">
        <f>$F51*(1+$H51)^ROUNDUP(IFERROR(DATEDIF($G51-1,AK$14+1,"m"),)/12,)*Index!AJ$23</f>
        <v>0</v>
      </c>
      <c r="AL51" s="171">
        <f>$F51*(1+$H51)^ROUNDUP(IFERROR(DATEDIF($G51-1,AL$14+1,"m"),)/12,)*Index!AK$23</f>
        <v>0</v>
      </c>
      <c r="AM51" s="171">
        <f>$F51*(1+$H51)^ROUNDUP(IFERROR(DATEDIF($G51-1,AM$14+1,"m"),)/12,)*Index!AL$23</f>
        <v>0</v>
      </c>
      <c r="AN51" s="171">
        <f>$F51*(1+$H51)^ROUNDUP(IFERROR(DATEDIF($G51-1,AN$14+1,"m"),)/12,)*Index!AM$23</f>
        <v>0</v>
      </c>
      <c r="AO51" s="171">
        <f>$F51*(1+$H51)^ROUNDUP(IFERROR(DATEDIF($G51-1,AO$14+1,"m"),)/12,)*Index!AN$23</f>
        <v>0</v>
      </c>
      <c r="AP51" s="171">
        <f>$F51*(1+$H51)^ROUNDUP(IFERROR(DATEDIF($G51-1,AP$14+1,"m"),)/12,)*Index!AO$23</f>
        <v>0</v>
      </c>
      <c r="AQ51" s="171">
        <f>$F51*(1+$H51)^ROUNDUP(IFERROR(DATEDIF($G51-1,AQ$14+1,"m"),)/12,)*Index!AP$23</f>
        <v>0</v>
      </c>
      <c r="AR51" s="171">
        <f>$F51*(1+$H51)^ROUNDUP(IFERROR(DATEDIF($G51-1,AR$14+1,"m"),)/12,)*Index!AQ$23</f>
        <v>0</v>
      </c>
      <c r="AS51" s="171">
        <f>$F51*(1+$H51)^ROUNDUP(IFERROR(DATEDIF($G51-1,AS$14+1,"m"),)/12,)*Index!AR$23</f>
        <v>0</v>
      </c>
      <c r="AT51" s="171">
        <f>$F51*(1+$H51)^ROUNDUP(IFERROR(DATEDIF($G51-1,AT$14+1,"m"),)/12,)*Index!AS$23</f>
        <v>0</v>
      </c>
      <c r="AU51" s="171">
        <f>$F51*(1+$H51)^ROUNDUP(IFERROR(DATEDIF($G51-1,AU$14+1,"m"),)/12,)*Index!AT$23</f>
        <v>0</v>
      </c>
      <c r="AV51" s="171">
        <f>$F51*(1+$H51)^ROUNDUP(IFERROR(DATEDIF($G51-1,AV$14+1,"m"),)/12,)*Index!AU$23</f>
        <v>0</v>
      </c>
      <c r="AW51" s="171">
        <f>$F51*(1+$H51)^ROUNDUP(IFERROR(DATEDIF($G51-1,AW$14+1,"m"),)/12,)*Index!AV$23</f>
        <v>0</v>
      </c>
      <c r="AX51" s="171">
        <f>$F51*(1+$H51)^ROUNDUP(IFERROR(DATEDIF($G51-1,AX$14+1,"m"),)/12,)*Index!AW$23</f>
        <v>0</v>
      </c>
      <c r="AY51" s="171">
        <f>$F51*(1+$H51)^ROUNDUP(IFERROR(DATEDIF($G51-1,AY$14+1,"m"),)/12,)*Index!AX$23</f>
        <v>0</v>
      </c>
      <c r="AZ51" s="171">
        <f>$F51*(1+$H51)^ROUNDUP(IFERROR(DATEDIF($G51-1,AZ$14+1,"m"),)/12,)*Index!AY$23</f>
        <v>0</v>
      </c>
      <c r="BA51" s="171">
        <f>$F51*(1+$H51)^ROUNDUP(IFERROR(DATEDIF($G51-1,BA$14+1,"m"),)/12,)*Index!AZ$23</f>
        <v>0</v>
      </c>
      <c r="BB51" s="171">
        <f>$F51*(1+$H51)^ROUNDUP(IFERROR(DATEDIF($G51-1,BB$14+1,"m"),)/12,)*Index!BA$23</f>
        <v>0</v>
      </c>
      <c r="BC51" s="171">
        <f>$F51*(1+$H51)^ROUNDUP(IFERROR(DATEDIF($G51-1,BC$14+1,"m"),)/12,)*Index!BB$23</f>
        <v>0</v>
      </c>
      <c r="BD51" s="171">
        <f>$F51*(1+$H51)^ROUNDUP(IFERROR(DATEDIF($G51-1,BD$14+1,"m"),)/12,)*Index!BC$23</f>
        <v>0</v>
      </c>
      <c r="BE51" s="171">
        <f>$F51*(1+$H51)^ROUNDUP(IFERROR(DATEDIF($G51-1,BE$14+1,"m"),)/12,)*Index!BD$23</f>
        <v>0</v>
      </c>
      <c r="BF51" s="171">
        <f>$F51*(1+$H51)^ROUNDUP(IFERROR(DATEDIF($G51-1,BF$14+1,"m"),)/12,)*Index!BE$23</f>
        <v>0</v>
      </c>
      <c r="BG51" s="171">
        <f>$F51*(1+$H51)^ROUNDUP(IFERROR(DATEDIF($G51-1,BG$14+1,"m"),)/12,)*Index!BF$23</f>
        <v>0</v>
      </c>
      <c r="BH51" s="171">
        <f>$F51*(1+$H51)^ROUNDUP(IFERROR(DATEDIF($G51-1,BH$14+1,"m"),)/12,)*Index!BG$23</f>
        <v>0</v>
      </c>
      <c r="BI51" s="171">
        <f>$F51*(1+$H51)^ROUNDUP(IFERROR(DATEDIF($G51-1,BI$14+1,"m"),)/12,)*Index!BH$23</f>
        <v>0</v>
      </c>
      <c r="BJ51" s="171">
        <f>$F51*(1+$H51)^ROUNDUP(IFERROR(DATEDIF($G51-1,BJ$14+1,"m"),)/12,)*Index!BI$23</f>
        <v>0</v>
      </c>
      <c r="BK51" s="171">
        <f>$F51*(1+$H51)^ROUNDUP(IFERROR(DATEDIF($G51-1,BK$14+1,"m"),)/12,)*Index!BJ$23</f>
        <v>0</v>
      </c>
      <c r="BL51" s="171">
        <f>$F51*(1+$H51)^ROUNDUP(IFERROR(DATEDIF($G51-1,BL$14+1,"m"),)/12,)*Index!BK$23</f>
        <v>0</v>
      </c>
      <c r="BM51" s="171">
        <f>$F51*(1+$H51)^ROUNDUP(IFERROR(DATEDIF($G51-1,BM$14+1,"m"),)/12,)*Index!BL$23</f>
        <v>0</v>
      </c>
      <c r="BN51" s="171">
        <f>$F51*(1+$H51)^ROUNDUP(IFERROR(DATEDIF($G51-1,BN$14+1,"m"),)/12,)*Index!BM$23</f>
        <v>0</v>
      </c>
      <c r="BO51" s="171">
        <f>$F51*(1+$H51)^ROUNDUP(IFERROR(DATEDIF($G51-1,BO$14+1,"m"),)/12,)*Index!BN$23</f>
        <v>0</v>
      </c>
      <c r="BP51" s="171">
        <f>$F51*(1+$H51)^ROUNDUP(IFERROR(DATEDIF($G51-1,BP$14+1,"m"),)/12,)*Index!BO$23</f>
        <v>0</v>
      </c>
      <c r="BQ51" s="171">
        <f>$F51*(1+$H51)^ROUNDUP(IFERROR(DATEDIF($G51-1,BQ$14+1,"m"),)/12,)*Index!BP$23</f>
        <v>0</v>
      </c>
      <c r="BR51" s="171">
        <f>$F51*(1+$H51)^ROUNDUP(IFERROR(DATEDIF($G51-1,BR$14+1,"m"),)/12,)*Index!BQ$23</f>
        <v>0</v>
      </c>
      <c r="BS51" s="171">
        <f>$F51*(1+$H51)^ROUNDUP(IFERROR(DATEDIF($G51-1,BS$14+1,"m"),)/12,)*Index!BR$23</f>
        <v>0</v>
      </c>
      <c r="BT51" s="171">
        <f>$F51*(1+$H51)^ROUNDUP(IFERROR(DATEDIF($G51-1,BT$14+1,"m"),)/12,)*Index!BS$23</f>
        <v>0</v>
      </c>
      <c r="BU51" s="171">
        <f>$F51*(1+$H51)^ROUNDUP(IFERROR(DATEDIF($G51-1,BU$14+1,"m"),)/12,)*Index!BT$23</f>
        <v>0</v>
      </c>
      <c r="BV51" s="171">
        <f>$F51*(1+$H51)^ROUNDUP(IFERROR(DATEDIF($G51-1,BV$14+1,"m"),)/12,)*Index!BU$23</f>
        <v>0</v>
      </c>
      <c r="BW51" s="171">
        <f>$F51*(1+$H51)^ROUNDUP(IFERROR(DATEDIF($G51-1,BW$14+1,"m"),)/12,)*Index!BV$23</f>
        <v>0</v>
      </c>
      <c r="BX51" s="171">
        <f>$F51*(1+$H51)^ROUNDUP(IFERROR(DATEDIF($G51-1,BX$14+1,"m"),)/12,)*Index!BW$23</f>
        <v>0</v>
      </c>
      <c r="BY51" s="171">
        <f>$F51*(1+$H51)^ROUNDUP(IFERROR(DATEDIF($G51-1,BY$14+1,"m"),)/12,)*Index!BX$23</f>
        <v>0</v>
      </c>
      <c r="BZ51" s="171">
        <f>$F51*(1+$H51)^ROUNDUP(IFERROR(DATEDIF($G51-1,BZ$14+1,"m"),)/12,)*Index!BY$23</f>
        <v>0</v>
      </c>
      <c r="CA51" s="171">
        <f>$F51*(1+$H51)^ROUNDUP(IFERROR(DATEDIF($G51-1,CA$14+1,"m"),)/12,)*Index!BZ$23</f>
        <v>0</v>
      </c>
      <c r="CB51" s="171">
        <f>$F51*(1+$H51)^ROUNDUP(IFERROR(DATEDIF($G51-1,CB$14+1,"m"),)/12,)*Index!CA$23</f>
        <v>0</v>
      </c>
      <c r="CC51" s="171">
        <f>$F51*(1+$H51)^ROUNDUP(IFERROR(DATEDIF($G51-1,CC$14+1,"m"),)/12,)*Index!CB$23</f>
        <v>0</v>
      </c>
      <c r="CD51" s="171">
        <f>$F51*(1+$H51)^ROUNDUP(IFERROR(DATEDIF($G51-1,CD$14+1,"m"),)/12,)*Index!CC$23</f>
        <v>0</v>
      </c>
      <c r="CE51" s="171">
        <f>$F51*(1+$H51)^ROUNDUP(IFERROR(DATEDIF($G51-1,CE$14+1,"m"),)/12,)*Index!CD$23</f>
        <v>0</v>
      </c>
      <c r="CF51" s="171">
        <f>$F51*(1+$H51)^ROUNDUP(IFERROR(DATEDIF($G51-1,CF$14+1,"m"),)/12,)*Index!CE$23</f>
        <v>0</v>
      </c>
      <c r="CG51" s="171">
        <f>$F51*(1+$H51)^ROUNDUP(IFERROR(DATEDIF($G51-1,CG$14+1,"m"),)/12,)*Index!CF$23</f>
        <v>0</v>
      </c>
      <c r="CH51" s="171">
        <f>$F51*(1+$H51)^ROUNDUP(IFERROR(DATEDIF($G51-1,CH$14+1,"m"),)/12,)*Index!CG$23</f>
        <v>0</v>
      </c>
      <c r="CI51" s="171">
        <f>$F51*(1+$H51)^ROUNDUP(IFERROR(DATEDIF($G51-1,CI$14+1,"m"),)/12,)*Index!CH$23</f>
        <v>0</v>
      </c>
      <c r="CJ51" s="171">
        <f>$F51*(1+$H51)^ROUNDUP(IFERROR(DATEDIF($G51-1,CJ$14+1,"m"),)/12,)*Index!CI$23</f>
        <v>0</v>
      </c>
      <c r="CK51" s="171">
        <f>$F51*(1+$H51)^ROUNDUP(IFERROR(DATEDIF($G51-1,CK$14+1,"m"),)/12,)*Index!CJ$23</f>
        <v>0</v>
      </c>
      <c r="CL51" s="171">
        <f>$F51*(1+$H51)^ROUNDUP(IFERROR(DATEDIF($G51-1,CL$14+1,"m"),)/12,)*Index!CK$23</f>
        <v>0</v>
      </c>
      <c r="CM51" s="171">
        <f>$F51*(1+$H51)^ROUNDUP(IFERROR(DATEDIF($G51-1,CM$14+1,"m"),)/12,)*Index!CL$23</f>
        <v>0</v>
      </c>
      <c r="CN51" s="171">
        <f>$F51*(1+$H51)^ROUNDUP(IFERROR(DATEDIF($G51-1,CN$14+1,"m"),)/12,)*Index!CM$23</f>
        <v>0</v>
      </c>
      <c r="CO51" s="171">
        <f>$F51*(1+$H51)^ROUNDUP(IFERROR(DATEDIF($G51-1,CO$14+1,"m"),)/12,)*Index!CN$23</f>
        <v>0</v>
      </c>
      <c r="CP51" s="171">
        <f>$F51*(1+$H51)^ROUNDUP(IFERROR(DATEDIF($G51-1,CP$14+1,"m"),)/12,)*Index!CO$23</f>
        <v>0</v>
      </c>
      <c r="CQ51" s="171">
        <f>$F51*(1+$H51)^ROUNDUP(IFERROR(DATEDIF($G51-1,CQ$14+1,"m"),)/12,)*Index!CP$23</f>
        <v>0</v>
      </c>
      <c r="CR51" s="171">
        <f>$F51*(1+$H51)^ROUNDUP(IFERROR(DATEDIF($G51-1,CR$14+1,"m"),)/12,)*Index!CQ$23</f>
        <v>0</v>
      </c>
      <c r="CS51" s="171">
        <f>$F51*(1+$H51)^ROUNDUP(IFERROR(DATEDIF($G51-1,CS$14+1,"m"),)/12,)*Index!CR$23</f>
        <v>0</v>
      </c>
      <c r="CT51" s="171">
        <f>$F51*(1+$H51)^ROUNDUP(IFERROR(DATEDIF($G51-1,CT$14+1,"m"),)/12,)*Index!CS$23</f>
        <v>0</v>
      </c>
      <c r="CU51" s="171">
        <f>$F51*(1+$H51)^ROUNDUP(IFERROR(DATEDIF($G51-1,CU$14+1,"m"),)/12,)*Index!CT$23</f>
        <v>0</v>
      </c>
      <c r="CV51" s="171">
        <f>$F51*(1+$H51)^ROUNDUP(IFERROR(DATEDIF($G51-1,CV$14+1,"m"),)/12,)*Index!CU$23</f>
        <v>0</v>
      </c>
      <c r="CW51" s="171">
        <f>$F51*(1+$H51)^ROUNDUP(IFERROR(DATEDIF($G51-1,CW$14+1,"m"),)/12,)*Index!CV$23</f>
        <v>0</v>
      </c>
      <c r="CX51" s="171">
        <f>$F51*(1+$H51)^ROUNDUP(IFERROR(DATEDIF($G51-1,CX$14+1,"m"),)/12,)*Index!CW$23</f>
        <v>0</v>
      </c>
      <c r="CY51" s="171">
        <f>$F51*(1+$H51)^ROUNDUP(IFERROR(DATEDIF($G51-1,CY$14+1,"m"),)/12,)*Index!CX$23</f>
        <v>0</v>
      </c>
      <c r="CZ51" s="171">
        <f>$F51*(1+$H51)^ROUNDUP(IFERROR(DATEDIF($G51-1,CZ$14+1,"m"),)/12,)*Index!CY$23</f>
        <v>0</v>
      </c>
      <c r="DA51" s="171">
        <f>$F51*(1+$H51)^ROUNDUP(IFERROR(DATEDIF($G51-1,DA$14+1,"m"),)/12,)*Index!CZ$23</f>
        <v>0</v>
      </c>
      <c r="DB51" s="171">
        <f>$F51*(1+$H51)^ROUNDUP(IFERROR(DATEDIF($G51-1,DB$14+1,"m"),)/12,)*Index!DA$23</f>
        <v>0</v>
      </c>
      <c r="DC51" s="171">
        <f>$F51*(1+$H51)^ROUNDUP(IFERROR(DATEDIF($G51-1,DC$14+1,"m"),)/12,)*Index!DB$23</f>
        <v>0</v>
      </c>
      <c r="DD51" s="171">
        <f>$F51*(1+$H51)^ROUNDUP(IFERROR(DATEDIF($G51-1,DD$14+1,"m"),)/12,)*Index!DC$23</f>
        <v>0</v>
      </c>
      <c r="DE51" s="171">
        <f>$F51*(1+$H51)^ROUNDUP(IFERROR(DATEDIF($G51-1,DE$14+1,"m"),)/12,)*Index!DD$23</f>
        <v>0</v>
      </c>
      <c r="DF51" s="171">
        <f>$F51*(1+$H51)^ROUNDUP(IFERROR(DATEDIF($G51-1,DF$14+1,"m"),)/12,)*Index!DE$23</f>
        <v>0</v>
      </c>
      <c r="DG51" s="171">
        <f>$F51*(1+$H51)^ROUNDUP(IFERROR(DATEDIF($G51-1,DG$14+1,"m"),)/12,)*Index!DF$23</f>
        <v>0</v>
      </c>
      <c r="DH51" s="171">
        <f>$F51*(1+$H51)^ROUNDUP(IFERROR(DATEDIF($G51-1,DH$14+1,"m"),)/12,)*Index!DG$23</f>
        <v>0</v>
      </c>
      <c r="DI51" s="171">
        <f>$F51*(1+$H51)^ROUNDUP(IFERROR(DATEDIF($G51-1,DI$14+1,"m"),)/12,)*Index!DH$23</f>
        <v>0</v>
      </c>
      <c r="DJ51" s="171">
        <f>$F51*(1+$H51)^ROUNDUP(IFERROR(DATEDIF($G51-1,DJ$14+1,"m"),)/12,)*Index!DI$23</f>
        <v>0</v>
      </c>
      <c r="DK51" s="171">
        <f>$F51*(1+$H51)^ROUNDUP(IFERROR(DATEDIF($G51-1,DK$14+1,"m"),)/12,)*Index!DJ$23</f>
        <v>0</v>
      </c>
      <c r="DL51" s="171">
        <f>$F51*(1+$H51)^ROUNDUP(IFERROR(DATEDIF($G51-1,DL$14+1,"m"),)/12,)*Index!DK$23</f>
        <v>0</v>
      </c>
      <c r="DM51" s="171">
        <f>$F51*(1+$H51)^ROUNDUP(IFERROR(DATEDIF($G51-1,DM$14+1,"m"),)/12,)*Index!DL$23</f>
        <v>0</v>
      </c>
      <c r="DN51" s="171">
        <f>$F51*(1+$H51)^ROUNDUP(IFERROR(DATEDIF($G51-1,DN$14+1,"m"),)/12,)*Index!DM$23</f>
        <v>0</v>
      </c>
      <c r="DO51" s="171">
        <f>$F51*(1+$H51)^ROUNDUP(IFERROR(DATEDIF($G51-1,DO$14+1,"m"),)/12,)*Index!DN$23</f>
        <v>0</v>
      </c>
      <c r="DP51" s="171">
        <f>$F51*(1+$H51)^ROUNDUP(IFERROR(DATEDIF($G51-1,DP$14+1,"m"),)/12,)*Index!DO$23</f>
        <v>0</v>
      </c>
      <c r="DQ51" s="171">
        <f>$F51*(1+$H51)^ROUNDUP(IFERROR(DATEDIF($G51-1,DQ$14+1,"m"),)/12,)*Index!DP$23</f>
        <v>0</v>
      </c>
      <c r="DR51" s="171">
        <f>$F51*(1+$H51)^ROUNDUP(IFERROR(DATEDIF($G51-1,DR$14+1,"m"),)/12,)*Index!DQ$23</f>
        <v>0</v>
      </c>
      <c r="DS51" s="171">
        <f>$F51*(1+$H51)^ROUNDUP(IFERROR(DATEDIF($G51-1,DS$14+1,"m"),)/12,)*Index!DR$23</f>
        <v>0</v>
      </c>
      <c r="DT51" s="171">
        <f>$F51*(1+$H51)^ROUNDUP(IFERROR(DATEDIF($G51-1,DT$14+1,"m"),)/12,)*Index!DS$23</f>
        <v>0</v>
      </c>
      <c r="DU51" s="171">
        <f>$F51*(1+$H51)^ROUNDUP(IFERROR(DATEDIF($G51-1,DU$14+1,"m"),)/12,)*Index!DT$23</f>
        <v>0</v>
      </c>
      <c r="DV51" s="171">
        <f>$F51*(1+$H51)^ROUNDUP(IFERROR(DATEDIF($G51-1,DV$14+1,"m"),)/12,)*Index!DU$23</f>
        <v>0</v>
      </c>
      <c r="DW51" s="171">
        <f>$F51*(1+$H51)^ROUNDUP(IFERROR(DATEDIF($G51-1,DW$14+1,"m"),)/12,)*Index!DV$23</f>
        <v>0</v>
      </c>
      <c r="DX51" s="171">
        <f>$F51*(1+$H51)^ROUNDUP(IFERROR(DATEDIF($G51-1,DX$14+1,"m"),)/12,)*Index!DW$23</f>
        <v>0</v>
      </c>
      <c r="DY51" s="171">
        <f>$F51*(1+$H51)^ROUNDUP(IFERROR(DATEDIF($G51-1,DY$14+1,"m"),)/12,)*Index!DX$23</f>
        <v>0</v>
      </c>
      <c r="DZ51" s="171">
        <f>$F51*(1+$H51)^ROUNDUP(IFERROR(DATEDIF($G51-1,DZ$14+1,"m"),)/12,)*Index!DY$23</f>
        <v>0</v>
      </c>
      <c r="EA51" s="171">
        <f>$F51*(1+$H51)^ROUNDUP(IFERROR(DATEDIF($G51-1,EA$14+1,"m"),)/12,)*Index!DZ$23</f>
        <v>0</v>
      </c>
      <c r="EB51" s="171">
        <f>$F51*(1+$H51)^ROUNDUP(IFERROR(DATEDIF($G51-1,EB$14+1,"m"),)/12,)*Index!EA$23</f>
        <v>0</v>
      </c>
      <c r="EC51" s="171">
        <f>$F51*(1+$H51)^ROUNDUP(IFERROR(DATEDIF($G51-1,EC$14+1,"m"),)/12,)*Index!EB$23</f>
        <v>0</v>
      </c>
      <c r="ED51" s="171">
        <f>$F51*(1+$H51)^ROUNDUP(IFERROR(DATEDIF($G51-1,ED$14+1,"m"),)/12,)*Index!EC$23</f>
        <v>28241.730924716496</v>
      </c>
      <c r="EE51" s="171">
        <f>$F51*(1+$H51)^ROUNDUP(IFERROR(DATEDIF($G51-1,EE$14+1,"m"),)/12,)*Index!ED$23</f>
        <v>28241.730924716496</v>
      </c>
      <c r="EF51" s="171">
        <f>$F51*(1+$H51)^ROUNDUP(IFERROR(DATEDIF($G51-1,EF$14+1,"m"),)/12,)*Index!EE$23</f>
        <v>28241.730924716496</v>
      </c>
      <c r="EG51" s="171">
        <f>$F51*(1+$H51)^ROUNDUP(IFERROR(DATEDIF($G51-1,EG$14+1,"m"),)/12,)*Index!EF$23</f>
        <v>28241.730924716496</v>
      </c>
      <c r="EH51" s="171">
        <f>$F51*(1+$H51)^ROUNDUP(IFERROR(DATEDIF($G51-1,EH$14+1,"m"),)/12,)*Index!EG$23</f>
        <v>28241.730924716496</v>
      </c>
      <c r="EI51" s="171">
        <f>$F51*(1+$H51)^ROUNDUP(IFERROR(DATEDIF($G51-1,EI$14+1,"m"),)/12,)*Index!EH$23</f>
        <v>28241.730924716496</v>
      </c>
      <c r="EJ51" s="171">
        <f>$F51*(1+$H51)^ROUNDUP(IFERROR(DATEDIF($G51-1,EJ$14+1,"m"),)/12,)*Index!EI$23</f>
        <v>28241.730924716496</v>
      </c>
      <c r="EK51" s="171">
        <f>$F51*(1+$H51)^ROUNDUP(IFERROR(DATEDIF($G51-1,EK$14+1,"m"),)/12,)*Index!EJ$23</f>
        <v>28241.730924716496</v>
      </c>
      <c r="EL51" s="171">
        <f>$F51*(1+$H51)^ROUNDUP(IFERROR(DATEDIF($G51-1,EL$14+1,"m"),)/12,)*Index!EK$23</f>
        <v>28241.730924716496</v>
      </c>
      <c r="EM51" s="171">
        <f>$F51*(1+$H51)^ROUNDUP(IFERROR(DATEDIF($G51-1,EM$14+1,"m"),)/12,)*Index!EL$23</f>
        <v>28241.730924716496</v>
      </c>
      <c r="EN51" s="171">
        <f>$F51*(1+$H51)^ROUNDUP(IFERROR(DATEDIF($G51-1,EN$14+1,"m"),)/12,)*Index!EM$23</f>
        <v>28241.730924716496</v>
      </c>
      <c r="EO51" s="171">
        <f>$F51*(1+$H51)^ROUNDUP(IFERROR(DATEDIF($G51-1,EO$14+1,"m"),)/12,)*Index!EN$23</f>
        <v>28241.730924716496</v>
      </c>
      <c r="EP51" s="171">
        <f>$F51*(1+$H51)^ROUNDUP(IFERROR(DATEDIF($G51-1,EP$14+1,"m"),)/12,)*Index!EO$23</f>
        <v>0</v>
      </c>
      <c r="EQ51" s="171">
        <f>$F51*(1+$H51)^ROUNDUP(IFERROR(DATEDIF($G51-1,EQ$14+1,"m"),)/12,)*Index!EP$23</f>
        <v>0</v>
      </c>
      <c r="ER51" s="171">
        <f>$F51*(1+$H51)^ROUNDUP(IFERROR(DATEDIF($G51-1,ER$14+1,"m"),)/12,)*Index!EQ$23</f>
        <v>0</v>
      </c>
    </row>
    <row r="52" spans="3:148" ht="11.25" customHeight="1">
      <c r="C52" s="163"/>
      <c r="D52" s="169" t="s">
        <v>93</v>
      </c>
      <c r="F52" s="805">
        <f t="shared" si="29"/>
        <v>0</v>
      </c>
      <c r="G52" s="806">
        <f t="shared" si="29"/>
        <v>46691</v>
      </c>
      <c r="H52" s="807">
        <f t="shared" si="29"/>
        <v>0.02</v>
      </c>
      <c r="I52" s="65"/>
      <c r="J52" s="90"/>
      <c r="K52" s="171">
        <f t="shared" si="30"/>
        <v>0</v>
      </c>
      <c r="L52" s="98"/>
      <c r="M52" s="171">
        <f>$F52*(1+$H52)^ROUNDUP(IFERROR(DATEDIF($G52-1,M$14+1,"m"),)/12,)*Index!L$23</f>
        <v>0</v>
      </c>
      <c r="N52" s="171">
        <f>$F52*(1+$H52)^ROUNDUP(IFERROR(DATEDIF($G52-1,N$14+1,"m"),)/12,)*Index!M$23</f>
        <v>0</v>
      </c>
      <c r="O52" s="171">
        <f>$F52*(1+$H52)^ROUNDUP(IFERROR(DATEDIF($G52-1,O$14+1,"m"),)/12,)*Index!N$23</f>
        <v>0</v>
      </c>
      <c r="P52" s="171">
        <f>$F52*(1+$H52)^ROUNDUP(IFERROR(DATEDIF($G52-1,P$14+1,"m"),)/12,)*Index!O$23</f>
        <v>0</v>
      </c>
      <c r="Q52" s="171">
        <f>$F52*(1+$H52)^ROUNDUP(IFERROR(DATEDIF($G52-1,Q$14+1,"m"),)/12,)*Index!P$23</f>
        <v>0</v>
      </c>
      <c r="R52" s="171">
        <f>$F52*(1+$H52)^ROUNDUP(IFERROR(DATEDIF($G52-1,R$14+1,"m"),)/12,)*Index!Q$23</f>
        <v>0</v>
      </c>
      <c r="S52" s="171">
        <f>$F52*(1+$H52)^ROUNDUP(IFERROR(DATEDIF($G52-1,S$14+1,"m"),)/12,)*Index!R$23</f>
        <v>0</v>
      </c>
      <c r="T52" s="171">
        <f>$F52*(1+$H52)^ROUNDUP(IFERROR(DATEDIF($G52-1,T$14+1,"m"),)/12,)*Index!S$23</f>
        <v>0</v>
      </c>
      <c r="U52" s="171">
        <f>$F52*(1+$H52)^ROUNDUP(IFERROR(DATEDIF($G52-1,U$14+1,"m"),)/12,)*Index!T$23</f>
        <v>0</v>
      </c>
      <c r="V52" s="171">
        <f>$F52*(1+$H52)^ROUNDUP(IFERROR(DATEDIF($G52-1,V$14+1,"m"),)/12,)*Index!U$23</f>
        <v>0</v>
      </c>
      <c r="W52" s="171">
        <f>$F52*(1+$H52)^ROUNDUP(IFERROR(DATEDIF($G52-1,W$14+1,"m"),)/12,)*Index!V$23</f>
        <v>0</v>
      </c>
      <c r="X52" s="171">
        <f>$F52*(1+$H52)^ROUNDUP(IFERROR(DATEDIF($G52-1,X$14+1,"m"),)/12,)*Index!W$23</f>
        <v>0</v>
      </c>
      <c r="Y52" s="171">
        <f>$F52*(1+$H52)^ROUNDUP(IFERROR(DATEDIF($G52-1,Y$14+1,"m"),)/12,)*Index!X$23</f>
        <v>0</v>
      </c>
      <c r="Z52" s="171">
        <f>$F52*(1+$H52)^ROUNDUP(IFERROR(DATEDIF($G52-1,Z$14+1,"m"),)/12,)*Index!Y$23</f>
        <v>0</v>
      </c>
      <c r="AA52" s="171">
        <f>$F52*(1+$H52)^ROUNDUP(IFERROR(DATEDIF($G52-1,AA$14+1,"m"),)/12,)*Index!Z$23</f>
        <v>0</v>
      </c>
      <c r="AB52" s="171">
        <f>$F52*(1+$H52)^ROUNDUP(IFERROR(DATEDIF($G52-1,AB$14+1,"m"),)/12,)*Index!AA$23</f>
        <v>0</v>
      </c>
      <c r="AC52" s="171">
        <f>$F52*(1+$H52)^ROUNDUP(IFERROR(DATEDIF($G52-1,AC$14+1,"m"),)/12,)*Index!AB$23</f>
        <v>0</v>
      </c>
      <c r="AD52" s="171">
        <f>$F52*(1+$H52)^ROUNDUP(IFERROR(DATEDIF($G52-1,AD$14+1,"m"),)/12,)*Index!AC$23</f>
        <v>0</v>
      </c>
      <c r="AE52" s="171">
        <f>$F52*(1+$H52)^ROUNDUP(IFERROR(DATEDIF($G52-1,AE$14+1,"m"),)/12,)*Index!AD$23</f>
        <v>0</v>
      </c>
      <c r="AF52" s="171">
        <f>$F52*(1+$H52)^ROUNDUP(IFERROR(DATEDIF($G52-1,AF$14+1,"m"),)/12,)*Index!AE$23</f>
        <v>0</v>
      </c>
      <c r="AG52" s="171">
        <f>$F52*(1+$H52)^ROUNDUP(IFERROR(DATEDIF($G52-1,AG$14+1,"m"),)/12,)*Index!AF$23</f>
        <v>0</v>
      </c>
      <c r="AH52" s="171">
        <f>$F52*(1+$H52)^ROUNDUP(IFERROR(DATEDIF($G52-1,AH$14+1,"m"),)/12,)*Index!AG$23</f>
        <v>0</v>
      </c>
      <c r="AI52" s="171">
        <f>$F52*(1+$H52)^ROUNDUP(IFERROR(DATEDIF($G52-1,AI$14+1,"m"),)/12,)*Index!AH$23</f>
        <v>0</v>
      </c>
      <c r="AJ52" s="171">
        <f>$F52*(1+$H52)^ROUNDUP(IFERROR(DATEDIF($G52-1,AJ$14+1,"m"),)/12,)*Index!AI$23</f>
        <v>0</v>
      </c>
      <c r="AK52" s="171">
        <f>$F52*(1+$H52)^ROUNDUP(IFERROR(DATEDIF($G52-1,AK$14+1,"m"),)/12,)*Index!AJ$23</f>
        <v>0</v>
      </c>
      <c r="AL52" s="171">
        <f>$F52*(1+$H52)^ROUNDUP(IFERROR(DATEDIF($G52-1,AL$14+1,"m"),)/12,)*Index!AK$23</f>
        <v>0</v>
      </c>
      <c r="AM52" s="171">
        <f>$F52*(1+$H52)^ROUNDUP(IFERROR(DATEDIF($G52-1,AM$14+1,"m"),)/12,)*Index!AL$23</f>
        <v>0</v>
      </c>
      <c r="AN52" s="171">
        <f>$F52*(1+$H52)^ROUNDUP(IFERROR(DATEDIF($G52-1,AN$14+1,"m"),)/12,)*Index!AM$23</f>
        <v>0</v>
      </c>
      <c r="AO52" s="171">
        <f>$F52*(1+$H52)^ROUNDUP(IFERROR(DATEDIF($G52-1,AO$14+1,"m"),)/12,)*Index!AN$23</f>
        <v>0</v>
      </c>
      <c r="AP52" s="171">
        <f>$F52*(1+$H52)^ROUNDUP(IFERROR(DATEDIF($G52-1,AP$14+1,"m"),)/12,)*Index!AO$23</f>
        <v>0</v>
      </c>
      <c r="AQ52" s="171">
        <f>$F52*(1+$H52)^ROUNDUP(IFERROR(DATEDIF($G52-1,AQ$14+1,"m"),)/12,)*Index!AP$23</f>
        <v>0</v>
      </c>
      <c r="AR52" s="171">
        <f>$F52*(1+$H52)^ROUNDUP(IFERROR(DATEDIF($G52-1,AR$14+1,"m"),)/12,)*Index!AQ$23</f>
        <v>0</v>
      </c>
      <c r="AS52" s="171">
        <f>$F52*(1+$H52)^ROUNDUP(IFERROR(DATEDIF($G52-1,AS$14+1,"m"),)/12,)*Index!AR$23</f>
        <v>0</v>
      </c>
      <c r="AT52" s="171">
        <f>$F52*(1+$H52)^ROUNDUP(IFERROR(DATEDIF($G52-1,AT$14+1,"m"),)/12,)*Index!AS$23</f>
        <v>0</v>
      </c>
      <c r="AU52" s="171">
        <f>$F52*(1+$H52)^ROUNDUP(IFERROR(DATEDIF($G52-1,AU$14+1,"m"),)/12,)*Index!AT$23</f>
        <v>0</v>
      </c>
      <c r="AV52" s="171">
        <f>$F52*(1+$H52)^ROUNDUP(IFERROR(DATEDIF($G52-1,AV$14+1,"m"),)/12,)*Index!AU$23</f>
        <v>0</v>
      </c>
      <c r="AW52" s="171">
        <f>$F52*(1+$H52)^ROUNDUP(IFERROR(DATEDIF($G52-1,AW$14+1,"m"),)/12,)*Index!AV$23</f>
        <v>0</v>
      </c>
      <c r="AX52" s="171">
        <f>$F52*(1+$H52)^ROUNDUP(IFERROR(DATEDIF($G52-1,AX$14+1,"m"),)/12,)*Index!AW$23</f>
        <v>0</v>
      </c>
      <c r="AY52" s="171">
        <f>$F52*(1+$H52)^ROUNDUP(IFERROR(DATEDIF($G52-1,AY$14+1,"m"),)/12,)*Index!AX$23</f>
        <v>0</v>
      </c>
      <c r="AZ52" s="171">
        <f>$F52*(1+$H52)^ROUNDUP(IFERROR(DATEDIF($G52-1,AZ$14+1,"m"),)/12,)*Index!AY$23</f>
        <v>0</v>
      </c>
      <c r="BA52" s="171">
        <f>$F52*(1+$H52)^ROUNDUP(IFERROR(DATEDIF($G52-1,BA$14+1,"m"),)/12,)*Index!AZ$23</f>
        <v>0</v>
      </c>
      <c r="BB52" s="171">
        <f>$F52*(1+$H52)^ROUNDUP(IFERROR(DATEDIF($G52-1,BB$14+1,"m"),)/12,)*Index!BA$23</f>
        <v>0</v>
      </c>
      <c r="BC52" s="171">
        <f>$F52*(1+$H52)^ROUNDUP(IFERROR(DATEDIF($G52-1,BC$14+1,"m"),)/12,)*Index!BB$23</f>
        <v>0</v>
      </c>
      <c r="BD52" s="171">
        <f>$F52*(1+$H52)^ROUNDUP(IFERROR(DATEDIF($G52-1,BD$14+1,"m"),)/12,)*Index!BC$23</f>
        <v>0</v>
      </c>
      <c r="BE52" s="171">
        <f>$F52*(1+$H52)^ROUNDUP(IFERROR(DATEDIF($G52-1,BE$14+1,"m"),)/12,)*Index!BD$23</f>
        <v>0</v>
      </c>
      <c r="BF52" s="171">
        <f>$F52*(1+$H52)^ROUNDUP(IFERROR(DATEDIF($G52-1,BF$14+1,"m"),)/12,)*Index!BE$23</f>
        <v>0</v>
      </c>
      <c r="BG52" s="171">
        <f>$F52*(1+$H52)^ROUNDUP(IFERROR(DATEDIF($G52-1,BG$14+1,"m"),)/12,)*Index!BF$23</f>
        <v>0</v>
      </c>
      <c r="BH52" s="171">
        <f>$F52*(1+$H52)^ROUNDUP(IFERROR(DATEDIF($G52-1,BH$14+1,"m"),)/12,)*Index!BG$23</f>
        <v>0</v>
      </c>
      <c r="BI52" s="171">
        <f>$F52*(1+$H52)^ROUNDUP(IFERROR(DATEDIF($G52-1,BI$14+1,"m"),)/12,)*Index!BH$23</f>
        <v>0</v>
      </c>
      <c r="BJ52" s="171">
        <f>$F52*(1+$H52)^ROUNDUP(IFERROR(DATEDIF($G52-1,BJ$14+1,"m"),)/12,)*Index!BI$23</f>
        <v>0</v>
      </c>
      <c r="BK52" s="171">
        <f>$F52*(1+$H52)^ROUNDUP(IFERROR(DATEDIF($G52-1,BK$14+1,"m"),)/12,)*Index!BJ$23</f>
        <v>0</v>
      </c>
      <c r="BL52" s="171">
        <f>$F52*(1+$H52)^ROUNDUP(IFERROR(DATEDIF($G52-1,BL$14+1,"m"),)/12,)*Index!BK$23</f>
        <v>0</v>
      </c>
      <c r="BM52" s="171">
        <f>$F52*(1+$H52)^ROUNDUP(IFERROR(DATEDIF($G52-1,BM$14+1,"m"),)/12,)*Index!BL$23</f>
        <v>0</v>
      </c>
      <c r="BN52" s="171">
        <f>$F52*(1+$H52)^ROUNDUP(IFERROR(DATEDIF($G52-1,BN$14+1,"m"),)/12,)*Index!BM$23</f>
        <v>0</v>
      </c>
      <c r="BO52" s="171">
        <f>$F52*(1+$H52)^ROUNDUP(IFERROR(DATEDIF($G52-1,BO$14+1,"m"),)/12,)*Index!BN$23</f>
        <v>0</v>
      </c>
      <c r="BP52" s="171">
        <f>$F52*(1+$H52)^ROUNDUP(IFERROR(DATEDIF($G52-1,BP$14+1,"m"),)/12,)*Index!BO$23</f>
        <v>0</v>
      </c>
      <c r="BQ52" s="171">
        <f>$F52*(1+$H52)^ROUNDUP(IFERROR(DATEDIF($G52-1,BQ$14+1,"m"),)/12,)*Index!BP$23</f>
        <v>0</v>
      </c>
      <c r="BR52" s="171">
        <f>$F52*(1+$H52)^ROUNDUP(IFERROR(DATEDIF($G52-1,BR$14+1,"m"),)/12,)*Index!BQ$23</f>
        <v>0</v>
      </c>
      <c r="BS52" s="171">
        <f>$F52*(1+$H52)^ROUNDUP(IFERROR(DATEDIF($G52-1,BS$14+1,"m"),)/12,)*Index!BR$23</f>
        <v>0</v>
      </c>
      <c r="BT52" s="171">
        <f>$F52*(1+$H52)^ROUNDUP(IFERROR(DATEDIF($G52-1,BT$14+1,"m"),)/12,)*Index!BS$23</f>
        <v>0</v>
      </c>
      <c r="BU52" s="171">
        <f>$F52*(1+$H52)^ROUNDUP(IFERROR(DATEDIF($G52-1,BU$14+1,"m"),)/12,)*Index!BT$23</f>
        <v>0</v>
      </c>
      <c r="BV52" s="171">
        <f>$F52*(1+$H52)^ROUNDUP(IFERROR(DATEDIF($G52-1,BV$14+1,"m"),)/12,)*Index!BU$23</f>
        <v>0</v>
      </c>
      <c r="BW52" s="171">
        <f>$F52*(1+$H52)^ROUNDUP(IFERROR(DATEDIF($G52-1,BW$14+1,"m"),)/12,)*Index!BV$23</f>
        <v>0</v>
      </c>
      <c r="BX52" s="171">
        <f>$F52*(1+$H52)^ROUNDUP(IFERROR(DATEDIF($G52-1,BX$14+1,"m"),)/12,)*Index!BW$23</f>
        <v>0</v>
      </c>
      <c r="BY52" s="171">
        <f>$F52*(1+$H52)^ROUNDUP(IFERROR(DATEDIF($G52-1,BY$14+1,"m"),)/12,)*Index!BX$23</f>
        <v>0</v>
      </c>
      <c r="BZ52" s="171">
        <f>$F52*(1+$H52)^ROUNDUP(IFERROR(DATEDIF($G52-1,BZ$14+1,"m"),)/12,)*Index!BY$23</f>
        <v>0</v>
      </c>
      <c r="CA52" s="171">
        <f>$F52*(1+$H52)^ROUNDUP(IFERROR(DATEDIF($G52-1,CA$14+1,"m"),)/12,)*Index!BZ$23</f>
        <v>0</v>
      </c>
      <c r="CB52" s="171">
        <f>$F52*(1+$H52)^ROUNDUP(IFERROR(DATEDIF($G52-1,CB$14+1,"m"),)/12,)*Index!CA$23</f>
        <v>0</v>
      </c>
      <c r="CC52" s="171">
        <f>$F52*(1+$H52)^ROUNDUP(IFERROR(DATEDIF($G52-1,CC$14+1,"m"),)/12,)*Index!CB$23</f>
        <v>0</v>
      </c>
      <c r="CD52" s="171">
        <f>$F52*(1+$H52)^ROUNDUP(IFERROR(DATEDIF($G52-1,CD$14+1,"m"),)/12,)*Index!CC$23</f>
        <v>0</v>
      </c>
      <c r="CE52" s="171">
        <f>$F52*(1+$H52)^ROUNDUP(IFERROR(DATEDIF($G52-1,CE$14+1,"m"),)/12,)*Index!CD$23</f>
        <v>0</v>
      </c>
      <c r="CF52" s="171">
        <f>$F52*(1+$H52)^ROUNDUP(IFERROR(DATEDIF($G52-1,CF$14+1,"m"),)/12,)*Index!CE$23</f>
        <v>0</v>
      </c>
      <c r="CG52" s="171">
        <f>$F52*(1+$H52)^ROUNDUP(IFERROR(DATEDIF($G52-1,CG$14+1,"m"),)/12,)*Index!CF$23</f>
        <v>0</v>
      </c>
      <c r="CH52" s="171">
        <f>$F52*(1+$H52)^ROUNDUP(IFERROR(DATEDIF($G52-1,CH$14+1,"m"),)/12,)*Index!CG$23</f>
        <v>0</v>
      </c>
      <c r="CI52" s="171">
        <f>$F52*(1+$H52)^ROUNDUP(IFERROR(DATEDIF($G52-1,CI$14+1,"m"),)/12,)*Index!CH$23</f>
        <v>0</v>
      </c>
      <c r="CJ52" s="171">
        <f>$F52*(1+$H52)^ROUNDUP(IFERROR(DATEDIF($G52-1,CJ$14+1,"m"),)/12,)*Index!CI$23</f>
        <v>0</v>
      </c>
      <c r="CK52" s="171">
        <f>$F52*(1+$H52)^ROUNDUP(IFERROR(DATEDIF($G52-1,CK$14+1,"m"),)/12,)*Index!CJ$23</f>
        <v>0</v>
      </c>
      <c r="CL52" s="171">
        <f>$F52*(1+$H52)^ROUNDUP(IFERROR(DATEDIF($G52-1,CL$14+1,"m"),)/12,)*Index!CK$23</f>
        <v>0</v>
      </c>
      <c r="CM52" s="171">
        <f>$F52*(1+$H52)^ROUNDUP(IFERROR(DATEDIF($G52-1,CM$14+1,"m"),)/12,)*Index!CL$23</f>
        <v>0</v>
      </c>
      <c r="CN52" s="171">
        <f>$F52*(1+$H52)^ROUNDUP(IFERROR(DATEDIF($G52-1,CN$14+1,"m"),)/12,)*Index!CM$23</f>
        <v>0</v>
      </c>
      <c r="CO52" s="171">
        <f>$F52*(1+$H52)^ROUNDUP(IFERROR(DATEDIF($G52-1,CO$14+1,"m"),)/12,)*Index!CN$23</f>
        <v>0</v>
      </c>
      <c r="CP52" s="171">
        <f>$F52*(1+$H52)^ROUNDUP(IFERROR(DATEDIF($G52-1,CP$14+1,"m"),)/12,)*Index!CO$23</f>
        <v>0</v>
      </c>
      <c r="CQ52" s="171">
        <f>$F52*(1+$H52)^ROUNDUP(IFERROR(DATEDIF($G52-1,CQ$14+1,"m"),)/12,)*Index!CP$23</f>
        <v>0</v>
      </c>
      <c r="CR52" s="171">
        <f>$F52*(1+$H52)^ROUNDUP(IFERROR(DATEDIF($G52-1,CR$14+1,"m"),)/12,)*Index!CQ$23</f>
        <v>0</v>
      </c>
      <c r="CS52" s="171">
        <f>$F52*(1+$H52)^ROUNDUP(IFERROR(DATEDIF($G52-1,CS$14+1,"m"),)/12,)*Index!CR$23</f>
        <v>0</v>
      </c>
      <c r="CT52" s="171">
        <f>$F52*(1+$H52)^ROUNDUP(IFERROR(DATEDIF($G52-1,CT$14+1,"m"),)/12,)*Index!CS$23</f>
        <v>0</v>
      </c>
      <c r="CU52" s="171">
        <f>$F52*(1+$H52)^ROUNDUP(IFERROR(DATEDIF($G52-1,CU$14+1,"m"),)/12,)*Index!CT$23</f>
        <v>0</v>
      </c>
      <c r="CV52" s="171">
        <f>$F52*(1+$H52)^ROUNDUP(IFERROR(DATEDIF($G52-1,CV$14+1,"m"),)/12,)*Index!CU$23</f>
        <v>0</v>
      </c>
      <c r="CW52" s="171">
        <f>$F52*(1+$H52)^ROUNDUP(IFERROR(DATEDIF($G52-1,CW$14+1,"m"),)/12,)*Index!CV$23</f>
        <v>0</v>
      </c>
      <c r="CX52" s="171">
        <f>$F52*(1+$H52)^ROUNDUP(IFERROR(DATEDIF($G52-1,CX$14+1,"m"),)/12,)*Index!CW$23</f>
        <v>0</v>
      </c>
      <c r="CY52" s="171">
        <f>$F52*(1+$H52)^ROUNDUP(IFERROR(DATEDIF($G52-1,CY$14+1,"m"),)/12,)*Index!CX$23</f>
        <v>0</v>
      </c>
      <c r="CZ52" s="171">
        <f>$F52*(1+$H52)^ROUNDUP(IFERROR(DATEDIF($G52-1,CZ$14+1,"m"),)/12,)*Index!CY$23</f>
        <v>0</v>
      </c>
      <c r="DA52" s="171">
        <f>$F52*(1+$H52)^ROUNDUP(IFERROR(DATEDIF($G52-1,DA$14+1,"m"),)/12,)*Index!CZ$23</f>
        <v>0</v>
      </c>
      <c r="DB52" s="171">
        <f>$F52*(1+$H52)^ROUNDUP(IFERROR(DATEDIF($G52-1,DB$14+1,"m"),)/12,)*Index!DA$23</f>
        <v>0</v>
      </c>
      <c r="DC52" s="171">
        <f>$F52*(1+$H52)^ROUNDUP(IFERROR(DATEDIF($G52-1,DC$14+1,"m"),)/12,)*Index!DB$23</f>
        <v>0</v>
      </c>
      <c r="DD52" s="171">
        <f>$F52*(1+$H52)^ROUNDUP(IFERROR(DATEDIF($G52-1,DD$14+1,"m"),)/12,)*Index!DC$23</f>
        <v>0</v>
      </c>
      <c r="DE52" s="171">
        <f>$F52*(1+$H52)^ROUNDUP(IFERROR(DATEDIF($G52-1,DE$14+1,"m"),)/12,)*Index!DD$23</f>
        <v>0</v>
      </c>
      <c r="DF52" s="171">
        <f>$F52*(1+$H52)^ROUNDUP(IFERROR(DATEDIF($G52-1,DF$14+1,"m"),)/12,)*Index!DE$23</f>
        <v>0</v>
      </c>
      <c r="DG52" s="171">
        <f>$F52*(1+$H52)^ROUNDUP(IFERROR(DATEDIF($G52-1,DG$14+1,"m"),)/12,)*Index!DF$23</f>
        <v>0</v>
      </c>
      <c r="DH52" s="171">
        <f>$F52*(1+$H52)^ROUNDUP(IFERROR(DATEDIF($G52-1,DH$14+1,"m"),)/12,)*Index!DG$23</f>
        <v>0</v>
      </c>
      <c r="DI52" s="171">
        <f>$F52*(1+$H52)^ROUNDUP(IFERROR(DATEDIF($G52-1,DI$14+1,"m"),)/12,)*Index!DH$23</f>
        <v>0</v>
      </c>
      <c r="DJ52" s="171">
        <f>$F52*(1+$H52)^ROUNDUP(IFERROR(DATEDIF($G52-1,DJ$14+1,"m"),)/12,)*Index!DI$23</f>
        <v>0</v>
      </c>
      <c r="DK52" s="171">
        <f>$F52*(1+$H52)^ROUNDUP(IFERROR(DATEDIF($G52-1,DK$14+1,"m"),)/12,)*Index!DJ$23</f>
        <v>0</v>
      </c>
      <c r="DL52" s="171">
        <f>$F52*(1+$H52)^ROUNDUP(IFERROR(DATEDIF($G52-1,DL$14+1,"m"),)/12,)*Index!DK$23</f>
        <v>0</v>
      </c>
      <c r="DM52" s="171">
        <f>$F52*(1+$H52)^ROUNDUP(IFERROR(DATEDIF($G52-1,DM$14+1,"m"),)/12,)*Index!DL$23</f>
        <v>0</v>
      </c>
      <c r="DN52" s="171">
        <f>$F52*(1+$H52)^ROUNDUP(IFERROR(DATEDIF($G52-1,DN$14+1,"m"),)/12,)*Index!DM$23</f>
        <v>0</v>
      </c>
      <c r="DO52" s="171">
        <f>$F52*(1+$H52)^ROUNDUP(IFERROR(DATEDIF($G52-1,DO$14+1,"m"),)/12,)*Index!DN$23</f>
        <v>0</v>
      </c>
      <c r="DP52" s="171">
        <f>$F52*(1+$H52)^ROUNDUP(IFERROR(DATEDIF($G52-1,DP$14+1,"m"),)/12,)*Index!DO$23</f>
        <v>0</v>
      </c>
      <c r="DQ52" s="171">
        <f>$F52*(1+$H52)^ROUNDUP(IFERROR(DATEDIF($G52-1,DQ$14+1,"m"),)/12,)*Index!DP$23</f>
        <v>0</v>
      </c>
      <c r="DR52" s="171">
        <f>$F52*(1+$H52)^ROUNDUP(IFERROR(DATEDIF($G52-1,DR$14+1,"m"),)/12,)*Index!DQ$23</f>
        <v>0</v>
      </c>
      <c r="DS52" s="171">
        <f>$F52*(1+$H52)^ROUNDUP(IFERROR(DATEDIF($G52-1,DS$14+1,"m"),)/12,)*Index!DR$23</f>
        <v>0</v>
      </c>
      <c r="DT52" s="171">
        <f>$F52*(1+$H52)^ROUNDUP(IFERROR(DATEDIF($G52-1,DT$14+1,"m"),)/12,)*Index!DS$23</f>
        <v>0</v>
      </c>
      <c r="DU52" s="171">
        <f>$F52*(1+$H52)^ROUNDUP(IFERROR(DATEDIF($G52-1,DU$14+1,"m"),)/12,)*Index!DT$23</f>
        <v>0</v>
      </c>
      <c r="DV52" s="171">
        <f>$F52*(1+$H52)^ROUNDUP(IFERROR(DATEDIF($G52-1,DV$14+1,"m"),)/12,)*Index!DU$23</f>
        <v>0</v>
      </c>
      <c r="DW52" s="171">
        <f>$F52*(1+$H52)^ROUNDUP(IFERROR(DATEDIF($G52-1,DW$14+1,"m"),)/12,)*Index!DV$23</f>
        <v>0</v>
      </c>
      <c r="DX52" s="171">
        <f>$F52*(1+$H52)^ROUNDUP(IFERROR(DATEDIF($G52-1,DX$14+1,"m"),)/12,)*Index!DW$23</f>
        <v>0</v>
      </c>
      <c r="DY52" s="171">
        <f>$F52*(1+$H52)^ROUNDUP(IFERROR(DATEDIF($G52-1,DY$14+1,"m"),)/12,)*Index!DX$23</f>
        <v>0</v>
      </c>
      <c r="DZ52" s="171">
        <f>$F52*(1+$H52)^ROUNDUP(IFERROR(DATEDIF($G52-1,DZ$14+1,"m"),)/12,)*Index!DY$23</f>
        <v>0</v>
      </c>
      <c r="EA52" s="171">
        <f>$F52*(1+$H52)^ROUNDUP(IFERROR(DATEDIF($G52-1,EA$14+1,"m"),)/12,)*Index!DZ$23</f>
        <v>0</v>
      </c>
      <c r="EB52" s="171">
        <f>$F52*(1+$H52)^ROUNDUP(IFERROR(DATEDIF($G52-1,EB$14+1,"m"),)/12,)*Index!EA$23</f>
        <v>0</v>
      </c>
      <c r="EC52" s="171">
        <f>$F52*(1+$H52)^ROUNDUP(IFERROR(DATEDIF($G52-1,EC$14+1,"m"),)/12,)*Index!EB$23</f>
        <v>0</v>
      </c>
      <c r="ED52" s="171">
        <f>$F52*(1+$H52)^ROUNDUP(IFERROR(DATEDIF($G52-1,ED$14+1,"m"),)/12,)*Index!EC$23</f>
        <v>0</v>
      </c>
      <c r="EE52" s="171">
        <f>$F52*(1+$H52)^ROUNDUP(IFERROR(DATEDIF($G52-1,EE$14+1,"m"),)/12,)*Index!ED$23</f>
        <v>0</v>
      </c>
      <c r="EF52" s="171">
        <f>$F52*(1+$H52)^ROUNDUP(IFERROR(DATEDIF($G52-1,EF$14+1,"m"),)/12,)*Index!EE$23</f>
        <v>0</v>
      </c>
      <c r="EG52" s="171">
        <f>$F52*(1+$H52)^ROUNDUP(IFERROR(DATEDIF($G52-1,EG$14+1,"m"),)/12,)*Index!EF$23</f>
        <v>0</v>
      </c>
      <c r="EH52" s="171">
        <f>$F52*(1+$H52)^ROUNDUP(IFERROR(DATEDIF($G52-1,EH$14+1,"m"),)/12,)*Index!EG$23</f>
        <v>0</v>
      </c>
      <c r="EI52" s="171">
        <f>$F52*(1+$H52)^ROUNDUP(IFERROR(DATEDIF($G52-1,EI$14+1,"m"),)/12,)*Index!EH$23</f>
        <v>0</v>
      </c>
      <c r="EJ52" s="171">
        <f>$F52*(1+$H52)^ROUNDUP(IFERROR(DATEDIF($G52-1,EJ$14+1,"m"),)/12,)*Index!EI$23</f>
        <v>0</v>
      </c>
      <c r="EK52" s="171">
        <f>$F52*(1+$H52)^ROUNDUP(IFERROR(DATEDIF($G52-1,EK$14+1,"m"),)/12,)*Index!EJ$23</f>
        <v>0</v>
      </c>
      <c r="EL52" s="171">
        <f>$F52*(1+$H52)^ROUNDUP(IFERROR(DATEDIF($G52-1,EL$14+1,"m"),)/12,)*Index!EK$23</f>
        <v>0</v>
      </c>
      <c r="EM52" s="171">
        <f>$F52*(1+$H52)^ROUNDUP(IFERROR(DATEDIF($G52-1,EM$14+1,"m"),)/12,)*Index!EL$23</f>
        <v>0</v>
      </c>
      <c r="EN52" s="171">
        <f>$F52*(1+$H52)^ROUNDUP(IFERROR(DATEDIF($G52-1,EN$14+1,"m"),)/12,)*Index!EM$23</f>
        <v>0</v>
      </c>
      <c r="EO52" s="171">
        <f>$F52*(1+$H52)^ROUNDUP(IFERROR(DATEDIF($G52-1,EO$14+1,"m"),)/12,)*Index!EN$23</f>
        <v>0</v>
      </c>
      <c r="EP52" s="171">
        <f>$F52*(1+$H52)^ROUNDUP(IFERROR(DATEDIF($G52-1,EP$14+1,"m"),)/12,)*Index!EO$23</f>
        <v>0</v>
      </c>
      <c r="EQ52" s="171">
        <f>$F52*(1+$H52)^ROUNDUP(IFERROR(DATEDIF($G52-1,EQ$14+1,"m"),)/12,)*Index!EP$23</f>
        <v>0</v>
      </c>
      <c r="ER52" s="171">
        <f>$F52*(1+$H52)^ROUNDUP(IFERROR(DATEDIF($G52-1,ER$14+1,"m"),)/12,)*Index!EQ$23</f>
        <v>0</v>
      </c>
    </row>
    <row r="53" spans="3:148" ht="11.25" customHeight="1">
      <c r="C53" s="163"/>
      <c r="D53" s="169" t="s">
        <v>99</v>
      </c>
      <c r="F53" s="805">
        <f t="shared" si="29"/>
        <v>1741.2360810166667</v>
      </c>
      <c r="G53" s="806">
        <f t="shared" si="29"/>
        <v>46691</v>
      </c>
      <c r="H53" s="807">
        <f t="shared" si="29"/>
        <v>0</v>
      </c>
      <c r="I53" s="65"/>
      <c r="J53" s="90"/>
      <c r="K53" s="171">
        <f t="shared" si="30"/>
        <v>20894.832972200005</v>
      </c>
      <c r="L53" s="98"/>
      <c r="M53" s="171">
        <f>$F53*(1+$H53)^ROUNDUP(IFERROR(DATEDIF($G53-1,M$14+1,"m"),)/12,)*Index!L$23</f>
        <v>0</v>
      </c>
      <c r="N53" s="171">
        <f>$F53*(1+$H53)^ROUNDUP(IFERROR(DATEDIF($G53-1,N$14+1,"m"),)/12,)*Index!M$23</f>
        <v>0</v>
      </c>
      <c r="O53" s="171">
        <f>$F53*(1+$H53)^ROUNDUP(IFERROR(DATEDIF($G53-1,O$14+1,"m"),)/12,)*Index!N$23</f>
        <v>0</v>
      </c>
      <c r="P53" s="171">
        <f>$F53*(1+$H53)^ROUNDUP(IFERROR(DATEDIF($G53-1,P$14+1,"m"),)/12,)*Index!O$23</f>
        <v>0</v>
      </c>
      <c r="Q53" s="171">
        <f>$F53*(1+$H53)^ROUNDUP(IFERROR(DATEDIF($G53-1,Q$14+1,"m"),)/12,)*Index!P$23</f>
        <v>0</v>
      </c>
      <c r="R53" s="171">
        <f>$F53*(1+$H53)^ROUNDUP(IFERROR(DATEDIF($G53-1,R$14+1,"m"),)/12,)*Index!Q$23</f>
        <v>0</v>
      </c>
      <c r="S53" s="171">
        <f>$F53*(1+$H53)^ROUNDUP(IFERROR(DATEDIF($G53-1,S$14+1,"m"),)/12,)*Index!R$23</f>
        <v>0</v>
      </c>
      <c r="T53" s="171">
        <f>$F53*(1+$H53)^ROUNDUP(IFERROR(DATEDIF($G53-1,T$14+1,"m"),)/12,)*Index!S$23</f>
        <v>0</v>
      </c>
      <c r="U53" s="171">
        <f>$F53*(1+$H53)^ROUNDUP(IFERROR(DATEDIF($G53-1,U$14+1,"m"),)/12,)*Index!T$23</f>
        <v>0</v>
      </c>
      <c r="V53" s="171">
        <f>$F53*(1+$H53)^ROUNDUP(IFERROR(DATEDIF($G53-1,V$14+1,"m"),)/12,)*Index!U$23</f>
        <v>0</v>
      </c>
      <c r="W53" s="171">
        <f>$F53*(1+$H53)^ROUNDUP(IFERROR(DATEDIF($G53-1,W$14+1,"m"),)/12,)*Index!V$23</f>
        <v>0</v>
      </c>
      <c r="X53" s="171">
        <f>$F53*(1+$H53)^ROUNDUP(IFERROR(DATEDIF($G53-1,X$14+1,"m"),)/12,)*Index!W$23</f>
        <v>0</v>
      </c>
      <c r="Y53" s="171">
        <f>$F53*(1+$H53)^ROUNDUP(IFERROR(DATEDIF($G53-1,Y$14+1,"m"),)/12,)*Index!X$23</f>
        <v>0</v>
      </c>
      <c r="Z53" s="171">
        <f>$F53*(1+$H53)^ROUNDUP(IFERROR(DATEDIF($G53-1,Z$14+1,"m"),)/12,)*Index!Y$23</f>
        <v>0</v>
      </c>
      <c r="AA53" s="171">
        <f>$F53*(1+$H53)^ROUNDUP(IFERROR(DATEDIF($G53-1,AA$14+1,"m"),)/12,)*Index!Z$23</f>
        <v>0</v>
      </c>
      <c r="AB53" s="171">
        <f>$F53*(1+$H53)^ROUNDUP(IFERROR(DATEDIF($G53-1,AB$14+1,"m"),)/12,)*Index!AA$23</f>
        <v>0</v>
      </c>
      <c r="AC53" s="171">
        <f>$F53*(1+$H53)^ROUNDUP(IFERROR(DATEDIF($G53-1,AC$14+1,"m"),)/12,)*Index!AB$23</f>
        <v>0</v>
      </c>
      <c r="AD53" s="171">
        <f>$F53*(1+$H53)^ROUNDUP(IFERROR(DATEDIF($G53-1,AD$14+1,"m"),)/12,)*Index!AC$23</f>
        <v>0</v>
      </c>
      <c r="AE53" s="171">
        <f>$F53*(1+$H53)^ROUNDUP(IFERROR(DATEDIF($G53-1,AE$14+1,"m"),)/12,)*Index!AD$23</f>
        <v>0</v>
      </c>
      <c r="AF53" s="171">
        <f>$F53*(1+$H53)^ROUNDUP(IFERROR(DATEDIF($G53-1,AF$14+1,"m"),)/12,)*Index!AE$23</f>
        <v>0</v>
      </c>
      <c r="AG53" s="171">
        <f>$F53*(1+$H53)^ROUNDUP(IFERROR(DATEDIF($G53-1,AG$14+1,"m"),)/12,)*Index!AF$23</f>
        <v>0</v>
      </c>
      <c r="AH53" s="171">
        <f>$F53*(1+$H53)^ROUNDUP(IFERROR(DATEDIF($G53-1,AH$14+1,"m"),)/12,)*Index!AG$23</f>
        <v>0</v>
      </c>
      <c r="AI53" s="171">
        <f>$F53*(1+$H53)^ROUNDUP(IFERROR(DATEDIF($G53-1,AI$14+1,"m"),)/12,)*Index!AH$23</f>
        <v>0</v>
      </c>
      <c r="AJ53" s="171">
        <f>$F53*(1+$H53)^ROUNDUP(IFERROR(DATEDIF($G53-1,AJ$14+1,"m"),)/12,)*Index!AI$23</f>
        <v>0</v>
      </c>
      <c r="AK53" s="171">
        <f>$F53*(1+$H53)^ROUNDUP(IFERROR(DATEDIF($G53-1,AK$14+1,"m"),)/12,)*Index!AJ$23</f>
        <v>0</v>
      </c>
      <c r="AL53" s="171">
        <f>$F53*(1+$H53)^ROUNDUP(IFERROR(DATEDIF($G53-1,AL$14+1,"m"),)/12,)*Index!AK$23</f>
        <v>0</v>
      </c>
      <c r="AM53" s="171">
        <f>$F53*(1+$H53)^ROUNDUP(IFERROR(DATEDIF($G53-1,AM$14+1,"m"),)/12,)*Index!AL$23</f>
        <v>0</v>
      </c>
      <c r="AN53" s="171">
        <f>$F53*(1+$H53)^ROUNDUP(IFERROR(DATEDIF($G53-1,AN$14+1,"m"),)/12,)*Index!AM$23</f>
        <v>0</v>
      </c>
      <c r="AO53" s="171">
        <f>$F53*(1+$H53)^ROUNDUP(IFERROR(DATEDIF($G53-1,AO$14+1,"m"),)/12,)*Index!AN$23</f>
        <v>0</v>
      </c>
      <c r="AP53" s="171">
        <f>$F53*(1+$H53)^ROUNDUP(IFERROR(DATEDIF($G53-1,AP$14+1,"m"),)/12,)*Index!AO$23</f>
        <v>0</v>
      </c>
      <c r="AQ53" s="171">
        <f>$F53*(1+$H53)^ROUNDUP(IFERROR(DATEDIF($G53-1,AQ$14+1,"m"),)/12,)*Index!AP$23</f>
        <v>0</v>
      </c>
      <c r="AR53" s="171">
        <f>$F53*(1+$H53)^ROUNDUP(IFERROR(DATEDIF($G53-1,AR$14+1,"m"),)/12,)*Index!AQ$23</f>
        <v>0</v>
      </c>
      <c r="AS53" s="171">
        <f>$F53*(1+$H53)^ROUNDUP(IFERROR(DATEDIF($G53-1,AS$14+1,"m"),)/12,)*Index!AR$23</f>
        <v>0</v>
      </c>
      <c r="AT53" s="171">
        <f>$F53*(1+$H53)^ROUNDUP(IFERROR(DATEDIF($G53-1,AT$14+1,"m"),)/12,)*Index!AS$23</f>
        <v>0</v>
      </c>
      <c r="AU53" s="171">
        <f>$F53*(1+$H53)^ROUNDUP(IFERROR(DATEDIF($G53-1,AU$14+1,"m"),)/12,)*Index!AT$23</f>
        <v>0</v>
      </c>
      <c r="AV53" s="171">
        <f>$F53*(1+$H53)^ROUNDUP(IFERROR(DATEDIF($G53-1,AV$14+1,"m"),)/12,)*Index!AU$23</f>
        <v>0</v>
      </c>
      <c r="AW53" s="171">
        <f>$F53*(1+$H53)^ROUNDUP(IFERROR(DATEDIF($G53-1,AW$14+1,"m"),)/12,)*Index!AV$23</f>
        <v>0</v>
      </c>
      <c r="AX53" s="171">
        <f>$F53*(1+$H53)^ROUNDUP(IFERROR(DATEDIF($G53-1,AX$14+1,"m"),)/12,)*Index!AW$23</f>
        <v>0</v>
      </c>
      <c r="AY53" s="171">
        <f>$F53*(1+$H53)^ROUNDUP(IFERROR(DATEDIF($G53-1,AY$14+1,"m"),)/12,)*Index!AX$23</f>
        <v>0</v>
      </c>
      <c r="AZ53" s="171">
        <f>$F53*(1+$H53)^ROUNDUP(IFERROR(DATEDIF($G53-1,AZ$14+1,"m"),)/12,)*Index!AY$23</f>
        <v>0</v>
      </c>
      <c r="BA53" s="171">
        <f>$F53*(1+$H53)^ROUNDUP(IFERROR(DATEDIF($G53-1,BA$14+1,"m"),)/12,)*Index!AZ$23</f>
        <v>0</v>
      </c>
      <c r="BB53" s="171">
        <f>$F53*(1+$H53)^ROUNDUP(IFERROR(DATEDIF($G53-1,BB$14+1,"m"),)/12,)*Index!BA$23</f>
        <v>0</v>
      </c>
      <c r="BC53" s="171">
        <f>$F53*(1+$H53)^ROUNDUP(IFERROR(DATEDIF($G53-1,BC$14+1,"m"),)/12,)*Index!BB$23</f>
        <v>0</v>
      </c>
      <c r="BD53" s="171">
        <f>$F53*(1+$H53)^ROUNDUP(IFERROR(DATEDIF($G53-1,BD$14+1,"m"),)/12,)*Index!BC$23</f>
        <v>0</v>
      </c>
      <c r="BE53" s="171">
        <f>$F53*(1+$H53)^ROUNDUP(IFERROR(DATEDIF($G53-1,BE$14+1,"m"),)/12,)*Index!BD$23</f>
        <v>0</v>
      </c>
      <c r="BF53" s="171">
        <f>$F53*(1+$H53)^ROUNDUP(IFERROR(DATEDIF($G53-1,BF$14+1,"m"),)/12,)*Index!BE$23</f>
        <v>0</v>
      </c>
      <c r="BG53" s="171">
        <f>$F53*(1+$H53)^ROUNDUP(IFERROR(DATEDIF($G53-1,BG$14+1,"m"),)/12,)*Index!BF$23</f>
        <v>0</v>
      </c>
      <c r="BH53" s="171">
        <f>$F53*(1+$H53)^ROUNDUP(IFERROR(DATEDIF($G53-1,BH$14+1,"m"),)/12,)*Index!BG$23</f>
        <v>0</v>
      </c>
      <c r="BI53" s="171">
        <f>$F53*(1+$H53)^ROUNDUP(IFERROR(DATEDIF($G53-1,BI$14+1,"m"),)/12,)*Index!BH$23</f>
        <v>0</v>
      </c>
      <c r="BJ53" s="171">
        <f>$F53*(1+$H53)^ROUNDUP(IFERROR(DATEDIF($G53-1,BJ$14+1,"m"),)/12,)*Index!BI$23</f>
        <v>0</v>
      </c>
      <c r="BK53" s="171">
        <f>$F53*(1+$H53)^ROUNDUP(IFERROR(DATEDIF($G53-1,BK$14+1,"m"),)/12,)*Index!BJ$23</f>
        <v>0</v>
      </c>
      <c r="BL53" s="171">
        <f>$F53*(1+$H53)^ROUNDUP(IFERROR(DATEDIF($G53-1,BL$14+1,"m"),)/12,)*Index!BK$23</f>
        <v>0</v>
      </c>
      <c r="BM53" s="171">
        <f>$F53*(1+$H53)^ROUNDUP(IFERROR(DATEDIF($G53-1,BM$14+1,"m"),)/12,)*Index!BL$23</f>
        <v>0</v>
      </c>
      <c r="BN53" s="171">
        <f>$F53*(1+$H53)^ROUNDUP(IFERROR(DATEDIF($G53-1,BN$14+1,"m"),)/12,)*Index!BM$23</f>
        <v>0</v>
      </c>
      <c r="BO53" s="171">
        <f>$F53*(1+$H53)^ROUNDUP(IFERROR(DATEDIF($G53-1,BO$14+1,"m"),)/12,)*Index!BN$23</f>
        <v>0</v>
      </c>
      <c r="BP53" s="171">
        <f>$F53*(1+$H53)^ROUNDUP(IFERROR(DATEDIF($G53-1,BP$14+1,"m"),)/12,)*Index!BO$23</f>
        <v>0</v>
      </c>
      <c r="BQ53" s="171">
        <f>$F53*(1+$H53)^ROUNDUP(IFERROR(DATEDIF($G53-1,BQ$14+1,"m"),)/12,)*Index!BP$23</f>
        <v>0</v>
      </c>
      <c r="BR53" s="171">
        <f>$F53*(1+$H53)^ROUNDUP(IFERROR(DATEDIF($G53-1,BR$14+1,"m"),)/12,)*Index!BQ$23</f>
        <v>0</v>
      </c>
      <c r="BS53" s="171">
        <f>$F53*(1+$H53)^ROUNDUP(IFERROR(DATEDIF($G53-1,BS$14+1,"m"),)/12,)*Index!BR$23</f>
        <v>0</v>
      </c>
      <c r="BT53" s="171">
        <f>$F53*(1+$H53)^ROUNDUP(IFERROR(DATEDIF($G53-1,BT$14+1,"m"),)/12,)*Index!BS$23</f>
        <v>0</v>
      </c>
      <c r="BU53" s="171">
        <f>$F53*(1+$H53)^ROUNDUP(IFERROR(DATEDIF($G53-1,BU$14+1,"m"),)/12,)*Index!BT$23</f>
        <v>0</v>
      </c>
      <c r="BV53" s="171">
        <f>$F53*(1+$H53)^ROUNDUP(IFERROR(DATEDIF($G53-1,BV$14+1,"m"),)/12,)*Index!BU$23</f>
        <v>0</v>
      </c>
      <c r="BW53" s="171">
        <f>$F53*(1+$H53)^ROUNDUP(IFERROR(DATEDIF($G53-1,BW$14+1,"m"),)/12,)*Index!BV$23</f>
        <v>0</v>
      </c>
      <c r="BX53" s="171">
        <f>$F53*(1+$H53)^ROUNDUP(IFERROR(DATEDIF($G53-1,BX$14+1,"m"),)/12,)*Index!BW$23</f>
        <v>0</v>
      </c>
      <c r="BY53" s="171">
        <f>$F53*(1+$H53)^ROUNDUP(IFERROR(DATEDIF($G53-1,BY$14+1,"m"),)/12,)*Index!BX$23</f>
        <v>0</v>
      </c>
      <c r="BZ53" s="171">
        <f>$F53*(1+$H53)^ROUNDUP(IFERROR(DATEDIF($G53-1,BZ$14+1,"m"),)/12,)*Index!BY$23</f>
        <v>0</v>
      </c>
      <c r="CA53" s="171">
        <f>$F53*(1+$H53)^ROUNDUP(IFERROR(DATEDIF($G53-1,CA$14+1,"m"),)/12,)*Index!BZ$23</f>
        <v>0</v>
      </c>
      <c r="CB53" s="171">
        <f>$F53*(1+$H53)^ROUNDUP(IFERROR(DATEDIF($G53-1,CB$14+1,"m"),)/12,)*Index!CA$23</f>
        <v>0</v>
      </c>
      <c r="CC53" s="171">
        <f>$F53*(1+$H53)^ROUNDUP(IFERROR(DATEDIF($G53-1,CC$14+1,"m"),)/12,)*Index!CB$23</f>
        <v>0</v>
      </c>
      <c r="CD53" s="171">
        <f>$F53*(1+$H53)^ROUNDUP(IFERROR(DATEDIF($G53-1,CD$14+1,"m"),)/12,)*Index!CC$23</f>
        <v>0</v>
      </c>
      <c r="CE53" s="171">
        <f>$F53*(1+$H53)^ROUNDUP(IFERROR(DATEDIF($G53-1,CE$14+1,"m"),)/12,)*Index!CD$23</f>
        <v>0</v>
      </c>
      <c r="CF53" s="171">
        <f>$F53*(1+$H53)^ROUNDUP(IFERROR(DATEDIF($G53-1,CF$14+1,"m"),)/12,)*Index!CE$23</f>
        <v>0</v>
      </c>
      <c r="CG53" s="171">
        <f>$F53*(1+$H53)^ROUNDUP(IFERROR(DATEDIF($G53-1,CG$14+1,"m"),)/12,)*Index!CF$23</f>
        <v>0</v>
      </c>
      <c r="CH53" s="171">
        <f>$F53*(1+$H53)^ROUNDUP(IFERROR(DATEDIF($G53-1,CH$14+1,"m"),)/12,)*Index!CG$23</f>
        <v>0</v>
      </c>
      <c r="CI53" s="171">
        <f>$F53*(1+$H53)^ROUNDUP(IFERROR(DATEDIF($G53-1,CI$14+1,"m"),)/12,)*Index!CH$23</f>
        <v>0</v>
      </c>
      <c r="CJ53" s="171">
        <f>$F53*(1+$H53)^ROUNDUP(IFERROR(DATEDIF($G53-1,CJ$14+1,"m"),)/12,)*Index!CI$23</f>
        <v>0</v>
      </c>
      <c r="CK53" s="171">
        <f>$F53*(1+$H53)^ROUNDUP(IFERROR(DATEDIF($G53-1,CK$14+1,"m"),)/12,)*Index!CJ$23</f>
        <v>0</v>
      </c>
      <c r="CL53" s="171">
        <f>$F53*(1+$H53)^ROUNDUP(IFERROR(DATEDIF($G53-1,CL$14+1,"m"),)/12,)*Index!CK$23</f>
        <v>0</v>
      </c>
      <c r="CM53" s="171">
        <f>$F53*(1+$H53)^ROUNDUP(IFERROR(DATEDIF($G53-1,CM$14+1,"m"),)/12,)*Index!CL$23</f>
        <v>0</v>
      </c>
      <c r="CN53" s="171">
        <f>$F53*(1+$H53)^ROUNDUP(IFERROR(DATEDIF($G53-1,CN$14+1,"m"),)/12,)*Index!CM$23</f>
        <v>0</v>
      </c>
      <c r="CO53" s="171">
        <f>$F53*(1+$H53)^ROUNDUP(IFERROR(DATEDIF($G53-1,CO$14+1,"m"),)/12,)*Index!CN$23</f>
        <v>0</v>
      </c>
      <c r="CP53" s="171">
        <f>$F53*(1+$H53)^ROUNDUP(IFERROR(DATEDIF($G53-1,CP$14+1,"m"),)/12,)*Index!CO$23</f>
        <v>0</v>
      </c>
      <c r="CQ53" s="171">
        <f>$F53*(1+$H53)^ROUNDUP(IFERROR(DATEDIF($G53-1,CQ$14+1,"m"),)/12,)*Index!CP$23</f>
        <v>0</v>
      </c>
      <c r="CR53" s="171">
        <f>$F53*(1+$H53)^ROUNDUP(IFERROR(DATEDIF($G53-1,CR$14+1,"m"),)/12,)*Index!CQ$23</f>
        <v>0</v>
      </c>
      <c r="CS53" s="171">
        <f>$F53*(1+$H53)^ROUNDUP(IFERROR(DATEDIF($G53-1,CS$14+1,"m"),)/12,)*Index!CR$23</f>
        <v>0</v>
      </c>
      <c r="CT53" s="171">
        <f>$F53*(1+$H53)^ROUNDUP(IFERROR(DATEDIF($G53-1,CT$14+1,"m"),)/12,)*Index!CS$23</f>
        <v>0</v>
      </c>
      <c r="CU53" s="171">
        <f>$F53*(1+$H53)^ROUNDUP(IFERROR(DATEDIF($G53-1,CU$14+1,"m"),)/12,)*Index!CT$23</f>
        <v>0</v>
      </c>
      <c r="CV53" s="171">
        <f>$F53*(1+$H53)^ROUNDUP(IFERROR(DATEDIF($G53-1,CV$14+1,"m"),)/12,)*Index!CU$23</f>
        <v>0</v>
      </c>
      <c r="CW53" s="171">
        <f>$F53*(1+$H53)^ROUNDUP(IFERROR(DATEDIF($G53-1,CW$14+1,"m"),)/12,)*Index!CV$23</f>
        <v>0</v>
      </c>
      <c r="CX53" s="171">
        <f>$F53*(1+$H53)^ROUNDUP(IFERROR(DATEDIF($G53-1,CX$14+1,"m"),)/12,)*Index!CW$23</f>
        <v>0</v>
      </c>
      <c r="CY53" s="171">
        <f>$F53*(1+$H53)^ROUNDUP(IFERROR(DATEDIF($G53-1,CY$14+1,"m"),)/12,)*Index!CX$23</f>
        <v>0</v>
      </c>
      <c r="CZ53" s="171">
        <f>$F53*(1+$H53)^ROUNDUP(IFERROR(DATEDIF($G53-1,CZ$14+1,"m"),)/12,)*Index!CY$23</f>
        <v>0</v>
      </c>
      <c r="DA53" s="171">
        <f>$F53*(1+$H53)^ROUNDUP(IFERROR(DATEDIF($G53-1,DA$14+1,"m"),)/12,)*Index!CZ$23</f>
        <v>0</v>
      </c>
      <c r="DB53" s="171">
        <f>$F53*(1+$H53)^ROUNDUP(IFERROR(DATEDIF($G53-1,DB$14+1,"m"),)/12,)*Index!DA$23</f>
        <v>0</v>
      </c>
      <c r="DC53" s="171">
        <f>$F53*(1+$H53)^ROUNDUP(IFERROR(DATEDIF($G53-1,DC$14+1,"m"),)/12,)*Index!DB$23</f>
        <v>0</v>
      </c>
      <c r="DD53" s="171">
        <f>$F53*(1+$H53)^ROUNDUP(IFERROR(DATEDIF($G53-1,DD$14+1,"m"),)/12,)*Index!DC$23</f>
        <v>0</v>
      </c>
      <c r="DE53" s="171">
        <f>$F53*(1+$H53)^ROUNDUP(IFERROR(DATEDIF($G53-1,DE$14+1,"m"),)/12,)*Index!DD$23</f>
        <v>0</v>
      </c>
      <c r="DF53" s="171">
        <f>$F53*(1+$H53)^ROUNDUP(IFERROR(DATEDIF($G53-1,DF$14+1,"m"),)/12,)*Index!DE$23</f>
        <v>0</v>
      </c>
      <c r="DG53" s="171">
        <f>$F53*(1+$H53)^ROUNDUP(IFERROR(DATEDIF($G53-1,DG$14+1,"m"),)/12,)*Index!DF$23</f>
        <v>0</v>
      </c>
      <c r="DH53" s="171">
        <f>$F53*(1+$H53)^ROUNDUP(IFERROR(DATEDIF($G53-1,DH$14+1,"m"),)/12,)*Index!DG$23</f>
        <v>0</v>
      </c>
      <c r="DI53" s="171">
        <f>$F53*(1+$H53)^ROUNDUP(IFERROR(DATEDIF($G53-1,DI$14+1,"m"),)/12,)*Index!DH$23</f>
        <v>0</v>
      </c>
      <c r="DJ53" s="171">
        <f>$F53*(1+$H53)^ROUNDUP(IFERROR(DATEDIF($G53-1,DJ$14+1,"m"),)/12,)*Index!DI$23</f>
        <v>0</v>
      </c>
      <c r="DK53" s="171">
        <f>$F53*(1+$H53)^ROUNDUP(IFERROR(DATEDIF($G53-1,DK$14+1,"m"),)/12,)*Index!DJ$23</f>
        <v>0</v>
      </c>
      <c r="DL53" s="171">
        <f>$F53*(1+$H53)^ROUNDUP(IFERROR(DATEDIF($G53-1,DL$14+1,"m"),)/12,)*Index!DK$23</f>
        <v>0</v>
      </c>
      <c r="DM53" s="171">
        <f>$F53*(1+$H53)^ROUNDUP(IFERROR(DATEDIF($G53-1,DM$14+1,"m"),)/12,)*Index!DL$23</f>
        <v>0</v>
      </c>
      <c r="DN53" s="171">
        <f>$F53*(1+$H53)^ROUNDUP(IFERROR(DATEDIF($G53-1,DN$14+1,"m"),)/12,)*Index!DM$23</f>
        <v>0</v>
      </c>
      <c r="DO53" s="171">
        <f>$F53*(1+$H53)^ROUNDUP(IFERROR(DATEDIF($G53-1,DO$14+1,"m"),)/12,)*Index!DN$23</f>
        <v>0</v>
      </c>
      <c r="DP53" s="171">
        <f>$F53*(1+$H53)^ROUNDUP(IFERROR(DATEDIF($G53-1,DP$14+1,"m"),)/12,)*Index!DO$23</f>
        <v>0</v>
      </c>
      <c r="DQ53" s="171">
        <f>$F53*(1+$H53)^ROUNDUP(IFERROR(DATEDIF($G53-1,DQ$14+1,"m"),)/12,)*Index!DP$23</f>
        <v>0</v>
      </c>
      <c r="DR53" s="171">
        <f>$F53*(1+$H53)^ROUNDUP(IFERROR(DATEDIF($G53-1,DR$14+1,"m"),)/12,)*Index!DQ$23</f>
        <v>0</v>
      </c>
      <c r="DS53" s="171">
        <f>$F53*(1+$H53)^ROUNDUP(IFERROR(DATEDIF($G53-1,DS$14+1,"m"),)/12,)*Index!DR$23</f>
        <v>0</v>
      </c>
      <c r="DT53" s="171">
        <f>$F53*(1+$H53)^ROUNDUP(IFERROR(DATEDIF($G53-1,DT$14+1,"m"),)/12,)*Index!DS$23</f>
        <v>0</v>
      </c>
      <c r="DU53" s="171">
        <f>$F53*(1+$H53)^ROUNDUP(IFERROR(DATEDIF($G53-1,DU$14+1,"m"),)/12,)*Index!DT$23</f>
        <v>0</v>
      </c>
      <c r="DV53" s="171">
        <f>$F53*(1+$H53)^ROUNDUP(IFERROR(DATEDIF($G53-1,DV$14+1,"m"),)/12,)*Index!DU$23</f>
        <v>0</v>
      </c>
      <c r="DW53" s="171">
        <f>$F53*(1+$H53)^ROUNDUP(IFERROR(DATEDIF($G53-1,DW$14+1,"m"),)/12,)*Index!DV$23</f>
        <v>0</v>
      </c>
      <c r="DX53" s="171">
        <f>$F53*(1+$H53)^ROUNDUP(IFERROR(DATEDIF($G53-1,DX$14+1,"m"),)/12,)*Index!DW$23</f>
        <v>0</v>
      </c>
      <c r="DY53" s="171">
        <f>$F53*(1+$H53)^ROUNDUP(IFERROR(DATEDIF($G53-1,DY$14+1,"m"),)/12,)*Index!DX$23</f>
        <v>0</v>
      </c>
      <c r="DZ53" s="171">
        <f>$F53*(1+$H53)^ROUNDUP(IFERROR(DATEDIF($G53-1,DZ$14+1,"m"),)/12,)*Index!DY$23</f>
        <v>0</v>
      </c>
      <c r="EA53" s="171">
        <f>$F53*(1+$H53)^ROUNDUP(IFERROR(DATEDIF($G53-1,EA$14+1,"m"),)/12,)*Index!DZ$23</f>
        <v>0</v>
      </c>
      <c r="EB53" s="171">
        <f>$F53*(1+$H53)^ROUNDUP(IFERROR(DATEDIF($G53-1,EB$14+1,"m"),)/12,)*Index!EA$23</f>
        <v>0</v>
      </c>
      <c r="EC53" s="171">
        <f>$F53*(1+$H53)^ROUNDUP(IFERROR(DATEDIF($G53-1,EC$14+1,"m"),)/12,)*Index!EB$23</f>
        <v>0</v>
      </c>
      <c r="ED53" s="171">
        <f>$F53*(1+$H53)^ROUNDUP(IFERROR(DATEDIF($G53-1,ED$14+1,"m"),)/12,)*Index!EC$23</f>
        <v>1741.2360810166667</v>
      </c>
      <c r="EE53" s="171">
        <f>$F53*(1+$H53)^ROUNDUP(IFERROR(DATEDIF($G53-1,EE$14+1,"m"),)/12,)*Index!ED$23</f>
        <v>1741.2360810166667</v>
      </c>
      <c r="EF53" s="171">
        <f>$F53*(1+$H53)^ROUNDUP(IFERROR(DATEDIF($G53-1,EF$14+1,"m"),)/12,)*Index!EE$23</f>
        <v>1741.2360810166667</v>
      </c>
      <c r="EG53" s="171">
        <f>$F53*(1+$H53)^ROUNDUP(IFERROR(DATEDIF($G53-1,EG$14+1,"m"),)/12,)*Index!EF$23</f>
        <v>1741.2360810166667</v>
      </c>
      <c r="EH53" s="171">
        <f>$F53*(1+$H53)^ROUNDUP(IFERROR(DATEDIF($G53-1,EH$14+1,"m"),)/12,)*Index!EG$23</f>
        <v>1741.2360810166667</v>
      </c>
      <c r="EI53" s="171">
        <f>$F53*(1+$H53)^ROUNDUP(IFERROR(DATEDIF($G53-1,EI$14+1,"m"),)/12,)*Index!EH$23</f>
        <v>1741.2360810166667</v>
      </c>
      <c r="EJ53" s="171">
        <f>$F53*(1+$H53)^ROUNDUP(IFERROR(DATEDIF($G53-1,EJ$14+1,"m"),)/12,)*Index!EI$23</f>
        <v>1741.2360810166667</v>
      </c>
      <c r="EK53" s="171">
        <f>$F53*(1+$H53)^ROUNDUP(IFERROR(DATEDIF($G53-1,EK$14+1,"m"),)/12,)*Index!EJ$23</f>
        <v>1741.2360810166667</v>
      </c>
      <c r="EL53" s="171">
        <f>$F53*(1+$H53)^ROUNDUP(IFERROR(DATEDIF($G53-1,EL$14+1,"m"),)/12,)*Index!EK$23</f>
        <v>1741.2360810166667</v>
      </c>
      <c r="EM53" s="171">
        <f>$F53*(1+$H53)^ROUNDUP(IFERROR(DATEDIF($G53-1,EM$14+1,"m"),)/12,)*Index!EL$23</f>
        <v>1741.2360810166667</v>
      </c>
      <c r="EN53" s="171">
        <f>$F53*(1+$H53)^ROUNDUP(IFERROR(DATEDIF($G53-1,EN$14+1,"m"),)/12,)*Index!EM$23</f>
        <v>1741.2360810166667</v>
      </c>
      <c r="EO53" s="171">
        <f>$F53*(1+$H53)^ROUNDUP(IFERROR(DATEDIF($G53-1,EO$14+1,"m"),)/12,)*Index!EN$23</f>
        <v>1741.2360810166667</v>
      </c>
      <c r="EP53" s="171">
        <f>$F53*(1+$H53)^ROUNDUP(IFERROR(DATEDIF($G53-1,EP$14+1,"m"),)/12,)*Index!EO$23</f>
        <v>0</v>
      </c>
      <c r="EQ53" s="171">
        <f>$F53*(1+$H53)^ROUNDUP(IFERROR(DATEDIF($G53-1,EQ$14+1,"m"),)/12,)*Index!EP$23</f>
        <v>0</v>
      </c>
      <c r="ER53" s="171">
        <f>$F53*(1+$H53)^ROUNDUP(IFERROR(DATEDIF($G53-1,ER$14+1,"m"),)/12,)*Index!EQ$23</f>
        <v>0</v>
      </c>
    </row>
    <row r="54" spans="3:148" ht="11.25" customHeight="1">
      <c r="C54" s="163"/>
      <c r="D54" s="169" t="s">
        <v>468</v>
      </c>
      <c r="F54" s="798"/>
      <c r="G54" s="799"/>
      <c r="H54" s="800"/>
      <c r="I54" s="65"/>
      <c r="J54" s="90"/>
      <c r="K54" s="171"/>
      <c r="L54" s="98"/>
      <c r="M54" s="171">
        <v>0</v>
      </c>
      <c r="N54" s="171">
        <v>0</v>
      </c>
      <c r="O54" s="171">
        <v>0</v>
      </c>
      <c r="P54" s="171">
        <v>0</v>
      </c>
      <c r="Q54" s="171">
        <v>0</v>
      </c>
      <c r="R54" s="171">
        <v>0</v>
      </c>
      <c r="S54" s="171">
        <v>0</v>
      </c>
      <c r="T54" s="171">
        <v>0</v>
      </c>
      <c r="U54" s="171">
        <v>0</v>
      </c>
      <c r="V54" s="171">
        <v>0</v>
      </c>
      <c r="W54" s="171">
        <v>0</v>
      </c>
      <c r="X54" s="171">
        <v>0</v>
      </c>
      <c r="Y54" s="171">
        <v>0</v>
      </c>
      <c r="Z54" s="171">
        <v>0</v>
      </c>
      <c r="AA54" s="171">
        <v>0</v>
      </c>
      <c r="AB54" s="171">
        <v>0</v>
      </c>
      <c r="AC54" s="171">
        <v>0</v>
      </c>
      <c r="AD54" s="171">
        <v>0</v>
      </c>
      <c r="AE54" s="171">
        <v>0</v>
      </c>
      <c r="AF54" s="171">
        <v>0</v>
      </c>
      <c r="AG54" s="171">
        <v>0</v>
      </c>
      <c r="AH54" s="171">
        <v>0</v>
      </c>
      <c r="AI54" s="171">
        <v>0</v>
      </c>
      <c r="AJ54" s="171">
        <v>0</v>
      </c>
      <c r="AK54" s="171">
        <v>0</v>
      </c>
      <c r="AL54" s="171">
        <v>0</v>
      </c>
      <c r="AM54" s="171">
        <v>0</v>
      </c>
      <c r="AN54" s="171">
        <v>0</v>
      </c>
      <c r="AO54" s="171">
        <v>0</v>
      </c>
      <c r="AP54" s="171">
        <v>0</v>
      </c>
      <c r="AQ54" s="171">
        <v>0</v>
      </c>
      <c r="AR54" s="171">
        <v>0</v>
      </c>
      <c r="AS54" s="171">
        <v>0</v>
      </c>
      <c r="AT54" s="171">
        <v>0</v>
      </c>
      <c r="AU54" s="171">
        <v>0</v>
      </c>
      <c r="AV54" s="171">
        <v>0</v>
      </c>
      <c r="AW54" s="171">
        <v>0</v>
      </c>
      <c r="AX54" s="171">
        <v>0</v>
      </c>
      <c r="AY54" s="171">
        <v>0</v>
      </c>
      <c r="AZ54" s="171">
        <v>0</v>
      </c>
      <c r="BA54" s="171">
        <v>0</v>
      </c>
      <c r="BB54" s="171">
        <v>0</v>
      </c>
      <c r="BC54" s="171">
        <v>0</v>
      </c>
      <c r="BD54" s="171">
        <v>0</v>
      </c>
      <c r="BE54" s="171">
        <v>0</v>
      </c>
      <c r="BF54" s="171">
        <v>0</v>
      </c>
      <c r="BG54" s="171">
        <v>0</v>
      </c>
      <c r="BH54" s="171">
        <v>0</v>
      </c>
      <c r="BI54" s="171">
        <v>0</v>
      </c>
      <c r="BJ54" s="171">
        <v>0</v>
      </c>
      <c r="BK54" s="171">
        <v>0</v>
      </c>
      <c r="BL54" s="171">
        <v>0</v>
      </c>
      <c r="BM54" s="171">
        <v>0</v>
      </c>
      <c r="BN54" s="171">
        <v>0</v>
      </c>
      <c r="BO54" s="171">
        <v>0</v>
      </c>
      <c r="BP54" s="171">
        <v>0</v>
      </c>
      <c r="BQ54" s="171">
        <v>0</v>
      </c>
      <c r="BR54" s="171">
        <v>0</v>
      </c>
      <c r="BS54" s="171">
        <v>0</v>
      </c>
      <c r="BT54" s="171">
        <v>0</v>
      </c>
      <c r="BU54" s="171">
        <v>0</v>
      </c>
      <c r="BV54" s="171">
        <v>0</v>
      </c>
      <c r="BW54" s="171">
        <v>0</v>
      </c>
      <c r="BX54" s="171">
        <v>0</v>
      </c>
      <c r="BY54" s="171">
        <v>0</v>
      </c>
      <c r="BZ54" s="171">
        <v>0</v>
      </c>
      <c r="CA54" s="171">
        <v>0</v>
      </c>
      <c r="CB54" s="171">
        <v>0</v>
      </c>
      <c r="CC54" s="171">
        <v>0</v>
      </c>
      <c r="CD54" s="171">
        <v>0</v>
      </c>
      <c r="CE54" s="171">
        <v>0</v>
      </c>
      <c r="CF54" s="171">
        <v>0</v>
      </c>
      <c r="CG54" s="171">
        <v>0</v>
      </c>
      <c r="CH54" s="171">
        <v>0</v>
      </c>
      <c r="CI54" s="171">
        <v>0</v>
      </c>
      <c r="CJ54" s="171">
        <v>0</v>
      </c>
      <c r="CK54" s="171">
        <v>0</v>
      </c>
      <c r="CL54" s="171">
        <v>0</v>
      </c>
      <c r="CM54" s="171">
        <v>0</v>
      </c>
      <c r="CN54" s="171">
        <v>0</v>
      </c>
      <c r="CO54" s="171">
        <v>0</v>
      </c>
      <c r="CP54" s="171">
        <v>0</v>
      </c>
      <c r="CQ54" s="171">
        <v>0</v>
      </c>
      <c r="CR54" s="171">
        <v>0</v>
      </c>
      <c r="CS54" s="171">
        <v>0</v>
      </c>
      <c r="CT54" s="171">
        <v>0</v>
      </c>
      <c r="CU54" s="171">
        <v>0</v>
      </c>
      <c r="CV54" s="171">
        <v>0</v>
      </c>
      <c r="CW54" s="171">
        <v>0</v>
      </c>
      <c r="CX54" s="171">
        <v>0</v>
      </c>
      <c r="CY54" s="171">
        <v>0</v>
      </c>
      <c r="CZ54" s="171">
        <v>0</v>
      </c>
      <c r="DA54" s="171">
        <v>0</v>
      </c>
      <c r="DB54" s="171">
        <v>0</v>
      </c>
      <c r="DC54" s="171">
        <v>0</v>
      </c>
      <c r="DD54" s="171">
        <v>0</v>
      </c>
      <c r="DE54" s="171">
        <v>0</v>
      </c>
      <c r="DF54" s="171">
        <v>0</v>
      </c>
      <c r="DG54" s="171">
        <v>0</v>
      </c>
      <c r="DH54" s="171">
        <v>0</v>
      </c>
      <c r="DI54" s="171">
        <v>0</v>
      </c>
      <c r="DJ54" s="171">
        <v>0</v>
      </c>
      <c r="DK54" s="171">
        <v>0</v>
      </c>
      <c r="DL54" s="171">
        <v>0</v>
      </c>
      <c r="DM54" s="171">
        <v>0</v>
      </c>
      <c r="DN54" s="171">
        <v>0</v>
      </c>
      <c r="DO54" s="171">
        <v>0</v>
      </c>
      <c r="DP54" s="171">
        <v>0</v>
      </c>
      <c r="DQ54" s="171">
        <v>0</v>
      </c>
      <c r="DR54" s="171">
        <v>0</v>
      </c>
      <c r="DS54" s="171">
        <v>0</v>
      </c>
      <c r="DT54" s="171">
        <v>0</v>
      </c>
      <c r="DU54" s="171">
        <v>0</v>
      </c>
      <c r="DV54" s="171">
        <v>0</v>
      </c>
      <c r="DW54" s="171">
        <v>0</v>
      </c>
      <c r="DX54" s="171">
        <v>0</v>
      </c>
      <c r="DY54" s="171">
        <v>0</v>
      </c>
      <c r="DZ54" s="171">
        <v>0</v>
      </c>
      <c r="EA54" s="171">
        <v>0</v>
      </c>
      <c r="EB54" s="171">
        <v>0</v>
      </c>
      <c r="EC54" s="171">
        <v>0</v>
      </c>
      <c r="ED54" s="171">
        <v>0</v>
      </c>
      <c r="EE54" s="171">
        <v>0</v>
      </c>
      <c r="EF54" s="171">
        <v>0</v>
      </c>
      <c r="EG54" s="171">
        <v>0</v>
      </c>
      <c r="EH54" s="171">
        <v>0</v>
      </c>
      <c r="EI54" s="171">
        <v>0</v>
      </c>
      <c r="EJ54" s="171">
        <v>0</v>
      </c>
      <c r="EK54" s="171">
        <v>0</v>
      </c>
      <c r="EL54" s="171">
        <v>0</v>
      </c>
      <c r="EM54" s="171">
        <v>0</v>
      </c>
      <c r="EN54" s="171">
        <v>0</v>
      </c>
      <c r="EO54" s="171">
        <v>0</v>
      </c>
      <c r="EP54" s="171">
        <v>0</v>
      </c>
      <c r="EQ54" s="171">
        <v>0</v>
      </c>
      <c r="ER54" s="171">
        <v>0</v>
      </c>
    </row>
    <row r="55" spans="3:148" ht="11.25" customHeight="1">
      <c r="C55" s="251" t="s">
        <v>221</v>
      </c>
      <c r="D55" s="252"/>
      <c r="E55" s="252"/>
      <c r="F55" s="801"/>
      <c r="G55" s="801"/>
      <c r="H55" s="801"/>
      <c r="I55" s="253"/>
      <c r="J55" s="254"/>
      <c r="K55" s="255">
        <f>K37-K43</f>
        <v>18283953.536308561</v>
      </c>
      <c r="L55" s="98"/>
      <c r="M55" s="256">
        <f>M37-M43</f>
        <v>0</v>
      </c>
      <c r="N55" s="256">
        <f t="shared" ref="N55:BY55" si="31">N37-N43</f>
        <v>0</v>
      </c>
      <c r="O55" s="256">
        <f t="shared" si="31"/>
        <v>0</v>
      </c>
      <c r="P55" s="256">
        <f t="shared" si="31"/>
        <v>0</v>
      </c>
      <c r="Q55" s="256">
        <f t="shared" si="31"/>
        <v>0</v>
      </c>
      <c r="R55" s="256">
        <f t="shared" si="31"/>
        <v>0</v>
      </c>
      <c r="S55" s="256">
        <f t="shared" si="31"/>
        <v>0</v>
      </c>
      <c r="T55" s="256">
        <f t="shared" si="31"/>
        <v>0</v>
      </c>
      <c r="U55" s="256">
        <f t="shared" si="31"/>
        <v>0</v>
      </c>
      <c r="V55" s="256">
        <f t="shared" si="31"/>
        <v>0</v>
      </c>
      <c r="W55" s="256">
        <f t="shared" si="31"/>
        <v>0</v>
      </c>
      <c r="X55" s="256">
        <f t="shared" si="31"/>
        <v>0</v>
      </c>
      <c r="Y55" s="256">
        <f t="shared" si="31"/>
        <v>0</v>
      </c>
      <c r="Z55" s="256">
        <f t="shared" si="31"/>
        <v>0</v>
      </c>
      <c r="AA55" s="256">
        <f t="shared" si="31"/>
        <v>0</v>
      </c>
      <c r="AB55" s="256">
        <f t="shared" si="31"/>
        <v>0</v>
      </c>
      <c r="AC55" s="256">
        <f t="shared" si="31"/>
        <v>0</v>
      </c>
      <c r="AD55" s="256">
        <f t="shared" si="31"/>
        <v>0</v>
      </c>
      <c r="AE55" s="256">
        <f t="shared" si="31"/>
        <v>0</v>
      </c>
      <c r="AF55" s="256">
        <f t="shared" si="31"/>
        <v>0</v>
      </c>
      <c r="AG55" s="256">
        <f t="shared" si="31"/>
        <v>0</v>
      </c>
      <c r="AH55" s="256">
        <f t="shared" si="31"/>
        <v>0</v>
      </c>
      <c r="AI55" s="256">
        <f t="shared" si="31"/>
        <v>0</v>
      </c>
      <c r="AJ55" s="256">
        <f t="shared" si="31"/>
        <v>0</v>
      </c>
      <c r="AK55" s="256">
        <f t="shared" si="31"/>
        <v>0</v>
      </c>
      <c r="AL55" s="256">
        <f t="shared" si="31"/>
        <v>0</v>
      </c>
      <c r="AM55" s="256">
        <f t="shared" si="31"/>
        <v>0</v>
      </c>
      <c r="AN55" s="256">
        <f t="shared" si="31"/>
        <v>0</v>
      </c>
      <c r="AO55" s="256">
        <f t="shared" si="31"/>
        <v>0</v>
      </c>
      <c r="AP55" s="256">
        <f t="shared" si="31"/>
        <v>0</v>
      </c>
      <c r="AQ55" s="256">
        <f t="shared" si="31"/>
        <v>0</v>
      </c>
      <c r="AR55" s="256">
        <f t="shared" si="31"/>
        <v>0</v>
      </c>
      <c r="AS55" s="256">
        <f t="shared" si="31"/>
        <v>0</v>
      </c>
      <c r="AT55" s="256">
        <f t="shared" si="31"/>
        <v>0</v>
      </c>
      <c r="AU55" s="256">
        <f t="shared" si="31"/>
        <v>0</v>
      </c>
      <c r="AV55" s="256">
        <f t="shared" si="31"/>
        <v>0</v>
      </c>
      <c r="AW55" s="256">
        <f t="shared" si="31"/>
        <v>0</v>
      </c>
      <c r="AX55" s="256">
        <f t="shared" si="31"/>
        <v>0</v>
      </c>
      <c r="AY55" s="256">
        <f t="shared" si="31"/>
        <v>0</v>
      </c>
      <c r="AZ55" s="256">
        <f t="shared" si="31"/>
        <v>0</v>
      </c>
      <c r="BA55" s="256">
        <f t="shared" si="31"/>
        <v>0</v>
      </c>
      <c r="BB55" s="256">
        <f t="shared" si="31"/>
        <v>0</v>
      </c>
      <c r="BC55" s="256">
        <f t="shared" si="31"/>
        <v>0</v>
      </c>
      <c r="BD55" s="256">
        <f t="shared" si="31"/>
        <v>0</v>
      </c>
      <c r="BE55" s="256">
        <f t="shared" si="31"/>
        <v>0</v>
      </c>
      <c r="BF55" s="256">
        <f t="shared" si="31"/>
        <v>0</v>
      </c>
      <c r="BG55" s="256">
        <f t="shared" si="31"/>
        <v>0</v>
      </c>
      <c r="BH55" s="256">
        <f t="shared" si="31"/>
        <v>0</v>
      </c>
      <c r="BI55" s="256">
        <f t="shared" si="31"/>
        <v>0</v>
      </c>
      <c r="BJ55" s="256">
        <f t="shared" si="31"/>
        <v>0</v>
      </c>
      <c r="BK55" s="256">
        <f t="shared" si="31"/>
        <v>0</v>
      </c>
      <c r="BL55" s="256">
        <f t="shared" si="31"/>
        <v>0</v>
      </c>
      <c r="BM55" s="256">
        <f t="shared" si="31"/>
        <v>0</v>
      </c>
      <c r="BN55" s="256">
        <f t="shared" si="31"/>
        <v>0</v>
      </c>
      <c r="BO55" s="256">
        <f t="shared" si="31"/>
        <v>0</v>
      </c>
      <c r="BP55" s="256">
        <f t="shared" si="31"/>
        <v>0</v>
      </c>
      <c r="BQ55" s="256">
        <f t="shared" si="31"/>
        <v>0</v>
      </c>
      <c r="BR55" s="256">
        <f t="shared" si="31"/>
        <v>0</v>
      </c>
      <c r="BS55" s="256">
        <f t="shared" si="31"/>
        <v>0</v>
      </c>
      <c r="BT55" s="256">
        <f t="shared" si="31"/>
        <v>0</v>
      </c>
      <c r="BU55" s="256">
        <f t="shared" si="31"/>
        <v>0</v>
      </c>
      <c r="BV55" s="256">
        <f t="shared" si="31"/>
        <v>0</v>
      </c>
      <c r="BW55" s="256">
        <f t="shared" si="31"/>
        <v>0</v>
      </c>
      <c r="BX55" s="256">
        <f t="shared" si="31"/>
        <v>0</v>
      </c>
      <c r="BY55" s="256">
        <f t="shared" si="31"/>
        <v>0</v>
      </c>
      <c r="BZ55" s="256">
        <f t="shared" ref="BZ55:DV55" si="32">BZ37-BZ43</f>
        <v>0</v>
      </c>
      <c r="CA55" s="256">
        <f t="shared" si="32"/>
        <v>0</v>
      </c>
      <c r="CB55" s="256">
        <f t="shared" si="32"/>
        <v>0</v>
      </c>
      <c r="CC55" s="256">
        <f t="shared" si="32"/>
        <v>0</v>
      </c>
      <c r="CD55" s="256">
        <f t="shared" si="32"/>
        <v>0</v>
      </c>
      <c r="CE55" s="256">
        <f t="shared" si="32"/>
        <v>0</v>
      </c>
      <c r="CF55" s="256">
        <f t="shared" si="32"/>
        <v>0</v>
      </c>
      <c r="CG55" s="256">
        <f t="shared" si="32"/>
        <v>0</v>
      </c>
      <c r="CH55" s="256">
        <f t="shared" si="32"/>
        <v>0</v>
      </c>
      <c r="CI55" s="256">
        <f t="shared" si="32"/>
        <v>0</v>
      </c>
      <c r="CJ55" s="256">
        <f t="shared" si="32"/>
        <v>0</v>
      </c>
      <c r="CK55" s="256">
        <f t="shared" si="32"/>
        <v>0</v>
      </c>
      <c r="CL55" s="256">
        <f t="shared" si="32"/>
        <v>0</v>
      </c>
      <c r="CM55" s="256">
        <f t="shared" si="32"/>
        <v>0</v>
      </c>
      <c r="CN55" s="256">
        <f t="shared" si="32"/>
        <v>0</v>
      </c>
      <c r="CO55" s="256">
        <f t="shared" si="32"/>
        <v>0</v>
      </c>
      <c r="CP55" s="256">
        <f t="shared" si="32"/>
        <v>0</v>
      </c>
      <c r="CQ55" s="256">
        <f t="shared" si="32"/>
        <v>0</v>
      </c>
      <c r="CR55" s="256">
        <f t="shared" si="32"/>
        <v>0</v>
      </c>
      <c r="CS55" s="256">
        <f t="shared" si="32"/>
        <v>0</v>
      </c>
      <c r="CT55" s="256">
        <f t="shared" si="32"/>
        <v>0</v>
      </c>
      <c r="CU55" s="256">
        <f t="shared" si="32"/>
        <v>0</v>
      </c>
      <c r="CV55" s="256">
        <f t="shared" si="32"/>
        <v>0</v>
      </c>
      <c r="CW55" s="256">
        <f t="shared" si="32"/>
        <v>0</v>
      </c>
      <c r="CX55" s="256">
        <f t="shared" si="32"/>
        <v>0</v>
      </c>
      <c r="CY55" s="256">
        <f t="shared" si="32"/>
        <v>0</v>
      </c>
      <c r="CZ55" s="256">
        <f t="shared" si="32"/>
        <v>0</v>
      </c>
      <c r="DA55" s="256">
        <f t="shared" si="32"/>
        <v>0</v>
      </c>
      <c r="DB55" s="256">
        <f t="shared" si="32"/>
        <v>0</v>
      </c>
      <c r="DC55" s="256">
        <f t="shared" si="32"/>
        <v>0</v>
      </c>
      <c r="DD55" s="256">
        <f t="shared" si="32"/>
        <v>0</v>
      </c>
      <c r="DE55" s="256">
        <f t="shared" si="32"/>
        <v>0</v>
      </c>
      <c r="DF55" s="256">
        <f t="shared" si="32"/>
        <v>0</v>
      </c>
      <c r="DG55" s="256">
        <f t="shared" si="32"/>
        <v>0</v>
      </c>
      <c r="DH55" s="256">
        <f t="shared" si="32"/>
        <v>0</v>
      </c>
      <c r="DI55" s="256">
        <f t="shared" si="32"/>
        <v>0</v>
      </c>
      <c r="DJ55" s="256">
        <f t="shared" si="32"/>
        <v>0</v>
      </c>
      <c r="DK55" s="256">
        <f t="shared" si="32"/>
        <v>0</v>
      </c>
      <c r="DL55" s="256">
        <f t="shared" si="32"/>
        <v>0</v>
      </c>
      <c r="DM55" s="256">
        <f t="shared" si="32"/>
        <v>0</v>
      </c>
      <c r="DN55" s="256">
        <f t="shared" si="32"/>
        <v>0</v>
      </c>
      <c r="DO55" s="256">
        <f t="shared" si="32"/>
        <v>0</v>
      </c>
      <c r="DP55" s="256">
        <f t="shared" si="32"/>
        <v>0</v>
      </c>
      <c r="DQ55" s="256">
        <f t="shared" si="32"/>
        <v>0</v>
      </c>
      <c r="DR55" s="256">
        <f t="shared" si="32"/>
        <v>0</v>
      </c>
      <c r="DS55" s="256">
        <f t="shared" si="32"/>
        <v>0</v>
      </c>
      <c r="DT55" s="256">
        <f t="shared" si="32"/>
        <v>0</v>
      </c>
      <c r="DU55" s="256">
        <f t="shared" si="32"/>
        <v>0</v>
      </c>
      <c r="DV55" s="256">
        <f t="shared" si="32"/>
        <v>0</v>
      </c>
      <c r="DW55" s="256">
        <f t="shared" ref="DW55:ER55" si="33">DW37-DW43</f>
        <v>0</v>
      </c>
      <c r="DX55" s="256">
        <f t="shared" si="33"/>
        <v>0</v>
      </c>
      <c r="DY55" s="256">
        <f t="shared" si="33"/>
        <v>0</v>
      </c>
      <c r="DZ55" s="256">
        <f t="shared" si="33"/>
        <v>0</v>
      </c>
      <c r="EA55" s="256">
        <f t="shared" si="33"/>
        <v>0</v>
      </c>
      <c r="EB55" s="256">
        <f t="shared" si="33"/>
        <v>0</v>
      </c>
      <c r="EC55" s="256">
        <f t="shared" si="33"/>
        <v>0</v>
      </c>
      <c r="ED55" s="256">
        <f t="shared" si="33"/>
        <v>1495410.9899478455</v>
      </c>
      <c r="EE55" s="256">
        <f t="shared" si="33"/>
        <v>1502397.3668803882</v>
      </c>
      <c r="EF55" s="256">
        <f t="shared" si="33"/>
        <v>1507696.5396456372</v>
      </c>
      <c r="EG55" s="256">
        <f t="shared" si="33"/>
        <v>1522055.1328160819</v>
      </c>
      <c r="EH55" s="256">
        <f t="shared" si="33"/>
        <v>1522055.1328160819</v>
      </c>
      <c r="EI55" s="256">
        <f t="shared" si="33"/>
        <v>1527520.2395825137</v>
      </c>
      <c r="EJ55" s="256">
        <f t="shared" si="33"/>
        <v>1532437.084234213</v>
      </c>
      <c r="EK55" s="256">
        <f t="shared" si="33"/>
        <v>1532437.084234213</v>
      </c>
      <c r="EL55" s="256">
        <f t="shared" si="33"/>
        <v>1532437.084234213</v>
      </c>
      <c r="EM55" s="256">
        <f t="shared" si="33"/>
        <v>1536502.2939724587</v>
      </c>
      <c r="EN55" s="256">
        <f t="shared" si="33"/>
        <v>1536502.2939724587</v>
      </c>
      <c r="EO55" s="256">
        <f t="shared" si="33"/>
        <v>1536502.2939724587</v>
      </c>
      <c r="EP55" s="256">
        <f t="shared" si="33"/>
        <v>0</v>
      </c>
      <c r="EQ55" s="256">
        <f t="shared" si="33"/>
        <v>0</v>
      </c>
      <c r="ER55" s="256">
        <f t="shared" si="33"/>
        <v>0</v>
      </c>
    </row>
  </sheetData>
  <phoneticPr fontId="2"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6FE0A-3C13-4244-83E9-030566DA14F3}">
  <sheetPr codeName="Sheet2">
    <tabColor theme="7" tint="-0.499984740745262"/>
  </sheetPr>
  <dimension ref="A1:EX231"/>
  <sheetViews>
    <sheetView showGridLines="0" zoomScale="85" zoomScaleNormal="85" workbookViewId="0">
      <pane xSplit="14" ySplit="11" topLeftCell="DY12" activePane="bottomRight" state="frozen"/>
      <selection activeCell="M268" sqref="M268"/>
      <selection pane="topRight" activeCell="M268" sqref="M268"/>
      <selection pane="bottomLeft" activeCell="M268" sqref="M268"/>
      <selection pane="bottomRight" activeCell="EF33" sqref="EF33"/>
    </sheetView>
  </sheetViews>
  <sheetFormatPr defaultColWidth="9" defaultRowHeight="11.25"/>
  <cols>
    <col min="1" max="1" width="2.625" style="704" customWidth="1"/>
    <col min="2" max="2" width="2.125" style="704" customWidth="1"/>
    <col min="3" max="3" width="1.875" style="704" customWidth="1"/>
    <col min="4" max="6" width="9" style="704"/>
    <col min="7" max="10" width="11" style="704" customWidth="1"/>
    <col min="11" max="11" width="9.75" style="704" customWidth="1"/>
    <col min="12" max="12" width="9.75" style="704" bestFit="1" customWidth="1"/>
    <col min="13" max="13" width="33.125" style="704" customWidth="1"/>
    <col min="14" max="14" width="11" style="704" customWidth="1"/>
    <col min="15" max="15" width="2.625" style="704" customWidth="1"/>
    <col min="16" max="151" width="11" style="704" customWidth="1"/>
    <col min="152" max="16384" width="9" style="704"/>
  </cols>
  <sheetData>
    <row r="1" spans="1:154" s="702" customFormat="1" ht="11.25" customHeight="1">
      <c r="A1" s="701" t="s">
        <v>250</v>
      </c>
    </row>
    <row r="2" spans="1:154" s="703" customFormat="1" ht="11.25" customHeight="1">
      <c r="A2" s="703" t="s">
        <v>22</v>
      </c>
    </row>
    <row r="4" spans="1:154" ht="11.25" customHeight="1">
      <c r="C4" s="705" t="s">
        <v>0</v>
      </c>
      <c r="D4" s="706"/>
      <c r="E4" s="706"/>
      <c r="F4" s="706"/>
      <c r="G4" s="706"/>
      <c r="H4" s="706"/>
      <c r="I4" s="706"/>
      <c r="J4" s="706"/>
      <c r="K4" s="706"/>
      <c r="L4" s="707"/>
      <c r="M4" s="708"/>
      <c r="N4" s="709"/>
      <c r="P4" s="710">
        <f>Index!L4</f>
        <v>46326</v>
      </c>
      <c r="Q4" s="710">
        <f>Index!M4</f>
        <v>46327</v>
      </c>
      <c r="R4" s="710">
        <f>Index!N4</f>
        <v>46357</v>
      </c>
      <c r="S4" s="710">
        <f>Index!O4</f>
        <v>46388</v>
      </c>
      <c r="T4" s="710">
        <f>Index!P4</f>
        <v>46419</v>
      </c>
      <c r="U4" s="710">
        <f>Index!Q4</f>
        <v>46447</v>
      </c>
      <c r="V4" s="710">
        <f>Index!R4</f>
        <v>46478</v>
      </c>
      <c r="W4" s="710">
        <f>Index!S4</f>
        <v>46508</v>
      </c>
      <c r="X4" s="710">
        <f>Index!T4</f>
        <v>46539</v>
      </c>
      <c r="Y4" s="710">
        <f>Index!U4</f>
        <v>46569</v>
      </c>
      <c r="Z4" s="710">
        <f>Index!V4</f>
        <v>46600</v>
      </c>
      <c r="AA4" s="710">
        <f>Index!W4</f>
        <v>46631</v>
      </c>
      <c r="AB4" s="710">
        <f>Index!X4</f>
        <v>46661</v>
      </c>
      <c r="AC4" s="710">
        <f>Index!Y4</f>
        <v>46692</v>
      </c>
      <c r="AD4" s="710">
        <f>Index!Z4</f>
        <v>46722</v>
      </c>
      <c r="AE4" s="710">
        <f>Index!AA4</f>
        <v>46753</v>
      </c>
      <c r="AF4" s="710">
        <f>Index!AB4</f>
        <v>46784</v>
      </c>
      <c r="AG4" s="710">
        <f>Index!AC4</f>
        <v>46813</v>
      </c>
      <c r="AH4" s="710">
        <f>Index!AD4</f>
        <v>46844</v>
      </c>
      <c r="AI4" s="710">
        <f>Index!AE4</f>
        <v>46874</v>
      </c>
      <c r="AJ4" s="710">
        <f>Index!AF4</f>
        <v>46905</v>
      </c>
      <c r="AK4" s="710">
        <f>Index!AG4</f>
        <v>46935</v>
      </c>
      <c r="AL4" s="710">
        <f>Index!AH4</f>
        <v>46966</v>
      </c>
      <c r="AM4" s="710">
        <f>Index!AI4</f>
        <v>46997</v>
      </c>
      <c r="AN4" s="710">
        <f>Index!AJ4</f>
        <v>47027</v>
      </c>
      <c r="AO4" s="710">
        <f>Index!AK4</f>
        <v>47058</v>
      </c>
      <c r="AP4" s="710">
        <f>Index!AL4</f>
        <v>47088</v>
      </c>
      <c r="AQ4" s="710">
        <f>Index!AM4</f>
        <v>47119</v>
      </c>
      <c r="AR4" s="710">
        <f>Index!AN4</f>
        <v>47150</v>
      </c>
      <c r="AS4" s="710">
        <f>Index!AO4</f>
        <v>47178</v>
      </c>
      <c r="AT4" s="710">
        <f>Index!AP4</f>
        <v>47209</v>
      </c>
      <c r="AU4" s="710">
        <f>Index!AQ4</f>
        <v>47239</v>
      </c>
      <c r="AV4" s="710">
        <f>Index!AR4</f>
        <v>47270</v>
      </c>
      <c r="AW4" s="710">
        <f>Index!AS4</f>
        <v>47300</v>
      </c>
      <c r="AX4" s="710">
        <f>Index!AT4</f>
        <v>47331</v>
      </c>
      <c r="AY4" s="710">
        <f>Index!AU4</f>
        <v>47362</v>
      </c>
      <c r="AZ4" s="710">
        <f>Index!AV4</f>
        <v>47392</v>
      </c>
      <c r="BA4" s="710">
        <f>Index!AW4</f>
        <v>47423</v>
      </c>
      <c r="BB4" s="710">
        <f>Index!AX4</f>
        <v>47453</v>
      </c>
      <c r="BC4" s="710">
        <f>Index!AY4</f>
        <v>47484</v>
      </c>
      <c r="BD4" s="710">
        <f>Index!AZ4</f>
        <v>47515</v>
      </c>
      <c r="BE4" s="710">
        <f>Index!BA4</f>
        <v>47543</v>
      </c>
      <c r="BF4" s="710">
        <f>Index!BB4</f>
        <v>47574</v>
      </c>
      <c r="BG4" s="710">
        <f>Index!BC4</f>
        <v>47604</v>
      </c>
      <c r="BH4" s="710">
        <f>Index!BD4</f>
        <v>47635</v>
      </c>
      <c r="BI4" s="710">
        <f>Index!BE4</f>
        <v>47665</v>
      </c>
      <c r="BJ4" s="710">
        <f>Index!BF4</f>
        <v>47696</v>
      </c>
      <c r="BK4" s="710">
        <f>Index!BG4</f>
        <v>47727</v>
      </c>
      <c r="BL4" s="710">
        <f>Index!BH4</f>
        <v>47757</v>
      </c>
      <c r="BM4" s="710">
        <f>Index!BI4</f>
        <v>47788</v>
      </c>
      <c r="BN4" s="710">
        <f>Index!BJ4</f>
        <v>47818</v>
      </c>
      <c r="BO4" s="710">
        <f>Index!BK4</f>
        <v>47849</v>
      </c>
      <c r="BP4" s="710">
        <f>Index!BL4</f>
        <v>47880</v>
      </c>
      <c r="BQ4" s="710">
        <f>Index!BM4</f>
        <v>47908</v>
      </c>
      <c r="BR4" s="710">
        <f>Index!BN4</f>
        <v>47939</v>
      </c>
      <c r="BS4" s="710">
        <f>Index!BO4</f>
        <v>47969</v>
      </c>
      <c r="BT4" s="710">
        <f>Index!BP4</f>
        <v>48000</v>
      </c>
      <c r="BU4" s="710">
        <f>Index!BQ4</f>
        <v>48030</v>
      </c>
      <c r="BV4" s="710">
        <f>Index!BR4</f>
        <v>48061</v>
      </c>
      <c r="BW4" s="710">
        <f>Index!BS4</f>
        <v>48092</v>
      </c>
      <c r="BX4" s="710">
        <f>Index!BT4</f>
        <v>48122</v>
      </c>
      <c r="BY4" s="710">
        <f>Index!BU4</f>
        <v>48153</v>
      </c>
      <c r="BZ4" s="710">
        <f>Index!BV4</f>
        <v>48183</v>
      </c>
      <c r="CA4" s="710">
        <f>Index!BW4</f>
        <v>48214</v>
      </c>
      <c r="CB4" s="710">
        <f>Index!BX4</f>
        <v>48245</v>
      </c>
      <c r="CC4" s="710">
        <f>Index!BY4</f>
        <v>48274</v>
      </c>
      <c r="CD4" s="710">
        <f>Index!BZ4</f>
        <v>48305</v>
      </c>
      <c r="CE4" s="710">
        <f>Index!CA4</f>
        <v>48335</v>
      </c>
      <c r="CF4" s="710">
        <f>Index!CB4</f>
        <v>48366</v>
      </c>
      <c r="CG4" s="710">
        <f>Index!CC4</f>
        <v>48396</v>
      </c>
      <c r="CH4" s="710">
        <f>Index!CD4</f>
        <v>48427</v>
      </c>
      <c r="CI4" s="710">
        <f>Index!CE4</f>
        <v>48458</v>
      </c>
      <c r="CJ4" s="710">
        <f>Index!CF4</f>
        <v>48488</v>
      </c>
      <c r="CK4" s="710">
        <f>Index!CG4</f>
        <v>48519</v>
      </c>
      <c r="CL4" s="710">
        <f>Index!CH4</f>
        <v>48549</v>
      </c>
      <c r="CM4" s="710">
        <f>Index!CI4</f>
        <v>48580</v>
      </c>
      <c r="CN4" s="710">
        <f>Index!CJ4</f>
        <v>48611</v>
      </c>
      <c r="CO4" s="710">
        <f>Index!CK4</f>
        <v>48639</v>
      </c>
      <c r="CP4" s="710">
        <f>Index!CL4</f>
        <v>48670</v>
      </c>
      <c r="CQ4" s="710">
        <f>Index!CM4</f>
        <v>48700</v>
      </c>
      <c r="CR4" s="710">
        <f>Index!CN4</f>
        <v>48731</v>
      </c>
      <c r="CS4" s="710">
        <f>Index!CO4</f>
        <v>48761</v>
      </c>
      <c r="CT4" s="710">
        <f>Index!CP4</f>
        <v>48792</v>
      </c>
      <c r="CU4" s="710">
        <f>Index!CQ4</f>
        <v>48823</v>
      </c>
      <c r="CV4" s="710">
        <f>Index!CR4</f>
        <v>48853</v>
      </c>
      <c r="CW4" s="710">
        <f>Index!CS4</f>
        <v>48884</v>
      </c>
      <c r="CX4" s="710">
        <f>Index!CT4</f>
        <v>48914</v>
      </c>
      <c r="CY4" s="710">
        <f>Index!CU4</f>
        <v>48945</v>
      </c>
      <c r="CZ4" s="710">
        <f>Index!CV4</f>
        <v>48976</v>
      </c>
      <c r="DA4" s="710">
        <f>Index!CW4</f>
        <v>49004</v>
      </c>
      <c r="DB4" s="710">
        <f>Index!CX4</f>
        <v>49035</v>
      </c>
      <c r="DC4" s="710">
        <f>Index!CY4</f>
        <v>49065</v>
      </c>
      <c r="DD4" s="710">
        <f>Index!CZ4</f>
        <v>49096</v>
      </c>
      <c r="DE4" s="710">
        <f>Index!DA4</f>
        <v>49126</v>
      </c>
      <c r="DF4" s="710">
        <f>Index!DB4</f>
        <v>49157</v>
      </c>
      <c r="DG4" s="710">
        <f>Index!DC4</f>
        <v>49188</v>
      </c>
      <c r="DH4" s="710">
        <f>Index!DD4</f>
        <v>49218</v>
      </c>
      <c r="DI4" s="710">
        <f>Index!DE4</f>
        <v>49249</v>
      </c>
      <c r="DJ4" s="710">
        <f>Index!DF4</f>
        <v>49279</v>
      </c>
      <c r="DK4" s="710">
        <f>Index!DG4</f>
        <v>49310</v>
      </c>
      <c r="DL4" s="710">
        <f>Index!DH4</f>
        <v>49341</v>
      </c>
      <c r="DM4" s="710">
        <f>Index!DI4</f>
        <v>49369</v>
      </c>
      <c r="DN4" s="710">
        <f>Index!DJ4</f>
        <v>49400</v>
      </c>
      <c r="DO4" s="710">
        <f>Index!DK4</f>
        <v>49430</v>
      </c>
      <c r="DP4" s="710">
        <f>Index!DL4</f>
        <v>49461</v>
      </c>
      <c r="DQ4" s="710">
        <f>Index!DM4</f>
        <v>49491</v>
      </c>
      <c r="DR4" s="710">
        <f>Index!DN4</f>
        <v>49522</v>
      </c>
      <c r="DS4" s="710">
        <f>Index!DO4</f>
        <v>49553</v>
      </c>
      <c r="DT4" s="710">
        <f>Index!DP4</f>
        <v>49583</v>
      </c>
      <c r="DU4" s="710">
        <f>Index!DQ4</f>
        <v>49614</v>
      </c>
      <c r="DV4" s="710">
        <f>Index!DR4</f>
        <v>49644</v>
      </c>
      <c r="DW4" s="710">
        <f>Index!DS4</f>
        <v>49675</v>
      </c>
      <c r="DX4" s="710">
        <f>Index!DT4</f>
        <v>49706</v>
      </c>
      <c r="DY4" s="710">
        <f>Index!DU4</f>
        <v>49735</v>
      </c>
      <c r="DZ4" s="710">
        <f>Index!DV4</f>
        <v>49766</v>
      </c>
      <c r="EA4" s="710">
        <f>Index!DW4</f>
        <v>49796</v>
      </c>
      <c r="EB4" s="710">
        <f>Index!DX4</f>
        <v>49827</v>
      </c>
      <c r="EC4" s="710">
        <f>Index!DY4</f>
        <v>49857</v>
      </c>
      <c r="ED4" s="710">
        <f>Index!DZ4</f>
        <v>49888</v>
      </c>
      <c r="EE4" s="710">
        <f>Index!EA4</f>
        <v>49919</v>
      </c>
      <c r="EF4" s="710">
        <f>Index!EB4</f>
        <v>49949</v>
      </c>
      <c r="EG4" s="710">
        <f>Index!EC4</f>
        <v>49980</v>
      </c>
      <c r="EH4" s="710">
        <f>Index!ED4</f>
        <v>50010</v>
      </c>
      <c r="EI4" s="710">
        <f>Index!EE4</f>
        <v>50041</v>
      </c>
      <c r="EJ4" s="710">
        <f>Index!EF4</f>
        <v>50072</v>
      </c>
      <c r="EK4" s="710">
        <f>Index!EG4</f>
        <v>50100</v>
      </c>
      <c r="EL4" s="710">
        <f>Index!EH4</f>
        <v>50131</v>
      </c>
      <c r="EM4" s="710">
        <f>Index!EI4</f>
        <v>50161</v>
      </c>
      <c r="EN4" s="710">
        <f>Index!EJ4</f>
        <v>50192</v>
      </c>
      <c r="EO4" s="710">
        <f>Index!EK4</f>
        <v>50222</v>
      </c>
      <c r="EP4" s="710">
        <f>Index!EL4</f>
        <v>50253</v>
      </c>
      <c r="EQ4" s="710">
        <f>Index!EM4</f>
        <v>50284</v>
      </c>
      <c r="ER4" s="710">
        <f>Index!EN4</f>
        <v>50314</v>
      </c>
      <c r="ES4" s="710">
        <f>Index!EO4</f>
        <v>50345</v>
      </c>
      <c r="ET4" s="710">
        <f>Index!EP4</f>
        <v>50375</v>
      </c>
      <c r="EU4" s="710">
        <f>Index!EQ4</f>
        <v>50406</v>
      </c>
      <c r="EV4" s="711"/>
      <c r="EW4" s="711"/>
      <c r="EX4" s="711"/>
    </row>
    <row r="5" spans="1:154" ht="11.25" customHeight="1">
      <c r="C5" s="705" t="s">
        <v>1</v>
      </c>
      <c r="D5" s="706"/>
      <c r="E5" s="706"/>
      <c r="F5" s="706"/>
      <c r="G5" s="706"/>
      <c r="H5" s="706"/>
      <c r="I5" s="706"/>
      <c r="J5" s="706"/>
      <c r="K5" s="706"/>
      <c r="L5" s="707"/>
      <c r="M5" s="708"/>
      <c r="N5" s="706"/>
      <c r="P5" s="710">
        <f>Index!L5</f>
        <v>46326</v>
      </c>
      <c r="Q5" s="710">
        <f>Index!M5</f>
        <v>46356</v>
      </c>
      <c r="R5" s="710">
        <f>Index!N5</f>
        <v>46387</v>
      </c>
      <c r="S5" s="710">
        <f>Index!O5</f>
        <v>46418</v>
      </c>
      <c r="T5" s="710">
        <f>Index!P5</f>
        <v>46446</v>
      </c>
      <c r="U5" s="710">
        <f>Index!Q5</f>
        <v>46477</v>
      </c>
      <c r="V5" s="710">
        <f>Index!R5</f>
        <v>46507</v>
      </c>
      <c r="W5" s="710">
        <f>Index!S5</f>
        <v>46538</v>
      </c>
      <c r="X5" s="710">
        <f>Index!T5</f>
        <v>46568</v>
      </c>
      <c r="Y5" s="710">
        <f>Index!U5</f>
        <v>46599</v>
      </c>
      <c r="Z5" s="710">
        <f>Index!V5</f>
        <v>46630</v>
      </c>
      <c r="AA5" s="710">
        <f>Index!W5</f>
        <v>46660</v>
      </c>
      <c r="AB5" s="710">
        <f>Index!X5</f>
        <v>46691</v>
      </c>
      <c r="AC5" s="710">
        <f>Index!Y5</f>
        <v>46721</v>
      </c>
      <c r="AD5" s="710">
        <f>Index!Z5</f>
        <v>46752</v>
      </c>
      <c r="AE5" s="710">
        <f>Index!AA5</f>
        <v>46783</v>
      </c>
      <c r="AF5" s="710">
        <f>Index!AB5</f>
        <v>46812</v>
      </c>
      <c r="AG5" s="710">
        <f>Index!AC5</f>
        <v>46843</v>
      </c>
      <c r="AH5" s="710">
        <f>Index!AD5</f>
        <v>46873</v>
      </c>
      <c r="AI5" s="710">
        <f>Index!AE5</f>
        <v>46904</v>
      </c>
      <c r="AJ5" s="710">
        <f>Index!AF5</f>
        <v>46934</v>
      </c>
      <c r="AK5" s="710">
        <f>Index!AG5</f>
        <v>46965</v>
      </c>
      <c r="AL5" s="710">
        <f>Index!AH5</f>
        <v>46996</v>
      </c>
      <c r="AM5" s="710">
        <f>Index!AI5</f>
        <v>47026</v>
      </c>
      <c r="AN5" s="710">
        <f>Index!AJ5</f>
        <v>47057</v>
      </c>
      <c r="AO5" s="710">
        <f>Index!AK5</f>
        <v>47087</v>
      </c>
      <c r="AP5" s="710">
        <f>Index!AL5</f>
        <v>47118</v>
      </c>
      <c r="AQ5" s="710">
        <f>Index!AM5</f>
        <v>47149</v>
      </c>
      <c r="AR5" s="710">
        <f>Index!AN5</f>
        <v>47177</v>
      </c>
      <c r="AS5" s="710">
        <f>Index!AO5</f>
        <v>47208</v>
      </c>
      <c r="AT5" s="710">
        <f>Index!AP5</f>
        <v>47238</v>
      </c>
      <c r="AU5" s="710">
        <f>Index!AQ5</f>
        <v>47269</v>
      </c>
      <c r="AV5" s="710">
        <f>Index!AR5</f>
        <v>47299</v>
      </c>
      <c r="AW5" s="710">
        <f>Index!AS5</f>
        <v>47330</v>
      </c>
      <c r="AX5" s="710">
        <f>Index!AT5</f>
        <v>47361</v>
      </c>
      <c r="AY5" s="710">
        <f>Index!AU5</f>
        <v>47391</v>
      </c>
      <c r="AZ5" s="710">
        <f>Index!AV5</f>
        <v>47422</v>
      </c>
      <c r="BA5" s="710">
        <f>Index!AW5</f>
        <v>47452</v>
      </c>
      <c r="BB5" s="710">
        <f>Index!AX5</f>
        <v>47483</v>
      </c>
      <c r="BC5" s="710">
        <f>Index!AY5</f>
        <v>47514</v>
      </c>
      <c r="BD5" s="710">
        <f>Index!AZ5</f>
        <v>47542</v>
      </c>
      <c r="BE5" s="710">
        <f>Index!BA5</f>
        <v>47573</v>
      </c>
      <c r="BF5" s="710">
        <f>Index!BB5</f>
        <v>47603</v>
      </c>
      <c r="BG5" s="710">
        <f>Index!BC5</f>
        <v>47634</v>
      </c>
      <c r="BH5" s="710">
        <f>Index!BD5</f>
        <v>47664</v>
      </c>
      <c r="BI5" s="710">
        <f>Index!BE5</f>
        <v>47695</v>
      </c>
      <c r="BJ5" s="710">
        <f>Index!BF5</f>
        <v>47726</v>
      </c>
      <c r="BK5" s="710">
        <f>Index!BG5</f>
        <v>47756</v>
      </c>
      <c r="BL5" s="710">
        <f>Index!BH5</f>
        <v>47787</v>
      </c>
      <c r="BM5" s="710">
        <f>Index!BI5</f>
        <v>47817</v>
      </c>
      <c r="BN5" s="710">
        <f>Index!BJ5</f>
        <v>47848</v>
      </c>
      <c r="BO5" s="710">
        <f>Index!BK5</f>
        <v>47879</v>
      </c>
      <c r="BP5" s="710">
        <f>Index!BL5</f>
        <v>47907</v>
      </c>
      <c r="BQ5" s="710">
        <f>Index!BM5</f>
        <v>47938</v>
      </c>
      <c r="BR5" s="710">
        <f>Index!BN5</f>
        <v>47968</v>
      </c>
      <c r="BS5" s="710">
        <f>Index!BO5</f>
        <v>47999</v>
      </c>
      <c r="BT5" s="710">
        <f>Index!BP5</f>
        <v>48029</v>
      </c>
      <c r="BU5" s="710">
        <f>Index!BQ5</f>
        <v>48060</v>
      </c>
      <c r="BV5" s="710">
        <f>Index!BR5</f>
        <v>48091</v>
      </c>
      <c r="BW5" s="710">
        <f>Index!BS5</f>
        <v>48121</v>
      </c>
      <c r="BX5" s="710">
        <f>Index!BT5</f>
        <v>48152</v>
      </c>
      <c r="BY5" s="710">
        <f>Index!BU5</f>
        <v>48182</v>
      </c>
      <c r="BZ5" s="710">
        <f>Index!BV5</f>
        <v>48213</v>
      </c>
      <c r="CA5" s="710">
        <f>Index!BW5</f>
        <v>48244</v>
      </c>
      <c r="CB5" s="710">
        <f>Index!BX5</f>
        <v>48273</v>
      </c>
      <c r="CC5" s="710">
        <f>Index!BY5</f>
        <v>48304</v>
      </c>
      <c r="CD5" s="710">
        <f>Index!BZ5</f>
        <v>48334</v>
      </c>
      <c r="CE5" s="710">
        <f>Index!CA5</f>
        <v>48365</v>
      </c>
      <c r="CF5" s="710">
        <f>Index!CB5</f>
        <v>48395</v>
      </c>
      <c r="CG5" s="710">
        <f>Index!CC5</f>
        <v>48426</v>
      </c>
      <c r="CH5" s="710">
        <f>Index!CD5</f>
        <v>48457</v>
      </c>
      <c r="CI5" s="710">
        <f>Index!CE5</f>
        <v>48487</v>
      </c>
      <c r="CJ5" s="710">
        <f>Index!CF5</f>
        <v>48518</v>
      </c>
      <c r="CK5" s="710">
        <f>Index!CG5</f>
        <v>48548</v>
      </c>
      <c r="CL5" s="710">
        <f>Index!CH5</f>
        <v>48579</v>
      </c>
      <c r="CM5" s="710">
        <f>Index!CI5</f>
        <v>48610</v>
      </c>
      <c r="CN5" s="710">
        <f>Index!CJ5</f>
        <v>48638</v>
      </c>
      <c r="CO5" s="710">
        <f>Index!CK5</f>
        <v>48669</v>
      </c>
      <c r="CP5" s="710">
        <f>Index!CL5</f>
        <v>48699</v>
      </c>
      <c r="CQ5" s="710">
        <f>Index!CM5</f>
        <v>48730</v>
      </c>
      <c r="CR5" s="710">
        <f>Index!CN5</f>
        <v>48760</v>
      </c>
      <c r="CS5" s="710">
        <f>Index!CO5</f>
        <v>48791</v>
      </c>
      <c r="CT5" s="710">
        <f>Index!CP5</f>
        <v>48822</v>
      </c>
      <c r="CU5" s="710">
        <f>Index!CQ5</f>
        <v>48852</v>
      </c>
      <c r="CV5" s="710">
        <f>Index!CR5</f>
        <v>48883</v>
      </c>
      <c r="CW5" s="710">
        <f>Index!CS5</f>
        <v>48913</v>
      </c>
      <c r="CX5" s="710">
        <f>Index!CT5</f>
        <v>48944</v>
      </c>
      <c r="CY5" s="710">
        <f>Index!CU5</f>
        <v>48975</v>
      </c>
      <c r="CZ5" s="710">
        <f>Index!CV5</f>
        <v>49003</v>
      </c>
      <c r="DA5" s="710">
        <f>Index!CW5</f>
        <v>49034</v>
      </c>
      <c r="DB5" s="710">
        <f>Index!CX5</f>
        <v>49064</v>
      </c>
      <c r="DC5" s="710">
        <f>Index!CY5</f>
        <v>49095</v>
      </c>
      <c r="DD5" s="710">
        <f>Index!CZ5</f>
        <v>49125</v>
      </c>
      <c r="DE5" s="710">
        <f>Index!DA5</f>
        <v>49156</v>
      </c>
      <c r="DF5" s="710">
        <f>Index!DB5</f>
        <v>49187</v>
      </c>
      <c r="DG5" s="710">
        <f>Index!DC5</f>
        <v>49217</v>
      </c>
      <c r="DH5" s="710">
        <f>Index!DD5</f>
        <v>49248</v>
      </c>
      <c r="DI5" s="710">
        <f>Index!DE5</f>
        <v>49278</v>
      </c>
      <c r="DJ5" s="710">
        <f>Index!DF5</f>
        <v>49309</v>
      </c>
      <c r="DK5" s="710">
        <f>Index!DG5</f>
        <v>49340</v>
      </c>
      <c r="DL5" s="710">
        <f>Index!DH5</f>
        <v>49368</v>
      </c>
      <c r="DM5" s="710">
        <f>Index!DI5</f>
        <v>49399</v>
      </c>
      <c r="DN5" s="710">
        <f>Index!DJ5</f>
        <v>49429</v>
      </c>
      <c r="DO5" s="710">
        <f>Index!DK5</f>
        <v>49460</v>
      </c>
      <c r="DP5" s="710">
        <f>Index!DL5</f>
        <v>49490</v>
      </c>
      <c r="DQ5" s="710">
        <f>Index!DM5</f>
        <v>49521</v>
      </c>
      <c r="DR5" s="710">
        <f>Index!DN5</f>
        <v>49552</v>
      </c>
      <c r="DS5" s="710">
        <f>Index!DO5</f>
        <v>49582</v>
      </c>
      <c r="DT5" s="710">
        <f>Index!DP5</f>
        <v>49613</v>
      </c>
      <c r="DU5" s="710">
        <f>Index!DQ5</f>
        <v>49643</v>
      </c>
      <c r="DV5" s="710">
        <f>Index!DR5</f>
        <v>49674</v>
      </c>
      <c r="DW5" s="710">
        <f>Index!DS5</f>
        <v>49705</v>
      </c>
      <c r="DX5" s="710">
        <f>Index!DT5</f>
        <v>49734</v>
      </c>
      <c r="DY5" s="710">
        <f>Index!DU5</f>
        <v>49765</v>
      </c>
      <c r="DZ5" s="710">
        <f>Index!DV5</f>
        <v>49795</v>
      </c>
      <c r="EA5" s="710">
        <f>Index!DW5</f>
        <v>49826</v>
      </c>
      <c r="EB5" s="710">
        <f>Index!DX5</f>
        <v>49856</v>
      </c>
      <c r="EC5" s="710">
        <f>Index!DY5</f>
        <v>49887</v>
      </c>
      <c r="ED5" s="710">
        <f>Index!DZ5</f>
        <v>49918</v>
      </c>
      <c r="EE5" s="710">
        <f>Index!EA5</f>
        <v>49948</v>
      </c>
      <c r="EF5" s="710">
        <f>Index!EB5</f>
        <v>49979</v>
      </c>
      <c r="EG5" s="710">
        <f>Index!EC5</f>
        <v>50009</v>
      </c>
      <c r="EH5" s="710">
        <f>Index!ED5</f>
        <v>50040</v>
      </c>
      <c r="EI5" s="710">
        <f>Index!EE5</f>
        <v>50071</v>
      </c>
      <c r="EJ5" s="710">
        <f>Index!EF5</f>
        <v>50099</v>
      </c>
      <c r="EK5" s="710">
        <f>Index!EG5</f>
        <v>50130</v>
      </c>
      <c r="EL5" s="710">
        <f>Index!EH5</f>
        <v>50160</v>
      </c>
      <c r="EM5" s="710">
        <f>Index!EI5</f>
        <v>50191</v>
      </c>
      <c r="EN5" s="710">
        <f>Index!EJ5</f>
        <v>50221</v>
      </c>
      <c r="EO5" s="710">
        <f>Index!EK5</f>
        <v>50252</v>
      </c>
      <c r="EP5" s="710">
        <f>Index!EL5</f>
        <v>50283</v>
      </c>
      <c r="EQ5" s="710">
        <f>Index!EM5</f>
        <v>50313</v>
      </c>
      <c r="ER5" s="710">
        <f>Index!EN5</f>
        <v>50344</v>
      </c>
      <c r="ES5" s="710">
        <f>Index!EO5</f>
        <v>50374</v>
      </c>
      <c r="ET5" s="710">
        <f>Index!EP5</f>
        <v>50405</v>
      </c>
      <c r="EU5" s="710">
        <f>Index!EQ5</f>
        <v>50436</v>
      </c>
      <c r="EV5" s="711"/>
      <c r="EW5" s="711"/>
      <c r="EX5" s="711"/>
    </row>
    <row r="6" spans="1:154" ht="11.25" customHeight="1">
      <c r="C6" s="712" t="s">
        <v>2</v>
      </c>
      <c r="D6" s="713"/>
      <c r="E6" s="713"/>
      <c r="F6" s="713"/>
      <c r="G6" s="713"/>
      <c r="H6" s="713"/>
      <c r="I6" s="713"/>
      <c r="J6" s="713"/>
      <c r="K6" s="713"/>
      <c r="L6" s="714"/>
      <c r="M6" s="715"/>
      <c r="N6" s="713"/>
      <c r="P6" s="716">
        <f>Index!L6</f>
        <v>2026</v>
      </c>
      <c r="Q6" s="716">
        <f>Index!M6</f>
        <v>2026</v>
      </c>
      <c r="R6" s="716">
        <f>Index!N6</f>
        <v>2026</v>
      </c>
      <c r="S6" s="716">
        <f>Index!O6</f>
        <v>2027</v>
      </c>
      <c r="T6" s="716">
        <f>Index!P6</f>
        <v>2027</v>
      </c>
      <c r="U6" s="716">
        <f>Index!Q6</f>
        <v>2027</v>
      </c>
      <c r="V6" s="716">
        <f>Index!R6</f>
        <v>2027</v>
      </c>
      <c r="W6" s="716">
        <f>Index!S6</f>
        <v>2027</v>
      </c>
      <c r="X6" s="716">
        <f>Index!T6</f>
        <v>2027</v>
      </c>
      <c r="Y6" s="716">
        <f>Index!U6</f>
        <v>2027</v>
      </c>
      <c r="Z6" s="716">
        <f>Index!V6</f>
        <v>2027</v>
      </c>
      <c r="AA6" s="716">
        <f>Index!W6</f>
        <v>2027</v>
      </c>
      <c r="AB6" s="716">
        <f>Index!X6</f>
        <v>2027</v>
      </c>
      <c r="AC6" s="716">
        <f>Index!Y6</f>
        <v>2027</v>
      </c>
      <c r="AD6" s="716">
        <f>Index!Z6</f>
        <v>2027</v>
      </c>
      <c r="AE6" s="716">
        <f>Index!AA6</f>
        <v>2028</v>
      </c>
      <c r="AF6" s="716">
        <f>Index!AB6</f>
        <v>2028</v>
      </c>
      <c r="AG6" s="716">
        <f>Index!AC6</f>
        <v>2028</v>
      </c>
      <c r="AH6" s="716">
        <f>Index!AD6</f>
        <v>2028</v>
      </c>
      <c r="AI6" s="716">
        <f>Index!AE6</f>
        <v>2028</v>
      </c>
      <c r="AJ6" s="716">
        <f>Index!AF6</f>
        <v>2028</v>
      </c>
      <c r="AK6" s="716">
        <f>Index!AG6</f>
        <v>2028</v>
      </c>
      <c r="AL6" s="716">
        <f>Index!AH6</f>
        <v>2028</v>
      </c>
      <c r="AM6" s="716">
        <f>Index!AI6</f>
        <v>2028</v>
      </c>
      <c r="AN6" s="716">
        <f>Index!AJ6</f>
        <v>2028</v>
      </c>
      <c r="AO6" s="716">
        <f>Index!AK6</f>
        <v>2028</v>
      </c>
      <c r="AP6" s="716">
        <f>Index!AL6</f>
        <v>2028</v>
      </c>
      <c r="AQ6" s="716">
        <f>Index!AM6</f>
        <v>2029</v>
      </c>
      <c r="AR6" s="716">
        <f>Index!AN6</f>
        <v>2029</v>
      </c>
      <c r="AS6" s="716">
        <f>Index!AO6</f>
        <v>2029</v>
      </c>
      <c r="AT6" s="716">
        <f>Index!AP6</f>
        <v>2029</v>
      </c>
      <c r="AU6" s="716">
        <f>Index!AQ6</f>
        <v>2029</v>
      </c>
      <c r="AV6" s="716">
        <f>Index!AR6</f>
        <v>2029</v>
      </c>
      <c r="AW6" s="716">
        <f>Index!AS6</f>
        <v>2029</v>
      </c>
      <c r="AX6" s="716">
        <f>Index!AT6</f>
        <v>2029</v>
      </c>
      <c r="AY6" s="716">
        <f>Index!AU6</f>
        <v>2029</v>
      </c>
      <c r="AZ6" s="716">
        <f>Index!AV6</f>
        <v>2029</v>
      </c>
      <c r="BA6" s="716">
        <f>Index!AW6</f>
        <v>2029</v>
      </c>
      <c r="BB6" s="716">
        <f>Index!AX6</f>
        <v>2029</v>
      </c>
      <c r="BC6" s="716">
        <f>Index!AY6</f>
        <v>2030</v>
      </c>
      <c r="BD6" s="716">
        <f>Index!AZ6</f>
        <v>2030</v>
      </c>
      <c r="BE6" s="716">
        <f>Index!BA6</f>
        <v>2030</v>
      </c>
      <c r="BF6" s="716">
        <f>Index!BB6</f>
        <v>2030</v>
      </c>
      <c r="BG6" s="716">
        <f>Index!BC6</f>
        <v>2030</v>
      </c>
      <c r="BH6" s="716">
        <f>Index!BD6</f>
        <v>2030</v>
      </c>
      <c r="BI6" s="716">
        <f>Index!BE6</f>
        <v>2030</v>
      </c>
      <c r="BJ6" s="716">
        <f>Index!BF6</f>
        <v>2030</v>
      </c>
      <c r="BK6" s="716">
        <f>Index!BG6</f>
        <v>2030</v>
      </c>
      <c r="BL6" s="716">
        <f>Index!BH6</f>
        <v>2030</v>
      </c>
      <c r="BM6" s="716">
        <f>Index!BI6</f>
        <v>2030</v>
      </c>
      <c r="BN6" s="716">
        <f>Index!BJ6</f>
        <v>2030</v>
      </c>
      <c r="BO6" s="716">
        <f>Index!BK6</f>
        <v>2031</v>
      </c>
      <c r="BP6" s="716">
        <f>Index!BL6</f>
        <v>2031</v>
      </c>
      <c r="BQ6" s="716">
        <f>Index!BM6</f>
        <v>2031</v>
      </c>
      <c r="BR6" s="716">
        <f>Index!BN6</f>
        <v>2031</v>
      </c>
      <c r="BS6" s="716">
        <f>Index!BO6</f>
        <v>2031</v>
      </c>
      <c r="BT6" s="716">
        <f>Index!BP6</f>
        <v>2031</v>
      </c>
      <c r="BU6" s="716">
        <f>Index!BQ6</f>
        <v>2031</v>
      </c>
      <c r="BV6" s="716">
        <f>Index!BR6</f>
        <v>2031</v>
      </c>
      <c r="BW6" s="716">
        <f>Index!BS6</f>
        <v>2031</v>
      </c>
      <c r="BX6" s="716">
        <f>Index!BT6</f>
        <v>2031</v>
      </c>
      <c r="BY6" s="716">
        <f>Index!BU6</f>
        <v>2031</v>
      </c>
      <c r="BZ6" s="716">
        <f>Index!BV6</f>
        <v>2031</v>
      </c>
      <c r="CA6" s="716">
        <f>Index!BW6</f>
        <v>2032</v>
      </c>
      <c r="CB6" s="716">
        <f>Index!BX6</f>
        <v>2032</v>
      </c>
      <c r="CC6" s="716">
        <f>Index!BY6</f>
        <v>2032</v>
      </c>
      <c r="CD6" s="716">
        <f>Index!BZ6</f>
        <v>2032</v>
      </c>
      <c r="CE6" s="716">
        <f>Index!CA6</f>
        <v>2032</v>
      </c>
      <c r="CF6" s="716">
        <f>Index!CB6</f>
        <v>2032</v>
      </c>
      <c r="CG6" s="716">
        <f>Index!CC6</f>
        <v>2032</v>
      </c>
      <c r="CH6" s="716">
        <f>Index!CD6</f>
        <v>2032</v>
      </c>
      <c r="CI6" s="716">
        <f>Index!CE6</f>
        <v>2032</v>
      </c>
      <c r="CJ6" s="716">
        <f>Index!CF6</f>
        <v>2032</v>
      </c>
      <c r="CK6" s="716">
        <f>Index!CG6</f>
        <v>2032</v>
      </c>
      <c r="CL6" s="716">
        <f>Index!CH6</f>
        <v>2032</v>
      </c>
      <c r="CM6" s="716">
        <f>Index!CI6</f>
        <v>2033</v>
      </c>
      <c r="CN6" s="716">
        <f>Index!CJ6</f>
        <v>2033</v>
      </c>
      <c r="CO6" s="716">
        <f>Index!CK6</f>
        <v>2033</v>
      </c>
      <c r="CP6" s="716">
        <f>Index!CL6</f>
        <v>2033</v>
      </c>
      <c r="CQ6" s="716">
        <f>Index!CM6</f>
        <v>2033</v>
      </c>
      <c r="CR6" s="716">
        <f>Index!CN6</f>
        <v>2033</v>
      </c>
      <c r="CS6" s="716">
        <f>Index!CO6</f>
        <v>2033</v>
      </c>
      <c r="CT6" s="716">
        <f>Index!CP6</f>
        <v>2033</v>
      </c>
      <c r="CU6" s="716">
        <f>Index!CQ6</f>
        <v>2033</v>
      </c>
      <c r="CV6" s="716">
        <f>Index!CR6</f>
        <v>2033</v>
      </c>
      <c r="CW6" s="716">
        <f>Index!CS6</f>
        <v>2033</v>
      </c>
      <c r="CX6" s="716">
        <f>Index!CT6</f>
        <v>2033</v>
      </c>
      <c r="CY6" s="716">
        <f>Index!CU6</f>
        <v>2034</v>
      </c>
      <c r="CZ6" s="716">
        <f>Index!CV6</f>
        <v>2034</v>
      </c>
      <c r="DA6" s="716">
        <f>Index!CW6</f>
        <v>2034</v>
      </c>
      <c r="DB6" s="716">
        <f>Index!CX6</f>
        <v>2034</v>
      </c>
      <c r="DC6" s="716">
        <f>Index!CY6</f>
        <v>2034</v>
      </c>
      <c r="DD6" s="716">
        <f>Index!CZ6</f>
        <v>2034</v>
      </c>
      <c r="DE6" s="716">
        <f>Index!DA6</f>
        <v>2034</v>
      </c>
      <c r="DF6" s="716">
        <f>Index!DB6</f>
        <v>2034</v>
      </c>
      <c r="DG6" s="716">
        <f>Index!DC6</f>
        <v>2034</v>
      </c>
      <c r="DH6" s="716">
        <f>Index!DD6</f>
        <v>2034</v>
      </c>
      <c r="DI6" s="716">
        <f>Index!DE6</f>
        <v>2034</v>
      </c>
      <c r="DJ6" s="716">
        <f>Index!DF6</f>
        <v>2034</v>
      </c>
      <c r="DK6" s="716">
        <f>Index!DG6</f>
        <v>2035</v>
      </c>
      <c r="DL6" s="716">
        <f>Index!DH6</f>
        <v>2035</v>
      </c>
      <c r="DM6" s="716">
        <f>Index!DI6</f>
        <v>2035</v>
      </c>
      <c r="DN6" s="716">
        <f>Index!DJ6</f>
        <v>2035</v>
      </c>
      <c r="DO6" s="716">
        <f>Index!DK6</f>
        <v>2035</v>
      </c>
      <c r="DP6" s="716">
        <f>Index!DL6</f>
        <v>2035</v>
      </c>
      <c r="DQ6" s="716">
        <f>Index!DM6</f>
        <v>2035</v>
      </c>
      <c r="DR6" s="716">
        <f>Index!DN6</f>
        <v>2035</v>
      </c>
      <c r="DS6" s="716">
        <f>Index!DO6</f>
        <v>2035</v>
      </c>
      <c r="DT6" s="716">
        <f>Index!DP6</f>
        <v>2035</v>
      </c>
      <c r="DU6" s="716">
        <f>Index!DQ6</f>
        <v>2035</v>
      </c>
      <c r="DV6" s="716">
        <f>Index!DR6</f>
        <v>2035</v>
      </c>
      <c r="DW6" s="716">
        <f>Index!DS6</f>
        <v>2036</v>
      </c>
      <c r="DX6" s="716">
        <f>Index!DT6</f>
        <v>2036</v>
      </c>
      <c r="DY6" s="716">
        <f>Index!DU6</f>
        <v>2036</v>
      </c>
      <c r="DZ6" s="716">
        <f>Index!DV6</f>
        <v>2036</v>
      </c>
      <c r="EA6" s="716">
        <f>Index!DW6</f>
        <v>2036</v>
      </c>
      <c r="EB6" s="716">
        <f>Index!DX6</f>
        <v>2036</v>
      </c>
      <c r="EC6" s="716">
        <f>Index!DY6</f>
        <v>2036</v>
      </c>
      <c r="ED6" s="716">
        <f>Index!DZ6</f>
        <v>2036</v>
      </c>
      <c r="EE6" s="716">
        <f>Index!EA6</f>
        <v>2036</v>
      </c>
      <c r="EF6" s="716">
        <f>Index!EB6</f>
        <v>2036</v>
      </c>
      <c r="EG6" s="716">
        <f>Index!EC6</f>
        <v>2036</v>
      </c>
      <c r="EH6" s="716">
        <f>Index!ED6</f>
        <v>2036</v>
      </c>
      <c r="EI6" s="716">
        <f>Index!EE6</f>
        <v>2037</v>
      </c>
      <c r="EJ6" s="716">
        <f>Index!EF6</f>
        <v>2037</v>
      </c>
      <c r="EK6" s="716">
        <f>Index!EG6</f>
        <v>2037</v>
      </c>
      <c r="EL6" s="716">
        <f>Index!EH6</f>
        <v>2037</v>
      </c>
      <c r="EM6" s="716">
        <f>Index!EI6</f>
        <v>2037</v>
      </c>
      <c r="EN6" s="716">
        <f>Index!EJ6</f>
        <v>2037</v>
      </c>
      <c r="EO6" s="716">
        <f>Index!EK6</f>
        <v>2037</v>
      </c>
      <c r="EP6" s="716">
        <f>Index!EL6</f>
        <v>2037</v>
      </c>
      <c r="EQ6" s="716">
        <f>Index!EM6</f>
        <v>2037</v>
      </c>
      <c r="ER6" s="716">
        <f>Index!EN6</f>
        <v>2037</v>
      </c>
      <c r="ES6" s="716">
        <f>Index!EO6</f>
        <v>2037</v>
      </c>
      <c r="ET6" s="716">
        <f>Index!EP6</f>
        <v>2037</v>
      </c>
      <c r="EU6" s="716">
        <f>Index!EQ6</f>
        <v>2038</v>
      </c>
      <c r="EV6" s="711"/>
      <c r="EW6" s="711"/>
      <c r="EX6" s="711"/>
    </row>
    <row r="7" spans="1:154" ht="11.25" customHeight="1">
      <c r="C7" s="712" t="s">
        <v>3</v>
      </c>
      <c r="D7" s="713"/>
      <c r="E7" s="713"/>
      <c r="F7" s="713"/>
      <c r="G7" s="713"/>
      <c r="H7" s="713"/>
      <c r="I7" s="713"/>
      <c r="J7" s="713"/>
      <c r="K7" s="713"/>
      <c r="L7" s="714"/>
      <c r="M7" s="715"/>
      <c r="N7" s="713"/>
      <c r="P7" s="716">
        <f>Index!L7</f>
        <v>10</v>
      </c>
      <c r="Q7" s="716">
        <f>Index!M7</f>
        <v>11</v>
      </c>
      <c r="R7" s="716">
        <f>Index!N7</f>
        <v>12</v>
      </c>
      <c r="S7" s="716">
        <f>Index!O7</f>
        <v>1</v>
      </c>
      <c r="T7" s="716">
        <f>Index!P7</f>
        <v>2</v>
      </c>
      <c r="U7" s="716">
        <f>Index!Q7</f>
        <v>3</v>
      </c>
      <c r="V7" s="716">
        <f>Index!R7</f>
        <v>4</v>
      </c>
      <c r="W7" s="716">
        <f>Index!S7</f>
        <v>5</v>
      </c>
      <c r="X7" s="716">
        <f>Index!T7</f>
        <v>6</v>
      </c>
      <c r="Y7" s="716">
        <f>Index!U7</f>
        <v>7</v>
      </c>
      <c r="Z7" s="716">
        <f>Index!V7</f>
        <v>8</v>
      </c>
      <c r="AA7" s="716">
        <f>Index!W7</f>
        <v>9</v>
      </c>
      <c r="AB7" s="716">
        <f>Index!X7</f>
        <v>10</v>
      </c>
      <c r="AC7" s="716">
        <f>Index!Y7</f>
        <v>11</v>
      </c>
      <c r="AD7" s="716">
        <f>Index!Z7</f>
        <v>12</v>
      </c>
      <c r="AE7" s="716">
        <f>Index!AA7</f>
        <v>1</v>
      </c>
      <c r="AF7" s="716">
        <f>Index!AB7</f>
        <v>2</v>
      </c>
      <c r="AG7" s="716">
        <f>Index!AC7</f>
        <v>3</v>
      </c>
      <c r="AH7" s="716">
        <f>Index!AD7</f>
        <v>4</v>
      </c>
      <c r="AI7" s="716">
        <f>Index!AE7</f>
        <v>5</v>
      </c>
      <c r="AJ7" s="716">
        <f>Index!AF7</f>
        <v>6</v>
      </c>
      <c r="AK7" s="716">
        <f>Index!AG7</f>
        <v>7</v>
      </c>
      <c r="AL7" s="716">
        <f>Index!AH7</f>
        <v>8</v>
      </c>
      <c r="AM7" s="716">
        <f>Index!AI7</f>
        <v>9</v>
      </c>
      <c r="AN7" s="716">
        <f>Index!AJ7</f>
        <v>10</v>
      </c>
      <c r="AO7" s="716">
        <f>Index!AK7</f>
        <v>11</v>
      </c>
      <c r="AP7" s="716">
        <f>Index!AL7</f>
        <v>12</v>
      </c>
      <c r="AQ7" s="716">
        <f>Index!AM7</f>
        <v>1</v>
      </c>
      <c r="AR7" s="716">
        <f>Index!AN7</f>
        <v>2</v>
      </c>
      <c r="AS7" s="716">
        <f>Index!AO7</f>
        <v>3</v>
      </c>
      <c r="AT7" s="716">
        <f>Index!AP7</f>
        <v>4</v>
      </c>
      <c r="AU7" s="716">
        <f>Index!AQ7</f>
        <v>5</v>
      </c>
      <c r="AV7" s="716">
        <f>Index!AR7</f>
        <v>6</v>
      </c>
      <c r="AW7" s="716">
        <f>Index!AS7</f>
        <v>7</v>
      </c>
      <c r="AX7" s="716">
        <f>Index!AT7</f>
        <v>8</v>
      </c>
      <c r="AY7" s="716">
        <f>Index!AU7</f>
        <v>9</v>
      </c>
      <c r="AZ7" s="716">
        <f>Index!AV7</f>
        <v>10</v>
      </c>
      <c r="BA7" s="716">
        <f>Index!AW7</f>
        <v>11</v>
      </c>
      <c r="BB7" s="716">
        <f>Index!AX7</f>
        <v>12</v>
      </c>
      <c r="BC7" s="716">
        <f>Index!AY7</f>
        <v>1</v>
      </c>
      <c r="BD7" s="716">
        <f>Index!AZ7</f>
        <v>2</v>
      </c>
      <c r="BE7" s="716">
        <f>Index!BA7</f>
        <v>3</v>
      </c>
      <c r="BF7" s="716">
        <f>Index!BB7</f>
        <v>4</v>
      </c>
      <c r="BG7" s="716">
        <f>Index!BC7</f>
        <v>5</v>
      </c>
      <c r="BH7" s="716">
        <f>Index!BD7</f>
        <v>6</v>
      </c>
      <c r="BI7" s="716">
        <f>Index!BE7</f>
        <v>7</v>
      </c>
      <c r="BJ7" s="716">
        <f>Index!BF7</f>
        <v>8</v>
      </c>
      <c r="BK7" s="716">
        <f>Index!BG7</f>
        <v>9</v>
      </c>
      <c r="BL7" s="716">
        <f>Index!BH7</f>
        <v>10</v>
      </c>
      <c r="BM7" s="716">
        <f>Index!BI7</f>
        <v>11</v>
      </c>
      <c r="BN7" s="716">
        <f>Index!BJ7</f>
        <v>12</v>
      </c>
      <c r="BO7" s="716">
        <f>Index!BK7</f>
        <v>1</v>
      </c>
      <c r="BP7" s="716">
        <f>Index!BL7</f>
        <v>2</v>
      </c>
      <c r="BQ7" s="716">
        <f>Index!BM7</f>
        <v>3</v>
      </c>
      <c r="BR7" s="716">
        <f>Index!BN7</f>
        <v>4</v>
      </c>
      <c r="BS7" s="716">
        <f>Index!BO7</f>
        <v>5</v>
      </c>
      <c r="BT7" s="716">
        <f>Index!BP7</f>
        <v>6</v>
      </c>
      <c r="BU7" s="716">
        <f>Index!BQ7</f>
        <v>7</v>
      </c>
      <c r="BV7" s="716">
        <f>Index!BR7</f>
        <v>8</v>
      </c>
      <c r="BW7" s="716">
        <f>Index!BS7</f>
        <v>9</v>
      </c>
      <c r="BX7" s="716">
        <f>Index!BT7</f>
        <v>10</v>
      </c>
      <c r="BY7" s="716">
        <f>Index!BU7</f>
        <v>11</v>
      </c>
      <c r="BZ7" s="716">
        <f>Index!BV7</f>
        <v>12</v>
      </c>
      <c r="CA7" s="716">
        <f>Index!BW7</f>
        <v>1</v>
      </c>
      <c r="CB7" s="716">
        <f>Index!BX7</f>
        <v>2</v>
      </c>
      <c r="CC7" s="716">
        <f>Index!BY7</f>
        <v>3</v>
      </c>
      <c r="CD7" s="716">
        <f>Index!BZ7</f>
        <v>4</v>
      </c>
      <c r="CE7" s="716">
        <f>Index!CA7</f>
        <v>5</v>
      </c>
      <c r="CF7" s="716">
        <f>Index!CB7</f>
        <v>6</v>
      </c>
      <c r="CG7" s="716">
        <f>Index!CC7</f>
        <v>7</v>
      </c>
      <c r="CH7" s="716">
        <f>Index!CD7</f>
        <v>8</v>
      </c>
      <c r="CI7" s="716">
        <f>Index!CE7</f>
        <v>9</v>
      </c>
      <c r="CJ7" s="716">
        <f>Index!CF7</f>
        <v>10</v>
      </c>
      <c r="CK7" s="716">
        <f>Index!CG7</f>
        <v>11</v>
      </c>
      <c r="CL7" s="716">
        <f>Index!CH7</f>
        <v>12</v>
      </c>
      <c r="CM7" s="716">
        <f>Index!CI7</f>
        <v>1</v>
      </c>
      <c r="CN7" s="716">
        <f>Index!CJ7</f>
        <v>2</v>
      </c>
      <c r="CO7" s="716">
        <f>Index!CK7</f>
        <v>3</v>
      </c>
      <c r="CP7" s="716">
        <f>Index!CL7</f>
        <v>4</v>
      </c>
      <c r="CQ7" s="716">
        <f>Index!CM7</f>
        <v>5</v>
      </c>
      <c r="CR7" s="716">
        <f>Index!CN7</f>
        <v>6</v>
      </c>
      <c r="CS7" s="716">
        <f>Index!CO7</f>
        <v>7</v>
      </c>
      <c r="CT7" s="716">
        <f>Index!CP7</f>
        <v>8</v>
      </c>
      <c r="CU7" s="716">
        <f>Index!CQ7</f>
        <v>9</v>
      </c>
      <c r="CV7" s="716">
        <f>Index!CR7</f>
        <v>10</v>
      </c>
      <c r="CW7" s="716">
        <f>Index!CS7</f>
        <v>11</v>
      </c>
      <c r="CX7" s="716">
        <f>Index!CT7</f>
        <v>12</v>
      </c>
      <c r="CY7" s="716">
        <f>Index!CU7</f>
        <v>1</v>
      </c>
      <c r="CZ7" s="716">
        <f>Index!CV7</f>
        <v>2</v>
      </c>
      <c r="DA7" s="716">
        <f>Index!CW7</f>
        <v>3</v>
      </c>
      <c r="DB7" s="716">
        <f>Index!CX7</f>
        <v>4</v>
      </c>
      <c r="DC7" s="716">
        <f>Index!CY7</f>
        <v>5</v>
      </c>
      <c r="DD7" s="716">
        <f>Index!CZ7</f>
        <v>6</v>
      </c>
      <c r="DE7" s="716">
        <f>Index!DA7</f>
        <v>7</v>
      </c>
      <c r="DF7" s="716">
        <f>Index!DB7</f>
        <v>8</v>
      </c>
      <c r="DG7" s="716">
        <f>Index!DC7</f>
        <v>9</v>
      </c>
      <c r="DH7" s="716">
        <f>Index!DD7</f>
        <v>10</v>
      </c>
      <c r="DI7" s="716">
        <f>Index!DE7</f>
        <v>11</v>
      </c>
      <c r="DJ7" s="716">
        <f>Index!DF7</f>
        <v>12</v>
      </c>
      <c r="DK7" s="716">
        <f>Index!DG7</f>
        <v>1</v>
      </c>
      <c r="DL7" s="716">
        <f>Index!DH7</f>
        <v>2</v>
      </c>
      <c r="DM7" s="716">
        <f>Index!DI7</f>
        <v>3</v>
      </c>
      <c r="DN7" s="716">
        <f>Index!DJ7</f>
        <v>4</v>
      </c>
      <c r="DO7" s="716">
        <f>Index!DK7</f>
        <v>5</v>
      </c>
      <c r="DP7" s="716">
        <f>Index!DL7</f>
        <v>6</v>
      </c>
      <c r="DQ7" s="716">
        <f>Index!DM7</f>
        <v>7</v>
      </c>
      <c r="DR7" s="716">
        <f>Index!DN7</f>
        <v>8</v>
      </c>
      <c r="DS7" s="716">
        <f>Index!DO7</f>
        <v>9</v>
      </c>
      <c r="DT7" s="716">
        <f>Index!DP7</f>
        <v>10</v>
      </c>
      <c r="DU7" s="716">
        <f>Index!DQ7</f>
        <v>11</v>
      </c>
      <c r="DV7" s="716">
        <f>Index!DR7</f>
        <v>12</v>
      </c>
      <c r="DW7" s="716">
        <f>Index!DS7</f>
        <v>1</v>
      </c>
      <c r="DX7" s="716">
        <f>Index!DT7</f>
        <v>2</v>
      </c>
      <c r="DY7" s="716">
        <f>Index!DU7</f>
        <v>3</v>
      </c>
      <c r="DZ7" s="716">
        <f>Index!DV7</f>
        <v>4</v>
      </c>
      <c r="EA7" s="716">
        <f>Index!DW7</f>
        <v>5</v>
      </c>
      <c r="EB7" s="716">
        <f>Index!DX7</f>
        <v>6</v>
      </c>
      <c r="EC7" s="716">
        <f>Index!DY7</f>
        <v>7</v>
      </c>
      <c r="ED7" s="716">
        <f>Index!DZ7</f>
        <v>8</v>
      </c>
      <c r="EE7" s="716">
        <f>Index!EA7</f>
        <v>9</v>
      </c>
      <c r="EF7" s="716">
        <f>Index!EB7</f>
        <v>10</v>
      </c>
      <c r="EG7" s="716">
        <f>Index!EC7</f>
        <v>11</v>
      </c>
      <c r="EH7" s="716">
        <f>Index!ED7</f>
        <v>12</v>
      </c>
      <c r="EI7" s="716">
        <f>Index!EE7</f>
        <v>1</v>
      </c>
      <c r="EJ7" s="716">
        <f>Index!EF7</f>
        <v>2</v>
      </c>
      <c r="EK7" s="716">
        <f>Index!EG7</f>
        <v>3</v>
      </c>
      <c r="EL7" s="716">
        <f>Index!EH7</f>
        <v>4</v>
      </c>
      <c r="EM7" s="716">
        <f>Index!EI7</f>
        <v>5</v>
      </c>
      <c r="EN7" s="716">
        <f>Index!EJ7</f>
        <v>6</v>
      </c>
      <c r="EO7" s="716">
        <f>Index!EK7</f>
        <v>7</v>
      </c>
      <c r="EP7" s="716">
        <f>Index!EL7</f>
        <v>8</v>
      </c>
      <c r="EQ7" s="716">
        <f>Index!EM7</f>
        <v>9</v>
      </c>
      <c r="ER7" s="716">
        <f>Index!EN7</f>
        <v>10</v>
      </c>
      <c r="ES7" s="716">
        <f>Index!EO7</f>
        <v>11</v>
      </c>
      <c r="ET7" s="716">
        <f>Index!EP7</f>
        <v>12</v>
      </c>
      <c r="EU7" s="716">
        <f>Index!EQ7</f>
        <v>1</v>
      </c>
      <c r="EV7" s="711"/>
      <c r="EW7" s="711"/>
      <c r="EX7" s="711"/>
    </row>
    <row r="8" spans="1:154" ht="11.25" customHeight="1">
      <c r="C8" s="712" t="s">
        <v>153</v>
      </c>
      <c r="D8" s="713"/>
      <c r="E8" s="713"/>
      <c r="F8" s="713"/>
      <c r="G8" s="713"/>
      <c r="H8" s="713"/>
      <c r="I8" s="713"/>
      <c r="J8" s="713"/>
      <c r="K8" s="713"/>
      <c r="L8" s="714"/>
      <c r="M8" s="715"/>
      <c r="N8" s="713"/>
      <c r="P8" s="717">
        <f>Index!L8</f>
        <v>0</v>
      </c>
      <c r="Q8" s="717">
        <f>Index!M8</f>
        <v>1</v>
      </c>
      <c r="R8" s="717">
        <f>Index!N8</f>
        <v>2</v>
      </c>
      <c r="S8" s="717">
        <f>Index!O8</f>
        <v>3</v>
      </c>
      <c r="T8" s="717">
        <f>Index!P8</f>
        <v>4</v>
      </c>
      <c r="U8" s="717">
        <f>Index!Q8</f>
        <v>5</v>
      </c>
      <c r="V8" s="717">
        <f>Index!R8</f>
        <v>6</v>
      </c>
      <c r="W8" s="717">
        <f>Index!S8</f>
        <v>7</v>
      </c>
      <c r="X8" s="717">
        <f>Index!T8</f>
        <v>8</v>
      </c>
      <c r="Y8" s="717">
        <f>Index!U8</f>
        <v>9</v>
      </c>
      <c r="Z8" s="717">
        <f>Index!V8</f>
        <v>10</v>
      </c>
      <c r="AA8" s="717">
        <f>Index!W8</f>
        <v>11</v>
      </c>
      <c r="AB8" s="717">
        <f>Index!X8</f>
        <v>12</v>
      </c>
      <c r="AC8" s="717">
        <f>Index!Y8</f>
        <v>13</v>
      </c>
      <c r="AD8" s="717">
        <f>Index!Z8</f>
        <v>14</v>
      </c>
      <c r="AE8" s="717">
        <f>Index!AA8</f>
        <v>15</v>
      </c>
      <c r="AF8" s="717">
        <f>Index!AB8</f>
        <v>16</v>
      </c>
      <c r="AG8" s="717">
        <f>Index!AC8</f>
        <v>17</v>
      </c>
      <c r="AH8" s="717">
        <f>Index!AD8</f>
        <v>18</v>
      </c>
      <c r="AI8" s="717">
        <f>Index!AE8</f>
        <v>19</v>
      </c>
      <c r="AJ8" s="717">
        <f>Index!AF8</f>
        <v>20</v>
      </c>
      <c r="AK8" s="717">
        <f>Index!AG8</f>
        <v>21</v>
      </c>
      <c r="AL8" s="717">
        <f>Index!AH8</f>
        <v>22</v>
      </c>
      <c r="AM8" s="717">
        <f>Index!AI8</f>
        <v>23</v>
      </c>
      <c r="AN8" s="717">
        <f>Index!AJ8</f>
        <v>24</v>
      </c>
      <c r="AO8" s="717">
        <f>Index!AK8</f>
        <v>25</v>
      </c>
      <c r="AP8" s="717">
        <f>Index!AL8</f>
        <v>26</v>
      </c>
      <c r="AQ8" s="717">
        <f>Index!AM8</f>
        <v>27</v>
      </c>
      <c r="AR8" s="717">
        <f>Index!AN8</f>
        <v>28</v>
      </c>
      <c r="AS8" s="717">
        <f>Index!AO8</f>
        <v>29</v>
      </c>
      <c r="AT8" s="717">
        <f>Index!AP8</f>
        <v>30</v>
      </c>
      <c r="AU8" s="717">
        <f>Index!AQ8</f>
        <v>31</v>
      </c>
      <c r="AV8" s="717">
        <f>Index!AR8</f>
        <v>32</v>
      </c>
      <c r="AW8" s="717">
        <f>Index!AS8</f>
        <v>33</v>
      </c>
      <c r="AX8" s="717">
        <f>Index!AT8</f>
        <v>34</v>
      </c>
      <c r="AY8" s="717">
        <f>Index!AU8</f>
        <v>35</v>
      </c>
      <c r="AZ8" s="717">
        <f>Index!AV8</f>
        <v>36</v>
      </c>
      <c r="BA8" s="717">
        <f>Index!AW8</f>
        <v>37</v>
      </c>
      <c r="BB8" s="717">
        <f>Index!AX8</f>
        <v>38</v>
      </c>
      <c r="BC8" s="717">
        <f>Index!AY8</f>
        <v>39</v>
      </c>
      <c r="BD8" s="717">
        <f>Index!AZ8</f>
        <v>40</v>
      </c>
      <c r="BE8" s="717">
        <f>Index!BA8</f>
        <v>41</v>
      </c>
      <c r="BF8" s="717">
        <f>Index!BB8</f>
        <v>42</v>
      </c>
      <c r="BG8" s="717">
        <f>Index!BC8</f>
        <v>43</v>
      </c>
      <c r="BH8" s="717">
        <f>Index!BD8</f>
        <v>44</v>
      </c>
      <c r="BI8" s="717">
        <f>Index!BE8</f>
        <v>45</v>
      </c>
      <c r="BJ8" s="717">
        <f>Index!BF8</f>
        <v>46</v>
      </c>
      <c r="BK8" s="717">
        <f>Index!BG8</f>
        <v>47</v>
      </c>
      <c r="BL8" s="717">
        <f>Index!BH8</f>
        <v>48</v>
      </c>
      <c r="BM8" s="717">
        <f>Index!BI8</f>
        <v>49</v>
      </c>
      <c r="BN8" s="717">
        <f>Index!BJ8</f>
        <v>50</v>
      </c>
      <c r="BO8" s="717">
        <f>Index!BK8</f>
        <v>51</v>
      </c>
      <c r="BP8" s="717">
        <f>Index!BL8</f>
        <v>52</v>
      </c>
      <c r="BQ8" s="717">
        <f>Index!BM8</f>
        <v>53</v>
      </c>
      <c r="BR8" s="717">
        <f>Index!BN8</f>
        <v>54</v>
      </c>
      <c r="BS8" s="717">
        <f>Index!BO8</f>
        <v>55</v>
      </c>
      <c r="BT8" s="717">
        <f>Index!BP8</f>
        <v>56</v>
      </c>
      <c r="BU8" s="717">
        <f>Index!BQ8</f>
        <v>57</v>
      </c>
      <c r="BV8" s="717">
        <f>Index!BR8</f>
        <v>58</v>
      </c>
      <c r="BW8" s="717">
        <f>Index!BS8</f>
        <v>59</v>
      </c>
      <c r="BX8" s="717">
        <f>Index!BT8</f>
        <v>60</v>
      </c>
      <c r="BY8" s="717">
        <f>Index!BU8</f>
        <v>61</v>
      </c>
      <c r="BZ8" s="717">
        <f>Index!BV8</f>
        <v>62</v>
      </c>
      <c r="CA8" s="717">
        <f>Index!BW8</f>
        <v>63</v>
      </c>
      <c r="CB8" s="717">
        <f>Index!BX8</f>
        <v>64</v>
      </c>
      <c r="CC8" s="717">
        <f>Index!BY8</f>
        <v>65</v>
      </c>
      <c r="CD8" s="717">
        <f>Index!BZ8</f>
        <v>66</v>
      </c>
      <c r="CE8" s="717">
        <f>Index!CA8</f>
        <v>67</v>
      </c>
      <c r="CF8" s="717">
        <f>Index!CB8</f>
        <v>68</v>
      </c>
      <c r="CG8" s="717">
        <f>Index!CC8</f>
        <v>69</v>
      </c>
      <c r="CH8" s="717">
        <f>Index!CD8</f>
        <v>70</v>
      </c>
      <c r="CI8" s="717">
        <f>Index!CE8</f>
        <v>71</v>
      </c>
      <c r="CJ8" s="717">
        <f>Index!CF8</f>
        <v>72</v>
      </c>
      <c r="CK8" s="717">
        <f>Index!CG8</f>
        <v>73</v>
      </c>
      <c r="CL8" s="717">
        <f>Index!CH8</f>
        <v>74</v>
      </c>
      <c r="CM8" s="717">
        <f>Index!CI8</f>
        <v>75</v>
      </c>
      <c r="CN8" s="717">
        <f>Index!CJ8</f>
        <v>76</v>
      </c>
      <c r="CO8" s="717">
        <f>Index!CK8</f>
        <v>77</v>
      </c>
      <c r="CP8" s="717">
        <f>Index!CL8</f>
        <v>78</v>
      </c>
      <c r="CQ8" s="717">
        <f>Index!CM8</f>
        <v>79</v>
      </c>
      <c r="CR8" s="717">
        <f>Index!CN8</f>
        <v>80</v>
      </c>
      <c r="CS8" s="717">
        <f>Index!CO8</f>
        <v>81</v>
      </c>
      <c r="CT8" s="717">
        <f>Index!CP8</f>
        <v>82</v>
      </c>
      <c r="CU8" s="717">
        <f>Index!CQ8</f>
        <v>83</v>
      </c>
      <c r="CV8" s="717">
        <f>Index!CR8</f>
        <v>84</v>
      </c>
      <c r="CW8" s="717">
        <f>Index!CS8</f>
        <v>85</v>
      </c>
      <c r="CX8" s="717">
        <f>Index!CT8</f>
        <v>86</v>
      </c>
      <c r="CY8" s="717">
        <f>Index!CU8</f>
        <v>87</v>
      </c>
      <c r="CZ8" s="717">
        <f>Index!CV8</f>
        <v>88</v>
      </c>
      <c r="DA8" s="717">
        <f>Index!CW8</f>
        <v>89</v>
      </c>
      <c r="DB8" s="717">
        <f>Index!CX8</f>
        <v>90</v>
      </c>
      <c r="DC8" s="717">
        <f>Index!CY8</f>
        <v>91</v>
      </c>
      <c r="DD8" s="717">
        <f>Index!CZ8</f>
        <v>92</v>
      </c>
      <c r="DE8" s="717">
        <f>Index!DA8</f>
        <v>93</v>
      </c>
      <c r="DF8" s="717">
        <f>Index!DB8</f>
        <v>94</v>
      </c>
      <c r="DG8" s="717">
        <f>Index!DC8</f>
        <v>95</v>
      </c>
      <c r="DH8" s="717">
        <f>Index!DD8</f>
        <v>96</v>
      </c>
      <c r="DI8" s="717">
        <f>Index!DE8</f>
        <v>97</v>
      </c>
      <c r="DJ8" s="717">
        <f>Index!DF8</f>
        <v>98</v>
      </c>
      <c r="DK8" s="717">
        <f>Index!DG8</f>
        <v>99</v>
      </c>
      <c r="DL8" s="717">
        <f>Index!DH8</f>
        <v>100</v>
      </c>
      <c r="DM8" s="717">
        <f>Index!DI8</f>
        <v>101</v>
      </c>
      <c r="DN8" s="717">
        <f>Index!DJ8</f>
        <v>102</v>
      </c>
      <c r="DO8" s="717">
        <f>Index!DK8</f>
        <v>103</v>
      </c>
      <c r="DP8" s="717">
        <f>Index!DL8</f>
        <v>104</v>
      </c>
      <c r="DQ8" s="717">
        <f>Index!DM8</f>
        <v>105</v>
      </c>
      <c r="DR8" s="717">
        <f>Index!DN8</f>
        <v>106</v>
      </c>
      <c r="DS8" s="717">
        <f>Index!DO8</f>
        <v>107</v>
      </c>
      <c r="DT8" s="717">
        <f>Index!DP8</f>
        <v>108</v>
      </c>
      <c r="DU8" s="717">
        <f>Index!DQ8</f>
        <v>109</v>
      </c>
      <c r="DV8" s="717">
        <f>Index!DR8</f>
        <v>110</v>
      </c>
      <c r="DW8" s="717">
        <f>Index!DS8</f>
        <v>111</v>
      </c>
      <c r="DX8" s="717">
        <f>Index!DT8</f>
        <v>112</v>
      </c>
      <c r="DY8" s="717">
        <f>Index!DU8</f>
        <v>113</v>
      </c>
      <c r="DZ8" s="717">
        <f>Index!DV8</f>
        <v>114</v>
      </c>
      <c r="EA8" s="717">
        <f>Index!DW8</f>
        <v>115</v>
      </c>
      <c r="EB8" s="717">
        <f>Index!DX8</f>
        <v>116</v>
      </c>
      <c r="EC8" s="717">
        <f>Index!DY8</f>
        <v>117</v>
      </c>
      <c r="ED8" s="717">
        <f>Index!DZ8</f>
        <v>118</v>
      </c>
      <c r="EE8" s="717">
        <f>Index!EA8</f>
        <v>119</v>
      </c>
      <c r="EF8" s="717">
        <f>Index!EB8</f>
        <v>120</v>
      </c>
      <c r="EG8" s="717">
        <f>Index!EC8</f>
        <v>121</v>
      </c>
      <c r="EH8" s="717">
        <f>Index!ED8</f>
        <v>122</v>
      </c>
      <c r="EI8" s="717">
        <f>Index!EE8</f>
        <v>123</v>
      </c>
      <c r="EJ8" s="717">
        <f>Index!EF8</f>
        <v>124</v>
      </c>
      <c r="EK8" s="717">
        <f>Index!EG8</f>
        <v>125</v>
      </c>
      <c r="EL8" s="717">
        <f>Index!EH8</f>
        <v>126</v>
      </c>
      <c r="EM8" s="717">
        <f>Index!EI8</f>
        <v>127</v>
      </c>
      <c r="EN8" s="717">
        <f>Index!EJ8</f>
        <v>128</v>
      </c>
      <c r="EO8" s="717">
        <f>Index!EK8</f>
        <v>129</v>
      </c>
      <c r="EP8" s="717">
        <f>Index!EL8</f>
        <v>130</v>
      </c>
      <c r="EQ8" s="717">
        <f>Index!EM8</f>
        <v>131</v>
      </c>
      <c r="ER8" s="717">
        <f>Index!EN8</f>
        <v>132</v>
      </c>
      <c r="ES8" s="717">
        <f>Index!EO8</f>
        <v>133</v>
      </c>
      <c r="ET8" s="717">
        <f>Index!EP8</f>
        <v>134</v>
      </c>
      <c r="EU8" s="717">
        <f>Index!EQ8</f>
        <v>135</v>
      </c>
    </row>
    <row r="9" spans="1:154" ht="11.25" customHeight="1">
      <c r="C9" s="712" t="s">
        <v>154</v>
      </c>
      <c r="D9" s="713"/>
      <c r="E9" s="713"/>
      <c r="F9" s="713"/>
      <c r="G9" s="713"/>
      <c r="H9" s="713"/>
      <c r="I9" s="713"/>
      <c r="J9" s="713"/>
      <c r="K9" s="713"/>
      <c r="L9" s="714"/>
      <c r="M9" s="715"/>
      <c r="N9" s="713"/>
      <c r="P9" s="718">
        <f>Index!L9</f>
        <v>0</v>
      </c>
      <c r="Q9" s="718">
        <f>Index!M9</f>
        <v>1</v>
      </c>
      <c r="R9" s="718">
        <f>Index!N9</f>
        <v>1</v>
      </c>
      <c r="S9" s="718">
        <f>Index!O9</f>
        <v>1</v>
      </c>
      <c r="T9" s="718">
        <f>Index!P9</f>
        <v>2</v>
      </c>
      <c r="U9" s="718">
        <f>Index!Q9</f>
        <v>2</v>
      </c>
      <c r="V9" s="718">
        <f>Index!R9</f>
        <v>2</v>
      </c>
      <c r="W9" s="718">
        <f>Index!S9</f>
        <v>3</v>
      </c>
      <c r="X9" s="718">
        <f>Index!T9</f>
        <v>3</v>
      </c>
      <c r="Y9" s="718">
        <f>Index!U9</f>
        <v>3</v>
      </c>
      <c r="Z9" s="718">
        <f>Index!V9</f>
        <v>4</v>
      </c>
      <c r="AA9" s="718">
        <f>Index!W9</f>
        <v>4</v>
      </c>
      <c r="AB9" s="718">
        <f>Index!X9</f>
        <v>4</v>
      </c>
      <c r="AC9" s="718">
        <f>Index!Y9</f>
        <v>5</v>
      </c>
      <c r="AD9" s="718">
        <f>Index!Z9</f>
        <v>5</v>
      </c>
      <c r="AE9" s="718">
        <f>Index!AA9</f>
        <v>5</v>
      </c>
      <c r="AF9" s="718">
        <f>Index!AB9</f>
        <v>6</v>
      </c>
      <c r="AG9" s="718">
        <f>Index!AC9</f>
        <v>6</v>
      </c>
      <c r="AH9" s="718">
        <f>Index!AD9</f>
        <v>6</v>
      </c>
      <c r="AI9" s="718">
        <f>Index!AE9</f>
        <v>7</v>
      </c>
      <c r="AJ9" s="718">
        <f>Index!AF9</f>
        <v>7</v>
      </c>
      <c r="AK9" s="718">
        <f>Index!AG9</f>
        <v>7</v>
      </c>
      <c r="AL9" s="718">
        <f>Index!AH9</f>
        <v>8</v>
      </c>
      <c r="AM9" s="718">
        <f>Index!AI9</f>
        <v>8</v>
      </c>
      <c r="AN9" s="718">
        <f>Index!AJ9</f>
        <v>8</v>
      </c>
      <c r="AO9" s="718">
        <f>Index!AK9</f>
        <v>9</v>
      </c>
      <c r="AP9" s="718">
        <f>Index!AL9</f>
        <v>9</v>
      </c>
      <c r="AQ9" s="718">
        <f>Index!AM9</f>
        <v>9</v>
      </c>
      <c r="AR9" s="718">
        <f>Index!AN9</f>
        <v>10</v>
      </c>
      <c r="AS9" s="718">
        <f>Index!AO9</f>
        <v>10</v>
      </c>
      <c r="AT9" s="718">
        <f>Index!AP9</f>
        <v>10</v>
      </c>
      <c r="AU9" s="718">
        <f>Index!AQ9</f>
        <v>11</v>
      </c>
      <c r="AV9" s="718">
        <f>Index!AR9</f>
        <v>11</v>
      </c>
      <c r="AW9" s="718">
        <f>Index!AS9</f>
        <v>11</v>
      </c>
      <c r="AX9" s="718">
        <f>Index!AT9</f>
        <v>12</v>
      </c>
      <c r="AY9" s="718">
        <f>Index!AU9</f>
        <v>12</v>
      </c>
      <c r="AZ9" s="718">
        <f>Index!AV9</f>
        <v>12</v>
      </c>
      <c r="BA9" s="718">
        <f>Index!AW9</f>
        <v>13</v>
      </c>
      <c r="BB9" s="718">
        <f>Index!AX9</f>
        <v>13</v>
      </c>
      <c r="BC9" s="718">
        <f>Index!AY9</f>
        <v>13</v>
      </c>
      <c r="BD9" s="718">
        <f>Index!AZ9</f>
        <v>14</v>
      </c>
      <c r="BE9" s="718">
        <f>Index!BA9</f>
        <v>14</v>
      </c>
      <c r="BF9" s="718">
        <f>Index!BB9</f>
        <v>14</v>
      </c>
      <c r="BG9" s="718">
        <f>Index!BC9</f>
        <v>15</v>
      </c>
      <c r="BH9" s="718">
        <f>Index!BD9</f>
        <v>15</v>
      </c>
      <c r="BI9" s="718">
        <f>Index!BE9</f>
        <v>15</v>
      </c>
      <c r="BJ9" s="718">
        <f>Index!BF9</f>
        <v>16</v>
      </c>
      <c r="BK9" s="718">
        <f>Index!BG9</f>
        <v>16</v>
      </c>
      <c r="BL9" s="718">
        <f>Index!BH9</f>
        <v>16</v>
      </c>
      <c r="BM9" s="718">
        <f>Index!BI9</f>
        <v>17</v>
      </c>
      <c r="BN9" s="718">
        <f>Index!BJ9</f>
        <v>17</v>
      </c>
      <c r="BO9" s="718">
        <f>Index!BK9</f>
        <v>17</v>
      </c>
      <c r="BP9" s="718">
        <f>Index!BL9</f>
        <v>18</v>
      </c>
      <c r="BQ9" s="718">
        <f>Index!BM9</f>
        <v>18</v>
      </c>
      <c r="BR9" s="718">
        <f>Index!BN9</f>
        <v>18</v>
      </c>
      <c r="BS9" s="718">
        <f>Index!BO9</f>
        <v>19</v>
      </c>
      <c r="BT9" s="718">
        <f>Index!BP9</f>
        <v>19</v>
      </c>
      <c r="BU9" s="718">
        <f>Index!BQ9</f>
        <v>19</v>
      </c>
      <c r="BV9" s="718">
        <f>Index!BR9</f>
        <v>20</v>
      </c>
      <c r="BW9" s="718">
        <f>Index!BS9</f>
        <v>20</v>
      </c>
      <c r="BX9" s="718">
        <f>Index!BT9</f>
        <v>20</v>
      </c>
      <c r="BY9" s="718">
        <f>Index!BU9</f>
        <v>21</v>
      </c>
      <c r="BZ9" s="718">
        <f>Index!BV9</f>
        <v>21</v>
      </c>
      <c r="CA9" s="718">
        <f>Index!BW9</f>
        <v>21</v>
      </c>
      <c r="CB9" s="718">
        <f>Index!BX9</f>
        <v>22</v>
      </c>
      <c r="CC9" s="718">
        <f>Index!BY9</f>
        <v>22</v>
      </c>
      <c r="CD9" s="718">
        <f>Index!BZ9</f>
        <v>22</v>
      </c>
      <c r="CE9" s="718">
        <f>Index!CA9</f>
        <v>23</v>
      </c>
      <c r="CF9" s="718">
        <f>Index!CB9</f>
        <v>23</v>
      </c>
      <c r="CG9" s="718">
        <f>Index!CC9</f>
        <v>23</v>
      </c>
      <c r="CH9" s="718">
        <f>Index!CD9</f>
        <v>24</v>
      </c>
      <c r="CI9" s="718">
        <f>Index!CE9</f>
        <v>24</v>
      </c>
      <c r="CJ9" s="718">
        <f>Index!CF9</f>
        <v>24</v>
      </c>
      <c r="CK9" s="718">
        <f>Index!CG9</f>
        <v>25</v>
      </c>
      <c r="CL9" s="718">
        <f>Index!CH9</f>
        <v>25</v>
      </c>
      <c r="CM9" s="718">
        <f>Index!CI9</f>
        <v>25</v>
      </c>
      <c r="CN9" s="718">
        <f>Index!CJ9</f>
        <v>26</v>
      </c>
      <c r="CO9" s="718">
        <f>Index!CK9</f>
        <v>26</v>
      </c>
      <c r="CP9" s="718">
        <f>Index!CL9</f>
        <v>26</v>
      </c>
      <c r="CQ9" s="718">
        <f>Index!CM9</f>
        <v>27</v>
      </c>
      <c r="CR9" s="718">
        <f>Index!CN9</f>
        <v>27</v>
      </c>
      <c r="CS9" s="718">
        <f>Index!CO9</f>
        <v>27</v>
      </c>
      <c r="CT9" s="718">
        <f>Index!CP9</f>
        <v>28</v>
      </c>
      <c r="CU9" s="718">
        <f>Index!CQ9</f>
        <v>28</v>
      </c>
      <c r="CV9" s="718">
        <f>Index!CR9</f>
        <v>28</v>
      </c>
      <c r="CW9" s="718">
        <f>Index!CS9</f>
        <v>29</v>
      </c>
      <c r="CX9" s="718">
        <f>Index!CT9</f>
        <v>29</v>
      </c>
      <c r="CY9" s="718">
        <f>Index!CU9</f>
        <v>29</v>
      </c>
      <c r="CZ9" s="718">
        <f>Index!CV9</f>
        <v>30</v>
      </c>
      <c r="DA9" s="718">
        <f>Index!CW9</f>
        <v>30</v>
      </c>
      <c r="DB9" s="718">
        <f>Index!CX9</f>
        <v>30</v>
      </c>
      <c r="DC9" s="718">
        <f>Index!CY9</f>
        <v>31</v>
      </c>
      <c r="DD9" s="718">
        <f>Index!CZ9</f>
        <v>31</v>
      </c>
      <c r="DE9" s="718">
        <f>Index!DA9</f>
        <v>31</v>
      </c>
      <c r="DF9" s="718">
        <f>Index!DB9</f>
        <v>32</v>
      </c>
      <c r="DG9" s="718">
        <f>Index!DC9</f>
        <v>32</v>
      </c>
      <c r="DH9" s="718">
        <f>Index!DD9</f>
        <v>32</v>
      </c>
      <c r="DI9" s="718">
        <f>Index!DE9</f>
        <v>33</v>
      </c>
      <c r="DJ9" s="718">
        <f>Index!DF9</f>
        <v>33</v>
      </c>
      <c r="DK9" s="718">
        <f>Index!DG9</f>
        <v>33</v>
      </c>
      <c r="DL9" s="718">
        <f>Index!DH9</f>
        <v>34</v>
      </c>
      <c r="DM9" s="718">
        <f>Index!DI9</f>
        <v>34</v>
      </c>
      <c r="DN9" s="718">
        <f>Index!DJ9</f>
        <v>34</v>
      </c>
      <c r="DO9" s="718">
        <f>Index!DK9</f>
        <v>35</v>
      </c>
      <c r="DP9" s="718">
        <f>Index!DL9</f>
        <v>35</v>
      </c>
      <c r="DQ9" s="718">
        <f>Index!DM9</f>
        <v>35</v>
      </c>
      <c r="DR9" s="718">
        <f>Index!DN9</f>
        <v>36</v>
      </c>
      <c r="DS9" s="718">
        <f>Index!DO9</f>
        <v>36</v>
      </c>
      <c r="DT9" s="718">
        <f>Index!DP9</f>
        <v>36</v>
      </c>
      <c r="DU9" s="718">
        <f>Index!DQ9</f>
        <v>37</v>
      </c>
      <c r="DV9" s="718">
        <f>Index!DR9</f>
        <v>37</v>
      </c>
      <c r="DW9" s="718">
        <f>Index!DS9</f>
        <v>37</v>
      </c>
      <c r="DX9" s="718">
        <f>Index!DT9</f>
        <v>38</v>
      </c>
      <c r="DY9" s="718">
        <f>Index!DU9</f>
        <v>38</v>
      </c>
      <c r="DZ9" s="718">
        <f>Index!DV9</f>
        <v>38</v>
      </c>
      <c r="EA9" s="718">
        <f>Index!DW9</f>
        <v>39</v>
      </c>
      <c r="EB9" s="718">
        <f>Index!DX9</f>
        <v>39</v>
      </c>
      <c r="EC9" s="718">
        <f>Index!DY9</f>
        <v>39</v>
      </c>
      <c r="ED9" s="718">
        <f>Index!DZ9</f>
        <v>40</v>
      </c>
      <c r="EE9" s="718">
        <f>Index!EA9</f>
        <v>40</v>
      </c>
      <c r="EF9" s="718">
        <f>Index!EB9</f>
        <v>40</v>
      </c>
      <c r="EG9" s="718">
        <f>Index!EC9</f>
        <v>41</v>
      </c>
      <c r="EH9" s="718">
        <f>Index!ED9</f>
        <v>41</v>
      </c>
      <c r="EI9" s="718">
        <f>Index!EE9</f>
        <v>41</v>
      </c>
      <c r="EJ9" s="718">
        <f>Index!EF9</f>
        <v>42</v>
      </c>
      <c r="EK9" s="718">
        <f>Index!EG9</f>
        <v>42</v>
      </c>
      <c r="EL9" s="718">
        <f>Index!EH9</f>
        <v>42</v>
      </c>
      <c r="EM9" s="718">
        <f>Index!EI9</f>
        <v>43</v>
      </c>
      <c r="EN9" s="718">
        <f>Index!EJ9</f>
        <v>43</v>
      </c>
      <c r="EO9" s="718">
        <f>Index!EK9</f>
        <v>43</v>
      </c>
      <c r="EP9" s="718">
        <f>Index!EL9</f>
        <v>44</v>
      </c>
      <c r="EQ9" s="718">
        <f>Index!EM9</f>
        <v>44</v>
      </c>
      <c r="ER9" s="718">
        <f>Index!EN9</f>
        <v>44</v>
      </c>
      <c r="ES9" s="718">
        <f>Index!EO9</f>
        <v>45</v>
      </c>
      <c r="ET9" s="718">
        <f>Index!EP9</f>
        <v>45</v>
      </c>
      <c r="EU9" s="718">
        <f>Index!EQ9</f>
        <v>45</v>
      </c>
    </row>
    <row r="10" spans="1:154" ht="11.25" customHeight="1">
      <c r="C10" s="712" t="s">
        <v>155</v>
      </c>
      <c r="D10" s="713"/>
      <c r="E10" s="713"/>
      <c r="F10" s="713"/>
      <c r="G10" s="713"/>
      <c r="H10" s="713"/>
      <c r="I10" s="713"/>
      <c r="J10" s="713"/>
      <c r="K10" s="713"/>
      <c r="L10" s="714"/>
      <c r="M10" s="715"/>
      <c r="N10" s="713"/>
      <c r="P10" s="719">
        <f>Index!L10</f>
        <v>0</v>
      </c>
      <c r="Q10" s="719">
        <f>Index!M10</f>
        <v>1</v>
      </c>
      <c r="R10" s="719">
        <f>Index!N10</f>
        <v>1</v>
      </c>
      <c r="S10" s="719">
        <f>Index!O10</f>
        <v>1</v>
      </c>
      <c r="T10" s="719">
        <f>Index!P10</f>
        <v>1</v>
      </c>
      <c r="U10" s="719">
        <f>Index!Q10</f>
        <v>1</v>
      </c>
      <c r="V10" s="719">
        <f>Index!R10</f>
        <v>1</v>
      </c>
      <c r="W10" s="719">
        <f>Index!S10</f>
        <v>2</v>
      </c>
      <c r="X10" s="719">
        <f>Index!T10</f>
        <v>2</v>
      </c>
      <c r="Y10" s="719">
        <f>Index!U10</f>
        <v>2</v>
      </c>
      <c r="Z10" s="719">
        <f>Index!V10</f>
        <v>2</v>
      </c>
      <c r="AA10" s="719">
        <f>Index!W10</f>
        <v>2</v>
      </c>
      <c r="AB10" s="719">
        <f>Index!X10</f>
        <v>2</v>
      </c>
      <c r="AC10" s="719">
        <f>Index!Y10</f>
        <v>3</v>
      </c>
      <c r="AD10" s="719">
        <f>Index!Z10</f>
        <v>3</v>
      </c>
      <c r="AE10" s="719">
        <f>Index!AA10</f>
        <v>3</v>
      </c>
      <c r="AF10" s="719">
        <f>Index!AB10</f>
        <v>3</v>
      </c>
      <c r="AG10" s="719">
        <f>Index!AC10</f>
        <v>3</v>
      </c>
      <c r="AH10" s="719">
        <f>Index!AD10</f>
        <v>3</v>
      </c>
      <c r="AI10" s="719">
        <f>Index!AE10</f>
        <v>4</v>
      </c>
      <c r="AJ10" s="719">
        <f>Index!AF10</f>
        <v>4</v>
      </c>
      <c r="AK10" s="719">
        <f>Index!AG10</f>
        <v>4</v>
      </c>
      <c r="AL10" s="719">
        <f>Index!AH10</f>
        <v>4</v>
      </c>
      <c r="AM10" s="719">
        <f>Index!AI10</f>
        <v>4</v>
      </c>
      <c r="AN10" s="719">
        <f>Index!AJ10</f>
        <v>4</v>
      </c>
      <c r="AO10" s="719">
        <f>Index!AK10</f>
        <v>5</v>
      </c>
      <c r="AP10" s="719">
        <f>Index!AL10</f>
        <v>5</v>
      </c>
      <c r="AQ10" s="719">
        <f>Index!AM10</f>
        <v>5</v>
      </c>
      <c r="AR10" s="719">
        <f>Index!AN10</f>
        <v>5</v>
      </c>
      <c r="AS10" s="719">
        <f>Index!AO10</f>
        <v>5</v>
      </c>
      <c r="AT10" s="719">
        <f>Index!AP10</f>
        <v>5</v>
      </c>
      <c r="AU10" s="719">
        <f>Index!AQ10</f>
        <v>6</v>
      </c>
      <c r="AV10" s="719">
        <f>Index!AR10</f>
        <v>6</v>
      </c>
      <c r="AW10" s="719">
        <f>Index!AS10</f>
        <v>6</v>
      </c>
      <c r="AX10" s="719">
        <f>Index!AT10</f>
        <v>6</v>
      </c>
      <c r="AY10" s="719">
        <f>Index!AU10</f>
        <v>6</v>
      </c>
      <c r="AZ10" s="719">
        <f>Index!AV10</f>
        <v>6</v>
      </c>
      <c r="BA10" s="719">
        <f>Index!AW10</f>
        <v>7</v>
      </c>
      <c r="BB10" s="719">
        <f>Index!AX10</f>
        <v>7</v>
      </c>
      <c r="BC10" s="719">
        <f>Index!AY10</f>
        <v>7</v>
      </c>
      <c r="BD10" s="719">
        <f>Index!AZ10</f>
        <v>7</v>
      </c>
      <c r="BE10" s="719">
        <f>Index!BA10</f>
        <v>7</v>
      </c>
      <c r="BF10" s="719">
        <f>Index!BB10</f>
        <v>7</v>
      </c>
      <c r="BG10" s="719">
        <f>Index!BC10</f>
        <v>8</v>
      </c>
      <c r="BH10" s="719">
        <f>Index!BD10</f>
        <v>8</v>
      </c>
      <c r="BI10" s="719">
        <f>Index!BE10</f>
        <v>8</v>
      </c>
      <c r="BJ10" s="719">
        <f>Index!BF10</f>
        <v>8</v>
      </c>
      <c r="BK10" s="719">
        <f>Index!BG10</f>
        <v>8</v>
      </c>
      <c r="BL10" s="719">
        <f>Index!BH10</f>
        <v>8</v>
      </c>
      <c r="BM10" s="719">
        <f>Index!BI10</f>
        <v>9</v>
      </c>
      <c r="BN10" s="719">
        <f>Index!BJ10</f>
        <v>9</v>
      </c>
      <c r="BO10" s="719">
        <f>Index!BK10</f>
        <v>9</v>
      </c>
      <c r="BP10" s="719">
        <f>Index!BL10</f>
        <v>9</v>
      </c>
      <c r="BQ10" s="719">
        <f>Index!BM10</f>
        <v>9</v>
      </c>
      <c r="BR10" s="719">
        <f>Index!BN10</f>
        <v>9</v>
      </c>
      <c r="BS10" s="719">
        <f>Index!BO10</f>
        <v>10</v>
      </c>
      <c r="BT10" s="719">
        <f>Index!BP10</f>
        <v>10</v>
      </c>
      <c r="BU10" s="719">
        <f>Index!BQ10</f>
        <v>10</v>
      </c>
      <c r="BV10" s="719">
        <f>Index!BR10</f>
        <v>10</v>
      </c>
      <c r="BW10" s="719">
        <f>Index!BS10</f>
        <v>10</v>
      </c>
      <c r="BX10" s="719">
        <f>Index!BT10</f>
        <v>10</v>
      </c>
      <c r="BY10" s="719">
        <f>Index!BU10</f>
        <v>11</v>
      </c>
      <c r="BZ10" s="719">
        <f>Index!BV10</f>
        <v>11</v>
      </c>
      <c r="CA10" s="719">
        <f>Index!BW10</f>
        <v>11</v>
      </c>
      <c r="CB10" s="719">
        <f>Index!BX10</f>
        <v>11</v>
      </c>
      <c r="CC10" s="719">
        <f>Index!BY10</f>
        <v>11</v>
      </c>
      <c r="CD10" s="719">
        <f>Index!BZ10</f>
        <v>11</v>
      </c>
      <c r="CE10" s="719">
        <f>Index!CA10</f>
        <v>12</v>
      </c>
      <c r="CF10" s="719">
        <f>Index!CB10</f>
        <v>12</v>
      </c>
      <c r="CG10" s="719">
        <f>Index!CC10</f>
        <v>12</v>
      </c>
      <c r="CH10" s="719">
        <f>Index!CD10</f>
        <v>12</v>
      </c>
      <c r="CI10" s="719">
        <f>Index!CE10</f>
        <v>12</v>
      </c>
      <c r="CJ10" s="719">
        <f>Index!CF10</f>
        <v>12</v>
      </c>
      <c r="CK10" s="719">
        <f>Index!CG10</f>
        <v>13</v>
      </c>
      <c r="CL10" s="719">
        <f>Index!CH10</f>
        <v>13</v>
      </c>
      <c r="CM10" s="719">
        <f>Index!CI10</f>
        <v>13</v>
      </c>
      <c r="CN10" s="719">
        <f>Index!CJ10</f>
        <v>13</v>
      </c>
      <c r="CO10" s="719">
        <f>Index!CK10</f>
        <v>13</v>
      </c>
      <c r="CP10" s="719">
        <f>Index!CL10</f>
        <v>13</v>
      </c>
      <c r="CQ10" s="719">
        <f>Index!CM10</f>
        <v>14</v>
      </c>
      <c r="CR10" s="719">
        <f>Index!CN10</f>
        <v>14</v>
      </c>
      <c r="CS10" s="719">
        <f>Index!CO10</f>
        <v>14</v>
      </c>
      <c r="CT10" s="719">
        <f>Index!CP10</f>
        <v>14</v>
      </c>
      <c r="CU10" s="719">
        <f>Index!CQ10</f>
        <v>14</v>
      </c>
      <c r="CV10" s="719">
        <f>Index!CR10</f>
        <v>14</v>
      </c>
      <c r="CW10" s="719">
        <f>Index!CS10</f>
        <v>15</v>
      </c>
      <c r="CX10" s="719">
        <f>Index!CT10</f>
        <v>15</v>
      </c>
      <c r="CY10" s="719">
        <f>Index!CU10</f>
        <v>15</v>
      </c>
      <c r="CZ10" s="719">
        <f>Index!CV10</f>
        <v>15</v>
      </c>
      <c r="DA10" s="719">
        <f>Index!CW10</f>
        <v>15</v>
      </c>
      <c r="DB10" s="719">
        <f>Index!CX10</f>
        <v>15</v>
      </c>
      <c r="DC10" s="719">
        <f>Index!CY10</f>
        <v>16</v>
      </c>
      <c r="DD10" s="719">
        <f>Index!CZ10</f>
        <v>16</v>
      </c>
      <c r="DE10" s="719">
        <f>Index!DA10</f>
        <v>16</v>
      </c>
      <c r="DF10" s="719">
        <f>Index!DB10</f>
        <v>16</v>
      </c>
      <c r="DG10" s="719">
        <f>Index!DC10</f>
        <v>16</v>
      </c>
      <c r="DH10" s="719">
        <f>Index!DD10</f>
        <v>16</v>
      </c>
      <c r="DI10" s="719">
        <f>Index!DE10</f>
        <v>17</v>
      </c>
      <c r="DJ10" s="719">
        <f>Index!DF10</f>
        <v>17</v>
      </c>
      <c r="DK10" s="719">
        <f>Index!DG10</f>
        <v>17</v>
      </c>
      <c r="DL10" s="719">
        <f>Index!DH10</f>
        <v>17</v>
      </c>
      <c r="DM10" s="719">
        <f>Index!DI10</f>
        <v>17</v>
      </c>
      <c r="DN10" s="719">
        <f>Index!DJ10</f>
        <v>17</v>
      </c>
      <c r="DO10" s="719">
        <f>Index!DK10</f>
        <v>18</v>
      </c>
      <c r="DP10" s="719">
        <f>Index!DL10</f>
        <v>18</v>
      </c>
      <c r="DQ10" s="719">
        <f>Index!DM10</f>
        <v>18</v>
      </c>
      <c r="DR10" s="719">
        <f>Index!DN10</f>
        <v>18</v>
      </c>
      <c r="DS10" s="719">
        <f>Index!DO10</f>
        <v>18</v>
      </c>
      <c r="DT10" s="719">
        <f>Index!DP10</f>
        <v>18</v>
      </c>
      <c r="DU10" s="719">
        <f>Index!DQ10</f>
        <v>19</v>
      </c>
      <c r="DV10" s="719">
        <f>Index!DR10</f>
        <v>19</v>
      </c>
      <c r="DW10" s="719">
        <f>Index!DS10</f>
        <v>19</v>
      </c>
      <c r="DX10" s="719">
        <f>Index!DT10</f>
        <v>19</v>
      </c>
      <c r="DY10" s="719">
        <f>Index!DU10</f>
        <v>19</v>
      </c>
      <c r="DZ10" s="719">
        <f>Index!DV10</f>
        <v>19</v>
      </c>
      <c r="EA10" s="719">
        <f>Index!DW10</f>
        <v>20</v>
      </c>
      <c r="EB10" s="719">
        <f>Index!DX10</f>
        <v>20</v>
      </c>
      <c r="EC10" s="719">
        <f>Index!DY10</f>
        <v>20</v>
      </c>
      <c r="ED10" s="719">
        <f>Index!DZ10</f>
        <v>20</v>
      </c>
      <c r="EE10" s="719">
        <f>Index!EA10</f>
        <v>20</v>
      </c>
      <c r="EF10" s="719">
        <f>Index!EB10</f>
        <v>20</v>
      </c>
      <c r="EG10" s="719">
        <f>Index!EC10</f>
        <v>21</v>
      </c>
      <c r="EH10" s="719">
        <f>Index!ED10</f>
        <v>21</v>
      </c>
      <c r="EI10" s="719">
        <f>Index!EE10</f>
        <v>21</v>
      </c>
      <c r="EJ10" s="719">
        <f>Index!EF10</f>
        <v>21</v>
      </c>
      <c r="EK10" s="719">
        <f>Index!EG10</f>
        <v>21</v>
      </c>
      <c r="EL10" s="719">
        <f>Index!EH10</f>
        <v>21</v>
      </c>
      <c r="EM10" s="719">
        <f>Index!EI10</f>
        <v>22</v>
      </c>
      <c r="EN10" s="719">
        <f>Index!EJ10</f>
        <v>22</v>
      </c>
      <c r="EO10" s="719">
        <f>Index!EK10</f>
        <v>22</v>
      </c>
      <c r="EP10" s="719">
        <f>Index!EL10</f>
        <v>22</v>
      </c>
      <c r="EQ10" s="719">
        <f>Index!EM10</f>
        <v>22</v>
      </c>
      <c r="ER10" s="719">
        <f>Index!EN10</f>
        <v>22</v>
      </c>
      <c r="ES10" s="719">
        <f>Index!EO10</f>
        <v>23</v>
      </c>
      <c r="ET10" s="719">
        <f>Index!EP10</f>
        <v>23</v>
      </c>
      <c r="EU10" s="719">
        <f>Index!EQ10</f>
        <v>23</v>
      </c>
    </row>
    <row r="11" spans="1:154" ht="11.25" customHeight="1">
      <c r="C11" s="712" t="s">
        <v>156</v>
      </c>
      <c r="D11" s="713"/>
      <c r="E11" s="713"/>
      <c r="F11" s="713"/>
      <c r="G11" s="713"/>
      <c r="H11" s="713"/>
      <c r="I11" s="713"/>
      <c r="J11" s="713"/>
      <c r="K11" s="713"/>
      <c r="L11" s="714"/>
      <c r="M11" s="715"/>
      <c r="N11" s="713"/>
      <c r="P11" s="720">
        <f>Index!L11</f>
        <v>0</v>
      </c>
      <c r="Q11" s="720">
        <f>Index!M11</f>
        <v>1</v>
      </c>
      <c r="R11" s="720">
        <f>Index!N11</f>
        <v>1</v>
      </c>
      <c r="S11" s="720">
        <f>Index!O11</f>
        <v>1</v>
      </c>
      <c r="T11" s="720">
        <f>Index!P11</f>
        <v>1</v>
      </c>
      <c r="U11" s="720">
        <f>Index!Q11</f>
        <v>1</v>
      </c>
      <c r="V11" s="720">
        <f>Index!R11</f>
        <v>1</v>
      </c>
      <c r="W11" s="720">
        <f>Index!S11</f>
        <v>1</v>
      </c>
      <c r="X11" s="720">
        <f>Index!T11</f>
        <v>1</v>
      </c>
      <c r="Y11" s="720">
        <f>Index!U11</f>
        <v>1</v>
      </c>
      <c r="Z11" s="720">
        <f>Index!V11</f>
        <v>1</v>
      </c>
      <c r="AA11" s="720">
        <f>Index!W11</f>
        <v>1</v>
      </c>
      <c r="AB11" s="720">
        <f>Index!X11</f>
        <v>1</v>
      </c>
      <c r="AC11" s="720">
        <f>Index!Y11</f>
        <v>2</v>
      </c>
      <c r="AD11" s="720">
        <f>Index!Z11</f>
        <v>2</v>
      </c>
      <c r="AE11" s="720">
        <f>Index!AA11</f>
        <v>2</v>
      </c>
      <c r="AF11" s="720">
        <f>Index!AB11</f>
        <v>2</v>
      </c>
      <c r="AG11" s="720">
        <f>Index!AC11</f>
        <v>2</v>
      </c>
      <c r="AH11" s="720">
        <f>Index!AD11</f>
        <v>2</v>
      </c>
      <c r="AI11" s="720">
        <f>Index!AE11</f>
        <v>2</v>
      </c>
      <c r="AJ11" s="720">
        <f>Index!AF11</f>
        <v>2</v>
      </c>
      <c r="AK11" s="720">
        <f>Index!AG11</f>
        <v>2</v>
      </c>
      <c r="AL11" s="720">
        <f>Index!AH11</f>
        <v>2</v>
      </c>
      <c r="AM11" s="720">
        <f>Index!AI11</f>
        <v>2</v>
      </c>
      <c r="AN11" s="720">
        <f>Index!AJ11</f>
        <v>2</v>
      </c>
      <c r="AO11" s="720">
        <f>Index!AK11</f>
        <v>3</v>
      </c>
      <c r="AP11" s="720">
        <f>Index!AL11</f>
        <v>3</v>
      </c>
      <c r="AQ11" s="720">
        <f>Index!AM11</f>
        <v>3</v>
      </c>
      <c r="AR11" s="720">
        <f>Index!AN11</f>
        <v>3</v>
      </c>
      <c r="AS11" s="720">
        <f>Index!AO11</f>
        <v>3</v>
      </c>
      <c r="AT11" s="720">
        <f>Index!AP11</f>
        <v>3</v>
      </c>
      <c r="AU11" s="720">
        <f>Index!AQ11</f>
        <v>3</v>
      </c>
      <c r="AV11" s="720">
        <f>Index!AR11</f>
        <v>3</v>
      </c>
      <c r="AW11" s="720">
        <f>Index!AS11</f>
        <v>3</v>
      </c>
      <c r="AX11" s="720">
        <f>Index!AT11</f>
        <v>3</v>
      </c>
      <c r="AY11" s="720">
        <f>Index!AU11</f>
        <v>3</v>
      </c>
      <c r="AZ11" s="720">
        <f>Index!AV11</f>
        <v>3</v>
      </c>
      <c r="BA11" s="720">
        <f>Index!AW11</f>
        <v>4</v>
      </c>
      <c r="BB11" s="720">
        <f>Index!AX11</f>
        <v>4</v>
      </c>
      <c r="BC11" s="720">
        <f>Index!AY11</f>
        <v>4</v>
      </c>
      <c r="BD11" s="720">
        <f>Index!AZ11</f>
        <v>4</v>
      </c>
      <c r="BE11" s="720">
        <f>Index!BA11</f>
        <v>4</v>
      </c>
      <c r="BF11" s="720">
        <f>Index!BB11</f>
        <v>4</v>
      </c>
      <c r="BG11" s="720">
        <f>Index!BC11</f>
        <v>4</v>
      </c>
      <c r="BH11" s="720">
        <f>Index!BD11</f>
        <v>4</v>
      </c>
      <c r="BI11" s="720">
        <f>Index!BE11</f>
        <v>4</v>
      </c>
      <c r="BJ11" s="720">
        <f>Index!BF11</f>
        <v>4</v>
      </c>
      <c r="BK11" s="720">
        <f>Index!BG11</f>
        <v>4</v>
      </c>
      <c r="BL11" s="720">
        <f>Index!BH11</f>
        <v>4</v>
      </c>
      <c r="BM11" s="720">
        <f>Index!BI11</f>
        <v>5</v>
      </c>
      <c r="BN11" s="720">
        <f>Index!BJ11</f>
        <v>5</v>
      </c>
      <c r="BO11" s="720">
        <f>Index!BK11</f>
        <v>5</v>
      </c>
      <c r="BP11" s="720">
        <f>Index!BL11</f>
        <v>5</v>
      </c>
      <c r="BQ11" s="720">
        <f>Index!BM11</f>
        <v>5</v>
      </c>
      <c r="BR11" s="720">
        <f>Index!BN11</f>
        <v>5</v>
      </c>
      <c r="BS11" s="720">
        <f>Index!BO11</f>
        <v>5</v>
      </c>
      <c r="BT11" s="720">
        <f>Index!BP11</f>
        <v>5</v>
      </c>
      <c r="BU11" s="720">
        <f>Index!BQ11</f>
        <v>5</v>
      </c>
      <c r="BV11" s="720">
        <f>Index!BR11</f>
        <v>5</v>
      </c>
      <c r="BW11" s="720">
        <f>Index!BS11</f>
        <v>5</v>
      </c>
      <c r="BX11" s="720">
        <f>Index!BT11</f>
        <v>5</v>
      </c>
      <c r="BY11" s="720">
        <f>Index!BU11</f>
        <v>6</v>
      </c>
      <c r="BZ11" s="720">
        <f>Index!BV11</f>
        <v>6</v>
      </c>
      <c r="CA11" s="720">
        <f>Index!BW11</f>
        <v>6</v>
      </c>
      <c r="CB11" s="720">
        <f>Index!BX11</f>
        <v>6</v>
      </c>
      <c r="CC11" s="720">
        <f>Index!BY11</f>
        <v>6</v>
      </c>
      <c r="CD11" s="720">
        <f>Index!BZ11</f>
        <v>6</v>
      </c>
      <c r="CE11" s="720">
        <f>Index!CA11</f>
        <v>6</v>
      </c>
      <c r="CF11" s="720">
        <f>Index!CB11</f>
        <v>6</v>
      </c>
      <c r="CG11" s="720">
        <f>Index!CC11</f>
        <v>6</v>
      </c>
      <c r="CH11" s="720">
        <f>Index!CD11</f>
        <v>6</v>
      </c>
      <c r="CI11" s="720">
        <f>Index!CE11</f>
        <v>6</v>
      </c>
      <c r="CJ11" s="720">
        <f>Index!CF11</f>
        <v>6</v>
      </c>
      <c r="CK11" s="720">
        <f>Index!CG11</f>
        <v>7</v>
      </c>
      <c r="CL11" s="720">
        <f>Index!CH11</f>
        <v>7</v>
      </c>
      <c r="CM11" s="720">
        <f>Index!CI11</f>
        <v>7</v>
      </c>
      <c r="CN11" s="720">
        <f>Index!CJ11</f>
        <v>7</v>
      </c>
      <c r="CO11" s="720">
        <f>Index!CK11</f>
        <v>7</v>
      </c>
      <c r="CP11" s="720">
        <f>Index!CL11</f>
        <v>7</v>
      </c>
      <c r="CQ11" s="720">
        <f>Index!CM11</f>
        <v>7</v>
      </c>
      <c r="CR11" s="720">
        <f>Index!CN11</f>
        <v>7</v>
      </c>
      <c r="CS11" s="720">
        <f>Index!CO11</f>
        <v>7</v>
      </c>
      <c r="CT11" s="720">
        <f>Index!CP11</f>
        <v>7</v>
      </c>
      <c r="CU11" s="720">
        <f>Index!CQ11</f>
        <v>7</v>
      </c>
      <c r="CV11" s="720">
        <f>Index!CR11</f>
        <v>7</v>
      </c>
      <c r="CW11" s="720">
        <f>Index!CS11</f>
        <v>8</v>
      </c>
      <c r="CX11" s="720">
        <f>Index!CT11</f>
        <v>8</v>
      </c>
      <c r="CY11" s="720">
        <f>Index!CU11</f>
        <v>8</v>
      </c>
      <c r="CZ11" s="720">
        <f>Index!CV11</f>
        <v>8</v>
      </c>
      <c r="DA11" s="720">
        <f>Index!CW11</f>
        <v>8</v>
      </c>
      <c r="DB11" s="720">
        <f>Index!CX11</f>
        <v>8</v>
      </c>
      <c r="DC11" s="720">
        <f>Index!CY11</f>
        <v>8</v>
      </c>
      <c r="DD11" s="720">
        <f>Index!CZ11</f>
        <v>8</v>
      </c>
      <c r="DE11" s="720">
        <f>Index!DA11</f>
        <v>8</v>
      </c>
      <c r="DF11" s="720">
        <f>Index!DB11</f>
        <v>8</v>
      </c>
      <c r="DG11" s="720">
        <f>Index!DC11</f>
        <v>8</v>
      </c>
      <c r="DH11" s="720">
        <f>Index!DD11</f>
        <v>8</v>
      </c>
      <c r="DI11" s="720">
        <f>Index!DE11</f>
        <v>9</v>
      </c>
      <c r="DJ11" s="720">
        <f>Index!DF11</f>
        <v>9</v>
      </c>
      <c r="DK11" s="720">
        <f>Index!DG11</f>
        <v>9</v>
      </c>
      <c r="DL11" s="720">
        <f>Index!DH11</f>
        <v>9</v>
      </c>
      <c r="DM11" s="720">
        <f>Index!DI11</f>
        <v>9</v>
      </c>
      <c r="DN11" s="720">
        <f>Index!DJ11</f>
        <v>9</v>
      </c>
      <c r="DO11" s="720">
        <f>Index!DK11</f>
        <v>9</v>
      </c>
      <c r="DP11" s="720">
        <f>Index!DL11</f>
        <v>9</v>
      </c>
      <c r="DQ11" s="720">
        <f>Index!DM11</f>
        <v>9</v>
      </c>
      <c r="DR11" s="720">
        <f>Index!DN11</f>
        <v>9</v>
      </c>
      <c r="DS11" s="720">
        <f>Index!DO11</f>
        <v>9</v>
      </c>
      <c r="DT11" s="720">
        <f>Index!DP11</f>
        <v>9</v>
      </c>
      <c r="DU11" s="720">
        <f>Index!DQ11</f>
        <v>10</v>
      </c>
      <c r="DV11" s="720">
        <f>Index!DR11</f>
        <v>10</v>
      </c>
      <c r="DW11" s="720">
        <f>Index!DS11</f>
        <v>10</v>
      </c>
      <c r="DX11" s="720">
        <f>Index!DT11</f>
        <v>10</v>
      </c>
      <c r="DY11" s="720">
        <f>Index!DU11</f>
        <v>10</v>
      </c>
      <c r="DZ11" s="720">
        <f>Index!DV11</f>
        <v>10</v>
      </c>
      <c r="EA11" s="720">
        <f>Index!DW11</f>
        <v>10</v>
      </c>
      <c r="EB11" s="720">
        <f>Index!DX11</f>
        <v>10</v>
      </c>
      <c r="EC11" s="720">
        <f>Index!DY11</f>
        <v>10</v>
      </c>
      <c r="ED11" s="720">
        <f>Index!DZ11</f>
        <v>10</v>
      </c>
      <c r="EE11" s="720">
        <f>Index!EA11</f>
        <v>10</v>
      </c>
      <c r="EF11" s="720">
        <f>Index!EB11</f>
        <v>10</v>
      </c>
      <c r="EG11" s="720">
        <f>Index!EC11</f>
        <v>11</v>
      </c>
      <c r="EH11" s="720">
        <f>Index!ED11</f>
        <v>11</v>
      </c>
      <c r="EI11" s="720">
        <f>Index!EE11</f>
        <v>11</v>
      </c>
      <c r="EJ11" s="720">
        <f>Index!EF11</f>
        <v>11</v>
      </c>
      <c r="EK11" s="720">
        <f>Index!EG11</f>
        <v>11</v>
      </c>
      <c r="EL11" s="720">
        <f>Index!EH11</f>
        <v>11</v>
      </c>
      <c r="EM11" s="720">
        <f>Index!EI11</f>
        <v>11</v>
      </c>
      <c r="EN11" s="720">
        <f>Index!EJ11</f>
        <v>11</v>
      </c>
      <c r="EO11" s="720">
        <f>Index!EK11</f>
        <v>11</v>
      </c>
      <c r="EP11" s="720">
        <f>Index!EL11</f>
        <v>11</v>
      </c>
      <c r="EQ11" s="720">
        <f>Index!EM11</f>
        <v>11</v>
      </c>
      <c r="ER11" s="720">
        <f>Index!EN11</f>
        <v>11</v>
      </c>
      <c r="ES11" s="720">
        <f>Index!EO11</f>
        <v>12</v>
      </c>
      <c r="ET11" s="720">
        <f>Index!EP11</f>
        <v>12</v>
      </c>
      <c r="EU11" s="720">
        <f>Index!EQ11</f>
        <v>12</v>
      </c>
    </row>
    <row r="12" spans="1:154" ht="11.25" customHeight="1">
      <c r="C12" s="712" t="s">
        <v>1113</v>
      </c>
      <c r="D12" s="713"/>
      <c r="E12" s="713"/>
      <c r="F12" s="713"/>
      <c r="G12" s="713"/>
      <c r="H12" s="713"/>
      <c r="I12" s="713"/>
      <c r="J12" s="713"/>
      <c r="K12" s="713"/>
      <c r="L12" s="714"/>
      <c r="M12" s="715"/>
      <c r="N12" s="713"/>
      <c r="P12" s="1873">
        <f>'NOI(M)'!M12</f>
        <v>0</v>
      </c>
      <c r="Q12" s="1873">
        <f>'NOI(M)'!N12</f>
        <v>0</v>
      </c>
      <c r="R12" s="1873">
        <f>'NOI(M)'!O12</f>
        <v>0</v>
      </c>
      <c r="S12" s="1873">
        <f>'NOI(M)'!P12</f>
        <v>0</v>
      </c>
      <c r="T12" s="1873">
        <f>'NOI(M)'!Q12</f>
        <v>0</v>
      </c>
      <c r="U12" s="1873">
        <f>'NOI(M)'!R12</f>
        <v>0</v>
      </c>
      <c r="V12" s="1873">
        <f>'NOI(M)'!S12</f>
        <v>0</v>
      </c>
      <c r="W12" s="1873">
        <f>'NOI(M)'!T12</f>
        <v>0</v>
      </c>
      <c r="X12" s="1873">
        <f>'NOI(M)'!U12</f>
        <v>0</v>
      </c>
      <c r="Y12" s="1873">
        <f>'NOI(M)'!V12</f>
        <v>0</v>
      </c>
      <c r="Z12" s="1873">
        <f>'NOI(M)'!W12</f>
        <v>0</v>
      </c>
      <c r="AA12" s="1873">
        <f>'NOI(M)'!X12</f>
        <v>0</v>
      </c>
      <c r="AB12" s="1873">
        <f>'NOI(M)'!Y12</f>
        <v>0</v>
      </c>
      <c r="AC12" s="1873">
        <f>'NOI(M)'!Z12</f>
        <v>0</v>
      </c>
      <c r="AD12" s="1873">
        <f>'NOI(M)'!AA12</f>
        <v>0</v>
      </c>
      <c r="AE12" s="1873">
        <f>'NOI(M)'!AB12</f>
        <v>0</v>
      </c>
      <c r="AF12" s="1873">
        <f>'NOI(M)'!AC12</f>
        <v>0</v>
      </c>
      <c r="AG12" s="1873">
        <f>'NOI(M)'!AD12</f>
        <v>0</v>
      </c>
      <c r="AH12" s="1873">
        <f>'NOI(M)'!AE12</f>
        <v>0</v>
      </c>
      <c r="AI12" s="1873">
        <f>'NOI(M)'!AF12</f>
        <v>0</v>
      </c>
      <c r="AJ12" s="1873">
        <f>'NOI(M)'!AG12</f>
        <v>0</v>
      </c>
      <c r="AK12" s="1873">
        <f>'NOI(M)'!AH12</f>
        <v>0</v>
      </c>
      <c r="AL12" s="1873">
        <f>'NOI(M)'!AI12</f>
        <v>0</v>
      </c>
      <c r="AM12" s="1873">
        <f>'NOI(M)'!AJ12</f>
        <v>0</v>
      </c>
      <c r="AN12" s="1873">
        <f>'NOI(M)'!AK12</f>
        <v>0</v>
      </c>
      <c r="AO12" s="1873">
        <f>'NOI(M)'!AL12</f>
        <v>0</v>
      </c>
      <c r="AP12" s="1873">
        <f>'NOI(M)'!AM12</f>
        <v>0</v>
      </c>
      <c r="AQ12" s="1873">
        <f>'NOI(M)'!AN12</f>
        <v>0</v>
      </c>
      <c r="AR12" s="1873">
        <f>'NOI(M)'!AO12</f>
        <v>0</v>
      </c>
      <c r="AS12" s="1873">
        <f>'NOI(M)'!AP12</f>
        <v>0</v>
      </c>
      <c r="AT12" s="1873">
        <f>'NOI(M)'!AQ12</f>
        <v>0</v>
      </c>
      <c r="AU12" s="1873">
        <f>'NOI(M)'!AR12</f>
        <v>0</v>
      </c>
      <c r="AV12" s="1873">
        <f>'NOI(M)'!AS12</f>
        <v>0</v>
      </c>
      <c r="AW12" s="1873">
        <f>'NOI(M)'!AT12</f>
        <v>0</v>
      </c>
      <c r="AX12" s="1873">
        <f>'NOI(M)'!AU12</f>
        <v>0</v>
      </c>
      <c r="AY12" s="1873">
        <f>'NOI(M)'!AV12</f>
        <v>0</v>
      </c>
      <c r="AZ12" s="1873">
        <f>'NOI(M)'!AW12</f>
        <v>0</v>
      </c>
      <c r="BA12" s="1873">
        <f>'NOI(M)'!AX12</f>
        <v>0</v>
      </c>
      <c r="BB12" s="1873">
        <f>'NOI(M)'!AY12</f>
        <v>0</v>
      </c>
      <c r="BC12" s="1873">
        <f>'NOI(M)'!AZ12</f>
        <v>0</v>
      </c>
      <c r="BD12" s="1873">
        <f>'NOI(M)'!BA12</f>
        <v>0</v>
      </c>
      <c r="BE12" s="1873">
        <f>'NOI(M)'!BB12</f>
        <v>0</v>
      </c>
      <c r="BF12" s="1873">
        <f>'NOI(M)'!BC12</f>
        <v>0</v>
      </c>
      <c r="BG12" s="1873">
        <f>'NOI(M)'!BD12</f>
        <v>0</v>
      </c>
      <c r="BH12" s="1873">
        <f>'NOI(M)'!BE12</f>
        <v>0</v>
      </c>
      <c r="BI12" s="1873">
        <f>'NOI(M)'!BF12</f>
        <v>0</v>
      </c>
      <c r="BJ12" s="1873">
        <f>'NOI(M)'!BG12</f>
        <v>0</v>
      </c>
      <c r="BK12" s="1873">
        <f>'NOI(M)'!BH12</f>
        <v>0</v>
      </c>
      <c r="BL12" s="1873">
        <f>'NOI(M)'!BI12</f>
        <v>0</v>
      </c>
      <c r="BM12" s="1873">
        <f>'NOI(M)'!BJ12</f>
        <v>0</v>
      </c>
      <c r="BN12" s="1873">
        <f>'NOI(M)'!BK12</f>
        <v>0</v>
      </c>
      <c r="BO12" s="1873">
        <f>'NOI(M)'!BL12</f>
        <v>0</v>
      </c>
      <c r="BP12" s="1873">
        <f>'NOI(M)'!BM12</f>
        <v>0</v>
      </c>
      <c r="BQ12" s="1873">
        <f>'NOI(M)'!BN12</f>
        <v>0</v>
      </c>
      <c r="BR12" s="1873">
        <f>'NOI(M)'!BO12</f>
        <v>0</v>
      </c>
      <c r="BS12" s="1873">
        <f>'NOI(M)'!BP12</f>
        <v>0</v>
      </c>
      <c r="BT12" s="1873">
        <f>'NOI(M)'!BQ12</f>
        <v>0</v>
      </c>
      <c r="BU12" s="1873">
        <f>'NOI(M)'!BR12</f>
        <v>0</v>
      </c>
      <c r="BV12" s="1873">
        <f>'NOI(M)'!BS12</f>
        <v>0</v>
      </c>
      <c r="BW12" s="1873">
        <f>'NOI(M)'!BT12</f>
        <v>0</v>
      </c>
      <c r="BX12" s="1873">
        <f>'NOI(M)'!BU12</f>
        <v>0</v>
      </c>
      <c r="BY12" s="1873">
        <f>'NOI(M)'!BV12</f>
        <v>0</v>
      </c>
      <c r="BZ12" s="1873">
        <f>'NOI(M)'!BW12</f>
        <v>0</v>
      </c>
      <c r="CA12" s="1873">
        <f>'NOI(M)'!BX12</f>
        <v>0</v>
      </c>
      <c r="CB12" s="1873">
        <f>'NOI(M)'!BY12</f>
        <v>0</v>
      </c>
      <c r="CC12" s="1873">
        <f>'NOI(M)'!BZ12</f>
        <v>0</v>
      </c>
      <c r="CD12" s="1873">
        <f>'NOI(M)'!CA12</f>
        <v>0</v>
      </c>
      <c r="CE12" s="1873">
        <f>'NOI(M)'!CB12</f>
        <v>0</v>
      </c>
      <c r="CF12" s="1873">
        <f>'NOI(M)'!CC12</f>
        <v>0</v>
      </c>
      <c r="CG12" s="1873">
        <f>'NOI(M)'!CD12</f>
        <v>0</v>
      </c>
      <c r="CH12" s="1873">
        <f>'NOI(M)'!CE12</f>
        <v>0</v>
      </c>
      <c r="CI12" s="1873">
        <f>'NOI(M)'!CF12</f>
        <v>0</v>
      </c>
      <c r="CJ12" s="1873">
        <f>'NOI(M)'!CG12</f>
        <v>0</v>
      </c>
      <c r="CK12" s="1873">
        <f>'NOI(M)'!CH12</f>
        <v>0</v>
      </c>
      <c r="CL12" s="1873">
        <f>'NOI(M)'!CI12</f>
        <v>0</v>
      </c>
      <c r="CM12" s="1873">
        <f>'NOI(M)'!CJ12</f>
        <v>0</v>
      </c>
      <c r="CN12" s="1873">
        <f>'NOI(M)'!CK12</f>
        <v>0</v>
      </c>
      <c r="CO12" s="1873">
        <f>'NOI(M)'!CL12</f>
        <v>0</v>
      </c>
      <c r="CP12" s="1873">
        <f>'NOI(M)'!CM12</f>
        <v>0</v>
      </c>
      <c r="CQ12" s="1873">
        <f>'NOI(M)'!CN12</f>
        <v>0</v>
      </c>
      <c r="CR12" s="1873">
        <f>'NOI(M)'!CO12</f>
        <v>0</v>
      </c>
      <c r="CS12" s="1873">
        <f>'NOI(M)'!CP12</f>
        <v>0</v>
      </c>
      <c r="CT12" s="1873">
        <f>'NOI(M)'!CQ12</f>
        <v>0</v>
      </c>
      <c r="CU12" s="1873">
        <f>'NOI(M)'!CR12</f>
        <v>0</v>
      </c>
      <c r="CV12" s="1873">
        <f>'NOI(M)'!CS12</f>
        <v>0</v>
      </c>
      <c r="CW12" s="1873">
        <f>'NOI(M)'!CT12</f>
        <v>0</v>
      </c>
      <c r="CX12" s="1873">
        <f>'NOI(M)'!CU12</f>
        <v>0</v>
      </c>
      <c r="CY12" s="1873">
        <f>'NOI(M)'!CV12</f>
        <v>0</v>
      </c>
      <c r="CZ12" s="1873">
        <f>'NOI(M)'!CW12</f>
        <v>0</v>
      </c>
      <c r="DA12" s="1873">
        <f>'NOI(M)'!CX12</f>
        <v>0</v>
      </c>
      <c r="DB12" s="1873">
        <f>'NOI(M)'!CY12</f>
        <v>0</v>
      </c>
      <c r="DC12" s="1873">
        <f>'NOI(M)'!CZ12</f>
        <v>0</v>
      </c>
      <c r="DD12" s="1873">
        <f>'NOI(M)'!DA12</f>
        <v>0</v>
      </c>
      <c r="DE12" s="1873">
        <f>'NOI(M)'!DB12</f>
        <v>0</v>
      </c>
      <c r="DF12" s="1873">
        <f>'NOI(M)'!DC12</f>
        <v>0</v>
      </c>
      <c r="DG12" s="1873">
        <f>'NOI(M)'!DD12</f>
        <v>0</v>
      </c>
      <c r="DH12" s="1873">
        <f>'NOI(M)'!DE12</f>
        <v>0</v>
      </c>
      <c r="DI12" s="1873">
        <f>'NOI(M)'!DF12</f>
        <v>0</v>
      </c>
      <c r="DJ12" s="1873">
        <f>'NOI(M)'!DG12</f>
        <v>0</v>
      </c>
      <c r="DK12" s="1873">
        <f>'NOI(M)'!DH12</f>
        <v>0</v>
      </c>
      <c r="DL12" s="1873">
        <f>'NOI(M)'!DI12</f>
        <v>0</v>
      </c>
      <c r="DM12" s="1873">
        <f>'NOI(M)'!DJ12</f>
        <v>0</v>
      </c>
      <c r="DN12" s="1873">
        <f>'NOI(M)'!DK12</f>
        <v>0</v>
      </c>
      <c r="DO12" s="1873">
        <f>'NOI(M)'!DL12</f>
        <v>0</v>
      </c>
      <c r="DP12" s="1873">
        <f>'NOI(M)'!DM12</f>
        <v>0</v>
      </c>
      <c r="DQ12" s="1873">
        <f>'NOI(M)'!DN12</f>
        <v>0</v>
      </c>
      <c r="DR12" s="1873">
        <f>'NOI(M)'!DO12</f>
        <v>0</v>
      </c>
      <c r="DS12" s="1873">
        <f>'NOI(M)'!DP12</f>
        <v>0</v>
      </c>
      <c r="DT12" s="1873">
        <f>'NOI(M)'!DQ12</f>
        <v>0</v>
      </c>
      <c r="DU12" s="1873">
        <f>'NOI(M)'!DR12</f>
        <v>0</v>
      </c>
      <c r="DV12" s="1873">
        <f>'NOI(M)'!DS12</f>
        <v>0</v>
      </c>
      <c r="DW12" s="1873">
        <f>'NOI(M)'!DT12</f>
        <v>0</v>
      </c>
      <c r="DX12" s="1873">
        <f>'NOI(M)'!DU12</f>
        <v>0</v>
      </c>
      <c r="DY12" s="1873">
        <f>'NOI(M)'!DV12</f>
        <v>0</v>
      </c>
      <c r="DZ12" s="1873">
        <f>'NOI(M)'!DW12</f>
        <v>0</v>
      </c>
      <c r="EA12" s="1873">
        <f>'NOI(M)'!DX12</f>
        <v>0</v>
      </c>
      <c r="EB12" s="1873">
        <f>'NOI(M)'!DY12</f>
        <v>0</v>
      </c>
      <c r="EC12" s="1873">
        <f>'NOI(M)'!DZ12</f>
        <v>0</v>
      </c>
      <c r="ED12" s="1873">
        <f>'NOI(M)'!EA12</f>
        <v>0</v>
      </c>
      <c r="EE12" s="1873">
        <f>'NOI(M)'!EB12</f>
        <v>0</v>
      </c>
      <c r="EF12" s="1873">
        <f>'NOI(M)'!EC12</f>
        <v>0</v>
      </c>
      <c r="EG12" s="1873">
        <f>'NOI(M)'!ED12</f>
        <v>0</v>
      </c>
      <c r="EH12" s="1873">
        <f>'NOI(M)'!EE12</f>
        <v>0</v>
      </c>
      <c r="EI12" s="1873">
        <f>'NOI(M)'!EF12</f>
        <v>0</v>
      </c>
      <c r="EJ12" s="1873">
        <f>'NOI(M)'!EG12</f>
        <v>0</v>
      </c>
      <c r="EK12" s="1873">
        <f>'NOI(M)'!EH12</f>
        <v>0</v>
      </c>
      <c r="EL12" s="1873">
        <f>'NOI(M)'!EI12</f>
        <v>0</v>
      </c>
      <c r="EM12" s="1873">
        <f>'NOI(M)'!EJ12</f>
        <v>0</v>
      </c>
      <c r="EN12" s="1873">
        <f>'NOI(M)'!EK12</f>
        <v>0</v>
      </c>
      <c r="EO12" s="1873">
        <f>'NOI(M)'!EL12</f>
        <v>0</v>
      </c>
      <c r="EP12" s="1873">
        <f>'NOI(M)'!EM12</f>
        <v>0</v>
      </c>
      <c r="EQ12" s="1873">
        <f>'NOI(M)'!EN12</f>
        <v>0</v>
      </c>
      <c r="ER12" s="1873">
        <f>'NOI(M)'!EO12</f>
        <v>0</v>
      </c>
      <c r="ES12" s="1873">
        <f>'NOI(M)'!EP12</f>
        <v>0</v>
      </c>
      <c r="ET12" s="1873">
        <f>'NOI(M)'!EQ12</f>
        <v>0</v>
      </c>
      <c r="EU12" s="1873">
        <f>'NOI(M)'!ER12</f>
        <v>0</v>
      </c>
    </row>
    <row r="13" spans="1:154" ht="11.25" customHeight="1">
      <c r="C13" s="721"/>
      <c r="L13" s="711"/>
      <c r="M13" s="722"/>
    </row>
    <row r="14" spans="1:154" ht="11.25" customHeight="1">
      <c r="C14" s="721"/>
      <c r="L14" s="711"/>
      <c r="M14" s="722"/>
    </row>
    <row r="15" spans="1:154" ht="11.25" customHeight="1">
      <c r="C15" s="723" t="s">
        <v>103</v>
      </c>
      <c r="D15" s="723"/>
      <c r="E15" s="723"/>
      <c r="F15" s="723"/>
      <c r="G15" s="723"/>
      <c r="H15" s="723"/>
      <c r="I15" s="723"/>
      <c r="J15" s="723"/>
      <c r="K15" s="723"/>
      <c r="L15" s="724"/>
      <c r="M15" s="725"/>
      <c r="N15" s="726" t="s">
        <v>59</v>
      </c>
      <c r="P15" s="727">
        <f t="shared" ref="P15:CA15" si="0">P5</f>
        <v>46326</v>
      </c>
      <c r="Q15" s="727">
        <f t="shared" si="0"/>
        <v>46356</v>
      </c>
      <c r="R15" s="727">
        <f t="shared" si="0"/>
        <v>46387</v>
      </c>
      <c r="S15" s="727">
        <f t="shared" si="0"/>
        <v>46418</v>
      </c>
      <c r="T15" s="727">
        <f t="shared" si="0"/>
        <v>46446</v>
      </c>
      <c r="U15" s="727">
        <f t="shared" si="0"/>
        <v>46477</v>
      </c>
      <c r="V15" s="727">
        <f t="shared" si="0"/>
        <v>46507</v>
      </c>
      <c r="W15" s="727">
        <f t="shared" si="0"/>
        <v>46538</v>
      </c>
      <c r="X15" s="727">
        <f t="shared" si="0"/>
        <v>46568</v>
      </c>
      <c r="Y15" s="727">
        <f t="shared" si="0"/>
        <v>46599</v>
      </c>
      <c r="Z15" s="727">
        <f t="shared" si="0"/>
        <v>46630</v>
      </c>
      <c r="AA15" s="727">
        <f t="shared" si="0"/>
        <v>46660</v>
      </c>
      <c r="AB15" s="727">
        <f t="shared" si="0"/>
        <v>46691</v>
      </c>
      <c r="AC15" s="727">
        <f t="shared" si="0"/>
        <v>46721</v>
      </c>
      <c r="AD15" s="727">
        <f t="shared" si="0"/>
        <v>46752</v>
      </c>
      <c r="AE15" s="727">
        <f t="shared" si="0"/>
        <v>46783</v>
      </c>
      <c r="AF15" s="727">
        <f t="shared" si="0"/>
        <v>46812</v>
      </c>
      <c r="AG15" s="727">
        <f t="shared" si="0"/>
        <v>46843</v>
      </c>
      <c r="AH15" s="727">
        <f t="shared" si="0"/>
        <v>46873</v>
      </c>
      <c r="AI15" s="727">
        <f t="shared" si="0"/>
        <v>46904</v>
      </c>
      <c r="AJ15" s="727">
        <f t="shared" si="0"/>
        <v>46934</v>
      </c>
      <c r="AK15" s="727">
        <f t="shared" si="0"/>
        <v>46965</v>
      </c>
      <c r="AL15" s="727">
        <f t="shared" si="0"/>
        <v>46996</v>
      </c>
      <c r="AM15" s="727">
        <f t="shared" si="0"/>
        <v>47026</v>
      </c>
      <c r="AN15" s="727">
        <f t="shared" si="0"/>
        <v>47057</v>
      </c>
      <c r="AO15" s="727">
        <f t="shared" si="0"/>
        <v>47087</v>
      </c>
      <c r="AP15" s="727">
        <f t="shared" si="0"/>
        <v>47118</v>
      </c>
      <c r="AQ15" s="727">
        <f t="shared" si="0"/>
        <v>47149</v>
      </c>
      <c r="AR15" s="727">
        <f t="shared" si="0"/>
        <v>47177</v>
      </c>
      <c r="AS15" s="727">
        <f t="shared" si="0"/>
        <v>47208</v>
      </c>
      <c r="AT15" s="727">
        <f t="shared" si="0"/>
        <v>47238</v>
      </c>
      <c r="AU15" s="727">
        <f t="shared" si="0"/>
        <v>47269</v>
      </c>
      <c r="AV15" s="727">
        <f t="shared" si="0"/>
        <v>47299</v>
      </c>
      <c r="AW15" s="727">
        <f t="shared" si="0"/>
        <v>47330</v>
      </c>
      <c r="AX15" s="727">
        <f t="shared" si="0"/>
        <v>47361</v>
      </c>
      <c r="AY15" s="727">
        <f t="shared" si="0"/>
        <v>47391</v>
      </c>
      <c r="AZ15" s="727">
        <f t="shared" si="0"/>
        <v>47422</v>
      </c>
      <c r="BA15" s="727">
        <f t="shared" si="0"/>
        <v>47452</v>
      </c>
      <c r="BB15" s="727">
        <f t="shared" si="0"/>
        <v>47483</v>
      </c>
      <c r="BC15" s="727">
        <f t="shared" si="0"/>
        <v>47514</v>
      </c>
      <c r="BD15" s="727">
        <f t="shared" si="0"/>
        <v>47542</v>
      </c>
      <c r="BE15" s="727">
        <f t="shared" si="0"/>
        <v>47573</v>
      </c>
      <c r="BF15" s="727">
        <f t="shared" si="0"/>
        <v>47603</v>
      </c>
      <c r="BG15" s="727">
        <f t="shared" si="0"/>
        <v>47634</v>
      </c>
      <c r="BH15" s="727">
        <f t="shared" si="0"/>
        <v>47664</v>
      </c>
      <c r="BI15" s="727">
        <f t="shared" si="0"/>
        <v>47695</v>
      </c>
      <c r="BJ15" s="727">
        <f t="shared" si="0"/>
        <v>47726</v>
      </c>
      <c r="BK15" s="727">
        <f t="shared" si="0"/>
        <v>47756</v>
      </c>
      <c r="BL15" s="727">
        <f t="shared" si="0"/>
        <v>47787</v>
      </c>
      <c r="BM15" s="727">
        <f t="shared" si="0"/>
        <v>47817</v>
      </c>
      <c r="BN15" s="727">
        <f t="shared" si="0"/>
        <v>47848</v>
      </c>
      <c r="BO15" s="727">
        <f t="shared" si="0"/>
        <v>47879</v>
      </c>
      <c r="BP15" s="727">
        <f t="shared" si="0"/>
        <v>47907</v>
      </c>
      <c r="BQ15" s="727">
        <f t="shared" si="0"/>
        <v>47938</v>
      </c>
      <c r="BR15" s="727">
        <f t="shared" si="0"/>
        <v>47968</v>
      </c>
      <c r="BS15" s="727">
        <f t="shared" si="0"/>
        <v>47999</v>
      </c>
      <c r="BT15" s="727">
        <f t="shared" si="0"/>
        <v>48029</v>
      </c>
      <c r="BU15" s="727">
        <f t="shared" si="0"/>
        <v>48060</v>
      </c>
      <c r="BV15" s="727">
        <f t="shared" si="0"/>
        <v>48091</v>
      </c>
      <c r="BW15" s="727">
        <f t="shared" si="0"/>
        <v>48121</v>
      </c>
      <c r="BX15" s="727">
        <f t="shared" si="0"/>
        <v>48152</v>
      </c>
      <c r="BY15" s="727">
        <f t="shared" si="0"/>
        <v>48182</v>
      </c>
      <c r="BZ15" s="727">
        <f t="shared" si="0"/>
        <v>48213</v>
      </c>
      <c r="CA15" s="727">
        <f t="shared" si="0"/>
        <v>48244</v>
      </c>
      <c r="CB15" s="727">
        <f t="shared" ref="CB15:DY15" si="1">CB5</f>
        <v>48273</v>
      </c>
      <c r="CC15" s="727">
        <f t="shared" si="1"/>
        <v>48304</v>
      </c>
      <c r="CD15" s="727">
        <f t="shared" si="1"/>
        <v>48334</v>
      </c>
      <c r="CE15" s="727">
        <f t="shared" si="1"/>
        <v>48365</v>
      </c>
      <c r="CF15" s="727">
        <f t="shared" si="1"/>
        <v>48395</v>
      </c>
      <c r="CG15" s="727">
        <f t="shared" si="1"/>
        <v>48426</v>
      </c>
      <c r="CH15" s="727">
        <f t="shared" si="1"/>
        <v>48457</v>
      </c>
      <c r="CI15" s="727">
        <f t="shared" si="1"/>
        <v>48487</v>
      </c>
      <c r="CJ15" s="727">
        <f t="shared" si="1"/>
        <v>48518</v>
      </c>
      <c r="CK15" s="727">
        <f t="shared" si="1"/>
        <v>48548</v>
      </c>
      <c r="CL15" s="727">
        <f t="shared" si="1"/>
        <v>48579</v>
      </c>
      <c r="CM15" s="727">
        <f t="shared" si="1"/>
        <v>48610</v>
      </c>
      <c r="CN15" s="727">
        <f t="shared" si="1"/>
        <v>48638</v>
      </c>
      <c r="CO15" s="727">
        <f t="shared" si="1"/>
        <v>48669</v>
      </c>
      <c r="CP15" s="727">
        <f t="shared" si="1"/>
        <v>48699</v>
      </c>
      <c r="CQ15" s="727">
        <f t="shared" si="1"/>
        <v>48730</v>
      </c>
      <c r="CR15" s="727">
        <f t="shared" si="1"/>
        <v>48760</v>
      </c>
      <c r="CS15" s="727">
        <f t="shared" si="1"/>
        <v>48791</v>
      </c>
      <c r="CT15" s="727">
        <f t="shared" si="1"/>
        <v>48822</v>
      </c>
      <c r="CU15" s="727">
        <f t="shared" si="1"/>
        <v>48852</v>
      </c>
      <c r="CV15" s="727">
        <f t="shared" si="1"/>
        <v>48883</v>
      </c>
      <c r="CW15" s="727">
        <f t="shared" si="1"/>
        <v>48913</v>
      </c>
      <c r="CX15" s="727">
        <f t="shared" si="1"/>
        <v>48944</v>
      </c>
      <c r="CY15" s="727">
        <f t="shared" si="1"/>
        <v>48975</v>
      </c>
      <c r="CZ15" s="727">
        <f t="shared" si="1"/>
        <v>49003</v>
      </c>
      <c r="DA15" s="727">
        <f t="shared" si="1"/>
        <v>49034</v>
      </c>
      <c r="DB15" s="727">
        <f t="shared" si="1"/>
        <v>49064</v>
      </c>
      <c r="DC15" s="727">
        <f t="shared" si="1"/>
        <v>49095</v>
      </c>
      <c r="DD15" s="727">
        <f t="shared" si="1"/>
        <v>49125</v>
      </c>
      <c r="DE15" s="727">
        <f t="shared" si="1"/>
        <v>49156</v>
      </c>
      <c r="DF15" s="727">
        <f t="shared" si="1"/>
        <v>49187</v>
      </c>
      <c r="DG15" s="727">
        <f t="shared" si="1"/>
        <v>49217</v>
      </c>
      <c r="DH15" s="727">
        <f t="shared" si="1"/>
        <v>49248</v>
      </c>
      <c r="DI15" s="727">
        <f t="shared" si="1"/>
        <v>49278</v>
      </c>
      <c r="DJ15" s="727">
        <f t="shared" si="1"/>
        <v>49309</v>
      </c>
      <c r="DK15" s="727">
        <f t="shared" si="1"/>
        <v>49340</v>
      </c>
      <c r="DL15" s="727">
        <f t="shared" si="1"/>
        <v>49368</v>
      </c>
      <c r="DM15" s="727">
        <f t="shared" si="1"/>
        <v>49399</v>
      </c>
      <c r="DN15" s="727">
        <f t="shared" si="1"/>
        <v>49429</v>
      </c>
      <c r="DO15" s="727">
        <f t="shared" si="1"/>
        <v>49460</v>
      </c>
      <c r="DP15" s="727">
        <f t="shared" si="1"/>
        <v>49490</v>
      </c>
      <c r="DQ15" s="727">
        <f t="shared" si="1"/>
        <v>49521</v>
      </c>
      <c r="DR15" s="727">
        <f t="shared" si="1"/>
        <v>49552</v>
      </c>
      <c r="DS15" s="727">
        <f t="shared" si="1"/>
        <v>49582</v>
      </c>
      <c r="DT15" s="727">
        <f t="shared" si="1"/>
        <v>49613</v>
      </c>
      <c r="DU15" s="727">
        <f t="shared" si="1"/>
        <v>49643</v>
      </c>
      <c r="DV15" s="727">
        <f t="shared" si="1"/>
        <v>49674</v>
      </c>
      <c r="DW15" s="727">
        <f t="shared" si="1"/>
        <v>49705</v>
      </c>
      <c r="DX15" s="727">
        <f t="shared" si="1"/>
        <v>49734</v>
      </c>
      <c r="DY15" s="727">
        <f t="shared" si="1"/>
        <v>49765</v>
      </c>
      <c r="DZ15" s="727">
        <f t="shared" ref="DZ15:EH15" si="2">DZ5</f>
        <v>49795</v>
      </c>
      <c r="EA15" s="727">
        <f t="shared" si="2"/>
        <v>49826</v>
      </c>
      <c r="EB15" s="727">
        <f t="shared" si="2"/>
        <v>49856</v>
      </c>
      <c r="EC15" s="727">
        <f t="shared" si="2"/>
        <v>49887</v>
      </c>
      <c r="ED15" s="727">
        <f t="shared" si="2"/>
        <v>49918</v>
      </c>
      <c r="EE15" s="727">
        <f t="shared" si="2"/>
        <v>49948</v>
      </c>
      <c r="EF15" s="727">
        <f t="shared" si="2"/>
        <v>49979</v>
      </c>
      <c r="EG15" s="727">
        <f t="shared" si="2"/>
        <v>50009</v>
      </c>
      <c r="EH15" s="727">
        <f t="shared" si="2"/>
        <v>50040</v>
      </c>
      <c r="EI15" s="727">
        <f t="shared" ref="EI15:ET15" si="3">EI5</f>
        <v>50071</v>
      </c>
      <c r="EJ15" s="727">
        <f t="shared" si="3"/>
        <v>50099</v>
      </c>
      <c r="EK15" s="727">
        <f t="shared" si="3"/>
        <v>50130</v>
      </c>
      <c r="EL15" s="727">
        <f t="shared" si="3"/>
        <v>50160</v>
      </c>
      <c r="EM15" s="727">
        <f t="shared" si="3"/>
        <v>50191</v>
      </c>
      <c r="EN15" s="727">
        <f t="shared" si="3"/>
        <v>50221</v>
      </c>
      <c r="EO15" s="727">
        <f t="shared" si="3"/>
        <v>50252</v>
      </c>
      <c r="EP15" s="727">
        <f t="shared" si="3"/>
        <v>50283</v>
      </c>
      <c r="EQ15" s="727">
        <f t="shared" si="3"/>
        <v>50313</v>
      </c>
      <c r="ER15" s="727">
        <f t="shared" si="3"/>
        <v>50344</v>
      </c>
      <c r="ES15" s="727">
        <f t="shared" si="3"/>
        <v>50374</v>
      </c>
      <c r="ET15" s="727">
        <f t="shared" si="3"/>
        <v>50405</v>
      </c>
      <c r="EU15" s="727">
        <f>EU5</f>
        <v>50436</v>
      </c>
    </row>
    <row r="16" spans="1:154" ht="11.25" customHeight="1">
      <c r="C16" s="728" t="s">
        <v>475</v>
      </c>
      <c r="D16" s="729"/>
      <c r="E16" s="729"/>
      <c r="F16" s="729"/>
      <c r="G16" s="729"/>
      <c r="H16" s="729"/>
      <c r="I16" s="729"/>
      <c r="J16" s="729"/>
      <c r="K16" s="729"/>
      <c r="L16" s="730"/>
      <c r="M16" s="731"/>
      <c r="N16" s="732">
        <f>SUM(N17:N33)</f>
        <v>112408911.08711819</v>
      </c>
      <c r="O16" s="733"/>
      <c r="P16" s="734">
        <f>SUM(P17:P33)</f>
        <v>0</v>
      </c>
      <c r="Q16" s="734">
        <f t="shared" ref="Q16:CB16" si="4">SUM(Q17:Q33)</f>
        <v>1239201.9141874998</v>
      </c>
      <c r="R16" s="734">
        <f t="shared" si="4"/>
        <v>1244610.4060624999</v>
      </c>
      <c r="S16" s="734">
        <f t="shared" si="4"/>
        <v>1248462.0690625</v>
      </c>
      <c r="T16" s="734">
        <f t="shared" si="4"/>
        <v>1259478.0816718747</v>
      </c>
      <c r="U16" s="734">
        <f t="shared" si="4"/>
        <v>1259478.0816718747</v>
      </c>
      <c r="V16" s="734">
        <f t="shared" si="4"/>
        <v>1263699.0111718748</v>
      </c>
      <c r="W16" s="734">
        <f t="shared" si="4"/>
        <v>1267368.7339171874</v>
      </c>
      <c r="X16" s="734">
        <f t="shared" si="4"/>
        <v>1267368.7339171874</v>
      </c>
      <c r="Y16" s="734">
        <f t="shared" si="4"/>
        <v>1267368.7339171874</v>
      </c>
      <c r="Z16" s="734">
        <f t="shared" si="4"/>
        <v>1267368.7339171874</v>
      </c>
      <c r="AA16" s="734">
        <f t="shared" si="4"/>
        <v>1267368.7339171874</v>
      </c>
      <c r="AB16" s="734">
        <f t="shared" si="4"/>
        <v>1267368.7339171874</v>
      </c>
      <c r="AC16" s="734">
        <f t="shared" si="4"/>
        <v>1267504.6510421874</v>
      </c>
      <c r="AD16" s="734">
        <f t="shared" si="4"/>
        <v>1273048.3552140624</v>
      </c>
      <c r="AE16" s="734">
        <f t="shared" si="4"/>
        <v>1276996.3097890622</v>
      </c>
      <c r="AF16" s="734">
        <f t="shared" si="4"/>
        <v>1288287.7227136719</v>
      </c>
      <c r="AG16" s="734">
        <f t="shared" si="4"/>
        <v>1288287.7227136719</v>
      </c>
      <c r="AH16" s="734">
        <f t="shared" si="4"/>
        <v>1292614.1754511718</v>
      </c>
      <c r="AI16" s="734">
        <f t="shared" si="4"/>
        <v>1296375.6412651171</v>
      </c>
      <c r="AJ16" s="734">
        <f t="shared" si="4"/>
        <v>1296375.6412651171</v>
      </c>
      <c r="AK16" s="734">
        <f t="shared" si="4"/>
        <v>1296375.6412651171</v>
      </c>
      <c r="AL16" s="734">
        <f t="shared" si="4"/>
        <v>1296375.6412651171</v>
      </c>
      <c r="AM16" s="734">
        <f t="shared" si="4"/>
        <v>1296375.6412651171</v>
      </c>
      <c r="AN16" s="734">
        <f t="shared" si="4"/>
        <v>1296375.6412651171</v>
      </c>
      <c r="AO16" s="734">
        <f t="shared" si="4"/>
        <v>1296514.956318242</v>
      </c>
      <c r="AP16" s="734">
        <f t="shared" si="4"/>
        <v>1302197.253094414</v>
      </c>
      <c r="AQ16" s="734">
        <f t="shared" si="4"/>
        <v>1306243.9065337889</v>
      </c>
      <c r="AR16" s="734">
        <f t="shared" si="4"/>
        <v>1317817.6047815136</v>
      </c>
      <c r="AS16" s="734">
        <f t="shared" si="4"/>
        <v>1317817.6047815136</v>
      </c>
      <c r="AT16" s="734">
        <f t="shared" si="4"/>
        <v>1322252.218837451</v>
      </c>
      <c r="AU16" s="734">
        <f t="shared" si="4"/>
        <v>1326107.7212967447</v>
      </c>
      <c r="AV16" s="734">
        <f t="shared" si="4"/>
        <v>1326107.7212967447</v>
      </c>
      <c r="AW16" s="734">
        <f t="shared" si="4"/>
        <v>1219015.2812967447</v>
      </c>
      <c r="AX16" s="734">
        <f t="shared" si="4"/>
        <v>1219015.2812967447</v>
      </c>
      <c r="AY16" s="734">
        <f t="shared" si="4"/>
        <v>1219015.2812967447</v>
      </c>
      <c r="AZ16" s="734">
        <f t="shared" si="4"/>
        <v>1219015.2812967447</v>
      </c>
      <c r="BA16" s="734">
        <f t="shared" si="4"/>
        <v>1219158.0792261979</v>
      </c>
      <c r="BB16" s="734">
        <f t="shared" si="4"/>
        <v>1224982.4334217741</v>
      </c>
      <c r="BC16" s="734">
        <f t="shared" si="4"/>
        <v>1207435.2744333132</v>
      </c>
      <c r="BD16" s="734">
        <f t="shared" si="4"/>
        <v>1161185.7950985299</v>
      </c>
      <c r="BE16" s="734">
        <f t="shared" si="4"/>
        <v>1161185.7950985299</v>
      </c>
      <c r="BF16" s="734">
        <f t="shared" si="4"/>
        <v>1165731.2745058658</v>
      </c>
      <c r="BG16" s="734">
        <f t="shared" si="4"/>
        <v>1168509.4416465892</v>
      </c>
      <c r="BH16" s="734">
        <f t="shared" si="4"/>
        <v>1168509.4416465892</v>
      </c>
      <c r="BI16" s="734">
        <f t="shared" si="4"/>
        <v>1168509.4416465892</v>
      </c>
      <c r="BJ16" s="734">
        <f t="shared" si="4"/>
        <v>1168509.4416465892</v>
      </c>
      <c r="BK16" s="734">
        <f t="shared" si="4"/>
        <v>1168509.4416465892</v>
      </c>
      <c r="BL16" s="734">
        <f t="shared" si="4"/>
        <v>1168509.4416465892</v>
      </c>
      <c r="BM16" s="734">
        <f t="shared" si="4"/>
        <v>1168655.8095242789</v>
      </c>
      <c r="BN16" s="734">
        <f t="shared" si="4"/>
        <v>1173172.9595737767</v>
      </c>
      <c r="BO16" s="734">
        <f t="shared" si="4"/>
        <v>1176882.1003744244</v>
      </c>
      <c r="BP16" s="734">
        <f t="shared" si="4"/>
        <v>1189041.7170959401</v>
      </c>
      <c r="BQ16" s="734">
        <f t="shared" si="4"/>
        <v>1189041.7170959401</v>
      </c>
      <c r="BR16" s="734">
        <f t="shared" si="4"/>
        <v>1193700.8334884595</v>
      </c>
      <c r="BS16" s="734">
        <f t="shared" si="4"/>
        <v>1197722.1776877537</v>
      </c>
      <c r="BT16" s="734">
        <f t="shared" si="4"/>
        <v>1197722.1776877537</v>
      </c>
      <c r="BU16" s="734">
        <f t="shared" si="4"/>
        <v>1197722.1776877537</v>
      </c>
      <c r="BV16" s="734">
        <f t="shared" si="4"/>
        <v>1197722.1776877537</v>
      </c>
      <c r="BW16" s="734">
        <f t="shared" si="4"/>
        <v>1197722.1776877537</v>
      </c>
      <c r="BX16" s="734">
        <f t="shared" si="4"/>
        <v>1197722.1776877537</v>
      </c>
      <c r="BY16" s="734">
        <f t="shared" si="4"/>
        <v>1197872.2047623855</v>
      </c>
      <c r="BZ16" s="734">
        <f t="shared" si="4"/>
        <v>1202502.283563121</v>
      </c>
      <c r="CA16" s="734">
        <f t="shared" si="4"/>
        <v>1206304.1528837851</v>
      </c>
      <c r="CB16" s="734">
        <f t="shared" si="4"/>
        <v>1218767.7600233385</v>
      </c>
      <c r="CC16" s="734">
        <f t="shared" ref="CC16:EN16" si="5">SUM(CC17:CC33)</f>
        <v>1218767.7600233385</v>
      </c>
      <c r="CD16" s="734">
        <f t="shared" si="5"/>
        <v>1223543.354325671</v>
      </c>
      <c r="CE16" s="734">
        <f t="shared" si="5"/>
        <v>1227665.2321299477</v>
      </c>
      <c r="CF16" s="734">
        <f t="shared" si="5"/>
        <v>1227665.2321299477</v>
      </c>
      <c r="CG16" s="734">
        <f t="shared" si="5"/>
        <v>1227665.2321299477</v>
      </c>
      <c r="CH16" s="734">
        <f t="shared" si="5"/>
        <v>1227665.2321299477</v>
      </c>
      <c r="CI16" s="734">
        <f t="shared" si="5"/>
        <v>1227665.2321299477</v>
      </c>
      <c r="CJ16" s="734">
        <f t="shared" si="5"/>
        <v>1227665.2321299477</v>
      </c>
      <c r="CK16" s="734">
        <f t="shared" si="5"/>
        <v>1227819.0098814452</v>
      </c>
      <c r="CL16" s="734">
        <f t="shared" si="5"/>
        <v>1232564.840652199</v>
      </c>
      <c r="CM16" s="734">
        <f t="shared" si="5"/>
        <v>1236461.7567058797</v>
      </c>
      <c r="CN16" s="734">
        <f t="shared" si="5"/>
        <v>1249236.9540239221</v>
      </c>
      <c r="CO16" s="734">
        <f t="shared" si="5"/>
        <v>1249236.9540239221</v>
      </c>
      <c r="CP16" s="734">
        <f t="shared" si="5"/>
        <v>1254131.9381838129</v>
      </c>
      <c r="CQ16" s="734">
        <f t="shared" si="5"/>
        <v>1258356.8629331964</v>
      </c>
      <c r="CR16" s="734">
        <f t="shared" si="5"/>
        <v>1258356.8629331964</v>
      </c>
      <c r="CS16" s="734">
        <f t="shared" si="5"/>
        <v>1258356.8629331964</v>
      </c>
      <c r="CT16" s="734">
        <f t="shared" si="5"/>
        <v>1258356.8629331964</v>
      </c>
      <c r="CU16" s="734">
        <f t="shared" si="5"/>
        <v>1258356.8629331964</v>
      </c>
      <c r="CV16" s="734">
        <f t="shared" si="5"/>
        <v>1258356.8629331964</v>
      </c>
      <c r="CW16" s="734">
        <f t="shared" si="5"/>
        <v>1258514.4851284814</v>
      </c>
      <c r="CX16" s="734">
        <f t="shared" si="5"/>
        <v>1263378.9616685039</v>
      </c>
      <c r="CY16" s="734">
        <f t="shared" si="5"/>
        <v>1267373.3006235266</v>
      </c>
      <c r="CZ16" s="734">
        <f t="shared" si="5"/>
        <v>1280467.8778745199</v>
      </c>
      <c r="DA16" s="734">
        <f t="shared" si="5"/>
        <v>1280467.8778745199</v>
      </c>
      <c r="DB16" s="734">
        <f t="shared" si="5"/>
        <v>1285485.2366384077</v>
      </c>
      <c r="DC16" s="734">
        <f t="shared" si="5"/>
        <v>81895.937662476092</v>
      </c>
      <c r="DD16" s="734">
        <f t="shared" si="5"/>
        <v>81895.937662476092</v>
      </c>
      <c r="DE16" s="734">
        <f t="shared" si="5"/>
        <v>81895.937662476092</v>
      </c>
      <c r="DF16" s="734">
        <f t="shared" si="5"/>
        <v>81895.937662476092</v>
      </c>
      <c r="DG16" s="734">
        <f t="shared" si="5"/>
        <v>81895.937662476092</v>
      </c>
      <c r="DH16" s="734">
        <f t="shared" si="5"/>
        <v>81895.937662476092</v>
      </c>
      <c r="DI16" s="734">
        <f t="shared" si="5"/>
        <v>81895.937662476092</v>
      </c>
      <c r="DJ16" s="734">
        <f t="shared" si="5"/>
        <v>81895.937662476092</v>
      </c>
      <c r="DK16" s="734">
        <f t="shared" si="5"/>
        <v>81895.937662476092</v>
      </c>
      <c r="DL16" s="734">
        <f t="shared" si="5"/>
        <v>0</v>
      </c>
      <c r="DM16" s="734">
        <f t="shared" si="5"/>
        <v>0</v>
      </c>
      <c r="DN16" s="734">
        <f t="shared" si="5"/>
        <v>0</v>
      </c>
      <c r="DO16" s="734">
        <f t="shared" si="5"/>
        <v>0</v>
      </c>
      <c r="DP16" s="734">
        <f t="shared" si="5"/>
        <v>0</v>
      </c>
      <c r="DQ16" s="734">
        <f t="shared" si="5"/>
        <v>0</v>
      </c>
      <c r="DR16" s="734">
        <f t="shared" si="5"/>
        <v>0</v>
      </c>
      <c r="DS16" s="734">
        <f t="shared" si="5"/>
        <v>0</v>
      </c>
      <c r="DT16" s="734">
        <f t="shared" si="5"/>
        <v>0</v>
      </c>
      <c r="DU16" s="734">
        <f t="shared" si="5"/>
        <v>0</v>
      </c>
      <c r="DV16" s="734">
        <f t="shared" si="5"/>
        <v>0</v>
      </c>
      <c r="DW16" s="734">
        <f t="shared" si="5"/>
        <v>0</v>
      </c>
      <c r="DX16" s="734">
        <f t="shared" si="5"/>
        <v>0</v>
      </c>
      <c r="DY16" s="734">
        <f t="shared" si="5"/>
        <v>0</v>
      </c>
      <c r="DZ16" s="734">
        <f t="shared" si="5"/>
        <v>0</v>
      </c>
      <c r="EA16" s="734">
        <f t="shared" si="5"/>
        <v>0</v>
      </c>
      <c r="EB16" s="734">
        <f t="shared" si="5"/>
        <v>0</v>
      </c>
      <c r="EC16" s="734">
        <f t="shared" si="5"/>
        <v>0</v>
      </c>
      <c r="ED16" s="734">
        <f t="shared" si="5"/>
        <v>0</v>
      </c>
      <c r="EE16" s="734">
        <f t="shared" si="5"/>
        <v>0</v>
      </c>
      <c r="EF16" s="734">
        <f t="shared" si="5"/>
        <v>0</v>
      </c>
      <c r="EG16" s="734">
        <f t="shared" si="5"/>
        <v>0</v>
      </c>
      <c r="EH16" s="734">
        <f t="shared" si="5"/>
        <v>0</v>
      </c>
      <c r="EI16" s="734">
        <f t="shared" si="5"/>
        <v>0</v>
      </c>
      <c r="EJ16" s="734">
        <f t="shared" si="5"/>
        <v>0</v>
      </c>
      <c r="EK16" s="734">
        <f t="shared" si="5"/>
        <v>0</v>
      </c>
      <c r="EL16" s="734">
        <f t="shared" si="5"/>
        <v>0</v>
      </c>
      <c r="EM16" s="734">
        <f t="shared" si="5"/>
        <v>0</v>
      </c>
      <c r="EN16" s="734">
        <f t="shared" si="5"/>
        <v>0</v>
      </c>
      <c r="EO16" s="734">
        <f t="shared" ref="EO16:EU16" si="6">SUM(EO17:EO33)</f>
        <v>0</v>
      </c>
      <c r="EP16" s="734">
        <f t="shared" si="6"/>
        <v>0</v>
      </c>
      <c r="EQ16" s="734">
        <f t="shared" si="6"/>
        <v>0</v>
      </c>
      <c r="ER16" s="734">
        <f t="shared" si="6"/>
        <v>0</v>
      </c>
      <c r="ES16" s="734">
        <f t="shared" si="6"/>
        <v>0</v>
      </c>
      <c r="ET16" s="734">
        <f t="shared" si="6"/>
        <v>0</v>
      </c>
      <c r="EU16" s="734">
        <f t="shared" si="6"/>
        <v>0</v>
      </c>
    </row>
    <row r="17" spans="3:151" ht="11.25" customHeight="1">
      <c r="C17" s="735"/>
      <c r="D17" s="736" t="str">
        <f>'A&amp;R'!V6</f>
        <v>옥상</v>
      </c>
      <c r="E17" s="737" t="s">
        <v>850</v>
      </c>
      <c r="F17" s="737" t="str">
        <f>'A&amp;R'!X6</f>
        <v>태양광시설</v>
      </c>
      <c r="G17" s="751">
        <f>'A&amp;R'!AC6/1000</f>
        <v>15000</v>
      </c>
      <c r="H17" s="738">
        <f>'A&amp;R'!Y6</f>
        <v>0</v>
      </c>
      <c r="I17" s="739">
        <f>'A&amp;R'!Z6</f>
        <v>46326</v>
      </c>
      <c r="J17" s="739">
        <f>'A&amp;R'!AA6</f>
        <v>49979</v>
      </c>
      <c r="K17" s="753">
        <f>'A&amp;R'!AF6</f>
        <v>2.5000000000000001E-2</v>
      </c>
      <c r="L17" s="740"/>
      <c r="M17" s="741"/>
      <c r="N17" s="742">
        <f>SUM(P17:EU17)</f>
        <v>0</v>
      </c>
      <c r="O17" s="733"/>
      <c r="P17" s="742">
        <f>$G17*$H17*(1+$K17)^MAX(ROUNDUP(IFERROR(DATEDIF($I17-1,P$15+1,"m"),)/12,)-1,)*Index!L$22*(P$15&lt;=$J17)*(1-P$12)</f>
        <v>0</v>
      </c>
      <c r="Q17" s="742">
        <f>$G17*$H17*(1+$K17)^MAX(ROUNDUP(IFERROR(DATEDIF($I17-1,Q$15+1,"m"),)/12,)-1,)*Index!M$22*(Q$15&lt;=$J17)*(1-Q$12)</f>
        <v>0</v>
      </c>
      <c r="R17" s="742">
        <f>$G17*$H17*(1+$K17)^MAX(ROUNDUP(IFERROR(DATEDIF($I17-1,R$15+1,"m"),)/12,)-1,)*Index!N$22*(R$15&lt;=$J17)*(1-R$12)</f>
        <v>0</v>
      </c>
      <c r="S17" s="742">
        <f>$G17*$H17*(1+$K17)^MAX(ROUNDUP(IFERROR(DATEDIF($I17-1,S$15+1,"m"),)/12,)-1,)*Index!O$22*(S$15&lt;=$J17)*(1-S$12)</f>
        <v>0</v>
      </c>
      <c r="T17" s="742">
        <f>$G17*$H17*(1+$K17)^MAX(ROUNDUP(IFERROR(DATEDIF($I17-1,T$15+1,"m"),)/12,)-1,)*Index!P$22*(T$15&lt;=$J17)*(1-T$12)</f>
        <v>0</v>
      </c>
      <c r="U17" s="742">
        <f>$G17*$H17*(1+$K17)^MAX(ROUNDUP(IFERROR(DATEDIF($I17-1,U$15+1,"m"),)/12,)-1,)*Index!Q$22*(U$15&lt;=$J17)*(1-U$12)</f>
        <v>0</v>
      </c>
      <c r="V17" s="742">
        <f>$G17*$H17*(1+$K17)^MAX(ROUNDUP(IFERROR(DATEDIF($I17-1,V$15+1,"m"),)/12,)-1,)*Index!R$22*(V$15&lt;=$J17)*(1-V$12)</f>
        <v>0</v>
      </c>
      <c r="W17" s="742">
        <f>$G17*$H17*(1+$K17)^MAX(ROUNDUP(IFERROR(DATEDIF($I17-1,W$15+1,"m"),)/12,)-1,)*Index!S$22*(W$15&lt;=$J17)*(1-W$12)</f>
        <v>0</v>
      </c>
      <c r="X17" s="742">
        <f>$G17*$H17*(1+$K17)^MAX(ROUNDUP(IFERROR(DATEDIF($I17-1,X$15+1,"m"),)/12,)-1,)*Index!T$22*(X$15&lt;=$J17)*(1-X$12)</f>
        <v>0</v>
      </c>
      <c r="Y17" s="742">
        <f>$G17*$H17*(1+$K17)^MAX(ROUNDUP(IFERROR(DATEDIF($I17-1,Y$15+1,"m"),)/12,)-1,)*Index!U$22*(Y$15&lt;=$J17)*(1-Y$12)</f>
        <v>0</v>
      </c>
      <c r="Z17" s="742">
        <f>$G17*$H17*(1+$K17)^MAX(ROUNDUP(IFERROR(DATEDIF($I17-1,Z$15+1,"m"),)/12,)-1,)*Index!V$22*(Z$15&lt;=$J17)*(1-Z$12)</f>
        <v>0</v>
      </c>
      <c r="AA17" s="742">
        <f>$G17*$H17*(1+$K17)^MAX(ROUNDUP(IFERROR(DATEDIF($I17-1,AA$15+1,"m"),)/12,)-1,)*Index!W$22*(AA$15&lt;=$J17)*(1-AA$12)</f>
        <v>0</v>
      </c>
      <c r="AB17" s="742">
        <f>$G17*$H17*(1+$K17)^MAX(ROUNDUP(IFERROR(DATEDIF($I17-1,AB$15+1,"m"),)/12,)-1,)*Index!X$22*(AB$15&lt;=$J17)*(1-AB$12)</f>
        <v>0</v>
      </c>
      <c r="AC17" s="742">
        <f>$G17*$H17*(1+$K17)^MAX(ROUNDUP(IFERROR(DATEDIF($I17-1,AC$15+1,"m"),)/12,)-1,)*Index!Y$22*(AC$15&lt;=$J17)*(1-AC$12)</f>
        <v>0</v>
      </c>
      <c r="AD17" s="742">
        <f>$G17*$H17*(1+$K17)^MAX(ROUNDUP(IFERROR(DATEDIF($I17-1,AD$15+1,"m"),)/12,)-1,)*Index!Z$22*(AD$15&lt;=$J17)*(1-AD$12)</f>
        <v>0</v>
      </c>
      <c r="AE17" s="742">
        <f>$G17*$H17*(1+$K17)^MAX(ROUNDUP(IFERROR(DATEDIF($I17-1,AE$15+1,"m"),)/12,)-1,)*Index!AA$22*(AE$15&lt;=$J17)*(1-AE$12)</f>
        <v>0</v>
      </c>
      <c r="AF17" s="742">
        <f>$G17*$H17*(1+$K17)^MAX(ROUNDUP(IFERROR(DATEDIF($I17-1,AF$15+1,"m"),)/12,)-1,)*Index!AB$22*(AF$15&lt;=$J17)*(1-AF$12)</f>
        <v>0</v>
      </c>
      <c r="AG17" s="742">
        <f>$G17*$H17*(1+$K17)^MAX(ROUNDUP(IFERROR(DATEDIF($I17-1,AG$15+1,"m"),)/12,)-1,)*Index!AC$22*(AG$15&lt;=$J17)*(1-AG$12)</f>
        <v>0</v>
      </c>
      <c r="AH17" s="742">
        <f>$G17*$H17*(1+$K17)^MAX(ROUNDUP(IFERROR(DATEDIF($I17-1,AH$15+1,"m"),)/12,)-1,)*Index!AD$22*(AH$15&lt;=$J17)*(1-AH$12)</f>
        <v>0</v>
      </c>
      <c r="AI17" s="742">
        <f>$G17*$H17*(1+$K17)^MAX(ROUNDUP(IFERROR(DATEDIF($I17-1,AI$15+1,"m"),)/12,)-1,)*Index!AE$22*(AI$15&lt;=$J17)*(1-AI$12)</f>
        <v>0</v>
      </c>
      <c r="AJ17" s="742">
        <f>$G17*$H17*(1+$K17)^MAX(ROUNDUP(IFERROR(DATEDIF($I17-1,AJ$15+1,"m"),)/12,)-1,)*Index!AF$22*(AJ$15&lt;=$J17)*(1-AJ$12)</f>
        <v>0</v>
      </c>
      <c r="AK17" s="742">
        <f>$G17*$H17*(1+$K17)^MAX(ROUNDUP(IFERROR(DATEDIF($I17-1,AK$15+1,"m"),)/12,)-1,)*Index!AG$22*(AK$15&lt;=$J17)*(1-AK$12)</f>
        <v>0</v>
      </c>
      <c r="AL17" s="742">
        <f>$G17*$H17*(1+$K17)^MAX(ROUNDUP(IFERROR(DATEDIF($I17-1,AL$15+1,"m"),)/12,)-1,)*Index!AH$22*(AL$15&lt;=$J17)*(1-AL$12)</f>
        <v>0</v>
      </c>
      <c r="AM17" s="742">
        <f>$G17*$H17*(1+$K17)^MAX(ROUNDUP(IFERROR(DATEDIF($I17-1,AM$15+1,"m"),)/12,)-1,)*Index!AI$22*(AM$15&lt;=$J17)*(1-AM$12)</f>
        <v>0</v>
      </c>
      <c r="AN17" s="742">
        <f>$G17*$H17*(1+$K17)^MAX(ROUNDUP(IFERROR(DATEDIF($I17-1,AN$15+1,"m"),)/12,)-1,)*Index!AJ$22*(AN$15&lt;=$J17)*(1-AN$12)</f>
        <v>0</v>
      </c>
      <c r="AO17" s="742">
        <f>$G17*$H17*(1+$K17)^MAX(ROUNDUP(IFERROR(DATEDIF($I17-1,AO$15+1,"m"),)/12,)-1,)*Index!AK$22*(AO$15&lt;=$J17)*(1-AO$12)</f>
        <v>0</v>
      </c>
      <c r="AP17" s="742">
        <f>$G17*$H17*(1+$K17)^MAX(ROUNDUP(IFERROR(DATEDIF($I17-1,AP$15+1,"m"),)/12,)-1,)*Index!AL$22*(AP$15&lt;=$J17)*(1-AP$12)</f>
        <v>0</v>
      </c>
      <c r="AQ17" s="742">
        <f>$G17*$H17*(1+$K17)^MAX(ROUNDUP(IFERROR(DATEDIF($I17-1,AQ$15+1,"m"),)/12,)-1,)*Index!AM$22*(AQ$15&lt;=$J17)*(1-AQ$12)</f>
        <v>0</v>
      </c>
      <c r="AR17" s="742">
        <f>$G17*$H17*(1+$K17)^MAX(ROUNDUP(IFERROR(DATEDIF($I17-1,AR$15+1,"m"),)/12,)-1,)*Index!AN$22*(AR$15&lt;=$J17)*(1-AR$12)</f>
        <v>0</v>
      </c>
      <c r="AS17" s="742">
        <f>$G17*$H17*(1+$K17)^MAX(ROUNDUP(IFERROR(DATEDIF($I17-1,AS$15+1,"m"),)/12,)-1,)*Index!AO$22*(AS$15&lt;=$J17)*(1-AS$12)</f>
        <v>0</v>
      </c>
      <c r="AT17" s="742">
        <f>$G17*$H17*(1+$K17)^MAX(ROUNDUP(IFERROR(DATEDIF($I17-1,AT$15+1,"m"),)/12,)-1,)*Index!AP$22*(AT$15&lt;=$J17)*(1-AT$12)</f>
        <v>0</v>
      </c>
      <c r="AU17" s="742">
        <f>$G17*$H17*(1+$K17)^MAX(ROUNDUP(IFERROR(DATEDIF($I17-1,AU$15+1,"m"),)/12,)-1,)*Index!AQ$22*(AU$15&lt;=$J17)*(1-AU$12)</f>
        <v>0</v>
      </c>
      <c r="AV17" s="742">
        <f>$G17*$H17*(1+$K17)^MAX(ROUNDUP(IFERROR(DATEDIF($I17-1,AV$15+1,"m"),)/12,)-1,)*Index!AR$22*(AV$15&lt;=$J17)*(1-AV$12)</f>
        <v>0</v>
      </c>
      <c r="AW17" s="742">
        <f>$G17*$H17*(1+$K17)^MAX(ROUNDUP(IFERROR(DATEDIF($I17-1,AW$15+1,"m"),)/12,)-1,)*Index!AS$22*(AW$15&lt;=$J17)*(1-AW$12)</f>
        <v>0</v>
      </c>
      <c r="AX17" s="742">
        <f>$G17*$H17*(1+$K17)^MAX(ROUNDUP(IFERROR(DATEDIF($I17-1,AX$15+1,"m"),)/12,)-1,)*Index!AT$22*(AX$15&lt;=$J17)*(1-AX$12)</f>
        <v>0</v>
      </c>
      <c r="AY17" s="742">
        <f>$G17*$H17*(1+$K17)^MAX(ROUNDUP(IFERROR(DATEDIF($I17-1,AY$15+1,"m"),)/12,)-1,)*Index!AU$22*(AY$15&lt;=$J17)*(1-AY$12)</f>
        <v>0</v>
      </c>
      <c r="AZ17" s="742">
        <f>$G17*$H17*(1+$K17)^MAX(ROUNDUP(IFERROR(DATEDIF($I17-1,AZ$15+1,"m"),)/12,)-1,)*Index!AV$22*(AZ$15&lt;=$J17)*(1-AZ$12)</f>
        <v>0</v>
      </c>
      <c r="BA17" s="742">
        <f>$G17*$H17*(1+$K17)^MAX(ROUNDUP(IFERROR(DATEDIF($I17-1,BA$15+1,"m"),)/12,)-1,)*Index!AW$22*(BA$15&lt;=$J17)*(1-BA$12)</f>
        <v>0</v>
      </c>
      <c r="BB17" s="742">
        <f>$G17*$H17*(1+$K17)^MAX(ROUNDUP(IFERROR(DATEDIF($I17-1,BB$15+1,"m"),)/12,)-1,)*Index!AX$22*(BB$15&lt;=$J17)*(1-BB$12)</f>
        <v>0</v>
      </c>
      <c r="BC17" s="742">
        <f>$G17*$H17*(1+$K17)^MAX(ROUNDUP(IFERROR(DATEDIF($I17-1,BC$15+1,"m"),)/12,)-1,)*Index!AY$22*(BC$15&lt;=$J17)*(1-BC$12)</f>
        <v>0</v>
      </c>
      <c r="BD17" s="742">
        <f>$G17*$H17*(1+$K17)^MAX(ROUNDUP(IFERROR(DATEDIF($I17-1,BD$15+1,"m"),)/12,)-1,)*Index!AZ$22*(BD$15&lt;=$J17)*(1-BD$12)</f>
        <v>0</v>
      </c>
      <c r="BE17" s="742">
        <f>$G17*$H17*(1+$K17)^MAX(ROUNDUP(IFERROR(DATEDIF($I17-1,BE$15+1,"m"),)/12,)-1,)*Index!BA$22*(BE$15&lt;=$J17)*(1-BE$12)</f>
        <v>0</v>
      </c>
      <c r="BF17" s="742">
        <f>$G17*$H17*(1+$K17)^MAX(ROUNDUP(IFERROR(DATEDIF($I17-1,BF$15+1,"m"),)/12,)-1,)*Index!BB$22*(BF$15&lt;=$J17)*(1-BF$12)</f>
        <v>0</v>
      </c>
      <c r="BG17" s="742">
        <f>$G17*$H17*(1+$K17)^MAX(ROUNDUP(IFERROR(DATEDIF($I17-1,BG$15+1,"m"),)/12,)-1,)*Index!BC$22*(BG$15&lt;=$J17)*(1-BG$12)</f>
        <v>0</v>
      </c>
      <c r="BH17" s="742">
        <f>$G17*$H17*(1+$K17)^MAX(ROUNDUP(IFERROR(DATEDIF($I17-1,BH$15+1,"m"),)/12,)-1,)*Index!BD$22*(BH$15&lt;=$J17)*(1-BH$12)</f>
        <v>0</v>
      </c>
      <c r="BI17" s="742">
        <f>$G17*$H17*(1+$K17)^MAX(ROUNDUP(IFERROR(DATEDIF($I17-1,BI$15+1,"m"),)/12,)-1,)*Index!BE$22*(BI$15&lt;=$J17)*(1-BI$12)</f>
        <v>0</v>
      </c>
      <c r="BJ17" s="742">
        <f>$G17*$H17*(1+$K17)^MAX(ROUNDUP(IFERROR(DATEDIF($I17-1,BJ$15+1,"m"),)/12,)-1,)*Index!BF$22*(BJ$15&lt;=$J17)*(1-BJ$12)</f>
        <v>0</v>
      </c>
      <c r="BK17" s="742">
        <f>$G17*$H17*(1+$K17)^MAX(ROUNDUP(IFERROR(DATEDIF($I17-1,BK$15+1,"m"),)/12,)-1,)*Index!BG$22*(BK$15&lt;=$J17)*(1-BK$12)</f>
        <v>0</v>
      </c>
      <c r="BL17" s="742">
        <f>$G17*$H17*(1+$K17)^MAX(ROUNDUP(IFERROR(DATEDIF($I17-1,BL$15+1,"m"),)/12,)-1,)*Index!BH$22*(BL$15&lt;=$J17)*(1-BL$12)</f>
        <v>0</v>
      </c>
      <c r="BM17" s="742">
        <f>$G17*$H17*(1+$K17)^MAX(ROUNDUP(IFERROR(DATEDIF($I17-1,BM$15+1,"m"),)/12,)-1,)*Index!BI$22*(BM$15&lt;=$J17)*(1-BM$12)</f>
        <v>0</v>
      </c>
      <c r="BN17" s="742">
        <f>$G17*$H17*(1+$K17)^MAX(ROUNDUP(IFERROR(DATEDIF($I17-1,BN$15+1,"m"),)/12,)-1,)*Index!BJ$22*(BN$15&lt;=$J17)*(1-BN$12)</f>
        <v>0</v>
      </c>
      <c r="BO17" s="742">
        <f>$G17*$H17*(1+$K17)^MAX(ROUNDUP(IFERROR(DATEDIF($I17-1,BO$15+1,"m"),)/12,)-1,)*Index!BK$22*(BO$15&lt;=$J17)*(1-BO$12)</f>
        <v>0</v>
      </c>
      <c r="BP17" s="742">
        <f>$G17*$H17*(1+$K17)^MAX(ROUNDUP(IFERROR(DATEDIF($I17-1,BP$15+1,"m"),)/12,)-1,)*Index!BL$22*(BP$15&lt;=$J17)*(1-BP$12)</f>
        <v>0</v>
      </c>
      <c r="BQ17" s="742">
        <f>$G17*$H17*(1+$K17)^MAX(ROUNDUP(IFERROR(DATEDIF($I17-1,BQ$15+1,"m"),)/12,)-1,)*Index!BM$22*(BQ$15&lt;=$J17)*(1-BQ$12)</f>
        <v>0</v>
      </c>
      <c r="BR17" s="742">
        <f>$G17*$H17*(1+$K17)^MAX(ROUNDUP(IFERROR(DATEDIF($I17-1,BR$15+1,"m"),)/12,)-1,)*Index!BN$22*(BR$15&lt;=$J17)*(1-BR$12)</f>
        <v>0</v>
      </c>
      <c r="BS17" s="742">
        <f>$G17*$H17*(1+$K17)^MAX(ROUNDUP(IFERROR(DATEDIF($I17-1,BS$15+1,"m"),)/12,)-1,)*Index!BO$22*(BS$15&lt;=$J17)*(1-BS$12)</f>
        <v>0</v>
      </c>
      <c r="BT17" s="742">
        <f>$G17*$H17*(1+$K17)^MAX(ROUNDUP(IFERROR(DATEDIF($I17-1,BT$15+1,"m"),)/12,)-1,)*Index!BP$22*(BT$15&lt;=$J17)*(1-BT$12)</f>
        <v>0</v>
      </c>
      <c r="BU17" s="742">
        <f>$G17*$H17*(1+$K17)^MAX(ROUNDUP(IFERROR(DATEDIF($I17-1,BU$15+1,"m"),)/12,)-1,)*Index!BQ$22*(BU$15&lt;=$J17)*(1-BU$12)</f>
        <v>0</v>
      </c>
      <c r="BV17" s="742">
        <f>$G17*$H17*(1+$K17)^MAX(ROUNDUP(IFERROR(DATEDIF($I17-1,BV$15+1,"m"),)/12,)-1,)*Index!BR$22*(BV$15&lt;=$J17)*(1-BV$12)</f>
        <v>0</v>
      </c>
      <c r="BW17" s="742">
        <f>$G17*$H17*(1+$K17)^MAX(ROUNDUP(IFERROR(DATEDIF($I17-1,BW$15+1,"m"),)/12,)-1,)*Index!BS$22*(BW$15&lt;=$J17)*(1-BW$12)</f>
        <v>0</v>
      </c>
      <c r="BX17" s="742">
        <f>$G17*$H17*(1+$K17)^MAX(ROUNDUP(IFERROR(DATEDIF($I17-1,BX$15+1,"m"),)/12,)-1,)*Index!BT$22*(BX$15&lt;=$J17)*(1-BX$12)</f>
        <v>0</v>
      </c>
      <c r="BY17" s="742">
        <f>$G17*$H17*(1+$K17)^MAX(ROUNDUP(IFERROR(DATEDIF($I17-1,BY$15+1,"m"),)/12,)-1,)*Index!BU$22*(BY$15&lt;=$J17)*(1-BY$12)</f>
        <v>0</v>
      </c>
      <c r="BZ17" s="742">
        <f>$G17*$H17*(1+$K17)^MAX(ROUNDUP(IFERROR(DATEDIF($I17-1,BZ$15+1,"m"),)/12,)-1,)*Index!BV$22*(BZ$15&lt;=$J17)*(1-BZ$12)</f>
        <v>0</v>
      </c>
      <c r="CA17" s="742">
        <f>$G17*$H17*(1+$K17)^MAX(ROUNDUP(IFERROR(DATEDIF($I17-1,CA$15+1,"m"),)/12,)-1,)*Index!BW$22*(CA$15&lt;=$J17)*(1-CA$12)</f>
        <v>0</v>
      </c>
      <c r="CB17" s="742">
        <f>$G17*$H17*(1+$K17)^MAX(ROUNDUP(IFERROR(DATEDIF($I17-1,CB$15+1,"m"),)/12,)-1,)*Index!BX$22*(CB$15&lt;=$J17)*(1-CB$12)</f>
        <v>0</v>
      </c>
      <c r="CC17" s="742">
        <f>$G17*$H17*(1+$K17)^MAX(ROUNDUP(IFERROR(DATEDIF($I17-1,CC$15+1,"m"),)/12,)-1,)*Index!BY$22*(CC$15&lt;=$J17)*(1-CC$12)</f>
        <v>0</v>
      </c>
      <c r="CD17" s="742">
        <f>$G17*$H17*(1+$K17)^MAX(ROUNDUP(IFERROR(DATEDIF($I17-1,CD$15+1,"m"),)/12,)-1,)*Index!BZ$22*(CD$15&lt;=$J17)*(1-CD$12)</f>
        <v>0</v>
      </c>
      <c r="CE17" s="742">
        <f>$G17*$H17*(1+$K17)^MAX(ROUNDUP(IFERROR(DATEDIF($I17-1,CE$15+1,"m"),)/12,)-1,)*Index!CA$22*(CE$15&lt;=$J17)*(1-CE$12)</f>
        <v>0</v>
      </c>
      <c r="CF17" s="742">
        <f>$G17*$H17*(1+$K17)^MAX(ROUNDUP(IFERROR(DATEDIF($I17-1,CF$15+1,"m"),)/12,)-1,)*Index!CB$22*(CF$15&lt;=$J17)*(1-CF$12)</f>
        <v>0</v>
      </c>
      <c r="CG17" s="742">
        <f>$G17*$H17*(1+$K17)^MAX(ROUNDUP(IFERROR(DATEDIF($I17-1,CG$15+1,"m"),)/12,)-1,)*Index!CC$22*(CG$15&lt;=$J17)*(1-CG$12)</f>
        <v>0</v>
      </c>
      <c r="CH17" s="742">
        <f>$G17*$H17*(1+$K17)^MAX(ROUNDUP(IFERROR(DATEDIF($I17-1,CH$15+1,"m"),)/12,)-1,)*Index!CD$22*(CH$15&lt;=$J17)*(1-CH$12)</f>
        <v>0</v>
      </c>
      <c r="CI17" s="742">
        <f>$G17*$H17*(1+$K17)^MAX(ROUNDUP(IFERROR(DATEDIF($I17-1,CI$15+1,"m"),)/12,)-1,)*Index!CE$22*(CI$15&lt;=$J17)*(1-CI$12)</f>
        <v>0</v>
      </c>
      <c r="CJ17" s="742">
        <f>$G17*$H17*(1+$K17)^MAX(ROUNDUP(IFERROR(DATEDIF($I17-1,CJ$15+1,"m"),)/12,)-1,)*Index!CF$22*(CJ$15&lt;=$J17)*(1-CJ$12)</f>
        <v>0</v>
      </c>
      <c r="CK17" s="742">
        <f>$G17*$H17*(1+$K17)^MAX(ROUNDUP(IFERROR(DATEDIF($I17-1,CK$15+1,"m"),)/12,)-1,)*Index!CG$22*(CK$15&lt;=$J17)*(1-CK$12)</f>
        <v>0</v>
      </c>
      <c r="CL17" s="742">
        <f>$G17*$H17*(1+$K17)^MAX(ROUNDUP(IFERROR(DATEDIF($I17-1,CL$15+1,"m"),)/12,)-1,)*Index!CH$22*(CL$15&lt;=$J17)*(1-CL$12)</f>
        <v>0</v>
      </c>
      <c r="CM17" s="742">
        <f>$G17*$H17*(1+$K17)^MAX(ROUNDUP(IFERROR(DATEDIF($I17-1,CM$15+1,"m"),)/12,)-1,)*Index!CI$22*(CM$15&lt;=$J17)*(1-CM$12)</f>
        <v>0</v>
      </c>
      <c r="CN17" s="742">
        <f>$G17*$H17*(1+$K17)^MAX(ROUNDUP(IFERROR(DATEDIF($I17-1,CN$15+1,"m"),)/12,)-1,)*Index!CJ$22*(CN$15&lt;=$J17)*(1-CN$12)</f>
        <v>0</v>
      </c>
      <c r="CO17" s="742">
        <f>$G17*$H17*(1+$K17)^MAX(ROUNDUP(IFERROR(DATEDIF($I17-1,CO$15+1,"m"),)/12,)-1,)*Index!CK$22*(CO$15&lt;=$J17)*(1-CO$12)</f>
        <v>0</v>
      </c>
      <c r="CP17" s="742">
        <f>$G17*$H17*(1+$K17)^MAX(ROUNDUP(IFERROR(DATEDIF($I17-1,CP$15+1,"m"),)/12,)-1,)*Index!CL$22*(CP$15&lt;=$J17)*(1-CP$12)</f>
        <v>0</v>
      </c>
      <c r="CQ17" s="742">
        <f>$G17*$H17*(1+$K17)^MAX(ROUNDUP(IFERROR(DATEDIF($I17-1,CQ$15+1,"m"),)/12,)-1,)*Index!CM$22*(CQ$15&lt;=$J17)*(1-CQ$12)</f>
        <v>0</v>
      </c>
      <c r="CR17" s="742">
        <f>$G17*$H17*(1+$K17)^MAX(ROUNDUP(IFERROR(DATEDIF($I17-1,CR$15+1,"m"),)/12,)-1,)*Index!CN$22*(CR$15&lt;=$J17)*(1-CR$12)</f>
        <v>0</v>
      </c>
      <c r="CS17" s="742">
        <f>$G17*$H17*(1+$K17)^MAX(ROUNDUP(IFERROR(DATEDIF($I17-1,CS$15+1,"m"),)/12,)-1,)*Index!CO$22*(CS$15&lt;=$J17)*(1-CS$12)</f>
        <v>0</v>
      </c>
      <c r="CT17" s="742">
        <f>$G17*$H17*(1+$K17)^MAX(ROUNDUP(IFERROR(DATEDIF($I17-1,CT$15+1,"m"),)/12,)-1,)*Index!CP$22*(CT$15&lt;=$J17)*(1-CT$12)</f>
        <v>0</v>
      </c>
      <c r="CU17" s="742">
        <f>$G17*$H17*(1+$K17)^MAX(ROUNDUP(IFERROR(DATEDIF($I17-1,CU$15+1,"m"),)/12,)-1,)*Index!CQ$22*(CU$15&lt;=$J17)*(1-CU$12)</f>
        <v>0</v>
      </c>
      <c r="CV17" s="742">
        <f>$G17*$H17*(1+$K17)^MAX(ROUNDUP(IFERROR(DATEDIF($I17-1,CV$15+1,"m"),)/12,)-1,)*Index!CR$22*(CV$15&lt;=$J17)*(1-CV$12)</f>
        <v>0</v>
      </c>
      <c r="CW17" s="742">
        <f>$G17*$H17*(1+$K17)^MAX(ROUNDUP(IFERROR(DATEDIF($I17-1,CW$15+1,"m"),)/12,)-1,)*Index!CS$22*(CW$15&lt;=$J17)*(1-CW$12)</f>
        <v>0</v>
      </c>
      <c r="CX17" s="742">
        <f>$G17*$H17*(1+$K17)^MAX(ROUNDUP(IFERROR(DATEDIF($I17-1,CX$15+1,"m"),)/12,)-1,)*Index!CT$22*(CX$15&lt;=$J17)*(1-CX$12)</f>
        <v>0</v>
      </c>
      <c r="CY17" s="742">
        <f>$G17*$H17*(1+$K17)^MAX(ROUNDUP(IFERROR(DATEDIF($I17-1,CY$15+1,"m"),)/12,)-1,)*Index!CU$22*(CY$15&lt;=$J17)*(1-CY$12)</f>
        <v>0</v>
      </c>
      <c r="CZ17" s="742">
        <f>$G17*$H17*(1+$K17)^MAX(ROUNDUP(IFERROR(DATEDIF($I17-1,CZ$15+1,"m"),)/12,)-1,)*Index!CV$22*(CZ$15&lt;=$J17)*(1-CZ$12)</f>
        <v>0</v>
      </c>
      <c r="DA17" s="742">
        <f>$G17*$H17*(1+$K17)^MAX(ROUNDUP(IFERROR(DATEDIF($I17-1,DA$15+1,"m"),)/12,)-1,)*Index!CW$22*(DA$15&lt;=$J17)*(1-DA$12)</f>
        <v>0</v>
      </c>
      <c r="DB17" s="742">
        <f>$G17*$H17*(1+$K17)^MAX(ROUNDUP(IFERROR(DATEDIF($I17-1,DB$15+1,"m"),)/12,)-1,)*Index!CX$22*(DB$15&lt;=$J17)*(1-DB$12)</f>
        <v>0</v>
      </c>
      <c r="DC17" s="742">
        <f>$G17*$H17*(1+$K17)^MAX(ROUNDUP(IFERROR(DATEDIF($I17-1,DC$15+1,"m"),)/12,)-1,)*Index!CY$22*(DC$15&lt;=$J17)*(1-DC$12)</f>
        <v>0</v>
      </c>
      <c r="DD17" s="742">
        <f>$G17*$H17*(1+$K17)^MAX(ROUNDUP(IFERROR(DATEDIF($I17-1,DD$15+1,"m"),)/12,)-1,)*Index!CZ$22*(DD$15&lt;=$J17)*(1-DD$12)</f>
        <v>0</v>
      </c>
      <c r="DE17" s="742">
        <f>$G17*$H17*(1+$K17)^MAX(ROUNDUP(IFERROR(DATEDIF($I17-1,DE$15+1,"m"),)/12,)-1,)*Index!DA$22*(DE$15&lt;=$J17)*(1-DE$12)</f>
        <v>0</v>
      </c>
      <c r="DF17" s="742">
        <f>$G17*$H17*(1+$K17)^MAX(ROUNDUP(IFERROR(DATEDIF($I17-1,DF$15+1,"m"),)/12,)-1,)*Index!DB$22*(DF$15&lt;=$J17)*(1-DF$12)</f>
        <v>0</v>
      </c>
      <c r="DG17" s="742">
        <f>$G17*$H17*(1+$K17)^MAX(ROUNDUP(IFERROR(DATEDIF($I17-1,DG$15+1,"m"),)/12,)-1,)*Index!DC$22*(DG$15&lt;=$J17)*(1-DG$12)</f>
        <v>0</v>
      </c>
      <c r="DH17" s="742">
        <f>$G17*$H17*(1+$K17)^MAX(ROUNDUP(IFERROR(DATEDIF($I17-1,DH$15+1,"m"),)/12,)-1,)*Index!DD$22*(DH$15&lt;=$J17)*(1-DH$12)</f>
        <v>0</v>
      </c>
      <c r="DI17" s="742">
        <f>$G17*$H17*(1+$K17)^MAX(ROUNDUP(IFERROR(DATEDIF($I17-1,DI$15+1,"m"),)/12,)-1,)*Index!DE$22*(DI$15&lt;=$J17)*(1-DI$12)</f>
        <v>0</v>
      </c>
      <c r="DJ17" s="742">
        <f>$G17*$H17*(1+$K17)^MAX(ROUNDUP(IFERROR(DATEDIF($I17-1,DJ$15+1,"m"),)/12,)-1,)*Index!DF$22*(DJ$15&lt;=$J17)*(1-DJ$12)</f>
        <v>0</v>
      </c>
      <c r="DK17" s="742">
        <f>$G17*$H17*(1+$K17)^MAX(ROUNDUP(IFERROR(DATEDIF($I17-1,DK$15+1,"m"),)/12,)-1,)*Index!DG$22*(DK$15&lt;=$J17)*(1-DK$12)</f>
        <v>0</v>
      </c>
      <c r="DL17" s="742">
        <f>$G17*$H17*(1+$K17)^MAX(ROUNDUP(IFERROR(DATEDIF($I17-1,DL$15+1,"m"),)/12,)-1,)*Index!DH$22*(DL$15&lt;=$J17)*(1-DL$12)</f>
        <v>0</v>
      </c>
      <c r="DM17" s="742">
        <f>$G17*$H17*(1+$K17)^MAX(ROUNDUP(IFERROR(DATEDIF($I17-1,DM$15+1,"m"),)/12,)-1,)*Index!DI$22*(DM$15&lt;=$J17)*(1-DM$12)</f>
        <v>0</v>
      </c>
      <c r="DN17" s="742">
        <f>$G17*$H17*(1+$K17)^MAX(ROUNDUP(IFERROR(DATEDIF($I17-1,DN$15+1,"m"),)/12,)-1,)*Index!DJ$22*(DN$15&lt;=$J17)*(1-DN$12)</f>
        <v>0</v>
      </c>
      <c r="DO17" s="742">
        <f>$G17*$H17*(1+$K17)^MAX(ROUNDUP(IFERROR(DATEDIF($I17-1,DO$15+1,"m"),)/12,)-1,)*Index!DK$22*(DO$15&lt;=$J17)*(1-DO$12)</f>
        <v>0</v>
      </c>
      <c r="DP17" s="742">
        <f>$G17*$H17*(1+$K17)^MAX(ROUNDUP(IFERROR(DATEDIF($I17-1,DP$15+1,"m"),)/12,)-1,)*Index!DL$22*(DP$15&lt;=$J17)*(1-DP$12)</f>
        <v>0</v>
      </c>
      <c r="DQ17" s="742">
        <f>$G17*$H17*(1+$K17)^MAX(ROUNDUP(IFERROR(DATEDIF($I17-1,DQ$15+1,"m"),)/12,)-1,)*Index!DM$22*(DQ$15&lt;=$J17)*(1-DQ$12)</f>
        <v>0</v>
      </c>
      <c r="DR17" s="742">
        <f>$G17*$H17*(1+$K17)^MAX(ROUNDUP(IFERROR(DATEDIF($I17-1,DR$15+1,"m"),)/12,)-1,)*Index!DN$22*(DR$15&lt;=$J17)*(1-DR$12)</f>
        <v>0</v>
      </c>
      <c r="DS17" s="742">
        <f>$G17*$H17*(1+$K17)^MAX(ROUNDUP(IFERROR(DATEDIF($I17-1,DS$15+1,"m"),)/12,)-1,)*Index!DO$22*(DS$15&lt;=$J17)*(1-DS$12)</f>
        <v>0</v>
      </c>
      <c r="DT17" s="742">
        <f>$G17*$H17*(1+$K17)^MAX(ROUNDUP(IFERROR(DATEDIF($I17-1,DT$15+1,"m"),)/12,)-1,)*Index!DP$22*(DT$15&lt;=$J17)*(1-DT$12)</f>
        <v>0</v>
      </c>
      <c r="DU17" s="742">
        <f>$G17*$H17*(1+$K17)^MAX(ROUNDUP(IFERROR(DATEDIF($I17-1,DU$15+1,"m"),)/12,)-1,)*Index!DQ$22*(DU$15&lt;=$J17)*(1-DU$12)</f>
        <v>0</v>
      </c>
      <c r="DV17" s="742">
        <f>$G17*$H17*(1+$K17)^MAX(ROUNDUP(IFERROR(DATEDIF($I17-1,DV$15+1,"m"),)/12,)-1,)*Index!DR$22*(DV$15&lt;=$J17)*(1-DV$12)</f>
        <v>0</v>
      </c>
      <c r="DW17" s="742">
        <f>$G17*$H17*(1+$K17)^MAX(ROUNDUP(IFERROR(DATEDIF($I17-1,DW$15+1,"m"),)/12,)-1,)*Index!DS$22*(DW$15&lt;=$J17)*(1-DW$12)</f>
        <v>0</v>
      </c>
      <c r="DX17" s="742">
        <f>$G17*$H17*(1+$K17)^MAX(ROUNDUP(IFERROR(DATEDIF($I17-1,DX$15+1,"m"),)/12,)-1,)*Index!DT$22*(DX$15&lt;=$J17)*(1-DX$12)</f>
        <v>0</v>
      </c>
      <c r="DY17" s="742">
        <f>$G17*$H17*(1+$K17)^MAX(ROUNDUP(IFERROR(DATEDIF($I17-1,DY$15+1,"m"),)/12,)-1,)*Index!DU$22*(DY$15&lt;=$J17)*(1-DY$12)</f>
        <v>0</v>
      </c>
      <c r="DZ17" s="742">
        <f>$G17*$H17*(1+$K17)^MAX(ROUNDUP(IFERROR(DATEDIF($I17-1,DZ$15+1,"m"),)/12,)-1,)*Index!DV$22*(DZ$15&lt;=$J17)*(1-DZ$12)</f>
        <v>0</v>
      </c>
      <c r="EA17" s="742">
        <f>$G17*$H17*(1+$K17)^MAX(ROUNDUP(IFERROR(DATEDIF($I17-1,EA$15+1,"m"),)/12,)-1,)*Index!DW$22*(EA$15&lt;=$J17)*(1-EA$12)</f>
        <v>0</v>
      </c>
      <c r="EB17" s="742">
        <f>$G17*$H17*(1+$K17)^MAX(ROUNDUP(IFERROR(DATEDIF($I17-1,EB$15+1,"m"),)/12,)-1,)*Index!DX$22*(EB$15&lt;=$J17)*(1-EB$12)</f>
        <v>0</v>
      </c>
      <c r="EC17" s="742">
        <f>$G17*$H17*(1+$K17)^MAX(ROUNDUP(IFERROR(DATEDIF($I17-1,EC$15+1,"m"),)/12,)-1,)*Index!DY$22*(EC$15&lt;=$J17)*(1-EC$12)</f>
        <v>0</v>
      </c>
      <c r="ED17" s="742">
        <f>$G17*$H17*(1+$K17)^MAX(ROUNDUP(IFERROR(DATEDIF($I17-1,ED$15+1,"m"),)/12,)-1,)*Index!DZ$22*(ED$15&lt;=$J17)*(1-ED$12)</f>
        <v>0</v>
      </c>
      <c r="EE17" s="742">
        <f>$G17*$H17*(1+$K17)^MAX(ROUNDUP(IFERROR(DATEDIF($I17-1,EE$15+1,"m"),)/12,)-1,)*Index!EA$22*(EE$15&lt;=$J17)*(1-EE$12)</f>
        <v>0</v>
      </c>
      <c r="EF17" s="742">
        <f>$G17*$H17*(1+$K17)^MAX(ROUNDUP(IFERROR(DATEDIF($I17-1,EF$15+1,"m"),)/12,)-1,)*Index!EB$22*(EF$15&lt;=$J17)*(1-EF$12)</f>
        <v>0</v>
      </c>
      <c r="EG17" s="742">
        <f>$G17*$H17*(1+$K17)^MAX(ROUNDUP(IFERROR(DATEDIF($I17-1,EG$15+1,"m"),)/12,)-1,)*Index!EC$22*(EG$15&lt;=$J17)*(1-EG$12)</f>
        <v>0</v>
      </c>
      <c r="EH17" s="742">
        <f>$G17*$H17*(1+$K17)^MAX(ROUNDUP(IFERROR(DATEDIF($I17-1,EH$15+1,"m"),)/12,)-1,)*Index!ED$22*(EH$15&lt;=$J17)*(1-EH$12)</f>
        <v>0</v>
      </c>
      <c r="EI17" s="742">
        <f>$G17*$H17*(1+$K17)^MAX(ROUNDUP(IFERROR(DATEDIF($I17-1,EI$15+1,"m"),)/12,)-1,)*Index!EE$22*(EI$15&lt;=$J17)*(1-EI$12)</f>
        <v>0</v>
      </c>
      <c r="EJ17" s="742">
        <f>$G17*$H17*(1+$K17)^MAX(ROUNDUP(IFERROR(DATEDIF($I17-1,EJ$15+1,"m"),)/12,)-1,)*Index!EF$22*(EJ$15&lt;=$J17)*(1-EJ$12)</f>
        <v>0</v>
      </c>
      <c r="EK17" s="742">
        <f>$G17*$H17*(1+$K17)^MAX(ROUNDUP(IFERROR(DATEDIF($I17-1,EK$15+1,"m"),)/12,)-1,)*Index!EG$22*(EK$15&lt;=$J17)*(1-EK$12)</f>
        <v>0</v>
      </c>
      <c r="EL17" s="742">
        <f>$G17*$H17*(1+$K17)^MAX(ROUNDUP(IFERROR(DATEDIF($I17-1,EL$15+1,"m"),)/12,)-1,)*Index!EH$22*(EL$15&lt;=$J17)*(1-EL$12)</f>
        <v>0</v>
      </c>
      <c r="EM17" s="742">
        <f>$G17*$H17*(1+$K17)^MAX(ROUNDUP(IFERROR(DATEDIF($I17-1,EM$15+1,"m"),)/12,)-1,)*Index!EI$22*(EM$15&lt;=$J17)*(1-EM$12)</f>
        <v>0</v>
      </c>
      <c r="EN17" s="742">
        <f>$G17*$H17*(1+$K17)^MAX(ROUNDUP(IFERROR(DATEDIF($I17-1,EN$15+1,"m"),)/12,)-1,)*Index!EJ$22*(EN$15&lt;=$J17)*(1-EN$12)</f>
        <v>0</v>
      </c>
      <c r="EO17" s="742">
        <f>$G17*$H17*(1+$K17)^MAX(ROUNDUP(IFERROR(DATEDIF($I17-1,EO$15+1,"m"),)/12,)-1,)*Index!EK$22*(EO$15&lt;=$J17)*(1-EO$12)</f>
        <v>0</v>
      </c>
      <c r="EP17" s="742">
        <f>$G17*$H17*(1+$K17)^MAX(ROUNDUP(IFERROR(DATEDIF($I17-1,EP$15+1,"m"),)/12,)-1,)*Index!EL$22*(EP$15&lt;=$J17)*(1-EP$12)</f>
        <v>0</v>
      </c>
      <c r="EQ17" s="742">
        <f>$G17*$H17*(1+$K17)^MAX(ROUNDUP(IFERROR(DATEDIF($I17-1,EQ$15+1,"m"),)/12,)-1,)*Index!EM$22*(EQ$15&lt;=$J17)*(1-EQ$12)</f>
        <v>0</v>
      </c>
      <c r="ER17" s="742">
        <f>$G17*$H17*(1+$K17)^MAX(ROUNDUP(IFERROR(DATEDIF($I17-1,ER$15+1,"m"),)/12,)-1,)*Index!EN$22*(ER$15&lt;=$J17)*(1-ER$12)</f>
        <v>0</v>
      </c>
      <c r="ES17" s="742">
        <f>$G17*$H17*(1+$K17)^MAX(ROUNDUP(IFERROR(DATEDIF($I17-1,ES$15+1,"m"),)/12,)-1,)*Index!EO$22*(ES$15&lt;=$J17)*(1-ES$12)</f>
        <v>0</v>
      </c>
      <c r="ET17" s="742">
        <f>$G17*$H17*(1+$K17)^MAX(ROUNDUP(IFERROR(DATEDIF($I17-1,ET$15+1,"m"),)/12,)-1,)*Index!EP$22*(ET$15&lt;=$J17)*(1-ET$12)</f>
        <v>0</v>
      </c>
      <c r="EU17" s="742">
        <f>$G17*$H17*(1+$K17)^MAX(ROUNDUP(IFERROR(DATEDIF($I17-1,EU$15+1,"m"),)/12,)-1,)*Index!EQ$22*(EU$15&lt;=$J17)*(1-EU$12)</f>
        <v>0</v>
      </c>
    </row>
    <row r="18" spans="3:151" ht="11.25" customHeight="1">
      <c r="C18" s="735"/>
      <c r="D18" s="743">
        <f>'A&amp;R'!V7</f>
        <v>8</v>
      </c>
      <c r="E18" s="704" t="str">
        <f>'A&amp;R'!W7</f>
        <v>쿠팡</v>
      </c>
      <c r="F18" s="704" t="str">
        <f>'A&amp;R'!X7</f>
        <v>근린생활시설</v>
      </c>
      <c r="G18" s="752">
        <f>'A&amp;R'!AC7/1000</f>
        <v>38.299999999999997</v>
      </c>
      <c r="H18" s="744">
        <f>'A&amp;R'!Y7</f>
        <v>78.09</v>
      </c>
      <c r="I18" s="745">
        <f>'A&amp;R'!Z7</f>
        <v>46326</v>
      </c>
      <c r="J18" s="745">
        <f>'A&amp;R'!AA7</f>
        <v>49064</v>
      </c>
      <c r="K18" s="754">
        <f>'A&amp;R'!AF7</f>
        <v>2.5000000000000001E-2</v>
      </c>
      <c r="L18" s="746"/>
      <c r="M18" s="722"/>
      <c r="N18" s="747">
        <f t="shared" ref="N18:N33" si="7">SUM(P18:EU18)</f>
        <v>292209.5690664383</v>
      </c>
      <c r="O18" s="733"/>
      <c r="P18" s="747">
        <f>$G18*$H18*(1+$K18)^MAX(ROUNDUP(IFERROR(DATEDIF($I18-1,P$15+1,"m"),)/12,)-1,)*Index!L$22*(P$15&lt;=$J18)*(1-P$12)</f>
        <v>0</v>
      </c>
      <c r="Q18" s="747">
        <f>$G18*$H18*(1+$K18)^MAX(ROUNDUP(IFERROR(DATEDIF($I18-1,Q$15+1,"m"),)/12,)-1,)*Index!M$22*(Q$15&lt;=$J18)*(1-Q$12)</f>
        <v>2990.8469999999998</v>
      </c>
      <c r="R18" s="747">
        <f>$G18*$H18*(1+$K18)^MAX(ROUNDUP(IFERROR(DATEDIF($I18-1,R$15+1,"m"),)/12,)-1,)*Index!N$22*(R$15&lt;=$J18)*(1-R$12)</f>
        <v>2990.8469999999998</v>
      </c>
      <c r="S18" s="747">
        <f>$G18*$H18*(1+$K18)^MAX(ROUNDUP(IFERROR(DATEDIF($I18-1,S$15+1,"m"),)/12,)-1,)*Index!O$22*(S$15&lt;=$J18)*(1-S$12)</f>
        <v>2990.8469999999998</v>
      </c>
      <c r="T18" s="747">
        <f>$G18*$H18*(1+$K18)^MAX(ROUNDUP(IFERROR(DATEDIF($I18-1,T$15+1,"m"),)/12,)-1,)*Index!P$22*(T$15&lt;=$J18)*(1-T$12)</f>
        <v>2990.8469999999998</v>
      </c>
      <c r="U18" s="747">
        <f>$G18*$H18*(1+$K18)^MAX(ROUNDUP(IFERROR(DATEDIF($I18-1,U$15+1,"m"),)/12,)-1,)*Index!Q$22*(U$15&lt;=$J18)*(1-U$12)</f>
        <v>2990.8469999999998</v>
      </c>
      <c r="V18" s="747">
        <f>$G18*$H18*(1+$K18)^MAX(ROUNDUP(IFERROR(DATEDIF($I18-1,V$15+1,"m"),)/12,)-1,)*Index!R$22*(V$15&lt;=$J18)*(1-V$12)</f>
        <v>2990.8469999999998</v>
      </c>
      <c r="W18" s="747">
        <f>$G18*$H18*(1+$K18)^MAX(ROUNDUP(IFERROR(DATEDIF($I18-1,W$15+1,"m"),)/12,)-1,)*Index!S$22*(W$15&lt;=$J18)*(1-W$12)</f>
        <v>2990.8469999999998</v>
      </c>
      <c r="X18" s="747">
        <f>$G18*$H18*(1+$K18)^MAX(ROUNDUP(IFERROR(DATEDIF($I18-1,X$15+1,"m"),)/12,)-1,)*Index!T$22*(X$15&lt;=$J18)*(1-X$12)</f>
        <v>2990.8469999999998</v>
      </c>
      <c r="Y18" s="747">
        <f>$G18*$H18*(1+$K18)^MAX(ROUNDUP(IFERROR(DATEDIF($I18-1,Y$15+1,"m"),)/12,)-1,)*Index!U$22*(Y$15&lt;=$J18)*(1-Y$12)</f>
        <v>2990.8469999999998</v>
      </c>
      <c r="Z18" s="747">
        <f>$G18*$H18*(1+$K18)^MAX(ROUNDUP(IFERROR(DATEDIF($I18-1,Z$15+1,"m"),)/12,)-1,)*Index!V$22*(Z$15&lt;=$J18)*(1-Z$12)</f>
        <v>2990.8469999999998</v>
      </c>
      <c r="AA18" s="747">
        <f>$G18*$H18*(1+$K18)^MAX(ROUNDUP(IFERROR(DATEDIF($I18-1,AA$15+1,"m"),)/12,)-1,)*Index!W$22*(AA$15&lt;=$J18)*(1-AA$12)</f>
        <v>2990.8469999999998</v>
      </c>
      <c r="AB18" s="747">
        <f>$G18*$H18*(1+$K18)^MAX(ROUNDUP(IFERROR(DATEDIF($I18-1,AB$15+1,"m"),)/12,)-1,)*Index!X$22*(AB$15&lt;=$J18)*(1-AB$12)</f>
        <v>2990.8469999999998</v>
      </c>
      <c r="AC18" s="747">
        <f>$G18*$H18*(1+$K18)^MAX(ROUNDUP(IFERROR(DATEDIF($I18-1,AC$15+1,"m"),)/12,)-1,)*Index!Y$22*(AC$15&lt;=$J18)*(1-AC$12)</f>
        <v>3065.6181749999996</v>
      </c>
      <c r="AD18" s="747">
        <f>$G18*$H18*(1+$K18)^MAX(ROUNDUP(IFERROR(DATEDIF($I18-1,AD$15+1,"m"),)/12,)-1,)*Index!Z$22*(AD$15&lt;=$J18)*(1-AD$12)</f>
        <v>3065.6181749999996</v>
      </c>
      <c r="AE18" s="747">
        <f>$G18*$H18*(1+$K18)^MAX(ROUNDUP(IFERROR(DATEDIF($I18-1,AE$15+1,"m"),)/12,)-1,)*Index!AA$22*(AE$15&lt;=$J18)*(1-AE$12)</f>
        <v>3065.6181749999996</v>
      </c>
      <c r="AF18" s="747">
        <f>$G18*$H18*(1+$K18)^MAX(ROUNDUP(IFERROR(DATEDIF($I18-1,AF$15+1,"m"),)/12,)-1,)*Index!AB$22*(AF$15&lt;=$J18)*(1-AF$12)</f>
        <v>3065.6181749999996</v>
      </c>
      <c r="AG18" s="747">
        <f>$G18*$H18*(1+$K18)^MAX(ROUNDUP(IFERROR(DATEDIF($I18-1,AG$15+1,"m"),)/12,)-1,)*Index!AC$22*(AG$15&lt;=$J18)*(1-AG$12)</f>
        <v>3065.6181749999996</v>
      </c>
      <c r="AH18" s="747">
        <f>$G18*$H18*(1+$K18)^MAX(ROUNDUP(IFERROR(DATEDIF($I18-1,AH$15+1,"m"),)/12,)-1,)*Index!AD$22*(AH$15&lt;=$J18)*(1-AH$12)</f>
        <v>3065.6181749999996</v>
      </c>
      <c r="AI18" s="747">
        <f>$G18*$H18*(1+$K18)^MAX(ROUNDUP(IFERROR(DATEDIF($I18-1,AI$15+1,"m"),)/12,)-1,)*Index!AE$22*(AI$15&lt;=$J18)*(1-AI$12)</f>
        <v>3065.6181749999996</v>
      </c>
      <c r="AJ18" s="747">
        <f>$G18*$H18*(1+$K18)^MAX(ROUNDUP(IFERROR(DATEDIF($I18-1,AJ$15+1,"m"),)/12,)-1,)*Index!AF$22*(AJ$15&lt;=$J18)*(1-AJ$12)</f>
        <v>3065.6181749999996</v>
      </c>
      <c r="AK18" s="747">
        <f>$G18*$H18*(1+$K18)^MAX(ROUNDUP(IFERROR(DATEDIF($I18-1,AK$15+1,"m"),)/12,)-1,)*Index!AG$22*(AK$15&lt;=$J18)*(1-AK$12)</f>
        <v>3065.6181749999996</v>
      </c>
      <c r="AL18" s="747">
        <f>$G18*$H18*(1+$K18)^MAX(ROUNDUP(IFERROR(DATEDIF($I18-1,AL$15+1,"m"),)/12,)-1,)*Index!AH$22*(AL$15&lt;=$J18)*(1-AL$12)</f>
        <v>3065.6181749999996</v>
      </c>
      <c r="AM18" s="747">
        <f>$G18*$H18*(1+$K18)^MAX(ROUNDUP(IFERROR(DATEDIF($I18-1,AM$15+1,"m"),)/12,)-1,)*Index!AI$22*(AM$15&lt;=$J18)*(1-AM$12)</f>
        <v>3065.6181749999996</v>
      </c>
      <c r="AN18" s="747">
        <f>$G18*$H18*(1+$K18)^MAX(ROUNDUP(IFERROR(DATEDIF($I18-1,AN$15+1,"m"),)/12,)-1,)*Index!AJ$22*(AN$15&lt;=$J18)*(1-AN$12)</f>
        <v>3065.6181749999996</v>
      </c>
      <c r="AO18" s="747">
        <f>$G18*$H18*(1+$K18)^MAX(ROUNDUP(IFERROR(DATEDIF($I18-1,AO$15+1,"m"),)/12,)-1,)*Index!AK$22*(AO$15&lt;=$J18)*(1-AO$12)</f>
        <v>3142.2586293749996</v>
      </c>
      <c r="AP18" s="747">
        <f>$G18*$H18*(1+$K18)^MAX(ROUNDUP(IFERROR(DATEDIF($I18-1,AP$15+1,"m"),)/12,)-1,)*Index!AL$22*(AP$15&lt;=$J18)*(1-AP$12)</f>
        <v>3142.2586293749996</v>
      </c>
      <c r="AQ18" s="747">
        <f>$G18*$H18*(1+$K18)^MAX(ROUNDUP(IFERROR(DATEDIF($I18-1,AQ$15+1,"m"),)/12,)-1,)*Index!AM$22*(AQ$15&lt;=$J18)*(1-AQ$12)</f>
        <v>3142.2586293749996</v>
      </c>
      <c r="AR18" s="747">
        <f>$G18*$H18*(1+$K18)^MAX(ROUNDUP(IFERROR(DATEDIF($I18-1,AR$15+1,"m"),)/12,)-1,)*Index!AN$22*(AR$15&lt;=$J18)*(1-AR$12)</f>
        <v>3142.2586293749996</v>
      </c>
      <c r="AS18" s="747">
        <f>$G18*$H18*(1+$K18)^MAX(ROUNDUP(IFERROR(DATEDIF($I18-1,AS$15+1,"m"),)/12,)-1,)*Index!AO$22*(AS$15&lt;=$J18)*(1-AS$12)</f>
        <v>3142.2586293749996</v>
      </c>
      <c r="AT18" s="747">
        <f>$G18*$H18*(1+$K18)^MAX(ROUNDUP(IFERROR(DATEDIF($I18-1,AT$15+1,"m"),)/12,)-1,)*Index!AP$22*(AT$15&lt;=$J18)*(1-AT$12)</f>
        <v>3142.2586293749996</v>
      </c>
      <c r="AU18" s="747">
        <f>$G18*$H18*(1+$K18)^MAX(ROUNDUP(IFERROR(DATEDIF($I18-1,AU$15+1,"m"),)/12,)-1,)*Index!AQ$22*(AU$15&lt;=$J18)*(1-AU$12)</f>
        <v>3142.2586293749996</v>
      </c>
      <c r="AV18" s="747">
        <f>$G18*$H18*(1+$K18)^MAX(ROUNDUP(IFERROR(DATEDIF($I18-1,AV$15+1,"m"),)/12,)-1,)*Index!AR$22*(AV$15&lt;=$J18)*(1-AV$12)</f>
        <v>3142.2586293749996</v>
      </c>
      <c r="AW18" s="747">
        <f>$G18*$H18*(1+$K18)^MAX(ROUNDUP(IFERROR(DATEDIF($I18-1,AW$15+1,"m"),)/12,)-1,)*Index!AS$22*(AW$15&lt;=$J18)*(1-AW$12)</f>
        <v>3142.2586293749996</v>
      </c>
      <c r="AX18" s="747">
        <f>$G18*$H18*(1+$K18)^MAX(ROUNDUP(IFERROR(DATEDIF($I18-1,AX$15+1,"m"),)/12,)-1,)*Index!AT$22*(AX$15&lt;=$J18)*(1-AX$12)</f>
        <v>3142.2586293749996</v>
      </c>
      <c r="AY18" s="747">
        <f>$G18*$H18*(1+$K18)^MAX(ROUNDUP(IFERROR(DATEDIF($I18-1,AY$15+1,"m"),)/12,)-1,)*Index!AU$22*(AY$15&lt;=$J18)*(1-AY$12)</f>
        <v>3142.2586293749996</v>
      </c>
      <c r="AZ18" s="747">
        <f>$G18*$H18*(1+$K18)^MAX(ROUNDUP(IFERROR(DATEDIF($I18-1,AZ$15+1,"m"),)/12,)-1,)*Index!AV$22*(AZ$15&lt;=$J18)*(1-AZ$12)</f>
        <v>3142.2586293749996</v>
      </c>
      <c r="BA18" s="747">
        <f>$G18*$H18*(1+$K18)^MAX(ROUNDUP(IFERROR(DATEDIF($I18-1,BA$15+1,"m"),)/12,)-1,)*Index!AW$22*(BA$15&lt;=$J18)*(1-BA$12)</f>
        <v>3220.8150951093744</v>
      </c>
      <c r="BB18" s="747">
        <f>$G18*$H18*(1+$K18)^MAX(ROUNDUP(IFERROR(DATEDIF($I18-1,BB$15+1,"m"),)/12,)-1,)*Index!AX$22*(BB$15&lt;=$J18)*(1-BB$12)</f>
        <v>3220.8150951093744</v>
      </c>
      <c r="BC18" s="747">
        <f>$G18*$H18*(1+$K18)^MAX(ROUNDUP(IFERROR(DATEDIF($I18-1,BC$15+1,"m"),)/12,)-1,)*Index!AY$22*(BC$15&lt;=$J18)*(1-BC$12)</f>
        <v>3220.8150951093744</v>
      </c>
      <c r="BD18" s="747">
        <f>$G18*$H18*(1+$K18)^MAX(ROUNDUP(IFERROR(DATEDIF($I18-1,BD$15+1,"m"),)/12,)-1,)*Index!AZ$22*(BD$15&lt;=$J18)*(1-BD$12)</f>
        <v>3220.8150951093744</v>
      </c>
      <c r="BE18" s="747">
        <f>$G18*$H18*(1+$K18)^MAX(ROUNDUP(IFERROR(DATEDIF($I18-1,BE$15+1,"m"),)/12,)-1,)*Index!BA$22*(BE$15&lt;=$J18)*(1-BE$12)</f>
        <v>3220.8150951093744</v>
      </c>
      <c r="BF18" s="747">
        <f>$G18*$H18*(1+$K18)^MAX(ROUNDUP(IFERROR(DATEDIF($I18-1,BF$15+1,"m"),)/12,)-1,)*Index!BB$22*(BF$15&lt;=$J18)*(1-BF$12)</f>
        <v>3220.8150951093744</v>
      </c>
      <c r="BG18" s="747">
        <f>$G18*$H18*(1+$K18)^MAX(ROUNDUP(IFERROR(DATEDIF($I18-1,BG$15+1,"m"),)/12,)-1,)*Index!BC$22*(BG$15&lt;=$J18)*(1-BG$12)</f>
        <v>3220.8150951093744</v>
      </c>
      <c r="BH18" s="747">
        <f>$G18*$H18*(1+$K18)^MAX(ROUNDUP(IFERROR(DATEDIF($I18-1,BH$15+1,"m"),)/12,)-1,)*Index!BD$22*(BH$15&lt;=$J18)*(1-BH$12)</f>
        <v>3220.8150951093744</v>
      </c>
      <c r="BI18" s="747">
        <f>$G18*$H18*(1+$K18)^MAX(ROUNDUP(IFERROR(DATEDIF($I18-1,BI$15+1,"m"),)/12,)-1,)*Index!BE$22*(BI$15&lt;=$J18)*(1-BI$12)</f>
        <v>3220.8150951093744</v>
      </c>
      <c r="BJ18" s="747">
        <f>$G18*$H18*(1+$K18)^MAX(ROUNDUP(IFERROR(DATEDIF($I18-1,BJ$15+1,"m"),)/12,)-1,)*Index!BF$22*(BJ$15&lt;=$J18)*(1-BJ$12)</f>
        <v>3220.8150951093744</v>
      </c>
      <c r="BK18" s="747">
        <f>$G18*$H18*(1+$K18)^MAX(ROUNDUP(IFERROR(DATEDIF($I18-1,BK$15+1,"m"),)/12,)-1,)*Index!BG$22*(BK$15&lt;=$J18)*(1-BK$12)</f>
        <v>3220.8150951093744</v>
      </c>
      <c r="BL18" s="747">
        <f>$G18*$H18*(1+$K18)^MAX(ROUNDUP(IFERROR(DATEDIF($I18-1,BL$15+1,"m"),)/12,)-1,)*Index!BH$22*(BL$15&lt;=$J18)*(1-BL$12)</f>
        <v>3220.8150951093744</v>
      </c>
      <c r="BM18" s="747">
        <f>$G18*$H18*(1+$K18)^MAX(ROUNDUP(IFERROR(DATEDIF($I18-1,BM$15+1,"m"),)/12,)-1,)*Index!BI$22*(BM$15&lt;=$J18)*(1-BM$12)</f>
        <v>3301.3354724871083</v>
      </c>
      <c r="BN18" s="747">
        <f>$G18*$H18*(1+$K18)^MAX(ROUNDUP(IFERROR(DATEDIF($I18-1,BN$15+1,"m"),)/12,)-1,)*Index!BJ$22*(BN$15&lt;=$J18)*(1-BN$12)</f>
        <v>3301.3354724871083</v>
      </c>
      <c r="BO18" s="747">
        <f>$G18*$H18*(1+$K18)^MAX(ROUNDUP(IFERROR(DATEDIF($I18-1,BO$15+1,"m"),)/12,)-1,)*Index!BK$22*(BO$15&lt;=$J18)*(1-BO$12)</f>
        <v>3301.3354724871083</v>
      </c>
      <c r="BP18" s="747">
        <f>$G18*$H18*(1+$K18)^MAX(ROUNDUP(IFERROR(DATEDIF($I18-1,BP$15+1,"m"),)/12,)-1,)*Index!BL$22*(BP$15&lt;=$J18)*(1-BP$12)</f>
        <v>3301.3354724871083</v>
      </c>
      <c r="BQ18" s="747">
        <f>$G18*$H18*(1+$K18)^MAX(ROUNDUP(IFERROR(DATEDIF($I18-1,BQ$15+1,"m"),)/12,)-1,)*Index!BM$22*(BQ$15&lt;=$J18)*(1-BQ$12)</f>
        <v>3301.3354724871083</v>
      </c>
      <c r="BR18" s="747">
        <f>$G18*$H18*(1+$K18)^MAX(ROUNDUP(IFERROR(DATEDIF($I18-1,BR$15+1,"m"),)/12,)-1,)*Index!BN$22*(BR$15&lt;=$J18)*(1-BR$12)</f>
        <v>3301.3354724871083</v>
      </c>
      <c r="BS18" s="747">
        <f>$G18*$H18*(1+$K18)^MAX(ROUNDUP(IFERROR(DATEDIF($I18-1,BS$15+1,"m"),)/12,)-1,)*Index!BO$22*(BS$15&lt;=$J18)*(1-BS$12)</f>
        <v>3301.3354724871083</v>
      </c>
      <c r="BT18" s="747">
        <f>$G18*$H18*(1+$K18)^MAX(ROUNDUP(IFERROR(DATEDIF($I18-1,BT$15+1,"m"),)/12,)-1,)*Index!BP$22*(BT$15&lt;=$J18)*(1-BT$12)</f>
        <v>3301.3354724871083</v>
      </c>
      <c r="BU18" s="747">
        <f>$G18*$H18*(1+$K18)^MAX(ROUNDUP(IFERROR(DATEDIF($I18-1,BU$15+1,"m"),)/12,)-1,)*Index!BQ$22*(BU$15&lt;=$J18)*(1-BU$12)</f>
        <v>3301.3354724871083</v>
      </c>
      <c r="BV18" s="747">
        <f>$G18*$H18*(1+$K18)^MAX(ROUNDUP(IFERROR(DATEDIF($I18-1,BV$15+1,"m"),)/12,)-1,)*Index!BR$22*(BV$15&lt;=$J18)*(1-BV$12)</f>
        <v>3301.3354724871083</v>
      </c>
      <c r="BW18" s="747">
        <f>$G18*$H18*(1+$K18)^MAX(ROUNDUP(IFERROR(DATEDIF($I18-1,BW$15+1,"m"),)/12,)-1,)*Index!BS$22*(BW$15&lt;=$J18)*(1-BW$12)</f>
        <v>3301.3354724871083</v>
      </c>
      <c r="BX18" s="747">
        <f>$G18*$H18*(1+$K18)^MAX(ROUNDUP(IFERROR(DATEDIF($I18-1,BX$15+1,"m"),)/12,)-1,)*Index!BT$22*(BX$15&lt;=$J18)*(1-BX$12)</f>
        <v>3301.3354724871083</v>
      </c>
      <c r="BY18" s="747">
        <f>$G18*$H18*(1+$K18)^MAX(ROUNDUP(IFERROR(DATEDIF($I18-1,BY$15+1,"m"),)/12,)-1,)*Index!BU$22*(BY$15&lt;=$J18)*(1-BY$12)</f>
        <v>3383.8688592992858</v>
      </c>
      <c r="BZ18" s="747">
        <f>$G18*$H18*(1+$K18)^MAX(ROUNDUP(IFERROR(DATEDIF($I18-1,BZ$15+1,"m"),)/12,)-1,)*Index!BV$22*(BZ$15&lt;=$J18)*(1-BZ$12)</f>
        <v>3383.8688592992858</v>
      </c>
      <c r="CA18" s="747">
        <f>$G18*$H18*(1+$K18)^MAX(ROUNDUP(IFERROR(DATEDIF($I18-1,CA$15+1,"m"),)/12,)-1,)*Index!BW$22*(CA$15&lt;=$J18)*(1-CA$12)</f>
        <v>3383.8688592992858</v>
      </c>
      <c r="CB18" s="747">
        <f>$G18*$H18*(1+$K18)^MAX(ROUNDUP(IFERROR(DATEDIF($I18-1,CB$15+1,"m"),)/12,)-1,)*Index!BX$22*(CB$15&lt;=$J18)*(1-CB$12)</f>
        <v>3383.8688592992858</v>
      </c>
      <c r="CC18" s="747">
        <f>$G18*$H18*(1+$K18)^MAX(ROUNDUP(IFERROR(DATEDIF($I18-1,CC$15+1,"m"),)/12,)-1,)*Index!BY$22*(CC$15&lt;=$J18)*(1-CC$12)</f>
        <v>3383.8688592992858</v>
      </c>
      <c r="CD18" s="747">
        <f>$G18*$H18*(1+$K18)^MAX(ROUNDUP(IFERROR(DATEDIF($I18-1,CD$15+1,"m"),)/12,)-1,)*Index!BZ$22*(CD$15&lt;=$J18)*(1-CD$12)</f>
        <v>3383.8688592992858</v>
      </c>
      <c r="CE18" s="747">
        <f>$G18*$H18*(1+$K18)^MAX(ROUNDUP(IFERROR(DATEDIF($I18-1,CE$15+1,"m"),)/12,)-1,)*Index!CA$22*(CE$15&lt;=$J18)*(1-CE$12)</f>
        <v>3383.8688592992858</v>
      </c>
      <c r="CF18" s="747">
        <f>$G18*$H18*(1+$K18)^MAX(ROUNDUP(IFERROR(DATEDIF($I18-1,CF$15+1,"m"),)/12,)-1,)*Index!CB$22*(CF$15&lt;=$J18)*(1-CF$12)</f>
        <v>3383.8688592992858</v>
      </c>
      <c r="CG18" s="747">
        <f>$G18*$H18*(1+$K18)^MAX(ROUNDUP(IFERROR(DATEDIF($I18-1,CG$15+1,"m"),)/12,)-1,)*Index!CC$22*(CG$15&lt;=$J18)*(1-CG$12)</f>
        <v>3383.8688592992858</v>
      </c>
      <c r="CH18" s="747">
        <f>$G18*$H18*(1+$K18)^MAX(ROUNDUP(IFERROR(DATEDIF($I18-1,CH$15+1,"m"),)/12,)-1,)*Index!CD$22*(CH$15&lt;=$J18)*(1-CH$12)</f>
        <v>3383.8688592992858</v>
      </c>
      <c r="CI18" s="747">
        <f>$G18*$H18*(1+$K18)^MAX(ROUNDUP(IFERROR(DATEDIF($I18-1,CI$15+1,"m"),)/12,)-1,)*Index!CE$22*(CI$15&lt;=$J18)*(1-CI$12)</f>
        <v>3383.8688592992858</v>
      </c>
      <c r="CJ18" s="747">
        <f>$G18*$H18*(1+$K18)^MAX(ROUNDUP(IFERROR(DATEDIF($I18-1,CJ$15+1,"m"),)/12,)-1,)*Index!CF$22*(CJ$15&lt;=$J18)*(1-CJ$12)</f>
        <v>3383.8688592992858</v>
      </c>
      <c r="CK18" s="747">
        <f>$G18*$H18*(1+$K18)^MAX(ROUNDUP(IFERROR(DATEDIF($I18-1,CK$15+1,"m"),)/12,)-1,)*Index!CG$22*(CK$15&lt;=$J18)*(1-CK$12)</f>
        <v>3468.4655807817676</v>
      </c>
      <c r="CL18" s="747">
        <f>$G18*$H18*(1+$K18)^MAX(ROUNDUP(IFERROR(DATEDIF($I18-1,CL$15+1,"m"),)/12,)-1,)*Index!CH$22*(CL$15&lt;=$J18)*(1-CL$12)</f>
        <v>3468.4655807817676</v>
      </c>
      <c r="CM18" s="747">
        <f>$G18*$H18*(1+$K18)^MAX(ROUNDUP(IFERROR(DATEDIF($I18-1,CM$15+1,"m"),)/12,)-1,)*Index!CI$22*(CM$15&lt;=$J18)*(1-CM$12)</f>
        <v>3468.4655807817676</v>
      </c>
      <c r="CN18" s="747">
        <f>$G18*$H18*(1+$K18)^MAX(ROUNDUP(IFERROR(DATEDIF($I18-1,CN$15+1,"m"),)/12,)-1,)*Index!CJ$22*(CN$15&lt;=$J18)*(1-CN$12)</f>
        <v>3468.4655807817676</v>
      </c>
      <c r="CO18" s="747">
        <f>$G18*$H18*(1+$K18)^MAX(ROUNDUP(IFERROR(DATEDIF($I18-1,CO$15+1,"m"),)/12,)-1,)*Index!CK$22*(CO$15&lt;=$J18)*(1-CO$12)</f>
        <v>3468.4655807817676</v>
      </c>
      <c r="CP18" s="747">
        <f>$G18*$H18*(1+$K18)^MAX(ROUNDUP(IFERROR(DATEDIF($I18-1,CP$15+1,"m"),)/12,)-1,)*Index!CL$22*(CP$15&lt;=$J18)*(1-CP$12)</f>
        <v>3468.4655807817676</v>
      </c>
      <c r="CQ18" s="747">
        <f>$G18*$H18*(1+$K18)^MAX(ROUNDUP(IFERROR(DATEDIF($I18-1,CQ$15+1,"m"),)/12,)-1,)*Index!CM$22*(CQ$15&lt;=$J18)*(1-CQ$12)</f>
        <v>3468.4655807817676</v>
      </c>
      <c r="CR18" s="747">
        <f>$G18*$H18*(1+$K18)^MAX(ROUNDUP(IFERROR(DATEDIF($I18-1,CR$15+1,"m"),)/12,)-1,)*Index!CN$22*(CR$15&lt;=$J18)*(1-CR$12)</f>
        <v>3468.4655807817676</v>
      </c>
      <c r="CS18" s="747">
        <f>$G18*$H18*(1+$K18)^MAX(ROUNDUP(IFERROR(DATEDIF($I18-1,CS$15+1,"m"),)/12,)-1,)*Index!CO$22*(CS$15&lt;=$J18)*(1-CS$12)</f>
        <v>3468.4655807817676</v>
      </c>
      <c r="CT18" s="747">
        <f>$G18*$H18*(1+$K18)^MAX(ROUNDUP(IFERROR(DATEDIF($I18-1,CT$15+1,"m"),)/12,)-1,)*Index!CP$22*(CT$15&lt;=$J18)*(1-CT$12)</f>
        <v>3468.4655807817676</v>
      </c>
      <c r="CU18" s="747">
        <f>$G18*$H18*(1+$K18)^MAX(ROUNDUP(IFERROR(DATEDIF($I18-1,CU$15+1,"m"),)/12,)-1,)*Index!CQ$22*(CU$15&lt;=$J18)*(1-CU$12)</f>
        <v>3468.4655807817676</v>
      </c>
      <c r="CV18" s="747">
        <f>$G18*$H18*(1+$K18)^MAX(ROUNDUP(IFERROR(DATEDIF($I18-1,CV$15+1,"m"),)/12,)-1,)*Index!CR$22*(CV$15&lt;=$J18)*(1-CV$12)</f>
        <v>3468.4655807817676</v>
      </c>
      <c r="CW18" s="747">
        <f>$G18*$H18*(1+$K18)^MAX(ROUNDUP(IFERROR(DATEDIF($I18-1,CW$15+1,"m"),)/12,)-1,)*Index!CS$22*(CW$15&lt;=$J18)*(1-CW$12)</f>
        <v>3555.177220301312</v>
      </c>
      <c r="CX18" s="747">
        <f>$G18*$H18*(1+$K18)^MAX(ROUNDUP(IFERROR(DATEDIF($I18-1,CX$15+1,"m"),)/12,)-1,)*Index!CT$22*(CX$15&lt;=$J18)*(1-CX$12)</f>
        <v>3555.177220301312</v>
      </c>
      <c r="CY18" s="747">
        <f>$G18*$H18*(1+$K18)^MAX(ROUNDUP(IFERROR(DATEDIF($I18-1,CY$15+1,"m"),)/12,)-1,)*Index!CU$22*(CY$15&lt;=$J18)*(1-CY$12)</f>
        <v>3555.177220301312</v>
      </c>
      <c r="CZ18" s="747">
        <f>$G18*$H18*(1+$K18)^MAX(ROUNDUP(IFERROR(DATEDIF($I18-1,CZ$15+1,"m"),)/12,)-1,)*Index!CV$22*(CZ$15&lt;=$J18)*(1-CZ$12)</f>
        <v>3555.177220301312</v>
      </c>
      <c r="DA18" s="747">
        <f>$G18*$H18*(1+$K18)^MAX(ROUNDUP(IFERROR(DATEDIF($I18-1,DA$15+1,"m"),)/12,)-1,)*Index!CW$22*(DA$15&lt;=$J18)*(1-DA$12)</f>
        <v>3555.177220301312</v>
      </c>
      <c r="DB18" s="747">
        <f>$G18*$H18*(1+$K18)^MAX(ROUNDUP(IFERROR(DATEDIF($I18-1,DB$15+1,"m"),)/12,)-1,)*Index!CX$22*(DB$15&lt;=$J18)*(1-DB$12)</f>
        <v>3555.177220301312</v>
      </c>
      <c r="DC18" s="747">
        <f>$G18*$H18*(1+$K18)^MAX(ROUNDUP(IFERROR(DATEDIF($I18-1,DC$15+1,"m"),)/12,)-1,)*Index!CY$22*(DC$15&lt;=$J18)*(1-DC$12)</f>
        <v>0</v>
      </c>
      <c r="DD18" s="747">
        <f>$G18*$H18*(1+$K18)^MAX(ROUNDUP(IFERROR(DATEDIF($I18-1,DD$15+1,"m"),)/12,)-1,)*Index!CZ$22*(DD$15&lt;=$J18)*(1-DD$12)</f>
        <v>0</v>
      </c>
      <c r="DE18" s="747">
        <f>$G18*$H18*(1+$K18)^MAX(ROUNDUP(IFERROR(DATEDIF($I18-1,DE$15+1,"m"),)/12,)-1,)*Index!DA$22*(DE$15&lt;=$J18)*(1-DE$12)</f>
        <v>0</v>
      </c>
      <c r="DF18" s="747">
        <f>$G18*$H18*(1+$K18)^MAX(ROUNDUP(IFERROR(DATEDIF($I18-1,DF$15+1,"m"),)/12,)-1,)*Index!DB$22*(DF$15&lt;=$J18)*(1-DF$12)</f>
        <v>0</v>
      </c>
      <c r="DG18" s="747">
        <f>$G18*$H18*(1+$K18)^MAX(ROUNDUP(IFERROR(DATEDIF($I18-1,DG$15+1,"m"),)/12,)-1,)*Index!DC$22*(DG$15&lt;=$J18)*(1-DG$12)</f>
        <v>0</v>
      </c>
      <c r="DH18" s="747">
        <f>$G18*$H18*(1+$K18)^MAX(ROUNDUP(IFERROR(DATEDIF($I18-1,DH$15+1,"m"),)/12,)-1,)*Index!DD$22*(DH$15&lt;=$J18)*(1-DH$12)</f>
        <v>0</v>
      </c>
      <c r="DI18" s="747">
        <f>$G18*$H18*(1+$K18)^MAX(ROUNDUP(IFERROR(DATEDIF($I18-1,DI$15+1,"m"),)/12,)-1,)*Index!DE$22*(DI$15&lt;=$J18)*(1-DI$12)</f>
        <v>0</v>
      </c>
      <c r="DJ18" s="747">
        <f>$G18*$H18*(1+$K18)^MAX(ROUNDUP(IFERROR(DATEDIF($I18-1,DJ$15+1,"m"),)/12,)-1,)*Index!DF$22*(DJ$15&lt;=$J18)*(1-DJ$12)</f>
        <v>0</v>
      </c>
      <c r="DK18" s="747">
        <f>$G18*$H18*(1+$K18)^MAX(ROUNDUP(IFERROR(DATEDIF($I18-1,DK$15+1,"m"),)/12,)-1,)*Index!DG$22*(DK$15&lt;=$J18)*(1-DK$12)</f>
        <v>0</v>
      </c>
      <c r="DL18" s="747">
        <f>$G18*$H18*(1+$K18)^MAX(ROUNDUP(IFERROR(DATEDIF($I18-1,DL$15+1,"m"),)/12,)-1,)*Index!DH$22*(DL$15&lt;=$J18)*(1-DL$12)</f>
        <v>0</v>
      </c>
      <c r="DM18" s="747">
        <f>$G18*$H18*(1+$K18)^MAX(ROUNDUP(IFERROR(DATEDIF($I18-1,DM$15+1,"m"),)/12,)-1,)*Index!DI$22*(DM$15&lt;=$J18)*(1-DM$12)</f>
        <v>0</v>
      </c>
      <c r="DN18" s="747">
        <f>$G18*$H18*(1+$K18)^MAX(ROUNDUP(IFERROR(DATEDIF($I18-1,DN$15+1,"m"),)/12,)-1,)*Index!DJ$22*(DN$15&lt;=$J18)*(1-DN$12)</f>
        <v>0</v>
      </c>
      <c r="DO18" s="747">
        <f>$G18*$H18*(1+$K18)^MAX(ROUNDUP(IFERROR(DATEDIF($I18-1,DO$15+1,"m"),)/12,)-1,)*Index!DK$22*(DO$15&lt;=$J18)*(1-DO$12)</f>
        <v>0</v>
      </c>
      <c r="DP18" s="747">
        <f>$G18*$H18*(1+$K18)^MAX(ROUNDUP(IFERROR(DATEDIF($I18-1,DP$15+1,"m"),)/12,)-1,)*Index!DL$22*(DP$15&lt;=$J18)*(1-DP$12)</f>
        <v>0</v>
      </c>
      <c r="DQ18" s="747">
        <f>$G18*$H18*(1+$K18)^MAX(ROUNDUP(IFERROR(DATEDIF($I18-1,DQ$15+1,"m"),)/12,)-1,)*Index!DM$22*(DQ$15&lt;=$J18)*(1-DQ$12)</f>
        <v>0</v>
      </c>
      <c r="DR18" s="747">
        <f>$G18*$H18*(1+$K18)^MAX(ROUNDUP(IFERROR(DATEDIF($I18-1,DR$15+1,"m"),)/12,)-1,)*Index!DN$22*(DR$15&lt;=$J18)*(1-DR$12)</f>
        <v>0</v>
      </c>
      <c r="DS18" s="747">
        <f>$G18*$H18*(1+$K18)^MAX(ROUNDUP(IFERROR(DATEDIF($I18-1,DS$15+1,"m"),)/12,)-1,)*Index!DO$22*(DS$15&lt;=$J18)*(1-DS$12)</f>
        <v>0</v>
      </c>
      <c r="DT18" s="747">
        <f>$G18*$H18*(1+$K18)^MAX(ROUNDUP(IFERROR(DATEDIF($I18-1,DT$15+1,"m"),)/12,)-1,)*Index!DP$22*(DT$15&lt;=$J18)*(1-DT$12)</f>
        <v>0</v>
      </c>
      <c r="DU18" s="747">
        <f>$G18*$H18*(1+$K18)^MAX(ROUNDUP(IFERROR(DATEDIF($I18-1,DU$15+1,"m"),)/12,)-1,)*Index!DQ$22*(DU$15&lt;=$J18)*(1-DU$12)</f>
        <v>0</v>
      </c>
      <c r="DV18" s="747">
        <f>$G18*$H18*(1+$K18)^MAX(ROUNDUP(IFERROR(DATEDIF($I18-1,DV$15+1,"m"),)/12,)-1,)*Index!DR$22*(DV$15&lt;=$J18)*(1-DV$12)</f>
        <v>0</v>
      </c>
      <c r="DW18" s="747">
        <f>$G18*$H18*(1+$K18)^MAX(ROUNDUP(IFERROR(DATEDIF($I18-1,DW$15+1,"m"),)/12,)-1,)*Index!DS$22*(DW$15&lt;=$J18)*(1-DW$12)</f>
        <v>0</v>
      </c>
      <c r="DX18" s="747">
        <f>$G18*$H18*(1+$K18)^MAX(ROUNDUP(IFERROR(DATEDIF($I18-1,DX$15+1,"m"),)/12,)-1,)*Index!DT$22*(DX$15&lt;=$J18)*(1-DX$12)</f>
        <v>0</v>
      </c>
      <c r="DY18" s="747">
        <f>$G18*$H18*(1+$K18)^MAX(ROUNDUP(IFERROR(DATEDIF($I18-1,DY$15+1,"m"),)/12,)-1,)*Index!DU$22*(DY$15&lt;=$J18)*(1-DY$12)</f>
        <v>0</v>
      </c>
      <c r="DZ18" s="747">
        <f>$G18*$H18*(1+$K18)^MAX(ROUNDUP(IFERROR(DATEDIF($I18-1,DZ$15+1,"m"),)/12,)-1,)*Index!DV$22*(DZ$15&lt;=$J18)*(1-DZ$12)</f>
        <v>0</v>
      </c>
      <c r="EA18" s="747">
        <f>$G18*$H18*(1+$K18)^MAX(ROUNDUP(IFERROR(DATEDIF($I18-1,EA$15+1,"m"),)/12,)-1,)*Index!DW$22*(EA$15&lt;=$J18)*(1-EA$12)</f>
        <v>0</v>
      </c>
      <c r="EB18" s="747">
        <f>$G18*$H18*(1+$K18)^MAX(ROUNDUP(IFERROR(DATEDIF($I18-1,EB$15+1,"m"),)/12,)-1,)*Index!DX$22*(EB$15&lt;=$J18)*(1-EB$12)</f>
        <v>0</v>
      </c>
      <c r="EC18" s="747">
        <f>$G18*$H18*(1+$K18)^MAX(ROUNDUP(IFERROR(DATEDIF($I18-1,EC$15+1,"m"),)/12,)-1,)*Index!DY$22*(EC$15&lt;=$J18)*(1-EC$12)</f>
        <v>0</v>
      </c>
      <c r="ED18" s="747">
        <f>$G18*$H18*(1+$K18)^MAX(ROUNDUP(IFERROR(DATEDIF($I18-1,ED$15+1,"m"),)/12,)-1,)*Index!DZ$22*(ED$15&lt;=$J18)*(1-ED$12)</f>
        <v>0</v>
      </c>
      <c r="EE18" s="747">
        <f>$G18*$H18*(1+$K18)^MAX(ROUNDUP(IFERROR(DATEDIF($I18-1,EE$15+1,"m"),)/12,)-1,)*Index!EA$22*(EE$15&lt;=$J18)*(1-EE$12)</f>
        <v>0</v>
      </c>
      <c r="EF18" s="747">
        <f>$G18*$H18*(1+$K18)^MAX(ROUNDUP(IFERROR(DATEDIF($I18-1,EF$15+1,"m"),)/12,)-1,)*Index!EB$22*(EF$15&lt;=$J18)*(1-EF$12)</f>
        <v>0</v>
      </c>
      <c r="EG18" s="747">
        <f>$G18*$H18*(1+$K18)^MAX(ROUNDUP(IFERROR(DATEDIF($I18-1,EG$15+1,"m"),)/12,)-1,)*Index!EC$22*(EG$15&lt;=$J18)*(1-EG$12)</f>
        <v>0</v>
      </c>
      <c r="EH18" s="747">
        <f>$G18*$H18*(1+$K18)^MAX(ROUNDUP(IFERROR(DATEDIF($I18-1,EH$15+1,"m"),)/12,)-1,)*Index!ED$22*(EH$15&lt;=$J18)*(1-EH$12)</f>
        <v>0</v>
      </c>
      <c r="EI18" s="747">
        <f>$G18*$H18*(1+$K18)^MAX(ROUNDUP(IFERROR(DATEDIF($I18-1,EI$15+1,"m"),)/12,)-1,)*Index!EE$22*(EI$15&lt;=$J18)*(1-EI$12)</f>
        <v>0</v>
      </c>
      <c r="EJ18" s="747">
        <f>$G18*$H18*(1+$K18)^MAX(ROUNDUP(IFERROR(DATEDIF($I18-1,EJ$15+1,"m"),)/12,)-1,)*Index!EF$22*(EJ$15&lt;=$J18)*(1-EJ$12)</f>
        <v>0</v>
      </c>
      <c r="EK18" s="747">
        <f>$G18*$H18*(1+$K18)^MAX(ROUNDUP(IFERROR(DATEDIF($I18-1,EK$15+1,"m"),)/12,)-1,)*Index!EG$22*(EK$15&lt;=$J18)*(1-EK$12)</f>
        <v>0</v>
      </c>
      <c r="EL18" s="747">
        <f>$G18*$H18*(1+$K18)^MAX(ROUNDUP(IFERROR(DATEDIF($I18-1,EL$15+1,"m"),)/12,)-1,)*Index!EH$22*(EL$15&lt;=$J18)*(1-EL$12)</f>
        <v>0</v>
      </c>
      <c r="EM18" s="747">
        <f>$G18*$H18*(1+$K18)^MAX(ROUNDUP(IFERROR(DATEDIF($I18-1,EM$15+1,"m"),)/12,)-1,)*Index!EI$22*(EM$15&lt;=$J18)*(1-EM$12)</f>
        <v>0</v>
      </c>
      <c r="EN18" s="747">
        <f>$G18*$H18*(1+$K18)^MAX(ROUNDUP(IFERROR(DATEDIF($I18-1,EN$15+1,"m"),)/12,)-1,)*Index!EJ$22*(EN$15&lt;=$J18)*(1-EN$12)</f>
        <v>0</v>
      </c>
      <c r="EO18" s="747">
        <f>$G18*$H18*(1+$K18)^MAX(ROUNDUP(IFERROR(DATEDIF($I18-1,EO$15+1,"m"),)/12,)-1,)*Index!EK$22*(EO$15&lt;=$J18)*(1-EO$12)</f>
        <v>0</v>
      </c>
      <c r="EP18" s="747">
        <f>$G18*$H18*(1+$K18)^MAX(ROUNDUP(IFERROR(DATEDIF($I18-1,EP$15+1,"m"),)/12,)-1,)*Index!EL$22*(EP$15&lt;=$J18)*(1-EP$12)</f>
        <v>0</v>
      </c>
      <c r="EQ18" s="747">
        <f>$G18*$H18*(1+$K18)^MAX(ROUNDUP(IFERROR(DATEDIF($I18-1,EQ$15+1,"m"),)/12,)-1,)*Index!EM$22*(EQ$15&lt;=$J18)*(1-EQ$12)</f>
        <v>0</v>
      </c>
      <c r="ER18" s="747">
        <f>$G18*$H18*(1+$K18)^MAX(ROUNDUP(IFERROR(DATEDIF($I18-1,ER$15+1,"m"),)/12,)-1,)*Index!EN$22*(ER$15&lt;=$J18)*(1-ER$12)</f>
        <v>0</v>
      </c>
      <c r="ES18" s="747">
        <f>$G18*$H18*(1+$K18)^MAX(ROUNDUP(IFERROR(DATEDIF($I18-1,ES$15+1,"m"),)/12,)-1,)*Index!EO$22*(ES$15&lt;=$J18)*(1-ES$12)</f>
        <v>0</v>
      </c>
      <c r="ET18" s="747">
        <f>$G18*$H18*(1+$K18)^MAX(ROUNDUP(IFERROR(DATEDIF($I18-1,ET$15+1,"m"),)/12,)-1,)*Index!EP$22*(ET$15&lt;=$J18)*(1-ET$12)</f>
        <v>0</v>
      </c>
      <c r="EU18" s="747">
        <f>$G18*$H18*(1+$K18)^MAX(ROUNDUP(IFERROR(DATEDIF($I18-1,EU$15+1,"m"),)/12,)-1,)*Index!EQ$22*(EU$15&lt;=$J18)*(1-EU$12)</f>
        <v>0</v>
      </c>
    </row>
    <row r="19" spans="3:151" ht="11.25" customHeight="1">
      <c r="C19" s="735"/>
      <c r="D19" s="743">
        <f>'A&amp;R'!V8</f>
        <v>8</v>
      </c>
      <c r="E19" s="704" t="str">
        <f>'A&amp;R'!W8</f>
        <v>쿠팡</v>
      </c>
      <c r="F19" s="704" t="str">
        <f>'A&amp;R'!X8</f>
        <v>상온창고</v>
      </c>
      <c r="G19" s="752">
        <f>'A&amp;R'!AC8/1000</f>
        <v>38.299999999999997</v>
      </c>
      <c r="H19" s="744">
        <f>'A&amp;R'!Y8</f>
        <v>63.86</v>
      </c>
      <c r="I19" s="745">
        <f>'A&amp;R'!Z8</f>
        <v>46326</v>
      </c>
      <c r="J19" s="745">
        <f>'A&amp;R'!AA8</f>
        <v>49064</v>
      </c>
      <c r="K19" s="754">
        <f>'A&amp;R'!AF8</f>
        <v>2.5000000000000001E-2</v>
      </c>
      <c r="L19" s="746"/>
      <c r="M19" s="722"/>
      <c r="N19" s="747">
        <f t="shared" si="7"/>
        <v>238961.49418085249</v>
      </c>
      <c r="O19" s="733"/>
      <c r="P19" s="747">
        <f>$G19*$H19*(1+$K19)^MAX(ROUNDUP(IFERROR(DATEDIF($I19-1,P$15+1,"m"),)/12,)-1,)*Index!L$22*(P$15&lt;=$J19)*(1-P$12)</f>
        <v>0</v>
      </c>
      <c r="Q19" s="747">
        <f>$G19*$H19*(1+$K19)^MAX(ROUNDUP(IFERROR(DATEDIF($I19-1,Q$15+1,"m"),)/12,)-1,)*Index!M$22*(Q$15&lt;=$J19)*(1-Q$12)</f>
        <v>2445.8379999999997</v>
      </c>
      <c r="R19" s="747">
        <f>$G19*$H19*(1+$K19)^MAX(ROUNDUP(IFERROR(DATEDIF($I19-1,R$15+1,"m"),)/12,)-1,)*Index!N$22*(R$15&lt;=$J19)*(1-R$12)</f>
        <v>2445.8379999999997</v>
      </c>
      <c r="S19" s="747">
        <f>$G19*$H19*(1+$K19)^MAX(ROUNDUP(IFERROR(DATEDIF($I19-1,S$15+1,"m"),)/12,)-1,)*Index!O$22*(S$15&lt;=$J19)*(1-S$12)</f>
        <v>2445.8379999999997</v>
      </c>
      <c r="T19" s="747">
        <f>$G19*$H19*(1+$K19)^MAX(ROUNDUP(IFERROR(DATEDIF($I19-1,T$15+1,"m"),)/12,)-1,)*Index!P$22*(T$15&lt;=$J19)*(1-T$12)</f>
        <v>2445.8379999999997</v>
      </c>
      <c r="U19" s="747">
        <f>$G19*$H19*(1+$K19)^MAX(ROUNDUP(IFERROR(DATEDIF($I19-1,U$15+1,"m"),)/12,)-1,)*Index!Q$22*(U$15&lt;=$J19)*(1-U$12)</f>
        <v>2445.8379999999997</v>
      </c>
      <c r="V19" s="747">
        <f>$G19*$H19*(1+$K19)^MAX(ROUNDUP(IFERROR(DATEDIF($I19-1,V$15+1,"m"),)/12,)-1,)*Index!R$22*(V$15&lt;=$J19)*(1-V$12)</f>
        <v>2445.8379999999997</v>
      </c>
      <c r="W19" s="747">
        <f>$G19*$H19*(1+$K19)^MAX(ROUNDUP(IFERROR(DATEDIF($I19-1,W$15+1,"m"),)/12,)-1,)*Index!S$22*(W$15&lt;=$J19)*(1-W$12)</f>
        <v>2445.8379999999997</v>
      </c>
      <c r="X19" s="747">
        <f>$G19*$H19*(1+$K19)^MAX(ROUNDUP(IFERROR(DATEDIF($I19-1,X$15+1,"m"),)/12,)-1,)*Index!T$22*(X$15&lt;=$J19)*(1-X$12)</f>
        <v>2445.8379999999997</v>
      </c>
      <c r="Y19" s="747">
        <f>$G19*$H19*(1+$K19)^MAX(ROUNDUP(IFERROR(DATEDIF($I19-1,Y$15+1,"m"),)/12,)-1,)*Index!U$22*(Y$15&lt;=$J19)*(1-Y$12)</f>
        <v>2445.8379999999997</v>
      </c>
      <c r="Z19" s="747">
        <f>$G19*$H19*(1+$K19)^MAX(ROUNDUP(IFERROR(DATEDIF($I19-1,Z$15+1,"m"),)/12,)-1,)*Index!V$22*(Z$15&lt;=$J19)*(1-Z$12)</f>
        <v>2445.8379999999997</v>
      </c>
      <c r="AA19" s="747">
        <f>$G19*$H19*(1+$K19)^MAX(ROUNDUP(IFERROR(DATEDIF($I19-1,AA$15+1,"m"),)/12,)-1,)*Index!W$22*(AA$15&lt;=$J19)*(1-AA$12)</f>
        <v>2445.8379999999997</v>
      </c>
      <c r="AB19" s="747">
        <f>$G19*$H19*(1+$K19)^MAX(ROUNDUP(IFERROR(DATEDIF($I19-1,AB$15+1,"m"),)/12,)-1,)*Index!X$22*(AB$15&lt;=$J19)*(1-AB$12)</f>
        <v>2445.8379999999997</v>
      </c>
      <c r="AC19" s="747">
        <f>$G19*$H19*(1+$K19)^MAX(ROUNDUP(IFERROR(DATEDIF($I19-1,AC$15+1,"m"),)/12,)-1,)*Index!Y$22*(AC$15&lt;=$J19)*(1-AC$12)</f>
        <v>2506.9839499999994</v>
      </c>
      <c r="AD19" s="747">
        <f>$G19*$H19*(1+$K19)^MAX(ROUNDUP(IFERROR(DATEDIF($I19-1,AD$15+1,"m"),)/12,)-1,)*Index!Z$22*(AD$15&lt;=$J19)*(1-AD$12)</f>
        <v>2506.9839499999994</v>
      </c>
      <c r="AE19" s="747">
        <f>$G19*$H19*(1+$K19)^MAX(ROUNDUP(IFERROR(DATEDIF($I19-1,AE$15+1,"m"),)/12,)-1,)*Index!AA$22*(AE$15&lt;=$J19)*(1-AE$12)</f>
        <v>2506.9839499999994</v>
      </c>
      <c r="AF19" s="747">
        <f>$G19*$H19*(1+$K19)^MAX(ROUNDUP(IFERROR(DATEDIF($I19-1,AF$15+1,"m"),)/12,)-1,)*Index!AB$22*(AF$15&lt;=$J19)*(1-AF$12)</f>
        <v>2506.9839499999994</v>
      </c>
      <c r="AG19" s="747">
        <f>$G19*$H19*(1+$K19)^MAX(ROUNDUP(IFERROR(DATEDIF($I19-1,AG$15+1,"m"),)/12,)-1,)*Index!AC$22*(AG$15&lt;=$J19)*(1-AG$12)</f>
        <v>2506.9839499999994</v>
      </c>
      <c r="AH19" s="747">
        <f>$G19*$H19*(1+$K19)^MAX(ROUNDUP(IFERROR(DATEDIF($I19-1,AH$15+1,"m"),)/12,)-1,)*Index!AD$22*(AH$15&lt;=$J19)*(1-AH$12)</f>
        <v>2506.9839499999994</v>
      </c>
      <c r="AI19" s="747">
        <f>$G19*$H19*(1+$K19)^MAX(ROUNDUP(IFERROR(DATEDIF($I19-1,AI$15+1,"m"),)/12,)-1,)*Index!AE$22*(AI$15&lt;=$J19)*(1-AI$12)</f>
        <v>2506.9839499999994</v>
      </c>
      <c r="AJ19" s="747">
        <f>$G19*$H19*(1+$K19)^MAX(ROUNDUP(IFERROR(DATEDIF($I19-1,AJ$15+1,"m"),)/12,)-1,)*Index!AF$22*(AJ$15&lt;=$J19)*(1-AJ$12)</f>
        <v>2506.9839499999994</v>
      </c>
      <c r="AK19" s="747">
        <f>$G19*$H19*(1+$K19)^MAX(ROUNDUP(IFERROR(DATEDIF($I19-1,AK$15+1,"m"),)/12,)-1,)*Index!AG$22*(AK$15&lt;=$J19)*(1-AK$12)</f>
        <v>2506.9839499999994</v>
      </c>
      <c r="AL19" s="747">
        <f>$G19*$H19*(1+$K19)^MAX(ROUNDUP(IFERROR(DATEDIF($I19-1,AL$15+1,"m"),)/12,)-1,)*Index!AH$22*(AL$15&lt;=$J19)*(1-AL$12)</f>
        <v>2506.9839499999994</v>
      </c>
      <c r="AM19" s="747">
        <f>$G19*$H19*(1+$K19)^MAX(ROUNDUP(IFERROR(DATEDIF($I19-1,AM$15+1,"m"),)/12,)-1,)*Index!AI$22*(AM$15&lt;=$J19)*(1-AM$12)</f>
        <v>2506.9839499999994</v>
      </c>
      <c r="AN19" s="747">
        <f>$G19*$H19*(1+$K19)^MAX(ROUNDUP(IFERROR(DATEDIF($I19-1,AN$15+1,"m"),)/12,)-1,)*Index!AJ$22*(AN$15&lt;=$J19)*(1-AN$12)</f>
        <v>2506.9839499999994</v>
      </c>
      <c r="AO19" s="747">
        <f>$G19*$H19*(1+$K19)^MAX(ROUNDUP(IFERROR(DATEDIF($I19-1,AO$15+1,"m"),)/12,)-1,)*Index!AK$22*(AO$15&lt;=$J19)*(1-AO$12)</f>
        <v>2569.6585487499997</v>
      </c>
      <c r="AP19" s="747">
        <f>$G19*$H19*(1+$K19)^MAX(ROUNDUP(IFERROR(DATEDIF($I19-1,AP$15+1,"m"),)/12,)-1,)*Index!AL$22*(AP$15&lt;=$J19)*(1-AP$12)</f>
        <v>2569.6585487499997</v>
      </c>
      <c r="AQ19" s="747">
        <f>$G19*$H19*(1+$K19)^MAX(ROUNDUP(IFERROR(DATEDIF($I19-1,AQ$15+1,"m"),)/12,)-1,)*Index!AM$22*(AQ$15&lt;=$J19)*(1-AQ$12)</f>
        <v>2569.6585487499997</v>
      </c>
      <c r="AR19" s="747">
        <f>$G19*$H19*(1+$K19)^MAX(ROUNDUP(IFERROR(DATEDIF($I19-1,AR$15+1,"m"),)/12,)-1,)*Index!AN$22*(AR$15&lt;=$J19)*(1-AR$12)</f>
        <v>2569.6585487499997</v>
      </c>
      <c r="AS19" s="747">
        <f>$G19*$H19*(1+$K19)^MAX(ROUNDUP(IFERROR(DATEDIF($I19-1,AS$15+1,"m"),)/12,)-1,)*Index!AO$22*(AS$15&lt;=$J19)*(1-AS$12)</f>
        <v>2569.6585487499997</v>
      </c>
      <c r="AT19" s="747">
        <f>$G19*$H19*(1+$K19)^MAX(ROUNDUP(IFERROR(DATEDIF($I19-1,AT$15+1,"m"),)/12,)-1,)*Index!AP$22*(AT$15&lt;=$J19)*(1-AT$12)</f>
        <v>2569.6585487499997</v>
      </c>
      <c r="AU19" s="747">
        <f>$G19*$H19*(1+$K19)^MAX(ROUNDUP(IFERROR(DATEDIF($I19-1,AU$15+1,"m"),)/12,)-1,)*Index!AQ$22*(AU$15&lt;=$J19)*(1-AU$12)</f>
        <v>2569.6585487499997</v>
      </c>
      <c r="AV19" s="747">
        <f>$G19*$H19*(1+$K19)^MAX(ROUNDUP(IFERROR(DATEDIF($I19-1,AV$15+1,"m"),)/12,)-1,)*Index!AR$22*(AV$15&lt;=$J19)*(1-AV$12)</f>
        <v>2569.6585487499997</v>
      </c>
      <c r="AW19" s="747">
        <f>$G19*$H19*(1+$K19)^MAX(ROUNDUP(IFERROR(DATEDIF($I19-1,AW$15+1,"m"),)/12,)-1,)*Index!AS$22*(AW$15&lt;=$J19)*(1-AW$12)</f>
        <v>2569.6585487499997</v>
      </c>
      <c r="AX19" s="747">
        <f>$G19*$H19*(1+$K19)^MAX(ROUNDUP(IFERROR(DATEDIF($I19-1,AX$15+1,"m"),)/12,)-1,)*Index!AT$22*(AX$15&lt;=$J19)*(1-AX$12)</f>
        <v>2569.6585487499997</v>
      </c>
      <c r="AY19" s="747">
        <f>$G19*$H19*(1+$K19)^MAX(ROUNDUP(IFERROR(DATEDIF($I19-1,AY$15+1,"m"),)/12,)-1,)*Index!AU$22*(AY$15&lt;=$J19)*(1-AY$12)</f>
        <v>2569.6585487499997</v>
      </c>
      <c r="AZ19" s="747">
        <f>$G19*$H19*(1+$K19)^MAX(ROUNDUP(IFERROR(DATEDIF($I19-1,AZ$15+1,"m"),)/12,)-1,)*Index!AV$22*(AZ$15&lt;=$J19)*(1-AZ$12)</f>
        <v>2569.6585487499997</v>
      </c>
      <c r="BA19" s="747">
        <f>$G19*$H19*(1+$K19)^MAX(ROUNDUP(IFERROR(DATEDIF($I19-1,BA$15+1,"m"),)/12,)-1,)*Index!AW$22*(BA$15&lt;=$J19)*(1-BA$12)</f>
        <v>2633.9000124687495</v>
      </c>
      <c r="BB19" s="747">
        <f>$G19*$H19*(1+$K19)^MAX(ROUNDUP(IFERROR(DATEDIF($I19-1,BB$15+1,"m"),)/12,)-1,)*Index!AX$22*(BB$15&lt;=$J19)*(1-BB$12)</f>
        <v>2633.9000124687495</v>
      </c>
      <c r="BC19" s="747">
        <f>$G19*$H19*(1+$K19)^MAX(ROUNDUP(IFERROR(DATEDIF($I19-1,BC$15+1,"m"),)/12,)-1,)*Index!AY$22*(BC$15&lt;=$J19)*(1-BC$12)</f>
        <v>2633.9000124687495</v>
      </c>
      <c r="BD19" s="747">
        <f>$G19*$H19*(1+$K19)^MAX(ROUNDUP(IFERROR(DATEDIF($I19-1,BD$15+1,"m"),)/12,)-1,)*Index!AZ$22*(BD$15&lt;=$J19)*(1-BD$12)</f>
        <v>2633.9000124687495</v>
      </c>
      <c r="BE19" s="747">
        <f>$G19*$H19*(1+$K19)^MAX(ROUNDUP(IFERROR(DATEDIF($I19-1,BE$15+1,"m"),)/12,)-1,)*Index!BA$22*(BE$15&lt;=$J19)*(1-BE$12)</f>
        <v>2633.9000124687495</v>
      </c>
      <c r="BF19" s="747">
        <f>$G19*$H19*(1+$K19)^MAX(ROUNDUP(IFERROR(DATEDIF($I19-1,BF$15+1,"m"),)/12,)-1,)*Index!BB$22*(BF$15&lt;=$J19)*(1-BF$12)</f>
        <v>2633.9000124687495</v>
      </c>
      <c r="BG19" s="747">
        <f>$G19*$H19*(1+$K19)^MAX(ROUNDUP(IFERROR(DATEDIF($I19-1,BG$15+1,"m"),)/12,)-1,)*Index!BC$22*(BG$15&lt;=$J19)*(1-BG$12)</f>
        <v>2633.9000124687495</v>
      </c>
      <c r="BH19" s="747">
        <f>$G19*$H19*(1+$K19)^MAX(ROUNDUP(IFERROR(DATEDIF($I19-1,BH$15+1,"m"),)/12,)-1,)*Index!BD$22*(BH$15&lt;=$J19)*(1-BH$12)</f>
        <v>2633.9000124687495</v>
      </c>
      <c r="BI19" s="747">
        <f>$G19*$H19*(1+$K19)^MAX(ROUNDUP(IFERROR(DATEDIF($I19-1,BI$15+1,"m"),)/12,)-1,)*Index!BE$22*(BI$15&lt;=$J19)*(1-BI$12)</f>
        <v>2633.9000124687495</v>
      </c>
      <c r="BJ19" s="747">
        <f>$G19*$H19*(1+$K19)^MAX(ROUNDUP(IFERROR(DATEDIF($I19-1,BJ$15+1,"m"),)/12,)-1,)*Index!BF$22*(BJ$15&lt;=$J19)*(1-BJ$12)</f>
        <v>2633.9000124687495</v>
      </c>
      <c r="BK19" s="747">
        <f>$G19*$H19*(1+$K19)^MAX(ROUNDUP(IFERROR(DATEDIF($I19-1,BK$15+1,"m"),)/12,)-1,)*Index!BG$22*(BK$15&lt;=$J19)*(1-BK$12)</f>
        <v>2633.9000124687495</v>
      </c>
      <c r="BL19" s="747">
        <f>$G19*$H19*(1+$K19)^MAX(ROUNDUP(IFERROR(DATEDIF($I19-1,BL$15+1,"m"),)/12,)-1,)*Index!BH$22*(BL$15&lt;=$J19)*(1-BL$12)</f>
        <v>2633.9000124687495</v>
      </c>
      <c r="BM19" s="747">
        <f>$G19*$H19*(1+$K19)^MAX(ROUNDUP(IFERROR(DATEDIF($I19-1,BM$15+1,"m"),)/12,)-1,)*Index!BI$22*(BM$15&lt;=$J19)*(1-BM$12)</f>
        <v>2699.7475127804678</v>
      </c>
      <c r="BN19" s="747">
        <f>$G19*$H19*(1+$K19)^MAX(ROUNDUP(IFERROR(DATEDIF($I19-1,BN$15+1,"m"),)/12,)-1,)*Index!BJ$22*(BN$15&lt;=$J19)*(1-BN$12)</f>
        <v>2699.7475127804678</v>
      </c>
      <c r="BO19" s="747">
        <f>$G19*$H19*(1+$K19)^MAX(ROUNDUP(IFERROR(DATEDIF($I19-1,BO$15+1,"m"),)/12,)-1,)*Index!BK$22*(BO$15&lt;=$J19)*(1-BO$12)</f>
        <v>2699.7475127804678</v>
      </c>
      <c r="BP19" s="747">
        <f>$G19*$H19*(1+$K19)^MAX(ROUNDUP(IFERROR(DATEDIF($I19-1,BP$15+1,"m"),)/12,)-1,)*Index!BL$22*(BP$15&lt;=$J19)*(1-BP$12)</f>
        <v>2699.7475127804678</v>
      </c>
      <c r="BQ19" s="747">
        <f>$G19*$H19*(1+$K19)^MAX(ROUNDUP(IFERROR(DATEDIF($I19-1,BQ$15+1,"m"),)/12,)-1,)*Index!BM$22*(BQ$15&lt;=$J19)*(1-BQ$12)</f>
        <v>2699.7475127804678</v>
      </c>
      <c r="BR19" s="747">
        <f>$G19*$H19*(1+$K19)^MAX(ROUNDUP(IFERROR(DATEDIF($I19-1,BR$15+1,"m"),)/12,)-1,)*Index!BN$22*(BR$15&lt;=$J19)*(1-BR$12)</f>
        <v>2699.7475127804678</v>
      </c>
      <c r="BS19" s="747">
        <f>$G19*$H19*(1+$K19)^MAX(ROUNDUP(IFERROR(DATEDIF($I19-1,BS$15+1,"m"),)/12,)-1,)*Index!BO$22*(BS$15&lt;=$J19)*(1-BS$12)</f>
        <v>2699.7475127804678</v>
      </c>
      <c r="BT19" s="747">
        <f>$G19*$H19*(1+$K19)^MAX(ROUNDUP(IFERROR(DATEDIF($I19-1,BT$15+1,"m"),)/12,)-1,)*Index!BP$22*(BT$15&lt;=$J19)*(1-BT$12)</f>
        <v>2699.7475127804678</v>
      </c>
      <c r="BU19" s="747">
        <f>$G19*$H19*(1+$K19)^MAX(ROUNDUP(IFERROR(DATEDIF($I19-1,BU$15+1,"m"),)/12,)-1,)*Index!BQ$22*(BU$15&lt;=$J19)*(1-BU$12)</f>
        <v>2699.7475127804678</v>
      </c>
      <c r="BV19" s="747">
        <f>$G19*$H19*(1+$K19)^MAX(ROUNDUP(IFERROR(DATEDIF($I19-1,BV$15+1,"m"),)/12,)-1,)*Index!BR$22*(BV$15&lt;=$J19)*(1-BV$12)</f>
        <v>2699.7475127804678</v>
      </c>
      <c r="BW19" s="747">
        <f>$G19*$H19*(1+$K19)^MAX(ROUNDUP(IFERROR(DATEDIF($I19-1,BW$15+1,"m"),)/12,)-1,)*Index!BS$22*(BW$15&lt;=$J19)*(1-BW$12)</f>
        <v>2699.7475127804678</v>
      </c>
      <c r="BX19" s="747">
        <f>$G19*$H19*(1+$K19)^MAX(ROUNDUP(IFERROR(DATEDIF($I19-1,BX$15+1,"m"),)/12,)-1,)*Index!BT$22*(BX$15&lt;=$J19)*(1-BX$12)</f>
        <v>2699.7475127804678</v>
      </c>
      <c r="BY19" s="747">
        <f>$G19*$H19*(1+$K19)^MAX(ROUNDUP(IFERROR(DATEDIF($I19-1,BY$15+1,"m"),)/12,)-1,)*Index!BU$22*(BY$15&lt;=$J19)*(1-BY$12)</f>
        <v>2767.2412005999795</v>
      </c>
      <c r="BZ19" s="747">
        <f>$G19*$H19*(1+$K19)^MAX(ROUNDUP(IFERROR(DATEDIF($I19-1,BZ$15+1,"m"),)/12,)-1,)*Index!BV$22*(BZ$15&lt;=$J19)*(1-BZ$12)</f>
        <v>2767.2412005999795</v>
      </c>
      <c r="CA19" s="747">
        <f>$G19*$H19*(1+$K19)^MAX(ROUNDUP(IFERROR(DATEDIF($I19-1,CA$15+1,"m"),)/12,)-1,)*Index!BW$22*(CA$15&lt;=$J19)*(1-CA$12)</f>
        <v>2767.2412005999795</v>
      </c>
      <c r="CB19" s="747">
        <f>$G19*$H19*(1+$K19)^MAX(ROUNDUP(IFERROR(DATEDIF($I19-1,CB$15+1,"m"),)/12,)-1,)*Index!BX$22*(CB$15&lt;=$J19)*(1-CB$12)</f>
        <v>2767.2412005999795</v>
      </c>
      <c r="CC19" s="747">
        <f>$G19*$H19*(1+$K19)^MAX(ROUNDUP(IFERROR(DATEDIF($I19-1,CC$15+1,"m"),)/12,)-1,)*Index!BY$22*(CC$15&lt;=$J19)*(1-CC$12)</f>
        <v>2767.2412005999795</v>
      </c>
      <c r="CD19" s="747">
        <f>$G19*$H19*(1+$K19)^MAX(ROUNDUP(IFERROR(DATEDIF($I19-1,CD$15+1,"m"),)/12,)-1,)*Index!BZ$22*(CD$15&lt;=$J19)*(1-CD$12)</f>
        <v>2767.2412005999795</v>
      </c>
      <c r="CE19" s="747">
        <f>$G19*$H19*(1+$K19)^MAX(ROUNDUP(IFERROR(DATEDIF($I19-1,CE$15+1,"m"),)/12,)-1,)*Index!CA$22*(CE$15&lt;=$J19)*(1-CE$12)</f>
        <v>2767.2412005999795</v>
      </c>
      <c r="CF19" s="747">
        <f>$G19*$H19*(1+$K19)^MAX(ROUNDUP(IFERROR(DATEDIF($I19-1,CF$15+1,"m"),)/12,)-1,)*Index!CB$22*(CF$15&lt;=$J19)*(1-CF$12)</f>
        <v>2767.2412005999795</v>
      </c>
      <c r="CG19" s="747">
        <f>$G19*$H19*(1+$K19)^MAX(ROUNDUP(IFERROR(DATEDIF($I19-1,CG$15+1,"m"),)/12,)-1,)*Index!CC$22*(CG$15&lt;=$J19)*(1-CG$12)</f>
        <v>2767.2412005999795</v>
      </c>
      <c r="CH19" s="747">
        <f>$G19*$H19*(1+$K19)^MAX(ROUNDUP(IFERROR(DATEDIF($I19-1,CH$15+1,"m"),)/12,)-1,)*Index!CD$22*(CH$15&lt;=$J19)*(1-CH$12)</f>
        <v>2767.2412005999795</v>
      </c>
      <c r="CI19" s="747">
        <f>$G19*$H19*(1+$K19)^MAX(ROUNDUP(IFERROR(DATEDIF($I19-1,CI$15+1,"m"),)/12,)-1,)*Index!CE$22*(CI$15&lt;=$J19)*(1-CI$12)</f>
        <v>2767.2412005999795</v>
      </c>
      <c r="CJ19" s="747">
        <f>$G19*$H19*(1+$K19)^MAX(ROUNDUP(IFERROR(DATEDIF($I19-1,CJ$15+1,"m"),)/12,)-1,)*Index!CF$22*(CJ$15&lt;=$J19)*(1-CJ$12)</f>
        <v>2767.2412005999795</v>
      </c>
      <c r="CK19" s="747">
        <f>$G19*$H19*(1+$K19)^MAX(ROUNDUP(IFERROR(DATEDIF($I19-1,CK$15+1,"m"),)/12,)-1,)*Index!CG$22*(CK$15&lt;=$J19)*(1-CK$12)</f>
        <v>2836.4222306149786</v>
      </c>
      <c r="CL19" s="747">
        <f>$G19*$H19*(1+$K19)^MAX(ROUNDUP(IFERROR(DATEDIF($I19-1,CL$15+1,"m"),)/12,)-1,)*Index!CH$22*(CL$15&lt;=$J19)*(1-CL$12)</f>
        <v>2836.4222306149786</v>
      </c>
      <c r="CM19" s="747">
        <f>$G19*$H19*(1+$K19)^MAX(ROUNDUP(IFERROR(DATEDIF($I19-1,CM$15+1,"m"),)/12,)-1,)*Index!CI$22*(CM$15&lt;=$J19)*(1-CM$12)</f>
        <v>2836.4222306149786</v>
      </c>
      <c r="CN19" s="747">
        <f>$G19*$H19*(1+$K19)^MAX(ROUNDUP(IFERROR(DATEDIF($I19-1,CN$15+1,"m"),)/12,)-1,)*Index!CJ$22*(CN$15&lt;=$J19)*(1-CN$12)</f>
        <v>2836.4222306149786</v>
      </c>
      <c r="CO19" s="747">
        <f>$G19*$H19*(1+$K19)^MAX(ROUNDUP(IFERROR(DATEDIF($I19-1,CO$15+1,"m"),)/12,)-1,)*Index!CK$22*(CO$15&lt;=$J19)*(1-CO$12)</f>
        <v>2836.4222306149786</v>
      </c>
      <c r="CP19" s="747">
        <f>$G19*$H19*(1+$K19)^MAX(ROUNDUP(IFERROR(DATEDIF($I19-1,CP$15+1,"m"),)/12,)-1,)*Index!CL$22*(CP$15&lt;=$J19)*(1-CP$12)</f>
        <v>2836.4222306149786</v>
      </c>
      <c r="CQ19" s="747">
        <f>$G19*$H19*(1+$K19)^MAX(ROUNDUP(IFERROR(DATEDIF($I19-1,CQ$15+1,"m"),)/12,)-1,)*Index!CM$22*(CQ$15&lt;=$J19)*(1-CQ$12)</f>
        <v>2836.4222306149786</v>
      </c>
      <c r="CR19" s="747">
        <f>$G19*$H19*(1+$K19)^MAX(ROUNDUP(IFERROR(DATEDIF($I19-1,CR$15+1,"m"),)/12,)-1,)*Index!CN$22*(CR$15&lt;=$J19)*(1-CR$12)</f>
        <v>2836.4222306149786</v>
      </c>
      <c r="CS19" s="747">
        <f>$G19*$H19*(1+$K19)^MAX(ROUNDUP(IFERROR(DATEDIF($I19-1,CS$15+1,"m"),)/12,)-1,)*Index!CO$22*(CS$15&lt;=$J19)*(1-CS$12)</f>
        <v>2836.4222306149786</v>
      </c>
      <c r="CT19" s="747">
        <f>$G19*$H19*(1+$K19)^MAX(ROUNDUP(IFERROR(DATEDIF($I19-1,CT$15+1,"m"),)/12,)-1,)*Index!CP$22*(CT$15&lt;=$J19)*(1-CT$12)</f>
        <v>2836.4222306149786</v>
      </c>
      <c r="CU19" s="747">
        <f>$G19*$H19*(1+$K19)^MAX(ROUNDUP(IFERROR(DATEDIF($I19-1,CU$15+1,"m"),)/12,)-1,)*Index!CQ$22*(CU$15&lt;=$J19)*(1-CU$12)</f>
        <v>2836.4222306149786</v>
      </c>
      <c r="CV19" s="747">
        <f>$G19*$H19*(1+$K19)^MAX(ROUNDUP(IFERROR(DATEDIF($I19-1,CV$15+1,"m"),)/12,)-1,)*Index!CR$22*(CV$15&lt;=$J19)*(1-CV$12)</f>
        <v>2836.4222306149786</v>
      </c>
      <c r="CW19" s="747">
        <f>$G19*$H19*(1+$K19)^MAX(ROUNDUP(IFERROR(DATEDIF($I19-1,CW$15+1,"m"),)/12,)-1,)*Index!CS$22*(CW$15&lt;=$J19)*(1-CW$12)</f>
        <v>2907.3327863803534</v>
      </c>
      <c r="CX19" s="747">
        <f>$G19*$H19*(1+$K19)^MAX(ROUNDUP(IFERROR(DATEDIF($I19-1,CX$15+1,"m"),)/12,)-1,)*Index!CT$22*(CX$15&lt;=$J19)*(1-CX$12)</f>
        <v>2907.3327863803534</v>
      </c>
      <c r="CY19" s="747">
        <f>$G19*$H19*(1+$K19)^MAX(ROUNDUP(IFERROR(DATEDIF($I19-1,CY$15+1,"m"),)/12,)-1,)*Index!CU$22*(CY$15&lt;=$J19)*(1-CY$12)</f>
        <v>2907.3327863803534</v>
      </c>
      <c r="CZ19" s="747">
        <f>$G19*$H19*(1+$K19)^MAX(ROUNDUP(IFERROR(DATEDIF($I19-1,CZ$15+1,"m"),)/12,)-1,)*Index!CV$22*(CZ$15&lt;=$J19)*(1-CZ$12)</f>
        <v>2907.3327863803534</v>
      </c>
      <c r="DA19" s="747">
        <f>$G19*$H19*(1+$K19)^MAX(ROUNDUP(IFERROR(DATEDIF($I19-1,DA$15+1,"m"),)/12,)-1,)*Index!CW$22*(DA$15&lt;=$J19)*(1-DA$12)</f>
        <v>2907.3327863803534</v>
      </c>
      <c r="DB19" s="747">
        <f>$G19*$H19*(1+$K19)^MAX(ROUNDUP(IFERROR(DATEDIF($I19-1,DB$15+1,"m"),)/12,)-1,)*Index!CX$22*(DB$15&lt;=$J19)*(1-DB$12)</f>
        <v>2907.3327863803534</v>
      </c>
      <c r="DC19" s="747">
        <f>$G19*$H19*(1+$K19)^MAX(ROUNDUP(IFERROR(DATEDIF($I19-1,DC$15+1,"m"),)/12,)-1,)*Index!CY$22*(DC$15&lt;=$J19)*(1-DC$12)</f>
        <v>0</v>
      </c>
      <c r="DD19" s="747">
        <f>$G19*$H19*(1+$K19)^MAX(ROUNDUP(IFERROR(DATEDIF($I19-1,DD$15+1,"m"),)/12,)-1,)*Index!CZ$22*(DD$15&lt;=$J19)*(1-DD$12)</f>
        <v>0</v>
      </c>
      <c r="DE19" s="747">
        <f>$G19*$H19*(1+$K19)^MAX(ROUNDUP(IFERROR(DATEDIF($I19-1,DE$15+1,"m"),)/12,)-1,)*Index!DA$22*(DE$15&lt;=$J19)*(1-DE$12)</f>
        <v>0</v>
      </c>
      <c r="DF19" s="747">
        <f>$G19*$H19*(1+$K19)^MAX(ROUNDUP(IFERROR(DATEDIF($I19-1,DF$15+1,"m"),)/12,)-1,)*Index!DB$22*(DF$15&lt;=$J19)*(1-DF$12)</f>
        <v>0</v>
      </c>
      <c r="DG19" s="747">
        <f>$G19*$H19*(1+$K19)^MAX(ROUNDUP(IFERROR(DATEDIF($I19-1,DG$15+1,"m"),)/12,)-1,)*Index!DC$22*(DG$15&lt;=$J19)*(1-DG$12)</f>
        <v>0</v>
      </c>
      <c r="DH19" s="747">
        <f>$G19*$H19*(1+$K19)^MAX(ROUNDUP(IFERROR(DATEDIF($I19-1,DH$15+1,"m"),)/12,)-1,)*Index!DD$22*(DH$15&lt;=$J19)*(1-DH$12)</f>
        <v>0</v>
      </c>
      <c r="DI19" s="747">
        <f>$G19*$H19*(1+$K19)^MAX(ROUNDUP(IFERROR(DATEDIF($I19-1,DI$15+1,"m"),)/12,)-1,)*Index!DE$22*(DI$15&lt;=$J19)*(1-DI$12)</f>
        <v>0</v>
      </c>
      <c r="DJ19" s="747">
        <f>$G19*$H19*(1+$K19)^MAX(ROUNDUP(IFERROR(DATEDIF($I19-1,DJ$15+1,"m"),)/12,)-1,)*Index!DF$22*(DJ$15&lt;=$J19)*(1-DJ$12)</f>
        <v>0</v>
      </c>
      <c r="DK19" s="747">
        <f>$G19*$H19*(1+$K19)^MAX(ROUNDUP(IFERROR(DATEDIF($I19-1,DK$15+1,"m"),)/12,)-1,)*Index!DG$22*(DK$15&lt;=$J19)*(1-DK$12)</f>
        <v>0</v>
      </c>
      <c r="DL19" s="747">
        <f>$G19*$H19*(1+$K19)^MAX(ROUNDUP(IFERROR(DATEDIF($I19-1,DL$15+1,"m"),)/12,)-1,)*Index!DH$22*(DL$15&lt;=$J19)*(1-DL$12)</f>
        <v>0</v>
      </c>
      <c r="DM19" s="747">
        <f>$G19*$H19*(1+$K19)^MAX(ROUNDUP(IFERROR(DATEDIF($I19-1,DM$15+1,"m"),)/12,)-1,)*Index!DI$22*(DM$15&lt;=$J19)*(1-DM$12)</f>
        <v>0</v>
      </c>
      <c r="DN19" s="747">
        <f>$G19*$H19*(1+$K19)^MAX(ROUNDUP(IFERROR(DATEDIF($I19-1,DN$15+1,"m"),)/12,)-1,)*Index!DJ$22*(DN$15&lt;=$J19)*(1-DN$12)</f>
        <v>0</v>
      </c>
      <c r="DO19" s="747">
        <f>$G19*$H19*(1+$K19)^MAX(ROUNDUP(IFERROR(DATEDIF($I19-1,DO$15+1,"m"),)/12,)-1,)*Index!DK$22*(DO$15&lt;=$J19)*(1-DO$12)</f>
        <v>0</v>
      </c>
      <c r="DP19" s="747">
        <f>$G19*$H19*(1+$K19)^MAX(ROUNDUP(IFERROR(DATEDIF($I19-1,DP$15+1,"m"),)/12,)-1,)*Index!DL$22*(DP$15&lt;=$J19)*(1-DP$12)</f>
        <v>0</v>
      </c>
      <c r="DQ19" s="747">
        <f>$G19*$H19*(1+$K19)^MAX(ROUNDUP(IFERROR(DATEDIF($I19-1,DQ$15+1,"m"),)/12,)-1,)*Index!DM$22*(DQ$15&lt;=$J19)*(1-DQ$12)</f>
        <v>0</v>
      </c>
      <c r="DR19" s="747">
        <f>$G19*$H19*(1+$K19)^MAX(ROUNDUP(IFERROR(DATEDIF($I19-1,DR$15+1,"m"),)/12,)-1,)*Index!DN$22*(DR$15&lt;=$J19)*(1-DR$12)</f>
        <v>0</v>
      </c>
      <c r="DS19" s="747">
        <f>$G19*$H19*(1+$K19)^MAX(ROUNDUP(IFERROR(DATEDIF($I19-1,DS$15+1,"m"),)/12,)-1,)*Index!DO$22*(DS$15&lt;=$J19)*(1-DS$12)</f>
        <v>0</v>
      </c>
      <c r="DT19" s="747">
        <f>$G19*$H19*(1+$K19)^MAX(ROUNDUP(IFERROR(DATEDIF($I19-1,DT$15+1,"m"),)/12,)-1,)*Index!DP$22*(DT$15&lt;=$J19)*(1-DT$12)</f>
        <v>0</v>
      </c>
      <c r="DU19" s="747">
        <f>$G19*$H19*(1+$K19)^MAX(ROUNDUP(IFERROR(DATEDIF($I19-1,DU$15+1,"m"),)/12,)-1,)*Index!DQ$22*(DU$15&lt;=$J19)*(1-DU$12)</f>
        <v>0</v>
      </c>
      <c r="DV19" s="747">
        <f>$G19*$H19*(1+$K19)^MAX(ROUNDUP(IFERROR(DATEDIF($I19-1,DV$15+1,"m"),)/12,)-1,)*Index!DR$22*(DV$15&lt;=$J19)*(1-DV$12)</f>
        <v>0</v>
      </c>
      <c r="DW19" s="747">
        <f>$G19*$H19*(1+$K19)^MAX(ROUNDUP(IFERROR(DATEDIF($I19-1,DW$15+1,"m"),)/12,)-1,)*Index!DS$22*(DW$15&lt;=$J19)*(1-DW$12)</f>
        <v>0</v>
      </c>
      <c r="DX19" s="747">
        <f>$G19*$H19*(1+$K19)^MAX(ROUNDUP(IFERROR(DATEDIF($I19-1,DX$15+1,"m"),)/12,)-1,)*Index!DT$22*(DX$15&lt;=$J19)*(1-DX$12)</f>
        <v>0</v>
      </c>
      <c r="DY19" s="747">
        <f>$G19*$H19*(1+$K19)^MAX(ROUNDUP(IFERROR(DATEDIF($I19-1,DY$15+1,"m"),)/12,)-1,)*Index!DU$22*(DY$15&lt;=$J19)*(1-DY$12)</f>
        <v>0</v>
      </c>
      <c r="DZ19" s="747">
        <f>$G19*$H19*(1+$K19)^MAX(ROUNDUP(IFERROR(DATEDIF($I19-1,DZ$15+1,"m"),)/12,)-1,)*Index!DV$22*(DZ$15&lt;=$J19)*(1-DZ$12)</f>
        <v>0</v>
      </c>
      <c r="EA19" s="747">
        <f>$G19*$H19*(1+$K19)^MAX(ROUNDUP(IFERROR(DATEDIF($I19-1,EA$15+1,"m"),)/12,)-1,)*Index!DW$22*(EA$15&lt;=$J19)*(1-EA$12)</f>
        <v>0</v>
      </c>
      <c r="EB19" s="747">
        <f>$G19*$H19*(1+$K19)^MAX(ROUNDUP(IFERROR(DATEDIF($I19-1,EB$15+1,"m"),)/12,)-1,)*Index!DX$22*(EB$15&lt;=$J19)*(1-EB$12)</f>
        <v>0</v>
      </c>
      <c r="EC19" s="747">
        <f>$G19*$H19*(1+$K19)^MAX(ROUNDUP(IFERROR(DATEDIF($I19-1,EC$15+1,"m"),)/12,)-1,)*Index!DY$22*(EC$15&lt;=$J19)*(1-EC$12)</f>
        <v>0</v>
      </c>
      <c r="ED19" s="747">
        <f>$G19*$H19*(1+$K19)^MAX(ROUNDUP(IFERROR(DATEDIF($I19-1,ED$15+1,"m"),)/12,)-1,)*Index!DZ$22*(ED$15&lt;=$J19)*(1-ED$12)</f>
        <v>0</v>
      </c>
      <c r="EE19" s="747">
        <f>$G19*$H19*(1+$K19)^MAX(ROUNDUP(IFERROR(DATEDIF($I19-1,EE$15+1,"m"),)/12,)-1,)*Index!EA$22*(EE$15&lt;=$J19)*(1-EE$12)</f>
        <v>0</v>
      </c>
      <c r="EF19" s="747">
        <f>$G19*$H19*(1+$K19)^MAX(ROUNDUP(IFERROR(DATEDIF($I19-1,EF$15+1,"m"),)/12,)-1,)*Index!EB$22*(EF$15&lt;=$J19)*(1-EF$12)</f>
        <v>0</v>
      </c>
      <c r="EG19" s="747">
        <f>$G19*$H19*(1+$K19)^MAX(ROUNDUP(IFERROR(DATEDIF($I19-1,EG$15+1,"m"),)/12,)-1,)*Index!EC$22*(EG$15&lt;=$J19)*(1-EG$12)</f>
        <v>0</v>
      </c>
      <c r="EH19" s="747">
        <f>$G19*$H19*(1+$K19)^MAX(ROUNDUP(IFERROR(DATEDIF($I19-1,EH$15+1,"m"),)/12,)-1,)*Index!ED$22*(EH$15&lt;=$J19)*(1-EH$12)</f>
        <v>0</v>
      </c>
      <c r="EI19" s="747">
        <f>$G19*$H19*(1+$K19)^MAX(ROUNDUP(IFERROR(DATEDIF($I19-1,EI$15+1,"m"),)/12,)-1,)*Index!EE$22*(EI$15&lt;=$J19)*(1-EI$12)</f>
        <v>0</v>
      </c>
      <c r="EJ19" s="747">
        <f>$G19*$H19*(1+$K19)^MAX(ROUNDUP(IFERROR(DATEDIF($I19-1,EJ$15+1,"m"),)/12,)-1,)*Index!EF$22*(EJ$15&lt;=$J19)*(1-EJ$12)</f>
        <v>0</v>
      </c>
      <c r="EK19" s="747">
        <f>$G19*$H19*(1+$K19)^MAX(ROUNDUP(IFERROR(DATEDIF($I19-1,EK$15+1,"m"),)/12,)-1,)*Index!EG$22*(EK$15&lt;=$J19)*(1-EK$12)</f>
        <v>0</v>
      </c>
      <c r="EL19" s="747">
        <f>$G19*$H19*(1+$K19)^MAX(ROUNDUP(IFERROR(DATEDIF($I19-1,EL$15+1,"m"),)/12,)-1,)*Index!EH$22*(EL$15&lt;=$J19)*(1-EL$12)</f>
        <v>0</v>
      </c>
      <c r="EM19" s="747">
        <f>$G19*$H19*(1+$K19)^MAX(ROUNDUP(IFERROR(DATEDIF($I19-1,EM$15+1,"m"),)/12,)-1,)*Index!EI$22*(EM$15&lt;=$J19)*(1-EM$12)</f>
        <v>0</v>
      </c>
      <c r="EN19" s="747">
        <f>$G19*$H19*(1+$K19)^MAX(ROUNDUP(IFERROR(DATEDIF($I19-1,EN$15+1,"m"),)/12,)-1,)*Index!EJ$22*(EN$15&lt;=$J19)*(1-EN$12)</f>
        <v>0</v>
      </c>
      <c r="EO19" s="747">
        <f>$G19*$H19*(1+$K19)^MAX(ROUNDUP(IFERROR(DATEDIF($I19-1,EO$15+1,"m"),)/12,)-1,)*Index!EK$22*(EO$15&lt;=$J19)*(1-EO$12)</f>
        <v>0</v>
      </c>
      <c r="EP19" s="747">
        <f>$G19*$H19*(1+$K19)^MAX(ROUNDUP(IFERROR(DATEDIF($I19-1,EP$15+1,"m"),)/12,)-1,)*Index!EL$22*(EP$15&lt;=$J19)*(1-EP$12)</f>
        <v>0</v>
      </c>
      <c r="EQ19" s="747">
        <f>$G19*$H19*(1+$K19)^MAX(ROUNDUP(IFERROR(DATEDIF($I19-1,EQ$15+1,"m"),)/12,)-1,)*Index!EM$22*(EQ$15&lt;=$J19)*(1-EQ$12)</f>
        <v>0</v>
      </c>
      <c r="ER19" s="747">
        <f>$G19*$H19*(1+$K19)^MAX(ROUNDUP(IFERROR(DATEDIF($I19-1,ER$15+1,"m"),)/12,)-1,)*Index!EN$22*(ER$15&lt;=$J19)*(1-ER$12)</f>
        <v>0</v>
      </c>
      <c r="ES19" s="747">
        <f>$G19*$H19*(1+$K19)^MAX(ROUNDUP(IFERROR(DATEDIF($I19-1,ES$15+1,"m"),)/12,)-1,)*Index!EO$22*(ES$15&lt;=$J19)*(1-ES$12)</f>
        <v>0</v>
      </c>
      <c r="ET19" s="747">
        <f>$G19*$H19*(1+$K19)^MAX(ROUNDUP(IFERROR(DATEDIF($I19-1,ET$15+1,"m"),)/12,)-1,)*Index!EP$22*(ET$15&lt;=$J19)*(1-ET$12)</f>
        <v>0</v>
      </c>
      <c r="EU19" s="747">
        <f>$G19*$H19*(1+$K19)^MAX(ROUNDUP(IFERROR(DATEDIF($I19-1,EU$15+1,"m"),)/12,)-1,)*Index!EQ$22*(EU$15&lt;=$J19)*(1-EU$12)</f>
        <v>0</v>
      </c>
    </row>
    <row r="20" spans="3:151" ht="11.25" customHeight="1">
      <c r="C20" s="735"/>
      <c r="D20" s="743">
        <f>'A&amp;R'!V9</f>
        <v>8</v>
      </c>
      <c r="E20" s="704" t="str">
        <f>'A&amp;R'!W9</f>
        <v>키즈밀</v>
      </c>
      <c r="F20" s="704" t="str">
        <f>'A&amp;R'!X9</f>
        <v>근린생활시설</v>
      </c>
      <c r="G20" s="752">
        <f>'A&amp;R'!AC9/1000</f>
        <v>40</v>
      </c>
      <c r="H20" s="744">
        <f>'A&amp;R'!Y9</f>
        <v>479.38</v>
      </c>
      <c r="I20" s="745">
        <f>'A&amp;R'!Z9</f>
        <v>45658</v>
      </c>
      <c r="J20" s="745">
        <f>'A&amp;R'!AA9</f>
        <v>47483</v>
      </c>
      <c r="K20" s="754">
        <f>'A&amp;R'!AF9</f>
        <v>2.5000000000000001E-2</v>
      </c>
      <c r="L20" s="746"/>
      <c r="M20" s="722"/>
      <c r="N20" s="747">
        <f t="shared" si="7"/>
        <v>782845.60663374909</v>
      </c>
      <c r="O20" s="733"/>
      <c r="P20" s="747">
        <f>$G20*$H20*(1+$K20)^MAX(ROUNDUP(IFERROR(DATEDIF($I20-1,P$15+1,"m"),)/12,)-1,)*Index!L$22*(P$15&lt;=$J20)*(1-P$12)</f>
        <v>0</v>
      </c>
      <c r="Q20" s="747">
        <f>$G20*$H20*(1+$K20)^MAX(ROUNDUP(IFERROR(DATEDIF($I20-1,Q$15+1,"m"),)/12,)-1,)*Index!M$22*(Q$15&lt;=$J20)*(1-Q$12)</f>
        <v>19654.579999999998</v>
      </c>
      <c r="R20" s="747">
        <f>$G20*$H20*(1+$K20)^MAX(ROUNDUP(IFERROR(DATEDIF($I20-1,R$15+1,"m"),)/12,)-1,)*Index!N$22*(R$15&lt;=$J20)*(1-R$12)</f>
        <v>19654.579999999998</v>
      </c>
      <c r="S20" s="747">
        <f>$G20*$H20*(1+$K20)^MAX(ROUNDUP(IFERROR(DATEDIF($I20-1,S$15+1,"m"),)/12,)-1,)*Index!O$22*(S$15&lt;=$J20)*(1-S$12)</f>
        <v>20145.944499999998</v>
      </c>
      <c r="T20" s="747">
        <f>$G20*$H20*(1+$K20)^MAX(ROUNDUP(IFERROR(DATEDIF($I20-1,T$15+1,"m"),)/12,)-1,)*Index!P$22*(T$15&lt;=$J20)*(1-T$12)</f>
        <v>20145.944499999998</v>
      </c>
      <c r="U20" s="747">
        <f>$G20*$H20*(1+$K20)^MAX(ROUNDUP(IFERROR(DATEDIF($I20-1,U$15+1,"m"),)/12,)-1,)*Index!Q$22*(U$15&lt;=$J20)*(1-U$12)</f>
        <v>20145.944499999998</v>
      </c>
      <c r="V20" s="747">
        <f>$G20*$H20*(1+$K20)^MAX(ROUNDUP(IFERROR(DATEDIF($I20-1,V$15+1,"m"),)/12,)-1,)*Index!R$22*(V$15&lt;=$J20)*(1-V$12)</f>
        <v>20145.944499999998</v>
      </c>
      <c r="W20" s="747">
        <f>$G20*$H20*(1+$K20)^MAX(ROUNDUP(IFERROR(DATEDIF($I20-1,W$15+1,"m"),)/12,)-1,)*Index!S$22*(W$15&lt;=$J20)*(1-W$12)</f>
        <v>20145.944499999998</v>
      </c>
      <c r="X20" s="747">
        <f>$G20*$H20*(1+$K20)^MAX(ROUNDUP(IFERROR(DATEDIF($I20-1,X$15+1,"m"),)/12,)-1,)*Index!T$22*(X$15&lt;=$J20)*(1-X$12)</f>
        <v>20145.944499999998</v>
      </c>
      <c r="Y20" s="747">
        <f>$G20*$H20*(1+$K20)^MAX(ROUNDUP(IFERROR(DATEDIF($I20-1,Y$15+1,"m"),)/12,)-1,)*Index!U$22*(Y$15&lt;=$J20)*(1-Y$12)</f>
        <v>20145.944499999998</v>
      </c>
      <c r="Z20" s="747">
        <f>$G20*$H20*(1+$K20)^MAX(ROUNDUP(IFERROR(DATEDIF($I20-1,Z$15+1,"m"),)/12,)-1,)*Index!V$22*(Z$15&lt;=$J20)*(1-Z$12)</f>
        <v>20145.944499999998</v>
      </c>
      <c r="AA20" s="747">
        <f>$G20*$H20*(1+$K20)^MAX(ROUNDUP(IFERROR(DATEDIF($I20-1,AA$15+1,"m"),)/12,)-1,)*Index!W$22*(AA$15&lt;=$J20)*(1-AA$12)</f>
        <v>20145.944499999998</v>
      </c>
      <c r="AB20" s="747">
        <f>$G20*$H20*(1+$K20)^MAX(ROUNDUP(IFERROR(DATEDIF($I20-1,AB$15+1,"m"),)/12,)-1,)*Index!X$22*(AB$15&lt;=$J20)*(1-AB$12)</f>
        <v>20145.944499999998</v>
      </c>
      <c r="AC20" s="747">
        <f>$G20*$H20*(1+$K20)^MAX(ROUNDUP(IFERROR(DATEDIF($I20-1,AC$15+1,"m"),)/12,)-1,)*Index!Y$22*(AC$15&lt;=$J20)*(1-AC$12)</f>
        <v>20145.944499999998</v>
      </c>
      <c r="AD20" s="747">
        <f>$G20*$H20*(1+$K20)^MAX(ROUNDUP(IFERROR(DATEDIF($I20-1,AD$15+1,"m"),)/12,)-1,)*Index!Z$22*(AD$15&lt;=$J20)*(1-AD$12)</f>
        <v>20145.944499999998</v>
      </c>
      <c r="AE20" s="747">
        <f>$G20*$H20*(1+$K20)^MAX(ROUNDUP(IFERROR(DATEDIF($I20-1,AE$15+1,"m"),)/12,)-1,)*Index!AA$22*(AE$15&lt;=$J20)*(1-AE$12)</f>
        <v>20649.593112499999</v>
      </c>
      <c r="AF20" s="747">
        <f>$G20*$H20*(1+$K20)^MAX(ROUNDUP(IFERROR(DATEDIF($I20-1,AF$15+1,"m"),)/12,)-1,)*Index!AB$22*(AF$15&lt;=$J20)*(1-AF$12)</f>
        <v>20649.593112499999</v>
      </c>
      <c r="AG20" s="747">
        <f>$G20*$H20*(1+$K20)^MAX(ROUNDUP(IFERROR(DATEDIF($I20-1,AG$15+1,"m"),)/12,)-1,)*Index!AC$22*(AG$15&lt;=$J20)*(1-AG$12)</f>
        <v>20649.593112499999</v>
      </c>
      <c r="AH20" s="747">
        <f>$G20*$H20*(1+$K20)^MAX(ROUNDUP(IFERROR(DATEDIF($I20-1,AH$15+1,"m"),)/12,)-1,)*Index!AD$22*(AH$15&lt;=$J20)*(1-AH$12)</f>
        <v>20649.593112499999</v>
      </c>
      <c r="AI20" s="747">
        <f>$G20*$H20*(1+$K20)^MAX(ROUNDUP(IFERROR(DATEDIF($I20-1,AI$15+1,"m"),)/12,)-1,)*Index!AE$22*(AI$15&lt;=$J20)*(1-AI$12)</f>
        <v>20649.593112499999</v>
      </c>
      <c r="AJ20" s="747">
        <f>$G20*$H20*(1+$K20)^MAX(ROUNDUP(IFERROR(DATEDIF($I20-1,AJ$15+1,"m"),)/12,)-1,)*Index!AF$22*(AJ$15&lt;=$J20)*(1-AJ$12)</f>
        <v>20649.593112499999</v>
      </c>
      <c r="AK20" s="747">
        <f>$G20*$H20*(1+$K20)^MAX(ROUNDUP(IFERROR(DATEDIF($I20-1,AK$15+1,"m"),)/12,)-1,)*Index!AG$22*(AK$15&lt;=$J20)*(1-AK$12)</f>
        <v>20649.593112499999</v>
      </c>
      <c r="AL20" s="747">
        <f>$G20*$H20*(1+$K20)^MAX(ROUNDUP(IFERROR(DATEDIF($I20-1,AL$15+1,"m"),)/12,)-1,)*Index!AH$22*(AL$15&lt;=$J20)*(1-AL$12)</f>
        <v>20649.593112499999</v>
      </c>
      <c r="AM20" s="747">
        <f>$G20*$H20*(1+$K20)^MAX(ROUNDUP(IFERROR(DATEDIF($I20-1,AM$15+1,"m"),)/12,)-1,)*Index!AI$22*(AM$15&lt;=$J20)*(1-AM$12)</f>
        <v>20649.593112499999</v>
      </c>
      <c r="AN20" s="747">
        <f>$G20*$H20*(1+$K20)^MAX(ROUNDUP(IFERROR(DATEDIF($I20-1,AN$15+1,"m"),)/12,)-1,)*Index!AJ$22*(AN$15&lt;=$J20)*(1-AN$12)</f>
        <v>20649.593112499999</v>
      </c>
      <c r="AO20" s="747">
        <f>$G20*$H20*(1+$K20)^MAX(ROUNDUP(IFERROR(DATEDIF($I20-1,AO$15+1,"m"),)/12,)-1,)*Index!AK$22*(AO$15&lt;=$J20)*(1-AO$12)</f>
        <v>20649.593112499999</v>
      </c>
      <c r="AP20" s="747">
        <f>$G20*$H20*(1+$K20)^MAX(ROUNDUP(IFERROR(DATEDIF($I20-1,AP$15+1,"m"),)/12,)-1,)*Index!AL$22*(AP$15&lt;=$J20)*(1-AP$12)</f>
        <v>20649.593112499999</v>
      </c>
      <c r="AQ20" s="747">
        <f>$G20*$H20*(1+$K20)^MAX(ROUNDUP(IFERROR(DATEDIF($I20-1,AQ$15+1,"m"),)/12,)-1,)*Index!AM$22*(AQ$15&lt;=$J20)*(1-AQ$12)</f>
        <v>21165.832940312495</v>
      </c>
      <c r="AR20" s="747">
        <f>$G20*$H20*(1+$K20)^MAX(ROUNDUP(IFERROR(DATEDIF($I20-1,AR$15+1,"m"),)/12,)-1,)*Index!AN$22*(AR$15&lt;=$J20)*(1-AR$12)</f>
        <v>21165.832940312495</v>
      </c>
      <c r="AS20" s="747">
        <f>$G20*$H20*(1+$K20)^MAX(ROUNDUP(IFERROR(DATEDIF($I20-1,AS$15+1,"m"),)/12,)-1,)*Index!AO$22*(AS$15&lt;=$J20)*(1-AS$12)</f>
        <v>21165.832940312495</v>
      </c>
      <c r="AT20" s="747">
        <f>$G20*$H20*(1+$K20)^MAX(ROUNDUP(IFERROR(DATEDIF($I20-1,AT$15+1,"m"),)/12,)-1,)*Index!AP$22*(AT$15&lt;=$J20)*(1-AT$12)</f>
        <v>21165.832940312495</v>
      </c>
      <c r="AU20" s="747">
        <f>$G20*$H20*(1+$K20)^MAX(ROUNDUP(IFERROR(DATEDIF($I20-1,AU$15+1,"m"),)/12,)-1,)*Index!AQ$22*(AU$15&lt;=$J20)*(1-AU$12)</f>
        <v>21165.832940312495</v>
      </c>
      <c r="AV20" s="747">
        <f>$G20*$H20*(1+$K20)^MAX(ROUNDUP(IFERROR(DATEDIF($I20-1,AV$15+1,"m"),)/12,)-1,)*Index!AR$22*(AV$15&lt;=$J20)*(1-AV$12)</f>
        <v>21165.832940312495</v>
      </c>
      <c r="AW20" s="747">
        <f>$G20*$H20*(1+$K20)^MAX(ROUNDUP(IFERROR(DATEDIF($I20-1,AW$15+1,"m"),)/12,)-1,)*Index!AS$22*(AW$15&lt;=$J20)*(1-AW$12)</f>
        <v>21165.832940312495</v>
      </c>
      <c r="AX20" s="747">
        <f>$G20*$H20*(1+$K20)^MAX(ROUNDUP(IFERROR(DATEDIF($I20-1,AX$15+1,"m"),)/12,)-1,)*Index!AT$22*(AX$15&lt;=$J20)*(1-AX$12)</f>
        <v>21165.832940312495</v>
      </c>
      <c r="AY20" s="747">
        <f>$G20*$H20*(1+$K20)^MAX(ROUNDUP(IFERROR(DATEDIF($I20-1,AY$15+1,"m"),)/12,)-1,)*Index!AU$22*(AY$15&lt;=$J20)*(1-AY$12)</f>
        <v>21165.832940312495</v>
      </c>
      <c r="AZ20" s="747">
        <f>$G20*$H20*(1+$K20)^MAX(ROUNDUP(IFERROR(DATEDIF($I20-1,AZ$15+1,"m"),)/12,)-1,)*Index!AV$22*(AZ$15&lt;=$J20)*(1-AZ$12)</f>
        <v>21165.832940312495</v>
      </c>
      <c r="BA20" s="747">
        <f>$G20*$H20*(1+$K20)^MAX(ROUNDUP(IFERROR(DATEDIF($I20-1,BA$15+1,"m"),)/12,)-1,)*Index!AW$22*(BA$15&lt;=$J20)*(1-BA$12)</f>
        <v>21165.832940312495</v>
      </c>
      <c r="BB20" s="747">
        <f>$G20*$H20*(1+$K20)^MAX(ROUNDUP(IFERROR(DATEDIF($I20-1,BB$15+1,"m"),)/12,)-1,)*Index!AX$22*(BB$15&lt;=$J20)*(1-BB$12)</f>
        <v>21165.832940312495</v>
      </c>
      <c r="BC20" s="747">
        <f>$G20*$H20*(1+$K20)^MAX(ROUNDUP(IFERROR(DATEDIF($I20-1,BC$15+1,"m"),)/12,)-1,)*Index!AY$22*(BC$15&lt;=$J20)*(1-BC$12)</f>
        <v>0</v>
      </c>
      <c r="BD20" s="747">
        <f>$G20*$H20*(1+$K20)^MAX(ROUNDUP(IFERROR(DATEDIF($I20-1,BD$15+1,"m"),)/12,)-1,)*Index!AZ$22*(BD$15&lt;=$J20)*(1-BD$12)</f>
        <v>0</v>
      </c>
      <c r="BE20" s="747">
        <f>$G20*$H20*(1+$K20)^MAX(ROUNDUP(IFERROR(DATEDIF($I20-1,BE$15+1,"m"),)/12,)-1,)*Index!BA$22*(BE$15&lt;=$J20)*(1-BE$12)</f>
        <v>0</v>
      </c>
      <c r="BF20" s="747">
        <f>$G20*$H20*(1+$K20)^MAX(ROUNDUP(IFERROR(DATEDIF($I20-1,BF$15+1,"m"),)/12,)-1,)*Index!BB$22*(BF$15&lt;=$J20)*(1-BF$12)</f>
        <v>0</v>
      </c>
      <c r="BG20" s="747">
        <f>$G20*$H20*(1+$K20)^MAX(ROUNDUP(IFERROR(DATEDIF($I20-1,BG$15+1,"m"),)/12,)-1,)*Index!BC$22*(BG$15&lt;=$J20)*(1-BG$12)</f>
        <v>0</v>
      </c>
      <c r="BH20" s="747">
        <f>$G20*$H20*(1+$K20)^MAX(ROUNDUP(IFERROR(DATEDIF($I20-1,BH$15+1,"m"),)/12,)-1,)*Index!BD$22*(BH$15&lt;=$J20)*(1-BH$12)</f>
        <v>0</v>
      </c>
      <c r="BI20" s="747">
        <f>$G20*$H20*(1+$K20)^MAX(ROUNDUP(IFERROR(DATEDIF($I20-1,BI$15+1,"m"),)/12,)-1,)*Index!BE$22*(BI$15&lt;=$J20)*(1-BI$12)</f>
        <v>0</v>
      </c>
      <c r="BJ20" s="747">
        <f>$G20*$H20*(1+$K20)^MAX(ROUNDUP(IFERROR(DATEDIF($I20-1,BJ$15+1,"m"),)/12,)-1,)*Index!BF$22*(BJ$15&lt;=$J20)*(1-BJ$12)</f>
        <v>0</v>
      </c>
      <c r="BK20" s="747">
        <f>$G20*$H20*(1+$K20)^MAX(ROUNDUP(IFERROR(DATEDIF($I20-1,BK$15+1,"m"),)/12,)-1,)*Index!BG$22*(BK$15&lt;=$J20)*(1-BK$12)</f>
        <v>0</v>
      </c>
      <c r="BL20" s="747">
        <f>$G20*$H20*(1+$K20)^MAX(ROUNDUP(IFERROR(DATEDIF($I20-1,BL$15+1,"m"),)/12,)-1,)*Index!BH$22*(BL$15&lt;=$J20)*(1-BL$12)</f>
        <v>0</v>
      </c>
      <c r="BM20" s="747">
        <f>$G20*$H20*(1+$K20)^MAX(ROUNDUP(IFERROR(DATEDIF($I20-1,BM$15+1,"m"),)/12,)-1,)*Index!BI$22*(BM$15&lt;=$J20)*(1-BM$12)</f>
        <v>0</v>
      </c>
      <c r="BN20" s="747">
        <f>$G20*$H20*(1+$K20)^MAX(ROUNDUP(IFERROR(DATEDIF($I20-1,BN$15+1,"m"),)/12,)-1,)*Index!BJ$22*(BN$15&lt;=$J20)*(1-BN$12)</f>
        <v>0</v>
      </c>
      <c r="BO20" s="747">
        <f>$G20*$H20*(1+$K20)^MAX(ROUNDUP(IFERROR(DATEDIF($I20-1,BO$15+1,"m"),)/12,)-1,)*Index!BK$22*(BO$15&lt;=$J20)*(1-BO$12)</f>
        <v>0</v>
      </c>
      <c r="BP20" s="747">
        <f>$G20*$H20*(1+$K20)^MAX(ROUNDUP(IFERROR(DATEDIF($I20-1,BP$15+1,"m"),)/12,)-1,)*Index!BL$22*(BP$15&lt;=$J20)*(1-BP$12)</f>
        <v>0</v>
      </c>
      <c r="BQ20" s="747">
        <f>$G20*$H20*(1+$K20)^MAX(ROUNDUP(IFERROR(DATEDIF($I20-1,BQ$15+1,"m"),)/12,)-1,)*Index!BM$22*(BQ$15&lt;=$J20)*(1-BQ$12)</f>
        <v>0</v>
      </c>
      <c r="BR20" s="747">
        <f>$G20*$H20*(1+$K20)^MAX(ROUNDUP(IFERROR(DATEDIF($I20-1,BR$15+1,"m"),)/12,)-1,)*Index!BN$22*(BR$15&lt;=$J20)*(1-BR$12)</f>
        <v>0</v>
      </c>
      <c r="BS20" s="747">
        <f>$G20*$H20*(1+$K20)^MAX(ROUNDUP(IFERROR(DATEDIF($I20-1,BS$15+1,"m"),)/12,)-1,)*Index!BO$22*(BS$15&lt;=$J20)*(1-BS$12)</f>
        <v>0</v>
      </c>
      <c r="BT20" s="747">
        <f>$G20*$H20*(1+$K20)^MAX(ROUNDUP(IFERROR(DATEDIF($I20-1,BT$15+1,"m"),)/12,)-1,)*Index!BP$22*(BT$15&lt;=$J20)*(1-BT$12)</f>
        <v>0</v>
      </c>
      <c r="BU20" s="747">
        <f>$G20*$H20*(1+$K20)^MAX(ROUNDUP(IFERROR(DATEDIF($I20-1,BU$15+1,"m"),)/12,)-1,)*Index!BQ$22*(BU$15&lt;=$J20)*(1-BU$12)</f>
        <v>0</v>
      </c>
      <c r="BV20" s="747">
        <f>$G20*$H20*(1+$K20)^MAX(ROUNDUP(IFERROR(DATEDIF($I20-1,BV$15+1,"m"),)/12,)-1,)*Index!BR$22*(BV$15&lt;=$J20)*(1-BV$12)</f>
        <v>0</v>
      </c>
      <c r="BW20" s="747">
        <f>$G20*$H20*(1+$K20)^MAX(ROUNDUP(IFERROR(DATEDIF($I20-1,BW$15+1,"m"),)/12,)-1,)*Index!BS$22*(BW$15&lt;=$J20)*(1-BW$12)</f>
        <v>0</v>
      </c>
      <c r="BX20" s="747">
        <f>$G20*$H20*(1+$K20)^MAX(ROUNDUP(IFERROR(DATEDIF($I20-1,BX$15+1,"m"),)/12,)-1,)*Index!BT$22*(BX$15&lt;=$J20)*(1-BX$12)</f>
        <v>0</v>
      </c>
      <c r="BY20" s="747">
        <f>$G20*$H20*(1+$K20)^MAX(ROUNDUP(IFERROR(DATEDIF($I20-1,BY$15+1,"m"),)/12,)-1,)*Index!BU$22*(BY$15&lt;=$J20)*(1-BY$12)</f>
        <v>0</v>
      </c>
      <c r="BZ20" s="747">
        <f>$G20*$H20*(1+$K20)^MAX(ROUNDUP(IFERROR(DATEDIF($I20-1,BZ$15+1,"m"),)/12,)-1,)*Index!BV$22*(BZ$15&lt;=$J20)*(1-BZ$12)</f>
        <v>0</v>
      </c>
      <c r="CA20" s="747">
        <f>$G20*$H20*(1+$K20)^MAX(ROUNDUP(IFERROR(DATEDIF($I20-1,CA$15+1,"m"),)/12,)-1,)*Index!BW$22*(CA$15&lt;=$J20)*(1-CA$12)</f>
        <v>0</v>
      </c>
      <c r="CB20" s="747">
        <f>$G20*$H20*(1+$K20)^MAX(ROUNDUP(IFERROR(DATEDIF($I20-1,CB$15+1,"m"),)/12,)-1,)*Index!BX$22*(CB$15&lt;=$J20)*(1-CB$12)</f>
        <v>0</v>
      </c>
      <c r="CC20" s="747">
        <f>$G20*$H20*(1+$K20)^MAX(ROUNDUP(IFERROR(DATEDIF($I20-1,CC$15+1,"m"),)/12,)-1,)*Index!BY$22*(CC$15&lt;=$J20)*(1-CC$12)</f>
        <v>0</v>
      </c>
      <c r="CD20" s="747">
        <f>$G20*$H20*(1+$K20)^MAX(ROUNDUP(IFERROR(DATEDIF($I20-1,CD$15+1,"m"),)/12,)-1,)*Index!BZ$22*(CD$15&lt;=$J20)*(1-CD$12)</f>
        <v>0</v>
      </c>
      <c r="CE20" s="747">
        <f>$G20*$H20*(1+$K20)^MAX(ROUNDUP(IFERROR(DATEDIF($I20-1,CE$15+1,"m"),)/12,)-1,)*Index!CA$22*(CE$15&lt;=$J20)*(1-CE$12)</f>
        <v>0</v>
      </c>
      <c r="CF20" s="747">
        <f>$G20*$H20*(1+$K20)^MAX(ROUNDUP(IFERROR(DATEDIF($I20-1,CF$15+1,"m"),)/12,)-1,)*Index!CB$22*(CF$15&lt;=$J20)*(1-CF$12)</f>
        <v>0</v>
      </c>
      <c r="CG20" s="747">
        <f>$G20*$H20*(1+$K20)^MAX(ROUNDUP(IFERROR(DATEDIF($I20-1,CG$15+1,"m"),)/12,)-1,)*Index!CC$22*(CG$15&lt;=$J20)*(1-CG$12)</f>
        <v>0</v>
      </c>
      <c r="CH20" s="747">
        <f>$G20*$H20*(1+$K20)^MAX(ROUNDUP(IFERROR(DATEDIF($I20-1,CH$15+1,"m"),)/12,)-1,)*Index!CD$22*(CH$15&lt;=$J20)*(1-CH$12)</f>
        <v>0</v>
      </c>
      <c r="CI20" s="747">
        <f>$G20*$H20*(1+$K20)^MAX(ROUNDUP(IFERROR(DATEDIF($I20-1,CI$15+1,"m"),)/12,)-1,)*Index!CE$22*(CI$15&lt;=$J20)*(1-CI$12)</f>
        <v>0</v>
      </c>
      <c r="CJ20" s="747">
        <f>$G20*$H20*(1+$K20)^MAX(ROUNDUP(IFERROR(DATEDIF($I20-1,CJ$15+1,"m"),)/12,)-1,)*Index!CF$22*(CJ$15&lt;=$J20)*(1-CJ$12)</f>
        <v>0</v>
      </c>
      <c r="CK20" s="747">
        <f>$G20*$H20*(1+$K20)^MAX(ROUNDUP(IFERROR(DATEDIF($I20-1,CK$15+1,"m"),)/12,)-1,)*Index!CG$22*(CK$15&lt;=$J20)*(1-CK$12)</f>
        <v>0</v>
      </c>
      <c r="CL20" s="747">
        <f>$G20*$H20*(1+$K20)^MAX(ROUNDUP(IFERROR(DATEDIF($I20-1,CL$15+1,"m"),)/12,)-1,)*Index!CH$22*(CL$15&lt;=$J20)*(1-CL$12)</f>
        <v>0</v>
      </c>
      <c r="CM20" s="747">
        <f>$G20*$H20*(1+$K20)^MAX(ROUNDUP(IFERROR(DATEDIF($I20-1,CM$15+1,"m"),)/12,)-1,)*Index!CI$22*(CM$15&lt;=$J20)*(1-CM$12)</f>
        <v>0</v>
      </c>
      <c r="CN20" s="747">
        <f>$G20*$H20*(1+$K20)^MAX(ROUNDUP(IFERROR(DATEDIF($I20-1,CN$15+1,"m"),)/12,)-1,)*Index!CJ$22*(CN$15&lt;=$J20)*(1-CN$12)</f>
        <v>0</v>
      </c>
      <c r="CO20" s="747">
        <f>$G20*$H20*(1+$K20)^MAX(ROUNDUP(IFERROR(DATEDIF($I20-1,CO$15+1,"m"),)/12,)-1,)*Index!CK$22*(CO$15&lt;=$J20)*(1-CO$12)</f>
        <v>0</v>
      </c>
      <c r="CP20" s="747">
        <f>$G20*$H20*(1+$K20)^MAX(ROUNDUP(IFERROR(DATEDIF($I20-1,CP$15+1,"m"),)/12,)-1,)*Index!CL$22*(CP$15&lt;=$J20)*(1-CP$12)</f>
        <v>0</v>
      </c>
      <c r="CQ20" s="747">
        <f>$G20*$H20*(1+$K20)^MAX(ROUNDUP(IFERROR(DATEDIF($I20-1,CQ$15+1,"m"),)/12,)-1,)*Index!CM$22*(CQ$15&lt;=$J20)*(1-CQ$12)</f>
        <v>0</v>
      </c>
      <c r="CR20" s="747">
        <f>$G20*$H20*(1+$K20)^MAX(ROUNDUP(IFERROR(DATEDIF($I20-1,CR$15+1,"m"),)/12,)-1,)*Index!CN$22*(CR$15&lt;=$J20)*(1-CR$12)</f>
        <v>0</v>
      </c>
      <c r="CS20" s="747">
        <f>$G20*$H20*(1+$K20)^MAX(ROUNDUP(IFERROR(DATEDIF($I20-1,CS$15+1,"m"),)/12,)-1,)*Index!CO$22*(CS$15&lt;=$J20)*(1-CS$12)</f>
        <v>0</v>
      </c>
      <c r="CT20" s="747">
        <f>$G20*$H20*(1+$K20)^MAX(ROUNDUP(IFERROR(DATEDIF($I20-1,CT$15+1,"m"),)/12,)-1,)*Index!CP$22*(CT$15&lt;=$J20)*(1-CT$12)</f>
        <v>0</v>
      </c>
      <c r="CU20" s="747">
        <f>$G20*$H20*(1+$K20)^MAX(ROUNDUP(IFERROR(DATEDIF($I20-1,CU$15+1,"m"),)/12,)-1,)*Index!CQ$22*(CU$15&lt;=$J20)*(1-CU$12)</f>
        <v>0</v>
      </c>
      <c r="CV20" s="747">
        <f>$G20*$H20*(1+$K20)^MAX(ROUNDUP(IFERROR(DATEDIF($I20-1,CV$15+1,"m"),)/12,)-1,)*Index!CR$22*(CV$15&lt;=$J20)*(1-CV$12)</f>
        <v>0</v>
      </c>
      <c r="CW20" s="747">
        <f>$G20*$H20*(1+$K20)^MAX(ROUNDUP(IFERROR(DATEDIF($I20-1,CW$15+1,"m"),)/12,)-1,)*Index!CS$22*(CW$15&lt;=$J20)*(1-CW$12)</f>
        <v>0</v>
      </c>
      <c r="CX20" s="747">
        <f>$G20*$H20*(1+$K20)^MAX(ROUNDUP(IFERROR(DATEDIF($I20-1,CX$15+1,"m"),)/12,)-1,)*Index!CT$22*(CX$15&lt;=$J20)*(1-CX$12)</f>
        <v>0</v>
      </c>
      <c r="CY20" s="747">
        <f>$G20*$H20*(1+$K20)^MAX(ROUNDUP(IFERROR(DATEDIF($I20-1,CY$15+1,"m"),)/12,)-1,)*Index!CU$22*(CY$15&lt;=$J20)*(1-CY$12)</f>
        <v>0</v>
      </c>
      <c r="CZ20" s="747">
        <f>$G20*$H20*(1+$K20)^MAX(ROUNDUP(IFERROR(DATEDIF($I20-1,CZ$15+1,"m"),)/12,)-1,)*Index!CV$22*(CZ$15&lt;=$J20)*(1-CZ$12)</f>
        <v>0</v>
      </c>
      <c r="DA20" s="747">
        <f>$G20*$H20*(1+$K20)^MAX(ROUNDUP(IFERROR(DATEDIF($I20-1,DA$15+1,"m"),)/12,)-1,)*Index!CW$22*(DA$15&lt;=$J20)*(1-DA$12)</f>
        <v>0</v>
      </c>
      <c r="DB20" s="747">
        <f>$G20*$H20*(1+$K20)^MAX(ROUNDUP(IFERROR(DATEDIF($I20-1,DB$15+1,"m"),)/12,)-1,)*Index!CX$22*(DB$15&lt;=$J20)*(1-DB$12)</f>
        <v>0</v>
      </c>
      <c r="DC20" s="747">
        <f>$G20*$H20*(1+$K20)^MAX(ROUNDUP(IFERROR(DATEDIF($I20-1,DC$15+1,"m"),)/12,)-1,)*Index!CY$22*(DC$15&lt;=$J20)*(1-DC$12)</f>
        <v>0</v>
      </c>
      <c r="DD20" s="747">
        <f>$G20*$H20*(1+$K20)^MAX(ROUNDUP(IFERROR(DATEDIF($I20-1,DD$15+1,"m"),)/12,)-1,)*Index!CZ$22*(DD$15&lt;=$J20)*(1-DD$12)</f>
        <v>0</v>
      </c>
      <c r="DE20" s="747">
        <f>$G20*$H20*(1+$K20)^MAX(ROUNDUP(IFERROR(DATEDIF($I20-1,DE$15+1,"m"),)/12,)-1,)*Index!DA$22*(DE$15&lt;=$J20)*(1-DE$12)</f>
        <v>0</v>
      </c>
      <c r="DF20" s="747">
        <f>$G20*$H20*(1+$K20)^MAX(ROUNDUP(IFERROR(DATEDIF($I20-1,DF$15+1,"m"),)/12,)-1,)*Index!DB$22*(DF$15&lt;=$J20)*(1-DF$12)</f>
        <v>0</v>
      </c>
      <c r="DG20" s="747">
        <f>$G20*$H20*(1+$K20)^MAX(ROUNDUP(IFERROR(DATEDIF($I20-1,DG$15+1,"m"),)/12,)-1,)*Index!DC$22*(DG$15&lt;=$J20)*(1-DG$12)</f>
        <v>0</v>
      </c>
      <c r="DH20" s="747">
        <f>$G20*$H20*(1+$K20)^MAX(ROUNDUP(IFERROR(DATEDIF($I20-1,DH$15+1,"m"),)/12,)-1,)*Index!DD$22*(DH$15&lt;=$J20)*(1-DH$12)</f>
        <v>0</v>
      </c>
      <c r="DI20" s="747">
        <f>$G20*$H20*(1+$K20)^MAX(ROUNDUP(IFERROR(DATEDIF($I20-1,DI$15+1,"m"),)/12,)-1,)*Index!DE$22*(DI$15&lt;=$J20)*(1-DI$12)</f>
        <v>0</v>
      </c>
      <c r="DJ20" s="747">
        <f>$G20*$H20*(1+$K20)^MAX(ROUNDUP(IFERROR(DATEDIF($I20-1,DJ$15+1,"m"),)/12,)-1,)*Index!DF$22*(DJ$15&lt;=$J20)*(1-DJ$12)</f>
        <v>0</v>
      </c>
      <c r="DK20" s="747">
        <f>$G20*$H20*(1+$K20)^MAX(ROUNDUP(IFERROR(DATEDIF($I20-1,DK$15+1,"m"),)/12,)-1,)*Index!DG$22*(DK$15&lt;=$J20)*(1-DK$12)</f>
        <v>0</v>
      </c>
      <c r="DL20" s="747">
        <f>$G20*$H20*(1+$K20)^MAX(ROUNDUP(IFERROR(DATEDIF($I20-1,DL$15+1,"m"),)/12,)-1,)*Index!DH$22*(DL$15&lt;=$J20)*(1-DL$12)</f>
        <v>0</v>
      </c>
      <c r="DM20" s="747">
        <f>$G20*$H20*(1+$K20)^MAX(ROUNDUP(IFERROR(DATEDIF($I20-1,DM$15+1,"m"),)/12,)-1,)*Index!DI$22*(DM$15&lt;=$J20)*(1-DM$12)</f>
        <v>0</v>
      </c>
      <c r="DN20" s="747">
        <f>$G20*$H20*(1+$K20)^MAX(ROUNDUP(IFERROR(DATEDIF($I20-1,DN$15+1,"m"),)/12,)-1,)*Index!DJ$22*(DN$15&lt;=$J20)*(1-DN$12)</f>
        <v>0</v>
      </c>
      <c r="DO20" s="747">
        <f>$G20*$H20*(1+$K20)^MAX(ROUNDUP(IFERROR(DATEDIF($I20-1,DO$15+1,"m"),)/12,)-1,)*Index!DK$22*(DO$15&lt;=$J20)*(1-DO$12)</f>
        <v>0</v>
      </c>
      <c r="DP20" s="747">
        <f>$G20*$H20*(1+$K20)^MAX(ROUNDUP(IFERROR(DATEDIF($I20-1,DP$15+1,"m"),)/12,)-1,)*Index!DL$22*(DP$15&lt;=$J20)*(1-DP$12)</f>
        <v>0</v>
      </c>
      <c r="DQ20" s="747">
        <f>$G20*$H20*(1+$K20)^MAX(ROUNDUP(IFERROR(DATEDIF($I20-1,DQ$15+1,"m"),)/12,)-1,)*Index!DM$22*(DQ$15&lt;=$J20)*(1-DQ$12)</f>
        <v>0</v>
      </c>
      <c r="DR20" s="747">
        <f>$G20*$H20*(1+$K20)^MAX(ROUNDUP(IFERROR(DATEDIF($I20-1,DR$15+1,"m"),)/12,)-1,)*Index!DN$22*(DR$15&lt;=$J20)*(1-DR$12)</f>
        <v>0</v>
      </c>
      <c r="DS20" s="747">
        <f>$G20*$H20*(1+$K20)^MAX(ROUNDUP(IFERROR(DATEDIF($I20-1,DS$15+1,"m"),)/12,)-1,)*Index!DO$22*(DS$15&lt;=$J20)*(1-DS$12)</f>
        <v>0</v>
      </c>
      <c r="DT20" s="747">
        <f>$G20*$H20*(1+$K20)^MAX(ROUNDUP(IFERROR(DATEDIF($I20-1,DT$15+1,"m"),)/12,)-1,)*Index!DP$22*(DT$15&lt;=$J20)*(1-DT$12)</f>
        <v>0</v>
      </c>
      <c r="DU20" s="747">
        <f>$G20*$H20*(1+$K20)^MAX(ROUNDUP(IFERROR(DATEDIF($I20-1,DU$15+1,"m"),)/12,)-1,)*Index!DQ$22*(DU$15&lt;=$J20)*(1-DU$12)</f>
        <v>0</v>
      </c>
      <c r="DV20" s="747">
        <f>$G20*$H20*(1+$K20)^MAX(ROUNDUP(IFERROR(DATEDIF($I20-1,DV$15+1,"m"),)/12,)-1,)*Index!DR$22*(DV$15&lt;=$J20)*(1-DV$12)</f>
        <v>0</v>
      </c>
      <c r="DW20" s="747">
        <f>$G20*$H20*(1+$K20)^MAX(ROUNDUP(IFERROR(DATEDIF($I20-1,DW$15+1,"m"),)/12,)-1,)*Index!DS$22*(DW$15&lt;=$J20)*(1-DW$12)</f>
        <v>0</v>
      </c>
      <c r="DX20" s="747">
        <f>$G20*$H20*(1+$K20)^MAX(ROUNDUP(IFERROR(DATEDIF($I20-1,DX$15+1,"m"),)/12,)-1,)*Index!DT$22*(DX$15&lt;=$J20)*(1-DX$12)</f>
        <v>0</v>
      </c>
      <c r="DY20" s="747">
        <f>$G20*$H20*(1+$K20)^MAX(ROUNDUP(IFERROR(DATEDIF($I20-1,DY$15+1,"m"),)/12,)-1,)*Index!DU$22*(DY$15&lt;=$J20)*(1-DY$12)</f>
        <v>0</v>
      </c>
      <c r="DZ20" s="747">
        <f>$G20*$H20*(1+$K20)^MAX(ROUNDUP(IFERROR(DATEDIF($I20-1,DZ$15+1,"m"),)/12,)-1,)*Index!DV$22*(DZ$15&lt;=$J20)*(1-DZ$12)</f>
        <v>0</v>
      </c>
      <c r="EA20" s="747">
        <f>$G20*$H20*(1+$K20)^MAX(ROUNDUP(IFERROR(DATEDIF($I20-1,EA$15+1,"m"),)/12,)-1,)*Index!DW$22*(EA$15&lt;=$J20)*(1-EA$12)</f>
        <v>0</v>
      </c>
      <c r="EB20" s="747">
        <f>$G20*$H20*(1+$K20)^MAX(ROUNDUP(IFERROR(DATEDIF($I20-1,EB$15+1,"m"),)/12,)-1,)*Index!DX$22*(EB$15&lt;=$J20)*(1-EB$12)</f>
        <v>0</v>
      </c>
      <c r="EC20" s="747">
        <f>$G20*$H20*(1+$K20)^MAX(ROUNDUP(IFERROR(DATEDIF($I20-1,EC$15+1,"m"),)/12,)-1,)*Index!DY$22*(EC$15&lt;=$J20)*(1-EC$12)</f>
        <v>0</v>
      </c>
      <c r="ED20" s="747">
        <f>$G20*$H20*(1+$K20)^MAX(ROUNDUP(IFERROR(DATEDIF($I20-1,ED$15+1,"m"),)/12,)-1,)*Index!DZ$22*(ED$15&lt;=$J20)*(1-ED$12)</f>
        <v>0</v>
      </c>
      <c r="EE20" s="747">
        <f>$G20*$H20*(1+$K20)^MAX(ROUNDUP(IFERROR(DATEDIF($I20-1,EE$15+1,"m"),)/12,)-1,)*Index!EA$22*(EE$15&lt;=$J20)*(1-EE$12)</f>
        <v>0</v>
      </c>
      <c r="EF20" s="747">
        <f>$G20*$H20*(1+$K20)^MAX(ROUNDUP(IFERROR(DATEDIF($I20-1,EF$15+1,"m"),)/12,)-1,)*Index!EB$22*(EF$15&lt;=$J20)*(1-EF$12)</f>
        <v>0</v>
      </c>
      <c r="EG20" s="747">
        <f>$G20*$H20*(1+$K20)^MAX(ROUNDUP(IFERROR(DATEDIF($I20-1,EG$15+1,"m"),)/12,)-1,)*Index!EC$22*(EG$15&lt;=$J20)*(1-EG$12)</f>
        <v>0</v>
      </c>
      <c r="EH20" s="747">
        <f>$G20*$H20*(1+$K20)^MAX(ROUNDUP(IFERROR(DATEDIF($I20-1,EH$15+1,"m"),)/12,)-1,)*Index!ED$22*(EH$15&lt;=$J20)*(1-EH$12)</f>
        <v>0</v>
      </c>
      <c r="EI20" s="747">
        <f>$G20*$H20*(1+$K20)^MAX(ROUNDUP(IFERROR(DATEDIF($I20-1,EI$15+1,"m"),)/12,)-1,)*Index!EE$22*(EI$15&lt;=$J20)*(1-EI$12)</f>
        <v>0</v>
      </c>
      <c r="EJ20" s="747">
        <f>$G20*$H20*(1+$K20)^MAX(ROUNDUP(IFERROR(DATEDIF($I20-1,EJ$15+1,"m"),)/12,)-1,)*Index!EF$22*(EJ$15&lt;=$J20)*(1-EJ$12)</f>
        <v>0</v>
      </c>
      <c r="EK20" s="747">
        <f>$G20*$H20*(1+$K20)^MAX(ROUNDUP(IFERROR(DATEDIF($I20-1,EK$15+1,"m"),)/12,)-1,)*Index!EG$22*(EK$15&lt;=$J20)*(1-EK$12)</f>
        <v>0</v>
      </c>
      <c r="EL20" s="747">
        <f>$G20*$H20*(1+$K20)^MAX(ROUNDUP(IFERROR(DATEDIF($I20-1,EL$15+1,"m"),)/12,)-1,)*Index!EH$22*(EL$15&lt;=$J20)*(1-EL$12)</f>
        <v>0</v>
      </c>
      <c r="EM20" s="747">
        <f>$G20*$H20*(1+$K20)^MAX(ROUNDUP(IFERROR(DATEDIF($I20-1,EM$15+1,"m"),)/12,)-1,)*Index!EI$22*(EM$15&lt;=$J20)*(1-EM$12)</f>
        <v>0</v>
      </c>
      <c r="EN20" s="747">
        <f>$G20*$H20*(1+$K20)^MAX(ROUNDUP(IFERROR(DATEDIF($I20-1,EN$15+1,"m"),)/12,)-1,)*Index!EJ$22*(EN$15&lt;=$J20)*(1-EN$12)</f>
        <v>0</v>
      </c>
      <c r="EO20" s="747">
        <f>$G20*$H20*(1+$K20)^MAX(ROUNDUP(IFERROR(DATEDIF($I20-1,EO$15+1,"m"),)/12,)-1,)*Index!EK$22*(EO$15&lt;=$J20)*(1-EO$12)</f>
        <v>0</v>
      </c>
      <c r="EP20" s="747">
        <f>$G20*$H20*(1+$K20)^MAX(ROUNDUP(IFERROR(DATEDIF($I20-1,EP$15+1,"m"),)/12,)-1,)*Index!EL$22*(EP$15&lt;=$J20)*(1-EP$12)</f>
        <v>0</v>
      </c>
      <c r="EQ20" s="747">
        <f>$G20*$H20*(1+$K20)^MAX(ROUNDUP(IFERROR(DATEDIF($I20-1,EQ$15+1,"m"),)/12,)-1,)*Index!EM$22*(EQ$15&lt;=$J20)*(1-EQ$12)</f>
        <v>0</v>
      </c>
      <c r="ER20" s="747">
        <f>$G20*$H20*(1+$K20)^MAX(ROUNDUP(IFERROR(DATEDIF($I20-1,ER$15+1,"m"),)/12,)-1,)*Index!EN$22*(ER$15&lt;=$J20)*(1-ER$12)</f>
        <v>0</v>
      </c>
      <c r="ES20" s="747">
        <f>$G20*$H20*(1+$K20)^MAX(ROUNDUP(IFERROR(DATEDIF($I20-1,ES$15+1,"m"),)/12,)-1,)*Index!EO$22*(ES$15&lt;=$J20)*(1-ES$12)</f>
        <v>0</v>
      </c>
      <c r="ET20" s="747">
        <f>$G20*$H20*(1+$K20)^MAX(ROUNDUP(IFERROR(DATEDIF($I20-1,ET$15+1,"m"),)/12,)-1,)*Index!EP$22*(ET$15&lt;=$J20)*(1-ET$12)</f>
        <v>0</v>
      </c>
      <c r="EU20" s="747">
        <f>$G20*$H20*(1+$K20)^MAX(ROUNDUP(IFERROR(DATEDIF($I20-1,EU$15+1,"m"),)/12,)-1,)*Index!EQ$22*(EU$15&lt;=$J20)*(1-EU$12)</f>
        <v>0</v>
      </c>
    </row>
    <row r="21" spans="3:151" ht="11.25" customHeight="1">
      <c r="C21" s="735"/>
      <c r="D21" s="743">
        <f>'A&amp;R'!V10</f>
        <v>8</v>
      </c>
      <c r="E21" s="704" t="str">
        <f>'A&amp;R'!W10</f>
        <v>쿠팡</v>
      </c>
      <c r="F21" s="704" t="str">
        <f>'A&amp;R'!X10</f>
        <v>상온창고</v>
      </c>
      <c r="G21" s="752">
        <f>'A&amp;R'!AC10/1000</f>
        <v>36.5</v>
      </c>
      <c r="H21" s="744">
        <f>'A&amp;R'!Y10</f>
        <v>207.4</v>
      </c>
      <c r="I21" s="745">
        <f>'A&amp;R'!Z10</f>
        <v>45413</v>
      </c>
      <c r="J21" s="745">
        <f>'A&amp;R'!AA10</f>
        <v>49064</v>
      </c>
      <c r="K21" s="754">
        <f>'A&amp;R'!AF10</f>
        <v>2.5000000000000001E-2</v>
      </c>
      <c r="L21" s="746"/>
      <c r="M21" s="722"/>
      <c r="N21" s="747">
        <f t="shared" si="7"/>
        <v>786055.19597500749</v>
      </c>
      <c r="O21" s="733"/>
      <c r="P21" s="747">
        <f>$G21*$H21*(1+$K21)^MAX(ROUNDUP(IFERROR(DATEDIF($I21-1,P$15+1,"m"),)/12,)-1,)*Index!L$22*(P$15&lt;=$J21)*(1-P$12)</f>
        <v>0</v>
      </c>
      <c r="Q21" s="747">
        <f>$G21*$H21*(1+$K21)^MAX(ROUNDUP(IFERROR(DATEDIF($I21-1,Q$15+1,"m"),)/12,)-1,)*Index!M$22*(Q$15&lt;=$J21)*(1-Q$12)</f>
        <v>7953.3363124999996</v>
      </c>
      <c r="R21" s="747">
        <f>$G21*$H21*(1+$K21)^MAX(ROUNDUP(IFERROR(DATEDIF($I21-1,R$15+1,"m"),)/12,)-1,)*Index!N$22*(R$15&lt;=$J21)*(1-R$12)</f>
        <v>7953.3363124999996</v>
      </c>
      <c r="S21" s="747">
        <f>$G21*$H21*(1+$K21)^MAX(ROUNDUP(IFERROR(DATEDIF($I21-1,S$15+1,"m"),)/12,)-1,)*Index!O$22*(S$15&lt;=$J21)*(1-S$12)</f>
        <v>7953.3363124999996</v>
      </c>
      <c r="T21" s="747">
        <f>$G21*$H21*(1+$K21)^MAX(ROUNDUP(IFERROR(DATEDIF($I21-1,T$15+1,"m"),)/12,)-1,)*Index!P$22*(T$15&lt;=$J21)*(1-T$12)</f>
        <v>7953.3363124999996</v>
      </c>
      <c r="U21" s="747">
        <f>$G21*$H21*(1+$K21)^MAX(ROUNDUP(IFERROR(DATEDIF($I21-1,U$15+1,"m"),)/12,)-1,)*Index!Q$22*(U$15&lt;=$J21)*(1-U$12)</f>
        <v>7953.3363124999996</v>
      </c>
      <c r="V21" s="747">
        <f>$G21*$H21*(1+$K21)^MAX(ROUNDUP(IFERROR(DATEDIF($I21-1,V$15+1,"m"),)/12,)-1,)*Index!R$22*(V$15&lt;=$J21)*(1-V$12)</f>
        <v>7953.3363124999996</v>
      </c>
      <c r="W21" s="747">
        <f>$G21*$H21*(1+$K21)^MAX(ROUNDUP(IFERROR(DATEDIF($I21-1,W$15+1,"m"),)/12,)-1,)*Index!S$22*(W$15&lt;=$J21)*(1-W$12)</f>
        <v>8152.1697203124995</v>
      </c>
      <c r="X21" s="747">
        <f>$G21*$H21*(1+$K21)^MAX(ROUNDUP(IFERROR(DATEDIF($I21-1,X$15+1,"m"),)/12,)-1,)*Index!T$22*(X$15&lt;=$J21)*(1-X$12)</f>
        <v>8152.1697203124995</v>
      </c>
      <c r="Y21" s="747">
        <f>$G21*$H21*(1+$K21)^MAX(ROUNDUP(IFERROR(DATEDIF($I21-1,Y$15+1,"m"),)/12,)-1,)*Index!U$22*(Y$15&lt;=$J21)*(1-Y$12)</f>
        <v>8152.1697203124995</v>
      </c>
      <c r="Z21" s="747">
        <f>$G21*$H21*(1+$K21)^MAX(ROUNDUP(IFERROR(DATEDIF($I21-1,Z$15+1,"m"),)/12,)-1,)*Index!V$22*(Z$15&lt;=$J21)*(1-Z$12)</f>
        <v>8152.1697203124995</v>
      </c>
      <c r="AA21" s="747">
        <f>$G21*$H21*(1+$K21)^MAX(ROUNDUP(IFERROR(DATEDIF($I21-1,AA$15+1,"m"),)/12,)-1,)*Index!W$22*(AA$15&lt;=$J21)*(1-AA$12)</f>
        <v>8152.1697203124995</v>
      </c>
      <c r="AB21" s="747">
        <f>$G21*$H21*(1+$K21)^MAX(ROUNDUP(IFERROR(DATEDIF($I21-1,AB$15+1,"m"),)/12,)-1,)*Index!X$22*(AB$15&lt;=$J21)*(1-AB$12)</f>
        <v>8152.1697203124995</v>
      </c>
      <c r="AC21" s="747">
        <f>$G21*$H21*(1+$K21)^MAX(ROUNDUP(IFERROR(DATEDIF($I21-1,AC$15+1,"m"),)/12,)-1,)*Index!Y$22*(AC$15&lt;=$J21)*(1-AC$12)</f>
        <v>8152.1697203124995</v>
      </c>
      <c r="AD21" s="747">
        <f>$G21*$H21*(1+$K21)^MAX(ROUNDUP(IFERROR(DATEDIF($I21-1,AD$15+1,"m"),)/12,)-1,)*Index!Z$22*(AD$15&lt;=$J21)*(1-AD$12)</f>
        <v>8152.1697203124995</v>
      </c>
      <c r="AE21" s="747">
        <f>$G21*$H21*(1+$K21)^MAX(ROUNDUP(IFERROR(DATEDIF($I21-1,AE$15+1,"m"),)/12,)-1,)*Index!AA$22*(AE$15&lt;=$J21)*(1-AE$12)</f>
        <v>8152.1697203124995</v>
      </c>
      <c r="AF21" s="747">
        <f>$G21*$H21*(1+$K21)^MAX(ROUNDUP(IFERROR(DATEDIF($I21-1,AF$15+1,"m"),)/12,)-1,)*Index!AB$22*(AF$15&lt;=$J21)*(1-AF$12)</f>
        <v>8152.1697203124995</v>
      </c>
      <c r="AG21" s="747">
        <f>$G21*$H21*(1+$K21)^MAX(ROUNDUP(IFERROR(DATEDIF($I21-1,AG$15+1,"m"),)/12,)-1,)*Index!AC$22*(AG$15&lt;=$J21)*(1-AG$12)</f>
        <v>8152.1697203124995</v>
      </c>
      <c r="AH21" s="747">
        <f>$G21*$H21*(1+$K21)^MAX(ROUNDUP(IFERROR(DATEDIF($I21-1,AH$15+1,"m"),)/12,)-1,)*Index!AD$22*(AH$15&lt;=$J21)*(1-AH$12)</f>
        <v>8152.1697203124995</v>
      </c>
      <c r="AI21" s="747">
        <f>$G21*$H21*(1+$K21)^MAX(ROUNDUP(IFERROR(DATEDIF($I21-1,AI$15+1,"m"),)/12,)-1,)*Index!AE$22*(AI$15&lt;=$J21)*(1-AI$12)</f>
        <v>8355.9739633203117</v>
      </c>
      <c r="AJ21" s="747">
        <f>$G21*$H21*(1+$K21)^MAX(ROUNDUP(IFERROR(DATEDIF($I21-1,AJ$15+1,"m"),)/12,)-1,)*Index!AF$22*(AJ$15&lt;=$J21)*(1-AJ$12)</f>
        <v>8355.9739633203117</v>
      </c>
      <c r="AK21" s="747">
        <f>$G21*$H21*(1+$K21)^MAX(ROUNDUP(IFERROR(DATEDIF($I21-1,AK$15+1,"m"),)/12,)-1,)*Index!AG$22*(AK$15&lt;=$J21)*(1-AK$12)</f>
        <v>8355.9739633203117</v>
      </c>
      <c r="AL21" s="747">
        <f>$G21*$H21*(1+$K21)^MAX(ROUNDUP(IFERROR(DATEDIF($I21-1,AL$15+1,"m"),)/12,)-1,)*Index!AH$22*(AL$15&lt;=$J21)*(1-AL$12)</f>
        <v>8355.9739633203117</v>
      </c>
      <c r="AM21" s="747">
        <f>$G21*$H21*(1+$K21)^MAX(ROUNDUP(IFERROR(DATEDIF($I21-1,AM$15+1,"m"),)/12,)-1,)*Index!AI$22*(AM$15&lt;=$J21)*(1-AM$12)</f>
        <v>8355.9739633203117</v>
      </c>
      <c r="AN21" s="747">
        <f>$G21*$H21*(1+$K21)^MAX(ROUNDUP(IFERROR(DATEDIF($I21-1,AN$15+1,"m"),)/12,)-1,)*Index!AJ$22*(AN$15&lt;=$J21)*(1-AN$12)</f>
        <v>8355.9739633203117</v>
      </c>
      <c r="AO21" s="747">
        <f>$G21*$H21*(1+$K21)^MAX(ROUNDUP(IFERROR(DATEDIF($I21-1,AO$15+1,"m"),)/12,)-1,)*Index!AK$22*(AO$15&lt;=$J21)*(1-AO$12)</f>
        <v>8355.9739633203117</v>
      </c>
      <c r="AP21" s="747">
        <f>$G21*$H21*(1+$K21)^MAX(ROUNDUP(IFERROR(DATEDIF($I21-1,AP$15+1,"m"),)/12,)-1,)*Index!AL$22*(AP$15&lt;=$J21)*(1-AP$12)</f>
        <v>8355.9739633203117</v>
      </c>
      <c r="AQ21" s="747">
        <f>$G21*$H21*(1+$K21)^MAX(ROUNDUP(IFERROR(DATEDIF($I21-1,AQ$15+1,"m"),)/12,)-1,)*Index!AM$22*(AQ$15&lt;=$J21)*(1-AQ$12)</f>
        <v>8355.9739633203117</v>
      </c>
      <c r="AR21" s="747">
        <f>$G21*$H21*(1+$K21)^MAX(ROUNDUP(IFERROR(DATEDIF($I21-1,AR$15+1,"m"),)/12,)-1,)*Index!AN$22*(AR$15&lt;=$J21)*(1-AR$12)</f>
        <v>8355.9739633203117</v>
      </c>
      <c r="AS21" s="747">
        <f>$G21*$H21*(1+$K21)^MAX(ROUNDUP(IFERROR(DATEDIF($I21-1,AS$15+1,"m"),)/12,)-1,)*Index!AO$22*(AS$15&lt;=$J21)*(1-AS$12)</f>
        <v>8355.9739633203117</v>
      </c>
      <c r="AT21" s="747">
        <f>$G21*$H21*(1+$K21)^MAX(ROUNDUP(IFERROR(DATEDIF($I21-1,AT$15+1,"m"),)/12,)-1,)*Index!AP$22*(AT$15&lt;=$J21)*(1-AT$12)</f>
        <v>8355.9739633203117</v>
      </c>
      <c r="AU21" s="747">
        <f>$G21*$H21*(1+$K21)^MAX(ROUNDUP(IFERROR(DATEDIF($I21-1,AU$15+1,"m"),)/12,)-1,)*Index!AQ$22*(AU$15&lt;=$J21)*(1-AU$12)</f>
        <v>8564.8733124033188</v>
      </c>
      <c r="AV21" s="747">
        <f>$G21*$H21*(1+$K21)^MAX(ROUNDUP(IFERROR(DATEDIF($I21-1,AV$15+1,"m"),)/12,)-1,)*Index!AR$22*(AV$15&lt;=$J21)*(1-AV$12)</f>
        <v>8564.8733124033188</v>
      </c>
      <c r="AW21" s="747">
        <f>$G21*$H21*(1+$K21)^MAX(ROUNDUP(IFERROR(DATEDIF($I21-1,AW$15+1,"m"),)/12,)-1,)*Index!AS$22*(AW$15&lt;=$J21)*(1-AW$12)</f>
        <v>8564.8733124033188</v>
      </c>
      <c r="AX21" s="747">
        <f>$G21*$H21*(1+$K21)^MAX(ROUNDUP(IFERROR(DATEDIF($I21-1,AX$15+1,"m"),)/12,)-1,)*Index!AT$22*(AX$15&lt;=$J21)*(1-AX$12)</f>
        <v>8564.8733124033188</v>
      </c>
      <c r="AY21" s="747">
        <f>$G21*$H21*(1+$K21)^MAX(ROUNDUP(IFERROR(DATEDIF($I21-1,AY$15+1,"m"),)/12,)-1,)*Index!AU$22*(AY$15&lt;=$J21)*(1-AY$12)</f>
        <v>8564.8733124033188</v>
      </c>
      <c r="AZ21" s="747">
        <f>$G21*$H21*(1+$K21)^MAX(ROUNDUP(IFERROR(DATEDIF($I21-1,AZ$15+1,"m"),)/12,)-1,)*Index!AV$22*(AZ$15&lt;=$J21)*(1-AZ$12)</f>
        <v>8564.8733124033188</v>
      </c>
      <c r="BA21" s="747">
        <f>$G21*$H21*(1+$K21)^MAX(ROUNDUP(IFERROR(DATEDIF($I21-1,BA$15+1,"m"),)/12,)-1,)*Index!AW$22*(BA$15&lt;=$J21)*(1-BA$12)</f>
        <v>8564.8733124033188</v>
      </c>
      <c r="BB21" s="747">
        <f>$G21*$H21*(1+$K21)^MAX(ROUNDUP(IFERROR(DATEDIF($I21-1,BB$15+1,"m"),)/12,)-1,)*Index!AX$22*(BB$15&lt;=$J21)*(1-BB$12)</f>
        <v>8564.8733124033188</v>
      </c>
      <c r="BC21" s="747">
        <f>$G21*$H21*(1+$K21)^MAX(ROUNDUP(IFERROR(DATEDIF($I21-1,BC$15+1,"m"),)/12,)-1,)*Index!AY$22*(BC$15&lt;=$J21)*(1-BC$12)</f>
        <v>8564.8733124033188</v>
      </c>
      <c r="BD21" s="747">
        <f>$G21*$H21*(1+$K21)^MAX(ROUNDUP(IFERROR(DATEDIF($I21-1,BD$15+1,"m"),)/12,)-1,)*Index!AZ$22*(BD$15&lt;=$J21)*(1-BD$12)</f>
        <v>8564.8733124033188</v>
      </c>
      <c r="BE21" s="747">
        <f>$G21*$H21*(1+$K21)^MAX(ROUNDUP(IFERROR(DATEDIF($I21-1,BE$15+1,"m"),)/12,)-1,)*Index!BA$22*(BE$15&lt;=$J21)*(1-BE$12)</f>
        <v>8564.8733124033188</v>
      </c>
      <c r="BF21" s="747">
        <f>$G21*$H21*(1+$K21)^MAX(ROUNDUP(IFERROR(DATEDIF($I21-1,BF$15+1,"m"),)/12,)-1,)*Index!BB$22*(BF$15&lt;=$J21)*(1-BF$12)</f>
        <v>8564.8733124033188</v>
      </c>
      <c r="BG21" s="747">
        <f>$G21*$H21*(1+$K21)^MAX(ROUNDUP(IFERROR(DATEDIF($I21-1,BG$15+1,"m"),)/12,)-1,)*Index!BC$22*(BG$15&lt;=$J21)*(1-BG$12)</f>
        <v>8778.995145213401</v>
      </c>
      <c r="BH21" s="747">
        <f>$G21*$H21*(1+$K21)^MAX(ROUNDUP(IFERROR(DATEDIF($I21-1,BH$15+1,"m"),)/12,)-1,)*Index!BD$22*(BH$15&lt;=$J21)*(1-BH$12)</f>
        <v>8778.995145213401</v>
      </c>
      <c r="BI21" s="747">
        <f>$G21*$H21*(1+$K21)^MAX(ROUNDUP(IFERROR(DATEDIF($I21-1,BI$15+1,"m"),)/12,)-1,)*Index!BE$22*(BI$15&lt;=$J21)*(1-BI$12)</f>
        <v>8778.995145213401</v>
      </c>
      <c r="BJ21" s="747">
        <f>$G21*$H21*(1+$K21)^MAX(ROUNDUP(IFERROR(DATEDIF($I21-1,BJ$15+1,"m"),)/12,)-1,)*Index!BF$22*(BJ$15&lt;=$J21)*(1-BJ$12)</f>
        <v>8778.995145213401</v>
      </c>
      <c r="BK21" s="747">
        <f>$G21*$H21*(1+$K21)^MAX(ROUNDUP(IFERROR(DATEDIF($I21-1,BK$15+1,"m"),)/12,)-1,)*Index!BG$22*(BK$15&lt;=$J21)*(1-BK$12)</f>
        <v>8778.995145213401</v>
      </c>
      <c r="BL21" s="747">
        <f>$G21*$H21*(1+$K21)^MAX(ROUNDUP(IFERROR(DATEDIF($I21-1,BL$15+1,"m"),)/12,)-1,)*Index!BH$22*(BL$15&lt;=$J21)*(1-BL$12)</f>
        <v>8778.995145213401</v>
      </c>
      <c r="BM21" s="747">
        <f>$G21*$H21*(1+$K21)^MAX(ROUNDUP(IFERROR(DATEDIF($I21-1,BM$15+1,"m"),)/12,)-1,)*Index!BI$22*(BM$15&lt;=$J21)*(1-BM$12)</f>
        <v>8778.995145213401</v>
      </c>
      <c r="BN21" s="747">
        <f>$G21*$H21*(1+$K21)^MAX(ROUNDUP(IFERROR(DATEDIF($I21-1,BN$15+1,"m"),)/12,)-1,)*Index!BJ$22*(BN$15&lt;=$J21)*(1-BN$12)</f>
        <v>8778.995145213401</v>
      </c>
      <c r="BO21" s="747">
        <f>$G21*$H21*(1+$K21)^MAX(ROUNDUP(IFERROR(DATEDIF($I21-1,BO$15+1,"m"),)/12,)-1,)*Index!BK$22*(BO$15&lt;=$J21)*(1-BO$12)</f>
        <v>8778.995145213401</v>
      </c>
      <c r="BP21" s="747">
        <f>$G21*$H21*(1+$K21)^MAX(ROUNDUP(IFERROR(DATEDIF($I21-1,BP$15+1,"m"),)/12,)-1,)*Index!BL$22*(BP$15&lt;=$J21)*(1-BP$12)</f>
        <v>8778.995145213401</v>
      </c>
      <c r="BQ21" s="747">
        <f>$G21*$H21*(1+$K21)^MAX(ROUNDUP(IFERROR(DATEDIF($I21-1,BQ$15+1,"m"),)/12,)-1,)*Index!BM$22*(BQ$15&lt;=$J21)*(1-BQ$12)</f>
        <v>8778.995145213401</v>
      </c>
      <c r="BR21" s="747">
        <f>$G21*$H21*(1+$K21)^MAX(ROUNDUP(IFERROR(DATEDIF($I21-1,BR$15+1,"m"),)/12,)-1,)*Index!BN$22*(BR$15&lt;=$J21)*(1-BR$12)</f>
        <v>8778.995145213401</v>
      </c>
      <c r="BS21" s="747">
        <f>$G21*$H21*(1+$K21)^MAX(ROUNDUP(IFERROR(DATEDIF($I21-1,BS$15+1,"m"),)/12,)-1,)*Index!BO$22*(BS$15&lt;=$J21)*(1-BS$12)</f>
        <v>8998.4700238437363</v>
      </c>
      <c r="BT21" s="747">
        <f>$G21*$H21*(1+$K21)^MAX(ROUNDUP(IFERROR(DATEDIF($I21-1,BT$15+1,"m"),)/12,)-1,)*Index!BP$22*(BT$15&lt;=$J21)*(1-BT$12)</f>
        <v>8998.4700238437363</v>
      </c>
      <c r="BU21" s="747">
        <f>$G21*$H21*(1+$K21)^MAX(ROUNDUP(IFERROR(DATEDIF($I21-1,BU$15+1,"m"),)/12,)-1,)*Index!BQ$22*(BU$15&lt;=$J21)*(1-BU$12)</f>
        <v>8998.4700238437363</v>
      </c>
      <c r="BV21" s="747">
        <f>$G21*$H21*(1+$K21)^MAX(ROUNDUP(IFERROR(DATEDIF($I21-1,BV$15+1,"m"),)/12,)-1,)*Index!BR$22*(BV$15&lt;=$J21)*(1-BV$12)</f>
        <v>8998.4700238437363</v>
      </c>
      <c r="BW21" s="747">
        <f>$G21*$H21*(1+$K21)^MAX(ROUNDUP(IFERROR(DATEDIF($I21-1,BW$15+1,"m"),)/12,)-1,)*Index!BS$22*(BW$15&lt;=$J21)*(1-BW$12)</f>
        <v>8998.4700238437363</v>
      </c>
      <c r="BX21" s="747">
        <f>$G21*$H21*(1+$K21)^MAX(ROUNDUP(IFERROR(DATEDIF($I21-1,BX$15+1,"m"),)/12,)-1,)*Index!BT$22*(BX$15&lt;=$J21)*(1-BX$12)</f>
        <v>8998.4700238437363</v>
      </c>
      <c r="BY21" s="747">
        <f>$G21*$H21*(1+$K21)^MAX(ROUNDUP(IFERROR(DATEDIF($I21-1,BY$15+1,"m"),)/12,)-1,)*Index!BU$22*(BY$15&lt;=$J21)*(1-BY$12)</f>
        <v>8998.4700238437363</v>
      </c>
      <c r="BZ21" s="747">
        <f>$G21*$H21*(1+$K21)^MAX(ROUNDUP(IFERROR(DATEDIF($I21-1,BZ$15+1,"m"),)/12,)-1,)*Index!BV$22*(BZ$15&lt;=$J21)*(1-BZ$12)</f>
        <v>8998.4700238437363</v>
      </c>
      <c r="CA21" s="747">
        <f>$G21*$H21*(1+$K21)^MAX(ROUNDUP(IFERROR(DATEDIF($I21-1,CA$15+1,"m"),)/12,)-1,)*Index!BW$22*(CA$15&lt;=$J21)*(1-CA$12)</f>
        <v>8998.4700238437363</v>
      </c>
      <c r="CB21" s="747">
        <f>$G21*$H21*(1+$K21)^MAX(ROUNDUP(IFERROR(DATEDIF($I21-1,CB$15+1,"m"),)/12,)-1,)*Index!BX$22*(CB$15&lt;=$J21)*(1-CB$12)</f>
        <v>8998.4700238437363</v>
      </c>
      <c r="CC21" s="747">
        <f>$G21*$H21*(1+$K21)^MAX(ROUNDUP(IFERROR(DATEDIF($I21-1,CC$15+1,"m"),)/12,)-1,)*Index!BY$22*(CC$15&lt;=$J21)*(1-CC$12)</f>
        <v>8998.4700238437363</v>
      </c>
      <c r="CD21" s="747">
        <f>$G21*$H21*(1+$K21)^MAX(ROUNDUP(IFERROR(DATEDIF($I21-1,CD$15+1,"m"),)/12,)-1,)*Index!BZ$22*(CD$15&lt;=$J21)*(1-CD$12)</f>
        <v>8998.4700238437363</v>
      </c>
      <c r="CE21" s="747">
        <f>$G21*$H21*(1+$K21)^MAX(ROUNDUP(IFERROR(DATEDIF($I21-1,CE$15+1,"m"),)/12,)-1,)*Index!CA$22*(CE$15&lt;=$J21)*(1-CE$12)</f>
        <v>9223.4317744398286</v>
      </c>
      <c r="CF21" s="747">
        <f>$G21*$H21*(1+$K21)^MAX(ROUNDUP(IFERROR(DATEDIF($I21-1,CF$15+1,"m"),)/12,)-1,)*Index!CB$22*(CF$15&lt;=$J21)*(1-CF$12)</f>
        <v>9223.4317744398286</v>
      </c>
      <c r="CG21" s="747">
        <f>$G21*$H21*(1+$K21)^MAX(ROUNDUP(IFERROR(DATEDIF($I21-1,CG$15+1,"m"),)/12,)-1,)*Index!CC$22*(CG$15&lt;=$J21)*(1-CG$12)</f>
        <v>9223.4317744398286</v>
      </c>
      <c r="CH21" s="747">
        <f>$G21*$H21*(1+$K21)^MAX(ROUNDUP(IFERROR(DATEDIF($I21-1,CH$15+1,"m"),)/12,)-1,)*Index!CD$22*(CH$15&lt;=$J21)*(1-CH$12)</f>
        <v>9223.4317744398286</v>
      </c>
      <c r="CI21" s="747">
        <f>$G21*$H21*(1+$K21)^MAX(ROUNDUP(IFERROR(DATEDIF($I21-1,CI$15+1,"m"),)/12,)-1,)*Index!CE$22*(CI$15&lt;=$J21)*(1-CI$12)</f>
        <v>9223.4317744398286</v>
      </c>
      <c r="CJ21" s="747">
        <f>$G21*$H21*(1+$K21)^MAX(ROUNDUP(IFERROR(DATEDIF($I21-1,CJ$15+1,"m"),)/12,)-1,)*Index!CF$22*(CJ$15&lt;=$J21)*(1-CJ$12)</f>
        <v>9223.4317744398286</v>
      </c>
      <c r="CK21" s="747">
        <f>$G21*$H21*(1+$K21)^MAX(ROUNDUP(IFERROR(DATEDIF($I21-1,CK$15+1,"m"),)/12,)-1,)*Index!CG$22*(CK$15&lt;=$J21)*(1-CK$12)</f>
        <v>9223.4317744398286</v>
      </c>
      <c r="CL21" s="747">
        <f>$G21*$H21*(1+$K21)^MAX(ROUNDUP(IFERROR(DATEDIF($I21-1,CL$15+1,"m"),)/12,)-1,)*Index!CH$22*(CL$15&lt;=$J21)*(1-CL$12)</f>
        <v>9223.4317744398286</v>
      </c>
      <c r="CM21" s="747">
        <f>$G21*$H21*(1+$K21)^MAX(ROUNDUP(IFERROR(DATEDIF($I21-1,CM$15+1,"m"),)/12,)-1,)*Index!CI$22*(CM$15&lt;=$J21)*(1-CM$12)</f>
        <v>9223.4317744398286</v>
      </c>
      <c r="CN21" s="747">
        <f>$G21*$H21*(1+$K21)^MAX(ROUNDUP(IFERROR(DATEDIF($I21-1,CN$15+1,"m"),)/12,)-1,)*Index!CJ$22*(CN$15&lt;=$J21)*(1-CN$12)</f>
        <v>9223.4317744398286</v>
      </c>
      <c r="CO21" s="747">
        <f>$G21*$H21*(1+$K21)^MAX(ROUNDUP(IFERROR(DATEDIF($I21-1,CO$15+1,"m"),)/12,)-1,)*Index!CK$22*(CO$15&lt;=$J21)*(1-CO$12)</f>
        <v>9223.4317744398286</v>
      </c>
      <c r="CP21" s="747">
        <f>$G21*$H21*(1+$K21)^MAX(ROUNDUP(IFERROR(DATEDIF($I21-1,CP$15+1,"m"),)/12,)-1,)*Index!CL$22*(CP$15&lt;=$J21)*(1-CP$12)</f>
        <v>9223.4317744398286</v>
      </c>
      <c r="CQ21" s="747">
        <f>$G21*$H21*(1+$K21)^MAX(ROUNDUP(IFERROR(DATEDIF($I21-1,CQ$15+1,"m"),)/12,)-1,)*Index!CM$22*(CQ$15&lt;=$J21)*(1-CQ$12)</f>
        <v>9454.0175688008221</v>
      </c>
      <c r="CR21" s="747">
        <f>$G21*$H21*(1+$K21)^MAX(ROUNDUP(IFERROR(DATEDIF($I21-1,CR$15+1,"m"),)/12,)-1,)*Index!CN$22*(CR$15&lt;=$J21)*(1-CR$12)</f>
        <v>9454.0175688008221</v>
      </c>
      <c r="CS21" s="747">
        <f>$G21*$H21*(1+$K21)^MAX(ROUNDUP(IFERROR(DATEDIF($I21-1,CS$15+1,"m"),)/12,)-1,)*Index!CO$22*(CS$15&lt;=$J21)*(1-CS$12)</f>
        <v>9454.0175688008221</v>
      </c>
      <c r="CT21" s="747">
        <f>$G21*$H21*(1+$K21)^MAX(ROUNDUP(IFERROR(DATEDIF($I21-1,CT$15+1,"m"),)/12,)-1,)*Index!CP$22*(CT$15&lt;=$J21)*(1-CT$12)</f>
        <v>9454.0175688008221</v>
      </c>
      <c r="CU21" s="747">
        <f>$G21*$H21*(1+$K21)^MAX(ROUNDUP(IFERROR(DATEDIF($I21-1,CU$15+1,"m"),)/12,)-1,)*Index!CQ$22*(CU$15&lt;=$J21)*(1-CU$12)</f>
        <v>9454.0175688008221</v>
      </c>
      <c r="CV21" s="747">
        <f>$G21*$H21*(1+$K21)^MAX(ROUNDUP(IFERROR(DATEDIF($I21-1,CV$15+1,"m"),)/12,)-1,)*Index!CR$22*(CV$15&lt;=$J21)*(1-CV$12)</f>
        <v>9454.0175688008221</v>
      </c>
      <c r="CW21" s="747">
        <f>$G21*$H21*(1+$K21)^MAX(ROUNDUP(IFERROR(DATEDIF($I21-1,CW$15+1,"m"),)/12,)-1,)*Index!CS$22*(CW$15&lt;=$J21)*(1-CW$12)</f>
        <v>9454.0175688008221</v>
      </c>
      <c r="CX21" s="747">
        <f>$G21*$H21*(1+$K21)^MAX(ROUNDUP(IFERROR(DATEDIF($I21-1,CX$15+1,"m"),)/12,)-1,)*Index!CT$22*(CX$15&lt;=$J21)*(1-CX$12)</f>
        <v>9454.0175688008221</v>
      </c>
      <c r="CY21" s="747">
        <f>$G21*$H21*(1+$K21)^MAX(ROUNDUP(IFERROR(DATEDIF($I21-1,CY$15+1,"m"),)/12,)-1,)*Index!CU$22*(CY$15&lt;=$J21)*(1-CY$12)</f>
        <v>9454.0175688008221</v>
      </c>
      <c r="CZ21" s="747">
        <f>$G21*$H21*(1+$K21)^MAX(ROUNDUP(IFERROR(DATEDIF($I21-1,CZ$15+1,"m"),)/12,)-1,)*Index!CV$22*(CZ$15&lt;=$J21)*(1-CZ$12)</f>
        <v>9454.0175688008221</v>
      </c>
      <c r="DA21" s="747">
        <f>$G21*$H21*(1+$K21)^MAX(ROUNDUP(IFERROR(DATEDIF($I21-1,DA$15+1,"m"),)/12,)-1,)*Index!CW$22*(DA$15&lt;=$J21)*(1-DA$12)</f>
        <v>9454.0175688008221</v>
      </c>
      <c r="DB21" s="747">
        <f>$G21*$H21*(1+$K21)^MAX(ROUNDUP(IFERROR(DATEDIF($I21-1,DB$15+1,"m"),)/12,)-1,)*Index!CX$22*(DB$15&lt;=$J21)*(1-DB$12)</f>
        <v>9454.0175688008221</v>
      </c>
      <c r="DC21" s="747">
        <f>$G21*$H21*(1+$K21)^MAX(ROUNDUP(IFERROR(DATEDIF($I21-1,DC$15+1,"m"),)/12,)-1,)*Index!CY$22*(DC$15&lt;=$J21)*(1-DC$12)</f>
        <v>0</v>
      </c>
      <c r="DD21" s="747">
        <f>$G21*$H21*(1+$K21)^MAX(ROUNDUP(IFERROR(DATEDIF($I21-1,DD$15+1,"m"),)/12,)-1,)*Index!CZ$22*(DD$15&lt;=$J21)*(1-DD$12)</f>
        <v>0</v>
      </c>
      <c r="DE21" s="747">
        <f>$G21*$H21*(1+$K21)^MAX(ROUNDUP(IFERROR(DATEDIF($I21-1,DE$15+1,"m"),)/12,)-1,)*Index!DA$22*(DE$15&lt;=$J21)*(1-DE$12)</f>
        <v>0</v>
      </c>
      <c r="DF21" s="747">
        <f>$G21*$H21*(1+$K21)^MAX(ROUNDUP(IFERROR(DATEDIF($I21-1,DF$15+1,"m"),)/12,)-1,)*Index!DB$22*(DF$15&lt;=$J21)*(1-DF$12)</f>
        <v>0</v>
      </c>
      <c r="DG21" s="747">
        <f>$G21*$H21*(1+$K21)^MAX(ROUNDUP(IFERROR(DATEDIF($I21-1,DG$15+1,"m"),)/12,)-1,)*Index!DC$22*(DG$15&lt;=$J21)*(1-DG$12)</f>
        <v>0</v>
      </c>
      <c r="DH21" s="747">
        <f>$G21*$H21*(1+$K21)^MAX(ROUNDUP(IFERROR(DATEDIF($I21-1,DH$15+1,"m"),)/12,)-1,)*Index!DD$22*(DH$15&lt;=$J21)*(1-DH$12)</f>
        <v>0</v>
      </c>
      <c r="DI21" s="747">
        <f>$G21*$H21*(1+$K21)^MAX(ROUNDUP(IFERROR(DATEDIF($I21-1,DI$15+1,"m"),)/12,)-1,)*Index!DE$22*(DI$15&lt;=$J21)*(1-DI$12)</f>
        <v>0</v>
      </c>
      <c r="DJ21" s="747">
        <f>$G21*$H21*(1+$K21)^MAX(ROUNDUP(IFERROR(DATEDIF($I21-1,DJ$15+1,"m"),)/12,)-1,)*Index!DF$22*(DJ$15&lt;=$J21)*(1-DJ$12)</f>
        <v>0</v>
      </c>
      <c r="DK21" s="747">
        <f>$G21*$H21*(1+$K21)^MAX(ROUNDUP(IFERROR(DATEDIF($I21-1,DK$15+1,"m"),)/12,)-1,)*Index!DG$22*(DK$15&lt;=$J21)*(1-DK$12)</f>
        <v>0</v>
      </c>
      <c r="DL21" s="747">
        <f>$G21*$H21*(1+$K21)^MAX(ROUNDUP(IFERROR(DATEDIF($I21-1,DL$15+1,"m"),)/12,)-1,)*Index!DH$22*(DL$15&lt;=$J21)*(1-DL$12)</f>
        <v>0</v>
      </c>
      <c r="DM21" s="747">
        <f>$G21*$H21*(1+$K21)^MAX(ROUNDUP(IFERROR(DATEDIF($I21-1,DM$15+1,"m"),)/12,)-1,)*Index!DI$22*(DM$15&lt;=$J21)*(1-DM$12)</f>
        <v>0</v>
      </c>
      <c r="DN21" s="747">
        <f>$G21*$H21*(1+$K21)^MAX(ROUNDUP(IFERROR(DATEDIF($I21-1,DN$15+1,"m"),)/12,)-1,)*Index!DJ$22*(DN$15&lt;=$J21)*(1-DN$12)</f>
        <v>0</v>
      </c>
      <c r="DO21" s="747">
        <f>$G21*$H21*(1+$K21)^MAX(ROUNDUP(IFERROR(DATEDIF($I21-1,DO$15+1,"m"),)/12,)-1,)*Index!DK$22*(DO$15&lt;=$J21)*(1-DO$12)</f>
        <v>0</v>
      </c>
      <c r="DP21" s="747">
        <f>$G21*$H21*(1+$K21)^MAX(ROUNDUP(IFERROR(DATEDIF($I21-1,DP$15+1,"m"),)/12,)-1,)*Index!DL$22*(DP$15&lt;=$J21)*(1-DP$12)</f>
        <v>0</v>
      </c>
      <c r="DQ21" s="747">
        <f>$G21*$H21*(1+$K21)^MAX(ROUNDUP(IFERROR(DATEDIF($I21-1,DQ$15+1,"m"),)/12,)-1,)*Index!DM$22*(DQ$15&lt;=$J21)*(1-DQ$12)</f>
        <v>0</v>
      </c>
      <c r="DR21" s="747">
        <f>$G21*$H21*(1+$K21)^MAX(ROUNDUP(IFERROR(DATEDIF($I21-1,DR$15+1,"m"),)/12,)-1,)*Index!DN$22*(DR$15&lt;=$J21)*(1-DR$12)</f>
        <v>0</v>
      </c>
      <c r="DS21" s="747">
        <f>$G21*$H21*(1+$K21)^MAX(ROUNDUP(IFERROR(DATEDIF($I21-1,DS$15+1,"m"),)/12,)-1,)*Index!DO$22*(DS$15&lt;=$J21)*(1-DS$12)</f>
        <v>0</v>
      </c>
      <c r="DT21" s="747">
        <f>$G21*$H21*(1+$K21)^MAX(ROUNDUP(IFERROR(DATEDIF($I21-1,DT$15+1,"m"),)/12,)-1,)*Index!DP$22*(DT$15&lt;=$J21)*(1-DT$12)</f>
        <v>0</v>
      </c>
      <c r="DU21" s="747">
        <f>$G21*$H21*(1+$K21)^MAX(ROUNDUP(IFERROR(DATEDIF($I21-1,DU$15+1,"m"),)/12,)-1,)*Index!DQ$22*(DU$15&lt;=$J21)*(1-DU$12)</f>
        <v>0</v>
      </c>
      <c r="DV21" s="747">
        <f>$G21*$H21*(1+$K21)^MAX(ROUNDUP(IFERROR(DATEDIF($I21-1,DV$15+1,"m"),)/12,)-1,)*Index!DR$22*(DV$15&lt;=$J21)*(1-DV$12)</f>
        <v>0</v>
      </c>
      <c r="DW21" s="747">
        <f>$G21*$H21*(1+$K21)^MAX(ROUNDUP(IFERROR(DATEDIF($I21-1,DW$15+1,"m"),)/12,)-1,)*Index!DS$22*(DW$15&lt;=$J21)*(1-DW$12)</f>
        <v>0</v>
      </c>
      <c r="DX21" s="747">
        <f>$G21*$H21*(1+$K21)^MAX(ROUNDUP(IFERROR(DATEDIF($I21-1,DX$15+1,"m"),)/12,)-1,)*Index!DT$22*(DX$15&lt;=$J21)*(1-DX$12)</f>
        <v>0</v>
      </c>
      <c r="DY21" s="747">
        <f>$G21*$H21*(1+$K21)^MAX(ROUNDUP(IFERROR(DATEDIF($I21-1,DY$15+1,"m"),)/12,)-1,)*Index!DU$22*(DY$15&lt;=$J21)*(1-DY$12)</f>
        <v>0</v>
      </c>
      <c r="DZ21" s="747">
        <f>$G21*$H21*(1+$K21)^MAX(ROUNDUP(IFERROR(DATEDIF($I21-1,DZ$15+1,"m"),)/12,)-1,)*Index!DV$22*(DZ$15&lt;=$J21)*(1-DZ$12)</f>
        <v>0</v>
      </c>
      <c r="EA21" s="747">
        <f>$G21*$H21*(1+$K21)^MAX(ROUNDUP(IFERROR(DATEDIF($I21-1,EA$15+1,"m"),)/12,)-1,)*Index!DW$22*(EA$15&lt;=$J21)*(1-EA$12)</f>
        <v>0</v>
      </c>
      <c r="EB21" s="747">
        <f>$G21*$H21*(1+$K21)^MAX(ROUNDUP(IFERROR(DATEDIF($I21-1,EB$15+1,"m"),)/12,)-1,)*Index!DX$22*(EB$15&lt;=$J21)*(1-EB$12)</f>
        <v>0</v>
      </c>
      <c r="EC21" s="747">
        <f>$G21*$H21*(1+$K21)^MAX(ROUNDUP(IFERROR(DATEDIF($I21-1,EC$15+1,"m"),)/12,)-1,)*Index!DY$22*(EC$15&lt;=$J21)*(1-EC$12)</f>
        <v>0</v>
      </c>
      <c r="ED21" s="747">
        <f>$G21*$H21*(1+$K21)^MAX(ROUNDUP(IFERROR(DATEDIF($I21-1,ED$15+1,"m"),)/12,)-1,)*Index!DZ$22*(ED$15&lt;=$J21)*(1-ED$12)</f>
        <v>0</v>
      </c>
      <c r="EE21" s="747">
        <f>$G21*$H21*(1+$K21)^MAX(ROUNDUP(IFERROR(DATEDIF($I21-1,EE$15+1,"m"),)/12,)-1,)*Index!EA$22*(EE$15&lt;=$J21)*(1-EE$12)</f>
        <v>0</v>
      </c>
      <c r="EF21" s="747">
        <f>$G21*$H21*(1+$K21)^MAX(ROUNDUP(IFERROR(DATEDIF($I21-1,EF$15+1,"m"),)/12,)-1,)*Index!EB$22*(EF$15&lt;=$J21)*(1-EF$12)</f>
        <v>0</v>
      </c>
      <c r="EG21" s="747">
        <f>$G21*$H21*(1+$K21)^MAX(ROUNDUP(IFERROR(DATEDIF($I21-1,EG$15+1,"m"),)/12,)-1,)*Index!EC$22*(EG$15&lt;=$J21)*(1-EG$12)</f>
        <v>0</v>
      </c>
      <c r="EH21" s="747">
        <f>$G21*$H21*(1+$K21)^MAX(ROUNDUP(IFERROR(DATEDIF($I21-1,EH$15+1,"m"),)/12,)-1,)*Index!ED$22*(EH$15&lt;=$J21)*(1-EH$12)</f>
        <v>0</v>
      </c>
      <c r="EI21" s="747">
        <f>$G21*$H21*(1+$K21)^MAX(ROUNDUP(IFERROR(DATEDIF($I21-1,EI$15+1,"m"),)/12,)-1,)*Index!EE$22*(EI$15&lt;=$J21)*(1-EI$12)</f>
        <v>0</v>
      </c>
      <c r="EJ21" s="747">
        <f>$G21*$H21*(1+$K21)^MAX(ROUNDUP(IFERROR(DATEDIF($I21-1,EJ$15+1,"m"),)/12,)-1,)*Index!EF$22*(EJ$15&lt;=$J21)*(1-EJ$12)</f>
        <v>0</v>
      </c>
      <c r="EK21" s="747">
        <f>$G21*$H21*(1+$K21)^MAX(ROUNDUP(IFERROR(DATEDIF($I21-1,EK$15+1,"m"),)/12,)-1,)*Index!EG$22*(EK$15&lt;=$J21)*(1-EK$12)</f>
        <v>0</v>
      </c>
      <c r="EL21" s="747">
        <f>$G21*$H21*(1+$K21)^MAX(ROUNDUP(IFERROR(DATEDIF($I21-1,EL$15+1,"m"),)/12,)-1,)*Index!EH$22*(EL$15&lt;=$J21)*(1-EL$12)</f>
        <v>0</v>
      </c>
      <c r="EM21" s="747">
        <f>$G21*$H21*(1+$K21)^MAX(ROUNDUP(IFERROR(DATEDIF($I21-1,EM$15+1,"m"),)/12,)-1,)*Index!EI$22*(EM$15&lt;=$J21)*(1-EM$12)</f>
        <v>0</v>
      </c>
      <c r="EN21" s="747">
        <f>$G21*$H21*(1+$K21)^MAX(ROUNDUP(IFERROR(DATEDIF($I21-1,EN$15+1,"m"),)/12,)-1,)*Index!EJ$22*(EN$15&lt;=$J21)*(1-EN$12)</f>
        <v>0</v>
      </c>
      <c r="EO21" s="747">
        <f>$G21*$H21*(1+$K21)^MAX(ROUNDUP(IFERROR(DATEDIF($I21-1,EO$15+1,"m"),)/12,)-1,)*Index!EK$22*(EO$15&lt;=$J21)*(1-EO$12)</f>
        <v>0</v>
      </c>
      <c r="EP21" s="747">
        <f>$G21*$H21*(1+$K21)^MAX(ROUNDUP(IFERROR(DATEDIF($I21-1,EP$15+1,"m"),)/12,)-1,)*Index!EL$22*(EP$15&lt;=$J21)*(1-EP$12)</f>
        <v>0</v>
      </c>
      <c r="EQ21" s="747">
        <f>$G21*$H21*(1+$K21)^MAX(ROUNDUP(IFERROR(DATEDIF($I21-1,EQ$15+1,"m"),)/12,)-1,)*Index!EM$22*(EQ$15&lt;=$J21)*(1-EQ$12)</f>
        <v>0</v>
      </c>
      <c r="ER21" s="747">
        <f>$G21*$H21*(1+$K21)^MAX(ROUNDUP(IFERROR(DATEDIF($I21-1,ER$15+1,"m"),)/12,)-1,)*Index!EN$22*(ER$15&lt;=$J21)*(1-ER$12)</f>
        <v>0</v>
      </c>
      <c r="ES21" s="747">
        <f>$G21*$H21*(1+$K21)^MAX(ROUNDUP(IFERROR(DATEDIF($I21-1,ES$15+1,"m"),)/12,)-1,)*Index!EO$22*(ES$15&lt;=$J21)*(1-ES$12)</f>
        <v>0</v>
      </c>
      <c r="ET21" s="747">
        <f>$G21*$H21*(1+$K21)^MAX(ROUNDUP(IFERROR(DATEDIF($I21-1,ET$15+1,"m"),)/12,)-1,)*Index!EP$22*(ET$15&lt;=$J21)*(1-ET$12)</f>
        <v>0</v>
      </c>
      <c r="EU21" s="747">
        <f>$G21*$H21*(1+$K21)^MAX(ROUNDUP(IFERROR(DATEDIF($I21-1,EU$15+1,"m"),)/12,)-1,)*Index!EQ$22*(EU$15&lt;=$J21)*(1-EU$12)</f>
        <v>0</v>
      </c>
    </row>
    <row r="22" spans="3:151" ht="11.25" customHeight="1">
      <c r="C22" s="735"/>
      <c r="D22" s="743">
        <f>'A&amp;R'!V11</f>
        <v>7</v>
      </c>
      <c r="E22" s="704" t="str">
        <f>'A&amp;R'!W11</f>
        <v>쿠팡</v>
      </c>
      <c r="F22" s="704" t="str">
        <f>'A&amp;R'!X11</f>
        <v>상온창고</v>
      </c>
      <c r="G22" s="752">
        <f>'A&amp;R'!AC11/1000</f>
        <v>60</v>
      </c>
      <c r="H22" s="744">
        <f>'A&amp;R'!Y11</f>
        <v>1550.42</v>
      </c>
      <c r="I22" s="745">
        <f>'A&amp;R'!Z11</f>
        <v>45323</v>
      </c>
      <c r="J22" s="745">
        <f>'A&amp;R'!AA11</f>
        <v>49064</v>
      </c>
      <c r="K22" s="754">
        <f>'A&amp;R'!AF11</f>
        <v>2.5000000000000001E-2</v>
      </c>
      <c r="L22" s="746"/>
      <c r="M22" s="722"/>
      <c r="N22" s="747">
        <f t="shared" si="7"/>
        <v>9723478.5510443393</v>
      </c>
      <c r="O22" s="733"/>
      <c r="P22" s="747">
        <f>$G22*$H22*(1+$K22)^MAX(ROUNDUP(IFERROR(DATEDIF($I22-1,P$15+1,"m"),)/12,)-1,)*Index!L$22*(P$15&lt;=$J22)*(1-P$12)</f>
        <v>0</v>
      </c>
      <c r="Q22" s="747">
        <f>$G22*$H22*(1+$K22)^MAX(ROUNDUP(IFERROR(DATEDIF($I22-1,Q$15+1,"m"),)/12,)-1,)*Index!M$22*(Q$15&lt;=$J22)*(1-Q$12)</f>
        <v>97734.600749999998</v>
      </c>
      <c r="R22" s="747">
        <f>$G22*$H22*(1+$K22)^MAX(ROUNDUP(IFERROR(DATEDIF($I22-1,R$15+1,"m"),)/12,)-1,)*Index!N$22*(R$15&lt;=$J22)*(1-R$12)</f>
        <v>97734.600749999998</v>
      </c>
      <c r="S22" s="747">
        <f>$G22*$H22*(1+$K22)^MAX(ROUNDUP(IFERROR(DATEDIF($I22-1,S$15+1,"m"),)/12,)-1,)*Index!O$22*(S$15&lt;=$J22)*(1-S$12)</f>
        <v>97734.600749999998</v>
      </c>
      <c r="T22" s="747">
        <f>$G22*$H22*(1+$K22)^MAX(ROUNDUP(IFERROR(DATEDIF($I22-1,T$15+1,"m"),)/12,)-1,)*Index!P$22*(T$15&lt;=$J22)*(1-T$12)</f>
        <v>100177.96576875</v>
      </c>
      <c r="U22" s="747">
        <f>$G22*$H22*(1+$K22)^MAX(ROUNDUP(IFERROR(DATEDIF($I22-1,U$15+1,"m"),)/12,)-1,)*Index!Q$22*(U$15&lt;=$J22)*(1-U$12)</f>
        <v>100177.96576875</v>
      </c>
      <c r="V22" s="747">
        <f>$G22*$H22*(1+$K22)^MAX(ROUNDUP(IFERROR(DATEDIF($I22-1,V$15+1,"m"),)/12,)-1,)*Index!R$22*(V$15&lt;=$J22)*(1-V$12)</f>
        <v>100177.96576875</v>
      </c>
      <c r="W22" s="747">
        <f>$G22*$H22*(1+$K22)^MAX(ROUNDUP(IFERROR(DATEDIF($I22-1,W$15+1,"m"),)/12,)-1,)*Index!S$22*(W$15&lt;=$J22)*(1-W$12)</f>
        <v>100177.96576875</v>
      </c>
      <c r="X22" s="747">
        <f>$G22*$H22*(1+$K22)^MAX(ROUNDUP(IFERROR(DATEDIF($I22-1,X$15+1,"m"),)/12,)-1,)*Index!T$22*(X$15&lt;=$J22)*(1-X$12)</f>
        <v>100177.96576875</v>
      </c>
      <c r="Y22" s="747">
        <f>$G22*$H22*(1+$K22)^MAX(ROUNDUP(IFERROR(DATEDIF($I22-1,Y$15+1,"m"),)/12,)-1,)*Index!U$22*(Y$15&lt;=$J22)*(1-Y$12)</f>
        <v>100177.96576875</v>
      </c>
      <c r="Z22" s="747">
        <f>$G22*$H22*(1+$K22)^MAX(ROUNDUP(IFERROR(DATEDIF($I22-1,Z$15+1,"m"),)/12,)-1,)*Index!V$22*(Z$15&lt;=$J22)*(1-Z$12)</f>
        <v>100177.96576875</v>
      </c>
      <c r="AA22" s="747">
        <f>$G22*$H22*(1+$K22)^MAX(ROUNDUP(IFERROR(DATEDIF($I22-1,AA$15+1,"m"),)/12,)-1,)*Index!W$22*(AA$15&lt;=$J22)*(1-AA$12)</f>
        <v>100177.96576875</v>
      </c>
      <c r="AB22" s="747">
        <f>$G22*$H22*(1+$K22)^MAX(ROUNDUP(IFERROR(DATEDIF($I22-1,AB$15+1,"m"),)/12,)-1,)*Index!X$22*(AB$15&lt;=$J22)*(1-AB$12)</f>
        <v>100177.96576875</v>
      </c>
      <c r="AC22" s="747">
        <f>$G22*$H22*(1+$K22)^MAX(ROUNDUP(IFERROR(DATEDIF($I22-1,AC$15+1,"m"),)/12,)-1,)*Index!Y$22*(AC$15&lt;=$J22)*(1-AC$12)</f>
        <v>100177.96576875</v>
      </c>
      <c r="AD22" s="747">
        <f>$G22*$H22*(1+$K22)^MAX(ROUNDUP(IFERROR(DATEDIF($I22-1,AD$15+1,"m"),)/12,)-1,)*Index!Z$22*(AD$15&lt;=$J22)*(1-AD$12)</f>
        <v>100177.96576875</v>
      </c>
      <c r="AE22" s="747">
        <f>$G22*$H22*(1+$K22)^MAX(ROUNDUP(IFERROR(DATEDIF($I22-1,AE$15+1,"m"),)/12,)-1,)*Index!AA$22*(AE$15&lt;=$J22)*(1-AE$12)</f>
        <v>100177.96576875</v>
      </c>
      <c r="AF22" s="747">
        <f>$G22*$H22*(1+$K22)^MAX(ROUNDUP(IFERROR(DATEDIF($I22-1,AF$15+1,"m"),)/12,)-1,)*Index!AB$22*(AF$15&lt;=$J22)*(1-AF$12)</f>
        <v>102682.41491296874</v>
      </c>
      <c r="AG22" s="747">
        <f>$G22*$H22*(1+$K22)^MAX(ROUNDUP(IFERROR(DATEDIF($I22-1,AG$15+1,"m"),)/12,)-1,)*Index!AC$22*(AG$15&lt;=$J22)*(1-AG$12)</f>
        <v>102682.41491296874</v>
      </c>
      <c r="AH22" s="747">
        <f>$G22*$H22*(1+$K22)^MAX(ROUNDUP(IFERROR(DATEDIF($I22-1,AH$15+1,"m"),)/12,)-1,)*Index!AD$22*(AH$15&lt;=$J22)*(1-AH$12)</f>
        <v>102682.41491296874</v>
      </c>
      <c r="AI22" s="747">
        <f>$G22*$H22*(1+$K22)^MAX(ROUNDUP(IFERROR(DATEDIF($I22-1,AI$15+1,"m"),)/12,)-1,)*Index!AE$22*(AI$15&lt;=$J22)*(1-AI$12)</f>
        <v>102682.41491296874</v>
      </c>
      <c r="AJ22" s="747">
        <f>$G22*$H22*(1+$K22)^MAX(ROUNDUP(IFERROR(DATEDIF($I22-1,AJ$15+1,"m"),)/12,)-1,)*Index!AF$22*(AJ$15&lt;=$J22)*(1-AJ$12)</f>
        <v>102682.41491296874</v>
      </c>
      <c r="AK22" s="747">
        <f>$G22*$H22*(1+$K22)^MAX(ROUNDUP(IFERROR(DATEDIF($I22-1,AK$15+1,"m"),)/12,)-1,)*Index!AG$22*(AK$15&lt;=$J22)*(1-AK$12)</f>
        <v>102682.41491296874</v>
      </c>
      <c r="AL22" s="747">
        <f>$G22*$H22*(1+$K22)^MAX(ROUNDUP(IFERROR(DATEDIF($I22-1,AL$15+1,"m"),)/12,)-1,)*Index!AH$22*(AL$15&lt;=$J22)*(1-AL$12)</f>
        <v>102682.41491296874</v>
      </c>
      <c r="AM22" s="747">
        <f>$G22*$H22*(1+$K22)^MAX(ROUNDUP(IFERROR(DATEDIF($I22-1,AM$15+1,"m"),)/12,)-1,)*Index!AI$22*(AM$15&lt;=$J22)*(1-AM$12)</f>
        <v>102682.41491296874</v>
      </c>
      <c r="AN22" s="747">
        <f>$G22*$H22*(1+$K22)^MAX(ROUNDUP(IFERROR(DATEDIF($I22-1,AN$15+1,"m"),)/12,)-1,)*Index!AJ$22*(AN$15&lt;=$J22)*(1-AN$12)</f>
        <v>102682.41491296874</v>
      </c>
      <c r="AO22" s="747">
        <f>$G22*$H22*(1+$K22)^MAX(ROUNDUP(IFERROR(DATEDIF($I22-1,AO$15+1,"m"),)/12,)-1,)*Index!AK$22*(AO$15&lt;=$J22)*(1-AO$12)</f>
        <v>102682.41491296874</v>
      </c>
      <c r="AP22" s="747">
        <f>$G22*$H22*(1+$K22)^MAX(ROUNDUP(IFERROR(DATEDIF($I22-1,AP$15+1,"m"),)/12,)-1,)*Index!AL$22*(AP$15&lt;=$J22)*(1-AP$12)</f>
        <v>102682.41491296874</v>
      </c>
      <c r="AQ22" s="747">
        <f>$G22*$H22*(1+$K22)^MAX(ROUNDUP(IFERROR(DATEDIF($I22-1,AQ$15+1,"m"),)/12,)-1,)*Index!AM$22*(AQ$15&lt;=$J22)*(1-AQ$12)</f>
        <v>102682.41491296874</v>
      </c>
      <c r="AR22" s="747">
        <f>$G22*$H22*(1+$K22)^MAX(ROUNDUP(IFERROR(DATEDIF($I22-1,AR$15+1,"m"),)/12,)-1,)*Index!AN$22*(AR$15&lt;=$J22)*(1-AR$12)</f>
        <v>105249.47528579296</v>
      </c>
      <c r="AS22" s="747">
        <f>$G22*$H22*(1+$K22)^MAX(ROUNDUP(IFERROR(DATEDIF($I22-1,AS$15+1,"m"),)/12,)-1,)*Index!AO$22*(AS$15&lt;=$J22)*(1-AS$12)</f>
        <v>105249.47528579296</v>
      </c>
      <c r="AT22" s="747">
        <f>$G22*$H22*(1+$K22)^MAX(ROUNDUP(IFERROR(DATEDIF($I22-1,AT$15+1,"m"),)/12,)-1,)*Index!AP$22*(AT$15&lt;=$J22)*(1-AT$12)</f>
        <v>105249.47528579296</v>
      </c>
      <c r="AU22" s="747">
        <f>$G22*$H22*(1+$K22)^MAX(ROUNDUP(IFERROR(DATEDIF($I22-1,AU$15+1,"m"),)/12,)-1,)*Index!AQ$22*(AU$15&lt;=$J22)*(1-AU$12)</f>
        <v>105249.47528579296</v>
      </c>
      <c r="AV22" s="747">
        <f>$G22*$H22*(1+$K22)^MAX(ROUNDUP(IFERROR(DATEDIF($I22-1,AV$15+1,"m"),)/12,)-1,)*Index!AR$22*(AV$15&lt;=$J22)*(1-AV$12)</f>
        <v>105249.47528579296</v>
      </c>
      <c r="AW22" s="747">
        <f>$G22*$H22*(1+$K22)^MAX(ROUNDUP(IFERROR(DATEDIF($I22-1,AW$15+1,"m"),)/12,)-1,)*Index!AS$22*(AW$15&lt;=$J22)*(1-AW$12)</f>
        <v>105249.47528579296</v>
      </c>
      <c r="AX22" s="747">
        <f>$G22*$H22*(1+$K22)^MAX(ROUNDUP(IFERROR(DATEDIF($I22-1,AX$15+1,"m"),)/12,)-1,)*Index!AT$22*(AX$15&lt;=$J22)*(1-AX$12)</f>
        <v>105249.47528579296</v>
      </c>
      <c r="AY22" s="747">
        <f>$G22*$H22*(1+$K22)^MAX(ROUNDUP(IFERROR(DATEDIF($I22-1,AY$15+1,"m"),)/12,)-1,)*Index!AU$22*(AY$15&lt;=$J22)*(1-AY$12)</f>
        <v>105249.47528579296</v>
      </c>
      <c r="AZ22" s="747">
        <f>$G22*$H22*(1+$K22)^MAX(ROUNDUP(IFERROR(DATEDIF($I22-1,AZ$15+1,"m"),)/12,)-1,)*Index!AV$22*(AZ$15&lt;=$J22)*(1-AZ$12)</f>
        <v>105249.47528579296</v>
      </c>
      <c r="BA22" s="747">
        <f>$G22*$H22*(1+$K22)^MAX(ROUNDUP(IFERROR(DATEDIF($I22-1,BA$15+1,"m"),)/12,)-1,)*Index!AW$22*(BA$15&lt;=$J22)*(1-BA$12)</f>
        <v>105249.47528579296</v>
      </c>
      <c r="BB22" s="747">
        <f>$G22*$H22*(1+$K22)^MAX(ROUNDUP(IFERROR(DATEDIF($I22-1,BB$15+1,"m"),)/12,)-1,)*Index!AX$22*(BB$15&lt;=$J22)*(1-BB$12)</f>
        <v>105249.47528579296</v>
      </c>
      <c r="BC22" s="747">
        <f>$G22*$H22*(1+$K22)^MAX(ROUNDUP(IFERROR(DATEDIF($I22-1,BC$15+1,"m"),)/12,)-1,)*Index!AY$22*(BC$15&lt;=$J22)*(1-BC$12)</f>
        <v>105249.47528579296</v>
      </c>
      <c r="BD22" s="747">
        <f>$G22*$H22*(1+$K22)^MAX(ROUNDUP(IFERROR(DATEDIF($I22-1,BD$15+1,"m"),)/12,)-1,)*Index!AZ$22*(BD$15&lt;=$J22)*(1-BD$12)</f>
        <v>107880.71216793776</v>
      </c>
      <c r="BE22" s="747">
        <f>$G22*$H22*(1+$K22)^MAX(ROUNDUP(IFERROR(DATEDIF($I22-1,BE$15+1,"m"),)/12,)-1,)*Index!BA$22*(BE$15&lt;=$J22)*(1-BE$12)</f>
        <v>107880.71216793776</v>
      </c>
      <c r="BF22" s="747">
        <f>$G22*$H22*(1+$K22)^MAX(ROUNDUP(IFERROR(DATEDIF($I22-1,BF$15+1,"m"),)/12,)-1,)*Index!BB$22*(BF$15&lt;=$J22)*(1-BF$12)</f>
        <v>107880.71216793776</v>
      </c>
      <c r="BG22" s="747">
        <f>$G22*$H22*(1+$K22)^MAX(ROUNDUP(IFERROR(DATEDIF($I22-1,BG$15+1,"m"),)/12,)-1,)*Index!BC$22*(BG$15&lt;=$J22)*(1-BG$12)</f>
        <v>107880.71216793776</v>
      </c>
      <c r="BH22" s="747">
        <f>$G22*$H22*(1+$K22)^MAX(ROUNDUP(IFERROR(DATEDIF($I22-1,BH$15+1,"m"),)/12,)-1,)*Index!BD$22*(BH$15&lt;=$J22)*(1-BH$12)</f>
        <v>107880.71216793776</v>
      </c>
      <c r="BI22" s="747">
        <f>$G22*$H22*(1+$K22)^MAX(ROUNDUP(IFERROR(DATEDIF($I22-1,BI$15+1,"m"),)/12,)-1,)*Index!BE$22*(BI$15&lt;=$J22)*(1-BI$12)</f>
        <v>107880.71216793776</v>
      </c>
      <c r="BJ22" s="747">
        <f>$G22*$H22*(1+$K22)^MAX(ROUNDUP(IFERROR(DATEDIF($I22-1,BJ$15+1,"m"),)/12,)-1,)*Index!BF$22*(BJ$15&lt;=$J22)*(1-BJ$12)</f>
        <v>107880.71216793776</v>
      </c>
      <c r="BK22" s="747">
        <f>$G22*$H22*(1+$K22)^MAX(ROUNDUP(IFERROR(DATEDIF($I22-1,BK$15+1,"m"),)/12,)-1,)*Index!BG$22*(BK$15&lt;=$J22)*(1-BK$12)</f>
        <v>107880.71216793776</v>
      </c>
      <c r="BL22" s="747">
        <f>$G22*$H22*(1+$K22)^MAX(ROUNDUP(IFERROR(DATEDIF($I22-1,BL$15+1,"m"),)/12,)-1,)*Index!BH$22*(BL$15&lt;=$J22)*(1-BL$12)</f>
        <v>107880.71216793776</v>
      </c>
      <c r="BM22" s="747">
        <f>$G22*$H22*(1+$K22)^MAX(ROUNDUP(IFERROR(DATEDIF($I22-1,BM$15+1,"m"),)/12,)-1,)*Index!BI$22*(BM$15&lt;=$J22)*(1-BM$12)</f>
        <v>107880.71216793776</v>
      </c>
      <c r="BN22" s="747">
        <f>$G22*$H22*(1+$K22)^MAX(ROUNDUP(IFERROR(DATEDIF($I22-1,BN$15+1,"m"),)/12,)-1,)*Index!BJ$22*(BN$15&lt;=$J22)*(1-BN$12)</f>
        <v>107880.71216793776</v>
      </c>
      <c r="BO22" s="747">
        <f>$G22*$H22*(1+$K22)^MAX(ROUNDUP(IFERROR(DATEDIF($I22-1,BO$15+1,"m"),)/12,)-1,)*Index!BK$22*(BO$15&lt;=$J22)*(1-BO$12)</f>
        <v>107880.71216793776</v>
      </c>
      <c r="BP22" s="747">
        <f>$G22*$H22*(1+$K22)^MAX(ROUNDUP(IFERROR(DATEDIF($I22-1,BP$15+1,"m"),)/12,)-1,)*Index!BL$22*(BP$15&lt;=$J22)*(1-BP$12)</f>
        <v>110577.72997213622</v>
      </c>
      <c r="BQ22" s="747">
        <f>$G22*$H22*(1+$K22)^MAX(ROUNDUP(IFERROR(DATEDIF($I22-1,BQ$15+1,"m"),)/12,)-1,)*Index!BM$22*(BQ$15&lt;=$J22)*(1-BQ$12)</f>
        <v>110577.72997213622</v>
      </c>
      <c r="BR22" s="747">
        <f>$G22*$H22*(1+$K22)^MAX(ROUNDUP(IFERROR(DATEDIF($I22-1,BR$15+1,"m"),)/12,)-1,)*Index!BN$22*(BR$15&lt;=$J22)*(1-BR$12)</f>
        <v>110577.72997213622</v>
      </c>
      <c r="BS22" s="747">
        <f>$G22*$H22*(1+$K22)^MAX(ROUNDUP(IFERROR(DATEDIF($I22-1,BS$15+1,"m"),)/12,)-1,)*Index!BO$22*(BS$15&lt;=$J22)*(1-BS$12)</f>
        <v>110577.72997213622</v>
      </c>
      <c r="BT22" s="747">
        <f>$G22*$H22*(1+$K22)^MAX(ROUNDUP(IFERROR(DATEDIF($I22-1,BT$15+1,"m"),)/12,)-1,)*Index!BP$22*(BT$15&lt;=$J22)*(1-BT$12)</f>
        <v>110577.72997213622</v>
      </c>
      <c r="BU22" s="747">
        <f>$G22*$H22*(1+$K22)^MAX(ROUNDUP(IFERROR(DATEDIF($I22-1,BU$15+1,"m"),)/12,)-1,)*Index!BQ$22*(BU$15&lt;=$J22)*(1-BU$12)</f>
        <v>110577.72997213622</v>
      </c>
      <c r="BV22" s="747">
        <f>$G22*$H22*(1+$K22)^MAX(ROUNDUP(IFERROR(DATEDIF($I22-1,BV$15+1,"m"),)/12,)-1,)*Index!BR$22*(BV$15&lt;=$J22)*(1-BV$12)</f>
        <v>110577.72997213622</v>
      </c>
      <c r="BW22" s="747">
        <f>$G22*$H22*(1+$K22)^MAX(ROUNDUP(IFERROR(DATEDIF($I22-1,BW$15+1,"m"),)/12,)-1,)*Index!BS$22*(BW$15&lt;=$J22)*(1-BW$12)</f>
        <v>110577.72997213622</v>
      </c>
      <c r="BX22" s="747">
        <f>$G22*$H22*(1+$K22)^MAX(ROUNDUP(IFERROR(DATEDIF($I22-1,BX$15+1,"m"),)/12,)-1,)*Index!BT$22*(BX$15&lt;=$J22)*(1-BX$12)</f>
        <v>110577.72997213622</v>
      </c>
      <c r="BY22" s="747">
        <f>$G22*$H22*(1+$K22)^MAX(ROUNDUP(IFERROR(DATEDIF($I22-1,BY$15+1,"m"),)/12,)-1,)*Index!BU$22*(BY$15&lt;=$J22)*(1-BY$12)</f>
        <v>110577.72997213622</v>
      </c>
      <c r="BZ22" s="747">
        <f>$G22*$H22*(1+$K22)^MAX(ROUNDUP(IFERROR(DATEDIF($I22-1,BZ$15+1,"m"),)/12,)-1,)*Index!BV$22*(BZ$15&lt;=$J22)*(1-BZ$12)</f>
        <v>110577.72997213622</v>
      </c>
      <c r="CA22" s="747">
        <f>$G22*$H22*(1+$K22)^MAX(ROUNDUP(IFERROR(DATEDIF($I22-1,CA$15+1,"m"),)/12,)-1,)*Index!BW$22*(CA$15&lt;=$J22)*(1-CA$12)</f>
        <v>110577.72997213622</v>
      </c>
      <c r="CB22" s="747">
        <f>$G22*$H22*(1+$K22)^MAX(ROUNDUP(IFERROR(DATEDIF($I22-1,CB$15+1,"m"),)/12,)-1,)*Index!BX$22*(CB$15&lt;=$J22)*(1-CB$12)</f>
        <v>113342.1732214396</v>
      </c>
      <c r="CC22" s="747">
        <f>$G22*$H22*(1+$K22)^MAX(ROUNDUP(IFERROR(DATEDIF($I22-1,CC$15+1,"m"),)/12,)-1,)*Index!BY$22*(CC$15&lt;=$J22)*(1-CC$12)</f>
        <v>113342.1732214396</v>
      </c>
      <c r="CD22" s="747">
        <f>$G22*$H22*(1+$K22)^MAX(ROUNDUP(IFERROR(DATEDIF($I22-1,CD$15+1,"m"),)/12,)-1,)*Index!BZ$22*(CD$15&lt;=$J22)*(1-CD$12)</f>
        <v>113342.1732214396</v>
      </c>
      <c r="CE22" s="747">
        <f>$G22*$H22*(1+$K22)^MAX(ROUNDUP(IFERROR(DATEDIF($I22-1,CE$15+1,"m"),)/12,)-1,)*Index!CA$22*(CE$15&lt;=$J22)*(1-CE$12)</f>
        <v>113342.1732214396</v>
      </c>
      <c r="CF22" s="747">
        <f>$G22*$H22*(1+$K22)^MAX(ROUNDUP(IFERROR(DATEDIF($I22-1,CF$15+1,"m"),)/12,)-1,)*Index!CB$22*(CF$15&lt;=$J22)*(1-CF$12)</f>
        <v>113342.1732214396</v>
      </c>
      <c r="CG22" s="747">
        <f>$G22*$H22*(1+$K22)^MAX(ROUNDUP(IFERROR(DATEDIF($I22-1,CG$15+1,"m"),)/12,)-1,)*Index!CC$22*(CG$15&lt;=$J22)*(1-CG$12)</f>
        <v>113342.1732214396</v>
      </c>
      <c r="CH22" s="747">
        <f>$G22*$H22*(1+$K22)^MAX(ROUNDUP(IFERROR(DATEDIF($I22-1,CH$15+1,"m"),)/12,)-1,)*Index!CD$22*(CH$15&lt;=$J22)*(1-CH$12)</f>
        <v>113342.1732214396</v>
      </c>
      <c r="CI22" s="747">
        <f>$G22*$H22*(1+$K22)^MAX(ROUNDUP(IFERROR(DATEDIF($I22-1,CI$15+1,"m"),)/12,)-1,)*Index!CE$22*(CI$15&lt;=$J22)*(1-CI$12)</f>
        <v>113342.1732214396</v>
      </c>
      <c r="CJ22" s="747">
        <f>$G22*$H22*(1+$K22)^MAX(ROUNDUP(IFERROR(DATEDIF($I22-1,CJ$15+1,"m"),)/12,)-1,)*Index!CF$22*(CJ$15&lt;=$J22)*(1-CJ$12)</f>
        <v>113342.1732214396</v>
      </c>
      <c r="CK22" s="747">
        <f>$G22*$H22*(1+$K22)^MAX(ROUNDUP(IFERROR(DATEDIF($I22-1,CK$15+1,"m"),)/12,)-1,)*Index!CG$22*(CK$15&lt;=$J22)*(1-CK$12)</f>
        <v>113342.1732214396</v>
      </c>
      <c r="CL22" s="747">
        <f>$G22*$H22*(1+$K22)^MAX(ROUNDUP(IFERROR(DATEDIF($I22-1,CL$15+1,"m"),)/12,)-1,)*Index!CH$22*(CL$15&lt;=$J22)*(1-CL$12)</f>
        <v>113342.1732214396</v>
      </c>
      <c r="CM22" s="747">
        <f>$G22*$H22*(1+$K22)^MAX(ROUNDUP(IFERROR(DATEDIF($I22-1,CM$15+1,"m"),)/12,)-1,)*Index!CI$22*(CM$15&lt;=$J22)*(1-CM$12)</f>
        <v>113342.1732214396</v>
      </c>
      <c r="CN22" s="747">
        <f>$G22*$H22*(1+$K22)^MAX(ROUNDUP(IFERROR(DATEDIF($I22-1,CN$15+1,"m"),)/12,)-1,)*Index!CJ$22*(CN$15&lt;=$J22)*(1-CN$12)</f>
        <v>116175.72755197558</v>
      </c>
      <c r="CO22" s="747">
        <f>$G22*$H22*(1+$K22)^MAX(ROUNDUP(IFERROR(DATEDIF($I22-1,CO$15+1,"m"),)/12,)-1,)*Index!CK$22*(CO$15&lt;=$J22)*(1-CO$12)</f>
        <v>116175.72755197558</v>
      </c>
      <c r="CP22" s="747">
        <f>$G22*$H22*(1+$K22)^MAX(ROUNDUP(IFERROR(DATEDIF($I22-1,CP$15+1,"m"),)/12,)-1,)*Index!CL$22*(CP$15&lt;=$J22)*(1-CP$12)</f>
        <v>116175.72755197558</v>
      </c>
      <c r="CQ22" s="747">
        <f>$G22*$H22*(1+$K22)^MAX(ROUNDUP(IFERROR(DATEDIF($I22-1,CQ$15+1,"m"),)/12,)-1,)*Index!CM$22*(CQ$15&lt;=$J22)*(1-CQ$12)</f>
        <v>116175.72755197558</v>
      </c>
      <c r="CR22" s="747">
        <f>$G22*$H22*(1+$K22)^MAX(ROUNDUP(IFERROR(DATEDIF($I22-1,CR$15+1,"m"),)/12,)-1,)*Index!CN$22*(CR$15&lt;=$J22)*(1-CR$12)</f>
        <v>116175.72755197558</v>
      </c>
      <c r="CS22" s="747">
        <f>$G22*$H22*(1+$K22)^MAX(ROUNDUP(IFERROR(DATEDIF($I22-1,CS$15+1,"m"),)/12,)-1,)*Index!CO$22*(CS$15&lt;=$J22)*(1-CS$12)</f>
        <v>116175.72755197558</v>
      </c>
      <c r="CT22" s="747">
        <f>$G22*$H22*(1+$K22)^MAX(ROUNDUP(IFERROR(DATEDIF($I22-1,CT$15+1,"m"),)/12,)-1,)*Index!CP$22*(CT$15&lt;=$J22)*(1-CT$12)</f>
        <v>116175.72755197558</v>
      </c>
      <c r="CU22" s="747">
        <f>$G22*$H22*(1+$K22)^MAX(ROUNDUP(IFERROR(DATEDIF($I22-1,CU$15+1,"m"),)/12,)-1,)*Index!CQ$22*(CU$15&lt;=$J22)*(1-CU$12)</f>
        <v>116175.72755197558</v>
      </c>
      <c r="CV22" s="747">
        <f>$G22*$H22*(1+$K22)^MAX(ROUNDUP(IFERROR(DATEDIF($I22-1,CV$15+1,"m"),)/12,)-1,)*Index!CR$22*(CV$15&lt;=$J22)*(1-CV$12)</f>
        <v>116175.72755197558</v>
      </c>
      <c r="CW22" s="747">
        <f>$G22*$H22*(1+$K22)^MAX(ROUNDUP(IFERROR(DATEDIF($I22-1,CW$15+1,"m"),)/12,)-1,)*Index!CS$22*(CW$15&lt;=$J22)*(1-CW$12)</f>
        <v>116175.72755197558</v>
      </c>
      <c r="CX22" s="747">
        <f>$G22*$H22*(1+$K22)^MAX(ROUNDUP(IFERROR(DATEDIF($I22-1,CX$15+1,"m"),)/12,)-1,)*Index!CT$22*(CX$15&lt;=$J22)*(1-CX$12)</f>
        <v>116175.72755197558</v>
      </c>
      <c r="CY22" s="747">
        <f>$G22*$H22*(1+$K22)^MAX(ROUNDUP(IFERROR(DATEDIF($I22-1,CY$15+1,"m"),)/12,)-1,)*Index!CU$22*(CY$15&lt;=$J22)*(1-CY$12)</f>
        <v>116175.72755197558</v>
      </c>
      <c r="CZ22" s="747">
        <f>$G22*$H22*(1+$K22)^MAX(ROUNDUP(IFERROR(DATEDIF($I22-1,CZ$15+1,"m"),)/12,)-1,)*Index!CV$22*(CZ$15&lt;=$J22)*(1-CZ$12)</f>
        <v>119080.12074077498</v>
      </c>
      <c r="DA22" s="747">
        <f>$G22*$H22*(1+$K22)^MAX(ROUNDUP(IFERROR(DATEDIF($I22-1,DA$15+1,"m"),)/12,)-1,)*Index!CW$22*(DA$15&lt;=$J22)*(1-DA$12)</f>
        <v>119080.12074077498</v>
      </c>
      <c r="DB22" s="747">
        <f>$G22*$H22*(1+$K22)^MAX(ROUNDUP(IFERROR(DATEDIF($I22-1,DB$15+1,"m"),)/12,)-1,)*Index!CX$22*(DB$15&lt;=$J22)*(1-DB$12)</f>
        <v>119080.12074077498</v>
      </c>
      <c r="DC22" s="747">
        <f>$G22*$H22*(1+$K22)^MAX(ROUNDUP(IFERROR(DATEDIF($I22-1,DC$15+1,"m"),)/12,)-1,)*Index!CY$22*(DC$15&lt;=$J22)*(1-DC$12)</f>
        <v>0</v>
      </c>
      <c r="DD22" s="747">
        <f>$G22*$H22*(1+$K22)^MAX(ROUNDUP(IFERROR(DATEDIF($I22-1,DD$15+1,"m"),)/12,)-1,)*Index!CZ$22*(DD$15&lt;=$J22)*(1-DD$12)</f>
        <v>0</v>
      </c>
      <c r="DE22" s="747">
        <f>$G22*$H22*(1+$K22)^MAX(ROUNDUP(IFERROR(DATEDIF($I22-1,DE$15+1,"m"),)/12,)-1,)*Index!DA$22*(DE$15&lt;=$J22)*(1-DE$12)</f>
        <v>0</v>
      </c>
      <c r="DF22" s="747">
        <f>$G22*$H22*(1+$K22)^MAX(ROUNDUP(IFERROR(DATEDIF($I22-1,DF$15+1,"m"),)/12,)-1,)*Index!DB$22*(DF$15&lt;=$J22)*(1-DF$12)</f>
        <v>0</v>
      </c>
      <c r="DG22" s="747">
        <f>$G22*$H22*(1+$K22)^MAX(ROUNDUP(IFERROR(DATEDIF($I22-1,DG$15+1,"m"),)/12,)-1,)*Index!DC$22*(DG$15&lt;=$J22)*(1-DG$12)</f>
        <v>0</v>
      </c>
      <c r="DH22" s="747">
        <f>$G22*$H22*(1+$K22)^MAX(ROUNDUP(IFERROR(DATEDIF($I22-1,DH$15+1,"m"),)/12,)-1,)*Index!DD$22*(DH$15&lt;=$J22)*(1-DH$12)</f>
        <v>0</v>
      </c>
      <c r="DI22" s="747">
        <f>$G22*$H22*(1+$K22)^MAX(ROUNDUP(IFERROR(DATEDIF($I22-1,DI$15+1,"m"),)/12,)-1,)*Index!DE$22*(DI$15&lt;=$J22)*(1-DI$12)</f>
        <v>0</v>
      </c>
      <c r="DJ22" s="747">
        <f>$G22*$H22*(1+$K22)^MAX(ROUNDUP(IFERROR(DATEDIF($I22-1,DJ$15+1,"m"),)/12,)-1,)*Index!DF$22*(DJ$15&lt;=$J22)*(1-DJ$12)</f>
        <v>0</v>
      </c>
      <c r="DK22" s="747">
        <f>$G22*$H22*(1+$K22)^MAX(ROUNDUP(IFERROR(DATEDIF($I22-1,DK$15+1,"m"),)/12,)-1,)*Index!DG$22*(DK$15&lt;=$J22)*(1-DK$12)</f>
        <v>0</v>
      </c>
      <c r="DL22" s="747">
        <f>$G22*$H22*(1+$K22)^MAX(ROUNDUP(IFERROR(DATEDIF($I22-1,DL$15+1,"m"),)/12,)-1,)*Index!DH$22*(DL$15&lt;=$J22)*(1-DL$12)</f>
        <v>0</v>
      </c>
      <c r="DM22" s="747">
        <f>$G22*$H22*(1+$K22)^MAX(ROUNDUP(IFERROR(DATEDIF($I22-1,DM$15+1,"m"),)/12,)-1,)*Index!DI$22*(DM$15&lt;=$J22)*(1-DM$12)</f>
        <v>0</v>
      </c>
      <c r="DN22" s="747">
        <f>$G22*$H22*(1+$K22)^MAX(ROUNDUP(IFERROR(DATEDIF($I22-1,DN$15+1,"m"),)/12,)-1,)*Index!DJ$22*(DN$15&lt;=$J22)*(1-DN$12)</f>
        <v>0</v>
      </c>
      <c r="DO22" s="747">
        <f>$G22*$H22*(1+$K22)^MAX(ROUNDUP(IFERROR(DATEDIF($I22-1,DO$15+1,"m"),)/12,)-1,)*Index!DK$22*(DO$15&lt;=$J22)*(1-DO$12)</f>
        <v>0</v>
      </c>
      <c r="DP22" s="747">
        <f>$G22*$H22*(1+$K22)^MAX(ROUNDUP(IFERROR(DATEDIF($I22-1,DP$15+1,"m"),)/12,)-1,)*Index!DL$22*(DP$15&lt;=$J22)*(1-DP$12)</f>
        <v>0</v>
      </c>
      <c r="DQ22" s="747">
        <f>$G22*$H22*(1+$K22)^MAX(ROUNDUP(IFERROR(DATEDIF($I22-1,DQ$15+1,"m"),)/12,)-1,)*Index!DM$22*(DQ$15&lt;=$J22)*(1-DQ$12)</f>
        <v>0</v>
      </c>
      <c r="DR22" s="747">
        <f>$G22*$H22*(1+$K22)^MAX(ROUNDUP(IFERROR(DATEDIF($I22-1,DR$15+1,"m"),)/12,)-1,)*Index!DN$22*(DR$15&lt;=$J22)*(1-DR$12)</f>
        <v>0</v>
      </c>
      <c r="DS22" s="747">
        <f>$G22*$H22*(1+$K22)^MAX(ROUNDUP(IFERROR(DATEDIF($I22-1,DS$15+1,"m"),)/12,)-1,)*Index!DO$22*(DS$15&lt;=$J22)*(1-DS$12)</f>
        <v>0</v>
      </c>
      <c r="DT22" s="747">
        <f>$G22*$H22*(1+$K22)^MAX(ROUNDUP(IFERROR(DATEDIF($I22-1,DT$15+1,"m"),)/12,)-1,)*Index!DP$22*(DT$15&lt;=$J22)*(1-DT$12)</f>
        <v>0</v>
      </c>
      <c r="DU22" s="747">
        <f>$G22*$H22*(1+$K22)^MAX(ROUNDUP(IFERROR(DATEDIF($I22-1,DU$15+1,"m"),)/12,)-1,)*Index!DQ$22*(DU$15&lt;=$J22)*(1-DU$12)</f>
        <v>0</v>
      </c>
      <c r="DV22" s="747">
        <f>$G22*$H22*(1+$K22)^MAX(ROUNDUP(IFERROR(DATEDIF($I22-1,DV$15+1,"m"),)/12,)-1,)*Index!DR$22*(DV$15&lt;=$J22)*(1-DV$12)</f>
        <v>0</v>
      </c>
      <c r="DW22" s="747">
        <f>$G22*$H22*(1+$K22)^MAX(ROUNDUP(IFERROR(DATEDIF($I22-1,DW$15+1,"m"),)/12,)-1,)*Index!DS$22*(DW$15&lt;=$J22)*(1-DW$12)</f>
        <v>0</v>
      </c>
      <c r="DX22" s="747">
        <f>$G22*$H22*(1+$K22)^MAX(ROUNDUP(IFERROR(DATEDIF($I22-1,DX$15+1,"m"),)/12,)-1,)*Index!DT$22*(DX$15&lt;=$J22)*(1-DX$12)</f>
        <v>0</v>
      </c>
      <c r="DY22" s="747">
        <f>$G22*$H22*(1+$K22)^MAX(ROUNDUP(IFERROR(DATEDIF($I22-1,DY$15+1,"m"),)/12,)-1,)*Index!DU$22*(DY$15&lt;=$J22)*(1-DY$12)</f>
        <v>0</v>
      </c>
      <c r="DZ22" s="747">
        <f>$G22*$H22*(1+$K22)^MAX(ROUNDUP(IFERROR(DATEDIF($I22-1,DZ$15+1,"m"),)/12,)-1,)*Index!DV$22*(DZ$15&lt;=$J22)*(1-DZ$12)</f>
        <v>0</v>
      </c>
      <c r="EA22" s="747">
        <f>$G22*$H22*(1+$K22)^MAX(ROUNDUP(IFERROR(DATEDIF($I22-1,EA$15+1,"m"),)/12,)-1,)*Index!DW$22*(EA$15&lt;=$J22)*(1-EA$12)</f>
        <v>0</v>
      </c>
      <c r="EB22" s="747">
        <f>$G22*$H22*(1+$K22)^MAX(ROUNDUP(IFERROR(DATEDIF($I22-1,EB$15+1,"m"),)/12,)-1,)*Index!DX$22*(EB$15&lt;=$J22)*(1-EB$12)</f>
        <v>0</v>
      </c>
      <c r="EC22" s="747">
        <f>$G22*$H22*(1+$K22)^MAX(ROUNDUP(IFERROR(DATEDIF($I22-1,EC$15+1,"m"),)/12,)-1,)*Index!DY$22*(EC$15&lt;=$J22)*(1-EC$12)</f>
        <v>0</v>
      </c>
      <c r="ED22" s="747">
        <f>$G22*$H22*(1+$K22)^MAX(ROUNDUP(IFERROR(DATEDIF($I22-1,ED$15+1,"m"),)/12,)-1,)*Index!DZ$22*(ED$15&lt;=$J22)*(1-ED$12)</f>
        <v>0</v>
      </c>
      <c r="EE22" s="747">
        <f>$G22*$H22*(1+$K22)^MAX(ROUNDUP(IFERROR(DATEDIF($I22-1,EE$15+1,"m"),)/12,)-1,)*Index!EA$22*(EE$15&lt;=$J22)*(1-EE$12)</f>
        <v>0</v>
      </c>
      <c r="EF22" s="747">
        <f>$G22*$H22*(1+$K22)^MAX(ROUNDUP(IFERROR(DATEDIF($I22-1,EF$15+1,"m"),)/12,)-1,)*Index!EB$22*(EF$15&lt;=$J22)*(1-EF$12)</f>
        <v>0</v>
      </c>
      <c r="EG22" s="747">
        <f>$G22*$H22*(1+$K22)^MAX(ROUNDUP(IFERROR(DATEDIF($I22-1,EG$15+1,"m"),)/12,)-1,)*Index!EC$22*(EG$15&lt;=$J22)*(1-EG$12)</f>
        <v>0</v>
      </c>
      <c r="EH22" s="747">
        <f>$G22*$H22*(1+$K22)^MAX(ROUNDUP(IFERROR(DATEDIF($I22-1,EH$15+1,"m"),)/12,)-1,)*Index!ED$22*(EH$15&lt;=$J22)*(1-EH$12)</f>
        <v>0</v>
      </c>
      <c r="EI22" s="747">
        <f>$G22*$H22*(1+$K22)^MAX(ROUNDUP(IFERROR(DATEDIF($I22-1,EI$15+1,"m"),)/12,)-1,)*Index!EE$22*(EI$15&lt;=$J22)*(1-EI$12)</f>
        <v>0</v>
      </c>
      <c r="EJ22" s="747">
        <f>$G22*$H22*(1+$K22)^MAX(ROUNDUP(IFERROR(DATEDIF($I22-1,EJ$15+1,"m"),)/12,)-1,)*Index!EF$22*(EJ$15&lt;=$J22)*(1-EJ$12)</f>
        <v>0</v>
      </c>
      <c r="EK22" s="747">
        <f>$G22*$H22*(1+$K22)^MAX(ROUNDUP(IFERROR(DATEDIF($I22-1,EK$15+1,"m"),)/12,)-1,)*Index!EG$22*(EK$15&lt;=$J22)*(1-EK$12)</f>
        <v>0</v>
      </c>
      <c r="EL22" s="747">
        <f>$G22*$H22*(1+$K22)^MAX(ROUNDUP(IFERROR(DATEDIF($I22-1,EL$15+1,"m"),)/12,)-1,)*Index!EH$22*(EL$15&lt;=$J22)*(1-EL$12)</f>
        <v>0</v>
      </c>
      <c r="EM22" s="747">
        <f>$G22*$H22*(1+$K22)^MAX(ROUNDUP(IFERROR(DATEDIF($I22-1,EM$15+1,"m"),)/12,)-1,)*Index!EI$22*(EM$15&lt;=$J22)*(1-EM$12)</f>
        <v>0</v>
      </c>
      <c r="EN22" s="747">
        <f>$G22*$H22*(1+$K22)^MAX(ROUNDUP(IFERROR(DATEDIF($I22-1,EN$15+1,"m"),)/12,)-1,)*Index!EJ$22*(EN$15&lt;=$J22)*(1-EN$12)</f>
        <v>0</v>
      </c>
      <c r="EO22" s="747">
        <f>$G22*$H22*(1+$K22)^MAX(ROUNDUP(IFERROR(DATEDIF($I22-1,EO$15+1,"m"),)/12,)-1,)*Index!EK$22*(EO$15&lt;=$J22)*(1-EO$12)</f>
        <v>0</v>
      </c>
      <c r="EP22" s="747">
        <f>$G22*$H22*(1+$K22)^MAX(ROUNDUP(IFERROR(DATEDIF($I22-1,EP$15+1,"m"),)/12,)-1,)*Index!EL$22*(EP$15&lt;=$J22)*(1-EP$12)</f>
        <v>0</v>
      </c>
      <c r="EQ22" s="747">
        <f>$G22*$H22*(1+$K22)^MAX(ROUNDUP(IFERROR(DATEDIF($I22-1,EQ$15+1,"m"),)/12,)-1,)*Index!EM$22*(EQ$15&lt;=$J22)*(1-EQ$12)</f>
        <v>0</v>
      </c>
      <c r="ER22" s="747">
        <f>$G22*$H22*(1+$K22)^MAX(ROUNDUP(IFERROR(DATEDIF($I22-1,ER$15+1,"m"),)/12,)-1,)*Index!EN$22*(ER$15&lt;=$J22)*(1-ER$12)</f>
        <v>0</v>
      </c>
      <c r="ES22" s="747">
        <f>$G22*$H22*(1+$K22)^MAX(ROUNDUP(IFERROR(DATEDIF($I22-1,ES$15+1,"m"),)/12,)-1,)*Index!EO$22*(ES$15&lt;=$J22)*(1-ES$12)</f>
        <v>0</v>
      </c>
      <c r="ET22" s="747">
        <f>$G22*$H22*(1+$K22)^MAX(ROUNDUP(IFERROR(DATEDIF($I22-1,ET$15+1,"m"),)/12,)-1,)*Index!EP$22*(ET$15&lt;=$J22)*(1-ET$12)</f>
        <v>0</v>
      </c>
      <c r="EU22" s="747">
        <f>$G22*$H22*(1+$K22)^MAX(ROUNDUP(IFERROR(DATEDIF($I22-1,EU$15+1,"m"),)/12,)-1,)*Index!EQ$22*(EU$15&lt;=$J22)*(1-EU$12)</f>
        <v>0</v>
      </c>
    </row>
    <row r="23" spans="3:151" ht="11.25" customHeight="1">
      <c r="C23" s="735"/>
      <c r="D23" s="743">
        <f>'A&amp;R'!V12</f>
        <v>6</v>
      </c>
      <c r="E23" s="704" t="str">
        <f>'A&amp;R'!W12</f>
        <v>쿠팡</v>
      </c>
      <c r="F23" s="704" t="str">
        <f>'A&amp;R'!X12</f>
        <v>상온창고</v>
      </c>
      <c r="G23" s="752">
        <f>'A&amp;R'!AC12/1000</f>
        <v>60</v>
      </c>
      <c r="H23" s="744">
        <f>'A&amp;R'!Y12</f>
        <v>2187.87</v>
      </c>
      <c r="I23" s="745">
        <f>'A&amp;R'!Z12</f>
        <v>45323</v>
      </c>
      <c r="J23" s="745">
        <f>'A&amp;R'!AA12</f>
        <v>49064</v>
      </c>
      <c r="K23" s="754">
        <f>'A&amp;R'!AF12</f>
        <v>2.5000000000000001E-2</v>
      </c>
      <c r="L23" s="746"/>
      <c r="M23" s="722"/>
      <c r="N23" s="747">
        <f t="shared" si="7"/>
        <v>13721254.252056459</v>
      </c>
      <c r="O23" s="733"/>
      <c r="P23" s="747">
        <f>$G23*$H23*(1+$K23)^MAX(ROUNDUP(IFERROR(DATEDIF($I23-1,P$15+1,"m"),)/12,)-1,)*Index!L$22*(P$15&lt;=$J23)*(1-P$12)</f>
        <v>0</v>
      </c>
      <c r="Q23" s="747">
        <f>$G23*$H23*(1+$K23)^MAX(ROUNDUP(IFERROR(DATEDIF($I23-1,Q$15+1,"m"),)/12,)-1,)*Index!M$22*(Q$15&lt;=$J23)*(1-Q$12)</f>
        <v>137917.85512499997</v>
      </c>
      <c r="R23" s="747">
        <f>$G23*$H23*(1+$K23)^MAX(ROUNDUP(IFERROR(DATEDIF($I23-1,R$15+1,"m"),)/12,)-1,)*Index!N$22*(R$15&lt;=$J23)*(1-R$12)</f>
        <v>137917.85512499997</v>
      </c>
      <c r="S23" s="747">
        <f>$G23*$H23*(1+$K23)^MAX(ROUNDUP(IFERROR(DATEDIF($I23-1,S$15+1,"m"),)/12,)-1,)*Index!O$22*(S$15&lt;=$J23)*(1-S$12)</f>
        <v>137917.85512499997</v>
      </c>
      <c r="T23" s="747">
        <f>$G23*$H23*(1+$K23)^MAX(ROUNDUP(IFERROR(DATEDIF($I23-1,T$15+1,"m"),)/12,)-1,)*Index!P$22*(T$15&lt;=$J23)*(1-T$12)</f>
        <v>141365.80150312497</v>
      </c>
      <c r="U23" s="747">
        <f>$G23*$H23*(1+$K23)^MAX(ROUNDUP(IFERROR(DATEDIF($I23-1,U$15+1,"m"),)/12,)-1,)*Index!Q$22*(U$15&lt;=$J23)*(1-U$12)</f>
        <v>141365.80150312497</v>
      </c>
      <c r="V23" s="747">
        <f>$G23*$H23*(1+$K23)^MAX(ROUNDUP(IFERROR(DATEDIF($I23-1,V$15+1,"m"),)/12,)-1,)*Index!R$22*(V$15&lt;=$J23)*(1-V$12)</f>
        <v>141365.80150312497</v>
      </c>
      <c r="W23" s="747">
        <f>$G23*$H23*(1+$K23)^MAX(ROUNDUP(IFERROR(DATEDIF($I23-1,W$15+1,"m"),)/12,)-1,)*Index!S$22*(W$15&lt;=$J23)*(1-W$12)</f>
        <v>141365.80150312497</v>
      </c>
      <c r="X23" s="747">
        <f>$G23*$H23*(1+$K23)^MAX(ROUNDUP(IFERROR(DATEDIF($I23-1,X$15+1,"m"),)/12,)-1,)*Index!T$22*(X$15&lt;=$J23)*(1-X$12)</f>
        <v>141365.80150312497</v>
      </c>
      <c r="Y23" s="747">
        <f>$G23*$H23*(1+$K23)^MAX(ROUNDUP(IFERROR(DATEDIF($I23-1,Y$15+1,"m"),)/12,)-1,)*Index!U$22*(Y$15&lt;=$J23)*(1-Y$12)</f>
        <v>141365.80150312497</v>
      </c>
      <c r="Z23" s="747">
        <f>$G23*$H23*(1+$K23)^MAX(ROUNDUP(IFERROR(DATEDIF($I23-1,Z$15+1,"m"),)/12,)-1,)*Index!V$22*(Z$15&lt;=$J23)*(1-Z$12)</f>
        <v>141365.80150312497</v>
      </c>
      <c r="AA23" s="747">
        <f>$G23*$H23*(1+$K23)^MAX(ROUNDUP(IFERROR(DATEDIF($I23-1,AA$15+1,"m"),)/12,)-1,)*Index!W$22*(AA$15&lt;=$J23)*(1-AA$12)</f>
        <v>141365.80150312497</v>
      </c>
      <c r="AB23" s="747">
        <f>$G23*$H23*(1+$K23)^MAX(ROUNDUP(IFERROR(DATEDIF($I23-1,AB$15+1,"m"),)/12,)-1,)*Index!X$22*(AB$15&lt;=$J23)*(1-AB$12)</f>
        <v>141365.80150312497</v>
      </c>
      <c r="AC23" s="747">
        <f>$G23*$H23*(1+$K23)^MAX(ROUNDUP(IFERROR(DATEDIF($I23-1,AC$15+1,"m"),)/12,)-1,)*Index!Y$22*(AC$15&lt;=$J23)*(1-AC$12)</f>
        <v>141365.80150312497</v>
      </c>
      <c r="AD23" s="747">
        <f>$G23*$H23*(1+$K23)^MAX(ROUNDUP(IFERROR(DATEDIF($I23-1,AD$15+1,"m"),)/12,)-1,)*Index!Z$22*(AD$15&lt;=$J23)*(1-AD$12)</f>
        <v>141365.80150312497</v>
      </c>
      <c r="AE23" s="747">
        <f>$G23*$H23*(1+$K23)^MAX(ROUNDUP(IFERROR(DATEDIF($I23-1,AE$15+1,"m"),)/12,)-1,)*Index!AA$22*(AE$15&lt;=$J23)*(1-AE$12)</f>
        <v>141365.80150312497</v>
      </c>
      <c r="AF23" s="747">
        <f>$G23*$H23*(1+$K23)^MAX(ROUNDUP(IFERROR(DATEDIF($I23-1,AF$15+1,"m"),)/12,)-1,)*Index!AB$22*(AF$15&lt;=$J23)*(1-AF$12)</f>
        <v>144899.94654070307</v>
      </c>
      <c r="AG23" s="747">
        <f>$G23*$H23*(1+$K23)^MAX(ROUNDUP(IFERROR(DATEDIF($I23-1,AG$15+1,"m"),)/12,)-1,)*Index!AC$22*(AG$15&lt;=$J23)*(1-AG$12)</f>
        <v>144899.94654070307</v>
      </c>
      <c r="AH23" s="747">
        <f>$G23*$H23*(1+$K23)^MAX(ROUNDUP(IFERROR(DATEDIF($I23-1,AH$15+1,"m"),)/12,)-1,)*Index!AD$22*(AH$15&lt;=$J23)*(1-AH$12)</f>
        <v>144899.94654070307</v>
      </c>
      <c r="AI23" s="747">
        <f>$G23*$H23*(1+$K23)^MAX(ROUNDUP(IFERROR(DATEDIF($I23-1,AI$15+1,"m"),)/12,)-1,)*Index!AE$22*(AI$15&lt;=$J23)*(1-AI$12)</f>
        <v>144899.94654070307</v>
      </c>
      <c r="AJ23" s="747">
        <f>$G23*$H23*(1+$K23)^MAX(ROUNDUP(IFERROR(DATEDIF($I23-1,AJ$15+1,"m"),)/12,)-1,)*Index!AF$22*(AJ$15&lt;=$J23)*(1-AJ$12)</f>
        <v>144899.94654070307</v>
      </c>
      <c r="AK23" s="747">
        <f>$G23*$H23*(1+$K23)^MAX(ROUNDUP(IFERROR(DATEDIF($I23-1,AK$15+1,"m"),)/12,)-1,)*Index!AG$22*(AK$15&lt;=$J23)*(1-AK$12)</f>
        <v>144899.94654070307</v>
      </c>
      <c r="AL23" s="747">
        <f>$G23*$H23*(1+$K23)^MAX(ROUNDUP(IFERROR(DATEDIF($I23-1,AL$15+1,"m"),)/12,)-1,)*Index!AH$22*(AL$15&lt;=$J23)*(1-AL$12)</f>
        <v>144899.94654070307</v>
      </c>
      <c r="AM23" s="747">
        <f>$G23*$H23*(1+$K23)^MAX(ROUNDUP(IFERROR(DATEDIF($I23-1,AM$15+1,"m"),)/12,)-1,)*Index!AI$22*(AM$15&lt;=$J23)*(1-AM$12)</f>
        <v>144899.94654070307</v>
      </c>
      <c r="AN23" s="747">
        <f>$G23*$H23*(1+$K23)^MAX(ROUNDUP(IFERROR(DATEDIF($I23-1,AN$15+1,"m"),)/12,)-1,)*Index!AJ$22*(AN$15&lt;=$J23)*(1-AN$12)</f>
        <v>144899.94654070307</v>
      </c>
      <c r="AO23" s="747">
        <f>$G23*$H23*(1+$K23)^MAX(ROUNDUP(IFERROR(DATEDIF($I23-1,AO$15+1,"m"),)/12,)-1,)*Index!AK$22*(AO$15&lt;=$J23)*(1-AO$12)</f>
        <v>144899.94654070307</v>
      </c>
      <c r="AP23" s="747">
        <f>$G23*$H23*(1+$K23)^MAX(ROUNDUP(IFERROR(DATEDIF($I23-1,AP$15+1,"m"),)/12,)-1,)*Index!AL$22*(AP$15&lt;=$J23)*(1-AP$12)</f>
        <v>144899.94654070307</v>
      </c>
      <c r="AQ23" s="747">
        <f>$G23*$H23*(1+$K23)^MAX(ROUNDUP(IFERROR(DATEDIF($I23-1,AQ$15+1,"m"),)/12,)-1,)*Index!AM$22*(AQ$15&lt;=$J23)*(1-AQ$12)</f>
        <v>144899.94654070307</v>
      </c>
      <c r="AR23" s="747">
        <f>$G23*$H23*(1+$K23)^MAX(ROUNDUP(IFERROR(DATEDIF($I23-1,AR$15+1,"m"),)/12,)-1,)*Index!AN$22*(AR$15&lt;=$J23)*(1-AR$12)</f>
        <v>148522.44520422062</v>
      </c>
      <c r="AS23" s="747">
        <f>$G23*$H23*(1+$K23)^MAX(ROUNDUP(IFERROR(DATEDIF($I23-1,AS$15+1,"m"),)/12,)-1,)*Index!AO$22*(AS$15&lt;=$J23)*(1-AS$12)</f>
        <v>148522.44520422062</v>
      </c>
      <c r="AT23" s="747">
        <f>$G23*$H23*(1+$K23)^MAX(ROUNDUP(IFERROR(DATEDIF($I23-1,AT$15+1,"m"),)/12,)-1,)*Index!AP$22*(AT$15&lt;=$J23)*(1-AT$12)</f>
        <v>148522.44520422062</v>
      </c>
      <c r="AU23" s="747">
        <f>$G23*$H23*(1+$K23)^MAX(ROUNDUP(IFERROR(DATEDIF($I23-1,AU$15+1,"m"),)/12,)-1,)*Index!AQ$22*(AU$15&lt;=$J23)*(1-AU$12)</f>
        <v>148522.44520422062</v>
      </c>
      <c r="AV23" s="747">
        <f>$G23*$H23*(1+$K23)^MAX(ROUNDUP(IFERROR(DATEDIF($I23-1,AV$15+1,"m"),)/12,)-1,)*Index!AR$22*(AV$15&lt;=$J23)*(1-AV$12)</f>
        <v>148522.44520422062</v>
      </c>
      <c r="AW23" s="747">
        <f>$G23*$H23*(1+$K23)^MAX(ROUNDUP(IFERROR(DATEDIF($I23-1,AW$15+1,"m"),)/12,)-1,)*Index!AS$22*(AW$15&lt;=$J23)*(1-AW$12)</f>
        <v>148522.44520422062</v>
      </c>
      <c r="AX23" s="747">
        <f>$G23*$H23*(1+$K23)^MAX(ROUNDUP(IFERROR(DATEDIF($I23-1,AX$15+1,"m"),)/12,)-1,)*Index!AT$22*(AX$15&lt;=$J23)*(1-AX$12)</f>
        <v>148522.44520422062</v>
      </c>
      <c r="AY23" s="747">
        <f>$G23*$H23*(1+$K23)^MAX(ROUNDUP(IFERROR(DATEDIF($I23-1,AY$15+1,"m"),)/12,)-1,)*Index!AU$22*(AY$15&lt;=$J23)*(1-AY$12)</f>
        <v>148522.44520422062</v>
      </c>
      <c r="AZ23" s="747">
        <f>$G23*$H23*(1+$K23)^MAX(ROUNDUP(IFERROR(DATEDIF($I23-1,AZ$15+1,"m"),)/12,)-1,)*Index!AV$22*(AZ$15&lt;=$J23)*(1-AZ$12)</f>
        <v>148522.44520422062</v>
      </c>
      <c r="BA23" s="747">
        <f>$G23*$H23*(1+$K23)^MAX(ROUNDUP(IFERROR(DATEDIF($I23-1,BA$15+1,"m"),)/12,)-1,)*Index!AW$22*(BA$15&lt;=$J23)*(1-BA$12)</f>
        <v>148522.44520422062</v>
      </c>
      <c r="BB23" s="747">
        <f>$G23*$H23*(1+$K23)^MAX(ROUNDUP(IFERROR(DATEDIF($I23-1,BB$15+1,"m"),)/12,)-1,)*Index!AX$22*(BB$15&lt;=$J23)*(1-BB$12)</f>
        <v>148522.44520422062</v>
      </c>
      <c r="BC23" s="747">
        <f>$G23*$H23*(1+$K23)^MAX(ROUNDUP(IFERROR(DATEDIF($I23-1,BC$15+1,"m"),)/12,)-1,)*Index!AY$22*(BC$15&lt;=$J23)*(1-BC$12)</f>
        <v>148522.44520422062</v>
      </c>
      <c r="BD23" s="747">
        <f>$G23*$H23*(1+$K23)^MAX(ROUNDUP(IFERROR(DATEDIF($I23-1,BD$15+1,"m"),)/12,)-1,)*Index!AZ$22*(BD$15&lt;=$J23)*(1-BD$12)</f>
        <v>152235.50633432614</v>
      </c>
      <c r="BE23" s="747">
        <f>$G23*$H23*(1+$K23)^MAX(ROUNDUP(IFERROR(DATEDIF($I23-1,BE$15+1,"m"),)/12,)-1,)*Index!BA$22*(BE$15&lt;=$J23)*(1-BE$12)</f>
        <v>152235.50633432614</v>
      </c>
      <c r="BF23" s="747">
        <f>$G23*$H23*(1+$K23)^MAX(ROUNDUP(IFERROR(DATEDIF($I23-1,BF$15+1,"m"),)/12,)-1,)*Index!BB$22*(BF$15&lt;=$J23)*(1-BF$12)</f>
        <v>152235.50633432614</v>
      </c>
      <c r="BG23" s="747">
        <f>$G23*$H23*(1+$K23)^MAX(ROUNDUP(IFERROR(DATEDIF($I23-1,BG$15+1,"m"),)/12,)-1,)*Index!BC$22*(BG$15&lt;=$J23)*(1-BG$12)</f>
        <v>152235.50633432614</v>
      </c>
      <c r="BH23" s="747">
        <f>$G23*$H23*(1+$K23)^MAX(ROUNDUP(IFERROR(DATEDIF($I23-1,BH$15+1,"m"),)/12,)-1,)*Index!BD$22*(BH$15&lt;=$J23)*(1-BH$12)</f>
        <v>152235.50633432614</v>
      </c>
      <c r="BI23" s="747">
        <f>$G23*$H23*(1+$K23)^MAX(ROUNDUP(IFERROR(DATEDIF($I23-1,BI$15+1,"m"),)/12,)-1,)*Index!BE$22*(BI$15&lt;=$J23)*(1-BI$12)</f>
        <v>152235.50633432614</v>
      </c>
      <c r="BJ23" s="747">
        <f>$G23*$H23*(1+$K23)^MAX(ROUNDUP(IFERROR(DATEDIF($I23-1,BJ$15+1,"m"),)/12,)-1,)*Index!BF$22*(BJ$15&lt;=$J23)*(1-BJ$12)</f>
        <v>152235.50633432614</v>
      </c>
      <c r="BK23" s="747">
        <f>$G23*$H23*(1+$K23)^MAX(ROUNDUP(IFERROR(DATEDIF($I23-1,BK$15+1,"m"),)/12,)-1,)*Index!BG$22*(BK$15&lt;=$J23)*(1-BK$12)</f>
        <v>152235.50633432614</v>
      </c>
      <c r="BL23" s="747">
        <f>$G23*$H23*(1+$K23)^MAX(ROUNDUP(IFERROR(DATEDIF($I23-1,BL$15+1,"m"),)/12,)-1,)*Index!BH$22*(BL$15&lt;=$J23)*(1-BL$12)</f>
        <v>152235.50633432614</v>
      </c>
      <c r="BM23" s="747">
        <f>$G23*$H23*(1+$K23)^MAX(ROUNDUP(IFERROR(DATEDIF($I23-1,BM$15+1,"m"),)/12,)-1,)*Index!BI$22*(BM$15&lt;=$J23)*(1-BM$12)</f>
        <v>152235.50633432614</v>
      </c>
      <c r="BN23" s="747">
        <f>$G23*$H23*(1+$K23)^MAX(ROUNDUP(IFERROR(DATEDIF($I23-1,BN$15+1,"m"),)/12,)-1,)*Index!BJ$22*(BN$15&lt;=$J23)*(1-BN$12)</f>
        <v>152235.50633432614</v>
      </c>
      <c r="BO23" s="747">
        <f>$G23*$H23*(1+$K23)^MAX(ROUNDUP(IFERROR(DATEDIF($I23-1,BO$15+1,"m"),)/12,)-1,)*Index!BK$22*(BO$15&lt;=$J23)*(1-BO$12)</f>
        <v>152235.50633432614</v>
      </c>
      <c r="BP23" s="747">
        <f>$G23*$H23*(1+$K23)^MAX(ROUNDUP(IFERROR(DATEDIF($I23-1,BP$15+1,"m"),)/12,)-1,)*Index!BL$22*(BP$15&lt;=$J23)*(1-BP$12)</f>
        <v>156041.39399268432</v>
      </c>
      <c r="BQ23" s="747">
        <f>$G23*$H23*(1+$K23)^MAX(ROUNDUP(IFERROR(DATEDIF($I23-1,BQ$15+1,"m"),)/12,)-1,)*Index!BM$22*(BQ$15&lt;=$J23)*(1-BQ$12)</f>
        <v>156041.39399268432</v>
      </c>
      <c r="BR23" s="747">
        <f>$G23*$H23*(1+$K23)^MAX(ROUNDUP(IFERROR(DATEDIF($I23-1,BR$15+1,"m"),)/12,)-1,)*Index!BN$22*(BR$15&lt;=$J23)*(1-BR$12)</f>
        <v>156041.39399268432</v>
      </c>
      <c r="BS23" s="747">
        <f>$G23*$H23*(1+$K23)^MAX(ROUNDUP(IFERROR(DATEDIF($I23-1,BS$15+1,"m"),)/12,)-1,)*Index!BO$22*(BS$15&lt;=$J23)*(1-BS$12)</f>
        <v>156041.39399268432</v>
      </c>
      <c r="BT23" s="747">
        <f>$G23*$H23*(1+$K23)^MAX(ROUNDUP(IFERROR(DATEDIF($I23-1,BT$15+1,"m"),)/12,)-1,)*Index!BP$22*(BT$15&lt;=$J23)*(1-BT$12)</f>
        <v>156041.39399268432</v>
      </c>
      <c r="BU23" s="747">
        <f>$G23*$H23*(1+$K23)^MAX(ROUNDUP(IFERROR(DATEDIF($I23-1,BU$15+1,"m"),)/12,)-1,)*Index!BQ$22*(BU$15&lt;=$J23)*(1-BU$12)</f>
        <v>156041.39399268432</v>
      </c>
      <c r="BV23" s="747">
        <f>$G23*$H23*(1+$K23)^MAX(ROUNDUP(IFERROR(DATEDIF($I23-1,BV$15+1,"m"),)/12,)-1,)*Index!BR$22*(BV$15&lt;=$J23)*(1-BV$12)</f>
        <v>156041.39399268432</v>
      </c>
      <c r="BW23" s="747">
        <f>$G23*$H23*(1+$K23)^MAX(ROUNDUP(IFERROR(DATEDIF($I23-1,BW$15+1,"m"),)/12,)-1,)*Index!BS$22*(BW$15&lt;=$J23)*(1-BW$12)</f>
        <v>156041.39399268432</v>
      </c>
      <c r="BX23" s="747">
        <f>$G23*$H23*(1+$K23)^MAX(ROUNDUP(IFERROR(DATEDIF($I23-1,BX$15+1,"m"),)/12,)-1,)*Index!BT$22*(BX$15&lt;=$J23)*(1-BX$12)</f>
        <v>156041.39399268432</v>
      </c>
      <c r="BY23" s="747">
        <f>$G23*$H23*(1+$K23)^MAX(ROUNDUP(IFERROR(DATEDIF($I23-1,BY$15+1,"m"),)/12,)-1,)*Index!BU$22*(BY$15&lt;=$J23)*(1-BY$12)</f>
        <v>156041.39399268432</v>
      </c>
      <c r="BZ23" s="747">
        <f>$G23*$H23*(1+$K23)^MAX(ROUNDUP(IFERROR(DATEDIF($I23-1,BZ$15+1,"m"),)/12,)-1,)*Index!BV$22*(BZ$15&lt;=$J23)*(1-BZ$12)</f>
        <v>156041.39399268432</v>
      </c>
      <c r="CA23" s="747">
        <f>$G23*$H23*(1+$K23)^MAX(ROUNDUP(IFERROR(DATEDIF($I23-1,CA$15+1,"m"),)/12,)-1,)*Index!BW$22*(CA$15&lt;=$J23)*(1-CA$12)</f>
        <v>156041.39399268432</v>
      </c>
      <c r="CB23" s="747">
        <f>$G23*$H23*(1+$K23)^MAX(ROUNDUP(IFERROR(DATEDIF($I23-1,CB$15+1,"m"),)/12,)-1,)*Index!BX$22*(CB$15&lt;=$J23)*(1-CB$12)</f>
        <v>159942.42884250139</v>
      </c>
      <c r="CC23" s="747">
        <f>$G23*$H23*(1+$K23)^MAX(ROUNDUP(IFERROR(DATEDIF($I23-1,CC$15+1,"m"),)/12,)-1,)*Index!BY$22*(CC$15&lt;=$J23)*(1-CC$12)</f>
        <v>159942.42884250139</v>
      </c>
      <c r="CD23" s="747">
        <f>$G23*$H23*(1+$K23)^MAX(ROUNDUP(IFERROR(DATEDIF($I23-1,CD$15+1,"m"),)/12,)-1,)*Index!BZ$22*(CD$15&lt;=$J23)*(1-CD$12)</f>
        <v>159942.42884250139</v>
      </c>
      <c r="CE23" s="747">
        <f>$G23*$H23*(1+$K23)^MAX(ROUNDUP(IFERROR(DATEDIF($I23-1,CE$15+1,"m"),)/12,)-1,)*Index!CA$22*(CE$15&lt;=$J23)*(1-CE$12)</f>
        <v>159942.42884250139</v>
      </c>
      <c r="CF23" s="747">
        <f>$G23*$H23*(1+$K23)^MAX(ROUNDUP(IFERROR(DATEDIF($I23-1,CF$15+1,"m"),)/12,)-1,)*Index!CB$22*(CF$15&lt;=$J23)*(1-CF$12)</f>
        <v>159942.42884250139</v>
      </c>
      <c r="CG23" s="747">
        <f>$G23*$H23*(1+$K23)^MAX(ROUNDUP(IFERROR(DATEDIF($I23-1,CG$15+1,"m"),)/12,)-1,)*Index!CC$22*(CG$15&lt;=$J23)*(1-CG$12)</f>
        <v>159942.42884250139</v>
      </c>
      <c r="CH23" s="747">
        <f>$G23*$H23*(1+$K23)^MAX(ROUNDUP(IFERROR(DATEDIF($I23-1,CH$15+1,"m"),)/12,)-1,)*Index!CD$22*(CH$15&lt;=$J23)*(1-CH$12)</f>
        <v>159942.42884250139</v>
      </c>
      <c r="CI23" s="747">
        <f>$G23*$H23*(1+$K23)^MAX(ROUNDUP(IFERROR(DATEDIF($I23-1,CI$15+1,"m"),)/12,)-1,)*Index!CE$22*(CI$15&lt;=$J23)*(1-CI$12)</f>
        <v>159942.42884250139</v>
      </c>
      <c r="CJ23" s="747">
        <f>$G23*$H23*(1+$K23)^MAX(ROUNDUP(IFERROR(DATEDIF($I23-1,CJ$15+1,"m"),)/12,)-1,)*Index!CF$22*(CJ$15&lt;=$J23)*(1-CJ$12)</f>
        <v>159942.42884250139</v>
      </c>
      <c r="CK23" s="747">
        <f>$G23*$H23*(1+$K23)^MAX(ROUNDUP(IFERROR(DATEDIF($I23-1,CK$15+1,"m"),)/12,)-1,)*Index!CG$22*(CK$15&lt;=$J23)*(1-CK$12)</f>
        <v>159942.42884250139</v>
      </c>
      <c r="CL23" s="747">
        <f>$G23*$H23*(1+$K23)^MAX(ROUNDUP(IFERROR(DATEDIF($I23-1,CL$15+1,"m"),)/12,)-1,)*Index!CH$22*(CL$15&lt;=$J23)*(1-CL$12)</f>
        <v>159942.42884250139</v>
      </c>
      <c r="CM23" s="747">
        <f>$G23*$H23*(1+$K23)^MAX(ROUNDUP(IFERROR(DATEDIF($I23-1,CM$15+1,"m"),)/12,)-1,)*Index!CI$22*(CM$15&lt;=$J23)*(1-CM$12)</f>
        <v>159942.42884250139</v>
      </c>
      <c r="CN23" s="747">
        <f>$G23*$H23*(1+$K23)^MAX(ROUNDUP(IFERROR(DATEDIF($I23-1,CN$15+1,"m"),)/12,)-1,)*Index!CJ$22*(CN$15&lt;=$J23)*(1-CN$12)</f>
        <v>163940.9895635639</v>
      </c>
      <c r="CO23" s="747">
        <f>$G23*$H23*(1+$K23)^MAX(ROUNDUP(IFERROR(DATEDIF($I23-1,CO$15+1,"m"),)/12,)-1,)*Index!CK$22*(CO$15&lt;=$J23)*(1-CO$12)</f>
        <v>163940.9895635639</v>
      </c>
      <c r="CP23" s="747">
        <f>$G23*$H23*(1+$K23)^MAX(ROUNDUP(IFERROR(DATEDIF($I23-1,CP$15+1,"m"),)/12,)-1,)*Index!CL$22*(CP$15&lt;=$J23)*(1-CP$12)</f>
        <v>163940.9895635639</v>
      </c>
      <c r="CQ23" s="747">
        <f>$G23*$H23*(1+$K23)^MAX(ROUNDUP(IFERROR(DATEDIF($I23-1,CQ$15+1,"m"),)/12,)-1,)*Index!CM$22*(CQ$15&lt;=$J23)*(1-CQ$12)</f>
        <v>163940.9895635639</v>
      </c>
      <c r="CR23" s="747">
        <f>$G23*$H23*(1+$K23)^MAX(ROUNDUP(IFERROR(DATEDIF($I23-1,CR$15+1,"m"),)/12,)-1,)*Index!CN$22*(CR$15&lt;=$J23)*(1-CR$12)</f>
        <v>163940.9895635639</v>
      </c>
      <c r="CS23" s="747">
        <f>$G23*$H23*(1+$K23)^MAX(ROUNDUP(IFERROR(DATEDIF($I23-1,CS$15+1,"m"),)/12,)-1,)*Index!CO$22*(CS$15&lt;=$J23)*(1-CS$12)</f>
        <v>163940.9895635639</v>
      </c>
      <c r="CT23" s="747">
        <f>$G23*$H23*(1+$K23)^MAX(ROUNDUP(IFERROR(DATEDIF($I23-1,CT$15+1,"m"),)/12,)-1,)*Index!CP$22*(CT$15&lt;=$J23)*(1-CT$12)</f>
        <v>163940.9895635639</v>
      </c>
      <c r="CU23" s="747">
        <f>$G23*$H23*(1+$K23)^MAX(ROUNDUP(IFERROR(DATEDIF($I23-1,CU$15+1,"m"),)/12,)-1,)*Index!CQ$22*(CU$15&lt;=$J23)*(1-CU$12)</f>
        <v>163940.9895635639</v>
      </c>
      <c r="CV23" s="747">
        <f>$G23*$H23*(1+$K23)^MAX(ROUNDUP(IFERROR(DATEDIF($I23-1,CV$15+1,"m"),)/12,)-1,)*Index!CR$22*(CV$15&lt;=$J23)*(1-CV$12)</f>
        <v>163940.9895635639</v>
      </c>
      <c r="CW23" s="747">
        <f>$G23*$H23*(1+$K23)^MAX(ROUNDUP(IFERROR(DATEDIF($I23-1,CW$15+1,"m"),)/12,)-1,)*Index!CS$22*(CW$15&lt;=$J23)*(1-CW$12)</f>
        <v>163940.9895635639</v>
      </c>
      <c r="CX23" s="747">
        <f>$G23*$H23*(1+$K23)^MAX(ROUNDUP(IFERROR(DATEDIF($I23-1,CX$15+1,"m"),)/12,)-1,)*Index!CT$22*(CX$15&lt;=$J23)*(1-CX$12)</f>
        <v>163940.9895635639</v>
      </c>
      <c r="CY23" s="747">
        <f>$G23*$H23*(1+$K23)^MAX(ROUNDUP(IFERROR(DATEDIF($I23-1,CY$15+1,"m"),)/12,)-1,)*Index!CU$22*(CY$15&lt;=$J23)*(1-CY$12)</f>
        <v>163940.9895635639</v>
      </c>
      <c r="CZ23" s="747">
        <f>$G23*$H23*(1+$K23)^MAX(ROUNDUP(IFERROR(DATEDIF($I23-1,CZ$15+1,"m"),)/12,)-1,)*Index!CV$22*(CZ$15&lt;=$J23)*(1-CZ$12)</f>
        <v>168039.514302653</v>
      </c>
      <c r="DA23" s="747">
        <f>$G23*$H23*(1+$K23)^MAX(ROUNDUP(IFERROR(DATEDIF($I23-1,DA$15+1,"m"),)/12,)-1,)*Index!CW$22*(DA$15&lt;=$J23)*(1-DA$12)</f>
        <v>168039.514302653</v>
      </c>
      <c r="DB23" s="747">
        <f>$G23*$H23*(1+$K23)^MAX(ROUNDUP(IFERROR(DATEDIF($I23-1,DB$15+1,"m"),)/12,)-1,)*Index!CX$22*(DB$15&lt;=$J23)*(1-DB$12)</f>
        <v>168039.514302653</v>
      </c>
      <c r="DC23" s="747">
        <f>$G23*$H23*(1+$K23)^MAX(ROUNDUP(IFERROR(DATEDIF($I23-1,DC$15+1,"m"),)/12,)-1,)*Index!CY$22*(DC$15&lt;=$J23)*(1-DC$12)</f>
        <v>0</v>
      </c>
      <c r="DD23" s="747">
        <f>$G23*$H23*(1+$K23)^MAX(ROUNDUP(IFERROR(DATEDIF($I23-1,DD$15+1,"m"),)/12,)-1,)*Index!CZ$22*(DD$15&lt;=$J23)*(1-DD$12)</f>
        <v>0</v>
      </c>
      <c r="DE23" s="747">
        <f>$G23*$H23*(1+$K23)^MAX(ROUNDUP(IFERROR(DATEDIF($I23-1,DE$15+1,"m"),)/12,)-1,)*Index!DA$22*(DE$15&lt;=$J23)*(1-DE$12)</f>
        <v>0</v>
      </c>
      <c r="DF23" s="747">
        <f>$G23*$H23*(1+$K23)^MAX(ROUNDUP(IFERROR(DATEDIF($I23-1,DF$15+1,"m"),)/12,)-1,)*Index!DB$22*(DF$15&lt;=$J23)*(1-DF$12)</f>
        <v>0</v>
      </c>
      <c r="DG23" s="747">
        <f>$G23*$H23*(1+$K23)^MAX(ROUNDUP(IFERROR(DATEDIF($I23-1,DG$15+1,"m"),)/12,)-1,)*Index!DC$22*(DG$15&lt;=$J23)*(1-DG$12)</f>
        <v>0</v>
      </c>
      <c r="DH23" s="747">
        <f>$G23*$H23*(1+$K23)^MAX(ROUNDUP(IFERROR(DATEDIF($I23-1,DH$15+1,"m"),)/12,)-1,)*Index!DD$22*(DH$15&lt;=$J23)*(1-DH$12)</f>
        <v>0</v>
      </c>
      <c r="DI23" s="747">
        <f>$G23*$H23*(1+$K23)^MAX(ROUNDUP(IFERROR(DATEDIF($I23-1,DI$15+1,"m"),)/12,)-1,)*Index!DE$22*(DI$15&lt;=$J23)*(1-DI$12)</f>
        <v>0</v>
      </c>
      <c r="DJ23" s="747">
        <f>$G23*$H23*(1+$K23)^MAX(ROUNDUP(IFERROR(DATEDIF($I23-1,DJ$15+1,"m"),)/12,)-1,)*Index!DF$22*(DJ$15&lt;=$J23)*(1-DJ$12)</f>
        <v>0</v>
      </c>
      <c r="DK23" s="747">
        <f>$G23*$H23*(1+$K23)^MAX(ROUNDUP(IFERROR(DATEDIF($I23-1,DK$15+1,"m"),)/12,)-1,)*Index!DG$22*(DK$15&lt;=$J23)*(1-DK$12)</f>
        <v>0</v>
      </c>
      <c r="DL23" s="747">
        <f>$G23*$H23*(1+$K23)^MAX(ROUNDUP(IFERROR(DATEDIF($I23-1,DL$15+1,"m"),)/12,)-1,)*Index!DH$22*(DL$15&lt;=$J23)*(1-DL$12)</f>
        <v>0</v>
      </c>
      <c r="DM23" s="747">
        <f>$G23*$H23*(1+$K23)^MAX(ROUNDUP(IFERROR(DATEDIF($I23-1,DM$15+1,"m"),)/12,)-1,)*Index!DI$22*(DM$15&lt;=$J23)*(1-DM$12)</f>
        <v>0</v>
      </c>
      <c r="DN23" s="747">
        <f>$G23*$H23*(1+$K23)^MAX(ROUNDUP(IFERROR(DATEDIF($I23-1,DN$15+1,"m"),)/12,)-1,)*Index!DJ$22*(DN$15&lt;=$J23)*(1-DN$12)</f>
        <v>0</v>
      </c>
      <c r="DO23" s="747">
        <f>$G23*$H23*(1+$K23)^MAX(ROUNDUP(IFERROR(DATEDIF($I23-1,DO$15+1,"m"),)/12,)-1,)*Index!DK$22*(DO$15&lt;=$J23)*(1-DO$12)</f>
        <v>0</v>
      </c>
      <c r="DP23" s="747">
        <f>$G23*$H23*(1+$K23)^MAX(ROUNDUP(IFERROR(DATEDIF($I23-1,DP$15+1,"m"),)/12,)-1,)*Index!DL$22*(DP$15&lt;=$J23)*(1-DP$12)</f>
        <v>0</v>
      </c>
      <c r="DQ23" s="747">
        <f>$G23*$H23*(1+$K23)^MAX(ROUNDUP(IFERROR(DATEDIF($I23-1,DQ$15+1,"m"),)/12,)-1,)*Index!DM$22*(DQ$15&lt;=$J23)*(1-DQ$12)</f>
        <v>0</v>
      </c>
      <c r="DR23" s="747">
        <f>$G23*$H23*(1+$K23)^MAX(ROUNDUP(IFERROR(DATEDIF($I23-1,DR$15+1,"m"),)/12,)-1,)*Index!DN$22*(DR$15&lt;=$J23)*(1-DR$12)</f>
        <v>0</v>
      </c>
      <c r="DS23" s="747">
        <f>$G23*$H23*(1+$K23)^MAX(ROUNDUP(IFERROR(DATEDIF($I23-1,DS$15+1,"m"),)/12,)-1,)*Index!DO$22*(DS$15&lt;=$J23)*(1-DS$12)</f>
        <v>0</v>
      </c>
      <c r="DT23" s="747">
        <f>$G23*$H23*(1+$K23)^MAX(ROUNDUP(IFERROR(DATEDIF($I23-1,DT$15+1,"m"),)/12,)-1,)*Index!DP$22*(DT$15&lt;=$J23)*(1-DT$12)</f>
        <v>0</v>
      </c>
      <c r="DU23" s="747">
        <f>$G23*$H23*(1+$K23)^MAX(ROUNDUP(IFERROR(DATEDIF($I23-1,DU$15+1,"m"),)/12,)-1,)*Index!DQ$22*(DU$15&lt;=$J23)*(1-DU$12)</f>
        <v>0</v>
      </c>
      <c r="DV23" s="747">
        <f>$G23*$H23*(1+$K23)^MAX(ROUNDUP(IFERROR(DATEDIF($I23-1,DV$15+1,"m"),)/12,)-1,)*Index!DR$22*(DV$15&lt;=$J23)*(1-DV$12)</f>
        <v>0</v>
      </c>
      <c r="DW23" s="747">
        <f>$G23*$H23*(1+$K23)^MAX(ROUNDUP(IFERROR(DATEDIF($I23-1,DW$15+1,"m"),)/12,)-1,)*Index!DS$22*(DW$15&lt;=$J23)*(1-DW$12)</f>
        <v>0</v>
      </c>
      <c r="DX23" s="747">
        <f>$G23*$H23*(1+$K23)^MAX(ROUNDUP(IFERROR(DATEDIF($I23-1,DX$15+1,"m"),)/12,)-1,)*Index!DT$22*(DX$15&lt;=$J23)*(1-DX$12)</f>
        <v>0</v>
      </c>
      <c r="DY23" s="747">
        <f>$G23*$H23*(1+$K23)^MAX(ROUNDUP(IFERROR(DATEDIF($I23-1,DY$15+1,"m"),)/12,)-1,)*Index!DU$22*(DY$15&lt;=$J23)*(1-DY$12)</f>
        <v>0</v>
      </c>
      <c r="DZ23" s="747">
        <f>$G23*$H23*(1+$K23)^MAX(ROUNDUP(IFERROR(DATEDIF($I23-1,DZ$15+1,"m"),)/12,)-1,)*Index!DV$22*(DZ$15&lt;=$J23)*(1-DZ$12)</f>
        <v>0</v>
      </c>
      <c r="EA23" s="747">
        <f>$G23*$H23*(1+$K23)^MAX(ROUNDUP(IFERROR(DATEDIF($I23-1,EA$15+1,"m"),)/12,)-1,)*Index!DW$22*(EA$15&lt;=$J23)*(1-EA$12)</f>
        <v>0</v>
      </c>
      <c r="EB23" s="747">
        <f>$G23*$H23*(1+$K23)^MAX(ROUNDUP(IFERROR(DATEDIF($I23-1,EB$15+1,"m"),)/12,)-1,)*Index!DX$22*(EB$15&lt;=$J23)*(1-EB$12)</f>
        <v>0</v>
      </c>
      <c r="EC23" s="747">
        <f>$G23*$H23*(1+$K23)^MAX(ROUNDUP(IFERROR(DATEDIF($I23-1,EC$15+1,"m"),)/12,)-1,)*Index!DY$22*(EC$15&lt;=$J23)*(1-EC$12)</f>
        <v>0</v>
      </c>
      <c r="ED23" s="747">
        <f>$G23*$H23*(1+$K23)^MAX(ROUNDUP(IFERROR(DATEDIF($I23-1,ED$15+1,"m"),)/12,)-1,)*Index!DZ$22*(ED$15&lt;=$J23)*(1-ED$12)</f>
        <v>0</v>
      </c>
      <c r="EE23" s="747">
        <f>$G23*$H23*(1+$K23)^MAX(ROUNDUP(IFERROR(DATEDIF($I23-1,EE$15+1,"m"),)/12,)-1,)*Index!EA$22*(EE$15&lt;=$J23)*(1-EE$12)</f>
        <v>0</v>
      </c>
      <c r="EF23" s="747">
        <f>$G23*$H23*(1+$K23)^MAX(ROUNDUP(IFERROR(DATEDIF($I23-1,EF$15+1,"m"),)/12,)-1,)*Index!EB$22*(EF$15&lt;=$J23)*(1-EF$12)</f>
        <v>0</v>
      </c>
      <c r="EG23" s="747">
        <f>$G23*$H23*(1+$K23)^MAX(ROUNDUP(IFERROR(DATEDIF($I23-1,EG$15+1,"m"),)/12,)-1,)*Index!EC$22*(EG$15&lt;=$J23)*(1-EG$12)</f>
        <v>0</v>
      </c>
      <c r="EH23" s="747">
        <f>$G23*$H23*(1+$K23)^MAX(ROUNDUP(IFERROR(DATEDIF($I23-1,EH$15+1,"m"),)/12,)-1,)*Index!ED$22*(EH$15&lt;=$J23)*(1-EH$12)</f>
        <v>0</v>
      </c>
      <c r="EI23" s="747">
        <f>$G23*$H23*(1+$K23)^MAX(ROUNDUP(IFERROR(DATEDIF($I23-1,EI$15+1,"m"),)/12,)-1,)*Index!EE$22*(EI$15&lt;=$J23)*(1-EI$12)</f>
        <v>0</v>
      </c>
      <c r="EJ23" s="747">
        <f>$G23*$H23*(1+$K23)^MAX(ROUNDUP(IFERROR(DATEDIF($I23-1,EJ$15+1,"m"),)/12,)-1,)*Index!EF$22*(EJ$15&lt;=$J23)*(1-EJ$12)</f>
        <v>0</v>
      </c>
      <c r="EK23" s="747">
        <f>$G23*$H23*(1+$K23)^MAX(ROUNDUP(IFERROR(DATEDIF($I23-1,EK$15+1,"m"),)/12,)-1,)*Index!EG$22*(EK$15&lt;=$J23)*(1-EK$12)</f>
        <v>0</v>
      </c>
      <c r="EL23" s="747">
        <f>$G23*$H23*(1+$K23)^MAX(ROUNDUP(IFERROR(DATEDIF($I23-1,EL$15+1,"m"),)/12,)-1,)*Index!EH$22*(EL$15&lt;=$J23)*(1-EL$12)</f>
        <v>0</v>
      </c>
      <c r="EM23" s="747">
        <f>$G23*$H23*(1+$K23)^MAX(ROUNDUP(IFERROR(DATEDIF($I23-1,EM$15+1,"m"),)/12,)-1,)*Index!EI$22*(EM$15&lt;=$J23)*(1-EM$12)</f>
        <v>0</v>
      </c>
      <c r="EN23" s="747">
        <f>$G23*$H23*(1+$K23)^MAX(ROUNDUP(IFERROR(DATEDIF($I23-1,EN$15+1,"m"),)/12,)-1,)*Index!EJ$22*(EN$15&lt;=$J23)*(1-EN$12)</f>
        <v>0</v>
      </c>
      <c r="EO23" s="747">
        <f>$G23*$H23*(1+$K23)^MAX(ROUNDUP(IFERROR(DATEDIF($I23-1,EO$15+1,"m"),)/12,)-1,)*Index!EK$22*(EO$15&lt;=$J23)*(1-EO$12)</f>
        <v>0</v>
      </c>
      <c r="EP23" s="747">
        <f>$G23*$H23*(1+$K23)^MAX(ROUNDUP(IFERROR(DATEDIF($I23-1,EP$15+1,"m"),)/12,)-1,)*Index!EL$22*(EP$15&lt;=$J23)*(1-EP$12)</f>
        <v>0</v>
      </c>
      <c r="EQ23" s="747">
        <f>$G23*$H23*(1+$K23)^MAX(ROUNDUP(IFERROR(DATEDIF($I23-1,EQ$15+1,"m"),)/12,)-1,)*Index!EM$22*(EQ$15&lt;=$J23)*(1-EQ$12)</f>
        <v>0</v>
      </c>
      <c r="ER23" s="747">
        <f>$G23*$H23*(1+$K23)^MAX(ROUNDUP(IFERROR(DATEDIF($I23-1,ER$15+1,"m"),)/12,)-1,)*Index!EN$22*(ER$15&lt;=$J23)*(1-ER$12)</f>
        <v>0</v>
      </c>
      <c r="ES23" s="747">
        <f>$G23*$H23*(1+$K23)^MAX(ROUNDUP(IFERROR(DATEDIF($I23-1,ES$15+1,"m"),)/12,)-1,)*Index!EO$22*(ES$15&lt;=$J23)*(1-ES$12)</f>
        <v>0</v>
      </c>
      <c r="ET23" s="747">
        <f>$G23*$H23*(1+$K23)^MAX(ROUNDUP(IFERROR(DATEDIF($I23-1,ET$15+1,"m"),)/12,)-1,)*Index!EP$22*(ET$15&lt;=$J23)*(1-ET$12)</f>
        <v>0</v>
      </c>
      <c r="EU23" s="747">
        <f>$G23*$H23*(1+$K23)^MAX(ROUNDUP(IFERROR(DATEDIF($I23-1,EU$15+1,"m"),)/12,)-1,)*Index!EQ$22*(EU$15&lt;=$J23)*(1-EU$12)</f>
        <v>0</v>
      </c>
    </row>
    <row r="24" spans="3:151" ht="11.25" customHeight="1">
      <c r="C24" s="735"/>
      <c r="D24" s="743">
        <f>'A&amp;R'!V13</f>
        <v>5</v>
      </c>
      <c r="E24" s="704" t="str">
        <f>'A&amp;R'!W13</f>
        <v>쿠팡</v>
      </c>
      <c r="F24" s="704" t="str">
        <f>'A&amp;R'!X13</f>
        <v>상온창고</v>
      </c>
      <c r="G24" s="752">
        <f>'A&amp;R'!AC13/1000</f>
        <v>60</v>
      </c>
      <c r="H24" s="744">
        <f>'A&amp;R'!Y13</f>
        <v>2185.56</v>
      </c>
      <c r="I24" s="745">
        <f>'A&amp;R'!Z13</f>
        <v>45323</v>
      </c>
      <c r="J24" s="745">
        <f>'A&amp;R'!AA13</f>
        <v>49064</v>
      </c>
      <c r="K24" s="754">
        <f>'A&amp;R'!AF13</f>
        <v>2.5000000000000001E-2</v>
      </c>
      <c r="L24" s="746"/>
      <c r="M24" s="722"/>
      <c r="N24" s="747">
        <f t="shared" si="7"/>
        <v>13706767.057971697</v>
      </c>
      <c r="O24" s="733"/>
      <c r="P24" s="747">
        <f>$G24*$H24*(1+$K24)^MAX(ROUNDUP(IFERROR(DATEDIF($I24-1,P$15+1,"m"),)/12,)-1,)*Index!L$22*(P$15&lt;=$J24)*(1-P$12)</f>
        <v>0</v>
      </c>
      <c r="Q24" s="747">
        <f>$G24*$H24*(1+$K24)^MAX(ROUNDUP(IFERROR(DATEDIF($I24-1,Q$15+1,"m"),)/12,)-1,)*Index!M$22*(Q$15&lt;=$J24)*(1-Q$12)</f>
        <v>137772.23850000001</v>
      </c>
      <c r="R24" s="747">
        <f>$G24*$H24*(1+$K24)^MAX(ROUNDUP(IFERROR(DATEDIF($I24-1,R$15+1,"m"),)/12,)-1,)*Index!N$22*(R$15&lt;=$J24)*(1-R$12)</f>
        <v>137772.23850000001</v>
      </c>
      <c r="S24" s="747">
        <f>$G24*$H24*(1+$K24)^MAX(ROUNDUP(IFERROR(DATEDIF($I24-1,S$15+1,"m"),)/12,)-1,)*Index!O$22*(S$15&lt;=$J24)*(1-S$12)</f>
        <v>137772.23850000001</v>
      </c>
      <c r="T24" s="747">
        <f>$G24*$H24*(1+$K24)^MAX(ROUNDUP(IFERROR(DATEDIF($I24-1,T$15+1,"m"),)/12,)-1,)*Index!P$22*(T$15&lt;=$J24)*(1-T$12)</f>
        <v>141216.54446249999</v>
      </c>
      <c r="U24" s="747">
        <f>$G24*$H24*(1+$K24)^MAX(ROUNDUP(IFERROR(DATEDIF($I24-1,U$15+1,"m"),)/12,)-1,)*Index!Q$22*(U$15&lt;=$J24)*(1-U$12)</f>
        <v>141216.54446249999</v>
      </c>
      <c r="V24" s="747">
        <f>$G24*$H24*(1+$K24)^MAX(ROUNDUP(IFERROR(DATEDIF($I24-1,V$15+1,"m"),)/12,)-1,)*Index!R$22*(V$15&lt;=$J24)*(1-V$12)</f>
        <v>141216.54446249999</v>
      </c>
      <c r="W24" s="747">
        <f>$G24*$H24*(1+$K24)^MAX(ROUNDUP(IFERROR(DATEDIF($I24-1,W$15+1,"m"),)/12,)-1,)*Index!S$22*(W$15&lt;=$J24)*(1-W$12)</f>
        <v>141216.54446249999</v>
      </c>
      <c r="X24" s="747">
        <f>$G24*$H24*(1+$K24)^MAX(ROUNDUP(IFERROR(DATEDIF($I24-1,X$15+1,"m"),)/12,)-1,)*Index!T$22*(X$15&lt;=$J24)*(1-X$12)</f>
        <v>141216.54446249999</v>
      </c>
      <c r="Y24" s="747">
        <f>$G24*$H24*(1+$K24)^MAX(ROUNDUP(IFERROR(DATEDIF($I24-1,Y$15+1,"m"),)/12,)-1,)*Index!U$22*(Y$15&lt;=$J24)*(1-Y$12)</f>
        <v>141216.54446249999</v>
      </c>
      <c r="Z24" s="747">
        <f>$G24*$H24*(1+$K24)^MAX(ROUNDUP(IFERROR(DATEDIF($I24-1,Z$15+1,"m"),)/12,)-1,)*Index!V$22*(Z$15&lt;=$J24)*(1-Z$12)</f>
        <v>141216.54446249999</v>
      </c>
      <c r="AA24" s="747">
        <f>$G24*$H24*(1+$K24)^MAX(ROUNDUP(IFERROR(DATEDIF($I24-1,AA$15+1,"m"),)/12,)-1,)*Index!W$22*(AA$15&lt;=$J24)*(1-AA$12)</f>
        <v>141216.54446249999</v>
      </c>
      <c r="AB24" s="747">
        <f>$G24*$H24*(1+$K24)^MAX(ROUNDUP(IFERROR(DATEDIF($I24-1,AB$15+1,"m"),)/12,)-1,)*Index!X$22*(AB$15&lt;=$J24)*(1-AB$12)</f>
        <v>141216.54446249999</v>
      </c>
      <c r="AC24" s="747">
        <f>$G24*$H24*(1+$K24)^MAX(ROUNDUP(IFERROR(DATEDIF($I24-1,AC$15+1,"m"),)/12,)-1,)*Index!Y$22*(AC$15&lt;=$J24)*(1-AC$12)</f>
        <v>141216.54446249999</v>
      </c>
      <c r="AD24" s="747">
        <f>$G24*$H24*(1+$K24)^MAX(ROUNDUP(IFERROR(DATEDIF($I24-1,AD$15+1,"m"),)/12,)-1,)*Index!Z$22*(AD$15&lt;=$J24)*(1-AD$12)</f>
        <v>141216.54446249999</v>
      </c>
      <c r="AE24" s="747">
        <f>$G24*$H24*(1+$K24)^MAX(ROUNDUP(IFERROR(DATEDIF($I24-1,AE$15+1,"m"),)/12,)-1,)*Index!AA$22*(AE$15&lt;=$J24)*(1-AE$12)</f>
        <v>141216.54446249999</v>
      </c>
      <c r="AF24" s="747">
        <f>$G24*$H24*(1+$K24)^MAX(ROUNDUP(IFERROR(DATEDIF($I24-1,AF$15+1,"m"),)/12,)-1,)*Index!AB$22*(AF$15&lt;=$J24)*(1-AF$12)</f>
        <v>144746.95807406248</v>
      </c>
      <c r="AG24" s="747">
        <f>$G24*$H24*(1+$K24)^MAX(ROUNDUP(IFERROR(DATEDIF($I24-1,AG$15+1,"m"),)/12,)-1,)*Index!AC$22*(AG$15&lt;=$J24)*(1-AG$12)</f>
        <v>144746.95807406248</v>
      </c>
      <c r="AH24" s="747">
        <f>$G24*$H24*(1+$K24)^MAX(ROUNDUP(IFERROR(DATEDIF($I24-1,AH$15+1,"m"),)/12,)-1,)*Index!AD$22*(AH$15&lt;=$J24)*(1-AH$12)</f>
        <v>144746.95807406248</v>
      </c>
      <c r="AI24" s="747">
        <f>$G24*$H24*(1+$K24)^MAX(ROUNDUP(IFERROR(DATEDIF($I24-1,AI$15+1,"m"),)/12,)-1,)*Index!AE$22*(AI$15&lt;=$J24)*(1-AI$12)</f>
        <v>144746.95807406248</v>
      </c>
      <c r="AJ24" s="747">
        <f>$G24*$H24*(1+$K24)^MAX(ROUNDUP(IFERROR(DATEDIF($I24-1,AJ$15+1,"m"),)/12,)-1,)*Index!AF$22*(AJ$15&lt;=$J24)*(1-AJ$12)</f>
        <v>144746.95807406248</v>
      </c>
      <c r="AK24" s="747">
        <f>$G24*$H24*(1+$K24)^MAX(ROUNDUP(IFERROR(DATEDIF($I24-1,AK$15+1,"m"),)/12,)-1,)*Index!AG$22*(AK$15&lt;=$J24)*(1-AK$12)</f>
        <v>144746.95807406248</v>
      </c>
      <c r="AL24" s="747">
        <f>$G24*$H24*(1+$K24)^MAX(ROUNDUP(IFERROR(DATEDIF($I24-1,AL$15+1,"m"),)/12,)-1,)*Index!AH$22*(AL$15&lt;=$J24)*(1-AL$12)</f>
        <v>144746.95807406248</v>
      </c>
      <c r="AM24" s="747">
        <f>$G24*$H24*(1+$K24)^MAX(ROUNDUP(IFERROR(DATEDIF($I24-1,AM$15+1,"m"),)/12,)-1,)*Index!AI$22*(AM$15&lt;=$J24)*(1-AM$12)</f>
        <v>144746.95807406248</v>
      </c>
      <c r="AN24" s="747">
        <f>$G24*$H24*(1+$K24)^MAX(ROUNDUP(IFERROR(DATEDIF($I24-1,AN$15+1,"m"),)/12,)-1,)*Index!AJ$22*(AN$15&lt;=$J24)*(1-AN$12)</f>
        <v>144746.95807406248</v>
      </c>
      <c r="AO24" s="747">
        <f>$G24*$H24*(1+$K24)^MAX(ROUNDUP(IFERROR(DATEDIF($I24-1,AO$15+1,"m"),)/12,)-1,)*Index!AK$22*(AO$15&lt;=$J24)*(1-AO$12)</f>
        <v>144746.95807406248</v>
      </c>
      <c r="AP24" s="747">
        <f>$G24*$H24*(1+$K24)^MAX(ROUNDUP(IFERROR(DATEDIF($I24-1,AP$15+1,"m"),)/12,)-1,)*Index!AL$22*(AP$15&lt;=$J24)*(1-AP$12)</f>
        <v>144746.95807406248</v>
      </c>
      <c r="AQ24" s="747">
        <f>$G24*$H24*(1+$K24)^MAX(ROUNDUP(IFERROR(DATEDIF($I24-1,AQ$15+1,"m"),)/12,)-1,)*Index!AM$22*(AQ$15&lt;=$J24)*(1-AQ$12)</f>
        <v>144746.95807406248</v>
      </c>
      <c r="AR24" s="747">
        <f>$G24*$H24*(1+$K24)^MAX(ROUNDUP(IFERROR(DATEDIF($I24-1,AR$15+1,"m"),)/12,)-1,)*Index!AN$22*(AR$15&lt;=$J24)*(1-AR$12)</f>
        <v>148365.63202591403</v>
      </c>
      <c r="AS24" s="747">
        <f>$G24*$H24*(1+$K24)^MAX(ROUNDUP(IFERROR(DATEDIF($I24-1,AS$15+1,"m"),)/12,)-1,)*Index!AO$22*(AS$15&lt;=$J24)*(1-AS$12)</f>
        <v>148365.63202591403</v>
      </c>
      <c r="AT24" s="747">
        <f>$G24*$H24*(1+$K24)^MAX(ROUNDUP(IFERROR(DATEDIF($I24-1,AT$15+1,"m"),)/12,)-1,)*Index!AP$22*(AT$15&lt;=$J24)*(1-AT$12)</f>
        <v>148365.63202591403</v>
      </c>
      <c r="AU24" s="747">
        <f>$G24*$H24*(1+$K24)^MAX(ROUNDUP(IFERROR(DATEDIF($I24-1,AU$15+1,"m"),)/12,)-1,)*Index!AQ$22*(AU$15&lt;=$J24)*(1-AU$12)</f>
        <v>148365.63202591403</v>
      </c>
      <c r="AV24" s="747">
        <f>$G24*$H24*(1+$K24)^MAX(ROUNDUP(IFERROR(DATEDIF($I24-1,AV$15+1,"m"),)/12,)-1,)*Index!AR$22*(AV$15&lt;=$J24)*(1-AV$12)</f>
        <v>148365.63202591403</v>
      </c>
      <c r="AW24" s="747">
        <f>$G24*$H24*(1+$K24)^MAX(ROUNDUP(IFERROR(DATEDIF($I24-1,AW$15+1,"m"),)/12,)-1,)*Index!AS$22*(AW$15&lt;=$J24)*(1-AW$12)</f>
        <v>148365.63202591403</v>
      </c>
      <c r="AX24" s="747">
        <f>$G24*$H24*(1+$K24)^MAX(ROUNDUP(IFERROR(DATEDIF($I24-1,AX$15+1,"m"),)/12,)-1,)*Index!AT$22*(AX$15&lt;=$J24)*(1-AX$12)</f>
        <v>148365.63202591403</v>
      </c>
      <c r="AY24" s="747">
        <f>$G24*$H24*(1+$K24)^MAX(ROUNDUP(IFERROR(DATEDIF($I24-1,AY$15+1,"m"),)/12,)-1,)*Index!AU$22*(AY$15&lt;=$J24)*(1-AY$12)</f>
        <v>148365.63202591403</v>
      </c>
      <c r="AZ24" s="747">
        <f>$G24*$H24*(1+$K24)^MAX(ROUNDUP(IFERROR(DATEDIF($I24-1,AZ$15+1,"m"),)/12,)-1,)*Index!AV$22*(AZ$15&lt;=$J24)*(1-AZ$12)</f>
        <v>148365.63202591403</v>
      </c>
      <c r="BA24" s="747">
        <f>$G24*$H24*(1+$K24)^MAX(ROUNDUP(IFERROR(DATEDIF($I24-1,BA$15+1,"m"),)/12,)-1,)*Index!AW$22*(BA$15&lt;=$J24)*(1-BA$12)</f>
        <v>148365.63202591403</v>
      </c>
      <c r="BB24" s="747">
        <f>$G24*$H24*(1+$K24)^MAX(ROUNDUP(IFERROR(DATEDIF($I24-1,BB$15+1,"m"),)/12,)-1,)*Index!AX$22*(BB$15&lt;=$J24)*(1-BB$12)</f>
        <v>148365.63202591403</v>
      </c>
      <c r="BC24" s="747">
        <f>$G24*$H24*(1+$K24)^MAX(ROUNDUP(IFERROR(DATEDIF($I24-1,BC$15+1,"m"),)/12,)-1,)*Index!AY$22*(BC$15&lt;=$J24)*(1-BC$12)</f>
        <v>148365.63202591403</v>
      </c>
      <c r="BD24" s="747">
        <f>$G24*$H24*(1+$K24)^MAX(ROUNDUP(IFERROR(DATEDIF($I24-1,BD$15+1,"m"),)/12,)-1,)*Index!AZ$22*(BD$15&lt;=$J24)*(1-BD$12)</f>
        <v>152074.77282656185</v>
      </c>
      <c r="BE24" s="747">
        <f>$G24*$H24*(1+$K24)^MAX(ROUNDUP(IFERROR(DATEDIF($I24-1,BE$15+1,"m"),)/12,)-1,)*Index!BA$22*(BE$15&lt;=$J24)*(1-BE$12)</f>
        <v>152074.77282656185</v>
      </c>
      <c r="BF24" s="747">
        <f>$G24*$H24*(1+$K24)^MAX(ROUNDUP(IFERROR(DATEDIF($I24-1,BF$15+1,"m"),)/12,)-1,)*Index!BB$22*(BF$15&lt;=$J24)*(1-BF$12)</f>
        <v>152074.77282656185</v>
      </c>
      <c r="BG24" s="747">
        <f>$G24*$H24*(1+$K24)^MAX(ROUNDUP(IFERROR(DATEDIF($I24-1,BG$15+1,"m"),)/12,)-1,)*Index!BC$22*(BG$15&lt;=$J24)*(1-BG$12)</f>
        <v>152074.77282656185</v>
      </c>
      <c r="BH24" s="747">
        <f>$G24*$H24*(1+$K24)^MAX(ROUNDUP(IFERROR(DATEDIF($I24-1,BH$15+1,"m"),)/12,)-1,)*Index!BD$22*(BH$15&lt;=$J24)*(1-BH$12)</f>
        <v>152074.77282656185</v>
      </c>
      <c r="BI24" s="747">
        <f>$G24*$H24*(1+$K24)^MAX(ROUNDUP(IFERROR(DATEDIF($I24-1,BI$15+1,"m"),)/12,)-1,)*Index!BE$22*(BI$15&lt;=$J24)*(1-BI$12)</f>
        <v>152074.77282656185</v>
      </c>
      <c r="BJ24" s="747">
        <f>$G24*$H24*(1+$K24)^MAX(ROUNDUP(IFERROR(DATEDIF($I24-1,BJ$15+1,"m"),)/12,)-1,)*Index!BF$22*(BJ$15&lt;=$J24)*(1-BJ$12)</f>
        <v>152074.77282656185</v>
      </c>
      <c r="BK24" s="747">
        <f>$G24*$H24*(1+$K24)^MAX(ROUNDUP(IFERROR(DATEDIF($I24-1,BK$15+1,"m"),)/12,)-1,)*Index!BG$22*(BK$15&lt;=$J24)*(1-BK$12)</f>
        <v>152074.77282656185</v>
      </c>
      <c r="BL24" s="747">
        <f>$G24*$H24*(1+$K24)^MAX(ROUNDUP(IFERROR(DATEDIF($I24-1,BL$15+1,"m"),)/12,)-1,)*Index!BH$22*(BL$15&lt;=$J24)*(1-BL$12)</f>
        <v>152074.77282656185</v>
      </c>
      <c r="BM24" s="747">
        <f>$G24*$H24*(1+$K24)^MAX(ROUNDUP(IFERROR(DATEDIF($I24-1,BM$15+1,"m"),)/12,)-1,)*Index!BI$22*(BM$15&lt;=$J24)*(1-BM$12)</f>
        <v>152074.77282656185</v>
      </c>
      <c r="BN24" s="747">
        <f>$G24*$H24*(1+$K24)^MAX(ROUNDUP(IFERROR(DATEDIF($I24-1,BN$15+1,"m"),)/12,)-1,)*Index!BJ$22*(BN$15&lt;=$J24)*(1-BN$12)</f>
        <v>152074.77282656185</v>
      </c>
      <c r="BO24" s="747">
        <f>$G24*$H24*(1+$K24)^MAX(ROUNDUP(IFERROR(DATEDIF($I24-1,BO$15+1,"m"),)/12,)-1,)*Index!BK$22*(BO$15&lt;=$J24)*(1-BO$12)</f>
        <v>152074.77282656185</v>
      </c>
      <c r="BP24" s="747">
        <f>$G24*$H24*(1+$K24)^MAX(ROUNDUP(IFERROR(DATEDIF($I24-1,BP$15+1,"m"),)/12,)-1,)*Index!BL$22*(BP$15&lt;=$J24)*(1-BP$12)</f>
        <v>155876.64214722591</v>
      </c>
      <c r="BQ24" s="747">
        <f>$G24*$H24*(1+$K24)^MAX(ROUNDUP(IFERROR(DATEDIF($I24-1,BQ$15+1,"m"),)/12,)-1,)*Index!BM$22*(BQ$15&lt;=$J24)*(1-BQ$12)</f>
        <v>155876.64214722591</v>
      </c>
      <c r="BR24" s="747">
        <f>$G24*$H24*(1+$K24)^MAX(ROUNDUP(IFERROR(DATEDIF($I24-1,BR$15+1,"m"),)/12,)-1,)*Index!BN$22*(BR$15&lt;=$J24)*(1-BR$12)</f>
        <v>155876.64214722591</v>
      </c>
      <c r="BS24" s="747">
        <f>$G24*$H24*(1+$K24)^MAX(ROUNDUP(IFERROR(DATEDIF($I24-1,BS$15+1,"m"),)/12,)-1,)*Index!BO$22*(BS$15&lt;=$J24)*(1-BS$12)</f>
        <v>155876.64214722591</v>
      </c>
      <c r="BT24" s="747">
        <f>$G24*$H24*(1+$K24)^MAX(ROUNDUP(IFERROR(DATEDIF($I24-1,BT$15+1,"m"),)/12,)-1,)*Index!BP$22*(BT$15&lt;=$J24)*(1-BT$12)</f>
        <v>155876.64214722591</v>
      </c>
      <c r="BU24" s="747">
        <f>$G24*$H24*(1+$K24)^MAX(ROUNDUP(IFERROR(DATEDIF($I24-1,BU$15+1,"m"),)/12,)-1,)*Index!BQ$22*(BU$15&lt;=$J24)*(1-BU$12)</f>
        <v>155876.64214722591</v>
      </c>
      <c r="BV24" s="747">
        <f>$G24*$H24*(1+$K24)^MAX(ROUNDUP(IFERROR(DATEDIF($I24-1,BV$15+1,"m"),)/12,)-1,)*Index!BR$22*(BV$15&lt;=$J24)*(1-BV$12)</f>
        <v>155876.64214722591</v>
      </c>
      <c r="BW24" s="747">
        <f>$G24*$H24*(1+$K24)^MAX(ROUNDUP(IFERROR(DATEDIF($I24-1,BW$15+1,"m"),)/12,)-1,)*Index!BS$22*(BW$15&lt;=$J24)*(1-BW$12)</f>
        <v>155876.64214722591</v>
      </c>
      <c r="BX24" s="747">
        <f>$G24*$H24*(1+$K24)^MAX(ROUNDUP(IFERROR(DATEDIF($I24-1,BX$15+1,"m"),)/12,)-1,)*Index!BT$22*(BX$15&lt;=$J24)*(1-BX$12)</f>
        <v>155876.64214722591</v>
      </c>
      <c r="BY24" s="747">
        <f>$G24*$H24*(1+$K24)^MAX(ROUNDUP(IFERROR(DATEDIF($I24-1,BY$15+1,"m"),)/12,)-1,)*Index!BU$22*(BY$15&lt;=$J24)*(1-BY$12)</f>
        <v>155876.64214722591</v>
      </c>
      <c r="BZ24" s="747">
        <f>$G24*$H24*(1+$K24)^MAX(ROUNDUP(IFERROR(DATEDIF($I24-1,BZ$15+1,"m"),)/12,)-1,)*Index!BV$22*(BZ$15&lt;=$J24)*(1-BZ$12)</f>
        <v>155876.64214722591</v>
      </c>
      <c r="CA24" s="747">
        <f>$G24*$H24*(1+$K24)^MAX(ROUNDUP(IFERROR(DATEDIF($I24-1,CA$15+1,"m"),)/12,)-1,)*Index!BW$22*(CA$15&lt;=$J24)*(1-CA$12)</f>
        <v>155876.64214722591</v>
      </c>
      <c r="CB24" s="747">
        <f>$G24*$H24*(1+$K24)^MAX(ROUNDUP(IFERROR(DATEDIF($I24-1,CB$15+1,"m"),)/12,)-1,)*Index!BX$22*(CB$15&lt;=$J24)*(1-CB$12)</f>
        <v>159773.55820090655</v>
      </c>
      <c r="CC24" s="747">
        <f>$G24*$H24*(1+$K24)^MAX(ROUNDUP(IFERROR(DATEDIF($I24-1,CC$15+1,"m"),)/12,)-1,)*Index!BY$22*(CC$15&lt;=$J24)*(1-CC$12)</f>
        <v>159773.55820090655</v>
      </c>
      <c r="CD24" s="747">
        <f>$G24*$H24*(1+$K24)^MAX(ROUNDUP(IFERROR(DATEDIF($I24-1,CD$15+1,"m"),)/12,)-1,)*Index!BZ$22*(CD$15&lt;=$J24)*(1-CD$12)</f>
        <v>159773.55820090655</v>
      </c>
      <c r="CE24" s="747">
        <f>$G24*$H24*(1+$K24)^MAX(ROUNDUP(IFERROR(DATEDIF($I24-1,CE$15+1,"m"),)/12,)-1,)*Index!CA$22*(CE$15&lt;=$J24)*(1-CE$12)</f>
        <v>159773.55820090655</v>
      </c>
      <c r="CF24" s="747">
        <f>$G24*$H24*(1+$K24)^MAX(ROUNDUP(IFERROR(DATEDIF($I24-1,CF$15+1,"m"),)/12,)-1,)*Index!CB$22*(CF$15&lt;=$J24)*(1-CF$12)</f>
        <v>159773.55820090655</v>
      </c>
      <c r="CG24" s="747">
        <f>$G24*$H24*(1+$K24)^MAX(ROUNDUP(IFERROR(DATEDIF($I24-1,CG$15+1,"m"),)/12,)-1,)*Index!CC$22*(CG$15&lt;=$J24)*(1-CG$12)</f>
        <v>159773.55820090655</v>
      </c>
      <c r="CH24" s="747">
        <f>$G24*$H24*(1+$K24)^MAX(ROUNDUP(IFERROR(DATEDIF($I24-1,CH$15+1,"m"),)/12,)-1,)*Index!CD$22*(CH$15&lt;=$J24)*(1-CH$12)</f>
        <v>159773.55820090655</v>
      </c>
      <c r="CI24" s="747">
        <f>$G24*$H24*(1+$K24)^MAX(ROUNDUP(IFERROR(DATEDIF($I24-1,CI$15+1,"m"),)/12,)-1,)*Index!CE$22*(CI$15&lt;=$J24)*(1-CI$12)</f>
        <v>159773.55820090655</v>
      </c>
      <c r="CJ24" s="747">
        <f>$G24*$H24*(1+$K24)^MAX(ROUNDUP(IFERROR(DATEDIF($I24-1,CJ$15+1,"m"),)/12,)-1,)*Index!CF$22*(CJ$15&lt;=$J24)*(1-CJ$12)</f>
        <v>159773.55820090655</v>
      </c>
      <c r="CK24" s="747">
        <f>$G24*$H24*(1+$K24)^MAX(ROUNDUP(IFERROR(DATEDIF($I24-1,CK$15+1,"m"),)/12,)-1,)*Index!CG$22*(CK$15&lt;=$J24)*(1-CK$12)</f>
        <v>159773.55820090655</v>
      </c>
      <c r="CL24" s="747">
        <f>$G24*$H24*(1+$K24)^MAX(ROUNDUP(IFERROR(DATEDIF($I24-1,CL$15+1,"m"),)/12,)-1,)*Index!CH$22*(CL$15&lt;=$J24)*(1-CL$12)</f>
        <v>159773.55820090655</v>
      </c>
      <c r="CM24" s="747">
        <f>$G24*$H24*(1+$K24)^MAX(ROUNDUP(IFERROR(DATEDIF($I24-1,CM$15+1,"m"),)/12,)-1,)*Index!CI$22*(CM$15&lt;=$J24)*(1-CM$12)</f>
        <v>159773.55820090655</v>
      </c>
      <c r="CN24" s="747">
        <f>$G24*$H24*(1+$K24)^MAX(ROUNDUP(IFERROR(DATEDIF($I24-1,CN$15+1,"m"),)/12,)-1,)*Index!CJ$22*(CN$15&lt;=$J24)*(1-CN$12)</f>
        <v>163767.89715592918</v>
      </c>
      <c r="CO24" s="747">
        <f>$G24*$H24*(1+$K24)^MAX(ROUNDUP(IFERROR(DATEDIF($I24-1,CO$15+1,"m"),)/12,)-1,)*Index!CK$22*(CO$15&lt;=$J24)*(1-CO$12)</f>
        <v>163767.89715592918</v>
      </c>
      <c r="CP24" s="747">
        <f>$G24*$H24*(1+$K24)^MAX(ROUNDUP(IFERROR(DATEDIF($I24-1,CP$15+1,"m"),)/12,)-1,)*Index!CL$22*(CP$15&lt;=$J24)*(1-CP$12)</f>
        <v>163767.89715592918</v>
      </c>
      <c r="CQ24" s="747">
        <f>$G24*$H24*(1+$K24)^MAX(ROUNDUP(IFERROR(DATEDIF($I24-1,CQ$15+1,"m"),)/12,)-1,)*Index!CM$22*(CQ$15&lt;=$J24)*(1-CQ$12)</f>
        <v>163767.89715592918</v>
      </c>
      <c r="CR24" s="747">
        <f>$G24*$H24*(1+$K24)^MAX(ROUNDUP(IFERROR(DATEDIF($I24-1,CR$15+1,"m"),)/12,)-1,)*Index!CN$22*(CR$15&lt;=$J24)*(1-CR$12)</f>
        <v>163767.89715592918</v>
      </c>
      <c r="CS24" s="747">
        <f>$G24*$H24*(1+$K24)^MAX(ROUNDUP(IFERROR(DATEDIF($I24-1,CS$15+1,"m"),)/12,)-1,)*Index!CO$22*(CS$15&lt;=$J24)*(1-CS$12)</f>
        <v>163767.89715592918</v>
      </c>
      <c r="CT24" s="747">
        <f>$G24*$H24*(1+$K24)^MAX(ROUNDUP(IFERROR(DATEDIF($I24-1,CT$15+1,"m"),)/12,)-1,)*Index!CP$22*(CT$15&lt;=$J24)*(1-CT$12)</f>
        <v>163767.89715592918</v>
      </c>
      <c r="CU24" s="747">
        <f>$G24*$H24*(1+$K24)^MAX(ROUNDUP(IFERROR(DATEDIF($I24-1,CU$15+1,"m"),)/12,)-1,)*Index!CQ$22*(CU$15&lt;=$J24)*(1-CU$12)</f>
        <v>163767.89715592918</v>
      </c>
      <c r="CV24" s="747">
        <f>$G24*$H24*(1+$K24)^MAX(ROUNDUP(IFERROR(DATEDIF($I24-1,CV$15+1,"m"),)/12,)-1,)*Index!CR$22*(CV$15&lt;=$J24)*(1-CV$12)</f>
        <v>163767.89715592918</v>
      </c>
      <c r="CW24" s="747">
        <f>$G24*$H24*(1+$K24)^MAX(ROUNDUP(IFERROR(DATEDIF($I24-1,CW$15+1,"m"),)/12,)-1,)*Index!CS$22*(CW$15&lt;=$J24)*(1-CW$12)</f>
        <v>163767.89715592918</v>
      </c>
      <c r="CX24" s="747">
        <f>$G24*$H24*(1+$K24)^MAX(ROUNDUP(IFERROR(DATEDIF($I24-1,CX$15+1,"m"),)/12,)-1,)*Index!CT$22*(CX$15&lt;=$J24)*(1-CX$12)</f>
        <v>163767.89715592918</v>
      </c>
      <c r="CY24" s="747">
        <f>$G24*$H24*(1+$K24)^MAX(ROUNDUP(IFERROR(DATEDIF($I24-1,CY$15+1,"m"),)/12,)-1,)*Index!CU$22*(CY$15&lt;=$J24)*(1-CY$12)</f>
        <v>163767.89715592918</v>
      </c>
      <c r="CZ24" s="747">
        <f>$G24*$H24*(1+$K24)^MAX(ROUNDUP(IFERROR(DATEDIF($I24-1,CZ$15+1,"m"),)/12,)-1,)*Index!CV$22*(CZ$15&lt;=$J24)*(1-CZ$12)</f>
        <v>167862.09458482743</v>
      </c>
      <c r="DA24" s="747">
        <f>$G24*$H24*(1+$K24)^MAX(ROUNDUP(IFERROR(DATEDIF($I24-1,DA$15+1,"m"),)/12,)-1,)*Index!CW$22*(DA$15&lt;=$J24)*(1-DA$12)</f>
        <v>167862.09458482743</v>
      </c>
      <c r="DB24" s="747">
        <f>$G24*$H24*(1+$K24)^MAX(ROUNDUP(IFERROR(DATEDIF($I24-1,DB$15+1,"m"),)/12,)-1,)*Index!CX$22*(DB$15&lt;=$J24)*(1-DB$12)</f>
        <v>167862.09458482743</v>
      </c>
      <c r="DC24" s="747">
        <f>$G24*$H24*(1+$K24)^MAX(ROUNDUP(IFERROR(DATEDIF($I24-1,DC$15+1,"m"),)/12,)-1,)*Index!CY$22*(DC$15&lt;=$J24)*(1-DC$12)</f>
        <v>0</v>
      </c>
      <c r="DD24" s="747">
        <f>$G24*$H24*(1+$K24)^MAX(ROUNDUP(IFERROR(DATEDIF($I24-1,DD$15+1,"m"),)/12,)-1,)*Index!CZ$22*(DD$15&lt;=$J24)*(1-DD$12)</f>
        <v>0</v>
      </c>
      <c r="DE24" s="747">
        <f>$G24*$H24*(1+$K24)^MAX(ROUNDUP(IFERROR(DATEDIF($I24-1,DE$15+1,"m"),)/12,)-1,)*Index!DA$22*(DE$15&lt;=$J24)*(1-DE$12)</f>
        <v>0</v>
      </c>
      <c r="DF24" s="747">
        <f>$G24*$H24*(1+$K24)^MAX(ROUNDUP(IFERROR(DATEDIF($I24-1,DF$15+1,"m"),)/12,)-1,)*Index!DB$22*(DF$15&lt;=$J24)*(1-DF$12)</f>
        <v>0</v>
      </c>
      <c r="DG24" s="747">
        <f>$G24*$H24*(1+$K24)^MAX(ROUNDUP(IFERROR(DATEDIF($I24-1,DG$15+1,"m"),)/12,)-1,)*Index!DC$22*(DG$15&lt;=$J24)*(1-DG$12)</f>
        <v>0</v>
      </c>
      <c r="DH24" s="747">
        <f>$G24*$H24*(1+$K24)^MAX(ROUNDUP(IFERROR(DATEDIF($I24-1,DH$15+1,"m"),)/12,)-1,)*Index!DD$22*(DH$15&lt;=$J24)*(1-DH$12)</f>
        <v>0</v>
      </c>
      <c r="DI24" s="747">
        <f>$G24*$H24*(1+$K24)^MAX(ROUNDUP(IFERROR(DATEDIF($I24-1,DI$15+1,"m"),)/12,)-1,)*Index!DE$22*(DI$15&lt;=$J24)*(1-DI$12)</f>
        <v>0</v>
      </c>
      <c r="DJ24" s="747">
        <f>$G24*$H24*(1+$K24)^MAX(ROUNDUP(IFERROR(DATEDIF($I24-1,DJ$15+1,"m"),)/12,)-1,)*Index!DF$22*(DJ$15&lt;=$J24)*(1-DJ$12)</f>
        <v>0</v>
      </c>
      <c r="DK24" s="747">
        <f>$G24*$H24*(1+$K24)^MAX(ROUNDUP(IFERROR(DATEDIF($I24-1,DK$15+1,"m"),)/12,)-1,)*Index!DG$22*(DK$15&lt;=$J24)*(1-DK$12)</f>
        <v>0</v>
      </c>
      <c r="DL24" s="747">
        <f>$G24*$H24*(1+$K24)^MAX(ROUNDUP(IFERROR(DATEDIF($I24-1,DL$15+1,"m"),)/12,)-1,)*Index!DH$22*(DL$15&lt;=$J24)*(1-DL$12)</f>
        <v>0</v>
      </c>
      <c r="DM24" s="747">
        <f>$G24*$H24*(1+$K24)^MAX(ROUNDUP(IFERROR(DATEDIF($I24-1,DM$15+1,"m"),)/12,)-1,)*Index!DI$22*(DM$15&lt;=$J24)*(1-DM$12)</f>
        <v>0</v>
      </c>
      <c r="DN24" s="747">
        <f>$G24*$H24*(1+$K24)^MAX(ROUNDUP(IFERROR(DATEDIF($I24-1,DN$15+1,"m"),)/12,)-1,)*Index!DJ$22*(DN$15&lt;=$J24)*(1-DN$12)</f>
        <v>0</v>
      </c>
      <c r="DO24" s="747">
        <f>$G24*$H24*(1+$K24)^MAX(ROUNDUP(IFERROR(DATEDIF($I24-1,DO$15+1,"m"),)/12,)-1,)*Index!DK$22*(DO$15&lt;=$J24)*(1-DO$12)</f>
        <v>0</v>
      </c>
      <c r="DP24" s="747">
        <f>$G24*$H24*(1+$K24)^MAX(ROUNDUP(IFERROR(DATEDIF($I24-1,DP$15+1,"m"),)/12,)-1,)*Index!DL$22*(DP$15&lt;=$J24)*(1-DP$12)</f>
        <v>0</v>
      </c>
      <c r="DQ24" s="747">
        <f>$G24*$H24*(1+$K24)^MAX(ROUNDUP(IFERROR(DATEDIF($I24-1,DQ$15+1,"m"),)/12,)-1,)*Index!DM$22*(DQ$15&lt;=$J24)*(1-DQ$12)</f>
        <v>0</v>
      </c>
      <c r="DR24" s="747">
        <f>$G24*$H24*(1+$K24)^MAX(ROUNDUP(IFERROR(DATEDIF($I24-1,DR$15+1,"m"),)/12,)-1,)*Index!DN$22*(DR$15&lt;=$J24)*(1-DR$12)</f>
        <v>0</v>
      </c>
      <c r="DS24" s="747">
        <f>$G24*$H24*(1+$K24)^MAX(ROUNDUP(IFERROR(DATEDIF($I24-1,DS$15+1,"m"),)/12,)-1,)*Index!DO$22*(DS$15&lt;=$J24)*(1-DS$12)</f>
        <v>0</v>
      </c>
      <c r="DT24" s="747">
        <f>$G24*$H24*(1+$K24)^MAX(ROUNDUP(IFERROR(DATEDIF($I24-1,DT$15+1,"m"),)/12,)-1,)*Index!DP$22*(DT$15&lt;=$J24)*(1-DT$12)</f>
        <v>0</v>
      </c>
      <c r="DU24" s="747">
        <f>$G24*$H24*(1+$K24)^MAX(ROUNDUP(IFERROR(DATEDIF($I24-1,DU$15+1,"m"),)/12,)-1,)*Index!DQ$22*(DU$15&lt;=$J24)*(1-DU$12)</f>
        <v>0</v>
      </c>
      <c r="DV24" s="747">
        <f>$G24*$H24*(1+$K24)^MAX(ROUNDUP(IFERROR(DATEDIF($I24-1,DV$15+1,"m"),)/12,)-1,)*Index!DR$22*(DV$15&lt;=$J24)*(1-DV$12)</f>
        <v>0</v>
      </c>
      <c r="DW24" s="747">
        <f>$G24*$H24*(1+$K24)^MAX(ROUNDUP(IFERROR(DATEDIF($I24-1,DW$15+1,"m"),)/12,)-1,)*Index!DS$22*(DW$15&lt;=$J24)*(1-DW$12)</f>
        <v>0</v>
      </c>
      <c r="DX24" s="747">
        <f>$G24*$H24*(1+$K24)^MAX(ROUNDUP(IFERROR(DATEDIF($I24-1,DX$15+1,"m"),)/12,)-1,)*Index!DT$22*(DX$15&lt;=$J24)*(1-DX$12)</f>
        <v>0</v>
      </c>
      <c r="DY24" s="747">
        <f>$G24*$H24*(1+$K24)^MAX(ROUNDUP(IFERROR(DATEDIF($I24-1,DY$15+1,"m"),)/12,)-1,)*Index!DU$22*(DY$15&lt;=$J24)*(1-DY$12)</f>
        <v>0</v>
      </c>
      <c r="DZ24" s="747">
        <f>$G24*$H24*(1+$K24)^MAX(ROUNDUP(IFERROR(DATEDIF($I24-1,DZ$15+1,"m"),)/12,)-1,)*Index!DV$22*(DZ$15&lt;=$J24)*(1-DZ$12)</f>
        <v>0</v>
      </c>
      <c r="EA24" s="747">
        <f>$G24*$H24*(1+$K24)^MAX(ROUNDUP(IFERROR(DATEDIF($I24-1,EA$15+1,"m"),)/12,)-1,)*Index!DW$22*(EA$15&lt;=$J24)*(1-EA$12)</f>
        <v>0</v>
      </c>
      <c r="EB24" s="747">
        <f>$G24*$H24*(1+$K24)^MAX(ROUNDUP(IFERROR(DATEDIF($I24-1,EB$15+1,"m"),)/12,)-1,)*Index!DX$22*(EB$15&lt;=$J24)*(1-EB$12)</f>
        <v>0</v>
      </c>
      <c r="EC24" s="747">
        <f>$G24*$H24*(1+$K24)^MAX(ROUNDUP(IFERROR(DATEDIF($I24-1,EC$15+1,"m"),)/12,)-1,)*Index!DY$22*(EC$15&lt;=$J24)*(1-EC$12)</f>
        <v>0</v>
      </c>
      <c r="ED24" s="747">
        <f>$G24*$H24*(1+$K24)^MAX(ROUNDUP(IFERROR(DATEDIF($I24-1,ED$15+1,"m"),)/12,)-1,)*Index!DZ$22*(ED$15&lt;=$J24)*(1-ED$12)</f>
        <v>0</v>
      </c>
      <c r="EE24" s="747">
        <f>$G24*$H24*(1+$K24)^MAX(ROUNDUP(IFERROR(DATEDIF($I24-1,EE$15+1,"m"),)/12,)-1,)*Index!EA$22*(EE$15&lt;=$J24)*(1-EE$12)</f>
        <v>0</v>
      </c>
      <c r="EF24" s="747">
        <f>$G24*$H24*(1+$K24)^MAX(ROUNDUP(IFERROR(DATEDIF($I24-1,EF$15+1,"m"),)/12,)-1,)*Index!EB$22*(EF$15&lt;=$J24)*(1-EF$12)</f>
        <v>0</v>
      </c>
      <c r="EG24" s="747">
        <f>$G24*$H24*(1+$K24)^MAX(ROUNDUP(IFERROR(DATEDIF($I24-1,EG$15+1,"m"),)/12,)-1,)*Index!EC$22*(EG$15&lt;=$J24)*(1-EG$12)</f>
        <v>0</v>
      </c>
      <c r="EH24" s="747">
        <f>$G24*$H24*(1+$K24)^MAX(ROUNDUP(IFERROR(DATEDIF($I24-1,EH$15+1,"m"),)/12,)-1,)*Index!ED$22*(EH$15&lt;=$J24)*(1-EH$12)</f>
        <v>0</v>
      </c>
      <c r="EI24" s="747">
        <f>$G24*$H24*(1+$K24)^MAX(ROUNDUP(IFERROR(DATEDIF($I24-1,EI$15+1,"m"),)/12,)-1,)*Index!EE$22*(EI$15&lt;=$J24)*(1-EI$12)</f>
        <v>0</v>
      </c>
      <c r="EJ24" s="747">
        <f>$G24*$H24*(1+$K24)^MAX(ROUNDUP(IFERROR(DATEDIF($I24-1,EJ$15+1,"m"),)/12,)-1,)*Index!EF$22*(EJ$15&lt;=$J24)*(1-EJ$12)</f>
        <v>0</v>
      </c>
      <c r="EK24" s="747">
        <f>$G24*$H24*(1+$K24)^MAX(ROUNDUP(IFERROR(DATEDIF($I24-1,EK$15+1,"m"),)/12,)-1,)*Index!EG$22*(EK$15&lt;=$J24)*(1-EK$12)</f>
        <v>0</v>
      </c>
      <c r="EL24" s="747">
        <f>$G24*$H24*(1+$K24)^MAX(ROUNDUP(IFERROR(DATEDIF($I24-1,EL$15+1,"m"),)/12,)-1,)*Index!EH$22*(EL$15&lt;=$J24)*(1-EL$12)</f>
        <v>0</v>
      </c>
      <c r="EM24" s="747">
        <f>$G24*$H24*(1+$K24)^MAX(ROUNDUP(IFERROR(DATEDIF($I24-1,EM$15+1,"m"),)/12,)-1,)*Index!EI$22*(EM$15&lt;=$J24)*(1-EM$12)</f>
        <v>0</v>
      </c>
      <c r="EN24" s="747">
        <f>$G24*$H24*(1+$K24)^MAX(ROUNDUP(IFERROR(DATEDIF($I24-1,EN$15+1,"m"),)/12,)-1,)*Index!EJ$22*(EN$15&lt;=$J24)*(1-EN$12)</f>
        <v>0</v>
      </c>
      <c r="EO24" s="747">
        <f>$G24*$H24*(1+$K24)^MAX(ROUNDUP(IFERROR(DATEDIF($I24-1,EO$15+1,"m"),)/12,)-1,)*Index!EK$22*(EO$15&lt;=$J24)*(1-EO$12)</f>
        <v>0</v>
      </c>
      <c r="EP24" s="747">
        <f>$G24*$H24*(1+$K24)^MAX(ROUNDUP(IFERROR(DATEDIF($I24-1,EP$15+1,"m"),)/12,)-1,)*Index!EL$22*(EP$15&lt;=$J24)*(1-EP$12)</f>
        <v>0</v>
      </c>
      <c r="EQ24" s="747">
        <f>$G24*$H24*(1+$K24)^MAX(ROUNDUP(IFERROR(DATEDIF($I24-1,EQ$15+1,"m"),)/12,)-1,)*Index!EM$22*(EQ$15&lt;=$J24)*(1-EQ$12)</f>
        <v>0</v>
      </c>
      <c r="ER24" s="747">
        <f>$G24*$H24*(1+$K24)^MAX(ROUNDUP(IFERROR(DATEDIF($I24-1,ER$15+1,"m"),)/12,)-1,)*Index!EN$22*(ER$15&lt;=$J24)*(1-ER$12)</f>
        <v>0</v>
      </c>
      <c r="ES24" s="747">
        <f>$G24*$H24*(1+$K24)^MAX(ROUNDUP(IFERROR(DATEDIF($I24-1,ES$15+1,"m"),)/12,)-1,)*Index!EO$22*(ES$15&lt;=$J24)*(1-ES$12)</f>
        <v>0</v>
      </c>
      <c r="ET24" s="747">
        <f>$G24*$H24*(1+$K24)^MAX(ROUNDUP(IFERROR(DATEDIF($I24-1,ET$15+1,"m"),)/12,)-1,)*Index!EP$22*(ET$15&lt;=$J24)*(1-ET$12)</f>
        <v>0</v>
      </c>
      <c r="EU24" s="747">
        <f>$G24*$H24*(1+$K24)^MAX(ROUNDUP(IFERROR(DATEDIF($I24-1,EU$15+1,"m"),)/12,)-1,)*Index!EQ$22*(EU$15&lt;=$J24)*(1-EU$12)</f>
        <v>0</v>
      </c>
    </row>
    <row r="25" spans="3:151" ht="11.25" customHeight="1">
      <c r="C25" s="735"/>
      <c r="D25" s="743">
        <f>'A&amp;R'!V14</f>
        <v>4</v>
      </c>
      <c r="E25" s="704" t="str">
        <f>'A&amp;R'!W14</f>
        <v>쿠팡</v>
      </c>
      <c r="F25" s="704" t="str">
        <f>'A&amp;R'!X14</f>
        <v>상온창고</v>
      </c>
      <c r="G25" s="752">
        <f>'A&amp;R'!AC14/1000</f>
        <v>60</v>
      </c>
      <c r="H25" s="744">
        <f>'A&amp;R'!Y14</f>
        <v>2185.56</v>
      </c>
      <c r="I25" s="745">
        <f>'A&amp;R'!Z14</f>
        <v>45413</v>
      </c>
      <c r="J25" s="745">
        <f>'A&amp;R'!AA14</f>
        <v>49064</v>
      </c>
      <c r="K25" s="754">
        <f>'A&amp;R'!AF14</f>
        <v>2.5000000000000001E-2</v>
      </c>
      <c r="L25" s="746"/>
      <c r="M25" s="722">
        <f>AV25/H25*1000</f>
        <v>67884.49277343748</v>
      </c>
      <c r="N25" s="747">
        <f t="shared" si="7"/>
        <v>13616497.489717213</v>
      </c>
      <c r="O25" s="733"/>
      <c r="P25" s="747">
        <f>$G25*$H25*(1+$K25)^MAX(ROUNDUP(IFERROR(DATEDIF($I25-1,P$15+1,"m"),)/12,)-1,)*Index!L$22*(P$15&lt;=$J25)*(1-P$12)</f>
        <v>0</v>
      </c>
      <c r="Q25" s="747">
        <f>$G25*$H25*(1+$K25)^MAX(ROUNDUP(IFERROR(DATEDIF($I25-1,Q$15+1,"m"),)/12,)-1,)*Index!M$22*(Q$15&lt;=$J25)*(1-Q$12)</f>
        <v>137772.23850000001</v>
      </c>
      <c r="R25" s="747">
        <f>$G25*$H25*(1+$K25)^MAX(ROUNDUP(IFERROR(DATEDIF($I25-1,R$15+1,"m"),)/12,)-1,)*Index!N$22*(R$15&lt;=$J25)*(1-R$12)</f>
        <v>137772.23850000001</v>
      </c>
      <c r="S25" s="747">
        <f>$G25*$H25*(1+$K25)^MAX(ROUNDUP(IFERROR(DATEDIF($I25-1,S$15+1,"m"),)/12,)-1,)*Index!O$22*(S$15&lt;=$J25)*(1-S$12)</f>
        <v>137772.23850000001</v>
      </c>
      <c r="T25" s="747">
        <f>$G25*$H25*(1+$K25)^MAX(ROUNDUP(IFERROR(DATEDIF($I25-1,T$15+1,"m"),)/12,)-1,)*Index!P$22*(T$15&lt;=$J25)*(1-T$12)</f>
        <v>137772.23850000001</v>
      </c>
      <c r="U25" s="747">
        <f>$G25*$H25*(1+$K25)^MAX(ROUNDUP(IFERROR(DATEDIF($I25-1,U$15+1,"m"),)/12,)-1,)*Index!Q$22*(U$15&lt;=$J25)*(1-U$12)</f>
        <v>137772.23850000001</v>
      </c>
      <c r="V25" s="747">
        <f>$G25*$H25*(1+$K25)^MAX(ROUNDUP(IFERROR(DATEDIF($I25-1,V$15+1,"m"),)/12,)-1,)*Index!R$22*(V$15&lt;=$J25)*(1-V$12)</f>
        <v>137772.23850000001</v>
      </c>
      <c r="W25" s="747">
        <f>$G25*$H25*(1+$K25)^MAX(ROUNDUP(IFERROR(DATEDIF($I25-1,W$15+1,"m"),)/12,)-1,)*Index!S$22*(W$15&lt;=$J25)*(1-W$12)</f>
        <v>141216.54446249999</v>
      </c>
      <c r="X25" s="747">
        <f>$G25*$H25*(1+$K25)^MAX(ROUNDUP(IFERROR(DATEDIF($I25-1,X$15+1,"m"),)/12,)-1,)*Index!T$22*(X$15&lt;=$J25)*(1-X$12)</f>
        <v>141216.54446249999</v>
      </c>
      <c r="Y25" s="747">
        <f>$G25*$H25*(1+$K25)^MAX(ROUNDUP(IFERROR(DATEDIF($I25-1,Y$15+1,"m"),)/12,)-1,)*Index!U$22*(Y$15&lt;=$J25)*(1-Y$12)</f>
        <v>141216.54446249999</v>
      </c>
      <c r="Z25" s="747">
        <f>$G25*$H25*(1+$K25)^MAX(ROUNDUP(IFERROR(DATEDIF($I25-1,Z$15+1,"m"),)/12,)-1,)*Index!V$22*(Z$15&lt;=$J25)*(1-Z$12)</f>
        <v>141216.54446249999</v>
      </c>
      <c r="AA25" s="747">
        <f>$G25*$H25*(1+$K25)^MAX(ROUNDUP(IFERROR(DATEDIF($I25-1,AA$15+1,"m"),)/12,)-1,)*Index!W$22*(AA$15&lt;=$J25)*(1-AA$12)</f>
        <v>141216.54446249999</v>
      </c>
      <c r="AB25" s="747">
        <f>$G25*$H25*(1+$K25)^MAX(ROUNDUP(IFERROR(DATEDIF($I25-1,AB$15+1,"m"),)/12,)-1,)*Index!X$22*(AB$15&lt;=$J25)*(1-AB$12)</f>
        <v>141216.54446249999</v>
      </c>
      <c r="AC25" s="747">
        <f>$G25*$H25*(1+$K25)^MAX(ROUNDUP(IFERROR(DATEDIF($I25-1,AC$15+1,"m"),)/12,)-1,)*Index!Y$22*(AC$15&lt;=$J25)*(1-AC$12)</f>
        <v>141216.54446249999</v>
      </c>
      <c r="AD25" s="747">
        <f>$G25*$H25*(1+$K25)^MAX(ROUNDUP(IFERROR(DATEDIF($I25-1,AD$15+1,"m"),)/12,)-1,)*Index!Z$22*(AD$15&lt;=$J25)*(1-AD$12)</f>
        <v>141216.54446249999</v>
      </c>
      <c r="AE25" s="747">
        <f>$G25*$H25*(1+$K25)^MAX(ROUNDUP(IFERROR(DATEDIF($I25-1,AE$15+1,"m"),)/12,)-1,)*Index!AA$22*(AE$15&lt;=$J25)*(1-AE$12)</f>
        <v>141216.54446249999</v>
      </c>
      <c r="AF25" s="747">
        <f>$G25*$H25*(1+$K25)^MAX(ROUNDUP(IFERROR(DATEDIF($I25-1,AF$15+1,"m"),)/12,)-1,)*Index!AB$22*(AF$15&lt;=$J25)*(1-AF$12)</f>
        <v>141216.54446249999</v>
      </c>
      <c r="AG25" s="747">
        <f>$G25*$H25*(1+$K25)^MAX(ROUNDUP(IFERROR(DATEDIF($I25-1,AG$15+1,"m"),)/12,)-1,)*Index!AC$22*(AG$15&lt;=$J25)*(1-AG$12)</f>
        <v>141216.54446249999</v>
      </c>
      <c r="AH25" s="747">
        <f>$G25*$H25*(1+$K25)^MAX(ROUNDUP(IFERROR(DATEDIF($I25-1,AH$15+1,"m"),)/12,)-1,)*Index!AD$22*(AH$15&lt;=$J25)*(1-AH$12)</f>
        <v>141216.54446249999</v>
      </c>
      <c r="AI25" s="747">
        <f>$G25*$H25*(1+$K25)^MAX(ROUNDUP(IFERROR(DATEDIF($I25-1,AI$15+1,"m"),)/12,)-1,)*Index!AE$22*(AI$15&lt;=$J25)*(1-AI$12)</f>
        <v>144746.95807406248</v>
      </c>
      <c r="AJ25" s="747">
        <f>$G25*$H25*(1+$K25)^MAX(ROUNDUP(IFERROR(DATEDIF($I25-1,AJ$15+1,"m"),)/12,)-1,)*Index!AF$22*(AJ$15&lt;=$J25)*(1-AJ$12)</f>
        <v>144746.95807406248</v>
      </c>
      <c r="AK25" s="747">
        <f>$G25*$H25*(1+$K25)^MAX(ROUNDUP(IFERROR(DATEDIF($I25-1,AK$15+1,"m"),)/12,)-1,)*Index!AG$22*(AK$15&lt;=$J25)*(1-AK$12)</f>
        <v>144746.95807406248</v>
      </c>
      <c r="AL25" s="747">
        <f>$G25*$H25*(1+$K25)^MAX(ROUNDUP(IFERROR(DATEDIF($I25-1,AL$15+1,"m"),)/12,)-1,)*Index!AH$22*(AL$15&lt;=$J25)*(1-AL$12)</f>
        <v>144746.95807406248</v>
      </c>
      <c r="AM25" s="747">
        <f>$G25*$H25*(1+$K25)^MAX(ROUNDUP(IFERROR(DATEDIF($I25-1,AM$15+1,"m"),)/12,)-1,)*Index!AI$22*(AM$15&lt;=$J25)*(1-AM$12)</f>
        <v>144746.95807406248</v>
      </c>
      <c r="AN25" s="747">
        <f>$G25*$H25*(1+$K25)^MAX(ROUNDUP(IFERROR(DATEDIF($I25-1,AN$15+1,"m"),)/12,)-1,)*Index!AJ$22*(AN$15&lt;=$J25)*(1-AN$12)</f>
        <v>144746.95807406248</v>
      </c>
      <c r="AO25" s="747">
        <f>$G25*$H25*(1+$K25)^MAX(ROUNDUP(IFERROR(DATEDIF($I25-1,AO$15+1,"m"),)/12,)-1,)*Index!AK$22*(AO$15&lt;=$J25)*(1-AO$12)</f>
        <v>144746.95807406248</v>
      </c>
      <c r="AP25" s="747">
        <f>$G25*$H25*(1+$K25)^MAX(ROUNDUP(IFERROR(DATEDIF($I25-1,AP$15+1,"m"),)/12,)-1,)*Index!AL$22*(AP$15&lt;=$J25)*(1-AP$12)</f>
        <v>144746.95807406248</v>
      </c>
      <c r="AQ25" s="747">
        <f>$G25*$H25*(1+$K25)^MAX(ROUNDUP(IFERROR(DATEDIF($I25-1,AQ$15+1,"m"),)/12,)-1,)*Index!AM$22*(AQ$15&lt;=$J25)*(1-AQ$12)</f>
        <v>144746.95807406248</v>
      </c>
      <c r="AR25" s="747">
        <f>$G25*$H25*(1+$K25)^MAX(ROUNDUP(IFERROR(DATEDIF($I25-1,AR$15+1,"m"),)/12,)-1,)*Index!AN$22*(AR$15&lt;=$J25)*(1-AR$12)</f>
        <v>144746.95807406248</v>
      </c>
      <c r="AS25" s="747">
        <f>$G25*$H25*(1+$K25)^MAX(ROUNDUP(IFERROR(DATEDIF($I25-1,AS$15+1,"m"),)/12,)-1,)*Index!AO$22*(AS$15&lt;=$J25)*(1-AS$12)</f>
        <v>144746.95807406248</v>
      </c>
      <c r="AT25" s="747">
        <f>$G25*$H25*(1+$K25)^MAX(ROUNDUP(IFERROR(DATEDIF($I25-1,AT$15+1,"m"),)/12,)-1,)*Index!AP$22*(AT$15&lt;=$J25)*(1-AT$12)</f>
        <v>144746.95807406248</v>
      </c>
      <c r="AU25" s="747">
        <f>$G25*$H25*(1+$K25)^MAX(ROUNDUP(IFERROR(DATEDIF($I25-1,AU$15+1,"m"),)/12,)-1,)*Index!AQ$22*(AU$15&lt;=$J25)*(1-AU$12)</f>
        <v>148365.63202591403</v>
      </c>
      <c r="AV25" s="747">
        <f>$G25*$H25*(1+$K25)^MAX(ROUNDUP(IFERROR(DATEDIF($I25-1,AV$15+1,"m"),)/12,)-1,)*Index!AR$22*(AV$15&lt;=$J25)*(1-AV$12)</f>
        <v>148365.63202591403</v>
      </c>
      <c r="AW25" s="747">
        <f>$G25*$H25*(1+$K25)^MAX(ROUNDUP(IFERROR(DATEDIF($I25-1,AW$15+1,"m"),)/12,)-1,)*Index!AS$22*(AW$15&lt;=$J25)*(1-AW$12)</f>
        <v>148365.63202591403</v>
      </c>
      <c r="AX25" s="747">
        <f>$G25*$H25*(1+$K25)^MAX(ROUNDUP(IFERROR(DATEDIF($I25-1,AX$15+1,"m"),)/12,)-1,)*Index!AT$22*(AX$15&lt;=$J25)*(1-AX$12)</f>
        <v>148365.63202591403</v>
      </c>
      <c r="AY25" s="747">
        <f>$G25*$H25*(1+$K25)^MAX(ROUNDUP(IFERROR(DATEDIF($I25-1,AY$15+1,"m"),)/12,)-1,)*Index!AU$22*(AY$15&lt;=$J25)*(1-AY$12)</f>
        <v>148365.63202591403</v>
      </c>
      <c r="AZ25" s="747">
        <f>$G25*$H25*(1+$K25)^MAX(ROUNDUP(IFERROR(DATEDIF($I25-1,AZ$15+1,"m"),)/12,)-1,)*Index!AV$22*(AZ$15&lt;=$J25)*(1-AZ$12)</f>
        <v>148365.63202591403</v>
      </c>
      <c r="BA25" s="747">
        <f>$G25*$H25*(1+$K25)^MAX(ROUNDUP(IFERROR(DATEDIF($I25-1,BA$15+1,"m"),)/12,)-1,)*Index!AW$22*(BA$15&lt;=$J25)*(1-BA$12)</f>
        <v>148365.63202591403</v>
      </c>
      <c r="BB25" s="747">
        <f>$G25*$H25*(1+$K25)^MAX(ROUNDUP(IFERROR(DATEDIF($I25-1,BB$15+1,"m"),)/12,)-1,)*Index!AX$22*(BB$15&lt;=$J25)*(1-BB$12)</f>
        <v>148365.63202591403</v>
      </c>
      <c r="BC25" s="747">
        <f>$G25*$H25*(1+$K25)^MAX(ROUNDUP(IFERROR(DATEDIF($I25-1,BC$15+1,"m"),)/12,)-1,)*Index!AY$22*(BC$15&lt;=$J25)*(1-BC$12)</f>
        <v>148365.63202591403</v>
      </c>
      <c r="BD25" s="747">
        <f>$G25*$H25*(1+$K25)^MAX(ROUNDUP(IFERROR(DATEDIF($I25-1,BD$15+1,"m"),)/12,)-1,)*Index!AZ$22*(BD$15&lt;=$J25)*(1-BD$12)</f>
        <v>148365.63202591403</v>
      </c>
      <c r="BE25" s="747">
        <f>$G25*$H25*(1+$K25)^MAX(ROUNDUP(IFERROR(DATEDIF($I25-1,BE$15+1,"m"),)/12,)-1,)*Index!BA$22*(BE$15&lt;=$J25)*(1-BE$12)</f>
        <v>148365.63202591403</v>
      </c>
      <c r="BF25" s="747">
        <f>$G25*$H25*(1+$K25)^MAX(ROUNDUP(IFERROR(DATEDIF($I25-1,BF$15+1,"m"),)/12,)-1,)*Index!BB$22*(BF$15&lt;=$J25)*(1-BF$12)</f>
        <v>148365.63202591403</v>
      </c>
      <c r="BG25" s="747">
        <f>$G25*$H25*(1+$K25)^MAX(ROUNDUP(IFERROR(DATEDIF($I25-1,BG$15+1,"m"),)/12,)-1,)*Index!BC$22*(BG$15&lt;=$J25)*(1-BG$12)</f>
        <v>152074.77282656185</v>
      </c>
      <c r="BH25" s="747">
        <f>$G25*$H25*(1+$K25)^MAX(ROUNDUP(IFERROR(DATEDIF($I25-1,BH$15+1,"m"),)/12,)-1,)*Index!BD$22*(BH$15&lt;=$J25)*(1-BH$12)</f>
        <v>152074.77282656185</v>
      </c>
      <c r="BI25" s="747">
        <f>$G25*$H25*(1+$K25)^MAX(ROUNDUP(IFERROR(DATEDIF($I25-1,BI$15+1,"m"),)/12,)-1,)*Index!BE$22*(BI$15&lt;=$J25)*(1-BI$12)</f>
        <v>152074.77282656185</v>
      </c>
      <c r="BJ25" s="747">
        <f>$G25*$H25*(1+$K25)^MAX(ROUNDUP(IFERROR(DATEDIF($I25-1,BJ$15+1,"m"),)/12,)-1,)*Index!BF$22*(BJ$15&lt;=$J25)*(1-BJ$12)</f>
        <v>152074.77282656185</v>
      </c>
      <c r="BK25" s="747">
        <f>$G25*$H25*(1+$K25)^MAX(ROUNDUP(IFERROR(DATEDIF($I25-1,BK$15+1,"m"),)/12,)-1,)*Index!BG$22*(BK$15&lt;=$J25)*(1-BK$12)</f>
        <v>152074.77282656185</v>
      </c>
      <c r="BL25" s="747">
        <f>$G25*$H25*(1+$K25)^MAX(ROUNDUP(IFERROR(DATEDIF($I25-1,BL$15+1,"m"),)/12,)-1,)*Index!BH$22*(BL$15&lt;=$J25)*(1-BL$12)</f>
        <v>152074.77282656185</v>
      </c>
      <c r="BM25" s="747">
        <f>$G25*$H25*(1+$K25)^MAX(ROUNDUP(IFERROR(DATEDIF($I25-1,BM$15+1,"m"),)/12,)-1,)*Index!BI$22*(BM$15&lt;=$J25)*(1-BM$12)</f>
        <v>152074.77282656185</v>
      </c>
      <c r="BN25" s="747">
        <f>$G25*$H25*(1+$K25)^MAX(ROUNDUP(IFERROR(DATEDIF($I25-1,BN$15+1,"m"),)/12,)-1,)*Index!BJ$22*(BN$15&lt;=$J25)*(1-BN$12)</f>
        <v>152074.77282656185</v>
      </c>
      <c r="BO25" s="747">
        <f>$G25*$H25*(1+$K25)^MAX(ROUNDUP(IFERROR(DATEDIF($I25-1,BO$15+1,"m"),)/12,)-1,)*Index!BK$22*(BO$15&lt;=$J25)*(1-BO$12)</f>
        <v>152074.77282656185</v>
      </c>
      <c r="BP25" s="747">
        <f>$G25*$H25*(1+$K25)^MAX(ROUNDUP(IFERROR(DATEDIF($I25-1,BP$15+1,"m"),)/12,)-1,)*Index!BL$22*(BP$15&lt;=$J25)*(1-BP$12)</f>
        <v>152074.77282656185</v>
      </c>
      <c r="BQ25" s="747">
        <f>$G25*$H25*(1+$K25)^MAX(ROUNDUP(IFERROR(DATEDIF($I25-1,BQ$15+1,"m"),)/12,)-1,)*Index!BM$22*(BQ$15&lt;=$J25)*(1-BQ$12)</f>
        <v>152074.77282656185</v>
      </c>
      <c r="BR25" s="747">
        <f>$G25*$H25*(1+$K25)^MAX(ROUNDUP(IFERROR(DATEDIF($I25-1,BR$15+1,"m"),)/12,)-1,)*Index!BN$22*(BR$15&lt;=$J25)*(1-BR$12)</f>
        <v>152074.77282656185</v>
      </c>
      <c r="BS25" s="747">
        <f>$G25*$H25*(1+$K25)^MAX(ROUNDUP(IFERROR(DATEDIF($I25-1,BS$15+1,"m"),)/12,)-1,)*Index!BO$22*(BS$15&lt;=$J25)*(1-BS$12)</f>
        <v>155876.64214722591</v>
      </c>
      <c r="BT25" s="747">
        <f>$G25*$H25*(1+$K25)^MAX(ROUNDUP(IFERROR(DATEDIF($I25-1,BT$15+1,"m"),)/12,)-1,)*Index!BP$22*(BT$15&lt;=$J25)*(1-BT$12)</f>
        <v>155876.64214722591</v>
      </c>
      <c r="BU25" s="747">
        <f>$G25*$H25*(1+$K25)^MAX(ROUNDUP(IFERROR(DATEDIF($I25-1,BU$15+1,"m"),)/12,)-1,)*Index!BQ$22*(BU$15&lt;=$J25)*(1-BU$12)</f>
        <v>155876.64214722591</v>
      </c>
      <c r="BV25" s="747">
        <f>$G25*$H25*(1+$K25)^MAX(ROUNDUP(IFERROR(DATEDIF($I25-1,BV$15+1,"m"),)/12,)-1,)*Index!BR$22*(BV$15&lt;=$J25)*(1-BV$12)</f>
        <v>155876.64214722591</v>
      </c>
      <c r="BW25" s="747">
        <f>$G25*$H25*(1+$K25)^MAX(ROUNDUP(IFERROR(DATEDIF($I25-1,BW$15+1,"m"),)/12,)-1,)*Index!BS$22*(BW$15&lt;=$J25)*(1-BW$12)</f>
        <v>155876.64214722591</v>
      </c>
      <c r="BX25" s="747">
        <f>$G25*$H25*(1+$K25)^MAX(ROUNDUP(IFERROR(DATEDIF($I25-1,BX$15+1,"m"),)/12,)-1,)*Index!BT$22*(BX$15&lt;=$J25)*(1-BX$12)</f>
        <v>155876.64214722591</v>
      </c>
      <c r="BY25" s="747">
        <f>$G25*$H25*(1+$K25)^MAX(ROUNDUP(IFERROR(DATEDIF($I25-1,BY$15+1,"m"),)/12,)-1,)*Index!BU$22*(BY$15&lt;=$J25)*(1-BY$12)</f>
        <v>155876.64214722591</v>
      </c>
      <c r="BZ25" s="747">
        <f>$G25*$H25*(1+$K25)^MAX(ROUNDUP(IFERROR(DATEDIF($I25-1,BZ$15+1,"m"),)/12,)-1,)*Index!BV$22*(BZ$15&lt;=$J25)*(1-BZ$12)</f>
        <v>155876.64214722591</v>
      </c>
      <c r="CA25" s="747">
        <f>$G25*$H25*(1+$K25)^MAX(ROUNDUP(IFERROR(DATEDIF($I25-1,CA$15+1,"m"),)/12,)-1,)*Index!BW$22*(CA$15&lt;=$J25)*(1-CA$12)</f>
        <v>155876.64214722591</v>
      </c>
      <c r="CB25" s="747">
        <f>$G25*$H25*(1+$K25)^MAX(ROUNDUP(IFERROR(DATEDIF($I25-1,CB$15+1,"m"),)/12,)-1,)*Index!BX$22*(CB$15&lt;=$J25)*(1-CB$12)</f>
        <v>155876.64214722591</v>
      </c>
      <c r="CC25" s="747">
        <f>$G25*$H25*(1+$K25)^MAX(ROUNDUP(IFERROR(DATEDIF($I25-1,CC$15+1,"m"),)/12,)-1,)*Index!BY$22*(CC$15&lt;=$J25)*(1-CC$12)</f>
        <v>155876.64214722591</v>
      </c>
      <c r="CD25" s="747">
        <f>$G25*$H25*(1+$K25)^MAX(ROUNDUP(IFERROR(DATEDIF($I25-1,CD$15+1,"m"),)/12,)-1,)*Index!BZ$22*(CD$15&lt;=$J25)*(1-CD$12)</f>
        <v>155876.64214722591</v>
      </c>
      <c r="CE25" s="747">
        <f>$G25*$H25*(1+$K25)^MAX(ROUNDUP(IFERROR(DATEDIF($I25-1,CE$15+1,"m"),)/12,)-1,)*Index!CA$22*(CE$15&lt;=$J25)*(1-CE$12)</f>
        <v>159773.55820090655</v>
      </c>
      <c r="CF25" s="747">
        <f>$G25*$H25*(1+$K25)^MAX(ROUNDUP(IFERROR(DATEDIF($I25-1,CF$15+1,"m"),)/12,)-1,)*Index!CB$22*(CF$15&lt;=$J25)*(1-CF$12)</f>
        <v>159773.55820090655</v>
      </c>
      <c r="CG25" s="747">
        <f>$G25*$H25*(1+$K25)^MAX(ROUNDUP(IFERROR(DATEDIF($I25-1,CG$15+1,"m"),)/12,)-1,)*Index!CC$22*(CG$15&lt;=$J25)*(1-CG$12)</f>
        <v>159773.55820090655</v>
      </c>
      <c r="CH25" s="747">
        <f>$G25*$H25*(1+$K25)^MAX(ROUNDUP(IFERROR(DATEDIF($I25-1,CH$15+1,"m"),)/12,)-1,)*Index!CD$22*(CH$15&lt;=$J25)*(1-CH$12)</f>
        <v>159773.55820090655</v>
      </c>
      <c r="CI25" s="747">
        <f>$G25*$H25*(1+$K25)^MAX(ROUNDUP(IFERROR(DATEDIF($I25-1,CI$15+1,"m"),)/12,)-1,)*Index!CE$22*(CI$15&lt;=$J25)*(1-CI$12)</f>
        <v>159773.55820090655</v>
      </c>
      <c r="CJ25" s="747">
        <f>$G25*$H25*(1+$K25)^MAX(ROUNDUP(IFERROR(DATEDIF($I25-1,CJ$15+1,"m"),)/12,)-1,)*Index!CF$22*(CJ$15&lt;=$J25)*(1-CJ$12)</f>
        <v>159773.55820090655</v>
      </c>
      <c r="CK25" s="747">
        <f>$G25*$H25*(1+$K25)^MAX(ROUNDUP(IFERROR(DATEDIF($I25-1,CK$15+1,"m"),)/12,)-1,)*Index!CG$22*(CK$15&lt;=$J25)*(1-CK$12)</f>
        <v>159773.55820090655</v>
      </c>
      <c r="CL25" s="747">
        <f>$G25*$H25*(1+$K25)^MAX(ROUNDUP(IFERROR(DATEDIF($I25-1,CL$15+1,"m"),)/12,)-1,)*Index!CH$22*(CL$15&lt;=$J25)*(1-CL$12)</f>
        <v>159773.55820090655</v>
      </c>
      <c r="CM25" s="747">
        <f>$G25*$H25*(1+$K25)^MAX(ROUNDUP(IFERROR(DATEDIF($I25-1,CM$15+1,"m"),)/12,)-1,)*Index!CI$22*(CM$15&lt;=$J25)*(1-CM$12)</f>
        <v>159773.55820090655</v>
      </c>
      <c r="CN25" s="747">
        <f>$G25*$H25*(1+$K25)^MAX(ROUNDUP(IFERROR(DATEDIF($I25-1,CN$15+1,"m"),)/12,)-1,)*Index!CJ$22*(CN$15&lt;=$J25)*(1-CN$12)</f>
        <v>159773.55820090655</v>
      </c>
      <c r="CO25" s="747">
        <f>$G25*$H25*(1+$K25)^MAX(ROUNDUP(IFERROR(DATEDIF($I25-1,CO$15+1,"m"),)/12,)-1,)*Index!CK$22*(CO$15&lt;=$J25)*(1-CO$12)</f>
        <v>159773.55820090655</v>
      </c>
      <c r="CP25" s="747">
        <f>$G25*$H25*(1+$K25)^MAX(ROUNDUP(IFERROR(DATEDIF($I25-1,CP$15+1,"m"),)/12,)-1,)*Index!CL$22*(CP$15&lt;=$J25)*(1-CP$12)</f>
        <v>159773.55820090655</v>
      </c>
      <c r="CQ25" s="747">
        <f>$G25*$H25*(1+$K25)^MAX(ROUNDUP(IFERROR(DATEDIF($I25-1,CQ$15+1,"m"),)/12,)-1,)*Index!CM$22*(CQ$15&lt;=$J25)*(1-CQ$12)</f>
        <v>163767.89715592918</v>
      </c>
      <c r="CR25" s="747">
        <f>$G25*$H25*(1+$K25)^MAX(ROUNDUP(IFERROR(DATEDIF($I25-1,CR$15+1,"m"),)/12,)-1,)*Index!CN$22*(CR$15&lt;=$J25)*(1-CR$12)</f>
        <v>163767.89715592918</v>
      </c>
      <c r="CS25" s="747">
        <f>$G25*$H25*(1+$K25)^MAX(ROUNDUP(IFERROR(DATEDIF($I25-1,CS$15+1,"m"),)/12,)-1,)*Index!CO$22*(CS$15&lt;=$J25)*(1-CS$12)</f>
        <v>163767.89715592918</v>
      </c>
      <c r="CT25" s="747">
        <f>$G25*$H25*(1+$K25)^MAX(ROUNDUP(IFERROR(DATEDIF($I25-1,CT$15+1,"m"),)/12,)-1,)*Index!CP$22*(CT$15&lt;=$J25)*(1-CT$12)</f>
        <v>163767.89715592918</v>
      </c>
      <c r="CU25" s="747">
        <f>$G25*$H25*(1+$K25)^MAX(ROUNDUP(IFERROR(DATEDIF($I25-1,CU$15+1,"m"),)/12,)-1,)*Index!CQ$22*(CU$15&lt;=$J25)*(1-CU$12)</f>
        <v>163767.89715592918</v>
      </c>
      <c r="CV25" s="747">
        <f>$G25*$H25*(1+$K25)^MAX(ROUNDUP(IFERROR(DATEDIF($I25-1,CV$15+1,"m"),)/12,)-1,)*Index!CR$22*(CV$15&lt;=$J25)*(1-CV$12)</f>
        <v>163767.89715592918</v>
      </c>
      <c r="CW25" s="747">
        <f>$G25*$H25*(1+$K25)^MAX(ROUNDUP(IFERROR(DATEDIF($I25-1,CW$15+1,"m"),)/12,)-1,)*Index!CS$22*(CW$15&lt;=$J25)*(1-CW$12)</f>
        <v>163767.89715592918</v>
      </c>
      <c r="CX25" s="747">
        <f>$G25*$H25*(1+$K25)^MAX(ROUNDUP(IFERROR(DATEDIF($I25-1,CX$15+1,"m"),)/12,)-1,)*Index!CT$22*(CX$15&lt;=$J25)*(1-CX$12)</f>
        <v>163767.89715592918</v>
      </c>
      <c r="CY25" s="747">
        <f>$G25*$H25*(1+$K25)^MAX(ROUNDUP(IFERROR(DATEDIF($I25-1,CY$15+1,"m"),)/12,)-1,)*Index!CU$22*(CY$15&lt;=$J25)*(1-CY$12)</f>
        <v>163767.89715592918</v>
      </c>
      <c r="CZ25" s="747">
        <f>$G25*$H25*(1+$K25)^MAX(ROUNDUP(IFERROR(DATEDIF($I25-1,CZ$15+1,"m"),)/12,)-1,)*Index!CV$22*(CZ$15&lt;=$J25)*(1-CZ$12)</f>
        <v>163767.89715592918</v>
      </c>
      <c r="DA25" s="747">
        <f>$G25*$H25*(1+$K25)^MAX(ROUNDUP(IFERROR(DATEDIF($I25-1,DA$15+1,"m"),)/12,)-1,)*Index!CW$22*(DA$15&lt;=$J25)*(1-DA$12)</f>
        <v>163767.89715592918</v>
      </c>
      <c r="DB25" s="747">
        <f>$G25*$H25*(1+$K25)^MAX(ROUNDUP(IFERROR(DATEDIF($I25-1,DB$15+1,"m"),)/12,)-1,)*Index!CX$22*(DB$15&lt;=$J25)*(1-DB$12)</f>
        <v>163767.89715592918</v>
      </c>
      <c r="DC25" s="747">
        <f>$G25*$H25*(1+$K25)^MAX(ROUNDUP(IFERROR(DATEDIF($I25-1,DC$15+1,"m"),)/12,)-1,)*Index!CY$22*(DC$15&lt;=$J25)*(1-DC$12)</f>
        <v>0</v>
      </c>
      <c r="DD25" s="747">
        <f>$G25*$H25*(1+$K25)^MAX(ROUNDUP(IFERROR(DATEDIF($I25-1,DD$15+1,"m"),)/12,)-1,)*Index!CZ$22*(DD$15&lt;=$J25)*(1-DD$12)</f>
        <v>0</v>
      </c>
      <c r="DE25" s="747">
        <f>$G25*$H25*(1+$K25)^MAX(ROUNDUP(IFERROR(DATEDIF($I25-1,DE$15+1,"m"),)/12,)-1,)*Index!DA$22*(DE$15&lt;=$J25)*(1-DE$12)</f>
        <v>0</v>
      </c>
      <c r="DF25" s="747">
        <f>$G25*$H25*(1+$K25)^MAX(ROUNDUP(IFERROR(DATEDIF($I25-1,DF$15+1,"m"),)/12,)-1,)*Index!DB$22*(DF$15&lt;=$J25)*(1-DF$12)</f>
        <v>0</v>
      </c>
      <c r="DG25" s="747">
        <f>$G25*$H25*(1+$K25)^MAX(ROUNDUP(IFERROR(DATEDIF($I25-1,DG$15+1,"m"),)/12,)-1,)*Index!DC$22*(DG$15&lt;=$J25)*(1-DG$12)</f>
        <v>0</v>
      </c>
      <c r="DH25" s="747">
        <f>$G25*$H25*(1+$K25)^MAX(ROUNDUP(IFERROR(DATEDIF($I25-1,DH$15+1,"m"),)/12,)-1,)*Index!DD$22*(DH$15&lt;=$J25)*(1-DH$12)</f>
        <v>0</v>
      </c>
      <c r="DI25" s="747">
        <f>$G25*$H25*(1+$K25)^MAX(ROUNDUP(IFERROR(DATEDIF($I25-1,DI$15+1,"m"),)/12,)-1,)*Index!DE$22*(DI$15&lt;=$J25)*(1-DI$12)</f>
        <v>0</v>
      </c>
      <c r="DJ25" s="747">
        <f>$G25*$H25*(1+$K25)^MAX(ROUNDUP(IFERROR(DATEDIF($I25-1,DJ$15+1,"m"),)/12,)-1,)*Index!DF$22*(DJ$15&lt;=$J25)*(1-DJ$12)</f>
        <v>0</v>
      </c>
      <c r="DK25" s="747">
        <f>$G25*$H25*(1+$K25)^MAX(ROUNDUP(IFERROR(DATEDIF($I25-1,DK$15+1,"m"),)/12,)-1,)*Index!DG$22*(DK$15&lt;=$J25)*(1-DK$12)</f>
        <v>0</v>
      </c>
      <c r="DL25" s="747">
        <f>$G25*$H25*(1+$K25)^MAX(ROUNDUP(IFERROR(DATEDIF($I25-1,DL$15+1,"m"),)/12,)-1,)*Index!DH$22*(DL$15&lt;=$J25)*(1-DL$12)</f>
        <v>0</v>
      </c>
      <c r="DM25" s="747">
        <f>$G25*$H25*(1+$K25)^MAX(ROUNDUP(IFERROR(DATEDIF($I25-1,DM$15+1,"m"),)/12,)-1,)*Index!DI$22*(DM$15&lt;=$J25)*(1-DM$12)</f>
        <v>0</v>
      </c>
      <c r="DN25" s="747">
        <f>$G25*$H25*(1+$K25)^MAX(ROUNDUP(IFERROR(DATEDIF($I25-1,DN$15+1,"m"),)/12,)-1,)*Index!DJ$22*(DN$15&lt;=$J25)*(1-DN$12)</f>
        <v>0</v>
      </c>
      <c r="DO25" s="747">
        <f>$G25*$H25*(1+$K25)^MAX(ROUNDUP(IFERROR(DATEDIF($I25-1,DO$15+1,"m"),)/12,)-1,)*Index!DK$22*(DO$15&lt;=$J25)*(1-DO$12)</f>
        <v>0</v>
      </c>
      <c r="DP25" s="747">
        <f>$G25*$H25*(1+$K25)^MAX(ROUNDUP(IFERROR(DATEDIF($I25-1,DP$15+1,"m"),)/12,)-1,)*Index!DL$22*(DP$15&lt;=$J25)*(1-DP$12)</f>
        <v>0</v>
      </c>
      <c r="DQ25" s="747">
        <f>$G25*$H25*(1+$K25)^MAX(ROUNDUP(IFERROR(DATEDIF($I25-1,DQ$15+1,"m"),)/12,)-1,)*Index!DM$22*(DQ$15&lt;=$J25)*(1-DQ$12)</f>
        <v>0</v>
      </c>
      <c r="DR25" s="747">
        <f>$G25*$H25*(1+$K25)^MAX(ROUNDUP(IFERROR(DATEDIF($I25-1,DR$15+1,"m"),)/12,)-1,)*Index!DN$22*(DR$15&lt;=$J25)*(1-DR$12)</f>
        <v>0</v>
      </c>
      <c r="DS25" s="747">
        <f>$G25*$H25*(1+$K25)^MAX(ROUNDUP(IFERROR(DATEDIF($I25-1,DS$15+1,"m"),)/12,)-1,)*Index!DO$22*(DS$15&lt;=$J25)*(1-DS$12)</f>
        <v>0</v>
      </c>
      <c r="DT25" s="747">
        <f>$G25*$H25*(1+$K25)^MAX(ROUNDUP(IFERROR(DATEDIF($I25-1,DT$15+1,"m"),)/12,)-1,)*Index!DP$22*(DT$15&lt;=$J25)*(1-DT$12)</f>
        <v>0</v>
      </c>
      <c r="DU25" s="747">
        <f>$G25*$H25*(1+$K25)^MAX(ROUNDUP(IFERROR(DATEDIF($I25-1,DU$15+1,"m"),)/12,)-1,)*Index!DQ$22*(DU$15&lt;=$J25)*(1-DU$12)</f>
        <v>0</v>
      </c>
      <c r="DV25" s="747">
        <f>$G25*$H25*(1+$K25)^MAX(ROUNDUP(IFERROR(DATEDIF($I25-1,DV$15+1,"m"),)/12,)-1,)*Index!DR$22*(DV$15&lt;=$J25)*(1-DV$12)</f>
        <v>0</v>
      </c>
      <c r="DW25" s="747">
        <f>$G25*$H25*(1+$K25)^MAX(ROUNDUP(IFERROR(DATEDIF($I25-1,DW$15+1,"m"),)/12,)-1,)*Index!DS$22*(DW$15&lt;=$J25)*(1-DW$12)</f>
        <v>0</v>
      </c>
      <c r="DX25" s="747">
        <f>$G25*$H25*(1+$K25)^MAX(ROUNDUP(IFERROR(DATEDIF($I25-1,DX$15+1,"m"),)/12,)-1,)*Index!DT$22*(DX$15&lt;=$J25)*(1-DX$12)</f>
        <v>0</v>
      </c>
      <c r="DY25" s="747">
        <f>$G25*$H25*(1+$K25)^MAX(ROUNDUP(IFERROR(DATEDIF($I25-1,DY$15+1,"m"),)/12,)-1,)*Index!DU$22*(DY$15&lt;=$J25)*(1-DY$12)</f>
        <v>0</v>
      </c>
      <c r="DZ25" s="747">
        <f>$G25*$H25*(1+$K25)^MAX(ROUNDUP(IFERROR(DATEDIF($I25-1,DZ$15+1,"m"),)/12,)-1,)*Index!DV$22*(DZ$15&lt;=$J25)*(1-DZ$12)</f>
        <v>0</v>
      </c>
      <c r="EA25" s="747">
        <f>$G25*$H25*(1+$K25)^MAX(ROUNDUP(IFERROR(DATEDIF($I25-1,EA$15+1,"m"),)/12,)-1,)*Index!DW$22*(EA$15&lt;=$J25)*(1-EA$12)</f>
        <v>0</v>
      </c>
      <c r="EB25" s="747">
        <f>$G25*$H25*(1+$K25)^MAX(ROUNDUP(IFERROR(DATEDIF($I25-1,EB$15+1,"m"),)/12,)-1,)*Index!DX$22*(EB$15&lt;=$J25)*(1-EB$12)</f>
        <v>0</v>
      </c>
      <c r="EC25" s="747">
        <f>$G25*$H25*(1+$K25)^MAX(ROUNDUP(IFERROR(DATEDIF($I25-1,EC$15+1,"m"),)/12,)-1,)*Index!DY$22*(EC$15&lt;=$J25)*(1-EC$12)</f>
        <v>0</v>
      </c>
      <c r="ED25" s="747">
        <f>$G25*$H25*(1+$K25)^MAX(ROUNDUP(IFERROR(DATEDIF($I25-1,ED$15+1,"m"),)/12,)-1,)*Index!DZ$22*(ED$15&lt;=$J25)*(1-ED$12)</f>
        <v>0</v>
      </c>
      <c r="EE25" s="747">
        <f>$G25*$H25*(1+$K25)^MAX(ROUNDUP(IFERROR(DATEDIF($I25-1,EE$15+1,"m"),)/12,)-1,)*Index!EA$22*(EE$15&lt;=$J25)*(1-EE$12)</f>
        <v>0</v>
      </c>
      <c r="EF25" s="747">
        <f>$G25*$H25*(1+$K25)^MAX(ROUNDUP(IFERROR(DATEDIF($I25-1,EF$15+1,"m"),)/12,)-1,)*Index!EB$22*(EF$15&lt;=$J25)*(1-EF$12)</f>
        <v>0</v>
      </c>
      <c r="EG25" s="747">
        <f>$G25*$H25*(1+$K25)^MAX(ROUNDUP(IFERROR(DATEDIF($I25-1,EG$15+1,"m"),)/12,)-1,)*Index!EC$22*(EG$15&lt;=$J25)*(1-EG$12)</f>
        <v>0</v>
      </c>
      <c r="EH25" s="747">
        <f>$G25*$H25*(1+$K25)^MAX(ROUNDUP(IFERROR(DATEDIF($I25-1,EH$15+1,"m"),)/12,)-1,)*Index!ED$22*(EH$15&lt;=$J25)*(1-EH$12)</f>
        <v>0</v>
      </c>
      <c r="EI25" s="747">
        <f>$G25*$H25*(1+$K25)^MAX(ROUNDUP(IFERROR(DATEDIF($I25-1,EI$15+1,"m"),)/12,)-1,)*Index!EE$22*(EI$15&lt;=$J25)*(1-EI$12)</f>
        <v>0</v>
      </c>
      <c r="EJ25" s="747">
        <f>$G25*$H25*(1+$K25)^MAX(ROUNDUP(IFERROR(DATEDIF($I25-1,EJ$15+1,"m"),)/12,)-1,)*Index!EF$22*(EJ$15&lt;=$J25)*(1-EJ$12)</f>
        <v>0</v>
      </c>
      <c r="EK25" s="747">
        <f>$G25*$H25*(1+$K25)^MAX(ROUNDUP(IFERROR(DATEDIF($I25-1,EK$15+1,"m"),)/12,)-1,)*Index!EG$22*(EK$15&lt;=$J25)*(1-EK$12)</f>
        <v>0</v>
      </c>
      <c r="EL25" s="747">
        <f>$G25*$H25*(1+$K25)^MAX(ROUNDUP(IFERROR(DATEDIF($I25-1,EL$15+1,"m"),)/12,)-1,)*Index!EH$22*(EL$15&lt;=$J25)*(1-EL$12)</f>
        <v>0</v>
      </c>
      <c r="EM25" s="747">
        <f>$G25*$H25*(1+$K25)^MAX(ROUNDUP(IFERROR(DATEDIF($I25-1,EM$15+1,"m"),)/12,)-1,)*Index!EI$22*(EM$15&lt;=$J25)*(1-EM$12)</f>
        <v>0</v>
      </c>
      <c r="EN25" s="747">
        <f>$G25*$H25*(1+$K25)^MAX(ROUNDUP(IFERROR(DATEDIF($I25-1,EN$15+1,"m"),)/12,)-1,)*Index!EJ$22*(EN$15&lt;=$J25)*(1-EN$12)</f>
        <v>0</v>
      </c>
      <c r="EO25" s="747">
        <f>$G25*$H25*(1+$K25)^MAX(ROUNDUP(IFERROR(DATEDIF($I25-1,EO$15+1,"m"),)/12,)-1,)*Index!EK$22*(EO$15&lt;=$J25)*(1-EO$12)</f>
        <v>0</v>
      </c>
      <c r="EP25" s="747">
        <f>$G25*$H25*(1+$K25)^MAX(ROUNDUP(IFERROR(DATEDIF($I25-1,EP$15+1,"m"),)/12,)-1,)*Index!EL$22*(EP$15&lt;=$J25)*(1-EP$12)</f>
        <v>0</v>
      </c>
      <c r="EQ25" s="747">
        <f>$G25*$H25*(1+$K25)^MAX(ROUNDUP(IFERROR(DATEDIF($I25-1,EQ$15+1,"m"),)/12,)-1,)*Index!EM$22*(EQ$15&lt;=$J25)*(1-EQ$12)</f>
        <v>0</v>
      </c>
      <c r="ER25" s="747">
        <f>$G25*$H25*(1+$K25)^MAX(ROUNDUP(IFERROR(DATEDIF($I25-1,ER$15+1,"m"),)/12,)-1,)*Index!EN$22*(ER$15&lt;=$J25)*(1-ER$12)</f>
        <v>0</v>
      </c>
      <c r="ES25" s="747">
        <f>$G25*$H25*(1+$K25)^MAX(ROUNDUP(IFERROR(DATEDIF($I25-1,ES$15+1,"m"),)/12,)-1,)*Index!EO$22*(ES$15&lt;=$J25)*(1-ES$12)</f>
        <v>0</v>
      </c>
      <c r="ET25" s="747">
        <f>$G25*$H25*(1+$K25)^MAX(ROUNDUP(IFERROR(DATEDIF($I25-1,ET$15+1,"m"),)/12,)-1,)*Index!EP$22*(ET$15&lt;=$J25)*(1-ET$12)</f>
        <v>0</v>
      </c>
      <c r="EU25" s="747">
        <f>$G25*$H25*(1+$K25)^MAX(ROUNDUP(IFERROR(DATEDIF($I25-1,EU$15+1,"m"),)/12,)-1,)*Index!EQ$22*(EU$15&lt;=$J25)*(1-EU$12)</f>
        <v>0</v>
      </c>
    </row>
    <row r="26" spans="3:151" ht="11.25" customHeight="1">
      <c r="C26" s="735"/>
      <c r="D26" s="743">
        <f>'A&amp;R'!V15</f>
        <v>3</v>
      </c>
      <c r="E26" s="704" t="str">
        <f>'A&amp;R'!W15</f>
        <v>농심</v>
      </c>
      <c r="F26" s="704" t="str">
        <f>'A&amp;R'!X15</f>
        <v>상온창고</v>
      </c>
      <c r="G26" s="752">
        <f>'A&amp;R'!AC15/1000</f>
        <v>49</v>
      </c>
      <c r="H26" s="744">
        <f>'A&amp;R'!Y15</f>
        <v>2185.56</v>
      </c>
      <c r="I26" s="745">
        <f>'A&amp;R'!Z15</f>
        <v>45503</v>
      </c>
      <c r="J26" s="745">
        <f>'A&amp;R'!AA15</f>
        <v>47328</v>
      </c>
      <c r="K26" s="754">
        <f>'A&amp;R'!AF15</f>
        <v>0</v>
      </c>
      <c r="L26" s="746"/>
      <c r="M26" s="722"/>
      <c r="N26" s="747">
        <f t="shared" si="7"/>
        <v>3426958.0799999987</v>
      </c>
      <c r="O26" s="733"/>
      <c r="P26" s="747">
        <f>$G26*$H26*(1+$K26)^MAX(ROUNDUP(IFERROR(DATEDIF($I26-1,P$15+1,"m"),)/12,)-1,)*Index!L$22*(P$15&lt;=$J26)*(1-P$12)</f>
        <v>0</v>
      </c>
      <c r="Q26" s="747">
        <f>$G26*$H26*(1+$K26)^MAX(ROUNDUP(IFERROR(DATEDIF($I26-1,Q$15+1,"m"),)/12,)-1,)*Index!M$22*(Q$15&lt;=$J26)*(1-Q$12)</f>
        <v>107092.44</v>
      </c>
      <c r="R26" s="747">
        <f>$G26*$H26*(1+$K26)^MAX(ROUNDUP(IFERROR(DATEDIF($I26-1,R$15+1,"m"),)/12,)-1,)*Index!N$22*(R$15&lt;=$J26)*(1-R$12)</f>
        <v>107092.44</v>
      </c>
      <c r="S26" s="747">
        <f>$G26*$H26*(1+$K26)^MAX(ROUNDUP(IFERROR(DATEDIF($I26-1,S$15+1,"m"),)/12,)-1,)*Index!O$22*(S$15&lt;=$J26)*(1-S$12)</f>
        <v>107092.44</v>
      </c>
      <c r="T26" s="747">
        <f>$G26*$H26*(1+$K26)^MAX(ROUNDUP(IFERROR(DATEDIF($I26-1,T$15+1,"m"),)/12,)-1,)*Index!P$22*(T$15&lt;=$J26)*(1-T$12)</f>
        <v>107092.44</v>
      </c>
      <c r="U26" s="747">
        <f>$G26*$H26*(1+$K26)^MAX(ROUNDUP(IFERROR(DATEDIF($I26-1,U$15+1,"m"),)/12,)-1,)*Index!Q$22*(U$15&lt;=$J26)*(1-U$12)</f>
        <v>107092.44</v>
      </c>
      <c r="V26" s="747">
        <f>$G26*$H26*(1+$K26)^MAX(ROUNDUP(IFERROR(DATEDIF($I26-1,V$15+1,"m"),)/12,)-1,)*Index!R$22*(V$15&lt;=$J26)*(1-V$12)</f>
        <v>107092.44</v>
      </c>
      <c r="W26" s="747">
        <f>$G26*$H26*(1+$K26)^MAX(ROUNDUP(IFERROR(DATEDIF($I26-1,W$15+1,"m"),)/12,)-1,)*Index!S$22*(W$15&lt;=$J26)*(1-W$12)</f>
        <v>107092.44</v>
      </c>
      <c r="X26" s="747">
        <f>$G26*$H26*(1+$K26)^MAX(ROUNDUP(IFERROR(DATEDIF($I26-1,X$15+1,"m"),)/12,)-1,)*Index!T$22*(X$15&lt;=$J26)*(1-X$12)</f>
        <v>107092.44</v>
      </c>
      <c r="Y26" s="747">
        <f>$G26*$H26*(1+$K26)^MAX(ROUNDUP(IFERROR(DATEDIF($I26-1,Y$15+1,"m"),)/12,)-1,)*Index!U$22*(Y$15&lt;=$J26)*(1-Y$12)</f>
        <v>107092.44</v>
      </c>
      <c r="Z26" s="747">
        <f>$G26*$H26*(1+$K26)^MAX(ROUNDUP(IFERROR(DATEDIF($I26-1,Z$15+1,"m"),)/12,)-1,)*Index!V$22*(Z$15&lt;=$J26)*(1-Z$12)</f>
        <v>107092.44</v>
      </c>
      <c r="AA26" s="747">
        <f>$G26*$H26*(1+$K26)^MAX(ROUNDUP(IFERROR(DATEDIF($I26-1,AA$15+1,"m"),)/12,)-1,)*Index!W$22*(AA$15&lt;=$J26)*(1-AA$12)</f>
        <v>107092.44</v>
      </c>
      <c r="AB26" s="747">
        <f>$G26*$H26*(1+$K26)^MAX(ROUNDUP(IFERROR(DATEDIF($I26-1,AB$15+1,"m"),)/12,)-1,)*Index!X$22*(AB$15&lt;=$J26)*(1-AB$12)</f>
        <v>107092.44</v>
      </c>
      <c r="AC26" s="747">
        <f>$G26*$H26*(1+$K26)^MAX(ROUNDUP(IFERROR(DATEDIF($I26-1,AC$15+1,"m"),)/12,)-1,)*Index!Y$22*(AC$15&lt;=$J26)*(1-AC$12)</f>
        <v>107092.44</v>
      </c>
      <c r="AD26" s="747">
        <f>$G26*$H26*(1+$K26)^MAX(ROUNDUP(IFERROR(DATEDIF($I26-1,AD$15+1,"m"),)/12,)-1,)*Index!Z$22*(AD$15&lt;=$J26)*(1-AD$12)</f>
        <v>107092.44</v>
      </c>
      <c r="AE26" s="747">
        <f>$G26*$H26*(1+$K26)^MAX(ROUNDUP(IFERROR(DATEDIF($I26-1,AE$15+1,"m"),)/12,)-1,)*Index!AA$22*(AE$15&lt;=$J26)*(1-AE$12)</f>
        <v>107092.44</v>
      </c>
      <c r="AF26" s="747">
        <f>$G26*$H26*(1+$K26)^MAX(ROUNDUP(IFERROR(DATEDIF($I26-1,AF$15+1,"m"),)/12,)-1,)*Index!AB$22*(AF$15&lt;=$J26)*(1-AF$12)</f>
        <v>107092.44</v>
      </c>
      <c r="AG26" s="747">
        <f>$G26*$H26*(1+$K26)^MAX(ROUNDUP(IFERROR(DATEDIF($I26-1,AG$15+1,"m"),)/12,)-1,)*Index!AC$22*(AG$15&lt;=$J26)*(1-AG$12)</f>
        <v>107092.44</v>
      </c>
      <c r="AH26" s="747">
        <f>$G26*$H26*(1+$K26)^MAX(ROUNDUP(IFERROR(DATEDIF($I26-1,AH$15+1,"m"),)/12,)-1,)*Index!AD$22*(AH$15&lt;=$J26)*(1-AH$12)</f>
        <v>107092.44</v>
      </c>
      <c r="AI26" s="747">
        <f>$G26*$H26*(1+$K26)^MAX(ROUNDUP(IFERROR(DATEDIF($I26-1,AI$15+1,"m"),)/12,)-1,)*Index!AE$22*(AI$15&lt;=$J26)*(1-AI$12)</f>
        <v>107092.44</v>
      </c>
      <c r="AJ26" s="747">
        <f>$G26*$H26*(1+$K26)^MAX(ROUNDUP(IFERROR(DATEDIF($I26-1,AJ$15+1,"m"),)/12,)-1,)*Index!AF$22*(AJ$15&lt;=$J26)*(1-AJ$12)</f>
        <v>107092.44</v>
      </c>
      <c r="AK26" s="747">
        <f>$G26*$H26*(1+$K26)^MAX(ROUNDUP(IFERROR(DATEDIF($I26-1,AK$15+1,"m"),)/12,)-1,)*Index!AG$22*(AK$15&lt;=$J26)*(1-AK$12)</f>
        <v>107092.44</v>
      </c>
      <c r="AL26" s="747">
        <f>$G26*$H26*(1+$K26)^MAX(ROUNDUP(IFERROR(DATEDIF($I26-1,AL$15+1,"m"),)/12,)-1,)*Index!AH$22*(AL$15&lt;=$J26)*(1-AL$12)</f>
        <v>107092.44</v>
      </c>
      <c r="AM26" s="747">
        <f>$G26*$H26*(1+$K26)^MAX(ROUNDUP(IFERROR(DATEDIF($I26-1,AM$15+1,"m"),)/12,)-1,)*Index!AI$22*(AM$15&lt;=$J26)*(1-AM$12)</f>
        <v>107092.44</v>
      </c>
      <c r="AN26" s="747">
        <f>$G26*$H26*(1+$K26)^MAX(ROUNDUP(IFERROR(DATEDIF($I26-1,AN$15+1,"m"),)/12,)-1,)*Index!AJ$22*(AN$15&lt;=$J26)*(1-AN$12)</f>
        <v>107092.44</v>
      </c>
      <c r="AO26" s="747">
        <f>$G26*$H26*(1+$K26)^MAX(ROUNDUP(IFERROR(DATEDIF($I26-1,AO$15+1,"m"),)/12,)-1,)*Index!AK$22*(AO$15&lt;=$J26)*(1-AO$12)</f>
        <v>107092.44</v>
      </c>
      <c r="AP26" s="747">
        <f>$G26*$H26*(1+$K26)^MAX(ROUNDUP(IFERROR(DATEDIF($I26-1,AP$15+1,"m"),)/12,)-1,)*Index!AL$22*(AP$15&lt;=$J26)*(1-AP$12)</f>
        <v>107092.44</v>
      </c>
      <c r="AQ26" s="747">
        <f>$G26*$H26*(1+$K26)^MAX(ROUNDUP(IFERROR(DATEDIF($I26-1,AQ$15+1,"m"),)/12,)-1,)*Index!AM$22*(AQ$15&lt;=$J26)*(1-AQ$12)</f>
        <v>107092.44</v>
      </c>
      <c r="AR26" s="747">
        <f>$G26*$H26*(1+$K26)^MAX(ROUNDUP(IFERROR(DATEDIF($I26-1,AR$15+1,"m"),)/12,)-1,)*Index!AN$22*(AR$15&lt;=$J26)*(1-AR$12)</f>
        <v>107092.44</v>
      </c>
      <c r="AS26" s="747">
        <f>$G26*$H26*(1+$K26)^MAX(ROUNDUP(IFERROR(DATEDIF($I26-1,AS$15+1,"m"),)/12,)-1,)*Index!AO$22*(AS$15&lt;=$J26)*(1-AS$12)</f>
        <v>107092.44</v>
      </c>
      <c r="AT26" s="747">
        <f>$G26*$H26*(1+$K26)^MAX(ROUNDUP(IFERROR(DATEDIF($I26-1,AT$15+1,"m"),)/12,)-1,)*Index!AP$22*(AT$15&lt;=$J26)*(1-AT$12)</f>
        <v>107092.44</v>
      </c>
      <c r="AU26" s="747">
        <f>$G26*$H26*(1+$K26)^MAX(ROUNDUP(IFERROR(DATEDIF($I26-1,AU$15+1,"m"),)/12,)-1,)*Index!AQ$22*(AU$15&lt;=$J26)*(1-AU$12)</f>
        <v>107092.44</v>
      </c>
      <c r="AV26" s="747">
        <f>$G26*$H26*(1+$K26)^MAX(ROUNDUP(IFERROR(DATEDIF($I26-1,AV$15+1,"m"),)/12,)-1,)*Index!AR$22*(AV$15&lt;=$J26)*(1-AV$12)</f>
        <v>107092.44</v>
      </c>
      <c r="AW26" s="747">
        <f>$G26*$H26*(1+$K26)^MAX(ROUNDUP(IFERROR(DATEDIF($I26-1,AW$15+1,"m"),)/12,)-1,)*Index!AS$22*(AW$15&lt;=$J26)*(1-AW$12)</f>
        <v>0</v>
      </c>
      <c r="AX26" s="747">
        <f>$G26*$H26*(1+$K26)^MAX(ROUNDUP(IFERROR(DATEDIF($I26-1,AX$15+1,"m"),)/12,)-1,)*Index!AT$22*(AX$15&lt;=$J26)*(1-AX$12)</f>
        <v>0</v>
      </c>
      <c r="AY26" s="747">
        <f>$G26*$H26*(1+$K26)^MAX(ROUNDUP(IFERROR(DATEDIF($I26-1,AY$15+1,"m"),)/12,)-1,)*Index!AU$22*(AY$15&lt;=$J26)*(1-AY$12)</f>
        <v>0</v>
      </c>
      <c r="AZ26" s="747">
        <f>$G26*$H26*(1+$K26)^MAX(ROUNDUP(IFERROR(DATEDIF($I26-1,AZ$15+1,"m"),)/12,)-1,)*Index!AV$22*(AZ$15&lt;=$J26)*(1-AZ$12)</f>
        <v>0</v>
      </c>
      <c r="BA26" s="747">
        <f>$G26*$H26*(1+$K26)^MAX(ROUNDUP(IFERROR(DATEDIF($I26-1,BA$15+1,"m"),)/12,)-1,)*Index!AW$22*(BA$15&lt;=$J26)*(1-BA$12)</f>
        <v>0</v>
      </c>
      <c r="BB26" s="747">
        <f>$G26*$H26*(1+$K26)^MAX(ROUNDUP(IFERROR(DATEDIF($I26-1,BB$15+1,"m"),)/12,)-1,)*Index!AX$22*(BB$15&lt;=$J26)*(1-BB$12)</f>
        <v>0</v>
      </c>
      <c r="BC26" s="747">
        <f>$G26*$H26*(1+$K26)^MAX(ROUNDUP(IFERROR(DATEDIF($I26-1,BC$15+1,"m"),)/12,)-1,)*Index!AY$22*(BC$15&lt;=$J26)*(1-BC$12)</f>
        <v>0</v>
      </c>
      <c r="BD26" s="747">
        <f>$G26*$H26*(1+$K26)^MAX(ROUNDUP(IFERROR(DATEDIF($I26-1,BD$15+1,"m"),)/12,)-1,)*Index!AZ$22*(BD$15&lt;=$J26)*(1-BD$12)</f>
        <v>0</v>
      </c>
      <c r="BE26" s="747">
        <f>$G26*$H26*(1+$K26)^MAX(ROUNDUP(IFERROR(DATEDIF($I26-1,BE$15+1,"m"),)/12,)-1,)*Index!BA$22*(BE$15&lt;=$J26)*(1-BE$12)</f>
        <v>0</v>
      </c>
      <c r="BF26" s="747">
        <f>$G26*$H26*(1+$K26)^MAX(ROUNDUP(IFERROR(DATEDIF($I26-1,BF$15+1,"m"),)/12,)-1,)*Index!BB$22*(BF$15&lt;=$J26)*(1-BF$12)</f>
        <v>0</v>
      </c>
      <c r="BG26" s="747">
        <f>$G26*$H26*(1+$K26)^MAX(ROUNDUP(IFERROR(DATEDIF($I26-1,BG$15+1,"m"),)/12,)-1,)*Index!BC$22*(BG$15&lt;=$J26)*(1-BG$12)</f>
        <v>0</v>
      </c>
      <c r="BH26" s="747">
        <f>$G26*$H26*(1+$K26)^MAX(ROUNDUP(IFERROR(DATEDIF($I26-1,BH$15+1,"m"),)/12,)-1,)*Index!BD$22*(BH$15&lt;=$J26)*(1-BH$12)</f>
        <v>0</v>
      </c>
      <c r="BI26" s="747">
        <f>$G26*$H26*(1+$K26)^MAX(ROUNDUP(IFERROR(DATEDIF($I26-1,BI$15+1,"m"),)/12,)-1,)*Index!BE$22*(BI$15&lt;=$J26)*(1-BI$12)</f>
        <v>0</v>
      </c>
      <c r="BJ26" s="747">
        <f>$G26*$H26*(1+$K26)^MAX(ROUNDUP(IFERROR(DATEDIF($I26-1,BJ$15+1,"m"),)/12,)-1,)*Index!BF$22*(BJ$15&lt;=$J26)*(1-BJ$12)</f>
        <v>0</v>
      </c>
      <c r="BK26" s="747">
        <f>$G26*$H26*(1+$K26)^MAX(ROUNDUP(IFERROR(DATEDIF($I26-1,BK$15+1,"m"),)/12,)-1,)*Index!BG$22*(BK$15&lt;=$J26)*(1-BK$12)</f>
        <v>0</v>
      </c>
      <c r="BL26" s="747">
        <f>$G26*$H26*(1+$K26)^MAX(ROUNDUP(IFERROR(DATEDIF($I26-1,BL$15+1,"m"),)/12,)-1,)*Index!BH$22*(BL$15&lt;=$J26)*(1-BL$12)</f>
        <v>0</v>
      </c>
      <c r="BM26" s="747">
        <f>$G26*$H26*(1+$K26)^MAX(ROUNDUP(IFERROR(DATEDIF($I26-1,BM$15+1,"m"),)/12,)-1,)*Index!BI$22*(BM$15&lt;=$J26)*(1-BM$12)</f>
        <v>0</v>
      </c>
      <c r="BN26" s="747">
        <f>$G26*$H26*(1+$K26)^MAX(ROUNDUP(IFERROR(DATEDIF($I26-1,BN$15+1,"m"),)/12,)-1,)*Index!BJ$22*(BN$15&lt;=$J26)*(1-BN$12)</f>
        <v>0</v>
      </c>
      <c r="BO26" s="747">
        <f>$G26*$H26*(1+$K26)^MAX(ROUNDUP(IFERROR(DATEDIF($I26-1,BO$15+1,"m"),)/12,)-1,)*Index!BK$22*(BO$15&lt;=$J26)*(1-BO$12)</f>
        <v>0</v>
      </c>
      <c r="BP26" s="747">
        <f>$G26*$H26*(1+$K26)^MAX(ROUNDUP(IFERROR(DATEDIF($I26-1,BP$15+1,"m"),)/12,)-1,)*Index!BL$22*(BP$15&lt;=$J26)*(1-BP$12)</f>
        <v>0</v>
      </c>
      <c r="BQ26" s="747">
        <f>$G26*$H26*(1+$K26)^MAX(ROUNDUP(IFERROR(DATEDIF($I26-1,BQ$15+1,"m"),)/12,)-1,)*Index!BM$22*(BQ$15&lt;=$J26)*(1-BQ$12)</f>
        <v>0</v>
      </c>
      <c r="BR26" s="747">
        <f>$G26*$H26*(1+$K26)^MAX(ROUNDUP(IFERROR(DATEDIF($I26-1,BR$15+1,"m"),)/12,)-1,)*Index!BN$22*(BR$15&lt;=$J26)*(1-BR$12)</f>
        <v>0</v>
      </c>
      <c r="BS26" s="747">
        <f>$G26*$H26*(1+$K26)^MAX(ROUNDUP(IFERROR(DATEDIF($I26-1,BS$15+1,"m"),)/12,)-1,)*Index!BO$22*(BS$15&lt;=$J26)*(1-BS$12)</f>
        <v>0</v>
      </c>
      <c r="BT26" s="747">
        <f>$G26*$H26*(1+$K26)^MAX(ROUNDUP(IFERROR(DATEDIF($I26-1,BT$15+1,"m"),)/12,)-1,)*Index!BP$22*(BT$15&lt;=$J26)*(1-BT$12)</f>
        <v>0</v>
      </c>
      <c r="BU26" s="747">
        <f>$G26*$H26*(1+$K26)^MAX(ROUNDUP(IFERROR(DATEDIF($I26-1,BU$15+1,"m"),)/12,)-1,)*Index!BQ$22*(BU$15&lt;=$J26)*(1-BU$12)</f>
        <v>0</v>
      </c>
      <c r="BV26" s="747">
        <f>$G26*$H26*(1+$K26)^MAX(ROUNDUP(IFERROR(DATEDIF($I26-1,BV$15+1,"m"),)/12,)-1,)*Index!BR$22*(BV$15&lt;=$J26)*(1-BV$12)</f>
        <v>0</v>
      </c>
      <c r="BW26" s="747">
        <f>$G26*$H26*(1+$K26)^MAX(ROUNDUP(IFERROR(DATEDIF($I26-1,BW$15+1,"m"),)/12,)-1,)*Index!BS$22*(BW$15&lt;=$J26)*(1-BW$12)</f>
        <v>0</v>
      </c>
      <c r="BX26" s="747">
        <f>$G26*$H26*(1+$K26)^MAX(ROUNDUP(IFERROR(DATEDIF($I26-1,BX$15+1,"m"),)/12,)-1,)*Index!BT$22*(BX$15&lt;=$J26)*(1-BX$12)</f>
        <v>0</v>
      </c>
      <c r="BY26" s="747">
        <f>$G26*$H26*(1+$K26)^MAX(ROUNDUP(IFERROR(DATEDIF($I26-1,BY$15+1,"m"),)/12,)-1,)*Index!BU$22*(BY$15&lt;=$J26)*(1-BY$12)</f>
        <v>0</v>
      </c>
      <c r="BZ26" s="747">
        <f>$G26*$H26*(1+$K26)^MAX(ROUNDUP(IFERROR(DATEDIF($I26-1,BZ$15+1,"m"),)/12,)-1,)*Index!BV$22*(BZ$15&lt;=$J26)*(1-BZ$12)</f>
        <v>0</v>
      </c>
      <c r="CA26" s="747">
        <f>$G26*$H26*(1+$K26)^MAX(ROUNDUP(IFERROR(DATEDIF($I26-1,CA$15+1,"m"),)/12,)-1,)*Index!BW$22*(CA$15&lt;=$J26)*(1-CA$12)</f>
        <v>0</v>
      </c>
      <c r="CB26" s="747">
        <f>$G26*$H26*(1+$K26)^MAX(ROUNDUP(IFERROR(DATEDIF($I26-1,CB$15+1,"m"),)/12,)-1,)*Index!BX$22*(CB$15&lt;=$J26)*(1-CB$12)</f>
        <v>0</v>
      </c>
      <c r="CC26" s="747">
        <f>$G26*$H26*(1+$K26)^MAX(ROUNDUP(IFERROR(DATEDIF($I26-1,CC$15+1,"m"),)/12,)-1,)*Index!BY$22*(CC$15&lt;=$J26)*(1-CC$12)</f>
        <v>0</v>
      </c>
      <c r="CD26" s="747">
        <f>$G26*$H26*(1+$K26)^MAX(ROUNDUP(IFERROR(DATEDIF($I26-1,CD$15+1,"m"),)/12,)-1,)*Index!BZ$22*(CD$15&lt;=$J26)*(1-CD$12)</f>
        <v>0</v>
      </c>
      <c r="CE26" s="747">
        <f>$G26*$H26*(1+$K26)^MAX(ROUNDUP(IFERROR(DATEDIF($I26-1,CE$15+1,"m"),)/12,)-1,)*Index!CA$22*(CE$15&lt;=$J26)*(1-CE$12)</f>
        <v>0</v>
      </c>
      <c r="CF26" s="747">
        <f>$G26*$H26*(1+$K26)^MAX(ROUNDUP(IFERROR(DATEDIF($I26-1,CF$15+1,"m"),)/12,)-1,)*Index!CB$22*(CF$15&lt;=$J26)*(1-CF$12)</f>
        <v>0</v>
      </c>
      <c r="CG26" s="747">
        <f>$G26*$H26*(1+$K26)^MAX(ROUNDUP(IFERROR(DATEDIF($I26-1,CG$15+1,"m"),)/12,)-1,)*Index!CC$22*(CG$15&lt;=$J26)*(1-CG$12)</f>
        <v>0</v>
      </c>
      <c r="CH26" s="747">
        <f>$G26*$H26*(1+$K26)^MAX(ROUNDUP(IFERROR(DATEDIF($I26-1,CH$15+1,"m"),)/12,)-1,)*Index!CD$22*(CH$15&lt;=$J26)*(1-CH$12)</f>
        <v>0</v>
      </c>
      <c r="CI26" s="747">
        <f>$G26*$H26*(1+$K26)^MAX(ROUNDUP(IFERROR(DATEDIF($I26-1,CI$15+1,"m"),)/12,)-1,)*Index!CE$22*(CI$15&lt;=$J26)*(1-CI$12)</f>
        <v>0</v>
      </c>
      <c r="CJ26" s="747">
        <f>$G26*$H26*(1+$K26)^MAX(ROUNDUP(IFERROR(DATEDIF($I26-1,CJ$15+1,"m"),)/12,)-1,)*Index!CF$22*(CJ$15&lt;=$J26)*(1-CJ$12)</f>
        <v>0</v>
      </c>
      <c r="CK26" s="747">
        <f>$G26*$H26*(1+$K26)^MAX(ROUNDUP(IFERROR(DATEDIF($I26-1,CK$15+1,"m"),)/12,)-1,)*Index!CG$22*(CK$15&lt;=$J26)*(1-CK$12)</f>
        <v>0</v>
      </c>
      <c r="CL26" s="747">
        <f>$G26*$H26*(1+$K26)^MAX(ROUNDUP(IFERROR(DATEDIF($I26-1,CL$15+1,"m"),)/12,)-1,)*Index!CH$22*(CL$15&lt;=$J26)*(1-CL$12)</f>
        <v>0</v>
      </c>
      <c r="CM26" s="747">
        <f>$G26*$H26*(1+$K26)^MAX(ROUNDUP(IFERROR(DATEDIF($I26-1,CM$15+1,"m"),)/12,)-1,)*Index!CI$22*(CM$15&lt;=$J26)*(1-CM$12)</f>
        <v>0</v>
      </c>
      <c r="CN26" s="747">
        <f>$G26*$H26*(1+$K26)^MAX(ROUNDUP(IFERROR(DATEDIF($I26-1,CN$15+1,"m"),)/12,)-1,)*Index!CJ$22*(CN$15&lt;=$J26)*(1-CN$12)</f>
        <v>0</v>
      </c>
      <c r="CO26" s="747">
        <f>$G26*$H26*(1+$K26)^MAX(ROUNDUP(IFERROR(DATEDIF($I26-1,CO$15+1,"m"),)/12,)-1,)*Index!CK$22*(CO$15&lt;=$J26)*(1-CO$12)</f>
        <v>0</v>
      </c>
      <c r="CP26" s="747">
        <f>$G26*$H26*(1+$K26)^MAX(ROUNDUP(IFERROR(DATEDIF($I26-1,CP$15+1,"m"),)/12,)-1,)*Index!CL$22*(CP$15&lt;=$J26)*(1-CP$12)</f>
        <v>0</v>
      </c>
      <c r="CQ26" s="747">
        <f>$G26*$H26*(1+$K26)^MAX(ROUNDUP(IFERROR(DATEDIF($I26-1,CQ$15+1,"m"),)/12,)-1,)*Index!CM$22*(CQ$15&lt;=$J26)*(1-CQ$12)</f>
        <v>0</v>
      </c>
      <c r="CR26" s="747">
        <f>$G26*$H26*(1+$K26)^MAX(ROUNDUP(IFERROR(DATEDIF($I26-1,CR$15+1,"m"),)/12,)-1,)*Index!CN$22*(CR$15&lt;=$J26)*(1-CR$12)</f>
        <v>0</v>
      </c>
      <c r="CS26" s="747">
        <f>$G26*$H26*(1+$K26)^MAX(ROUNDUP(IFERROR(DATEDIF($I26-1,CS$15+1,"m"),)/12,)-1,)*Index!CO$22*(CS$15&lt;=$J26)*(1-CS$12)</f>
        <v>0</v>
      </c>
      <c r="CT26" s="747">
        <f>$G26*$H26*(1+$K26)^MAX(ROUNDUP(IFERROR(DATEDIF($I26-1,CT$15+1,"m"),)/12,)-1,)*Index!CP$22*(CT$15&lt;=$J26)*(1-CT$12)</f>
        <v>0</v>
      </c>
      <c r="CU26" s="747">
        <f>$G26*$H26*(1+$K26)^MAX(ROUNDUP(IFERROR(DATEDIF($I26-1,CU$15+1,"m"),)/12,)-1,)*Index!CQ$22*(CU$15&lt;=$J26)*(1-CU$12)</f>
        <v>0</v>
      </c>
      <c r="CV26" s="747">
        <f>$G26*$H26*(1+$K26)^MAX(ROUNDUP(IFERROR(DATEDIF($I26-1,CV$15+1,"m"),)/12,)-1,)*Index!CR$22*(CV$15&lt;=$J26)*(1-CV$12)</f>
        <v>0</v>
      </c>
      <c r="CW26" s="747">
        <f>$G26*$H26*(1+$K26)^MAX(ROUNDUP(IFERROR(DATEDIF($I26-1,CW$15+1,"m"),)/12,)-1,)*Index!CS$22*(CW$15&lt;=$J26)*(1-CW$12)</f>
        <v>0</v>
      </c>
      <c r="CX26" s="747">
        <f>$G26*$H26*(1+$K26)^MAX(ROUNDUP(IFERROR(DATEDIF($I26-1,CX$15+1,"m"),)/12,)-1,)*Index!CT$22*(CX$15&lt;=$J26)*(1-CX$12)</f>
        <v>0</v>
      </c>
      <c r="CY26" s="747">
        <f>$G26*$H26*(1+$K26)^MAX(ROUNDUP(IFERROR(DATEDIF($I26-1,CY$15+1,"m"),)/12,)-1,)*Index!CU$22*(CY$15&lt;=$J26)*(1-CY$12)</f>
        <v>0</v>
      </c>
      <c r="CZ26" s="747">
        <f>$G26*$H26*(1+$K26)^MAX(ROUNDUP(IFERROR(DATEDIF($I26-1,CZ$15+1,"m"),)/12,)-1,)*Index!CV$22*(CZ$15&lt;=$J26)*(1-CZ$12)</f>
        <v>0</v>
      </c>
      <c r="DA26" s="747">
        <f>$G26*$H26*(1+$K26)^MAX(ROUNDUP(IFERROR(DATEDIF($I26-1,DA$15+1,"m"),)/12,)-1,)*Index!CW$22*(DA$15&lt;=$J26)*(1-DA$12)</f>
        <v>0</v>
      </c>
      <c r="DB26" s="747">
        <f>$G26*$H26*(1+$K26)^MAX(ROUNDUP(IFERROR(DATEDIF($I26-1,DB$15+1,"m"),)/12,)-1,)*Index!CX$22*(DB$15&lt;=$J26)*(1-DB$12)</f>
        <v>0</v>
      </c>
      <c r="DC26" s="747">
        <f>$G26*$H26*(1+$K26)^MAX(ROUNDUP(IFERROR(DATEDIF($I26-1,DC$15+1,"m"),)/12,)-1,)*Index!CY$22*(DC$15&lt;=$J26)*(1-DC$12)</f>
        <v>0</v>
      </c>
      <c r="DD26" s="747">
        <f>$G26*$H26*(1+$K26)^MAX(ROUNDUP(IFERROR(DATEDIF($I26-1,DD$15+1,"m"),)/12,)-1,)*Index!CZ$22*(DD$15&lt;=$J26)*(1-DD$12)</f>
        <v>0</v>
      </c>
      <c r="DE26" s="747">
        <f>$G26*$H26*(1+$K26)^MAX(ROUNDUP(IFERROR(DATEDIF($I26-1,DE$15+1,"m"),)/12,)-1,)*Index!DA$22*(DE$15&lt;=$J26)*(1-DE$12)</f>
        <v>0</v>
      </c>
      <c r="DF26" s="747">
        <f>$G26*$H26*(1+$K26)^MAX(ROUNDUP(IFERROR(DATEDIF($I26-1,DF$15+1,"m"),)/12,)-1,)*Index!DB$22*(DF$15&lt;=$J26)*(1-DF$12)</f>
        <v>0</v>
      </c>
      <c r="DG26" s="747">
        <f>$G26*$H26*(1+$K26)^MAX(ROUNDUP(IFERROR(DATEDIF($I26-1,DG$15+1,"m"),)/12,)-1,)*Index!DC$22*(DG$15&lt;=$J26)*(1-DG$12)</f>
        <v>0</v>
      </c>
      <c r="DH26" s="747">
        <f>$G26*$H26*(1+$K26)^MAX(ROUNDUP(IFERROR(DATEDIF($I26-1,DH$15+1,"m"),)/12,)-1,)*Index!DD$22*(DH$15&lt;=$J26)*(1-DH$12)</f>
        <v>0</v>
      </c>
      <c r="DI26" s="747">
        <f>$G26*$H26*(1+$K26)^MAX(ROUNDUP(IFERROR(DATEDIF($I26-1,DI$15+1,"m"),)/12,)-1,)*Index!DE$22*(DI$15&lt;=$J26)*(1-DI$12)</f>
        <v>0</v>
      </c>
      <c r="DJ26" s="747">
        <f>$G26*$H26*(1+$K26)^MAX(ROUNDUP(IFERROR(DATEDIF($I26-1,DJ$15+1,"m"),)/12,)-1,)*Index!DF$22*(DJ$15&lt;=$J26)*(1-DJ$12)</f>
        <v>0</v>
      </c>
      <c r="DK26" s="747">
        <f>$G26*$H26*(1+$K26)^MAX(ROUNDUP(IFERROR(DATEDIF($I26-1,DK$15+1,"m"),)/12,)-1,)*Index!DG$22*(DK$15&lt;=$J26)*(1-DK$12)</f>
        <v>0</v>
      </c>
      <c r="DL26" s="747">
        <f>$G26*$H26*(1+$K26)^MAX(ROUNDUP(IFERROR(DATEDIF($I26-1,DL$15+1,"m"),)/12,)-1,)*Index!DH$22*(DL$15&lt;=$J26)*(1-DL$12)</f>
        <v>0</v>
      </c>
      <c r="DM26" s="747">
        <f>$G26*$H26*(1+$K26)^MAX(ROUNDUP(IFERROR(DATEDIF($I26-1,DM$15+1,"m"),)/12,)-1,)*Index!DI$22*(DM$15&lt;=$J26)*(1-DM$12)</f>
        <v>0</v>
      </c>
      <c r="DN26" s="747">
        <f>$G26*$H26*(1+$K26)^MAX(ROUNDUP(IFERROR(DATEDIF($I26-1,DN$15+1,"m"),)/12,)-1,)*Index!DJ$22*(DN$15&lt;=$J26)*(1-DN$12)</f>
        <v>0</v>
      </c>
      <c r="DO26" s="747">
        <f>$G26*$H26*(1+$K26)^MAX(ROUNDUP(IFERROR(DATEDIF($I26-1,DO$15+1,"m"),)/12,)-1,)*Index!DK$22*(DO$15&lt;=$J26)*(1-DO$12)</f>
        <v>0</v>
      </c>
      <c r="DP26" s="747">
        <f>$G26*$H26*(1+$K26)^MAX(ROUNDUP(IFERROR(DATEDIF($I26-1,DP$15+1,"m"),)/12,)-1,)*Index!DL$22*(DP$15&lt;=$J26)*(1-DP$12)</f>
        <v>0</v>
      </c>
      <c r="DQ26" s="747">
        <f>$G26*$H26*(1+$K26)^MAX(ROUNDUP(IFERROR(DATEDIF($I26-1,DQ$15+1,"m"),)/12,)-1,)*Index!DM$22*(DQ$15&lt;=$J26)*(1-DQ$12)</f>
        <v>0</v>
      </c>
      <c r="DR26" s="747">
        <f>$G26*$H26*(1+$K26)^MAX(ROUNDUP(IFERROR(DATEDIF($I26-1,DR$15+1,"m"),)/12,)-1,)*Index!DN$22*(DR$15&lt;=$J26)*(1-DR$12)</f>
        <v>0</v>
      </c>
      <c r="DS26" s="747">
        <f>$G26*$H26*(1+$K26)^MAX(ROUNDUP(IFERROR(DATEDIF($I26-1,DS$15+1,"m"),)/12,)-1,)*Index!DO$22*(DS$15&lt;=$J26)*(1-DS$12)</f>
        <v>0</v>
      </c>
      <c r="DT26" s="747">
        <f>$G26*$H26*(1+$K26)^MAX(ROUNDUP(IFERROR(DATEDIF($I26-1,DT$15+1,"m"),)/12,)-1,)*Index!DP$22*(DT$15&lt;=$J26)*(1-DT$12)</f>
        <v>0</v>
      </c>
      <c r="DU26" s="747">
        <f>$G26*$H26*(1+$K26)^MAX(ROUNDUP(IFERROR(DATEDIF($I26-1,DU$15+1,"m"),)/12,)-1,)*Index!DQ$22*(DU$15&lt;=$J26)*(1-DU$12)</f>
        <v>0</v>
      </c>
      <c r="DV26" s="747">
        <f>$G26*$H26*(1+$K26)^MAX(ROUNDUP(IFERROR(DATEDIF($I26-1,DV$15+1,"m"),)/12,)-1,)*Index!DR$22*(DV$15&lt;=$J26)*(1-DV$12)</f>
        <v>0</v>
      </c>
      <c r="DW26" s="747">
        <f>$G26*$H26*(1+$K26)^MAX(ROUNDUP(IFERROR(DATEDIF($I26-1,DW$15+1,"m"),)/12,)-1,)*Index!DS$22*(DW$15&lt;=$J26)*(1-DW$12)</f>
        <v>0</v>
      </c>
      <c r="DX26" s="747">
        <f>$G26*$H26*(1+$K26)^MAX(ROUNDUP(IFERROR(DATEDIF($I26-1,DX$15+1,"m"),)/12,)-1,)*Index!DT$22*(DX$15&lt;=$J26)*(1-DX$12)</f>
        <v>0</v>
      </c>
      <c r="DY26" s="747">
        <f>$G26*$H26*(1+$K26)^MAX(ROUNDUP(IFERROR(DATEDIF($I26-1,DY$15+1,"m"),)/12,)-1,)*Index!DU$22*(DY$15&lt;=$J26)*(1-DY$12)</f>
        <v>0</v>
      </c>
      <c r="DZ26" s="747">
        <f>$G26*$H26*(1+$K26)^MAX(ROUNDUP(IFERROR(DATEDIF($I26-1,DZ$15+1,"m"),)/12,)-1,)*Index!DV$22*(DZ$15&lt;=$J26)*(1-DZ$12)</f>
        <v>0</v>
      </c>
      <c r="EA26" s="747">
        <f>$G26*$H26*(1+$K26)^MAX(ROUNDUP(IFERROR(DATEDIF($I26-1,EA$15+1,"m"),)/12,)-1,)*Index!DW$22*(EA$15&lt;=$J26)*(1-EA$12)</f>
        <v>0</v>
      </c>
      <c r="EB26" s="747">
        <f>$G26*$H26*(1+$K26)^MAX(ROUNDUP(IFERROR(DATEDIF($I26-1,EB$15+1,"m"),)/12,)-1,)*Index!DX$22*(EB$15&lt;=$J26)*(1-EB$12)</f>
        <v>0</v>
      </c>
      <c r="EC26" s="747">
        <f>$G26*$H26*(1+$K26)^MAX(ROUNDUP(IFERROR(DATEDIF($I26-1,EC$15+1,"m"),)/12,)-1,)*Index!DY$22*(EC$15&lt;=$J26)*(1-EC$12)</f>
        <v>0</v>
      </c>
      <c r="ED26" s="747">
        <f>$G26*$H26*(1+$K26)^MAX(ROUNDUP(IFERROR(DATEDIF($I26-1,ED$15+1,"m"),)/12,)-1,)*Index!DZ$22*(ED$15&lt;=$J26)*(1-ED$12)</f>
        <v>0</v>
      </c>
      <c r="EE26" s="747">
        <f>$G26*$H26*(1+$K26)^MAX(ROUNDUP(IFERROR(DATEDIF($I26-1,EE$15+1,"m"),)/12,)-1,)*Index!EA$22*(EE$15&lt;=$J26)*(1-EE$12)</f>
        <v>0</v>
      </c>
      <c r="EF26" s="747">
        <f>$G26*$H26*(1+$K26)^MAX(ROUNDUP(IFERROR(DATEDIF($I26-1,EF$15+1,"m"),)/12,)-1,)*Index!EB$22*(EF$15&lt;=$J26)*(1-EF$12)</f>
        <v>0</v>
      </c>
      <c r="EG26" s="747">
        <f>$G26*$H26*(1+$K26)^MAX(ROUNDUP(IFERROR(DATEDIF($I26-1,EG$15+1,"m"),)/12,)-1,)*Index!EC$22*(EG$15&lt;=$J26)*(1-EG$12)</f>
        <v>0</v>
      </c>
      <c r="EH26" s="747">
        <f>$G26*$H26*(1+$K26)^MAX(ROUNDUP(IFERROR(DATEDIF($I26-1,EH$15+1,"m"),)/12,)-1,)*Index!ED$22*(EH$15&lt;=$J26)*(1-EH$12)</f>
        <v>0</v>
      </c>
      <c r="EI26" s="747">
        <f>$G26*$H26*(1+$K26)^MAX(ROUNDUP(IFERROR(DATEDIF($I26-1,EI$15+1,"m"),)/12,)-1,)*Index!EE$22*(EI$15&lt;=$J26)*(1-EI$12)</f>
        <v>0</v>
      </c>
      <c r="EJ26" s="747">
        <f>$G26*$H26*(1+$K26)^MAX(ROUNDUP(IFERROR(DATEDIF($I26-1,EJ$15+1,"m"),)/12,)-1,)*Index!EF$22*(EJ$15&lt;=$J26)*(1-EJ$12)</f>
        <v>0</v>
      </c>
      <c r="EK26" s="747">
        <f>$G26*$H26*(1+$K26)^MAX(ROUNDUP(IFERROR(DATEDIF($I26-1,EK$15+1,"m"),)/12,)-1,)*Index!EG$22*(EK$15&lt;=$J26)*(1-EK$12)</f>
        <v>0</v>
      </c>
      <c r="EL26" s="747">
        <f>$G26*$H26*(1+$K26)^MAX(ROUNDUP(IFERROR(DATEDIF($I26-1,EL$15+1,"m"),)/12,)-1,)*Index!EH$22*(EL$15&lt;=$J26)*(1-EL$12)</f>
        <v>0</v>
      </c>
      <c r="EM26" s="747">
        <f>$G26*$H26*(1+$K26)^MAX(ROUNDUP(IFERROR(DATEDIF($I26-1,EM$15+1,"m"),)/12,)-1,)*Index!EI$22*(EM$15&lt;=$J26)*(1-EM$12)</f>
        <v>0</v>
      </c>
      <c r="EN26" s="747">
        <f>$G26*$H26*(1+$K26)^MAX(ROUNDUP(IFERROR(DATEDIF($I26-1,EN$15+1,"m"),)/12,)-1,)*Index!EJ$22*(EN$15&lt;=$J26)*(1-EN$12)</f>
        <v>0</v>
      </c>
      <c r="EO26" s="747">
        <f>$G26*$H26*(1+$K26)^MAX(ROUNDUP(IFERROR(DATEDIF($I26-1,EO$15+1,"m"),)/12,)-1,)*Index!EK$22*(EO$15&lt;=$J26)*(1-EO$12)</f>
        <v>0</v>
      </c>
      <c r="EP26" s="747">
        <f>$G26*$H26*(1+$K26)^MAX(ROUNDUP(IFERROR(DATEDIF($I26-1,EP$15+1,"m"),)/12,)-1,)*Index!EL$22*(EP$15&lt;=$J26)*(1-EP$12)</f>
        <v>0</v>
      </c>
      <c r="EQ26" s="747">
        <f>$G26*$H26*(1+$K26)^MAX(ROUNDUP(IFERROR(DATEDIF($I26-1,EQ$15+1,"m"),)/12,)-1,)*Index!EM$22*(EQ$15&lt;=$J26)*(1-EQ$12)</f>
        <v>0</v>
      </c>
      <c r="ER26" s="747">
        <f>$G26*$H26*(1+$K26)^MAX(ROUNDUP(IFERROR(DATEDIF($I26-1,ER$15+1,"m"),)/12,)-1,)*Index!EN$22*(ER$15&lt;=$J26)*(1-ER$12)</f>
        <v>0</v>
      </c>
      <c r="ES26" s="747">
        <f>$G26*$H26*(1+$K26)^MAX(ROUNDUP(IFERROR(DATEDIF($I26-1,ES$15+1,"m"),)/12,)-1,)*Index!EO$22*(ES$15&lt;=$J26)*(1-ES$12)</f>
        <v>0</v>
      </c>
      <c r="ET26" s="747">
        <f>$G26*$H26*(1+$K26)^MAX(ROUNDUP(IFERROR(DATEDIF($I26-1,ET$15+1,"m"),)/12,)-1,)*Index!EP$22*(ET$15&lt;=$J26)*(1-ET$12)</f>
        <v>0</v>
      </c>
      <c r="EU26" s="747">
        <f>$G26*$H26*(1+$K26)^MAX(ROUNDUP(IFERROR(DATEDIF($I26-1,EU$15+1,"m"),)/12,)-1,)*Index!EQ$22*(EU$15&lt;=$J26)*(1-EU$12)</f>
        <v>0</v>
      </c>
    </row>
    <row r="27" spans="3:151" ht="11.25" customHeight="1">
      <c r="C27" s="735"/>
      <c r="D27" s="743">
        <f>'A&amp;R'!V16</f>
        <v>2</v>
      </c>
      <c r="E27" s="704" t="str">
        <f>'A&amp;R'!W16</f>
        <v>쿠팡</v>
      </c>
      <c r="F27" s="704" t="str">
        <f>'A&amp;R'!X16</f>
        <v>상온창고</v>
      </c>
      <c r="G27" s="752">
        <f>'A&amp;R'!AC16/1000</f>
        <v>60</v>
      </c>
      <c r="H27" s="744">
        <f>'A&amp;R'!Y16</f>
        <v>2185.56</v>
      </c>
      <c r="I27" s="745">
        <f>'A&amp;R'!Z16</f>
        <v>45658</v>
      </c>
      <c r="J27" s="745">
        <f>'A&amp;R'!AA16</f>
        <v>49064</v>
      </c>
      <c r="K27" s="754">
        <f>'A&amp;R'!AF16</f>
        <v>2.5000000000000001E-2</v>
      </c>
      <c r="L27" s="746"/>
      <c r="M27" s="722"/>
      <c r="N27" s="747">
        <f t="shared" si="7"/>
        <v>13401811.623469777</v>
      </c>
      <c r="O27" s="733"/>
      <c r="P27" s="747">
        <f>$G27*$H27*(1+$K27)^MAX(ROUNDUP(IFERROR(DATEDIF($I27-1,P$15+1,"m"),)/12,)-1,)*Index!L$22*(P$15&lt;=$J27)*(1-P$12)</f>
        <v>0</v>
      </c>
      <c r="Q27" s="747">
        <f>$G27*$H27*(1+$K27)^MAX(ROUNDUP(IFERROR(DATEDIF($I27-1,Q$15+1,"m"),)/12,)-1,)*Index!M$22*(Q$15&lt;=$J27)*(1-Q$12)</f>
        <v>134411.94</v>
      </c>
      <c r="R27" s="747">
        <f>$G27*$H27*(1+$K27)^MAX(ROUNDUP(IFERROR(DATEDIF($I27-1,R$15+1,"m"),)/12,)-1,)*Index!N$22*(R$15&lt;=$J27)*(1-R$12)</f>
        <v>134411.94</v>
      </c>
      <c r="S27" s="747">
        <f>$G27*$H27*(1+$K27)^MAX(ROUNDUP(IFERROR(DATEDIF($I27-1,S$15+1,"m"),)/12,)-1,)*Index!O$22*(S$15&lt;=$J27)*(1-S$12)</f>
        <v>137772.23850000001</v>
      </c>
      <c r="T27" s="747">
        <f>$G27*$H27*(1+$K27)^MAX(ROUNDUP(IFERROR(DATEDIF($I27-1,T$15+1,"m"),)/12,)-1,)*Index!P$22*(T$15&lt;=$J27)*(1-T$12)</f>
        <v>137772.23850000001</v>
      </c>
      <c r="U27" s="747">
        <f>$G27*$H27*(1+$K27)^MAX(ROUNDUP(IFERROR(DATEDIF($I27-1,U$15+1,"m"),)/12,)-1,)*Index!Q$22*(U$15&lt;=$J27)*(1-U$12)</f>
        <v>137772.23850000001</v>
      </c>
      <c r="V27" s="747">
        <f>$G27*$H27*(1+$K27)^MAX(ROUNDUP(IFERROR(DATEDIF($I27-1,V$15+1,"m"),)/12,)-1,)*Index!R$22*(V$15&lt;=$J27)*(1-V$12)</f>
        <v>137772.23850000001</v>
      </c>
      <c r="W27" s="747">
        <f>$G27*$H27*(1+$K27)^MAX(ROUNDUP(IFERROR(DATEDIF($I27-1,W$15+1,"m"),)/12,)-1,)*Index!S$22*(W$15&lt;=$J27)*(1-W$12)</f>
        <v>137772.23850000001</v>
      </c>
      <c r="X27" s="747">
        <f>$G27*$H27*(1+$K27)^MAX(ROUNDUP(IFERROR(DATEDIF($I27-1,X$15+1,"m"),)/12,)-1,)*Index!T$22*(X$15&lt;=$J27)*(1-X$12)</f>
        <v>137772.23850000001</v>
      </c>
      <c r="Y27" s="747">
        <f>$G27*$H27*(1+$K27)^MAX(ROUNDUP(IFERROR(DATEDIF($I27-1,Y$15+1,"m"),)/12,)-1,)*Index!U$22*(Y$15&lt;=$J27)*(1-Y$12)</f>
        <v>137772.23850000001</v>
      </c>
      <c r="Z27" s="747">
        <f>$G27*$H27*(1+$K27)^MAX(ROUNDUP(IFERROR(DATEDIF($I27-1,Z$15+1,"m"),)/12,)-1,)*Index!V$22*(Z$15&lt;=$J27)*(1-Z$12)</f>
        <v>137772.23850000001</v>
      </c>
      <c r="AA27" s="747">
        <f>$G27*$H27*(1+$K27)^MAX(ROUNDUP(IFERROR(DATEDIF($I27-1,AA$15+1,"m"),)/12,)-1,)*Index!W$22*(AA$15&lt;=$J27)*(1-AA$12)</f>
        <v>137772.23850000001</v>
      </c>
      <c r="AB27" s="747">
        <f>$G27*$H27*(1+$K27)^MAX(ROUNDUP(IFERROR(DATEDIF($I27-1,AB$15+1,"m"),)/12,)-1,)*Index!X$22*(AB$15&lt;=$J27)*(1-AB$12)</f>
        <v>137772.23850000001</v>
      </c>
      <c r="AC27" s="747">
        <f>$G27*$H27*(1+$K27)^MAX(ROUNDUP(IFERROR(DATEDIF($I27-1,AC$15+1,"m"),)/12,)-1,)*Index!Y$22*(AC$15&lt;=$J27)*(1-AC$12)</f>
        <v>137772.23850000001</v>
      </c>
      <c r="AD27" s="747">
        <f>$G27*$H27*(1+$K27)^MAX(ROUNDUP(IFERROR(DATEDIF($I27-1,AD$15+1,"m"),)/12,)-1,)*Index!Z$22*(AD$15&lt;=$J27)*(1-AD$12)</f>
        <v>137772.23850000001</v>
      </c>
      <c r="AE27" s="747">
        <f>$G27*$H27*(1+$K27)^MAX(ROUNDUP(IFERROR(DATEDIF($I27-1,AE$15+1,"m"),)/12,)-1,)*Index!AA$22*(AE$15&lt;=$J27)*(1-AE$12)</f>
        <v>141216.54446249999</v>
      </c>
      <c r="AF27" s="747">
        <f>$G27*$H27*(1+$K27)^MAX(ROUNDUP(IFERROR(DATEDIF($I27-1,AF$15+1,"m"),)/12,)-1,)*Index!AB$22*(AF$15&lt;=$J27)*(1-AF$12)</f>
        <v>141216.54446249999</v>
      </c>
      <c r="AG27" s="747">
        <f>$G27*$H27*(1+$K27)^MAX(ROUNDUP(IFERROR(DATEDIF($I27-1,AG$15+1,"m"),)/12,)-1,)*Index!AC$22*(AG$15&lt;=$J27)*(1-AG$12)</f>
        <v>141216.54446249999</v>
      </c>
      <c r="AH27" s="747">
        <f>$G27*$H27*(1+$K27)^MAX(ROUNDUP(IFERROR(DATEDIF($I27-1,AH$15+1,"m"),)/12,)-1,)*Index!AD$22*(AH$15&lt;=$J27)*(1-AH$12)</f>
        <v>141216.54446249999</v>
      </c>
      <c r="AI27" s="747">
        <f>$G27*$H27*(1+$K27)^MAX(ROUNDUP(IFERROR(DATEDIF($I27-1,AI$15+1,"m"),)/12,)-1,)*Index!AE$22*(AI$15&lt;=$J27)*(1-AI$12)</f>
        <v>141216.54446249999</v>
      </c>
      <c r="AJ27" s="747">
        <f>$G27*$H27*(1+$K27)^MAX(ROUNDUP(IFERROR(DATEDIF($I27-1,AJ$15+1,"m"),)/12,)-1,)*Index!AF$22*(AJ$15&lt;=$J27)*(1-AJ$12)</f>
        <v>141216.54446249999</v>
      </c>
      <c r="AK27" s="747">
        <f>$G27*$H27*(1+$K27)^MAX(ROUNDUP(IFERROR(DATEDIF($I27-1,AK$15+1,"m"),)/12,)-1,)*Index!AG$22*(AK$15&lt;=$J27)*(1-AK$12)</f>
        <v>141216.54446249999</v>
      </c>
      <c r="AL27" s="747">
        <f>$G27*$H27*(1+$K27)^MAX(ROUNDUP(IFERROR(DATEDIF($I27-1,AL$15+1,"m"),)/12,)-1,)*Index!AH$22*(AL$15&lt;=$J27)*(1-AL$12)</f>
        <v>141216.54446249999</v>
      </c>
      <c r="AM27" s="747">
        <f>$G27*$H27*(1+$K27)^MAX(ROUNDUP(IFERROR(DATEDIF($I27-1,AM$15+1,"m"),)/12,)-1,)*Index!AI$22*(AM$15&lt;=$J27)*(1-AM$12)</f>
        <v>141216.54446249999</v>
      </c>
      <c r="AN27" s="747">
        <f>$G27*$H27*(1+$K27)^MAX(ROUNDUP(IFERROR(DATEDIF($I27-1,AN$15+1,"m"),)/12,)-1,)*Index!AJ$22*(AN$15&lt;=$J27)*(1-AN$12)</f>
        <v>141216.54446249999</v>
      </c>
      <c r="AO27" s="747">
        <f>$G27*$H27*(1+$K27)^MAX(ROUNDUP(IFERROR(DATEDIF($I27-1,AO$15+1,"m"),)/12,)-1,)*Index!AK$22*(AO$15&lt;=$J27)*(1-AO$12)</f>
        <v>141216.54446249999</v>
      </c>
      <c r="AP27" s="747">
        <f>$G27*$H27*(1+$K27)^MAX(ROUNDUP(IFERROR(DATEDIF($I27-1,AP$15+1,"m"),)/12,)-1,)*Index!AL$22*(AP$15&lt;=$J27)*(1-AP$12)</f>
        <v>141216.54446249999</v>
      </c>
      <c r="AQ27" s="747">
        <f>$G27*$H27*(1+$K27)^MAX(ROUNDUP(IFERROR(DATEDIF($I27-1,AQ$15+1,"m"),)/12,)-1,)*Index!AM$22*(AQ$15&lt;=$J27)*(1-AQ$12)</f>
        <v>144746.95807406248</v>
      </c>
      <c r="AR27" s="747">
        <f>$G27*$H27*(1+$K27)^MAX(ROUNDUP(IFERROR(DATEDIF($I27-1,AR$15+1,"m"),)/12,)-1,)*Index!AN$22*(AR$15&lt;=$J27)*(1-AR$12)</f>
        <v>144746.95807406248</v>
      </c>
      <c r="AS27" s="747">
        <f>$G27*$H27*(1+$K27)^MAX(ROUNDUP(IFERROR(DATEDIF($I27-1,AS$15+1,"m"),)/12,)-1,)*Index!AO$22*(AS$15&lt;=$J27)*(1-AS$12)</f>
        <v>144746.95807406248</v>
      </c>
      <c r="AT27" s="747">
        <f>$G27*$H27*(1+$K27)^MAX(ROUNDUP(IFERROR(DATEDIF($I27-1,AT$15+1,"m"),)/12,)-1,)*Index!AP$22*(AT$15&lt;=$J27)*(1-AT$12)</f>
        <v>144746.95807406248</v>
      </c>
      <c r="AU27" s="747">
        <f>$G27*$H27*(1+$K27)^MAX(ROUNDUP(IFERROR(DATEDIF($I27-1,AU$15+1,"m"),)/12,)-1,)*Index!AQ$22*(AU$15&lt;=$J27)*(1-AU$12)</f>
        <v>144746.95807406248</v>
      </c>
      <c r="AV27" s="747">
        <f>$G27*$H27*(1+$K27)^MAX(ROUNDUP(IFERROR(DATEDIF($I27-1,AV$15+1,"m"),)/12,)-1,)*Index!AR$22*(AV$15&lt;=$J27)*(1-AV$12)</f>
        <v>144746.95807406248</v>
      </c>
      <c r="AW27" s="747">
        <f>$G27*$H27*(1+$K27)^MAX(ROUNDUP(IFERROR(DATEDIF($I27-1,AW$15+1,"m"),)/12,)-1,)*Index!AS$22*(AW$15&lt;=$J27)*(1-AW$12)</f>
        <v>144746.95807406248</v>
      </c>
      <c r="AX27" s="747">
        <f>$G27*$H27*(1+$K27)^MAX(ROUNDUP(IFERROR(DATEDIF($I27-1,AX$15+1,"m"),)/12,)-1,)*Index!AT$22*(AX$15&lt;=$J27)*(1-AX$12)</f>
        <v>144746.95807406248</v>
      </c>
      <c r="AY27" s="747">
        <f>$G27*$H27*(1+$K27)^MAX(ROUNDUP(IFERROR(DATEDIF($I27-1,AY$15+1,"m"),)/12,)-1,)*Index!AU$22*(AY$15&lt;=$J27)*(1-AY$12)</f>
        <v>144746.95807406248</v>
      </c>
      <c r="AZ27" s="747">
        <f>$G27*$H27*(1+$K27)^MAX(ROUNDUP(IFERROR(DATEDIF($I27-1,AZ$15+1,"m"),)/12,)-1,)*Index!AV$22*(AZ$15&lt;=$J27)*(1-AZ$12)</f>
        <v>144746.95807406248</v>
      </c>
      <c r="BA27" s="747">
        <f>$G27*$H27*(1+$K27)^MAX(ROUNDUP(IFERROR(DATEDIF($I27-1,BA$15+1,"m"),)/12,)-1,)*Index!AW$22*(BA$15&lt;=$J27)*(1-BA$12)</f>
        <v>144746.95807406248</v>
      </c>
      <c r="BB27" s="747">
        <f>$G27*$H27*(1+$K27)^MAX(ROUNDUP(IFERROR(DATEDIF($I27-1,BB$15+1,"m"),)/12,)-1,)*Index!AX$22*(BB$15&lt;=$J27)*(1-BB$12)</f>
        <v>144746.95807406248</v>
      </c>
      <c r="BC27" s="747">
        <f>$G27*$H27*(1+$K27)^MAX(ROUNDUP(IFERROR(DATEDIF($I27-1,BC$15+1,"m"),)/12,)-1,)*Index!AY$22*(BC$15&lt;=$J27)*(1-BC$12)</f>
        <v>148365.63202591403</v>
      </c>
      <c r="BD27" s="747">
        <f>$G27*$H27*(1+$K27)^MAX(ROUNDUP(IFERROR(DATEDIF($I27-1,BD$15+1,"m"),)/12,)-1,)*Index!AZ$22*(BD$15&lt;=$J27)*(1-BD$12)</f>
        <v>148365.63202591403</v>
      </c>
      <c r="BE27" s="747">
        <f>$G27*$H27*(1+$K27)^MAX(ROUNDUP(IFERROR(DATEDIF($I27-1,BE$15+1,"m"),)/12,)-1,)*Index!BA$22*(BE$15&lt;=$J27)*(1-BE$12)</f>
        <v>148365.63202591403</v>
      </c>
      <c r="BF27" s="747">
        <f>$G27*$H27*(1+$K27)^MAX(ROUNDUP(IFERROR(DATEDIF($I27-1,BF$15+1,"m"),)/12,)-1,)*Index!BB$22*(BF$15&lt;=$J27)*(1-BF$12)</f>
        <v>148365.63202591403</v>
      </c>
      <c r="BG27" s="747">
        <f>$G27*$H27*(1+$K27)^MAX(ROUNDUP(IFERROR(DATEDIF($I27-1,BG$15+1,"m"),)/12,)-1,)*Index!BC$22*(BG$15&lt;=$J27)*(1-BG$12)</f>
        <v>148365.63202591403</v>
      </c>
      <c r="BH27" s="747">
        <f>$G27*$H27*(1+$K27)^MAX(ROUNDUP(IFERROR(DATEDIF($I27-1,BH$15+1,"m"),)/12,)-1,)*Index!BD$22*(BH$15&lt;=$J27)*(1-BH$12)</f>
        <v>148365.63202591403</v>
      </c>
      <c r="BI27" s="747">
        <f>$G27*$H27*(1+$K27)^MAX(ROUNDUP(IFERROR(DATEDIF($I27-1,BI$15+1,"m"),)/12,)-1,)*Index!BE$22*(BI$15&lt;=$J27)*(1-BI$12)</f>
        <v>148365.63202591403</v>
      </c>
      <c r="BJ27" s="747">
        <f>$G27*$H27*(1+$K27)^MAX(ROUNDUP(IFERROR(DATEDIF($I27-1,BJ$15+1,"m"),)/12,)-1,)*Index!BF$22*(BJ$15&lt;=$J27)*(1-BJ$12)</f>
        <v>148365.63202591403</v>
      </c>
      <c r="BK27" s="747">
        <f>$G27*$H27*(1+$K27)^MAX(ROUNDUP(IFERROR(DATEDIF($I27-1,BK$15+1,"m"),)/12,)-1,)*Index!BG$22*(BK$15&lt;=$J27)*(1-BK$12)</f>
        <v>148365.63202591403</v>
      </c>
      <c r="BL27" s="747">
        <f>$G27*$H27*(1+$K27)^MAX(ROUNDUP(IFERROR(DATEDIF($I27-1,BL$15+1,"m"),)/12,)-1,)*Index!BH$22*(BL$15&lt;=$J27)*(1-BL$12)</f>
        <v>148365.63202591403</v>
      </c>
      <c r="BM27" s="747">
        <f>$G27*$H27*(1+$K27)^MAX(ROUNDUP(IFERROR(DATEDIF($I27-1,BM$15+1,"m"),)/12,)-1,)*Index!BI$22*(BM$15&lt;=$J27)*(1-BM$12)</f>
        <v>148365.63202591403</v>
      </c>
      <c r="BN27" s="747">
        <f>$G27*$H27*(1+$K27)^MAX(ROUNDUP(IFERROR(DATEDIF($I27-1,BN$15+1,"m"),)/12,)-1,)*Index!BJ$22*(BN$15&lt;=$J27)*(1-BN$12)</f>
        <v>148365.63202591403</v>
      </c>
      <c r="BO27" s="747">
        <f>$G27*$H27*(1+$K27)^MAX(ROUNDUP(IFERROR(DATEDIF($I27-1,BO$15+1,"m"),)/12,)-1,)*Index!BK$22*(BO$15&lt;=$J27)*(1-BO$12)</f>
        <v>152074.77282656185</v>
      </c>
      <c r="BP27" s="747">
        <f>$G27*$H27*(1+$K27)^MAX(ROUNDUP(IFERROR(DATEDIF($I27-1,BP$15+1,"m"),)/12,)-1,)*Index!BL$22*(BP$15&lt;=$J27)*(1-BP$12)</f>
        <v>152074.77282656185</v>
      </c>
      <c r="BQ27" s="747">
        <f>$G27*$H27*(1+$K27)^MAX(ROUNDUP(IFERROR(DATEDIF($I27-1,BQ$15+1,"m"),)/12,)-1,)*Index!BM$22*(BQ$15&lt;=$J27)*(1-BQ$12)</f>
        <v>152074.77282656185</v>
      </c>
      <c r="BR27" s="747">
        <f>$G27*$H27*(1+$K27)^MAX(ROUNDUP(IFERROR(DATEDIF($I27-1,BR$15+1,"m"),)/12,)-1,)*Index!BN$22*(BR$15&lt;=$J27)*(1-BR$12)</f>
        <v>152074.77282656185</v>
      </c>
      <c r="BS27" s="747">
        <f>$G27*$H27*(1+$K27)^MAX(ROUNDUP(IFERROR(DATEDIF($I27-1,BS$15+1,"m"),)/12,)-1,)*Index!BO$22*(BS$15&lt;=$J27)*(1-BS$12)</f>
        <v>152074.77282656185</v>
      </c>
      <c r="BT27" s="747">
        <f>$G27*$H27*(1+$K27)^MAX(ROUNDUP(IFERROR(DATEDIF($I27-1,BT$15+1,"m"),)/12,)-1,)*Index!BP$22*(BT$15&lt;=$J27)*(1-BT$12)</f>
        <v>152074.77282656185</v>
      </c>
      <c r="BU27" s="747">
        <f>$G27*$H27*(1+$K27)^MAX(ROUNDUP(IFERROR(DATEDIF($I27-1,BU$15+1,"m"),)/12,)-1,)*Index!BQ$22*(BU$15&lt;=$J27)*(1-BU$12)</f>
        <v>152074.77282656185</v>
      </c>
      <c r="BV27" s="747">
        <f>$G27*$H27*(1+$K27)^MAX(ROUNDUP(IFERROR(DATEDIF($I27-1,BV$15+1,"m"),)/12,)-1,)*Index!BR$22*(BV$15&lt;=$J27)*(1-BV$12)</f>
        <v>152074.77282656185</v>
      </c>
      <c r="BW27" s="747">
        <f>$G27*$H27*(1+$K27)^MAX(ROUNDUP(IFERROR(DATEDIF($I27-1,BW$15+1,"m"),)/12,)-1,)*Index!BS$22*(BW$15&lt;=$J27)*(1-BW$12)</f>
        <v>152074.77282656185</v>
      </c>
      <c r="BX27" s="747">
        <f>$G27*$H27*(1+$K27)^MAX(ROUNDUP(IFERROR(DATEDIF($I27-1,BX$15+1,"m"),)/12,)-1,)*Index!BT$22*(BX$15&lt;=$J27)*(1-BX$12)</f>
        <v>152074.77282656185</v>
      </c>
      <c r="BY27" s="747">
        <f>$G27*$H27*(1+$K27)^MAX(ROUNDUP(IFERROR(DATEDIF($I27-1,BY$15+1,"m"),)/12,)-1,)*Index!BU$22*(BY$15&lt;=$J27)*(1-BY$12)</f>
        <v>152074.77282656185</v>
      </c>
      <c r="BZ27" s="747">
        <f>$G27*$H27*(1+$K27)^MAX(ROUNDUP(IFERROR(DATEDIF($I27-1,BZ$15+1,"m"),)/12,)-1,)*Index!BV$22*(BZ$15&lt;=$J27)*(1-BZ$12)</f>
        <v>152074.77282656185</v>
      </c>
      <c r="CA27" s="747">
        <f>$G27*$H27*(1+$K27)^MAX(ROUNDUP(IFERROR(DATEDIF($I27-1,CA$15+1,"m"),)/12,)-1,)*Index!BW$22*(CA$15&lt;=$J27)*(1-CA$12)</f>
        <v>155876.64214722591</v>
      </c>
      <c r="CB27" s="747">
        <f>$G27*$H27*(1+$K27)^MAX(ROUNDUP(IFERROR(DATEDIF($I27-1,CB$15+1,"m"),)/12,)-1,)*Index!BX$22*(CB$15&lt;=$J27)*(1-CB$12)</f>
        <v>155876.64214722591</v>
      </c>
      <c r="CC27" s="747">
        <f>$G27*$H27*(1+$K27)^MAX(ROUNDUP(IFERROR(DATEDIF($I27-1,CC$15+1,"m"),)/12,)-1,)*Index!BY$22*(CC$15&lt;=$J27)*(1-CC$12)</f>
        <v>155876.64214722591</v>
      </c>
      <c r="CD27" s="747">
        <f>$G27*$H27*(1+$K27)^MAX(ROUNDUP(IFERROR(DATEDIF($I27-1,CD$15+1,"m"),)/12,)-1,)*Index!BZ$22*(CD$15&lt;=$J27)*(1-CD$12)</f>
        <v>155876.64214722591</v>
      </c>
      <c r="CE27" s="747">
        <f>$G27*$H27*(1+$K27)^MAX(ROUNDUP(IFERROR(DATEDIF($I27-1,CE$15+1,"m"),)/12,)-1,)*Index!CA$22*(CE$15&lt;=$J27)*(1-CE$12)</f>
        <v>155876.64214722591</v>
      </c>
      <c r="CF27" s="747">
        <f>$G27*$H27*(1+$K27)^MAX(ROUNDUP(IFERROR(DATEDIF($I27-1,CF$15+1,"m"),)/12,)-1,)*Index!CB$22*(CF$15&lt;=$J27)*(1-CF$12)</f>
        <v>155876.64214722591</v>
      </c>
      <c r="CG27" s="747">
        <f>$G27*$H27*(1+$K27)^MAX(ROUNDUP(IFERROR(DATEDIF($I27-1,CG$15+1,"m"),)/12,)-1,)*Index!CC$22*(CG$15&lt;=$J27)*(1-CG$12)</f>
        <v>155876.64214722591</v>
      </c>
      <c r="CH27" s="747">
        <f>$G27*$H27*(1+$K27)^MAX(ROUNDUP(IFERROR(DATEDIF($I27-1,CH$15+1,"m"),)/12,)-1,)*Index!CD$22*(CH$15&lt;=$J27)*(1-CH$12)</f>
        <v>155876.64214722591</v>
      </c>
      <c r="CI27" s="747">
        <f>$G27*$H27*(1+$K27)^MAX(ROUNDUP(IFERROR(DATEDIF($I27-1,CI$15+1,"m"),)/12,)-1,)*Index!CE$22*(CI$15&lt;=$J27)*(1-CI$12)</f>
        <v>155876.64214722591</v>
      </c>
      <c r="CJ27" s="747">
        <f>$G27*$H27*(1+$K27)^MAX(ROUNDUP(IFERROR(DATEDIF($I27-1,CJ$15+1,"m"),)/12,)-1,)*Index!CF$22*(CJ$15&lt;=$J27)*(1-CJ$12)</f>
        <v>155876.64214722591</v>
      </c>
      <c r="CK27" s="747">
        <f>$G27*$H27*(1+$K27)^MAX(ROUNDUP(IFERROR(DATEDIF($I27-1,CK$15+1,"m"),)/12,)-1,)*Index!CG$22*(CK$15&lt;=$J27)*(1-CK$12)</f>
        <v>155876.64214722591</v>
      </c>
      <c r="CL27" s="747">
        <f>$G27*$H27*(1+$K27)^MAX(ROUNDUP(IFERROR(DATEDIF($I27-1,CL$15+1,"m"),)/12,)-1,)*Index!CH$22*(CL$15&lt;=$J27)*(1-CL$12)</f>
        <v>155876.64214722591</v>
      </c>
      <c r="CM27" s="747">
        <f>$G27*$H27*(1+$K27)^MAX(ROUNDUP(IFERROR(DATEDIF($I27-1,CM$15+1,"m"),)/12,)-1,)*Index!CI$22*(CM$15&lt;=$J27)*(1-CM$12)</f>
        <v>159773.55820090655</v>
      </c>
      <c r="CN27" s="747">
        <f>$G27*$H27*(1+$K27)^MAX(ROUNDUP(IFERROR(DATEDIF($I27-1,CN$15+1,"m"),)/12,)-1,)*Index!CJ$22*(CN$15&lt;=$J27)*(1-CN$12)</f>
        <v>159773.55820090655</v>
      </c>
      <c r="CO27" s="747">
        <f>$G27*$H27*(1+$K27)^MAX(ROUNDUP(IFERROR(DATEDIF($I27-1,CO$15+1,"m"),)/12,)-1,)*Index!CK$22*(CO$15&lt;=$J27)*(1-CO$12)</f>
        <v>159773.55820090655</v>
      </c>
      <c r="CP27" s="747">
        <f>$G27*$H27*(1+$K27)^MAX(ROUNDUP(IFERROR(DATEDIF($I27-1,CP$15+1,"m"),)/12,)-1,)*Index!CL$22*(CP$15&lt;=$J27)*(1-CP$12)</f>
        <v>159773.55820090655</v>
      </c>
      <c r="CQ27" s="747">
        <f>$G27*$H27*(1+$K27)^MAX(ROUNDUP(IFERROR(DATEDIF($I27-1,CQ$15+1,"m"),)/12,)-1,)*Index!CM$22*(CQ$15&lt;=$J27)*(1-CQ$12)</f>
        <v>159773.55820090655</v>
      </c>
      <c r="CR27" s="747">
        <f>$G27*$H27*(1+$K27)^MAX(ROUNDUP(IFERROR(DATEDIF($I27-1,CR$15+1,"m"),)/12,)-1,)*Index!CN$22*(CR$15&lt;=$J27)*(1-CR$12)</f>
        <v>159773.55820090655</v>
      </c>
      <c r="CS27" s="747">
        <f>$G27*$H27*(1+$K27)^MAX(ROUNDUP(IFERROR(DATEDIF($I27-1,CS$15+1,"m"),)/12,)-1,)*Index!CO$22*(CS$15&lt;=$J27)*(1-CS$12)</f>
        <v>159773.55820090655</v>
      </c>
      <c r="CT27" s="747">
        <f>$G27*$H27*(1+$K27)^MAX(ROUNDUP(IFERROR(DATEDIF($I27-1,CT$15+1,"m"),)/12,)-1,)*Index!CP$22*(CT$15&lt;=$J27)*(1-CT$12)</f>
        <v>159773.55820090655</v>
      </c>
      <c r="CU27" s="747">
        <f>$G27*$H27*(1+$K27)^MAX(ROUNDUP(IFERROR(DATEDIF($I27-1,CU$15+1,"m"),)/12,)-1,)*Index!CQ$22*(CU$15&lt;=$J27)*(1-CU$12)</f>
        <v>159773.55820090655</v>
      </c>
      <c r="CV27" s="747">
        <f>$G27*$H27*(1+$K27)^MAX(ROUNDUP(IFERROR(DATEDIF($I27-1,CV$15+1,"m"),)/12,)-1,)*Index!CR$22*(CV$15&lt;=$J27)*(1-CV$12)</f>
        <v>159773.55820090655</v>
      </c>
      <c r="CW27" s="747">
        <f>$G27*$H27*(1+$K27)^MAX(ROUNDUP(IFERROR(DATEDIF($I27-1,CW$15+1,"m"),)/12,)-1,)*Index!CS$22*(CW$15&lt;=$J27)*(1-CW$12)</f>
        <v>159773.55820090655</v>
      </c>
      <c r="CX27" s="747">
        <f>$G27*$H27*(1+$K27)^MAX(ROUNDUP(IFERROR(DATEDIF($I27-1,CX$15+1,"m"),)/12,)-1,)*Index!CT$22*(CX$15&lt;=$J27)*(1-CX$12)</f>
        <v>159773.55820090655</v>
      </c>
      <c r="CY27" s="747">
        <f>$G27*$H27*(1+$K27)^MAX(ROUNDUP(IFERROR(DATEDIF($I27-1,CY$15+1,"m"),)/12,)-1,)*Index!CU$22*(CY$15&lt;=$J27)*(1-CY$12)</f>
        <v>163767.89715592918</v>
      </c>
      <c r="CZ27" s="747">
        <f>$G27*$H27*(1+$K27)^MAX(ROUNDUP(IFERROR(DATEDIF($I27-1,CZ$15+1,"m"),)/12,)-1,)*Index!CV$22*(CZ$15&lt;=$J27)*(1-CZ$12)</f>
        <v>163767.89715592918</v>
      </c>
      <c r="DA27" s="747">
        <f>$G27*$H27*(1+$K27)^MAX(ROUNDUP(IFERROR(DATEDIF($I27-1,DA$15+1,"m"),)/12,)-1,)*Index!CW$22*(DA$15&lt;=$J27)*(1-DA$12)</f>
        <v>163767.89715592918</v>
      </c>
      <c r="DB27" s="747">
        <f>$G27*$H27*(1+$K27)^MAX(ROUNDUP(IFERROR(DATEDIF($I27-1,DB$15+1,"m"),)/12,)-1,)*Index!CX$22*(DB$15&lt;=$J27)*(1-DB$12)</f>
        <v>163767.89715592918</v>
      </c>
      <c r="DC27" s="747">
        <f>$G27*$H27*(1+$K27)^MAX(ROUNDUP(IFERROR(DATEDIF($I27-1,DC$15+1,"m"),)/12,)-1,)*Index!CY$22*(DC$15&lt;=$J27)*(1-DC$12)</f>
        <v>0</v>
      </c>
      <c r="DD27" s="747">
        <f>$G27*$H27*(1+$K27)^MAX(ROUNDUP(IFERROR(DATEDIF($I27-1,DD$15+1,"m"),)/12,)-1,)*Index!CZ$22*(DD$15&lt;=$J27)*(1-DD$12)</f>
        <v>0</v>
      </c>
      <c r="DE27" s="747">
        <f>$G27*$H27*(1+$K27)^MAX(ROUNDUP(IFERROR(DATEDIF($I27-1,DE$15+1,"m"),)/12,)-1,)*Index!DA$22*(DE$15&lt;=$J27)*(1-DE$12)</f>
        <v>0</v>
      </c>
      <c r="DF27" s="747">
        <f>$G27*$H27*(1+$K27)^MAX(ROUNDUP(IFERROR(DATEDIF($I27-1,DF$15+1,"m"),)/12,)-1,)*Index!DB$22*(DF$15&lt;=$J27)*(1-DF$12)</f>
        <v>0</v>
      </c>
      <c r="DG27" s="747">
        <f>$G27*$H27*(1+$K27)^MAX(ROUNDUP(IFERROR(DATEDIF($I27-1,DG$15+1,"m"),)/12,)-1,)*Index!DC$22*(DG$15&lt;=$J27)*(1-DG$12)</f>
        <v>0</v>
      </c>
      <c r="DH27" s="747">
        <f>$G27*$H27*(1+$K27)^MAX(ROUNDUP(IFERROR(DATEDIF($I27-1,DH$15+1,"m"),)/12,)-1,)*Index!DD$22*(DH$15&lt;=$J27)*(1-DH$12)</f>
        <v>0</v>
      </c>
      <c r="DI27" s="747">
        <f>$G27*$H27*(1+$K27)^MAX(ROUNDUP(IFERROR(DATEDIF($I27-1,DI$15+1,"m"),)/12,)-1,)*Index!DE$22*(DI$15&lt;=$J27)*(1-DI$12)</f>
        <v>0</v>
      </c>
      <c r="DJ27" s="747">
        <f>$G27*$H27*(1+$K27)^MAX(ROUNDUP(IFERROR(DATEDIF($I27-1,DJ$15+1,"m"),)/12,)-1,)*Index!DF$22*(DJ$15&lt;=$J27)*(1-DJ$12)</f>
        <v>0</v>
      </c>
      <c r="DK27" s="747">
        <f>$G27*$H27*(1+$K27)^MAX(ROUNDUP(IFERROR(DATEDIF($I27-1,DK$15+1,"m"),)/12,)-1,)*Index!DG$22*(DK$15&lt;=$J27)*(1-DK$12)</f>
        <v>0</v>
      </c>
      <c r="DL27" s="747">
        <f>$G27*$H27*(1+$K27)^MAX(ROUNDUP(IFERROR(DATEDIF($I27-1,DL$15+1,"m"),)/12,)-1,)*Index!DH$22*(DL$15&lt;=$J27)*(1-DL$12)</f>
        <v>0</v>
      </c>
      <c r="DM27" s="747">
        <f>$G27*$H27*(1+$K27)^MAX(ROUNDUP(IFERROR(DATEDIF($I27-1,DM$15+1,"m"),)/12,)-1,)*Index!DI$22*(DM$15&lt;=$J27)*(1-DM$12)</f>
        <v>0</v>
      </c>
      <c r="DN27" s="747">
        <f>$G27*$H27*(1+$K27)^MAX(ROUNDUP(IFERROR(DATEDIF($I27-1,DN$15+1,"m"),)/12,)-1,)*Index!DJ$22*(DN$15&lt;=$J27)*(1-DN$12)</f>
        <v>0</v>
      </c>
      <c r="DO27" s="747">
        <f>$G27*$H27*(1+$K27)^MAX(ROUNDUP(IFERROR(DATEDIF($I27-1,DO$15+1,"m"),)/12,)-1,)*Index!DK$22*(DO$15&lt;=$J27)*(1-DO$12)</f>
        <v>0</v>
      </c>
      <c r="DP27" s="747">
        <f>$G27*$H27*(1+$K27)^MAX(ROUNDUP(IFERROR(DATEDIF($I27-1,DP$15+1,"m"),)/12,)-1,)*Index!DL$22*(DP$15&lt;=$J27)*(1-DP$12)</f>
        <v>0</v>
      </c>
      <c r="DQ27" s="747">
        <f>$G27*$H27*(1+$K27)^MAX(ROUNDUP(IFERROR(DATEDIF($I27-1,DQ$15+1,"m"),)/12,)-1,)*Index!DM$22*(DQ$15&lt;=$J27)*(1-DQ$12)</f>
        <v>0</v>
      </c>
      <c r="DR27" s="747">
        <f>$G27*$H27*(1+$K27)^MAX(ROUNDUP(IFERROR(DATEDIF($I27-1,DR$15+1,"m"),)/12,)-1,)*Index!DN$22*(DR$15&lt;=$J27)*(1-DR$12)</f>
        <v>0</v>
      </c>
      <c r="DS27" s="747">
        <f>$G27*$H27*(1+$K27)^MAX(ROUNDUP(IFERROR(DATEDIF($I27-1,DS$15+1,"m"),)/12,)-1,)*Index!DO$22*(DS$15&lt;=$J27)*(1-DS$12)</f>
        <v>0</v>
      </c>
      <c r="DT27" s="747">
        <f>$G27*$H27*(1+$K27)^MAX(ROUNDUP(IFERROR(DATEDIF($I27-1,DT$15+1,"m"),)/12,)-1,)*Index!DP$22*(DT$15&lt;=$J27)*(1-DT$12)</f>
        <v>0</v>
      </c>
      <c r="DU27" s="747">
        <f>$G27*$H27*(1+$K27)^MAX(ROUNDUP(IFERROR(DATEDIF($I27-1,DU$15+1,"m"),)/12,)-1,)*Index!DQ$22*(DU$15&lt;=$J27)*(1-DU$12)</f>
        <v>0</v>
      </c>
      <c r="DV27" s="747">
        <f>$G27*$H27*(1+$K27)^MAX(ROUNDUP(IFERROR(DATEDIF($I27-1,DV$15+1,"m"),)/12,)-1,)*Index!DR$22*(DV$15&lt;=$J27)*(1-DV$12)</f>
        <v>0</v>
      </c>
      <c r="DW27" s="747">
        <f>$G27*$H27*(1+$K27)^MAX(ROUNDUP(IFERROR(DATEDIF($I27-1,DW$15+1,"m"),)/12,)-1,)*Index!DS$22*(DW$15&lt;=$J27)*(1-DW$12)</f>
        <v>0</v>
      </c>
      <c r="DX27" s="747">
        <f>$G27*$H27*(1+$K27)^MAX(ROUNDUP(IFERROR(DATEDIF($I27-1,DX$15+1,"m"),)/12,)-1,)*Index!DT$22*(DX$15&lt;=$J27)*(1-DX$12)</f>
        <v>0</v>
      </c>
      <c r="DY27" s="747">
        <f>$G27*$H27*(1+$K27)^MAX(ROUNDUP(IFERROR(DATEDIF($I27-1,DY$15+1,"m"),)/12,)-1,)*Index!DU$22*(DY$15&lt;=$J27)*(1-DY$12)</f>
        <v>0</v>
      </c>
      <c r="DZ27" s="747">
        <f>$G27*$H27*(1+$K27)^MAX(ROUNDUP(IFERROR(DATEDIF($I27-1,DZ$15+1,"m"),)/12,)-1,)*Index!DV$22*(DZ$15&lt;=$J27)*(1-DZ$12)</f>
        <v>0</v>
      </c>
      <c r="EA27" s="747">
        <f>$G27*$H27*(1+$K27)^MAX(ROUNDUP(IFERROR(DATEDIF($I27-1,EA$15+1,"m"),)/12,)-1,)*Index!DW$22*(EA$15&lt;=$J27)*(1-EA$12)</f>
        <v>0</v>
      </c>
      <c r="EB27" s="747">
        <f>$G27*$H27*(1+$K27)^MAX(ROUNDUP(IFERROR(DATEDIF($I27-1,EB$15+1,"m"),)/12,)-1,)*Index!DX$22*(EB$15&lt;=$J27)*(1-EB$12)</f>
        <v>0</v>
      </c>
      <c r="EC27" s="747">
        <f>$G27*$H27*(1+$K27)^MAX(ROUNDUP(IFERROR(DATEDIF($I27-1,EC$15+1,"m"),)/12,)-1,)*Index!DY$22*(EC$15&lt;=$J27)*(1-EC$12)</f>
        <v>0</v>
      </c>
      <c r="ED27" s="747">
        <f>$G27*$H27*(1+$K27)^MAX(ROUNDUP(IFERROR(DATEDIF($I27-1,ED$15+1,"m"),)/12,)-1,)*Index!DZ$22*(ED$15&lt;=$J27)*(1-ED$12)</f>
        <v>0</v>
      </c>
      <c r="EE27" s="747">
        <f>$G27*$H27*(1+$K27)^MAX(ROUNDUP(IFERROR(DATEDIF($I27-1,EE$15+1,"m"),)/12,)-1,)*Index!EA$22*(EE$15&lt;=$J27)*(1-EE$12)</f>
        <v>0</v>
      </c>
      <c r="EF27" s="747">
        <f>$G27*$H27*(1+$K27)^MAX(ROUNDUP(IFERROR(DATEDIF($I27-1,EF$15+1,"m"),)/12,)-1,)*Index!EB$22*(EF$15&lt;=$J27)*(1-EF$12)</f>
        <v>0</v>
      </c>
      <c r="EG27" s="747">
        <f>$G27*$H27*(1+$K27)^MAX(ROUNDUP(IFERROR(DATEDIF($I27-1,EG$15+1,"m"),)/12,)-1,)*Index!EC$22*(EG$15&lt;=$J27)*(1-EG$12)</f>
        <v>0</v>
      </c>
      <c r="EH27" s="747">
        <f>$G27*$H27*(1+$K27)^MAX(ROUNDUP(IFERROR(DATEDIF($I27-1,EH$15+1,"m"),)/12,)-1,)*Index!ED$22*(EH$15&lt;=$J27)*(1-EH$12)</f>
        <v>0</v>
      </c>
      <c r="EI27" s="747">
        <f>$G27*$H27*(1+$K27)^MAX(ROUNDUP(IFERROR(DATEDIF($I27-1,EI$15+1,"m"),)/12,)-1,)*Index!EE$22*(EI$15&lt;=$J27)*(1-EI$12)</f>
        <v>0</v>
      </c>
      <c r="EJ27" s="747">
        <f>$G27*$H27*(1+$K27)^MAX(ROUNDUP(IFERROR(DATEDIF($I27-1,EJ$15+1,"m"),)/12,)-1,)*Index!EF$22*(EJ$15&lt;=$J27)*(1-EJ$12)</f>
        <v>0</v>
      </c>
      <c r="EK27" s="747">
        <f>$G27*$H27*(1+$K27)^MAX(ROUNDUP(IFERROR(DATEDIF($I27-1,EK$15+1,"m"),)/12,)-1,)*Index!EG$22*(EK$15&lt;=$J27)*(1-EK$12)</f>
        <v>0</v>
      </c>
      <c r="EL27" s="747">
        <f>$G27*$H27*(1+$K27)^MAX(ROUNDUP(IFERROR(DATEDIF($I27-1,EL$15+1,"m"),)/12,)-1,)*Index!EH$22*(EL$15&lt;=$J27)*(1-EL$12)</f>
        <v>0</v>
      </c>
      <c r="EM27" s="747">
        <f>$G27*$H27*(1+$K27)^MAX(ROUNDUP(IFERROR(DATEDIF($I27-1,EM$15+1,"m"),)/12,)-1,)*Index!EI$22*(EM$15&lt;=$J27)*(1-EM$12)</f>
        <v>0</v>
      </c>
      <c r="EN27" s="747">
        <f>$G27*$H27*(1+$K27)^MAX(ROUNDUP(IFERROR(DATEDIF($I27-1,EN$15+1,"m"),)/12,)-1,)*Index!EJ$22*(EN$15&lt;=$J27)*(1-EN$12)</f>
        <v>0</v>
      </c>
      <c r="EO27" s="747">
        <f>$G27*$H27*(1+$K27)^MAX(ROUNDUP(IFERROR(DATEDIF($I27-1,EO$15+1,"m"),)/12,)-1,)*Index!EK$22*(EO$15&lt;=$J27)*(1-EO$12)</f>
        <v>0</v>
      </c>
      <c r="EP27" s="747">
        <f>$G27*$H27*(1+$K27)^MAX(ROUNDUP(IFERROR(DATEDIF($I27-1,EP$15+1,"m"),)/12,)-1,)*Index!EL$22*(EP$15&lt;=$J27)*(1-EP$12)</f>
        <v>0</v>
      </c>
      <c r="EQ27" s="747">
        <f>$G27*$H27*(1+$K27)^MAX(ROUNDUP(IFERROR(DATEDIF($I27-1,EQ$15+1,"m"),)/12,)-1,)*Index!EM$22*(EQ$15&lt;=$J27)*(1-EQ$12)</f>
        <v>0</v>
      </c>
      <c r="ER27" s="747">
        <f>$G27*$H27*(1+$K27)^MAX(ROUNDUP(IFERROR(DATEDIF($I27-1,ER$15+1,"m"),)/12,)-1,)*Index!EN$22*(ER$15&lt;=$J27)*(1-ER$12)</f>
        <v>0</v>
      </c>
      <c r="ES27" s="747">
        <f>$G27*$H27*(1+$K27)^MAX(ROUNDUP(IFERROR(DATEDIF($I27-1,ES$15+1,"m"),)/12,)-1,)*Index!EO$22*(ES$15&lt;=$J27)*(1-ES$12)</f>
        <v>0</v>
      </c>
      <c r="ET27" s="747">
        <f>$G27*$H27*(1+$K27)^MAX(ROUNDUP(IFERROR(DATEDIF($I27-1,ET$15+1,"m"),)/12,)-1,)*Index!EP$22*(ET$15&lt;=$J27)*(1-ET$12)</f>
        <v>0</v>
      </c>
      <c r="EU27" s="747">
        <f>$G27*$H27*(1+$K27)^MAX(ROUNDUP(IFERROR(DATEDIF($I27-1,EU$15+1,"m"),)/12,)-1,)*Index!EQ$22*(EU$15&lt;=$J27)*(1-EU$12)</f>
        <v>0</v>
      </c>
    </row>
    <row r="28" spans="3:151" ht="11.25" customHeight="1">
      <c r="C28" s="735"/>
      <c r="D28" s="743">
        <f>'A&amp;R'!V17</f>
        <v>1</v>
      </c>
      <c r="E28" s="704" t="str">
        <f>'A&amp;R'!W17</f>
        <v>지오영</v>
      </c>
      <c r="F28" s="704" t="str">
        <f>'A&amp;R'!X17</f>
        <v>상온창고</v>
      </c>
      <c r="G28" s="752">
        <f>'A&amp;R'!AC17/1000</f>
        <v>60</v>
      </c>
      <c r="H28" s="744">
        <f>'A&amp;R'!Y17</f>
        <v>1092.94</v>
      </c>
      <c r="I28" s="745">
        <f>'A&amp;R'!Z17</f>
        <v>45689</v>
      </c>
      <c r="J28" s="745">
        <f>'A&amp;R'!AA17</f>
        <v>49340</v>
      </c>
      <c r="K28" s="754">
        <f>'A&amp;R'!AF17</f>
        <v>2.5000000000000001E-2</v>
      </c>
      <c r="L28" s="711"/>
      <c r="M28" s="722"/>
      <c r="N28" s="747">
        <f t="shared" si="7"/>
        <v>7424270.2399382461</v>
      </c>
      <c r="O28" s="733"/>
      <c r="P28" s="747">
        <f>$G28*$H28*(1+$K28)^MAX(ROUNDUP(IFERROR(DATEDIF($I28-1,P$15+1,"m"),)/12,)-1,)*Index!L$22*(P$15&lt;=$J28)*(1-P$12)</f>
        <v>0</v>
      </c>
      <c r="Q28" s="747">
        <f>$G28*$H28*(1+$K28)^MAX(ROUNDUP(IFERROR(DATEDIF($I28-1,Q$15+1,"m"),)/12,)-1,)*Index!M$22*(Q$15&lt;=$J28)*(1-Q$12)</f>
        <v>67215.81</v>
      </c>
      <c r="R28" s="747">
        <f>$G28*$H28*(1+$K28)^MAX(ROUNDUP(IFERROR(DATEDIF($I28-1,R$15+1,"m"),)/12,)-1,)*Index!N$22*(R$15&lt;=$J28)*(1-R$12)</f>
        <v>67215.81</v>
      </c>
      <c r="S28" s="747">
        <f>$G28*$H28*(1+$K28)^MAX(ROUNDUP(IFERROR(DATEDIF($I28-1,S$15+1,"m"),)/12,)-1,)*Index!O$22*(S$15&lt;=$J28)*(1-S$12)</f>
        <v>67215.81</v>
      </c>
      <c r="T28" s="747">
        <f>$G28*$H28*(1+$K28)^MAX(ROUNDUP(IFERROR(DATEDIF($I28-1,T$15+1,"m"),)/12,)-1,)*Index!P$22*(T$15&lt;=$J28)*(1-T$12)</f>
        <v>68896.205249999999</v>
      </c>
      <c r="U28" s="747">
        <f>$G28*$H28*(1+$K28)^MAX(ROUNDUP(IFERROR(DATEDIF($I28-1,U$15+1,"m"),)/12,)-1,)*Index!Q$22*(U$15&lt;=$J28)*(1-U$12)</f>
        <v>68896.205249999999</v>
      </c>
      <c r="V28" s="747">
        <f>$G28*$H28*(1+$K28)^MAX(ROUNDUP(IFERROR(DATEDIF($I28-1,V$15+1,"m"),)/12,)-1,)*Index!R$22*(V$15&lt;=$J28)*(1-V$12)</f>
        <v>68896.205249999999</v>
      </c>
      <c r="W28" s="747">
        <f>$G28*$H28*(1+$K28)^MAX(ROUNDUP(IFERROR(DATEDIF($I28-1,W$15+1,"m"),)/12,)-1,)*Index!S$22*(W$15&lt;=$J28)*(1-W$12)</f>
        <v>68896.205249999999</v>
      </c>
      <c r="X28" s="747">
        <f>$G28*$H28*(1+$K28)^MAX(ROUNDUP(IFERROR(DATEDIF($I28-1,X$15+1,"m"),)/12,)-1,)*Index!T$22*(X$15&lt;=$J28)*(1-X$12)</f>
        <v>68896.205249999999</v>
      </c>
      <c r="Y28" s="747">
        <f>$G28*$H28*(1+$K28)^MAX(ROUNDUP(IFERROR(DATEDIF($I28-1,Y$15+1,"m"),)/12,)-1,)*Index!U$22*(Y$15&lt;=$J28)*(1-Y$12)</f>
        <v>68896.205249999999</v>
      </c>
      <c r="Z28" s="747">
        <f>$G28*$H28*(1+$K28)^MAX(ROUNDUP(IFERROR(DATEDIF($I28-1,Z$15+1,"m"),)/12,)-1,)*Index!V$22*(Z$15&lt;=$J28)*(1-Z$12)</f>
        <v>68896.205249999999</v>
      </c>
      <c r="AA28" s="747">
        <f>$G28*$H28*(1+$K28)^MAX(ROUNDUP(IFERROR(DATEDIF($I28-1,AA$15+1,"m"),)/12,)-1,)*Index!W$22*(AA$15&lt;=$J28)*(1-AA$12)</f>
        <v>68896.205249999999</v>
      </c>
      <c r="AB28" s="747">
        <f>$G28*$H28*(1+$K28)^MAX(ROUNDUP(IFERROR(DATEDIF($I28-1,AB$15+1,"m"),)/12,)-1,)*Index!X$22*(AB$15&lt;=$J28)*(1-AB$12)</f>
        <v>68896.205249999999</v>
      </c>
      <c r="AC28" s="747">
        <f>$G28*$H28*(1+$K28)^MAX(ROUNDUP(IFERROR(DATEDIF($I28-1,AC$15+1,"m"),)/12,)-1,)*Index!Y$22*(AC$15&lt;=$J28)*(1-AC$12)</f>
        <v>68896.205249999999</v>
      </c>
      <c r="AD28" s="747">
        <f>$G28*$H28*(1+$K28)^MAX(ROUNDUP(IFERROR(DATEDIF($I28-1,AD$15+1,"m"),)/12,)-1,)*Index!Z$22*(AD$15&lt;=$J28)*(1-AD$12)</f>
        <v>68896.205249999999</v>
      </c>
      <c r="AE28" s="747">
        <f>$G28*$H28*(1+$K28)^MAX(ROUNDUP(IFERROR(DATEDIF($I28-1,AE$15+1,"m"),)/12,)-1,)*Index!AA$22*(AE$15&lt;=$J28)*(1-AE$12)</f>
        <v>68896.205249999999</v>
      </c>
      <c r="AF28" s="747">
        <f>$G28*$H28*(1+$K28)^MAX(ROUNDUP(IFERROR(DATEDIF($I28-1,AF$15+1,"m"),)/12,)-1,)*Index!AB$22*(AF$15&lt;=$J28)*(1-AF$12)</f>
        <v>70618.610381250008</v>
      </c>
      <c r="AG28" s="747">
        <f>$G28*$H28*(1+$K28)^MAX(ROUNDUP(IFERROR(DATEDIF($I28-1,AG$15+1,"m"),)/12,)-1,)*Index!AC$22*(AG$15&lt;=$J28)*(1-AG$12)</f>
        <v>70618.610381250008</v>
      </c>
      <c r="AH28" s="747">
        <f>$G28*$H28*(1+$K28)^MAX(ROUNDUP(IFERROR(DATEDIF($I28-1,AH$15+1,"m"),)/12,)-1,)*Index!AD$22*(AH$15&lt;=$J28)*(1-AH$12)</f>
        <v>70618.610381250008</v>
      </c>
      <c r="AI28" s="747">
        <f>$G28*$H28*(1+$K28)^MAX(ROUNDUP(IFERROR(DATEDIF($I28-1,AI$15+1,"m"),)/12,)-1,)*Index!AE$22*(AI$15&lt;=$J28)*(1-AI$12)</f>
        <v>70618.610381250008</v>
      </c>
      <c r="AJ28" s="747">
        <f>$G28*$H28*(1+$K28)^MAX(ROUNDUP(IFERROR(DATEDIF($I28-1,AJ$15+1,"m"),)/12,)-1,)*Index!AF$22*(AJ$15&lt;=$J28)*(1-AJ$12)</f>
        <v>70618.610381250008</v>
      </c>
      <c r="AK28" s="747">
        <f>$G28*$H28*(1+$K28)^MAX(ROUNDUP(IFERROR(DATEDIF($I28-1,AK$15+1,"m"),)/12,)-1,)*Index!AG$22*(AK$15&lt;=$J28)*(1-AK$12)</f>
        <v>70618.610381250008</v>
      </c>
      <c r="AL28" s="747">
        <f>$G28*$H28*(1+$K28)^MAX(ROUNDUP(IFERROR(DATEDIF($I28-1,AL$15+1,"m"),)/12,)-1,)*Index!AH$22*(AL$15&lt;=$J28)*(1-AL$12)</f>
        <v>70618.610381250008</v>
      </c>
      <c r="AM28" s="747">
        <f>$G28*$H28*(1+$K28)^MAX(ROUNDUP(IFERROR(DATEDIF($I28-1,AM$15+1,"m"),)/12,)-1,)*Index!AI$22*(AM$15&lt;=$J28)*(1-AM$12)</f>
        <v>70618.610381250008</v>
      </c>
      <c r="AN28" s="747">
        <f>$G28*$H28*(1+$K28)^MAX(ROUNDUP(IFERROR(DATEDIF($I28-1,AN$15+1,"m"),)/12,)-1,)*Index!AJ$22*(AN$15&lt;=$J28)*(1-AN$12)</f>
        <v>70618.610381250008</v>
      </c>
      <c r="AO28" s="747">
        <f>$G28*$H28*(1+$K28)^MAX(ROUNDUP(IFERROR(DATEDIF($I28-1,AO$15+1,"m"),)/12,)-1,)*Index!AK$22*(AO$15&lt;=$J28)*(1-AO$12)</f>
        <v>70618.610381250008</v>
      </c>
      <c r="AP28" s="747">
        <f>$G28*$H28*(1+$K28)^MAX(ROUNDUP(IFERROR(DATEDIF($I28-1,AP$15+1,"m"),)/12,)-1,)*Index!AL$22*(AP$15&lt;=$J28)*(1-AP$12)</f>
        <v>70618.610381250008</v>
      </c>
      <c r="AQ28" s="747">
        <f>$G28*$H28*(1+$K28)^MAX(ROUNDUP(IFERROR(DATEDIF($I28-1,AQ$15+1,"m"),)/12,)-1,)*Index!AM$22*(AQ$15&lt;=$J28)*(1-AQ$12)</f>
        <v>70618.610381250008</v>
      </c>
      <c r="AR28" s="747">
        <f>$G28*$H28*(1+$K28)^MAX(ROUNDUP(IFERROR(DATEDIF($I28-1,AR$15+1,"m"),)/12,)-1,)*Index!AN$22*(AR$15&lt;=$J28)*(1-AR$12)</f>
        <v>72384.075640781244</v>
      </c>
      <c r="AS28" s="747">
        <f>$G28*$H28*(1+$K28)^MAX(ROUNDUP(IFERROR(DATEDIF($I28-1,AS$15+1,"m"),)/12,)-1,)*Index!AO$22*(AS$15&lt;=$J28)*(1-AS$12)</f>
        <v>72384.075640781244</v>
      </c>
      <c r="AT28" s="747">
        <f>$G28*$H28*(1+$K28)^MAX(ROUNDUP(IFERROR(DATEDIF($I28-1,AT$15+1,"m"),)/12,)-1,)*Index!AP$22*(AT$15&lt;=$J28)*(1-AT$12)</f>
        <v>72384.075640781244</v>
      </c>
      <c r="AU28" s="747">
        <f>$G28*$H28*(1+$K28)^MAX(ROUNDUP(IFERROR(DATEDIF($I28-1,AU$15+1,"m"),)/12,)-1,)*Index!AQ$22*(AU$15&lt;=$J28)*(1-AU$12)</f>
        <v>72384.075640781244</v>
      </c>
      <c r="AV28" s="747">
        <f>$G28*$H28*(1+$K28)^MAX(ROUNDUP(IFERROR(DATEDIF($I28-1,AV$15+1,"m"),)/12,)-1,)*Index!AR$22*(AV$15&lt;=$J28)*(1-AV$12)</f>
        <v>72384.075640781244</v>
      </c>
      <c r="AW28" s="747">
        <f>$G28*$H28*(1+$K28)^MAX(ROUNDUP(IFERROR(DATEDIF($I28-1,AW$15+1,"m"),)/12,)-1,)*Index!AS$22*(AW$15&lt;=$J28)*(1-AW$12)</f>
        <v>72384.075640781244</v>
      </c>
      <c r="AX28" s="747">
        <f>$G28*$H28*(1+$K28)^MAX(ROUNDUP(IFERROR(DATEDIF($I28-1,AX$15+1,"m"),)/12,)-1,)*Index!AT$22*(AX$15&lt;=$J28)*(1-AX$12)</f>
        <v>72384.075640781244</v>
      </c>
      <c r="AY28" s="747">
        <f>$G28*$H28*(1+$K28)^MAX(ROUNDUP(IFERROR(DATEDIF($I28-1,AY$15+1,"m"),)/12,)-1,)*Index!AU$22*(AY$15&lt;=$J28)*(1-AY$12)</f>
        <v>72384.075640781244</v>
      </c>
      <c r="AZ28" s="747">
        <f>$G28*$H28*(1+$K28)^MAX(ROUNDUP(IFERROR(DATEDIF($I28-1,AZ$15+1,"m"),)/12,)-1,)*Index!AV$22*(AZ$15&lt;=$J28)*(1-AZ$12)</f>
        <v>72384.075640781244</v>
      </c>
      <c r="BA28" s="747">
        <f>$G28*$H28*(1+$K28)^MAX(ROUNDUP(IFERROR(DATEDIF($I28-1,BA$15+1,"m"),)/12,)-1,)*Index!AW$22*(BA$15&lt;=$J28)*(1-BA$12)</f>
        <v>72384.075640781244</v>
      </c>
      <c r="BB28" s="747">
        <f>$G28*$H28*(1+$K28)^MAX(ROUNDUP(IFERROR(DATEDIF($I28-1,BB$15+1,"m"),)/12,)-1,)*Index!AX$22*(BB$15&lt;=$J28)*(1-BB$12)</f>
        <v>72384.075640781244</v>
      </c>
      <c r="BC28" s="747">
        <f>$G28*$H28*(1+$K28)^MAX(ROUNDUP(IFERROR(DATEDIF($I28-1,BC$15+1,"m"),)/12,)-1,)*Index!AY$22*(BC$15&lt;=$J28)*(1-BC$12)</f>
        <v>72384.075640781244</v>
      </c>
      <c r="BD28" s="747">
        <f>$G28*$H28*(1+$K28)^MAX(ROUNDUP(IFERROR(DATEDIF($I28-1,BD$15+1,"m"),)/12,)-1,)*Index!AZ$22*(BD$15&lt;=$J28)*(1-BD$12)</f>
        <v>74193.677531800771</v>
      </c>
      <c r="BE28" s="747">
        <f>$G28*$H28*(1+$K28)^MAX(ROUNDUP(IFERROR(DATEDIF($I28-1,BE$15+1,"m"),)/12,)-1,)*Index!BA$22*(BE$15&lt;=$J28)*(1-BE$12)</f>
        <v>74193.677531800771</v>
      </c>
      <c r="BF28" s="747">
        <f>$G28*$H28*(1+$K28)^MAX(ROUNDUP(IFERROR(DATEDIF($I28-1,BF$15+1,"m"),)/12,)-1,)*Index!BB$22*(BF$15&lt;=$J28)*(1-BF$12)</f>
        <v>74193.677531800771</v>
      </c>
      <c r="BG28" s="747">
        <f>$G28*$H28*(1+$K28)^MAX(ROUNDUP(IFERROR(DATEDIF($I28-1,BG$15+1,"m"),)/12,)-1,)*Index!BC$22*(BG$15&lt;=$J28)*(1-BG$12)</f>
        <v>74193.677531800771</v>
      </c>
      <c r="BH28" s="747">
        <f>$G28*$H28*(1+$K28)^MAX(ROUNDUP(IFERROR(DATEDIF($I28-1,BH$15+1,"m"),)/12,)-1,)*Index!BD$22*(BH$15&lt;=$J28)*(1-BH$12)</f>
        <v>74193.677531800771</v>
      </c>
      <c r="BI28" s="747">
        <f>$G28*$H28*(1+$K28)^MAX(ROUNDUP(IFERROR(DATEDIF($I28-1,BI$15+1,"m"),)/12,)-1,)*Index!BE$22*(BI$15&lt;=$J28)*(1-BI$12)</f>
        <v>74193.677531800771</v>
      </c>
      <c r="BJ28" s="747">
        <f>$G28*$H28*(1+$K28)^MAX(ROUNDUP(IFERROR(DATEDIF($I28-1,BJ$15+1,"m"),)/12,)-1,)*Index!BF$22*(BJ$15&lt;=$J28)*(1-BJ$12)</f>
        <v>74193.677531800771</v>
      </c>
      <c r="BK28" s="747">
        <f>$G28*$H28*(1+$K28)^MAX(ROUNDUP(IFERROR(DATEDIF($I28-1,BK$15+1,"m"),)/12,)-1,)*Index!BG$22*(BK$15&lt;=$J28)*(1-BK$12)</f>
        <v>74193.677531800771</v>
      </c>
      <c r="BL28" s="747">
        <f>$G28*$H28*(1+$K28)^MAX(ROUNDUP(IFERROR(DATEDIF($I28-1,BL$15+1,"m"),)/12,)-1,)*Index!BH$22*(BL$15&lt;=$J28)*(1-BL$12)</f>
        <v>74193.677531800771</v>
      </c>
      <c r="BM28" s="747">
        <f>$G28*$H28*(1+$K28)^MAX(ROUNDUP(IFERROR(DATEDIF($I28-1,BM$15+1,"m"),)/12,)-1,)*Index!BI$22*(BM$15&lt;=$J28)*(1-BM$12)</f>
        <v>74193.677531800771</v>
      </c>
      <c r="BN28" s="747">
        <f>$G28*$H28*(1+$K28)^MAX(ROUNDUP(IFERROR(DATEDIF($I28-1,BN$15+1,"m"),)/12,)-1,)*Index!BJ$22*(BN$15&lt;=$J28)*(1-BN$12)</f>
        <v>74193.677531800771</v>
      </c>
      <c r="BO28" s="747">
        <f>$G28*$H28*(1+$K28)^MAX(ROUNDUP(IFERROR(DATEDIF($I28-1,BO$15+1,"m"),)/12,)-1,)*Index!BK$22*(BO$15&lt;=$J28)*(1-BO$12)</f>
        <v>74193.677531800771</v>
      </c>
      <c r="BP28" s="747">
        <f>$G28*$H28*(1+$K28)^MAX(ROUNDUP(IFERROR(DATEDIF($I28-1,BP$15+1,"m"),)/12,)-1,)*Index!BL$22*(BP$15&lt;=$J28)*(1-BP$12)</f>
        <v>76048.51947009578</v>
      </c>
      <c r="BQ28" s="747">
        <f>$G28*$H28*(1+$K28)^MAX(ROUNDUP(IFERROR(DATEDIF($I28-1,BQ$15+1,"m"),)/12,)-1,)*Index!BM$22*(BQ$15&lt;=$J28)*(1-BQ$12)</f>
        <v>76048.51947009578</v>
      </c>
      <c r="BR28" s="747">
        <f>$G28*$H28*(1+$K28)^MAX(ROUNDUP(IFERROR(DATEDIF($I28-1,BR$15+1,"m"),)/12,)-1,)*Index!BN$22*(BR$15&lt;=$J28)*(1-BR$12)</f>
        <v>76048.51947009578</v>
      </c>
      <c r="BS28" s="747">
        <f>$G28*$H28*(1+$K28)^MAX(ROUNDUP(IFERROR(DATEDIF($I28-1,BS$15+1,"m"),)/12,)-1,)*Index!BO$22*(BS$15&lt;=$J28)*(1-BS$12)</f>
        <v>76048.51947009578</v>
      </c>
      <c r="BT28" s="747">
        <f>$G28*$H28*(1+$K28)^MAX(ROUNDUP(IFERROR(DATEDIF($I28-1,BT$15+1,"m"),)/12,)-1,)*Index!BP$22*(BT$15&lt;=$J28)*(1-BT$12)</f>
        <v>76048.51947009578</v>
      </c>
      <c r="BU28" s="747">
        <f>$G28*$H28*(1+$K28)^MAX(ROUNDUP(IFERROR(DATEDIF($I28-1,BU$15+1,"m"),)/12,)-1,)*Index!BQ$22*(BU$15&lt;=$J28)*(1-BU$12)</f>
        <v>76048.51947009578</v>
      </c>
      <c r="BV28" s="747">
        <f>$G28*$H28*(1+$K28)^MAX(ROUNDUP(IFERROR(DATEDIF($I28-1,BV$15+1,"m"),)/12,)-1,)*Index!BR$22*(BV$15&lt;=$J28)*(1-BV$12)</f>
        <v>76048.51947009578</v>
      </c>
      <c r="BW28" s="747">
        <f>$G28*$H28*(1+$K28)^MAX(ROUNDUP(IFERROR(DATEDIF($I28-1,BW$15+1,"m"),)/12,)-1,)*Index!BS$22*(BW$15&lt;=$J28)*(1-BW$12)</f>
        <v>76048.51947009578</v>
      </c>
      <c r="BX28" s="747">
        <f>$G28*$H28*(1+$K28)^MAX(ROUNDUP(IFERROR(DATEDIF($I28-1,BX$15+1,"m"),)/12,)-1,)*Index!BT$22*(BX$15&lt;=$J28)*(1-BX$12)</f>
        <v>76048.51947009578</v>
      </c>
      <c r="BY28" s="747">
        <f>$G28*$H28*(1+$K28)^MAX(ROUNDUP(IFERROR(DATEDIF($I28-1,BY$15+1,"m"),)/12,)-1,)*Index!BU$22*(BY$15&lt;=$J28)*(1-BY$12)</f>
        <v>76048.51947009578</v>
      </c>
      <c r="BZ28" s="747">
        <f>$G28*$H28*(1+$K28)^MAX(ROUNDUP(IFERROR(DATEDIF($I28-1,BZ$15+1,"m"),)/12,)-1,)*Index!BV$22*(BZ$15&lt;=$J28)*(1-BZ$12)</f>
        <v>76048.51947009578</v>
      </c>
      <c r="CA28" s="747">
        <f>$G28*$H28*(1+$K28)^MAX(ROUNDUP(IFERROR(DATEDIF($I28-1,CA$15+1,"m"),)/12,)-1,)*Index!BW$22*(CA$15&lt;=$J28)*(1-CA$12)</f>
        <v>76048.51947009578</v>
      </c>
      <c r="CB28" s="747">
        <f>$G28*$H28*(1+$K28)^MAX(ROUNDUP(IFERROR(DATEDIF($I28-1,CB$15+1,"m"),)/12,)-1,)*Index!BX$22*(CB$15&lt;=$J28)*(1-CB$12)</f>
        <v>77949.732456848185</v>
      </c>
      <c r="CC28" s="747">
        <f>$G28*$H28*(1+$K28)^MAX(ROUNDUP(IFERROR(DATEDIF($I28-1,CC$15+1,"m"),)/12,)-1,)*Index!BY$22*(CC$15&lt;=$J28)*(1-CC$12)</f>
        <v>77949.732456848185</v>
      </c>
      <c r="CD28" s="747">
        <f>$G28*$H28*(1+$K28)^MAX(ROUNDUP(IFERROR(DATEDIF($I28-1,CD$15+1,"m"),)/12,)-1,)*Index!BZ$22*(CD$15&lt;=$J28)*(1-CD$12)</f>
        <v>77949.732456848185</v>
      </c>
      <c r="CE28" s="747">
        <f>$G28*$H28*(1+$K28)^MAX(ROUNDUP(IFERROR(DATEDIF($I28-1,CE$15+1,"m"),)/12,)-1,)*Index!CA$22*(CE$15&lt;=$J28)*(1-CE$12)</f>
        <v>77949.732456848185</v>
      </c>
      <c r="CF28" s="747">
        <f>$G28*$H28*(1+$K28)^MAX(ROUNDUP(IFERROR(DATEDIF($I28-1,CF$15+1,"m"),)/12,)-1,)*Index!CB$22*(CF$15&lt;=$J28)*(1-CF$12)</f>
        <v>77949.732456848185</v>
      </c>
      <c r="CG28" s="747">
        <f>$G28*$H28*(1+$K28)^MAX(ROUNDUP(IFERROR(DATEDIF($I28-1,CG$15+1,"m"),)/12,)-1,)*Index!CC$22*(CG$15&lt;=$J28)*(1-CG$12)</f>
        <v>77949.732456848185</v>
      </c>
      <c r="CH28" s="747">
        <f>$G28*$H28*(1+$K28)^MAX(ROUNDUP(IFERROR(DATEDIF($I28-1,CH$15+1,"m"),)/12,)-1,)*Index!CD$22*(CH$15&lt;=$J28)*(1-CH$12)</f>
        <v>77949.732456848185</v>
      </c>
      <c r="CI28" s="747">
        <f>$G28*$H28*(1+$K28)^MAX(ROUNDUP(IFERROR(DATEDIF($I28-1,CI$15+1,"m"),)/12,)-1,)*Index!CE$22*(CI$15&lt;=$J28)*(1-CI$12)</f>
        <v>77949.732456848185</v>
      </c>
      <c r="CJ28" s="747">
        <f>$G28*$H28*(1+$K28)^MAX(ROUNDUP(IFERROR(DATEDIF($I28-1,CJ$15+1,"m"),)/12,)-1,)*Index!CF$22*(CJ$15&lt;=$J28)*(1-CJ$12)</f>
        <v>77949.732456848185</v>
      </c>
      <c r="CK28" s="747">
        <f>$G28*$H28*(1+$K28)^MAX(ROUNDUP(IFERROR(DATEDIF($I28-1,CK$15+1,"m"),)/12,)-1,)*Index!CG$22*(CK$15&lt;=$J28)*(1-CK$12)</f>
        <v>77949.732456848185</v>
      </c>
      <c r="CL28" s="747">
        <f>$G28*$H28*(1+$K28)^MAX(ROUNDUP(IFERROR(DATEDIF($I28-1,CL$15+1,"m"),)/12,)-1,)*Index!CH$22*(CL$15&lt;=$J28)*(1-CL$12)</f>
        <v>77949.732456848185</v>
      </c>
      <c r="CM28" s="747">
        <f>$G28*$H28*(1+$K28)^MAX(ROUNDUP(IFERROR(DATEDIF($I28-1,CM$15+1,"m"),)/12,)-1,)*Index!CI$22*(CM$15&lt;=$J28)*(1-CM$12)</f>
        <v>77949.732456848185</v>
      </c>
      <c r="CN28" s="747">
        <f>$G28*$H28*(1+$K28)^MAX(ROUNDUP(IFERROR(DATEDIF($I28-1,CN$15+1,"m"),)/12,)-1,)*Index!CJ$22*(CN$15&lt;=$J28)*(1-CN$12)</f>
        <v>79898.475768269374</v>
      </c>
      <c r="CO28" s="747">
        <f>$G28*$H28*(1+$K28)^MAX(ROUNDUP(IFERROR(DATEDIF($I28-1,CO$15+1,"m"),)/12,)-1,)*Index!CK$22*(CO$15&lt;=$J28)*(1-CO$12)</f>
        <v>79898.475768269374</v>
      </c>
      <c r="CP28" s="747">
        <f>$G28*$H28*(1+$K28)^MAX(ROUNDUP(IFERROR(DATEDIF($I28-1,CP$15+1,"m"),)/12,)-1,)*Index!CL$22*(CP$15&lt;=$J28)*(1-CP$12)</f>
        <v>79898.475768269374</v>
      </c>
      <c r="CQ28" s="747">
        <f>$G28*$H28*(1+$K28)^MAX(ROUNDUP(IFERROR(DATEDIF($I28-1,CQ$15+1,"m"),)/12,)-1,)*Index!CM$22*(CQ$15&lt;=$J28)*(1-CQ$12)</f>
        <v>79898.475768269374</v>
      </c>
      <c r="CR28" s="747">
        <f>$G28*$H28*(1+$K28)^MAX(ROUNDUP(IFERROR(DATEDIF($I28-1,CR$15+1,"m"),)/12,)-1,)*Index!CN$22*(CR$15&lt;=$J28)*(1-CR$12)</f>
        <v>79898.475768269374</v>
      </c>
      <c r="CS28" s="747">
        <f>$G28*$H28*(1+$K28)^MAX(ROUNDUP(IFERROR(DATEDIF($I28-1,CS$15+1,"m"),)/12,)-1,)*Index!CO$22*(CS$15&lt;=$J28)*(1-CS$12)</f>
        <v>79898.475768269374</v>
      </c>
      <c r="CT28" s="747">
        <f>$G28*$H28*(1+$K28)^MAX(ROUNDUP(IFERROR(DATEDIF($I28-1,CT$15+1,"m"),)/12,)-1,)*Index!CP$22*(CT$15&lt;=$J28)*(1-CT$12)</f>
        <v>79898.475768269374</v>
      </c>
      <c r="CU28" s="747">
        <f>$G28*$H28*(1+$K28)^MAX(ROUNDUP(IFERROR(DATEDIF($I28-1,CU$15+1,"m"),)/12,)-1,)*Index!CQ$22*(CU$15&lt;=$J28)*(1-CU$12)</f>
        <v>79898.475768269374</v>
      </c>
      <c r="CV28" s="747">
        <f>$G28*$H28*(1+$K28)^MAX(ROUNDUP(IFERROR(DATEDIF($I28-1,CV$15+1,"m"),)/12,)-1,)*Index!CR$22*(CV$15&lt;=$J28)*(1-CV$12)</f>
        <v>79898.475768269374</v>
      </c>
      <c r="CW28" s="747">
        <f>$G28*$H28*(1+$K28)^MAX(ROUNDUP(IFERROR(DATEDIF($I28-1,CW$15+1,"m"),)/12,)-1,)*Index!CS$22*(CW$15&lt;=$J28)*(1-CW$12)</f>
        <v>79898.475768269374</v>
      </c>
      <c r="CX28" s="747">
        <f>$G28*$H28*(1+$K28)^MAX(ROUNDUP(IFERROR(DATEDIF($I28-1,CX$15+1,"m"),)/12,)-1,)*Index!CT$22*(CX$15&lt;=$J28)*(1-CX$12)</f>
        <v>79898.475768269374</v>
      </c>
      <c r="CY28" s="747">
        <f>$G28*$H28*(1+$K28)^MAX(ROUNDUP(IFERROR(DATEDIF($I28-1,CY$15+1,"m"),)/12,)-1,)*Index!CU$22*(CY$15&lt;=$J28)*(1-CY$12)</f>
        <v>79898.475768269374</v>
      </c>
      <c r="CZ28" s="747">
        <f>$G28*$H28*(1+$K28)^MAX(ROUNDUP(IFERROR(DATEDIF($I28-1,CZ$15+1,"m"),)/12,)-1,)*Index!CV$22*(CZ$15&lt;=$J28)*(1-CZ$12)</f>
        <v>81895.937662476092</v>
      </c>
      <c r="DA28" s="747">
        <f>$G28*$H28*(1+$K28)^MAX(ROUNDUP(IFERROR(DATEDIF($I28-1,DA$15+1,"m"),)/12,)-1,)*Index!CW$22*(DA$15&lt;=$J28)*(1-DA$12)</f>
        <v>81895.937662476092</v>
      </c>
      <c r="DB28" s="747">
        <f>$G28*$H28*(1+$K28)^MAX(ROUNDUP(IFERROR(DATEDIF($I28-1,DB$15+1,"m"),)/12,)-1,)*Index!CX$22*(DB$15&lt;=$J28)*(1-DB$12)</f>
        <v>81895.937662476092</v>
      </c>
      <c r="DC28" s="747">
        <f>$G28*$H28*(1+$K28)^MAX(ROUNDUP(IFERROR(DATEDIF($I28-1,DC$15+1,"m"),)/12,)-1,)*Index!CY$22*(DC$15&lt;=$J28)*(1-DC$12)</f>
        <v>81895.937662476092</v>
      </c>
      <c r="DD28" s="747">
        <f>$G28*$H28*(1+$K28)^MAX(ROUNDUP(IFERROR(DATEDIF($I28-1,DD$15+1,"m"),)/12,)-1,)*Index!CZ$22*(DD$15&lt;=$J28)*(1-DD$12)</f>
        <v>81895.937662476092</v>
      </c>
      <c r="DE28" s="747">
        <f>$G28*$H28*(1+$K28)^MAX(ROUNDUP(IFERROR(DATEDIF($I28-1,DE$15+1,"m"),)/12,)-1,)*Index!DA$22*(DE$15&lt;=$J28)*(1-DE$12)</f>
        <v>81895.937662476092</v>
      </c>
      <c r="DF28" s="747">
        <f>$G28*$H28*(1+$K28)^MAX(ROUNDUP(IFERROR(DATEDIF($I28-1,DF$15+1,"m"),)/12,)-1,)*Index!DB$22*(DF$15&lt;=$J28)*(1-DF$12)</f>
        <v>81895.937662476092</v>
      </c>
      <c r="DG28" s="747">
        <f>$G28*$H28*(1+$K28)^MAX(ROUNDUP(IFERROR(DATEDIF($I28-1,DG$15+1,"m"),)/12,)-1,)*Index!DC$22*(DG$15&lt;=$J28)*(1-DG$12)</f>
        <v>81895.937662476092</v>
      </c>
      <c r="DH28" s="747">
        <f>$G28*$H28*(1+$K28)^MAX(ROUNDUP(IFERROR(DATEDIF($I28-1,DH$15+1,"m"),)/12,)-1,)*Index!DD$22*(DH$15&lt;=$J28)*(1-DH$12)</f>
        <v>81895.937662476092</v>
      </c>
      <c r="DI28" s="747">
        <f>$G28*$H28*(1+$K28)^MAX(ROUNDUP(IFERROR(DATEDIF($I28-1,DI$15+1,"m"),)/12,)-1,)*Index!DE$22*(DI$15&lt;=$J28)*(1-DI$12)</f>
        <v>81895.937662476092</v>
      </c>
      <c r="DJ28" s="747">
        <f>$G28*$H28*(1+$K28)^MAX(ROUNDUP(IFERROR(DATEDIF($I28-1,DJ$15+1,"m"),)/12,)-1,)*Index!DF$22*(DJ$15&lt;=$J28)*(1-DJ$12)</f>
        <v>81895.937662476092</v>
      </c>
      <c r="DK28" s="747">
        <f>$G28*$H28*(1+$K28)^MAX(ROUNDUP(IFERROR(DATEDIF($I28-1,DK$15+1,"m"),)/12,)-1,)*Index!DG$22*(DK$15&lt;=$J28)*(1-DK$12)</f>
        <v>81895.937662476092</v>
      </c>
      <c r="DL28" s="747">
        <f>$G28*$H28*(1+$K28)^MAX(ROUNDUP(IFERROR(DATEDIF($I28-1,DL$15+1,"m"),)/12,)-1,)*Index!DH$22*(DL$15&lt;=$J28)*(1-DL$12)</f>
        <v>0</v>
      </c>
      <c r="DM28" s="747">
        <f>$G28*$H28*(1+$K28)^MAX(ROUNDUP(IFERROR(DATEDIF($I28-1,DM$15+1,"m"),)/12,)-1,)*Index!DI$22*(DM$15&lt;=$J28)*(1-DM$12)</f>
        <v>0</v>
      </c>
      <c r="DN28" s="747">
        <f>$G28*$H28*(1+$K28)^MAX(ROUNDUP(IFERROR(DATEDIF($I28-1,DN$15+1,"m"),)/12,)-1,)*Index!DJ$22*(DN$15&lt;=$J28)*(1-DN$12)</f>
        <v>0</v>
      </c>
      <c r="DO28" s="747">
        <f>$G28*$H28*(1+$K28)^MAX(ROUNDUP(IFERROR(DATEDIF($I28-1,DO$15+1,"m"),)/12,)-1,)*Index!DK$22*(DO$15&lt;=$J28)*(1-DO$12)</f>
        <v>0</v>
      </c>
      <c r="DP28" s="747">
        <f>$G28*$H28*(1+$K28)^MAX(ROUNDUP(IFERROR(DATEDIF($I28-1,DP$15+1,"m"),)/12,)-1,)*Index!DL$22*(DP$15&lt;=$J28)*(1-DP$12)</f>
        <v>0</v>
      </c>
      <c r="DQ28" s="747">
        <f>$G28*$H28*(1+$K28)^MAX(ROUNDUP(IFERROR(DATEDIF($I28-1,DQ$15+1,"m"),)/12,)-1,)*Index!DM$22*(DQ$15&lt;=$J28)*(1-DQ$12)</f>
        <v>0</v>
      </c>
      <c r="DR28" s="747">
        <f>$G28*$H28*(1+$K28)^MAX(ROUNDUP(IFERROR(DATEDIF($I28-1,DR$15+1,"m"),)/12,)-1,)*Index!DN$22*(DR$15&lt;=$J28)*(1-DR$12)</f>
        <v>0</v>
      </c>
      <c r="DS28" s="747">
        <f>$G28*$H28*(1+$K28)^MAX(ROUNDUP(IFERROR(DATEDIF($I28-1,DS$15+1,"m"),)/12,)-1,)*Index!DO$22*(DS$15&lt;=$J28)*(1-DS$12)</f>
        <v>0</v>
      </c>
      <c r="DT28" s="747">
        <f>$G28*$H28*(1+$K28)^MAX(ROUNDUP(IFERROR(DATEDIF($I28-1,DT$15+1,"m"),)/12,)-1,)*Index!DP$22*(DT$15&lt;=$J28)*(1-DT$12)</f>
        <v>0</v>
      </c>
      <c r="DU28" s="747">
        <f>$G28*$H28*(1+$K28)^MAX(ROUNDUP(IFERROR(DATEDIF($I28-1,DU$15+1,"m"),)/12,)-1,)*Index!DQ$22*(DU$15&lt;=$J28)*(1-DU$12)</f>
        <v>0</v>
      </c>
      <c r="DV28" s="747">
        <f>$G28*$H28*(1+$K28)^MAX(ROUNDUP(IFERROR(DATEDIF($I28-1,DV$15+1,"m"),)/12,)-1,)*Index!DR$22*(DV$15&lt;=$J28)*(1-DV$12)</f>
        <v>0</v>
      </c>
      <c r="DW28" s="747">
        <f>$G28*$H28*(1+$K28)^MAX(ROUNDUP(IFERROR(DATEDIF($I28-1,DW$15+1,"m"),)/12,)-1,)*Index!DS$22*(DW$15&lt;=$J28)*(1-DW$12)</f>
        <v>0</v>
      </c>
      <c r="DX28" s="747">
        <f>$G28*$H28*(1+$K28)^MAX(ROUNDUP(IFERROR(DATEDIF($I28-1,DX$15+1,"m"),)/12,)-1,)*Index!DT$22*(DX$15&lt;=$J28)*(1-DX$12)</f>
        <v>0</v>
      </c>
      <c r="DY28" s="747">
        <f>$G28*$H28*(1+$K28)^MAX(ROUNDUP(IFERROR(DATEDIF($I28-1,DY$15+1,"m"),)/12,)-1,)*Index!DU$22*(DY$15&lt;=$J28)*(1-DY$12)</f>
        <v>0</v>
      </c>
      <c r="DZ28" s="747">
        <f>$G28*$H28*(1+$K28)^MAX(ROUNDUP(IFERROR(DATEDIF($I28-1,DZ$15+1,"m"),)/12,)-1,)*Index!DV$22*(DZ$15&lt;=$J28)*(1-DZ$12)</f>
        <v>0</v>
      </c>
      <c r="EA28" s="747">
        <f>$G28*$H28*(1+$K28)^MAX(ROUNDUP(IFERROR(DATEDIF($I28-1,EA$15+1,"m"),)/12,)-1,)*Index!DW$22*(EA$15&lt;=$J28)*(1-EA$12)</f>
        <v>0</v>
      </c>
      <c r="EB28" s="747">
        <f>$G28*$H28*(1+$K28)^MAX(ROUNDUP(IFERROR(DATEDIF($I28-1,EB$15+1,"m"),)/12,)-1,)*Index!DX$22*(EB$15&lt;=$J28)*(1-EB$12)</f>
        <v>0</v>
      </c>
      <c r="EC28" s="747">
        <f>$G28*$H28*(1+$K28)^MAX(ROUNDUP(IFERROR(DATEDIF($I28-1,EC$15+1,"m"),)/12,)-1,)*Index!DY$22*(EC$15&lt;=$J28)*(1-EC$12)</f>
        <v>0</v>
      </c>
      <c r="ED28" s="747">
        <f>$G28*$H28*(1+$K28)^MAX(ROUNDUP(IFERROR(DATEDIF($I28-1,ED$15+1,"m"),)/12,)-1,)*Index!DZ$22*(ED$15&lt;=$J28)*(1-ED$12)</f>
        <v>0</v>
      </c>
      <c r="EE28" s="747">
        <f>$G28*$H28*(1+$K28)^MAX(ROUNDUP(IFERROR(DATEDIF($I28-1,EE$15+1,"m"),)/12,)-1,)*Index!EA$22*(EE$15&lt;=$J28)*(1-EE$12)</f>
        <v>0</v>
      </c>
      <c r="EF28" s="747">
        <f>$G28*$H28*(1+$K28)^MAX(ROUNDUP(IFERROR(DATEDIF($I28-1,EF$15+1,"m"),)/12,)-1,)*Index!EB$22*(EF$15&lt;=$J28)*(1-EF$12)</f>
        <v>0</v>
      </c>
      <c r="EG28" s="747">
        <f>$G28*$H28*(1+$K28)^MAX(ROUNDUP(IFERROR(DATEDIF($I28-1,EG$15+1,"m"),)/12,)-1,)*Index!EC$22*(EG$15&lt;=$J28)*(1-EG$12)</f>
        <v>0</v>
      </c>
      <c r="EH28" s="747">
        <f>$G28*$H28*(1+$K28)^MAX(ROUNDUP(IFERROR(DATEDIF($I28-1,EH$15+1,"m"),)/12,)-1,)*Index!ED$22*(EH$15&lt;=$J28)*(1-EH$12)</f>
        <v>0</v>
      </c>
      <c r="EI28" s="747">
        <f>$G28*$H28*(1+$K28)^MAX(ROUNDUP(IFERROR(DATEDIF($I28-1,EI$15+1,"m"),)/12,)-1,)*Index!EE$22*(EI$15&lt;=$J28)*(1-EI$12)</f>
        <v>0</v>
      </c>
      <c r="EJ28" s="747">
        <f>$G28*$H28*(1+$K28)^MAX(ROUNDUP(IFERROR(DATEDIF($I28-1,EJ$15+1,"m"),)/12,)-1,)*Index!EF$22*(EJ$15&lt;=$J28)*(1-EJ$12)</f>
        <v>0</v>
      </c>
      <c r="EK28" s="747">
        <f>$G28*$H28*(1+$K28)^MAX(ROUNDUP(IFERROR(DATEDIF($I28-1,EK$15+1,"m"),)/12,)-1,)*Index!EG$22*(EK$15&lt;=$J28)*(1-EK$12)</f>
        <v>0</v>
      </c>
      <c r="EL28" s="747">
        <f>$G28*$H28*(1+$K28)^MAX(ROUNDUP(IFERROR(DATEDIF($I28-1,EL$15+1,"m"),)/12,)-1,)*Index!EH$22*(EL$15&lt;=$J28)*(1-EL$12)</f>
        <v>0</v>
      </c>
      <c r="EM28" s="747">
        <f>$G28*$H28*(1+$K28)^MAX(ROUNDUP(IFERROR(DATEDIF($I28-1,EM$15+1,"m"),)/12,)-1,)*Index!EI$22*(EM$15&lt;=$J28)*(1-EM$12)</f>
        <v>0</v>
      </c>
      <c r="EN28" s="747">
        <f>$G28*$H28*(1+$K28)^MAX(ROUNDUP(IFERROR(DATEDIF($I28-1,EN$15+1,"m"),)/12,)-1,)*Index!EJ$22*(EN$15&lt;=$J28)*(1-EN$12)</f>
        <v>0</v>
      </c>
      <c r="EO28" s="747">
        <f>$G28*$H28*(1+$K28)^MAX(ROUNDUP(IFERROR(DATEDIF($I28-1,EO$15+1,"m"),)/12,)-1,)*Index!EK$22*(EO$15&lt;=$J28)*(1-EO$12)</f>
        <v>0</v>
      </c>
      <c r="EP28" s="747">
        <f>$G28*$H28*(1+$K28)^MAX(ROUNDUP(IFERROR(DATEDIF($I28-1,EP$15+1,"m"),)/12,)-1,)*Index!EL$22*(EP$15&lt;=$J28)*(1-EP$12)</f>
        <v>0</v>
      </c>
      <c r="EQ28" s="747">
        <f>$G28*$H28*(1+$K28)^MAX(ROUNDUP(IFERROR(DATEDIF($I28-1,EQ$15+1,"m"),)/12,)-1,)*Index!EM$22*(EQ$15&lt;=$J28)*(1-EQ$12)</f>
        <v>0</v>
      </c>
      <c r="ER28" s="747">
        <f>$G28*$H28*(1+$K28)^MAX(ROUNDUP(IFERROR(DATEDIF($I28-1,ER$15+1,"m"),)/12,)-1,)*Index!EN$22*(ER$15&lt;=$J28)*(1-ER$12)</f>
        <v>0</v>
      </c>
      <c r="ES28" s="747">
        <f>$G28*$H28*(1+$K28)^MAX(ROUNDUP(IFERROR(DATEDIF($I28-1,ES$15+1,"m"),)/12,)-1,)*Index!EO$22*(ES$15&lt;=$J28)*(1-ES$12)</f>
        <v>0</v>
      </c>
      <c r="ET28" s="747">
        <f>$G28*$H28*(1+$K28)^MAX(ROUNDUP(IFERROR(DATEDIF($I28-1,ET$15+1,"m"),)/12,)-1,)*Index!EP$22*(ET$15&lt;=$J28)*(1-ET$12)</f>
        <v>0</v>
      </c>
      <c r="EU28" s="747">
        <f>$G28*$H28*(1+$K28)^MAX(ROUNDUP(IFERROR(DATEDIF($I28-1,EU$15+1,"m"),)/12,)-1,)*Index!EQ$22*(EU$15&lt;=$J28)*(1-EU$12)</f>
        <v>0</v>
      </c>
    </row>
    <row r="29" spans="3:151" ht="11.25" customHeight="1">
      <c r="C29" s="735"/>
      <c r="D29" s="743">
        <f>'A&amp;R'!V18</f>
        <v>1</v>
      </c>
      <c r="E29" s="704" t="str">
        <f>'A&amp;R'!W18</f>
        <v>용마로지스</v>
      </c>
      <c r="F29" s="704" t="str">
        <f>'A&amp;R'!X18</f>
        <v>상온창고</v>
      </c>
      <c r="G29" s="752">
        <f>'A&amp;R'!AC18/1000</f>
        <v>60</v>
      </c>
      <c r="H29" s="744">
        <f>'A&amp;R'!Y18</f>
        <v>856.05</v>
      </c>
      <c r="I29" s="745">
        <f>'A&amp;R'!Z18</f>
        <v>45612</v>
      </c>
      <c r="J29" s="745">
        <f>'A&amp;R'!AA18</f>
        <v>47514</v>
      </c>
      <c r="K29" s="754">
        <f>'A&amp;R'!AF18</f>
        <v>2.5000000000000001E-2</v>
      </c>
      <c r="L29" s="711"/>
      <c r="M29" s="722"/>
      <c r="N29" s="747">
        <f t="shared" si="7"/>
        <v>2160520.8336539655</v>
      </c>
      <c r="O29" s="733"/>
      <c r="P29" s="747">
        <f>$G29*$H29*(1+$K29)^MAX(ROUNDUP(IFERROR(DATEDIF($I29-1,P$15+1,"m"),)/12,)-1,)*Index!L$22*(P$15&lt;=$J29)*(1-P$12)</f>
        <v>0</v>
      </c>
      <c r="Q29" s="747">
        <f>$G29*$H29*(1+$K29)^MAX(ROUNDUP(IFERROR(DATEDIF($I29-1,Q$15+1,"m"),)/12,)-1,)*Index!M$22*(Q$15&lt;=$J29)*(1-Q$12)</f>
        <v>52647.074999999997</v>
      </c>
      <c r="R29" s="747">
        <f>$G29*$H29*(1+$K29)^MAX(ROUNDUP(IFERROR(DATEDIF($I29-1,R$15+1,"m"),)/12,)-1,)*Index!N$22*(R$15&lt;=$J29)*(1-R$12)</f>
        <v>53963.251874999994</v>
      </c>
      <c r="S29" s="747">
        <f>$G29*$H29*(1+$K29)^MAX(ROUNDUP(IFERROR(DATEDIF($I29-1,S$15+1,"m"),)/12,)-1,)*Index!O$22*(S$15&lt;=$J29)*(1-S$12)</f>
        <v>53963.251874999994</v>
      </c>
      <c r="T29" s="747">
        <f>$G29*$H29*(1+$K29)^MAX(ROUNDUP(IFERROR(DATEDIF($I29-1,T$15+1,"m"),)/12,)-1,)*Index!P$22*(T$15&lt;=$J29)*(1-T$12)</f>
        <v>53963.251874999994</v>
      </c>
      <c r="U29" s="747">
        <f>$G29*$H29*(1+$K29)^MAX(ROUNDUP(IFERROR(DATEDIF($I29-1,U$15+1,"m"),)/12,)-1,)*Index!Q$22*(U$15&lt;=$J29)*(1-U$12)</f>
        <v>53963.251874999994</v>
      </c>
      <c r="V29" s="747">
        <f>$G29*$H29*(1+$K29)^MAX(ROUNDUP(IFERROR(DATEDIF($I29-1,V$15+1,"m"),)/12,)-1,)*Index!R$22*(V$15&lt;=$J29)*(1-V$12)</f>
        <v>53963.251874999994</v>
      </c>
      <c r="W29" s="747">
        <f>$G29*$H29*(1+$K29)^MAX(ROUNDUP(IFERROR(DATEDIF($I29-1,W$15+1,"m"),)/12,)-1,)*Index!S$22*(W$15&lt;=$J29)*(1-W$12)</f>
        <v>53963.251874999994</v>
      </c>
      <c r="X29" s="747">
        <f>$G29*$H29*(1+$K29)^MAX(ROUNDUP(IFERROR(DATEDIF($I29-1,X$15+1,"m"),)/12,)-1,)*Index!T$22*(X$15&lt;=$J29)*(1-X$12)</f>
        <v>53963.251874999994</v>
      </c>
      <c r="Y29" s="747">
        <f>$G29*$H29*(1+$K29)^MAX(ROUNDUP(IFERROR(DATEDIF($I29-1,Y$15+1,"m"),)/12,)-1,)*Index!U$22*(Y$15&lt;=$J29)*(1-Y$12)</f>
        <v>53963.251874999994</v>
      </c>
      <c r="Z29" s="747">
        <f>$G29*$H29*(1+$K29)^MAX(ROUNDUP(IFERROR(DATEDIF($I29-1,Z$15+1,"m"),)/12,)-1,)*Index!V$22*(Z$15&lt;=$J29)*(1-Z$12)</f>
        <v>53963.251874999994</v>
      </c>
      <c r="AA29" s="747">
        <f>$G29*$H29*(1+$K29)^MAX(ROUNDUP(IFERROR(DATEDIF($I29-1,AA$15+1,"m"),)/12,)-1,)*Index!W$22*(AA$15&lt;=$J29)*(1-AA$12)</f>
        <v>53963.251874999994</v>
      </c>
      <c r="AB29" s="747">
        <f>$G29*$H29*(1+$K29)^MAX(ROUNDUP(IFERROR(DATEDIF($I29-1,AB$15+1,"m"),)/12,)-1,)*Index!X$22*(AB$15&lt;=$J29)*(1-AB$12)</f>
        <v>53963.251874999994</v>
      </c>
      <c r="AC29" s="747">
        <f>$G29*$H29*(1+$K29)^MAX(ROUNDUP(IFERROR(DATEDIF($I29-1,AC$15+1,"m"),)/12,)-1,)*Index!Y$22*(AC$15&lt;=$J29)*(1-AC$12)</f>
        <v>53963.251874999994</v>
      </c>
      <c r="AD29" s="747">
        <f>$G29*$H29*(1+$K29)^MAX(ROUNDUP(IFERROR(DATEDIF($I29-1,AD$15+1,"m"),)/12,)-1,)*Index!Z$22*(AD$15&lt;=$J29)*(1-AD$12)</f>
        <v>55312.333171874991</v>
      </c>
      <c r="AE29" s="747">
        <f>$G29*$H29*(1+$K29)^MAX(ROUNDUP(IFERROR(DATEDIF($I29-1,AE$15+1,"m"),)/12,)-1,)*Index!AA$22*(AE$15&lt;=$J29)*(1-AE$12)</f>
        <v>55312.333171874991</v>
      </c>
      <c r="AF29" s="747">
        <f>$G29*$H29*(1+$K29)^MAX(ROUNDUP(IFERROR(DATEDIF($I29-1,AF$15+1,"m"),)/12,)-1,)*Index!AB$22*(AF$15&lt;=$J29)*(1-AF$12)</f>
        <v>55312.333171874991</v>
      </c>
      <c r="AG29" s="747">
        <f>$G29*$H29*(1+$K29)^MAX(ROUNDUP(IFERROR(DATEDIF($I29-1,AG$15+1,"m"),)/12,)-1,)*Index!AC$22*(AG$15&lt;=$J29)*(1-AG$12)</f>
        <v>55312.333171874991</v>
      </c>
      <c r="AH29" s="747">
        <f>$G29*$H29*(1+$K29)^MAX(ROUNDUP(IFERROR(DATEDIF($I29-1,AH$15+1,"m"),)/12,)-1,)*Index!AD$22*(AH$15&lt;=$J29)*(1-AH$12)</f>
        <v>55312.333171874991</v>
      </c>
      <c r="AI29" s="747">
        <f>$G29*$H29*(1+$K29)^MAX(ROUNDUP(IFERROR(DATEDIF($I29-1,AI$15+1,"m"),)/12,)-1,)*Index!AE$22*(AI$15&lt;=$J29)*(1-AI$12)</f>
        <v>55312.333171874991</v>
      </c>
      <c r="AJ29" s="747">
        <f>$G29*$H29*(1+$K29)^MAX(ROUNDUP(IFERROR(DATEDIF($I29-1,AJ$15+1,"m"),)/12,)-1,)*Index!AF$22*(AJ$15&lt;=$J29)*(1-AJ$12)</f>
        <v>55312.333171874991</v>
      </c>
      <c r="AK29" s="747">
        <f>$G29*$H29*(1+$K29)^MAX(ROUNDUP(IFERROR(DATEDIF($I29-1,AK$15+1,"m"),)/12,)-1,)*Index!AG$22*(AK$15&lt;=$J29)*(1-AK$12)</f>
        <v>55312.333171874991</v>
      </c>
      <c r="AL29" s="747">
        <f>$G29*$H29*(1+$K29)^MAX(ROUNDUP(IFERROR(DATEDIF($I29-1,AL$15+1,"m"),)/12,)-1,)*Index!AH$22*(AL$15&lt;=$J29)*(1-AL$12)</f>
        <v>55312.333171874991</v>
      </c>
      <c r="AM29" s="747">
        <f>$G29*$H29*(1+$K29)^MAX(ROUNDUP(IFERROR(DATEDIF($I29-1,AM$15+1,"m"),)/12,)-1,)*Index!AI$22*(AM$15&lt;=$J29)*(1-AM$12)</f>
        <v>55312.333171874991</v>
      </c>
      <c r="AN29" s="747">
        <f>$G29*$H29*(1+$K29)^MAX(ROUNDUP(IFERROR(DATEDIF($I29-1,AN$15+1,"m"),)/12,)-1,)*Index!AJ$22*(AN$15&lt;=$J29)*(1-AN$12)</f>
        <v>55312.333171874991</v>
      </c>
      <c r="AO29" s="747">
        <f>$G29*$H29*(1+$K29)^MAX(ROUNDUP(IFERROR(DATEDIF($I29-1,AO$15+1,"m"),)/12,)-1,)*Index!AK$22*(AO$15&lt;=$J29)*(1-AO$12)</f>
        <v>55312.333171874991</v>
      </c>
      <c r="AP29" s="747">
        <f>$G29*$H29*(1+$K29)^MAX(ROUNDUP(IFERROR(DATEDIF($I29-1,AP$15+1,"m"),)/12,)-1,)*Index!AL$22*(AP$15&lt;=$J29)*(1-AP$12)</f>
        <v>56695.141501171864</v>
      </c>
      <c r="AQ29" s="747">
        <f>$G29*$H29*(1+$K29)^MAX(ROUNDUP(IFERROR(DATEDIF($I29-1,AQ$15+1,"m"),)/12,)-1,)*Index!AM$22*(AQ$15&lt;=$J29)*(1-AQ$12)</f>
        <v>56695.141501171864</v>
      </c>
      <c r="AR29" s="747">
        <f>$G29*$H29*(1+$K29)^MAX(ROUNDUP(IFERROR(DATEDIF($I29-1,AR$15+1,"m"),)/12,)-1,)*Index!AN$22*(AR$15&lt;=$J29)*(1-AR$12)</f>
        <v>56695.141501171864</v>
      </c>
      <c r="AS29" s="747">
        <f>$G29*$H29*(1+$K29)^MAX(ROUNDUP(IFERROR(DATEDIF($I29-1,AS$15+1,"m"),)/12,)-1,)*Index!AO$22*(AS$15&lt;=$J29)*(1-AS$12)</f>
        <v>56695.141501171864</v>
      </c>
      <c r="AT29" s="747">
        <f>$G29*$H29*(1+$K29)^MAX(ROUNDUP(IFERROR(DATEDIF($I29-1,AT$15+1,"m"),)/12,)-1,)*Index!AP$22*(AT$15&lt;=$J29)*(1-AT$12)</f>
        <v>56695.141501171864</v>
      </c>
      <c r="AU29" s="747">
        <f>$G29*$H29*(1+$K29)^MAX(ROUNDUP(IFERROR(DATEDIF($I29-1,AU$15+1,"m"),)/12,)-1,)*Index!AQ$22*(AU$15&lt;=$J29)*(1-AU$12)</f>
        <v>56695.141501171864</v>
      </c>
      <c r="AV29" s="747">
        <f>$G29*$H29*(1+$K29)^MAX(ROUNDUP(IFERROR(DATEDIF($I29-1,AV$15+1,"m"),)/12,)-1,)*Index!AR$22*(AV$15&lt;=$J29)*(1-AV$12)</f>
        <v>56695.141501171864</v>
      </c>
      <c r="AW29" s="747">
        <f>$G29*$H29*(1+$K29)^MAX(ROUNDUP(IFERROR(DATEDIF($I29-1,AW$15+1,"m"),)/12,)-1,)*Index!AS$22*(AW$15&lt;=$J29)*(1-AW$12)</f>
        <v>56695.141501171864</v>
      </c>
      <c r="AX29" s="747">
        <f>$G29*$H29*(1+$K29)^MAX(ROUNDUP(IFERROR(DATEDIF($I29-1,AX$15+1,"m"),)/12,)-1,)*Index!AT$22*(AX$15&lt;=$J29)*(1-AX$12)</f>
        <v>56695.141501171864</v>
      </c>
      <c r="AY29" s="747">
        <f>$G29*$H29*(1+$K29)^MAX(ROUNDUP(IFERROR(DATEDIF($I29-1,AY$15+1,"m"),)/12,)-1,)*Index!AU$22*(AY$15&lt;=$J29)*(1-AY$12)</f>
        <v>56695.141501171864</v>
      </c>
      <c r="AZ29" s="747">
        <f>$G29*$H29*(1+$K29)^MAX(ROUNDUP(IFERROR(DATEDIF($I29-1,AZ$15+1,"m"),)/12,)-1,)*Index!AV$22*(AZ$15&lt;=$J29)*(1-AZ$12)</f>
        <v>56695.141501171864</v>
      </c>
      <c r="BA29" s="747">
        <f>$G29*$H29*(1+$K29)^MAX(ROUNDUP(IFERROR(DATEDIF($I29-1,BA$15+1,"m"),)/12,)-1,)*Index!AW$22*(BA$15&lt;=$J29)*(1-BA$12)</f>
        <v>56695.141501171864</v>
      </c>
      <c r="BB29" s="747">
        <f>$G29*$H29*(1+$K29)^MAX(ROUNDUP(IFERROR(DATEDIF($I29-1,BB$15+1,"m"),)/12,)-1,)*Index!AX$22*(BB$15&lt;=$J29)*(1-BB$12)</f>
        <v>58112.520038701157</v>
      </c>
      <c r="BC29" s="747">
        <f>$G29*$H29*(1+$K29)^MAX(ROUNDUP(IFERROR(DATEDIF($I29-1,BC$15+1,"m"),)/12,)-1,)*Index!AY$22*(BC$15&lt;=$J29)*(1-BC$12)</f>
        <v>58112.520038701157</v>
      </c>
      <c r="BD29" s="747">
        <f>$G29*$H29*(1+$K29)^MAX(ROUNDUP(IFERROR(DATEDIF($I29-1,BD$15+1,"m"),)/12,)-1,)*Index!AZ$22*(BD$15&lt;=$J29)*(1-BD$12)</f>
        <v>0</v>
      </c>
      <c r="BE29" s="747">
        <f>$G29*$H29*(1+$K29)^MAX(ROUNDUP(IFERROR(DATEDIF($I29-1,BE$15+1,"m"),)/12,)-1,)*Index!BA$22*(BE$15&lt;=$J29)*(1-BE$12)</f>
        <v>0</v>
      </c>
      <c r="BF29" s="747">
        <f>$G29*$H29*(1+$K29)^MAX(ROUNDUP(IFERROR(DATEDIF($I29-1,BF$15+1,"m"),)/12,)-1,)*Index!BB$22*(BF$15&lt;=$J29)*(1-BF$12)</f>
        <v>0</v>
      </c>
      <c r="BG29" s="747">
        <f>$G29*$H29*(1+$K29)^MAX(ROUNDUP(IFERROR(DATEDIF($I29-1,BG$15+1,"m"),)/12,)-1,)*Index!BC$22*(BG$15&lt;=$J29)*(1-BG$12)</f>
        <v>0</v>
      </c>
      <c r="BH29" s="747">
        <f>$G29*$H29*(1+$K29)^MAX(ROUNDUP(IFERROR(DATEDIF($I29-1,BH$15+1,"m"),)/12,)-1,)*Index!BD$22*(BH$15&lt;=$J29)*(1-BH$12)</f>
        <v>0</v>
      </c>
      <c r="BI29" s="747">
        <f>$G29*$H29*(1+$K29)^MAX(ROUNDUP(IFERROR(DATEDIF($I29-1,BI$15+1,"m"),)/12,)-1,)*Index!BE$22*(BI$15&lt;=$J29)*(1-BI$12)</f>
        <v>0</v>
      </c>
      <c r="BJ29" s="747">
        <f>$G29*$H29*(1+$K29)^MAX(ROUNDUP(IFERROR(DATEDIF($I29-1,BJ$15+1,"m"),)/12,)-1,)*Index!BF$22*(BJ$15&lt;=$J29)*(1-BJ$12)</f>
        <v>0</v>
      </c>
      <c r="BK29" s="747">
        <f>$G29*$H29*(1+$K29)^MAX(ROUNDUP(IFERROR(DATEDIF($I29-1,BK$15+1,"m"),)/12,)-1,)*Index!BG$22*(BK$15&lt;=$J29)*(1-BK$12)</f>
        <v>0</v>
      </c>
      <c r="BL29" s="747">
        <f>$G29*$H29*(1+$K29)^MAX(ROUNDUP(IFERROR(DATEDIF($I29-1,BL$15+1,"m"),)/12,)-1,)*Index!BH$22*(BL$15&lt;=$J29)*(1-BL$12)</f>
        <v>0</v>
      </c>
      <c r="BM29" s="747">
        <f>$G29*$H29*(1+$K29)^MAX(ROUNDUP(IFERROR(DATEDIF($I29-1,BM$15+1,"m"),)/12,)-1,)*Index!BI$22*(BM$15&lt;=$J29)*(1-BM$12)</f>
        <v>0</v>
      </c>
      <c r="BN29" s="747">
        <f>$G29*$H29*(1+$K29)^MAX(ROUNDUP(IFERROR(DATEDIF($I29-1,BN$15+1,"m"),)/12,)-1,)*Index!BJ$22*(BN$15&lt;=$J29)*(1-BN$12)</f>
        <v>0</v>
      </c>
      <c r="BO29" s="747">
        <f>$G29*$H29*(1+$K29)^MAX(ROUNDUP(IFERROR(DATEDIF($I29-1,BO$15+1,"m"),)/12,)-1,)*Index!BK$22*(BO$15&lt;=$J29)*(1-BO$12)</f>
        <v>0</v>
      </c>
      <c r="BP29" s="747">
        <f>$G29*$H29*(1+$K29)^MAX(ROUNDUP(IFERROR(DATEDIF($I29-1,BP$15+1,"m"),)/12,)-1,)*Index!BL$22*(BP$15&lt;=$J29)*(1-BP$12)</f>
        <v>0</v>
      </c>
      <c r="BQ29" s="747">
        <f>$G29*$H29*(1+$K29)^MAX(ROUNDUP(IFERROR(DATEDIF($I29-1,BQ$15+1,"m"),)/12,)-1,)*Index!BM$22*(BQ$15&lt;=$J29)*(1-BQ$12)</f>
        <v>0</v>
      </c>
      <c r="BR29" s="747">
        <f>$G29*$H29*(1+$K29)^MAX(ROUNDUP(IFERROR(DATEDIF($I29-1,BR$15+1,"m"),)/12,)-1,)*Index!BN$22*(BR$15&lt;=$J29)*(1-BR$12)</f>
        <v>0</v>
      </c>
      <c r="BS29" s="747">
        <f>$G29*$H29*(1+$K29)^MAX(ROUNDUP(IFERROR(DATEDIF($I29-1,BS$15+1,"m"),)/12,)-1,)*Index!BO$22*(BS$15&lt;=$J29)*(1-BS$12)</f>
        <v>0</v>
      </c>
      <c r="BT29" s="747">
        <f>$G29*$H29*(1+$K29)^MAX(ROUNDUP(IFERROR(DATEDIF($I29-1,BT$15+1,"m"),)/12,)-1,)*Index!BP$22*(BT$15&lt;=$J29)*(1-BT$12)</f>
        <v>0</v>
      </c>
      <c r="BU29" s="747">
        <f>$G29*$H29*(1+$K29)^MAX(ROUNDUP(IFERROR(DATEDIF($I29-1,BU$15+1,"m"),)/12,)-1,)*Index!BQ$22*(BU$15&lt;=$J29)*(1-BU$12)</f>
        <v>0</v>
      </c>
      <c r="BV29" s="747">
        <f>$G29*$H29*(1+$K29)^MAX(ROUNDUP(IFERROR(DATEDIF($I29-1,BV$15+1,"m"),)/12,)-1,)*Index!BR$22*(BV$15&lt;=$J29)*(1-BV$12)</f>
        <v>0</v>
      </c>
      <c r="BW29" s="747">
        <f>$G29*$H29*(1+$K29)^MAX(ROUNDUP(IFERROR(DATEDIF($I29-1,BW$15+1,"m"),)/12,)-1,)*Index!BS$22*(BW$15&lt;=$J29)*(1-BW$12)</f>
        <v>0</v>
      </c>
      <c r="BX29" s="747">
        <f>$G29*$H29*(1+$K29)^MAX(ROUNDUP(IFERROR(DATEDIF($I29-1,BX$15+1,"m"),)/12,)-1,)*Index!BT$22*(BX$15&lt;=$J29)*(1-BX$12)</f>
        <v>0</v>
      </c>
      <c r="BY29" s="747">
        <f>$G29*$H29*(1+$K29)^MAX(ROUNDUP(IFERROR(DATEDIF($I29-1,BY$15+1,"m"),)/12,)-1,)*Index!BU$22*(BY$15&lt;=$J29)*(1-BY$12)</f>
        <v>0</v>
      </c>
      <c r="BZ29" s="747">
        <f>$G29*$H29*(1+$K29)^MAX(ROUNDUP(IFERROR(DATEDIF($I29-1,BZ$15+1,"m"),)/12,)-1,)*Index!BV$22*(BZ$15&lt;=$J29)*(1-BZ$12)</f>
        <v>0</v>
      </c>
      <c r="CA29" s="747">
        <f>$G29*$H29*(1+$K29)^MAX(ROUNDUP(IFERROR(DATEDIF($I29-1,CA$15+1,"m"),)/12,)-1,)*Index!BW$22*(CA$15&lt;=$J29)*(1-CA$12)</f>
        <v>0</v>
      </c>
      <c r="CB29" s="747">
        <f>$G29*$H29*(1+$K29)^MAX(ROUNDUP(IFERROR(DATEDIF($I29-1,CB$15+1,"m"),)/12,)-1,)*Index!BX$22*(CB$15&lt;=$J29)*(1-CB$12)</f>
        <v>0</v>
      </c>
      <c r="CC29" s="747">
        <f>$G29*$H29*(1+$K29)^MAX(ROUNDUP(IFERROR(DATEDIF($I29-1,CC$15+1,"m"),)/12,)-1,)*Index!BY$22*(CC$15&lt;=$J29)*(1-CC$12)</f>
        <v>0</v>
      </c>
      <c r="CD29" s="747">
        <f>$G29*$H29*(1+$K29)^MAX(ROUNDUP(IFERROR(DATEDIF($I29-1,CD$15+1,"m"),)/12,)-1,)*Index!BZ$22*(CD$15&lt;=$J29)*(1-CD$12)</f>
        <v>0</v>
      </c>
      <c r="CE29" s="747">
        <f>$G29*$H29*(1+$K29)^MAX(ROUNDUP(IFERROR(DATEDIF($I29-1,CE$15+1,"m"),)/12,)-1,)*Index!CA$22*(CE$15&lt;=$J29)*(1-CE$12)</f>
        <v>0</v>
      </c>
      <c r="CF29" s="747">
        <f>$G29*$H29*(1+$K29)^MAX(ROUNDUP(IFERROR(DATEDIF($I29-1,CF$15+1,"m"),)/12,)-1,)*Index!CB$22*(CF$15&lt;=$J29)*(1-CF$12)</f>
        <v>0</v>
      </c>
      <c r="CG29" s="747">
        <f>$G29*$H29*(1+$K29)^MAX(ROUNDUP(IFERROR(DATEDIF($I29-1,CG$15+1,"m"),)/12,)-1,)*Index!CC$22*(CG$15&lt;=$J29)*(1-CG$12)</f>
        <v>0</v>
      </c>
      <c r="CH29" s="747">
        <f>$G29*$H29*(1+$K29)^MAX(ROUNDUP(IFERROR(DATEDIF($I29-1,CH$15+1,"m"),)/12,)-1,)*Index!CD$22*(CH$15&lt;=$J29)*(1-CH$12)</f>
        <v>0</v>
      </c>
      <c r="CI29" s="747">
        <f>$G29*$H29*(1+$K29)^MAX(ROUNDUP(IFERROR(DATEDIF($I29-1,CI$15+1,"m"),)/12,)-1,)*Index!CE$22*(CI$15&lt;=$J29)*(1-CI$12)</f>
        <v>0</v>
      </c>
      <c r="CJ29" s="747">
        <f>$G29*$H29*(1+$K29)^MAX(ROUNDUP(IFERROR(DATEDIF($I29-1,CJ$15+1,"m"),)/12,)-1,)*Index!CF$22*(CJ$15&lt;=$J29)*(1-CJ$12)</f>
        <v>0</v>
      </c>
      <c r="CK29" s="747">
        <f>$G29*$H29*(1+$K29)^MAX(ROUNDUP(IFERROR(DATEDIF($I29-1,CK$15+1,"m"),)/12,)-1,)*Index!CG$22*(CK$15&lt;=$J29)*(1-CK$12)</f>
        <v>0</v>
      </c>
      <c r="CL29" s="747">
        <f>$G29*$H29*(1+$K29)^MAX(ROUNDUP(IFERROR(DATEDIF($I29-1,CL$15+1,"m"),)/12,)-1,)*Index!CH$22*(CL$15&lt;=$J29)*(1-CL$12)</f>
        <v>0</v>
      </c>
      <c r="CM29" s="747">
        <f>$G29*$H29*(1+$K29)^MAX(ROUNDUP(IFERROR(DATEDIF($I29-1,CM$15+1,"m"),)/12,)-1,)*Index!CI$22*(CM$15&lt;=$J29)*(1-CM$12)</f>
        <v>0</v>
      </c>
      <c r="CN29" s="747">
        <f>$G29*$H29*(1+$K29)^MAX(ROUNDUP(IFERROR(DATEDIF($I29-1,CN$15+1,"m"),)/12,)-1,)*Index!CJ$22*(CN$15&lt;=$J29)*(1-CN$12)</f>
        <v>0</v>
      </c>
      <c r="CO29" s="747">
        <f>$G29*$H29*(1+$K29)^MAX(ROUNDUP(IFERROR(DATEDIF($I29-1,CO$15+1,"m"),)/12,)-1,)*Index!CK$22*(CO$15&lt;=$J29)*(1-CO$12)</f>
        <v>0</v>
      </c>
      <c r="CP29" s="747">
        <f>$G29*$H29*(1+$K29)^MAX(ROUNDUP(IFERROR(DATEDIF($I29-1,CP$15+1,"m"),)/12,)-1,)*Index!CL$22*(CP$15&lt;=$J29)*(1-CP$12)</f>
        <v>0</v>
      </c>
      <c r="CQ29" s="747">
        <f>$G29*$H29*(1+$K29)^MAX(ROUNDUP(IFERROR(DATEDIF($I29-1,CQ$15+1,"m"),)/12,)-1,)*Index!CM$22*(CQ$15&lt;=$J29)*(1-CQ$12)</f>
        <v>0</v>
      </c>
      <c r="CR29" s="747">
        <f>$G29*$H29*(1+$K29)^MAX(ROUNDUP(IFERROR(DATEDIF($I29-1,CR$15+1,"m"),)/12,)-1,)*Index!CN$22*(CR$15&lt;=$J29)*(1-CR$12)</f>
        <v>0</v>
      </c>
      <c r="CS29" s="747">
        <f>$G29*$H29*(1+$K29)^MAX(ROUNDUP(IFERROR(DATEDIF($I29-1,CS$15+1,"m"),)/12,)-1,)*Index!CO$22*(CS$15&lt;=$J29)*(1-CS$12)</f>
        <v>0</v>
      </c>
      <c r="CT29" s="747">
        <f>$G29*$H29*(1+$K29)^MAX(ROUNDUP(IFERROR(DATEDIF($I29-1,CT$15+1,"m"),)/12,)-1,)*Index!CP$22*(CT$15&lt;=$J29)*(1-CT$12)</f>
        <v>0</v>
      </c>
      <c r="CU29" s="747">
        <f>$G29*$H29*(1+$K29)^MAX(ROUNDUP(IFERROR(DATEDIF($I29-1,CU$15+1,"m"),)/12,)-1,)*Index!CQ$22*(CU$15&lt;=$J29)*(1-CU$12)</f>
        <v>0</v>
      </c>
      <c r="CV29" s="747">
        <f>$G29*$H29*(1+$K29)^MAX(ROUNDUP(IFERROR(DATEDIF($I29-1,CV$15+1,"m"),)/12,)-1,)*Index!CR$22*(CV$15&lt;=$J29)*(1-CV$12)</f>
        <v>0</v>
      </c>
      <c r="CW29" s="747">
        <f>$G29*$H29*(1+$K29)^MAX(ROUNDUP(IFERROR(DATEDIF($I29-1,CW$15+1,"m"),)/12,)-1,)*Index!CS$22*(CW$15&lt;=$J29)*(1-CW$12)</f>
        <v>0</v>
      </c>
      <c r="CX29" s="747">
        <f>$G29*$H29*(1+$K29)^MAX(ROUNDUP(IFERROR(DATEDIF($I29-1,CX$15+1,"m"),)/12,)-1,)*Index!CT$22*(CX$15&lt;=$J29)*(1-CX$12)</f>
        <v>0</v>
      </c>
      <c r="CY29" s="747">
        <f>$G29*$H29*(1+$K29)^MAX(ROUNDUP(IFERROR(DATEDIF($I29-1,CY$15+1,"m"),)/12,)-1,)*Index!CU$22*(CY$15&lt;=$J29)*(1-CY$12)</f>
        <v>0</v>
      </c>
      <c r="CZ29" s="747">
        <f>$G29*$H29*(1+$K29)^MAX(ROUNDUP(IFERROR(DATEDIF($I29-1,CZ$15+1,"m"),)/12,)-1,)*Index!CV$22*(CZ$15&lt;=$J29)*(1-CZ$12)</f>
        <v>0</v>
      </c>
      <c r="DA29" s="747">
        <f>$G29*$H29*(1+$K29)^MAX(ROUNDUP(IFERROR(DATEDIF($I29-1,DA$15+1,"m"),)/12,)-1,)*Index!CW$22*(DA$15&lt;=$J29)*(1-DA$12)</f>
        <v>0</v>
      </c>
      <c r="DB29" s="747">
        <f>$G29*$H29*(1+$K29)^MAX(ROUNDUP(IFERROR(DATEDIF($I29-1,DB$15+1,"m"),)/12,)-1,)*Index!CX$22*(DB$15&lt;=$J29)*(1-DB$12)</f>
        <v>0</v>
      </c>
      <c r="DC29" s="747">
        <f>$G29*$H29*(1+$K29)^MAX(ROUNDUP(IFERROR(DATEDIF($I29-1,DC$15+1,"m"),)/12,)-1,)*Index!CY$22*(DC$15&lt;=$J29)*(1-DC$12)</f>
        <v>0</v>
      </c>
      <c r="DD29" s="747">
        <f>$G29*$H29*(1+$K29)^MAX(ROUNDUP(IFERROR(DATEDIF($I29-1,DD$15+1,"m"),)/12,)-1,)*Index!CZ$22*(DD$15&lt;=$J29)*(1-DD$12)</f>
        <v>0</v>
      </c>
      <c r="DE29" s="747">
        <f>$G29*$H29*(1+$K29)^MAX(ROUNDUP(IFERROR(DATEDIF($I29-1,DE$15+1,"m"),)/12,)-1,)*Index!DA$22*(DE$15&lt;=$J29)*(1-DE$12)</f>
        <v>0</v>
      </c>
      <c r="DF29" s="747">
        <f>$G29*$H29*(1+$K29)^MAX(ROUNDUP(IFERROR(DATEDIF($I29-1,DF$15+1,"m"),)/12,)-1,)*Index!DB$22*(DF$15&lt;=$J29)*(1-DF$12)</f>
        <v>0</v>
      </c>
      <c r="DG29" s="747">
        <f>$G29*$H29*(1+$K29)^MAX(ROUNDUP(IFERROR(DATEDIF($I29-1,DG$15+1,"m"),)/12,)-1,)*Index!DC$22*(DG$15&lt;=$J29)*(1-DG$12)</f>
        <v>0</v>
      </c>
      <c r="DH29" s="747">
        <f>$G29*$H29*(1+$K29)^MAX(ROUNDUP(IFERROR(DATEDIF($I29-1,DH$15+1,"m"),)/12,)-1,)*Index!DD$22*(DH$15&lt;=$J29)*(1-DH$12)</f>
        <v>0</v>
      </c>
      <c r="DI29" s="747">
        <f>$G29*$H29*(1+$K29)^MAX(ROUNDUP(IFERROR(DATEDIF($I29-1,DI$15+1,"m"),)/12,)-1,)*Index!DE$22*(DI$15&lt;=$J29)*(1-DI$12)</f>
        <v>0</v>
      </c>
      <c r="DJ29" s="747">
        <f>$G29*$H29*(1+$K29)^MAX(ROUNDUP(IFERROR(DATEDIF($I29-1,DJ$15+1,"m"),)/12,)-1,)*Index!DF$22*(DJ$15&lt;=$J29)*(1-DJ$12)</f>
        <v>0</v>
      </c>
      <c r="DK29" s="747">
        <f>$G29*$H29*(1+$K29)^MAX(ROUNDUP(IFERROR(DATEDIF($I29-1,DK$15+1,"m"),)/12,)-1,)*Index!DG$22*(DK$15&lt;=$J29)*(1-DK$12)</f>
        <v>0</v>
      </c>
      <c r="DL29" s="747">
        <f>$G29*$H29*(1+$K29)^MAX(ROUNDUP(IFERROR(DATEDIF($I29-1,DL$15+1,"m"),)/12,)-1,)*Index!DH$22*(DL$15&lt;=$J29)*(1-DL$12)</f>
        <v>0</v>
      </c>
      <c r="DM29" s="747">
        <f>$G29*$H29*(1+$K29)^MAX(ROUNDUP(IFERROR(DATEDIF($I29-1,DM$15+1,"m"),)/12,)-1,)*Index!DI$22*(DM$15&lt;=$J29)*(1-DM$12)</f>
        <v>0</v>
      </c>
      <c r="DN29" s="747">
        <f>$G29*$H29*(1+$K29)^MAX(ROUNDUP(IFERROR(DATEDIF($I29-1,DN$15+1,"m"),)/12,)-1,)*Index!DJ$22*(DN$15&lt;=$J29)*(1-DN$12)</f>
        <v>0</v>
      </c>
      <c r="DO29" s="747">
        <f>$G29*$H29*(1+$K29)^MAX(ROUNDUP(IFERROR(DATEDIF($I29-1,DO$15+1,"m"),)/12,)-1,)*Index!DK$22*(DO$15&lt;=$J29)*(1-DO$12)</f>
        <v>0</v>
      </c>
      <c r="DP29" s="747">
        <f>$G29*$H29*(1+$K29)^MAX(ROUNDUP(IFERROR(DATEDIF($I29-1,DP$15+1,"m"),)/12,)-1,)*Index!DL$22*(DP$15&lt;=$J29)*(1-DP$12)</f>
        <v>0</v>
      </c>
      <c r="DQ29" s="747">
        <f>$G29*$H29*(1+$K29)^MAX(ROUNDUP(IFERROR(DATEDIF($I29-1,DQ$15+1,"m"),)/12,)-1,)*Index!DM$22*(DQ$15&lt;=$J29)*(1-DQ$12)</f>
        <v>0</v>
      </c>
      <c r="DR29" s="747">
        <f>$G29*$H29*(1+$K29)^MAX(ROUNDUP(IFERROR(DATEDIF($I29-1,DR$15+1,"m"),)/12,)-1,)*Index!DN$22*(DR$15&lt;=$J29)*(1-DR$12)</f>
        <v>0</v>
      </c>
      <c r="DS29" s="747">
        <f>$G29*$H29*(1+$K29)^MAX(ROUNDUP(IFERROR(DATEDIF($I29-1,DS$15+1,"m"),)/12,)-1,)*Index!DO$22*(DS$15&lt;=$J29)*(1-DS$12)</f>
        <v>0</v>
      </c>
      <c r="DT29" s="747">
        <f>$G29*$H29*(1+$K29)^MAX(ROUNDUP(IFERROR(DATEDIF($I29-1,DT$15+1,"m"),)/12,)-1,)*Index!DP$22*(DT$15&lt;=$J29)*(1-DT$12)</f>
        <v>0</v>
      </c>
      <c r="DU29" s="747">
        <f>$G29*$H29*(1+$K29)^MAX(ROUNDUP(IFERROR(DATEDIF($I29-1,DU$15+1,"m"),)/12,)-1,)*Index!DQ$22*(DU$15&lt;=$J29)*(1-DU$12)</f>
        <v>0</v>
      </c>
      <c r="DV29" s="747">
        <f>$G29*$H29*(1+$K29)^MAX(ROUNDUP(IFERROR(DATEDIF($I29-1,DV$15+1,"m"),)/12,)-1,)*Index!DR$22*(DV$15&lt;=$J29)*(1-DV$12)</f>
        <v>0</v>
      </c>
      <c r="DW29" s="747">
        <f>$G29*$H29*(1+$K29)^MAX(ROUNDUP(IFERROR(DATEDIF($I29-1,DW$15+1,"m"),)/12,)-1,)*Index!DS$22*(DW$15&lt;=$J29)*(1-DW$12)</f>
        <v>0</v>
      </c>
      <c r="DX29" s="747">
        <f>$G29*$H29*(1+$K29)^MAX(ROUNDUP(IFERROR(DATEDIF($I29-1,DX$15+1,"m"),)/12,)-1,)*Index!DT$22*(DX$15&lt;=$J29)*(1-DX$12)</f>
        <v>0</v>
      </c>
      <c r="DY29" s="747">
        <f>$G29*$H29*(1+$K29)^MAX(ROUNDUP(IFERROR(DATEDIF($I29-1,DY$15+1,"m"),)/12,)-1,)*Index!DU$22*(DY$15&lt;=$J29)*(1-DY$12)</f>
        <v>0</v>
      </c>
      <c r="DZ29" s="747">
        <f>$G29*$H29*(1+$K29)^MAX(ROUNDUP(IFERROR(DATEDIF($I29-1,DZ$15+1,"m"),)/12,)-1,)*Index!DV$22*(DZ$15&lt;=$J29)*(1-DZ$12)</f>
        <v>0</v>
      </c>
      <c r="EA29" s="747">
        <f>$G29*$H29*(1+$K29)^MAX(ROUNDUP(IFERROR(DATEDIF($I29-1,EA$15+1,"m"),)/12,)-1,)*Index!DW$22*(EA$15&lt;=$J29)*(1-EA$12)</f>
        <v>0</v>
      </c>
      <c r="EB29" s="747">
        <f>$G29*$H29*(1+$K29)^MAX(ROUNDUP(IFERROR(DATEDIF($I29-1,EB$15+1,"m"),)/12,)-1,)*Index!DX$22*(EB$15&lt;=$J29)*(1-EB$12)</f>
        <v>0</v>
      </c>
      <c r="EC29" s="747">
        <f>$G29*$H29*(1+$K29)^MAX(ROUNDUP(IFERROR(DATEDIF($I29-1,EC$15+1,"m"),)/12,)-1,)*Index!DY$22*(EC$15&lt;=$J29)*(1-EC$12)</f>
        <v>0</v>
      </c>
      <c r="ED29" s="747">
        <f>$G29*$H29*(1+$K29)^MAX(ROUNDUP(IFERROR(DATEDIF($I29-1,ED$15+1,"m"),)/12,)-1,)*Index!DZ$22*(ED$15&lt;=$J29)*(1-ED$12)</f>
        <v>0</v>
      </c>
      <c r="EE29" s="747">
        <f>$G29*$H29*(1+$K29)^MAX(ROUNDUP(IFERROR(DATEDIF($I29-1,EE$15+1,"m"),)/12,)-1,)*Index!EA$22*(EE$15&lt;=$J29)*(1-EE$12)</f>
        <v>0</v>
      </c>
      <c r="EF29" s="747">
        <f>$G29*$H29*(1+$K29)^MAX(ROUNDUP(IFERROR(DATEDIF($I29-1,EF$15+1,"m"),)/12,)-1,)*Index!EB$22*(EF$15&lt;=$J29)*(1-EF$12)</f>
        <v>0</v>
      </c>
      <c r="EG29" s="747">
        <f>$G29*$H29*(1+$K29)^MAX(ROUNDUP(IFERROR(DATEDIF($I29-1,EG$15+1,"m"),)/12,)-1,)*Index!EC$22*(EG$15&lt;=$J29)*(1-EG$12)</f>
        <v>0</v>
      </c>
      <c r="EH29" s="747">
        <f>$G29*$H29*(1+$K29)^MAX(ROUNDUP(IFERROR(DATEDIF($I29-1,EH$15+1,"m"),)/12,)-1,)*Index!ED$22*(EH$15&lt;=$J29)*(1-EH$12)</f>
        <v>0</v>
      </c>
      <c r="EI29" s="747">
        <f>$G29*$H29*(1+$K29)^MAX(ROUNDUP(IFERROR(DATEDIF($I29-1,EI$15+1,"m"),)/12,)-1,)*Index!EE$22*(EI$15&lt;=$J29)*(1-EI$12)</f>
        <v>0</v>
      </c>
      <c r="EJ29" s="747">
        <f>$G29*$H29*(1+$K29)^MAX(ROUNDUP(IFERROR(DATEDIF($I29-1,EJ$15+1,"m"),)/12,)-1,)*Index!EF$22*(EJ$15&lt;=$J29)*(1-EJ$12)</f>
        <v>0</v>
      </c>
      <c r="EK29" s="747">
        <f>$G29*$H29*(1+$K29)^MAX(ROUNDUP(IFERROR(DATEDIF($I29-1,EK$15+1,"m"),)/12,)-1,)*Index!EG$22*(EK$15&lt;=$J29)*(1-EK$12)</f>
        <v>0</v>
      </c>
      <c r="EL29" s="747">
        <f>$G29*$H29*(1+$K29)^MAX(ROUNDUP(IFERROR(DATEDIF($I29-1,EL$15+1,"m"),)/12,)-1,)*Index!EH$22*(EL$15&lt;=$J29)*(1-EL$12)</f>
        <v>0</v>
      </c>
      <c r="EM29" s="747">
        <f>$G29*$H29*(1+$K29)^MAX(ROUNDUP(IFERROR(DATEDIF($I29-1,EM$15+1,"m"),)/12,)-1,)*Index!EI$22*(EM$15&lt;=$J29)*(1-EM$12)</f>
        <v>0</v>
      </c>
      <c r="EN29" s="747">
        <f>$G29*$H29*(1+$K29)^MAX(ROUNDUP(IFERROR(DATEDIF($I29-1,EN$15+1,"m"),)/12,)-1,)*Index!EJ$22*(EN$15&lt;=$J29)*(1-EN$12)</f>
        <v>0</v>
      </c>
      <c r="EO29" s="747">
        <f>$G29*$H29*(1+$K29)^MAX(ROUNDUP(IFERROR(DATEDIF($I29-1,EO$15+1,"m"),)/12,)-1,)*Index!EK$22*(EO$15&lt;=$J29)*(1-EO$12)</f>
        <v>0</v>
      </c>
      <c r="EP29" s="747">
        <f>$G29*$H29*(1+$K29)^MAX(ROUNDUP(IFERROR(DATEDIF($I29-1,EP$15+1,"m"),)/12,)-1,)*Index!EL$22*(EP$15&lt;=$J29)*(1-EP$12)</f>
        <v>0</v>
      </c>
      <c r="EQ29" s="747">
        <f>$G29*$H29*(1+$K29)^MAX(ROUNDUP(IFERROR(DATEDIF($I29-1,EQ$15+1,"m"),)/12,)-1,)*Index!EM$22*(EQ$15&lt;=$J29)*(1-EQ$12)</f>
        <v>0</v>
      </c>
      <c r="ER29" s="747">
        <f>$G29*$H29*(1+$K29)^MAX(ROUNDUP(IFERROR(DATEDIF($I29-1,ER$15+1,"m"),)/12,)-1,)*Index!EN$22*(ER$15&lt;=$J29)*(1-ER$12)</f>
        <v>0</v>
      </c>
      <c r="ES29" s="747">
        <f>$G29*$H29*(1+$K29)^MAX(ROUNDUP(IFERROR(DATEDIF($I29-1,ES$15+1,"m"),)/12,)-1,)*Index!EO$22*(ES$15&lt;=$J29)*(1-ES$12)</f>
        <v>0</v>
      </c>
      <c r="ET29" s="747">
        <f>$G29*$H29*(1+$K29)^MAX(ROUNDUP(IFERROR(DATEDIF($I29-1,ET$15+1,"m"),)/12,)-1,)*Index!EP$22*(ET$15&lt;=$J29)*(1-ET$12)</f>
        <v>0</v>
      </c>
      <c r="EU29" s="747">
        <f>$G29*$H29*(1+$K29)^MAX(ROUNDUP(IFERROR(DATEDIF($I29-1,EU$15+1,"m"),)/12,)-1,)*Index!EQ$22*(EU$15&lt;=$J29)*(1-EU$12)</f>
        <v>0</v>
      </c>
    </row>
    <row r="30" spans="3:151" ht="11.25" customHeight="1">
      <c r="C30" s="735"/>
      <c r="D30" s="743" t="str">
        <f>'A&amp;R'!V19</f>
        <v>1F</v>
      </c>
      <c r="E30" s="704" t="str">
        <f>'A&amp;R'!W19</f>
        <v>아이팜</v>
      </c>
      <c r="F30" s="704" t="str">
        <f>'A&amp;R'!X19</f>
        <v>근린생활시설</v>
      </c>
      <c r="G30" s="752">
        <f>'A&amp;R'!AC19/1000</f>
        <v>60</v>
      </c>
      <c r="H30" s="744">
        <f>'A&amp;R'!Y19</f>
        <v>17.29</v>
      </c>
      <c r="I30" s="745">
        <f>'A&amp;R'!Z19</f>
        <v>45778</v>
      </c>
      <c r="J30" s="745">
        <f>'A&amp;R'!AA19</f>
        <v>47603</v>
      </c>
      <c r="K30" s="754">
        <f>'A&amp;R'!AF19</f>
        <v>2.5000000000000001E-2</v>
      </c>
      <c r="L30" s="748"/>
      <c r="M30" s="749"/>
      <c r="N30" s="747">
        <f t="shared" si="7"/>
        <v>46606.172425312529</v>
      </c>
      <c r="O30" s="733"/>
      <c r="P30" s="747">
        <f>$G30*$H30*(1+$K30)^MAX(ROUNDUP(IFERROR(DATEDIF($I30-1,P$15+1,"m"),)/12,)-1,)*Index!L$22*(P$15&lt;=$J30)*(1-P$12)</f>
        <v>0</v>
      </c>
      <c r="Q30" s="747">
        <f>$G30*$H30*(1+$K30)^MAX(ROUNDUP(IFERROR(DATEDIF($I30-1,Q$15+1,"m"),)/12,)-1,)*Index!M$22*(Q$15&lt;=$J30)*(1-Q$12)</f>
        <v>1063.3349999999998</v>
      </c>
      <c r="R30" s="747">
        <f>$G30*$H30*(1+$K30)^MAX(ROUNDUP(IFERROR(DATEDIF($I30-1,R$15+1,"m"),)/12,)-1,)*Index!N$22*(R$15&lt;=$J30)*(1-R$12)</f>
        <v>1063.3349999999998</v>
      </c>
      <c r="S30" s="747">
        <f>$G30*$H30*(1+$K30)^MAX(ROUNDUP(IFERROR(DATEDIF($I30-1,S$15+1,"m"),)/12,)-1,)*Index!O$22*(S$15&lt;=$J30)*(1-S$12)</f>
        <v>1063.3349999999998</v>
      </c>
      <c r="T30" s="747">
        <f>$G30*$H30*(1+$K30)^MAX(ROUNDUP(IFERROR(DATEDIF($I30-1,T$15+1,"m"),)/12,)-1,)*Index!P$22*(T$15&lt;=$J30)*(1-T$12)</f>
        <v>1063.3349999999998</v>
      </c>
      <c r="U30" s="747">
        <f>$G30*$H30*(1+$K30)^MAX(ROUNDUP(IFERROR(DATEDIF($I30-1,U$15+1,"m"),)/12,)-1,)*Index!Q$22*(U$15&lt;=$J30)*(1-U$12)</f>
        <v>1063.3349999999998</v>
      </c>
      <c r="V30" s="747">
        <f>$G30*$H30*(1+$K30)^MAX(ROUNDUP(IFERROR(DATEDIF($I30-1,V$15+1,"m"),)/12,)-1,)*Index!R$22*(V$15&lt;=$J30)*(1-V$12)</f>
        <v>1063.3349999999998</v>
      </c>
      <c r="W30" s="747">
        <f>$G30*$H30*(1+$K30)^MAX(ROUNDUP(IFERROR(DATEDIF($I30-1,W$15+1,"m"),)/12,)-1,)*Index!S$22*(W$15&lt;=$J30)*(1-W$12)</f>
        <v>1089.9183749999997</v>
      </c>
      <c r="X30" s="747">
        <f>$G30*$H30*(1+$K30)^MAX(ROUNDUP(IFERROR(DATEDIF($I30-1,X$15+1,"m"),)/12,)-1,)*Index!T$22*(X$15&lt;=$J30)*(1-X$12)</f>
        <v>1089.9183749999997</v>
      </c>
      <c r="Y30" s="747">
        <f>$G30*$H30*(1+$K30)^MAX(ROUNDUP(IFERROR(DATEDIF($I30-1,Y$15+1,"m"),)/12,)-1,)*Index!U$22*(Y$15&lt;=$J30)*(1-Y$12)</f>
        <v>1089.9183749999997</v>
      </c>
      <c r="Z30" s="747">
        <f>$G30*$H30*(1+$K30)^MAX(ROUNDUP(IFERROR(DATEDIF($I30-1,Z$15+1,"m"),)/12,)-1,)*Index!V$22*(Z$15&lt;=$J30)*(1-Z$12)</f>
        <v>1089.9183749999997</v>
      </c>
      <c r="AA30" s="747">
        <f>$G30*$H30*(1+$K30)^MAX(ROUNDUP(IFERROR(DATEDIF($I30-1,AA$15+1,"m"),)/12,)-1,)*Index!W$22*(AA$15&lt;=$J30)*(1-AA$12)</f>
        <v>1089.9183749999997</v>
      </c>
      <c r="AB30" s="747">
        <f>$G30*$H30*(1+$K30)^MAX(ROUNDUP(IFERROR(DATEDIF($I30-1,AB$15+1,"m"),)/12,)-1,)*Index!X$22*(AB$15&lt;=$J30)*(1-AB$12)</f>
        <v>1089.9183749999997</v>
      </c>
      <c r="AC30" s="747">
        <f>$G30*$H30*(1+$K30)^MAX(ROUNDUP(IFERROR(DATEDIF($I30-1,AC$15+1,"m"),)/12,)-1,)*Index!Y$22*(AC$15&lt;=$J30)*(1-AC$12)</f>
        <v>1089.9183749999997</v>
      </c>
      <c r="AD30" s="747">
        <f>$G30*$H30*(1+$K30)^MAX(ROUNDUP(IFERROR(DATEDIF($I30-1,AD$15+1,"m"),)/12,)-1,)*Index!Z$22*(AD$15&lt;=$J30)*(1-AD$12)</f>
        <v>1089.9183749999997</v>
      </c>
      <c r="AE30" s="747">
        <f>$G30*$H30*(1+$K30)^MAX(ROUNDUP(IFERROR(DATEDIF($I30-1,AE$15+1,"m"),)/12,)-1,)*Index!AA$22*(AE$15&lt;=$J30)*(1-AE$12)</f>
        <v>1089.9183749999997</v>
      </c>
      <c r="AF30" s="747">
        <f>$G30*$H30*(1+$K30)^MAX(ROUNDUP(IFERROR(DATEDIF($I30-1,AF$15+1,"m"),)/12,)-1,)*Index!AB$22*(AF$15&lt;=$J30)*(1-AF$12)</f>
        <v>1089.9183749999997</v>
      </c>
      <c r="AG30" s="747">
        <f>$G30*$H30*(1+$K30)^MAX(ROUNDUP(IFERROR(DATEDIF($I30-1,AG$15+1,"m"),)/12,)-1,)*Index!AC$22*(AG$15&lt;=$J30)*(1-AG$12)</f>
        <v>1089.9183749999997</v>
      </c>
      <c r="AH30" s="747">
        <f>$G30*$H30*(1+$K30)^MAX(ROUNDUP(IFERROR(DATEDIF($I30-1,AH$15+1,"m"),)/12,)-1,)*Index!AD$22*(AH$15&lt;=$J30)*(1-AH$12)</f>
        <v>1089.9183749999997</v>
      </c>
      <c r="AI30" s="747">
        <f>$G30*$H30*(1+$K30)^MAX(ROUNDUP(IFERROR(DATEDIF($I30-1,AI$15+1,"m"),)/12,)-1,)*Index!AE$22*(AI$15&lt;=$J30)*(1-AI$12)</f>
        <v>1117.1663343749997</v>
      </c>
      <c r="AJ30" s="747">
        <f>$G30*$H30*(1+$K30)^MAX(ROUNDUP(IFERROR(DATEDIF($I30-1,AJ$15+1,"m"),)/12,)-1,)*Index!AF$22*(AJ$15&lt;=$J30)*(1-AJ$12)</f>
        <v>1117.1663343749997</v>
      </c>
      <c r="AK30" s="747">
        <f>$G30*$H30*(1+$K30)^MAX(ROUNDUP(IFERROR(DATEDIF($I30-1,AK$15+1,"m"),)/12,)-1,)*Index!AG$22*(AK$15&lt;=$J30)*(1-AK$12)</f>
        <v>1117.1663343749997</v>
      </c>
      <c r="AL30" s="747">
        <f>$G30*$H30*(1+$K30)^MAX(ROUNDUP(IFERROR(DATEDIF($I30-1,AL$15+1,"m"),)/12,)-1,)*Index!AH$22*(AL$15&lt;=$J30)*(1-AL$12)</f>
        <v>1117.1663343749997</v>
      </c>
      <c r="AM30" s="747">
        <f>$G30*$H30*(1+$K30)^MAX(ROUNDUP(IFERROR(DATEDIF($I30-1,AM$15+1,"m"),)/12,)-1,)*Index!AI$22*(AM$15&lt;=$J30)*(1-AM$12)</f>
        <v>1117.1663343749997</v>
      </c>
      <c r="AN30" s="747">
        <f>$G30*$H30*(1+$K30)^MAX(ROUNDUP(IFERROR(DATEDIF($I30-1,AN$15+1,"m"),)/12,)-1,)*Index!AJ$22*(AN$15&lt;=$J30)*(1-AN$12)</f>
        <v>1117.1663343749997</v>
      </c>
      <c r="AO30" s="747">
        <f>$G30*$H30*(1+$K30)^MAX(ROUNDUP(IFERROR(DATEDIF($I30-1,AO$15+1,"m"),)/12,)-1,)*Index!AK$22*(AO$15&lt;=$J30)*(1-AO$12)</f>
        <v>1117.1663343749997</v>
      </c>
      <c r="AP30" s="747">
        <f>$G30*$H30*(1+$K30)^MAX(ROUNDUP(IFERROR(DATEDIF($I30-1,AP$15+1,"m"),)/12,)-1,)*Index!AL$22*(AP$15&lt;=$J30)*(1-AP$12)</f>
        <v>1117.1663343749997</v>
      </c>
      <c r="AQ30" s="747">
        <f>$G30*$H30*(1+$K30)^MAX(ROUNDUP(IFERROR(DATEDIF($I30-1,AQ$15+1,"m"),)/12,)-1,)*Index!AM$22*(AQ$15&lt;=$J30)*(1-AQ$12)</f>
        <v>1117.1663343749997</v>
      </c>
      <c r="AR30" s="747">
        <f>$G30*$H30*(1+$K30)^MAX(ROUNDUP(IFERROR(DATEDIF($I30-1,AR$15+1,"m"),)/12,)-1,)*Index!AN$22*(AR$15&lt;=$J30)*(1-AR$12)</f>
        <v>1117.1663343749997</v>
      </c>
      <c r="AS30" s="747">
        <f>$G30*$H30*(1+$K30)^MAX(ROUNDUP(IFERROR(DATEDIF($I30-1,AS$15+1,"m"),)/12,)-1,)*Index!AO$22*(AS$15&lt;=$J30)*(1-AS$12)</f>
        <v>1117.1663343749997</v>
      </c>
      <c r="AT30" s="747">
        <f>$G30*$H30*(1+$K30)^MAX(ROUNDUP(IFERROR(DATEDIF($I30-1,AT$15+1,"m"),)/12,)-1,)*Index!AP$22*(AT$15&lt;=$J30)*(1-AT$12)</f>
        <v>1117.1663343749997</v>
      </c>
      <c r="AU30" s="747">
        <f>$G30*$H30*(1+$K30)^MAX(ROUNDUP(IFERROR(DATEDIF($I30-1,AU$15+1,"m"),)/12,)-1,)*Index!AQ$22*(AU$15&lt;=$J30)*(1-AU$12)</f>
        <v>1145.0954927343746</v>
      </c>
      <c r="AV30" s="747">
        <f>$G30*$H30*(1+$K30)^MAX(ROUNDUP(IFERROR(DATEDIF($I30-1,AV$15+1,"m"),)/12,)-1,)*Index!AR$22*(AV$15&lt;=$J30)*(1-AV$12)</f>
        <v>1145.0954927343746</v>
      </c>
      <c r="AW30" s="747">
        <f>$G30*$H30*(1+$K30)^MAX(ROUNDUP(IFERROR(DATEDIF($I30-1,AW$15+1,"m"),)/12,)-1,)*Index!AS$22*(AW$15&lt;=$J30)*(1-AW$12)</f>
        <v>1145.0954927343746</v>
      </c>
      <c r="AX30" s="747">
        <f>$G30*$H30*(1+$K30)^MAX(ROUNDUP(IFERROR(DATEDIF($I30-1,AX$15+1,"m"),)/12,)-1,)*Index!AT$22*(AX$15&lt;=$J30)*(1-AX$12)</f>
        <v>1145.0954927343746</v>
      </c>
      <c r="AY30" s="747">
        <f>$G30*$H30*(1+$K30)^MAX(ROUNDUP(IFERROR(DATEDIF($I30-1,AY$15+1,"m"),)/12,)-1,)*Index!AU$22*(AY$15&lt;=$J30)*(1-AY$12)</f>
        <v>1145.0954927343746</v>
      </c>
      <c r="AZ30" s="747">
        <f>$G30*$H30*(1+$K30)^MAX(ROUNDUP(IFERROR(DATEDIF($I30-1,AZ$15+1,"m"),)/12,)-1,)*Index!AV$22*(AZ$15&lt;=$J30)*(1-AZ$12)</f>
        <v>1145.0954927343746</v>
      </c>
      <c r="BA30" s="747">
        <f>$G30*$H30*(1+$K30)^MAX(ROUNDUP(IFERROR(DATEDIF($I30-1,BA$15+1,"m"),)/12,)-1,)*Index!AW$22*(BA$15&lt;=$J30)*(1-BA$12)</f>
        <v>1145.0954927343746</v>
      </c>
      <c r="BB30" s="747">
        <f>$G30*$H30*(1+$K30)^MAX(ROUNDUP(IFERROR(DATEDIF($I30-1,BB$15+1,"m"),)/12,)-1,)*Index!AX$22*(BB$15&lt;=$J30)*(1-BB$12)</f>
        <v>1145.0954927343746</v>
      </c>
      <c r="BC30" s="747">
        <f>$G30*$H30*(1+$K30)^MAX(ROUNDUP(IFERROR(DATEDIF($I30-1,BC$15+1,"m"),)/12,)-1,)*Index!AY$22*(BC$15&lt;=$J30)*(1-BC$12)</f>
        <v>1145.0954927343746</v>
      </c>
      <c r="BD30" s="747">
        <f>$G30*$H30*(1+$K30)^MAX(ROUNDUP(IFERROR(DATEDIF($I30-1,BD$15+1,"m"),)/12,)-1,)*Index!AZ$22*(BD$15&lt;=$J30)*(1-BD$12)</f>
        <v>1145.0954927343746</v>
      </c>
      <c r="BE30" s="747">
        <f>$G30*$H30*(1+$K30)^MAX(ROUNDUP(IFERROR(DATEDIF($I30-1,BE$15+1,"m"),)/12,)-1,)*Index!BA$22*(BE$15&lt;=$J30)*(1-BE$12)</f>
        <v>1145.0954927343746</v>
      </c>
      <c r="BF30" s="747">
        <f>$G30*$H30*(1+$K30)^MAX(ROUNDUP(IFERROR(DATEDIF($I30-1,BF$15+1,"m"),)/12,)-1,)*Index!BB$22*(BF$15&lt;=$J30)*(1-BF$12)</f>
        <v>1145.0954927343746</v>
      </c>
      <c r="BG30" s="747">
        <f>$G30*$H30*(1+$K30)^MAX(ROUNDUP(IFERROR(DATEDIF($I30-1,BG$15+1,"m"),)/12,)-1,)*Index!BC$22*(BG$15&lt;=$J30)*(1-BG$12)</f>
        <v>0</v>
      </c>
      <c r="BH30" s="747">
        <f>$G30*$H30*(1+$K30)^MAX(ROUNDUP(IFERROR(DATEDIF($I30-1,BH$15+1,"m"),)/12,)-1,)*Index!BD$22*(BH$15&lt;=$J30)*(1-BH$12)</f>
        <v>0</v>
      </c>
      <c r="BI30" s="747">
        <f>$G30*$H30*(1+$K30)^MAX(ROUNDUP(IFERROR(DATEDIF($I30-1,BI$15+1,"m"),)/12,)-1,)*Index!BE$22*(BI$15&lt;=$J30)*(1-BI$12)</f>
        <v>0</v>
      </c>
      <c r="BJ30" s="747">
        <f>$G30*$H30*(1+$K30)^MAX(ROUNDUP(IFERROR(DATEDIF($I30-1,BJ$15+1,"m"),)/12,)-1,)*Index!BF$22*(BJ$15&lt;=$J30)*(1-BJ$12)</f>
        <v>0</v>
      </c>
      <c r="BK30" s="747">
        <f>$G30*$H30*(1+$K30)^MAX(ROUNDUP(IFERROR(DATEDIF($I30-1,BK$15+1,"m"),)/12,)-1,)*Index!BG$22*(BK$15&lt;=$J30)*(1-BK$12)</f>
        <v>0</v>
      </c>
      <c r="BL30" s="747">
        <f>$G30*$H30*(1+$K30)^MAX(ROUNDUP(IFERROR(DATEDIF($I30-1,BL$15+1,"m"),)/12,)-1,)*Index!BH$22*(BL$15&lt;=$J30)*(1-BL$12)</f>
        <v>0</v>
      </c>
      <c r="BM30" s="747">
        <f>$G30*$H30*(1+$K30)^MAX(ROUNDUP(IFERROR(DATEDIF($I30-1,BM$15+1,"m"),)/12,)-1,)*Index!BI$22*(BM$15&lt;=$J30)*(1-BM$12)</f>
        <v>0</v>
      </c>
      <c r="BN30" s="747">
        <f>$G30*$H30*(1+$K30)^MAX(ROUNDUP(IFERROR(DATEDIF($I30-1,BN$15+1,"m"),)/12,)-1,)*Index!BJ$22*(BN$15&lt;=$J30)*(1-BN$12)</f>
        <v>0</v>
      </c>
      <c r="BO30" s="747">
        <f>$G30*$H30*(1+$K30)^MAX(ROUNDUP(IFERROR(DATEDIF($I30-1,BO$15+1,"m"),)/12,)-1,)*Index!BK$22*(BO$15&lt;=$J30)*(1-BO$12)</f>
        <v>0</v>
      </c>
      <c r="BP30" s="747">
        <f>$G30*$H30*(1+$K30)^MAX(ROUNDUP(IFERROR(DATEDIF($I30-1,BP$15+1,"m"),)/12,)-1,)*Index!BL$22*(BP$15&lt;=$J30)*(1-BP$12)</f>
        <v>0</v>
      </c>
      <c r="BQ30" s="747">
        <f>$G30*$H30*(1+$K30)^MAX(ROUNDUP(IFERROR(DATEDIF($I30-1,BQ$15+1,"m"),)/12,)-1,)*Index!BM$22*(BQ$15&lt;=$J30)*(1-BQ$12)</f>
        <v>0</v>
      </c>
      <c r="BR30" s="747">
        <f>$G30*$H30*(1+$K30)^MAX(ROUNDUP(IFERROR(DATEDIF($I30-1,BR$15+1,"m"),)/12,)-1,)*Index!BN$22*(BR$15&lt;=$J30)*(1-BR$12)</f>
        <v>0</v>
      </c>
      <c r="BS30" s="747">
        <f>$G30*$H30*(1+$K30)^MAX(ROUNDUP(IFERROR(DATEDIF($I30-1,BS$15+1,"m"),)/12,)-1,)*Index!BO$22*(BS$15&lt;=$J30)*(1-BS$12)</f>
        <v>0</v>
      </c>
      <c r="BT30" s="747">
        <f>$G30*$H30*(1+$K30)^MAX(ROUNDUP(IFERROR(DATEDIF($I30-1,BT$15+1,"m"),)/12,)-1,)*Index!BP$22*(BT$15&lt;=$J30)*(1-BT$12)</f>
        <v>0</v>
      </c>
      <c r="BU30" s="747">
        <f>$G30*$H30*(1+$K30)^MAX(ROUNDUP(IFERROR(DATEDIF($I30-1,BU$15+1,"m"),)/12,)-1,)*Index!BQ$22*(BU$15&lt;=$J30)*(1-BU$12)</f>
        <v>0</v>
      </c>
      <c r="BV30" s="747">
        <f>$G30*$H30*(1+$K30)^MAX(ROUNDUP(IFERROR(DATEDIF($I30-1,BV$15+1,"m"),)/12,)-1,)*Index!BR$22*(BV$15&lt;=$J30)*(1-BV$12)</f>
        <v>0</v>
      </c>
      <c r="BW30" s="747">
        <f>$G30*$H30*(1+$K30)^MAX(ROUNDUP(IFERROR(DATEDIF($I30-1,BW$15+1,"m"),)/12,)-1,)*Index!BS$22*(BW$15&lt;=$J30)*(1-BW$12)</f>
        <v>0</v>
      </c>
      <c r="BX30" s="747">
        <f>$G30*$H30*(1+$K30)^MAX(ROUNDUP(IFERROR(DATEDIF($I30-1,BX$15+1,"m"),)/12,)-1,)*Index!BT$22*(BX$15&lt;=$J30)*(1-BX$12)</f>
        <v>0</v>
      </c>
      <c r="BY30" s="747">
        <f>$G30*$H30*(1+$K30)^MAX(ROUNDUP(IFERROR(DATEDIF($I30-1,BY$15+1,"m"),)/12,)-1,)*Index!BU$22*(BY$15&lt;=$J30)*(1-BY$12)</f>
        <v>0</v>
      </c>
      <c r="BZ30" s="747">
        <f>$G30*$H30*(1+$K30)^MAX(ROUNDUP(IFERROR(DATEDIF($I30-1,BZ$15+1,"m"),)/12,)-1,)*Index!BV$22*(BZ$15&lt;=$J30)*(1-BZ$12)</f>
        <v>0</v>
      </c>
      <c r="CA30" s="747">
        <f>$G30*$H30*(1+$K30)^MAX(ROUNDUP(IFERROR(DATEDIF($I30-1,CA$15+1,"m"),)/12,)-1,)*Index!BW$22*(CA$15&lt;=$J30)*(1-CA$12)</f>
        <v>0</v>
      </c>
      <c r="CB30" s="747">
        <f>$G30*$H30*(1+$K30)^MAX(ROUNDUP(IFERROR(DATEDIF($I30-1,CB$15+1,"m"),)/12,)-1,)*Index!BX$22*(CB$15&lt;=$J30)*(1-CB$12)</f>
        <v>0</v>
      </c>
      <c r="CC30" s="747">
        <f>$G30*$H30*(1+$K30)^MAX(ROUNDUP(IFERROR(DATEDIF($I30-1,CC$15+1,"m"),)/12,)-1,)*Index!BY$22*(CC$15&lt;=$J30)*(1-CC$12)</f>
        <v>0</v>
      </c>
      <c r="CD30" s="747">
        <f>$G30*$H30*(1+$K30)^MAX(ROUNDUP(IFERROR(DATEDIF($I30-1,CD$15+1,"m"),)/12,)-1,)*Index!BZ$22*(CD$15&lt;=$J30)*(1-CD$12)</f>
        <v>0</v>
      </c>
      <c r="CE30" s="747">
        <f>$G30*$H30*(1+$K30)^MAX(ROUNDUP(IFERROR(DATEDIF($I30-1,CE$15+1,"m"),)/12,)-1,)*Index!CA$22*(CE$15&lt;=$J30)*(1-CE$12)</f>
        <v>0</v>
      </c>
      <c r="CF30" s="747">
        <f>$G30*$H30*(1+$K30)^MAX(ROUNDUP(IFERROR(DATEDIF($I30-1,CF$15+1,"m"),)/12,)-1,)*Index!CB$22*(CF$15&lt;=$J30)*(1-CF$12)</f>
        <v>0</v>
      </c>
      <c r="CG30" s="747">
        <f>$G30*$H30*(1+$K30)^MAX(ROUNDUP(IFERROR(DATEDIF($I30-1,CG$15+1,"m"),)/12,)-1,)*Index!CC$22*(CG$15&lt;=$J30)*(1-CG$12)</f>
        <v>0</v>
      </c>
      <c r="CH30" s="747">
        <f>$G30*$H30*(1+$K30)^MAX(ROUNDUP(IFERROR(DATEDIF($I30-1,CH$15+1,"m"),)/12,)-1,)*Index!CD$22*(CH$15&lt;=$J30)*(1-CH$12)</f>
        <v>0</v>
      </c>
      <c r="CI30" s="747">
        <f>$G30*$H30*(1+$K30)^MAX(ROUNDUP(IFERROR(DATEDIF($I30-1,CI$15+1,"m"),)/12,)-1,)*Index!CE$22*(CI$15&lt;=$J30)*(1-CI$12)</f>
        <v>0</v>
      </c>
      <c r="CJ30" s="747">
        <f>$G30*$H30*(1+$K30)^MAX(ROUNDUP(IFERROR(DATEDIF($I30-1,CJ$15+1,"m"),)/12,)-1,)*Index!CF$22*(CJ$15&lt;=$J30)*(1-CJ$12)</f>
        <v>0</v>
      </c>
      <c r="CK30" s="747">
        <f>$G30*$H30*(1+$K30)^MAX(ROUNDUP(IFERROR(DATEDIF($I30-1,CK$15+1,"m"),)/12,)-1,)*Index!CG$22*(CK$15&lt;=$J30)*(1-CK$12)</f>
        <v>0</v>
      </c>
      <c r="CL30" s="747">
        <f>$G30*$H30*(1+$K30)^MAX(ROUNDUP(IFERROR(DATEDIF($I30-1,CL$15+1,"m"),)/12,)-1,)*Index!CH$22*(CL$15&lt;=$J30)*(1-CL$12)</f>
        <v>0</v>
      </c>
      <c r="CM30" s="747">
        <f>$G30*$H30*(1+$K30)^MAX(ROUNDUP(IFERROR(DATEDIF($I30-1,CM$15+1,"m"),)/12,)-1,)*Index!CI$22*(CM$15&lt;=$J30)*(1-CM$12)</f>
        <v>0</v>
      </c>
      <c r="CN30" s="747">
        <f>$G30*$H30*(1+$K30)^MAX(ROUNDUP(IFERROR(DATEDIF($I30-1,CN$15+1,"m"),)/12,)-1,)*Index!CJ$22*(CN$15&lt;=$J30)*(1-CN$12)</f>
        <v>0</v>
      </c>
      <c r="CO30" s="747">
        <f>$G30*$H30*(1+$K30)^MAX(ROUNDUP(IFERROR(DATEDIF($I30-1,CO$15+1,"m"),)/12,)-1,)*Index!CK$22*(CO$15&lt;=$J30)*(1-CO$12)</f>
        <v>0</v>
      </c>
      <c r="CP30" s="747">
        <f>$G30*$H30*(1+$K30)^MAX(ROUNDUP(IFERROR(DATEDIF($I30-1,CP$15+1,"m"),)/12,)-1,)*Index!CL$22*(CP$15&lt;=$J30)*(1-CP$12)</f>
        <v>0</v>
      </c>
      <c r="CQ30" s="747">
        <f>$G30*$H30*(1+$K30)^MAX(ROUNDUP(IFERROR(DATEDIF($I30-1,CQ$15+1,"m"),)/12,)-1,)*Index!CM$22*(CQ$15&lt;=$J30)*(1-CQ$12)</f>
        <v>0</v>
      </c>
      <c r="CR30" s="747">
        <f>$G30*$H30*(1+$K30)^MAX(ROUNDUP(IFERROR(DATEDIF($I30-1,CR$15+1,"m"),)/12,)-1,)*Index!CN$22*(CR$15&lt;=$J30)*(1-CR$12)</f>
        <v>0</v>
      </c>
      <c r="CS30" s="747">
        <f>$G30*$H30*(1+$K30)^MAX(ROUNDUP(IFERROR(DATEDIF($I30-1,CS$15+1,"m"),)/12,)-1,)*Index!CO$22*(CS$15&lt;=$J30)*(1-CS$12)</f>
        <v>0</v>
      </c>
      <c r="CT30" s="747">
        <f>$G30*$H30*(1+$K30)^MAX(ROUNDUP(IFERROR(DATEDIF($I30-1,CT$15+1,"m"),)/12,)-1,)*Index!CP$22*(CT$15&lt;=$J30)*(1-CT$12)</f>
        <v>0</v>
      </c>
      <c r="CU30" s="747">
        <f>$G30*$H30*(1+$K30)^MAX(ROUNDUP(IFERROR(DATEDIF($I30-1,CU$15+1,"m"),)/12,)-1,)*Index!CQ$22*(CU$15&lt;=$J30)*(1-CU$12)</f>
        <v>0</v>
      </c>
      <c r="CV30" s="747">
        <f>$G30*$H30*(1+$K30)^MAX(ROUNDUP(IFERROR(DATEDIF($I30-1,CV$15+1,"m"),)/12,)-1,)*Index!CR$22*(CV$15&lt;=$J30)*(1-CV$12)</f>
        <v>0</v>
      </c>
      <c r="CW30" s="747">
        <f>$G30*$H30*(1+$K30)^MAX(ROUNDUP(IFERROR(DATEDIF($I30-1,CW$15+1,"m"),)/12,)-1,)*Index!CS$22*(CW$15&lt;=$J30)*(1-CW$12)</f>
        <v>0</v>
      </c>
      <c r="CX30" s="747">
        <f>$G30*$H30*(1+$K30)^MAX(ROUNDUP(IFERROR(DATEDIF($I30-1,CX$15+1,"m"),)/12,)-1,)*Index!CT$22*(CX$15&lt;=$J30)*(1-CX$12)</f>
        <v>0</v>
      </c>
      <c r="CY30" s="747">
        <f>$G30*$H30*(1+$K30)^MAX(ROUNDUP(IFERROR(DATEDIF($I30-1,CY$15+1,"m"),)/12,)-1,)*Index!CU$22*(CY$15&lt;=$J30)*(1-CY$12)</f>
        <v>0</v>
      </c>
      <c r="CZ30" s="747">
        <f>$G30*$H30*(1+$K30)^MAX(ROUNDUP(IFERROR(DATEDIF($I30-1,CZ$15+1,"m"),)/12,)-1,)*Index!CV$22*(CZ$15&lt;=$J30)*(1-CZ$12)</f>
        <v>0</v>
      </c>
      <c r="DA30" s="747">
        <f>$G30*$H30*(1+$K30)^MAX(ROUNDUP(IFERROR(DATEDIF($I30-1,DA$15+1,"m"),)/12,)-1,)*Index!CW$22*(DA$15&lt;=$J30)*(1-DA$12)</f>
        <v>0</v>
      </c>
      <c r="DB30" s="747">
        <f>$G30*$H30*(1+$K30)^MAX(ROUNDUP(IFERROR(DATEDIF($I30-1,DB$15+1,"m"),)/12,)-1,)*Index!CX$22*(DB$15&lt;=$J30)*(1-DB$12)</f>
        <v>0</v>
      </c>
      <c r="DC30" s="747">
        <f>$G30*$H30*(1+$K30)^MAX(ROUNDUP(IFERROR(DATEDIF($I30-1,DC$15+1,"m"),)/12,)-1,)*Index!CY$22*(DC$15&lt;=$J30)*(1-DC$12)</f>
        <v>0</v>
      </c>
      <c r="DD30" s="747">
        <f>$G30*$H30*(1+$K30)^MAX(ROUNDUP(IFERROR(DATEDIF($I30-1,DD$15+1,"m"),)/12,)-1,)*Index!CZ$22*(DD$15&lt;=$J30)*(1-DD$12)</f>
        <v>0</v>
      </c>
      <c r="DE30" s="747">
        <f>$G30*$H30*(1+$K30)^MAX(ROUNDUP(IFERROR(DATEDIF($I30-1,DE$15+1,"m"),)/12,)-1,)*Index!DA$22*(DE$15&lt;=$J30)*(1-DE$12)</f>
        <v>0</v>
      </c>
      <c r="DF30" s="747">
        <f>$G30*$H30*(1+$K30)^MAX(ROUNDUP(IFERROR(DATEDIF($I30-1,DF$15+1,"m"),)/12,)-1,)*Index!DB$22*(DF$15&lt;=$J30)*(1-DF$12)</f>
        <v>0</v>
      </c>
      <c r="DG30" s="747">
        <f>$G30*$H30*(1+$K30)^MAX(ROUNDUP(IFERROR(DATEDIF($I30-1,DG$15+1,"m"),)/12,)-1,)*Index!DC$22*(DG$15&lt;=$J30)*(1-DG$12)</f>
        <v>0</v>
      </c>
      <c r="DH30" s="747">
        <f>$G30*$H30*(1+$K30)^MAX(ROUNDUP(IFERROR(DATEDIF($I30-1,DH$15+1,"m"),)/12,)-1,)*Index!DD$22*(DH$15&lt;=$J30)*(1-DH$12)</f>
        <v>0</v>
      </c>
      <c r="DI30" s="747">
        <f>$G30*$H30*(1+$K30)^MAX(ROUNDUP(IFERROR(DATEDIF($I30-1,DI$15+1,"m"),)/12,)-1,)*Index!DE$22*(DI$15&lt;=$J30)*(1-DI$12)</f>
        <v>0</v>
      </c>
      <c r="DJ30" s="747">
        <f>$G30*$H30*(1+$K30)^MAX(ROUNDUP(IFERROR(DATEDIF($I30-1,DJ$15+1,"m"),)/12,)-1,)*Index!DF$22*(DJ$15&lt;=$J30)*(1-DJ$12)</f>
        <v>0</v>
      </c>
      <c r="DK30" s="747">
        <f>$G30*$H30*(1+$K30)^MAX(ROUNDUP(IFERROR(DATEDIF($I30-1,DK$15+1,"m"),)/12,)-1,)*Index!DG$22*(DK$15&lt;=$J30)*(1-DK$12)</f>
        <v>0</v>
      </c>
      <c r="DL30" s="747">
        <f>$G30*$H30*(1+$K30)^MAX(ROUNDUP(IFERROR(DATEDIF($I30-1,DL$15+1,"m"),)/12,)-1,)*Index!DH$22*(DL$15&lt;=$J30)*(1-DL$12)</f>
        <v>0</v>
      </c>
      <c r="DM30" s="747">
        <f>$G30*$H30*(1+$K30)^MAX(ROUNDUP(IFERROR(DATEDIF($I30-1,DM$15+1,"m"),)/12,)-1,)*Index!DI$22*(DM$15&lt;=$J30)*(1-DM$12)</f>
        <v>0</v>
      </c>
      <c r="DN30" s="747">
        <f>$G30*$H30*(1+$K30)^MAX(ROUNDUP(IFERROR(DATEDIF($I30-1,DN$15+1,"m"),)/12,)-1,)*Index!DJ$22*(DN$15&lt;=$J30)*(1-DN$12)</f>
        <v>0</v>
      </c>
      <c r="DO30" s="747">
        <f>$G30*$H30*(1+$K30)^MAX(ROUNDUP(IFERROR(DATEDIF($I30-1,DO$15+1,"m"),)/12,)-1,)*Index!DK$22*(DO$15&lt;=$J30)*(1-DO$12)</f>
        <v>0</v>
      </c>
      <c r="DP30" s="747">
        <f>$G30*$H30*(1+$K30)^MAX(ROUNDUP(IFERROR(DATEDIF($I30-1,DP$15+1,"m"),)/12,)-1,)*Index!DL$22*(DP$15&lt;=$J30)*(1-DP$12)</f>
        <v>0</v>
      </c>
      <c r="DQ30" s="747">
        <f>$G30*$H30*(1+$K30)^MAX(ROUNDUP(IFERROR(DATEDIF($I30-1,DQ$15+1,"m"),)/12,)-1,)*Index!DM$22*(DQ$15&lt;=$J30)*(1-DQ$12)</f>
        <v>0</v>
      </c>
      <c r="DR30" s="747">
        <f>$G30*$H30*(1+$K30)^MAX(ROUNDUP(IFERROR(DATEDIF($I30-1,DR$15+1,"m"),)/12,)-1,)*Index!DN$22*(DR$15&lt;=$J30)*(1-DR$12)</f>
        <v>0</v>
      </c>
      <c r="DS30" s="747">
        <f>$G30*$H30*(1+$K30)^MAX(ROUNDUP(IFERROR(DATEDIF($I30-1,DS$15+1,"m"),)/12,)-1,)*Index!DO$22*(DS$15&lt;=$J30)*(1-DS$12)</f>
        <v>0</v>
      </c>
      <c r="DT30" s="747">
        <f>$G30*$H30*(1+$K30)^MAX(ROUNDUP(IFERROR(DATEDIF($I30-1,DT$15+1,"m"),)/12,)-1,)*Index!DP$22*(DT$15&lt;=$J30)*(1-DT$12)</f>
        <v>0</v>
      </c>
      <c r="DU30" s="747">
        <f>$G30*$H30*(1+$K30)^MAX(ROUNDUP(IFERROR(DATEDIF($I30-1,DU$15+1,"m"),)/12,)-1,)*Index!DQ$22*(DU$15&lt;=$J30)*(1-DU$12)</f>
        <v>0</v>
      </c>
      <c r="DV30" s="747">
        <f>$G30*$H30*(1+$K30)^MAX(ROUNDUP(IFERROR(DATEDIF($I30-1,DV$15+1,"m"),)/12,)-1,)*Index!DR$22*(DV$15&lt;=$J30)*(1-DV$12)</f>
        <v>0</v>
      </c>
      <c r="DW30" s="747">
        <f>$G30*$H30*(1+$K30)^MAX(ROUNDUP(IFERROR(DATEDIF($I30-1,DW$15+1,"m"),)/12,)-1,)*Index!DS$22*(DW$15&lt;=$J30)*(1-DW$12)</f>
        <v>0</v>
      </c>
      <c r="DX30" s="747">
        <f>$G30*$H30*(1+$K30)^MAX(ROUNDUP(IFERROR(DATEDIF($I30-1,DX$15+1,"m"),)/12,)-1,)*Index!DT$22*(DX$15&lt;=$J30)*(1-DX$12)</f>
        <v>0</v>
      </c>
      <c r="DY30" s="747">
        <f>$G30*$H30*(1+$K30)^MAX(ROUNDUP(IFERROR(DATEDIF($I30-1,DY$15+1,"m"),)/12,)-1,)*Index!DU$22*(DY$15&lt;=$J30)*(1-DY$12)</f>
        <v>0</v>
      </c>
      <c r="DZ30" s="747">
        <f>$G30*$H30*(1+$K30)^MAX(ROUNDUP(IFERROR(DATEDIF($I30-1,DZ$15+1,"m"),)/12,)-1,)*Index!DV$22*(DZ$15&lt;=$J30)*(1-DZ$12)</f>
        <v>0</v>
      </c>
      <c r="EA30" s="747">
        <f>$G30*$H30*(1+$K30)^MAX(ROUNDUP(IFERROR(DATEDIF($I30-1,EA$15+1,"m"),)/12,)-1,)*Index!DW$22*(EA$15&lt;=$J30)*(1-EA$12)</f>
        <v>0</v>
      </c>
      <c r="EB30" s="747">
        <f>$G30*$H30*(1+$K30)^MAX(ROUNDUP(IFERROR(DATEDIF($I30-1,EB$15+1,"m"),)/12,)-1,)*Index!DX$22*(EB$15&lt;=$J30)*(1-EB$12)</f>
        <v>0</v>
      </c>
      <c r="EC30" s="747">
        <f>$G30*$H30*(1+$K30)^MAX(ROUNDUP(IFERROR(DATEDIF($I30-1,EC$15+1,"m"),)/12,)-1,)*Index!DY$22*(EC$15&lt;=$J30)*(1-EC$12)</f>
        <v>0</v>
      </c>
      <c r="ED30" s="747">
        <f>$G30*$H30*(1+$K30)^MAX(ROUNDUP(IFERROR(DATEDIF($I30-1,ED$15+1,"m"),)/12,)-1,)*Index!DZ$22*(ED$15&lt;=$J30)*(1-ED$12)</f>
        <v>0</v>
      </c>
      <c r="EE30" s="747">
        <f>$G30*$H30*(1+$K30)^MAX(ROUNDUP(IFERROR(DATEDIF($I30-1,EE$15+1,"m"),)/12,)-1,)*Index!EA$22*(EE$15&lt;=$J30)*(1-EE$12)</f>
        <v>0</v>
      </c>
      <c r="EF30" s="747">
        <f>$G30*$H30*(1+$K30)^MAX(ROUNDUP(IFERROR(DATEDIF($I30-1,EF$15+1,"m"),)/12,)-1,)*Index!EB$22*(EF$15&lt;=$J30)*(1-EF$12)</f>
        <v>0</v>
      </c>
      <c r="EG30" s="747">
        <f>$G30*$H30*(1+$K30)^MAX(ROUNDUP(IFERROR(DATEDIF($I30-1,EG$15+1,"m"),)/12,)-1,)*Index!EC$22*(EG$15&lt;=$J30)*(1-EG$12)</f>
        <v>0</v>
      </c>
      <c r="EH30" s="747">
        <f>$G30*$H30*(1+$K30)^MAX(ROUNDUP(IFERROR(DATEDIF($I30-1,EH$15+1,"m"),)/12,)-1,)*Index!ED$22*(EH$15&lt;=$J30)*(1-EH$12)</f>
        <v>0</v>
      </c>
      <c r="EI30" s="747">
        <f>$G30*$H30*(1+$K30)^MAX(ROUNDUP(IFERROR(DATEDIF($I30-1,EI$15+1,"m"),)/12,)-1,)*Index!EE$22*(EI$15&lt;=$J30)*(1-EI$12)</f>
        <v>0</v>
      </c>
      <c r="EJ30" s="747">
        <f>$G30*$H30*(1+$K30)^MAX(ROUNDUP(IFERROR(DATEDIF($I30-1,EJ$15+1,"m"),)/12,)-1,)*Index!EF$22*(EJ$15&lt;=$J30)*(1-EJ$12)</f>
        <v>0</v>
      </c>
      <c r="EK30" s="747">
        <f>$G30*$H30*(1+$K30)^MAX(ROUNDUP(IFERROR(DATEDIF($I30-1,EK$15+1,"m"),)/12,)-1,)*Index!EG$22*(EK$15&lt;=$J30)*(1-EK$12)</f>
        <v>0</v>
      </c>
      <c r="EL30" s="747">
        <f>$G30*$H30*(1+$K30)^MAX(ROUNDUP(IFERROR(DATEDIF($I30-1,EL$15+1,"m"),)/12,)-1,)*Index!EH$22*(EL$15&lt;=$J30)*(1-EL$12)</f>
        <v>0</v>
      </c>
      <c r="EM30" s="747">
        <f>$G30*$H30*(1+$K30)^MAX(ROUNDUP(IFERROR(DATEDIF($I30-1,EM$15+1,"m"),)/12,)-1,)*Index!EI$22*(EM$15&lt;=$J30)*(1-EM$12)</f>
        <v>0</v>
      </c>
      <c r="EN30" s="747">
        <f>$G30*$H30*(1+$K30)^MAX(ROUNDUP(IFERROR(DATEDIF($I30-1,EN$15+1,"m"),)/12,)-1,)*Index!EJ$22*(EN$15&lt;=$J30)*(1-EN$12)</f>
        <v>0</v>
      </c>
      <c r="EO30" s="747">
        <f>$G30*$H30*(1+$K30)^MAX(ROUNDUP(IFERROR(DATEDIF($I30-1,EO$15+1,"m"),)/12,)-1,)*Index!EK$22*(EO$15&lt;=$J30)*(1-EO$12)</f>
        <v>0</v>
      </c>
      <c r="EP30" s="747">
        <f>$G30*$H30*(1+$K30)^MAX(ROUNDUP(IFERROR(DATEDIF($I30-1,EP$15+1,"m"),)/12,)-1,)*Index!EL$22*(EP$15&lt;=$J30)*(1-EP$12)</f>
        <v>0</v>
      </c>
      <c r="EQ30" s="747">
        <f>$G30*$H30*(1+$K30)^MAX(ROUNDUP(IFERROR(DATEDIF($I30-1,EQ$15+1,"m"),)/12,)-1,)*Index!EM$22*(EQ$15&lt;=$J30)*(1-EQ$12)</f>
        <v>0</v>
      </c>
      <c r="ER30" s="747">
        <f>$G30*$H30*(1+$K30)^MAX(ROUNDUP(IFERROR(DATEDIF($I30-1,ER$15+1,"m"),)/12,)-1,)*Index!EN$22*(ER$15&lt;=$J30)*(1-ER$12)</f>
        <v>0</v>
      </c>
      <c r="ES30" s="747">
        <f>$G30*$H30*(1+$K30)^MAX(ROUNDUP(IFERROR(DATEDIF($I30-1,ES$15+1,"m"),)/12,)-1,)*Index!EO$22*(ES$15&lt;=$J30)*(1-ES$12)</f>
        <v>0</v>
      </c>
      <c r="ET30" s="747">
        <f>$G30*$H30*(1+$K30)^MAX(ROUNDUP(IFERROR(DATEDIF($I30-1,ET$15+1,"m"),)/12,)-1,)*Index!EP$22*(ET$15&lt;=$J30)*(1-ET$12)</f>
        <v>0</v>
      </c>
      <c r="EU30" s="747">
        <f>$G30*$H30*(1+$K30)^MAX(ROUNDUP(IFERROR(DATEDIF($I30-1,EU$15+1,"m"),)/12,)-1,)*Index!EQ$22*(EU$15&lt;=$J30)*(1-EU$12)</f>
        <v>0</v>
      </c>
    </row>
    <row r="31" spans="3:151" ht="11.25" customHeight="1">
      <c r="C31" s="735"/>
      <c r="D31" s="743">
        <f>'A&amp;R'!V20</f>
        <v>1</v>
      </c>
      <c r="E31" s="704" t="str">
        <f>'A&amp;R'!W20</f>
        <v>공실</v>
      </c>
      <c r="F31" s="704" t="str">
        <f>'A&amp;R'!X20</f>
        <v>근린생활시설</v>
      </c>
      <c r="G31" s="752">
        <f>'A&amp;R'!AC20/1000</f>
        <v>0</v>
      </c>
      <c r="H31" s="744">
        <f>'A&amp;R'!Y20</f>
        <v>141.01000000000002</v>
      </c>
      <c r="I31" s="745">
        <f>'A&amp;R'!Z20</f>
        <v>46326</v>
      </c>
      <c r="J31" s="745">
        <f>'A&amp;R'!AA20</f>
        <v>49979</v>
      </c>
      <c r="K31" s="754">
        <f>'A&amp;R'!AF20</f>
        <v>2.5000000000000001E-2</v>
      </c>
      <c r="L31" s="748"/>
      <c r="M31" s="749"/>
      <c r="N31" s="747">
        <f t="shared" si="7"/>
        <v>0</v>
      </c>
      <c r="O31" s="733"/>
      <c r="P31" s="747">
        <f>$G31*$H31*(1+$K31)^MAX(ROUNDUP(IFERROR(DATEDIF($I31-1,P$15+1,"m"),)/12,)-1,)*Index!L$22*(P$15&lt;=$J31)*(1-P$12)</f>
        <v>0</v>
      </c>
      <c r="Q31" s="747">
        <f>$G31*$H31*(1+$K31)^MAX(ROUNDUP(IFERROR(DATEDIF($I31-1,Q$15+1,"m"),)/12,)-1,)*Index!M$22*(Q$15&lt;=$J31)*(1-Q$12)</f>
        <v>0</v>
      </c>
      <c r="R31" s="747">
        <f>$G31*$H31*(1+$K31)^MAX(ROUNDUP(IFERROR(DATEDIF($I31-1,R$15+1,"m"),)/12,)-1,)*Index!N$22*(R$15&lt;=$J31)*(1-R$12)</f>
        <v>0</v>
      </c>
      <c r="S31" s="747">
        <f>$G31*$H31*(1+$K31)^MAX(ROUNDUP(IFERROR(DATEDIF($I31-1,S$15+1,"m"),)/12,)-1,)*Index!O$22*(S$15&lt;=$J31)*(1-S$12)</f>
        <v>0</v>
      </c>
      <c r="T31" s="747">
        <f>$G31*$H31*(1+$K31)^MAX(ROUNDUP(IFERROR(DATEDIF($I31-1,T$15+1,"m"),)/12,)-1,)*Index!P$22*(T$15&lt;=$J31)*(1-T$12)</f>
        <v>0</v>
      </c>
      <c r="U31" s="747">
        <f>$G31*$H31*(1+$K31)^MAX(ROUNDUP(IFERROR(DATEDIF($I31-1,U$15+1,"m"),)/12,)-1,)*Index!Q$22*(U$15&lt;=$J31)*(1-U$12)</f>
        <v>0</v>
      </c>
      <c r="V31" s="747">
        <f>$G31*$H31*(1+$K31)^MAX(ROUNDUP(IFERROR(DATEDIF($I31-1,V$15+1,"m"),)/12,)-1,)*Index!R$22*(V$15&lt;=$J31)*(1-V$12)</f>
        <v>0</v>
      </c>
      <c r="W31" s="747">
        <f>$G31*$H31*(1+$K31)^MAX(ROUNDUP(IFERROR(DATEDIF($I31-1,W$15+1,"m"),)/12,)-1,)*Index!S$22*(W$15&lt;=$J31)*(1-W$12)</f>
        <v>0</v>
      </c>
      <c r="X31" s="747">
        <f>$G31*$H31*(1+$K31)^MAX(ROUNDUP(IFERROR(DATEDIF($I31-1,X$15+1,"m"),)/12,)-1,)*Index!T$22*(X$15&lt;=$J31)*(1-X$12)</f>
        <v>0</v>
      </c>
      <c r="Y31" s="747">
        <f>$G31*$H31*(1+$K31)^MAX(ROUNDUP(IFERROR(DATEDIF($I31-1,Y$15+1,"m"),)/12,)-1,)*Index!U$22*(Y$15&lt;=$J31)*(1-Y$12)</f>
        <v>0</v>
      </c>
      <c r="Z31" s="747">
        <f>$G31*$H31*(1+$K31)^MAX(ROUNDUP(IFERROR(DATEDIF($I31-1,Z$15+1,"m"),)/12,)-1,)*Index!V$22*(Z$15&lt;=$J31)*(1-Z$12)</f>
        <v>0</v>
      </c>
      <c r="AA31" s="747">
        <f>$G31*$H31*(1+$K31)^MAX(ROUNDUP(IFERROR(DATEDIF($I31-1,AA$15+1,"m"),)/12,)-1,)*Index!W$22*(AA$15&lt;=$J31)*(1-AA$12)</f>
        <v>0</v>
      </c>
      <c r="AB31" s="747">
        <f>$G31*$H31*(1+$K31)^MAX(ROUNDUP(IFERROR(DATEDIF($I31-1,AB$15+1,"m"),)/12,)-1,)*Index!X$22*(AB$15&lt;=$J31)*(1-AB$12)</f>
        <v>0</v>
      </c>
      <c r="AC31" s="747">
        <f>$G31*$H31*(1+$K31)^MAX(ROUNDUP(IFERROR(DATEDIF($I31-1,AC$15+1,"m"),)/12,)-1,)*Index!Y$22*(AC$15&lt;=$J31)*(1-AC$12)</f>
        <v>0</v>
      </c>
      <c r="AD31" s="747">
        <f>$G31*$H31*(1+$K31)^MAX(ROUNDUP(IFERROR(DATEDIF($I31-1,AD$15+1,"m"),)/12,)-1,)*Index!Z$22*(AD$15&lt;=$J31)*(1-AD$12)</f>
        <v>0</v>
      </c>
      <c r="AE31" s="747">
        <f>$G31*$H31*(1+$K31)^MAX(ROUNDUP(IFERROR(DATEDIF($I31-1,AE$15+1,"m"),)/12,)-1,)*Index!AA$22*(AE$15&lt;=$J31)*(1-AE$12)</f>
        <v>0</v>
      </c>
      <c r="AF31" s="747">
        <f>$G31*$H31*(1+$K31)^MAX(ROUNDUP(IFERROR(DATEDIF($I31-1,AF$15+1,"m"),)/12,)-1,)*Index!AB$22*(AF$15&lt;=$J31)*(1-AF$12)</f>
        <v>0</v>
      </c>
      <c r="AG31" s="747">
        <f>$G31*$H31*(1+$K31)^MAX(ROUNDUP(IFERROR(DATEDIF($I31-1,AG$15+1,"m"),)/12,)-1,)*Index!AC$22*(AG$15&lt;=$J31)*(1-AG$12)</f>
        <v>0</v>
      </c>
      <c r="AH31" s="747">
        <f>$G31*$H31*(1+$K31)^MAX(ROUNDUP(IFERROR(DATEDIF($I31-1,AH$15+1,"m"),)/12,)-1,)*Index!AD$22*(AH$15&lt;=$J31)*(1-AH$12)</f>
        <v>0</v>
      </c>
      <c r="AI31" s="747">
        <f>$G31*$H31*(1+$K31)^MAX(ROUNDUP(IFERROR(DATEDIF($I31-1,AI$15+1,"m"),)/12,)-1,)*Index!AE$22*(AI$15&lt;=$J31)*(1-AI$12)</f>
        <v>0</v>
      </c>
      <c r="AJ31" s="747">
        <f>$G31*$H31*(1+$K31)^MAX(ROUNDUP(IFERROR(DATEDIF($I31-1,AJ$15+1,"m"),)/12,)-1,)*Index!AF$22*(AJ$15&lt;=$J31)*(1-AJ$12)</f>
        <v>0</v>
      </c>
      <c r="AK31" s="747">
        <f>$G31*$H31*(1+$K31)^MAX(ROUNDUP(IFERROR(DATEDIF($I31-1,AK$15+1,"m"),)/12,)-1,)*Index!AG$22*(AK$15&lt;=$J31)*(1-AK$12)</f>
        <v>0</v>
      </c>
      <c r="AL31" s="747">
        <f>$G31*$H31*(1+$K31)^MAX(ROUNDUP(IFERROR(DATEDIF($I31-1,AL$15+1,"m"),)/12,)-1,)*Index!AH$22*(AL$15&lt;=$J31)*(1-AL$12)</f>
        <v>0</v>
      </c>
      <c r="AM31" s="747">
        <f>$G31*$H31*(1+$K31)^MAX(ROUNDUP(IFERROR(DATEDIF($I31-1,AM$15+1,"m"),)/12,)-1,)*Index!AI$22*(AM$15&lt;=$J31)*(1-AM$12)</f>
        <v>0</v>
      </c>
      <c r="AN31" s="747">
        <f>$G31*$H31*(1+$K31)^MAX(ROUNDUP(IFERROR(DATEDIF($I31-1,AN$15+1,"m"),)/12,)-1,)*Index!AJ$22*(AN$15&lt;=$J31)*(1-AN$12)</f>
        <v>0</v>
      </c>
      <c r="AO31" s="747">
        <f>$G31*$H31*(1+$K31)^MAX(ROUNDUP(IFERROR(DATEDIF($I31-1,AO$15+1,"m"),)/12,)-1,)*Index!AK$22*(AO$15&lt;=$J31)*(1-AO$12)</f>
        <v>0</v>
      </c>
      <c r="AP31" s="747">
        <f>$G31*$H31*(1+$K31)^MAX(ROUNDUP(IFERROR(DATEDIF($I31-1,AP$15+1,"m"),)/12,)-1,)*Index!AL$22*(AP$15&lt;=$J31)*(1-AP$12)</f>
        <v>0</v>
      </c>
      <c r="AQ31" s="747">
        <f>$G31*$H31*(1+$K31)^MAX(ROUNDUP(IFERROR(DATEDIF($I31-1,AQ$15+1,"m"),)/12,)-1,)*Index!AM$22*(AQ$15&lt;=$J31)*(1-AQ$12)</f>
        <v>0</v>
      </c>
      <c r="AR31" s="747">
        <f>$G31*$H31*(1+$K31)^MAX(ROUNDUP(IFERROR(DATEDIF($I31-1,AR$15+1,"m"),)/12,)-1,)*Index!AN$22*(AR$15&lt;=$J31)*(1-AR$12)</f>
        <v>0</v>
      </c>
      <c r="AS31" s="747">
        <f>$G31*$H31*(1+$K31)^MAX(ROUNDUP(IFERROR(DATEDIF($I31-1,AS$15+1,"m"),)/12,)-1,)*Index!AO$22*(AS$15&lt;=$J31)*(1-AS$12)</f>
        <v>0</v>
      </c>
      <c r="AT31" s="747">
        <f>$G31*$H31*(1+$K31)^MAX(ROUNDUP(IFERROR(DATEDIF($I31-1,AT$15+1,"m"),)/12,)-1,)*Index!AP$22*(AT$15&lt;=$J31)*(1-AT$12)</f>
        <v>0</v>
      </c>
      <c r="AU31" s="747">
        <f>$G31*$H31*(1+$K31)^MAX(ROUNDUP(IFERROR(DATEDIF($I31-1,AU$15+1,"m"),)/12,)-1,)*Index!AQ$22*(AU$15&lt;=$J31)*(1-AU$12)</f>
        <v>0</v>
      </c>
      <c r="AV31" s="747">
        <f>$G31*$H31*(1+$K31)^MAX(ROUNDUP(IFERROR(DATEDIF($I31-1,AV$15+1,"m"),)/12,)-1,)*Index!AR$22*(AV$15&lt;=$J31)*(1-AV$12)</f>
        <v>0</v>
      </c>
      <c r="AW31" s="747">
        <f>$G31*$H31*(1+$K31)^MAX(ROUNDUP(IFERROR(DATEDIF($I31-1,AW$15+1,"m"),)/12,)-1,)*Index!AS$22*(AW$15&lt;=$J31)*(1-AW$12)</f>
        <v>0</v>
      </c>
      <c r="AX31" s="747">
        <f>$G31*$H31*(1+$K31)^MAX(ROUNDUP(IFERROR(DATEDIF($I31-1,AX$15+1,"m"),)/12,)-1,)*Index!AT$22*(AX$15&lt;=$J31)*(1-AX$12)</f>
        <v>0</v>
      </c>
      <c r="AY31" s="747">
        <f>$G31*$H31*(1+$K31)^MAX(ROUNDUP(IFERROR(DATEDIF($I31-1,AY$15+1,"m"),)/12,)-1,)*Index!AU$22*(AY$15&lt;=$J31)*(1-AY$12)</f>
        <v>0</v>
      </c>
      <c r="AZ31" s="747">
        <f>$G31*$H31*(1+$K31)^MAX(ROUNDUP(IFERROR(DATEDIF($I31-1,AZ$15+1,"m"),)/12,)-1,)*Index!AV$22*(AZ$15&lt;=$J31)*(1-AZ$12)</f>
        <v>0</v>
      </c>
      <c r="BA31" s="747">
        <f>$G31*$H31*(1+$K31)^MAX(ROUNDUP(IFERROR(DATEDIF($I31-1,BA$15+1,"m"),)/12,)-1,)*Index!AW$22*(BA$15&lt;=$J31)*(1-BA$12)</f>
        <v>0</v>
      </c>
      <c r="BB31" s="747">
        <f>$G31*$H31*(1+$K31)^MAX(ROUNDUP(IFERROR(DATEDIF($I31-1,BB$15+1,"m"),)/12,)-1,)*Index!AX$22*(BB$15&lt;=$J31)*(1-BB$12)</f>
        <v>0</v>
      </c>
      <c r="BC31" s="747">
        <f>$G31*$H31*(1+$K31)^MAX(ROUNDUP(IFERROR(DATEDIF($I31-1,BC$15+1,"m"),)/12,)-1,)*Index!AY$22*(BC$15&lt;=$J31)*(1-BC$12)</f>
        <v>0</v>
      </c>
      <c r="BD31" s="747">
        <f>$G31*$H31*(1+$K31)^MAX(ROUNDUP(IFERROR(DATEDIF($I31-1,BD$15+1,"m"),)/12,)-1,)*Index!AZ$22*(BD$15&lt;=$J31)*(1-BD$12)</f>
        <v>0</v>
      </c>
      <c r="BE31" s="747">
        <f>$G31*$H31*(1+$K31)^MAX(ROUNDUP(IFERROR(DATEDIF($I31-1,BE$15+1,"m"),)/12,)-1,)*Index!BA$22*(BE$15&lt;=$J31)*(1-BE$12)</f>
        <v>0</v>
      </c>
      <c r="BF31" s="747">
        <f>$G31*$H31*(1+$K31)^MAX(ROUNDUP(IFERROR(DATEDIF($I31-1,BF$15+1,"m"),)/12,)-1,)*Index!BB$22*(BF$15&lt;=$J31)*(1-BF$12)</f>
        <v>0</v>
      </c>
      <c r="BG31" s="747">
        <f>$G31*$H31*(1+$K31)^MAX(ROUNDUP(IFERROR(DATEDIF($I31-1,BG$15+1,"m"),)/12,)-1,)*Index!BC$22*(BG$15&lt;=$J31)*(1-BG$12)</f>
        <v>0</v>
      </c>
      <c r="BH31" s="747">
        <f>$G31*$H31*(1+$K31)^MAX(ROUNDUP(IFERROR(DATEDIF($I31-1,BH$15+1,"m"),)/12,)-1,)*Index!BD$22*(BH$15&lt;=$J31)*(1-BH$12)</f>
        <v>0</v>
      </c>
      <c r="BI31" s="747">
        <f>$G31*$H31*(1+$K31)^MAX(ROUNDUP(IFERROR(DATEDIF($I31-1,BI$15+1,"m"),)/12,)-1,)*Index!BE$22*(BI$15&lt;=$J31)*(1-BI$12)</f>
        <v>0</v>
      </c>
      <c r="BJ31" s="747">
        <f>$G31*$H31*(1+$K31)^MAX(ROUNDUP(IFERROR(DATEDIF($I31-1,BJ$15+1,"m"),)/12,)-1,)*Index!BF$22*(BJ$15&lt;=$J31)*(1-BJ$12)</f>
        <v>0</v>
      </c>
      <c r="BK31" s="747">
        <f>$G31*$H31*(1+$K31)^MAX(ROUNDUP(IFERROR(DATEDIF($I31-1,BK$15+1,"m"),)/12,)-1,)*Index!BG$22*(BK$15&lt;=$J31)*(1-BK$12)</f>
        <v>0</v>
      </c>
      <c r="BL31" s="747">
        <f>$G31*$H31*(1+$K31)^MAX(ROUNDUP(IFERROR(DATEDIF($I31-1,BL$15+1,"m"),)/12,)-1,)*Index!BH$22*(BL$15&lt;=$J31)*(1-BL$12)</f>
        <v>0</v>
      </c>
      <c r="BM31" s="747">
        <f>$G31*$H31*(1+$K31)^MAX(ROUNDUP(IFERROR(DATEDIF($I31-1,BM$15+1,"m"),)/12,)-1,)*Index!BI$22*(BM$15&lt;=$J31)*(1-BM$12)</f>
        <v>0</v>
      </c>
      <c r="BN31" s="747">
        <f>$G31*$H31*(1+$K31)^MAX(ROUNDUP(IFERROR(DATEDIF($I31-1,BN$15+1,"m"),)/12,)-1,)*Index!BJ$22*(BN$15&lt;=$J31)*(1-BN$12)</f>
        <v>0</v>
      </c>
      <c r="BO31" s="747">
        <f>$G31*$H31*(1+$K31)^MAX(ROUNDUP(IFERROR(DATEDIF($I31-1,BO$15+1,"m"),)/12,)-1,)*Index!BK$22*(BO$15&lt;=$J31)*(1-BO$12)</f>
        <v>0</v>
      </c>
      <c r="BP31" s="747">
        <f>$G31*$H31*(1+$K31)^MAX(ROUNDUP(IFERROR(DATEDIF($I31-1,BP$15+1,"m"),)/12,)-1,)*Index!BL$22*(BP$15&lt;=$J31)*(1-BP$12)</f>
        <v>0</v>
      </c>
      <c r="BQ31" s="747">
        <f>$G31*$H31*(1+$K31)^MAX(ROUNDUP(IFERROR(DATEDIF($I31-1,BQ$15+1,"m"),)/12,)-1,)*Index!BM$22*(BQ$15&lt;=$J31)*(1-BQ$12)</f>
        <v>0</v>
      </c>
      <c r="BR31" s="747">
        <f>$G31*$H31*(1+$K31)^MAX(ROUNDUP(IFERROR(DATEDIF($I31-1,BR$15+1,"m"),)/12,)-1,)*Index!BN$22*(BR$15&lt;=$J31)*(1-BR$12)</f>
        <v>0</v>
      </c>
      <c r="BS31" s="747">
        <f>$G31*$H31*(1+$K31)^MAX(ROUNDUP(IFERROR(DATEDIF($I31-1,BS$15+1,"m"),)/12,)-1,)*Index!BO$22*(BS$15&lt;=$J31)*(1-BS$12)</f>
        <v>0</v>
      </c>
      <c r="BT31" s="747">
        <f>$G31*$H31*(1+$K31)^MAX(ROUNDUP(IFERROR(DATEDIF($I31-1,BT$15+1,"m"),)/12,)-1,)*Index!BP$22*(BT$15&lt;=$J31)*(1-BT$12)</f>
        <v>0</v>
      </c>
      <c r="BU31" s="747">
        <f>$G31*$H31*(1+$K31)^MAX(ROUNDUP(IFERROR(DATEDIF($I31-1,BU$15+1,"m"),)/12,)-1,)*Index!BQ$22*(BU$15&lt;=$J31)*(1-BU$12)</f>
        <v>0</v>
      </c>
      <c r="BV31" s="747">
        <f>$G31*$H31*(1+$K31)^MAX(ROUNDUP(IFERROR(DATEDIF($I31-1,BV$15+1,"m"),)/12,)-1,)*Index!BR$22*(BV$15&lt;=$J31)*(1-BV$12)</f>
        <v>0</v>
      </c>
      <c r="BW31" s="747">
        <f>$G31*$H31*(1+$K31)^MAX(ROUNDUP(IFERROR(DATEDIF($I31-1,BW$15+1,"m"),)/12,)-1,)*Index!BS$22*(BW$15&lt;=$J31)*(1-BW$12)</f>
        <v>0</v>
      </c>
      <c r="BX31" s="747">
        <f>$G31*$H31*(1+$K31)^MAX(ROUNDUP(IFERROR(DATEDIF($I31-1,BX$15+1,"m"),)/12,)-1,)*Index!BT$22*(BX$15&lt;=$J31)*(1-BX$12)</f>
        <v>0</v>
      </c>
      <c r="BY31" s="747">
        <f>$G31*$H31*(1+$K31)^MAX(ROUNDUP(IFERROR(DATEDIF($I31-1,BY$15+1,"m"),)/12,)-1,)*Index!BU$22*(BY$15&lt;=$J31)*(1-BY$12)</f>
        <v>0</v>
      </c>
      <c r="BZ31" s="747">
        <f>$G31*$H31*(1+$K31)^MAX(ROUNDUP(IFERROR(DATEDIF($I31-1,BZ$15+1,"m"),)/12,)-1,)*Index!BV$22*(BZ$15&lt;=$J31)*(1-BZ$12)</f>
        <v>0</v>
      </c>
      <c r="CA31" s="747">
        <f>$G31*$H31*(1+$K31)^MAX(ROUNDUP(IFERROR(DATEDIF($I31-1,CA$15+1,"m"),)/12,)-1,)*Index!BW$22*(CA$15&lt;=$J31)*(1-CA$12)</f>
        <v>0</v>
      </c>
      <c r="CB31" s="747">
        <f>$G31*$H31*(1+$K31)^MAX(ROUNDUP(IFERROR(DATEDIF($I31-1,CB$15+1,"m"),)/12,)-1,)*Index!BX$22*(CB$15&lt;=$J31)*(1-CB$12)</f>
        <v>0</v>
      </c>
      <c r="CC31" s="747">
        <f>$G31*$H31*(1+$K31)^MAX(ROUNDUP(IFERROR(DATEDIF($I31-1,CC$15+1,"m"),)/12,)-1,)*Index!BY$22*(CC$15&lt;=$J31)*(1-CC$12)</f>
        <v>0</v>
      </c>
      <c r="CD31" s="747">
        <f>$G31*$H31*(1+$K31)^MAX(ROUNDUP(IFERROR(DATEDIF($I31-1,CD$15+1,"m"),)/12,)-1,)*Index!BZ$22*(CD$15&lt;=$J31)*(1-CD$12)</f>
        <v>0</v>
      </c>
      <c r="CE31" s="747">
        <f>$G31*$H31*(1+$K31)^MAX(ROUNDUP(IFERROR(DATEDIF($I31-1,CE$15+1,"m"),)/12,)-1,)*Index!CA$22*(CE$15&lt;=$J31)*(1-CE$12)</f>
        <v>0</v>
      </c>
      <c r="CF31" s="747">
        <f>$G31*$H31*(1+$K31)^MAX(ROUNDUP(IFERROR(DATEDIF($I31-1,CF$15+1,"m"),)/12,)-1,)*Index!CB$22*(CF$15&lt;=$J31)*(1-CF$12)</f>
        <v>0</v>
      </c>
      <c r="CG31" s="747">
        <f>$G31*$H31*(1+$K31)^MAX(ROUNDUP(IFERROR(DATEDIF($I31-1,CG$15+1,"m"),)/12,)-1,)*Index!CC$22*(CG$15&lt;=$J31)*(1-CG$12)</f>
        <v>0</v>
      </c>
      <c r="CH31" s="747">
        <f>$G31*$H31*(1+$K31)^MAX(ROUNDUP(IFERROR(DATEDIF($I31-1,CH$15+1,"m"),)/12,)-1,)*Index!CD$22*(CH$15&lt;=$J31)*(1-CH$12)</f>
        <v>0</v>
      </c>
      <c r="CI31" s="747">
        <f>$G31*$H31*(1+$K31)^MAX(ROUNDUP(IFERROR(DATEDIF($I31-1,CI$15+1,"m"),)/12,)-1,)*Index!CE$22*(CI$15&lt;=$J31)*(1-CI$12)</f>
        <v>0</v>
      </c>
      <c r="CJ31" s="747">
        <f>$G31*$H31*(1+$K31)^MAX(ROUNDUP(IFERROR(DATEDIF($I31-1,CJ$15+1,"m"),)/12,)-1,)*Index!CF$22*(CJ$15&lt;=$J31)*(1-CJ$12)</f>
        <v>0</v>
      </c>
      <c r="CK31" s="747">
        <f>$G31*$H31*(1+$K31)^MAX(ROUNDUP(IFERROR(DATEDIF($I31-1,CK$15+1,"m"),)/12,)-1,)*Index!CG$22*(CK$15&lt;=$J31)*(1-CK$12)</f>
        <v>0</v>
      </c>
      <c r="CL31" s="747">
        <f>$G31*$H31*(1+$K31)^MAX(ROUNDUP(IFERROR(DATEDIF($I31-1,CL$15+1,"m"),)/12,)-1,)*Index!CH$22*(CL$15&lt;=$J31)*(1-CL$12)</f>
        <v>0</v>
      </c>
      <c r="CM31" s="747">
        <f>$G31*$H31*(1+$K31)^MAX(ROUNDUP(IFERROR(DATEDIF($I31-1,CM$15+1,"m"),)/12,)-1,)*Index!CI$22*(CM$15&lt;=$J31)*(1-CM$12)</f>
        <v>0</v>
      </c>
      <c r="CN31" s="747">
        <f>$G31*$H31*(1+$K31)^MAX(ROUNDUP(IFERROR(DATEDIF($I31-1,CN$15+1,"m"),)/12,)-1,)*Index!CJ$22*(CN$15&lt;=$J31)*(1-CN$12)</f>
        <v>0</v>
      </c>
      <c r="CO31" s="747">
        <f>$G31*$H31*(1+$K31)^MAX(ROUNDUP(IFERROR(DATEDIF($I31-1,CO$15+1,"m"),)/12,)-1,)*Index!CK$22*(CO$15&lt;=$J31)*(1-CO$12)</f>
        <v>0</v>
      </c>
      <c r="CP31" s="747">
        <f>$G31*$H31*(1+$K31)^MAX(ROUNDUP(IFERROR(DATEDIF($I31-1,CP$15+1,"m"),)/12,)-1,)*Index!CL$22*(CP$15&lt;=$J31)*(1-CP$12)</f>
        <v>0</v>
      </c>
      <c r="CQ31" s="747">
        <f>$G31*$H31*(1+$K31)^MAX(ROUNDUP(IFERROR(DATEDIF($I31-1,CQ$15+1,"m"),)/12,)-1,)*Index!CM$22*(CQ$15&lt;=$J31)*(1-CQ$12)</f>
        <v>0</v>
      </c>
      <c r="CR31" s="747">
        <f>$G31*$H31*(1+$K31)^MAX(ROUNDUP(IFERROR(DATEDIF($I31-1,CR$15+1,"m"),)/12,)-1,)*Index!CN$22*(CR$15&lt;=$J31)*(1-CR$12)</f>
        <v>0</v>
      </c>
      <c r="CS31" s="747">
        <f>$G31*$H31*(1+$K31)^MAX(ROUNDUP(IFERROR(DATEDIF($I31-1,CS$15+1,"m"),)/12,)-1,)*Index!CO$22*(CS$15&lt;=$J31)*(1-CS$12)</f>
        <v>0</v>
      </c>
      <c r="CT31" s="747">
        <f>$G31*$H31*(1+$K31)^MAX(ROUNDUP(IFERROR(DATEDIF($I31-1,CT$15+1,"m"),)/12,)-1,)*Index!CP$22*(CT$15&lt;=$J31)*(1-CT$12)</f>
        <v>0</v>
      </c>
      <c r="CU31" s="747">
        <f>$G31*$H31*(1+$K31)^MAX(ROUNDUP(IFERROR(DATEDIF($I31-1,CU$15+1,"m"),)/12,)-1,)*Index!CQ$22*(CU$15&lt;=$J31)*(1-CU$12)</f>
        <v>0</v>
      </c>
      <c r="CV31" s="747">
        <f>$G31*$H31*(1+$K31)^MAX(ROUNDUP(IFERROR(DATEDIF($I31-1,CV$15+1,"m"),)/12,)-1,)*Index!CR$22*(CV$15&lt;=$J31)*(1-CV$12)</f>
        <v>0</v>
      </c>
      <c r="CW31" s="747">
        <f>$G31*$H31*(1+$K31)^MAX(ROUNDUP(IFERROR(DATEDIF($I31-1,CW$15+1,"m"),)/12,)-1,)*Index!CS$22*(CW$15&lt;=$J31)*(1-CW$12)</f>
        <v>0</v>
      </c>
      <c r="CX31" s="747">
        <f>$G31*$H31*(1+$K31)^MAX(ROUNDUP(IFERROR(DATEDIF($I31-1,CX$15+1,"m"),)/12,)-1,)*Index!CT$22*(CX$15&lt;=$J31)*(1-CX$12)</f>
        <v>0</v>
      </c>
      <c r="CY31" s="747">
        <f>$G31*$H31*(1+$K31)^MAX(ROUNDUP(IFERROR(DATEDIF($I31-1,CY$15+1,"m"),)/12,)-1,)*Index!CU$22*(CY$15&lt;=$J31)*(1-CY$12)</f>
        <v>0</v>
      </c>
      <c r="CZ31" s="747">
        <f>$G31*$H31*(1+$K31)^MAX(ROUNDUP(IFERROR(DATEDIF($I31-1,CZ$15+1,"m"),)/12,)-1,)*Index!CV$22*(CZ$15&lt;=$J31)*(1-CZ$12)</f>
        <v>0</v>
      </c>
      <c r="DA31" s="747">
        <f>$G31*$H31*(1+$K31)^MAX(ROUNDUP(IFERROR(DATEDIF($I31-1,DA$15+1,"m"),)/12,)-1,)*Index!CW$22*(DA$15&lt;=$J31)*(1-DA$12)</f>
        <v>0</v>
      </c>
      <c r="DB31" s="747">
        <f>$G31*$H31*(1+$K31)^MAX(ROUNDUP(IFERROR(DATEDIF($I31-1,DB$15+1,"m"),)/12,)-1,)*Index!CX$22*(DB$15&lt;=$J31)*(1-DB$12)</f>
        <v>0</v>
      </c>
      <c r="DC31" s="747">
        <f>$G31*$H31*(1+$K31)^MAX(ROUNDUP(IFERROR(DATEDIF($I31-1,DC$15+1,"m"),)/12,)-1,)*Index!CY$22*(DC$15&lt;=$J31)*(1-DC$12)</f>
        <v>0</v>
      </c>
      <c r="DD31" s="747">
        <f>$G31*$H31*(1+$K31)^MAX(ROUNDUP(IFERROR(DATEDIF($I31-1,DD$15+1,"m"),)/12,)-1,)*Index!CZ$22*(DD$15&lt;=$J31)*(1-DD$12)</f>
        <v>0</v>
      </c>
      <c r="DE31" s="747">
        <f>$G31*$H31*(1+$K31)^MAX(ROUNDUP(IFERROR(DATEDIF($I31-1,DE$15+1,"m"),)/12,)-1,)*Index!DA$22*(DE$15&lt;=$J31)*(1-DE$12)</f>
        <v>0</v>
      </c>
      <c r="DF31" s="747">
        <f>$G31*$H31*(1+$K31)^MAX(ROUNDUP(IFERROR(DATEDIF($I31-1,DF$15+1,"m"),)/12,)-1,)*Index!DB$22*(DF$15&lt;=$J31)*(1-DF$12)</f>
        <v>0</v>
      </c>
      <c r="DG31" s="747">
        <f>$G31*$H31*(1+$K31)^MAX(ROUNDUP(IFERROR(DATEDIF($I31-1,DG$15+1,"m"),)/12,)-1,)*Index!DC$22*(DG$15&lt;=$J31)*(1-DG$12)</f>
        <v>0</v>
      </c>
      <c r="DH31" s="747">
        <f>$G31*$H31*(1+$K31)^MAX(ROUNDUP(IFERROR(DATEDIF($I31-1,DH$15+1,"m"),)/12,)-1,)*Index!DD$22*(DH$15&lt;=$J31)*(1-DH$12)</f>
        <v>0</v>
      </c>
      <c r="DI31" s="747">
        <f>$G31*$H31*(1+$K31)^MAX(ROUNDUP(IFERROR(DATEDIF($I31-1,DI$15+1,"m"),)/12,)-1,)*Index!DE$22*(DI$15&lt;=$J31)*(1-DI$12)</f>
        <v>0</v>
      </c>
      <c r="DJ31" s="747">
        <f>$G31*$H31*(1+$K31)^MAX(ROUNDUP(IFERROR(DATEDIF($I31-1,DJ$15+1,"m"),)/12,)-1,)*Index!DF$22*(DJ$15&lt;=$J31)*(1-DJ$12)</f>
        <v>0</v>
      </c>
      <c r="DK31" s="747">
        <f>$G31*$H31*(1+$K31)^MAX(ROUNDUP(IFERROR(DATEDIF($I31-1,DK$15+1,"m"),)/12,)-1,)*Index!DG$22*(DK$15&lt;=$J31)*(1-DK$12)</f>
        <v>0</v>
      </c>
      <c r="DL31" s="747">
        <f>$G31*$H31*(1+$K31)^MAX(ROUNDUP(IFERROR(DATEDIF($I31-1,DL$15+1,"m"),)/12,)-1,)*Index!DH$22*(DL$15&lt;=$J31)*(1-DL$12)</f>
        <v>0</v>
      </c>
      <c r="DM31" s="747">
        <f>$G31*$H31*(1+$K31)^MAX(ROUNDUP(IFERROR(DATEDIF($I31-1,DM$15+1,"m"),)/12,)-1,)*Index!DI$22*(DM$15&lt;=$J31)*(1-DM$12)</f>
        <v>0</v>
      </c>
      <c r="DN31" s="747">
        <f>$G31*$H31*(1+$K31)^MAX(ROUNDUP(IFERROR(DATEDIF($I31-1,DN$15+1,"m"),)/12,)-1,)*Index!DJ$22*(DN$15&lt;=$J31)*(1-DN$12)</f>
        <v>0</v>
      </c>
      <c r="DO31" s="747">
        <f>$G31*$H31*(1+$K31)^MAX(ROUNDUP(IFERROR(DATEDIF($I31-1,DO$15+1,"m"),)/12,)-1,)*Index!DK$22*(DO$15&lt;=$J31)*(1-DO$12)</f>
        <v>0</v>
      </c>
      <c r="DP31" s="747">
        <f>$G31*$H31*(1+$K31)^MAX(ROUNDUP(IFERROR(DATEDIF($I31-1,DP$15+1,"m"),)/12,)-1,)*Index!DL$22*(DP$15&lt;=$J31)*(1-DP$12)</f>
        <v>0</v>
      </c>
      <c r="DQ31" s="747">
        <f>$G31*$H31*(1+$K31)^MAX(ROUNDUP(IFERROR(DATEDIF($I31-1,DQ$15+1,"m"),)/12,)-1,)*Index!DM$22*(DQ$15&lt;=$J31)*(1-DQ$12)</f>
        <v>0</v>
      </c>
      <c r="DR31" s="747">
        <f>$G31*$H31*(1+$K31)^MAX(ROUNDUP(IFERROR(DATEDIF($I31-1,DR$15+1,"m"),)/12,)-1,)*Index!DN$22*(DR$15&lt;=$J31)*(1-DR$12)</f>
        <v>0</v>
      </c>
      <c r="DS31" s="747">
        <f>$G31*$H31*(1+$K31)^MAX(ROUNDUP(IFERROR(DATEDIF($I31-1,DS$15+1,"m"),)/12,)-1,)*Index!DO$22*(DS$15&lt;=$J31)*(1-DS$12)</f>
        <v>0</v>
      </c>
      <c r="DT31" s="747">
        <f>$G31*$H31*(1+$K31)^MAX(ROUNDUP(IFERROR(DATEDIF($I31-1,DT$15+1,"m"),)/12,)-1,)*Index!DP$22*(DT$15&lt;=$J31)*(1-DT$12)</f>
        <v>0</v>
      </c>
      <c r="DU31" s="747">
        <f>$G31*$H31*(1+$K31)^MAX(ROUNDUP(IFERROR(DATEDIF($I31-1,DU$15+1,"m"),)/12,)-1,)*Index!DQ$22*(DU$15&lt;=$J31)*(1-DU$12)</f>
        <v>0</v>
      </c>
      <c r="DV31" s="747">
        <f>$G31*$H31*(1+$K31)^MAX(ROUNDUP(IFERROR(DATEDIF($I31-1,DV$15+1,"m"),)/12,)-1,)*Index!DR$22*(DV$15&lt;=$J31)*(1-DV$12)</f>
        <v>0</v>
      </c>
      <c r="DW31" s="747">
        <f>$G31*$H31*(1+$K31)^MAX(ROUNDUP(IFERROR(DATEDIF($I31-1,DW$15+1,"m"),)/12,)-1,)*Index!DS$22*(DW$15&lt;=$J31)*(1-DW$12)</f>
        <v>0</v>
      </c>
      <c r="DX31" s="747">
        <f>$G31*$H31*(1+$K31)^MAX(ROUNDUP(IFERROR(DATEDIF($I31-1,DX$15+1,"m"),)/12,)-1,)*Index!DT$22*(DX$15&lt;=$J31)*(1-DX$12)</f>
        <v>0</v>
      </c>
      <c r="DY31" s="747">
        <f>$G31*$H31*(1+$K31)^MAX(ROUNDUP(IFERROR(DATEDIF($I31-1,DY$15+1,"m"),)/12,)-1,)*Index!DU$22*(DY$15&lt;=$J31)*(1-DY$12)</f>
        <v>0</v>
      </c>
      <c r="DZ31" s="747">
        <f>$G31*$H31*(1+$K31)^MAX(ROUNDUP(IFERROR(DATEDIF($I31-1,DZ$15+1,"m"),)/12,)-1,)*Index!DV$22*(DZ$15&lt;=$J31)*(1-DZ$12)</f>
        <v>0</v>
      </c>
      <c r="EA31" s="747">
        <f>$G31*$H31*(1+$K31)^MAX(ROUNDUP(IFERROR(DATEDIF($I31-1,EA$15+1,"m"),)/12,)-1,)*Index!DW$22*(EA$15&lt;=$J31)*(1-EA$12)</f>
        <v>0</v>
      </c>
      <c r="EB31" s="747">
        <f>$G31*$H31*(1+$K31)^MAX(ROUNDUP(IFERROR(DATEDIF($I31-1,EB$15+1,"m"),)/12,)-1,)*Index!DX$22*(EB$15&lt;=$J31)*(1-EB$12)</f>
        <v>0</v>
      </c>
      <c r="EC31" s="747">
        <f>$G31*$H31*(1+$K31)^MAX(ROUNDUP(IFERROR(DATEDIF($I31-1,EC$15+1,"m"),)/12,)-1,)*Index!DY$22*(EC$15&lt;=$J31)*(1-EC$12)</f>
        <v>0</v>
      </c>
      <c r="ED31" s="747">
        <f>$G31*$H31*(1+$K31)^MAX(ROUNDUP(IFERROR(DATEDIF($I31-1,ED$15+1,"m"),)/12,)-1,)*Index!DZ$22*(ED$15&lt;=$J31)*(1-ED$12)</f>
        <v>0</v>
      </c>
      <c r="EE31" s="747">
        <f>$G31*$H31*(1+$K31)^MAX(ROUNDUP(IFERROR(DATEDIF($I31-1,EE$15+1,"m"),)/12,)-1,)*Index!EA$22*(EE$15&lt;=$J31)*(1-EE$12)</f>
        <v>0</v>
      </c>
      <c r="EF31" s="747">
        <f>$G31*$H31*(1+$K31)^MAX(ROUNDUP(IFERROR(DATEDIF($I31-1,EF$15+1,"m"),)/12,)-1,)*Index!EB$22*(EF$15&lt;=$J31)*(1-EF$12)</f>
        <v>0</v>
      </c>
      <c r="EG31" s="747">
        <f>$G31*$H31*(1+$K31)^MAX(ROUNDUP(IFERROR(DATEDIF($I31-1,EG$15+1,"m"),)/12,)-1,)*Index!EC$22*(EG$15&lt;=$J31)*(1-EG$12)</f>
        <v>0</v>
      </c>
      <c r="EH31" s="747">
        <f>$G31*$H31*(1+$K31)^MAX(ROUNDUP(IFERROR(DATEDIF($I31-1,EH$15+1,"m"),)/12,)-1,)*Index!ED$22*(EH$15&lt;=$J31)*(1-EH$12)</f>
        <v>0</v>
      </c>
      <c r="EI31" s="747">
        <f>$G31*$H31*(1+$K31)^MAX(ROUNDUP(IFERROR(DATEDIF($I31-1,EI$15+1,"m"),)/12,)-1,)*Index!EE$22*(EI$15&lt;=$J31)*(1-EI$12)</f>
        <v>0</v>
      </c>
      <c r="EJ31" s="747">
        <f>$G31*$H31*(1+$K31)^MAX(ROUNDUP(IFERROR(DATEDIF($I31-1,EJ$15+1,"m"),)/12,)-1,)*Index!EF$22*(EJ$15&lt;=$J31)*(1-EJ$12)</f>
        <v>0</v>
      </c>
      <c r="EK31" s="747">
        <f>$G31*$H31*(1+$K31)^MAX(ROUNDUP(IFERROR(DATEDIF($I31-1,EK$15+1,"m"),)/12,)-1,)*Index!EG$22*(EK$15&lt;=$J31)*(1-EK$12)</f>
        <v>0</v>
      </c>
      <c r="EL31" s="747">
        <f>$G31*$H31*(1+$K31)^MAX(ROUNDUP(IFERROR(DATEDIF($I31-1,EL$15+1,"m"),)/12,)-1,)*Index!EH$22*(EL$15&lt;=$J31)*(1-EL$12)</f>
        <v>0</v>
      </c>
      <c r="EM31" s="747">
        <f>$G31*$H31*(1+$K31)^MAX(ROUNDUP(IFERROR(DATEDIF($I31-1,EM$15+1,"m"),)/12,)-1,)*Index!EI$22*(EM$15&lt;=$J31)*(1-EM$12)</f>
        <v>0</v>
      </c>
      <c r="EN31" s="747">
        <f>$G31*$H31*(1+$K31)^MAX(ROUNDUP(IFERROR(DATEDIF($I31-1,EN$15+1,"m"),)/12,)-1,)*Index!EJ$22*(EN$15&lt;=$J31)*(1-EN$12)</f>
        <v>0</v>
      </c>
      <c r="EO31" s="747">
        <f>$G31*$H31*(1+$K31)^MAX(ROUNDUP(IFERROR(DATEDIF($I31-1,EO$15+1,"m"),)/12,)-1,)*Index!EK$22*(EO$15&lt;=$J31)*(1-EO$12)</f>
        <v>0</v>
      </c>
      <c r="EP31" s="747">
        <f>$G31*$H31*(1+$K31)^MAX(ROUNDUP(IFERROR(DATEDIF($I31-1,EP$15+1,"m"),)/12,)-1,)*Index!EL$22*(EP$15&lt;=$J31)*(1-EP$12)</f>
        <v>0</v>
      </c>
      <c r="EQ31" s="747">
        <f>$G31*$H31*(1+$K31)^MAX(ROUNDUP(IFERROR(DATEDIF($I31-1,EQ$15+1,"m"),)/12,)-1,)*Index!EM$22*(EQ$15&lt;=$J31)*(1-EQ$12)</f>
        <v>0</v>
      </c>
      <c r="ER31" s="747">
        <f>$G31*$H31*(1+$K31)^MAX(ROUNDUP(IFERROR(DATEDIF($I31-1,ER$15+1,"m"),)/12,)-1,)*Index!EN$22*(ER$15&lt;=$J31)*(1-ER$12)</f>
        <v>0</v>
      </c>
      <c r="ES31" s="747">
        <f>$G31*$H31*(1+$K31)^MAX(ROUNDUP(IFERROR(DATEDIF($I31-1,ES$15+1,"m"),)/12,)-1,)*Index!EO$22*(ES$15&lt;=$J31)*(1-ES$12)</f>
        <v>0</v>
      </c>
      <c r="ET31" s="747">
        <f>$G31*$H31*(1+$K31)^MAX(ROUNDUP(IFERROR(DATEDIF($I31-1,ET$15+1,"m"),)/12,)-1,)*Index!EP$22*(ET$15&lt;=$J31)*(1-ET$12)</f>
        <v>0</v>
      </c>
      <c r="EU31" s="747">
        <f>$G31*$H31*(1+$K31)^MAX(ROUNDUP(IFERROR(DATEDIF($I31-1,EU$15+1,"m"),)/12,)-1,)*Index!EQ$22*(EU$15&lt;=$J31)*(1-EU$12)</f>
        <v>0</v>
      </c>
    </row>
    <row r="32" spans="3:151" ht="11.25" customHeight="1">
      <c r="C32" s="735"/>
      <c r="D32" s="743" t="str">
        <f>'A&amp;R'!V21</f>
        <v>B1</v>
      </c>
      <c r="E32" s="704" t="str">
        <f>'A&amp;R'!W21</f>
        <v>쿠팡</v>
      </c>
      <c r="F32" s="704" t="str">
        <f>'A&amp;R'!X21</f>
        <v>상온창고</v>
      </c>
      <c r="G32" s="752">
        <f>'A&amp;R'!AC21/1000</f>
        <v>60</v>
      </c>
      <c r="H32" s="744">
        <f>'A&amp;R'!Y21</f>
        <v>2745.32</v>
      </c>
      <c r="I32" s="745">
        <f>'A&amp;R'!Z21</f>
        <v>45748</v>
      </c>
      <c r="J32" s="745">
        <f>'A&amp;R'!AA21</f>
        <v>49064</v>
      </c>
      <c r="K32" s="754">
        <f>'A&amp;R'!AF21</f>
        <v>2.5000000000000001E-2</v>
      </c>
      <c r="L32" s="748"/>
      <c r="M32" s="749"/>
      <c r="N32" s="747">
        <f t="shared" si="7"/>
        <v>16723625.522633109</v>
      </c>
      <c r="O32" s="733"/>
      <c r="P32" s="747">
        <f>$G32*$H32*(1+$K32)^MAX(ROUNDUP(IFERROR(DATEDIF($I32-1,P$15+1,"m"),)/12,)-1,)*Index!L$22*(P$15&lt;=$J32)*(1-P$12)</f>
        <v>0</v>
      </c>
      <c r="Q32" s="747">
        <f>$G32*$H32*(1+$K32)^MAX(ROUNDUP(IFERROR(DATEDIF($I32-1,Q$15+1,"m"),)/12,)-1,)*Index!M$22*(Q$15&lt;=$J32)*(1-Q$12)</f>
        <v>168837.18</v>
      </c>
      <c r="R32" s="747">
        <f>$G32*$H32*(1+$K32)^MAX(ROUNDUP(IFERROR(DATEDIF($I32-1,R$15+1,"m"),)/12,)-1,)*Index!N$22*(R$15&lt;=$J32)*(1-R$12)</f>
        <v>168837.18</v>
      </c>
      <c r="S32" s="747">
        <f>$G32*$H32*(1+$K32)^MAX(ROUNDUP(IFERROR(DATEDIF($I32-1,S$15+1,"m"),)/12,)-1,)*Index!O$22*(S$15&lt;=$J32)*(1-S$12)</f>
        <v>168837.18</v>
      </c>
      <c r="T32" s="747">
        <f>$G32*$H32*(1+$K32)^MAX(ROUNDUP(IFERROR(DATEDIF($I32-1,T$15+1,"m"),)/12,)-1,)*Index!P$22*(T$15&lt;=$J32)*(1-T$12)</f>
        <v>168837.18</v>
      </c>
      <c r="U32" s="747">
        <f>$G32*$H32*(1+$K32)^MAX(ROUNDUP(IFERROR(DATEDIF($I32-1,U$15+1,"m"),)/12,)-1,)*Index!Q$22*(U$15&lt;=$J32)*(1-U$12)</f>
        <v>168837.18</v>
      </c>
      <c r="V32" s="747">
        <f>$G32*$H32*(1+$K32)^MAX(ROUNDUP(IFERROR(DATEDIF($I32-1,V$15+1,"m"),)/12,)-1,)*Index!R$22*(V$15&lt;=$J32)*(1-V$12)</f>
        <v>173058.10949999999</v>
      </c>
      <c r="W32" s="747">
        <f>$G32*$H32*(1+$K32)^MAX(ROUNDUP(IFERROR(DATEDIF($I32-1,W$15+1,"m"),)/12,)-1,)*Index!S$22*(W$15&lt;=$J32)*(1-W$12)</f>
        <v>173058.10949999999</v>
      </c>
      <c r="X32" s="747">
        <f>$G32*$H32*(1+$K32)^MAX(ROUNDUP(IFERROR(DATEDIF($I32-1,X$15+1,"m"),)/12,)-1,)*Index!T$22*(X$15&lt;=$J32)*(1-X$12)</f>
        <v>173058.10949999999</v>
      </c>
      <c r="Y32" s="747">
        <f>$G32*$H32*(1+$K32)^MAX(ROUNDUP(IFERROR(DATEDIF($I32-1,Y$15+1,"m"),)/12,)-1,)*Index!U$22*(Y$15&lt;=$J32)*(1-Y$12)</f>
        <v>173058.10949999999</v>
      </c>
      <c r="Z32" s="747">
        <f>$G32*$H32*(1+$K32)^MAX(ROUNDUP(IFERROR(DATEDIF($I32-1,Z$15+1,"m"),)/12,)-1,)*Index!V$22*(Z$15&lt;=$J32)*(1-Z$12)</f>
        <v>173058.10949999999</v>
      </c>
      <c r="AA32" s="747">
        <f>$G32*$H32*(1+$K32)^MAX(ROUNDUP(IFERROR(DATEDIF($I32-1,AA$15+1,"m"),)/12,)-1,)*Index!W$22*(AA$15&lt;=$J32)*(1-AA$12)</f>
        <v>173058.10949999999</v>
      </c>
      <c r="AB32" s="747">
        <f>$G32*$H32*(1+$K32)^MAX(ROUNDUP(IFERROR(DATEDIF($I32-1,AB$15+1,"m"),)/12,)-1,)*Index!X$22*(AB$15&lt;=$J32)*(1-AB$12)</f>
        <v>173058.10949999999</v>
      </c>
      <c r="AC32" s="747">
        <f>$G32*$H32*(1+$K32)^MAX(ROUNDUP(IFERROR(DATEDIF($I32-1,AC$15+1,"m"),)/12,)-1,)*Index!Y$22*(AC$15&lt;=$J32)*(1-AC$12)</f>
        <v>173058.10949999999</v>
      </c>
      <c r="AD32" s="747">
        <f>$G32*$H32*(1+$K32)^MAX(ROUNDUP(IFERROR(DATEDIF($I32-1,AD$15+1,"m"),)/12,)-1,)*Index!Z$22*(AD$15&lt;=$J32)*(1-AD$12)</f>
        <v>173058.10949999999</v>
      </c>
      <c r="AE32" s="747">
        <f>$G32*$H32*(1+$K32)^MAX(ROUNDUP(IFERROR(DATEDIF($I32-1,AE$15+1,"m"),)/12,)-1,)*Index!AA$22*(AE$15&lt;=$J32)*(1-AE$12)</f>
        <v>173058.10949999999</v>
      </c>
      <c r="AF32" s="747">
        <f>$G32*$H32*(1+$K32)^MAX(ROUNDUP(IFERROR(DATEDIF($I32-1,AF$15+1,"m"),)/12,)-1,)*Index!AB$22*(AF$15&lt;=$J32)*(1-AF$12)</f>
        <v>173058.10949999999</v>
      </c>
      <c r="AG32" s="747">
        <f>$G32*$H32*(1+$K32)^MAX(ROUNDUP(IFERROR(DATEDIF($I32-1,AG$15+1,"m"),)/12,)-1,)*Index!AC$22*(AG$15&lt;=$J32)*(1-AG$12)</f>
        <v>173058.10949999999</v>
      </c>
      <c r="AH32" s="747">
        <f>$G32*$H32*(1+$K32)^MAX(ROUNDUP(IFERROR(DATEDIF($I32-1,AH$15+1,"m"),)/12,)-1,)*Index!AD$22*(AH$15&lt;=$J32)*(1-AH$12)</f>
        <v>177384.56223749998</v>
      </c>
      <c r="AI32" s="747">
        <f>$G32*$H32*(1+$K32)^MAX(ROUNDUP(IFERROR(DATEDIF($I32-1,AI$15+1,"m"),)/12,)-1,)*Index!AE$22*(AI$15&lt;=$J32)*(1-AI$12)</f>
        <v>177384.56223749998</v>
      </c>
      <c r="AJ32" s="747">
        <f>$G32*$H32*(1+$K32)^MAX(ROUNDUP(IFERROR(DATEDIF($I32-1,AJ$15+1,"m"),)/12,)-1,)*Index!AF$22*(AJ$15&lt;=$J32)*(1-AJ$12)</f>
        <v>177384.56223749998</v>
      </c>
      <c r="AK32" s="747">
        <f>$G32*$H32*(1+$K32)^MAX(ROUNDUP(IFERROR(DATEDIF($I32-1,AK$15+1,"m"),)/12,)-1,)*Index!AG$22*(AK$15&lt;=$J32)*(1-AK$12)</f>
        <v>177384.56223749998</v>
      </c>
      <c r="AL32" s="747">
        <f>$G32*$H32*(1+$K32)^MAX(ROUNDUP(IFERROR(DATEDIF($I32-1,AL$15+1,"m"),)/12,)-1,)*Index!AH$22*(AL$15&lt;=$J32)*(1-AL$12)</f>
        <v>177384.56223749998</v>
      </c>
      <c r="AM32" s="747">
        <f>$G32*$H32*(1+$K32)^MAX(ROUNDUP(IFERROR(DATEDIF($I32-1,AM$15+1,"m"),)/12,)-1,)*Index!AI$22*(AM$15&lt;=$J32)*(1-AM$12)</f>
        <v>177384.56223749998</v>
      </c>
      <c r="AN32" s="747">
        <f>$G32*$H32*(1+$K32)^MAX(ROUNDUP(IFERROR(DATEDIF($I32-1,AN$15+1,"m"),)/12,)-1,)*Index!AJ$22*(AN$15&lt;=$J32)*(1-AN$12)</f>
        <v>177384.56223749998</v>
      </c>
      <c r="AO32" s="747">
        <f>$G32*$H32*(1+$K32)^MAX(ROUNDUP(IFERROR(DATEDIF($I32-1,AO$15+1,"m"),)/12,)-1,)*Index!AK$22*(AO$15&lt;=$J32)*(1-AO$12)</f>
        <v>177384.56223749998</v>
      </c>
      <c r="AP32" s="747">
        <f>$G32*$H32*(1+$K32)^MAX(ROUNDUP(IFERROR(DATEDIF($I32-1,AP$15+1,"m"),)/12,)-1,)*Index!AL$22*(AP$15&lt;=$J32)*(1-AP$12)</f>
        <v>177384.56223749998</v>
      </c>
      <c r="AQ32" s="747">
        <f>$G32*$H32*(1+$K32)^MAX(ROUNDUP(IFERROR(DATEDIF($I32-1,AQ$15+1,"m"),)/12,)-1,)*Index!AM$22*(AQ$15&lt;=$J32)*(1-AQ$12)</f>
        <v>177384.56223749998</v>
      </c>
      <c r="AR32" s="747">
        <f>$G32*$H32*(1+$K32)^MAX(ROUNDUP(IFERROR(DATEDIF($I32-1,AR$15+1,"m"),)/12,)-1,)*Index!AN$22*(AR$15&lt;=$J32)*(1-AR$12)</f>
        <v>177384.56223749998</v>
      </c>
      <c r="AS32" s="747">
        <f>$G32*$H32*(1+$K32)^MAX(ROUNDUP(IFERROR(DATEDIF($I32-1,AS$15+1,"m"),)/12,)-1,)*Index!AO$22*(AS$15&lt;=$J32)*(1-AS$12)</f>
        <v>177384.56223749998</v>
      </c>
      <c r="AT32" s="747">
        <f>$G32*$H32*(1+$K32)^MAX(ROUNDUP(IFERROR(DATEDIF($I32-1,AT$15+1,"m"),)/12,)-1,)*Index!AP$22*(AT$15&lt;=$J32)*(1-AT$12)</f>
        <v>181819.17629343749</v>
      </c>
      <c r="AU32" s="747">
        <f>$G32*$H32*(1+$K32)^MAX(ROUNDUP(IFERROR(DATEDIF($I32-1,AU$15+1,"m"),)/12,)-1,)*Index!AQ$22*(AU$15&lt;=$J32)*(1-AU$12)</f>
        <v>181819.17629343749</v>
      </c>
      <c r="AV32" s="747">
        <f>$G32*$H32*(1+$K32)^MAX(ROUNDUP(IFERROR(DATEDIF($I32-1,AV$15+1,"m"),)/12,)-1,)*Index!AR$22*(AV$15&lt;=$J32)*(1-AV$12)</f>
        <v>181819.17629343749</v>
      </c>
      <c r="AW32" s="747">
        <f>$G32*$H32*(1+$K32)^MAX(ROUNDUP(IFERROR(DATEDIF($I32-1,AW$15+1,"m"),)/12,)-1,)*Index!AS$22*(AW$15&lt;=$J32)*(1-AW$12)</f>
        <v>181819.17629343749</v>
      </c>
      <c r="AX32" s="747">
        <f>$G32*$H32*(1+$K32)^MAX(ROUNDUP(IFERROR(DATEDIF($I32-1,AX$15+1,"m"),)/12,)-1,)*Index!AT$22*(AX$15&lt;=$J32)*(1-AX$12)</f>
        <v>181819.17629343749</v>
      </c>
      <c r="AY32" s="747">
        <f>$G32*$H32*(1+$K32)^MAX(ROUNDUP(IFERROR(DATEDIF($I32-1,AY$15+1,"m"),)/12,)-1,)*Index!AU$22*(AY$15&lt;=$J32)*(1-AY$12)</f>
        <v>181819.17629343749</v>
      </c>
      <c r="AZ32" s="747">
        <f>$G32*$H32*(1+$K32)^MAX(ROUNDUP(IFERROR(DATEDIF($I32-1,AZ$15+1,"m"),)/12,)-1,)*Index!AV$22*(AZ$15&lt;=$J32)*(1-AZ$12)</f>
        <v>181819.17629343749</v>
      </c>
      <c r="BA32" s="747">
        <f>$G32*$H32*(1+$K32)^MAX(ROUNDUP(IFERROR(DATEDIF($I32-1,BA$15+1,"m"),)/12,)-1,)*Index!AW$22*(BA$15&lt;=$J32)*(1-BA$12)</f>
        <v>181819.17629343749</v>
      </c>
      <c r="BB32" s="747">
        <f>$G32*$H32*(1+$K32)^MAX(ROUNDUP(IFERROR(DATEDIF($I32-1,BB$15+1,"m"),)/12,)-1,)*Index!AX$22*(BB$15&lt;=$J32)*(1-BB$12)</f>
        <v>181819.17629343749</v>
      </c>
      <c r="BC32" s="747">
        <f>$G32*$H32*(1+$K32)^MAX(ROUNDUP(IFERROR(DATEDIF($I32-1,BC$15+1,"m"),)/12,)-1,)*Index!AY$22*(BC$15&lt;=$J32)*(1-BC$12)</f>
        <v>181819.17629343749</v>
      </c>
      <c r="BD32" s="747">
        <f>$G32*$H32*(1+$K32)^MAX(ROUNDUP(IFERROR(DATEDIF($I32-1,BD$15+1,"m"),)/12,)-1,)*Index!AZ$22*(BD$15&lt;=$J32)*(1-BD$12)</f>
        <v>181819.17629343749</v>
      </c>
      <c r="BE32" s="747">
        <f>$G32*$H32*(1+$K32)^MAX(ROUNDUP(IFERROR(DATEDIF($I32-1,BE$15+1,"m"),)/12,)-1,)*Index!BA$22*(BE$15&lt;=$J32)*(1-BE$12)</f>
        <v>181819.17629343749</v>
      </c>
      <c r="BF32" s="747">
        <f>$G32*$H32*(1+$K32)^MAX(ROUNDUP(IFERROR(DATEDIF($I32-1,BF$15+1,"m"),)/12,)-1,)*Index!BB$22*(BF$15&lt;=$J32)*(1-BF$12)</f>
        <v>186364.65570077341</v>
      </c>
      <c r="BG32" s="747">
        <f>$G32*$H32*(1+$K32)^MAX(ROUNDUP(IFERROR(DATEDIF($I32-1,BG$15+1,"m"),)/12,)-1,)*Index!BC$22*(BG$15&lt;=$J32)*(1-BG$12)</f>
        <v>186364.65570077341</v>
      </c>
      <c r="BH32" s="747">
        <f>$G32*$H32*(1+$K32)^MAX(ROUNDUP(IFERROR(DATEDIF($I32-1,BH$15+1,"m"),)/12,)-1,)*Index!BD$22*(BH$15&lt;=$J32)*(1-BH$12)</f>
        <v>186364.65570077341</v>
      </c>
      <c r="BI32" s="747">
        <f>$G32*$H32*(1+$K32)^MAX(ROUNDUP(IFERROR(DATEDIF($I32-1,BI$15+1,"m"),)/12,)-1,)*Index!BE$22*(BI$15&lt;=$J32)*(1-BI$12)</f>
        <v>186364.65570077341</v>
      </c>
      <c r="BJ32" s="747">
        <f>$G32*$H32*(1+$K32)^MAX(ROUNDUP(IFERROR(DATEDIF($I32-1,BJ$15+1,"m"),)/12,)-1,)*Index!BF$22*(BJ$15&lt;=$J32)*(1-BJ$12)</f>
        <v>186364.65570077341</v>
      </c>
      <c r="BK32" s="747">
        <f>$G32*$H32*(1+$K32)^MAX(ROUNDUP(IFERROR(DATEDIF($I32-1,BK$15+1,"m"),)/12,)-1,)*Index!BG$22*(BK$15&lt;=$J32)*(1-BK$12)</f>
        <v>186364.65570077341</v>
      </c>
      <c r="BL32" s="747">
        <f>$G32*$H32*(1+$K32)^MAX(ROUNDUP(IFERROR(DATEDIF($I32-1,BL$15+1,"m"),)/12,)-1,)*Index!BH$22*(BL$15&lt;=$J32)*(1-BL$12)</f>
        <v>186364.65570077341</v>
      </c>
      <c r="BM32" s="747">
        <f>$G32*$H32*(1+$K32)^MAX(ROUNDUP(IFERROR(DATEDIF($I32-1,BM$15+1,"m"),)/12,)-1,)*Index!BI$22*(BM$15&lt;=$J32)*(1-BM$12)</f>
        <v>186364.65570077341</v>
      </c>
      <c r="BN32" s="747">
        <f>$G32*$H32*(1+$K32)^MAX(ROUNDUP(IFERROR(DATEDIF($I32-1,BN$15+1,"m"),)/12,)-1,)*Index!BJ$22*(BN$15&lt;=$J32)*(1-BN$12)</f>
        <v>186364.65570077341</v>
      </c>
      <c r="BO32" s="747">
        <f>$G32*$H32*(1+$K32)^MAX(ROUNDUP(IFERROR(DATEDIF($I32-1,BO$15+1,"m"),)/12,)-1,)*Index!BK$22*(BO$15&lt;=$J32)*(1-BO$12)</f>
        <v>186364.65570077341</v>
      </c>
      <c r="BP32" s="747">
        <f>$G32*$H32*(1+$K32)^MAX(ROUNDUP(IFERROR(DATEDIF($I32-1,BP$15+1,"m"),)/12,)-1,)*Index!BL$22*(BP$15&lt;=$J32)*(1-BP$12)</f>
        <v>186364.65570077341</v>
      </c>
      <c r="BQ32" s="747">
        <f>$G32*$H32*(1+$K32)^MAX(ROUNDUP(IFERROR(DATEDIF($I32-1,BQ$15+1,"m"),)/12,)-1,)*Index!BM$22*(BQ$15&lt;=$J32)*(1-BQ$12)</f>
        <v>186364.65570077341</v>
      </c>
      <c r="BR32" s="747">
        <f>$G32*$H32*(1+$K32)^MAX(ROUNDUP(IFERROR(DATEDIF($I32-1,BR$15+1,"m"),)/12,)-1,)*Index!BN$22*(BR$15&lt;=$J32)*(1-BR$12)</f>
        <v>191023.7720932927</v>
      </c>
      <c r="BS32" s="747">
        <f>$G32*$H32*(1+$K32)^MAX(ROUNDUP(IFERROR(DATEDIF($I32-1,BS$15+1,"m"),)/12,)-1,)*Index!BO$22*(BS$15&lt;=$J32)*(1-BS$12)</f>
        <v>191023.7720932927</v>
      </c>
      <c r="BT32" s="747">
        <f>$G32*$H32*(1+$K32)^MAX(ROUNDUP(IFERROR(DATEDIF($I32-1,BT$15+1,"m"),)/12,)-1,)*Index!BP$22*(BT$15&lt;=$J32)*(1-BT$12)</f>
        <v>191023.7720932927</v>
      </c>
      <c r="BU32" s="747">
        <f>$G32*$H32*(1+$K32)^MAX(ROUNDUP(IFERROR(DATEDIF($I32-1,BU$15+1,"m"),)/12,)-1,)*Index!BQ$22*(BU$15&lt;=$J32)*(1-BU$12)</f>
        <v>191023.7720932927</v>
      </c>
      <c r="BV32" s="747">
        <f>$G32*$H32*(1+$K32)^MAX(ROUNDUP(IFERROR(DATEDIF($I32-1,BV$15+1,"m"),)/12,)-1,)*Index!BR$22*(BV$15&lt;=$J32)*(1-BV$12)</f>
        <v>191023.7720932927</v>
      </c>
      <c r="BW32" s="747">
        <f>$G32*$H32*(1+$K32)^MAX(ROUNDUP(IFERROR(DATEDIF($I32-1,BW$15+1,"m"),)/12,)-1,)*Index!BS$22*(BW$15&lt;=$J32)*(1-BW$12)</f>
        <v>191023.7720932927</v>
      </c>
      <c r="BX32" s="747">
        <f>$G32*$H32*(1+$K32)^MAX(ROUNDUP(IFERROR(DATEDIF($I32-1,BX$15+1,"m"),)/12,)-1,)*Index!BT$22*(BX$15&lt;=$J32)*(1-BX$12)</f>
        <v>191023.7720932927</v>
      </c>
      <c r="BY32" s="747">
        <f>$G32*$H32*(1+$K32)^MAX(ROUNDUP(IFERROR(DATEDIF($I32-1,BY$15+1,"m"),)/12,)-1,)*Index!BU$22*(BY$15&lt;=$J32)*(1-BY$12)</f>
        <v>191023.7720932927</v>
      </c>
      <c r="BZ32" s="747">
        <f>$G32*$H32*(1+$K32)^MAX(ROUNDUP(IFERROR(DATEDIF($I32-1,BZ$15+1,"m"),)/12,)-1,)*Index!BV$22*(BZ$15&lt;=$J32)*(1-BZ$12)</f>
        <v>191023.7720932927</v>
      </c>
      <c r="CA32" s="747">
        <f>$G32*$H32*(1+$K32)^MAX(ROUNDUP(IFERROR(DATEDIF($I32-1,CA$15+1,"m"),)/12,)-1,)*Index!BW$22*(CA$15&lt;=$J32)*(1-CA$12)</f>
        <v>191023.7720932927</v>
      </c>
      <c r="CB32" s="747">
        <f>$G32*$H32*(1+$K32)^MAX(ROUNDUP(IFERROR(DATEDIF($I32-1,CB$15+1,"m"),)/12,)-1,)*Index!BX$22*(CB$15&lt;=$J32)*(1-CB$12)</f>
        <v>191023.7720932927</v>
      </c>
      <c r="CC32" s="747">
        <f>$G32*$H32*(1+$K32)^MAX(ROUNDUP(IFERROR(DATEDIF($I32-1,CC$15+1,"m"),)/12,)-1,)*Index!BY$22*(CC$15&lt;=$J32)*(1-CC$12)</f>
        <v>191023.7720932927</v>
      </c>
      <c r="CD32" s="747">
        <f>$G32*$H32*(1+$K32)^MAX(ROUNDUP(IFERROR(DATEDIF($I32-1,CD$15+1,"m"),)/12,)-1,)*Index!BZ$22*(CD$15&lt;=$J32)*(1-CD$12)</f>
        <v>195799.36639562505</v>
      </c>
      <c r="CE32" s="747">
        <f>$G32*$H32*(1+$K32)^MAX(ROUNDUP(IFERROR(DATEDIF($I32-1,CE$15+1,"m"),)/12,)-1,)*Index!CA$22*(CE$15&lt;=$J32)*(1-CE$12)</f>
        <v>195799.36639562505</v>
      </c>
      <c r="CF32" s="747">
        <f>$G32*$H32*(1+$K32)^MAX(ROUNDUP(IFERROR(DATEDIF($I32-1,CF$15+1,"m"),)/12,)-1,)*Index!CB$22*(CF$15&lt;=$J32)*(1-CF$12)</f>
        <v>195799.36639562505</v>
      </c>
      <c r="CG32" s="747">
        <f>$G32*$H32*(1+$K32)^MAX(ROUNDUP(IFERROR(DATEDIF($I32-1,CG$15+1,"m"),)/12,)-1,)*Index!CC$22*(CG$15&lt;=$J32)*(1-CG$12)</f>
        <v>195799.36639562505</v>
      </c>
      <c r="CH32" s="747">
        <f>$G32*$H32*(1+$K32)^MAX(ROUNDUP(IFERROR(DATEDIF($I32-1,CH$15+1,"m"),)/12,)-1,)*Index!CD$22*(CH$15&lt;=$J32)*(1-CH$12)</f>
        <v>195799.36639562505</v>
      </c>
      <c r="CI32" s="747">
        <f>$G32*$H32*(1+$K32)^MAX(ROUNDUP(IFERROR(DATEDIF($I32-1,CI$15+1,"m"),)/12,)-1,)*Index!CE$22*(CI$15&lt;=$J32)*(1-CI$12)</f>
        <v>195799.36639562505</v>
      </c>
      <c r="CJ32" s="747">
        <f>$G32*$H32*(1+$K32)^MAX(ROUNDUP(IFERROR(DATEDIF($I32-1,CJ$15+1,"m"),)/12,)-1,)*Index!CF$22*(CJ$15&lt;=$J32)*(1-CJ$12)</f>
        <v>195799.36639562505</v>
      </c>
      <c r="CK32" s="747">
        <f>$G32*$H32*(1+$K32)^MAX(ROUNDUP(IFERROR(DATEDIF($I32-1,CK$15+1,"m"),)/12,)-1,)*Index!CG$22*(CK$15&lt;=$J32)*(1-CK$12)</f>
        <v>195799.36639562505</v>
      </c>
      <c r="CL32" s="747">
        <f>$G32*$H32*(1+$K32)^MAX(ROUNDUP(IFERROR(DATEDIF($I32-1,CL$15+1,"m"),)/12,)-1,)*Index!CH$22*(CL$15&lt;=$J32)*(1-CL$12)</f>
        <v>195799.36639562505</v>
      </c>
      <c r="CM32" s="747">
        <f>$G32*$H32*(1+$K32)^MAX(ROUNDUP(IFERROR(DATEDIF($I32-1,CM$15+1,"m"),)/12,)-1,)*Index!CI$22*(CM$15&lt;=$J32)*(1-CM$12)</f>
        <v>195799.36639562505</v>
      </c>
      <c r="CN32" s="747">
        <f>$G32*$H32*(1+$K32)^MAX(ROUNDUP(IFERROR(DATEDIF($I32-1,CN$15+1,"m"),)/12,)-1,)*Index!CJ$22*(CN$15&lt;=$J32)*(1-CN$12)</f>
        <v>195799.36639562505</v>
      </c>
      <c r="CO32" s="747">
        <f>$G32*$H32*(1+$K32)^MAX(ROUNDUP(IFERROR(DATEDIF($I32-1,CO$15+1,"m"),)/12,)-1,)*Index!CK$22*(CO$15&lt;=$J32)*(1-CO$12)</f>
        <v>195799.36639562505</v>
      </c>
      <c r="CP32" s="747">
        <f>$G32*$H32*(1+$K32)^MAX(ROUNDUP(IFERROR(DATEDIF($I32-1,CP$15+1,"m"),)/12,)-1,)*Index!CL$22*(CP$15&lt;=$J32)*(1-CP$12)</f>
        <v>200694.35055551564</v>
      </c>
      <c r="CQ32" s="747">
        <f>$G32*$H32*(1+$K32)^MAX(ROUNDUP(IFERROR(DATEDIF($I32-1,CQ$15+1,"m"),)/12,)-1,)*Index!CM$22*(CQ$15&lt;=$J32)*(1-CQ$12)</f>
        <v>200694.35055551564</v>
      </c>
      <c r="CR32" s="747">
        <f>$G32*$H32*(1+$K32)^MAX(ROUNDUP(IFERROR(DATEDIF($I32-1,CR$15+1,"m"),)/12,)-1,)*Index!CN$22*(CR$15&lt;=$J32)*(1-CR$12)</f>
        <v>200694.35055551564</v>
      </c>
      <c r="CS32" s="747">
        <f>$G32*$H32*(1+$K32)^MAX(ROUNDUP(IFERROR(DATEDIF($I32-1,CS$15+1,"m"),)/12,)-1,)*Index!CO$22*(CS$15&lt;=$J32)*(1-CS$12)</f>
        <v>200694.35055551564</v>
      </c>
      <c r="CT32" s="747">
        <f>$G32*$H32*(1+$K32)^MAX(ROUNDUP(IFERROR(DATEDIF($I32-1,CT$15+1,"m"),)/12,)-1,)*Index!CP$22*(CT$15&lt;=$J32)*(1-CT$12)</f>
        <v>200694.35055551564</v>
      </c>
      <c r="CU32" s="747">
        <f>$G32*$H32*(1+$K32)^MAX(ROUNDUP(IFERROR(DATEDIF($I32-1,CU$15+1,"m"),)/12,)-1,)*Index!CQ$22*(CU$15&lt;=$J32)*(1-CU$12)</f>
        <v>200694.35055551564</v>
      </c>
      <c r="CV32" s="747">
        <f>$G32*$H32*(1+$K32)^MAX(ROUNDUP(IFERROR(DATEDIF($I32-1,CV$15+1,"m"),)/12,)-1,)*Index!CR$22*(CV$15&lt;=$J32)*(1-CV$12)</f>
        <v>200694.35055551564</v>
      </c>
      <c r="CW32" s="747">
        <f>$G32*$H32*(1+$K32)^MAX(ROUNDUP(IFERROR(DATEDIF($I32-1,CW$15+1,"m"),)/12,)-1,)*Index!CS$22*(CW$15&lt;=$J32)*(1-CW$12)</f>
        <v>200694.35055551564</v>
      </c>
      <c r="CX32" s="747">
        <f>$G32*$H32*(1+$K32)^MAX(ROUNDUP(IFERROR(DATEDIF($I32-1,CX$15+1,"m"),)/12,)-1,)*Index!CT$22*(CX$15&lt;=$J32)*(1-CX$12)</f>
        <v>200694.35055551564</v>
      </c>
      <c r="CY32" s="747">
        <f>$G32*$H32*(1+$K32)^MAX(ROUNDUP(IFERROR(DATEDIF($I32-1,CY$15+1,"m"),)/12,)-1,)*Index!CU$22*(CY$15&lt;=$J32)*(1-CY$12)</f>
        <v>200694.35055551564</v>
      </c>
      <c r="CZ32" s="747">
        <f>$G32*$H32*(1+$K32)^MAX(ROUNDUP(IFERROR(DATEDIF($I32-1,CZ$15+1,"m"),)/12,)-1,)*Index!CV$22*(CZ$15&lt;=$J32)*(1-CZ$12)</f>
        <v>200694.35055551564</v>
      </c>
      <c r="DA32" s="747">
        <f>$G32*$H32*(1+$K32)^MAX(ROUNDUP(IFERROR(DATEDIF($I32-1,DA$15+1,"m"),)/12,)-1,)*Index!CW$22*(DA$15&lt;=$J32)*(1-DA$12)</f>
        <v>200694.35055551564</v>
      </c>
      <c r="DB32" s="747">
        <f>$G32*$H32*(1+$K32)^MAX(ROUNDUP(IFERROR(DATEDIF($I32-1,DB$15+1,"m"),)/12,)-1,)*Index!CX$22*(DB$15&lt;=$J32)*(1-DB$12)</f>
        <v>205711.70931940351</v>
      </c>
      <c r="DC32" s="747">
        <f>$G32*$H32*(1+$K32)^MAX(ROUNDUP(IFERROR(DATEDIF($I32-1,DC$15+1,"m"),)/12,)-1,)*Index!CY$22*(DC$15&lt;=$J32)*(1-DC$12)</f>
        <v>0</v>
      </c>
      <c r="DD32" s="747">
        <f>$G32*$H32*(1+$K32)^MAX(ROUNDUP(IFERROR(DATEDIF($I32-1,DD$15+1,"m"),)/12,)-1,)*Index!CZ$22*(DD$15&lt;=$J32)*(1-DD$12)</f>
        <v>0</v>
      </c>
      <c r="DE32" s="747">
        <f>$G32*$H32*(1+$K32)^MAX(ROUNDUP(IFERROR(DATEDIF($I32-1,DE$15+1,"m"),)/12,)-1,)*Index!DA$22*(DE$15&lt;=$J32)*(1-DE$12)</f>
        <v>0</v>
      </c>
      <c r="DF32" s="747">
        <f>$G32*$H32*(1+$K32)^MAX(ROUNDUP(IFERROR(DATEDIF($I32-1,DF$15+1,"m"),)/12,)-1,)*Index!DB$22*(DF$15&lt;=$J32)*(1-DF$12)</f>
        <v>0</v>
      </c>
      <c r="DG32" s="747">
        <f>$G32*$H32*(1+$K32)^MAX(ROUNDUP(IFERROR(DATEDIF($I32-1,DG$15+1,"m"),)/12,)-1,)*Index!DC$22*(DG$15&lt;=$J32)*(1-DG$12)</f>
        <v>0</v>
      </c>
      <c r="DH32" s="747">
        <f>$G32*$H32*(1+$K32)^MAX(ROUNDUP(IFERROR(DATEDIF($I32-1,DH$15+1,"m"),)/12,)-1,)*Index!DD$22*(DH$15&lt;=$J32)*(1-DH$12)</f>
        <v>0</v>
      </c>
      <c r="DI32" s="747">
        <f>$G32*$H32*(1+$K32)^MAX(ROUNDUP(IFERROR(DATEDIF($I32-1,DI$15+1,"m"),)/12,)-1,)*Index!DE$22*(DI$15&lt;=$J32)*(1-DI$12)</f>
        <v>0</v>
      </c>
      <c r="DJ32" s="747">
        <f>$G32*$H32*(1+$K32)^MAX(ROUNDUP(IFERROR(DATEDIF($I32-1,DJ$15+1,"m"),)/12,)-1,)*Index!DF$22*(DJ$15&lt;=$J32)*(1-DJ$12)</f>
        <v>0</v>
      </c>
      <c r="DK32" s="747">
        <f>$G32*$H32*(1+$K32)^MAX(ROUNDUP(IFERROR(DATEDIF($I32-1,DK$15+1,"m"),)/12,)-1,)*Index!DG$22*(DK$15&lt;=$J32)*(1-DK$12)</f>
        <v>0</v>
      </c>
      <c r="DL32" s="747">
        <f>$G32*$H32*(1+$K32)^MAX(ROUNDUP(IFERROR(DATEDIF($I32-1,DL$15+1,"m"),)/12,)-1,)*Index!DH$22*(DL$15&lt;=$J32)*(1-DL$12)</f>
        <v>0</v>
      </c>
      <c r="DM32" s="747">
        <f>$G32*$H32*(1+$K32)^MAX(ROUNDUP(IFERROR(DATEDIF($I32-1,DM$15+1,"m"),)/12,)-1,)*Index!DI$22*(DM$15&lt;=$J32)*(1-DM$12)</f>
        <v>0</v>
      </c>
      <c r="DN32" s="747">
        <f>$G32*$H32*(1+$K32)^MAX(ROUNDUP(IFERROR(DATEDIF($I32-1,DN$15+1,"m"),)/12,)-1,)*Index!DJ$22*(DN$15&lt;=$J32)*(1-DN$12)</f>
        <v>0</v>
      </c>
      <c r="DO32" s="747">
        <f>$G32*$H32*(1+$K32)^MAX(ROUNDUP(IFERROR(DATEDIF($I32-1,DO$15+1,"m"),)/12,)-1,)*Index!DK$22*(DO$15&lt;=$J32)*(1-DO$12)</f>
        <v>0</v>
      </c>
      <c r="DP32" s="747">
        <f>$G32*$H32*(1+$K32)^MAX(ROUNDUP(IFERROR(DATEDIF($I32-1,DP$15+1,"m"),)/12,)-1,)*Index!DL$22*(DP$15&lt;=$J32)*(1-DP$12)</f>
        <v>0</v>
      </c>
      <c r="DQ32" s="747">
        <f>$G32*$H32*(1+$K32)^MAX(ROUNDUP(IFERROR(DATEDIF($I32-1,DQ$15+1,"m"),)/12,)-1,)*Index!DM$22*(DQ$15&lt;=$J32)*(1-DQ$12)</f>
        <v>0</v>
      </c>
      <c r="DR32" s="747">
        <f>$G32*$H32*(1+$K32)^MAX(ROUNDUP(IFERROR(DATEDIF($I32-1,DR$15+1,"m"),)/12,)-1,)*Index!DN$22*(DR$15&lt;=$J32)*(1-DR$12)</f>
        <v>0</v>
      </c>
      <c r="DS32" s="747">
        <f>$G32*$H32*(1+$K32)^MAX(ROUNDUP(IFERROR(DATEDIF($I32-1,DS$15+1,"m"),)/12,)-1,)*Index!DO$22*(DS$15&lt;=$J32)*(1-DS$12)</f>
        <v>0</v>
      </c>
      <c r="DT32" s="747">
        <f>$G32*$H32*(1+$K32)^MAX(ROUNDUP(IFERROR(DATEDIF($I32-1,DT$15+1,"m"),)/12,)-1,)*Index!DP$22*(DT$15&lt;=$J32)*(1-DT$12)</f>
        <v>0</v>
      </c>
      <c r="DU32" s="747">
        <f>$G32*$H32*(1+$K32)^MAX(ROUNDUP(IFERROR(DATEDIF($I32-1,DU$15+1,"m"),)/12,)-1,)*Index!DQ$22*(DU$15&lt;=$J32)*(1-DU$12)</f>
        <v>0</v>
      </c>
      <c r="DV32" s="747">
        <f>$G32*$H32*(1+$K32)^MAX(ROUNDUP(IFERROR(DATEDIF($I32-1,DV$15+1,"m"),)/12,)-1,)*Index!DR$22*(DV$15&lt;=$J32)*(1-DV$12)</f>
        <v>0</v>
      </c>
      <c r="DW32" s="747">
        <f>$G32*$H32*(1+$K32)^MAX(ROUNDUP(IFERROR(DATEDIF($I32-1,DW$15+1,"m"),)/12,)-1,)*Index!DS$22*(DW$15&lt;=$J32)*(1-DW$12)</f>
        <v>0</v>
      </c>
      <c r="DX32" s="747">
        <f>$G32*$H32*(1+$K32)^MAX(ROUNDUP(IFERROR(DATEDIF($I32-1,DX$15+1,"m"),)/12,)-1,)*Index!DT$22*(DX$15&lt;=$J32)*(1-DX$12)</f>
        <v>0</v>
      </c>
      <c r="DY32" s="747">
        <f>$G32*$H32*(1+$K32)^MAX(ROUNDUP(IFERROR(DATEDIF($I32-1,DY$15+1,"m"),)/12,)-1,)*Index!DU$22*(DY$15&lt;=$J32)*(1-DY$12)</f>
        <v>0</v>
      </c>
      <c r="DZ32" s="747">
        <f>$G32*$H32*(1+$K32)^MAX(ROUNDUP(IFERROR(DATEDIF($I32-1,DZ$15+1,"m"),)/12,)-1,)*Index!DV$22*(DZ$15&lt;=$J32)*(1-DZ$12)</f>
        <v>0</v>
      </c>
      <c r="EA32" s="747">
        <f>$G32*$H32*(1+$K32)^MAX(ROUNDUP(IFERROR(DATEDIF($I32-1,EA$15+1,"m"),)/12,)-1,)*Index!DW$22*(EA$15&lt;=$J32)*(1-EA$12)</f>
        <v>0</v>
      </c>
      <c r="EB32" s="747">
        <f>$G32*$H32*(1+$K32)^MAX(ROUNDUP(IFERROR(DATEDIF($I32-1,EB$15+1,"m"),)/12,)-1,)*Index!DX$22*(EB$15&lt;=$J32)*(1-EB$12)</f>
        <v>0</v>
      </c>
      <c r="EC32" s="747">
        <f>$G32*$H32*(1+$K32)^MAX(ROUNDUP(IFERROR(DATEDIF($I32-1,EC$15+1,"m"),)/12,)-1,)*Index!DY$22*(EC$15&lt;=$J32)*(1-EC$12)</f>
        <v>0</v>
      </c>
      <c r="ED32" s="747">
        <f>$G32*$H32*(1+$K32)^MAX(ROUNDUP(IFERROR(DATEDIF($I32-1,ED$15+1,"m"),)/12,)-1,)*Index!DZ$22*(ED$15&lt;=$J32)*(1-ED$12)</f>
        <v>0</v>
      </c>
      <c r="EE32" s="747">
        <f>$G32*$H32*(1+$K32)^MAX(ROUNDUP(IFERROR(DATEDIF($I32-1,EE$15+1,"m"),)/12,)-1,)*Index!EA$22*(EE$15&lt;=$J32)*(1-EE$12)</f>
        <v>0</v>
      </c>
      <c r="EF32" s="747">
        <f>$G32*$H32*(1+$K32)^MAX(ROUNDUP(IFERROR(DATEDIF($I32-1,EF$15+1,"m"),)/12,)-1,)*Index!EB$22*(EF$15&lt;=$J32)*(1-EF$12)</f>
        <v>0</v>
      </c>
      <c r="EG32" s="747">
        <f>$G32*$H32*(1+$K32)^MAX(ROUNDUP(IFERROR(DATEDIF($I32-1,EG$15+1,"m"),)/12,)-1,)*Index!EC$22*(EG$15&lt;=$J32)*(1-EG$12)</f>
        <v>0</v>
      </c>
      <c r="EH32" s="747">
        <f>$G32*$H32*(1+$K32)^MAX(ROUNDUP(IFERROR(DATEDIF($I32-1,EH$15+1,"m"),)/12,)-1,)*Index!ED$22*(EH$15&lt;=$J32)*(1-EH$12)</f>
        <v>0</v>
      </c>
      <c r="EI32" s="747">
        <f>$G32*$H32*(1+$K32)^MAX(ROUNDUP(IFERROR(DATEDIF($I32-1,EI$15+1,"m"),)/12,)-1,)*Index!EE$22*(EI$15&lt;=$J32)*(1-EI$12)</f>
        <v>0</v>
      </c>
      <c r="EJ32" s="747">
        <f>$G32*$H32*(1+$K32)^MAX(ROUNDUP(IFERROR(DATEDIF($I32-1,EJ$15+1,"m"),)/12,)-1,)*Index!EF$22*(EJ$15&lt;=$J32)*(1-EJ$12)</f>
        <v>0</v>
      </c>
      <c r="EK32" s="747">
        <f>$G32*$H32*(1+$K32)^MAX(ROUNDUP(IFERROR(DATEDIF($I32-1,EK$15+1,"m"),)/12,)-1,)*Index!EG$22*(EK$15&lt;=$J32)*(1-EK$12)</f>
        <v>0</v>
      </c>
      <c r="EL32" s="747">
        <f>$G32*$H32*(1+$K32)^MAX(ROUNDUP(IFERROR(DATEDIF($I32-1,EL$15+1,"m"),)/12,)-1,)*Index!EH$22*(EL$15&lt;=$J32)*(1-EL$12)</f>
        <v>0</v>
      </c>
      <c r="EM32" s="747">
        <f>$G32*$H32*(1+$K32)^MAX(ROUNDUP(IFERROR(DATEDIF($I32-1,EM$15+1,"m"),)/12,)-1,)*Index!EI$22*(EM$15&lt;=$J32)*(1-EM$12)</f>
        <v>0</v>
      </c>
      <c r="EN32" s="747">
        <f>$G32*$H32*(1+$K32)^MAX(ROUNDUP(IFERROR(DATEDIF($I32-1,EN$15+1,"m"),)/12,)-1,)*Index!EJ$22*(EN$15&lt;=$J32)*(1-EN$12)</f>
        <v>0</v>
      </c>
      <c r="EO32" s="747">
        <f>$G32*$H32*(1+$K32)^MAX(ROUNDUP(IFERROR(DATEDIF($I32-1,EO$15+1,"m"),)/12,)-1,)*Index!EK$22*(EO$15&lt;=$J32)*(1-EO$12)</f>
        <v>0</v>
      </c>
      <c r="EP32" s="747">
        <f>$G32*$H32*(1+$K32)^MAX(ROUNDUP(IFERROR(DATEDIF($I32-1,EP$15+1,"m"),)/12,)-1,)*Index!EL$22*(EP$15&lt;=$J32)*(1-EP$12)</f>
        <v>0</v>
      </c>
      <c r="EQ32" s="747">
        <f>$G32*$H32*(1+$K32)^MAX(ROUNDUP(IFERROR(DATEDIF($I32-1,EQ$15+1,"m"),)/12,)-1,)*Index!EM$22*(EQ$15&lt;=$J32)*(1-EQ$12)</f>
        <v>0</v>
      </c>
      <c r="ER32" s="747">
        <f>$G32*$H32*(1+$K32)^MAX(ROUNDUP(IFERROR(DATEDIF($I32-1,ER$15+1,"m"),)/12,)-1,)*Index!EN$22*(ER$15&lt;=$J32)*(1-ER$12)</f>
        <v>0</v>
      </c>
      <c r="ES32" s="747">
        <f>$G32*$H32*(1+$K32)^MAX(ROUNDUP(IFERROR(DATEDIF($I32-1,ES$15+1,"m"),)/12,)-1,)*Index!EO$22*(ES$15&lt;=$J32)*(1-ES$12)</f>
        <v>0</v>
      </c>
      <c r="ET32" s="747">
        <f>$G32*$H32*(1+$K32)^MAX(ROUNDUP(IFERROR(DATEDIF($I32-1,ET$15+1,"m"),)/12,)-1,)*Index!EP$22*(ET$15&lt;=$J32)*(1-ET$12)</f>
        <v>0</v>
      </c>
      <c r="EU32" s="747">
        <f>$G32*$H32*(1+$K32)^MAX(ROUNDUP(IFERROR(DATEDIF($I32-1,EU$15+1,"m"),)/12,)-1,)*Index!EQ$22*(EU$15&lt;=$J32)*(1-EU$12)</f>
        <v>0</v>
      </c>
    </row>
    <row r="33" spans="3:151" ht="11.25" customHeight="1">
      <c r="C33" s="735"/>
      <c r="D33" s="743" t="str">
        <f>'A&amp;R'!V22</f>
        <v>B2</v>
      </c>
      <c r="E33" s="704" t="str">
        <f>'A&amp;R'!W22</f>
        <v>쿠팡</v>
      </c>
      <c r="F33" s="704" t="str">
        <f>'A&amp;R'!X22</f>
        <v>상온창고</v>
      </c>
      <c r="G33" s="752">
        <f>'A&amp;R'!AC22/1000</f>
        <v>60</v>
      </c>
      <c r="H33" s="744">
        <f>'A&amp;R'!Y22</f>
        <v>2728.21</v>
      </c>
      <c r="I33" s="745">
        <f>'A&amp;R'!Z22</f>
        <v>45992</v>
      </c>
      <c r="J33" s="745">
        <f>'A&amp;R'!AA22</f>
        <v>49064</v>
      </c>
      <c r="K33" s="754">
        <f>'A&amp;R'!AF22</f>
        <v>2.5000000000000001E-2</v>
      </c>
      <c r="L33" s="711"/>
      <c r="M33" s="722"/>
      <c r="N33" s="747">
        <f t="shared" si="7"/>
        <v>16357049.398352021</v>
      </c>
      <c r="O33" s="733"/>
      <c r="P33" s="747">
        <f>$G33*$H33*(1+$K33)^MAX(ROUNDUP(IFERROR(DATEDIF($I33-1,P$15+1,"m"),)/12,)-1,)*Index!L$22*(P$15&lt;=$J33)*(1-P$12)</f>
        <v>0</v>
      </c>
      <c r="Q33" s="747">
        <f>$G33*$H33*(1+$K33)^MAX(ROUNDUP(IFERROR(DATEDIF($I33-1,Q$15+1,"m"),)/12,)-1,)*Index!M$22*(Q$15&lt;=$J33)*(1-Q$12)</f>
        <v>163692.6</v>
      </c>
      <c r="R33" s="747">
        <f>$G33*$H33*(1+$K33)^MAX(ROUNDUP(IFERROR(DATEDIF($I33-1,R$15+1,"m"),)/12,)-1,)*Index!N$22*(R$15&lt;=$J33)*(1-R$12)</f>
        <v>167784.91499999998</v>
      </c>
      <c r="S33" s="747">
        <f>$G33*$H33*(1+$K33)^MAX(ROUNDUP(IFERROR(DATEDIF($I33-1,S$15+1,"m"),)/12,)-1,)*Index!O$22*(S$15&lt;=$J33)*(1-S$12)</f>
        <v>167784.91499999998</v>
      </c>
      <c r="T33" s="747">
        <f>$G33*$H33*(1+$K33)^MAX(ROUNDUP(IFERROR(DATEDIF($I33-1,T$15+1,"m"),)/12,)-1,)*Index!P$22*(T$15&lt;=$J33)*(1-T$12)</f>
        <v>167784.91499999998</v>
      </c>
      <c r="U33" s="747">
        <f>$G33*$H33*(1+$K33)^MAX(ROUNDUP(IFERROR(DATEDIF($I33-1,U$15+1,"m"),)/12,)-1,)*Index!Q$22*(U$15&lt;=$J33)*(1-U$12)</f>
        <v>167784.91499999998</v>
      </c>
      <c r="V33" s="747">
        <f>$G33*$H33*(1+$K33)^MAX(ROUNDUP(IFERROR(DATEDIF($I33-1,V$15+1,"m"),)/12,)-1,)*Index!R$22*(V$15&lt;=$J33)*(1-V$12)</f>
        <v>167784.91499999998</v>
      </c>
      <c r="W33" s="747">
        <f>$G33*$H33*(1+$K33)^MAX(ROUNDUP(IFERROR(DATEDIF($I33-1,W$15+1,"m"),)/12,)-1,)*Index!S$22*(W$15&lt;=$J33)*(1-W$12)</f>
        <v>167784.91499999998</v>
      </c>
      <c r="X33" s="747">
        <f>$G33*$H33*(1+$K33)^MAX(ROUNDUP(IFERROR(DATEDIF($I33-1,X$15+1,"m"),)/12,)-1,)*Index!T$22*(X$15&lt;=$J33)*(1-X$12)</f>
        <v>167784.91499999998</v>
      </c>
      <c r="Y33" s="747">
        <f>$G33*$H33*(1+$K33)^MAX(ROUNDUP(IFERROR(DATEDIF($I33-1,Y$15+1,"m"),)/12,)-1,)*Index!U$22*(Y$15&lt;=$J33)*(1-Y$12)</f>
        <v>167784.91499999998</v>
      </c>
      <c r="Z33" s="747">
        <f>$G33*$H33*(1+$K33)^MAX(ROUNDUP(IFERROR(DATEDIF($I33-1,Z$15+1,"m"),)/12,)-1,)*Index!V$22*(Z$15&lt;=$J33)*(1-Z$12)</f>
        <v>167784.91499999998</v>
      </c>
      <c r="AA33" s="747">
        <f>$G33*$H33*(1+$K33)^MAX(ROUNDUP(IFERROR(DATEDIF($I33-1,AA$15+1,"m"),)/12,)-1,)*Index!W$22*(AA$15&lt;=$J33)*(1-AA$12)</f>
        <v>167784.91499999998</v>
      </c>
      <c r="AB33" s="747">
        <f>$G33*$H33*(1+$K33)^MAX(ROUNDUP(IFERROR(DATEDIF($I33-1,AB$15+1,"m"),)/12,)-1,)*Index!X$22*(AB$15&lt;=$J33)*(1-AB$12)</f>
        <v>167784.91499999998</v>
      </c>
      <c r="AC33" s="747">
        <f>$G33*$H33*(1+$K33)^MAX(ROUNDUP(IFERROR(DATEDIF($I33-1,AC$15+1,"m"),)/12,)-1,)*Index!Y$22*(AC$15&lt;=$J33)*(1-AC$12)</f>
        <v>167784.91499999998</v>
      </c>
      <c r="AD33" s="747">
        <f>$G33*$H33*(1+$K33)^MAX(ROUNDUP(IFERROR(DATEDIF($I33-1,AD$15+1,"m"),)/12,)-1,)*Index!Z$22*(AD$15&lt;=$J33)*(1-AD$12)</f>
        <v>171979.53787499998</v>
      </c>
      <c r="AE33" s="747">
        <f>$G33*$H33*(1+$K33)^MAX(ROUNDUP(IFERROR(DATEDIF($I33-1,AE$15+1,"m"),)/12,)-1,)*Index!AA$22*(AE$15&lt;=$J33)*(1-AE$12)</f>
        <v>171979.53787499998</v>
      </c>
      <c r="AF33" s="747">
        <f>$G33*$H33*(1+$K33)^MAX(ROUNDUP(IFERROR(DATEDIF($I33-1,AF$15+1,"m"),)/12,)-1,)*Index!AB$22*(AF$15&lt;=$J33)*(1-AF$12)</f>
        <v>171979.53787499998</v>
      </c>
      <c r="AG33" s="747">
        <f>$G33*$H33*(1+$K33)^MAX(ROUNDUP(IFERROR(DATEDIF($I33-1,AG$15+1,"m"),)/12,)-1,)*Index!AC$22*(AG$15&lt;=$J33)*(1-AG$12)</f>
        <v>171979.53787499998</v>
      </c>
      <c r="AH33" s="747">
        <f>$G33*$H33*(1+$K33)^MAX(ROUNDUP(IFERROR(DATEDIF($I33-1,AH$15+1,"m"),)/12,)-1,)*Index!AD$22*(AH$15&lt;=$J33)*(1-AH$12)</f>
        <v>171979.53787499998</v>
      </c>
      <c r="AI33" s="747">
        <f>$G33*$H33*(1+$K33)^MAX(ROUNDUP(IFERROR(DATEDIF($I33-1,AI$15+1,"m"),)/12,)-1,)*Index!AE$22*(AI$15&lt;=$J33)*(1-AI$12)</f>
        <v>171979.53787499998</v>
      </c>
      <c r="AJ33" s="747">
        <f>$G33*$H33*(1+$K33)^MAX(ROUNDUP(IFERROR(DATEDIF($I33-1,AJ$15+1,"m"),)/12,)-1,)*Index!AF$22*(AJ$15&lt;=$J33)*(1-AJ$12)</f>
        <v>171979.53787499998</v>
      </c>
      <c r="AK33" s="747">
        <f>$G33*$H33*(1+$K33)^MAX(ROUNDUP(IFERROR(DATEDIF($I33-1,AK$15+1,"m"),)/12,)-1,)*Index!AG$22*(AK$15&lt;=$J33)*(1-AK$12)</f>
        <v>171979.53787499998</v>
      </c>
      <c r="AL33" s="747">
        <f>$G33*$H33*(1+$K33)^MAX(ROUNDUP(IFERROR(DATEDIF($I33-1,AL$15+1,"m"),)/12,)-1,)*Index!AH$22*(AL$15&lt;=$J33)*(1-AL$12)</f>
        <v>171979.53787499998</v>
      </c>
      <c r="AM33" s="747">
        <f>$G33*$H33*(1+$K33)^MAX(ROUNDUP(IFERROR(DATEDIF($I33-1,AM$15+1,"m"),)/12,)-1,)*Index!AI$22*(AM$15&lt;=$J33)*(1-AM$12)</f>
        <v>171979.53787499998</v>
      </c>
      <c r="AN33" s="747">
        <f>$G33*$H33*(1+$K33)^MAX(ROUNDUP(IFERROR(DATEDIF($I33-1,AN$15+1,"m"),)/12,)-1,)*Index!AJ$22*(AN$15&lt;=$J33)*(1-AN$12)</f>
        <v>171979.53787499998</v>
      </c>
      <c r="AO33" s="747">
        <f>$G33*$H33*(1+$K33)^MAX(ROUNDUP(IFERROR(DATEDIF($I33-1,AO$15+1,"m"),)/12,)-1,)*Index!AK$22*(AO$15&lt;=$J33)*(1-AO$12)</f>
        <v>171979.53787499998</v>
      </c>
      <c r="AP33" s="747">
        <f>$G33*$H33*(1+$K33)^MAX(ROUNDUP(IFERROR(DATEDIF($I33-1,AP$15+1,"m"),)/12,)-1,)*Index!AL$22*(AP$15&lt;=$J33)*(1-AP$12)</f>
        <v>176279.02632187499</v>
      </c>
      <c r="AQ33" s="747">
        <f>$G33*$H33*(1+$K33)^MAX(ROUNDUP(IFERROR(DATEDIF($I33-1,AQ$15+1,"m"),)/12,)-1,)*Index!AM$22*(AQ$15&lt;=$J33)*(1-AQ$12)</f>
        <v>176279.02632187499</v>
      </c>
      <c r="AR33" s="747">
        <f>$G33*$H33*(1+$K33)^MAX(ROUNDUP(IFERROR(DATEDIF($I33-1,AR$15+1,"m"),)/12,)-1,)*Index!AN$22*(AR$15&lt;=$J33)*(1-AR$12)</f>
        <v>176279.02632187499</v>
      </c>
      <c r="AS33" s="747">
        <f>$G33*$H33*(1+$K33)^MAX(ROUNDUP(IFERROR(DATEDIF($I33-1,AS$15+1,"m"),)/12,)-1,)*Index!AO$22*(AS$15&lt;=$J33)*(1-AS$12)</f>
        <v>176279.02632187499</v>
      </c>
      <c r="AT33" s="747">
        <f>$G33*$H33*(1+$K33)^MAX(ROUNDUP(IFERROR(DATEDIF($I33-1,AT$15+1,"m"),)/12,)-1,)*Index!AP$22*(AT$15&lt;=$J33)*(1-AT$12)</f>
        <v>176279.02632187499</v>
      </c>
      <c r="AU33" s="747">
        <f>$G33*$H33*(1+$K33)^MAX(ROUNDUP(IFERROR(DATEDIF($I33-1,AU$15+1,"m"),)/12,)-1,)*Index!AQ$22*(AU$15&lt;=$J33)*(1-AU$12)</f>
        <v>176279.02632187499</v>
      </c>
      <c r="AV33" s="747">
        <f>$G33*$H33*(1+$K33)^MAX(ROUNDUP(IFERROR(DATEDIF($I33-1,AV$15+1,"m"),)/12,)-1,)*Index!AR$22*(AV$15&lt;=$J33)*(1-AV$12)</f>
        <v>176279.02632187499</v>
      </c>
      <c r="AW33" s="747">
        <f>$G33*$H33*(1+$K33)^MAX(ROUNDUP(IFERROR(DATEDIF($I33-1,AW$15+1,"m"),)/12,)-1,)*Index!AS$22*(AW$15&lt;=$J33)*(1-AW$12)</f>
        <v>176279.02632187499</v>
      </c>
      <c r="AX33" s="747">
        <f>$G33*$H33*(1+$K33)^MAX(ROUNDUP(IFERROR(DATEDIF($I33-1,AX$15+1,"m"),)/12,)-1,)*Index!AT$22*(AX$15&lt;=$J33)*(1-AX$12)</f>
        <v>176279.02632187499</v>
      </c>
      <c r="AY33" s="747">
        <f>$G33*$H33*(1+$K33)^MAX(ROUNDUP(IFERROR(DATEDIF($I33-1,AY$15+1,"m"),)/12,)-1,)*Index!AU$22*(AY$15&lt;=$J33)*(1-AY$12)</f>
        <v>176279.02632187499</v>
      </c>
      <c r="AZ33" s="747">
        <f>$G33*$H33*(1+$K33)^MAX(ROUNDUP(IFERROR(DATEDIF($I33-1,AZ$15+1,"m"),)/12,)-1,)*Index!AV$22*(AZ$15&lt;=$J33)*(1-AZ$12)</f>
        <v>176279.02632187499</v>
      </c>
      <c r="BA33" s="747">
        <f>$G33*$H33*(1+$K33)^MAX(ROUNDUP(IFERROR(DATEDIF($I33-1,BA$15+1,"m"),)/12,)-1,)*Index!AW$22*(BA$15&lt;=$J33)*(1-BA$12)</f>
        <v>176279.02632187499</v>
      </c>
      <c r="BB33" s="747">
        <f>$G33*$H33*(1+$K33)^MAX(ROUNDUP(IFERROR(DATEDIF($I33-1,BB$15+1,"m"),)/12,)-1,)*Index!AX$22*(BB$15&lt;=$J33)*(1-BB$12)</f>
        <v>180686.00197992186</v>
      </c>
      <c r="BC33" s="747">
        <f>$G33*$H33*(1+$K33)^MAX(ROUNDUP(IFERROR(DATEDIF($I33-1,BC$15+1,"m"),)/12,)-1,)*Index!AY$22*(BC$15&lt;=$J33)*(1-BC$12)</f>
        <v>180686.00197992186</v>
      </c>
      <c r="BD33" s="747">
        <f>$G33*$H33*(1+$K33)^MAX(ROUNDUP(IFERROR(DATEDIF($I33-1,BD$15+1,"m"),)/12,)-1,)*Index!AZ$22*(BD$15&lt;=$J33)*(1-BD$12)</f>
        <v>180686.00197992186</v>
      </c>
      <c r="BE33" s="747">
        <f>$G33*$H33*(1+$K33)^MAX(ROUNDUP(IFERROR(DATEDIF($I33-1,BE$15+1,"m"),)/12,)-1,)*Index!BA$22*(BE$15&lt;=$J33)*(1-BE$12)</f>
        <v>180686.00197992186</v>
      </c>
      <c r="BF33" s="747">
        <f>$G33*$H33*(1+$K33)^MAX(ROUNDUP(IFERROR(DATEDIF($I33-1,BF$15+1,"m"),)/12,)-1,)*Index!BB$22*(BF$15&lt;=$J33)*(1-BF$12)</f>
        <v>180686.00197992186</v>
      </c>
      <c r="BG33" s="747">
        <f>$G33*$H33*(1+$K33)^MAX(ROUNDUP(IFERROR(DATEDIF($I33-1,BG$15+1,"m"),)/12,)-1,)*Index!BC$22*(BG$15&lt;=$J33)*(1-BG$12)</f>
        <v>180686.00197992186</v>
      </c>
      <c r="BH33" s="747">
        <f>$G33*$H33*(1+$K33)^MAX(ROUNDUP(IFERROR(DATEDIF($I33-1,BH$15+1,"m"),)/12,)-1,)*Index!BD$22*(BH$15&lt;=$J33)*(1-BH$12)</f>
        <v>180686.00197992186</v>
      </c>
      <c r="BI33" s="747">
        <f>$G33*$H33*(1+$K33)^MAX(ROUNDUP(IFERROR(DATEDIF($I33-1,BI$15+1,"m"),)/12,)-1,)*Index!BE$22*(BI$15&lt;=$J33)*(1-BI$12)</f>
        <v>180686.00197992186</v>
      </c>
      <c r="BJ33" s="747">
        <f>$G33*$H33*(1+$K33)^MAX(ROUNDUP(IFERROR(DATEDIF($I33-1,BJ$15+1,"m"),)/12,)-1,)*Index!BF$22*(BJ$15&lt;=$J33)*(1-BJ$12)</f>
        <v>180686.00197992186</v>
      </c>
      <c r="BK33" s="747">
        <f>$G33*$H33*(1+$K33)^MAX(ROUNDUP(IFERROR(DATEDIF($I33-1,BK$15+1,"m"),)/12,)-1,)*Index!BG$22*(BK$15&lt;=$J33)*(1-BK$12)</f>
        <v>180686.00197992186</v>
      </c>
      <c r="BL33" s="747">
        <f>$G33*$H33*(1+$K33)^MAX(ROUNDUP(IFERROR(DATEDIF($I33-1,BL$15+1,"m"),)/12,)-1,)*Index!BH$22*(BL$15&lt;=$J33)*(1-BL$12)</f>
        <v>180686.00197992186</v>
      </c>
      <c r="BM33" s="747">
        <f>$G33*$H33*(1+$K33)^MAX(ROUNDUP(IFERROR(DATEDIF($I33-1,BM$15+1,"m"),)/12,)-1,)*Index!BI$22*(BM$15&lt;=$J33)*(1-BM$12)</f>
        <v>180686.00197992186</v>
      </c>
      <c r="BN33" s="747">
        <f>$G33*$H33*(1+$K33)^MAX(ROUNDUP(IFERROR(DATEDIF($I33-1,BN$15+1,"m"),)/12,)-1,)*Index!BJ$22*(BN$15&lt;=$J33)*(1-BN$12)</f>
        <v>185203.15202941987</v>
      </c>
      <c r="BO33" s="747">
        <f>$G33*$H33*(1+$K33)^MAX(ROUNDUP(IFERROR(DATEDIF($I33-1,BO$15+1,"m"),)/12,)-1,)*Index!BK$22*(BO$15&lt;=$J33)*(1-BO$12)</f>
        <v>185203.15202941987</v>
      </c>
      <c r="BP33" s="747">
        <f>$G33*$H33*(1+$K33)^MAX(ROUNDUP(IFERROR(DATEDIF($I33-1,BP$15+1,"m"),)/12,)-1,)*Index!BL$22*(BP$15&lt;=$J33)*(1-BP$12)</f>
        <v>185203.15202941987</v>
      </c>
      <c r="BQ33" s="747">
        <f>$G33*$H33*(1+$K33)^MAX(ROUNDUP(IFERROR(DATEDIF($I33-1,BQ$15+1,"m"),)/12,)-1,)*Index!BM$22*(BQ$15&lt;=$J33)*(1-BQ$12)</f>
        <v>185203.15202941987</v>
      </c>
      <c r="BR33" s="747">
        <f>$G33*$H33*(1+$K33)^MAX(ROUNDUP(IFERROR(DATEDIF($I33-1,BR$15+1,"m"),)/12,)-1,)*Index!BN$22*(BR$15&lt;=$J33)*(1-BR$12)</f>
        <v>185203.15202941987</v>
      </c>
      <c r="BS33" s="747">
        <f>$G33*$H33*(1+$K33)^MAX(ROUNDUP(IFERROR(DATEDIF($I33-1,BS$15+1,"m"),)/12,)-1,)*Index!BO$22*(BS$15&lt;=$J33)*(1-BS$12)</f>
        <v>185203.15202941987</v>
      </c>
      <c r="BT33" s="747">
        <f>$G33*$H33*(1+$K33)^MAX(ROUNDUP(IFERROR(DATEDIF($I33-1,BT$15+1,"m"),)/12,)-1,)*Index!BP$22*(BT$15&lt;=$J33)*(1-BT$12)</f>
        <v>185203.15202941987</v>
      </c>
      <c r="BU33" s="747">
        <f>$G33*$H33*(1+$K33)^MAX(ROUNDUP(IFERROR(DATEDIF($I33-1,BU$15+1,"m"),)/12,)-1,)*Index!BQ$22*(BU$15&lt;=$J33)*(1-BU$12)</f>
        <v>185203.15202941987</v>
      </c>
      <c r="BV33" s="747">
        <f>$G33*$H33*(1+$K33)^MAX(ROUNDUP(IFERROR(DATEDIF($I33-1,BV$15+1,"m"),)/12,)-1,)*Index!BR$22*(BV$15&lt;=$J33)*(1-BV$12)</f>
        <v>185203.15202941987</v>
      </c>
      <c r="BW33" s="747">
        <f>$G33*$H33*(1+$K33)^MAX(ROUNDUP(IFERROR(DATEDIF($I33-1,BW$15+1,"m"),)/12,)-1,)*Index!BS$22*(BW$15&lt;=$J33)*(1-BW$12)</f>
        <v>185203.15202941987</v>
      </c>
      <c r="BX33" s="747">
        <f>$G33*$H33*(1+$K33)^MAX(ROUNDUP(IFERROR(DATEDIF($I33-1,BX$15+1,"m"),)/12,)-1,)*Index!BT$22*(BX$15&lt;=$J33)*(1-BX$12)</f>
        <v>185203.15202941987</v>
      </c>
      <c r="BY33" s="747">
        <f>$G33*$H33*(1+$K33)^MAX(ROUNDUP(IFERROR(DATEDIF($I33-1,BY$15+1,"m"),)/12,)-1,)*Index!BU$22*(BY$15&lt;=$J33)*(1-BY$12)</f>
        <v>185203.15202941987</v>
      </c>
      <c r="BZ33" s="747">
        <f>$G33*$H33*(1+$K33)^MAX(ROUNDUP(IFERROR(DATEDIF($I33-1,BZ$15+1,"m"),)/12,)-1,)*Index!BV$22*(BZ$15&lt;=$J33)*(1-BZ$12)</f>
        <v>189833.23083015534</v>
      </c>
      <c r="CA33" s="747">
        <f>$G33*$H33*(1+$K33)^MAX(ROUNDUP(IFERROR(DATEDIF($I33-1,CA$15+1,"m"),)/12,)-1,)*Index!BW$22*(CA$15&lt;=$J33)*(1-CA$12)</f>
        <v>189833.23083015534</v>
      </c>
      <c r="CB33" s="747">
        <f>$G33*$H33*(1+$K33)^MAX(ROUNDUP(IFERROR(DATEDIF($I33-1,CB$15+1,"m"),)/12,)-1,)*Index!BX$22*(CB$15&lt;=$J33)*(1-CB$12)</f>
        <v>189833.23083015534</v>
      </c>
      <c r="CC33" s="747">
        <f>$G33*$H33*(1+$K33)^MAX(ROUNDUP(IFERROR(DATEDIF($I33-1,CC$15+1,"m"),)/12,)-1,)*Index!BY$22*(CC$15&lt;=$J33)*(1-CC$12)</f>
        <v>189833.23083015534</v>
      </c>
      <c r="CD33" s="747">
        <f>$G33*$H33*(1+$K33)^MAX(ROUNDUP(IFERROR(DATEDIF($I33-1,CD$15+1,"m"),)/12,)-1,)*Index!BZ$22*(CD$15&lt;=$J33)*(1-CD$12)</f>
        <v>189833.23083015534</v>
      </c>
      <c r="CE33" s="747">
        <f>$G33*$H33*(1+$K33)^MAX(ROUNDUP(IFERROR(DATEDIF($I33-1,CE$15+1,"m"),)/12,)-1,)*Index!CA$22*(CE$15&lt;=$J33)*(1-CE$12)</f>
        <v>189833.23083015534</v>
      </c>
      <c r="CF33" s="747">
        <f>$G33*$H33*(1+$K33)^MAX(ROUNDUP(IFERROR(DATEDIF($I33-1,CF$15+1,"m"),)/12,)-1,)*Index!CB$22*(CF$15&lt;=$J33)*(1-CF$12)</f>
        <v>189833.23083015534</v>
      </c>
      <c r="CG33" s="747">
        <f>$G33*$H33*(1+$K33)^MAX(ROUNDUP(IFERROR(DATEDIF($I33-1,CG$15+1,"m"),)/12,)-1,)*Index!CC$22*(CG$15&lt;=$J33)*(1-CG$12)</f>
        <v>189833.23083015534</v>
      </c>
      <c r="CH33" s="747">
        <f>$G33*$H33*(1+$K33)^MAX(ROUNDUP(IFERROR(DATEDIF($I33-1,CH$15+1,"m"),)/12,)-1,)*Index!CD$22*(CH$15&lt;=$J33)*(1-CH$12)</f>
        <v>189833.23083015534</v>
      </c>
      <c r="CI33" s="747">
        <f>$G33*$H33*(1+$K33)^MAX(ROUNDUP(IFERROR(DATEDIF($I33-1,CI$15+1,"m"),)/12,)-1,)*Index!CE$22*(CI$15&lt;=$J33)*(1-CI$12)</f>
        <v>189833.23083015534</v>
      </c>
      <c r="CJ33" s="747">
        <f>$G33*$H33*(1+$K33)^MAX(ROUNDUP(IFERROR(DATEDIF($I33-1,CJ$15+1,"m"),)/12,)-1,)*Index!CF$22*(CJ$15&lt;=$J33)*(1-CJ$12)</f>
        <v>189833.23083015534</v>
      </c>
      <c r="CK33" s="747">
        <f>$G33*$H33*(1+$K33)^MAX(ROUNDUP(IFERROR(DATEDIF($I33-1,CK$15+1,"m"),)/12,)-1,)*Index!CG$22*(CK$15&lt;=$J33)*(1-CK$12)</f>
        <v>189833.23083015534</v>
      </c>
      <c r="CL33" s="747">
        <f>$G33*$H33*(1+$K33)^MAX(ROUNDUP(IFERROR(DATEDIF($I33-1,CL$15+1,"m"),)/12,)-1,)*Index!CH$22*(CL$15&lt;=$J33)*(1-CL$12)</f>
        <v>194579.06160090925</v>
      </c>
      <c r="CM33" s="747">
        <f>$G33*$H33*(1+$K33)^MAX(ROUNDUP(IFERROR(DATEDIF($I33-1,CM$15+1,"m"),)/12,)-1,)*Index!CI$22*(CM$15&lt;=$J33)*(1-CM$12)</f>
        <v>194579.06160090925</v>
      </c>
      <c r="CN33" s="747">
        <f>$G33*$H33*(1+$K33)^MAX(ROUNDUP(IFERROR(DATEDIF($I33-1,CN$15+1,"m"),)/12,)-1,)*Index!CJ$22*(CN$15&lt;=$J33)*(1-CN$12)</f>
        <v>194579.06160090925</v>
      </c>
      <c r="CO33" s="747">
        <f>$G33*$H33*(1+$K33)^MAX(ROUNDUP(IFERROR(DATEDIF($I33-1,CO$15+1,"m"),)/12,)-1,)*Index!CK$22*(CO$15&lt;=$J33)*(1-CO$12)</f>
        <v>194579.06160090925</v>
      </c>
      <c r="CP33" s="747">
        <f>$G33*$H33*(1+$K33)^MAX(ROUNDUP(IFERROR(DATEDIF($I33-1,CP$15+1,"m"),)/12,)-1,)*Index!CL$22*(CP$15&lt;=$J33)*(1-CP$12)</f>
        <v>194579.06160090925</v>
      </c>
      <c r="CQ33" s="747">
        <f>$G33*$H33*(1+$K33)^MAX(ROUNDUP(IFERROR(DATEDIF($I33-1,CQ$15+1,"m"),)/12,)-1,)*Index!CM$22*(CQ$15&lt;=$J33)*(1-CQ$12)</f>
        <v>194579.06160090925</v>
      </c>
      <c r="CR33" s="747">
        <f>$G33*$H33*(1+$K33)^MAX(ROUNDUP(IFERROR(DATEDIF($I33-1,CR$15+1,"m"),)/12,)-1,)*Index!CN$22*(CR$15&lt;=$J33)*(1-CR$12)</f>
        <v>194579.06160090925</v>
      </c>
      <c r="CS33" s="747">
        <f>$G33*$H33*(1+$K33)^MAX(ROUNDUP(IFERROR(DATEDIF($I33-1,CS$15+1,"m"),)/12,)-1,)*Index!CO$22*(CS$15&lt;=$J33)*(1-CS$12)</f>
        <v>194579.06160090925</v>
      </c>
      <c r="CT33" s="747">
        <f>$G33*$H33*(1+$K33)^MAX(ROUNDUP(IFERROR(DATEDIF($I33-1,CT$15+1,"m"),)/12,)-1,)*Index!CP$22*(CT$15&lt;=$J33)*(1-CT$12)</f>
        <v>194579.06160090925</v>
      </c>
      <c r="CU33" s="747">
        <f>$G33*$H33*(1+$K33)^MAX(ROUNDUP(IFERROR(DATEDIF($I33-1,CU$15+1,"m"),)/12,)-1,)*Index!CQ$22*(CU$15&lt;=$J33)*(1-CU$12)</f>
        <v>194579.06160090925</v>
      </c>
      <c r="CV33" s="747">
        <f>$G33*$H33*(1+$K33)^MAX(ROUNDUP(IFERROR(DATEDIF($I33-1,CV$15+1,"m"),)/12,)-1,)*Index!CR$22*(CV$15&lt;=$J33)*(1-CV$12)</f>
        <v>194579.06160090925</v>
      </c>
      <c r="CW33" s="747">
        <f>$G33*$H33*(1+$K33)^MAX(ROUNDUP(IFERROR(DATEDIF($I33-1,CW$15+1,"m"),)/12,)-1,)*Index!CS$22*(CW$15&lt;=$J33)*(1-CW$12)</f>
        <v>194579.06160090925</v>
      </c>
      <c r="CX33" s="747">
        <f>$G33*$H33*(1+$K33)^MAX(ROUNDUP(IFERROR(DATEDIF($I33-1,CX$15+1,"m"),)/12,)-1,)*Index!CT$22*(CX$15&lt;=$J33)*(1-CX$12)</f>
        <v>199443.53814093195</v>
      </c>
      <c r="CY33" s="747">
        <f>$G33*$H33*(1+$K33)^MAX(ROUNDUP(IFERROR(DATEDIF($I33-1,CY$15+1,"m"),)/12,)-1,)*Index!CU$22*(CY$15&lt;=$J33)*(1-CY$12)</f>
        <v>199443.53814093195</v>
      </c>
      <c r="CZ33" s="747">
        <f>$G33*$H33*(1+$K33)^MAX(ROUNDUP(IFERROR(DATEDIF($I33-1,CZ$15+1,"m"),)/12,)-1,)*Index!CV$22*(CZ$15&lt;=$J33)*(1-CZ$12)</f>
        <v>199443.53814093195</v>
      </c>
      <c r="DA33" s="747">
        <f>$G33*$H33*(1+$K33)^MAX(ROUNDUP(IFERROR(DATEDIF($I33-1,DA$15+1,"m"),)/12,)-1,)*Index!CW$22*(DA$15&lt;=$J33)*(1-DA$12)</f>
        <v>199443.53814093195</v>
      </c>
      <c r="DB33" s="747">
        <f>$G33*$H33*(1+$K33)^MAX(ROUNDUP(IFERROR(DATEDIF($I33-1,DB$15+1,"m"),)/12,)-1,)*Index!CX$22*(DB$15&lt;=$J33)*(1-DB$12)</f>
        <v>199443.53814093195</v>
      </c>
      <c r="DC33" s="747">
        <f>$G33*$H33*(1+$K33)^MAX(ROUNDUP(IFERROR(DATEDIF($I33-1,DC$15+1,"m"),)/12,)-1,)*Index!CY$22*(DC$15&lt;=$J33)*(1-DC$12)</f>
        <v>0</v>
      </c>
      <c r="DD33" s="747">
        <f>$G33*$H33*(1+$K33)^MAX(ROUNDUP(IFERROR(DATEDIF($I33-1,DD$15+1,"m"),)/12,)-1,)*Index!CZ$22*(DD$15&lt;=$J33)*(1-DD$12)</f>
        <v>0</v>
      </c>
      <c r="DE33" s="747">
        <f>$G33*$H33*(1+$K33)^MAX(ROUNDUP(IFERROR(DATEDIF($I33-1,DE$15+1,"m"),)/12,)-1,)*Index!DA$22*(DE$15&lt;=$J33)*(1-DE$12)</f>
        <v>0</v>
      </c>
      <c r="DF33" s="747">
        <f>$G33*$H33*(1+$K33)^MAX(ROUNDUP(IFERROR(DATEDIF($I33-1,DF$15+1,"m"),)/12,)-1,)*Index!DB$22*(DF$15&lt;=$J33)*(1-DF$12)</f>
        <v>0</v>
      </c>
      <c r="DG33" s="747">
        <f>$G33*$H33*(1+$K33)^MAX(ROUNDUP(IFERROR(DATEDIF($I33-1,DG$15+1,"m"),)/12,)-1,)*Index!DC$22*(DG$15&lt;=$J33)*(1-DG$12)</f>
        <v>0</v>
      </c>
      <c r="DH33" s="747">
        <f>$G33*$H33*(1+$K33)^MAX(ROUNDUP(IFERROR(DATEDIF($I33-1,DH$15+1,"m"),)/12,)-1,)*Index!DD$22*(DH$15&lt;=$J33)*(1-DH$12)</f>
        <v>0</v>
      </c>
      <c r="DI33" s="747">
        <f>$G33*$H33*(1+$K33)^MAX(ROUNDUP(IFERROR(DATEDIF($I33-1,DI$15+1,"m"),)/12,)-1,)*Index!DE$22*(DI$15&lt;=$J33)*(1-DI$12)</f>
        <v>0</v>
      </c>
      <c r="DJ33" s="747">
        <f>$G33*$H33*(1+$K33)^MAX(ROUNDUP(IFERROR(DATEDIF($I33-1,DJ$15+1,"m"),)/12,)-1,)*Index!DF$22*(DJ$15&lt;=$J33)*(1-DJ$12)</f>
        <v>0</v>
      </c>
      <c r="DK33" s="747">
        <f>$G33*$H33*(1+$K33)^MAX(ROUNDUP(IFERROR(DATEDIF($I33-1,DK$15+1,"m"),)/12,)-1,)*Index!DG$22*(DK$15&lt;=$J33)*(1-DK$12)</f>
        <v>0</v>
      </c>
      <c r="DL33" s="747">
        <f>$G33*$H33*(1+$K33)^MAX(ROUNDUP(IFERROR(DATEDIF($I33-1,DL$15+1,"m"),)/12,)-1,)*Index!DH$22*(DL$15&lt;=$J33)*(1-DL$12)</f>
        <v>0</v>
      </c>
      <c r="DM33" s="747">
        <f>$G33*$H33*(1+$K33)^MAX(ROUNDUP(IFERROR(DATEDIF($I33-1,DM$15+1,"m"),)/12,)-1,)*Index!DI$22*(DM$15&lt;=$J33)*(1-DM$12)</f>
        <v>0</v>
      </c>
      <c r="DN33" s="747">
        <f>$G33*$H33*(1+$K33)^MAX(ROUNDUP(IFERROR(DATEDIF($I33-1,DN$15+1,"m"),)/12,)-1,)*Index!DJ$22*(DN$15&lt;=$J33)*(1-DN$12)</f>
        <v>0</v>
      </c>
      <c r="DO33" s="747">
        <f>$G33*$H33*(1+$K33)^MAX(ROUNDUP(IFERROR(DATEDIF($I33-1,DO$15+1,"m"),)/12,)-1,)*Index!DK$22*(DO$15&lt;=$J33)*(1-DO$12)</f>
        <v>0</v>
      </c>
      <c r="DP33" s="747">
        <f>$G33*$H33*(1+$K33)^MAX(ROUNDUP(IFERROR(DATEDIF($I33-1,DP$15+1,"m"),)/12,)-1,)*Index!DL$22*(DP$15&lt;=$J33)*(1-DP$12)</f>
        <v>0</v>
      </c>
      <c r="DQ33" s="747">
        <f>$G33*$H33*(1+$K33)^MAX(ROUNDUP(IFERROR(DATEDIF($I33-1,DQ$15+1,"m"),)/12,)-1,)*Index!DM$22*(DQ$15&lt;=$J33)*(1-DQ$12)</f>
        <v>0</v>
      </c>
      <c r="DR33" s="747">
        <f>$G33*$H33*(1+$K33)^MAX(ROUNDUP(IFERROR(DATEDIF($I33-1,DR$15+1,"m"),)/12,)-1,)*Index!DN$22*(DR$15&lt;=$J33)*(1-DR$12)</f>
        <v>0</v>
      </c>
      <c r="DS33" s="747">
        <f>$G33*$H33*(1+$K33)^MAX(ROUNDUP(IFERROR(DATEDIF($I33-1,DS$15+1,"m"),)/12,)-1,)*Index!DO$22*(DS$15&lt;=$J33)*(1-DS$12)</f>
        <v>0</v>
      </c>
      <c r="DT33" s="747">
        <f>$G33*$H33*(1+$K33)^MAX(ROUNDUP(IFERROR(DATEDIF($I33-1,DT$15+1,"m"),)/12,)-1,)*Index!DP$22*(DT$15&lt;=$J33)*(1-DT$12)</f>
        <v>0</v>
      </c>
      <c r="DU33" s="747">
        <f>$G33*$H33*(1+$K33)^MAX(ROUNDUP(IFERROR(DATEDIF($I33-1,DU$15+1,"m"),)/12,)-1,)*Index!DQ$22*(DU$15&lt;=$J33)*(1-DU$12)</f>
        <v>0</v>
      </c>
      <c r="DV33" s="747">
        <f>$G33*$H33*(1+$K33)^MAX(ROUNDUP(IFERROR(DATEDIF($I33-1,DV$15+1,"m"),)/12,)-1,)*Index!DR$22*(DV$15&lt;=$J33)*(1-DV$12)</f>
        <v>0</v>
      </c>
      <c r="DW33" s="747">
        <f>$G33*$H33*(1+$K33)^MAX(ROUNDUP(IFERROR(DATEDIF($I33-1,DW$15+1,"m"),)/12,)-1,)*Index!DS$22*(DW$15&lt;=$J33)*(1-DW$12)</f>
        <v>0</v>
      </c>
      <c r="DX33" s="747">
        <f>$G33*$H33*(1+$K33)^MAX(ROUNDUP(IFERROR(DATEDIF($I33-1,DX$15+1,"m"),)/12,)-1,)*Index!DT$22*(DX$15&lt;=$J33)*(1-DX$12)</f>
        <v>0</v>
      </c>
      <c r="DY33" s="747">
        <f>$G33*$H33*(1+$K33)^MAX(ROUNDUP(IFERROR(DATEDIF($I33-1,DY$15+1,"m"),)/12,)-1,)*Index!DU$22*(DY$15&lt;=$J33)*(1-DY$12)</f>
        <v>0</v>
      </c>
      <c r="DZ33" s="747">
        <f>$G33*$H33*(1+$K33)^MAX(ROUNDUP(IFERROR(DATEDIF($I33-1,DZ$15+1,"m"),)/12,)-1,)*Index!DV$22*(DZ$15&lt;=$J33)*(1-DZ$12)</f>
        <v>0</v>
      </c>
      <c r="EA33" s="747">
        <f>$G33*$H33*(1+$K33)^MAX(ROUNDUP(IFERROR(DATEDIF($I33-1,EA$15+1,"m"),)/12,)-1,)*Index!DW$22*(EA$15&lt;=$J33)*(1-EA$12)</f>
        <v>0</v>
      </c>
      <c r="EB33" s="747">
        <f>$G33*$H33*(1+$K33)^MAX(ROUNDUP(IFERROR(DATEDIF($I33-1,EB$15+1,"m"),)/12,)-1,)*Index!DX$22*(EB$15&lt;=$J33)*(1-EB$12)</f>
        <v>0</v>
      </c>
      <c r="EC33" s="747">
        <f>$G33*$H33*(1+$K33)^MAX(ROUNDUP(IFERROR(DATEDIF($I33-1,EC$15+1,"m"),)/12,)-1,)*Index!DY$22*(EC$15&lt;=$J33)*(1-EC$12)</f>
        <v>0</v>
      </c>
      <c r="ED33" s="747">
        <f>$G33*$H33*(1+$K33)^MAX(ROUNDUP(IFERROR(DATEDIF($I33-1,ED$15+1,"m"),)/12,)-1,)*Index!DZ$22*(ED$15&lt;=$J33)*(1-ED$12)</f>
        <v>0</v>
      </c>
      <c r="EE33" s="747">
        <f>$G33*$H33*(1+$K33)^MAX(ROUNDUP(IFERROR(DATEDIF($I33-1,EE$15+1,"m"),)/12,)-1,)*Index!EA$22*(EE$15&lt;=$J33)*(1-EE$12)</f>
        <v>0</v>
      </c>
      <c r="EF33" s="747">
        <f>$G33*$H33*(1+$K33)^MAX(ROUNDUP(IFERROR(DATEDIF($I33-1,EF$15+1,"m"),)/12,)-1,)*Index!EB$22*(EF$15&lt;=$J33)*(1-EF$12)</f>
        <v>0</v>
      </c>
      <c r="EG33" s="747">
        <f>$G33*$H33*(1+$K33)^MAX(ROUNDUP(IFERROR(DATEDIF($I33-1,EG$15+1,"m"),)/12,)-1,)*Index!EC$22*(EG$15&lt;=$J33)*(1-EG$12)</f>
        <v>0</v>
      </c>
      <c r="EH33" s="747">
        <f>$G33*$H33*(1+$K33)^MAX(ROUNDUP(IFERROR(DATEDIF($I33-1,EH$15+1,"m"),)/12,)-1,)*Index!ED$22*(EH$15&lt;=$J33)*(1-EH$12)</f>
        <v>0</v>
      </c>
      <c r="EI33" s="747">
        <f>$G33*$H33*(1+$K33)^MAX(ROUNDUP(IFERROR(DATEDIF($I33-1,EI$15+1,"m"),)/12,)-1,)*Index!EE$22*(EI$15&lt;=$J33)*(1-EI$12)</f>
        <v>0</v>
      </c>
      <c r="EJ33" s="747">
        <f>$G33*$H33*(1+$K33)^MAX(ROUNDUP(IFERROR(DATEDIF($I33-1,EJ$15+1,"m"),)/12,)-1,)*Index!EF$22*(EJ$15&lt;=$J33)*(1-EJ$12)</f>
        <v>0</v>
      </c>
      <c r="EK33" s="747">
        <f>$G33*$H33*(1+$K33)^MAX(ROUNDUP(IFERROR(DATEDIF($I33-1,EK$15+1,"m"),)/12,)-1,)*Index!EG$22*(EK$15&lt;=$J33)*(1-EK$12)</f>
        <v>0</v>
      </c>
      <c r="EL33" s="747">
        <f>$G33*$H33*(1+$K33)^MAX(ROUNDUP(IFERROR(DATEDIF($I33-1,EL$15+1,"m"),)/12,)-1,)*Index!EH$22*(EL$15&lt;=$J33)*(1-EL$12)</f>
        <v>0</v>
      </c>
      <c r="EM33" s="747">
        <f>$G33*$H33*(1+$K33)^MAX(ROUNDUP(IFERROR(DATEDIF($I33-1,EM$15+1,"m"),)/12,)-1,)*Index!EI$22*(EM$15&lt;=$J33)*(1-EM$12)</f>
        <v>0</v>
      </c>
      <c r="EN33" s="747">
        <f>$G33*$H33*(1+$K33)^MAX(ROUNDUP(IFERROR(DATEDIF($I33-1,EN$15+1,"m"),)/12,)-1,)*Index!EJ$22*(EN$15&lt;=$J33)*(1-EN$12)</f>
        <v>0</v>
      </c>
      <c r="EO33" s="747">
        <f>$G33*$H33*(1+$K33)^MAX(ROUNDUP(IFERROR(DATEDIF($I33-1,EO$15+1,"m"),)/12,)-1,)*Index!EK$22*(EO$15&lt;=$J33)*(1-EO$12)</f>
        <v>0</v>
      </c>
      <c r="EP33" s="747">
        <f>$G33*$H33*(1+$K33)^MAX(ROUNDUP(IFERROR(DATEDIF($I33-1,EP$15+1,"m"),)/12,)-1,)*Index!EL$22*(EP$15&lt;=$J33)*(1-EP$12)</f>
        <v>0</v>
      </c>
      <c r="EQ33" s="747">
        <f>$G33*$H33*(1+$K33)^MAX(ROUNDUP(IFERROR(DATEDIF($I33-1,EQ$15+1,"m"),)/12,)-1,)*Index!EM$22*(EQ$15&lt;=$J33)*(1-EQ$12)</f>
        <v>0</v>
      </c>
      <c r="ER33" s="747">
        <f>$G33*$H33*(1+$K33)^MAX(ROUNDUP(IFERROR(DATEDIF($I33-1,ER$15+1,"m"),)/12,)-1,)*Index!EN$22*(ER$15&lt;=$J33)*(1-ER$12)</f>
        <v>0</v>
      </c>
      <c r="ES33" s="747">
        <f>$G33*$H33*(1+$K33)^MAX(ROUNDUP(IFERROR(DATEDIF($I33-1,ES$15+1,"m"),)/12,)-1,)*Index!EO$22*(ES$15&lt;=$J33)*(1-ES$12)</f>
        <v>0</v>
      </c>
      <c r="ET33" s="747">
        <f>$G33*$H33*(1+$K33)^MAX(ROUNDUP(IFERROR(DATEDIF($I33-1,ET$15+1,"m"),)/12,)-1,)*Index!EP$22*(ET$15&lt;=$J33)*(1-ET$12)</f>
        <v>0</v>
      </c>
      <c r="EU33" s="747">
        <f>$G33*$H33*(1+$K33)^MAX(ROUNDUP(IFERROR(DATEDIF($I33-1,EU$15+1,"m"),)/12,)-1,)*Index!EQ$22*(EU$15&lt;=$J33)*(1-EU$12)</f>
        <v>0</v>
      </c>
    </row>
    <row r="34" spans="3:151" ht="11.25" customHeight="1">
      <c r="C34" s="728" t="s">
        <v>476</v>
      </c>
      <c r="D34" s="729"/>
      <c r="E34" s="729"/>
      <c r="F34" s="729"/>
      <c r="G34" s="729"/>
      <c r="H34" s="729"/>
      <c r="I34" s="729"/>
      <c r="J34" s="729"/>
      <c r="K34" s="729"/>
      <c r="L34" s="730"/>
      <c r="M34" s="731"/>
      <c r="N34" s="732">
        <f>SUM(N35:N51)</f>
        <v>58473943.500052102</v>
      </c>
      <c r="O34" s="733"/>
      <c r="P34" s="734">
        <f>SUM(P35:P51)</f>
        <v>0</v>
      </c>
      <c r="Q34" s="734">
        <f t="shared" ref="Q34:CB34" si="8">SUM(Q35:Q51)</f>
        <v>0</v>
      </c>
      <c r="R34" s="734">
        <f t="shared" si="8"/>
        <v>0</v>
      </c>
      <c r="S34" s="734">
        <f t="shared" si="8"/>
        <v>0</v>
      </c>
      <c r="T34" s="734">
        <f t="shared" si="8"/>
        <v>0</v>
      </c>
      <c r="U34" s="734">
        <f t="shared" si="8"/>
        <v>0</v>
      </c>
      <c r="V34" s="734">
        <f t="shared" si="8"/>
        <v>0</v>
      </c>
      <c r="W34" s="734">
        <f t="shared" si="8"/>
        <v>0</v>
      </c>
      <c r="X34" s="734">
        <f t="shared" si="8"/>
        <v>0</v>
      </c>
      <c r="Y34" s="734">
        <f t="shared" si="8"/>
        <v>0</v>
      </c>
      <c r="Z34" s="734">
        <f t="shared" si="8"/>
        <v>0</v>
      </c>
      <c r="AA34" s="734">
        <f t="shared" si="8"/>
        <v>0</v>
      </c>
      <c r="AB34" s="734">
        <f t="shared" si="8"/>
        <v>0</v>
      </c>
      <c r="AC34" s="734">
        <f t="shared" si="8"/>
        <v>0</v>
      </c>
      <c r="AD34" s="734">
        <f t="shared" si="8"/>
        <v>0</v>
      </c>
      <c r="AE34" s="734">
        <f t="shared" si="8"/>
        <v>0</v>
      </c>
      <c r="AF34" s="734">
        <f t="shared" si="8"/>
        <v>0</v>
      </c>
      <c r="AG34" s="734">
        <f t="shared" si="8"/>
        <v>0</v>
      </c>
      <c r="AH34" s="734">
        <f t="shared" si="8"/>
        <v>0</v>
      </c>
      <c r="AI34" s="734">
        <f t="shared" si="8"/>
        <v>0</v>
      </c>
      <c r="AJ34" s="734">
        <f t="shared" si="8"/>
        <v>0</v>
      </c>
      <c r="AK34" s="734">
        <f t="shared" si="8"/>
        <v>0</v>
      </c>
      <c r="AL34" s="734">
        <f t="shared" si="8"/>
        <v>0</v>
      </c>
      <c r="AM34" s="734">
        <f t="shared" si="8"/>
        <v>0</v>
      </c>
      <c r="AN34" s="734">
        <f t="shared" si="8"/>
        <v>0</v>
      </c>
      <c r="AO34" s="734">
        <f t="shared" si="8"/>
        <v>0</v>
      </c>
      <c r="AP34" s="734">
        <f t="shared" si="8"/>
        <v>0</v>
      </c>
      <c r="AQ34" s="734">
        <f t="shared" si="8"/>
        <v>0</v>
      </c>
      <c r="AR34" s="734">
        <f t="shared" si="8"/>
        <v>0</v>
      </c>
      <c r="AS34" s="734">
        <f t="shared" si="8"/>
        <v>0</v>
      </c>
      <c r="AT34" s="734">
        <f t="shared" si="8"/>
        <v>0</v>
      </c>
      <c r="AU34" s="734">
        <f t="shared" si="8"/>
        <v>0</v>
      </c>
      <c r="AV34" s="734">
        <f t="shared" si="8"/>
        <v>0</v>
      </c>
      <c r="AW34" s="734">
        <f t="shared" si="8"/>
        <v>133460.27809203733</v>
      </c>
      <c r="AX34" s="734">
        <f t="shared" si="8"/>
        <v>136796.78504433823</v>
      </c>
      <c r="AY34" s="734">
        <f t="shared" si="8"/>
        <v>136796.78504433823</v>
      </c>
      <c r="AZ34" s="734">
        <f t="shared" si="8"/>
        <v>136796.78504433823</v>
      </c>
      <c r="BA34" s="734">
        <f t="shared" si="8"/>
        <v>136796.78504433823</v>
      </c>
      <c r="BB34" s="734">
        <f t="shared" si="8"/>
        <v>136796.78504433823</v>
      </c>
      <c r="BC34" s="734">
        <f t="shared" si="8"/>
        <v>167881.06130738612</v>
      </c>
      <c r="BD34" s="734">
        <f t="shared" si="8"/>
        <v>223190.6683939966</v>
      </c>
      <c r="BE34" s="734">
        <f t="shared" si="8"/>
        <v>223190.6683939966</v>
      </c>
      <c r="BF34" s="734">
        <f t="shared" si="8"/>
        <v>223190.6683939966</v>
      </c>
      <c r="BG34" s="734">
        <f t="shared" si="8"/>
        <v>224307.779668487</v>
      </c>
      <c r="BH34" s="734">
        <f t="shared" si="8"/>
        <v>224307.779668487</v>
      </c>
      <c r="BI34" s="734">
        <f t="shared" si="8"/>
        <v>224307.779668487</v>
      </c>
      <c r="BJ34" s="734">
        <f t="shared" si="8"/>
        <v>227727.69929459546</v>
      </c>
      <c r="BK34" s="734">
        <f t="shared" si="8"/>
        <v>227727.69929459546</v>
      </c>
      <c r="BL34" s="734">
        <f t="shared" si="8"/>
        <v>227727.69929459546</v>
      </c>
      <c r="BM34" s="734">
        <f t="shared" si="8"/>
        <v>227727.69929459546</v>
      </c>
      <c r="BN34" s="734">
        <f t="shared" si="8"/>
        <v>229110.43947176071</v>
      </c>
      <c r="BO34" s="734">
        <f t="shared" si="8"/>
        <v>229887.54637833691</v>
      </c>
      <c r="BP34" s="734">
        <f t="shared" si="8"/>
        <v>229887.54637833691</v>
      </c>
      <c r="BQ34" s="734">
        <f t="shared" si="8"/>
        <v>229887.54637833691</v>
      </c>
      <c r="BR34" s="734">
        <f t="shared" si="8"/>
        <v>229887.54637833691</v>
      </c>
      <c r="BS34" s="734">
        <f t="shared" si="8"/>
        <v>229915.47416019917</v>
      </c>
      <c r="BT34" s="734">
        <f t="shared" si="8"/>
        <v>229915.47416019917</v>
      </c>
      <c r="BU34" s="734">
        <f t="shared" si="8"/>
        <v>229915.47416019917</v>
      </c>
      <c r="BV34" s="734">
        <f t="shared" si="8"/>
        <v>233420.89177696034</v>
      </c>
      <c r="BW34" s="734">
        <f t="shared" si="8"/>
        <v>233420.89177696034</v>
      </c>
      <c r="BX34" s="734">
        <f t="shared" si="8"/>
        <v>233420.89177696034</v>
      </c>
      <c r="BY34" s="734">
        <f t="shared" si="8"/>
        <v>233420.89177696034</v>
      </c>
      <c r="BZ34" s="734">
        <f t="shared" si="8"/>
        <v>234838.20045855475</v>
      </c>
      <c r="CA34" s="734">
        <f t="shared" si="8"/>
        <v>235634.73503779536</v>
      </c>
      <c r="CB34" s="734">
        <f t="shared" si="8"/>
        <v>235634.73503779536</v>
      </c>
      <c r="CC34" s="734">
        <f t="shared" ref="CC34:EN34" si="9">SUM(CC35:CC51)</f>
        <v>235634.73503779536</v>
      </c>
      <c r="CD34" s="734">
        <f t="shared" si="9"/>
        <v>235634.73503779536</v>
      </c>
      <c r="CE34" s="734">
        <f t="shared" si="9"/>
        <v>235663.36101420416</v>
      </c>
      <c r="CF34" s="734">
        <f t="shared" si="9"/>
        <v>235663.36101420416</v>
      </c>
      <c r="CG34" s="734">
        <f t="shared" si="9"/>
        <v>235663.36101420416</v>
      </c>
      <c r="CH34" s="734">
        <f t="shared" si="9"/>
        <v>239256.41407138435</v>
      </c>
      <c r="CI34" s="734">
        <f t="shared" si="9"/>
        <v>239256.41407138435</v>
      </c>
      <c r="CJ34" s="734">
        <f t="shared" si="9"/>
        <v>239256.41407138435</v>
      </c>
      <c r="CK34" s="734">
        <f t="shared" si="9"/>
        <v>239256.41407138435</v>
      </c>
      <c r="CL34" s="734">
        <f t="shared" si="9"/>
        <v>240709.15547001857</v>
      </c>
      <c r="CM34" s="734">
        <f t="shared" si="9"/>
        <v>241525.60341374017</v>
      </c>
      <c r="CN34" s="734">
        <f t="shared" si="9"/>
        <v>241525.60341374017</v>
      </c>
      <c r="CO34" s="734">
        <f t="shared" si="9"/>
        <v>241525.60341374017</v>
      </c>
      <c r="CP34" s="734">
        <f t="shared" si="9"/>
        <v>241525.60341374017</v>
      </c>
      <c r="CQ34" s="734">
        <f t="shared" si="9"/>
        <v>241554.94503955921</v>
      </c>
      <c r="CR34" s="734">
        <f t="shared" si="9"/>
        <v>241554.94503955921</v>
      </c>
      <c r="CS34" s="734">
        <f t="shared" si="9"/>
        <v>241554.94503955921</v>
      </c>
      <c r="CT34" s="734">
        <f t="shared" si="9"/>
        <v>245237.8244231689</v>
      </c>
      <c r="CU34" s="734">
        <f t="shared" si="9"/>
        <v>245237.8244231689</v>
      </c>
      <c r="CV34" s="734">
        <f t="shared" si="9"/>
        <v>245237.8244231689</v>
      </c>
      <c r="CW34" s="734">
        <f t="shared" si="9"/>
        <v>245237.8244231689</v>
      </c>
      <c r="CX34" s="734">
        <f t="shared" si="9"/>
        <v>246726.88435676898</v>
      </c>
      <c r="CY34" s="734">
        <f t="shared" si="9"/>
        <v>247563.74349908362</v>
      </c>
      <c r="CZ34" s="734">
        <f t="shared" si="9"/>
        <v>247563.74349908362</v>
      </c>
      <c r="DA34" s="734">
        <f t="shared" si="9"/>
        <v>247563.74349908362</v>
      </c>
      <c r="DB34" s="734">
        <f t="shared" si="9"/>
        <v>247563.74349908362</v>
      </c>
      <c r="DC34" s="734">
        <f t="shared" si="9"/>
        <v>1418690.5254083695</v>
      </c>
      <c r="DD34" s="734">
        <f t="shared" si="9"/>
        <v>1418690.5254083695</v>
      </c>
      <c r="DE34" s="734">
        <f t="shared" si="9"/>
        <v>1418690.5254083695</v>
      </c>
      <c r="DF34" s="734">
        <f t="shared" si="9"/>
        <v>1422465.4767765694</v>
      </c>
      <c r="DG34" s="734">
        <f t="shared" si="9"/>
        <v>1422465.4767765694</v>
      </c>
      <c r="DH34" s="734">
        <f t="shared" si="9"/>
        <v>1422465.4767765694</v>
      </c>
      <c r="DI34" s="734">
        <f t="shared" si="9"/>
        <v>1422708.8670601132</v>
      </c>
      <c r="DJ34" s="734">
        <f t="shared" si="9"/>
        <v>1429029.9425065238</v>
      </c>
      <c r="DK34" s="734">
        <f t="shared" si="9"/>
        <v>1433824.8399752295</v>
      </c>
      <c r="DL34" s="734">
        <f t="shared" si="9"/>
        <v>1529196.9805904694</v>
      </c>
      <c r="DM34" s="734">
        <f t="shared" si="9"/>
        <v>1529196.9805904694</v>
      </c>
      <c r="DN34" s="734">
        <f t="shared" si="9"/>
        <v>1534142.4616684054</v>
      </c>
      <c r="DO34" s="734">
        <f t="shared" si="9"/>
        <v>1538591.7888744005</v>
      </c>
      <c r="DP34" s="734">
        <f t="shared" si="9"/>
        <v>1538591.7888744005</v>
      </c>
      <c r="DQ34" s="734">
        <f t="shared" si="9"/>
        <v>1538591.7888744005</v>
      </c>
      <c r="DR34" s="734">
        <f t="shared" si="9"/>
        <v>1542461.1140268054</v>
      </c>
      <c r="DS34" s="734">
        <f t="shared" si="9"/>
        <v>1542461.1140268054</v>
      </c>
      <c r="DT34" s="734">
        <f t="shared" si="9"/>
        <v>1542461.1140268054</v>
      </c>
      <c r="DU34" s="734">
        <f t="shared" si="9"/>
        <v>1542710.5890674379</v>
      </c>
      <c r="DV34" s="734">
        <f t="shared" si="9"/>
        <v>1549189.6914000085</v>
      </c>
      <c r="DW34" s="734">
        <f t="shared" si="9"/>
        <v>1554104.461305432</v>
      </c>
      <c r="DX34" s="734">
        <f t="shared" si="9"/>
        <v>1567426.9051052311</v>
      </c>
      <c r="DY34" s="734">
        <f t="shared" si="9"/>
        <v>1567426.9051052311</v>
      </c>
      <c r="DZ34" s="734">
        <f t="shared" si="9"/>
        <v>1572496.0232101155</v>
      </c>
      <c r="EA34" s="734">
        <f t="shared" si="9"/>
        <v>1577056.5835962603</v>
      </c>
      <c r="EB34" s="734">
        <f t="shared" si="9"/>
        <v>1577056.5835962603</v>
      </c>
      <c r="EC34" s="734">
        <f t="shared" si="9"/>
        <v>1577056.5835962603</v>
      </c>
      <c r="ED34" s="734">
        <f t="shared" si="9"/>
        <v>1581022.6418774754</v>
      </c>
      <c r="EE34" s="734">
        <f t="shared" si="9"/>
        <v>1581022.6418774754</v>
      </c>
      <c r="EF34" s="734">
        <f t="shared" si="9"/>
        <v>1581022.6418774754</v>
      </c>
      <c r="EG34" s="734">
        <f t="shared" si="9"/>
        <v>0</v>
      </c>
      <c r="EH34" s="734">
        <f t="shared" si="9"/>
        <v>0</v>
      </c>
      <c r="EI34" s="734">
        <f t="shared" si="9"/>
        <v>0</v>
      </c>
      <c r="EJ34" s="734">
        <f t="shared" si="9"/>
        <v>0</v>
      </c>
      <c r="EK34" s="734">
        <f t="shared" si="9"/>
        <v>0</v>
      </c>
      <c r="EL34" s="734">
        <f t="shared" si="9"/>
        <v>0</v>
      </c>
      <c r="EM34" s="734">
        <f t="shared" si="9"/>
        <v>0</v>
      </c>
      <c r="EN34" s="734">
        <f t="shared" si="9"/>
        <v>0</v>
      </c>
      <c r="EO34" s="734">
        <f t="shared" ref="EO34:EU34" si="10">SUM(EO35:EO51)</f>
        <v>0</v>
      </c>
      <c r="EP34" s="734">
        <f t="shared" si="10"/>
        <v>0</v>
      </c>
      <c r="EQ34" s="734">
        <f t="shared" si="10"/>
        <v>0</v>
      </c>
      <c r="ER34" s="734">
        <f t="shared" si="10"/>
        <v>0</v>
      </c>
      <c r="ES34" s="734">
        <f t="shared" si="10"/>
        <v>0</v>
      </c>
      <c r="ET34" s="734">
        <f t="shared" si="10"/>
        <v>0</v>
      </c>
      <c r="EU34" s="734">
        <f t="shared" si="10"/>
        <v>0</v>
      </c>
    </row>
    <row r="35" spans="3:151" ht="11.25" customHeight="1">
      <c r="C35" s="735"/>
      <c r="D35" s="736" t="str">
        <f>'A&amp;R'!V6</f>
        <v>옥상</v>
      </c>
      <c r="E35" s="737" t="s">
        <v>850</v>
      </c>
      <c r="F35" s="737" t="str">
        <f>'A&amp;R'!X6</f>
        <v>태양광시설</v>
      </c>
      <c r="G35" s="751">
        <f>'A&amp;R'!AC6/1000</f>
        <v>15000</v>
      </c>
      <c r="H35" s="738">
        <f>'A&amp;R'!Y6</f>
        <v>0</v>
      </c>
      <c r="I35" s="739">
        <f>'A&amp;R'!AA6</f>
        <v>49979</v>
      </c>
      <c r="J35" s="739"/>
      <c r="K35" s="753">
        <f>'A&amp;R'!AF6</f>
        <v>2.5000000000000001E-2</v>
      </c>
      <c r="L35" s="740"/>
      <c r="M35" s="741"/>
      <c r="N35" s="742">
        <f>SUM(P35:EU35)</f>
        <v>0</v>
      </c>
      <c r="O35" s="733"/>
      <c r="P35" s="742">
        <f>$G35*$H35*(1+$K35)^MAX(ROUNDUP(IFERROR(DATEDIF($I17-1,P$15+1,"m"),)/12,)-1,)*Index!L$22*(P$15&gt;$I35)*(1-P$12)</f>
        <v>0</v>
      </c>
      <c r="Q35" s="742">
        <f>$G35*$H35*(1+$K35)^MAX(ROUNDUP(IFERROR(DATEDIF($I17-1,Q$15+1,"m"),)/12,)-1,)*Index!M$22*(Q$15&gt;$I35)*(1-Q$12)</f>
        <v>0</v>
      </c>
      <c r="R35" s="742">
        <f>$G35*$H35*(1+$K35)^MAX(ROUNDUP(IFERROR(DATEDIF($I17-1,R$15+1,"m"),)/12,)-1,)*Index!N$22*(R$15&gt;$I35)*(1-R$12)</f>
        <v>0</v>
      </c>
      <c r="S35" s="742">
        <f>$G35*$H35*(1+$K35)^MAX(ROUNDUP(IFERROR(DATEDIF($I17-1,S$15+1,"m"),)/12,)-1,)*Index!O$22*(S$15&gt;$I35)*(1-S$12)</f>
        <v>0</v>
      </c>
      <c r="T35" s="742">
        <f>$G35*$H35*(1+$K35)^MAX(ROUNDUP(IFERROR(DATEDIF($I17-1,T$15+1,"m"),)/12,)-1,)*Index!P$22*(T$15&gt;$I35)*(1-T$12)</f>
        <v>0</v>
      </c>
      <c r="U35" s="742">
        <f>$G35*$H35*(1+$K35)^MAX(ROUNDUP(IFERROR(DATEDIF($I17-1,U$15+1,"m"),)/12,)-1,)*Index!Q$22*(U$15&gt;$I35)*(1-U$12)</f>
        <v>0</v>
      </c>
      <c r="V35" s="742">
        <f>$G35*$H35*(1+$K35)^MAX(ROUNDUP(IFERROR(DATEDIF($I17-1,V$15+1,"m"),)/12,)-1,)*Index!R$22*(V$15&gt;$I35)*(1-V$12)</f>
        <v>0</v>
      </c>
      <c r="W35" s="742">
        <f>$G35*$H35*(1+$K35)^MAX(ROUNDUP(IFERROR(DATEDIF($I17-1,W$15+1,"m"),)/12,)-1,)*Index!S$22*(W$15&gt;$I35)*(1-W$12)</f>
        <v>0</v>
      </c>
      <c r="X35" s="742">
        <f>$G35*$H35*(1+$K35)^MAX(ROUNDUP(IFERROR(DATEDIF($I17-1,X$15+1,"m"),)/12,)-1,)*Index!T$22*(X$15&gt;$I35)*(1-X$12)</f>
        <v>0</v>
      </c>
      <c r="Y35" s="742">
        <f>$G35*$H35*(1+$K35)^MAX(ROUNDUP(IFERROR(DATEDIF($I17-1,Y$15+1,"m"),)/12,)-1,)*Index!U$22*(Y$15&gt;$I35)*(1-Y$12)</f>
        <v>0</v>
      </c>
      <c r="Z35" s="742">
        <f>$G35*$H35*(1+$K35)^MAX(ROUNDUP(IFERROR(DATEDIF($I17-1,Z$15+1,"m"),)/12,)-1,)*Index!V$22*(Z$15&gt;$I35)*(1-Z$12)</f>
        <v>0</v>
      </c>
      <c r="AA35" s="742">
        <f>$G35*$H35*(1+$K35)^MAX(ROUNDUP(IFERROR(DATEDIF($I17-1,AA$15+1,"m"),)/12,)-1,)*Index!W$22*(AA$15&gt;$I35)*(1-AA$12)</f>
        <v>0</v>
      </c>
      <c r="AB35" s="742">
        <f>$G35*$H35*(1+$K35)^MAX(ROUNDUP(IFERROR(DATEDIF($I17-1,AB$15+1,"m"),)/12,)-1,)*Index!X$22*(AB$15&gt;$I35)*(1-AB$12)</f>
        <v>0</v>
      </c>
      <c r="AC35" s="742">
        <f>$G35*$H35*(1+$K35)^MAX(ROUNDUP(IFERROR(DATEDIF($I17-1,AC$15+1,"m"),)/12,)-1,)*Index!Y$22*(AC$15&gt;$I35)*(1-AC$12)</f>
        <v>0</v>
      </c>
      <c r="AD35" s="742">
        <f>$G35*$H35*(1+$K35)^MAX(ROUNDUP(IFERROR(DATEDIF($I17-1,AD$15+1,"m"),)/12,)-1,)*Index!Z$22*(AD$15&gt;$I35)*(1-AD$12)</f>
        <v>0</v>
      </c>
      <c r="AE35" s="742">
        <f>$G35*$H35*(1+$K35)^MAX(ROUNDUP(IFERROR(DATEDIF($I17-1,AE$15+1,"m"),)/12,)-1,)*Index!AA$22*(AE$15&gt;$I35)*(1-AE$12)</f>
        <v>0</v>
      </c>
      <c r="AF35" s="742">
        <f>$G35*$H35*(1+$K35)^MAX(ROUNDUP(IFERROR(DATEDIF($I17-1,AF$15+1,"m"),)/12,)-1,)*Index!AB$22*(AF$15&gt;$I35)*(1-AF$12)</f>
        <v>0</v>
      </c>
      <c r="AG35" s="742">
        <f>$G35*$H35*(1+$K35)^MAX(ROUNDUP(IFERROR(DATEDIF($I17-1,AG$15+1,"m"),)/12,)-1,)*Index!AC$22*(AG$15&gt;$I35)*(1-AG$12)</f>
        <v>0</v>
      </c>
      <c r="AH35" s="742">
        <f>$G35*$H35*(1+$K35)^MAX(ROUNDUP(IFERROR(DATEDIF($I17-1,AH$15+1,"m"),)/12,)-1,)*Index!AD$22*(AH$15&gt;$I35)*(1-AH$12)</f>
        <v>0</v>
      </c>
      <c r="AI35" s="742">
        <f>$G35*$H35*(1+$K35)^MAX(ROUNDUP(IFERROR(DATEDIF($I17-1,AI$15+1,"m"),)/12,)-1,)*Index!AE$22*(AI$15&gt;$I35)*(1-AI$12)</f>
        <v>0</v>
      </c>
      <c r="AJ35" s="742">
        <f>$G35*$H35*(1+$K35)^MAX(ROUNDUP(IFERROR(DATEDIF($I17-1,AJ$15+1,"m"),)/12,)-1,)*Index!AF$22*(AJ$15&gt;$I35)*(1-AJ$12)</f>
        <v>0</v>
      </c>
      <c r="AK35" s="742">
        <f>$G35*$H35*(1+$K35)^MAX(ROUNDUP(IFERROR(DATEDIF($I17-1,AK$15+1,"m"),)/12,)-1,)*Index!AG$22*(AK$15&gt;$I35)*(1-AK$12)</f>
        <v>0</v>
      </c>
      <c r="AL35" s="742">
        <f>$G35*$H35*(1+$K35)^MAX(ROUNDUP(IFERROR(DATEDIF($I17-1,AL$15+1,"m"),)/12,)-1,)*Index!AH$22*(AL$15&gt;$I35)*(1-AL$12)</f>
        <v>0</v>
      </c>
      <c r="AM35" s="742">
        <f>$G35*$H35*(1+$K35)^MAX(ROUNDUP(IFERROR(DATEDIF($I17-1,AM$15+1,"m"),)/12,)-1,)*Index!AI$22*(AM$15&gt;$I35)*(1-AM$12)</f>
        <v>0</v>
      </c>
      <c r="AN35" s="742">
        <f>$G35*$H35*(1+$K35)^MAX(ROUNDUP(IFERROR(DATEDIF($I17-1,AN$15+1,"m"),)/12,)-1,)*Index!AJ$22*(AN$15&gt;$I35)*(1-AN$12)</f>
        <v>0</v>
      </c>
      <c r="AO35" s="742">
        <f>$G35*$H35*(1+$K35)^MAX(ROUNDUP(IFERROR(DATEDIF($I17-1,AO$15+1,"m"),)/12,)-1,)*Index!AK$22*(AO$15&gt;$I35)*(1-AO$12)</f>
        <v>0</v>
      </c>
      <c r="AP35" s="742">
        <f>$G35*$H35*(1+$K35)^MAX(ROUNDUP(IFERROR(DATEDIF($I17-1,AP$15+1,"m"),)/12,)-1,)*Index!AL$22*(AP$15&gt;$I35)*(1-AP$12)</f>
        <v>0</v>
      </c>
      <c r="AQ35" s="742">
        <f>$G35*$H35*(1+$K35)^MAX(ROUNDUP(IFERROR(DATEDIF($I17-1,AQ$15+1,"m"),)/12,)-1,)*Index!AM$22*(AQ$15&gt;$I35)*(1-AQ$12)</f>
        <v>0</v>
      </c>
      <c r="AR35" s="742">
        <f>$G35*$H35*(1+$K35)^MAX(ROUNDUP(IFERROR(DATEDIF($I17-1,AR$15+1,"m"),)/12,)-1,)*Index!AN$22*(AR$15&gt;$I35)*(1-AR$12)</f>
        <v>0</v>
      </c>
      <c r="AS35" s="742">
        <f>$G35*$H35*(1+$K35)^MAX(ROUNDUP(IFERROR(DATEDIF($I17-1,AS$15+1,"m"),)/12,)-1,)*Index!AO$22*(AS$15&gt;$I35)*(1-AS$12)</f>
        <v>0</v>
      </c>
      <c r="AT35" s="742">
        <f>$G35*$H35*(1+$K35)^MAX(ROUNDUP(IFERROR(DATEDIF($I17-1,AT$15+1,"m"),)/12,)-1,)*Index!AP$22*(AT$15&gt;$I35)*(1-AT$12)</f>
        <v>0</v>
      </c>
      <c r="AU35" s="742">
        <f>$G35*$H35*(1+$K35)^MAX(ROUNDUP(IFERROR(DATEDIF($I17-1,AU$15+1,"m"),)/12,)-1,)*Index!AQ$22*(AU$15&gt;$I35)*(1-AU$12)</f>
        <v>0</v>
      </c>
      <c r="AV35" s="742">
        <f>$G35*$H35*(1+$K35)^MAX(ROUNDUP(IFERROR(DATEDIF($I17-1,AV$15+1,"m"),)/12,)-1,)*Index!AR$22*(AV$15&gt;$I35)*(1-AV$12)</f>
        <v>0</v>
      </c>
      <c r="AW35" s="742">
        <f>$G35*$H35*(1+$K35)^MAX(ROUNDUP(IFERROR(DATEDIF($I17-1,AW$15+1,"m"),)/12,)-1,)*Index!AS$22*(AW$15&gt;$I35)*(1-AW$12)</f>
        <v>0</v>
      </c>
      <c r="AX35" s="742">
        <f>$G35*$H35*(1+$K35)^MAX(ROUNDUP(IFERROR(DATEDIF($I17-1,AX$15+1,"m"),)/12,)-1,)*Index!AT$22*(AX$15&gt;$I35)*(1-AX$12)</f>
        <v>0</v>
      </c>
      <c r="AY35" s="742">
        <f>$G35*$H35*(1+$K35)^MAX(ROUNDUP(IFERROR(DATEDIF($I17-1,AY$15+1,"m"),)/12,)-1,)*Index!AU$22*(AY$15&gt;$I35)*(1-AY$12)</f>
        <v>0</v>
      </c>
      <c r="AZ35" s="742">
        <f>$G35*$H35*(1+$K35)^MAX(ROUNDUP(IFERROR(DATEDIF($I17-1,AZ$15+1,"m"),)/12,)-1,)*Index!AV$22*(AZ$15&gt;$I35)*(1-AZ$12)</f>
        <v>0</v>
      </c>
      <c r="BA35" s="742">
        <f>$G35*$H35*(1+$K35)^MAX(ROUNDUP(IFERROR(DATEDIF($I17-1,BA$15+1,"m"),)/12,)-1,)*Index!AW$22*(BA$15&gt;$I35)*(1-BA$12)</f>
        <v>0</v>
      </c>
      <c r="BB35" s="742">
        <f>$G35*$H35*(1+$K35)^MAX(ROUNDUP(IFERROR(DATEDIF($I17-1,BB$15+1,"m"),)/12,)-1,)*Index!AX$22*(BB$15&gt;$I35)*(1-BB$12)</f>
        <v>0</v>
      </c>
      <c r="BC35" s="742">
        <f>$G35*$H35*(1+$K35)^MAX(ROUNDUP(IFERROR(DATEDIF($I17-1,BC$15+1,"m"),)/12,)-1,)*Index!AY$22*(BC$15&gt;$I35)*(1-BC$12)</f>
        <v>0</v>
      </c>
      <c r="BD35" s="742">
        <f>$G35*$H35*(1+$K35)^MAX(ROUNDUP(IFERROR(DATEDIF($I17-1,BD$15+1,"m"),)/12,)-1,)*Index!AZ$22*(BD$15&gt;$I35)*(1-BD$12)</f>
        <v>0</v>
      </c>
      <c r="BE35" s="742">
        <f>$G35*$H35*(1+$K35)^MAX(ROUNDUP(IFERROR(DATEDIF($I17-1,BE$15+1,"m"),)/12,)-1,)*Index!BA$22*(BE$15&gt;$I35)*(1-BE$12)</f>
        <v>0</v>
      </c>
      <c r="BF35" s="742">
        <f>$G35*$H35*(1+$K35)^MAX(ROUNDUP(IFERROR(DATEDIF($I17-1,BF$15+1,"m"),)/12,)-1,)*Index!BB$22*(BF$15&gt;$I35)*(1-BF$12)</f>
        <v>0</v>
      </c>
      <c r="BG35" s="742">
        <f>$G35*$H35*(1+$K35)^MAX(ROUNDUP(IFERROR(DATEDIF($I17-1,BG$15+1,"m"),)/12,)-1,)*Index!BC$22*(BG$15&gt;$I35)*(1-BG$12)</f>
        <v>0</v>
      </c>
      <c r="BH35" s="742">
        <f>$G35*$H35*(1+$K35)^MAX(ROUNDUP(IFERROR(DATEDIF($I17-1,BH$15+1,"m"),)/12,)-1,)*Index!BD$22*(BH$15&gt;$I35)*(1-BH$12)</f>
        <v>0</v>
      </c>
      <c r="BI35" s="742">
        <f>$G35*$H35*(1+$K35)^MAX(ROUNDUP(IFERROR(DATEDIF($I17-1,BI$15+1,"m"),)/12,)-1,)*Index!BE$22*(BI$15&gt;$I35)*(1-BI$12)</f>
        <v>0</v>
      </c>
      <c r="BJ35" s="742">
        <f>$G35*$H35*(1+$K35)^MAX(ROUNDUP(IFERROR(DATEDIF($I17-1,BJ$15+1,"m"),)/12,)-1,)*Index!BF$22*(BJ$15&gt;$I35)*(1-BJ$12)</f>
        <v>0</v>
      </c>
      <c r="BK35" s="742">
        <f>$G35*$H35*(1+$K35)^MAX(ROUNDUP(IFERROR(DATEDIF($I17-1,BK$15+1,"m"),)/12,)-1,)*Index!BG$22*(BK$15&gt;$I35)*(1-BK$12)</f>
        <v>0</v>
      </c>
      <c r="BL35" s="742">
        <f>$G35*$H35*(1+$K35)^MAX(ROUNDUP(IFERROR(DATEDIF($I17-1,BL$15+1,"m"),)/12,)-1,)*Index!BH$22*(BL$15&gt;$I35)*(1-BL$12)</f>
        <v>0</v>
      </c>
      <c r="BM35" s="742">
        <f>$G35*$H35*(1+$K35)^MAX(ROUNDUP(IFERROR(DATEDIF($I17-1,BM$15+1,"m"),)/12,)-1,)*Index!BI$22*(BM$15&gt;$I35)*(1-BM$12)</f>
        <v>0</v>
      </c>
      <c r="BN35" s="742">
        <f>$G35*$H35*(1+$K35)^MAX(ROUNDUP(IFERROR(DATEDIF($I17-1,BN$15+1,"m"),)/12,)-1,)*Index!BJ$22*(BN$15&gt;$I35)*(1-BN$12)</f>
        <v>0</v>
      </c>
      <c r="BO35" s="742">
        <f>$G35*$H35*(1+$K35)^MAX(ROUNDUP(IFERROR(DATEDIF($I17-1,BO$15+1,"m"),)/12,)-1,)*Index!BK$22*(BO$15&gt;$I35)*(1-BO$12)</f>
        <v>0</v>
      </c>
      <c r="BP35" s="742">
        <f>$G35*$H35*(1+$K35)^MAX(ROUNDUP(IFERROR(DATEDIF($I17-1,BP$15+1,"m"),)/12,)-1,)*Index!BL$22*(BP$15&gt;$I35)*(1-BP$12)</f>
        <v>0</v>
      </c>
      <c r="BQ35" s="742">
        <f>$G35*$H35*(1+$K35)^MAX(ROUNDUP(IFERROR(DATEDIF($I17-1,BQ$15+1,"m"),)/12,)-1,)*Index!BM$22*(BQ$15&gt;$I35)*(1-BQ$12)</f>
        <v>0</v>
      </c>
      <c r="BR35" s="742">
        <f>$G35*$H35*(1+$K35)^MAX(ROUNDUP(IFERROR(DATEDIF($I17-1,BR$15+1,"m"),)/12,)-1,)*Index!BN$22*(BR$15&gt;$I35)*(1-BR$12)</f>
        <v>0</v>
      </c>
      <c r="BS35" s="742">
        <f>$G35*$H35*(1+$K35)^MAX(ROUNDUP(IFERROR(DATEDIF($I17-1,BS$15+1,"m"),)/12,)-1,)*Index!BO$22*(BS$15&gt;$I35)*(1-BS$12)</f>
        <v>0</v>
      </c>
      <c r="BT35" s="742">
        <f>$G35*$H35*(1+$K35)^MAX(ROUNDUP(IFERROR(DATEDIF($I17-1,BT$15+1,"m"),)/12,)-1,)*Index!BP$22*(BT$15&gt;$I35)*(1-BT$12)</f>
        <v>0</v>
      </c>
      <c r="BU35" s="742">
        <f>$G35*$H35*(1+$K35)^MAX(ROUNDUP(IFERROR(DATEDIF($I17-1,BU$15+1,"m"),)/12,)-1,)*Index!BQ$22*(BU$15&gt;$I35)*(1-BU$12)</f>
        <v>0</v>
      </c>
      <c r="BV35" s="742">
        <f>$G35*$H35*(1+$K35)^MAX(ROUNDUP(IFERROR(DATEDIF($I17-1,BV$15+1,"m"),)/12,)-1,)*Index!BR$22*(BV$15&gt;$I35)*(1-BV$12)</f>
        <v>0</v>
      </c>
      <c r="BW35" s="742">
        <f>$G35*$H35*(1+$K35)^MAX(ROUNDUP(IFERROR(DATEDIF($I17-1,BW$15+1,"m"),)/12,)-1,)*Index!BS$22*(BW$15&gt;$I35)*(1-BW$12)</f>
        <v>0</v>
      </c>
      <c r="BX35" s="742">
        <f>$G35*$H35*(1+$K35)^MAX(ROUNDUP(IFERROR(DATEDIF($I17-1,BX$15+1,"m"),)/12,)-1,)*Index!BT$22*(BX$15&gt;$I35)*(1-BX$12)</f>
        <v>0</v>
      </c>
      <c r="BY35" s="742">
        <f>$G35*$H35*(1+$K35)^MAX(ROUNDUP(IFERROR(DATEDIF($I17-1,BY$15+1,"m"),)/12,)-1,)*Index!BU$22*(BY$15&gt;$I35)*(1-BY$12)</f>
        <v>0</v>
      </c>
      <c r="BZ35" s="742">
        <f>$G35*$H35*(1+$K35)^MAX(ROUNDUP(IFERROR(DATEDIF($I17-1,BZ$15+1,"m"),)/12,)-1,)*Index!BV$22*(BZ$15&gt;$I35)*(1-BZ$12)</f>
        <v>0</v>
      </c>
      <c r="CA35" s="742">
        <f>$G35*$H35*(1+$K35)^MAX(ROUNDUP(IFERROR(DATEDIF($I17-1,CA$15+1,"m"),)/12,)-1,)*Index!BW$22*(CA$15&gt;$I35)*(1-CA$12)</f>
        <v>0</v>
      </c>
      <c r="CB35" s="742">
        <f>$G35*$H35*(1+$K35)^MAX(ROUNDUP(IFERROR(DATEDIF($I17-1,CB$15+1,"m"),)/12,)-1,)*Index!BX$22*(CB$15&gt;$I35)*(1-CB$12)</f>
        <v>0</v>
      </c>
      <c r="CC35" s="742">
        <f>$G35*$H35*(1+$K35)^MAX(ROUNDUP(IFERROR(DATEDIF($I17-1,CC$15+1,"m"),)/12,)-1,)*Index!BY$22*(CC$15&gt;$I35)*(1-CC$12)</f>
        <v>0</v>
      </c>
      <c r="CD35" s="742">
        <f>$G35*$H35*(1+$K35)^MAX(ROUNDUP(IFERROR(DATEDIF($I17-1,CD$15+1,"m"),)/12,)-1,)*Index!BZ$22*(CD$15&gt;$I35)*(1-CD$12)</f>
        <v>0</v>
      </c>
      <c r="CE35" s="742">
        <f>$G35*$H35*(1+$K35)^MAX(ROUNDUP(IFERROR(DATEDIF($I17-1,CE$15+1,"m"),)/12,)-1,)*Index!CA$22*(CE$15&gt;$I35)*(1-CE$12)</f>
        <v>0</v>
      </c>
      <c r="CF35" s="742">
        <f>$G35*$H35*(1+$K35)^MAX(ROUNDUP(IFERROR(DATEDIF($I17-1,CF$15+1,"m"),)/12,)-1,)*Index!CB$22*(CF$15&gt;$I35)*(1-CF$12)</f>
        <v>0</v>
      </c>
      <c r="CG35" s="742">
        <f>$G35*$H35*(1+$K35)^MAX(ROUNDUP(IFERROR(DATEDIF($I17-1,CG$15+1,"m"),)/12,)-1,)*Index!CC$22*(CG$15&gt;$I35)*(1-CG$12)</f>
        <v>0</v>
      </c>
      <c r="CH35" s="742">
        <f>$G35*$H35*(1+$K35)^MAX(ROUNDUP(IFERROR(DATEDIF($I17-1,CH$15+1,"m"),)/12,)-1,)*Index!CD$22*(CH$15&gt;$I35)*(1-CH$12)</f>
        <v>0</v>
      </c>
      <c r="CI35" s="742">
        <f>$G35*$H35*(1+$K35)^MAX(ROUNDUP(IFERROR(DATEDIF($I17-1,CI$15+1,"m"),)/12,)-1,)*Index!CE$22*(CI$15&gt;$I35)*(1-CI$12)</f>
        <v>0</v>
      </c>
      <c r="CJ35" s="742">
        <f>$G35*$H35*(1+$K35)^MAX(ROUNDUP(IFERROR(DATEDIF($I17-1,CJ$15+1,"m"),)/12,)-1,)*Index!CF$22*(CJ$15&gt;$I35)*(1-CJ$12)</f>
        <v>0</v>
      </c>
      <c r="CK35" s="742">
        <f>$G35*$H35*(1+$K35)^MAX(ROUNDUP(IFERROR(DATEDIF($I17-1,CK$15+1,"m"),)/12,)-1,)*Index!CG$22*(CK$15&gt;$I35)*(1-CK$12)</f>
        <v>0</v>
      </c>
      <c r="CL35" s="742">
        <f>$G35*$H35*(1+$K35)^MAX(ROUNDUP(IFERROR(DATEDIF($I17-1,CL$15+1,"m"),)/12,)-1,)*Index!CH$22*(CL$15&gt;$I35)*(1-CL$12)</f>
        <v>0</v>
      </c>
      <c r="CM35" s="742">
        <f>$G35*$H35*(1+$K35)^MAX(ROUNDUP(IFERROR(DATEDIF($I17-1,CM$15+1,"m"),)/12,)-1,)*Index!CI$22*(CM$15&gt;$I35)*(1-CM$12)</f>
        <v>0</v>
      </c>
      <c r="CN35" s="742">
        <f>$G35*$H35*(1+$K35)^MAX(ROUNDUP(IFERROR(DATEDIF($I17-1,CN$15+1,"m"),)/12,)-1,)*Index!CJ$22*(CN$15&gt;$I35)*(1-CN$12)</f>
        <v>0</v>
      </c>
      <c r="CO35" s="742">
        <f>$G35*$H35*(1+$K35)^MAX(ROUNDUP(IFERROR(DATEDIF($I17-1,CO$15+1,"m"),)/12,)-1,)*Index!CK$22*(CO$15&gt;$I35)*(1-CO$12)</f>
        <v>0</v>
      </c>
      <c r="CP35" s="742">
        <f>$G35*$H35*(1+$K35)^MAX(ROUNDUP(IFERROR(DATEDIF($I17-1,CP$15+1,"m"),)/12,)-1,)*Index!CL$22*(CP$15&gt;$I35)*(1-CP$12)</f>
        <v>0</v>
      </c>
      <c r="CQ35" s="742">
        <f>$G35*$H35*(1+$K35)^MAX(ROUNDUP(IFERROR(DATEDIF($I17-1,CQ$15+1,"m"),)/12,)-1,)*Index!CM$22*(CQ$15&gt;$I35)*(1-CQ$12)</f>
        <v>0</v>
      </c>
      <c r="CR35" s="742">
        <f>$G35*$H35*(1+$K35)^MAX(ROUNDUP(IFERROR(DATEDIF($I17-1,CR$15+1,"m"),)/12,)-1,)*Index!CN$22*(CR$15&gt;$I35)*(1-CR$12)</f>
        <v>0</v>
      </c>
      <c r="CS35" s="742">
        <f>$G35*$H35*(1+$K35)^MAX(ROUNDUP(IFERROR(DATEDIF($I17-1,CS$15+1,"m"),)/12,)-1,)*Index!CO$22*(CS$15&gt;$I35)*(1-CS$12)</f>
        <v>0</v>
      </c>
      <c r="CT35" s="742">
        <f>$G35*$H35*(1+$K35)^MAX(ROUNDUP(IFERROR(DATEDIF($I17-1,CT$15+1,"m"),)/12,)-1,)*Index!CP$22*(CT$15&gt;$I35)*(1-CT$12)</f>
        <v>0</v>
      </c>
      <c r="CU35" s="742">
        <f>$G35*$H35*(1+$K35)^MAX(ROUNDUP(IFERROR(DATEDIF($I17-1,CU$15+1,"m"),)/12,)-1,)*Index!CQ$22*(CU$15&gt;$I35)*(1-CU$12)</f>
        <v>0</v>
      </c>
      <c r="CV35" s="742">
        <f>$G35*$H35*(1+$K35)^MAX(ROUNDUP(IFERROR(DATEDIF($I17-1,CV$15+1,"m"),)/12,)-1,)*Index!CR$22*(CV$15&gt;$I35)*(1-CV$12)</f>
        <v>0</v>
      </c>
      <c r="CW35" s="742">
        <f>$G35*$H35*(1+$K35)^MAX(ROUNDUP(IFERROR(DATEDIF($I17-1,CW$15+1,"m"),)/12,)-1,)*Index!CS$22*(CW$15&gt;$I35)*(1-CW$12)</f>
        <v>0</v>
      </c>
      <c r="CX35" s="742">
        <f>$G35*$H35*(1+$K35)^MAX(ROUNDUP(IFERROR(DATEDIF($I17-1,CX$15+1,"m"),)/12,)-1,)*Index!CT$22*(CX$15&gt;$I35)*(1-CX$12)</f>
        <v>0</v>
      </c>
      <c r="CY35" s="742">
        <f>$G35*$H35*(1+$K35)^MAX(ROUNDUP(IFERROR(DATEDIF($I17-1,CY$15+1,"m"),)/12,)-1,)*Index!CU$22*(CY$15&gt;$I35)*(1-CY$12)</f>
        <v>0</v>
      </c>
      <c r="CZ35" s="742">
        <f>$G35*$H35*(1+$K35)^MAX(ROUNDUP(IFERROR(DATEDIF($I17-1,CZ$15+1,"m"),)/12,)-1,)*Index!CV$22*(CZ$15&gt;$I35)*(1-CZ$12)</f>
        <v>0</v>
      </c>
      <c r="DA35" s="742">
        <f>$G35*$H35*(1+$K35)^MAX(ROUNDUP(IFERROR(DATEDIF($I17-1,DA$15+1,"m"),)/12,)-1,)*Index!CW$22*(DA$15&gt;$I35)*(1-DA$12)</f>
        <v>0</v>
      </c>
      <c r="DB35" s="742">
        <f>$G35*$H35*(1+$K35)^MAX(ROUNDUP(IFERROR(DATEDIF($I17-1,DB$15+1,"m"),)/12,)-1,)*Index!CX$22*(DB$15&gt;$I35)*(1-DB$12)</f>
        <v>0</v>
      </c>
      <c r="DC35" s="742">
        <f>$G35*$H35*(1+$K35)^MAX(ROUNDUP(IFERROR(DATEDIF($I17-1,DC$15+1,"m"),)/12,)-1,)*Index!CY$22*(DC$15&gt;$I35)*(1-DC$12)</f>
        <v>0</v>
      </c>
      <c r="DD35" s="742">
        <f>$G35*$H35*(1+$K35)^MAX(ROUNDUP(IFERROR(DATEDIF($I17-1,DD$15+1,"m"),)/12,)-1,)*Index!CZ$22*(DD$15&gt;$I35)*(1-DD$12)</f>
        <v>0</v>
      </c>
      <c r="DE35" s="742">
        <f>$G35*$H35*(1+$K35)^MAX(ROUNDUP(IFERROR(DATEDIF($I17-1,DE$15+1,"m"),)/12,)-1,)*Index!DA$22*(DE$15&gt;$I35)*(1-DE$12)</f>
        <v>0</v>
      </c>
      <c r="DF35" s="742">
        <f>$G35*$H35*(1+$K35)^MAX(ROUNDUP(IFERROR(DATEDIF($I17-1,DF$15+1,"m"),)/12,)-1,)*Index!DB$22*(DF$15&gt;$I35)*(1-DF$12)</f>
        <v>0</v>
      </c>
      <c r="DG35" s="742">
        <f>$G35*$H35*(1+$K35)^MAX(ROUNDUP(IFERROR(DATEDIF($I17-1,DG$15+1,"m"),)/12,)-1,)*Index!DC$22*(DG$15&gt;$I35)*(1-DG$12)</f>
        <v>0</v>
      </c>
      <c r="DH35" s="742">
        <f>$G35*$H35*(1+$K35)^MAX(ROUNDUP(IFERROR(DATEDIF($I17-1,DH$15+1,"m"),)/12,)-1,)*Index!DD$22*(DH$15&gt;$I35)*(1-DH$12)</f>
        <v>0</v>
      </c>
      <c r="DI35" s="742">
        <f>$G35*$H35*(1+$K35)^MAX(ROUNDUP(IFERROR(DATEDIF($I17-1,DI$15+1,"m"),)/12,)-1,)*Index!DE$22*(DI$15&gt;$I35)*(1-DI$12)</f>
        <v>0</v>
      </c>
      <c r="DJ35" s="742">
        <f>$G35*$H35*(1+$K35)^MAX(ROUNDUP(IFERROR(DATEDIF($I17-1,DJ$15+1,"m"),)/12,)-1,)*Index!DF$22*(DJ$15&gt;$I35)*(1-DJ$12)</f>
        <v>0</v>
      </c>
      <c r="DK35" s="742">
        <f>$G35*$H35*(1+$K35)^MAX(ROUNDUP(IFERROR(DATEDIF($I17-1,DK$15+1,"m"),)/12,)-1,)*Index!DG$22*(DK$15&gt;$I35)*(1-DK$12)</f>
        <v>0</v>
      </c>
      <c r="DL35" s="742">
        <f>$G35*$H35*(1+$K35)^MAX(ROUNDUP(IFERROR(DATEDIF($I17-1,DL$15+1,"m"),)/12,)-1,)*Index!DH$22*(DL$15&gt;$I35)*(1-DL$12)</f>
        <v>0</v>
      </c>
      <c r="DM35" s="742">
        <f>$G35*$H35*(1+$K35)^MAX(ROUNDUP(IFERROR(DATEDIF($I17-1,DM$15+1,"m"),)/12,)-1,)*Index!DI$22*(DM$15&gt;$I35)*(1-DM$12)</f>
        <v>0</v>
      </c>
      <c r="DN35" s="742">
        <f>$G35*$H35*(1+$K35)^MAX(ROUNDUP(IFERROR(DATEDIF($I17-1,DN$15+1,"m"),)/12,)-1,)*Index!DJ$22*(DN$15&gt;$I35)*(1-DN$12)</f>
        <v>0</v>
      </c>
      <c r="DO35" s="742">
        <f>$G35*$H35*(1+$K35)^MAX(ROUNDUP(IFERROR(DATEDIF($I17-1,DO$15+1,"m"),)/12,)-1,)*Index!DK$22*(DO$15&gt;$I35)*(1-DO$12)</f>
        <v>0</v>
      </c>
      <c r="DP35" s="742">
        <f>$G35*$H35*(1+$K35)^MAX(ROUNDUP(IFERROR(DATEDIF($I17-1,DP$15+1,"m"),)/12,)-1,)*Index!DL$22*(DP$15&gt;$I35)*(1-DP$12)</f>
        <v>0</v>
      </c>
      <c r="DQ35" s="742">
        <f>$G35*$H35*(1+$K35)^MAX(ROUNDUP(IFERROR(DATEDIF($I17-1,DQ$15+1,"m"),)/12,)-1,)*Index!DM$22*(DQ$15&gt;$I35)*(1-DQ$12)</f>
        <v>0</v>
      </c>
      <c r="DR35" s="742">
        <f>$G35*$H35*(1+$K35)^MAX(ROUNDUP(IFERROR(DATEDIF($I17-1,DR$15+1,"m"),)/12,)-1,)*Index!DN$22*(DR$15&gt;$I35)*(1-DR$12)</f>
        <v>0</v>
      </c>
      <c r="DS35" s="742">
        <f>$G35*$H35*(1+$K35)^MAX(ROUNDUP(IFERROR(DATEDIF($I17-1,DS$15+1,"m"),)/12,)-1,)*Index!DO$22*(DS$15&gt;$I35)*(1-DS$12)</f>
        <v>0</v>
      </c>
      <c r="DT35" s="742">
        <f>$G35*$H35*(1+$K35)^MAX(ROUNDUP(IFERROR(DATEDIF($I17-1,DT$15+1,"m"),)/12,)-1,)*Index!DP$22*(DT$15&gt;$I35)*(1-DT$12)</f>
        <v>0</v>
      </c>
      <c r="DU35" s="742">
        <f>$G35*$H35*(1+$K35)^MAX(ROUNDUP(IFERROR(DATEDIF($I17-1,DU$15+1,"m"),)/12,)-1,)*Index!DQ$22*(DU$15&gt;$I35)*(1-DU$12)</f>
        <v>0</v>
      </c>
      <c r="DV35" s="742">
        <f>$G35*$H35*(1+$K35)^MAX(ROUNDUP(IFERROR(DATEDIF($I17-1,DV$15+1,"m"),)/12,)-1,)*Index!DR$22*(DV$15&gt;$I35)*(1-DV$12)</f>
        <v>0</v>
      </c>
      <c r="DW35" s="742">
        <f>$G35*$H35*(1+$K35)^MAX(ROUNDUP(IFERROR(DATEDIF($I17-1,DW$15+1,"m"),)/12,)-1,)*Index!DS$22*(DW$15&gt;$I35)*(1-DW$12)</f>
        <v>0</v>
      </c>
      <c r="DX35" s="742">
        <f>$G35*$H35*(1+$K35)^MAX(ROUNDUP(IFERROR(DATEDIF($I17-1,DX$15+1,"m"),)/12,)-1,)*Index!DT$22*(DX$15&gt;$I35)*(1-DX$12)</f>
        <v>0</v>
      </c>
      <c r="DY35" s="742">
        <f>$G35*$H35*(1+$K35)^MAX(ROUNDUP(IFERROR(DATEDIF($I17-1,DY$15+1,"m"),)/12,)-1,)*Index!DU$22*(DY$15&gt;$I35)*(1-DY$12)</f>
        <v>0</v>
      </c>
      <c r="DZ35" s="742">
        <f>$G35*$H35*(1+$K35)^MAX(ROUNDUP(IFERROR(DATEDIF($I17-1,DZ$15+1,"m"),)/12,)-1,)*Index!DV$22*(DZ$15&gt;$I35)*(1-DZ$12)</f>
        <v>0</v>
      </c>
      <c r="EA35" s="742">
        <f>$G35*$H35*(1+$K35)^MAX(ROUNDUP(IFERROR(DATEDIF($I17-1,EA$15+1,"m"),)/12,)-1,)*Index!DW$22*(EA$15&gt;$I35)*(1-EA$12)</f>
        <v>0</v>
      </c>
      <c r="EB35" s="742">
        <f>$G35*$H35*(1+$K35)^MAX(ROUNDUP(IFERROR(DATEDIF($I17-1,EB$15+1,"m"),)/12,)-1,)*Index!DX$22*(EB$15&gt;$I35)*(1-EB$12)</f>
        <v>0</v>
      </c>
      <c r="EC35" s="742">
        <f>$G35*$H35*(1+$K35)^MAX(ROUNDUP(IFERROR(DATEDIF($I17-1,EC$15+1,"m"),)/12,)-1,)*Index!DY$22*(EC$15&gt;$I35)*(1-EC$12)</f>
        <v>0</v>
      </c>
      <c r="ED35" s="742">
        <f>$G35*$H35*(1+$K35)^MAX(ROUNDUP(IFERROR(DATEDIF($I17-1,ED$15+1,"m"),)/12,)-1,)*Index!DZ$22*(ED$15&gt;$I35)*(1-ED$12)</f>
        <v>0</v>
      </c>
      <c r="EE35" s="742">
        <f>$G35*$H35*(1+$K35)^MAX(ROUNDUP(IFERROR(DATEDIF($I17-1,EE$15+1,"m"),)/12,)-1,)*Index!EA$22*(EE$15&gt;$I35)*(1-EE$12)</f>
        <v>0</v>
      </c>
      <c r="EF35" s="742">
        <f>$G35*$H35*(1+$K35)^MAX(ROUNDUP(IFERROR(DATEDIF($I17-1,EF$15+1,"m"),)/12,)-1,)*Index!EB$22*(EF$15&gt;$I35)*(1-EF$12)</f>
        <v>0</v>
      </c>
      <c r="EG35" s="742">
        <f>$G35*$H35*(1+$K35)^MAX(ROUNDUP(IFERROR(DATEDIF($I17-1,EG$15+1,"m"),)/12,)-1,)*Index!EC$22*(EG$15&gt;$I35)*(1-EG$12)</f>
        <v>0</v>
      </c>
      <c r="EH35" s="742">
        <f>$G35*$H35*(1+$K35)^MAX(ROUNDUP(IFERROR(DATEDIF($I17-1,EH$15+1,"m"),)/12,)-1,)*Index!ED$22*(EH$15&gt;$I35)*(1-EH$12)</f>
        <v>0</v>
      </c>
      <c r="EI35" s="742">
        <f>$G35*$H35*(1+$K35)^MAX(ROUNDUP(IFERROR(DATEDIF($I17-1,EI$15+1,"m"),)/12,)-1,)*Index!EE$22*(EI$15&gt;$I35)*(1-EI$12)</f>
        <v>0</v>
      </c>
      <c r="EJ35" s="742">
        <f>$G35*$H35*(1+$K35)^MAX(ROUNDUP(IFERROR(DATEDIF($I17-1,EJ$15+1,"m"),)/12,)-1,)*Index!EF$22*(EJ$15&gt;$I35)*(1-EJ$12)</f>
        <v>0</v>
      </c>
      <c r="EK35" s="742">
        <f>$G35*$H35*(1+$K35)^MAX(ROUNDUP(IFERROR(DATEDIF($I17-1,EK$15+1,"m"),)/12,)-1,)*Index!EG$22*(EK$15&gt;$I35)*(1-EK$12)</f>
        <v>0</v>
      </c>
      <c r="EL35" s="742">
        <f>$G35*$H35*(1+$K35)^MAX(ROUNDUP(IFERROR(DATEDIF($I17-1,EL$15+1,"m"),)/12,)-1,)*Index!EH$22*(EL$15&gt;$I35)*(1-EL$12)</f>
        <v>0</v>
      </c>
      <c r="EM35" s="742">
        <f>$G35*$H35*(1+$K35)^MAX(ROUNDUP(IFERROR(DATEDIF($I17-1,EM$15+1,"m"),)/12,)-1,)*Index!EI$22*(EM$15&gt;$I35)*(1-EM$12)</f>
        <v>0</v>
      </c>
      <c r="EN35" s="742">
        <f>$G35*$H35*(1+$K35)^MAX(ROUNDUP(IFERROR(DATEDIF($I17-1,EN$15+1,"m"),)/12,)-1,)*Index!EJ$22*(EN$15&gt;$I35)*(1-EN$12)</f>
        <v>0</v>
      </c>
      <c r="EO35" s="742">
        <f>$G35*$H35*(1+$K35)^MAX(ROUNDUP(IFERROR(DATEDIF($I17-1,EO$15+1,"m"),)/12,)-1,)*Index!EK$22*(EO$15&gt;$I35)*(1-EO$12)</f>
        <v>0</v>
      </c>
      <c r="EP35" s="742">
        <f>$G35*$H35*(1+$K35)^MAX(ROUNDUP(IFERROR(DATEDIF($I17-1,EP$15+1,"m"),)/12,)-1,)*Index!EL$22*(EP$15&gt;$I35)*(1-EP$12)</f>
        <v>0</v>
      </c>
      <c r="EQ35" s="742">
        <f>$G35*$H35*(1+$K35)^MAX(ROUNDUP(IFERROR(DATEDIF($I17-1,EQ$15+1,"m"),)/12,)-1,)*Index!EM$22*(EQ$15&gt;$I35)*(1-EQ$12)</f>
        <v>0</v>
      </c>
      <c r="ER35" s="742">
        <f>$G35*$H35*(1+$K35)^MAX(ROUNDUP(IFERROR(DATEDIF($I17-1,ER$15+1,"m"),)/12,)-1,)*Index!EN$22*(ER$15&gt;$I35)*(1-ER$12)</f>
        <v>0</v>
      </c>
      <c r="ES35" s="742">
        <f>$G35*$H35*(1+$K35)^MAX(ROUNDUP(IFERROR(DATEDIF($I17-1,ES$15+1,"m"),)/12,)-1,)*Index!EO$22*(ES$15&gt;$I35)*(1-ES$12)</f>
        <v>0</v>
      </c>
      <c r="ET35" s="742">
        <f>$G35*$H35*(1+$K35)^MAX(ROUNDUP(IFERROR(DATEDIF($I17-1,ET$15+1,"m"),)/12,)-1,)*Index!EP$22*(ET$15&gt;$I35)*(1-ET$12)</f>
        <v>0</v>
      </c>
      <c r="EU35" s="742">
        <f>$G35*$H35*(1+$K35)^MAX(ROUNDUP(IFERROR(DATEDIF($I17-1,EU$15+1,"m"),)/12,)-1,)*Index!EQ$22*(EU$15&gt;$I35)*(1-EU$12)</f>
        <v>0</v>
      </c>
    </row>
    <row r="36" spans="3:151" ht="11.25" customHeight="1">
      <c r="C36" s="735"/>
      <c r="D36" s="743">
        <f t="shared" ref="D36:F51" si="11">D18</f>
        <v>8</v>
      </c>
      <c r="E36" s="704" t="str">
        <f t="shared" si="11"/>
        <v>쿠팡</v>
      </c>
      <c r="F36" s="704" t="str">
        <f t="shared" si="11"/>
        <v>근린생활시설</v>
      </c>
      <c r="G36" s="752" cm="1">
        <f t="array" ref="G36">SUMPRODUCT(('Rent-roll'!$E36='A&amp;R'!$V$26:$V$32)*('A&amp;R'!$AB$26:$AB$32))/1000</f>
        <v>57.698001860542107</v>
      </c>
      <c r="H36" s="744">
        <f t="shared" ref="H36:H51" si="12">H18</f>
        <v>78.09</v>
      </c>
      <c r="I36" s="745">
        <f t="shared" ref="I36:I51" si="13">J18</f>
        <v>49064</v>
      </c>
      <c r="J36" s="745"/>
      <c r="K36" s="754">
        <f t="shared" ref="K36:K43" si="14">K18</f>
        <v>2.5000000000000001E-2</v>
      </c>
      <c r="L36" s="746"/>
      <c r="M36" s="722"/>
      <c r="N36" s="747">
        <f t="shared" ref="N36:N51" si="15">SUM(P36:EU36)</f>
        <v>165533.97037841904</v>
      </c>
      <c r="O36" s="733"/>
      <c r="P36" s="747">
        <f>$G36*$H36*(1+$K36)^MAX(ROUNDUP(IFERROR(DATEDIF($I18-1,P$15+1,"m"),)/12,)-1,)*Index!L$22*(P$15&gt;$I36)*(1-P$12)</f>
        <v>0</v>
      </c>
      <c r="Q36" s="747">
        <f>$G36*$H36*(1+$K36)^MAX(ROUNDUP(IFERROR(DATEDIF($I18-1,Q$15+1,"m"),)/12,)-1,)*Index!M$22*(Q$15&gt;$I36)*(1-Q$12)</f>
        <v>0</v>
      </c>
      <c r="R36" s="747">
        <f>$G36*$H36*(1+$K36)^MAX(ROUNDUP(IFERROR(DATEDIF($I18-1,R$15+1,"m"),)/12,)-1,)*Index!N$22*(R$15&gt;$I36)*(1-R$12)</f>
        <v>0</v>
      </c>
      <c r="S36" s="747">
        <f>$G36*$H36*(1+$K36)^MAX(ROUNDUP(IFERROR(DATEDIF($I18-1,S$15+1,"m"),)/12,)-1,)*Index!O$22*(S$15&gt;$I36)*(1-S$12)</f>
        <v>0</v>
      </c>
      <c r="T36" s="747">
        <f>$G36*$H36*(1+$K36)^MAX(ROUNDUP(IFERROR(DATEDIF($I18-1,T$15+1,"m"),)/12,)-1,)*Index!P$22*(T$15&gt;$I36)*(1-T$12)</f>
        <v>0</v>
      </c>
      <c r="U36" s="747">
        <f>$G36*$H36*(1+$K36)^MAX(ROUNDUP(IFERROR(DATEDIF($I18-1,U$15+1,"m"),)/12,)-1,)*Index!Q$22*(U$15&gt;$I36)*(1-U$12)</f>
        <v>0</v>
      </c>
      <c r="V36" s="747">
        <f>$G36*$H36*(1+$K36)^MAX(ROUNDUP(IFERROR(DATEDIF($I18-1,V$15+1,"m"),)/12,)-1,)*Index!R$22*(V$15&gt;$I36)*(1-V$12)</f>
        <v>0</v>
      </c>
      <c r="W36" s="747">
        <f>$G36*$H36*(1+$K36)^MAX(ROUNDUP(IFERROR(DATEDIF($I18-1,W$15+1,"m"),)/12,)-1,)*Index!S$22*(W$15&gt;$I36)*(1-W$12)</f>
        <v>0</v>
      </c>
      <c r="X36" s="747">
        <f>$G36*$H36*(1+$K36)^MAX(ROUNDUP(IFERROR(DATEDIF($I18-1,X$15+1,"m"),)/12,)-1,)*Index!T$22*(X$15&gt;$I36)*(1-X$12)</f>
        <v>0</v>
      </c>
      <c r="Y36" s="747">
        <f>$G36*$H36*(1+$K36)^MAX(ROUNDUP(IFERROR(DATEDIF($I18-1,Y$15+1,"m"),)/12,)-1,)*Index!U$22*(Y$15&gt;$I36)*(1-Y$12)</f>
        <v>0</v>
      </c>
      <c r="Z36" s="747">
        <f>$G36*$H36*(1+$K36)^MAX(ROUNDUP(IFERROR(DATEDIF($I18-1,Z$15+1,"m"),)/12,)-1,)*Index!V$22*(Z$15&gt;$I36)*(1-Z$12)</f>
        <v>0</v>
      </c>
      <c r="AA36" s="747">
        <f>$G36*$H36*(1+$K36)^MAX(ROUNDUP(IFERROR(DATEDIF($I18-1,AA$15+1,"m"),)/12,)-1,)*Index!W$22*(AA$15&gt;$I36)*(1-AA$12)</f>
        <v>0</v>
      </c>
      <c r="AB36" s="747">
        <f>$G36*$H36*(1+$K36)^MAX(ROUNDUP(IFERROR(DATEDIF($I18-1,AB$15+1,"m"),)/12,)-1,)*Index!X$22*(AB$15&gt;$I36)*(1-AB$12)</f>
        <v>0</v>
      </c>
      <c r="AC36" s="747">
        <f>$G36*$H36*(1+$K36)^MAX(ROUNDUP(IFERROR(DATEDIF($I18-1,AC$15+1,"m"),)/12,)-1,)*Index!Y$22*(AC$15&gt;$I36)*(1-AC$12)</f>
        <v>0</v>
      </c>
      <c r="AD36" s="747">
        <f>$G36*$H36*(1+$K36)^MAX(ROUNDUP(IFERROR(DATEDIF($I18-1,AD$15+1,"m"),)/12,)-1,)*Index!Z$22*(AD$15&gt;$I36)*(1-AD$12)</f>
        <v>0</v>
      </c>
      <c r="AE36" s="747">
        <f>$G36*$H36*(1+$K36)^MAX(ROUNDUP(IFERROR(DATEDIF($I18-1,AE$15+1,"m"),)/12,)-1,)*Index!AA$22*(AE$15&gt;$I36)*(1-AE$12)</f>
        <v>0</v>
      </c>
      <c r="AF36" s="747">
        <f>$G36*$H36*(1+$K36)^MAX(ROUNDUP(IFERROR(DATEDIF($I18-1,AF$15+1,"m"),)/12,)-1,)*Index!AB$22*(AF$15&gt;$I36)*(1-AF$12)</f>
        <v>0</v>
      </c>
      <c r="AG36" s="747">
        <f>$G36*$H36*(1+$K36)^MAX(ROUNDUP(IFERROR(DATEDIF($I18-1,AG$15+1,"m"),)/12,)-1,)*Index!AC$22*(AG$15&gt;$I36)*(1-AG$12)</f>
        <v>0</v>
      </c>
      <c r="AH36" s="747">
        <f>$G36*$H36*(1+$K36)^MAX(ROUNDUP(IFERROR(DATEDIF($I18-1,AH$15+1,"m"),)/12,)-1,)*Index!AD$22*(AH$15&gt;$I36)*(1-AH$12)</f>
        <v>0</v>
      </c>
      <c r="AI36" s="747">
        <f>$G36*$H36*(1+$K36)^MAX(ROUNDUP(IFERROR(DATEDIF($I18-1,AI$15+1,"m"),)/12,)-1,)*Index!AE$22*(AI$15&gt;$I36)*(1-AI$12)</f>
        <v>0</v>
      </c>
      <c r="AJ36" s="747">
        <f>$G36*$H36*(1+$K36)^MAX(ROUNDUP(IFERROR(DATEDIF($I18-1,AJ$15+1,"m"),)/12,)-1,)*Index!AF$22*(AJ$15&gt;$I36)*(1-AJ$12)</f>
        <v>0</v>
      </c>
      <c r="AK36" s="747">
        <f>$G36*$H36*(1+$K36)^MAX(ROUNDUP(IFERROR(DATEDIF($I18-1,AK$15+1,"m"),)/12,)-1,)*Index!AG$22*(AK$15&gt;$I36)*(1-AK$12)</f>
        <v>0</v>
      </c>
      <c r="AL36" s="747">
        <f>$G36*$H36*(1+$K36)^MAX(ROUNDUP(IFERROR(DATEDIF($I18-1,AL$15+1,"m"),)/12,)-1,)*Index!AH$22*(AL$15&gt;$I36)*(1-AL$12)</f>
        <v>0</v>
      </c>
      <c r="AM36" s="747">
        <f>$G36*$H36*(1+$K36)^MAX(ROUNDUP(IFERROR(DATEDIF($I18-1,AM$15+1,"m"),)/12,)-1,)*Index!AI$22*(AM$15&gt;$I36)*(1-AM$12)</f>
        <v>0</v>
      </c>
      <c r="AN36" s="747">
        <f>$G36*$H36*(1+$K36)^MAX(ROUNDUP(IFERROR(DATEDIF($I18-1,AN$15+1,"m"),)/12,)-1,)*Index!AJ$22*(AN$15&gt;$I36)*(1-AN$12)</f>
        <v>0</v>
      </c>
      <c r="AO36" s="747">
        <f>$G36*$H36*(1+$K36)^MAX(ROUNDUP(IFERROR(DATEDIF($I18-1,AO$15+1,"m"),)/12,)-1,)*Index!AK$22*(AO$15&gt;$I36)*(1-AO$12)</f>
        <v>0</v>
      </c>
      <c r="AP36" s="747">
        <f>$G36*$H36*(1+$K36)^MAX(ROUNDUP(IFERROR(DATEDIF($I18-1,AP$15+1,"m"),)/12,)-1,)*Index!AL$22*(AP$15&gt;$I36)*(1-AP$12)</f>
        <v>0</v>
      </c>
      <c r="AQ36" s="747">
        <f>$G36*$H36*(1+$K36)^MAX(ROUNDUP(IFERROR(DATEDIF($I18-1,AQ$15+1,"m"),)/12,)-1,)*Index!AM$22*(AQ$15&gt;$I36)*(1-AQ$12)</f>
        <v>0</v>
      </c>
      <c r="AR36" s="747">
        <f>$G36*$H36*(1+$K36)^MAX(ROUNDUP(IFERROR(DATEDIF($I18-1,AR$15+1,"m"),)/12,)-1,)*Index!AN$22*(AR$15&gt;$I36)*(1-AR$12)</f>
        <v>0</v>
      </c>
      <c r="AS36" s="747">
        <f>$G36*$H36*(1+$K36)^MAX(ROUNDUP(IFERROR(DATEDIF($I18-1,AS$15+1,"m"),)/12,)-1,)*Index!AO$22*(AS$15&gt;$I36)*(1-AS$12)</f>
        <v>0</v>
      </c>
      <c r="AT36" s="747">
        <f>$G36*$H36*(1+$K36)^MAX(ROUNDUP(IFERROR(DATEDIF($I18-1,AT$15+1,"m"),)/12,)-1,)*Index!AP$22*(AT$15&gt;$I36)*(1-AT$12)</f>
        <v>0</v>
      </c>
      <c r="AU36" s="747">
        <f>$G36*$H36*(1+$K36)^MAX(ROUNDUP(IFERROR(DATEDIF($I18-1,AU$15+1,"m"),)/12,)-1,)*Index!AQ$22*(AU$15&gt;$I36)*(1-AU$12)</f>
        <v>0</v>
      </c>
      <c r="AV36" s="747">
        <f>$G36*$H36*(1+$K36)^MAX(ROUNDUP(IFERROR(DATEDIF($I18-1,AV$15+1,"m"),)/12,)-1,)*Index!AR$22*(AV$15&gt;$I36)*(1-AV$12)</f>
        <v>0</v>
      </c>
      <c r="AW36" s="747">
        <f>$G36*$H36*(1+$K36)^MAX(ROUNDUP(IFERROR(DATEDIF($I18-1,AW$15+1,"m"),)/12,)-1,)*Index!AS$22*(AW$15&gt;$I36)*(1-AW$12)</f>
        <v>0</v>
      </c>
      <c r="AX36" s="747">
        <f>$G36*$H36*(1+$K36)^MAX(ROUNDUP(IFERROR(DATEDIF($I18-1,AX$15+1,"m"),)/12,)-1,)*Index!AT$22*(AX$15&gt;$I36)*(1-AX$12)</f>
        <v>0</v>
      </c>
      <c r="AY36" s="747">
        <f>$G36*$H36*(1+$K36)^MAX(ROUNDUP(IFERROR(DATEDIF($I18-1,AY$15+1,"m"),)/12,)-1,)*Index!AU$22*(AY$15&gt;$I36)*(1-AY$12)</f>
        <v>0</v>
      </c>
      <c r="AZ36" s="747">
        <f>$G36*$H36*(1+$K36)^MAX(ROUNDUP(IFERROR(DATEDIF($I18-1,AZ$15+1,"m"),)/12,)-1,)*Index!AV$22*(AZ$15&gt;$I36)*(1-AZ$12)</f>
        <v>0</v>
      </c>
      <c r="BA36" s="747">
        <f>$G36*$H36*(1+$K36)^MAX(ROUNDUP(IFERROR(DATEDIF($I18-1,BA$15+1,"m"),)/12,)-1,)*Index!AW$22*(BA$15&gt;$I36)*(1-BA$12)</f>
        <v>0</v>
      </c>
      <c r="BB36" s="747">
        <f>$G36*$H36*(1+$K36)^MAX(ROUNDUP(IFERROR(DATEDIF($I18-1,BB$15+1,"m"),)/12,)-1,)*Index!AX$22*(BB$15&gt;$I36)*(1-BB$12)</f>
        <v>0</v>
      </c>
      <c r="BC36" s="747">
        <f>$G36*$H36*(1+$K36)^MAX(ROUNDUP(IFERROR(DATEDIF($I18-1,BC$15+1,"m"),)/12,)-1,)*Index!AY$22*(BC$15&gt;$I36)*(1-BC$12)</f>
        <v>0</v>
      </c>
      <c r="BD36" s="747">
        <f>$G36*$H36*(1+$K36)^MAX(ROUNDUP(IFERROR(DATEDIF($I18-1,BD$15+1,"m"),)/12,)-1,)*Index!AZ$22*(BD$15&gt;$I36)*(1-BD$12)</f>
        <v>0</v>
      </c>
      <c r="BE36" s="747">
        <f>$G36*$H36*(1+$K36)^MAX(ROUNDUP(IFERROR(DATEDIF($I18-1,BE$15+1,"m"),)/12,)-1,)*Index!BA$22*(BE$15&gt;$I36)*(1-BE$12)</f>
        <v>0</v>
      </c>
      <c r="BF36" s="747">
        <f>$G36*$H36*(1+$K36)^MAX(ROUNDUP(IFERROR(DATEDIF($I18-1,BF$15+1,"m"),)/12,)-1,)*Index!BB$22*(BF$15&gt;$I36)*(1-BF$12)</f>
        <v>0</v>
      </c>
      <c r="BG36" s="747">
        <f>$G36*$H36*(1+$K36)^MAX(ROUNDUP(IFERROR(DATEDIF($I18-1,BG$15+1,"m"),)/12,)-1,)*Index!BC$22*(BG$15&gt;$I36)*(1-BG$12)</f>
        <v>0</v>
      </c>
      <c r="BH36" s="747">
        <f>$G36*$H36*(1+$K36)^MAX(ROUNDUP(IFERROR(DATEDIF($I18-1,BH$15+1,"m"),)/12,)-1,)*Index!BD$22*(BH$15&gt;$I36)*(1-BH$12)</f>
        <v>0</v>
      </c>
      <c r="BI36" s="747">
        <f>$G36*$H36*(1+$K36)^MAX(ROUNDUP(IFERROR(DATEDIF($I18-1,BI$15+1,"m"),)/12,)-1,)*Index!BE$22*(BI$15&gt;$I36)*(1-BI$12)</f>
        <v>0</v>
      </c>
      <c r="BJ36" s="747">
        <f>$G36*$H36*(1+$K36)^MAX(ROUNDUP(IFERROR(DATEDIF($I18-1,BJ$15+1,"m"),)/12,)-1,)*Index!BF$22*(BJ$15&gt;$I36)*(1-BJ$12)</f>
        <v>0</v>
      </c>
      <c r="BK36" s="747">
        <f>$G36*$H36*(1+$K36)^MAX(ROUNDUP(IFERROR(DATEDIF($I18-1,BK$15+1,"m"),)/12,)-1,)*Index!BG$22*(BK$15&gt;$I36)*(1-BK$12)</f>
        <v>0</v>
      </c>
      <c r="BL36" s="747">
        <f>$G36*$H36*(1+$K36)^MAX(ROUNDUP(IFERROR(DATEDIF($I18-1,BL$15+1,"m"),)/12,)-1,)*Index!BH$22*(BL$15&gt;$I36)*(1-BL$12)</f>
        <v>0</v>
      </c>
      <c r="BM36" s="747">
        <f>$G36*$H36*(1+$K36)^MAX(ROUNDUP(IFERROR(DATEDIF($I18-1,BM$15+1,"m"),)/12,)-1,)*Index!BI$22*(BM$15&gt;$I36)*(1-BM$12)</f>
        <v>0</v>
      </c>
      <c r="BN36" s="747">
        <f>$G36*$H36*(1+$K36)^MAX(ROUNDUP(IFERROR(DATEDIF($I18-1,BN$15+1,"m"),)/12,)-1,)*Index!BJ$22*(BN$15&gt;$I36)*(1-BN$12)</f>
        <v>0</v>
      </c>
      <c r="BO36" s="747">
        <f>$G36*$H36*(1+$K36)^MAX(ROUNDUP(IFERROR(DATEDIF($I18-1,BO$15+1,"m"),)/12,)-1,)*Index!BK$22*(BO$15&gt;$I36)*(1-BO$12)</f>
        <v>0</v>
      </c>
      <c r="BP36" s="747">
        <f>$G36*$H36*(1+$K36)^MAX(ROUNDUP(IFERROR(DATEDIF($I18-1,BP$15+1,"m"),)/12,)-1,)*Index!BL$22*(BP$15&gt;$I36)*(1-BP$12)</f>
        <v>0</v>
      </c>
      <c r="BQ36" s="747">
        <f>$G36*$H36*(1+$K36)^MAX(ROUNDUP(IFERROR(DATEDIF($I18-1,BQ$15+1,"m"),)/12,)-1,)*Index!BM$22*(BQ$15&gt;$I36)*(1-BQ$12)</f>
        <v>0</v>
      </c>
      <c r="BR36" s="747">
        <f>$G36*$H36*(1+$K36)^MAX(ROUNDUP(IFERROR(DATEDIF($I18-1,BR$15+1,"m"),)/12,)-1,)*Index!BN$22*(BR$15&gt;$I36)*(1-BR$12)</f>
        <v>0</v>
      </c>
      <c r="BS36" s="747">
        <f>$G36*$H36*(1+$K36)^MAX(ROUNDUP(IFERROR(DATEDIF($I18-1,BS$15+1,"m"),)/12,)-1,)*Index!BO$22*(BS$15&gt;$I36)*(1-BS$12)</f>
        <v>0</v>
      </c>
      <c r="BT36" s="747">
        <f>$G36*$H36*(1+$K36)^MAX(ROUNDUP(IFERROR(DATEDIF($I18-1,BT$15+1,"m"),)/12,)-1,)*Index!BP$22*(BT$15&gt;$I36)*(1-BT$12)</f>
        <v>0</v>
      </c>
      <c r="BU36" s="747">
        <f>$G36*$H36*(1+$K36)^MAX(ROUNDUP(IFERROR(DATEDIF($I18-1,BU$15+1,"m"),)/12,)-1,)*Index!BQ$22*(BU$15&gt;$I36)*(1-BU$12)</f>
        <v>0</v>
      </c>
      <c r="BV36" s="747">
        <f>$G36*$H36*(1+$K36)^MAX(ROUNDUP(IFERROR(DATEDIF($I18-1,BV$15+1,"m"),)/12,)-1,)*Index!BR$22*(BV$15&gt;$I36)*(1-BV$12)</f>
        <v>0</v>
      </c>
      <c r="BW36" s="747">
        <f>$G36*$H36*(1+$K36)^MAX(ROUNDUP(IFERROR(DATEDIF($I18-1,BW$15+1,"m"),)/12,)-1,)*Index!BS$22*(BW$15&gt;$I36)*(1-BW$12)</f>
        <v>0</v>
      </c>
      <c r="BX36" s="747">
        <f>$G36*$H36*(1+$K36)^MAX(ROUNDUP(IFERROR(DATEDIF($I18-1,BX$15+1,"m"),)/12,)-1,)*Index!BT$22*(BX$15&gt;$I36)*(1-BX$12)</f>
        <v>0</v>
      </c>
      <c r="BY36" s="747">
        <f>$G36*$H36*(1+$K36)^MAX(ROUNDUP(IFERROR(DATEDIF($I18-1,BY$15+1,"m"),)/12,)-1,)*Index!BU$22*(BY$15&gt;$I36)*(1-BY$12)</f>
        <v>0</v>
      </c>
      <c r="BZ36" s="747">
        <f>$G36*$H36*(1+$K36)^MAX(ROUNDUP(IFERROR(DATEDIF($I18-1,BZ$15+1,"m"),)/12,)-1,)*Index!BV$22*(BZ$15&gt;$I36)*(1-BZ$12)</f>
        <v>0</v>
      </c>
      <c r="CA36" s="747">
        <f>$G36*$H36*(1+$K36)^MAX(ROUNDUP(IFERROR(DATEDIF($I18-1,CA$15+1,"m"),)/12,)-1,)*Index!BW$22*(CA$15&gt;$I36)*(1-CA$12)</f>
        <v>0</v>
      </c>
      <c r="CB36" s="747">
        <f>$G36*$H36*(1+$K36)^MAX(ROUNDUP(IFERROR(DATEDIF($I18-1,CB$15+1,"m"),)/12,)-1,)*Index!BX$22*(CB$15&gt;$I36)*(1-CB$12)</f>
        <v>0</v>
      </c>
      <c r="CC36" s="747">
        <f>$G36*$H36*(1+$K36)^MAX(ROUNDUP(IFERROR(DATEDIF($I18-1,CC$15+1,"m"),)/12,)-1,)*Index!BY$22*(CC$15&gt;$I36)*(1-CC$12)</f>
        <v>0</v>
      </c>
      <c r="CD36" s="747">
        <f>$G36*$H36*(1+$K36)^MAX(ROUNDUP(IFERROR(DATEDIF($I18-1,CD$15+1,"m"),)/12,)-1,)*Index!BZ$22*(CD$15&gt;$I36)*(1-CD$12)</f>
        <v>0</v>
      </c>
      <c r="CE36" s="747">
        <f>$G36*$H36*(1+$K36)^MAX(ROUNDUP(IFERROR(DATEDIF($I18-1,CE$15+1,"m"),)/12,)-1,)*Index!CA$22*(CE$15&gt;$I36)*(1-CE$12)</f>
        <v>0</v>
      </c>
      <c r="CF36" s="747">
        <f>$G36*$H36*(1+$K36)^MAX(ROUNDUP(IFERROR(DATEDIF($I18-1,CF$15+1,"m"),)/12,)-1,)*Index!CB$22*(CF$15&gt;$I36)*(1-CF$12)</f>
        <v>0</v>
      </c>
      <c r="CG36" s="747">
        <f>$G36*$H36*(1+$K36)^MAX(ROUNDUP(IFERROR(DATEDIF($I18-1,CG$15+1,"m"),)/12,)-1,)*Index!CC$22*(CG$15&gt;$I36)*(1-CG$12)</f>
        <v>0</v>
      </c>
      <c r="CH36" s="747">
        <f>$G36*$H36*(1+$K36)^MAX(ROUNDUP(IFERROR(DATEDIF($I18-1,CH$15+1,"m"),)/12,)-1,)*Index!CD$22*(CH$15&gt;$I36)*(1-CH$12)</f>
        <v>0</v>
      </c>
      <c r="CI36" s="747">
        <f>$G36*$H36*(1+$K36)^MAX(ROUNDUP(IFERROR(DATEDIF($I18-1,CI$15+1,"m"),)/12,)-1,)*Index!CE$22*(CI$15&gt;$I36)*(1-CI$12)</f>
        <v>0</v>
      </c>
      <c r="CJ36" s="747">
        <f>$G36*$H36*(1+$K36)^MAX(ROUNDUP(IFERROR(DATEDIF($I18-1,CJ$15+1,"m"),)/12,)-1,)*Index!CF$22*(CJ$15&gt;$I36)*(1-CJ$12)</f>
        <v>0</v>
      </c>
      <c r="CK36" s="747">
        <f>$G36*$H36*(1+$K36)^MAX(ROUNDUP(IFERROR(DATEDIF($I18-1,CK$15+1,"m"),)/12,)-1,)*Index!CG$22*(CK$15&gt;$I36)*(1-CK$12)</f>
        <v>0</v>
      </c>
      <c r="CL36" s="747">
        <f>$G36*$H36*(1+$K36)^MAX(ROUNDUP(IFERROR(DATEDIF($I18-1,CL$15+1,"m"),)/12,)-1,)*Index!CH$22*(CL$15&gt;$I36)*(1-CL$12)</f>
        <v>0</v>
      </c>
      <c r="CM36" s="747">
        <f>$G36*$H36*(1+$K36)^MAX(ROUNDUP(IFERROR(DATEDIF($I18-1,CM$15+1,"m"),)/12,)-1,)*Index!CI$22*(CM$15&gt;$I36)*(1-CM$12)</f>
        <v>0</v>
      </c>
      <c r="CN36" s="747">
        <f>$G36*$H36*(1+$K36)^MAX(ROUNDUP(IFERROR(DATEDIF($I18-1,CN$15+1,"m"),)/12,)-1,)*Index!CJ$22*(CN$15&gt;$I36)*(1-CN$12)</f>
        <v>0</v>
      </c>
      <c r="CO36" s="747">
        <f>$G36*$H36*(1+$K36)^MAX(ROUNDUP(IFERROR(DATEDIF($I18-1,CO$15+1,"m"),)/12,)-1,)*Index!CK$22*(CO$15&gt;$I36)*(1-CO$12)</f>
        <v>0</v>
      </c>
      <c r="CP36" s="747">
        <f>$G36*$H36*(1+$K36)^MAX(ROUNDUP(IFERROR(DATEDIF($I18-1,CP$15+1,"m"),)/12,)-1,)*Index!CL$22*(CP$15&gt;$I36)*(1-CP$12)</f>
        <v>0</v>
      </c>
      <c r="CQ36" s="747">
        <f>$G36*$H36*(1+$K36)^MAX(ROUNDUP(IFERROR(DATEDIF($I18-1,CQ$15+1,"m"),)/12,)-1,)*Index!CM$22*(CQ$15&gt;$I36)*(1-CQ$12)</f>
        <v>0</v>
      </c>
      <c r="CR36" s="747">
        <f>$G36*$H36*(1+$K36)^MAX(ROUNDUP(IFERROR(DATEDIF($I18-1,CR$15+1,"m"),)/12,)-1,)*Index!CN$22*(CR$15&gt;$I36)*(1-CR$12)</f>
        <v>0</v>
      </c>
      <c r="CS36" s="747">
        <f>$G36*$H36*(1+$K36)^MAX(ROUNDUP(IFERROR(DATEDIF($I18-1,CS$15+1,"m"),)/12,)-1,)*Index!CO$22*(CS$15&gt;$I36)*(1-CS$12)</f>
        <v>0</v>
      </c>
      <c r="CT36" s="747">
        <f>$G36*$H36*(1+$K36)^MAX(ROUNDUP(IFERROR(DATEDIF($I18-1,CT$15+1,"m"),)/12,)-1,)*Index!CP$22*(CT$15&gt;$I36)*(1-CT$12)</f>
        <v>0</v>
      </c>
      <c r="CU36" s="747">
        <f>$G36*$H36*(1+$K36)^MAX(ROUNDUP(IFERROR(DATEDIF($I18-1,CU$15+1,"m"),)/12,)-1,)*Index!CQ$22*(CU$15&gt;$I36)*(1-CU$12)</f>
        <v>0</v>
      </c>
      <c r="CV36" s="747">
        <f>$G36*$H36*(1+$K36)^MAX(ROUNDUP(IFERROR(DATEDIF($I18-1,CV$15+1,"m"),)/12,)-1,)*Index!CR$22*(CV$15&gt;$I36)*(1-CV$12)</f>
        <v>0</v>
      </c>
      <c r="CW36" s="747">
        <f>$G36*$H36*(1+$K36)^MAX(ROUNDUP(IFERROR(DATEDIF($I18-1,CW$15+1,"m"),)/12,)-1,)*Index!CS$22*(CW$15&gt;$I36)*(1-CW$12)</f>
        <v>0</v>
      </c>
      <c r="CX36" s="747">
        <f>$G36*$H36*(1+$K36)^MAX(ROUNDUP(IFERROR(DATEDIF($I18-1,CX$15+1,"m"),)/12,)-1,)*Index!CT$22*(CX$15&gt;$I36)*(1-CX$12)</f>
        <v>0</v>
      </c>
      <c r="CY36" s="747">
        <f>$G36*$H36*(1+$K36)^MAX(ROUNDUP(IFERROR(DATEDIF($I18-1,CY$15+1,"m"),)/12,)-1,)*Index!CU$22*(CY$15&gt;$I36)*(1-CY$12)</f>
        <v>0</v>
      </c>
      <c r="CZ36" s="747">
        <f>$G36*$H36*(1+$K36)^MAX(ROUNDUP(IFERROR(DATEDIF($I18-1,CZ$15+1,"m"),)/12,)-1,)*Index!CV$22*(CZ$15&gt;$I36)*(1-CZ$12)</f>
        <v>0</v>
      </c>
      <c r="DA36" s="747">
        <f>$G36*$H36*(1+$K36)^MAX(ROUNDUP(IFERROR(DATEDIF($I18-1,DA$15+1,"m"),)/12,)-1,)*Index!CW$22*(DA$15&gt;$I36)*(1-DA$12)</f>
        <v>0</v>
      </c>
      <c r="DB36" s="747">
        <f>$G36*$H36*(1+$K36)^MAX(ROUNDUP(IFERROR(DATEDIF($I18-1,DB$15+1,"m"),)/12,)-1,)*Index!CX$22*(DB$15&gt;$I36)*(1-DB$12)</f>
        <v>0</v>
      </c>
      <c r="DC36" s="747">
        <f>$G36*$H36*(1+$K36)^MAX(ROUNDUP(IFERROR(DATEDIF($I18-1,DC$15+1,"m"),)/12,)-1,)*Index!CY$22*(DC$15&gt;$I36)*(1-DC$12)</f>
        <v>5355.7864718407836</v>
      </c>
      <c r="DD36" s="747">
        <f>$G36*$H36*(1+$K36)^MAX(ROUNDUP(IFERROR(DATEDIF($I18-1,DD$15+1,"m"),)/12,)-1,)*Index!CZ$22*(DD$15&gt;$I36)*(1-DD$12)</f>
        <v>5355.7864718407836</v>
      </c>
      <c r="DE36" s="747">
        <f>$G36*$H36*(1+$K36)^MAX(ROUNDUP(IFERROR(DATEDIF($I18-1,DE$15+1,"m"),)/12,)-1,)*Index!DA$22*(DE$15&gt;$I36)*(1-DE$12)</f>
        <v>5355.7864718407836</v>
      </c>
      <c r="DF36" s="747">
        <f>$G36*$H36*(1+$K36)^MAX(ROUNDUP(IFERROR(DATEDIF($I18-1,DF$15+1,"m"),)/12,)-1,)*Index!DB$22*(DF$15&gt;$I36)*(1-DF$12)</f>
        <v>5355.7864718407836</v>
      </c>
      <c r="DG36" s="747">
        <f>$G36*$H36*(1+$K36)^MAX(ROUNDUP(IFERROR(DATEDIF($I18-1,DG$15+1,"m"),)/12,)-1,)*Index!DC$22*(DG$15&gt;$I36)*(1-DG$12)</f>
        <v>5355.7864718407836</v>
      </c>
      <c r="DH36" s="747">
        <f>$G36*$H36*(1+$K36)^MAX(ROUNDUP(IFERROR(DATEDIF($I18-1,DH$15+1,"m"),)/12,)-1,)*Index!DD$22*(DH$15&gt;$I36)*(1-DH$12)</f>
        <v>5355.7864718407836</v>
      </c>
      <c r="DI36" s="747">
        <f>$G36*$H36*(1+$K36)^MAX(ROUNDUP(IFERROR(DATEDIF($I18-1,DI$15+1,"m"),)/12,)-1,)*Index!DE$22*(DI$15&gt;$I36)*(1-DI$12)</f>
        <v>5489.6811336368028</v>
      </c>
      <c r="DJ36" s="747">
        <f>$G36*$H36*(1+$K36)^MAX(ROUNDUP(IFERROR(DATEDIF($I18-1,DJ$15+1,"m"),)/12,)-1,)*Index!DF$22*(DJ$15&gt;$I36)*(1-DJ$12)</f>
        <v>5489.6811336368028</v>
      </c>
      <c r="DK36" s="747">
        <f>$G36*$H36*(1+$K36)^MAX(ROUNDUP(IFERROR(DATEDIF($I18-1,DK$15+1,"m"),)/12,)-1,)*Index!DG$22*(DK$15&gt;$I36)*(1-DK$12)</f>
        <v>5489.6811336368028</v>
      </c>
      <c r="DL36" s="747">
        <f>$G36*$H36*(1+$K36)^MAX(ROUNDUP(IFERROR(DATEDIF($I18-1,DL$15+1,"m"),)/12,)-1,)*Index!DH$22*(DL$15&gt;$I36)*(1-DL$12)</f>
        <v>5489.6811336368028</v>
      </c>
      <c r="DM36" s="747">
        <f>$G36*$H36*(1+$K36)^MAX(ROUNDUP(IFERROR(DATEDIF($I18-1,DM$15+1,"m"),)/12,)-1,)*Index!DI$22*(DM$15&gt;$I36)*(1-DM$12)</f>
        <v>5489.6811336368028</v>
      </c>
      <c r="DN36" s="747">
        <f>$G36*$H36*(1+$K36)^MAX(ROUNDUP(IFERROR(DATEDIF($I18-1,DN$15+1,"m"),)/12,)-1,)*Index!DJ$22*(DN$15&gt;$I36)*(1-DN$12)</f>
        <v>5489.6811336368028</v>
      </c>
      <c r="DO36" s="747">
        <f>$G36*$H36*(1+$K36)^MAX(ROUNDUP(IFERROR(DATEDIF($I18-1,DO$15+1,"m"),)/12,)-1,)*Index!DK$22*(DO$15&gt;$I36)*(1-DO$12)</f>
        <v>5489.6811336368028</v>
      </c>
      <c r="DP36" s="747">
        <f>$G36*$H36*(1+$K36)^MAX(ROUNDUP(IFERROR(DATEDIF($I18-1,DP$15+1,"m"),)/12,)-1,)*Index!DL$22*(DP$15&gt;$I36)*(1-DP$12)</f>
        <v>5489.6811336368028</v>
      </c>
      <c r="DQ36" s="747">
        <f>$G36*$H36*(1+$K36)^MAX(ROUNDUP(IFERROR(DATEDIF($I18-1,DQ$15+1,"m"),)/12,)-1,)*Index!DM$22*(DQ$15&gt;$I36)*(1-DQ$12)</f>
        <v>5489.6811336368028</v>
      </c>
      <c r="DR36" s="747">
        <f>$G36*$H36*(1+$K36)^MAX(ROUNDUP(IFERROR(DATEDIF($I18-1,DR$15+1,"m"),)/12,)-1,)*Index!DN$22*(DR$15&gt;$I36)*(1-DR$12)</f>
        <v>5489.6811336368028</v>
      </c>
      <c r="DS36" s="747">
        <f>$G36*$H36*(1+$K36)^MAX(ROUNDUP(IFERROR(DATEDIF($I18-1,DS$15+1,"m"),)/12,)-1,)*Index!DO$22*(DS$15&gt;$I36)*(1-DS$12)</f>
        <v>5489.6811336368028</v>
      </c>
      <c r="DT36" s="747">
        <f>$G36*$H36*(1+$K36)^MAX(ROUNDUP(IFERROR(DATEDIF($I18-1,DT$15+1,"m"),)/12,)-1,)*Index!DP$22*(DT$15&gt;$I36)*(1-DT$12)</f>
        <v>5489.6811336368028</v>
      </c>
      <c r="DU36" s="747">
        <f>$G36*$H36*(1+$K36)^MAX(ROUNDUP(IFERROR(DATEDIF($I18-1,DU$15+1,"m"),)/12,)-1,)*Index!DQ$22*(DU$15&gt;$I36)*(1-DU$12)</f>
        <v>5626.923161977722</v>
      </c>
      <c r="DV36" s="747">
        <f>$G36*$H36*(1+$K36)^MAX(ROUNDUP(IFERROR(DATEDIF($I18-1,DV$15+1,"m"),)/12,)-1,)*Index!DR$22*(DV$15&gt;$I36)*(1-DV$12)</f>
        <v>5626.923161977722</v>
      </c>
      <c r="DW36" s="747">
        <f>$G36*$H36*(1+$K36)^MAX(ROUNDUP(IFERROR(DATEDIF($I18-1,DW$15+1,"m"),)/12,)-1,)*Index!DS$22*(DW$15&gt;$I36)*(1-DW$12)</f>
        <v>5626.923161977722</v>
      </c>
      <c r="DX36" s="747">
        <f>$G36*$H36*(1+$K36)^MAX(ROUNDUP(IFERROR(DATEDIF($I18-1,DX$15+1,"m"),)/12,)-1,)*Index!DT$22*(DX$15&gt;$I36)*(1-DX$12)</f>
        <v>5626.923161977722</v>
      </c>
      <c r="DY36" s="747">
        <f>$G36*$H36*(1+$K36)^MAX(ROUNDUP(IFERROR(DATEDIF($I18-1,DY$15+1,"m"),)/12,)-1,)*Index!DU$22*(DY$15&gt;$I36)*(1-DY$12)</f>
        <v>5626.923161977722</v>
      </c>
      <c r="DZ36" s="747">
        <f>$G36*$H36*(1+$K36)^MAX(ROUNDUP(IFERROR(DATEDIF($I18-1,DZ$15+1,"m"),)/12,)-1,)*Index!DV$22*(DZ$15&gt;$I36)*(1-DZ$12)</f>
        <v>5626.923161977722</v>
      </c>
      <c r="EA36" s="747">
        <f>$G36*$H36*(1+$K36)^MAX(ROUNDUP(IFERROR(DATEDIF($I18-1,EA$15+1,"m"),)/12,)-1,)*Index!DW$22*(EA$15&gt;$I36)*(1-EA$12)</f>
        <v>5626.923161977722</v>
      </c>
      <c r="EB36" s="747">
        <f>$G36*$H36*(1+$K36)^MAX(ROUNDUP(IFERROR(DATEDIF($I18-1,EB$15+1,"m"),)/12,)-1,)*Index!DX$22*(EB$15&gt;$I36)*(1-EB$12)</f>
        <v>5626.923161977722</v>
      </c>
      <c r="EC36" s="747">
        <f>$G36*$H36*(1+$K36)^MAX(ROUNDUP(IFERROR(DATEDIF($I18-1,EC$15+1,"m"),)/12,)-1,)*Index!DY$22*(EC$15&gt;$I36)*(1-EC$12)</f>
        <v>5626.923161977722</v>
      </c>
      <c r="ED36" s="747">
        <f>$G36*$H36*(1+$K36)^MAX(ROUNDUP(IFERROR(DATEDIF($I18-1,ED$15+1,"m"),)/12,)-1,)*Index!DZ$22*(ED$15&gt;$I36)*(1-ED$12)</f>
        <v>5626.923161977722</v>
      </c>
      <c r="EE36" s="747">
        <f>$G36*$H36*(1+$K36)^MAX(ROUNDUP(IFERROR(DATEDIF($I18-1,EE$15+1,"m"),)/12,)-1,)*Index!EA$22*(EE$15&gt;$I36)*(1-EE$12)</f>
        <v>5626.923161977722</v>
      </c>
      <c r="EF36" s="747">
        <f>$G36*$H36*(1+$K36)^MAX(ROUNDUP(IFERROR(DATEDIF($I18-1,EF$15+1,"m"),)/12,)-1,)*Index!EB$22*(EF$15&gt;$I36)*(1-EF$12)</f>
        <v>5626.923161977722</v>
      </c>
      <c r="EG36" s="747">
        <f>$G36*$H36*(1+$K36)^MAX(ROUNDUP(IFERROR(DATEDIF($I18-1,EG$15+1,"m"),)/12,)-1,)*Index!EC$22*(EG$15&gt;$I36)*(1-EG$12)</f>
        <v>0</v>
      </c>
      <c r="EH36" s="747">
        <f>$G36*$H36*(1+$K36)^MAX(ROUNDUP(IFERROR(DATEDIF($I18-1,EH$15+1,"m"),)/12,)-1,)*Index!ED$22*(EH$15&gt;$I36)*(1-EH$12)</f>
        <v>0</v>
      </c>
      <c r="EI36" s="747">
        <f>$G36*$H36*(1+$K36)^MAX(ROUNDUP(IFERROR(DATEDIF($I18-1,EI$15+1,"m"),)/12,)-1,)*Index!EE$22*(EI$15&gt;$I36)*(1-EI$12)</f>
        <v>0</v>
      </c>
      <c r="EJ36" s="747">
        <f>$G36*$H36*(1+$K36)^MAX(ROUNDUP(IFERROR(DATEDIF($I18-1,EJ$15+1,"m"),)/12,)-1,)*Index!EF$22*(EJ$15&gt;$I36)*(1-EJ$12)</f>
        <v>0</v>
      </c>
      <c r="EK36" s="747">
        <f>$G36*$H36*(1+$K36)^MAX(ROUNDUP(IFERROR(DATEDIF($I18-1,EK$15+1,"m"),)/12,)-1,)*Index!EG$22*(EK$15&gt;$I36)*(1-EK$12)</f>
        <v>0</v>
      </c>
      <c r="EL36" s="747">
        <f>$G36*$H36*(1+$K36)^MAX(ROUNDUP(IFERROR(DATEDIF($I18-1,EL$15+1,"m"),)/12,)-1,)*Index!EH$22*(EL$15&gt;$I36)*(1-EL$12)</f>
        <v>0</v>
      </c>
      <c r="EM36" s="747">
        <f>$G36*$H36*(1+$K36)^MAX(ROUNDUP(IFERROR(DATEDIF($I18-1,EM$15+1,"m"),)/12,)-1,)*Index!EI$22*(EM$15&gt;$I36)*(1-EM$12)</f>
        <v>0</v>
      </c>
      <c r="EN36" s="747">
        <f>$G36*$H36*(1+$K36)^MAX(ROUNDUP(IFERROR(DATEDIF($I18-1,EN$15+1,"m"),)/12,)-1,)*Index!EJ$22*(EN$15&gt;$I36)*(1-EN$12)</f>
        <v>0</v>
      </c>
      <c r="EO36" s="747">
        <f>$G36*$H36*(1+$K36)^MAX(ROUNDUP(IFERROR(DATEDIF($I18-1,EO$15+1,"m"),)/12,)-1,)*Index!EK$22*(EO$15&gt;$I36)*(1-EO$12)</f>
        <v>0</v>
      </c>
      <c r="EP36" s="747">
        <f>$G36*$H36*(1+$K36)^MAX(ROUNDUP(IFERROR(DATEDIF($I18-1,EP$15+1,"m"),)/12,)-1,)*Index!EL$22*(EP$15&gt;$I36)*(1-EP$12)</f>
        <v>0</v>
      </c>
      <c r="EQ36" s="747">
        <f>$G36*$H36*(1+$K36)^MAX(ROUNDUP(IFERROR(DATEDIF($I18-1,EQ$15+1,"m"),)/12,)-1,)*Index!EM$22*(EQ$15&gt;$I36)*(1-EQ$12)</f>
        <v>0</v>
      </c>
      <c r="ER36" s="747">
        <f>$G36*$H36*(1+$K36)^MAX(ROUNDUP(IFERROR(DATEDIF($I18-1,ER$15+1,"m"),)/12,)-1,)*Index!EN$22*(ER$15&gt;$I36)*(1-ER$12)</f>
        <v>0</v>
      </c>
      <c r="ES36" s="747">
        <f>$G36*$H36*(1+$K36)^MAX(ROUNDUP(IFERROR(DATEDIF($I18-1,ES$15+1,"m"),)/12,)-1,)*Index!EO$22*(ES$15&gt;$I36)*(1-ES$12)</f>
        <v>0</v>
      </c>
      <c r="ET36" s="747">
        <f>$G36*$H36*(1+$K36)^MAX(ROUNDUP(IFERROR(DATEDIF($I18-1,ET$15+1,"m"),)/12,)-1,)*Index!EP$22*(ET$15&gt;$I36)*(1-ET$12)</f>
        <v>0</v>
      </c>
      <c r="EU36" s="747">
        <f>$G36*$H36*(1+$K36)^MAX(ROUNDUP(IFERROR(DATEDIF($I18-1,EU$15+1,"m"),)/12,)-1,)*Index!EQ$22*(EU$15&gt;$I36)*(1-EU$12)</f>
        <v>0</v>
      </c>
    </row>
    <row r="37" spans="3:151" ht="11.25" customHeight="1">
      <c r="C37" s="735"/>
      <c r="D37" s="743">
        <f t="shared" si="11"/>
        <v>8</v>
      </c>
      <c r="E37" s="704" t="str">
        <f t="shared" si="11"/>
        <v>쿠팡</v>
      </c>
      <c r="F37" s="704" t="str">
        <f t="shared" si="11"/>
        <v>상온창고</v>
      </c>
      <c r="G37" s="752" cm="1">
        <f t="array" ref="G37">SUMPRODUCT(('Rent-roll'!$E37='A&amp;R'!$V$26:$V$32)*('A&amp;R'!$AB$26:$AB$32))/1000</f>
        <v>57.698001860542107</v>
      </c>
      <c r="H37" s="744">
        <f t="shared" si="12"/>
        <v>63.86</v>
      </c>
      <c r="I37" s="745">
        <f t="shared" si="13"/>
        <v>49064</v>
      </c>
      <c r="J37" s="745"/>
      <c r="K37" s="754">
        <f t="shared" si="14"/>
        <v>2.5000000000000001E-2</v>
      </c>
      <c r="L37" s="746"/>
      <c r="M37" s="722"/>
      <c r="N37" s="747">
        <f t="shared" si="15"/>
        <v>135369.43716693349</v>
      </c>
      <c r="O37" s="733"/>
      <c r="P37" s="747">
        <f>$G37*$H37*(1+$K37)^MAX(ROUNDUP(IFERROR(DATEDIF($I19-1,P$15+1,"m"),)/12,)-1,)*Index!L$22*(P$15&gt;$I37)*(1-P$12)</f>
        <v>0</v>
      </c>
      <c r="Q37" s="747">
        <f>$G37*$H37*(1+$K37)^MAX(ROUNDUP(IFERROR(DATEDIF($I19-1,Q$15+1,"m"),)/12,)-1,)*Index!M$22*(Q$15&gt;$I37)*(1-Q$12)</f>
        <v>0</v>
      </c>
      <c r="R37" s="747">
        <f>$G37*$H37*(1+$K37)^MAX(ROUNDUP(IFERROR(DATEDIF($I19-1,R$15+1,"m"),)/12,)-1,)*Index!N$22*(R$15&gt;$I37)*(1-R$12)</f>
        <v>0</v>
      </c>
      <c r="S37" s="747">
        <f>$G37*$H37*(1+$K37)^MAX(ROUNDUP(IFERROR(DATEDIF($I19-1,S$15+1,"m"),)/12,)-1,)*Index!O$22*(S$15&gt;$I37)*(1-S$12)</f>
        <v>0</v>
      </c>
      <c r="T37" s="747">
        <f>$G37*$H37*(1+$K37)^MAX(ROUNDUP(IFERROR(DATEDIF($I19-1,T$15+1,"m"),)/12,)-1,)*Index!P$22*(T$15&gt;$I37)*(1-T$12)</f>
        <v>0</v>
      </c>
      <c r="U37" s="747">
        <f>$G37*$H37*(1+$K37)^MAX(ROUNDUP(IFERROR(DATEDIF($I19-1,U$15+1,"m"),)/12,)-1,)*Index!Q$22*(U$15&gt;$I37)*(1-U$12)</f>
        <v>0</v>
      </c>
      <c r="V37" s="747">
        <f>$G37*$H37*(1+$K37)^MAX(ROUNDUP(IFERROR(DATEDIF($I19-1,V$15+1,"m"),)/12,)-1,)*Index!R$22*(V$15&gt;$I37)*(1-V$12)</f>
        <v>0</v>
      </c>
      <c r="W37" s="747">
        <f>$G37*$H37*(1+$K37)^MAX(ROUNDUP(IFERROR(DATEDIF($I19-1,W$15+1,"m"),)/12,)-1,)*Index!S$22*(W$15&gt;$I37)*(1-W$12)</f>
        <v>0</v>
      </c>
      <c r="X37" s="747">
        <f>$G37*$H37*(1+$K37)^MAX(ROUNDUP(IFERROR(DATEDIF($I19-1,X$15+1,"m"),)/12,)-1,)*Index!T$22*(X$15&gt;$I37)*(1-X$12)</f>
        <v>0</v>
      </c>
      <c r="Y37" s="747">
        <f>$G37*$H37*(1+$K37)^MAX(ROUNDUP(IFERROR(DATEDIF($I19-1,Y$15+1,"m"),)/12,)-1,)*Index!U$22*(Y$15&gt;$I37)*(1-Y$12)</f>
        <v>0</v>
      </c>
      <c r="Z37" s="747">
        <f>$G37*$H37*(1+$K37)^MAX(ROUNDUP(IFERROR(DATEDIF($I19-1,Z$15+1,"m"),)/12,)-1,)*Index!V$22*(Z$15&gt;$I37)*(1-Z$12)</f>
        <v>0</v>
      </c>
      <c r="AA37" s="747">
        <f>$G37*$H37*(1+$K37)^MAX(ROUNDUP(IFERROR(DATEDIF($I19-1,AA$15+1,"m"),)/12,)-1,)*Index!W$22*(AA$15&gt;$I37)*(1-AA$12)</f>
        <v>0</v>
      </c>
      <c r="AB37" s="747">
        <f>$G37*$H37*(1+$K37)^MAX(ROUNDUP(IFERROR(DATEDIF($I19-1,AB$15+1,"m"),)/12,)-1,)*Index!X$22*(AB$15&gt;$I37)*(1-AB$12)</f>
        <v>0</v>
      </c>
      <c r="AC37" s="747">
        <f>$G37*$H37*(1+$K37)^MAX(ROUNDUP(IFERROR(DATEDIF($I19-1,AC$15+1,"m"),)/12,)-1,)*Index!Y$22*(AC$15&gt;$I37)*(1-AC$12)</f>
        <v>0</v>
      </c>
      <c r="AD37" s="747">
        <f>$G37*$H37*(1+$K37)^MAX(ROUNDUP(IFERROR(DATEDIF($I19-1,AD$15+1,"m"),)/12,)-1,)*Index!Z$22*(AD$15&gt;$I37)*(1-AD$12)</f>
        <v>0</v>
      </c>
      <c r="AE37" s="747">
        <f>$G37*$H37*(1+$K37)^MAX(ROUNDUP(IFERROR(DATEDIF($I19-1,AE$15+1,"m"),)/12,)-1,)*Index!AA$22*(AE$15&gt;$I37)*(1-AE$12)</f>
        <v>0</v>
      </c>
      <c r="AF37" s="747">
        <f>$G37*$H37*(1+$K37)^MAX(ROUNDUP(IFERROR(DATEDIF($I19-1,AF$15+1,"m"),)/12,)-1,)*Index!AB$22*(AF$15&gt;$I37)*(1-AF$12)</f>
        <v>0</v>
      </c>
      <c r="AG37" s="747">
        <f>$G37*$H37*(1+$K37)^MAX(ROUNDUP(IFERROR(DATEDIF($I19-1,AG$15+1,"m"),)/12,)-1,)*Index!AC$22*(AG$15&gt;$I37)*(1-AG$12)</f>
        <v>0</v>
      </c>
      <c r="AH37" s="747">
        <f>$G37*$H37*(1+$K37)^MAX(ROUNDUP(IFERROR(DATEDIF($I19-1,AH$15+1,"m"),)/12,)-1,)*Index!AD$22*(AH$15&gt;$I37)*(1-AH$12)</f>
        <v>0</v>
      </c>
      <c r="AI37" s="747">
        <f>$G37*$H37*(1+$K37)^MAX(ROUNDUP(IFERROR(DATEDIF($I19-1,AI$15+1,"m"),)/12,)-1,)*Index!AE$22*(AI$15&gt;$I37)*(1-AI$12)</f>
        <v>0</v>
      </c>
      <c r="AJ37" s="747">
        <f>$G37*$H37*(1+$K37)^MAX(ROUNDUP(IFERROR(DATEDIF($I19-1,AJ$15+1,"m"),)/12,)-1,)*Index!AF$22*(AJ$15&gt;$I37)*(1-AJ$12)</f>
        <v>0</v>
      </c>
      <c r="AK37" s="747">
        <f>$G37*$H37*(1+$K37)^MAX(ROUNDUP(IFERROR(DATEDIF($I19-1,AK$15+1,"m"),)/12,)-1,)*Index!AG$22*(AK$15&gt;$I37)*(1-AK$12)</f>
        <v>0</v>
      </c>
      <c r="AL37" s="747">
        <f>$G37*$H37*(1+$K37)^MAX(ROUNDUP(IFERROR(DATEDIF($I19-1,AL$15+1,"m"),)/12,)-1,)*Index!AH$22*(AL$15&gt;$I37)*(1-AL$12)</f>
        <v>0</v>
      </c>
      <c r="AM37" s="747">
        <f>$G37*$H37*(1+$K37)^MAX(ROUNDUP(IFERROR(DATEDIF($I19-1,AM$15+1,"m"),)/12,)-1,)*Index!AI$22*(AM$15&gt;$I37)*(1-AM$12)</f>
        <v>0</v>
      </c>
      <c r="AN37" s="747">
        <f>$G37*$H37*(1+$K37)^MAX(ROUNDUP(IFERROR(DATEDIF($I19-1,AN$15+1,"m"),)/12,)-1,)*Index!AJ$22*(AN$15&gt;$I37)*(1-AN$12)</f>
        <v>0</v>
      </c>
      <c r="AO37" s="747">
        <f>$G37*$H37*(1+$K37)^MAX(ROUNDUP(IFERROR(DATEDIF($I19-1,AO$15+1,"m"),)/12,)-1,)*Index!AK$22*(AO$15&gt;$I37)*(1-AO$12)</f>
        <v>0</v>
      </c>
      <c r="AP37" s="747">
        <f>$G37*$H37*(1+$K37)^MAX(ROUNDUP(IFERROR(DATEDIF($I19-1,AP$15+1,"m"),)/12,)-1,)*Index!AL$22*(AP$15&gt;$I37)*(1-AP$12)</f>
        <v>0</v>
      </c>
      <c r="AQ37" s="747">
        <f>$G37*$H37*(1+$K37)^MAX(ROUNDUP(IFERROR(DATEDIF($I19-1,AQ$15+1,"m"),)/12,)-1,)*Index!AM$22*(AQ$15&gt;$I37)*(1-AQ$12)</f>
        <v>0</v>
      </c>
      <c r="AR37" s="747">
        <f>$G37*$H37*(1+$K37)^MAX(ROUNDUP(IFERROR(DATEDIF($I19-1,AR$15+1,"m"),)/12,)-1,)*Index!AN$22*(AR$15&gt;$I37)*(1-AR$12)</f>
        <v>0</v>
      </c>
      <c r="AS37" s="747">
        <f>$G37*$H37*(1+$K37)^MAX(ROUNDUP(IFERROR(DATEDIF($I19-1,AS$15+1,"m"),)/12,)-1,)*Index!AO$22*(AS$15&gt;$I37)*(1-AS$12)</f>
        <v>0</v>
      </c>
      <c r="AT37" s="747">
        <f>$G37*$H37*(1+$K37)^MAX(ROUNDUP(IFERROR(DATEDIF($I19-1,AT$15+1,"m"),)/12,)-1,)*Index!AP$22*(AT$15&gt;$I37)*(1-AT$12)</f>
        <v>0</v>
      </c>
      <c r="AU37" s="747">
        <f>$G37*$H37*(1+$K37)^MAX(ROUNDUP(IFERROR(DATEDIF($I19-1,AU$15+1,"m"),)/12,)-1,)*Index!AQ$22*(AU$15&gt;$I37)*(1-AU$12)</f>
        <v>0</v>
      </c>
      <c r="AV37" s="747">
        <f>$G37*$H37*(1+$K37)^MAX(ROUNDUP(IFERROR(DATEDIF($I19-1,AV$15+1,"m"),)/12,)-1,)*Index!AR$22*(AV$15&gt;$I37)*(1-AV$12)</f>
        <v>0</v>
      </c>
      <c r="AW37" s="747">
        <f>$G37*$H37*(1+$K37)^MAX(ROUNDUP(IFERROR(DATEDIF($I19-1,AW$15+1,"m"),)/12,)-1,)*Index!AS$22*(AW$15&gt;$I37)*(1-AW$12)</f>
        <v>0</v>
      </c>
      <c r="AX37" s="747">
        <f>$G37*$H37*(1+$K37)^MAX(ROUNDUP(IFERROR(DATEDIF($I19-1,AX$15+1,"m"),)/12,)-1,)*Index!AT$22*(AX$15&gt;$I37)*(1-AX$12)</f>
        <v>0</v>
      </c>
      <c r="AY37" s="747">
        <f>$G37*$H37*(1+$K37)^MAX(ROUNDUP(IFERROR(DATEDIF($I19-1,AY$15+1,"m"),)/12,)-1,)*Index!AU$22*(AY$15&gt;$I37)*(1-AY$12)</f>
        <v>0</v>
      </c>
      <c r="AZ37" s="747">
        <f>$G37*$H37*(1+$K37)^MAX(ROUNDUP(IFERROR(DATEDIF($I19-1,AZ$15+1,"m"),)/12,)-1,)*Index!AV$22*(AZ$15&gt;$I37)*(1-AZ$12)</f>
        <v>0</v>
      </c>
      <c r="BA37" s="747">
        <f>$G37*$H37*(1+$K37)^MAX(ROUNDUP(IFERROR(DATEDIF($I19-1,BA$15+1,"m"),)/12,)-1,)*Index!AW$22*(BA$15&gt;$I37)*(1-BA$12)</f>
        <v>0</v>
      </c>
      <c r="BB37" s="747">
        <f>$G37*$H37*(1+$K37)^MAX(ROUNDUP(IFERROR(DATEDIF($I19-1,BB$15+1,"m"),)/12,)-1,)*Index!AX$22*(BB$15&gt;$I37)*(1-BB$12)</f>
        <v>0</v>
      </c>
      <c r="BC37" s="747">
        <f>$G37*$H37*(1+$K37)^MAX(ROUNDUP(IFERROR(DATEDIF($I19-1,BC$15+1,"m"),)/12,)-1,)*Index!AY$22*(BC$15&gt;$I37)*(1-BC$12)</f>
        <v>0</v>
      </c>
      <c r="BD37" s="747">
        <f>$G37*$H37*(1+$K37)^MAX(ROUNDUP(IFERROR(DATEDIF($I19-1,BD$15+1,"m"),)/12,)-1,)*Index!AZ$22*(BD$15&gt;$I37)*(1-BD$12)</f>
        <v>0</v>
      </c>
      <c r="BE37" s="747">
        <f>$G37*$H37*(1+$K37)^MAX(ROUNDUP(IFERROR(DATEDIF($I19-1,BE$15+1,"m"),)/12,)-1,)*Index!BA$22*(BE$15&gt;$I37)*(1-BE$12)</f>
        <v>0</v>
      </c>
      <c r="BF37" s="747">
        <f>$G37*$H37*(1+$K37)^MAX(ROUNDUP(IFERROR(DATEDIF($I19-1,BF$15+1,"m"),)/12,)-1,)*Index!BB$22*(BF$15&gt;$I37)*(1-BF$12)</f>
        <v>0</v>
      </c>
      <c r="BG37" s="747">
        <f>$G37*$H37*(1+$K37)^MAX(ROUNDUP(IFERROR(DATEDIF($I19-1,BG$15+1,"m"),)/12,)-1,)*Index!BC$22*(BG$15&gt;$I37)*(1-BG$12)</f>
        <v>0</v>
      </c>
      <c r="BH37" s="747">
        <f>$G37*$H37*(1+$K37)^MAX(ROUNDUP(IFERROR(DATEDIF($I19-1,BH$15+1,"m"),)/12,)-1,)*Index!BD$22*(BH$15&gt;$I37)*(1-BH$12)</f>
        <v>0</v>
      </c>
      <c r="BI37" s="747">
        <f>$G37*$H37*(1+$K37)^MAX(ROUNDUP(IFERROR(DATEDIF($I19-1,BI$15+1,"m"),)/12,)-1,)*Index!BE$22*(BI$15&gt;$I37)*(1-BI$12)</f>
        <v>0</v>
      </c>
      <c r="BJ37" s="747">
        <f>$G37*$H37*(1+$K37)^MAX(ROUNDUP(IFERROR(DATEDIF($I19-1,BJ$15+1,"m"),)/12,)-1,)*Index!BF$22*(BJ$15&gt;$I37)*(1-BJ$12)</f>
        <v>0</v>
      </c>
      <c r="BK37" s="747">
        <f>$G37*$H37*(1+$K37)^MAX(ROUNDUP(IFERROR(DATEDIF($I19-1,BK$15+1,"m"),)/12,)-1,)*Index!BG$22*(BK$15&gt;$I37)*(1-BK$12)</f>
        <v>0</v>
      </c>
      <c r="BL37" s="747">
        <f>$G37*$H37*(1+$K37)^MAX(ROUNDUP(IFERROR(DATEDIF($I19-1,BL$15+1,"m"),)/12,)-1,)*Index!BH$22*(BL$15&gt;$I37)*(1-BL$12)</f>
        <v>0</v>
      </c>
      <c r="BM37" s="747">
        <f>$G37*$H37*(1+$K37)^MAX(ROUNDUP(IFERROR(DATEDIF($I19-1,BM$15+1,"m"),)/12,)-1,)*Index!BI$22*(BM$15&gt;$I37)*(1-BM$12)</f>
        <v>0</v>
      </c>
      <c r="BN37" s="747">
        <f>$G37*$H37*(1+$K37)^MAX(ROUNDUP(IFERROR(DATEDIF($I19-1,BN$15+1,"m"),)/12,)-1,)*Index!BJ$22*(BN$15&gt;$I37)*(1-BN$12)</f>
        <v>0</v>
      </c>
      <c r="BO37" s="747">
        <f>$G37*$H37*(1+$K37)^MAX(ROUNDUP(IFERROR(DATEDIF($I19-1,BO$15+1,"m"),)/12,)-1,)*Index!BK$22*(BO$15&gt;$I37)*(1-BO$12)</f>
        <v>0</v>
      </c>
      <c r="BP37" s="747">
        <f>$G37*$H37*(1+$K37)^MAX(ROUNDUP(IFERROR(DATEDIF($I19-1,BP$15+1,"m"),)/12,)-1,)*Index!BL$22*(BP$15&gt;$I37)*(1-BP$12)</f>
        <v>0</v>
      </c>
      <c r="BQ37" s="747">
        <f>$G37*$H37*(1+$K37)^MAX(ROUNDUP(IFERROR(DATEDIF($I19-1,BQ$15+1,"m"),)/12,)-1,)*Index!BM$22*(BQ$15&gt;$I37)*(1-BQ$12)</f>
        <v>0</v>
      </c>
      <c r="BR37" s="747">
        <f>$G37*$H37*(1+$K37)^MAX(ROUNDUP(IFERROR(DATEDIF($I19-1,BR$15+1,"m"),)/12,)-1,)*Index!BN$22*(BR$15&gt;$I37)*(1-BR$12)</f>
        <v>0</v>
      </c>
      <c r="BS37" s="747">
        <f>$G37*$H37*(1+$K37)^MAX(ROUNDUP(IFERROR(DATEDIF($I19-1,BS$15+1,"m"),)/12,)-1,)*Index!BO$22*(BS$15&gt;$I37)*(1-BS$12)</f>
        <v>0</v>
      </c>
      <c r="BT37" s="747">
        <f>$G37*$H37*(1+$K37)^MAX(ROUNDUP(IFERROR(DATEDIF($I19-1,BT$15+1,"m"),)/12,)-1,)*Index!BP$22*(BT$15&gt;$I37)*(1-BT$12)</f>
        <v>0</v>
      </c>
      <c r="BU37" s="747">
        <f>$G37*$H37*(1+$K37)^MAX(ROUNDUP(IFERROR(DATEDIF($I19-1,BU$15+1,"m"),)/12,)-1,)*Index!BQ$22*(BU$15&gt;$I37)*(1-BU$12)</f>
        <v>0</v>
      </c>
      <c r="BV37" s="747">
        <f>$G37*$H37*(1+$K37)^MAX(ROUNDUP(IFERROR(DATEDIF($I19-1,BV$15+1,"m"),)/12,)-1,)*Index!BR$22*(BV$15&gt;$I37)*(1-BV$12)</f>
        <v>0</v>
      </c>
      <c r="BW37" s="747">
        <f>$G37*$H37*(1+$K37)^MAX(ROUNDUP(IFERROR(DATEDIF($I19-1,BW$15+1,"m"),)/12,)-1,)*Index!BS$22*(BW$15&gt;$I37)*(1-BW$12)</f>
        <v>0</v>
      </c>
      <c r="BX37" s="747">
        <f>$G37*$H37*(1+$K37)^MAX(ROUNDUP(IFERROR(DATEDIF($I19-1,BX$15+1,"m"),)/12,)-1,)*Index!BT$22*(BX$15&gt;$I37)*(1-BX$12)</f>
        <v>0</v>
      </c>
      <c r="BY37" s="747">
        <f>$G37*$H37*(1+$K37)^MAX(ROUNDUP(IFERROR(DATEDIF($I19-1,BY$15+1,"m"),)/12,)-1,)*Index!BU$22*(BY$15&gt;$I37)*(1-BY$12)</f>
        <v>0</v>
      </c>
      <c r="BZ37" s="747">
        <f>$G37*$H37*(1+$K37)^MAX(ROUNDUP(IFERROR(DATEDIF($I19-1,BZ$15+1,"m"),)/12,)-1,)*Index!BV$22*(BZ$15&gt;$I37)*(1-BZ$12)</f>
        <v>0</v>
      </c>
      <c r="CA37" s="747">
        <f>$G37*$H37*(1+$K37)^MAX(ROUNDUP(IFERROR(DATEDIF($I19-1,CA$15+1,"m"),)/12,)-1,)*Index!BW$22*(CA$15&gt;$I37)*(1-CA$12)</f>
        <v>0</v>
      </c>
      <c r="CB37" s="747">
        <f>$G37*$H37*(1+$K37)^MAX(ROUNDUP(IFERROR(DATEDIF($I19-1,CB$15+1,"m"),)/12,)-1,)*Index!BX$22*(CB$15&gt;$I37)*(1-CB$12)</f>
        <v>0</v>
      </c>
      <c r="CC37" s="747">
        <f>$G37*$H37*(1+$K37)^MAX(ROUNDUP(IFERROR(DATEDIF($I19-1,CC$15+1,"m"),)/12,)-1,)*Index!BY$22*(CC$15&gt;$I37)*(1-CC$12)</f>
        <v>0</v>
      </c>
      <c r="CD37" s="747">
        <f>$G37*$H37*(1+$K37)^MAX(ROUNDUP(IFERROR(DATEDIF($I19-1,CD$15+1,"m"),)/12,)-1,)*Index!BZ$22*(CD$15&gt;$I37)*(1-CD$12)</f>
        <v>0</v>
      </c>
      <c r="CE37" s="747">
        <f>$G37*$H37*(1+$K37)^MAX(ROUNDUP(IFERROR(DATEDIF($I19-1,CE$15+1,"m"),)/12,)-1,)*Index!CA$22*(CE$15&gt;$I37)*(1-CE$12)</f>
        <v>0</v>
      </c>
      <c r="CF37" s="747">
        <f>$G37*$H37*(1+$K37)^MAX(ROUNDUP(IFERROR(DATEDIF($I19-1,CF$15+1,"m"),)/12,)-1,)*Index!CB$22*(CF$15&gt;$I37)*(1-CF$12)</f>
        <v>0</v>
      </c>
      <c r="CG37" s="747">
        <f>$G37*$H37*(1+$K37)^MAX(ROUNDUP(IFERROR(DATEDIF($I19-1,CG$15+1,"m"),)/12,)-1,)*Index!CC$22*(CG$15&gt;$I37)*(1-CG$12)</f>
        <v>0</v>
      </c>
      <c r="CH37" s="747">
        <f>$G37*$H37*(1+$K37)^MAX(ROUNDUP(IFERROR(DATEDIF($I19-1,CH$15+1,"m"),)/12,)-1,)*Index!CD$22*(CH$15&gt;$I37)*(1-CH$12)</f>
        <v>0</v>
      </c>
      <c r="CI37" s="747">
        <f>$G37*$H37*(1+$K37)^MAX(ROUNDUP(IFERROR(DATEDIF($I19-1,CI$15+1,"m"),)/12,)-1,)*Index!CE$22*(CI$15&gt;$I37)*(1-CI$12)</f>
        <v>0</v>
      </c>
      <c r="CJ37" s="747">
        <f>$G37*$H37*(1+$K37)^MAX(ROUNDUP(IFERROR(DATEDIF($I19-1,CJ$15+1,"m"),)/12,)-1,)*Index!CF$22*(CJ$15&gt;$I37)*(1-CJ$12)</f>
        <v>0</v>
      </c>
      <c r="CK37" s="747">
        <f>$G37*$H37*(1+$K37)^MAX(ROUNDUP(IFERROR(DATEDIF($I19-1,CK$15+1,"m"),)/12,)-1,)*Index!CG$22*(CK$15&gt;$I37)*(1-CK$12)</f>
        <v>0</v>
      </c>
      <c r="CL37" s="747">
        <f>$G37*$H37*(1+$K37)^MAX(ROUNDUP(IFERROR(DATEDIF($I19-1,CL$15+1,"m"),)/12,)-1,)*Index!CH$22*(CL$15&gt;$I37)*(1-CL$12)</f>
        <v>0</v>
      </c>
      <c r="CM37" s="747">
        <f>$G37*$H37*(1+$K37)^MAX(ROUNDUP(IFERROR(DATEDIF($I19-1,CM$15+1,"m"),)/12,)-1,)*Index!CI$22*(CM$15&gt;$I37)*(1-CM$12)</f>
        <v>0</v>
      </c>
      <c r="CN37" s="747">
        <f>$G37*$H37*(1+$K37)^MAX(ROUNDUP(IFERROR(DATEDIF($I19-1,CN$15+1,"m"),)/12,)-1,)*Index!CJ$22*(CN$15&gt;$I37)*(1-CN$12)</f>
        <v>0</v>
      </c>
      <c r="CO37" s="747">
        <f>$G37*$H37*(1+$K37)^MAX(ROUNDUP(IFERROR(DATEDIF($I19-1,CO$15+1,"m"),)/12,)-1,)*Index!CK$22*(CO$15&gt;$I37)*(1-CO$12)</f>
        <v>0</v>
      </c>
      <c r="CP37" s="747">
        <f>$G37*$H37*(1+$K37)^MAX(ROUNDUP(IFERROR(DATEDIF($I19-1,CP$15+1,"m"),)/12,)-1,)*Index!CL$22*(CP$15&gt;$I37)*(1-CP$12)</f>
        <v>0</v>
      </c>
      <c r="CQ37" s="747">
        <f>$G37*$H37*(1+$K37)^MAX(ROUNDUP(IFERROR(DATEDIF($I19-1,CQ$15+1,"m"),)/12,)-1,)*Index!CM$22*(CQ$15&gt;$I37)*(1-CQ$12)</f>
        <v>0</v>
      </c>
      <c r="CR37" s="747">
        <f>$G37*$H37*(1+$K37)^MAX(ROUNDUP(IFERROR(DATEDIF($I19-1,CR$15+1,"m"),)/12,)-1,)*Index!CN$22*(CR$15&gt;$I37)*(1-CR$12)</f>
        <v>0</v>
      </c>
      <c r="CS37" s="747">
        <f>$G37*$H37*(1+$K37)^MAX(ROUNDUP(IFERROR(DATEDIF($I19-1,CS$15+1,"m"),)/12,)-1,)*Index!CO$22*(CS$15&gt;$I37)*(1-CS$12)</f>
        <v>0</v>
      </c>
      <c r="CT37" s="747">
        <f>$G37*$H37*(1+$K37)^MAX(ROUNDUP(IFERROR(DATEDIF($I19-1,CT$15+1,"m"),)/12,)-1,)*Index!CP$22*(CT$15&gt;$I37)*(1-CT$12)</f>
        <v>0</v>
      </c>
      <c r="CU37" s="747">
        <f>$G37*$H37*(1+$K37)^MAX(ROUNDUP(IFERROR(DATEDIF($I19-1,CU$15+1,"m"),)/12,)-1,)*Index!CQ$22*(CU$15&gt;$I37)*(1-CU$12)</f>
        <v>0</v>
      </c>
      <c r="CV37" s="747">
        <f>$G37*$H37*(1+$K37)^MAX(ROUNDUP(IFERROR(DATEDIF($I19-1,CV$15+1,"m"),)/12,)-1,)*Index!CR$22*(CV$15&gt;$I37)*(1-CV$12)</f>
        <v>0</v>
      </c>
      <c r="CW37" s="747">
        <f>$G37*$H37*(1+$K37)^MAX(ROUNDUP(IFERROR(DATEDIF($I19-1,CW$15+1,"m"),)/12,)-1,)*Index!CS$22*(CW$15&gt;$I37)*(1-CW$12)</f>
        <v>0</v>
      </c>
      <c r="CX37" s="747">
        <f>$G37*$H37*(1+$K37)^MAX(ROUNDUP(IFERROR(DATEDIF($I19-1,CX$15+1,"m"),)/12,)-1,)*Index!CT$22*(CX$15&gt;$I37)*(1-CX$12)</f>
        <v>0</v>
      </c>
      <c r="CY37" s="747">
        <f>$G37*$H37*(1+$K37)^MAX(ROUNDUP(IFERROR(DATEDIF($I19-1,CY$15+1,"m"),)/12,)-1,)*Index!CU$22*(CY$15&gt;$I37)*(1-CY$12)</f>
        <v>0</v>
      </c>
      <c r="CZ37" s="747">
        <f>$G37*$H37*(1+$K37)^MAX(ROUNDUP(IFERROR(DATEDIF($I19-1,CZ$15+1,"m"),)/12,)-1,)*Index!CV$22*(CZ$15&gt;$I37)*(1-CZ$12)</f>
        <v>0</v>
      </c>
      <c r="DA37" s="747">
        <f>$G37*$H37*(1+$K37)^MAX(ROUNDUP(IFERROR(DATEDIF($I19-1,DA$15+1,"m"),)/12,)-1,)*Index!CW$22*(DA$15&gt;$I37)*(1-DA$12)</f>
        <v>0</v>
      </c>
      <c r="DB37" s="747">
        <f>$G37*$H37*(1+$K37)^MAX(ROUNDUP(IFERROR(DATEDIF($I19-1,DB$15+1,"m"),)/12,)-1,)*Index!CX$22*(DB$15&gt;$I37)*(1-DB$12)</f>
        <v>0</v>
      </c>
      <c r="DC37" s="747">
        <f>$G37*$H37*(1+$K37)^MAX(ROUNDUP(IFERROR(DATEDIF($I19-1,DC$15+1,"m"),)/12,)-1,)*Index!CY$22*(DC$15&gt;$I37)*(1-DC$12)</f>
        <v>4379.8248699161541</v>
      </c>
      <c r="DD37" s="747">
        <f>$G37*$H37*(1+$K37)^MAX(ROUNDUP(IFERROR(DATEDIF($I19-1,DD$15+1,"m"),)/12,)-1,)*Index!CZ$22*(DD$15&gt;$I37)*(1-DD$12)</f>
        <v>4379.8248699161541</v>
      </c>
      <c r="DE37" s="747">
        <f>$G37*$H37*(1+$K37)^MAX(ROUNDUP(IFERROR(DATEDIF($I19-1,DE$15+1,"m"),)/12,)-1,)*Index!DA$22*(DE$15&gt;$I37)*(1-DE$12)</f>
        <v>4379.8248699161541</v>
      </c>
      <c r="DF37" s="747">
        <f>$G37*$H37*(1+$K37)^MAX(ROUNDUP(IFERROR(DATEDIF($I19-1,DF$15+1,"m"),)/12,)-1,)*Index!DB$22*(DF$15&gt;$I37)*(1-DF$12)</f>
        <v>4379.8248699161541</v>
      </c>
      <c r="DG37" s="747">
        <f>$G37*$H37*(1+$K37)^MAX(ROUNDUP(IFERROR(DATEDIF($I19-1,DG$15+1,"m"),)/12,)-1,)*Index!DC$22*(DG$15&gt;$I37)*(1-DG$12)</f>
        <v>4379.8248699161541</v>
      </c>
      <c r="DH37" s="747">
        <f>$G37*$H37*(1+$K37)^MAX(ROUNDUP(IFERROR(DATEDIF($I19-1,DH$15+1,"m"),)/12,)-1,)*Index!DD$22*(DH$15&gt;$I37)*(1-DH$12)</f>
        <v>4379.8248699161541</v>
      </c>
      <c r="DI37" s="747">
        <f>$G37*$H37*(1+$K37)^MAX(ROUNDUP(IFERROR(DATEDIF($I19-1,DI$15+1,"m"),)/12,)-1,)*Index!DE$22*(DI$15&gt;$I37)*(1-DI$12)</f>
        <v>4489.320491664058</v>
      </c>
      <c r="DJ37" s="747">
        <f>$G37*$H37*(1+$K37)^MAX(ROUNDUP(IFERROR(DATEDIF($I19-1,DJ$15+1,"m"),)/12,)-1,)*Index!DF$22*(DJ$15&gt;$I37)*(1-DJ$12)</f>
        <v>4489.320491664058</v>
      </c>
      <c r="DK37" s="747">
        <f>$G37*$H37*(1+$K37)^MAX(ROUNDUP(IFERROR(DATEDIF($I19-1,DK$15+1,"m"),)/12,)-1,)*Index!DG$22*(DK$15&gt;$I37)*(1-DK$12)</f>
        <v>4489.320491664058</v>
      </c>
      <c r="DL37" s="747">
        <f>$G37*$H37*(1+$K37)^MAX(ROUNDUP(IFERROR(DATEDIF($I19-1,DL$15+1,"m"),)/12,)-1,)*Index!DH$22*(DL$15&gt;$I37)*(1-DL$12)</f>
        <v>4489.320491664058</v>
      </c>
      <c r="DM37" s="747">
        <f>$G37*$H37*(1+$K37)^MAX(ROUNDUP(IFERROR(DATEDIF($I19-1,DM$15+1,"m"),)/12,)-1,)*Index!DI$22*(DM$15&gt;$I37)*(1-DM$12)</f>
        <v>4489.320491664058</v>
      </c>
      <c r="DN37" s="747">
        <f>$G37*$H37*(1+$K37)^MAX(ROUNDUP(IFERROR(DATEDIF($I19-1,DN$15+1,"m"),)/12,)-1,)*Index!DJ$22*(DN$15&gt;$I37)*(1-DN$12)</f>
        <v>4489.320491664058</v>
      </c>
      <c r="DO37" s="747">
        <f>$G37*$H37*(1+$K37)^MAX(ROUNDUP(IFERROR(DATEDIF($I19-1,DO$15+1,"m"),)/12,)-1,)*Index!DK$22*(DO$15&gt;$I37)*(1-DO$12)</f>
        <v>4489.320491664058</v>
      </c>
      <c r="DP37" s="747">
        <f>$G37*$H37*(1+$K37)^MAX(ROUNDUP(IFERROR(DATEDIF($I19-1,DP$15+1,"m"),)/12,)-1,)*Index!DL$22*(DP$15&gt;$I37)*(1-DP$12)</f>
        <v>4489.320491664058</v>
      </c>
      <c r="DQ37" s="747">
        <f>$G37*$H37*(1+$K37)^MAX(ROUNDUP(IFERROR(DATEDIF($I19-1,DQ$15+1,"m"),)/12,)-1,)*Index!DM$22*(DQ$15&gt;$I37)*(1-DQ$12)</f>
        <v>4489.320491664058</v>
      </c>
      <c r="DR37" s="747">
        <f>$G37*$H37*(1+$K37)^MAX(ROUNDUP(IFERROR(DATEDIF($I19-1,DR$15+1,"m"),)/12,)-1,)*Index!DN$22*(DR$15&gt;$I37)*(1-DR$12)</f>
        <v>4489.320491664058</v>
      </c>
      <c r="DS37" s="747">
        <f>$G37*$H37*(1+$K37)^MAX(ROUNDUP(IFERROR(DATEDIF($I19-1,DS$15+1,"m"),)/12,)-1,)*Index!DO$22*(DS$15&gt;$I37)*(1-DS$12)</f>
        <v>4489.320491664058</v>
      </c>
      <c r="DT37" s="747">
        <f>$G37*$H37*(1+$K37)^MAX(ROUNDUP(IFERROR(DATEDIF($I19-1,DT$15+1,"m"),)/12,)-1,)*Index!DP$22*(DT$15&gt;$I37)*(1-DT$12)</f>
        <v>4489.320491664058</v>
      </c>
      <c r="DU37" s="747">
        <f>$G37*$H37*(1+$K37)^MAX(ROUNDUP(IFERROR(DATEDIF($I19-1,DU$15+1,"m"),)/12,)-1,)*Index!DQ$22*(DU$15&gt;$I37)*(1-DU$12)</f>
        <v>4601.553503955658</v>
      </c>
      <c r="DV37" s="747">
        <f>$G37*$H37*(1+$K37)^MAX(ROUNDUP(IFERROR(DATEDIF($I19-1,DV$15+1,"m"),)/12,)-1,)*Index!DR$22*(DV$15&gt;$I37)*(1-DV$12)</f>
        <v>4601.553503955658</v>
      </c>
      <c r="DW37" s="747">
        <f>$G37*$H37*(1+$K37)^MAX(ROUNDUP(IFERROR(DATEDIF($I19-1,DW$15+1,"m"),)/12,)-1,)*Index!DS$22*(DW$15&gt;$I37)*(1-DW$12)</f>
        <v>4601.553503955658</v>
      </c>
      <c r="DX37" s="747">
        <f>$G37*$H37*(1+$K37)^MAX(ROUNDUP(IFERROR(DATEDIF($I19-1,DX$15+1,"m"),)/12,)-1,)*Index!DT$22*(DX$15&gt;$I37)*(1-DX$12)</f>
        <v>4601.553503955658</v>
      </c>
      <c r="DY37" s="747">
        <f>$G37*$H37*(1+$K37)^MAX(ROUNDUP(IFERROR(DATEDIF($I19-1,DY$15+1,"m"),)/12,)-1,)*Index!DU$22*(DY$15&gt;$I37)*(1-DY$12)</f>
        <v>4601.553503955658</v>
      </c>
      <c r="DZ37" s="747">
        <f>$G37*$H37*(1+$K37)^MAX(ROUNDUP(IFERROR(DATEDIF($I19-1,DZ$15+1,"m"),)/12,)-1,)*Index!DV$22*(DZ$15&gt;$I37)*(1-DZ$12)</f>
        <v>4601.553503955658</v>
      </c>
      <c r="EA37" s="747">
        <f>$G37*$H37*(1+$K37)^MAX(ROUNDUP(IFERROR(DATEDIF($I19-1,EA$15+1,"m"),)/12,)-1,)*Index!DW$22*(EA$15&gt;$I37)*(1-EA$12)</f>
        <v>4601.553503955658</v>
      </c>
      <c r="EB37" s="747">
        <f>$G37*$H37*(1+$K37)^MAX(ROUNDUP(IFERROR(DATEDIF($I19-1,EB$15+1,"m"),)/12,)-1,)*Index!DX$22*(EB$15&gt;$I37)*(1-EB$12)</f>
        <v>4601.553503955658</v>
      </c>
      <c r="EC37" s="747">
        <f>$G37*$H37*(1+$K37)^MAX(ROUNDUP(IFERROR(DATEDIF($I19-1,EC$15+1,"m"),)/12,)-1,)*Index!DY$22*(EC$15&gt;$I37)*(1-EC$12)</f>
        <v>4601.553503955658</v>
      </c>
      <c r="ED37" s="747">
        <f>$G37*$H37*(1+$K37)^MAX(ROUNDUP(IFERROR(DATEDIF($I19-1,ED$15+1,"m"),)/12,)-1,)*Index!DZ$22*(ED$15&gt;$I37)*(1-ED$12)</f>
        <v>4601.553503955658</v>
      </c>
      <c r="EE37" s="747">
        <f>$G37*$H37*(1+$K37)^MAX(ROUNDUP(IFERROR(DATEDIF($I19-1,EE$15+1,"m"),)/12,)-1,)*Index!EA$22*(EE$15&gt;$I37)*(1-EE$12)</f>
        <v>4601.553503955658</v>
      </c>
      <c r="EF37" s="747">
        <f>$G37*$H37*(1+$K37)^MAX(ROUNDUP(IFERROR(DATEDIF($I19-1,EF$15+1,"m"),)/12,)-1,)*Index!EB$22*(EF$15&gt;$I37)*(1-EF$12)</f>
        <v>4601.553503955658</v>
      </c>
      <c r="EG37" s="747">
        <f>$G37*$H37*(1+$K37)^MAX(ROUNDUP(IFERROR(DATEDIF($I19-1,EG$15+1,"m"),)/12,)-1,)*Index!EC$22*(EG$15&gt;$I37)*(1-EG$12)</f>
        <v>0</v>
      </c>
      <c r="EH37" s="747">
        <f>$G37*$H37*(1+$K37)^MAX(ROUNDUP(IFERROR(DATEDIF($I19-1,EH$15+1,"m"),)/12,)-1,)*Index!ED$22*(EH$15&gt;$I37)*(1-EH$12)</f>
        <v>0</v>
      </c>
      <c r="EI37" s="747">
        <f>$G37*$H37*(1+$K37)^MAX(ROUNDUP(IFERROR(DATEDIF($I19-1,EI$15+1,"m"),)/12,)-1,)*Index!EE$22*(EI$15&gt;$I37)*(1-EI$12)</f>
        <v>0</v>
      </c>
      <c r="EJ37" s="747">
        <f>$G37*$H37*(1+$K37)^MAX(ROUNDUP(IFERROR(DATEDIF($I19-1,EJ$15+1,"m"),)/12,)-1,)*Index!EF$22*(EJ$15&gt;$I37)*(1-EJ$12)</f>
        <v>0</v>
      </c>
      <c r="EK37" s="747">
        <f>$G37*$H37*(1+$K37)^MAX(ROUNDUP(IFERROR(DATEDIF($I19-1,EK$15+1,"m"),)/12,)-1,)*Index!EG$22*(EK$15&gt;$I37)*(1-EK$12)</f>
        <v>0</v>
      </c>
      <c r="EL37" s="747">
        <f>$G37*$H37*(1+$K37)^MAX(ROUNDUP(IFERROR(DATEDIF($I19-1,EL$15+1,"m"),)/12,)-1,)*Index!EH$22*(EL$15&gt;$I37)*(1-EL$12)</f>
        <v>0</v>
      </c>
      <c r="EM37" s="747">
        <f>$G37*$H37*(1+$K37)^MAX(ROUNDUP(IFERROR(DATEDIF($I19-1,EM$15+1,"m"),)/12,)-1,)*Index!EI$22*(EM$15&gt;$I37)*(1-EM$12)</f>
        <v>0</v>
      </c>
      <c r="EN37" s="747">
        <f>$G37*$H37*(1+$K37)^MAX(ROUNDUP(IFERROR(DATEDIF($I19-1,EN$15+1,"m"),)/12,)-1,)*Index!EJ$22*(EN$15&gt;$I37)*(1-EN$12)</f>
        <v>0</v>
      </c>
      <c r="EO37" s="747">
        <f>$G37*$H37*(1+$K37)^MAX(ROUNDUP(IFERROR(DATEDIF($I19-1,EO$15+1,"m"),)/12,)-1,)*Index!EK$22*(EO$15&gt;$I37)*(1-EO$12)</f>
        <v>0</v>
      </c>
      <c r="EP37" s="747">
        <f>$G37*$H37*(1+$K37)^MAX(ROUNDUP(IFERROR(DATEDIF($I19-1,EP$15+1,"m"),)/12,)-1,)*Index!EL$22*(EP$15&gt;$I37)*(1-EP$12)</f>
        <v>0</v>
      </c>
      <c r="EQ37" s="747">
        <f>$G37*$H37*(1+$K37)^MAX(ROUNDUP(IFERROR(DATEDIF($I19-1,EQ$15+1,"m"),)/12,)-1,)*Index!EM$22*(EQ$15&gt;$I37)*(1-EQ$12)</f>
        <v>0</v>
      </c>
      <c r="ER37" s="747">
        <f>$G37*$H37*(1+$K37)^MAX(ROUNDUP(IFERROR(DATEDIF($I19-1,ER$15+1,"m"),)/12,)-1,)*Index!EN$22*(ER$15&gt;$I37)*(1-ER$12)</f>
        <v>0</v>
      </c>
      <c r="ES37" s="747">
        <f>$G37*$H37*(1+$K37)^MAX(ROUNDUP(IFERROR(DATEDIF($I19-1,ES$15+1,"m"),)/12,)-1,)*Index!EO$22*(ES$15&gt;$I37)*(1-ES$12)</f>
        <v>0</v>
      </c>
      <c r="ET37" s="747">
        <f>$G37*$H37*(1+$K37)^MAX(ROUNDUP(IFERROR(DATEDIF($I19-1,ET$15+1,"m"),)/12,)-1,)*Index!EP$22*(ET$15&gt;$I37)*(1-ET$12)</f>
        <v>0</v>
      </c>
      <c r="EU37" s="747">
        <f>$G37*$H37*(1+$K37)^MAX(ROUNDUP(IFERROR(DATEDIF($I19-1,EU$15+1,"m"),)/12,)-1,)*Index!EQ$22*(EU$15&gt;$I37)*(1-EU$12)</f>
        <v>0</v>
      </c>
    </row>
    <row r="38" spans="3:151" ht="11.25" customHeight="1">
      <c r="C38" s="735"/>
      <c r="D38" s="743">
        <f t="shared" si="11"/>
        <v>8</v>
      </c>
      <c r="E38" s="704" t="str">
        <f t="shared" si="11"/>
        <v>키즈밀</v>
      </c>
      <c r="F38" s="704" t="str">
        <f t="shared" si="11"/>
        <v>근린생활시설</v>
      </c>
      <c r="G38" s="752" cm="1">
        <f t="array" ref="G38">SUMPRODUCT(('Rent-roll'!$E38='A&amp;R'!$V$26:$V$32)*('A&amp;R'!$AB$26:$AB$32))/1000</f>
        <v>57.311466586702835</v>
      </c>
      <c r="H38" s="744">
        <f t="shared" si="12"/>
        <v>479.38</v>
      </c>
      <c r="I38" s="745">
        <f t="shared" si="13"/>
        <v>47483</v>
      </c>
      <c r="J38" s="745"/>
      <c r="K38" s="754">
        <f t="shared" si="14"/>
        <v>2.5000000000000001E-2</v>
      </c>
      <c r="L38" s="746"/>
      <c r="M38" s="722"/>
      <c r="N38" s="747">
        <f t="shared" si="15"/>
        <v>2743180.3838992459</v>
      </c>
      <c r="O38" s="733"/>
      <c r="P38" s="747">
        <f>$G38*$H38*(1+$K38)^MAX(ROUNDUP(IFERROR(DATEDIF($I20-1,P$15+1,"m"),)/12,)-1,)*Index!L$22*(P$15&gt;$I38)*(1-P$12)</f>
        <v>0</v>
      </c>
      <c r="Q38" s="747">
        <f>$G38*$H38*(1+$K38)^MAX(ROUNDUP(IFERROR(DATEDIF($I20-1,Q$15+1,"m"),)/12,)-1,)*Index!M$22*(Q$15&gt;$I38)*(1-Q$12)</f>
        <v>0</v>
      </c>
      <c r="R38" s="747">
        <f>$G38*$H38*(1+$K38)^MAX(ROUNDUP(IFERROR(DATEDIF($I20-1,R$15+1,"m"),)/12,)-1,)*Index!N$22*(R$15&gt;$I38)*(1-R$12)</f>
        <v>0</v>
      </c>
      <c r="S38" s="747">
        <f>$G38*$H38*(1+$K38)^MAX(ROUNDUP(IFERROR(DATEDIF($I20-1,S$15+1,"m"),)/12,)-1,)*Index!O$22*(S$15&gt;$I38)*(1-S$12)</f>
        <v>0</v>
      </c>
      <c r="T38" s="747">
        <f>$G38*$H38*(1+$K38)^MAX(ROUNDUP(IFERROR(DATEDIF($I20-1,T$15+1,"m"),)/12,)-1,)*Index!P$22*(T$15&gt;$I38)*(1-T$12)</f>
        <v>0</v>
      </c>
      <c r="U38" s="747">
        <f>$G38*$H38*(1+$K38)^MAX(ROUNDUP(IFERROR(DATEDIF($I20-1,U$15+1,"m"),)/12,)-1,)*Index!Q$22*(U$15&gt;$I38)*(1-U$12)</f>
        <v>0</v>
      </c>
      <c r="V38" s="747">
        <f>$G38*$H38*(1+$K38)^MAX(ROUNDUP(IFERROR(DATEDIF($I20-1,V$15+1,"m"),)/12,)-1,)*Index!R$22*(V$15&gt;$I38)*(1-V$12)</f>
        <v>0</v>
      </c>
      <c r="W38" s="747">
        <f>$G38*$H38*(1+$K38)^MAX(ROUNDUP(IFERROR(DATEDIF($I20-1,W$15+1,"m"),)/12,)-1,)*Index!S$22*(W$15&gt;$I38)*(1-W$12)</f>
        <v>0</v>
      </c>
      <c r="X38" s="747">
        <f>$G38*$H38*(1+$K38)^MAX(ROUNDUP(IFERROR(DATEDIF($I20-1,X$15+1,"m"),)/12,)-1,)*Index!T$22*(X$15&gt;$I38)*(1-X$12)</f>
        <v>0</v>
      </c>
      <c r="Y38" s="747">
        <f>$G38*$H38*(1+$K38)^MAX(ROUNDUP(IFERROR(DATEDIF($I20-1,Y$15+1,"m"),)/12,)-1,)*Index!U$22*(Y$15&gt;$I38)*(1-Y$12)</f>
        <v>0</v>
      </c>
      <c r="Z38" s="747">
        <f>$G38*$H38*(1+$K38)^MAX(ROUNDUP(IFERROR(DATEDIF($I20-1,Z$15+1,"m"),)/12,)-1,)*Index!V$22*(Z$15&gt;$I38)*(1-Z$12)</f>
        <v>0</v>
      </c>
      <c r="AA38" s="747">
        <f>$G38*$H38*(1+$K38)^MAX(ROUNDUP(IFERROR(DATEDIF($I20-1,AA$15+1,"m"),)/12,)-1,)*Index!W$22*(AA$15&gt;$I38)*(1-AA$12)</f>
        <v>0</v>
      </c>
      <c r="AB38" s="747">
        <f>$G38*$H38*(1+$K38)^MAX(ROUNDUP(IFERROR(DATEDIF($I20-1,AB$15+1,"m"),)/12,)-1,)*Index!X$22*(AB$15&gt;$I38)*(1-AB$12)</f>
        <v>0</v>
      </c>
      <c r="AC38" s="747">
        <f>$G38*$H38*(1+$K38)^MAX(ROUNDUP(IFERROR(DATEDIF($I20-1,AC$15+1,"m"),)/12,)-1,)*Index!Y$22*(AC$15&gt;$I38)*(1-AC$12)</f>
        <v>0</v>
      </c>
      <c r="AD38" s="747">
        <f>$G38*$H38*(1+$K38)^MAX(ROUNDUP(IFERROR(DATEDIF($I20-1,AD$15+1,"m"),)/12,)-1,)*Index!Z$22*(AD$15&gt;$I38)*(1-AD$12)</f>
        <v>0</v>
      </c>
      <c r="AE38" s="747">
        <f>$G38*$H38*(1+$K38)^MAX(ROUNDUP(IFERROR(DATEDIF($I20-1,AE$15+1,"m"),)/12,)-1,)*Index!AA$22*(AE$15&gt;$I38)*(1-AE$12)</f>
        <v>0</v>
      </c>
      <c r="AF38" s="747">
        <f>$G38*$H38*(1+$K38)^MAX(ROUNDUP(IFERROR(DATEDIF($I20-1,AF$15+1,"m"),)/12,)-1,)*Index!AB$22*(AF$15&gt;$I38)*(1-AF$12)</f>
        <v>0</v>
      </c>
      <c r="AG38" s="747">
        <f>$G38*$H38*(1+$K38)^MAX(ROUNDUP(IFERROR(DATEDIF($I20-1,AG$15+1,"m"),)/12,)-1,)*Index!AC$22*(AG$15&gt;$I38)*(1-AG$12)</f>
        <v>0</v>
      </c>
      <c r="AH38" s="747">
        <f>$G38*$H38*(1+$K38)^MAX(ROUNDUP(IFERROR(DATEDIF($I20-1,AH$15+1,"m"),)/12,)-1,)*Index!AD$22*(AH$15&gt;$I38)*(1-AH$12)</f>
        <v>0</v>
      </c>
      <c r="AI38" s="747">
        <f>$G38*$H38*(1+$K38)^MAX(ROUNDUP(IFERROR(DATEDIF($I20-1,AI$15+1,"m"),)/12,)-1,)*Index!AE$22*(AI$15&gt;$I38)*(1-AI$12)</f>
        <v>0</v>
      </c>
      <c r="AJ38" s="747">
        <f>$G38*$H38*(1+$K38)^MAX(ROUNDUP(IFERROR(DATEDIF($I20-1,AJ$15+1,"m"),)/12,)-1,)*Index!AF$22*(AJ$15&gt;$I38)*(1-AJ$12)</f>
        <v>0</v>
      </c>
      <c r="AK38" s="747">
        <f>$G38*$H38*(1+$K38)^MAX(ROUNDUP(IFERROR(DATEDIF($I20-1,AK$15+1,"m"),)/12,)-1,)*Index!AG$22*(AK$15&gt;$I38)*(1-AK$12)</f>
        <v>0</v>
      </c>
      <c r="AL38" s="747">
        <f>$G38*$H38*(1+$K38)^MAX(ROUNDUP(IFERROR(DATEDIF($I20-1,AL$15+1,"m"),)/12,)-1,)*Index!AH$22*(AL$15&gt;$I38)*(1-AL$12)</f>
        <v>0</v>
      </c>
      <c r="AM38" s="747">
        <f>$G38*$H38*(1+$K38)^MAX(ROUNDUP(IFERROR(DATEDIF($I20-1,AM$15+1,"m"),)/12,)-1,)*Index!AI$22*(AM$15&gt;$I38)*(1-AM$12)</f>
        <v>0</v>
      </c>
      <c r="AN38" s="747">
        <f>$G38*$H38*(1+$K38)^MAX(ROUNDUP(IFERROR(DATEDIF($I20-1,AN$15+1,"m"),)/12,)-1,)*Index!AJ$22*(AN$15&gt;$I38)*(1-AN$12)</f>
        <v>0</v>
      </c>
      <c r="AO38" s="747">
        <f>$G38*$H38*(1+$K38)^MAX(ROUNDUP(IFERROR(DATEDIF($I20-1,AO$15+1,"m"),)/12,)-1,)*Index!AK$22*(AO$15&gt;$I38)*(1-AO$12)</f>
        <v>0</v>
      </c>
      <c r="AP38" s="747">
        <f>$G38*$H38*(1+$K38)^MAX(ROUNDUP(IFERROR(DATEDIF($I20-1,AP$15+1,"m"),)/12,)-1,)*Index!AL$22*(AP$15&gt;$I38)*(1-AP$12)</f>
        <v>0</v>
      </c>
      <c r="AQ38" s="747">
        <f>$G38*$H38*(1+$K38)^MAX(ROUNDUP(IFERROR(DATEDIF($I20-1,AQ$15+1,"m"),)/12,)-1,)*Index!AM$22*(AQ$15&gt;$I38)*(1-AQ$12)</f>
        <v>0</v>
      </c>
      <c r="AR38" s="747">
        <f>$G38*$H38*(1+$K38)^MAX(ROUNDUP(IFERROR(DATEDIF($I20-1,AR$15+1,"m"),)/12,)-1,)*Index!AN$22*(AR$15&gt;$I38)*(1-AR$12)</f>
        <v>0</v>
      </c>
      <c r="AS38" s="747">
        <f>$G38*$H38*(1+$K38)^MAX(ROUNDUP(IFERROR(DATEDIF($I20-1,AS$15+1,"m"),)/12,)-1,)*Index!AO$22*(AS$15&gt;$I38)*(1-AS$12)</f>
        <v>0</v>
      </c>
      <c r="AT38" s="747">
        <f>$G38*$H38*(1+$K38)^MAX(ROUNDUP(IFERROR(DATEDIF($I20-1,AT$15+1,"m"),)/12,)-1,)*Index!AP$22*(AT$15&gt;$I38)*(1-AT$12)</f>
        <v>0</v>
      </c>
      <c r="AU38" s="747">
        <f>$G38*$H38*(1+$K38)^MAX(ROUNDUP(IFERROR(DATEDIF($I20-1,AU$15+1,"m"),)/12,)-1,)*Index!AQ$22*(AU$15&gt;$I38)*(1-AU$12)</f>
        <v>0</v>
      </c>
      <c r="AV38" s="747">
        <f>$G38*$H38*(1+$K38)^MAX(ROUNDUP(IFERROR(DATEDIF($I20-1,AV$15+1,"m"),)/12,)-1,)*Index!AR$22*(AV$15&gt;$I38)*(1-AV$12)</f>
        <v>0</v>
      </c>
      <c r="AW38" s="747">
        <f>$G38*$H38*(1+$K38)^MAX(ROUNDUP(IFERROR(DATEDIF($I20-1,AW$15+1,"m"),)/12,)-1,)*Index!AS$22*(AW$15&gt;$I38)*(1-AW$12)</f>
        <v>0</v>
      </c>
      <c r="AX38" s="747">
        <f>$G38*$H38*(1+$K38)^MAX(ROUNDUP(IFERROR(DATEDIF($I20-1,AX$15+1,"m"),)/12,)-1,)*Index!AT$22*(AX$15&gt;$I38)*(1-AX$12)</f>
        <v>0</v>
      </c>
      <c r="AY38" s="747">
        <f>$G38*$H38*(1+$K38)^MAX(ROUNDUP(IFERROR(DATEDIF($I20-1,AY$15+1,"m"),)/12,)-1,)*Index!AU$22*(AY$15&gt;$I38)*(1-AY$12)</f>
        <v>0</v>
      </c>
      <c r="AZ38" s="747">
        <f>$G38*$H38*(1+$K38)^MAX(ROUNDUP(IFERROR(DATEDIF($I20-1,AZ$15+1,"m"),)/12,)-1,)*Index!AV$22*(AZ$15&gt;$I38)*(1-AZ$12)</f>
        <v>0</v>
      </c>
      <c r="BA38" s="747">
        <f>$G38*$H38*(1+$K38)^MAX(ROUNDUP(IFERROR(DATEDIF($I20-1,BA$15+1,"m"),)/12,)-1,)*Index!AW$22*(BA$15&gt;$I38)*(1-BA$12)</f>
        <v>0</v>
      </c>
      <c r="BB38" s="747">
        <f>$G38*$H38*(1+$K38)^MAX(ROUNDUP(IFERROR(DATEDIF($I20-1,BB$15+1,"m"),)/12,)-1,)*Index!AX$22*(BB$15&gt;$I38)*(1-BB$12)</f>
        <v>0</v>
      </c>
      <c r="BC38" s="747">
        <f>$G38*$H38*(1+$K38)^MAX(ROUNDUP(IFERROR(DATEDIF($I20-1,BC$15+1,"m"),)/12,)-1,)*Index!AY$22*(BC$15&gt;$I38)*(1-BC$12)</f>
        <v>31084.276263047876</v>
      </c>
      <c r="BD38" s="747">
        <f>$G38*$H38*(1+$K38)^MAX(ROUNDUP(IFERROR(DATEDIF($I20-1,BD$15+1,"m"),)/12,)-1,)*Index!AZ$22*(BD$15&gt;$I38)*(1-BD$12)</f>
        <v>31084.276263047876</v>
      </c>
      <c r="BE38" s="747">
        <f>$G38*$H38*(1+$K38)^MAX(ROUNDUP(IFERROR(DATEDIF($I20-1,BE$15+1,"m"),)/12,)-1,)*Index!BA$22*(BE$15&gt;$I38)*(1-BE$12)</f>
        <v>31084.276263047876</v>
      </c>
      <c r="BF38" s="747">
        <f>$G38*$H38*(1+$K38)^MAX(ROUNDUP(IFERROR(DATEDIF($I20-1,BF$15+1,"m"),)/12,)-1,)*Index!BB$22*(BF$15&gt;$I38)*(1-BF$12)</f>
        <v>31084.276263047876</v>
      </c>
      <c r="BG38" s="747">
        <f>$G38*$H38*(1+$K38)^MAX(ROUNDUP(IFERROR(DATEDIF($I20-1,BG$15+1,"m"),)/12,)-1,)*Index!BC$22*(BG$15&gt;$I38)*(1-BG$12)</f>
        <v>31084.276263047876</v>
      </c>
      <c r="BH38" s="747">
        <f>$G38*$H38*(1+$K38)^MAX(ROUNDUP(IFERROR(DATEDIF($I20-1,BH$15+1,"m"),)/12,)-1,)*Index!BD$22*(BH$15&gt;$I38)*(1-BH$12)</f>
        <v>31084.276263047876</v>
      </c>
      <c r="BI38" s="747">
        <f>$G38*$H38*(1+$K38)^MAX(ROUNDUP(IFERROR(DATEDIF($I20-1,BI$15+1,"m"),)/12,)-1,)*Index!BE$22*(BI$15&gt;$I38)*(1-BI$12)</f>
        <v>31084.276263047876</v>
      </c>
      <c r="BJ38" s="747">
        <f>$G38*$H38*(1+$K38)^MAX(ROUNDUP(IFERROR(DATEDIF($I20-1,BJ$15+1,"m"),)/12,)-1,)*Index!BF$22*(BJ$15&gt;$I38)*(1-BJ$12)</f>
        <v>31084.276263047876</v>
      </c>
      <c r="BK38" s="747">
        <f>$G38*$H38*(1+$K38)^MAX(ROUNDUP(IFERROR(DATEDIF($I20-1,BK$15+1,"m"),)/12,)-1,)*Index!BG$22*(BK$15&gt;$I38)*(1-BK$12)</f>
        <v>31084.276263047876</v>
      </c>
      <c r="BL38" s="747">
        <f>$G38*$H38*(1+$K38)^MAX(ROUNDUP(IFERROR(DATEDIF($I20-1,BL$15+1,"m"),)/12,)-1,)*Index!BH$22*(BL$15&gt;$I38)*(1-BL$12)</f>
        <v>31084.276263047876</v>
      </c>
      <c r="BM38" s="747">
        <f>$G38*$H38*(1+$K38)^MAX(ROUNDUP(IFERROR(DATEDIF($I20-1,BM$15+1,"m"),)/12,)-1,)*Index!BI$22*(BM$15&gt;$I38)*(1-BM$12)</f>
        <v>31084.276263047876</v>
      </c>
      <c r="BN38" s="747">
        <f>$G38*$H38*(1+$K38)^MAX(ROUNDUP(IFERROR(DATEDIF($I20-1,BN$15+1,"m"),)/12,)-1,)*Index!BJ$22*(BN$15&gt;$I38)*(1-BN$12)</f>
        <v>31084.276263047876</v>
      </c>
      <c r="BO38" s="747">
        <f>$G38*$H38*(1+$K38)^MAX(ROUNDUP(IFERROR(DATEDIF($I20-1,BO$15+1,"m"),)/12,)-1,)*Index!BK$22*(BO$15&gt;$I38)*(1-BO$12)</f>
        <v>31861.38316962407</v>
      </c>
      <c r="BP38" s="747">
        <f>$G38*$H38*(1+$K38)^MAX(ROUNDUP(IFERROR(DATEDIF($I20-1,BP$15+1,"m"),)/12,)-1,)*Index!BL$22*(BP$15&gt;$I38)*(1-BP$12)</f>
        <v>31861.38316962407</v>
      </c>
      <c r="BQ38" s="747">
        <f>$G38*$H38*(1+$K38)^MAX(ROUNDUP(IFERROR(DATEDIF($I20-1,BQ$15+1,"m"),)/12,)-1,)*Index!BM$22*(BQ$15&gt;$I38)*(1-BQ$12)</f>
        <v>31861.38316962407</v>
      </c>
      <c r="BR38" s="747">
        <f>$G38*$H38*(1+$K38)^MAX(ROUNDUP(IFERROR(DATEDIF($I20-1,BR$15+1,"m"),)/12,)-1,)*Index!BN$22*(BR$15&gt;$I38)*(1-BR$12)</f>
        <v>31861.38316962407</v>
      </c>
      <c r="BS38" s="747">
        <f>$G38*$H38*(1+$K38)^MAX(ROUNDUP(IFERROR(DATEDIF($I20-1,BS$15+1,"m"),)/12,)-1,)*Index!BO$22*(BS$15&gt;$I38)*(1-BS$12)</f>
        <v>31861.38316962407</v>
      </c>
      <c r="BT38" s="747">
        <f>$G38*$H38*(1+$K38)^MAX(ROUNDUP(IFERROR(DATEDIF($I20-1,BT$15+1,"m"),)/12,)-1,)*Index!BP$22*(BT$15&gt;$I38)*(1-BT$12)</f>
        <v>31861.38316962407</v>
      </c>
      <c r="BU38" s="747">
        <f>$G38*$H38*(1+$K38)^MAX(ROUNDUP(IFERROR(DATEDIF($I20-1,BU$15+1,"m"),)/12,)-1,)*Index!BQ$22*(BU$15&gt;$I38)*(1-BU$12)</f>
        <v>31861.38316962407</v>
      </c>
      <c r="BV38" s="747">
        <f>$G38*$H38*(1+$K38)^MAX(ROUNDUP(IFERROR(DATEDIF($I20-1,BV$15+1,"m"),)/12,)-1,)*Index!BR$22*(BV$15&gt;$I38)*(1-BV$12)</f>
        <v>31861.38316962407</v>
      </c>
      <c r="BW38" s="747">
        <f>$G38*$H38*(1+$K38)^MAX(ROUNDUP(IFERROR(DATEDIF($I20-1,BW$15+1,"m"),)/12,)-1,)*Index!BS$22*(BW$15&gt;$I38)*(1-BW$12)</f>
        <v>31861.38316962407</v>
      </c>
      <c r="BX38" s="747">
        <f>$G38*$H38*(1+$K38)^MAX(ROUNDUP(IFERROR(DATEDIF($I20-1,BX$15+1,"m"),)/12,)-1,)*Index!BT$22*(BX$15&gt;$I38)*(1-BX$12)</f>
        <v>31861.38316962407</v>
      </c>
      <c r="BY38" s="747">
        <f>$G38*$H38*(1+$K38)^MAX(ROUNDUP(IFERROR(DATEDIF($I20-1,BY$15+1,"m"),)/12,)-1,)*Index!BU$22*(BY$15&gt;$I38)*(1-BY$12)</f>
        <v>31861.38316962407</v>
      </c>
      <c r="BZ38" s="747">
        <f>$G38*$H38*(1+$K38)^MAX(ROUNDUP(IFERROR(DATEDIF($I20-1,BZ$15+1,"m"),)/12,)-1,)*Index!BV$22*(BZ$15&gt;$I38)*(1-BZ$12)</f>
        <v>31861.38316962407</v>
      </c>
      <c r="CA38" s="747">
        <f>$G38*$H38*(1+$K38)^MAX(ROUNDUP(IFERROR(DATEDIF($I20-1,CA$15+1,"m"),)/12,)-1,)*Index!BW$22*(CA$15&gt;$I38)*(1-CA$12)</f>
        <v>32657.917748864675</v>
      </c>
      <c r="CB38" s="747">
        <f>$G38*$H38*(1+$K38)^MAX(ROUNDUP(IFERROR(DATEDIF($I20-1,CB$15+1,"m"),)/12,)-1,)*Index!BX$22*(CB$15&gt;$I38)*(1-CB$12)</f>
        <v>32657.917748864675</v>
      </c>
      <c r="CC38" s="747">
        <f>$G38*$H38*(1+$K38)^MAX(ROUNDUP(IFERROR(DATEDIF($I20-1,CC$15+1,"m"),)/12,)-1,)*Index!BY$22*(CC$15&gt;$I38)*(1-CC$12)</f>
        <v>32657.917748864675</v>
      </c>
      <c r="CD38" s="747">
        <f>$G38*$H38*(1+$K38)^MAX(ROUNDUP(IFERROR(DATEDIF($I20-1,CD$15+1,"m"),)/12,)-1,)*Index!BZ$22*(CD$15&gt;$I38)*(1-CD$12)</f>
        <v>32657.917748864675</v>
      </c>
      <c r="CE38" s="747">
        <f>$G38*$H38*(1+$K38)^MAX(ROUNDUP(IFERROR(DATEDIF($I20-1,CE$15+1,"m"),)/12,)-1,)*Index!CA$22*(CE$15&gt;$I38)*(1-CE$12)</f>
        <v>32657.917748864675</v>
      </c>
      <c r="CF38" s="747">
        <f>$G38*$H38*(1+$K38)^MAX(ROUNDUP(IFERROR(DATEDIF($I20-1,CF$15+1,"m"),)/12,)-1,)*Index!CB$22*(CF$15&gt;$I38)*(1-CF$12)</f>
        <v>32657.917748864675</v>
      </c>
      <c r="CG38" s="747">
        <f>$G38*$H38*(1+$K38)^MAX(ROUNDUP(IFERROR(DATEDIF($I20-1,CG$15+1,"m"),)/12,)-1,)*Index!CC$22*(CG$15&gt;$I38)*(1-CG$12)</f>
        <v>32657.917748864675</v>
      </c>
      <c r="CH38" s="747">
        <f>$G38*$H38*(1+$K38)^MAX(ROUNDUP(IFERROR(DATEDIF($I20-1,CH$15+1,"m"),)/12,)-1,)*Index!CD$22*(CH$15&gt;$I38)*(1-CH$12)</f>
        <v>32657.917748864675</v>
      </c>
      <c r="CI38" s="747">
        <f>$G38*$H38*(1+$K38)^MAX(ROUNDUP(IFERROR(DATEDIF($I20-1,CI$15+1,"m"),)/12,)-1,)*Index!CE$22*(CI$15&gt;$I38)*(1-CI$12)</f>
        <v>32657.917748864675</v>
      </c>
      <c r="CJ38" s="747">
        <f>$G38*$H38*(1+$K38)^MAX(ROUNDUP(IFERROR(DATEDIF($I20-1,CJ$15+1,"m"),)/12,)-1,)*Index!CF$22*(CJ$15&gt;$I38)*(1-CJ$12)</f>
        <v>32657.917748864675</v>
      </c>
      <c r="CK38" s="747">
        <f>$G38*$H38*(1+$K38)^MAX(ROUNDUP(IFERROR(DATEDIF($I20-1,CK$15+1,"m"),)/12,)-1,)*Index!CG$22*(CK$15&gt;$I38)*(1-CK$12)</f>
        <v>32657.917748864675</v>
      </c>
      <c r="CL38" s="747">
        <f>$G38*$H38*(1+$K38)^MAX(ROUNDUP(IFERROR(DATEDIF($I20-1,CL$15+1,"m"),)/12,)-1,)*Index!CH$22*(CL$15&gt;$I38)*(1-CL$12)</f>
        <v>32657.917748864675</v>
      </c>
      <c r="CM38" s="747">
        <f>$G38*$H38*(1+$K38)^MAX(ROUNDUP(IFERROR(DATEDIF($I20-1,CM$15+1,"m"),)/12,)-1,)*Index!CI$22*(CM$15&gt;$I38)*(1-CM$12)</f>
        <v>33474.365692586289</v>
      </c>
      <c r="CN38" s="747">
        <f>$G38*$H38*(1+$K38)^MAX(ROUNDUP(IFERROR(DATEDIF($I20-1,CN$15+1,"m"),)/12,)-1,)*Index!CJ$22*(CN$15&gt;$I38)*(1-CN$12)</f>
        <v>33474.365692586289</v>
      </c>
      <c r="CO38" s="747">
        <f>$G38*$H38*(1+$K38)^MAX(ROUNDUP(IFERROR(DATEDIF($I20-1,CO$15+1,"m"),)/12,)-1,)*Index!CK$22*(CO$15&gt;$I38)*(1-CO$12)</f>
        <v>33474.365692586289</v>
      </c>
      <c r="CP38" s="747">
        <f>$G38*$H38*(1+$K38)^MAX(ROUNDUP(IFERROR(DATEDIF($I20-1,CP$15+1,"m"),)/12,)-1,)*Index!CL$22*(CP$15&gt;$I38)*(1-CP$12)</f>
        <v>33474.365692586289</v>
      </c>
      <c r="CQ38" s="747">
        <f>$G38*$H38*(1+$K38)^MAX(ROUNDUP(IFERROR(DATEDIF($I20-1,CQ$15+1,"m"),)/12,)-1,)*Index!CM$22*(CQ$15&gt;$I38)*(1-CQ$12)</f>
        <v>33474.365692586289</v>
      </c>
      <c r="CR38" s="747">
        <f>$G38*$H38*(1+$K38)^MAX(ROUNDUP(IFERROR(DATEDIF($I20-1,CR$15+1,"m"),)/12,)-1,)*Index!CN$22*(CR$15&gt;$I38)*(1-CR$12)</f>
        <v>33474.365692586289</v>
      </c>
      <c r="CS38" s="747">
        <f>$G38*$H38*(1+$K38)^MAX(ROUNDUP(IFERROR(DATEDIF($I20-1,CS$15+1,"m"),)/12,)-1,)*Index!CO$22*(CS$15&gt;$I38)*(1-CS$12)</f>
        <v>33474.365692586289</v>
      </c>
      <c r="CT38" s="747">
        <f>$G38*$H38*(1+$K38)^MAX(ROUNDUP(IFERROR(DATEDIF($I20-1,CT$15+1,"m"),)/12,)-1,)*Index!CP$22*(CT$15&gt;$I38)*(1-CT$12)</f>
        <v>33474.365692586289</v>
      </c>
      <c r="CU38" s="747">
        <f>$G38*$H38*(1+$K38)^MAX(ROUNDUP(IFERROR(DATEDIF($I20-1,CU$15+1,"m"),)/12,)-1,)*Index!CQ$22*(CU$15&gt;$I38)*(1-CU$12)</f>
        <v>33474.365692586289</v>
      </c>
      <c r="CV38" s="747">
        <f>$G38*$H38*(1+$K38)^MAX(ROUNDUP(IFERROR(DATEDIF($I20-1,CV$15+1,"m"),)/12,)-1,)*Index!CR$22*(CV$15&gt;$I38)*(1-CV$12)</f>
        <v>33474.365692586289</v>
      </c>
      <c r="CW38" s="747">
        <f>$G38*$H38*(1+$K38)^MAX(ROUNDUP(IFERROR(DATEDIF($I20-1,CW$15+1,"m"),)/12,)-1,)*Index!CS$22*(CW$15&gt;$I38)*(1-CW$12)</f>
        <v>33474.365692586289</v>
      </c>
      <c r="CX38" s="747">
        <f>$G38*$H38*(1+$K38)^MAX(ROUNDUP(IFERROR(DATEDIF($I20-1,CX$15+1,"m"),)/12,)-1,)*Index!CT$22*(CX$15&gt;$I38)*(1-CX$12)</f>
        <v>33474.365692586289</v>
      </c>
      <c r="CY38" s="747">
        <f>$G38*$H38*(1+$K38)^MAX(ROUNDUP(IFERROR(DATEDIF($I20-1,CY$15+1,"m"),)/12,)-1,)*Index!CU$22*(CY$15&gt;$I38)*(1-CY$12)</f>
        <v>34311.224834900939</v>
      </c>
      <c r="CZ38" s="747">
        <f>$G38*$H38*(1+$K38)^MAX(ROUNDUP(IFERROR(DATEDIF($I20-1,CZ$15+1,"m"),)/12,)-1,)*Index!CV$22*(CZ$15&gt;$I38)*(1-CZ$12)</f>
        <v>34311.224834900939</v>
      </c>
      <c r="DA38" s="747">
        <f>$G38*$H38*(1+$K38)^MAX(ROUNDUP(IFERROR(DATEDIF($I20-1,DA$15+1,"m"),)/12,)-1,)*Index!CW$22*(DA$15&gt;$I38)*(1-DA$12)</f>
        <v>34311.224834900939</v>
      </c>
      <c r="DB38" s="747">
        <f>$G38*$H38*(1+$K38)^MAX(ROUNDUP(IFERROR(DATEDIF($I20-1,DB$15+1,"m"),)/12,)-1,)*Index!CX$22*(DB$15&gt;$I38)*(1-DB$12)</f>
        <v>34311.224834900939</v>
      </c>
      <c r="DC38" s="747">
        <f>$G38*$H38*(1+$K38)^MAX(ROUNDUP(IFERROR(DATEDIF($I20-1,DC$15+1,"m"),)/12,)-1,)*Index!CY$22*(DC$15&gt;$I38)*(1-DC$12)</f>
        <v>34311.224834900939</v>
      </c>
      <c r="DD38" s="747">
        <f>$G38*$H38*(1+$K38)^MAX(ROUNDUP(IFERROR(DATEDIF($I20-1,DD$15+1,"m"),)/12,)-1,)*Index!CZ$22*(DD$15&gt;$I38)*(1-DD$12)</f>
        <v>34311.224834900939</v>
      </c>
      <c r="DE38" s="747">
        <f>$G38*$H38*(1+$K38)^MAX(ROUNDUP(IFERROR(DATEDIF($I20-1,DE$15+1,"m"),)/12,)-1,)*Index!DA$22*(DE$15&gt;$I38)*(1-DE$12)</f>
        <v>34311.224834900939</v>
      </c>
      <c r="DF38" s="747">
        <f>$G38*$H38*(1+$K38)^MAX(ROUNDUP(IFERROR(DATEDIF($I20-1,DF$15+1,"m"),)/12,)-1,)*Index!DB$22*(DF$15&gt;$I38)*(1-DF$12)</f>
        <v>34311.224834900939</v>
      </c>
      <c r="DG38" s="747">
        <f>$G38*$H38*(1+$K38)^MAX(ROUNDUP(IFERROR(DATEDIF($I20-1,DG$15+1,"m"),)/12,)-1,)*Index!DC$22*(DG$15&gt;$I38)*(1-DG$12)</f>
        <v>34311.224834900939</v>
      </c>
      <c r="DH38" s="747">
        <f>$G38*$H38*(1+$K38)^MAX(ROUNDUP(IFERROR(DATEDIF($I20-1,DH$15+1,"m"),)/12,)-1,)*Index!DD$22*(DH$15&gt;$I38)*(1-DH$12)</f>
        <v>34311.224834900939</v>
      </c>
      <c r="DI38" s="747">
        <f>$G38*$H38*(1+$K38)^MAX(ROUNDUP(IFERROR(DATEDIF($I20-1,DI$15+1,"m"),)/12,)-1,)*Index!DE$22*(DI$15&gt;$I38)*(1-DI$12)</f>
        <v>34311.224834900939</v>
      </c>
      <c r="DJ38" s="747">
        <f>$G38*$H38*(1+$K38)^MAX(ROUNDUP(IFERROR(DATEDIF($I20-1,DJ$15+1,"m"),)/12,)-1,)*Index!DF$22*(DJ$15&gt;$I38)*(1-DJ$12)</f>
        <v>34311.224834900939</v>
      </c>
      <c r="DK38" s="747">
        <f>$G38*$H38*(1+$K38)^MAX(ROUNDUP(IFERROR(DATEDIF($I20-1,DK$15+1,"m"),)/12,)-1,)*Index!DG$22*(DK$15&gt;$I38)*(1-DK$12)</f>
        <v>35169.005455773462</v>
      </c>
      <c r="DL38" s="747">
        <f>$G38*$H38*(1+$K38)^MAX(ROUNDUP(IFERROR(DATEDIF($I20-1,DL$15+1,"m"),)/12,)-1,)*Index!DH$22*(DL$15&gt;$I38)*(1-DL$12)</f>
        <v>35169.005455773462</v>
      </c>
      <c r="DM38" s="747">
        <f>$G38*$H38*(1+$K38)^MAX(ROUNDUP(IFERROR(DATEDIF($I20-1,DM$15+1,"m"),)/12,)-1,)*Index!DI$22*(DM$15&gt;$I38)*(1-DM$12)</f>
        <v>35169.005455773462</v>
      </c>
      <c r="DN38" s="747">
        <f>$G38*$H38*(1+$K38)^MAX(ROUNDUP(IFERROR(DATEDIF($I20-1,DN$15+1,"m"),)/12,)-1,)*Index!DJ$22*(DN$15&gt;$I38)*(1-DN$12)</f>
        <v>35169.005455773462</v>
      </c>
      <c r="DO38" s="747">
        <f>$G38*$H38*(1+$K38)^MAX(ROUNDUP(IFERROR(DATEDIF($I20-1,DO$15+1,"m"),)/12,)-1,)*Index!DK$22*(DO$15&gt;$I38)*(1-DO$12)</f>
        <v>35169.005455773462</v>
      </c>
      <c r="DP38" s="747">
        <f>$G38*$H38*(1+$K38)^MAX(ROUNDUP(IFERROR(DATEDIF($I20-1,DP$15+1,"m"),)/12,)-1,)*Index!DL$22*(DP$15&gt;$I38)*(1-DP$12)</f>
        <v>35169.005455773462</v>
      </c>
      <c r="DQ38" s="747">
        <f>$G38*$H38*(1+$K38)^MAX(ROUNDUP(IFERROR(DATEDIF($I20-1,DQ$15+1,"m"),)/12,)-1,)*Index!DM$22*(DQ$15&gt;$I38)*(1-DQ$12)</f>
        <v>35169.005455773462</v>
      </c>
      <c r="DR38" s="747">
        <f>$G38*$H38*(1+$K38)^MAX(ROUNDUP(IFERROR(DATEDIF($I20-1,DR$15+1,"m"),)/12,)-1,)*Index!DN$22*(DR$15&gt;$I38)*(1-DR$12)</f>
        <v>35169.005455773462</v>
      </c>
      <c r="DS38" s="747">
        <f>$G38*$H38*(1+$K38)^MAX(ROUNDUP(IFERROR(DATEDIF($I20-1,DS$15+1,"m"),)/12,)-1,)*Index!DO$22*(DS$15&gt;$I38)*(1-DS$12)</f>
        <v>35169.005455773462</v>
      </c>
      <c r="DT38" s="747">
        <f>$G38*$H38*(1+$K38)^MAX(ROUNDUP(IFERROR(DATEDIF($I20-1,DT$15+1,"m"),)/12,)-1,)*Index!DP$22*(DT$15&gt;$I38)*(1-DT$12)</f>
        <v>35169.005455773462</v>
      </c>
      <c r="DU38" s="747">
        <f>$G38*$H38*(1+$K38)^MAX(ROUNDUP(IFERROR(DATEDIF($I20-1,DU$15+1,"m"),)/12,)-1,)*Index!DQ$22*(DU$15&gt;$I38)*(1-DU$12)</f>
        <v>35169.005455773462</v>
      </c>
      <c r="DV38" s="747">
        <f>$G38*$H38*(1+$K38)^MAX(ROUNDUP(IFERROR(DATEDIF($I20-1,DV$15+1,"m"),)/12,)-1,)*Index!DR$22*(DV$15&gt;$I38)*(1-DV$12)</f>
        <v>35169.005455773462</v>
      </c>
      <c r="DW38" s="747">
        <f>$G38*$H38*(1+$K38)^MAX(ROUNDUP(IFERROR(DATEDIF($I20-1,DW$15+1,"m"),)/12,)-1,)*Index!DS$22*(DW$15&gt;$I38)*(1-DW$12)</f>
        <v>36048.230592167798</v>
      </c>
      <c r="DX38" s="747">
        <f>$G38*$H38*(1+$K38)^MAX(ROUNDUP(IFERROR(DATEDIF($I20-1,DX$15+1,"m"),)/12,)-1,)*Index!DT$22*(DX$15&gt;$I38)*(1-DX$12)</f>
        <v>36048.230592167798</v>
      </c>
      <c r="DY38" s="747">
        <f>$G38*$H38*(1+$K38)^MAX(ROUNDUP(IFERROR(DATEDIF($I20-1,DY$15+1,"m"),)/12,)-1,)*Index!DU$22*(DY$15&gt;$I38)*(1-DY$12)</f>
        <v>36048.230592167798</v>
      </c>
      <c r="DZ38" s="747">
        <f>$G38*$H38*(1+$K38)^MAX(ROUNDUP(IFERROR(DATEDIF($I20-1,DZ$15+1,"m"),)/12,)-1,)*Index!DV$22*(DZ$15&gt;$I38)*(1-DZ$12)</f>
        <v>36048.230592167798</v>
      </c>
      <c r="EA38" s="747">
        <f>$G38*$H38*(1+$K38)^MAX(ROUNDUP(IFERROR(DATEDIF($I20-1,EA$15+1,"m"),)/12,)-1,)*Index!DW$22*(EA$15&gt;$I38)*(1-EA$12)</f>
        <v>36048.230592167798</v>
      </c>
      <c r="EB38" s="747">
        <f>$G38*$H38*(1+$K38)^MAX(ROUNDUP(IFERROR(DATEDIF($I20-1,EB$15+1,"m"),)/12,)-1,)*Index!DX$22*(EB$15&gt;$I38)*(1-EB$12)</f>
        <v>36048.230592167798</v>
      </c>
      <c r="EC38" s="747">
        <f>$G38*$H38*(1+$K38)^MAX(ROUNDUP(IFERROR(DATEDIF($I20-1,EC$15+1,"m"),)/12,)-1,)*Index!DY$22*(EC$15&gt;$I38)*(1-EC$12)</f>
        <v>36048.230592167798</v>
      </c>
      <c r="ED38" s="747">
        <f>$G38*$H38*(1+$K38)^MAX(ROUNDUP(IFERROR(DATEDIF($I20-1,ED$15+1,"m"),)/12,)-1,)*Index!DZ$22*(ED$15&gt;$I38)*(1-ED$12)</f>
        <v>36048.230592167798</v>
      </c>
      <c r="EE38" s="747">
        <f>$G38*$H38*(1+$K38)^MAX(ROUNDUP(IFERROR(DATEDIF($I20-1,EE$15+1,"m"),)/12,)-1,)*Index!EA$22*(EE$15&gt;$I38)*(1-EE$12)</f>
        <v>36048.230592167798</v>
      </c>
      <c r="EF38" s="747">
        <f>$G38*$H38*(1+$K38)^MAX(ROUNDUP(IFERROR(DATEDIF($I20-1,EF$15+1,"m"),)/12,)-1,)*Index!EB$22*(EF$15&gt;$I38)*(1-EF$12)</f>
        <v>36048.230592167798</v>
      </c>
      <c r="EG38" s="747">
        <f>$G38*$H38*(1+$K38)^MAX(ROUNDUP(IFERROR(DATEDIF($I20-1,EG$15+1,"m"),)/12,)-1,)*Index!EC$22*(EG$15&gt;$I38)*(1-EG$12)</f>
        <v>0</v>
      </c>
      <c r="EH38" s="747">
        <f>$G38*$H38*(1+$K38)^MAX(ROUNDUP(IFERROR(DATEDIF($I20-1,EH$15+1,"m"),)/12,)-1,)*Index!ED$22*(EH$15&gt;$I38)*(1-EH$12)</f>
        <v>0</v>
      </c>
      <c r="EI38" s="747">
        <f>$G38*$H38*(1+$K38)^MAX(ROUNDUP(IFERROR(DATEDIF($I20-1,EI$15+1,"m"),)/12,)-1,)*Index!EE$22*(EI$15&gt;$I38)*(1-EI$12)</f>
        <v>0</v>
      </c>
      <c r="EJ38" s="747">
        <f>$G38*$H38*(1+$K38)^MAX(ROUNDUP(IFERROR(DATEDIF($I20-1,EJ$15+1,"m"),)/12,)-1,)*Index!EF$22*(EJ$15&gt;$I38)*(1-EJ$12)</f>
        <v>0</v>
      </c>
      <c r="EK38" s="747">
        <f>$G38*$H38*(1+$K38)^MAX(ROUNDUP(IFERROR(DATEDIF($I20-1,EK$15+1,"m"),)/12,)-1,)*Index!EG$22*(EK$15&gt;$I38)*(1-EK$12)</f>
        <v>0</v>
      </c>
      <c r="EL38" s="747">
        <f>$G38*$H38*(1+$K38)^MAX(ROUNDUP(IFERROR(DATEDIF($I20-1,EL$15+1,"m"),)/12,)-1,)*Index!EH$22*(EL$15&gt;$I38)*(1-EL$12)</f>
        <v>0</v>
      </c>
      <c r="EM38" s="747">
        <f>$G38*$H38*(1+$K38)^MAX(ROUNDUP(IFERROR(DATEDIF($I20-1,EM$15+1,"m"),)/12,)-1,)*Index!EI$22*(EM$15&gt;$I38)*(1-EM$12)</f>
        <v>0</v>
      </c>
      <c r="EN38" s="747">
        <f>$G38*$H38*(1+$K38)^MAX(ROUNDUP(IFERROR(DATEDIF($I20-1,EN$15+1,"m"),)/12,)-1,)*Index!EJ$22*(EN$15&gt;$I38)*(1-EN$12)</f>
        <v>0</v>
      </c>
      <c r="EO38" s="747">
        <f>$G38*$H38*(1+$K38)^MAX(ROUNDUP(IFERROR(DATEDIF($I20-1,EO$15+1,"m"),)/12,)-1,)*Index!EK$22*(EO$15&gt;$I38)*(1-EO$12)</f>
        <v>0</v>
      </c>
      <c r="EP38" s="747">
        <f>$G38*$H38*(1+$K38)^MAX(ROUNDUP(IFERROR(DATEDIF($I20-1,EP$15+1,"m"),)/12,)-1,)*Index!EL$22*(EP$15&gt;$I38)*(1-EP$12)</f>
        <v>0</v>
      </c>
      <c r="EQ38" s="747">
        <f>$G38*$H38*(1+$K38)^MAX(ROUNDUP(IFERROR(DATEDIF($I20-1,EQ$15+1,"m"),)/12,)-1,)*Index!EM$22*(EQ$15&gt;$I38)*(1-EQ$12)</f>
        <v>0</v>
      </c>
      <c r="ER38" s="747">
        <f>$G38*$H38*(1+$K38)^MAX(ROUNDUP(IFERROR(DATEDIF($I20-1,ER$15+1,"m"),)/12,)-1,)*Index!EN$22*(ER$15&gt;$I38)*(1-ER$12)</f>
        <v>0</v>
      </c>
      <c r="ES38" s="747">
        <f>$G38*$H38*(1+$K38)^MAX(ROUNDUP(IFERROR(DATEDIF($I20-1,ES$15+1,"m"),)/12,)-1,)*Index!EO$22*(ES$15&gt;$I38)*(1-ES$12)</f>
        <v>0</v>
      </c>
      <c r="ET38" s="747">
        <f>$G38*$H38*(1+$K38)^MAX(ROUNDUP(IFERROR(DATEDIF($I20-1,ET$15+1,"m"),)/12,)-1,)*Index!EP$22*(ET$15&gt;$I38)*(1-ET$12)</f>
        <v>0</v>
      </c>
      <c r="EU38" s="747">
        <f>$G38*$H38*(1+$K38)^MAX(ROUNDUP(IFERROR(DATEDIF($I20-1,EU$15+1,"m"),)/12,)-1,)*Index!EQ$22*(EU$15&gt;$I38)*(1-EU$12)</f>
        <v>0</v>
      </c>
    </row>
    <row r="39" spans="3:151" ht="11.25" customHeight="1">
      <c r="C39" s="735"/>
      <c r="D39" s="743">
        <f t="shared" si="11"/>
        <v>8</v>
      </c>
      <c r="E39" s="704" t="str">
        <f t="shared" si="11"/>
        <v>쿠팡</v>
      </c>
      <c r="F39" s="704" t="str">
        <f t="shared" si="11"/>
        <v>상온창고</v>
      </c>
      <c r="G39" s="752" cm="1">
        <f t="array" ref="G39">SUMPRODUCT(('Rent-roll'!$E39='A&amp;R'!$V$26:$V$32)*('A&amp;R'!$AB$26:$AB$32))/1000</f>
        <v>57.698001860542107</v>
      </c>
      <c r="H39" s="744">
        <f t="shared" si="12"/>
        <v>207.4</v>
      </c>
      <c r="I39" s="745">
        <f t="shared" si="13"/>
        <v>49064</v>
      </c>
      <c r="J39" s="745"/>
      <c r="K39" s="754">
        <f t="shared" si="14"/>
        <v>2.5000000000000001E-2</v>
      </c>
      <c r="L39" s="746"/>
      <c r="M39" s="722"/>
      <c r="N39" s="747">
        <f t="shared" si="15"/>
        <v>468794.84230862989</v>
      </c>
      <c r="O39" s="733"/>
      <c r="P39" s="747">
        <f>$G39*$H39*(1+$K39)^MAX(ROUNDUP(IFERROR(DATEDIF($I21-1,P$15+1,"m"),)/12,)-1,)*Index!L$22*(P$15&gt;$I39)*(1-P$12)</f>
        <v>0</v>
      </c>
      <c r="Q39" s="747">
        <f>$G39*$H39*(1+$K39)^MAX(ROUNDUP(IFERROR(DATEDIF($I21-1,Q$15+1,"m"),)/12,)-1,)*Index!M$22*(Q$15&gt;$I39)*(1-Q$12)</f>
        <v>0</v>
      </c>
      <c r="R39" s="747">
        <f>$G39*$H39*(1+$K39)^MAX(ROUNDUP(IFERROR(DATEDIF($I21-1,R$15+1,"m"),)/12,)-1,)*Index!N$22*(R$15&gt;$I39)*(1-R$12)</f>
        <v>0</v>
      </c>
      <c r="S39" s="747">
        <f>$G39*$H39*(1+$K39)^MAX(ROUNDUP(IFERROR(DATEDIF($I21-1,S$15+1,"m"),)/12,)-1,)*Index!O$22*(S$15&gt;$I39)*(1-S$12)</f>
        <v>0</v>
      </c>
      <c r="T39" s="747">
        <f>$G39*$H39*(1+$K39)^MAX(ROUNDUP(IFERROR(DATEDIF($I21-1,T$15+1,"m"),)/12,)-1,)*Index!P$22*(T$15&gt;$I39)*(1-T$12)</f>
        <v>0</v>
      </c>
      <c r="U39" s="747">
        <f>$G39*$H39*(1+$K39)^MAX(ROUNDUP(IFERROR(DATEDIF($I21-1,U$15+1,"m"),)/12,)-1,)*Index!Q$22*(U$15&gt;$I39)*(1-U$12)</f>
        <v>0</v>
      </c>
      <c r="V39" s="747">
        <f>$G39*$H39*(1+$K39)^MAX(ROUNDUP(IFERROR(DATEDIF($I21-1,V$15+1,"m"),)/12,)-1,)*Index!R$22*(V$15&gt;$I39)*(1-V$12)</f>
        <v>0</v>
      </c>
      <c r="W39" s="747">
        <f>$G39*$H39*(1+$K39)^MAX(ROUNDUP(IFERROR(DATEDIF($I21-1,W$15+1,"m"),)/12,)-1,)*Index!S$22*(W$15&gt;$I39)*(1-W$12)</f>
        <v>0</v>
      </c>
      <c r="X39" s="747">
        <f>$G39*$H39*(1+$K39)^MAX(ROUNDUP(IFERROR(DATEDIF($I21-1,X$15+1,"m"),)/12,)-1,)*Index!T$22*(X$15&gt;$I39)*(1-X$12)</f>
        <v>0</v>
      </c>
      <c r="Y39" s="747">
        <f>$G39*$H39*(1+$K39)^MAX(ROUNDUP(IFERROR(DATEDIF($I21-1,Y$15+1,"m"),)/12,)-1,)*Index!U$22*(Y$15&gt;$I39)*(1-Y$12)</f>
        <v>0</v>
      </c>
      <c r="Z39" s="747">
        <f>$G39*$H39*(1+$K39)^MAX(ROUNDUP(IFERROR(DATEDIF($I21-1,Z$15+1,"m"),)/12,)-1,)*Index!V$22*(Z$15&gt;$I39)*(1-Z$12)</f>
        <v>0</v>
      </c>
      <c r="AA39" s="747">
        <f>$G39*$H39*(1+$K39)^MAX(ROUNDUP(IFERROR(DATEDIF($I21-1,AA$15+1,"m"),)/12,)-1,)*Index!W$22*(AA$15&gt;$I39)*(1-AA$12)</f>
        <v>0</v>
      </c>
      <c r="AB39" s="747">
        <f>$G39*$H39*(1+$K39)^MAX(ROUNDUP(IFERROR(DATEDIF($I21-1,AB$15+1,"m"),)/12,)-1,)*Index!X$22*(AB$15&gt;$I39)*(1-AB$12)</f>
        <v>0</v>
      </c>
      <c r="AC39" s="747">
        <f>$G39*$H39*(1+$K39)^MAX(ROUNDUP(IFERROR(DATEDIF($I21-1,AC$15+1,"m"),)/12,)-1,)*Index!Y$22*(AC$15&gt;$I39)*(1-AC$12)</f>
        <v>0</v>
      </c>
      <c r="AD39" s="747">
        <f>$G39*$H39*(1+$K39)^MAX(ROUNDUP(IFERROR(DATEDIF($I21-1,AD$15+1,"m"),)/12,)-1,)*Index!Z$22*(AD$15&gt;$I39)*(1-AD$12)</f>
        <v>0</v>
      </c>
      <c r="AE39" s="747">
        <f>$G39*$H39*(1+$K39)^MAX(ROUNDUP(IFERROR(DATEDIF($I21-1,AE$15+1,"m"),)/12,)-1,)*Index!AA$22*(AE$15&gt;$I39)*(1-AE$12)</f>
        <v>0</v>
      </c>
      <c r="AF39" s="747">
        <f>$G39*$H39*(1+$K39)^MAX(ROUNDUP(IFERROR(DATEDIF($I21-1,AF$15+1,"m"),)/12,)-1,)*Index!AB$22*(AF$15&gt;$I39)*(1-AF$12)</f>
        <v>0</v>
      </c>
      <c r="AG39" s="747">
        <f>$G39*$H39*(1+$K39)^MAX(ROUNDUP(IFERROR(DATEDIF($I21-1,AG$15+1,"m"),)/12,)-1,)*Index!AC$22*(AG$15&gt;$I39)*(1-AG$12)</f>
        <v>0</v>
      </c>
      <c r="AH39" s="747">
        <f>$G39*$H39*(1+$K39)^MAX(ROUNDUP(IFERROR(DATEDIF($I21-1,AH$15+1,"m"),)/12,)-1,)*Index!AD$22*(AH$15&gt;$I39)*(1-AH$12)</f>
        <v>0</v>
      </c>
      <c r="AI39" s="747">
        <f>$G39*$H39*(1+$K39)^MAX(ROUNDUP(IFERROR(DATEDIF($I21-1,AI$15+1,"m"),)/12,)-1,)*Index!AE$22*(AI$15&gt;$I39)*(1-AI$12)</f>
        <v>0</v>
      </c>
      <c r="AJ39" s="747">
        <f>$G39*$H39*(1+$K39)^MAX(ROUNDUP(IFERROR(DATEDIF($I21-1,AJ$15+1,"m"),)/12,)-1,)*Index!AF$22*(AJ$15&gt;$I39)*(1-AJ$12)</f>
        <v>0</v>
      </c>
      <c r="AK39" s="747">
        <f>$G39*$H39*(1+$K39)^MAX(ROUNDUP(IFERROR(DATEDIF($I21-1,AK$15+1,"m"),)/12,)-1,)*Index!AG$22*(AK$15&gt;$I39)*(1-AK$12)</f>
        <v>0</v>
      </c>
      <c r="AL39" s="747">
        <f>$G39*$H39*(1+$K39)^MAX(ROUNDUP(IFERROR(DATEDIF($I21-1,AL$15+1,"m"),)/12,)-1,)*Index!AH$22*(AL$15&gt;$I39)*(1-AL$12)</f>
        <v>0</v>
      </c>
      <c r="AM39" s="747">
        <f>$G39*$H39*(1+$K39)^MAX(ROUNDUP(IFERROR(DATEDIF($I21-1,AM$15+1,"m"),)/12,)-1,)*Index!AI$22*(AM$15&gt;$I39)*(1-AM$12)</f>
        <v>0</v>
      </c>
      <c r="AN39" s="747">
        <f>$G39*$H39*(1+$K39)^MAX(ROUNDUP(IFERROR(DATEDIF($I21-1,AN$15+1,"m"),)/12,)-1,)*Index!AJ$22*(AN$15&gt;$I39)*(1-AN$12)</f>
        <v>0</v>
      </c>
      <c r="AO39" s="747">
        <f>$G39*$H39*(1+$K39)^MAX(ROUNDUP(IFERROR(DATEDIF($I21-1,AO$15+1,"m"),)/12,)-1,)*Index!AK$22*(AO$15&gt;$I39)*(1-AO$12)</f>
        <v>0</v>
      </c>
      <c r="AP39" s="747">
        <f>$G39*$H39*(1+$K39)^MAX(ROUNDUP(IFERROR(DATEDIF($I21-1,AP$15+1,"m"),)/12,)-1,)*Index!AL$22*(AP$15&gt;$I39)*(1-AP$12)</f>
        <v>0</v>
      </c>
      <c r="AQ39" s="747">
        <f>$G39*$H39*(1+$K39)^MAX(ROUNDUP(IFERROR(DATEDIF($I21-1,AQ$15+1,"m"),)/12,)-1,)*Index!AM$22*(AQ$15&gt;$I39)*(1-AQ$12)</f>
        <v>0</v>
      </c>
      <c r="AR39" s="747">
        <f>$G39*$H39*(1+$K39)^MAX(ROUNDUP(IFERROR(DATEDIF($I21-1,AR$15+1,"m"),)/12,)-1,)*Index!AN$22*(AR$15&gt;$I39)*(1-AR$12)</f>
        <v>0</v>
      </c>
      <c r="AS39" s="747">
        <f>$G39*$H39*(1+$K39)^MAX(ROUNDUP(IFERROR(DATEDIF($I21-1,AS$15+1,"m"),)/12,)-1,)*Index!AO$22*(AS$15&gt;$I39)*(1-AS$12)</f>
        <v>0</v>
      </c>
      <c r="AT39" s="747">
        <f>$G39*$H39*(1+$K39)^MAX(ROUNDUP(IFERROR(DATEDIF($I21-1,AT$15+1,"m"),)/12,)-1,)*Index!AP$22*(AT$15&gt;$I39)*(1-AT$12)</f>
        <v>0</v>
      </c>
      <c r="AU39" s="747">
        <f>$G39*$H39*(1+$K39)^MAX(ROUNDUP(IFERROR(DATEDIF($I21-1,AU$15+1,"m"),)/12,)-1,)*Index!AQ$22*(AU$15&gt;$I39)*(1-AU$12)</f>
        <v>0</v>
      </c>
      <c r="AV39" s="747">
        <f>$G39*$H39*(1+$K39)^MAX(ROUNDUP(IFERROR(DATEDIF($I21-1,AV$15+1,"m"),)/12,)-1,)*Index!AR$22*(AV$15&gt;$I39)*(1-AV$12)</f>
        <v>0</v>
      </c>
      <c r="AW39" s="747">
        <f>$G39*$H39*(1+$K39)^MAX(ROUNDUP(IFERROR(DATEDIF($I21-1,AW$15+1,"m"),)/12,)-1,)*Index!AS$22*(AW$15&gt;$I39)*(1-AW$12)</f>
        <v>0</v>
      </c>
      <c r="AX39" s="747">
        <f>$G39*$H39*(1+$K39)^MAX(ROUNDUP(IFERROR(DATEDIF($I21-1,AX$15+1,"m"),)/12,)-1,)*Index!AT$22*(AX$15&gt;$I39)*(1-AX$12)</f>
        <v>0</v>
      </c>
      <c r="AY39" s="747">
        <f>$G39*$H39*(1+$K39)^MAX(ROUNDUP(IFERROR(DATEDIF($I21-1,AY$15+1,"m"),)/12,)-1,)*Index!AU$22*(AY$15&gt;$I39)*(1-AY$12)</f>
        <v>0</v>
      </c>
      <c r="AZ39" s="747">
        <f>$G39*$H39*(1+$K39)^MAX(ROUNDUP(IFERROR(DATEDIF($I21-1,AZ$15+1,"m"),)/12,)-1,)*Index!AV$22*(AZ$15&gt;$I39)*(1-AZ$12)</f>
        <v>0</v>
      </c>
      <c r="BA39" s="747">
        <f>$G39*$H39*(1+$K39)^MAX(ROUNDUP(IFERROR(DATEDIF($I21-1,BA$15+1,"m"),)/12,)-1,)*Index!AW$22*(BA$15&gt;$I39)*(1-BA$12)</f>
        <v>0</v>
      </c>
      <c r="BB39" s="747">
        <f>$G39*$H39*(1+$K39)^MAX(ROUNDUP(IFERROR(DATEDIF($I21-1,BB$15+1,"m"),)/12,)-1,)*Index!AX$22*(BB$15&gt;$I39)*(1-BB$12)</f>
        <v>0</v>
      </c>
      <c r="BC39" s="747">
        <f>$G39*$H39*(1+$K39)^MAX(ROUNDUP(IFERROR(DATEDIF($I21-1,BC$15+1,"m"),)/12,)-1,)*Index!AY$22*(BC$15&gt;$I39)*(1-BC$12)</f>
        <v>0</v>
      </c>
      <c r="BD39" s="747">
        <f>$G39*$H39*(1+$K39)^MAX(ROUNDUP(IFERROR(DATEDIF($I21-1,BD$15+1,"m"),)/12,)-1,)*Index!AZ$22*(BD$15&gt;$I39)*(1-BD$12)</f>
        <v>0</v>
      </c>
      <c r="BE39" s="747">
        <f>$G39*$H39*(1+$K39)^MAX(ROUNDUP(IFERROR(DATEDIF($I21-1,BE$15+1,"m"),)/12,)-1,)*Index!BA$22*(BE$15&gt;$I39)*(1-BE$12)</f>
        <v>0</v>
      </c>
      <c r="BF39" s="747">
        <f>$G39*$H39*(1+$K39)^MAX(ROUNDUP(IFERROR(DATEDIF($I21-1,BF$15+1,"m"),)/12,)-1,)*Index!BB$22*(BF$15&gt;$I39)*(1-BF$12)</f>
        <v>0</v>
      </c>
      <c r="BG39" s="747">
        <f>$G39*$H39*(1+$K39)^MAX(ROUNDUP(IFERROR(DATEDIF($I21-1,BG$15+1,"m"),)/12,)-1,)*Index!BC$22*(BG$15&gt;$I39)*(1-BG$12)</f>
        <v>0</v>
      </c>
      <c r="BH39" s="747">
        <f>$G39*$H39*(1+$K39)^MAX(ROUNDUP(IFERROR(DATEDIF($I21-1,BH$15+1,"m"),)/12,)-1,)*Index!BD$22*(BH$15&gt;$I39)*(1-BH$12)</f>
        <v>0</v>
      </c>
      <c r="BI39" s="747">
        <f>$G39*$H39*(1+$K39)^MAX(ROUNDUP(IFERROR(DATEDIF($I21-1,BI$15+1,"m"),)/12,)-1,)*Index!BE$22*(BI$15&gt;$I39)*(1-BI$12)</f>
        <v>0</v>
      </c>
      <c r="BJ39" s="747">
        <f>$G39*$H39*(1+$K39)^MAX(ROUNDUP(IFERROR(DATEDIF($I21-1,BJ$15+1,"m"),)/12,)-1,)*Index!BF$22*(BJ$15&gt;$I39)*(1-BJ$12)</f>
        <v>0</v>
      </c>
      <c r="BK39" s="747">
        <f>$G39*$H39*(1+$K39)^MAX(ROUNDUP(IFERROR(DATEDIF($I21-1,BK$15+1,"m"),)/12,)-1,)*Index!BG$22*(BK$15&gt;$I39)*(1-BK$12)</f>
        <v>0</v>
      </c>
      <c r="BL39" s="747">
        <f>$G39*$H39*(1+$K39)^MAX(ROUNDUP(IFERROR(DATEDIF($I21-1,BL$15+1,"m"),)/12,)-1,)*Index!BH$22*(BL$15&gt;$I39)*(1-BL$12)</f>
        <v>0</v>
      </c>
      <c r="BM39" s="747">
        <f>$G39*$H39*(1+$K39)^MAX(ROUNDUP(IFERROR(DATEDIF($I21-1,BM$15+1,"m"),)/12,)-1,)*Index!BI$22*(BM$15&gt;$I39)*(1-BM$12)</f>
        <v>0</v>
      </c>
      <c r="BN39" s="747">
        <f>$G39*$H39*(1+$K39)^MAX(ROUNDUP(IFERROR(DATEDIF($I21-1,BN$15+1,"m"),)/12,)-1,)*Index!BJ$22*(BN$15&gt;$I39)*(1-BN$12)</f>
        <v>0</v>
      </c>
      <c r="BO39" s="747">
        <f>$G39*$H39*(1+$K39)^MAX(ROUNDUP(IFERROR(DATEDIF($I21-1,BO$15+1,"m"),)/12,)-1,)*Index!BK$22*(BO$15&gt;$I39)*(1-BO$12)</f>
        <v>0</v>
      </c>
      <c r="BP39" s="747">
        <f>$G39*$H39*(1+$K39)^MAX(ROUNDUP(IFERROR(DATEDIF($I21-1,BP$15+1,"m"),)/12,)-1,)*Index!BL$22*(BP$15&gt;$I39)*(1-BP$12)</f>
        <v>0</v>
      </c>
      <c r="BQ39" s="747">
        <f>$G39*$H39*(1+$K39)^MAX(ROUNDUP(IFERROR(DATEDIF($I21-1,BQ$15+1,"m"),)/12,)-1,)*Index!BM$22*(BQ$15&gt;$I39)*(1-BQ$12)</f>
        <v>0</v>
      </c>
      <c r="BR39" s="747">
        <f>$G39*$H39*(1+$K39)^MAX(ROUNDUP(IFERROR(DATEDIF($I21-1,BR$15+1,"m"),)/12,)-1,)*Index!BN$22*(BR$15&gt;$I39)*(1-BR$12)</f>
        <v>0</v>
      </c>
      <c r="BS39" s="747">
        <f>$G39*$H39*(1+$K39)^MAX(ROUNDUP(IFERROR(DATEDIF($I21-1,BS$15+1,"m"),)/12,)-1,)*Index!BO$22*(BS$15&gt;$I39)*(1-BS$12)</f>
        <v>0</v>
      </c>
      <c r="BT39" s="747">
        <f>$G39*$H39*(1+$K39)^MAX(ROUNDUP(IFERROR(DATEDIF($I21-1,BT$15+1,"m"),)/12,)-1,)*Index!BP$22*(BT$15&gt;$I39)*(1-BT$12)</f>
        <v>0</v>
      </c>
      <c r="BU39" s="747">
        <f>$G39*$H39*(1+$K39)^MAX(ROUNDUP(IFERROR(DATEDIF($I21-1,BU$15+1,"m"),)/12,)-1,)*Index!BQ$22*(BU$15&gt;$I39)*(1-BU$12)</f>
        <v>0</v>
      </c>
      <c r="BV39" s="747">
        <f>$G39*$H39*(1+$K39)^MAX(ROUNDUP(IFERROR(DATEDIF($I21-1,BV$15+1,"m"),)/12,)-1,)*Index!BR$22*(BV$15&gt;$I39)*(1-BV$12)</f>
        <v>0</v>
      </c>
      <c r="BW39" s="747">
        <f>$G39*$H39*(1+$K39)^MAX(ROUNDUP(IFERROR(DATEDIF($I21-1,BW$15+1,"m"),)/12,)-1,)*Index!BS$22*(BW$15&gt;$I39)*(1-BW$12)</f>
        <v>0</v>
      </c>
      <c r="BX39" s="747">
        <f>$G39*$H39*(1+$K39)^MAX(ROUNDUP(IFERROR(DATEDIF($I21-1,BX$15+1,"m"),)/12,)-1,)*Index!BT$22*(BX$15&gt;$I39)*(1-BX$12)</f>
        <v>0</v>
      </c>
      <c r="BY39" s="747">
        <f>$G39*$H39*(1+$K39)^MAX(ROUNDUP(IFERROR(DATEDIF($I21-1,BY$15+1,"m"),)/12,)-1,)*Index!BU$22*(BY$15&gt;$I39)*(1-BY$12)</f>
        <v>0</v>
      </c>
      <c r="BZ39" s="747">
        <f>$G39*$H39*(1+$K39)^MAX(ROUNDUP(IFERROR(DATEDIF($I21-1,BZ$15+1,"m"),)/12,)-1,)*Index!BV$22*(BZ$15&gt;$I39)*(1-BZ$12)</f>
        <v>0</v>
      </c>
      <c r="CA39" s="747">
        <f>$G39*$H39*(1+$K39)^MAX(ROUNDUP(IFERROR(DATEDIF($I21-1,CA$15+1,"m"),)/12,)-1,)*Index!BW$22*(CA$15&gt;$I39)*(1-CA$12)</f>
        <v>0</v>
      </c>
      <c r="CB39" s="747">
        <f>$G39*$H39*(1+$K39)^MAX(ROUNDUP(IFERROR(DATEDIF($I21-1,CB$15+1,"m"),)/12,)-1,)*Index!BX$22*(CB$15&gt;$I39)*(1-CB$12)</f>
        <v>0</v>
      </c>
      <c r="CC39" s="747">
        <f>$G39*$H39*(1+$K39)^MAX(ROUNDUP(IFERROR(DATEDIF($I21-1,CC$15+1,"m"),)/12,)-1,)*Index!BY$22*(CC$15&gt;$I39)*(1-CC$12)</f>
        <v>0</v>
      </c>
      <c r="CD39" s="747">
        <f>$G39*$H39*(1+$K39)^MAX(ROUNDUP(IFERROR(DATEDIF($I21-1,CD$15+1,"m"),)/12,)-1,)*Index!BZ$22*(CD$15&gt;$I39)*(1-CD$12)</f>
        <v>0</v>
      </c>
      <c r="CE39" s="747">
        <f>$G39*$H39*(1+$K39)^MAX(ROUNDUP(IFERROR(DATEDIF($I21-1,CE$15+1,"m"),)/12,)-1,)*Index!CA$22*(CE$15&gt;$I39)*(1-CE$12)</f>
        <v>0</v>
      </c>
      <c r="CF39" s="747">
        <f>$G39*$H39*(1+$K39)^MAX(ROUNDUP(IFERROR(DATEDIF($I21-1,CF$15+1,"m"),)/12,)-1,)*Index!CB$22*(CF$15&gt;$I39)*(1-CF$12)</f>
        <v>0</v>
      </c>
      <c r="CG39" s="747">
        <f>$G39*$H39*(1+$K39)^MAX(ROUNDUP(IFERROR(DATEDIF($I21-1,CG$15+1,"m"),)/12,)-1,)*Index!CC$22*(CG$15&gt;$I39)*(1-CG$12)</f>
        <v>0</v>
      </c>
      <c r="CH39" s="747">
        <f>$G39*$H39*(1+$K39)^MAX(ROUNDUP(IFERROR(DATEDIF($I21-1,CH$15+1,"m"),)/12,)-1,)*Index!CD$22*(CH$15&gt;$I39)*(1-CH$12)</f>
        <v>0</v>
      </c>
      <c r="CI39" s="747">
        <f>$G39*$H39*(1+$K39)^MAX(ROUNDUP(IFERROR(DATEDIF($I21-1,CI$15+1,"m"),)/12,)-1,)*Index!CE$22*(CI$15&gt;$I39)*(1-CI$12)</f>
        <v>0</v>
      </c>
      <c r="CJ39" s="747">
        <f>$G39*$H39*(1+$K39)^MAX(ROUNDUP(IFERROR(DATEDIF($I21-1,CJ$15+1,"m"),)/12,)-1,)*Index!CF$22*(CJ$15&gt;$I39)*(1-CJ$12)</f>
        <v>0</v>
      </c>
      <c r="CK39" s="747">
        <f>$G39*$H39*(1+$K39)^MAX(ROUNDUP(IFERROR(DATEDIF($I21-1,CK$15+1,"m"),)/12,)-1,)*Index!CG$22*(CK$15&gt;$I39)*(1-CK$12)</f>
        <v>0</v>
      </c>
      <c r="CL39" s="747">
        <f>$G39*$H39*(1+$K39)^MAX(ROUNDUP(IFERROR(DATEDIF($I21-1,CL$15+1,"m"),)/12,)-1,)*Index!CH$22*(CL$15&gt;$I39)*(1-CL$12)</f>
        <v>0</v>
      </c>
      <c r="CM39" s="747">
        <f>$G39*$H39*(1+$K39)^MAX(ROUNDUP(IFERROR(DATEDIF($I21-1,CM$15+1,"m"),)/12,)-1,)*Index!CI$22*(CM$15&gt;$I39)*(1-CM$12)</f>
        <v>0</v>
      </c>
      <c r="CN39" s="747">
        <f>$G39*$H39*(1+$K39)^MAX(ROUNDUP(IFERROR(DATEDIF($I21-1,CN$15+1,"m"),)/12,)-1,)*Index!CJ$22*(CN$15&gt;$I39)*(1-CN$12)</f>
        <v>0</v>
      </c>
      <c r="CO39" s="747">
        <f>$G39*$H39*(1+$K39)^MAX(ROUNDUP(IFERROR(DATEDIF($I21-1,CO$15+1,"m"),)/12,)-1,)*Index!CK$22*(CO$15&gt;$I39)*(1-CO$12)</f>
        <v>0</v>
      </c>
      <c r="CP39" s="747">
        <f>$G39*$H39*(1+$K39)^MAX(ROUNDUP(IFERROR(DATEDIF($I21-1,CP$15+1,"m"),)/12,)-1,)*Index!CL$22*(CP$15&gt;$I39)*(1-CP$12)</f>
        <v>0</v>
      </c>
      <c r="CQ39" s="747">
        <f>$G39*$H39*(1+$K39)^MAX(ROUNDUP(IFERROR(DATEDIF($I21-1,CQ$15+1,"m"),)/12,)-1,)*Index!CM$22*(CQ$15&gt;$I39)*(1-CQ$12)</f>
        <v>0</v>
      </c>
      <c r="CR39" s="747">
        <f>$G39*$H39*(1+$K39)^MAX(ROUNDUP(IFERROR(DATEDIF($I21-1,CR$15+1,"m"),)/12,)-1,)*Index!CN$22*(CR$15&gt;$I39)*(1-CR$12)</f>
        <v>0</v>
      </c>
      <c r="CS39" s="747">
        <f>$G39*$H39*(1+$K39)^MAX(ROUNDUP(IFERROR(DATEDIF($I21-1,CS$15+1,"m"),)/12,)-1,)*Index!CO$22*(CS$15&gt;$I39)*(1-CS$12)</f>
        <v>0</v>
      </c>
      <c r="CT39" s="747">
        <f>$G39*$H39*(1+$K39)^MAX(ROUNDUP(IFERROR(DATEDIF($I21-1,CT$15+1,"m"),)/12,)-1,)*Index!CP$22*(CT$15&gt;$I39)*(1-CT$12)</f>
        <v>0</v>
      </c>
      <c r="CU39" s="747">
        <f>$G39*$H39*(1+$K39)^MAX(ROUNDUP(IFERROR(DATEDIF($I21-1,CU$15+1,"m"),)/12,)-1,)*Index!CQ$22*(CU$15&gt;$I39)*(1-CU$12)</f>
        <v>0</v>
      </c>
      <c r="CV39" s="747">
        <f>$G39*$H39*(1+$K39)^MAX(ROUNDUP(IFERROR(DATEDIF($I21-1,CV$15+1,"m"),)/12,)-1,)*Index!CR$22*(CV$15&gt;$I39)*(1-CV$12)</f>
        <v>0</v>
      </c>
      <c r="CW39" s="747">
        <f>$G39*$H39*(1+$K39)^MAX(ROUNDUP(IFERROR(DATEDIF($I21-1,CW$15+1,"m"),)/12,)-1,)*Index!CS$22*(CW$15&gt;$I39)*(1-CW$12)</f>
        <v>0</v>
      </c>
      <c r="CX39" s="747">
        <f>$G39*$H39*(1+$K39)^MAX(ROUNDUP(IFERROR(DATEDIF($I21-1,CX$15+1,"m"),)/12,)-1,)*Index!CT$22*(CX$15&gt;$I39)*(1-CX$12)</f>
        <v>0</v>
      </c>
      <c r="CY39" s="747">
        <f>$G39*$H39*(1+$K39)^MAX(ROUNDUP(IFERROR(DATEDIF($I21-1,CY$15+1,"m"),)/12,)-1,)*Index!CU$22*(CY$15&gt;$I39)*(1-CY$12)</f>
        <v>0</v>
      </c>
      <c r="CZ39" s="747">
        <f>$G39*$H39*(1+$K39)^MAX(ROUNDUP(IFERROR(DATEDIF($I21-1,CZ$15+1,"m"),)/12,)-1,)*Index!CV$22*(CZ$15&gt;$I39)*(1-CZ$12)</f>
        <v>0</v>
      </c>
      <c r="DA39" s="747">
        <f>$G39*$H39*(1+$K39)^MAX(ROUNDUP(IFERROR(DATEDIF($I21-1,DA$15+1,"m"),)/12,)-1,)*Index!CW$22*(DA$15&gt;$I39)*(1-DA$12)</f>
        <v>0</v>
      </c>
      <c r="DB39" s="747">
        <f>$G39*$H39*(1+$K39)^MAX(ROUNDUP(IFERROR(DATEDIF($I21-1,DB$15+1,"m"),)/12,)-1,)*Index!CX$22*(DB$15&gt;$I39)*(1-DB$12)</f>
        <v>0</v>
      </c>
      <c r="DC39" s="747">
        <f>$G39*$H39*(1+$K39)^MAX(ROUNDUP(IFERROR(DATEDIF($I21-1,DC$15+1,"m"),)/12,)-1,)*Index!CY$22*(DC$15&gt;$I39)*(1-DC$12)</f>
        <v>15318.215653592446</v>
      </c>
      <c r="DD39" s="747">
        <f>$G39*$H39*(1+$K39)^MAX(ROUNDUP(IFERROR(DATEDIF($I21-1,DD$15+1,"m"),)/12,)-1,)*Index!CZ$22*(DD$15&gt;$I39)*(1-DD$12)</f>
        <v>15318.215653592446</v>
      </c>
      <c r="DE39" s="747">
        <f>$G39*$H39*(1+$K39)^MAX(ROUNDUP(IFERROR(DATEDIF($I21-1,DE$15+1,"m"),)/12,)-1,)*Index!DA$22*(DE$15&gt;$I39)*(1-DE$12)</f>
        <v>15318.215653592446</v>
      </c>
      <c r="DF39" s="747">
        <f>$G39*$H39*(1+$K39)^MAX(ROUNDUP(IFERROR(DATEDIF($I21-1,DF$15+1,"m"),)/12,)-1,)*Index!DB$22*(DF$15&gt;$I39)*(1-DF$12)</f>
        <v>15318.215653592446</v>
      </c>
      <c r="DG39" s="747">
        <f>$G39*$H39*(1+$K39)^MAX(ROUNDUP(IFERROR(DATEDIF($I21-1,DG$15+1,"m"),)/12,)-1,)*Index!DC$22*(DG$15&gt;$I39)*(1-DG$12)</f>
        <v>15318.215653592446</v>
      </c>
      <c r="DH39" s="747">
        <f>$G39*$H39*(1+$K39)^MAX(ROUNDUP(IFERROR(DATEDIF($I21-1,DH$15+1,"m"),)/12,)-1,)*Index!DD$22*(DH$15&gt;$I39)*(1-DH$12)</f>
        <v>15318.215653592446</v>
      </c>
      <c r="DI39" s="747">
        <f>$G39*$H39*(1+$K39)^MAX(ROUNDUP(IFERROR(DATEDIF($I21-1,DI$15+1,"m"),)/12,)-1,)*Index!DE$22*(DI$15&gt;$I39)*(1-DI$12)</f>
        <v>15318.215653592446</v>
      </c>
      <c r="DJ39" s="747">
        <f>$G39*$H39*(1+$K39)^MAX(ROUNDUP(IFERROR(DATEDIF($I21-1,DJ$15+1,"m"),)/12,)-1,)*Index!DF$22*(DJ$15&gt;$I39)*(1-DJ$12)</f>
        <v>15318.215653592446</v>
      </c>
      <c r="DK39" s="747">
        <f>$G39*$H39*(1+$K39)^MAX(ROUNDUP(IFERROR(DATEDIF($I21-1,DK$15+1,"m"),)/12,)-1,)*Index!DG$22*(DK$15&gt;$I39)*(1-DK$12)</f>
        <v>15318.215653592446</v>
      </c>
      <c r="DL39" s="747">
        <f>$G39*$H39*(1+$K39)^MAX(ROUNDUP(IFERROR(DATEDIF($I21-1,DL$15+1,"m"),)/12,)-1,)*Index!DH$22*(DL$15&gt;$I39)*(1-DL$12)</f>
        <v>15318.215653592446</v>
      </c>
      <c r="DM39" s="747">
        <f>$G39*$H39*(1+$K39)^MAX(ROUNDUP(IFERROR(DATEDIF($I21-1,DM$15+1,"m"),)/12,)-1,)*Index!DI$22*(DM$15&gt;$I39)*(1-DM$12)</f>
        <v>15318.215653592446</v>
      </c>
      <c r="DN39" s="747">
        <f>$G39*$H39*(1+$K39)^MAX(ROUNDUP(IFERROR(DATEDIF($I21-1,DN$15+1,"m"),)/12,)-1,)*Index!DJ$22*(DN$15&gt;$I39)*(1-DN$12)</f>
        <v>15318.215653592446</v>
      </c>
      <c r="DO39" s="747">
        <f>$G39*$H39*(1+$K39)^MAX(ROUNDUP(IFERROR(DATEDIF($I21-1,DO$15+1,"m"),)/12,)-1,)*Index!DK$22*(DO$15&gt;$I39)*(1-DO$12)</f>
        <v>15701.171044932258</v>
      </c>
      <c r="DP39" s="747">
        <f>$G39*$H39*(1+$K39)^MAX(ROUNDUP(IFERROR(DATEDIF($I21-1,DP$15+1,"m"),)/12,)-1,)*Index!DL$22*(DP$15&gt;$I39)*(1-DP$12)</f>
        <v>15701.171044932258</v>
      </c>
      <c r="DQ39" s="747">
        <f>$G39*$H39*(1+$K39)^MAX(ROUNDUP(IFERROR(DATEDIF($I21-1,DQ$15+1,"m"),)/12,)-1,)*Index!DM$22*(DQ$15&gt;$I39)*(1-DQ$12)</f>
        <v>15701.171044932258</v>
      </c>
      <c r="DR39" s="747">
        <f>$G39*$H39*(1+$K39)^MAX(ROUNDUP(IFERROR(DATEDIF($I21-1,DR$15+1,"m"),)/12,)-1,)*Index!DN$22*(DR$15&gt;$I39)*(1-DR$12)</f>
        <v>15701.171044932258</v>
      </c>
      <c r="DS39" s="747">
        <f>$G39*$H39*(1+$K39)^MAX(ROUNDUP(IFERROR(DATEDIF($I21-1,DS$15+1,"m"),)/12,)-1,)*Index!DO$22*(DS$15&gt;$I39)*(1-DS$12)</f>
        <v>15701.171044932258</v>
      </c>
      <c r="DT39" s="747">
        <f>$G39*$H39*(1+$K39)^MAX(ROUNDUP(IFERROR(DATEDIF($I21-1,DT$15+1,"m"),)/12,)-1,)*Index!DP$22*(DT$15&gt;$I39)*(1-DT$12)</f>
        <v>15701.171044932258</v>
      </c>
      <c r="DU39" s="747">
        <f>$G39*$H39*(1+$K39)^MAX(ROUNDUP(IFERROR(DATEDIF($I21-1,DU$15+1,"m"),)/12,)-1,)*Index!DQ$22*(DU$15&gt;$I39)*(1-DU$12)</f>
        <v>15701.171044932258</v>
      </c>
      <c r="DV39" s="747">
        <f>$G39*$H39*(1+$K39)^MAX(ROUNDUP(IFERROR(DATEDIF($I21-1,DV$15+1,"m"),)/12,)-1,)*Index!DR$22*(DV$15&gt;$I39)*(1-DV$12)</f>
        <v>15701.171044932258</v>
      </c>
      <c r="DW39" s="747">
        <f>$G39*$H39*(1+$K39)^MAX(ROUNDUP(IFERROR(DATEDIF($I21-1,DW$15+1,"m"),)/12,)-1,)*Index!DS$22*(DW$15&gt;$I39)*(1-DW$12)</f>
        <v>15701.171044932258</v>
      </c>
      <c r="DX39" s="747">
        <f>$G39*$H39*(1+$K39)^MAX(ROUNDUP(IFERROR(DATEDIF($I21-1,DX$15+1,"m"),)/12,)-1,)*Index!DT$22*(DX$15&gt;$I39)*(1-DX$12)</f>
        <v>15701.171044932258</v>
      </c>
      <c r="DY39" s="747">
        <f>$G39*$H39*(1+$K39)^MAX(ROUNDUP(IFERROR(DATEDIF($I21-1,DY$15+1,"m"),)/12,)-1,)*Index!DU$22*(DY$15&gt;$I39)*(1-DY$12)</f>
        <v>15701.171044932258</v>
      </c>
      <c r="DZ39" s="747">
        <f>$G39*$H39*(1+$K39)^MAX(ROUNDUP(IFERROR(DATEDIF($I21-1,DZ$15+1,"m"),)/12,)-1,)*Index!DV$22*(DZ$15&gt;$I39)*(1-DZ$12)</f>
        <v>15701.171044932258</v>
      </c>
      <c r="EA39" s="747">
        <f>$G39*$H39*(1+$K39)^MAX(ROUNDUP(IFERROR(DATEDIF($I21-1,EA$15+1,"m"),)/12,)-1,)*Index!DW$22*(EA$15&gt;$I39)*(1-EA$12)</f>
        <v>16093.700321055563</v>
      </c>
      <c r="EB39" s="747">
        <f>$G39*$H39*(1+$K39)^MAX(ROUNDUP(IFERROR(DATEDIF($I21-1,EB$15+1,"m"),)/12,)-1,)*Index!DX$22*(EB$15&gt;$I39)*(1-EB$12)</f>
        <v>16093.700321055563</v>
      </c>
      <c r="EC39" s="747">
        <f>$G39*$H39*(1+$K39)^MAX(ROUNDUP(IFERROR(DATEDIF($I21-1,EC$15+1,"m"),)/12,)-1,)*Index!DY$22*(EC$15&gt;$I39)*(1-EC$12)</f>
        <v>16093.700321055563</v>
      </c>
      <c r="ED39" s="747">
        <f>$G39*$H39*(1+$K39)^MAX(ROUNDUP(IFERROR(DATEDIF($I21-1,ED$15+1,"m"),)/12,)-1,)*Index!DZ$22*(ED$15&gt;$I39)*(1-ED$12)</f>
        <v>16093.700321055563</v>
      </c>
      <c r="EE39" s="747">
        <f>$G39*$H39*(1+$K39)^MAX(ROUNDUP(IFERROR(DATEDIF($I21-1,EE$15+1,"m"),)/12,)-1,)*Index!EA$22*(EE$15&gt;$I39)*(1-EE$12)</f>
        <v>16093.700321055563</v>
      </c>
      <c r="EF39" s="747">
        <f>$G39*$H39*(1+$K39)^MAX(ROUNDUP(IFERROR(DATEDIF($I21-1,EF$15+1,"m"),)/12,)-1,)*Index!EB$22*(EF$15&gt;$I39)*(1-EF$12)</f>
        <v>16093.700321055563</v>
      </c>
      <c r="EG39" s="747">
        <f>$G39*$H39*(1+$K39)^MAX(ROUNDUP(IFERROR(DATEDIF($I21-1,EG$15+1,"m"),)/12,)-1,)*Index!EC$22*(EG$15&gt;$I39)*(1-EG$12)</f>
        <v>0</v>
      </c>
      <c r="EH39" s="747">
        <f>$G39*$H39*(1+$K39)^MAX(ROUNDUP(IFERROR(DATEDIF($I21-1,EH$15+1,"m"),)/12,)-1,)*Index!ED$22*(EH$15&gt;$I39)*(1-EH$12)</f>
        <v>0</v>
      </c>
      <c r="EI39" s="747">
        <f>$G39*$H39*(1+$K39)^MAX(ROUNDUP(IFERROR(DATEDIF($I21-1,EI$15+1,"m"),)/12,)-1,)*Index!EE$22*(EI$15&gt;$I39)*(1-EI$12)</f>
        <v>0</v>
      </c>
      <c r="EJ39" s="747">
        <f>$G39*$H39*(1+$K39)^MAX(ROUNDUP(IFERROR(DATEDIF($I21-1,EJ$15+1,"m"),)/12,)-1,)*Index!EF$22*(EJ$15&gt;$I39)*(1-EJ$12)</f>
        <v>0</v>
      </c>
      <c r="EK39" s="747">
        <f>$G39*$H39*(1+$K39)^MAX(ROUNDUP(IFERROR(DATEDIF($I21-1,EK$15+1,"m"),)/12,)-1,)*Index!EG$22*(EK$15&gt;$I39)*(1-EK$12)</f>
        <v>0</v>
      </c>
      <c r="EL39" s="747">
        <f>$G39*$H39*(1+$K39)^MAX(ROUNDUP(IFERROR(DATEDIF($I21-1,EL$15+1,"m"),)/12,)-1,)*Index!EH$22*(EL$15&gt;$I39)*(1-EL$12)</f>
        <v>0</v>
      </c>
      <c r="EM39" s="747">
        <f>$G39*$H39*(1+$K39)^MAX(ROUNDUP(IFERROR(DATEDIF($I21-1,EM$15+1,"m"),)/12,)-1,)*Index!EI$22*(EM$15&gt;$I39)*(1-EM$12)</f>
        <v>0</v>
      </c>
      <c r="EN39" s="747">
        <f>$G39*$H39*(1+$K39)^MAX(ROUNDUP(IFERROR(DATEDIF($I21-1,EN$15+1,"m"),)/12,)-1,)*Index!EJ$22*(EN$15&gt;$I39)*(1-EN$12)</f>
        <v>0</v>
      </c>
      <c r="EO39" s="747">
        <f>$G39*$H39*(1+$K39)^MAX(ROUNDUP(IFERROR(DATEDIF($I21-1,EO$15+1,"m"),)/12,)-1,)*Index!EK$22*(EO$15&gt;$I39)*(1-EO$12)</f>
        <v>0</v>
      </c>
      <c r="EP39" s="747">
        <f>$G39*$H39*(1+$K39)^MAX(ROUNDUP(IFERROR(DATEDIF($I21-1,EP$15+1,"m"),)/12,)-1,)*Index!EL$22*(EP$15&gt;$I39)*(1-EP$12)</f>
        <v>0</v>
      </c>
      <c r="EQ39" s="747">
        <f>$G39*$H39*(1+$K39)^MAX(ROUNDUP(IFERROR(DATEDIF($I21-1,EQ$15+1,"m"),)/12,)-1,)*Index!EM$22*(EQ$15&gt;$I39)*(1-EQ$12)</f>
        <v>0</v>
      </c>
      <c r="ER39" s="747">
        <f>$G39*$H39*(1+$K39)^MAX(ROUNDUP(IFERROR(DATEDIF($I21-1,ER$15+1,"m"),)/12,)-1,)*Index!EN$22*(ER$15&gt;$I39)*(1-ER$12)</f>
        <v>0</v>
      </c>
      <c r="ES39" s="747">
        <f>$G39*$H39*(1+$K39)^MAX(ROUNDUP(IFERROR(DATEDIF($I21-1,ES$15+1,"m"),)/12,)-1,)*Index!EO$22*(ES$15&gt;$I39)*(1-ES$12)</f>
        <v>0</v>
      </c>
      <c r="ET39" s="747">
        <f>$G39*$H39*(1+$K39)^MAX(ROUNDUP(IFERROR(DATEDIF($I21-1,ET$15+1,"m"),)/12,)-1,)*Index!EP$22*(ET$15&gt;$I39)*(1-ET$12)</f>
        <v>0</v>
      </c>
      <c r="EU39" s="747">
        <f>$G39*$H39*(1+$K39)^MAX(ROUNDUP(IFERROR(DATEDIF($I21-1,EU$15+1,"m"),)/12,)-1,)*Index!EQ$22*(EU$15&gt;$I39)*(1-EU$12)</f>
        <v>0</v>
      </c>
    </row>
    <row r="40" spans="3:151" ht="11.25" customHeight="1">
      <c r="C40" s="735"/>
      <c r="D40" s="743">
        <f t="shared" si="11"/>
        <v>7</v>
      </c>
      <c r="E40" s="704" t="str">
        <f t="shared" si="11"/>
        <v>쿠팡</v>
      </c>
      <c r="F40" s="704" t="str">
        <f t="shared" si="11"/>
        <v>상온창고</v>
      </c>
      <c r="G40" s="752" cm="1">
        <f t="array" ref="G40">SUMPRODUCT(('Rent-roll'!$E40='A&amp;R'!$V$26:$V$32)*('A&amp;R'!$AB$26:$AB$32))/1000</f>
        <v>57.698001860542107</v>
      </c>
      <c r="H40" s="744">
        <f t="shared" si="12"/>
        <v>1550.42</v>
      </c>
      <c r="I40" s="745">
        <f t="shared" si="13"/>
        <v>49064</v>
      </c>
      <c r="J40" s="745"/>
      <c r="K40" s="754">
        <f t="shared" si="14"/>
        <v>2.5000000000000001E-2</v>
      </c>
      <c r="L40" s="746"/>
      <c r="M40" s="722"/>
      <c r="N40" s="747">
        <f t="shared" si="15"/>
        <v>3521870.2035994711</v>
      </c>
      <c r="O40" s="733"/>
      <c r="P40" s="747">
        <f>$G40*$H40*(1+$K40)^MAX(ROUNDUP(IFERROR(DATEDIF($I22-1,P$15+1,"m"),)/12,)-1,)*Index!L$22*(P$15&gt;$I40)*(1-P$12)</f>
        <v>0</v>
      </c>
      <c r="Q40" s="747">
        <f>$G40*$H40*(1+$K40)^MAX(ROUNDUP(IFERROR(DATEDIF($I22-1,Q$15+1,"m"),)/12,)-1,)*Index!M$22*(Q$15&gt;$I40)*(1-Q$12)</f>
        <v>0</v>
      </c>
      <c r="R40" s="747">
        <f>$G40*$H40*(1+$K40)^MAX(ROUNDUP(IFERROR(DATEDIF($I22-1,R$15+1,"m"),)/12,)-1,)*Index!N$22*(R$15&gt;$I40)*(1-R$12)</f>
        <v>0</v>
      </c>
      <c r="S40" s="747">
        <f>$G40*$H40*(1+$K40)^MAX(ROUNDUP(IFERROR(DATEDIF($I22-1,S$15+1,"m"),)/12,)-1,)*Index!O$22*(S$15&gt;$I40)*(1-S$12)</f>
        <v>0</v>
      </c>
      <c r="T40" s="747">
        <f>$G40*$H40*(1+$K40)^MAX(ROUNDUP(IFERROR(DATEDIF($I22-1,T$15+1,"m"),)/12,)-1,)*Index!P$22*(T$15&gt;$I40)*(1-T$12)</f>
        <v>0</v>
      </c>
      <c r="U40" s="747">
        <f>$G40*$H40*(1+$K40)^MAX(ROUNDUP(IFERROR(DATEDIF($I22-1,U$15+1,"m"),)/12,)-1,)*Index!Q$22*(U$15&gt;$I40)*(1-U$12)</f>
        <v>0</v>
      </c>
      <c r="V40" s="747">
        <f>$G40*$H40*(1+$K40)^MAX(ROUNDUP(IFERROR(DATEDIF($I22-1,V$15+1,"m"),)/12,)-1,)*Index!R$22*(V$15&gt;$I40)*(1-V$12)</f>
        <v>0</v>
      </c>
      <c r="W40" s="747">
        <f>$G40*$H40*(1+$K40)^MAX(ROUNDUP(IFERROR(DATEDIF($I22-1,W$15+1,"m"),)/12,)-1,)*Index!S$22*(W$15&gt;$I40)*(1-W$12)</f>
        <v>0</v>
      </c>
      <c r="X40" s="747">
        <f>$G40*$H40*(1+$K40)^MAX(ROUNDUP(IFERROR(DATEDIF($I22-1,X$15+1,"m"),)/12,)-1,)*Index!T$22*(X$15&gt;$I40)*(1-X$12)</f>
        <v>0</v>
      </c>
      <c r="Y40" s="747">
        <f>$G40*$H40*(1+$K40)^MAX(ROUNDUP(IFERROR(DATEDIF($I22-1,Y$15+1,"m"),)/12,)-1,)*Index!U$22*(Y$15&gt;$I40)*(1-Y$12)</f>
        <v>0</v>
      </c>
      <c r="Z40" s="747">
        <f>$G40*$H40*(1+$K40)^MAX(ROUNDUP(IFERROR(DATEDIF($I22-1,Z$15+1,"m"),)/12,)-1,)*Index!V$22*(Z$15&gt;$I40)*(1-Z$12)</f>
        <v>0</v>
      </c>
      <c r="AA40" s="747">
        <f>$G40*$H40*(1+$K40)^MAX(ROUNDUP(IFERROR(DATEDIF($I22-1,AA$15+1,"m"),)/12,)-1,)*Index!W$22*(AA$15&gt;$I40)*(1-AA$12)</f>
        <v>0</v>
      </c>
      <c r="AB40" s="747">
        <f>$G40*$H40*(1+$K40)^MAX(ROUNDUP(IFERROR(DATEDIF($I22-1,AB$15+1,"m"),)/12,)-1,)*Index!X$22*(AB$15&gt;$I40)*(1-AB$12)</f>
        <v>0</v>
      </c>
      <c r="AC40" s="747">
        <f>$G40*$H40*(1+$K40)^MAX(ROUNDUP(IFERROR(DATEDIF($I22-1,AC$15+1,"m"),)/12,)-1,)*Index!Y$22*(AC$15&gt;$I40)*(1-AC$12)</f>
        <v>0</v>
      </c>
      <c r="AD40" s="747">
        <f>$G40*$H40*(1+$K40)^MAX(ROUNDUP(IFERROR(DATEDIF($I22-1,AD$15+1,"m"),)/12,)-1,)*Index!Z$22*(AD$15&gt;$I40)*(1-AD$12)</f>
        <v>0</v>
      </c>
      <c r="AE40" s="747">
        <f>$G40*$H40*(1+$K40)^MAX(ROUNDUP(IFERROR(DATEDIF($I22-1,AE$15+1,"m"),)/12,)-1,)*Index!AA$22*(AE$15&gt;$I40)*(1-AE$12)</f>
        <v>0</v>
      </c>
      <c r="AF40" s="747">
        <f>$G40*$H40*(1+$K40)^MAX(ROUNDUP(IFERROR(DATEDIF($I22-1,AF$15+1,"m"),)/12,)-1,)*Index!AB$22*(AF$15&gt;$I40)*(1-AF$12)</f>
        <v>0</v>
      </c>
      <c r="AG40" s="747">
        <f>$G40*$H40*(1+$K40)^MAX(ROUNDUP(IFERROR(DATEDIF($I22-1,AG$15+1,"m"),)/12,)-1,)*Index!AC$22*(AG$15&gt;$I40)*(1-AG$12)</f>
        <v>0</v>
      </c>
      <c r="AH40" s="747">
        <f>$G40*$H40*(1+$K40)^MAX(ROUNDUP(IFERROR(DATEDIF($I22-1,AH$15+1,"m"),)/12,)-1,)*Index!AD$22*(AH$15&gt;$I40)*(1-AH$12)</f>
        <v>0</v>
      </c>
      <c r="AI40" s="747">
        <f>$G40*$H40*(1+$K40)^MAX(ROUNDUP(IFERROR(DATEDIF($I22-1,AI$15+1,"m"),)/12,)-1,)*Index!AE$22*(AI$15&gt;$I40)*(1-AI$12)</f>
        <v>0</v>
      </c>
      <c r="AJ40" s="747">
        <f>$G40*$H40*(1+$K40)^MAX(ROUNDUP(IFERROR(DATEDIF($I22-1,AJ$15+1,"m"),)/12,)-1,)*Index!AF$22*(AJ$15&gt;$I40)*(1-AJ$12)</f>
        <v>0</v>
      </c>
      <c r="AK40" s="747">
        <f>$G40*$H40*(1+$K40)^MAX(ROUNDUP(IFERROR(DATEDIF($I22-1,AK$15+1,"m"),)/12,)-1,)*Index!AG$22*(AK$15&gt;$I40)*(1-AK$12)</f>
        <v>0</v>
      </c>
      <c r="AL40" s="747">
        <f>$G40*$H40*(1+$K40)^MAX(ROUNDUP(IFERROR(DATEDIF($I22-1,AL$15+1,"m"),)/12,)-1,)*Index!AH$22*(AL$15&gt;$I40)*(1-AL$12)</f>
        <v>0</v>
      </c>
      <c r="AM40" s="747">
        <f>$G40*$H40*(1+$K40)^MAX(ROUNDUP(IFERROR(DATEDIF($I22-1,AM$15+1,"m"),)/12,)-1,)*Index!AI$22*(AM$15&gt;$I40)*(1-AM$12)</f>
        <v>0</v>
      </c>
      <c r="AN40" s="747">
        <f>$G40*$H40*(1+$K40)^MAX(ROUNDUP(IFERROR(DATEDIF($I22-1,AN$15+1,"m"),)/12,)-1,)*Index!AJ$22*(AN$15&gt;$I40)*(1-AN$12)</f>
        <v>0</v>
      </c>
      <c r="AO40" s="747">
        <f>$G40*$H40*(1+$K40)^MAX(ROUNDUP(IFERROR(DATEDIF($I22-1,AO$15+1,"m"),)/12,)-1,)*Index!AK$22*(AO$15&gt;$I40)*(1-AO$12)</f>
        <v>0</v>
      </c>
      <c r="AP40" s="747">
        <f>$G40*$H40*(1+$K40)^MAX(ROUNDUP(IFERROR(DATEDIF($I22-1,AP$15+1,"m"),)/12,)-1,)*Index!AL$22*(AP$15&gt;$I40)*(1-AP$12)</f>
        <v>0</v>
      </c>
      <c r="AQ40" s="747">
        <f>$G40*$H40*(1+$K40)^MAX(ROUNDUP(IFERROR(DATEDIF($I22-1,AQ$15+1,"m"),)/12,)-1,)*Index!AM$22*(AQ$15&gt;$I40)*(1-AQ$12)</f>
        <v>0</v>
      </c>
      <c r="AR40" s="747">
        <f>$G40*$H40*(1+$K40)^MAX(ROUNDUP(IFERROR(DATEDIF($I22-1,AR$15+1,"m"),)/12,)-1,)*Index!AN$22*(AR$15&gt;$I40)*(1-AR$12)</f>
        <v>0</v>
      </c>
      <c r="AS40" s="747">
        <f>$G40*$H40*(1+$K40)^MAX(ROUNDUP(IFERROR(DATEDIF($I22-1,AS$15+1,"m"),)/12,)-1,)*Index!AO$22*(AS$15&gt;$I40)*(1-AS$12)</f>
        <v>0</v>
      </c>
      <c r="AT40" s="747">
        <f>$G40*$H40*(1+$K40)^MAX(ROUNDUP(IFERROR(DATEDIF($I22-1,AT$15+1,"m"),)/12,)-1,)*Index!AP$22*(AT$15&gt;$I40)*(1-AT$12)</f>
        <v>0</v>
      </c>
      <c r="AU40" s="747">
        <f>$G40*$H40*(1+$K40)^MAX(ROUNDUP(IFERROR(DATEDIF($I22-1,AU$15+1,"m"),)/12,)-1,)*Index!AQ$22*(AU$15&gt;$I40)*(1-AU$12)</f>
        <v>0</v>
      </c>
      <c r="AV40" s="747">
        <f>$G40*$H40*(1+$K40)^MAX(ROUNDUP(IFERROR(DATEDIF($I22-1,AV$15+1,"m"),)/12,)-1,)*Index!AR$22*(AV$15&gt;$I40)*(1-AV$12)</f>
        <v>0</v>
      </c>
      <c r="AW40" s="747">
        <f>$G40*$H40*(1+$K40)^MAX(ROUNDUP(IFERROR(DATEDIF($I22-1,AW$15+1,"m"),)/12,)-1,)*Index!AS$22*(AW$15&gt;$I40)*(1-AW$12)</f>
        <v>0</v>
      </c>
      <c r="AX40" s="747">
        <f>$G40*$H40*(1+$K40)^MAX(ROUNDUP(IFERROR(DATEDIF($I22-1,AX$15+1,"m"),)/12,)-1,)*Index!AT$22*(AX$15&gt;$I40)*(1-AX$12)</f>
        <v>0</v>
      </c>
      <c r="AY40" s="747">
        <f>$G40*$H40*(1+$K40)^MAX(ROUNDUP(IFERROR(DATEDIF($I22-1,AY$15+1,"m"),)/12,)-1,)*Index!AU$22*(AY$15&gt;$I40)*(1-AY$12)</f>
        <v>0</v>
      </c>
      <c r="AZ40" s="747">
        <f>$G40*$H40*(1+$K40)^MAX(ROUNDUP(IFERROR(DATEDIF($I22-1,AZ$15+1,"m"),)/12,)-1,)*Index!AV$22*(AZ$15&gt;$I40)*(1-AZ$12)</f>
        <v>0</v>
      </c>
      <c r="BA40" s="747">
        <f>$G40*$H40*(1+$K40)^MAX(ROUNDUP(IFERROR(DATEDIF($I22-1,BA$15+1,"m"),)/12,)-1,)*Index!AW$22*(BA$15&gt;$I40)*(1-BA$12)</f>
        <v>0</v>
      </c>
      <c r="BB40" s="747">
        <f>$G40*$H40*(1+$K40)^MAX(ROUNDUP(IFERROR(DATEDIF($I22-1,BB$15+1,"m"),)/12,)-1,)*Index!AX$22*(BB$15&gt;$I40)*(1-BB$12)</f>
        <v>0</v>
      </c>
      <c r="BC40" s="747">
        <f>$G40*$H40*(1+$K40)^MAX(ROUNDUP(IFERROR(DATEDIF($I22-1,BC$15+1,"m"),)/12,)-1,)*Index!AY$22*(BC$15&gt;$I40)*(1-BC$12)</f>
        <v>0</v>
      </c>
      <c r="BD40" s="747">
        <f>$G40*$H40*(1+$K40)^MAX(ROUNDUP(IFERROR(DATEDIF($I22-1,BD$15+1,"m"),)/12,)-1,)*Index!AZ$22*(BD$15&gt;$I40)*(1-BD$12)</f>
        <v>0</v>
      </c>
      <c r="BE40" s="747">
        <f>$G40*$H40*(1+$K40)^MAX(ROUNDUP(IFERROR(DATEDIF($I22-1,BE$15+1,"m"),)/12,)-1,)*Index!BA$22*(BE$15&gt;$I40)*(1-BE$12)</f>
        <v>0</v>
      </c>
      <c r="BF40" s="747">
        <f>$G40*$H40*(1+$K40)^MAX(ROUNDUP(IFERROR(DATEDIF($I22-1,BF$15+1,"m"),)/12,)-1,)*Index!BB$22*(BF$15&gt;$I40)*(1-BF$12)</f>
        <v>0</v>
      </c>
      <c r="BG40" s="747">
        <f>$G40*$H40*(1+$K40)^MAX(ROUNDUP(IFERROR(DATEDIF($I22-1,BG$15+1,"m"),)/12,)-1,)*Index!BC$22*(BG$15&gt;$I40)*(1-BG$12)</f>
        <v>0</v>
      </c>
      <c r="BH40" s="747">
        <f>$G40*$H40*(1+$K40)^MAX(ROUNDUP(IFERROR(DATEDIF($I22-1,BH$15+1,"m"),)/12,)-1,)*Index!BD$22*(BH$15&gt;$I40)*(1-BH$12)</f>
        <v>0</v>
      </c>
      <c r="BI40" s="747">
        <f>$G40*$H40*(1+$K40)^MAX(ROUNDUP(IFERROR(DATEDIF($I22-1,BI$15+1,"m"),)/12,)-1,)*Index!BE$22*(BI$15&gt;$I40)*(1-BI$12)</f>
        <v>0</v>
      </c>
      <c r="BJ40" s="747">
        <f>$G40*$H40*(1+$K40)^MAX(ROUNDUP(IFERROR(DATEDIF($I22-1,BJ$15+1,"m"),)/12,)-1,)*Index!BF$22*(BJ$15&gt;$I40)*(1-BJ$12)</f>
        <v>0</v>
      </c>
      <c r="BK40" s="747">
        <f>$G40*$H40*(1+$K40)^MAX(ROUNDUP(IFERROR(DATEDIF($I22-1,BK$15+1,"m"),)/12,)-1,)*Index!BG$22*(BK$15&gt;$I40)*(1-BK$12)</f>
        <v>0</v>
      </c>
      <c r="BL40" s="747">
        <f>$G40*$H40*(1+$K40)^MAX(ROUNDUP(IFERROR(DATEDIF($I22-1,BL$15+1,"m"),)/12,)-1,)*Index!BH$22*(BL$15&gt;$I40)*(1-BL$12)</f>
        <v>0</v>
      </c>
      <c r="BM40" s="747">
        <f>$G40*$H40*(1+$K40)^MAX(ROUNDUP(IFERROR(DATEDIF($I22-1,BM$15+1,"m"),)/12,)-1,)*Index!BI$22*(BM$15&gt;$I40)*(1-BM$12)</f>
        <v>0</v>
      </c>
      <c r="BN40" s="747">
        <f>$G40*$H40*(1+$K40)^MAX(ROUNDUP(IFERROR(DATEDIF($I22-1,BN$15+1,"m"),)/12,)-1,)*Index!BJ$22*(BN$15&gt;$I40)*(1-BN$12)</f>
        <v>0</v>
      </c>
      <c r="BO40" s="747">
        <f>$G40*$H40*(1+$K40)^MAX(ROUNDUP(IFERROR(DATEDIF($I22-1,BO$15+1,"m"),)/12,)-1,)*Index!BK$22*(BO$15&gt;$I40)*(1-BO$12)</f>
        <v>0</v>
      </c>
      <c r="BP40" s="747">
        <f>$G40*$H40*(1+$K40)^MAX(ROUNDUP(IFERROR(DATEDIF($I22-1,BP$15+1,"m"),)/12,)-1,)*Index!BL$22*(BP$15&gt;$I40)*(1-BP$12)</f>
        <v>0</v>
      </c>
      <c r="BQ40" s="747">
        <f>$G40*$H40*(1+$K40)^MAX(ROUNDUP(IFERROR(DATEDIF($I22-1,BQ$15+1,"m"),)/12,)-1,)*Index!BM$22*(BQ$15&gt;$I40)*(1-BQ$12)</f>
        <v>0</v>
      </c>
      <c r="BR40" s="747">
        <f>$G40*$H40*(1+$K40)^MAX(ROUNDUP(IFERROR(DATEDIF($I22-1,BR$15+1,"m"),)/12,)-1,)*Index!BN$22*(BR$15&gt;$I40)*(1-BR$12)</f>
        <v>0</v>
      </c>
      <c r="BS40" s="747">
        <f>$G40*$H40*(1+$K40)^MAX(ROUNDUP(IFERROR(DATEDIF($I22-1,BS$15+1,"m"),)/12,)-1,)*Index!BO$22*(BS$15&gt;$I40)*(1-BS$12)</f>
        <v>0</v>
      </c>
      <c r="BT40" s="747">
        <f>$G40*$H40*(1+$K40)^MAX(ROUNDUP(IFERROR(DATEDIF($I22-1,BT$15+1,"m"),)/12,)-1,)*Index!BP$22*(BT$15&gt;$I40)*(1-BT$12)</f>
        <v>0</v>
      </c>
      <c r="BU40" s="747">
        <f>$G40*$H40*(1+$K40)^MAX(ROUNDUP(IFERROR(DATEDIF($I22-1,BU$15+1,"m"),)/12,)-1,)*Index!BQ$22*(BU$15&gt;$I40)*(1-BU$12)</f>
        <v>0</v>
      </c>
      <c r="BV40" s="747">
        <f>$G40*$H40*(1+$K40)^MAX(ROUNDUP(IFERROR(DATEDIF($I22-1,BV$15+1,"m"),)/12,)-1,)*Index!BR$22*(BV$15&gt;$I40)*(1-BV$12)</f>
        <v>0</v>
      </c>
      <c r="BW40" s="747">
        <f>$G40*$H40*(1+$K40)^MAX(ROUNDUP(IFERROR(DATEDIF($I22-1,BW$15+1,"m"),)/12,)-1,)*Index!BS$22*(BW$15&gt;$I40)*(1-BW$12)</f>
        <v>0</v>
      </c>
      <c r="BX40" s="747">
        <f>$G40*$H40*(1+$K40)^MAX(ROUNDUP(IFERROR(DATEDIF($I22-1,BX$15+1,"m"),)/12,)-1,)*Index!BT$22*(BX$15&gt;$I40)*(1-BX$12)</f>
        <v>0</v>
      </c>
      <c r="BY40" s="747">
        <f>$G40*$H40*(1+$K40)^MAX(ROUNDUP(IFERROR(DATEDIF($I22-1,BY$15+1,"m"),)/12,)-1,)*Index!BU$22*(BY$15&gt;$I40)*(1-BY$12)</f>
        <v>0</v>
      </c>
      <c r="BZ40" s="747">
        <f>$G40*$H40*(1+$K40)^MAX(ROUNDUP(IFERROR(DATEDIF($I22-1,BZ$15+1,"m"),)/12,)-1,)*Index!BV$22*(BZ$15&gt;$I40)*(1-BZ$12)</f>
        <v>0</v>
      </c>
      <c r="CA40" s="747">
        <f>$G40*$H40*(1+$K40)^MAX(ROUNDUP(IFERROR(DATEDIF($I22-1,CA$15+1,"m"),)/12,)-1,)*Index!BW$22*(CA$15&gt;$I40)*(1-CA$12)</f>
        <v>0</v>
      </c>
      <c r="CB40" s="747">
        <f>$G40*$H40*(1+$K40)^MAX(ROUNDUP(IFERROR(DATEDIF($I22-1,CB$15+1,"m"),)/12,)-1,)*Index!BX$22*(CB$15&gt;$I40)*(1-CB$12)</f>
        <v>0</v>
      </c>
      <c r="CC40" s="747">
        <f>$G40*$H40*(1+$K40)^MAX(ROUNDUP(IFERROR(DATEDIF($I22-1,CC$15+1,"m"),)/12,)-1,)*Index!BY$22*(CC$15&gt;$I40)*(1-CC$12)</f>
        <v>0</v>
      </c>
      <c r="CD40" s="747">
        <f>$G40*$H40*(1+$K40)^MAX(ROUNDUP(IFERROR(DATEDIF($I22-1,CD$15+1,"m"),)/12,)-1,)*Index!BZ$22*(CD$15&gt;$I40)*(1-CD$12)</f>
        <v>0</v>
      </c>
      <c r="CE40" s="747">
        <f>$G40*$H40*(1+$K40)^MAX(ROUNDUP(IFERROR(DATEDIF($I22-1,CE$15+1,"m"),)/12,)-1,)*Index!CA$22*(CE$15&gt;$I40)*(1-CE$12)</f>
        <v>0</v>
      </c>
      <c r="CF40" s="747">
        <f>$G40*$H40*(1+$K40)^MAX(ROUNDUP(IFERROR(DATEDIF($I22-1,CF$15+1,"m"),)/12,)-1,)*Index!CB$22*(CF$15&gt;$I40)*(1-CF$12)</f>
        <v>0</v>
      </c>
      <c r="CG40" s="747">
        <f>$G40*$H40*(1+$K40)^MAX(ROUNDUP(IFERROR(DATEDIF($I22-1,CG$15+1,"m"),)/12,)-1,)*Index!CC$22*(CG$15&gt;$I40)*(1-CG$12)</f>
        <v>0</v>
      </c>
      <c r="CH40" s="747">
        <f>$G40*$H40*(1+$K40)^MAX(ROUNDUP(IFERROR(DATEDIF($I22-1,CH$15+1,"m"),)/12,)-1,)*Index!CD$22*(CH$15&gt;$I40)*(1-CH$12)</f>
        <v>0</v>
      </c>
      <c r="CI40" s="747">
        <f>$G40*$H40*(1+$K40)^MAX(ROUNDUP(IFERROR(DATEDIF($I22-1,CI$15+1,"m"),)/12,)-1,)*Index!CE$22*(CI$15&gt;$I40)*(1-CI$12)</f>
        <v>0</v>
      </c>
      <c r="CJ40" s="747">
        <f>$G40*$H40*(1+$K40)^MAX(ROUNDUP(IFERROR(DATEDIF($I22-1,CJ$15+1,"m"),)/12,)-1,)*Index!CF$22*(CJ$15&gt;$I40)*(1-CJ$12)</f>
        <v>0</v>
      </c>
      <c r="CK40" s="747">
        <f>$G40*$H40*(1+$K40)^MAX(ROUNDUP(IFERROR(DATEDIF($I22-1,CK$15+1,"m"),)/12,)-1,)*Index!CG$22*(CK$15&gt;$I40)*(1-CK$12)</f>
        <v>0</v>
      </c>
      <c r="CL40" s="747">
        <f>$G40*$H40*(1+$K40)^MAX(ROUNDUP(IFERROR(DATEDIF($I22-1,CL$15+1,"m"),)/12,)-1,)*Index!CH$22*(CL$15&gt;$I40)*(1-CL$12)</f>
        <v>0</v>
      </c>
      <c r="CM40" s="747">
        <f>$G40*$H40*(1+$K40)^MAX(ROUNDUP(IFERROR(DATEDIF($I22-1,CM$15+1,"m"),)/12,)-1,)*Index!CI$22*(CM$15&gt;$I40)*(1-CM$12)</f>
        <v>0</v>
      </c>
      <c r="CN40" s="747">
        <f>$G40*$H40*(1+$K40)^MAX(ROUNDUP(IFERROR(DATEDIF($I22-1,CN$15+1,"m"),)/12,)-1,)*Index!CJ$22*(CN$15&gt;$I40)*(1-CN$12)</f>
        <v>0</v>
      </c>
      <c r="CO40" s="747">
        <f>$G40*$H40*(1+$K40)^MAX(ROUNDUP(IFERROR(DATEDIF($I22-1,CO$15+1,"m"),)/12,)-1,)*Index!CK$22*(CO$15&gt;$I40)*(1-CO$12)</f>
        <v>0</v>
      </c>
      <c r="CP40" s="747">
        <f>$G40*$H40*(1+$K40)^MAX(ROUNDUP(IFERROR(DATEDIF($I22-1,CP$15+1,"m"),)/12,)-1,)*Index!CL$22*(CP$15&gt;$I40)*(1-CP$12)</f>
        <v>0</v>
      </c>
      <c r="CQ40" s="747">
        <f>$G40*$H40*(1+$K40)^MAX(ROUNDUP(IFERROR(DATEDIF($I22-1,CQ$15+1,"m"),)/12,)-1,)*Index!CM$22*(CQ$15&gt;$I40)*(1-CQ$12)</f>
        <v>0</v>
      </c>
      <c r="CR40" s="747">
        <f>$G40*$H40*(1+$K40)^MAX(ROUNDUP(IFERROR(DATEDIF($I22-1,CR$15+1,"m"),)/12,)-1,)*Index!CN$22*(CR$15&gt;$I40)*(1-CR$12)</f>
        <v>0</v>
      </c>
      <c r="CS40" s="747">
        <f>$G40*$H40*(1+$K40)^MAX(ROUNDUP(IFERROR(DATEDIF($I22-1,CS$15+1,"m"),)/12,)-1,)*Index!CO$22*(CS$15&gt;$I40)*(1-CS$12)</f>
        <v>0</v>
      </c>
      <c r="CT40" s="747">
        <f>$G40*$H40*(1+$K40)^MAX(ROUNDUP(IFERROR(DATEDIF($I22-1,CT$15+1,"m"),)/12,)-1,)*Index!CP$22*(CT$15&gt;$I40)*(1-CT$12)</f>
        <v>0</v>
      </c>
      <c r="CU40" s="747">
        <f>$G40*$H40*(1+$K40)^MAX(ROUNDUP(IFERROR(DATEDIF($I22-1,CU$15+1,"m"),)/12,)-1,)*Index!CQ$22*(CU$15&gt;$I40)*(1-CU$12)</f>
        <v>0</v>
      </c>
      <c r="CV40" s="747">
        <f>$G40*$H40*(1+$K40)^MAX(ROUNDUP(IFERROR(DATEDIF($I22-1,CV$15+1,"m"),)/12,)-1,)*Index!CR$22*(CV$15&gt;$I40)*(1-CV$12)</f>
        <v>0</v>
      </c>
      <c r="CW40" s="747">
        <f>$G40*$H40*(1+$K40)^MAX(ROUNDUP(IFERROR(DATEDIF($I22-1,CW$15+1,"m"),)/12,)-1,)*Index!CS$22*(CW$15&gt;$I40)*(1-CW$12)</f>
        <v>0</v>
      </c>
      <c r="CX40" s="747">
        <f>$G40*$H40*(1+$K40)^MAX(ROUNDUP(IFERROR(DATEDIF($I22-1,CX$15+1,"m"),)/12,)-1,)*Index!CT$22*(CX$15&gt;$I40)*(1-CX$12)</f>
        <v>0</v>
      </c>
      <c r="CY40" s="747">
        <f>$G40*$H40*(1+$K40)^MAX(ROUNDUP(IFERROR(DATEDIF($I22-1,CY$15+1,"m"),)/12,)-1,)*Index!CU$22*(CY$15&gt;$I40)*(1-CY$12)</f>
        <v>0</v>
      </c>
      <c r="CZ40" s="747">
        <f>$G40*$H40*(1+$K40)^MAX(ROUNDUP(IFERROR(DATEDIF($I22-1,CZ$15+1,"m"),)/12,)-1,)*Index!CV$22*(CZ$15&gt;$I40)*(1-CZ$12)</f>
        <v>0</v>
      </c>
      <c r="DA40" s="747">
        <f>$G40*$H40*(1+$K40)^MAX(ROUNDUP(IFERROR(DATEDIF($I22-1,DA$15+1,"m"),)/12,)-1,)*Index!CW$22*(DA$15&gt;$I40)*(1-DA$12)</f>
        <v>0</v>
      </c>
      <c r="DB40" s="747">
        <f>$G40*$H40*(1+$K40)^MAX(ROUNDUP(IFERROR(DATEDIF($I22-1,DB$15+1,"m"),)/12,)-1,)*Index!CX$22*(DB$15&gt;$I40)*(1-DB$12)</f>
        <v>0</v>
      </c>
      <c r="DC40" s="747">
        <f>$G40*$H40*(1+$K40)^MAX(ROUNDUP(IFERROR(DATEDIF($I22-1,DC$15+1,"m"),)/12,)-1,)*Index!CY$22*(DC$15&gt;$I40)*(1-DC$12)</f>
        <v>114511.41713424688</v>
      </c>
      <c r="DD40" s="747">
        <f>$G40*$H40*(1+$K40)^MAX(ROUNDUP(IFERROR(DATEDIF($I22-1,DD$15+1,"m"),)/12,)-1,)*Index!CZ$22*(DD$15&gt;$I40)*(1-DD$12)</f>
        <v>114511.41713424688</v>
      </c>
      <c r="DE40" s="747">
        <f>$G40*$H40*(1+$K40)^MAX(ROUNDUP(IFERROR(DATEDIF($I22-1,DE$15+1,"m"),)/12,)-1,)*Index!DA$22*(DE$15&gt;$I40)*(1-DE$12)</f>
        <v>114511.41713424688</v>
      </c>
      <c r="DF40" s="747">
        <f>$G40*$H40*(1+$K40)^MAX(ROUNDUP(IFERROR(DATEDIF($I22-1,DF$15+1,"m"),)/12,)-1,)*Index!DB$22*(DF$15&gt;$I40)*(1-DF$12)</f>
        <v>114511.41713424688</v>
      </c>
      <c r="DG40" s="747">
        <f>$G40*$H40*(1+$K40)^MAX(ROUNDUP(IFERROR(DATEDIF($I22-1,DG$15+1,"m"),)/12,)-1,)*Index!DC$22*(DG$15&gt;$I40)*(1-DG$12)</f>
        <v>114511.41713424688</v>
      </c>
      <c r="DH40" s="747">
        <f>$G40*$H40*(1+$K40)^MAX(ROUNDUP(IFERROR(DATEDIF($I22-1,DH$15+1,"m"),)/12,)-1,)*Index!DD$22*(DH$15&gt;$I40)*(1-DH$12)</f>
        <v>114511.41713424688</v>
      </c>
      <c r="DI40" s="747">
        <f>$G40*$H40*(1+$K40)^MAX(ROUNDUP(IFERROR(DATEDIF($I22-1,DI$15+1,"m"),)/12,)-1,)*Index!DE$22*(DI$15&gt;$I40)*(1-DI$12)</f>
        <v>114511.41713424688</v>
      </c>
      <c r="DJ40" s="747">
        <f>$G40*$H40*(1+$K40)^MAX(ROUNDUP(IFERROR(DATEDIF($I22-1,DJ$15+1,"m"),)/12,)-1,)*Index!DF$22*(DJ$15&gt;$I40)*(1-DJ$12)</f>
        <v>114511.41713424688</v>
      </c>
      <c r="DK40" s="747">
        <f>$G40*$H40*(1+$K40)^MAX(ROUNDUP(IFERROR(DATEDIF($I22-1,DK$15+1,"m"),)/12,)-1,)*Index!DG$22*(DK$15&gt;$I40)*(1-DK$12)</f>
        <v>114511.41713424688</v>
      </c>
      <c r="DL40" s="747">
        <f>$G40*$H40*(1+$K40)^MAX(ROUNDUP(IFERROR(DATEDIF($I22-1,DL$15+1,"m"),)/12,)-1,)*Index!DH$22*(DL$15&gt;$I40)*(1-DL$12)</f>
        <v>117374.20256260305</v>
      </c>
      <c r="DM40" s="747">
        <f>$G40*$H40*(1+$K40)^MAX(ROUNDUP(IFERROR(DATEDIF($I22-1,DM$15+1,"m"),)/12,)-1,)*Index!DI$22*(DM$15&gt;$I40)*(1-DM$12)</f>
        <v>117374.20256260305</v>
      </c>
      <c r="DN40" s="747">
        <f>$G40*$H40*(1+$K40)^MAX(ROUNDUP(IFERROR(DATEDIF($I22-1,DN$15+1,"m"),)/12,)-1,)*Index!DJ$22*(DN$15&gt;$I40)*(1-DN$12)</f>
        <v>117374.20256260305</v>
      </c>
      <c r="DO40" s="747">
        <f>$G40*$H40*(1+$K40)^MAX(ROUNDUP(IFERROR(DATEDIF($I22-1,DO$15+1,"m"),)/12,)-1,)*Index!DK$22*(DO$15&gt;$I40)*(1-DO$12)</f>
        <v>117374.20256260305</v>
      </c>
      <c r="DP40" s="747">
        <f>$G40*$H40*(1+$K40)^MAX(ROUNDUP(IFERROR(DATEDIF($I22-1,DP$15+1,"m"),)/12,)-1,)*Index!DL$22*(DP$15&gt;$I40)*(1-DP$12)</f>
        <v>117374.20256260305</v>
      </c>
      <c r="DQ40" s="747">
        <f>$G40*$H40*(1+$K40)^MAX(ROUNDUP(IFERROR(DATEDIF($I22-1,DQ$15+1,"m"),)/12,)-1,)*Index!DM$22*(DQ$15&gt;$I40)*(1-DQ$12)</f>
        <v>117374.20256260305</v>
      </c>
      <c r="DR40" s="747">
        <f>$G40*$H40*(1+$K40)^MAX(ROUNDUP(IFERROR(DATEDIF($I22-1,DR$15+1,"m"),)/12,)-1,)*Index!DN$22*(DR$15&gt;$I40)*(1-DR$12)</f>
        <v>117374.20256260305</v>
      </c>
      <c r="DS40" s="747">
        <f>$G40*$H40*(1+$K40)^MAX(ROUNDUP(IFERROR(DATEDIF($I22-1,DS$15+1,"m"),)/12,)-1,)*Index!DO$22*(DS$15&gt;$I40)*(1-DS$12)</f>
        <v>117374.20256260305</v>
      </c>
      <c r="DT40" s="747">
        <f>$G40*$H40*(1+$K40)^MAX(ROUNDUP(IFERROR(DATEDIF($I22-1,DT$15+1,"m"),)/12,)-1,)*Index!DP$22*(DT$15&gt;$I40)*(1-DT$12)</f>
        <v>117374.20256260305</v>
      </c>
      <c r="DU40" s="747">
        <f>$G40*$H40*(1+$K40)^MAX(ROUNDUP(IFERROR(DATEDIF($I22-1,DU$15+1,"m"),)/12,)-1,)*Index!DQ$22*(DU$15&gt;$I40)*(1-DU$12)</f>
        <v>117374.20256260305</v>
      </c>
      <c r="DV40" s="747">
        <f>$G40*$H40*(1+$K40)^MAX(ROUNDUP(IFERROR(DATEDIF($I22-1,DV$15+1,"m"),)/12,)-1,)*Index!DR$22*(DV$15&gt;$I40)*(1-DV$12)</f>
        <v>117374.20256260305</v>
      </c>
      <c r="DW40" s="747">
        <f>$G40*$H40*(1+$K40)^MAX(ROUNDUP(IFERROR(DATEDIF($I22-1,DW$15+1,"m"),)/12,)-1,)*Index!DS$22*(DW$15&gt;$I40)*(1-DW$12)</f>
        <v>117374.20256260305</v>
      </c>
      <c r="DX40" s="747">
        <f>$G40*$H40*(1+$K40)^MAX(ROUNDUP(IFERROR(DATEDIF($I22-1,DX$15+1,"m"),)/12,)-1,)*Index!DT$22*(DX$15&gt;$I40)*(1-DX$12)</f>
        <v>120308.55762666812</v>
      </c>
      <c r="DY40" s="747">
        <f>$G40*$H40*(1+$K40)^MAX(ROUNDUP(IFERROR(DATEDIF($I22-1,DY$15+1,"m"),)/12,)-1,)*Index!DU$22*(DY$15&gt;$I40)*(1-DY$12)</f>
        <v>120308.55762666812</v>
      </c>
      <c r="DZ40" s="747">
        <f>$G40*$H40*(1+$K40)^MAX(ROUNDUP(IFERROR(DATEDIF($I22-1,DZ$15+1,"m"),)/12,)-1,)*Index!DV$22*(DZ$15&gt;$I40)*(1-DZ$12)</f>
        <v>120308.55762666812</v>
      </c>
      <c r="EA40" s="747">
        <f>$G40*$H40*(1+$K40)^MAX(ROUNDUP(IFERROR(DATEDIF($I22-1,EA$15+1,"m"),)/12,)-1,)*Index!DW$22*(EA$15&gt;$I40)*(1-EA$12)</f>
        <v>120308.55762666812</v>
      </c>
      <c r="EB40" s="747">
        <f>$G40*$H40*(1+$K40)^MAX(ROUNDUP(IFERROR(DATEDIF($I22-1,EB$15+1,"m"),)/12,)-1,)*Index!DX$22*(EB$15&gt;$I40)*(1-EB$12)</f>
        <v>120308.55762666812</v>
      </c>
      <c r="EC40" s="747">
        <f>$G40*$H40*(1+$K40)^MAX(ROUNDUP(IFERROR(DATEDIF($I22-1,EC$15+1,"m"),)/12,)-1,)*Index!DY$22*(EC$15&gt;$I40)*(1-EC$12)</f>
        <v>120308.55762666812</v>
      </c>
      <c r="ED40" s="747">
        <f>$G40*$H40*(1+$K40)^MAX(ROUNDUP(IFERROR(DATEDIF($I22-1,ED$15+1,"m"),)/12,)-1,)*Index!DZ$22*(ED$15&gt;$I40)*(1-ED$12)</f>
        <v>120308.55762666812</v>
      </c>
      <c r="EE40" s="747">
        <f>$G40*$H40*(1+$K40)^MAX(ROUNDUP(IFERROR(DATEDIF($I22-1,EE$15+1,"m"),)/12,)-1,)*Index!EA$22*(EE$15&gt;$I40)*(1-EE$12)</f>
        <v>120308.55762666812</v>
      </c>
      <c r="EF40" s="747">
        <f>$G40*$H40*(1+$K40)^MAX(ROUNDUP(IFERROR(DATEDIF($I22-1,EF$15+1,"m"),)/12,)-1,)*Index!EB$22*(EF$15&gt;$I40)*(1-EF$12)</f>
        <v>120308.55762666812</v>
      </c>
      <c r="EG40" s="747">
        <f>$G40*$H40*(1+$K40)^MAX(ROUNDUP(IFERROR(DATEDIF($I22-1,EG$15+1,"m"),)/12,)-1,)*Index!EC$22*(EG$15&gt;$I40)*(1-EG$12)</f>
        <v>0</v>
      </c>
      <c r="EH40" s="747">
        <f>$G40*$H40*(1+$K40)^MAX(ROUNDUP(IFERROR(DATEDIF($I22-1,EH$15+1,"m"),)/12,)-1,)*Index!ED$22*(EH$15&gt;$I40)*(1-EH$12)</f>
        <v>0</v>
      </c>
      <c r="EI40" s="747">
        <f>$G40*$H40*(1+$K40)^MAX(ROUNDUP(IFERROR(DATEDIF($I22-1,EI$15+1,"m"),)/12,)-1,)*Index!EE$22*(EI$15&gt;$I40)*(1-EI$12)</f>
        <v>0</v>
      </c>
      <c r="EJ40" s="747">
        <f>$G40*$H40*(1+$K40)^MAX(ROUNDUP(IFERROR(DATEDIF($I22-1,EJ$15+1,"m"),)/12,)-1,)*Index!EF$22*(EJ$15&gt;$I40)*(1-EJ$12)</f>
        <v>0</v>
      </c>
      <c r="EK40" s="747">
        <f>$G40*$H40*(1+$K40)^MAX(ROUNDUP(IFERROR(DATEDIF($I22-1,EK$15+1,"m"),)/12,)-1,)*Index!EG$22*(EK$15&gt;$I40)*(1-EK$12)</f>
        <v>0</v>
      </c>
      <c r="EL40" s="747">
        <f>$G40*$H40*(1+$K40)^MAX(ROUNDUP(IFERROR(DATEDIF($I22-1,EL$15+1,"m"),)/12,)-1,)*Index!EH$22*(EL$15&gt;$I40)*(1-EL$12)</f>
        <v>0</v>
      </c>
      <c r="EM40" s="747">
        <f>$G40*$H40*(1+$K40)^MAX(ROUNDUP(IFERROR(DATEDIF($I22-1,EM$15+1,"m"),)/12,)-1,)*Index!EI$22*(EM$15&gt;$I40)*(1-EM$12)</f>
        <v>0</v>
      </c>
      <c r="EN40" s="747">
        <f>$G40*$H40*(1+$K40)^MAX(ROUNDUP(IFERROR(DATEDIF($I22-1,EN$15+1,"m"),)/12,)-1,)*Index!EJ$22*(EN$15&gt;$I40)*(1-EN$12)</f>
        <v>0</v>
      </c>
      <c r="EO40" s="747">
        <f>$G40*$H40*(1+$K40)^MAX(ROUNDUP(IFERROR(DATEDIF($I22-1,EO$15+1,"m"),)/12,)-1,)*Index!EK$22*(EO$15&gt;$I40)*(1-EO$12)</f>
        <v>0</v>
      </c>
      <c r="EP40" s="747">
        <f>$G40*$H40*(1+$K40)^MAX(ROUNDUP(IFERROR(DATEDIF($I22-1,EP$15+1,"m"),)/12,)-1,)*Index!EL$22*(EP$15&gt;$I40)*(1-EP$12)</f>
        <v>0</v>
      </c>
      <c r="EQ40" s="747">
        <f>$G40*$H40*(1+$K40)^MAX(ROUNDUP(IFERROR(DATEDIF($I22-1,EQ$15+1,"m"),)/12,)-1,)*Index!EM$22*(EQ$15&gt;$I40)*(1-EQ$12)</f>
        <v>0</v>
      </c>
      <c r="ER40" s="747">
        <f>$G40*$H40*(1+$K40)^MAX(ROUNDUP(IFERROR(DATEDIF($I22-1,ER$15+1,"m"),)/12,)-1,)*Index!EN$22*(ER$15&gt;$I40)*(1-ER$12)</f>
        <v>0</v>
      </c>
      <c r="ES40" s="747">
        <f>$G40*$H40*(1+$K40)^MAX(ROUNDUP(IFERROR(DATEDIF($I22-1,ES$15+1,"m"),)/12,)-1,)*Index!EO$22*(ES$15&gt;$I40)*(1-ES$12)</f>
        <v>0</v>
      </c>
      <c r="ET40" s="747">
        <f>$G40*$H40*(1+$K40)^MAX(ROUNDUP(IFERROR(DATEDIF($I22-1,ET$15+1,"m"),)/12,)-1,)*Index!EP$22*(ET$15&gt;$I40)*(1-ET$12)</f>
        <v>0</v>
      </c>
      <c r="EU40" s="747">
        <f>$G40*$H40*(1+$K40)^MAX(ROUNDUP(IFERROR(DATEDIF($I22-1,EU$15+1,"m"),)/12,)-1,)*Index!EQ$22*(EU$15&gt;$I40)*(1-EU$12)</f>
        <v>0</v>
      </c>
    </row>
    <row r="41" spans="3:151" ht="11.25" customHeight="1">
      <c r="C41" s="735"/>
      <c r="D41" s="743">
        <f t="shared" si="11"/>
        <v>6</v>
      </c>
      <c r="E41" s="704" t="str">
        <f t="shared" si="11"/>
        <v>쿠팡</v>
      </c>
      <c r="F41" s="704" t="str">
        <f t="shared" si="11"/>
        <v>상온창고</v>
      </c>
      <c r="G41" s="752" cm="1">
        <f t="array" ref="G41">SUMPRODUCT(('Rent-roll'!$E41='A&amp;R'!$V$26:$V$32)*('A&amp;R'!$AB$26:$AB$32))/1000</f>
        <v>57.698001860542107</v>
      </c>
      <c r="H41" s="744">
        <f t="shared" si="12"/>
        <v>2187.87</v>
      </c>
      <c r="I41" s="745">
        <f t="shared" si="13"/>
        <v>49064</v>
      </c>
      <c r="J41" s="745"/>
      <c r="K41" s="754">
        <f t="shared" si="14"/>
        <v>2.5000000000000001E-2</v>
      </c>
      <c r="L41" s="746"/>
      <c r="M41" s="722"/>
      <c r="N41" s="747">
        <f t="shared" si="15"/>
        <v>4969875.3643201031</v>
      </c>
      <c r="O41" s="733"/>
      <c r="P41" s="747">
        <f>$G41*$H41*(1+$K41)^MAX(ROUNDUP(IFERROR(DATEDIF($I23-1,P$15+1,"m"),)/12,)-1,)*Index!L$22*(P$15&gt;$I41)*(1-P$12)</f>
        <v>0</v>
      </c>
      <c r="Q41" s="747">
        <f>$G41*$H41*(1+$K41)^MAX(ROUNDUP(IFERROR(DATEDIF($I23-1,Q$15+1,"m"),)/12,)-1,)*Index!M$22*(Q$15&gt;$I41)*(1-Q$12)</f>
        <v>0</v>
      </c>
      <c r="R41" s="747">
        <f>$G41*$H41*(1+$K41)^MAX(ROUNDUP(IFERROR(DATEDIF($I23-1,R$15+1,"m"),)/12,)-1,)*Index!N$22*(R$15&gt;$I41)*(1-R$12)</f>
        <v>0</v>
      </c>
      <c r="S41" s="747">
        <f>$G41*$H41*(1+$K41)^MAX(ROUNDUP(IFERROR(DATEDIF($I23-1,S$15+1,"m"),)/12,)-1,)*Index!O$22*(S$15&gt;$I41)*(1-S$12)</f>
        <v>0</v>
      </c>
      <c r="T41" s="747">
        <f>$G41*$H41*(1+$K41)^MAX(ROUNDUP(IFERROR(DATEDIF($I23-1,T$15+1,"m"),)/12,)-1,)*Index!P$22*(T$15&gt;$I41)*(1-T$12)</f>
        <v>0</v>
      </c>
      <c r="U41" s="747">
        <f>$G41*$H41*(1+$K41)^MAX(ROUNDUP(IFERROR(DATEDIF($I23-1,U$15+1,"m"),)/12,)-1,)*Index!Q$22*(U$15&gt;$I41)*(1-U$12)</f>
        <v>0</v>
      </c>
      <c r="V41" s="747">
        <f>$G41*$H41*(1+$K41)^MAX(ROUNDUP(IFERROR(DATEDIF($I23-1,V$15+1,"m"),)/12,)-1,)*Index!R$22*(V$15&gt;$I41)*(1-V$12)</f>
        <v>0</v>
      </c>
      <c r="W41" s="747">
        <f>$G41*$H41*(1+$K41)^MAX(ROUNDUP(IFERROR(DATEDIF($I23-1,W$15+1,"m"),)/12,)-1,)*Index!S$22*(W$15&gt;$I41)*(1-W$12)</f>
        <v>0</v>
      </c>
      <c r="X41" s="747">
        <f>$G41*$H41*(1+$K41)^MAX(ROUNDUP(IFERROR(DATEDIF($I23-1,X$15+1,"m"),)/12,)-1,)*Index!T$22*(X$15&gt;$I41)*(1-X$12)</f>
        <v>0</v>
      </c>
      <c r="Y41" s="747">
        <f>$G41*$H41*(1+$K41)^MAX(ROUNDUP(IFERROR(DATEDIF($I23-1,Y$15+1,"m"),)/12,)-1,)*Index!U$22*(Y$15&gt;$I41)*(1-Y$12)</f>
        <v>0</v>
      </c>
      <c r="Z41" s="747">
        <f>$G41*$H41*(1+$K41)^MAX(ROUNDUP(IFERROR(DATEDIF($I23-1,Z$15+1,"m"),)/12,)-1,)*Index!V$22*(Z$15&gt;$I41)*(1-Z$12)</f>
        <v>0</v>
      </c>
      <c r="AA41" s="747">
        <f>$G41*$H41*(1+$K41)^MAX(ROUNDUP(IFERROR(DATEDIF($I23-1,AA$15+1,"m"),)/12,)-1,)*Index!W$22*(AA$15&gt;$I41)*(1-AA$12)</f>
        <v>0</v>
      </c>
      <c r="AB41" s="747">
        <f>$G41*$H41*(1+$K41)^MAX(ROUNDUP(IFERROR(DATEDIF($I23-1,AB$15+1,"m"),)/12,)-1,)*Index!X$22*(AB$15&gt;$I41)*(1-AB$12)</f>
        <v>0</v>
      </c>
      <c r="AC41" s="747">
        <f>$G41*$H41*(1+$K41)^MAX(ROUNDUP(IFERROR(DATEDIF($I23-1,AC$15+1,"m"),)/12,)-1,)*Index!Y$22*(AC$15&gt;$I41)*(1-AC$12)</f>
        <v>0</v>
      </c>
      <c r="AD41" s="747">
        <f>$G41*$H41*(1+$K41)^MAX(ROUNDUP(IFERROR(DATEDIF($I23-1,AD$15+1,"m"),)/12,)-1,)*Index!Z$22*(AD$15&gt;$I41)*(1-AD$12)</f>
        <v>0</v>
      </c>
      <c r="AE41" s="747">
        <f>$G41*$H41*(1+$K41)^MAX(ROUNDUP(IFERROR(DATEDIF($I23-1,AE$15+1,"m"),)/12,)-1,)*Index!AA$22*(AE$15&gt;$I41)*(1-AE$12)</f>
        <v>0</v>
      </c>
      <c r="AF41" s="747">
        <f>$G41*$H41*(1+$K41)^MAX(ROUNDUP(IFERROR(DATEDIF($I23-1,AF$15+1,"m"),)/12,)-1,)*Index!AB$22*(AF$15&gt;$I41)*(1-AF$12)</f>
        <v>0</v>
      </c>
      <c r="AG41" s="747">
        <f>$G41*$H41*(1+$K41)^MAX(ROUNDUP(IFERROR(DATEDIF($I23-1,AG$15+1,"m"),)/12,)-1,)*Index!AC$22*(AG$15&gt;$I41)*(1-AG$12)</f>
        <v>0</v>
      </c>
      <c r="AH41" s="747">
        <f>$G41*$H41*(1+$K41)^MAX(ROUNDUP(IFERROR(DATEDIF($I23-1,AH$15+1,"m"),)/12,)-1,)*Index!AD$22*(AH$15&gt;$I41)*(1-AH$12)</f>
        <v>0</v>
      </c>
      <c r="AI41" s="747">
        <f>$G41*$H41*(1+$K41)^MAX(ROUNDUP(IFERROR(DATEDIF($I23-1,AI$15+1,"m"),)/12,)-1,)*Index!AE$22*(AI$15&gt;$I41)*(1-AI$12)</f>
        <v>0</v>
      </c>
      <c r="AJ41" s="747">
        <f>$G41*$H41*(1+$K41)^MAX(ROUNDUP(IFERROR(DATEDIF($I23-1,AJ$15+1,"m"),)/12,)-1,)*Index!AF$22*(AJ$15&gt;$I41)*(1-AJ$12)</f>
        <v>0</v>
      </c>
      <c r="AK41" s="747">
        <f>$G41*$H41*(1+$K41)^MAX(ROUNDUP(IFERROR(DATEDIF($I23-1,AK$15+1,"m"),)/12,)-1,)*Index!AG$22*(AK$15&gt;$I41)*(1-AK$12)</f>
        <v>0</v>
      </c>
      <c r="AL41" s="747">
        <f>$G41*$H41*(1+$K41)^MAX(ROUNDUP(IFERROR(DATEDIF($I23-1,AL$15+1,"m"),)/12,)-1,)*Index!AH$22*(AL$15&gt;$I41)*(1-AL$12)</f>
        <v>0</v>
      </c>
      <c r="AM41" s="747">
        <f>$G41*$H41*(1+$K41)^MAX(ROUNDUP(IFERROR(DATEDIF($I23-1,AM$15+1,"m"),)/12,)-1,)*Index!AI$22*(AM$15&gt;$I41)*(1-AM$12)</f>
        <v>0</v>
      </c>
      <c r="AN41" s="747">
        <f>$G41*$H41*(1+$K41)^MAX(ROUNDUP(IFERROR(DATEDIF($I23-1,AN$15+1,"m"),)/12,)-1,)*Index!AJ$22*(AN$15&gt;$I41)*(1-AN$12)</f>
        <v>0</v>
      </c>
      <c r="AO41" s="747">
        <f>$G41*$H41*(1+$K41)^MAX(ROUNDUP(IFERROR(DATEDIF($I23-1,AO$15+1,"m"),)/12,)-1,)*Index!AK$22*(AO$15&gt;$I41)*(1-AO$12)</f>
        <v>0</v>
      </c>
      <c r="AP41" s="747">
        <f>$G41*$H41*(1+$K41)^MAX(ROUNDUP(IFERROR(DATEDIF($I23-1,AP$15+1,"m"),)/12,)-1,)*Index!AL$22*(AP$15&gt;$I41)*(1-AP$12)</f>
        <v>0</v>
      </c>
      <c r="AQ41" s="747">
        <f>$G41*$H41*(1+$K41)^MAX(ROUNDUP(IFERROR(DATEDIF($I23-1,AQ$15+1,"m"),)/12,)-1,)*Index!AM$22*(AQ$15&gt;$I41)*(1-AQ$12)</f>
        <v>0</v>
      </c>
      <c r="AR41" s="747">
        <f>$G41*$H41*(1+$K41)^MAX(ROUNDUP(IFERROR(DATEDIF($I23-1,AR$15+1,"m"),)/12,)-1,)*Index!AN$22*(AR$15&gt;$I41)*(1-AR$12)</f>
        <v>0</v>
      </c>
      <c r="AS41" s="747">
        <f>$G41*$H41*(1+$K41)^MAX(ROUNDUP(IFERROR(DATEDIF($I23-1,AS$15+1,"m"),)/12,)-1,)*Index!AO$22*(AS$15&gt;$I41)*(1-AS$12)</f>
        <v>0</v>
      </c>
      <c r="AT41" s="747">
        <f>$G41*$H41*(1+$K41)^MAX(ROUNDUP(IFERROR(DATEDIF($I23-1,AT$15+1,"m"),)/12,)-1,)*Index!AP$22*(AT$15&gt;$I41)*(1-AT$12)</f>
        <v>0</v>
      </c>
      <c r="AU41" s="747">
        <f>$G41*$H41*(1+$K41)^MAX(ROUNDUP(IFERROR(DATEDIF($I23-1,AU$15+1,"m"),)/12,)-1,)*Index!AQ$22*(AU$15&gt;$I41)*(1-AU$12)</f>
        <v>0</v>
      </c>
      <c r="AV41" s="747">
        <f>$G41*$H41*(1+$K41)^MAX(ROUNDUP(IFERROR(DATEDIF($I23-1,AV$15+1,"m"),)/12,)-1,)*Index!AR$22*(AV$15&gt;$I41)*(1-AV$12)</f>
        <v>0</v>
      </c>
      <c r="AW41" s="747">
        <f>$G41*$H41*(1+$K41)^MAX(ROUNDUP(IFERROR(DATEDIF($I23-1,AW$15+1,"m"),)/12,)-1,)*Index!AS$22*(AW$15&gt;$I41)*(1-AW$12)</f>
        <v>0</v>
      </c>
      <c r="AX41" s="747">
        <f>$G41*$H41*(1+$K41)^MAX(ROUNDUP(IFERROR(DATEDIF($I23-1,AX$15+1,"m"),)/12,)-1,)*Index!AT$22*(AX$15&gt;$I41)*(1-AX$12)</f>
        <v>0</v>
      </c>
      <c r="AY41" s="747">
        <f>$G41*$H41*(1+$K41)^MAX(ROUNDUP(IFERROR(DATEDIF($I23-1,AY$15+1,"m"),)/12,)-1,)*Index!AU$22*(AY$15&gt;$I41)*(1-AY$12)</f>
        <v>0</v>
      </c>
      <c r="AZ41" s="747">
        <f>$G41*$H41*(1+$K41)^MAX(ROUNDUP(IFERROR(DATEDIF($I23-1,AZ$15+1,"m"),)/12,)-1,)*Index!AV$22*(AZ$15&gt;$I41)*(1-AZ$12)</f>
        <v>0</v>
      </c>
      <c r="BA41" s="747">
        <f>$G41*$H41*(1+$K41)^MAX(ROUNDUP(IFERROR(DATEDIF($I23-1,BA$15+1,"m"),)/12,)-1,)*Index!AW$22*(BA$15&gt;$I41)*(1-BA$12)</f>
        <v>0</v>
      </c>
      <c r="BB41" s="747">
        <f>$G41*$H41*(1+$K41)^MAX(ROUNDUP(IFERROR(DATEDIF($I23-1,BB$15+1,"m"),)/12,)-1,)*Index!AX$22*(BB$15&gt;$I41)*(1-BB$12)</f>
        <v>0</v>
      </c>
      <c r="BC41" s="747">
        <f>$G41*$H41*(1+$K41)^MAX(ROUNDUP(IFERROR(DATEDIF($I23-1,BC$15+1,"m"),)/12,)-1,)*Index!AY$22*(BC$15&gt;$I41)*(1-BC$12)</f>
        <v>0</v>
      </c>
      <c r="BD41" s="747">
        <f>$G41*$H41*(1+$K41)^MAX(ROUNDUP(IFERROR(DATEDIF($I23-1,BD$15+1,"m"),)/12,)-1,)*Index!AZ$22*(BD$15&gt;$I41)*(1-BD$12)</f>
        <v>0</v>
      </c>
      <c r="BE41" s="747">
        <f>$G41*$H41*(1+$K41)^MAX(ROUNDUP(IFERROR(DATEDIF($I23-1,BE$15+1,"m"),)/12,)-1,)*Index!BA$22*(BE$15&gt;$I41)*(1-BE$12)</f>
        <v>0</v>
      </c>
      <c r="BF41" s="747">
        <f>$G41*$H41*(1+$K41)^MAX(ROUNDUP(IFERROR(DATEDIF($I23-1,BF$15+1,"m"),)/12,)-1,)*Index!BB$22*(BF$15&gt;$I41)*(1-BF$12)</f>
        <v>0</v>
      </c>
      <c r="BG41" s="747">
        <f>$G41*$H41*(1+$K41)^MAX(ROUNDUP(IFERROR(DATEDIF($I23-1,BG$15+1,"m"),)/12,)-1,)*Index!BC$22*(BG$15&gt;$I41)*(1-BG$12)</f>
        <v>0</v>
      </c>
      <c r="BH41" s="747">
        <f>$G41*$H41*(1+$K41)^MAX(ROUNDUP(IFERROR(DATEDIF($I23-1,BH$15+1,"m"),)/12,)-1,)*Index!BD$22*(BH$15&gt;$I41)*(1-BH$12)</f>
        <v>0</v>
      </c>
      <c r="BI41" s="747">
        <f>$G41*$H41*(1+$K41)^MAX(ROUNDUP(IFERROR(DATEDIF($I23-1,BI$15+1,"m"),)/12,)-1,)*Index!BE$22*(BI$15&gt;$I41)*(1-BI$12)</f>
        <v>0</v>
      </c>
      <c r="BJ41" s="747">
        <f>$G41*$H41*(1+$K41)^MAX(ROUNDUP(IFERROR(DATEDIF($I23-1,BJ$15+1,"m"),)/12,)-1,)*Index!BF$22*(BJ$15&gt;$I41)*(1-BJ$12)</f>
        <v>0</v>
      </c>
      <c r="BK41" s="747">
        <f>$G41*$H41*(1+$K41)^MAX(ROUNDUP(IFERROR(DATEDIF($I23-1,BK$15+1,"m"),)/12,)-1,)*Index!BG$22*(BK$15&gt;$I41)*(1-BK$12)</f>
        <v>0</v>
      </c>
      <c r="BL41" s="747">
        <f>$G41*$H41*(1+$K41)^MAX(ROUNDUP(IFERROR(DATEDIF($I23-1,BL$15+1,"m"),)/12,)-1,)*Index!BH$22*(BL$15&gt;$I41)*(1-BL$12)</f>
        <v>0</v>
      </c>
      <c r="BM41" s="747">
        <f>$G41*$H41*(1+$K41)^MAX(ROUNDUP(IFERROR(DATEDIF($I23-1,BM$15+1,"m"),)/12,)-1,)*Index!BI$22*(BM$15&gt;$I41)*(1-BM$12)</f>
        <v>0</v>
      </c>
      <c r="BN41" s="747">
        <f>$G41*$H41*(1+$K41)^MAX(ROUNDUP(IFERROR(DATEDIF($I23-1,BN$15+1,"m"),)/12,)-1,)*Index!BJ$22*(BN$15&gt;$I41)*(1-BN$12)</f>
        <v>0</v>
      </c>
      <c r="BO41" s="747">
        <f>$G41*$H41*(1+$K41)^MAX(ROUNDUP(IFERROR(DATEDIF($I23-1,BO$15+1,"m"),)/12,)-1,)*Index!BK$22*(BO$15&gt;$I41)*(1-BO$12)</f>
        <v>0</v>
      </c>
      <c r="BP41" s="747">
        <f>$G41*$H41*(1+$K41)^MAX(ROUNDUP(IFERROR(DATEDIF($I23-1,BP$15+1,"m"),)/12,)-1,)*Index!BL$22*(BP$15&gt;$I41)*(1-BP$12)</f>
        <v>0</v>
      </c>
      <c r="BQ41" s="747">
        <f>$G41*$H41*(1+$K41)^MAX(ROUNDUP(IFERROR(DATEDIF($I23-1,BQ$15+1,"m"),)/12,)-1,)*Index!BM$22*(BQ$15&gt;$I41)*(1-BQ$12)</f>
        <v>0</v>
      </c>
      <c r="BR41" s="747">
        <f>$G41*$H41*(1+$K41)^MAX(ROUNDUP(IFERROR(DATEDIF($I23-1,BR$15+1,"m"),)/12,)-1,)*Index!BN$22*(BR$15&gt;$I41)*(1-BR$12)</f>
        <v>0</v>
      </c>
      <c r="BS41" s="747">
        <f>$G41*$H41*(1+$K41)^MAX(ROUNDUP(IFERROR(DATEDIF($I23-1,BS$15+1,"m"),)/12,)-1,)*Index!BO$22*(BS$15&gt;$I41)*(1-BS$12)</f>
        <v>0</v>
      </c>
      <c r="BT41" s="747">
        <f>$G41*$H41*(1+$K41)^MAX(ROUNDUP(IFERROR(DATEDIF($I23-1,BT$15+1,"m"),)/12,)-1,)*Index!BP$22*(BT$15&gt;$I41)*(1-BT$12)</f>
        <v>0</v>
      </c>
      <c r="BU41" s="747">
        <f>$G41*$H41*(1+$K41)^MAX(ROUNDUP(IFERROR(DATEDIF($I23-1,BU$15+1,"m"),)/12,)-1,)*Index!BQ$22*(BU$15&gt;$I41)*(1-BU$12)</f>
        <v>0</v>
      </c>
      <c r="BV41" s="747">
        <f>$G41*$H41*(1+$K41)^MAX(ROUNDUP(IFERROR(DATEDIF($I23-1,BV$15+1,"m"),)/12,)-1,)*Index!BR$22*(BV$15&gt;$I41)*(1-BV$12)</f>
        <v>0</v>
      </c>
      <c r="BW41" s="747">
        <f>$G41*$H41*(1+$K41)^MAX(ROUNDUP(IFERROR(DATEDIF($I23-1,BW$15+1,"m"),)/12,)-1,)*Index!BS$22*(BW$15&gt;$I41)*(1-BW$12)</f>
        <v>0</v>
      </c>
      <c r="BX41" s="747">
        <f>$G41*$H41*(1+$K41)^MAX(ROUNDUP(IFERROR(DATEDIF($I23-1,BX$15+1,"m"),)/12,)-1,)*Index!BT$22*(BX$15&gt;$I41)*(1-BX$12)</f>
        <v>0</v>
      </c>
      <c r="BY41" s="747">
        <f>$G41*$H41*(1+$K41)^MAX(ROUNDUP(IFERROR(DATEDIF($I23-1,BY$15+1,"m"),)/12,)-1,)*Index!BU$22*(BY$15&gt;$I41)*(1-BY$12)</f>
        <v>0</v>
      </c>
      <c r="BZ41" s="747">
        <f>$G41*$H41*(1+$K41)^MAX(ROUNDUP(IFERROR(DATEDIF($I23-1,BZ$15+1,"m"),)/12,)-1,)*Index!BV$22*(BZ$15&gt;$I41)*(1-BZ$12)</f>
        <v>0</v>
      </c>
      <c r="CA41" s="747">
        <f>$G41*$H41*(1+$K41)^MAX(ROUNDUP(IFERROR(DATEDIF($I23-1,CA$15+1,"m"),)/12,)-1,)*Index!BW$22*(CA$15&gt;$I41)*(1-CA$12)</f>
        <v>0</v>
      </c>
      <c r="CB41" s="747">
        <f>$G41*$H41*(1+$K41)^MAX(ROUNDUP(IFERROR(DATEDIF($I23-1,CB$15+1,"m"),)/12,)-1,)*Index!BX$22*(CB$15&gt;$I41)*(1-CB$12)</f>
        <v>0</v>
      </c>
      <c r="CC41" s="747">
        <f>$G41*$H41*(1+$K41)^MAX(ROUNDUP(IFERROR(DATEDIF($I23-1,CC$15+1,"m"),)/12,)-1,)*Index!BY$22*(CC$15&gt;$I41)*(1-CC$12)</f>
        <v>0</v>
      </c>
      <c r="CD41" s="747">
        <f>$G41*$H41*(1+$K41)^MAX(ROUNDUP(IFERROR(DATEDIF($I23-1,CD$15+1,"m"),)/12,)-1,)*Index!BZ$22*(CD$15&gt;$I41)*(1-CD$12)</f>
        <v>0</v>
      </c>
      <c r="CE41" s="747">
        <f>$G41*$H41*(1+$K41)^MAX(ROUNDUP(IFERROR(DATEDIF($I23-1,CE$15+1,"m"),)/12,)-1,)*Index!CA$22*(CE$15&gt;$I41)*(1-CE$12)</f>
        <v>0</v>
      </c>
      <c r="CF41" s="747">
        <f>$G41*$H41*(1+$K41)^MAX(ROUNDUP(IFERROR(DATEDIF($I23-1,CF$15+1,"m"),)/12,)-1,)*Index!CB$22*(CF$15&gt;$I41)*(1-CF$12)</f>
        <v>0</v>
      </c>
      <c r="CG41" s="747">
        <f>$G41*$H41*(1+$K41)^MAX(ROUNDUP(IFERROR(DATEDIF($I23-1,CG$15+1,"m"),)/12,)-1,)*Index!CC$22*(CG$15&gt;$I41)*(1-CG$12)</f>
        <v>0</v>
      </c>
      <c r="CH41" s="747">
        <f>$G41*$H41*(1+$K41)^MAX(ROUNDUP(IFERROR(DATEDIF($I23-1,CH$15+1,"m"),)/12,)-1,)*Index!CD$22*(CH$15&gt;$I41)*(1-CH$12)</f>
        <v>0</v>
      </c>
      <c r="CI41" s="747">
        <f>$G41*$H41*(1+$K41)^MAX(ROUNDUP(IFERROR(DATEDIF($I23-1,CI$15+1,"m"),)/12,)-1,)*Index!CE$22*(CI$15&gt;$I41)*(1-CI$12)</f>
        <v>0</v>
      </c>
      <c r="CJ41" s="747">
        <f>$G41*$H41*(1+$K41)^MAX(ROUNDUP(IFERROR(DATEDIF($I23-1,CJ$15+1,"m"),)/12,)-1,)*Index!CF$22*(CJ$15&gt;$I41)*(1-CJ$12)</f>
        <v>0</v>
      </c>
      <c r="CK41" s="747">
        <f>$G41*$H41*(1+$K41)^MAX(ROUNDUP(IFERROR(DATEDIF($I23-1,CK$15+1,"m"),)/12,)-1,)*Index!CG$22*(CK$15&gt;$I41)*(1-CK$12)</f>
        <v>0</v>
      </c>
      <c r="CL41" s="747">
        <f>$G41*$H41*(1+$K41)^MAX(ROUNDUP(IFERROR(DATEDIF($I23-1,CL$15+1,"m"),)/12,)-1,)*Index!CH$22*(CL$15&gt;$I41)*(1-CL$12)</f>
        <v>0</v>
      </c>
      <c r="CM41" s="747">
        <f>$G41*$H41*(1+$K41)^MAX(ROUNDUP(IFERROR(DATEDIF($I23-1,CM$15+1,"m"),)/12,)-1,)*Index!CI$22*(CM$15&gt;$I41)*(1-CM$12)</f>
        <v>0</v>
      </c>
      <c r="CN41" s="747">
        <f>$G41*$H41*(1+$K41)^MAX(ROUNDUP(IFERROR(DATEDIF($I23-1,CN$15+1,"m"),)/12,)-1,)*Index!CJ$22*(CN$15&gt;$I41)*(1-CN$12)</f>
        <v>0</v>
      </c>
      <c r="CO41" s="747">
        <f>$G41*$H41*(1+$K41)^MAX(ROUNDUP(IFERROR(DATEDIF($I23-1,CO$15+1,"m"),)/12,)-1,)*Index!CK$22*(CO$15&gt;$I41)*(1-CO$12)</f>
        <v>0</v>
      </c>
      <c r="CP41" s="747">
        <f>$G41*$H41*(1+$K41)^MAX(ROUNDUP(IFERROR(DATEDIF($I23-1,CP$15+1,"m"),)/12,)-1,)*Index!CL$22*(CP$15&gt;$I41)*(1-CP$12)</f>
        <v>0</v>
      </c>
      <c r="CQ41" s="747">
        <f>$G41*$H41*(1+$K41)^MAX(ROUNDUP(IFERROR(DATEDIF($I23-1,CQ$15+1,"m"),)/12,)-1,)*Index!CM$22*(CQ$15&gt;$I41)*(1-CQ$12)</f>
        <v>0</v>
      </c>
      <c r="CR41" s="747">
        <f>$G41*$H41*(1+$K41)^MAX(ROUNDUP(IFERROR(DATEDIF($I23-1,CR$15+1,"m"),)/12,)-1,)*Index!CN$22*(CR$15&gt;$I41)*(1-CR$12)</f>
        <v>0</v>
      </c>
      <c r="CS41" s="747">
        <f>$G41*$H41*(1+$K41)^MAX(ROUNDUP(IFERROR(DATEDIF($I23-1,CS$15+1,"m"),)/12,)-1,)*Index!CO$22*(CS$15&gt;$I41)*(1-CS$12)</f>
        <v>0</v>
      </c>
      <c r="CT41" s="747">
        <f>$G41*$H41*(1+$K41)^MAX(ROUNDUP(IFERROR(DATEDIF($I23-1,CT$15+1,"m"),)/12,)-1,)*Index!CP$22*(CT$15&gt;$I41)*(1-CT$12)</f>
        <v>0</v>
      </c>
      <c r="CU41" s="747">
        <f>$G41*$H41*(1+$K41)^MAX(ROUNDUP(IFERROR(DATEDIF($I23-1,CU$15+1,"m"),)/12,)-1,)*Index!CQ$22*(CU$15&gt;$I41)*(1-CU$12)</f>
        <v>0</v>
      </c>
      <c r="CV41" s="747">
        <f>$G41*$H41*(1+$K41)^MAX(ROUNDUP(IFERROR(DATEDIF($I23-1,CV$15+1,"m"),)/12,)-1,)*Index!CR$22*(CV$15&gt;$I41)*(1-CV$12)</f>
        <v>0</v>
      </c>
      <c r="CW41" s="747">
        <f>$G41*$H41*(1+$K41)^MAX(ROUNDUP(IFERROR(DATEDIF($I23-1,CW$15+1,"m"),)/12,)-1,)*Index!CS$22*(CW$15&gt;$I41)*(1-CW$12)</f>
        <v>0</v>
      </c>
      <c r="CX41" s="747">
        <f>$G41*$H41*(1+$K41)^MAX(ROUNDUP(IFERROR(DATEDIF($I23-1,CX$15+1,"m"),)/12,)-1,)*Index!CT$22*(CX$15&gt;$I41)*(1-CX$12)</f>
        <v>0</v>
      </c>
      <c r="CY41" s="747">
        <f>$G41*$H41*(1+$K41)^MAX(ROUNDUP(IFERROR(DATEDIF($I23-1,CY$15+1,"m"),)/12,)-1,)*Index!CU$22*(CY$15&gt;$I41)*(1-CY$12)</f>
        <v>0</v>
      </c>
      <c r="CZ41" s="747">
        <f>$G41*$H41*(1+$K41)^MAX(ROUNDUP(IFERROR(DATEDIF($I23-1,CZ$15+1,"m"),)/12,)-1,)*Index!CV$22*(CZ$15&gt;$I41)*(1-CZ$12)</f>
        <v>0</v>
      </c>
      <c r="DA41" s="747">
        <f>$G41*$H41*(1+$K41)^MAX(ROUNDUP(IFERROR(DATEDIF($I23-1,DA$15+1,"m"),)/12,)-1,)*Index!CW$22*(DA$15&gt;$I41)*(1-DA$12)</f>
        <v>0</v>
      </c>
      <c r="DB41" s="747">
        <f>$G41*$H41*(1+$K41)^MAX(ROUNDUP(IFERROR(DATEDIF($I23-1,DB$15+1,"m"),)/12,)-1,)*Index!CX$22*(DB$15&gt;$I41)*(1-DB$12)</f>
        <v>0</v>
      </c>
      <c r="DC41" s="747">
        <f>$G41*$H41*(1+$K41)^MAX(ROUNDUP(IFERROR(DATEDIF($I23-1,DC$15+1,"m"),)/12,)-1,)*Index!CY$22*(DC$15&gt;$I41)*(1-DC$12)</f>
        <v>161592.40348131777</v>
      </c>
      <c r="DD41" s="747">
        <f>$G41*$H41*(1+$K41)^MAX(ROUNDUP(IFERROR(DATEDIF($I23-1,DD$15+1,"m"),)/12,)-1,)*Index!CZ$22*(DD$15&gt;$I41)*(1-DD$12)</f>
        <v>161592.40348131777</v>
      </c>
      <c r="DE41" s="747">
        <f>$G41*$H41*(1+$K41)^MAX(ROUNDUP(IFERROR(DATEDIF($I23-1,DE$15+1,"m"),)/12,)-1,)*Index!DA$22*(DE$15&gt;$I41)*(1-DE$12)</f>
        <v>161592.40348131777</v>
      </c>
      <c r="DF41" s="747">
        <f>$G41*$H41*(1+$K41)^MAX(ROUNDUP(IFERROR(DATEDIF($I23-1,DF$15+1,"m"),)/12,)-1,)*Index!DB$22*(DF$15&gt;$I41)*(1-DF$12)</f>
        <v>161592.40348131777</v>
      </c>
      <c r="DG41" s="747">
        <f>$G41*$H41*(1+$K41)^MAX(ROUNDUP(IFERROR(DATEDIF($I23-1,DG$15+1,"m"),)/12,)-1,)*Index!DC$22*(DG$15&gt;$I41)*(1-DG$12)</f>
        <v>161592.40348131777</v>
      </c>
      <c r="DH41" s="747">
        <f>$G41*$H41*(1+$K41)^MAX(ROUNDUP(IFERROR(DATEDIF($I23-1,DH$15+1,"m"),)/12,)-1,)*Index!DD$22*(DH$15&gt;$I41)*(1-DH$12)</f>
        <v>161592.40348131777</v>
      </c>
      <c r="DI41" s="747">
        <f>$G41*$H41*(1+$K41)^MAX(ROUNDUP(IFERROR(DATEDIF($I23-1,DI$15+1,"m"),)/12,)-1,)*Index!DE$22*(DI$15&gt;$I41)*(1-DI$12)</f>
        <v>161592.40348131777</v>
      </c>
      <c r="DJ41" s="747">
        <f>$G41*$H41*(1+$K41)^MAX(ROUNDUP(IFERROR(DATEDIF($I23-1,DJ$15+1,"m"),)/12,)-1,)*Index!DF$22*(DJ$15&gt;$I41)*(1-DJ$12)</f>
        <v>161592.40348131777</v>
      </c>
      <c r="DK41" s="747">
        <f>$G41*$H41*(1+$K41)^MAX(ROUNDUP(IFERROR(DATEDIF($I23-1,DK$15+1,"m"),)/12,)-1,)*Index!DG$22*(DK$15&gt;$I41)*(1-DK$12)</f>
        <v>161592.40348131777</v>
      </c>
      <c r="DL41" s="747">
        <f>$G41*$H41*(1+$K41)^MAX(ROUNDUP(IFERROR(DATEDIF($I23-1,DL$15+1,"m"),)/12,)-1,)*Index!DH$22*(DL$15&gt;$I41)*(1-DL$12)</f>
        <v>165632.21356835071</v>
      </c>
      <c r="DM41" s="747">
        <f>$G41*$H41*(1+$K41)^MAX(ROUNDUP(IFERROR(DATEDIF($I23-1,DM$15+1,"m"),)/12,)-1,)*Index!DI$22*(DM$15&gt;$I41)*(1-DM$12)</f>
        <v>165632.21356835071</v>
      </c>
      <c r="DN41" s="747">
        <f>$G41*$H41*(1+$K41)^MAX(ROUNDUP(IFERROR(DATEDIF($I23-1,DN$15+1,"m"),)/12,)-1,)*Index!DJ$22*(DN$15&gt;$I41)*(1-DN$12)</f>
        <v>165632.21356835071</v>
      </c>
      <c r="DO41" s="747">
        <f>$G41*$H41*(1+$K41)^MAX(ROUNDUP(IFERROR(DATEDIF($I23-1,DO$15+1,"m"),)/12,)-1,)*Index!DK$22*(DO$15&gt;$I41)*(1-DO$12)</f>
        <v>165632.21356835071</v>
      </c>
      <c r="DP41" s="747">
        <f>$G41*$H41*(1+$K41)^MAX(ROUNDUP(IFERROR(DATEDIF($I23-1,DP$15+1,"m"),)/12,)-1,)*Index!DL$22*(DP$15&gt;$I41)*(1-DP$12)</f>
        <v>165632.21356835071</v>
      </c>
      <c r="DQ41" s="747">
        <f>$G41*$H41*(1+$K41)^MAX(ROUNDUP(IFERROR(DATEDIF($I23-1,DQ$15+1,"m"),)/12,)-1,)*Index!DM$22*(DQ$15&gt;$I41)*(1-DQ$12)</f>
        <v>165632.21356835071</v>
      </c>
      <c r="DR41" s="747">
        <f>$G41*$H41*(1+$K41)^MAX(ROUNDUP(IFERROR(DATEDIF($I23-1,DR$15+1,"m"),)/12,)-1,)*Index!DN$22*(DR$15&gt;$I41)*(1-DR$12)</f>
        <v>165632.21356835071</v>
      </c>
      <c r="DS41" s="747">
        <f>$G41*$H41*(1+$K41)^MAX(ROUNDUP(IFERROR(DATEDIF($I23-1,DS$15+1,"m"),)/12,)-1,)*Index!DO$22*(DS$15&gt;$I41)*(1-DS$12)</f>
        <v>165632.21356835071</v>
      </c>
      <c r="DT41" s="747">
        <f>$G41*$H41*(1+$K41)^MAX(ROUNDUP(IFERROR(DATEDIF($I23-1,DT$15+1,"m"),)/12,)-1,)*Index!DP$22*(DT$15&gt;$I41)*(1-DT$12)</f>
        <v>165632.21356835071</v>
      </c>
      <c r="DU41" s="747">
        <f>$G41*$H41*(1+$K41)^MAX(ROUNDUP(IFERROR(DATEDIF($I23-1,DU$15+1,"m"),)/12,)-1,)*Index!DQ$22*(DU$15&gt;$I41)*(1-DU$12)</f>
        <v>165632.21356835071</v>
      </c>
      <c r="DV41" s="747">
        <f>$G41*$H41*(1+$K41)^MAX(ROUNDUP(IFERROR(DATEDIF($I23-1,DV$15+1,"m"),)/12,)-1,)*Index!DR$22*(DV$15&gt;$I41)*(1-DV$12)</f>
        <v>165632.21356835071</v>
      </c>
      <c r="DW41" s="747">
        <f>$G41*$H41*(1+$K41)^MAX(ROUNDUP(IFERROR(DATEDIF($I23-1,DW$15+1,"m"),)/12,)-1,)*Index!DS$22*(DW$15&gt;$I41)*(1-DW$12)</f>
        <v>165632.21356835071</v>
      </c>
      <c r="DX41" s="747">
        <f>$G41*$H41*(1+$K41)^MAX(ROUNDUP(IFERROR(DATEDIF($I23-1,DX$15+1,"m"),)/12,)-1,)*Index!DT$22*(DX$15&gt;$I41)*(1-DX$12)</f>
        <v>169773.01890755945</v>
      </c>
      <c r="DY41" s="747">
        <f>$G41*$H41*(1+$K41)^MAX(ROUNDUP(IFERROR(DATEDIF($I23-1,DY$15+1,"m"),)/12,)-1,)*Index!DU$22*(DY$15&gt;$I41)*(1-DY$12)</f>
        <v>169773.01890755945</v>
      </c>
      <c r="DZ41" s="747">
        <f>$G41*$H41*(1+$K41)^MAX(ROUNDUP(IFERROR(DATEDIF($I23-1,DZ$15+1,"m"),)/12,)-1,)*Index!DV$22*(DZ$15&gt;$I41)*(1-DZ$12)</f>
        <v>169773.01890755945</v>
      </c>
      <c r="EA41" s="747">
        <f>$G41*$H41*(1+$K41)^MAX(ROUNDUP(IFERROR(DATEDIF($I23-1,EA$15+1,"m"),)/12,)-1,)*Index!DW$22*(EA$15&gt;$I41)*(1-EA$12)</f>
        <v>169773.01890755945</v>
      </c>
      <c r="EB41" s="747">
        <f>$G41*$H41*(1+$K41)^MAX(ROUNDUP(IFERROR(DATEDIF($I23-1,EB$15+1,"m"),)/12,)-1,)*Index!DX$22*(EB$15&gt;$I41)*(1-EB$12)</f>
        <v>169773.01890755945</v>
      </c>
      <c r="EC41" s="747">
        <f>$G41*$H41*(1+$K41)^MAX(ROUNDUP(IFERROR(DATEDIF($I23-1,EC$15+1,"m"),)/12,)-1,)*Index!DY$22*(EC$15&gt;$I41)*(1-EC$12)</f>
        <v>169773.01890755945</v>
      </c>
      <c r="ED41" s="747">
        <f>$G41*$H41*(1+$K41)^MAX(ROUNDUP(IFERROR(DATEDIF($I23-1,ED$15+1,"m"),)/12,)-1,)*Index!DZ$22*(ED$15&gt;$I41)*(1-ED$12)</f>
        <v>169773.01890755945</v>
      </c>
      <c r="EE41" s="747">
        <f>$G41*$H41*(1+$K41)^MAX(ROUNDUP(IFERROR(DATEDIF($I23-1,EE$15+1,"m"),)/12,)-1,)*Index!EA$22*(EE$15&gt;$I41)*(1-EE$12)</f>
        <v>169773.01890755945</v>
      </c>
      <c r="EF41" s="747">
        <f>$G41*$H41*(1+$K41)^MAX(ROUNDUP(IFERROR(DATEDIF($I23-1,EF$15+1,"m"),)/12,)-1,)*Index!EB$22*(EF$15&gt;$I41)*(1-EF$12)</f>
        <v>169773.01890755945</v>
      </c>
      <c r="EG41" s="747">
        <f>$G41*$H41*(1+$K41)^MAX(ROUNDUP(IFERROR(DATEDIF($I23-1,EG$15+1,"m"),)/12,)-1,)*Index!EC$22*(EG$15&gt;$I41)*(1-EG$12)</f>
        <v>0</v>
      </c>
      <c r="EH41" s="747">
        <f>$G41*$H41*(1+$K41)^MAX(ROUNDUP(IFERROR(DATEDIF($I23-1,EH$15+1,"m"),)/12,)-1,)*Index!ED$22*(EH$15&gt;$I41)*(1-EH$12)</f>
        <v>0</v>
      </c>
      <c r="EI41" s="747">
        <f>$G41*$H41*(1+$K41)^MAX(ROUNDUP(IFERROR(DATEDIF($I23-1,EI$15+1,"m"),)/12,)-1,)*Index!EE$22*(EI$15&gt;$I41)*(1-EI$12)</f>
        <v>0</v>
      </c>
      <c r="EJ41" s="747">
        <f>$G41*$H41*(1+$K41)^MAX(ROUNDUP(IFERROR(DATEDIF($I23-1,EJ$15+1,"m"),)/12,)-1,)*Index!EF$22*(EJ$15&gt;$I41)*(1-EJ$12)</f>
        <v>0</v>
      </c>
      <c r="EK41" s="747">
        <f>$G41*$H41*(1+$K41)^MAX(ROUNDUP(IFERROR(DATEDIF($I23-1,EK$15+1,"m"),)/12,)-1,)*Index!EG$22*(EK$15&gt;$I41)*(1-EK$12)</f>
        <v>0</v>
      </c>
      <c r="EL41" s="747">
        <f>$G41*$H41*(1+$K41)^MAX(ROUNDUP(IFERROR(DATEDIF($I23-1,EL$15+1,"m"),)/12,)-1,)*Index!EH$22*(EL$15&gt;$I41)*(1-EL$12)</f>
        <v>0</v>
      </c>
      <c r="EM41" s="747">
        <f>$G41*$H41*(1+$K41)^MAX(ROUNDUP(IFERROR(DATEDIF($I23-1,EM$15+1,"m"),)/12,)-1,)*Index!EI$22*(EM$15&gt;$I41)*(1-EM$12)</f>
        <v>0</v>
      </c>
      <c r="EN41" s="747">
        <f>$G41*$H41*(1+$K41)^MAX(ROUNDUP(IFERROR(DATEDIF($I23-1,EN$15+1,"m"),)/12,)-1,)*Index!EJ$22*(EN$15&gt;$I41)*(1-EN$12)</f>
        <v>0</v>
      </c>
      <c r="EO41" s="747">
        <f>$G41*$H41*(1+$K41)^MAX(ROUNDUP(IFERROR(DATEDIF($I23-1,EO$15+1,"m"),)/12,)-1,)*Index!EK$22*(EO$15&gt;$I41)*(1-EO$12)</f>
        <v>0</v>
      </c>
      <c r="EP41" s="747">
        <f>$G41*$H41*(1+$K41)^MAX(ROUNDUP(IFERROR(DATEDIF($I23-1,EP$15+1,"m"),)/12,)-1,)*Index!EL$22*(EP$15&gt;$I41)*(1-EP$12)</f>
        <v>0</v>
      </c>
      <c r="EQ41" s="747">
        <f>$G41*$H41*(1+$K41)^MAX(ROUNDUP(IFERROR(DATEDIF($I23-1,EQ$15+1,"m"),)/12,)-1,)*Index!EM$22*(EQ$15&gt;$I41)*(1-EQ$12)</f>
        <v>0</v>
      </c>
      <c r="ER41" s="747">
        <f>$G41*$H41*(1+$K41)^MAX(ROUNDUP(IFERROR(DATEDIF($I23-1,ER$15+1,"m"),)/12,)-1,)*Index!EN$22*(ER$15&gt;$I41)*(1-ER$12)</f>
        <v>0</v>
      </c>
      <c r="ES41" s="747">
        <f>$G41*$H41*(1+$K41)^MAX(ROUNDUP(IFERROR(DATEDIF($I23-1,ES$15+1,"m"),)/12,)-1,)*Index!EO$22*(ES$15&gt;$I41)*(1-ES$12)</f>
        <v>0</v>
      </c>
      <c r="ET41" s="747">
        <f>$G41*$H41*(1+$K41)^MAX(ROUNDUP(IFERROR(DATEDIF($I23-1,ET$15+1,"m"),)/12,)-1,)*Index!EP$22*(ET$15&gt;$I41)*(1-ET$12)</f>
        <v>0</v>
      </c>
      <c r="EU41" s="747">
        <f>$G41*$H41*(1+$K41)^MAX(ROUNDUP(IFERROR(DATEDIF($I23-1,EU$15+1,"m"),)/12,)-1,)*Index!EQ$22*(EU$15&gt;$I41)*(1-EU$12)</f>
        <v>0</v>
      </c>
    </row>
    <row r="42" spans="3:151" ht="11.25" customHeight="1">
      <c r="C42" s="735"/>
      <c r="D42" s="743">
        <f t="shared" si="11"/>
        <v>5</v>
      </c>
      <c r="E42" s="704" t="str">
        <f t="shared" si="11"/>
        <v>쿠팡</v>
      </c>
      <c r="F42" s="704" t="str">
        <f t="shared" si="11"/>
        <v>상온창고</v>
      </c>
      <c r="G42" s="752" cm="1">
        <f t="array" ref="G42">SUMPRODUCT(('Rent-roll'!$E42='A&amp;R'!$V$26:$V$32)*('A&amp;R'!$AB$26:$AB$32))/1000</f>
        <v>57.698001860542107</v>
      </c>
      <c r="H42" s="744">
        <f t="shared" si="12"/>
        <v>2185.56</v>
      </c>
      <c r="I42" s="745">
        <f t="shared" si="13"/>
        <v>49064</v>
      </c>
      <c r="J42" s="745"/>
      <c r="K42" s="754">
        <f t="shared" si="14"/>
        <v>2.5000000000000001E-2</v>
      </c>
      <c r="L42" s="746"/>
      <c r="M42" s="722"/>
      <c r="N42" s="747">
        <f t="shared" si="15"/>
        <v>4964628.0634788377</v>
      </c>
      <c r="O42" s="733"/>
      <c r="P42" s="747">
        <f>$G42*$H42*(1+$K42)^MAX(ROUNDUP(IFERROR(DATEDIF($I24-1,P$15+1,"m"),)/12,)-1,)*Index!L$22*(P$15&gt;$I42)*(1-P$12)</f>
        <v>0</v>
      </c>
      <c r="Q42" s="747">
        <f>$G42*$H42*(1+$K42)^MAX(ROUNDUP(IFERROR(DATEDIF($I24-1,Q$15+1,"m"),)/12,)-1,)*Index!M$22*(Q$15&gt;$I42)*(1-Q$12)</f>
        <v>0</v>
      </c>
      <c r="R42" s="747">
        <f>$G42*$H42*(1+$K42)^MAX(ROUNDUP(IFERROR(DATEDIF($I24-1,R$15+1,"m"),)/12,)-1,)*Index!N$22*(R$15&gt;$I42)*(1-R$12)</f>
        <v>0</v>
      </c>
      <c r="S42" s="747">
        <f>$G42*$H42*(1+$K42)^MAX(ROUNDUP(IFERROR(DATEDIF($I24-1,S$15+1,"m"),)/12,)-1,)*Index!O$22*(S$15&gt;$I42)*(1-S$12)</f>
        <v>0</v>
      </c>
      <c r="T42" s="747">
        <f>$G42*$H42*(1+$K42)^MAX(ROUNDUP(IFERROR(DATEDIF($I24-1,T$15+1,"m"),)/12,)-1,)*Index!P$22*(T$15&gt;$I42)*(1-T$12)</f>
        <v>0</v>
      </c>
      <c r="U42" s="747">
        <f>$G42*$H42*(1+$K42)^MAX(ROUNDUP(IFERROR(DATEDIF($I24-1,U$15+1,"m"),)/12,)-1,)*Index!Q$22*(U$15&gt;$I42)*(1-U$12)</f>
        <v>0</v>
      </c>
      <c r="V42" s="747">
        <f>$G42*$H42*(1+$K42)^MAX(ROUNDUP(IFERROR(DATEDIF($I24-1,V$15+1,"m"),)/12,)-1,)*Index!R$22*(V$15&gt;$I42)*(1-V$12)</f>
        <v>0</v>
      </c>
      <c r="W42" s="747">
        <f>$G42*$H42*(1+$K42)^MAX(ROUNDUP(IFERROR(DATEDIF($I24-1,W$15+1,"m"),)/12,)-1,)*Index!S$22*(W$15&gt;$I42)*(1-W$12)</f>
        <v>0</v>
      </c>
      <c r="X42" s="747">
        <f>$G42*$H42*(1+$K42)^MAX(ROUNDUP(IFERROR(DATEDIF($I24-1,X$15+1,"m"),)/12,)-1,)*Index!T$22*(X$15&gt;$I42)*(1-X$12)</f>
        <v>0</v>
      </c>
      <c r="Y42" s="747">
        <f>$G42*$H42*(1+$K42)^MAX(ROUNDUP(IFERROR(DATEDIF($I24-1,Y$15+1,"m"),)/12,)-1,)*Index!U$22*(Y$15&gt;$I42)*(1-Y$12)</f>
        <v>0</v>
      </c>
      <c r="Z42" s="747">
        <f>$G42*$H42*(1+$K42)^MAX(ROUNDUP(IFERROR(DATEDIF($I24-1,Z$15+1,"m"),)/12,)-1,)*Index!V$22*(Z$15&gt;$I42)*(1-Z$12)</f>
        <v>0</v>
      </c>
      <c r="AA42" s="747">
        <f>$G42*$H42*(1+$K42)^MAX(ROUNDUP(IFERROR(DATEDIF($I24-1,AA$15+1,"m"),)/12,)-1,)*Index!W$22*(AA$15&gt;$I42)*(1-AA$12)</f>
        <v>0</v>
      </c>
      <c r="AB42" s="747">
        <f>$G42*$H42*(1+$K42)^MAX(ROUNDUP(IFERROR(DATEDIF($I24-1,AB$15+1,"m"),)/12,)-1,)*Index!X$22*(AB$15&gt;$I42)*(1-AB$12)</f>
        <v>0</v>
      </c>
      <c r="AC42" s="747">
        <f>$G42*$H42*(1+$K42)^MAX(ROUNDUP(IFERROR(DATEDIF($I24-1,AC$15+1,"m"),)/12,)-1,)*Index!Y$22*(AC$15&gt;$I42)*(1-AC$12)</f>
        <v>0</v>
      </c>
      <c r="AD42" s="747">
        <f>$G42*$H42*(1+$K42)^MAX(ROUNDUP(IFERROR(DATEDIF($I24-1,AD$15+1,"m"),)/12,)-1,)*Index!Z$22*(AD$15&gt;$I42)*(1-AD$12)</f>
        <v>0</v>
      </c>
      <c r="AE42" s="747">
        <f>$G42*$H42*(1+$K42)^MAX(ROUNDUP(IFERROR(DATEDIF($I24-1,AE$15+1,"m"),)/12,)-1,)*Index!AA$22*(AE$15&gt;$I42)*(1-AE$12)</f>
        <v>0</v>
      </c>
      <c r="AF42" s="747">
        <f>$G42*$H42*(1+$K42)^MAX(ROUNDUP(IFERROR(DATEDIF($I24-1,AF$15+1,"m"),)/12,)-1,)*Index!AB$22*(AF$15&gt;$I42)*(1-AF$12)</f>
        <v>0</v>
      </c>
      <c r="AG42" s="747">
        <f>$G42*$H42*(1+$K42)^MAX(ROUNDUP(IFERROR(DATEDIF($I24-1,AG$15+1,"m"),)/12,)-1,)*Index!AC$22*(AG$15&gt;$I42)*(1-AG$12)</f>
        <v>0</v>
      </c>
      <c r="AH42" s="747">
        <f>$G42*$H42*(1+$K42)^MAX(ROUNDUP(IFERROR(DATEDIF($I24-1,AH$15+1,"m"),)/12,)-1,)*Index!AD$22*(AH$15&gt;$I42)*(1-AH$12)</f>
        <v>0</v>
      </c>
      <c r="AI42" s="747">
        <f>$G42*$H42*(1+$K42)^MAX(ROUNDUP(IFERROR(DATEDIF($I24-1,AI$15+1,"m"),)/12,)-1,)*Index!AE$22*(AI$15&gt;$I42)*(1-AI$12)</f>
        <v>0</v>
      </c>
      <c r="AJ42" s="747">
        <f>$G42*$H42*(1+$K42)^MAX(ROUNDUP(IFERROR(DATEDIF($I24-1,AJ$15+1,"m"),)/12,)-1,)*Index!AF$22*(AJ$15&gt;$I42)*(1-AJ$12)</f>
        <v>0</v>
      </c>
      <c r="AK42" s="747">
        <f>$G42*$H42*(1+$K42)^MAX(ROUNDUP(IFERROR(DATEDIF($I24-1,AK$15+1,"m"),)/12,)-1,)*Index!AG$22*(AK$15&gt;$I42)*(1-AK$12)</f>
        <v>0</v>
      </c>
      <c r="AL42" s="747">
        <f>$G42*$H42*(1+$K42)^MAX(ROUNDUP(IFERROR(DATEDIF($I24-1,AL$15+1,"m"),)/12,)-1,)*Index!AH$22*(AL$15&gt;$I42)*(1-AL$12)</f>
        <v>0</v>
      </c>
      <c r="AM42" s="747">
        <f>$G42*$H42*(1+$K42)^MAX(ROUNDUP(IFERROR(DATEDIF($I24-1,AM$15+1,"m"),)/12,)-1,)*Index!AI$22*(AM$15&gt;$I42)*(1-AM$12)</f>
        <v>0</v>
      </c>
      <c r="AN42" s="747">
        <f>$G42*$H42*(1+$K42)^MAX(ROUNDUP(IFERROR(DATEDIF($I24-1,AN$15+1,"m"),)/12,)-1,)*Index!AJ$22*(AN$15&gt;$I42)*(1-AN$12)</f>
        <v>0</v>
      </c>
      <c r="AO42" s="747">
        <f>$G42*$H42*(1+$K42)^MAX(ROUNDUP(IFERROR(DATEDIF($I24-1,AO$15+1,"m"),)/12,)-1,)*Index!AK$22*(AO$15&gt;$I42)*(1-AO$12)</f>
        <v>0</v>
      </c>
      <c r="AP42" s="747">
        <f>$G42*$H42*(1+$K42)^MAX(ROUNDUP(IFERROR(DATEDIF($I24-1,AP$15+1,"m"),)/12,)-1,)*Index!AL$22*(AP$15&gt;$I42)*(1-AP$12)</f>
        <v>0</v>
      </c>
      <c r="AQ42" s="747">
        <f>$G42*$H42*(1+$K42)^MAX(ROUNDUP(IFERROR(DATEDIF($I24-1,AQ$15+1,"m"),)/12,)-1,)*Index!AM$22*(AQ$15&gt;$I42)*(1-AQ$12)</f>
        <v>0</v>
      </c>
      <c r="AR42" s="747">
        <f>$G42*$H42*(1+$K42)^MAX(ROUNDUP(IFERROR(DATEDIF($I24-1,AR$15+1,"m"),)/12,)-1,)*Index!AN$22*(AR$15&gt;$I42)*(1-AR$12)</f>
        <v>0</v>
      </c>
      <c r="AS42" s="747">
        <f>$G42*$H42*(1+$K42)^MAX(ROUNDUP(IFERROR(DATEDIF($I24-1,AS$15+1,"m"),)/12,)-1,)*Index!AO$22*(AS$15&gt;$I42)*(1-AS$12)</f>
        <v>0</v>
      </c>
      <c r="AT42" s="747">
        <f>$G42*$H42*(1+$K42)^MAX(ROUNDUP(IFERROR(DATEDIF($I24-1,AT$15+1,"m"),)/12,)-1,)*Index!AP$22*(AT$15&gt;$I42)*(1-AT$12)</f>
        <v>0</v>
      </c>
      <c r="AU42" s="747">
        <f>$G42*$H42*(1+$K42)^MAX(ROUNDUP(IFERROR(DATEDIF($I24-1,AU$15+1,"m"),)/12,)-1,)*Index!AQ$22*(AU$15&gt;$I42)*(1-AU$12)</f>
        <v>0</v>
      </c>
      <c r="AV42" s="747">
        <f>$G42*$H42*(1+$K42)^MAX(ROUNDUP(IFERROR(DATEDIF($I24-1,AV$15+1,"m"),)/12,)-1,)*Index!AR$22*(AV$15&gt;$I42)*(1-AV$12)</f>
        <v>0</v>
      </c>
      <c r="AW42" s="747">
        <f>$G42*$H42*(1+$K42)^MAX(ROUNDUP(IFERROR(DATEDIF($I24-1,AW$15+1,"m"),)/12,)-1,)*Index!AS$22*(AW$15&gt;$I42)*(1-AW$12)</f>
        <v>0</v>
      </c>
      <c r="AX42" s="747">
        <f>$G42*$H42*(1+$K42)^MAX(ROUNDUP(IFERROR(DATEDIF($I24-1,AX$15+1,"m"),)/12,)-1,)*Index!AT$22*(AX$15&gt;$I42)*(1-AX$12)</f>
        <v>0</v>
      </c>
      <c r="AY42" s="747">
        <f>$G42*$H42*(1+$K42)^MAX(ROUNDUP(IFERROR(DATEDIF($I24-1,AY$15+1,"m"),)/12,)-1,)*Index!AU$22*(AY$15&gt;$I42)*(1-AY$12)</f>
        <v>0</v>
      </c>
      <c r="AZ42" s="747">
        <f>$G42*$H42*(1+$K42)^MAX(ROUNDUP(IFERROR(DATEDIF($I24-1,AZ$15+1,"m"),)/12,)-1,)*Index!AV$22*(AZ$15&gt;$I42)*(1-AZ$12)</f>
        <v>0</v>
      </c>
      <c r="BA42" s="747">
        <f>$G42*$H42*(1+$K42)^MAX(ROUNDUP(IFERROR(DATEDIF($I24-1,BA$15+1,"m"),)/12,)-1,)*Index!AW$22*(BA$15&gt;$I42)*(1-BA$12)</f>
        <v>0</v>
      </c>
      <c r="BB42" s="747">
        <f>$G42*$H42*(1+$K42)^MAX(ROUNDUP(IFERROR(DATEDIF($I24-1,BB$15+1,"m"),)/12,)-1,)*Index!AX$22*(BB$15&gt;$I42)*(1-BB$12)</f>
        <v>0</v>
      </c>
      <c r="BC42" s="747">
        <f>$G42*$H42*(1+$K42)^MAX(ROUNDUP(IFERROR(DATEDIF($I24-1,BC$15+1,"m"),)/12,)-1,)*Index!AY$22*(BC$15&gt;$I42)*(1-BC$12)</f>
        <v>0</v>
      </c>
      <c r="BD42" s="747">
        <f>$G42*$H42*(1+$K42)^MAX(ROUNDUP(IFERROR(DATEDIF($I24-1,BD$15+1,"m"),)/12,)-1,)*Index!AZ$22*(BD$15&gt;$I42)*(1-BD$12)</f>
        <v>0</v>
      </c>
      <c r="BE42" s="747">
        <f>$G42*$H42*(1+$K42)^MAX(ROUNDUP(IFERROR(DATEDIF($I24-1,BE$15+1,"m"),)/12,)-1,)*Index!BA$22*(BE$15&gt;$I42)*(1-BE$12)</f>
        <v>0</v>
      </c>
      <c r="BF42" s="747">
        <f>$G42*$H42*(1+$K42)^MAX(ROUNDUP(IFERROR(DATEDIF($I24-1,BF$15+1,"m"),)/12,)-1,)*Index!BB$22*(BF$15&gt;$I42)*(1-BF$12)</f>
        <v>0</v>
      </c>
      <c r="BG42" s="747">
        <f>$G42*$H42*(1+$K42)^MAX(ROUNDUP(IFERROR(DATEDIF($I24-1,BG$15+1,"m"),)/12,)-1,)*Index!BC$22*(BG$15&gt;$I42)*(1-BG$12)</f>
        <v>0</v>
      </c>
      <c r="BH42" s="747">
        <f>$G42*$H42*(1+$K42)^MAX(ROUNDUP(IFERROR(DATEDIF($I24-1,BH$15+1,"m"),)/12,)-1,)*Index!BD$22*(BH$15&gt;$I42)*(1-BH$12)</f>
        <v>0</v>
      </c>
      <c r="BI42" s="747">
        <f>$G42*$H42*(1+$K42)^MAX(ROUNDUP(IFERROR(DATEDIF($I24-1,BI$15+1,"m"),)/12,)-1,)*Index!BE$22*(BI$15&gt;$I42)*(1-BI$12)</f>
        <v>0</v>
      </c>
      <c r="BJ42" s="747">
        <f>$G42*$H42*(1+$K42)^MAX(ROUNDUP(IFERROR(DATEDIF($I24-1,BJ$15+1,"m"),)/12,)-1,)*Index!BF$22*(BJ$15&gt;$I42)*(1-BJ$12)</f>
        <v>0</v>
      </c>
      <c r="BK42" s="747">
        <f>$G42*$H42*(1+$K42)^MAX(ROUNDUP(IFERROR(DATEDIF($I24-1,BK$15+1,"m"),)/12,)-1,)*Index!BG$22*(BK$15&gt;$I42)*(1-BK$12)</f>
        <v>0</v>
      </c>
      <c r="BL42" s="747">
        <f>$G42*$H42*(1+$K42)^MAX(ROUNDUP(IFERROR(DATEDIF($I24-1,BL$15+1,"m"),)/12,)-1,)*Index!BH$22*(BL$15&gt;$I42)*(1-BL$12)</f>
        <v>0</v>
      </c>
      <c r="BM42" s="747">
        <f>$G42*$H42*(1+$K42)^MAX(ROUNDUP(IFERROR(DATEDIF($I24-1,BM$15+1,"m"),)/12,)-1,)*Index!BI$22*(BM$15&gt;$I42)*(1-BM$12)</f>
        <v>0</v>
      </c>
      <c r="BN42" s="747">
        <f>$G42*$H42*(1+$K42)^MAX(ROUNDUP(IFERROR(DATEDIF($I24-1,BN$15+1,"m"),)/12,)-1,)*Index!BJ$22*(BN$15&gt;$I42)*(1-BN$12)</f>
        <v>0</v>
      </c>
      <c r="BO42" s="747">
        <f>$G42*$H42*(1+$K42)^MAX(ROUNDUP(IFERROR(DATEDIF($I24-1,BO$15+1,"m"),)/12,)-1,)*Index!BK$22*(BO$15&gt;$I42)*(1-BO$12)</f>
        <v>0</v>
      </c>
      <c r="BP42" s="747">
        <f>$G42*$H42*(1+$K42)^MAX(ROUNDUP(IFERROR(DATEDIF($I24-1,BP$15+1,"m"),)/12,)-1,)*Index!BL$22*(BP$15&gt;$I42)*(1-BP$12)</f>
        <v>0</v>
      </c>
      <c r="BQ42" s="747">
        <f>$G42*$H42*(1+$K42)^MAX(ROUNDUP(IFERROR(DATEDIF($I24-1,BQ$15+1,"m"),)/12,)-1,)*Index!BM$22*(BQ$15&gt;$I42)*(1-BQ$12)</f>
        <v>0</v>
      </c>
      <c r="BR42" s="747">
        <f>$G42*$H42*(1+$K42)^MAX(ROUNDUP(IFERROR(DATEDIF($I24-1,BR$15+1,"m"),)/12,)-1,)*Index!BN$22*(BR$15&gt;$I42)*(1-BR$12)</f>
        <v>0</v>
      </c>
      <c r="BS42" s="747">
        <f>$G42*$H42*(1+$K42)^MAX(ROUNDUP(IFERROR(DATEDIF($I24-1,BS$15+1,"m"),)/12,)-1,)*Index!BO$22*(BS$15&gt;$I42)*(1-BS$12)</f>
        <v>0</v>
      </c>
      <c r="BT42" s="747">
        <f>$G42*$H42*(1+$K42)^MAX(ROUNDUP(IFERROR(DATEDIF($I24-1,BT$15+1,"m"),)/12,)-1,)*Index!BP$22*(BT$15&gt;$I42)*(1-BT$12)</f>
        <v>0</v>
      </c>
      <c r="BU42" s="747">
        <f>$G42*$H42*(1+$K42)^MAX(ROUNDUP(IFERROR(DATEDIF($I24-1,BU$15+1,"m"),)/12,)-1,)*Index!BQ$22*(BU$15&gt;$I42)*(1-BU$12)</f>
        <v>0</v>
      </c>
      <c r="BV42" s="747">
        <f>$G42*$H42*(1+$K42)^MAX(ROUNDUP(IFERROR(DATEDIF($I24-1,BV$15+1,"m"),)/12,)-1,)*Index!BR$22*(BV$15&gt;$I42)*(1-BV$12)</f>
        <v>0</v>
      </c>
      <c r="BW42" s="747">
        <f>$G42*$H42*(1+$K42)^MAX(ROUNDUP(IFERROR(DATEDIF($I24-1,BW$15+1,"m"),)/12,)-1,)*Index!BS$22*(BW$15&gt;$I42)*(1-BW$12)</f>
        <v>0</v>
      </c>
      <c r="BX42" s="747">
        <f>$G42*$H42*(1+$K42)^MAX(ROUNDUP(IFERROR(DATEDIF($I24-1,BX$15+1,"m"),)/12,)-1,)*Index!BT$22*(BX$15&gt;$I42)*(1-BX$12)</f>
        <v>0</v>
      </c>
      <c r="BY42" s="747">
        <f>$G42*$H42*(1+$K42)^MAX(ROUNDUP(IFERROR(DATEDIF($I24-1,BY$15+1,"m"),)/12,)-1,)*Index!BU$22*(BY$15&gt;$I42)*(1-BY$12)</f>
        <v>0</v>
      </c>
      <c r="BZ42" s="747">
        <f>$G42*$H42*(1+$K42)^MAX(ROUNDUP(IFERROR(DATEDIF($I24-1,BZ$15+1,"m"),)/12,)-1,)*Index!BV$22*(BZ$15&gt;$I42)*(1-BZ$12)</f>
        <v>0</v>
      </c>
      <c r="CA42" s="747">
        <f>$G42*$H42*(1+$K42)^MAX(ROUNDUP(IFERROR(DATEDIF($I24-1,CA$15+1,"m"),)/12,)-1,)*Index!BW$22*(CA$15&gt;$I42)*(1-CA$12)</f>
        <v>0</v>
      </c>
      <c r="CB42" s="747">
        <f>$G42*$H42*(1+$K42)^MAX(ROUNDUP(IFERROR(DATEDIF($I24-1,CB$15+1,"m"),)/12,)-1,)*Index!BX$22*(CB$15&gt;$I42)*(1-CB$12)</f>
        <v>0</v>
      </c>
      <c r="CC42" s="747">
        <f>$G42*$H42*(1+$K42)^MAX(ROUNDUP(IFERROR(DATEDIF($I24-1,CC$15+1,"m"),)/12,)-1,)*Index!BY$22*(CC$15&gt;$I42)*(1-CC$12)</f>
        <v>0</v>
      </c>
      <c r="CD42" s="747">
        <f>$G42*$H42*(1+$K42)^MAX(ROUNDUP(IFERROR(DATEDIF($I24-1,CD$15+1,"m"),)/12,)-1,)*Index!BZ$22*(CD$15&gt;$I42)*(1-CD$12)</f>
        <v>0</v>
      </c>
      <c r="CE42" s="747">
        <f>$G42*$H42*(1+$K42)^MAX(ROUNDUP(IFERROR(DATEDIF($I24-1,CE$15+1,"m"),)/12,)-1,)*Index!CA$22*(CE$15&gt;$I42)*(1-CE$12)</f>
        <v>0</v>
      </c>
      <c r="CF42" s="747">
        <f>$G42*$H42*(1+$K42)^MAX(ROUNDUP(IFERROR(DATEDIF($I24-1,CF$15+1,"m"),)/12,)-1,)*Index!CB$22*(CF$15&gt;$I42)*(1-CF$12)</f>
        <v>0</v>
      </c>
      <c r="CG42" s="747">
        <f>$G42*$H42*(1+$K42)^MAX(ROUNDUP(IFERROR(DATEDIF($I24-1,CG$15+1,"m"),)/12,)-1,)*Index!CC$22*(CG$15&gt;$I42)*(1-CG$12)</f>
        <v>0</v>
      </c>
      <c r="CH42" s="747">
        <f>$G42*$H42*(1+$K42)^MAX(ROUNDUP(IFERROR(DATEDIF($I24-1,CH$15+1,"m"),)/12,)-1,)*Index!CD$22*(CH$15&gt;$I42)*(1-CH$12)</f>
        <v>0</v>
      </c>
      <c r="CI42" s="747">
        <f>$G42*$H42*(1+$K42)^MAX(ROUNDUP(IFERROR(DATEDIF($I24-1,CI$15+1,"m"),)/12,)-1,)*Index!CE$22*(CI$15&gt;$I42)*(1-CI$12)</f>
        <v>0</v>
      </c>
      <c r="CJ42" s="747">
        <f>$G42*$H42*(1+$K42)^MAX(ROUNDUP(IFERROR(DATEDIF($I24-1,CJ$15+1,"m"),)/12,)-1,)*Index!CF$22*(CJ$15&gt;$I42)*(1-CJ$12)</f>
        <v>0</v>
      </c>
      <c r="CK42" s="747">
        <f>$G42*$H42*(1+$K42)^MAX(ROUNDUP(IFERROR(DATEDIF($I24-1,CK$15+1,"m"),)/12,)-1,)*Index!CG$22*(CK$15&gt;$I42)*(1-CK$12)</f>
        <v>0</v>
      </c>
      <c r="CL42" s="747">
        <f>$G42*$H42*(1+$K42)^MAX(ROUNDUP(IFERROR(DATEDIF($I24-1,CL$15+1,"m"),)/12,)-1,)*Index!CH$22*(CL$15&gt;$I42)*(1-CL$12)</f>
        <v>0</v>
      </c>
      <c r="CM42" s="747">
        <f>$G42*$H42*(1+$K42)^MAX(ROUNDUP(IFERROR(DATEDIF($I24-1,CM$15+1,"m"),)/12,)-1,)*Index!CI$22*(CM$15&gt;$I42)*(1-CM$12)</f>
        <v>0</v>
      </c>
      <c r="CN42" s="747">
        <f>$G42*$H42*(1+$K42)^MAX(ROUNDUP(IFERROR(DATEDIF($I24-1,CN$15+1,"m"),)/12,)-1,)*Index!CJ$22*(CN$15&gt;$I42)*(1-CN$12)</f>
        <v>0</v>
      </c>
      <c r="CO42" s="747">
        <f>$G42*$H42*(1+$K42)^MAX(ROUNDUP(IFERROR(DATEDIF($I24-1,CO$15+1,"m"),)/12,)-1,)*Index!CK$22*(CO$15&gt;$I42)*(1-CO$12)</f>
        <v>0</v>
      </c>
      <c r="CP42" s="747">
        <f>$G42*$H42*(1+$K42)^MAX(ROUNDUP(IFERROR(DATEDIF($I24-1,CP$15+1,"m"),)/12,)-1,)*Index!CL$22*(CP$15&gt;$I42)*(1-CP$12)</f>
        <v>0</v>
      </c>
      <c r="CQ42" s="747">
        <f>$G42*$H42*(1+$K42)^MAX(ROUNDUP(IFERROR(DATEDIF($I24-1,CQ$15+1,"m"),)/12,)-1,)*Index!CM$22*(CQ$15&gt;$I42)*(1-CQ$12)</f>
        <v>0</v>
      </c>
      <c r="CR42" s="747">
        <f>$G42*$H42*(1+$K42)^MAX(ROUNDUP(IFERROR(DATEDIF($I24-1,CR$15+1,"m"),)/12,)-1,)*Index!CN$22*(CR$15&gt;$I42)*(1-CR$12)</f>
        <v>0</v>
      </c>
      <c r="CS42" s="747">
        <f>$G42*$H42*(1+$K42)^MAX(ROUNDUP(IFERROR(DATEDIF($I24-1,CS$15+1,"m"),)/12,)-1,)*Index!CO$22*(CS$15&gt;$I42)*(1-CS$12)</f>
        <v>0</v>
      </c>
      <c r="CT42" s="747">
        <f>$G42*$H42*(1+$K42)^MAX(ROUNDUP(IFERROR(DATEDIF($I24-1,CT$15+1,"m"),)/12,)-1,)*Index!CP$22*(CT$15&gt;$I42)*(1-CT$12)</f>
        <v>0</v>
      </c>
      <c r="CU42" s="747">
        <f>$G42*$H42*(1+$K42)^MAX(ROUNDUP(IFERROR(DATEDIF($I24-1,CU$15+1,"m"),)/12,)-1,)*Index!CQ$22*(CU$15&gt;$I42)*(1-CU$12)</f>
        <v>0</v>
      </c>
      <c r="CV42" s="747">
        <f>$G42*$H42*(1+$K42)^MAX(ROUNDUP(IFERROR(DATEDIF($I24-1,CV$15+1,"m"),)/12,)-1,)*Index!CR$22*(CV$15&gt;$I42)*(1-CV$12)</f>
        <v>0</v>
      </c>
      <c r="CW42" s="747">
        <f>$G42*$H42*(1+$K42)^MAX(ROUNDUP(IFERROR(DATEDIF($I24-1,CW$15+1,"m"),)/12,)-1,)*Index!CS$22*(CW$15&gt;$I42)*(1-CW$12)</f>
        <v>0</v>
      </c>
      <c r="CX42" s="747">
        <f>$G42*$H42*(1+$K42)^MAX(ROUNDUP(IFERROR(DATEDIF($I24-1,CX$15+1,"m"),)/12,)-1,)*Index!CT$22*(CX$15&gt;$I42)*(1-CX$12)</f>
        <v>0</v>
      </c>
      <c r="CY42" s="747">
        <f>$G42*$H42*(1+$K42)^MAX(ROUNDUP(IFERROR(DATEDIF($I24-1,CY$15+1,"m"),)/12,)-1,)*Index!CU$22*(CY$15&gt;$I42)*(1-CY$12)</f>
        <v>0</v>
      </c>
      <c r="CZ42" s="747">
        <f>$G42*$H42*(1+$K42)^MAX(ROUNDUP(IFERROR(DATEDIF($I24-1,CZ$15+1,"m"),)/12,)-1,)*Index!CV$22*(CZ$15&gt;$I42)*(1-CZ$12)</f>
        <v>0</v>
      </c>
      <c r="DA42" s="747">
        <f>$G42*$H42*(1+$K42)^MAX(ROUNDUP(IFERROR(DATEDIF($I24-1,DA$15+1,"m"),)/12,)-1,)*Index!CW$22*(DA$15&gt;$I42)*(1-DA$12)</f>
        <v>0</v>
      </c>
      <c r="DB42" s="747">
        <f>$G42*$H42*(1+$K42)^MAX(ROUNDUP(IFERROR(DATEDIF($I24-1,DB$15+1,"m"),)/12,)-1,)*Index!CX$22*(DB$15&gt;$I42)*(1-DB$12)</f>
        <v>0</v>
      </c>
      <c r="DC42" s="747">
        <f>$G42*$H42*(1+$K42)^MAX(ROUNDUP(IFERROR(DATEDIF($I24-1,DC$15+1,"m"),)/12,)-1,)*Index!CY$22*(DC$15&gt;$I42)*(1-DC$12)</f>
        <v>161421.79076116445</v>
      </c>
      <c r="DD42" s="747">
        <f>$G42*$H42*(1+$K42)^MAX(ROUNDUP(IFERROR(DATEDIF($I24-1,DD$15+1,"m"),)/12,)-1,)*Index!CZ$22*(DD$15&gt;$I42)*(1-DD$12)</f>
        <v>161421.79076116445</v>
      </c>
      <c r="DE42" s="747">
        <f>$G42*$H42*(1+$K42)^MAX(ROUNDUP(IFERROR(DATEDIF($I24-1,DE$15+1,"m"),)/12,)-1,)*Index!DA$22*(DE$15&gt;$I42)*(1-DE$12)</f>
        <v>161421.79076116445</v>
      </c>
      <c r="DF42" s="747">
        <f>$G42*$H42*(1+$K42)^MAX(ROUNDUP(IFERROR(DATEDIF($I24-1,DF$15+1,"m"),)/12,)-1,)*Index!DB$22*(DF$15&gt;$I42)*(1-DF$12)</f>
        <v>161421.79076116445</v>
      </c>
      <c r="DG42" s="747">
        <f>$G42*$H42*(1+$K42)^MAX(ROUNDUP(IFERROR(DATEDIF($I24-1,DG$15+1,"m"),)/12,)-1,)*Index!DC$22*(DG$15&gt;$I42)*(1-DG$12)</f>
        <v>161421.79076116445</v>
      </c>
      <c r="DH42" s="747">
        <f>$G42*$H42*(1+$K42)^MAX(ROUNDUP(IFERROR(DATEDIF($I24-1,DH$15+1,"m"),)/12,)-1,)*Index!DD$22*(DH$15&gt;$I42)*(1-DH$12)</f>
        <v>161421.79076116445</v>
      </c>
      <c r="DI42" s="747">
        <f>$G42*$H42*(1+$K42)^MAX(ROUNDUP(IFERROR(DATEDIF($I24-1,DI$15+1,"m"),)/12,)-1,)*Index!DE$22*(DI$15&gt;$I42)*(1-DI$12)</f>
        <v>161421.79076116445</v>
      </c>
      <c r="DJ42" s="747">
        <f>$G42*$H42*(1+$K42)^MAX(ROUNDUP(IFERROR(DATEDIF($I24-1,DJ$15+1,"m"),)/12,)-1,)*Index!DF$22*(DJ$15&gt;$I42)*(1-DJ$12)</f>
        <v>161421.79076116445</v>
      </c>
      <c r="DK42" s="747">
        <f>$G42*$H42*(1+$K42)^MAX(ROUNDUP(IFERROR(DATEDIF($I24-1,DK$15+1,"m"),)/12,)-1,)*Index!DG$22*(DK$15&gt;$I42)*(1-DK$12)</f>
        <v>161421.79076116445</v>
      </c>
      <c r="DL42" s="747">
        <f>$G42*$H42*(1+$K42)^MAX(ROUNDUP(IFERROR(DATEDIF($I24-1,DL$15+1,"m"),)/12,)-1,)*Index!DH$22*(DL$15&gt;$I42)*(1-DL$12)</f>
        <v>165457.33553019355</v>
      </c>
      <c r="DM42" s="747">
        <f>$G42*$H42*(1+$K42)^MAX(ROUNDUP(IFERROR(DATEDIF($I24-1,DM$15+1,"m"),)/12,)-1,)*Index!DI$22*(DM$15&gt;$I42)*(1-DM$12)</f>
        <v>165457.33553019355</v>
      </c>
      <c r="DN42" s="747">
        <f>$G42*$H42*(1+$K42)^MAX(ROUNDUP(IFERROR(DATEDIF($I24-1,DN$15+1,"m"),)/12,)-1,)*Index!DJ$22*(DN$15&gt;$I42)*(1-DN$12)</f>
        <v>165457.33553019355</v>
      </c>
      <c r="DO42" s="747">
        <f>$G42*$H42*(1+$K42)^MAX(ROUNDUP(IFERROR(DATEDIF($I24-1,DO$15+1,"m"),)/12,)-1,)*Index!DK$22*(DO$15&gt;$I42)*(1-DO$12)</f>
        <v>165457.33553019355</v>
      </c>
      <c r="DP42" s="747">
        <f>$G42*$H42*(1+$K42)^MAX(ROUNDUP(IFERROR(DATEDIF($I24-1,DP$15+1,"m"),)/12,)-1,)*Index!DL$22*(DP$15&gt;$I42)*(1-DP$12)</f>
        <v>165457.33553019355</v>
      </c>
      <c r="DQ42" s="747">
        <f>$G42*$H42*(1+$K42)^MAX(ROUNDUP(IFERROR(DATEDIF($I24-1,DQ$15+1,"m"),)/12,)-1,)*Index!DM$22*(DQ$15&gt;$I42)*(1-DQ$12)</f>
        <v>165457.33553019355</v>
      </c>
      <c r="DR42" s="747">
        <f>$G42*$H42*(1+$K42)^MAX(ROUNDUP(IFERROR(DATEDIF($I24-1,DR$15+1,"m"),)/12,)-1,)*Index!DN$22*(DR$15&gt;$I42)*(1-DR$12)</f>
        <v>165457.33553019355</v>
      </c>
      <c r="DS42" s="747">
        <f>$G42*$H42*(1+$K42)^MAX(ROUNDUP(IFERROR(DATEDIF($I24-1,DS$15+1,"m"),)/12,)-1,)*Index!DO$22*(DS$15&gt;$I42)*(1-DS$12)</f>
        <v>165457.33553019355</v>
      </c>
      <c r="DT42" s="747">
        <f>$G42*$H42*(1+$K42)^MAX(ROUNDUP(IFERROR(DATEDIF($I24-1,DT$15+1,"m"),)/12,)-1,)*Index!DP$22*(DT$15&gt;$I42)*(1-DT$12)</f>
        <v>165457.33553019355</v>
      </c>
      <c r="DU42" s="747">
        <f>$G42*$H42*(1+$K42)^MAX(ROUNDUP(IFERROR(DATEDIF($I24-1,DU$15+1,"m"),)/12,)-1,)*Index!DQ$22*(DU$15&gt;$I42)*(1-DU$12)</f>
        <v>165457.33553019355</v>
      </c>
      <c r="DV42" s="747">
        <f>$G42*$H42*(1+$K42)^MAX(ROUNDUP(IFERROR(DATEDIF($I24-1,DV$15+1,"m"),)/12,)-1,)*Index!DR$22*(DV$15&gt;$I42)*(1-DV$12)</f>
        <v>165457.33553019355</v>
      </c>
      <c r="DW42" s="747">
        <f>$G42*$H42*(1+$K42)^MAX(ROUNDUP(IFERROR(DATEDIF($I24-1,DW$15+1,"m"),)/12,)-1,)*Index!DS$22*(DW$15&gt;$I42)*(1-DW$12)</f>
        <v>165457.33553019355</v>
      </c>
      <c r="DX42" s="747">
        <f>$G42*$H42*(1+$K42)^MAX(ROUNDUP(IFERROR(DATEDIF($I24-1,DX$15+1,"m"),)/12,)-1,)*Index!DT$22*(DX$15&gt;$I42)*(1-DX$12)</f>
        <v>169593.76891844839</v>
      </c>
      <c r="DY42" s="747">
        <f>$G42*$H42*(1+$K42)^MAX(ROUNDUP(IFERROR(DATEDIF($I24-1,DY$15+1,"m"),)/12,)-1,)*Index!DU$22*(DY$15&gt;$I42)*(1-DY$12)</f>
        <v>169593.76891844839</v>
      </c>
      <c r="DZ42" s="747">
        <f>$G42*$H42*(1+$K42)^MAX(ROUNDUP(IFERROR(DATEDIF($I24-1,DZ$15+1,"m"),)/12,)-1,)*Index!DV$22*(DZ$15&gt;$I42)*(1-DZ$12)</f>
        <v>169593.76891844839</v>
      </c>
      <c r="EA42" s="747">
        <f>$G42*$H42*(1+$K42)^MAX(ROUNDUP(IFERROR(DATEDIF($I24-1,EA$15+1,"m"),)/12,)-1,)*Index!DW$22*(EA$15&gt;$I42)*(1-EA$12)</f>
        <v>169593.76891844839</v>
      </c>
      <c r="EB42" s="747">
        <f>$G42*$H42*(1+$K42)^MAX(ROUNDUP(IFERROR(DATEDIF($I24-1,EB$15+1,"m"),)/12,)-1,)*Index!DX$22*(EB$15&gt;$I42)*(1-EB$12)</f>
        <v>169593.76891844839</v>
      </c>
      <c r="EC42" s="747">
        <f>$G42*$H42*(1+$K42)^MAX(ROUNDUP(IFERROR(DATEDIF($I24-1,EC$15+1,"m"),)/12,)-1,)*Index!DY$22*(EC$15&gt;$I42)*(1-EC$12)</f>
        <v>169593.76891844839</v>
      </c>
      <c r="ED42" s="747">
        <f>$G42*$H42*(1+$K42)^MAX(ROUNDUP(IFERROR(DATEDIF($I24-1,ED$15+1,"m"),)/12,)-1,)*Index!DZ$22*(ED$15&gt;$I42)*(1-ED$12)</f>
        <v>169593.76891844839</v>
      </c>
      <c r="EE42" s="747">
        <f>$G42*$H42*(1+$K42)^MAX(ROUNDUP(IFERROR(DATEDIF($I24-1,EE$15+1,"m"),)/12,)-1,)*Index!EA$22*(EE$15&gt;$I42)*(1-EE$12)</f>
        <v>169593.76891844839</v>
      </c>
      <c r="EF42" s="747">
        <f>$G42*$H42*(1+$K42)^MAX(ROUNDUP(IFERROR(DATEDIF($I24-1,EF$15+1,"m"),)/12,)-1,)*Index!EB$22*(EF$15&gt;$I42)*(1-EF$12)</f>
        <v>169593.76891844839</v>
      </c>
      <c r="EG42" s="747">
        <f>$G42*$H42*(1+$K42)^MAX(ROUNDUP(IFERROR(DATEDIF($I24-1,EG$15+1,"m"),)/12,)-1,)*Index!EC$22*(EG$15&gt;$I42)*(1-EG$12)</f>
        <v>0</v>
      </c>
      <c r="EH42" s="747">
        <f>$G42*$H42*(1+$K42)^MAX(ROUNDUP(IFERROR(DATEDIF($I24-1,EH$15+1,"m"),)/12,)-1,)*Index!ED$22*(EH$15&gt;$I42)*(1-EH$12)</f>
        <v>0</v>
      </c>
      <c r="EI42" s="747">
        <f>$G42*$H42*(1+$K42)^MAX(ROUNDUP(IFERROR(DATEDIF($I24-1,EI$15+1,"m"),)/12,)-1,)*Index!EE$22*(EI$15&gt;$I42)*(1-EI$12)</f>
        <v>0</v>
      </c>
      <c r="EJ42" s="747">
        <f>$G42*$H42*(1+$K42)^MAX(ROUNDUP(IFERROR(DATEDIF($I24-1,EJ$15+1,"m"),)/12,)-1,)*Index!EF$22*(EJ$15&gt;$I42)*(1-EJ$12)</f>
        <v>0</v>
      </c>
      <c r="EK42" s="747">
        <f>$G42*$H42*(1+$K42)^MAX(ROUNDUP(IFERROR(DATEDIF($I24-1,EK$15+1,"m"),)/12,)-1,)*Index!EG$22*(EK$15&gt;$I42)*(1-EK$12)</f>
        <v>0</v>
      </c>
      <c r="EL42" s="747">
        <f>$G42*$H42*(1+$K42)^MAX(ROUNDUP(IFERROR(DATEDIF($I24-1,EL$15+1,"m"),)/12,)-1,)*Index!EH$22*(EL$15&gt;$I42)*(1-EL$12)</f>
        <v>0</v>
      </c>
      <c r="EM42" s="747">
        <f>$G42*$H42*(1+$K42)^MAX(ROUNDUP(IFERROR(DATEDIF($I24-1,EM$15+1,"m"),)/12,)-1,)*Index!EI$22*(EM$15&gt;$I42)*(1-EM$12)</f>
        <v>0</v>
      </c>
      <c r="EN42" s="747">
        <f>$G42*$H42*(1+$K42)^MAX(ROUNDUP(IFERROR(DATEDIF($I24-1,EN$15+1,"m"),)/12,)-1,)*Index!EJ$22*(EN$15&gt;$I42)*(1-EN$12)</f>
        <v>0</v>
      </c>
      <c r="EO42" s="747">
        <f>$G42*$H42*(1+$K42)^MAX(ROUNDUP(IFERROR(DATEDIF($I24-1,EO$15+1,"m"),)/12,)-1,)*Index!EK$22*(EO$15&gt;$I42)*(1-EO$12)</f>
        <v>0</v>
      </c>
      <c r="EP42" s="747">
        <f>$G42*$H42*(1+$K42)^MAX(ROUNDUP(IFERROR(DATEDIF($I24-1,EP$15+1,"m"),)/12,)-1,)*Index!EL$22*(EP$15&gt;$I42)*(1-EP$12)</f>
        <v>0</v>
      </c>
      <c r="EQ42" s="747">
        <f>$G42*$H42*(1+$K42)^MAX(ROUNDUP(IFERROR(DATEDIF($I24-1,EQ$15+1,"m"),)/12,)-1,)*Index!EM$22*(EQ$15&gt;$I42)*(1-EQ$12)</f>
        <v>0</v>
      </c>
      <c r="ER42" s="747">
        <f>$G42*$H42*(1+$K42)^MAX(ROUNDUP(IFERROR(DATEDIF($I24-1,ER$15+1,"m"),)/12,)-1,)*Index!EN$22*(ER$15&gt;$I42)*(1-ER$12)</f>
        <v>0</v>
      </c>
      <c r="ES42" s="747">
        <f>$G42*$H42*(1+$K42)^MAX(ROUNDUP(IFERROR(DATEDIF($I24-1,ES$15+1,"m"),)/12,)-1,)*Index!EO$22*(ES$15&gt;$I42)*(1-ES$12)</f>
        <v>0</v>
      </c>
      <c r="ET42" s="747">
        <f>$G42*$H42*(1+$K42)^MAX(ROUNDUP(IFERROR(DATEDIF($I24-1,ET$15+1,"m"),)/12,)-1,)*Index!EP$22*(ET$15&gt;$I42)*(1-ET$12)</f>
        <v>0</v>
      </c>
      <c r="EU42" s="747">
        <f>$G42*$H42*(1+$K42)^MAX(ROUNDUP(IFERROR(DATEDIF($I24-1,EU$15+1,"m"),)/12,)-1,)*Index!EQ$22*(EU$15&gt;$I42)*(1-EU$12)</f>
        <v>0</v>
      </c>
    </row>
    <row r="43" spans="3:151" ht="11.25" customHeight="1">
      <c r="C43" s="735"/>
      <c r="D43" s="743">
        <f t="shared" si="11"/>
        <v>4</v>
      </c>
      <c r="E43" s="704" t="str">
        <f t="shared" si="11"/>
        <v>쿠팡</v>
      </c>
      <c r="F43" s="704" t="str">
        <f t="shared" si="11"/>
        <v>상온창고</v>
      </c>
      <c r="G43" s="752" cm="1">
        <f t="array" ref="G43">SUMPRODUCT(('Rent-roll'!$E43='A&amp;R'!$V$26:$V$32)*('A&amp;R'!$AB$26:$AB$32))/1000</f>
        <v>57.698001860542107</v>
      </c>
      <c r="H43" s="744">
        <f t="shared" si="12"/>
        <v>2185.56</v>
      </c>
      <c r="I43" s="745">
        <f t="shared" si="13"/>
        <v>49064</v>
      </c>
      <c r="J43" s="745"/>
      <c r="K43" s="754">
        <f t="shared" si="14"/>
        <v>2.5000000000000001E-2</v>
      </c>
      <c r="L43" s="746"/>
      <c r="M43" s="722"/>
      <c r="N43" s="747">
        <f t="shared" si="15"/>
        <v>4940112.1290069846</v>
      </c>
      <c r="O43" s="733"/>
      <c r="P43" s="747">
        <f>$G43*$H43*(1+$K43)^MAX(ROUNDUP(IFERROR(DATEDIF($I25-1,P$15+1,"m"),)/12,)-1,)*Index!L$22*(P$15&gt;$I43)*(1-P$12)</f>
        <v>0</v>
      </c>
      <c r="Q43" s="747">
        <f>$G43*$H43*(1+$K43)^MAX(ROUNDUP(IFERROR(DATEDIF($I25-1,Q$15+1,"m"),)/12,)-1,)*Index!M$22*(Q$15&gt;$I43)*(1-Q$12)</f>
        <v>0</v>
      </c>
      <c r="R43" s="747">
        <f>$G43*$H43*(1+$K43)^MAX(ROUNDUP(IFERROR(DATEDIF($I25-1,R$15+1,"m"),)/12,)-1,)*Index!N$22*(R$15&gt;$I43)*(1-R$12)</f>
        <v>0</v>
      </c>
      <c r="S43" s="747">
        <f>$G43*$H43*(1+$K43)^MAX(ROUNDUP(IFERROR(DATEDIF($I25-1,S$15+1,"m"),)/12,)-1,)*Index!O$22*(S$15&gt;$I43)*(1-S$12)</f>
        <v>0</v>
      </c>
      <c r="T43" s="747">
        <f>$G43*$H43*(1+$K43)^MAX(ROUNDUP(IFERROR(DATEDIF($I25-1,T$15+1,"m"),)/12,)-1,)*Index!P$22*(T$15&gt;$I43)*(1-T$12)</f>
        <v>0</v>
      </c>
      <c r="U43" s="747">
        <f>$G43*$H43*(1+$K43)^MAX(ROUNDUP(IFERROR(DATEDIF($I25-1,U$15+1,"m"),)/12,)-1,)*Index!Q$22*(U$15&gt;$I43)*(1-U$12)</f>
        <v>0</v>
      </c>
      <c r="V43" s="747">
        <f>$G43*$H43*(1+$K43)^MAX(ROUNDUP(IFERROR(DATEDIF($I25-1,V$15+1,"m"),)/12,)-1,)*Index!R$22*(V$15&gt;$I43)*(1-V$12)</f>
        <v>0</v>
      </c>
      <c r="W43" s="747">
        <f>$G43*$H43*(1+$K43)^MAX(ROUNDUP(IFERROR(DATEDIF($I25-1,W$15+1,"m"),)/12,)-1,)*Index!S$22*(W$15&gt;$I43)*(1-W$12)</f>
        <v>0</v>
      </c>
      <c r="X43" s="747">
        <f>$G43*$H43*(1+$K43)^MAX(ROUNDUP(IFERROR(DATEDIF($I25-1,X$15+1,"m"),)/12,)-1,)*Index!T$22*(X$15&gt;$I43)*(1-X$12)</f>
        <v>0</v>
      </c>
      <c r="Y43" s="747">
        <f>$G43*$H43*(1+$K43)^MAX(ROUNDUP(IFERROR(DATEDIF($I25-1,Y$15+1,"m"),)/12,)-1,)*Index!U$22*(Y$15&gt;$I43)*(1-Y$12)</f>
        <v>0</v>
      </c>
      <c r="Z43" s="747">
        <f>$G43*$H43*(1+$K43)^MAX(ROUNDUP(IFERROR(DATEDIF($I25-1,Z$15+1,"m"),)/12,)-1,)*Index!V$22*(Z$15&gt;$I43)*(1-Z$12)</f>
        <v>0</v>
      </c>
      <c r="AA43" s="747">
        <f>$G43*$H43*(1+$K43)^MAX(ROUNDUP(IFERROR(DATEDIF($I25-1,AA$15+1,"m"),)/12,)-1,)*Index!W$22*(AA$15&gt;$I43)*(1-AA$12)</f>
        <v>0</v>
      </c>
      <c r="AB43" s="747">
        <f>$G43*$H43*(1+$K43)^MAX(ROUNDUP(IFERROR(DATEDIF($I25-1,AB$15+1,"m"),)/12,)-1,)*Index!X$22*(AB$15&gt;$I43)*(1-AB$12)</f>
        <v>0</v>
      </c>
      <c r="AC43" s="747">
        <f>$G43*$H43*(1+$K43)^MAX(ROUNDUP(IFERROR(DATEDIF($I25-1,AC$15+1,"m"),)/12,)-1,)*Index!Y$22*(AC$15&gt;$I43)*(1-AC$12)</f>
        <v>0</v>
      </c>
      <c r="AD43" s="747">
        <f>$G43*$H43*(1+$K43)^MAX(ROUNDUP(IFERROR(DATEDIF($I25-1,AD$15+1,"m"),)/12,)-1,)*Index!Z$22*(AD$15&gt;$I43)*(1-AD$12)</f>
        <v>0</v>
      </c>
      <c r="AE43" s="747">
        <f>$G43*$H43*(1+$K43)^MAX(ROUNDUP(IFERROR(DATEDIF($I25-1,AE$15+1,"m"),)/12,)-1,)*Index!AA$22*(AE$15&gt;$I43)*(1-AE$12)</f>
        <v>0</v>
      </c>
      <c r="AF43" s="747">
        <f>$G43*$H43*(1+$K43)^MAX(ROUNDUP(IFERROR(DATEDIF($I25-1,AF$15+1,"m"),)/12,)-1,)*Index!AB$22*(AF$15&gt;$I43)*(1-AF$12)</f>
        <v>0</v>
      </c>
      <c r="AG43" s="747">
        <f>$G43*$H43*(1+$K43)^MAX(ROUNDUP(IFERROR(DATEDIF($I25-1,AG$15+1,"m"),)/12,)-1,)*Index!AC$22*(AG$15&gt;$I43)*(1-AG$12)</f>
        <v>0</v>
      </c>
      <c r="AH43" s="747">
        <f>$G43*$H43*(1+$K43)^MAX(ROUNDUP(IFERROR(DATEDIF($I25-1,AH$15+1,"m"),)/12,)-1,)*Index!AD$22*(AH$15&gt;$I43)*(1-AH$12)</f>
        <v>0</v>
      </c>
      <c r="AI43" s="747">
        <f>$G43*$H43*(1+$K43)^MAX(ROUNDUP(IFERROR(DATEDIF($I25-1,AI$15+1,"m"),)/12,)-1,)*Index!AE$22*(AI$15&gt;$I43)*(1-AI$12)</f>
        <v>0</v>
      </c>
      <c r="AJ43" s="747">
        <f>$G43*$H43*(1+$K43)^MAX(ROUNDUP(IFERROR(DATEDIF($I25-1,AJ$15+1,"m"),)/12,)-1,)*Index!AF$22*(AJ$15&gt;$I43)*(1-AJ$12)</f>
        <v>0</v>
      </c>
      <c r="AK43" s="747">
        <f>$G43*$H43*(1+$K43)^MAX(ROUNDUP(IFERROR(DATEDIF($I25-1,AK$15+1,"m"),)/12,)-1,)*Index!AG$22*(AK$15&gt;$I43)*(1-AK$12)</f>
        <v>0</v>
      </c>
      <c r="AL43" s="747">
        <f>$G43*$H43*(1+$K43)^MAX(ROUNDUP(IFERROR(DATEDIF($I25-1,AL$15+1,"m"),)/12,)-1,)*Index!AH$22*(AL$15&gt;$I43)*(1-AL$12)</f>
        <v>0</v>
      </c>
      <c r="AM43" s="747">
        <f>$G43*$H43*(1+$K43)^MAX(ROUNDUP(IFERROR(DATEDIF($I25-1,AM$15+1,"m"),)/12,)-1,)*Index!AI$22*(AM$15&gt;$I43)*(1-AM$12)</f>
        <v>0</v>
      </c>
      <c r="AN43" s="747">
        <f>$G43*$H43*(1+$K43)^MAX(ROUNDUP(IFERROR(DATEDIF($I25-1,AN$15+1,"m"),)/12,)-1,)*Index!AJ$22*(AN$15&gt;$I43)*(1-AN$12)</f>
        <v>0</v>
      </c>
      <c r="AO43" s="747">
        <f>$G43*$H43*(1+$K43)^MAX(ROUNDUP(IFERROR(DATEDIF($I25-1,AO$15+1,"m"),)/12,)-1,)*Index!AK$22*(AO$15&gt;$I43)*(1-AO$12)</f>
        <v>0</v>
      </c>
      <c r="AP43" s="747">
        <f>$G43*$H43*(1+$K43)^MAX(ROUNDUP(IFERROR(DATEDIF($I25-1,AP$15+1,"m"),)/12,)-1,)*Index!AL$22*(AP$15&gt;$I43)*(1-AP$12)</f>
        <v>0</v>
      </c>
      <c r="AQ43" s="747">
        <f>$G43*$H43*(1+$K43)^MAX(ROUNDUP(IFERROR(DATEDIF($I25-1,AQ$15+1,"m"),)/12,)-1,)*Index!AM$22*(AQ$15&gt;$I43)*(1-AQ$12)</f>
        <v>0</v>
      </c>
      <c r="AR43" s="747">
        <f>$G43*$H43*(1+$K43)^MAX(ROUNDUP(IFERROR(DATEDIF($I25-1,AR$15+1,"m"),)/12,)-1,)*Index!AN$22*(AR$15&gt;$I43)*(1-AR$12)</f>
        <v>0</v>
      </c>
      <c r="AS43" s="747">
        <f>$G43*$H43*(1+$K43)^MAX(ROUNDUP(IFERROR(DATEDIF($I25-1,AS$15+1,"m"),)/12,)-1,)*Index!AO$22*(AS$15&gt;$I43)*(1-AS$12)</f>
        <v>0</v>
      </c>
      <c r="AT43" s="747">
        <f>$G43*$H43*(1+$K43)^MAX(ROUNDUP(IFERROR(DATEDIF($I25-1,AT$15+1,"m"),)/12,)-1,)*Index!AP$22*(AT$15&gt;$I43)*(1-AT$12)</f>
        <v>0</v>
      </c>
      <c r="AU43" s="747">
        <f>$G43*$H43*(1+$K43)^MAX(ROUNDUP(IFERROR(DATEDIF($I25-1,AU$15+1,"m"),)/12,)-1,)*Index!AQ$22*(AU$15&gt;$I43)*(1-AU$12)</f>
        <v>0</v>
      </c>
      <c r="AV43" s="747">
        <f>$G43*$H43*(1+$K43)^MAX(ROUNDUP(IFERROR(DATEDIF($I25-1,AV$15+1,"m"),)/12,)-1,)*Index!AR$22*(AV$15&gt;$I43)*(1-AV$12)</f>
        <v>0</v>
      </c>
      <c r="AW43" s="747">
        <f>$G43*$H43*(1+$K43)^MAX(ROUNDUP(IFERROR(DATEDIF($I25-1,AW$15+1,"m"),)/12,)-1,)*Index!AS$22*(AW$15&gt;$I43)*(1-AW$12)</f>
        <v>0</v>
      </c>
      <c r="AX43" s="747">
        <f>$G43*$H43*(1+$K43)^MAX(ROUNDUP(IFERROR(DATEDIF($I25-1,AX$15+1,"m"),)/12,)-1,)*Index!AT$22*(AX$15&gt;$I43)*(1-AX$12)</f>
        <v>0</v>
      </c>
      <c r="AY43" s="747">
        <f>$G43*$H43*(1+$K43)^MAX(ROUNDUP(IFERROR(DATEDIF($I25-1,AY$15+1,"m"),)/12,)-1,)*Index!AU$22*(AY$15&gt;$I43)*(1-AY$12)</f>
        <v>0</v>
      </c>
      <c r="AZ43" s="747">
        <f>$G43*$H43*(1+$K43)^MAX(ROUNDUP(IFERROR(DATEDIF($I25-1,AZ$15+1,"m"),)/12,)-1,)*Index!AV$22*(AZ$15&gt;$I43)*(1-AZ$12)</f>
        <v>0</v>
      </c>
      <c r="BA43" s="747">
        <f>$G43*$H43*(1+$K43)^MAX(ROUNDUP(IFERROR(DATEDIF($I25-1,BA$15+1,"m"),)/12,)-1,)*Index!AW$22*(BA$15&gt;$I43)*(1-BA$12)</f>
        <v>0</v>
      </c>
      <c r="BB43" s="747">
        <f>$G43*$H43*(1+$K43)^MAX(ROUNDUP(IFERROR(DATEDIF($I25-1,BB$15+1,"m"),)/12,)-1,)*Index!AX$22*(BB$15&gt;$I43)*(1-BB$12)</f>
        <v>0</v>
      </c>
      <c r="BC43" s="747">
        <f>$G43*$H43*(1+$K43)^MAX(ROUNDUP(IFERROR(DATEDIF($I25-1,BC$15+1,"m"),)/12,)-1,)*Index!AY$22*(BC$15&gt;$I43)*(1-BC$12)</f>
        <v>0</v>
      </c>
      <c r="BD43" s="747">
        <f>$G43*$H43*(1+$K43)^MAX(ROUNDUP(IFERROR(DATEDIF($I25-1,BD$15+1,"m"),)/12,)-1,)*Index!AZ$22*(BD$15&gt;$I43)*(1-BD$12)</f>
        <v>0</v>
      </c>
      <c r="BE43" s="747">
        <f>$G43*$H43*(1+$K43)^MAX(ROUNDUP(IFERROR(DATEDIF($I25-1,BE$15+1,"m"),)/12,)-1,)*Index!BA$22*(BE$15&gt;$I43)*(1-BE$12)</f>
        <v>0</v>
      </c>
      <c r="BF43" s="747">
        <f>$G43*$H43*(1+$K43)^MAX(ROUNDUP(IFERROR(DATEDIF($I25-1,BF$15+1,"m"),)/12,)-1,)*Index!BB$22*(BF$15&gt;$I43)*(1-BF$12)</f>
        <v>0</v>
      </c>
      <c r="BG43" s="747">
        <f>$G43*$H43*(1+$K43)^MAX(ROUNDUP(IFERROR(DATEDIF($I25-1,BG$15+1,"m"),)/12,)-1,)*Index!BC$22*(BG$15&gt;$I43)*(1-BG$12)</f>
        <v>0</v>
      </c>
      <c r="BH43" s="747">
        <f>$G43*$H43*(1+$K43)^MAX(ROUNDUP(IFERROR(DATEDIF($I25-1,BH$15+1,"m"),)/12,)-1,)*Index!BD$22*(BH$15&gt;$I43)*(1-BH$12)</f>
        <v>0</v>
      </c>
      <c r="BI43" s="747">
        <f>$G43*$H43*(1+$K43)^MAX(ROUNDUP(IFERROR(DATEDIF($I25-1,BI$15+1,"m"),)/12,)-1,)*Index!BE$22*(BI$15&gt;$I43)*(1-BI$12)</f>
        <v>0</v>
      </c>
      <c r="BJ43" s="747">
        <f>$G43*$H43*(1+$K43)^MAX(ROUNDUP(IFERROR(DATEDIF($I25-1,BJ$15+1,"m"),)/12,)-1,)*Index!BF$22*(BJ$15&gt;$I43)*(1-BJ$12)</f>
        <v>0</v>
      </c>
      <c r="BK43" s="747">
        <f>$G43*$H43*(1+$K43)^MAX(ROUNDUP(IFERROR(DATEDIF($I25-1,BK$15+1,"m"),)/12,)-1,)*Index!BG$22*(BK$15&gt;$I43)*(1-BK$12)</f>
        <v>0</v>
      </c>
      <c r="BL43" s="747">
        <f>$G43*$H43*(1+$K43)^MAX(ROUNDUP(IFERROR(DATEDIF($I25-1,BL$15+1,"m"),)/12,)-1,)*Index!BH$22*(BL$15&gt;$I43)*(1-BL$12)</f>
        <v>0</v>
      </c>
      <c r="BM43" s="747">
        <f>$G43*$H43*(1+$K43)^MAX(ROUNDUP(IFERROR(DATEDIF($I25-1,BM$15+1,"m"),)/12,)-1,)*Index!BI$22*(BM$15&gt;$I43)*(1-BM$12)</f>
        <v>0</v>
      </c>
      <c r="BN43" s="747">
        <f>$G43*$H43*(1+$K43)^MAX(ROUNDUP(IFERROR(DATEDIF($I25-1,BN$15+1,"m"),)/12,)-1,)*Index!BJ$22*(BN$15&gt;$I43)*(1-BN$12)</f>
        <v>0</v>
      </c>
      <c r="BO43" s="747">
        <f>$G43*$H43*(1+$K43)^MAX(ROUNDUP(IFERROR(DATEDIF($I25-1,BO$15+1,"m"),)/12,)-1,)*Index!BK$22*(BO$15&gt;$I43)*(1-BO$12)</f>
        <v>0</v>
      </c>
      <c r="BP43" s="747">
        <f>$G43*$H43*(1+$K43)^MAX(ROUNDUP(IFERROR(DATEDIF($I25-1,BP$15+1,"m"),)/12,)-1,)*Index!BL$22*(BP$15&gt;$I43)*(1-BP$12)</f>
        <v>0</v>
      </c>
      <c r="BQ43" s="747">
        <f>$G43*$H43*(1+$K43)^MAX(ROUNDUP(IFERROR(DATEDIF($I25-1,BQ$15+1,"m"),)/12,)-1,)*Index!BM$22*(BQ$15&gt;$I43)*(1-BQ$12)</f>
        <v>0</v>
      </c>
      <c r="BR43" s="747">
        <f>$G43*$H43*(1+$K43)^MAX(ROUNDUP(IFERROR(DATEDIF($I25-1,BR$15+1,"m"),)/12,)-1,)*Index!BN$22*(BR$15&gt;$I43)*(1-BR$12)</f>
        <v>0</v>
      </c>
      <c r="BS43" s="747">
        <f>$G43*$H43*(1+$K43)^MAX(ROUNDUP(IFERROR(DATEDIF($I25-1,BS$15+1,"m"),)/12,)-1,)*Index!BO$22*(BS$15&gt;$I43)*(1-BS$12)</f>
        <v>0</v>
      </c>
      <c r="BT43" s="747">
        <f>$G43*$H43*(1+$K43)^MAX(ROUNDUP(IFERROR(DATEDIF($I25-1,BT$15+1,"m"),)/12,)-1,)*Index!BP$22*(BT$15&gt;$I43)*(1-BT$12)</f>
        <v>0</v>
      </c>
      <c r="BU43" s="747">
        <f>$G43*$H43*(1+$K43)^MAX(ROUNDUP(IFERROR(DATEDIF($I25-1,BU$15+1,"m"),)/12,)-1,)*Index!BQ$22*(BU$15&gt;$I43)*(1-BU$12)</f>
        <v>0</v>
      </c>
      <c r="BV43" s="747">
        <f>$G43*$H43*(1+$K43)^MAX(ROUNDUP(IFERROR(DATEDIF($I25-1,BV$15+1,"m"),)/12,)-1,)*Index!BR$22*(BV$15&gt;$I43)*(1-BV$12)</f>
        <v>0</v>
      </c>
      <c r="BW43" s="747">
        <f>$G43*$H43*(1+$K43)^MAX(ROUNDUP(IFERROR(DATEDIF($I25-1,BW$15+1,"m"),)/12,)-1,)*Index!BS$22*(BW$15&gt;$I43)*(1-BW$12)</f>
        <v>0</v>
      </c>
      <c r="BX43" s="747">
        <f>$G43*$H43*(1+$K43)^MAX(ROUNDUP(IFERROR(DATEDIF($I25-1,BX$15+1,"m"),)/12,)-1,)*Index!BT$22*(BX$15&gt;$I43)*(1-BX$12)</f>
        <v>0</v>
      </c>
      <c r="BY43" s="747">
        <f>$G43*$H43*(1+$K43)^MAX(ROUNDUP(IFERROR(DATEDIF($I25-1,BY$15+1,"m"),)/12,)-1,)*Index!BU$22*(BY$15&gt;$I43)*(1-BY$12)</f>
        <v>0</v>
      </c>
      <c r="BZ43" s="747">
        <f>$G43*$H43*(1+$K43)^MAX(ROUNDUP(IFERROR(DATEDIF($I25-1,BZ$15+1,"m"),)/12,)-1,)*Index!BV$22*(BZ$15&gt;$I43)*(1-BZ$12)</f>
        <v>0</v>
      </c>
      <c r="CA43" s="747">
        <f>$G43*$H43*(1+$K43)^MAX(ROUNDUP(IFERROR(DATEDIF($I25-1,CA$15+1,"m"),)/12,)-1,)*Index!BW$22*(CA$15&gt;$I43)*(1-CA$12)</f>
        <v>0</v>
      </c>
      <c r="CB43" s="747">
        <f>$G43*$H43*(1+$K43)^MAX(ROUNDUP(IFERROR(DATEDIF($I25-1,CB$15+1,"m"),)/12,)-1,)*Index!BX$22*(CB$15&gt;$I43)*(1-CB$12)</f>
        <v>0</v>
      </c>
      <c r="CC43" s="747">
        <f>$G43*$H43*(1+$K43)^MAX(ROUNDUP(IFERROR(DATEDIF($I25-1,CC$15+1,"m"),)/12,)-1,)*Index!BY$22*(CC$15&gt;$I43)*(1-CC$12)</f>
        <v>0</v>
      </c>
      <c r="CD43" s="747">
        <f>$G43*$H43*(1+$K43)^MAX(ROUNDUP(IFERROR(DATEDIF($I25-1,CD$15+1,"m"),)/12,)-1,)*Index!BZ$22*(CD$15&gt;$I43)*(1-CD$12)</f>
        <v>0</v>
      </c>
      <c r="CE43" s="747">
        <f>$G43*$H43*(1+$K43)^MAX(ROUNDUP(IFERROR(DATEDIF($I25-1,CE$15+1,"m"),)/12,)-1,)*Index!CA$22*(CE$15&gt;$I43)*(1-CE$12)</f>
        <v>0</v>
      </c>
      <c r="CF43" s="747">
        <f>$G43*$H43*(1+$K43)^MAX(ROUNDUP(IFERROR(DATEDIF($I25-1,CF$15+1,"m"),)/12,)-1,)*Index!CB$22*(CF$15&gt;$I43)*(1-CF$12)</f>
        <v>0</v>
      </c>
      <c r="CG43" s="747">
        <f>$G43*$H43*(1+$K43)^MAX(ROUNDUP(IFERROR(DATEDIF($I25-1,CG$15+1,"m"),)/12,)-1,)*Index!CC$22*(CG$15&gt;$I43)*(1-CG$12)</f>
        <v>0</v>
      </c>
      <c r="CH43" s="747">
        <f>$G43*$H43*(1+$K43)^MAX(ROUNDUP(IFERROR(DATEDIF($I25-1,CH$15+1,"m"),)/12,)-1,)*Index!CD$22*(CH$15&gt;$I43)*(1-CH$12)</f>
        <v>0</v>
      </c>
      <c r="CI43" s="747">
        <f>$G43*$H43*(1+$K43)^MAX(ROUNDUP(IFERROR(DATEDIF($I25-1,CI$15+1,"m"),)/12,)-1,)*Index!CE$22*(CI$15&gt;$I43)*(1-CI$12)</f>
        <v>0</v>
      </c>
      <c r="CJ43" s="747">
        <f>$G43*$H43*(1+$K43)^MAX(ROUNDUP(IFERROR(DATEDIF($I25-1,CJ$15+1,"m"),)/12,)-1,)*Index!CF$22*(CJ$15&gt;$I43)*(1-CJ$12)</f>
        <v>0</v>
      </c>
      <c r="CK43" s="747">
        <f>$G43*$H43*(1+$K43)^MAX(ROUNDUP(IFERROR(DATEDIF($I25-1,CK$15+1,"m"),)/12,)-1,)*Index!CG$22*(CK$15&gt;$I43)*(1-CK$12)</f>
        <v>0</v>
      </c>
      <c r="CL43" s="747">
        <f>$G43*$H43*(1+$K43)^MAX(ROUNDUP(IFERROR(DATEDIF($I25-1,CL$15+1,"m"),)/12,)-1,)*Index!CH$22*(CL$15&gt;$I43)*(1-CL$12)</f>
        <v>0</v>
      </c>
      <c r="CM43" s="747">
        <f>$G43*$H43*(1+$K43)^MAX(ROUNDUP(IFERROR(DATEDIF($I25-1,CM$15+1,"m"),)/12,)-1,)*Index!CI$22*(CM$15&gt;$I43)*(1-CM$12)</f>
        <v>0</v>
      </c>
      <c r="CN43" s="747">
        <f>$G43*$H43*(1+$K43)^MAX(ROUNDUP(IFERROR(DATEDIF($I25-1,CN$15+1,"m"),)/12,)-1,)*Index!CJ$22*(CN$15&gt;$I43)*(1-CN$12)</f>
        <v>0</v>
      </c>
      <c r="CO43" s="747">
        <f>$G43*$H43*(1+$K43)^MAX(ROUNDUP(IFERROR(DATEDIF($I25-1,CO$15+1,"m"),)/12,)-1,)*Index!CK$22*(CO$15&gt;$I43)*(1-CO$12)</f>
        <v>0</v>
      </c>
      <c r="CP43" s="747">
        <f>$G43*$H43*(1+$K43)^MAX(ROUNDUP(IFERROR(DATEDIF($I25-1,CP$15+1,"m"),)/12,)-1,)*Index!CL$22*(CP$15&gt;$I43)*(1-CP$12)</f>
        <v>0</v>
      </c>
      <c r="CQ43" s="747">
        <f>$G43*$H43*(1+$K43)^MAX(ROUNDUP(IFERROR(DATEDIF($I25-1,CQ$15+1,"m"),)/12,)-1,)*Index!CM$22*(CQ$15&gt;$I43)*(1-CQ$12)</f>
        <v>0</v>
      </c>
      <c r="CR43" s="747">
        <f>$G43*$H43*(1+$K43)^MAX(ROUNDUP(IFERROR(DATEDIF($I25-1,CR$15+1,"m"),)/12,)-1,)*Index!CN$22*(CR$15&gt;$I43)*(1-CR$12)</f>
        <v>0</v>
      </c>
      <c r="CS43" s="747">
        <f>$G43*$H43*(1+$K43)^MAX(ROUNDUP(IFERROR(DATEDIF($I25-1,CS$15+1,"m"),)/12,)-1,)*Index!CO$22*(CS$15&gt;$I43)*(1-CS$12)</f>
        <v>0</v>
      </c>
      <c r="CT43" s="747">
        <f>$G43*$H43*(1+$K43)^MAX(ROUNDUP(IFERROR(DATEDIF($I25-1,CT$15+1,"m"),)/12,)-1,)*Index!CP$22*(CT$15&gt;$I43)*(1-CT$12)</f>
        <v>0</v>
      </c>
      <c r="CU43" s="747">
        <f>$G43*$H43*(1+$K43)^MAX(ROUNDUP(IFERROR(DATEDIF($I25-1,CU$15+1,"m"),)/12,)-1,)*Index!CQ$22*(CU$15&gt;$I43)*(1-CU$12)</f>
        <v>0</v>
      </c>
      <c r="CV43" s="747">
        <f>$G43*$H43*(1+$K43)^MAX(ROUNDUP(IFERROR(DATEDIF($I25-1,CV$15+1,"m"),)/12,)-1,)*Index!CR$22*(CV$15&gt;$I43)*(1-CV$12)</f>
        <v>0</v>
      </c>
      <c r="CW43" s="747">
        <f>$G43*$H43*(1+$K43)^MAX(ROUNDUP(IFERROR(DATEDIF($I25-1,CW$15+1,"m"),)/12,)-1,)*Index!CS$22*(CW$15&gt;$I43)*(1-CW$12)</f>
        <v>0</v>
      </c>
      <c r="CX43" s="747">
        <f>$G43*$H43*(1+$K43)^MAX(ROUNDUP(IFERROR(DATEDIF($I25-1,CX$15+1,"m"),)/12,)-1,)*Index!CT$22*(CX$15&gt;$I43)*(1-CX$12)</f>
        <v>0</v>
      </c>
      <c r="CY43" s="747">
        <f>$G43*$H43*(1+$K43)^MAX(ROUNDUP(IFERROR(DATEDIF($I25-1,CY$15+1,"m"),)/12,)-1,)*Index!CU$22*(CY$15&gt;$I43)*(1-CY$12)</f>
        <v>0</v>
      </c>
      <c r="CZ43" s="747">
        <f>$G43*$H43*(1+$K43)^MAX(ROUNDUP(IFERROR(DATEDIF($I25-1,CZ$15+1,"m"),)/12,)-1,)*Index!CV$22*(CZ$15&gt;$I43)*(1-CZ$12)</f>
        <v>0</v>
      </c>
      <c r="DA43" s="747">
        <f>$G43*$H43*(1+$K43)^MAX(ROUNDUP(IFERROR(DATEDIF($I25-1,DA$15+1,"m"),)/12,)-1,)*Index!CW$22*(DA$15&gt;$I43)*(1-DA$12)</f>
        <v>0</v>
      </c>
      <c r="DB43" s="747">
        <f>$G43*$H43*(1+$K43)^MAX(ROUNDUP(IFERROR(DATEDIF($I25-1,DB$15+1,"m"),)/12,)-1,)*Index!CX$22*(DB$15&gt;$I43)*(1-DB$12)</f>
        <v>0</v>
      </c>
      <c r="DC43" s="747">
        <f>$G43*$H43*(1+$K43)^MAX(ROUNDUP(IFERROR(DATEDIF($I25-1,DC$15+1,"m"),)/12,)-1,)*Index!CY$22*(DC$15&gt;$I43)*(1-DC$12)</f>
        <v>161421.79076116445</v>
      </c>
      <c r="DD43" s="747">
        <f>$G43*$H43*(1+$K43)^MAX(ROUNDUP(IFERROR(DATEDIF($I25-1,DD$15+1,"m"),)/12,)-1,)*Index!CZ$22*(DD$15&gt;$I43)*(1-DD$12)</f>
        <v>161421.79076116445</v>
      </c>
      <c r="DE43" s="747">
        <f>$G43*$H43*(1+$K43)^MAX(ROUNDUP(IFERROR(DATEDIF($I25-1,DE$15+1,"m"),)/12,)-1,)*Index!DA$22*(DE$15&gt;$I43)*(1-DE$12)</f>
        <v>161421.79076116445</v>
      </c>
      <c r="DF43" s="747">
        <f>$G43*$H43*(1+$K43)^MAX(ROUNDUP(IFERROR(DATEDIF($I25-1,DF$15+1,"m"),)/12,)-1,)*Index!DB$22*(DF$15&gt;$I43)*(1-DF$12)</f>
        <v>161421.79076116445</v>
      </c>
      <c r="DG43" s="747">
        <f>$G43*$H43*(1+$K43)^MAX(ROUNDUP(IFERROR(DATEDIF($I25-1,DG$15+1,"m"),)/12,)-1,)*Index!DC$22*(DG$15&gt;$I43)*(1-DG$12)</f>
        <v>161421.79076116445</v>
      </c>
      <c r="DH43" s="747">
        <f>$G43*$H43*(1+$K43)^MAX(ROUNDUP(IFERROR(DATEDIF($I25-1,DH$15+1,"m"),)/12,)-1,)*Index!DD$22*(DH$15&gt;$I43)*(1-DH$12)</f>
        <v>161421.79076116445</v>
      </c>
      <c r="DI43" s="747">
        <f>$G43*$H43*(1+$K43)^MAX(ROUNDUP(IFERROR(DATEDIF($I25-1,DI$15+1,"m"),)/12,)-1,)*Index!DE$22*(DI$15&gt;$I43)*(1-DI$12)</f>
        <v>161421.79076116445</v>
      </c>
      <c r="DJ43" s="747">
        <f>$G43*$H43*(1+$K43)^MAX(ROUNDUP(IFERROR(DATEDIF($I25-1,DJ$15+1,"m"),)/12,)-1,)*Index!DF$22*(DJ$15&gt;$I43)*(1-DJ$12)</f>
        <v>161421.79076116445</v>
      </c>
      <c r="DK43" s="747">
        <f>$G43*$H43*(1+$K43)^MAX(ROUNDUP(IFERROR(DATEDIF($I25-1,DK$15+1,"m"),)/12,)-1,)*Index!DG$22*(DK$15&gt;$I43)*(1-DK$12)</f>
        <v>161421.79076116445</v>
      </c>
      <c r="DL43" s="747">
        <f>$G43*$H43*(1+$K43)^MAX(ROUNDUP(IFERROR(DATEDIF($I25-1,DL$15+1,"m"),)/12,)-1,)*Index!DH$22*(DL$15&gt;$I43)*(1-DL$12)</f>
        <v>161421.79076116445</v>
      </c>
      <c r="DM43" s="747">
        <f>$G43*$H43*(1+$K43)^MAX(ROUNDUP(IFERROR(DATEDIF($I25-1,DM$15+1,"m"),)/12,)-1,)*Index!DI$22*(DM$15&gt;$I43)*(1-DM$12)</f>
        <v>161421.79076116445</v>
      </c>
      <c r="DN43" s="747">
        <f>$G43*$H43*(1+$K43)^MAX(ROUNDUP(IFERROR(DATEDIF($I25-1,DN$15+1,"m"),)/12,)-1,)*Index!DJ$22*(DN$15&gt;$I43)*(1-DN$12)</f>
        <v>161421.79076116445</v>
      </c>
      <c r="DO43" s="747">
        <f>$G43*$H43*(1+$K43)^MAX(ROUNDUP(IFERROR(DATEDIF($I25-1,DO$15+1,"m"),)/12,)-1,)*Index!DK$22*(DO$15&gt;$I43)*(1-DO$12)</f>
        <v>165457.33553019355</v>
      </c>
      <c r="DP43" s="747">
        <f>$G43*$H43*(1+$K43)^MAX(ROUNDUP(IFERROR(DATEDIF($I25-1,DP$15+1,"m"),)/12,)-1,)*Index!DL$22*(DP$15&gt;$I43)*(1-DP$12)</f>
        <v>165457.33553019355</v>
      </c>
      <c r="DQ43" s="747">
        <f>$G43*$H43*(1+$K43)^MAX(ROUNDUP(IFERROR(DATEDIF($I25-1,DQ$15+1,"m"),)/12,)-1,)*Index!DM$22*(DQ$15&gt;$I43)*(1-DQ$12)</f>
        <v>165457.33553019355</v>
      </c>
      <c r="DR43" s="747">
        <f>$G43*$H43*(1+$K43)^MAX(ROUNDUP(IFERROR(DATEDIF($I25-1,DR$15+1,"m"),)/12,)-1,)*Index!DN$22*(DR$15&gt;$I43)*(1-DR$12)</f>
        <v>165457.33553019355</v>
      </c>
      <c r="DS43" s="747">
        <f>$G43*$H43*(1+$K43)^MAX(ROUNDUP(IFERROR(DATEDIF($I25-1,DS$15+1,"m"),)/12,)-1,)*Index!DO$22*(DS$15&gt;$I43)*(1-DS$12)</f>
        <v>165457.33553019355</v>
      </c>
      <c r="DT43" s="747">
        <f>$G43*$H43*(1+$K43)^MAX(ROUNDUP(IFERROR(DATEDIF($I25-1,DT$15+1,"m"),)/12,)-1,)*Index!DP$22*(DT$15&gt;$I43)*(1-DT$12)</f>
        <v>165457.33553019355</v>
      </c>
      <c r="DU43" s="747">
        <f>$G43*$H43*(1+$K43)^MAX(ROUNDUP(IFERROR(DATEDIF($I25-1,DU$15+1,"m"),)/12,)-1,)*Index!DQ$22*(DU$15&gt;$I43)*(1-DU$12)</f>
        <v>165457.33553019355</v>
      </c>
      <c r="DV43" s="747">
        <f>$G43*$H43*(1+$K43)^MAX(ROUNDUP(IFERROR(DATEDIF($I25-1,DV$15+1,"m"),)/12,)-1,)*Index!DR$22*(DV$15&gt;$I43)*(1-DV$12)</f>
        <v>165457.33553019355</v>
      </c>
      <c r="DW43" s="747">
        <f>$G43*$H43*(1+$K43)^MAX(ROUNDUP(IFERROR(DATEDIF($I25-1,DW$15+1,"m"),)/12,)-1,)*Index!DS$22*(DW$15&gt;$I43)*(1-DW$12)</f>
        <v>165457.33553019355</v>
      </c>
      <c r="DX43" s="747">
        <f>$G43*$H43*(1+$K43)^MAX(ROUNDUP(IFERROR(DATEDIF($I25-1,DX$15+1,"m"),)/12,)-1,)*Index!DT$22*(DX$15&gt;$I43)*(1-DX$12)</f>
        <v>165457.33553019355</v>
      </c>
      <c r="DY43" s="747">
        <f>$G43*$H43*(1+$K43)^MAX(ROUNDUP(IFERROR(DATEDIF($I25-1,DY$15+1,"m"),)/12,)-1,)*Index!DU$22*(DY$15&gt;$I43)*(1-DY$12)</f>
        <v>165457.33553019355</v>
      </c>
      <c r="DZ43" s="747">
        <f>$G43*$H43*(1+$K43)^MAX(ROUNDUP(IFERROR(DATEDIF($I25-1,DZ$15+1,"m"),)/12,)-1,)*Index!DV$22*(DZ$15&gt;$I43)*(1-DZ$12)</f>
        <v>165457.33553019355</v>
      </c>
      <c r="EA43" s="747">
        <f>$G43*$H43*(1+$K43)^MAX(ROUNDUP(IFERROR(DATEDIF($I25-1,EA$15+1,"m"),)/12,)-1,)*Index!DW$22*(EA$15&gt;$I43)*(1-EA$12)</f>
        <v>169593.76891844839</v>
      </c>
      <c r="EB43" s="747">
        <f>$G43*$H43*(1+$K43)^MAX(ROUNDUP(IFERROR(DATEDIF($I25-1,EB$15+1,"m"),)/12,)-1,)*Index!DX$22*(EB$15&gt;$I43)*(1-EB$12)</f>
        <v>169593.76891844839</v>
      </c>
      <c r="EC43" s="747">
        <f>$G43*$H43*(1+$K43)^MAX(ROUNDUP(IFERROR(DATEDIF($I25-1,EC$15+1,"m"),)/12,)-1,)*Index!DY$22*(EC$15&gt;$I43)*(1-EC$12)</f>
        <v>169593.76891844839</v>
      </c>
      <c r="ED43" s="747">
        <f>$G43*$H43*(1+$K43)^MAX(ROUNDUP(IFERROR(DATEDIF($I25-1,ED$15+1,"m"),)/12,)-1,)*Index!DZ$22*(ED$15&gt;$I43)*(1-ED$12)</f>
        <v>169593.76891844839</v>
      </c>
      <c r="EE43" s="747">
        <f>$G43*$H43*(1+$K43)^MAX(ROUNDUP(IFERROR(DATEDIF($I25-1,EE$15+1,"m"),)/12,)-1,)*Index!EA$22*(EE$15&gt;$I43)*(1-EE$12)</f>
        <v>169593.76891844839</v>
      </c>
      <c r="EF43" s="747">
        <f>$G43*$H43*(1+$K43)^MAX(ROUNDUP(IFERROR(DATEDIF($I25-1,EF$15+1,"m"),)/12,)-1,)*Index!EB$22*(EF$15&gt;$I43)*(1-EF$12)</f>
        <v>169593.76891844839</v>
      </c>
      <c r="EG43" s="747">
        <f>$G43*$H43*(1+$K43)^MAX(ROUNDUP(IFERROR(DATEDIF($I25-1,EG$15+1,"m"),)/12,)-1,)*Index!EC$22*(EG$15&gt;$I43)*(1-EG$12)</f>
        <v>0</v>
      </c>
      <c r="EH43" s="747">
        <f>$G43*$H43*(1+$K43)^MAX(ROUNDUP(IFERROR(DATEDIF($I25-1,EH$15+1,"m"),)/12,)-1,)*Index!ED$22*(EH$15&gt;$I43)*(1-EH$12)</f>
        <v>0</v>
      </c>
      <c r="EI43" s="747">
        <f>$G43*$H43*(1+$K43)^MAX(ROUNDUP(IFERROR(DATEDIF($I25-1,EI$15+1,"m"),)/12,)-1,)*Index!EE$22*(EI$15&gt;$I43)*(1-EI$12)</f>
        <v>0</v>
      </c>
      <c r="EJ43" s="747">
        <f>$G43*$H43*(1+$K43)^MAX(ROUNDUP(IFERROR(DATEDIF($I25-1,EJ$15+1,"m"),)/12,)-1,)*Index!EF$22*(EJ$15&gt;$I43)*(1-EJ$12)</f>
        <v>0</v>
      </c>
      <c r="EK43" s="747">
        <f>$G43*$H43*(1+$K43)^MAX(ROUNDUP(IFERROR(DATEDIF($I25-1,EK$15+1,"m"),)/12,)-1,)*Index!EG$22*(EK$15&gt;$I43)*(1-EK$12)</f>
        <v>0</v>
      </c>
      <c r="EL43" s="747">
        <f>$G43*$H43*(1+$K43)^MAX(ROUNDUP(IFERROR(DATEDIF($I25-1,EL$15+1,"m"),)/12,)-1,)*Index!EH$22*(EL$15&gt;$I43)*(1-EL$12)</f>
        <v>0</v>
      </c>
      <c r="EM43" s="747">
        <f>$G43*$H43*(1+$K43)^MAX(ROUNDUP(IFERROR(DATEDIF($I25-1,EM$15+1,"m"),)/12,)-1,)*Index!EI$22*(EM$15&gt;$I43)*(1-EM$12)</f>
        <v>0</v>
      </c>
      <c r="EN43" s="747">
        <f>$G43*$H43*(1+$K43)^MAX(ROUNDUP(IFERROR(DATEDIF($I25-1,EN$15+1,"m"),)/12,)-1,)*Index!EJ$22*(EN$15&gt;$I43)*(1-EN$12)</f>
        <v>0</v>
      </c>
      <c r="EO43" s="747">
        <f>$G43*$H43*(1+$K43)^MAX(ROUNDUP(IFERROR(DATEDIF($I25-1,EO$15+1,"m"),)/12,)-1,)*Index!EK$22*(EO$15&gt;$I43)*(1-EO$12)</f>
        <v>0</v>
      </c>
      <c r="EP43" s="747">
        <f>$G43*$H43*(1+$K43)^MAX(ROUNDUP(IFERROR(DATEDIF($I25-1,EP$15+1,"m"),)/12,)-1,)*Index!EL$22*(EP$15&gt;$I43)*(1-EP$12)</f>
        <v>0</v>
      </c>
      <c r="EQ43" s="747">
        <f>$G43*$H43*(1+$K43)^MAX(ROUNDUP(IFERROR(DATEDIF($I25-1,EQ$15+1,"m"),)/12,)-1,)*Index!EM$22*(EQ$15&gt;$I43)*(1-EQ$12)</f>
        <v>0</v>
      </c>
      <c r="ER43" s="747">
        <f>$G43*$H43*(1+$K43)^MAX(ROUNDUP(IFERROR(DATEDIF($I25-1,ER$15+1,"m"),)/12,)-1,)*Index!EN$22*(ER$15&gt;$I43)*(1-ER$12)</f>
        <v>0</v>
      </c>
      <c r="ES43" s="747">
        <f>$G43*$H43*(1+$K43)^MAX(ROUNDUP(IFERROR(DATEDIF($I25-1,ES$15+1,"m"),)/12,)-1,)*Index!EO$22*(ES$15&gt;$I43)*(1-ES$12)</f>
        <v>0</v>
      </c>
      <c r="ET43" s="747">
        <f>$G43*$H43*(1+$K43)^MAX(ROUNDUP(IFERROR(DATEDIF($I25-1,ET$15+1,"m"),)/12,)-1,)*Index!EP$22*(ET$15&gt;$I43)*(1-ET$12)</f>
        <v>0</v>
      </c>
      <c r="EU43" s="747">
        <f>$G43*$H43*(1+$K43)^MAX(ROUNDUP(IFERROR(DATEDIF($I25-1,EU$15+1,"m"),)/12,)-1,)*Index!EQ$22*(EU$15&gt;$I43)*(1-EU$12)</f>
        <v>0</v>
      </c>
    </row>
    <row r="44" spans="3:151" ht="11.25" customHeight="1">
      <c r="C44" s="735"/>
      <c r="D44" s="743">
        <f t="shared" si="11"/>
        <v>3</v>
      </c>
      <c r="E44" s="704" t="str">
        <f t="shared" si="11"/>
        <v>농심</v>
      </c>
      <c r="F44" s="704" t="str">
        <f t="shared" si="11"/>
        <v>상온창고</v>
      </c>
      <c r="G44" s="752" cm="1">
        <f t="array" ref="G44">SUMPRODUCT(('Rent-roll'!$E44='A&amp;R'!$V$26:$V$32)*('A&amp;R'!$AB$26:$AB$32))/1000</f>
        <v>55.321485107997873</v>
      </c>
      <c r="H44" s="744">
        <f t="shared" si="12"/>
        <v>2185.56</v>
      </c>
      <c r="I44" s="745">
        <f t="shared" si="13"/>
        <v>47328</v>
      </c>
      <c r="J44" s="745"/>
      <c r="K44" s="754">
        <v>2.5000000000000001E-2</v>
      </c>
      <c r="L44" s="1388">
        <v>2.5000000000000001E-2</v>
      </c>
      <c r="M44" s="722">
        <f>AV44/H44*1000</f>
        <v>0</v>
      </c>
      <c r="N44" s="747">
        <f t="shared" si="15"/>
        <v>13010855.599711623</v>
      </c>
      <c r="O44" s="733"/>
      <c r="P44" s="747">
        <f>$G44*$H44*(1+$K44)^MAX(ROUNDUP(IFERROR(DATEDIF($I26-1,P$15+1,"m"),)/12,)-1,)*Index!L$22*(P$15&gt;$I44)*(1-P$12)</f>
        <v>0</v>
      </c>
      <c r="Q44" s="747">
        <f>$G44*$H44*(1+$K44)^MAX(ROUNDUP(IFERROR(DATEDIF($I26-1,Q$15+1,"m"),)/12,)-1,)*Index!M$22*(Q$15&gt;$I44)*(1-Q$12)</f>
        <v>0</v>
      </c>
      <c r="R44" s="747">
        <f>$G44*$H44*(1+$K44)^MAX(ROUNDUP(IFERROR(DATEDIF($I26-1,R$15+1,"m"),)/12,)-1,)*Index!N$22*(R$15&gt;$I44)*(1-R$12)</f>
        <v>0</v>
      </c>
      <c r="S44" s="747">
        <f>$G44*$H44*(1+$K44)^MAX(ROUNDUP(IFERROR(DATEDIF($I26-1,S$15+1,"m"),)/12,)-1,)*Index!O$22*(S$15&gt;$I44)*(1-S$12)</f>
        <v>0</v>
      </c>
      <c r="T44" s="747">
        <f>$G44*$H44*(1+$K44)^MAX(ROUNDUP(IFERROR(DATEDIF($I26-1,T$15+1,"m"),)/12,)-1,)*Index!P$22*(T$15&gt;$I44)*(1-T$12)</f>
        <v>0</v>
      </c>
      <c r="U44" s="747">
        <f>$G44*$H44*(1+$K44)^MAX(ROUNDUP(IFERROR(DATEDIF($I26-1,U$15+1,"m"),)/12,)-1,)*Index!Q$22*(U$15&gt;$I44)*(1-U$12)</f>
        <v>0</v>
      </c>
      <c r="V44" s="747">
        <f>$G44*$H44*(1+$K44)^MAX(ROUNDUP(IFERROR(DATEDIF($I26-1,V$15+1,"m"),)/12,)-1,)*Index!R$22*(V$15&gt;$I44)*(1-V$12)</f>
        <v>0</v>
      </c>
      <c r="W44" s="747">
        <f>$G44*$H44*(1+$K44)^MAX(ROUNDUP(IFERROR(DATEDIF($I26-1,W$15+1,"m"),)/12,)-1,)*Index!S$22*(W$15&gt;$I44)*(1-W$12)</f>
        <v>0</v>
      </c>
      <c r="X44" s="747">
        <f>$G44*$H44*(1+$K44)^MAX(ROUNDUP(IFERROR(DATEDIF($I26-1,X$15+1,"m"),)/12,)-1,)*Index!T$22*(X$15&gt;$I44)*(1-X$12)</f>
        <v>0</v>
      </c>
      <c r="Y44" s="747">
        <f>$G44*$H44*(1+$K44)^MAX(ROUNDUP(IFERROR(DATEDIF($I26-1,Y$15+1,"m"),)/12,)-1,)*Index!U$22*(Y$15&gt;$I44)*(1-Y$12)</f>
        <v>0</v>
      </c>
      <c r="Z44" s="747">
        <f>$G44*$H44*(1+$K44)^MAX(ROUNDUP(IFERROR(DATEDIF($I26-1,Z$15+1,"m"),)/12,)-1,)*Index!V$22*(Z$15&gt;$I44)*(1-Z$12)</f>
        <v>0</v>
      </c>
      <c r="AA44" s="747">
        <f>$G44*$H44*(1+$K44)^MAX(ROUNDUP(IFERROR(DATEDIF($I26-1,AA$15+1,"m"),)/12,)-1,)*Index!W$22*(AA$15&gt;$I44)*(1-AA$12)</f>
        <v>0</v>
      </c>
      <c r="AB44" s="747">
        <f>$G44*$H44*(1+$K44)^MAX(ROUNDUP(IFERROR(DATEDIF($I26-1,AB$15+1,"m"),)/12,)-1,)*Index!X$22*(AB$15&gt;$I44)*(1-AB$12)</f>
        <v>0</v>
      </c>
      <c r="AC44" s="747">
        <f>$G44*$H44*(1+$K44)^MAX(ROUNDUP(IFERROR(DATEDIF($I26-1,AC$15+1,"m"),)/12,)-1,)*Index!Y$22*(AC$15&gt;$I44)*(1-AC$12)</f>
        <v>0</v>
      </c>
      <c r="AD44" s="747">
        <f>$G44*$H44*(1+$K44)^MAX(ROUNDUP(IFERROR(DATEDIF($I26-1,AD$15+1,"m"),)/12,)-1,)*Index!Z$22*(AD$15&gt;$I44)*(1-AD$12)</f>
        <v>0</v>
      </c>
      <c r="AE44" s="747">
        <f>$G44*$H44*(1+$K44)^MAX(ROUNDUP(IFERROR(DATEDIF($I26-1,AE$15+1,"m"),)/12,)-1,)*Index!AA$22*(AE$15&gt;$I44)*(1-AE$12)</f>
        <v>0</v>
      </c>
      <c r="AF44" s="747">
        <f>$G44*$H44*(1+$K44)^MAX(ROUNDUP(IFERROR(DATEDIF($I26-1,AF$15+1,"m"),)/12,)-1,)*Index!AB$22*(AF$15&gt;$I44)*(1-AF$12)</f>
        <v>0</v>
      </c>
      <c r="AG44" s="747">
        <f>$G44*$H44*(1+$K44)^MAX(ROUNDUP(IFERROR(DATEDIF($I26-1,AG$15+1,"m"),)/12,)-1,)*Index!AC$22*(AG$15&gt;$I44)*(1-AG$12)</f>
        <v>0</v>
      </c>
      <c r="AH44" s="747">
        <f>$G44*$H44*(1+$K44)^MAX(ROUNDUP(IFERROR(DATEDIF($I26-1,AH$15+1,"m"),)/12,)-1,)*Index!AD$22*(AH$15&gt;$I44)*(1-AH$12)</f>
        <v>0</v>
      </c>
      <c r="AI44" s="747">
        <f>$G44*$H44*(1+$K44)^MAX(ROUNDUP(IFERROR(DATEDIF($I26-1,AI$15+1,"m"),)/12,)-1,)*Index!AE$22*(AI$15&gt;$I44)*(1-AI$12)</f>
        <v>0</v>
      </c>
      <c r="AJ44" s="747">
        <f>$G44*$H44*(1+$K44)^MAX(ROUNDUP(IFERROR(DATEDIF($I26-1,AJ$15+1,"m"),)/12,)-1,)*Index!AF$22*(AJ$15&gt;$I44)*(1-AJ$12)</f>
        <v>0</v>
      </c>
      <c r="AK44" s="747">
        <f>$G44*$H44*(1+$K44)^MAX(ROUNDUP(IFERROR(DATEDIF($I26-1,AK$15+1,"m"),)/12,)-1,)*Index!AG$22*(AK$15&gt;$I44)*(1-AK$12)</f>
        <v>0</v>
      </c>
      <c r="AL44" s="747">
        <f>$G44*$H44*(1+$K44)^MAX(ROUNDUP(IFERROR(DATEDIF($I26-1,AL$15+1,"m"),)/12,)-1,)*Index!AH$22*(AL$15&gt;$I44)*(1-AL$12)</f>
        <v>0</v>
      </c>
      <c r="AM44" s="747">
        <f>$G44*$H44*(1+$K44)^MAX(ROUNDUP(IFERROR(DATEDIF($I26-1,AM$15+1,"m"),)/12,)-1,)*Index!AI$22*(AM$15&gt;$I44)*(1-AM$12)</f>
        <v>0</v>
      </c>
      <c r="AN44" s="747">
        <f>$G44*$H44*(1+$K44)^MAX(ROUNDUP(IFERROR(DATEDIF($I26-1,AN$15+1,"m"),)/12,)-1,)*Index!AJ$22*(AN$15&gt;$I44)*(1-AN$12)</f>
        <v>0</v>
      </c>
      <c r="AO44" s="747">
        <f>$G44*$H44*(1+$K44)^MAX(ROUNDUP(IFERROR(DATEDIF($I26-1,AO$15+1,"m"),)/12,)-1,)*Index!AK$22*(AO$15&gt;$I44)*(1-AO$12)</f>
        <v>0</v>
      </c>
      <c r="AP44" s="747">
        <f>$G44*$H44*(1+$K44)^MAX(ROUNDUP(IFERROR(DATEDIF($I26-1,AP$15+1,"m"),)/12,)-1,)*Index!AL$22*(AP$15&gt;$I44)*(1-AP$12)</f>
        <v>0</v>
      </c>
      <c r="AQ44" s="747">
        <f>$G44*$H44*(1+$K44)^MAX(ROUNDUP(IFERROR(DATEDIF($I26-1,AQ$15+1,"m"),)/12,)-1,)*Index!AM$22*(AQ$15&gt;$I44)*(1-AQ$12)</f>
        <v>0</v>
      </c>
      <c r="AR44" s="747">
        <f>$G44*$H44*(1+$K44)^MAX(ROUNDUP(IFERROR(DATEDIF($I26-1,AR$15+1,"m"),)/12,)-1,)*Index!AN$22*(AR$15&gt;$I44)*(1-AR$12)</f>
        <v>0</v>
      </c>
      <c r="AS44" s="747">
        <f>$G44*$H44*(1+$K44)^MAX(ROUNDUP(IFERROR(DATEDIF($I26-1,AS$15+1,"m"),)/12,)-1,)*Index!AO$22*(AS$15&gt;$I44)*(1-AS$12)</f>
        <v>0</v>
      </c>
      <c r="AT44" s="747">
        <f>$G44*$H44*(1+$K44)^MAX(ROUNDUP(IFERROR(DATEDIF($I26-1,AT$15+1,"m"),)/12,)-1,)*Index!AP$22*(AT$15&gt;$I44)*(1-AT$12)</f>
        <v>0</v>
      </c>
      <c r="AU44" s="747">
        <f>$G44*$H44*(1+$K44)^MAX(ROUNDUP(IFERROR(DATEDIF($I26-1,AU$15+1,"m"),)/12,)-1,)*Index!AQ$22*(AU$15&gt;$I44)*(1-AU$12)</f>
        <v>0</v>
      </c>
      <c r="AV44" s="747">
        <f>$G44*$H44*(1+$K44)^MAX(ROUNDUP(IFERROR(DATEDIF($I26-1,AV$15+1,"m"),)/12,)-1,)*Index!AR$22*(AV$15&gt;$I44)*(1-AV$12)</f>
        <v>0</v>
      </c>
      <c r="AW44" s="747">
        <f>$G44*$H44*(1+$K44)^MAX(ROUNDUP(IFERROR(DATEDIF($I26-1,AW$15+1,"m"),)/12,)-1,)*Index!AS$22*(AW$15&gt;$I44)*(1-AW$12)</f>
        <v>133460.27809203733</v>
      </c>
      <c r="AX44" s="747">
        <f>$G44*$H44*(1+$K44)^MAX(ROUNDUP(IFERROR(DATEDIF($I26-1,AX$15+1,"m"),)/12,)-1,)*Index!AT$22*(AX$15&gt;$I44)*(1-AX$12)</f>
        <v>136796.78504433823</v>
      </c>
      <c r="AY44" s="747">
        <f>$G44*$H44*(1+$K44)^MAX(ROUNDUP(IFERROR(DATEDIF($I26-1,AY$15+1,"m"),)/12,)-1,)*Index!AU$22*(AY$15&gt;$I44)*(1-AY$12)</f>
        <v>136796.78504433823</v>
      </c>
      <c r="AZ44" s="747">
        <f>$G44*$H44*(1+$K44)^MAX(ROUNDUP(IFERROR(DATEDIF($I26-1,AZ$15+1,"m"),)/12,)-1,)*Index!AV$22*(AZ$15&gt;$I44)*(1-AZ$12)</f>
        <v>136796.78504433823</v>
      </c>
      <c r="BA44" s="747">
        <f>$G44*$H44*(1+$K44)^MAX(ROUNDUP(IFERROR(DATEDIF($I26-1,BA$15+1,"m"),)/12,)-1,)*Index!AW$22*(BA$15&gt;$I44)*(1-BA$12)</f>
        <v>136796.78504433823</v>
      </c>
      <c r="BB44" s="747">
        <f>$G44*$H44*(1+$K44)^MAX(ROUNDUP(IFERROR(DATEDIF($I26-1,BB$15+1,"m"),)/12,)-1,)*Index!AX$22*(BB$15&gt;$I44)*(1-BB$12)</f>
        <v>136796.78504433823</v>
      </c>
      <c r="BC44" s="747">
        <f>$G44*$H44*(1+$K44)^MAX(ROUNDUP(IFERROR(DATEDIF($I26-1,BC$15+1,"m"),)/12,)-1,)*Index!AY$22*(BC$15&gt;$I44)*(1-BC$12)</f>
        <v>136796.78504433823</v>
      </c>
      <c r="BD44" s="747">
        <f>$G44*$H44*(1+$K44)^MAX(ROUNDUP(IFERROR(DATEDIF($I26-1,BD$15+1,"m"),)/12,)-1,)*Index!AZ$22*(BD$15&gt;$I44)*(1-BD$12)</f>
        <v>136796.78504433823</v>
      </c>
      <c r="BE44" s="747">
        <f>$G44*$H44*(1+$K44)^MAX(ROUNDUP(IFERROR(DATEDIF($I26-1,BE$15+1,"m"),)/12,)-1,)*Index!BA$22*(BE$15&gt;$I44)*(1-BE$12)</f>
        <v>136796.78504433823</v>
      </c>
      <c r="BF44" s="747">
        <f>$G44*$H44*(1+$K44)^MAX(ROUNDUP(IFERROR(DATEDIF($I26-1,BF$15+1,"m"),)/12,)-1,)*Index!BB$22*(BF$15&gt;$I44)*(1-BF$12)</f>
        <v>136796.78504433823</v>
      </c>
      <c r="BG44" s="747">
        <f>$G44*$H44*(1+$K44)^MAX(ROUNDUP(IFERROR(DATEDIF($I26-1,BG$15+1,"m"),)/12,)-1,)*Index!BC$22*(BG$15&gt;$I44)*(1-BG$12)</f>
        <v>136796.78504433823</v>
      </c>
      <c r="BH44" s="747">
        <f>$G44*$H44*(1+$K44)^MAX(ROUNDUP(IFERROR(DATEDIF($I26-1,BH$15+1,"m"),)/12,)-1,)*Index!BD$22*(BH$15&gt;$I44)*(1-BH$12)</f>
        <v>136796.78504433823</v>
      </c>
      <c r="BI44" s="747">
        <f>$G44*$H44*(1+$K44)^MAX(ROUNDUP(IFERROR(DATEDIF($I26-1,BI$15+1,"m"),)/12,)-1,)*Index!BE$22*(BI$15&gt;$I44)*(1-BI$12)</f>
        <v>136796.78504433823</v>
      </c>
      <c r="BJ44" s="747">
        <f>$G44*$H44*(1+$K44)^MAX(ROUNDUP(IFERROR(DATEDIF($I26-1,BJ$15+1,"m"),)/12,)-1,)*Index!BF$22*(BJ$15&gt;$I44)*(1-BJ$12)</f>
        <v>140216.70467044669</v>
      </c>
      <c r="BK44" s="747">
        <f>$G44*$H44*(1+$K44)^MAX(ROUNDUP(IFERROR(DATEDIF($I26-1,BK$15+1,"m"),)/12,)-1,)*Index!BG$22*(BK$15&gt;$I44)*(1-BK$12)</f>
        <v>140216.70467044669</v>
      </c>
      <c r="BL44" s="747">
        <f>$G44*$H44*(1+$K44)^MAX(ROUNDUP(IFERROR(DATEDIF($I26-1,BL$15+1,"m"),)/12,)-1,)*Index!BH$22*(BL$15&gt;$I44)*(1-BL$12)</f>
        <v>140216.70467044669</v>
      </c>
      <c r="BM44" s="747">
        <f>$G44*$H44*(1+$K44)^MAX(ROUNDUP(IFERROR(DATEDIF($I26-1,BM$15+1,"m"),)/12,)-1,)*Index!BI$22*(BM$15&gt;$I44)*(1-BM$12)</f>
        <v>140216.70467044669</v>
      </c>
      <c r="BN44" s="747">
        <f>$G44*$H44*(1+$K44)^MAX(ROUNDUP(IFERROR(DATEDIF($I26-1,BN$15+1,"m"),)/12,)-1,)*Index!BJ$22*(BN$15&gt;$I44)*(1-BN$12)</f>
        <v>140216.70467044669</v>
      </c>
      <c r="BO44" s="747">
        <f>$G44*$H44*(1+$K44)^MAX(ROUNDUP(IFERROR(DATEDIF($I26-1,BO$15+1,"m"),)/12,)-1,)*Index!BK$22*(BO$15&gt;$I44)*(1-BO$12)</f>
        <v>140216.70467044669</v>
      </c>
      <c r="BP44" s="747">
        <f>$G44*$H44*(1+$K44)^MAX(ROUNDUP(IFERROR(DATEDIF($I26-1,BP$15+1,"m"),)/12,)-1,)*Index!BL$22*(BP$15&gt;$I44)*(1-BP$12)</f>
        <v>140216.70467044669</v>
      </c>
      <c r="BQ44" s="747">
        <f>$G44*$H44*(1+$K44)^MAX(ROUNDUP(IFERROR(DATEDIF($I26-1,BQ$15+1,"m"),)/12,)-1,)*Index!BM$22*(BQ$15&gt;$I44)*(1-BQ$12)</f>
        <v>140216.70467044669</v>
      </c>
      <c r="BR44" s="747">
        <f>$G44*$H44*(1+$K44)^MAX(ROUNDUP(IFERROR(DATEDIF($I26-1,BR$15+1,"m"),)/12,)-1,)*Index!BN$22*(BR$15&gt;$I44)*(1-BR$12)</f>
        <v>140216.70467044669</v>
      </c>
      <c r="BS44" s="747">
        <f>$G44*$H44*(1+$K44)^MAX(ROUNDUP(IFERROR(DATEDIF($I26-1,BS$15+1,"m"),)/12,)-1,)*Index!BO$22*(BS$15&gt;$I44)*(1-BS$12)</f>
        <v>140216.70467044669</v>
      </c>
      <c r="BT44" s="747">
        <f>$G44*$H44*(1+$K44)^MAX(ROUNDUP(IFERROR(DATEDIF($I26-1,BT$15+1,"m"),)/12,)-1,)*Index!BP$22*(BT$15&gt;$I44)*(1-BT$12)</f>
        <v>140216.70467044669</v>
      </c>
      <c r="BU44" s="747">
        <f>$G44*$H44*(1+$K44)^MAX(ROUNDUP(IFERROR(DATEDIF($I26-1,BU$15+1,"m"),)/12,)-1,)*Index!BQ$22*(BU$15&gt;$I44)*(1-BU$12)</f>
        <v>140216.70467044669</v>
      </c>
      <c r="BV44" s="747">
        <f>$G44*$H44*(1+$K44)^MAX(ROUNDUP(IFERROR(DATEDIF($I26-1,BV$15+1,"m"),)/12,)-1,)*Index!BR$22*(BV$15&gt;$I44)*(1-BV$12)</f>
        <v>143722.12228720787</v>
      </c>
      <c r="BW44" s="747">
        <f>$G44*$H44*(1+$K44)^MAX(ROUNDUP(IFERROR(DATEDIF($I26-1,BW$15+1,"m"),)/12,)-1,)*Index!BS$22*(BW$15&gt;$I44)*(1-BW$12)</f>
        <v>143722.12228720787</v>
      </c>
      <c r="BX44" s="747">
        <f>$G44*$H44*(1+$K44)^MAX(ROUNDUP(IFERROR(DATEDIF($I26-1,BX$15+1,"m"),)/12,)-1,)*Index!BT$22*(BX$15&gt;$I44)*(1-BX$12)</f>
        <v>143722.12228720787</v>
      </c>
      <c r="BY44" s="747">
        <f>$G44*$H44*(1+$K44)^MAX(ROUNDUP(IFERROR(DATEDIF($I26-1,BY$15+1,"m"),)/12,)-1,)*Index!BU$22*(BY$15&gt;$I44)*(1-BY$12)</f>
        <v>143722.12228720787</v>
      </c>
      <c r="BZ44" s="747">
        <f>$G44*$H44*(1+$K44)^MAX(ROUNDUP(IFERROR(DATEDIF($I26-1,BZ$15+1,"m"),)/12,)-1,)*Index!BV$22*(BZ$15&gt;$I44)*(1-BZ$12)</f>
        <v>143722.12228720787</v>
      </c>
      <c r="CA44" s="747">
        <f>$G44*$H44*(1+$K44)^MAX(ROUNDUP(IFERROR(DATEDIF($I26-1,CA$15+1,"m"),)/12,)-1,)*Index!BW$22*(CA$15&gt;$I44)*(1-CA$12)</f>
        <v>143722.12228720787</v>
      </c>
      <c r="CB44" s="747">
        <f>$G44*$H44*(1+$K44)^MAX(ROUNDUP(IFERROR(DATEDIF($I26-1,CB$15+1,"m"),)/12,)-1,)*Index!BX$22*(CB$15&gt;$I44)*(1-CB$12)</f>
        <v>143722.12228720787</v>
      </c>
      <c r="CC44" s="747">
        <f>$G44*$H44*(1+$K44)^MAX(ROUNDUP(IFERROR(DATEDIF($I26-1,CC$15+1,"m"),)/12,)-1,)*Index!BY$22*(CC$15&gt;$I44)*(1-CC$12)</f>
        <v>143722.12228720787</v>
      </c>
      <c r="CD44" s="747">
        <f>$G44*$H44*(1+$K44)^MAX(ROUNDUP(IFERROR(DATEDIF($I26-1,CD$15+1,"m"),)/12,)-1,)*Index!BZ$22*(CD$15&gt;$I44)*(1-CD$12)</f>
        <v>143722.12228720787</v>
      </c>
      <c r="CE44" s="747">
        <f>$G44*$H44*(1+$K44)^MAX(ROUNDUP(IFERROR(DATEDIF($I26-1,CE$15+1,"m"),)/12,)-1,)*Index!CA$22*(CE$15&gt;$I44)*(1-CE$12)</f>
        <v>143722.12228720787</v>
      </c>
      <c r="CF44" s="747">
        <f>$G44*$H44*(1+$K44)^MAX(ROUNDUP(IFERROR(DATEDIF($I26-1,CF$15+1,"m"),)/12,)-1,)*Index!CB$22*(CF$15&gt;$I44)*(1-CF$12)</f>
        <v>143722.12228720787</v>
      </c>
      <c r="CG44" s="747">
        <f>$G44*$H44*(1+$K44)^MAX(ROUNDUP(IFERROR(DATEDIF($I26-1,CG$15+1,"m"),)/12,)-1,)*Index!CC$22*(CG$15&gt;$I44)*(1-CG$12)</f>
        <v>143722.12228720787</v>
      </c>
      <c r="CH44" s="747">
        <f>$G44*$H44*(1+$K44)^MAX(ROUNDUP(IFERROR(DATEDIF($I26-1,CH$15+1,"m"),)/12,)-1,)*Index!CD$22*(CH$15&gt;$I44)*(1-CH$12)</f>
        <v>147315.17534438806</v>
      </c>
      <c r="CI44" s="747">
        <f>$G44*$H44*(1+$K44)^MAX(ROUNDUP(IFERROR(DATEDIF($I26-1,CI$15+1,"m"),)/12,)-1,)*Index!CE$22*(CI$15&gt;$I44)*(1-CI$12)</f>
        <v>147315.17534438806</v>
      </c>
      <c r="CJ44" s="747">
        <f>$G44*$H44*(1+$K44)^MAX(ROUNDUP(IFERROR(DATEDIF($I26-1,CJ$15+1,"m"),)/12,)-1,)*Index!CF$22*(CJ$15&gt;$I44)*(1-CJ$12)</f>
        <v>147315.17534438806</v>
      </c>
      <c r="CK44" s="747">
        <f>$G44*$H44*(1+$K44)^MAX(ROUNDUP(IFERROR(DATEDIF($I26-1,CK$15+1,"m"),)/12,)-1,)*Index!CG$22*(CK$15&gt;$I44)*(1-CK$12)</f>
        <v>147315.17534438806</v>
      </c>
      <c r="CL44" s="747">
        <f>$G44*$H44*(1+$K44)^MAX(ROUNDUP(IFERROR(DATEDIF($I26-1,CL$15+1,"m"),)/12,)-1,)*Index!CH$22*(CL$15&gt;$I44)*(1-CL$12)</f>
        <v>147315.17534438806</v>
      </c>
      <c r="CM44" s="747">
        <f>$G44*$H44*(1+$K44)^MAX(ROUNDUP(IFERROR(DATEDIF($I26-1,CM$15+1,"m"),)/12,)-1,)*Index!CI$22*(CM$15&gt;$I44)*(1-CM$12)</f>
        <v>147315.17534438806</v>
      </c>
      <c r="CN44" s="747">
        <f>$G44*$H44*(1+$K44)^MAX(ROUNDUP(IFERROR(DATEDIF($I26-1,CN$15+1,"m"),)/12,)-1,)*Index!CJ$22*(CN$15&gt;$I44)*(1-CN$12)</f>
        <v>147315.17534438806</v>
      </c>
      <c r="CO44" s="747">
        <f>$G44*$H44*(1+$K44)^MAX(ROUNDUP(IFERROR(DATEDIF($I26-1,CO$15+1,"m"),)/12,)-1,)*Index!CK$22*(CO$15&gt;$I44)*(1-CO$12)</f>
        <v>147315.17534438806</v>
      </c>
      <c r="CP44" s="747">
        <f>$G44*$H44*(1+$K44)^MAX(ROUNDUP(IFERROR(DATEDIF($I26-1,CP$15+1,"m"),)/12,)-1,)*Index!CL$22*(CP$15&gt;$I44)*(1-CP$12)</f>
        <v>147315.17534438806</v>
      </c>
      <c r="CQ44" s="747">
        <f>$G44*$H44*(1+$K44)^MAX(ROUNDUP(IFERROR(DATEDIF($I26-1,CQ$15+1,"m"),)/12,)-1,)*Index!CM$22*(CQ$15&gt;$I44)*(1-CQ$12)</f>
        <v>147315.17534438806</v>
      </c>
      <c r="CR44" s="747">
        <f>$G44*$H44*(1+$K44)^MAX(ROUNDUP(IFERROR(DATEDIF($I26-1,CR$15+1,"m"),)/12,)-1,)*Index!CN$22*(CR$15&gt;$I44)*(1-CR$12)</f>
        <v>147315.17534438806</v>
      </c>
      <c r="CS44" s="747">
        <f>$G44*$H44*(1+$K44)^MAX(ROUNDUP(IFERROR(DATEDIF($I26-1,CS$15+1,"m"),)/12,)-1,)*Index!CO$22*(CS$15&gt;$I44)*(1-CS$12)</f>
        <v>147315.17534438806</v>
      </c>
      <c r="CT44" s="747">
        <f>$G44*$H44*(1+$K44)^MAX(ROUNDUP(IFERROR(DATEDIF($I26-1,CT$15+1,"m"),)/12,)-1,)*Index!CP$22*(CT$15&gt;$I44)*(1-CT$12)</f>
        <v>150998.05472799772</v>
      </c>
      <c r="CU44" s="747">
        <f>$G44*$H44*(1+$K44)^MAX(ROUNDUP(IFERROR(DATEDIF($I26-1,CU$15+1,"m"),)/12,)-1,)*Index!CQ$22*(CU$15&gt;$I44)*(1-CU$12)</f>
        <v>150998.05472799772</v>
      </c>
      <c r="CV44" s="747">
        <f>$G44*$H44*(1+$K44)^MAX(ROUNDUP(IFERROR(DATEDIF($I26-1,CV$15+1,"m"),)/12,)-1,)*Index!CR$22*(CV$15&gt;$I44)*(1-CV$12)</f>
        <v>150998.05472799772</v>
      </c>
      <c r="CW44" s="747">
        <f>$G44*$H44*(1+$K44)^MAX(ROUNDUP(IFERROR(DATEDIF($I26-1,CW$15+1,"m"),)/12,)-1,)*Index!CS$22*(CW$15&gt;$I44)*(1-CW$12)</f>
        <v>150998.05472799772</v>
      </c>
      <c r="CX44" s="747">
        <f>$G44*$H44*(1+$K44)^MAX(ROUNDUP(IFERROR(DATEDIF($I26-1,CX$15+1,"m"),)/12,)-1,)*Index!CT$22*(CX$15&gt;$I44)*(1-CX$12)</f>
        <v>150998.05472799772</v>
      </c>
      <c r="CY44" s="747">
        <f>$G44*$H44*(1+$K44)^MAX(ROUNDUP(IFERROR(DATEDIF($I26-1,CY$15+1,"m"),)/12,)-1,)*Index!CU$22*(CY$15&gt;$I44)*(1-CY$12)</f>
        <v>150998.05472799772</v>
      </c>
      <c r="CZ44" s="747">
        <f>$G44*$H44*(1+$K44)^MAX(ROUNDUP(IFERROR(DATEDIF($I26-1,CZ$15+1,"m"),)/12,)-1,)*Index!CV$22*(CZ$15&gt;$I44)*(1-CZ$12)</f>
        <v>150998.05472799772</v>
      </c>
      <c r="DA44" s="747">
        <f>$G44*$H44*(1+$K44)^MAX(ROUNDUP(IFERROR(DATEDIF($I26-1,DA$15+1,"m"),)/12,)-1,)*Index!CW$22*(DA$15&gt;$I44)*(1-DA$12)</f>
        <v>150998.05472799772</v>
      </c>
      <c r="DB44" s="747">
        <f>$G44*$H44*(1+$K44)^MAX(ROUNDUP(IFERROR(DATEDIF($I26-1,DB$15+1,"m"),)/12,)-1,)*Index!CX$22*(DB$15&gt;$I44)*(1-DB$12)</f>
        <v>150998.05472799772</v>
      </c>
      <c r="DC44" s="747">
        <f>$G44*$H44*(1+$K44)^MAX(ROUNDUP(IFERROR(DATEDIF($I26-1,DC$15+1,"m"),)/12,)-1,)*Index!CY$22*(DC$15&gt;$I44)*(1-DC$12)</f>
        <v>150998.05472799772</v>
      </c>
      <c r="DD44" s="747">
        <f>$G44*$H44*(1+$K44)^MAX(ROUNDUP(IFERROR(DATEDIF($I26-1,DD$15+1,"m"),)/12,)-1,)*Index!CZ$22*(DD$15&gt;$I44)*(1-DD$12)</f>
        <v>150998.05472799772</v>
      </c>
      <c r="DE44" s="747">
        <f>$G44*$H44*(1+$K44)^MAX(ROUNDUP(IFERROR(DATEDIF($I26-1,DE$15+1,"m"),)/12,)-1,)*Index!DA$22*(DE$15&gt;$I44)*(1-DE$12)</f>
        <v>150998.05472799772</v>
      </c>
      <c r="DF44" s="747">
        <f>$G44*$H44*(1+$K44)^MAX(ROUNDUP(IFERROR(DATEDIF($I26-1,DF$15+1,"m"),)/12,)-1,)*Index!DB$22*(DF$15&gt;$I44)*(1-DF$12)</f>
        <v>154773.00609619767</v>
      </c>
      <c r="DG44" s="747">
        <f>$G44*$H44*(1+$K44)^MAX(ROUNDUP(IFERROR(DATEDIF($I26-1,DG$15+1,"m"),)/12,)-1,)*Index!DC$22*(DG$15&gt;$I44)*(1-DG$12)</f>
        <v>154773.00609619767</v>
      </c>
      <c r="DH44" s="747">
        <f>$G44*$H44*(1+$K44)^MAX(ROUNDUP(IFERROR(DATEDIF($I26-1,DH$15+1,"m"),)/12,)-1,)*Index!DD$22*(DH$15&gt;$I44)*(1-DH$12)</f>
        <v>154773.00609619767</v>
      </c>
      <c r="DI44" s="747">
        <f>$G44*$H44*(1+$K44)^MAX(ROUNDUP(IFERROR(DATEDIF($I26-1,DI$15+1,"m"),)/12,)-1,)*Index!DE$22*(DI$15&gt;$I44)*(1-DI$12)</f>
        <v>154773.00609619767</v>
      </c>
      <c r="DJ44" s="747">
        <f>$G44*$H44*(1+$K44)^MAX(ROUNDUP(IFERROR(DATEDIF($I26-1,DJ$15+1,"m"),)/12,)-1,)*Index!DF$22*(DJ$15&gt;$I44)*(1-DJ$12)</f>
        <v>154773.00609619767</v>
      </c>
      <c r="DK44" s="747">
        <f>$G44*$H44*(1+$K44)^MAX(ROUNDUP(IFERROR(DATEDIF($I26-1,DK$15+1,"m"),)/12,)-1,)*Index!DG$22*(DK$15&gt;$I44)*(1-DK$12)</f>
        <v>154773.00609619767</v>
      </c>
      <c r="DL44" s="747">
        <f>$G44*$H44*(1+$K44)^MAX(ROUNDUP(IFERROR(DATEDIF($I26-1,DL$15+1,"m"),)/12,)-1,)*Index!DH$22*(DL$15&gt;$I44)*(1-DL$12)</f>
        <v>154773.00609619767</v>
      </c>
      <c r="DM44" s="747">
        <f>$G44*$H44*(1+$K44)^MAX(ROUNDUP(IFERROR(DATEDIF($I26-1,DM$15+1,"m"),)/12,)-1,)*Index!DI$22*(DM$15&gt;$I44)*(1-DM$12)</f>
        <v>154773.00609619767</v>
      </c>
      <c r="DN44" s="747">
        <f>$G44*$H44*(1+$K44)^MAX(ROUNDUP(IFERROR(DATEDIF($I26-1,DN$15+1,"m"),)/12,)-1,)*Index!DJ$22*(DN$15&gt;$I44)*(1-DN$12)</f>
        <v>154773.00609619767</v>
      </c>
      <c r="DO44" s="747">
        <f>$G44*$H44*(1+$K44)^MAX(ROUNDUP(IFERROR(DATEDIF($I26-1,DO$15+1,"m"),)/12,)-1,)*Index!DK$22*(DO$15&gt;$I44)*(1-DO$12)</f>
        <v>154773.00609619767</v>
      </c>
      <c r="DP44" s="747">
        <f>$G44*$H44*(1+$K44)^MAX(ROUNDUP(IFERROR(DATEDIF($I26-1,DP$15+1,"m"),)/12,)-1,)*Index!DL$22*(DP$15&gt;$I44)*(1-DP$12)</f>
        <v>154773.00609619767</v>
      </c>
      <c r="DQ44" s="747">
        <f>$G44*$H44*(1+$K44)^MAX(ROUNDUP(IFERROR(DATEDIF($I26-1,DQ$15+1,"m"),)/12,)-1,)*Index!DM$22*(DQ$15&gt;$I44)*(1-DQ$12)</f>
        <v>154773.00609619767</v>
      </c>
      <c r="DR44" s="747">
        <f>$G44*$H44*(1+$K44)^MAX(ROUNDUP(IFERROR(DATEDIF($I26-1,DR$15+1,"m"),)/12,)-1,)*Index!DN$22*(DR$15&gt;$I44)*(1-DR$12)</f>
        <v>158642.3312486026</v>
      </c>
      <c r="DS44" s="747">
        <f>$G44*$H44*(1+$K44)^MAX(ROUNDUP(IFERROR(DATEDIF($I26-1,DS$15+1,"m"),)/12,)-1,)*Index!DO$22*(DS$15&gt;$I44)*(1-DS$12)</f>
        <v>158642.3312486026</v>
      </c>
      <c r="DT44" s="747">
        <f>$G44*$H44*(1+$K44)^MAX(ROUNDUP(IFERROR(DATEDIF($I26-1,DT$15+1,"m"),)/12,)-1,)*Index!DP$22*(DT$15&gt;$I44)*(1-DT$12)</f>
        <v>158642.3312486026</v>
      </c>
      <c r="DU44" s="747">
        <f>$G44*$H44*(1+$K44)^MAX(ROUNDUP(IFERROR(DATEDIF($I26-1,DU$15+1,"m"),)/12,)-1,)*Index!DQ$22*(DU$15&gt;$I44)*(1-DU$12)</f>
        <v>158642.3312486026</v>
      </c>
      <c r="DV44" s="747">
        <f>$G44*$H44*(1+$K44)^MAX(ROUNDUP(IFERROR(DATEDIF($I26-1,DV$15+1,"m"),)/12,)-1,)*Index!DR$22*(DV$15&gt;$I44)*(1-DV$12)</f>
        <v>158642.3312486026</v>
      </c>
      <c r="DW44" s="747">
        <f>$G44*$H44*(1+$K44)^MAX(ROUNDUP(IFERROR(DATEDIF($I26-1,DW$15+1,"m"),)/12,)-1,)*Index!DS$22*(DW$15&gt;$I44)*(1-DW$12)</f>
        <v>158642.3312486026</v>
      </c>
      <c r="DX44" s="747">
        <f>$G44*$H44*(1+$K44)^MAX(ROUNDUP(IFERROR(DATEDIF($I26-1,DX$15+1,"m"),)/12,)-1,)*Index!DT$22*(DX$15&gt;$I44)*(1-DX$12)</f>
        <v>158642.3312486026</v>
      </c>
      <c r="DY44" s="747">
        <f>$G44*$H44*(1+$K44)^MAX(ROUNDUP(IFERROR(DATEDIF($I26-1,DY$15+1,"m"),)/12,)-1,)*Index!DU$22*(DY$15&gt;$I44)*(1-DY$12)</f>
        <v>158642.3312486026</v>
      </c>
      <c r="DZ44" s="747">
        <f>$G44*$H44*(1+$K44)^MAX(ROUNDUP(IFERROR(DATEDIF($I26-1,DZ$15+1,"m"),)/12,)-1,)*Index!DV$22*(DZ$15&gt;$I44)*(1-DZ$12)</f>
        <v>158642.3312486026</v>
      </c>
      <c r="EA44" s="747">
        <f>$G44*$H44*(1+$K44)^MAX(ROUNDUP(IFERROR(DATEDIF($I26-1,EA$15+1,"m"),)/12,)-1,)*Index!DW$22*(EA$15&gt;$I44)*(1-EA$12)</f>
        <v>158642.3312486026</v>
      </c>
      <c r="EB44" s="747">
        <f>$G44*$H44*(1+$K44)^MAX(ROUNDUP(IFERROR(DATEDIF($I26-1,EB$15+1,"m"),)/12,)-1,)*Index!DX$22*(EB$15&gt;$I44)*(1-EB$12)</f>
        <v>158642.3312486026</v>
      </c>
      <c r="EC44" s="747">
        <f>$G44*$H44*(1+$K44)^MAX(ROUNDUP(IFERROR(DATEDIF($I26-1,EC$15+1,"m"),)/12,)-1,)*Index!DY$22*(EC$15&gt;$I44)*(1-EC$12)</f>
        <v>158642.3312486026</v>
      </c>
      <c r="ED44" s="747">
        <f>$G44*$H44*(1+$K44)^MAX(ROUNDUP(IFERROR(DATEDIF($I26-1,ED$15+1,"m"),)/12,)-1,)*Index!DZ$22*(ED$15&gt;$I44)*(1-ED$12)</f>
        <v>162608.38952981765</v>
      </c>
      <c r="EE44" s="747">
        <f>$G44*$H44*(1+$K44)^MAX(ROUNDUP(IFERROR(DATEDIF($I26-1,EE$15+1,"m"),)/12,)-1,)*Index!EA$22*(EE$15&gt;$I44)*(1-EE$12)</f>
        <v>162608.38952981765</v>
      </c>
      <c r="EF44" s="747">
        <f>$G44*$H44*(1+$K44)^MAX(ROUNDUP(IFERROR(DATEDIF($I26-1,EF$15+1,"m"),)/12,)-1,)*Index!EB$22*(EF$15&gt;$I44)*(1-EF$12)</f>
        <v>162608.38952981765</v>
      </c>
      <c r="EG44" s="747">
        <f>$G44*$H44*(1+$K44)^MAX(ROUNDUP(IFERROR(DATEDIF($I26-1,EG$15+1,"m"),)/12,)-1,)*Index!EC$22*(EG$15&gt;$I44)*(1-EG$12)</f>
        <v>0</v>
      </c>
      <c r="EH44" s="747">
        <f>$G44*$H44*(1+$K44)^MAX(ROUNDUP(IFERROR(DATEDIF($I26-1,EH$15+1,"m"),)/12,)-1,)*Index!ED$22*(EH$15&gt;$I44)*(1-EH$12)</f>
        <v>0</v>
      </c>
      <c r="EI44" s="747">
        <f>$G44*$H44*(1+$K44)^MAX(ROUNDUP(IFERROR(DATEDIF($I26-1,EI$15+1,"m"),)/12,)-1,)*Index!EE$22*(EI$15&gt;$I44)*(1-EI$12)</f>
        <v>0</v>
      </c>
      <c r="EJ44" s="747">
        <f>$G44*$H44*(1+$K44)^MAX(ROUNDUP(IFERROR(DATEDIF($I26-1,EJ$15+1,"m"),)/12,)-1,)*Index!EF$22*(EJ$15&gt;$I44)*(1-EJ$12)</f>
        <v>0</v>
      </c>
      <c r="EK44" s="747">
        <f>$G44*$H44*(1+$K44)^MAX(ROUNDUP(IFERROR(DATEDIF($I26-1,EK$15+1,"m"),)/12,)-1,)*Index!EG$22*(EK$15&gt;$I44)*(1-EK$12)</f>
        <v>0</v>
      </c>
      <c r="EL44" s="747">
        <f>$G44*$H44*(1+$K44)^MAX(ROUNDUP(IFERROR(DATEDIF($I26-1,EL$15+1,"m"),)/12,)-1,)*Index!EH$22*(EL$15&gt;$I44)*(1-EL$12)</f>
        <v>0</v>
      </c>
      <c r="EM44" s="747">
        <f>$G44*$H44*(1+$K44)^MAX(ROUNDUP(IFERROR(DATEDIF($I26-1,EM$15+1,"m"),)/12,)-1,)*Index!EI$22*(EM$15&gt;$I44)*(1-EM$12)</f>
        <v>0</v>
      </c>
      <c r="EN44" s="747">
        <f>$G44*$H44*(1+$K44)^MAX(ROUNDUP(IFERROR(DATEDIF($I26-1,EN$15+1,"m"),)/12,)-1,)*Index!EJ$22*(EN$15&gt;$I44)*(1-EN$12)</f>
        <v>0</v>
      </c>
      <c r="EO44" s="747">
        <f>$G44*$H44*(1+$K44)^MAX(ROUNDUP(IFERROR(DATEDIF($I26-1,EO$15+1,"m"),)/12,)-1,)*Index!EK$22*(EO$15&gt;$I44)*(1-EO$12)</f>
        <v>0</v>
      </c>
      <c r="EP44" s="747">
        <f>$G44*$H44*(1+$K44)^MAX(ROUNDUP(IFERROR(DATEDIF($I26-1,EP$15+1,"m"),)/12,)-1,)*Index!EL$22*(EP$15&gt;$I44)*(1-EP$12)</f>
        <v>0</v>
      </c>
      <c r="EQ44" s="747">
        <f>$G44*$H44*(1+$K44)^MAX(ROUNDUP(IFERROR(DATEDIF($I26-1,EQ$15+1,"m"),)/12,)-1,)*Index!EM$22*(EQ$15&gt;$I44)*(1-EQ$12)</f>
        <v>0</v>
      </c>
      <c r="ER44" s="747">
        <f>$G44*$H44*(1+$K44)^MAX(ROUNDUP(IFERROR(DATEDIF($I26-1,ER$15+1,"m"),)/12,)-1,)*Index!EN$22*(ER$15&gt;$I44)*(1-ER$12)</f>
        <v>0</v>
      </c>
      <c r="ES44" s="747">
        <f>$G44*$H44*(1+$K44)^MAX(ROUNDUP(IFERROR(DATEDIF($I26-1,ES$15+1,"m"),)/12,)-1,)*Index!EO$22*(ES$15&gt;$I44)*(1-ES$12)</f>
        <v>0</v>
      </c>
      <c r="ET44" s="747">
        <f>$G44*$H44*(1+$K44)^MAX(ROUNDUP(IFERROR(DATEDIF($I26-1,ET$15+1,"m"),)/12,)-1,)*Index!EP$22*(ET$15&gt;$I44)*(1-ET$12)</f>
        <v>0</v>
      </c>
      <c r="EU44" s="747">
        <f>$G44*$H44*(1+$K44)^MAX(ROUNDUP(IFERROR(DATEDIF($I26-1,EU$15+1,"m"),)/12,)-1,)*Index!EQ$22*(EU$15&gt;$I44)*(1-EU$12)</f>
        <v>0</v>
      </c>
    </row>
    <row r="45" spans="3:151" ht="11.25" customHeight="1">
      <c r="C45" s="735"/>
      <c r="D45" s="743">
        <f t="shared" si="11"/>
        <v>2</v>
      </c>
      <c r="E45" s="704" t="str">
        <f t="shared" si="11"/>
        <v>쿠팡</v>
      </c>
      <c r="F45" s="704" t="str">
        <f t="shared" si="11"/>
        <v>상온창고</v>
      </c>
      <c r="G45" s="752" cm="1">
        <f t="array" ref="G45">SUMPRODUCT(('Rent-roll'!$E45='A&amp;R'!$V$26:$V$32)*('A&amp;R'!$AB$26:$AB$32))/1000</f>
        <v>57.698001860542107</v>
      </c>
      <c r="H45" s="744">
        <f t="shared" si="12"/>
        <v>2185.56</v>
      </c>
      <c r="I45" s="745">
        <f t="shared" si="13"/>
        <v>49064</v>
      </c>
      <c r="J45" s="745"/>
      <c r="K45" s="754">
        <f t="shared" ref="K45:K51" si="16">K27</f>
        <v>2.5000000000000001E-2</v>
      </c>
      <c r="L45" s="746"/>
      <c r="M45" s="722"/>
      <c r="N45" s="747">
        <f t="shared" si="15"/>
        <v>4851512.2357425578</v>
      </c>
      <c r="O45" s="733"/>
      <c r="P45" s="747">
        <f>$G45*$H45*(1+$K45)^MAX(ROUNDUP(IFERROR(DATEDIF($I27-1,P$15+1,"m"),)/12,)-1,)*Index!L$22*(P$15&gt;$I45)*(1-P$12)</f>
        <v>0</v>
      </c>
      <c r="Q45" s="747">
        <f>$G45*$H45*(1+$K45)^MAX(ROUNDUP(IFERROR(DATEDIF($I27-1,Q$15+1,"m"),)/12,)-1,)*Index!M$22*(Q$15&gt;$I45)*(1-Q$12)</f>
        <v>0</v>
      </c>
      <c r="R45" s="747">
        <f>$G45*$H45*(1+$K45)^MAX(ROUNDUP(IFERROR(DATEDIF($I27-1,R$15+1,"m"),)/12,)-1,)*Index!N$22*(R$15&gt;$I45)*(1-R$12)</f>
        <v>0</v>
      </c>
      <c r="S45" s="747">
        <f>$G45*$H45*(1+$K45)^MAX(ROUNDUP(IFERROR(DATEDIF($I27-1,S$15+1,"m"),)/12,)-1,)*Index!O$22*(S$15&gt;$I45)*(1-S$12)</f>
        <v>0</v>
      </c>
      <c r="T45" s="747">
        <f>$G45*$H45*(1+$K45)^MAX(ROUNDUP(IFERROR(DATEDIF($I27-1,T$15+1,"m"),)/12,)-1,)*Index!P$22*(T$15&gt;$I45)*(1-T$12)</f>
        <v>0</v>
      </c>
      <c r="U45" s="747">
        <f>$G45*$H45*(1+$K45)^MAX(ROUNDUP(IFERROR(DATEDIF($I27-1,U$15+1,"m"),)/12,)-1,)*Index!Q$22*(U$15&gt;$I45)*(1-U$12)</f>
        <v>0</v>
      </c>
      <c r="V45" s="747">
        <f>$G45*$H45*(1+$K45)^MAX(ROUNDUP(IFERROR(DATEDIF($I27-1,V$15+1,"m"),)/12,)-1,)*Index!R$22*(V$15&gt;$I45)*(1-V$12)</f>
        <v>0</v>
      </c>
      <c r="W45" s="747">
        <f>$G45*$H45*(1+$K45)^MAX(ROUNDUP(IFERROR(DATEDIF($I27-1,W$15+1,"m"),)/12,)-1,)*Index!S$22*(W$15&gt;$I45)*(1-W$12)</f>
        <v>0</v>
      </c>
      <c r="X45" s="747">
        <f>$G45*$H45*(1+$K45)^MAX(ROUNDUP(IFERROR(DATEDIF($I27-1,X$15+1,"m"),)/12,)-1,)*Index!T$22*(X$15&gt;$I45)*(1-X$12)</f>
        <v>0</v>
      </c>
      <c r="Y45" s="747">
        <f>$G45*$H45*(1+$K45)^MAX(ROUNDUP(IFERROR(DATEDIF($I27-1,Y$15+1,"m"),)/12,)-1,)*Index!U$22*(Y$15&gt;$I45)*(1-Y$12)</f>
        <v>0</v>
      </c>
      <c r="Z45" s="747">
        <f>$G45*$H45*(1+$K45)^MAX(ROUNDUP(IFERROR(DATEDIF($I27-1,Z$15+1,"m"),)/12,)-1,)*Index!V$22*(Z$15&gt;$I45)*(1-Z$12)</f>
        <v>0</v>
      </c>
      <c r="AA45" s="747">
        <f>$G45*$H45*(1+$K45)^MAX(ROUNDUP(IFERROR(DATEDIF($I27-1,AA$15+1,"m"),)/12,)-1,)*Index!W$22*(AA$15&gt;$I45)*(1-AA$12)</f>
        <v>0</v>
      </c>
      <c r="AB45" s="747">
        <f>$G45*$H45*(1+$K45)^MAX(ROUNDUP(IFERROR(DATEDIF($I27-1,AB$15+1,"m"),)/12,)-1,)*Index!X$22*(AB$15&gt;$I45)*(1-AB$12)</f>
        <v>0</v>
      </c>
      <c r="AC45" s="747">
        <f>$G45*$H45*(1+$K45)^MAX(ROUNDUP(IFERROR(DATEDIF($I27-1,AC$15+1,"m"),)/12,)-1,)*Index!Y$22*(AC$15&gt;$I45)*(1-AC$12)</f>
        <v>0</v>
      </c>
      <c r="AD45" s="747">
        <f>$G45*$H45*(1+$K45)^MAX(ROUNDUP(IFERROR(DATEDIF($I27-1,AD$15+1,"m"),)/12,)-1,)*Index!Z$22*(AD$15&gt;$I45)*(1-AD$12)</f>
        <v>0</v>
      </c>
      <c r="AE45" s="747">
        <f>$G45*$H45*(1+$K45)^MAX(ROUNDUP(IFERROR(DATEDIF($I27-1,AE$15+1,"m"),)/12,)-1,)*Index!AA$22*(AE$15&gt;$I45)*(1-AE$12)</f>
        <v>0</v>
      </c>
      <c r="AF45" s="747">
        <f>$G45*$H45*(1+$K45)^MAX(ROUNDUP(IFERROR(DATEDIF($I27-1,AF$15+1,"m"),)/12,)-1,)*Index!AB$22*(AF$15&gt;$I45)*(1-AF$12)</f>
        <v>0</v>
      </c>
      <c r="AG45" s="747">
        <f>$G45*$H45*(1+$K45)^MAX(ROUNDUP(IFERROR(DATEDIF($I27-1,AG$15+1,"m"),)/12,)-1,)*Index!AC$22*(AG$15&gt;$I45)*(1-AG$12)</f>
        <v>0</v>
      </c>
      <c r="AH45" s="747">
        <f>$G45*$H45*(1+$K45)^MAX(ROUNDUP(IFERROR(DATEDIF($I27-1,AH$15+1,"m"),)/12,)-1,)*Index!AD$22*(AH$15&gt;$I45)*(1-AH$12)</f>
        <v>0</v>
      </c>
      <c r="AI45" s="747">
        <f>$G45*$H45*(1+$K45)^MAX(ROUNDUP(IFERROR(DATEDIF($I27-1,AI$15+1,"m"),)/12,)-1,)*Index!AE$22*(AI$15&gt;$I45)*(1-AI$12)</f>
        <v>0</v>
      </c>
      <c r="AJ45" s="747">
        <f>$G45*$H45*(1+$K45)^MAX(ROUNDUP(IFERROR(DATEDIF($I27-1,AJ$15+1,"m"),)/12,)-1,)*Index!AF$22*(AJ$15&gt;$I45)*(1-AJ$12)</f>
        <v>0</v>
      </c>
      <c r="AK45" s="747">
        <f>$G45*$H45*(1+$K45)^MAX(ROUNDUP(IFERROR(DATEDIF($I27-1,AK$15+1,"m"),)/12,)-1,)*Index!AG$22*(AK$15&gt;$I45)*(1-AK$12)</f>
        <v>0</v>
      </c>
      <c r="AL45" s="747">
        <f>$G45*$H45*(1+$K45)^MAX(ROUNDUP(IFERROR(DATEDIF($I27-1,AL$15+1,"m"),)/12,)-1,)*Index!AH$22*(AL$15&gt;$I45)*(1-AL$12)</f>
        <v>0</v>
      </c>
      <c r="AM45" s="747">
        <f>$G45*$H45*(1+$K45)^MAX(ROUNDUP(IFERROR(DATEDIF($I27-1,AM$15+1,"m"),)/12,)-1,)*Index!AI$22*(AM$15&gt;$I45)*(1-AM$12)</f>
        <v>0</v>
      </c>
      <c r="AN45" s="747">
        <f>$G45*$H45*(1+$K45)^MAX(ROUNDUP(IFERROR(DATEDIF($I27-1,AN$15+1,"m"),)/12,)-1,)*Index!AJ$22*(AN$15&gt;$I45)*(1-AN$12)</f>
        <v>0</v>
      </c>
      <c r="AO45" s="747">
        <f>$G45*$H45*(1+$K45)^MAX(ROUNDUP(IFERROR(DATEDIF($I27-1,AO$15+1,"m"),)/12,)-1,)*Index!AK$22*(AO$15&gt;$I45)*(1-AO$12)</f>
        <v>0</v>
      </c>
      <c r="AP45" s="747">
        <f>$G45*$H45*(1+$K45)^MAX(ROUNDUP(IFERROR(DATEDIF($I27-1,AP$15+1,"m"),)/12,)-1,)*Index!AL$22*(AP$15&gt;$I45)*(1-AP$12)</f>
        <v>0</v>
      </c>
      <c r="AQ45" s="747">
        <f>$G45*$H45*(1+$K45)^MAX(ROUNDUP(IFERROR(DATEDIF($I27-1,AQ$15+1,"m"),)/12,)-1,)*Index!AM$22*(AQ$15&gt;$I45)*(1-AQ$12)</f>
        <v>0</v>
      </c>
      <c r="AR45" s="747">
        <f>$G45*$H45*(1+$K45)^MAX(ROUNDUP(IFERROR(DATEDIF($I27-1,AR$15+1,"m"),)/12,)-1,)*Index!AN$22*(AR$15&gt;$I45)*(1-AR$12)</f>
        <v>0</v>
      </c>
      <c r="AS45" s="747">
        <f>$G45*$H45*(1+$K45)^MAX(ROUNDUP(IFERROR(DATEDIF($I27-1,AS$15+1,"m"),)/12,)-1,)*Index!AO$22*(AS$15&gt;$I45)*(1-AS$12)</f>
        <v>0</v>
      </c>
      <c r="AT45" s="747">
        <f>$G45*$H45*(1+$K45)^MAX(ROUNDUP(IFERROR(DATEDIF($I27-1,AT$15+1,"m"),)/12,)-1,)*Index!AP$22*(AT$15&gt;$I45)*(1-AT$12)</f>
        <v>0</v>
      </c>
      <c r="AU45" s="747">
        <f>$G45*$H45*(1+$K45)^MAX(ROUNDUP(IFERROR(DATEDIF($I27-1,AU$15+1,"m"),)/12,)-1,)*Index!AQ$22*(AU$15&gt;$I45)*(1-AU$12)</f>
        <v>0</v>
      </c>
      <c r="AV45" s="747">
        <f>$G45*$H45*(1+$K45)^MAX(ROUNDUP(IFERROR(DATEDIF($I27-1,AV$15+1,"m"),)/12,)-1,)*Index!AR$22*(AV$15&gt;$I45)*(1-AV$12)</f>
        <v>0</v>
      </c>
      <c r="AW45" s="747">
        <f>$G45*$H45*(1+$K45)^MAX(ROUNDUP(IFERROR(DATEDIF($I27-1,AW$15+1,"m"),)/12,)-1,)*Index!AS$22*(AW$15&gt;$I45)*(1-AW$12)</f>
        <v>0</v>
      </c>
      <c r="AX45" s="747">
        <f>$G45*$H45*(1+$K45)^MAX(ROUNDUP(IFERROR(DATEDIF($I27-1,AX$15+1,"m"),)/12,)-1,)*Index!AT$22*(AX$15&gt;$I45)*(1-AX$12)</f>
        <v>0</v>
      </c>
      <c r="AY45" s="747">
        <f>$G45*$H45*(1+$K45)^MAX(ROUNDUP(IFERROR(DATEDIF($I27-1,AY$15+1,"m"),)/12,)-1,)*Index!AU$22*(AY$15&gt;$I45)*(1-AY$12)</f>
        <v>0</v>
      </c>
      <c r="AZ45" s="747">
        <f>$G45*$H45*(1+$K45)^MAX(ROUNDUP(IFERROR(DATEDIF($I27-1,AZ$15+1,"m"),)/12,)-1,)*Index!AV$22*(AZ$15&gt;$I45)*(1-AZ$12)</f>
        <v>0</v>
      </c>
      <c r="BA45" s="747">
        <f>$G45*$H45*(1+$K45)^MAX(ROUNDUP(IFERROR(DATEDIF($I27-1,BA$15+1,"m"),)/12,)-1,)*Index!AW$22*(BA$15&gt;$I45)*(1-BA$12)</f>
        <v>0</v>
      </c>
      <c r="BB45" s="747">
        <f>$G45*$H45*(1+$K45)^MAX(ROUNDUP(IFERROR(DATEDIF($I27-1,BB$15+1,"m"),)/12,)-1,)*Index!AX$22*(BB$15&gt;$I45)*(1-BB$12)</f>
        <v>0</v>
      </c>
      <c r="BC45" s="747">
        <f>$G45*$H45*(1+$K45)^MAX(ROUNDUP(IFERROR(DATEDIF($I27-1,BC$15+1,"m"),)/12,)-1,)*Index!AY$22*(BC$15&gt;$I45)*(1-BC$12)</f>
        <v>0</v>
      </c>
      <c r="BD45" s="747">
        <f>$G45*$H45*(1+$K45)^MAX(ROUNDUP(IFERROR(DATEDIF($I27-1,BD$15+1,"m"),)/12,)-1,)*Index!AZ$22*(BD$15&gt;$I45)*(1-BD$12)</f>
        <v>0</v>
      </c>
      <c r="BE45" s="747">
        <f>$G45*$H45*(1+$K45)^MAX(ROUNDUP(IFERROR(DATEDIF($I27-1,BE$15+1,"m"),)/12,)-1,)*Index!BA$22*(BE$15&gt;$I45)*(1-BE$12)</f>
        <v>0</v>
      </c>
      <c r="BF45" s="747">
        <f>$G45*$H45*(1+$K45)^MAX(ROUNDUP(IFERROR(DATEDIF($I27-1,BF$15+1,"m"),)/12,)-1,)*Index!BB$22*(BF$15&gt;$I45)*(1-BF$12)</f>
        <v>0</v>
      </c>
      <c r="BG45" s="747">
        <f>$G45*$H45*(1+$K45)^MAX(ROUNDUP(IFERROR(DATEDIF($I27-1,BG$15+1,"m"),)/12,)-1,)*Index!BC$22*(BG$15&gt;$I45)*(1-BG$12)</f>
        <v>0</v>
      </c>
      <c r="BH45" s="747">
        <f>$G45*$H45*(1+$K45)^MAX(ROUNDUP(IFERROR(DATEDIF($I27-1,BH$15+1,"m"),)/12,)-1,)*Index!BD$22*(BH$15&gt;$I45)*(1-BH$12)</f>
        <v>0</v>
      </c>
      <c r="BI45" s="747">
        <f>$G45*$H45*(1+$K45)^MAX(ROUNDUP(IFERROR(DATEDIF($I27-1,BI$15+1,"m"),)/12,)-1,)*Index!BE$22*(BI$15&gt;$I45)*(1-BI$12)</f>
        <v>0</v>
      </c>
      <c r="BJ45" s="747">
        <f>$G45*$H45*(1+$K45)^MAX(ROUNDUP(IFERROR(DATEDIF($I27-1,BJ$15+1,"m"),)/12,)-1,)*Index!BF$22*(BJ$15&gt;$I45)*(1-BJ$12)</f>
        <v>0</v>
      </c>
      <c r="BK45" s="747">
        <f>$G45*$H45*(1+$K45)^MAX(ROUNDUP(IFERROR(DATEDIF($I27-1,BK$15+1,"m"),)/12,)-1,)*Index!BG$22*(BK$15&gt;$I45)*(1-BK$12)</f>
        <v>0</v>
      </c>
      <c r="BL45" s="747">
        <f>$G45*$H45*(1+$K45)^MAX(ROUNDUP(IFERROR(DATEDIF($I27-1,BL$15+1,"m"),)/12,)-1,)*Index!BH$22*(BL$15&gt;$I45)*(1-BL$12)</f>
        <v>0</v>
      </c>
      <c r="BM45" s="747">
        <f>$G45*$H45*(1+$K45)^MAX(ROUNDUP(IFERROR(DATEDIF($I27-1,BM$15+1,"m"),)/12,)-1,)*Index!BI$22*(BM$15&gt;$I45)*(1-BM$12)</f>
        <v>0</v>
      </c>
      <c r="BN45" s="747">
        <f>$G45*$H45*(1+$K45)^MAX(ROUNDUP(IFERROR(DATEDIF($I27-1,BN$15+1,"m"),)/12,)-1,)*Index!BJ$22*(BN$15&gt;$I45)*(1-BN$12)</f>
        <v>0</v>
      </c>
      <c r="BO45" s="747">
        <f>$G45*$H45*(1+$K45)^MAX(ROUNDUP(IFERROR(DATEDIF($I27-1,BO$15+1,"m"),)/12,)-1,)*Index!BK$22*(BO$15&gt;$I45)*(1-BO$12)</f>
        <v>0</v>
      </c>
      <c r="BP45" s="747">
        <f>$G45*$H45*(1+$K45)^MAX(ROUNDUP(IFERROR(DATEDIF($I27-1,BP$15+1,"m"),)/12,)-1,)*Index!BL$22*(BP$15&gt;$I45)*(1-BP$12)</f>
        <v>0</v>
      </c>
      <c r="BQ45" s="747">
        <f>$G45*$H45*(1+$K45)^MAX(ROUNDUP(IFERROR(DATEDIF($I27-1,BQ$15+1,"m"),)/12,)-1,)*Index!BM$22*(BQ$15&gt;$I45)*(1-BQ$12)</f>
        <v>0</v>
      </c>
      <c r="BR45" s="747">
        <f>$G45*$H45*(1+$K45)^MAX(ROUNDUP(IFERROR(DATEDIF($I27-1,BR$15+1,"m"),)/12,)-1,)*Index!BN$22*(BR$15&gt;$I45)*(1-BR$12)</f>
        <v>0</v>
      </c>
      <c r="BS45" s="747">
        <f>$G45*$H45*(1+$K45)^MAX(ROUNDUP(IFERROR(DATEDIF($I27-1,BS$15+1,"m"),)/12,)-1,)*Index!BO$22*(BS$15&gt;$I45)*(1-BS$12)</f>
        <v>0</v>
      </c>
      <c r="BT45" s="747">
        <f>$G45*$H45*(1+$K45)^MAX(ROUNDUP(IFERROR(DATEDIF($I27-1,BT$15+1,"m"),)/12,)-1,)*Index!BP$22*(BT$15&gt;$I45)*(1-BT$12)</f>
        <v>0</v>
      </c>
      <c r="BU45" s="747">
        <f>$G45*$H45*(1+$K45)^MAX(ROUNDUP(IFERROR(DATEDIF($I27-1,BU$15+1,"m"),)/12,)-1,)*Index!BQ$22*(BU$15&gt;$I45)*(1-BU$12)</f>
        <v>0</v>
      </c>
      <c r="BV45" s="747">
        <f>$G45*$H45*(1+$K45)^MAX(ROUNDUP(IFERROR(DATEDIF($I27-1,BV$15+1,"m"),)/12,)-1,)*Index!BR$22*(BV$15&gt;$I45)*(1-BV$12)</f>
        <v>0</v>
      </c>
      <c r="BW45" s="747">
        <f>$G45*$H45*(1+$K45)^MAX(ROUNDUP(IFERROR(DATEDIF($I27-1,BW$15+1,"m"),)/12,)-1,)*Index!BS$22*(BW$15&gt;$I45)*(1-BW$12)</f>
        <v>0</v>
      </c>
      <c r="BX45" s="747">
        <f>$G45*$H45*(1+$K45)^MAX(ROUNDUP(IFERROR(DATEDIF($I27-1,BX$15+1,"m"),)/12,)-1,)*Index!BT$22*(BX$15&gt;$I45)*(1-BX$12)</f>
        <v>0</v>
      </c>
      <c r="BY45" s="747">
        <f>$G45*$H45*(1+$K45)^MAX(ROUNDUP(IFERROR(DATEDIF($I27-1,BY$15+1,"m"),)/12,)-1,)*Index!BU$22*(BY$15&gt;$I45)*(1-BY$12)</f>
        <v>0</v>
      </c>
      <c r="BZ45" s="747">
        <f>$G45*$H45*(1+$K45)^MAX(ROUNDUP(IFERROR(DATEDIF($I27-1,BZ$15+1,"m"),)/12,)-1,)*Index!BV$22*(BZ$15&gt;$I45)*(1-BZ$12)</f>
        <v>0</v>
      </c>
      <c r="CA45" s="747">
        <f>$G45*$H45*(1+$K45)^MAX(ROUNDUP(IFERROR(DATEDIF($I27-1,CA$15+1,"m"),)/12,)-1,)*Index!BW$22*(CA$15&gt;$I45)*(1-CA$12)</f>
        <v>0</v>
      </c>
      <c r="CB45" s="747">
        <f>$G45*$H45*(1+$K45)^MAX(ROUNDUP(IFERROR(DATEDIF($I27-1,CB$15+1,"m"),)/12,)-1,)*Index!BX$22*(CB$15&gt;$I45)*(1-CB$12)</f>
        <v>0</v>
      </c>
      <c r="CC45" s="747">
        <f>$G45*$H45*(1+$K45)^MAX(ROUNDUP(IFERROR(DATEDIF($I27-1,CC$15+1,"m"),)/12,)-1,)*Index!BY$22*(CC$15&gt;$I45)*(1-CC$12)</f>
        <v>0</v>
      </c>
      <c r="CD45" s="747">
        <f>$G45*$H45*(1+$K45)^MAX(ROUNDUP(IFERROR(DATEDIF($I27-1,CD$15+1,"m"),)/12,)-1,)*Index!BZ$22*(CD$15&gt;$I45)*(1-CD$12)</f>
        <v>0</v>
      </c>
      <c r="CE45" s="747">
        <f>$G45*$H45*(1+$K45)^MAX(ROUNDUP(IFERROR(DATEDIF($I27-1,CE$15+1,"m"),)/12,)-1,)*Index!CA$22*(CE$15&gt;$I45)*(1-CE$12)</f>
        <v>0</v>
      </c>
      <c r="CF45" s="747">
        <f>$G45*$H45*(1+$K45)^MAX(ROUNDUP(IFERROR(DATEDIF($I27-1,CF$15+1,"m"),)/12,)-1,)*Index!CB$22*(CF$15&gt;$I45)*(1-CF$12)</f>
        <v>0</v>
      </c>
      <c r="CG45" s="747">
        <f>$G45*$H45*(1+$K45)^MAX(ROUNDUP(IFERROR(DATEDIF($I27-1,CG$15+1,"m"),)/12,)-1,)*Index!CC$22*(CG$15&gt;$I45)*(1-CG$12)</f>
        <v>0</v>
      </c>
      <c r="CH45" s="747">
        <f>$G45*$H45*(1+$K45)^MAX(ROUNDUP(IFERROR(DATEDIF($I27-1,CH$15+1,"m"),)/12,)-1,)*Index!CD$22*(CH$15&gt;$I45)*(1-CH$12)</f>
        <v>0</v>
      </c>
      <c r="CI45" s="747">
        <f>$G45*$H45*(1+$K45)^MAX(ROUNDUP(IFERROR(DATEDIF($I27-1,CI$15+1,"m"),)/12,)-1,)*Index!CE$22*(CI$15&gt;$I45)*(1-CI$12)</f>
        <v>0</v>
      </c>
      <c r="CJ45" s="747">
        <f>$G45*$H45*(1+$K45)^MAX(ROUNDUP(IFERROR(DATEDIF($I27-1,CJ$15+1,"m"),)/12,)-1,)*Index!CF$22*(CJ$15&gt;$I45)*(1-CJ$12)</f>
        <v>0</v>
      </c>
      <c r="CK45" s="747">
        <f>$G45*$H45*(1+$K45)^MAX(ROUNDUP(IFERROR(DATEDIF($I27-1,CK$15+1,"m"),)/12,)-1,)*Index!CG$22*(CK$15&gt;$I45)*(1-CK$12)</f>
        <v>0</v>
      </c>
      <c r="CL45" s="747">
        <f>$G45*$H45*(1+$K45)^MAX(ROUNDUP(IFERROR(DATEDIF($I27-1,CL$15+1,"m"),)/12,)-1,)*Index!CH$22*(CL$15&gt;$I45)*(1-CL$12)</f>
        <v>0</v>
      </c>
      <c r="CM45" s="747">
        <f>$G45*$H45*(1+$K45)^MAX(ROUNDUP(IFERROR(DATEDIF($I27-1,CM$15+1,"m"),)/12,)-1,)*Index!CI$22*(CM$15&gt;$I45)*(1-CM$12)</f>
        <v>0</v>
      </c>
      <c r="CN45" s="747">
        <f>$G45*$H45*(1+$K45)^MAX(ROUNDUP(IFERROR(DATEDIF($I27-1,CN$15+1,"m"),)/12,)-1,)*Index!CJ$22*(CN$15&gt;$I45)*(1-CN$12)</f>
        <v>0</v>
      </c>
      <c r="CO45" s="747">
        <f>$G45*$H45*(1+$K45)^MAX(ROUNDUP(IFERROR(DATEDIF($I27-1,CO$15+1,"m"),)/12,)-1,)*Index!CK$22*(CO$15&gt;$I45)*(1-CO$12)</f>
        <v>0</v>
      </c>
      <c r="CP45" s="747">
        <f>$G45*$H45*(1+$K45)^MAX(ROUNDUP(IFERROR(DATEDIF($I27-1,CP$15+1,"m"),)/12,)-1,)*Index!CL$22*(CP$15&gt;$I45)*(1-CP$12)</f>
        <v>0</v>
      </c>
      <c r="CQ45" s="747">
        <f>$G45*$H45*(1+$K45)^MAX(ROUNDUP(IFERROR(DATEDIF($I27-1,CQ$15+1,"m"),)/12,)-1,)*Index!CM$22*(CQ$15&gt;$I45)*(1-CQ$12)</f>
        <v>0</v>
      </c>
      <c r="CR45" s="747">
        <f>$G45*$H45*(1+$K45)^MAX(ROUNDUP(IFERROR(DATEDIF($I27-1,CR$15+1,"m"),)/12,)-1,)*Index!CN$22*(CR$15&gt;$I45)*(1-CR$12)</f>
        <v>0</v>
      </c>
      <c r="CS45" s="747">
        <f>$G45*$H45*(1+$K45)^MAX(ROUNDUP(IFERROR(DATEDIF($I27-1,CS$15+1,"m"),)/12,)-1,)*Index!CO$22*(CS$15&gt;$I45)*(1-CS$12)</f>
        <v>0</v>
      </c>
      <c r="CT45" s="747">
        <f>$G45*$H45*(1+$K45)^MAX(ROUNDUP(IFERROR(DATEDIF($I27-1,CT$15+1,"m"),)/12,)-1,)*Index!CP$22*(CT$15&gt;$I45)*(1-CT$12)</f>
        <v>0</v>
      </c>
      <c r="CU45" s="747">
        <f>$G45*$H45*(1+$K45)^MAX(ROUNDUP(IFERROR(DATEDIF($I27-1,CU$15+1,"m"),)/12,)-1,)*Index!CQ$22*(CU$15&gt;$I45)*(1-CU$12)</f>
        <v>0</v>
      </c>
      <c r="CV45" s="747">
        <f>$G45*$H45*(1+$K45)^MAX(ROUNDUP(IFERROR(DATEDIF($I27-1,CV$15+1,"m"),)/12,)-1,)*Index!CR$22*(CV$15&gt;$I45)*(1-CV$12)</f>
        <v>0</v>
      </c>
      <c r="CW45" s="747">
        <f>$G45*$H45*(1+$K45)^MAX(ROUNDUP(IFERROR(DATEDIF($I27-1,CW$15+1,"m"),)/12,)-1,)*Index!CS$22*(CW$15&gt;$I45)*(1-CW$12)</f>
        <v>0</v>
      </c>
      <c r="CX45" s="747">
        <f>$G45*$H45*(1+$K45)^MAX(ROUNDUP(IFERROR(DATEDIF($I27-1,CX$15+1,"m"),)/12,)-1,)*Index!CT$22*(CX$15&gt;$I45)*(1-CX$12)</f>
        <v>0</v>
      </c>
      <c r="CY45" s="747">
        <f>$G45*$H45*(1+$K45)^MAX(ROUNDUP(IFERROR(DATEDIF($I27-1,CY$15+1,"m"),)/12,)-1,)*Index!CU$22*(CY$15&gt;$I45)*(1-CY$12)</f>
        <v>0</v>
      </c>
      <c r="CZ45" s="747">
        <f>$G45*$H45*(1+$K45)^MAX(ROUNDUP(IFERROR(DATEDIF($I27-1,CZ$15+1,"m"),)/12,)-1,)*Index!CV$22*(CZ$15&gt;$I45)*(1-CZ$12)</f>
        <v>0</v>
      </c>
      <c r="DA45" s="747">
        <f>$G45*$H45*(1+$K45)^MAX(ROUNDUP(IFERROR(DATEDIF($I27-1,DA$15+1,"m"),)/12,)-1,)*Index!CW$22*(DA$15&gt;$I45)*(1-DA$12)</f>
        <v>0</v>
      </c>
      <c r="DB45" s="747">
        <f>$G45*$H45*(1+$K45)^MAX(ROUNDUP(IFERROR(DATEDIF($I27-1,DB$15+1,"m"),)/12,)-1,)*Index!CX$22*(DB$15&gt;$I45)*(1-DB$12)</f>
        <v>0</v>
      </c>
      <c r="DC45" s="747">
        <f>$G45*$H45*(1+$K45)^MAX(ROUNDUP(IFERROR(DATEDIF($I27-1,DC$15+1,"m"),)/12,)-1,)*Index!CY$22*(DC$15&gt;$I45)*(1-DC$12)</f>
        <v>157484.67391333118</v>
      </c>
      <c r="DD45" s="747">
        <f>$G45*$H45*(1+$K45)^MAX(ROUNDUP(IFERROR(DATEDIF($I27-1,DD$15+1,"m"),)/12,)-1,)*Index!CZ$22*(DD$15&gt;$I45)*(1-DD$12)</f>
        <v>157484.67391333118</v>
      </c>
      <c r="DE45" s="747">
        <f>$G45*$H45*(1+$K45)^MAX(ROUNDUP(IFERROR(DATEDIF($I27-1,DE$15+1,"m"),)/12,)-1,)*Index!DA$22*(DE$15&gt;$I45)*(1-DE$12)</f>
        <v>157484.67391333118</v>
      </c>
      <c r="DF45" s="747">
        <f>$G45*$H45*(1+$K45)^MAX(ROUNDUP(IFERROR(DATEDIF($I27-1,DF$15+1,"m"),)/12,)-1,)*Index!DB$22*(DF$15&gt;$I45)*(1-DF$12)</f>
        <v>157484.67391333118</v>
      </c>
      <c r="DG45" s="747">
        <f>$G45*$H45*(1+$K45)^MAX(ROUNDUP(IFERROR(DATEDIF($I27-1,DG$15+1,"m"),)/12,)-1,)*Index!DC$22*(DG$15&gt;$I45)*(1-DG$12)</f>
        <v>157484.67391333118</v>
      </c>
      <c r="DH45" s="747">
        <f>$G45*$H45*(1+$K45)^MAX(ROUNDUP(IFERROR(DATEDIF($I27-1,DH$15+1,"m"),)/12,)-1,)*Index!DD$22*(DH$15&gt;$I45)*(1-DH$12)</f>
        <v>157484.67391333118</v>
      </c>
      <c r="DI45" s="747">
        <f>$G45*$H45*(1+$K45)^MAX(ROUNDUP(IFERROR(DATEDIF($I27-1,DI$15+1,"m"),)/12,)-1,)*Index!DE$22*(DI$15&gt;$I45)*(1-DI$12)</f>
        <v>157484.67391333118</v>
      </c>
      <c r="DJ45" s="747">
        <f>$G45*$H45*(1+$K45)^MAX(ROUNDUP(IFERROR(DATEDIF($I27-1,DJ$15+1,"m"),)/12,)-1,)*Index!DF$22*(DJ$15&gt;$I45)*(1-DJ$12)</f>
        <v>157484.67391333118</v>
      </c>
      <c r="DK45" s="747">
        <f>$G45*$H45*(1+$K45)^MAX(ROUNDUP(IFERROR(DATEDIF($I27-1,DK$15+1,"m"),)/12,)-1,)*Index!DG$22*(DK$15&gt;$I45)*(1-DK$12)</f>
        <v>161421.79076116445</v>
      </c>
      <c r="DL45" s="747">
        <f>$G45*$H45*(1+$K45)^MAX(ROUNDUP(IFERROR(DATEDIF($I27-1,DL$15+1,"m"),)/12,)-1,)*Index!DH$22*(DL$15&gt;$I45)*(1-DL$12)</f>
        <v>161421.79076116445</v>
      </c>
      <c r="DM45" s="747">
        <f>$G45*$H45*(1+$K45)^MAX(ROUNDUP(IFERROR(DATEDIF($I27-1,DM$15+1,"m"),)/12,)-1,)*Index!DI$22*(DM$15&gt;$I45)*(1-DM$12)</f>
        <v>161421.79076116445</v>
      </c>
      <c r="DN45" s="747">
        <f>$G45*$H45*(1+$K45)^MAX(ROUNDUP(IFERROR(DATEDIF($I27-1,DN$15+1,"m"),)/12,)-1,)*Index!DJ$22*(DN$15&gt;$I45)*(1-DN$12)</f>
        <v>161421.79076116445</v>
      </c>
      <c r="DO45" s="747">
        <f>$G45*$H45*(1+$K45)^MAX(ROUNDUP(IFERROR(DATEDIF($I27-1,DO$15+1,"m"),)/12,)-1,)*Index!DK$22*(DO$15&gt;$I45)*(1-DO$12)</f>
        <v>161421.79076116445</v>
      </c>
      <c r="DP45" s="747">
        <f>$G45*$H45*(1+$K45)^MAX(ROUNDUP(IFERROR(DATEDIF($I27-1,DP$15+1,"m"),)/12,)-1,)*Index!DL$22*(DP$15&gt;$I45)*(1-DP$12)</f>
        <v>161421.79076116445</v>
      </c>
      <c r="DQ45" s="747">
        <f>$G45*$H45*(1+$K45)^MAX(ROUNDUP(IFERROR(DATEDIF($I27-1,DQ$15+1,"m"),)/12,)-1,)*Index!DM$22*(DQ$15&gt;$I45)*(1-DQ$12)</f>
        <v>161421.79076116445</v>
      </c>
      <c r="DR45" s="747">
        <f>$G45*$H45*(1+$K45)^MAX(ROUNDUP(IFERROR(DATEDIF($I27-1,DR$15+1,"m"),)/12,)-1,)*Index!DN$22*(DR$15&gt;$I45)*(1-DR$12)</f>
        <v>161421.79076116445</v>
      </c>
      <c r="DS45" s="747">
        <f>$G45*$H45*(1+$K45)^MAX(ROUNDUP(IFERROR(DATEDIF($I27-1,DS$15+1,"m"),)/12,)-1,)*Index!DO$22*(DS$15&gt;$I45)*(1-DS$12)</f>
        <v>161421.79076116445</v>
      </c>
      <c r="DT45" s="747">
        <f>$G45*$H45*(1+$K45)^MAX(ROUNDUP(IFERROR(DATEDIF($I27-1,DT$15+1,"m"),)/12,)-1,)*Index!DP$22*(DT$15&gt;$I45)*(1-DT$12)</f>
        <v>161421.79076116445</v>
      </c>
      <c r="DU45" s="747">
        <f>$G45*$H45*(1+$K45)^MAX(ROUNDUP(IFERROR(DATEDIF($I27-1,DU$15+1,"m"),)/12,)-1,)*Index!DQ$22*(DU$15&gt;$I45)*(1-DU$12)</f>
        <v>161421.79076116445</v>
      </c>
      <c r="DV45" s="747">
        <f>$G45*$H45*(1+$K45)^MAX(ROUNDUP(IFERROR(DATEDIF($I27-1,DV$15+1,"m"),)/12,)-1,)*Index!DR$22*(DV$15&gt;$I45)*(1-DV$12)</f>
        <v>161421.79076116445</v>
      </c>
      <c r="DW45" s="747">
        <f>$G45*$H45*(1+$K45)^MAX(ROUNDUP(IFERROR(DATEDIF($I27-1,DW$15+1,"m"),)/12,)-1,)*Index!DS$22*(DW$15&gt;$I45)*(1-DW$12)</f>
        <v>165457.33553019355</v>
      </c>
      <c r="DX45" s="747">
        <f>$G45*$H45*(1+$K45)^MAX(ROUNDUP(IFERROR(DATEDIF($I27-1,DX$15+1,"m"),)/12,)-1,)*Index!DT$22*(DX$15&gt;$I45)*(1-DX$12)</f>
        <v>165457.33553019355</v>
      </c>
      <c r="DY45" s="747">
        <f>$G45*$H45*(1+$K45)^MAX(ROUNDUP(IFERROR(DATEDIF($I27-1,DY$15+1,"m"),)/12,)-1,)*Index!DU$22*(DY$15&gt;$I45)*(1-DY$12)</f>
        <v>165457.33553019355</v>
      </c>
      <c r="DZ45" s="747">
        <f>$G45*$H45*(1+$K45)^MAX(ROUNDUP(IFERROR(DATEDIF($I27-1,DZ$15+1,"m"),)/12,)-1,)*Index!DV$22*(DZ$15&gt;$I45)*(1-DZ$12)</f>
        <v>165457.33553019355</v>
      </c>
      <c r="EA45" s="747">
        <f>$G45*$H45*(1+$K45)^MAX(ROUNDUP(IFERROR(DATEDIF($I27-1,EA$15+1,"m"),)/12,)-1,)*Index!DW$22*(EA$15&gt;$I45)*(1-EA$12)</f>
        <v>165457.33553019355</v>
      </c>
      <c r="EB45" s="747">
        <f>$G45*$H45*(1+$K45)^MAX(ROUNDUP(IFERROR(DATEDIF($I27-1,EB$15+1,"m"),)/12,)-1,)*Index!DX$22*(EB$15&gt;$I45)*(1-EB$12)</f>
        <v>165457.33553019355</v>
      </c>
      <c r="EC45" s="747">
        <f>$G45*$H45*(1+$K45)^MAX(ROUNDUP(IFERROR(DATEDIF($I27-1,EC$15+1,"m"),)/12,)-1,)*Index!DY$22*(EC$15&gt;$I45)*(1-EC$12)</f>
        <v>165457.33553019355</v>
      </c>
      <c r="ED45" s="747">
        <f>$G45*$H45*(1+$K45)^MAX(ROUNDUP(IFERROR(DATEDIF($I27-1,ED$15+1,"m"),)/12,)-1,)*Index!DZ$22*(ED$15&gt;$I45)*(1-ED$12)</f>
        <v>165457.33553019355</v>
      </c>
      <c r="EE45" s="747">
        <f>$G45*$H45*(1+$K45)^MAX(ROUNDUP(IFERROR(DATEDIF($I27-1,EE$15+1,"m"),)/12,)-1,)*Index!EA$22*(EE$15&gt;$I45)*(1-EE$12)</f>
        <v>165457.33553019355</v>
      </c>
      <c r="EF45" s="747">
        <f>$G45*$H45*(1+$K45)^MAX(ROUNDUP(IFERROR(DATEDIF($I27-1,EF$15+1,"m"),)/12,)-1,)*Index!EB$22*(EF$15&gt;$I45)*(1-EF$12)</f>
        <v>165457.33553019355</v>
      </c>
      <c r="EG45" s="747">
        <f>$G45*$H45*(1+$K45)^MAX(ROUNDUP(IFERROR(DATEDIF($I27-1,EG$15+1,"m"),)/12,)-1,)*Index!EC$22*(EG$15&gt;$I45)*(1-EG$12)</f>
        <v>0</v>
      </c>
      <c r="EH45" s="747">
        <f>$G45*$H45*(1+$K45)^MAX(ROUNDUP(IFERROR(DATEDIF($I27-1,EH$15+1,"m"),)/12,)-1,)*Index!ED$22*(EH$15&gt;$I45)*(1-EH$12)</f>
        <v>0</v>
      </c>
      <c r="EI45" s="747">
        <f>$G45*$H45*(1+$K45)^MAX(ROUNDUP(IFERROR(DATEDIF($I27-1,EI$15+1,"m"),)/12,)-1,)*Index!EE$22*(EI$15&gt;$I45)*(1-EI$12)</f>
        <v>0</v>
      </c>
      <c r="EJ45" s="747">
        <f>$G45*$H45*(1+$K45)^MAX(ROUNDUP(IFERROR(DATEDIF($I27-1,EJ$15+1,"m"),)/12,)-1,)*Index!EF$22*(EJ$15&gt;$I45)*(1-EJ$12)</f>
        <v>0</v>
      </c>
      <c r="EK45" s="747">
        <f>$G45*$H45*(1+$K45)^MAX(ROUNDUP(IFERROR(DATEDIF($I27-1,EK$15+1,"m"),)/12,)-1,)*Index!EG$22*(EK$15&gt;$I45)*(1-EK$12)</f>
        <v>0</v>
      </c>
      <c r="EL45" s="747">
        <f>$G45*$H45*(1+$K45)^MAX(ROUNDUP(IFERROR(DATEDIF($I27-1,EL$15+1,"m"),)/12,)-1,)*Index!EH$22*(EL$15&gt;$I45)*(1-EL$12)</f>
        <v>0</v>
      </c>
      <c r="EM45" s="747">
        <f>$G45*$H45*(1+$K45)^MAX(ROUNDUP(IFERROR(DATEDIF($I27-1,EM$15+1,"m"),)/12,)-1,)*Index!EI$22*(EM$15&gt;$I45)*(1-EM$12)</f>
        <v>0</v>
      </c>
      <c r="EN45" s="747">
        <f>$G45*$H45*(1+$K45)^MAX(ROUNDUP(IFERROR(DATEDIF($I27-1,EN$15+1,"m"),)/12,)-1,)*Index!EJ$22*(EN$15&gt;$I45)*(1-EN$12)</f>
        <v>0</v>
      </c>
      <c r="EO45" s="747">
        <f>$G45*$H45*(1+$K45)^MAX(ROUNDUP(IFERROR(DATEDIF($I27-1,EO$15+1,"m"),)/12,)-1,)*Index!EK$22*(EO$15&gt;$I45)*(1-EO$12)</f>
        <v>0</v>
      </c>
      <c r="EP45" s="747">
        <f>$G45*$H45*(1+$K45)^MAX(ROUNDUP(IFERROR(DATEDIF($I27-1,EP$15+1,"m"),)/12,)-1,)*Index!EL$22*(EP$15&gt;$I45)*(1-EP$12)</f>
        <v>0</v>
      </c>
      <c r="EQ45" s="747">
        <f>$G45*$H45*(1+$K45)^MAX(ROUNDUP(IFERROR(DATEDIF($I27-1,EQ$15+1,"m"),)/12,)-1,)*Index!EM$22*(EQ$15&gt;$I45)*(1-EQ$12)</f>
        <v>0</v>
      </c>
      <c r="ER45" s="747">
        <f>$G45*$H45*(1+$K45)^MAX(ROUNDUP(IFERROR(DATEDIF($I27-1,ER$15+1,"m"),)/12,)-1,)*Index!EN$22*(ER$15&gt;$I45)*(1-ER$12)</f>
        <v>0</v>
      </c>
      <c r="ES45" s="747">
        <f>$G45*$H45*(1+$K45)^MAX(ROUNDUP(IFERROR(DATEDIF($I27-1,ES$15+1,"m"),)/12,)-1,)*Index!EO$22*(ES$15&gt;$I45)*(1-ES$12)</f>
        <v>0</v>
      </c>
      <c r="ET45" s="747">
        <f>$G45*$H45*(1+$K45)^MAX(ROUNDUP(IFERROR(DATEDIF($I27-1,ET$15+1,"m"),)/12,)-1,)*Index!EP$22*(ET$15&gt;$I45)*(1-ET$12)</f>
        <v>0</v>
      </c>
      <c r="EU45" s="747">
        <f>$G45*$H45*(1+$K45)^MAX(ROUNDUP(IFERROR(DATEDIF($I27-1,EU$15+1,"m"),)/12,)-1,)*Index!EQ$22*(EU$15&gt;$I45)*(1-EU$12)</f>
        <v>0</v>
      </c>
    </row>
    <row r="46" spans="3:151" ht="11.25" customHeight="1">
      <c r="C46" s="735"/>
      <c r="D46" s="743">
        <f t="shared" si="11"/>
        <v>1</v>
      </c>
      <c r="E46" s="704" t="str">
        <f t="shared" si="11"/>
        <v>지오영</v>
      </c>
      <c r="F46" s="704" t="str">
        <f t="shared" si="11"/>
        <v>상온창고</v>
      </c>
      <c r="G46" s="752" cm="1">
        <f t="array" ref="G46">SUMPRODUCT(('Rent-roll'!$E46='A&amp;R'!$V$26:$V$32)*('A&amp;R'!$AB$26:$AB$32))/1000</f>
        <v>60.350711026906772</v>
      </c>
      <c r="H46" s="744">
        <f t="shared" si="12"/>
        <v>1092.94</v>
      </c>
      <c r="I46" s="745">
        <f t="shared" si="13"/>
        <v>49340</v>
      </c>
      <c r="J46" s="745"/>
      <c r="K46" s="754">
        <f t="shared" si="16"/>
        <v>2.5000000000000001E-2</v>
      </c>
      <c r="L46" s="711"/>
      <c r="M46" s="722"/>
      <c r="N46" s="747">
        <f t="shared" si="15"/>
        <v>1792111.6570216925</v>
      </c>
      <c r="O46" s="733"/>
      <c r="P46" s="747">
        <f>$G46*$H46*(1+$K46)^MAX(ROUNDUP(IFERROR(DATEDIF($I28-1,P$15+1,"m"),)/12,)-1,)*Index!L$22*(P$15&gt;$I46)*(1-P$12)</f>
        <v>0</v>
      </c>
      <c r="Q46" s="747">
        <f>$G46*$H46*(1+$K46)^MAX(ROUNDUP(IFERROR(DATEDIF($I28-1,Q$15+1,"m"),)/12,)-1,)*Index!M$22*(Q$15&gt;$I46)*(1-Q$12)</f>
        <v>0</v>
      </c>
      <c r="R46" s="747">
        <f>$G46*$H46*(1+$K46)^MAX(ROUNDUP(IFERROR(DATEDIF($I28-1,R$15+1,"m"),)/12,)-1,)*Index!N$22*(R$15&gt;$I46)*(1-R$12)</f>
        <v>0</v>
      </c>
      <c r="S46" s="747">
        <f>$G46*$H46*(1+$K46)^MAX(ROUNDUP(IFERROR(DATEDIF($I28-1,S$15+1,"m"),)/12,)-1,)*Index!O$22*(S$15&gt;$I46)*(1-S$12)</f>
        <v>0</v>
      </c>
      <c r="T46" s="747">
        <f>$G46*$H46*(1+$K46)^MAX(ROUNDUP(IFERROR(DATEDIF($I28-1,T$15+1,"m"),)/12,)-1,)*Index!P$22*(T$15&gt;$I46)*(1-T$12)</f>
        <v>0</v>
      </c>
      <c r="U46" s="747">
        <f>$G46*$H46*(1+$K46)^MAX(ROUNDUP(IFERROR(DATEDIF($I28-1,U$15+1,"m"),)/12,)-1,)*Index!Q$22*(U$15&gt;$I46)*(1-U$12)</f>
        <v>0</v>
      </c>
      <c r="V46" s="747">
        <f>$G46*$H46*(1+$K46)^MAX(ROUNDUP(IFERROR(DATEDIF($I28-1,V$15+1,"m"),)/12,)-1,)*Index!R$22*(V$15&gt;$I46)*(1-V$12)</f>
        <v>0</v>
      </c>
      <c r="W46" s="747">
        <f>$G46*$H46*(1+$K46)^MAX(ROUNDUP(IFERROR(DATEDIF($I28-1,W$15+1,"m"),)/12,)-1,)*Index!S$22*(W$15&gt;$I46)*(1-W$12)</f>
        <v>0</v>
      </c>
      <c r="X46" s="747">
        <f>$G46*$H46*(1+$K46)^MAX(ROUNDUP(IFERROR(DATEDIF($I28-1,X$15+1,"m"),)/12,)-1,)*Index!T$22*(X$15&gt;$I46)*(1-X$12)</f>
        <v>0</v>
      </c>
      <c r="Y46" s="747">
        <f>$G46*$H46*(1+$K46)^MAX(ROUNDUP(IFERROR(DATEDIF($I28-1,Y$15+1,"m"),)/12,)-1,)*Index!U$22*(Y$15&gt;$I46)*(1-Y$12)</f>
        <v>0</v>
      </c>
      <c r="Z46" s="747">
        <f>$G46*$H46*(1+$K46)^MAX(ROUNDUP(IFERROR(DATEDIF($I28-1,Z$15+1,"m"),)/12,)-1,)*Index!V$22*(Z$15&gt;$I46)*(1-Z$12)</f>
        <v>0</v>
      </c>
      <c r="AA46" s="747">
        <f>$G46*$H46*(1+$K46)^MAX(ROUNDUP(IFERROR(DATEDIF($I28-1,AA$15+1,"m"),)/12,)-1,)*Index!W$22*(AA$15&gt;$I46)*(1-AA$12)</f>
        <v>0</v>
      </c>
      <c r="AB46" s="747">
        <f>$G46*$H46*(1+$K46)^MAX(ROUNDUP(IFERROR(DATEDIF($I28-1,AB$15+1,"m"),)/12,)-1,)*Index!X$22*(AB$15&gt;$I46)*(1-AB$12)</f>
        <v>0</v>
      </c>
      <c r="AC46" s="747">
        <f>$G46*$H46*(1+$K46)^MAX(ROUNDUP(IFERROR(DATEDIF($I28-1,AC$15+1,"m"),)/12,)-1,)*Index!Y$22*(AC$15&gt;$I46)*(1-AC$12)</f>
        <v>0</v>
      </c>
      <c r="AD46" s="747">
        <f>$G46*$H46*(1+$K46)^MAX(ROUNDUP(IFERROR(DATEDIF($I28-1,AD$15+1,"m"),)/12,)-1,)*Index!Z$22*(AD$15&gt;$I46)*(1-AD$12)</f>
        <v>0</v>
      </c>
      <c r="AE46" s="747">
        <f>$G46*$H46*(1+$K46)^MAX(ROUNDUP(IFERROR(DATEDIF($I28-1,AE$15+1,"m"),)/12,)-1,)*Index!AA$22*(AE$15&gt;$I46)*(1-AE$12)</f>
        <v>0</v>
      </c>
      <c r="AF46" s="747">
        <f>$G46*$H46*(1+$K46)^MAX(ROUNDUP(IFERROR(DATEDIF($I28-1,AF$15+1,"m"),)/12,)-1,)*Index!AB$22*(AF$15&gt;$I46)*(1-AF$12)</f>
        <v>0</v>
      </c>
      <c r="AG46" s="747">
        <f>$G46*$H46*(1+$K46)^MAX(ROUNDUP(IFERROR(DATEDIF($I28-1,AG$15+1,"m"),)/12,)-1,)*Index!AC$22*(AG$15&gt;$I46)*(1-AG$12)</f>
        <v>0</v>
      </c>
      <c r="AH46" s="747">
        <f>$G46*$H46*(1+$K46)^MAX(ROUNDUP(IFERROR(DATEDIF($I28-1,AH$15+1,"m"),)/12,)-1,)*Index!AD$22*(AH$15&gt;$I46)*(1-AH$12)</f>
        <v>0</v>
      </c>
      <c r="AI46" s="747">
        <f>$G46*$H46*(1+$K46)^MAX(ROUNDUP(IFERROR(DATEDIF($I28-1,AI$15+1,"m"),)/12,)-1,)*Index!AE$22*(AI$15&gt;$I46)*(1-AI$12)</f>
        <v>0</v>
      </c>
      <c r="AJ46" s="747">
        <f>$G46*$H46*(1+$K46)^MAX(ROUNDUP(IFERROR(DATEDIF($I28-1,AJ$15+1,"m"),)/12,)-1,)*Index!AF$22*(AJ$15&gt;$I46)*(1-AJ$12)</f>
        <v>0</v>
      </c>
      <c r="AK46" s="747">
        <f>$G46*$H46*(1+$K46)^MAX(ROUNDUP(IFERROR(DATEDIF($I28-1,AK$15+1,"m"),)/12,)-1,)*Index!AG$22*(AK$15&gt;$I46)*(1-AK$12)</f>
        <v>0</v>
      </c>
      <c r="AL46" s="747">
        <f>$G46*$H46*(1+$K46)^MAX(ROUNDUP(IFERROR(DATEDIF($I28-1,AL$15+1,"m"),)/12,)-1,)*Index!AH$22*(AL$15&gt;$I46)*(1-AL$12)</f>
        <v>0</v>
      </c>
      <c r="AM46" s="747">
        <f>$G46*$H46*(1+$K46)^MAX(ROUNDUP(IFERROR(DATEDIF($I28-1,AM$15+1,"m"),)/12,)-1,)*Index!AI$22*(AM$15&gt;$I46)*(1-AM$12)</f>
        <v>0</v>
      </c>
      <c r="AN46" s="747">
        <f>$G46*$H46*(1+$K46)^MAX(ROUNDUP(IFERROR(DATEDIF($I28-1,AN$15+1,"m"),)/12,)-1,)*Index!AJ$22*(AN$15&gt;$I46)*(1-AN$12)</f>
        <v>0</v>
      </c>
      <c r="AO46" s="747">
        <f>$G46*$H46*(1+$K46)^MAX(ROUNDUP(IFERROR(DATEDIF($I28-1,AO$15+1,"m"),)/12,)-1,)*Index!AK$22*(AO$15&gt;$I46)*(1-AO$12)</f>
        <v>0</v>
      </c>
      <c r="AP46" s="747">
        <f>$G46*$H46*(1+$K46)^MAX(ROUNDUP(IFERROR(DATEDIF($I28-1,AP$15+1,"m"),)/12,)-1,)*Index!AL$22*(AP$15&gt;$I46)*(1-AP$12)</f>
        <v>0</v>
      </c>
      <c r="AQ46" s="747">
        <f>$G46*$H46*(1+$K46)^MAX(ROUNDUP(IFERROR(DATEDIF($I28-1,AQ$15+1,"m"),)/12,)-1,)*Index!AM$22*(AQ$15&gt;$I46)*(1-AQ$12)</f>
        <v>0</v>
      </c>
      <c r="AR46" s="747">
        <f>$G46*$H46*(1+$K46)^MAX(ROUNDUP(IFERROR(DATEDIF($I28-1,AR$15+1,"m"),)/12,)-1,)*Index!AN$22*(AR$15&gt;$I46)*(1-AR$12)</f>
        <v>0</v>
      </c>
      <c r="AS46" s="747">
        <f>$G46*$H46*(1+$K46)^MAX(ROUNDUP(IFERROR(DATEDIF($I28-1,AS$15+1,"m"),)/12,)-1,)*Index!AO$22*(AS$15&gt;$I46)*(1-AS$12)</f>
        <v>0</v>
      </c>
      <c r="AT46" s="747">
        <f>$G46*$H46*(1+$K46)^MAX(ROUNDUP(IFERROR(DATEDIF($I28-1,AT$15+1,"m"),)/12,)-1,)*Index!AP$22*(AT$15&gt;$I46)*(1-AT$12)</f>
        <v>0</v>
      </c>
      <c r="AU46" s="747">
        <f>$G46*$H46*(1+$K46)^MAX(ROUNDUP(IFERROR(DATEDIF($I28-1,AU$15+1,"m"),)/12,)-1,)*Index!AQ$22*(AU$15&gt;$I46)*(1-AU$12)</f>
        <v>0</v>
      </c>
      <c r="AV46" s="747">
        <f>$G46*$H46*(1+$K46)^MAX(ROUNDUP(IFERROR(DATEDIF($I28-1,AV$15+1,"m"),)/12,)-1,)*Index!AR$22*(AV$15&gt;$I46)*(1-AV$12)</f>
        <v>0</v>
      </c>
      <c r="AW46" s="747">
        <f>$G46*$H46*(1+$K46)^MAX(ROUNDUP(IFERROR(DATEDIF($I28-1,AW$15+1,"m"),)/12,)-1,)*Index!AS$22*(AW$15&gt;$I46)*(1-AW$12)</f>
        <v>0</v>
      </c>
      <c r="AX46" s="747">
        <f>$G46*$H46*(1+$K46)^MAX(ROUNDUP(IFERROR(DATEDIF($I28-1,AX$15+1,"m"),)/12,)-1,)*Index!AT$22*(AX$15&gt;$I46)*(1-AX$12)</f>
        <v>0</v>
      </c>
      <c r="AY46" s="747">
        <f>$G46*$H46*(1+$K46)^MAX(ROUNDUP(IFERROR(DATEDIF($I28-1,AY$15+1,"m"),)/12,)-1,)*Index!AU$22*(AY$15&gt;$I46)*(1-AY$12)</f>
        <v>0</v>
      </c>
      <c r="AZ46" s="747">
        <f>$G46*$H46*(1+$K46)^MAX(ROUNDUP(IFERROR(DATEDIF($I28-1,AZ$15+1,"m"),)/12,)-1,)*Index!AV$22*(AZ$15&gt;$I46)*(1-AZ$12)</f>
        <v>0</v>
      </c>
      <c r="BA46" s="747">
        <f>$G46*$H46*(1+$K46)^MAX(ROUNDUP(IFERROR(DATEDIF($I28-1,BA$15+1,"m"),)/12,)-1,)*Index!AW$22*(BA$15&gt;$I46)*(1-BA$12)</f>
        <v>0</v>
      </c>
      <c r="BB46" s="747">
        <f>$G46*$H46*(1+$K46)^MAX(ROUNDUP(IFERROR(DATEDIF($I28-1,BB$15+1,"m"),)/12,)-1,)*Index!AX$22*(BB$15&gt;$I46)*(1-BB$12)</f>
        <v>0</v>
      </c>
      <c r="BC46" s="747">
        <f>$G46*$H46*(1+$K46)^MAX(ROUNDUP(IFERROR(DATEDIF($I28-1,BC$15+1,"m"),)/12,)-1,)*Index!AY$22*(BC$15&gt;$I46)*(1-BC$12)</f>
        <v>0</v>
      </c>
      <c r="BD46" s="747">
        <f>$G46*$H46*(1+$K46)^MAX(ROUNDUP(IFERROR(DATEDIF($I28-1,BD$15+1,"m"),)/12,)-1,)*Index!AZ$22*(BD$15&gt;$I46)*(1-BD$12)</f>
        <v>0</v>
      </c>
      <c r="BE46" s="747">
        <f>$G46*$H46*(1+$K46)^MAX(ROUNDUP(IFERROR(DATEDIF($I28-1,BE$15+1,"m"),)/12,)-1,)*Index!BA$22*(BE$15&gt;$I46)*(1-BE$12)</f>
        <v>0</v>
      </c>
      <c r="BF46" s="747">
        <f>$G46*$H46*(1+$K46)^MAX(ROUNDUP(IFERROR(DATEDIF($I28-1,BF$15+1,"m"),)/12,)-1,)*Index!BB$22*(BF$15&gt;$I46)*(1-BF$12)</f>
        <v>0</v>
      </c>
      <c r="BG46" s="747">
        <f>$G46*$H46*(1+$K46)^MAX(ROUNDUP(IFERROR(DATEDIF($I28-1,BG$15+1,"m"),)/12,)-1,)*Index!BC$22*(BG$15&gt;$I46)*(1-BG$12)</f>
        <v>0</v>
      </c>
      <c r="BH46" s="747">
        <f>$G46*$H46*(1+$K46)^MAX(ROUNDUP(IFERROR(DATEDIF($I28-1,BH$15+1,"m"),)/12,)-1,)*Index!BD$22*(BH$15&gt;$I46)*(1-BH$12)</f>
        <v>0</v>
      </c>
      <c r="BI46" s="747">
        <f>$G46*$H46*(1+$K46)^MAX(ROUNDUP(IFERROR(DATEDIF($I28-1,BI$15+1,"m"),)/12,)-1,)*Index!BE$22*(BI$15&gt;$I46)*(1-BI$12)</f>
        <v>0</v>
      </c>
      <c r="BJ46" s="747">
        <f>$G46*$H46*(1+$K46)^MAX(ROUNDUP(IFERROR(DATEDIF($I28-1,BJ$15+1,"m"),)/12,)-1,)*Index!BF$22*(BJ$15&gt;$I46)*(1-BJ$12)</f>
        <v>0</v>
      </c>
      <c r="BK46" s="747">
        <f>$G46*$H46*(1+$K46)^MAX(ROUNDUP(IFERROR(DATEDIF($I28-1,BK$15+1,"m"),)/12,)-1,)*Index!BG$22*(BK$15&gt;$I46)*(1-BK$12)</f>
        <v>0</v>
      </c>
      <c r="BL46" s="747">
        <f>$G46*$H46*(1+$K46)^MAX(ROUNDUP(IFERROR(DATEDIF($I28-1,BL$15+1,"m"),)/12,)-1,)*Index!BH$22*(BL$15&gt;$I46)*(1-BL$12)</f>
        <v>0</v>
      </c>
      <c r="BM46" s="747">
        <f>$G46*$H46*(1+$K46)^MAX(ROUNDUP(IFERROR(DATEDIF($I28-1,BM$15+1,"m"),)/12,)-1,)*Index!BI$22*(BM$15&gt;$I46)*(1-BM$12)</f>
        <v>0</v>
      </c>
      <c r="BN46" s="747">
        <f>$G46*$H46*(1+$K46)^MAX(ROUNDUP(IFERROR(DATEDIF($I28-1,BN$15+1,"m"),)/12,)-1,)*Index!BJ$22*(BN$15&gt;$I46)*(1-BN$12)</f>
        <v>0</v>
      </c>
      <c r="BO46" s="747">
        <f>$G46*$H46*(1+$K46)^MAX(ROUNDUP(IFERROR(DATEDIF($I28-1,BO$15+1,"m"),)/12,)-1,)*Index!BK$22*(BO$15&gt;$I46)*(1-BO$12)</f>
        <v>0</v>
      </c>
      <c r="BP46" s="747">
        <f>$G46*$H46*(1+$K46)^MAX(ROUNDUP(IFERROR(DATEDIF($I28-1,BP$15+1,"m"),)/12,)-1,)*Index!BL$22*(BP$15&gt;$I46)*(1-BP$12)</f>
        <v>0</v>
      </c>
      <c r="BQ46" s="747">
        <f>$G46*$H46*(1+$K46)^MAX(ROUNDUP(IFERROR(DATEDIF($I28-1,BQ$15+1,"m"),)/12,)-1,)*Index!BM$22*(BQ$15&gt;$I46)*(1-BQ$12)</f>
        <v>0</v>
      </c>
      <c r="BR46" s="747">
        <f>$G46*$H46*(1+$K46)^MAX(ROUNDUP(IFERROR(DATEDIF($I28-1,BR$15+1,"m"),)/12,)-1,)*Index!BN$22*(BR$15&gt;$I46)*(1-BR$12)</f>
        <v>0</v>
      </c>
      <c r="BS46" s="747">
        <f>$G46*$H46*(1+$K46)^MAX(ROUNDUP(IFERROR(DATEDIF($I28-1,BS$15+1,"m"),)/12,)-1,)*Index!BO$22*(BS$15&gt;$I46)*(1-BS$12)</f>
        <v>0</v>
      </c>
      <c r="BT46" s="747">
        <f>$G46*$H46*(1+$K46)^MAX(ROUNDUP(IFERROR(DATEDIF($I28-1,BT$15+1,"m"),)/12,)-1,)*Index!BP$22*(BT$15&gt;$I46)*(1-BT$12)</f>
        <v>0</v>
      </c>
      <c r="BU46" s="747">
        <f>$G46*$H46*(1+$K46)^MAX(ROUNDUP(IFERROR(DATEDIF($I28-1,BU$15+1,"m"),)/12,)-1,)*Index!BQ$22*(BU$15&gt;$I46)*(1-BU$12)</f>
        <v>0</v>
      </c>
      <c r="BV46" s="747">
        <f>$G46*$H46*(1+$K46)^MAX(ROUNDUP(IFERROR(DATEDIF($I28-1,BV$15+1,"m"),)/12,)-1,)*Index!BR$22*(BV$15&gt;$I46)*(1-BV$12)</f>
        <v>0</v>
      </c>
      <c r="BW46" s="747">
        <f>$G46*$H46*(1+$K46)^MAX(ROUNDUP(IFERROR(DATEDIF($I28-1,BW$15+1,"m"),)/12,)-1,)*Index!BS$22*(BW$15&gt;$I46)*(1-BW$12)</f>
        <v>0</v>
      </c>
      <c r="BX46" s="747">
        <f>$G46*$H46*(1+$K46)^MAX(ROUNDUP(IFERROR(DATEDIF($I28-1,BX$15+1,"m"),)/12,)-1,)*Index!BT$22*(BX$15&gt;$I46)*(1-BX$12)</f>
        <v>0</v>
      </c>
      <c r="BY46" s="747">
        <f>$G46*$H46*(1+$K46)^MAX(ROUNDUP(IFERROR(DATEDIF($I28-1,BY$15+1,"m"),)/12,)-1,)*Index!BU$22*(BY$15&gt;$I46)*(1-BY$12)</f>
        <v>0</v>
      </c>
      <c r="BZ46" s="747">
        <f>$G46*$H46*(1+$K46)^MAX(ROUNDUP(IFERROR(DATEDIF($I28-1,BZ$15+1,"m"),)/12,)-1,)*Index!BV$22*(BZ$15&gt;$I46)*(1-BZ$12)</f>
        <v>0</v>
      </c>
      <c r="CA46" s="747">
        <f>$G46*$H46*(1+$K46)^MAX(ROUNDUP(IFERROR(DATEDIF($I28-1,CA$15+1,"m"),)/12,)-1,)*Index!BW$22*(CA$15&gt;$I46)*(1-CA$12)</f>
        <v>0</v>
      </c>
      <c r="CB46" s="747">
        <f>$G46*$H46*(1+$K46)^MAX(ROUNDUP(IFERROR(DATEDIF($I28-1,CB$15+1,"m"),)/12,)-1,)*Index!BX$22*(CB$15&gt;$I46)*(1-CB$12)</f>
        <v>0</v>
      </c>
      <c r="CC46" s="747">
        <f>$G46*$H46*(1+$K46)^MAX(ROUNDUP(IFERROR(DATEDIF($I28-1,CC$15+1,"m"),)/12,)-1,)*Index!BY$22*(CC$15&gt;$I46)*(1-CC$12)</f>
        <v>0</v>
      </c>
      <c r="CD46" s="747">
        <f>$G46*$H46*(1+$K46)^MAX(ROUNDUP(IFERROR(DATEDIF($I28-1,CD$15+1,"m"),)/12,)-1,)*Index!BZ$22*(CD$15&gt;$I46)*(1-CD$12)</f>
        <v>0</v>
      </c>
      <c r="CE46" s="747">
        <f>$G46*$H46*(1+$K46)^MAX(ROUNDUP(IFERROR(DATEDIF($I28-1,CE$15+1,"m"),)/12,)-1,)*Index!CA$22*(CE$15&gt;$I46)*(1-CE$12)</f>
        <v>0</v>
      </c>
      <c r="CF46" s="747">
        <f>$G46*$H46*(1+$K46)^MAX(ROUNDUP(IFERROR(DATEDIF($I28-1,CF$15+1,"m"),)/12,)-1,)*Index!CB$22*(CF$15&gt;$I46)*(1-CF$12)</f>
        <v>0</v>
      </c>
      <c r="CG46" s="747">
        <f>$G46*$H46*(1+$K46)^MAX(ROUNDUP(IFERROR(DATEDIF($I28-1,CG$15+1,"m"),)/12,)-1,)*Index!CC$22*(CG$15&gt;$I46)*(1-CG$12)</f>
        <v>0</v>
      </c>
      <c r="CH46" s="747">
        <f>$G46*$H46*(1+$K46)^MAX(ROUNDUP(IFERROR(DATEDIF($I28-1,CH$15+1,"m"),)/12,)-1,)*Index!CD$22*(CH$15&gt;$I46)*(1-CH$12)</f>
        <v>0</v>
      </c>
      <c r="CI46" s="747">
        <f>$G46*$H46*(1+$K46)^MAX(ROUNDUP(IFERROR(DATEDIF($I28-1,CI$15+1,"m"),)/12,)-1,)*Index!CE$22*(CI$15&gt;$I46)*(1-CI$12)</f>
        <v>0</v>
      </c>
      <c r="CJ46" s="747">
        <f>$G46*$H46*(1+$K46)^MAX(ROUNDUP(IFERROR(DATEDIF($I28-1,CJ$15+1,"m"),)/12,)-1,)*Index!CF$22*(CJ$15&gt;$I46)*(1-CJ$12)</f>
        <v>0</v>
      </c>
      <c r="CK46" s="747">
        <f>$G46*$H46*(1+$K46)^MAX(ROUNDUP(IFERROR(DATEDIF($I28-1,CK$15+1,"m"),)/12,)-1,)*Index!CG$22*(CK$15&gt;$I46)*(1-CK$12)</f>
        <v>0</v>
      </c>
      <c r="CL46" s="747">
        <f>$G46*$H46*(1+$K46)^MAX(ROUNDUP(IFERROR(DATEDIF($I28-1,CL$15+1,"m"),)/12,)-1,)*Index!CH$22*(CL$15&gt;$I46)*(1-CL$12)</f>
        <v>0</v>
      </c>
      <c r="CM46" s="747">
        <f>$G46*$H46*(1+$K46)^MAX(ROUNDUP(IFERROR(DATEDIF($I28-1,CM$15+1,"m"),)/12,)-1,)*Index!CI$22*(CM$15&gt;$I46)*(1-CM$12)</f>
        <v>0</v>
      </c>
      <c r="CN46" s="747">
        <f>$G46*$H46*(1+$K46)^MAX(ROUNDUP(IFERROR(DATEDIF($I28-1,CN$15+1,"m"),)/12,)-1,)*Index!CJ$22*(CN$15&gt;$I46)*(1-CN$12)</f>
        <v>0</v>
      </c>
      <c r="CO46" s="747">
        <f>$G46*$H46*(1+$K46)^MAX(ROUNDUP(IFERROR(DATEDIF($I28-1,CO$15+1,"m"),)/12,)-1,)*Index!CK$22*(CO$15&gt;$I46)*(1-CO$12)</f>
        <v>0</v>
      </c>
      <c r="CP46" s="747">
        <f>$G46*$H46*(1+$K46)^MAX(ROUNDUP(IFERROR(DATEDIF($I28-1,CP$15+1,"m"),)/12,)-1,)*Index!CL$22*(CP$15&gt;$I46)*(1-CP$12)</f>
        <v>0</v>
      </c>
      <c r="CQ46" s="747">
        <f>$G46*$H46*(1+$K46)^MAX(ROUNDUP(IFERROR(DATEDIF($I28-1,CQ$15+1,"m"),)/12,)-1,)*Index!CM$22*(CQ$15&gt;$I46)*(1-CQ$12)</f>
        <v>0</v>
      </c>
      <c r="CR46" s="747">
        <f>$G46*$H46*(1+$K46)^MAX(ROUNDUP(IFERROR(DATEDIF($I28-1,CR$15+1,"m"),)/12,)-1,)*Index!CN$22*(CR$15&gt;$I46)*(1-CR$12)</f>
        <v>0</v>
      </c>
      <c r="CS46" s="747">
        <f>$G46*$H46*(1+$K46)^MAX(ROUNDUP(IFERROR(DATEDIF($I28-1,CS$15+1,"m"),)/12,)-1,)*Index!CO$22*(CS$15&gt;$I46)*(1-CS$12)</f>
        <v>0</v>
      </c>
      <c r="CT46" s="747">
        <f>$G46*$H46*(1+$K46)^MAX(ROUNDUP(IFERROR(DATEDIF($I28-1,CT$15+1,"m"),)/12,)-1,)*Index!CP$22*(CT$15&gt;$I46)*(1-CT$12)</f>
        <v>0</v>
      </c>
      <c r="CU46" s="747">
        <f>$G46*$H46*(1+$K46)^MAX(ROUNDUP(IFERROR(DATEDIF($I28-1,CU$15+1,"m"),)/12,)-1,)*Index!CQ$22*(CU$15&gt;$I46)*(1-CU$12)</f>
        <v>0</v>
      </c>
      <c r="CV46" s="747">
        <f>$G46*$H46*(1+$K46)^MAX(ROUNDUP(IFERROR(DATEDIF($I28-1,CV$15+1,"m"),)/12,)-1,)*Index!CR$22*(CV$15&gt;$I46)*(1-CV$12)</f>
        <v>0</v>
      </c>
      <c r="CW46" s="747">
        <f>$G46*$H46*(1+$K46)^MAX(ROUNDUP(IFERROR(DATEDIF($I28-1,CW$15+1,"m"),)/12,)-1,)*Index!CS$22*(CW$15&gt;$I46)*(1-CW$12)</f>
        <v>0</v>
      </c>
      <c r="CX46" s="747">
        <f>$G46*$H46*(1+$K46)^MAX(ROUNDUP(IFERROR(DATEDIF($I28-1,CX$15+1,"m"),)/12,)-1,)*Index!CT$22*(CX$15&gt;$I46)*(1-CX$12)</f>
        <v>0</v>
      </c>
      <c r="CY46" s="747">
        <f>$G46*$H46*(1+$K46)^MAX(ROUNDUP(IFERROR(DATEDIF($I28-1,CY$15+1,"m"),)/12,)-1,)*Index!CU$22*(CY$15&gt;$I46)*(1-CY$12)</f>
        <v>0</v>
      </c>
      <c r="CZ46" s="747">
        <f>$G46*$H46*(1+$K46)^MAX(ROUNDUP(IFERROR(DATEDIF($I28-1,CZ$15+1,"m"),)/12,)-1,)*Index!CV$22*(CZ$15&gt;$I46)*(1-CZ$12)</f>
        <v>0</v>
      </c>
      <c r="DA46" s="747">
        <f>$G46*$H46*(1+$K46)^MAX(ROUNDUP(IFERROR(DATEDIF($I28-1,DA$15+1,"m"),)/12,)-1,)*Index!CW$22*(DA$15&gt;$I46)*(1-DA$12)</f>
        <v>0</v>
      </c>
      <c r="DB46" s="747">
        <f>$G46*$H46*(1+$K46)^MAX(ROUNDUP(IFERROR(DATEDIF($I28-1,DB$15+1,"m"),)/12,)-1,)*Index!CX$22*(DB$15&gt;$I46)*(1-DB$12)</f>
        <v>0</v>
      </c>
      <c r="DC46" s="747">
        <f>$G46*$H46*(1+$K46)^MAX(ROUNDUP(IFERROR(DATEDIF($I28-1,DC$15+1,"m"),)/12,)-1,)*Index!CY$22*(DC$15&gt;$I46)*(1-DC$12)</f>
        <v>0</v>
      </c>
      <c r="DD46" s="747">
        <f>$G46*$H46*(1+$K46)^MAX(ROUNDUP(IFERROR(DATEDIF($I28-1,DD$15+1,"m"),)/12,)-1,)*Index!CZ$22*(DD$15&gt;$I46)*(1-DD$12)</f>
        <v>0</v>
      </c>
      <c r="DE46" s="747">
        <f>$G46*$H46*(1+$K46)^MAX(ROUNDUP(IFERROR(DATEDIF($I28-1,DE$15+1,"m"),)/12,)-1,)*Index!DA$22*(DE$15&gt;$I46)*(1-DE$12)</f>
        <v>0</v>
      </c>
      <c r="DF46" s="747">
        <f>$G46*$H46*(1+$K46)^MAX(ROUNDUP(IFERROR(DATEDIF($I28-1,DF$15+1,"m"),)/12,)-1,)*Index!DB$22*(DF$15&gt;$I46)*(1-DF$12)</f>
        <v>0</v>
      </c>
      <c r="DG46" s="747">
        <f>$G46*$H46*(1+$K46)^MAX(ROUNDUP(IFERROR(DATEDIF($I28-1,DG$15+1,"m"),)/12,)-1,)*Index!DC$22*(DG$15&gt;$I46)*(1-DG$12)</f>
        <v>0</v>
      </c>
      <c r="DH46" s="747">
        <f>$G46*$H46*(1+$K46)^MAX(ROUNDUP(IFERROR(DATEDIF($I28-1,DH$15+1,"m"),)/12,)-1,)*Index!DD$22*(DH$15&gt;$I46)*(1-DH$12)</f>
        <v>0</v>
      </c>
      <c r="DI46" s="747">
        <f>$G46*$H46*(1+$K46)^MAX(ROUNDUP(IFERROR(DATEDIF($I28-1,DI$15+1,"m"),)/12,)-1,)*Index!DE$22*(DI$15&gt;$I46)*(1-DI$12)</f>
        <v>0</v>
      </c>
      <c r="DJ46" s="747">
        <f>$G46*$H46*(1+$K46)^MAX(ROUNDUP(IFERROR(DATEDIF($I28-1,DJ$15+1,"m"),)/12,)-1,)*Index!DF$22*(DJ$15&gt;$I46)*(1-DJ$12)</f>
        <v>0</v>
      </c>
      <c r="DK46" s="747">
        <f>$G46*$H46*(1+$K46)^MAX(ROUNDUP(IFERROR(DATEDIF($I28-1,DK$15+1,"m"),)/12,)-1,)*Index!DG$22*(DK$15&gt;$I46)*(1-DK$12)</f>
        <v>0</v>
      </c>
      <c r="DL46" s="747">
        <f>$G46*$H46*(1+$K46)^MAX(ROUNDUP(IFERROR(DATEDIF($I28-1,DL$15+1,"m"),)/12,)-1,)*Index!DH$22*(DL$15&gt;$I46)*(1-DL$12)</f>
        <v>84434.000330821786</v>
      </c>
      <c r="DM46" s="747">
        <f>$G46*$H46*(1+$K46)^MAX(ROUNDUP(IFERROR(DATEDIF($I28-1,DM$15+1,"m"),)/12,)-1,)*Index!DI$22*(DM$15&gt;$I46)*(1-DM$12)</f>
        <v>84434.000330821786</v>
      </c>
      <c r="DN46" s="747">
        <f>$G46*$H46*(1+$K46)^MAX(ROUNDUP(IFERROR(DATEDIF($I28-1,DN$15+1,"m"),)/12,)-1,)*Index!DJ$22*(DN$15&gt;$I46)*(1-DN$12)</f>
        <v>84434.000330821786</v>
      </c>
      <c r="DO46" s="747">
        <f>$G46*$H46*(1+$K46)^MAX(ROUNDUP(IFERROR(DATEDIF($I28-1,DO$15+1,"m"),)/12,)-1,)*Index!DK$22*(DO$15&gt;$I46)*(1-DO$12)</f>
        <v>84434.000330821786</v>
      </c>
      <c r="DP46" s="747">
        <f>$G46*$H46*(1+$K46)^MAX(ROUNDUP(IFERROR(DATEDIF($I28-1,DP$15+1,"m"),)/12,)-1,)*Index!DL$22*(DP$15&gt;$I46)*(1-DP$12)</f>
        <v>84434.000330821786</v>
      </c>
      <c r="DQ46" s="747">
        <f>$G46*$H46*(1+$K46)^MAX(ROUNDUP(IFERROR(DATEDIF($I28-1,DQ$15+1,"m"),)/12,)-1,)*Index!DM$22*(DQ$15&gt;$I46)*(1-DQ$12)</f>
        <v>84434.000330821786</v>
      </c>
      <c r="DR46" s="747">
        <f>$G46*$H46*(1+$K46)^MAX(ROUNDUP(IFERROR(DATEDIF($I28-1,DR$15+1,"m"),)/12,)-1,)*Index!DN$22*(DR$15&gt;$I46)*(1-DR$12)</f>
        <v>84434.000330821786</v>
      </c>
      <c r="DS46" s="747">
        <f>$G46*$H46*(1+$K46)^MAX(ROUNDUP(IFERROR(DATEDIF($I28-1,DS$15+1,"m"),)/12,)-1,)*Index!DO$22*(DS$15&gt;$I46)*(1-DS$12)</f>
        <v>84434.000330821786</v>
      </c>
      <c r="DT46" s="747">
        <f>$G46*$H46*(1+$K46)^MAX(ROUNDUP(IFERROR(DATEDIF($I28-1,DT$15+1,"m"),)/12,)-1,)*Index!DP$22*(DT$15&gt;$I46)*(1-DT$12)</f>
        <v>84434.000330821786</v>
      </c>
      <c r="DU46" s="747">
        <f>$G46*$H46*(1+$K46)^MAX(ROUNDUP(IFERROR(DATEDIF($I28-1,DU$15+1,"m"),)/12,)-1,)*Index!DQ$22*(DU$15&gt;$I46)*(1-DU$12)</f>
        <v>84434.000330821786</v>
      </c>
      <c r="DV46" s="747">
        <f>$G46*$H46*(1+$K46)^MAX(ROUNDUP(IFERROR(DATEDIF($I28-1,DV$15+1,"m"),)/12,)-1,)*Index!DR$22*(DV$15&gt;$I46)*(1-DV$12)</f>
        <v>84434.000330821786</v>
      </c>
      <c r="DW46" s="747">
        <f>$G46*$H46*(1+$K46)^MAX(ROUNDUP(IFERROR(DATEDIF($I28-1,DW$15+1,"m"),)/12,)-1,)*Index!DS$22*(DW$15&gt;$I46)*(1-DW$12)</f>
        <v>84434.000330821786</v>
      </c>
      <c r="DX46" s="747">
        <f>$G46*$H46*(1+$K46)^MAX(ROUNDUP(IFERROR(DATEDIF($I28-1,DX$15+1,"m"),)/12,)-1,)*Index!DT$22*(DX$15&gt;$I46)*(1-DX$12)</f>
        <v>86544.850339092329</v>
      </c>
      <c r="DY46" s="747">
        <f>$G46*$H46*(1+$K46)^MAX(ROUNDUP(IFERROR(DATEDIF($I28-1,DY$15+1,"m"),)/12,)-1,)*Index!DU$22*(DY$15&gt;$I46)*(1-DY$12)</f>
        <v>86544.850339092329</v>
      </c>
      <c r="DZ46" s="747">
        <f>$G46*$H46*(1+$K46)^MAX(ROUNDUP(IFERROR(DATEDIF($I28-1,DZ$15+1,"m"),)/12,)-1,)*Index!DV$22*(DZ$15&gt;$I46)*(1-DZ$12)</f>
        <v>86544.850339092329</v>
      </c>
      <c r="EA46" s="747">
        <f>$G46*$H46*(1+$K46)^MAX(ROUNDUP(IFERROR(DATEDIF($I28-1,EA$15+1,"m"),)/12,)-1,)*Index!DW$22*(EA$15&gt;$I46)*(1-EA$12)</f>
        <v>86544.850339092329</v>
      </c>
      <c r="EB46" s="747">
        <f>$G46*$H46*(1+$K46)^MAX(ROUNDUP(IFERROR(DATEDIF($I28-1,EB$15+1,"m"),)/12,)-1,)*Index!DX$22*(EB$15&gt;$I46)*(1-EB$12)</f>
        <v>86544.850339092329</v>
      </c>
      <c r="EC46" s="747">
        <f>$G46*$H46*(1+$K46)^MAX(ROUNDUP(IFERROR(DATEDIF($I28-1,EC$15+1,"m"),)/12,)-1,)*Index!DY$22*(EC$15&gt;$I46)*(1-EC$12)</f>
        <v>86544.850339092329</v>
      </c>
      <c r="ED46" s="747">
        <f>$G46*$H46*(1+$K46)^MAX(ROUNDUP(IFERROR(DATEDIF($I28-1,ED$15+1,"m"),)/12,)-1,)*Index!DZ$22*(ED$15&gt;$I46)*(1-ED$12)</f>
        <v>86544.850339092329</v>
      </c>
      <c r="EE46" s="747">
        <f>$G46*$H46*(1+$K46)^MAX(ROUNDUP(IFERROR(DATEDIF($I28-1,EE$15+1,"m"),)/12,)-1,)*Index!EA$22*(EE$15&gt;$I46)*(1-EE$12)</f>
        <v>86544.850339092329</v>
      </c>
      <c r="EF46" s="747">
        <f>$G46*$H46*(1+$K46)^MAX(ROUNDUP(IFERROR(DATEDIF($I28-1,EF$15+1,"m"),)/12,)-1,)*Index!EB$22*(EF$15&gt;$I46)*(1-EF$12)</f>
        <v>86544.850339092329</v>
      </c>
      <c r="EG46" s="747">
        <f>$G46*$H46*(1+$K46)^MAX(ROUNDUP(IFERROR(DATEDIF($I28-1,EG$15+1,"m"),)/12,)-1,)*Index!EC$22*(EG$15&gt;$I46)*(1-EG$12)</f>
        <v>0</v>
      </c>
      <c r="EH46" s="747">
        <f>$G46*$H46*(1+$K46)^MAX(ROUNDUP(IFERROR(DATEDIF($I28-1,EH$15+1,"m"),)/12,)-1,)*Index!ED$22*(EH$15&gt;$I46)*(1-EH$12)</f>
        <v>0</v>
      </c>
      <c r="EI46" s="747">
        <f>$G46*$H46*(1+$K46)^MAX(ROUNDUP(IFERROR(DATEDIF($I28-1,EI$15+1,"m"),)/12,)-1,)*Index!EE$22*(EI$15&gt;$I46)*(1-EI$12)</f>
        <v>0</v>
      </c>
      <c r="EJ46" s="747">
        <f>$G46*$H46*(1+$K46)^MAX(ROUNDUP(IFERROR(DATEDIF($I28-1,EJ$15+1,"m"),)/12,)-1,)*Index!EF$22*(EJ$15&gt;$I46)*(1-EJ$12)</f>
        <v>0</v>
      </c>
      <c r="EK46" s="747">
        <f>$G46*$H46*(1+$K46)^MAX(ROUNDUP(IFERROR(DATEDIF($I28-1,EK$15+1,"m"),)/12,)-1,)*Index!EG$22*(EK$15&gt;$I46)*(1-EK$12)</f>
        <v>0</v>
      </c>
      <c r="EL46" s="747">
        <f>$G46*$H46*(1+$K46)^MAX(ROUNDUP(IFERROR(DATEDIF($I28-1,EL$15+1,"m"),)/12,)-1,)*Index!EH$22*(EL$15&gt;$I46)*(1-EL$12)</f>
        <v>0</v>
      </c>
      <c r="EM46" s="747">
        <f>$G46*$H46*(1+$K46)^MAX(ROUNDUP(IFERROR(DATEDIF($I28-1,EM$15+1,"m"),)/12,)-1,)*Index!EI$22*(EM$15&gt;$I46)*(1-EM$12)</f>
        <v>0</v>
      </c>
      <c r="EN46" s="747">
        <f>$G46*$H46*(1+$K46)^MAX(ROUNDUP(IFERROR(DATEDIF($I28-1,EN$15+1,"m"),)/12,)-1,)*Index!EJ$22*(EN$15&gt;$I46)*(1-EN$12)</f>
        <v>0</v>
      </c>
      <c r="EO46" s="747">
        <f>$G46*$H46*(1+$K46)^MAX(ROUNDUP(IFERROR(DATEDIF($I28-1,EO$15+1,"m"),)/12,)-1,)*Index!EK$22*(EO$15&gt;$I46)*(1-EO$12)</f>
        <v>0</v>
      </c>
      <c r="EP46" s="747">
        <f>$G46*$H46*(1+$K46)^MAX(ROUNDUP(IFERROR(DATEDIF($I28-1,EP$15+1,"m"),)/12,)-1,)*Index!EL$22*(EP$15&gt;$I46)*(1-EP$12)</f>
        <v>0</v>
      </c>
      <c r="EQ46" s="747">
        <f>$G46*$H46*(1+$K46)^MAX(ROUNDUP(IFERROR(DATEDIF($I28-1,EQ$15+1,"m"),)/12,)-1,)*Index!EM$22*(EQ$15&gt;$I46)*(1-EQ$12)</f>
        <v>0</v>
      </c>
      <c r="ER46" s="747">
        <f>$G46*$H46*(1+$K46)^MAX(ROUNDUP(IFERROR(DATEDIF($I28-1,ER$15+1,"m"),)/12,)-1,)*Index!EN$22*(ER$15&gt;$I46)*(1-ER$12)</f>
        <v>0</v>
      </c>
      <c r="ES46" s="747">
        <f>$G46*$H46*(1+$K46)^MAX(ROUNDUP(IFERROR(DATEDIF($I28-1,ES$15+1,"m"),)/12,)-1,)*Index!EO$22*(ES$15&gt;$I46)*(1-ES$12)</f>
        <v>0</v>
      </c>
      <c r="ET46" s="747">
        <f>$G46*$H46*(1+$K46)^MAX(ROUNDUP(IFERROR(DATEDIF($I28-1,ET$15+1,"m"),)/12,)-1,)*Index!EP$22*(ET$15&gt;$I46)*(1-ET$12)</f>
        <v>0</v>
      </c>
      <c r="EU46" s="747">
        <f>$G46*$H46*(1+$K46)^MAX(ROUNDUP(IFERROR(DATEDIF($I28-1,EU$15+1,"m"),)/12,)-1,)*Index!EQ$22*(EU$15&gt;$I46)*(1-EU$12)</f>
        <v>0</v>
      </c>
    </row>
    <row r="47" spans="3:151" ht="11.25" customHeight="1">
      <c r="C47" s="735"/>
      <c r="D47" s="743">
        <f t="shared" si="11"/>
        <v>1</v>
      </c>
      <c r="E47" s="704" t="str">
        <f t="shared" si="11"/>
        <v>용마로지스</v>
      </c>
      <c r="F47" s="704" t="str">
        <f t="shared" si="11"/>
        <v>상온창고</v>
      </c>
      <c r="G47" s="752" cm="1">
        <f t="array" ref="G47">SUMPRODUCT(('Rent-roll'!$E47='A&amp;R'!$V$26:$V$32)*('A&amp;R'!$AB$26:$AB$32))/1000</f>
        <v>57.106049143739746</v>
      </c>
      <c r="H47" s="744">
        <f t="shared" si="12"/>
        <v>856.05</v>
      </c>
      <c r="I47" s="745">
        <f t="shared" si="13"/>
        <v>47514</v>
      </c>
      <c r="J47" s="745"/>
      <c r="K47" s="754">
        <f t="shared" si="16"/>
        <v>2.5000000000000001E-2</v>
      </c>
      <c r="L47" s="711"/>
      <c r="M47" s="722">
        <f>BC47/H47*1000</f>
        <v>0</v>
      </c>
      <c r="N47" s="747">
        <f t="shared" si="15"/>
        <v>4834583.3496748107</v>
      </c>
      <c r="O47" s="733"/>
      <c r="P47" s="747">
        <f>$G47*$H47*(1+$K47)^MAX(ROUNDUP(IFERROR(DATEDIF($I29-1,P$15+1,"m"),)/12,)-1,)*Index!L$22*(P$15&gt;$I47)*(1-P$12)</f>
        <v>0</v>
      </c>
      <c r="Q47" s="747">
        <f>$G47*$H47*(1+$K47)^MAX(ROUNDUP(IFERROR(DATEDIF($I29-1,Q$15+1,"m"),)/12,)-1,)*Index!M$22*(Q$15&gt;$I47)*(1-Q$12)</f>
        <v>0</v>
      </c>
      <c r="R47" s="747">
        <f>$G47*$H47*(1+$K47)^MAX(ROUNDUP(IFERROR(DATEDIF($I29-1,R$15+1,"m"),)/12,)-1,)*Index!N$22*(R$15&gt;$I47)*(1-R$12)</f>
        <v>0</v>
      </c>
      <c r="S47" s="747">
        <f>$G47*$H47*(1+$K47)^MAX(ROUNDUP(IFERROR(DATEDIF($I29-1,S$15+1,"m"),)/12,)-1,)*Index!O$22*(S$15&gt;$I47)*(1-S$12)</f>
        <v>0</v>
      </c>
      <c r="T47" s="747">
        <f>$G47*$H47*(1+$K47)^MAX(ROUNDUP(IFERROR(DATEDIF($I29-1,T$15+1,"m"),)/12,)-1,)*Index!P$22*(T$15&gt;$I47)*(1-T$12)</f>
        <v>0</v>
      </c>
      <c r="U47" s="747">
        <f>$G47*$H47*(1+$K47)^MAX(ROUNDUP(IFERROR(DATEDIF($I29-1,U$15+1,"m"),)/12,)-1,)*Index!Q$22*(U$15&gt;$I47)*(1-U$12)</f>
        <v>0</v>
      </c>
      <c r="V47" s="747">
        <f>$G47*$H47*(1+$K47)^MAX(ROUNDUP(IFERROR(DATEDIF($I29-1,V$15+1,"m"),)/12,)-1,)*Index!R$22*(V$15&gt;$I47)*(1-V$12)</f>
        <v>0</v>
      </c>
      <c r="W47" s="747">
        <f>$G47*$H47*(1+$K47)^MAX(ROUNDUP(IFERROR(DATEDIF($I29-1,W$15+1,"m"),)/12,)-1,)*Index!S$22*(W$15&gt;$I47)*(1-W$12)</f>
        <v>0</v>
      </c>
      <c r="X47" s="747">
        <f>$G47*$H47*(1+$K47)^MAX(ROUNDUP(IFERROR(DATEDIF($I29-1,X$15+1,"m"),)/12,)-1,)*Index!T$22*(X$15&gt;$I47)*(1-X$12)</f>
        <v>0</v>
      </c>
      <c r="Y47" s="747">
        <f>$G47*$H47*(1+$K47)^MAX(ROUNDUP(IFERROR(DATEDIF($I29-1,Y$15+1,"m"),)/12,)-1,)*Index!U$22*(Y$15&gt;$I47)*(1-Y$12)</f>
        <v>0</v>
      </c>
      <c r="Z47" s="747">
        <f>$G47*$H47*(1+$K47)^MAX(ROUNDUP(IFERROR(DATEDIF($I29-1,Z$15+1,"m"),)/12,)-1,)*Index!V$22*(Z$15&gt;$I47)*(1-Z$12)</f>
        <v>0</v>
      </c>
      <c r="AA47" s="747">
        <f>$G47*$H47*(1+$K47)^MAX(ROUNDUP(IFERROR(DATEDIF($I29-1,AA$15+1,"m"),)/12,)-1,)*Index!W$22*(AA$15&gt;$I47)*(1-AA$12)</f>
        <v>0</v>
      </c>
      <c r="AB47" s="747">
        <f>$G47*$H47*(1+$K47)^MAX(ROUNDUP(IFERROR(DATEDIF($I29-1,AB$15+1,"m"),)/12,)-1,)*Index!X$22*(AB$15&gt;$I47)*(1-AB$12)</f>
        <v>0</v>
      </c>
      <c r="AC47" s="747">
        <f>$G47*$H47*(1+$K47)^MAX(ROUNDUP(IFERROR(DATEDIF($I29-1,AC$15+1,"m"),)/12,)-1,)*Index!Y$22*(AC$15&gt;$I47)*(1-AC$12)</f>
        <v>0</v>
      </c>
      <c r="AD47" s="747">
        <f>$G47*$H47*(1+$K47)^MAX(ROUNDUP(IFERROR(DATEDIF($I29-1,AD$15+1,"m"),)/12,)-1,)*Index!Z$22*(AD$15&gt;$I47)*(1-AD$12)</f>
        <v>0</v>
      </c>
      <c r="AE47" s="747">
        <f>$G47*$H47*(1+$K47)^MAX(ROUNDUP(IFERROR(DATEDIF($I29-1,AE$15+1,"m"),)/12,)-1,)*Index!AA$22*(AE$15&gt;$I47)*(1-AE$12)</f>
        <v>0</v>
      </c>
      <c r="AF47" s="747">
        <f>$G47*$H47*(1+$K47)^MAX(ROUNDUP(IFERROR(DATEDIF($I29-1,AF$15+1,"m"),)/12,)-1,)*Index!AB$22*(AF$15&gt;$I47)*(1-AF$12)</f>
        <v>0</v>
      </c>
      <c r="AG47" s="747">
        <f>$G47*$H47*(1+$K47)^MAX(ROUNDUP(IFERROR(DATEDIF($I29-1,AG$15+1,"m"),)/12,)-1,)*Index!AC$22*(AG$15&gt;$I47)*(1-AG$12)</f>
        <v>0</v>
      </c>
      <c r="AH47" s="747">
        <f>$G47*$H47*(1+$K47)^MAX(ROUNDUP(IFERROR(DATEDIF($I29-1,AH$15+1,"m"),)/12,)-1,)*Index!AD$22*(AH$15&gt;$I47)*(1-AH$12)</f>
        <v>0</v>
      </c>
      <c r="AI47" s="747">
        <f>$G47*$H47*(1+$K47)^MAX(ROUNDUP(IFERROR(DATEDIF($I29-1,AI$15+1,"m"),)/12,)-1,)*Index!AE$22*(AI$15&gt;$I47)*(1-AI$12)</f>
        <v>0</v>
      </c>
      <c r="AJ47" s="747">
        <f>$G47*$H47*(1+$K47)^MAX(ROUNDUP(IFERROR(DATEDIF($I29-1,AJ$15+1,"m"),)/12,)-1,)*Index!AF$22*(AJ$15&gt;$I47)*(1-AJ$12)</f>
        <v>0</v>
      </c>
      <c r="AK47" s="747">
        <f>$G47*$H47*(1+$K47)^MAX(ROUNDUP(IFERROR(DATEDIF($I29-1,AK$15+1,"m"),)/12,)-1,)*Index!AG$22*(AK$15&gt;$I47)*(1-AK$12)</f>
        <v>0</v>
      </c>
      <c r="AL47" s="747">
        <f>$G47*$H47*(1+$K47)^MAX(ROUNDUP(IFERROR(DATEDIF($I29-1,AL$15+1,"m"),)/12,)-1,)*Index!AH$22*(AL$15&gt;$I47)*(1-AL$12)</f>
        <v>0</v>
      </c>
      <c r="AM47" s="747">
        <f>$G47*$H47*(1+$K47)^MAX(ROUNDUP(IFERROR(DATEDIF($I29-1,AM$15+1,"m"),)/12,)-1,)*Index!AI$22*(AM$15&gt;$I47)*(1-AM$12)</f>
        <v>0</v>
      </c>
      <c r="AN47" s="747">
        <f>$G47*$H47*(1+$K47)^MAX(ROUNDUP(IFERROR(DATEDIF($I29-1,AN$15+1,"m"),)/12,)-1,)*Index!AJ$22*(AN$15&gt;$I47)*(1-AN$12)</f>
        <v>0</v>
      </c>
      <c r="AO47" s="747">
        <f>$G47*$H47*(1+$K47)^MAX(ROUNDUP(IFERROR(DATEDIF($I29-1,AO$15+1,"m"),)/12,)-1,)*Index!AK$22*(AO$15&gt;$I47)*(1-AO$12)</f>
        <v>0</v>
      </c>
      <c r="AP47" s="747">
        <f>$G47*$H47*(1+$K47)^MAX(ROUNDUP(IFERROR(DATEDIF($I29-1,AP$15+1,"m"),)/12,)-1,)*Index!AL$22*(AP$15&gt;$I47)*(1-AP$12)</f>
        <v>0</v>
      </c>
      <c r="AQ47" s="747">
        <f>$G47*$H47*(1+$K47)^MAX(ROUNDUP(IFERROR(DATEDIF($I29-1,AQ$15+1,"m"),)/12,)-1,)*Index!AM$22*(AQ$15&gt;$I47)*(1-AQ$12)</f>
        <v>0</v>
      </c>
      <c r="AR47" s="747">
        <f>$G47*$H47*(1+$K47)^MAX(ROUNDUP(IFERROR(DATEDIF($I29-1,AR$15+1,"m"),)/12,)-1,)*Index!AN$22*(AR$15&gt;$I47)*(1-AR$12)</f>
        <v>0</v>
      </c>
      <c r="AS47" s="747">
        <f>$G47*$H47*(1+$K47)^MAX(ROUNDUP(IFERROR(DATEDIF($I29-1,AS$15+1,"m"),)/12,)-1,)*Index!AO$22*(AS$15&gt;$I47)*(1-AS$12)</f>
        <v>0</v>
      </c>
      <c r="AT47" s="747">
        <f>$G47*$H47*(1+$K47)^MAX(ROUNDUP(IFERROR(DATEDIF($I29-1,AT$15+1,"m"),)/12,)-1,)*Index!AP$22*(AT$15&gt;$I47)*(1-AT$12)</f>
        <v>0</v>
      </c>
      <c r="AU47" s="747">
        <f>$G47*$H47*(1+$K47)^MAX(ROUNDUP(IFERROR(DATEDIF($I29-1,AU$15+1,"m"),)/12,)-1,)*Index!AQ$22*(AU$15&gt;$I47)*(1-AU$12)</f>
        <v>0</v>
      </c>
      <c r="AV47" s="747">
        <f>$G47*$H47*(1+$K47)^MAX(ROUNDUP(IFERROR(DATEDIF($I29-1,AV$15+1,"m"),)/12,)-1,)*Index!AR$22*(AV$15&gt;$I47)*(1-AV$12)</f>
        <v>0</v>
      </c>
      <c r="AW47" s="747">
        <f>$G47*$H47*(1+$K47)^MAX(ROUNDUP(IFERROR(DATEDIF($I29-1,AW$15+1,"m"),)/12,)-1,)*Index!AS$22*(AW$15&gt;$I47)*(1-AW$12)</f>
        <v>0</v>
      </c>
      <c r="AX47" s="747">
        <f>$G47*$H47*(1+$K47)^MAX(ROUNDUP(IFERROR(DATEDIF($I29-1,AX$15+1,"m"),)/12,)-1,)*Index!AT$22*(AX$15&gt;$I47)*(1-AX$12)</f>
        <v>0</v>
      </c>
      <c r="AY47" s="747">
        <f>$G47*$H47*(1+$K47)^MAX(ROUNDUP(IFERROR(DATEDIF($I29-1,AY$15+1,"m"),)/12,)-1,)*Index!AU$22*(AY$15&gt;$I47)*(1-AY$12)</f>
        <v>0</v>
      </c>
      <c r="AZ47" s="747">
        <f>$G47*$H47*(1+$K47)^MAX(ROUNDUP(IFERROR(DATEDIF($I29-1,AZ$15+1,"m"),)/12,)-1,)*Index!AV$22*(AZ$15&gt;$I47)*(1-AZ$12)</f>
        <v>0</v>
      </c>
      <c r="BA47" s="747">
        <f>$G47*$H47*(1+$K47)^MAX(ROUNDUP(IFERROR(DATEDIF($I29-1,BA$15+1,"m"),)/12,)-1,)*Index!AW$22*(BA$15&gt;$I47)*(1-BA$12)</f>
        <v>0</v>
      </c>
      <c r="BB47" s="747">
        <f>$G47*$H47*(1+$K47)^MAX(ROUNDUP(IFERROR(DATEDIF($I29-1,BB$15+1,"m"),)/12,)-1,)*Index!AX$22*(BB$15&gt;$I47)*(1-BB$12)</f>
        <v>0</v>
      </c>
      <c r="BC47" s="747">
        <f>$G47*$H47*(1+$K47)^MAX(ROUNDUP(IFERROR(DATEDIF($I29-1,BC$15+1,"m"),)/12,)-1,)*Index!AY$22*(BC$15&gt;$I47)*(1-BC$12)</f>
        <v>0</v>
      </c>
      <c r="BD47" s="747">
        <f>$G47*$H47*(1+$K47)^MAX(ROUNDUP(IFERROR(DATEDIF($I29-1,BD$15+1,"m"),)/12,)-1,)*Index!AZ$22*(BD$15&gt;$I47)*(1-BD$12)</f>
        <v>55309.607086610478</v>
      </c>
      <c r="BE47" s="747">
        <f>$G47*$H47*(1+$K47)^MAX(ROUNDUP(IFERROR(DATEDIF($I29-1,BE$15+1,"m"),)/12,)-1,)*Index!BA$22*(BE$15&gt;$I47)*(1-BE$12)</f>
        <v>55309.607086610478</v>
      </c>
      <c r="BF47" s="747">
        <f>$G47*$H47*(1+$K47)^MAX(ROUNDUP(IFERROR(DATEDIF($I29-1,BF$15+1,"m"),)/12,)-1,)*Index!BB$22*(BF$15&gt;$I47)*(1-BF$12)</f>
        <v>55309.607086610478</v>
      </c>
      <c r="BG47" s="747">
        <f>$G47*$H47*(1+$K47)^MAX(ROUNDUP(IFERROR(DATEDIF($I29-1,BG$15+1,"m"),)/12,)-1,)*Index!BC$22*(BG$15&gt;$I47)*(1-BG$12)</f>
        <v>55309.607086610478</v>
      </c>
      <c r="BH47" s="747">
        <f>$G47*$H47*(1+$K47)^MAX(ROUNDUP(IFERROR(DATEDIF($I29-1,BH$15+1,"m"),)/12,)-1,)*Index!BD$22*(BH$15&gt;$I47)*(1-BH$12)</f>
        <v>55309.607086610478</v>
      </c>
      <c r="BI47" s="747">
        <f>$G47*$H47*(1+$K47)^MAX(ROUNDUP(IFERROR(DATEDIF($I29-1,BI$15+1,"m"),)/12,)-1,)*Index!BE$22*(BI$15&gt;$I47)*(1-BI$12)</f>
        <v>55309.607086610478</v>
      </c>
      <c r="BJ47" s="747">
        <f>$G47*$H47*(1+$K47)^MAX(ROUNDUP(IFERROR(DATEDIF($I29-1,BJ$15+1,"m"),)/12,)-1,)*Index!BF$22*(BJ$15&gt;$I47)*(1-BJ$12)</f>
        <v>55309.607086610478</v>
      </c>
      <c r="BK47" s="747">
        <f>$G47*$H47*(1+$K47)^MAX(ROUNDUP(IFERROR(DATEDIF($I29-1,BK$15+1,"m"),)/12,)-1,)*Index!BG$22*(BK$15&gt;$I47)*(1-BK$12)</f>
        <v>55309.607086610478</v>
      </c>
      <c r="BL47" s="747">
        <f>$G47*$H47*(1+$K47)^MAX(ROUNDUP(IFERROR(DATEDIF($I29-1,BL$15+1,"m"),)/12,)-1,)*Index!BH$22*(BL$15&gt;$I47)*(1-BL$12)</f>
        <v>55309.607086610478</v>
      </c>
      <c r="BM47" s="747">
        <f>$G47*$H47*(1+$K47)^MAX(ROUNDUP(IFERROR(DATEDIF($I29-1,BM$15+1,"m"),)/12,)-1,)*Index!BI$22*(BM$15&gt;$I47)*(1-BM$12)</f>
        <v>55309.607086610478</v>
      </c>
      <c r="BN47" s="747">
        <f>$G47*$H47*(1+$K47)^MAX(ROUNDUP(IFERROR(DATEDIF($I29-1,BN$15+1,"m"),)/12,)-1,)*Index!BJ$22*(BN$15&gt;$I47)*(1-BN$12)</f>
        <v>56692.347263775737</v>
      </c>
      <c r="BO47" s="747">
        <f>$G47*$H47*(1+$K47)^MAX(ROUNDUP(IFERROR(DATEDIF($I29-1,BO$15+1,"m"),)/12,)-1,)*Index!BK$22*(BO$15&gt;$I47)*(1-BO$12)</f>
        <v>56692.347263775737</v>
      </c>
      <c r="BP47" s="747">
        <f>$G47*$H47*(1+$K47)^MAX(ROUNDUP(IFERROR(DATEDIF($I29-1,BP$15+1,"m"),)/12,)-1,)*Index!BL$22*(BP$15&gt;$I47)*(1-BP$12)</f>
        <v>56692.347263775737</v>
      </c>
      <c r="BQ47" s="747">
        <f>$G47*$H47*(1+$K47)^MAX(ROUNDUP(IFERROR(DATEDIF($I29-1,BQ$15+1,"m"),)/12,)-1,)*Index!BM$22*(BQ$15&gt;$I47)*(1-BQ$12)</f>
        <v>56692.347263775737</v>
      </c>
      <c r="BR47" s="747">
        <f>$G47*$H47*(1+$K47)^MAX(ROUNDUP(IFERROR(DATEDIF($I29-1,BR$15+1,"m"),)/12,)-1,)*Index!BN$22*(BR$15&gt;$I47)*(1-BR$12)</f>
        <v>56692.347263775737</v>
      </c>
      <c r="BS47" s="747">
        <f>$G47*$H47*(1+$K47)^MAX(ROUNDUP(IFERROR(DATEDIF($I29-1,BS$15+1,"m"),)/12,)-1,)*Index!BO$22*(BS$15&gt;$I47)*(1-BS$12)</f>
        <v>56692.347263775737</v>
      </c>
      <c r="BT47" s="747">
        <f>$G47*$H47*(1+$K47)^MAX(ROUNDUP(IFERROR(DATEDIF($I29-1,BT$15+1,"m"),)/12,)-1,)*Index!BP$22*(BT$15&gt;$I47)*(1-BT$12)</f>
        <v>56692.347263775737</v>
      </c>
      <c r="BU47" s="747">
        <f>$G47*$H47*(1+$K47)^MAX(ROUNDUP(IFERROR(DATEDIF($I29-1,BU$15+1,"m"),)/12,)-1,)*Index!BQ$22*(BU$15&gt;$I47)*(1-BU$12)</f>
        <v>56692.347263775737</v>
      </c>
      <c r="BV47" s="747">
        <f>$G47*$H47*(1+$K47)^MAX(ROUNDUP(IFERROR(DATEDIF($I29-1,BV$15+1,"m"),)/12,)-1,)*Index!BR$22*(BV$15&gt;$I47)*(1-BV$12)</f>
        <v>56692.347263775737</v>
      </c>
      <c r="BW47" s="747">
        <f>$G47*$H47*(1+$K47)^MAX(ROUNDUP(IFERROR(DATEDIF($I29-1,BW$15+1,"m"),)/12,)-1,)*Index!BS$22*(BW$15&gt;$I47)*(1-BW$12)</f>
        <v>56692.347263775737</v>
      </c>
      <c r="BX47" s="747">
        <f>$G47*$H47*(1+$K47)^MAX(ROUNDUP(IFERROR(DATEDIF($I29-1,BX$15+1,"m"),)/12,)-1,)*Index!BT$22*(BX$15&gt;$I47)*(1-BX$12)</f>
        <v>56692.347263775737</v>
      </c>
      <c r="BY47" s="747">
        <f>$G47*$H47*(1+$K47)^MAX(ROUNDUP(IFERROR(DATEDIF($I29-1,BY$15+1,"m"),)/12,)-1,)*Index!BU$22*(BY$15&gt;$I47)*(1-BY$12)</f>
        <v>56692.347263775737</v>
      </c>
      <c r="BZ47" s="747">
        <f>$G47*$H47*(1+$K47)^MAX(ROUNDUP(IFERROR(DATEDIF($I29-1,BZ$15+1,"m"),)/12,)-1,)*Index!BV$22*(BZ$15&gt;$I47)*(1-BZ$12)</f>
        <v>58109.655945370134</v>
      </c>
      <c r="CA47" s="747">
        <f>$G47*$H47*(1+$K47)^MAX(ROUNDUP(IFERROR(DATEDIF($I29-1,CA$15+1,"m"),)/12,)-1,)*Index!BW$22*(CA$15&gt;$I47)*(1-CA$12)</f>
        <v>58109.655945370134</v>
      </c>
      <c r="CB47" s="747">
        <f>$G47*$H47*(1+$K47)^MAX(ROUNDUP(IFERROR(DATEDIF($I29-1,CB$15+1,"m"),)/12,)-1,)*Index!BX$22*(CB$15&gt;$I47)*(1-CB$12)</f>
        <v>58109.655945370134</v>
      </c>
      <c r="CC47" s="747">
        <f>$G47*$H47*(1+$K47)^MAX(ROUNDUP(IFERROR(DATEDIF($I29-1,CC$15+1,"m"),)/12,)-1,)*Index!BY$22*(CC$15&gt;$I47)*(1-CC$12)</f>
        <v>58109.655945370134</v>
      </c>
      <c r="CD47" s="747">
        <f>$G47*$H47*(1+$K47)^MAX(ROUNDUP(IFERROR(DATEDIF($I29-1,CD$15+1,"m"),)/12,)-1,)*Index!BZ$22*(CD$15&gt;$I47)*(1-CD$12)</f>
        <v>58109.655945370134</v>
      </c>
      <c r="CE47" s="747">
        <f>$G47*$H47*(1+$K47)^MAX(ROUNDUP(IFERROR(DATEDIF($I29-1,CE$15+1,"m"),)/12,)-1,)*Index!CA$22*(CE$15&gt;$I47)*(1-CE$12)</f>
        <v>58109.655945370134</v>
      </c>
      <c r="CF47" s="747">
        <f>$G47*$H47*(1+$K47)^MAX(ROUNDUP(IFERROR(DATEDIF($I29-1,CF$15+1,"m"),)/12,)-1,)*Index!CB$22*(CF$15&gt;$I47)*(1-CF$12)</f>
        <v>58109.655945370134</v>
      </c>
      <c r="CG47" s="747">
        <f>$G47*$H47*(1+$K47)^MAX(ROUNDUP(IFERROR(DATEDIF($I29-1,CG$15+1,"m"),)/12,)-1,)*Index!CC$22*(CG$15&gt;$I47)*(1-CG$12)</f>
        <v>58109.655945370134</v>
      </c>
      <c r="CH47" s="747">
        <f>$G47*$H47*(1+$K47)^MAX(ROUNDUP(IFERROR(DATEDIF($I29-1,CH$15+1,"m"),)/12,)-1,)*Index!CD$22*(CH$15&gt;$I47)*(1-CH$12)</f>
        <v>58109.655945370134</v>
      </c>
      <c r="CI47" s="747">
        <f>$G47*$H47*(1+$K47)^MAX(ROUNDUP(IFERROR(DATEDIF($I29-1,CI$15+1,"m"),)/12,)-1,)*Index!CE$22*(CI$15&gt;$I47)*(1-CI$12)</f>
        <v>58109.655945370134</v>
      </c>
      <c r="CJ47" s="747">
        <f>$G47*$H47*(1+$K47)^MAX(ROUNDUP(IFERROR(DATEDIF($I29-1,CJ$15+1,"m"),)/12,)-1,)*Index!CF$22*(CJ$15&gt;$I47)*(1-CJ$12)</f>
        <v>58109.655945370134</v>
      </c>
      <c r="CK47" s="747">
        <f>$G47*$H47*(1+$K47)^MAX(ROUNDUP(IFERROR(DATEDIF($I29-1,CK$15+1,"m"),)/12,)-1,)*Index!CG$22*(CK$15&gt;$I47)*(1-CK$12)</f>
        <v>58109.655945370134</v>
      </c>
      <c r="CL47" s="747">
        <f>$G47*$H47*(1+$K47)^MAX(ROUNDUP(IFERROR(DATEDIF($I29-1,CL$15+1,"m"),)/12,)-1,)*Index!CH$22*(CL$15&gt;$I47)*(1-CL$12)</f>
        <v>59562.397344004377</v>
      </c>
      <c r="CM47" s="747">
        <f>$G47*$H47*(1+$K47)^MAX(ROUNDUP(IFERROR(DATEDIF($I29-1,CM$15+1,"m"),)/12,)-1,)*Index!CI$22*(CM$15&gt;$I47)*(1-CM$12)</f>
        <v>59562.397344004377</v>
      </c>
      <c r="CN47" s="747">
        <f>$G47*$H47*(1+$K47)^MAX(ROUNDUP(IFERROR(DATEDIF($I29-1,CN$15+1,"m"),)/12,)-1,)*Index!CJ$22*(CN$15&gt;$I47)*(1-CN$12)</f>
        <v>59562.397344004377</v>
      </c>
      <c r="CO47" s="747">
        <f>$G47*$H47*(1+$K47)^MAX(ROUNDUP(IFERROR(DATEDIF($I29-1,CO$15+1,"m"),)/12,)-1,)*Index!CK$22*(CO$15&gt;$I47)*(1-CO$12)</f>
        <v>59562.397344004377</v>
      </c>
      <c r="CP47" s="747">
        <f>$G47*$H47*(1+$K47)^MAX(ROUNDUP(IFERROR(DATEDIF($I29-1,CP$15+1,"m"),)/12,)-1,)*Index!CL$22*(CP$15&gt;$I47)*(1-CP$12)</f>
        <v>59562.397344004377</v>
      </c>
      <c r="CQ47" s="747">
        <f>$G47*$H47*(1+$K47)^MAX(ROUNDUP(IFERROR(DATEDIF($I29-1,CQ$15+1,"m"),)/12,)-1,)*Index!CM$22*(CQ$15&gt;$I47)*(1-CQ$12)</f>
        <v>59562.397344004377</v>
      </c>
      <c r="CR47" s="747">
        <f>$G47*$H47*(1+$K47)^MAX(ROUNDUP(IFERROR(DATEDIF($I29-1,CR$15+1,"m"),)/12,)-1,)*Index!CN$22*(CR$15&gt;$I47)*(1-CR$12)</f>
        <v>59562.397344004377</v>
      </c>
      <c r="CS47" s="747">
        <f>$G47*$H47*(1+$K47)^MAX(ROUNDUP(IFERROR(DATEDIF($I29-1,CS$15+1,"m"),)/12,)-1,)*Index!CO$22*(CS$15&gt;$I47)*(1-CS$12)</f>
        <v>59562.397344004377</v>
      </c>
      <c r="CT47" s="747">
        <f>$G47*$H47*(1+$K47)^MAX(ROUNDUP(IFERROR(DATEDIF($I29-1,CT$15+1,"m"),)/12,)-1,)*Index!CP$22*(CT$15&gt;$I47)*(1-CT$12)</f>
        <v>59562.397344004377</v>
      </c>
      <c r="CU47" s="747">
        <f>$G47*$H47*(1+$K47)^MAX(ROUNDUP(IFERROR(DATEDIF($I29-1,CU$15+1,"m"),)/12,)-1,)*Index!CQ$22*(CU$15&gt;$I47)*(1-CU$12)</f>
        <v>59562.397344004377</v>
      </c>
      <c r="CV47" s="747">
        <f>$G47*$H47*(1+$K47)^MAX(ROUNDUP(IFERROR(DATEDIF($I29-1,CV$15+1,"m"),)/12,)-1,)*Index!CR$22*(CV$15&gt;$I47)*(1-CV$12)</f>
        <v>59562.397344004377</v>
      </c>
      <c r="CW47" s="747">
        <f>$G47*$H47*(1+$K47)^MAX(ROUNDUP(IFERROR(DATEDIF($I29-1,CW$15+1,"m"),)/12,)-1,)*Index!CS$22*(CW$15&gt;$I47)*(1-CW$12)</f>
        <v>59562.397344004377</v>
      </c>
      <c r="CX47" s="747">
        <f>$G47*$H47*(1+$K47)^MAX(ROUNDUP(IFERROR(DATEDIF($I29-1,CX$15+1,"m"),)/12,)-1,)*Index!CT$22*(CX$15&gt;$I47)*(1-CX$12)</f>
        <v>61051.457277604481</v>
      </c>
      <c r="CY47" s="747">
        <f>$G47*$H47*(1+$K47)^MAX(ROUNDUP(IFERROR(DATEDIF($I29-1,CY$15+1,"m"),)/12,)-1,)*Index!CU$22*(CY$15&gt;$I47)*(1-CY$12)</f>
        <v>61051.457277604481</v>
      </c>
      <c r="CZ47" s="747">
        <f>$G47*$H47*(1+$K47)^MAX(ROUNDUP(IFERROR(DATEDIF($I29-1,CZ$15+1,"m"),)/12,)-1,)*Index!CV$22*(CZ$15&gt;$I47)*(1-CZ$12)</f>
        <v>61051.457277604481</v>
      </c>
      <c r="DA47" s="747">
        <f>$G47*$H47*(1+$K47)^MAX(ROUNDUP(IFERROR(DATEDIF($I29-1,DA$15+1,"m"),)/12,)-1,)*Index!CW$22*(DA$15&gt;$I47)*(1-DA$12)</f>
        <v>61051.457277604481</v>
      </c>
      <c r="DB47" s="747">
        <f>$G47*$H47*(1+$K47)^MAX(ROUNDUP(IFERROR(DATEDIF($I29-1,DB$15+1,"m"),)/12,)-1,)*Index!CX$22*(DB$15&gt;$I47)*(1-DB$12)</f>
        <v>61051.457277604481</v>
      </c>
      <c r="DC47" s="747">
        <f>$G47*$H47*(1+$K47)^MAX(ROUNDUP(IFERROR(DATEDIF($I29-1,DC$15+1,"m"),)/12,)-1,)*Index!CY$22*(DC$15&gt;$I47)*(1-DC$12)</f>
        <v>61051.457277604481</v>
      </c>
      <c r="DD47" s="747">
        <f>$G47*$H47*(1+$K47)^MAX(ROUNDUP(IFERROR(DATEDIF($I29-1,DD$15+1,"m"),)/12,)-1,)*Index!CZ$22*(DD$15&gt;$I47)*(1-DD$12)</f>
        <v>61051.457277604481</v>
      </c>
      <c r="DE47" s="747">
        <f>$G47*$H47*(1+$K47)^MAX(ROUNDUP(IFERROR(DATEDIF($I29-1,DE$15+1,"m"),)/12,)-1,)*Index!DA$22*(DE$15&gt;$I47)*(1-DE$12)</f>
        <v>61051.457277604481</v>
      </c>
      <c r="DF47" s="747">
        <f>$G47*$H47*(1+$K47)^MAX(ROUNDUP(IFERROR(DATEDIF($I29-1,DF$15+1,"m"),)/12,)-1,)*Index!DB$22*(DF$15&gt;$I47)*(1-DF$12)</f>
        <v>61051.457277604481</v>
      </c>
      <c r="DG47" s="747">
        <f>$G47*$H47*(1+$K47)^MAX(ROUNDUP(IFERROR(DATEDIF($I29-1,DG$15+1,"m"),)/12,)-1,)*Index!DC$22*(DG$15&gt;$I47)*(1-DG$12)</f>
        <v>61051.457277604481</v>
      </c>
      <c r="DH47" s="747">
        <f>$G47*$H47*(1+$K47)^MAX(ROUNDUP(IFERROR(DATEDIF($I29-1,DH$15+1,"m"),)/12,)-1,)*Index!DD$22*(DH$15&gt;$I47)*(1-DH$12)</f>
        <v>61051.457277604481</v>
      </c>
      <c r="DI47" s="747">
        <f>$G47*$H47*(1+$K47)^MAX(ROUNDUP(IFERROR(DATEDIF($I29-1,DI$15+1,"m"),)/12,)-1,)*Index!DE$22*(DI$15&gt;$I47)*(1-DI$12)</f>
        <v>61051.457277604481</v>
      </c>
      <c r="DJ47" s="747">
        <f>$G47*$H47*(1+$K47)^MAX(ROUNDUP(IFERROR(DATEDIF($I29-1,DJ$15+1,"m"),)/12,)-1,)*Index!DF$22*(DJ$15&gt;$I47)*(1-DJ$12)</f>
        <v>62577.743709544593</v>
      </c>
      <c r="DK47" s="747">
        <f>$G47*$H47*(1+$K47)^MAX(ROUNDUP(IFERROR(DATEDIF($I29-1,DK$15+1,"m"),)/12,)-1,)*Index!DG$22*(DK$15&gt;$I47)*(1-DK$12)</f>
        <v>62577.743709544593</v>
      </c>
      <c r="DL47" s="747">
        <f>$G47*$H47*(1+$K47)^MAX(ROUNDUP(IFERROR(DATEDIF($I29-1,DL$15+1,"m"),)/12,)-1,)*Index!DH$22*(DL$15&gt;$I47)*(1-DL$12)</f>
        <v>62577.743709544593</v>
      </c>
      <c r="DM47" s="747">
        <f>$G47*$H47*(1+$K47)^MAX(ROUNDUP(IFERROR(DATEDIF($I29-1,DM$15+1,"m"),)/12,)-1,)*Index!DI$22*(DM$15&gt;$I47)*(1-DM$12)</f>
        <v>62577.743709544593</v>
      </c>
      <c r="DN47" s="747">
        <f>$G47*$H47*(1+$K47)^MAX(ROUNDUP(IFERROR(DATEDIF($I29-1,DN$15+1,"m"),)/12,)-1,)*Index!DJ$22*(DN$15&gt;$I47)*(1-DN$12)</f>
        <v>62577.743709544593</v>
      </c>
      <c r="DO47" s="747">
        <f>$G47*$H47*(1+$K47)^MAX(ROUNDUP(IFERROR(DATEDIF($I29-1,DO$15+1,"m"),)/12,)-1,)*Index!DK$22*(DO$15&gt;$I47)*(1-DO$12)</f>
        <v>62577.743709544593</v>
      </c>
      <c r="DP47" s="747">
        <f>$G47*$H47*(1+$K47)^MAX(ROUNDUP(IFERROR(DATEDIF($I29-1,DP$15+1,"m"),)/12,)-1,)*Index!DL$22*(DP$15&gt;$I47)*(1-DP$12)</f>
        <v>62577.743709544593</v>
      </c>
      <c r="DQ47" s="747">
        <f>$G47*$H47*(1+$K47)^MAX(ROUNDUP(IFERROR(DATEDIF($I29-1,DQ$15+1,"m"),)/12,)-1,)*Index!DM$22*(DQ$15&gt;$I47)*(1-DQ$12)</f>
        <v>62577.743709544593</v>
      </c>
      <c r="DR47" s="747">
        <f>$G47*$H47*(1+$K47)^MAX(ROUNDUP(IFERROR(DATEDIF($I29-1,DR$15+1,"m"),)/12,)-1,)*Index!DN$22*(DR$15&gt;$I47)*(1-DR$12)</f>
        <v>62577.743709544593</v>
      </c>
      <c r="DS47" s="747">
        <f>$G47*$H47*(1+$K47)^MAX(ROUNDUP(IFERROR(DATEDIF($I29-1,DS$15+1,"m"),)/12,)-1,)*Index!DO$22*(DS$15&gt;$I47)*(1-DS$12)</f>
        <v>62577.743709544593</v>
      </c>
      <c r="DT47" s="747">
        <f>$G47*$H47*(1+$K47)^MAX(ROUNDUP(IFERROR(DATEDIF($I29-1,DT$15+1,"m"),)/12,)-1,)*Index!DP$22*(DT$15&gt;$I47)*(1-DT$12)</f>
        <v>62577.743709544593</v>
      </c>
      <c r="DU47" s="747">
        <f>$G47*$H47*(1+$K47)^MAX(ROUNDUP(IFERROR(DATEDIF($I29-1,DU$15+1,"m"),)/12,)-1,)*Index!DQ$22*(DU$15&gt;$I47)*(1-DU$12)</f>
        <v>62577.743709544593</v>
      </c>
      <c r="DV47" s="747">
        <f>$G47*$H47*(1+$K47)^MAX(ROUNDUP(IFERROR(DATEDIF($I29-1,DV$15+1,"m"),)/12,)-1,)*Index!DR$22*(DV$15&gt;$I47)*(1-DV$12)</f>
        <v>64142.187302283208</v>
      </c>
      <c r="DW47" s="747">
        <f>$G47*$H47*(1+$K47)^MAX(ROUNDUP(IFERROR(DATEDIF($I29-1,DW$15+1,"m"),)/12,)-1,)*Index!DS$22*(DW$15&gt;$I47)*(1-DW$12)</f>
        <v>64142.187302283208</v>
      </c>
      <c r="DX47" s="747">
        <f>$G47*$H47*(1+$K47)^MAX(ROUNDUP(IFERROR(DATEDIF($I29-1,DX$15+1,"m"),)/12,)-1,)*Index!DT$22*(DX$15&gt;$I47)*(1-DX$12)</f>
        <v>64142.187302283208</v>
      </c>
      <c r="DY47" s="747">
        <f>$G47*$H47*(1+$K47)^MAX(ROUNDUP(IFERROR(DATEDIF($I29-1,DY$15+1,"m"),)/12,)-1,)*Index!DU$22*(DY$15&gt;$I47)*(1-DY$12)</f>
        <v>64142.187302283208</v>
      </c>
      <c r="DZ47" s="747">
        <f>$G47*$H47*(1+$K47)^MAX(ROUNDUP(IFERROR(DATEDIF($I29-1,DZ$15+1,"m"),)/12,)-1,)*Index!DV$22*(DZ$15&gt;$I47)*(1-DZ$12)</f>
        <v>64142.187302283208</v>
      </c>
      <c r="EA47" s="747">
        <f>$G47*$H47*(1+$K47)^MAX(ROUNDUP(IFERROR(DATEDIF($I29-1,EA$15+1,"m"),)/12,)-1,)*Index!DW$22*(EA$15&gt;$I47)*(1-EA$12)</f>
        <v>64142.187302283208</v>
      </c>
      <c r="EB47" s="747">
        <f>$G47*$H47*(1+$K47)^MAX(ROUNDUP(IFERROR(DATEDIF($I29-1,EB$15+1,"m"),)/12,)-1,)*Index!DX$22*(EB$15&gt;$I47)*(1-EB$12)</f>
        <v>64142.187302283208</v>
      </c>
      <c r="EC47" s="747">
        <f>$G47*$H47*(1+$K47)^MAX(ROUNDUP(IFERROR(DATEDIF($I29-1,EC$15+1,"m"),)/12,)-1,)*Index!DY$22*(EC$15&gt;$I47)*(1-EC$12)</f>
        <v>64142.187302283208</v>
      </c>
      <c r="ED47" s="747">
        <f>$G47*$H47*(1+$K47)^MAX(ROUNDUP(IFERROR(DATEDIF($I29-1,ED$15+1,"m"),)/12,)-1,)*Index!DZ$22*(ED$15&gt;$I47)*(1-ED$12)</f>
        <v>64142.187302283208</v>
      </c>
      <c r="EE47" s="747">
        <f>$G47*$H47*(1+$K47)^MAX(ROUNDUP(IFERROR(DATEDIF($I29-1,EE$15+1,"m"),)/12,)-1,)*Index!EA$22*(EE$15&gt;$I47)*(1-EE$12)</f>
        <v>64142.187302283208</v>
      </c>
      <c r="EF47" s="747">
        <f>$G47*$H47*(1+$K47)^MAX(ROUNDUP(IFERROR(DATEDIF($I29-1,EF$15+1,"m"),)/12,)-1,)*Index!EB$22*(EF$15&gt;$I47)*(1-EF$12)</f>
        <v>64142.187302283208</v>
      </c>
      <c r="EG47" s="747">
        <f>$G47*$H47*(1+$K47)^MAX(ROUNDUP(IFERROR(DATEDIF($I29-1,EG$15+1,"m"),)/12,)-1,)*Index!EC$22*(EG$15&gt;$I47)*(1-EG$12)</f>
        <v>0</v>
      </c>
      <c r="EH47" s="747">
        <f>$G47*$H47*(1+$K47)^MAX(ROUNDUP(IFERROR(DATEDIF($I29-1,EH$15+1,"m"),)/12,)-1,)*Index!ED$22*(EH$15&gt;$I47)*(1-EH$12)</f>
        <v>0</v>
      </c>
      <c r="EI47" s="747">
        <f>$G47*$H47*(1+$K47)^MAX(ROUNDUP(IFERROR(DATEDIF($I29-1,EI$15+1,"m"),)/12,)-1,)*Index!EE$22*(EI$15&gt;$I47)*(1-EI$12)</f>
        <v>0</v>
      </c>
      <c r="EJ47" s="747">
        <f>$G47*$H47*(1+$K47)^MAX(ROUNDUP(IFERROR(DATEDIF($I29-1,EJ$15+1,"m"),)/12,)-1,)*Index!EF$22*(EJ$15&gt;$I47)*(1-EJ$12)</f>
        <v>0</v>
      </c>
      <c r="EK47" s="747">
        <f>$G47*$H47*(1+$K47)^MAX(ROUNDUP(IFERROR(DATEDIF($I29-1,EK$15+1,"m"),)/12,)-1,)*Index!EG$22*(EK$15&gt;$I47)*(1-EK$12)</f>
        <v>0</v>
      </c>
      <c r="EL47" s="747">
        <f>$G47*$H47*(1+$K47)^MAX(ROUNDUP(IFERROR(DATEDIF($I29-1,EL$15+1,"m"),)/12,)-1,)*Index!EH$22*(EL$15&gt;$I47)*(1-EL$12)</f>
        <v>0</v>
      </c>
      <c r="EM47" s="747">
        <f>$G47*$H47*(1+$K47)^MAX(ROUNDUP(IFERROR(DATEDIF($I29-1,EM$15+1,"m"),)/12,)-1,)*Index!EI$22*(EM$15&gt;$I47)*(1-EM$12)</f>
        <v>0</v>
      </c>
      <c r="EN47" s="747">
        <f>$G47*$H47*(1+$K47)^MAX(ROUNDUP(IFERROR(DATEDIF($I29-1,EN$15+1,"m"),)/12,)-1,)*Index!EJ$22*(EN$15&gt;$I47)*(1-EN$12)</f>
        <v>0</v>
      </c>
      <c r="EO47" s="747">
        <f>$G47*$H47*(1+$K47)^MAX(ROUNDUP(IFERROR(DATEDIF($I29-1,EO$15+1,"m"),)/12,)-1,)*Index!EK$22*(EO$15&gt;$I47)*(1-EO$12)</f>
        <v>0</v>
      </c>
      <c r="EP47" s="747">
        <f>$G47*$H47*(1+$K47)^MAX(ROUNDUP(IFERROR(DATEDIF($I29-1,EP$15+1,"m"),)/12,)-1,)*Index!EL$22*(EP$15&gt;$I47)*(1-EP$12)</f>
        <v>0</v>
      </c>
      <c r="EQ47" s="747">
        <f>$G47*$H47*(1+$K47)^MAX(ROUNDUP(IFERROR(DATEDIF($I29-1,EQ$15+1,"m"),)/12,)-1,)*Index!EM$22*(EQ$15&gt;$I47)*(1-EQ$12)</f>
        <v>0</v>
      </c>
      <c r="ER47" s="747">
        <f>$G47*$H47*(1+$K47)^MAX(ROUNDUP(IFERROR(DATEDIF($I29-1,ER$15+1,"m"),)/12,)-1,)*Index!EN$22*(ER$15&gt;$I47)*(1-ER$12)</f>
        <v>0</v>
      </c>
      <c r="ES47" s="747">
        <f>$G47*$H47*(1+$K47)^MAX(ROUNDUP(IFERROR(DATEDIF($I29-1,ES$15+1,"m"),)/12,)-1,)*Index!EO$22*(ES$15&gt;$I47)*(1-ES$12)</f>
        <v>0</v>
      </c>
      <c r="ET47" s="747">
        <f>$G47*$H47*(1+$K47)^MAX(ROUNDUP(IFERROR(DATEDIF($I29-1,ET$15+1,"m"),)/12,)-1,)*Index!EP$22*(ET$15&gt;$I47)*(1-ET$12)</f>
        <v>0</v>
      </c>
      <c r="EU47" s="747">
        <f>$G47*$H47*(1+$K47)^MAX(ROUNDUP(IFERROR(DATEDIF($I29-1,EU$15+1,"m"),)/12,)-1,)*Index!EQ$22*(EU$15&gt;$I47)*(1-EU$12)</f>
        <v>0</v>
      </c>
    </row>
    <row r="48" spans="3:151" ht="11.25" customHeight="1">
      <c r="C48" s="735"/>
      <c r="D48" s="743" t="str">
        <f t="shared" si="11"/>
        <v>1F</v>
      </c>
      <c r="E48" s="704" t="str">
        <f t="shared" si="11"/>
        <v>아이팜</v>
      </c>
      <c r="F48" s="704" t="str">
        <f t="shared" si="11"/>
        <v>근린생활시설</v>
      </c>
      <c r="G48" s="752" cm="1">
        <f t="array" ref="G48">SUMPRODUCT(('Rent-roll'!$E48='A&amp;R'!$V$26:$V$32)*('A&amp;R'!$AB$26:$AB$32))/1000</f>
        <v>57.106049143739746</v>
      </c>
      <c r="H48" s="744">
        <f t="shared" si="12"/>
        <v>17.29</v>
      </c>
      <c r="I48" s="745">
        <f t="shared" si="13"/>
        <v>47603</v>
      </c>
      <c r="J48" s="745"/>
      <c r="K48" s="754">
        <f t="shared" si="16"/>
        <v>2.5000000000000001E-2</v>
      </c>
      <c r="L48" s="748"/>
      <c r="M48" s="749"/>
      <c r="N48" s="747">
        <f t="shared" si="15"/>
        <v>93402.792169441105</v>
      </c>
      <c r="O48" s="733"/>
      <c r="P48" s="747">
        <f>$G48*$H48*(1+$K48)^MAX(ROUNDUP(IFERROR(DATEDIF($I30-1,P$15+1,"m"),)/12,)-1,)*Index!L$22*(P$15&gt;$I48)*(1-P$12)</f>
        <v>0</v>
      </c>
      <c r="Q48" s="747">
        <f>$G48*$H48*(1+$K48)^MAX(ROUNDUP(IFERROR(DATEDIF($I30-1,Q$15+1,"m"),)/12,)-1,)*Index!M$22*(Q$15&gt;$I48)*(1-Q$12)</f>
        <v>0</v>
      </c>
      <c r="R48" s="747">
        <f>$G48*$H48*(1+$K48)^MAX(ROUNDUP(IFERROR(DATEDIF($I30-1,R$15+1,"m"),)/12,)-1,)*Index!N$22*(R$15&gt;$I48)*(1-R$12)</f>
        <v>0</v>
      </c>
      <c r="S48" s="747">
        <f>$G48*$H48*(1+$K48)^MAX(ROUNDUP(IFERROR(DATEDIF($I30-1,S$15+1,"m"),)/12,)-1,)*Index!O$22*(S$15&gt;$I48)*(1-S$12)</f>
        <v>0</v>
      </c>
      <c r="T48" s="747">
        <f>$G48*$H48*(1+$K48)^MAX(ROUNDUP(IFERROR(DATEDIF($I30-1,T$15+1,"m"),)/12,)-1,)*Index!P$22*(T$15&gt;$I48)*(1-T$12)</f>
        <v>0</v>
      </c>
      <c r="U48" s="747">
        <f>$G48*$H48*(1+$K48)^MAX(ROUNDUP(IFERROR(DATEDIF($I30-1,U$15+1,"m"),)/12,)-1,)*Index!Q$22*(U$15&gt;$I48)*(1-U$12)</f>
        <v>0</v>
      </c>
      <c r="V48" s="747">
        <f>$G48*$H48*(1+$K48)^MAX(ROUNDUP(IFERROR(DATEDIF($I30-1,V$15+1,"m"),)/12,)-1,)*Index!R$22*(V$15&gt;$I48)*(1-V$12)</f>
        <v>0</v>
      </c>
      <c r="W48" s="747">
        <f>$G48*$H48*(1+$K48)^MAX(ROUNDUP(IFERROR(DATEDIF($I30-1,W$15+1,"m"),)/12,)-1,)*Index!S$22*(W$15&gt;$I48)*(1-W$12)</f>
        <v>0</v>
      </c>
      <c r="X48" s="747">
        <f>$G48*$H48*(1+$K48)^MAX(ROUNDUP(IFERROR(DATEDIF($I30-1,X$15+1,"m"),)/12,)-1,)*Index!T$22*(X$15&gt;$I48)*(1-X$12)</f>
        <v>0</v>
      </c>
      <c r="Y48" s="747">
        <f>$G48*$H48*(1+$K48)^MAX(ROUNDUP(IFERROR(DATEDIF($I30-1,Y$15+1,"m"),)/12,)-1,)*Index!U$22*(Y$15&gt;$I48)*(1-Y$12)</f>
        <v>0</v>
      </c>
      <c r="Z48" s="747">
        <f>$G48*$H48*(1+$K48)^MAX(ROUNDUP(IFERROR(DATEDIF($I30-1,Z$15+1,"m"),)/12,)-1,)*Index!V$22*(Z$15&gt;$I48)*(1-Z$12)</f>
        <v>0</v>
      </c>
      <c r="AA48" s="747">
        <f>$G48*$H48*(1+$K48)^MAX(ROUNDUP(IFERROR(DATEDIF($I30-1,AA$15+1,"m"),)/12,)-1,)*Index!W$22*(AA$15&gt;$I48)*(1-AA$12)</f>
        <v>0</v>
      </c>
      <c r="AB48" s="747">
        <f>$G48*$H48*(1+$K48)^MAX(ROUNDUP(IFERROR(DATEDIF($I30-1,AB$15+1,"m"),)/12,)-1,)*Index!X$22*(AB$15&gt;$I48)*(1-AB$12)</f>
        <v>0</v>
      </c>
      <c r="AC48" s="747">
        <f>$G48*$H48*(1+$K48)^MAX(ROUNDUP(IFERROR(DATEDIF($I30-1,AC$15+1,"m"),)/12,)-1,)*Index!Y$22*(AC$15&gt;$I48)*(1-AC$12)</f>
        <v>0</v>
      </c>
      <c r="AD48" s="747">
        <f>$G48*$H48*(1+$K48)^MAX(ROUNDUP(IFERROR(DATEDIF($I30-1,AD$15+1,"m"),)/12,)-1,)*Index!Z$22*(AD$15&gt;$I48)*(1-AD$12)</f>
        <v>0</v>
      </c>
      <c r="AE48" s="747">
        <f>$G48*$H48*(1+$K48)^MAX(ROUNDUP(IFERROR(DATEDIF($I30-1,AE$15+1,"m"),)/12,)-1,)*Index!AA$22*(AE$15&gt;$I48)*(1-AE$12)</f>
        <v>0</v>
      </c>
      <c r="AF48" s="747">
        <f>$G48*$H48*(1+$K48)^MAX(ROUNDUP(IFERROR(DATEDIF($I30-1,AF$15+1,"m"),)/12,)-1,)*Index!AB$22*(AF$15&gt;$I48)*(1-AF$12)</f>
        <v>0</v>
      </c>
      <c r="AG48" s="747">
        <f>$G48*$H48*(1+$K48)^MAX(ROUNDUP(IFERROR(DATEDIF($I30-1,AG$15+1,"m"),)/12,)-1,)*Index!AC$22*(AG$15&gt;$I48)*(1-AG$12)</f>
        <v>0</v>
      </c>
      <c r="AH48" s="747">
        <f>$G48*$H48*(1+$K48)^MAX(ROUNDUP(IFERROR(DATEDIF($I30-1,AH$15+1,"m"),)/12,)-1,)*Index!AD$22*(AH$15&gt;$I48)*(1-AH$12)</f>
        <v>0</v>
      </c>
      <c r="AI48" s="747">
        <f>$G48*$H48*(1+$K48)^MAX(ROUNDUP(IFERROR(DATEDIF($I30-1,AI$15+1,"m"),)/12,)-1,)*Index!AE$22*(AI$15&gt;$I48)*(1-AI$12)</f>
        <v>0</v>
      </c>
      <c r="AJ48" s="747">
        <f>$G48*$H48*(1+$K48)^MAX(ROUNDUP(IFERROR(DATEDIF($I30-1,AJ$15+1,"m"),)/12,)-1,)*Index!AF$22*(AJ$15&gt;$I48)*(1-AJ$12)</f>
        <v>0</v>
      </c>
      <c r="AK48" s="747">
        <f>$G48*$H48*(1+$K48)^MAX(ROUNDUP(IFERROR(DATEDIF($I30-1,AK$15+1,"m"),)/12,)-1,)*Index!AG$22*(AK$15&gt;$I48)*(1-AK$12)</f>
        <v>0</v>
      </c>
      <c r="AL48" s="747">
        <f>$G48*$H48*(1+$K48)^MAX(ROUNDUP(IFERROR(DATEDIF($I30-1,AL$15+1,"m"),)/12,)-1,)*Index!AH$22*(AL$15&gt;$I48)*(1-AL$12)</f>
        <v>0</v>
      </c>
      <c r="AM48" s="747">
        <f>$G48*$H48*(1+$K48)^MAX(ROUNDUP(IFERROR(DATEDIF($I30-1,AM$15+1,"m"),)/12,)-1,)*Index!AI$22*(AM$15&gt;$I48)*(1-AM$12)</f>
        <v>0</v>
      </c>
      <c r="AN48" s="747">
        <f>$G48*$H48*(1+$K48)^MAX(ROUNDUP(IFERROR(DATEDIF($I30-1,AN$15+1,"m"),)/12,)-1,)*Index!AJ$22*(AN$15&gt;$I48)*(1-AN$12)</f>
        <v>0</v>
      </c>
      <c r="AO48" s="747">
        <f>$G48*$H48*(1+$K48)^MAX(ROUNDUP(IFERROR(DATEDIF($I30-1,AO$15+1,"m"),)/12,)-1,)*Index!AK$22*(AO$15&gt;$I48)*(1-AO$12)</f>
        <v>0</v>
      </c>
      <c r="AP48" s="747">
        <f>$G48*$H48*(1+$K48)^MAX(ROUNDUP(IFERROR(DATEDIF($I30-1,AP$15+1,"m"),)/12,)-1,)*Index!AL$22*(AP$15&gt;$I48)*(1-AP$12)</f>
        <v>0</v>
      </c>
      <c r="AQ48" s="747">
        <f>$G48*$H48*(1+$K48)^MAX(ROUNDUP(IFERROR(DATEDIF($I30-1,AQ$15+1,"m"),)/12,)-1,)*Index!AM$22*(AQ$15&gt;$I48)*(1-AQ$12)</f>
        <v>0</v>
      </c>
      <c r="AR48" s="747">
        <f>$G48*$H48*(1+$K48)^MAX(ROUNDUP(IFERROR(DATEDIF($I30-1,AR$15+1,"m"),)/12,)-1,)*Index!AN$22*(AR$15&gt;$I48)*(1-AR$12)</f>
        <v>0</v>
      </c>
      <c r="AS48" s="747">
        <f>$G48*$H48*(1+$K48)^MAX(ROUNDUP(IFERROR(DATEDIF($I30-1,AS$15+1,"m"),)/12,)-1,)*Index!AO$22*(AS$15&gt;$I48)*(1-AS$12)</f>
        <v>0</v>
      </c>
      <c r="AT48" s="747">
        <f>$G48*$H48*(1+$K48)^MAX(ROUNDUP(IFERROR(DATEDIF($I30-1,AT$15+1,"m"),)/12,)-1,)*Index!AP$22*(AT$15&gt;$I48)*(1-AT$12)</f>
        <v>0</v>
      </c>
      <c r="AU48" s="747">
        <f>$G48*$H48*(1+$K48)^MAX(ROUNDUP(IFERROR(DATEDIF($I30-1,AU$15+1,"m"),)/12,)-1,)*Index!AQ$22*(AU$15&gt;$I48)*(1-AU$12)</f>
        <v>0</v>
      </c>
      <c r="AV48" s="747">
        <f>$G48*$H48*(1+$K48)^MAX(ROUNDUP(IFERROR(DATEDIF($I30-1,AV$15+1,"m"),)/12,)-1,)*Index!AR$22*(AV$15&gt;$I48)*(1-AV$12)</f>
        <v>0</v>
      </c>
      <c r="AW48" s="747">
        <f>$G48*$H48*(1+$K48)^MAX(ROUNDUP(IFERROR(DATEDIF($I30-1,AW$15+1,"m"),)/12,)-1,)*Index!AS$22*(AW$15&gt;$I48)*(1-AW$12)</f>
        <v>0</v>
      </c>
      <c r="AX48" s="747">
        <f>$G48*$H48*(1+$K48)^MAX(ROUNDUP(IFERROR(DATEDIF($I30-1,AX$15+1,"m"),)/12,)-1,)*Index!AT$22*(AX$15&gt;$I48)*(1-AX$12)</f>
        <v>0</v>
      </c>
      <c r="AY48" s="747">
        <f>$G48*$H48*(1+$K48)^MAX(ROUNDUP(IFERROR(DATEDIF($I30-1,AY$15+1,"m"),)/12,)-1,)*Index!AU$22*(AY$15&gt;$I48)*(1-AY$12)</f>
        <v>0</v>
      </c>
      <c r="AZ48" s="747">
        <f>$G48*$H48*(1+$K48)^MAX(ROUNDUP(IFERROR(DATEDIF($I30-1,AZ$15+1,"m"),)/12,)-1,)*Index!AV$22*(AZ$15&gt;$I48)*(1-AZ$12)</f>
        <v>0</v>
      </c>
      <c r="BA48" s="747">
        <f>$G48*$H48*(1+$K48)^MAX(ROUNDUP(IFERROR(DATEDIF($I30-1,BA$15+1,"m"),)/12,)-1,)*Index!AW$22*(BA$15&gt;$I48)*(1-BA$12)</f>
        <v>0</v>
      </c>
      <c r="BB48" s="747">
        <f>$G48*$H48*(1+$K48)^MAX(ROUNDUP(IFERROR(DATEDIF($I30-1,BB$15+1,"m"),)/12,)-1,)*Index!AX$22*(BB$15&gt;$I48)*(1-BB$12)</f>
        <v>0</v>
      </c>
      <c r="BC48" s="747">
        <f>$G48*$H48*(1+$K48)^MAX(ROUNDUP(IFERROR(DATEDIF($I30-1,BC$15+1,"m"),)/12,)-1,)*Index!AY$22*(BC$15&gt;$I48)*(1-BC$12)</f>
        <v>0</v>
      </c>
      <c r="BD48" s="747">
        <f>$G48*$H48*(1+$K48)^MAX(ROUNDUP(IFERROR(DATEDIF($I30-1,BD$15+1,"m"),)/12,)-1,)*Index!AZ$22*(BD$15&gt;$I48)*(1-BD$12)</f>
        <v>0</v>
      </c>
      <c r="BE48" s="747">
        <f>$G48*$H48*(1+$K48)^MAX(ROUNDUP(IFERROR(DATEDIF($I30-1,BE$15+1,"m"),)/12,)-1,)*Index!BA$22*(BE$15&gt;$I48)*(1-BE$12)</f>
        <v>0</v>
      </c>
      <c r="BF48" s="747">
        <f>$G48*$H48*(1+$K48)^MAX(ROUNDUP(IFERROR(DATEDIF($I30-1,BF$15+1,"m"),)/12,)-1,)*Index!BB$22*(BF$15&gt;$I48)*(1-BF$12)</f>
        <v>0</v>
      </c>
      <c r="BG48" s="747">
        <f>$G48*$H48*(1+$K48)^MAX(ROUNDUP(IFERROR(DATEDIF($I30-1,BG$15+1,"m"),)/12,)-1,)*Index!BC$22*(BG$15&gt;$I48)*(1-BG$12)</f>
        <v>1117.1112744903862</v>
      </c>
      <c r="BH48" s="747">
        <f>$G48*$H48*(1+$K48)^MAX(ROUNDUP(IFERROR(DATEDIF($I30-1,BH$15+1,"m"),)/12,)-1,)*Index!BD$22*(BH$15&gt;$I48)*(1-BH$12)</f>
        <v>1117.1112744903862</v>
      </c>
      <c r="BI48" s="747">
        <f>$G48*$H48*(1+$K48)^MAX(ROUNDUP(IFERROR(DATEDIF($I30-1,BI$15+1,"m"),)/12,)-1,)*Index!BE$22*(BI$15&gt;$I48)*(1-BI$12)</f>
        <v>1117.1112744903862</v>
      </c>
      <c r="BJ48" s="747">
        <f>$G48*$H48*(1+$K48)^MAX(ROUNDUP(IFERROR(DATEDIF($I30-1,BJ$15+1,"m"),)/12,)-1,)*Index!BF$22*(BJ$15&gt;$I48)*(1-BJ$12)</f>
        <v>1117.1112744903862</v>
      </c>
      <c r="BK48" s="747">
        <f>$G48*$H48*(1+$K48)^MAX(ROUNDUP(IFERROR(DATEDIF($I30-1,BK$15+1,"m"),)/12,)-1,)*Index!BG$22*(BK$15&gt;$I48)*(1-BK$12)</f>
        <v>1117.1112744903862</v>
      </c>
      <c r="BL48" s="747">
        <f>$G48*$H48*(1+$K48)^MAX(ROUNDUP(IFERROR(DATEDIF($I30-1,BL$15+1,"m"),)/12,)-1,)*Index!BH$22*(BL$15&gt;$I48)*(1-BL$12)</f>
        <v>1117.1112744903862</v>
      </c>
      <c r="BM48" s="747">
        <f>$G48*$H48*(1+$K48)^MAX(ROUNDUP(IFERROR(DATEDIF($I30-1,BM$15+1,"m"),)/12,)-1,)*Index!BI$22*(BM$15&gt;$I48)*(1-BM$12)</f>
        <v>1117.1112744903862</v>
      </c>
      <c r="BN48" s="747">
        <f>$G48*$H48*(1+$K48)^MAX(ROUNDUP(IFERROR(DATEDIF($I30-1,BN$15+1,"m"),)/12,)-1,)*Index!BJ$22*(BN$15&gt;$I48)*(1-BN$12)</f>
        <v>1117.1112744903862</v>
      </c>
      <c r="BO48" s="747">
        <f>$G48*$H48*(1+$K48)^MAX(ROUNDUP(IFERROR(DATEDIF($I30-1,BO$15+1,"m"),)/12,)-1,)*Index!BK$22*(BO$15&gt;$I48)*(1-BO$12)</f>
        <v>1117.1112744903862</v>
      </c>
      <c r="BP48" s="747">
        <f>$G48*$H48*(1+$K48)^MAX(ROUNDUP(IFERROR(DATEDIF($I30-1,BP$15+1,"m"),)/12,)-1,)*Index!BL$22*(BP$15&gt;$I48)*(1-BP$12)</f>
        <v>1117.1112744903862</v>
      </c>
      <c r="BQ48" s="747">
        <f>$G48*$H48*(1+$K48)^MAX(ROUNDUP(IFERROR(DATEDIF($I30-1,BQ$15+1,"m"),)/12,)-1,)*Index!BM$22*(BQ$15&gt;$I48)*(1-BQ$12)</f>
        <v>1117.1112744903862</v>
      </c>
      <c r="BR48" s="747">
        <f>$G48*$H48*(1+$K48)^MAX(ROUNDUP(IFERROR(DATEDIF($I30-1,BR$15+1,"m"),)/12,)-1,)*Index!BN$22*(BR$15&gt;$I48)*(1-BR$12)</f>
        <v>1117.1112744903862</v>
      </c>
      <c r="BS48" s="747">
        <f>$G48*$H48*(1+$K48)^MAX(ROUNDUP(IFERROR(DATEDIF($I30-1,BS$15+1,"m"),)/12,)-1,)*Index!BO$22*(BS$15&gt;$I48)*(1-BS$12)</f>
        <v>1145.039056352646</v>
      </c>
      <c r="BT48" s="747">
        <f>$G48*$H48*(1+$K48)^MAX(ROUNDUP(IFERROR(DATEDIF($I30-1,BT$15+1,"m"),)/12,)-1,)*Index!BP$22*(BT$15&gt;$I48)*(1-BT$12)</f>
        <v>1145.039056352646</v>
      </c>
      <c r="BU48" s="747">
        <f>$G48*$H48*(1+$K48)^MAX(ROUNDUP(IFERROR(DATEDIF($I30-1,BU$15+1,"m"),)/12,)-1,)*Index!BQ$22*(BU$15&gt;$I48)*(1-BU$12)</f>
        <v>1145.039056352646</v>
      </c>
      <c r="BV48" s="747">
        <f>$G48*$H48*(1+$K48)^MAX(ROUNDUP(IFERROR(DATEDIF($I30-1,BV$15+1,"m"),)/12,)-1,)*Index!BR$22*(BV$15&gt;$I48)*(1-BV$12)</f>
        <v>1145.039056352646</v>
      </c>
      <c r="BW48" s="747">
        <f>$G48*$H48*(1+$K48)^MAX(ROUNDUP(IFERROR(DATEDIF($I30-1,BW$15+1,"m"),)/12,)-1,)*Index!BS$22*(BW$15&gt;$I48)*(1-BW$12)</f>
        <v>1145.039056352646</v>
      </c>
      <c r="BX48" s="747">
        <f>$G48*$H48*(1+$K48)^MAX(ROUNDUP(IFERROR(DATEDIF($I30-1,BX$15+1,"m"),)/12,)-1,)*Index!BT$22*(BX$15&gt;$I48)*(1-BX$12)</f>
        <v>1145.039056352646</v>
      </c>
      <c r="BY48" s="747">
        <f>$G48*$H48*(1+$K48)^MAX(ROUNDUP(IFERROR(DATEDIF($I30-1,BY$15+1,"m"),)/12,)-1,)*Index!BU$22*(BY$15&gt;$I48)*(1-BY$12)</f>
        <v>1145.039056352646</v>
      </c>
      <c r="BZ48" s="747">
        <f>$G48*$H48*(1+$K48)^MAX(ROUNDUP(IFERROR(DATEDIF($I30-1,BZ$15+1,"m"),)/12,)-1,)*Index!BV$22*(BZ$15&gt;$I48)*(1-BZ$12)</f>
        <v>1145.039056352646</v>
      </c>
      <c r="CA48" s="747">
        <f>$G48*$H48*(1+$K48)^MAX(ROUNDUP(IFERROR(DATEDIF($I30-1,CA$15+1,"m"),)/12,)-1,)*Index!BW$22*(CA$15&gt;$I48)*(1-CA$12)</f>
        <v>1145.039056352646</v>
      </c>
      <c r="CB48" s="747">
        <f>$G48*$H48*(1+$K48)^MAX(ROUNDUP(IFERROR(DATEDIF($I30-1,CB$15+1,"m"),)/12,)-1,)*Index!BX$22*(CB$15&gt;$I48)*(1-CB$12)</f>
        <v>1145.039056352646</v>
      </c>
      <c r="CC48" s="747">
        <f>$G48*$H48*(1+$K48)^MAX(ROUNDUP(IFERROR(DATEDIF($I30-1,CC$15+1,"m"),)/12,)-1,)*Index!BY$22*(CC$15&gt;$I48)*(1-CC$12)</f>
        <v>1145.039056352646</v>
      </c>
      <c r="CD48" s="747">
        <f>$G48*$H48*(1+$K48)^MAX(ROUNDUP(IFERROR(DATEDIF($I30-1,CD$15+1,"m"),)/12,)-1,)*Index!BZ$22*(CD$15&gt;$I48)*(1-CD$12)</f>
        <v>1145.039056352646</v>
      </c>
      <c r="CE48" s="747">
        <f>$G48*$H48*(1+$K48)^MAX(ROUNDUP(IFERROR(DATEDIF($I30-1,CE$15+1,"m"),)/12,)-1,)*Index!CA$22*(CE$15&gt;$I48)*(1-CE$12)</f>
        <v>1173.665032761462</v>
      </c>
      <c r="CF48" s="747">
        <f>$G48*$H48*(1+$K48)^MAX(ROUNDUP(IFERROR(DATEDIF($I30-1,CF$15+1,"m"),)/12,)-1,)*Index!CB$22*(CF$15&gt;$I48)*(1-CF$12)</f>
        <v>1173.665032761462</v>
      </c>
      <c r="CG48" s="747">
        <f>$G48*$H48*(1+$K48)^MAX(ROUNDUP(IFERROR(DATEDIF($I30-1,CG$15+1,"m"),)/12,)-1,)*Index!CC$22*(CG$15&gt;$I48)*(1-CG$12)</f>
        <v>1173.665032761462</v>
      </c>
      <c r="CH48" s="747">
        <f>$G48*$H48*(1+$K48)^MAX(ROUNDUP(IFERROR(DATEDIF($I30-1,CH$15+1,"m"),)/12,)-1,)*Index!CD$22*(CH$15&gt;$I48)*(1-CH$12)</f>
        <v>1173.665032761462</v>
      </c>
      <c r="CI48" s="747">
        <f>$G48*$H48*(1+$K48)^MAX(ROUNDUP(IFERROR(DATEDIF($I30-1,CI$15+1,"m"),)/12,)-1,)*Index!CE$22*(CI$15&gt;$I48)*(1-CI$12)</f>
        <v>1173.665032761462</v>
      </c>
      <c r="CJ48" s="747">
        <f>$G48*$H48*(1+$K48)^MAX(ROUNDUP(IFERROR(DATEDIF($I30-1,CJ$15+1,"m"),)/12,)-1,)*Index!CF$22*(CJ$15&gt;$I48)*(1-CJ$12)</f>
        <v>1173.665032761462</v>
      </c>
      <c r="CK48" s="747">
        <f>$G48*$H48*(1+$K48)^MAX(ROUNDUP(IFERROR(DATEDIF($I30-1,CK$15+1,"m"),)/12,)-1,)*Index!CG$22*(CK$15&gt;$I48)*(1-CK$12)</f>
        <v>1173.665032761462</v>
      </c>
      <c r="CL48" s="747">
        <f>$G48*$H48*(1+$K48)^MAX(ROUNDUP(IFERROR(DATEDIF($I30-1,CL$15+1,"m"),)/12,)-1,)*Index!CH$22*(CL$15&gt;$I48)*(1-CL$12)</f>
        <v>1173.665032761462</v>
      </c>
      <c r="CM48" s="747">
        <f>$G48*$H48*(1+$K48)^MAX(ROUNDUP(IFERROR(DATEDIF($I30-1,CM$15+1,"m"),)/12,)-1,)*Index!CI$22*(CM$15&gt;$I48)*(1-CM$12)</f>
        <v>1173.665032761462</v>
      </c>
      <c r="CN48" s="747">
        <f>$G48*$H48*(1+$K48)^MAX(ROUNDUP(IFERROR(DATEDIF($I30-1,CN$15+1,"m"),)/12,)-1,)*Index!CJ$22*(CN$15&gt;$I48)*(1-CN$12)</f>
        <v>1173.665032761462</v>
      </c>
      <c r="CO48" s="747">
        <f>$G48*$H48*(1+$K48)^MAX(ROUNDUP(IFERROR(DATEDIF($I30-1,CO$15+1,"m"),)/12,)-1,)*Index!CK$22*(CO$15&gt;$I48)*(1-CO$12)</f>
        <v>1173.665032761462</v>
      </c>
      <c r="CP48" s="747">
        <f>$G48*$H48*(1+$K48)^MAX(ROUNDUP(IFERROR(DATEDIF($I30-1,CP$15+1,"m"),)/12,)-1,)*Index!CL$22*(CP$15&gt;$I48)*(1-CP$12)</f>
        <v>1173.665032761462</v>
      </c>
      <c r="CQ48" s="747">
        <f>$G48*$H48*(1+$K48)^MAX(ROUNDUP(IFERROR(DATEDIF($I30-1,CQ$15+1,"m"),)/12,)-1,)*Index!CM$22*(CQ$15&gt;$I48)*(1-CQ$12)</f>
        <v>1203.0066585804987</v>
      </c>
      <c r="CR48" s="747">
        <f>$G48*$H48*(1+$K48)^MAX(ROUNDUP(IFERROR(DATEDIF($I30-1,CR$15+1,"m"),)/12,)-1,)*Index!CN$22*(CR$15&gt;$I48)*(1-CR$12)</f>
        <v>1203.0066585804987</v>
      </c>
      <c r="CS48" s="747">
        <f>$G48*$H48*(1+$K48)^MAX(ROUNDUP(IFERROR(DATEDIF($I30-1,CS$15+1,"m"),)/12,)-1,)*Index!CO$22*(CS$15&gt;$I48)*(1-CS$12)</f>
        <v>1203.0066585804987</v>
      </c>
      <c r="CT48" s="747">
        <f>$G48*$H48*(1+$K48)^MAX(ROUNDUP(IFERROR(DATEDIF($I30-1,CT$15+1,"m"),)/12,)-1,)*Index!CP$22*(CT$15&gt;$I48)*(1-CT$12)</f>
        <v>1203.0066585804987</v>
      </c>
      <c r="CU48" s="747">
        <f>$G48*$H48*(1+$K48)^MAX(ROUNDUP(IFERROR(DATEDIF($I30-1,CU$15+1,"m"),)/12,)-1,)*Index!CQ$22*(CU$15&gt;$I48)*(1-CU$12)</f>
        <v>1203.0066585804987</v>
      </c>
      <c r="CV48" s="747">
        <f>$G48*$H48*(1+$K48)^MAX(ROUNDUP(IFERROR(DATEDIF($I30-1,CV$15+1,"m"),)/12,)-1,)*Index!CR$22*(CV$15&gt;$I48)*(1-CV$12)</f>
        <v>1203.0066585804987</v>
      </c>
      <c r="CW48" s="747">
        <f>$G48*$H48*(1+$K48)^MAX(ROUNDUP(IFERROR(DATEDIF($I30-1,CW$15+1,"m"),)/12,)-1,)*Index!CS$22*(CW$15&gt;$I48)*(1-CW$12)</f>
        <v>1203.0066585804987</v>
      </c>
      <c r="CX48" s="747">
        <f>$G48*$H48*(1+$K48)^MAX(ROUNDUP(IFERROR(DATEDIF($I30-1,CX$15+1,"m"),)/12,)-1,)*Index!CT$22*(CX$15&gt;$I48)*(1-CX$12)</f>
        <v>1203.0066585804987</v>
      </c>
      <c r="CY48" s="747">
        <f>$G48*$H48*(1+$K48)^MAX(ROUNDUP(IFERROR(DATEDIF($I30-1,CY$15+1,"m"),)/12,)-1,)*Index!CU$22*(CY$15&gt;$I48)*(1-CY$12)</f>
        <v>1203.0066585804987</v>
      </c>
      <c r="CZ48" s="747">
        <f>$G48*$H48*(1+$K48)^MAX(ROUNDUP(IFERROR(DATEDIF($I30-1,CZ$15+1,"m"),)/12,)-1,)*Index!CV$22*(CZ$15&gt;$I48)*(1-CZ$12)</f>
        <v>1203.0066585804987</v>
      </c>
      <c r="DA48" s="747">
        <f>$G48*$H48*(1+$K48)^MAX(ROUNDUP(IFERROR(DATEDIF($I30-1,DA$15+1,"m"),)/12,)-1,)*Index!CW$22*(DA$15&gt;$I48)*(1-DA$12)</f>
        <v>1203.0066585804987</v>
      </c>
      <c r="DB48" s="747">
        <f>$G48*$H48*(1+$K48)^MAX(ROUNDUP(IFERROR(DATEDIF($I30-1,DB$15+1,"m"),)/12,)-1,)*Index!CX$22*(DB$15&gt;$I48)*(1-DB$12)</f>
        <v>1203.0066585804987</v>
      </c>
      <c r="DC48" s="747">
        <f>$G48*$H48*(1+$K48)^MAX(ROUNDUP(IFERROR(DATEDIF($I30-1,DC$15+1,"m"),)/12,)-1,)*Index!CY$22*(DC$15&gt;$I48)*(1-DC$12)</f>
        <v>1233.0818250450109</v>
      </c>
      <c r="DD48" s="747">
        <f>$G48*$H48*(1+$K48)^MAX(ROUNDUP(IFERROR(DATEDIF($I30-1,DD$15+1,"m"),)/12,)-1,)*Index!CZ$22*(DD$15&gt;$I48)*(1-DD$12)</f>
        <v>1233.0818250450109</v>
      </c>
      <c r="DE48" s="747">
        <f>$G48*$H48*(1+$K48)^MAX(ROUNDUP(IFERROR(DATEDIF($I30-1,DE$15+1,"m"),)/12,)-1,)*Index!DA$22*(DE$15&gt;$I48)*(1-DE$12)</f>
        <v>1233.0818250450109</v>
      </c>
      <c r="DF48" s="747">
        <f>$G48*$H48*(1+$K48)^MAX(ROUNDUP(IFERROR(DATEDIF($I30-1,DF$15+1,"m"),)/12,)-1,)*Index!DB$22*(DF$15&gt;$I48)*(1-DF$12)</f>
        <v>1233.0818250450109</v>
      </c>
      <c r="DG48" s="747">
        <f>$G48*$H48*(1+$K48)^MAX(ROUNDUP(IFERROR(DATEDIF($I30-1,DG$15+1,"m"),)/12,)-1,)*Index!DC$22*(DG$15&gt;$I48)*(1-DG$12)</f>
        <v>1233.0818250450109</v>
      </c>
      <c r="DH48" s="747">
        <f>$G48*$H48*(1+$K48)^MAX(ROUNDUP(IFERROR(DATEDIF($I30-1,DH$15+1,"m"),)/12,)-1,)*Index!DD$22*(DH$15&gt;$I48)*(1-DH$12)</f>
        <v>1233.0818250450109</v>
      </c>
      <c r="DI48" s="747">
        <f>$G48*$H48*(1+$K48)^MAX(ROUNDUP(IFERROR(DATEDIF($I30-1,DI$15+1,"m"),)/12,)-1,)*Index!DE$22*(DI$15&gt;$I48)*(1-DI$12)</f>
        <v>1233.0818250450109</v>
      </c>
      <c r="DJ48" s="747">
        <f>$G48*$H48*(1+$K48)^MAX(ROUNDUP(IFERROR(DATEDIF($I30-1,DJ$15+1,"m"),)/12,)-1,)*Index!DF$22*(DJ$15&gt;$I48)*(1-DJ$12)</f>
        <v>1233.0818250450109</v>
      </c>
      <c r="DK48" s="747">
        <f>$G48*$H48*(1+$K48)^MAX(ROUNDUP(IFERROR(DATEDIF($I30-1,DK$15+1,"m"),)/12,)-1,)*Index!DG$22*(DK$15&gt;$I48)*(1-DK$12)</f>
        <v>1233.0818250450109</v>
      </c>
      <c r="DL48" s="747">
        <f>$G48*$H48*(1+$K48)^MAX(ROUNDUP(IFERROR(DATEDIF($I30-1,DL$15+1,"m"),)/12,)-1,)*Index!DH$22*(DL$15&gt;$I48)*(1-DL$12)</f>
        <v>1233.0818250450109</v>
      </c>
      <c r="DM48" s="747">
        <f>$G48*$H48*(1+$K48)^MAX(ROUNDUP(IFERROR(DATEDIF($I30-1,DM$15+1,"m"),)/12,)-1,)*Index!DI$22*(DM$15&gt;$I48)*(1-DM$12)</f>
        <v>1233.0818250450109</v>
      </c>
      <c r="DN48" s="747">
        <f>$G48*$H48*(1+$K48)^MAX(ROUNDUP(IFERROR(DATEDIF($I30-1,DN$15+1,"m"),)/12,)-1,)*Index!DJ$22*(DN$15&gt;$I48)*(1-DN$12)</f>
        <v>1233.0818250450109</v>
      </c>
      <c r="DO48" s="747">
        <f>$G48*$H48*(1+$K48)^MAX(ROUNDUP(IFERROR(DATEDIF($I30-1,DO$15+1,"m"),)/12,)-1,)*Index!DK$22*(DO$15&gt;$I48)*(1-DO$12)</f>
        <v>1263.9088706711361</v>
      </c>
      <c r="DP48" s="747">
        <f>$G48*$H48*(1+$K48)^MAX(ROUNDUP(IFERROR(DATEDIF($I30-1,DP$15+1,"m"),)/12,)-1,)*Index!DL$22*(DP$15&gt;$I48)*(1-DP$12)</f>
        <v>1263.9088706711361</v>
      </c>
      <c r="DQ48" s="747">
        <f>$G48*$H48*(1+$K48)^MAX(ROUNDUP(IFERROR(DATEDIF($I30-1,DQ$15+1,"m"),)/12,)-1,)*Index!DM$22*(DQ$15&gt;$I48)*(1-DQ$12)</f>
        <v>1263.9088706711361</v>
      </c>
      <c r="DR48" s="747">
        <f>$G48*$H48*(1+$K48)^MAX(ROUNDUP(IFERROR(DATEDIF($I30-1,DR$15+1,"m"),)/12,)-1,)*Index!DN$22*(DR$15&gt;$I48)*(1-DR$12)</f>
        <v>1263.9088706711361</v>
      </c>
      <c r="DS48" s="747">
        <f>$G48*$H48*(1+$K48)^MAX(ROUNDUP(IFERROR(DATEDIF($I30-1,DS$15+1,"m"),)/12,)-1,)*Index!DO$22*(DS$15&gt;$I48)*(1-DS$12)</f>
        <v>1263.9088706711361</v>
      </c>
      <c r="DT48" s="747">
        <f>$G48*$H48*(1+$K48)^MAX(ROUNDUP(IFERROR(DATEDIF($I30-1,DT$15+1,"m"),)/12,)-1,)*Index!DP$22*(DT$15&gt;$I48)*(1-DT$12)</f>
        <v>1263.9088706711361</v>
      </c>
      <c r="DU48" s="747">
        <f>$G48*$H48*(1+$K48)^MAX(ROUNDUP(IFERROR(DATEDIF($I30-1,DU$15+1,"m"),)/12,)-1,)*Index!DQ$22*(DU$15&gt;$I48)*(1-DU$12)</f>
        <v>1263.9088706711361</v>
      </c>
      <c r="DV48" s="747">
        <f>$G48*$H48*(1+$K48)^MAX(ROUNDUP(IFERROR(DATEDIF($I30-1,DV$15+1,"m"),)/12,)-1,)*Index!DR$22*(DV$15&gt;$I48)*(1-DV$12)</f>
        <v>1263.9088706711361</v>
      </c>
      <c r="DW48" s="747">
        <f>$G48*$H48*(1+$K48)^MAX(ROUNDUP(IFERROR(DATEDIF($I30-1,DW$15+1,"m"),)/12,)-1,)*Index!DS$22*(DW$15&gt;$I48)*(1-DW$12)</f>
        <v>1263.9088706711361</v>
      </c>
      <c r="DX48" s="747">
        <f>$G48*$H48*(1+$K48)^MAX(ROUNDUP(IFERROR(DATEDIF($I30-1,DX$15+1,"m"),)/12,)-1,)*Index!DT$22*(DX$15&gt;$I48)*(1-DX$12)</f>
        <v>1263.9088706711361</v>
      </c>
      <c r="DY48" s="747">
        <f>$G48*$H48*(1+$K48)^MAX(ROUNDUP(IFERROR(DATEDIF($I30-1,DY$15+1,"m"),)/12,)-1,)*Index!DU$22*(DY$15&gt;$I48)*(1-DY$12)</f>
        <v>1263.9088706711361</v>
      </c>
      <c r="DZ48" s="747">
        <f>$G48*$H48*(1+$K48)^MAX(ROUNDUP(IFERROR(DATEDIF($I30-1,DZ$15+1,"m"),)/12,)-1,)*Index!DV$22*(DZ$15&gt;$I48)*(1-DZ$12)</f>
        <v>1263.9088706711361</v>
      </c>
      <c r="EA48" s="747">
        <f>$G48*$H48*(1+$K48)^MAX(ROUNDUP(IFERROR(DATEDIF($I30-1,EA$15+1,"m"),)/12,)-1,)*Index!DW$22*(EA$15&gt;$I48)*(1-EA$12)</f>
        <v>1295.5065924379144</v>
      </c>
      <c r="EB48" s="747">
        <f>$G48*$H48*(1+$K48)^MAX(ROUNDUP(IFERROR(DATEDIF($I30-1,EB$15+1,"m"),)/12,)-1,)*Index!DX$22*(EB$15&gt;$I48)*(1-EB$12)</f>
        <v>1295.5065924379144</v>
      </c>
      <c r="EC48" s="747">
        <f>$G48*$H48*(1+$K48)^MAX(ROUNDUP(IFERROR(DATEDIF($I30-1,EC$15+1,"m"),)/12,)-1,)*Index!DY$22*(EC$15&gt;$I48)*(1-EC$12)</f>
        <v>1295.5065924379144</v>
      </c>
      <c r="ED48" s="747">
        <f>$G48*$H48*(1+$K48)^MAX(ROUNDUP(IFERROR(DATEDIF($I30-1,ED$15+1,"m"),)/12,)-1,)*Index!DZ$22*(ED$15&gt;$I48)*(1-ED$12)</f>
        <v>1295.5065924379144</v>
      </c>
      <c r="EE48" s="747">
        <f>$G48*$H48*(1+$K48)^MAX(ROUNDUP(IFERROR(DATEDIF($I30-1,EE$15+1,"m"),)/12,)-1,)*Index!EA$22*(EE$15&gt;$I48)*(1-EE$12)</f>
        <v>1295.5065924379144</v>
      </c>
      <c r="EF48" s="747">
        <f>$G48*$H48*(1+$K48)^MAX(ROUNDUP(IFERROR(DATEDIF($I30-1,EF$15+1,"m"),)/12,)-1,)*Index!EB$22*(EF$15&gt;$I48)*(1-EF$12)</f>
        <v>1295.5065924379144</v>
      </c>
      <c r="EG48" s="747">
        <f>$G48*$H48*(1+$K48)^MAX(ROUNDUP(IFERROR(DATEDIF($I30-1,EG$15+1,"m"),)/12,)-1,)*Index!EC$22*(EG$15&gt;$I48)*(1-EG$12)</f>
        <v>0</v>
      </c>
      <c r="EH48" s="747">
        <f>$G48*$H48*(1+$K48)^MAX(ROUNDUP(IFERROR(DATEDIF($I30-1,EH$15+1,"m"),)/12,)-1,)*Index!ED$22*(EH$15&gt;$I48)*(1-EH$12)</f>
        <v>0</v>
      </c>
      <c r="EI48" s="747">
        <f>$G48*$H48*(1+$K48)^MAX(ROUNDUP(IFERROR(DATEDIF($I30-1,EI$15+1,"m"),)/12,)-1,)*Index!EE$22*(EI$15&gt;$I48)*(1-EI$12)</f>
        <v>0</v>
      </c>
      <c r="EJ48" s="747">
        <f>$G48*$H48*(1+$K48)^MAX(ROUNDUP(IFERROR(DATEDIF($I30-1,EJ$15+1,"m"),)/12,)-1,)*Index!EF$22*(EJ$15&gt;$I48)*(1-EJ$12)</f>
        <v>0</v>
      </c>
      <c r="EK48" s="747">
        <f>$G48*$H48*(1+$K48)^MAX(ROUNDUP(IFERROR(DATEDIF($I30-1,EK$15+1,"m"),)/12,)-1,)*Index!EG$22*(EK$15&gt;$I48)*(1-EK$12)</f>
        <v>0</v>
      </c>
      <c r="EL48" s="747">
        <f>$G48*$H48*(1+$K48)^MAX(ROUNDUP(IFERROR(DATEDIF($I30-1,EL$15+1,"m"),)/12,)-1,)*Index!EH$22*(EL$15&gt;$I48)*(1-EL$12)</f>
        <v>0</v>
      </c>
      <c r="EM48" s="747">
        <f>$G48*$H48*(1+$K48)^MAX(ROUNDUP(IFERROR(DATEDIF($I30-1,EM$15+1,"m"),)/12,)-1,)*Index!EI$22*(EM$15&gt;$I48)*(1-EM$12)</f>
        <v>0</v>
      </c>
      <c r="EN48" s="747">
        <f>$G48*$H48*(1+$K48)^MAX(ROUNDUP(IFERROR(DATEDIF($I30-1,EN$15+1,"m"),)/12,)-1,)*Index!EJ$22*(EN$15&gt;$I48)*(1-EN$12)</f>
        <v>0</v>
      </c>
      <c r="EO48" s="747">
        <f>$G48*$H48*(1+$K48)^MAX(ROUNDUP(IFERROR(DATEDIF($I30-1,EO$15+1,"m"),)/12,)-1,)*Index!EK$22*(EO$15&gt;$I48)*(1-EO$12)</f>
        <v>0</v>
      </c>
      <c r="EP48" s="747">
        <f>$G48*$H48*(1+$K48)^MAX(ROUNDUP(IFERROR(DATEDIF($I30-1,EP$15+1,"m"),)/12,)-1,)*Index!EL$22*(EP$15&gt;$I48)*(1-EP$12)</f>
        <v>0</v>
      </c>
      <c r="EQ48" s="747">
        <f>$G48*$H48*(1+$K48)^MAX(ROUNDUP(IFERROR(DATEDIF($I30-1,EQ$15+1,"m"),)/12,)-1,)*Index!EM$22*(EQ$15&gt;$I48)*(1-EQ$12)</f>
        <v>0</v>
      </c>
      <c r="ER48" s="747">
        <f>$G48*$H48*(1+$K48)^MAX(ROUNDUP(IFERROR(DATEDIF($I30-1,ER$15+1,"m"),)/12,)-1,)*Index!EN$22*(ER$15&gt;$I48)*(1-ER$12)</f>
        <v>0</v>
      </c>
      <c r="ES48" s="747">
        <f>$G48*$H48*(1+$K48)^MAX(ROUNDUP(IFERROR(DATEDIF($I30-1,ES$15+1,"m"),)/12,)-1,)*Index!EO$22*(ES$15&gt;$I48)*(1-ES$12)</f>
        <v>0</v>
      </c>
      <c r="ET48" s="747">
        <f>$G48*$H48*(1+$K48)^MAX(ROUNDUP(IFERROR(DATEDIF($I30-1,ET$15+1,"m"),)/12,)-1,)*Index!EP$22*(ET$15&gt;$I48)*(1-ET$12)</f>
        <v>0</v>
      </c>
      <c r="EU48" s="747">
        <f>$G48*$H48*(1+$K48)^MAX(ROUNDUP(IFERROR(DATEDIF($I30-1,EU$15+1,"m"),)/12,)-1,)*Index!EQ$22*(EU$15&gt;$I48)*(1-EU$12)</f>
        <v>0</v>
      </c>
    </row>
    <row r="49" spans="3:151" ht="11.25" customHeight="1">
      <c r="C49" s="735"/>
      <c r="D49" s="743">
        <f t="shared" si="11"/>
        <v>1</v>
      </c>
      <c r="E49" s="704" t="str">
        <f t="shared" si="11"/>
        <v>공실</v>
      </c>
      <c r="F49" s="704" t="str">
        <f t="shared" si="11"/>
        <v>근린생활시설</v>
      </c>
      <c r="G49" s="752" cm="1">
        <f t="array" ref="G49">SUMPRODUCT(('Rent-roll'!$E49='A&amp;R'!$V$26:$V$32)*('A&amp;R'!$AB$26:$AB$32))/1000</f>
        <v>55.321485107997873</v>
      </c>
      <c r="H49" s="744">
        <f t="shared" si="12"/>
        <v>141.01000000000002</v>
      </c>
      <c r="I49" s="745">
        <f t="shared" si="13"/>
        <v>49979</v>
      </c>
      <c r="J49" s="745"/>
      <c r="K49" s="754">
        <f t="shared" si="16"/>
        <v>2.5000000000000001E-2</v>
      </c>
      <c r="L49" s="748"/>
      <c r="M49" s="749"/>
      <c r="N49" s="747">
        <f t="shared" si="15"/>
        <v>0</v>
      </c>
      <c r="O49" s="733"/>
      <c r="P49" s="747">
        <f>$G49*$H49*(1+$K49)^MAX(ROUNDUP(IFERROR(DATEDIF($I31-1,P$15+1,"m"),)/12,)-1,)*Index!L$22*(P$15&gt;$I49)*(1-P$12)</f>
        <v>0</v>
      </c>
      <c r="Q49" s="747">
        <f>$G49*$H49*(1+$K49)^MAX(ROUNDUP(IFERROR(DATEDIF($I31-1,Q$15+1,"m"),)/12,)-1,)*Index!M$22*(Q$15&gt;$I49)*(1-Q$12)</f>
        <v>0</v>
      </c>
      <c r="R49" s="747">
        <f>$G49*$H49*(1+$K49)^MAX(ROUNDUP(IFERROR(DATEDIF($I31-1,R$15+1,"m"),)/12,)-1,)*Index!N$22*(R$15&gt;$I49)*(1-R$12)</f>
        <v>0</v>
      </c>
      <c r="S49" s="747">
        <f>$G49*$H49*(1+$K49)^MAX(ROUNDUP(IFERROR(DATEDIF($I31-1,S$15+1,"m"),)/12,)-1,)*Index!O$22*(S$15&gt;$I49)*(1-S$12)</f>
        <v>0</v>
      </c>
      <c r="T49" s="747">
        <f>$G49*$H49*(1+$K49)^MAX(ROUNDUP(IFERROR(DATEDIF($I31-1,T$15+1,"m"),)/12,)-1,)*Index!P$22*(T$15&gt;$I49)*(1-T$12)</f>
        <v>0</v>
      </c>
      <c r="U49" s="747">
        <f>$G49*$H49*(1+$K49)^MAX(ROUNDUP(IFERROR(DATEDIF($I31-1,U$15+1,"m"),)/12,)-1,)*Index!Q$22*(U$15&gt;$I49)*(1-U$12)</f>
        <v>0</v>
      </c>
      <c r="V49" s="747">
        <f>$G49*$H49*(1+$K49)^MAX(ROUNDUP(IFERROR(DATEDIF($I31-1,V$15+1,"m"),)/12,)-1,)*Index!R$22*(V$15&gt;$I49)*(1-V$12)</f>
        <v>0</v>
      </c>
      <c r="W49" s="747">
        <f>$G49*$H49*(1+$K49)^MAX(ROUNDUP(IFERROR(DATEDIF($I31-1,W$15+1,"m"),)/12,)-1,)*Index!S$22*(W$15&gt;$I49)*(1-W$12)</f>
        <v>0</v>
      </c>
      <c r="X49" s="747">
        <f>$G49*$H49*(1+$K49)^MAX(ROUNDUP(IFERROR(DATEDIF($I31-1,X$15+1,"m"),)/12,)-1,)*Index!T$22*(X$15&gt;$I49)*(1-X$12)</f>
        <v>0</v>
      </c>
      <c r="Y49" s="747">
        <f>$G49*$H49*(1+$K49)^MAX(ROUNDUP(IFERROR(DATEDIF($I31-1,Y$15+1,"m"),)/12,)-1,)*Index!U$22*(Y$15&gt;$I49)*(1-Y$12)</f>
        <v>0</v>
      </c>
      <c r="Z49" s="747">
        <f>$G49*$H49*(1+$K49)^MAX(ROUNDUP(IFERROR(DATEDIF($I31-1,Z$15+1,"m"),)/12,)-1,)*Index!V$22*(Z$15&gt;$I49)*(1-Z$12)</f>
        <v>0</v>
      </c>
      <c r="AA49" s="747">
        <f>$G49*$H49*(1+$K49)^MAX(ROUNDUP(IFERROR(DATEDIF($I31-1,AA$15+1,"m"),)/12,)-1,)*Index!W$22*(AA$15&gt;$I49)*(1-AA$12)</f>
        <v>0</v>
      </c>
      <c r="AB49" s="747">
        <f>$G49*$H49*(1+$K49)^MAX(ROUNDUP(IFERROR(DATEDIF($I31-1,AB$15+1,"m"),)/12,)-1,)*Index!X$22*(AB$15&gt;$I49)*(1-AB$12)</f>
        <v>0</v>
      </c>
      <c r="AC49" s="747">
        <f>$G49*$H49*(1+$K49)^MAX(ROUNDUP(IFERROR(DATEDIF($I31-1,AC$15+1,"m"),)/12,)-1,)*Index!Y$22*(AC$15&gt;$I49)*(1-AC$12)</f>
        <v>0</v>
      </c>
      <c r="AD49" s="747">
        <f>$G49*$H49*(1+$K49)^MAX(ROUNDUP(IFERROR(DATEDIF($I31-1,AD$15+1,"m"),)/12,)-1,)*Index!Z$22*(AD$15&gt;$I49)*(1-AD$12)</f>
        <v>0</v>
      </c>
      <c r="AE49" s="747">
        <f>$G49*$H49*(1+$K49)^MAX(ROUNDUP(IFERROR(DATEDIF($I31-1,AE$15+1,"m"),)/12,)-1,)*Index!AA$22*(AE$15&gt;$I49)*(1-AE$12)</f>
        <v>0</v>
      </c>
      <c r="AF49" s="747">
        <f>$G49*$H49*(1+$K49)^MAX(ROUNDUP(IFERROR(DATEDIF($I31-1,AF$15+1,"m"),)/12,)-1,)*Index!AB$22*(AF$15&gt;$I49)*(1-AF$12)</f>
        <v>0</v>
      </c>
      <c r="AG49" s="747">
        <f>$G49*$H49*(1+$K49)^MAX(ROUNDUP(IFERROR(DATEDIF($I31-1,AG$15+1,"m"),)/12,)-1,)*Index!AC$22*(AG$15&gt;$I49)*(1-AG$12)</f>
        <v>0</v>
      </c>
      <c r="AH49" s="747">
        <f>$G49*$H49*(1+$K49)^MAX(ROUNDUP(IFERROR(DATEDIF($I31-1,AH$15+1,"m"),)/12,)-1,)*Index!AD$22*(AH$15&gt;$I49)*(1-AH$12)</f>
        <v>0</v>
      </c>
      <c r="AI49" s="747">
        <f>$G49*$H49*(1+$K49)^MAX(ROUNDUP(IFERROR(DATEDIF($I31-1,AI$15+1,"m"),)/12,)-1,)*Index!AE$22*(AI$15&gt;$I49)*(1-AI$12)</f>
        <v>0</v>
      </c>
      <c r="AJ49" s="747">
        <f>$G49*$H49*(1+$K49)^MAX(ROUNDUP(IFERROR(DATEDIF($I31-1,AJ$15+1,"m"),)/12,)-1,)*Index!AF$22*(AJ$15&gt;$I49)*(1-AJ$12)</f>
        <v>0</v>
      </c>
      <c r="AK49" s="747">
        <f>$G49*$H49*(1+$K49)^MAX(ROUNDUP(IFERROR(DATEDIF($I31-1,AK$15+1,"m"),)/12,)-1,)*Index!AG$22*(AK$15&gt;$I49)*(1-AK$12)</f>
        <v>0</v>
      </c>
      <c r="AL49" s="747">
        <f>$G49*$H49*(1+$K49)^MAX(ROUNDUP(IFERROR(DATEDIF($I31-1,AL$15+1,"m"),)/12,)-1,)*Index!AH$22*(AL$15&gt;$I49)*(1-AL$12)</f>
        <v>0</v>
      </c>
      <c r="AM49" s="747">
        <f>$G49*$H49*(1+$K49)^MAX(ROUNDUP(IFERROR(DATEDIF($I31-1,AM$15+1,"m"),)/12,)-1,)*Index!AI$22*(AM$15&gt;$I49)*(1-AM$12)</f>
        <v>0</v>
      </c>
      <c r="AN49" s="747">
        <f>$G49*$H49*(1+$K49)^MAX(ROUNDUP(IFERROR(DATEDIF($I31-1,AN$15+1,"m"),)/12,)-1,)*Index!AJ$22*(AN$15&gt;$I49)*(1-AN$12)</f>
        <v>0</v>
      </c>
      <c r="AO49" s="747">
        <f>$G49*$H49*(1+$K49)^MAX(ROUNDUP(IFERROR(DATEDIF($I31-1,AO$15+1,"m"),)/12,)-1,)*Index!AK$22*(AO$15&gt;$I49)*(1-AO$12)</f>
        <v>0</v>
      </c>
      <c r="AP49" s="747">
        <f>$G49*$H49*(1+$K49)^MAX(ROUNDUP(IFERROR(DATEDIF($I31-1,AP$15+1,"m"),)/12,)-1,)*Index!AL$22*(AP$15&gt;$I49)*(1-AP$12)</f>
        <v>0</v>
      </c>
      <c r="AQ49" s="747">
        <f>$G49*$H49*(1+$K49)^MAX(ROUNDUP(IFERROR(DATEDIF($I31-1,AQ$15+1,"m"),)/12,)-1,)*Index!AM$22*(AQ$15&gt;$I49)*(1-AQ$12)</f>
        <v>0</v>
      </c>
      <c r="AR49" s="747">
        <f>$G49*$H49*(1+$K49)^MAX(ROUNDUP(IFERROR(DATEDIF($I31-1,AR$15+1,"m"),)/12,)-1,)*Index!AN$22*(AR$15&gt;$I49)*(1-AR$12)</f>
        <v>0</v>
      </c>
      <c r="AS49" s="747">
        <f>$G49*$H49*(1+$K49)^MAX(ROUNDUP(IFERROR(DATEDIF($I31-1,AS$15+1,"m"),)/12,)-1,)*Index!AO$22*(AS$15&gt;$I49)*(1-AS$12)</f>
        <v>0</v>
      </c>
      <c r="AT49" s="747">
        <f>$G49*$H49*(1+$K49)^MAX(ROUNDUP(IFERROR(DATEDIF($I31-1,AT$15+1,"m"),)/12,)-1,)*Index!AP$22*(AT$15&gt;$I49)*(1-AT$12)</f>
        <v>0</v>
      </c>
      <c r="AU49" s="747">
        <f>$G49*$H49*(1+$K49)^MAX(ROUNDUP(IFERROR(DATEDIF($I31-1,AU$15+1,"m"),)/12,)-1,)*Index!AQ$22*(AU$15&gt;$I49)*(1-AU$12)</f>
        <v>0</v>
      </c>
      <c r="AV49" s="747">
        <f>$G49*$H49*(1+$K49)^MAX(ROUNDUP(IFERROR(DATEDIF($I31-1,AV$15+1,"m"),)/12,)-1,)*Index!AR$22*(AV$15&gt;$I49)*(1-AV$12)</f>
        <v>0</v>
      </c>
      <c r="AW49" s="747">
        <f>$G49*$H49*(1+$K49)^MAX(ROUNDUP(IFERROR(DATEDIF($I31-1,AW$15+1,"m"),)/12,)-1,)*Index!AS$22*(AW$15&gt;$I49)*(1-AW$12)</f>
        <v>0</v>
      </c>
      <c r="AX49" s="747">
        <f>$G49*$H49*(1+$K49)^MAX(ROUNDUP(IFERROR(DATEDIF($I31-1,AX$15+1,"m"),)/12,)-1,)*Index!AT$22*(AX$15&gt;$I49)*(1-AX$12)</f>
        <v>0</v>
      </c>
      <c r="AY49" s="747">
        <f>$G49*$H49*(1+$K49)^MAX(ROUNDUP(IFERROR(DATEDIF($I31-1,AY$15+1,"m"),)/12,)-1,)*Index!AU$22*(AY$15&gt;$I49)*(1-AY$12)</f>
        <v>0</v>
      </c>
      <c r="AZ49" s="747">
        <f>$G49*$H49*(1+$K49)^MAX(ROUNDUP(IFERROR(DATEDIF($I31-1,AZ$15+1,"m"),)/12,)-1,)*Index!AV$22*(AZ$15&gt;$I49)*(1-AZ$12)</f>
        <v>0</v>
      </c>
      <c r="BA49" s="747">
        <f>$G49*$H49*(1+$K49)^MAX(ROUNDUP(IFERROR(DATEDIF($I31-1,BA$15+1,"m"),)/12,)-1,)*Index!AW$22*(BA$15&gt;$I49)*(1-BA$12)</f>
        <v>0</v>
      </c>
      <c r="BB49" s="747">
        <f>$G49*$H49*(1+$K49)^MAX(ROUNDUP(IFERROR(DATEDIF($I31-1,BB$15+1,"m"),)/12,)-1,)*Index!AX$22*(BB$15&gt;$I49)*(1-BB$12)</f>
        <v>0</v>
      </c>
      <c r="BC49" s="747">
        <f>$G49*$H49*(1+$K49)^MAX(ROUNDUP(IFERROR(DATEDIF($I31-1,BC$15+1,"m"),)/12,)-1,)*Index!AY$22*(BC$15&gt;$I49)*(1-BC$12)</f>
        <v>0</v>
      </c>
      <c r="BD49" s="747">
        <f>$G49*$H49*(1+$K49)^MAX(ROUNDUP(IFERROR(DATEDIF($I31-1,BD$15+1,"m"),)/12,)-1,)*Index!AZ$22*(BD$15&gt;$I49)*(1-BD$12)</f>
        <v>0</v>
      </c>
      <c r="BE49" s="747">
        <f>$G49*$H49*(1+$K49)^MAX(ROUNDUP(IFERROR(DATEDIF($I31-1,BE$15+1,"m"),)/12,)-1,)*Index!BA$22*(BE$15&gt;$I49)*(1-BE$12)</f>
        <v>0</v>
      </c>
      <c r="BF49" s="747">
        <f>$G49*$H49*(1+$K49)^MAX(ROUNDUP(IFERROR(DATEDIF($I31-1,BF$15+1,"m"),)/12,)-1,)*Index!BB$22*(BF$15&gt;$I49)*(1-BF$12)</f>
        <v>0</v>
      </c>
      <c r="BG49" s="747">
        <f>$G49*$H49*(1+$K49)^MAX(ROUNDUP(IFERROR(DATEDIF($I31-1,BG$15+1,"m"),)/12,)-1,)*Index!BC$22*(BG$15&gt;$I49)*(1-BG$12)</f>
        <v>0</v>
      </c>
      <c r="BH49" s="747">
        <f>$G49*$H49*(1+$K49)^MAX(ROUNDUP(IFERROR(DATEDIF($I31-1,BH$15+1,"m"),)/12,)-1,)*Index!BD$22*(BH$15&gt;$I49)*(1-BH$12)</f>
        <v>0</v>
      </c>
      <c r="BI49" s="747">
        <f>$G49*$H49*(1+$K49)^MAX(ROUNDUP(IFERROR(DATEDIF($I31-1,BI$15+1,"m"),)/12,)-1,)*Index!BE$22*(BI$15&gt;$I49)*(1-BI$12)</f>
        <v>0</v>
      </c>
      <c r="BJ49" s="747">
        <f>$G49*$H49*(1+$K49)^MAX(ROUNDUP(IFERROR(DATEDIF($I31-1,BJ$15+1,"m"),)/12,)-1,)*Index!BF$22*(BJ$15&gt;$I49)*(1-BJ$12)</f>
        <v>0</v>
      </c>
      <c r="BK49" s="747">
        <f>$G49*$H49*(1+$K49)^MAX(ROUNDUP(IFERROR(DATEDIF($I31-1,BK$15+1,"m"),)/12,)-1,)*Index!BG$22*(BK$15&gt;$I49)*(1-BK$12)</f>
        <v>0</v>
      </c>
      <c r="BL49" s="747">
        <f>$G49*$H49*(1+$K49)^MAX(ROUNDUP(IFERROR(DATEDIF($I31-1,BL$15+1,"m"),)/12,)-1,)*Index!BH$22*(BL$15&gt;$I49)*(1-BL$12)</f>
        <v>0</v>
      </c>
      <c r="BM49" s="747">
        <f>$G49*$H49*(1+$K49)^MAX(ROUNDUP(IFERROR(DATEDIF($I31-1,BM$15+1,"m"),)/12,)-1,)*Index!BI$22*(BM$15&gt;$I49)*(1-BM$12)</f>
        <v>0</v>
      </c>
      <c r="BN49" s="747">
        <f>$G49*$H49*(1+$K49)^MAX(ROUNDUP(IFERROR(DATEDIF($I31-1,BN$15+1,"m"),)/12,)-1,)*Index!BJ$22*(BN$15&gt;$I49)*(1-BN$12)</f>
        <v>0</v>
      </c>
      <c r="BO49" s="747">
        <f>$G49*$H49*(1+$K49)^MAX(ROUNDUP(IFERROR(DATEDIF($I31-1,BO$15+1,"m"),)/12,)-1,)*Index!BK$22*(BO$15&gt;$I49)*(1-BO$12)</f>
        <v>0</v>
      </c>
      <c r="BP49" s="747">
        <f>$G49*$H49*(1+$K49)^MAX(ROUNDUP(IFERROR(DATEDIF($I31-1,BP$15+1,"m"),)/12,)-1,)*Index!BL$22*(BP$15&gt;$I49)*(1-BP$12)</f>
        <v>0</v>
      </c>
      <c r="BQ49" s="747">
        <f>$G49*$H49*(1+$K49)^MAX(ROUNDUP(IFERROR(DATEDIF($I31-1,BQ$15+1,"m"),)/12,)-1,)*Index!BM$22*(BQ$15&gt;$I49)*(1-BQ$12)</f>
        <v>0</v>
      </c>
      <c r="BR49" s="747">
        <f>$G49*$H49*(1+$K49)^MAX(ROUNDUP(IFERROR(DATEDIF($I31-1,BR$15+1,"m"),)/12,)-1,)*Index!BN$22*(BR$15&gt;$I49)*(1-BR$12)</f>
        <v>0</v>
      </c>
      <c r="BS49" s="747">
        <f>$G49*$H49*(1+$K49)^MAX(ROUNDUP(IFERROR(DATEDIF($I31-1,BS$15+1,"m"),)/12,)-1,)*Index!BO$22*(BS$15&gt;$I49)*(1-BS$12)</f>
        <v>0</v>
      </c>
      <c r="BT49" s="747">
        <f>$G49*$H49*(1+$K49)^MAX(ROUNDUP(IFERROR(DATEDIF($I31-1,BT$15+1,"m"),)/12,)-1,)*Index!BP$22*(BT$15&gt;$I49)*(1-BT$12)</f>
        <v>0</v>
      </c>
      <c r="BU49" s="747">
        <f>$G49*$H49*(1+$K49)^MAX(ROUNDUP(IFERROR(DATEDIF($I31-1,BU$15+1,"m"),)/12,)-1,)*Index!BQ$22*(BU$15&gt;$I49)*(1-BU$12)</f>
        <v>0</v>
      </c>
      <c r="BV49" s="747">
        <f>$G49*$H49*(1+$K49)^MAX(ROUNDUP(IFERROR(DATEDIF($I31-1,BV$15+1,"m"),)/12,)-1,)*Index!BR$22*(BV$15&gt;$I49)*(1-BV$12)</f>
        <v>0</v>
      </c>
      <c r="BW49" s="747">
        <f>$G49*$H49*(1+$K49)^MAX(ROUNDUP(IFERROR(DATEDIF($I31-1,BW$15+1,"m"),)/12,)-1,)*Index!BS$22*(BW$15&gt;$I49)*(1-BW$12)</f>
        <v>0</v>
      </c>
      <c r="BX49" s="747">
        <f>$G49*$H49*(1+$K49)^MAX(ROUNDUP(IFERROR(DATEDIF($I31-1,BX$15+1,"m"),)/12,)-1,)*Index!BT$22*(BX$15&gt;$I49)*(1-BX$12)</f>
        <v>0</v>
      </c>
      <c r="BY49" s="747">
        <f>$G49*$H49*(1+$K49)^MAX(ROUNDUP(IFERROR(DATEDIF($I31-1,BY$15+1,"m"),)/12,)-1,)*Index!BU$22*(BY$15&gt;$I49)*(1-BY$12)</f>
        <v>0</v>
      </c>
      <c r="BZ49" s="747">
        <f>$G49*$H49*(1+$K49)^MAX(ROUNDUP(IFERROR(DATEDIF($I31-1,BZ$15+1,"m"),)/12,)-1,)*Index!BV$22*(BZ$15&gt;$I49)*(1-BZ$12)</f>
        <v>0</v>
      </c>
      <c r="CA49" s="747">
        <f>$G49*$H49*(1+$K49)^MAX(ROUNDUP(IFERROR(DATEDIF($I31-1,CA$15+1,"m"),)/12,)-1,)*Index!BW$22*(CA$15&gt;$I49)*(1-CA$12)</f>
        <v>0</v>
      </c>
      <c r="CB49" s="747">
        <f>$G49*$H49*(1+$K49)^MAX(ROUNDUP(IFERROR(DATEDIF($I31-1,CB$15+1,"m"),)/12,)-1,)*Index!BX$22*(CB$15&gt;$I49)*(1-CB$12)</f>
        <v>0</v>
      </c>
      <c r="CC49" s="747">
        <f>$G49*$H49*(1+$K49)^MAX(ROUNDUP(IFERROR(DATEDIF($I31-1,CC$15+1,"m"),)/12,)-1,)*Index!BY$22*(CC$15&gt;$I49)*(1-CC$12)</f>
        <v>0</v>
      </c>
      <c r="CD49" s="747">
        <f>$G49*$H49*(1+$K49)^MAX(ROUNDUP(IFERROR(DATEDIF($I31-1,CD$15+1,"m"),)/12,)-1,)*Index!BZ$22*(CD$15&gt;$I49)*(1-CD$12)</f>
        <v>0</v>
      </c>
      <c r="CE49" s="747">
        <f>$G49*$H49*(1+$K49)^MAX(ROUNDUP(IFERROR(DATEDIF($I31-1,CE$15+1,"m"),)/12,)-1,)*Index!CA$22*(CE$15&gt;$I49)*(1-CE$12)</f>
        <v>0</v>
      </c>
      <c r="CF49" s="747">
        <f>$G49*$H49*(1+$K49)^MAX(ROUNDUP(IFERROR(DATEDIF($I31-1,CF$15+1,"m"),)/12,)-1,)*Index!CB$22*(CF$15&gt;$I49)*(1-CF$12)</f>
        <v>0</v>
      </c>
      <c r="CG49" s="747">
        <f>$G49*$H49*(1+$K49)^MAX(ROUNDUP(IFERROR(DATEDIF($I31-1,CG$15+1,"m"),)/12,)-1,)*Index!CC$22*(CG$15&gt;$I49)*(1-CG$12)</f>
        <v>0</v>
      </c>
      <c r="CH49" s="747">
        <f>$G49*$H49*(1+$K49)^MAX(ROUNDUP(IFERROR(DATEDIF($I31-1,CH$15+1,"m"),)/12,)-1,)*Index!CD$22*(CH$15&gt;$I49)*(1-CH$12)</f>
        <v>0</v>
      </c>
      <c r="CI49" s="747">
        <f>$G49*$H49*(1+$K49)^MAX(ROUNDUP(IFERROR(DATEDIF($I31-1,CI$15+1,"m"),)/12,)-1,)*Index!CE$22*(CI$15&gt;$I49)*(1-CI$12)</f>
        <v>0</v>
      </c>
      <c r="CJ49" s="747">
        <f>$G49*$H49*(1+$K49)^MAX(ROUNDUP(IFERROR(DATEDIF($I31-1,CJ$15+1,"m"),)/12,)-1,)*Index!CF$22*(CJ$15&gt;$I49)*(1-CJ$12)</f>
        <v>0</v>
      </c>
      <c r="CK49" s="747">
        <f>$G49*$H49*(1+$K49)^MAX(ROUNDUP(IFERROR(DATEDIF($I31-1,CK$15+1,"m"),)/12,)-1,)*Index!CG$22*(CK$15&gt;$I49)*(1-CK$12)</f>
        <v>0</v>
      </c>
      <c r="CL49" s="747">
        <f>$G49*$H49*(1+$K49)^MAX(ROUNDUP(IFERROR(DATEDIF($I31-1,CL$15+1,"m"),)/12,)-1,)*Index!CH$22*(CL$15&gt;$I49)*(1-CL$12)</f>
        <v>0</v>
      </c>
      <c r="CM49" s="747">
        <f>$G49*$H49*(1+$K49)^MAX(ROUNDUP(IFERROR(DATEDIF($I31-1,CM$15+1,"m"),)/12,)-1,)*Index!CI$22*(CM$15&gt;$I49)*(1-CM$12)</f>
        <v>0</v>
      </c>
      <c r="CN49" s="747">
        <f>$G49*$H49*(1+$K49)^MAX(ROUNDUP(IFERROR(DATEDIF($I31-1,CN$15+1,"m"),)/12,)-1,)*Index!CJ$22*(CN$15&gt;$I49)*(1-CN$12)</f>
        <v>0</v>
      </c>
      <c r="CO49" s="747">
        <f>$G49*$H49*(1+$K49)^MAX(ROUNDUP(IFERROR(DATEDIF($I31-1,CO$15+1,"m"),)/12,)-1,)*Index!CK$22*(CO$15&gt;$I49)*(1-CO$12)</f>
        <v>0</v>
      </c>
      <c r="CP49" s="747">
        <f>$G49*$H49*(1+$K49)^MAX(ROUNDUP(IFERROR(DATEDIF($I31-1,CP$15+1,"m"),)/12,)-1,)*Index!CL$22*(CP$15&gt;$I49)*(1-CP$12)</f>
        <v>0</v>
      </c>
      <c r="CQ49" s="747">
        <f>$G49*$H49*(1+$K49)^MAX(ROUNDUP(IFERROR(DATEDIF($I31-1,CQ$15+1,"m"),)/12,)-1,)*Index!CM$22*(CQ$15&gt;$I49)*(1-CQ$12)</f>
        <v>0</v>
      </c>
      <c r="CR49" s="747">
        <f>$G49*$H49*(1+$K49)^MAX(ROUNDUP(IFERROR(DATEDIF($I31-1,CR$15+1,"m"),)/12,)-1,)*Index!CN$22*(CR$15&gt;$I49)*(1-CR$12)</f>
        <v>0</v>
      </c>
      <c r="CS49" s="747">
        <f>$G49*$H49*(1+$K49)^MAX(ROUNDUP(IFERROR(DATEDIF($I31-1,CS$15+1,"m"),)/12,)-1,)*Index!CO$22*(CS$15&gt;$I49)*(1-CS$12)</f>
        <v>0</v>
      </c>
      <c r="CT49" s="747">
        <f>$G49*$H49*(1+$K49)^MAX(ROUNDUP(IFERROR(DATEDIF($I31-1,CT$15+1,"m"),)/12,)-1,)*Index!CP$22*(CT$15&gt;$I49)*(1-CT$12)</f>
        <v>0</v>
      </c>
      <c r="CU49" s="747">
        <f>$G49*$H49*(1+$K49)^MAX(ROUNDUP(IFERROR(DATEDIF($I31-1,CU$15+1,"m"),)/12,)-1,)*Index!CQ$22*(CU$15&gt;$I49)*(1-CU$12)</f>
        <v>0</v>
      </c>
      <c r="CV49" s="747">
        <f>$G49*$H49*(1+$K49)^MAX(ROUNDUP(IFERROR(DATEDIF($I31-1,CV$15+1,"m"),)/12,)-1,)*Index!CR$22*(CV$15&gt;$I49)*(1-CV$12)</f>
        <v>0</v>
      </c>
      <c r="CW49" s="747">
        <f>$G49*$H49*(1+$K49)^MAX(ROUNDUP(IFERROR(DATEDIF($I31-1,CW$15+1,"m"),)/12,)-1,)*Index!CS$22*(CW$15&gt;$I49)*(1-CW$12)</f>
        <v>0</v>
      </c>
      <c r="CX49" s="747">
        <f>$G49*$H49*(1+$K49)^MAX(ROUNDUP(IFERROR(DATEDIF($I31-1,CX$15+1,"m"),)/12,)-1,)*Index!CT$22*(CX$15&gt;$I49)*(1-CX$12)</f>
        <v>0</v>
      </c>
      <c r="CY49" s="747">
        <f>$G49*$H49*(1+$K49)^MAX(ROUNDUP(IFERROR(DATEDIF($I31-1,CY$15+1,"m"),)/12,)-1,)*Index!CU$22*(CY$15&gt;$I49)*(1-CY$12)</f>
        <v>0</v>
      </c>
      <c r="CZ49" s="747">
        <f>$G49*$H49*(1+$K49)^MAX(ROUNDUP(IFERROR(DATEDIF($I31-1,CZ$15+1,"m"),)/12,)-1,)*Index!CV$22*(CZ$15&gt;$I49)*(1-CZ$12)</f>
        <v>0</v>
      </c>
      <c r="DA49" s="747">
        <f>$G49*$H49*(1+$K49)^MAX(ROUNDUP(IFERROR(DATEDIF($I31-1,DA$15+1,"m"),)/12,)-1,)*Index!CW$22*(DA$15&gt;$I49)*(1-DA$12)</f>
        <v>0</v>
      </c>
      <c r="DB49" s="747">
        <f>$G49*$H49*(1+$K49)^MAX(ROUNDUP(IFERROR(DATEDIF($I31-1,DB$15+1,"m"),)/12,)-1,)*Index!CX$22*(DB$15&gt;$I49)*(1-DB$12)</f>
        <v>0</v>
      </c>
      <c r="DC49" s="747">
        <f>$G49*$H49*(1+$K49)^MAX(ROUNDUP(IFERROR(DATEDIF($I31-1,DC$15+1,"m"),)/12,)-1,)*Index!CY$22*(DC$15&gt;$I49)*(1-DC$12)</f>
        <v>0</v>
      </c>
      <c r="DD49" s="747">
        <f>$G49*$H49*(1+$K49)^MAX(ROUNDUP(IFERROR(DATEDIF($I31-1,DD$15+1,"m"),)/12,)-1,)*Index!CZ$22*(DD$15&gt;$I49)*(1-DD$12)</f>
        <v>0</v>
      </c>
      <c r="DE49" s="747">
        <f>$G49*$H49*(1+$K49)^MAX(ROUNDUP(IFERROR(DATEDIF($I31-1,DE$15+1,"m"),)/12,)-1,)*Index!DA$22*(DE$15&gt;$I49)*(1-DE$12)</f>
        <v>0</v>
      </c>
      <c r="DF49" s="747">
        <f>$G49*$H49*(1+$K49)^MAX(ROUNDUP(IFERROR(DATEDIF($I31-1,DF$15+1,"m"),)/12,)-1,)*Index!DB$22*(DF$15&gt;$I49)*(1-DF$12)</f>
        <v>0</v>
      </c>
      <c r="DG49" s="747">
        <f>$G49*$H49*(1+$K49)^MAX(ROUNDUP(IFERROR(DATEDIF($I31-1,DG$15+1,"m"),)/12,)-1,)*Index!DC$22*(DG$15&gt;$I49)*(1-DG$12)</f>
        <v>0</v>
      </c>
      <c r="DH49" s="747">
        <f>$G49*$H49*(1+$K49)^MAX(ROUNDUP(IFERROR(DATEDIF($I31-1,DH$15+1,"m"),)/12,)-1,)*Index!DD$22*(DH$15&gt;$I49)*(1-DH$12)</f>
        <v>0</v>
      </c>
      <c r="DI49" s="747">
        <f>$G49*$H49*(1+$K49)^MAX(ROUNDUP(IFERROR(DATEDIF($I31-1,DI$15+1,"m"),)/12,)-1,)*Index!DE$22*(DI$15&gt;$I49)*(1-DI$12)</f>
        <v>0</v>
      </c>
      <c r="DJ49" s="747">
        <f>$G49*$H49*(1+$K49)^MAX(ROUNDUP(IFERROR(DATEDIF($I31-1,DJ$15+1,"m"),)/12,)-1,)*Index!DF$22*(DJ$15&gt;$I49)*(1-DJ$12)</f>
        <v>0</v>
      </c>
      <c r="DK49" s="747">
        <f>$G49*$H49*(1+$K49)^MAX(ROUNDUP(IFERROR(DATEDIF($I31-1,DK$15+1,"m"),)/12,)-1,)*Index!DG$22*(DK$15&gt;$I49)*(1-DK$12)</f>
        <v>0</v>
      </c>
      <c r="DL49" s="747">
        <f>$G49*$H49*(1+$K49)^MAX(ROUNDUP(IFERROR(DATEDIF($I31-1,DL$15+1,"m"),)/12,)-1,)*Index!DH$22*(DL$15&gt;$I49)*(1-DL$12)</f>
        <v>0</v>
      </c>
      <c r="DM49" s="747">
        <f>$G49*$H49*(1+$K49)^MAX(ROUNDUP(IFERROR(DATEDIF($I31-1,DM$15+1,"m"),)/12,)-1,)*Index!DI$22*(DM$15&gt;$I49)*(1-DM$12)</f>
        <v>0</v>
      </c>
      <c r="DN49" s="747">
        <f>$G49*$H49*(1+$K49)^MAX(ROUNDUP(IFERROR(DATEDIF($I31-1,DN$15+1,"m"),)/12,)-1,)*Index!DJ$22*(DN$15&gt;$I49)*(1-DN$12)</f>
        <v>0</v>
      </c>
      <c r="DO49" s="747">
        <f>$G49*$H49*(1+$K49)^MAX(ROUNDUP(IFERROR(DATEDIF($I31-1,DO$15+1,"m"),)/12,)-1,)*Index!DK$22*(DO$15&gt;$I49)*(1-DO$12)</f>
        <v>0</v>
      </c>
      <c r="DP49" s="747">
        <f>$G49*$H49*(1+$K49)^MAX(ROUNDUP(IFERROR(DATEDIF($I31-1,DP$15+1,"m"),)/12,)-1,)*Index!DL$22*(DP$15&gt;$I49)*(1-DP$12)</f>
        <v>0</v>
      </c>
      <c r="DQ49" s="747">
        <f>$G49*$H49*(1+$K49)^MAX(ROUNDUP(IFERROR(DATEDIF($I31-1,DQ$15+1,"m"),)/12,)-1,)*Index!DM$22*(DQ$15&gt;$I49)*(1-DQ$12)</f>
        <v>0</v>
      </c>
      <c r="DR49" s="747">
        <f>$G49*$H49*(1+$K49)^MAX(ROUNDUP(IFERROR(DATEDIF($I31-1,DR$15+1,"m"),)/12,)-1,)*Index!DN$22*(DR$15&gt;$I49)*(1-DR$12)</f>
        <v>0</v>
      </c>
      <c r="DS49" s="747">
        <f>$G49*$H49*(1+$K49)^MAX(ROUNDUP(IFERROR(DATEDIF($I31-1,DS$15+1,"m"),)/12,)-1,)*Index!DO$22*(DS$15&gt;$I49)*(1-DS$12)</f>
        <v>0</v>
      </c>
      <c r="DT49" s="747">
        <f>$G49*$H49*(1+$K49)^MAX(ROUNDUP(IFERROR(DATEDIF($I31-1,DT$15+1,"m"),)/12,)-1,)*Index!DP$22*(DT$15&gt;$I49)*(1-DT$12)</f>
        <v>0</v>
      </c>
      <c r="DU49" s="747">
        <f>$G49*$H49*(1+$K49)^MAX(ROUNDUP(IFERROR(DATEDIF($I31-1,DU$15+1,"m"),)/12,)-1,)*Index!DQ$22*(DU$15&gt;$I49)*(1-DU$12)</f>
        <v>0</v>
      </c>
      <c r="DV49" s="747">
        <f>$G49*$H49*(1+$K49)^MAX(ROUNDUP(IFERROR(DATEDIF($I31-1,DV$15+1,"m"),)/12,)-1,)*Index!DR$22*(DV$15&gt;$I49)*(1-DV$12)</f>
        <v>0</v>
      </c>
      <c r="DW49" s="747">
        <f>$G49*$H49*(1+$K49)^MAX(ROUNDUP(IFERROR(DATEDIF($I31-1,DW$15+1,"m"),)/12,)-1,)*Index!DS$22*(DW$15&gt;$I49)*(1-DW$12)</f>
        <v>0</v>
      </c>
      <c r="DX49" s="747">
        <f>$G49*$H49*(1+$K49)^MAX(ROUNDUP(IFERROR(DATEDIF($I31-1,DX$15+1,"m"),)/12,)-1,)*Index!DT$22*(DX$15&gt;$I49)*(1-DX$12)</f>
        <v>0</v>
      </c>
      <c r="DY49" s="747">
        <f>$G49*$H49*(1+$K49)^MAX(ROUNDUP(IFERROR(DATEDIF($I31-1,DY$15+1,"m"),)/12,)-1,)*Index!DU$22*(DY$15&gt;$I49)*(1-DY$12)</f>
        <v>0</v>
      </c>
      <c r="DZ49" s="747">
        <f>$G49*$H49*(1+$K49)^MAX(ROUNDUP(IFERROR(DATEDIF($I31-1,DZ$15+1,"m"),)/12,)-1,)*Index!DV$22*(DZ$15&gt;$I49)*(1-DZ$12)</f>
        <v>0</v>
      </c>
      <c r="EA49" s="747">
        <f>$G49*$H49*(1+$K49)^MAX(ROUNDUP(IFERROR(DATEDIF($I31-1,EA$15+1,"m"),)/12,)-1,)*Index!DW$22*(EA$15&gt;$I49)*(1-EA$12)</f>
        <v>0</v>
      </c>
      <c r="EB49" s="747">
        <f>$G49*$H49*(1+$K49)^MAX(ROUNDUP(IFERROR(DATEDIF($I31-1,EB$15+1,"m"),)/12,)-1,)*Index!DX$22*(EB$15&gt;$I49)*(1-EB$12)</f>
        <v>0</v>
      </c>
      <c r="EC49" s="747">
        <f>$G49*$H49*(1+$K49)^MAX(ROUNDUP(IFERROR(DATEDIF($I31-1,EC$15+1,"m"),)/12,)-1,)*Index!DY$22*(EC$15&gt;$I49)*(1-EC$12)</f>
        <v>0</v>
      </c>
      <c r="ED49" s="747">
        <f>$G49*$H49*(1+$K49)^MAX(ROUNDUP(IFERROR(DATEDIF($I31-1,ED$15+1,"m"),)/12,)-1,)*Index!DZ$22*(ED$15&gt;$I49)*(1-ED$12)</f>
        <v>0</v>
      </c>
      <c r="EE49" s="747">
        <f>$G49*$H49*(1+$K49)^MAX(ROUNDUP(IFERROR(DATEDIF($I31-1,EE$15+1,"m"),)/12,)-1,)*Index!EA$22*(EE$15&gt;$I49)*(1-EE$12)</f>
        <v>0</v>
      </c>
      <c r="EF49" s="747">
        <f>$G49*$H49*(1+$K49)^MAX(ROUNDUP(IFERROR(DATEDIF($I31-1,EF$15+1,"m"),)/12,)-1,)*Index!EB$22*(EF$15&gt;$I49)*(1-EF$12)</f>
        <v>0</v>
      </c>
      <c r="EG49" s="747">
        <f>$G49*$H49*(1+$K49)^MAX(ROUNDUP(IFERROR(DATEDIF($I31-1,EG$15+1,"m"),)/12,)-1,)*Index!EC$22*(EG$15&gt;$I49)*(1-EG$12)</f>
        <v>0</v>
      </c>
      <c r="EH49" s="747">
        <f>$G49*$H49*(1+$K49)^MAX(ROUNDUP(IFERROR(DATEDIF($I31-1,EH$15+1,"m"),)/12,)-1,)*Index!ED$22*(EH$15&gt;$I49)*(1-EH$12)</f>
        <v>0</v>
      </c>
      <c r="EI49" s="747">
        <f>$G49*$H49*(1+$K49)^MAX(ROUNDUP(IFERROR(DATEDIF($I31-1,EI$15+1,"m"),)/12,)-1,)*Index!EE$22*(EI$15&gt;$I49)*(1-EI$12)</f>
        <v>0</v>
      </c>
      <c r="EJ49" s="747">
        <f>$G49*$H49*(1+$K49)^MAX(ROUNDUP(IFERROR(DATEDIF($I31-1,EJ$15+1,"m"),)/12,)-1,)*Index!EF$22*(EJ$15&gt;$I49)*(1-EJ$12)</f>
        <v>0</v>
      </c>
      <c r="EK49" s="747">
        <f>$G49*$H49*(1+$K49)^MAX(ROUNDUP(IFERROR(DATEDIF($I31-1,EK$15+1,"m"),)/12,)-1,)*Index!EG$22*(EK$15&gt;$I49)*(1-EK$12)</f>
        <v>0</v>
      </c>
      <c r="EL49" s="747">
        <f>$G49*$H49*(1+$K49)^MAX(ROUNDUP(IFERROR(DATEDIF($I31-1,EL$15+1,"m"),)/12,)-1,)*Index!EH$22*(EL$15&gt;$I49)*(1-EL$12)</f>
        <v>0</v>
      </c>
      <c r="EM49" s="747">
        <f>$G49*$H49*(1+$K49)^MAX(ROUNDUP(IFERROR(DATEDIF($I31-1,EM$15+1,"m"),)/12,)-1,)*Index!EI$22*(EM$15&gt;$I49)*(1-EM$12)</f>
        <v>0</v>
      </c>
      <c r="EN49" s="747">
        <f>$G49*$H49*(1+$K49)^MAX(ROUNDUP(IFERROR(DATEDIF($I31-1,EN$15+1,"m"),)/12,)-1,)*Index!EJ$22*(EN$15&gt;$I49)*(1-EN$12)</f>
        <v>0</v>
      </c>
      <c r="EO49" s="747">
        <f>$G49*$H49*(1+$K49)^MAX(ROUNDUP(IFERROR(DATEDIF($I31-1,EO$15+1,"m"),)/12,)-1,)*Index!EK$22*(EO$15&gt;$I49)*(1-EO$12)</f>
        <v>0</v>
      </c>
      <c r="EP49" s="747">
        <f>$G49*$H49*(1+$K49)^MAX(ROUNDUP(IFERROR(DATEDIF($I31-1,EP$15+1,"m"),)/12,)-1,)*Index!EL$22*(EP$15&gt;$I49)*(1-EP$12)</f>
        <v>0</v>
      </c>
      <c r="EQ49" s="747">
        <f>$G49*$H49*(1+$K49)^MAX(ROUNDUP(IFERROR(DATEDIF($I31-1,EQ$15+1,"m"),)/12,)-1,)*Index!EM$22*(EQ$15&gt;$I49)*(1-EQ$12)</f>
        <v>0</v>
      </c>
      <c r="ER49" s="747">
        <f>$G49*$H49*(1+$K49)^MAX(ROUNDUP(IFERROR(DATEDIF($I31-1,ER$15+1,"m"),)/12,)-1,)*Index!EN$22*(ER$15&gt;$I49)*(1-ER$12)</f>
        <v>0</v>
      </c>
      <c r="ES49" s="747">
        <f>$G49*$H49*(1+$K49)^MAX(ROUNDUP(IFERROR(DATEDIF($I31-1,ES$15+1,"m"),)/12,)-1,)*Index!EO$22*(ES$15&gt;$I49)*(1-ES$12)</f>
        <v>0</v>
      </c>
      <c r="ET49" s="747">
        <f>$G49*$H49*(1+$K49)^MAX(ROUNDUP(IFERROR(DATEDIF($I31-1,ET$15+1,"m"),)/12,)-1,)*Index!EP$22*(ET$15&gt;$I49)*(1-ET$12)</f>
        <v>0</v>
      </c>
      <c r="EU49" s="747">
        <f>$G49*$H49*(1+$K49)^MAX(ROUNDUP(IFERROR(DATEDIF($I31-1,EU$15+1,"m"),)/12,)-1,)*Index!EQ$22*(EU$15&gt;$I49)*(1-EU$12)</f>
        <v>0</v>
      </c>
    </row>
    <row r="50" spans="3:151" ht="11.25" customHeight="1">
      <c r="C50" s="735"/>
      <c r="D50" s="743" t="str">
        <f t="shared" si="11"/>
        <v>B1</v>
      </c>
      <c r="E50" s="704" t="str">
        <f t="shared" si="11"/>
        <v>쿠팡</v>
      </c>
      <c r="F50" s="704" t="str">
        <f t="shared" si="11"/>
        <v>상온창고</v>
      </c>
      <c r="G50" s="752" cm="1">
        <f t="array" ref="G50">SUMPRODUCT(('Rent-roll'!$E50='A&amp;R'!$V$26:$V$32)*('A&amp;R'!$AB$26:$AB$32))/1000</f>
        <v>57.698001860542107</v>
      </c>
      <c r="H50" s="744">
        <f t="shared" si="12"/>
        <v>2745.32</v>
      </c>
      <c r="I50" s="745">
        <f t="shared" si="13"/>
        <v>49064</v>
      </c>
      <c r="J50" s="745"/>
      <c r="K50" s="754">
        <f t="shared" si="16"/>
        <v>2.5000000000000001E-2</v>
      </c>
      <c r="L50" s="748"/>
      <c r="M50" s="749"/>
      <c r="N50" s="747">
        <f t="shared" si="15"/>
        <v>6064025.2607380925</v>
      </c>
      <c r="O50" s="733"/>
      <c r="P50" s="747">
        <f>$G50*$H50*(1+$K50)^MAX(ROUNDUP(IFERROR(DATEDIF($I32-1,P$15+1,"m"),)/12,)-1,)*Index!L$22*(P$15&gt;$I50)*(1-P$12)</f>
        <v>0</v>
      </c>
      <c r="Q50" s="747">
        <f>$G50*$H50*(1+$K50)^MAX(ROUNDUP(IFERROR(DATEDIF($I32-1,Q$15+1,"m"),)/12,)-1,)*Index!M$22*(Q$15&gt;$I50)*(1-Q$12)</f>
        <v>0</v>
      </c>
      <c r="R50" s="747">
        <f>$G50*$H50*(1+$K50)^MAX(ROUNDUP(IFERROR(DATEDIF($I32-1,R$15+1,"m"),)/12,)-1,)*Index!N$22*(R$15&gt;$I50)*(1-R$12)</f>
        <v>0</v>
      </c>
      <c r="S50" s="747">
        <f>$G50*$H50*(1+$K50)^MAX(ROUNDUP(IFERROR(DATEDIF($I32-1,S$15+1,"m"),)/12,)-1,)*Index!O$22*(S$15&gt;$I50)*(1-S$12)</f>
        <v>0</v>
      </c>
      <c r="T50" s="747">
        <f>$G50*$H50*(1+$K50)^MAX(ROUNDUP(IFERROR(DATEDIF($I32-1,T$15+1,"m"),)/12,)-1,)*Index!P$22*(T$15&gt;$I50)*(1-T$12)</f>
        <v>0</v>
      </c>
      <c r="U50" s="747">
        <f>$G50*$H50*(1+$K50)^MAX(ROUNDUP(IFERROR(DATEDIF($I32-1,U$15+1,"m"),)/12,)-1,)*Index!Q$22*(U$15&gt;$I50)*(1-U$12)</f>
        <v>0</v>
      </c>
      <c r="V50" s="747">
        <f>$G50*$H50*(1+$K50)^MAX(ROUNDUP(IFERROR(DATEDIF($I32-1,V$15+1,"m"),)/12,)-1,)*Index!R$22*(V$15&gt;$I50)*(1-V$12)</f>
        <v>0</v>
      </c>
      <c r="W50" s="747">
        <f>$G50*$H50*(1+$K50)^MAX(ROUNDUP(IFERROR(DATEDIF($I32-1,W$15+1,"m"),)/12,)-1,)*Index!S$22*(W$15&gt;$I50)*(1-W$12)</f>
        <v>0</v>
      </c>
      <c r="X50" s="747">
        <f>$G50*$H50*(1+$K50)^MAX(ROUNDUP(IFERROR(DATEDIF($I32-1,X$15+1,"m"),)/12,)-1,)*Index!T$22*(X$15&gt;$I50)*(1-X$12)</f>
        <v>0</v>
      </c>
      <c r="Y50" s="747">
        <f>$G50*$H50*(1+$K50)^MAX(ROUNDUP(IFERROR(DATEDIF($I32-1,Y$15+1,"m"),)/12,)-1,)*Index!U$22*(Y$15&gt;$I50)*(1-Y$12)</f>
        <v>0</v>
      </c>
      <c r="Z50" s="747">
        <f>$G50*$H50*(1+$K50)^MAX(ROUNDUP(IFERROR(DATEDIF($I32-1,Z$15+1,"m"),)/12,)-1,)*Index!V$22*(Z$15&gt;$I50)*(1-Z$12)</f>
        <v>0</v>
      </c>
      <c r="AA50" s="747">
        <f>$G50*$H50*(1+$K50)^MAX(ROUNDUP(IFERROR(DATEDIF($I32-1,AA$15+1,"m"),)/12,)-1,)*Index!W$22*(AA$15&gt;$I50)*(1-AA$12)</f>
        <v>0</v>
      </c>
      <c r="AB50" s="747">
        <f>$G50*$H50*(1+$K50)^MAX(ROUNDUP(IFERROR(DATEDIF($I32-1,AB$15+1,"m"),)/12,)-1,)*Index!X$22*(AB$15&gt;$I50)*(1-AB$12)</f>
        <v>0</v>
      </c>
      <c r="AC50" s="747">
        <f>$G50*$H50*(1+$K50)^MAX(ROUNDUP(IFERROR(DATEDIF($I32-1,AC$15+1,"m"),)/12,)-1,)*Index!Y$22*(AC$15&gt;$I50)*(1-AC$12)</f>
        <v>0</v>
      </c>
      <c r="AD50" s="747">
        <f>$G50*$H50*(1+$K50)^MAX(ROUNDUP(IFERROR(DATEDIF($I32-1,AD$15+1,"m"),)/12,)-1,)*Index!Z$22*(AD$15&gt;$I50)*(1-AD$12)</f>
        <v>0</v>
      </c>
      <c r="AE50" s="747">
        <f>$G50*$H50*(1+$K50)^MAX(ROUNDUP(IFERROR(DATEDIF($I32-1,AE$15+1,"m"),)/12,)-1,)*Index!AA$22*(AE$15&gt;$I50)*(1-AE$12)</f>
        <v>0</v>
      </c>
      <c r="AF50" s="747">
        <f>$G50*$H50*(1+$K50)^MAX(ROUNDUP(IFERROR(DATEDIF($I32-1,AF$15+1,"m"),)/12,)-1,)*Index!AB$22*(AF$15&gt;$I50)*(1-AF$12)</f>
        <v>0</v>
      </c>
      <c r="AG50" s="747">
        <f>$G50*$H50*(1+$K50)^MAX(ROUNDUP(IFERROR(DATEDIF($I32-1,AG$15+1,"m"),)/12,)-1,)*Index!AC$22*(AG$15&gt;$I50)*(1-AG$12)</f>
        <v>0</v>
      </c>
      <c r="AH50" s="747">
        <f>$G50*$H50*(1+$K50)^MAX(ROUNDUP(IFERROR(DATEDIF($I32-1,AH$15+1,"m"),)/12,)-1,)*Index!AD$22*(AH$15&gt;$I50)*(1-AH$12)</f>
        <v>0</v>
      </c>
      <c r="AI50" s="747">
        <f>$G50*$H50*(1+$K50)^MAX(ROUNDUP(IFERROR(DATEDIF($I32-1,AI$15+1,"m"),)/12,)-1,)*Index!AE$22*(AI$15&gt;$I50)*(1-AI$12)</f>
        <v>0</v>
      </c>
      <c r="AJ50" s="747">
        <f>$G50*$H50*(1+$K50)^MAX(ROUNDUP(IFERROR(DATEDIF($I32-1,AJ$15+1,"m"),)/12,)-1,)*Index!AF$22*(AJ$15&gt;$I50)*(1-AJ$12)</f>
        <v>0</v>
      </c>
      <c r="AK50" s="747">
        <f>$G50*$H50*(1+$K50)^MAX(ROUNDUP(IFERROR(DATEDIF($I32-1,AK$15+1,"m"),)/12,)-1,)*Index!AG$22*(AK$15&gt;$I50)*(1-AK$12)</f>
        <v>0</v>
      </c>
      <c r="AL50" s="747">
        <f>$G50*$H50*(1+$K50)^MAX(ROUNDUP(IFERROR(DATEDIF($I32-1,AL$15+1,"m"),)/12,)-1,)*Index!AH$22*(AL$15&gt;$I50)*(1-AL$12)</f>
        <v>0</v>
      </c>
      <c r="AM50" s="747">
        <f>$G50*$H50*(1+$K50)^MAX(ROUNDUP(IFERROR(DATEDIF($I32-1,AM$15+1,"m"),)/12,)-1,)*Index!AI$22*(AM$15&gt;$I50)*(1-AM$12)</f>
        <v>0</v>
      </c>
      <c r="AN50" s="747">
        <f>$G50*$H50*(1+$K50)^MAX(ROUNDUP(IFERROR(DATEDIF($I32-1,AN$15+1,"m"),)/12,)-1,)*Index!AJ$22*(AN$15&gt;$I50)*(1-AN$12)</f>
        <v>0</v>
      </c>
      <c r="AO50" s="747">
        <f>$G50*$H50*(1+$K50)^MAX(ROUNDUP(IFERROR(DATEDIF($I32-1,AO$15+1,"m"),)/12,)-1,)*Index!AK$22*(AO$15&gt;$I50)*(1-AO$12)</f>
        <v>0</v>
      </c>
      <c r="AP50" s="747">
        <f>$G50*$H50*(1+$K50)^MAX(ROUNDUP(IFERROR(DATEDIF($I32-1,AP$15+1,"m"),)/12,)-1,)*Index!AL$22*(AP$15&gt;$I50)*(1-AP$12)</f>
        <v>0</v>
      </c>
      <c r="AQ50" s="747">
        <f>$G50*$H50*(1+$K50)^MAX(ROUNDUP(IFERROR(DATEDIF($I32-1,AQ$15+1,"m"),)/12,)-1,)*Index!AM$22*(AQ$15&gt;$I50)*(1-AQ$12)</f>
        <v>0</v>
      </c>
      <c r="AR50" s="747">
        <f>$G50*$H50*(1+$K50)^MAX(ROUNDUP(IFERROR(DATEDIF($I32-1,AR$15+1,"m"),)/12,)-1,)*Index!AN$22*(AR$15&gt;$I50)*(1-AR$12)</f>
        <v>0</v>
      </c>
      <c r="AS50" s="747">
        <f>$G50*$H50*(1+$K50)^MAX(ROUNDUP(IFERROR(DATEDIF($I32-1,AS$15+1,"m"),)/12,)-1,)*Index!AO$22*(AS$15&gt;$I50)*(1-AS$12)</f>
        <v>0</v>
      </c>
      <c r="AT50" s="747">
        <f>$G50*$H50*(1+$K50)^MAX(ROUNDUP(IFERROR(DATEDIF($I32-1,AT$15+1,"m"),)/12,)-1,)*Index!AP$22*(AT$15&gt;$I50)*(1-AT$12)</f>
        <v>0</v>
      </c>
      <c r="AU50" s="747">
        <f>$G50*$H50*(1+$K50)^MAX(ROUNDUP(IFERROR(DATEDIF($I32-1,AU$15+1,"m"),)/12,)-1,)*Index!AQ$22*(AU$15&gt;$I50)*(1-AU$12)</f>
        <v>0</v>
      </c>
      <c r="AV50" s="747">
        <f>$G50*$H50*(1+$K50)^MAX(ROUNDUP(IFERROR(DATEDIF($I32-1,AV$15+1,"m"),)/12,)-1,)*Index!AR$22*(AV$15&gt;$I50)*(1-AV$12)</f>
        <v>0</v>
      </c>
      <c r="AW50" s="747">
        <f>$G50*$H50*(1+$K50)^MAX(ROUNDUP(IFERROR(DATEDIF($I32-1,AW$15+1,"m"),)/12,)-1,)*Index!AS$22*(AW$15&gt;$I50)*(1-AW$12)</f>
        <v>0</v>
      </c>
      <c r="AX50" s="747">
        <f>$G50*$H50*(1+$K50)^MAX(ROUNDUP(IFERROR(DATEDIF($I32-1,AX$15+1,"m"),)/12,)-1,)*Index!AT$22*(AX$15&gt;$I50)*(1-AX$12)</f>
        <v>0</v>
      </c>
      <c r="AY50" s="747">
        <f>$G50*$H50*(1+$K50)^MAX(ROUNDUP(IFERROR(DATEDIF($I32-1,AY$15+1,"m"),)/12,)-1,)*Index!AU$22*(AY$15&gt;$I50)*(1-AY$12)</f>
        <v>0</v>
      </c>
      <c r="AZ50" s="747">
        <f>$G50*$H50*(1+$K50)^MAX(ROUNDUP(IFERROR(DATEDIF($I32-1,AZ$15+1,"m"),)/12,)-1,)*Index!AV$22*(AZ$15&gt;$I50)*(1-AZ$12)</f>
        <v>0</v>
      </c>
      <c r="BA50" s="747">
        <f>$G50*$H50*(1+$K50)^MAX(ROUNDUP(IFERROR(DATEDIF($I32-1,BA$15+1,"m"),)/12,)-1,)*Index!AW$22*(BA$15&gt;$I50)*(1-BA$12)</f>
        <v>0</v>
      </c>
      <c r="BB50" s="747">
        <f>$G50*$H50*(1+$K50)^MAX(ROUNDUP(IFERROR(DATEDIF($I32-1,BB$15+1,"m"),)/12,)-1,)*Index!AX$22*(BB$15&gt;$I50)*(1-BB$12)</f>
        <v>0</v>
      </c>
      <c r="BC50" s="747">
        <f>$G50*$H50*(1+$K50)^MAX(ROUNDUP(IFERROR(DATEDIF($I32-1,BC$15+1,"m"),)/12,)-1,)*Index!AY$22*(BC$15&gt;$I50)*(1-BC$12)</f>
        <v>0</v>
      </c>
      <c r="BD50" s="747">
        <f>$G50*$H50*(1+$K50)^MAX(ROUNDUP(IFERROR(DATEDIF($I32-1,BD$15+1,"m"),)/12,)-1,)*Index!AZ$22*(BD$15&gt;$I50)*(1-BD$12)</f>
        <v>0</v>
      </c>
      <c r="BE50" s="747">
        <f>$G50*$H50*(1+$K50)^MAX(ROUNDUP(IFERROR(DATEDIF($I32-1,BE$15+1,"m"),)/12,)-1,)*Index!BA$22*(BE$15&gt;$I50)*(1-BE$12)</f>
        <v>0</v>
      </c>
      <c r="BF50" s="747">
        <f>$G50*$H50*(1+$K50)^MAX(ROUNDUP(IFERROR(DATEDIF($I32-1,BF$15+1,"m"),)/12,)-1,)*Index!BB$22*(BF$15&gt;$I50)*(1-BF$12)</f>
        <v>0</v>
      </c>
      <c r="BG50" s="747">
        <f>$G50*$H50*(1+$K50)^MAX(ROUNDUP(IFERROR(DATEDIF($I32-1,BG$15+1,"m"),)/12,)-1,)*Index!BC$22*(BG$15&gt;$I50)*(1-BG$12)</f>
        <v>0</v>
      </c>
      <c r="BH50" s="747">
        <f>$G50*$H50*(1+$K50)^MAX(ROUNDUP(IFERROR(DATEDIF($I32-1,BH$15+1,"m"),)/12,)-1,)*Index!BD$22*(BH$15&gt;$I50)*(1-BH$12)</f>
        <v>0</v>
      </c>
      <c r="BI50" s="747">
        <f>$G50*$H50*(1+$K50)^MAX(ROUNDUP(IFERROR(DATEDIF($I32-1,BI$15+1,"m"),)/12,)-1,)*Index!BE$22*(BI$15&gt;$I50)*(1-BI$12)</f>
        <v>0</v>
      </c>
      <c r="BJ50" s="747">
        <f>$G50*$H50*(1+$K50)^MAX(ROUNDUP(IFERROR(DATEDIF($I32-1,BJ$15+1,"m"),)/12,)-1,)*Index!BF$22*(BJ$15&gt;$I50)*(1-BJ$12)</f>
        <v>0</v>
      </c>
      <c r="BK50" s="747">
        <f>$G50*$H50*(1+$K50)^MAX(ROUNDUP(IFERROR(DATEDIF($I32-1,BK$15+1,"m"),)/12,)-1,)*Index!BG$22*(BK$15&gt;$I50)*(1-BK$12)</f>
        <v>0</v>
      </c>
      <c r="BL50" s="747">
        <f>$G50*$H50*(1+$K50)^MAX(ROUNDUP(IFERROR(DATEDIF($I32-1,BL$15+1,"m"),)/12,)-1,)*Index!BH$22*(BL$15&gt;$I50)*(1-BL$12)</f>
        <v>0</v>
      </c>
      <c r="BM50" s="747">
        <f>$G50*$H50*(1+$K50)^MAX(ROUNDUP(IFERROR(DATEDIF($I32-1,BM$15+1,"m"),)/12,)-1,)*Index!BI$22*(BM$15&gt;$I50)*(1-BM$12)</f>
        <v>0</v>
      </c>
      <c r="BN50" s="747">
        <f>$G50*$H50*(1+$K50)^MAX(ROUNDUP(IFERROR(DATEDIF($I32-1,BN$15+1,"m"),)/12,)-1,)*Index!BJ$22*(BN$15&gt;$I50)*(1-BN$12)</f>
        <v>0</v>
      </c>
      <c r="BO50" s="747">
        <f>$G50*$H50*(1+$K50)^MAX(ROUNDUP(IFERROR(DATEDIF($I32-1,BO$15+1,"m"),)/12,)-1,)*Index!BK$22*(BO$15&gt;$I50)*(1-BO$12)</f>
        <v>0</v>
      </c>
      <c r="BP50" s="747">
        <f>$G50*$H50*(1+$K50)^MAX(ROUNDUP(IFERROR(DATEDIF($I32-1,BP$15+1,"m"),)/12,)-1,)*Index!BL$22*(BP$15&gt;$I50)*(1-BP$12)</f>
        <v>0</v>
      </c>
      <c r="BQ50" s="747">
        <f>$G50*$H50*(1+$K50)^MAX(ROUNDUP(IFERROR(DATEDIF($I32-1,BQ$15+1,"m"),)/12,)-1,)*Index!BM$22*(BQ$15&gt;$I50)*(1-BQ$12)</f>
        <v>0</v>
      </c>
      <c r="BR50" s="747">
        <f>$G50*$H50*(1+$K50)^MAX(ROUNDUP(IFERROR(DATEDIF($I32-1,BR$15+1,"m"),)/12,)-1,)*Index!BN$22*(BR$15&gt;$I50)*(1-BR$12)</f>
        <v>0</v>
      </c>
      <c r="BS50" s="747">
        <f>$G50*$H50*(1+$K50)^MAX(ROUNDUP(IFERROR(DATEDIF($I32-1,BS$15+1,"m"),)/12,)-1,)*Index!BO$22*(BS$15&gt;$I50)*(1-BS$12)</f>
        <v>0</v>
      </c>
      <c r="BT50" s="747">
        <f>$G50*$H50*(1+$K50)^MAX(ROUNDUP(IFERROR(DATEDIF($I32-1,BT$15+1,"m"),)/12,)-1,)*Index!BP$22*(BT$15&gt;$I50)*(1-BT$12)</f>
        <v>0</v>
      </c>
      <c r="BU50" s="747">
        <f>$G50*$H50*(1+$K50)^MAX(ROUNDUP(IFERROR(DATEDIF($I32-1,BU$15+1,"m"),)/12,)-1,)*Index!BQ$22*(BU$15&gt;$I50)*(1-BU$12)</f>
        <v>0</v>
      </c>
      <c r="BV50" s="747">
        <f>$G50*$H50*(1+$K50)^MAX(ROUNDUP(IFERROR(DATEDIF($I32-1,BV$15+1,"m"),)/12,)-1,)*Index!BR$22*(BV$15&gt;$I50)*(1-BV$12)</f>
        <v>0</v>
      </c>
      <c r="BW50" s="747">
        <f>$G50*$H50*(1+$K50)^MAX(ROUNDUP(IFERROR(DATEDIF($I32-1,BW$15+1,"m"),)/12,)-1,)*Index!BS$22*(BW$15&gt;$I50)*(1-BW$12)</f>
        <v>0</v>
      </c>
      <c r="BX50" s="747">
        <f>$G50*$H50*(1+$K50)^MAX(ROUNDUP(IFERROR(DATEDIF($I32-1,BX$15+1,"m"),)/12,)-1,)*Index!BT$22*(BX$15&gt;$I50)*(1-BX$12)</f>
        <v>0</v>
      </c>
      <c r="BY50" s="747">
        <f>$G50*$H50*(1+$K50)^MAX(ROUNDUP(IFERROR(DATEDIF($I32-1,BY$15+1,"m"),)/12,)-1,)*Index!BU$22*(BY$15&gt;$I50)*(1-BY$12)</f>
        <v>0</v>
      </c>
      <c r="BZ50" s="747">
        <f>$G50*$H50*(1+$K50)^MAX(ROUNDUP(IFERROR(DATEDIF($I32-1,BZ$15+1,"m"),)/12,)-1,)*Index!BV$22*(BZ$15&gt;$I50)*(1-BZ$12)</f>
        <v>0</v>
      </c>
      <c r="CA50" s="747">
        <f>$G50*$H50*(1+$K50)^MAX(ROUNDUP(IFERROR(DATEDIF($I32-1,CA$15+1,"m"),)/12,)-1,)*Index!BW$22*(CA$15&gt;$I50)*(1-CA$12)</f>
        <v>0</v>
      </c>
      <c r="CB50" s="747">
        <f>$G50*$H50*(1+$K50)^MAX(ROUNDUP(IFERROR(DATEDIF($I32-1,CB$15+1,"m"),)/12,)-1,)*Index!BX$22*(CB$15&gt;$I50)*(1-CB$12)</f>
        <v>0</v>
      </c>
      <c r="CC50" s="747">
        <f>$G50*$H50*(1+$K50)^MAX(ROUNDUP(IFERROR(DATEDIF($I32-1,CC$15+1,"m"),)/12,)-1,)*Index!BY$22*(CC$15&gt;$I50)*(1-CC$12)</f>
        <v>0</v>
      </c>
      <c r="CD50" s="747">
        <f>$G50*$H50*(1+$K50)^MAX(ROUNDUP(IFERROR(DATEDIF($I32-1,CD$15+1,"m"),)/12,)-1,)*Index!BZ$22*(CD$15&gt;$I50)*(1-CD$12)</f>
        <v>0</v>
      </c>
      <c r="CE50" s="747">
        <f>$G50*$H50*(1+$K50)^MAX(ROUNDUP(IFERROR(DATEDIF($I32-1,CE$15+1,"m"),)/12,)-1,)*Index!CA$22*(CE$15&gt;$I50)*(1-CE$12)</f>
        <v>0</v>
      </c>
      <c r="CF50" s="747">
        <f>$G50*$H50*(1+$K50)^MAX(ROUNDUP(IFERROR(DATEDIF($I32-1,CF$15+1,"m"),)/12,)-1,)*Index!CB$22*(CF$15&gt;$I50)*(1-CF$12)</f>
        <v>0</v>
      </c>
      <c r="CG50" s="747">
        <f>$G50*$H50*(1+$K50)^MAX(ROUNDUP(IFERROR(DATEDIF($I32-1,CG$15+1,"m"),)/12,)-1,)*Index!CC$22*(CG$15&gt;$I50)*(1-CG$12)</f>
        <v>0</v>
      </c>
      <c r="CH50" s="747">
        <f>$G50*$H50*(1+$K50)^MAX(ROUNDUP(IFERROR(DATEDIF($I32-1,CH$15+1,"m"),)/12,)-1,)*Index!CD$22*(CH$15&gt;$I50)*(1-CH$12)</f>
        <v>0</v>
      </c>
      <c r="CI50" s="747">
        <f>$G50*$H50*(1+$K50)^MAX(ROUNDUP(IFERROR(DATEDIF($I32-1,CI$15+1,"m"),)/12,)-1,)*Index!CE$22*(CI$15&gt;$I50)*(1-CI$12)</f>
        <v>0</v>
      </c>
      <c r="CJ50" s="747">
        <f>$G50*$H50*(1+$K50)^MAX(ROUNDUP(IFERROR(DATEDIF($I32-1,CJ$15+1,"m"),)/12,)-1,)*Index!CF$22*(CJ$15&gt;$I50)*(1-CJ$12)</f>
        <v>0</v>
      </c>
      <c r="CK50" s="747">
        <f>$G50*$H50*(1+$K50)^MAX(ROUNDUP(IFERROR(DATEDIF($I32-1,CK$15+1,"m"),)/12,)-1,)*Index!CG$22*(CK$15&gt;$I50)*(1-CK$12)</f>
        <v>0</v>
      </c>
      <c r="CL50" s="747">
        <f>$G50*$H50*(1+$K50)^MAX(ROUNDUP(IFERROR(DATEDIF($I32-1,CL$15+1,"m"),)/12,)-1,)*Index!CH$22*(CL$15&gt;$I50)*(1-CL$12)</f>
        <v>0</v>
      </c>
      <c r="CM50" s="747">
        <f>$G50*$H50*(1+$K50)^MAX(ROUNDUP(IFERROR(DATEDIF($I32-1,CM$15+1,"m"),)/12,)-1,)*Index!CI$22*(CM$15&gt;$I50)*(1-CM$12)</f>
        <v>0</v>
      </c>
      <c r="CN50" s="747">
        <f>$G50*$H50*(1+$K50)^MAX(ROUNDUP(IFERROR(DATEDIF($I32-1,CN$15+1,"m"),)/12,)-1,)*Index!CJ$22*(CN$15&gt;$I50)*(1-CN$12)</f>
        <v>0</v>
      </c>
      <c r="CO50" s="747">
        <f>$G50*$H50*(1+$K50)^MAX(ROUNDUP(IFERROR(DATEDIF($I32-1,CO$15+1,"m"),)/12,)-1,)*Index!CK$22*(CO$15&gt;$I50)*(1-CO$12)</f>
        <v>0</v>
      </c>
      <c r="CP50" s="747">
        <f>$G50*$H50*(1+$K50)^MAX(ROUNDUP(IFERROR(DATEDIF($I32-1,CP$15+1,"m"),)/12,)-1,)*Index!CL$22*(CP$15&gt;$I50)*(1-CP$12)</f>
        <v>0</v>
      </c>
      <c r="CQ50" s="747">
        <f>$G50*$H50*(1+$K50)^MAX(ROUNDUP(IFERROR(DATEDIF($I32-1,CQ$15+1,"m"),)/12,)-1,)*Index!CM$22*(CQ$15&gt;$I50)*(1-CQ$12)</f>
        <v>0</v>
      </c>
      <c r="CR50" s="747">
        <f>$G50*$H50*(1+$K50)^MAX(ROUNDUP(IFERROR(DATEDIF($I32-1,CR$15+1,"m"),)/12,)-1,)*Index!CN$22*(CR$15&gt;$I50)*(1-CR$12)</f>
        <v>0</v>
      </c>
      <c r="CS50" s="747">
        <f>$G50*$H50*(1+$K50)^MAX(ROUNDUP(IFERROR(DATEDIF($I32-1,CS$15+1,"m"),)/12,)-1,)*Index!CO$22*(CS$15&gt;$I50)*(1-CS$12)</f>
        <v>0</v>
      </c>
      <c r="CT50" s="747">
        <f>$G50*$H50*(1+$K50)^MAX(ROUNDUP(IFERROR(DATEDIF($I32-1,CT$15+1,"m"),)/12,)-1,)*Index!CP$22*(CT$15&gt;$I50)*(1-CT$12)</f>
        <v>0</v>
      </c>
      <c r="CU50" s="747">
        <f>$G50*$H50*(1+$K50)^MAX(ROUNDUP(IFERROR(DATEDIF($I32-1,CU$15+1,"m"),)/12,)-1,)*Index!CQ$22*(CU$15&gt;$I50)*(1-CU$12)</f>
        <v>0</v>
      </c>
      <c r="CV50" s="747">
        <f>$G50*$H50*(1+$K50)^MAX(ROUNDUP(IFERROR(DATEDIF($I32-1,CV$15+1,"m"),)/12,)-1,)*Index!CR$22*(CV$15&gt;$I50)*(1-CV$12)</f>
        <v>0</v>
      </c>
      <c r="CW50" s="747">
        <f>$G50*$H50*(1+$K50)^MAX(ROUNDUP(IFERROR(DATEDIF($I32-1,CW$15+1,"m"),)/12,)-1,)*Index!CS$22*(CW$15&gt;$I50)*(1-CW$12)</f>
        <v>0</v>
      </c>
      <c r="CX50" s="747">
        <f>$G50*$H50*(1+$K50)^MAX(ROUNDUP(IFERROR(DATEDIF($I32-1,CX$15+1,"m"),)/12,)-1,)*Index!CT$22*(CX$15&gt;$I50)*(1-CX$12)</f>
        <v>0</v>
      </c>
      <c r="CY50" s="747">
        <f>$G50*$H50*(1+$K50)^MAX(ROUNDUP(IFERROR(DATEDIF($I32-1,CY$15+1,"m"),)/12,)-1,)*Index!CU$22*(CY$15&gt;$I50)*(1-CY$12)</f>
        <v>0</v>
      </c>
      <c r="CZ50" s="747">
        <f>$G50*$H50*(1+$K50)^MAX(ROUNDUP(IFERROR(DATEDIF($I32-1,CZ$15+1,"m"),)/12,)-1,)*Index!CV$22*(CZ$15&gt;$I50)*(1-CZ$12)</f>
        <v>0</v>
      </c>
      <c r="DA50" s="747">
        <f>$G50*$H50*(1+$K50)^MAX(ROUNDUP(IFERROR(DATEDIF($I32-1,DA$15+1,"m"),)/12,)-1,)*Index!CW$22*(DA$15&gt;$I50)*(1-DA$12)</f>
        <v>0</v>
      </c>
      <c r="DB50" s="747">
        <f>$G50*$H50*(1+$K50)^MAX(ROUNDUP(IFERROR(DATEDIF($I32-1,DB$15+1,"m"),)/12,)-1,)*Index!CX$22*(DB$15&gt;$I50)*(1-DB$12)</f>
        <v>0</v>
      </c>
      <c r="DC50" s="747">
        <f>$G50*$H50*(1+$K50)^MAX(ROUNDUP(IFERROR(DATEDIF($I32-1,DC$15+1,"m"),)/12,)-1,)*Index!CY$22*(DC$15&gt;$I50)*(1-DC$12)</f>
        <v>197819.24311743732</v>
      </c>
      <c r="DD50" s="747">
        <f>$G50*$H50*(1+$K50)^MAX(ROUNDUP(IFERROR(DATEDIF($I32-1,DD$15+1,"m"),)/12,)-1,)*Index!CZ$22*(DD$15&gt;$I50)*(1-DD$12)</f>
        <v>197819.24311743732</v>
      </c>
      <c r="DE50" s="747">
        <f>$G50*$H50*(1+$K50)^MAX(ROUNDUP(IFERROR(DATEDIF($I32-1,DE$15+1,"m"),)/12,)-1,)*Index!DA$22*(DE$15&gt;$I50)*(1-DE$12)</f>
        <v>197819.24311743732</v>
      </c>
      <c r="DF50" s="747">
        <f>$G50*$H50*(1+$K50)^MAX(ROUNDUP(IFERROR(DATEDIF($I32-1,DF$15+1,"m"),)/12,)-1,)*Index!DB$22*(DF$15&gt;$I50)*(1-DF$12)</f>
        <v>197819.24311743732</v>
      </c>
      <c r="DG50" s="747">
        <f>$G50*$H50*(1+$K50)^MAX(ROUNDUP(IFERROR(DATEDIF($I32-1,DG$15+1,"m"),)/12,)-1,)*Index!DC$22*(DG$15&gt;$I50)*(1-DG$12)</f>
        <v>197819.24311743732</v>
      </c>
      <c r="DH50" s="747">
        <f>$G50*$H50*(1+$K50)^MAX(ROUNDUP(IFERROR(DATEDIF($I32-1,DH$15+1,"m"),)/12,)-1,)*Index!DD$22*(DH$15&gt;$I50)*(1-DH$12)</f>
        <v>197819.24311743732</v>
      </c>
      <c r="DI50" s="747">
        <f>$G50*$H50*(1+$K50)^MAX(ROUNDUP(IFERROR(DATEDIF($I32-1,DI$15+1,"m"),)/12,)-1,)*Index!DE$22*(DI$15&gt;$I50)*(1-DI$12)</f>
        <v>197819.24311743732</v>
      </c>
      <c r="DJ50" s="747">
        <f>$G50*$H50*(1+$K50)^MAX(ROUNDUP(IFERROR(DATEDIF($I32-1,DJ$15+1,"m"),)/12,)-1,)*Index!DF$22*(DJ$15&gt;$I50)*(1-DJ$12)</f>
        <v>197819.24311743732</v>
      </c>
      <c r="DK50" s="747">
        <f>$G50*$H50*(1+$K50)^MAX(ROUNDUP(IFERROR(DATEDIF($I32-1,DK$15+1,"m"),)/12,)-1,)*Index!DG$22*(DK$15&gt;$I50)*(1-DK$12)</f>
        <v>197819.24311743732</v>
      </c>
      <c r="DL50" s="747">
        <f>$G50*$H50*(1+$K50)^MAX(ROUNDUP(IFERROR(DATEDIF($I32-1,DL$15+1,"m"),)/12,)-1,)*Index!DH$22*(DL$15&gt;$I50)*(1-DL$12)</f>
        <v>197819.24311743732</v>
      </c>
      <c r="DM50" s="747">
        <f>$G50*$H50*(1+$K50)^MAX(ROUNDUP(IFERROR(DATEDIF($I32-1,DM$15+1,"m"),)/12,)-1,)*Index!DI$22*(DM$15&gt;$I50)*(1-DM$12)</f>
        <v>197819.24311743732</v>
      </c>
      <c r="DN50" s="747">
        <f>$G50*$H50*(1+$K50)^MAX(ROUNDUP(IFERROR(DATEDIF($I32-1,DN$15+1,"m"),)/12,)-1,)*Index!DJ$22*(DN$15&gt;$I50)*(1-DN$12)</f>
        <v>202764.72419537327</v>
      </c>
      <c r="DO50" s="747">
        <f>$G50*$H50*(1+$K50)^MAX(ROUNDUP(IFERROR(DATEDIF($I32-1,DO$15+1,"m"),)/12,)-1,)*Index!DK$22*(DO$15&gt;$I50)*(1-DO$12)</f>
        <v>202764.72419537327</v>
      </c>
      <c r="DP50" s="747">
        <f>$G50*$H50*(1+$K50)^MAX(ROUNDUP(IFERROR(DATEDIF($I32-1,DP$15+1,"m"),)/12,)-1,)*Index!DL$22*(DP$15&gt;$I50)*(1-DP$12)</f>
        <v>202764.72419537327</v>
      </c>
      <c r="DQ50" s="747">
        <f>$G50*$H50*(1+$K50)^MAX(ROUNDUP(IFERROR(DATEDIF($I32-1,DQ$15+1,"m"),)/12,)-1,)*Index!DM$22*(DQ$15&gt;$I50)*(1-DQ$12)</f>
        <v>202764.72419537327</v>
      </c>
      <c r="DR50" s="747">
        <f>$G50*$H50*(1+$K50)^MAX(ROUNDUP(IFERROR(DATEDIF($I32-1,DR$15+1,"m"),)/12,)-1,)*Index!DN$22*(DR$15&gt;$I50)*(1-DR$12)</f>
        <v>202764.72419537327</v>
      </c>
      <c r="DS50" s="747">
        <f>$G50*$H50*(1+$K50)^MAX(ROUNDUP(IFERROR(DATEDIF($I32-1,DS$15+1,"m"),)/12,)-1,)*Index!DO$22*(DS$15&gt;$I50)*(1-DS$12)</f>
        <v>202764.72419537327</v>
      </c>
      <c r="DT50" s="747">
        <f>$G50*$H50*(1+$K50)^MAX(ROUNDUP(IFERROR(DATEDIF($I32-1,DT$15+1,"m"),)/12,)-1,)*Index!DP$22*(DT$15&gt;$I50)*(1-DT$12)</f>
        <v>202764.72419537327</v>
      </c>
      <c r="DU50" s="747">
        <f>$G50*$H50*(1+$K50)^MAX(ROUNDUP(IFERROR(DATEDIF($I32-1,DU$15+1,"m"),)/12,)-1,)*Index!DQ$22*(DU$15&gt;$I50)*(1-DU$12)</f>
        <v>202764.72419537327</v>
      </c>
      <c r="DV50" s="747">
        <f>$G50*$H50*(1+$K50)^MAX(ROUNDUP(IFERROR(DATEDIF($I32-1,DV$15+1,"m"),)/12,)-1,)*Index!DR$22*(DV$15&gt;$I50)*(1-DV$12)</f>
        <v>202764.72419537327</v>
      </c>
      <c r="DW50" s="747">
        <f>$G50*$H50*(1+$K50)^MAX(ROUNDUP(IFERROR(DATEDIF($I32-1,DW$15+1,"m"),)/12,)-1,)*Index!DS$22*(DW$15&gt;$I50)*(1-DW$12)</f>
        <v>202764.72419537327</v>
      </c>
      <c r="DX50" s="747">
        <f>$G50*$H50*(1+$K50)^MAX(ROUNDUP(IFERROR(DATEDIF($I32-1,DX$15+1,"m"),)/12,)-1,)*Index!DT$22*(DX$15&gt;$I50)*(1-DX$12)</f>
        <v>202764.72419537327</v>
      </c>
      <c r="DY50" s="747">
        <f>$G50*$H50*(1+$K50)^MAX(ROUNDUP(IFERROR(DATEDIF($I32-1,DY$15+1,"m"),)/12,)-1,)*Index!DU$22*(DY$15&gt;$I50)*(1-DY$12)</f>
        <v>202764.72419537327</v>
      </c>
      <c r="DZ50" s="747">
        <f>$G50*$H50*(1+$K50)^MAX(ROUNDUP(IFERROR(DATEDIF($I32-1,DZ$15+1,"m"),)/12,)-1,)*Index!DV$22*(DZ$15&gt;$I50)*(1-DZ$12)</f>
        <v>207833.84230025759</v>
      </c>
      <c r="EA50" s="747">
        <f>$G50*$H50*(1+$K50)^MAX(ROUNDUP(IFERROR(DATEDIF($I32-1,EA$15+1,"m"),)/12,)-1,)*Index!DW$22*(EA$15&gt;$I50)*(1-EA$12)</f>
        <v>207833.84230025759</v>
      </c>
      <c r="EB50" s="747">
        <f>$G50*$H50*(1+$K50)^MAX(ROUNDUP(IFERROR(DATEDIF($I32-1,EB$15+1,"m"),)/12,)-1,)*Index!DX$22*(EB$15&gt;$I50)*(1-EB$12)</f>
        <v>207833.84230025759</v>
      </c>
      <c r="EC50" s="747">
        <f>$G50*$H50*(1+$K50)^MAX(ROUNDUP(IFERROR(DATEDIF($I32-1,EC$15+1,"m"),)/12,)-1,)*Index!DY$22*(EC$15&gt;$I50)*(1-EC$12)</f>
        <v>207833.84230025759</v>
      </c>
      <c r="ED50" s="747">
        <f>$G50*$H50*(1+$K50)^MAX(ROUNDUP(IFERROR(DATEDIF($I32-1,ED$15+1,"m"),)/12,)-1,)*Index!DZ$22*(ED$15&gt;$I50)*(1-ED$12)</f>
        <v>207833.84230025759</v>
      </c>
      <c r="EE50" s="747">
        <f>$G50*$H50*(1+$K50)^MAX(ROUNDUP(IFERROR(DATEDIF($I32-1,EE$15+1,"m"),)/12,)-1,)*Index!EA$22*(EE$15&gt;$I50)*(1-EE$12)</f>
        <v>207833.84230025759</v>
      </c>
      <c r="EF50" s="747">
        <f>$G50*$H50*(1+$K50)^MAX(ROUNDUP(IFERROR(DATEDIF($I32-1,EF$15+1,"m"),)/12,)-1,)*Index!EB$22*(EF$15&gt;$I50)*(1-EF$12)</f>
        <v>207833.84230025759</v>
      </c>
      <c r="EG50" s="747">
        <f>$G50*$H50*(1+$K50)^MAX(ROUNDUP(IFERROR(DATEDIF($I32-1,EG$15+1,"m"),)/12,)-1,)*Index!EC$22*(EG$15&gt;$I50)*(1-EG$12)</f>
        <v>0</v>
      </c>
      <c r="EH50" s="747">
        <f>$G50*$H50*(1+$K50)^MAX(ROUNDUP(IFERROR(DATEDIF($I32-1,EH$15+1,"m"),)/12,)-1,)*Index!ED$22*(EH$15&gt;$I50)*(1-EH$12)</f>
        <v>0</v>
      </c>
      <c r="EI50" s="747">
        <f>$G50*$H50*(1+$K50)^MAX(ROUNDUP(IFERROR(DATEDIF($I32-1,EI$15+1,"m"),)/12,)-1,)*Index!EE$22*(EI$15&gt;$I50)*(1-EI$12)</f>
        <v>0</v>
      </c>
      <c r="EJ50" s="747">
        <f>$G50*$H50*(1+$K50)^MAX(ROUNDUP(IFERROR(DATEDIF($I32-1,EJ$15+1,"m"),)/12,)-1,)*Index!EF$22*(EJ$15&gt;$I50)*(1-EJ$12)</f>
        <v>0</v>
      </c>
      <c r="EK50" s="747">
        <f>$G50*$H50*(1+$K50)^MAX(ROUNDUP(IFERROR(DATEDIF($I32-1,EK$15+1,"m"),)/12,)-1,)*Index!EG$22*(EK$15&gt;$I50)*(1-EK$12)</f>
        <v>0</v>
      </c>
      <c r="EL50" s="747">
        <f>$G50*$H50*(1+$K50)^MAX(ROUNDUP(IFERROR(DATEDIF($I32-1,EL$15+1,"m"),)/12,)-1,)*Index!EH$22*(EL$15&gt;$I50)*(1-EL$12)</f>
        <v>0</v>
      </c>
      <c r="EM50" s="747">
        <f>$G50*$H50*(1+$K50)^MAX(ROUNDUP(IFERROR(DATEDIF($I32-1,EM$15+1,"m"),)/12,)-1,)*Index!EI$22*(EM$15&gt;$I50)*(1-EM$12)</f>
        <v>0</v>
      </c>
      <c r="EN50" s="747">
        <f>$G50*$H50*(1+$K50)^MAX(ROUNDUP(IFERROR(DATEDIF($I32-1,EN$15+1,"m"),)/12,)-1,)*Index!EJ$22*(EN$15&gt;$I50)*(1-EN$12)</f>
        <v>0</v>
      </c>
      <c r="EO50" s="747">
        <f>$G50*$H50*(1+$K50)^MAX(ROUNDUP(IFERROR(DATEDIF($I32-1,EO$15+1,"m"),)/12,)-1,)*Index!EK$22*(EO$15&gt;$I50)*(1-EO$12)</f>
        <v>0</v>
      </c>
      <c r="EP50" s="747">
        <f>$G50*$H50*(1+$K50)^MAX(ROUNDUP(IFERROR(DATEDIF($I32-1,EP$15+1,"m"),)/12,)-1,)*Index!EL$22*(EP$15&gt;$I50)*(1-EP$12)</f>
        <v>0</v>
      </c>
      <c r="EQ50" s="747">
        <f>$G50*$H50*(1+$K50)^MAX(ROUNDUP(IFERROR(DATEDIF($I32-1,EQ$15+1,"m"),)/12,)-1,)*Index!EM$22*(EQ$15&gt;$I50)*(1-EQ$12)</f>
        <v>0</v>
      </c>
      <c r="ER50" s="747">
        <f>$G50*$H50*(1+$K50)^MAX(ROUNDUP(IFERROR(DATEDIF($I32-1,ER$15+1,"m"),)/12,)-1,)*Index!EN$22*(ER$15&gt;$I50)*(1-ER$12)</f>
        <v>0</v>
      </c>
      <c r="ES50" s="747">
        <f>$G50*$H50*(1+$K50)^MAX(ROUNDUP(IFERROR(DATEDIF($I32-1,ES$15+1,"m"),)/12,)-1,)*Index!EO$22*(ES$15&gt;$I50)*(1-ES$12)</f>
        <v>0</v>
      </c>
      <c r="ET50" s="747">
        <f>$G50*$H50*(1+$K50)^MAX(ROUNDUP(IFERROR(DATEDIF($I32-1,ET$15+1,"m"),)/12,)-1,)*Index!EP$22*(ET$15&gt;$I50)*(1-ET$12)</f>
        <v>0</v>
      </c>
      <c r="EU50" s="747">
        <f>$G50*$H50*(1+$K50)^MAX(ROUNDUP(IFERROR(DATEDIF($I32-1,EU$15+1,"m"),)/12,)-1,)*Index!EQ$22*(EU$15&gt;$I50)*(1-EU$12)</f>
        <v>0</v>
      </c>
    </row>
    <row r="51" spans="3:151" ht="11.25" customHeight="1">
      <c r="C51" s="735"/>
      <c r="D51" s="743" t="str">
        <f t="shared" si="11"/>
        <v>B2</v>
      </c>
      <c r="E51" s="704" t="str">
        <f t="shared" si="11"/>
        <v>쿠팡</v>
      </c>
      <c r="F51" s="704" t="str">
        <f t="shared" si="11"/>
        <v>상온창고</v>
      </c>
      <c r="G51" s="752" cm="1">
        <f t="array" ref="G51">SUMPRODUCT(('Rent-roll'!$E51='A&amp;R'!$V$26:$V$32)*('A&amp;R'!$AB$26:$AB$32))/1000</f>
        <v>57.698001860542107</v>
      </c>
      <c r="H51" s="744">
        <f t="shared" si="12"/>
        <v>2728.21</v>
      </c>
      <c r="I51" s="745">
        <f t="shared" si="13"/>
        <v>49064</v>
      </c>
      <c r="J51" s="745"/>
      <c r="K51" s="754">
        <f t="shared" si="16"/>
        <v>2.5000000000000001E-2</v>
      </c>
      <c r="L51" s="711"/>
      <c r="M51" s="722"/>
      <c r="N51" s="747">
        <f t="shared" si="15"/>
        <v>5918088.2108352622</v>
      </c>
      <c r="O51" s="733"/>
      <c r="P51" s="747">
        <f>$G51*$H51*(1+$K51)^MAX(ROUNDUP(IFERROR(DATEDIF($I33-1,P$15+1,"m"),)/12,)-1,)*Index!L$22*(P$15&gt;$I51)*(1-P$12)</f>
        <v>0</v>
      </c>
      <c r="Q51" s="747">
        <f>$G51*$H51*(1+$K51)^MAX(ROUNDUP(IFERROR(DATEDIF($I33-1,Q$15+1,"m"),)/12,)-1,)*Index!M$22*(Q$15&gt;$I51)*(1-Q$12)</f>
        <v>0</v>
      </c>
      <c r="R51" s="747">
        <f>$G51*$H51*(1+$K51)^MAX(ROUNDUP(IFERROR(DATEDIF($I33-1,R$15+1,"m"),)/12,)-1,)*Index!N$22*(R$15&gt;$I51)*(1-R$12)</f>
        <v>0</v>
      </c>
      <c r="S51" s="747">
        <f>$G51*$H51*(1+$K51)^MAX(ROUNDUP(IFERROR(DATEDIF($I33-1,S$15+1,"m"),)/12,)-1,)*Index!O$22*(S$15&gt;$I51)*(1-S$12)</f>
        <v>0</v>
      </c>
      <c r="T51" s="747">
        <f>$G51*$H51*(1+$K51)^MAX(ROUNDUP(IFERROR(DATEDIF($I33-1,T$15+1,"m"),)/12,)-1,)*Index!P$22*(T$15&gt;$I51)*(1-T$12)</f>
        <v>0</v>
      </c>
      <c r="U51" s="747">
        <f>$G51*$H51*(1+$K51)^MAX(ROUNDUP(IFERROR(DATEDIF($I33-1,U$15+1,"m"),)/12,)-1,)*Index!Q$22*(U$15&gt;$I51)*(1-U$12)</f>
        <v>0</v>
      </c>
      <c r="V51" s="747">
        <f>$G51*$H51*(1+$K51)^MAX(ROUNDUP(IFERROR(DATEDIF($I33-1,V$15+1,"m"),)/12,)-1,)*Index!R$22*(V$15&gt;$I51)*(1-V$12)</f>
        <v>0</v>
      </c>
      <c r="W51" s="747">
        <f>$G51*$H51*(1+$K51)^MAX(ROUNDUP(IFERROR(DATEDIF($I33-1,W$15+1,"m"),)/12,)-1,)*Index!S$22*(W$15&gt;$I51)*(1-W$12)</f>
        <v>0</v>
      </c>
      <c r="X51" s="747">
        <f>$G51*$H51*(1+$K51)^MAX(ROUNDUP(IFERROR(DATEDIF($I33-1,X$15+1,"m"),)/12,)-1,)*Index!T$22*(X$15&gt;$I51)*(1-X$12)</f>
        <v>0</v>
      </c>
      <c r="Y51" s="747">
        <f>$G51*$H51*(1+$K51)^MAX(ROUNDUP(IFERROR(DATEDIF($I33-1,Y$15+1,"m"),)/12,)-1,)*Index!U$22*(Y$15&gt;$I51)*(1-Y$12)</f>
        <v>0</v>
      </c>
      <c r="Z51" s="747">
        <f>$G51*$H51*(1+$K51)^MAX(ROUNDUP(IFERROR(DATEDIF($I33-1,Z$15+1,"m"),)/12,)-1,)*Index!V$22*(Z$15&gt;$I51)*(1-Z$12)</f>
        <v>0</v>
      </c>
      <c r="AA51" s="747">
        <f>$G51*$H51*(1+$K51)^MAX(ROUNDUP(IFERROR(DATEDIF($I33-1,AA$15+1,"m"),)/12,)-1,)*Index!W$22*(AA$15&gt;$I51)*(1-AA$12)</f>
        <v>0</v>
      </c>
      <c r="AB51" s="747">
        <f>$G51*$H51*(1+$K51)^MAX(ROUNDUP(IFERROR(DATEDIF($I33-1,AB$15+1,"m"),)/12,)-1,)*Index!X$22*(AB$15&gt;$I51)*(1-AB$12)</f>
        <v>0</v>
      </c>
      <c r="AC51" s="747">
        <f>$G51*$H51*(1+$K51)^MAX(ROUNDUP(IFERROR(DATEDIF($I33-1,AC$15+1,"m"),)/12,)-1,)*Index!Y$22*(AC$15&gt;$I51)*(1-AC$12)</f>
        <v>0</v>
      </c>
      <c r="AD51" s="747">
        <f>$G51*$H51*(1+$K51)^MAX(ROUNDUP(IFERROR(DATEDIF($I33-1,AD$15+1,"m"),)/12,)-1,)*Index!Z$22*(AD$15&gt;$I51)*(1-AD$12)</f>
        <v>0</v>
      </c>
      <c r="AE51" s="747">
        <f>$G51*$H51*(1+$K51)^MAX(ROUNDUP(IFERROR(DATEDIF($I33-1,AE$15+1,"m"),)/12,)-1,)*Index!AA$22*(AE$15&gt;$I51)*(1-AE$12)</f>
        <v>0</v>
      </c>
      <c r="AF51" s="747">
        <f>$G51*$H51*(1+$K51)^MAX(ROUNDUP(IFERROR(DATEDIF($I33-1,AF$15+1,"m"),)/12,)-1,)*Index!AB$22*(AF$15&gt;$I51)*(1-AF$12)</f>
        <v>0</v>
      </c>
      <c r="AG51" s="747">
        <f>$G51*$H51*(1+$K51)^MAX(ROUNDUP(IFERROR(DATEDIF($I33-1,AG$15+1,"m"),)/12,)-1,)*Index!AC$22*(AG$15&gt;$I51)*(1-AG$12)</f>
        <v>0</v>
      </c>
      <c r="AH51" s="747">
        <f>$G51*$H51*(1+$K51)^MAX(ROUNDUP(IFERROR(DATEDIF($I33-1,AH$15+1,"m"),)/12,)-1,)*Index!AD$22*(AH$15&gt;$I51)*(1-AH$12)</f>
        <v>0</v>
      </c>
      <c r="AI51" s="747">
        <f>$G51*$H51*(1+$K51)^MAX(ROUNDUP(IFERROR(DATEDIF($I33-1,AI$15+1,"m"),)/12,)-1,)*Index!AE$22*(AI$15&gt;$I51)*(1-AI$12)</f>
        <v>0</v>
      </c>
      <c r="AJ51" s="747">
        <f>$G51*$H51*(1+$K51)^MAX(ROUNDUP(IFERROR(DATEDIF($I33-1,AJ$15+1,"m"),)/12,)-1,)*Index!AF$22*(AJ$15&gt;$I51)*(1-AJ$12)</f>
        <v>0</v>
      </c>
      <c r="AK51" s="747">
        <f>$G51*$H51*(1+$K51)^MAX(ROUNDUP(IFERROR(DATEDIF($I33-1,AK$15+1,"m"),)/12,)-1,)*Index!AG$22*(AK$15&gt;$I51)*(1-AK$12)</f>
        <v>0</v>
      </c>
      <c r="AL51" s="747">
        <f>$G51*$H51*(1+$K51)^MAX(ROUNDUP(IFERROR(DATEDIF($I33-1,AL$15+1,"m"),)/12,)-1,)*Index!AH$22*(AL$15&gt;$I51)*(1-AL$12)</f>
        <v>0</v>
      </c>
      <c r="AM51" s="747">
        <f>$G51*$H51*(1+$K51)^MAX(ROUNDUP(IFERROR(DATEDIF($I33-1,AM$15+1,"m"),)/12,)-1,)*Index!AI$22*(AM$15&gt;$I51)*(1-AM$12)</f>
        <v>0</v>
      </c>
      <c r="AN51" s="747">
        <f>$G51*$H51*(1+$K51)^MAX(ROUNDUP(IFERROR(DATEDIF($I33-1,AN$15+1,"m"),)/12,)-1,)*Index!AJ$22*(AN$15&gt;$I51)*(1-AN$12)</f>
        <v>0</v>
      </c>
      <c r="AO51" s="747">
        <f>$G51*$H51*(1+$K51)^MAX(ROUNDUP(IFERROR(DATEDIF($I33-1,AO$15+1,"m"),)/12,)-1,)*Index!AK$22*(AO$15&gt;$I51)*(1-AO$12)</f>
        <v>0</v>
      </c>
      <c r="AP51" s="747">
        <f>$G51*$H51*(1+$K51)^MAX(ROUNDUP(IFERROR(DATEDIF($I33-1,AP$15+1,"m"),)/12,)-1,)*Index!AL$22*(AP$15&gt;$I51)*(1-AP$12)</f>
        <v>0</v>
      </c>
      <c r="AQ51" s="747">
        <f>$G51*$H51*(1+$K51)^MAX(ROUNDUP(IFERROR(DATEDIF($I33-1,AQ$15+1,"m"),)/12,)-1,)*Index!AM$22*(AQ$15&gt;$I51)*(1-AQ$12)</f>
        <v>0</v>
      </c>
      <c r="AR51" s="747">
        <f>$G51*$H51*(1+$K51)^MAX(ROUNDUP(IFERROR(DATEDIF($I33-1,AR$15+1,"m"),)/12,)-1,)*Index!AN$22*(AR$15&gt;$I51)*(1-AR$12)</f>
        <v>0</v>
      </c>
      <c r="AS51" s="747">
        <f>$G51*$H51*(1+$K51)^MAX(ROUNDUP(IFERROR(DATEDIF($I33-1,AS$15+1,"m"),)/12,)-1,)*Index!AO$22*(AS$15&gt;$I51)*(1-AS$12)</f>
        <v>0</v>
      </c>
      <c r="AT51" s="747">
        <f>$G51*$H51*(1+$K51)^MAX(ROUNDUP(IFERROR(DATEDIF($I33-1,AT$15+1,"m"),)/12,)-1,)*Index!AP$22*(AT$15&gt;$I51)*(1-AT$12)</f>
        <v>0</v>
      </c>
      <c r="AU51" s="747">
        <f>$G51*$H51*(1+$K51)^MAX(ROUNDUP(IFERROR(DATEDIF($I33-1,AU$15+1,"m"),)/12,)-1,)*Index!AQ$22*(AU$15&gt;$I51)*(1-AU$12)</f>
        <v>0</v>
      </c>
      <c r="AV51" s="747">
        <f>$G51*$H51*(1+$K51)^MAX(ROUNDUP(IFERROR(DATEDIF($I33-1,AV$15+1,"m"),)/12,)-1,)*Index!AR$22*(AV$15&gt;$I51)*(1-AV$12)</f>
        <v>0</v>
      </c>
      <c r="AW51" s="747">
        <f>$G51*$H51*(1+$K51)^MAX(ROUNDUP(IFERROR(DATEDIF($I33-1,AW$15+1,"m"),)/12,)-1,)*Index!AS$22*(AW$15&gt;$I51)*(1-AW$12)</f>
        <v>0</v>
      </c>
      <c r="AX51" s="747">
        <f>$G51*$H51*(1+$K51)^MAX(ROUNDUP(IFERROR(DATEDIF($I33-1,AX$15+1,"m"),)/12,)-1,)*Index!AT$22*(AX$15&gt;$I51)*(1-AX$12)</f>
        <v>0</v>
      </c>
      <c r="AY51" s="747">
        <f>$G51*$H51*(1+$K51)^MAX(ROUNDUP(IFERROR(DATEDIF($I33-1,AY$15+1,"m"),)/12,)-1,)*Index!AU$22*(AY$15&gt;$I51)*(1-AY$12)</f>
        <v>0</v>
      </c>
      <c r="AZ51" s="747">
        <f>$G51*$H51*(1+$K51)^MAX(ROUNDUP(IFERROR(DATEDIF($I33-1,AZ$15+1,"m"),)/12,)-1,)*Index!AV$22*(AZ$15&gt;$I51)*(1-AZ$12)</f>
        <v>0</v>
      </c>
      <c r="BA51" s="747">
        <f>$G51*$H51*(1+$K51)^MAX(ROUNDUP(IFERROR(DATEDIF($I33-1,BA$15+1,"m"),)/12,)-1,)*Index!AW$22*(BA$15&gt;$I51)*(1-BA$12)</f>
        <v>0</v>
      </c>
      <c r="BB51" s="747">
        <f>$G51*$H51*(1+$K51)^MAX(ROUNDUP(IFERROR(DATEDIF($I33-1,BB$15+1,"m"),)/12,)-1,)*Index!AX$22*(BB$15&gt;$I51)*(1-BB$12)</f>
        <v>0</v>
      </c>
      <c r="BC51" s="747">
        <f>$G51*$H51*(1+$K51)^MAX(ROUNDUP(IFERROR(DATEDIF($I33-1,BC$15+1,"m"),)/12,)-1,)*Index!AY$22*(BC$15&gt;$I51)*(1-BC$12)</f>
        <v>0</v>
      </c>
      <c r="BD51" s="747">
        <f>$G51*$H51*(1+$K51)^MAX(ROUNDUP(IFERROR(DATEDIF($I33-1,BD$15+1,"m"),)/12,)-1,)*Index!AZ$22*(BD$15&gt;$I51)*(1-BD$12)</f>
        <v>0</v>
      </c>
      <c r="BE51" s="747">
        <f>$G51*$H51*(1+$K51)^MAX(ROUNDUP(IFERROR(DATEDIF($I33-1,BE$15+1,"m"),)/12,)-1,)*Index!BA$22*(BE$15&gt;$I51)*(1-BE$12)</f>
        <v>0</v>
      </c>
      <c r="BF51" s="747">
        <f>$G51*$H51*(1+$K51)^MAX(ROUNDUP(IFERROR(DATEDIF($I33-1,BF$15+1,"m"),)/12,)-1,)*Index!BB$22*(BF$15&gt;$I51)*(1-BF$12)</f>
        <v>0</v>
      </c>
      <c r="BG51" s="747">
        <f>$G51*$H51*(1+$K51)^MAX(ROUNDUP(IFERROR(DATEDIF($I33-1,BG$15+1,"m"),)/12,)-1,)*Index!BC$22*(BG$15&gt;$I51)*(1-BG$12)</f>
        <v>0</v>
      </c>
      <c r="BH51" s="747">
        <f>$G51*$H51*(1+$K51)^MAX(ROUNDUP(IFERROR(DATEDIF($I33-1,BH$15+1,"m"),)/12,)-1,)*Index!BD$22*(BH$15&gt;$I51)*(1-BH$12)</f>
        <v>0</v>
      </c>
      <c r="BI51" s="747">
        <f>$G51*$H51*(1+$K51)^MAX(ROUNDUP(IFERROR(DATEDIF($I33-1,BI$15+1,"m"),)/12,)-1,)*Index!BE$22*(BI$15&gt;$I51)*(1-BI$12)</f>
        <v>0</v>
      </c>
      <c r="BJ51" s="747">
        <f>$G51*$H51*(1+$K51)^MAX(ROUNDUP(IFERROR(DATEDIF($I33-1,BJ$15+1,"m"),)/12,)-1,)*Index!BF$22*(BJ$15&gt;$I51)*(1-BJ$12)</f>
        <v>0</v>
      </c>
      <c r="BK51" s="747">
        <f>$G51*$H51*(1+$K51)^MAX(ROUNDUP(IFERROR(DATEDIF($I33-1,BK$15+1,"m"),)/12,)-1,)*Index!BG$22*(BK$15&gt;$I51)*(1-BK$12)</f>
        <v>0</v>
      </c>
      <c r="BL51" s="747">
        <f>$G51*$H51*(1+$K51)^MAX(ROUNDUP(IFERROR(DATEDIF($I33-1,BL$15+1,"m"),)/12,)-1,)*Index!BH$22*(BL$15&gt;$I51)*(1-BL$12)</f>
        <v>0</v>
      </c>
      <c r="BM51" s="747">
        <f>$G51*$H51*(1+$K51)^MAX(ROUNDUP(IFERROR(DATEDIF($I33-1,BM$15+1,"m"),)/12,)-1,)*Index!BI$22*(BM$15&gt;$I51)*(1-BM$12)</f>
        <v>0</v>
      </c>
      <c r="BN51" s="747">
        <f>$G51*$H51*(1+$K51)^MAX(ROUNDUP(IFERROR(DATEDIF($I33-1,BN$15+1,"m"),)/12,)-1,)*Index!BJ$22*(BN$15&gt;$I51)*(1-BN$12)</f>
        <v>0</v>
      </c>
      <c r="BO51" s="747">
        <f>$G51*$H51*(1+$K51)^MAX(ROUNDUP(IFERROR(DATEDIF($I33-1,BO$15+1,"m"),)/12,)-1,)*Index!BK$22*(BO$15&gt;$I51)*(1-BO$12)</f>
        <v>0</v>
      </c>
      <c r="BP51" s="747">
        <f>$G51*$H51*(1+$K51)^MAX(ROUNDUP(IFERROR(DATEDIF($I33-1,BP$15+1,"m"),)/12,)-1,)*Index!BL$22*(BP$15&gt;$I51)*(1-BP$12)</f>
        <v>0</v>
      </c>
      <c r="BQ51" s="747">
        <f>$G51*$H51*(1+$K51)^MAX(ROUNDUP(IFERROR(DATEDIF($I33-1,BQ$15+1,"m"),)/12,)-1,)*Index!BM$22*(BQ$15&gt;$I51)*(1-BQ$12)</f>
        <v>0</v>
      </c>
      <c r="BR51" s="747">
        <f>$G51*$H51*(1+$K51)^MAX(ROUNDUP(IFERROR(DATEDIF($I33-1,BR$15+1,"m"),)/12,)-1,)*Index!BN$22*(BR$15&gt;$I51)*(1-BR$12)</f>
        <v>0</v>
      </c>
      <c r="BS51" s="747">
        <f>$G51*$H51*(1+$K51)^MAX(ROUNDUP(IFERROR(DATEDIF($I33-1,BS$15+1,"m"),)/12,)-1,)*Index!BO$22*(BS$15&gt;$I51)*(1-BS$12)</f>
        <v>0</v>
      </c>
      <c r="BT51" s="747">
        <f>$G51*$H51*(1+$K51)^MAX(ROUNDUP(IFERROR(DATEDIF($I33-1,BT$15+1,"m"),)/12,)-1,)*Index!BP$22*(BT$15&gt;$I51)*(1-BT$12)</f>
        <v>0</v>
      </c>
      <c r="BU51" s="747">
        <f>$G51*$H51*(1+$K51)^MAX(ROUNDUP(IFERROR(DATEDIF($I33-1,BU$15+1,"m"),)/12,)-1,)*Index!BQ$22*(BU$15&gt;$I51)*(1-BU$12)</f>
        <v>0</v>
      </c>
      <c r="BV51" s="747">
        <f>$G51*$H51*(1+$K51)^MAX(ROUNDUP(IFERROR(DATEDIF($I33-1,BV$15+1,"m"),)/12,)-1,)*Index!BR$22*(BV$15&gt;$I51)*(1-BV$12)</f>
        <v>0</v>
      </c>
      <c r="BW51" s="747">
        <f>$G51*$H51*(1+$K51)^MAX(ROUNDUP(IFERROR(DATEDIF($I33-1,BW$15+1,"m"),)/12,)-1,)*Index!BS$22*(BW$15&gt;$I51)*(1-BW$12)</f>
        <v>0</v>
      </c>
      <c r="BX51" s="747">
        <f>$G51*$H51*(1+$K51)^MAX(ROUNDUP(IFERROR(DATEDIF($I33-1,BX$15+1,"m"),)/12,)-1,)*Index!BT$22*(BX$15&gt;$I51)*(1-BX$12)</f>
        <v>0</v>
      </c>
      <c r="BY51" s="747">
        <f>$G51*$H51*(1+$K51)^MAX(ROUNDUP(IFERROR(DATEDIF($I33-1,BY$15+1,"m"),)/12,)-1,)*Index!BU$22*(BY$15&gt;$I51)*(1-BY$12)</f>
        <v>0</v>
      </c>
      <c r="BZ51" s="747">
        <f>$G51*$H51*(1+$K51)^MAX(ROUNDUP(IFERROR(DATEDIF($I33-1,BZ$15+1,"m"),)/12,)-1,)*Index!BV$22*(BZ$15&gt;$I51)*(1-BZ$12)</f>
        <v>0</v>
      </c>
      <c r="CA51" s="747">
        <f>$G51*$H51*(1+$K51)^MAX(ROUNDUP(IFERROR(DATEDIF($I33-1,CA$15+1,"m"),)/12,)-1,)*Index!BW$22*(CA$15&gt;$I51)*(1-CA$12)</f>
        <v>0</v>
      </c>
      <c r="CB51" s="747">
        <f>$G51*$H51*(1+$K51)^MAX(ROUNDUP(IFERROR(DATEDIF($I33-1,CB$15+1,"m"),)/12,)-1,)*Index!BX$22*(CB$15&gt;$I51)*(1-CB$12)</f>
        <v>0</v>
      </c>
      <c r="CC51" s="747">
        <f>$G51*$H51*(1+$K51)^MAX(ROUNDUP(IFERROR(DATEDIF($I33-1,CC$15+1,"m"),)/12,)-1,)*Index!BY$22*(CC$15&gt;$I51)*(1-CC$12)</f>
        <v>0</v>
      </c>
      <c r="CD51" s="747">
        <f>$G51*$H51*(1+$K51)^MAX(ROUNDUP(IFERROR(DATEDIF($I33-1,CD$15+1,"m"),)/12,)-1,)*Index!BZ$22*(CD$15&gt;$I51)*(1-CD$12)</f>
        <v>0</v>
      </c>
      <c r="CE51" s="747">
        <f>$G51*$H51*(1+$K51)^MAX(ROUNDUP(IFERROR(DATEDIF($I33-1,CE$15+1,"m"),)/12,)-1,)*Index!CA$22*(CE$15&gt;$I51)*(1-CE$12)</f>
        <v>0</v>
      </c>
      <c r="CF51" s="747">
        <f>$G51*$H51*(1+$K51)^MAX(ROUNDUP(IFERROR(DATEDIF($I33-1,CF$15+1,"m"),)/12,)-1,)*Index!CB$22*(CF$15&gt;$I51)*(1-CF$12)</f>
        <v>0</v>
      </c>
      <c r="CG51" s="747">
        <f>$G51*$H51*(1+$K51)^MAX(ROUNDUP(IFERROR(DATEDIF($I33-1,CG$15+1,"m"),)/12,)-1,)*Index!CC$22*(CG$15&gt;$I51)*(1-CG$12)</f>
        <v>0</v>
      </c>
      <c r="CH51" s="747">
        <f>$G51*$H51*(1+$K51)^MAX(ROUNDUP(IFERROR(DATEDIF($I33-1,CH$15+1,"m"),)/12,)-1,)*Index!CD$22*(CH$15&gt;$I51)*(1-CH$12)</f>
        <v>0</v>
      </c>
      <c r="CI51" s="747">
        <f>$G51*$H51*(1+$K51)^MAX(ROUNDUP(IFERROR(DATEDIF($I33-1,CI$15+1,"m"),)/12,)-1,)*Index!CE$22*(CI$15&gt;$I51)*(1-CI$12)</f>
        <v>0</v>
      </c>
      <c r="CJ51" s="747">
        <f>$G51*$H51*(1+$K51)^MAX(ROUNDUP(IFERROR(DATEDIF($I33-1,CJ$15+1,"m"),)/12,)-1,)*Index!CF$22*(CJ$15&gt;$I51)*(1-CJ$12)</f>
        <v>0</v>
      </c>
      <c r="CK51" s="747">
        <f>$G51*$H51*(1+$K51)^MAX(ROUNDUP(IFERROR(DATEDIF($I33-1,CK$15+1,"m"),)/12,)-1,)*Index!CG$22*(CK$15&gt;$I51)*(1-CK$12)</f>
        <v>0</v>
      </c>
      <c r="CL51" s="747">
        <f>$G51*$H51*(1+$K51)^MAX(ROUNDUP(IFERROR(DATEDIF($I33-1,CL$15+1,"m"),)/12,)-1,)*Index!CH$22*(CL$15&gt;$I51)*(1-CL$12)</f>
        <v>0</v>
      </c>
      <c r="CM51" s="747">
        <f>$G51*$H51*(1+$K51)^MAX(ROUNDUP(IFERROR(DATEDIF($I33-1,CM$15+1,"m"),)/12,)-1,)*Index!CI$22*(CM$15&gt;$I51)*(1-CM$12)</f>
        <v>0</v>
      </c>
      <c r="CN51" s="747">
        <f>$G51*$H51*(1+$K51)^MAX(ROUNDUP(IFERROR(DATEDIF($I33-1,CN$15+1,"m"),)/12,)-1,)*Index!CJ$22*(CN$15&gt;$I51)*(1-CN$12)</f>
        <v>0</v>
      </c>
      <c r="CO51" s="747">
        <f>$G51*$H51*(1+$K51)^MAX(ROUNDUP(IFERROR(DATEDIF($I33-1,CO$15+1,"m"),)/12,)-1,)*Index!CK$22*(CO$15&gt;$I51)*(1-CO$12)</f>
        <v>0</v>
      </c>
      <c r="CP51" s="747">
        <f>$G51*$H51*(1+$K51)^MAX(ROUNDUP(IFERROR(DATEDIF($I33-1,CP$15+1,"m"),)/12,)-1,)*Index!CL$22*(CP$15&gt;$I51)*(1-CP$12)</f>
        <v>0</v>
      </c>
      <c r="CQ51" s="747">
        <f>$G51*$H51*(1+$K51)^MAX(ROUNDUP(IFERROR(DATEDIF($I33-1,CQ$15+1,"m"),)/12,)-1,)*Index!CM$22*(CQ$15&gt;$I51)*(1-CQ$12)</f>
        <v>0</v>
      </c>
      <c r="CR51" s="747">
        <f>$G51*$H51*(1+$K51)^MAX(ROUNDUP(IFERROR(DATEDIF($I33-1,CR$15+1,"m"),)/12,)-1,)*Index!CN$22*(CR$15&gt;$I51)*(1-CR$12)</f>
        <v>0</v>
      </c>
      <c r="CS51" s="747">
        <f>$G51*$H51*(1+$K51)^MAX(ROUNDUP(IFERROR(DATEDIF($I33-1,CS$15+1,"m"),)/12,)-1,)*Index!CO$22*(CS$15&gt;$I51)*(1-CS$12)</f>
        <v>0</v>
      </c>
      <c r="CT51" s="747">
        <f>$G51*$H51*(1+$K51)^MAX(ROUNDUP(IFERROR(DATEDIF($I33-1,CT$15+1,"m"),)/12,)-1,)*Index!CP$22*(CT$15&gt;$I51)*(1-CT$12)</f>
        <v>0</v>
      </c>
      <c r="CU51" s="747">
        <f>$G51*$H51*(1+$K51)^MAX(ROUNDUP(IFERROR(DATEDIF($I33-1,CU$15+1,"m"),)/12,)-1,)*Index!CQ$22*(CU$15&gt;$I51)*(1-CU$12)</f>
        <v>0</v>
      </c>
      <c r="CV51" s="747">
        <f>$G51*$H51*(1+$K51)^MAX(ROUNDUP(IFERROR(DATEDIF($I33-1,CV$15+1,"m"),)/12,)-1,)*Index!CR$22*(CV$15&gt;$I51)*(1-CV$12)</f>
        <v>0</v>
      </c>
      <c r="CW51" s="747">
        <f>$G51*$H51*(1+$K51)^MAX(ROUNDUP(IFERROR(DATEDIF($I33-1,CW$15+1,"m"),)/12,)-1,)*Index!CS$22*(CW$15&gt;$I51)*(1-CW$12)</f>
        <v>0</v>
      </c>
      <c r="CX51" s="747">
        <f>$G51*$H51*(1+$K51)^MAX(ROUNDUP(IFERROR(DATEDIF($I33-1,CX$15+1,"m"),)/12,)-1,)*Index!CT$22*(CX$15&gt;$I51)*(1-CX$12)</f>
        <v>0</v>
      </c>
      <c r="CY51" s="747">
        <f>$G51*$H51*(1+$K51)^MAX(ROUNDUP(IFERROR(DATEDIF($I33-1,CY$15+1,"m"),)/12,)-1,)*Index!CU$22*(CY$15&gt;$I51)*(1-CY$12)</f>
        <v>0</v>
      </c>
      <c r="CZ51" s="747">
        <f>$G51*$H51*(1+$K51)^MAX(ROUNDUP(IFERROR(DATEDIF($I33-1,CZ$15+1,"m"),)/12,)-1,)*Index!CV$22*(CZ$15&gt;$I51)*(1-CZ$12)</f>
        <v>0</v>
      </c>
      <c r="DA51" s="747">
        <f>$G51*$H51*(1+$K51)^MAX(ROUNDUP(IFERROR(DATEDIF($I33-1,DA$15+1,"m"),)/12,)-1,)*Index!CW$22*(DA$15&gt;$I51)*(1-DA$12)</f>
        <v>0</v>
      </c>
      <c r="DB51" s="747">
        <f>$G51*$H51*(1+$K51)^MAX(ROUNDUP(IFERROR(DATEDIF($I33-1,DB$15+1,"m"),)/12,)-1,)*Index!CX$22*(DB$15&gt;$I51)*(1-DB$12)</f>
        <v>0</v>
      </c>
      <c r="DC51" s="747">
        <f>$G51*$H51*(1+$K51)^MAX(ROUNDUP(IFERROR(DATEDIF($I33-1,DC$15+1,"m"),)/12,)-1,)*Index!CY$22*(DC$15&gt;$I51)*(1-DC$12)</f>
        <v>191791.56057880991</v>
      </c>
      <c r="DD51" s="747">
        <f>$G51*$H51*(1+$K51)^MAX(ROUNDUP(IFERROR(DATEDIF($I33-1,DD$15+1,"m"),)/12,)-1,)*Index!CZ$22*(DD$15&gt;$I51)*(1-DD$12)</f>
        <v>191791.56057880991</v>
      </c>
      <c r="DE51" s="747">
        <f>$G51*$H51*(1+$K51)^MAX(ROUNDUP(IFERROR(DATEDIF($I33-1,DE$15+1,"m"),)/12,)-1,)*Index!DA$22*(DE$15&gt;$I51)*(1-DE$12)</f>
        <v>191791.56057880991</v>
      </c>
      <c r="DF51" s="747">
        <f>$G51*$H51*(1+$K51)^MAX(ROUNDUP(IFERROR(DATEDIF($I33-1,DF$15+1,"m"),)/12,)-1,)*Index!DB$22*(DF$15&gt;$I51)*(1-DF$12)</f>
        <v>191791.56057880991</v>
      </c>
      <c r="DG51" s="747">
        <f>$G51*$H51*(1+$K51)^MAX(ROUNDUP(IFERROR(DATEDIF($I33-1,DG$15+1,"m"),)/12,)-1,)*Index!DC$22*(DG$15&gt;$I51)*(1-DG$12)</f>
        <v>191791.56057880991</v>
      </c>
      <c r="DH51" s="747">
        <f>$G51*$H51*(1+$K51)^MAX(ROUNDUP(IFERROR(DATEDIF($I33-1,DH$15+1,"m"),)/12,)-1,)*Index!DD$22*(DH$15&gt;$I51)*(1-DH$12)</f>
        <v>191791.56057880991</v>
      </c>
      <c r="DI51" s="747">
        <f>$G51*$H51*(1+$K51)^MAX(ROUNDUP(IFERROR(DATEDIF($I33-1,DI$15+1,"m"),)/12,)-1,)*Index!DE$22*(DI$15&gt;$I51)*(1-DI$12)</f>
        <v>191791.56057880991</v>
      </c>
      <c r="DJ51" s="747">
        <f>$G51*$H51*(1+$K51)^MAX(ROUNDUP(IFERROR(DATEDIF($I33-1,DJ$15+1,"m"),)/12,)-1,)*Index!DF$22*(DJ$15&gt;$I51)*(1-DJ$12)</f>
        <v>196586.34959328012</v>
      </c>
      <c r="DK51" s="747">
        <f>$G51*$H51*(1+$K51)^MAX(ROUNDUP(IFERROR(DATEDIF($I33-1,DK$15+1,"m"),)/12,)-1,)*Index!DG$22*(DK$15&gt;$I51)*(1-DK$12)</f>
        <v>196586.34959328012</v>
      </c>
      <c r="DL51" s="747">
        <f>$G51*$H51*(1+$K51)^MAX(ROUNDUP(IFERROR(DATEDIF($I33-1,DL$15+1,"m"),)/12,)-1,)*Index!DH$22*(DL$15&gt;$I51)*(1-DL$12)</f>
        <v>196586.34959328012</v>
      </c>
      <c r="DM51" s="747">
        <f>$G51*$H51*(1+$K51)^MAX(ROUNDUP(IFERROR(DATEDIF($I33-1,DM$15+1,"m"),)/12,)-1,)*Index!DI$22*(DM$15&gt;$I51)*(1-DM$12)</f>
        <v>196586.34959328012</v>
      </c>
      <c r="DN51" s="747">
        <f>$G51*$H51*(1+$K51)^MAX(ROUNDUP(IFERROR(DATEDIF($I33-1,DN$15+1,"m"),)/12,)-1,)*Index!DJ$22*(DN$15&gt;$I51)*(1-DN$12)</f>
        <v>196586.34959328012</v>
      </c>
      <c r="DO51" s="747">
        <f>$G51*$H51*(1+$K51)^MAX(ROUNDUP(IFERROR(DATEDIF($I33-1,DO$15+1,"m"),)/12,)-1,)*Index!DK$22*(DO$15&gt;$I51)*(1-DO$12)</f>
        <v>196586.34959328012</v>
      </c>
      <c r="DP51" s="747">
        <f>$G51*$H51*(1+$K51)^MAX(ROUNDUP(IFERROR(DATEDIF($I33-1,DP$15+1,"m"),)/12,)-1,)*Index!DL$22*(DP$15&gt;$I51)*(1-DP$12)</f>
        <v>196586.34959328012</v>
      </c>
      <c r="DQ51" s="747">
        <f>$G51*$H51*(1+$K51)^MAX(ROUNDUP(IFERROR(DATEDIF($I33-1,DQ$15+1,"m"),)/12,)-1,)*Index!DM$22*(DQ$15&gt;$I51)*(1-DQ$12)</f>
        <v>196586.34959328012</v>
      </c>
      <c r="DR51" s="747">
        <f>$G51*$H51*(1+$K51)^MAX(ROUNDUP(IFERROR(DATEDIF($I33-1,DR$15+1,"m"),)/12,)-1,)*Index!DN$22*(DR$15&gt;$I51)*(1-DR$12)</f>
        <v>196586.34959328012</v>
      </c>
      <c r="DS51" s="747">
        <f>$G51*$H51*(1+$K51)^MAX(ROUNDUP(IFERROR(DATEDIF($I33-1,DS$15+1,"m"),)/12,)-1,)*Index!DO$22*(DS$15&gt;$I51)*(1-DS$12)</f>
        <v>196586.34959328012</v>
      </c>
      <c r="DT51" s="747">
        <f>$G51*$H51*(1+$K51)^MAX(ROUNDUP(IFERROR(DATEDIF($I33-1,DT$15+1,"m"),)/12,)-1,)*Index!DP$22*(DT$15&gt;$I51)*(1-DT$12)</f>
        <v>196586.34959328012</v>
      </c>
      <c r="DU51" s="747">
        <f>$G51*$H51*(1+$K51)^MAX(ROUNDUP(IFERROR(DATEDIF($I33-1,DU$15+1,"m"),)/12,)-1,)*Index!DQ$22*(DU$15&gt;$I51)*(1-DU$12)</f>
        <v>196586.34959328012</v>
      </c>
      <c r="DV51" s="747">
        <f>$G51*$H51*(1+$K51)^MAX(ROUNDUP(IFERROR(DATEDIF($I33-1,DV$15+1,"m"),)/12,)-1,)*Index!DR$22*(DV$15&gt;$I51)*(1-DV$12)</f>
        <v>201501.00833311211</v>
      </c>
      <c r="DW51" s="747">
        <f>$G51*$H51*(1+$K51)^MAX(ROUNDUP(IFERROR(DATEDIF($I33-1,DW$15+1,"m"),)/12,)-1,)*Index!DS$22*(DW$15&gt;$I51)*(1-DW$12)</f>
        <v>201501.00833311211</v>
      </c>
      <c r="DX51" s="747">
        <f>$G51*$H51*(1+$K51)^MAX(ROUNDUP(IFERROR(DATEDIF($I33-1,DX$15+1,"m"),)/12,)-1,)*Index!DT$22*(DX$15&gt;$I51)*(1-DX$12)</f>
        <v>201501.00833311211</v>
      </c>
      <c r="DY51" s="747">
        <f>$G51*$H51*(1+$K51)^MAX(ROUNDUP(IFERROR(DATEDIF($I33-1,DY$15+1,"m"),)/12,)-1,)*Index!DU$22*(DY$15&gt;$I51)*(1-DY$12)</f>
        <v>201501.00833311211</v>
      </c>
      <c r="DZ51" s="747">
        <f>$G51*$H51*(1+$K51)^MAX(ROUNDUP(IFERROR(DATEDIF($I33-1,DZ$15+1,"m"),)/12,)-1,)*Index!DV$22*(DZ$15&gt;$I51)*(1-DZ$12)</f>
        <v>201501.00833311211</v>
      </c>
      <c r="EA51" s="747">
        <f>$G51*$H51*(1+$K51)^MAX(ROUNDUP(IFERROR(DATEDIF($I33-1,EA$15+1,"m"),)/12,)-1,)*Index!DW$22*(EA$15&gt;$I51)*(1-EA$12)</f>
        <v>201501.00833311211</v>
      </c>
      <c r="EB51" s="747">
        <f>$G51*$H51*(1+$K51)^MAX(ROUNDUP(IFERROR(DATEDIF($I33-1,EB$15+1,"m"),)/12,)-1,)*Index!DX$22*(EB$15&gt;$I51)*(1-EB$12)</f>
        <v>201501.00833311211</v>
      </c>
      <c r="EC51" s="747">
        <f>$G51*$H51*(1+$K51)^MAX(ROUNDUP(IFERROR(DATEDIF($I33-1,EC$15+1,"m"),)/12,)-1,)*Index!DY$22*(EC$15&gt;$I51)*(1-EC$12)</f>
        <v>201501.00833311211</v>
      </c>
      <c r="ED51" s="747">
        <f>$G51*$H51*(1+$K51)^MAX(ROUNDUP(IFERROR(DATEDIF($I33-1,ED$15+1,"m"),)/12,)-1,)*Index!DZ$22*(ED$15&gt;$I51)*(1-ED$12)</f>
        <v>201501.00833311211</v>
      </c>
      <c r="EE51" s="747">
        <f>$G51*$H51*(1+$K51)^MAX(ROUNDUP(IFERROR(DATEDIF($I33-1,EE$15+1,"m"),)/12,)-1,)*Index!EA$22*(EE$15&gt;$I51)*(1-EE$12)</f>
        <v>201501.00833311211</v>
      </c>
      <c r="EF51" s="747">
        <f>$G51*$H51*(1+$K51)^MAX(ROUNDUP(IFERROR(DATEDIF($I33-1,EF$15+1,"m"),)/12,)-1,)*Index!EB$22*(EF$15&gt;$I51)*(1-EF$12)</f>
        <v>201501.00833311211</v>
      </c>
      <c r="EG51" s="747">
        <f>$G51*$H51*(1+$K51)^MAX(ROUNDUP(IFERROR(DATEDIF($I33-1,EG$15+1,"m"),)/12,)-1,)*Index!EC$22*(EG$15&gt;$I51)*(1-EG$12)</f>
        <v>0</v>
      </c>
      <c r="EH51" s="747">
        <f>$G51*$H51*(1+$K51)^MAX(ROUNDUP(IFERROR(DATEDIF($I33-1,EH$15+1,"m"),)/12,)-1,)*Index!ED$22*(EH$15&gt;$I51)*(1-EH$12)</f>
        <v>0</v>
      </c>
      <c r="EI51" s="747">
        <f>$G51*$H51*(1+$K51)^MAX(ROUNDUP(IFERROR(DATEDIF($I33-1,EI$15+1,"m"),)/12,)-1,)*Index!EE$22*(EI$15&gt;$I51)*(1-EI$12)</f>
        <v>0</v>
      </c>
      <c r="EJ51" s="747">
        <f>$G51*$H51*(1+$K51)^MAX(ROUNDUP(IFERROR(DATEDIF($I33-1,EJ$15+1,"m"),)/12,)-1,)*Index!EF$22*(EJ$15&gt;$I51)*(1-EJ$12)</f>
        <v>0</v>
      </c>
      <c r="EK51" s="747">
        <f>$G51*$H51*(1+$K51)^MAX(ROUNDUP(IFERROR(DATEDIF($I33-1,EK$15+1,"m"),)/12,)-1,)*Index!EG$22*(EK$15&gt;$I51)*(1-EK$12)</f>
        <v>0</v>
      </c>
      <c r="EL51" s="747">
        <f>$G51*$H51*(1+$K51)^MAX(ROUNDUP(IFERROR(DATEDIF($I33-1,EL$15+1,"m"),)/12,)-1,)*Index!EH$22*(EL$15&gt;$I51)*(1-EL$12)</f>
        <v>0</v>
      </c>
      <c r="EM51" s="747">
        <f>$G51*$H51*(1+$K51)^MAX(ROUNDUP(IFERROR(DATEDIF($I33-1,EM$15+1,"m"),)/12,)-1,)*Index!EI$22*(EM$15&gt;$I51)*(1-EM$12)</f>
        <v>0</v>
      </c>
      <c r="EN51" s="747">
        <f>$G51*$H51*(1+$K51)^MAX(ROUNDUP(IFERROR(DATEDIF($I33-1,EN$15+1,"m"),)/12,)-1,)*Index!EJ$22*(EN$15&gt;$I51)*(1-EN$12)</f>
        <v>0</v>
      </c>
      <c r="EO51" s="747">
        <f>$G51*$H51*(1+$K51)^MAX(ROUNDUP(IFERROR(DATEDIF($I33-1,EO$15+1,"m"),)/12,)-1,)*Index!EK$22*(EO$15&gt;$I51)*(1-EO$12)</f>
        <v>0</v>
      </c>
      <c r="EP51" s="747">
        <f>$G51*$H51*(1+$K51)^MAX(ROUNDUP(IFERROR(DATEDIF($I33-1,EP$15+1,"m"),)/12,)-1,)*Index!EL$22*(EP$15&gt;$I51)*(1-EP$12)</f>
        <v>0</v>
      </c>
      <c r="EQ51" s="747">
        <f>$G51*$H51*(1+$K51)^MAX(ROUNDUP(IFERROR(DATEDIF($I33-1,EQ$15+1,"m"),)/12,)-1,)*Index!EM$22*(EQ$15&gt;$I51)*(1-EQ$12)</f>
        <v>0</v>
      </c>
      <c r="ER51" s="747">
        <f>$G51*$H51*(1+$K51)^MAX(ROUNDUP(IFERROR(DATEDIF($I33-1,ER$15+1,"m"),)/12,)-1,)*Index!EN$22*(ER$15&gt;$I51)*(1-ER$12)</f>
        <v>0</v>
      </c>
      <c r="ES51" s="747">
        <f>$G51*$H51*(1+$K51)^MAX(ROUNDUP(IFERROR(DATEDIF($I33-1,ES$15+1,"m"),)/12,)-1,)*Index!EO$22*(ES$15&gt;$I51)*(1-ES$12)</f>
        <v>0</v>
      </c>
      <c r="ET51" s="747">
        <f>$G51*$H51*(1+$K51)^MAX(ROUNDUP(IFERROR(DATEDIF($I33-1,ET$15+1,"m"),)/12,)-1,)*Index!EP$22*(ET$15&gt;$I51)*(1-ET$12)</f>
        <v>0</v>
      </c>
      <c r="EU51" s="747">
        <f>$G51*$H51*(1+$K51)^MAX(ROUNDUP(IFERROR(DATEDIF($I33-1,EU$15+1,"m"),)/12,)-1,)*Index!EQ$22*(EU$15&gt;$I51)*(1-EU$12)</f>
        <v>0</v>
      </c>
    </row>
    <row r="52" spans="3:151" ht="11.25" customHeight="1">
      <c r="C52" s="827" t="s">
        <v>504</v>
      </c>
      <c r="D52" s="829"/>
      <c r="E52" s="829"/>
      <c r="F52" s="829"/>
      <c r="G52" s="829"/>
      <c r="H52" s="829"/>
      <c r="I52" s="829"/>
      <c r="J52" s="829"/>
      <c r="K52" s="829"/>
      <c r="L52" s="830"/>
      <c r="M52" s="831"/>
      <c r="N52" s="832">
        <f>SUM(N53:N69)</f>
        <v>0</v>
      </c>
      <c r="O52" s="733"/>
      <c r="P52" s="833">
        <f>SUM(P53:P69)</f>
        <v>0</v>
      </c>
      <c r="Q52" s="833">
        <f t="shared" ref="Q52:CB52" si="17">SUM(Q53:Q69)</f>
        <v>0</v>
      </c>
      <c r="R52" s="833">
        <f t="shared" si="17"/>
        <v>0</v>
      </c>
      <c r="S52" s="833">
        <f t="shared" si="17"/>
        <v>0</v>
      </c>
      <c r="T52" s="833">
        <f t="shared" si="17"/>
        <v>0</v>
      </c>
      <c r="U52" s="833">
        <f t="shared" si="17"/>
        <v>0</v>
      </c>
      <c r="V52" s="833">
        <f t="shared" si="17"/>
        <v>0</v>
      </c>
      <c r="W52" s="833">
        <f t="shared" si="17"/>
        <v>0</v>
      </c>
      <c r="X52" s="833">
        <f t="shared" si="17"/>
        <v>0</v>
      </c>
      <c r="Y52" s="833">
        <f t="shared" si="17"/>
        <v>0</v>
      </c>
      <c r="Z52" s="833">
        <f t="shared" si="17"/>
        <v>0</v>
      </c>
      <c r="AA52" s="833">
        <f t="shared" si="17"/>
        <v>0</v>
      </c>
      <c r="AB52" s="833">
        <f t="shared" si="17"/>
        <v>0</v>
      </c>
      <c r="AC52" s="833">
        <f t="shared" si="17"/>
        <v>0</v>
      </c>
      <c r="AD52" s="833">
        <f t="shared" si="17"/>
        <v>0</v>
      </c>
      <c r="AE52" s="833">
        <f t="shared" si="17"/>
        <v>0</v>
      </c>
      <c r="AF52" s="833">
        <f t="shared" si="17"/>
        <v>0</v>
      </c>
      <c r="AG52" s="833">
        <f t="shared" si="17"/>
        <v>0</v>
      </c>
      <c r="AH52" s="833">
        <f t="shared" si="17"/>
        <v>0</v>
      </c>
      <c r="AI52" s="833">
        <f t="shared" si="17"/>
        <v>0</v>
      </c>
      <c r="AJ52" s="833">
        <f t="shared" si="17"/>
        <v>0</v>
      </c>
      <c r="AK52" s="833">
        <f t="shared" si="17"/>
        <v>0</v>
      </c>
      <c r="AL52" s="833">
        <f t="shared" si="17"/>
        <v>0</v>
      </c>
      <c r="AM52" s="833">
        <f t="shared" si="17"/>
        <v>0</v>
      </c>
      <c r="AN52" s="833">
        <f t="shared" si="17"/>
        <v>0</v>
      </c>
      <c r="AO52" s="833">
        <f t="shared" si="17"/>
        <v>0</v>
      </c>
      <c r="AP52" s="833">
        <f t="shared" si="17"/>
        <v>0</v>
      </c>
      <c r="AQ52" s="833">
        <f t="shared" si="17"/>
        <v>0</v>
      </c>
      <c r="AR52" s="833">
        <f t="shared" si="17"/>
        <v>0</v>
      </c>
      <c r="AS52" s="833">
        <f t="shared" si="17"/>
        <v>0</v>
      </c>
      <c r="AT52" s="833">
        <f t="shared" si="17"/>
        <v>0</v>
      </c>
      <c r="AU52" s="833">
        <f t="shared" si="17"/>
        <v>0</v>
      </c>
      <c r="AV52" s="833">
        <f t="shared" si="17"/>
        <v>0</v>
      </c>
      <c r="AW52" s="833">
        <f t="shared" si="17"/>
        <v>0</v>
      </c>
      <c r="AX52" s="833">
        <f t="shared" si="17"/>
        <v>0</v>
      </c>
      <c r="AY52" s="833">
        <f t="shared" si="17"/>
        <v>0</v>
      </c>
      <c r="AZ52" s="833">
        <f t="shared" si="17"/>
        <v>0</v>
      </c>
      <c r="BA52" s="833">
        <f t="shared" si="17"/>
        <v>0</v>
      </c>
      <c r="BB52" s="833">
        <f t="shared" si="17"/>
        <v>0</v>
      </c>
      <c r="BC52" s="833">
        <f t="shared" si="17"/>
        <v>0</v>
      </c>
      <c r="BD52" s="833">
        <f t="shared" si="17"/>
        <v>0</v>
      </c>
      <c r="BE52" s="833">
        <f t="shared" si="17"/>
        <v>0</v>
      </c>
      <c r="BF52" s="833">
        <f t="shared" si="17"/>
        <v>0</v>
      </c>
      <c r="BG52" s="833">
        <f t="shared" si="17"/>
        <v>0</v>
      </c>
      <c r="BH52" s="833">
        <f t="shared" si="17"/>
        <v>0</v>
      </c>
      <c r="BI52" s="833">
        <f t="shared" si="17"/>
        <v>0</v>
      </c>
      <c r="BJ52" s="833">
        <f t="shared" si="17"/>
        <v>0</v>
      </c>
      <c r="BK52" s="833">
        <f t="shared" si="17"/>
        <v>0</v>
      </c>
      <c r="BL52" s="833">
        <f t="shared" si="17"/>
        <v>0</v>
      </c>
      <c r="BM52" s="833">
        <f t="shared" si="17"/>
        <v>0</v>
      </c>
      <c r="BN52" s="833">
        <f t="shared" si="17"/>
        <v>0</v>
      </c>
      <c r="BO52" s="833">
        <f t="shared" si="17"/>
        <v>0</v>
      </c>
      <c r="BP52" s="833">
        <f t="shared" si="17"/>
        <v>0</v>
      </c>
      <c r="BQ52" s="833">
        <f t="shared" si="17"/>
        <v>0</v>
      </c>
      <c r="BR52" s="833">
        <f t="shared" si="17"/>
        <v>0</v>
      </c>
      <c r="BS52" s="833">
        <f t="shared" si="17"/>
        <v>0</v>
      </c>
      <c r="BT52" s="833">
        <f t="shared" si="17"/>
        <v>0</v>
      </c>
      <c r="BU52" s="833">
        <f t="shared" si="17"/>
        <v>0</v>
      </c>
      <c r="BV52" s="833">
        <f t="shared" si="17"/>
        <v>0</v>
      </c>
      <c r="BW52" s="833">
        <f t="shared" si="17"/>
        <v>0</v>
      </c>
      <c r="BX52" s="833">
        <f t="shared" si="17"/>
        <v>0</v>
      </c>
      <c r="BY52" s="833">
        <f t="shared" si="17"/>
        <v>0</v>
      </c>
      <c r="BZ52" s="833">
        <f t="shared" si="17"/>
        <v>0</v>
      </c>
      <c r="CA52" s="833">
        <f t="shared" si="17"/>
        <v>0</v>
      </c>
      <c r="CB52" s="833">
        <f t="shared" si="17"/>
        <v>0</v>
      </c>
      <c r="CC52" s="833">
        <f t="shared" ref="CC52:EN52" si="18">SUM(CC53:CC69)</f>
        <v>0</v>
      </c>
      <c r="CD52" s="833">
        <f t="shared" si="18"/>
        <v>0</v>
      </c>
      <c r="CE52" s="833">
        <f t="shared" si="18"/>
        <v>0</v>
      </c>
      <c r="CF52" s="833">
        <f t="shared" si="18"/>
        <v>0</v>
      </c>
      <c r="CG52" s="833">
        <f t="shared" si="18"/>
        <v>0</v>
      </c>
      <c r="CH52" s="833">
        <f t="shared" si="18"/>
        <v>0</v>
      </c>
      <c r="CI52" s="833">
        <f t="shared" si="18"/>
        <v>0</v>
      </c>
      <c r="CJ52" s="833">
        <f t="shared" si="18"/>
        <v>0</v>
      </c>
      <c r="CK52" s="833">
        <f t="shared" si="18"/>
        <v>0</v>
      </c>
      <c r="CL52" s="833">
        <f t="shared" si="18"/>
        <v>0</v>
      </c>
      <c r="CM52" s="833">
        <f t="shared" si="18"/>
        <v>0</v>
      </c>
      <c r="CN52" s="833">
        <f t="shared" si="18"/>
        <v>0</v>
      </c>
      <c r="CO52" s="833">
        <f t="shared" si="18"/>
        <v>0</v>
      </c>
      <c r="CP52" s="833">
        <f t="shared" si="18"/>
        <v>0</v>
      </c>
      <c r="CQ52" s="833">
        <f t="shared" si="18"/>
        <v>0</v>
      </c>
      <c r="CR52" s="833">
        <f t="shared" si="18"/>
        <v>0</v>
      </c>
      <c r="CS52" s="833">
        <f t="shared" si="18"/>
        <v>0</v>
      </c>
      <c r="CT52" s="833">
        <f t="shared" si="18"/>
        <v>0</v>
      </c>
      <c r="CU52" s="833">
        <f t="shared" si="18"/>
        <v>0</v>
      </c>
      <c r="CV52" s="833">
        <f t="shared" si="18"/>
        <v>0</v>
      </c>
      <c r="CW52" s="833">
        <f t="shared" si="18"/>
        <v>0</v>
      </c>
      <c r="CX52" s="833">
        <f t="shared" si="18"/>
        <v>0</v>
      </c>
      <c r="CY52" s="833">
        <f t="shared" si="18"/>
        <v>0</v>
      </c>
      <c r="CZ52" s="833">
        <f t="shared" si="18"/>
        <v>0</v>
      </c>
      <c r="DA52" s="833">
        <f t="shared" si="18"/>
        <v>0</v>
      </c>
      <c r="DB52" s="833">
        <f t="shared" si="18"/>
        <v>0</v>
      </c>
      <c r="DC52" s="833">
        <f t="shared" si="18"/>
        <v>0</v>
      </c>
      <c r="DD52" s="833">
        <f t="shared" si="18"/>
        <v>0</v>
      </c>
      <c r="DE52" s="833">
        <f t="shared" si="18"/>
        <v>0</v>
      </c>
      <c r="DF52" s="833">
        <f t="shared" si="18"/>
        <v>0</v>
      </c>
      <c r="DG52" s="833">
        <f t="shared" si="18"/>
        <v>0</v>
      </c>
      <c r="DH52" s="833">
        <f t="shared" si="18"/>
        <v>0</v>
      </c>
      <c r="DI52" s="833">
        <f t="shared" si="18"/>
        <v>0</v>
      </c>
      <c r="DJ52" s="833">
        <f t="shared" si="18"/>
        <v>0</v>
      </c>
      <c r="DK52" s="833">
        <f t="shared" si="18"/>
        <v>0</v>
      </c>
      <c r="DL52" s="833">
        <f t="shared" si="18"/>
        <v>0</v>
      </c>
      <c r="DM52" s="833">
        <f t="shared" si="18"/>
        <v>0</v>
      </c>
      <c r="DN52" s="833">
        <f t="shared" si="18"/>
        <v>0</v>
      </c>
      <c r="DO52" s="833">
        <f t="shared" si="18"/>
        <v>0</v>
      </c>
      <c r="DP52" s="833">
        <f t="shared" si="18"/>
        <v>0</v>
      </c>
      <c r="DQ52" s="833">
        <f t="shared" si="18"/>
        <v>0</v>
      </c>
      <c r="DR52" s="833">
        <f t="shared" si="18"/>
        <v>0</v>
      </c>
      <c r="DS52" s="833">
        <f t="shared" si="18"/>
        <v>0</v>
      </c>
      <c r="DT52" s="833">
        <f t="shared" si="18"/>
        <v>0</v>
      </c>
      <c r="DU52" s="833">
        <f t="shared" si="18"/>
        <v>0</v>
      </c>
      <c r="DV52" s="833">
        <f t="shared" si="18"/>
        <v>0</v>
      </c>
      <c r="DW52" s="833">
        <f t="shared" si="18"/>
        <v>0</v>
      </c>
      <c r="DX52" s="833">
        <f t="shared" si="18"/>
        <v>0</v>
      </c>
      <c r="DY52" s="833">
        <f t="shared" si="18"/>
        <v>0</v>
      </c>
      <c r="DZ52" s="833">
        <f t="shared" si="18"/>
        <v>0</v>
      </c>
      <c r="EA52" s="833">
        <f t="shared" si="18"/>
        <v>0</v>
      </c>
      <c r="EB52" s="833">
        <f t="shared" si="18"/>
        <v>0</v>
      </c>
      <c r="EC52" s="833">
        <f t="shared" si="18"/>
        <v>0</v>
      </c>
      <c r="ED52" s="833">
        <f t="shared" si="18"/>
        <v>0</v>
      </c>
      <c r="EE52" s="833">
        <f t="shared" si="18"/>
        <v>0</v>
      </c>
      <c r="EF52" s="833">
        <f t="shared" si="18"/>
        <v>0</v>
      </c>
      <c r="EG52" s="833">
        <f t="shared" si="18"/>
        <v>0</v>
      </c>
      <c r="EH52" s="833">
        <f t="shared" si="18"/>
        <v>0</v>
      </c>
      <c r="EI52" s="833">
        <f t="shared" si="18"/>
        <v>0</v>
      </c>
      <c r="EJ52" s="833">
        <f t="shared" si="18"/>
        <v>0</v>
      </c>
      <c r="EK52" s="833">
        <f t="shared" si="18"/>
        <v>0</v>
      </c>
      <c r="EL52" s="833">
        <f t="shared" si="18"/>
        <v>0</v>
      </c>
      <c r="EM52" s="833">
        <f t="shared" si="18"/>
        <v>0</v>
      </c>
      <c r="EN52" s="833">
        <f t="shared" si="18"/>
        <v>0</v>
      </c>
      <c r="EO52" s="833">
        <f t="shared" ref="EO52:EU52" si="19">SUM(EO53:EO69)</f>
        <v>0</v>
      </c>
      <c r="EP52" s="833">
        <f t="shared" si="19"/>
        <v>0</v>
      </c>
      <c r="EQ52" s="833">
        <f t="shared" si="19"/>
        <v>0</v>
      </c>
      <c r="ER52" s="833">
        <f t="shared" si="19"/>
        <v>0</v>
      </c>
      <c r="ES52" s="833">
        <f t="shared" si="19"/>
        <v>0</v>
      </c>
      <c r="ET52" s="833">
        <f t="shared" si="19"/>
        <v>0</v>
      </c>
      <c r="EU52" s="833">
        <f t="shared" si="19"/>
        <v>0</v>
      </c>
    </row>
    <row r="53" spans="3:151" ht="11.25" customHeight="1">
      <c r="C53" s="828"/>
      <c r="D53" s="736" t="str">
        <f>'A&amp;R'!V6</f>
        <v>옥상</v>
      </c>
      <c r="E53" s="737" t="s">
        <v>850</v>
      </c>
      <c r="F53" s="737" t="str">
        <f>'A&amp;R'!X6</f>
        <v>태양광시설</v>
      </c>
      <c r="G53" s="751">
        <f>'A&amp;R'!AC6/1000</f>
        <v>15000</v>
      </c>
      <c r="H53" s="738">
        <f>'A&amp;R'!Y6</f>
        <v>0</v>
      </c>
      <c r="I53" s="739">
        <f>'A&amp;R'!Z6</f>
        <v>46326</v>
      </c>
      <c r="J53" s="739">
        <f>'A&amp;R'!AA6</f>
        <v>49979</v>
      </c>
      <c r="K53" s="753">
        <f>'A&amp;R'!AF6</f>
        <v>2.5000000000000001E-2</v>
      </c>
      <c r="L53" s="740"/>
      <c r="M53" s="741"/>
      <c r="N53" s="742">
        <f>SUM(P53:EU53)</f>
        <v>0</v>
      </c>
      <c r="O53" s="733"/>
      <c r="P53" s="742">
        <f>$G53*$H53*(1+$K53)^MAX(ROUNDUP(IFERROR(DATEDIF($I53-1,P$15+1,"m"),)/12,)-1,)*Index!L$23*(P$15&lt;=$J53)*(1-P$12)</f>
        <v>0</v>
      </c>
      <c r="Q53" s="742">
        <f>$G53*$H53*(1+$K53)^MAX(ROUNDUP(IFERROR(DATEDIF($I53-1,Q$15+1,"m"),)/12,)-1,)*Index!M$23*(Q$15&lt;=$J53)*(1-Q$12)</f>
        <v>0</v>
      </c>
      <c r="R53" s="742">
        <f>$G53*$H53*(1+$K53)^MAX(ROUNDUP(IFERROR(DATEDIF($I53-1,R$15+1,"m"),)/12,)-1,)*Index!N$23*(R$15&lt;=$J53)*(1-R$12)</f>
        <v>0</v>
      </c>
      <c r="S53" s="742">
        <f>$G53*$H53*(1+$K53)^MAX(ROUNDUP(IFERROR(DATEDIF($I53-1,S$15+1,"m"),)/12,)-1,)*Index!O$23*(S$15&lt;=$J53)*(1-S$12)</f>
        <v>0</v>
      </c>
      <c r="T53" s="742">
        <f>$G53*$H53*(1+$K53)^MAX(ROUNDUP(IFERROR(DATEDIF($I53-1,T$15+1,"m"),)/12,)-1,)*Index!P$23*(T$15&lt;=$J53)*(1-T$12)</f>
        <v>0</v>
      </c>
      <c r="U53" s="742">
        <f>$G53*$H53*(1+$K53)^MAX(ROUNDUP(IFERROR(DATEDIF($I53-1,U$15+1,"m"),)/12,)-1,)*Index!Q$23*(U$15&lt;=$J53)*(1-U$12)</f>
        <v>0</v>
      </c>
      <c r="V53" s="742">
        <f>$G53*$H53*(1+$K53)^MAX(ROUNDUP(IFERROR(DATEDIF($I53-1,V$15+1,"m"),)/12,)-1,)*Index!R$23*(V$15&lt;=$J53)*(1-V$12)</f>
        <v>0</v>
      </c>
      <c r="W53" s="742">
        <f>$G53*$H53*(1+$K53)^MAX(ROUNDUP(IFERROR(DATEDIF($I53-1,W$15+1,"m"),)/12,)-1,)*Index!S$23*(W$15&lt;=$J53)*(1-W$12)</f>
        <v>0</v>
      </c>
      <c r="X53" s="742">
        <f>$G53*$H53*(1+$K53)^MAX(ROUNDUP(IFERROR(DATEDIF($I53-1,X$15+1,"m"),)/12,)-1,)*Index!T$23*(X$15&lt;=$J53)*(1-X$12)</f>
        <v>0</v>
      </c>
      <c r="Y53" s="742">
        <f>$G53*$H53*(1+$K53)^MAX(ROUNDUP(IFERROR(DATEDIF($I53-1,Y$15+1,"m"),)/12,)-1,)*Index!U$23*(Y$15&lt;=$J53)*(1-Y$12)</f>
        <v>0</v>
      </c>
      <c r="Z53" s="742">
        <f>$G53*$H53*(1+$K53)^MAX(ROUNDUP(IFERROR(DATEDIF($I53-1,Z$15+1,"m"),)/12,)-1,)*Index!V$23*(Z$15&lt;=$J53)*(1-Z$12)</f>
        <v>0</v>
      </c>
      <c r="AA53" s="742">
        <f>$G53*$H53*(1+$K53)^MAX(ROUNDUP(IFERROR(DATEDIF($I53-1,AA$15+1,"m"),)/12,)-1,)*Index!W$23*(AA$15&lt;=$J53)*(1-AA$12)</f>
        <v>0</v>
      </c>
      <c r="AB53" s="742">
        <f>$G53*$H53*(1+$K53)^MAX(ROUNDUP(IFERROR(DATEDIF($I53-1,AB$15+1,"m"),)/12,)-1,)*Index!X$23*(AB$15&lt;=$J53)*(1-AB$12)</f>
        <v>0</v>
      </c>
      <c r="AC53" s="742">
        <f>$G53*$H53*(1+$K53)^MAX(ROUNDUP(IFERROR(DATEDIF($I53-1,AC$15+1,"m"),)/12,)-1,)*Index!Y$23*(AC$15&lt;=$J53)*(1-AC$12)</f>
        <v>0</v>
      </c>
      <c r="AD53" s="742">
        <f>$G53*$H53*(1+$K53)^MAX(ROUNDUP(IFERROR(DATEDIF($I53-1,AD$15+1,"m"),)/12,)-1,)*Index!Z$23*(AD$15&lt;=$J53)*(1-AD$12)</f>
        <v>0</v>
      </c>
      <c r="AE53" s="742">
        <f>$G53*$H53*(1+$K53)^MAX(ROUNDUP(IFERROR(DATEDIF($I53-1,AE$15+1,"m"),)/12,)-1,)*Index!AA$23*(AE$15&lt;=$J53)*(1-AE$12)</f>
        <v>0</v>
      </c>
      <c r="AF53" s="742">
        <f>$G53*$H53*(1+$K53)^MAX(ROUNDUP(IFERROR(DATEDIF($I53-1,AF$15+1,"m"),)/12,)-1,)*Index!AB$23*(AF$15&lt;=$J53)*(1-AF$12)</f>
        <v>0</v>
      </c>
      <c r="AG53" s="742">
        <f>$G53*$H53*(1+$K53)^MAX(ROUNDUP(IFERROR(DATEDIF($I53-1,AG$15+1,"m"),)/12,)-1,)*Index!AC$23*(AG$15&lt;=$J53)*(1-AG$12)</f>
        <v>0</v>
      </c>
      <c r="AH53" s="742">
        <f>$G53*$H53*(1+$K53)^MAX(ROUNDUP(IFERROR(DATEDIF($I53-1,AH$15+1,"m"),)/12,)-1,)*Index!AD$23*(AH$15&lt;=$J53)*(1-AH$12)</f>
        <v>0</v>
      </c>
      <c r="AI53" s="742">
        <f>$G53*$H53*(1+$K53)^MAX(ROUNDUP(IFERROR(DATEDIF($I53-1,AI$15+1,"m"),)/12,)-1,)*Index!AE$23*(AI$15&lt;=$J53)*(1-AI$12)</f>
        <v>0</v>
      </c>
      <c r="AJ53" s="742">
        <f>$G53*$H53*(1+$K53)^MAX(ROUNDUP(IFERROR(DATEDIF($I53-1,AJ$15+1,"m"),)/12,)-1,)*Index!AF$23*(AJ$15&lt;=$J53)*(1-AJ$12)</f>
        <v>0</v>
      </c>
      <c r="AK53" s="742">
        <f>$G53*$H53*(1+$K53)^MAX(ROUNDUP(IFERROR(DATEDIF($I53-1,AK$15+1,"m"),)/12,)-1,)*Index!AG$23*(AK$15&lt;=$J53)*(1-AK$12)</f>
        <v>0</v>
      </c>
      <c r="AL53" s="742">
        <f>$G53*$H53*(1+$K53)^MAX(ROUNDUP(IFERROR(DATEDIF($I53-1,AL$15+1,"m"),)/12,)-1,)*Index!AH$23*(AL$15&lt;=$J53)*(1-AL$12)</f>
        <v>0</v>
      </c>
      <c r="AM53" s="742">
        <f>$G53*$H53*(1+$K53)^MAX(ROUNDUP(IFERROR(DATEDIF($I53-1,AM$15+1,"m"),)/12,)-1,)*Index!AI$23*(AM$15&lt;=$J53)*(1-AM$12)</f>
        <v>0</v>
      </c>
      <c r="AN53" s="742">
        <f>$G53*$H53*(1+$K53)^MAX(ROUNDUP(IFERROR(DATEDIF($I53-1,AN$15+1,"m"),)/12,)-1,)*Index!AJ$23*(AN$15&lt;=$J53)*(1-AN$12)</f>
        <v>0</v>
      </c>
      <c r="AO53" s="742">
        <f>$G53*$H53*(1+$K53)^MAX(ROUNDUP(IFERROR(DATEDIF($I53-1,AO$15+1,"m"),)/12,)-1,)*Index!AK$23*(AO$15&lt;=$J53)*(1-AO$12)</f>
        <v>0</v>
      </c>
      <c r="AP53" s="742">
        <f>$G53*$H53*(1+$K53)^MAX(ROUNDUP(IFERROR(DATEDIF($I53-1,AP$15+1,"m"),)/12,)-1,)*Index!AL$23*(AP$15&lt;=$J53)*(1-AP$12)</f>
        <v>0</v>
      </c>
      <c r="AQ53" s="742">
        <f>$G53*$H53*(1+$K53)^MAX(ROUNDUP(IFERROR(DATEDIF($I53-1,AQ$15+1,"m"),)/12,)-1,)*Index!AM$23*(AQ$15&lt;=$J53)*(1-AQ$12)</f>
        <v>0</v>
      </c>
      <c r="AR53" s="742">
        <f>$G53*$H53*(1+$K53)^MAX(ROUNDUP(IFERROR(DATEDIF($I53-1,AR$15+1,"m"),)/12,)-1,)*Index!AN$23*(AR$15&lt;=$J53)*(1-AR$12)</f>
        <v>0</v>
      </c>
      <c r="AS53" s="742">
        <f>$G53*$H53*(1+$K53)^MAX(ROUNDUP(IFERROR(DATEDIF($I53-1,AS$15+1,"m"),)/12,)-1,)*Index!AO$23*(AS$15&lt;=$J53)*(1-AS$12)</f>
        <v>0</v>
      </c>
      <c r="AT53" s="742">
        <f>$G53*$H53*(1+$K53)^MAX(ROUNDUP(IFERROR(DATEDIF($I53-1,AT$15+1,"m"),)/12,)-1,)*Index!AP$23*(AT$15&lt;=$J53)*(1-AT$12)</f>
        <v>0</v>
      </c>
      <c r="AU53" s="742">
        <f>$G53*$H53*(1+$K53)^MAX(ROUNDUP(IFERROR(DATEDIF($I53-1,AU$15+1,"m"),)/12,)-1,)*Index!AQ$23*(AU$15&lt;=$J53)*(1-AU$12)</f>
        <v>0</v>
      </c>
      <c r="AV53" s="742">
        <f>$G53*$H53*(1+$K53)^MAX(ROUNDUP(IFERROR(DATEDIF($I53-1,AV$15+1,"m"),)/12,)-1,)*Index!AR$23*(AV$15&lt;=$J53)*(1-AV$12)</f>
        <v>0</v>
      </c>
      <c r="AW53" s="742">
        <f>$G53*$H53*(1+$K53)^MAX(ROUNDUP(IFERROR(DATEDIF($I53-1,AW$15+1,"m"),)/12,)-1,)*Index!AS$23*(AW$15&lt;=$J53)*(1-AW$12)</f>
        <v>0</v>
      </c>
      <c r="AX53" s="742">
        <f>$G53*$H53*(1+$K53)^MAX(ROUNDUP(IFERROR(DATEDIF($I53-1,AX$15+1,"m"),)/12,)-1,)*Index!AT$23*(AX$15&lt;=$J53)*(1-AX$12)</f>
        <v>0</v>
      </c>
      <c r="AY53" s="742">
        <f>$G53*$H53*(1+$K53)^MAX(ROUNDUP(IFERROR(DATEDIF($I53-1,AY$15+1,"m"),)/12,)-1,)*Index!AU$23*(AY$15&lt;=$J53)*(1-AY$12)</f>
        <v>0</v>
      </c>
      <c r="AZ53" s="742">
        <f>$G53*$H53*(1+$K53)^MAX(ROUNDUP(IFERROR(DATEDIF($I53-1,AZ$15+1,"m"),)/12,)-1,)*Index!AV$23*(AZ$15&lt;=$J53)*(1-AZ$12)</f>
        <v>0</v>
      </c>
      <c r="BA53" s="742">
        <f>$G53*$H53*(1+$K53)^MAX(ROUNDUP(IFERROR(DATEDIF($I53-1,BA$15+1,"m"),)/12,)-1,)*Index!AW$23*(BA$15&lt;=$J53)*(1-BA$12)</f>
        <v>0</v>
      </c>
      <c r="BB53" s="742">
        <f>$G53*$H53*(1+$K53)^MAX(ROUNDUP(IFERROR(DATEDIF($I53-1,BB$15+1,"m"),)/12,)-1,)*Index!AX$23*(BB$15&lt;=$J53)*(1-BB$12)</f>
        <v>0</v>
      </c>
      <c r="BC53" s="742">
        <f>$G53*$H53*(1+$K53)^MAX(ROUNDUP(IFERROR(DATEDIF($I53-1,BC$15+1,"m"),)/12,)-1,)*Index!AY$23*(BC$15&lt;=$J53)*(1-BC$12)</f>
        <v>0</v>
      </c>
      <c r="BD53" s="742">
        <f>$G53*$H53*(1+$K53)^MAX(ROUNDUP(IFERROR(DATEDIF($I53-1,BD$15+1,"m"),)/12,)-1,)*Index!AZ$23*(BD$15&lt;=$J53)*(1-BD$12)</f>
        <v>0</v>
      </c>
      <c r="BE53" s="742">
        <f>$G53*$H53*(1+$K53)^MAX(ROUNDUP(IFERROR(DATEDIF($I53-1,BE$15+1,"m"),)/12,)-1,)*Index!BA$23*(BE$15&lt;=$J53)*(1-BE$12)</f>
        <v>0</v>
      </c>
      <c r="BF53" s="742">
        <f>$G53*$H53*(1+$K53)^MAX(ROUNDUP(IFERROR(DATEDIF($I53-1,BF$15+1,"m"),)/12,)-1,)*Index!BB$23*(BF$15&lt;=$J53)*(1-BF$12)</f>
        <v>0</v>
      </c>
      <c r="BG53" s="742">
        <f>$G53*$H53*(1+$K53)^MAX(ROUNDUP(IFERROR(DATEDIF($I53-1,BG$15+1,"m"),)/12,)-1,)*Index!BC$23*(BG$15&lt;=$J53)*(1-BG$12)</f>
        <v>0</v>
      </c>
      <c r="BH53" s="742">
        <f>$G53*$H53*(1+$K53)^MAX(ROUNDUP(IFERROR(DATEDIF($I53-1,BH$15+1,"m"),)/12,)-1,)*Index!BD$23*(BH$15&lt;=$J53)*(1-BH$12)</f>
        <v>0</v>
      </c>
      <c r="BI53" s="742">
        <f>$G53*$H53*(1+$K53)^MAX(ROUNDUP(IFERROR(DATEDIF($I53-1,BI$15+1,"m"),)/12,)-1,)*Index!BE$23*(BI$15&lt;=$J53)*(1-BI$12)</f>
        <v>0</v>
      </c>
      <c r="BJ53" s="742">
        <f>$G53*$H53*(1+$K53)^MAX(ROUNDUP(IFERROR(DATEDIF($I53-1,BJ$15+1,"m"),)/12,)-1,)*Index!BF$23*(BJ$15&lt;=$J53)*(1-BJ$12)</f>
        <v>0</v>
      </c>
      <c r="BK53" s="742">
        <f>$G53*$H53*(1+$K53)^MAX(ROUNDUP(IFERROR(DATEDIF($I53-1,BK$15+1,"m"),)/12,)-1,)*Index!BG$23*(BK$15&lt;=$J53)*(1-BK$12)</f>
        <v>0</v>
      </c>
      <c r="BL53" s="742">
        <f>$G53*$H53*(1+$K53)^MAX(ROUNDUP(IFERROR(DATEDIF($I53-1,BL$15+1,"m"),)/12,)-1,)*Index!BH$23*(BL$15&lt;=$J53)*(1-BL$12)</f>
        <v>0</v>
      </c>
      <c r="BM53" s="742">
        <f>$G53*$H53*(1+$K53)^MAX(ROUNDUP(IFERROR(DATEDIF($I53-1,BM$15+1,"m"),)/12,)-1,)*Index!BI$23*(BM$15&lt;=$J53)*(1-BM$12)</f>
        <v>0</v>
      </c>
      <c r="BN53" s="742">
        <f>$G53*$H53*(1+$K53)^MAX(ROUNDUP(IFERROR(DATEDIF($I53-1,BN$15+1,"m"),)/12,)-1,)*Index!BJ$23*(BN$15&lt;=$J53)*(1-BN$12)</f>
        <v>0</v>
      </c>
      <c r="BO53" s="742">
        <f>$G53*$H53*(1+$K53)^MAX(ROUNDUP(IFERROR(DATEDIF($I53-1,BO$15+1,"m"),)/12,)-1,)*Index!BK$23*(BO$15&lt;=$J53)*(1-BO$12)</f>
        <v>0</v>
      </c>
      <c r="BP53" s="742">
        <f>$G53*$H53*(1+$K53)^MAX(ROUNDUP(IFERROR(DATEDIF($I53-1,BP$15+1,"m"),)/12,)-1,)*Index!BL$23*(BP$15&lt;=$J53)*(1-BP$12)</f>
        <v>0</v>
      </c>
      <c r="BQ53" s="742">
        <f>$G53*$H53*(1+$K53)^MAX(ROUNDUP(IFERROR(DATEDIF($I53-1,BQ$15+1,"m"),)/12,)-1,)*Index!BM$23*(BQ$15&lt;=$J53)*(1-BQ$12)</f>
        <v>0</v>
      </c>
      <c r="BR53" s="742">
        <f>$G53*$H53*(1+$K53)^MAX(ROUNDUP(IFERROR(DATEDIF($I53-1,BR$15+1,"m"),)/12,)-1,)*Index!BN$23*(BR$15&lt;=$J53)*(1-BR$12)</f>
        <v>0</v>
      </c>
      <c r="BS53" s="742">
        <f>$G53*$H53*(1+$K53)^MAX(ROUNDUP(IFERROR(DATEDIF($I53-1,BS$15+1,"m"),)/12,)-1,)*Index!BO$23*(BS$15&lt;=$J53)*(1-BS$12)</f>
        <v>0</v>
      </c>
      <c r="BT53" s="742">
        <f>$G53*$H53*(1+$K53)^MAX(ROUNDUP(IFERROR(DATEDIF($I53-1,BT$15+1,"m"),)/12,)-1,)*Index!BP$23*(BT$15&lt;=$J53)*(1-BT$12)</f>
        <v>0</v>
      </c>
      <c r="BU53" s="742">
        <f>$G53*$H53*(1+$K53)^MAX(ROUNDUP(IFERROR(DATEDIF($I53-1,BU$15+1,"m"),)/12,)-1,)*Index!BQ$23*(BU$15&lt;=$J53)*(1-BU$12)</f>
        <v>0</v>
      </c>
      <c r="BV53" s="742">
        <f>$G53*$H53*(1+$K53)^MAX(ROUNDUP(IFERROR(DATEDIF($I53-1,BV$15+1,"m"),)/12,)-1,)*Index!BR$23*(BV$15&lt;=$J53)*(1-BV$12)</f>
        <v>0</v>
      </c>
      <c r="BW53" s="742">
        <f>$G53*$H53*(1+$K53)^MAX(ROUNDUP(IFERROR(DATEDIF($I53-1,BW$15+1,"m"),)/12,)-1,)*Index!BS$23*(BW$15&lt;=$J53)*(1-BW$12)</f>
        <v>0</v>
      </c>
      <c r="BX53" s="742">
        <f>$G53*$H53*(1+$K53)^MAX(ROUNDUP(IFERROR(DATEDIF($I53-1,BX$15+1,"m"),)/12,)-1,)*Index!BT$23*(BX$15&lt;=$J53)*(1-BX$12)</f>
        <v>0</v>
      </c>
      <c r="BY53" s="742">
        <f>$G53*$H53*(1+$K53)^MAX(ROUNDUP(IFERROR(DATEDIF($I53-1,BY$15+1,"m"),)/12,)-1,)*Index!BU$23*(BY$15&lt;=$J53)*(1-BY$12)</f>
        <v>0</v>
      </c>
      <c r="BZ53" s="742">
        <f>$G53*$H53*(1+$K53)^MAX(ROUNDUP(IFERROR(DATEDIF($I53-1,BZ$15+1,"m"),)/12,)-1,)*Index!BV$23*(BZ$15&lt;=$J53)*(1-BZ$12)</f>
        <v>0</v>
      </c>
      <c r="CA53" s="742">
        <f>$G53*$H53*(1+$K53)^MAX(ROUNDUP(IFERROR(DATEDIF($I53-1,CA$15+1,"m"),)/12,)-1,)*Index!BW$23*(CA$15&lt;=$J53)*(1-CA$12)</f>
        <v>0</v>
      </c>
      <c r="CB53" s="742">
        <f>$G53*$H53*(1+$K53)^MAX(ROUNDUP(IFERROR(DATEDIF($I53-1,CB$15+1,"m"),)/12,)-1,)*Index!BX$23*(CB$15&lt;=$J53)*(1-CB$12)</f>
        <v>0</v>
      </c>
      <c r="CC53" s="742">
        <f>$G53*$H53*(1+$K53)^MAX(ROUNDUP(IFERROR(DATEDIF($I53-1,CC$15+1,"m"),)/12,)-1,)*Index!BY$23*(CC$15&lt;=$J53)*(1-CC$12)</f>
        <v>0</v>
      </c>
      <c r="CD53" s="742">
        <f>$G53*$H53*(1+$K53)^MAX(ROUNDUP(IFERROR(DATEDIF($I53-1,CD$15+1,"m"),)/12,)-1,)*Index!BZ$23*(CD$15&lt;=$J53)*(1-CD$12)</f>
        <v>0</v>
      </c>
      <c r="CE53" s="742">
        <f>$G53*$H53*(1+$K53)^MAX(ROUNDUP(IFERROR(DATEDIF($I53-1,CE$15+1,"m"),)/12,)-1,)*Index!CA$23*(CE$15&lt;=$J53)*(1-CE$12)</f>
        <v>0</v>
      </c>
      <c r="CF53" s="742">
        <f>$G53*$H53*(1+$K53)^MAX(ROUNDUP(IFERROR(DATEDIF($I53-1,CF$15+1,"m"),)/12,)-1,)*Index!CB$23*(CF$15&lt;=$J53)*(1-CF$12)</f>
        <v>0</v>
      </c>
      <c r="CG53" s="742">
        <f>$G53*$H53*(1+$K53)^MAX(ROUNDUP(IFERROR(DATEDIF($I53-1,CG$15+1,"m"),)/12,)-1,)*Index!CC$23*(CG$15&lt;=$J53)*(1-CG$12)</f>
        <v>0</v>
      </c>
      <c r="CH53" s="742">
        <f>$G53*$H53*(1+$K53)^MAX(ROUNDUP(IFERROR(DATEDIF($I53-1,CH$15+1,"m"),)/12,)-1,)*Index!CD$23*(CH$15&lt;=$J53)*(1-CH$12)</f>
        <v>0</v>
      </c>
      <c r="CI53" s="742">
        <f>$G53*$H53*(1+$K53)^MAX(ROUNDUP(IFERROR(DATEDIF($I53-1,CI$15+1,"m"),)/12,)-1,)*Index!CE$23*(CI$15&lt;=$J53)*(1-CI$12)</f>
        <v>0</v>
      </c>
      <c r="CJ53" s="742">
        <f>$G53*$H53*(1+$K53)^MAX(ROUNDUP(IFERROR(DATEDIF($I53-1,CJ$15+1,"m"),)/12,)-1,)*Index!CF$23*(CJ$15&lt;=$J53)*(1-CJ$12)</f>
        <v>0</v>
      </c>
      <c r="CK53" s="742">
        <f>$G53*$H53*(1+$K53)^MAX(ROUNDUP(IFERROR(DATEDIF($I53-1,CK$15+1,"m"),)/12,)-1,)*Index!CG$23*(CK$15&lt;=$J53)*(1-CK$12)</f>
        <v>0</v>
      </c>
      <c r="CL53" s="742">
        <f>$G53*$H53*(1+$K53)^MAX(ROUNDUP(IFERROR(DATEDIF($I53-1,CL$15+1,"m"),)/12,)-1,)*Index!CH$23*(CL$15&lt;=$J53)*(1-CL$12)</f>
        <v>0</v>
      </c>
      <c r="CM53" s="742">
        <f>$G53*$H53*(1+$K53)^MAX(ROUNDUP(IFERROR(DATEDIF($I53-1,CM$15+1,"m"),)/12,)-1,)*Index!CI$23*(CM$15&lt;=$J53)*(1-CM$12)</f>
        <v>0</v>
      </c>
      <c r="CN53" s="742">
        <f>$G53*$H53*(1+$K53)^MAX(ROUNDUP(IFERROR(DATEDIF($I53-1,CN$15+1,"m"),)/12,)-1,)*Index!CJ$23*(CN$15&lt;=$J53)*(1-CN$12)</f>
        <v>0</v>
      </c>
      <c r="CO53" s="742">
        <f>$G53*$H53*(1+$K53)^MAX(ROUNDUP(IFERROR(DATEDIF($I53-1,CO$15+1,"m"),)/12,)-1,)*Index!CK$23*(CO$15&lt;=$J53)*(1-CO$12)</f>
        <v>0</v>
      </c>
      <c r="CP53" s="742">
        <f>$G53*$H53*(1+$K53)^MAX(ROUNDUP(IFERROR(DATEDIF($I53-1,CP$15+1,"m"),)/12,)-1,)*Index!CL$23*(CP$15&lt;=$J53)*(1-CP$12)</f>
        <v>0</v>
      </c>
      <c r="CQ53" s="742">
        <f>$G53*$H53*(1+$K53)^MAX(ROUNDUP(IFERROR(DATEDIF($I53-1,CQ$15+1,"m"),)/12,)-1,)*Index!CM$23*(CQ$15&lt;=$J53)*(1-CQ$12)</f>
        <v>0</v>
      </c>
      <c r="CR53" s="742">
        <f>$G53*$H53*(1+$K53)^MAX(ROUNDUP(IFERROR(DATEDIF($I53-1,CR$15+1,"m"),)/12,)-1,)*Index!CN$23*(CR$15&lt;=$J53)*(1-CR$12)</f>
        <v>0</v>
      </c>
      <c r="CS53" s="742">
        <f>$G53*$H53*(1+$K53)^MAX(ROUNDUP(IFERROR(DATEDIF($I53-1,CS$15+1,"m"),)/12,)-1,)*Index!CO$23*(CS$15&lt;=$J53)*(1-CS$12)</f>
        <v>0</v>
      </c>
      <c r="CT53" s="742">
        <f>$G53*$H53*(1+$K53)^MAX(ROUNDUP(IFERROR(DATEDIF($I53-1,CT$15+1,"m"),)/12,)-1,)*Index!CP$23*(CT$15&lt;=$J53)*(1-CT$12)</f>
        <v>0</v>
      </c>
      <c r="CU53" s="742">
        <f>$G53*$H53*(1+$K53)^MAX(ROUNDUP(IFERROR(DATEDIF($I53-1,CU$15+1,"m"),)/12,)-1,)*Index!CQ$23*(CU$15&lt;=$J53)*(1-CU$12)</f>
        <v>0</v>
      </c>
      <c r="CV53" s="742">
        <f>$G53*$H53*(1+$K53)^MAX(ROUNDUP(IFERROR(DATEDIF($I53-1,CV$15+1,"m"),)/12,)-1,)*Index!CR$23*(CV$15&lt;=$J53)*(1-CV$12)</f>
        <v>0</v>
      </c>
      <c r="CW53" s="742">
        <f>$G53*$H53*(1+$K53)^MAX(ROUNDUP(IFERROR(DATEDIF($I53-1,CW$15+1,"m"),)/12,)-1,)*Index!CS$23*(CW$15&lt;=$J53)*(1-CW$12)</f>
        <v>0</v>
      </c>
      <c r="CX53" s="742">
        <f>$G53*$H53*(1+$K53)^MAX(ROUNDUP(IFERROR(DATEDIF($I53-1,CX$15+1,"m"),)/12,)-1,)*Index!CT$23*(CX$15&lt;=$J53)*(1-CX$12)</f>
        <v>0</v>
      </c>
      <c r="CY53" s="742">
        <f>$G53*$H53*(1+$K53)^MAX(ROUNDUP(IFERROR(DATEDIF($I53-1,CY$15+1,"m"),)/12,)-1,)*Index!CU$23*(CY$15&lt;=$J53)*(1-CY$12)</f>
        <v>0</v>
      </c>
      <c r="CZ53" s="742">
        <f>$G53*$H53*(1+$K53)^MAX(ROUNDUP(IFERROR(DATEDIF($I53-1,CZ$15+1,"m"),)/12,)-1,)*Index!CV$23*(CZ$15&lt;=$J53)*(1-CZ$12)</f>
        <v>0</v>
      </c>
      <c r="DA53" s="742">
        <f>$G53*$H53*(1+$K53)^MAX(ROUNDUP(IFERROR(DATEDIF($I53-1,DA$15+1,"m"),)/12,)-1,)*Index!CW$23*(DA$15&lt;=$J53)*(1-DA$12)</f>
        <v>0</v>
      </c>
      <c r="DB53" s="742">
        <f>$G53*$H53*(1+$K53)^MAX(ROUNDUP(IFERROR(DATEDIF($I53-1,DB$15+1,"m"),)/12,)-1,)*Index!CX$23*(DB$15&lt;=$J53)*(1-DB$12)</f>
        <v>0</v>
      </c>
      <c r="DC53" s="742">
        <f>$G53*$H53*(1+$K53)^MAX(ROUNDUP(IFERROR(DATEDIF($I53-1,DC$15+1,"m"),)/12,)-1,)*Index!CY$23*(DC$15&lt;=$J53)*(1-DC$12)</f>
        <v>0</v>
      </c>
      <c r="DD53" s="742">
        <f>$G53*$H53*(1+$K53)^MAX(ROUNDUP(IFERROR(DATEDIF($I53-1,DD$15+1,"m"),)/12,)-1,)*Index!CZ$23*(DD$15&lt;=$J53)*(1-DD$12)</f>
        <v>0</v>
      </c>
      <c r="DE53" s="742">
        <f>$G53*$H53*(1+$K53)^MAX(ROUNDUP(IFERROR(DATEDIF($I53-1,DE$15+1,"m"),)/12,)-1,)*Index!DA$23*(DE$15&lt;=$J53)*(1-DE$12)</f>
        <v>0</v>
      </c>
      <c r="DF53" s="742">
        <f>$G53*$H53*(1+$K53)^MAX(ROUNDUP(IFERROR(DATEDIF($I53-1,DF$15+1,"m"),)/12,)-1,)*Index!DB$23*(DF$15&lt;=$J53)*(1-DF$12)</f>
        <v>0</v>
      </c>
      <c r="DG53" s="742">
        <f>$G53*$H53*(1+$K53)^MAX(ROUNDUP(IFERROR(DATEDIF($I53-1,DG$15+1,"m"),)/12,)-1,)*Index!DC$23*(DG$15&lt;=$J53)*(1-DG$12)</f>
        <v>0</v>
      </c>
      <c r="DH53" s="742">
        <f>$G53*$H53*(1+$K53)^MAX(ROUNDUP(IFERROR(DATEDIF($I53-1,DH$15+1,"m"),)/12,)-1,)*Index!DD$23*(DH$15&lt;=$J53)*(1-DH$12)</f>
        <v>0</v>
      </c>
      <c r="DI53" s="742">
        <f>$G53*$H53*(1+$K53)^MAX(ROUNDUP(IFERROR(DATEDIF($I53-1,DI$15+1,"m"),)/12,)-1,)*Index!DE$23*(DI$15&lt;=$J53)*(1-DI$12)</f>
        <v>0</v>
      </c>
      <c r="DJ53" s="742">
        <f>$G53*$H53*(1+$K53)^MAX(ROUNDUP(IFERROR(DATEDIF($I53-1,DJ$15+1,"m"),)/12,)-1,)*Index!DF$23*(DJ$15&lt;=$J53)*(1-DJ$12)</f>
        <v>0</v>
      </c>
      <c r="DK53" s="742">
        <f>$G53*$H53*(1+$K53)^MAX(ROUNDUP(IFERROR(DATEDIF($I53-1,DK$15+1,"m"),)/12,)-1,)*Index!DG$23*(DK$15&lt;=$J53)*(1-DK$12)</f>
        <v>0</v>
      </c>
      <c r="DL53" s="742">
        <f>$G53*$H53*(1+$K53)^MAX(ROUNDUP(IFERROR(DATEDIF($I53-1,DL$15+1,"m"),)/12,)-1,)*Index!DH$23*(DL$15&lt;=$J53)*(1-DL$12)</f>
        <v>0</v>
      </c>
      <c r="DM53" s="742">
        <f>$G53*$H53*(1+$K53)^MAX(ROUNDUP(IFERROR(DATEDIF($I53-1,DM$15+1,"m"),)/12,)-1,)*Index!DI$23*(DM$15&lt;=$J53)*(1-DM$12)</f>
        <v>0</v>
      </c>
      <c r="DN53" s="742">
        <f>$G53*$H53*(1+$K53)^MAX(ROUNDUP(IFERROR(DATEDIF($I53-1,DN$15+1,"m"),)/12,)-1,)*Index!DJ$23*(DN$15&lt;=$J53)*(1-DN$12)</f>
        <v>0</v>
      </c>
      <c r="DO53" s="742">
        <f>$G53*$H53*(1+$K53)^MAX(ROUNDUP(IFERROR(DATEDIF($I53-1,DO$15+1,"m"),)/12,)-1,)*Index!DK$23*(DO$15&lt;=$J53)*(1-DO$12)</f>
        <v>0</v>
      </c>
      <c r="DP53" s="742">
        <f>$G53*$H53*(1+$K53)^MAX(ROUNDUP(IFERROR(DATEDIF($I53-1,DP$15+1,"m"),)/12,)-1,)*Index!DL$23*(DP$15&lt;=$J53)*(1-DP$12)</f>
        <v>0</v>
      </c>
      <c r="DQ53" s="742">
        <f>$G53*$H53*(1+$K53)^MAX(ROUNDUP(IFERROR(DATEDIF($I53-1,DQ$15+1,"m"),)/12,)-1,)*Index!DM$23*(DQ$15&lt;=$J53)*(1-DQ$12)</f>
        <v>0</v>
      </c>
      <c r="DR53" s="742">
        <f>$G53*$H53*(1+$K53)^MAX(ROUNDUP(IFERROR(DATEDIF($I53-1,DR$15+1,"m"),)/12,)-1,)*Index!DN$23*(DR$15&lt;=$J53)*(1-DR$12)</f>
        <v>0</v>
      </c>
      <c r="DS53" s="742">
        <f>$G53*$H53*(1+$K53)^MAX(ROUNDUP(IFERROR(DATEDIF($I53-1,DS$15+1,"m"),)/12,)-1,)*Index!DO$23*(DS$15&lt;=$J53)*(1-DS$12)</f>
        <v>0</v>
      </c>
      <c r="DT53" s="742">
        <f>$G53*$H53*(1+$K53)^MAX(ROUNDUP(IFERROR(DATEDIF($I53-1,DT$15+1,"m"),)/12,)-1,)*Index!DP$23*(DT$15&lt;=$J53)*(1-DT$12)</f>
        <v>0</v>
      </c>
      <c r="DU53" s="742">
        <f>$G53*$H53*(1+$K53)^MAX(ROUNDUP(IFERROR(DATEDIF($I53-1,DU$15+1,"m"),)/12,)-1,)*Index!DQ$23*(DU$15&lt;=$J53)*(1-DU$12)</f>
        <v>0</v>
      </c>
      <c r="DV53" s="742">
        <f>$G53*$H53*(1+$K53)^MAX(ROUNDUP(IFERROR(DATEDIF($I53-1,DV$15+1,"m"),)/12,)-1,)*Index!DR$23*(DV$15&lt;=$J53)*(1-DV$12)</f>
        <v>0</v>
      </c>
      <c r="DW53" s="742">
        <f>$G53*$H53*(1+$K53)^MAX(ROUNDUP(IFERROR(DATEDIF($I53-1,DW$15+1,"m"),)/12,)-1,)*Index!DS$23*(DW$15&lt;=$J53)*(1-DW$12)</f>
        <v>0</v>
      </c>
      <c r="DX53" s="742">
        <f>$G53*$H53*(1+$K53)^MAX(ROUNDUP(IFERROR(DATEDIF($I53-1,DX$15+1,"m"),)/12,)-1,)*Index!DT$23*(DX$15&lt;=$J53)*(1-DX$12)</f>
        <v>0</v>
      </c>
      <c r="DY53" s="742">
        <f>$G53*$H53*(1+$K53)^MAX(ROUNDUP(IFERROR(DATEDIF($I53-1,DY$15+1,"m"),)/12,)-1,)*Index!DU$23*(DY$15&lt;=$J53)*(1-DY$12)</f>
        <v>0</v>
      </c>
      <c r="DZ53" s="742">
        <f>$G53*$H53*(1+$K53)^MAX(ROUNDUP(IFERROR(DATEDIF($I53-1,DZ$15+1,"m"),)/12,)-1,)*Index!DV$23*(DZ$15&lt;=$J53)*(1-DZ$12)</f>
        <v>0</v>
      </c>
      <c r="EA53" s="742">
        <f>$G53*$H53*(1+$K53)^MAX(ROUNDUP(IFERROR(DATEDIF($I53-1,EA$15+1,"m"),)/12,)-1,)*Index!DW$23*(EA$15&lt;=$J53)*(1-EA$12)</f>
        <v>0</v>
      </c>
      <c r="EB53" s="742">
        <f>$G53*$H53*(1+$K53)^MAX(ROUNDUP(IFERROR(DATEDIF($I53-1,EB$15+1,"m"),)/12,)-1,)*Index!DX$23*(EB$15&lt;=$J53)*(1-EB$12)</f>
        <v>0</v>
      </c>
      <c r="EC53" s="742">
        <f>$G53*$H53*(1+$K53)^MAX(ROUNDUP(IFERROR(DATEDIF($I53-1,EC$15+1,"m"),)/12,)-1,)*Index!DY$23*(EC$15&lt;=$J53)*(1-EC$12)</f>
        <v>0</v>
      </c>
      <c r="ED53" s="742">
        <f>$G53*$H53*(1+$K53)^MAX(ROUNDUP(IFERROR(DATEDIF($I53-1,ED$15+1,"m"),)/12,)-1,)*Index!DZ$23*(ED$15&lt;=$J53)*(1-ED$12)</f>
        <v>0</v>
      </c>
      <c r="EE53" s="742">
        <f>$G53*$H53*(1+$K53)^MAX(ROUNDUP(IFERROR(DATEDIF($I53-1,EE$15+1,"m"),)/12,)-1,)*Index!EA$23*(EE$15&lt;=$J53)*(1-EE$12)</f>
        <v>0</v>
      </c>
      <c r="EF53" s="742">
        <f>$G53*$H53*(1+$K53)^MAX(ROUNDUP(IFERROR(DATEDIF($I53-1,EF$15+1,"m"),)/12,)-1,)*Index!EB$23*(EF$15&lt;=$J53)*(1-EF$12)</f>
        <v>0</v>
      </c>
      <c r="EG53" s="742">
        <f>$G53*$H53*(1+$K53)^MAX(ROUNDUP(IFERROR(DATEDIF($I53-1,EG$15+1,"m"),)/12,)-1,)*Index!EC$23*(EG$15&lt;=$J53)*(1-EG$12)</f>
        <v>0</v>
      </c>
      <c r="EH53" s="742">
        <f>$G53*$H53*(1+$K53)^MAX(ROUNDUP(IFERROR(DATEDIF($I53-1,EH$15+1,"m"),)/12,)-1,)*Index!ED$23*(EH$15&lt;=$J53)*(1-EH$12)</f>
        <v>0</v>
      </c>
      <c r="EI53" s="742">
        <f>$G53*$H53*(1+$K53)^MAX(ROUNDUP(IFERROR(DATEDIF($I53-1,EI$15+1,"m"),)/12,)-1,)*Index!EE$23*(EI$15&lt;=$J53)*(1-EI$12)</f>
        <v>0</v>
      </c>
      <c r="EJ53" s="742">
        <f>$G53*$H53*(1+$K53)^MAX(ROUNDUP(IFERROR(DATEDIF($I53-1,EJ$15+1,"m"),)/12,)-1,)*Index!EF$23*(EJ$15&lt;=$J53)*(1-EJ$12)</f>
        <v>0</v>
      </c>
      <c r="EK53" s="742">
        <f>$G53*$H53*(1+$K53)^MAX(ROUNDUP(IFERROR(DATEDIF($I53-1,EK$15+1,"m"),)/12,)-1,)*Index!EG$23*(EK$15&lt;=$J53)*(1-EK$12)</f>
        <v>0</v>
      </c>
      <c r="EL53" s="742">
        <f>$G53*$H53*(1+$K53)^MAX(ROUNDUP(IFERROR(DATEDIF($I53-1,EL$15+1,"m"),)/12,)-1,)*Index!EH$23*(EL$15&lt;=$J53)*(1-EL$12)</f>
        <v>0</v>
      </c>
      <c r="EM53" s="742">
        <f>$G53*$H53*(1+$K53)^MAX(ROUNDUP(IFERROR(DATEDIF($I53-1,EM$15+1,"m"),)/12,)-1,)*Index!EI$23*(EM$15&lt;=$J53)*(1-EM$12)</f>
        <v>0</v>
      </c>
      <c r="EN53" s="742">
        <f>$G53*$H53*(1+$K53)^MAX(ROUNDUP(IFERROR(DATEDIF($I53-1,EN$15+1,"m"),)/12,)-1,)*Index!EJ$23*(EN$15&lt;=$J53)*(1-EN$12)</f>
        <v>0</v>
      </c>
      <c r="EO53" s="742">
        <f>$G53*$H53*(1+$K53)^MAX(ROUNDUP(IFERROR(DATEDIF($I53-1,EO$15+1,"m"),)/12,)-1,)*Index!EK$23*(EO$15&lt;=$J53)*(1-EO$12)</f>
        <v>0</v>
      </c>
      <c r="EP53" s="742">
        <f>$G53*$H53*(1+$K53)^MAX(ROUNDUP(IFERROR(DATEDIF($I53-1,EP$15+1,"m"),)/12,)-1,)*Index!EL$23*(EP$15&lt;=$J53)*(1-EP$12)</f>
        <v>0</v>
      </c>
      <c r="EQ53" s="742">
        <f>$G53*$H53*(1+$K53)^MAX(ROUNDUP(IFERROR(DATEDIF($I53-1,EQ$15+1,"m"),)/12,)-1,)*Index!EM$23*(EQ$15&lt;=$J53)*(1-EQ$12)</f>
        <v>0</v>
      </c>
      <c r="ER53" s="742">
        <f>$G53*$H53*(1+$K53)^MAX(ROUNDUP(IFERROR(DATEDIF($I53-1,ER$15+1,"m"),)/12,)-1,)*Index!EN$23*(ER$15&lt;=$J53)*(1-ER$12)</f>
        <v>0</v>
      </c>
      <c r="ES53" s="742">
        <f>$G53*$H53*(1+$K53)^MAX(ROUNDUP(IFERROR(DATEDIF($I53-1,ES$15+1,"m"),)/12,)-1,)*Index!EO$23*(ES$15&lt;=$J53)*(1-ES$12)</f>
        <v>0</v>
      </c>
      <c r="ET53" s="742">
        <f>$G53*$H53*(1+$K53)^MAX(ROUNDUP(IFERROR(DATEDIF($I53-1,ET$15+1,"m"),)/12,)-1,)*Index!EP$23*(ET$15&lt;=$J53)*(1-ET$12)</f>
        <v>0</v>
      </c>
      <c r="EU53" s="742">
        <f>$G53*$H53*(1+$K53)^MAX(ROUNDUP(IFERROR(DATEDIF($I53-1,EU$15+1,"m"),)/12,)-1,)*Index!EQ$23*(EU$15&lt;=$J53)*(1-EU$12)</f>
        <v>0</v>
      </c>
    </row>
    <row r="54" spans="3:151" ht="11.25" customHeight="1">
      <c r="C54" s="828"/>
      <c r="D54" s="743">
        <f>D18</f>
        <v>8</v>
      </c>
      <c r="E54" s="704" t="str">
        <f t="shared" ref="E54:K54" si="20">E18</f>
        <v>쿠팡</v>
      </c>
      <c r="F54" s="704" t="str">
        <f t="shared" si="20"/>
        <v>근린생활시설</v>
      </c>
      <c r="G54" s="752">
        <f t="shared" si="20"/>
        <v>38.299999999999997</v>
      </c>
      <c r="H54" s="744">
        <f t="shared" si="20"/>
        <v>78.09</v>
      </c>
      <c r="I54" s="745">
        <f t="shared" si="20"/>
        <v>46326</v>
      </c>
      <c r="J54" s="745">
        <f t="shared" si="20"/>
        <v>49064</v>
      </c>
      <c r="K54" s="754">
        <f t="shared" si="20"/>
        <v>2.5000000000000001E-2</v>
      </c>
      <c r="L54" s="746"/>
      <c r="M54" s="722"/>
      <c r="N54" s="747">
        <f t="shared" ref="N54:N69" si="21">SUM(P54:EU54)</f>
        <v>0</v>
      </c>
      <c r="O54" s="733"/>
      <c r="P54" s="747">
        <f>$G54*$H54*(1+$K54)^MAX(ROUNDUP(IFERROR(DATEDIF($I54-1,P$15+1,"m"),)/12,)-1,)*Index!L$23*(P$15&lt;=$J54)*(1-P$12)</f>
        <v>0</v>
      </c>
      <c r="Q54" s="747">
        <f>$G54*$H54*(1+$K54)^MAX(ROUNDUP(IFERROR(DATEDIF($I54-1,Q$15+1,"m"),)/12,)-1,)*Index!M$23*(Q$15&lt;=$J54)*(1-Q$12)</f>
        <v>0</v>
      </c>
      <c r="R54" s="747">
        <f>$G54*$H54*(1+$K54)^MAX(ROUNDUP(IFERROR(DATEDIF($I54-1,R$15+1,"m"),)/12,)-1,)*Index!N$23*(R$15&lt;=$J54)*(1-R$12)</f>
        <v>0</v>
      </c>
      <c r="S54" s="747">
        <f>$G54*$H54*(1+$K54)^MAX(ROUNDUP(IFERROR(DATEDIF($I54-1,S$15+1,"m"),)/12,)-1,)*Index!O$23*(S$15&lt;=$J54)*(1-S$12)</f>
        <v>0</v>
      </c>
      <c r="T54" s="747">
        <f>$G54*$H54*(1+$K54)^MAX(ROUNDUP(IFERROR(DATEDIF($I54-1,T$15+1,"m"),)/12,)-1,)*Index!P$23*(T$15&lt;=$J54)*(1-T$12)</f>
        <v>0</v>
      </c>
      <c r="U54" s="747">
        <f>$G54*$H54*(1+$K54)^MAX(ROUNDUP(IFERROR(DATEDIF($I54-1,U$15+1,"m"),)/12,)-1,)*Index!Q$23*(U$15&lt;=$J54)*(1-U$12)</f>
        <v>0</v>
      </c>
      <c r="V54" s="747">
        <f>$G54*$H54*(1+$K54)^MAX(ROUNDUP(IFERROR(DATEDIF($I54-1,V$15+1,"m"),)/12,)-1,)*Index!R$23*(V$15&lt;=$J54)*(1-V$12)</f>
        <v>0</v>
      </c>
      <c r="W54" s="747">
        <f>$G54*$H54*(1+$K54)^MAX(ROUNDUP(IFERROR(DATEDIF($I54-1,W$15+1,"m"),)/12,)-1,)*Index!S$23*(W$15&lt;=$J54)*(1-W$12)</f>
        <v>0</v>
      </c>
      <c r="X54" s="747">
        <f>$G54*$H54*(1+$K54)^MAX(ROUNDUP(IFERROR(DATEDIF($I54-1,X$15+1,"m"),)/12,)-1,)*Index!T$23*(X$15&lt;=$J54)*(1-X$12)</f>
        <v>0</v>
      </c>
      <c r="Y54" s="747">
        <f>$G54*$H54*(1+$K54)^MAX(ROUNDUP(IFERROR(DATEDIF($I54-1,Y$15+1,"m"),)/12,)-1,)*Index!U$23*(Y$15&lt;=$J54)*(1-Y$12)</f>
        <v>0</v>
      </c>
      <c r="Z54" s="747">
        <f>$G54*$H54*(1+$K54)^MAX(ROUNDUP(IFERROR(DATEDIF($I54-1,Z$15+1,"m"),)/12,)-1,)*Index!V$23*(Z$15&lt;=$J54)*(1-Z$12)</f>
        <v>0</v>
      </c>
      <c r="AA54" s="747">
        <f>$G54*$H54*(1+$K54)^MAX(ROUNDUP(IFERROR(DATEDIF($I54-1,AA$15+1,"m"),)/12,)-1,)*Index!W$23*(AA$15&lt;=$J54)*(1-AA$12)</f>
        <v>0</v>
      </c>
      <c r="AB54" s="747">
        <f>$G54*$H54*(1+$K54)^MAX(ROUNDUP(IFERROR(DATEDIF($I54-1,AB$15+1,"m"),)/12,)-1,)*Index!X$23*(AB$15&lt;=$J54)*(1-AB$12)</f>
        <v>0</v>
      </c>
      <c r="AC54" s="747">
        <f>$G54*$H54*(1+$K54)^MAX(ROUNDUP(IFERROR(DATEDIF($I54-1,AC$15+1,"m"),)/12,)-1,)*Index!Y$23*(AC$15&lt;=$J54)*(1-AC$12)</f>
        <v>0</v>
      </c>
      <c r="AD54" s="747">
        <f>$G54*$H54*(1+$K54)^MAX(ROUNDUP(IFERROR(DATEDIF($I54-1,AD$15+1,"m"),)/12,)-1,)*Index!Z$23*(AD$15&lt;=$J54)*(1-AD$12)</f>
        <v>0</v>
      </c>
      <c r="AE54" s="747">
        <f>$G54*$H54*(1+$K54)^MAX(ROUNDUP(IFERROR(DATEDIF($I54-1,AE$15+1,"m"),)/12,)-1,)*Index!AA$23*(AE$15&lt;=$J54)*(1-AE$12)</f>
        <v>0</v>
      </c>
      <c r="AF54" s="747">
        <f>$G54*$H54*(1+$K54)^MAX(ROUNDUP(IFERROR(DATEDIF($I54-1,AF$15+1,"m"),)/12,)-1,)*Index!AB$23*(AF$15&lt;=$J54)*(1-AF$12)</f>
        <v>0</v>
      </c>
      <c r="AG54" s="747">
        <f>$G54*$H54*(1+$K54)^MAX(ROUNDUP(IFERROR(DATEDIF($I54-1,AG$15+1,"m"),)/12,)-1,)*Index!AC$23*(AG$15&lt;=$J54)*(1-AG$12)</f>
        <v>0</v>
      </c>
      <c r="AH54" s="747">
        <f>$G54*$H54*(1+$K54)^MAX(ROUNDUP(IFERROR(DATEDIF($I54-1,AH$15+1,"m"),)/12,)-1,)*Index!AD$23*(AH$15&lt;=$J54)*(1-AH$12)</f>
        <v>0</v>
      </c>
      <c r="AI54" s="747">
        <f>$G54*$H54*(1+$K54)^MAX(ROUNDUP(IFERROR(DATEDIF($I54-1,AI$15+1,"m"),)/12,)-1,)*Index!AE$23*(AI$15&lt;=$J54)*(1-AI$12)</f>
        <v>0</v>
      </c>
      <c r="AJ54" s="747">
        <f>$G54*$H54*(1+$K54)^MAX(ROUNDUP(IFERROR(DATEDIF($I54-1,AJ$15+1,"m"),)/12,)-1,)*Index!AF$23*(AJ$15&lt;=$J54)*(1-AJ$12)</f>
        <v>0</v>
      </c>
      <c r="AK54" s="747">
        <f>$G54*$H54*(1+$K54)^MAX(ROUNDUP(IFERROR(DATEDIF($I54-1,AK$15+1,"m"),)/12,)-1,)*Index!AG$23*(AK$15&lt;=$J54)*(1-AK$12)</f>
        <v>0</v>
      </c>
      <c r="AL54" s="747">
        <f>$G54*$H54*(1+$K54)^MAX(ROUNDUP(IFERROR(DATEDIF($I54-1,AL$15+1,"m"),)/12,)-1,)*Index!AH$23*(AL$15&lt;=$J54)*(1-AL$12)</f>
        <v>0</v>
      </c>
      <c r="AM54" s="747">
        <f>$G54*$H54*(1+$K54)^MAX(ROUNDUP(IFERROR(DATEDIF($I54-1,AM$15+1,"m"),)/12,)-1,)*Index!AI$23*(AM$15&lt;=$J54)*(1-AM$12)</f>
        <v>0</v>
      </c>
      <c r="AN54" s="747">
        <f>$G54*$H54*(1+$K54)^MAX(ROUNDUP(IFERROR(DATEDIF($I54-1,AN$15+1,"m"),)/12,)-1,)*Index!AJ$23*(AN$15&lt;=$J54)*(1-AN$12)</f>
        <v>0</v>
      </c>
      <c r="AO54" s="747">
        <f>$G54*$H54*(1+$K54)^MAX(ROUNDUP(IFERROR(DATEDIF($I54-1,AO$15+1,"m"),)/12,)-1,)*Index!AK$23*(AO$15&lt;=$J54)*(1-AO$12)</f>
        <v>0</v>
      </c>
      <c r="AP54" s="747">
        <f>$G54*$H54*(1+$K54)^MAX(ROUNDUP(IFERROR(DATEDIF($I54-1,AP$15+1,"m"),)/12,)-1,)*Index!AL$23*(AP$15&lt;=$J54)*(1-AP$12)</f>
        <v>0</v>
      </c>
      <c r="AQ54" s="747">
        <f>$G54*$H54*(1+$K54)^MAX(ROUNDUP(IFERROR(DATEDIF($I54-1,AQ$15+1,"m"),)/12,)-1,)*Index!AM$23*(AQ$15&lt;=$J54)*(1-AQ$12)</f>
        <v>0</v>
      </c>
      <c r="AR54" s="747">
        <f>$G54*$H54*(1+$K54)^MAX(ROUNDUP(IFERROR(DATEDIF($I54-1,AR$15+1,"m"),)/12,)-1,)*Index!AN$23*(AR$15&lt;=$J54)*(1-AR$12)</f>
        <v>0</v>
      </c>
      <c r="AS54" s="747">
        <f>$G54*$H54*(1+$K54)^MAX(ROUNDUP(IFERROR(DATEDIF($I54-1,AS$15+1,"m"),)/12,)-1,)*Index!AO$23*(AS$15&lt;=$J54)*(1-AS$12)</f>
        <v>0</v>
      </c>
      <c r="AT54" s="747">
        <f>$G54*$H54*(1+$K54)^MAX(ROUNDUP(IFERROR(DATEDIF($I54-1,AT$15+1,"m"),)/12,)-1,)*Index!AP$23*(AT$15&lt;=$J54)*(1-AT$12)</f>
        <v>0</v>
      </c>
      <c r="AU54" s="747">
        <f>$G54*$H54*(1+$K54)^MAX(ROUNDUP(IFERROR(DATEDIF($I54-1,AU$15+1,"m"),)/12,)-1,)*Index!AQ$23*(AU$15&lt;=$J54)*(1-AU$12)</f>
        <v>0</v>
      </c>
      <c r="AV54" s="747">
        <f>$G54*$H54*(1+$K54)^MAX(ROUNDUP(IFERROR(DATEDIF($I54-1,AV$15+1,"m"),)/12,)-1,)*Index!AR$23*(AV$15&lt;=$J54)*(1-AV$12)</f>
        <v>0</v>
      </c>
      <c r="AW54" s="747">
        <f>$G54*$H54*(1+$K54)^MAX(ROUNDUP(IFERROR(DATEDIF($I54-1,AW$15+1,"m"),)/12,)-1,)*Index!AS$23*(AW$15&lt;=$J54)*(1-AW$12)</f>
        <v>0</v>
      </c>
      <c r="AX54" s="747">
        <f>$G54*$H54*(1+$K54)^MAX(ROUNDUP(IFERROR(DATEDIF($I54-1,AX$15+1,"m"),)/12,)-1,)*Index!AT$23*(AX$15&lt;=$J54)*(1-AX$12)</f>
        <v>0</v>
      </c>
      <c r="AY54" s="747">
        <f>$G54*$H54*(1+$K54)^MAX(ROUNDUP(IFERROR(DATEDIF($I54-1,AY$15+1,"m"),)/12,)-1,)*Index!AU$23*(AY$15&lt;=$J54)*(1-AY$12)</f>
        <v>0</v>
      </c>
      <c r="AZ54" s="747">
        <f>$G54*$H54*(1+$K54)^MAX(ROUNDUP(IFERROR(DATEDIF($I54-1,AZ$15+1,"m"),)/12,)-1,)*Index!AV$23*(AZ$15&lt;=$J54)*(1-AZ$12)</f>
        <v>0</v>
      </c>
      <c r="BA54" s="747">
        <f>$G54*$H54*(1+$K54)^MAX(ROUNDUP(IFERROR(DATEDIF($I54-1,BA$15+1,"m"),)/12,)-1,)*Index!AW$23*(BA$15&lt;=$J54)*(1-BA$12)</f>
        <v>0</v>
      </c>
      <c r="BB54" s="747">
        <f>$G54*$H54*(1+$K54)^MAX(ROUNDUP(IFERROR(DATEDIF($I54-1,BB$15+1,"m"),)/12,)-1,)*Index!AX$23*(BB$15&lt;=$J54)*(1-BB$12)</f>
        <v>0</v>
      </c>
      <c r="BC54" s="747">
        <f>$G54*$H54*(1+$K54)^MAX(ROUNDUP(IFERROR(DATEDIF($I54-1,BC$15+1,"m"),)/12,)-1,)*Index!AY$23*(BC$15&lt;=$J54)*(1-BC$12)</f>
        <v>0</v>
      </c>
      <c r="BD54" s="747">
        <f>$G54*$H54*(1+$K54)^MAX(ROUNDUP(IFERROR(DATEDIF($I54-1,BD$15+1,"m"),)/12,)-1,)*Index!AZ$23*(BD$15&lt;=$J54)*(1-BD$12)</f>
        <v>0</v>
      </c>
      <c r="BE54" s="747">
        <f>$G54*$H54*(1+$K54)^MAX(ROUNDUP(IFERROR(DATEDIF($I54-1,BE$15+1,"m"),)/12,)-1,)*Index!BA$23*(BE$15&lt;=$J54)*(1-BE$12)</f>
        <v>0</v>
      </c>
      <c r="BF54" s="747">
        <f>$G54*$H54*(1+$K54)^MAX(ROUNDUP(IFERROR(DATEDIF($I54-1,BF$15+1,"m"),)/12,)-1,)*Index!BB$23*(BF$15&lt;=$J54)*(1-BF$12)</f>
        <v>0</v>
      </c>
      <c r="BG54" s="747">
        <f>$G54*$H54*(1+$K54)^MAX(ROUNDUP(IFERROR(DATEDIF($I54-1,BG$15+1,"m"),)/12,)-1,)*Index!BC$23*(BG$15&lt;=$J54)*(1-BG$12)</f>
        <v>0</v>
      </c>
      <c r="BH54" s="747">
        <f>$G54*$H54*(1+$K54)^MAX(ROUNDUP(IFERROR(DATEDIF($I54-1,BH$15+1,"m"),)/12,)-1,)*Index!BD$23*(BH$15&lt;=$J54)*(1-BH$12)</f>
        <v>0</v>
      </c>
      <c r="BI54" s="747">
        <f>$G54*$H54*(1+$K54)^MAX(ROUNDUP(IFERROR(DATEDIF($I54-1,BI$15+1,"m"),)/12,)-1,)*Index!BE$23*(BI$15&lt;=$J54)*(1-BI$12)</f>
        <v>0</v>
      </c>
      <c r="BJ54" s="747">
        <f>$G54*$H54*(1+$K54)^MAX(ROUNDUP(IFERROR(DATEDIF($I54-1,BJ$15+1,"m"),)/12,)-1,)*Index!BF$23*(BJ$15&lt;=$J54)*(1-BJ$12)</f>
        <v>0</v>
      </c>
      <c r="BK54" s="747">
        <f>$G54*$H54*(1+$K54)^MAX(ROUNDUP(IFERROR(DATEDIF($I54-1,BK$15+1,"m"),)/12,)-1,)*Index!BG$23*(BK$15&lt;=$J54)*(1-BK$12)</f>
        <v>0</v>
      </c>
      <c r="BL54" s="747">
        <f>$G54*$H54*(1+$K54)^MAX(ROUNDUP(IFERROR(DATEDIF($I54-1,BL$15+1,"m"),)/12,)-1,)*Index!BH$23*(BL$15&lt;=$J54)*(1-BL$12)</f>
        <v>0</v>
      </c>
      <c r="BM54" s="747">
        <f>$G54*$H54*(1+$K54)^MAX(ROUNDUP(IFERROR(DATEDIF($I54-1,BM$15+1,"m"),)/12,)-1,)*Index!BI$23*(BM$15&lt;=$J54)*(1-BM$12)</f>
        <v>0</v>
      </c>
      <c r="BN54" s="747">
        <f>$G54*$H54*(1+$K54)^MAX(ROUNDUP(IFERROR(DATEDIF($I54-1,BN$15+1,"m"),)/12,)-1,)*Index!BJ$23*(BN$15&lt;=$J54)*(1-BN$12)</f>
        <v>0</v>
      </c>
      <c r="BO54" s="747">
        <f>$G54*$H54*(1+$K54)^MAX(ROUNDUP(IFERROR(DATEDIF($I54-1,BO$15+1,"m"),)/12,)-1,)*Index!BK$23*(BO$15&lt;=$J54)*(1-BO$12)</f>
        <v>0</v>
      </c>
      <c r="BP54" s="747">
        <f>$G54*$H54*(1+$K54)^MAX(ROUNDUP(IFERROR(DATEDIF($I54-1,BP$15+1,"m"),)/12,)-1,)*Index!BL$23*(BP$15&lt;=$J54)*(1-BP$12)</f>
        <v>0</v>
      </c>
      <c r="BQ54" s="747">
        <f>$G54*$H54*(1+$K54)^MAX(ROUNDUP(IFERROR(DATEDIF($I54-1,BQ$15+1,"m"),)/12,)-1,)*Index!BM$23*(BQ$15&lt;=$J54)*(1-BQ$12)</f>
        <v>0</v>
      </c>
      <c r="BR54" s="747">
        <f>$G54*$H54*(1+$K54)^MAX(ROUNDUP(IFERROR(DATEDIF($I54-1,BR$15+1,"m"),)/12,)-1,)*Index!BN$23*(BR$15&lt;=$J54)*(1-BR$12)</f>
        <v>0</v>
      </c>
      <c r="BS54" s="747">
        <f>$G54*$H54*(1+$K54)^MAX(ROUNDUP(IFERROR(DATEDIF($I54-1,BS$15+1,"m"),)/12,)-1,)*Index!BO$23*(BS$15&lt;=$J54)*(1-BS$12)</f>
        <v>0</v>
      </c>
      <c r="BT54" s="747">
        <f>$G54*$H54*(1+$K54)^MAX(ROUNDUP(IFERROR(DATEDIF($I54-1,BT$15+1,"m"),)/12,)-1,)*Index!BP$23*(BT$15&lt;=$J54)*(1-BT$12)</f>
        <v>0</v>
      </c>
      <c r="BU54" s="747">
        <f>$G54*$H54*(1+$K54)^MAX(ROUNDUP(IFERROR(DATEDIF($I54-1,BU$15+1,"m"),)/12,)-1,)*Index!BQ$23*(BU$15&lt;=$J54)*(1-BU$12)</f>
        <v>0</v>
      </c>
      <c r="BV54" s="747">
        <f>$G54*$H54*(1+$K54)^MAX(ROUNDUP(IFERROR(DATEDIF($I54-1,BV$15+1,"m"),)/12,)-1,)*Index!BR$23*(BV$15&lt;=$J54)*(1-BV$12)</f>
        <v>0</v>
      </c>
      <c r="BW54" s="747">
        <f>$G54*$H54*(1+$K54)^MAX(ROUNDUP(IFERROR(DATEDIF($I54-1,BW$15+1,"m"),)/12,)-1,)*Index!BS$23*(BW$15&lt;=$J54)*(1-BW$12)</f>
        <v>0</v>
      </c>
      <c r="BX54" s="747">
        <f>$G54*$H54*(1+$K54)^MAX(ROUNDUP(IFERROR(DATEDIF($I54-1,BX$15+1,"m"),)/12,)-1,)*Index!BT$23*(BX$15&lt;=$J54)*(1-BX$12)</f>
        <v>0</v>
      </c>
      <c r="BY54" s="747">
        <f>$G54*$H54*(1+$K54)^MAX(ROUNDUP(IFERROR(DATEDIF($I54-1,BY$15+1,"m"),)/12,)-1,)*Index!BU$23*(BY$15&lt;=$J54)*(1-BY$12)</f>
        <v>0</v>
      </c>
      <c r="BZ54" s="747">
        <f>$G54*$H54*(1+$K54)^MAX(ROUNDUP(IFERROR(DATEDIF($I54-1,BZ$15+1,"m"),)/12,)-1,)*Index!BV$23*(BZ$15&lt;=$J54)*(1-BZ$12)</f>
        <v>0</v>
      </c>
      <c r="CA54" s="747">
        <f>$G54*$H54*(1+$K54)^MAX(ROUNDUP(IFERROR(DATEDIF($I54-1,CA$15+1,"m"),)/12,)-1,)*Index!BW$23*(CA$15&lt;=$J54)*(1-CA$12)</f>
        <v>0</v>
      </c>
      <c r="CB54" s="747">
        <f>$G54*$H54*(1+$K54)^MAX(ROUNDUP(IFERROR(DATEDIF($I54-1,CB$15+1,"m"),)/12,)-1,)*Index!BX$23*(CB$15&lt;=$J54)*(1-CB$12)</f>
        <v>0</v>
      </c>
      <c r="CC54" s="747">
        <f>$G54*$H54*(1+$K54)^MAX(ROUNDUP(IFERROR(DATEDIF($I54-1,CC$15+1,"m"),)/12,)-1,)*Index!BY$23*(CC$15&lt;=$J54)*(1-CC$12)</f>
        <v>0</v>
      </c>
      <c r="CD54" s="747">
        <f>$G54*$H54*(1+$K54)^MAX(ROUNDUP(IFERROR(DATEDIF($I54-1,CD$15+1,"m"),)/12,)-1,)*Index!BZ$23*(CD$15&lt;=$J54)*(1-CD$12)</f>
        <v>0</v>
      </c>
      <c r="CE54" s="747">
        <f>$G54*$H54*(1+$K54)^MAX(ROUNDUP(IFERROR(DATEDIF($I54-1,CE$15+1,"m"),)/12,)-1,)*Index!CA$23*(CE$15&lt;=$J54)*(1-CE$12)</f>
        <v>0</v>
      </c>
      <c r="CF54" s="747">
        <f>$G54*$H54*(1+$K54)^MAX(ROUNDUP(IFERROR(DATEDIF($I54-1,CF$15+1,"m"),)/12,)-1,)*Index!CB$23*(CF$15&lt;=$J54)*(1-CF$12)</f>
        <v>0</v>
      </c>
      <c r="CG54" s="747">
        <f>$G54*$H54*(1+$K54)^MAX(ROUNDUP(IFERROR(DATEDIF($I54-1,CG$15+1,"m"),)/12,)-1,)*Index!CC$23*(CG$15&lt;=$J54)*(1-CG$12)</f>
        <v>0</v>
      </c>
      <c r="CH54" s="747">
        <f>$G54*$H54*(1+$K54)^MAX(ROUNDUP(IFERROR(DATEDIF($I54-1,CH$15+1,"m"),)/12,)-1,)*Index!CD$23*(CH$15&lt;=$J54)*(1-CH$12)</f>
        <v>0</v>
      </c>
      <c r="CI54" s="747">
        <f>$G54*$H54*(1+$K54)^MAX(ROUNDUP(IFERROR(DATEDIF($I54-1,CI$15+1,"m"),)/12,)-1,)*Index!CE$23*(CI$15&lt;=$J54)*(1-CI$12)</f>
        <v>0</v>
      </c>
      <c r="CJ54" s="747">
        <f>$G54*$H54*(1+$K54)^MAX(ROUNDUP(IFERROR(DATEDIF($I54-1,CJ$15+1,"m"),)/12,)-1,)*Index!CF$23*(CJ$15&lt;=$J54)*(1-CJ$12)</f>
        <v>0</v>
      </c>
      <c r="CK54" s="747">
        <f>$G54*$H54*(1+$K54)^MAX(ROUNDUP(IFERROR(DATEDIF($I54-1,CK$15+1,"m"),)/12,)-1,)*Index!CG$23*(CK$15&lt;=$J54)*(1-CK$12)</f>
        <v>0</v>
      </c>
      <c r="CL54" s="747">
        <f>$G54*$H54*(1+$K54)^MAX(ROUNDUP(IFERROR(DATEDIF($I54-1,CL$15+1,"m"),)/12,)-1,)*Index!CH$23*(CL$15&lt;=$J54)*(1-CL$12)</f>
        <v>0</v>
      </c>
      <c r="CM54" s="747">
        <f>$G54*$H54*(1+$K54)^MAX(ROUNDUP(IFERROR(DATEDIF($I54-1,CM$15+1,"m"),)/12,)-1,)*Index!CI$23*(CM$15&lt;=$J54)*(1-CM$12)</f>
        <v>0</v>
      </c>
      <c r="CN54" s="747">
        <f>$G54*$H54*(1+$K54)^MAX(ROUNDUP(IFERROR(DATEDIF($I54-1,CN$15+1,"m"),)/12,)-1,)*Index!CJ$23*(CN$15&lt;=$J54)*(1-CN$12)</f>
        <v>0</v>
      </c>
      <c r="CO54" s="747">
        <f>$G54*$H54*(1+$K54)^MAX(ROUNDUP(IFERROR(DATEDIF($I54-1,CO$15+1,"m"),)/12,)-1,)*Index!CK$23*(CO$15&lt;=$J54)*(1-CO$12)</f>
        <v>0</v>
      </c>
      <c r="CP54" s="747">
        <f>$G54*$H54*(1+$K54)^MAX(ROUNDUP(IFERROR(DATEDIF($I54-1,CP$15+1,"m"),)/12,)-1,)*Index!CL$23*(CP$15&lt;=$J54)*(1-CP$12)</f>
        <v>0</v>
      </c>
      <c r="CQ54" s="747">
        <f>$G54*$H54*(1+$K54)^MAX(ROUNDUP(IFERROR(DATEDIF($I54-1,CQ$15+1,"m"),)/12,)-1,)*Index!CM$23*(CQ$15&lt;=$J54)*(1-CQ$12)</f>
        <v>0</v>
      </c>
      <c r="CR54" s="747">
        <f>$G54*$H54*(1+$K54)^MAX(ROUNDUP(IFERROR(DATEDIF($I54-1,CR$15+1,"m"),)/12,)-1,)*Index!CN$23*(CR$15&lt;=$J54)*(1-CR$12)</f>
        <v>0</v>
      </c>
      <c r="CS54" s="747">
        <f>$G54*$H54*(1+$K54)^MAX(ROUNDUP(IFERROR(DATEDIF($I54-1,CS$15+1,"m"),)/12,)-1,)*Index!CO$23*(CS$15&lt;=$J54)*(1-CS$12)</f>
        <v>0</v>
      </c>
      <c r="CT54" s="747">
        <f>$G54*$H54*(1+$K54)^MAX(ROUNDUP(IFERROR(DATEDIF($I54-1,CT$15+1,"m"),)/12,)-1,)*Index!CP$23*(CT$15&lt;=$J54)*(1-CT$12)</f>
        <v>0</v>
      </c>
      <c r="CU54" s="747">
        <f>$G54*$H54*(1+$K54)^MAX(ROUNDUP(IFERROR(DATEDIF($I54-1,CU$15+1,"m"),)/12,)-1,)*Index!CQ$23*(CU$15&lt;=$J54)*(1-CU$12)</f>
        <v>0</v>
      </c>
      <c r="CV54" s="747">
        <f>$G54*$H54*(1+$K54)^MAX(ROUNDUP(IFERROR(DATEDIF($I54-1,CV$15+1,"m"),)/12,)-1,)*Index!CR$23*(CV$15&lt;=$J54)*(1-CV$12)</f>
        <v>0</v>
      </c>
      <c r="CW54" s="747">
        <f>$G54*$H54*(1+$K54)^MAX(ROUNDUP(IFERROR(DATEDIF($I54-1,CW$15+1,"m"),)/12,)-1,)*Index!CS$23*(CW$15&lt;=$J54)*(1-CW$12)</f>
        <v>0</v>
      </c>
      <c r="CX54" s="747">
        <f>$G54*$H54*(1+$K54)^MAX(ROUNDUP(IFERROR(DATEDIF($I54-1,CX$15+1,"m"),)/12,)-1,)*Index!CT$23*(CX$15&lt;=$J54)*(1-CX$12)</f>
        <v>0</v>
      </c>
      <c r="CY54" s="747">
        <f>$G54*$H54*(1+$K54)^MAX(ROUNDUP(IFERROR(DATEDIF($I54-1,CY$15+1,"m"),)/12,)-1,)*Index!CU$23*(CY$15&lt;=$J54)*(1-CY$12)</f>
        <v>0</v>
      </c>
      <c r="CZ54" s="747">
        <f>$G54*$H54*(1+$K54)^MAX(ROUNDUP(IFERROR(DATEDIF($I54-1,CZ$15+1,"m"),)/12,)-1,)*Index!CV$23*(CZ$15&lt;=$J54)*(1-CZ$12)</f>
        <v>0</v>
      </c>
      <c r="DA54" s="747">
        <f>$G54*$H54*(1+$K54)^MAX(ROUNDUP(IFERROR(DATEDIF($I54-1,DA$15+1,"m"),)/12,)-1,)*Index!CW$23*(DA$15&lt;=$J54)*(1-DA$12)</f>
        <v>0</v>
      </c>
      <c r="DB54" s="747">
        <f>$G54*$H54*(1+$K54)^MAX(ROUNDUP(IFERROR(DATEDIF($I54-1,DB$15+1,"m"),)/12,)-1,)*Index!CX$23*(DB$15&lt;=$J54)*(1-DB$12)</f>
        <v>0</v>
      </c>
      <c r="DC54" s="747">
        <f>$G54*$H54*(1+$K54)^MAX(ROUNDUP(IFERROR(DATEDIF($I54-1,DC$15+1,"m"),)/12,)-1,)*Index!CY$23*(DC$15&lt;=$J54)*(1-DC$12)</f>
        <v>0</v>
      </c>
      <c r="DD54" s="747">
        <f>$G54*$H54*(1+$K54)^MAX(ROUNDUP(IFERROR(DATEDIF($I54-1,DD$15+1,"m"),)/12,)-1,)*Index!CZ$23*(DD$15&lt;=$J54)*(1-DD$12)</f>
        <v>0</v>
      </c>
      <c r="DE54" s="747">
        <f>$G54*$H54*(1+$K54)^MAX(ROUNDUP(IFERROR(DATEDIF($I54-1,DE$15+1,"m"),)/12,)-1,)*Index!DA$23*(DE$15&lt;=$J54)*(1-DE$12)</f>
        <v>0</v>
      </c>
      <c r="DF54" s="747">
        <f>$G54*$H54*(1+$K54)^MAX(ROUNDUP(IFERROR(DATEDIF($I54-1,DF$15+1,"m"),)/12,)-1,)*Index!DB$23*(DF$15&lt;=$J54)*(1-DF$12)</f>
        <v>0</v>
      </c>
      <c r="DG54" s="747">
        <f>$G54*$H54*(1+$K54)^MAX(ROUNDUP(IFERROR(DATEDIF($I54-1,DG$15+1,"m"),)/12,)-1,)*Index!DC$23*(DG$15&lt;=$J54)*(1-DG$12)</f>
        <v>0</v>
      </c>
      <c r="DH54" s="747">
        <f>$G54*$H54*(1+$K54)^MAX(ROUNDUP(IFERROR(DATEDIF($I54-1,DH$15+1,"m"),)/12,)-1,)*Index!DD$23*(DH$15&lt;=$J54)*(1-DH$12)</f>
        <v>0</v>
      </c>
      <c r="DI54" s="747">
        <f>$G54*$H54*(1+$K54)^MAX(ROUNDUP(IFERROR(DATEDIF($I54-1,DI$15+1,"m"),)/12,)-1,)*Index!DE$23*(DI$15&lt;=$J54)*(1-DI$12)</f>
        <v>0</v>
      </c>
      <c r="DJ54" s="747">
        <f>$G54*$H54*(1+$K54)^MAX(ROUNDUP(IFERROR(DATEDIF($I54-1,DJ$15+1,"m"),)/12,)-1,)*Index!DF$23*(DJ$15&lt;=$J54)*(1-DJ$12)</f>
        <v>0</v>
      </c>
      <c r="DK54" s="747">
        <f>$G54*$H54*(1+$K54)^MAX(ROUNDUP(IFERROR(DATEDIF($I54-1,DK$15+1,"m"),)/12,)-1,)*Index!DG$23*(DK$15&lt;=$J54)*(1-DK$12)</f>
        <v>0</v>
      </c>
      <c r="DL54" s="747">
        <f>$G54*$H54*(1+$K54)^MAX(ROUNDUP(IFERROR(DATEDIF($I54-1,DL$15+1,"m"),)/12,)-1,)*Index!DH$23*(DL$15&lt;=$J54)*(1-DL$12)</f>
        <v>0</v>
      </c>
      <c r="DM54" s="747">
        <f>$G54*$H54*(1+$K54)^MAX(ROUNDUP(IFERROR(DATEDIF($I54-1,DM$15+1,"m"),)/12,)-1,)*Index!DI$23*(DM$15&lt;=$J54)*(1-DM$12)</f>
        <v>0</v>
      </c>
      <c r="DN54" s="747">
        <f>$G54*$H54*(1+$K54)^MAX(ROUNDUP(IFERROR(DATEDIF($I54-1,DN$15+1,"m"),)/12,)-1,)*Index!DJ$23*(DN$15&lt;=$J54)*(1-DN$12)</f>
        <v>0</v>
      </c>
      <c r="DO54" s="747">
        <f>$G54*$H54*(1+$K54)^MAX(ROUNDUP(IFERROR(DATEDIF($I54-1,DO$15+1,"m"),)/12,)-1,)*Index!DK$23*(DO$15&lt;=$J54)*(1-DO$12)</f>
        <v>0</v>
      </c>
      <c r="DP54" s="747">
        <f>$G54*$H54*(1+$K54)^MAX(ROUNDUP(IFERROR(DATEDIF($I54-1,DP$15+1,"m"),)/12,)-1,)*Index!DL$23*(DP$15&lt;=$J54)*(1-DP$12)</f>
        <v>0</v>
      </c>
      <c r="DQ54" s="747">
        <f>$G54*$H54*(1+$K54)^MAX(ROUNDUP(IFERROR(DATEDIF($I54-1,DQ$15+1,"m"),)/12,)-1,)*Index!DM$23*(DQ$15&lt;=$J54)*(1-DQ$12)</f>
        <v>0</v>
      </c>
      <c r="DR54" s="747">
        <f>$G54*$H54*(1+$K54)^MAX(ROUNDUP(IFERROR(DATEDIF($I54-1,DR$15+1,"m"),)/12,)-1,)*Index!DN$23*(DR$15&lt;=$J54)*(1-DR$12)</f>
        <v>0</v>
      </c>
      <c r="DS54" s="747">
        <f>$G54*$H54*(1+$K54)^MAX(ROUNDUP(IFERROR(DATEDIF($I54-1,DS$15+1,"m"),)/12,)-1,)*Index!DO$23*(DS$15&lt;=$J54)*(1-DS$12)</f>
        <v>0</v>
      </c>
      <c r="DT54" s="747">
        <f>$G54*$H54*(1+$K54)^MAX(ROUNDUP(IFERROR(DATEDIF($I54-1,DT$15+1,"m"),)/12,)-1,)*Index!DP$23*(DT$15&lt;=$J54)*(1-DT$12)</f>
        <v>0</v>
      </c>
      <c r="DU54" s="747">
        <f>$G54*$H54*(1+$K54)^MAX(ROUNDUP(IFERROR(DATEDIF($I54-1,DU$15+1,"m"),)/12,)-1,)*Index!DQ$23*(DU$15&lt;=$J54)*(1-DU$12)</f>
        <v>0</v>
      </c>
      <c r="DV54" s="747">
        <f>$G54*$H54*(1+$K54)^MAX(ROUNDUP(IFERROR(DATEDIF($I54-1,DV$15+1,"m"),)/12,)-1,)*Index!DR$23*(DV$15&lt;=$J54)*(1-DV$12)</f>
        <v>0</v>
      </c>
      <c r="DW54" s="747">
        <f>$G54*$H54*(1+$K54)^MAX(ROUNDUP(IFERROR(DATEDIF($I54-1,DW$15+1,"m"),)/12,)-1,)*Index!DS$23*(DW$15&lt;=$J54)*(1-DW$12)</f>
        <v>0</v>
      </c>
      <c r="DX54" s="747">
        <f>$G54*$H54*(1+$K54)^MAX(ROUNDUP(IFERROR(DATEDIF($I54-1,DX$15+1,"m"),)/12,)-1,)*Index!DT$23*(DX$15&lt;=$J54)*(1-DX$12)</f>
        <v>0</v>
      </c>
      <c r="DY54" s="747">
        <f>$G54*$H54*(1+$K54)^MAX(ROUNDUP(IFERROR(DATEDIF($I54-1,DY$15+1,"m"),)/12,)-1,)*Index!DU$23*(DY$15&lt;=$J54)*(1-DY$12)</f>
        <v>0</v>
      </c>
      <c r="DZ54" s="747">
        <f>$G54*$H54*(1+$K54)^MAX(ROUNDUP(IFERROR(DATEDIF($I54-1,DZ$15+1,"m"),)/12,)-1,)*Index!DV$23*(DZ$15&lt;=$J54)*(1-DZ$12)</f>
        <v>0</v>
      </c>
      <c r="EA54" s="747">
        <f>$G54*$H54*(1+$K54)^MAX(ROUNDUP(IFERROR(DATEDIF($I54-1,EA$15+1,"m"),)/12,)-1,)*Index!DW$23*(EA$15&lt;=$J54)*(1-EA$12)</f>
        <v>0</v>
      </c>
      <c r="EB54" s="747">
        <f>$G54*$H54*(1+$K54)^MAX(ROUNDUP(IFERROR(DATEDIF($I54-1,EB$15+1,"m"),)/12,)-1,)*Index!DX$23*(EB$15&lt;=$J54)*(1-EB$12)</f>
        <v>0</v>
      </c>
      <c r="EC54" s="747">
        <f>$G54*$H54*(1+$K54)^MAX(ROUNDUP(IFERROR(DATEDIF($I54-1,EC$15+1,"m"),)/12,)-1,)*Index!DY$23*(EC$15&lt;=$J54)*(1-EC$12)</f>
        <v>0</v>
      </c>
      <c r="ED54" s="747">
        <f>$G54*$H54*(1+$K54)^MAX(ROUNDUP(IFERROR(DATEDIF($I54-1,ED$15+1,"m"),)/12,)-1,)*Index!DZ$23*(ED$15&lt;=$J54)*(1-ED$12)</f>
        <v>0</v>
      </c>
      <c r="EE54" s="747">
        <f>$G54*$H54*(1+$K54)^MAX(ROUNDUP(IFERROR(DATEDIF($I54-1,EE$15+1,"m"),)/12,)-1,)*Index!EA$23*(EE$15&lt;=$J54)*(1-EE$12)</f>
        <v>0</v>
      </c>
      <c r="EF54" s="747">
        <f>$G54*$H54*(1+$K54)^MAX(ROUNDUP(IFERROR(DATEDIF($I54-1,EF$15+1,"m"),)/12,)-1,)*Index!EB$23*(EF$15&lt;=$J54)*(1-EF$12)</f>
        <v>0</v>
      </c>
      <c r="EG54" s="747">
        <f>$G54*$H54*(1+$K54)^MAX(ROUNDUP(IFERROR(DATEDIF($I54-1,EG$15+1,"m"),)/12,)-1,)*Index!EC$23*(EG$15&lt;=$J54)*(1-EG$12)</f>
        <v>0</v>
      </c>
      <c r="EH54" s="747">
        <f>$G54*$H54*(1+$K54)^MAX(ROUNDUP(IFERROR(DATEDIF($I54-1,EH$15+1,"m"),)/12,)-1,)*Index!ED$23*(EH$15&lt;=$J54)*(1-EH$12)</f>
        <v>0</v>
      </c>
      <c r="EI54" s="747">
        <f>$G54*$H54*(1+$K54)^MAX(ROUNDUP(IFERROR(DATEDIF($I54-1,EI$15+1,"m"),)/12,)-1,)*Index!EE$23*(EI$15&lt;=$J54)*(1-EI$12)</f>
        <v>0</v>
      </c>
      <c r="EJ54" s="747">
        <f>$G54*$H54*(1+$K54)^MAX(ROUNDUP(IFERROR(DATEDIF($I54-1,EJ$15+1,"m"),)/12,)-1,)*Index!EF$23*(EJ$15&lt;=$J54)*(1-EJ$12)</f>
        <v>0</v>
      </c>
      <c r="EK54" s="747">
        <f>$G54*$H54*(1+$K54)^MAX(ROUNDUP(IFERROR(DATEDIF($I54-1,EK$15+1,"m"),)/12,)-1,)*Index!EG$23*(EK$15&lt;=$J54)*(1-EK$12)</f>
        <v>0</v>
      </c>
      <c r="EL54" s="747">
        <f>$G54*$H54*(1+$K54)^MAX(ROUNDUP(IFERROR(DATEDIF($I54-1,EL$15+1,"m"),)/12,)-1,)*Index!EH$23*(EL$15&lt;=$J54)*(1-EL$12)</f>
        <v>0</v>
      </c>
      <c r="EM54" s="747">
        <f>$G54*$H54*(1+$K54)^MAX(ROUNDUP(IFERROR(DATEDIF($I54-1,EM$15+1,"m"),)/12,)-1,)*Index!EI$23*(EM$15&lt;=$J54)*(1-EM$12)</f>
        <v>0</v>
      </c>
      <c r="EN54" s="747">
        <f>$G54*$H54*(1+$K54)^MAX(ROUNDUP(IFERROR(DATEDIF($I54-1,EN$15+1,"m"),)/12,)-1,)*Index!EJ$23*(EN$15&lt;=$J54)*(1-EN$12)</f>
        <v>0</v>
      </c>
      <c r="EO54" s="747">
        <f>$G54*$H54*(1+$K54)^MAX(ROUNDUP(IFERROR(DATEDIF($I54-1,EO$15+1,"m"),)/12,)-1,)*Index!EK$23*(EO$15&lt;=$J54)*(1-EO$12)</f>
        <v>0</v>
      </c>
      <c r="EP54" s="747">
        <f>$G54*$H54*(1+$K54)^MAX(ROUNDUP(IFERROR(DATEDIF($I54-1,EP$15+1,"m"),)/12,)-1,)*Index!EL$23*(EP$15&lt;=$J54)*(1-EP$12)</f>
        <v>0</v>
      </c>
      <c r="EQ54" s="747">
        <f>$G54*$H54*(1+$K54)^MAX(ROUNDUP(IFERROR(DATEDIF($I54-1,EQ$15+1,"m"),)/12,)-1,)*Index!EM$23*(EQ$15&lt;=$J54)*(1-EQ$12)</f>
        <v>0</v>
      </c>
      <c r="ER54" s="747">
        <f>$G54*$H54*(1+$K54)^MAX(ROUNDUP(IFERROR(DATEDIF($I54-1,ER$15+1,"m"),)/12,)-1,)*Index!EN$23*(ER$15&lt;=$J54)*(1-ER$12)</f>
        <v>0</v>
      </c>
      <c r="ES54" s="747">
        <f>$G54*$H54*(1+$K54)^MAX(ROUNDUP(IFERROR(DATEDIF($I54-1,ES$15+1,"m"),)/12,)-1,)*Index!EO$23*(ES$15&lt;=$J54)*(1-ES$12)</f>
        <v>0</v>
      </c>
      <c r="ET54" s="747">
        <f>$G54*$H54*(1+$K54)^MAX(ROUNDUP(IFERROR(DATEDIF($I54-1,ET$15+1,"m"),)/12,)-1,)*Index!EP$23*(ET$15&lt;=$J54)*(1-ET$12)</f>
        <v>0</v>
      </c>
      <c r="EU54" s="747">
        <f>$G54*$H54*(1+$K54)^MAX(ROUNDUP(IFERROR(DATEDIF($I54-1,EU$15+1,"m"),)/12,)-1,)*Index!EQ$23*(EU$15&lt;=$J54)*(1-EU$12)</f>
        <v>0</v>
      </c>
    </row>
    <row r="55" spans="3:151" ht="11.25" customHeight="1">
      <c r="C55" s="828"/>
      <c r="D55" s="743">
        <f t="shared" ref="D55:K55" si="22">D19</f>
        <v>8</v>
      </c>
      <c r="E55" s="704" t="str">
        <f t="shared" si="22"/>
        <v>쿠팡</v>
      </c>
      <c r="F55" s="704" t="str">
        <f t="shared" si="22"/>
        <v>상온창고</v>
      </c>
      <c r="G55" s="752">
        <f t="shared" si="22"/>
        <v>38.299999999999997</v>
      </c>
      <c r="H55" s="744">
        <f t="shared" si="22"/>
        <v>63.86</v>
      </c>
      <c r="I55" s="745">
        <f t="shared" si="22"/>
        <v>46326</v>
      </c>
      <c r="J55" s="745">
        <f t="shared" si="22"/>
        <v>49064</v>
      </c>
      <c r="K55" s="754">
        <f t="shared" si="22"/>
        <v>2.5000000000000001E-2</v>
      </c>
      <c r="L55" s="746"/>
      <c r="M55" s="722"/>
      <c r="N55" s="747">
        <f t="shared" si="21"/>
        <v>0</v>
      </c>
      <c r="O55" s="733"/>
      <c r="P55" s="747">
        <f>$G55*$H55*(1+$K55)^MAX(ROUNDUP(IFERROR(DATEDIF($I55-1,P$15+1,"m"),)/12,)-1,)*Index!L$23*(P$15&lt;=$J55)*(1-P$12)</f>
        <v>0</v>
      </c>
      <c r="Q55" s="747">
        <f>$G55*$H55*(1+$K55)^MAX(ROUNDUP(IFERROR(DATEDIF($I55-1,Q$15+1,"m"),)/12,)-1,)*Index!M$23*(Q$15&lt;=$J55)*(1-Q$12)</f>
        <v>0</v>
      </c>
      <c r="R55" s="747">
        <f>$G55*$H55*(1+$K55)^MAX(ROUNDUP(IFERROR(DATEDIF($I55-1,R$15+1,"m"),)/12,)-1,)*Index!N$23*(R$15&lt;=$J55)*(1-R$12)</f>
        <v>0</v>
      </c>
      <c r="S55" s="747">
        <f>$G55*$H55*(1+$K55)^MAX(ROUNDUP(IFERROR(DATEDIF($I55-1,S$15+1,"m"),)/12,)-1,)*Index!O$23*(S$15&lt;=$J55)*(1-S$12)</f>
        <v>0</v>
      </c>
      <c r="T55" s="747">
        <f>$G55*$H55*(1+$K55)^MAX(ROUNDUP(IFERROR(DATEDIF($I55-1,T$15+1,"m"),)/12,)-1,)*Index!P$23*(T$15&lt;=$J55)*(1-T$12)</f>
        <v>0</v>
      </c>
      <c r="U55" s="747">
        <f>$G55*$H55*(1+$K55)^MAX(ROUNDUP(IFERROR(DATEDIF($I55-1,U$15+1,"m"),)/12,)-1,)*Index!Q$23*(U$15&lt;=$J55)*(1-U$12)</f>
        <v>0</v>
      </c>
      <c r="V55" s="747">
        <f>$G55*$H55*(1+$K55)^MAX(ROUNDUP(IFERROR(DATEDIF($I55-1,V$15+1,"m"),)/12,)-1,)*Index!R$23*(V$15&lt;=$J55)*(1-V$12)</f>
        <v>0</v>
      </c>
      <c r="W55" s="747">
        <f>$G55*$H55*(1+$K55)^MAX(ROUNDUP(IFERROR(DATEDIF($I55-1,W$15+1,"m"),)/12,)-1,)*Index!S$23*(W$15&lt;=$J55)*(1-W$12)</f>
        <v>0</v>
      </c>
      <c r="X55" s="747">
        <f>$G55*$H55*(1+$K55)^MAX(ROUNDUP(IFERROR(DATEDIF($I55-1,X$15+1,"m"),)/12,)-1,)*Index!T$23*(X$15&lt;=$J55)*(1-X$12)</f>
        <v>0</v>
      </c>
      <c r="Y55" s="747">
        <f>$G55*$H55*(1+$K55)^MAX(ROUNDUP(IFERROR(DATEDIF($I55-1,Y$15+1,"m"),)/12,)-1,)*Index!U$23*(Y$15&lt;=$J55)*(1-Y$12)</f>
        <v>0</v>
      </c>
      <c r="Z55" s="747">
        <f>$G55*$H55*(1+$K55)^MAX(ROUNDUP(IFERROR(DATEDIF($I55-1,Z$15+1,"m"),)/12,)-1,)*Index!V$23*(Z$15&lt;=$J55)*(1-Z$12)</f>
        <v>0</v>
      </c>
      <c r="AA55" s="747">
        <f>$G55*$H55*(1+$K55)^MAX(ROUNDUP(IFERROR(DATEDIF($I55-1,AA$15+1,"m"),)/12,)-1,)*Index!W$23*(AA$15&lt;=$J55)*(1-AA$12)</f>
        <v>0</v>
      </c>
      <c r="AB55" s="747">
        <f>$G55*$H55*(1+$K55)^MAX(ROUNDUP(IFERROR(DATEDIF($I55-1,AB$15+1,"m"),)/12,)-1,)*Index!X$23*(AB$15&lt;=$J55)*(1-AB$12)</f>
        <v>0</v>
      </c>
      <c r="AC55" s="747">
        <f>$G55*$H55*(1+$K55)^MAX(ROUNDUP(IFERROR(DATEDIF($I55-1,AC$15+1,"m"),)/12,)-1,)*Index!Y$23*(AC$15&lt;=$J55)*(1-AC$12)</f>
        <v>0</v>
      </c>
      <c r="AD55" s="747">
        <f>$G55*$H55*(1+$K55)^MAX(ROUNDUP(IFERROR(DATEDIF($I55-1,AD$15+1,"m"),)/12,)-1,)*Index!Z$23*(AD$15&lt;=$J55)*(1-AD$12)</f>
        <v>0</v>
      </c>
      <c r="AE55" s="747">
        <f>$G55*$H55*(1+$K55)^MAX(ROUNDUP(IFERROR(DATEDIF($I55-1,AE$15+1,"m"),)/12,)-1,)*Index!AA$23*(AE$15&lt;=$J55)*(1-AE$12)</f>
        <v>0</v>
      </c>
      <c r="AF55" s="747">
        <f>$G55*$H55*(1+$K55)^MAX(ROUNDUP(IFERROR(DATEDIF($I55-1,AF$15+1,"m"),)/12,)-1,)*Index!AB$23*(AF$15&lt;=$J55)*(1-AF$12)</f>
        <v>0</v>
      </c>
      <c r="AG55" s="747">
        <f>$G55*$H55*(1+$K55)^MAX(ROUNDUP(IFERROR(DATEDIF($I55-1,AG$15+1,"m"),)/12,)-1,)*Index!AC$23*(AG$15&lt;=$J55)*(1-AG$12)</f>
        <v>0</v>
      </c>
      <c r="AH55" s="747">
        <f>$G55*$H55*(1+$K55)^MAX(ROUNDUP(IFERROR(DATEDIF($I55-1,AH$15+1,"m"),)/12,)-1,)*Index!AD$23*(AH$15&lt;=$J55)*(1-AH$12)</f>
        <v>0</v>
      </c>
      <c r="AI55" s="747">
        <f>$G55*$H55*(1+$K55)^MAX(ROUNDUP(IFERROR(DATEDIF($I55-1,AI$15+1,"m"),)/12,)-1,)*Index!AE$23*(AI$15&lt;=$J55)*(1-AI$12)</f>
        <v>0</v>
      </c>
      <c r="AJ55" s="747">
        <f>$G55*$H55*(1+$K55)^MAX(ROUNDUP(IFERROR(DATEDIF($I55-1,AJ$15+1,"m"),)/12,)-1,)*Index!AF$23*(AJ$15&lt;=$J55)*(1-AJ$12)</f>
        <v>0</v>
      </c>
      <c r="AK55" s="747">
        <f>$G55*$H55*(1+$K55)^MAX(ROUNDUP(IFERROR(DATEDIF($I55-1,AK$15+1,"m"),)/12,)-1,)*Index!AG$23*(AK$15&lt;=$J55)*(1-AK$12)</f>
        <v>0</v>
      </c>
      <c r="AL55" s="747">
        <f>$G55*$H55*(1+$K55)^MAX(ROUNDUP(IFERROR(DATEDIF($I55-1,AL$15+1,"m"),)/12,)-1,)*Index!AH$23*(AL$15&lt;=$J55)*(1-AL$12)</f>
        <v>0</v>
      </c>
      <c r="AM55" s="747">
        <f>$G55*$H55*(1+$K55)^MAX(ROUNDUP(IFERROR(DATEDIF($I55-1,AM$15+1,"m"),)/12,)-1,)*Index!AI$23*(AM$15&lt;=$J55)*(1-AM$12)</f>
        <v>0</v>
      </c>
      <c r="AN55" s="747">
        <f>$G55*$H55*(1+$K55)^MAX(ROUNDUP(IFERROR(DATEDIF($I55-1,AN$15+1,"m"),)/12,)-1,)*Index!AJ$23*(AN$15&lt;=$J55)*(1-AN$12)</f>
        <v>0</v>
      </c>
      <c r="AO55" s="747">
        <f>$G55*$H55*(1+$K55)^MAX(ROUNDUP(IFERROR(DATEDIF($I55-1,AO$15+1,"m"),)/12,)-1,)*Index!AK$23*(AO$15&lt;=$J55)*(1-AO$12)</f>
        <v>0</v>
      </c>
      <c r="AP55" s="747">
        <f>$G55*$H55*(1+$K55)^MAX(ROUNDUP(IFERROR(DATEDIF($I55-1,AP$15+1,"m"),)/12,)-1,)*Index!AL$23*(AP$15&lt;=$J55)*(1-AP$12)</f>
        <v>0</v>
      </c>
      <c r="AQ55" s="747">
        <f>$G55*$H55*(1+$K55)^MAX(ROUNDUP(IFERROR(DATEDIF($I55-1,AQ$15+1,"m"),)/12,)-1,)*Index!AM$23*(AQ$15&lt;=$J55)*(1-AQ$12)</f>
        <v>0</v>
      </c>
      <c r="AR55" s="747">
        <f>$G55*$H55*(1+$K55)^MAX(ROUNDUP(IFERROR(DATEDIF($I55-1,AR$15+1,"m"),)/12,)-1,)*Index!AN$23*(AR$15&lt;=$J55)*(1-AR$12)</f>
        <v>0</v>
      </c>
      <c r="AS55" s="747">
        <f>$G55*$H55*(1+$K55)^MAX(ROUNDUP(IFERROR(DATEDIF($I55-1,AS$15+1,"m"),)/12,)-1,)*Index!AO$23*(AS$15&lt;=$J55)*(1-AS$12)</f>
        <v>0</v>
      </c>
      <c r="AT55" s="747">
        <f>$G55*$H55*(1+$K55)^MAX(ROUNDUP(IFERROR(DATEDIF($I55-1,AT$15+1,"m"),)/12,)-1,)*Index!AP$23*(AT$15&lt;=$J55)*(1-AT$12)</f>
        <v>0</v>
      </c>
      <c r="AU55" s="747">
        <f>$G55*$H55*(1+$K55)^MAX(ROUNDUP(IFERROR(DATEDIF($I55-1,AU$15+1,"m"),)/12,)-1,)*Index!AQ$23*(AU$15&lt;=$J55)*(1-AU$12)</f>
        <v>0</v>
      </c>
      <c r="AV55" s="747">
        <f>$G55*$H55*(1+$K55)^MAX(ROUNDUP(IFERROR(DATEDIF($I55-1,AV$15+1,"m"),)/12,)-1,)*Index!AR$23*(AV$15&lt;=$J55)*(1-AV$12)</f>
        <v>0</v>
      </c>
      <c r="AW55" s="747">
        <f>$G55*$H55*(1+$K55)^MAX(ROUNDUP(IFERROR(DATEDIF($I55-1,AW$15+1,"m"),)/12,)-1,)*Index!AS$23*(AW$15&lt;=$J55)*(1-AW$12)</f>
        <v>0</v>
      </c>
      <c r="AX55" s="747">
        <f>$G55*$H55*(1+$K55)^MAX(ROUNDUP(IFERROR(DATEDIF($I55-1,AX$15+1,"m"),)/12,)-1,)*Index!AT$23*(AX$15&lt;=$J55)*(1-AX$12)</f>
        <v>0</v>
      </c>
      <c r="AY55" s="747">
        <f>$G55*$H55*(1+$K55)^MAX(ROUNDUP(IFERROR(DATEDIF($I55-1,AY$15+1,"m"),)/12,)-1,)*Index!AU$23*(AY$15&lt;=$J55)*(1-AY$12)</f>
        <v>0</v>
      </c>
      <c r="AZ55" s="747">
        <f>$G55*$H55*(1+$K55)^MAX(ROUNDUP(IFERROR(DATEDIF($I55-1,AZ$15+1,"m"),)/12,)-1,)*Index!AV$23*(AZ$15&lt;=$J55)*(1-AZ$12)</f>
        <v>0</v>
      </c>
      <c r="BA55" s="747">
        <f>$G55*$H55*(1+$K55)^MAX(ROUNDUP(IFERROR(DATEDIF($I55-1,BA$15+1,"m"),)/12,)-1,)*Index!AW$23*(BA$15&lt;=$J55)*(1-BA$12)</f>
        <v>0</v>
      </c>
      <c r="BB55" s="747">
        <f>$G55*$H55*(1+$K55)^MAX(ROUNDUP(IFERROR(DATEDIF($I55-1,BB$15+1,"m"),)/12,)-1,)*Index!AX$23*(BB$15&lt;=$J55)*(1-BB$12)</f>
        <v>0</v>
      </c>
      <c r="BC55" s="747">
        <f>$G55*$H55*(1+$K55)^MAX(ROUNDUP(IFERROR(DATEDIF($I55-1,BC$15+1,"m"),)/12,)-1,)*Index!AY$23*(BC$15&lt;=$J55)*(1-BC$12)</f>
        <v>0</v>
      </c>
      <c r="BD55" s="747">
        <f>$G55*$H55*(1+$K55)^MAX(ROUNDUP(IFERROR(DATEDIF($I55-1,BD$15+1,"m"),)/12,)-1,)*Index!AZ$23*(BD$15&lt;=$J55)*(1-BD$12)</f>
        <v>0</v>
      </c>
      <c r="BE55" s="747">
        <f>$G55*$H55*(1+$K55)^MAX(ROUNDUP(IFERROR(DATEDIF($I55-1,BE$15+1,"m"),)/12,)-1,)*Index!BA$23*(BE$15&lt;=$J55)*(1-BE$12)</f>
        <v>0</v>
      </c>
      <c r="BF55" s="747">
        <f>$G55*$H55*(1+$K55)^MAX(ROUNDUP(IFERROR(DATEDIF($I55-1,BF$15+1,"m"),)/12,)-1,)*Index!BB$23*(BF$15&lt;=$J55)*(1-BF$12)</f>
        <v>0</v>
      </c>
      <c r="BG55" s="747">
        <f>$G55*$H55*(1+$K55)^MAX(ROUNDUP(IFERROR(DATEDIF($I55-1,BG$15+1,"m"),)/12,)-1,)*Index!BC$23*(BG$15&lt;=$J55)*(1-BG$12)</f>
        <v>0</v>
      </c>
      <c r="BH55" s="747">
        <f>$G55*$H55*(1+$K55)^MAX(ROUNDUP(IFERROR(DATEDIF($I55-1,BH$15+1,"m"),)/12,)-1,)*Index!BD$23*(BH$15&lt;=$J55)*(1-BH$12)</f>
        <v>0</v>
      </c>
      <c r="BI55" s="747">
        <f>$G55*$H55*(1+$K55)^MAX(ROUNDUP(IFERROR(DATEDIF($I55-1,BI$15+1,"m"),)/12,)-1,)*Index!BE$23*(BI$15&lt;=$J55)*(1-BI$12)</f>
        <v>0</v>
      </c>
      <c r="BJ55" s="747">
        <f>$G55*$H55*(1+$K55)^MAX(ROUNDUP(IFERROR(DATEDIF($I55-1,BJ$15+1,"m"),)/12,)-1,)*Index!BF$23*(BJ$15&lt;=$J55)*(1-BJ$12)</f>
        <v>0</v>
      </c>
      <c r="BK55" s="747">
        <f>$G55*$H55*(1+$K55)^MAX(ROUNDUP(IFERROR(DATEDIF($I55-1,BK$15+1,"m"),)/12,)-1,)*Index!BG$23*(BK$15&lt;=$J55)*(1-BK$12)</f>
        <v>0</v>
      </c>
      <c r="BL55" s="747">
        <f>$G55*$H55*(1+$K55)^MAX(ROUNDUP(IFERROR(DATEDIF($I55-1,BL$15+1,"m"),)/12,)-1,)*Index!BH$23*(BL$15&lt;=$J55)*(1-BL$12)</f>
        <v>0</v>
      </c>
      <c r="BM55" s="747">
        <f>$G55*$H55*(1+$K55)^MAX(ROUNDUP(IFERROR(DATEDIF($I55-1,BM$15+1,"m"),)/12,)-1,)*Index!BI$23*(BM$15&lt;=$J55)*(1-BM$12)</f>
        <v>0</v>
      </c>
      <c r="BN55" s="747">
        <f>$G55*$H55*(1+$K55)^MAX(ROUNDUP(IFERROR(DATEDIF($I55-1,BN$15+1,"m"),)/12,)-1,)*Index!BJ$23*(BN$15&lt;=$J55)*(1-BN$12)</f>
        <v>0</v>
      </c>
      <c r="BO55" s="747">
        <f>$G55*$H55*(1+$K55)^MAX(ROUNDUP(IFERROR(DATEDIF($I55-1,BO$15+1,"m"),)/12,)-1,)*Index!BK$23*(BO$15&lt;=$J55)*(1-BO$12)</f>
        <v>0</v>
      </c>
      <c r="BP55" s="747">
        <f>$G55*$H55*(1+$K55)^MAX(ROUNDUP(IFERROR(DATEDIF($I55-1,BP$15+1,"m"),)/12,)-1,)*Index!BL$23*(BP$15&lt;=$J55)*(1-BP$12)</f>
        <v>0</v>
      </c>
      <c r="BQ55" s="747">
        <f>$G55*$H55*(1+$K55)^MAX(ROUNDUP(IFERROR(DATEDIF($I55-1,BQ$15+1,"m"),)/12,)-1,)*Index!BM$23*(BQ$15&lt;=$J55)*(1-BQ$12)</f>
        <v>0</v>
      </c>
      <c r="BR55" s="747">
        <f>$G55*$H55*(1+$K55)^MAX(ROUNDUP(IFERROR(DATEDIF($I55-1,BR$15+1,"m"),)/12,)-1,)*Index!BN$23*(BR$15&lt;=$J55)*(1-BR$12)</f>
        <v>0</v>
      </c>
      <c r="BS55" s="747">
        <f>$G55*$H55*(1+$K55)^MAX(ROUNDUP(IFERROR(DATEDIF($I55-1,BS$15+1,"m"),)/12,)-1,)*Index!BO$23*(BS$15&lt;=$J55)*(1-BS$12)</f>
        <v>0</v>
      </c>
      <c r="BT55" s="747">
        <f>$G55*$H55*(1+$K55)^MAX(ROUNDUP(IFERROR(DATEDIF($I55-1,BT$15+1,"m"),)/12,)-1,)*Index!BP$23*(BT$15&lt;=$J55)*(1-BT$12)</f>
        <v>0</v>
      </c>
      <c r="BU55" s="747">
        <f>$G55*$H55*(1+$K55)^MAX(ROUNDUP(IFERROR(DATEDIF($I55-1,BU$15+1,"m"),)/12,)-1,)*Index!BQ$23*(BU$15&lt;=$J55)*(1-BU$12)</f>
        <v>0</v>
      </c>
      <c r="BV55" s="747">
        <f>$G55*$H55*(1+$K55)^MAX(ROUNDUP(IFERROR(DATEDIF($I55-1,BV$15+1,"m"),)/12,)-1,)*Index!BR$23*(BV$15&lt;=$J55)*(1-BV$12)</f>
        <v>0</v>
      </c>
      <c r="BW55" s="747">
        <f>$G55*$H55*(1+$K55)^MAX(ROUNDUP(IFERROR(DATEDIF($I55-1,BW$15+1,"m"),)/12,)-1,)*Index!BS$23*(BW$15&lt;=$J55)*(1-BW$12)</f>
        <v>0</v>
      </c>
      <c r="BX55" s="747">
        <f>$G55*$H55*(1+$K55)^MAX(ROUNDUP(IFERROR(DATEDIF($I55-1,BX$15+1,"m"),)/12,)-1,)*Index!BT$23*(BX$15&lt;=$J55)*(1-BX$12)</f>
        <v>0</v>
      </c>
      <c r="BY55" s="747">
        <f>$G55*$H55*(1+$K55)^MAX(ROUNDUP(IFERROR(DATEDIF($I55-1,BY$15+1,"m"),)/12,)-1,)*Index!BU$23*(BY$15&lt;=$J55)*(1-BY$12)</f>
        <v>0</v>
      </c>
      <c r="BZ55" s="747">
        <f>$G55*$H55*(1+$K55)^MAX(ROUNDUP(IFERROR(DATEDIF($I55-1,BZ$15+1,"m"),)/12,)-1,)*Index!BV$23*(BZ$15&lt;=$J55)*(1-BZ$12)</f>
        <v>0</v>
      </c>
      <c r="CA55" s="747">
        <f>$G55*$H55*(1+$K55)^MAX(ROUNDUP(IFERROR(DATEDIF($I55-1,CA$15+1,"m"),)/12,)-1,)*Index!BW$23*(CA$15&lt;=$J55)*(1-CA$12)</f>
        <v>0</v>
      </c>
      <c r="CB55" s="747">
        <f>$G55*$H55*(1+$K55)^MAX(ROUNDUP(IFERROR(DATEDIF($I55-1,CB$15+1,"m"),)/12,)-1,)*Index!BX$23*(CB$15&lt;=$J55)*(1-CB$12)</f>
        <v>0</v>
      </c>
      <c r="CC55" s="747">
        <f>$G55*$H55*(1+$K55)^MAX(ROUNDUP(IFERROR(DATEDIF($I55-1,CC$15+1,"m"),)/12,)-1,)*Index!BY$23*(CC$15&lt;=$J55)*(1-CC$12)</f>
        <v>0</v>
      </c>
      <c r="CD55" s="747">
        <f>$G55*$H55*(1+$K55)^MAX(ROUNDUP(IFERROR(DATEDIF($I55-1,CD$15+1,"m"),)/12,)-1,)*Index!BZ$23*(CD$15&lt;=$J55)*(1-CD$12)</f>
        <v>0</v>
      </c>
      <c r="CE55" s="747">
        <f>$G55*$H55*(1+$K55)^MAX(ROUNDUP(IFERROR(DATEDIF($I55-1,CE$15+1,"m"),)/12,)-1,)*Index!CA$23*(CE$15&lt;=$J55)*(1-CE$12)</f>
        <v>0</v>
      </c>
      <c r="CF55" s="747">
        <f>$G55*$H55*(1+$K55)^MAX(ROUNDUP(IFERROR(DATEDIF($I55-1,CF$15+1,"m"),)/12,)-1,)*Index!CB$23*(CF$15&lt;=$J55)*(1-CF$12)</f>
        <v>0</v>
      </c>
      <c r="CG55" s="747">
        <f>$G55*$H55*(1+$K55)^MAX(ROUNDUP(IFERROR(DATEDIF($I55-1,CG$15+1,"m"),)/12,)-1,)*Index!CC$23*(CG$15&lt;=$J55)*(1-CG$12)</f>
        <v>0</v>
      </c>
      <c r="CH55" s="747">
        <f>$G55*$H55*(1+$K55)^MAX(ROUNDUP(IFERROR(DATEDIF($I55-1,CH$15+1,"m"),)/12,)-1,)*Index!CD$23*(CH$15&lt;=$J55)*(1-CH$12)</f>
        <v>0</v>
      </c>
      <c r="CI55" s="747">
        <f>$G55*$H55*(1+$K55)^MAX(ROUNDUP(IFERROR(DATEDIF($I55-1,CI$15+1,"m"),)/12,)-1,)*Index!CE$23*(CI$15&lt;=$J55)*(1-CI$12)</f>
        <v>0</v>
      </c>
      <c r="CJ55" s="747">
        <f>$G55*$H55*(1+$K55)^MAX(ROUNDUP(IFERROR(DATEDIF($I55-1,CJ$15+1,"m"),)/12,)-1,)*Index!CF$23*(CJ$15&lt;=$J55)*(1-CJ$12)</f>
        <v>0</v>
      </c>
      <c r="CK55" s="747">
        <f>$G55*$H55*(1+$K55)^MAX(ROUNDUP(IFERROR(DATEDIF($I55-1,CK$15+1,"m"),)/12,)-1,)*Index!CG$23*(CK$15&lt;=$J55)*(1-CK$12)</f>
        <v>0</v>
      </c>
      <c r="CL55" s="747">
        <f>$G55*$H55*(1+$K55)^MAX(ROUNDUP(IFERROR(DATEDIF($I55-1,CL$15+1,"m"),)/12,)-1,)*Index!CH$23*(CL$15&lt;=$J55)*(1-CL$12)</f>
        <v>0</v>
      </c>
      <c r="CM55" s="747">
        <f>$G55*$H55*(1+$K55)^MAX(ROUNDUP(IFERROR(DATEDIF($I55-1,CM$15+1,"m"),)/12,)-1,)*Index!CI$23*(CM$15&lt;=$J55)*(1-CM$12)</f>
        <v>0</v>
      </c>
      <c r="CN55" s="747">
        <f>$G55*$H55*(1+$K55)^MAX(ROUNDUP(IFERROR(DATEDIF($I55-1,CN$15+1,"m"),)/12,)-1,)*Index!CJ$23*(CN$15&lt;=$J55)*(1-CN$12)</f>
        <v>0</v>
      </c>
      <c r="CO55" s="747">
        <f>$G55*$H55*(1+$K55)^MAX(ROUNDUP(IFERROR(DATEDIF($I55-1,CO$15+1,"m"),)/12,)-1,)*Index!CK$23*(CO$15&lt;=$J55)*(1-CO$12)</f>
        <v>0</v>
      </c>
      <c r="CP55" s="747">
        <f>$G55*$H55*(1+$K55)^MAX(ROUNDUP(IFERROR(DATEDIF($I55-1,CP$15+1,"m"),)/12,)-1,)*Index!CL$23*(CP$15&lt;=$J55)*(1-CP$12)</f>
        <v>0</v>
      </c>
      <c r="CQ55" s="747">
        <f>$G55*$H55*(1+$K55)^MAX(ROUNDUP(IFERROR(DATEDIF($I55-1,CQ$15+1,"m"),)/12,)-1,)*Index!CM$23*(CQ$15&lt;=$J55)*(1-CQ$12)</f>
        <v>0</v>
      </c>
      <c r="CR55" s="747">
        <f>$G55*$H55*(1+$K55)^MAX(ROUNDUP(IFERROR(DATEDIF($I55-1,CR$15+1,"m"),)/12,)-1,)*Index!CN$23*(CR$15&lt;=$J55)*(1-CR$12)</f>
        <v>0</v>
      </c>
      <c r="CS55" s="747">
        <f>$G55*$H55*(1+$K55)^MAX(ROUNDUP(IFERROR(DATEDIF($I55-1,CS$15+1,"m"),)/12,)-1,)*Index!CO$23*(CS$15&lt;=$J55)*(1-CS$12)</f>
        <v>0</v>
      </c>
      <c r="CT55" s="747">
        <f>$G55*$H55*(1+$K55)^MAX(ROUNDUP(IFERROR(DATEDIF($I55-1,CT$15+1,"m"),)/12,)-1,)*Index!CP$23*(CT$15&lt;=$J55)*(1-CT$12)</f>
        <v>0</v>
      </c>
      <c r="CU55" s="747">
        <f>$G55*$H55*(1+$K55)^MAX(ROUNDUP(IFERROR(DATEDIF($I55-1,CU$15+1,"m"),)/12,)-1,)*Index!CQ$23*(CU$15&lt;=$J55)*(1-CU$12)</f>
        <v>0</v>
      </c>
      <c r="CV55" s="747">
        <f>$G55*$H55*(1+$K55)^MAX(ROUNDUP(IFERROR(DATEDIF($I55-1,CV$15+1,"m"),)/12,)-1,)*Index!CR$23*(CV$15&lt;=$J55)*(1-CV$12)</f>
        <v>0</v>
      </c>
      <c r="CW55" s="747">
        <f>$G55*$H55*(1+$K55)^MAX(ROUNDUP(IFERROR(DATEDIF($I55-1,CW$15+1,"m"),)/12,)-1,)*Index!CS$23*(CW$15&lt;=$J55)*(1-CW$12)</f>
        <v>0</v>
      </c>
      <c r="CX55" s="747">
        <f>$G55*$H55*(1+$K55)^MAX(ROUNDUP(IFERROR(DATEDIF($I55-1,CX$15+1,"m"),)/12,)-1,)*Index!CT$23*(CX$15&lt;=$J55)*(1-CX$12)</f>
        <v>0</v>
      </c>
      <c r="CY55" s="747">
        <f>$G55*$H55*(1+$K55)^MAX(ROUNDUP(IFERROR(DATEDIF($I55-1,CY$15+1,"m"),)/12,)-1,)*Index!CU$23*(CY$15&lt;=$J55)*(1-CY$12)</f>
        <v>0</v>
      </c>
      <c r="CZ55" s="747">
        <f>$G55*$H55*(1+$K55)^MAX(ROUNDUP(IFERROR(DATEDIF($I55-1,CZ$15+1,"m"),)/12,)-1,)*Index!CV$23*(CZ$15&lt;=$J55)*(1-CZ$12)</f>
        <v>0</v>
      </c>
      <c r="DA55" s="747">
        <f>$G55*$H55*(1+$K55)^MAX(ROUNDUP(IFERROR(DATEDIF($I55-1,DA$15+1,"m"),)/12,)-1,)*Index!CW$23*(DA$15&lt;=$J55)*(1-DA$12)</f>
        <v>0</v>
      </c>
      <c r="DB55" s="747">
        <f>$G55*$H55*(1+$K55)^MAX(ROUNDUP(IFERROR(DATEDIF($I55-1,DB$15+1,"m"),)/12,)-1,)*Index!CX$23*(DB$15&lt;=$J55)*(1-DB$12)</f>
        <v>0</v>
      </c>
      <c r="DC55" s="747">
        <f>$G55*$H55*(1+$K55)^MAX(ROUNDUP(IFERROR(DATEDIF($I55-1,DC$15+1,"m"),)/12,)-1,)*Index!CY$23*(DC$15&lt;=$J55)*(1-DC$12)</f>
        <v>0</v>
      </c>
      <c r="DD55" s="747">
        <f>$G55*$H55*(1+$K55)^MAX(ROUNDUP(IFERROR(DATEDIF($I55-1,DD$15+1,"m"),)/12,)-1,)*Index!CZ$23*(DD$15&lt;=$J55)*(1-DD$12)</f>
        <v>0</v>
      </c>
      <c r="DE55" s="747">
        <f>$G55*$H55*(1+$K55)^MAX(ROUNDUP(IFERROR(DATEDIF($I55-1,DE$15+1,"m"),)/12,)-1,)*Index!DA$23*(DE$15&lt;=$J55)*(1-DE$12)</f>
        <v>0</v>
      </c>
      <c r="DF55" s="747">
        <f>$G55*$H55*(1+$K55)^MAX(ROUNDUP(IFERROR(DATEDIF($I55-1,DF$15+1,"m"),)/12,)-1,)*Index!DB$23*(DF$15&lt;=$J55)*(1-DF$12)</f>
        <v>0</v>
      </c>
      <c r="DG55" s="747">
        <f>$G55*$H55*(1+$K55)^MAX(ROUNDUP(IFERROR(DATEDIF($I55-1,DG$15+1,"m"),)/12,)-1,)*Index!DC$23*(DG$15&lt;=$J55)*(1-DG$12)</f>
        <v>0</v>
      </c>
      <c r="DH55" s="747">
        <f>$G55*$H55*(1+$K55)^MAX(ROUNDUP(IFERROR(DATEDIF($I55-1,DH$15+1,"m"),)/12,)-1,)*Index!DD$23*(DH$15&lt;=$J55)*(1-DH$12)</f>
        <v>0</v>
      </c>
      <c r="DI55" s="747">
        <f>$G55*$H55*(1+$K55)^MAX(ROUNDUP(IFERROR(DATEDIF($I55-1,DI$15+1,"m"),)/12,)-1,)*Index!DE$23*(DI$15&lt;=$J55)*(1-DI$12)</f>
        <v>0</v>
      </c>
      <c r="DJ55" s="747">
        <f>$G55*$H55*(1+$K55)^MAX(ROUNDUP(IFERROR(DATEDIF($I55-1,DJ$15+1,"m"),)/12,)-1,)*Index!DF$23*(DJ$15&lt;=$J55)*(1-DJ$12)</f>
        <v>0</v>
      </c>
      <c r="DK55" s="747">
        <f>$G55*$H55*(1+$K55)^MAX(ROUNDUP(IFERROR(DATEDIF($I55-1,DK$15+1,"m"),)/12,)-1,)*Index!DG$23*(DK$15&lt;=$J55)*(1-DK$12)</f>
        <v>0</v>
      </c>
      <c r="DL55" s="747">
        <f>$G55*$H55*(1+$K55)^MAX(ROUNDUP(IFERROR(DATEDIF($I55-1,DL$15+1,"m"),)/12,)-1,)*Index!DH$23*(DL$15&lt;=$J55)*(1-DL$12)</f>
        <v>0</v>
      </c>
      <c r="DM55" s="747">
        <f>$G55*$H55*(1+$K55)^MAX(ROUNDUP(IFERROR(DATEDIF($I55-1,DM$15+1,"m"),)/12,)-1,)*Index!DI$23*(DM$15&lt;=$J55)*(1-DM$12)</f>
        <v>0</v>
      </c>
      <c r="DN55" s="747">
        <f>$G55*$H55*(1+$K55)^MAX(ROUNDUP(IFERROR(DATEDIF($I55-1,DN$15+1,"m"),)/12,)-1,)*Index!DJ$23*(DN$15&lt;=$J55)*(1-DN$12)</f>
        <v>0</v>
      </c>
      <c r="DO55" s="747">
        <f>$G55*$H55*(1+$K55)^MAX(ROUNDUP(IFERROR(DATEDIF($I55-1,DO$15+1,"m"),)/12,)-1,)*Index!DK$23*(DO$15&lt;=$J55)*(1-DO$12)</f>
        <v>0</v>
      </c>
      <c r="DP55" s="747">
        <f>$G55*$H55*(1+$K55)^MAX(ROUNDUP(IFERROR(DATEDIF($I55-1,DP$15+1,"m"),)/12,)-1,)*Index!DL$23*(DP$15&lt;=$J55)*(1-DP$12)</f>
        <v>0</v>
      </c>
      <c r="DQ55" s="747">
        <f>$G55*$H55*(1+$K55)^MAX(ROUNDUP(IFERROR(DATEDIF($I55-1,DQ$15+1,"m"),)/12,)-1,)*Index!DM$23*(DQ$15&lt;=$J55)*(1-DQ$12)</f>
        <v>0</v>
      </c>
      <c r="DR55" s="747">
        <f>$G55*$H55*(1+$K55)^MAX(ROUNDUP(IFERROR(DATEDIF($I55-1,DR$15+1,"m"),)/12,)-1,)*Index!DN$23*(DR$15&lt;=$J55)*(1-DR$12)</f>
        <v>0</v>
      </c>
      <c r="DS55" s="747">
        <f>$G55*$H55*(1+$K55)^MAX(ROUNDUP(IFERROR(DATEDIF($I55-1,DS$15+1,"m"),)/12,)-1,)*Index!DO$23*(DS$15&lt;=$J55)*(1-DS$12)</f>
        <v>0</v>
      </c>
      <c r="DT55" s="747">
        <f>$G55*$H55*(1+$K55)^MAX(ROUNDUP(IFERROR(DATEDIF($I55-1,DT$15+1,"m"),)/12,)-1,)*Index!DP$23*(DT$15&lt;=$J55)*(1-DT$12)</f>
        <v>0</v>
      </c>
      <c r="DU55" s="747">
        <f>$G55*$H55*(1+$K55)^MAX(ROUNDUP(IFERROR(DATEDIF($I55-1,DU$15+1,"m"),)/12,)-1,)*Index!DQ$23*(DU$15&lt;=$J55)*(1-DU$12)</f>
        <v>0</v>
      </c>
      <c r="DV55" s="747">
        <f>$G55*$H55*(1+$K55)^MAX(ROUNDUP(IFERROR(DATEDIF($I55-1,DV$15+1,"m"),)/12,)-1,)*Index!DR$23*(DV$15&lt;=$J55)*(1-DV$12)</f>
        <v>0</v>
      </c>
      <c r="DW55" s="747">
        <f>$G55*$H55*(1+$K55)^MAX(ROUNDUP(IFERROR(DATEDIF($I55-1,DW$15+1,"m"),)/12,)-1,)*Index!DS$23*(DW$15&lt;=$J55)*(1-DW$12)</f>
        <v>0</v>
      </c>
      <c r="DX55" s="747">
        <f>$G55*$H55*(1+$K55)^MAX(ROUNDUP(IFERROR(DATEDIF($I55-1,DX$15+1,"m"),)/12,)-1,)*Index!DT$23*(DX$15&lt;=$J55)*(1-DX$12)</f>
        <v>0</v>
      </c>
      <c r="DY55" s="747">
        <f>$G55*$H55*(1+$K55)^MAX(ROUNDUP(IFERROR(DATEDIF($I55-1,DY$15+1,"m"),)/12,)-1,)*Index!DU$23*(DY$15&lt;=$J55)*(1-DY$12)</f>
        <v>0</v>
      </c>
      <c r="DZ55" s="747">
        <f>$G55*$H55*(1+$K55)^MAX(ROUNDUP(IFERROR(DATEDIF($I55-1,DZ$15+1,"m"),)/12,)-1,)*Index!DV$23*(DZ$15&lt;=$J55)*(1-DZ$12)</f>
        <v>0</v>
      </c>
      <c r="EA55" s="747">
        <f>$G55*$H55*(1+$K55)^MAX(ROUNDUP(IFERROR(DATEDIF($I55-1,EA$15+1,"m"),)/12,)-1,)*Index!DW$23*(EA$15&lt;=$J55)*(1-EA$12)</f>
        <v>0</v>
      </c>
      <c r="EB55" s="747">
        <f>$G55*$H55*(1+$K55)^MAX(ROUNDUP(IFERROR(DATEDIF($I55-1,EB$15+1,"m"),)/12,)-1,)*Index!DX$23*(EB$15&lt;=$J55)*(1-EB$12)</f>
        <v>0</v>
      </c>
      <c r="EC55" s="747">
        <f>$G55*$H55*(1+$K55)^MAX(ROUNDUP(IFERROR(DATEDIF($I55-1,EC$15+1,"m"),)/12,)-1,)*Index!DY$23*(EC$15&lt;=$J55)*(1-EC$12)</f>
        <v>0</v>
      </c>
      <c r="ED55" s="747">
        <f>$G55*$H55*(1+$K55)^MAX(ROUNDUP(IFERROR(DATEDIF($I55-1,ED$15+1,"m"),)/12,)-1,)*Index!DZ$23*(ED$15&lt;=$J55)*(1-ED$12)</f>
        <v>0</v>
      </c>
      <c r="EE55" s="747">
        <f>$G55*$H55*(1+$K55)^MAX(ROUNDUP(IFERROR(DATEDIF($I55-1,EE$15+1,"m"),)/12,)-1,)*Index!EA$23*(EE$15&lt;=$J55)*(1-EE$12)</f>
        <v>0</v>
      </c>
      <c r="EF55" s="747">
        <f>$G55*$H55*(1+$K55)^MAX(ROUNDUP(IFERROR(DATEDIF($I55-1,EF$15+1,"m"),)/12,)-1,)*Index!EB$23*(EF$15&lt;=$J55)*(1-EF$12)</f>
        <v>0</v>
      </c>
      <c r="EG55" s="747">
        <f>$G55*$H55*(1+$K55)^MAX(ROUNDUP(IFERROR(DATEDIF($I55-1,EG$15+1,"m"),)/12,)-1,)*Index!EC$23*(EG$15&lt;=$J55)*(1-EG$12)</f>
        <v>0</v>
      </c>
      <c r="EH55" s="747">
        <f>$G55*$H55*(1+$K55)^MAX(ROUNDUP(IFERROR(DATEDIF($I55-1,EH$15+1,"m"),)/12,)-1,)*Index!ED$23*(EH$15&lt;=$J55)*(1-EH$12)</f>
        <v>0</v>
      </c>
      <c r="EI55" s="747">
        <f>$G55*$H55*(1+$K55)^MAX(ROUNDUP(IFERROR(DATEDIF($I55-1,EI$15+1,"m"),)/12,)-1,)*Index!EE$23*(EI$15&lt;=$J55)*(1-EI$12)</f>
        <v>0</v>
      </c>
      <c r="EJ55" s="747">
        <f>$G55*$H55*(1+$K55)^MAX(ROUNDUP(IFERROR(DATEDIF($I55-1,EJ$15+1,"m"),)/12,)-1,)*Index!EF$23*(EJ$15&lt;=$J55)*(1-EJ$12)</f>
        <v>0</v>
      </c>
      <c r="EK55" s="747">
        <f>$G55*$H55*(1+$K55)^MAX(ROUNDUP(IFERROR(DATEDIF($I55-1,EK$15+1,"m"),)/12,)-1,)*Index!EG$23*(EK$15&lt;=$J55)*(1-EK$12)</f>
        <v>0</v>
      </c>
      <c r="EL55" s="747">
        <f>$G55*$H55*(1+$K55)^MAX(ROUNDUP(IFERROR(DATEDIF($I55-1,EL$15+1,"m"),)/12,)-1,)*Index!EH$23*(EL$15&lt;=$J55)*(1-EL$12)</f>
        <v>0</v>
      </c>
      <c r="EM55" s="747">
        <f>$G55*$H55*(1+$K55)^MAX(ROUNDUP(IFERROR(DATEDIF($I55-1,EM$15+1,"m"),)/12,)-1,)*Index!EI$23*(EM$15&lt;=$J55)*(1-EM$12)</f>
        <v>0</v>
      </c>
      <c r="EN55" s="747">
        <f>$G55*$H55*(1+$K55)^MAX(ROUNDUP(IFERROR(DATEDIF($I55-1,EN$15+1,"m"),)/12,)-1,)*Index!EJ$23*(EN$15&lt;=$J55)*(1-EN$12)</f>
        <v>0</v>
      </c>
      <c r="EO55" s="747">
        <f>$G55*$H55*(1+$K55)^MAX(ROUNDUP(IFERROR(DATEDIF($I55-1,EO$15+1,"m"),)/12,)-1,)*Index!EK$23*(EO$15&lt;=$J55)*(1-EO$12)</f>
        <v>0</v>
      </c>
      <c r="EP55" s="747">
        <f>$G55*$H55*(1+$K55)^MAX(ROUNDUP(IFERROR(DATEDIF($I55-1,EP$15+1,"m"),)/12,)-1,)*Index!EL$23*(EP$15&lt;=$J55)*(1-EP$12)</f>
        <v>0</v>
      </c>
      <c r="EQ55" s="747">
        <f>$G55*$H55*(1+$K55)^MAX(ROUNDUP(IFERROR(DATEDIF($I55-1,EQ$15+1,"m"),)/12,)-1,)*Index!EM$23*(EQ$15&lt;=$J55)*(1-EQ$12)</f>
        <v>0</v>
      </c>
      <c r="ER55" s="747">
        <f>$G55*$H55*(1+$K55)^MAX(ROUNDUP(IFERROR(DATEDIF($I55-1,ER$15+1,"m"),)/12,)-1,)*Index!EN$23*(ER$15&lt;=$J55)*(1-ER$12)</f>
        <v>0</v>
      </c>
      <c r="ES55" s="747">
        <f>$G55*$H55*(1+$K55)^MAX(ROUNDUP(IFERROR(DATEDIF($I55-1,ES$15+1,"m"),)/12,)-1,)*Index!EO$23*(ES$15&lt;=$J55)*(1-ES$12)</f>
        <v>0</v>
      </c>
      <c r="ET55" s="747">
        <f>$G55*$H55*(1+$K55)^MAX(ROUNDUP(IFERROR(DATEDIF($I55-1,ET$15+1,"m"),)/12,)-1,)*Index!EP$23*(ET$15&lt;=$J55)*(1-ET$12)</f>
        <v>0</v>
      </c>
      <c r="EU55" s="747">
        <f>$G55*$H55*(1+$K55)^MAX(ROUNDUP(IFERROR(DATEDIF($I55-1,EU$15+1,"m"),)/12,)-1,)*Index!EQ$23*(EU$15&lt;=$J55)*(1-EU$12)</f>
        <v>0</v>
      </c>
    </row>
    <row r="56" spans="3:151" ht="11.25" customHeight="1">
      <c r="C56" s="828"/>
      <c r="D56" s="743">
        <f t="shared" ref="D56:K56" si="23">D20</f>
        <v>8</v>
      </c>
      <c r="E56" s="704" t="str">
        <f t="shared" si="23"/>
        <v>키즈밀</v>
      </c>
      <c r="F56" s="704" t="str">
        <f t="shared" si="23"/>
        <v>근린생활시설</v>
      </c>
      <c r="G56" s="752">
        <f t="shared" si="23"/>
        <v>40</v>
      </c>
      <c r="H56" s="744">
        <f t="shared" si="23"/>
        <v>479.38</v>
      </c>
      <c r="I56" s="745">
        <f t="shared" si="23"/>
        <v>45658</v>
      </c>
      <c r="J56" s="745">
        <f t="shared" si="23"/>
        <v>47483</v>
      </c>
      <c r="K56" s="754">
        <f t="shared" si="23"/>
        <v>2.5000000000000001E-2</v>
      </c>
      <c r="L56" s="746"/>
      <c r="M56" s="722"/>
      <c r="N56" s="747">
        <f t="shared" si="21"/>
        <v>0</v>
      </c>
      <c r="O56" s="733"/>
      <c r="P56" s="747">
        <f>$G56*$H56*(1+$K56)^MAX(ROUNDUP(IFERROR(DATEDIF($I56-1,P$15+1,"m"),)/12,)-1,)*Index!L$23*(P$15&lt;=$J56)*(1-P$12)</f>
        <v>0</v>
      </c>
      <c r="Q56" s="747">
        <f>$G56*$H56*(1+$K56)^MAX(ROUNDUP(IFERROR(DATEDIF($I56-1,Q$15+1,"m"),)/12,)-1,)*Index!M$23*(Q$15&lt;=$J56)*(1-Q$12)</f>
        <v>0</v>
      </c>
      <c r="R56" s="747">
        <f>$G56*$H56*(1+$K56)^MAX(ROUNDUP(IFERROR(DATEDIF($I56-1,R$15+1,"m"),)/12,)-1,)*Index!N$23*(R$15&lt;=$J56)*(1-R$12)</f>
        <v>0</v>
      </c>
      <c r="S56" s="747">
        <f>$G56*$H56*(1+$K56)^MAX(ROUNDUP(IFERROR(DATEDIF($I56-1,S$15+1,"m"),)/12,)-1,)*Index!O$23*(S$15&lt;=$J56)*(1-S$12)</f>
        <v>0</v>
      </c>
      <c r="T56" s="747">
        <f>$G56*$H56*(1+$K56)^MAX(ROUNDUP(IFERROR(DATEDIF($I56-1,T$15+1,"m"),)/12,)-1,)*Index!P$23*(T$15&lt;=$J56)*(1-T$12)</f>
        <v>0</v>
      </c>
      <c r="U56" s="747">
        <f>$G56*$H56*(1+$K56)^MAX(ROUNDUP(IFERROR(DATEDIF($I56-1,U$15+1,"m"),)/12,)-1,)*Index!Q$23*(U$15&lt;=$J56)*(1-U$12)</f>
        <v>0</v>
      </c>
      <c r="V56" s="747">
        <f>$G56*$H56*(1+$K56)^MAX(ROUNDUP(IFERROR(DATEDIF($I56-1,V$15+1,"m"),)/12,)-1,)*Index!R$23*(V$15&lt;=$J56)*(1-V$12)</f>
        <v>0</v>
      </c>
      <c r="W56" s="747">
        <f>$G56*$H56*(1+$K56)^MAX(ROUNDUP(IFERROR(DATEDIF($I56-1,W$15+1,"m"),)/12,)-1,)*Index!S$23*(W$15&lt;=$J56)*(1-W$12)</f>
        <v>0</v>
      </c>
      <c r="X56" s="747">
        <f>$G56*$H56*(1+$K56)^MAX(ROUNDUP(IFERROR(DATEDIF($I56-1,X$15+1,"m"),)/12,)-1,)*Index!T$23*(X$15&lt;=$J56)*(1-X$12)</f>
        <v>0</v>
      </c>
      <c r="Y56" s="747">
        <f>$G56*$H56*(1+$K56)^MAX(ROUNDUP(IFERROR(DATEDIF($I56-1,Y$15+1,"m"),)/12,)-1,)*Index!U$23*(Y$15&lt;=$J56)*(1-Y$12)</f>
        <v>0</v>
      </c>
      <c r="Z56" s="747">
        <f>$G56*$H56*(1+$K56)^MAX(ROUNDUP(IFERROR(DATEDIF($I56-1,Z$15+1,"m"),)/12,)-1,)*Index!V$23*(Z$15&lt;=$J56)*(1-Z$12)</f>
        <v>0</v>
      </c>
      <c r="AA56" s="747">
        <f>$G56*$H56*(1+$K56)^MAX(ROUNDUP(IFERROR(DATEDIF($I56-1,AA$15+1,"m"),)/12,)-1,)*Index!W$23*(AA$15&lt;=$J56)*(1-AA$12)</f>
        <v>0</v>
      </c>
      <c r="AB56" s="747">
        <f>$G56*$H56*(1+$K56)^MAX(ROUNDUP(IFERROR(DATEDIF($I56-1,AB$15+1,"m"),)/12,)-1,)*Index!X$23*(AB$15&lt;=$J56)*(1-AB$12)</f>
        <v>0</v>
      </c>
      <c r="AC56" s="747">
        <f>$G56*$H56*(1+$K56)^MAX(ROUNDUP(IFERROR(DATEDIF($I56-1,AC$15+1,"m"),)/12,)-1,)*Index!Y$23*(AC$15&lt;=$J56)*(1-AC$12)</f>
        <v>0</v>
      </c>
      <c r="AD56" s="747">
        <f>$G56*$H56*(1+$K56)^MAX(ROUNDUP(IFERROR(DATEDIF($I56-1,AD$15+1,"m"),)/12,)-1,)*Index!Z$23*(AD$15&lt;=$J56)*(1-AD$12)</f>
        <v>0</v>
      </c>
      <c r="AE56" s="747">
        <f>$G56*$H56*(1+$K56)^MAX(ROUNDUP(IFERROR(DATEDIF($I56-1,AE$15+1,"m"),)/12,)-1,)*Index!AA$23*(AE$15&lt;=$J56)*(1-AE$12)</f>
        <v>0</v>
      </c>
      <c r="AF56" s="747">
        <f>$G56*$H56*(1+$K56)^MAX(ROUNDUP(IFERROR(DATEDIF($I56-1,AF$15+1,"m"),)/12,)-1,)*Index!AB$23*(AF$15&lt;=$J56)*(1-AF$12)</f>
        <v>0</v>
      </c>
      <c r="AG56" s="747">
        <f>$G56*$H56*(1+$K56)^MAX(ROUNDUP(IFERROR(DATEDIF($I56-1,AG$15+1,"m"),)/12,)-1,)*Index!AC$23*(AG$15&lt;=$J56)*(1-AG$12)</f>
        <v>0</v>
      </c>
      <c r="AH56" s="747">
        <f>$G56*$H56*(1+$K56)^MAX(ROUNDUP(IFERROR(DATEDIF($I56-1,AH$15+1,"m"),)/12,)-1,)*Index!AD$23*(AH$15&lt;=$J56)*(1-AH$12)</f>
        <v>0</v>
      </c>
      <c r="AI56" s="747">
        <f>$G56*$H56*(1+$K56)^MAX(ROUNDUP(IFERROR(DATEDIF($I56-1,AI$15+1,"m"),)/12,)-1,)*Index!AE$23*(AI$15&lt;=$J56)*(1-AI$12)</f>
        <v>0</v>
      </c>
      <c r="AJ56" s="747">
        <f>$G56*$H56*(1+$K56)^MAX(ROUNDUP(IFERROR(DATEDIF($I56-1,AJ$15+1,"m"),)/12,)-1,)*Index!AF$23*(AJ$15&lt;=$J56)*(1-AJ$12)</f>
        <v>0</v>
      </c>
      <c r="AK56" s="747">
        <f>$G56*$H56*(1+$K56)^MAX(ROUNDUP(IFERROR(DATEDIF($I56-1,AK$15+1,"m"),)/12,)-1,)*Index!AG$23*(AK$15&lt;=$J56)*(1-AK$12)</f>
        <v>0</v>
      </c>
      <c r="AL56" s="747">
        <f>$G56*$H56*(1+$K56)^MAX(ROUNDUP(IFERROR(DATEDIF($I56-1,AL$15+1,"m"),)/12,)-1,)*Index!AH$23*(AL$15&lt;=$J56)*(1-AL$12)</f>
        <v>0</v>
      </c>
      <c r="AM56" s="747">
        <f>$G56*$H56*(1+$K56)^MAX(ROUNDUP(IFERROR(DATEDIF($I56-1,AM$15+1,"m"),)/12,)-1,)*Index!AI$23*(AM$15&lt;=$J56)*(1-AM$12)</f>
        <v>0</v>
      </c>
      <c r="AN56" s="747">
        <f>$G56*$H56*(1+$K56)^MAX(ROUNDUP(IFERROR(DATEDIF($I56-1,AN$15+1,"m"),)/12,)-1,)*Index!AJ$23*(AN$15&lt;=$J56)*(1-AN$12)</f>
        <v>0</v>
      </c>
      <c r="AO56" s="747">
        <f>$G56*$H56*(1+$K56)^MAX(ROUNDUP(IFERROR(DATEDIF($I56-1,AO$15+1,"m"),)/12,)-1,)*Index!AK$23*(AO$15&lt;=$J56)*(1-AO$12)</f>
        <v>0</v>
      </c>
      <c r="AP56" s="747">
        <f>$G56*$H56*(1+$K56)^MAX(ROUNDUP(IFERROR(DATEDIF($I56-1,AP$15+1,"m"),)/12,)-1,)*Index!AL$23*(AP$15&lt;=$J56)*(1-AP$12)</f>
        <v>0</v>
      </c>
      <c r="AQ56" s="747">
        <f>$G56*$H56*(1+$K56)^MAX(ROUNDUP(IFERROR(DATEDIF($I56-1,AQ$15+1,"m"),)/12,)-1,)*Index!AM$23*(AQ$15&lt;=$J56)*(1-AQ$12)</f>
        <v>0</v>
      </c>
      <c r="AR56" s="747">
        <f>$G56*$H56*(1+$K56)^MAX(ROUNDUP(IFERROR(DATEDIF($I56-1,AR$15+1,"m"),)/12,)-1,)*Index!AN$23*(AR$15&lt;=$J56)*(1-AR$12)</f>
        <v>0</v>
      </c>
      <c r="AS56" s="747">
        <f>$G56*$H56*(1+$K56)^MAX(ROUNDUP(IFERROR(DATEDIF($I56-1,AS$15+1,"m"),)/12,)-1,)*Index!AO$23*(AS$15&lt;=$J56)*(1-AS$12)</f>
        <v>0</v>
      </c>
      <c r="AT56" s="747">
        <f>$G56*$H56*(1+$K56)^MAX(ROUNDUP(IFERROR(DATEDIF($I56-1,AT$15+1,"m"),)/12,)-1,)*Index!AP$23*(AT$15&lt;=$J56)*(1-AT$12)</f>
        <v>0</v>
      </c>
      <c r="AU56" s="747">
        <f>$G56*$H56*(1+$K56)^MAX(ROUNDUP(IFERROR(DATEDIF($I56-1,AU$15+1,"m"),)/12,)-1,)*Index!AQ$23*(AU$15&lt;=$J56)*(1-AU$12)</f>
        <v>0</v>
      </c>
      <c r="AV56" s="747">
        <f>$G56*$H56*(1+$K56)^MAX(ROUNDUP(IFERROR(DATEDIF($I56-1,AV$15+1,"m"),)/12,)-1,)*Index!AR$23*(AV$15&lt;=$J56)*(1-AV$12)</f>
        <v>0</v>
      </c>
      <c r="AW56" s="747">
        <f>$G56*$H56*(1+$K56)^MAX(ROUNDUP(IFERROR(DATEDIF($I56-1,AW$15+1,"m"),)/12,)-1,)*Index!AS$23*(AW$15&lt;=$J56)*(1-AW$12)</f>
        <v>0</v>
      </c>
      <c r="AX56" s="747">
        <f>$G56*$H56*(1+$K56)^MAX(ROUNDUP(IFERROR(DATEDIF($I56-1,AX$15+1,"m"),)/12,)-1,)*Index!AT$23*(AX$15&lt;=$J56)*(1-AX$12)</f>
        <v>0</v>
      </c>
      <c r="AY56" s="747">
        <f>$G56*$H56*(1+$K56)^MAX(ROUNDUP(IFERROR(DATEDIF($I56-1,AY$15+1,"m"),)/12,)-1,)*Index!AU$23*(AY$15&lt;=$J56)*(1-AY$12)</f>
        <v>0</v>
      </c>
      <c r="AZ56" s="747">
        <f>$G56*$H56*(1+$K56)^MAX(ROUNDUP(IFERROR(DATEDIF($I56-1,AZ$15+1,"m"),)/12,)-1,)*Index!AV$23*(AZ$15&lt;=$J56)*(1-AZ$12)</f>
        <v>0</v>
      </c>
      <c r="BA56" s="747">
        <f>$G56*$H56*(1+$K56)^MAX(ROUNDUP(IFERROR(DATEDIF($I56-1,BA$15+1,"m"),)/12,)-1,)*Index!AW$23*(BA$15&lt;=$J56)*(1-BA$12)</f>
        <v>0</v>
      </c>
      <c r="BB56" s="747">
        <f>$G56*$H56*(1+$K56)^MAX(ROUNDUP(IFERROR(DATEDIF($I56-1,BB$15+1,"m"),)/12,)-1,)*Index!AX$23*(BB$15&lt;=$J56)*(1-BB$12)</f>
        <v>0</v>
      </c>
      <c r="BC56" s="747">
        <f>$G56*$H56*(1+$K56)^MAX(ROUNDUP(IFERROR(DATEDIF($I56-1,BC$15+1,"m"),)/12,)-1,)*Index!AY$23*(BC$15&lt;=$J56)*(1-BC$12)</f>
        <v>0</v>
      </c>
      <c r="BD56" s="747">
        <f>$G56*$H56*(1+$K56)^MAX(ROUNDUP(IFERROR(DATEDIF($I56-1,BD$15+1,"m"),)/12,)-1,)*Index!AZ$23*(BD$15&lt;=$J56)*(1-BD$12)</f>
        <v>0</v>
      </c>
      <c r="BE56" s="747">
        <f>$G56*$H56*(1+$K56)^MAX(ROUNDUP(IFERROR(DATEDIF($I56-1,BE$15+1,"m"),)/12,)-1,)*Index!BA$23*(BE$15&lt;=$J56)*(1-BE$12)</f>
        <v>0</v>
      </c>
      <c r="BF56" s="747">
        <f>$G56*$H56*(1+$K56)^MAX(ROUNDUP(IFERROR(DATEDIF($I56-1,BF$15+1,"m"),)/12,)-1,)*Index!BB$23*(BF$15&lt;=$J56)*(1-BF$12)</f>
        <v>0</v>
      </c>
      <c r="BG56" s="747">
        <f>$G56*$H56*(1+$K56)^MAX(ROUNDUP(IFERROR(DATEDIF($I56-1,BG$15+1,"m"),)/12,)-1,)*Index!BC$23*(BG$15&lt;=$J56)*(1-BG$12)</f>
        <v>0</v>
      </c>
      <c r="BH56" s="747">
        <f>$G56*$H56*(1+$K56)^MAX(ROUNDUP(IFERROR(DATEDIF($I56-1,BH$15+1,"m"),)/12,)-1,)*Index!BD$23*(BH$15&lt;=$J56)*(1-BH$12)</f>
        <v>0</v>
      </c>
      <c r="BI56" s="747">
        <f>$G56*$H56*(1+$K56)^MAX(ROUNDUP(IFERROR(DATEDIF($I56-1,BI$15+1,"m"),)/12,)-1,)*Index!BE$23*(BI$15&lt;=$J56)*(1-BI$12)</f>
        <v>0</v>
      </c>
      <c r="BJ56" s="747">
        <f>$G56*$H56*(1+$K56)^MAX(ROUNDUP(IFERROR(DATEDIF($I56-1,BJ$15+1,"m"),)/12,)-1,)*Index!BF$23*(BJ$15&lt;=$J56)*(1-BJ$12)</f>
        <v>0</v>
      </c>
      <c r="BK56" s="747">
        <f>$G56*$H56*(1+$K56)^MAX(ROUNDUP(IFERROR(DATEDIF($I56-1,BK$15+1,"m"),)/12,)-1,)*Index!BG$23*(BK$15&lt;=$J56)*(1-BK$12)</f>
        <v>0</v>
      </c>
      <c r="BL56" s="747">
        <f>$G56*$H56*(1+$K56)^MAX(ROUNDUP(IFERROR(DATEDIF($I56-1,BL$15+1,"m"),)/12,)-1,)*Index!BH$23*(BL$15&lt;=$J56)*(1-BL$12)</f>
        <v>0</v>
      </c>
      <c r="BM56" s="747">
        <f>$G56*$H56*(1+$K56)^MAX(ROUNDUP(IFERROR(DATEDIF($I56-1,BM$15+1,"m"),)/12,)-1,)*Index!BI$23*(BM$15&lt;=$J56)*(1-BM$12)</f>
        <v>0</v>
      </c>
      <c r="BN56" s="747">
        <f>$G56*$H56*(1+$K56)^MAX(ROUNDUP(IFERROR(DATEDIF($I56-1,BN$15+1,"m"),)/12,)-1,)*Index!BJ$23*(BN$15&lt;=$J56)*(1-BN$12)</f>
        <v>0</v>
      </c>
      <c r="BO56" s="747">
        <f>$G56*$H56*(1+$K56)^MAX(ROUNDUP(IFERROR(DATEDIF($I56-1,BO$15+1,"m"),)/12,)-1,)*Index!BK$23*(BO$15&lt;=$J56)*(1-BO$12)</f>
        <v>0</v>
      </c>
      <c r="BP56" s="747">
        <f>$G56*$H56*(1+$K56)^MAX(ROUNDUP(IFERROR(DATEDIF($I56-1,BP$15+1,"m"),)/12,)-1,)*Index!BL$23*(BP$15&lt;=$J56)*(1-BP$12)</f>
        <v>0</v>
      </c>
      <c r="BQ56" s="747">
        <f>$G56*$H56*(1+$K56)^MAX(ROUNDUP(IFERROR(DATEDIF($I56-1,BQ$15+1,"m"),)/12,)-1,)*Index!BM$23*(BQ$15&lt;=$J56)*(1-BQ$12)</f>
        <v>0</v>
      </c>
      <c r="BR56" s="747">
        <f>$G56*$H56*(1+$K56)^MAX(ROUNDUP(IFERROR(DATEDIF($I56-1,BR$15+1,"m"),)/12,)-1,)*Index!BN$23*(BR$15&lt;=$J56)*(1-BR$12)</f>
        <v>0</v>
      </c>
      <c r="BS56" s="747">
        <f>$G56*$H56*(1+$K56)^MAX(ROUNDUP(IFERROR(DATEDIF($I56-1,BS$15+1,"m"),)/12,)-1,)*Index!BO$23*(BS$15&lt;=$J56)*(1-BS$12)</f>
        <v>0</v>
      </c>
      <c r="BT56" s="747">
        <f>$G56*$H56*(1+$K56)^MAX(ROUNDUP(IFERROR(DATEDIF($I56-1,BT$15+1,"m"),)/12,)-1,)*Index!BP$23*(BT$15&lt;=$J56)*(1-BT$12)</f>
        <v>0</v>
      </c>
      <c r="BU56" s="747">
        <f>$G56*$H56*(1+$K56)^MAX(ROUNDUP(IFERROR(DATEDIF($I56-1,BU$15+1,"m"),)/12,)-1,)*Index!BQ$23*(BU$15&lt;=$J56)*(1-BU$12)</f>
        <v>0</v>
      </c>
      <c r="BV56" s="747">
        <f>$G56*$H56*(1+$K56)^MAX(ROUNDUP(IFERROR(DATEDIF($I56-1,BV$15+1,"m"),)/12,)-1,)*Index!BR$23*(BV$15&lt;=$J56)*(1-BV$12)</f>
        <v>0</v>
      </c>
      <c r="BW56" s="747">
        <f>$G56*$H56*(1+$K56)^MAX(ROUNDUP(IFERROR(DATEDIF($I56-1,BW$15+1,"m"),)/12,)-1,)*Index!BS$23*(BW$15&lt;=$J56)*(1-BW$12)</f>
        <v>0</v>
      </c>
      <c r="BX56" s="747">
        <f>$G56*$H56*(1+$K56)^MAX(ROUNDUP(IFERROR(DATEDIF($I56-1,BX$15+1,"m"),)/12,)-1,)*Index!BT$23*(BX$15&lt;=$J56)*(1-BX$12)</f>
        <v>0</v>
      </c>
      <c r="BY56" s="747">
        <f>$G56*$H56*(1+$K56)^MAX(ROUNDUP(IFERROR(DATEDIF($I56-1,BY$15+1,"m"),)/12,)-1,)*Index!BU$23*(BY$15&lt;=$J56)*(1-BY$12)</f>
        <v>0</v>
      </c>
      <c r="BZ56" s="747">
        <f>$G56*$H56*(1+$K56)^MAX(ROUNDUP(IFERROR(DATEDIF($I56-1,BZ$15+1,"m"),)/12,)-1,)*Index!BV$23*(BZ$15&lt;=$J56)*(1-BZ$12)</f>
        <v>0</v>
      </c>
      <c r="CA56" s="747">
        <f>$G56*$H56*(1+$K56)^MAX(ROUNDUP(IFERROR(DATEDIF($I56-1,CA$15+1,"m"),)/12,)-1,)*Index!BW$23*(CA$15&lt;=$J56)*(1-CA$12)</f>
        <v>0</v>
      </c>
      <c r="CB56" s="747">
        <f>$G56*$H56*(1+$K56)^MAX(ROUNDUP(IFERROR(DATEDIF($I56-1,CB$15+1,"m"),)/12,)-1,)*Index!BX$23*(CB$15&lt;=$J56)*(1-CB$12)</f>
        <v>0</v>
      </c>
      <c r="CC56" s="747">
        <f>$G56*$H56*(1+$K56)^MAX(ROUNDUP(IFERROR(DATEDIF($I56-1,CC$15+1,"m"),)/12,)-1,)*Index!BY$23*(CC$15&lt;=$J56)*(1-CC$12)</f>
        <v>0</v>
      </c>
      <c r="CD56" s="747">
        <f>$G56*$H56*(1+$K56)^MAX(ROUNDUP(IFERROR(DATEDIF($I56-1,CD$15+1,"m"),)/12,)-1,)*Index!BZ$23*(CD$15&lt;=$J56)*(1-CD$12)</f>
        <v>0</v>
      </c>
      <c r="CE56" s="747">
        <f>$G56*$H56*(1+$K56)^MAX(ROUNDUP(IFERROR(DATEDIF($I56-1,CE$15+1,"m"),)/12,)-1,)*Index!CA$23*(CE$15&lt;=$J56)*(1-CE$12)</f>
        <v>0</v>
      </c>
      <c r="CF56" s="747">
        <f>$G56*$H56*(1+$K56)^MAX(ROUNDUP(IFERROR(DATEDIF($I56-1,CF$15+1,"m"),)/12,)-1,)*Index!CB$23*(CF$15&lt;=$J56)*(1-CF$12)</f>
        <v>0</v>
      </c>
      <c r="CG56" s="747">
        <f>$G56*$H56*(1+$K56)^MAX(ROUNDUP(IFERROR(DATEDIF($I56-1,CG$15+1,"m"),)/12,)-1,)*Index!CC$23*(CG$15&lt;=$J56)*(1-CG$12)</f>
        <v>0</v>
      </c>
      <c r="CH56" s="747">
        <f>$G56*$H56*(1+$K56)^MAX(ROUNDUP(IFERROR(DATEDIF($I56-1,CH$15+1,"m"),)/12,)-1,)*Index!CD$23*(CH$15&lt;=$J56)*(1-CH$12)</f>
        <v>0</v>
      </c>
      <c r="CI56" s="747">
        <f>$G56*$H56*(1+$K56)^MAX(ROUNDUP(IFERROR(DATEDIF($I56-1,CI$15+1,"m"),)/12,)-1,)*Index!CE$23*(CI$15&lt;=$J56)*(1-CI$12)</f>
        <v>0</v>
      </c>
      <c r="CJ56" s="747">
        <f>$G56*$H56*(1+$K56)^MAX(ROUNDUP(IFERROR(DATEDIF($I56-1,CJ$15+1,"m"),)/12,)-1,)*Index!CF$23*(CJ$15&lt;=$J56)*(1-CJ$12)</f>
        <v>0</v>
      </c>
      <c r="CK56" s="747">
        <f>$G56*$H56*(1+$K56)^MAX(ROUNDUP(IFERROR(DATEDIF($I56-1,CK$15+1,"m"),)/12,)-1,)*Index!CG$23*(CK$15&lt;=$J56)*(1-CK$12)</f>
        <v>0</v>
      </c>
      <c r="CL56" s="747">
        <f>$G56*$H56*(1+$K56)^MAX(ROUNDUP(IFERROR(DATEDIF($I56-1,CL$15+1,"m"),)/12,)-1,)*Index!CH$23*(CL$15&lt;=$J56)*(1-CL$12)</f>
        <v>0</v>
      </c>
      <c r="CM56" s="747">
        <f>$G56*$H56*(1+$K56)^MAX(ROUNDUP(IFERROR(DATEDIF($I56-1,CM$15+1,"m"),)/12,)-1,)*Index!CI$23*(CM$15&lt;=$J56)*(1-CM$12)</f>
        <v>0</v>
      </c>
      <c r="CN56" s="747">
        <f>$G56*$H56*(1+$K56)^MAX(ROUNDUP(IFERROR(DATEDIF($I56-1,CN$15+1,"m"),)/12,)-1,)*Index!CJ$23*(CN$15&lt;=$J56)*(1-CN$12)</f>
        <v>0</v>
      </c>
      <c r="CO56" s="747">
        <f>$G56*$H56*(1+$K56)^MAX(ROUNDUP(IFERROR(DATEDIF($I56-1,CO$15+1,"m"),)/12,)-1,)*Index!CK$23*(CO$15&lt;=$J56)*(1-CO$12)</f>
        <v>0</v>
      </c>
      <c r="CP56" s="747">
        <f>$G56*$H56*(1+$K56)^MAX(ROUNDUP(IFERROR(DATEDIF($I56-1,CP$15+1,"m"),)/12,)-1,)*Index!CL$23*(CP$15&lt;=$J56)*(1-CP$12)</f>
        <v>0</v>
      </c>
      <c r="CQ56" s="747">
        <f>$G56*$H56*(1+$K56)^MAX(ROUNDUP(IFERROR(DATEDIF($I56-1,CQ$15+1,"m"),)/12,)-1,)*Index!CM$23*(CQ$15&lt;=$J56)*(1-CQ$12)</f>
        <v>0</v>
      </c>
      <c r="CR56" s="747">
        <f>$G56*$H56*(1+$K56)^MAX(ROUNDUP(IFERROR(DATEDIF($I56-1,CR$15+1,"m"),)/12,)-1,)*Index!CN$23*(CR$15&lt;=$J56)*(1-CR$12)</f>
        <v>0</v>
      </c>
      <c r="CS56" s="747">
        <f>$G56*$H56*(1+$K56)^MAX(ROUNDUP(IFERROR(DATEDIF($I56-1,CS$15+1,"m"),)/12,)-1,)*Index!CO$23*(CS$15&lt;=$J56)*(1-CS$12)</f>
        <v>0</v>
      </c>
      <c r="CT56" s="747">
        <f>$G56*$H56*(1+$K56)^MAX(ROUNDUP(IFERROR(DATEDIF($I56-1,CT$15+1,"m"),)/12,)-1,)*Index!CP$23*(CT$15&lt;=$J56)*(1-CT$12)</f>
        <v>0</v>
      </c>
      <c r="CU56" s="747">
        <f>$G56*$H56*(1+$K56)^MAX(ROUNDUP(IFERROR(DATEDIF($I56-1,CU$15+1,"m"),)/12,)-1,)*Index!CQ$23*(CU$15&lt;=$J56)*(1-CU$12)</f>
        <v>0</v>
      </c>
      <c r="CV56" s="747">
        <f>$G56*$H56*(1+$K56)^MAX(ROUNDUP(IFERROR(DATEDIF($I56-1,CV$15+1,"m"),)/12,)-1,)*Index!CR$23*(CV$15&lt;=$J56)*(1-CV$12)</f>
        <v>0</v>
      </c>
      <c r="CW56" s="747">
        <f>$G56*$H56*(1+$K56)^MAX(ROUNDUP(IFERROR(DATEDIF($I56-1,CW$15+1,"m"),)/12,)-1,)*Index!CS$23*(CW$15&lt;=$J56)*(1-CW$12)</f>
        <v>0</v>
      </c>
      <c r="CX56" s="747">
        <f>$G56*$H56*(1+$K56)^MAX(ROUNDUP(IFERROR(DATEDIF($I56-1,CX$15+1,"m"),)/12,)-1,)*Index!CT$23*(CX$15&lt;=$J56)*(1-CX$12)</f>
        <v>0</v>
      </c>
      <c r="CY56" s="747">
        <f>$G56*$H56*(1+$K56)^MAX(ROUNDUP(IFERROR(DATEDIF($I56-1,CY$15+1,"m"),)/12,)-1,)*Index!CU$23*(CY$15&lt;=$J56)*(1-CY$12)</f>
        <v>0</v>
      </c>
      <c r="CZ56" s="747">
        <f>$G56*$H56*(1+$K56)^MAX(ROUNDUP(IFERROR(DATEDIF($I56-1,CZ$15+1,"m"),)/12,)-1,)*Index!CV$23*(CZ$15&lt;=$J56)*(1-CZ$12)</f>
        <v>0</v>
      </c>
      <c r="DA56" s="747">
        <f>$G56*$H56*(1+$K56)^MAX(ROUNDUP(IFERROR(DATEDIF($I56-1,DA$15+1,"m"),)/12,)-1,)*Index!CW$23*(DA$15&lt;=$J56)*(1-DA$12)</f>
        <v>0</v>
      </c>
      <c r="DB56" s="747">
        <f>$G56*$H56*(1+$K56)^MAX(ROUNDUP(IFERROR(DATEDIF($I56-1,DB$15+1,"m"),)/12,)-1,)*Index!CX$23*(DB$15&lt;=$J56)*(1-DB$12)</f>
        <v>0</v>
      </c>
      <c r="DC56" s="747">
        <f>$G56*$H56*(1+$K56)^MAX(ROUNDUP(IFERROR(DATEDIF($I56-1,DC$15+1,"m"),)/12,)-1,)*Index!CY$23*(DC$15&lt;=$J56)*(1-DC$12)</f>
        <v>0</v>
      </c>
      <c r="DD56" s="747">
        <f>$G56*$H56*(1+$K56)^MAX(ROUNDUP(IFERROR(DATEDIF($I56-1,DD$15+1,"m"),)/12,)-1,)*Index!CZ$23*(DD$15&lt;=$J56)*(1-DD$12)</f>
        <v>0</v>
      </c>
      <c r="DE56" s="747">
        <f>$G56*$H56*(1+$K56)^MAX(ROUNDUP(IFERROR(DATEDIF($I56-1,DE$15+1,"m"),)/12,)-1,)*Index!DA$23*(DE$15&lt;=$J56)*(1-DE$12)</f>
        <v>0</v>
      </c>
      <c r="DF56" s="747">
        <f>$G56*$H56*(1+$K56)^MAX(ROUNDUP(IFERROR(DATEDIF($I56-1,DF$15+1,"m"),)/12,)-1,)*Index!DB$23*(DF$15&lt;=$J56)*(1-DF$12)</f>
        <v>0</v>
      </c>
      <c r="DG56" s="747">
        <f>$G56*$H56*(1+$K56)^MAX(ROUNDUP(IFERROR(DATEDIF($I56-1,DG$15+1,"m"),)/12,)-1,)*Index!DC$23*(DG$15&lt;=$J56)*(1-DG$12)</f>
        <v>0</v>
      </c>
      <c r="DH56" s="747">
        <f>$G56*$H56*(1+$K56)^MAX(ROUNDUP(IFERROR(DATEDIF($I56-1,DH$15+1,"m"),)/12,)-1,)*Index!DD$23*(DH$15&lt;=$J56)*(1-DH$12)</f>
        <v>0</v>
      </c>
      <c r="DI56" s="747">
        <f>$G56*$H56*(1+$K56)^MAX(ROUNDUP(IFERROR(DATEDIF($I56-1,DI$15+1,"m"),)/12,)-1,)*Index!DE$23*(DI$15&lt;=$J56)*(1-DI$12)</f>
        <v>0</v>
      </c>
      <c r="DJ56" s="747">
        <f>$G56*$H56*(1+$K56)^MAX(ROUNDUP(IFERROR(DATEDIF($I56-1,DJ$15+1,"m"),)/12,)-1,)*Index!DF$23*(DJ$15&lt;=$J56)*(1-DJ$12)</f>
        <v>0</v>
      </c>
      <c r="DK56" s="747">
        <f>$G56*$H56*(1+$K56)^MAX(ROUNDUP(IFERROR(DATEDIF($I56-1,DK$15+1,"m"),)/12,)-1,)*Index!DG$23*(DK$15&lt;=$J56)*(1-DK$12)</f>
        <v>0</v>
      </c>
      <c r="DL56" s="747">
        <f>$G56*$H56*(1+$K56)^MAX(ROUNDUP(IFERROR(DATEDIF($I56-1,DL$15+1,"m"),)/12,)-1,)*Index!DH$23*(DL$15&lt;=$J56)*(1-DL$12)</f>
        <v>0</v>
      </c>
      <c r="DM56" s="747">
        <f>$G56*$H56*(1+$K56)^MAX(ROUNDUP(IFERROR(DATEDIF($I56-1,DM$15+1,"m"),)/12,)-1,)*Index!DI$23*(DM$15&lt;=$J56)*(1-DM$12)</f>
        <v>0</v>
      </c>
      <c r="DN56" s="747">
        <f>$G56*$H56*(1+$K56)^MAX(ROUNDUP(IFERROR(DATEDIF($I56-1,DN$15+1,"m"),)/12,)-1,)*Index!DJ$23*(DN$15&lt;=$J56)*(1-DN$12)</f>
        <v>0</v>
      </c>
      <c r="DO56" s="747">
        <f>$G56*$H56*(1+$K56)^MAX(ROUNDUP(IFERROR(DATEDIF($I56-1,DO$15+1,"m"),)/12,)-1,)*Index!DK$23*(DO$15&lt;=$J56)*(1-DO$12)</f>
        <v>0</v>
      </c>
      <c r="DP56" s="747">
        <f>$G56*$H56*(1+$K56)^MAX(ROUNDUP(IFERROR(DATEDIF($I56-1,DP$15+1,"m"),)/12,)-1,)*Index!DL$23*(DP$15&lt;=$J56)*(1-DP$12)</f>
        <v>0</v>
      </c>
      <c r="DQ56" s="747">
        <f>$G56*$H56*(1+$K56)^MAX(ROUNDUP(IFERROR(DATEDIF($I56-1,DQ$15+1,"m"),)/12,)-1,)*Index!DM$23*(DQ$15&lt;=$J56)*(1-DQ$12)</f>
        <v>0</v>
      </c>
      <c r="DR56" s="747">
        <f>$G56*$H56*(1+$K56)^MAX(ROUNDUP(IFERROR(DATEDIF($I56-1,DR$15+1,"m"),)/12,)-1,)*Index!DN$23*(DR$15&lt;=$J56)*(1-DR$12)</f>
        <v>0</v>
      </c>
      <c r="DS56" s="747">
        <f>$G56*$H56*(1+$K56)^MAX(ROUNDUP(IFERROR(DATEDIF($I56-1,DS$15+1,"m"),)/12,)-1,)*Index!DO$23*(DS$15&lt;=$J56)*(1-DS$12)</f>
        <v>0</v>
      </c>
      <c r="DT56" s="747">
        <f>$G56*$H56*(1+$K56)^MAX(ROUNDUP(IFERROR(DATEDIF($I56-1,DT$15+1,"m"),)/12,)-1,)*Index!DP$23*(DT$15&lt;=$J56)*(1-DT$12)</f>
        <v>0</v>
      </c>
      <c r="DU56" s="747">
        <f>$G56*$H56*(1+$K56)^MAX(ROUNDUP(IFERROR(DATEDIF($I56-1,DU$15+1,"m"),)/12,)-1,)*Index!DQ$23*(DU$15&lt;=$J56)*(1-DU$12)</f>
        <v>0</v>
      </c>
      <c r="DV56" s="747">
        <f>$G56*$H56*(1+$K56)^MAX(ROUNDUP(IFERROR(DATEDIF($I56-1,DV$15+1,"m"),)/12,)-1,)*Index!DR$23*(DV$15&lt;=$J56)*(1-DV$12)</f>
        <v>0</v>
      </c>
      <c r="DW56" s="747">
        <f>$G56*$H56*(1+$K56)^MAX(ROUNDUP(IFERROR(DATEDIF($I56-1,DW$15+1,"m"),)/12,)-1,)*Index!DS$23*(DW$15&lt;=$J56)*(1-DW$12)</f>
        <v>0</v>
      </c>
      <c r="DX56" s="747">
        <f>$G56*$H56*(1+$K56)^MAX(ROUNDUP(IFERROR(DATEDIF($I56-1,DX$15+1,"m"),)/12,)-1,)*Index!DT$23*(DX$15&lt;=$J56)*(1-DX$12)</f>
        <v>0</v>
      </c>
      <c r="DY56" s="747">
        <f>$G56*$H56*(1+$K56)^MAX(ROUNDUP(IFERROR(DATEDIF($I56-1,DY$15+1,"m"),)/12,)-1,)*Index!DU$23*(DY$15&lt;=$J56)*(1-DY$12)</f>
        <v>0</v>
      </c>
      <c r="DZ56" s="747">
        <f>$G56*$H56*(1+$K56)^MAX(ROUNDUP(IFERROR(DATEDIF($I56-1,DZ$15+1,"m"),)/12,)-1,)*Index!DV$23*(DZ$15&lt;=$J56)*(1-DZ$12)</f>
        <v>0</v>
      </c>
      <c r="EA56" s="747">
        <f>$G56*$H56*(1+$K56)^MAX(ROUNDUP(IFERROR(DATEDIF($I56-1,EA$15+1,"m"),)/12,)-1,)*Index!DW$23*(EA$15&lt;=$J56)*(1-EA$12)</f>
        <v>0</v>
      </c>
      <c r="EB56" s="747">
        <f>$G56*$H56*(1+$K56)^MAX(ROUNDUP(IFERROR(DATEDIF($I56-1,EB$15+1,"m"),)/12,)-1,)*Index!DX$23*(EB$15&lt;=$J56)*(1-EB$12)</f>
        <v>0</v>
      </c>
      <c r="EC56" s="747">
        <f>$G56*$H56*(1+$K56)^MAX(ROUNDUP(IFERROR(DATEDIF($I56-1,EC$15+1,"m"),)/12,)-1,)*Index!DY$23*(EC$15&lt;=$J56)*(1-EC$12)</f>
        <v>0</v>
      </c>
      <c r="ED56" s="747">
        <f>$G56*$H56*(1+$K56)^MAX(ROUNDUP(IFERROR(DATEDIF($I56-1,ED$15+1,"m"),)/12,)-1,)*Index!DZ$23*(ED$15&lt;=$J56)*(1-ED$12)</f>
        <v>0</v>
      </c>
      <c r="EE56" s="747">
        <f>$G56*$H56*(1+$K56)^MAX(ROUNDUP(IFERROR(DATEDIF($I56-1,EE$15+1,"m"),)/12,)-1,)*Index!EA$23*(EE$15&lt;=$J56)*(1-EE$12)</f>
        <v>0</v>
      </c>
      <c r="EF56" s="747">
        <f>$G56*$H56*(1+$K56)^MAX(ROUNDUP(IFERROR(DATEDIF($I56-1,EF$15+1,"m"),)/12,)-1,)*Index!EB$23*(EF$15&lt;=$J56)*(1-EF$12)</f>
        <v>0</v>
      </c>
      <c r="EG56" s="747">
        <f>$G56*$H56*(1+$K56)^MAX(ROUNDUP(IFERROR(DATEDIF($I56-1,EG$15+1,"m"),)/12,)-1,)*Index!EC$23*(EG$15&lt;=$J56)*(1-EG$12)</f>
        <v>0</v>
      </c>
      <c r="EH56" s="747">
        <f>$G56*$H56*(1+$K56)^MAX(ROUNDUP(IFERROR(DATEDIF($I56-1,EH$15+1,"m"),)/12,)-1,)*Index!ED$23*(EH$15&lt;=$J56)*(1-EH$12)</f>
        <v>0</v>
      </c>
      <c r="EI56" s="747">
        <f>$G56*$H56*(1+$K56)^MAX(ROUNDUP(IFERROR(DATEDIF($I56-1,EI$15+1,"m"),)/12,)-1,)*Index!EE$23*(EI$15&lt;=$J56)*(1-EI$12)</f>
        <v>0</v>
      </c>
      <c r="EJ56" s="747">
        <f>$G56*$H56*(1+$K56)^MAX(ROUNDUP(IFERROR(DATEDIF($I56-1,EJ$15+1,"m"),)/12,)-1,)*Index!EF$23*(EJ$15&lt;=$J56)*(1-EJ$12)</f>
        <v>0</v>
      </c>
      <c r="EK56" s="747">
        <f>$G56*$H56*(1+$K56)^MAX(ROUNDUP(IFERROR(DATEDIF($I56-1,EK$15+1,"m"),)/12,)-1,)*Index!EG$23*(EK$15&lt;=$J56)*(1-EK$12)</f>
        <v>0</v>
      </c>
      <c r="EL56" s="747">
        <f>$G56*$H56*(1+$K56)^MAX(ROUNDUP(IFERROR(DATEDIF($I56-1,EL$15+1,"m"),)/12,)-1,)*Index!EH$23*(EL$15&lt;=$J56)*(1-EL$12)</f>
        <v>0</v>
      </c>
      <c r="EM56" s="747">
        <f>$G56*$H56*(1+$K56)^MAX(ROUNDUP(IFERROR(DATEDIF($I56-1,EM$15+1,"m"),)/12,)-1,)*Index!EI$23*(EM$15&lt;=$J56)*(1-EM$12)</f>
        <v>0</v>
      </c>
      <c r="EN56" s="747">
        <f>$G56*$H56*(1+$K56)^MAX(ROUNDUP(IFERROR(DATEDIF($I56-1,EN$15+1,"m"),)/12,)-1,)*Index!EJ$23*(EN$15&lt;=$J56)*(1-EN$12)</f>
        <v>0</v>
      </c>
      <c r="EO56" s="747">
        <f>$G56*$H56*(1+$K56)^MAX(ROUNDUP(IFERROR(DATEDIF($I56-1,EO$15+1,"m"),)/12,)-1,)*Index!EK$23*(EO$15&lt;=$J56)*(1-EO$12)</f>
        <v>0</v>
      </c>
      <c r="EP56" s="747">
        <f>$G56*$H56*(1+$K56)^MAX(ROUNDUP(IFERROR(DATEDIF($I56-1,EP$15+1,"m"),)/12,)-1,)*Index!EL$23*(EP$15&lt;=$J56)*(1-EP$12)</f>
        <v>0</v>
      </c>
      <c r="EQ56" s="747">
        <f>$G56*$H56*(1+$K56)^MAX(ROUNDUP(IFERROR(DATEDIF($I56-1,EQ$15+1,"m"),)/12,)-1,)*Index!EM$23*(EQ$15&lt;=$J56)*(1-EQ$12)</f>
        <v>0</v>
      </c>
      <c r="ER56" s="747">
        <f>$G56*$H56*(1+$K56)^MAX(ROUNDUP(IFERROR(DATEDIF($I56-1,ER$15+1,"m"),)/12,)-1,)*Index!EN$23*(ER$15&lt;=$J56)*(1-ER$12)</f>
        <v>0</v>
      </c>
      <c r="ES56" s="747">
        <f>$G56*$H56*(1+$K56)^MAX(ROUNDUP(IFERROR(DATEDIF($I56-1,ES$15+1,"m"),)/12,)-1,)*Index!EO$23*(ES$15&lt;=$J56)*(1-ES$12)</f>
        <v>0</v>
      </c>
      <c r="ET56" s="747">
        <f>$G56*$H56*(1+$K56)^MAX(ROUNDUP(IFERROR(DATEDIF($I56-1,ET$15+1,"m"),)/12,)-1,)*Index!EP$23*(ET$15&lt;=$J56)*(1-ET$12)</f>
        <v>0</v>
      </c>
      <c r="EU56" s="747">
        <f>$G56*$H56*(1+$K56)^MAX(ROUNDUP(IFERROR(DATEDIF($I56-1,EU$15+1,"m"),)/12,)-1,)*Index!EQ$23*(EU$15&lt;=$J56)*(1-EU$12)</f>
        <v>0</v>
      </c>
    </row>
    <row r="57" spans="3:151" ht="11.25" customHeight="1">
      <c r="C57" s="828"/>
      <c r="D57" s="743">
        <f t="shared" ref="D57:K57" si="24">D21</f>
        <v>8</v>
      </c>
      <c r="E57" s="704" t="str">
        <f t="shared" si="24"/>
        <v>쿠팡</v>
      </c>
      <c r="F57" s="704" t="str">
        <f t="shared" si="24"/>
        <v>상온창고</v>
      </c>
      <c r="G57" s="752">
        <f t="shared" si="24"/>
        <v>36.5</v>
      </c>
      <c r="H57" s="744">
        <f t="shared" si="24"/>
        <v>207.4</v>
      </c>
      <c r="I57" s="745">
        <f t="shared" si="24"/>
        <v>45413</v>
      </c>
      <c r="J57" s="745">
        <f t="shared" si="24"/>
        <v>49064</v>
      </c>
      <c r="K57" s="754">
        <f t="shared" si="24"/>
        <v>2.5000000000000001E-2</v>
      </c>
      <c r="L57" s="746"/>
      <c r="M57" s="722"/>
      <c r="N57" s="747">
        <f t="shared" si="21"/>
        <v>0</v>
      </c>
      <c r="O57" s="733"/>
      <c r="P57" s="747">
        <f>$G57*$H57*(1+$K57)^MAX(ROUNDUP(IFERROR(DATEDIF($I57-1,P$15+1,"m"),)/12,)-1,)*Index!L$23*(P$15&lt;=$J57)*(1-P$12)</f>
        <v>0</v>
      </c>
      <c r="Q57" s="747">
        <f>$G57*$H57*(1+$K57)^MAX(ROUNDUP(IFERROR(DATEDIF($I57-1,Q$15+1,"m"),)/12,)-1,)*Index!M$23*(Q$15&lt;=$J57)*(1-Q$12)</f>
        <v>0</v>
      </c>
      <c r="R57" s="747">
        <f>$G57*$H57*(1+$K57)^MAX(ROUNDUP(IFERROR(DATEDIF($I57-1,R$15+1,"m"),)/12,)-1,)*Index!N$23*(R$15&lt;=$J57)*(1-R$12)</f>
        <v>0</v>
      </c>
      <c r="S57" s="747">
        <f>$G57*$H57*(1+$K57)^MAX(ROUNDUP(IFERROR(DATEDIF($I57-1,S$15+1,"m"),)/12,)-1,)*Index!O$23*(S$15&lt;=$J57)*(1-S$12)</f>
        <v>0</v>
      </c>
      <c r="T57" s="747">
        <f>$G57*$H57*(1+$K57)^MAX(ROUNDUP(IFERROR(DATEDIF($I57-1,T$15+1,"m"),)/12,)-1,)*Index!P$23*(T$15&lt;=$J57)*(1-T$12)</f>
        <v>0</v>
      </c>
      <c r="U57" s="747">
        <f>$G57*$H57*(1+$K57)^MAX(ROUNDUP(IFERROR(DATEDIF($I57-1,U$15+1,"m"),)/12,)-1,)*Index!Q$23*(U$15&lt;=$J57)*(1-U$12)</f>
        <v>0</v>
      </c>
      <c r="V57" s="747">
        <f>$G57*$H57*(1+$K57)^MAX(ROUNDUP(IFERROR(DATEDIF($I57-1,V$15+1,"m"),)/12,)-1,)*Index!R$23*(V$15&lt;=$J57)*(1-V$12)</f>
        <v>0</v>
      </c>
      <c r="W57" s="747">
        <f>$G57*$H57*(1+$K57)^MAX(ROUNDUP(IFERROR(DATEDIF($I57-1,W$15+1,"m"),)/12,)-1,)*Index!S$23*(W$15&lt;=$J57)*(1-W$12)</f>
        <v>0</v>
      </c>
      <c r="X57" s="747">
        <f>$G57*$H57*(1+$K57)^MAX(ROUNDUP(IFERROR(DATEDIF($I57-1,X$15+1,"m"),)/12,)-1,)*Index!T$23*(X$15&lt;=$J57)*(1-X$12)</f>
        <v>0</v>
      </c>
      <c r="Y57" s="747">
        <f>$G57*$H57*(1+$K57)^MAX(ROUNDUP(IFERROR(DATEDIF($I57-1,Y$15+1,"m"),)/12,)-1,)*Index!U$23*(Y$15&lt;=$J57)*(1-Y$12)</f>
        <v>0</v>
      </c>
      <c r="Z57" s="747">
        <f>$G57*$H57*(1+$K57)^MAX(ROUNDUP(IFERROR(DATEDIF($I57-1,Z$15+1,"m"),)/12,)-1,)*Index!V$23*(Z$15&lt;=$J57)*(1-Z$12)</f>
        <v>0</v>
      </c>
      <c r="AA57" s="747">
        <f>$G57*$H57*(1+$K57)^MAX(ROUNDUP(IFERROR(DATEDIF($I57-1,AA$15+1,"m"),)/12,)-1,)*Index!W$23*(AA$15&lt;=$J57)*(1-AA$12)</f>
        <v>0</v>
      </c>
      <c r="AB57" s="747">
        <f>$G57*$H57*(1+$K57)^MAX(ROUNDUP(IFERROR(DATEDIF($I57-1,AB$15+1,"m"),)/12,)-1,)*Index!X$23*(AB$15&lt;=$J57)*(1-AB$12)</f>
        <v>0</v>
      </c>
      <c r="AC57" s="747">
        <f>$G57*$H57*(1+$K57)^MAX(ROUNDUP(IFERROR(DATEDIF($I57-1,AC$15+1,"m"),)/12,)-1,)*Index!Y$23*(AC$15&lt;=$J57)*(1-AC$12)</f>
        <v>0</v>
      </c>
      <c r="AD57" s="747">
        <f>$G57*$H57*(1+$K57)^MAX(ROUNDUP(IFERROR(DATEDIF($I57-1,AD$15+1,"m"),)/12,)-1,)*Index!Z$23*(AD$15&lt;=$J57)*(1-AD$12)</f>
        <v>0</v>
      </c>
      <c r="AE57" s="747">
        <f>$G57*$H57*(1+$K57)^MAX(ROUNDUP(IFERROR(DATEDIF($I57-1,AE$15+1,"m"),)/12,)-1,)*Index!AA$23*(AE$15&lt;=$J57)*(1-AE$12)</f>
        <v>0</v>
      </c>
      <c r="AF57" s="747">
        <f>$G57*$H57*(1+$K57)^MAX(ROUNDUP(IFERROR(DATEDIF($I57-1,AF$15+1,"m"),)/12,)-1,)*Index!AB$23*(AF$15&lt;=$J57)*(1-AF$12)</f>
        <v>0</v>
      </c>
      <c r="AG57" s="747">
        <f>$G57*$H57*(1+$K57)^MAX(ROUNDUP(IFERROR(DATEDIF($I57-1,AG$15+1,"m"),)/12,)-1,)*Index!AC$23*(AG$15&lt;=$J57)*(1-AG$12)</f>
        <v>0</v>
      </c>
      <c r="AH57" s="747">
        <f>$G57*$H57*(1+$K57)^MAX(ROUNDUP(IFERROR(DATEDIF($I57-1,AH$15+1,"m"),)/12,)-1,)*Index!AD$23*(AH$15&lt;=$J57)*(1-AH$12)</f>
        <v>0</v>
      </c>
      <c r="AI57" s="747">
        <f>$G57*$H57*(1+$K57)^MAX(ROUNDUP(IFERROR(DATEDIF($I57-1,AI$15+1,"m"),)/12,)-1,)*Index!AE$23*(AI$15&lt;=$J57)*(1-AI$12)</f>
        <v>0</v>
      </c>
      <c r="AJ57" s="747">
        <f>$G57*$H57*(1+$K57)^MAX(ROUNDUP(IFERROR(DATEDIF($I57-1,AJ$15+1,"m"),)/12,)-1,)*Index!AF$23*(AJ$15&lt;=$J57)*(1-AJ$12)</f>
        <v>0</v>
      </c>
      <c r="AK57" s="747">
        <f>$G57*$H57*(1+$K57)^MAX(ROUNDUP(IFERROR(DATEDIF($I57-1,AK$15+1,"m"),)/12,)-1,)*Index!AG$23*(AK$15&lt;=$J57)*(1-AK$12)</f>
        <v>0</v>
      </c>
      <c r="AL57" s="747">
        <f>$G57*$H57*(1+$K57)^MAX(ROUNDUP(IFERROR(DATEDIF($I57-1,AL$15+1,"m"),)/12,)-1,)*Index!AH$23*(AL$15&lt;=$J57)*(1-AL$12)</f>
        <v>0</v>
      </c>
      <c r="AM57" s="747">
        <f>$G57*$H57*(1+$K57)^MAX(ROUNDUP(IFERROR(DATEDIF($I57-1,AM$15+1,"m"),)/12,)-1,)*Index!AI$23*(AM$15&lt;=$J57)*(1-AM$12)</f>
        <v>0</v>
      </c>
      <c r="AN57" s="747">
        <f>$G57*$H57*(1+$K57)^MAX(ROUNDUP(IFERROR(DATEDIF($I57-1,AN$15+1,"m"),)/12,)-1,)*Index!AJ$23*(AN$15&lt;=$J57)*(1-AN$12)</f>
        <v>0</v>
      </c>
      <c r="AO57" s="747">
        <f>$G57*$H57*(1+$K57)^MAX(ROUNDUP(IFERROR(DATEDIF($I57-1,AO$15+1,"m"),)/12,)-1,)*Index!AK$23*(AO$15&lt;=$J57)*(1-AO$12)</f>
        <v>0</v>
      </c>
      <c r="AP57" s="747">
        <f>$G57*$H57*(1+$K57)^MAX(ROUNDUP(IFERROR(DATEDIF($I57-1,AP$15+1,"m"),)/12,)-1,)*Index!AL$23*(AP$15&lt;=$J57)*(1-AP$12)</f>
        <v>0</v>
      </c>
      <c r="AQ57" s="747">
        <f>$G57*$H57*(1+$K57)^MAX(ROUNDUP(IFERROR(DATEDIF($I57-1,AQ$15+1,"m"),)/12,)-1,)*Index!AM$23*(AQ$15&lt;=$J57)*(1-AQ$12)</f>
        <v>0</v>
      </c>
      <c r="AR57" s="747">
        <f>$G57*$H57*(1+$K57)^MAX(ROUNDUP(IFERROR(DATEDIF($I57-1,AR$15+1,"m"),)/12,)-1,)*Index!AN$23*(AR$15&lt;=$J57)*(1-AR$12)</f>
        <v>0</v>
      </c>
      <c r="AS57" s="747">
        <f>$G57*$H57*(1+$K57)^MAX(ROUNDUP(IFERROR(DATEDIF($I57-1,AS$15+1,"m"),)/12,)-1,)*Index!AO$23*(AS$15&lt;=$J57)*(1-AS$12)</f>
        <v>0</v>
      </c>
      <c r="AT57" s="747">
        <f>$G57*$H57*(1+$K57)^MAX(ROUNDUP(IFERROR(DATEDIF($I57-1,AT$15+1,"m"),)/12,)-1,)*Index!AP$23*(AT$15&lt;=$J57)*(1-AT$12)</f>
        <v>0</v>
      </c>
      <c r="AU57" s="747">
        <f>$G57*$H57*(1+$K57)^MAX(ROUNDUP(IFERROR(DATEDIF($I57-1,AU$15+1,"m"),)/12,)-1,)*Index!AQ$23*(AU$15&lt;=$J57)*(1-AU$12)</f>
        <v>0</v>
      </c>
      <c r="AV57" s="747">
        <f>$G57*$H57*(1+$K57)^MAX(ROUNDUP(IFERROR(DATEDIF($I57-1,AV$15+1,"m"),)/12,)-1,)*Index!AR$23*(AV$15&lt;=$J57)*(1-AV$12)</f>
        <v>0</v>
      </c>
      <c r="AW57" s="747">
        <f>$G57*$H57*(1+$K57)^MAX(ROUNDUP(IFERROR(DATEDIF($I57-1,AW$15+1,"m"),)/12,)-1,)*Index!AS$23*(AW$15&lt;=$J57)*(1-AW$12)</f>
        <v>0</v>
      </c>
      <c r="AX57" s="747">
        <f>$G57*$H57*(1+$K57)^MAX(ROUNDUP(IFERROR(DATEDIF($I57-1,AX$15+1,"m"),)/12,)-1,)*Index!AT$23*(AX$15&lt;=$J57)*(1-AX$12)</f>
        <v>0</v>
      </c>
      <c r="AY57" s="747">
        <f>$G57*$H57*(1+$K57)^MAX(ROUNDUP(IFERROR(DATEDIF($I57-1,AY$15+1,"m"),)/12,)-1,)*Index!AU$23*(AY$15&lt;=$J57)*(1-AY$12)</f>
        <v>0</v>
      </c>
      <c r="AZ57" s="747">
        <f>$G57*$H57*(1+$K57)^MAX(ROUNDUP(IFERROR(DATEDIF($I57-1,AZ$15+1,"m"),)/12,)-1,)*Index!AV$23*(AZ$15&lt;=$J57)*(1-AZ$12)</f>
        <v>0</v>
      </c>
      <c r="BA57" s="747">
        <f>$G57*$H57*(1+$K57)^MAX(ROUNDUP(IFERROR(DATEDIF($I57-1,BA$15+1,"m"),)/12,)-1,)*Index!AW$23*(BA$15&lt;=$J57)*(1-BA$12)</f>
        <v>0</v>
      </c>
      <c r="BB57" s="747">
        <f>$G57*$H57*(1+$K57)^MAX(ROUNDUP(IFERROR(DATEDIF($I57-1,BB$15+1,"m"),)/12,)-1,)*Index!AX$23*(BB$15&lt;=$J57)*(1-BB$12)</f>
        <v>0</v>
      </c>
      <c r="BC57" s="747">
        <f>$G57*$H57*(1+$K57)^MAX(ROUNDUP(IFERROR(DATEDIF($I57-1,BC$15+1,"m"),)/12,)-1,)*Index!AY$23*(BC$15&lt;=$J57)*(1-BC$12)</f>
        <v>0</v>
      </c>
      <c r="BD57" s="747">
        <f>$G57*$H57*(1+$K57)^MAX(ROUNDUP(IFERROR(DATEDIF($I57-1,BD$15+1,"m"),)/12,)-1,)*Index!AZ$23*(BD$15&lt;=$J57)*(1-BD$12)</f>
        <v>0</v>
      </c>
      <c r="BE57" s="747">
        <f>$G57*$H57*(1+$K57)^MAX(ROUNDUP(IFERROR(DATEDIF($I57-1,BE$15+1,"m"),)/12,)-1,)*Index!BA$23*(BE$15&lt;=$J57)*(1-BE$12)</f>
        <v>0</v>
      </c>
      <c r="BF57" s="747">
        <f>$G57*$H57*(1+$K57)^MAX(ROUNDUP(IFERROR(DATEDIF($I57-1,BF$15+1,"m"),)/12,)-1,)*Index!BB$23*(BF$15&lt;=$J57)*(1-BF$12)</f>
        <v>0</v>
      </c>
      <c r="BG57" s="747">
        <f>$G57*$H57*(1+$K57)^MAX(ROUNDUP(IFERROR(DATEDIF($I57-1,BG$15+1,"m"),)/12,)-1,)*Index!BC$23*(BG$15&lt;=$J57)*(1-BG$12)</f>
        <v>0</v>
      </c>
      <c r="BH57" s="747">
        <f>$G57*$H57*(1+$K57)^MAX(ROUNDUP(IFERROR(DATEDIF($I57-1,BH$15+1,"m"),)/12,)-1,)*Index!BD$23*(BH$15&lt;=$J57)*(1-BH$12)</f>
        <v>0</v>
      </c>
      <c r="BI57" s="747">
        <f>$G57*$H57*(1+$K57)^MAX(ROUNDUP(IFERROR(DATEDIF($I57-1,BI$15+1,"m"),)/12,)-1,)*Index!BE$23*(BI$15&lt;=$J57)*(1-BI$12)</f>
        <v>0</v>
      </c>
      <c r="BJ57" s="747">
        <f>$G57*$H57*(1+$K57)^MAX(ROUNDUP(IFERROR(DATEDIF($I57-1,BJ$15+1,"m"),)/12,)-1,)*Index!BF$23*(BJ$15&lt;=$J57)*(1-BJ$12)</f>
        <v>0</v>
      </c>
      <c r="BK57" s="747">
        <f>$G57*$H57*(1+$K57)^MAX(ROUNDUP(IFERROR(DATEDIF($I57-1,BK$15+1,"m"),)/12,)-1,)*Index!BG$23*(BK$15&lt;=$J57)*(1-BK$12)</f>
        <v>0</v>
      </c>
      <c r="BL57" s="747">
        <f>$G57*$H57*(1+$K57)^MAX(ROUNDUP(IFERROR(DATEDIF($I57-1,BL$15+1,"m"),)/12,)-1,)*Index!BH$23*(BL$15&lt;=$J57)*(1-BL$12)</f>
        <v>0</v>
      </c>
      <c r="BM57" s="747">
        <f>$G57*$H57*(1+$K57)^MAX(ROUNDUP(IFERROR(DATEDIF($I57-1,BM$15+1,"m"),)/12,)-1,)*Index!BI$23*(BM$15&lt;=$J57)*(1-BM$12)</f>
        <v>0</v>
      </c>
      <c r="BN57" s="747">
        <f>$G57*$H57*(1+$K57)^MAX(ROUNDUP(IFERROR(DATEDIF($I57-1,BN$15+1,"m"),)/12,)-1,)*Index!BJ$23*(BN$15&lt;=$J57)*(1-BN$12)</f>
        <v>0</v>
      </c>
      <c r="BO57" s="747">
        <f>$G57*$H57*(1+$K57)^MAX(ROUNDUP(IFERROR(DATEDIF($I57-1,BO$15+1,"m"),)/12,)-1,)*Index!BK$23*(BO$15&lt;=$J57)*(1-BO$12)</f>
        <v>0</v>
      </c>
      <c r="BP57" s="747">
        <f>$G57*$H57*(1+$K57)^MAX(ROUNDUP(IFERROR(DATEDIF($I57-1,BP$15+1,"m"),)/12,)-1,)*Index!BL$23*(BP$15&lt;=$J57)*(1-BP$12)</f>
        <v>0</v>
      </c>
      <c r="BQ57" s="747">
        <f>$G57*$H57*(1+$K57)^MAX(ROUNDUP(IFERROR(DATEDIF($I57-1,BQ$15+1,"m"),)/12,)-1,)*Index!BM$23*(BQ$15&lt;=$J57)*(1-BQ$12)</f>
        <v>0</v>
      </c>
      <c r="BR57" s="747">
        <f>$G57*$H57*(1+$K57)^MAX(ROUNDUP(IFERROR(DATEDIF($I57-1,BR$15+1,"m"),)/12,)-1,)*Index!BN$23*(BR$15&lt;=$J57)*(1-BR$12)</f>
        <v>0</v>
      </c>
      <c r="BS57" s="747">
        <f>$G57*$H57*(1+$K57)^MAX(ROUNDUP(IFERROR(DATEDIF($I57-1,BS$15+1,"m"),)/12,)-1,)*Index!BO$23*(BS$15&lt;=$J57)*(1-BS$12)</f>
        <v>0</v>
      </c>
      <c r="BT57" s="747">
        <f>$G57*$H57*(1+$K57)^MAX(ROUNDUP(IFERROR(DATEDIF($I57-1,BT$15+1,"m"),)/12,)-1,)*Index!BP$23*(BT$15&lt;=$J57)*(1-BT$12)</f>
        <v>0</v>
      </c>
      <c r="BU57" s="747">
        <f>$G57*$H57*(1+$K57)^MAX(ROUNDUP(IFERROR(DATEDIF($I57-1,BU$15+1,"m"),)/12,)-1,)*Index!BQ$23*(BU$15&lt;=$J57)*(1-BU$12)</f>
        <v>0</v>
      </c>
      <c r="BV57" s="747">
        <f>$G57*$H57*(1+$K57)^MAX(ROUNDUP(IFERROR(DATEDIF($I57-1,BV$15+1,"m"),)/12,)-1,)*Index!BR$23*(BV$15&lt;=$J57)*(1-BV$12)</f>
        <v>0</v>
      </c>
      <c r="BW57" s="747">
        <f>$G57*$H57*(1+$K57)^MAX(ROUNDUP(IFERROR(DATEDIF($I57-1,BW$15+1,"m"),)/12,)-1,)*Index!BS$23*(BW$15&lt;=$J57)*(1-BW$12)</f>
        <v>0</v>
      </c>
      <c r="BX57" s="747">
        <f>$G57*$H57*(1+$K57)^MAX(ROUNDUP(IFERROR(DATEDIF($I57-1,BX$15+1,"m"),)/12,)-1,)*Index!BT$23*(BX$15&lt;=$J57)*(1-BX$12)</f>
        <v>0</v>
      </c>
      <c r="BY57" s="747">
        <f>$G57*$H57*(1+$K57)^MAX(ROUNDUP(IFERROR(DATEDIF($I57-1,BY$15+1,"m"),)/12,)-1,)*Index!BU$23*(BY$15&lt;=$J57)*(1-BY$12)</f>
        <v>0</v>
      </c>
      <c r="BZ57" s="747">
        <f>$G57*$H57*(1+$K57)^MAX(ROUNDUP(IFERROR(DATEDIF($I57-1,BZ$15+1,"m"),)/12,)-1,)*Index!BV$23*(BZ$15&lt;=$J57)*(1-BZ$12)</f>
        <v>0</v>
      </c>
      <c r="CA57" s="747">
        <f>$G57*$H57*(1+$K57)^MAX(ROUNDUP(IFERROR(DATEDIF($I57-1,CA$15+1,"m"),)/12,)-1,)*Index!BW$23*(CA$15&lt;=$J57)*(1-CA$12)</f>
        <v>0</v>
      </c>
      <c r="CB57" s="747">
        <f>$G57*$H57*(1+$K57)^MAX(ROUNDUP(IFERROR(DATEDIF($I57-1,CB$15+1,"m"),)/12,)-1,)*Index!BX$23*(CB$15&lt;=$J57)*(1-CB$12)</f>
        <v>0</v>
      </c>
      <c r="CC57" s="747">
        <f>$G57*$H57*(1+$K57)^MAX(ROUNDUP(IFERROR(DATEDIF($I57-1,CC$15+1,"m"),)/12,)-1,)*Index!BY$23*(CC$15&lt;=$J57)*(1-CC$12)</f>
        <v>0</v>
      </c>
      <c r="CD57" s="747">
        <f>$G57*$H57*(1+$K57)^MAX(ROUNDUP(IFERROR(DATEDIF($I57-1,CD$15+1,"m"),)/12,)-1,)*Index!BZ$23*(CD$15&lt;=$J57)*(1-CD$12)</f>
        <v>0</v>
      </c>
      <c r="CE57" s="747">
        <f>$G57*$H57*(1+$K57)^MAX(ROUNDUP(IFERROR(DATEDIF($I57-1,CE$15+1,"m"),)/12,)-1,)*Index!CA$23*(CE$15&lt;=$J57)*(1-CE$12)</f>
        <v>0</v>
      </c>
      <c r="CF57" s="747">
        <f>$G57*$H57*(1+$K57)^MAX(ROUNDUP(IFERROR(DATEDIF($I57-1,CF$15+1,"m"),)/12,)-1,)*Index!CB$23*(CF$15&lt;=$J57)*(1-CF$12)</f>
        <v>0</v>
      </c>
      <c r="CG57" s="747">
        <f>$G57*$H57*(1+$K57)^MAX(ROUNDUP(IFERROR(DATEDIF($I57-1,CG$15+1,"m"),)/12,)-1,)*Index!CC$23*(CG$15&lt;=$J57)*(1-CG$12)</f>
        <v>0</v>
      </c>
      <c r="CH57" s="747">
        <f>$G57*$H57*(1+$K57)^MAX(ROUNDUP(IFERROR(DATEDIF($I57-1,CH$15+1,"m"),)/12,)-1,)*Index!CD$23*(CH$15&lt;=$J57)*(1-CH$12)</f>
        <v>0</v>
      </c>
      <c r="CI57" s="747">
        <f>$G57*$H57*(1+$K57)^MAX(ROUNDUP(IFERROR(DATEDIF($I57-1,CI$15+1,"m"),)/12,)-1,)*Index!CE$23*(CI$15&lt;=$J57)*(1-CI$12)</f>
        <v>0</v>
      </c>
      <c r="CJ57" s="747">
        <f>$G57*$H57*(1+$K57)^MAX(ROUNDUP(IFERROR(DATEDIF($I57-1,CJ$15+1,"m"),)/12,)-1,)*Index!CF$23*(CJ$15&lt;=$J57)*(1-CJ$12)</f>
        <v>0</v>
      </c>
      <c r="CK57" s="747">
        <f>$G57*$H57*(1+$K57)^MAX(ROUNDUP(IFERROR(DATEDIF($I57-1,CK$15+1,"m"),)/12,)-1,)*Index!CG$23*(CK$15&lt;=$J57)*(1-CK$12)</f>
        <v>0</v>
      </c>
      <c r="CL57" s="747">
        <f>$G57*$H57*(1+$K57)^MAX(ROUNDUP(IFERROR(DATEDIF($I57-1,CL$15+1,"m"),)/12,)-1,)*Index!CH$23*(CL$15&lt;=$J57)*(1-CL$12)</f>
        <v>0</v>
      </c>
      <c r="CM57" s="747">
        <f>$G57*$H57*(1+$K57)^MAX(ROUNDUP(IFERROR(DATEDIF($I57-1,CM$15+1,"m"),)/12,)-1,)*Index!CI$23*(CM$15&lt;=$J57)*(1-CM$12)</f>
        <v>0</v>
      </c>
      <c r="CN57" s="747">
        <f>$G57*$H57*(1+$K57)^MAX(ROUNDUP(IFERROR(DATEDIF($I57-1,CN$15+1,"m"),)/12,)-1,)*Index!CJ$23*(CN$15&lt;=$J57)*(1-CN$12)</f>
        <v>0</v>
      </c>
      <c r="CO57" s="747">
        <f>$G57*$H57*(1+$K57)^MAX(ROUNDUP(IFERROR(DATEDIF($I57-1,CO$15+1,"m"),)/12,)-1,)*Index!CK$23*(CO$15&lt;=$J57)*(1-CO$12)</f>
        <v>0</v>
      </c>
      <c r="CP57" s="747">
        <f>$G57*$H57*(1+$K57)^MAX(ROUNDUP(IFERROR(DATEDIF($I57-1,CP$15+1,"m"),)/12,)-1,)*Index!CL$23*(CP$15&lt;=$J57)*(1-CP$12)</f>
        <v>0</v>
      </c>
      <c r="CQ57" s="747">
        <f>$G57*$H57*(1+$K57)^MAX(ROUNDUP(IFERROR(DATEDIF($I57-1,CQ$15+1,"m"),)/12,)-1,)*Index!CM$23*(CQ$15&lt;=$J57)*(1-CQ$12)</f>
        <v>0</v>
      </c>
      <c r="CR57" s="747">
        <f>$G57*$H57*(1+$K57)^MAX(ROUNDUP(IFERROR(DATEDIF($I57-1,CR$15+1,"m"),)/12,)-1,)*Index!CN$23*(CR$15&lt;=$J57)*(1-CR$12)</f>
        <v>0</v>
      </c>
      <c r="CS57" s="747">
        <f>$G57*$H57*(1+$K57)^MAX(ROUNDUP(IFERROR(DATEDIF($I57-1,CS$15+1,"m"),)/12,)-1,)*Index!CO$23*(CS$15&lt;=$J57)*(1-CS$12)</f>
        <v>0</v>
      </c>
      <c r="CT57" s="747">
        <f>$G57*$H57*(1+$K57)^MAX(ROUNDUP(IFERROR(DATEDIF($I57-1,CT$15+1,"m"),)/12,)-1,)*Index!CP$23*(CT$15&lt;=$J57)*(1-CT$12)</f>
        <v>0</v>
      </c>
      <c r="CU57" s="747">
        <f>$G57*$H57*(1+$K57)^MAX(ROUNDUP(IFERROR(DATEDIF($I57-1,CU$15+1,"m"),)/12,)-1,)*Index!CQ$23*(CU$15&lt;=$J57)*(1-CU$12)</f>
        <v>0</v>
      </c>
      <c r="CV57" s="747">
        <f>$G57*$H57*(1+$K57)^MAX(ROUNDUP(IFERROR(DATEDIF($I57-1,CV$15+1,"m"),)/12,)-1,)*Index!CR$23*(CV$15&lt;=$J57)*(1-CV$12)</f>
        <v>0</v>
      </c>
      <c r="CW57" s="747">
        <f>$G57*$H57*(1+$K57)^MAX(ROUNDUP(IFERROR(DATEDIF($I57-1,CW$15+1,"m"),)/12,)-1,)*Index!CS$23*(CW$15&lt;=$J57)*(1-CW$12)</f>
        <v>0</v>
      </c>
      <c r="CX57" s="747">
        <f>$G57*$H57*(1+$K57)^MAX(ROUNDUP(IFERROR(DATEDIF($I57-1,CX$15+1,"m"),)/12,)-1,)*Index!CT$23*(CX$15&lt;=$J57)*(1-CX$12)</f>
        <v>0</v>
      </c>
      <c r="CY57" s="747">
        <f>$G57*$H57*(1+$K57)^MAX(ROUNDUP(IFERROR(DATEDIF($I57-1,CY$15+1,"m"),)/12,)-1,)*Index!CU$23*(CY$15&lt;=$J57)*(1-CY$12)</f>
        <v>0</v>
      </c>
      <c r="CZ57" s="747">
        <f>$G57*$H57*(1+$K57)^MAX(ROUNDUP(IFERROR(DATEDIF($I57-1,CZ$15+1,"m"),)/12,)-1,)*Index!CV$23*(CZ$15&lt;=$J57)*(1-CZ$12)</f>
        <v>0</v>
      </c>
      <c r="DA57" s="747">
        <f>$G57*$H57*(1+$K57)^MAX(ROUNDUP(IFERROR(DATEDIF($I57-1,DA$15+1,"m"),)/12,)-1,)*Index!CW$23*(DA$15&lt;=$J57)*(1-DA$12)</f>
        <v>0</v>
      </c>
      <c r="DB57" s="747">
        <f>$G57*$H57*(1+$K57)^MAX(ROUNDUP(IFERROR(DATEDIF($I57-1,DB$15+1,"m"),)/12,)-1,)*Index!CX$23*(DB$15&lt;=$J57)*(1-DB$12)</f>
        <v>0</v>
      </c>
      <c r="DC57" s="747">
        <f>$G57*$H57*(1+$K57)^MAX(ROUNDUP(IFERROR(DATEDIF($I57-1,DC$15+1,"m"),)/12,)-1,)*Index!CY$23*(DC$15&lt;=$J57)*(1-DC$12)</f>
        <v>0</v>
      </c>
      <c r="DD57" s="747">
        <f>$G57*$H57*(1+$K57)^MAX(ROUNDUP(IFERROR(DATEDIF($I57-1,DD$15+1,"m"),)/12,)-1,)*Index!CZ$23*(DD$15&lt;=$J57)*(1-DD$12)</f>
        <v>0</v>
      </c>
      <c r="DE57" s="747">
        <f>$G57*$H57*(1+$K57)^MAX(ROUNDUP(IFERROR(DATEDIF($I57-1,DE$15+1,"m"),)/12,)-1,)*Index!DA$23*(DE$15&lt;=$J57)*(1-DE$12)</f>
        <v>0</v>
      </c>
      <c r="DF57" s="747">
        <f>$G57*$H57*(1+$K57)^MAX(ROUNDUP(IFERROR(DATEDIF($I57-1,DF$15+1,"m"),)/12,)-1,)*Index!DB$23*(DF$15&lt;=$J57)*(1-DF$12)</f>
        <v>0</v>
      </c>
      <c r="DG57" s="747">
        <f>$G57*$H57*(1+$K57)^MAX(ROUNDUP(IFERROR(DATEDIF($I57-1,DG$15+1,"m"),)/12,)-1,)*Index!DC$23*(DG$15&lt;=$J57)*(1-DG$12)</f>
        <v>0</v>
      </c>
      <c r="DH57" s="747">
        <f>$G57*$H57*(1+$K57)^MAX(ROUNDUP(IFERROR(DATEDIF($I57-1,DH$15+1,"m"),)/12,)-1,)*Index!DD$23*(DH$15&lt;=$J57)*(1-DH$12)</f>
        <v>0</v>
      </c>
      <c r="DI57" s="747">
        <f>$G57*$H57*(1+$K57)^MAX(ROUNDUP(IFERROR(DATEDIF($I57-1,DI$15+1,"m"),)/12,)-1,)*Index!DE$23*(DI$15&lt;=$J57)*(1-DI$12)</f>
        <v>0</v>
      </c>
      <c r="DJ57" s="747">
        <f>$G57*$H57*(1+$K57)^MAX(ROUNDUP(IFERROR(DATEDIF($I57-1,DJ$15+1,"m"),)/12,)-1,)*Index!DF$23*(DJ$15&lt;=$J57)*(1-DJ$12)</f>
        <v>0</v>
      </c>
      <c r="DK57" s="747">
        <f>$G57*$H57*(1+$K57)^MAX(ROUNDUP(IFERROR(DATEDIF($I57-1,DK$15+1,"m"),)/12,)-1,)*Index!DG$23*(DK$15&lt;=$J57)*(1-DK$12)</f>
        <v>0</v>
      </c>
      <c r="DL57" s="747">
        <f>$G57*$H57*(1+$K57)^MAX(ROUNDUP(IFERROR(DATEDIF($I57-1,DL$15+1,"m"),)/12,)-1,)*Index!DH$23*(DL$15&lt;=$J57)*(1-DL$12)</f>
        <v>0</v>
      </c>
      <c r="DM57" s="747">
        <f>$G57*$H57*(1+$K57)^MAX(ROUNDUP(IFERROR(DATEDIF($I57-1,DM$15+1,"m"),)/12,)-1,)*Index!DI$23*(DM$15&lt;=$J57)*(1-DM$12)</f>
        <v>0</v>
      </c>
      <c r="DN57" s="747">
        <f>$G57*$H57*(1+$K57)^MAX(ROUNDUP(IFERROR(DATEDIF($I57-1,DN$15+1,"m"),)/12,)-1,)*Index!DJ$23*(DN$15&lt;=$J57)*(1-DN$12)</f>
        <v>0</v>
      </c>
      <c r="DO57" s="747">
        <f>$G57*$H57*(1+$K57)^MAX(ROUNDUP(IFERROR(DATEDIF($I57-1,DO$15+1,"m"),)/12,)-1,)*Index!DK$23*(DO$15&lt;=$J57)*(1-DO$12)</f>
        <v>0</v>
      </c>
      <c r="DP57" s="747">
        <f>$G57*$H57*(1+$K57)^MAX(ROUNDUP(IFERROR(DATEDIF($I57-1,DP$15+1,"m"),)/12,)-1,)*Index!DL$23*(DP$15&lt;=$J57)*(1-DP$12)</f>
        <v>0</v>
      </c>
      <c r="DQ57" s="747">
        <f>$G57*$H57*(1+$K57)^MAX(ROUNDUP(IFERROR(DATEDIF($I57-1,DQ$15+1,"m"),)/12,)-1,)*Index!DM$23*(DQ$15&lt;=$J57)*(1-DQ$12)</f>
        <v>0</v>
      </c>
      <c r="DR57" s="747">
        <f>$G57*$H57*(1+$K57)^MAX(ROUNDUP(IFERROR(DATEDIF($I57-1,DR$15+1,"m"),)/12,)-1,)*Index!DN$23*(DR$15&lt;=$J57)*(1-DR$12)</f>
        <v>0</v>
      </c>
      <c r="DS57" s="747">
        <f>$G57*$H57*(1+$K57)^MAX(ROUNDUP(IFERROR(DATEDIF($I57-1,DS$15+1,"m"),)/12,)-1,)*Index!DO$23*(DS$15&lt;=$J57)*(1-DS$12)</f>
        <v>0</v>
      </c>
      <c r="DT57" s="747">
        <f>$G57*$H57*(1+$K57)^MAX(ROUNDUP(IFERROR(DATEDIF($I57-1,DT$15+1,"m"),)/12,)-1,)*Index!DP$23*(DT$15&lt;=$J57)*(1-DT$12)</f>
        <v>0</v>
      </c>
      <c r="DU57" s="747">
        <f>$G57*$H57*(1+$K57)^MAX(ROUNDUP(IFERROR(DATEDIF($I57-1,DU$15+1,"m"),)/12,)-1,)*Index!DQ$23*(DU$15&lt;=$J57)*(1-DU$12)</f>
        <v>0</v>
      </c>
      <c r="DV57" s="747">
        <f>$G57*$H57*(1+$K57)^MAX(ROUNDUP(IFERROR(DATEDIF($I57-1,DV$15+1,"m"),)/12,)-1,)*Index!DR$23*(DV$15&lt;=$J57)*(1-DV$12)</f>
        <v>0</v>
      </c>
      <c r="DW57" s="747">
        <f>$G57*$H57*(1+$K57)^MAX(ROUNDUP(IFERROR(DATEDIF($I57-1,DW$15+1,"m"),)/12,)-1,)*Index!DS$23*(DW$15&lt;=$J57)*(1-DW$12)</f>
        <v>0</v>
      </c>
      <c r="DX57" s="747">
        <f>$G57*$H57*(1+$K57)^MAX(ROUNDUP(IFERROR(DATEDIF($I57-1,DX$15+1,"m"),)/12,)-1,)*Index!DT$23*(DX$15&lt;=$J57)*(1-DX$12)</f>
        <v>0</v>
      </c>
      <c r="DY57" s="747">
        <f>$G57*$H57*(1+$K57)^MAX(ROUNDUP(IFERROR(DATEDIF($I57-1,DY$15+1,"m"),)/12,)-1,)*Index!DU$23*(DY$15&lt;=$J57)*(1-DY$12)</f>
        <v>0</v>
      </c>
      <c r="DZ57" s="747">
        <f>$G57*$H57*(1+$K57)^MAX(ROUNDUP(IFERROR(DATEDIF($I57-1,DZ$15+1,"m"),)/12,)-1,)*Index!DV$23*(DZ$15&lt;=$J57)*(1-DZ$12)</f>
        <v>0</v>
      </c>
      <c r="EA57" s="747">
        <f>$G57*$H57*(1+$K57)^MAX(ROUNDUP(IFERROR(DATEDIF($I57-1,EA$15+1,"m"),)/12,)-1,)*Index!DW$23*(EA$15&lt;=$J57)*(1-EA$12)</f>
        <v>0</v>
      </c>
      <c r="EB57" s="747">
        <f>$G57*$H57*(1+$K57)^MAX(ROUNDUP(IFERROR(DATEDIF($I57-1,EB$15+1,"m"),)/12,)-1,)*Index!DX$23*(EB$15&lt;=$J57)*(1-EB$12)</f>
        <v>0</v>
      </c>
      <c r="EC57" s="747">
        <f>$G57*$H57*(1+$K57)^MAX(ROUNDUP(IFERROR(DATEDIF($I57-1,EC$15+1,"m"),)/12,)-1,)*Index!DY$23*(EC$15&lt;=$J57)*(1-EC$12)</f>
        <v>0</v>
      </c>
      <c r="ED57" s="747">
        <f>$G57*$H57*(1+$K57)^MAX(ROUNDUP(IFERROR(DATEDIF($I57-1,ED$15+1,"m"),)/12,)-1,)*Index!DZ$23*(ED$15&lt;=$J57)*(1-ED$12)</f>
        <v>0</v>
      </c>
      <c r="EE57" s="747">
        <f>$G57*$H57*(1+$K57)^MAX(ROUNDUP(IFERROR(DATEDIF($I57-1,EE$15+1,"m"),)/12,)-1,)*Index!EA$23*(EE$15&lt;=$J57)*(1-EE$12)</f>
        <v>0</v>
      </c>
      <c r="EF57" s="747">
        <f>$G57*$H57*(1+$K57)^MAX(ROUNDUP(IFERROR(DATEDIF($I57-1,EF$15+1,"m"),)/12,)-1,)*Index!EB$23*(EF$15&lt;=$J57)*(1-EF$12)</f>
        <v>0</v>
      </c>
      <c r="EG57" s="747">
        <f>$G57*$H57*(1+$K57)^MAX(ROUNDUP(IFERROR(DATEDIF($I57-1,EG$15+1,"m"),)/12,)-1,)*Index!EC$23*(EG$15&lt;=$J57)*(1-EG$12)</f>
        <v>0</v>
      </c>
      <c r="EH57" s="747">
        <f>$G57*$H57*(1+$K57)^MAX(ROUNDUP(IFERROR(DATEDIF($I57-1,EH$15+1,"m"),)/12,)-1,)*Index!ED$23*(EH$15&lt;=$J57)*(1-EH$12)</f>
        <v>0</v>
      </c>
      <c r="EI57" s="747">
        <f>$G57*$H57*(1+$K57)^MAX(ROUNDUP(IFERROR(DATEDIF($I57-1,EI$15+1,"m"),)/12,)-1,)*Index!EE$23*(EI$15&lt;=$J57)*(1-EI$12)</f>
        <v>0</v>
      </c>
      <c r="EJ57" s="747">
        <f>$G57*$H57*(1+$K57)^MAX(ROUNDUP(IFERROR(DATEDIF($I57-1,EJ$15+1,"m"),)/12,)-1,)*Index!EF$23*(EJ$15&lt;=$J57)*(1-EJ$12)</f>
        <v>0</v>
      </c>
      <c r="EK57" s="747">
        <f>$G57*$H57*(1+$K57)^MAX(ROUNDUP(IFERROR(DATEDIF($I57-1,EK$15+1,"m"),)/12,)-1,)*Index!EG$23*(EK$15&lt;=$J57)*(1-EK$12)</f>
        <v>0</v>
      </c>
      <c r="EL57" s="747">
        <f>$G57*$H57*(1+$K57)^MAX(ROUNDUP(IFERROR(DATEDIF($I57-1,EL$15+1,"m"),)/12,)-1,)*Index!EH$23*(EL$15&lt;=$J57)*(1-EL$12)</f>
        <v>0</v>
      </c>
      <c r="EM57" s="747">
        <f>$G57*$H57*(1+$K57)^MAX(ROUNDUP(IFERROR(DATEDIF($I57-1,EM$15+1,"m"),)/12,)-1,)*Index!EI$23*(EM$15&lt;=$J57)*(1-EM$12)</f>
        <v>0</v>
      </c>
      <c r="EN57" s="747">
        <f>$G57*$H57*(1+$K57)^MAX(ROUNDUP(IFERROR(DATEDIF($I57-1,EN$15+1,"m"),)/12,)-1,)*Index!EJ$23*(EN$15&lt;=$J57)*(1-EN$12)</f>
        <v>0</v>
      </c>
      <c r="EO57" s="747">
        <f>$G57*$H57*(1+$K57)^MAX(ROUNDUP(IFERROR(DATEDIF($I57-1,EO$15+1,"m"),)/12,)-1,)*Index!EK$23*(EO$15&lt;=$J57)*(1-EO$12)</f>
        <v>0</v>
      </c>
      <c r="EP57" s="747">
        <f>$G57*$H57*(1+$K57)^MAX(ROUNDUP(IFERROR(DATEDIF($I57-1,EP$15+1,"m"),)/12,)-1,)*Index!EL$23*(EP$15&lt;=$J57)*(1-EP$12)</f>
        <v>0</v>
      </c>
      <c r="EQ57" s="747">
        <f>$G57*$H57*(1+$K57)^MAX(ROUNDUP(IFERROR(DATEDIF($I57-1,EQ$15+1,"m"),)/12,)-1,)*Index!EM$23*(EQ$15&lt;=$J57)*(1-EQ$12)</f>
        <v>0</v>
      </c>
      <c r="ER57" s="747">
        <f>$G57*$H57*(1+$K57)^MAX(ROUNDUP(IFERROR(DATEDIF($I57-1,ER$15+1,"m"),)/12,)-1,)*Index!EN$23*(ER$15&lt;=$J57)*(1-ER$12)</f>
        <v>0</v>
      </c>
      <c r="ES57" s="747">
        <f>$G57*$H57*(1+$K57)^MAX(ROUNDUP(IFERROR(DATEDIF($I57-1,ES$15+1,"m"),)/12,)-1,)*Index!EO$23*(ES$15&lt;=$J57)*(1-ES$12)</f>
        <v>0</v>
      </c>
      <c r="ET57" s="747">
        <f>$G57*$H57*(1+$K57)^MAX(ROUNDUP(IFERROR(DATEDIF($I57-1,ET$15+1,"m"),)/12,)-1,)*Index!EP$23*(ET$15&lt;=$J57)*(1-ET$12)</f>
        <v>0</v>
      </c>
      <c r="EU57" s="747">
        <f>$G57*$H57*(1+$K57)^MAX(ROUNDUP(IFERROR(DATEDIF($I57-1,EU$15+1,"m"),)/12,)-1,)*Index!EQ$23*(EU$15&lt;=$J57)*(1-EU$12)</f>
        <v>0</v>
      </c>
    </row>
    <row r="58" spans="3:151" ht="11.25" customHeight="1">
      <c r="C58" s="828"/>
      <c r="D58" s="743">
        <f t="shared" ref="D58:K58" si="25">D22</f>
        <v>7</v>
      </c>
      <c r="E58" s="704" t="str">
        <f t="shared" si="25"/>
        <v>쿠팡</v>
      </c>
      <c r="F58" s="704" t="str">
        <f t="shared" si="25"/>
        <v>상온창고</v>
      </c>
      <c r="G58" s="752">
        <f t="shared" si="25"/>
        <v>60</v>
      </c>
      <c r="H58" s="744">
        <f t="shared" si="25"/>
        <v>1550.42</v>
      </c>
      <c r="I58" s="745">
        <f t="shared" si="25"/>
        <v>45323</v>
      </c>
      <c r="J58" s="745">
        <f t="shared" si="25"/>
        <v>49064</v>
      </c>
      <c r="K58" s="754">
        <f t="shared" si="25"/>
        <v>2.5000000000000001E-2</v>
      </c>
      <c r="L58" s="746"/>
      <c r="M58" s="722"/>
      <c r="N58" s="747">
        <f t="shared" si="21"/>
        <v>0</v>
      </c>
      <c r="O58" s="733"/>
      <c r="P58" s="747">
        <f>$G58*$H58*(1+$K58)^MAX(ROUNDUP(IFERROR(DATEDIF($I58-1,P$15+1,"m"),)/12,)-1,)*Index!L$23*(P$15&lt;=$J58)*(1-P$12)</f>
        <v>0</v>
      </c>
      <c r="Q58" s="747">
        <f>$G58*$H58*(1+$K58)^MAX(ROUNDUP(IFERROR(DATEDIF($I58-1,Q$15+1,"m"),)/12,)-1,)*Index!M$23*(Q$15&lt;=$J58)*(1-Q$12)</f>
        <v>0</v>
      </c>
      <c r="R58" s="747">
        <f>$G58*$H58*(1+$K58)^MAX(ROUNDUP(IFERROR(DATEDIF($I58-1,R$15+1,"m"),)/12,)-1,)*Index!N$23*(R$15&lt;=$J58)*(1-R$12)</f>
        <v>0</v>
      </c>
      <c r="S58" s="747">
        <f>$G58*$H58*(1+$K58)^MAX(ROUNDUP(IFERROR(DATEDIF($I58-1,S$15+1,"m"),)/12,)-1,)*Index!O$23*(S$15&lt;=$J58)*(1-S$12)</f>
        <v>0</v>
      </c>
      <c r="T58" s="747">
        <f>$G58*$H58*(1+$K58)^MAX(ROUNDUP(IFERROR(DATEDIF($I58-1,T$15+1,"m"),)/12,)-1,)*Index!P$23*(T$15&lt;=$J58)*(1-T$12)</f>
        <v>0</v>
      </c>
      <c r="U58" s="747">
        <f>$G58*$H58*(1+$K58)^MAX(ROUNDUP(IFERROR(DATEDIF($I58-1,U$15+1,"m"),)/12,)-1,)*Index!Q$23*(U$15&lt;=$J58)*(1-U$12)</f>
        <v>0</v>
      </c>
      <c r="V58" s="747">
        <f>$G58*$H58*(1+$K58)^MAX(ROUNDUP(IFERROR(DATEDIF($I58-1,V$15+1,"m"),)/12,)-1,)*Index!R$23*(V$15&lt;=$J58)*(1-V$12)</f>
        <v>0</v>
      </c>
      <c r="W58" s="747">
        <f>$G58*$H58*(1+$K58)^MAX(ROUNDUP(IFERROR(DATEDIF($I58-1,W$15+1,"m"),)/12,)-1,)*Index!S$23*(W$15&lt;=$J58)*(1-W$12)</f>
        <v>0</v>
      </c>
      <c r="X58" s="747">
        <f>$G58*$H58*(1+$K58)^MAX(ROUNDUP(IFERROR(DATEDIF($I58-1,X$15+1,"m"),)/12,)-1,)*Index!T$23*(X$15&lt;=$J58)*(1-X$12)</f>
        <v>0</v>
      </c>
      <c r="Y58" s="747">
        <f>$G58*$H58*(1+$K58)^MAX(ROUNDUP(IFERROR(DATEDIF($I58-1,Y$15+1,"m"),)/12,)-1,)*Index!U$23*(Y$15&lt;=$J58)*(1-Y$12)</f>
        <v>0</v>
      </c>
      <c r="Z58" s="747">
        <f>$G58*$H58*(1+$K58)^MAX(ROUNDUP(IFERROR(DATEDIF($I58-1,Z$15+1,"m"),)/12,)-1,)*Index!V$23*(Z$15&lt;=$J58)*(1-Z$12)</f>
        <v>0</v>
      </c>
      <c r="AA58" s="747">
        <f>$G58*$H58*(1+$K58)^MAX(ROUNDUP(IFERROR(DATEDIF($I58-1,AA$15+1,"m"),)/12,)-1,)*Index!W$23*(AA$15&lt;=$J58)*(1-AA$12)</f>
        <v>0</v>
      </c>
      <c r="AB58" s="747">
        <f>$G58*$H58*(1+$K58)^MAX(ROUNDUP(IFERROR(DATEDIF($I58-1,AB$15+1,"m"),)/12,)-1,)*Index!X$23*(AB$15&lt;=$J58)*(1-AB$12)</f>
        <v>0</v>
      </c>
      <c r="AC58" s="747">
        <f>$G58*$H58*(1+$K58)^MAX(ROUNDUP(IFERROR(DATEDIF($I58-1,AC$15+1,"m"),)/12,)-1,)*Index!Y$23*(AC$15&lt;=$J58)*(1-AC$12)</f>
        <v>0</v>
      </c>
      <c r="AD58" s="747">
        <f>$G58*$H58*(1+$K58)^MAX(ROUNDUP(IFERROR(DATEDIF($I58-1,AD$15+1,"m"),)/12,)-1,)*Index!Z$23*(AD$15&lt;=$J58)*(1-AD$12)</f>
        <v>0</v>
      </c>
      <c r="AE58" s="747">
        <f>$G58*$H58*(1+$K58)^MAX(ROUNDUP(IFERROR(DATEDIF($I58-1,AE$15+1,"m"),)/12,)-1,)*Index!AA$23*(AE$15&lt;=$J58)*(1-AE$12)</f>
        <v>0</v>
      </c>
      <c r="AF58" s="747">
        <f>$G58*$H58*(1+$K58)^MAX(ROUNDUP(IFERROR(DATEDIF($I58-1,AF$15+1,"m"),)/12,)-1,)*Index!AB$23*(AF$15&lt;=$J58)*(1-AF$12)</f>
        <v>0</v>
      </c>
      <c r="AG58" s="747">
        <f>$G58*$H58*(1+$K58)^MAX(ROUNDUP(IFERROR(DATEDIF($I58-1,AG$15+1,"m"),)/12,)-1,)*Index!AC$23*(AG$15&lt;=$J58)*(1-AG$12)</f>
        <v>0</v>
      </c>
      <c r="AH58" s="747">
        <f>$G58*$H58*(1+$K58)^MAX(ROUNDUP(IFERROR(DATEDIF($I58-1,AH$15+1,"m"),)/12,)-1,)*Index!AD$23*(AH$15&lt;=$J58)*(1-AH$12)</f>
        <v>0</v>
      </c>
      <c r="AI58" s="747">
        <f>$G58*$H58*(1+$K58)^MAX(ROUNDUP(IFERROR(DATEDIF($I58-1,AI$15+1,"m"),)/12,)-1,)*Index!AE$23*(AI$15&lt;=$J58)*(1-AI$12)</f>
        <v>0</v>
      </c>
      <c r="AJ58" s="747">
        <f>$G58*$H58*(1+$K58)^MAX(ROUNDUP(IFERROR(DATEDIF($I58-1,AJ$15+1,"m"),)/12,)-1,)*Index!AF$23*(AJ$15&lt;=$J58)*(1-AJ$12)</f>
        <v>0</v>
      </c>
      <c r="AK58" s="747">
        <f>$G58*$H58*(1+$K58)^MAX(ROUNDUP(IFERROR(DATEDIF($I58-1,AK$15+1,"m"),)/12,)-1,)*Index!AG$23*(AK$15&lt;=$J58)*(1-AK$12)</f>
        <v>0</v>
      </c>
      <c r="AL58" s="747">
        <f>$G58*$H58*(1+$K58)^MAX(ROUNDUP(IFERROR(DATEDIF($I58-1,AL$15+1,"m"),)/12,)-1,)*Index!AH$23*(AL$15&lt;=$J58)*(1-AL$12)</f>
        <v>0</v>
      </c>
      <c r="AM58" s="747">
        <f>$G58*$H58*(1+$K58)^MAX(ROUNDUP(IFERROR(DATEDIF($I58-1,AM$15+1,"m"),)/12,)-1,)*Index!AI$23*(AM$15&lt;=$J58)*(1-AM$12)</f>
        <v>0</v>
      </c>
      <c r="AN58" s="747">
        <f>$G58*$H58*(1+$K58)^MAX(ROUNDUP(IFERROR(DATEDIF($I58-1,AN$15+1,"m"),)/12,)-1,)*Index!AJ$23*(AN$15&lt;=$J58)*(1-AN$12)</f>
        <v>0</v>
      </c>
      <c r="AO58" s="747">
        <f>$G58*$H58*(1+$K58)^MAX(ROUNDUP(IFERROR(DATEDIF($I58-1,AO$15+1,"m"),)/12,)-1,)*Index!AK$23*(AO$15&lt;=$J58)*(1-AO$12)</f>
        <v>0</v>
      </c>
      <c r="AP58" s="747">
        <f>$G58*$H58*(1+$K58)^MAX(ROUNDUP(IFERROR(DATEDIF($I58-1,AP$15+1,"m"),)/12,)-1,)*Index!AL$23*(AP$15&lt;=$J58)*(1-AP$12)</f>
        <v>0</v>
      </c>
      <c r="AQ58" s="747">
        <f>$G58*$H58*(1+$K58)^MAX(ROUNDUP(IFERROR(DATEDIF($I58-1,AQ$15+1,"m"),)/12,)-1,)*Index!AM$23*(AQ$15&lt;=$J58)*(1-AQ$12)</f>
        <v>0</v>
      </c>
      <c r="AR58" s="747">
        <f>$G58*$H58*(1+$K58)^MAX(ROUNDUP(IFERROR(DATEDIF($I58-1,AR$15+1,"m"),)/12,)-1,)*Index!AN$23*(AR$15&lt;=$J58)*(1-AR$12)</f>
        <v>0</v>
      </c>
      <c r="AS58" s="747">
        <f>$G58*$H58*(1+$K58)^MAX(ROUNDUP(IFERROR(DATEDIF($I58-1,AS$15+1,"m"),)/12,)-1,)*Index!AO$23*(AS$15&lt;=$J58)*(1-AS$12)</f>
        <v>0</v>
      </c>
      <c r="AT58" s="747">
        <f>$G58*$H58*(1+$K58)^MAX(ROUNDUP(IFERROR(DATEDIF($I58-1,AT$15+1,"m"),)/12,)-1,)*Index!AP$23*(AT$15&lt;=$J58)*(1-AT$12)</f>
        <v>0</v>
      </c>
      <c r="AU58" s="747">
        <f>$G58*$H58*(1+$K58)^MAX(ROUNDUP(IFERROR(DATEDIF($I58-1,AU$15+1,"m"),)/12,)-1,)*Index!AQ$23*(AU$15&lt;=$J58)*(1-AU$12)</f>
        <v>0</v>
      </c>
      <c r="AV58" s="747">
        <f>$G58*$H58*(1+$K58)^MAX(ROUNDUP(IFERROR(DATEDIF($I58-1,AV$15+1,"m"),)/12,)-1,)*Index!AR$23*(AV$15&lt;=$J58)*(1-AV$12)</f>
        <v>0</v>
      </c>
      <c r="AW58" s="747">
        <f>$G58*$H58*(1+$K58)^MAX(ROUNDUP(IFERROR(DATEDIF($I58-1,AW$15+1,"m"),)/12,)-1,)*Index!AS$23*(AW$15&lt;=$J58)*(1-AW$12)</f>
        <v>0</v>
      </c>
      <c r="AX58" s="747">
        <f>$G58*$H58*(1+$K58)^MAX(ROUNDUP(IFERROR(DATEDIF($I58-1,AX$15+1,"m"),)/12,)-1,)*Index!AT$23*(AX$15&lt;=$J58)*(1-AX$12)</f>
        <v>0</v>
      </c>
      <c r="AY58" s="747">
        <f>$G58*$H58*(1+$K58)^MAX(ROUNDUP(IFERROR(DATEDIF($I58-1,AY$15+1,"m"),)/12,)-1,)*Index!AU$23*(AY$15&lt;=$J58)*(1-AY$12)</f>
        <v>0</v>
      </c>
      <c r="AZ58" s="747">
        <f>$G58*$H58*(1+$K58)^MAX(ROUNDUP(IFERROR(DATEDIF($I58-1,AZ$15+1,"m"),)/12,)-1,)*Index!AV$23*(AZ$15&lt;=$J58)*(1-AZ$12)</f>
        <v>0</v>
      </c>
      <c r="BA58" s="747">
        <f>$G58*$H58*(1+$K58)^MAX(ROUNDUP(IFERROR(DATEDIF($I58-1,BA$15+1,"m"),)/12,)-1,)*Index!AW$23*(BA$15&lt;=$J58)*(1-BA$12)</f>
        <v>0</v>
      </c>
      <c r="BB58" s="747">
        <f>$G58*$H58*(1+$K58)^MAX(ROUNDUP(IFERROR(DATEDIF($I58-1,BB$15+1,"m"),)/12,)-1,)*Index!AX$23*(BB$15&lt;=$J58)*(1-BB$12)</f>
        <v>0</v>
      </c>
      <c r="BC58" s="747">
        <f>$G58*$H58*(1+$K58)^MAX(ROUNDUP(IFERROR(DATEDIF($I58-1,BC$15+1,"m"),)/12,)-1,)*Index!AY$23*(BC$15&lt;=$J58)*(1-BC$12)</f>
        <v>0</v>
      </c>
      <c r="BD58" s="747">
        <f>$G58*$H58*(1+$K58)^MAX(ROUNDUP(IFERROR(DATEDIF($I58-1,BD$15+1,"m"),)/12,)-1,)*Index!AZ$23*(BD$15&lt;=$J58)*(1-BD$12)</f>
        <v>0</v>
      </c>
      <c r="BE58" s="747">
        <f>$G58*$H58*(1+$K58)^MAX(ROUNDUP(IFERROR(DATEDIF($I58-1,BE$15+1,"m"),)/12,)-1,)*Index!BA$23*(BE$15&lt;=$J58)*(1-BE$12)</f>
        <v>0</v>
      </c>
      <c r="BF58" s="747">
        <f>$G58*$H58*(1+$K58)^MAX(ROUNDUP(IFERROR(DATEDIF($I58-1,BF$15+1,"m"),)/12,)-1,)*Index!BB$23*(BF$15&lt;=$J58)*(1-BF$12)</f>
        <v>0</v>
      </c>
      <c r="BG58" s="747">
        <f>$G58*$H58*(1+$K58)^MAX(ROUNDUP(IFERROR(DATEDIF($I58-1,BG$15+1,"m"),)/12,)-1,)*Index!BC$23*(BG$15&lt;=$J58)*(1-BG$12)</f>
        <v>0</v>
      </c>
      <c r="BH58" s="747">
        <f>$G58*$H58*(1+$K58)^MAX(ROUNDUP(IFERROR(DATEDIF($I58-1,BH$15+1,"m"),)/12,)-1,)*Index!BD$23*(BH$15&lt;=$J58)*(1-BH$12)</f>
        <v>0</v>
      </c>
      <c r="BI58" s="747">
        <f>$G58*$H58*(1+$K58)^MAX(ROUNDUP(IFERROR(DATEDIF($I58-1,BI$15+1,"m"),)/12,)-1,)*Index!BE$23*(BI$15&lt;=$J58)*(1-BI$12)</f>
        <v>0</v>
      </c>
      <c r="BJ58" s="747">
        <f>$G58*$H58*(1+$K58)^MAX(ROUNDUP(IFERROR(DATEDIF($I58-1,BJ$15+1,"m"),)/12,)-1,)*Index!BF$23*(BJ$15&lt;=$J58)*(1-BJ$12)</f>
        <v>0</v>
      </c>
      <c r="BK58" s="747">
        <f>$G58*$H58*(1+$K58)^MAX(ROUNDUP(IFERROR(DATEDIF($I58-1,BK$15+1,"m"),)/12,)-1,)*Index!BG$23*(BK$15&lt;=$J58)*(1-BK$12)</f>
        <v>0</v>
      </c>
      <c r="BL58" s="747">
        <f>$G58*$H58*(1+$K58)^MAX(ROUNDUP(IFERROR(DATEDIF($I58-1,BL$15+1,"m"),)/12,)-1,)*Index!BH$23*(BL$15&lt;=$J58)*(1-BL$12)</f>
        <v>0</v>
      </c>
      <c r="BM58" s="747">
        <f>$G58*$H58*(1+$K58)^MAX(ROUNDUP(IFERROR(DATEDIF($I58-1,BM$15+1,"m"),)/12,)-1,)*Index!BI$23*(BM$15&lt;=$J58)*(1-BM$12)</f>
        <v>0</v>
      </c>
      <c r="BN58" s="747">
        <f>$G58*$H58*(1+$K58)^MAX(ROUNDUP(IFERROR(DATEDIF($I58-1,BN$15+1,"m"),)/12,)-1,)*Index!BJ$23*(BN$15&lt;=$J58)*(1-BN$12)</f>
        <v>0</v>
      </c>
      <c r="BO58" s="747">
        <f>$G58*$H58*(1+$K58)^MAX(ROUNDUP(IFERROR(DATEDIF($I58-1,BO$15+1,"m"),)/12,)-1,)*Index!BK$23*(BO$15&lt;=$J58)*(1-BO$12)</f>
        <v>0</v>
      </c>
      <c r="BP58" s="747">
        <f>$G58*$H58*(1+$K58)^MAX(ROUNDUP(IFERROR(DATEDIF($I58-1,BP$15+1,"m"),)/12,)-1,)*Index!BL$23*(BP$15&lt;=$J58)*(1-BP$12)</f>
        <v>0</v>
      </c>
      <c r="BQ58" s="747">
        <f>$G58*$H58*(1+$K58)^MAX(ROUNDUP(IFERROR(DATEDIF($I58-1,BQ$15+1,"m"),)/12,)-1,)*Index!BM$23*(BQ$15&lt;=$J58)*(1-BQ$12)</f>
        <v>0</v>
      </c>
      <c r="BR58" s="747">
        <f>$G58*$H58*(1+$K58)^MAX(ROUNDUP(IFERROR(DATEDIF($I58-1,BR$15+1,"m"),)/12,)-1,)*Index!BN$23*(BR$15&lt;=$J58)*(1-BR$12)</f>
        <v>0</v>
      </c>
      <c r="BS58" s="747">
        <f>$G58*$H58*(1+$K58)^MAX(ROUNDUP(IFERROR(DATEDIF($I58-1,BS$15+1,"m"),)/12,)-1,)*Index!BO$23*(BS$15&lt;=$J58)*(1-BS$12)</f>
        <v>0</v>
      </c>
      <c r="BT58" s="747">
        <f>$G58*$H58*(1+$K58)^MAX(ROUNDUP(IFERROR(DATEDIF($I58-1,BT$15+1,"m"),)/12,)-1,)*Index!BP$23*(BT$15&lt;=$J58)*(1-BT$12)</f>
        <v>0</v>
      </c>
      <c r="BU58" s="747">
        <f>$G58*$H58*(1+$K58)^MAX(ROUNDUP(IFERROR(DATEDIF($I58-1,BU$15+1,"m"),)/12,)-1,)*Index!BQ$23*(BU$15&lt;=$J58)*(1-BU$12)</f>
        <v>0</v>
      </c>
      <c r="BV58" s="747">
        <f>$G58*$H58*(1+$K58)^MAX(ROUNDUP(IFERROR(DATEDIF($I58-1,BV$15+1,"m"),)/12,)-1,)*Index!BR$23*(BV$15&lt;=$J58)*(1-BV$12)</f>
        <v>0</v>
      </c>
      <c r="BW58" s="747">
        <f>$G58*$H58*(1+$K58)^MAX(ROUNDUP(IFERROR(DATEDIF($I58-1,BW$15+1,"m"),)/12,)-1,)*Index!BS$23*(BW$15&lt;=$J58)*(1-BW$12)</f>
        <v>0</v>
      </c>
      <c r="BX58" s="747">
        <f>$G58*$H58*(1+$K58)^MAX(ROUNDUP(IFERROR(DATEDIF($I58-1,BX$15+1,"m"),)/12,)-1,)*Index!BT$23*(BX$15&lt;=$J58)*(1-BX$12)</f>
        <v>0</v>
      </c>
      <c r="BY58" s="747">
        <f>$G58*$H58*(1+$K58)^MAX(ROUNDUP(IFERROR(DATEDIF($I58-1,BY$15+1,"m"),)/12,)-1,)*Index!BU$23*(BY$15&lt;=$J58)*(1-BY$12)</f>
        <v>0</v>
      </c>
      <c r="BZ58" s="747">
        <f>$G58*$H58*(1+$K58)^MAX(ROUNDUP(IFERROR(DATEDIF($I58-1,BZ$15+1,"m"),)/12,)-1,)*Index!BV$23*(BZ$15&lt;=$J58)*(1-BZ$12)</f>
        <v>0</v>
      </c>
      <c r="CA58" s="747">
        <f>$G58*$H58*(1+$K58)^MAX(ROUNDUP(IFERROR(DATEDIF($I58-1,CA$15+1,"m"),)/12,)-1,)*Index!BW$23*(CA$15&lt;=$J58)*(1-CA$12)</f>
        <v>0</v>
      </c>
      <c r="CB58" s="747">
        <f>$G58*$H58*(1+$K58)^MAX(ROUNDUP(IFERROR(DATEDIF($I58-1,CB$15+1,"m"),)/12,)-1,)*Index!BX$23*(CB$15&lt;=$J58)*(1-CB$12)</f>
        <v>0</v>
      </c>
      <c r="CC58" s="747">
        <f>$G58*$H58*(1+$K58)^MAX(ROUNDUP(IFERROR(DATEDIF($I58-1,CC$15+1,"m"),)/12,)-1,)*Index!BY$23*(CC$15&lt;=$J58)*(1-CC$12)</f>
        <v>0</v>
      </c>
      <c r="CD58" s="747">
        <f>$G58*$H58*(1+$K58)^MAX(ROUNDUP(IFERROR(DATEDIF($I58-1,CD$15+1,"m"),)/12,)-1,)*Index!BZ$23*(CD$15&lt;=$J58)*(1-CD$12)</f>
        <v>0</v>
      </c>
      <c r="CE58" s="747">
        <f>$G58*$H58*(1+$K58)^MAX(ROUNDUP(IFERROR(DATEDIF($I58-1,CE$15+1,"m"),)/12,)-1,)*Index!CA$23*(CE$15&lt;=$J58)*(1-CE$12)</f>
        <v>0</v>
      </c>
      <c r="CF58" s="747">
        <f>$G58*$H58*(1+$K58)^MAX(ROUNDUP(IFERROR(DATEDIF($I58-1,CF$15+1,"m"),)/12,)-1,)*Index!CB$23*(CF$15&lt;=$J58)*(1-CF$12)</f>
        <v>0</v>
      </c>
      <c r="CG58" s="747">
        <f>$G58*$H58*(1+$K58)^MAX(ROUNDUP(IFERROR(DATEDIF($I58-1,CG$15+1,"m"),)/12,)-1,)*Index!CC$23*(CG$15&lt;=$J58)*(1-CG$12)</f>
        <v>0</v>
      </c>
      <c r="CH58" s="747">
        <f>$G58*$H58*(1+$K58)^MAX(ROUNDUP(IFERROR(DATEDIF($I58-1,CH$15+1,"m"),)/12,)-1,)*Index!CD$23*(CH$15&lt;=$J58)*(1-CH$12)</f>
        <v>0</v>
      </c>
      <c r="CI58" s="747">
        <f>$G58*$H58*(1+$K58)^MAX(ROUNDUP(IFERROR(DATEDIF($I58-1,CI$15+1,"m"),)/12,)-1,)*Index!CE$23*(CI$15&lt;=$J58)*(1-CI$12)</f>
        <v>0</v>
      </c>
      <c r="CJ58" s="747">
        <f>$G58*$H58*(1+$K58)^MAX(ROUNDUP(IFERROR(DATEDIF($I58-1,CJ$15+1,"m"),)/12,)-1,)*Index!CF$23*(CJ$15&lt;=$J58)*(1-CJ$12)</f>
        <v>0</v>
      </c>
      <c r="CK58" s="747">
        <f>$G58*$H58*(1+$K58)^MAX(ROUNDUP(IFERROR(DATEDIF($I58-1,CK$15+1,"m"),)/12,)-1,)*Index!CG$23*(CK$15&lt;=$J58)*(1-CK$12)</f>
        <v>0</v>
      </c>
      <c r="CL58" s="747">
        <f>$G58*$H58*(1+$K58)^MAX(ROUNDUP(IFERROR(DATEDIF($I58-1,CL$15+1,"m"),)/12,)-1,)*Index!CH$23*(CL$15&lt;=$J58)*(1-CL$12)</f>
        <v>0</v>
      </c>
      <c r="CM58" s="747">
        <f>$G58*$H58*(1+$K58)^MAX(ROUNDUP(IFERROR(DATEDIF($I58-1,CM$15+1,"m"),)/12,)-1,)*Index!CI$23*(CM$15&lt;=$J58)*(1-CM$12)</f>
        <v>0</v>
      </c>
      <c r="CN58" s="747">
        <f>$G58*$H58*(1+$K58)^MAX(ROUNDUP(IFERROR(DATEDIF($I58-1,CN$15+1,"m"),)/12,)-1,)*Index!CJ$23*(CN$15&lt;=$J58)*(1-CN$12)</f>
        <v>0</v>
      </c>
      <c r="CO58" s="747">
        <f>$G58*$H58*(1+$K58)^MAX(ROUNDUP(IFERROR(DATEDIF($I58-1,CO$15+1,"m"),)/12,)-1,)*Index!CK$23*(CO$15&lt;=$J58)*(1-CO$12)</f>
        <v>0</v>
      </c>
      <c r="CP58" s="747">
        <f>$G58*$H58*(1+$K58)^MAX(ROUNDUP(IFERROR(DATEDIF($I58-1,CP$15+1,"m"),)/12,)-1,)*Index!CL$23*(CP$15&lt;=$J58)*(1-CP$12)</f>
        <v>0</v>
      </c>
      <c r="CQ58" s="747">
        <f>$G58*$H58*(1+$K58)^MAX(ROUNDUP(IFERROR(DATEDIF($I58-1,CQ$15+1,"m"),)/12,)-1,)*Index!CM$23*(CQ$15&lt;=$J58)*(1-CQ$12)</f>
        <v>0</v>
      </c>
      <c r="CR58" s="747">
        <f>$G58*$H58*(1+$K58)^MAX(ROUNDUP(IFERROR(DATEDIF($I58-1,CR$15+1,"m"),)/12,)-1,)*Index!CN$23*(CR$15&lt;=$J58)*(1-CR$12)</f>
        <v>0</v>
      </c>
      <c r="CS58" s="747">
        <f>$G58*$H58*(1+$K58)^MAX(ROUNDUP(IFERROR(DATEDIF($I58-1,CS$15+1,"m"),)/12,)-1,)*Index!CO$23*(CS$15&lt;=$J58)*(1-CS$12)</f>
        <v>0</v>
      </c>
      <c r="CT58" s="747">
        <f>$G58*$H58*(1+$K58)^MAX(ROUNDUP(IFERROR(DATEDIF($I58-1,CT$15+1,"m"),)/12,)-1,)*Index!CP$23*(CT$15&lt;=$J58)*(1-CT$12)</f>
        <v>0</v>
      </c>
      <c r="CU58" s="747">
        <f>$G58*$H58*(1+$K58)^MAX(ROUNDUP(IFERROR(DATEDIF($I58-1,CU$15+1,"m"),)/12,)-1,)*Index!CQ$23*(CU$15&lt;=$J58)*(1-CU$12)</f>
        <v>0</v>
      </c>
      <c r="CV58" s="747">
        <f>$G58*$H58*(1+$K58)^MAX(ROUNDUP(IFERROR(DATEDIF($I58-1,CV$15+1,"m"),)/12,)-1,)*Index!CR$23*(CV$15&lt;=$J58)*(1-CV$12)</f>
        <v>0</v>
      </c>
      <c r="CW58" s="747">
        <f>$G58*$H58*(1+$K58)^MAX(ROUNDUP(IFERROR(DATEDIF($I58-1,CW$15+1,"m"),)/12,)-1,)*Index!CS$23*(CW$15&lt;=$J58)*(1-CW$12)</f>
        <v>0</v>
      </c>
      <c r="CX58" s="747">
        <f>$G58*$H58*(1+$K58)^MAX(ROUNDUP(IFERROR(DATEDIF($I58-1,CX$15+1,"m"),)/12,)-1,)*Index!CT$23*(CX$15&lt;=$J58)*(1-CX$12)</f>
        <v>0</v>
      </c>
      <c r="CY58" s="747">
        <f>$G58*$H58*(1+$K58)^MAX(ROUNDUP(IFERROR(DATEDIF($I58-1,CY$15+1,"m"),)/12,)-1,)*Index!CU$23*(CY$15&lt;=$J58)*(1-CY$12)</f>
        <v>0</v>
      </c>
      <c r="CZ58" s="747">
        <f>$G58*$H58*(1+$K58)^MAX(ROUNDUP(IFERROR(DATEDIF($I58-1,CZ$15+1,"m"),)/12,)-1,)*Index!CV$23*(CZ$15&lt;=$J58)*(1-CZ$12)</f>
        <v>0</v>
      </c>
      <c r="DA58" s="747">
        <f>$G58*$H58*(1+$K58)^MAX(ROUNDUP(IFERROR(DATEDIF($I58-1,DA$15+1,"m"),)/12,)-1,)*Index!CW$23*(DA$15&lt;=$J58)*(1-DA$12)</f>
        <v>0</v>
      </c>
      <c r="DB58" s="747">
        <f>$G58*$H58*(1+$K58)^MAX(ROUNDUP(IFERROR(DATEDIF($I58-1,DB$15+1,"m"),)/12,)-1,)*Index!CX$23*(DB$15&lt;=$J58)*(1-DB$12)</f>
        <v>0</v>
      </c>
      <c r="DC58" s="747">
        <f>$G58*$H58*(1+$K58)^MAX(ROUNDUP(IFERROR(DATEDIF($I58-1,DC$15+1,"m"),)/12,)-1,)*Index!CY$23*(DC$15&lt;=$J58)*(1-DC$12)</f>
        <v>0</v>
      </c>
      <c r="DD58" s="747">
        <f>$G58*$H58*(1+$K58)^MAX(ROUNDUP(IFERROR(DATEDIF($I58-1,DD$15+1,"m"),)/12,)-1,)*Index!CZ$23*(DD$15&lt;=$J58)*(1-DD$12)</f>
        <v>0</v>
      </c>
      <c r="DE58" s="747">
        <f>$G58*$H58*(1+$K58)^MAX(ROUNDUP(IFERROR(DATEDIF($I58-1,DE$15+1,"m"),)/12,)-1,)*Index!DA$23*(DE$15&lt;=$J58)*(1-DE$12)</f>
        <v>0</v>
      </c>
      <c r="DF58" s="747">
        <f>$G58*$H58*(1+$K58)^MAX(ROUNDUP(IFERROR(DATEDIF($I58-1,DF$15+1,"m"),)/12,)-1,)*Index!DB$23*(DF$15&lt;=$J58)*(1-DF$12)</f>
        <v>0</v>
      </c>
      <c r="DG58" s="747">
        <f>$G58*$H58*(1+$K58)^MAX(ROUNDUP(IFERROR(DATEDIF($I58-1,DG$15+1,"m"),)/12,)-1,)*Index!DC$23*(DG$15&lt;=$J58)*(1-DG$12)</f>
        <v>0</v>
      </c>
      <c r="DH58" s="747">
        <f>$G58*$H58*(1+$K58)^MAX(ROUNDUP(IFERROR(DATEDIF($I58-1,DH$15+1,"m"),)/12,)-1,)*Index!DD$23*(DH$15&lt;=$J58)*(1-DH$12)</f>
        <v>0</v>
      </c>
      <c r="DI58" s="747">
        <f>$G58*$H58*(1+$K58)^MAX(ROUNDUP(IFERROR(DATEDIF($I58-1,DI$15+1,"m"),)/12,)-1,)*Index!DE$23*(DI$15&lt;=$J58)*(1-DI$12)</f>
        <v>0</v>
      </c>
      <c r="DJ58" s="747">
        <f>$G58*$H58*(1+$K58)^MAX(ROUNDUP(IFERROR(DATEDIF($I58-1,DJ$15+1,"m"),)/12,)-1,)*Index!DF$23*(DJ$15&lt;=$J58)*(1-DJ$12)</f>
        <v>0</v>
      </c>
      <c r="DK58" s="747">
        <f>$G58*$H58*(1+$K58)^MAX(ROUNDUP(IFERROR(DATEDIF($I58-1,DK$15+1,"m"),)/12,)-1,)*Index!DG$23*(DK$15&lt;=$J58)*(1-DK$12)</f>
        <v>0</v>
      </c>
      <c r="DL58" s="747">
        <f>$G58*$H58*(1+$K58)^MAX(ROUNDUP(IFERROR(DATEDIF($I58-1,DL$15+1,"m"),)/12,)-1,)*Index!DH$23*(DL$15&lt;=$J58)*(1-DL$12)</f>
        <v>0</v>
      </c>
      <c r="DM58" s="747">
        <f>$G58*$H58*(1+$K58)^MAX(ROUNDUP(IFERROR(DATEDIF($I58-1,DM$15+1,"m"),)/12,)-1,)*Index!DI$23*(DM$15&lt;=$J58)*(1-DM$12)</f>
        <v>0</v>
      </c>
      <c r="DN58" s="747">
        <f>$G58*$H58*(1+$K58)^MAX(ROUNDUP(IFERROR(DATEDIF($I58-1,DN$15+1,"m"),)/12,)-1,)*Index!DJ$23*(DN$15&lt;=$J58)*(1-DN$12)</f>
        <v>0</v>
      </c>
      <c r="DO58" s="747">
        <f>$G58*$H58*(1+$K58)^MAX(ROUNDUP(IFERROR(DATEDIF($I58-1,DO$15+1,"m"),)/12,)-1,)*Index!DK$23*(DO$15&lt;=$J58)*(1-DO$12)</f>
        <v>0</v>
      </c>
      <c r="DP58" s="747">
        <f>$G58*$H58*(1+$K58)^MAX(ROUNDUP(IFERROR(DATEDIF($I58-1,DP$15+1,"m"),)/12,)-1,)*Index!DL$23*(DP$15&lt;=$J58)*(1-DP$12)</f>
        <v>0</v>
      </c>
      <c r="DQ58" s="747">
        <f>$G58*$H58*(1+$K58)^MAX(ROUNDUP(IFERROR(DATEDIF($I58-1,DQ$15+1,"m"),)/12,)-1,)*Index!DM$23*(DQ$15&lt;=$J58)*(1-DQ$12)</f>
        <v>0</v>
      </c>
      <c r="DR58" s="747">
        <f>$G58*$H58*(1+$K58)^MAX(ROUNDUP(IFERROR(DATEDIF($I58-1,DR$15+1,"m"),)/12,)-1,)*Index!DN$23*(DR$15&lt;=$J58)*(1-DR$12)</f>
        <v>0</v>
      </c>
      <c r="DS58" s="747">
        <f>$G58*$H58*(1+$K58)^MAX(ROUNDUP(IFERROR(DATEDIF($I58-1,DS$15+1,"m"),)/12,)-1,)*Index!DO$23*(DS$15&lt;=$J58)*(1-DS$12)</f>
        <v>0</v>
      </c>
      <c r="DT58" s="747">
        <f>$G58*$H58*(1+$K58)^MAX(ROUNDUP(IFERROR(DATEDIF($I58-1,DT$15+1,"m"),)/12,)-1,)*Index!DP$23*(DT$15&lt;=$J58)*(1-DT$12)</f>
        <v>0</v>
      </c>
      <c r="DU58" s="747">
        <f>$G58*$H58*(1+$K58)^MAX(ROUNDUP(IFERROR(DATEDIF($I58-1,DU$15+1,"m"),)/12,)-1,)*Index!DQ$23*(DU$15&lt;=$J58)*(1-DU$12)</f>
        <v>0</v>
      </c>
      <c r="DV58" s="747">
        <f>$G58*$H58*(1+$K58)^MAX(ROUNDUP(IFERROR(DATEDIF($I58-1,DV$15+1,"m"),)/12,)-1,)*Index!DR$23*(DV$15&lt;=$J58)*(1-DV$12)</f>
        <v>0</v>
      </c>
      <c r="DW58" s="747">
        <f>$G58*$H58*(1+$K58)^MAX(ROUNDUP(IFERROR(DATEDIF($I58-1,DW$15+1,"m"),)/12,)-1,)*Index!DS$23*(DW$15&lt;=$J58)*(1-DW$12)</f>
        <v>0</v>
      </c>
      <c r="DX58" s="747">
        <f>$G58*$H58*(1+$K58)^MAX(ROUNDUP(IFERROR(DATEDIF($I58-1,DX$15+1,"m"),)/12,)-1,)*Index!DT$23*(DX$15&lt;=$J58)*(1-DX$12)</f>
        <v>0</v>
      </c>
      <c r="DY58" s="747">
        <f>$G58*$H58*(1+$K58)^MAX(ROUNDUP(IFERROR(DATEDIF($I58-1,DY$15+1,"m"),)/12,)-1,)*Index!DU$23*(DY$15&lt;=$J58)*(1-DY$12)</f>
        <v>0</v>
      </c>
      <c r="DZ58" s="747">
        <f>$G58*$H58*(1+$K58)^MAX(ROUNDUP(IFERROR(DATEDIF($I58-1,DZ$15+1,"m"),)/12,)-1,)*Index!DV$23*(DZ$15&lt;=$J58)*(1-DZ$12)</f>
        <v>0</v>
      </c>
      <c r="EA58" s="747">
        <f>$G58*$H58*(1+$K58)^MAX(ROUNDUP(IFERROR(DATEDIF($I58-1,EA$15+1,"m"),)/12,)-1,)*Index!DW$23*(EA$15&lt;=$J58)*(1-EA$12)</f>
        <v>0</v>
      </c>
      <c r="EB58" s="747">
        <f>$G58*$H58*(1+$K58)^MAX(ROUNDUP(IFERROR(DATEDIF($I58-1,EB$15+1,"m"),)/12,)-1,)*Index!DX$23*(EB$15&lt;=$J58)*(1-EB$12)</f>
        <v>0</v>
      </c>
      <c r="EC58" s="747">
        <f>$G58*$H58*(1+$K58)^MAX(ROUNDUP(IFERROR(DATEDIF($I58-1,EC$15+1,"m"),)/12,)-1,)*Index!DY$23*(EC$15&lt;=$J58)*(1-EC$12)</f>
        <v>0</v>
      </c>
      <c r="ED58" s="747">
        <f>$G58*$H58*(1+$K58)^MAX(ROUNDUP(IFERROR(DATEDIF($I58-1,ED$15+1,"m"),)/12,)-1,)*Index!DZ$23*(ED$15&lt;=$J58)*(1-ED$12)</f>
        <v>0</v>
      </c>
      <c r="EE58" s="747">
        <f>$G58*$H58*(1+$K58)^MAX(ROUNDUP(IFERROR(DATEDIF($I58-1,EE$15+1,"m"),)/12,)-1,)*Index!EA$23*(EE$15&lt;=$J58)*(1-EE$12)</f>
        <v>0</v>
      </c>
      <c r="EF58" s="747">
        <f>$G58*$H58*(1+$K58)^MAX(ROUNDUP(IFERROR(DATEDIF($I58-1,EF$15+1,"m"),)/12,)-1,)*Index!EB$23*(EF$15&lt;=$J58)*(1-EF$12)</f>
        <v>0</v>
      </c>
      <c r="EG58" s="747">
        <f>$G58*$H58*(1+$K58)^MAX(ROUNDUP(IFERROR(DATEDIF($I58-1,EG$15+1,"m"),)/12,)-1,)*Index!EC$23*(EG$15&lt;=$J58)*(1-EG$12)</f>
        <v>0</v>
      </c>
      <c r="EH58" s="747">
        <f>$G58*$H58*(1+$K58)^MAX(ROUNDUP(IFERROR(DATEDIF($I58-1,EH$15+1,"m"),)/12,)-1,)*Index!ED$23*(EH$15&lt;=$J58)*(1-EH$12)</f>
        <v>0</v>
      </c>
      <c r="EI58" s="747">
        <f>$G58*$H58*(1+$K58)^MAX(ROUNDUP(IFERROR(DATEDIF($I58-1,EI$15+1,"m"),)/12,)-1,)*Index!EE$23*(EI$15&lt;=$J58)*(1-EI$12)</f>
        <v>0</v>
      </c>
      <c r="EJ58" s="747">
        <f>$G58*$H58*(1+$K58)^MAX(ROUNDUP(IFERROR(DATEDIF($I58-1,EJ$15+1,"m"),)/12,)-1,)*Index!EF$23*(EJ$15&lt;=$J58)*(1-EJ$12)</f>
        <v>0</v>
      </c>
      <c r="EK58" s="747">
        <f>$G58*$H58*(1+$K58)^MAX(ROUNDUP(IFERROR(DATEDIF($I58-1,EK$15+1,"m"),)/12,)-1,)*Index!EG$23*(EK$15&lt;=$J58)*(1-EK$12)</f>
        <v>0</v>
      </c>
      <c r="EL58" s="747">
        <f>$G58*$H58*(1+$K58)^MAX(ROUNDUP(IFERROR(DATEDIF($I58-1,EL$15+1,"m"),)/12,)-1,)*Index!EH$23*(EL$15&lt;=$J58)*(1-EL$12)</f>
        <v>0</v>
      </c>
      <c r="EM58" s="747">
        <f>$G58*$H58*(1+$K58)^MAX(ROUNDUP(IFERROR(DATEDIF($I58-1,EM$15+1,"m"),)/12,)-1,)*Index!EI$23*(EM$15&lt;=$J58)*(1-EM$12)</f>
        <v>0</v>
      </c>
      <c r="EN58" s="747">
        <f>$G58*$H58*(1+$K58)^MAX(ROUNDUP(IFERROR(DATEDIF($I58-1,EN$15+1,"m"),)/12,)-1,)*Index!EJ$23*(EN$15&lt;=$J58)*(1-EN$12)</f>
        <v>0</v>
      </c>
      <c r="EO58" s="747">
        <f>$G58*$H58*(1+$K58)^MAX(ROUNDUP(IFERROR(DATEDIF($I58-1,EO$15+1,"m"),)/12,)-1,)*Index!EK$23*(EO$15&lt;=$J58)*(1-EO$12)</f>
        <v>0</v>
      </c>
      <c r="EP58" s="747">
        <f>$G58*$H58*(1+$K58)^MAX(ROUNDUP(IFERROR(DATEDIF($I58-1,EP$15+1,"m"),)/12,)-1,)*Index!EL$23*(EP$15&lt;=$J58)*(1-EP$12)</f>
        <v>0</v>
      </c>
      <c r="EQ58" s="747">
        <f>$G58*$H58*(1+$K58)^MAX(ROUNDUP(IFERROR(DATEDIF($I58-1,EQ$15+1,"m"),)/12,)-1,)*Index!EM$23*(EQ$15&lt;=$J58)*(1-EQ$12)</f>
        <v>0</v>
      </c>
      <c r="ER58" s="747">
        <f>$G58*$H58*(1+$K58)^MAX(ROUNDUP(IFERROR(DATEDIF($I58-1,ER$15+1,"m"),)/12,)-1,)*Index!EN$23*(ER$15&lt;=$J58)*(1-ER$12)</f>
        <v>0</v>
      </c>
      <c r="ES58" s="747">
        <f>$G58*$H58*(1+$K58)^MAX(ROUNDUP(IFERROR(DATEDIF($I58-1,ES$15+1,"m"),)/12,)-1,)*Index!EO$23*(ES$15&lt;=$J58)*(1-ES$12)</f>
        <v>0</v>
      </c>
      <c r="ET58" s="747">
        <f>$G58*$H58*(1+$K58)^MAX(ROUNDUP(IFERROR(DATEDIF($I58-1,ET$15+1,"m"),)/12,)-1,)*Index!EP$23*(ET$15&lt;=$J58)*(1-ET$12)</f>
        <v>0</v>
      </c>
      <c r="EU58" s="747">
        <f>$G58*$H58*(1+$K58)^MAX(ROUNDUP(IFERROR(DATEDIF($I58-1,EU$15+1,"m"),)/12,)-1,)*Index!EQ$23*(EU$15&lt;=$J58)*(1-EU$12)</f>
        <v>0</v>
      </c>
    </row>
    <row r="59" spans="3:151" ht="11.25" customHeight="1">
      <c r="C59" s="828"/>
      <c r="D59" s="743">
        <f t="shared" ref="D59:K59" si="26">D23</f>
        <v>6</v>
      </c>
      <c r="E59" s="704" t="str">
        <f t="shared" si="26"/>
        <v>쿠팡</v>
      </c>
      <c r="F59" s="704" t="str">
        <f t="shared" si="26"/>
        <v>상온창고</v>
      </c>
      <c r="G59" s="752">
        <f t="shared" si="26"/>
        <v>60</v>
      </c>
      <c r="H59" s="744">
        <f t="shared" si="26"/>
        <v>2187.87</v>
      </c>
      <c r="I59" s="745">
        <f t="shared" si="26"/>
        <v>45323</v>
      </c>
      <c r="J59" s="745">
        <f t="shared" si="26"/>
        <v>49064</v>
      </c>
      <c r="K59" s="754">
        <f t="shared" si="26"/>
        <v>2.5000000000000001E-2</v>
      </c>
      <c r="L59" s="746"/>
      <c r="M59" s="722"/>
      <c r="N59" s="747">
        <f t="shared" si="21"/>
        <v>0</v>
      </c>
      <c r="O59" s="733"/>
      <c r="P59" s="747">
        <f>$G59*$H59*(1+$K59)^MAX(ROUNDUP(IFERROR(DATEDIF($I59-1,P$15+1,"m"),)/12,)-1,)*Index!L$23*(P$15&lt;=$J59)*(1-P$12)</f>
        <v>0</v>
      </c>
      <c r="Q59" s="747">
        <f>$G59*$H59*(1+$K59)^MAX(ROUNDUP(IFERROR(DATEDIF($I59-1,Q$15+1,"m"),)/12,)-1,)*Index!M$23*(Q$15&lt;=$J59)*(1-Q$12)</f>
        <v>0</v>
      </c>
      <c r="R59" s="747">
        <f>$G59*$H59*(1+$K59)^MAX(ROUNDUP(IFERROR(DATEDIF($I59-1,R$15+1,"m"),)/12,)-1,)*Index!N$23*(R$15&lt;=$J59)*(1-R$12)</f>
        <v>0</v>
      </c>
      <c r="S59" s="747">
        <f>$G59*$H59*(1+$K59)^MAX(ROUNDUP(IFERROR(DATEDIF($I59-1,S$15+1,"m"),)/12,)-1,)*Index!O$23*(S$15&lt;=$J59)*(1-S$12)</f>
        <v>0</v>
      </c>
      <c r="T59" s="747">
        <f>$G59*$H59*(1+$K59)^MAX(ROUNDUP(IFERROR(DATEDIF($I59-1,T$15+1,"m"),)/12,)-1,)*Index!P$23*(T$15&lt;=$J59)*(1-T$12)</f>
        <v>0</v>
      </c>
      <c r="U59" s="747">
        <f>$G59*$H59*(1+$K59)^MAX(ROUNDUP(IFERROR(DATEDIF($I59-1,U$15+1,"m"),)/12,)-1,)*Index!Q$23*(U$15&lt;=$J59)*(1-U$12)</f>
        <v>0</v>
      </c>
      <c r="V59" s="747">
        <f>$G59*$H59*(1+$K59)^MAX(ROUNDUP(IFERROR(DATEDIF($I59-1,V$15+1,"m"),)/12,)-1,)*Index!R$23*(V$15&lt;=$J59)*(1-V$12)</f>
        <v>0</v>
      </c>
      <c r="W59" s="747">
        <f>$G59*$H59*(1+$K59)^MAX(ROUNDUP(IFERROR(DATEDIF($I59-1,W$15+1,"m"),)/12,)-1,)*Index!S$23*(W$15&lt;=$J59)*(1-W$12)</f>
        <v>0</v>
      </c>
      <c r="X59" s="747">
        <f>$G59*$H59*(1+$K59)^MAX(ROUNDUP(IFERROR(DATEDIF($I59-1,X$15+1,"m"),)/12,)-1,)*Index!T$23*(X$15&lt;=$J59)*(1-X$12)</f>
        <v>0</v>
      </c>
      <c r="Y59" s="747">
        <f>$G59*$H59*(1+$K59)^MAX(ROUNDUP(IFERROR(DATEDIF($I59-1,Y$15+1,"m"),)/12,)-1,)*Index!U$23*(Y$15&lt;=$J59)*(1-Y$12)</f>
        <v>0</v>
      </c>
      <c r="Z59" s="747">
        <f>$G59*$H59*(1+$K59)^MAX(ROUNDUP(IFERROR(DATEDIF($I59-1,Z$15+1,"m"),)/12,)-1,)*Index!V$23*(Z$15&lt;=$J59)*(1-Z$12)</f>
        <v>0</v>
      </c>
      <c r="AA59" s="747">
        <f>$G59*$H59*(1+$K59)^MAX(ROUNDUP(IFERROR(DATEDIF($I59-1,AA$15+1,"m"),)/12,)-1,)*Index!W$23*(AA$15&lt;=$J59)*(1-AA$12)</f>
        <v>0</v>
      </c>
      <c r="AB59" s="747">
        <f>$G59*$H59*(1+$K59)^MAX(ROUNDUP(IFERROR(DATEDIF($I59-1,AB$15+1,"m"),)/12,)-1,)*Index!X$23*(AB$15&lt;=$J59)*(1-AB$12)</f>
        <v>0</v>
      </c>
      <c r="AC59" s="747">
        <f>$G59*$H59*(1+$K59)^MAX(ROUNDUP(IFERROR(DATEDIF($I59-1,AC$15+1,"m"),)/12,)-1,)*Index!Y$23*(AC$15&lt;=$J59)*(1-AC$12)</f>
        <v>0</v>
      </c>
      <c r="AD59" s="747">
        <f>$G59*$H59*(1+$K59)^MAX(ROUNDUP(IFERROR(DATEDIF($I59-1,AD$15+1,"m"),)/12,)-1,)*Index!Z$23*(AD$15&lt;=$J59)*(1-AD$12)</f>
        <v>0</v>
      </c>
      <c r="AE59" s="747">
        <f>$G59*$H59*(1+$K59)^MAX(ROUNDUP(IFERROR(DATEDIF($I59-1,AE$15+1,"m"),)/12,)-1,)*Index!AA$23*(AE$15&lt;=$J59)*(1-AE$12)</f>
        <v>0</v>
      </c>
      <c r="AF59" s="747">
        <f>$G59*$H59*(1+$K59)^MAX(ROUNDUP(IFERROR(DATEDIF($I59-1,AF$15+1,"m"),)/12,)-1,)*Index!AB$23*(AF$15&lt;=$J59)*(1-AF$12)</f>
        <v>0</v>
      </c>
      <c r="AG59" s="747">
        <f>$G59*$H59*(1+$K59)^MAX(ROUNDUP(IFERROR(DATEDIF($I59-1,AG$15+1,"m"),)/12,)-1,)*Index!AC$23*(AG$15&lt;=$J59)*(1-AG$12)</f>
        <v>0</v>
      </c>
      <c r="AH59" s="747">
        <f>$G59*$H59*(1+$K59)^MAX(ROUNDUP(IFERROR(DATEDIF($I59-1,AH$15+1,"m"),)/12,)-1,)*Index!AD$23*(AH$15&lt;=$J59)*(1-AH$12)</f>
        <v>0</v>
      </c>
      <c r="AI59" s="747">
        <f>$G59*$H59*(1+$K59)^MAX(ROUNDUP(IFERROR(DATEDIF($I59-1,AI$15+1,"m"),)/12,)-1,)*Index!AE$23*(AI$15&lt;=$J59)*(1-AI$12)</f>
        <v>0</v>
      </c>
      <c r="AJ59" s="747">
        <f>$G59*$H59*(1+$K59)^MAX(ROUNDUP(IFERROR(DATEDIF($I59-1,AJ$15+1,"m"),)/12,)-1,)*Index!AF$23*(AJ$15&lt;=$J59)*(1-AJ$12)</f>
        <v>0</v>
      </c>
      <c r="AK59" s="747">
        <f>$G59*$H59*(1+$K59)^MAX(ROUNDUP(IFERROR(DATEDIF($I59-1,AK$15+1,"m"),)/12,)-1,)*Index!AG$23*(AK$15&lt;=$J59)*(1-AK$12)</f>
        <v>0</v>
      </c>
      <c r="AL59" s="747">
        <f>$G59*$H59*(1+$K59)^MAX(ROUNDUP(IFERROR(DATEDIF($I59-1,AL$15+1,"m"),)/12,)-1,)*Index!AH$23*(AL$15&lt;=$J59)*(1-AL$12)</f>
        <v>0</v>
      </c>
      <c r="AM59" s="747">
        <f>$G59*$H59*(1+$K59)^MAX(ROUNDUP(IFERROR(DATEDIF($I59-1,AM$15+1,"m"),)/12,)-1,)*Index!AI$23*(AM$15&lt;=$J59)*(1-AM$12)</f>
        <v>0</v>
      </c>
      <c r="AN59" s="747">
        <f>$G59*$H59*(1+$K59)^MAX(ROUNDUP(IFERROR(DATEDIF($I59-1,AN$15+1,"m"),)/12,)-1,)*Index!AJ$23*(AN$15&lt;=$J59)*(1-AN$12)</f>
        <v>0</v>
      </c>
      <c r="AO59" s="747">
        <f>$G59*$H59*(1+$K59)^MAX(ROUNDUP(IFERROR(DATEDIF($I59-1,AO$15+1,"m"),)/12,)-1,)*Index!AK$23*(AO$15&lt;=$J59)*(1-AO$12)</f>
        <v>0</v>
      </c>
      <c r="AP59" s="747">
        <f>$G59*$H59*(1+$K59)^MAX(ROUNDUP(IFERROR(DATEDIF($I59-1,AP$15+1,"m"),)/12,)-1,)*Index!AL$23*(AP$15&lt;=$J59)*(1-AP$12)</f>
        <v>0</v>
      </c>
      <c r="AQ59" s="747">
        <f>$G59*$H59*(1+$K59)^MAX(ROUNDUP(IFERROR(DATEDIF($I59-1,AQ$15+1,"m"),)/12,)-1,)*Index!AM$23*(AQ$15&lt;=$J59)*(1-AQ$12)</f>
        <v>0</v>
      </c>
      <c r="AR59" s="747">
        <f>$G59*$H59*(1+$K59)^MAX(ROUNDUP(IFERROR(DATEDIF($I59-1,AR$15+1,"m"),)/12,)-1,)*Index!AN$23*(AR$15&lt;=$J59)*(1-AR$12)</f>
        <v>0</v>
      </c>
      <c r="AS59" s="747">
        <f>$G59*$H59*(1+$K59)^MAX(ROUNDUP(IFERROR(DATEDIF($I59-1,AS$15+1,"m"),)/12,)-1,)*Index!AO$23*(AS$15&lt;=$J59)*(1-AS$12)</f>
        <v>0</v>
      </c>
      <c r="AT59" s="747">
        <f>$G59*$H59*(1+$K59)^MAX(ROUNDUP(IFERROR(DATEDIF($I59-1,AT$15+1,"m"),)/12,)-1,)*Index!AP$23*(AT$15&lt;=$J59)*(1-AT$12)</f>
        <v>0</v>
      </c>
      <c r="AU59" s="747">
        <f>$G59*$H59*(1+$K59)^MAX(ROUNDUP(IFERROR(DATEDIF($I59-1,AU$15+1,"m"),)/12,)-1,)*Index!AQ$23*(AU$15&lt;=$J59)*(1-AU$12)</f>
        <v>0</v>
      </c>
      <c r="AV59" s="747">
        <f>$G59*$H59*(1+$K59)^MAX(ROUNDUP(IFERROR(DATEDIF($I59-1,AV$15+1,"m"),)/12,)-1,)*Index!AR$23*(AV$15&lt;=$J59)*(1-AV$12)</f>
        <v>0</v>
      </c>
      <c r="AW59" s="747">
        <f>$G59*$H59*(1+$K59)^MAX(ROUNDUP(IFERROR(DATEDIF($I59-1,AW$15+1,"m"),)/12,)-1,)*Index!AS$23*(AW$15&lt;=$J59)*(1-AW$12)</f>
        <v>0</v>
      </c>
      <c r="AX59" s="747">
        <f>$G59*$H59*(1+$K59)^MAX(ROUNDUP(IFERROR(DATEDIF($I59-1,AX$15+1,"m"),)/12,)-1,)*Index!AT$23*(AX$15&lt;=$J59)*(1-AX$12)</f>
        <v>0</v>
      </c>
      <c r="AY59" s="747">
        <f>$G59*$H59*(1+$K59)^MAX(ROUNDUP(IFERROR(DATEDIF($I59-1,AY$15+1,"m"),)/12,)-1,)*Index!AU$23*(AY$15&lt;=$J59)*(1-AY$12)</f>
        <v>0</v>
      </c>
      <c r="AZ59" s="747">
        <f>$G59*$H59*(1+$K59)^MAX(ROUNDUP(IFERROR(DATEDIF($I59-1,AZ$15+1,"m"),)/12,)-1,)*Index!AV$23*(AZ$15&lt;=$J59)*(1-AZ$12)</f>
        <v>0</v>
      </c>
      <c r="BA59" s="747">
        <f>$G59*$H59*(1+$K59)^MAX(ROUNDUP(IFERROR(DATEDIF($I59-1,BA$15+1,"m"),)/12,)-1,)*Index!AW$23*(BA$15&lt;=$J59)*(1-BA$12)</f>
        <v>0</v>
      </c>
      <c r="BB59" s="747">
        <f>$G59*$H59*(1+$K59)^MAX(ROUNDUP(IFERROR(DATEDIF($I59-1,BB$15+1,"m"),)/12,)-1,)*Index!AX$23*(BB$15&lt;=$J59)*(1-BB$12)</f>
        <v>0</v>
      </c>
      <c r="BC59" s="747">
        <f>$G59*$H59*(1+$K59)^MAX(ROUNDUP(IFERROR(DATEDIF($I59-1,BC$15+1,"m"),)/12,)-1,)*Index!AY$23*(BC$15&lt;=$J59)*(1-BC$12)</f>
        <v>0</v>
      </c>
      <c r="BD59" s="747">
        <f>$G59*$H59*(1+$K59)^MAX(ROUNDUP(IFERROR(DATEDIF($I59-1,BD$15+1,"m"),)/12,)-1,)*Index!AZ$23*(BD$15&lt;=$J59)*(1-BD$12)</f>
        <v>0</v>
      </c>
      <c r="BE59" s="747">
        <f>$G59*$H59*(1+$K59)^MAX(ROUNDUP(IFERROR(DATEDIF($I59-1,BE$15+1,"m"),)/12,)-1,)*Index!BA$23*(BE$15&lt;=$J59)*(1-BE$12)</f>
        <v>0</v>
      </c>
      <c r="BF59" s="747">
        <f>$G59*$H59*(1+$K59)^MAX(ROUNDUP(IFERROR(DATEDIF($I59-1,BF$15+1,"m"),)/12,)-1,)*Index!BB$23*(BF$15&lt;=$J59)*(1-BF$12)</f>
        <v>0</v>
      </c>
      <c r="BG59" s="747">
        <f>$G59*$H59*(1+$K59)^MAX(ROUNDUP(IFERROR(DATEDIF($I59-1,BG$15+1,"m"),)/12,)-1,)*Index!BC$23*(BG$15&lt;=$J59)*(1-BG$12)</f>
        <v>0</v>
      </c>
      <c r="BH59" s="747">
        <f>$G59*$H59*(1+$K59)^MAX(ROUNDUP(IFERROR(DATEDIF($I59-1,BH$15+1,"m"),)/12,)-1,)*Index!BD$23*(BH$15&lt;=$J59)*(1-BH$12)</f>
        <v>0</v>
      </c>
      <c r="BI59" s="747">
        <f>$G59*$H59*(1+$K59)^MAX(ROUNDUP(IFERROR(DATEDIF($I59-1,BI$15+1,"m"),)/12,)-1,)*Index!BE$23*(BI$15&lt;=$J59)*(1-BI$12)</f>
        <v>0</v>
      </c>
      <c r="BJ59" s="747">
        <f>$G59*$H59*(1+$K59)^MAX(ROUNDUP(IFERROR(DATEDIF($I59-1,BJ$15+1,"m"),)/12,)-1,)*Index!BF$23*(BJ$15&lt;=$J59)*(1-BJ$12)</f>
        <v>0</v>
      </c>
      <c r="BK59" s="747">
        <f>$G59*$H59*(1+$K59)^MAX(ROUNDUP(IFERROR(DATEDIF($I59-1,BK$15+1,"m"),)/12,)-1,)*Index!BG$23*(BK$15&lt;=$J59)*(1-BK$12)</f>
        <v>0</v>
      </c>
      <c r="BL59" s="747">
        <f>$G59*$H59*(1+$K59)^MAX(ROUNDUP(IFERROR(DATEDIF($I59-1,BL$15+1,"m"),)/12,)-1,)*Index!BH$23*(BL$15&lt;=$J59)*(1-BL$12)</f>
        <v>0</v>
      </c>
      <c r="BM59" s="747">
        <f>$G59*$H59*(1+$K59)^MAX(ROUNDUP(IFERROR(DATEDIF($I59-1,BM$15+1,"m"),)/12,)-1,)*Index!BI$23*(BM$15&lt;=$J59)*(1-BM$12)</f>
        <v>0</v>
      </c>
      <c r="BN59" s="747">
        <f>$G59*$H59*(1+$K59)^MAX(ROUNDUP(IFERROR(DATEDIF($I59-1,BN$15+1,"m"),)/12,)-1,)*Index!BJ$23*(BN$15&lt;=$J59)*(1-BN$12)</f>
        <v>0</v>
      </c>
      <c r="BO59" s="747">
        <f>$G59*$H59*(1+$K59)^MAX(ROUNDUP(IFERROR(DATEDIF($I59-1,BO$15+1,"m"),)/12,)-1,)*Index!BK$23*(BO$15&lt;=$J59)*(1-BO$12)</f>
        <v>0</v>
      </c>
      <c r="BP59" s="747">
        <f>$G59*$H59*(1+$K59)^MAX(ROUNDUP(IFERROR(DATEDIF($I59-1,BP$15+1,"m"),)/12,)-1,)*Index!BL$23*(BP$15&lt;=$J59)*(1-BP$12)</f>
        <v>0</v>
      </c>
      <c r="BQ59" s="747">
        <f>$G59*$H59*(1+$K59)^MAX(ROUNDUP(IFERROR(DATEDIF($I59-1,BQ$15+1,"m"),)/12,)-1,)*Index!BM$23*(BQ$15&lt;=$J59)*(1-BQ$12)</f>
        <v>0</v>
      </c>
      <c r="BR59" s="747">
        <f>$G59*$H59*(1+$K59)^MAX(ROUNDUP(IFERROR(DATEDIF($I59-1,BR$15+1,"m"),)/12,)-1,)*Index!BN$23*(BR$15&lt;=$J59)*(1-BR$12)</f>
        <v>0</v>
      </c>
      <c r="BS59" s="747">
        <f>$G59*$H59*(1+$K59)^MAX(ROUNDUP(IFERROR(DATEDIF($I59-1,BS$15+1,"m"),)/12,)-1,)*Index!BO$23*(BS$15&lt;=$J59)*(1-BS$12)</f>
        <v>0</v>
      </c>
      <c r="BT59" s="747">
        <f>$G59*$H59*(1+$K59)^MAX(ROUNDUP(IFERROR(DATEDIF($I59-1,BT$15+1,"m"),)/12,)-1,)*Index!BP$23*(BT$15&lt;=$J59)*(1-BT$12)</f>
        <v>0</v>
      </c>
      <c r="BU59" s="747">
        <f>$G59*$H59*(1+$K59)^MAX(ROUNDUP(IFERROR(DATEDIF($I59-1,BU$15+1,"m"),)/12,)-1,)*Index!BQ$23*(BU$15&lt;=$J59)*(1-BU$12)</f>
        <v>0</v>
      </c>
      <c r="BV59" s="747">
        <f>$G59*$H59*(1+$K59)^MAX(ROUNDUP(IFERROR(DATEDIF($I59-1,BV$15+1,"m"),)/12,)-1,)*Index!BR$23*(BV$15&lt;=$J59)*(1-BV$12)</f>
        <v>0</v>
      </c>
      <c r="BW59" s="747">
        <f>$G59*$H59*(1+$K59)^MAX(ROUNDUP(IFERROR(DATEDIF($I59-1,BW$15+1,"m"),)/12,)-1,)*Index!BS$23*(BW$15&lt;=$J59)*(1-BW$12)</f>
        <v>0</v>
      </c>
      <c r="BX59" s="747">
        <f>$G59*$H59*(1+$K59)^MAX(ROUNDUP(IFERROR(DATEDIF($I59-1,BX$15+1,"m"),)/12,)-1,)*Index!BT$23*(BX$15&lt;=$J59)*(1-BX$12)</f>
        <v>0</v>
      </c>
      <c r="BY59" s="747">
        <f>$G59*$H59*(1+$K59)^MAX(ROUNDUP(IFERROR(DATEDIF($I59-1,BY$15+1,"m"),)/12,)-1,)*Index!BU$23*(BY$15&lt;=$J59)*(1-BY$12)</f>
        <v>0</v>
      </c>
      <c r="BZ59" s="747">
        <f>$G59*$H59*(1+$K59)^MAX(ROUNDUP(IFERROR(DATEDIF($I59-1,BZ$15+1,"m"),)/12,)-1,)*Index!BV$23*(BZ$15&lt;=$J59)*(1-BZ$12)</f>
        <v>0</v>
      </c>
      <c r="CA59" s="747">
        <f>$G59*$H59*(1+$K59)^MAX(ROUNDUP(IFERROR(DATEDIF($I59-1,CA$15+1,"m"),)/12,)-1,)*Index!BW$23*(CA$15&lt;=$J59)*(1-CA$12)</f>
        <v>0</v>
      </c>
      <c r="CB59" s="747">
        <f>$G59*$H59*(1+$K59)^MAX(ROUNDUP(IFERROR(DATEDIF($I59-1,CB$15+1,"m"),)/12,)-1,)*Index!BX$23*(CB$15&lt;=$J59)*(1-CB$12)</f>
        <v>0</v>
      </c>
      <c r="CC59" s="747">
        <f>$G59*$H59*(1+$K59)^MAX(ROUNDUP(IFERROR(DATEDIF($I59-1,CC$15+1,"m"),)/12,)-1,)*Index!BY$23*(CC$15&lt;=$J59)*(1-CC$12)</f>
        <v>0</v>
      </c>
      <c r="CD59" s="747">
        <f>$G59*$H59*(1+$K59)^MAX(ROUNDUP(IFERROR(DATEDIF($I59-1,CD$15+1,"m"),)/12,)-1,)*Index!BZ$23*(CD$15&lt;=$J59)*(1-CD$12)</f>
        <v>0</v>
      </c>
      <c r="CE59" s="747">
        <f>$G59*$H59*(1+$K59)^MAX(ROUNDUP(IFERROR(DATEDIF($I59-1,CE$15+1,"m"),)/12,)-1,)*Index!CA$23*(CE$15&lt;=$J59)*(1-CE$12)</f>
        <v>0</v>
      </c>
      <c r="CF59" s="747">
        <f>$G59*$H59*(1+$K59)^MAX(ROUNDUP(IFERROR(DATEDIF($I59-1,CF$15+1,"m"),)/12,)-1,)*Index!CB$23*(CF$15&lt;=$J59)*(1-CF$12)</f>
        <v>0</v>
      </c>
      <c r="CG59" s="747">
        <f>$G59*$H59*(1+$K59)^MAX(ROUNDUP(IFERROR(DATEDIF($I59-1,CG$15+1,"m"),)/12,)-1,)*Index!CC$23*(CG$15&lt;=$J59)*(1-CG$12)</f>
        <v>0</v>
      </c>
      <c r="CH59" s="747">
        <f>$G59*$H59*(1+$K59)^MAX(ROUNDUP(IFERROR(DATEDIF($I59-1,CH$15+1,"m"),)/12,)-1,)*Index!CD$23*(CH$15&lt;=$J59)*(1-CH$12)</f>
        <v>0</v>
      </c>
      <c r="CI59" s="747">
        <f>$G59*$H59*(1+$K59)^MAX(ROUNDUP(IFERROR(DATEDIF($I59-1,CI$15+1,"m"),)/12,)-1,)*Index!CE$23*(CI$15&lt;=$J59)*(1-CI$12)</f>
        <v>0</v>
      </c>
      <c r="CJ59" s="747">
        <f>$G59*$H59*(1+$K59)^MAX(ROUNDUP(IFERROR(DATEDIF($I59-1,CJ$15+1,"m"),)/12,)-1,)*Index!CF$23*(CJ$15&lt;=$J59)*(1-CJ$12)</f>
        <v>0</v>
      </c>
      <c r="CK59" s="747">
        <f>$G59*$H59*(1+$K59)^MAX(ROUNDUP(IFERROR(DATEDIF($I59-1,CK$15+1,"m"),)/12,)-1,)*Index!CG$23*(CK$15&lt;=$J59)*(1-CK$12)</f>
        <v>0</v>
      </c>
      <c r="CL59" s="747">
        <f>$G59*$H59*(1+$K59)^MAX(ROUNDUP(IFERROR(DATEDIF($I59-1,CL$15+1,"m"),)/12,)-1,)*Index!CH$23*(CL$15&lt;=$J59)*(1-CL$12)</f>
        <v>0</v>
      </c>
      <c r="CM59" s="747">
        <f>$G59*$H59*(1+$K59)^MAX(ROUNDUP(IFERROR(DATEDIF($I59-1,CM$15+1,"m"),)/12,)-1,)*Index!CI$23*(CM$15&lt;=$J59)*(1-CM$12)</f>
        <v>0</v>
      </c>
      <c r="CN59" s="747">
        <f>$G59*$H59*(1+$K59)^MAX(ROUNDUP(IFERROR(DATEDIF($I59-1,CN$15+1,"m"),)/12,)-1,)*Index!CJ$23*(CN$15&lt;=$J59)*(1-CN$12)</f>
        <v>0</v>
      </c>
      <c r="CO59" s="747">
        <f>$G59*$H59*(1+$K59)^MAX(ROUNDUP(IFERROR(DATEDIF($I59-1,CO$15+1,"m"),)/12,)-1,)*Index!CK$23*(CO$15&lt;=$J59)*(1-CO$12)</f>
        <v>0</v>
      </c>
      <c r="CP59" s="747">
        <f>$G59*$H59*(1+$K59)^MAX(ROUNDUP(IFERROR(DATEDIF($I59-1,CP$15+1,"m"),)/12,)-1,)*Index!CL$23*(CP$15&lt;=$J59)*(1-CP$12)</f>
        <v>0</v>
      </c>
      <c r="CQ59" s="747">
        <f>$G59*$H59*(1+$K59)^MAX(ROUNDUP(IFERROR(DATEDIF($I59-1,CQ$15+1,"m"),)/12,)-1,)*Index!CM$23*(CQ$15&lt;=$J59)*(1-CQ$12)</f>
        <v>0</v>
      </c>
      <c r="CR59" s="747">
        <f>$G59*$H59*(1+$K59)^MAX(ROUNDUP(IFERROR(DATEDIF($I59-1,CR$15+1,"m"),)/12,)-1,)*Index!CN$23*(CR$15&lt;=$J59)*(1-CR$12)</f>
        <v>0</v>
      </c>
      <c r="CS59" s="747">
        <f>$G59*$H59*(1+$K59)^MAX(ROUNDUP(IFERROR(DATEDIF($I59-1,CS$15+1,"m"),)/12,)-1,)*Index!CO$23*(CS$15&lt;=$J59)*(1-CS$12)</f>
        <v>0</v>
      </c>
      <c r="CT59" s="747">
        <f>$G59*$H59*(1+$K59)^MAX(ROUNDUP(IFERROR(DATEDIF($I59-1,CT$15+1,"m"),)/12,)-1,)*Index!CP$23*(CT$15&lt;=$J59)*(1-CT$12)</f>
        <v>0</v>
      </c>
      <c r="CU59" s="747">
        <f>$G59*$H59*(1+$K59)^MAX(ROUNDUP(IFERROR(DATEDIF($I59-1,CU$15+1,"m"),)/12,)-1,)*Index!CQ$23*(CU$15&lt;=$J59)*(1-CU$12)</f>
        <v>0</v>
      </c>
      <c r="CV59" s="747">
        <f>$G59*$H59*(1+$K59)^MAX(ROUNDUP(IFERROR(DATEDIF($I59-1,CV$15+1,"m"),)/12,)-1,)*Index!CR$23*(CV$15&lt;=$J59)*(1-CV$12)</f>
        <v>0</v>
      </c>
      <c r="CW59" s="747">
        <f>$G59*$H59*(1+$K59)^MAX(ROUNDUP(IFERROR(DATEDIF($I59-1,CW$15+1,"m"),)/12,)-1,)*Index!CS$23*(CW$15&lt;=$J59)*(1-CW$12)</f>
        <v>0</v>
      </c>
      <c r="CX59" s="747">
        <f>$G59*$H59*(1+$K59)^MAX(ROUNDUP(IFERROR(DATEDIF($I59-1,CX$15+1,"m"),)/12,)-1,)*Index!CT$23*(CX$15&lt;=$J59)*(1-CX$12)</f>
        <v>0</v>
      </c>
      <c r="CY59" s="747">
        <f>$G59*$H59*(1+$K59)^MAX(ROUNDUP(IFERROR(DATEDIF($I59-1,CY$15+1,"m"),)/12,)-1,)*Index!CU$23*(CY$15&lt;=$J59)*(1-CY$12)</f>
        <v>0</v>
      </c>
      <c r="CZ59" s="747">
        <f>$G59*$H59*(1+$K59)^MAX(ROUNDUP(IFERROR(DATEDIF($I59-1,CZ$15+1,"m"),)/12,)-1,)*Index!CV$23*(CZ$15&lt;=$J59)*(1-CZ$12)</f>
        <v>0</v>
      </c>
      <c r="DA59" s="747">
        <f>$G59*$H59*(1+$K59)^MAX(ROUNDUP(IFERROR(DATEDIF($I59-1,DA$15+1,"m"),)/12,)-1,)*Index!CW$23*(DA$15&lt;=$J59)*(1-DA$12)</f>
        <v>0</v>
      </c>
      <c r="DB59" s="747">
        <f>$G59*$H59*(1+$K59)^MAX(ROUNDUP(IFERROR(DATEDIF($I59-1,DB$15+1,"m"),)/12,)-1,)*Index!CX$23*(DB$15&lt;=$J59)*(1-DB$12)</f>
        <v>0</v>
      </c>
      <c r="DC59" s="747">
        <f>$G59*$H59*(1+$K59)^MAX(ROUNDUP(IFERROR(DATEDIF($I59-1,DC$15+1,"m"),)/12,)-1,)*Index!CY$23*(DC$15&lt;=$J59)*(1-DC$12)</f>
        <v>0</v>
      </c>
      <c r="DD59" s="747">
        <f>$G59*$H59*(1+$K59)^MAX(ROUNDUP(IFERROR(DATEDIF($I59-1,DD$15+1,"m"),)/12,)-1,)*Index!CZ$23*(DD$15&lt;=$J59)*(1-DD$12)</f>
        <v>0</v>
      </c>
      <c r="DE59" s="747">
        <f>$G59*$H59*(1+$K59)^MAX(ROUNDUP(IFERROR(DATEDIF($I59-1,DE$15+1,"m"),)/12,)-1,)*Index!DA$23*(DE$15&lt;=$J59)*(1-DE$12)</f>
        <v>0</v>
      </c>
      <c r="DF59" s="747">
        <f>$G59*$H59*(1+$K59)^MAX(ROUNDUP(IFERROR(DATEDIF($I59-1,DF$15+1,"m"),)/12,)-1,)*Index!DB$23*(DF$15&lt;=$J59)*(1-DF$12)</f>
        <v>0</v>
      </c>
      <c r="DG59" s="747">
        <f>$G59*$H59*(1+$K59)^MAX(ROUNDUP(IFERROR(DATEDIF($I59-1,DG$15+1,"m"),)/12,)-1,)*Index!DC$23*(DG$15&lt;=$J59)*(1-DG$12)</f>
        <v>0</v>
      </c>
      <c r="DH59" s="747">
        <f>$G59*$H59*(1+$K59)^MAX(ROUNDUP(IFERROR(DATEDIF($I59-1,DH$15+1,"m"),)/12,)-1,)*Index!DD$23*(DH$15&lt;=$J59)*(1-DH$12)</f>
        <v>0</v>
      </c>
      <c r="DI59" s="747">
        <f>$G59*$H59*(1+$K59)^MAX(ROUNDUP(IFERROR(DATEDIF($I59-1,DI$15+1,"m"),)/12,)-1,)*Index!DE$23*(DI$15&lt;=$J59)*(1-DI$12)</f>
        <v>0</v>
      </c>
      <c r="DJ59" s="747">
        <f>$G59*$H59*(1+$K59)^MAX(ROUNDUP(IFERROR(DATEDIF($I59-1,DJ$15+1,"m"),)/12,)-1,)*Index!DF$23*(DJ$15&lt;=$J59)*(1-DJ$12)</f>
        <v>0</v>
      </c>
      <c r="DK59" s="747">
        <f>$G59*$H59*(1+$K59)^MAX(ROUNDUP(IFERROR(DATEDIF($I59-1,DK$15+1,"m"),)/12,)-1,)*Index!DG$23*(DK$15&lt;=$J59)*(1-DK$12)</f>
        <v>0</v>
      </c>
      <c r="DL59" s="747">
        <f>$G59*$H59*(1+$K59)^MAX(ROUNDUP(IFERROR(DATEDIF($I59-1,DL$15+1,"m"),)/12,)-1,)*Index!DH$23*(DL$15&lt;=$J59)*(1-DL$12)</f>
        <v>0</v>
      </c>
      <c r="DM59" s="747">
        <f>$G59*$H59*(1+$K59)^MAX(ROUNDUP(IFERROR(DATEDIF($I59-1,DM$15+1,"m"),)/12,)-1,)*Index!DI$23*(DM$15&lt;=$J59)*(1-DM$12)</f>
        <v>0</v>
      </c>
      <c r="DN59" s="747">
        <f>$G59*$H59*(1+$K59)^MAX(ROUNDUP(IFERROR(DATEDIF($I59-1,DN$15+1,"m"),)/12,)-1,)*Index!DJ$23*(DN$15&lt;=$J59)*(1-DN$12)</f>
        <v>0</v>
      </c>
      <c r="DO59" s="747">
        <f>$G59*$H59*(1+$K59)^MAX(ROUNDUP(IFERROR(DATEDIF($I59-1,DO$15+1,"m"),)/12,)-1,)*Index!DK$23*(DO$15&lt;=$J59)*(1-DO$12)</f>
        <v>0</v>
      </c>
      <c r="DP59" s="747">
        <f>$G59*$H59*(1+$K59)^MAX(ROUNDUP(IFERROR(DATEDIF($I59-1,DP$15+1,"m"),)/12,)-1,)*Index!DL$23*(DP$15&lt;=$J59)*(1-DP$12)</f>
        <v>0</v>
      </c>
      <c r="DQ59" s="747">
        <f>$G59*$H59*(1+$K59)^MAX(ROUNDUP(IFERROR(DATEDIF($I59-1,DQ$15+1,"m"),)/12,)-1,)*Index!DM$23*(DQ$15&lt;=$J59)*(1-DQ$12)</f>
        <v>0</v>
      </c>
      <c r="DR59" s="747">
        <f>$G59*$H59*(1+$K59)^MAX(ROUNDUP(IFERROR(DATEDIF($I59-1,DR$15+1,"m"),)/12,)-1,)*Index!DN$23*(DR$15&lt;=$J59)*(1-DR$12)</f>
        <v>0</v>
      </c>
      <c r="DS59" s="747">
        <f>$G59*$H59*(1+$K59)^MAX(ROUNDUP(IFERROR(DATEDIF($I59-1,DS$15+1,"m"),)/12,)-1,)*Index!DO$23*(DS$15&lt;=$J59)*(1-DS$12)</f>
        <v>0</v>
      </c>
      <c r="DT59" s="747">
        <f>$G59*$H59*(1+$K59)^MAX(ROUNDUP(IFERROR(DATEDIF($I59-1,DT$15+1,"m"),)/12,)-1,)*Index!DP$23*(DT$15&lt;=$J59)*(1-DT$12)</f>
        <v>0</v>
      </c>
      <c r="DU59" s="747">
        <f>$G59*$H59*(1+$K59)^MAX(ROUNDUP(IFERROR(DATEDIF($I59-1,DU$15+1,"m"),)/12,)-1,)*Index!DQ$23*(DU$15&lt;=$J59)*(1-DU$12)</f>
        <v>0</v>
      </c>
      <c r="DV59" s="747">
        <f>$G59*$H59*(1+$K59)^MAX(ROUNDUP(IFERROR(DATEDIF($I59-1,DV$15+1,"m"),)/12,)-1,)*Index!DR$23*(DV$15&lt;=$J59)*(1-DV$12)</f>
        <v>0</v>
      </c>
      <c r="DW59" s="747">
        <f>$G59*$H59*(1+$K59)^MAX(ROUNDUP(IFERROR(DATEDIF($I59-1,DW$15+1,"m"),)/12,)-1,)*Index!DS$23*(DW$15&lt;=$J59)*(1-DW$12)</f>
        <v>0</v>
      </c>
      <c r="DX59" s="747">
        <f>$G59*$H59*(1+$K59)^MAX(ROUNDUP(IFERROR(DATEDIF($I59-1,DX$15+1,"m"),)/12,)-1,)*Index!DT$23*(DX$15&lt;=$J59)*(1-DX$12)</f>
        <v>0</v>
      </c>
      <c r="DY59" s="747">
        <f>$G59*$H59*(1+$K59)^MAX(ROUNDUP(IFERROR(DATEDIF($I59-1,DY$15+1,"m"),)/12,)-1,)*Index!DU$23*(DY$15&lt;=$J59)*(1-DY$12)</f>
        <v>0</v>
      </c>
      <c r="DZ59" s="747">
        <f>$G59*$H59*(1+$K59)^MAX(ROUNDUP(IFERROR(DATEDIF($I59-1,DZ$15+1,"m"),)/12,)-1,)*Index!DV$23*(DZ$15&lt;=$J59)*(1-DZ$12)</f>
        <v>0</v>
      </c>
      <c r="EA59" s="747">
        <f>$G59*$H59*(1+$K59)^MAX(ROUNDUP(IFERROR(DATEDIF($I59-1,EA$15+1,"m"),)/12,)-1,)*Index!DW$23*(EA$15&lt;=$J59)*(1-EA$12)</f>
        <v>0</v>
      </c>
      <c r="EB59" s="747">
        <f>$G59*$H59*(1+$K59)^MAX(ROUNDUP(IFERROR(DATEDIF($I59-1,EB$15+1,"m"),)/12,)-1,)*Index!DX$23*(EB$15&lt;=$J59)*(1-EB$12)</f>
        <v>0</v>
      </c>
      <c r="EC59" s="747">
        <f>$G59*$H59*(1+$K59)^MAX(ROUNDUP(IFERROR(DATEDIF($I59-1,EC$15+1,"m"),)/12,)-1,)*Index!DY$23*(EC$15&lt;=$J59)*(1-EC$12)</f>
        <v>0</v>
      </c>
      <c r="ED59" s="747">
        <f>$G59*$H59*(1+$K59)^MAX(ROUNDUP(IFERROR(DATEDIF($I59-1,ED$15+1,"m"),)/12,)-1,)*Index!DZ$23*(ED$15&lt;=$J59)*(1-ED$12)</f>
        <v>0</v>
      </c>
      <c r="EE59" s="747">
        <f>$G59*$H59*(1+$K59)^MAX(ROUNDUP(IFERROR(DATEDIF($I59-1,EE$15+1,"m"),)/12,)-1,)*Index!EA$23*(EE$15&lt;=$J59)*(1-EE$12)</f>
        <v>0</v>
      </c>
      <c r="EF59" s="747">
        <f>$G59*$H59*(1+$K59)^MAX(ROUNDUP(IFERROR(DATEDIF($I59-1,EF$15+1,"m"),)/12,)-1,)*Index!EB$23*(EF$15&lt;=$J59)*(1-EF$12)</f>
        <v>0</v>
      </c>
      <c r="EG59" s="747">
        <f>$G59*$H59*(1+$K59)^MAX(ROUNDUP(IFERROR(DATEDIF($I59-1,EG$15+1,"m"),)/12,)-1,)*Index!EC$23*(EG$15&lt;=$J59)*(1-EG$12)</f>
        <v>0</v>
      </c>
      <c r="EH59" s="747">
        <f>$G59*$H59*(1+$K59)^MAX(ROUNDUP(IFERROR(DATEDIF($I59-1,EH$15+1,"m"),)/12,)-1,)*Index!ED$23*(EH$15&lt;=$J59)*(1-EH$12)</f>
        <v>0</v>
      </c>
      <c r="EI59" s="747">
        <f>$G59*$H59*(1+$K59)^MAX(ROUNDUP(IFERROR(DATEDIF($I59-1,EI$15+1,"m"),)/12,)-1,)*Index!EE$23*(EI$15&lt;=$J59)*(1-EI$12)</f>
        <v>0</v>
      </c>
      <c r="EJ59" s="747">
        <f>$G59*$H59*(1+$K59)^MAX(ROUNDUP(IFERROR(DATEDIF($I59-1,EJ$15+1,"m"),)/12,)-1,)*Index!EF$23*(EJ$15&lt;=$J59)*(1-EJ$12)</f>
        <v>0</v>
      </c>
      <c r="EK59" s="747">
        <f>$G59*$H59*(1+$K59)^MAX(ROUNDUP(IFERROR(DATEDIF($I59-1,EK$15+1,"m"),)/12,)-1,)*Index!EG$23*(EK$15&lt;=$J59)*(1-EK$12)</f>
        <v>0</v>
      </c>
      <c r="EL59" s="747">
        <f>$G59*$H59*(1+$K59)^MAX(ROUNDUP(IFERROR(DATEDIF($I59-1,EL$15+1,"m"),)/12,)-1,)*Index!EH$23*(EL$15&lt;=$J59)*(1-EL$12)</f>
        <v>0</v>
      </c>
      <c r="EM59" s="747">
        <f>$G59*$H59*(1+$K59)^MAX(ROUNDUP(IFERROR(DATEDIF($I59-1,EM$15+1,"m"),)/12,)-1,)*Index!EI$23*(EM$15&lt;=$J59)*(1-EM$12)</f>
        <v>0</v>
      </c>
      <c r="EN59" s="747">
        <f>$G59*$H59*(1+$K59)^MAX(ROUNDUP(IFERROR(DATEDIF($I59-1,EN$15+1,"m"),)/12,)-1,)*Index!EJ$23*(EN$15&lt;=$J59)*(1-EN$12)</f>
        <v>0</v>
      </c>
      <c r="EO59" s="747">
        <f>$G59*$H59*(1+$K59)^MAX(ROUNDUP(IFERROR(DATEDIF($I59-1,EO$15+1,"m"),)/12,)-1,)*Index!EK$23*(EO$15&lt;=$J59)*(1-EO$12)</f>
        <v>0</v>
      </c>
      <c r="EP59" s="747">
        <f>$G59*$H59*(1+$K59)^MAX(ROUNDUP(IFERROR(DATEDIF($I59-1,EP$15+1,"m"),)/12,)-1,)*Index!EL$23*(EP$15&lt;=$J59)*(1-EP$12)</f>
        <v>0</v>
      </c>
      <c r="EQ59" s="747">
        <f>$G59*$H59*(1+$K59)^MAX(ROUNDUP(IFERROR(DATEDIF($I59-1,EQ$15+1,"m"),)/12,)-1,)*Index!EM$23*(EQ$15&lt;=$J59)*(1-EQ$12)</f>
        <v>0</v>
      </c>
      <c r="ER59" s="747">
        <f>$G59*$H59*(1+$K59)^MAX(ROUNDUP(IFERROR(DATEDIF($I59-1,ER$15+1,"m"),)/12,)-1,)*Index!EN$23*(ER$15&lt;=$J59)*(1-ER$12)</f>
        <v>0</v>
      </c>
      <c r="ES59" s="747">
        <f>$G59*$H59*(1+$K59)^MAX(ROUNDUP(IFERROR(DATEDIF($I59-1,ES$15+1,"m"),)/12,)-1,)*Index!EO$23*(ES$15&lt;=$J59)*(1-ES$12)</f>
        <v>0</v>
      </c>
      <c r="ET59" s="747">
        <f>$G59*$H59*(1+$K59)^MAX(ROUNDUP(IFERROR(DATEDIF($I59-1,ET$15+1,"m"),)/12,)-1,)*Index!EP$23*(ET$15&lt;=$J59)*(1-ET$12)</f>
        <v>0</v>
      </c>
      <c r="EU59" s="747">
        <f>$G59*$H59*(1+$K59)^MAX(ROUNDUP(IFERROR(DATEDIF($I59-1,EU$15+1,"m"),)/12,)-1,)*Index!EQ$23*(EU$15&lt;=$J59)*(1-EU$12)</f>
        <v>0</v>
      </c>
    </row>
    <row r="60" spans="3:151" ht="11.25" customHeight="1">
      <c r="C60" s="828"/>
      <c r="D60" s="743">
        <f t="shared" ref="D60:K60" si="27">D24</f>
        <v>5</v>
      </c>
      <c r="E60" s="704" t="str">
        <f t="shared" si="27"/>
        <v>쿠팡</v>
      </c>
      <c r="F60" s="704" t="str">
        <f t="shared" si="27"/>
        <v>상온창고</v>
      </c>
      <c r="G60" s="752">
        <f t="shared" si="27"/>
        <v>60</v>
      </c>
      <c r="H60" s="744">
        <f t="shared" si="27"/>
        <v>2185.56</v>
      </c>
      <c r="I60" s="745">
        <f t="shared" si="27"/>
        <v>45323</v>
      </c>
      <c r="J60" s="745">
        <f t="shared" si="27"/>
        <v>49064</v>
      </c>
      <c r="K60" s="754">
        <f t="shared" si="27"/>
        <v>2.5000000000000001E-2</v>
      </c>
      <c r="L60" s="746"/>
      <c r="M60" s="722"/>
      <c r="N60" s="747">
        <f t="shared" si="21"/>
        <v>0</v>
      </c>
      <c r="O60" s="733"/>
      <c r="P60" s="747">
        <f>$G60*$H60*(1+$K60)^MAX(ROUNDUP(IFERROR(DATEDIF($I60-1,P$15+1,"m"),)/12,)-1,)*Index!L$23*(P$15&lt;=$J60)*(1-P$12)</f>
        <v>0</v>
      </c>
      <c r="Q60" s="747">
        <f>$G60*$H60*(1+$K60)^MAX(ROUNDUP(IFERROR(DATEDIF($I60-1,Q$15+1,"m"),)/12,)-1,)*Index!M$23*(Q$15&lt;=$J60)*(1-Q$12)</f>
        <v>0</v>
      </c>
      <c r="R60" s="747">
        <f>$G60*$H60*(1+$K60)^MAX(ROUNDUP(IFERROR(DATEDIF($I60-1,R$15+1,"m"),)/12,)-1,)*Index!N$23*(R$15&lt;=$J60)*(1-R$12)</f>
        <v>0</v>
      </c>
      <c r="S60" s="747">
        <f>$G60*$H60*(1+$K60)^MAX(ROUNDUP(IFERROR(DATEDIF($I60-1,S$15+1,"m"),)/12,)-1,)*Index!O$23*(S$15&lt;=$J60)*(1-S$12)</f>
        <v>0</v>
      </c>
      <c r="T60" s="747">
        <f>$G60*$H60*(1+$K60)^MAX(ROUNDUP(IFERROR(DATEDIF($I60-1,T$15+1,"m"),)/12,)-1,)*Index!P$23*(T$15&lt;=$J60)*(1-T$12)</f>
        <v>0</v>
      </c>
      <c r="U60" s="747">
        <f>$G60*$H60*(1+$K60)^MAX(ROUNDUP(IFERROR(DATEDIF($I60-1,U$15+1,"m"),)/12,)-1,)*Index!Q$23*(U$15&lt;=$J60)*(1-U$12)</f>
        <v>0</v>
      </c>
      <c r="V60" s="747">
        <f>$G60*$H60*(1+$K60)^MAX(ROUNDUP(IFERROR(DATEDIF($I60-1,V$15+1,"m"),)/12,)-1,)*Index!R$23*(V$15&lt;=$J60)*(1-V$12)</f>
        <v>0</v>
      </c>
      <c r="W60" s="747">
        <f>$G60*$H60*(1+$K60)^MAX(ROUNDUP(IFERROR(DATEDIF($I60-1,W$15+1,"m"),)/12,)-1,)*Index!S$23*(W$15&lt;=$J60)*(1-W$12)</f>
        <v>0</v>
      </c>
      <c r="X60" s="747">
        <f>$G60*$H60*(1+$K60)^MAX(ROUNDUP(IFERROR(DATEDIF($I60-1,X$15+1,"m"),)/12,)-1,)*Index!T$23*(X$15&lt;=$J60)*(1-X$12)</f>
        <v>0</v>
      </c>
      <c r="Y60" s="747">
        <f>$G60*$H60*(1+$K60)^MAX(ROUNDUP(IFERROR(DATEDIF($I60-1,Y$15+1,"m"),)/12,)-1,)*Index!U$23*(Y$15&lt;=$J60)*(1-Y$12)</f>
        <v>0</v>
      </c>
      <c r="Z60" s="747">
        <f>$G60*$H60*(1+$K60)^MAX(ROUNDUP(IFERROR(DATEDIF($I60-1,Z$15+1,"m"),)/12,)-1,)*Index!V$23*(Z$15&lt;=$J60)*(1-Z$12)</f>
        <v>0</v>
      </c>
      <c r="AA60" s="747">
        <f>$G60*$H60*(1+$K60)^MAX(ROUNDUP(IFERROR(DATEDIF($I60-1,AA$15+1,"m"),)/12,)-1,)*Index!W$23*(AA$15&lt;=$J60)*(1-AA$12)</f>
        <v>0</v>
      </c>
      <c r="AB60" s="747">
        <f>$G60*$H60*(1+$K60)^MAX(ROUNDUP(IFERROR(DATEDIF($I60-1,AB$15+1,"m"),)/12,)-1,)*Index!X$23*(AB$15&lt;=$J60)*(1-AB$12)</f>
        <v>0</v>
      </c>
      <c r="AC60" s="747">
        <f>$G60*$H60*(1+$K60)^MAX(ROUNDUP(IFERROR(DATEDIF($I60-1,AC$15+1,"m"),)/12,)-1,)*Index!Y$23*(AC$15&lt;=$J60)*(1-AC$12)</f>
        <v>0</v>
      </c>
      <c r="AD60" s="747">
        <f>$G60*$H60*(1+$K60)^MAX(ROUNDUP(IFERROR(DATEDIF($I60-1,AD$15+1,"m"),)/12,)-1,)*Index!Z$23*(AD$15&lt;=$J60)*(1-AD$12)</f>
        <v>0</v>
      </c>
      <c r="AE60" s="747">
        <f>$G60*$H60*(1+$K60)^MAX(ROUNDUP(IFERROR(DATEDIF($I60-1,AE$15+1,"m"),)/12,)-1,)*Index!AA$23*(AE$15&lt;=$J60)*(1-AE$12)</f>
        <v>0</v>
      </c>
      <c r="AF60" s="747">
        <f>$G60*$H60*(1+$K60)^MAX(ROUNDUP(IFERROR(DATEDIF($I60-1,AF$15+1,"m"),)/12,)-1,)*Index!AB$23*(AF$15&lt;=$J60)*(1-AF$12)</f>
        <v>0</v>
      </c>
      <c r="AG60" s="747">
        <f>$G60*$H60*(1+$K60)^MAX(ROUNDUP(IFERROR(DATEDIF($I60-1,AG$15+1,"m"),)/12,)-1,)*Index!AC$23*(AG$15&lt;=$J60)*(1-AG$12)</f>
        <v>0</v>
      </c>
      <c r="AH60" s="747">
        <f>$G60*$H60*(1+$K60)^MAX(ROUNDUP(IFERROR(DATEDIF($I60-1,AH$15+1,"m"),)/12,)-1,)*Index!AD$23*(AH$15&lt;=$J60)*(1-AH$12)</f>
        <v>0</v>
      </c>
      <c r="AI60" s="747">
        <f>$G60*$H60*(1+$K60)^MAX(ROUNDUP(IFERROR(DATEDIF($I60-1,AI$15+1,"m"),)/12,)-1,)*Index!AE$23*(AI$15&lt;=$J60)*(1-AI$12)</f>
        <v>0</v>
      </c>
      <c r="AJ60" s="747">
        <f>$G60*$H60*(1+$K60)^MAX(ROUNDUP(IFERROR(DATEDIF($I60-1,AJ$15+1,"m"),)/12,)-1,)*Index!AF$23*(AJ$15&lt;=$J60)*(1-AJ$12)</f>
        <v>0</v>
      </c>
      <c r="AK60" s="747">
        <f>$G60*$H60*(1+$K60)^MAX(ROUNDUP(IFERROR(DATEDIF($I60-1,AK$15+1,"m"),)/12,)-1,)*Index!AG$23*(AK$15&lt;=$J60)*(1-AK$12)</f>
        <v>0</v>
      </c>
      <c r="AL60" s="747">
        <f>$G60*$H60*(1+$K60)^MAX(ROUNDUP(IFERROR(DATEDIF($I60-1,AL$15+1,"m"),)/12,)-1,)*Index!AH$23*(AL$15&lt;=$J60)*(1-AL$12)</f>
        <v>0</v>
      </c>
      <c r="AM60" s="747">
        <f>$G60*$H60*(1+$K60)^MAX(ROUNDUP(IFERROR(DATEDIF($I60-1,AM$15+1,"m"),)/12,)-1,)*Index!AI$23*(AM$15&lt;=$J60)*(1-AM$12)</f>
        <v>0</v>
      </c>
      <c r="AN60" s="747">
        <f>$G60*$H60*(1+$K60)^MAX(ROUNDUP(IFERROR(DATEDIF($I60-1,AN$15+1,"m"),)/12,)-1,)*Index!AJ$23*(AN$15&lt;=$J60)*(1-AN$12)</f>
        <v>0</v>
      </c>
      <c r="AO60" s="747">
        <f>$G60*$H60*(1+$K60)^MAX(ROUNDUP(IFERROR(DATEDIF($I60-1,AO$15+1,"m"),)/12,)-1,)*Index!AK$23*(AO$15&lt;=$J60)*(1-AO$12)</f>
        <v>0</v>
      </c>
      <c r="AP60" s="747">
        <f>$G60*$H60*(1+$K60)^MAX(ROUNDUP(IFERROR(DATEDIF($I60-1,AP$15+1,"m"),)/12,)-1,)*Index!AL$23*(AP$15&lt;=$J60)*(1-AP$12)</f>
        <v>0</v>
      </c>
      <c r="AQ60" s="747">
        <f>$G60*$H60*(1+$K60)^MAX(ROUNDUP(IFERROR(DATEDIF($I60-1,AQ$15+1,"m"),)/12,)-1,)*Index!AM$23*(AQ$15&lt;=$J60)*(1-AQ$12)</f>
        <v>0</v>
      </c>
      <c r="AR60" s="747">
        <f>$G60*$H60*(1+$K60)^MAX(ROUNDUP(IFERROR(DATEDIF($I60-1,AR$15+1,"m"),)/12,)-1,)*Index!AN$23*(AR$15&lt;=$J60)*(1-AR$12)</f>
        <v>0</v>
      </c>
      <c r="AS60" s="747">
        <f>$G60*$H60*(1+$K60)^MAX(ROUNDUP(IFERROR(DATEDIF($I60-1,AS$15+1,"m"),)/12,)-1,)*Index!AO$23*(AS$15&lt;=$J60)*(1-AS$12)</f>
        <v>0</v>
      </c>
      <c r="AT60" s="747">
        <f>$G60*$H60*(1+$K60)^MAX(ROUNDUP(IFERROR(DATEDIF($I60-1,AT$15+1,"m"),)/12,)-1,)*Index!AP$23*(AT$15&lt;=$J60)*(1-AT$12)</f>
        <v>0</v>
      </c>
      <c r="AU60" s="747">
        <f>$G60*$H60*(1+$K60)^MAX(ROUNDUP(IFERROR(DATEDIF($I60-1,AU$15+1,"m"),)/12,)-1,)*Index!AQ$23*(AU$15&lt;=$J60)*(1-AU$12)</f>
        <v>0</v>
      </c>
      <c r="AV60" s="747">
        <f>$G60*$H60*(1+$K60)^MAX(ROUNDUP(IFERROR(DATEDIF($I60-1,AV$15+1,"m"),)/12,)-1,)*Index!AR$23*(AV$15&lt;=$J60)*(1-AV$12)</f>
        <v>0</v>
      </c>
      <c r="AW60" s="747">
        <f>$G60*$H60*(1+$K60)^MAX(ROUNDUP(IFERROR(DATEDIF($I60-1,AW$15+1,"m"),)/12,)-1,)*Index!AS$23*(AW$15&lt;=$J60)*(1-AW$12)</f>
        <v>0</v>
      </c>
      <c r="AX60" s="747">
        <f>$G60*$H60*(1+$K60)^MAX(ROUNDUP(IFERROR(DATEDIF($I60-1,AX$15+1,"m"),)/12,)-1,)*Index!AT$23*(AX$15&lt;=$J60)*(1-AX$12)</f>
        <v>0</v>
      </c>
      <c r="AY60" s="747">
        <f>$G60*$H60*(1+$K60)^MAX(ROUNDUP(IFERROR(DATEDIF($I60-1,AY$15+1,"m"),)/12,)-1,)*Index!AU$23*(AY$15&lt;=$J60)*(1-AY$12)</f>
        <v>0</v>
      </c>
      <c r="AZ60" s="747">
        <f>$G60*$H60*(1+$K60)^MAX(ROUNDUP(IFERROR(DATEDIF($I60-1,AZ$15+1,"m"),)/12,)-1,)*Index!AV$23*(AZ$15&lt;=$J60)*(1-AZ$12)</f>
        <v>0</v>
      </c>
      <c r="BA60" s="747">
        <f>$G60*$H60*(1+$K60)^MAX(ROUNDUP(IFERROR(DATEDIF($I60-1,BA$15+1,"m"),)/12,)-1,)*Index!AW$23*(BA$15&lt;=$J60)*(1-BA$12)</f>
        <v>0</v>
      </c>
      <c r="BB60" s="747">
        <f>$G60*$H60*(1+$K60)^MAX(ROUNDUP(IFERROR(DATEDIF($I60-1,BB$15+1,"m"),)/12,)-1,)*Index!AX$23*(BB$15&lt;=$J60)*(1-BB$12)</f>
        <v>0</v>
      </c>
      <c r="BC60" s="747">
        <f>$G60*$H60*(1+$K60)^MAX(ROUNDUP(IFERROR(DATEDIF($I60-1,BC$15+1,"m"),)/12,)-1,)*Index!AY$23*(BC$15&lt;=$J60)*(1-BC$12)</f>
        <v>0</v>
      </c>
      <c r="BD60" s="747">
        <f>$G60*$H60*(1+$K60)^MAX(ROUNDUP(IFERROR(DATEDIF($I60-1,BD$15+1,"m"),)/12,)-1,)*Index!AZ$23*(BD$15&lt;=$J60)*(1-BD$12)</f>
        <v>0</v>
      </c>
      <c r="BE60" s="747">
        <f>$G60*$H60*(1+$K60)^MAX(ROUNDUP(IFERROR(DATEDIF($I60-1,BE$15+1,"m"),)/12,)-1,)*Index!BA$23*(BE$15&lt;=$J60)*(1-BE$12)</f>
        <v>0</v>
      </c>
      <c r="BF60" s="747">
        <f>$G60*$H60*(1+$K60)^MAX(ROUNDUP(IFERROR(DATEDIF($I60-1,BF$15+1,"m"),)/12,)-1,)*Index!BB$23*(BF$15&lt;=$J60)*(1-BF$12)</f>
        <v>0</v>
      </c>
      <c r="BG60" s="747">
        <f>$G60*$H60*(1+$K60)^MAX(ROUNDUP(IFERROR(DATEDIF($I60-1,BG$15+1,"m"),)/12,)-1,)*Index!BC$23*(BG$15&lt;=$J60)*(1-BG$12)</f>
        <v>0</v>
      </c>
      <c r="BH60" s="747">
        <f>$G60*$H60*(1+$K60)^MAX(ROUNDUP(IFERROR(DATEDIF($I60-1,BH$15+1,"m"),)/12,)-1,)*Index!BD$23*(BH$15&lt;=$J60)*(1-BH$12)</f>
        <v>0</v>
      </c>
      <c r="BI60" s="747">
        <f>$G60*$H60*(1+$K60)^MAX(ROUNDUP(IFERROR(DATEDIF($I60-1,BI$15+1,"m"),)/12,)-1,)*Index!BE$23*(BI$15&lt;=$J60)*(1-BI$12)</f>
        <v>0</v>
      </c>
      <c r="BJ60" s="747">
        <f>$G60*$H60*(1+$K60)^MAX(ROUNDUP(IFERROR(DATEDIF($I60-1,BJ$15+1,"m"),)/12,)-1,)*Index!BF$23*(BJ$15&lt;=$J60)*(1-BJ$12)</f>
        <v>0</v>
      </c>
      <c r="BK60" s="747">
        <f>$G60*$H60*(1+$K60)^MAX(ROUNDUP(IFERROR(DATEDIF($I60-1,BK$15+1,"m"),)/12,)-1,)*Index!BG$23*(BK$15&lt;=$J60)*(1-BK$12)</f>
        <v>0</v>
      </c>
      <c r="BL60" s="747">
        <f>$G60*$H60*(1+$K60)^MAX(ROUNDUP(IFERROR(DATEDIF($I60-1,BL$15+1,"m"),)/12,)-1,)*Index!BH$23*(BL$15&lt;=$J60)*(1-BL$12)</f>
        <v>0</v>
      </c>
      <c r="BM60" s="747">
        <f>$G60*$H60*(1+$K60)^MAX(ROUNDUP(IFERROR(DATEDIF($I60-1,BM$15+1,"m"),)/12,)-1,)*Index!BI$23*(BM$15&lt;=$J60)*(1-BM$12)</f>
        <v>0</v>
      </c>
      <c r="BN60" s="747">
        <f>$G60*$H60*(1+$K60)^MAX(ROUNDUP(IFERROR(DATEDIF($I60-1,BN$15+1,"m"),)/12,)-1,)*Index!BJ$23*(BN$15&lt;=$J60)*(1-BN$12)</f>
        <v>0</v>
      </c>
      <c r="BO60" s="747">
        <f>$G60*$H60*(1+$K60)^MAX(ROUNDUP(IFERROR(DATEDIF($I60-1,BO$15+1,"m"),)/12,)-1,)*Index!BK$23*(BO$15&lt;=$J60)*(1-BO$12)</f>
        <v>0</v>
      </c>
      <c r="BP60" s="747">
        <f>$G60*$H60*(1+$K60)^MAX(ROUNDUP(IFERROR(DATEDIF($I60-1,BP$15+1,"m"),)/12,)-1,)*Index!BL$23*(BP$15&lt;=$J60)*(1-BP$12)</f>
        <v>0</v>
      </c>
      <c r="BQ60" s="747">
        <f>$G60*$H60*(1+$K60)^MAX(ROUNDUP(IFERROR(DATEDIF($I60-1,BQ$15+1,"m"),)/12,)-1,)*Index!BM$23*(BQ$15&lt;=$J60)*(1-BQ$12)</f>
        <v>0</v>
      </c>
      <c r="BR60" s="747">
        <f>$G60*$H60*(1+$K60)^MAX(ROUNDUP(IFERROR(DATEDIF($I60-1,BR$15+1,"m"),)/12,)-1,)*Index!BN$23*(BR$15&lt;=$J60)*(1-BR$12)</f>
        <v>0</v>
      </c>
      <c r="BS60" s="747">
        <f>$G60*$H60*(1+$K60)^MAX(ROUNDUP(IFERROR(DATEDIF($I60-1,BS$15+1,"m"),)/12,)-1,)*Index!BO$23*(BS$15&lt;=$J60)*(1-BS$12)</f>
        <v>0</v>
      </c>
      <c r="BT60" s="747">
        <f>$G60*$H60*(1+$K60)^MAX(ROUNDUP(IFERROR(DATEDIF($I60-1,BT$15+1,"m"),)/12,)-1,)*Index!BP$23*(BT$15&lt;=$J60)*(1-BT$12)</f>
        <v>0</v>
      </c>
      <c r="BU60" s="747">
        <f>$G60*$H60*(1+$K60)^MAX(ROUNDUP(IFERROR(DATEDIF($I60-1,BU$15+1,"m"),)/12,)-1,)*Index!BQ$23*(BU$15&lt;=$J60)*(1-BU$12)</f>
        <v>0</v>
      </c>
      <c r="BV60" s="747">
        <f>$G60*$H60*(1+$K60)^MAX(ROUNDUP(IFERROR(DATEDIF($I60-1,BV$15+1,"m"),)/12,)-1,)*Index!BR$23*(BV$15&lt;=$J60)*(1-BV$12)</f>
        <v>0</v>
      </c>
      <c r="BW60" s="747">
        <f>$G60*$H60*(1+$K60)^MAX(ROUNDUP(IFERROR(DATEDIF($I60-1,BW$15+1,"m"),)/12,)-1,)*Index!BS$23*(BW$15&lt;=$J60)*(1-BW$12)</f>
        <v>0</v>
      </c>
      <c r="BX60" s="747">
        <f>$G60*$H60*(1+$K60)^MAX(ROUNDUP(IFERROR(DATEDIF($I60-1,BX$15+1,"m"),)/12,)-1,)*Index!BT$23*(BX$15&lt;=$J60)*(1-BX$12)</f>
        <v>0</v>
      </c>
      <c r="BY60" s="747">
        <f>$G60*$H60*(1+$K60)^MAX(ROUNDUP(IFERROR(DATEDIF($I60-1,BY$15+1,"m"),)/12,)-1,)*Index!BU$23*(BY$15&lt;=$J60)*(1-BY$12)</f>
        <v>0</v>
      </c>
      <c r="BZ60" s="747">
        <f>$G60*$H60*(1+$K60)^MAX(ROUNDUP(IFERROR(DATEDIF($I60-1,BZ$15+1,"m"),)/12,)-1,)*Index!BV$23*(BZ$15&lt;=$J60)*(1-BZ$12)</f>
        <v>0</v>
      </c>
      <c r="CA60" s="747">
        <f>$G60*$H60*(1+$K60)^MAX(ROUNDUP(IFERROR(DATEDIF($I60-1,CA$15+1,"m"),)/12,)-1,)*Index!BW$23*(CA$15&lt;=$J60)*(1-CA$12)</f>
        <v>0</v>
      </c>
      <c r="CB60" s="747">
        <f>$G60*$H60*(1+$K60)^MAX(ROUNDUP(IFERROR(DATEDIF($I60-1,CB$15+1,"m"),)/12,)-1,)*Index!BX$23*(CB$15&lt;=$J60)*(1-CB$12)</f>
        <v>0</v>
      </c>
      <c r="CC60" s="747">
        <f>$G60*$H60*(1+$K60)^MAX(ROUNDUP(IFERROR(DATEDIF($I60-1,CC$15+1,"m"),)/12,)-1,)*Index!BY$23*(CC$15&lt;=$J60)*(1-CC$12)</f>
        <v>0</v>
      </c>
      <c r="CD60" s="747">
        <f>$G60*$H60*(1+$K60)^MAX(ROUNDUP(IFERROR(DATEDIF($I60-1,CD$15+1,"m"),)/12,)-1,)*Index!BZ$23*(CD$15&lt;=$J60)*(1-CD$12)</f>
        <v>0</v>
      </c>
      <c r="CE60" s="747">
        <f>$G60*$H60*(1+$K60)^MAX(ROUNDUP(IFERROR(DATEDIF($I60-1,CE$15+1,"m"),)/12,)-1,)*Index!CA$23*(CE$15&lt;=$J60)*(1-CE$12)</f>
        <v>0</v>
      </c>
      <c r="CF60" s="747">
        <f>$G60*$H60*(1+$K60)^MAX(ROUNDUP(IFERROR(DATEDIF($I60-1,CF$15+1,"m"),)/12,)-1,)*Index!CB$23*(CF$15&lt;=$J60)*(1-CF$12)</f>
        <v>0</v>
      </c>
      <c r="CG60" s="747">
        <f>$G60*$H60*(1+$K60)^MAX(ROUNDUP(IFERROR(DATEDIF($I60-1,CG$15+1,"m"),)/12,)-1,)*Index!CC$23*(CG$15&lt;=$J60)*(1-CG$12)</f>
        <v>0</v>
      </c>
      <c r="CH60" s="747">
        <f>$G60*$H60*(1+$K60)^MAX(ROUNDUP(IFERROR(DATEDIF($I60-1,CH$15+1,"m"),)/12,)-1,)*Index!CD$23*(CH$15&lt;=$J60)*(1-CH$12)</f>
        <v>0</v>
      </c>
      <c r="CI60" s="747">
        <f>$G60*$H60*(1+$K60)^MAX(ROUNDUP(IFERROR(DATEDIF($I60-1,CI$15+1,"m"),)/12,)-1,)*Index!CE$23*(CI$15&lt;=$J60)*(1-CI$12)</f>
        <v>0</v>
      </c>
      <c r="CJ60" s="747">
        <f>$G60*$H60*(1+$K60)^MAX(ROUNDUP(IFERROR(DATEDIF($I60-1,CJ$15+1,"m"),)/12,)-1,)*Index!CF$23*(CJ$15&lt;=$J60)*(1-CJ$12)</f>
        <v>0</v>
      </c>
      <c r="CK60" s="747">
        <f>$G60*$H60*(1+$K60)^MAX(ROUNDUP(IFERROR(DATEDIF($I60-1,CK$15+1,"m"),)/12,)-1,)*Index!CG$23*(CK$15&lt;=$J60)*(1-CK$12)</f>
        <v>0</v>
      </c>
      <c r="CL60" s="747">
        <f>$G60*$H60*(1+$K60)^MAX(ROUNDUP(IFERROR(DATEDIF($I60-1,CL$15+1,"m"),)/12,)-1,)*Index!CH$23*(CL$15&lt;=$J60)*(1-CL$12)</f>
        <v>0</v>
      </c>
      <c r="CM60" s="747">
        <f>$G60*$H60*(1+$K60)^MAX(ROUNDUP(IFERROR(DATEDIF($I60-1,CM$15+1,"m"),)/12,)-1,)*Index!CI$23*(CM$15&lt;=$J60)*(1-CM$12)</f>
        <v>0</v>
      </c>
      <c r="CN60" s="747">
        <f>$G60*$H60*(1+$K60)^MAX(ROUNDUP(IFERROR(DATEDIF($I60-1,CN$15+1,"m"),)/12,)-1,)*Index!CJ$23*(CN$15&lt;=$J60)*(1-CN$12)</f>
        <v>0</v>
      </c>
      <c r="CO60" s="747">
        <f>$G60*$H60*(1+$K60)^MAX(ROUNDUP(IFERROR(DATEDIF($I60-1,CO$15+1,"m"),)/12,)-1,)*Index!CK$23*(CO$15&lt;=$J60)*(1-CO$12)</f>
        <v>0</v>
      </c>
      <c r="CP60" s="747">
        <f>$G60*$H60*(1+$K60)^MAX(ROUNDUP(IFERROR(DATEDIF($I60-1,CP$15+1,"m"),)/12,)-1,)*Index!CL$23*(CP$15&lt;=$J60)*(1-CP$12)</f>
        <v>0</v>
      </c>
      <c r="CQ60" s="747">
        <f>$G60*$H60*(1+$K60)^MAX(ROUNDUP(IFERROR(DATEDIF($I60-1,CQ$15+1,"m"),)/12,)-1,)*Index!CM$23*(CQ$15&lt;=$J60)*(1-CQ$12)</f>
        <v>0</v>
      </c>
      <c r="CR60" s="747">
        <f>$G60*$H60*(1+$K60)^MAX(ROUNDUP(IFERROR(DATEDIF($I60-1,CR$15+1,"m"),)/12,)-1,)*Index!CN$23*(CR$15&lt;=$J60)*(1-CR$12)</f>
        <v>0</v>
      </c>
      <c r="CS60" s="747">
        <f>$G60*$H60*(1+$K60)^MAX(ROUNDUP(IFERROR(DATEDIF($I60-1,CS$15+1,"m"),)/12,)-1,)*Index!CO$23*(CS$15&lt;=$J60)*(1-CS$12)</f>
        <v>0</v>
      </c>
      <c r="CT60" s="747">
        <f>$G60*$H60*(1+$K60)^MAX(ROUNDUP(IFERROR(DATEDIF($I60-1,CT$15+1,"m"),)/12,)-1,)*Index!CP$23*(CT$15&lt;=$J60)*(1-CT$12)</f>
        <v>0</v>
      </c>
      <c r="CU60" s="747">
        <f>$G60*$H60*(1+$K60)^MAX(ROUNDUP(IFERROR(DATEDIF($I60-1,CU$15+1,"m"),)/12,)-1,)*Index!CQ$23*(CU$15&lt;=$J60)*(1-CU$12)</f>
        <v>0</v>
      </c>
      <c r="CV60" s="747">
        <f>$G60*$H60*(1+$K60)^MAX(ROUNDUP(IFERROR(DATEDIF($I60-1,CV$15+1,"m"),)/12,)-1,)*Index!CR$23*(CV$15&lt;=$J60)*(1-CV$12)</f>
        <v>0</v>
      </c>
      <c r="CW60" s="747">
        <f>$G60*$H60*(1+$K60)^MAX(ROUNDUP(IFERROR(DATEDIF($I60-1,CW$15+1,"m"),)/12,)-1,)*Index!CS$23*(CW$15&lt;=$J60)*(1-CW$12)</f>
        <v>0</v>
      </c>
      <c r="CX60" s="747">
        <f>$G60*$H60*(1+$K60)^MAX(ROUNDUP(IFERROR(DATEDIF($I60-1,CX$15+1,"m"),)/12,)-1,)*Index!CT$23*(CX$15&lt;=$J60)*(1-CX$12)</f>
        <v>0</v>
      </c>
      <c r="CY60" s="747">
        <f>$G60*$H60*(1+$K60)^MAX(ROUNDUP(IFERROR(DATEDIF($I60-1,CY$15+1,"m"),)/12,)-1,)*Index!CU$23*(CY$15&lt;=$J60)*(1-CY$12)</f>
        <v>0</v>
      </c>
      <c r="CZ60" s="747">
        <f>$G60*$H60*(1+$K60)^MAX(ROUNDUP(IFERROR(DATEDIF($I60-1,CZ$15+1,"m"),)/12,)-1,)*Index!CV$23*(CZ$15&lt;=$J60)*(1-CZ$12)</f>
        <v>0</v>
      </c>
      <c r="DA60" s="747">
        <f>$G60*$H60*(1+$K60)^MAX(ROUNDUP(IFERROR(DATEDIF($I60-1,DA$15+1,"m"),)/12,)-1,)*Index!CW$23*(DA$15&lt;=$J60)*(1-DA$12)</f>
        <v>0</v>
      </c>
      <c r="DB60" s="747">
        <f>$G60*$H60*(1+$K60)^MAX(ROUNDUP(IFERROR(DATEDIF($I60-1,DB$15+1,"m"),)/12,)-1,)*Index!CX$23*(DB$15&lt;=$J60)*(1-DB$12)</f>
        <v>0</v>
      </c>
      <c r="DC60" s="747">
        <f>$G60*$H60*(1+$K60)^MAX(ROUNDUP(IFERROR(DATEDIF($I60-1,DC$15+1,"m"),)/12,)-1,)*Index!CY$23*(DC$15&lt;=$J60)*(1-DC$12)</f>
        <v>0</v>
      </c>
      <c r="DD60" s="747">
        <f>$G60*$H60*(1+$K60)^MAX(ROUNDUP(IFERROR(DATEDIF($I60-1,DD$15+1,"m"),)/12,)-1,)*Index!CZ$23*(DD$15&lt;=$J60)*(1-DD$12)</f>
        <v>0</v>
      </c>
      <c r="DE60" s="747">
        <f>$G60*$H60*(1+$K60)^MAX(ROUNDUP(IFERROR(DATEDIF($I60-1,DE$15+1,"m"),)/12,)-1,)*Index!DA$23*(DE$15&lt;=$J60)*(1-DE$12)</f>
        <v>0</v>
      </c>
      <c r="DF60" s="747">
        <f>$G60*$H60*(1+$K60)^MAX(ROUNDUP(IFERROR(DATEDIF($I60-1,DF$15+1,"m"),)/12,)-1,)*Index!DB$23*(DF$15&lt;=$J60)*(1-DF$12)</f>
        <v>0</v>
      </c>
      <c r="DG60" s="747">
        <f>$G60*$H60*(1+$K60)^MAX(ROUNDUP(IFERROR(DATEDIF($I60-1,DG$15+1,"m"),)/12,)-1,)*Index!DC$23*(DG$15&lt;=$J60)*(1-DG$12)</f>
        <v>0</v>
      </c>
      <c r="DH60" s="747">
        <f>$G60*$H60*(1+$K60)^MAX(ROUNDUP(IFERROR(DATEDIF($I60-1,DH$15+1,"m"),)/12,)-1,)*Index!DD$23*(DH$15&lt;=$J60)*(1-DH$12)</f>
        <v>0</v>
      </c>
      <c r="DI60" s="747">
        <f>$G60*$H60*(1+$K60)^MAX(ROUNDUP(IFERROR(DATEDIF($I60-1,DI$15+1,"m"),)/12,)-1,)*Index!DE$23*(DI$15&lt;=$J60)*(1-DI$12)</f>
        <v>0</v>
      </c>
      <c r="DJ60" s="747">
        <f>$G60*$H60*(1+$K60)^MAX(ROUNDUP(IFERROR(DATEDIF($I60-1,DJ$15+1,"m"),)/12,)-1,)*Index!DF$23*(DJ$15&lt;=$J60)*(1-DJ$12)</f>
        <v>0</v>
      </c>
      <c r="DK60" s="747">
        <f>$G60*$H60*(1+$K60)^MAX(ROUNDUP(IFERROR(DATEDIF($I60-1,DK$15+1,"m"),)/12,)-1,)*Index!DG$23*(DK$15&lt;=$J60)*(1-DK$12)</f>
        <v>0</v>
      </c>
      <c r="DL60" s="747">
        <f>$G60*$H60*(1+$K60)^MAX(ROUNDUP(IFERROR(DATEDIF($I60-1,DL$15+1,"m"),)/12,)-1,)*Index!DH$23*(DL$15&lt;=$J60)*(1-DL$12)</f>
        <v>0</v>
      </c>
      <c r="DM60" s="747">
        <f>$G60*$H60*(1+$K60)^MAX(ROUNDUP(IFERROR(DATEDIF($I60-1,DM$15+1,"m"),)/12,)-1,)*Index!DI$23*(DM$15&lt;=$J60)*(1-DM$12)</f>
        <v>0</v>
      </c>
      <c r="DN60" s="747">
        <f>$G60*$H60*(1+$K60)^MAX(ROUNDUP(IFERROR(DATEDIF($I60-1,DN$15+1,"m"),)/12,)-1,)*Index!DJ$23*(DN$15&lt;=$J60)*(1-DN$12)</f>
        <v>0</v>
      </c>
      <c r="DO60" s="747">
        <f>$G60*$H60*(1+$K60)^MAX(ROUNDUP(IFERROR(DATEDIF($I60-1,DO$15+1,"m"),)/12,)-1,)*Index!DK$23*(DO$15&lt;=$J60)*(1-DO$12)</f>
        <v>0</v>
      </c>
      <c r="DP60" s="747">
        <f>$G60*$H60*(1+$K60)^MAX(ROUNDUP(IFERROR(DATEDIF($I60-1,DP$15+1,"m"),)/12,)-1,)*Index!DL$23*(DP$15&lt;=$J60)*(1-DP$12)</f>
        <v>0</v>
      </c>
      <c r="DQ60" s="747">
        <f>$G60*$H60*(1+$K60)^MAX(ROUNDUP(IFERROR(DATEDIF($I60-1,DQ$15+1,"m"),)/12,)-1,)*Index!DM$23*(DQ$15&lt;=$J60)*(1-DQ$12)</f>
        <v>0</v>
      </c>
      <c r="DR60" s="747">
        <f>$G60*$H60*(1+$K60)^MAX(ROUNDUP(IFERROR(DATEDIF($I60-1,DR$15+1,"m"),)/12,)-1,)*Index!DN$23*(DR$15&lt;=$J60)*(1-DR$12)</f>
        <v>0</v>
      </c>
      <c r="DS60" s="747">
        <f>$G60*$H60*(1+$K60)^MAX(ROUNDUP(IFERROR(DATEDIF($I60-1,DS$15+1,"m"),)/12,)-1,)*Index!DO$23*(DS$15&lt;=$J60)*(1-DS$12)</f>
        <v>0</v>
      </c>
      <c r="DT60" s="747">
        <f>$G60*$H60*(1+$K60)^MAX(ROUNDUP(IFERROR(DATEDIF($I60-1,DT$15+1,"m"),)/12,)-1,)*Index!DP$23*(DT$15&lt;=$J60)*(1-DT$12)</f>
        <v>0</v>
      </c>
      <c r="DU60" s="747">
        <f>$G60*$H60*(1+$K60)^MAX(ROUNDUP(IFERROR(DATEDIF($I60-1,DU$15+1,"m"),)/12,)-1,)*Index!DQ$23*(DU$15&lt;=$J60)*(1-DU$12)</f>
        <v>0</v>
      </c>
      <c r="DV60" s="747">
        <f>$G60*$H60*(1+$K60)^MAX(ROUNDUP(IFERROR(DATEDIF($I60-1,DV$15+1,"m"),)/12,)-1,)*Index!DR$23*(DV$15&lt;=$J60)*(1-DV$12)</f>
        <v>0</v>
      </c>
      <c r="DW60" s="747">
        <f>$G60*$H60*(1+$K60)^MAX(ROUNDUP(IFERROR(DATEDIF($I60-1,DW$15+1,"m"),)/12,)-1,)*Index!DS$23*(DW$15&lt;=$J60)*(1-DW$12)</f>
        <v>0</v>
      </c>
      <c r="DX60" s="747">
        <f>$G60*$H60*(1+$K60)^MAX(ROUNDUP(IFERROR(DATEDIF($I60-1,DX$15+1,"m"),)/12,)-1,)*Index!DT$23*(DX$15&lt;=$J60)*(1-DX$12)</f>
        <v>0</v>
      </c>
      <c r="DY60" s="747">
        <f>$G60*$H60*(1+$K60)^MAX(ROUNDUP(IFERROR(DATEDIF($I60-1,DY$15+1,"m"),)/12,)-1,)*Index!DU$23*(DY$15&lt;=$J60)*(1-DY$12)</f>
        <v>0</v>
      </c>
      <c r="DZ60" s="747">
        <f>$G60*$H60*(1+$K60)^MAX(ROUNDUP(IFERROR(DATEDIF($I60-1,DZ$15+1,"m"),)/12,)-1,)*Index!DV$23*(DZ$15&lt;=$J60)*(1-DZ$12)</f>
        <v>0</v>
      </c>
      <c r="EA60" s="747">
        <f>$G60*$H60*(1+$K60)^MAX(ROUNDUP(IFERROR(DATEDIF($I60-1,EA$15+1,"m"),)/12,)-1,)*Index!DW$23*(EA$15&lt;=$J60)*(1-EA$12)</f>
        <v>0</v>
      </c>
      <c r="EB60" s="747">
        <f>$G60*$H60*(1+$K60)^MAX(ROUNDUP(IFERROR(DATEDIF($I60-1,EB$15+1,"m"),)/12,)-1,)*Index!DX$23*(EB$15&lt;=$J60)*(1-EB$12)</f>
        <v>0</v>
      </c>
      <c r="EC60" s="747">
        <f>$G60*$H60*(1+$K60)^MAX(ROUNDUP(IFERROR(DATEDIF($I60-1,EC$15+1,"m"),)/12,)-1,)*Index!DY$23*(EC$15&lt;=$J60)*(1-EC$12)</f>
        <v>0</v>
      </c>
      <c r="ED60" s="747">
        <f>$G60*$H60*(1+$K60)^MAX(ROUNDUP(IFERROR(DATEDIF($I60-1,ED$15+1,"m"),)/12,)-1,)*Index!DZ$23*(ED$15&lt;=$J60)*(1-ED$12)</f>
        <v>0</v>
      </c>
      <c r="EE60" s="747">
        <f>$G60*$H60*(1+$K60)^MAX(ROUNDUP(IFERROR(DATEDIF($I60-1,EE$15+1,"m"),)/12,)-1,)*Index!EA$23*(EE$15&lt;=$J60)*(1-EE$12)</f>
        <v>0</v>
      </c>
      <c r="EF60" s="747">
        <f>$G60*$H60*(1+$K60)^MAX(ROUNDUP(IFERROR(DATEDIF($I60-1,EF$15+1,"m"),)/12,)-1,)*Index!EB$23*(EF$15&lt;=$J60)*(1-EF$12)</f>
        <v>0</v>
      </c>
      <c r="EG60" s="747">
        <f>$G60*$H60*(1+$K60)^MAX(ROUNDUP(IFERROR(DATEDIF($I60-1,EG$15+1,"m"),)/12,)-1,)*Index!EC$23*(EG$15&lt;=$J60)*(1-EG$12)</f>
        <v>0</v>
      </c>
      <c r="EH60" s="747">
        <f>$G60*$H60*(1+$K60)^MAX(ROUNDUP(IFERROR(DATEDIF($I60-1,EH$15+1,"m"),)/12,)-1,)*Index!ED$23*(EH$15&lt;=$J60)*(1-EH$12)</f>
        <v>0</v>
      </c>
      <c r="EI60" s="747">
        <f>$G60*$H60*(1+$K60)^MAX(ROUNDUP(IFERROR(DATEDIF($I60-1,EI$15+1,"m"),)/12,)-1,)*Index!EE$23*(EI$15&lt;=$J60)*(1-EI$12)</f>
        <v>0</v>
      </c>
      <c r="EJ60" s="747">
        <f>$G60*$H60*(1+$K60)^MAX(ROUNDUP(IFERROR(DATEDIF($I60-1,EJ$15+1,"m"),)/12,)-1,)*Index!EF$23*(EJ$15&lt;=$J60)*(1-EJ$12)</f>
        <v>0</v>
      </c>
      <c r="EK60" s="747">
        <f>$G60*$H60*(1+$K60)^MAX(ROUNDUP(IFERROR(DATEDIF($I60-1,EK$15+1,"m"),)/12,)-1,)*Index!EG$23*(EK$15&lt;=$J60)*(1-EK$12)</f>
        <v>0</v>
      </c>
      <c r="EL60" s="747">
        <f>$G60*$H60*(1+$K60)^MAX(ROUNDUP(IFERROR(DATEDIF($I60-1,EL$15+1,"m"),)/12,)-1,)*Index!EH$23*(EL$15&lt;=$J60)*(1-EL$12)</f>
        <v>0</v>
      </c>
      <c r="EM60" s="747">
        <f>$G60*$H60*(1+$K60)^MAX(ROUNDUP(IFERROR(DATEDIF($I60-1,EM$15+1,"m"),)/12,)-1,)*Index!EI$23*(EM$15&lt;=$J60)*(1-EM$12)</f>
        <v>0</v>
      </c>
      <c r="EN60" s="747">
        <f>$G60*$H60*(1+$K60)^MAX(ROUNDUP(IFERROR(DATEDIF($I60-1,EN$15+1,"m"),)/12,)-1,)*Index!EJ$23*(EN$15&lt;=$J60)*(1-EN$12)</f>
        <v>0</v>
      </c>
      <c r="EO60" s="747">
        <f>$G60*$H60*(1+$K60)^MAX(ROUNDUP(IFERROR(DATEDIF($I60-1,EO$15+1,"m"),)/12,)-1,)*Index!EK$23*(EO$15&lt;=$J60)*(1-EO$12)</f>
        <v>0</v>
      </c>
      <c r="EP60" s="747">
        <f>$G60*$H60*(1+$K60)^MAX(ROUNDUP(IFERROR(DATEDIF($I60-1,EP$15+1,"m"),)/12,)-1,)*Index!EL$23*(EP$15&lt;=$J60)*(1-EP$12)</f>
        <v>0</v>
      </c>
      <c r="EQ60" s="747">
        <f>$G60*$H60*(1+$K60)^MAX(ROUNDUP(IFERROR(DATEDIF($I60-1,EQ$15+1,"m"),)/12,)-1,)*Index!EM$23*(EQ$15&lt;=$J60)*(1-EQ$12)</f>
        <v>0</v>
      </c>
      <c r="ER60" s="747">
        <f>$G60*$H60*(1+$K60)^MAX(ROUNDUP(IFERROR(DATEDIF($I60-1,ER$15+1,"m"),)/12,)-1,)*Index!EN$23*(ER$15&lt;=$J60)*(1-ER$12)</f>
        <v>0</v>
      </c>
      <c r="ES60" s="747">
        <f>$G60*$H60*(1+$K60)^MAX(ROUNDUP(IFERROR(DATEDIF($I60-1,ES$15+1,"m"),)/12,)-1,)*Index!EO$23*(ES$15&lt;=$J60)*(1-ES$12)</f>
        <v>0</v>
      </c>
      <c r="ET60" s="747">
        <f>$G60*$H60*(1+$K60)^MAX(ROUNDUP(IFERROR(DATEDIF($I60-1,ET$15+1,"m"),)/12,)-1,)*Index!EP$23*(ET$15&lt;=$J60)*(1-ET$12)</f>
        <v>0</v>
      </c>
      <c r="EU60" s="747">
        <f>$G60*$H60*(1+$K60)^MAX(ROUNDUP(IFERROR(DATEDIF($I60-1,EU$15+1,"m"),)/12,)-1,)*Index!EQ$23*(EU$15&lt;=$J60)*(1-EU$12)</f>
        <v>0</v>
      </c>
    </row>
    <row r="61" spans="3:151" ht="11.25" customHeight="1">
      <c r="C61" s="828"/>
      <c r="D61" s="743">
        <f t="shared" ref="D61:K61" si="28">D25</f>
        <v>4</v>
      </c>
      <c r="E61" s="704" t="str">
        <f t="shared" si="28"/>
        <v>쿠팡</v>
      </c>
      <c r="F61" s="704" t="str">
        <f t="shared" si="28"/>
        <v>상온창고</v>
      </c>
      <c r="G61" s="752">
        <f t="shared" si="28"/>
        <v>60</v>
      </c>
      <c r="H61" s="744">
        <f t="shared" si="28"/>
        <v>2185.56</v>
      </c>
      <c r="I61" s="745">
        <f t="shared" si="28"/>
        <v>45413</v>
      </c>
      <c r="J61" s="745">
        <f t="shared" si="28"/>
        <v>49064</v>
      </c>
      <c r="K61" s="754">
        <f t="shared" si="28"/>
        <v>2.5000000000000001E-2</v>
      </c>
      <c r="L61" s="746"/>
      <c r="M61" s="722"/>
      <c r="N61" s="747">
        <f t="shared" si="21"/>
        <v>0</v>
      </c>
      <c r="O61" s="733"/>
      <c r="P61" s="747">
        <f>$G61*$H61*(1+$K61)^MAX(ROUNDUP(IFERROR(DATEDIF($I61-1,P$15+1,"m"),)/12,)-1,)*Index!L$23*(P$15&lt;=$J61)*(1-P$12)</f>
        <v>0</v>
      </c>
      <c r="Q61" s="747">
        <f>$G61*$H61*(1+$K61)^MAX(ROUNDUP(IFERROR(DATEDIF($I61-1,Q$15+1,"m"),)/12,)-1,)*Index!M$23*(Q$15&lt;=$J61)*(1-Q$12)</f>
        <v>0</v>
      </c>
      <c r="R61" s="747">
        <f>$G61*$H61*(1+$K61)^MAX(ROUNDUP(IFERROR(DATEDIF($I61-1,R$15+1,"m"),)/12,)-1,)*Index!N$23*(R$15&lt;=$J61)*(1-R$12)</f>
        <v>0</v>
      </c>
      <c r="S61" s="747">
        <f>$G61*$H61*(1+$K61)^MAX(ROUNDUP(IFERROR(DATEDIF($I61-1,S$15+1,"m"),)/12,)-1,)*Index!O$23*(S$15&lt;=$J61)*(1-S$12)</f>
        <v>0</v>
      </c>
      <c r="T61" s="747">
        <f>$G61*$H61*(1+$K61)^MAX(ROUNDUP(IFERROR(DATEDIF($I61-1,T$15+1,"m"),)/12,)-1,)*Index!P$23*(T$15&lt;=$J61)*(1-T$12)</f>
        <v>0</v>
      </c>
      <c r="U61" s="747">
        <f>$G61*$H61*(1+$K61)^MAX(ROUNDUP(IFERROR(DATEDIF($I61-1,U$15+1,"m"),)/12,)-1,)*Index!Q$23*(U$15&lt;=$J61)*(1-U$12)</f>
        <v>0</v>
      </c>
      <c r="V61" s="747">
        <f>$G61*$H61*(1+$K61)^MAX(ROUNDUP(IFERROR(DATEDIF($I61-1,V$15+1,"m"),)/12,)-1,)*Index!R$23*(V$15&lt;=$J61)*(1-V$12)</f>
        <v>0</v>
      </c>
      <c r="W61" s="747">
        <f>$G61*$H61*(1+$K61)^MAX(ROUNDUP(IFERROR(DATEDIF($I61-1,W$15+1,"m"),)/12,)-1,)*Index!S$23*(W$15&lt;=$J61)*(1-W$12)</f>
        <v>0</v>
      </c>
      <c r="X61" s="747">
        <f>$G61*$H61*(1+$K61)^MAX(ROUNDUP(IFERROR(DATEDIF($I61-1,X$15+1,"m"),)/12,)-1,)*Index!T$23*(X$15&lt;=$J61)*(1-X$12)</f>
        <v>0</v>
      </c>
      <c r="Y61" s="747">
        <f>$G61*$H61*(1+$K61)^MAX(ROUNDUP(IFERROR(DATEDIF($I61-1,Y$15+1,"m"),)/12,)-1,)*Index!U$23*(Y$15&lt;=$J61)*(1-Y$12)</f>
        <v>0</v>
      </c>
      <c r="Z61" s="747">
        <f>$G61*$H61*(1+$K61)^MAX(ROUNDUP(IFERROR(DATEDIF($I61-1,Z$15+1,"m"),)/12,)-1,)*Index!V$23*(Z$15&lt;=$J61)*(1-Z$12)</f>
        <v>0</v>
      </c>
      <c r="AA61" s="747">
        <f>$G61*$H61*(1+$K61)^MAX(ROUNDUP(IFERROR(DATEDIF($I61-1,AA$15+1,"m"),)/12,)-1,)*Index!W$23*(AA$15&lt;=$J61)*(1-AA$12)</f>
        <v>0</v>
      </c>
      <c r="AB61" s="747">
        <f>$G61*$H61*(1+$K61)^MAX(ROUNDUP(IFERROR(DATEDIF($I61-1,AB$15+1,"m"),)/12,)-1,)*Index!X$23*(AB$15&lt;=$J61)*(1-AB$12)</f>
        <v>0</v>
      </c>
      <c r="AC61" s="747">
        <f>$G61*$H61*(1+$K61)^MAX(ROUNDUP(IFERROR(DATEDIF($I61-1,AC$15+1,"m"),)/12,)-1,)*Index!Y$23*(AC$15&lt;=$J61)*(1-AC$12)</f>
        <v>0</v>
      </c>
      <c r="AD61" s="747">
        <f>$G61*$H61*(1+$K61)^MAX(ROUNDUP(IFERROR(DATEDIF($I61-1,AD$15+1,"m"),)/12,)-1,)*Index!Z$23*(AD$15&lt;=$J61)*(1-AD$12)</f>
        <v>0</v>
      </c>
      <c r="AE61" s="747">
        <f>$G61*$H61*(1+$K61)^MAX(ROUNDUP(IFERROR(DATEDIF($I61-1,AE$15+1,"m"),)/12,)-1,)*Index!AA$23*(AE$15&lt;=$J61)*(1-AE$12)</f>
        <v>0</v>
      </c>
      <c r="AF61" s="747">
        <f>$G61*$H61*(1+$K61)^MAX(ROUNDUP(IFERROR(DATEDIF($I61-1,AF$15+1,"m"),)/12,)-1,)*Index!AB$23*(AF$15&lt;=$J61)*(1-AF$12)</f>
        <v>0</v>
      </c>
      <c r="AG61" s="747">
        <f>$G61*$H61*(1+$K61)^MAX(ROUNDUP(IFERROR(DATEDIF($I61-1,AG$15+1,"m"),)/12,)-1,)*Index!AC$23*(AG$15&lt;=$J61)*(1-AG$12)</f>
        <v>0</v>
      </c>
      <c r="AH61" s="747">
        <f>$G61*$H61*(1+$K61)^MAX(ROUNDUP(IFERROR(DATEDIF($I61-1,AH$15+1,"m"),)/12,)-1,)*Index!AD$23*(AH$15&lt;=$J61)*(1-AH$12)</f>
        <v>0</v>
      </c>
      <c r="AI61" s="747">
        <f>$G61*$H61*(1+$K61)^MAX(ROUNDUP(IFERROR(DATEDIF($I61-1,AI$15+1,"m"),)/12,)-1,)*Index!AE$23*(AI$15&lt;=$J61)*(1-AI$12)</f>
        <v>0</v>
      </c>
      <c r="AJ61" s="747">
        <f>$G61*$H61*(1+$K61)^MAX(ROUNDUP(IFERROR(DATEDIF($I61-1,AJ$15+1,"m"),)/12,)-1,)*Index!AF$23*(AJ$15&lt;=$J61)*(1-AJ$12)</f>
        <v>0</v>
      </c>
      <c r="AK61" s="747">
        <f>$G61*$H61*(1+$K61)^MAX(ROUNDUP(IFERROR(DATEDIF($I61-1,AK$15+1,"m"),)/12,)-1,)*Index!AG$23*(AK$15&lt;=$J61)*(1-AK$12)</f>
        <v>0</v>
      </c>
      <c r="AL61" s="747">
        <f>$G61*$H61*(1+$K61)^MAX(ROUNDUP(IFERROR(DATEDIF($I61-1,AL$15+1,"m"),)/12,)-1,)*Index!AH$23*(AL$15&lt;=$J61)*(1-AL$12)</f>
        <v>0</v>
      </c>
      <c r="AM61" s="747">
        <f>$G61*$H61*(1+$K61)^MAX(ROUNDUP(IFERROR(DATEDIF($I61-1,AM$15+1,"m"),)/12,)-1,)*Index!AI$23*(AM$15&lt;=$J61)*(1-AM$12)</f>
        <v>0</v>
      </c>
      <c r="AN61" s="747">
        <f>$G61*$H61*(1+$K61)^MAX(ROUNDUP(IFERROR(DATEDIF($I61-1,AN$15+1,"m"),)/12,)-1,)*Index!AJ$23*(AN$15&lt;=$J61)*(1-AN$12)</f>
        <v>0</v>
      </c>
      <c r="AO61" s="747">
        <f>$G61*$H61*(1+$K61)^MAX(ROUNDUP(IFERROR(DATEDIF($I61-1,AO$15+1,"m"),)/12,)-1,)*Index!AK$23*(AO$15&lt;=$J61)*(1-AO$12)</f>
        <v>0</v>
      </c>
      <c r="AP61" s="747">
        <f>$G61*$H61*(1+$K61)^MAX(ROUNDUP(IFERROR(DATEDIF($I61-1,AP$15+1,"m"),)/12,)-1,)*Index!AL$23*(AP$15&lt;=$J61)*(1-AP$12)</f>
        <v>0</v>
      </c>
      <c r="AQ61" s="747">
        <f>$G61*$H61*(1+$K61)^MAX(ROUNDUP(IFERROR(DATEDIF($I61-1,AQ$15+1,"m"),)/12,)-1,)*Index!AM$23*(AQ$15&lt;=$J61)*(1-AQ$12)</f>
        <v>0</v>
      </c>
      <c r="AR61" s="747">
        <f>$G61*$H61*(1+$K61)^MAX(ROUNDUP(IFERROR(DATEDIF($I61-1,AR$15+1,"m"),)/12,)-1,)*Index!AN$23*(AR$15&lt;=$J61)*(1-AR$12)</f>
        <v>0</v>
      </c>
      <c r="AS61" s="747">
        <f>$G61*$H61*(1+$K61)^MAX(ROUNDUP(IFERROR(DATEDIF($I61-1,AS$15+1,"m"),)/12,)-1,)*Index!AO$23*(AS$15&lt;=$J61)*(1-AS$12)</f>
        <v>0</v>
      </c>
      <c r="AT61" s="747">
        <f>$G61*$H61*(1+$K61)^MAX(ROUNDUP(IFERROR(DATEDIF($I61-1,AT$15+1,"m"),)/12,)-1,)*Index!AP$23*(AT$15&lt;=$J61)*(1-AT$12)</f>
        <v>0</v>
      </c>
      <c r="AU61" s="747">
        <f>$G61*$H61*(1+$K61)^MAX(ROUNDUP(IFERROR(DATEDIF($I61-1,AU$15+1,"m"),)/12,)-1,)*Index!AQ$23*(AU$15&lt;=$J61)*(1-AU$12)</f>
        <v>0</v>
      </c>
      <c r="AV61" s="747">
        <f>$G61*$H61*(1+$K61)^MAX(ROUNDUP(IFERROR(DATEDIF($I61-1,AV$15+1,"m"),)/12,)-1,)*Index!AR$23*(AV$15&lt;=$J61)*(1-AV$12)</f>
        <v>0</v>
      </c>
      <c r="AW61" s="747">
        <f>$G61*$H61*(1+$K61)^MAX(ROUNDUP(IFERROR(DATEDIF($I61-1,AW$15+1,"m"),)/12,)-1,)*Index!AS$23*(AW$15&lt;=$J61)*(1-AW$12)</f>
        <v>0</v>
      </c>
      <c r="AX61" s="747">
        <f>$G61*$H61*(1+$K61)^MAX(ROUNDUP(IFERROR(DATEDIF($I61-1,AX$15+1,"m"),)/12,)-1,)*Index!AT$23*(AX$15&lt;=$J61)*(1-AX$12)</f>
        <v>0</v>
      </c>
      <c r="AY61" s="747">
        <f>$G61*$H61*(1+$K61)^MAX(ROUNDUP(IFERROR(DATEDIF($I61-1,AY$15+1,"m"),)/12,)-1,)*Index!AU$23*(AY$15&lt;=$J61)*(1-AY$12)</f>
        <v>0</v>
      </c>
      <c r="AZ61" s="747">
        <f>$G61*$H61*(1+$K61)^MAX(ROUNDUP(IFERROR(DATEDIF($I61-1,AZ$15+1,"m"),)/12,)-1,)*Index!AV$23*(AZ$15&lt;=$J61)*(1-AZ$12)</f>
        <v>0</v>
      </c>
      <c r="BA61" s="747">
        <f>$G61*$H61*(1+$K61)^MAX(ROUNDUP(IFERROR(DATEDIF($I61-1,BA$15+1,"m"),)/12,)-1,)*Index!AW$23*(BA$15&lt;=$J61)*(1-BA$12)</f>
        <v>0</v>
      </c>
      <c r="BB61" s="747">
        <f>$G61*$H61*(1+$K61)^MAX(ROUNDUP(IFERROR(DATEDIF($I61-1,BB$15+1,"m"),)/12,)-1,)*Index!AX$23*(BB$15&lt;=$J61)*(1-BB$12)</f>
        <v>0</v>
      </c>
      <c r="BC61" s="747">
        <f>$G61*$H61*(1+$K61)^MAX(ROUNDUP(IFERROR(DATEDIF($I61-1,BC$15+1,"m"),)/12,)-1,)*Index!AY$23*(BC$15&lt;=$J61)*(1-BC$12)</f>
        <v>0</v>
      </c>
      <c r="BD61" s="747">
        <f>$G61*$H61*(1+$K61)^MAX(ROUNDUP(IFERROR(DATEDIF($I61-1,BD$15+1,"m"),)/12,)-1,)*Index!AZ$23*(BD$15&lt;=$J61)*(1-BD$12)</f>
        <v>0</v>
      </c>
      <c r="BE61" s="747">
        <f>$G61*$H61*(1+$K61)^MAX(ROUNDUP(IFERROR(DATEDIF($I61-1,BE$15+1,"m"),)/12,)-1,)*Index!BA$23*(BE$15&lt;=$J61)*(1-BE$12)</f>
        <v>0</v>
      </c>
      <c r="BF61" s="747">
        <f>$G61*$H61*(1+$K61)^MAX(ROUNDUP(IFERROR(DATEDIF($I61-1,BF$15+1,"m"),)/12,)-1,)*Index!BB$23*(BF$15&lt;=$J61)*(1-BF$12)</f>
        <v>0</v>
      </c>
      <c r="BG61" s="747">
        <f>$G61*$H61*(1+$K61)^MAX(ROUNDUP(IFERROR(DATEDIF($I61-1,BG$15+1,"m"),)/12,)-1,)*Index!BC$23*(BG$15&lt;=$J61)*(1-BG$12)</f>
        <v>0</v>
      </c>
      <c r="BH61" s="747">
        <f>$G61*$H61*(1+$K61)^MAX(ROUNDUP(IFERROR(DATEDIF($I61-1,BH$15+1,"m"),)/12,)-1,)*Index!BD$23*(BH$15&lt;=$J61)*(1-BH$12)</f>
        <v>0</v>
      </c>
      <c r="BI61" s="747">
        <f>$G61*$H61*(1+$K61)^MAX(ROUNDUP(IFERROR(DATEDIF($I61-1,BI$15+1,"m"),)/12,)-1,)*Index!BE$23*(BI$15&lt;=$J61)*(1-BI$12)</f>
        <v>0</v>
      </c>
      <c r="BJ61" s="747">
        <f>$G61*$H61*(1+$K61)^MAX(ROUNDUP(IFERROR(DATEDIF($I61-1,BJ$15+1,"m"),)/12,)-1,)*Index!BF$23*(BJ$15&lt;=$J61)*(1-BJ$12)</f>
        <v>0</v>
      </c>
      <c r="BK61" s="747">
        <f>$G61*$H61*(1+$K61)^MAX(ROUNDUP(IFERROR(DATEDIF($I61-1,BK$15+1,"m"),)/12,)-1,)*Index!BG$23*(BK$15&lt;=$J61)*(1-BK$12)</f>
        <v>0</v>
      </c>
      <c r="BL61" s="747">
        <f>$G61*$H61*(1+$K61)^MAX(ROUNDUP(IFERROR(DATEDIF($I61-1,BL$15+1,"m"),)/12,)-1,)*Index!BH$23*(BL$15&lt;=$J61)*(1-BL$12)</f>
        <v>0</v>
      </c>
      <c r="BM61" s="747">
        <f>$G61*$H61*(1+$K61)^MAX(ROUNDUP(IFERROR(DATEDIF($I61-1,BM$15+1,"m"),)/12,)-1,)*Index!BI$23*(BM$15&lt;=$J61)*(1-BM$12)</f>
        <v>0</v>
      </c>
      <c r="BN61" s="747">
        <f>$G61*$H61*(1+$K61)^MAX(ROUNDUP(IFERROR(DATEDIF($I61-1,BN$15+1,"m"),)/12,)-1,)*Index!BJ$23*(BN$15&lt;=$J61)*(1-BN$12)</f>
        <v>0</v>
      </c>
      <c r="BO61" s="747">
        <f>$G61*$H61*(1+$K61)^MAX(ROUNDUP(IFERROR(DATEDIF($I61-1,BO$15+1,"m"),)/12,)-1,)*Index!BK$23*(BO$15&lt;=$J61)*(1-BO$12)</f>
        <v>0</v>
      </c>
      <c r="BP61" s="747">
        <f>$G61*$H61*(1+$K61)^MAX(ROUNDUP(IFERROR(DATEDIF($I61-1,BP$15+1,"m"),)/12,)-1,)*Index!BL$23*(BP$15&lt;=$J61)*(1-BP$12)</f>
        <v>0</v>
      </c>
      <c r="BQ61" s="747">
        <f>$G61*$H61*(1+$K61)^MAX(ROUNDUP(IFERROR(DATEDIF($I61-1,BQ$15+1,"m"),)/12,)-1,)*Index!BM$23*(BQ$15&lt;=$J61)*(1-BQ$12)</f>
        <v>0</v>
      </c>
      <c r="BR61" s="747">
        <f>$G61*$H61*(1+$K61)^MAX(ROUNDUP(IFERROR(DATEDIF($I61-1,BR$15+1,"m"),)/12,)-1,)*Index!BN$23*(BR$15&lt;=$J61)*(1-BR$12)</f>
        <v>0</v>
      </c>
      <c r="BS61" s="747">
        <f>$G61*$H61*(1+$K61)^MAX(ROUNDUP(IFERROR(DATEDIF($I61-1,BS$15+1,"m"),)/12,)-1,)*Index!BO$23*(BS$15&lt;=$J61)*(1-BS$12)</f>
        <v>0</v>
      </c>
      <c r="BT61" s="747">
        <f>$G61*$H61*(1+$K61)^MAX(ROUNDUP(IFERROR(DATEDIF($I61-1,BT$15+1,"m"),)/12,)-1,)*Index!BP$23*(BT$15&lt;=$J61)*(1-BT$12)</f>
        <v>0</v>
      </c>
      <c r="BU61" s="747">
        <f>$G61*$H61*(1+$K61)^MAX(ROUNDUP(IFERROR(DATEDIF($I61-1,BU$15+1,"m"),)/12,)-1,)*Index!BQ$23*(BU$15&lt;=$J61)*(1-BU$12)</f>
        <v>0</v>
      </c>
      <c r="BV61" s="747">
        <f>$G61*$H61*(1+$K61)^MAX(ROUNDUP(IFERROR(DATEDIF($I61-1,BV$15+1,"m"),)/12,)-1,)*Index!BR$23*(BV$15&lt;=$J61)*(1-BV$12)</f>
        <v>0</v>
      </c>
      <c r="BW61" s="747">
        <f>$G61*$H61*(1+$K61)^MAX(ROUNDUP(IFERROR(DATEDIF($I61-1,BW$15+1,"m"),)/12,)-1,)*Index!BS$23*(BW$15&lt;=$J61)*(1-BW$12)</f>
        <v>0</v>
      </c>
      <c r="BX61" s="747">
        <f>$G61*$H61*(1+$K61)^MAX(ROUNDUP(IFERROR(DATEDIF($I61-1,BX$15+1,"m"),)/12,)-1,)*Index!BT$23*(BX$15&lt;=$J61)*(1-BX$12)</f>
        <v>0</v>
      </c>
      <c r="BY61" s="747">
        <f>$G61*$H61*(1+$K61)^MAX(ROUNDUP(IFERROR(DATEDIF($I61-1,BY$15+1,"m"),)/12,)-1,)*Index!BU$23*(BY$15&lt;=$J61)*(1-BY$12)</f>
        <v>0</v>
      </c>
      <c r="BZ61" s="747">
        <f>$G61*$H61*(1+$K61)^MAX(ROUNDUP(IFERROR(DATEDIF($I61-1,BZ$15+1,"m"),)/12,)-1,)*Index!BV$23*(BZ$15&lt;=$J61)*(1-BZ$12)</f>
        <v>0</v>
      </c>
      <c r="CA61" s="747">
        <f>$G61*$H61*(1+$K61)^MAX(ROUNDUP(IFERROR(DATEDIF($I61-1,CA$15+1,"m"),)/12,)-1,)*Index!BW$23*(CA$15&lt;=$J61)*(1-CA$12)</f>
        <v>0</v>
      </c>
      <c r="CB61" s="747">
        <f>$G61*$H61*(1+$K61)^MAX(ROUNDUP(IFERROR(DATEDIF($I61-1,CB$15+1,"m"),)/12,)-1,)*Index!BX$23*(CB$15&lt;=$J61)*(1-CB$12)</f>
        <v>0</v>
      </c>
      <c r="CC61" s="747">
        <f>$G61*$H61*(1+$K61)^MAX(ROUNDUP(IFERROR(DATEDIF($I61-1,CC$15+1,"m"),)/12,)-1,)*Index!BY$23*(CC$15&lt;=$J61)*(1-CC$12)</f>
        <v>0</v>
      </c>
      <c r="CD61" s="747">
        <f>$G61*$H61*(1+$K61)^MAX(ROUNDUP(IFERROR(DATEDIF($I61-1,CD$15+1,"m"),)/12,)-1,)*Index!BZ$23*(CD$15&lt;=$J61)*(1-CD$12)</f>
        <v>0</v>
      </c>
      <c r="CE61" s="747">
        <f>$G61*$H61*(1+$K61)^MAX(ROUNDUP(IFERROR(DATEDIF($I61-1,CE$15+1,"m"),)/12,)-1,)*Index!CA$23*(CE$15&lt;=$J61)*(1-CE$12)</f>
        <v>0</v>
      </c>
      <c r="CF61" s="747">
        <f>$G61*$H61*(1+$K61)^MAX(ROUNDUP(IFERROR(DATEDIF($I61-1,CF$15+1,"m"),)/12,)-1,)*Index!CB$23*(CF$15&lt;=$J61)*(1-CF$12)</f>
        <v>0</v>
      </c>
      <c r="CG61" s="747">
        <f>$G61*$H61*(1+$K61)^MAX(ROUNDUP(IFERROR(DATEDIF($I61-1,CG$15+1,"m"),)/12,)-1,)*Index!CC$23*(CG$15&lt;=$J61)*(1-CG$12)</f>
        <v>0</v>
      </c>
      <c r="CH61" s="747">
        <f>$G61*$H61*(1+$K61)^MAX(ROUNDUP(IFERROR(DATEDIF($I61-1,CH$15+1,"m"),)/12,)-1,)*Index!CD$23*(CH$15&lt;=$J61)*(1-CH$12)</f>
        <v>0</v>
      </c>
      <c r="CI61" s="747">
        <f>$G61*$H61*(1+$K61)^MAX(ROUNDUP(IFERROR(DATEDIF($I61-1,CI$15+1,"m"),)/12,)-1,)*Index!CE$23*(CI$15&lt;=$J61)*(1-CI$12)</f>
        <v>0</v>
      </c>
      <c r="CJ61" s="747">
        <f>$G61*$H61*(1+$K61)^MAX(ROUNDUP(IFERROR(DATEDIF($I61-1,CJ$15+1,"m"),)/12,)-1,)*Index!CF$23*(CJ$15&lt;=$J61)*(1-CJ$12)</f>
        <v>0</v>
      </c>
      <c r="CK61" s="747">
        <f>$G61*$H61*(1+$K61)^MAX(ROUNDUP(IFERROR(DATEDIF($I61-1,CK$15+1,"m"),)/12,)-1,)*Index!CG$23*(CK$15&lt;=$J61)*(1-CK$12)</f>
        <v>0</v>
      </c>
      <c r="CL61" s="747">
        <f>$G61*$H61*(1+$K61)^MAX(ROUNDUP(IFERROR(DATEDIF($I61-1,CL$15+1,"m"),)/12,)-1,)*Index!CH$23*(CL$15&lt;=$J61)*(1-CL$12)</f>
        <v>0</v>
      </c>
      <c r="CM61" s="747">
        <f>$G61*$H61*(1+$K61)^MAX(ROUNDUP(IFERROR(DATEDIF($I61-1,CM$15+1,"m"),)/12,)-1,)*Index!CI$23*(CM$15&lt;=$J61)*(1-CM$12)</f>
        <v>0</v>
      </c>
      <c r="CN61" s="747">
        <f>$G61*$H61*(1+$K61)^MAX(ROUNDUP(IFERROR(DATEDIF($I61-1,CN$15+1,"m"),)/12,)-1,)*Index!CJ$23*(CN$15&lt;=$J61)*(1-CN$12)</f>
        <v>0</v>
      </c>
      <c r="CO61" s="747">
        <f>$G61*$H61*(1+$K61)^MAX(ROUNDUP(IFERROR(DATEDIF($I61-1,CO$15+1,"m"),)/12,)-1,)*Index!CK$23*(CO$15&lt;=$J61)*(1-CO$12)</f>
        <v>0</v>
      </c>
      <c r="CP61" s="747">
        <f>$G61*$H61*(1+$K61)^MAX(ROUNDUP(IFERROR(DATEDIF($I61-1,CP$15+1,"m"),)/12,)-1,)*Index!CL$23*(CP$15&lt;=$J61)*(1-CP$12)</f>
        <v>0</v>
      </c>
      <c r="CQ61" s="747">
        <f>$G61*$H61*(1+$K61)^MAX(ROUNDUP(IFERROR(DATEDIF($I61-1,CQ$15+1,"m"),)/12,)-1,)*Index!CM$23*(CQ$15&lt;=$J61)*(1-CQ$12)</f>
        <v>0</v>
      </c>
      <c r="CR61" s="747">
        <f>$G61*$H61*(1+$K61)^MAX(ROUNDUP(IFERROR(DATEDIF($I61-1,CR$15+1,"m"),)/12,)-1,)*Index!CN$23*(CR$15&lt;=$J61)*(1-CR$12)</f>
        <v>0</v>
      </c>
      <c r="CS61" s="747">
        <f>$G61*$H61*(1+$K61)^MAX(ROUNDUP(IFERROR(DATEDIF($I61-1,CS$15+1,"m"),)/12,)-1,)*Index!CO$23*(CS$15&lt;=$J61)*(1-CS$12)</f>
        <v>0</v>
      </c>
      <c r="CT61" s="747">
        <f>$G61*$H61*(1+$K61)^MAX(ROUNDUP(IFERROR(DATEDIF($I61-1,CT$15+1,"m"),)/12,)-1,)*Index!CP$23*(CT$15&lt;=$J61)*(1-CT$12)</f>
        <v>0</v>
      </c>
      <c r="CU61" s="747">
        <f>$G61*$H61*(1+$K61)^MAX(ROUNDUP(IFERROR(DATEDIF($I61-1,CU$15+1,"m"),)/12,)-1,)*Index!CQ$23*(CU$15&lt;=$J61)*(1-CU$12)</f>
        <v>0</v>
      </c>
      <c r="CV61" s="747">
        <f>$G61*$H61*(1+$K61)^MAX(ROUNDUP(IFERROR(DATEDIF($I61-1,CV$15+1,"m"),)/12,)-1,)*Index!CR$23*(CV$15&lt;=$J61)*(1-CV$12)</f>
        <v>0</v>
      </c>
      <c r="CW61" s="747">
        <f>$G61*$H61*(1+$K61)^MAX(ROUNDUP(IFERROR(DATEDIF($I61-1,CW$15+1,"m"),)/12,)-1,)*Index!CS$23*(CW$15&lt;=$J61)*(1-CW$12)</f>
        <v>0</v>
      </c>
      <c r="CX61" s="747">
        <f>$G61*$H61*(1+$K61)^MAX(ROUNDUP(IFERROR(DATEDIF($I61-1,CX$15+1,"m"),)/12,)-1,)*Index!CT$23*(CX$15&lt;=$J61)*(1-CX$12)</f>
        <v>0</v>
      </c>
      <c r="CY61" s="747">
        <f>$G61*$H61*(1+$K61)^MAX(ROUNDUP(IFERROR(DATEDIF($I61-1,CY$15+1,"m"),)/12,)-1,)*Index!CU$23*(CY$15&lt;=$J61)*(1-CY$12)</f>
        <v>0</v>
      </c>
      <c r="CZ61" s="747">
        <f>$G61*$H61*(1+$K61)^MAX(ROUNDUP(IFERROR(DATEDIF($I61-1,CZ$15+1,"m"),)/12,)-1,)*Index!CV$23*(CZ$15&lt;=$J61)*(1-CZ$12)</f>
        <v>0</v>
      </c>
      <c r="DA61" s="747">
        <f>$G61*$H61*(1+$K61)^MAX(ROUNDUP(IFERROR(DATEDIF($I61-1,DA$15+1,"m"),)/12,)-1,)*Index!CW$23*(DA$15&lt;=$J61)*(1-DA$12)</f>
        <v>0</v>
      </c>
      <c r="DB61" s="747">
        <f>$G61*$H61*(1+$K61)^MAX(ROUNDUP(IFERROR(DATEDIF($I61-1,DB$15+1,"m"),)/12,)-1,)*Index!CX$23*(DB$15&lt;=$J61)*(1-DB$12)</f>
        <v>0</v>
      </c>
      <c r="DC61" s="747">
        <f>$G61*$H61*(1+$K61)^MAX(ROUNDUP(IFERROR(DATEDIF($I61-1,DC$15+1,"m"),)/12,)-1,)*Index!CY$23*(DC$15&lt;=$J61)*(1-DC$12)</f>
        <v>0</v>
      </c>
      <c r="DD61" s="747">
        <f>$G61*$H61*(1+$K61)^MAX(ROUNDUP(IFERROR(DATEDIF($I61-1,DD$15+1,"m"),)/12,)-1,)*Index!CZ$23*(DD$15&lt;=$J61)*(1-DD$12)</f>
        <v>0</v>
      </c>
      <c r="DE61" s="747">
        <f>$G61*$H61*(1+$K61)^MAX(ROUNDUP(IFERROR(DATEDIF($I61-1,DE$15+1,"m"),)/12,)-1,)*Index!DA$23*(DE$15&lt;=$J61)*(1-DE$12)</f>
        <v>0</v>
      </c>
      <c r="DF61" s="747">
        <f>$G61*$H61*(1+$K61)^MAX(ROUNDUP(IFERROR(DATEDIF($I61-1,DF$15+1,"m"),)/12,)-1,)*Index!DB$23*(DF$15&lt;=$J61)*(1-DF$12)</f>
        <v>0</v>
      </c>
      <c r="DG61" s="747">
        <f>$G61*$H61*(1+$K61)^MAX(ROUNDUP(IFERROR(DATEDIF($I61-1,DG$15+1,"m"),)/12,)-1,)*Index!DC$23*(DG$15&lt;=$J61)*(1-DG$12)</f>
        <v>0</v>
      </c>
      <c r="DH61" s="747">
        <f>$G61*$H61*(1+$K61)^MAX(ROUNDUP(IFERROR(DATEDIF($I61-1,DH$15+1,"m"),)/12,)-1,)*Index!DD$23*(DH$15&lt;=$J61)*(1-DH$12)</f>
        <v>0</v>
      </c>
      <c r="DI61" s="747">
        <f>$G61*$H61*(1+$K61)^MAX(ROUNDUP(IFERROR(DATEDIF($I61-1,DI$15+1,"m"),)/12,)-1,)*Index!DE$23*(DI$15&lt;=$J61)*(1-DI$12)</f>
        <v>0</v>
      </c>
      <c r="DJ61" s="747">
        <f>$G61*$H61*(1+$K61)^MAX(ROUNDUP(IFERROR(DATEDIF($I61-1,DJ$15+1,"m"),)/12,)-1,)*Index!DF$23*(DJ$15&lt;=$J61)*(1-DJ$12)</f>
        <v>0</v>
      </c>
      <c r="DK61" s="747">
        <f>$G61*$H61*(1+$K61)^MAX(ROUNDUP(IFERROR(DATEDIF($I61-1,DK$15+1,"m"),)/12,)-1,)*Index!DG$23*(DK$15&lt;=$J61)*(1-DK$12)</f>
        <v>0</v>
      </c>
      <c r="DL61" s="747">
        <f>$G61*$H61*(1+$K61)^MAX(ROUNDUP(IFERROR(DATEDIF($I61-1,DL$15+1,"m"),)/12,)-1,)*Index!DH$23*(DL$15&lt;=$J61)*(1-DL$12)</f>
        <v>0</v>
      </c>
      <c r="DM61" s="747">
        <f>$G61*$H61*(1+$K61)^MAX(ROUNDUP(IFERROR(DATEDIF($I61-1,DM$15+1,"m"),)/12,)-1,)*Index!DI$23*(DM$15&lt;=$J61)*(1-DM$12)</f>
        <v>0</v>
      </c>
      <c r="DN61" s="747">
        <f>$G61*$H61*(1+$K61)^MAX(ROUNDUP(IFERROR(DATEDIF($I61-1,DN$15+1,"m"),)/12,)-1,)*Index!DJ$23*(DN$15&lt;=$J61)*(1-DN$12)</f>
        <v>0</v>
      </c>
      <c r="DO61" s="747">
        <f>$G61*$H61*(1+$K61)^MAX(ROUNDUP(IFERROR(DATEDIF($I61-1,DO$15+1,"m"),)/12,)-1,)*Index!DK$23*(DO$15&lt;=$J61)*(1-DO$12)</f>
        <v>0</v>
      </c>
      <c r="DP61" s="747">
        <f>$G61*$H61*(1+$K61)^MAX(ROUNDUP(IFERROR(DATEDIF($I61-1,DP$15+1,"m"),)/12,)-1,)*Index!DL$23*(DP$15&lt;=$J61)*(1-DP$12)</f>
        <v>0</v>
      </c>
      <c r="DQ61" s="747">
        <f>$G61*$H61*(1+$K61)^MAX(ROUNDUP(IFERROR(DATEDIF($I61-1,DQ$15+1,"m"),)/12,)-1,)*Index!DM$23*(DQ$15&lt;=$J61)*(1-DQ$12)</f>
        <v>0</v>
      </c>
      <c r="DR61" s="747">
        <f>$G61*$H61*(1+$K61)^MAX(ROUNDUP(IFERROR(DATEDIF($I61-1,DR$15+1,"m"),)/12,)-1,)*Index!DN$23*(DR$15&lt;=$J61)*(1-DR$12)</f>
        <v>0</v>
      </c>
      <c r="DS61" s="747">
        <f>$G61*$H61*(1+$K61)^MAX(ROUNDUP(IFERROR(DATEDIF($I61-1,DS$15+1,"m"),)/12,)-1,)*Index!DO$23*(DS$15&lt;=$J61)*(1-DS$12)</f>
        <v>0</v>
      </c>
      <c r="DT61" s="747">
        <f>$G61*$H61*(1+$K61)^MAX(ROUNDUP(IFERROR(DATEDIF($I61-1,DT$15+1,"m"),)/12,)-1,)*Index!DP$23*(DT$15&lt;=$J61)*(1-DT$12)</f>
        <v>0</v>
      </c>
      <c r="DU61" s="747">
        <f>$G61*$H61*(1+$K61)^MAX(ROUNDUP(IFERROR(DATEDIF($I61-1,DU$15+1,"m"),)/12,)-1,)*Index!DQ$23*(DU$15&lt;=$J61)*(1-DU$12)</f>
        <v>0</v>
      </c>
      <c r="DV61" s="747">
        <f>$G61*$H61*(1+$K61)^MAX(ROUNDUP(IFERROR(DATEDIF($I61-1,DV$15+1,"m"),)/12,)-1,)*Index!DR$23*(DV$15&lt;=$J61)*(1-DV$12)</f>
        <v>0</v>
      </c>
      <c r="DW61" s="747">
        <f>$G61*$H61*(1+$K61)^MAX(ROUNDUP(IFERROR(DATEDIF($I61-1,DW$15+1,"m"),)/12,)-1,)*Index!DS$23*(DW$15&lt;=$J61)*(1-DW$12)</f>
        <v>0</v>
      </c>
      <c r="DX61" s="747">
        <f>$G61*$H61*(1+$K61)^MAX(ROUNDUP(IFERROR(DATEDIF($I61-1,DX$15+1,"m"),)/12,)-1,)*Index!DT$23*(DX$15&lt;=$J61)*(1-DX$12)</f>
        <v>0</v>
      </c>
      <c r="DY61" s="747">
        <f>$G61*$H61*(1+$K61)^MAX(ROUNDUP(IFERROR(DATEDIF($I61-1,DY$15+1,"m"),)/12,)-1,)*Index!DU$23*(DY$15&lt;=$J61)*(1-DY$12)</f>
        <v>0</v>
      </c>
      <c r="DZ61" s="747">
        <f>$G61*$H61*(1+$K61)^MAX(ROUNDUP(IFERROR(DATEDIF($I61-1,DZ$15+1,"m"),)/12,)-1,)*Index!DV$23*(DZ$15&lt;=$J61)*(1-DZ$12)</f>
        <v>0</v>
      </c>
      <c r="EA61" s="747">
        <f>$G61*$H61*(1+$K61)^MAX(ROUNDUP(IFERROR(DATEDIF($I61-1,EA$15+1,"m"),)/12,)-1,)*Index!DW$23*(EA$15&lt;=$J61)*(1-EA$12)</f>
        <v>0</v>
      </c>
      <c r="EB61" s="747">
        <f>$G61*$H61*(1+$K61)^MAX(ROUNDUP(IFERROR(DATEDIF($I61-1,EB$15+1,"m"),)/12,)-1,)*Index!DX$23*(EB$15&lt;=$J61)*(1-EB$12)</f>
        <v>0</v>
      </c>
      <c r="EC61" s="747">
        <f>$G61*$H61*(1+$K61)^MAX(ROUNDUP(IFERROR(DATEDIF($I61-1,EC$15+1,"m"),)/12,)-1,)*Index!DY$23*(EC$15&lt;=$J61)*(1-EC$12)</f>
        <v>0</v>
      </c>
      <c r="ED61" s="747">
        <f>$G61*$H61*(1+$K61)^MAX(ROUNDUP(IFERROR(DATEDIF($I61-1,ED$15+1,"m"),)/12,)-1,)*Index!DZ$23*(ED$15&lt;=$J61)*(1-ED$12)</f>
        <v>0</v>
      </c>
      <c r="EE61" s="747">
        <f>$G61*$H61*(1+$K61)^MAX(ROUNDUP(IFERROR(DATEDIF($I61-1,EE$15+1,"m"),)/12,)-1,)*Index!EA$23*(EE$15&lt;=$J61)*(1-EE$12)</f>
        <v>0</v>
      </c>
      <c r="EF61" s="747">
        <f>$G61*$H61*(1+$K61)^MAX(ROUNDUP(IFERROR(DATEDIF($I61-1,EF$15+1,"m"),)/12,)-1,)*Index!EB$23*(EF$15&lt;=$J61)*(1-EF$12)</f>
        <v>0</v>
      </c>
      <c r="EG61" s="747">
        <f>$G61*$H61*(1+$K61)^MAX(ROUNDUP(IFERROR(DATEDIF($I61-1,EG$15+1,"m"),)/12,)-1,)*Index!EC$23*(EG$15&lt;=$J61)*(1-EG$12)</f>
        <v>0</v>
      </c>
      <c r="EH61" s="747">
        <f>$G61*$H61*(1+$K61)^MAX(ROUNDUP(IFERROR(DATEDIF($I61-1,EH$15+1,"m"),)/12,)-1,)*Index!ED$23*(EH$15&lt;=$J61)*(1-EH$12)</f>
        <v>0</v>
      </c>
      <c r="EI61" s="747">
        <f>$G61*$H61*(1+$K61)^MAX(ROUNDUP(IFERROR(DATEDIF($I61-1,EI$15+1,"m"),)/12,)-1,)*Index!EE$23*(EI$15&lt;=$J61)*(1-EI$12)</f>
        <v>0</v>
      </c>
      <c r="EJ61" s="747">
        <f>$G61*$H61*(1+$K61)^MAX(ROUNDUP(IFERROR(DATEDIF($I61-1,EJ$15+1,"m"),)/12,)-1,)*Index!EF$23*(EJ$15&lt;=$J61)*(1-EJ$12)</f>
        <v>0</v>
      </c>
      <c r="EK61" s="747">
        <f>$G61*$H61*(1+$K61)^MAX(ROUNDUP(IFERROR(DATEDIF($I61-1,EK$15+1,"m"),)/12,)-1,)*Index!EG$23*(EK$15&lt;=$J61)*(1-EK$12)</f>
        <v>0</v>
      </c>
      <c r="EL61" s="747">
        <f>$G61*$H61*(1+$K61)^MAX(ROUNDUP(IFERROR(DATEDIF($I61-1,EL$15+1,"m"),)/12,)-1,)*Index!EH$23*(EL$15&lt;=$J61)*(1-EL$12)</f>
        <v>0</v>
      </c>
      <c r="EM61" s="747">
        <f>$G61*$H61*(1+$K61)^MAX(ROUNDUP(IFERROR(DATEDIF($I61-1,EM$15+1,"m"),)/12,)-1,)*Index!EI$23*(EM$15&lt;=$J61)*(1-EM$12)</f>
        <v>0</v>
      </c>
      <c r="EN61" s="747">
        <f>$G61*$H61*(1+$K61)^MAX(ROUNDUP(IFERROR(DATEDIF($I61-1,EN$15+1,"m"),)/12,)-1,)*Index!EJ$23*(EN$15&lt;=$J61)*(1-EN$12)</f>
        <v>0</v>
      </c>
      <c r="EO61" s="747">
        <f>$G61*$H61*(1+$K61)^MAX(ROUNDUP(IFERROR(DATEDIF($I61-1,EO$15+1,"m"),)/12,)-1,)*Index!EK$23*(EO$15&lt;=$J61)*(1-EO$12)</f>
        <v>0</v>
      </c>
      <c r="EP61" s="747">
        <f>$G61*$H61*(1+$K61)^MAX(ROUNDUP(IFERROR(DATEDIF($I61-1,EP$15+1,"m"),)/12,)-1,)*Index!EL$23*(EP$15&lt;=$J61)*(1-EP$12)</f>
        <v>0</v>
      </c>
      <c r="EQ61" s="747">
        <f>$G61*$H61*(1+$K61)^MAX(ROUNDUP(IFERROR(DATEDIF($I61-1,EQ$15+1,"m"),)/12,)-1,)*Index!EM$23*(EQ$15&lt;=$J61)*(1-EQ$12)</f>
        <v>0</v>
      </c>
      <c r="ER61" s="747">
        <f>$G61*$H61*(1+$K61)^MAX(ROUNDUP(IFERROR(DATEDIF($I61-1,ER$15+1,"m"),)/12,)-1,)*Index!EN$23*(ER$15&lt;=$J61)*(1-ER$12)</f>
        <v>0</v>
      </c>
      <c r="ES61" s="747">
        <f>$G61*$H61*(1+$K61)^MAX(ROUNDUP(IFERROR(DATEDIF($I61-1,ES$15+1,"m"),)/12,)-1,)*Index!EO$23*(ES$15&lt;=$J61)*(1-ES$12)</f>
        <v>0</v>
      </c>
      <c r="ET61" s="747">
        <f>$G61*$H61*(1+$K61)^MAX(ROUNDUP(IFERROR(DATEDIF($I61-1,ET$15+1,"m"),)/12,)-1,)*Index!EP$23*(ET$15&lt;=$J61)*(1-ET$12)</f>
        <v>0</v>
      </c>
      <c r="EU61" s="747">
        <f>$G61*$H61*(1+$K61)^MAX(ROUNDUP(IFERROR(DATEDIF($I61-1,EU$15+1,"m"),)/12,)-1,)*Index!EQ$23*(EU$15&lt;=$J61)*(1-EU$12)</f>
        <v>0</v>
      </c>
    </row>
    <row r="62" spans="3:151" ht="11.25" customHeight="1">
      <c r="C62" s="828"/>
      <c r="D62" s="743">
        <f t="shared" ref="D62:K62" si="29">D26</f>
        <v>3</v>
      </c>
      <c r="E62" s="704" t="str">
        <f t="shared" si="29"/>
        <v>농심</v>
      </c>
      <c r="F62" s="704" t="str">
        <f t="shared" si="29"/>
        <v>상온창고</v>
      </c>
      <c r="G62" s="752">
        <f t="shared" si="29"/>
        <v>49</v>
      </c>
      <c r="H62" s="744">
        <f t="shared" si="29"/>
        <v>2185.56</v>
      </c>
      <c r="I62" s="745">
        <f t="shared" si="29"/>
        <v>45503</v>
      </c>
      <c r="J62" s="745">
        <f t="shared" si="29"/>
        <v>47328</v>
      </c>
      <c r="K62" s="754">
        <f t="shared" si="29"/>
        <v>0</v>
      </c>
      <c r="L62" s="746"/>
      <c r="M62" s="722"/>
      <c r="N62" s="747">
        <f t="shared" si="21"/>
        <v>0</v>
      </c>
      <c r="O62" s="733"/>
      <c r="P62" s="747">
        <f>$G62*$H62*(1+$K62)^MAX(ROUNDUP(IFERROR(DATEDIF($I62-1,P$15+1,"m"),)/12,)-1,)*Index!L$23*(P$15&lt;=$J62)*(1-P$12)</f>
        <v>0</v>
      </c>
      <c r="Q62" s="747">
        <f>$G62*$H62*(1+$K62)^MAX(ROUNDUP(IFERROR(DATEDIF($I62-1,Q$15+1,"m"),)/12,)-1,)*Index!M$23*(Q$15&lt;=$J62)*(1-Q$12)</f>
        <v>0</v>
      </c>
      <c r="R62" s="747">
        <f>$G62*$H62*(1+$K62)^MAX(ROUNDUP(IFERROR(DATEDIF($I62-1,R$15+1,"m"),)/12,)-1,)*Index!N$23*(R$15&lt;=$J62)*(1-R$12)</f>
        <v>0</v>
      </c>
      <c r="S62" s="747">
        <f>$G62*$H62*(1+$K62)^MAX(ROUNDUP(IFERROR(DATEDIF($I62-1,S$15+1,"m"),)/12,)-1,)*Index!O$23*(S$15&lt;=$J62)*(1-S$12)</f>
        <v>0</v>
      </c>
      <c r="T62" s="747">
        <f>$G62*$H62*(1+$K62)^MAX(ROUNDUP(IFERROR(DATEDIF($I62-1,T$15+1,"m"),)/12,)-1,)*Index!P$23*(T$15&lt;=$J62)*(1-T$12)</f>
        <v>0</v>
      </c>
      <c r="U62" s="747">
        <f>$G62*$H62*(1+$K62)^MAX(ROUNDUP(IFERROR(DATEDIF($I62-1,U$15+1,"m"),)/12,)-1,)*Index!Q$23*(U$15&lt;=$J62)*(1-U$12)</f>
        <v>0</v>
      </c>
      <c r="V62" s="747">
        <f>$G62*$H62*(1+$K62)^MAX(ROUNDUP(IFERROR(DATEDIF($I62-1,V$15+1,"m"),)/12,)-1,)*Index!R$23*(V$15&lt;=$J62)*(1-V$12)</f>
        <v>0</v>
      </c>
      <c r="W62" s="747">
        <f>$G62*$H62*(1+$K62)^MAX(ROUNDUP(IFERROR(DATEDIF($I62-1,W$15+1,"m"),)/12,)-1,)*Index!S$23*(W$15&lt;=$J62)*(1-W$12)</f>
        <v>0</v>
      </c>
      <c r="X62" s="747">
        <f>$G62*$H62*(1+$K62)^MAX(ROUNDUP(IFERROR(DATEDIF($I62-1,X$15+1,"m"),)/12,)-1,)*Index!T$23*(X$15&lt;=$J62)*(1-X$12)</f>
        <v>0</v>
      </c>
      <c r="Y62" s="747">
        <f>$G62*$H62*(1+$K62)^MAX(ROUNDUP(IFERROR(DATEDIF($I62-1,Y$15+1,"m"),)/12,)-1,)*Index!U$23*(Y$15&lt;=$J62)*(1-Y$12)</f>
        <v>0</v>
      </c>
      <c r="Z62" s="747">
        <f>$G62*$H62*(1+$K62)^MAX(ROUNDUP(IFERROR(DATEDIF($I62-1,Z$15+1,"m"),)/12,)-1,)*Index!V$23*(Z$15&lt;=$J62)*(1-Z$12)</f>
        <v>0</v>
      </c>
      <c r="AA62" s="747">
        <f>$G62*$H62*(1+$K62)^MAX(ROUNDUP(IFERROR(DATEDIF($I62-1,AA$15+1,"m"),)/12,)-1,)*Index!W$23*(AA$15&lt;=$J62)*(1-AA$12)</f>
        <v>0</v>
      </c>
      <c r="AB62" s="747">
        <f>$G62*$H62*(1+$K62)^MAX(ROUNDUP(IFERROR(DATEDIF($I62-1,AB$15+1,"m"),)/12,)-1,)*Index!X$23*(AB$15&lt;=$J62)*(1-AB$12)</f>
        <v>0</v>
      </c>
      <c r="AC62" s="747">
        <f>$G62*$H62*(1+$K62)^MAX(ROUNDUP(IFERROR(DATEDIF($I62-1,AC$15+1,"m"),)/12,)-1,)*Index!Y$23*(AC$15&lt;=$J62)*(1-AC$12)</f>
        <v>0</v>
      </c>
      <c r="AD62" s="747">
        <f>$G62*$H62*(1+$K62)^MAX(ROUNDUP(IFERROR(DATEDIF($I62-1,AD$15+1,"m"),)/12,)-1,)*Index!Z$23*(AD$15&lt;=$J62)*(1-AD$12)</f>
        <v>0</v>
      </c>
      <c r="AE62" s="747">
        <f>$G62*$H62*(1+$K62)^MAX(ROUNDUP(IFERROR(DATEDIF($I62-1,AE$15+1,"m"),)/12,)-1,)*Index!AA$23*(AE$15&lt;=$J62)*(1-AE$12)</f>
        <v>0</v>
      </c>
      <c r="AF62" s="747">
        <f>$G62*$H62*(1+$K62)^MAX(ROUNDUP(IFERROR(DATEDIF($I62-1,AF$15+1,"m"),)/12,)-1,)*Index!AB$23*(AF$15&lt;=$J62)*(1-AF$12)</f>
        <v>0</v>
      </c>
      <c r="AG62" s="747">
        <f>$G62*$H62*(1+$K62)^MAX(ROUNDUP(IFERROR(DATEDIF($I62-1,AG$15+1,"m"),)/12,)-1,)*Index!AC$23*(AG$15&lt;=$J62)*(1-AG$12)</f>
        <v>0</v>
      </c>
      <c r="AH62" s="747">
        <f>$G62*$H62*(1+$K62)^MAX(ROUNDUP(IFERROR(DATEDIF($I62-1,AH$15+1,"m"),)/12,)-1,)*Index!AD$23*(AH$15&lt;=$J62)*(1-AH$12)</f>
        <v>0</v>
      </c>
      <c r="AI62" s="747">
        <f>$G62*$H62*(1+$K62)^MAX(ROUNDUP(IFERROR(DATEDIF($I62-1,AI$15+1,"m"),)/12,)-1,)*Index!AE$23*(AI$15&lt;=$J62)*(1-AI$12)</f>
        <v>0</v>
      </c>
      <c r="AJ62" s="747">
        <f>$G62*$H62*(1+$K62)^MAX(ROUNDUP(IFERROR(DATEDIF($I62-1,AJ$15+1,"m"),)/12,)-1,)*Index!AF$23*(AJ$15&lt;=$J62)*(1-AJ$12)</f>
        <v>0</v>
      </c>
      <c r="AK62" s="747">
        <f>$G62*$H62*(1+$K62)^MAX(ROUNDUP(IFERROR(DATEDIF($I62-1,AK$15+1,"m"),)/12,)-1,)*Index!AG$23*(AK$15&lt;=$J62)*(1-AK$12)</f>
        <v>0</v>
      </c>
      <c r="AL62" s="747">
        <f>$G62*$H62*(1+$K62)^MAX(ROUNDUP(IFERROR(DATEDIF($I62-1,AL$15+1,"m"),)/12,)-1,)*Index!AH$23*(AL$15&lt;=$J62)*(1-AL$12)</f>
        <v>0</v>
      </c>
      <c r="AM62" s="747">
        <f>$G62*$H62*(1+$K62)^MAX(ROUNDUP(IFERROR(DATEDIF($I62-1,AM$15+1,"m"),)/12,)-1,)*Index!AI$23*(AM$15&lt;=$J62)*(1-AM$12)</f>
        <v>0</v>
      </c>
      <c r="AN62" s="747">
        <f>$G62*$H62*(1+$K62)^MAX(ROUNDUP(IFERROR(DATEDIF($I62-1,AN$15+1,"m"),)/12,)-1,)*Index!AJ$23*(AN$15&lt;=$J62)*(1-AN$12)</f>
        <v>0</v>
      </c>
      <c r="AO62" s="747">
        <f>$G62*$H62*(1+$K62)^MAX(ROUNDUP(IFERROR(DATEDIF($I62-1,AO$15+1,"m"),)/12,)-1,)*Index!AK$23*(AO$15&lt;=$J62)*(1-AO$12)</f>
        <v>0</v>
      </c>
      <c r="AP62" s="747">
        <f>$G62*$H62*(1+$K62)^MAX(ROUNDUP(IFERROR(DATEDIF($I62-1,AP$15+1,"m"),)/12,)-1,)*Index!AL$23*(AP$15&lt;=$J62)*(1-AP$12)</f>
        <v>0</v>
      </c>
      <c r="AQ62" s="747">
        <f>$G62*$H62*(1+$K62)^MAX(ROUNDUP(IFERROR(DATEDIF($I62-1,AQ$15+1,"m"),)/12,)-1,)*Index!AM$23*(AQ$15&lt;=$J62)*(1-AQ$12)</f>
        <v>0</v>
      </c>
      <c r="AR62" s="747">
        <f>$G62*$H62*(1+$K62)^MAX(ROUNDUP(IFERROR(DATEDIF($I62-1,AR$15+1,"m"),)/12,)-1,)*Index!AN$23*(AR$15&lt;=$J62)*(1-AR$12)</f>
        <v>0</v>
      </c>
      <c r="AS62" s="747">
        <f>$G62*$H62*(1+$K62)^MAX(ROUNDUP(IFERROR(DATEDIF($I62-1,AS$15+1,"m"),)/12,)-1,)*Index!AO$23*(AS$15&lt;=$J62)*(1-AS$12)</f>
        <v>0</v>
      </c>
      <c r="AT62" s="747">
        <f>$G62*$H62*(1+$K62)^MAX(ROUNDUP(IFERROR(DATEDIF($I62-1,AT$15+1,"m"),)/12,)-1,)*Index!AP$23*(AT$15&lt;=$J62)*(1-AT$12)</f>
        <v>0</v>
      </c>
      <c r="AU62" s="747">
        <f>$G62*$H62*(1+$K62)^MAX(ROUNDUP(IFERROR(DATEDIF($I62-1,AU$15+1,"m"),)/12,)-1,)*Index!AQ$23*(AU$15&lt;=$J62)*(1-AU$12)</f>
        <v>0</v>
      </c>
      <c r="AV62" s="747">
        <f>$G62*$H62*(1+$K62)^MAX(ROUNDUP(IFERROR(DATEDIF($I62-1,AV$15+1,"m"),)/12,)-1,)*Index!AR$23*(AV$15&lt;=$J62)*(1-AV$12)</f>
        <v>0</v>
      </c>
      <c r="AW62" s="747">
        <f>$G62*$H62*(1+$K62)^MAX(ROUNDUP(IFERROR(DATEDIF($I62-1,AW$15+1,"m"),)/12,)-1,)*Index!AS$23*(AW$15&lt;=$J62)*(1-AW$12)</f>
        <v>0</v>
      </c>
      <c r="AX62" s="747">
        <f>$G62*$H62*(1+$K62)^MAX(ROUNDUP(IFERROR(DATEDIF($I62-1,AX$15+1,"m"),)/12,)-1,)*Index!AT$23*(AX$15&lt;=$J62)*(1-AX$12)</f>
        <v>0</v>
      </c>
      <c r="AY62" s="747">
        <f>$G62*$H62*(1+$K62)^MAX(ROUNDUP(IFERROR(DATEDIF($I62-1,AY$15+1,"m"),)/12,)-1,)*Index!AU$23*(AY$15&lt;=$J62)*(1-AY$12)</f>
        <v>0</v>
      </c>
      <c r="AZ62" s="747">
        <f>$G62*$H62*(1+$K62)^MAX(ROUNDUP(IFERROR(DATEDIF($I62-1,AZ$15+1,"m"),)/12,)-1,)*Index!AV$23*(AZ$15&lt;=$J62)*(1-AZ$12)</f>
        <v>0</v>
      </c>
      <c r="BA62" s="747">
        <f>$G62*$H62*(1+$K62)^MAX(ROUNDUP(IFERROR(DATEDIF($I62-1,BA$15+1,"m"),)/12,)-1,)*Index!AW$23*(BA$15&lt;=$J62)*(1-BA$12)</f>
        <v>0</v>
      </c>
      <c r="BB62" s="747">
        <f>$G62*$H62*(1+$K62)^MAX(ROUNDUP(IFERROR(DATEDIF($I62-1,BB$15+1,"m"),)/12,)-1,)*Index!AX$23*(BB$15&lt;=$J62)*(1-BB$12)</f>
        <v>0</v>
      </c>
      <c r="BC62" s="747">
        <f>$G62*$H62*(1+$K62)^MAX(ROUNDUP(IFERROR(DATEDIF($I62-1,BC$15+1,"m"),)/12,)-1,)*Index!AY$23*(BC$15&lt;=$J62)*(1-BC$12)</f>
        <v>0</v>
      </c>
      <c r="BD62" s="747">
        <f>$G62*$H62*(1+$K62)^MAX(ROUNDUP(IFERROR(DATEDIF($I62-1,BD$15+1,"m"),)/12,)-1,)*Index!AZ$23*(BD$15&lt;=$J62)*(1-BD$12)</f>
        <v>0</v>
      </c>
      <c r="BE62" s="747">
        <f>$G62*$H62*(1+$K62)^MAX(ROUNDUP(IFERROR(DATEDIF($I62-1,BE$15+1,"m"),)/12,)-1,)*Index!BA$23*(BE$15&lt;=$J62)*(1-BE$12)</f>
        <v>0</v>
      </c>
      <c r="BF62" s="747">
        <f>$G62*$H62*(1+$K62)^MAX(ROUNDUP(IFERROR(DATEDIF($I62-1,BF$15+1,"m"),)/12,)-1,)*Index!BB$23*(BF$15&lt;=$J62)*(1-BF$12)</f>
        <v>0</v>
      </c>
      <c r="BG62" s="747">
        <f>$G62*$H62*(1+$K62)^MAX(ROUNDUP(IFERROR(DATEDIF($I62-1,BG$15+1,"m"),)/12,)-1,)*Index!BC$23*(BG$15&lt;=$J62)*(1-BG$12)</f>
        <v>0</v>
      </c>
      <c r="BH62" s="747">
        <f>$G62*$H62*(1+$K62)^MAX(ROUNDUP(IFERROR(DATEDIF($I62-1,BH$15+1,"m"),)/12,)-1,)*Index!BD$23*(BH$15&lt;=$J62)*(1-BH$12)</f>
        <v>0</v>
      </c>
      <c r="BI62" s="747">
        <f>$G62*$H62*(1+$K62)^MAX(ROUNDUP(IFERROR(DATEDIF($I62-1,BI$15+1,"m"),)/12,)-1,)*Index!BE$23*(BI$15&lt;=$J62)*(1-BI$12)</f>
        <v>0</v>
      </c>
      <c r="BJ62" s="747">
        <f>$G62*$H62*(1+$K62)^MAX(ROUNDUP(IFERROR(DATEDIF($I62-1,BJ$15+1,"m"),)/12,)-1,)*Index!BF$23*(BJ$15&lt;=$J62)*(1-BJ$12)</f>
        <v>0</v>
      </c>
      <c r="BK62" s="747">
        <f>$G62*$H62*(1+$K62)^MAX(ROUNDUP(IFERROR(DATEDIF($I62-1,BK$15+1,"m"),)/12,)-1,)*Index!BG$23*(BK$15&lt;=$J62)*(1-BK$12)</f>
        <v>0</v>
      </c>
      <c r="BL62" s="747">
        <f>$G62*$H62*(1+$K62)^MAX(ROUNDUP(IFERROR(DATEDIF($I62-1,BL$15+1,"m"),)/12,)-1,)*Index!BH$23*(BL$15&lt;=$J62)*(1-BL$12)</f>
        <v>0</v>
      </c>
      <c r="BM62" s="747">
        <f>$G62*$H62*(1+$K62)^MAX(ROUNDUP(IFERROR(DATEDIF($I62-1,BM$15+1,"m"),)/12,)-1,)*Index!BI$23*(BM$15&lt;=$J62)*(1-BM$12)</f>
        <v>0</v>
      </c>
      <c r="BN62" s="747">
        <f>$G62*$H62*(1+$K62)^MAX(ROUNDUP(IFERROR(DATEDIF($I62-1,BN$15+1,"m"),)/12,)-1,)*Index!BJ$23*(BN$15&lt;=$J62)*(1-BN$12)</f>
        <v>0</v>
      </c>
      <c r="BO62" s="747">
        <f>$G62*$H62*(1+$K62)^MAX(ROUNDUP(IFERROR(DATEDIF($I62-1,BO$15+1,"m"),)/12,)-1,)*Index!BK$23*(BO$15&lt;=$J62)*(1-BO$12)</f>
        <v>0</v>
      </c>
      <c r="BP62" s="747">
        <f>$G62*$H62*(1+$K62)^MAX(ROUNDUP(IFERROR(DATEDIF($I62-1,BP$15+1,"m"),)/12,)-1,)*Index!BL$23*(BP$15&lt;=$J62)*(1-BP$12)</f>
        <v>0</v>
      </c>
      <c r="BQ62" s="747">
        <f>$G62*$H62*(1+$K62)^MAX(ROUNDUP(IFERROR(DATEDIF($I62-1,BQ$15+1,"m"),)/12,)-1,)*Index!BM$23*(BQ$15&lt;=$J62)*(1-BQ$12)</f>
        <v>0</v>
      </c>
      <c r="BR62" s="747">
        <f>$G62*$H62*(1+$K62)^MAX(ROUNDUP(IFERROR(DATEDIF($I62-1,BR$15+1,"m"),)/12,)-1,)*Index!BN$23*(BR$15&lt;=$J62)*(1-BR$12)</f>
        <v>0</v>
      </c>
      <c r="BS62" s="747">
        <f>$G62*$H62*(1+$K62)^MAX(ROUNDUP(IFERROR(DATEDIF($I62-1,BS$15+1,"m"),)/12,)-1,)*Index!BO$23*(BS$15&lt;=$J62)*(1-BS$12)</f>
        <v>0</v>
      </c>
      <c r="BT62" s="747">
        <f>$G62*$H62*(1+$K62)^MAX(ROUNDUP(IFERROR(DATEDIF($I62-1,BT$15+1,"m"),)/12,)-1,)*Index!BP$23*(BT$15&lt;=$J62)*(1-BT$12)</f>
        <v>0</v>
      </c>
      <c r="BU62" s="747">
        <f>$G62*$H62*(1+$K62)^MAX(ROUNDUP(IFERROR(DATEDIF($I62-1,BU$15+1,"m"),)/12,)-1,)*Index!BQ$23*(BU$15&lt;=$J62)*(1-BU$12)</f>
        <v>0</v>
      </c>
      <c r="BV62" s="747">
        <f>$G62*$H62*(1+$K62)^MAX(ROUNDUP(IFERROR(DATEDIF($I62-1,BV$15+1,"m"),)/12,)-1,)*Index!BR$23*(BV$15&lt;=$J62)*(1-BV$12)</f>
        <v>0</v>
      </c>
      <c r="BW62" s="747">
        <f>$G62*$H62*(1+$K62)^MAX(ROUNDUP(IFERROR(DATEDIF($I62-1,BW$15+1,"m"),)/12,)-1,)*Index!BS$23*(BW$15&lt;=$J62)*(1-BW$12)</f>
        <v>0</v>
      </c>
      <c r="BX62" s="747">
        <f>$G62*$H62*(1+$K62)^MAX(ROUNDUP(IFERROR(DATEDIF($I62-1,BX$15+1,"m"),)/12,)-1,)*Index!BT$23*(BX$15&lt;=$J62)*(1-BX$12)</f>
        <v>0</v>
      </c>
      <c r="BY62" s="747">
        <f>$G62*$H62*(1+$K62)^MAX(ROUNDUP(IFERROR(DATEDIF($I62-1,BY$15+1,"m"),)/12,)-1,)*Index!BU$23*(BY$15&lt;=$J62)*(1-BY$12)</f>
        <v>0</v>
      </c>
      <c r="BZ62" s="747">
        <f>$G62*$H62*(1+$K62)^MAX(ROUNDUP(IFERROR(DATEDIF($I62-1,BZ$15+1,"m"),)/12,)-1,)*Index!BV$23*(BZ$15&lt;=$J62)*(1-BZ$12)</f>
        <v>0</v>
      </c>
      <c r="CA62" s="747">
        <f>$G62*$H62*(1+$K62)^MAX(ROUNDUP(IFERROR(DATEDIF($I62-1,CA$15+1,"m"),)/12,)-1,)*Index!BW$23*(CA$15&lt;=$J62)*(1-CA$12)</f>
        <v>0</v>
      </c>
      <c r="CB62" s="747">
        <f>$G62*$H62*(1+$K62)^MAX(ROUNDUP(IFERROR(DATEDIF($I62-1,CB$15+1,"m"),)/12,)-1,)*Index!BX$23*(CB$15&lt;=$J62)*(1-CB$12)</f>
        <v>0</v>
      </c>
      <c r="CC62" s="747">
        <f>$G62*$H62*(1+$K62)^MAX(ROUNDUP(IFERROR(DATEDIF($I62-1,CC$15+1,"m"),)/12,)-1,)*Index!BY$23*(CC$15&lt;=$J62)*(1-CC$12)</f>
        <v>0</v>
      </c>
      <c r="CD62" s="747">
        <f>$G62*$H62*(1+$K62)^MAX(ROUNDUP(IFERROR(DATEDIF($I62-1,CD$15+1,"m"),)/12,)-1,)*Index!BZ$23*(CD$15&lt;=$J62)*(1-CD$12)</f>
        <v>0</v>
      </c>
      <c r="CE62" s="747">
        <f>$G62*$H62*(1+$K62)^MAX(ROUNDUP(IFERROR(DATEDIF($I62-1,CE$15+1,"m"),)/12,)-1,)*Index!CA$23*(CE$15&lt;=$J62)*(1-CE$12)</f>
        <v>0</v>
      </c>
      <c r="CF62" s="747">
        <f>$G62*$H62*(1+$K62)^MAX(ROUNDUP(IFERROR(DATEDIF($I62-1,CF$15+1,"m"),)/12,)-1,)*Index!CB$23*(CF$15&lt;=$J62)*(1-CF$12)</f>
        <v>0</v>
      </c>
      <c r="CG62" s="747">
        <f>$G62*$H62*(1+$K62)^MAX(ROUNDUP(IFERROR(DATEDIF($I62-1,CG$15+1,"m"),)/12,)-1,)*Index!CC$23*(CG$15&lt;=$J62)*(1-CG$12)</f>
        <v>0</v>
      </c>
      <c r="CH62" s="747">
        <f>$G62*$H62*(1+$K62)^MAX(ROUNDUP(IFERROR(DATEDIF($I62-1,CH$15+1,"m"),)/12,)-1,)*Index!CD$23*(CH$15&lt;=$J62)*(1-CH$12)</f>
        <v>0</v>
      </c>
      <c r="CI62" s="747">
        <f>$G62*$H62*(1+$K62)^MAX(ROUNDUP(IFERROR(DATEDIF($I62-1,CI$15+1,"m"),)/12,)-1,)*Index!CE$23*(CI$15&lt;=$J62)*(1-CI$12)</f>
        <v>0</v>
      </c>
      <c r="CJ62" s="747">
        <f>$G62*$H62*(1+$K62)^MAX(ROUNDUP(IFERROR(DATEDIF($I62-1,CJ$15+1,"m"),)/12,)-1,)*Index!CF$23*(CJ$15&lt;=$J62)*(1-CJ$12)</f>
        <v>0</v>
      </c>
      <c r="CK62" s="747">
        <f>$G62*$H62*(1+$K62)^MAX(ROUNDUP(IFERROR(DATEDIF($I62-1,CK$15+1,"m"),)/12,)-1,)*Index!CG$23*(CK$15&lt;=$J62)*(1-CK$12)</f>
        <v>0</v>
      </c>
      <c r="CL62" s="747">
        <f>$G62*$H62*(1+$K62)^MAX(ROUNDUP(IFERROR(DATEDIF($I62-1,CL$15+1,"m"),)/12,)-1,)*Index!CH$23*(CL$15&lt;=$J62)*(1-CL$12)</f>
        <v>0</v>
      </c>
      <c r="CM62" s="747">
        <f>$G62*$H62*(1+$K62)^MAX(ROUNDUP(IFERROR(DATEDIF($I62-1,CM$15+1,"m"),)/12,)-1,)*Index!CI$23*(CM$15&lt;=$J62)*(1-CM$12)</f>
        <v>0</v>
      </c>
      <c r="CN62" s="747">
        <f>$G62*$H62*(1+$K62)^MAX(ROUNDUP(IFERROR(DATEDIF($I62-1,CN$15+1,"m"),)/12,)-1,)*Index!CJ$23*(CN$15&lt;=$J62)*(1-CN$12)</f>
        <v>0</v>
      </c>
      <c r="CO62" s="747">
        <f>$G62*$H62*(1+$K62)^MAX(ROUNDUP(IFERROR(DATEDIF($I62-1,CO$15+1,"m"),)/12,)-1,)*Index!CK$23*(CO$15&lt;=$J62)*(1-CO$12)</f>
        <v>0</v>
      </c>
      <c r="CP62" s="747">
        <f>$G62*$H62*(1+$K62)^MAX(ROUNDUP(IFERROR(DATEDIF($I62-1,CP$15+1,"m"),)/12,)-1,)*Index!CL$23*(CP$15&lt;=$J62)*(1-CP$12)</f>
        <v>0</v>
      </c>
      <c r="CQ62" s="747">
        <f>$G62*$H62*(1+$K62)^MAX(ROUNDUP(IFERROR(DATEDIF($I62-1,CQ$15+1,"m"),)/12,)-1,)*Index!CM$23*(CQ$15&lt;=$J62)*(1-CQ$12)</f>
        <v>0</v>
      </c>
      <c r="CR62" s="747">
        <f>$G62*$H62*(1+$K62)^MAX(ROUNDUP(IFERROR(DATEDIF($I62-1,CR$15+1,"m"),)/12,)-1,)*Index!CN$23*(CR$15&lt;=$J62)*(1-CR$12)</f>
        <v>0</v>
      </c>
      <c r="CS62" s="747">
        <f>$G62*$H62*(1+$K62)^MAX(ROUNDUP(IFERROR(DATEDIF($I62-1,CS$15+1,"m"),)/12,)-1,)*Index!CO$23*(CS$15&lt;=$J62)*(1-CS$12)</f>
        <v>0</v>
      </c>
      <c r="CT62" s="747">
        <f>$G62*$H62*(1+$K62)^MAX(ROUNDUP(IFERROR(DATEDIF($I62-1,CT$15+1,"m"),)/12,)-1,)*Index!CP$23*(CT$15&lt;=$J62)*(1-CT$12)</f>
        <v>0</v>
      </c>
      <c r="CU62" s="747">
        <f>$G62*$H62*(1+$K62)^MAX(ROUNDUP(IFERROR(DATEDIF($I62-1,CU$15+1,"m"),)/12,)-1,)*Index!CQ$23*(CU$15&lt;=$J62)*(1-CU$12)</f>
        <v>0</v>
      </c>
      <c r="CV62" s="747">
        <f>$G62*$H62*(1+$K62)^MAX(ROUNDUP(IFERROR(DATEDIF($I62-1,CV$15+1,"m"),)/12,)-1,)*Index!CR$23*(CV$15&lt;=$J62)*(1-CV$12)</f>
        <v>0</v>
      </c>
      <c r="CW62" s="747">
        <f>$G62*$H62*(1+$K62)^MAX(ROUNDUP(IFERROR(DATEDIF($I62-1,CW$15+1,"m"),)/12,)-1,)*Index!CS$23*(CW$15&lt;=$J62)*(1-CW$12)</f>
        <v>0</v>
      </c>
      <c r="CX62" s="747">
        <f>$G62*$H62*(1+$K62)^MAX(ROUNDUP(IFERROR(DATEDIF($I62-1,CX$15+1,"m"),)/12,)-1,)*Index!CT$23*(CX$15&lt;=$J62)*(1-CX$12)</f>
        <v>0</v>
      </c>
      <c r="CY62" s="747">
        <f>$G62*$H62*(1+$K62)^MAX(ROUNDUP(IFERROR(DATEDIF($I62-1,CY$15+1,"m"),)/12,)-1,)*Index!CU$23*(CY$15&lt;=$J62)*(1-CY$12)</f>
        <v>0</v>
      </c>
      <c r="CZ62" s="747">
        <f>$G62*$H62*(1+$K62)^MAX(ROUNDUP(IFERROR(DATEDIF($I62-1,CZ$15+1,"m"),)/12,)-1,)*Index!CV$23*(CZ$15&lt;=$J62)*(1-CZ$12)</f>
        <v>0</v>
      </c>
      <c r="DA62" s="747">
        <f>$G62*$H62*(1+$K62)^MAX(ROUNDUP(IFERROR(DATEDIF($I62-1,DA$15+1,"m"),)/12,)-1,)*Index!CW$23*(DA$15&lt;=$J62)*(1-DA$12)</f>
        <v>0</v>
      </c>
      <c r="DB62" s="747">
        <f>$G62*$H62*(1+$K62)^MAX(ROUNDUP(IFERROR(DATEDIF($I62-1,DB$15+1,"m"),)/12,)-1,)*Index!CX$23*(DB$15&lt;=$J62)*(1-DB$12)</f>
        <v>0</v>
      </c>
      <c r="DC62" s="747">
        <f>$G62*$H62*(1+$K62)^MAX(ROUNDUP(IFERROR(DATEDIF($I62-1,DC$15+1,"m"),)/12,)-1,)*Index!CY$23*(DC$15&lt;=$J62)*(1-DC$12)</f>
        <v>0</v>
      </c>
      <c r="DD62" s="747">
        <f>$G62*$H62*(1+$K62)^MAX(ROUNDUP(IFERROR(DATEDIF($I62-1,DD$15+1,"m"),)/12,)-1,)*Index!CZ$23*(DD$15&lt;=$J62)*(1-DD$12)</f>
        <v>0</v>
      </c>
      <c r="DE62" s="747">
        <f>$G62*$H62*(1+$K62)^MAX(ROUNDUP(IFERROR(DATEDIF($I62-1,DE$15+1,"m"),)/12,)-1,)*Index!DA$23*(DE$15&lt;=$J62)*(1-DE$12)</f>
        <v>0</v>
      </c>
      <c r="DF62" s="747">
        <f>$G62*$H62*(1+$K62)^MAX(ROUNDUP(IFERROR(DATEDIF($I62-1,DF$15+1,"m"),)/12,)-1,)*Index!DB$23*(DF$15&lt;=$J62)*(1-DF$12)</f>
        <v>0</v>
      </c>
      <c r="DG62" s="747">
        <f>$G62*$H62*(1+$K62)^MAX(ROUNDUP(IFERROR(DATEDIF($I62-1,DG$15+1,"m"),)/12,)-1,)*Index!DC$23*(DG$15&lt;=$J62)*(1-DG$12)</f>
        <v>0</v>
      </c>
      <c r="DH62" s="747">
        <f>$G62*$H62*(1+$K62)^MAX(ROUNDUP(IFERROR(DATEDIF($I62-1,DH$15+1,"m"),)/12,)-1,)*Index!DD$23*(DH$15&lt;=$J62)*(1-DH$12)</f>
        <v>0</v>
      </c>
      <c r="DI62" s="747">
        <f>$G62*$H62*(1+$K62)^MAX(ROUNDUP(IFERROR(DATEDIF($I62-1,DI$15+1,"m"),)/12,)-1,)*Index!DE$23*(DI$15&lt;=$J62)*(1-DI$12)</f>
        <v>0</v>
      </c>
      <c r="DJ62" s="747">
        <f>$G62*$H62*(1+$K62)^MAX(ROUNDUP(IFERROR(DATEDIF($I62-1,DJ$15+1,"m"),)/12,)-1,)*Index!DF$23*(DJ$15&lt;=$J62)*(1-DJ$12)</f>
        <v>0</v>
      </c>
      <c r="DK62" s="747">
        <f>$G62*$H62*(1+$K62)^MAX(ROUNDUP(IFERROR(DATEDIF($I62-1,DK$15+1,"m"),)/12,)-1,)*Index!DG$23*(DK$15&lt;=$J62)*(1-DK$12)</f>
        <v>0</v>
      </c>
      <c r="DL62" s="747">
        <f>$G62*$H62*(1+$K62)^MAX(ROUNDUP(IFERROR(DATEDIF($I62-1,DL$15+1,"m"),)/12,)-1,)*Index!DH$23*(DL$15&lt;=$J62)*(1-DL$12)</f>
        <v>0</v>
      </c>
      <c r="DM62" s="747">
        <f>$G62*$H62*(1+$K62)^MAX(ROUNDUP(IFERROR(DATEDIF($I62-1,DM$15+1,"m"),)/12,)-1,)*Index!DI$23*(DM$15&lt;=$J62)*(1-DM$12)</f>
        <v>0</v>
      </c>
      <c r="DN62" s="747">
        <f>$G62*$H62*(1+$K62)^MAX(ROUNDUP(IFERROR(DATEDIF($I62-1,DN$15+1,"m"),)/12,)-1,)*Index!DJ$23*(DN$15&lt;=$J62)*(1-DN$12)</f>
        <v>0</v>
      </c>
      <c r="DO62" s="747">
        <f>$G62*$H62*(1+$K62)^MAX(ROUNDUP(IFERROR(DATEDIF($I62-1,DO$15+1,"m"),)/12,)-1,)*Index!DK$23*(DO$15&lt;=$J62)*(1-DO$12)</f>
        <v>0</v>
      </c>
      <c r="DP62" s="747">
        <f>$G62*$H62*(1+$K62)^MAX(ROUNDUP(IFERROR(DATEDIF($I62-1,DP$15+1,"m"),)/12,)-1,)*Index!DL$23*(DP$15&lt;=$J62)*(1-DP$12)</f>
        <v>0</v>
      </c>
      <c r="DQ62" s="747">
        <f>$G62*$H62*(1+$K62)^MAX(ROUNDUP(IFERROR(DATEDIF($I62-1,DQ$15+1,"m"),)/12,)-1,)*Index!DM$23*(DQ$15&lt;=$J62)*(1-DQ$12)</f>
        <v>0</v>
      </c>
      <c r="DR62" s="747">
        <f>$G62*$H62*(1+$K62)^MAX(ROUNDUP(IFERROR(DATEDIF($I62-1,DR$15+1,"m"),)/12,)-1,)*Index!DN$23*(DR$15&lt;=$J62)*(1-DR$12)</f>
        <v>0</v>
      </c>
      <c r="DS62" s="747">
        <f>$G62*$H62*(1+$K62)^MAX(ROUNDUP(IFERROR(DATEDIF($I62-1,DS$15+1,"m"),)/12,)-1,)*Index!DO$23*(DS$15&lt;=$J62)*(1-DS$12)</f>
        <v>0</v>
      </c>
      <c r="DT62" s="747">
        <f>$G62*$H62*(1+$K62)^MAX(ROUNDUP(IFERROR(DATEDIF($I62-1,DT$15+1,"m"),)/12,)-1,)*Index!DP$23*(DT$15&lt;=$J62)*(1-DT$12)</f>
        <v>0</v>
      </c>
      <c r="DU62" s="747">
        <f>$G62*$H62*(1+$K62)^MAX(ROUNDUP(IFERROR(DATEDIF($I62-1,DU$15+1,"m"),)/12,)-1,)*Index!DQ$23*(DU$15&lt;=$J62)*(1-DU$12)</f>
        <v>0</v>
      </c>
      <c r="DV62" s="747">
        <f>$G62*$H62*(1+$K62)^MAX(ROUNDUP(IFERROR(DATEDIF($I62-1,DV$15+1,"m"),)/12,)-1,)*Index!DR$23*(DV$15&lt;=$J62)*(1-DV$12)</f>
        <v>0</v>
      </c>
      <c r="DW62" s="747">
        <f>$G62*$H62*(1+$K62)^MAX(ROUNDUP(IFERROR(DATEDIF($I62-1,DW$15+1,"m"),)/12,)-1,)*Index!DS$23*(DW$15&lt;=$J62)*(1-DW$12)</f>
        <v>0</v>
      </c>
      <c r="DX62" s="747">
        <f>$G62*$H62*(1+$K62)^MAX(ROUNDUP(IFERROR(DATEDIF($I62-1,DX$15+1,"m"),)/12,)-1,)*Index!DT$23*(DX$15&lt;=$J62)*(1-DX$12)</f>
        <v>0</v>
      </c>
      <c r="DY62" s="747">
        <f>$G62*$H62*(1+$K62)^MAX(ROUNDUP(IFERROR(DATEDIF($I62-1,DY$15+1,"m"),)/12,)-1,)*Index!DU$23*(DY$15&lt;=$J62)*(1-DY$12)</f>
        <v>0</v>
      </c>
      <c r="DZ62" s="747">
        <f>$G62*$H62*(1+$K62)^MAX(ROUNDUP(IFERROR(DATEDIF($I62-1,DZ$15+1,"m"),)/12,)-1,)*Index!DV$23*(DZ$15&lt;=$J62)*(1-DZ$12)</f>
        <v>0</v>
      </c>
      <c r="EA62" s="747">
        <f>$G62*$H62*(1+$K62)^MAX(ROUNDUP(IFERROR(DATEDIF($I62-1,EA$15+1,"m"),)/12,)-1,)*Index!DW$23*(EA$15&lt;=$J62)*(1-EA$12)</f>
        <v>0</v>
      </c>
      <c r="EB62" s="747">
        <f>$G62*$H62*(1+$K62)^MAX(ROUNDUP(IFERROR(DATEDIF($I62-1,EB$15+1,"m"),)/12,)-1,)*Index!DX$23*(EB$15&lt;=$J62)*(1-EB$12)</f>
        <v>0</v>
      </c>
      <c r="EC62" s="747">
        <f>$G62*$H62*(1+$K62)^MAX(ROUNDUP(IFERROR(DATEDIF($I62-1,EC$15+1,"m"),)/12,)-1,)*Index!DY$23*(EC$15&lt;=$J62)*(1-EC$12)</f>
        <v>0</v>
      </c>
      <c r="ED62" s="747">
        <f>$G62*$H62*(1+$K62)^MAX(ROUNDUP(IFERROR(DATEDIF($I62-1,ED$15+1,"m"),)/12,)-1,)*Index!DZ$23*(ED$15&lt;=$J62)*(1-ED$12)</f>
        <v>0</v>
      </c>
      <c r="EE62" s="747">
        <f>$G62*$H62*(1+$K62)^MAX(ROUNDUP(IFERROR(DATEDIF($I62-1,EE$15+1,"m"),)/12,)-1,)*Index!EA$23*(EE$15&lt;=$J62)*(1-EE$12)</f>
        <v>0</v>
      </c>
      <c r="EF62" s="747">
        <f>$G62*$H62*(1+$K62)^MAX(ROUNDUP(IFERROR(DATEDIF($I62-1,EF$15+1,"m"),)/12,)-1,)*Index!EB$23*(EF$15&lt;=$J62)*(1-EF$12)</f>
        <v>0</v>
      </c>
      <c r="EG62" s="747">
        <f>$G62*$H62*(1+$K62)^MAX(ROUNDUP(IFERROR(DATEDIF($I62-1,EG$15+1,"m"),)/12,)-1,)*Index!EC$23*(EG$15&lt;=$J62)*(1-EG$12)</f>
        <v>0</v>
      </c>
      <c r="EH62" s="747">
        <f>$G62*$H62*(1+$K62)^MAX(ROUNDUP(IFERROR(DATEDIF($I62-1,EH$15+1,"m"),)/12,)-1,)*Index!ED$23*(EH$15&lt;=$J62)*(1-EH$12)</f>
        <v>0</v>
      </c>
      <c r="EI62" s="747">
        <f>$G62*$H62*(1+$K62)^MAX(ROUNDUP(IFERROR(DATEDIF($I62-1,EI$15+1,"m"),)/12,)-1,)*Index!EE$23*(EI$15&lt;=$J62)*(1-EI$12)</f>
        <v>0</v>
      </c>
      <c r="EJ62" s="747">
        <f>$G62*$H62*(1+$K62)^MAX(ROUNDUP(IFERROR(DATEDIF($I62-1,EJ$15+1,"m"),)/12,)-1,)*Index!EF$23*(EJ$15&lt;=$J62)*(1-EJ$12)</f>
        <v>0</v>
      </c>
      <c r="EK62" s="747">
        <f>$G62*$H62*(1+$K62)^MAX(ROUNDUP(IFERROR(DATEDIF($I62-1,EK$15+1,"m"),)/12,)-1,)*Index!EG$23*(EK$15&lt;=$J62)*(1-EK$12)</f>
        <v>0</v>
      </c>
      <c r="EL62" s="747">
        <f>$G62*$H62*(1+$K62)^MAX(ROUNDUP(IFERROR(DATEDIF($I62-1,EL$15+1,"m"),)/12,)-1,)*Index!EH$23*(EL$15&lt;=$J62)*(1-EL$12)</f>
        <v>0</v>
      </c>
      <c r="EM62" s="747">
        <f>$G62*$H62*(1+$K62)^MAX(ROUNDUP(IFERROR(DATEDIF($I62-1,EM$15+1,"m"),)/12,)-1,)*Index!EI$23*(EM$15&lt;=$J62)*(1-EM$12)</f>
        <v>0</v>
      </c>
      <c r="EN62" s="747">
        <f>$G62*$H62*(1+$K62)^MAX(ROUNDUP(IFERROR(DATEDIF($I62-1,EN$15+1,"m"),)/12,)-1,)*Index!EJ$23*(EN$15&lt;=$J62)*(1-EN$12)</f>
        <v>0</v>
      </c>
      <c r="EO62" s="747">
        <f>$G62*$H62*(1+$K62)^MAX(ROUNDUP(IFERROR(DATEDIF($I62-1,EO$15+1,"m"),)/12,)-1,)*Index!EK$23*(EO$15&lt;=$J62)*(1-EO$12)</f>
        <v>0</v>
      </c>
      <c r="EP62" s="747">
        <f>$G62*$H62*(1+$K62)^MAX(ROUNDUP(IFERROR(DATEDIF($I62-1,EP$15+1,"m"),)/12,)-1,)*Index!EL$23*(EP$15&lt;=$J62)*(1-EP$12)</f>
        <v>0</v>
      </c>
      <c r="EQ62" s="747">
        <f>$G62*$H62*(1+$K62)^MAX(ROUNDUP(IFERROR(DATEDIF($I62-1,EQ$15+1,"m"),)/12,)-1,)*Index!EM$23*(EQ$15&lt;=$J62)*(1-EQ$12)</f>
        <v>0</v>
      </c>
      <c r="ER62" s="747">
        <f>$G62*$H62*(1+$K62)^MAX(ROUNDUP(IFERROR(DATEDIF($I62-1,ER$15+1,"m"),)/12,)-1,)*Index!EN$23*(ER$15&lt;=$J62)*(1-ER$12)</f>
        <v>0</v>
      </c>
      <c r="ES62" s="747">
        <f>$G62*$H62*(1+$K62)^MAX(ROUNDUP(IFERROR(DATEDIF($I62-1,ES$15+1,"m"),)/12,)-1,)*Index!EO$23*(ES$15&lt;=$J62)*(1-ES$12)</f>
        <v>0</v>
      </c>
      <c r="ET62" s="747">
        <f>$G62*$H62*(1+$K62)^MAX(ROUNDUP(IFERROR(DATEDIF($I62-1,ET$15+1,"m"),)/12,)-1,)*Index!EP$23*(ET$15&lt;=$J62)*(1-ET$12)</f>
        <v>0</v>
      </c>
      <c r="EU62" s="747">
        <f>$G62*$H62*(1+$K62)^MAX(ROUNDUP(IFERROR(DATEDIF($I62-1,EU$15+1,"m"),)/12,)-1,)*Index!EQ$23*(EU$15&lt;=$J62)*(1-EU$12)</f>
        <v>0</v>
      </c>
    </row>
    <row r="63" spans="3:151" ht="11.25" customHeight="1">
      <c r="C63" s="828"/>
      <c r="D63" s="743">
        <f t="shared" ref="D63:K63" si="30">D27</f>
        <v>2</v>
      </c>
      <c r="E63" s="704" t="str">
        <f t="shared" si="30"/>
        <v>쿠팡</v>
      </c>
      <c r="F63" s="704" t="str">
        <f t="shared" si="30"/>
        <v>상온창고</v>
      </c>
      <c r="G63" s="752">
        <f t="shared" si="30"/>
        <v>60</v>
      </c>
      <c r="H63" s="744">
        <f t="shared" si="30"/>
        <v>2185.56</v>
      </c>
      <c r="I63" s="745">
        <f t="shared" si="30"/>
        <v>45658</v>
      </c>
      <c r="J63" s="745">
        <f t="shared" si="30"/>
        <v>49064</v>
      </c>
      <c r="K63" s="754">
        <f t="shared" si="30"/>
        <v>2.5000000000000001E-2</v>
      </c>
      <c r="L63" s="746"/>
      <c r="M63" s="722"/>
      <c r="N63" s="747">
        <f t="shared" si="21"/>
        <v>0</v>
      </c>
      <c r="O63" s="733"/>
      <c r="P63" s="747">
        <f>$G63*$H63*(1+$K63)^MAX(ROUNDUP(IFERROR(DATEDIF($I63-1,P$15+1,"m"),)/12,)-1,)*Index!L$23*(P$15&lt;=$J63)*(1-P$12)</f>
        <v>0</v>
      </c>
      <c r="Q63" s="747">
        <f>$G63*$H63*(1+$K63)^MAX(ROUNDUP(IFERROR(DATEDIF($I63-1,Q$15+1,"m"),)/12,)-1,)*Index!M$23*(Q$15&lt;=$J63)*(1-Q$12)</f>
        <v>0</v>
      </c>
      <c r="R63" s="747">
        <f>$G63*$H63*(1+$K63)^MAX(ROUNDUP(IFERROR(DATEDIF($I63-1,R$15+1,"m"),)/12,)-1,)*Index!N$23*(R$15&lt;=$J63)*(1-R$12)</f>
        <v>0</v>
      </c>
      <c r="S63" s="747">
        <f>$G63*$H63*(1+$K63)^MAX(ROUNDUP(IFERROR(DATEDIF($I63-1,S$15+1,"m"),)/12,)-1,)*Index!O$23*(S$15&lt;=$J63)*(1-S$12)</f>
        <v>0</v>
      </c>
      <c r="T63" s="747">
        <f>$G63*$H63*(1+$K63)^MAX(ROUNDUP(IFERROR(DATEDIF($I63-1,T$15+1,"m"),)/12,)-1,)*Index!P$23*(T$15&lt;=$J63)*(1-T$12)</f>
        <v>0</v>
      </c>
      <c r="U63" s="747">
        <f>$G63*$H63*(1+$K63)^MAX(ROUNDUP(IFERROR(DATEDIF($I63-1,U$15+1,"m"),)/12,)-1,)*Index!Q$23*(U$15&lt;=$J63)*(1-U$12)</f>
        <v>0</v>
      </c>
      <c r="V63" s="747">
        <f>$G63*$H63*(1+$K63)^MAX(ROUNDUP(IFERROR(DATEDIF($I63-1,V$15+1,"m"),)/12,)-1,)*Index!R$23*(V$15&lt;=$J63)*(1-V$12)</f>
        <v>0</v>
      </c>
      <c r="W63" s="747">
        <f>$G63*$H63*(1+$K63)^MAX(ROUNDUP(IFERROR(DATEDIF($I63-1,W$15+1,"m"),)/12,)-1,)*Index!S$23*(W$15&lt;=$J63)*(1-W$12)</f>
        <v>0</v>
      </c>
      <c r="X63" s="747">
        <f>$G63*$H63*(1+$K63)^MAX(ROUNDUP(IFERROR(DATEDIF($I63-1,X$15+1,"m"),)/12,)-1,)*Index!T$23*(X$15&lt;=$J63)*(1-X$12)</f>
        <v>0</v>
      </c>
      <c r="Y63" s="747">
        <f>$G63*$H63*(1+$K63)^MAX(ROUNDUP(IFERROR(DATEDIF($I63-1,Y$15+1,"m"),)/12,)-1,)*Index!U$23*(Y$15&lt;=$J63)*(1-Y$12)</f>
        <v>0</v>
      </c>
      <c r="Z63" s="747">
        <f>$G63*$H63*(1+$K63)^MAX(ROUNDUP(IFERROR(DATEDIF($I63-1,Z$15+1,"m"),)/12,)-1,)*Index!V$23*(Z$15&lt;=$J63)*(1-Z$12)</f>
        <v>0</v>
      </c>
      <c r="AA63" s="747">
        <f>$G63*$H63*(1+$K63)^MAX(ROUNDUP(IFERROR(DATEDIF($I63-1,AA$15+1,"m"),)/12,)-1,)*Index!W$23*(AA$15&lt;=$J63)*(1-AA$12)</f>
        <v>0</v>
      </c>
      <c r="AB63" s="747">
        <f>$G63*$H63*(1+$K63)^MAX(ROUNDUP(IFERROR(DATEDIF($I63-1,AB$15+1,"m"),)/12,)-1,)*Index!X$23*(AB$15&lt;=$J63)*(1-AB$12)</f>
        <v>0</v>
      </c>
      <c r="AC63" s="747">
        <f>$G63*$H63*(1+$K63)^MAX(ROUNDUP(IFERROR(DATEDIF($I63-1,AC$15+1,"m"),)/12,)-1,)*Index!Y$23*(AC$15&lt;=$J63)*(1-AC$12)</f>
        <v>0</v>
      </c>
      <c r="AD63" s="747">
        <f>$G63*$H63*(1+$K63)^MAX(ROUNDUP(IFERROR(DATEDIF($I63-1,AD$15+1,"m"),)/12,)-1,)*Index!Z$23*(AD$15&lt;=$J63)*(1-AD$12)</f>
        <v>0</v>
      </c>
      <c r="AE63" s="747">
        <f>$G63*$H63*(1+$K63)^MAX(ROUNDUP(IFERROR(DATEDIF($I63-1,AE$15+1,"m"),)/12,)-1,)*Index!AA$23*(AE$15&lt;=$J63)*(1-AE$12)</f>
        <v>0</v>
      </c>
      <c r="AF63" s="747">
        <f>$G63*$H63*(1+$K63)^MAX(ROUNDUP(IFERROR(DATEDIF($I63-1,AF$15+1,"m"),)/12,)-1,)*Index!AB$23*(AF$15&lt;=$J63)*(1-AF$12)</f>
        <v>0</v>
      </c>
      <c r="AG63" s="747">
        <f>$G63*$H63*(1+$K63)^MAX(ROUNDUP(IFERROR(DATEDIF($I63-1,AG$15+1,"m"),)/12,)-1,)*Index!AC$23*(AG$15&lt;=$J63)*(1-AG$12)</f>
        <v>0</v>
      </c>
      <c r="AH63" s="747">
        <f>$G63*$H63*(1+$K63)^MAX(ROUNDUP(IFERROR(DATEDIF($I63-1,AH$15+1,"m"),)/12,)-1,)*Index!AD$23*(AH$15&lt;=$J63)*(1-AH$12)</f>
        <v>0</v>
      </c>
      <c r="AI63" s="747">
        <f>$G63*$H63*(1+$K63)^MAX(ROUNDUP(IFERROR(DATEDIF($I63-1,AI$15+1,"m"),)/12,)-1,)*Index!AE$23*(AI$15&lt;=$J63)*(1-AI$12)</f>
        <v>0</v>
      </c>
      <c r="AJ63" s="747">
        <f>$G63*$H63*(1+$K63)^MAX(ROUNDUP(IFERROR(DATEDIF($I63-1,AJ$15+1,"m"),)/12,)-1,)*Index!AF$23*(AJ$15&lt;=$J63)*(1-AJ$12)</f>
        <v>0</v>
      </c>
      <c r="AK63" s="747">
        <f>$G63*$H63*(1+$K63)^MAX(ROUNDUP(IFERROR(DATEDIF($I63-1,AK$15+1,"m"),)/12,)-1,)*Index!AG$23*(AK$15&lt;=$J63)*(1-AK$12)</f>
        <v>0</v>
      </c>
      <c r="AL63" s="747">
        <f>$G63*$H63*(1+$K63)^MAX(ROUNDUP(IFERROR(DATEDIF($I63-1,AL$15+1,"m"),)/12,)-1,)*Index!AH$23*(AL$15&lt;=$J63)*(1-AL$12)</f>
        <v>0</v>
      </c>
      <c r="AM63" s="747">
        <f>$G63*$H63*(1+$K63)^MAX(ROUNDUP(IFERROR(DATEDIF($I63-1,AM$15+1,"m"),)/12,)-1,)*Index!AI$23*(AM$15&lt;=$J63)*(1-AM$12)</f>
        <v>0</v>
      </c>
      <c r="AN63" s="747">
        <f>$G63*$H63*(1+$K63)^MAX(ROUNDUP(IFERROR(DATEDIF($I63-1,AN$15+1,"m"),)/12,)-1,)*Index!AJ$23*(AN$15&lt;=$J63)*(1-AN$12)</f>
        <v>0</v>
      </c>
      <c r="AO63" s="747">
        <f>$G63*$H63*(1+$K63)^MAX(ROUNDUP(IFERROR(DATEDIF($I63-1,AO$15+1,"m"),)/12,)-1,)*Index!AK$23*(AO$15&lt;=$J63)*(1-AO$12)</f>
        <v>0</v>
      </c>
      <c r="AP63" s="747">
        <f>$G63*$H63*(1+$K63)^MAX(ROUNDUP(IFERROR(DATEDIF($I63-1,AP$15+1,"m"),)/12,)-1,)*Index!AL$23*(AP$15&lt;=$J63)*(1-AP$12)</f>
        <v>0</v>
      </c>
      <c r="AQ63" s="747">
        <f>$G63*$H63*(1+$K63)^MAX(ROUNDUP(IFERROR(DATEDIF($I63-1,AQ$15+1,"m"),)/12,)-1,)*Index!AM$23*(AQ$15&lt;=$J63)*(1-AQ$12)</f>
        <v>0</v>
      </c>
      <c r="AR63" s="747">
        <f>$G63*$H63*(1+$K63)^MAX(ROUNDUP(IFERROR(DATEDIF($I63-1,AR$15+1,"m"),)/12,)-1,)*Index!AN$23*(AR$15&lt;=$J63)*(1-AR$12)</f>
        <v>0</v>
      </c>
      <c r="AS63" s="747">
        <f>$G63*$H63*(1+$K63)^MAX(ROUNDUP(IFERROR(DATEDIF($I63-1,AS$15+1,"m"),)/12,)-1,)*Index!AO$23*(AS$15&lt;=$J63)*(1-AS$12)</f>
        <v>0</v>
      </c>
      <c r="AT63" s="747">
        <f>$G63*$H63*(1+$K63)^MAX(ROUNDUP(IFERROR(DATEDIF($I63-1,AT$15+1,"m"),)/12,)-1,)*Index!AP$23*(AT$15&lt;=$J63)*(1-AT$12)</f>
        <v>0</v>
      </c>
      <c r="AU63" s="747">
        <f>$G63*$H63*(1+$K63)^MAX(ROUNDUP(IFERROR(DATEDIF($I63-1,AU$15+1,"m"),)/12,)-1,)*Index!AQ$23*(AU$15&lt;=$J63)*(1-AU$12)</f>
        <v>0</v>
      </c>
      <c r="AV63" s="747">
        <f>$G63*$H63*(1+$K63)^MAX(ROUNDUP(IFERROR(DATEDIF($I63-1,AV$15+1,"m"),)/12,)-1,)*Index!AR$23*(AV$15&lt;=$J63)*(1-AV$12)</f>
        <v>0</v>
      </c>
      <c r="AW63" s="747">
        <f>$G63*$H63*(1+$K63)^MAX(ROUNDUP(IFERROR(DATEDIF($I63-1,AW$15+1,"m"),)/12,)-1,)*Index!AS$23*(AW$15&lt;=$J63)*(1-AW$12)</f>
        <v>0</v>
      </c>
      <c r="AX63" s="747">
        <f>$G63*$H63*(1+$K63)^MAX(ROUNDUP(IFERROR(DATEDIF($I63-1,AX$15+1,"m"),)/12,)-1,)*Index!AT$23*(AX$15&lt;=$J63)*(1-AX$12)</f>
        <v>0</v>
      </c>
      <c r="AY63" s="747">
        <f>$G63*$H63*(1+$K63)^MAX(ROUNDUP(IFERROR(DATEDIF($I63-1,AY$15+1,"m"),)/12,)-1,)*Index!AU$23*(AY$15&lt;=$J63)*(1-AY$12)</f>
        <v>0</v>
      </c>
      <c r="AZ63" s="747">
        <f>$G63*$H63*(1+$K63)^MAX(ROUNDUP(IFERROR(DATEDIF($I63-1,AZ$15+1,"m"),)/12,)-1,)*Index!AV$23*(AZ$15&lt;=$J63)*(1-AZ$12)</f>
        <v>0</v>
      </c>
      <c r="BA63" s="747">
        <f>$G63*$H63*(1+$K63)^MAX(ROUNDUP(IFERROR(DATEDIF($I63-1,BA$15+1,"m"),)/12,)-1,)*Index!AW$23*(BA$15&lt;=$J63)*(1-BA$12)</f>
        <v>0</v>
      </c>
      <c r="BB63" s="747">
        <f>$G63*$H63*(1+$K63)^MAX(ROUNDUP(IFERROR(DATEDIF($I63-1,BB$15+1,"m"),)/12,)-1,)*Index!AX$23*(BB$15&lt;=$J63)*(1-BB$12)</f>
        <v>0</v>
      </c>
      <c r="BC63" s="747">
        <f>$G63*$H63*(1+$K63)^MAX(ROUNDUP(IFERROR(DATEDIF($I63-1,BC$15+1,"m"),)/12,)-1,)*Index!AY$23*(BC$15&lt;=$J63)*(1-BC$12)</f>
        <v>0</v>
      </c>
      <c r="BD63" s="747">
        <f>$G63*$H63*(1+$K63)^MAX(ROUNDUP(IFERROR(DATEDIF($I63-1,BD$15+1,"m"),)/12,)-1,)*Index!AZ$23*(BD$15&lt;=$J63)*(1-BD$12)</f>
        <v>0</v>
      </c>
      <c r="BE63" s="747">
        <f>$G63*$H63*(1+$K63)^MAX(ROUNDUP(IFERROR(DATEDIF($I63-1,BE$15+1,"m"),)/12,)-1,)*Index!BA$23*(BE$15&lt;=$J63)*(1-BE$12)</f>
        <v>0</v>
      </c>
      <c r="BF63" s="747">
        <f>$G63*$H63*(1+$K63)^MAX(ROUNDUP(IFERROR(DATEDIF($I63-1,BF$15+1,"m"),)/12,)-1,)*Index!BB$23*(BF$15&lt;=$J63)*(1-BF$12)</f>
        <v>0</v>
      </c>
      <c r="BG63" s="747">
        <f>$G63*$H63*(1+$K63)^MAX(ROUNDUP(IFERROR(DATEDIF($I63-1,BG$15+1,"m"),)/12,)-1,)*Index!BC$23*(BG$15&lt;=$J63)*(1-BG$12)</f>
        <v>0</v>
      </c>
      <c r="BH63" s="747">
        <f>$G63*$H63*(1+$K63)^MAX(ROUNDUP(IFERROR(DATEDIF($I63-1,BH$15+1,"m"),)/12,)-1,)*Index!BD$23*(BH$15&lt;=$J63)*(1-BH$12)</f>
        <v>0</v>
      </c>
      <c r="BI63" s="747">
        <f>$G63*$H63*(1+$K63)^MAX(ROUNDUP(IFERROR(DATEDIF($I63-1,BI$15+1,"m"),)/12,)-1,)*Index!BE$23*(BI$15&lt;=$J63)*(1-BI$12)</f>
        <v>0</v>
      </c>
      <c r="BJ63" s="747">
        <f>$G63*$H63*(1+$K63)^MAX(ROUNDUP(IFERROR(DATEDIF($I63-1,BJ$15+1,"m"),)/12,)-1,)*Index!BF$23*(BJ$15&lt;=$J63)*(1-BJ$12)</f>
        <v>0</v>
      </c>
      <c r="BK63" s="747">
        <f>$G63*$H63*(1+$K63)^MAX(ROUNDUP(IFERROR(DATEDIF($I63-1,BK$15+1,"m"),)/12,)-1,)*Index!BG$23*(BK$15&lt;=$J63)*(1-BK$12)</f>
        <v>0</v>
      </c>
      <c r="BL63" s="747">
        <f>$G63*$H63*(1+$K63)^MAX(ROUNDUP(IFERROR(DATEDIF($I63-1,BL$15+1,"m"),)/12,)-1,)*Index!BH$23*(BL$15&lt;=$J63)*(1-BL$12)</f>
        <v>0</v>
      </c>
      <c r="BM63" s="747">
        <f>$G63*$H63*(1+$K63)^MAX(ROUNDUP(IFERROR(DATEDIF($I63-1,BM$15+1,"m"),)/12,)-1,)*Index!BI$23*(BM$15&lt;=$J63)*(1-BM$12)</f>
        <v>0</v>
      </c>
      <c r="BN63" s="747">
        <f>$G63*$H63*(1+$K63)^MAX(ROUNDUP(IFERROR(DATEDIF($I63-1,BN$15+1,"m"),)/12,)-1,)*Index!BJ$23*(BN$15&lt;=$J63)*(1-BN$12)</f>
        <v>0</v>
      </c>
      <c r="BO63" s="747">
        <f>$G63*$H63*(1+$K63)^MAX(ROUNDUP(IFERROR(DATEDIF($I63-1,BO$15+1,"m"),)/12,)-1,)*Index!BK$23*(BO$15&lt;=$J63)*(1-BO$12)</f>
        <v>0</v>
      </c>
      <c r="BP63" s="747">
        <f>$G63*$H63*(1+$K63)^MAX(ROUNDUP(IFERROR(DATEDIF($I63-1,BP$15+1,"m"),)/12,)-1,)*Index!BL$23*(BP$15&lt;=$J63)*(1-BP$12)</f>
        <v>0</v>
      </c>
      <c r="BQ63" s="747">
        <f>$G63*$H63*(1+$K63)^MAX(ROUNDUP(IFERROR(DATEDIF($I63-1,BQ$15+1,"m"),)/12,)-1,)*Index!BM$23*(BQ$15&lt;=$J63)*(1-BQ$12)</f>
        <v>0</v>
      </c>
      <c r="BR63" s="747">
        <f>$G63*$H63*(1+$K63)^MAX(ROUNDUP(IFERROR(DATEDIF($I63-1,BR$15+1,"m"),)/12,)-1,)*Index!BN$23*(BR$15&lt;=$J63)*(1-BR$12)</f>
        <v>0</v>
      </c>
      <c r="BS63" s="747">
        <f>$G63*$H63*(1+$K63)^MAX(ROUNDUP(IFERROR(DATEDIF($I63-1,BS$15+1,"m"),)/12,)-1,)*Index!BO$23*(BS$15&lt;=$J63)*(1-BS$12)</f>
        <v>0</v>
      </c>
      <c r="BT63" s="747">
        <f>$G63*$H63*(1+$K63)^MAX(ROUNDUP(IFERROR(DATEDIF($I63-1,BT$15+1,"m"),)/12,)-1,)*Index!BP$23*(BT$15&lt;=$J63)*(1-BT$12)</f>
        <v>0</v>
      </c>
      <c r="BU63" s="747">
        <f>$G63*$H63*(1+$K63)^MAX(ROUNDUP(IFERROR(DATEDIF($I63-1,BU$15+1,"m"),)/12,)-1,)*Index!BQ$23*(BU$15&lt;=$J63)*(1-BU$12)</f>
        <v>0</v>
      </c>
      <c r="BV63" s="747">
        <f>$G63*$H63*(1+$K63)^MAX(ROUNDUP(IFERROR(DATEDIF($I63-1,BV$15+1,"m"),)/12,)-1,)*Index!BR$23*(BV$15&lt;=$J63)*(1-BV$12)</f>
        <v>0</v>
      </c>
      <c r="BW63" s="747">
        <f>$G63*$H63*(1+$K63)^MAX(ROUNDUP(IFERROR(DATEDIF($I63-1,BW$15+1,"m"),)/12,)-1,)*Index!BS$23*(BW$15&lt;=$J63)*(1-BW$12)</f>
        <v>0</v>
      </c>
      <c r="BX63" s="747">
        <f>$G63*$H63*(1+$K63)^MAX(ROUNDUP(IFERROR(DATEDIF($I63-1,BX$15+1,"m"),)/12,)-1,)*Index!BT$23*(BX$15&lt;=$J63)*(1-BX$12)</f>
        <v>0</v>
      </c>
      <c r="BY63" s="747">
        <f>$G63*$H63*(1+$K63)^MAX(ROUNDUP(IFERROR(DATEDIF($I63-1,BY$15+1,"m"),)/12,)-1,)*Index!BU$23*(BY$15&lt;=$J63)*(1-BY$12)</f>
        <v>0</v>
      </c>
      <c r="BZ63" s="747">
        <f>$G63*$H63*(1+$K63)^MAX(ROUNDUP(IFERROR(DATEDIF($I63-1,BZ$15+1,"m"),)/12,)-1,)*Index!BV$23*(BZ$15&lt;=$J63)*(1-BZ$12)</f>
        <v>0</v>
      </c>
      <c r="CA63" s="747">
        <f>$G63*$H63*(1+$K63)^MAX(ROUNDUP(IFERROR(DATEDIF($I63-1,CA$15+1,"m"),)/12,)-1,)*Index!BW$23*(CA$15&lt;=$J63)*(1-CA$12)</f>
        <v>0</v>
      </c>
      <c r="CB63" s="747">
        <f>$G63*$H63*(1+$K63)^MAX(ROUNDUP(IFERROR(DATEDIF($I63-1,CB$15+1,"m"),)/12,)-1,)*Index!BX$23*(CB$15&lt;=$J63)*(1-CB$12)</f>
        <v>0</v>
      </c>
      <c r="CC63" s="747">
        <f>$G63*$H63*(1+$K63)^MAX(ROUNDUP(IFERROR(DATEDIF($I63-1,CC$15+1,"m"),)/12,)-1,)*Index!BY$23*(CC$15&lt;=$J63)*(1-CC$12)</f>
        <v>0</v>
      </c>
      <c r="CD63" s="747">
        <f>$G63*$H63*(1+$K63)^MAX(ROUNDUP(IFERROR(DATEDIF($I63-1,CD$15+1,"m"),)/12,)-1,)*Index!BZ$23*(CD$15&lt;=$J63)*(1-CD$12)</f>
        <v>0</v>
      </c>
      <c r="CE63" s="747">
        <f>$G63*$H63*(1+$K63)^MAX(ROUNDUP(IFERROR(DATEDIF($I63-1,CE$15+1,"m"),)/12,)-1,)*Index!CA$23*(CE$15&lt;=$J63)*(1-CE$12)</f>
        <v>0</v>
      </c>
      <c r="CF63" s="747">
        <f>$G63*$H63*(1+$K63)^MAX(ROUNDUP(IFERROR(DATEDIF($I63-1,CF$15+1,"m"),)/12,)-1,)*Index!CB$23*(CF$15&lt;=$J63)*(1-CF$12)</f>
        <v>0</v>
      </c>
      <c r="CG63" s="747">
        <f>$G63*$H63*(1+$K63)^MAX(ROUNDUP(IFERROR(DATEDIF($I63-1,CG$15+1,"m"),)/12,)-1,)*Index!CC$23*(CG$15&lt;=$J63)*(1-CG$12)</f>
        <v>0</v>
      </c>
      <c r="CH63" s="747">
        <f>$G63*$H63*(1+$K63)^MAX(ROUNDUP(IFERROR(DATEDIF($I63-1,CH$15+1,"m"),)/12,)-1,)*Index!CD$23*(CH$15&lt;=$J63)*(1-CH$12)</f>
        <v>0</v>
      </c>
      <c r="CI63" s="747">
        <f>$G63*$H63*(1+$K63)^MAX(ROUNDUP(IFERROR(DATEDIF($I63-1,CI$15+1,"m"),)/12,)-1,)*Index!CE$23*(CI$15&lt;=$J63)*(1-CI$12)</f>
        <v>0</v>
      </c>
      <c r="CJ63" s="747">
        <f>$G63*$H63*(1+$K63)^MAX(ROUNDUP(IFERROR(DATEDIF($I63-1,CJ$15+1,"m"),)/12,)-1,)*Index!CF$23*(CJ$15&lt;=$J63)*(1-CJ$12)</f>
        <v>0</v>
      </c>
      <c r="CK63" s="747">
        <f>$G63*$H63*(1+$K63)^MAX(ROUNDUP(IFERROR(DATEDIF($I63-1,CK$15+1,"m"),)/12,)-1,)*Index!CG$23*(CK$15&lt;=$J63)*(1-CK$12)</f>
        <v>0</v>
      </c>
      <c r="CL63" s="747">
        <f>$G63*$H63*(1+$K63)^MAX(ROUNDUP(IFERROR(DATEDIF($I63-1,CL$15+1,"m"),)/12,)-1,)*Index!CH$23*(CL$15&lt;=$J63)*(1-CL$12)</f>
        <v>0</v>
      </c>
      <c r="CM63" s="747">
        <f>$G63*$H63*(1+$K63)^MAX(ROUNDUP(IFERROR(DATEDIF($I63-1,CM$15+1,"m"),)/12,)-1,)*Index!CI$23*(CM$15&lt;=$J63)*(1-CM$12)</f>
        <v>0</v>
      </c>
      <c r="CN63" s="747">
        <f>$G63*$H63*(1+$K63)^MAX(ROUNDUP(IFERROR(DATEDIF($I63-1,CN$15+1,"m"),)/12,)-1,)*Index!CJ$23*(CN$15&lt;=$J63)*(1-CN$12)</f>
        <v>0</v>
      </c>
      <c r="CO63" s="747">
        <f>$G63*$H63*(1+$K63)^MAX(ROUNDUP(IFERROR(DATEDIF($I63-1,CO$15+1,"m"),)/12,)-1,)*Index!CK$23*(CO$15&lt;=$J63)*(1-CO$12)</f>
        <v>0</v>
      </c>
      <c r="CP63" s="747">
        <f>$G63*$H63*(1+$K63)^MAX(ROUNDUP(IFERROR(DATEDIF($I63-1,CP$15+1,"m"),)/12,)-1,)*Index!CL$23*(CP$15&lt;=$J63)*(1-CP$12)</f>
        <v>0</v>
      </c>
      <c r="CQ63" s="747">
        <f>$G63*$H63*(1+$K63)^MAX(ROUNDUP(IFERROR(DATEDIF($I63-1,CQ$15+1,"m"),)/12,)-1,)*Index!CM$23*(CQ$15&lt;=$J63)*(1-CQ$12)</f>
        <v>0</v>
      </c>
      <c r="CR63" s="747">
        <f>$G63*$H63*(1+$K63)^MAX(ROUNDUP(IFERROR(DATEDIF($I63-1,CR$15+1,"m"),)/12,)-1,)*Index!CN$23*(CR$15&lt;=$J63)*(1-CR$12)</f>
        <v>0</v>
      </c>
      <c r="CS63" s="747">
        <f>$G63*$H63*(1+$K63)^MAX(ROUNDUP(IFERROR(DATEDIF($I63-1,CS$15+1,"m"),)/12,)-1,)*Index!CO$23*(CS$15&lt;=$J63)*(1-CS$12)</f>
        <v>0</v>
      </c>
      <c r="CT63" s="747">
        <f>$G63*$H63*(1+$K63)^MAX(ROUNDUP(IFERROR(DATEDIF($I63-1,CT$15+1,"m"),)/12,)-1,)*Index!CP$23*(CT$15&lt;=$J63)*(1-CT$12)</f>
        <v>0</v>
      </c>
      <c r="CU63" s="747">
        <f>$G63*$H63*(1+$K63)^MAX(ROUNDUP(IFERROR(DATEDIF($I63-1,CU$15+1,"m"),)/12,)-1,)*Index!CQ$23*(CU$15&lt;=$J63)*(1-CU$12)</f>
        <v>0</v>
      </c>
      <c r="CV63" s="747">
        <f>$G63*$H63*(1+$K63)^MAX(ROUNDUP(IFERROR(DATEDIF($I63-1,CV$15+1,"m"),)/12,)-1,)*Index!CR$23*(CV$15&lt;=$J63)*(1-CV$12)</f>
        <v>0</v>
      </c>
      <c r="CW63" s="747">
        <f>$G63*$H63*(1+$K63)^MAX(ROUNDUP(IFERROR(DATEDIF($I63-1,CW$15+1,"m"),)/12,)-1,)*Index!CS$23*(CW$15&lt;=$J63)*(1-CW$12)</f>
        <v>0</v>
      </c>
      <c r="CX63" s="747">
        <f>$G63*$H63*(1+$K63)^MAX(ROUNDUP(IFERROR(DATEDIF($I63-1,CX$15+1,"m"),)/12,)-1,)*Index!CT$23*(CX$15&lt;=$J63)*(1-CX$12)</f>
        <v>0</v>
      </c>
      <c r="CY63" s="747">
        <f>$G63*$H63*(1+$K63)^MAX(ROUNDUP(IFERROR(DATEDIF($I63-1,CY$15+1,"m"),)/12,)-1,)*Index!CU$23*(CY$15&lt;=$J63)*(1-CY$12)</f>
        <v>0</v>
      </c>
      <c r="CZ63" s="747">
        <f>$G63*$H63*(1+$K63)^MAX(ROUNDUP(IFERROR(DATEDIF($I63-1,CZ$15+1,"m"),)/12,)-1,)*Index!CV$23*(CZ$15&lt;=$J63)*(1-CZ$12)</f>
        <v>0</v>
      </c>
      <c r="DA63" s="747">
        <f>$G63*$H63*(1+$K63)^MAX(ROUNDUP(IFERROR(DATEDIF($I63-1,DA$15+1,"m"),)/12,)-1,)*Index!CW$23*(DA$15&lt;=$J63)*(1-DA$12)</f>
        <v>0</v>
      </c>
      <c r="DB63" s="747">
        <f>$G63*$H63*(1+$K63)^MAX(ROUNDUP(IFERROR(DATEDIF($I63-1,DB$15+1,"m"),)/12,)-1,)*Index!CX$23*(DB$15&lt;=$J63)*(1-DB$12)</f>
        <v>0</v>
      </c>
      <c r="DC63" s="747">
        <f>$G63*$H63*(1+$K63)^MAX(ROUNDUP(IFERROR(DATEDIF($I63-1,DC$15+1,"m"),)/12,)-1,)*Index!CY$23*(DC$15&lt;=$J63)*(1-DC$12)</f>
        <v>0</v>
      </c>
      <c r="DD63" s="747">
        <f>$G63*$H63*(1+$K63)^MAX(ROUNDUP(IFERROR(DATEDIF($I63-1,DD$15+1,"m"),)/12,)-1,)*Index!CZ$23*(DD$15&lt;=$J63)*(1-DD$12)</f>
        <v>0</v>
      </c>
      <c r="DE63" s="747">
        <f>$G63*$H63*(1+$K63)^MAX(ROUNDUP(IFERROR(DATEDIF($I63-1,DE$15+1,"m"),)/12,)-1,)*Index!DA$23*(DE$15&lt;=$J63)*(1-DE$12)</f>
        <v>0</v>
      </c>
      <c r="DF63" s="747">
        <f>$G63*$H63*(1+$K63)^MAX(ROUNDUP(IFERROR(DATEDIF($I63-1,DF$15+1,"m"),)/12,)-1,)*Index!DB$23*(DF$15&lt;=$J63)*(1-DF$12)</f>
        <v>0</v>
      </c>
      <c r="DG63" s="747">
        <f>$G63*$H63*(1+$K63)^MAX(ROUNDUP(IFERROR(DATEDIF($I63-1,DG$15+1,"m"),)/12,)-1,)*Index!DC$23*(DG$15&lt;=$J63)*(1-DG$12)</f>
        <v>0</v>
      </c>
      <c r="DH63" s="747">
        <f>$G63*$H63*(1+$K63)^MAX(ROUNDUP(IFERROR(DATEDIF($I63-1,DH$15+1,"m"),)/12,)-1,)*Index!DD$23*(DH$15&lt;=$J63)*(1-DH$12)</f>
        <v>0</v>
      </c>
      <c r="DI63" s="747">
        <f>$G63*$H63*(1+$K63)^MAX(ROUNDUP(IFERROR(DATEDIF($I63-1,DI$15+1,"m"),)/12,)-1,)*Index!DE$23*(DI$15&lt;=$J63)*(1-DI$12)</f>
        <v>0</v>
      </c>
      <c r="DJ63" s="747">
        <f>$G63*$H63*(1+$K63)^MAX(ROUNDUP(IFERROR(DATEDIF($I63-1,DJ$15+1,"m"),)/12,)-1,)*Index!DF$23*(DJ$15&lt;=$J63)*(1-DJ$12)</f>
        <v>0</v>
      </c>
      <c r="DK63" s="747">
        <f>$G63*$H63*(1+$K63)^MAX(ROUNDUP(IFERROR(DATEDIF($I63-1,DK$15+1,"m"),)/12,)-1,)*Index!DG$23*(DK$15&lt;=$J63)*(1-DK$12)</f>
        <v>0</v>
      </c>
      <c r="DL63" s="747">
        <f>$G63*$H63*(1+$K63)^MAX(ROUNDUP(IFERROR(DATEDIF($I63-1,DL$15+1,"m"),)/12,)-1,)*Index!DH$23*(DL$15&lt;=$J63)*(1-DL$12)</f>
        <v>0</v>
      </c>
      <c r="DM63" s="747">
        <f>$G63*$H63*(1+$K63)^MAX(ROUNDUP(IFERROR(DATEDIF($I63-1,DM$15+1,"m"),)/12,)-1,)*Index!DI$23*(DM$15&lt;=$J63)*(1-DM$12)</f>
        <v>0</v>
      </c>
      <c r="DN63" s="747">
        <f>$G63*$H63*(1+$K63)^MAX(ROUNDUP(IFERROR(DATEDIF($I63-1,DN$15+1,"m"),)/12,)-1,)*Index!DJ$23*(DN$15&lt;=$J63)*(1-DN$12)</f>
        <v>0</v>
      </c>
      <c r="DO63" s="747">
        <f>$G63*$H63*(1+$K63)^MAX(ROUNDUP(IFERROR(DATEDIF($I63-1,DO$15+1,"m"),)/12,)-1,)*Index!DK$23*(DO$15&lt;=$J63)*(1-DO$12)</f>
        <v>0</v>
      </c>
      <c r="DP63" s="747">
        <f>$G63*$H63*(1+$K63)^MAX(ROUNDUP(IFERROR(DATEDIF($I63-1,DP$15+1,"m"),)/12,)-1,)*Index!DL$23*(DP$15&lt;=$J63)*(1-DP$12)</f>
        <v>0</v>
      </c>
      <c r="DQ63" s="747">
        <f>$G63*$H63*(1+$K63)^MAX(ROUNDUP(IFERROR(DATEDIF($I63-1,DQ$15+1,"m"),)/12,)-1,)*Index!DM$23*(DQ$15&lt;=$J63)*(1-DQ$12)</f>
        <v>0</v>
      </c>
      <c r="DR63" s="747">
        <f>$G63*$H63*(1+$K63)^MAX(ROUNDUP(IFERROR(DATEDIF($I63-1,DR$15+1,"m"),)/12,)-1,)*Index!DN$23*(DR$15&lt;=$J63)*(1-DR$12)</f>
        <v>0</v>
      </c>
      <c r="DS63" s="747">
        <f>$G63*$H63*(1+$K63)^MAX(ROUNDUP(IFERROR(DATEDIF($I63-1,DS$15+1,"m"),)/12,)-1,)*Index!DO$23*(DS$15&lt;=$J63)*(1-DS$12)</f>
        <v>0</v>
      </c>
      <c r="DT63" s="747">
        <f>$G63*$H63*(1+$K63)^MAX(ROUNDUP(IFERROR(DATEDIF($I63-1,DT$15+1,"m"),)/12,)-1,)*Index!DP$23*(DT$15&lt;=$J63)*(1-DT$12)</f>
        <v>0</v>
      </c>
      <c r="DU63" s="747">
        <f>$G63*$H63*(1+$K63)^MAX(ROUNDUP(IFERROR(DATEDIF($I63-1,DU$15+1,"m"),)/12,)-1,)*Index!DQ$23*(DU$15&lt;=$J63)*(1-DU$12)</f>
        <v>0</v>
      </c>
      <c r="DV63" s="747">
        <f>$G63*$H63*(1+$K63)^MAX(ROUNDUP(IFERROR(DATEDIF($I63-1,DV$15+1,"m"),)/12,)-1,)*Index!DR$23*(DV$15&lt;=$J63)*(1-DV$12)</f>
        <v>0</v>
      </c>
      <c r="DW63" s="747">
        <f>$G63*$H63*(1+$K63)^MAX(ROUNDUP(IFERROR(DATEDIF($I63-1,DW$15+1,"m"),)/12,)-1,)*Index!DS$23*(DW$15&lt;=$J63)*(1-DW$12)</f>
        <v>0</v>
      </c>
      <c r="DX63" s="747">
        <f>$G63*$H63*(1+$K63)^MAX(ROUNDUP(IFERROR(DATEDIF($I63-1,DX$15+1,"m"),)/12,)-1,)*Index!DT$23*(DX$15&lt;=$J63)*(1-DX$12)</f>
        <v>0</v>
      </c>
      <c r="DY63" s="747">
        <f>$G63*$H63*(1+$K63)^MAX(ROUNDUP(IFERROR(DATEDIF($I63-1,DY$15+1,"m"),)/12,)-1,)*Index!DU$23*(DY$15&lt;=$J63)*(1-DY$12)</f>
        <v>0</v>
      </c>
      <c r="DZ63" s="747">
        <f>$G63*$H63*(1+$K63)^MAX(ROUNDUP(IFERROR(DATEDIF($I63-1,DZ$15+1,"m"),)/12,)-1,)*Index!DV$23*(DZ$15&lt;=$J63)*(1-DZ$12)</f>
        <v>0</v>
      </c>
      <c r="EA63" s="747">
        <f>$G63*$H63*(1+$K63)^MAX(ROUNDUP(IFERROR(DATEDIF($I63-1,EA$15+1,"m"),)/12,)-1,)*Index!DW$23*(EA$15&lt;=$J63)*(1-EA$12)</f>
        <v>0</v>
      </c>
      <c r="EB63" s="747">
        <f>$G63*$H63*(1+$K63)^MAX(ROUNDUP(IFERROR(DATEDIF($I63-1,EB$15+1,"m"),)/12,)-1,)*Index!DX$23*(EB$15&lt;=$J63)*(1-EB$12)</f>
        <v>0</v>
      </c>
      <c r="EC63" s="747">
        <f>$G63*$H63*(1+$K63)^MAX(ROUNDUP(IFERROR(DATEDIF($I63-1,EC$15+1,"m"),)/12,)-1,)*Index!DY$23*(EC$15&lt;=$J63)*(1-EC$12)</f>
        <v>0</v>
      </c>
      <c r="ED63" s="747">
        <f>$G63*$H63*(1+$K63)^MAX(ROUNDUP(IFERROR(DATEDIF($I63-1,ED$15+1,"m"),)/12,)-1,)*Index!DZ$23*(ED$15&lt;=$J63)*(1-ED$12)</f>
        <v>0</v>
      </c>
      <c r="EE63" s="747">
        <f>$G63*$H63*(1+$K63)^MAX(ROUNDUP(IFERROR(DATEDIF($I63-1,EE$15+1,"m"),)/12,)-1,)*Index!EA$23*(EE$15&lt;=$J63)*(1-EE$12)</f>
        <v>0</v>
      </c>
      <c r="EF63" s="747">
        <f>$G63*$H63*(1+$K63)^MAX(ROUNDUP(IFERROR(DATEDIF($I63-1,EF$15+1,"m"),)/12,)-1,)*Index!EB$23*(EF$15&lt;=$J63)*(1-EF$12)</f>
        <v>0</v>
      </c>
      <c r="EG63" s="747">
        <f>$G63*$H63*(1+$K63)^MAX(ROUNDUP(IFERROR(DATEDIF($I63-1,EG$15+1,"m"),)/12,)-1,)*Index!EC$23*(EG$15&lt;=$J63)*(1-EG$12)</f>
        <v>0</v>
      </c>
      <c r="EH63" s="747">
        <f>$G63*$H63*(1+$K63)^MAX(ROUNDUP(IFERROR(DATEDIF($I63-1,EH$15+1,"m"),)/12,)-1,)*Index!ED$23*(EH$15&lt;=$J63)*(1-EH$12)</f>
        <v>0</v>
      </c>
      <c r="EI63" s="747">
        <f>$G63*$H63*(1+$K63)^MAX(ROUNDUP(IFERROR(DATEDIF($I63-1,EI$15+1,"m"),)/12,)-1,)*Index!EE$23*(EI$15&lt;=$J63)*(1-EI$12)</f>
        <v>0</v>
      </c>
      <c r="EJ63" s="747">
        <f>$G63*$H63*(1+$K63)^MAX(ROUNDUP(IFERROR(DATEDIF($I63-1,EJ$15+1,"m"),)/12,)-1,)*Index!EF$23*(EJ$15&lt;=$J63)*(1-EJ$12)</f>
        <v>0</v>
      </c>
      <c r="EK63" s="747">
        <f>$G63*$H63*(1+$K63)^MAX(ROUNDUP(IFERROR(DATEDIF($I63-1,EK$15+1,"m"),)/12,)-1,)*Index!EG$23*(EK$15&lt;=$J63)*(1-EK$12)</f>
        <v>0</v>
      </c>
      <c r="EL63" s="747">
        <f>$G63*$H63*(1+$K63)^MAX(ROUNDUP(IFERROR(DATEDIF($I63-1,EL$15+1,"m"),)/12,)-1,)*Index!EH$23*(EL$15&lt;=$J63)*(1-EL$12)</f>
        <v>0</v>
      </c>
      <c r="EM63" s="747">
        <f>$G63*$H63*(1+$K63)^MAX(ROUNDUP(IFERROR(DATEDIF($I63-1,EM$15+1,"m"),)/12,)-1,)*Index!EI$23*(EM$15&lt;=$J63)*(1-EM$12)</f>
        <v>0</v>
      </c>
      <c r="EN63" s="747">
        <f>$G63*$H63*(1+$K63)^MAX(ROUNDUP(IFERROR(DATEDIF($I63-1,EN$15+1,"m"),)/12,)-1,)*Index!EJ$23*(EN$15&lt;=$J63)*(1-EN$12)</f>
        <v>0</v>
      </c>
      <c r="EO63" s="747">
        <f>$G63*$H63*(1+$K63)^MAX(ROUNDUP(IFERROR(DATEDIF($I63-1,EO$15+1,"m"),)/12,)-1,)*Index!EK$23*(EO$15&lt;=$J63)*(1-EO$12)</f>
        <v>0</v>
      </c>
      <c r="EP63" s="747">
        <f>$G63*$H63*(1+$K63)^MAX(ROUNDUP(IFERROR(DATEDIF($I63-1,EP$15+1,"m"),)/12,)-1,)*Index!EL$23*(EP$15&lt;=$J63)*(1-EP$12)</f>
        <v>0</v>
      </c>
      <c r="EQ63" s="747">
        <f>$G63*$H63*(1+$K63)^MAX(ROUNDUP(IFERROR(DATEDIF($I63-1,EQ$15+1,"m"),)/12,)-1,)*Index!EM$23*(EQ$15&lt;=$J63)*(1-EQ$12)</f>
        <v>0</v>
      </c>
      <c r="ER63" s="747">
        <f>$G63*$H63*(1+$K63)^MAX(ROUNDUP(IFERROR(DATEDIF($I63-1,ER$15+1,"m"),)/12,)-1,)*Index!EN$23*(ER$15&lt;=$J63)*(1-ER$12)</f>
        <v>0</v>
      </c>
      <c r="ES63" s="747">
        <f>$G63*$H63*(1+$K63)^MAX(ROUNDUP(IFERROR(DATEDIF($I63-1,ES$15+1,"m"),)/12,)-1,)*Index!EO$23*(ES$15&lt;=$J63)*(1-ES$12)</f>
        <v>0</v>
      </c>
      <c r="ET63" s="747">
        <f>$G63*$H63*(1+$K63)^MAX(ROUNDUP(IFERROR(DATEDIF($I63-1,ET$15+1,"m"),)/12,)-1,)*Index!EP$23*(ET$15&lt;=$J63)*(1-ET$12)</f>
        <v>0</v>
      </c>
      <c r="EU63" s="747">
        <f>$G63*$H63*(1+$K63)^MAX(ROUNDUP(IFERROR(DATEDIF($I63-1,EU$15+1,"m"),)/12,)-1,)*Index!EQ$23*(EU$15&lt;=$J63)*(1-EU$12)</f>
        <v>0</v>
      </c>
    </row>
    <row r="64" spans="3:151" ht="11.25" customHeight="1">
      <c r="C64" s="828"/>
      <c r="D64" s="743">
        <f t="shared" ref="D64:K64" si="31">D28</f>
        <v>1</v>
      </c>
      <c r="E64" s="704" t="str">
        <f t="shared" si="31"/>
        <v>지오영</v>
      </c>
      <c r="F64" s="704" t="str">
        <f t="shared" si="31"/>
        <v>상온창고</v>
      </c>
      <c r="G64" s="752">
        <f t="shared" si="31"/>
        <v>60</v>
      </c>
      <c r="H64" s="744">
        <f t="shared" si="31"/>
        <v>1092.94</v>
      </c>
      <c r="I64" s="745">
        <f t="shared" si="31"/>
        <v>45689</v>
      </c>
      <c r="J64" s="745">
        <f t="shared" si="31"/>
        <v>49340</v>
      </c>
      <c r="K64" s="754">
        <f t="shared" si="31"/>
        <v>2.5000000000000001E-2</v>
      </c>
      <c r="L64" s="711"/>
      <c r="M64" s="722"/>
      <c r="N64" s="747">
        <f t="shared" si="21"/>
        <v>0</v>
      </c>
      <c r="O64" s="733"/>
      <c r="P64" s="747">
        <f>$G64*$H64*(1+$K64)^MAX(ROUNDUP(IFERROR(DATEDIF($I64-1,P$15+1,"m"),)/12,)-1,)*Index!L$23*(P$15&lt;=$J64)*(1-P$12)</f>
        <v>0</v>
      </c>
      <c r="Q64" s="747">
        <f>$G64*$H64*(1+$K64)^MAX(ROUNDUP(IFERROR(DATEDIF($I64-1,Q$15+1,"m"),)/12,)-1,)*Index!M$23*(Q$15&lt;=$J64)*(1-Q$12)</f>
        <v>0</v>
      </c>
      <c r="R64" s="747">
        <f>$G64*$H64*(1+$K64)^MAX(ROUNDUP(IFERROR(DATEDIF($I64-1,R$15+1,"m"),)/12,)-1,)*Index!N$23*(R$15&lt;=$J64)*(1-R$12)</f>
        <v>0</v>
      </c>
      <c r="S64" s="747">
        <f>$G64*$H64*(1+$K64)^MAX(ROUNDUP(IFERROR(DATEDIF($I64-1,S$15+1,"m"),)/12,)-1,)*Index!O$23*(S$15&lt;=$J64)*(1-S$12)</f>
        <v>0</v>
      </c>
      <c r="T64" s="747">
        <f>$G64*$H64*(1+$K64)^MAX(ROUNDUP(IFERROR(DATEDIF($I64-1,T$15+1,"m"),)/12,)-1,)*Index!P$23*(T$15&lt;=$J64)*(1-T$12)</f>
        <v>0</v>
      </c>
      <c r="U64" s="747">
        <f>$G64*$H64*(1+$K64)^MAX(ROUNDUP(IFERROR(DATEDIF($I64-1,U$15+1,"m"),)/12,)-1,)*Index!Q$23*(U$15&lt;=$J64)*(1-U$12)</f>
        <v>0</v>
      </c>
      <c r="V64" s="747">
        <f>$G64*$H64*(1+$K64)^MAX(ROUNDUP(IFERROR(DATEDIF($I64-1,V$15+1,"m"),)/12,)-1,)*Index!R$23*(V$15&lt;=$J64)*(1-V$12)</f>
        <v>0</v>
      </c>
      <c r="W64" s="747">
        <f>$G64*$H64*(1+$K64)^MAX(ROUNDUP(IFERROR(DATEDIF($I64-1,W$15+1,"m"),)/12,)-1,)*Index!S$23*(W$15&lt;=$J64)*(1-W$12)</f>
        <v>0</v>
      </c>
      <c r="X64" s="747">
        <f>$G64*$H64*(1+$K64)^MAX(ROUNDUP(IFERROR(DATEDIF($I64-1,X$15+1,"m"),)/12,)-1,)*Index!T$23*(X$15&lt;=$J64)*(1-X$12)</f>
        <v>0</v>
      </c>
      <c r="Y64" s="747">
        <f>$G64*$H64*(1+$K64)^MAX(ROUNDUP(IFERROR(DATEDIF($I64-1,Y$15+1,"m"),)/12,)-1,)*Index!U$23*(Y$15&lt;=$J64)*(1-Y$12)</f>
        <v>0</v>
      </c>
      <c r="Z64" s="747">
        <f>$G64*$H64*(1+$K64)^MAX(ROUNDUP(IFERROR(DATEDIF($I64-1,Z$15+1,"m"),)/12,)-1,)*Index!V$23*(Z$15&lt;=$J64)*(1-Z$12)</f>
        <v>0</v>
      </c>
      <c r="AA64" s="747">
        <f>$G64*$H64*(1+$K64)^MAX(ROUNDUP(IFERROR(DATEDIF($I64-1,AA$15+1,"m"),)/12,)-1,)*Index!W$23*(AA$15&lt;=$J64)*(1-AA$12)</f>
        <v>0</v>
      </c>
      <c r="AB64" s="747">
        <f>$G64*$H64*(1+$K64)^MAX(ROUNDUP(IFERROR(DATEDIF($I64-1,AB$15+1,"m"),)/12,)-1,)*Index!X$23*(AB$15&lt;=$J64)*(1-AB$12)</f>
        <v>0</v>
      </c>
      <c r="AC64" s="747">
        <f>$G64*$H64*(1+$K64)^MAX(ROUNDUP(IFERROR(DATEDIF($I64-1,AC$15+1,"m"),)/12,)-1,)*Index!Y$23*(AC$15&lt;=$J64)*(1-AC$12)</f>
        <v>0</v>
      </c>
      <c r="AD64" s="747">
        <f>$G64*$H64*(1+$K64)^MAX(ROUNDUP(IFERROR(DATEDIF($I64-1,AD$15+1,"m"),)/12,)-1,)*Index!Z$23*(AD$15&lt;=$J64)*(1-AD$12)</f>
        <v>0</v>
      </c>
      <c r="AE64" s="747">
        <f>$G64*$H64*(1+$K64)^MAX(ROUNDUP(IFERROR(DATEDIF($I64-1,AE$15+1,"m"),)/12,)-1,)*Index!AA$23*(AE$15&lt;=$J64)*(1-AE$12)</f>
        <v>0</v>
      </c>
      <c r="AF64" s="747">
        <f>$G64*$H64*(1+$K64)^MAX(ROUNDUP(IFERROR(DATEDIF($I64-1,AF$15+1,"m"),)/12,)-1,)*Index!AB$23*(AF$15&lt;=$J64)*(1-AF$12)</f>
        <v>0</v>
      </c>
      <c r="AG64" s="747">
        <f>$G64*$H64*(1+$K64)^MAX(ROUNDUP(IFERROR(DATEDIF($I64-1,AG$15+1,"m"),)/12,)-1,)*Index!AC$23*(AG$15&lt;=$J64)*(1-AG$12)</f>
        <v>0</v>
      </c>
      <c r="AH64" s="747">
        <f>$G64*$H64*(1+$K64)^MAX(ROUNDUP(IFERROR(DATEDIF($I64-1,AH$15+1,"m"),)/12,)-1,)*Index!AD$23*(AH$15&lt;=$J64)*(1-AH$12)</f>
        <v>0</v>
      </c>
      <c r="AI64" s="747">
        <f>$G64*$H64*(1+$K64)^MAX(ROUNDUP(IFERROR(DATEDIF($I64-1,AI$15+1,"m"),)/12,)-1,)*Index!AE$23*(AI$15&lt;=$J64)*(1-AI$12)</f>
        <v>0</v>
      </c>
      <c r="AJ64" s="747">
        <f>$G64*$H64*(1+$K64)^MAX(ROUNDUP(IFERROR(DATEDIF($I64-1,AJ$15+1,"m"),)/12,)-1,)*Index!AF$23*(AJ$15&lt;=$J64)*(1-AJ$12)</f>
        <v>0</v>
      </c>
      <c r="AK64" s="747">
        <f>$G64*$H64*(1+$K64)^MAX(ROUNDUP(IFERROR(DATEDIF($I64-1,AK$15+1,"m"),)/12,)-1,)*Index!AG$23*(AK$15&lt;=$J64)*(1-AK$12)</f>
        <v>0</v>
      </c>
      <c r="AL64" s="747">
        <f>$G64*$H64*(1+$K64)^MAX(ROUNDUP(IFERROR(DATEDIF($I64-1,AL$15+1,"m"),)/12,)-1,)*Index!AH$23*(AL$15&lt;=$J64)*(1-AL$12)</f>
        <v>0</v>
      </c>
      <c r="AM64" s="747">
        <f>$G64*$H64*(1+$K64)^MAX(ROUNDUP(IFERROR(DATEDIF($I64-1,AM$15+1,"m"),)/12,)-1,)*Index!AI$23*(AM$15&lt;=$J64)*(1-AM$12)</f>
        <v>0</v>
      </c>
      <c r="AN64" s="747">
        <f>$G64*$H64*(1+$K64)^MAX(ROUNDUP(IFERROR(DATEDIF($I64-1,AN$15+1,"m"),)/12,)-1,)*Index!AJ$23*(AN$15&lt;=$J64)*(1-AN$12)</f>
        <v>0</v>
      </c>
      <c r="AO64" s="747">
        <f>$G64*$H64*(1+$K64)^MAX(ROUNDUP(IFERROR(DATEDIF($I64-1,AO$15+1,"m"),)/12,)-1,)*Index!AK$23*(AO$15&lt;=$J64)*(1-AO$12)</f>
        <v>0</v>
      </c>
      <c r="AP64" s="747">
        <f>$G64*$H64*(1+$K64)^MAX(ROUNDUP(IFERROR(DATEDIF($I64-1,AP$15+1,"m"),)/12,)-1,)*Index!AL$23*(AP$15&lt;=$J64)*(1-AP$12)</f>
        <v>0</v>
      </c>
      <c r="AQ64" s="747">
        <f>$G64*$H64*(1+$K64)^MAX(ROUNDUP(IFERROR(DATEDIF($I64-1,AQ$15+1,"m"),)/12,)-1,)*Index!AM$23*(AQ$15&lt;=$J64)*(1-AQ$12)</f>
        <v>0</v>
      </c>
      <c r="AR64" s="747">
        <f>$G64*$H64*(1+$K64)^MAX(ROUNDUP(IFERROR(DATEDIF($I64-1,AR$15+1,"m"),)/12,)-1,)*Index!AN$23*(AR$15&lt;=$J64)*(1-AR$12)</f>
        <v>0</v>
      </c>
      <c r="AS64" s="747">
        <f>$G64*$H64*(1+$K64)^MAX(ROUNDUP(IFERROR(DATEDIF($I64-1,AS$15+1,"m"),)/12,)-1,)*Index!AO$23*(AS$15&lt;=$J64)*(1-AS$12)</f>
        <v>0</v>
      </c>
      <c r="AT64" s="747">
        <f>$G64*$H64*(1+$K64)^MAX(ROUNDUP(IFERROR(DATEDIF($I64-1,AT$15+1,"m"),)/12,)-1,)*Index!AP$23*(AT$15&lt;=$J64)*(1-AT$12)</f>
        <v>0</v>
      </c>
      <c r="AU64" s="747">
        <f>$G64*$H64*(1+$K64)^MAX(ROUNDUP(IFERROR(DATEDIF($I64-1,AU$15+1,"m"),)/12,)-1,)*Index!AQ$23*(AU$15&lt;=$J64)*(1-AU$12)</f>
        <v>0</v>
      </c>
      <c r="AV64" s="747">
        <f>$G64*$H64*(1+$K64)^MAX(ROUNDUP(IFERROR(DATEDIF($I64-1,AV$15+1,"m"),)/12,)-1,)*Index!AR$23*(AV$15&lt;=$J64)*(1-AV$12)</f>
        <v>0</v>
      </c>
      <c r="AW64" s="747">
        <f>$G64*$H64*(1+$K64)^MAX(ROUNDUP(IFERROR(DATEDIF($I64-1,AW$15+1,"m"),)/12,)-1,)*Index!AS$23*(AW$15&lt;=$J64)*(1-AW$12)</f>
        <v>0</v>
      </c>
      <c r="AX64" s="747">
        <f>$G64*$H64*(1+$K64)^MAX(ROUNDUP(IFERROR(DATEDIF($I64-1,AX$15+1,"m"),)/12,)-1,)*Index!AT$23*(AX$15&lt;=$J64)*(1-AX$12)</f>
        <v>0</v>
      </c>
      <c r="AY64" s="747">
        <f>$G64*$H64*(1+$K64)^MAX(ROUNDUP(IFERROR(DATEDIF($I64-1,AY$15+1,"m"),)/12,)-1,)*Index!AU$23*(AY$15&lt;=$J64)*(1-AY$12)</f>
        <v>0</v>
      </c>
      <c r="AZ64" s="747">
        <f>$G64*$H64*(1+$K64)^MAX(ROUNDUP(IFERROR(DATEDIF($I64-1,AZ$15+1,"m"),)/12,)-1,)*Index!AV$23*(AZ$15&lt;=$J64)*(1-AZ$12)</f>
        <v>0</v>
      </c>
      <c r="BA64" s="747">
        <f>$G64*$H64*(1+$K64)^MAX(ROUNDUP(IFERROR(DATEDIF($I64-1,BA$15+1,"m"),)/12,)-1,)*Index!AW$23*(BA$15&lt;=$J64)*(1-BA$12)</f>
        <v>0</v>
      </c>
      <c r="BB64" s="747">
        <f>$G64*$H64*(1+$K64)^MAX(ROUNDUP(IFERROR(DATEDIF($I64-1,BB$15+1,"m"),)/12,)-1,)*Index!AX$23*(BB$15&lt;=$J64)*(1-BB$12)</f>
        <v>0</v>
      </c>
      <c r="BC64" s="747">
        <f>$G64*$H64*(1+$K64)^MAX(ROUNDUP(IFERROR(DATEDIF($I64-1,BC$15+1,"m"),)/12,)-1,)*Index!AY$23*(BC$15&lt;=$J64)*(1-BC$12)</f>
        <v>0</v>
      </c>
      <c r="BD64" s="747">
        <f>$G64*$H64*(1+$K64)^MAX(ROUNDUP(IFERROR(DATEDIF($I64-1,BD$15+1,"m"),)/12,)-1,)*Index!AZ$23*(BD$15&lt;=$J64)*(1-BD$12)</f>
        <v>0</v>
      </c>
      <c r="BE64" s="747">
        <f>$G64*$H64*(1+$K64)^MAX(ROUNDUP(IFERROR(DATEDIF($I64-1,BE$15+1,"m"),)/12,)-1,)*Index!BA$23*(BE$15&lt;=$J64)*(1-BE$12)</f>
        <v>0</v>
      </c>
      <c r="BF64" s="747">
        <f>$G64*$H64*(1+$K64)^MAX(ROUNDUP(IFERROR(DATEDIF($I64-1,BF$15+1,"m"),)/12,)-1,)*Index!BB$23*(BF$15&lt;=$J64)*(1-BF$12)</f>
        <v>0</v>
      </c>
      <c r="BG64" s="747">
        <f>$G64*$H64*(1+$K64)^MAX(ROUNDUP(IFERROR(DATEDIF($I64-1,BG$15+1,"m"),)/12,)-1,)*Index!BC$23*(BG$15&lt;=$J64)*(1-BG$12)</f>
        <v>0</v>
      </c>
      <c r="BH64" s="747">
        <f>$G64*$H64*(1+$K64)^MAX(ROUNDUP(IFERROR(DATEDIF($I64-1,BH$15+1,"m"),)/12,)-1,)*Index!BD$23*(BH$15&lt;=$J64)*(1-BH$12)</f>
        <v>0</v>
      </c>
      <c r="BI64" s="747">
        <f>$G64*$H64*(1+$K64)^MAX(ROUNDUP(IFERROR(DATEDIF($I64-1,BI$15+1,"m"),)/12,)-1,)*Index!BE$23*(BI$15&lt;=$J64)*(1-BI$12)</f>
        <v>0</v>
      </c>
      <c r="BJ64" s="747">
        <f>$G64*$H64*(1+$K64)^MAX(ROUNDUP(IFERROR(DATEDIF($I64-1,BJ$15+1,"m"),)/12,)-1,)*Index!BF$23*(BJ$15&lt;=$J64)*(1-BJ$12)</f>
        <v>0</v>
      </c>
      <c r="BK64" s="747">
        <f>$G64*$H64*(1+$K64)^MAX(ROUNDUP(IFERROR(DATEDIF($I64-1,BK$15+1,"m"),)/12,)-1,)*Index!BG$23*(BK$15&lt;=$J64)*(1-BK$12)</f>
        <v>0</v>
      </c>
      <c r="BL64" s="747">
        <f>$G64*$H64*(1+$K64)^MAX(ROUNDUP(IFERROR(DATEDIF($I64-1,BL$15+1,"m"),)/12,)-1,)*Index!BH$23*(BL$15&lt;=$J64)*(1-BL$12)</f>
        <v>0</v>
      </c>
      <c r="BM64" s="747">
        <f>$G64*$H64*(1+$K64)^MAX(ROUNDUP(IFERROR(DATEDIF($I64-1,BM$15+1,"m"),)/12,)-1,)*Index!BI$23*(BM$15&lt;=$J64)*(1-BM$12)</f>
        <v>0</v>
      </c>
      <c r="BN64" s="747">
        <f>$G64*$H64*(1+$K64)^MAX(ROUNDUP(IFERROR(DATEDIF($I64-1,BN$15+1,"m"),)/12,)-1,)*Index!BJ$23*(BN$15&lt;=$J64)*(1-BN$12)</f>
        <v>0</v>
      </c>
      <c r="BO64" s="747">
        <f>$G64*$H64*(1+$K64)^MAX(ROUNDUP(IFERROR(DATEDIF($I64-1,BO$15+1,"m"),)/12,)-1,)*Index!BK$23*(BO$15&lt;=$J64)*(1-BO$12)</f>
        <v>0</v>
      </c>
      <c r="BP64" s="747">
        <f>$G64*$H64*(1+$K64)^MAX(ROUNDUP(IFERROR(DATEDIF($I64-1,BP$15+1,"m"),)/12,)-1,)*Index!BL$23*(BP$15&lt;=$J64)*(1-BP$12)</f>
        <v>0</v>
      </c>
      <c r="BQ64" s="747">
        <f>$G64*$H64*(1+$K64)^MAX(ROUNDUP(IFERROR(DATEDIF($I64-1,BQ$15+1,"m"),)/12,)-1,)*Index!BM$23*(BQ$15&lt;=$J64)*(1-BQ$12)</f>
        <v>0</v>
      </c>
      <c r="BR64" s="747">
        <f>$G64*$H64*(1+$K64)^MAX(ROUNDUP(IFERROR(DATEDIF($I64-1,BR$15+1,"m"),)/12,)-1,)*Index!BN$23*(BR$15&lt;=$J64)*(1-BR$12)</f>
        <v>0</v>
      </c>
      <c r="BS64" s="747">
        <f>$G64*$H64*(1+$K64)^MAX(ROUNDUP(IFERROR(DATEDIF($I64-1,BS$15+1,"m"),)/12,)-1,)*Index!BO$23*(BS$15&lt;=$J64)*(1-BS$12)</f>
        <v>0</v>
      </c>
      <c r="BT64" s="747">
        <f>$G64*$H64*(1+$K64)^MAX(ROUNDUP(IFERROR(DATEDIF($I64-1,BT$15+1,"m"),)/12,)-1,)*Index!BP$23*(BT$15&lt;=$J64)*(1-BT$12)</f>
        <v>0</v>
      </c>
      <c r="BU64" s="747">
        <f>$G64*$H64*(1+$K64)^MAX(ROUNDUP(IFERROR(DATEDIF($I64-1,BU$15+1,"m"),)/12,)-1,)*Index!BQ$23*(BU$15&lt;=$J64)*(1-BU$12)</f>
        <v>0</v>
      </c>
      <c r="BV64" s="747">
        <f>$G64*$H64*(1+$K64)^MAX(ROUNDUP(IFERROR(DATEDIF($I64-1,BV$15+1,"m"),)/12,)-1,)*Index!BR$23*(BV$15&lt;=$J64)*(1-BV$12)</f>
        <v>0</v>
      </c>
      <c r="BW64" s="747">
        <f>$G64*$H64*(1+$K64)^MAX(ROUNDUP(IFERROR(DATEDIF($I64-1,BW$15+1,"m"),)/12,)-1,)*Index!BS$23*(BW$15&lt;=$J64)*(1-BW$12)</f>
        <v>0</v>
      </c>
      <c r="BX64" s="747">
        <f>$G64*$H64*(1+$K64)^MAX(ROUNDUP(IFERROR(DATEDIF($I64-1,BX$15+1,"m"),)/12,)-1,)*Index!BT$23*(BX$15&lt;=$J64)*(1-BX$12)</f>
        <v>0</v>
      </c>
      <c r="BY64" s="747">
        <f>$G64*$H64*(1+$K64)^MAX(ROUNDUP(IFERROR(DATEDIF($I64-1,BY$15+1,"m"),)/12,)-1,)*Index!BU$23*(BY$15&lt;=$J64)*(1-BY$12)</f>
        <v>0</v>
      </c>
      <c r="BZ64" s="747">
        <f>$G64*$H64*(1+$K64)^MAX(ROUNDUP(IFERROR(DATEDIF($I64-1,BZ$15+1,"m"),)/12,)-1,)*Index!BV$23*(BZ$15&lt;=$J64)*(1-BZ$12)</f>
        <v>0</v>
      </c>
      <c r="CA64" s="747">
        <f>$G64*$H64*(1+$K64)^MAX(ROUNDUP(IFERROR(DATEDIF($I64-1,CA$15+1,"m"),)/12,)-1,)*Index!BW$23*(CA$15&lt;=$J64)*(1-CA$12)</f>
        <v>0</v>
      </c>
      <c r="CB64" s="747">
        <f>$G64*$H64*(1+$K64)^MAX(ROUNDUP(IFERROR(DATEDIF($I64-1,CB$15+1,"m"),)/12,)-1,)*Index!BX$23*(CB$15&lt;=$J64)*(1-CB$12)</f>
        <v>0</v>
      </c>
      <c r="CC64" s="747">
        <f>$G64*$H64*(1+$K64)^MAX(ROUNDUP(IFERROR(DATEDIF($I64-1,CC$15+1,"m"),)/12,)-1,)*Index!BY$23*(CC$15&lt;=$J64)*(1-CC$12)</f>
        <v>0</v>
      </c>
      <c r="CD64" s="747">
        <f>$G64*$H64*(1+$K64)^MAX(ROUNDUP(IFERROR(DATEDIF($I64-1,CD$15+1,"m"),)/12,)-1,)*Index!BZ$23*(CD$15&lt;=$J64)*(1-CD$12)</f>
        <v>0</v>
      </c>
      <c r="CE64" s="747">
        <f>$G64*$H64*(1+$K64)^MAX(ROUNDUP(IFERROR(DATEDIF($I64-1,CE$15+1,"m"),)/12,)-1,)*Index!CA$23*(CE$15&lt;=$J64)*(1-CE$12)</f>
        <v>0</v>
      </c>
      <c r="CF64" s="747">
        <f>$G64*$H64*(1+$K64)^MAX(ROUNDUP(IFERROR(DATEDIF($I64-1,CF$15+1,"m"),)/12,)-1,)*Index!CB$23*(CF$15&lt;=$J64)*(1-CF$12)</f>
        <v>0</v>
      </c>
      <c r="CG64" s="747">
        <f>$G64*$H64*(1+$K64)^MAX(ROUNDUP(IFERROR(DATEDIF($I64-1,CG$15+1,"m"),)/12,)-1,)*Index!CC$23*(CG$15&lt;=$J64)*(1-CG$12)</f>
        <v>0</v>
      </c>
      <c r="CH64" s="747">
        <f>$G64*$H64*(1+$K64)^MAX(ROUNDUP(IFERROR(DATEDIF($I64-1,CH$15+1,"m"),)/12,)-1,)*Index!CD$23*(CH$15&lt;=$J64)*(1-CH$12)</f>
        <v>0</v>
      </c>
      <c r="CI64" s="747">
        <f>$G64*$H64*(1+$K64)^MAX(ROUNDUP(IFERROR(DATEDIF($I64-1,CI$15+1,"m"),)/12,)-1,)*Index!CE$23*(CI$15&lt;=$J64)*(1-CI$12)</f>
        <v>0</v>
      </c>
      <c r="CJ64" s="747">
        <f>$G64*$H64*(1+$K64)^MAX(ROUNDUP(IFERROR(DATEDIF($I64-1,CJ$15+1,"m"),)/12,)-1,)*Index!CF$23*(CJ$15&lt;=$J64)*(1-CJ$12)</f>
        <v>0</v>
      </c>
      <c r="CK64" s="747">
        <f>$G64*$H64*(1+$K64)^MAX(ROUNDUP(IFERROR(DATEDIF($I64-1,CK$15+1,"m"),)/12,)-1,)*Index!CG$23*(CK$15&lt;=$J64)*(1-CK$12)</f>
        <v>0</v>
      </c>
      <c r="CL64" s="747">
        <f>$G64*$H64*(1+$K64)^MAX(ROUNDUP(IFERROR(DATEDIF($I64-1,CL$15+1,"m"),)/12,)-1,)*Index!CH$23*(CL$15&lt;=$J64)*(1-CL$12)</f>
        <v>0</v>
      </c>
      <c r="CM64" s="747">
        <f>$G64*$H64*(1+$K64)^MAX(ROUNDUP(IFERROR(DATEDIF($I64-1,CM$15+1,"m"),)/12,)-1,)*Index!CI$23*(CM$15&lt;=$J64)*(1-CM$12)</f>
        <v>0</v>
      </c>
      <c r="CN64" s="747">
        <f>$G64*$H64*(1+$K64)^MAX(ROUNDUP(IFERROR(DATEDIF($I64-1,CN$15+1,"m"),)/12,)-1,)*Index!CJ$23*(CN$15&lt;=$J64)*(1-CN$12)</f>
        <v>0</v>
      </c>
      <c r="CO64" s="747">
        <f>$G64*$H64*(1+$K64)^MAX(ROUNDUP(IFERROR(DATEDIF($I64-1,CO$15+1,"m"),)/12,)-1,)*Index!CK$23*(CO$15&lt;=$J64)*(1-CO$12)</f>
        <v>0</v>
      </c>
      <c r="CP64" s="747">
        <f>$G64*$H64*(1+$K64)^MAX(ROUNDUP(IFERROR(DATEDIF($I64-1,CP$15+1,"m"),)/12,)-1,)*Index!CL$23*(CP$15&lt;=$J64)*(1-CP$12)</f>
        <v>0</v>
      </c>
      <c r="CQ64" s="747">
        <f>$G64*$H64*(1+$K64)^MAX(ROUNDUP(IFERROR(DATEDIF($I64-1,CQ$15+1,"m"),)/12,)-1,)*Index!CM$23*(CQ$15&lt;=$J64)*(1-CQ$12)</f>
        <v>0</v>
      </c>
      <c r="CR64" s="747">
        <f>$G64*$H64*(1+$K64)^MAX(ROUNDUP(IFERROR(DATEDIF($I64-1,CR$15+1,"m"),)/12,)-1,)*Index!CN$23*(CR$15&lt;=$J64)*(1-CR$12)</f>
        <v>0</v>
      </c>
      <c r="CS64" s="747">
        <f>$G64*$H64*(1+$K64)^MAX(ROUNDUP(IFERROR(DATEDIF($I64-1,CS$15+1,"m"),)/12,)-1,)*Index!CO$23*(CS$15&lt;=$J64)*(1-CS$12)</f>
        <v>0</v>
      </c>
      <c r="CT64" s="747">
        <f>$G64*$H64*(1+$K64)^MAX(ROUNDUP(IFERROR(DATEDIF($I64-1,CT$15+1,"m"),)/12,)-1,)*Index!CP$23*(CT$15&lt;=$J64)*(1-CT$12)</f>
        <v>0</v>
      </c>
      <c r="CU64" s="747">
        <f>$G64*$H64*(1+$K64)^MAX(ROUNDUP(IFERROR(DATEDIF($I64-1,CU$15+1,"m"),)/12,)-1,)*Index!CQ$23*(CU$15&lt;=$J64)*(1-CU$12)</f>
        <v>0</v>
      </c>
      <c r="CV64" s="747">
        <f>$G64*$H64*(1+$K64)^MAX(ROUNDUP(IFERROR(DATEDIF($I64-1,CV$15+1,"m"),)/12,)-1,)*Index!CR$23*(CV$15&lt;=$J64)*(1-CV$12)</f>
        <v>0</v>
      </c>
      <c r="CW64" s="747">
        <f>$G64*$H64*(1+$K64)^MAX(ROUNDUP(IFERROR(DATEDIF($I64-1,CW$15+1,"m"),)/12,)-1,)*Index!CS$23*(CW$15&lt;=$J64)*(1-CW$12)</f>
        <v>0</v>
      </c>
      <c r="CX64" s="747">
        <f>$G64*$H64*(1+$K64)^MAX(ROUNDUP(IFERROR(DATEDIF($I64-1,CX$15+1,"m"),)/12,)-1,)*Index!CT$23*(CX$15&lt;=$J64)*(1-CX$12)</f>
        <v>0</v>
      </c>
      <c r="CY64" s="747">
        <f>$G64*$H64*(1+$K64)^MAX(ROUNDUP(IFERROR(DATEDIF($I64-1,CY$15+1,"m"),)/12,)-1,)*Index!CU$23*(CY$15&lt;=$J64)*(1-CY$12)</f>
        <v>0</v>
      </c>
      <c r="CZ64" s="747">
        <f>$G64*$H64*(1+$K64)^MAX(ROUNDUP(IFERROR(DATEDIF($I64-1,CZ$15+1,"m"),)/12,)-1,)*Index!CV$23*(CZ$15&lt;=$J64)*(1-CZ$12)</f>
        <v>0</v>
      </c>
      <c r="DA64" s="747">
        <f>$G64*$H64*(1+$K64)^MAX(ROUNDUP(IFERROR(DATEDIF($I64-1,DA$15+1,"m"),)/12,)-1,)*Index!CW$23*(DA$15&lt;=$J64)*(1-DA$12)</f>
        <v>0</v>
      </c>
      <c r="DB64" s="747">
        <f>$G64*$H64*(1+$K64)^MAX(ROUNDUP(IFERROR(DATEDIF($I64-1,DB$15+1,"m"),)/12,)-1,)*Index!CX$23*(DB$15&lt;=$J64)*(1-DB$12)</f>
        <v>0</v>
      </c>
      <c r="DC64" s="747">
        <f>$G64*$H64*(1+$K64)^MAX(ROUNDUP(IFERROR(DATEDIF($I64-1,DC$15+1,"m"),)/12,)-1,)*Index!CY$23*(DC$15&lt;=$J64)*(1-DC$12)</f>
        <v>0</v>
      </c>
      <c r="DD64" s="747">
        <f>$G64*$H64*(1+$K64)^MAX(ROUNDUP(IFERROR(DATEDIF($I64-1,DD$15+1,"m"),)/12,)-1,)*Index!CZ$23*(DD$15&lt;=$J64)*(1-DD$12)</f>
        <v>0</v>
      </c>
      <c r="DE64" s="747">
        <f>$G64*$H64*(1+$K64)^MAX(ROUNDUP(IFERROR(DATEDIF($I64-1,DE$15+1,"m"),)/12,)-1,)*Index!DA$23*(DE$15&lt;=$J64)*(1-DE$12)</f>
        <v>0</v>
      </c>
      <c r="DF64" s="747">
        <f>$G64*$H64*(1+$K64)^MAX(ROUNDUP(IFERROR(DATEDIF($I64-1,DF$15+1,"m"),)/12,)-1,)*Index!DB$23*(DF$15&lt;=$J64)*(1-DF$12)</f>
        <v>0</v>
      </c>
      <c r="DG64" s="747">
        <f>$G64*$H64*(1+$K64)^MAX(ROUNDUP(IFERROR(DATEDIF($I64-1,DG$15+1,"m"),)/12,)-1,)*Index!DC$23*(DG$15&lt;=$J64)*(1-DG$12)</f>
        <v>0</v>
      </c>
      <c r="DH64" s="747">
        <f>$G64*$H64*(1+$K64)^MAX(ROUNDUP(IFERROR(DATEDIF($I64-1,DH$15+1,"m"),)/12,)-1,)*Index!DD$23*(DH$15&lt;=$J64)*(1-DH$12)</f>
        <v>0</v>
      </c>
      <c r="DI64" s="747">
        <f>$G64*$H64*(1+$K64)^MAX(ROUNDUP(IFERROR(DATEDIF($I64-1,DI$15+1,"m"),)/12,)-1,)*Index!DE$23*(DI$15&lt;=$J64)*(1-DI$12)</f>
        <v>0</v>
      </c>
      <c r="DJ64" s="747">
        <f>$G64*$H64*(1+$K64)^MAX(ROUNDUP(IFERROR(DATEDIF($I64-1,DJ$15+1,"m"),)/12,)-1,)*Index!DF$23*(DJ$15&lt;=$J64)*(1-DJ$12)</f>
        <v>0</v>
      </c>
      <c r="DK64" s="747">
        <f>$G64*$H64*(1+$K64)^MAX(ROUNDUP(IFERROR(DATEDIF($I64-1,DK$15+1,"m"),)/12,)-1,)*Index!DG$23*(DK$15&lt;=$J64)*(1-DK$12)</f>
        <v>0</v>
      </c>
      <c r="DL64" s="747">
        <f>$G64*$H64*(1+$K64)^MAX(ROUNDUP(IFERROR(DATEDIF($I64-1,DL$15+1,"m"),)/12,)-1,)*Index!DH$23*(DL$15&lt;=$J64)*(1-DL$12)</f>
        <v>0</v>
      </c>
      <c r="DM64" s="747">
        <f>$G64*$H64*(1+$K64)^MAX(ROUNDUP(IFERROR(DATEDIF($I64-1,DM$15+1,"m"),)/12,)-1,)*Index!DI$23*(DM$15&lt;=$J64)*(1-DM$12)</f>
        <v>0</v>
      </c>
      <c r="DN64" s="747">
        <f>$G64*$H64*(1+$K64)^MAX(ROUNDUP(IFERROR(DATEDIF($I64-1,DN$15+1,"m"),)/12,)-1,)*Index!DJ$23*(DN$15&lt;=$J64)*(1-DN$12)</f>
        <v>0</v>
      </c>
      <c r="DO64" s="747">
        <f>$G64*$H64*(1+$K64)^MAX(ROUNDUP(IFERROR(DATEDIF($I64-1,DO$15+1,"m"),)/12,)-1,)*Index!DK$23*(DO$15&lt;=$J64)*(1-DO$12)</f>
        <v>0</v>
      </c>
      <c r="DP64" s="747">
        <f>$G64*$H64*(1+$K64)^MAX(ROUNDUP(IFERROR(DATEDIF($I64-1,DP$15+1,"m"),)/12,)-1,)*Index!DL$23*(DP$15&lt;=$J64)*(1-DP$12)</f>
        <v>0</v>
      </c>
      <c r="DQ64" s="747">
        <f>$G64*$H64*(1+$K64)^MAX(ROUNDUP(IFERROR(DATEDIF($I64-1,DQ$15+1,"m"),)/12,)-1,)*Index!DM$23*(DQ$15&lt;=$J64)*(1-DQ$12)</f>
        <v>0</v>
      </c>
      <c r="DR64" s="747">
        <f>$G64*$H64*(1+$K64)^MAX(ROUNDUP(IFERROR(DATEDIF($I64-1,DR$15+1,"m"),)/12,)-1,)*Index!DN$23*(DR$15&lt;=$J64)*(1-DR$12)</f>
        <v>0</v>
      </c>
      <c r="DS64" s="747">
        <f>$G64*$H64*(1+$K64)^MAX(ROUNDUP(IFERROR(DATEDIF($I64-1,DS$15+1,"m"),)/12,)-1,)*Index!DO$23*(DS$15&lt;=$J64)*(1-DS$12)</f>
        <v>0</v>
      </c>
      <c r="DT64" s="747">
        <f>$G64*$H64*(1+$K64)^MAX(ROUNDUP(IFERROR(DATEDIF($I64-1,DT$15+1,"m"),)/12,)-1,)*Index!DP$23*(DT$15&lt;=$J64)*(1-DT$12)</f>
        <v>0</v>
      </c>
      <c r="DU64" s="747">
        <f>$G64*$H64*(1+$K64)^MAX(ROUNDUP(IFERROR(DATEDIF($I64-1,DU$15+1,"m"),)/12,)-1,)*Index!DQ$23*(DU$15&lt;=$J64)*(1-DU$12)</f>
        <v>0</v>
      </c>
      <c r="DV64" s="747">
        <f>$G64*$H64*(1+$K64)^MAX(ROUNDUP(IFERROR(DATEDIF($I64-1,DV$15+1,"m"),)/12,)-1,)*Index!DR$23*(DV$15&lt;=$J64)*(1-DV$12)</f>
        <v>0</v>
      </c>
      <c r="DW64" s="747">
        <f>$G64*$H64*(1+$K64)^MAX(ROUNDUP(IFERROR(DATEDIF($I64-1,DW$15+1,"m"),)/12,)-1,)*Index!DS$23*(DW$15&lt;=$J64)*(1-DW$12)</f>
        <v>0</v>
      </c>
      <c r="DX64" s="747">
        <f>$G64*$H64*(1+$K64)^MAX(ROUNDUP(IFERROR(DATEDIF($I64-1,DX$15+1,"m"),)/12,)-1,)*Index!DT$23*(DX$15&lt;=$J64)*(1-DX$12)</f>
        <v>0</v>
      </c>
      <c r="DY64" s="747">
        <f>$G64*$H64*(1+$K64)^MAX(ROUNDUP(IFERROR(DATEDIF($I64-1,DY$15+1,"m"),)/12,)-1,)*Index!DU$23*(DY$15&lt;=$J64)*(1-DY$12)</f>
        <v>0</v>
      </c>
      <c r="DZ64" s="747">
        <f>$G64*$H64*(1+$K64)^MAX(ROUNDUP(IFERROR(DATEDIF($I64-1,DZ$15+1,"m"),)/12,)-1,)*Index!DV$23*(DZ$15&lt;=$J64)*(1-DZ$12)</f>
        <v>0</v>
      </c>
      <c r="EA64" s="747">
        <f>$G64*$H64*(1+$K64)^MAX(ROUNDUP(IFERROR(DATEDIF($I64-1,EA$15+1,"m"),)/12,)-1,)*Index!DW$23*(EA$15&lt;=$J64)*(1-EA$12)</f>
        <v>0</v>
      </c>
      <c r="EB64" s="747">
        <f>$G64*$H64*(1+$K64)^MAX(ROUNDUP(IFERROR(DATEDIF($I64-1,EB$15+1,"m"),)/12,)-1,)*Index!DX$23*(EB$15&lt;=$J64)*(1-EB$12)</f>
        <v>0</v>
      </c>
      <c r="EC64" s="747">
        <f>$G64*$H64*(1+$K64)^MAX(ROUNDUP(IFERROR(DATEDIF($I64-1,EC$15+1,"m"),)/12,)-1,)*Index!DY$23*(EC$15&lt;=$J64)*(1-EC$12)</f>
        <v>0</v>
      </c>
      <c r="ED64" s="747">
        <f>$G64*$H64*(1+$K64)^MAX(ROUNDUP(IFERROR(DATEDIF($I64-1,ED$15+1,"m"),)/12,)-1,)*Index!DZ$23*(ED$15&lt;=$J64)*(1-ED$12)</f>
        <v>0</v>
      </c>
      <c r="EE64" s="747">
        <f>$G64*$H64*(1+$K64)^MAX(ROUNDUP(IFERROR(DATEDIF($I64-1,EE$15+1,"m"),)/12,)-1,)*Index!EA$23*(EE$15&lt;=$J64)*(1-EE$12)</f>
        <v>0</v>
      </c>
      <c r="EF64" s="747">
        <f>$G64*$H64*(1+$K64)^MAX(ROUNDUP(IFERROR(DATEDIF($I64-1,EF$15+1,"m"),)/12,)-1,)*Index!EB$23*(EF$15&lt;=$J64)*(1-EF$12)</f>
        <v>0</v>
      </c>
      <c r="EG64" s="747">
        <f>$G64*$H64*(1+$K64)^MAX(ROUNDUP(IFERROR(DATEDIF($I64-1,EG$15+1,"m"),)/12,)-1,)*Index!EC$23*(EG$15&lt;=$J64)*(1-EG$12)</f>
        <v>0</v>
      </c>
      <c r="EH64" s="747">
        <f>$G64*$H64*(1+$K64)^MAX(ROUNDUP(IFERROR(DATEDIF($I64-1,EH$15+1,"m"),)/12,)-1,)*Index!ED$23*(EH$15&lt;=$J64)*(1-EH$12)</f>
        <v>0</v>
      </c>
      <c r="EI64" s="747">
        <f>$G64*$H64*(1+$K64)^MAX(ROUNDUP(IFERROR(DATEDIF($I64-1,EI$15+1,"m"),)/12,)-1,)*Index!EE$23*(EI$15&lt;=$J64)*(1-EI$12)</f>
        <v>0</v>
      </c>
      <c r="EJ64" s="747">
        <f>$G64*$H64*(1+$K64)^MAX(ROUNDUP(IFERROR(DATEDIF($I64-1,EJ$15+1,"m"),)/12,)-1,)*Index!EF$23*(EJ$15&lt;=$J64)*(1-EJ$12)</f>
        <v>0</v>
      </c>
      <c r="EK64" s="747">
        <f>$G64*$H64*(1+$K64)^MAX(ROUNDUP(IFERROR(DATEDIF($I64-1,EK$15+1,"m"),)/12,)-1,)*Index!EG$23*(EK$15&lt;=$J64)*(1-EK$12)</f>
        <v>0</v>
      </c>
      <c r="EL64" s="747">
        <f>$G64*$H64*(1+$K64)^MAX(ROUNDUP(IFERROR(DATEDIF($I64-1,EL$15+1,"m"),)/12,)-1,)*Index!EH$23*(EL$15&lt;=$J64)*(1-EL$12)</f>
        <v>0</v>
      </c>
      <c r="EM64" s="747">
        <f>$G64*$H64*(1+$K64)^MAX(ROUNDUP(IFERROR(DATEDIF($I64-1,EM$15+1,"m"),)/12,)-1,)*Index!EI$23*(EM$15&lt;=$J64)*(1-EM$12)</f>
        <v>0</v>
      </c>
      <c r="EN64" s="747">
        <f>$G64*$H64*(1+$K64)^MAX(ROUNDUP(IFERROR(DATEDIF($I64-1,EN$15+1,"m"),)/12,)-1,)*Index!EJ$23*(EN$15&lt;=$J64)*(1-EN$12)</f>
        <v>0</v>
      </c>
      <c r="EO64" s="747">
        <f>$G64*$H64*(1+$K64)^MAX(ROUNDUP(IFERROR(DATEDIF($I64-1,EO$15+1,"m"),)/12,)-1,)*Index!EK$23*(EO$15&lt;=$J64)*(1-EO$12)</f>
        <v>0</v>
      </c>
      <c r="EP64" s="747">
        <f>$G64*$H64*(1+$K64)^MAX(ROUNDUP(IFERROR(DATEDIF($I64-1,EP$15+1,"m"),)/12,)-1,)*Index!EL$23*(EP$15&lt;=$J64)*(1-EP$12)</f>
        <v>0</v>
      </c>
      <c r="EQ64" s="747">
        <f>$G64*$H64*(1+$K64)^MAX(ROUNDUP(IFERROR(DATEDIF($I64-1,EQ$15+1,"m"),)/12,)-1,)*Index!EM$23*(EQ$15&lt;=$J64)*(1-EQ$12)</f>
        <v>0</v>
      </c>
      <c r="ER64" s="747">
        <f>$G64*$H64*(1+$K64)^MAX(ROUNDUP(IFERROR(DATEDIF($I64-1,ER$15+1,"m"),)/12,)-1,)*Index!EN$23*(ER$15&lt;=$J64)*(1-ER$12)</f>
        <v>0</v>
      </c>
      <c r="ES64" s="747">
        <f>$G64*$H64*(1+$K64)^MAX(ROUNDUP(IFERROR(DATEDIF($I64-1,ES$15+1,"m"),)/12,)-1,)*Index!EO$23*(ES$15&lt;=$J64)*(1-ES$12)</f>
        <v>0</v>
      </c>
      <c r="ET64" s="747">
        <f>$G64*$H64*(1+$K64)^MAX(ROUNDUP(IFERROR(DATEDIF($I64-1,ET$15+1,"m"),)/12,)-1,)*Index!EP$23*(ET$15&lt;=$J64)*(1-ET$12)</f>
        <v>0</v>
      </c>
      <c r="EU64" s="747">
        <f>$G64*$H64*(1+$K64)^MAX(ROUNDUP(IFERROR(DATEDIF($I64-1,EU$15+1,"m"),)/12,)-1,)*Index!EQ$23*(EU$15&lt;=$J64)*(1-EU$12)</f>
        <v>0</v>
      </c>
    </row>
    <row r="65" spans="3:151" ht="11.25" customHeight="1">
      <c r="C65" s="828"/>
      <c r="D65" s="743">
        <f t="shared" ref="D65:K65" si="32">D29</f>
        <v>1</v>
      </c>
      <c r="E65" s="704" t="str">
        <f t="shared" si="32"/>
        <v>용마로지스</v>
      </c>
      <c r="F65" s="704" t="str">
        <f t="shared" si="32"/>
        <v>상온창고</v>
      </c>
      <c r="G65" s="752">
        <f t="shared" si="32"/>
        <v>60</v>
      </c>
      <c r="H65" s="744">
        <f t="shared" si="32"/>
        <v>856.05</v>
      </c>
      <c r="I65" s="745">
        <f t="shared" si="32"/>
        <v>45612</v>
      </c>
      <c r="J65" s="745">
        <f t="shared" si="32"/>
        <v>47514</v>
      </c>
      <c r="K65" s="754">
        <f t="shared" si="32"/>
        <v>2.5000000000000001E-2</v>
      </c>
      <c r="L65" s="711"/>
      <c r="M65" s="722"/>
      <c r="N65" s="747">
        <f t="shared" si="21"/>
        <v>0</v>
      </c>
      <c r="O65" s="733"/>
      <c r="P65" s="747">
        <f>$G65*$H65*(1+$K65)^MAX(ROUNDUP(IFERROR(DATEDIF($I65-1,P$15+1,"m"),)/12,)-1,)*Index!L$23*(P$15&lt;=$J65)*(1-P$12)</f>
        <v>0</v>
      </c>
      <c r="Q65" s="747">
        <f>$G65*$H65*(1+$K65)^MAX(ROUNDUP(IFERROR(DATEDIF($I65-1,Q$15+1,"m"),)/12,)-1,)*Index!M$23*(Q$15&lt;=$J65)*(1-Q$12)</f>
        <v>0</v>
      </c>
      <c r="R65" s="747">
        <f>$G65*$H65*(1+$K65)^MAX(ROUNDUP(IFERROR(DATEDIF($I65-1,R$15+1,"m"),)/12,)-1,)*Index!N$23*(R$15&lt;=$J65)*(1-R$12)</f>
        <v>0</v>
      </c>
      <c r="S65" s="747">
        <f>$G65*$H65*(1+$K65)^MAX(ROUNDUP(IFERROR(DATEDIF($I65-1,S$15+1,"m"),)/12,)-1,)*Index!O$23*(S$15&lt;=$J65)*(1-S$12)</f>
        <v>0</v>
      </c>
      <c r="T65" s="747">
        <f>$G65*$H65*(1+$K65)^MAX(ROUNDUP(IFERROR(DATEDIF($I65-1,T$15+1,"m"),)/12,)-1,)*Index!P$23*(T$15&lt;=$J65)*(1-T$12)</f>
        <v>0</v>
      </c>
      <c r="U65" s="747">
        <f>$G65*$H65*(1+$K65)^MAX(ROUNDUP(IFERROR(DATEDIF($I65-1,U$15+1,"m"),)/12,)-1,)*Index!Q$23*(U$15&lt;=$J65)*(1-U$12)</f>
        <v>0</v>
      </c>
      <c r="V65" s="747">
        <f>$G65*$H65*(1+$K65)^MAX(ROUNDUP(IFERROR(DATEDIF($I65-1,V$15+1,"m"),)/12,)-1,)*Index!R$23*(V$15&lt;=$J65)*(1-V$12)</f>
        <v>0</v>
      </c>
      <c r="W65" s="747">
        <f>$G65*$H65*(1+$K65)^MAX(ROUNDUP(IFERROR(DATEDIF($I65-1,W$15+1,"m"),)/12,)-1,)*Index!S$23*(W$15&lt;=$J65)*(1-W$12)</f>
        <v>0</v>
      </c>
      <c r="X65" s="747">
        <f>$G65*$H65*(1+$K65)^MAX(ROUNDUP(IFERROR(DATEDIF($I65-1,X$15+1,"m"),)/12,)-1,)*Index!T$23*(X$15&lt;=$J65)*(1-X$12)</f>
        <v>0</v>
      </c>
      <c r="Y65" s="747">
        <f>$G65*$H65*(1+$K65)^MAX(ROUNDUP(IFERROR(DATEDIF($I65-1,Y$15+1,"m"),)/12,)-1,)*Index!U$23*(Y$15&lt;=$J65)*(1-Y$12)</f>
        <v>0</v>
      </c>
      <c r="Z65" s="747">
        <f>$G65*$H65*(1+$K65)^MAX(ROUNDUP(IFERROR(DATEDIF($I65-1,Z$15+1,"m"),)/12,)-1,)*Index!V$23*(Z$15&lt;=$J65)*(1-Z$12)</f>
        <v>0</v>
      </c>
      <c r="AA65" s="747">
        <f>$G65*$H65*(1+$K65)^MAX(ROUNDUP(IFERROR(DATEDIF($I65-1,AA$15+1,"m"),)/12,)-1,)*Index!W$23*(AA$15&lt;=$J65)*(1-AA$12)</f>
        <v>0</v>
      </c>
      <c r="AB65" s="747">
        <f>$G65*$H65*(1+$K65)^MAX(ROUNDUP(IFERROR(DATEDIF($I65-1,AB$15+1,"m"),)/12,)-1,)*Index!X$23*(AB$15&lt;=$J65)*(1-AB$12)</f>
        <v>0</v>
      </c>
      <c r="AC65" s="747">
        <f>$G65*$H65*(1+$K65)^MAX(ROUNDUP(IFERROR(DATEDIF($I65-1,AC$15+1,"m"),)/12,)-1,)*Index!Y$23*(AC$15&lt;=$J65)*(1-AC$12)</f>
        <v>0</v>
      </c>
      <c r="AD65" s="747">
        <f>$G65*$H65*(1+$K65)^MAX(ROUNDUP(IFERROR(DATEDIF($I65-1,AD$15+1,"m"),)/12,)-1,)*Index!Z$23*(AD$15&lt;=$J65)*(1-AD$12)</f>
        <v>0</v>
      </c>
      <c r="AE65" s="747">
        <f>$G65*$H65*(1+$K65)^MAX(ROUNDUP(IFERROR(DATEDIF($I65-1,AE$15+1,"m"),)/12,)-1,)*Index!AA$23*(AE$15&lt;=$J65)*(1-AE$12)</f>
        <v>0</v>
      </c>
      <c r="AF65" s="747">
        <f>$G65*$H65*(1+$K65)^MAX(ROUNDUP(IFERROR(DATEDIF($I65-1,AF$15+1,"m"),)/12,)-1,)*Index!AB$23*(AF$15&lt;=$J65)*(1-AF$12)</f>
        <v>0</v>
      </c>
      <c r="AG65" s="747">
        <f>$G65*$H65*(1+$K65)^MAX(ROUNDUP(IFERROR(DATEDIF($I65-1,AG$15+1,"m"),)/12,)-1,)*Index!AC$23*(AG$15&lt;=$J65)*(1-AG$12)</f>
        <v>0</v>
      </c>
      <c r="AH65" s="747">
        <f>$G65*$H65*(1+$K65)^MAX(ROUNDUP(IFERROR(DATEDIF($I65-1,AH$15+1,"m"),)/12,)-1,)*Index!AD$23*(AH$15&lt;=$J65)*(1-AH$12)</f>
        <v>0</v>
      </c>
      <c r="AI65" s="747">
        <f>$G65*$H65*(1+$K65)^MAX(ROUNDUP(IFERROR(DATEDIF($I65-1,AI$15+1,"m"),)/12,)-1,)*Index!AE$23*(AI$15&lt;=$J65)*(1-AI$12)</f>
        <v>0</v>
      </c>
      <c r="AJ65" s="747">
        <f>$G65*$H65*(1+$K65)^MAX(ROUNDUP(IFERROR(DATEDIF($I65-1,AJ$15+1,"m"),)/12,)-1,)*Index!AF$23*(AJ$15&lt;=$J65)*(1-AJ$12)</f>
        <v>0</v>
      </c>
      <c r="AK65" s="747">
        <f>$G65*$H65*(1+$K65)^MAX(ROUNDUP(IFERROR(DATEDIF($I65-1,AK$15+1,"m"),)/12,)-1,)*Index!AG$23*(AK$15&lt;=$J65)*(1-AK$12)</f>
        <v>0</v>
      </c>
      <c r="AL65" s="747">
        <f>$G65*$H65*(1+$K65)^MAX(ROUNDUP(IFERROR(DATEDIF($I65-1,AL$15+1,"m"),)/12,)-1,)*Index!AH$23*(AL$15&lt;=$J65)*(1-AL$12)</f>
        <v>0</v>
      </c>
      <c r="AM65" s="747">
        <f>$G65*$H65*(1+$K65)^MAX(ROUNDUP(IFERROR(DATEDIF($I65-1,AM$15+1,"m"),)/12,)-1,)*Index!AI$23*(AM$15&lt;=$J65)*(1-AM$12)</f>
        <v>0</v>
      </c>
      <c r="AN65" s="747">
        <f>$G65*$H65*(1+$K65)^MAX(ROUNDUP(IFERROR(DATEDIF($I65-1,AN$15+1,"m"),)/12,)-1,)*Index!AJ$23*(AN$15&lt;=$J65)*(1-AN$12)</f>
        <v>0</v>
      </c>
      <c r="AO65" s="747">
        <f>$G65*$H65*(1+$K65)^MAX(ROUNDUP(IFERROR(DATEDIF($I65-1,AO$15+1,"m"),)/12,)-1,)*Index!AK$23*(AO$15&lt;=$J65)*(1-AO$12)</f>
        <v>0</v>
      </c>
      <c r="AP65" s="747">
        <f>$G65*$H65*(1+$K65)^MAX(ROUNDUP(IFERROR(DATEDIF($I65-1,AP$15+1,"m"),)/12,)-1,)*Index!AL$23*(AP$15&lt;=$J65)*(1-AP$12)</f>
        <v>0</v>
      </c>
      <c r="AQ65" s="747">
        <f>$G65*$H65*(1+$K65)^MAX(ROUNDUP(IFERROR(DATEDIF($I65-1,AQ$15+1,"m"),)/12,)-1,)*Index!AM$23*(AQ$15&lt;=$J65)*(1-AQ$12)</f>
        <v>0</v>
      </c>
      <c r="AR65" s="747">
        <f>$G65*$H65*(1+$K65)^MAX(ROUNDUP(IFERROR(DATEDIF($I65-1,AR$15+1,"m"),)/12,)-1,)*Index!AN$23*(AR$15&lt;=$J65)*(1-AR$12)</f>
        <v>0</v>
      </c>
      <c r="AS65" s="747">
        <f>$G65*$H65*(1+$K65)^MAX(ROUNDUP(IFERROR(DATEDIF($I65-1,AS$15+1,"m"),)/12,)-1,)*Index!AO$23*(AS$15&lt;=$J65)*(1-AS$12)</f>
        <v>0</v>
      </c>
      <c r="AT65" s="747">
        <f>$G65*$H65*(1+$K65)^MAX(ROUNDUP(IFERROR(DATEDIF($I65-1,AT$15+1,"m"),)/12,)-1,)*Index!AP$23*(AT$15&lt;=$J65)*(1-AT$12)</f>
        <v>0</v>
      </c>
      <c r="AU65" s="747">
        <f>$G65*$H65*(1+$K65)^MAX(ROUNDUP(IFERROR(DATEDIF($I65-1,AU$15+1,"m"),)/12,)-1,)*Index!AQ$23*(AU$15&lt;=$J65)*(1-AU$12)</f>
        <v>0</v>
      </c>
      <c r="AV65" s="747">
        <f>$G65*$H65*(1+$K65)^MAX(ROUNDUP(IFERROR(DATEDIF($I65-1,AV$15+1,"m"),)/12,)-1,)*Index!AR$23*(AV$15&lt;=$J65)*(1-AV$12)</f>
        <v>0</v>
      </c>
      <c r="AW65" s="747">
        <f>$G65*$H65*(1+$K65)^MAX(ROUNDUP(IFERROR(DATEDIF($I65-1,AW$15+1,"m"),)/12,)-1,)*Index!AS$23*(AW$15&lt;=$J65)*(1-AW$12)</f>
        <v>0</v>
      </c>
      <c r="AX65" s="747">
        <f>$G65*$H65*(1+$K65)^MAX(ROUNDUP(IFERROR(DATEDIF($I65-1,AX$15+1,"m"),)/12,)-1,)*Index!AT$23*(AX$15&lt;=$J65)*(1-AX$12)</f>
        <v>0</v>
      </c>
      <c r="AY65" s="747">
        <f>$G65*$H65*(1+$K65)^MAX(ROUNDUP(IFERROR(DATEDIF($I65-1,AY$15+1,"m"),)/12,)-1,)*Index!AU$23*(AY$15&lt;=$J65)*(1-AY$12)</f>
        <v>0</v>
      </c>
      <c r="AZ65" s="747">
        <f>$G65*$H65*(1+$K65)^MAX(ROUNDUP(IFERROR(DATEDIF($I65-1,AZ$15+1,"m"),)/12,)-1,)*Index!AV$23*(AZ$15&lt;=$J65)*(1-AZ$12)</f>
        <v>0</v>
      </c>
      <c r="BA65" s="747">
        <f>$G65*$H65*(1+$K65)^MAX(ROUNDUP(IFERROR(DATEDIF($I65-1,BA$15+1,"m"),)/12,)-1,)*Index!AW$23*(BA$15&lt;=$J65)*(1-BA$12)</f>
        <v>0</v>
      </c>
      <c r="BB65" s="747">
        <f>$G65*$H65*(1+$K65)^MAX(ROUNDUP(IFERROR(DATEDIF($I65-1,BB$15+1,"m"),)/12,)-1,)*Index!AX$23*(BB$15&lt;=$J65)*(1-BB$12)</f>
        <v>0</v>
      </c>
      <c r="BC65" s="747">
        <f>$G65*$H65*(1+$K65)^MAX(ROUNDUP(IFERROR(DATEDIF($I65-1,BC$15+1,"m"),)/12,)-1,)*Index!AY$23*(BC$15&lt;=$J65)*(1-BC$12)</f>
        <v>0</v>
      </c>
      <c r="BD65" s="747">
        <f>$G65*$H65*(1+$K65)^MAX(ROUNDUP(IFERROR(DATEDIF($I65-1,BD$15+1,"m"),)/12,)-1,)*Index!AZ$23*(BD$15&lt;=$J65)*(1-BD$12)</f>
        <v>0</v>
      </c>
      <c r="BE65" s="747">
        <f>$G65*$H65*(1+$K65)^MAX(ROUNDUP(IFERROR(DATEDIF($I65-1,BE$15+1,"m"),)/12,)-1,)*Index!BA$23*(BE$15&lt;=$J65)*(1-BE$12)</f>
        <v>0</v>
      </c>
      <c r="BF65" s="747">
        <f>$G65*$H65*(1+$K65)^MAX(ROUNDUP(IFERROR(DATEDIF($I65-1,BF$15+1,"m"),)/12,)-1,)*Index!BB$23*(BF$15&lt;=$J65)*(1-BF$12)</f>
        <v>0</v>
      </c>
      <c r="BG65" s="747">
        <f>$G65*$H65*(1+$K65)^MAX(ROUNDUP(IFERROR(DATEDIF($I65-1,BG$15+1,"m"),)/12,)-1,)*Index!BC$23*(BG$15&lt;=$J65)*(1-BG$12)</f>
        <v>0</v>
      </c>
      <c r="BH65" s="747">
        <f>$G65*$H65*(1+$K65)^MAX(ROUNDUP(IFERROR(DATEDIF($I65-1,BH$15+1,"m"),)/12,)-1,)*Index!BD$23*(BH$15&lt;=$J65)*(1-BH$12)</f>
        <v>0</v>
      </c>
      <c r="BI65" s="747">
        <f>$G65*$H65*(1+$K65)^MAX(ROUNDUP(IFERROR(DATEDIF($I65-1,BI$15+1,"m"),)/12,)-1,)*Index!BE$23*(BI$15&lt;=$J65)*(1-BI$12)</f>
        <v>0</v>
      </c>
      <c r="BJ65" s="747">
        <f>$G65*$H65*(1+$K65)^MAX(ROUNDUP(IFERROR(DATEDIF($I65-1,BJ$15+1,"m"),)/12,)-1,)*Index!BF$23*(BJ$15&lt;=$J65)*(1-BJ$12)</f>
        <v>0</v>
      </c>
      <c r="BK65" s="747">
        <f>$G65*$H65*(1+$K65)^MAX(ROUNDUP(IFERROR(DATEDIF($I65-1,BK$15+1,"m"),)/12,)-1,)*Index!BG$23*(BK$15&lt;=$J65)*(1-BK$12)</f>
        <v>0</v>
      </c>
      <c r="BL65" s="747">
        <f>$G65*$H65*(1+$K65)^MAX(ROUNDUP(IFERROR(DATEDIF($I65-1,BL$15+1,"m"),)/12,)-1,)*Index!BH$23*(BL$15&lt;=$J65)*(1-BL$12)</f>
        <v>0</v>
      </c>
      <c r="BM65" s="747">
        <f>$G65*$H65*(1+$K65)^MAX(ROUNDUP(IFERROR(DATEDIF($I65-1,BM$15+1,"m"),)/12,)-1,)*Index!BI$23*(BM$15&lt;=$J65)*(1-BM$12)</f>
        <v>0</v>
      </c>
      <c r="BN65" s="747">
        <f>$G65*$H65*(1+$K65)^MAX(ROUNDUP(IFERROR(DATEDIF($I65-1,BN$15+1,"m"),)/12,)-1,)*Index!BJ$23*(BN$15&lt;=$J65)*(1-BN$12)</f>
        <v>0</v>
      </c>
      <c r="BO65" s="747">
        <f>$G65*$H65*(1+$K65)^MAX(ROUNDUP(IFERROR(DATEDIF($I65-1,BO$15+1,"m"),)/12,)-1,)*Index!BK$23*(BO$15&lt;=$J65)*(1-BO$12)</f>
        <v>0</v>
      </c>
      <c r="BP65" s="747">
        <f>$G65*$H65*(1+$K65)^MAX(ROUNDUP(IFERROR(DATEDIF($I65-1,BP$15+1,"m"),)/12,)-1,)*Index!BL$23*(BP$15&lt;=$J65)*(1-BP$12)</f>
        <v>0</v>
      </c>
      <c r="BQ65" s="747">
        <f>$G65*$H65*(1+$K65)^MAX(ROUNDUP(IFERROR(DATEDIF($I65-1,BQ$15+1,"m"),)/12,)-1,)*Index!BM$23*(BQ$15&lt;=$J65)*(1-BQ$12)</f>
        <v>0</v>
      </c>
      <c r="BR65" s="747">
        <f>$G65*$H65*(1+$K65)^MAX(ROUNDUP(IFERROR(DATEDIF($I65-1,BR$15+1,"m"),)/12,)-1,)*Index!BN$23*(BR$15&lt;=$J65)*(1-BR$12)</f>
        <v>0</v>
      </c>
      <c r="BS65" s="747">
        <f>$G65*$H65*(1+$K65)^MAX(ROUNDUP(IFERROR(DATEDIF($I65-1,BS$15+1,"m"),)/12,)-1,)*Index!BO$23*(BS$15&lt;=$J65)*(1-BS$12)</f>
        <v>0</v>
      </c>
      <c r="BT65" s="747">
        <f>$G65*$H65*(1+$K65)^MAX(ROUNDUP(IFERROR(DATEDIF($I65-1,BT$15+1,"m"),)/12,)-1,)*Index!BP$23*(BT$15&lt;=$J65)*(1-BT$12)</f>
        <v>0</v>
      </c>
      <c r="BU65" s="747">
        <f>$G65*$H65*(1+$K65)^MAX(ROUNDUP(IFERROR(DATEDIF($I65-1,BU$15+1,"m"),)/12,)-1,)*Index!BQ$23*(BU$15&lt;=$J65)*(1-BU$12)</f>
        <v>0</v>
      </c>
      <c r="BV65" s="747">
        <f>$G65*$H65*(1+$K65)^MAX(ROUNDUP(IFERROR(DATEDIF($I65-1,BV$15+1,"m"),)/12,)-1,)*Index!BR$23*(BV$15&lt;=$J65)*(1-BV$12)</f>
        <v>0</v>
      </c>
      <c r="BW65" s="747">
        <f>$G65*$H65*(1+$K65)^MAX(ROUNDUP(IFERROR(DATEDIF($I65-1,BW$15+1,"m"),)/12,)-1,)*Index!BS$23*(BW$15&lt;=$J65)*(1-BW$12)</f>
        <v>0</v>
      </c>
      <c r="BX65" s="747">
        <f>$G65*$H65*(1+$K65)^MAX(ROUNDUP(IFERROR(DATEDIF($I65-1,BX$15+1,"m"),)/12,)-1,)*Index!BT$23*(BX$15&lt;=$J65)*(1-BX$12)</f>
        <v>0</v>
      </c>
      <c r="BY65" s="747">
        <f>$G65*$H65*(1+$K65)^MAX(ROUNDUP(IFERROR(DATEDIF($I65-1,BY$15+1,"m"),)/12,)-1,)*Index!BU$23*(BY$15&lt;=$J65)*(1-BY$12)</f>
        <v>0</v>
      </c>
      <c r="BZ65" s="747">
        <f>$G65*$H65*(1+$K65)^MAX(ROUNDUP(IFERROR(DATEDIF($I65-1,BZ$15+1,"m"),)/12,)-1,)*Index!BV$23*(BZ$15&lt;=$J65)*(1-BZ$12)</f>
        <v>0</v>
      </c>
      <c r="CA65" s="747">
        <f>$G65*$H65*(1+$K65)^MAX(ROUNDUP(IFERROR(DATEDIF($I65-1,CA$15+1,"m"),)/12,)-1,)*Index!BW$23*(CA$15&lt;=$J65)*(1-CA$12)</f>
        <v>0</v>
      </c>
      <c r="CB65" s="747">
        <f>$G65*$H65*(1+$K65)^MAX(ROUNDUP(IFERROR(DATEDIF($I65-1,CB$15+1,"m"),)/12,)-1,)*Index!BX$23*(CB$15&lt;=$J65)*(1-CB$12)</f>
        <v>0</v>
      </c>
      <c r="CC65" s="747">
        <f>$G65*$H65*(1+$K65)^MAX(ROUNDUP(IFERROR(DATEDIF($I65-1,CC$15+1,"m"),)/12,)-1,)*Index!BY$23*(CC$15&lt;=$J65)*(1-CC$12)</f>
        <v>0</v>
      </c>
      <c r="CD65" s="747">
        <f>$G65*$H65*(1+$K65)^MAX(ROUNDUP(IFERROR(DATEDIF($I65-1,CD$15+1,"m"),)/12,)-1,)*Index!BZ$23*(CD$15&lt;=$J65)*(1-CD$12)</f>
        <v>0</v>
      </c>
      <c r="CE65" s="747">
        <f>$G65*$H65*(1+$K65)^MAX(ROUNDUP(IFERROR(DATEDIF($I65-1,CE$15+1,"m"),)/12,)-1,)*Index!CA$23*(CE$15&lt;=$J65)*(1-CE$12)</f>
        <v>0</v>
      </c>
      <c r="CF65" s="747">
        <f>$G65*$H65*(1+$K65)^MAX(ROUNDUP(IFERROR(DATEDIF($I65-1,CF$15+1,"m"),)/12,)-1,)*Index!CB$23*(CF$15&lt;=$J65)*(1-CF$12)</f>
        <v>0</v>
      </c>
      <c r="CG65" s="747">
        <f>$G65*$H65*(1+$K65)^MAX(ROUNDUP(IFERROR(DATEDIF($I65-1,CG$15+1,"m"),)/12,)-1,)*Index!CC$23*(CG$15&lt;=$J65)*(1-CG$12)</f>
        <v>0</v>
      </c>
      <c r="CH65" s="747">
        <f>$G65*$H65*(1+$K65)^MAX(ROUNDUP(IFERROR(DATEDIF($I65-1,CH$15+1,"m"),)/12,)-1,)*Index!CD$23*(CH$15&lt;=$J65)*(1-CH$12)</f>
        <v>0</v>
      </c>
      <c r="CI65" s="747">
        <f>$G65*$H65*(1+$K65)^MAX(ROUNDUP(IFERROR(DATEDIF($I65-1,CI$15+1,"m"),)/12,)-1,)*Index!CE$23*(CI$15&lt;=$J65)*(1-CI$12)</f>
        <v>0</v>
      </c>
      <c r="CJ65" s="747">
        <f>$G65*$H65*(1+$K65)^MAX(ROUNDUP(IFERROR(DATEDIF($I65-1,CJ$15+1,"m"),)/12,)-1,)*Index!CF$23*(CJ$15&lt;=$J65)*(1-CJ$12)</f>
        <v>0</v>
      </c>
      <c r="CK65" s="747">
        <f>$G65*$H65*(1+$K65)^MAX(ROUNDUP(IFERROR(DATEDIF($I65-1,CK$15+1,"m"),)/12,)-1,)*Index!CG$23*(CK$15&lt;=$J65)*(1-CK$12)</f>
        <v>0</v>
      </c>
      <c r="CL65" s="747">
        <f>$G65*$H65*(1+$K65)^MAX(ROUNDUP(IFERROR(DATEDIF($I65-1,CL$15+1,"m"),)/12,)-1,)*Index!CH$23*(CL$15&lt;=$J65)*(1-CL$12)</f>
        <v>0</v>
      </c>
      <c r="CM65" s="747">
        <f>$G65*$H65*(1+$K65)^MAX(ROUNDUP(IFERROR(DATEDIF($I65-1,CM$15+1,"m"),)/12,)-1,)*Index!CI$23*(CM$15&lt;=$J65)*(1-CM$12)</f>
        <v>0</v>
      </c>
      <c r="CN65" s="747">
        <f>$G65*$H65*(1+$K65)^MAX(ROUNDUP(IFERROR(DATEDIF($I65-1,CN$15+1,"m"),)/12,)-1,)*Index!CJ$23*(CN$15&lt;=$J65)*(1-CN$12)</f>
        <v>0</v>
      </c>
      <c r="CO65" s="747">
        <f>$G65*$H65*(1+$K65)^MAX(ROUNDUP(IFERROR(DATEDIF($I65-1,CO$15+1,"m"),)/12,)-1,)*Index!CK$23*(CO$15&lt;=$J65)*(1-CO$12)</f>
        <v>0</v>
      </c>
      <c r="CP65" s="747">
        <f>$G65*$H65*(1+$K65)^MAX(ROUNDUP(IFERROR(DATEDIF($I65-1,CP$15+1,"m"),)/12,)-1,)*Index!CL$23*(CP$15&lt;=$J65)*(1-CP$12)</f>
        <v>0</v>
      </c>
      <c r="CQ65" s="747">
        <f>$G65*$H65*(1+$K65)^MAX(ROUNDUP(IFERROR(DATEDIF($I65-1,CQ$15+1,"m"),)/12,)-1,)*Index!CM$23*(CQ$15&lt;=$J65)*(1-CQ$12)</f>
        <v>0</v>
      </c>
      <c r="CR65" s="747">
        <f>$G65*$H65*(1+$K65)^MAX(ROUNDUP(IFERROR(DATEDIF($I65-1,CR$15+1,"m"),)/12,)-1,)*Index!CN$23*(CR$15&lt;=$J65)*(1-CR$12)</f>
        <v>0</v>
      </c>
      <c r="CS65" s="747">
        <f>$G65*$H65*(1+$K65)^MAX(ROUNDUP(IFERROR(DATEDIF($I65-1,CS$15+1,"m"),)/12,)-1,)*Index!CO$23*(CS$15&lt;=$J65)*(1-CS$12)</f>
        <v>0</v>
      </c>
      <c r="CT65" s="747">
        <f>$G65*$H65*(1+$K65)^MAX(ROUNDUP(IFERROR(DATEDIF($I65-1,CT$15+1,"m"),)/12,)-1,)*Index!CP$23*(CT$15&lt;=$J65)*(1-CT$12)</f>
        <v>0</v>
      </c>
      <c r="CU65" s="747">
        <f>$G65*$H65*(1+$K65)^MAX(ROUNDUP(IFERROR(DATEDIF($I65-1,CU$15+1,"m"),)/12,)-1,)*Index!CQ$23*(CU$15&lt;=$J65)*(1-CU$12)</f>
        <v>0</v>
      </c>
      <c r="CV65" s="747">
        <f>$G65*$H65*(1+$K65)^MAX(ROUNDUP(IFERROR(DATEDIF($I65-1,CV$15+1,"m"),)/12,)-1,)*Index!CR$23*(CV$15&lt;=$J65)*(1-CV$12)</f>
        <v>0</v>
      </c>
      <c r="CW65" s="747">
        <f>$G65*$H65*(1+$K65)^MAX(ROUNDUP(IFERROR(DATEDIF($I65-1,CW$15+1,"m"),)/12,)-1,)*Index!CS$23*(CW$15&lt;=$J65)*(1-CW$12)</f>
        <v>0</v>
      </c>
      <c r="CX65" s="747">
        <f>$G65*$H65*(1+$K65)^MAX(ROUNDUP(IFERROR(DATEDIF($I65-1,CX$15+1,"m"),)/12,)-1,)*Index!CT$23*(CX$15&lt;=$J65)*(1-CX$12)</f>
        <v>0</v>
      </c>
      <c r="CY65" s="747">
        <f>$G65*$H65*(1+$K65)^MAX(ROUNDUP(IFERROR(DATEDIF($I65-1,CY$15+1,"m"),)/12,)-1,)*Index!CU$23*(CY$15&lt;=$J65)*(1-CY$12)</f>
        <v>0</v>
      </c>
      <c r="CZ65" s="747">
        <f>$G65*$H65*(1+$K65)^MAX(ROUNDUP(IFERROR(DATEDIF($I65-1,CZ$15+1,"m"),)/12,)-1,)*Index!CV$23*(CZ$15&lt;=$J65)*(1-CZ$12)</f>
        <v>0</v>
      </c>
      <c r="DA65" s="747">
        <f>$G65*$H65*(1+$K65)^MAX(ROUNDUP(IFERROR(DATEDIF($I65-1,DA$15+1,"m"),)/12,)-1,)*Index!CW$23*(DA$15&lt;=$J65)*(1-DA$12)</f>
        <v>0</v>
      </c>
      <c r="DB65" s="747">
        <f>$G65*$H65*(1+$K65)^MAX(ROUNDUP(IFERROR(DATEDIF($I65-1,DB$15+1,"m"),)/12,)-1,)*Index!CX$23*(DB$15&lt;=$J65)*(1-DB$12)</f>
        <v>0</v>
      </c>
      <c r="DC65" s="747">
        <f>$G65*$H65*(1+$K65)^MAX(ROUNDUP(IFERROR(DATEDIF($I65-1,DC$15+1,"m"),)/12,)-1,)*Index!CY$23*(DC$15&lt;=$J65)*(1-DC$12)</f>
        <v>0</v>
      </c>
      <c r="DD65" s="747">
        <f>$G65*$H65*(1+$K65)^MAX(ROUNDUP(IFERROR(DATEDIF($I65-1,DD$15+1,"m"),)/12,)-1,)*Index!CZ$23*(DD$15&lt;=$J65)*(1-DD$12)</f>
        <v>0</v>
      </c>
      <c r="DE65" s="747">
        <f>$G65*$H65*(1+$K65)^MAX(ROUNDUP(IFERROR(DATEDIF($I65-1,DE$15+1,"m"),)/12,)-1,)*Index!DA$23*(DE$15&lt;=$J65)*(1-DE$12)</f>
        <v>0</v>
      </c>
      <c r="DF65" s="747">
        <f>$G65*$H65*(1+$K65)^MAX(ROUNDUP(IFERROR(DATEDIF($I65-1,DF$15+1,"m"),)/12,)-1,)*Index!DB$23*(DF$15&lt;=$J65)*(1-DF$12)</f>
        <v>0</v>
      </c>
      <c r="DG65" s="747">
        <f>$G65*$H65*(1+$K65)^MAX(ROUNDUP(IFERROR(DATEDIF($I65-1,DG$15+1,"m"),)/12,)-1,)*Index!DC$23*(DG$15&lt;=$J65)*(1-DG$12)</f>
        <v>0</v>
      </c>
      <c r="DH65" s="747">
        <f>$G65*$H65*(1+$K65)^MAX(ROUNDUP(IFERROR(DATEDIF($I65-1,DH$15+1,"m"),)/12,)-1,)*Index!DD$23*(DH$15&lt;=$J65)*(1-DH$12)</f>
        <v>0</v>
      </c>
      <c r="DI65" s="747">
        <f>$G65*$H65*(1+$K65)^MAX(ROUNDUP(IFERROR(DATEDIF($I65-1,DI$15+1,"m"),)/12,)-1,)*Index!DE$23*(DI$15&lt;=$J65)*(1-DI$12)</f>
        <v>0</v>
      </c>
      <c r="DJ65" s="747">
        <f>$G65*$H65*(1+$K65)^MAX(ROUNDUP(IFERROR(DATEDIF($I65-1,DJ$15+1,"m"),)/12,)-1,)*Index!DF$23*(DJ$15&lt;=$J65)*(1-DJ$12)</f>
        <v>0</v>
      </c>
      <c r="DK65" s="747">
        <f>$G65*$H65*(1+$K65)^MAX(ROUNDUP(IFERROR(DATEDIF($I65-1,DK$15+1,"m"),)/12,)-1,)*Index!DG$23*(DK$15&lt;=$J65)*(1-DK$12)</f>
        <v>0</v>
      </c>
      <c r="DL65" s="747">
        <f>$G65*$H65*(1+$K65)^MAX(ROUNDUP(IFERROR(DATEDIF($I65-1,DL$15+1,"m"),)/12,)-1,)*Index!DH$23*(DL$15&lt;=$J65)*(1-DL$12)</f>
        <v>0</v>
      </c>
      <c r="DM65" s="747">
        <f>$G65*$H65*(1+$K65)^MAX(ROUNDUP(IFERROR(DATEDIF($I65-1,DM$15+1,"m"),)/12,)-1,)*Index!DI$23*(DM$15&lt;=$J65)*(1-DM$12)</f>
        <v>0</v>
      </c>
      <c r="DN65" s="747">
        <f>$G65*$H65*(1+$K65)^MAX(ROUNDUP(IFERROR(DATEDIF($I65-1,DN$15+1,"m"),)/12,)-1,)*Index!DJ$23*(DN$15&lt;=$J65)*(1-DN$12)</f>
        <v>0</v>
      </c>
      <c r="DO65" s="747">
        <f>$G65*$H65*(1+$K65)^MAX(ROUNDUP(IFERROR(DATEDIF($I65-1,DO$15+1,"m"),)/12,)-1,)*Index!DK$23*(DO$15&lt;=$J65)*(1-DO$12)</f>
        <v>0</v>
      </c>
      <c r="DP65" s="747">
        <f>$G65*$H65*(1+$K65)^MAX(ROUNDUP(IFERROR(DATEDIF($I65-1,DP$15+1,"m"),)/12,)-1,)*Index!DL$23*(DP$15&lt;=$J65)*(1-DP$12)</f>
        <v>0</v>
      </c>
      <c r="DQ65" s="747">
        <f>$G65*$H65*(1+$K65)^MAX(ROUNDUP(IFERROR(DATEDIF($I65-1,DQ$15+1,"m"),)/12,)-1,)*Index!DM$23*(DQ$15&lt;=$J65)*(1-DQ$12)</f>
        <v>0</v>
      </c>
      <c r="DR65" s="747">
        <f>$G65*$H65*(1+$K65)^MAX(ROUNDUP(IFERROR(DATEDIF($I65-1,DR$15+1,"m"),)/12,)-1,)*Index!DN$23*(DR$15&lt;=$J65)*(1-DR$12)</f>
        <v>0</v>
      </c>
      <c r="DS65" s="747">
        <f>$G65*$H65*(1+$K65)^MAX(ROUNDUP(IFERROR(DATEDIF($I65-1,DS$15+1,"m"),)/12,)-1,)*Index!DO$23*(DS$15&lt;=$J65)*(1-DS$12)</f>
        <v>0</v>
      </c>
      <c r="DT65" s="747">
        <f>$G65*$H65*(1+$K65)^MAX(ROUNDUP(IFERROR(DATEDIF($I65-1,DT$15+1,"m"),)/12,)-1,)*Index!DP$23*(DT$15&lt;=$J65)*(1-DT$12)</f>
        <v>0</v>
      </c>
      <c r="DU65" s="747">
        <f>$G65*$H65*(1+$K65)^MAX(ROUNDUP(IFERROR(DATEDIF($I65-1,DU$15+1,"m"),)/12,)-1,)*Index!DQ$23*(DU$15&lt;=$J65)*(1-DU$12)</f>
        <v>0</v>
      </c>
      <c r="DV65" s="747">
        <f>$G65*$H65*(1+$K65)^MAX(ROUNDUP(IFERROR(DATEDIF($I65-1,DV$15+1,"m"),)/12,)-1,)*Index!DR$23*(DV$15&lt;=$J65)*(1-DV$12)</f>
        <v>0</v>
      </c>
      <c r="DW65" s="747">
        <f>$G65*$H65*(1+$K65)^MAX(ROUNDUP(IFERROR(DATEDIF($I65-1,DW$15+1,"m"),)/12,)-1,)*Index!DS$23*(DW$15&lt;=$J65)*(1-DW$12)</f>
        <v>0</v>
      </c>
      <c r="DX65" s="747">
        <f>$G65*$H65*(1+$K65)^MAX(ROUNDUP(IFERROR(DATEDIF($I65-1,DX$15+1,"m"),)/12,)-1,)*Index!DT$23*(DX$15&lt;=$J65)*(1-DX$12)</f>
        <v>0</v>
      </c>
      <c r="DY65" s="747">
        <f>$G65*$H65*(1+$K65)^MAX(ROUNDUP(IFERROR(DATEDIF($I65-1,DY$15+1,"m"),)/12,)-1,)*Index!DU$23*(DY$15&lt;=$J65)*(1-DY$12)</f>
        <v>0</v>
      </c>
      <c r="DZ65" s="747">
        <f>$G65*$H65*(1+$K65)^MAX(ROUNDUP(IFERROR(DATEDIF($I65-1,DZ$15+1,"m"),)/12,)-1,)*Index!DV$23*(DZ$15&lt;=$J65)*(1-DZ$12)</f>
        <v>0</v>
      </c>
      <c r="EA65" s="747">
        <f>$G65*$H65*(1+$K65)^MAX(ROUNDUP(IFERROR(DATEDIF($I65-1,EA$15+1,"m"),)/12,)-1,)*Index!DW$23*(EA$15&lt;=$J65)*(1-EA$12)</f>
        <v>0</v>
      </c>
      <c r="EB65" s="747">
        <f>$G65*$H65*(1+$K65)^MAX(ROUNDUP(IFERROR(DATEDIF($I65-1,EB$15+1,"m"),)/12,)-1,)*Index!DX$23*(EB$15&lt;=$J65)*(1-EB$12)</f>
        <v>0</v>
      </c>
      <c r="EC65" s="747">
        <f>$G65*$H65*(1+$K65)^MAX(ROUNDUP(IFERROR(DATEDIF($I65-1,EC$15+1,"m"),)/12,)-1,)*Index!DY$23*(EC$15&lt;=$J65)*(1-EC$12)</f>
        <v>0</v>
      </c>
      <c r="ED65" s="747">
        <f>$G65*$H65*(1+$K65)^MAX(ROUNDUP(IFERROR(DATEDIF($I65-1,ED$15+1,"m"),)/12,)-1,)*Index!DZ$23*(ED$15&lt;=$J65)*(1-ED$12)</f>
        <v>0</v>
      </c>
      <c r="EE65" s="747">
        <f>$G65*$H65*(1+$K65)^MAX(ROUNDUP(IFERROR(DATEDIF($I65-1,EE$15+1,"m"),)/12,)-1,)*Index!EA$23*(EE$15&lt;=$J65)*(1-EE$12)</f>
        <v>0</v>
      </c>
      <c r="EF65" s="747">
        <f>$G65*$H65*(1+$K65)^MAX(ROUNDUP(IFERROR(DATEDIF($I65-1,EF$15+1,"m"),)/12,)-1,)*Index!EB$23*(EF$15&lt;=$J65)*(1-EF$12)</f>
        <v>0</v>
      </c>
      <c r="EG65" s="747">
        <f>$G65*$H65*(1+$K65)^MAX(ROUNDUP(IFERROR(DATEDIF($I65-1,EG$15+1,"m"),)/12,)-1,)*Index!EC$23*(EG$15&lt;=$J65)*(1-EG$12)</f>
        <v>0</v>
      </c>
      <c r="EH65" s="747">
        <f>$G65*$H65*(1+$K65)^MAX(ROUNDUP(IFERROR(DATEDIF($I65-1,EH$15+1,"m"),)/12,)-1,)*Index!ED$23*(EH$15&lt;=$J65)*(1-EH$12)</f>
        <v>0</v>
      </c>
      <c r="EI65" s="747">
        <f>$G65*$H65*(1+$K65)^MAX(ROUNDUP(IFERROR(DATEDIF($I65-1,EI$15+1,"m"),)/12,)-1,)*Index!EE$23*(EI$15&lt;=$J65)*(1-EI$12)</f>
        <v>0</v>
      </c>
      <c r="EJ65" s="747">
        <f>$G65*$H65*(1+$K65)^MAX(ROUNDUP(IFERROR(DATEDIF($I65-1,EJ$15+1,"m"),)/12,)-1,)*Index!EF$23*(EJ$15&lt;=$J65)*(1-EJ$12)</f>
        <v>0</v>
      </c>
      <c r="EK65" s="747">
        <f>$G65*$H65*(1+$K65)^MAX(ROUNDUP(IFERROR(DATEDIF($I65-1,EK$15+1,"m"),)/12,)-1,)*Index!EG$23*(EK$15&lt;=$J65)*(1-EK$12)</f>
        <v>0</v>
      </c>
      <c r="EL65" s="747">
        <f>$G65*$H65*(1+$K65)^MAX(ROUNDUP(IFERROR(DATEDIF($I65-1,EL$15+1,"m"),)/12,)-1,)*Index!EH$23*(EL$15&lt;=$J65)*(1-EL$12)</f>
        <v>0</v>
      </c>
      <c r="EM65" s="747">
        <f>$G65*$H65*(1+$K65)^MAX(ROUNDUP(IFERROR(DATEDIF($I65-1,EM$15+1,"m"),)/12,)-1,)*Index!EI$23*(EM$15&lt;=$J65)*(1-EM$12)</f>
        <v>0</v>
      </c>
      <c r="EN65" s="747">
        <f>$G65*$H65*(1+$K65)^MAX(ROUNDUP(IFERROR(DATEDIF($I65-1,EN$15+1,"m"),)/12,)-1,)*Index!EJ$23*(EN$15&lt;=$J65)*(1-EN$12)</f>
        <v>0</v>
      </c>
      <c r="EO65" s="747">
        <f>$G65*$H65*(1+$K65)^MAX(ROUNDUP(IFERROR(DATEDIF($I65-1,EO$15+1,"m"),)/12,)-1,)*Index!EK$23*(EO$15&lt;=$J65)*(1-EO$12)</f>
        <v>0</v>
      </c>
      <c r="EP65" s="747">
        <f>$G65*$H65*(1+$K65)^MAX(ROUNDUP(IFERROR(DATEDIF($I65-1,EP$15+1,"m"),)/12,)-1,)*Index!EL$23*(EP$15&lt;=$J65)*(1-EP$12)</f>
        <v>0</v>
      </c>
      <c r="EQ65" s="747">
        <f>$G65*$H65*(1+$K65)^MAX(ROUNDUP(IFERROR(DATEDIF($I65-1,EQ$15+1,"m"),)/12,)-1,)*Index!EM$23*(EQ$15&lt;=$J65)*(1-EQ$12)</f>
        <v>0</v>
      </c>
      <c r="ER65" s="747">
        <f>$G65*$H65*(1+$K65)^MAX(ROUNDUP(IFERROR(DATEDIF($I65-1,ER$15+1,"m"),)/12,)-1,)*Index!EN$23*(ER$15&lt;=$J65)*(1-ER$12)</f>
        <v>0</v>
      </c>
      <c r="ES65" s="747">
        <f>$G65*$H65*(1+$K65)^MAX(ROUNDUP(IFERROR(DATEDIF($I65-1,ES$15+1,"m"),)/12,)-1,)*Index!EO$23*(ES$15&lt;=$J65)*(1-ES$12)</f>
        <v>0</v>
      </c>
      <c r="ET65" s="747">
        <f>$G65*$H65*(1+$K65)^MAX(ROUNDUP(IFERROR(DATEDIF($I65-1,ET$15+1,"m"),)/12,)-1,)*Index!EP$23*(ET$15&lt;=$J65)*(1-ET$12)</f>
        <v>0</v>
      </c>
      <c r="EU65" s="747">
        <f>$G65*$H65*(1+$K65)^MAX(ROUNDUP(IFERROR(DATEDIF($I65-1,EU$15+1,"m"),)/12,)-1,)*Index!EQ$23*(EU$15&lt;=$J65)*(1-EU$12)</f>
        <v>0</v>
      </c>
    </row>
    <row r="66" spans="3:151" ht="11.25" customHeight="1">
      <c r="C66" s="828"/>
      <c r="D66" s="743" t="str">
        <f t="shared" ref="D66:K66" si="33">D30</f>
        <v>1F</v>
      </c>
      <c r="E66" s="704" t="str">
        <f t="shared" si="33"/>
        <v>아이팜</v>
      </c>
      <c r="F66" s="704" t="str">
        <f t="shared" si="33"/>
        <v>근린생활시설</v>
      </c>
      <c r="G66" s="752">
        <f t="shared" si="33"/>
        <v>60</v>
      </c>
      <c r="H66" s="744">
        <f t="shared" si="33"/>
        <v>17.29</v>
      </c>
      <c r="I66" s="745">
        <f t="shared" si="33"/>
        <v>45778</v>
      </c>
      <c r="J66" s="745">
        <f t="shared" si="33"/>
        <v>47603</v>
      </c>
      <c r="K66" s="754">
        <f t="shared" si="33"/>
        <v>2.5000000000000001E-2</v>
      </c>
      <c r="L66" s="748"/>
      <c r="M66" s="749"/>
      <c r="N66" s="747">
        <f t="shared" si="21"/>
        <v>0</v>
      </c>
      <c r="O66" s="733"/>
      <c r="P66" s="747">
        <f>$G66*$H66*(1+$K66)^MAX(ROUNDUP(IFERROR(DATEDIF($I66-1,P$15+1,"m"),)/12,)-1,)*Index!L$23*(P$15&lt;=$J66)*(1-P$12)</f>
        <v>0</v>
      </c>
      <c r="Q66" s="747">
        <f>$G66*$H66*(1+$K66)^MAX(ROUNDUP(IFERROR(DATEDIF($I66-1,Q$15+1,"m"),)/12,)-1,)*Index!M$23*(Q$15&lt;=$J66)*(1-Q$12)</f>
        <v>0</v>
      </c>
      <c r="R66" s="747">
        <f>$G66*$H66*(1+$K66)^MAX(ROUNDUP(IFERROR(DATEDIF($I66-1,R$15+1,"m"),)/12,)-1,)*Index!N$23*(R$15&lt;=$J66)*(1-R$12)</f>
        <v>0</v>
      </c>
      <c r="S66" s="747">
        <f>$G66*$H66*(1+$K66)^MAX(ROUNDUP(IFERROR(DATEDIF($I66-1,S$15+1,"m"),)/12,)-1,)*Index!O$23*(S$15&lt;=$J66)*(1-S$12)</f>
        <v>0</v>
      </c>
      <c r="T66" s="747">
        <f>$G66*$H66*(1+$K66)^MAX(ROUNDUP(IFERROR(DATEDIF($I66-1,T$15+1,"m"),)/12,)-1,)*Index!P$23*(T$15&lt;=$J66)*(1-T$12)</f>
        <v>0</v>
      </c>
      <c r="U66" s="747">
        <f>$G66*$H66*(1+$K66)^MAX(ROUNDUP(IFERROR(DATEDIF($I66-1,U$15+1,"m"),)/12,)-1,)*Index!Q$23*(U$15&lt;=$J66)*(1-U$12)</f>
        <v>0</v>
      </c>
      <c r="V66" s="747">
        <f>$G66*$H66*(1+$K66)^MAX(ROUNDUP(IFERROR(DATEDIF($I66-1,V$15+1,"m"),)/12,)-1,)*Index!R$23*(V$15&lt;=$J66)*(1-V$12)</f>
        <v>0</v>
      </c>
      <c r="W66" s="747">
        <f>$G66*$H66*(1+$K66)^MAX(ROUNDUP(IFERROR(DATEDIF($I66-1,W$15+1,"m"),)/12,)-1,)*Index!S$23*(W$15&lt;=$J66)*(1-W$12)</f>
        <v>0</v>
      </c>
      <c r="X66" s="747">
        <f>$G66*$H66*(1+$K66)^MAX(ROUNDUP(IFERROR(DATEDIF($I66-1,X$15+1,"m"),)/12,)-1,)*Index!T$23*(X$15&lt;=$J66)*(1-X$12)</f>
        <v>0</v>
      </c>
      <c r="Y66" s="747">
        <f>$G66*$H66*(1+$K66)^MAX(ROUNDUP(IFERROR(DATEDIF($I66-1,Y$15+1,"m"),)/12,)-1,)*Index!U$23*(Y$15&lt;=$J66)*(1-Y$12)</f>
        <v>0</v>
      </c>
      <c r="Z66" s="747">
        <f>$G66*$H66*(1+$K66)^MAX(ROUNDUP(IFERROR(DATEDIF($I66-1,Z$15+1,"m"),)/12,)-1,)*Index!V$23*(Z$15&lt;=$J66)*(1-Z$12)</f>
        <v>0</v>
      </c>
      <c r="AA66" s="747">
        <f>$G66*$H66*(1+$K66)^MAX(ROUNDUP(IFERROR(DATEDIF($I66-1,AA$15+1,"m"),)/12,)-1,)*Index!W$23*(AA$15&lt;=$J66)*(1-AA$12)</f>
        <v>0</v>
      </c>
      <c r="AB66" s="747">
        <f>$G66*$H66*(1+$K66)^MAX(ROUNDUP(IFERROR(DATEDIF($I66-1,AB$15+1,"m"),)/12,)-1,)*Index!X$23*(AB$15&lt;=$J66)*(1-AB$12)</f>
        <v>0</v>
      </c>
      <c r="AC66" s="747">
        <f>$G66*$H66*(1+$K66)^MAX(ROUNDUP(IFERROR(DATEDIF($I66-1,AC$15+1,"m"),)/12,)-1,)*Index!Y$23*(AC$15&lt;=$J66)*(1-AC$12)</f>
        <v>0</v>
      </c>
      <c r="AD66" s="747">
        <f>$G66*$H66*(1+$K66)^MAX(ROUNDUP(IFERROR(DATEDIF($I66-1,AD$15+1,"m"),)/12,)-1,)*Index!Z$23*(AD$15&lt;=$J66)*(1-AD$12)</f>
        <v>0</v>
      </c>
      <c r="AE66" s="747">
        <f>$G66*$H66*(1+$K66)^MAX(ROUNDUP(IFERROR(DATEDIF($I66-1,AE$15+1,"m"),)/12,)-1,)*Index!AA$23*(AE$15&lt;=$J66)*(1-AE$12)</f>
        <v>0</v>
      </c>
      <c r="AF66" s="747">
        <f>$G66*$H66*(1+$K66)^MAX(ROUNDUP(IFERROR(DATEDIF($I66-1,AF$15+1,"m"),)/12,)-1,)*Index!AB$23*(AF$15&lt;=$J66)*(1-AF$12)</f>
        <v>0</v>
      </c>
      <c r="AG66" s="747">
        <f>$G66*$H66*(1+$K66)^MAX(ROUNDUP(IFERROR(DATEDIF($I66-1,AG$15+1,"m"),)/12,)-1,)*Index!AC$23*(AG$15&lt;=$J66)*(1-AG$12)</f>
        <v>0</v>
      </c>
      <c r="AH66" s="747">
        <f>$G66*$H66*(1+$K66)^MAX(ROUNDUP(IFERROR(DATEDIF($I66-1,AH$15+1,"m"),)/12,)-1,)*Index!AD$23*(AH$15&lt;=$J66)*(1-AH$12)</f>
        <v>0</v>
      </c>
      <c r="AI66" s="747">
        <f>$G66*$H66*(1+$K66)^MAX(ROUNDUP(IFERROR(DATEDIF($I66-1,AI$15+1,"m"),)/12,)-1,)*Index!AE$23*(AI$15&lt;=$J66)*(1-AI$12)</f>
        <v>0</v>
      </c>
      <c r="AJ66" s="747">
        <f>$G66*$H66*(1+$K66)^MAX(ROUNDUP(IFERROR(DATEDIF($I66-1,AJ$15+1,"m"),)/12,)-1,)*Index!AF$23*(AJ$15&lt;=$J66)*(1-AJ$12)</f>
        <v>0</v>
      </c>
      <c r="AK66" s="747">
        <f>$G66*$H66*(1+$K66)^MAX(ROUNDUP(IFERROR(DATEDIF($I66-1,AK$15+1,"m"),)/12,)-1,)*Index!AG$23*(AK$15&lt;=$J66)*(1-AK$12)</f>
        <v>0</v>
      </c>
      <c r="AL66" s="747">
        <f>$G66*$H66*(1+$K66)^MAX(ROUNDUP(IFERROR(DATEDIF($I66-1,AL$15+1,"m"),)/12,)-1,)*Index!AH$23*(AL$15&lt;=$J66)*(1-AL$12)</f>
        <v>0</v>
      </c>
      <c r="AM66" s="747">
        <f>$G66*$H66*(1+$K66)^MAX(ROUNDUP(IFERROR(DATEDIF($I66-1,AM$15+1,"m"),)/12,)-1,)*Index!AI$23*(AM$15&lt;=$J66)*(1-AM$12)</f>
        <v>0</v>
      </c>
      <c r="AN66" s="747">
        <f>$G66*$H66*(1+$K66)^MAX(ROUNDUP(IFERROR(DATEDIF($I66-1,AN$15+1,"m"),)/12,)-1,)*Index!AJ$23*(AN$15&lt;=$J66)*(1-AN$12)</f>
        <v>0</v>
      </c>
      <c r="AO66" s="747">
        <f>$G66*$H66*(1+$K66)^MAX(ROUNDUP(IFERROR(DATEDIF($I66-1,AO$15+1,"m"),)/12,)-1,)*Index!AK$23*(AO$15&lt;=$J66)*(1-AO$12)</f>
        <v>0</v>
      </c>
      <c r="AP66" s="747">
        <f>$G66*$H66*(1+$K66)^MAX(ROUNDUP(IFERROR(DATEDIF($I66-1,AP$15+1,"m"),)/12,)-1,)*Index!AL$23*(AP$15&lt;=$J66)*(1-AP$12)</f>
        <v>0</v>
      </c>
      <c r="AQ66" s="747">
        <f>$G66*$H66*(1+$K66)^MAX(ROUNDUP(IFERROR(DATEDIF($I66-1,AQ$15+1,"m"),)/12,)-1,)*Index!AM$23*(AQ$15&lt;=$J66)*(1-AQ$12)</f>
        <v>0</v>
      </c>
      <c r="AR66" s="747">
        <f>$G66*$H66*(1+$K66)^MAX(ROUNDUP(IFERROR(DATEDIF($I66-1,AR$15+1,"m"),)/12,)-1,)*Index!AN$23*(AR$15&lt;=$J66)*(1-AR$12)</f>
        <v>0</v>
      </c>
      <c r="AS66" s="747">
        <f>$G66*$H66*(1+$K66)^MAX(ROUNDUP(IFERROR(DATEDIF($I66-1,AS$15+1,"m"),)/12,)-1,)*Index!AO$23*(AS$15&lt;=$J66)*(1-AS$12)</f>
        <v>0</v>
      </c>
      <c r="AT66" s="747">
        <f>$G66*$H66*(1+$K66)^MAX(ROUNDUP(IFERROR(DATEDIF($I66-1,AT$15+1,"m"),)/12,)-1,)*Index!AP$23*(AT$15&lt;=$J66)*(1-AT$12)</f>
        <v>0</v>
      </c>
      <c r="AU66" s="747">
        <f>$G66*$H66*(1+$K66)^MAX(ROUNDUP(IFERROR(DATEDIF($I66-1,AU$15+1,"m"),)/12,)-1,)*Index!AQ$23*(AU$15&lt;=$J66)*(1-AU$12)</f>
        <v>0</v>
      </c>
      <c r="AV66" s="747">
        <f>$G66*$H66*(1+$K66)^MAX(ROUNDUP(IFERROR(DATEDIF($I66-1,AV$15+1,"m"),)/12,)-1,)*Index!AR$23*(AV$15&lt;=$J66)*(1-AV$12)</f>
        <v>0</v>
      </c>
      <c r="AW66" s="747">
        <f>$G66*$H66*(1+$K66)^MAX(ROUNDUP(IFERROR(DATEDIF($I66-1,AW$15+1,"m"),)/12,)-1,)*Index!AS$23*(AW$15&lt;=$J66)*(1-AW$12)</f>
        <v>0</v>
      </c>
      <c r="AX66" s="747">
        <f>$G66*$H66*(1+$K66)^MAX(ROUNDUP(IFERROR(DATEDIF($I66-1,AX$15+1,"m"),)/12,)-1,)*Index!AT$23*(AX$15&lt;=$J66)*(1-AX$12)</f>
        <v>0</v>
      </c>
      <c r="AY66" s="747">
        <f>$G66*$H66*(1+$K66)^MAX(ROUNDUP(IFERROR(DATEDIF($I66-1,AY$15+1,"m"),)/12,)-1,)*Index!AU$23*(AY$15&lt;=$J66)*(1-AY$12)</f>
        <v>0</v>
      </c>
      <c r="AZ66" s="747">
        <f>$G66*$H66*(1+$K66)^MAX(ROUNDUP(IFERROR(DATEDIF($I66-1,AZ$15+1,"m"),)/12,)-1,)*Index!AV$23*(AZ$15&lt;=$J66)*(1-AZ$12)</f>
        <v>0</v>
      </c>
      <c r="BA66" s="747">
        <f>$G66*$H66*(1+$K66)^MAX(ROUNDUP(IFERROR(DATEDIF($I66-1,BA$15+1,"m"),)/12,)-1,)*Index!AW$23*(BA$15&lt;=$J66)*(1-BA$12)</f>
        <v>0</v>
      </c>
      <c r="BB66" s="747">
        <f>$G66*$H66*(1+$K66)^MAX(ROUNDUP(IFERROR(DATEDIF($I66-1,BB$15+1,"m"),)/12,)-1,)*Index!AX$23*(BB$15&lt;=$J66)*(1-BB$12)</f>
        <v>0</v>
      </c>
      <c r="BC66" s="747">
        <f>$G66*$H66*(1+$K66)^MAX(ROUNDUP(IFERROR(DATEDIF($I66-1,BC$15+1,"m"),)/12,)-1,)*Index!AY$23*(BC$15&lt;=$J66)*(1-BC$12)</f>
        <v>0</v>
      </c>
      <c r="BD66" s="747">
        <f>$G66*$H66*(1+$K66)^MAX(ROUNDUP(IFERROR(DATEDIF($I66-1,BD$15+1,"m"),)/12,)-1,)*Index!AZ$23*(BD$15&lt;=$J66)*(1-BD$12)</f>
        <v>0</v>
      </c>
      <c r="BE66" s="747">
        <f>$G66*$H66*(1+$K66)^MAX(ROUNDUP(IFERROR(DATEDIF($I66-1,BE$15+1,"m"),)/12,)-1,)*Index!BA$23*(BE$15&lt;=$J66)*(1-BE$12)</f>
        <v>0</v>
      </c>
      <c r="BF66" s="747">
        <f>$G66*$H66*(1+$K66)^MAX(ROUNDUP(IFERROR(DATEDIF($I66-1,BF$15+1,"m"),)/12,)-1,)*Index!BB$23*(BF$15&lt;=$J66)*(1-BF$12)</f>
        <v>0</v>
      </c>
      <c r="BG66" s="747">
        <f>$G66*$H66*(1+$K66)^MAX(ROUNDUP(IFERROR(DATEDIF($I66-1,BG$15+1,"m"),)/12,)-1,)*Index!BC$23*(BG$15&lt;=$J66)*(1-BG$12)</f>
        <v>0</v>
      </c>
      <c r="BH66" s="747">
        <f>$G66*$H66*(1+$K66)^MAX(ROUNDUP(IFERROR(DATEDIF($I66-1,BH$15+1,"m"),)/12,)-1,)*Index!BD$23*(BH$15&lt;=$J66)*(1-BH$12)</f>
        <v>0</v>
      </c>
      <c r="BI66" s="747">
        <f>$G66*$H66*(1+$K66)^MAX(ROUNDUP(IFERROR(DATEDIF($I66-1,BI$15+1,"m"),)/12,)-1,)*Index!BE$23*(BI$15&lt;=$J66)*(1-BI$12)</f>
        <v>0</v>
      </c>
      <c r="BJ66" s="747">
        <f>$G66*$H66*(1+$K66)^MAX(ROUNDUP(IFERROR(DATEDIF($I66-1,BJ$15+1,"m"),)/12,)-1,)*Index!BF$23*(BJ$15&lt;=$J66)*(1-BJ$12)</f>
        <v>0</v>
      </c>
      <c r="BK66" s="747">
        <f>$G66*$H66*(1+$K66)^MAX(ROUNDUP(IFERROR(DATEDIF($I66-1,BK$15+1,"m"),)/12,)-1,)*Index!BG$23*(BK$15&lt;=$J66)*(1-BK$12)</f>
        <v>0</v>
      </c>
      <c r="BL66" s="747">
        <f>$G66*$H66*(1+$K66)^MAX(ROUNDUP(IFERROR(DATEDIF($I66-1,BL$15+1,"m"),)/12,)-1,)*Index!BH$23*(BL$15&lt;=$J66)*(1-BL$12)</f>
        <v>0</v>
      </c>
      <c r="BM66" s="747">
        <f>$G66*$H66*(1+$K66)^MAX(ROUNDUP(IFERROR(DATEDIF($I66-1,BM$15+1,"m"),)/12,)-1,)*Index!BI$23*(BM$15&lt;=$J66)*(1-BM$12)</f>
        <v>0</v>
      </c>
      <c r="BN66" s="747">
        <f>$G66*$H66*(1+$K66)^MAX(ROUNDUP(IFERROR(DATEDIF($I66-1,BN$15+1,"m"),)/12,)-1,)*Index!BJ$23*(BN$15&lt;=$J66)*(1-BN$12)</f>
        <v>0</v>
      </c>
      <c r="BO66" s="747">
        <f>$G66*$H66*(1+$K66)^MAX(ROUNDUP(IFERROR(DATEDIF($I66-1,BO$15+1,"m"),)/12,)-1,)*Index!BK$23*(BO$15&lt;=$J66)*(1-BO$12)</f>
        <v>0</v>
      </c>
      <c r="BP66" s="747">
        <f>$G66*$H66*(1+$K66)^MAX(ROUNDUP(IFERROR(DATEDIF($I66-1,BP$15+1,"m"),)/12,)-1,)*Index!BL$23*(BP$15&lt;=$J66)*(1-BP$12)</f>
        <v>0</v>
      </c>
      <c r="BQ66" s="747">
        <f>$G66*$H66*(1+$K66)^MAX(ROUNDUP(IFERROR(DATEDIF($I66-1,BQ$15+1,"m"),)/12,)-1,)*Index!BM$23*(BQ$15&lt;=$J66)*(1-BQ$12)</f>
        <v>0</v>
      </c>
      <c r="BR66" s="747">
        <f>$G66*$H66*(1+$K66)^MAX(ROUNDUP(IFERROR(DATEDIF($I66-1,BR$15+1,"m"),)/12,)-1,)*Index!BN$23*(BR$15&lt;=$J66)*(1-BR$12)</f>
        <v>0</v>
      </c>
      <c r="BS66" s="747">
        <f>$G66*$H66*(1+$K66)^MAX(ROUNDUP(IFERROR(DATEDIF($I66-1,BS$15+1,"m"),)/12,)-1,)*Index!BO$23*(BS$15&lt;=$J66)*(1-BS$12)</f>
        <v>0</v>
      </c>
      <c r="BT66" s="747">
        <f>$G66*$H66*(1+$K66)^MAX(ROUNDUP(IFERROR(DATEDIF($I66-1,BT$15+1,"m"),)/12,)-1,)*Index!BP$23*(BT$15&lt;=$J66)*(1-BT$12)</f>
        <v>0</v>
      </c>
      <c r="BU66" s="747">
        <f>$G66*$H66*(1+$K66)^MAX(ROUNDUP(IFERROR(DATEDIF($I66-1,BU$15+1,"m"),)/12,)-1,)*Index!BQ$23*(BU$15&lt;=$J66)*(1-BU$12)</f>
        <v>0</v>
      </c>
      <c r="BV66" s="747">
        <f>$G66*$H66*(1+$K66)^MAX(ROUNDUP(IFERROR(DATEDIF($I66-1,BV$15+1,"m"),)/12,)-1,)*Index!BR$23*(BV$15&lt;=$J66)*(1-BV$12)</f>
        <v>0</v>
      </c>
      <c r="BW66" s="747">
        <f>$G66*$H66*(1+$K66)^MAX(ROUNDUP(IFERROR(DATEDIF($I66-1,BW$15+1,"m"),)/12,)-1,)*Index!BS$23*(BW$15&lt;=$J66)*(1-BW$12)</f>
        <v>0</v>
      </c>
      <c r="BX66" s="747">
        <f>$G66*$H66*(1+$K66)^MAX(ROUNDUP(IFERROR(DATEDIF($I66-1,BX$15+1,"m"),)/12,)-1,)*Index!BT$23*(BX$15&lt;=$J66)*(1-BX$12)</f>
        <v>0</v>
      </c>
      <c r="BY66" s="747">
        <f>$G66*$H66*(1+$K66)^MAX(ROUNDUP(IFERROR(DATEDIF($I66-1,BY$15+1,"m"),)/12,)-1,)*Index!BU$23*(BY$15&lt;=$J66)*(1-BY$12)</f>
        <v>0</v>
      </c>
      <c r="BZ66" s="747">
        <f>$G66*$H66*(1+$K66)^MAX(ROUNDUP(IFERROR(DATEDIF($I66-1,BZ$15+1,"m"),)/12,)-1,)*Index!BV$23*(BZ$15&lt;=$J66)*(1-BZ$12)</f>
        <v>0</v>
      </c>
      <c r="CA66" s="747">
        <f>$G66*$H66*(1+$K66)^MAX(ROUNDUP(IFERROR(DATEDIF($I66-1,CA$15+1,"m"),)/12,)-1,)*Index!BW$23*(CA$15&lt;=$J66)*(1-CA$12)</f>
        <v>0</v>
      </c>
      <c r="CB66" s="747">
        <f>$G66*$H66*(1+$K66)^MAX(ROUNDUP(IFERROR(DATEDIF($I66-1,CB$15+1,"m"),)/12,)-1,)*Index!BX$23*(CB$15&lt;=$J66)*(1-CB$12)</f>
        <v>0</v>
      </c>
      <c r="CC66" s="747">
        <f>$G66*$H66*(1+$K66)^MAX(ROUNDUP(IFERROR(DATEDIF($I66-1,CC$15+1,"m"),)/12,)-1,)*Index!BY$23*(CC$15&lt;=$J66)*(1-CC$12)</f>
        <v>0</v>
      </c>
      <c r="CD66" s="747">
        <f>$G66*$H66*(1+$K66)^MAX(ROUNDUP(IFERROR(DATEDIF($I66-1,CD$15+1,"m"),)/12,)-1,)*Index!BZ$23*(CD$15&lt;=$J66)*(1-CD$12)</f>
        <v>0</v>
      </c>
      <c r="CE66" s="747">
        <f>$G66*$H66*(1+$K66)^MAX(ROUNDUP(IFERROR(DATEDIF($I66-1,CE$15+1,"m"),)/12,)-1,)*Index!CA$23*(CE$15&lt;=$J66)*(1-CE$12)</f>
        <v>0</v>
      </c>
      <c r="CF66" s="747">
        <f>$G66*$H66*(1+$K66)^MAX(ROUNDUP(IFERROR(DATEDIF($I66-1,CF$15+1,"m"),)/12,)-1,)*Index!CB$23*(CF$15&lt;=$J66)*(1-CF$12)</f>
        <v>0</v>
      </c>
      <c r="CG66" s="747">
        <f>$G66*$H66*(1+$K66)^MAX(ROUNDUP(IFERROR(DATEDIF($I66-1,CG$15+1,"m"),)/12,)-1,)*Index!CC$23*(CG$15&lt;=$J66)*(1-CG$12)</f>
        <v>0</v>
      </c>
      <c r="CH66" s="747">
        <f>$G66*$H66*(1+$K66)^MAX(ROUNDUP(IFERROR(DATEDIF($I66-1,CH$15+1,"m"),)/12,)-1,)*Index!CD$23*(CH$15&lt;=$J66)*(1-CH$12)</f>
        <v>0</v>
      </c>
      <c r="CI66" s="747">
        <f>$G66*$H66*(1+$K66)^MAX(ROUNDUP(IFERROR(DATEDIF($I66-1,CI$15+1,"m"),)/12,)-1,)*Index!CE$23*(CI$15&lt;=$J66)*(1-CI$12)</f>
        <v>0</v>
      </c>
      <c r="CJ66" s="747">
        <f>$G66*$H66*(1+$K66)^MAX(ROUNDUP(IFERROR(DATEDIF($I66-1,CJ$15+1,"m"),)/12,)-1,)*Index!CF$23*(CJ$15&lt;=$J66)*(1-CJ$12)</f>
        <v>0</v>
      </c>
      <c r="CK66" s="747">
        <f>$G66*$H66*(1+$K66)^MAX(ROUNDUP(IFERROR(DATEDIF($I66-1,CK$15+1,"m"),)/12,)-1,)*Index!CG$23*(CK$15&lt;=$J66)*(1-CK$12)</f>
        <v>0</v>
      </c>
      <c r="CL66" s="747">
        <f>$G66*$H66*(1+$K66)^MAX(ROUNDUP(IFERROR(DATEDIF($I66-1,CL$15+1,"m"),)/12,)-1,)*Index!CH$23*(CL$15&lt;=$J66)*(1-CL$12)</f>
        <v>0</v>
      </c>
      <c r="CM66" s="747">
        <f>$G66*$H66*(1+$K66)^MAX(ROUNDUP(IFERROR(DATEDIF($I66-1,CM$15+1,"m"),)/12,)-1,)*Index!CI$23*(CM$15&lt;=$J66)*(1-CM$12)</f>
        <v>0</v>
      </c>
      <c r="CN66" s="747">
        <f>$G66*$H66*(1+$K66)^MAX(ROUNDUP(IFERROR(DATEDIF($I66-1,CN$15+1,"m"),)/12,)-1,)*Index!CJ$23*(CN$15&lt;=$J66)*(1-CN$12)</f>
        <v>0</v>
      </c>
      <c r="CO66" s="747">
        <f>$G66*$H66*(1+$K66)^MAX(ROUNDUP(IFERROR(DATEDIF($I66-1,CO$15+1,"m"),)/12,)-1,)*Index!CK$23*(CO$15&lt;=$J66)*(1-CO$12)</f>
        <v>0</v>
      </c>
      <c r="CP66" s="747">
        <f>$G66*$H66*(1+$K66)^MAX(ROUNDUP(IFERROR(DATEDIF($I66-1,CP$15+1,"m"),)/12,)-1,)*Index!CL$23*(CP$15&lt;=$J66)*(1-CP$12)</f>
        <v>0</v>
      </c>
      <c r="CQ66" s="747">
        <f>$G66*$H66*(1+$K66)^MAX(ROUNDUP(IFERROR(DATEDIF($I66-1,CQ$15+1,"m"),)/12,)-1,)*Index!CM$23*(CQ$15&lt;=$J66)*(1-CQ$12)</f>
        <v>0</v>
      </c>
      <c r="CR66" s="747">
        <f>$G66*$H66*(1+$K66)^MAX(ROUNDUP(IFERROR(DATEDIF($I66-1,CR$15+1,"m"),)/12,)-1,)*Index!CN$23*(CR$15&lt;=$J66)*(1-CR$12)</f>
        <v>0</v>
      </c>
      <c r="CS66" s="747">
        <f>$G66*$H66*(1+$K66)^MAX(ROUNDUP(IFERROR(DATEDIF($I66-1,CS$15+1,"m"),)/12,)-1,)*Index!CO$23*(CS$15&lt;=$J66)*(1-CS$12)</f>
        <v>0</v>
      </c>
      <c r="CT66" s="747">
        <f>$G66*$H66*(1+$K66)^MAX(ROUNDUP(IFERROR(DATEDIF($I66-1,CT$15+1,"m"),)/12,)-1,)*Index!CP$23*(CT$15&lt;=$J66)*(1-CT$12)</f>
        <v>0</v>
      </c>
      <c r="CU66" s="747">
        <f>$G66*$H66*(1+$K66)^MAX(ROUNDUP(IFERROR(DATEDIF($I66-1,CU$15+1,"m"),)/12,)-1,)*Index!CQ$23*(CU$15&lt;=$J66)*(1-CU$12)</f>
        <v>0</v>
      </c>
      <c r="CV66" s="747">
        <f>$G66*$H66*(1+$K66)^MAX(ROUNDUP(IFERROR(DATEDIF($I66-1,CV$15+1,"m"),)/12,)-1,)*Index!CR$23*(CV$15&lt;=$J66)*(1-CV$12)</f>
        <v>0</v>
      </c>
      <c r="CW66" s="747">
        <f>$G66*$H66*(1+$K66)^MAX(ROUNDUP(IFERROR(DATEDIF($I66-1,CW$15+1,"m"),)/12,)-1,)*Index!CS$23*(CW$15&lt;=$J66)*(1-CW$12)</f>
        <v>0</v>
      </c>
      <c r="CX66" s="747">
        <f>$G66*$H66*(1+$K66)^MAX(ROUNDUP(IFERROR(DATEDIF($I66-1,CX$15+1,"m"),)/12,)-1,)*Index!CT$23*(CX$15&lt;=$J66)*(1-CX$12)</f>
        <v>0</v>
      </c>
      <c r="CY66" s="747">
        <f>$G66*$H66*(1+$K66)^MAX(ROUNDUP(IFERROR(DATEDIF($I66-1,CY$15+1,"m"),)/12,)-1,)*Index!CU$23*(CY$15&lt;=$J66)*(1-CY$12)</f>
        <v>0</v>
      </c>
      <c r="CZ66" s="747">
        <f>$G66*$H66*(1+$K66)^MAX(ROUNDUP(IFERROR(DATEDIF($I66-1,CZ$15+1,"m"),)/12,)-1,)*Index!CV$23*(CZ$15&lt;=$J66)*(1-CZ$12)</f>
        <v>0</v>
      </c>
      <c r="DA66" s="747">
        <f>$G66*$H66*(1+$K66)^MAX(ROUNDUP(IFERROR(DATEDIF($I66-1,DA$15+1,"m"),)/12,)-1,)*Index!CW$23*(DA$15&lt;=$J66)*(1-DA$12)</f>
        <v>0</v>
      </c>
      <c r="DB66" s="747">
        <f>$G66*$H66*(1+$K66)^MAX(ROUNDUP(IFERROR(DATEDIF($I66-1,DB$15+1,"m"),)/12,)-1,)*Index!CX$23*(DB$15&lt;=$J66)*(1-DB$12)</f>
        <v>0</v>
      </c>
      <c r="DC66" s="747">
        <f>$G66*$H66*(1+$K66)^MAX(ROUNDUP(IFERROR(DATEDIF($I66-1,DC$15+1,"m"),)/12,)-1,)*Index!CY$23*(DC$15&lt;=$J66)*(1-DC$12)</f>
        <v>0</v>
      </c>
      <c r="DD66" s="747">
        <f>$G66*$H66*(1+$K66)^MAX(ROUNDUP(IFERROR(DATEDIF($I66-1,DD$15+1,"m"),)/12,)-1,)*Index!CZ$23*(DD$15&lt;=$J66)*(1-DD$12)</f>
        <v>0</v>
      </c>
      <c r="DE66" s="747">
        <f>$G66*$H66*(1+$K66)^MAX(ROUNDUP(IFERROR(DATEDIF($I66-1,DE$15+1,"m"),)/12,)-1,)*Index!DA$23*(DE$15&lt;=$J66)*(1-DE$12)</f>
        <v>0</v>
      </c>
      <c r="DF66" s="747">
        <f>$G66*$H66*(1+$K66)^MAX(ROUNDUP(IFERROR(DATEDIF($I66-1,DF$15+1,"m"),)/12,)-1,)*Index!DB$23*(DF$15&lt;=$J66)*(1-DF$12)</f>
        <v>0</v>
      </c>
      <c r="DG66" s="747">
        <f>$G66*$H66*(1+$K66)^MAX(ROUNDUP(IFERROR(DATEDIF($I66-1,DG$15+1,"m"),)/12,)-1,)*Index!DC$23*(DG$15&lt;=$J66)*(1-DG$12)</f>
        <v>0</v>
      </c>
      <c r="DH66" s="747">
        <f>$G66*$H66*(1+$K66)^MAX(ROUNDUP(IFERROR(DATEDIF($I66-1,DH$15+1,"m"),)/12,)-1,)*Index!DD$23*(DH$15&lt;=$J66)*(1-DH$12)</f>
        <v>0</v>
      </c>
      <c r="DI66" s="747">
        <f>$G66*$H66*(1+$K66)^MAX(ROUNDUP(IFERROR(DATEDIF($I66-1,DI$15+1,"m"),)/12,)-1,)*Index!DE$23*(DI$15&lt;=$J66)*(1-DI$12)</f>
        <v>0</v>
      </c>
      <c r="DJ66" s="747">
        <f>$G66*$H66*(1+$K66)^MAX(ROUNDUP(IFERROR(DATEDIF($I66-1,DJ$15+1,"m"),)/12,)-1,)*Index!DF$23*(DJ$15&lt;=$J66)*(1-DJ$12)</f>
        <v>0</v>
      </c>
      <c r="DK66" s="747">
        <f>$G66*$H66*(1+$K66)^MAX(ROUNDUP(IFERROR(DATEDIF($I66-1,DK$15+1,"m"),)/12,)-1,)*Index!DG$23*(DK$15&lt;=$J66)*(1-DK$12)</f>
        <v>0</v>
      </c>
      <c r="DL66" s="747">
        <f>$G66*$H66*(1+$K66)^MAX(ROUNDUP(IFERROR(DATEDIF($I66-1,DL$15+1,"m"),)/12,)-1,)*Index!DH$23*(DL$15&lt;=$J66)*(1-DL$12)</f>
        <v>0</v>
      </c>
      <c r="DM66" s="747">
        <f>$G66*$H66*(1+$K66)^MAX(ROUNDUP(IFERROR(DATEDIF($I66-1,DM$15+1,"m"),)/12,)-1,)*Index!DI$23*(DM$15&lt;=$J66)*(1-DM$12)</f>
        <v>0</v>
      </c>
      <c r="DN66" s="747">
        <f>$G66*$H66*(1+$K66)^MAX(ROUNDUP(IFERROR(DATEDIF($I66-1,DN$15+1,"m"),)/12,)-1,)*Index!DJ$23*(DN$15&lt;=$J66)*(1-DN$12)</f>
        <v>0</v>
      </c>
      <c r="DO66" s="747">
        <f>$G66*$H66*(1+$K66)^MAX(ROUNDUP(IFERROR(DATEDIF($I66-1,DO$15+1,"m"),)/12,)-1,)*Index!DK$23*(DO$15&lt;=$J66)*(1-DO$12)</f>
        <v>0</v>
      </c>
      <c r="DP66" s="747">
        <f>$G66*$H66*(1+$K66)^MAX(ROUNDUP(IFERROR(DATEDIF($I66-1,DP$15+1,"m"),)/12,)-1,)*Index!DL$23*(DP$15&lt;=$J66)*(1-DP$12)</f>
        <v>0</v>
      </c>
      <c r="DQ66" s="747">
        <f>$G66*$H66*(1+$K66)^MAX(ROUNDUP(IFERROR(DATEDIF($I66-1,DQ$15+1,"m"),)/12,)-1,)*Index!DM$23*(DQ$15&lt;=$J66)*(1-DQ$12)</f>
        <v>0</v>
      </c>
      <c r="DR66" s="747">
        <f>$G66*$H66*(1+$K66)^MAX(ROUNDUP(IFERROR(DATEDIF($I66-1,DR$15+1,"m"),)/12,)-1,)*Index!DN$23*(DR$15&lt;=$J66)*(1-DR$12)</f>
        <v>0</v>
      </c>
      <c r="DS66" s="747">
        <f>$G66*$H66*(1+$K66)^MAX(ROUNDUP(IFERROR(DATEDIF($I66-1,DS$15+1,"m"),)/12,)-1,)*Index!DO$23*(DS$15&lt;=$J66)*(1-DS$12)</f>
        <v>0</v>
      </c>
      <c r="DT66" s="747">
        <f>$G66*$H66*(1+$K66)^MAX(ROUNDUP(IFERROR(DATEDIF($I66-1,DT$15+1,"m"),)/12,)-1,)*Index!DP$23*(DT$15&lt;=$J66)*(1-DT$12)</f>
        <v>0</v>
      </c>
      <c r="DU66" s="747">
        <f>$G66*$H66*(1+$K66)^MAX(ROUNDUP(IFERROR(DATEDIF($I66-1,DU$15+1,"m"),)/12,)-1,)*Index!DQ$23*(DU$15&lt;=$J66)*(1-DU$12)</f>
        <v>0</v>
      </c>
      <c r="DV66" s="747">
        <f>$G66*$H66*(1+$K66)^MAX(ROUNDUP(IFERROR(DATEDIF($I66-1,DV$15+1,"m"),)/12,)-1,)*Index!DR$23*(DV$15&lt;=$J66)*(1-DV$12)</f>
        <v>0</v>
      </c>
      <c r="DW66" s="747">
        <f>$G66*$H66*(1+$K66)^MAX(ROUNDUP(IFERROR(DATEDIF($I66-1,DW$15+1,"m"),)/12,)-1,)*Index!DS$23*(DW$15&lt;=$J66)*(1-DW$12)</f>
        <v>0</v>
      </c>
      <c r="DX66" s="747">
        <f>$G66*$H66*(1+$K66)^MAX(ROUNDUP(IFERROR(DATEDIF($I66-1,DX$15+1,"m"),)/12,)-1,)*Index!DT$23*(DX$15&lt;=$J66)*(1-DX$12)</f>
        <v>0</v>
      </c>
      <c r="DY66" s="747">
        <f>$G66*$H66*(1+$K66)^MAX(ROUNDUP(IFERROR(DATEDIF($I66-1,DY$15+1,"m"),)/12,)-1,)*Index!DU$23*(DY$15&lt;=$J66)*(1-DY$12)</f>
        <v>0</v>
      </c>
      <c r="DZ66" s="747">
        <f>$G66*$H66*(1+$K66)^MAX(ROUNDUP(IFERROR(DATEDIF($I66-1,DZ$15+1,"m"),)/12,)-1,)*Index!DV$23*(DZ$15&lt;=$J66)*(1-DZ$12)</f>
        <v>0</v>
      </c>
      <c r="EA66" s="747">
        <f>$G66*$H66*(1+$K66)^MAX(ROUNDUP(IFERROR(DATEDIF($I66-1,EA$15+1,"m"),)/12,)-1,)*Index!DW$23*(EA$15&lt;=$J66)*(1-EA$12)</f>
        <v>0</v>
      </c>
      <c r="EB66" s="747">
        <f>$G66*$H66*(1+$K66)^MAX(ROUNDUP(IFERROR(DATEDIF($I66-1,EB$15+1,"m"),)/12,)-1,)*Index!DX$23*(EB$15&lt;=$J66)*(1-EB$12)</f>
        <v>0</v>
      </c>
      <c r="EC66" s="747">
        <f>$G66*$H66*(1+$K66)^MAX(ROUNDUP(IFERROR(DATEDIF($I66-1,EC$15+1,"m"),)/12,)-1,)*Index!DY$23*(EC$15&lt;=$J66)*(1-EC$12)</f>
        <v>0</v>
      </c>
      <c r="ED66" s="747">
        <f>$G66*$H66*(1+$K66)^MAX(ROUNDUP(IFERROR(DATEDIF($I66-1,ED$15+1,"m"),)/12,)-1,)*Index!DZ$23*(ED$15&lt;=$J66)*(1-ED$12)</f>
        <v>0</v>
      </c>
      <c r="EE66" s="747">
        <f>$G66*$H66*(1+$K66)^MAX(ROUNDUP(IFERROR(DATEDIF($I66-1,EE$15+1,"m"),)/12,)-1,)*Index!EA$23*(EE$15&lt;=$J66)*(1-EE$12)</f>
        <v>0</v>
      </c>
      <c r="EF66" s="747">
        <f>$G66*$H66*(1+$K66)^MAX(ROUNDUP(IFERROR(DATEDIF($I66-1,EF$15+1,"m"),)/12,)-1,)*Index!EB$23*(EF$15&lt;=$J66)*(1-EF$12)</f>
        <v>0</v>
      </c>
      <c r="EG66" s="747">
        <f>$G66*$H66*(1+$K66)^MAX(ROUNDUP(IFERROR(DATEDIF($I66-1,EG$15+1,"m"),)/12,)-1,)*Index!EC$23*(EG$15&lt;=$J66)*(1-EG$12)</f>
        <v>0</v>
      </c>
      <c r="EH66" s="747">
        <f>$G66*$H66*(1+$K66)^MAX(ROUNDUP(IFERROR(DATEDIF($I66-1,EH$15+1,"m"),)/12,)-1,)*Index!ED$23*(EH$15&lt;=$J66)*(1-EH$12)</f>
        <v>0</v>
      </c>
      <c r="EI66" s="747">
        <f>$G66*$H66*(1+$K66)^MAX(ROUNDUP(IFERROR(DATEDIF($I66-1,EI$15+1,"m"),)/12,)-1,)*Index!EE$23*(EI$15&lt;=$J66)*(1-EI$12)</f>
        <v>0</v>
      </c>
      <c r="EJ66" s="747">
        <f>$G66*$H66*(1+$K66)^MAX(ROUNDUP(IFERROR(DATEDIF($I66-1,EJ$15+1,"m"),)/12,)-1,)*Index!EF$23*(EJ$15&lt;=$J66)*(1-EJ$12)</f>
        <v>0</v>
      </c>
      <c r="EK66" s="747">
        <f>$G66*$H66*(1+$K66)^MAX(ROUNDUP(IFERROR(DATEDIF($I66-1,EK$15+1,"m"),)/12,)-1,)*Index!EG$23*(EK$15&lt;=$J66)*(1-EK$12)</f>
        <v>0</v>
      </c>
      <c r="EL66" s="747">
        <f>$G66*$H66*(1+$K66)^MAX(ROUNDUP(IFERROR(DATEDIF($I66-1,EL$15+1,"m"),)/12,)-1,)*Index!EH$23*(EL$15&lt;=$J66)*(1-EL$12)</f>
        <v>0</v>
      </c>
      <c r="EM66" s="747">
        <f>$G66*$H66*(1+$K66)^MAX(ROUNDUP(IFERROR(DATEDIF($I66-1,EM$15+1,"m"),)/12,)-1,)*Index!EI$23*(EM$15&lt;=$J66)*(1-EM$12)</f>
        <v>0</v>
      </c>
      <c r="EN66" s="747">
        <f>$G66*$H66*(1+$K66)^MAX(ROUNDUP(IFERROR(DATEDIF($I66-1,EN$15+1,"m"),)/12,)-1,)*Index!EJ$23*(EN$15&lt;=$J66)*(1-EN$12)</f>
        <v>0</v>
      </c>
      <c r="EO66" s="747">
        <f>$G66*$H66*(1+$K66)^MAX(ROUNDUP(IFERROR(DATEDIF($I66-1,EO$15+1,"m"),)/12,)-1,)*Index!EK$23*(EO$15&lt;=$J66)*(1-EO$12)</f>
        <v>0</v>
      </c>
      <c r="EP66" s="747">
        <f>$G66*$H66*(1+$K66)^MAX(ROUNDUP(IFERROR(DATEDIF($I66-1,EP$15+1,"m"),)/12,)-1,)*Index!EL$23*(EP$15&lt;=$J66)*(1-EP$12)</f>
        <v>0</v>
      </c>
      <c r="EQ66" s="747">
        <f>$G66*$H66*(1+$K66)^MAX(ROUNDUP(IFERROR(DATEDIF($I66-1,EQ$15+1,"m"),)/12,)-1,)*Index!EM$23*(EQ$15&lt;=$J66)*(1-EQ$12)</f>
        <v>0</v>
      </c>
      <c r="ER66" s="747">
        <f>$G66*$H66*(1+$K66)^MAX(ROUNDUP(IFERROR(DATEDIF($I66-1,ER$15+1,"m"),)/12,)-1,)*Index!EN$23*(ER$15&lt;=$J66)*(1-ER$12)</f>
        <v>0</v>
      </c>
      <c r="ES66" s="747">
        <f>$G66*$H66*(1+$K66)^MAX(ROUNDUP(IFERROR(DATEDIF($I66-1,ES$15+1,"m"),)/12,)-1,)*Index!EO$23*(ES$15&lt;=$J66)*(1-ES$12)</f>
        <v>0</v>
      </c>
      <c r="ET66" s="747">
        <f>$G66*$H66*(1+$K66)^MAX(ROUNDUP(IFERROR(DATEDIF($I66-1,ET$15+1,"m"),)/12,)-1,)*Index!EP$23*(ET$15&lt;=$J66)*(1-ET$12)</f>
        <v>0</v>
      </c>
      <c r="EU66" s="747">
        <f>$G66*$H66*(1+$K66)^MAX(ROUNDUP(IFERROR(DATEDIF($I66-1,EU$15+1,"m"),)/12,)-1,)*Index!EQ$23*(EU$15&lt;=$J66)*(1-EU$12)</f>
        <v>0</v>
      </c>
    </row>
    <row r="67" spans="3:151" ht="11.25" customHeight="1">
      <c r="C67" s="828"/>
      <c r="D67" s="743">
        <f t="shared" ref="D67:K67" si="34">D31</f>
        <v>1</v>
      </c>
      <c r="E67" s="704" t="str">
        <f t="shared" si="34"/>
        <v>공실</v>
      </c>
      <c r="F67" s="704" t="str">
        <f t="shared" si="34"/>
        <v>근린생활시설</v>
      </c>
      <c r="G67" s="752">
        <f t="shared" si="34"/>
        <v>0</v>
      </c>
      <c r="H67" s="744">
        <f t="shared" si="34"/>
        <v>141.01000000000002</v>
      </c>
      <c r="I67" s="745">
        <f t="shared" si="34"/>
        <v>46326</v>
      </c>
      <c r="J67" s="745">
        <f t="shared" si="34"/>
        <v>49979</v>
      </c>
      <c r="K67" s="754">
        <f t="shared" si="34"/>
        <v>2.5000000000000001E-2</v>
      </c>
      <c r="L67" s="748"/>
      <c r="M67" s="749"/>
      <c r="N67" s="747">
        <f t="shared" si="21"/>
        <v>0</v>
      </c>
      <c r="O67" s="733"/>
      <c r="P67" s="747">
        <f>$G67*$H67*(1+$K67)^MAX(ROUNDUP(IFERROR(DATEDIF($I67-1,P$15+1,"m"),)/12,)-1,)*Index!L$23*(P$15&lt;=$J67)*(1-P$12)</f>
        <v>0</v>
      </c>
      <c r="Q67" s="747">
        <f>$G67*$H67*(1+$K67)^MAX(ROUNDUP(IFERROR(DATEDIF($I67-1,Q$15+1,"m"),)/12,)-1,)*Index!M$23*(Q$15&lt;=$J67)*(1-Q$12)</f>
        <v>0</v>
      </c>
      <c r="R67" s="747">
        <f>$G67*$H67*(1+$K67)^MAX(ROUNDUP(IFERROR(DATEDIF($I67-1,R$15+1,"m"),)/12,)-1,)*Index!N$23*(R$15&lt;=$J67)*(1-R$12)</f>
        <v>0</v>
      </c>
      <c r="S67" s="747">
        <f>$G67*$H67*(1+$K67)^MAX(ROUNDUP(IFERROR(DATEDIF($I67-1,S$15+1,"m"),)/12,)-1,)*Index!O$23*(S$15&lt;=$J67)*(1-S$12)</f>
        <v>0</v>
      </c>
      <c r="T67" s="747">
        <f>$G67*$H67*(1+$K67)^MAX(ROUNDUP(IFERROR(DATEDIF($I67-1,T$15+1,"m"),)/12,)-1,)*Index!P$23*(T$15&lt;=$J67)*(1-T$12)</f>
        <v>0</v>
      </c>
      <c r="U67" s="747">
        <f>$G67*$H67*(1+$K67)^MAX(ROUNDUP(IFERROR(DATEDIF($I67-1,U$15+1,"m"),)/12,)-1,)*Index!Q$23*(U$15&lt;=$J67)*(1-U$12)</f>
        <v>0</v>
      </c>
      <c r="V67" s="747">
        <f>$G67*$H67*(1+$K67)^MAX(ROUNDUP(IFERROR(DATEDIF($I67-1,V$15+1,"m"),)/12,)-1,)*Index!R$23*(V$15&lt;=$J67)*(1-V$12)</f>
        <v>0</v>
      </c>
      <c r="W67" s="747">
        <f>$G67*$H67*(1+$K67)^MAX(ROUNDUP(IFERROR(DATEDIF($I67-1,W$15+1,"m"),)/12,)-1,)*Index!S$23*(W$15&lt;=$J67)*(1-W$12)</f>
        <v>0</v>
      </c>
      <c r="X67" s="747">
        <f>$G67*$H67*(1+$K67)^MAX(ROUNDUP(IFERROR(DATEDIF($I67-1,X$15+1,"m"),)/12,)-1,)*Index!T$23*(X$15&lt;=$J67)*(1-X$12)</f>
        <v>0</v>
      </c>
      <c r="Y67" s="747">
        <f>$G67*$H67*(1+$K67)^MAX(ROUNDUP(IFERROR(DATEDIF($I67-1,Y$15+1,"m"),)/12,)-1,)*Index!U$23*(Y$15&lt;=$J67)*(1-Y$12)</f>
        <v>0</v>
      </c>
      <c r="Z67" s="747">
        <f>$G67*$H67*(1+$K67)^MAX(ROUNDUP(IFERROR(DATEDIF($I67-1,Z$15+1,"m"),)/12,)-1,)*Index!V$23*(Z$15&lt;=$J67)*(1-Z$12)</f>
        <v>0</v>
      </c>
      <c r="AA67" s="747">
        <f>$G67*$H67*(1+$K67)^MAX(ROUNDUP(IFERROR(DATEDIF($I67-1,AA$15+1,"m"),)/12,)-1,)*Index!W$23*(AA$15&lt;=$J67)*(1-AA$12)</f>
        <v>0</v>
      </c>
      <c r="AB67" s="747">
        <f>$G67*$H67*(1+$K67)^MAX(ROUNDUP(IFERROR(DATEDIF($I67-1,AB$15+1,"m"),)/12,)-1,)*Index!X$23*(AB$15&lt;=$J67)*(1-AB$12)</f>
        <v>0</v>
      </c>
      <c r="AC67" s="747">
        <f>$G67*$H67*(1+$K67)^MAX(ROUNDUP(IFERROR(DATEDIF($I67-1,AC$15+1,"m"),)/12,)-1,)*Index!Y$23*(AC$15&lt;=$J67)*(1-AC$12)</f>
        <v>0</v>
      </c>
      <c r="AD67" s="747">
        <f>$G67*$H67*(1+$K67)^MAX(ROUNDUP(IFERROR(DATEDIF($I67-1,AD$15+1,"m"),)/12,)-1,)*Index!Z$23*(AD$15&lt;=$J67)*(1-AD$12)</f>
        <v>0</v>
      </c>
      <c r="AE67" s="747">
        <f>$G67*$H67*(1+$K67)^MAX(ROUNDUP(IFERROR(DATEDIF($I67-1,AE$15+1,"m"),)/12,)-1,)*Index!AA$23*(AE$15&lt;=$J67)*(1-AE$12)</f>
        <v>0</v>
      </c>
      <c r="AF67" s="747">
        <f>$G67*$H67*(1+$K67)^MAX(ROUNDUP(IFERROR(DATEDIF($I67-1,AF$15+1,"m"),)/12,)-1,)*Index!AB$23*(AF$15&lt;=$J67)*(1-AF$12)</f>
        <v>0</v>
      </c>
      <c r="AG67" s="747">
        <f>$G67*$H67*(1+$K67)^MAX(ROUNDUP(IFERROR(DATEDIF($I67-1,AG$15+1,"m"),)/12,)-1,)*Index!AC$23*(AG$15&lt;=$J67)*(1-AG$12)</f>
        <v>0</v>
      </c>
      <c r="AH67" s="747">
        <f>$G67*$H67*(1+$K67)^MAX(ROUNDUP(IFERROR(DATEDIF($I67-1,AH$15+1,"m"),)/12,)-1,)*Index!AD$23*(AH$15&lt;=$J67)*(1-AH$12)</f>
        <v>0</v>
      </c>
      <c r="AI67" s="747">
        <f>$G67*$H67*(1+$K67)^MAX(ROUNDUP(IFERROR(DATEDIF($I67-1,AI$15+1,"m"),)/12,)-1,)*Index!AE$23*(AI$15&lt;=$J67)*(1-AI$12)</f>
        <v>0</v>
      </c>
      <c r="AJ67" s="747">
        <f>$G67*$H67*(1+$K67)^MAX(ROUNDUP(IFERROR(DATEDIF($I67-1,AJ$15+1,"m"),)/12,)-1,)*Index!AF$23*(AJ$15&lt;=$J67)*(1-AJ$12)</f>
        <v>0</v>
      </c>
      <c r="AK67" s="747">
        <f>$G67*$H67*(1+$K67)^MAX(ROUNDUP(IFERROR(DATEDIF($I67-1,AK$15+1,"m"),)/12,)-1,)*Index!AG$23*(AK$15&lt;=$J67)*(1-AK$12)</f>
        <v>0</v>
      </c>
      <c r="AL67" s="747">
        <f>$G67*$H67*(1+$K67)^MAX(ROUNDUP(IFERROR(DATEDIF($I67-1,AL$15+1,"m"),)/12,)-1,)*Index!AH$23*(AL$15&lt;=$J67)*(1-AL$12)</f>
        <v>0</v>
      </c>
      <c r="AM67" s="747">
        <f>$G67*$H67*(1+$K67)^MAX(ROUNDUP(IFERROR(DATEDIF($I67-1,AM$15+1,"m"),)/12,)-1,)*Index!AI$23*(AM$15&lt;=$J67)*(1-AM$12)</f>
        <v>0</v>
      </c>
      <c r="AN67" s="747">
        <f>$G67*$H67*(1+$K67)^MAX(ROUNDUP(IFERROR(DATEDIF($I67-1,AN$15+1,"m"),)/12,)-1,)*Index!AJ$23*(AN$15&lt;=$J67)*(1-AN$12)</f>
        <v>0</v>
      </c>
      <c r="AO67" s="747">
        <f>$G67*$H67*(1+$K67)^MAX(ROUNDUP(IFERROR(DATEDIF($I67-1,AO$15+1,"m"),)/12,)-1,)*Index!AK$23*(AO$15&lt;=$J67)*(1-AO$12)</f>
        <v>0</v>
      </c>
      <c r="AP67" s="747">
        <f>$G67*$H67*(1+$K67)^MAX(ROUNDUP(IFERROR(DATEDIF($I67-1,AP$15+1,"m"),)/12,)-1,)*Index!AL$23*(AP$15&lt;=$J67)*(1-AP$12)</f>
        <v>0</v>
      </c>
      <c r="AQ67" s="747">
        <f>$G67*$H67*(1+$K67)^MAX(ROUNDUP(IFERROR(DATEDIF($I67-1,AQ$15+1,"m"),)/12,)-1,)*Index!AM$23*(AQ$15&lt;=$J67)*(1-AQ$12)</f>
        <v>0</v>
      </c>
      <c r="AR67" s="747">
        <f>$G67*$H67*(1+$K67)^MAX(ROUNDUP(IFERROR(DATEDIF($I67-1,AR$15+1,"m"),)/12,)-1,)*Index!AN$23*(AR$15&lt;=$J67)*(1-AR$12)</f>
        <v>0</v>
      </c>
      <c r="AS67" s="747">
        <f>$G67*$H67*(1+$K67)^MAX(ROUNDUP(IFERROR(DATEDIF($I67-1,AS$15+1,"m"),)/12,)-1,)*Index!AO$23*(AS$15&lt;=$J67)*(1-AS$12)</f>
        <v>0</v>
      </c>
      <c r="AT67" s="747">
        <f>$G67*$H67*(1+$K67)^MAX(ROUNDUP(IFERROR(DATEDIF($I67-1,AT$15+1,"m"),)/12,)-1,)*Index!AP$23*(AT$15&lt;=$J67)*(1-AT$12)</f>
        <v>0</v>
      </c>
      <c r="AU67" s="747">
        <f>$G67*$H67*(1+$K67)^MAX(ROUNDUP(IFERROR(DATEDIF($I67-1,AU$15+1,"m"),)/12,)-1,)*Index!AQ$23*(AU$15&lt;=$J67)*(1-AU$12)</f>
        <v>0</v>
      </c>
      <c r="AV67" s="747">
        <f>$G67*$H67*(1+$K67)^MAX(ROUNDUP(IFERROR(DATEDIF($I67-1,AV$15+1,"m"),)/12,)-1,)*Index!AR$23*(AV$15&lt;=$J67)*(1-AV$12)</f>
        <v>0</v>
      </c>
      <c r="AW67" s="747">
        <f>$G67*$H67*(1+$K67)^MAX(ROUNDUP(IFERROR(DATEDIF($I67-1,AW$15+1,"m"),)/12,)-1,)*Index!AS$23*(AW$15&lt;=$J67)*(1-AW$12)</f>
        <v>0</v>
      </c>
      <c r="AX67" s="747">
        <f>$G67*$H67*(1+$K67)^MAX(ROUNDUP(IFERROR(DATEDIF($I67-1,AX$15+1,"m"),)/12,)-1,)*Index!AT$23*(AX$15&lt;=$J67)*(1-AX$12)</f>
        <v>0</v>
      </c>
      <c r="AY67" s="747">
        <f>$G67*$H67*(1+$K67)^MAX(ROUNDUP(IFERROR(DATEDIF($I67-1,AY$15+1,"m"),)/12,)-1,)*Index!AU$23*(AY$15&lt;=$J67)*(1-AY$12)</f>
        <v>0</v>
      </c>
      <c r="AZ67" s="747">
        <f>$G67*$H67*(1+$K67)^MAX(ROUNDUP(IFERROR(DATEDIF($I67-1,AZ$15+1,"m"),)/12,)-1,)*Index!AV$23*(AZ$15&lt;=$J67)*(1-AZ$12)</f>
        <v>0</v>
      </c>
      <c r="BA67" s="747">
        <f>$G67*$H67*(1+$K67)^MAX(ROUNDUP(IFERROR(DATEDIF($I67-1,BA$15+1,"m"),)/12,)-1,)*Index!AW$23*(BA$15&lt;=$J67)*(1-BA$12)</f>
        <v>0</v>
      </c>
      <c r="BB67" s="747">
        <f>$G67*$H67*(1+$K67)^MAX(ROUNDUP(IFERROR(DATEDIF($I67-1,BB$15+1,"m"),)/12,)-1,)*Index!AX$23*(BB$15&lt;=$J67)*(1-BB$12)</f>
        <v>0</v>
      </c>
      <c r="BC67" s="747">
        <f>$G67*$H67*(1+$K67)^MAX(ROUNDUP(IFERROR(DATEDIF($I67-1,BC$15+1,"m"),)/12,)-1,)*Index!AY$23*(BC$15&lt;=$J67)*(1-BC$12)</f>
        <v>0</v>
      </c>
      <c r="BD67" s="747">
        <f>$G67*$H67*(1+$K67)^MAX(ROUNDUP(IFERROR(DATEDIF($I67-1,BD$15+1,"m"),)/12,)-1,)*Index!AZ$23*(BD$15&lt;=$J67)*(1-BD$12)</f>
        <v>0</v>
      </c>
      <c r="BE67" s="747">
        <f>$G67*$H67*(1+$K67)^MAX(ROUNDUP(IFERROR(DATEDIF($I67-1,BE$15+1,"m"),)/12,)-1,)*Index!BA$23*(BE$15&lt;=$J67)*(1-BE$12)</f>
        <v>0</v>
      </c>
      <c r="BF67" s="747">
        <f>$G67*$H67*(1+$K67)^MAX(ROUNDUP(IFERROR(DATEDIF($I67-1,BF$15+1,"m"),)/12,)-1,)*Index!BB$23*(BF$15&lt;=$J67)*(1-BF$12)</f>
        <v>0</v>
      </c>
      <c r="BG67" s="747">
        <f>$G67*$H67*(1+$K67)^MAX(ROUNDUP(IFERROR(DATEDIF($I67-1,BG$15+1,"m"),)/12,)-1,)*Index!BC$23*(BG$15&lt;=$J67)*(1-BG$12)</f>
        <v>0</v>
      </c>
      <c r="BH67" s="747">
        <f>$G67*$H67*(1+$K67)^MAX(ROUNDUP(IFERROR(DATEDIF($I67-1,BH$15+1,"m"),)/12,)-1,)*Index!BD$23*(BH$15&lt;=$J67)*(1-BH$12)</f>
        <v>0</v>
      </c>
      <c r="BI67" s="747">
        <f>$G67*$H67*(1+$K67)^MAX(ROUNDUP(IFERROR(DATEDIF($I67-1,BI$15+1,"m"),)/12,)-1,)*Index!BE$23*(BI$15&lt;=$J67)*(1-BI$12)</f>
        <v>0</v>
      </c>
      <c r="BJ67" s="747">
        <f>$G67*$H67*(1+$K67)^MAX(ROUNDUP(IFERROR(DATEDIF($I67-1,BJ$15+1,"m"),)/12,)-1,)*Index!BF$23*(BJ$15&lt;=$J67)*(1-BJ$12)</f>
        <v>0</v>
      </c>
      <c r="BK67" s="747">
        <f>$G67*$H67*(1+$K67)^MAX(ROUNDUP(IFERROR(DATEDIF($I67-1,BK$15+1,"m"),)/12,)-1,)*Index!BG$23*(BK$15&lt;=$J67)*(1-BK$12)</f>
        <v>0</v>
      </c>
      <c r="BL67" s="747">
        <f>$G67*$H67*(1+$K67)^MAX(ROUNDUP(IFERROR(DATEDIF($I67-1,BL$15+1,"m"),)/12,)-1,)*Index!BH$23*(BL$15&lt;=$J67)*(1-BL$12)</f>
        <v>0</v>
      </c>
      <c r="BM67" s="747">
        <f>$G67*$H67*(1+$K67)^MAX(ROUNDUP(IFERROR(DATEDIF($I67-1,BM$15+1,"m"),)/12,)-1,)*Index!BI$23*(BM$15&lt;=$J67)*(1-BM$12)</f>
        <v>0</v>
      </c>
      <c r="BN67" s="747">
        <f>$G67*$H67*(1+$K67)^MAX(ROUNDUP(IFERROR(DATEDIF($I67-1,BN$15+1,"m"),)/12,)-1,)*Index!BJ$23*(BN$15&lt;=$J67)*(1-BN$12)</f>
        <v>0</v>
      </c>
      <c r="BO67" s="747">
        <f>$G67*$H67*(1+$K67)^MAX(ROUNDUP(IFERROR(DATEDIF($I67-1,BO$15+1,"m"),)/12,)-1,)*Index!BK$23*(BO$15&lt;=$J67)*(1-BO$12)</f>
        <v>0</v>
      </c>
      <c r="BP67" s="747">
        <f>$G67*$H67*(1+$K67)^MAX(ROUNDUP(IFERROR(DATEDIF($I67-1,BP$15+1,"m"),)/12,)-1,)*Index!BL$23*(BP$15&lt;=$J67)*(1-BP$12)</f>
        <v>0</v>
      </c>
      <c r="BQ67" s="747">
        <f>$G67*$H67*(1+$K67)^MAX(ROUNDUP(IFERROR(DATEDIF($I67-1,BQ$15+1,"m"),)/12,)-1,)*Index!BM$23*(BQ$15&lt;=$J67)*(1-BQ$12)</f>
        <v>0</v>
      </c>
      <c r="BR67" s="747">
        <f>$G67*$H67*(1+$K67)^MAX(ROUNDUP(IFERROR(DATEDIF($I67-1,BR$15+1,"m"),)/12,)-1,)*Index!BN$23*(BR$15&lt;=$J67)*(1-BR$12)</f>
        <v>0</v>
      </c>
      <c r="BS67" s="747">
        <f>$G67*$H67*(1+$K67)^MAX(ROUNDUP(IFERROR(DATEDIF($I67-1,BS$15+1,"m"),)/12,)-1,)*Index!BO$23*(BS$15&lt;=$J67)*(1-BS$12)</f>
        <v>0</v>
      </c>
      <c r="BT67" s="747">
        <f>$G67*$H67*(1+$K67)^MAX(ROUNDUP(IFERROR(DATEDIF($I67-1,BT$15+1,"m"),)/12,)-1,)*Index!BP$23*(BT$15&lt;=$J67)*(1-BT$12)</f>
        <v>0</v>
      </c>
      <c r="BU67" s="747">
        <f>$G67*$H67*(1+$K67)^MAX(ROUNDUP(IFERROR(DATEDIF($I67-1,BU$15+1,"m"),)/12,)-1,)*Index!BQ$23*(BU$15&lt;=$J67)*(1-BU$12)</f>
        <v>0</v>
      </c>
      <c r="BV67" s="747">
        <f>$G67*$H67*(1+$K67)^MAX(ROUNDUP(IFERROR(DATEDIF($I67-1,BV$15+1,"m"),)/12,)-1,)*Index!BR$23*(BV$15&lt;=$J67)*(1-BV$12)</f>
        <v>0</v>
      </c>
      <c r="BW67" s="747">
        <f>$G67*$H67*(1+$K67)^MAX(ROUNDUP(IFERROR(DATEDIF($I67-1,BW$15+1,"m"),)/12,)-1,)*Index!BS$23*(BW$15&lt;=$J67)*(1-BW$12)</f>
        <v>0</v>
      </c>
      <c r="BX67" s="747">
        <f>$G67*$H67*(1+$K67)^MAX(ROUNDUP(IFERROR(DATEDIF($I67-1,BX$15+1,"m"),)/12,)-1,)*Index!BT$23*(BX$15&lt;=$J67)*(1-BX$12)</f>
        <v>0</v>
      </c>
      <c r="BY67" s="747">
        <f>$G67*$H67*(1+$K67)^MAX(ROUNDUP(IFERROR(DATEDIF($I67-1,BY$15+1,"m"),)/12,)-1,)*Index!BU$23*(BY$15&lt;=$J67)*(1-BY$12)</f>
        <v>0</v>
      </c>
      <c r="BZ67" s="747">
        <f>$G67*$H67*(1+$K67)^MAX(ROUNDUP(IFERROR(DATEDIF($I67-1,BZ$15+1,"m"),)/12,)-1,)*Index!BV$23*(BZ$15&lt;=$J67)*(1-BZ$12)</f>
        <v>0</v>
      </c>
      <c r="CA67" s="747">
        <f>$G67*$H67*(1+$K67)^MAX(ROUNDUP(IFERROR(DATEDIF($I67-1,CA$15+1,"m"),)/12,)-1,)*Index!BW$23*(CA$15&lt;=$J67)*(1-CA$12)</f>
        <v>0</v>
      </c>
      <c r="CB67" s="747">
        <f>$G67*$H67*(1+$K67)^MAX(ROUNDUP(IFERROR(DATEDIF($I67-1,CB$15+1,"m"),)/12,)-1,)*Index!BX$23*(CB$15&lt;=$J67)*(1-CB$12)</f>
        <v>0</v>
      </c>
      <c r="CC67" s="747">
        <f>$G67*$H67*(1+$K67)^MAX(ROUNDUP(IFERROR(DATEDIF($I67-1,CC$15+1,"m"),)/12,)-1,)*Index!BY$23*(CC$15&lt;=$J67)*(1-CC$12)</f>
        <v>0</v>
      </c>
      <c r="CD67" s="747">
        <f>$G67*$H67*(1+$K67)^MAX(ROUNDUP(IFERROR(DATEDIF($I67-1,CD$15+1,"m"),)/12,)-1,)*Index!BZ$23*(CD$15&lt;=$J67)*(1-CD$12)</f>
        <v>0</v>
      </c>
      <c r="CE67" s="747">
        <f>$G67*$H67*(1+$K67)^MAX(ROUNDUP(IFERROR(DATEDIF($I67-1,CE$15+1,"m"),)/12,)-1,)*Index!CA$23*(CE$15&lt;=$J67)*(1-CE$12)</f>
        <v>0</v>
      </c>
      <c r="CF67" s="747">
        <f>$G67*$H67*(1+$K67)^MAX(ROUNDUP(IFERROR(DATEDIF($I67-1,CF$15+1,"m"),)/12,)-1,)*Index!CB$23*(CF$15&lt;=$J67)*(1-CF$12)</f>
        <v>0</v>
      </c>
      <c r="CG67" s="747">
        <f>$G67*$H67*(1+$K67)^MAX(ROUNDUP(IFERROR(DATEDIF($I67-1,CG$15+1,"m"),)/12,)-1,)*Index!CC$23*(CG$15&lt;=$J67)*(1-CG$12)</f>
        <v>0</v>
      </c>
      <c r="CH67" s="747">
        <f>$G67*$H67*(1+$K67)^MAX(ROUNDUP(IFERROR(DATEDIF($I67-1,CH$15+1,"m"),)/12,)-1,)*Index!CD$23*(CH$15&lt;=$J67)*(1-CH$12)</f>
        <v>0</v>
      </c>
      <c r="CI67" s="747">
        <f>$G67*$H67*(1+$K67)^MAX(ROUNDUP(IFERROR(DATEDIF($I67-1,CI$15+1,"m"),)/12,)-1,)*Index!CE$23*(CI$15&lt;=$J67)*(1-CI$12)</f>
        <v>0</v>
      </c>
      <c r="CJ67" s="747">
        <f>$G67*$H67*(1+$K67)^MAX(ROUNDUP(IFERROR(DATEDIF($I67-1,CJ$15+1,"m"),)/12,)-1,)*Index!CF$23*(CJ$15&lt;=$J67)*(1-CJ$12)</f>
        <v>0</v>
      </c>
      <c r="CK67" s="747">
        <f>$G67*$H67*(1+$K67)^MAX(ROUNDUP(IFERROR(DATEDIF($I67-1,CK$15+1,"m"),)/12,)-1,)*Index!CG$23*(CK$15&lt;=$J67)*(1-CK$12)</f>
        <v>0</v>
      </c>
      <c r="CL67" s="747">
        <f>$G67*$H67*(1+$K67)^MAX(ROUNDUP(IFERROR(DATEDIF($I67-1,CL$15+1,"m"),)/12,)-1,)*Index!CH$23*(CL$15&lt;=$J67)*(1-CL$12)</f>
        <v>0</v>
      </c>
      <c r="CM67" s="747">
        <f>$G67*$H67*(1+$K67)^MAX(ROUNDUP(IFERROR(DATEDIF($I67-1,CM$15+1,"m"),)/12,)-1,)*Index!CI$23*(CM$15&lt;=$J67)*(1-CM$12)</f>
        <v>0</v>
      </c>
      <c r="CN67" s="747">
        <f>$G67*$H67*(1+$K67)^MAX(ROUNDUP(IFERROR(DATEDIF($I67-1,CN$15+1,"m"),)/12,)-1,)*Index!CJ$23*(CN$15&lt;=$J67)*(1-CN$12)</f>
        <v>0</v>
      </c>
      <c r="CO67" s="747">
        <f>$G67*$H67*(1+$K67)^MAX(ROUNDUP(IFERROR(DATEDIF($I67-1,CO$15+1,"m"),)/12,)-1,)*Index!CK$23*(CO$15&lt;=$J67)*(1-CO$12)</f>
        <v>0</v>
      </c>
      <c r="CP67" s="747">
        <f>$G67*$H67*(1+$K67)^MAX(ROUNDUP(IFERROR(DATEDIF($I67-1,CP$15+1,"m"),)/12,)-1,)*Index!CL$23*(CP$15&lt;=$J67)*(1-CP$12)</f>
        <v>0</v>
      </c>
      <c r="CQ67" s="747">
        <f>$G67*$H67*(1+$K67)^MAX(ROUNDUP(IFERROR(DATEDIF($I67-1,CQ$15+1,"m"),)/12,)-1,)*Index!CM$23*(CQ$15&lt;=$J67)*(1-CQ$12)</f>
        <v>0</v>
      </c>
      <c r="CR67" s="747">
        <f>$G67*$H67*(1+$K67)^MAX(ROUNDUP(IFERROR(DATEDIF($I67-1,CR$15+1,"m"),)/12,)-1,)*Index!CN$23*(CR$15&lt;=$J67)*(1-CR$12)</f>
        <v>0</v>
      </c>
      <c r="CS67" s="747">
        <f>$G67*$H67*(1+$K67)^MAX(ROUNDUP(IFERROR(DATEDIF($I67-1,CS$15+1,"m"),)/12,)-1,)*Index!CO$23*(CS$15&lt;=$J67)*(1-CS$12)</f>
        <v>0</v>
      </c>
      <c r="CT67" s="747">
        <f>$G67*$H67*(1+$K67)^MAX(ROUNDUP(IFERROR(DATEDIF($I67-1,CT$15+1,"m"),)/12,)-1,)*Index!CP$23*(CT$15&lt;=$J67)*(1-CT$12)</f>
        <v>0</v>
      </c>
      <c r="CU67" s="747">
        <f>$G67*$H67*(1+$K67)^MAX(ROUNDUP(IFERROR(DATEDIF($I67-1,CU$15+1,"m"),)/12,)-1,)*Index!CQ$23*(CU$15&lt;=$J67)*(1-CU$12)</f>
        <v>0</v>
      </c>
      <c r="CV67" s="747">
        <f>$G67*$H67*(1+$K67)^MAX(ROUNDUP(IFERROR(DATEDIF($I67-1,CV$15+1,"m"),)/12,)-1,)*Index!CR$23*(CV$15&lt;=$J67)*(1-CV$12)</f>
        <v>0</v>
      </c>
      <c r="CW67" s="747">
        <f>$G67*$H67*(1+$K67)^MAX(ROUNDUP(IFERROR(DATEDIF($I67-1,CW$15+1,"m"),)/12,)-1,)*Index!CS$23*(CW$15&lt;=$J67)*(1-CW$12)</f>
        <v>0</v>
      </c>
      <c r="CX67" s="747">
        <f>$G67*$H67*(1+$K67)^MAX(ROUNDUP(IFERROR(DATEDIF($I67-1,CX$15+1,"m"),)/12,)-1,)*Index!CT$23*(CX$15&lt;=$J67)*(1-CX$12)</f>
        <v>0</v>
      </c>
      <c r="CY67" s="747">
        <f>$G67*$H67*(1+$K67)^MAX(ROUNDUP(IFERROR(DATEDIF($I67-1,CY$15+1,"m"),)/12,)-1,)*Index!CU$23*(CY$15&lt;=$J67)*(1-CY$12)</f>
        <v>0</v>
      </c>
      <c r="CZ67" s="747">
        <f>$G67*$H67*(1+$K67)^MAX(ROUNDUP(IFERROR(DATEDIF($I67-1,CZ$15+1,"m"),)/12,)-1,)*Index!CV$23*(CZ$15&lt;=$J67)*(1-CZ$12)</f>
        <v>0</v>
      </c>
      <c r="DA67" s="747">
        <f>$G67*$H67*(1+$K67)^MAX(ROUNDUP(IFERROR(DATEDIF($I67-1,DA$15+1,"m"),)/12,)-1,)*Index!CW$23*(DA$15&lt;=$J67)*(1-DA$12)</f>
        <v>0</v>
      </c>
      <c r="DB67" s="747">
        <f>$G67*$H67*(1+$K67)^MAX(ROUNDUP(IFERROR(DATEDIF($I67-1,DB$15+1,"m"),)/12,)-1,)*Index!CX$23*(DB$15&lt;=$J67)*(1-DB$12)</f>
        <v>0</v>
      </c>
      <c r="DC67" s="747">
        <f>$G67*$H67*(1+$K67)^MAX(ROUNDUP(IFERROR(DATEDIF($I67-1,DC$15+1,"m"),)/12,)-1,)*Index!CY$23*(DC$15&lt;=$J67)*(1-DC$12)</f>
        <v>0</v>
      </c>
      <c r="DD67" s="747">
        <f>$G67*$H67*(1+$K67)^MAX(ROUNDUP(IFERROR(DATEDIF($I67-1,DD$15+1,"m"),)/12,)-1,)*Index!CZ$23*(DD$15&lt;=$J67)*(1-DD$12)</f>
        <v>0</v>
      </c>
      <c r="DE67" s="747">
        <f>$G67*$H67*(1+$K67)^MAX(ROUNDUP(IFERROR(DATEDIF($I67-1,DE$15+1,"m"),)/12,)-1,)*Index!DA$23*(DE$15&lt;=$J67)*(1-DE$12)</f>
        <v>0</v>
      </c>
      <c r="DF67" s="747">
        <f>$G67*$H67*(1+$K67)^MAX(ROUNDUP(IFERROR(DATEDIF($I67-1,DF$15+1,"m"),)/12,)-1,)*Index!DB$23*(DF$15&lt;=$J67)*(1-DF$12)</f>
        <v>0</v>
      </c>
      <c r="DG67" s="747">
        <f>$G67*$H67*(1+$K67)^MAX(ROUNDUP(IFERROR(DATEDIF($I67-1,DG$15+1,"m"),)/12,)-1,)*Index!DC$23*(DG$15&lt;=$J67)*(1-DG$12)</f>
        <v>0</v>
      </c>
      <c r="DH67" s="747">
        <f>$G67*$H67*(1+$K67)^MAX(ROUNDUP(IFERROR(DATEDIF($I67-1,DH$15+1,"m"),)/12,)-1,)*Index!DD$23*(DH$15&lt;=$J67)*(1-DH$12)</f>
        <v>0</v>
      </c>
      <c r="DI67" s="747">
        <f>$G67*$H67*(1+$K67)^MAX(ROUNDUP(IFERROR(DATEDIF($I67-1,DI$15+1,"m"),)/12,)-1,)*Index!DE$23*(DI$15&lt;=$J67)*(1-DI$12)</f>
        <v>0</v>
      </c>
      <c r="DJ67" s="747">
        <f>$G67*$H67*(1+$K67)^MAX(ROUNDUP(IFERROR(DATEDIF($I67-1,DJ$15+1,"m"),)/12,)-1,)*Index!DF$23*(DJ$15&lt;=$J67)*(1-DJ$12)</f>
        <v>0</v>
      </c>
      <c r="DK67" s="747">
        <f>$G67*$H67*(1+$K67)^MAX(ROUNDUP(IFERROR(DATEDIF($I67-1,DK$15+1,"m"),)/12,)-1,)*Index!DG$23*(DK$15&lt;=$J67)*(1-DK$12)</f>
        <v>0</v>
      </c>
      <c r="DL67" s="747">
        <f>$G67*$H67*(1+$K67)^MAX(ROUNDUP(IFERROR(DATEDIF($I67-1,DL$15+1,"m"),)/12,)-1,)*Index!DH$23*(DL$15&lt;=$J67)*(1-DL$12)</f>
        <v>0</v>
      </c>
      <c r="DM67" s="747">
        <f>$G67*$H67*(1+$K67)^MAX(ROUNDUP(IFERROR(DATEDIF($I67-1,DM$15+1,"m"),)/12,)-1,)*Index!DI$23*(DM$15&lt;=$J67)*(1-DM$12)</f>
        <v>0</v>
      </c>
      <c r="DN67" s="747">
        <f>$G67*$H67*(1+$K67)^MAX(ROUNDUP(IFERROR(DATEDIF($I67-1,DN$15+1,"m"),)/12,)-1,)*Index!DJ$23*(DN$15&lt;=$J67)*(1-DN$12)</f>
        <v>0</v>
      </c>
      <c r="DO67" s="747">
        <f>$G67*$H67*(1+$K67)^MAX(ROUNDUP(IFERROR(DATEDIF($I67-1,DO$15+1,"m"),)/12,)-1,)*Index!DK$23*(DO$15&lt;=$J67)*(1-DO$12)</f>
        <v>0</v>
      </c>
      <c r="DP67" s="747">
        <f>$G67*$H67*(1+$K67)^MAX(ROUNDUP(IFERROR(DATEDIF($I67-1,DP$15+1,"m"),)/12,)-1,)*Index!DL$23*(DP$15&lt;=$J67)*(1-DP$12)</f>
        <v>0</v>
      </c>
      <c r="DQ67" s="747">
        <f>$G67*$H67*(1+$K67)^MAX(ROUNDUP(IFERROR(DATEDIF($I67-1,DQ$15+1,"m"),)/12,)-1,)*Index!DM$23*(DQ$15&lt;=$J67)*(1-DQ$12)</f>
        <v>0</v>
      </c>
      <c r="DR67" s="747">
        <f>$G67*$H67*(1+$K67)^MAX(ROUNDUP(IFERROR(DATEDIF($I67-1,DR$15+1,"m"),)/12,)-1,)*Index!DN$23*(DR$15&lt;=$J67)*(1-DR$12)</f>
        <v>0</v>
      </c>
      <c r="DS67" s="747">
        <f>$G67*$H67*(1+$K67)^MAX(ROUNDUP(IFERROR(DATEDIF($I67-1,DS$15+1,"m"),)/12,)-1,)*Index!DO$23*(DS$15&lt;=$J67)*(1-DS$12)</f>
        <v>0</v>
      </c>
      <c r="DT67" s="747">
        <f>$G67*$H67*(1+$K67)^MAX(ROUNDUP(IFERROR(DATEDIF($I67-1,DT$15+1,"m"),)/12,)-1,)*Index!DP$23*(DT$15&lt;=$J67)*(1-DT$12)</f>
        <v>0</v>
      </c>
      <c r="DU67" s="747">
        <f>$G67*$H67*(1+$K67)^MAX(ROUNDUP(IFERROR(DATEDIF($I67-1,DU$15+1,"m"),)/12,)-1,)*Index!DQ$23*(DU$15&lt;=$J67)*(1-DU$12)</f>
        <v>0</v>
      </c>
      <c r="DV67" s="747">
        <f>$G67*$H67*(1+$K67)^MAX(ROUNDUP(IFERROR(DATEDIF($I67-1,DV$15+1,"m"),)/12,)-1,)*Index!DR$23*(DV$15&lt;=$J67)*(1-DV$12)</f>
        <v>0</v>
      </c>
      <c r="DW67" s="747">
        <f>$G67*$H67*(1+$K67)^MAX(ROUNDUP(IFERROR(DATEDIF($I67-1,DW$15+1,"m"),)/12,)-1,)*Index!DS$23*(DW$15&lt;=$J67)*(1-DW$12)</f>
        <v>0</v>
      </c>
      <c r="DX67" s="747">
        <f>$G67*$H67*(1+$K67)^MAX(ROUNDUP(IFERROR(DATEDIF($I67-1,DX$15+1,"m"),)/12,)-1,)*Index!DT$23*(DX$15&lt;=$J67)*(1-DX$12)</f>
        <v>0</v>
      </c>
      <c r="DY67" s="747">
        <f>$G67*$H67*(1+$K67)^MAX(ROUNDUP(IFERROR(DATEDIF($I67-1,DY$15+1,"m"),)/12,)-1,)*Index!DU$23*(DY$15&lt;=$J67)*(1-DY$12)</f>
        <v>0</v>
      </c>
      <c r="DZ67" s="747">
        <f>$G67*$H67*(1+$K67)^MAX(ROUNDUP(IFERROR(DATEDIF($I67-1,DZ$15+1,"m"),)/12,)-1,)*Index!DV$23*(DZ$15&lt;=$J67)*(1-DZ$12)</f>
        <v>0</v>
      </c>
      <c r="EA67" s="747">
        <f>$G67*$H67*(1+$K67)^MAX(ROUNDUP(IFERROR(DATEDIF($I67-1,EA$15+1,"m"),)/12,)-1,)*Index!DW$23*(EA$15&lt;=$J67)*(1-EA$12)</f>
        <v>0</v>
      </c>
      <c r="EB67" s="747">
        <f>$G67*$H67*(1+$K67)^MAX(ROUNDUP(IFERROR(DATEDIF($I67-1,EB$15+1,"m"),)/12,)-1,)*Index!DX$23*(EB$15&lt;=$J67)*(1-EB$12)</f>
        <v>0</v>
      </c>
      <c r="EC67" s="747">
        <f>$G67*$H67*(1+$K67)^MAX(ROUNDUP(IFERROR(DATEDIF($I67-1,EC$15+1,"m"),)/12,)-1,)*Index!DY$23*(EC$15&lt;=$J67)*(1-EC$12)</f>
        <v>0</v>
      </c>
      <c r="ED67" s="747">
        <f>$G67*$H67*(1+$K67)^MAX(ROUNDUP(IFERROR(DATEDIF($I67-1,ED$15+1,"m"),)/12,)-1,)*Index!DZ$23*(ED$15&lt;=$J67)*(1-ED$12)</f>
        <v>0</v>
      </c>
      <c r="EE67" s="747">
        <f>$G67*$H67*(1+$K67)^MAX(ROUNDUP(IFERROR(DATEDIF($I67-1,EE$15+1,"m"),)/12,)-1,)*Index!EA$23*(EE$15&lt;=$J67)*(1-EE$12)</f>
        <v>0</v>
      </c>
      <c r="EF67" s="747">
        <f>$G67*$H67*(1+$K67)^MAX(ROUNDUP(IFERROR(DATEDIF($I67-1,EF$15+1,"m"),)/12,)-1,)*Index!EB$23*(EF$15&lt;=$J67)*(1-EF$12)</f>
        <v>0</v>
      </c>
      <c r="EG67" s="747">
        <f>$G67*$H67*(1+$K67)^MAX(ROUNDUP(IFERROR(DATEDIF($I67-1,EG$15+1,"m"),)/12,)-1,)*Index!EC$23*(EG$15&lt;=$J67)*(1-EG$12)</f>
        <v>0</v>
      </c>
      <c r="EH67" s="747">
        <f>$G67*$H67*(1+$K67)^MAX(ROUNDUP(IFERROR(DATEDIF($I67-1,EH$15+1,"m"),)/12,)-1,)*Index!ED$23*(EH$15&lt;=$J67)*(1-EH$12)</f>
        <v>0</v>
      </c>
      <c r="EI67" s="747">
        <f>$G67*$H67*(1+$K67)^MAX(ROUNDUP(IFERROR(DATEDIF($I67-1,EI$15+1,"m"),)/12,)-1,)*Index!EE$23*(EI$15&lt;=$J67)*(1-EI$12)</f>
        <v>0</v>
      </c>
      <c r="EJ67" s="747">
        <f>$G67*$H67*(1+$K67)^MAX(ROUNDUP(IFERROR(DATEDIF($I67-1,EJ$15+1,"m"),)/12,)-1,)*Index!EF$23*(EJ$15&lt;=$J67)*(1-EJ$12)</f>
        <v>0</v>
      </c>
      <c r="EK67" s="747">
        <f>$G67*$H67*(1+$K67)^MAX(ROUNDUP(IFERROR(DATEDIF($I67-1,EK$15+1,"m"),)/12,)-1,)*Index!EG$23*(EK$15&lt;=$J67)*(1-EK$12)</f>
        <v>0</v>
      </c>
      <c r="EL67" s="747">
        <f>$G67*$H67*(1+$K67)^MAX(ROUNDUP(IFERROR(DATEDIF($I67-1,EL$15+1,"m"),)/12,)-1,)*Index!EH$23*(EL$15&lt;=$J67)*(1-EL$12)</f>
        <v>0</v>
      </c>
      <c r="EM67" s="747">
        <f>$G67*$H67*(1+$K67)^MAX(ROUNDUP(IFERROR(DATEDIF($I67-1,EM$15+1,"m"),)/12,)-1,)*Index!EI$23*(EM$15&lt;=$J67)*(1-EM$12)</f>
        <v>0</v>
      </c>
      <c r="EN67" s="747">
        <f>$G67*$H67*(1+$K67)^MAX(ROUNDUP(IFERROR(DATEDIF($I67-1,EN$15+1,"m"),)/12,)-1,)*Index!EJ$23*(EN$15&lt;=$J67)*(1-EN$12)</f>
        <v>0</v>
      </c>
      <c r="EO67" s="747">
        <f>$G67*$H67*(1+$K67)^MAX(ROUNDUP(IFERROR(DATEDIF($I67-1,EO$15+1,"m"),)/12,)-1,)*Index!EK$23*(EO$15&lt;=$J67)*(1-EO$12)</f>
        <v>0</v>
      </c>
      <c r="EP67" s="747">
        <f>$G67*$H67*(1+$K67)^MAX(ROUNDUP(IFERROR(DATEDIF($I67-1,EP$15+1,"m"),)/12,)-1,)*Index!EL$23*(EP$15&lt;=$J67)*(1-EP$12)</f>
        <v>0</v>
      </c>
      <c r="EQ67" s="747">
        <f>$G67*$H67*(1+$K67)^MAX(ROUNDUP(IFERROR(DATEDIF($I67-1,EQ$15+1,"m"),)/12,)-1,)*Index!EM$23*(EQ$15&lt;=$J67)*(1-EQ$12)</f>
        <v>0</v>
      </c>
      <c r="ER67" s="747">
        <f>$G67*$H67*(1+$K67)^MAX(ROUNDUP(IFERROR(DATEDIF($I67-1,ER$15+1,"m"),)/12,)-1,)*Index!EN$23*(ER$15&lt;=$J67)*(1-ER$12)</f>
        <v>0</v>
      </c>
      <c r="ES67" s="747">
        <f>$G67*$H67*(1+$K67)^MAX(ROUNDUP(IFERROR(DATEDIF($I67-1,ES$15+1,"m"),)/12,)-1,)*Index!EO$23*(ES$15&lt;=$J67)*(1-ES$12)</f>
        <v>0</v>
      </c>
      <c r="ET67" s="747">
        <f>$G67*$H67*(1+$K67)^MAX(ROUNDUP(IFERROR(DATEDIF($I67-1,ET$15+1,"m"),)/12,)-1,)*Index!EP$23*(ET$15&lt;=$J67)*(1-ET$12)</f>
        <v>0</v>
      </c>
      <c r="EU67" s="747">
        <f>$G67*$H67*(1+$K67)^MAX(ROUNDUP(IFERROR(DATEDIF($I67-1,EU$15+1,"m"),)/12,)-1,)*Index!EQ$23*(EU$15&lt;=$J67)*(1-EU$12)</f>
        <v>0</v>
      </c>
    </row>
    <row r="68" spans="3:151" ht="11.25" customHeight="1">
      <c r="C68" s="828"/>
      <c r="D68" s="743" t="str">
        <f t="shared" ref="D68:K68" si="35">D32</f>
        <v>B1</v>
      </c>
      <c r="E68" s="704" t="str">
        <f t="shared" si="35"/>
        <v>쿠팡</v>
      </c>
      <c r="F68" s="704" t="str">
        <f t="shared" si="35"/>
        <v>상온창고</v>
      </c>
      <c r="G68" s="752">
        <f t="shared" si="35"/>
        <v>60</v>
      </c>
      <c r="H68" s="744">
        <f t="shared" si="35"/>
        <v>2745.32</v>
      </c>
      <c r="I68" s="745">
        <f t="shared" si="35"/>
        <v>45748</v>
      </c>
      <c r="J68" s="745">
        <f t="shared" si="35"/>
        <v>49064</v>
      </c>
      <c r="K68" s="754">
        <f t="shared" si="35"/>
        <v>2.5000000000000001E-2</v>
      </c>
      <c r="L68" s="748"/>
      <c r="M68" s="749"/>
      <c r="N68" s="747">
        <f t="shared" si="21"/>
        <v>0</v>
      </c>
      <c r="O68" s="733"/>
      <c r="P68" s="747">
        <f>$G68*$H68*(1+$K68)^MAX(ROUNDUP(IFERROR(DATEDIF($I68-1,P$15+1,"m"),)/12,)-1,)*Index!L$23*(P$15&lt;=$J68)*(1-P$12)</f>
        <v>0</v>
      </c>
      <c r="Q68" s="747">
        <f>$G68*$H68*(1+$K68)^MAX(ROUNDUP(IFERROR(DATEDIF($I68-1,Q$15+1,"m"),)/12,)-1,)*Index!M$23*(Q$15&lt;=$J68)*(1-Q$12)</f>
        <v>0</v>
      </c>
      <c r="R68" s="747">
        <f>$G68*$H68*(1+$K68)^MAX(ROUNDUP(IFERROR(DATEDIF($I68-1,R$15+1,"m"),)/12,)-1,)*Index!N$23*(R$15&lt;=$J68)*(1-R$12)</f>
        <v>0</v>
      </c>
      <c r="S68" s="747">
        <f>$G68*$H68*(1+$K68)^MAX(ROUNDUP(IFERROR(DATEDIF($I68-1,S$15+1,"m"),)/12,)-1,)*Index!O$23*(S$15&lt;=$J68)*(1-S$12)</f>
        <v>0</v>
      </c>
      <c r="T68" s="747">
        <f>$G68*$H68*(1+$K68)^MAX(ROUNDUP(IFERROR(DATEDIF($I68-1,T$15+1,"m"),)/12,)-1,)*Index!P$23*(T$15&lt;=$J68)*(1-T$12)</f>
        <v>0</v>
      </c>
      <c r="U68" s="747">
        <f>$G68*$H68*(1+$K68)^MAX(ROUNDUP(IFERROR(DATEDIF($I68-1,U$15+1,"m"),)/12,)-1,)*Index!Q$23*(U$15&lt;=$J68)*(1-U$12)</f>
        <v>0</v>
      </c>
      <c r="V68" s="747">
        <f>$G68*$H68*(1+$K68)^MAX(ROUNDUP(IFERROR(DATEDIF($I68-1,V$15+1,"m"),)/12,)-1,)*Index!R$23*(V$15&lt;=$J68)*(1-V$12)</f>
        <v>0</v>
      </c>
      <c r="W68" s="747">
        <f>$G68*$H68*(1+$K68)^MAX(ROUNDUP(IFERROR(DATEDIF($I68-1,W$15+1,"m"),)/12,)-1,)*Index!S$23*(W$15&lt;=$J68)*(1-W$12)</f>
        <v>0</v>
      </c>
      <c r="X68" s="747">
        <f>$G68*$H68*(1+$K68)^MAX(ROUNDUP(IFERROR(DATEDIF($I68-1,X$15+1,"m"),)/12,)-1,)*Index!T$23*(X$15&lt;=$J68)*(1-X$12)</f>
        <v>0</v>
      </c>
      <c r="Y68" s="747">
        <f>$G68*$H68*(1+$K68)^MAX(ROUNDUP(IFERROR(DATEDIF($I68-1,Y$15+1,"m"),)/12,)-1,)*Index!U$23*(Y$15&lt;=$J68)*(1-Y$12)</f>
        <v>0</v>
      </c>
      <c r="Z68" s="747">
        <f>$G68*$H68*(1+$K68)^MAX(ROUNDUP(IFERROR(DATEDIF($I68-1,Z$15+1,"m"),)/12,)-1,)*Index!V$23*(Z$15&lt;=$J68)*(1-Z$12)</f>
        <v>0</v>
      </c>
      <c r="AA68" s="747">
        <f>$G68*$H68*(1+$K68)^MAX(ROUNDUP(IFERROR(DATEDIF($I68-1,AA$15+1,"m"),)/12,)-1,)*Index!W$23*(AA$15&lt;=$J68)*(1-AA$12)</f>
        <v>0</v>
      </c>
      <c r="AB68" s="747">
        <f>$G68*$H68*(1+$K68)^MAX(ROUNDUP(IFERROR(DATEDIF($I68-1,AB$15+1,"m"),)/12,)-1,)*Index!X$23*(AB$15&lt;=$J68)*(1-AB$12)</f>
        <v>0</v>
      </c>
      <c r="AC68" s="747">
        <f>$G68*$H68*(1+$K68)^MAX(ROUNDUP(IFERROR(DATEDIF($I68-1,AC$15+1,"m"),)/12,)-1,)*Index!Y$23*(AC$15&lt;=$J68)*(1-AC$12)</f>
        <v>0</v>
      </c>
      <c r="AD68" s="747">
        <f>$G68*$H68*(1+$K68)^MAX(ROUNDUP(IFERROR(DATEDIF($I68-1,AD$15+1,"m"),)/12,)-1,)*Index!Z$23*(AD$15&lt;=$J68)*(1-AD$12)</f>
        <v>0</v>
      </c>
      <c r="AE68" s="747">
        <f>$G68*$H68*(1+$K68)^MAX(ROUNDUP(IFERROR(DATEDIF($I68-1,AE$15+1,"m"),)/12,)-1,)*Index!AA$23*(AE$15&lt;=$J68)*(1-AE$12)</f>
        <v>0</v>
      </c>
      <c r="AF68" s="747">
        <f>$G68*$H68*(1+$K68)^MAX(ROUNDUP(IFERROR(DATEDIF($I68-1,AF$15+1,"m"),)/12,)-1,)*Index!AB$23*(AF$15&lt;=$J68)*(1-AF$12)</f>
        <v>0</v>
      </c>
      <c r="AG68" s="747">
        <f>$G68*$H68*(1+$K68)^MAX(ROUNDUP(IFERROR(DATEDIF($I68-1,AG$15+1,"m"),)/12,)-1,)*Index!AC$23*(AG$15&lt;=$J68)*(1-AG$12)</f>
        <v>0</v>
      </c>
      <c r="AH68" s="747">
        <f>$G68*$H68*(1+$K68)^MAX(ROUNDUP(IFERROR(DATEDIF($I68-1,AH$15+1,"m"),)/12,)-1,)*Index!AD$23*(AH$15&lt;=$J68)*(1-AH$12)</f>
        <v>0</v>
      </c>
      <c r="AI68" s="747">
        <f>$G68*$H68*(1+$K68)^MAX(ROUNDUP(IFERROR(DATEDIF($I68-1,AI$15+1,"m"),)/12,)-1,)*Index!AE$23*(AI$15&lt;=$J68)*(1-AI$12)</f>
        <v>0</v>
      </c>
      <c r="AJ68" s="747">
        <f>$G68*$H68*(1+$K68)^MAX(ROUNDUP(IFERROR(DATEDIF($I68-1,AJ$15+1,"m"),)/12,)-1,)*Index!AF$23*(AJ$15&lt;=$J68)*(1-AJ$12)</f>
        <v>0</v>
      </c>
      <c r="AK68" s="747">
        <f>$G68*$H68*(1+$K68)^MAX(ROUNDUP(IFERROR(DATEDIF($I68-1,AK$15+1,"m"),)/12,)-1,)*Index!AG$23*(AK$15&lt;=$J68)*(1-AK$12)</f>
        <v>0</v>
      </c>
      <c r="AL68" s="747">
        <f>$G68*$H68*(1+$K68)^MAX(ROUNDUP(IFERROR(DATEDIF($I68-1,AL$15+1,"m"),)/12,)-1,)*Index!AH$23*(AL$15&lt;=$J68)*(1-AL$12)</f>
        <v>0</v>
      </c>
      <c r="AM68" s="747">
        <f>$G68*$H68*(1+$K68)^MAX(ROUNDUP(IFERROR(DATEDIF($I68-1,AM$15+1,"m"),)/12,)-1,)*Index!AI$23*(AM$15&lt;=$J68)*(1-AM$12)</f>
        <v>0</v>
      </c>
      <c r="AN68" s="747">
        <f>$G68*$H68*(1+$K68)^MAX(ROUNDUP(IFERROR(DATEDIF($I68-1,AN$15+1,"m"),)/12,)-1,)*Index!AJ$23*(AN$15&lt;=$J68)*(1-AN$12)</f>
        <v>0</v>
      </c>
      <c r="AO68" s="747">
        <f>$G68*$H68*(1+$K68)^MAX(ROUNDUP(IFERROR(DATEDIF($I68-1,AO$15+1,"m"),)/12,)-1,)*Index!AK$23*(AO$15&lt;=$J68)*(1-AO$12)</f>
        <v>0</v>
      </c>
      <c r="AP68" s="747">
        <f>$G68*$H68*(1+$K68)^MAX(ROUNDUP(IFERROR(DATEDIF($I68-1,AP$15+1,"m"),)/12,)-1,)*Index!AL$23*(AP$15&lt;=$J68)*(1-AP$12)</f>
        <v>0</v>
      </c>
      <c r="AQ68" s="747">
        <f>$G68*$H68*(1+$K68)^MAX(ROUNDUP(IFERROR(DATEDIF($I68-1,AQ$15+1,"m"),)/12,)-1,)*Index!AM$23*(AQ$15&lt;=$J68)*(1-AQ$12)</f>
        <v>0</v>
      </c>
      <c r="AR68" s="747">
        <f>$G68*$H68*(1+$K68)^MAX(ROUNDUP(IFERROR(DATEDIF($I68-1,AR$15+1,"m"),)/12,)-1,)*Index!AN$23*(AR$15&lt;=$J68)*(1-AR$12)</f>
        <v>0</v>
      </c>
      <c r="AS68" s="747">
        <f>$G68*$H68*(1+$K68)^MAX(ROUNDUP(IFERROR(DATEDIF($I68-1,AS$15+1,"m"),)/12,)-1,)*Index!AO$23*(AS$15&lt;=$J68)*(1-AS$12)</f>
        <v>0</v>
      </c>
      <c r="AT68" s="747">
        <f>$G68*$H68*(1+$K68)^MAX(ROUNDUP(IFERROR(DATEDIF($I68-1,AT$15+1,"m"),)/12,)-1,)*Index!AP$23*(AT$15&lt;=$J68)*(1-AT$12)</f>
        <v>0</v>
      </c>
      <c r="AU68" s="747">
        <f>$G68*$H68*(1+$K68)^MAX(ROUNDUP(IFERROR(DATEDIF($I68-1,AU$15+1,"m"),)/12,)-1,)*Index!AQ$23*(AU$15&lt;=$J68)*(1-AU$12)</f>
        <v>0</v>
      </c>
      <c r="AV68" s="747">
        <f>$G68*$H68*(1+$K68)^MAX(ROUNDUP(IFERROR(DATEDIF($I68-1,AV$15+1,"m"),)/12,)-1,)*Index!AR$23*(AV$15&lt;=$J68)*(1-AV$12)</f>
        <v>0</v>
      </c>
      <c r="AW68" s="747">
        <f>$G68*$H68*(1+$K68)^MAX(ROUNDUP(IFERROR(DATEDIF($I68-1,AW$15+1,"m"),)/12,)-1,)*Index!AS$23*(AW$15&lt;=$J68)*(1-AW$12)</f>
        <v>0</v>
      </c>
      <c r="AX68" s="747">
        <f>$G68*$H68*(1+$K68)^MAX(ROUNDUP(IFERROR(DATEDIF($I68-1,AX$15+1,"m"),)/12,)-1,)*Index!AT$23*(AX$15&lt;=$J68)*(1-AX$12)</f>
        <v>0</v>
      </c>
      <c r="AY68" s="747">
        <f>$G68*$H68*(1+$K68)^MAX(ROUNDUP(IFERROR(DATEDIF($I68-1,AY$15+1,"m"),)/12,)-1,)*Index!AU$23*(AY$15&lt;=$J68)*(1-AY$12)</f>
        <v>0</v>
      </c>
      <c r="AZ68" s="747">
        <f>$G68*$H68*(1+$K68)^MAX(ROUNDUP(IFERROR(DATEDIF($I68-1,AZ$15+1,"m"),)/12,)-1,)*Index!AV$23*(AZ$15&lt;=$J68)*(1-AZ$12)</f>
        <v>0</v>
      </c>
      <c r="BA68" s="747">
        <f>$G68*$H68*(1+$K68)^MAX(ROUNDUP(IFERROR(DATEDIF($I68-1,BA$15+1,"m"),)/12,)-1,)*Index!AW$23*(BA$15&lt;=$J68)*(1-BA$12)</f>
        <v>0</v>
      </c>
      <c r="BB68" s="747">
        <f>$G68*$H68*(1+$K68)^MAX(ROUNDUP(IFERROR(DATEDIF($I68-1,BB$15+1,"m"),)/12,)-1,)*Index!AX$23*(BB$15&lt;=$J68)*(1-BB$12)</f>
        <v>0</v>
      </c>
      <c r="BC68" s="747">
        <f>$G68*$H68*(1+$K68)^MAX(ROUNDUP(IFERROR(DATEDIF($I68-1,BC$15+1,"m"),)/12,)-1,)*Index!AY$23*(BC$15&lt;=$J68)*(1-BC$12)</f>
        <v>0</v>
      </c>
      <c r="BD68" s="747">
        <f>$G68*$H68*(1+$K68)^MAX(ROUNDUP(IFERROR(DATEDIF($I68-1,BD$15+1,"m"),)/12,)-1,)*Index!AZ$23*(BD$15&lt;=$J68)*(1-BD$12)</f>
        <v>0</v>
      </c>
      <c r="BE68" s="747">
        <f>$G68*$H68*(1+$K68)^MAX(ROUNDUP(IFERROR(DATEDIF($I68-1,BE$15+1,"m"),)/12,)-1,)*Index!BA$23*(BE$15&lt;=$J68)*(1-BE$12)</f>
        <v>0</v>
      </c>
      <c r="BF68" s="747">
        <f>$G68*$H68*(1+$K68)^MAX(ROUNDUP(IFERROR(DATEDIF($I68-1,BF$15+1,"m"),)/12,)-1,)*Index!BB$23*(BF$15&lt;=$J68)*(1-BF$12)</f>
        <v>0</v>
      </c>
      <c r="BG68" s="747">
        <f>$G68*$H68*(1+$K68)^MAX(ROUNDUP(IFERROR(DATEDIF($I68-1,BG$15+1,"m"),)/12,)-1,)*Index!BC$23*(BG$15&lt;=$J68)*(1-BG$12)</f>
        <v>0</v>
      </c>
      <c r="BH68" s="747">
        <f>$G68*$H68*(1+$K68)^MAX(ROUNDUP(IFERROR(DATEDIF($I68-1,BH$15+1,"m"),)/12,)-1,)*Index!BD$23*(BH$15&lt;=$J68)*(1-BH$12)</f>
        <v>0</v>
      </c>
      <c r="BI68" s="747">
        <f>$G68*$H68*(1+$K68)^MAX(ROUNDUP(IFERROR(DATEDIF($I68-1,BI$15+1,"m"),)/12,)-1,)*Index!BE$23*(BI$15&lt;=$J68)*(1-BI$12)</f>
        <v>0</v>
      </c>
      <c r="BJ68" s="747">
        <f>$G68*$H68*(1+$K68)^MAX(ROUNDUP(IFERROR(DATEDIF($I68-1,BJ$15+1,"m"),)/12,)-1,)*Index!BF$23*(BJ$15&lt;=$J68)*(1-BJ$12)</f>
        <v>0</v>
      </c>
      <c r="BK68" s="747">
        <f>$G68*$H68*(1+$K68)^MAX(ROUNDUP(IFERROR(DATEDIF($I68-1,BK$15+1,"m"),)/12,)-1,)*Index!BG$23*(BK$15&lt;=$J68)*(1-BK$12)</f>
        <v>0</v>
      </c>
      <c r="BL68" s="747">
        <f>$G68*$H68*(1+$K68)^MAX(ROUNDUP(IFERROR(DATEDIF($I68-1,BL$15+1,"m"),)/12,)-1,)*Index!BH$23*(BL$15&lt;=$J68)*(1-BL$12)</f>
        <v>0</v>
      </c>
      <c r="BM68" s="747">
        <f>$G68*$H68*(1+$K68)^MAX(ROUNDUP(IFERROR(DATEDIF($I68-1,BM$15+1,"m"),)/12,)-1,)*Index!BI$23*(BM$15&lt;=$J68)*(1-BM$12)</f>
        <v>0</v>
      </c>
      <c r="BN68" s="747">
        <f>$G68*$H68*(1+$K68)^MAX(ROUNDUP(IFERROR(DATEDIF($I68-1,BN$15+1,"m"),)/12,)-1,)*Index!BJ$23*(BN$15&lt;=$J68)*(1-BN$12)</f>
        <v>0</v>
      </c>
      <c r="BO68" s="747">
        <f>$G68*$H68*(1+$K68)^MAX(ROUNDUP(IFERROR(DATEDIF($I68-1,BO$15+1,"m"),)/12,)-1,)*Index!BK$23*(BO$15&lt;=$J68)*(1-BO$12)</f>
        <v>0</v>
      </c>
      <c r="BP68" s="747">
        <f>$G68*$H68*(1+$K68)^MAX(ROUNDUP(IFERROR(DATEDIF($I68-1,BP$15+1,"m"),)/12,)-1,)*Index!BL$23*(BP$15&lt;=$J68)*(1-BP$12)</f>
        <v>0</v>
      </c>
      <c r="BQ68" s="747">
        <f>$G68*$H68*(1+$K68)^MAX(ROUNDUP(IFERROR(DATEDIF($I68-1,BQ$15+1,"m"),)/12,)-1,)*Index!BM$23*(BQ$15&lt;=$J68)*(1-BQ$12)</f>
        <v>0</v>
      </c>
      <c r="BR68" s="747">
        <f>$G68*$H68*(1+$K68)^MAX(ROUNDUP(IFERROR(DATEDIF($I68-1,BR$15+1,"m"),)/12,)-1,)*Index!BN$23*(BR$15&lt;=$J68)*(1-BR$12)</f>
        <v>0</v>
      </c>
      <c r="BS68" s="747">
        <f>$G68*$H68*(1+$K68)^MAX(ROUNDUP(IFERROR(DATEDIF($I68-1,BS$15+1,"m"),)/12,)-1,)*Index!BO$23*(BS$15&lt;=$J68)*(1-BS$12)</f>
        <v>0</v>
      </c>
      <c r="BT68" s="747">
        <f>$G68*$H68*(1+$K68)^MAX(ROUNDUP(IFERROR(DATEDIF($I68-1,BT$15+1,"m"),)/12,)-1,)*Index!BP$23*(BT$15&lt;=$J68)*(1-BT$12)</f>
        <v>0</v>
      </c>
      <c r="BU68" s="747">
        <f>$G68*$H68*(1+$K68)^MAX(ROUNDUP(IFERROR(DATEDIF($I68-1,BU$15+1,"m"),)/12,)-1,)*Index!BQ$23*(BU$15&lt;=$J68)*(1-BU$12)</f>
        <v>0</v>
      </c>
      <c r="BV68" s="747">
        <f>$G68*$H68*(1+$K68)^MAX(ROUNDUP(IFERROR(DATEDIF($I68-1,BV$15+1,"m"),)/12,)-1,)*Index!BR$23*(BV$15&lt;=$J68)*(1-BV$12)</f>
        <v>0</v>
      </c>
      <c r="BW68" s="747">
        <f>$G68*$H68*(1+$K68)^MAX(ROUNDUP(IFERROR(DATEDIF($I68-1,BW$15+1,"m"),)/12,)-1,)*Index!BS$23*(BW$15&lt;=$J68)*(1-BW$12)</f>
        <v>0</v>
      </c>
      <c r="BX68" s="747">
        <f>$G68*$H68*(1+$K68)^MAX(ROUNDUP(IFERROR(DATEDIF($I68-1,BX$15+1,"m"),)/12,)-1,)*Index!BT$23*(BX$15&lt;=$J68)*(1-BX$12)</f>
        <v>0</v>
      </c>
      <c r="BY68" s="747">
        <f>$G68*$H68*(1+$K68)^MAX(ROUNDUP(IFERROR(DATEDIF($I68-1,BY$15+1,"m"),)/12,)-1,)*Index!BU$23*(BY$15&lt;=$J68)*(1-BY$12)</f>
        <v>0</v>
      </c>
      <c r="BZ68" s="747">
        <f>$G68*$H68*(1+$K68)^MAX(ROUNDUP(IFERROR(DATEDIF($I68-1,BZ$15+1,"m"),)/12,)-1,)*Index!BV$23*(BZ$15&lt;=$J68)*(1-BZ$12)</f>
        <v>0</v>
      </c>
      <c r="CA68" s="747">
        <f>$G68*$H68*(1+$K68)^MAX(ROUNDUP(IFERROR(DATEDIF($I68-1,CA$15+1,"m"),)/12,)-1,)*Index!BW$23*(CA$15&lt;=$J68)*(1-CA$12)</f>
        <v>0</v>
      </c>
      <c r="CB68" s="747">
        <f>$G68*$H68*(1+$K68)^MAX(ROUNDUP(IFERROR(DATEDIF($I68-1,CB$15+1,"m"),)/12,)-1,)*Index!BX$23*(CB$15&lt;=$J68)*(1-CB$12)</f>
        <v>0</v>
      </c>
      <c r="CC68" s="747">
        <f>$G68*$H68*(1+$K68)^MAX(ROUNDUP(IFERROR(DATEDIF($I68-1,CC$15+1,"m"),)/12,)-1,)*Index!BY$23*(CC$15&lt;=$J68)*(1-CC$12)</f>
        <v>0</v>
      </c>
      <c r="CD68" s="747">
        <f>$G68*$H68*(1+$K68)^MAX(ROUNDUP(IFERROR(DATEDIF($I68-1,CD$15+1,"m"),)/12,)-1,)*Index!BZ$23*(CD$15&lt;=$J68)*(1-CD$12)</f>
        <v>0</v>
      </c>
      <c r="CE68" s="747">
        <f>$G68*$H68*(1+$K68)^MAX(ROUNDUP(IFERROR(DATEDIF($I68-1,CE$15+1,"m"),)/12,)-1,)*Index!CA$23*(CE$15&lt;=$J68)*(1-CE$12)</f>
        <v>0</v>
      </c>
      <c r="CF68" s="747">
        <f>$G68*$H68*(1+$K68)^MAX(ROUNDUP(IFERROR(DATEDIF($I68-1,CF$15+1,"m"),)/12,)-1,)*Index!CB$23*(CF$15&lt;=$J68)*(1-CF$12)</f>
        <v>0</v>
      </c>
      <c r="CG68" s="747">
        <f>$G68*$H68*(1+$K68)^MAX(ROUNDUP(IFERROR(DATEDIF($I68-1,CG$15+1,"m"),)/12,)-1,)*Index!CC$23*(CG$15&lt;=$J68)*(1-CG$12)</f>
        <v>0</v>
      </c>
      <c r="CH68" s="747">
        <f>$G68*$H68*(1+$K68)^MAX(ROUNDUP(IFERROR(DATEDIF($I68-1,CH$15+1,"m"),)/12,)-1,)*Index!CD$23*(CH$15&lt;=$J68)*(1-CH$12)</f>
        <v>0</v>
      </c>
      <c r="CI68" s="747">
        <f>$G68*$H68*(1+$K68)^MAX(ROUNDUP(IFERROR(DATEDIF($I68-1,CI$15+1,"m"),)/12,)-1,)*Index!CE$23*(CI$15&lt;=$J68)*(1-CI$12)</f>
        <v>0</v>
      </c>
      <c r="CJ68" s="747">
        <f>$G68*$H68*(1+$K68)^MAX(ROUNDUP(IFERROR(DATEDIF($I68-1,CJ$15+1,"m"),)/12,)-1,)*Index!CF$23*(CJ$15&lt;=$J68)*(1-CJ$12)</f>
        <v>0</v>
      </c>
      <c r="CK68" s="747">
        <f>$G68*$H68*(1+$K68)^MAX(ROUNDUP(IFERROR(DATEDIF($I68-1,CK$15+1,"m"),)/12,)-1,)*Index!CG$23*(CK$15&lt;=$J68)*(1-CK$12)</f>
        <v>0</v>
      </c>
      <c r="CL68" s="747">
        <f>$G68*$H68*(1+$K68)^MAX(ROUNDUP(IFERROR(DATEDIF($I68-1,CL$15+1,"m"),)/12,)-1,)*Index!CH$23*(CL$15&lt;=$J68)*(1-CL$12)</f>
        <v>0</v>
      </c>
      <c r="CM68" s="747">
        <f>$G68*$H68*(1+$K68)^MAX(ROUNDUP(IFERROR(DATEDIF($I68-1,CM$15+1,"m"),)/12,)-1,)*Index!CI$23*(CM$15&lt;=$J68)*(1-CM$12)</f>
        <v>0</v>
      </c>
      <c r="CN68" s="747">
        <f>$G68*$H68*(1+$K68)^MAX(ROUNDUP(IFERROR(DATEDIF($I68-1,CN$15+1,"m"),)/12,)-1,)*Index!CJ$23*(CN$15&lt;=$J68)*(1-CN$12)</f>
        <v>0</v>
      </c>
      <c r="CO68" s="747">
        <f>$G68*$H68*(1+$K68)^MAX(ROUNDUP(IFERROR(DATEDIF($I68-1,CO$15+1,"m"),)/12,)-1,)*Index!CK$23*(CO$15&lt;=$J68)*(1-CO$12)</f>
        <v>0</v>
      </c>
      <c r="CP68" s="747">
        <f>$G68*$H68*(1+$K68)^MAX(ROUNDUP(IFERROR(DATEDIF($I68-1,CP$15+1,"m"),)/12,)-1,)*Index!CL$23*(CP$15&lt;=$J68)*(1-CP$12)</f>
        <v>0</v>
      </c>
      <c r="CQ68" s="747">
        <f>$G68*$H68*(1+$K68)^MAX(ROUNDUP(IFERROR(DATEDIF($I68-1,CQ$15+1,"m"),)/12,)-1,)*Index!CM$23*(CQ$15&lt;=$J68)*(1-CQ$12)</f>
        <v>0</v>
      </c>
      <c r="CR68" s="747">
        <f>$G68*$H68*(1+$K68)^MAX(ROUNDUP(IFERROR(DATEDIF($I68-1,CR$15+1,"m"),)/12,)-1,)*Index!CN$23*(CR$15&lt;=$J68)*(1-CR$12)</f>
        <v>0</v>
      </c>
      <c r="CS68" s="747">
        <f>$G68*$H68*(1+$K68)^MAX(ROUNDUP(IFERROR(DATEDIF($I68-1,CS$15+1,"m"),)/12,)-1,)*Index!CO$23*(CS$15&lt;=$J68)*(1-CS$12)</f>
        <v>0</v>
      </c>
      <c r="CT68" s="747">
        <f>$G68*$H68*(1+$K68)^MAX(ROUNDUP(IFERROR(DATEDIF($I68-1,CT$15+1,"m"),)/12,)-1,)*Index!CP$23*(CT$15&lt;=$J68)*(1-CT$12)</f>
        <v>0</v>
      </c>
      <c r="CU68" s="747">
        <f>$G68*$H68*(1+$K68)^MAX(ROUNDUP(IFERROR(DATEDIF($I68-1,CU$15+1,"m"),)/12,)-1,)*Index!CQ$23*(CU$15&lt;=$J68)*(1-CU$12)</f>
        <v>0</v>
      </c>
      <c r="CV68" s="747">
        <f>$G68*$H68*(1+$K68)^MAX(ROUNDUP(IFERROR(DATEDIF($I68-1,CV$15+1,"m"),)/12,)-1,)*Index!CR$23*(CV$15&lt;=$J68)*(1-CV$12)</f>
        <v>0</v>
      </c>
      <c r="CW68" s="747">
        <f>$G68*$H68*(1+$K68)^MAX(ROUNDUP(IFERROR(DATEDIF($I68-1,CW$15+1,"m"),)/12,)-1,)*Index!CS$23*(CW$15&lt;=$J68)*(1-CW$12)</f>
        <v>0</v>
      </c>
      <c r="CX68" s="747">
        <f>$G68*$H68*(1+$K68)^MAX(ROUNDUP(IFERROR(DATEDIF($I68-1,CX$15+1,"m"),)/12,)-1,)*Index!CT$23*(CX$15&lt;=$J68)*(1-CX$12)</f>
        <v>0</v>
      </c>
      <c r="CY68" s="747">
        <f>$G68*$H68*(1+$K68)^MAX(ROUNDUP(IFERROR(DATEDIF($I68-1,CY$15+1,"m"),)/12,)-1,)*Index!CU$23*(CY$15&lt;=$J68)*(1-CY$12)</f>
        <v>0</v>
      </c>
      <c r="CZ68" s="747">
        <f>$G68*$H68*(1+$K68)^MAX(ROUNDUP(IFERROR(DATEDIF($I68-1,CZ$15+1,"m"),)/12,)-1,)*Index!CV$23*(CZ$15&lt;=$J68)*(1-CZ$12)</f>
        <v>0</v>
      </c>
      <c r="DA68" s="747">
        <f>$G68*$H68*(1+$K68)^MAX(ROUNDUP(IFERROR(DATEDIF($I68-1,DA$15+1,"m"),)/12,)-1,)*Index!CW$23*(DA$15&lt;=$J68)*(1-DA$12)</f>
        <v>0</v>
      </c>
      <c r="DB68" s="747">
        <f>$G68*$H68*(1+$K68)^MAX(ROUNDUP(IFERROR(DATEDIF($I68-1,DB$15+1,"m"),)/12,)-1,)*Index!CX$23*(DB$15&lt;=$J68)*(1-DB$12)</f>
        <v>0</v>
      </c>
      <c r="DC68" s="747">
        <f>$G68*$H68*(1+$K68)^MAX(ROUNDUP(IFERROR(DATEDIF($I68-1,DC$15+1,"m"),)/12,)-1,)*Index!CY$23*(DC$15&lt;=$J68)*(1-DC$12)</f>
        <v>0</v>
      </c>
      <c r="DD68" s="747">
        <f>$G68*$H68*(1+$K68)^MAX(ROUNDUP(IFERROR(DATEDIF($I68-1,DD$15+1,"m"),)/12,)-1,)*Index!CZ$23*(DD$15&lt;=$J68)*(1-DD$12)</f>
        <v>0</v>
      </c>
      <c r="DE68" s="747">
        <f>$G68*$H68*(1+$K68)^MAX(ROUNDUP(IFERROR(DATEDIF($I68-1,DE$15+1,"m"),)/12,)-1,)*Index!DA$23*(DE$15&lt;=$J68)*(1-DE$12)</f>
        <v>0</v>
      </c>
      <c r="DF68" s="747">
        <f>$G68*$H68*(1+$K68)^MAX(ROUNDUP(IFERROR(DATEDIF($I68-1,DF$15+1,"m"),)/12,)-1,)*Index!DB$23*(DF$15&lt;=$J68)*(1-DF$12)</f>
        <v>0</v>
      </c>
      <c r="DG68" s="747">
        <f>$G68*$H68*(1+$K68)^MAX(ROUNDUP(IFERROR(DATEDIF($I68-1,DG$15+1,"m"),)/12,)-1,)*Index!DC$23*(DG$15&lt;=$J68)*(1-DG$12)</f>
        <v>0</v>
      </c>
      <c r="DH68" s="747">
        <f>$G68*$H68*(1+$K68)^MAX(ROUNDUP(IFERROR(DATEDIF($I68-1,DH$15+1,"m"),)/12,)-1,)*Index!DD$23*(DH$15&lt;=$J68)*(1-DH$12)</f>
        <v>0</v>
      </c>
      <c r="DI68" s="747">
        <f>$G68*$H68*(1+$K68)^MAX(ROUNDUP(IFERROR(DATEDIF($I68-1,DI$15+1,"m"),)/12,)-1,)*Index!DE$23*(DI$15&lt;=$J68)*(1-DI$12)</f>
        <v>0</v>
      </c>
      <c r="DJ68" s="747">
        <f>$G68*$H68*(1+$K68)^MAX(ROUNDUP(IFERROR(DATEDIF($I68-1,DJ$15+1,"m"),)/12,)-1,)*Index!DF$23*(DJ$15&lt;=$J68)*(1-DJ$12)</f>
        <v>0</v>
      </c>
      <c r="DK68" s="747">
        <f>$G68*$H68*(1+$K68)^MAX(ROUNDUP(IFERROR(DATEDIF($I68-1,DK$15+1,"m"),)/12,)-1,)*Index!DG$23*(DK$15&lt;=$J68)*(1-DK$12)</f>
        <v>0</v>
      </c>
      <c r="DL68" s="747">
        <f>$G68*$H68*(1+$K68)^MAX(ROUNDUP(IFERROR(DATEDIF($I68-1,DL$15+1,"m"),)/12,)-1,)*Index!DH$23*(DL$15&lt;=$J68)*(1-DL$12)</f>
        <v>0</v>
      </c>
      <c r="DM68" s="747">
        <f>$G68*$H68*(1+$K68)^MAX(ROUNDUP(IFERROR(DATEDIF($I68-1,DM$15+1,"m"),)/12,)-1,)*Index!DI$23*(DM$15&lt;=$J68)*(1-DM$12)</f>
        <v>0</v>
      </c>
      <c r="DN68" s="747">
        <f>$G68*$H68*(1+$K68)^MAX(ROUNDUP(IFERROR(DATEDIF($I68-1,DN$15+1,"m"),)/12,)-1,)*Index!DJ$23*(DN$15&lt;=$J68)*(1-DN$12)</f>
        <v>0</v>
      </c>
      <c r="DO68" s="747">
        <f>$G68*$H68*(1+$K68)^MAX(ROUNDUP(IFERROR(DATEDIF($I68-1,DO$15+1,"m"),)/12,)-1,)*Index!DK$23*(DO$15&lt;=$J68)*(1-DO$12)</f>
        <v>0</v>
      </c>
      <c r="DP68" s="747">
        <f>$G68*$H68*(1+$K68)^MAX(ROUNDUP(IFERROR(DATEDIF($I68-1,DP$15+1,"m"),)/12,)-1,)*Index!DL$23*(DP$15&lt;=$J68)*(1-DP$12)</f>
        <v>0</v>
      </c>
      <c r="DQ68" s="747">
        <f>$G68*$H68*(1+$K68)^MAX(ROUNDUP(IFERROR(DATEDIF($I68-1,DQ$15+1,"m"),)/12,)-1,)*Index!DM$23*(DQ$15&lt;=$J68)*(1-DQ$12)</f>
        <v>0</v>
      </c>
      <c r="DR68" s="747">
        <f>$G68*$H68*(1+$K68)^MAX(ROUNDUP(IFERROR(DATEDIF($I68-1,DR$15+1,"m"),)/12,)-1,)*Index!DN$23*(DR$15&lt;=$J68)*(1-DR$12)</f>
        <v>0</v>
      </c>
      <c r="DS68" s="747">
        <f>$G68*$H68*(1+$K68)^MAX(ROUNDUP(IFERROR(DATEDIF($I68-1,DS$15+1,"m"),)/12,)-1,)*Index!DO$23*(DS$15&lt;=$J68)*(1-DS$12)</f>
        <v>0</v>
      </c>
      <c r="DT68" s="747">
        <f>$G68*$H68*(1+$K68)^MAX(ROUNDUP(IFERROR(DATEDIF($I68-1,DT$15+1,"m"),)/12,)-1,)*Index!DP$23*(DT$15&lt;=$J68)*(1-DT$12)</f>
        <v>0</v>
      </c>
      <c r="DU68" s="747">
        <f>$G68*$H68*(1+$K68)^MAX(ROUNDUP(IFERROR(DATEDIF($I68-1,DU$15+1,"m"),)/12,)-1,)*Index!DQ$23*(DU$15&lt;=$J68)*(1-DU$12)</f>
        <v>0</v>
      </c>
      <c r="DV68" s="747">
        <f>$G68*$H68*(1+$K68)^MAX(ROUNDUP(IFERROR(DATEDIF($I68-1,DV$15+1,"m"),)/12,)-1,)*Index!DR$23*(DV$15&lt;=$J68)*(1-DV$12)</f>
        <v>0</v>
      </c>
      <c r="DW68" s="747">
        <f>$G68*$H68*(1+$K68)^MAX(ROUNDUP(IFERROR(DATEDIF($I68-1,DW$15+1,"m"),)/12,)-1,)*Index!DS$23*(DW$15&lt;=$J68)*(1-DW$12)</f>
        <v>0</v>
      </c>
      <c r="DX68" s="747">
        <f>$G68*$H68*(1+$K68)^MAX(ROUNDUP(IFERROR(DATEDIF($I68-1,DX$15+1,"m"),)/12,)-1,)*Index!DT$23*(DX$15&lt;=$J68)*(1-DX$12)</f>
        <v>0</v>
      </c>
      <c r="DY68" s="747">
        <f>$G68*$H68*(1+$K68)^MAX(ROUNDUP(IFERROR(DATEDIF($I68-1,DY$15+1,"m"),)/12,)-1,)*Index!DU$23*(DY$15&lt;=$J68)*(1-DY$12)</f>
        <v>0</v>
      </c>
      <c r="DZ68" s="747">
        <f>$G68*$H68*(1+$K68)^MAX(ROUNDUP(IFERROR(DATEDIF($I68-1,DZ$15+1,"m"),)/12,)-1,)*Index!DV$23*(DZ$15&lt;=$J68)*(1-DZ$12)</f>
        <v>0</v>
      </c>
      <c r="EA68" s="747">
        <f>$G68*$H68*(1+$K68)^MAX(ROUNDUP(IFERROR(DATEDIF($I68-1,EA$15+1,"m"),)/12,)-1,)*Index!DW$23*(EA$15&lt;=$J68)*(1-EA$12)</f>
        <v>0</v>
      </c>
      <c r="EB68" s="747">
        <f>$G68*$H68*(1+$K68)^MAX(ROUNDUP(IFERROR(DATEDIF($I68-1,EB$15+1,"m"),)/12,)-1,)*Index!DX$23*(EB$15&lt;=$J68)*(1-EB$12)</f>
        <v>0</v>
      </c>
      <c r="EC68" s="747">
        <f>$G68*$H68*(1+$K68)^MAX(ROUNDUP(IFERROR(DATEDIF($I68-1,EC$15+1,"m"),)/12,)-1,)*Index!DY$23*(EC$15&lt;=$J68)*(1-EC$12)</f>
        <v>0</v>
      </c>
      <c r="ED68" s="747">
        <f>$G68*$H68*(1+$K68)^MAX(ROUNDUP(IFERROR(DATEDIF($I68-1,ED$15+1,"m"),)/12,)-1,)*Index!DZ$23*(ED$15&lt;=$J68)*(1-ED$12)</f>
        <v>0</v>
      </c>
      <c r="EE68" s="747">
        <f>$G68*$H68*(1+$K68)^MAX(ROUNDUP(IFERROR(DATEDIF($I68-1,EE$15+1,"m"),)/12,)-1,)*Index!EA$23*(EE$15&lt;=$J68)*(1-EE$12)</f>
        <v>0</v>
      </c>
      <c r="EF68" s="747">
        <f>$G68*$H68*(1+$K68)^MAX(ROUNDUP(IFERROR(DATEDIF($I68-1,EF$15+1,"m"),)/12,)-1,)*Index!EB$23*(EF$15&lt;=$J68)*(1-EF$12)</f>
        <v>0</v>
      </c>
      <c r="EG68" s="747">
        <f>$G68*$H68*(1+$K68)^MAX(ROUNDUP(IFERROR(DATEDIF($I68-1,EG$15+1,"m"),)/12,)-1,)*Index!EC$23*(EG$15&lt;=$J68)*(1-EG$12)</f>
        <v>0</v>
      </c>
      <c r="EH68" s="747">
        <f>$G68*$H68*(1+$K68)^MAX(ROUNDUP(IFERROR(DATEDIF($I68-1,EH$15+1,"m"),)/12,)-1,)*Index!ED$23*(EH$15&lt;=$J68)*(1-EH$12)</f>
        <v>0</v>
      </c>
      <c r="EI68" s="747">
        <f>$G68*$H68*(1+$K68)^MAX(ROUNDUP(IFERROR(DATEDIF($I68-1,EI$15+1,"m"),)/12,)-1,)*Index!EE$23*(EI$15&lt;=$J68)*(1-EI$12)</f>
        <v>0</v>
      </c>
      <c r="EJ68" s="747">
        <f>$G68*$H68*(1+$K68)^MAX(ROUNDUP(IFERROR(DATEDIF($I68-1,EJ$15+1,"m"),)/12,)-1,)*Index!EF$23*(EJ$15&lt;=$J68)*(1-EJ$12)</f>
        <v>0</v>
      </c>
      <c r="EK68" s="747">
        <f>$G68*$H68*(1+$K68)^MAX(ROUNDUP(IFERROR(DATEDIF($I68-1,EK$15+1,"m"),)/12,)-1,)*Index!EG$23*(EK$15&lt;=$J68)*(1-EK$12)</f>
        <v>0</v>
      </c>
      <c r="EL68" s="747">
        <f>$G68*$H68*(1+$K68)^MAX(ROUNDUP(IFERROR(DATEDIF($I68-1,EL$15+1,"m"),)/12,)-1,)*Index!EH$23*(EL$15&lt;=$J68)*(1-EL$12)</f>
        <v>0</v>
      </c>
      <c r="EM68" s="747">
        <f>$G68*$H68*(1+$K68)^MAX(ROUNDUP(IFERROR(DATEDIF($I68-1,EM$15+1,"m"),)/12,)-1,)*Index!EI$23*(EM$15&lt;=$J68)*(1-EM$12)</f>
        <v>0</v>
      </c>
      <c r="EN68" s="747">
        <f>$G68*$H68*(1+$K68)^MAX(ROUNDUP(IFERROR(DATEDIF($I68-1,EN$15+1,"m"),)/12,)-1,)*Index!EJ$23*(EN$15&lt;=$J68)*(1-EN$12)</f>
        <v>0</v>
      </c>
      <c r="EO68" s="747">
        <f>$G68*$H68*(1+$K68)^MAX(ROUNDUP(IFERROR(DATEDIF($I68-1,EO$15+1,"m"),)/12,)-1,)*Index!EK$23*(EO$15&lt;=$J68)*(1-EO$12)</f>
        <v>0</v>
      </c>
      <c r="EP68" s="747">
        <f>$G68*$H68*(1+$K68)^MAX(ROUNDUP(IFERROR(DATEDIF($I68-1,EP$15+1,"m"),)/12,)-1,)*Index!EL$23*(EP$15&lt;=$J68)*(1-EP$12)</f>
        <v>0</v>
      </c>
      <c r="EQ68" s="747">
        <f>$G68*$H68*(1+$K68)^MAX(ROUNDUP(IFERROR(DATEDIF($I68-1,EQ$15+1,"m"),)/12,)-1,)*Index!EM$23*(EQ$15&lt;=$J68)*(1-EQ$12)</f>
        <v>0</v>
      </c>
      <c r="ER68" s="747">
        <f>$G68*$H68*(1+$K68)^MAX(ROUNDUP(IFERROR(DATEDIF($I68-1,ER$15+1,"m"),)/12,)-1,)*Index!EN$23*(ER$15&lt;=$J68)*(1-ER$12)</f>
        <v>0</v>
      </c>
      <c r="ES68" s="747">
        <f>$G68*$H68*(1+$K68)^MAX(ROUNDUP(IFERROR(DATEDIF($I68-1,ES$15+1,"m"),)/12,)-1,)*Index!EO$23*(ES$15&lt;=$J68)*(1-ES$12)</f>
        <v>0</v>
      </c>
      <c r="ET68" s="747">
        <f>$G68*$H68*(1+$K68)^MAX(ROUNDUP(IFERROR(DATEDIF($I68-1,ET$15+1,"m"),)/12,)-1,)*Index!EP$23*(ET$15&lt;=$J68)*(1-ET$12)</f>
        <v>0</v>
      </c>
      <c r="EU68" s="747">
        <f>$G68*$H68*(1+$K68)^MAX(ROUNDUP(IFERROR(DATEDIF($I68-1,EU$15+1,"m"),)/12,)-1,)*Index!EQ$23*(EU$15&lt;=$J68)*(1-EU$12)</f>
        <v>0</v>
      </c>
    </row>
    <row r="69" spans="3:151" ht="11.25" customHeight="1">
      <c r="C69" s="828"/>
      <c r="D69" s="743" t="str">
        <f t="shared" ref="D69:K69" si="36">D33</f>
        <v>B2</v>
      </c>
      <c r="E69" s="704" t="str">
        <f t="shared" si="36"/>
        <v>쿠팡</v>
      </c>
      <c r="F69" s="704" t="str">
        <f t="shared" si="36"/>
        <v>상온창고</v>
      </c>
      <c r="G69" s="752">
        <f t="shared" si="36"/>
        <v>60</v>
      </c>
      <c r="H69" s="744">
        <f t="shared" si="36"/>
        <v>2728.21</v>
      </c>
      <c r="I69" s="745">
        <f t="shared" si="36"/>
        <v>45992</v>
      </c>
      <c r="J69" s="745">
        <f t="shared" si="36"/>
        <v>49064</v>
      </c>
      <c r="K69" s="754">
        <f t="shared" si="36"/>
        <v>2.5000000000000001E-2</v>
      </c>
      <c r="L69" s="711"/>
      <c r="M69" s="722"/>
      <c r="N69" s="747">
        <f t="shared" si="21"/>
        <v>0</v>
      </c>
      <c r="O69" s="733"/>
      <c r="P69" s="747">
        <f>$G69*$H69*(1+$K69)^MAX(ROUNDUP(IFERROR(DATEDIF($I69-1,P$15+1,"m"),)/12,)-1,)*Index!L$23*(P$15&lt;=$J69)*(1-P$12)</f>
        <v>0</v>
      </c>
      <c r="Q69" s="747">
        <f>$G69*$H69*(1+$K69)^MAX(ROUNDUP(IFERROR(DATEDIF($I69-1,Q$15+1,"m"),)/12,)-1,)*Index!M$23*(Q$15&lt;=$J69)*(1-Q$12)</f>
        <v>0</v>
      </c>
      <c r="R69" s="747">
        <f>$G69*$H69*(1+$K69)^MAX(ROUNDUP(IFERROR(DATEDIF($I69-1,R$15+1,"m"),)/12,)-1,)*Index!N$23*(R$15&lt;=$J69)*(1-R$12)</f>
        <v>0</v>
      </c>
      <c r="S69" s="747">
        <f>$G69*$H69*(1+$K69)^MAX(ROUNDUP(IFERROR(DATEDIF($I69-1,S$15+1,"m"),)/12,)-1,)*Index!O$23*(S$15&lt;=$J69)*(1-S$12)</f>
        <v>0</v>
      </c>
      <c r="T69" s="747">
        <f>$G69*$H69*(1+$K69)^MAX(ROUNDUP(IFERROR(DATEDIF($I69-1,T$15+1,"m"),)/12,)-1,)*Index!P$23*(T$15&lt;=$J69)*(1-T$12)</f>
        <v>0</v>
      </c>
      <c r="U69" s="747">
        <f>$G69*$H69*(1+$K69)^MAX(ROUNDUP(IFERROR(DATEDIF($I69-1,U$15+1,"m"),)/12,)-1,)*Index!Q$23*(U$15&lt;=$J69)*(1-U$12)</f>
        <v>0</v>
      </c>
      <c r="V69" s="747">
        <f>$G69*$H69*(1+$K69)^MAX(ROUNDUP(IFERROR(DATEDIF($I69-1,V$15+1,"m"),)/12,)-1,)*Index!R$23*(V$15&lt;=$J69)*(1-V$12)</f>
        <v>0</v>
      </c>
      <c r="W69" s="747">
        <f>$G69*$H69*(1+$K69)^MAX(ROUNDUP(IFERROR(DATEDIF($I69-1,W$15+1,"m"),)/12,)-1,)*Index!S$23*(W$15&lt;=$J69)*(1-W$12)</f>
        <v>0</v>
      </c>
      <c r="X69" s="747">
        <f>$G69*$H69*(1+$K69)^MAX(ROUNDUP(IFERROR(DATEDIF($I69-1,X$15+1,"m"),)/12,)-1,)*Index!T$23*(X$15&lt;=$J69)*(1-X$12)</f>
        <v>0</v>
      </c>
      <c r="Y69" s="747">
        <f>$G69*$H69*(1+$K69)^MAX(ROUNDUP(IFERROR(DATEDIF($I69-1,Y$15+1,"m"),)/12,)-1,)*Index!U$23*(Y$15&lt;=$J69)*(1-Y$12)</f>
        <v>0</v>
      </c>
      <c r="Z69" s="747">
        <f>$G69*$H69*(1+$K69)^MAX(ROUNDUP(IFERROR(DATEDIF($I69-1,Z$15+1,"m"),)/12,)-1,)*Index!V$23*(Z$15&lt;=$J69)*(1-Z$12)</f>
        <v>0</v>
      </c>
      <c r="AA69" s="747">
        <f>$G69*$H69*(1+$K69)^MAX(ROUNDUP(IFERROR(DATEDIF($I69-1,AA$15+1,"m"),)/12,)-1,)*Index!W$23*(AA$15&lt;=$J69)*(1-AA$12)</f>
        <v>0</v>
      </c>
      <c r="AB69" s="747">
        <f>$G69*$H69*(1+$K69)^MAX(ROUNDUP(IFERROR(DATEDIF($I69-1,AB$15+1,"m"),)/12,)-1,)*Index!X$23*(AB$15&lt;=$J69)*(1-AB$12)</f>
        <v>0</v>
      </c>
      <c r="AC69" s="747">
        <f>$G69*$H69*(1+$K69)^MAX(ROUNDUP(IFERROR(DATEDIF($I69-1,AC$15+1,"m"),)/12,)-1,)*Index!Y$23*(AC$15&lt;=$J69)*(1-AC$12)</f>
        <v>0</v>
      </c>
      <c r="AD69" s="747">
        <f>$G69*$H69*(1+$K69)^MAX(ROUNDUP(IFERROR(DATEDIF($I69-1,AD$15+1,"m"),)/12,)-1,)*Index!Z$23*(AD$15&lt;=$J69)*(1-AD$12)</f>
        <v>0</v>
      </c>
      <c r="AE69" s="747">
        <f>$G69*$H69*(1+$K69)^MAX(ROUNDUP(IFERROR(DATEDIF($I69-1,AE$15+1,"m"),)/12,)-1,)*Index!AA$23*(AE$15&lt;=$J69)*(1-AE$12)</f>
        <v>0</v>
      </c>
      <c r="AF69" s="747">
        <f>$G69*$H69*(1+$K69)^MAX(ROUNDUP(IFERROR(DATEDIF($I69-1,AF$15+1,"m"),)/12,)-1,)*Index!AB$23*(AF$15&lt;=$J69)*(1-AF$12)</f>
        <v>0</v>
      </c>
      <c r="AG69" s="747">
        <f>$G69*$H69*(1+$K69)^MAX(ROUNDUP(IFERROR(DATEDIF($I69-1,AG$15+1,"m"),)/12,)-1,)*Index!AC$23*(AG$15&lt;=$J69)*(1-AG$12)</f>
        <v>0</v>
      </c>
      <c r="AH69" s="747">
        <f>$G69*$H69*(1+$K69)^MAX(ROUNDUP(IFERROR(DATEDIF($I69-1,AH$15+1,"m"),)/12,)-1,)*Index!AD$23*(AH$15&lt;=$J69)*(1-AH$12)</f>
        <v>0</v>
      </c>
      <c r="AI69" s="747">
        <f>$G69*$H69*(1+$K69)^MAX(ROUNDUP(IFERROR(DATEDIF($I69-1,AI$15+1,"m"),)/12,)-1,)*Index!AE$23*(AI$15&lt;=$J69)*(1-AI$12)</f>
        <v>0</v>
      </c>
      <c r="AJ69" s="747">
        <f>$G69*$H69*(1+$K69)^MAX(ROUNDUP(IFERROR(DATEDIF($I69-1,AJ$15+1,"m"),)/12,)-1,)*Index!AF$23*(AJ$15&lt;=$J69)*(1-AJ$12)</f>
        <v>0</v>
      </c>
      <c r="AK69" s="747">
        <f>$G69*$H69*(1+$K69)^MAX(ROUNDUP(IFERROR(DATEDIF($I69-1,AK$15+1,"m"),)/12,)-1,)*Index!AG$23*(AK$15&lt;=$J69)*(1-AK$12)</f>
        <v>0</v>
      </c>
      <c r="AL69" s="747">
        <f>$G69*$H69*(1+$K69)^MAX(ROUNDUP(IFERROR(DATEDIF($I69-1,AL$15+1,"m"),)/12,)-1,)*Index!AH$23*(AL$15&lt;=$J69)*(1-AL$12)</f>
        <v>0</v>
      </c>
      <c r="AM69" s="747">
        <f>$G69*$H69*(1+$K69)^MAX(ROUNDUP(IFERROR(DATEDIF($I69-1,AM$15+1,"m"),)/12,)-1,)*Index!AI$23*(AM$15&lt;=$J69)*(1-AM$12)</f>
        <v>0</v>
      </c>
      <c r="AN69" s="747">
        <f>$G69*$H69*(1+$K69)^MAX(ROUNDUP(IFERROR(DATEDIF($I69-1,AN$15+1,"m"),)/12,)-1,)*Index!AJ$23*(AN$15&lt;=$J69)*(1-AN$12)</f>
        <v>0</v>
      </c>
      <c r="AO69" s="747">
        <f>$G69*$H69*(1+$K69)^MAX(ROUNDUP(IFERROR(DATEDIF($I69-1,AO$15+1,"m"),)/12,)-1,)*Index!AK$23*(AO$15&lt;=$J69)*(1-AO$12)</f>
        <v>0</v>
      </c>
      <c r="AP69" s="747">
        <f>$G69*$H69*(1+$K69)^MAX(ROUNDUP(IFERROR(DATEDIF($I69-1,AP$15+1,"m"),)/12,)-1,)*Index!AL$23*(AP$15&lt;=$J69)*(1-AP$12)</f>
        <v>0</v>
      </c>
      <c r="AQ69" s="747">
        <f>$G69*$H69*(1+$K69)^MAX(ROUNDUP(IFERROR(DATEDIF($I69-1,AQ$15+1,"m"),)/12,)-1,)*Index!AM$23*(AQ$15&lt;=$J69)*(1-AQ$12)</f>
        <v>0</v>
      </c>
      <c r="AR69" s="747">
        <f>$G69*$H69*(1+$K69)^MAX(ROUNDUP(IFERROR(DATEDIF($I69-1,AR$15+1,"m"),)/12,)-1,)*Index!AN$23*(AR$15&lt;=$J69)*(1-AR$12)</f>
        <v>0</v>
      </c>
      <c r="AS69" s="747">
        <f>$G69*$H69*(1+$K69)^MAX(ROUNDUP(IFERROR(DATEDIF($I69-1,AS$15+1,"m"),)/12,)-1,)*Index!AO$23*(AS$15&lt;=$J69)*(1-AS$12)</f>
        <v>0</v>
      </c>
      <c r="AT69" s="747">
        <f>$G69*$H69*(1+$K69)^MAX(ROUNDUP(IFERROR(DATEDIF($I69-1,AT$15+1,"m"),)/12,)-1,)*Index!AP$23*(AT$15&lt;=$J69)*(1-AT$12)</f>
        <v>0</v>
      </c>
      <c r="AU69" s="747">
        <f>$G69*$H69*(1+$K69)^MAX(ROUNDUP(IFERROR(DATEDIF($I69-1,AU$15+1,"m"),)/12,)-1,)*Index!AQ$23*(AU$15&lt;=$J69)*(1-AU$12)</f>
        <v>0</v>
      </c>
      <c r="AV69" s="747">
        <f>$G69*$H69*(1+$K69)^MAX(ROUNDUP(IFERROR(DATEDIF($I69-1,AV$15+1,"m"),)/12,)-1,)*Index!AR$23*(AV$15&lt;=$J69)*(1-AV$12)</f>
        <v>0</v>
      </c>
      <c r="AW69" s="747">
        <f>$G69*$H69*(1+$K69)^MAX(ROUNDUP(IFERROR(DATEDIF($I69-1,AW$15+1,"m"),)/12,)-1,)*Index!AS$23*(AW$15&lt;=$J69)*(1-AW$12)</f>
        <v>0</v>
      </c>
      <c r="AX69" s="747">
        <f>$G69*$H69*(1+$K69)^MAX(ROUNDUP(IFERROR(DATEDIF($I69-1,AX$15+1,"m"),)/12,)-1,)*Index!AT$23*(AX$15&lt;=$J69)*(1-AX$12)</f>
        <v>0</v>
      </c>
      <c r="AY69" s="747">
        <f>$G69*$H69*(1+$K69)^MAX(ROUNDUP(IFERROR(DATEDIF($I69-1,AY$15+1,"m"),)/12,)-1,)*Index!AU$23*(AY$15&lt;=$J69)*(1-AY$12)</f>
        <v>0</v>
      </c>
      <c r="AZ69" s="747">
        <f>$G69*$H69*(1+$K69)^MAX(ROUNDUP(IFERROR(DATEDIF($I69-1,AZ$15+1,"m"),)/12,)-1,)*Index!AV$23*(AZ$15&lt;=$J69)*(1-AZ$12)</f>
        <v>0</v>
      </c>
      <c r="BA69" s="747">
        <f>$G69*$H69*(1+$K69)^MAX(ROUNDUP(IFERROR(DATEDIF($I69-1,BA$15+1,"m"),)/12,)-1,)*Index!AW$23*(BA$15&lt;=$J69)*(1-BA$12)</f>
        <v>0</v>
      </c>
      <c r="BB69" s="747">
        <f>$G69*$H69*(1+$K69)^MAX(ROUNDUP(IFERROR(DATEDIF($I69-1,BB$15+1,"m"),)/12,)-1,)*Index!AX$23*(BB$15&lt;=$J69)*(1-BB$12)</f>
        <v>0</v>
      </c>
      <c r="BC69" s="747">
        <f>$G69*$H69*(1+$K69)^MAX(ROUNDUP(IFERROR(DATEDIF($I69-1,BC$15+1,"m"),)/12,)-1,)*Index!AY$23*(BC$15&lt;=$J69)*(1-BC$12)</f>
        <v>0</v>
      </c>
      <c r="BD69" s="747">
        <f>$G69*$H69*(1+$K69)^MAX(ROUNDUP(IFERROR(DATEDIF($I69-1,BD$15+1,"m"),)/12,)-1,)*Index!AZ$23*(BD$15&lt;=$J69)*(1-BD$12)</f>
        <v>0</v>
      </c>
      <c r="BE69" s="747">
        <f>$G69*$H69*(1+$K69)^MAX(ROUNDUP(IFERROR(DATEDIF($I69-1,BE$15+1,"m"),)/12,)-1,)*Index!BA$23*(BE$15&lt;=$J69)*(1-BE$12)</f>
        <v>0</v>
      </c>
      <c r="BF69" s="747">
        <f>$G69*$H69*(1+$K69)^MAX(ROUNDUP(IFERROR(DATEDIF($I69-1,BF$15+1,"m"),)/12,)-1,)*Index!BB$23*(BF$15&lt;=$J69)*(1-BF$12)</f>
        <v>0</v>
      </c>
      <c r="BG69" s="747">
        <f>$G69*$H69*(1+$K69)^MAX(ROUNDUP(IFERROR(DATEDIF($I69-1,BG$15+1,"m"),)/12,)-1,)*Index!BC$23*(BG$15&lt;=$J69)*(1-BG$12)</f>
        <v>0</v>
      </c>
      <c r="BH69" s="747">
        <f>$G69*$H69*(1+$K69)^MAX(ROUNDUP(IFERROR(DATEDIF($I69-1,BH$15+1,"m"),)/12,)-1,)*Index!BD$23*(BH$15&lt;=$J69)*(1-BH$12)</f>
        <v>0</v>
      </c>
      <c r="BI69" s="747">
        <f>$G69*$H69*(1+$K69)^MAX(ROUNDUP(IFERROR(DATEDIF($I69-1,BI$15+1,"m"),)/12,)-1,)*Index!BE$23*(BI$15&lt;=$J69)*(1-BI$12)</f>
        <v>0</v>
      </c>
      <c r="BJ69" s="747">
        <f>$G69*$H69*(1+$K69)^MAX(ROUNDUP(IFERROR(DATEDIF($I69-1,BJ$15+1,"m"),)/12,)-1,)*Index!BF$23*(BJ$15&lt;=$J69)*(1-BJ$12)</f>
        <v>0</v>
      </c>
      <c r="BK69" s="747">
        <f>$G69*$H69*(1+$K69)^MAX(ROUNDUP(IFERROR(DATEDIF($I69-1,BK$15+1,"m"),)/12,)-1,)*Index!BG$23*(BK$15&lt;=$J69)*(1-BK$12)</f>
        <v>0</v>
      </c>
      <c r="BL69" s="747">
        <f>$G69*$H69*(1+$K69)^MAX(ROUNDUP(IFERROR(DATEDIF($I69-1,BL$15+1,"m"),)/12,)-1,)*Index!BH$23*(BL$15&lt;=$J69)*(1-BL$12)</f>
        <v>0</v>
      </c>
      <c r="BM69" s="747">
        <f>$G69*$H69*(1+$K69)^MAX(ROUNDUP(IFERROR(DATEDIF($I69-1,BM$15+1,"m"),)/12,)-1,)*Index!BI$23*(BM$15&lt;=$J69)*(1-BM$12)</f>
        <v>0</v>
      </c>
      <c r="BN69" s="747">
        <f>$G69*$H69*(1+$K69)^MAX(ROUNDUP(IFERROR(DATEDIF($I69-1,BN$15+1,"m"),)/12,)-1,)*Index!BJ$23*(BN$15&lt;=$J69)*(1-BN$12)</f>
        <v>0</v>
      </c>
      <c r="BO69" s="747">
        <f>$G69*$H69*(1+$K69)^MAX(ROUNDUP(IFERROR(DATEDIF($I69-1,BO$15+1,"m"),)/12,)-1,)*Index!BK$23*(BO$15&lt;=$J69)*(1-BO$12)</f>
        <v>0</v>
      </c>
      <c r="BP69" s="747">
        <f>$G69*$H69*(1+$K69)^MAX(ROUNDUP(IFERROR(DATEDIF($I69-1,BP$15+1,"m"),)/12,)-1,)*Index!BL$23*(BP$15&lt;=$J69)*(1-BP$12)</f>
        <v>0</v>
      </c>
      <c r="BQ69" s="747">
        <f>$G69*$H69*(1+$K69)^MAX(ROUNDUP(IFERROR(DATEDIF($I69-1,BQ$15+1,"m"),)/12,)-1,)*Index!BM$23*(BQ$15&lt;=$J69)*(1-BQ$12)</f>
        <v>0</v>
      </c>
      <c r="BR69" s="747">
        <f>$G69*$H69*(1+$K69)^MAX(ROUNDUP(IFERROR(DATEDIF($I69-1,BR$15+1,"m"),)/12,)-1,)*Index!BN$23*(BR$15&lt;=$J69)*(1-BR$12)</f>
        <v>0</v>
      </c>
      <c r="BS69" s="747">
        <f>$G69*$H69*(1+$K69)^MAX(ROUNDUP(IFERROR(DATEDIF($I69-1,BS$15+1,"m"),)/12,)-1,)*Index!BO$23*(BS$15&lt;=$J69)*(1-BS$12)</f>
        <v>0</v>
      </c>
      <c r="BT69" s="747">
        <f>$G69*$H69*(1+$K69)^MAX(ROUNDUP(IFERROR(DATEDIF($I69-1,BT$15+1,"m"),)/12,)-1,)*Index!BP$23*(BT$15&lt;=$J69)*(1-BT$12)</f>
        <v>0</v>
      </c>
      <c r="BU69" s="747">
        <f>$G69*$H69*(1+$K69)^MAX(ROUNDUP(IFERROR(DATEDIF($I69-1,BU$15+1,"m"),)/12,)-1,)*Index!BQ$23*(BU$15&lt;=$J69)*(1-BU$12)</f>
        <v>0</v>
      </c>
      <c r="BV69" s="747">
        <f>$G69*$H69*(1+$K69)^MAX(ROUNDUP(IFERROR(DATEDIF($I69-1,BV$15+1,"m"),)/12,)-1,)*Index!BR$23*(BV$15&lt;=$J69)*(1-BV$12)</f>
        <v>0</v>
      </c>
      <c r="BW69" s="747">
        <f>$G69*$H69*(1+$K69)^MAX(ROUNDUP(IFERROR(DATEDIF($I69-1,BW$15+1,"m"),)/12,)-1,)*Index!BS$23*(BW$15&lt;=$J69)*(1-BW$12)</f>
        <v>0</v>
      </c>
      <c r="BX69" s="747">
        <f>$G69*$H69*(1+$K69)^MAX(ROUNDUP(IFERROR(DATEDIF($I69-1,BX$15+1,"m"),)/12,)-1,)*Index!BT$23*(BX$15&lt;=$J69)*(1-BX$12)</f>
        <v>0</v>
      </c>
      <c r="BY69" s="747">
        <f>$G69*$H69*(1+$K69)^MAX(ROUNDUP(IFERROR(DATEDIF($I69-1,BY$15+1,"m"),)/12,)-1,)*Index!BU$23*(BY$15&lt;=$J69)*(1-BY$12)</f>
        <v>0</v>
      </c>
      <c r="BZ69" s="747">
        <f>$G69*$H69*(1+$K69)^MAX(ROUNDUP(IFERROR(DATEDIF($I69-1,BZ$15+1,"m"),)/12,)-1,)*Index!BV$23*(BZ$15&lt;=$J69)*(1-BZ$12)</f>
        <v>0</v>
      </c>
      <c r="CA69" s="747">
        <f>$G69*$H69*(1+$K69)^MAX(ROUNDUP(IFERROR(DATEDIF($I69-1,CA$15+1,"m"),)/12,)-1,)*Index!BW$23*(CA$15&lt;=$J69)*(1-CA$12)</f>
        <v>0</v>
      </c>
      <c r="CB69" s="747">
        <f>$G69*$H69*(1+$K69)^MAX(ROUNDUP(IFERROR(DATEDIF($I69-1,CB$15+1,"m"),)/12,)-1,)*Index!BX$23*(CB$15&lt;=$J69)*(1-CB$12)</f>
        <v>0</v>
      </c>
      <c r="CC69" s="747">
        <f>$G69*$H69*(1+$K69)^MAX(ROUNDUP(IFERROR(DATEDIF($I69-1,CC$15+1,"m"),)/12,)-1,)*Index!BY$23*(CC$15&lt;=$J69)*(1-CC$12)</f>
        <v>0</v>
      </c>
      <c r="CD69" s="747">
        <f>$G69*$H69*(1+$K69)^MAX(ROUNDUP(IFERROR(DATEDIF($I69-1,CD$15+1,"m"),)/12,)-1,)*Index!BZ$23*(CD$15&lt;=$J69)*(1-CD$12)</f>
        <v>0</v>
      </c>
      <c r="CE69" s="747">
        <f>$G69*$H69*(1+$K69)^MAX(ROUNDUP(IFERROR(DATEDIF($I69-1,CE$15+1,"m"),)/12,)-1,)*Index!CA$23*(CE$15&lt;=$J69)*(1-CE$12)</f>
        <v>0</v>
      </c>
      <c r="CF69" s="747">
        <f>$G69*$H69*(1+$K69)^MAX(ROUNDUP(IFERROR(DATEDIF($I69-1,CF$15+1,"m"),)/12,)-1,)*Index!CB$23*(CF$15&lt;=$J69)*(1-CF$12)</f>
        <v>0</v>
      </c>
      <c r="CG69" s="747">
        <f>$G69*$H69*(1+$K69)^MAX(ROUNDUP(IFERROR(DATEDIF($I69-1,CG$15+1,"m"),)/12,)-1,)*Index!CC$23*(CG$15&lt;=$J69)*(1-CG$12)</f>
        <v>0</v>
      </c>
      <c r="CH69" s="747">
        <f>$G69*$H69*(1+$K69)^MAX(ROUNDUP(IFERROR(DATEDIF($I69-1,CH$15+1,"m"),)/12,)-1,)*Index!CD$23*(CH$15&lt;=$J69)*(1-CH$12)</f>
        <v>0</v>
      </c>
      <c r="CI69" s="747">
        <f>$G69*$H69*(1+$K69)^MAX(ROUNDUP(IFERROR(DATEDIF($I69-1,CI$15+1,"m"),)/12,)-1,)*Index!CE$23*(CI$15&lt;=$J69)*(1-CI$12)</f>
        <v>0</v>
      </c>
      <c r="CJ69" s="747">
        <f>$G69*$H69*(1+$K69)^MAX(ROUNDUP(IFERROR(DATEDIF($I69-1,CJ$15+1,"m"),)/12,)-1,)*Index!CF$23*(CJ$15&lt;=$J69)*(1-CJ$12)</f>
        <v>0</v>
      </c>
      <c r="CK69" s="747">
        <f>$G69*$H69*(1+$K69)^MAX(ROUNDUP(IFERROR(DATEDIF($I69-1,CK$15+1,"m"),)/12,)-1,)*Index!CG$23*(CK$15&lt;=$J69)*(1-CK$12)</f>
        <v>0</v>
      </c>
      <c r="CL69" s="747">
        <f>$G69*$H69*(1+$K69)^MAX(ROUNDUP(IFERROR(DATEDIF($I69-1,CL$15+1,"m"),)/12,)-1,)*Index!CH$23*(CL$15&lt;=$J69)*(1-CL$12)</f>
        <v>0</v>
      </c>
      <c r="CM69" s="747">
        <f>$G69*$H69*(1+$K69)^MAX(ROUNDUP(IFERROR(DATEDIF($I69-1,CM$15+1,"m"),)/12,)-1,)*Index!CI$23*(CM$15&lt;=$J69)*(1-CM$12)</f>
        <v>0</v>
      </c>
      <c r="CN69" s="747">
        <f>$G69*$H69*(1+$K69)^MAX(ROUNDUP(IFERROR(DATEDIF($I69-1,CN$15+1,"m"),)/12,)-1,)*Index!CJ$23*(CN$15&lt;=$J69)*(1-CN$12)</f>
        <v>0</v>
      </c>
      <c r="CO69" s="747">
        <f>$G69*$H69*(1+$K69)^MAX(ROUNDUP(IFERROR(DATEDIF($I69-1,CO$15+1,"m"),)/12,)-1,)*Index!CK$23*(CO$15&lt;=$J69)*(1-CO$12)</f>
        <v>0</v>
      </c>
      <c r="CP69" s="747">
        <f>$G69*$H69*(1+$K69)^MAX(ROUNDUP(IFERROR(DATEDIF($I69-1,CP$15+1,"m"),)/12,)-1,)*Index!CL$23*(CP$15&lt;=$J69)*(1-CP$12)</f>
        <v>0</v>
      </c>
      <c r="CQ69" s="747">
        <f>$G69*$H69*(1+$K69)^MAX(ROUNDUP(IFERROR(DATEDIF($I69-1,CQ$15+1,"m"),)/12,)-1,)*Index!CM$23*(CQ$15&lt;=$J69)*(1-CQ$12)</f>
        <v>0</v>
      </c>
      <c r="CR69" s="747">
        <f>$G69*$H69*(1+$K69)^MAX(ROUNDUP(IFERROR(DATEDIF($I69-1,CR$15+1,"m"),)/12,)-1,)*Index!CN$23*(CR$15&lt;=$J69)*(1-CR$12)</f>
        <v>0</v>
      </c>
      <c r="CS69" s="747">
        <f>$G69*$H69*(1+$K69)^MAX(ROUNDUP(IFERROR(DATEDIF($I69-1,CS$15+1,"m"),)/12,)-1,)*Index!CO$23*(CS$15&lt;=$J69)*(1-CS$12)</f>
        <v>0</v>
      </c>
      <c r="CT69" s="747">
        <f>$G69*$H69*(1+$K69)^MAX(ROUNDUP(IFERROR(DATEDIF($I69-1,CT$15+1,"m"),)/12,)-1,)*Index!CP$23*(CT$15&lt;=$J69)*(1-CT$12)</f>
        <v>0</v>
      </c>
      <c r="CU69" s="747">
        <f>$G69*$H69*(1+$K69)^MAX(ROUNDUP(IFERROR(DATEDIF($I69-1,CU$15+1,"m"),)/12,)-1,)*Index!CQ$23*(CU$15&lt;=$J69)*(1-CU$12)</f>
        <v>0</v>
      </c>
      <c r="CV69" s="747">
        <f>$G69*$H69*(1+$K69)^MAX(ROUNDUP(IFERROR(DATEDIF($I69-1,CV$15+1,"m"),)/12,)-1,)*Index!CR$23*(CV$15&lt;=$J69)*(1-CV$12)</f>
        <v>0</v>
      </c>
      <c r="CW69" s="747">
        <f>$G69*$H69*(1+$K69)^MAX(ROUNDUP(IFERROR(DATEDIF($I69-1,CW$15+1,"m"),)/12,)-1,)*Index!CS$23*(CW$15&lt;=$J69)*(1-CW$12)</f>
        <v>0</v>
      </c>
      <c r="CX69" s="747">
        <f>$G69*$H69*(1+$K69)^MAX(ROUNDUP(IFERROR(DATEDIF($I69-1,CX$15+1,"m"),)/12,)-1,)*Index!CT$23*(CX$15&lt;=$J69)*(1-CX$12)</f>
        <v>0</v>
      </c>
      <c r="CY69" s="747">
        <f>$G69*$H69*(1+$K69)^MAX(ROUNDUP(IFERROR(DATEDIF($I69-1,CY$15+1,"m"),)/12,)-1,)*Index!CU$23*(CY$15&lt;=$J69)*(1-CY$12)</f>
        <v>0</v>
      </c>
      <c r="CZ69" s="747">
        <f>$G69*$H69*(1+$K69)^MAX(ROUNDUP(IFERROR(DATEDIF($I69-1,CZ$15+1,"m"),)/12,)-1,)*Index!CV$23*(CZ$15&lt;=$J69)*(1-CZ$12)</f>
        <v>0</v>
      </c>
      <c r="DA69" s="747">
        <f>$G69*$H69*(1+$K69)^MAX(ROUNDUP(IFERROR(DATEDIF($I69-1,DA$15+1,"m"),)/12,)-1,)*Index!CW$23*(DA$15&lt;=$J69)*(1-DA$12)</f>
        <v>0</v>
      </c>
      <c r="DB69" s="747">
        <f>$G69*$H69*(1+$K69)^MAX(ROUNDUP(IFERROR(DATEDIF($I69-1,DB$15+1,"m"),)/12,)-1,)*Index!CX$23*(DB$15&lt;=$J69)*(1-DB$12)</f>
        <v>0</v>
      </c>
      <c r="DC69" s="747">
        <f>$G69*$H69*(1+$K69)^MAX(ROUNDUP(IFERROR(DATEDIF($I69-1,DC$15+1,"m"),)/12,)-1,)*Index!CY$23*(DC$15&lt;=$J69)*(1-DC$12)</f>
        <v>0</v>
      </c>
      <c r="DD69" s="747">
        <f>$G69*$H69*(1+$K69)^MAX(ROUNDUP(IFERROR(DATEDIF($I69-1,DD$15+1,"m"),)/12,)-1,)*Index!CZ$23*(DD$15&lt;=$J69)*(1-DD$12)</f>
        <v>0</v>
      </c>
      <c r="DE69" s="747">
        <f>$G69*$H69*(1+$K69)^MAX(ROUNDUP(IFERROR(DATEDIF($I69-1,DE$15+1,"m"),)/12,)-1,)*Index!DA$23*(DE$15&lt;=$J69)*(1-DE$12)</f>
        <v>0</v>
      </c>
      <c r="DF69" s="747">
        <f>$G69*$H69*(1+$K69)^MAX(ROUNDUP(IFERROR(DATEDIF($I69-1,DF$15+1,"m"),)/12,)-1,)*Index!DB$23*(DF$15&lt;=$J69)*(1-DF$12)</f>
        <v>0</v>
      </c>
      <c r="DG69" s="747">
        <f>$G69*$H69*(1+$K69)^MAX(ROUNDUP(IFERROR(DATEDIF($I69-1,DG$15+1,"m"),)/12,)-1,)*Index!DC$23*(DG$15&lt;=$J69)*(1-DG$12)</f>
        <v>0</v>
      </c>
      <c r="DH69" s="747">
        <f>$G69*$H69*(1+$K69)^MAX(ROUNDUP(IFERROR(DATEDIF($I69-1,DH$15+1,"m"),)/12,)-1,)*Index!DD$23*(DH$15&lt;=$J69)*(1-DH$12)</f>
        <v>0</v>
      </c>
      <c r="DI69" s="747">
        <f>$G69*$H69*(1+$K69)^MAX(ROUNDUP(IFERROR(DATEDIF($I69-1,DI$15+1,"m"),)/12,)-1,)*Index!DE$23*(DI$15&lt;=$J69)*(1-DI$12)</f>
        <v>0</v>
      </c>
      <c r="DJ69" s="747">
        <f>$G69*$H69*(1+$K69)^MAX(ROUNDUP(IFERROR(DATEDIF($I69-1,DJ$15+1,"m"),)/12,)-1,)*Index!DF$23*(DJ$15&lt;=$J69)*(1-DJ$12)</f>
        <v>0</v>
      </c>
      <c r="DK69" s="747">
        <f>$G69*$H69*(1+$K69)^MAX(ROUNDUP(IFERROR(DATEDIF($I69-1,DK$15+1,"m"),)/12,)-1,)*Index!DG$23*(DK$15&lt;=$J69)*(1-DK$12)</f>
        <v>0</v>
      </c>
      <c r="DL69" s="747">
        <f>$G69*$H69*(1+$K69)^MAX(ROUNDUP(IFERROR(DATEDIF($I69-1,DL$15+1,"m"),)/12,)-1,)*Index!DH$23*(DL$15&lt;=$J69)*(1-DL$12)</f>
        <v>0</v>
      </c>
      <c r="DM69" s="747">
        <f>$G69*$H69*(1+$K69)^MAX(ROUNDUP(IFERROR(DATEDIF($I69-1,DM$15+1,"m"),)/12,)-1,)*Index!DI$23*(DM$15&lt;=$J69)*(1-DM$12)</f>
        <v>0</v>
      </c>
      <c r="DN69" s="747">
        <f>$G69*$H69*(1+$K69)^MAX(ROUNDUP(IFERROR(DATEDIF($I69-1,DN$15+1,"m"),)/12,)-1,)*Index!DJ$23*(DN$15&lt;=$J69)*(1-DN$12)</f>
        <v>0</v>
      </c>
      <c r="DO69" s="747">
        <f>$G69*$H69*(1+$K69)^MAX(ROUNDUP(IFERROR(DATEDIF($I69-1,DO$15+1,"m"),)/12,)-1,)*Index!DK$23*(DO$15&lt;=$J69)*(1-DO$12)</f>
        <v>0</v>
      </c>
      <c r="DP69" s="747">
        <f>$G69*$H69*(1+$K69)^MAX(ROUNDUP(IFERROR(DATEDIF($I69-1,DP$15+1,"m"),)/12,)-1,)*Index!DL$23*(DP$15&lt;=$J69)*(1-DP$12)</f>
        <v>0</v>
      </c>
      <c r="DQ69" s="747">
        <f>$G69*$H69*(1+$K69)^MAX(ROUNDUP(IFERROR(DATEDIF($I69-1,DQ$15+1,"m"),)/12,)-1,)*Index!DM$23*(DQ$15&lt;=$J69)*(1-DQ$12)</f>
        <v>0</v>
      </c>
      <c r="DR69" s="747">
        <f>$G69*$H69*(1+$K69)^MAX(ROUNDUP(IFERROR(DATEDIF($I69-1,DR$15+1,"m"),)/12,)-1,)*Index!DN$23*(DR$15&lt;=$J69)*(1-DR$12)</f>
        <v>0</v>
      </c>
      <c r="DS69" s="747">
        <f>$G69*$H69*(1+$K69)^MAX(ROUNDUP(IFERROR(DATEDIF($I69-1,DS$15+1,"m"),)/12,)-1,)*Index!DO$23*(DS$15&lt;=$J69)*(1-DS$12)</f>
        <v>0</v>
      </c>
      <c r="DT69" s="747">
        <f>$G69*$H69*(1+$K69)^MAX(ROUNDUP(IFERROR(DATEDIF($I69-1,DT$15+1,"m"),)/12,)-1,)*Index!DP$23*(DT$15&lt;=$J69)*(1-DT$12)</f>
        <v>0</v>
      </c>
      <c r="DU69" s="747">
        <f>$G69*$H69*(1+$K69)^MAX(ROUNDUP(IFERROR(DATEDIF($I69-1,DU$15+1,"m"),)/12,)-1,)*Index!DQ$23*(DU$15&lt;=$J69)*(1-DU$12)</f>
        <v>0</v>
      </c>
      <c r="DV69" s="747">
        <f>$G69*$H69*(1+$K69)^MAX(ROUNDUP(IFERROR(DATEDIF($I69-1,DV$15+1,"m"),)/12,)-1,)*Index!DR$23*(DV$15&lt;=$J69)*(1-DV$12)</f>
        <v>0</v>
      </c>
      <c r="DW69" s="747">
        <f>$G69*$H69*(1+$K69)^MAX(ROUNDUP(IFERROR(DATEDIF($I69-1,DW$15+1,"m"),)/12,)-1,)*Index!DS$23*(DW$15&lt;=$J69)*(1-DW$12)</f>
        <v>0</v>
      </c>
      <c r="DX69" s="747">
        <f>$G69*$H69*(1+$K69)^MAX(ROUNDUP(IFERROR(DATEDIF($I69-1,DX$15+1,"m"),)/12,)-1,)*Index!DT$23*(DX$15&lt;=$J69)*(1-DX$12)</f>
        <v>0</v>
      </c>
      <c r="DY69" s="747">
        <f>$G69*$H69*(1+$K69)^MAX(ROUNDUP(IFERROR(DATEDIF($I69-1,DY$15+1,"m"),)/12,)-1,)*Index!DU$23*(DY$15&lt;=$J69)*(1-DY$12)</f>
        <v>0</v>
      </c>
      <c r="DZ69" s="747">
        <f>$G69*$H69*(1+$K69)^MAX(ROUNDUP(IFERROR(DATEDIF($I69-1,DZ$15+1,"m"),)/12,)-1,)*Index!DV$23*(DZ$15&lt;=$J69)*(1-DZ$12)</f>
        <v>0</v>
      </c>
      <c r="EA69" s="747">
        <f>$G69*$H69*(1+$K69)^MAX(ROUNDUP(IFERROR(DATEDIF($I69-1,EA$15+1,"m"),)/12,)-1,)*Index!DW$23*(EA$15&lt;=$J69)*(1-EA$12)</f>
        <v>0</v>
      </c>
      <c r="EB69" s="747">
        <f>$G69*$H69*(1+$K69)^MAX(ROUNDUP(IFERROR(DATEDIF($I69-1,EB$15+1,"m"),)/12,)-1,)*Index!DX$23*(EB$15&lt;=$J69)*(1-EB$12)</f>
        <v>0</v>
      </c>
      <c r="EC69" s="747">
        <f>$G69*$H69*(1+$K69)^MAX(ROUNDUP(IFERROR(DATEDIF($I69-1,EC$15+1,"m"),)/12,)-1,)*Index!DY$23*(EC$15&lt;=$J69)*(1-EC$12)</f>
        <v>0</v>
      </c>
      <c r="ED69" s="747">
        <f>$G69*$H69*(1+$K69)^MAX(ROUNDUP(IFERROR(DATEDIF($I69-1,ED$15+1,"m"),)/12,)-1,)*Index!DZ$23*(ED$15&lt;=$J69)*(1-ED$12)</f>
        <v>0</v>
      </c>
      <c r="EE69" s="747">
        <f>$G69*$H69*(1+$K69)^MAX(ROUNDUP(IFERROR(DATEDIF($I69-1,EE$15+1,"m"),)/12,)-1,)*Index!EA$23*(EE$15&lt;=$J69)*(1-EE$12)</f>
        <v>0</v>
      </c>
      <c r="EF69" s="747">
        <f>$G69*$H69*(1+$K69)^MAX(ROUNDUP(IFERROR(DATEDIF($I69-1,EF$15+1,"m"),)/12,)-1,)*Index!EB$23*(EF$15&lt;=$J69)*(1-EF$12)</f>
        <v>0</v>
      </c>
      <c r="EG69" s="747">
        <f>$G69*$H69*(1+$K69)^MAX(ROUNDUP(IFERROR(DATEDIF($I69-1,EG$15+1,"m"),)/12,)-1,)*Index!EC$23*(EG$15&lt;=$J69)*(1-EG$12)</f>
        <v>0</v>
      </c>
      <c r="EH69" s="747">
        <f>$G69*$H69*(1+$K69)^MAX(ROUNDUP(IFERROR(DATEDIF($I69-1,EH$15+1,"m"),)/12,)-1,)*Index!ED$23*(EH$15&lt;=$J69)*(1-EH$12)</f>
        <v>0</v>
      </c>
      <c r="EI69" s="747">
        <f>$G69*$H69*(1+$K69)^MAX(ROUNDUP(IFERROR(DATEDIF($I69-1,EI$15+1,"m"),)/12,)-1,)*Index!EE$23*(EI$15&lt;=$J69)*(1-EI$12)</f>
        <v>0</v>
      </c>
      <c r="EJ69" s="747">
        <f>$G69*$H69*(1+$K69)^MAX(ROUNDUP(IFERROR(DATEDIF($I69-1,EJ$15+1,"m"),)/12,)-1,)*Index!EF$23*(EJ$15&lt;=$J69)*(1-EJ$12)</f>
        <v>0</v>
      </c>
      <c r="EK69" s="747">
        <f>$G69*$H69*(1+$K69)^MAX(ROUNDUP(IFERROR(DATEDIF($I69-1,EK$15+1,"m"),)/12,)-1,)*Index!EG$23*(EK$15&lt;=$J69)*(1-EK$12)</f>
        <v>0</v>
      </c>
      <c r="EL69" s="747">
        <f>$G69*$H69*(1+$K69)^MAX(ROUNDUP(IFERROR(DATEDIF($I69-1,EL$15+1,"m"),)/12,)-1,)*Index!EH$23*(EL$15&lt;=$J69)*(1-EL$12)</f>
        <v>0</v>
      </c>
      <c r="EM69" s="747">
        <f>$G69*$H69*(1+$K69)^MAX(ROUNDUP(IFERROR(DATEDIF($I69-1,EM$15+1,"m"),)/12,)-1,)*Index!EI$23*(EM$15&lt;=$J69)*(1-EM$12)</f>
        <v>0</v>
      </c>
      <c r="EN69" s="747">
        <f>$G69*$H69*(1+$K69)^MAX(ROUNDUP(IFERROR(DATEDIF($I69-1,EN$15+1,"m"),)/12,)-1,)*Index!EJ$23*(EN$15&lt;=$J69)*(1-EN$12)</f>
        <v>0</v>
      </c>
      <c r="EO69" s="747">
        <f>$G69*$H69*(1+$K69)^MAX(ROUNDUP(IFERROR(DATEDIF($I69-1,EO$15+1,"m"),)/12,)-1,)*Index!EK$23*(EO$15&lt;=$J69)*(1-EO$12)</f>
        <v>0</v>
      </c>
      <c r="EP69" s="747">
        <f>$G69*$H69*(1+$K69)^MAX(ROUNDUP(IFERROR(DATEDIF($I69-1,EP$15+1,"m"),)/12,)-1,)*Index!EL$23*(EP$15&lt;=$J69)*(1-EP$12)</f>
        <v>0</v>
      </c>
      <c r="EQ69" s="747">
        <f>$G69*$H69*(1+$K69)^MAX(ROUNDUP(IFERROR(DATEDIF($I69-1,EQ$15+1,"m"),)/12,)-1,)*Index!EM$23*(EQ$15&lt;=$J69)*(1-EQ$12)</f>
        <v>0</v>
      </c>
      <c r="ER69" s="747">
        <f>$G69*$H69*(1+$K69)^MAX(ROUNDUP(IFERROR(DATEDIF($I69-1,ER$15+1,"m"),)/12,)-1,)*Index!EN$23*(ER$15&lt;=$J69)*(1-ER$12)</f>
        <v>0</v>
      </c>
      <c r="ES69" s="747">
        <f>$G69*$H69*(1+$K69)^MAX(ROUNDUP(IFERROR(DATEDIF($I69-1,ES$15+1,"m"),)/12,)-1,)*Index!EO$23*(ES$15&lt;=$J69)*(1-ES$12)</f>
        <v>0</v>
      </c>
      <c r="ET69" s="747">
        <f>$G69*$H69*(1+$K69)^MAX(ROUNDUP(IFERROR(DATEDIF($I69-1,ET$15+1,"m"),)/12,)-1,)*Index!EP$23*(ET$15&lt;=$J69)*(1-ET$12)</f>
        <v>0</v>
      </c>
      <c r="EU69" s="747">
        <f>$G69*$H69*(1+$K69)^MAX(ROUNDUP(IFERROR(DATEDIF($I69-1,EU$15+1,"m"),)/12,)-1,)*Index!EQ$23*(EU$15&lt;=$J69)*(1-EU$12)</f>
        <v>0</v>
      </c>
    </row>
    <row r="70" spans="3:151" ht="11.25" customHeight="1">
      <c r="C70" s="827" t="s">
        <v>505</v>
      </c>
      <c r="D70" s="829"/>
      <c r="E70" s="829"/>
      <c r="F70" s="829"/>
      <c r="G70" s="829"/>
      <c r="H70" s="829"/>
      <c r="I70" s="829"/>
      <c r="J70" s="829"/>
      <c r="K70" s="829"/>
      <c r="L70" s="830"/>
      <c r="M70" s="831"/>
      <c r="N70" s="832">
        <f>SUM(N71:N87)</f>
        <v>19418111.529104859</v>
      </c>
      <c r="O70" s="733"/>
      <c r="P70" s="833">
        <f>SUM(P71:P87)</f>
        <v>0</v>
      </c>
      <c r="Q70" s="833">
        <f t="shared" ref="Q70:CB70" si="37">SUM(Q71:Q87)</f>
        <v>0</v>
      </c>
      <c r="R70" s="833">
        <f t="shared" si="37"/>
        <v>0</v>
      </c>
      <c r="S70" s="833">
        <f t="shared" si="37"/>
        <v>0</v>
      </c>
      <c r="T70" s="833">
        <f t="shared" si="37"/>
        <v>0</v>
      </c>
      <c r="U70" s="833">
        <f t="shared" si="37"/>
        <v>0</v>
      </c>
      <c r="V70" s="833">
        <f t="shared" si="37"/>
        <v>0</v>
      </c>
      <c r="W70" s="833">
        <f t="shared" si="37"/>
        <v>0</v>
      </c>
      <c r="X70" s="833">
        <f t="shared" si="37"/>
        <v>0</v>
      </c>
      <c r="Y70" s="833">
        <f t="shared" si="37"/>
        <v>0</v>
      </c>
      <c r="Z70" s="833">
        <f t="shared" si="37"/>
        <v>0</v>
      </c>
      <c r="AA70" s="833">
        <f t="shared" si="37"/>
        <v>0</v>
      </c>
      <c r="AB70" s="833">
        <f t="shared" si="37"/>
        <v>0</v>
      </c>
      <c r="AC70" s="833">
        <f t="shared" si="37"/>
        <v>0</v>
      </c>
      <c r="AD70" s="833">
        <f t="shared" si="37"/>
        <v>0</v>
      </c>
      <c r="AE70" s="833">
        <f t="shared" si="37"/>
        <v>0</v>
      </c>
      <c r="AF70" s="833">
        <f t="shared" si="37"/>
        <v>0</v>
      </c>
      <c r="AG70" s="833">
        <f t="shared" si="37"/>
        <v>0</v>
      </c>
      <c r="AH70" s="833">
        <f t="shared" si="37"/>
        <v>0</v>
      </c>
      <c r="AI70" s="833">
        <f t="shared" si="37"/>
        <v>0</v>
      </c>
      <c r="AJ70" s="833">
        <f t="shared" si="37"/>
        <v>0</v>
      </c>
      <c r="AK70" s="833">
        <f t="shared" si="37"/>
        <v>0</v>
      </c>
      <c r="AL70" s="833">
        <f t="shared" si="37"/>
        <v>0</v>
      </c>
      <c r="AM70" s="833">
        <f t="shared" si="37"/>
        <v>0</v>
      </c>
      <c r="AN70" s="833">
        <f t="shared" si="37"/>
        <v>0</v>
      </c>
      <c r="AO70" s="833">
        <f t="shared" si="37"/>
        <v>0</v>
      </c>
      <c r="AP70" s="833">
        <f t="shared" si="37"/>
        <v>0</v>
      </c>
      <c r="AQ70" s="833">
        <f t="shared" si="37"/>
        <v>0</v>
      </c>
      <c r="AR70" s="833">
        <f t="shared" si="37"/>
        <v>0</v>
      </c>
      <c r="AS70" s="833">
        <f t="shared" si="37"/>
        <v>0</v>
      </c>
      <c r="AT70" s="833">
        <f t="shared" si="37"/>
        <v>0</v>
      </c>
      <c r="AU70" s="833">
        <f t="shared" si="37"/>
        <v>0</v>
      </c>
      <c r="AV70" s="833">
        <f t="shared" si="37"/>
        <v>0</v>
      </c>
      <c r="AW70" s="833">
        <f t="shared" si="37"/>
        <v>0</v>
      </c>
      <c r="AX70" s="833">
        <f t="shared" si="37"/>
        <v>0</v>
      </c>
      <c r="AY70" s="833">
        <f t="shared" si="37"/>
        <v>0</v>
      </c>
      <c r="AZ70" s="833">
        <f t="shared" si="37"/>
        <v>0</v>
      </c>
      <c r="BA70" s="833">
        <f t="shared" si="37"/>
        <v>0</v>
      </c>
      <c r="BB70" s="833">
        <f t="shared" si="37"/>
        <v>0</v>
      </c>
      <c r="BC70" s="833">
        <f t="shared" si="37"/>
        <v>0</v>
      </c>
      <c r="BD70" s="833">
        <f t="shared" si="37"/>
        <v>0</v>
      </c>
      <c r="BE70" s="833">
        <f t="shared" si="37"/>
        <v>0</v>
      </c>
      <c r="BF70" s="833">
        <f t="shared" si="37"/>
        <v>0</v>
      </c>
      <c r="BG70" s="833">
        <f t="shared" si="37"/>
        <v>0</v>
      </c>
      <c r="BH70" s="833">
        <f t="shared" si="37"/>
        <v>0</v>
      </c>
      <c r="BI70" s="833">
        <f t="shared" si="37"/>
        <v>0</v>
      </c>
      <c r="BJ70" s="833">
        <f t="shared" si="37"/>
        <v>0</v>
      </c>
      <c r="BK70" s="833">
        <f t="shared" si="37"/>
        <v>0</v>
      </c>
      <c r="BL70" s="833">
        <f t="shared" si="37"/>
        <v>0</v>
      </c>
      <c r="BM70" s="833">
        <f t="shared" si="37"/>
        <v>0</v>
      </c>
      <c r="BN70" s="833">
        <f t="shared" si="37"/>
        <v>0</v>
      </c>
      <c r="BO70" s="833">
        <f t="shared" si="37"/>
        <v>0</v>
      </c>
      <c r="BP70" s="833">
        <f t="shared" si="37"/>
        <v>0</v>
      </c>
      <c r="BQ70" s="833">
        <f t="shared" si="37"/>
        <v>0</v>
      </c>
      <c r="BR70" s="833">
        <f t="shared" si="37"/>
        <v>0</v>
      </c>
      <c r="BS70" s="833">
        <f t="shared" si="37"/>
        <v>0</v>
      </c>
      <c r="BT70" s="833">
        <f t="shared" si="37"/>
        <v>0</v>
      </c>
      <c r="BU70" s="833">
        <f t="shared" si="37"/>
        <v>0</v>
      </c>
      <c r="BV70" s="833">
        <f t="shared" si="37"/>
        <v>0</v>
      </c>
      <c r="BW70" s="833">
        <f t="shared" si="37"/>
        <v>0</v>
      </c>
      <c r="BX70" s="833">
        <f t="shared" si="37"/>
        <v>0</v>
      </c>
      <c r="BY70" s="833">
        <f t="shared" si="37"/>
        <v>0</v>
      </c>
      <c r="BZ70" s="833">
        <f t="shared" si="37"/>
        <v>0</v>
      </c>
      <c r="CA70" s="833">
        <f t="shared" si="37"/>
        <v>0</v>
      </c>
      <c r="CB70" s="833">
        <f t="shared" si="37"/>
        <v>0</v>
      </c>
      <c r="CC70" s="833">
        <f t="shared" ref="CC70:EN70" si="38">SUM(CC71:CC87)</f>
        <v>0</v>
      </c>
      <c r="CD70" s="833">
        <f t="shared" si="38"/>
        <v>0</v>
      </c>
      <c r="CE70" s="833">
        <f t="shared" si="38"/>
        <v>0</v>
      </c>
      <c r="CF70" s="833">
        <f t="shared" si="38"/>
        <v>0</v>
      </c>
      <c r="CG70" s="833">
        <f t="shared" si="38"/>
        <v>0</v>
      </c>
      <c r="CH70" s="833">
        <f t="shared" si="38"/>
        <v>0</v>
      </c>
      <c r="CI70" s="833">
        <f t="shared" si="38"/>
        <v>0</v>
      </c>
      <c r="CJ70" s="833">
        <f t="shared" si="38"/>
        <v>0</v>
      </c>
      <c r="CK70" s="833">
        <f t="shared" si="38"/>
        <v>0</v>
      </c>
      <c r="CL70" s="833">
        <f t="shared" si="38"/>
        <v>0</v>
      </c>
      <c r="CM70" s="833">
        <f t="shared" si="38"/>
        <v>0</v>
      </c>
      <c r="CN70" s="833">
        <f t="shared" si="38"/>
        <v>0</v>
      </c>
      <c r="CO70" s="833">
        <f t="shared" si="38"/>
        <v>0</v>
      </c>
      <c r="CP70" s="833">
        <f t="shared" si="38"/>
        <v>0</v>
      </c>
      <c r="CQ70" s="833">
        <f t="shared" si="38"/>
        <v>0</v>
      </c>
      <c r="CR70" s="833">
        <f t="shared" si="38"/>
        <v>0</v>
      </c>
      <c r="CS70" s="833">
        <f t="shared" si="38"/>
        <v>0</v>
      </c>
      <c r="CT70" s="833">
        <f t="shared" si="38"/>
        <v>0</v>
      </c>
      <c r="CU70" s="833">
        <f t="shared" si="38"/>
        <v>0</v>
      </c>
      <c r="CV70" s="833">
        <f t="shared" si="38"/>
        <v>0</v>
      </c>
      <c r="CW70" s="833">
        <f t="shared" si="38"/>
        <v>0</v>
      </c>
      <c r="CX70" s="833">
        <f t="shared" si="38"/>
        <v>0</v>
      </c>
      <c r="CY70" s="833">
        <f t="shared" si="38"/>
        <v>0</v>
      </c>
      <c r="CZ70" s="833">
        <f t="shared" si="38"/>
        <v>0</v>
      </c>
      <c r="DA70" s="833">
        <f t="shared" si="38"/>
        <v>0</v>
      </c>
      <c r="DB70" s="833">
        <f t="shared" si="38"/>
        <v>0</v>
      </c>
      <c r="DC70" s="833">
        <f t="shared" si="38"/>
        <v>0</v>
      </c>
      <c r="DD70" s="833">
        <f t="shared" si="38"/>
        <v>0</v>
      </c>
      <c r="DE70" s="833">
        <f t="shared" si="38"/>
        <v>0</v>
      </c>
      <c r="DF70" s="833">
        <f t="shared" si="38"/>
        <v>0</v>
      </c>
      <c r="DG70" s="833">
        <f t="shared" si="38"/>
        <v>0</v>
      </c>
      <c r="DH70" s="833">
        <f t="shared" si="38"/>
        <v>0</v>
      </c>
      <c r="DI70" s="833">
        <f t="shared" si="38"/>
        <v>0</v>
      </c>
      <c r="DJ70" s="833">
        <f t="shared" si="38"/>
        <v>0</v>
      </c>
      <c r="DK70" s="833">
        <f t="shared" si="38"/>
        <v>0</v>
      </c>
      <c r="DL70" s="833">
        <f t="shared" si="38"/>
        <v>0</v>
      </c>
      <c r="DM70" s="833">
        <f t="shared" si="38"/>
        <v>0</v>
      </c>
      <c r="DN70" s="833">
        <f t="shared" si="38"/>
        <v>0</v>
      </c>
      <c r="DO70" s="833">
        <f t="shared" si="38"/>
        <v>0</v>
      </c>
      <c r="DP70" s="833">
        <f t="shared" si="38"/>
        <v>0</v>
      </c>
      <c r="DQ70" s="833">
        <f t="shared" si="38"/>
        <v>0</v>
      </c>
      <c r="DR70" s="833">
        <f t="shared" si="38"/>
        <v>0</v>
      </c>
      <c r="DS70" s="833">
        <f t="shared" si="38"/>
        <v>0</v>
      </c>
      <c r="DT70" s="833">
        <f t="shared" si="38"/>
        <v>0</v>
      </c>
      <c r="DU70" s="833">
        <f t="shared" si="38"/>
        <v>0</v>
      </c>
      <c r="DV70" s="833">
        <f t="shared" si="38"/>
        <v>0</v>
      </c>
      <c r="DW70" s="833">
        <f t="shared" si="38"/>
        <v>0</v>
      </c>
      <c r="DX70" s="833">
        <f t="shared" si="38"/>
        <v>0</v>
      </c>
      <c r="DY70" s="833">
        <f t="shared" si="38"/>
        <v>0</v>
      </c>
      <c r="DZ70" s="833">
        <f t="shared" si="38"/>
        <v>0</v>
      </c>
      <c r="EA70" s="833">
        <f t="shared" si="38"/>
        <v>0</v>
      </c>
      <c r="EB70" s="833">
        <f t="shared" si="38"/>
        <v>0</v>
      </c>
      <c r="EC70" s="833">
        <f t="shared" si="38"/>
        <v>0</v>
      </c>
      <c r="ED70" s="833">
        <f t="shared" si="38"/>
        <v>0</v>
      </c>
      <c r="EE70" s="833">
        <f t="shared" si="38"/>
        <v>0</v>
      </c>
      <c r="EF70" s="833">
        <f t="shared" si="38"/>
        <v>0</v>
      </c>
      <c r="EG70" s="833">
        <f t="shared" si="38"/>
        <v>1591264.1430607762</v>
      </c>
      <c r="EH70" s="833">
        <f t="shared" si="38"/>
        <v>1597905.2229516609</v>
      </c>
      <c r="EI70" s="833">
        <f t="shared" si="38"/>
        <v>1602942.86210472</v>
      </c>
      <c r="EJ70" s="833">
        <f t="shared" si="38"/>
        <v>1616598.3669995144</v>
      </c>
      <c r="EK70" s="833">
        <f t="shared" si="38"/>
        <v>1616598.3669995144</v>
      </c>
      <c r="EL70" s="833">
        <f t="shared" si="38"/>
        <v>1621794.2130570207</v>
      </c>
      <c r="EM70" s="833">
        <f t="shared" si="38"/>
        <v>1626468.7874528188</v>
      </c>
      <c r="EN70" s="833">
        <f t="shared" si="38"/>
        <v>1626468.7874528188</v>
      </c>
      <c r="EO70" s="833">
        <f t="shared" ref="EO70:EU70" si="39">SUM(EO71:EO87)</f>
        <v>1626468.7874528188</v>
      </c>
      <c r="EP70" s="833">
        <f t="shared" si="39"/>
        <v>1630533.9971910645</v>
      </c>
      <c r="EQ70" s="833">
        <f t="shared" si="39"/>
        <v>1630533.9971910645</v>
      </c>
      <c r="ER70" s="833">
        <f t="shared" si="39"/>
        <v>1630533.9971910645</v>
      </c>
      <c r="ES70" s="833">
        <f t="shared" si="39"/>
        <v>0</v>
      </c>
      <c r="ET70" s="833">
        <f t="shared" si="39"/>
        <v>0</v>
      </c>
      <c r="EU70" s="833">
        <f t="shared" si="39"/>
        <v>0</v>
      </c>
    </row>
    <row r="71" spans="3:151" ht="11.25" customHeight="1">
      <c r="C71" s="828"/>
      <c r="D71" s="736" t="str">
        <f>'A&amp;R'!V6</f>
        <v>옥상</v>
      </c>
      <c r="E71" s="737" t="s">
        <v>850</v>
      </c>
      <c r="F71" s="737" t="str">
        <f>'A&amp;R'!X6</f>
        <v>태양광시설</v>
      </c>
      <c r="G71" s="751">
        <f>G35</f>
        <v>15000</v>
      </c>
      <c r="H71" s="738">
        <f>'A&amp;R'!Y6</f>
        <v>0</v>
      </c>
      <c r="I71" s="739">
        <f>'A&amp;R'!AA6</f>
        <v>49979</v>
      </c>
      <c r="J71" s="739"/>
      <c r="K71" s="753">
        <f>'A&amp;R'!AF6</f>
        <v>2.5000000000000001E-2</v>
      </c>
      <c r="L71" s="740"/>
      <c r="M71" s="741"/>
      <c r="N71" s="742">
        <f>SUM(P71:EU71)</f>
        <v>0</v>
      </c>
      <c r="O71" s="733"/>
      <c r="P71" s="742">
        <f>$G71*$H71*(1+$K71)^MAX(ROUNDUP(IFERROR(DATEDIF($I53-1,P$15+1,"m"),)/12,)-1,)*Index!L$23*(P$15&gt;$I71)*(1-P$12)</f>
        <v>0</v>
      </c>
      <c r="Q71" s="742">
        <f>$G71*$H71*(1+$K71)^MAX(ROUNDUP(IFERROR(DATEDIF($I53-1,Q$15+1,"m"),)/12,)-1,)*Index!M$23*(Q$15&gt;$I71)*(1-Q$12)</f>
        <v>0</v>
      </c>
      <c r="R71" s="742">
        <f>$G71*$H71*(1+$K71)^MAX(ROUNDUP(IFERROR(DATEDIF($I53-1,R$15+1,"m"),)/12,)-1,)*Index!N$23*(R$15&gt;$I71)*(1-R$12)</f>
        <v>0</v>
      </c>
      <c r="S71" s="742">
        <f>$G71*$H71*(1+$K71)^MAX(ROUNDUP(IFERROR(DATEDIF($I53-1,S$15+1,"m"),)/12,)-1,)*Index!O$23*(S$15&gt;$I71)*(1-S$12)</f>
        <v>0</v>
      </c>
      <c r="T71" s="742">
        <f>$G71*$H71*(1+$K71)^MAX(ROUNDUP(IFERROR(DATEDIF($I53-1,T$15+1,"m"),)/12,)-1,)*Index!P$23*(T$15&gt;$I71)*(1-T$12)</f>
        <v>0</v>
      </c>
      <c r="U71" s="742">
        <f>$G71*$H71*(1+$K71)^MAX(ROUNDUP(IFERROR(DATEDIF($I53-1,U$15+1,"m"),)/12,)-1,)*Index!Q$23*(U$15&gt;$I71)*(1-U$12)</f>
        <v>0</v>
      </c>
      <c r="V71" s="742">
        <f>$G71*$H71*(1+$K71)^MAX(ROUNDUP(IFERROR(DATEDIF($I53-1,V$15+1,"m"),)/12,)-1,)*Index!R$23*(V$15&gt;$I71)*(1-V$12)</f>
        <v>0</v>
      </c>
      <c r="W71" s="742">
        <f>$G71*$H71*(1+$K71)^MAX(ROUNDUP(IFERROR(DATEDIF($I53-1,W$15+1,"m"),)/12,)-1,)*Index!S$23*(W$15&gt;$I71)*(1-W$12)</f>
        <v>0</v>
      </c>
      <c r="X71" s="742">
        <f>$G71*$H71*(1+$K71)^MAX(ROUNDUP(IFERROR(DATEDIF($I53-1,X$15+1,"m"),)/12,)-1,)*Index!T$23*(X$15&gt;$I71)*(1-X$12)</f>
        <v>0</v>
      </c>
      <c r="Y71" s="742">
        <f>$G71*$H71*(1+$K71)^MAX(ROUNDUP(IFERROR(DATEDIF($I53-1,Y$15+1,"m"),)/12,)-1,)*Index!U$23*(Y$15&gt;$I71)*(1-Y$12)</f>
        <v>0</v>
      </c>
      <c r="Z71" s="742">
        <f>$G71*$H71*(1+$K71)^MAX(ROUNDUP(IFERROR(DATEDIF($I53-1,Z$15+1,"m"),)/12,)-1,)*Index!V$23*(Z$15&gt;$I71)*(1-Z$12)</f>
        <v>0</v>
      </c>
      <c r="AA71" s="742">
        <f>$G71*$H71*(1+$K71)^MAX(ROUNDUP(IFERROR(DATEDIF($I53-1,AA$15+1,"m"),)/12,)-1,)*Index!W$23*(AA$15&gt;$I71)*(1-AA$12)</f>
        <v>0</v>
      </c>
      <c r="AB71" s="742">
        <f>$G71*$H71*(1+$K71)^MAX(ROUNDUP(IFERROR(DATEDIF($I53-1,AB$15+1,"m"),)/12,)-1,)*Index!X$23*(AB$15&gt;$I71)*(1-AB$12)</f>
        <v>0</v>
      </c>
      <c r="AC71" s="742">
        <f>$G71*$H71*(1+$K71)^MAX(ROUNDUP(IFERROR(DATEDIF($I53-1,AC$15+1,"m"),)/12,)-1,)*Index!Y$23*(AC$15&gt;$I71)*(1-AC$12)</f>
        <v>0</v>
      </c>
      <c r="AD71" s="742">
        <f>$G71*$H71*(1+$K71)^MAX(ROUNDUP(IFERROR(DATEDIF($I53-1,AD$15+1,"m"),)/12,)-1,)*Index!Z$23*(AD$15&gt;$I71)*(1-AD$12)</f>
        <v>0</v>
      </c>
      <c r="AE71" s="742">
        <f>$G71*$H71*(1+$K71)^MAX(ROUNDUP(IFERROR(DATEDIF($I53-1,AE$15+1,"m"),)/12,)-1,)*Index!AA$23*(AE$15&gt;$I71)*(1-AE$12)</f>
        <v>0</v>
      </c>
      <c r="AF71" s="742">
        <f>$G71*$H71*(1+$K71)^MAX(ROUNDUP(IFERROR(DATEDIF($I53-1,AF$15+1,"m"),)/12,)-1,)*Index!AB$23*(AF$15&gt;$I71)*(1-AF$12)</f>
        <v>0</v>
      </c>
      <c r="AG71" s="742">
        <f>$G71*$H71*(1+$K71)^MAX(ROUNDUP(IFERROR(DATEDIF($I53-1,AG$15+1,"m"),)/12,)-1,)*Index!AC$23*(AG$15&gt;$I71)*(1-AG$12)</f>
        <v>0</v>
      </c>
      <c r="AH71" s="742">
        <f>$G71*$H71*(1+$K71)^MAX(ROUNDUP(IFERROR(DATEDIF($I53-1,AH$15+1,"m"),)/12,)-1,)*Index!AD$23*(AH$15&gt;$I71)*(1-AH$12)</f>
        <v>0</v>
      </c>
      <c r="AI71" s="742">
        <f>$G71*$H71*(1+$K71)^MAX(ROUNDUP(IFERROR(DATEDIF($I53-1,AI$15+1,"m"),)/12,)-1,)*Index!AE$23*(AI$15&gt;$I71)*(1-AI$12)</f>
        <v>0</v>
      </c>
      <c r="AJ71" s="742">
        <f>$G71*$H71*(1+$K71)^MAX(ROUNDUP(IFERROR(DATEDIF($I53-1,AJ$15+1,"m"),)/12,)-1,)*Index!AF$23*(AJ$15&gt;$I71)*(1-AJ$12)</f>
        <v>0</v>
      </c>
      <c r="AK71" s="742">
        <f>$G71*$H71*(1+$K71)^MAX(ROUNDUP(IFERROR(DATEDIF($I53-1,AK$15+1,"m"),)/12,)-1,)*Index!AG$23*(AK$15&gt;$I71)*(1-AK$12)</f>
        <v>0</v>
      </c>
      <c r="AL71" s="742">
        <f>$G71*$H71*(1+$K71)^MAX(ROUNDUP(IFERROR(DATEDIF($I53-1,AL$15+1,"m"),)/12,)-1,)*Index!AH$23*(AL$15&gt;$I71)*(1-AL$12)</f>
        <v>0</v>
      </c>
      <c r="AM71" s="742">
        <f>$G71*$H71*(1+$K71)^MAX(ROUNDUP(IFERROR(DATEDIF($I53-1,AM$15+1,"m"),)/12,)-1,)*Index!AI$23*(AM$15&gt;$I71)*(1-AM$12)</f>
        <v>0</v>
      </c>
      <c r="AN71" s="742">
        <f>$G71*$H71*(1+$K71)^MAX(ROUNDUP(IFERROR(DATEDIF($I53-1,AN$15+1,"m"),)/12,)-1,)*Index!AJ$23*(AN$15&gt;$I71)*(1-AN$12)</f>
        <v>0</v>
      </c>
      <c r="AO71" s="742">
        <f>$G71*$H71*(1+$K71)^MAX(ROUNDUP(IFERROR(DATEDIF($I53-1,AO$15+1,"m"),)/12,)-1,)*Index!AK$23*(AO$15&gt;$I71)*(1-AO$12)</f>
        <v>0</v>
      </c>
      <c r="AP71" s="742">
        <f>$G71*$H71*(1+$K71)^MAX(ROUNDUP(IFERROR(DATEDIF($I53-1,AP$15+1,"m"),)/12,)-1,)*Index!AL$23*(AP$15&gt;$I71)*(1-AP$12)</f>
        <v>0</v>
      </c>
      <c r="AQ71" s="742">
        <f>$G71*$H71*(1+$K71)^MAX(ROUNDUP(IFERROR(DATEDIF($I53-1,AQ$15+1,"m"),)/12,)-1,)*Index!AM$23*(AQ$15&gt;$I71)*(1-AQ$12)</f>
        <v>0</v>
      </c>
      <c r="AR71" s="742">
        <f>$G71*$H71*(1+$K71)^MAX(ROUNDUP(IFERROR(DATEDIF($I53-1,AR$15+1,"m"),)/12,)-1,)*Index!AN$23*(AR$15&gt;$I71)*(1-AR$12)</f>
        <v>0</v>
      </c>
      <c r="AS71" s="742">
        <f>$G71*$H71*(1+$K71)^MAX(ROUNDUP(IFERROR(DATEDIF($I53-1,AS$15+1,"m"),)/12,)-1,)*Index!AO$23*(AS$15&gt;$I71)*(1-AS$12)</f>
        <v>0</v>
      </c>
      <c r="AT71" s="742">
        <f>$G71*$H71*(1+$K71)^MAX(ROUNDUP(IFERROR(DATEDIF($I53-1,AT$15+1,"m"),)/12,)-1,)*Index!AP$23*(AT$15&gt;$I71)*(1-AT$12)</f>
        <v>0</v>
      </c>
      <c r="AU71" s="742">
        <f>$G71*$H71*(1+$K71)^MAX(ROUNDUP(IFERROR(DATEDIF($I53-1,AU$15+1,"m"),)/12,)-1,)*Index!AQ$23*(AU$15&gt;$I71)*(1-AU$12)</f>
        <v>0</v>
      </c>
      <c r="AV71" s="742">
        <f>$G71*$H71*(1+$K71)^MAX(ROUNDUP(IFERROR(DATEDIF($I53-1,AV$15+1,"m"),)/12,)-1,)*Index!AR$23*(AV$15&gt;$I71)*(1-AV$12)</f>
        <v>0</v>
      </c>
      <c r="AW71" s="742">
        <f>$G71*$H71*(1+$K71)^MAX(ROUNDUP(IFERROR(DATEDIF($I53-1,AW$15+1,"m"),)/12,)-1,)*Index!AS$23*(AW$15&gt;$I71)*(1-AW$12)</f>
        <v>0</v>
      </c>
      <c r="AX71" s="742">
        <f>$G71*$H71*(1+$K71)^MAX(ROUNDUP(IFERROR(DATEDIF($I53-1,AX$15+1,"m"),)/12,)-1,)*Index!AT$23*(AX$15&gt;$I71)*(1-AX$12)</f>
        <v>0</v>
      </c>
      <c r="AY71" s="742">
        <f>$G71*$H71*(1+$K71)^MAX(ROUNDUP(IFERROR(DATEDIF($I53-1,AY$15+1,"m"),)/12,)-1,)*Index!AU$23*(AY$15&gt;$I71)*(1-AY$12)</f>
        <v>0</v>
      </c>
      <c r="AZ71" s="742">
        <f>$G71*$H71*(1+$K71)^MAX(ROUNDUP(IFERROR(DATEDIF($I53-1,AZ$15+1,"m"),)/12,)-1,)*Index!AV$23*(AZ$15&gt;$I71)*(1-AZ$12)</f>
        <v>0</v>
      </c>
      <c r="BA71" s="742">
        <f>$G71*$H71*(1+$K71)^MAX(ROUNDUP(IFERROR(DATEDIF($I53-1,BA$15+1,"m"),)/12,)-1,)*Index!AW$23*(BA$15&gt;$I71)*(1-BA$12)</f>
        <v>0</v>
      </c>
      <c r="BB71" s="742">
        <f>$G71*$H71*(1+$K71)^MAX(ROUNDUP(IFERROR(DATEDIF($I53-1,BB$15+1,"m"),)/12,)-1,)*Index!AX$23*(BB$15&gt;$I71)*(1-BB$12)</f>
        <v>0</v>
      </c>
      <c r="BC71" s="742">
        <f>$G71*$H71*(1+$K71)^MAX(ROUNDUP(IFERROR(DATEDIF($I53-1,BC$15+1,"m"),)/12,)-1,)*Index!AY$23*(BC$15&gt;$I71)*(1-BC$12)</f>
        <v>0</v>
      </c>
      <c r="BD71" s="742">
        <f>$G71*$H71*(1+$K71)^MAX(ROUNDUP(IFERROR(DATEDIF($I53-1,BD$15+1,"m"),)/12,)-1,)*Index!AZ$23*(BD$15&gt;$I71)*(1-BD$12)</f>
        <v>0</v>
      </c>
      <c r="BE71" s="742">
        <f>$G71*$H71*(1+$K71)^MAX(ROUNDUP(IFERROR(DATEDIF($I53-1,BE$15+1,"m"),)/12,)-1,)*Index!BA$23*(BE$15&gt;$I71)*(1-BE$12)</f>
        <v>0</v>
      </c>
      <c r="BF71" s="742">
        <f>$G71*$H71*(1+$K71)^MAX(ROUNDUP(IFERROR(DATEDIF($I53-1,BF$15+1,"m"),)/12,)-1,)*Index!BB$23*(BF$15&gt;$I71)*(1-BF$12)</f>
        <v>0</v>
      </c>
      <c r="BG71" s="742">
        <f>$G71*$H71*(1+$K71)^MAX(ROUNDUP(IFERROR(DATEDIF($I53-1,BG$15+1,"m"),)/12,)-1,)*Index!BC$23*(BG$15&gt;$I71)*(1-BG$12)</f>
        <v>0</v>
      </c>
      <c r="BH71" s="742">
        <f>$G71*$H71*(1+$K71)^MAX(ROUNDUP(IFERROR(DATEDIF($I53-1,BH$15+1,"m"),)/12,)-1,)*Index!BD$23*(BH$15&gt;$I71)*(1-BH$12)</f>
        <v>0</v>
      </c>
      <c r="BI71" s="742">
        <f>$G71*$H71*(1+$K71)^MAX(ROUNDUP(IFERROR(DATEDIF($I53-1,BI$15+1,"m"),)/12,)-1,)*Index!BE$23*(BI$15&gt;$I71)*(1-BI$12)</f>
        <v>0</v>
      </c>
      <c r="BJ71" s="742">
        <f>$G71*$H71*(1+$K71)^MAX(ROUNDUP(IFERROR(DATEDIF($I53-1,BJ$15+1,"m"),)/12,)-1,)*Index!BF$23*(BJ$15&gt;$I71)*(1-BJ$12)</f>
        <v>0</v>
      </c>
      <c r="BK71" s="742">
        <f>$G71*$H71*(1+$K71)^MAX(ROUNDUP(IFERROR(DATEDIF($I53-1,BK$15+1,"m"),)/12,)-1,)*Index!BG$23*(BK$15&gt;$I71)*(1-BK$12)</f>
        <v>0</v>
      </c>
      <c r="BL71" s="742">
        <f>$G71*$H71*(1+$K71)^MAX(ROUNDUP(IFERROR(DATEDIF($I53-1,BL$15+1,"m"),)/12,)-1,)*Index!BH$23*(BL$15&gt;$I71)*(1-BL$12)</f>
        <v>0</v>
      </c>
      <c r="BM71" s="742">
        <f>$G71*$H71*(1+$K71)^MAX(ROUNDUP(IFERROR(DATEDIF($I53-1,BM$15+1,"m"),)/12,)-1,)*Index!BI$23*(BM$15&gt;$I71)*(1-BM$12)</f>
        <v>0</v>
      </c>
      <c r="BN71" s="742">
        <f>$G71*$H71*(1+$K71)^MAX(ROUNDUP(IFERROR(DATEDIF($I53-1,BN$15+1,"m"),)/12,)-1,)*Index!BJ$23*(BN$15&gt;$I71)*(1-BN$12)</f>
        <v>0</v>
      </c>
      <c r="BO71" s="742">
        <f>$G71*$H71*(1+$K71)^MAX(ROUNDUP(IFERROR(DATEDIF($I53-1,BO$15+1,"m"),)/12,)-1,)*Index!BK$23*(BO$15&gt;$I71)*(1-BO$12)</f>
        <v>0</v>
      </c>
      <c r="BP71" s="742">
        <f>$G71*$H71*(1+$K71)^MAX(ROUNDUP(IFERROR(DATEDIF($I53-1,BP$15+1,"m"),)/12,)-1,)*Index!BL$23*(BP$15&gt;$I71)*(1-BP$12)</f>
        <v>0</v>
      </c>
      <c r="BQ71" s="742">
        <f>$G71*$H71*(1+$K71)^MAX(ROUNDUP(IFERROR(DATEDIF($I53-1,BQ$15+1,"m"),)/12,)-1,)*Index!BM$23*(BQ$15&gt;$I71)*(1-BQ$12)</f>
        <v>0</v>
      </c>
      <c r="BR71" s="742">
        <f>$G71*$H71*(1+$K71)^MAX(ROUNDUP(IFERROR(DATEDIF($I53-1,BR$15+1,"m"),)/12,)-1,)*Index!BN$23*(BR$15&gt;$I71)*(1-BR$12)</f>
        <v>0</v>
      </c>
      <c r="BS71" s="742">
        <f>$G71*$H71*(1+$K71)^MAX(ROUNDUP(IFERROR(DATEDIF($I53-1,BS$15+1,"m"),)/12,)-1,)*Index!BO$23*(BS$15&gt;$I71)*(1-BS$12)</f>
        <v>0</v>
      </c>
      <c r="BT71" s="742">
        <f>$G71*$H71*(1+$K71)^MAX(ROUNDUP(IFERROR(DATEDIF($I53-1,BT$15+1,"m"),)/12,)-1,)*Index!BP$23*(BT$15&gt;$I71)*(1-BT$12)</f>
        <v>0</v>
      </c>
      <c r="BU71" s="742">
        <f>$G71*$H71*(1+$K71)^MAX(ROUNDUP(IFERROR(DATEDIF($I53-1,BU$15+1,"m"),)/12,)-1,)*Index!BQ$23*(BU$15&gt;$I71)*(1-BU$12)</f>
        <v>0</v>
      </c>
      <c r="BV71" s="742">
        <f>$G71*$H71*(1+$K71)^MAX(ROUNDUP(IFERROR(DATEDIF($I53-1,BV$15+1,"m"),)/12,)-1,)*Index!BR$23*(BV$15&gt;$I71)*(1-BV$12)</f>
        <v>0</v>
      </c>
      <c r="BW71" s="742">
        <f>$G71*$H71*(1+$K71)^MAX(ROUNDUP(IFERROR(DATEDIF($I53-1,BW$15+1,"m"),)/12,)-1,)*Index!BS$23*(BW$15&gt;$I71)*(1-BW$12)</f>
        <v>0</v>
      </c>
      <c r="BX71" s="742">
        <f>$G71*$H71*(1+$K71)^MAX(ROUNDUP(IFERROR(DATEDIF($I53-1,BX$15+1,"m"),)/12,)-1,)*Index!BT$23*(BX$15&gt;$I71)*(1-BX$12)</f>
        <v>0</v>
      </c>
      <c r="BY71" s="742">
        <f>$G71*$H71*(1+$K71)^MAX(ROUNDUP(IFERROR(DATEDIF($I53-1,BY$15+1,"m"),)/12,)-1,)*Index!BU$23*(BY$15&gt;$I71)*(1-BY$12)</f>
        <v>0</v>
      </c>
      <c r="BZ71" s="742">
        <f>$G71*$H71*(1+$K71)^MAX(ROUNDUP(IFERROR(DATEDIF($I53-1,BZ$15+1,"m"),)/12,)-1,)*Index!BV$23*(BZ$15&gt;$I71)*(1-BZ$12)</f>
        <v>0</v>
      </c>
      <c r="CA71" s="742">
        <f>$G71*$H71*(1+$K71)^MAX(ROUNDUP(IFERROR(DATEDIF($I53-1,CA$15+1,"m"),)/12,)-1,)*Index!BW$23*(CA$15&gt;$I71)*(1-CA$12)</f>
        <v>0</v>
      </c>
      <c r="CB71" s="742">
        <f>$G71*$H71*(1+$K71)^MAX(ROUNDUP(IFERROR(DATEDIF($I53-1,CB$15+1,"m"),)/12,)-1,)*Index!BX$23*(CB$15&gt;$I71)*(1-CB$12)</f>
        <v>0</v>
      </c>
      <c r="CC71" s="742">
        <f>$G71*$H71*(1+$K71)^MAX(ROUNDUP(IFERROR(DATEDIF($I53-1,CC$15+1,"m"),)/12,)-1,)*Index!BY$23*(CC$15&gt;$I71)*(1-CC$12)</f>
        <v>0</v>
      </c>
      <c r="CD71" s="742">
        <f>$G71*$H71*(1+$K71)^MAX(ROUNDUP(IFERROR(DATEDIF($I53-1,CD$15+1,"m"),)/12,)-1,)*Index!BZ$23*(CD$15&gt;$I71)*(1-CD$12)</f>
        <v>0</v>
      </c>
      <c r="CE71" s="742">
        <f>$G71*$H71*(1+$K71)^MAX(ROUNDUP(IFERROR(DATEDIF($I53-1,CE$15+1,"m"),)/12,)-1,)*Index!CA$23*(CE$15&gt;$I71)*(1-CE$12)</f>
        <v>0</v>
      </c>
      <c r="CF71" s="742">
        <f>$G71*$H71*(1+$K71)^MAX(ROUNDUP(IFERROR(DATEDIF($I53-1,CF$15+1,"m"),)/12,)-1,)*Index!CB$23*(CF$15&gt;$I71)*(1-CF$12)</f>
        <v>0</v>
      </c>
      <c r="CG71" s="742">
        <f>$G71*$H71*(1+$K71)^MAX(ROUNDUP(IFERROR(DATEDIF($I53-1,CG$15+1,"m"),)/12,)-1,)*Index!CC$23*(CG$15&gt;$I71)*(1-CG$12)</f>
        <v>0</v>
      </c>
      <c r="CH71" s="742">
        <f>$G71*$H71*(1+$K71)^MAX(ROUNDUP(IFERROR(DATEDIF($I53-1,CH$15+1,"m"),)/12,)-1,)*Index!CD$23*(CH$15&gt;$I71)*(1-CH$12)</f>
        <v>0</v>
      </c>
      <c r="CI71" s="742">
        <f>$G71*$H71*(1+$K71)^MAX(ROUNDUP(IFERROR(DATEDIF($I53-1,CI$15+1,"m"),)/12,)-1,)*Index!CE$23*(CI$15&gt;$I71)*(1-CI$12)</f>
        <v>0</v>
      </c>
      <c r="CJ71" s="742">
        <f>$G71*$H71*(1+$K71)^MAX(ROUNDUP(IFERROR(DATEDIF($I53-1,CJ$15+1,"m"),)/12,)-1,)*Index!CF$23*(CJ$15&gt;$I71)*(1-CJ$12)</f>
        <v>0</v>
      </c>
      <c r="CK71" s="742">
        <f>$G71*$H71*(1+$K71)^MAX(ROUNDUP(IFERROR(DATEDIF($I53-1,CK$15+1,"m"),)/12,)-1,)*Index!CG$23*(CK$15&gt;$I71)*(1-CK$12)</f>
        <v>0</v>
      </c>
      <c r="CL71" s="742">
        <f>$G71*$H71*(1+$K71)^MAX(ROUNDUP(IFERROR(DATEDIF($I53-1,CL$15+1,"m"),)/12,)-1,)*Index!CH$23*(CL$15&gt;$I71)*(1-CL$12)</f>
        <v>0</v>
      </c>
      <c r="CM71" s="742">
        <f>$G71*$H71*(1+$K71)^MAX(ROUNDUP(IFERROR(DATEDIF($I53-1,CM$15+1,"m"),)/12,)-1,)*Index!CI$23*(CM$15&gt;$I71)*(1-CM$12)</f>
        <v>0</v>
      </c>
      <c r="CN71" s="742">
        <f>$G71*$H71*(1+$K71)^MAX(ROUNDUP(IFERROR(DATEDIF($I53-1,CN$15+1,"m"),)/12,)-1,)*Index!CJ$23*(CN$15&gt;$I71)*(1-CN$12)</f>
        <v>0</v>
      </c>
      <c r="CO71" s="742">
        <f>$G71*$H71*(1+$K71)^MAX(ROUNDUP(IFERROR(DATEDIF($I53-1,CO$15+1,"m"),)/12,)-1,)*Index!CK$23*(CO$15&gt;$I71)*(1-CO$12)</f>
        <v>0</v>
      </c>
      <c r="CP71" s="742">
        <f>$G71*$H71*(1+$K71)^MAX(ROUNDUP(IFERROR(DATEDIF($I53-1,CP$15+1,"m"),)/12,)-1,)*Index!CL$23*(CP$15&gt;$I71)*(1-CP$12)</f>
        <v>0</v>
      </c>
      <c r="CQ71" s="742">
        <f>$G71*$H71*(1+$K71)^MAX(ROUNDUP(IFERROR(DATEDIF($I53-1,CQ$15+1,"m"),)/12,)-1,)*Index!CM$23*(CQ$15&gt;$I71)*(1-CQ$12)</f>
        <v>0</v>
      </c>
      <c r="CR71" s="742">
        <f>$G71*$H71*(1+$K71)^MAX(ROUNDUP(IFERROR(DATEDIF($I53-1,CR$15+1,"m"),)/12,)-1,)*Index!CN$23*(CR$15&gt;$I71)*(1-CR$12)</f>
        <v>0</v>
      </c>
      <c r="CS71" s="742">
        <f>$G71*$H71*(1+$K71)^MAX(ROUNDUP(IFERROR(DATEDIF($I53-1,CS$15+1,"m"),)/12,)-1,)*Index!CO$23*(CS$15&gt;$I71)*(1-CS$12)</f>
        <v>0</v>
      </c>
      <c r="CT71" s="742">
        <f>$G71*$H71*(1+$K71)^MAX(ROUNDUP(IFERROR(DATEDIF($I53-1,CT$15+1,"m"),)/12,)-1,)*Index!CP$23*(CT$15&gt;$I71)*(1-CT$12)</f>
        <v>0</v>
      </c>
      <c r="CU71" s="742">
        <f>$G71*$H71*(1+$K71)^MAX(ROUNDUP(IFERROR(DATEDIF($I53-1,CU$15+1,"m"),)/12,)-1,)*Index!CQ$23*(CU$15&gt;$I71)*(1-CU$12)</f>
        <v>0</v>
      </c>
      <c r="CV71" s="742">
        <f>$G71*$H71*(1+$K71)^MAX(ROUNDUP(IFERROR(DATEDIF($I53-1,CV$15+1,"m"),)/12,)-1,)*Index!CR$23*(CV$15&gt;$I71)*(1-CV$12)</f>
        <v>0</v>
      </c>
      <c r="CW71" s="742">
        <f>$G71*$H71*(1+$K71)^MAX(ROUNDUP(IFERROR(DATEDIF($I53-1,CW$15+1,"m"),)/12,)-1,)*Index!CS$23*(CW$15&gt;$I71)*(1-CW$12)</f>
        <v>0</v>
      </c>
      <c r="CX71" s="742">
        <f>$G71*$H71*(1+$K71)^MAX(ROUNDUP(IFERROR(DATEDIF($I53-1,CX$15+1,"m"),)/12,)-1,)*Index!CT$23*(CX$15&gt;$I71)*(1-CX$12)</f>
        <v>0</v>
      </c>
      <c r="CY71" s="742">
        <f>$G71*$H71*(1+$K71)^MAX(ROUNDUP(IFERROR(DATEDIF($I53-1,CY$15+1,"m"),)/12,)-1,)*Index!CU$23*(CY$15&gt;$I71)*(1-CY$12)</f>
        <v>0</v>
      </c>
      <c r="CZ71" s="742">
        <f>$G71*$H71*(1+$K71)^MAX(ROUNDUP(IFERROR(DATEDIF($I53-1,CZ$15+1,"m"),)/12,)-1,)*Index!CV$23*(CZ$15&gt;$I71)*(1-CZ$12)</f>
        <v>0</v>
      </c>
      <c r="DA71" s="742">
        <f>$G71*$H71*(1+$K71)^MAX(ROUNDUP(IFERROR(DATEDIF($I53-1,DA$15+1,"m"),)/12,)-1,)*Index!CW$23*(DA$15&gt;$I71)*(1-DA$12)</f>
        <v>0</v>
      </c>
      <c r="DB71" s="742">
        <f>$G71*$H71*(1+$K71)^MAX(ROUNDUP(IFERROR(DATEDIF($I53-1,DB$15+1,"m"),)/12,)-1,)*Index!CX$23*(DB$15&gt;$I71)*(1-DB$12)</f>
        <v>0</v>
      </c>
      <c r="DC71" s="742">
        <f>$G71*$H71*(1+$K71)^MAX(ROUNDUP(IFERROR(DATEDIF($I53-1,DC$15+1,"m"),)/12,)-1,)*Index!CY$23*(DC$15&gt;$I71)*(1-DC$12)</f>
        <v>0</v>
      </c>
      <c r="DD71" s="742">
        <f>$G71*$H71*(1+$K71)^MAX(ROUNDUP(IFERROR(DATEDIF($I53-1,DD$15+1,"m"),)/12,)-1,)*Index!CZ$23*(DD$15&gt;$I71)*(1-DD$12)</f>
        <v>0</v>
      </c>
      <c r="DE71" s="742">
        <f>$G71*$H71*(1+$K71)^MAX(ROUNDUP(IFERROR(DATEDIF($I53-1,DE$15+1,"m"),)/12,)-1,)*Index!DA$23*(DE$15&gt;$I71)*(1-DE$12)</f>
        <v>0</v>
      </c>
      <c r="DF71" s="742">
        <f>$G71*$H71*(1+$K71)^MAX(ROUNDUP(IFERROR(DATEDIF($I53-1,DF$15+1,"m"),)/12,)-1,)*Index!DB$23*(DF$15&gt;$I71)*(1-DF$12)</f>
        <v>0</v>
      </c>
      <c r="DG71" s="742">
        <f>$G71*$H71*(1+$K71)^MAX(ROUNDUP(IFERROR(DATEDIF($I53-1,DG$15+1,"m"),)/12,)-1,)*Index!DC$23*(DG$15&gt;$I71)*(1-DG$12)</f>
        <v>0</v>
      </c>
      <c r="DH71" s="742">
        <f>$G71*$H71*(1+$K71)^MAX(ROUNDUP(IFERROR(DATEDIF($I53-1,DH$15+1,"m"),)/12,)-1,)*Index!DD$23*(DH$15&gt;$I71)*(1-DH$12)</f>
        <v>0</v>
      </c>
      <c r="DI71" s="742">
        <f>$G71*$H71*(1+$K71)^MAX(ROUNDUP(IFERROR(DATEDIF($I53-1,DI$15+1,"m"),)/12,)-1,)*Index!DE$23*(DI$15&gt;$I71)*(1-DI$12)</f>
        <v>0</v>
      </c>
      <c r="DJ71" s="742">
        <f>$G71*$H71*(1+$K71)^MAX(ROUNDUP(IFERROR(DATEDIF($I53-1,DJ$15+1,"m"),)/12,)-1,)*Index!DF$23*(DJ$15&gt;$I71)*(1-DJ$12)</f>
        <v>0</v>
      </c>
      <c r="DK71" s="742">
        <f>$G71*$H71*(1+$K71)^MAX(ROUNDUP(IFERROR(DATEDIF($I53-1,DK$15+1,"m"),)/12,)-1,)*Index!DG$23*(DK$15&gt;$I71)*(1-DK$12)</f>
        <v>0</v>
      </c>
      <c r="DL71" s="742">
        <f>$G71*$H71*(1+$K71)^MAX(ROUNDUP(IFERROR(DATEDIF($I53-1,DL$15+1,"m"),)/12,)-1,)*Index!DH$23*(DL$15&gt;$I71)*(1-DL$12)</f>
        <v>0</v>
      </c>
      <c r="DM71" s="742">
        <f>$G71*$H71*(1+$K71)^MAX(ROUNDUP(IFERROR(DATEDIF($I53-1,DM$15+1,"m"),)/12,)-1,)*Index!DI$23*(DM$15&gt;$I71)*(1-DM$12)</f>
        <v>0</v>
      </c>
      <c r="DN71" s="742">
        <f>$G71*$H71*(1+$K71)^MAX(ROUNDUP(IFERROR(DATEDIF($I53-1,DN$15+1,"m"),)/12,)-1,)*Index!DJ$23*(DN$15&gt;$I71)*(1-DN$12)</f>
        <v>0</v>
      </c>
      <c r="DO71" s="742">
        <f>$G71*$H71*(1+$K71)^MAX(ROUNDUP(IFERROR(DATEDIF($I53-1,DO$15+1,"m"),)/12,)-1,)*Index!DK$23*(DO$15&gt;$I71)*(1-DO$12)</f>
        <v>0</v>
      </c>
      <c r="DP71" s="742">
        <f>$G71*$H71*(1+$K71)^MAX(ROUNDUP(IFERROR(DATEDIF($I53-1,DP$15+1,"m"),)/12,)-1,)*Index!DL$23*(DP$15&gt;$I71)*(1-DP$12)</f>
        <v>0</v>
      </c>
      <c r="DQ71" s="742">
        <f>$G71*$H71*(1+$K71)^MAX(ROUNDUP(IFERROR(DATEDIF($I53-1,DQ$15+1,"m"),)/12,)-1,)*Index!DM$23*(DQ$15&gt;$I71)*(1-DQ$12)</f>
        <v>0</v>
      </c>
      <c r="DR71" s="742">
        <f>$G71*$H71*(1+$K71)^MAX(ROUNDUP(IFERROR(DATEDIF($I53-1,DR$15+1,"m"),)/12,)-1,)*Index!DN$23*(DR$15&gt;$I71)*(1-DR$12)</f>
        <v>0</v>
      </c>
      <c r="DS71" s="742">
        <f>$G71*$H71*(1+$K71)^MAX(ROUNDUP(IFERROR(DATEDIF($I53-1,DS$15+1,"m"),)/12,)-1,)*Index!DO$23*(DS$15&gt;$I71)*(1-DS$12)</f>
        <v>0</v>
      </c>
      <c r="DT71" s="742">
        <f>$G71*$H71*(1+$K71)^MAX(ROUNDUP(IFERROR(DATEDIF($I53-1,DT$15+1,"m"),)/12,)-1,)*Index!DP$23*(DT$15&gt;$I71)*(1-DT$12)</f>
        <v>0</v>
      </c>
      <c r="DU71" s="742">
        <f>$G71*$H71*(1+$K71)^MAX(ROUNDUP(IFERROR(DATEDIF($I53-1,DU$15+1,"m"),)/12,)-1,)*Index!DQ$23*(DU$15&gt;$I71)*(1-DU$12)</f>
        <v>0</v>
      </c>
      <c r="DV71" s="742">
        <f>$G71*$H71*(1+$K71)^MAX(ROUNDUP(IFERROR(DATEDIF($I53-1,DV$15+1,"m"),)/12,)-1,)*Index!DR$23*(DV$15&gt;$I71)*(1-DV$12)</f>
        <v>0</v>
      </c>
      <c r="DW71" s="742">
        <f>$G71*$H71*(1+$K71)^MAX(ROUNDUP(IFERROR(DATEDIF($I53-1,DW$15+1,"m"),)/12,)-1,)*Index!DS$23*(DW$15&gt;$I71)*(1-DW$12)</f>
        <v>0</v>
      </c>
      <c r="DX71" s="742">
        <f>$G71*$H71*(1+$K71)^MAX(ROUNDUP(IFERROR(DATEDIF($I53-1,DX$15+1,"m"),)/12,)-1,)*Index!DT$23*(DX$15&gt;$I71)*(1-DX$12)</f>
        <v>0</v>
      </c>
      <c r="DY71" s="742">
        <f>$G71*$H71*(1+$K71)^MAX(ROUNDUP(IFERROR(DATEDIF($I53-1,DY$15+1,"m"),)/12,)-1,)*Index!DU$23*(DY$15&gt;$I71)*(1-DY$12)</f>
        <v>0</v>
      </c>
      <c r="DZ71" s="742">
        <f>$G71*$H71*(1+$K71)^MAX(ROUNDUP(IFERROR(DATEDIF($I53-1,DZ$15+1,"m"),)/12,)-1,)*Index!DV$23*(DZ$15&gt;$I71)*(1-DZ$12)</f>
        <v>0</v>
      </c>
      <c r="EA71" s="742">
        <f>$G71*$H71*(1+$K71)^MAX(ROUNDUP(IFERROR(DATEDIF($I53-1,EA$15+1,"m"),)/12,)-1,)*Index!DW$23*(EA$15&gt;$I71)*(1-EA$12)</f>
        <v>0</v>
      </c>
      <c r="EB71" s="742">
        <f>$G71*$H71*(1+$K71)^MAX(ROUNDUP(IFERROR(DATEDIF($I53-1,EB$15+1,"m"),)/12,)-1,)*Index!DX$23*(EB$15&gt;$I71)*(1-EB$12)</f>
        <v>0</v>
      </c>
      <c r="EC71" s="742">
        <f>$G71*$H71*(1+$K71)^MAX(ROUNDUP(IFERROR(DATEDIF($I53-1,EC$15+1,"m"),)/12,)-1,)*Index!DY$23*(EC$15&gt;$I71)*(1-EC$12)</f>
        <v>0</v>
      </c>
      <c r="ED71" s="742">
        <f>$G71*$H71*(1+$K71)^MAX(ROUNDUP(IFERROR(DATEDIF($I53-1,ED$15+1,"m"),)/12,)-1,)*Index!DZ$23*(ED$15&gt;$I71)*(1-ED$12)</f>
        <v>0</v>
      </c>
      <c r="EE71" s="742">
        <f>$G71*$H71*(1+$K71)^MAX(ROUNDUP(IFERROR(DATEDIF($I53-1,EE$15+1,"m"),)/12,)-1,)*Index!EA$23*(EE$15&gt;$I71)*(1-EE$12)</f>
        <v>0</v>
      </c>
      <c r="EF71" s="742">
        <f>$G71*$H71*(1+$K71)^MAX(ROUNDUP(IFERROR(DATEDIF($I53-1,EF$15+1,"m"),)/12,)-1,)*Index!EB$23*(EF$15&gt;$I71)*(1-EF$12)</f>
        <v>0</v>
      </c>
      <c r="EG71" s="742">
        <f>$G71*$H71*(1+$K71)^MAX(ROUNDUP(IFERROR(DATEDIF($I53-1,EG$15+1,"m"),)/12,)-1,)*Index!EC$23*(EG$15&gt;$I71)*(1-EG$12)</f>
        <v>0</v>
      </c>
      <c r="EH71" s="742">
        <f>$G71*$H71*(1+$K71)^MAX(ROUNDUP(IFERROR(DATEDIF($I53-1,EH$15+1,"m"),)/12,)-1,)*Index!ED$23*(EH$15&gt;$I71)*(1-EH$12)</f>
        <v>0</v>
      </c>
      <c r="EI71" s="742">
        <f>$G71*$H71*(1+$K71)^MAX(ROUNDUP(IFERROR(DATEDIF($I53-1,EI$15+1,"m"),)/12,)-1,)*Index!EE$23*(EI$15&gt;$I71)*(1-EI$12)</f>
        <v>0</v>
      </c>
      <c r="EJ71" s="742">
        <f>$G71*$H71*(1+$K71)^MAX(ROUNDUP(IFERROR(DATEDIF($I53-1,EJ$15+1,"m"),)/12,)-1,)*Index!EF$23*(EJ$15&gt;$I71)*(1-EJ$12)</f>
        <v>0</v>
      </c>
      <c r="EK71" s="742">
        <f>$G71*$H71*(1+$K71)^MAX(ROUNDUP(IFERROR(DATEDIF($I53-1,EK$15+1,"m"),)/12,)-1,)*Index!EG$23*(EK$15&gt;$I71)*(1-EK$12)</f>
        <v>0</v>
      </c>
      <c r="EL71" s="742">
        <f>$G71*$H71*(1+$K71)^MAX(ROUNDUP(IFERROR(DATEDIF($I53-1,EL$15+1,"m"),)/12,)-1,)*Index!EH$23*(EL$15&gt;$I71)*(1-EL$12)</f>
        <v>0</v>
      </c>
      <c r="EM71" s="742">
        <f>$G71*$H71*(1+$K71)^MAX(ROUNDUP(IFERROR(DATEDIF($I53-1,EM$15+1,"m"),)/12,)-1,)*Index!EI$23*(EM$15&gt;$I71)*(1-EM$12)</f>
        <v>0</v>
      </c>
      <c r="EN71" s="742">
        <f>$G71*$H71*(1+$K71)^MAX(ROUNDUP(IFERROR(DATEDIF($I53-1,EN$15+1,"m"),)/12,)-1,)*Index!EJ$23*(EN$15&gt;$I71)*(1-EN$12)</f>
        <v>0</v>
      </c>
      <c r="EO71" s="742">
        <f>$G71*$H71*(1+$K71)^MAX(ROUNDUP(IFERROR(DATEDIF($I53-1,EO$15+1,"m"),)/12,)-1,)*Index!EK$23*(EO$15&gt;$I71)*(1-EO$12)</f>
        <v>0</v>
      </c>
      <c r="EP71" s="742">
        <f>$G71*$H71*(1+$K71)^MAX(ROUNDUP(IFERROR(DATEDIF($I53-1,EP$15+1,"m"),)/12,)-1,)*Index!EL$23*(EP$15&gt;$I71)*(1-EP$12)</f>
        <v>0</v>
      </c>
      <c r="EQ71" s="742">
        <f>$G71*$H71*(1+$K71)^MAX(ROUNDUP(IFERROR(DATEDIF($I53-1,EQ$15+1,"m"),)/12,)-1,)*Index!EM$23*(EQ$15&gt;$I71)*(1-EQ$12)</f>
        <v>0</v>
      </c>
      <c r="ER71" s="742">
        <f>$G71*$H71*(1+$K71)^MAX(ROUNDUP(IFERROR(DATEDIF($I53-1,ER$15+1,"m"),)/12,)-1,)*Index!EN$23*(ER$15&gt;$I71)*(1-ER$12)</f>
        <v>0</v>
      </c>
      <c r="ES71" s="742">
        <f>$G71*$H71*(1+$K71)^MAX(ROUNDUP(IFERROR(DATEDIF($I53-1,ES$15+1,"m"),)/12,)-1,)*Index!EO$23*(ES$15&gt;$I71)*(1-ES$12)</f>
        <v>0</v>
      </c>
      <c r="ET71" s="742">
        <f>$G71*$H71*(1+$K71)^MAX(ROUNDUP(IFERROR(DATEDIF($I53-1,ET$15+1,"m"),)/12,)-1,)*Index!EP$23*(ET$15&gt;$I71)*(1-ET$12)</f>
        <v>0</v>
      </c>
      <c r="EU71" s="742">
        <f>$G71*$H71*(1+$K71)^MAX(ROUNDUP(IFERROR(DATEDIF($I53-1,EU$15+1,"m"),)/12,)-1,)*Index!EQ$23*(EU$15&gt;$I71)*(1-EU$12)</f>
        <v>0</v>
      </c>
    </row>
    <row r="72" spans="3:151" ht="11.25" customHeight="1">
      <c r="C72" s="828"/>
      <c r="D72" s="743">
        <f t="shared" ref="D72:H81" si="40">D54</f>
        <v>8</v>
      </c>
      <c r="E72" s="704" t="str">
        <f t="shared" si="40"/>
        <v>쿠팡</v>
      </c>
      <c r="F72" s="704" t="str">
        <f t="shared" si="40"/>
        <v>근린생활시설</v>
      </c>
      <c r="G72" s="752">
        <f t="shared" ref="G72:G87" si="41">G36</f>
        <v>57.698001860542107</v>
      </c>
      <c r="H72" s="744">
        <f t="shared" si="40"/>
        <v>78.09</v>
      </c>
      <c r="I72" s="745">
        <f t="shared" ref="I72:I87" si="42">I36</f>
        <v>49064</v>
      </c>
      <c r="J72" s="745"/>
      <c r="K72" s="754">
        <f t="shared" ref="K72:K87" si="43">K36</f>
        <v>2.5000000000000001E-2</v>
      </c>
      <c r="L72" s="746"/>
      <c r="M72" s="722"/>
      <c r="N72" s="747">
        <f t="shared" ref="N72:N87" si="44">SUM(P72:EU72)</f>
        <v>69211.154892325998</v>
      </c>
      <c r="O72" s="733"/>
      <c r="P72" s="747">
        <f>$G72*$H72*(1+$K72)^MAX(ROUNDUP(IFERROR(DATEDIF($I54-1,P$15+1,"m"),)/12,)-1,)*Index!L$23*(P$15&gt;$I72)*(1-P$12)</f>
        <v>0</v>
      </c>
      <c r="Q72" s="747">
        <f>$G72*$H72*(1+$K72)^MAX(ROUNDUP(IFERROR(DATEDIF($I54-1,Q$15+1,"m"),)/12,)-1,)*Index!M$23*(Q$15&gt;$I72)*(1-Q$12)</f>
        <v>0</v>
      </c>
      <c r="R72" s="747">
        <f>$G72*$H72*(1+$K72)^MAX(ROUNDUP(IFERROR(DATEDIF($I54-1,R$15+1,"m"),)/12,)-1,)*Index!N$23*(R$15&gt;$I72)*(1-R$12)</f>
        <v>0</v>
      </c>
      <c r="S72" s="747">
        <f>$G72*$H72*(1+$K72)^MAX(ROUNDUP(IFERROR(DATEDIF($I54-1,S$15+1,"m"),)/12,)-1,)*Index!O$23*(S$15&gt;$I72)*(1-S$12)</f>
        <v>0</v>
      </c>
      <c r="T72" s="747">
        <f>$G72*$H72*(1+$K72)^MAX(ROUNDUP(IFERROR(DATEDIF($I54-1,T$15+1,"m"),)/12,)-1,)*Index!P$23*(T$15&gt;$I72)*(1-T$12)</f>
        <v>0</v>
      </c>
      <c r="U72" s="747">
        <f>$G72*$H72*(1+$K72)^MAX(ROUNDUP(IFERROR(DATEDIF($I54-1,U$15+1,"m"),)/12,)-1,)*Index!Q$23*(U$15&gt;$I72)*(1-U$12)</f>
        <v>0</v>
      </c>
      <c r="V72" s="747">
        <f>$G72*$H72*(1+$K72)^MAX(ROUNDUP(IFERROR(DATEDIF($I54-1,V$15+1,"m"),)/12,)-1,)*Index!R$23*(V$15&gt;$I72)*(1-V$12)</f>
        <v>0</v>
      </c>
      <c r="W72" s="747">
        <f>$G72*$H72*(1+$K72)^MAX(ROUNDUP(IFERROR(DATEDIF($I54-1,W$15+1,"m"),)/12,)-1,)*Index!S$23*(W$15&gt;$I72)*(1-W$12)</f>
        <v>0</v>
      </c>
      <c r="X72" s="747">
        <f>$G72*$H72*(1+$K72)^MAX(ROUNDUP(IFERROR(DATEDIF($I54-1,X$15+1,"m"),)/12,)-1,)*Index!T$23*(X$15&gt;$I72)*(1-X$12)</f>
        <v>0</v>
      </c>
      <c r="Y72" s="747">
        <f>$G72*$H72*(1+$K72)^MAX(ROUNDUP(IFERROR(DATEDIF($I54-1,Y$15+1,"m"),)/12,)-1,)*Index!U$23*(Y$15&gt;$I72)*(1-Y$12)</f>
        <v>0</v>
      </c>
      <c r="Z72" s="747">
        <f>$G72*$H72*(1+$K72)^MAX(ROUNDUP(IFERROR(DATEDIF($I54-1,Z$15+1,"m"),)/12,)-1,)*Index!V$23*(Z$15&gt;$I72)*(1-Z$12)</f>
        <v>0</v>
      </c>
      <c r="AA72" s="747">
        <f>$G72*$H72*(1+$K72)^MAX(ROUNDUP(IFERROR(DATEDIF($I54-1,AA$15+1,"m"),)/12,)-1,)*Index!W$23*(AA$15&gt;$I72)*(1-AA$12)</f>
        <v>0</v>
      </c>
      <c r="AB72" s="747">
        <f>$G72*$H72*(1+$K72)^MAX(ROUNDUP(IFERROR(DATEDIF($I54-1,AB$15+1,"m"),)/12,)-1,)*Index!X$23*(AB$15&gt;$I72)*(1-AB$12)</f>
        <v>0</v>
      </c>
      <c r="AC72" s="747">
        <f>$G72*$H72*(1+$K72)^MAX(ROUNDUP(IFERROR(DATEDIF($I54-1,AC$15+1,"m"),)/12,)-1,)*Index!Y$23*(AC$15&gt;$I72)*(1-AC$12)</f>
        <v>0</v>
      </c>
      <c r="AD72" s="747">
        <f>$G72*$H72*(1+$K72)^MAX(ROUNDUP(IFERROR(DATEDIF($I54-1,AD$15+1,"m"),)/12,)-1,)*Index!Z$23*(AD$15&gt;$I72)*(1-AD$12)</f>
        <v>0</v>
      </c>
      <c r="AE72" s="747">
        <f>$G72*$H72*(1+$K72)^MAX(ROUNDUP(IFERROR(DATEDIF($I54-1,AE$15+1,"m"),)/12,)-1,)*Index!AA$23*(AE$15&gt;$I72)*(1-AE$12)</f>
        <v>0</v>
      </c>
      <c r="AF72" s="747">
        <f>$G72*$H72*(1+$K72)^MAX(ROUNDUP(IFERROR(DATEDIF($I54-1,AF$15+1,"m"),)/12,)-1,)*Index!AB$23*(AF$15&gt;$I72)*(1-AF$12)</f>
        <v>0</v>
      </c>
      <c r="AG72" s="747">
        <f>$G72*$H72*(1+$K72)^MAX(ROUNDUP(IFERROR(DATEDIF($I54-1,AG$15+1,"m"),)/12,)-1,)*Index!AC$23*(AG$15&gt;$I72)*(1-AG$12)</f>
        <v>0</v>
      </c>
      <c r="AH72" s="747">
        <f>$G72*$H72*(1+$K72)^MAX(ROUNDUP(IFERROR(DATEDIF($I54-1,AH$15+1,"m"),)/12,)-1,)*Index!AD$23*(AH$15&gt;$I72)*(1-AH$12)</f>
        <v>0</v>
      </c>
      <c r="AI72" s="747">
        <f>$G72*$H72*(1+$K72)^MAX(ROUNDUP(IFERROR(DATEDIF($I54-1,AI$15+1,"m"),)/12,)-1,)*Index!AE$23*(AI$15&gt;$I72)*(1-AI$12)</f>
        <v>0</v>
      </c>
      <c r="AJ72" s="747">
        <f>$G72*$H72*(1+$K72)^MAX(ROUNDUP(IFERROR(DATEDIF($I54-1,AJ$15+1,"m"),)/12,)-1,)*Index!AF$23*(AJ$15&gt;$I72)*(1-AJ$12)</f>
        <v>0</v>
      </c>
      <c r="AK72" s="747">
        <f>$G72*$H72*(1+$K72)^MAX(ROUNDUP(IFERROR(DATEDIF($I54-1,AK$15+1,"m"),)/12,)-1,)*Index!AG$23*(AK$15&gt;$I72)*(1-AK$12)</f>
        <v>0</v>
      </c>
      <c r="AL72" s="747">
        <f>$G72*$H72*(1+$K72)^MAX(ROUNDUP(IFERROR(DATEDIF($I54-1,AL$15+1,"m"),)/12,)-1,)*Index!AH$23*(AL$15&gt;$I72)*(1-AL$12)</f>
        <v>0</v>
      </c>
      <c r="AM72" s="747">
        <f>$G72*$H72*(1+$K72)^MAX(ROUNDUP(IFERROR(DATEDIF($I54-1,AM$15+1,"m"),)/12,)-1,)*Index!AI$23*(AM$15&gt;$I72)*(1-AM$12)</f>
        <v>0</v>
      </c>
      <c r="AN72" s="747">
        <f>$G72*$H72*(1+$K72)^MAX(ROUNDUP(IFERROR(DATEDIF($I54-1,AN$15+1,"m"),)/12,)-1,)*Index!AJ$23*(AN$15&gt;$I72)*(1-AN$12)</f>
        <v>0</v>
      </c>
      <c r="AO72" s="747">
        <f>$G72*$H72*(1+$K72)^MAX(ROUNDUP(IFERROR(DATEDIF($I54-1,AO$15+1,"m"),)/12,)-1,)*Index!AK$23*(AO$15&gt;$I72)*(1-AO$12)</f>
        <v>0</v>
      </c>
      <c r="AP72" s="747">
        <f>$G72*$H72*(1+$K72)^MAX(ROUNDUP(IFERROR(DATEDIF($I54-1,AP$15+1,"m"),)/12,)-1,)*Index!AL$23*(AP$15&gt;$I72)*(1-AP$12)</f>
        <v>0</v>
      </c>
      <c r="AQ72" s="747">
        <f>$G72*$H72*(1+$K72)^MAX(ROUNDUP(IFERROR(DATEDIF($I54-1,AQ$15+1,"m"),)/12,)-1,)*Index!AM$23*(AQ$15&gt;$I72)*(1-AQ$12)</f>
        <v>0</v>
      </c>
      <c r="AR72" s="747">
        <f>$G72*$H72*(1+$K72)^MAX(ROUNDUP(IFERROR(DATEDIF($I54-1,AR$15+1,"m"),)/12,)-1,)*Index!AN$23*(AR$15&gt;$I72)*(1-AR$12)</f>
        <v>0</v>
      </c>
      <c r="AS72" s="747">
        <f>$G72*$H72*(1+$K72)^MAX(ROUNDUP(IFERROR(DATEDIF($I54-1,AS$15+1,"m"),)/12,)-1,)*Index!AO$23*(AS$15&gt;$I72)*(1-AS$12)</f>
        <v>0</v>
      </c>
      <c r="AT72" s="747">
        <f>$G72*$H72*(1+$K72)^MAX(ROUNDUP(IFERROR(DATEDIF($I54-1,AT$15+1,"m"),)/12,)-1,)*Index!AP$23*(AT$15&gt;$I72)*(1-AT$12)</f>
        <v>0</v>
      </c>
      <c r="AU72" s="747">
        <f>$G72*$H72*(1+$K72)^MAX(ROUNDUP(IFERROR(DATEDIF($I54-1,AU$15+1,"m"),)/12,)-1,)*Index!AQ$23*(AU$15&gt;$I72)*(1-AU$12)</f>
        <v>0</v>
      </c>
      <c r="AV72" s="747">
        <f>$G72*$H72*(1+$K72)^MAX(ROUNDUP(IFERROR(DATEDIF($I54-1,AV$15+1,"m"),)/12,)-1,)*Index!AR$23*(AV$15&gt;$I72)*(1-AV$12)</f>
        <v>0</v>
      </c>
      <c r="AW72" s="747">
        <f>$G72*$H72*(1+$K72)^MAX(ROUNDUP(IFERROR(DATEDIF($I54-1,AW$15+1,"m"),)/12,)-1,)*Index!AS$23*(AW$15&gt;$I72)*(1-AW$12)</f>
        <v>0</v>
      </c>
      <c r="AX72" s="747">
        <f>$G72*$H72*(1+$K72)^MAX(ROUNDUP(IFERROR(DATEDIF($I54-1,AX$15+1,"m"),)/12,)-1,)*Index!AT$23*(AX$15&gt;$I72)*(1-AX$12)</f>
        <v>0</v>
      </c>
      <c r="AY72" s="747">
        <f>$G72*$H72*(1+$K72)^MAX(ROUNDUP(IFERROR(DATEDIF($I54-1,AY$15+1,"m"),)/12,)-1,)*Index!AU$23*(AY$15&gt;$I72)*(1-AY$12)</f>
        <v>0</v>
      </c>
      <c r="AZ72" s="747">
        <f>$G72*$H72*(1+$K72)^MAX(ROUNDUP(IFERROR(DATEDIF($I54-1,AZ$15+1,"m"),)/12,)-1,)*Index!AV$23*(AZ$15&gt;$I72)*(1-AZ$12)</f>
        <v>0</v>
      </c>
      <c r="BA72" s="747">
        <f>$G72*$H72*(1+$K72)^MAX(ROUNDUP(IFERROR(DATEDIF($I54-1,BA$15+1,"m"),)/12,)-1,)*Index!AW$23*(BA$15&gt;$I72)*(1-BA$12)</f>
        <v>0</v>
      </c>
      <c r="BB72" s="747">
        <f>$G72*$H72*(1+$K72)^MAX(ROUNDUP(IFERROR(DATEDIF($I54-1,BB$15+1,"m"),)/12,)-1,)*Index!AX$23*(BB$15&gt;$I72)*(1-BB$12)</f>
        <v>0</v>
      </c>
      <c r="BC72" s="747">
        <f>$G72*$H72*(1+$K72)^MAX(ROUNDUP(IFERROR(DATEDIF($I54-1,BC$15+1,"m"),)/12,)-1,)*Index!AY$23*(BC$15&gt;$I72)*(1-BC$12)</f>
        <v>0</v>
      </c>
      <c r="BD72" s="747">
        <f>$G72*$H72*(1+$K72)^MAX(ROUNDUP(IFERROR(DATEDIF($I54-1,BD$15+1,"m"),)/12,)-1,)*Index!AZ$23*(BD$15&gt;$I72)*(1-BD$12)</f>
        <v>0</v>
      </c>
      <c r="BE72" s="747">
        <f>$G72*$H72*(1+$K72)^MAX(ROUNDUP(IFERROR(DATEDIF($I54-1,BE$15+1,"m"),)/12,)-1,)*Index!BA$23*(BE$15&gt;$I72)*(1-BE$12)</f>
        <v>0</v>
      </c>
      <c r="BF72" s="747">
        <f>$G72*$H72*(1+$K72)^MAX(ROUNDUP(IFERROR(DATEDIF($I54-1,BF$15+1,"m"),)/12,)-1,)*Index!BB$23*(BF$15&gt;$I72)*(1-BF$12)</f>
        <v>0</v>
      </c>
      <c r="BG72" s="747">
        <f>$G72*$H72*(1+$K72)^MAX(ROUNDUP(IFERROR(DATEDIF($I54-1,BG$15+1,"m"),)/12,)-1,)*Index!BC$23*(BG$15&gt;$I72)*(1-BG$12)</f>
        <v>0</v>
      </c>
      <c r="BH72" s="747">
        <f>$G72*$H72*(1+$K72)^MAX(ROUNDUP(IFERROR(DATEDIF($I54-1,BH$15+1,"m"),)/12,)-1,)*Index!BD$23*(BH$15&gt;$I72)*(1-BH$12)</f>
        <v>0</v>
      </c>
      <c r="BI72" s="747">
        <f>$G72*$H72*(1+$K72)^MAX(ROUNDUP(IFERROR(DATEDIF($I54-1,BI$15+1,"m"),)/12,)-1,)*Index!BE$23*(BI$15&gt;$I72)*(1-BI$12)</f>
        <v>0</v>
      </c>
      <c r="BJ72" s="747">
        <f>$G72*$H72*(1+$K72)^MAX(ROUNDUP(IFERROR(DATEDIF($I54-1,BJ$15+1,"m"),)/12,)-1,)*Index!BF$23*(BJ$15&gt;$I72)*(1-BJ$12)</f>
        <v>0</v>
      </c>
      <c r="BK72" s="747">
        <f>$G72*$H72*(1+$K72)^MAX(ROUNDUP(IFERROR(DATEDIF($I54-1,BK$15+1,"m"),)/12,)-1,)*Index!BG$23*(BK$15&gt;$I72)*(1-BK$12)</f>
        <v>0</v>
      </c>
      <c r="BL72" s="747">
        <f>$G72*$H72*(1+$K72)^MAX(ROUNDUP(IFERROR(DATEDIF($I54-1,BL$15+1,"m"),)/12,)-1,)*Index!BH$23*(BL$15&gt;$I72)*(1-BL$12)</f>
        <v>0</v>
      </c>
      <c r="BM72" s="747">
        <f>$G72*$H72*(1+$K72)^MAX(ROUNDUP(IFERROR(DATEDIF($I54-1,BM$15+1,"m"),)/12,)-1,)*Index!BI$23*(BM$15&gt;$I72)*(1-BM$12)</f>
        <v>0</v>
      </c>
      <c r="BN72" s="747">
        <f>$G72*$H72*(1+$K72)^MAX(ROUNDUP(IFERROR(DATEDIF($I54-1,BN$15+1,"m"),)/12,)-1,)*Index!BJ$23*(BN$15&gt;$I72)*(1-BN$12)</f>
        <v>0</v>
      </c>
      <c r="BO72" s="747">
        <f>$G72*$H72*(1+$K72)^MAX(ROUNDUP(IFERROR(DATEDIF($I54-1,BO$15+1,"m"),)/12,)-1,)*Index!BK$23*(BO$15&gt;$I72)*(1-BO$12)</f>
        <v>0</v>
      </c>
      <c r="BP72" s="747">
        <f>$G72*$H72*(1+$K72)^MAX(ROUNDUP(IFERROR(DATEDIF($I54-1,BP$15+1,"m"),)/12,)-1,)*Index!BL$23*(BP$15&gt;$I72)*(1-BP$12)</f>
        <v>0</v>
      </c>
      <c r="BQ72" s="747">
        <f>$G72*$H72*(1+$K72)^MAX(ROUNDUP(IFERROR(DATEDIF($I54-1,BQ$15+1,"m"),)/12,)-1,)*Index!BM$23*(BQ$15&gt;$I72)*(1-BQ$12)</f>
        <v>0</v>
      </c>
      <c r="BR72" s="747">
        <f>$G72*$H72*(1+$K72)^MAX(ROUNDUP(IFERROR(DATEDIF($I54-1,BR$15+1,"m"),)/12,)-1,)*Index!BN$23*(BR$15&gt;$I72)*(1-BR$12)</f>
        <v>0</v>
      </c>
      <c r="BS72" s="747">
        <f>$G72*$H72*(1+$K72)^MAX(ROUNDUP(IFERROR(DATEDIF($I54-1,BS$15+1,"m"),)/12,)-1,)*Index!BO$23*(BS$15&gt;$I72)*(1-BS$12)</f>
        <v>0</v>
      </c>
      <c r="BT72" s="747">
        <f>$G72*$H72*(1+$K72)^MAX(ROUNDUP(IFERROR(DATEDIF($I54-1,BT$15+1,"m"),)/12,)-1,)*Index!BP$23*(BT$15&gt;$I72)*(1-BT$12)</f>
        <v>0</v>
      </c>
      <c r="BU72" s="747">
        <f>$G72*$H72*(1+$K72)^MAX(ROUNDUP(IFERROR(DATEDIF($I54-1,BU$15+1,"m"),)/12,)-1,)*Index!BQ$23*(BU$15&gt;$I72)*(1-BU$12)</f>
        <v>0</v>
      </c>
      <c r="BV72" s="747">
        <f>$G72*$H72*(1+$K72)^MAX(ROUNDUP(IFERROR(DATEDIF($I54-1,BV$15+1,"m"),)/12,)-1,)*Index!BR$23*(BV$15&gt;$I72)*(1-BV$12)</f>
        <v>0</v>
      </c>
      <c r="BW72" s="747">
        <f>$G72*$H72*(1+$K72)^MAX(ROUNDUP(IFERROR(DATEDIF($I54-1,BW$15+1,"m"),)/12,)-1,)*Index!BS$23*(BW$15&gt;$I72)*(1-BW$12)</f>
        <v>0</v>
      </c>
      <c r="BX72" s="747">
        <f>$G72*$H72*(1+$K72)^MAX(ROUNDUP(IFERROR(DATEDIF($I54-1,BX$15+1,"m"),)/12,)-1,)*Index!BT$23*(BX$15&gt;$I72)*(1-BX$12)</f>
        <v>0</v>
      </c>
      <c r="BY72" s="747">
        <f>$G72*$H72*(1+$K72)^MAX(ROUNDUP(IFERROR(DATEDIF($I54-1,BY$15+1,"m"),)/12,)-1,)*Index!BU$23*(BY$15&gt;$I72)*(1-BY$12)</f>
        <v>0</v>
      </c>
      <c r="BZ72" s="747">
        <f>$G72*$H72*(1+$K72)^MAX(ROUNDUP(IFERROR(DATEDIF($I54-1,BZ$15+1,"m"),)/12,)-1,)*Index!BV$23*(BZ$15&gt;$I72)*(1-BZ$12)</f>
        <v>0</v>
      </c>
      <c r="CA72" s="747">
        <f>$G72*$H72*(1+$K72)^MAX(ROUNDUP(IFERROR(DATEDIF($I54-1,CA$15+1,"m"),)/12,)-1,)*Index!BW$23*(CA$15&gt;$I72)*(1-CA$12)</f>
        <v>0</v>
      </c>
      <c r="CB72" s="747">
        <f>$G72*$H72*(1+$K72)^MAX(ROUNDUP(IFERROR(DATEDIF($I54-1,CB$15+1,"m"),)/12,)-1,)*Index!BX$23*(CB$15&gt;$I72)*(1-CB$12)</f>
        <v>0</v>
      </c>
      <c r="CC72" s="747">
        <f>$G72*$H72*(1+$K72)^MAX(ROUNDUP(IFERROR(DATEDIF($I54-1,CC$15+1,"m"),)/12,)-1,)*Index!BY$23*(CC$15&gt;$I72)*(1-CC$12)</f>
        <v>0</v>
      </c>
      <c r="CD72" s="747">
        <f>$G72*$H72*(1+$K72)^MAX(ROUNDUP(IFERROR(DATEDIF($I54-1,CD$15+1,"m"),)/12,)-1,)*Index!BZ$23*(CD$15&gt;$I72)*(1-CD$12)</f>
        <v>0</v>
      </c>
      <c r="CE72" s="747">
        <f>$G72*$H72*(1+$K72)^MAX(ROUNDUP(IFERROR(DATEDIF($I54-1,CE$15+1,"m"),)/12,)-1,)*Index!CA$23*(CE$15&gt;$I72)*(1-CE$12)</f>
        <v>0</v>
      </c>
      <c r="CF72" s="747">
        <f>$G72*$H72*(1+$K72)^MAX(ROUNDUP(IFERROR(DATEDIF($I54-1,CF$15+1,"m"),)/12,)-1,)*Index!CB$23*(CF$15&gt;$I72)*(1-CF$12)</f>
        <v>0</v>
      </c>
      <c r="CG72" s="747">
        <f>$G72*$H72*(1+$K72)^MAX(ROUNDUP(IFERROR(DATEDIF($I54-1,CG$15+1,"m"),)/12,)-1,)*Index!CC$23*(CG$15&gt;$I72)*(1-CG$12)</f>
        <v>0</v>
      </c>
      <c r="CH72" s="747">
        <f>$G72*$H72*(1+$K72)^MAX(ROUNDUP(IFERROR(DATEDIF($I54-1,CH$15+1,"m"),)/12,)-1,)*Index!CD$23*(CH$15&gt;$I72)*(1-CH$12)</f>
        <v>0</v>
      </c>
      <c r="CI72" s="747">
        <f>$G72*$H72*(1+$K72)^MAX(ROUNDUP(IFERROR(DATEDIF($I54-1,CI$15+1,"m"),)/12,)-1,)*Index!CE$23*(CI$15&gt;$I72)*(1-CI$12)</f>
        <v>0</v>
      </c>
      <c r="CJ72" s="747">
        <f>$G72*$H72*(1+$K72)^MAX(ROUNDUP(IFERROR(DATEDIF($I54-1,CJ$15+1,"m"),)/12,)-1,)*Index!CF$23*(CJ$15&gt;$I72)*(1-CJ$12)</f>
        <v>0</v>
      </c>
      <c r="CK72" s="747">
        <f>$G72*$H72*(1+$K72)^MAX(ROUNDUP(IFERROR(DATEDIF($I54-1,CK$15+1,"m"),)/12,)-1,)*Index!CG$23*(CK$15&gt;$I72)*(1-CK$12)</f>
        <v>0</v>
      </c>
      <c r="CL72" s="747">
        <f>$G72*$H72*(1+$K72)^MAX(ROUNDUP(IFERROR(DATEDIF($I54-1,CL$15+1,"m"),)/12,)-1,)*Index!CH$23*(CL$15&gt;$I72)*(1-CL$12)</f>
        <v>0</v>
      </c>
      <c r="CM72" s="747">
        <f>$G72*$H72*(1+$K72)^MAX(ROUNDUP(IFERROR(DATEDIF($I54-1,CM$15+1,"m"),)/12,)-1,)*Index!CI$23*(CM$15&gt;$I72)*(1-CM$12)</f>
        <v>0</v>
      </c>
      <c r="CN72" s="747">
        <f>$G72*$H72*(1+$K72)^MAX(ROUNDUP(IFERROR(DATEDIF($I54-1,CN$15+1,"m"),)/12,)-1,)*Index!CJ$23*(CN$15&gt;$I72)*(1-CN$12)</f>
        <v>0</v>
      </c>
      <c r="CO72" s="747">
        <f>$G72*$H72*(1+$K72)^MAX(ROUNDUP(IFERROR(DATEDIF($I54-1,CO$15+1,"m"),)/12,)-1,)*Index!CK$23*(CO$15&gt;$I72)*(1-CO$12)</f>
        <v>0</v>
      </c>
      <c r="CP72" s="747">
        <f>$G72*$H72*(1+$K72)^MAX(ROUNDUP(IFERROR(DATEDIF($I54-1,CP$15+1,"m"),)/12,)-1,)*Index!CL$23*(CP$15&gt;$I72)*(1-CP$12)</f>
        <v>0</v>
      </c>
      <c r="CQ72" s="747">
        <f>$G72*$H72*(1+$K72)^MAX(ROUNDUP(IFERROR(DATEDIF($I54-1,CQ$15+1,"m"),)/12,)-1,)*Index!CM$23*(CQ$15&gt;$I72)*(1-CQ$12)</f>
        <v>0</v>
      </c>
      <c r="CR72" s="747">
        <f>$G72*$H72*(1+$K72)^MAX(ROUNDUP(IFERROR(DATEDIF($I54-1,CR$15+1,"m"),)/12,)-1,)*Index!CN$23*(CR$15&gt;$I72)*(1-CR$12)</f>
        <v>0</v>
      </c>
      <c r="CS72" s="747">
        <f>$G72*$H72*(1+$K72)^MAX(ROUNDUP(IFERROR(DATEDIF($I54-1,CS$15+1,"m"),)/12,)-1,)*Index!CO$23*(CS$15&gt;$I72)*(1-CS$12)</f>
        <v>0</v>
      </c>
      <c r="CT72" s="747">
        <f>$G72*$H72*(1+$K72)^MAX(ROUNDUP(IFERROR(DATEDIF($I54-1,CT$15+1,"m"),)/12,)-1,)*Index!CP$23*(CT$15&gt;$I72)*(1-CT$12)</f>
        <v>0</v>
      </c>
      <c r="CU72" s="747">
        <f>$G72*$H72*(1+$K72)^MAX(ROUNDUP(IFERROR(DATEDIF($I54-1,CU$15+1,"m"),)/12,)-1,)*Index!CQ$23*(CU$15&gt;$I72)*(1-CU$12)</f>
        <v>0</v>
      </c>
      <c r="CV72" s="747">
        <f>$G72*$H72*(1+$K72)^MAX(ROUNDUP(IFERROR(DATEDIF($I54-1,CV$15+1,"m"),)/12,)-1,)*Index!CR$23*(CV$15&gt;$I72)*(1-CV$12)</f>
        <v>0</v>
      </c>
      <c r="CW72" s="747">
        <f>$G72*$H72*(1+$K72)^MAX(ROUNDUP(IFERROR(DATEDIF($I54-1,CW$15+1,"m"),)/12,)-1,)*Index!CS$23*(CW$15&gt;$I72)*(1-CW$12)</f>
        <v>0</v>
      </c>
      <c r="CX72" s="747">
        <f>$G72*$H72*(1+$K72)^MAX(ROUNDUP(IFERROR(DATEDIF($I54-1,CX$15+1,"m"),)/12,)-1,)*Index!CT$23*(CX$15&gt;$I72)*(1-CX$12)</f>
        <v>0</v>
      </c>
      <c r="CY72" s="747">
        <f>$G72*$H72*(1+$K72)^MAX(ROUNDUP(IFERROR(DATEDIF($I54-1,CY$15+1,"m"),)/12,)-1,)*Index!CU$23*(CY$15&gt;$I72)*(1-CY$12)</f>
        <v>0</v>
      </c>
      <c r="CZ72" s="747">
        <f>$G72*$H72*(1+$K72)^MAX(ROUNDUP(IFERROR(DATEDIF($I54-1,CZ$15+1,"m"),)/12,)-1,)*Index!CV$23*(CZ$15&gt;$I72)*(1-CZ$12)</f>
        <v>0</v>
      </c>
      <c r="DA72" s="747">
        <f>$G72*$H72*(1+$K72)^MAX(ROUNDUP(IFERROR(DATEDIF($I54-1,DA$15+1,"m"),)/12,)-1,)*Index!CW$23*(DA$15&gt;$I72)*(1-DA$12)</f>
        <v>0</v>
      </c>
      <c r="DB72" s="747">
        <f>$G72*$H72*(1+$K72)^MAX(ROUNDUP(IFERROR(DATEDIF($I54-1,DB$15+1,"m"),)/12,)-1,)*Index!CX$23*(DB$15&gt;$I72)*(1-DB$12)</f>
        <v>0</v>
      </c>
      <c r="DC72" s="747">
        <f>$G72*$H72*(1+$K72)^MAX(ROUNDUP(IFERROR(DATEDIF($I54-1,DC$15+1,"m"),)/12,)-1,)*Index!CY$23*(DC$15&gt;$I72)*(1-DC$12)</f>
        <v>0</v>
      </c>
      <c r="DD72" s="747">
        <f>$G72*$H72*(1+$K72)^MAX(ROUNDUP(IFERROR(DATEDIF($I54-1,DD$15+1,"m"),)/12,)-1,)*Index!CZ$23*(DD$15&gt;$I72)*(1-DD$12)</f>
        <v>0</v>
      </c>
      <c r="DE72" s="747">
        <f>$G72*$H72*(1+$K72)^MAX(ROUNDUP(IFERROR(DATEDIF($I54-1,DE$15+1,"m"),)/12,)-1,)*Index!DA$23*(DE$15&gt;$I72)*(1-DE$12)</f>
        <v>0</v>
      </c>
      <c r="DF72" s="747">
        <f>$G72*$H72*(1+$K72)^MAX(ROUNDUP(IFERROR(DATEDIF($I54-1,DF$15+1,"m"),)/12,)-1,)*Index!DB$23*(DF$15&gt;$I72)*(1-DF$12)</f>
        <v>0</v>
      </c>
      <c r="DG72" s="747">
        <f>$G72*$H72*(1+$K72)^MAX(ROUNDUP(IFERROR(DATEDIF($I54-1,DG$15+1,"m"),)/12,)-1,)*Index!DC$23*(DG$15&gt;$I72)*(1-DG$12)</f>
        <v>0</v>
      </c>
      <c r="DH72" s="747">
        <f>$G72*$H72*(1+$K72)^MAX(ROUNDUP(IFERROR(DATEDIF($I54-1,DH$15+1,"m"),)/12,)-1,)*Index!DD$23*(DH$15&gt;$I72)*(1-DH$12)</f>
        <v>0</v>
      </c>
      <c r="DI72" s="747">
        <f>$G72*$H72*(1+$K72)^MAX(ROUNDUP(IFERROR(DATEDIF($I54-1,DI$15+1,"m"),)/12,)-1,)*Index!DE$23*(DI$15&gt;$I72)*(1-DI$12)</f>
        <v>0</v>
      </c>
      <c r="DJ72" s="747">
        <f>$G72*$H72*(1+$K72)^MAX(ROUNDUP(IFERROR(DATEDIF($I54-1,DJ$15+1,"m"),)/12,)-1,)*Index!DF$23*(DJ$15&gt;$I72)*(1-DJ$12)</f>
        <v>0</v>
      </c>
      <c r="DK72" s="747">
        <f>$G72*$H72*(1+$K72)^MAX(ROUNDUP(IFERROR(DATEDIF($I54-1,DK$15+1,"m"),)/12,)-1,)*Index!DG$23*(DK$15&gt;$I72)*(1-DK$12)</f>
        <v>0</v>
      </c>
      <c r="DL72" s="747">
        <f>$G72*$H72*(1+$K72)^MAX(ROUNDUP(IFERROR(DATEDIF($I54-1,DL$15+1,"m"),)/12,)-1,)*Index!DH$23*(DL$15&gt;$I72)*(1-DL$12)</f>
        <v>0</v>
      </c>
      <c r="DM72" s="747">
        <f>$G72*$H72*(1+$K72)^MAX(ROUNDUP(IFERROR(DATEDIF($I54-1,DM$15+1,"m"),)/12,)-1,)*Index!DI$23*(DM$15&gt;$I72)*(1-DM$12)</f>
        <v>0</v>
      </c>
      <c r="DN72" s="747">
        <f>$G72*$H72*(1+$K72)^MAX(ROUNDUP(IFERROR(DATEDIF($I54-1,DN$15+1,"m"),)/12,)-1,)*Index!DJ$23*(DN$15&gt;$I72)*(1-DN$12)</f>
        <v>0</v>
      </c>
      <c r="DO72" s="747">
        <f>$G72*$H72*(1+$K72)^MAX(ROUNDUP(IFERROR(DATEDIF($I54-1,DO$15+1,"m"),)/12,)-1,)*Index!DK$23*(DO$15&gt;$I72)*(1-DO$12)</f>
        <v>0</v>
      </c>
      <c r="DP72" s="747">
        <f>$G72*$H72*(1+$K72)^MAX(ROUNDUP(IFERROR(DATEDIF($I54-1,DP$15+1,"m"),)/12,)-1,)*Index!DL$23*(DP$15&gt;$I72)*(1-DP$12)</f>
        <v>0</v>
      </c>
      <c r="DQ72" s="747">
        <f>$G72*$H72*(1+$K72)^MAX(ROUNDUP(IFERROR(DATEDIF($I54-1,DQ$15+1,"m"),)/12,)-1,)*Index!DM$23*(DQ$15&gt;$I72)*(1-DQ$12)</f>
        <v>0</v>
      </c>
      <c r="DR72" s="747">
        <f>$G72*$H72*(1+$K72)^MAX(ROUNDUP(IFERROR(DATEDIF($I54-1,DR$15+1,"m"),)/12,)-1,)*Index!DN$23*(DR$15&gt;$I72)*(1-DR$12)</f>
        <v>0</v>
      </c>
      <c r="DS72" s="747">
        <f>$G72*$H72*(1+$K72)^MAX(ROUNDUP(IFERROR(DATEDIF($I54-1,DS$15+1,"m"),)/12,)-1,)*Index!DO$23*(DS$15&gt;$I72)*(1-DS$12)</f>
        <v>0</v>
      </c>
      <c r="DT72" s="747">
        <f>$G72*$H72*(1+$K72)^MAX(ROUNDUP(IFERROR(DATEDIF($I54-1,DT$15+1,"m"),)/12,)-1,)*Index!DP$23*(DT$15&gt;$I72)*(1-DT$12)</f>
        <v>0</v>
      </c>
      <c r="DU72" s="747">
        <f>$G72*$H72*(1+$K72)^MAX(ROUNDUP(IFERROR(DATEDIF($I54-1,DU$15+1,"m"),)/12,)-1,)*Index!DQ$23*(DU$15&gt;$I72)*(1-DU$12)</f>
        <v>0</v>
      </c>
      <c r="DV72" s="747">
        <f>$G72*$H72*(1+$K72)^MAX(ROUNDUP(IFERROR(DATEDIF($I54-1,DV$15+1,"m"),)/12,)-1,)*Index!DR$23*(DV$15&gt;$I72)*(1-DV$12)</f>
        <v>0</v>
      </c>
      <c r="DW72" s="747">
        <f>$G72*$H72*(1+$K72)^MAX(ROUNDUP(IFERROR(DATEDIF($I54-1,DW$15+1,"m"),)/12,)-1,)*Index!DS$23*(DW$15&gt;$I72)*(1-DW$12)</f>
        <v>0</v>
      </c>
      <c r="DX72" s="747">
        <f>$G72*$H72*(1+$K72)^MAX(ROUNDUP(IFERROR(DATEDIF($I54-1,DX$15+1,"m"),)/12,)-1,)*Index!DT$23*(DX$15&gt;$I72)*(1-DX$12)</f>
        <v>0</v>
      </c>
      <c r="DY72" s="747">
        <f>$G72*$H72*(1+$K72)^MAX(ROUNDUP(IFERROR(DATEDIF($I54-1,DY$15+1,"m"),)/12,)-1,)*Index!DU$23*(DY$15&gt;$I72)*(1-DY$12)</f>
        <v>0</v>
      </c>
      <c r="DZ72" s="747">
        <f>$G72*$H72*(1+$K72)^MAX(ROUNDUP(IFERROR(DATEDIF($I54-1,DZ$15+1,"m"),)/12,)-1,)*Index!DV$23*(DZ$15&gt;$I72)*(1-DZ$12)</f>
        <v>0</v>
      </c>
      <c r="EA72" s="747">
        <f>$G72*$H72*(1+$K72)^MAX(ROUNDUP(IFERROR(DATEDIF($I54-1,EA$15+1,"m"),)/12,)-1,)*Index!DW$23*(EA$15&gt;$I72)*(1-EA$12)</f>
        <v>0</v>
      </c>
      <c r="EB72" s="747">
        <f>$G72*$H72*(1+$K72)^MAX(ROUNDUP(IFERROR(DATEDIF($I54-1,EB$15+1,"m"),)/12,)-1,)*Index!DX$23*(EB$15&gt;$I72)*(1-EB$12)</f>
        <v>0</v>
      </c>
      <c r="EC72" s="747">
        <f>$G72*$H72*(1+$K72)^MAX(ROUNDUP(IFERROR(DATEDIF($I54-1,EC$15+1,"m"),)/12,)-1,)*Index!DY$23*(EC$15&gt;$I72)*(1-EC$12)</f>
        <v>0</v>
      </c>
      <c r="ED72" s="747">
        <f>$G72*$H72*(1+$K72)^MAX(ROUNDUP(IFERROR(DATEDIF($I54-1,ED$15+1,"m"),)/12,)-1,)*Index!DZ$23*(ED$15&gt;$I72)*(1-ED$12)</f>
        <v>0</v>
      </c>
      <c r="EE72" s="747">
        <f>$G72*$H72*(1+$K72)^MAX(ROUNDUP(IFERROR(DATEDIF($I54-1,EE$15+1,"m"),)/12,)-1,)*Index!EA$23*(EE$15&gt;$I72)*(1-EE$12)</f>
        <v>0</v>
      </c>
      <c r="EF72" s="747">
        <f>$G72*$H72*(1+$K72)^MAX(ROUNDUP(IFERROR(DATEDIF($I54-1,EF$15+1,"m"),)/12,)-1,)*Index!EB$23*(EF$15&gt;$I72)*(1-EF$12)</f>
        <v>0</v>
      </c>
      <c r="EG72" s="747">
        <f>$G72*$H72*(1+$K72)^MAX(ROUNDUP(IFERROR(DATEDIF($I54-1,EG$15+1,"m"),)/12,)-1,)*Index!EC$23*(EG$15&gt;$I72)*(1-EG$12)</f>
        <v>5767.596241027165</v>
      </c>
      <c r="EH72" s="747">
        <f>$G72*$H72*(1+$K72)^MAX(ROUNDUP(IFERROR(DATEDIF($I54-1,EH$15+1,"m"),)/12,)-1,)*Index!ED$23*(EH$15&gt;$I72)*(1-EH$12)</f>
        <v>5767.596241027165</v>
      </c>
      <c r="EI72" s="747">
        <f>$G72*$H72*(1+$K72)^MAX(ROUNDUP(IFERROR(DATEDIF($I54-1,EI$15+1,"m"),)/12,)-1,)*Index!EE$23*(EI$15&gt;$I72)*(1-EI$12)</f>
        <v>5767.596241027165</v>
      </c>
      <c r="EJ72" s="747">
        <f>$G72*$H72*(1+$K72)^MAX(ROUNDUP(IFERROR(DATEDIF($I54-1,EJ$15+1,"m"),)/12,)-1,)*Index!EF$23*(EJ$15&gt;$I72)*(1-EJ$12)</f>
        <v>5767.596241027165</v>
      </c>
      <c r="EK72" s="747">
        <f>$G72*$H72*(1+$K72)^MAX(ROUNDUP(IFERROR(DATEDIF($I54-1,EK$15+1,"m"),)/12,)-1,)*Index!EG$23*(EK$15&gt;$I72)*(1-EK$12)</f>
        <v>5767.596241027165</v>
      </c>
      <c r="EL72" s="747">
        <f>$G72*$H72*(1+$K72)^MAX(ROUNDUP(IFERROR(DATEDIF($I54-1,EL$15+1,"m"),)/12,)-1,)*Index!EH$23*(EL$15&gt;$I72)*(1-EL$12)</f>
        <v>5767.596241027165</v>
      </c>
      <c r="EM72" s="747">
        <f>$G72*$H72*(1+$K72)^MAX(ROUNDUP(IFERROR(DATEDIF($I54-1,EM$15+1,"m"),)/12,)-1,)*Index!EI$23*(EM$15&gt;$I72)*(1-EM$12)</f>
        <v>5767.596241027165</v>
      </c>
      <c r="EN72" s="747">
        <f>$G72*$H72*(1+$K72)^MAX(ROUNDUP(IFERROR(DATEDIF($I54-1,EN$15+1,"m"),)/12,)-1,)*Index!EJ$23*(EN$15&gt;$I72)*(1-EN$12)</f>
        <v>5767.596241027165</v>
      </c>
      <c r="EO72" s="747">
        <f>$G72*$H72*(1+$K72)^MAX(ROUNDUP(IFERROR(DATEDIF($I54-1,EO$15+1,"m"),)/12,)-1,)*Index!EK$23*(EO$15&gt;$I72)*(1-EO$12)</f>
        <v>5767.596241027165</v>
      </c>
      <c r="EP72" s="747">
        <f>$G72*$H72*(1+$K72)^MAX(ROUNDUP(IFERROR(DATEDIF($I54-1,EP$15+1,"m"),)/12,)-1,)*Index!EL$23*(EP$15&gt;$I72)*(1-EP$12)</f>
        <v>5767.596241027165</v>
      </c>
      <c r="EQ72" s="747">
        <f>$G72*$H72*(1+$K72)^MAX(ROUNDUP(IFERROR(DATEDIF($I54-1,EQ$15+1,"m"),)/12,)-1,)*Index!EM$23*(EQ$15&gt;$I72)*(1-EQ$12)</f>
        <v>5767.596241027165</v>
      </c>
      <c r="ER72" s="747">
        <f>$G72*$H72*(1+$K72)^MAX(ROUNDUP(IFERROR(DATEDIF($I54-1,ER$15+1,"m"),)/12,)-1,)*Index!EN$23*(ER$15&gt;$I72)*(1-ER$12)</f>
        <v>5767.596241027165</v>
      </c>
      <c r="ES72" s="747">
        <f>$G72*$H72*(1+$K72)^MAX(ROUNDUP(IFERROR(DATEDIF($I54-1,ES$15+1,"m"),)/12,)-1,)*Index!EO$23*(ES$15&gt;$I72)*(1-ES$12)</f>
        <v>0</v>
      </c>
      <c r="ET72" s="747">
        <f>$G72*$H72*(1+$K72)^MAX(ROUNDUP(IFERROR(DATEDIF($I54-1,ET$15+1,"m"),)/12,)-1,)*Index!EP$23*(ET$15&gt;$I72)*(1-ET$12)</f>
        <v>0</v>
      </c>
      <c r="EU72" s="747">
        <f>$G72*$H72*(1+$K72)^MAX(ROUNDUP(IFERROR(DATEDIF($I54-1,EU$15+1,"m"),)/12,)-1,)*Index!EQ$23*(EU$15&gt;$I72)*(1-EU$12)</f>
        <v>0</v>
      </c>
    </row>
    <row r="73" spans="3:151" ht="11.25" customHeight="1">
      <c r="C73" s="828"/>
      <c r="D73" s="743">
        <f t="shared" si="40"/>
        <v>8</v>
      </c>
      <c r="E73" s="704" t="str">
        <f t="shared" si="40"/>
        <v>쿠팡</v>
      </c>
      <c r="F73" s="704" t="str">
        <f t="shared" si="40"/>
        <v>상온창고</v>
      </c>
      <c r="G73" s="752">
        <f t="shared" si="41"/>
        <v>57.698001860542107</v>
      </c>
      <c r="H73" s="744">
        <f t="shared" si="40"/>
        <v>63.86</v>
      </c>
      <c r="I73" s="745">
        <f t="shared" si="42"/>
        <v>49064</v>
      </c>
      <c r="J73" s="745"/>
      <c r="K73" s="754">
        <f t="shared" si="43"/>
        <v>2.5000000000000001E-2</v>
      </c>
      <c r="L73" s="746"/>
      <c r="M73" s="722"/>
      <c r="N73" s="747">
        <f t="shared" si="44"/>
        <v>56599.108098654578</v>
      </c>
      <c r="O73" s="733"/>
      <c r="P73" s="747">
        <f>$G73*$H73*(1+$K73)^MAX(ROUNDUP(IFERROR(DATEDIF($I55-1,P$15+1,"m"),)/12,)-1,)*Index!L$23*(P$15&gt;$I73)*(1-P$12)</f>
        <v>0</v>
      </c>
      <c r="Q73" s="747">
        <f>$G73*$H73*(1+$K73)^MAX(ROUNDUP(IFERROR(DATEDIF($I55-1,Q$15+1,"m"),)/12,)-1,)*Index!M$23*(Q$15&gt;$I73)*(1-Q$12)</f>
        <v>0</v>
      </c>
      <c r="R73" s="747">
        <f>$G73*$H73*(1+$K73)^MAX(ROUNDUP(IFERROR(DATEDIF($I55-1,R$15+1,"m"),)/12,)-1,)*Index!N$23*(R$15&gt;$I73)*(1-R$12)</f>
        <v>0</v>
      </c>
      <c r="S73" s="747">
        <f>$G73*$H73*(1+$K73)^MAX(ROUNDUP(IFERROR(DATEDIF($I55-1,S$15+1,"m"),)/12,)-1,)*Index!O$23*(S$15&gt;$I73)*(1-S$12)</f>
        <v>0</v>
      </c>
      <c r="T73" s="747">
        <f>$G73*$H73*(1+$K73)^MAX(ROUNDUP(IFERROR(DATEDIF($I55-1,T$15+1,"m"),)/12,)-1,)*Index!P$23*(T$15&gt;$I73)*(1-T$12)</f>
        <v>0</v>
      </c>
      <c r="U73" s="747">
        <f>$G73*$H73*(1+$K73)^MAX(ROUNDUP(IFERROR(DATEDIF($I55-1,U$15+1,"m"),)/12,)-1,)*Index!Q$23*(U$15&gt;$I73)*(1-U$12)</f>
        <v>0</v>
      </c>
      <c r="V73" s="747">
        <f>$G73*$H73*(1+$K73)^MAX(ROUNDUP(IFERROR(DATEDIF($I55-1,V$15+1,"m"),)/12,)-1,)*Index!R$23*(V$15&gt;$I73)*(1-V$12)</f>
        <v>0</v>
      </c>
      <c r="W73" s="747">
        <f>$G73*$H73*(1+$K73)^MAX(ROUNDUP(IFERROR(DATEDIF($I55-1,W$15+1,"m"),)/12,)-1,)*Index!S$23*(W$15&gt;$I73)*(1-W$12)</f>
        <v>0</v>
      </c>
      <c r="X73" s="747">
        <f>$G73*$H73*(1+$K73)^MAX(ROUNDUP(IFERROR(DATEDIF($I55-1,X$15+1,"m"),)/12,)-1,)*Index!T$23*(X$15&gt;$I73)*(1-X$12)</f>
        <v>0</v>
      </c>
      <c r="Y73" s="747">
        <f>$G73*$H73*(1+$K73)^MAX(ROUNDUP(IFERROR(DATEDIF($I55-1,Y$15+1,"m"),)/12,)-1,)*Index!U$23*(Y$15&gt;$I73)*(1-Y$12)</f>
        <v>0</v>
      </c>
      <c r="Z73" s="747">
        <f>$G73*$H73*(1+$K73)^MAX(ROUNDUP(IFERROR(DATEDIF($I55-1,Z$15+1,"m"),)/12,)-1,)*Index!V$23*(Z$15&gt;$I73)*(1-Z$12)</f>
        <v>0</v>
      </c>
      <c r="AA73" s="747">
        <f>$G73*$H73*(1+$K73)^MAX(ROUNDUP(IFERROR(DATEDIF($I55-1,AA$15+1,"m"),)/12,)-1,)*Index!W$23*(AA$15&gt;$I73)*(1-AA$12)</f>
        <v>0</v>
      </c>
      <c r="AB73" s="747">
        <f>$G73*$H73*(1+$K73)^MAX(ROUNDUP(IFERROR(DATEDIF($I55-1,AB$15+1,"m"),)/12,)-1,)*Index!X$23*(AB$15&gt;$I73)*(1-AB$12)</f>
        <v>0</v>
      </c>
      <c r="AC73" s="747">
        <f>$G73*$H73*(1+$K73)^MAX(ROUNDUP(IFERROR(DATEDIF($I55-1,AC$15+1,"m"),)/12,)-1,)*Index!Y$23*(AC$15&gt;$I73)*(1-AC$12)</f>
        <v>0</v>
      </c>
      <c r="AD73" s="747">
        <f>$G73*$H73*(1+$K73)^MAX(ROUNDUP(IFERROR(DATEDIF($I55-1,AD$15+1,"m"),)/12,)-1,)*Index!Z$23*(AD$15&gt;$I73)*(1-AD$12)</f>
        <v>0</v>
      </c>
      <c r="AE73" s="747">
        <f>$G73*$H73*(1+$K73)^MAX(ROUNDUP(IFERROR(DATEDIF($I55-1,AE$15+1,"m"),)/12,)-1,)*Index!AA$23*(AE$15&gt;$I73)*(1-AE$12)</f>
        <v>0</v>
      </c>
      <c r="AF73" s="747">
        <f>$G73*$H73*(1+$K73)^MAX(ROUNDUP(IFERROR(DATEDIF($I55-1,AF$15+1,"m"),)/12,)-1,)*Index!AB$23*(AF$15&gt;$I73)*(1-AF$12)</f>
        <v>0</v>
      </c>
      <c r="AG73" s="747">
        <f>$G73*$H73*(1+$K73)^MAX(ROUNDUP(IFERROR(DATEDIF($I55-1,AG$15+1,"m"),)/12,)-1,)*Index!AC$23*(AG$15&gt;$I73)*(1-AG$12)</f>
        <v>0</v>
      </c>
      <c r="AH73" s="747">
        <f>$G73*$H73*(1+$K73)^MAX(ROUNDUP(IFERROR(DATEDIF($I55-1,AH$15+1,"m"),)/12,)-1,)*Index!AD$23*(AH$15&gt;$I73)*(1-AH$12)</f>
        <v>0</v>
      </c>
      <c r="AI73" s="747">
        <f>$G73*$H73*(1+$K73)^MAX(ROUNDUP(IFERROR(DATEDIF($I55-1,AI$15+1,"m"),)/12,)-1,)*Index!AE$23*(AI$15&gt;$I73)*(1-AI$12)</f>
        <v>0</v>
      </c>
      <c r="AJ73" s="747">
        <f>$G73*$H73*(1+$K73)^MAX(ROUNDUP(IFERROR(DATEDIF($I55-1,AJ$15+1,"m"),)/12,)-1,)*Index!AF$23*(AJ$15&gt;$I73)*(1-AJ$12)</f>
        <v>0</v>
      </c>
      <c r="AK73" s="747">
        <f>$G73*$H73*(1+$K73)^MAX(ROUNDUP(IFERROR(DATEDIF($I55-1,AK$15+1,"m"),)/12,)-1,)*Index!AG$23*(AK$15&gt;$I73)*(1-AK$12)</f>
        <v>0</v>
      </c>
      <c r="AL73" s="747">
        <f>$G73*$H73*(1+$K73)^MAX(ROUNDUP(IFERROR(DATEDIF($I55-1,AL$15+1,"m"),)/12,)-1,)*Index!AH$23*(AL$15&gt;$I73)*(1-AL$12)</f>
        <v>0</v>
      </c>
      <c r="AM73" s="747">
        <f>$G73*$H73*(1+$K73)^MAX(ROUNDUP(IFERROR(DATEDIF($I55-1,AM$15+1,"m"),)/12,)-1,)*Index!AI$23*(AM$15&gt;$I73)*(1-AM$12)</f>
        <v>0</v>
      </c>
      <c r="AN73" s="747">
        <f>$G73*$H73*(1+$K73)^MAX(ROUNDUP(IFERROR(DATEDIF($I55-1,AN$15+1,"m"),)/12,)-1,)*Index!AJ$23*(AN$15&gt;$I73)*(1-AN$12)</f>
        <v>0</v>
      </c>
      <c r="AO73" s="747">
        <f>$G73*$H73*(1+$K73)^MAX(ROUNDUP(IFERROR(DATEDIF($I55-1,AO$15+1,"m"),)/12,)-1,)*Index!AK$23*(AO$15&gt;$I73)*(1-AO$12)</f>
        <v>0</v>
      </c>
      <c r="AP73" s="747">
        <f>$G73*$H73*(1+$K73)^MAX(ROUNDUP(IFERROR(DATEDIF($I55-1,AP$15+1,"m"),)/12,)-1,)*Index!AL$23*(AP$15&gt;$I73)*(1-AP$12)</f>
        <v>0</v>
      </c>
      <c r="AQ73" s="747">
        <f>$G73*$H73*(1+$K73)^MAX(ROUNDUP(IFERROR(DATEDIF($I55-1,AQ$15+1,"m"),)/12,)-1,)*Index!AM$23*(AQ$15&gt;$I73)*(1-AQ$12)</f>
        <v>0</v>
      </c>
      <c r="AR73" s="747">
        <f>$G73*$H73*(1+$K73)^MAX(ROUNDUP(IFERROR(DATEDIF($I55-1,AR$15+1,"m"),)/12,)-1,)*Index!AN$23*(AR$15&gt;$I73)*(1-AR$12)</f>
        <v>0</v>
      </c>
      <c r="AS73" s="747">
        <f>$G73*$H73*(1+$K73)^MAX(ROUNDUP(IFERROR(DATEDIF($I55-1,AS$15+1,"m"),)/12,)-1,)*Index!AO$23*(AS$15&gt;$I73)*(1-AS$12)</f>
        <v>0</v>
      </c>
      <c r="AT73" s="747">
        <f>$G73*$H73*(1+$K73)^MAX(ROUNDUP(IFERROR(DATEDIF($I55-1,AT$15+1,"m"),)/12,)-1,)*Index!AP$23*(AT$15&gt;$I73)*(1-AT$12)</f>
        <v>0</v>
      </c>
      <c r="AU73" s="747">
        <f>$G73*$H73*(1+$K73)^MAX(ROUNDUP(IFERROR(DATEDIF($I55-1,AU$15+1,"m"),)/12,)-1,)*Index!AQ$23*(AU$15&gt;$I73)*(1-AU$12)</f>
        <v>0</v>
      </c>
      <c r="AV73" s="747">
        <f>$G73*$H73*(1+$K73)^MAX(ROUNDUP(IFERROR(DATEDIF($I55-1,AV$15+1,"m"),)/12,)-1,)*Index!AR$23*(AV$15&gt;$I73)*(1-AV$12)</f>
        <v>0</v>
      </c>
      <c r="AW73" s="747">
        <f>$G73*$H73*(1+$K73)^MAX(ROUNDUP(IFERROR(DATEDIF($I55-1,AW$15+1,"m"),)/12,)-1,)*Index!AS$23*(AW$15&gt;$I73)*(1-AW$12)</f>
        <v>0</v>
      </c>
      <c r="AX73" s="747">
        <f>$G73*$H73*(1+$K73)^MAX(ROUNDUP(IFERROR(DATEDIF($I55-1,AX$15+1,"m"),)/12,)-1,)*Index!AT$23*(AX$15&gt;$I73)*(1-AX$12)</f>
        <v>0</v>
      </c>
      <c r="AY73" s="747">
        <f>$G73*$H73*(1+$K73)^MAX(ROUNDUP(IFERROR(DATEDIF($I55-1,AY$15+1,"m"),)/12,)-1,)*Index!AU$23*(AY$15&gt;$I73)*(1-AY$12)</f>
        <v>0</v>
      </c>
      <c r="AZ73" s="747">
        <f>$G73*$H73*(1+$K73)^MAX(ROUNDUP(IFERROR(DATEDIF($I55-1,AZ$15+1,"m"),)/12,)-1,)*Index!AV$23*(AZ$15&gt;$I73)*(1-AZ$12)</f>
        <v>0</v>
      </c>
      <c r="BA73" s="747">
        <f>$G73*$H73*(1+$K73)^MAX(ROUNDUP(IFERROR(DATEDIF($I55-1,BA$15+1,"m"),)/12,)-1,)*Index!AW$23*(BA$15&gt;$I73)*(1-BA$12)</f>
        <v>0</v>
      </c>
      <c r="BB73" s="747">
        <f>$G73*$H73*(1+$K73)^MAX(ROUNDUP(IFERROR(DATEDIF($I55-1,BB$15+1,"m"),)/12,)-1,)*Index!AX$23*(BB$15&gt;$I73)*(1-BB$12)</f>
        <v>0</v>
      </c>
      <c r="BC73" s="747">
        <f>$G73*$H73*(1+$K73)^MAX(ROUNDUP(IFERROR(DATEDIF($I55-1,BC$15+1,"m"),)/12,)-1,)*Index!AY$23*(BC$15&gt;$I73)*(1-BC$12)</f>
        <v>0</v>
      </c>
      <c r="BD73" s="747">
        <f>$G73*$H73*(1+$K73)^MAX(ROUNDUP(IFERROR(DATEDIF($I55-1,BD$15+1,"m"),)/12,)-1,)*Index!AZ$23*(BD$15&gt;$I73)*(1-BD$12)</f>
        <v>0</v>
      </c>
      <c r="BE73" s="747">
        <f>$G73*$H73*(1+$K73)^MAX(ROUNDUP(IFERROR(DATEDIF($I55-1,BE$15+1,"m"),)/12,)-1,)*Index!BA$23*(BE$15&gt;$I73)*(1-BE$12)</f>
        <v>0</v>
      </c>
      <c r="BF73" s="747">
        <f>$G73*$H73*(1+$K73)^MAX(ROUNDUP(IFERROR(DATEDIF($I55-1,BF$15+1,"m"),)/12,)-1,)*Index!BB$23*(BF$15&gt;$I73)*(1-BF$12)</f>
        <v>0</v>
      </c>
      <c r="BG73" s="747">
        <f>$G73*$H73*(1+$K73)^MAX(ROUNDUP(IFERROR(DATEDIF($I55-1,BG$15+1,"m"),)/12,)-1,)*Index!BC$23*(BG$15&gt;$I73)*(1-BG$12)</f>
        <v>0</v>
      </c>
      <c r="BH73" s="747">
        <f>$G73*$H73*(1+$K73)^MAX(ROUNDUP(IFERROR(DATEDIF($I55-1,BH$15+1,"m"),)/12,)-1,)*Index!BD$23*(BH$15&gt;$I73)*(1-BH$12)</f>
        <v>0</v>
      </c>
      <c r="BI73" s="747">
        <f>$G73*$H73*(1+$K73)^MAX(ROUNDUP(IFERROR(DATEDIF($I55-1,BI$15+1,"m"),)/12,)-1,)*Index!BE$23*(BI$15&gt;$I73)*(1-BI$12)</f>
        <v>0</v>
      </c>
      <c r="BJ73" s="747">
        <f>$G73*$H73*(1+$K73)^MAX(ROUNDUP(IFERROR(DATEDIF($I55-1,BJ$15+1,"m"),)/12,)-1,)*Index!BF$23*(BJ$15&gt;$I73)*(1-BJ$12)</f>
        <v>0</v>
      </c>
      <c r="BK73" s="747">
        <f>$G73*$H73*(1+$K73)^MAX(ROUNDUP(IFERROR(DATEDIF($I55-1,BK$15+1,"m"),)/12,)-1,)*Index!BG$23*(BK$15&gt;$I73)*(1-BK$12)</f>
        <v>0</v>
      </c>
      <c r="BL73" s="747">
        <f>$G73*$H73*(1+$K73)^MAX(ROUNDUP(IFERROR(DATEDIF($I55-1,BL$15+1,"m"),)/12,)-1,)*Index!BH$23*(BL$15&gt;$I73)*(1-BL$12)</f>
        <v>0</v>
      </c>
      <c r="BM73" s="747">
        <f>$G73*$H73*(1+$K73)^MAX(ROUNDUP(IFERROR(DATEDIF($I55-1,BM$15+1,"m"),)/12,)-1,)*Index!BI$23*(BM$15&gt;$I73)*(1-BM$12)</f>
        <v>0</v>
      </c>
      <c r="BN73" s="747">
        <f>$G73*$H73*(1+$K73)^MAX(ROUNDUP(IFERROR(DATEDIF($I55-1,BN$15+1,"m"),)/12,)-1,)*Index!BJ$23*(BN$15&gt;$I73)*(1-BN$12)</f>
        <v>0</v>
      </c>
      <c r="BO73" s="747">
        <f>$G73*$H73*(1+$K73)^MAX(ROUNDUP(IFERROR(DATEDIF($I55-1,BO$15+1,"m"),)/12,)-1,)*Index!BK$23*(BO$15&gt;$I73)*(1-BO$12)</f>
        <v>0</v>
      </c>
      <c r="BP73" s="747">
        <f>$G73*$H73*(1+$K73)^MAX(ROUNDUP(IFERROR(DATEDIF($I55-1,BP$15+1,"m"),)/12,)-1,)*Index!BL$23*(BP$15&gt;$I73)*(1-BP$12)</f>
        <v>0</v>
      </c>
      <c r="BQ73" s="747">
        <f>$G73*$H73*(1+$K73)^MAX(ROUNDUP(IFERROR(DATEDIF($I55-1,BQ$15+1,"m"),)/12,)-1,)*Index!BM$23*(BQ$15&gt;$I73)*(1-BQ$12)</f>
        <v>0</v>
      </c>
      <c r="BR73" s="747">
        <f>$G73*$H73*(1+$K73)^MAX(ROUNDUP(IFERROR(DATEDIF($I55-1,BR$15+1,"m"),)/12,)-1,)*Index!BN$23*(BR$15&gt;$I73)*(1-BR$12)</f>
        <v>0</v>
      </c>
      <c r="BS73" s="747">
        <f>$G73*$H73*(1+$K73)^MAX(ROUNDUP(IFERROR(DATEDIF($I55-1,BS$15+1,"m"),)/12,)-1,)*Index!BO$23*(BS$15&gt;$I73)*(1-BS$12)</f>
        <v>0</v>
      </c>
      <c r="BT73" s="747">
        <f>$G73*$H73*(1+$K73)^MAX(ROUNDUP(IFERROR(DATEDIF($I55-1,BT$15+1,"m"),)/12,)-1,)*Index!BP$23*(BT$15&gt;$I73)*(1-BT$12)</f>
        <v>0</v>
      </c>
      <c r="BU73" s="747">
        <f>$G73*$H73*(1+$K73)^MAX(ROUNDUP(IFERROR(DATEDIF($I55-1,BU$15+1,"m"),)/12,)-1,)*Index!BQ$23*(BU$15&gt;$I73)*(1-BU$12)</f>
        <v>0</v>
      </c>
      <c r="BV73" s="747">
        <f>$G73*$H73*(1+$K73)^MAX(ROUNDUP(IFERROR(DATEDIF($I55-1,BV$15+1,"m"),)/12,)-1,)*Index!BR$23*(BV$15&gt;$I73)*(1-BV$12)</f>
        <v>0</v>
      </c>
      <c r="BW73" s="747">
        <f>$G73*$H73*(1+$K73)^MAX(ROUNDUP(IFERROR(DATEDIF($I55-1,BW$15+1,"m"),)/12,)-1,)*Index!BS$23*(BW$15&gt;$I73)*(1-BW$12)</f>
        <v>0</v>
      </c>
      <c r="BX73" s="747">
        <f>$G73*$H73*(1+$K73)^MAX(ROUNDUP(IFERROR(DATEDIF($I55-1,BX$15+1,"m"),)/12,)-1,)*Index!BT$23*(BX$15&gt;$I73)*(1-BX$12)</f>
        <v>0</v>
      </c>
      <c r="BY73" s="747">
        <f>$G73*$H73*(1+$K73)^MAX(ROUNDUP(IFERROR(DATEDIF($I55-1,BY$15+1,"m"),)/12,)-1,)*Index!BU$23*(BY$15&gt;$I73)*(1-BY$12)</f>
        <v>0</v>
      </c>
      <c r="BZ73" s="747">
        <f>$G73*$H73*(1+$K73)^MAX(ROUNDUP(IFERROR(DATEDIF($I55-1,BZ$15+1,"m"),)/12,)-1,)*Index!BV$23*(BZ$15&gt;$I73)*(1-BZ$12)</f>
        <v>0</v>
      </c>
      <c r="CA73" s="747">
        <f>$G73*$H73*(1+$K73)^MAX(ROUNDUP(IFERROR(DATEDIF($I55-1,CA$15+1,"m"),)/12,)-1,)*Index!BW$23*(CA$15&gt;$I73)*(1-CA$12)</f>
        <v>0</v>
      </c>
      <c r="CB73" s="747">
        <f>$G73*$H73*(1+$K73)^MAX(ROUNDUP(IFERROR(DATEDIF($I55-1,CB$15+1,"m"),)/12,)-1,)*Index!BX$23*(CB$15&gt;$I73)*(1-CB$12)</f>
        <v>0</v>
      </c>
      <c r="CC73" s="747">
        <f>$G73*$H73*(1+$K73)^MAX(ROUNDUP(IFERROR(DATEDIF($I55-1,CC$15+1,"m"),)/12,)-1,)*Index!BY$23*(CC$15&gt;$I73)*(1-CC$12)</f>
        <v>0</v>
      </c>
      <c r="CD73" s="747">
        <f>$G73*$H73*(1+$K73)^MAX(ROUNDUP(IFERROR(DATEDIF($I55-1,CD$15+1,"m"),)/12,)-1,)*Index!BZ$23*(CD$15&gt;$I73)*(1-CD$12)</f>
        <v>0</v>
      </c>
      <c r="CE73" s="747">
        <f>$G73*$H73*(1+$K73)^MAX(ROUNDUP(IFERROR(DATEDIF($I55-1,CE$15+1,"m"),)/12,)-1,)*Index!CA$23*(CE$15&gt;$I73)*(1-CE$12)</f>
        <v>0</v>
      </c>
      <c r="CF73" s="747">
        <f>$G73*$H73*(1+$K73)^MAX(ROUNDUP(IFERROR(DATEDIF($I55-1,CF$15+1,"m"),)/12,)-1,)*Index!CB$23*(CF$15&gt;$I73)*(1-CF$12)</f>
        <v>0</v>
      </c>
      <c r="CG73" s="747">
        <f>$G73*$H73*(1+$K73)^MAX(ROUNDUP(IFERROR(DATEDIF($I55-1,CG$15+1,"m"),)/12,)-1,)*Index!CC$23*(CG$15&gt;$I73)*(1-CG$12)</f>
        <v>0</v>
      </c>
      <c r="CH73" s="747">
        <f>$G73*$H73*(1+$K73)^MAX(ROUNDUP(IFERROR(DATEDIF($I55-1,CH$15+1,"m"),)/12,)-1,)*Index!CD$23*(CH$15&gt;$I73)*(1-CH$12)</f>
        <v>0</v>
      </c>
      <c r="CI73" s="747">
        <f>$G73*$H73*(1+$K73)^MAX(ROUNDUP(IFERROR(DATEDIF($I55-1,CI$15+1,"m"),)/12,)-1,)*Index!CE$23*(CI$15&gt;$I73)*(1-CI$12)</f>
        <v>0</v>
      </c>
      <c r="CJ73" s="747">
        <f>$G73*$H73*(1+$K73)^MAX(ROUNDUP(IFERROR(DATEDIF($I55-1,CJ$15+1,"m"),)/12,)-1,)*Index!CF$23*(CJ$15&gt;$I73)*(1-CJ$12)</f>
        <v>0</v>
      </c>
      <c r="CK73" s="747">
        <f>$G73*$H73*(1+$K73)^MAX(ROUNDUP(IFERROR(DATEDIF($I55-1,CK$15+1,"m"),)/12,)-1,)*Index!CG$23*(CK$15&gt;$I73)*(1-CK$12)</f>
        <v>0</v>
      </c>
      <c r="CL73" s="747">
        <f>$G73*$H73*(1+$K73)^MAX(ROUNDUP(IFERROR(DATEDIF($I55-1,CL$15+1,"m"),)/12,)-1,)*Index!CH$23*(CL$15&gt;$I73)*(1-CL$12)</f>
        <v>0</v>
      </c>
      <c r="CM73" s="747">
        <f>$G73*$H73*(1+$K73)^MAX(ROUNDUP(IFERROR(DATEDIF($I55-1,CM$15+1,"m"),)/12,)-1,)*Index!CI$23*(CM$15&gt;$I73)*(1-CM$12)</f>
        <v>0</v>
      </c>
      <c r="CN73" s="747">
        <f>$G73*$H73*(1+$K73)^MAX(ROUNDUP(IFERROR(DATEDIF($I55-1,CN$15+1,"m"),)/12,)-1,)*Index!CJ$23*(CN$15&gt;$I73)*(1-CN$12)</f>
        <v>0</v>
      </c>
      <c r="CO73" s="747">
        <f>$G73*$H73*(1+$K73)^MAX(ROUNDUP(IFERROR(DATEDIF($I55-1,CO$15+1,"m"),)/12,)-1,)*Index!CK$23*(CO$15&gt;$I73)*(1-CO$12)</f>
        <v>0</v>
      </c>
      <c r="CP73" s="747">
        <f>$G73*$H73*(1+$K73)^MAX(ROUNDUP(IFERROR(DATEDIF($I55-1,CP$15+1,"m"),)/12,)-1,)*Index!CL$23*(CP$15&gt;$I73)*(1-CP$12)</f>
        <v>0</v>
      </c>
      <c r="CQ73" s="747">
        <f>$G73*$H73*(1+$K73)^MAX(ROUNDUP(IFERROR(DATEDIF($I55-1,CQ$15+1,"m"),)/12,)-1,)*Index!CM$23*(CQ$15&gt;$I73)*(1-CQ$12)</f>
        <v>0</v>
      </c>
      <c r="CR73" s="747">
        <f>$G73*$H73*(1+$K73)^MAX(ROUNDUP(IFERROR(DATEDIF($I55-1,CR$15+1,"m"),)/12,)-1,)*Index!CN$23*(CR$15&gt;$I73)*(1-CR$12)</f>
        <v>0</v>
      </c>
      <c r="CS73" s="747">
        <f>$G73*$H73*(1+$K73)^MAX(ROUNDUP(IFERROR(DATEDIF($I55-1,CS$15+1,"m"),)/12,)-1,)*Index!CO$23*(CS$15&gt;$I73)*(1-CS$12)</f>
        <v>0</v>
      </c>
      <c r="CT73" s="747">
        <f>$G73*$H73*(1+$K73)^MAX(ROUNDUP(IFERROR(DATEDIF($I55-1,CT$15+1,"m"),)/12,)-1,)*Index!CP$23*(CT$15&gt;$I73)*(1-CT$12)</f>
        <v>0</v>
      </c>
      <c r="CU73" s="747">
        <f>$G73*$H73*(1+$K73)^MAX(ROUNDUP(IFERROR(DATEDIF($I55-1,CU$15+1,"m"),)/12,)-1,)*Index!CQ$23*(CU$15&gt;$I73)*(1-CU$12)</f>
        <v>0</v>
      </c>
      <c r="CV73" s="747">
        <f>$G73*$H73*(1+$K73)^MAX(ROUNDUP(IFERROR(DATEDIF($I55-1,CV$15+1,"m"),)/12,)-1,)*Index!CR$23*(CV$15&gt;$I73)*(1-CV$12)</f>
        <v>0</v>
      </c>
      <c r="CW73" s="747">
        <f>$G73*$H73*(1+$K73)^MAX(ROUNDUP(IFERROR(DATEDIF($I55-1,CW$15+1,"m"),)/12,)-1,)*Index!CS$23*(CW$15&gt;$I73)*(1-CW$12)</f>
        <v>0</v>
      </c>
      <c r="CX73" s="747">
        <f>$G73*$H73*(1+$K73)^MAX(ROUNDUP(IFERROR(DATEDIF($I55-1,CX$15+1,"m"),)/12,)-1,)*Index!CT$23*(CX$15&gt;$I73)*(1-CX$12)</f>
        <v>0</v>
      </c>
      <c r="CY73" s="747">
        <f>$G73*$H73*(1+$K73)^MAX(ROUNDUP(IFERROR(DATEDIF($I55-1,CY$15+1,"m"),)/12,)-1,)*Index!CU$23*(CY$15&gt;$I73)*(1-CY$12)</f>
        <v>0</v>
      </c>
      <c r="CZ73" s="747">
        <f>$G73*$H73*(1+$K73)^MAX(ROUNDUP(IFERROR(DATEDIF($I55-1,CZ$15+1,"m"),)/12,)-1,)*Index!CV$23*(CZ$15&gt;$I73)*(1-CZ$12)</f>
        <v>0</v>
      </c>
      <c r="DA73" s="747">
        <f>$G73*$H73*(1+$K73)^MAX(ROUNDUP(IFERROR(DATEDIF($I55-1,DA$15+1,"m"),)/12,)-1,)*Index!CW$23*(DA$15&gt;$I73)*(1-DA$12)</f>
        <v>0</v>
      </c>
      <c r="DB73" s="747">
        <f>$G73*$H73*(1+$K73)^MAX(ROUNDUP(IFERROR(DATEDIF($I55-1,DB$15+1,"m"),)/12,)-1,)*Index!CX$23*(DB$15&gt;$I73)*(1-DB$12)</f>
        <v>0</v>
      </c>
      <c r="DC73" s="747">
        <f>$G73*$H73*(1+$K73)^MAX(ROUNDUP(IFERROR(DATEDIF($I55-1,DC$15+1,"m"),)/12,)-1,)*Index!CY$23*(DC$15&gt;$I73)*(1-DC$12)</f>
        <v>0</v>
      </c>
      <c r="DD73" s="747">
        <f>$G73*$H73*(1+$K73)^MAX(ROUNDUP(IFERROR(DATEDIF($I55-1,DD$15+1,"m"),)/12,)-1,)*Index!CZ$23*(DD$15&gt;$I73)*(1-DD$12)</f>
        <v>0</v>
      </c>
      <c r="DE73" s="747">
        <f>$G73*$H73*(1+$K73)^MAX(ROUNDUP(IFERROR(DATEDIF($I55-1,DE$15+1,"m"),)/12,)-1,)*Index!DA$23*(DE$15&gt;$I73)*(1-DE$12)</f>
        <v>0</v>
      </c>
      <c r="DF73" s="747">
        <f>$G73*$H73*(1+$K73)^MAX(ROUNDUP(IFERROR(DATEDIF($I55-1,DF$15+1,"m"),)/12,)-1,)*Index!DB$23*(DF$15&gt;$I73)*(1-DF$12)</f>
        <v>0</v>
      </c>
      <c r="DG73" s="747">
        <f>$G73*$H73*(1+$K73)^MAX(ROUNDUP(IFERROR(DATEDIF($I55-1,DG$15+1,"m"),)/12,)-1,)*Index!DC$23*(DG$15&gt;$I73)*(1-DG$12)</f>
        <v>0</v>
      </c>
      <c r="DH73" s="747">
        <f>$G73*$H73*(1+$K73)^MAX(ROUNDUP(IFERROR(DATEDIF($I55-1,DH$15+1,"m"),)/12,)-1,)*Index!DD$23*(DH$15&gt;$I73)*(1-DH$12)</f>
        <v>0</v>
      </c>
      <c r="DI73" s="747">
        <f>$G73*$H73*(1+$K73)^MAX(ROUNDUP(IFERROR(DATEDIF($I55-1,DI$15+1,"m"),)/12,)-1,)*Index!DE$23*(DI$15&gt;$I73)*(1-DI$12)</f>
        <v>0</v>
      </c>
      <c r="DJ73" s="747">
        <f>$G73*$H73*(1+$K73)^MAX(ROUNDUP(IFERROR(DATEDIF($I55-1,DJ$15+1,"m"),)/12,)-1,)*Index!DF$23*(DJ$15&gt;$I73)*(1-DJ$12)</f>
        <v>0</v>
      </c>
      <c r="DK73" s="747">
        <f>$G73*$H73*(1+$K73)^MAX(ROUNDUP(IFERROR(DATEDIF($I55-1,DK$15+1,"m"),)/12,)-1,)*Index!DG$23*(DK$15&gt;$I73)*(1-DK$12)</f>
        <v>0</v>
      </c>
      <c r="DL73" s="747">
        <f>$G73*$H73*(1+$K73)^MAX(ROUNDUP(IFERROR(DATEDIF($I55-1,DL$15+1,"m"),)/12,)-1,)*Index!DH$23*(DL$15&gt;$I73)*(1-DL$12)</f>
        <v>0</v>
      </c>
      <c r="DM73" s="747">
        <f>$G73*$H73*(1+$K73)^MAX(ROUNDUP(IFERROR(DATEDIF($I55-1,DM$15+1,"m"),)/12,)-1,)*Index!DI$23*(DM$15&gt;$I73)*(1-DM$12)</f>
        <v>0</v>
      </c>
      <c r="DN73" s="747">
        <f>$G73*$H73*(1+$K73)^MAX(ROUNDUP(IFERROR(DATEDIF($I55-1,DN$15+1,"m"),)/12,)-1,)*Index!DJ$23*(DN$15&gt;$I73)*(1-DN$12)</f>
        <v>0</v>
      </c>
      <c r="DO73" s="747">
        <f>$G73*$H73*(1+$K73)^MAX(ROUNDUP(IFERROR(DATEDIF($I55-1,DO$15+1,"m"),)/12,)-1,)*Index!DK$23*(DO$15&gt;$I73)*(1-DO$12)</f>
        <v>0</v>
      </c>
      <c r="DP73" s="747">
        <f>$G73*$H73*(1+$K73)^MAX(ROUNDUP(IFERROR(DATEDIF($I55-1,DP$15+1,"m"),)/12,)-1,)*Index!DL$23*(DP$15&gt;$I73)*(1-DP$12)</f>
        <v>0</v>
      </c>
      <c r="DQ73" s="747">
        <f>$G73*$H73*(1+$K73)^MAX(ROUNDUP(IFERROR(DATEDIF($I55-1,DQ$15+1,"m"),)/12,)-1,)*Index!DM$23*(DQ$15&gt;$I73)*(1-DQ$12)</f>
        <v>0</v>
      </c>
      <c r="DR73" s="747">
        <f>$G73*$H73*(1+$K73)^MAX(ROUNDUP(IFERROR(DATEDIF($I55-1,DR$15+1,"m"),)/12,)-1,)*Index!DN$23*(DR$15&gt;$I73)*(1-DR$12)</f>
        <v>0</v>
      </c>
      <c r="DS73" s="747">
        <f>$G73*$H73*(1+$K73)^MAX(ROUNDUP(IFERROR(DATEDIF($I55-1,DS$15+1,"m"),)/12,)-1,)*Index!DO$23*(DS$15&gt;$I73)*(1-DS$12)</f>
        <v>0</v>
      </c>
      <c r="DT73" s="747">
        <f>$G73*$H73*(1+$K73)^MAX(ROUNDUP(IFERROR(DATEDIF($I55-1,DT$15+1,"m"),)/12,)-1,)*Index!DP$23*(DT$15&gt;$I73)*(1-DT$12)</f>
        <v>0</v>
      </c>
      <c r="DU73" s="747">
        <f>$G73*$H73*(1+$K73)^MAX(ROUNDUP(IFERROR(DATEDIF($I55-1,DU$15+1,"m"),)/12,)-1,)*Index!DQ$23*(DU$15&gt;$I73)*(1-DU$12)</f>
        <v>0</v>
      </c>
      <c r="DV73" s="747">
        <f>$G73*$H73*(1+$K73)^MAX(ROUNDUP(IFERROR(DATEDIF($I55-1,DV$15+1,"m"),)/12,)-1,)*Index!DR$23*(DV$15&gt;$I73)*(1-DV$12)</f>
        <v>0</v>
      </c>
      <c r="DW73" s="747">
        <f>$G73*$H73*(1+$K73)^MAX(ROUNDUP(IFERROR(DATEDIF($I55-1,DW$15+1,"m"),)/12,)-1,)*Index!DS$23*(DW$15&gt;$I73)*(1-DW$12)</f>
        <v>0</v>
      </c>
      <c r="DX73" s="747">
        <f>$G73*$H73*(1+$K73)^MAX(ROUNDUP(IFERROR(DATEDIF($I55-1,DX$15+1,"m"),)/12,)-1,)*Index!DT$23*(DX$15&gt;$I73)*(1-DX$12)</f>
        <v>0</v>
      </c>
      <c r="DY73" s="747">
        <f>$G73*$H73*(1+$K73)^MAX(ROUNDUP(IFERROR(DATEDIF($I55-1,DY$15+1,"m"),)/12,)-1,)*Index!DU$23*(DY$15&gt;$I73)*(1-DY$12)</f>
        <v>0</v>
      </c>
      <c r="DZ73" s="747">
        <f>$G73*$H73*(1+$K73)^MAX(ROUNDUP(IFERROR(DATEDIF($I55-1,DZ$15+1,"m"),)/12,)-1,)*Index!DV$23*(DZ$15&gt;$I73)*(1-DZ$12)</f>
        <v>0</v>
      </c>
      <c r="EA73" s="747">
        <f>$G73*$H73*(1+$K73)^MAX(ROUNDUP(IFERROR(DATEDIF($I55-1,EA$15+1,"m"),)/12,)-1,)*Index!DW$23*(EA$15&gt;$I73)*(1-EA$12)</f>
        <v>0</v>
      </c>
      <c r="EB73" s="747">
        <f>$G73*$H73*(1+$K73)^MAX(ROUNDUP(IFERROR(DATEDIF($I55-1,EB$15+1,"m"),)/12,)-1,)*Index!DX$23*(EB$15&gt;$I73)*(1-EB$12)</f>
        <v>0</v>
      </c>
      <c r="EC73" s="747">
        <f>$G73*$H73*(1+$K73)^MAX(ROUNDUP(IFERROR(DATEDIF($I55-1,EC$15+1,"m"),)/12,)-1,)*Index!DY$23*(EC$15&gt;$I73)*(1-EC$12)</f>
        <v>0</v>
      </c>
      <c r="ED73" s="747">
        <f>$G73*$H73*(1+$K73)^MAX(ROUNDUP(IFERROR(DATEDIF($I55-1,ED$15+1,"m"),)/12,)-1,)*Index!DZ$23*(ED$15&gt;$I73)*(1-ED$12)</f>
        <v>0</v>
      </c>
      <c r="EE73" s="747">
        <f>$G73*$H73*(1+$K73)^MAX(ROUNDUP(IFERROR(DATEDIF($I55-1,EE$15+1,"m"),)/12,)-1,)*Index!EA$23*(EE$15&gt;$I73)*(1-EE$12)</f>
        <v>0</v>
      </c>
      <c r="EF73" s="747">
        <f>$G73*$H73*(1+$K73)^MAX(ROUNDUP(IFERROR(DATEDIF($I55-1,EF$15+1,"m"),)/12,)-1,)*Index!EB$23*(EF$15&gt;$I73)*(1-EF$12)</f>
        <v>0</v>
      </c>
      <c r="EG73" s="747">
        <f>$G73*$H73*(1+$K73)^MAX(ROUNDUP(IFERROR(DATEDIF($I55-1,EG$15+1,"m"),)/12,)-1,)*Index!EC$23*(EG$15&gt;$I73)*(1-EG$12)</f>
        <v>4716.5923415545494</v>
      </c>
      <c r="EH73" s="747">
        <f>$G73*$H73*(1+$K73)^MAX(ROUNDUP(IFERROR(DATEDIF($I55-1,EH$15+1,"m"),)/12,)-1,)*Index!ED$23*(EH$15&gt;$I73)*(1-EH$12)</f>
        <v>4716.5923415545494</v>
      </c>
      <c r="EI73" s="747">
        <f>$G73*$H73*(1+$K73)^MAX(ROUNDUP(IFERROR(DATEDIF($I55-1,EI$15+1,"m"),)/12,)-1,)*Index!EE$23*(EI$15&gt;$I73)*(1-EI$12)</f>
        <v>4716.5923415545494</v>
      </c>
      <c r="EJ73" s="747">
        <f>$G73*$H73*(1+$K73)^MAX(ROUNDUP(IFERROR(DATEDIF($I55-1,EJ$15+1,"m"),)/12,)-1,)*Index!EF$23*(EJ$15&gt;$I73)*(1-EJ$12)</f>
        <v>4716.5923415545494</v>
      </c>
      <c r="EK73" s="747">
        <f>$G73*$H73*(1+$K73)^MAX(ROUNDUP(IFERROR(DATEDIF($I55-1,EK$15+1,"m"),)/12,)-1,)*Index!EG$23*(EK$15&gt;$I73)*(1-EK$12)</f>
        <v>4716.5923415545494</v>
      </c>
      <c r="EL73" s="747">
        <f>$G73*$H73*(1+$K73)^MAX(ROUNDUP(IFERROR(DATEDIF($I55-1,EL$15+1,"m"),)/12,)-1,)*Index!EH$23*(EL$15&gt;$I73)*(1-EL$12)</f>
        <v>4716.5923415545494</v>
      </c>
      <c r="EM73" s="747">
        <f>$G73*$H73*(1+$K73)^MAX(ROUNDUP(IFERROR(DATEDIF($I55-1,EM$15+1,"m"),)/12,)-1,)*Index!EI$23*(EM$15&gt;$I73)*(1-EM$12)</f>
        <v>4716.5923415545494</v>
      </c>
      <c r="EN73" s="747">
        <f>$G73*$H73*(1+$K73)^MAX(ROUNDUP(IFERROR(DATEDIF($I55-1,EN$15+1,"m"),)/12,)-1,)*Index!EJ$23*(EN$15&gt;$I73)*(1-EN$12)</f>
        <v>4716.5923415545494</v>
      </c>
      <c r="EO73" s="747">
        <f>$G73*$H73*(1+$K73)^MAX(ROUNDUP(IFERROR(DATEDIF($I55-1,EO$15+1,"m"),)/12,)-1,)*Index!EK$23*(EO$15&gt;$I73)*(1-EO$12)</f>
        <v>4716.5923415545494</v>
      </c>
      <c r="EP73" s="747">
        <f>$G73*$H73*(1+$K73)^MAX(ROUNDUP(IFERROR(DATEDIF($I55-1,EP$15+1,"m"),)/12,)-1,)*Index!EL$23*(EP$15&gt;$I73)*(1-EP$12)</f>
        <v>4716.5923415545494</v>
      </c>
      <c r="EQ73" s="747">
        <f>$G73*$H73*(1+$K73)^MAX(ROUNDUP(IFERROR(DATEDIF($I55-1,EQ$15+1,"m"),)/12,)-1,)*Index!EM$23*(EQ$15&gt;$I73)*(1-EQ$12)</f>
        <v>4716.5923415545494</v>
      </c>
      <c r="ER73" s="747">
        <f>$G73*$H73*(1+$K73)^MAX(ROUNDUP(IFERROR(DATEDIF($I55-1,ER$15+1,"m"),)/12,)-1,)*Index!EN$23*(ER$15&gt;$I73)*(1-ER$12)</f>
        <v>4716.5923415545494</v>
      </c>
      <c r="ES73" s="747">
        <f>$G73*$H73*(1+$K73)^MAX(ROUNDUP(IFERROR(DATEDIF($I55-1,ES$15+1,"m"),)/12,)-1,)*Index!EO$23*(ES$15&gt;$I73)*(1-ES$12)</f>
        <v>0</v>
      </c>
      <c r="ET73" s="747">
        <f>$G73*$H73*(1+$K73)^MAX(ROUNDUP(IFERROR(DATEDIF($I55-1,ET$15+1,"m"),)/12,)-1,)*Index!EP$23*(ET$15&gt;$I73)*(1-ET$12)</f>
        <v>0</v>
      </c>
      <c r="EU73" s="747">
        <f>$G73*$H73*(1+$K73)^MAX(ROUNDUP(IFERROR(DATEDIF($I55-1,EU$15+1,"m"),)/12,)-1,)*Index!EQ$23*(EU$15&gt;$I73)*(1-EU$12)</f>
        <v>0</v>
      </c>
    </row>
    <row r="74" spans="3:151" ht="11.25" customHeight="1">
      <c r="C74" s="828"/>
      <c r="D74" s="743">
        <f t="shared" si="40"/>
        <v>8</v>
      </c>
      <c r="E74" s="704" t="str">
        <f t="shared" si="40"/>
        <v>키즈밀</v>
      </c>
      <c r="F74" s="704" t="str">
        <f t="shared" si="40"/>
        <v>근린생활시설</v>
      </c>
      <c r="G74" s="752">
        <f t="shared" si="41"/>
        <v>57.311466586702835</v>
      </c>
      <c r="H74" s="744">
        <f t="shared" si="40"/>
        <v>479.38</v>
      </c>
      <c r="I74" s="745">
        <f t="shared" si="42"/>
        <v>47483</v>
      </c>
      <c r="J74" s="745"/>
      <c r="K74" s="754">
        <f t="shared" si="43"/>
        <v>2.5000000000000001E-2</v>
      </c>
      <c r="L74" s="746"/>
      <c r="M74" s="722"/>
      <c r="N74" s="747">
        <f t="shared" si="44"/>
        <v>441590.82475405547</v>
      </c>
      <c r="O74" s="733"/>
      <c r="P74" s="747">
        <f>$G74*$H74*(1+$K74)^MAX(ROUNDUP(IFERROR(DATEDIF($I56-1,P$15+1,"m"),)/12,)-1,)*Index!L$23*(P$15&gt;$I74)*(1-P$12)</f>
        <v>0</v>
      </c>
      <c r="Q74" s="747">
        <f>$G74*$H74*(1+$K74)^MAX(ROUNDUP(IFERROR(DATEDIF($I56-1,Q$15+1,"m"),)/12,)-1,)*Index!M$23*(Q$15&gt;$I74)*(1-Q$12)</f>
        <v>0</v>
      </c>
      <c r="R74" s="747">
        <f>$G74*$H74*(1+$K74)^MAX(ROUNDUP(IFERROR(DATEDIF($I56-1,R$15+1,"m"),)/12,)-1,)*Index!N$23*(R$15&gt;$I74)*(1-R$12)</f>
        <v>0</v>
      </c>
      <c r="S74" s="747">
        <f>$G74*$H74*(1+$K74)^MAX(ROUNDUP(IFERROR(DATEDIF($I56-1,S$15+1,"m"),)/12,)-1,)*Index!O$23*(S$15&gt;$I74)*(1-S$12)</f>
        <v>0</v>
      </c>
      <c r="T74" s="747">
        <f>$G74*$H74*(1+$K74)^MAX(ROUNDUP(IFERROR(DATEDIF($I56-1,T$15+1,"m"),)/12,)-1,)*Index!P$23*(T$15&gt;$I74)*(1-T$12)</f>
        <v>0</v>
      </c>
      <c r="U74" s="747">
        <f>$G74*$H74*(1+$K74)^MAX(ROUNDUP(IFERROR(DATEDIF($I56-1,U$15+1,"m"),)/12,)-1,)*Index!Q$23*(U$15&gt;$I74)*(1-U$12)</f>
        <v>0</v>
      </c>
      <c r="V74" s="747">
        <f>$G74*$H74*(1+$K74)^MAX(ROUNDUP(IFERROR(DATEDIF($I56-1,V$15+1,"m"),)/12,)-1,)*Index!R$23*(V$15&gt;$I74)*(1-V$12)</f>
        <v>0</v>
      </c>
      <c r="W74" s="747">
        <f>$G74*$H74*(1+$K74)^MAX(ROUNDUP(IFERROR(DATEDIF($I56-1,W$15+1,"m"),)/12,)-1,)*Index!S$23*(W$15&gt;$I74)*(1-W$12)</f>
        <v>0</v>
      </c>
      <c r="X74" s="747">
        <f>$G74*$H74*(1+$K74)^MAX(ROUNDUP(IFERROR(DATEDIF($I56-1,X$15+1,"m"),)/12,)-1,)*Index!T$23*(X$15&gt;$I74)*(1-X$12)</f>
        <v>0</v>
      </c>
      <c r="Y74" s="747">
        <f>$G74*$H74*(1+$K74)^MAX(ROUNDUP(IFERROR(DATEDIF($I56-1,Y$15+1,"m"),)/12,)-1,)*Index!U$23*(Y$15&gt;$I74)*(1-Y$12)</f>
        <v>0</v>
      </c>
      <c r="Z74" s="747">
        <f>$G74*$H74*(1+$K74)^MAX(ROUNDUP(IFERROR(DATEDIF($I56-1,Z$15+1,"m"),)/12,)-1,)*Index!V$23*(Z$15&gt;$I74)*(1-Z$12)</f>
        <v>0</v>
      </c>
      <c r="AA74" s="747">
        <f>$G74*$H74*(1+$K74)^MAX(ROUNDUP(IFERROR(DATEDIF($I56-1,AA$15+1,"m"),)/12,)-1,)*Index!W$23*(AA$15&gt;$I74)*(1-AA$12)</f>
        <v>0</v>
      </c>
      <c r="AB74" s="747">
        <f>$G74*$H74*(1+$K74)^MAX(ROUNDUP(IFERROR(DATEDIF($I56-1,AB$15+1,"m"),)/12,)-1,)*Index!X$23*(AB$15&gt;$I74)*(1-AB$12)</f>
        <v>0</v>
      </c>
      <c r="AC74" s="747">
        <f>$G74*$H74*(1+$K74)^MAX(ROUNDUP(IFERROR(DATEDIF($I56-1,AC$15+1,"m"),)/12,)-1,)*Index!Y$23*(AC$15&gt;$I74)*(1-AC$12)</f>
        <v>0</v>
      </c>
      <c r="AD74" s="747">
        <f>$G74*$H74*(1+$K74)^MAX(ROUNDUP(IFERROR(DATEDIF($I56-1,AD$15+1,"m"),)/12,)-1,)*Index!Z$23*(AD$15&gt;$I74)*(1-AD$12)</f>
        <v>0</v>
      </c>
      <c r="AE74" s="747">
        <f>$G74*$H74*(1+$K74)^MAX(ROUNDUP(IFERROR(DATEDIF($I56-1,AE$15+1,"m"),)/12,)-1,)*Index!AA$23*(AE$15&gt;$I74)*(1-AE$12)</f>
        <v>0</v>
      </c>
      <c r="AF74" s="747">
        <f>$G74*$H74*(1+$K74)^MAX(ROUNDUP(IFERROR(DATEDIF($I56-1,AF$15+1,"m"),)/12,)-1,)*Index!AB$23*(AF$15&gt;$I74)*(1-AF$12)</f>
        <v>0</v>
      </c>
      <c r="AG74" s="747">
        <f>$G74*$H74*(1+$K74)^MAX(ROUNDUP(IFERROR(DATEDIF($I56-1,AG$15+1,"m"),)/12,)-1,)*Index!AC$23*(AG$15&gt;$I74)*(1-AG$12)</f>
        <v>0</v>
      </c>
      <c r="AH74" s="747">
        <f>$G74*$H74*(1+$K74)^MAX(ROUNDUP(IFERROR(DATEDIF($I56-1,AH$15+1,"m"),)/12,)-1,)*Index!AD$23*(AH$15&gt;$I74)*(1-AH$12)</f>
        <v>0</v>
      </c>
      <c r="AI74" s="747">
        <f>$G74*$H74*(1+$K74)^MAX(ROUNDUP(IFERROR(DATEDIF($I56-1,AI$15+1,"m"),)/12,)-1,)*Index!AE$23*(AI$15&gt;$I74)*(1-AI$12)</f>
        <v>0</v>
      </c>
      <c r="AJ74" s="747">
        <f>$G74*$H74*(1+$K74)^MAX(ROUNDUP(IFERROR(DATEDIF($I56-1,AJ$15+1,"m"),)/12,)-1,)*Index!AF$23*(AJ$15&gt;$I74)*(1-AJ$12)</f>
        <v>0</v>
      </c>
      <c r="AK74" s="747">
        <f>$G74*$H74*(1+$K74)^MAX(ROUNDUP(IFERROR(DATEDIF($I56-1,AK$15+1,"m"),)/12,)-1,)*Index!AG$23*(AK$15&gt;$I74)*(1-AK$12)</f>
        <v>0</v>
      </c>
      <c r="AL74" s="747">
        <f>$G74*$H74*(1+$K74)^MAX(ROUNDUP(IFERROR(DATEDIF($I56-1,AL$15+1,"m"),)/12,)-1,)*Index!AH$23*(AL$15&gt;$I74)*(1-AL$12)</f>
        <v>0</v>
      </c>
      <c r="AM74" s="747">
        <f>$G74*$H74*(1+$K74)^MAX(ROUNDUP(IFERROR(DATEDIF($I56-1,AM$15+1,"m"),)/12,)-1,)*Index!AI$23*(AM$15&gt;$I74)*(1-AM$12)</f>
        <v>0</v>
      </c>
      <c r="AN74" s="747">
        <f>$G74*$H74*(1+$K74)^MAX(ROUNDUP(IFERROR(DATEDIF($I56-1,AN$15+1,"m"),)/12,)-1,)*Index!AJ$23*(AN$15&gt;$I74)*(1-AN$12)</f>
        <v>0</v>
      </c>
      <c r="AO74" s="747">
        <f>$G74*$H74*(1+$K74)^MAX(ROUNDUP(IFERROR(DATEDIF($I56-1,AO$15+1,"m"),)/12,)-1,)*Index!AK$23*(AO$15&gt;$I74)*(1-AO$12)</f>
        <v>0</v>
      </c>
      <c r="AP74" s="747">
        <f>$G74*$H74*(1+$K74)^MAX(ROUNDUP(IFERROR(DATEDIF($I56-1,AP$15+1,"m"),)/12,)-1,)*Index!AL$23*(AP$15&gt;$I74)*(1-AP$12)</f>
        <v>0</v>
      </c>
      <c r="AQ74" s="747">
        <f>$G74*$H74*(1+$K74)^MAX(ROUNDUP(IFERROR(DATEDIF($I56-1,AQ$15+1,"m"),)/12,)-1,)*Index!AM$23*(AQ$15&gt;$I74)*(1-AQ$12)</f>
        <v>0</v>
      </c>
      <c r="AR74" s="747">
        <f>$G74*$H74*(1+$K74)^MAX(ROUNDUP(IFERROR(DATEDIF($I56-1,AR$15+1,"m"),)/12,)-1,)*Index!AN$23*(AR$15&gt;$I74)*(1-AR$12)</f>
        <v>0</v>
      </c>
      <c r="AS74" s="747">
        <f>$G74*$H74*(1+$K74)^MAX(ROUNDUP(IFERROR(DATEDIF($I56-1,AS$15+1,"m"),)/12,)-1,)*Index!AO$23*(AS$15&gt;$I74)*(1-AS$12)</f>
        <v>0</v>
      </c>
      <c r="AT74" s="747">
        <f>$G74*$H74*(1+$K74)^MAX(ROUNDUP(IFERROR(DATEDIF($I56-1,AT$15+1,"m"),)/12,)-1,)*Index!AP$23*(AT$15&gt;$I74)*(1-AT$12)</f>
        <v>0</v>
      </c>
      <c r="AU74" s="747">
        <f>$G74*$H74*(1+$K74)^MAX(ROUNDUP(IFERROR(DATEDIF($I56-1,AU$15+1,"m"),)/12,)-1,)*Index!AQ$23*(AU$15&gt;$I74)*(1-AU$12)</f>
        <v>0</v>
      </c>
      <c r="AV74" s="747">
        <f>$G74*$H74*(1+$K74)^MAX(ROUNDUP(IFERROR(DATEDIF($I56-1,AV$15+1,"m"),)/12,)-1,)*Index!AR$23*(AV$15&gt;$I74)*(1-AV$12)</f>
        <v>0</v>
      </c>
      <c r="AW74" s="747">
        <f>$G74*$H74*(1+$K74)^MAX(ROUNDUP(IFERROR(DATEDIF($I56-1,AW$15+1,"m"),)/12,)-1,)*Index!AS$23*(AW$15&gt;$I74)*(1-AW$12)</f>
        <v>0</v>
      </c>
      <c r="AX74" s="747">
        <f>$G74*$H74*(1+$K74)^MAX(ROUNDUP(IFERROR(DATEDIF($I56-1,AX$15+1,"m"),)/12,)-1,)*Index!AT$23*(AX$15&gt;$I74)*(1-AX$12)</f>
        <v>0</v>
      </c>
      <c r="AY74" s="747">
        <f>$G74*$H74*(1+$K74)^MAX(ROUNDUP(IFERROR(DATEDIF($I56-1,AY$15+1,"m"),)/12,)-1,)*Index!AU$23*(AY$15&gt;$I74)*(1-AY$12)</f>
        <v>0</v>
      </c>
      <c r="AZ74" s="747">
        <f>$G74*$H74*(1+$K74)^MAX(ROUNDUP(IFERROR(DATEDIF($I56-1,AZ$15+1,"m"),)/12,)-1,)*Index!AV$23*(AZ$15&gt;$I74)*(1-AZ$12)</f>
        <v>0</v>
      </c>
      <c r="BA74" s="747">
        <f>$G74*$H74*(1+$K74)^MAX(ROUNDUP(IFERROR(DATEDIF($I56-1,BA$15+1,"m"),)/12,)-1,)*Index!AW$23*(BA$15&gt;$I74)*(1-BA$12)</f>
        <v>0</v>
      </c>
      <c r="BB74" s="747">
        <f>$G74*$H74*(1+$K74)^MAX(ROUNDUP(IFERROR(DATEDIF($I56-1,BB$15+1,"m"),)/12,)-1,)*Index!AX$23*(BB$15&gt;$I74)*(1-BB$12)</f>
        <v>0</v>
      </c>
      <c r="BC74" s="747">
        <f>$G74*$H74*(1+$K74)^MAX(ROUNDUP(IFERROR(DATEDIF($I56-1,BC$15+1,"m"),)/12,)-1,)*Index!AY$23*(BC$15&gt;$I74)*(1-BC$12)</f>
        <v>0</v>
      </c>
      <c r="BD74" s="747">
        <f>$G74*$H74*(1+$K74)^MAX(ROUNDUP(IFERROR(DATEDIF($I56-1,BD$15+1,"m"),)/12,)-1,)*Index!AZ$23*(BD$15&gt;$I74)*(1-BD$12)</f>
        <v>0</v>
      </c>
      <c r="BE74" s="747">
        <f>$G74*$H74*(1+$K74)^MAX(ROUNDUP(IFERROR(DATEDIF($I56-1,BE$15+1,"m"),)/12,)-1,)*Index!BA$23*(BE$15&gt;$I74)*(1-BE$12)</f>
        <v>0</v>
      </c>
      <c r="BF74" s="747">
        <f>$G74*$H74*(1+$K74)^MAX(ROUNDUP(IFERROR(DATEDIF($I56-1,BF$15+1,"m"),)/12,)-1,)*Index!BB$23*(BF$15&gt;$I74)*(1-BF$12)</f>
        <v>0</v>
      </c>
      <c r="BG74" s="747">
        <f>$G74*$H74*(1+$K74)^MAX(ROUNDUP(IFERROR(DATEDIF($I56-1,BG$15+1,"m"),)/12,)-1,)*Index!BC$23*(BG$15&gt;$I74)*(1-BG$12)</f>
        <v>0</v>
      </c>
      <c r="BH74" s="747">
        <f>$G74*$H74*(1+$K74)^MAX(ROUNDUP(IFERROR(DATEDIF($I56-1,BH$15+1,"m"),)/12,)-1,)*Index!BD$23*(BH$15&gt;$I74)*(1-BH$12)</f>
        <v>0</v>
      </c>
      <c r="BI74" s="747">
        <f>$G74*$H74*(1+$K74)^MAX(ROUNDUP(IFERROR(DATEDIF($I56-1,BI$15+1,"m"),)/12,)-1,)*Index!BE$23*(BI$15&gt;$I74)*(1-BI$12)</f>
        <v>0</v>
      </c>
      <c r="BJ74" s="747">
        <f>$G74*$H74*(1+$K74)^MAX(ROUNDUP(IFERROR(DATEDIF($I56-1,BJ$15+1,"m"),)/12,)-1,)*Index!BF$23*(BJ$15&gt;$I74)*(1-BJ$12)</f>
        <v>0</v>
      </c>
      <c r="BK74" s="747">
        <f>$G74*$H74*(1+$K74)^MAX(ROUNDUP(IFERROR(DATEDIF($I56-1,BK$15+1,"m"),)/12,)-1,)*Index!BG$23*(BK$15&gt;$I74)*(1-BK$12)</f>
        <v>0</v>
      </c>
      <c r="BL74" s="747">
        <f>$G74*$H74*(1+$K74)^MAX(ROUNDUP(IFERROR(DATEDIF($I56-1,BL$15+1,"m"),)/12,)-1,)*Index!BH$23*(BL$15&gt;$I74)*(1-BL$12)</f>
        <v>0</v>
      </c>
      <c r="BM74" s="747">
        <f>$G74*$H74*(1+$K74)^MAX(ROUNDUP(IFERROR(DATEDIF($I56-1,BM$15+1,"m"),)/12,)-1,)*Index!BI$23*(BM$15&gt;$I74)*(1-BM$12)</f>
        <v>0</v>
      </c>
      <c r="BN74" s="747">
        <f>$G74*$H74*(1+$K74)^MAX(ROUNDUP(IFERROR(DATEDIF($I56-1,BN$15+1,"m"),)/12,)-1,)*Index!BJ$23*(BN$15&gt;$I74)*(1-BN$12)</f>
        <v>0</v>
      </c>
      <c r="BO74" s="747">
        <f>$G74*$H74*(1+$K74)^MAX(ROUNDUP(IFERROR(DATEDIF($I56-1,BO$15+1,"m"),)/12,)-1,)*Index!BK$23*(BO$15&gt;$I74)*(1-BO$12)</f>
        <v>0</v>
      </c>
      <c r="BP74" s="747">
        <f>$G74*$H74*(1+$K74)^MAX(ROUNDUP(IFERROR(DATEDIF($I56-1,BP$15+1,"m"),)/12,)-1,)*Index!BL$23*(BP$15&gt;$I74)*(1-BP$12)</f>
        <v>0</v>
      </c>
      <c r="BQ74" s="747">
        <f>$G74*$H74*(1+$K74)^MAX(ROUNDUP(IFERROR(DATEDIF($I56-1,BQ$15+1,"m"),)/12,)-1,)*Index!BM$23*(BQ$15&gt;$I74)*(1-BQ$12)</f>
        <v>0</v>
      </c>
      <c r="BR74" s="747">
        <f>$G74*$H74*(1+$K74)^MAX(ROUNDUP(IFERROR(DATEDIF($I56-1,BR$15+1,"m"),)/12,)-1,)*Index!BN$23*(BR$15&gt;$I74)*(1-BR$12)</f>
        <v>0</v>
      </c>
      <c r="BS74" s="747">
        <f>$G74*$H74*(1+$K74)^MAX(ROUNDUP(IFERROR(DATEDIF($I56-1,BS$15+1,"m"),)/12,)-1,)*Index!BO$23*(BS$15&gt;$I74)*(1-BS$12)</f>
        <v>0</v>
      </c>
      <c r="BT74" s="747">
        <f>$G74*$H74*(1+$K74)^MAX(ROUNDUP(IFERROR(DATEDIF($I56-1,BT$15+1,"m"),)/12,)-1,)*Index!BP$23*(BT$15&gt;$I74)*(1-BT$12)</f>
        <v>0</v>
      </c>
      <c r="BU74" s="747">
        <f>$G74*$H74*(1+$K74)^MAX(ROUNDUP(IFERROR(DATEDIF($I56-1,BU$15+1,"m"),)/12,)-1,)*Index!BQ$23*(BU$15&gt;$I74)*(1-BU$12)</f>
        <v>0</v>
      </c>
      <c r="BV74" s="747">
        <f>$G74*$H74*(1+$K74)^MAX(ROUNDUP(IFERROR(DATEDIF($I56-1,BV$15+1,"m"),)/12,)-1,)*Index!BR$23*(BV$15&gt;$I74)*(1-BV$12)</f>
        <v>0</v>
      </c>
      <c r="BW74" s="747">
        <f>$G74*$H74*(1+$K74)^MAX(ROUNDUP(IFERROR(DATEDIF($I56-1,BW$15+1,"m"),)/12,)-1,)*Index!BS$23*(BW$15&gt;$I74)*(1-BW$12)</f>
        <v>0</v>
      </c>
      <c r="BX74" s="747">
        <f>$G74*$H74*(1+$K74)^MAX(ROUNDUP(IFERROR(DATEDIF($I56-1,BX$15+1,"m"),)/12,)-1,)*Index!BT$23*(BX$15&gt;$I74)*(1-BX$12)</f>
        <v>0</v>
      </c>
      <c r="BY74" s="747">
        <f>$G74*$H74*(1+$K74)^MAX(ROUNDUP(IFERROR(DATEDIF($I56-1,BY$15+1,"m"),)/12,)-1,)*Index!BU$23*(BY$15&gt;$I74)*(1-BY$12)</f>
        <v>0</v>
      </c>
      <c r="BZ74" s="747">
        <f>$G74*$H74*(1+$K74)^MAX(ROUNDUP(IFERROR(DATEDIF($I56-1,BZ$15+1,"m"),)/12,)-1,)*Index!BV$23*(BZ$15&gt;$I74)*(1-BZ$12)</f>
        <v>0</v>
      </c>
      <c r="CA74" s="747">
        <f>$G74*$H74*(1+$K74)^MAX(ROUNDUP(IFERROR(DATEDIF($I56-1,CA$15+1,"m"),)/12,)-1,)*Index!BW$23*(CA$15&gt;$I74)*(1-CA$12)</f>
        <v>0</v>
      </c>
      <c r="CB74" s="747">
        <f>$G74*$H74*(1+$K74)^MAX(ROUNDUP(IFERROR(DATEDIF($I56-1,CB$15+1,"m"),)/12,)-1,)*Index!BX$23*(CB$15&gt;$I74)*(1-CB$12)</f>
        <v>0</v>
      </c>
      <c r="CC74" s="747">
        <f>$G74*$H74*(1+$K74)^MAX(ROUNDUP(IFERROR(DATEDIF($I56-1,CC$15+1,"m"),)/12,)-1,)*Index!BY$23*(CC$15&gt;$I74)*(1-CC$12)</f>
        <v>0</v>
      </c>
      <c r="CD74" s="747">
        <f>$G74*$H74*(1+$K74)^MAX(ROUNDUP(IFERROR(DATEDIF($I56-1,CD$15+1,"m"),)/12,)-1,)*Index!BZ$23*(CD$15&gt;$I74)*(1-CD$12)</f>
        <v>0</v>
      </c>
      <c r="CE74" s="747">
        <f>$G74*$H74*(1+$K74)^MAX(ROUNDUP(IFERROR(DATEDIF($I56-1,CE$15+1,"m"),)/12,)-1,)*Index!CA$23*(CE$15&gt;$I74)*(1-CE$12)</f>
        <v>0</v>
      </c>
      <c r="CF74" s="747">
        <f>$G74*$H74*(1+$K74)^MAX(ROUNDUP(IFERROR(DATEDIF($I56-1,CF$15+1,"m"),)/12,)-1,)*Index!CB$23*(CF$15&gt;$I74)*(1-CF$12)</f>
        <v>0</v>
      </c>
      <c r="CG74" s="747">
        <f>$G74*$H74*(1+$K74)^MAX(ROUNDUP(IFERROR(DATEDIF($I56-1,CG$15+1,"m"),)/12,)-1,)*Index!CC$23*(CG$15&gt;$I74)*(1-CG$12)</f>
        <v>0</v>
      </c>
      <c r="CH74" s="747">
        <f>$G74*$H74*(1+$K74)^MAX(ROUNDUP(IFERROR(DATEDIF($I56-1,CH$15+1,"m"),)/12,)-1,)*Index!CD$23*(CH$15&gt;$I74)*(1-CH$12)</f>
        <v>0</v>
      </c>
      <c r="CI74" s="747">
        <f>$G74*$H74*(1+$K74)^MAX(ROUNDUP(IFERROR(DATEDIF($I56-1,CI$15+1,"m"),)/12,)-1,)*Index!CE$23*(CI$15&gt;$I74)*(1-CI$12)</f>
        <v>0</v>
      </c>
      <c r="CJ74" s="747">
        <f>$G74*$H74*(1+$K74)^MAX(ROUNDUP(IFERROR(DATEDIF($I56-1,CJ$15+1,"m"),)/12,)-1,)*Index!CF$23*(CJ$15&gt;$I74)*(1-CJ$12)</f>
        <v>0</v>
      </c>
      <c r="CK74" s="747">
        <f>$G74*$H74*(1+$K74)^MAX(ROUNDUP(IFERROR(DATEDIF($I56-1,CK$15+1,"m"),)/12,)-1,)*Index!CG$23*(CK$15&gt;$I74)*(1-CK$12)</f>
        <v>0</v>
      </c>
      <c r="CL74" s="747">
        <f>$G74*$H74*(1+$K74)^MAX(ROUNDUP(IFERROR(DATEDIF($I56-1,CL$15+1,"m"),)/12,)-1,)*Index!CH$23*(CL$15&gt;$I74)*(1-CL$12)</f>
        <v>0</v>
      </c>
      <c r="CM74" s="747">
        <f>$G74*$H74*(1+$K74)^MAX(ROUNDUP(IFERROR(DATEDIF($I56-1,CM$15+1,"m"),)/12,)-1,)*Index!CI$23*(CM$15&gt;$I74)*(1-CM$12)</f>
        <v>0</v>
      </c>
      <c r="CN74" s="747">
        <f>$G74*$H74*(1+$K74)^MAX(ROUNDUP(IFERROR(DATEDIF($I56-1,CN$15+1,"m"),)/12,)-1,)*Index!CJ$23*(CN$15&gt;$I74)*(1-CN$12)</f>
        <v>0</v>
      </c>
      <c r="CO74" s="747">
        <f>$G74*$H74*(1+$K74)^MAX(ROUNDUP(IFERROR(DATEDIF($I56-1,CO$15+1,"m"),)/12,)-1,)*Index!CK$23*(CO$15&gt;$I74)*(1-CO$12)</f>
        <v>0</v>
      </c>
      <c r="CP74" s="747">
        <f>$G74*$H74*(1+$K74)^MAX(ROUNDUP(IFERROR(DATEDIF($I56-1,CP$15+1,"m"),)/12,)-1,)*Index!CL$23*(CP$15&gt;$I74)*(1-CP$12)</f>
        <v>0</v>
      </c>
      <c r="CQ74" s="747">
        <f>$G74*$H74*(1+$K74)^MAX(ROUNDUP(IFERROR(DATEDIF($I56-1,CQ$15+1,"m"),)/12,)-1,)*Index!CM$23*(CQ$15&gt;$I74)*(1-CQ$12)</f>
        <v>0</v>
      </c>
      <c r="CR74" s="747">
        <f>$G74*$H74*(1+$K74)^MAX(ROUNDUP(IFERROR(DATEDIF($I56-1,CR$15+1,"m"),)/12,)-1,)*Index!CN$23*(CR$15&gt;$I74)*(1-CR$12)</f>
        <v>0</v>
      </c>
      <c r="CS74" s="747">
        <f>$G74*$H74*(1+$K74)^MAX(ROUNDUP(IFERROR(DATEDIF($I56-1,CS$15+1,"m"),)/12,)-1,)*Index!CO$23*(CS$15&gt;$I74)*(1-CS$12)</f>
        <v>0</v>
      </c>
      <c r="CT74" s="747">
        <f>$G74*$H74*(1+$K74)^MAX(ROUNDUP(IFERROR(DATEDIF($I56-1,CT$15+1,"m"),)/12,)-1,)*Index!CP$23*(CT$15&gt;$I74)*(1-CT$12)</f>
        <v>0</v>
      </c>
      <c r="CU74" s="747">
        <f>$G74*$H74*(1+$K74)^MAX(ROUNDUP(IFERROR(DATEDIF($I56-1,CU$15+1,"m"),)/12,)-1,)*Index!CQ$23*(CU$15&gt;$I74)*(1-CU$12)</f>
        <v>0</v>
      </c>
      <c r="CV74" s="747">
        <f>$G74*$H74*(1+$K74)^MAX(ROUNDUP(IFERROR(DATEDIF($I56-1,CV$15+1,"m"),)/12,)-1,)*Index!CR$23*(CV$15&gt;$I74)*(1-CV$12)</f>
        <v>0</v>
      </c>
      <c r="CW74" s="747">
        <f>$G74*$H74*(1+$K74)^MAX(ROUNDUP(IFERROR(DATEDIF($I56-1,CW$15+1,"m"),)/12,)-1,)*Index!CS$23*(CW$15&gt;$I74)*(1-CW$12)</f>
        <v>0</v>
      </c>
      <c r="CX74" s="747">
        <f>$G74*$H74*(1+$K74)^MAX(ROUNDUP(IFERROR(DATEDIF($I56-1,CX$15+1,"m"),)/12,)-1,)*Index!CT$23*(CX$15&gt;$I74)*(1-CX$12)</f>
        <v>0</v>
      </c>
      <c r="CY74" s="747">
        <f>$G74*$H74*(1+$K74)^MAX(ROUNDUP(IFERROR(DATEDIF($I56-1,CY$15+1,"m"),)/12,)-1,)*Index!CU$23*(CY$15&gt;$I74)*(1-CY$12)</f>
        <v>0</v>
      </c>
      <c r="CZ74" s="747">
        <f>$G74*$H74*(1+$K74)^MAX(ROUNDUP(IFERROR(DATEDIF($I56-1,CZ$15+1,"m"),)/12,)-1,)*Index!CV$23*(CZ$15&gt;$I74)*(1-CZ$12)</f>
        <v>0</v>
      </c>
      <c r="DA74" s="747">
        <f>$G74*$H74*(1+$K74)^MAX(ROUNDUP(IFERROR(DATEDIF($I56-1,DA$15+1,"m"),)/12,)-1,)*Index!CW$23*(DA$15&gt;$I74)*(1-DA$12)</f>
        <v>0</v>
      </c>
      <c r="DB74" s="747">
        <f>$G74*$H74*(1+$K74)^MAX(ROUNDUP(IFERROR(DATEDIF($I56-1,DB$15+1,"m"),)/12,)-1,)*Index!CX$23*(DB$15&gt;$I74)*(1-DB$12)</f>
        <v>0</v>
      </c>
      <c r="DC74" s="747">
        <f>$G74*$H74*(1+$K74)^MAX(ROUNDUP(IFERROR(DATEDIF($I56-1,DC$15+1,"m"),)/12,)-1,)*Index!CY$23*(DC$15&gt;$I74)*(1-DC$12)</f>
        <v>0</v>
      </c>
      <c r="DD74" s="747">
        <f>$G74*$H74*(1+$K74)^MAX(ROUNDUP(IFERROR(DATEDIF($I56-1,DD$15+1,"m"),)/12,)-1,)*Index!CZ$23*(DD$15&gt;$I74)*(1-DD$12)</f>
        <v>0</v>
      </c>
      <c r="DE74" s="747">
        <f>$G74*$H74*(1+$K74)^MAX(ROUNDUP(IFERROR(DATEDIF($I56-1,DE$15+1,"m"),)/12,)-1,)*Index!DA$23*(DE$15&gt;$I74)*(1-DE$12)</f>
        <v>0</v>
      </c>
      <c r="DF74" s="747">
        <f>$G74*$H74*(1+$K74)^MAX(ROUNDUP(IFERROR(DATEDIF($I56-1,DF$15+1,"m"),)/12,)-1,)*Index!DB$23*(DF$15&gt;$I74)*(1-DF$12)</f>
        <v>0</v>
      </c>
      <c r="DG74" s="747">
        <f>$G74*$H74*(1+$K74)^MAX(ROUNDUP(IFERROR(DATEDIF($I56-1,DG$15+1,"m"),)/12,)-1,)*Index!DC$23*(DG$15&gt;$I74)*(1-DG$12)</f>
        <v>0</v>
      </c>
      <c r="DH74" s="747">
        <f>$G74*$H74*(1+$K74)^MAX(ROUNDUP(IFERROR(DATEDIF($I56-1,DH$15+1,"m"),)/12,)-1,)*Index!DD$23*(DH$15&gt;$I74)*(1-DH$12)</f>
        <v>0</v>
      </c>
      <c r="DI74" s="747">
        <f>$G74*$H74*(1+$K74)^MAX(ROUNDUP(IFERROR(DATEDIF($I56-1,DI$15+1,"m"),)/12,)-1,)*Index!DE$23*(DI$15&gt;$I74)*(1-DI$12)</f>
        <v>0</v>
      </c>
      <c r="DJ74" s="747">
        <f>$G74*$H74*(1+$K74)^MAX(ROUNDUP(IFERROR(DATEDIF($I56-1,DJ$15+1,"m"),)/12,)-1,)*Index!DF$23*(DJ$15&gt;$I74)*(1-DJ$12)</f>
        <v>0</v>
      </c>
      <c r="DK74" s="747">
        <f>$G74*$H74*(1+$K74)^MAX(ROUNDUP(IFERROR(DATEDIF($I56-1,DK$15+1,"m"),)/12,)-1,)*Index!DG$23*(DK$15&gt;$I74)*(1-DK$12)</f>
        <v>0</v>
      </c>
      <c r="DL74" s="747">
        <f>$G74*$H74*(1+$K74)^MAX(ROUNDUP(IFERROR(DATEDIF($I56-1,DL$15+1,"m"),)/12,)-1,)*Index!DH$23*(DL$15&gt;$I74)*(1-DL$12)</f>
        <v>0</v>
      </c>
      <c r="DM74" s="747">
        <f>$G74*$H74*(1+$K74)^MAX(ROUNDUP(IFERROR(DATEDIF($I56-1,DM$15+1,"m"),)/12,)-1,)*Index!DI$23*(DM$15&gt;$I74)*(1-DM$12)</f>
        <v>0</v>
      </c>
      <c r="DN74" s="747">
        <f>$G74*$H74*(1+$K74)^MAX(ROUNDUP(IFERROR(DATEDIF($I56-1,DN$15+1,"m"),)/12,)-1,)*Index!DJ$23*(DN$15&gt;$I74)*(1-DN$12)</f>
        <v>0</v>
      </c>
      <c r="DO74" s="747">
        <f>$G74*$H74*(1+$K74)^MAX(ROUNDUP(IFERROR(DATEDIF($I56-1,DO$15+1,"m"),)/12,)-1,)*Index!DK$23*(DO$15&gt;$I74)*(1-DO$12)</f>
        <v>0</v>
      </c>
      <c r="DP74" s="747">
        <f>$G74*$H74*(1+$K74)^MAX(ROUNDUP(IFERROR(DATEDIF($I56-1,DP$15+1,"m"),)/12,)-1,)*Index!DL$23*(DP$15&gt;$I74)*(1-DP$12)</f>
        <v>0</v>
      </c>
      <c r="DQ74" s="747">
        <f>$G74*$H74*(1+$K74)^MAX(ROUNDUP(IFERROR(DATEDIF($I56-1,DQ$15+1,"m"),)/12,)-1,)*Index!DM$23*(DQ$15&gt;$I74)*(1-DQ$12)</f>
        <v>0</v>
      </c>
      <c r="DR74" s="747">
        <f>$G74*$H74*(1+$K74)^MAX(ROUNDUP(IFERROR(DATEDIF($I56-1,DR$15+1,"m"),)/12,)-1,)*Index!DN$23*(DR$15&gt;$I74)*(1-DR$12)</f>
        <v>0</v>
      </c>
      <c r="DS74" s="747">
        <f>$G74*$H74*(1+$K74)^MAX(ROUNDUP(IFERROR(DATEDIF($I56-1,DS$15+1,"m"),)/12,)-1,)*Index!DO$23*(DS$15&gt;$I74)*(1-DS$12)</f>
        <v>0</v>
      </c>
      <c r="DT74" s="747">
        <f>$G74*$H74*(1+$K74)^MAX(ROUNDUP(IFERROR(DATEDIF($I56-1,DT$15+1,"m"),)/12,)-1,)*Index!DP$23*(DT$15&gt;$I74)*(1-DT$12)</f>
        <v>0</v>
      </c>
      <c r="DU74" s="747">
        <f>$G74*$H74*(1+$K74)^MAX(ROUNDUP(IFERROR(DATEDIF($I56-1,DU$15+1,"m"),)/12,)-1,)*Index!DQ$23*(DU$15&gt;$I74)*(1-DU$12)</f>
        <v>0</v>
      </c>
      <c r="DV74" s="747">
        <f>$G74*$H74*(1+$K74)^MAX(ROUNDUP(IFERROR(DATEDIF($I56-1,DV$15+1,"m"),)/12,)-1,)*Index!DR$23*(DV$15&gt;$I74)*(1-DV$12)</f>
        <v>0</v>
      </c>
      <c r="DW74" s="747">
        <f>$G74*$H74*(1+$K74)^MAX(ROUNDUP(IFERROR(DATEDIF($I56-1,DW$15+1,"m"),)/12,)-1,)*Index!DS$23*(DW$15&gt;$I74)*(1-DW$12)</f>
        <v>0</v>
      </c>
      <c r="DX74" s="747">
        <f>$G74*$H74*(1+$K74)^MAX(ROUNDUP(IFERROR(DATEDIF($I56-1,DX$15+1,"m"),)/12,)-1,)*Index!DT$23*(DX$15&gt;$I74)*(1-DX$12)</f>
        <v>0</v>
      </c>
      <c r="DY74" s="747">
        <f>$G74*$H74*(1+$K74)^MAX(ROUNDUP(IFERROR(DATEDIF($I56-1,DY$15+1,"m"),)/12,)-1,)*Index!DU$23*(DY$15&gt;$I74)*(1-DY$12)</f>
        <v>0</v>
      </c>
      <c r="DZ74" s="747">
        <f>$G74*$H74*(1+$K74)^MAX(ROUNDUP(IFERROR(DATEDIF($I56-1,DZ$15+1,"m"),)/12,)-1,)*Index!DV$23*(DZ$15&gt;$I74)*(1-DZ$12)</f>
        <v>0</v>
      </c>
      <c r="EA74" s="747">
        <f>$G74*$H74*(1+$K74)^MAX(ROUNDUP(IFERROR(DATEDIF($I56-1,EA$15+1,"m"),)/12,)-1,)*Index!DW$23*(EA$15&gt;$I74)*(1-EA$12)</f>
        <v>0</v>
      </c>
      <c r="EB74" s="747">
        <f>$G74*$H74*(1+$K74)^MAX(ROUNDUP(IFERROR(DATEDIF($I56-1,EB$15+1,"m"),)/12,)-1,)*Index!DX$23*(EB$15&gt;$I74)*(1-EB$12)</f>
        <v>0</v>
      </c>
      <c r="EC74" s="747">
        <f>$G74*$H74*(1+$K74)^MAX(ROUNDUP(IFERROR(DATEDIF($I56-1,EC$15+1,"m"),)/12,)-1,)*Index!DY$23*(EC$15&gt;$I74)*(1-EC$12)</f>
        <v>0</v>
      </c>
      <c r="ED74" s="747">
        <f>$G74*$H74*(1+$K74)^MAX(ROUNDUP(IFERROR(DATEDIF($I56-1,ED$15+1,"m"),)/12,)-1,)*Index!DZ$23*(ED$15&gt;$I74)*(1-ED$12)</f>
        <v>0</v>
      </c>
      <c r="EE74" s="747">
        <f>$G74*$H74*(1+$K74)^MAX(ROUNDUP(IFERROR(DATEDIF($I56-1,EE$15+1,"m"),)/12,)-1,)*Index!EA$23*(EE$15&gt;$I74)*(1-EE$12)</f>
        <v>0</v>
      </c>
      <c r="EF74" s="747">
        <f>$G74*$H74*(1+$K74)^MAX(ROUNDUP(IFERROR(DATEDIF($I56-1,EF$15+1,"m"),)/12,)-1,)*Index!EB$23*(EF$15&gt;$I74)*(1-EF$12)</f>
        <v>0</v>
      </c>
      <c r="EG74" s="747">
        <f>$G74*$H74*(1+$K74)^MAX(ROUNDUP(IFERROR(DATEDIF($I56-1,EG$15+1,"m"),)/12,)-1,)*Index!EC$23*(EG$15&gt;$I74)*(1-EG$12)</f>
        <v>36048.230592167798</v>
      </c>
      <c r="EH74" s="747">
        <f>$G74*$H74*(1+$K74)^MAX(ROUNDUP(IFERROR(DATEDIF($I56-1,EH$15+1,"m"),)/12,)-1,)*Index!ED$23*(EH$15&gt;$I74)*(1-EH$12)</f>
        <v>36048.230592167798</v>
      </c>
      <c r="EI74" s="747">
        <f>$G74*$H74*(1+$K74)^MAX(ROUNDUP(IFERROR(DATEDIF($I56-1,EI$15+1,"m"),)/12,)-1,)*Index!EE$23*(EI$15&gt;$I74)*(1-EI$12)</f>
        <v>36949.436356971994</v>
      </c>
      <c r="EJ74" s="747">
        <f>$G74*$H74*(1+$K74)^MAX(ROUNDUP(IFERROR(DATEDIF($I56-1,EJ$15+1,"m"),)/12,)-1,)*Index!EF$23*(EJ$15&gt;$I74)*(1-EJ$12)</f>
        <v>36949.436356971994</v>
      </c>
      <c r="EK74" s="747">
        <f>$G74*$H74*(1+$K74)^MAX(ROUNDUP(IFERROR(DATEDIF($I56-1,EK$15+1,"m"),)/12,)-1,)*Index!EG$23*(EK$15&gt;$I74)*(1-EK$12)</f>
        <v>36949.436356971994</v>
      </c>
      <c r="EL74" s="747">
        <f>$G74*$H74*(1+$K74)^MAX(ROUNDUP(IFERROR(DATEDIF($I56-1,EL$15+1,"m"),)/12,)-1,)*Index!EH$23*(EL$15&gt;$I74)*(1-EL$12)</f>
        <v>36949.436356971994</v>
      </c>
      <c r="EM74" s="747">
        <f>$G74*$H74*(1+$K74)^MAX(ROUNDUP(IFERROR(DATEDIF($I56-1,EM$15+1,"m"),)/12,)-1,)*Index!EI$23*(EM$15&gt;$I74)*(1-EM$12)</f>
        <v>36949.436356971994</v>
      </c>
      <c r="EN74" s="747">
        <f>$G74*$H74*(1+$K74)^MAX(ROUNDUP(IFERROR(DATEDIF($I56-1,EN$15+1,"m"),)/12,)-1,)*Index!EJ$23*(EN$15&gt;$I74)*(1-EN$12)</f>
        <v>36949.436356971994</v>
      </c>
      <c r="EO74" s="747">
        <f>$G74*$H74*(1+$K74)^MAX(ROUNDUP(IFERROR(DATEDIF($I56-1,EO$15+1,"m"),)/12,)-1,)*Index!EK$23*(EO$15&gt;$I74)*(1-EO$12)</f>
        <v>36949.436356971994</v>
      </c>
      <c r="EP74" s="747">
        <f>$G74*$H74*(1+$K74)^MAX(ROUNDUP(IFERROR(DATEDIF($I56-1,EP$15+1,"m"),)/12,)-1,)*Index!EL$23*(EP$15&gt;$I74)*(1-EP$12)</f>
        <v>36949.436356971994</v>
      </c>
      <c r="EQ74" s="747">
        <f>$G74*$H74*(1+$K74)^MAX(ROUNDUP(IFERROR(DATEDIF($I56-1,EQ$15+1,"m"),)/12,)-1,)*Index!EM$23*(EQ$15&gt;$I74)*(1-EQ$12)</f>
        <v>36949.436356971994</v>
      </c>
      <c r="ER74" s="747">
        <f>$G74*$H74*(1+$K74)^MAX(ROUNDUP(IFERROR(DATEDIF($I56-1,ER$15+1,"m"),)/12,)-1,)*Index!EN$23*(ER$15&gt;$I74)*(1-ER$12)</f>
        <v>36949.436356971994</v>
      </c>
      <c r="ES74" s="747">
        <f>$G74*$H74*(1+$K74)^MAX(ROUNDUP(IFERROR(DATEDIF($I56-1,ES$15+1,"m"),)/12,)-1,)*Index!EO$23*(ES$15&gt;$I74)*(1-ES$12)</f>
        <v>0</v>
      </c>
      <c r="ET74" s="747">
        <f>$G74*$H74*(1+$K74)^MAX(ROUNDUP(IFERROR(DATEDIF($I56-1,ET$15+1,"m"),)/12,)-1,)*Index!EP$23*(ET$15&gt;$I74)*(1-ET$12)</f>
        <v>0</v>
      </c>
      <c r="EU74" s="747">
        <f>$G74*$H74*(1+$K74)^MAX(ROUNDUP(IFERROR(DATEDIF($I56-1,EU$15+1,"m"),)/12,)-1,)*Index!EQ$23*(EU$15&gt;$I74)*(1-EU$12)</f>
        <v>0</v>
      </c>
    </row>
    <row r="75" spans="3:151" ht="11.25" customHeight="1">
      <c r="C75" s="828"/>
      <c r="D75" s="743">
        <f t="shared" si="40"/>
        <v>8</v>
      </c>
      <c r="E75" s="704" t="str">
        <f t="shared" si="40"/>
        <v>쿠팡</v>
      </c>
      <c r="F75" s="704" t="str">
        <f t="shared" si="40"/>
        <v>상온창고</v>
      </c>
      <c r="G75" s="752">
        <f t="shared" si="41"/>
        <v>57.698001860542107</v>
      </c>
      <c r="H75" s="744">
        <f t="shared" si="40"/>
        <v>207.4</v>
      </c>
      <c r="I75" s="745">
        <f t="shared" si="42"/>
        <v>49064</v>
      </c>
      <c r="J75" s="745"/>
      <c r="K75" s="754">
        <f t="shared" si="43"/>
        <v>2.5000000000000001E-2</v>
      </c>
      <c r="L75" s="746"/>
      <c r="M75" s="722"/>
      <c r="N75" s="747">
        <f t="shared" si="44"/>
        <v>195538.45890082506</v>
      </c>
      <c r="O75" s="733"/>
      <c r="P75" s="747">
        <f>$G75*$H75*(1+$K75)^MAX(ROUNDUP(IFERROR(DATEDIF($I57-1,P$15+1,"m"),)/12,)-1,)*Index!L$23*(P$15&gt;$I75)*(1-P$12)</f>
        <v>0</v>
      </c>
      <c r="Q75" s="747">
        <f>$G75*$H75*(1+$K75)^MAX(ROUNDUP(IFERROR(DATEDIF($I57-1,Q$15+1,"m"),)/12,)-1,)*Index!M$23*(Q$15&gt;$I75)*(1-Q$12)</f>
        <v>0</v>
      </c>
      <c r="R75" s="747">
        <f>$G75*$H75*(1+$K75)^MAX(ROUNDUP(IFERROR(DATEDIF($I57-1,R$15+1,"m"),)/12,)-1,)*Index!N$23*(R$15&gt;$I75)*(1-R$12)</f>
        <v>0</v>
      </c>
      <c r="S75" s="747">
        <f>$G75*$H75*(1+$K75)^MAX(ROUNDUP(IFERROR(DATEDIF($I57-1,S$15+1,"m"),)/12,)-1,)*Index!O$23*(S$15&gt;$I75)*(1-S$12)</f>
        <v>0</v>
      </c>
      <c r="T75" s="747">
        <f>$G75*$H75*(1+$K75)^MAX(ROUNDUP(IFERROR(DATEDIF($I57-1,T$15+1,"m"),)/12,)-1,)*Index!P$23*(T$15&gt;$I75)*(1-T$12)</f>
        <v>0</v>
      </c>
      <c r="U75" s="747">
        <f>$G75*$H75*(1+$K75)^MAX(ROUNDUP(IFERROR(DATEDIF($I57-1,U$15+1,"m"),)/12,)-1,)*Index!Q$23*(U$15&gt;$I75)*(1-U$12)</f>
        <v>0</v>
      </c>
      <c r="V75" s="747">
        <f>$G75*$H75*(1+$K75)^MAX(ROUNDUP(IFERROR(DATEDIF($I57-1,V$15+1,"m"),)/12,)-1,)*Index!R$23*(V$15&gt;$I75)*(1-V$12)</f>
        <v>0</v>
      </c>
      <c r="W75" s="747">
        <f>$G75*$H75*(1+$K75)^MAX(ROUNDUP(IFERROR(DATEDIF($I57-1,W$15+1,"m"),)/12,)-1,)*Index!S$23*(W$15&gt;$I75)*(1-W$12)</f>
        <v>0</v>
      </c>
      <c r="X75" s="747">
        <f>$G75*$H75*(1+$K75)^MAX(ROUNDUP(IFERROR(DATEDIF($I57-1,X$15+1,"m"),)/12,)-1,)*Index!T$23*(X$15&gt;$I75)*(1-X$12)</f>
        <v>0</v>
      </c>
      <c r="Y75" s="747">
        <f>$G75*$H75*(1+$K75)^MAX(ROUNDUP(IFERROR(DATEDIF($I57-1,Y$15+1,"m"),)/12,)-1,)*Index!U$23*(Y$15&gt;$I75)*(1-Y$12)</f>
        <v>0</v>
      </c>
      <c r="Z75" s="747">
        <f>$G75*$H75*(1+$K75)^MAX(ROUNDUP(IFERROR(DATEDIF($I57-1,Z$15+1,"m"),)/12,)-1,)*Index!V$23*(Z$15&gt;$I75)*(1-Z$12)</f>
        <v>0</v>
      </c>
      <c r="AA75" s="747">
        <f>$G75*$H75*(1+$K75)^MAX(ROUNDUP(IFERROR(DATEDIF($I57-1,AA$15+1,"m"),)/12,)-1,)*Index!W$23*(AA$15&gt;$I75)*(1-AA$12)</f>
        <v>0</v>
      </c>
      <c r="AB75" s="747">
        <f>$G75*$H75*(1+$K75)^MAX(ROUNDUP(IFERROR(DATEDIF($I57-1,AB$15+1,"m"),)/12,)-1,)*Index!X$23*(AB$15&gt;$I75)*(1-AB$12)</f>
        <v>0</v>
      </c>
      <c r="AC75" s="747">
        <f>$G75*$H75*(1+$K75)^MAX(ROUNDUP(IFERROR(DATEDIF($I57-1,AC$15+1,"m"),)/12,)-1,)*Index!Y$23*(AC$15&gt;$I75)*(1-AC$12)</f>
        <v>0</v>
      </c>
      <c r="AD75" s="747">
        <f>$G75*$H75*(1+$K75)^MAX(ROUNDUP(IFERROR(DATEDIF($I57-1,AD$15+1,"m"),)/12,)-1,)*Index!Z$23*(AD$15&gt;$I75)*(1-AD$12)</f>
        <v>0</v>
      </c>
      <c r="AE75" s="747">
        <f>$G75*$H75*(1+$K75)^MAX(ROUNDUP(IFERROR(DATEDIF($I57-1,AE$15+1,"m"),)/12,)-1,)*Index!AA$23*(AE$15&gt;$I75)*(1-AE$12)</f>
        <v>0</v>
      </c>
      <c r="AF75" s="747">
        <f>$G75*$H75*(1+$K75)^MAX(ROUNDUP(IFERROR(DATEDIF($I57-1,AF$15+1,"m"),)/12,)-1,)*Index!AB$23*(AF$15&gt;$I75)*(1-AF$12)</f>
        <v>0</v>
      </c>
      <c r="AG75" s="747">
        <f>$G75*$H75*(1+$K75)^MAX(ROUNDUP(IFERROR(DATEDIF($I57-1,AG$15+1,"m"),)/12,)-1,)*Index!AC$23*(AG$15&gt;$I75)*(1-AG$12)</f>
        <v>0</v>
      </c>
      <c r="AH75" s="747">
        <f>$G75*$H75*(1+$K75)^MAX(ROUNDUP(IFERROR(DATEDIF($I57-1,AH$15+1,"m"),)/12,)-1,)*Index!AD$23*(AH$15&gt;$I75)*(1-AH$12)</f>
        <v>0</v>
      </c>
      <c r="AI75" s="747">
        <f>$G75*$H75*(1+$K75)^MAX(ROUNDUP(IFERROR(DATEDIF($I57-1,AI$15+1,"m"),)/12,)-1,)*Index!AE$23*(AI$15&gt;$I75)*(1-AI$12)</f>
        <v>0</v>
      </c>
      <c r="AJ75" s="747">
        <f>$G75*$H75*(1+$K75)^MAX(ROUNDUP(IFERROR(DATEDIF($I57-1,AJ$15+1,"m"),)/12,)-1,)*Index!AF$23*(AJ$15&gt;$I75)*(1-AJ$12)</f>
        <v>0</v>
      </c>
      <c r="AK75" s="747">
        <f>$G75*$H75*(1+$K75)^MAX(ROUNDUP(IFERROR(DATEDIF($I57-1,AK$15+1,"m"),)/12,)-1,)*Index!AG$23*(AK$15&gt;$I75)*(1-AK$12)</f>
        <v>0</v>
      </c>
      <c r="AL75" s="747">
        <f>$G75*$H75*(1+$K75)^MAX(ROUNDUP(IFERROR(DATEDIF($I57-1,AL$15+1,"m"),)/12,)-1,)*Index!AH$23*(AL$15&gt;$I75)*(1-AL$12)</f>
        <v>0</v>
      </c>
      <c r="AM75" s="747">
        <f>$G75*$H75*(1+$K75)^MAX(ROUNDUP(IFERROR(DATEDIF($I57-1,AM$15+1,"m"),)/12,)-1,)*Index!AI$23*(AM$15&gt;$I75)*(1-AM$12)</f>
        <v>0</v>
      </c>
      <c r="AN75" s="747">
        <f>$G75*$H75*(1+$K75)^MAX(ROUNDUP(IFERROR(DATEDIF($I57-1,AN$15+1,"m"),)/12,)-1,)*Index!AJ$23*(AN$15&gt;$I75)*(1-AN$12)</f>
        <v>0</v>
      </c>
      <c r="AO75" s="747">
        <f>$G75*$H75*(1+$K75)^MAX(ROUNDUP(IFERROR(DATEDIF($I57-1,AO$15+1,"m"),)/12,)-1,)*Index!AK$23*(AO$15&gt;$I75)*(1-AO$12)</f>
        <v>0</v>
      </c>
      <c r="AP75" s="747">
        <f>$G75*$H75*(1+$K75)^MAX(ROUNDUP(IFERROR(DATEDIF($I57-1,AP$15+1,"m"),)/12,)-1,)*Index!AL$23*(AP$15&gt;$I75)*(1-AP$12)</f>
        <v>0</v>
      </c>
      <c r="AQ75" s="747">
        <f>$G75*$H75*(1+$K75)^MAX(ROUNDUP(IFERROR(DATEDIF($I57-1,AQ$15+1,"m"),)/12,)-1,)*Index!AM$23*(AQ$15&gt;$I75)*(1-AQ$12)</f>
        <v>0</v>
      </c>
      <c r="AR75" s="747">
        <f>$G75*$H75*(1+$K75)^MAX(ROUNDUP(IFERROR(DATEDIF($I57-1,AR$15+1,"m"),)/12,)-1,)*Index!AN$23*(AR$15&gt;$I75)*(1-AR$12)</f>
        <v>0</v>
      </c>
      <c r="AS75" s="747">
        <f>$G75*$H75*(1+$K75)^MAX(ROUNDUP(IFERROR(DATEDIF($I57-1,AS$15+1,"m"),)/12,)-1,)*Index!AO$23*(AS$15&gt;$I75)*(1-AS$12)</f>
        <v>0</v>
      </c>
      <c r="AT75" s="747">
        <f>$G75*$H75*(1+$K75)^MAX(ROUNDUP(IFERROR(DATEDIF($I57-1,AT$15+1,"m"),)/12,)-1,)*Index!AP$23*(AT$15&gt;$I75)*(1-AT$12)</f>
        <v>0</v>
      </c>
      <c r="AU75" s="747">
        <f>$G75*$H75*(1+$K75)^MAX(ROUNDUP(IFERROR(DATEDIF($I57-1,AU$15+1,"m"),)/12,)-1,)*Index!AQ$23*(AU$15&gt;$I75)*(1-AU$12)</f>
        <v>0</v>
      </c>
      <c r="AV75" s="747">
        <f>$G75*$H75*(1+$K75)^MAX(ROUNDUP(IFERROR(DATEDIF($I57-1,AV$15+1,"m"),)/12,)-1,)*Index!AR$23*(AV$15&gt;$I75)*(1-AV$12)</f>
        <v>0</v>
      </c>
      <c r="AW75" s="747">
        <f>$G75*$H75*(1+$K75)^MAX(ROUNDUP(IFERROR(DATEDIF($I57-1,AW$15+1,"m"),)/12,)-1,)*Index!AS$23*(AW$15&gt;$I75)*(1-AW$12)</f>
        <v>0</v>
      </c>
      <c r="AX75" s="747">
        <f>$G75*$H75*(1+$K75)^MAX(ROUNDUP(IFERROR(DATEDIF($I57-1,AX$15+1,"m"),)/12,)-1,)*Index!AT$23*(AX$15&gt;$I75)*(1-AX$12)</f>
        <v>0</v>
      </c>
      <c r="AY75" s="747">
        <f>$G75*$H75*(1+$K75)^MAX(ROUNDUP(IFERROR(DATEDIF($I57-1,AY$15+1,"m"),)/12,)-1,)*Index!AU$23*(AY$15&gt;$I75)*(1-AY$12)</f>
        <v>0</v>
      </c>
      <c r="AZ75" s="747">
        <f>$G75*$H75*(1+$K75)^MAX(ROUNDUP(IFERROR(DATEDIF($I57-1,AZ$15+1,"m"),)/12,)-1,)*Index!AV$23*(AZ$15&gt;$I75)*(1-AZ$12)</f>
        <v>0</v>
      </c>
      <c r="BA75" s="747">
        <f>$G75*$H75*(1+$K75)^MAX(ROUNDUP(IFERROR(DATEDIF($I57-1,BA$15+1,"m"),)/12,)-1,)*Index!AW$23*(BA$15&gt;$I75)*(1-BA$12)</f>
        <v>0</v>
      </c>
      <c r="BB75" s="747">
        <f>$G75*$H75*(1+$K75)^MAX(ROUNDUP(IFERROR(DATEDIF($I57-1,BB$15+1,"m"),)/12,)-1,)*Index!AX$23*(BB$15&gt;$I75)*(1-BB$12)</f>
        <v>0</v>
      </c>
      <c r="BC75" s="747">
        <f>$G75*$H75*(1+$K75)^MAX(ROUNDUP(IFERROR(DATEDIF($I57-1,BC$15+1,"m"),)/12,)-1,)*Index!AY$23*(BC$15&gt;$I75)*(1-BC$12)</f>
        <v>0</v>
      </c>
      <c r="BD75" s="747">
        <f>$G75*$H75*(1+$K75)^MAX(ROUNDUP(IFERROR(DATEDIF($I57-1,BD$15+1,"m"),)/12,)-1,)*Index!AZ$23*(BD$15&gt;$I75)*(1-BD$12)</f>
        <v>0</v>
      </c>
      <c r="BE75" s="747">
        <f>$G75*$H75*(1+$K75)^MAX(ROUNDUP(IFERROR(DATEDIF($I57-1,BE$15+1,"m"),)/12,)-1,)*Index!BA$23*(BE$15&gt;$I75)*(1-BE$12)</f>
        <v>0</v>
      </c>
      <c r="BF75" s="747">
        <f>$G75*$H75*(1+$K75)^MAX(ROUNDUP(IFERROR(DATEDIF($I57-1,BF$15+1,"m"),)/12,)-1,)*Index!BB$23*(BF$15&gt;$I75)*(1-BF$12)</f>
        <v>0</v>
      </c>
      <c r="BG75" s="747">
        <f>$G75*$H75*(1+$K75)^MAX(ROUNDUP(IFERROR(DATEDIF($I57-1,BG$15+1,"m"),)/12,)-1,)*Index!BC$23*(BG$15&gt;$I75)*(1-BG$12)</f>
        <v>0</v>
      </c>
      <c r="BH75" s="747">
        <f>$G75*$H75*(1+$K75)^MAX(ROUNDUP(IFERROR(DATEDIF($I57-1,BH$15+1,"m"),)/12,)-1,)*Index!BD$23*(BH$15&gt;$I75)*(1-BH$12)</f>
        <v>0</v>
      </c>
      <c r="BI75" s="747">
        <f>$G75*$H75*(1+$K75)^MAX(ROUNDUP(IFERROR(DATEDIF($I57-1,BI$15+1,"m"),)/12,)-1,)*Index!BE$23*(BI$15&gt;$I75)*(1-BI$12)</f>
        <v>0</v>
      </c>
      <c r="BJ75" s="747">
        <f>$G75*$H75*(1+$K75)^MAX(ROUNDUP(IFERROR(DATEDIF($I57-1,BJ$15+1,"m"),)/12,)-1,)*Index!BF$23*(BJ$15&gt;$I75)*(1-BJ$12)</f>
        <v>0</v>
      </c>
      <c r="BK75" s="747">
        <f>$G75*$H75*(1+$K75)^MAX(ROUNDUP(IFERROR(DATEDIF($I57-1,BK$15+1,"m"),)/12,)-1,)*Index!BG$23*(BK$15&gt;$I75)*(1-BK$12)</f>
        <v>0</v>
      </c>
      <c r="BL75" s="747">
        <f>$G75*$H75*(1+$K75)^MAX(ROUNDUP(IFERROR(DATEDIF($I57-1,BL$15+1,"m"),)/12,)-1,)*Index!BH$23*(BL$15&gt;$I75)*(1-BL$12)</f>
        <v>0</v>
      </c>
      <c r="BM75" s="747">
        <f>$G75*$H75*(1+$K75)^MAX(ROUNDUP(IFERROR(DATEDIF($I57-1,BM$15+1,"m"),)/12,)-1,)*Index!BI$23*(BM$15&gt;$I75)*(1-BM$12)</f>
        <v>0</v>
      </c>
      <c r="BN75" s="747">
        <f>$G75*$H75*(1+$K75)^MAX(ROUNDUP(IFERROR(DATEDIF($I57-1,BN$15+1,"m"),)/12,)-1,)*Index!BJ$23*(BN$15&gt;$I75)*(1-BN$12)</f>
        <v>0</v>
      </c>
      <c r="BO75" s="747">
        <f>$G75*$H75*(1+$K75)^MAX(ROUNDUP(IFERROR(DATEDIF($I57-1,BO$15+1,"m"),)/12,)-1,)*Index!BK$23*(BO$15&gt;$I75)*(1-BO$12)</f>
        <v>0</v>
      </c>
      <c r="BP75" s="747">
        <f>$G75*$H75*(1+$K75)^MAX(ROUNDUP(IFERROR(DATEDIF($I57-1,BP$15+1,"m"),)/12,)-1,)*Index!BL$23*(BP$15&gt;$I75)*(1-BP$12)</f>
        <v>0</v>
      </c>
      <c r="BQ75" s="747">
        <f>$G75*$H75*(1+$K75)^MAX(ROUNDUP(IFERROR(DATEDIF($I57-1,BQ$15+1,"m"),)/12,)-1,)*Index!BM$23*(BQ$15&gt;$I75)*(1-BQ$12)</f>
        <v>0</v>
      </c>
      <c r="BR75" s="747">
        <f>$G75*$H75*(1+$K75)^MAX(ROUNDUP(IFERROR(DATEDIF($I57-1,BR$15+1,"m"),)/12,)-1,)*Index!BN$23*(BR$15&gt;$I75)*(1-BR$12)</f>
        <v>0</v>
      </c>
      <c r="BS75" s="747">
        <f>$G75*$H75*(1+$K75)^MAX(ROUNDUP(IFERROR(DATEDIF($I57-1,BS$15+1,"m"),)/12,)-1,)*Index!BO$23*(BS$15&gt;$I75)*(1-BS$12)</f>
        <v>0</v>
      </c>
      <c r="BT75" s="747">
        <f>$G75*$H75*(1+$K75)^MAX(ROUNDUP(IFERROR(DATEDIF($I57-1,BT$15+1,"m"),)/12,)-1,)*Index!BP$23*(BT$15&gt;$I75)*(1-BT$12)</f>
        <v>0</v>
      </c>
      <c r="BU75" s="747">
        <f>$G75*$H75*(1+$K75)^MAX(ROUNDUP(IFERROR(DATEDIF($I57-1,BU$15+1,"m"),)/12,)-1,)*Index!BQ$23*(BU$15&gt;$I75)*(1-BU$12)</f>
        <v>0</v>
      </c>
      <c r="BV75" s="747">
        <f>$G75*$H75*(1+$K75)^MAX(ROUNDUP(IFERROR(DATEDIF($I57-1,BV$15+1,"m"),)/12,)-1,)*Index!BR$23*(BV$15&gt;$I75)*(1-BV$12)</f>
        <v>0</v>
      </c>
      <c r="BW75" s="747">
        <f>$G75*$H75*(1+$K75)^MAX(ROUNDUP(IFERROR(DATEDIF($I57-1,BW$15+1,"m"),)/12,)-1,)*Index!BS$23*(BW$15&gt;$I75)*(1-BW$12)</f>
        <v>0</v>
      </c>
      <c r="BX75" s="747">
        <f>$G75*$H75*(1+$K75)^MAX(ROUNDUP(IFERROR(DATEDIF($I57-1,BX$15+1,"m"),)/12,)-1,)*Index!BT$23*(BX$15&gt;$I75)*(1-BX$12)</f>
        <v>0</v>
      </c>
      <c r="BY75" s="747">
        <f>$G75*$H75*(1+$K75)^MAX(ROUNDUP(IFERROR(DATEDIF($I57-1,BY$15+1,"m"),)/12,)-1,)*Index!BU$23*(BY$15&gt;$I75)*(1-BY$12)</f>
        <v>0</v>
      </c>
      <c r="BZ75" s="747">
        <f>$G75*$H75*(1+$K75)^MAX(ROUNDUP(IFERROR(DATEDIF($I57-1,BZ$15+1,"m"),)/12,)-1,)*Index!BV$23*(BZ$15&gt;$I75)*(1-BZ$12)</f>
        <v>0</v>
      </c>
      <c r="CA75" s="747">
        <f>$G75*$H75*(1+$K75)^MAX(ROUNDUP(IFERROR(DATEDIF($I57-1,CA$15+1,"m"),)/12,)-1,)*Index!BW$23*(CA$15&gt;$I75)*(1-CA$12)</f>
        <v>0</v>
      </c>
      <c r="CB75" s="747">
        <f>$G75*$H75*(1+$K75)^MAX(ROUNDUP(IFERROR(DATEDIF($I57-1,CB$15+1,"m"),)/12,)-1,)*Index!BX$23*(CB$15&gt;$I75)*(1-CB$12)</f>
        <v>0</v>
      </c>
      <c r="CC75" s="747">
        <f>$G75*$H75*(1+$K75)^MAX(ROUNDUP(IFERROR(DATEDIF($I57-1,CC$15+1,"m"),)/12,)-1,)*Index!BY$23*(CC$15&gt;$I75)*(1-CC$12)</f>
        <v>0</v>
      </c>
      <c r="CD75" s="747">
        <f>$G75*$H75*(1+$K75)^MAX(ROUNDUP(IFERROR(DATEDIF($I57-1,CD$15+1,"m"),)/12,)-1,)*Index!BZ$23*(CD$15&gt;$I75)*(1-CD$12)</f>
        <v>0</v>
      </c>
      <c r="CE75" s="747">
        <f>$G75*$H75*(1+$K75)^MAX(ROUNDUP(IFERROR(DATEDIF($I57-1,CE$15+1,"m"),)/12,)-1,)*Index!CA$23*(CE$15&gt;$I75)*(1-CE$12)</f>
        <v>0</v>
      </c>
      <c r="CF75" s="747">
        <f>$G75*$H75*(1+$K75)^MAX(ROUNDUP(IFERROR(DATEDIF($I57-1,CF$15+1,"m"),)/12,)-1,)*Index!CB$23*(CF$15&gt;$I75)*(1-CF$12)</f>
        <v>0</v>
      </c>
      <c r="CG75" s="747">
        <f>$G75*$H75*(1+$K75)^MAX(ROUNDUP(IFERROR(DATEDIF($I57-1,CG$15+1,"m"),)/12,)-1,)*Index!CC$23*(CG$15&gt;$I75)*(1-CG$12)</f>
        <v>0</v>
      </c>
      <c r="CH75" s="747">
        <f>$G75*$H75*(1+$K75)^MAX(ROUNDUP(IFERROR(DATEDIF($I57-1,CH$15+1,"m"),)/12,)-1,)*Index!CD$23*(CH$15&gt;$I75)*(1-CH$12)</f>
        <v>0</v>
      </c>
      <c r="CI75" s="747">
        <f>$G75*$H75*(1+$K75)^MAX(ROUNDUP(IFERROR(DATEDIF($I57-1,CI$15+1,"m"),)/12,)-1,)*Index!CE$23*(CI$15&gt;$I75)*(1-CI$12)</f>
        <v>0</v>
      </c>
      <c r="CJ75" s="747">
        <f>$G75*$H75*(1+$K75)^MAX(ROUNDUP(IFERROR(DATEDIF($I57-1,CJ$15+1,"m"),)/12,)-1,)*Index!CF$23*(CJ$15&gt;$I75)*(1-CJ$12)</f>
        <v>0</v>
      </c>
      <c r="CK75" s="747">
        <f>$G75*$H75*(1+$K75)^MAX(ROUNDUP(IFERROR(DATEDIF($I57-1,CK$15+1,"m"),)/12,)-1,)*Index!CG$23*(CK$15&gt;$I75)*(1-CK$12)</f>
        <v>0</v>
      </c>
      <c r="CL75" s="747">
        <f>$G75*$H75*(1+$K75)^MAX(ROUNDUP(IFERROR(DATEDIF($I57-1,CL$15+1,"m"),)/12,)-1,)*Index!CH$23*(CL$15&gt;$I75)*(1-CL$12)</f>
        <v>0</v>
      </c>
      <c r="CM75" s="747">
        <f>$G75*$H75*(1+$K75)^MAX(ROUNDUP(IFERROR(DATEDIF($I57-1,CM$15+1,"m"),)/12,)-1,)*Index!CI$23*(CM$15&gt;$I75)*(1-CM$12)</f>
        <v>0</v>
      </c>
      <c r="CN75" s="747">
        <f>$G75*$H75*(1+$K75)^MAX(ROUNDUP(IFERROR(DATEDIF($I57-1,CN$15+1,"m"),)/12,)-1,)*Index!CJ$23*(CN$15&gt;$I75)*(1-CN$12)</f>
        <v>0</v>
      </c>
      <c r="CO75" s="747">
        <f>$G75*$H75*(1+$K75)^MAX(ROUNDUP(IFERROR(DATEDIF($I57-1,CO$15+1,"m"),)/12,)-1,)*Index!CK$23*(CO$15&gt;$I75)*(1-CO$12)</f>
        <v>0</v>
      </c>
      <c r="CP75" s="747">
        <f>$G75*$H75*(1+$K75)^MAX(ROUNDUP(IFERROR(DATEDIF($I57-1,CP$15+1,"m"),)/12,)-1,)*Index!CL$23*(CP$15&gt;$I75)*(1-CP$12)</f>
        <v>0</v>
      </c>
      <c r="CQ75" s="747">
        <f>$G75*$H75*(1+$K75)^MAX(ROUNDUP(IFERROR(DATEDIF($I57-1,CQ$15+1,"m"),)/12,)-1,)*Index!CM$23*(CQ$15&gt;$I75)*(1-CQ$12)</f>
        <v>0</v>
      </c>
      <c r="CR75" s="747">
        <f>$G75*$H75*(1+$K75)^MAX(ROUNDUP(IFERROR(DATEDIF($I57-1,CR$15+1,"m"),)/12,)-1,)*Index!CN$23*(CR$15&gt;$I75)*(1-CR$12)</f>
        <v>0</v>
      </c>
      <c r="CS75" s="747">
        <f>$G75*$H75*(1+$K75)^MAX(ROUNDUP(IFERROR(DATEDIF($I57-1,CS$15+1,"m"),)/12,)-1,)*Index!CO$23*(CS$15&gt;$I75)*(1-CS$12)</f>
        <v>0</v>
      </c>
      <c r="CT75" s="747">
        <f>$G75*$H75*(1+$K75)^MAX(ROUNDUP(IFERROR(DATEDIF($I57-1,CT$15+1,"m"),)/12,)-1,)*Index!CP$23*(CT$15&gt;$I75)*(1-CT$12)</f>
        <v>0</v>
      </c>
      <c r="CU75" s="747">
        <f>$G75*$H75*(1+$K75)^MAX(ROUNDUP(IFERROR(DATEDIF($I57-1,CU$15+1,"m"),)/12,)-1,)*Index!CQ$23*(CU$15&gt;$I75)*(1-CU$12)</f>
        <v>0</v>
      </c>
      <c r="CV75" s="747">
        <f>$G75*$H75*(1+$K75)^MAX(ROUNDUP(IFERROR(DATEDIF($I57-1,CV$15+1,"m"),)/12,)-1,)*Index!CR$23*(CV$15&gt;$I75)*(1-CV$12)</f>
        <v>0</v>
      </c>
      <c r="CW75" s="747">
        <f>$G75*$H75*(1+$K75)^MAX(ROUNDUP(IFERROR(DATEDIF($I57-1,CW$15+1,"m"),)/12,)-1,)*Index!CS$23*(CW$15&gt;$I75)*(1-CW$12)</f>
        <v>0</v>
      </c>
      <c r="CX75" s="747">
        <f>$G75*$H75*(1+$K75)^MAX(ROUNDUP(IFERROR(DATEDIF($I57-1,CX$15+1,"m"),)/12,)-1,)*Index!CT$23*(CX$15&gt;$I75)*(1-CX$12)</f>
        <v>0</v>
      </c>
      <c r="CY75" s="747">
        <f>$G75*$H75*(1+$K75)^MAX(ROUNDUP(IFERROR(DATEDIF($I57-1,CY$15+1,"m"),)/12,)-1,)*Index!CU$23*(CY$15&gt;$I75)*(1-CY$12)</f>
        <v>0</v>
      </c>
      <c r="CZ75" s="747">
        <f>$G75*$H75*(1+$K75)^MAX(ROUNDUP(IFERROR(DATEDIF($I57-1,CZ$15+1,"m"),)/12,)-1,)*Index!CV$23*(CZ$15&gt;$I75)*(1-CZ$12)</f>
        <v>0</v>
      </c>
      <c r="DA75" s="747">
        <f>$G75*$H75*(1+$K75)^MAX(ROUNDUP(IFERROR(DATEDIF($I57-1,DA$15+1,"m"),)/12,)-1,)*Index!CW$23*(DA$15&gt;$I75)*(1-DA$12)</f>
        <v>0</v>
      </c>
      <c r="DB75" s="747">
        <f>$G75*$H75*(1+$K75)^MAX(ROUNDUP(IFERROR(DATEDIF($I57-1,DB$15+1,"m"),)/12,)-1,)*Index!CX$23*(DB$15&gt;$I75)*(1-DB$12)</f>
        <v>0</v>
      </c>
      <c r="DC75" s="747">
        <f>$G75*$H75*(1+$K75)^MAX(ROUNDUP(IFERROR(DATEDIF($I57-1,DC$15+1,"m"),)/12,)-1,)*Index!CY$23*(DC$15&gt;$I75)*(1-DC$12)</f>
        <v>0</v>
      </c>
      <c r="DD75" s="747">
        <f>$G75*$H75*(1+$K75)^MAX(ROUNDUP(IFERROR(DATEDIF($I57-1,DD$15+1,"m"),)/12,)-1,)*Index!CZ$23*(DD$15&gt;$I75)*(1-DD$12)</f>
        <v>0</v>
      </c>
      <c r="DE75" s="747">
        <f>$G75*$H75*(1+$K75)^MAX(ROUNDUP(IFERROR(DATEDIF($I57-1,DE$15+1,"m"),)/12,)-1,)*Index!DA$23*(DE$15&gt;$I75)*(1-DE$12)</f>
        <v>0</v>
      </c>
      <c r="DF75" s="747">
        <f>$G75*$H75*(1+$K75)^MAX(ROUNDUP(IFERROR(DATEDIF($I57-1,DF$15+1,"m"),)/12,)-1,)*Index!DB$23*(DF$15&gt;$I75)*(1-DF$12)</f>
        <v>0</v>
      </c>
      <c r="DG75" s="747">
        <f>$G75*$H75*(1+$K75)^MAX(ROUNDUP(IFERROR(DATEDIF($I57-1,DG$15+1,"m"),)/12,)-1,)*Index!DC$23*(DG$15&gt;$I75)*(1-DG$12)</f>
        <v>0</v>
      </c>
      <c r="DH75" s="747">
        <f>$G75*$H75*(1+$K75)^MAX(ROUNDUP(IFERROR(DATEDIF($I57-1,DH$15+1,"m"),)/12,)-1,)*Index!DD$23*(DH$15&gt;$I75)*(1-DH$12)</f>
        <v>0</v>
      </c>
      <c r="DI75" s="747">
        <f>$G75*$H75*(1+$K75)^MAX(ROUNDUP(IFERROR(DATEDIF($I57-1,DI$15+1,"m"),)/12,)-1,)*Index!DE$23*(DI$15&gt;$I75)*(1-DI$12)</f>
        <v>0</v>
      </c>
      <c r="DJ75" s="747">
        <f>$G75*$H75*(1+$K75)^MAX(ROUNDUP(IFERROR(DATEDIF($I57-1,DJ$15+1,"m"),)/12,)-1,)*Index!DF$23*(DJ$15&gt;$I75)*(1-DJ$12)</f>
        <v>0</v>
      </c>
      <c r="DK75" s="747">
        <f>$G75*$H75*(1+$K75)^MAX(ROUNDUP(IFERROR(DATEDIF($I57-1,DK$15+1,"m"),)/12,)-1,)*Index!DG$23*(DK$15&gt;$I75)*(1-DK$12)</f>
        <v>0</v>
      </c>
      <c r="DL75" s="747">
        <f>$G75*$H75*(1+$K75)^MAX(ROUNDUP(IFERROR(DATEDIF($I57-1,DL$15+1,"m"),)/12,)-1,)*Index!DH$23*(DL$15&gt;$I75)*(1-DL$12)</f>
        <v>0</v>
      </c>
      <c r="DM75" s="747">
        <f>$G75*$H75*(1+$K75)^MAX(ROUNDUP(IFERROR(DATEDIF($I57-1,DM$15+1,"m"),)/12,)-1,)*Index!DI$23*(DM$15&gt;$I75)*(1-DM$12)</f>
        <v>0</v>
      </c>
      <c r="DN75" s="747">
        <f>$G75*$H75*(1+$K75)^MAX(ROUNDUP(IFERROR(DATEDIF($I57-1,DN$15+1,"m"),)/12,)-1,)*Index!DJ$23*(DN$15&gt;$I75)*(1-DN$12)</f>
        <v>0</v>
      </c>
      <c r="DO75" s="747">
        <f>$G75*$H75*(1+$K75)^MAX(ROUNDUP(IFERROR(DATEDIF($I57-1,DO$15+1,"m"),)/12,)-1,)*Index!DK$23*(DO$15&gt;$I75)*(1-DO$12)</f>
        <v>0</v>
      </c>
      <c r="DP75" s="747">
        <f>$G75*$H75*(1+$K75)^MAX(ROUNDUP(IFERROR(DATEDIF($I57-1,DP$15+1,"m"),)/12,)-1,)*Index!DL$23*(DP$15&gt;$I75)*(1-DP$12)</f>
        <v>0</v>
      </c>
      <c r="DQ75" s="747">
        <f>$G75*$H75*(1+$K75)^MAX(ROUNDUP(IFERROR(DATEDIF($I57-1,DQ$15+1,"m"),)/12,)-1,)*Index!DM$23*(DQ$15&gt;$I75)*(1-DQ$12)</f>
        <v>0</v>
      </c>
      <c r="DR75" s="747">
        <f>$G75*$H75*(1+$K75)^MAX(ROUNDUP(IFERROR(DATEDIF($I57-1,DR$15+1,"m"),)/12,)-1,)*Index!DN$23*(DR$15&gt;$I75)*(1-DR$12)</f>
        <v>0</v>
      </c>
      <c r="DS75" s="747">
        <f>$G75*$H75*(1+$K75)^MAX(ROUNDUP(IFERROR(DATEDIF($I57-1,DS$15+1,"m"),)/12,)-1,)*Index!DO$23*(DS$15&gt;$I75)*(1-DS$12)</f>
        <v>0</v>
      </c>
      <c r="DT75" s="747">
        <f>$G75*$H75*(1+$K75)^MAX(ROUNDUP(IFERROR(DATEDIF($I57-1,DT$15+1,"m"),)/12,)-1,)*Index!DP$23*(DT$15&gt;$I75)*(1-DT$12)</f>
        <v>0</v>
      </c>
      <c r="DU75" s="747">
        <f>$G75*$H75*(1+$K75)^MAX(ROUNDUP(IFERROR(DATEDIF($I57-1,DU$15+1,"m"),)/12,)-1,)*Index!DQ$23*(DU$15&gt;$I75)*(1-DU$12)</f>
        <v>0</v>
      </c>
      <c r="DV75" s="747">
        <f>$G75*$H75*(1+$K75)^MAX(ROUNDUP(IFERROR(DATEDIF($I57-1,DV$15+1,"m"),)/12,)-1,)*Index!DR$23*(DV$15&gt;$I75)*(1-DV$12)</f>
        <v>0</v>
      </c>
      <c r="DW75" s="747">
        <f>$G75*$H75*(1+$K75)^MAX(ROUNDUP(IFERROR(DATEDIF($I57-1,DW$15+1,"m"),)/12,)-1,)*Index!DS$23*(DW$15&gt;$I75)*(1-DW$12)</f>
        <v>0</v>
      </c>
      <c r="DX75" s="747">
        <f>$G75*$H75*(1+$K75)^MAX(ROUNDUP(IFERROR(DATEDIF($I57-1,DX$15+1,"m"),)/12,)-1,)*Index!DT$23*(DX$15&gt;$I75)*(1-DX$12)</f>
        <v>0</v>
      </c>
      <c r="DY75" s="747">
        <f>$G75*$H75*(1+$K75)^MAX(ROUNDUP(IFERROR(DATEDIF($I57-1,DY$15+1,"m"),)/12,)-1,)*Index!DU$23*(DY$15&gt;$I75)*(1-DY$12)</f>
        <v>0</v>
      </c>
      <c r="DZ75" s="747">
        <f>$G75*$H75*(1+$K75)^MAX(ROUNDUP(IFERROR(DATEDIF($I57-1,DZ$15+1,"m"),)/12,)-1,)*Index!DV$23*(DZ$15&gt;$I75)*(1-DZ$12)</f>
        <v>0</v>
      </c>
      <c r="EA75" s="747">
        <f>$G75*$H75*(1+$K75)^MAX(ROUNDUP(IFERROR(DATEDIF($I57-1,EA$15+1,"m"),)/12,)-1,)*Index!DW$23*(EA$15&gt;$I75)*(1-EA$12)</f>
        <v>0</v>
      </c>
      <c r="EB75" s="747">
        <f>$G75*$H75*(1+$K75)^MAX(ROUNDUP(IFERROR(DATEDIF($I57-1,EB$15+1,"m"),)/12,)-1,)*Index!DX$23*(EB$15&gt;$I75)*(1-EB$12)</f>
        <v>0</v>
      </c>
      <c r="EC75" s="747">
        <f>$G75*$H75*(1+$K75)^MAX(ROUNDUP(IFERROR(DATEDIF($I57-1,EC$15+1,"m"),)/12,)-1,)*Index!DY$23*(EC$15&gt;$I75)*(1-EC$12)</f>
        <v>0</v>
      </c>
      <c r="ED75" s="747">
        <f>$G75*$H75*(1+$K75)^MAX(ROUNDUP(IFERROR(DATEDIF($I57-1,ED$15+1,"m"),)/12,)-1,)*Index!DZ$23*(ED$15&gt;$I75)*(1-ED$12)</f>
        <v>0</v>
      </c>
      <c r="EE75" s="747">
        <f>$G75*$H75*(1+$K75)^MAX(ROUNDUP(IFERROR(DATEDIF($I57-1,EE$15+1,"m"),)/12,)-1,)*Index!EA$23*(EE$15&gt;$I75)*(1-EE$12)</f>
        <v>0</v>
      </c>
      <c r="EF75" s="747">
        <f>$G75*$H75*(1+$K75)^MAX(ROUNDUP(IFERROR(DATEDIF($I57-1,EF$15+1,"m"),)/12,)-1,)*Index!EB$23*(EF$15&gt;$I75)*(1-EF$12)</f>
        <v>0</v>
      </c>
      <c r="EG75" s="747">
        <f>$G75*$H75*(1+$K75)^MAX(ROUNDUP(IFERROR(DATEDIF($I57-1,EG$15+1,"m"),)/12,)-1,)*Index!EC$23*(EG$15&gt;$I75)*(1-EG$12)</f>
        <v>16093.700321055563</v>
      </c>
      <c r="EH75" s="747">
        <f>$G75*$H75*(1+$K75)^MAX(ROUNDUP(IFERROR(DATEDIF($I57-1,EH$15+1,"m"),)/12,)-1,)*Index!ED$23*(EH$15&gt;$I75)*(1-EH$12)</f>
        <v>16093.700321055563</v>
      </c>
      <c r="EI75" s="747">
        <f>$G75*$H75*(1+$K75)^MAX(ROUNDUP(IFERROR(DATEDIF($I57-1,EI$15+1,"m"),)/12,)-1,)*Index!EE$23*(EI$15&gt;$I75)*(1-EI$12)</f>
        <v>16093.700321055563</v>
      </c>
      <c r="EJ75" s="747">
        <f>$G75*$H75*(1+$K75)^MAX(ROUNDUP(IFERROR(DATEDIF($I57-1,EJ$15+1,"m"),)/12,)-1,)*Index!EF$23*(EJ$15&gt;$I75)*(1-EJ$12)</f>
        <v>16093.700321055563</v>
      </c>
      <c r="EK75" s="747">
        <f>$G75*$H75*(1+$K75)^MAX(ROUNDUP(IFERROR(DATEDIF($I57-1,EK$15+1,"m"),)/12,)-1,)*Index!EG$23*(EK$15&gt;$I75)*(1-EK$12)</f>
        <v>16093.700321055563</v>
      </c>
      <c r="EL75" s="747">
        <f>$G75*$H75*(1+$K75)^MAX(ROUNDUP(IFERROR(DATEDIF($I57-1,EL$15+1,"m"),)/12,)-1,)*Index!EH$23*(EL$15&gt;$I75)*(1-EL$12)</f>
        <v>16093.700321055563</v>
      </c>
      <c r="EM75" s="747">
        <f>$G75*$H75*(1+$K75)^MAX(ROUNDUP(IFERROR(DATEDIF($I57-1,EM$15+1,"m"),)/12,)-1,)*Index!EI$23*(EM$15&gt;$I75)*(1-EM$12)</f>
        <v>16496.042829081951</v>
      </c>
      <c r="EN75" s="747">
        <f>$G75*$H75*(1+$K75)^MAX(ROUNDUP(IFERROR(DATEDIF($I57-1,EN$15+1,"m"),)/12,)-1,)*Index!EJ$23*(EN$15&gt;$I75)*(1-EN$12)</f>
        <v>16496.042829081951</v>
      </c>
      <c r="EO75" s="747">
        <f>$G75*$H75*(1+$K75)^MAX(ROUNDUP(IFERROR(DATEDIF($I57-1,EO$15+1,"m"),)/12,)-1,)*Index!EK$23*(EO$15&gt;$I75)*(1-EO$12)</f>
        <v>16496.042829081951</v>
      </c>
      <c r="EP75" s="747">
        <f>$G75*$H75*(1+$K75)^MAX(ROUNDUP(IFERROR(DATEDIF($I57-1,EP$15+1,"m"),)/12,)-1,)*Index!EL$23*(EP$15&gt;$I75)*(1-EP$12)</f>
        <v>16496.042829081951</v>
      </c>
      <c r="EQ75" s="747">
        <f>$G75*$H75*(1+$K75)^MAX(ROUNDUP(IFERROR(DATEDIF($I57-1,EQ$15+1,"m"),)/12,)-1,)*Index!EM$23*(EQ$15&gt;$I75)*(1-EQ$12)</f>
        <v>16496.042829081951</v>
      </c>
      <c r="ER75" s="747">
        <f>$G75*$H75*(1+$K75)^MAX(ROUNDUP(IFERROR(DATEDIF($I57-1,ER$15+1,"m"),)/12,)-1,)*Index!EN$23*(ER$15&gt;$I75)*(1-ER$12)</f>
        <v>16496.042829081951</v>
      </c>
      <c r="ES75" s="747">
        <f>$G75*$H75*(1+$K75)^MAX(ROUNDUP(IFERROR(DATEDIF($I57-1,ES$15+1,"m"),)/12,)-1,)*Index!EO$23*(ES$15&gt;$I75)*(1-ES$12)</f>
        <v>0</v>
      </c>
      <c r="ET75" s="747">
        <f>$G75*$H75*(1+$K75)^MAX(ROUNDUP(IFERROR(DATEDIF($I57-1,ET$15+1,"m"),)/12,)-1,)*Index!EP$23*(ET$15&gt;$I75)*(1-ET$12)</f>
        <v>0</v>
      </c>
      <c r="EU75" s="747">
        <f>$G75*$H75*(1+$K75)^MAX(ROUNDUP(IFERROR(DATEDIF($I57-1,EU$15+1,"m"),)/12,)-1,)*Index!EQ$23*(EU$15&gt;$I75)*(1-EU$12)</f>
        <v>0</v>
      </c>
    </row>
    <row r="76" spans="3:151" ht="11.25" customHeight="1">
      <c r="C76" s="828"/>
      <c r="D76" s="743">
        <f t="shared" si="40"/>
        <v>7</v>
      </c>
      <c r="E76" s="704" t="str">
        <f t="shared" si="40"/>
        <v>쿠팡</v>
      </c>
      <c r="F76" s="704" t="str">
        <f t="shared" si="40"/>
        <v>상온창고</v>
      </c>
      <c r="G76" s="752">
        <f t="shared" si="41"/>
        <v>57.698001860542107</v>
      </c>
      <c r="H76" s="744">
        <f t="shared" si="40"/>
        <v>1550.42</v>
      </c>
      <c r="I76" s="745">
        <f t="shared" si="42"/>
        <v>49064</v>
      </c>
      <c r="J76" s="745"/>
      <c r="K76" s="754">
        <f t="shared" si="43"/>
        <v>2.5000000000000001E-2</v>
      </c>
      <c r="L76" s="746"/>
      <c r="M76" s="722"/>
      <c r="N76" s="747">
        <f t="shared" si="44"/>
        <v>1470772.1169860177</v>
      </c>
      <c r="O76" s="733"/>
      <c r="P76" s="747">
        <f>$G76*$H76*(1+$K76)^MAX(ROUNDUP(IFERROR(DATEDIF($I58-1,P$15+1,"m"),)/12,)-1,)*Index!L$23*(P$15&gt;$I76)*(1-P$12)</f>
        <v>0</v>
      </c>
      <c r="Q76" s="747">
        <f>$G76*$H76*(1+$K76)^MAX(ROUNDUP(IFERROR(DATEDIF($I58-1,Q$15+1,"m"),)/12,)-1,)*Index!M$23*(Q$15&gt;$I76)*(1-Q$12)</f>
        <v>0</v>
      </c>
      <c r="R76" s="747">
        <f>$G76*$H76*(1+$K76)^MAX(ROUNDUP(IFERROR(DATEDIF($I58-1,R$15+1,"m"),)/12,)-1,)*Index!N$23*(R$15&gt;$I76)*(1-R$12)</f>
        <v>0</v>
      </c>
      <c r="S76" s="747">
        <f>$G76*$H76*(1+$K76)^MAX(ROUNDUP(IFERROR(DATEDIF($I58-1,S$15+1,"m"),)/12,)-1,)*Index!O$23*(S$15&gt;$I76)*(1-S$12)</f>
        <v>0</v>
      </c>
      <c r="T76" s="747">
        <f>$G76*$H76*(1+$K76)^MAX(ROUNDUP(IFERROR(DATEDIF($I58-1,T$15+1,"m"),)/12,)-1,)*Index!P$23*(T$15&gt;$I76)*(1-T$12)</f>
        <v>0</v>
      </c>
      <c r="U76" s="747">
        <f>$G76*$H76*(1+$K76)^MAX(ROUNDUP(IFERROR(DATEDIF($I58-1,U$15+1,"m"),)/12,)-1,)*Index!Q$23*(U$15&gt;$I76)*(1-U$12)</f>
        <v>0</v>
      </c>
      <c r="V76" s="747">
        <f>$G76*$H76*(1+$K76)^MAX(ROUNDUP(IFERROR(DATEDIF($I58-1,V$15+1,"m"),)/12,)-1,)*Index!R$23*(V$15&gt;$I76)*(1-V$12)</f>
        <v>0</v>
      </c>
      <c r="W76" s="747">
        <f>$G76*$H76*(1+$K76)^MAX(ROUNDUP(IFERROR(DATEDIF($I58-1,W$15+1,"m"),)/12,)-1,)*Index!S$23*(W$15&gt;$I76)*(1-W$12)</f>
        <v>0</v>
      </c>
      <c r="X76" s="747">
        <f>$G76*$H76*(1+$K76)^MAX(ROUNDUP(IFERROR(DATEDIF($I58-1,X$15+1,"m"),)/12,)-1,)*Index!T$23*(X$15&gt;$I76)*(1-X$12)</f>
        <v>0</v>
      </c>
      <c r="Y76" s="747">
        <f>$G76*$H76*(1+$K76)^MAX(ROUNDUP(IFERROR(DATEDIF($I58-1,Y$15+1,"m"),)/12,)-1,)*Index!U$23*(Y$15&gt;$I76)*(1-Y$12)</f>
        <v>0</v>
      </c>
      <c r="Z76" s="747">
        <f>$G76*$H76*(1+$K76)^MAX(ROUNDUP(IFERROR(DATEDIF($I58-1,Z$15+1,"m"),)/12,)-1,)*Index!V$23*(Z$15&gt;$I76)*(1-Z$12)</f>
        <v>0</v>
      </c>
      <c r="AA76" s="747">
        <f>$G76*$H76*(1+$K76)^MAX(ROUNDUP(IFERROR(DATEDIF($I58-1,AA$15+1,"m"),)/12,)-1,)*Index!W$23*(AA$15&gt;$I76)*(1-AA$12)</f>
        <v>0</v>
      </c>
      <c r="AB76" s="747">
        <f>$G76*$H76*(1+$K76)^MAX(ROUNDUP(IFERROR(DATEDIF($I58-1,AB$15+1,"m"),)/12,)-1,)*Index!X$23*(AB$15&gt;$I76)*(1-AB$12)</f>
        <v>0</v>
      </c>
      <c r="AC76" s="747">
        <f>$G76*$H76*(1+$K76)^MAX(ROUNDUP(IFERROR(DATEDIF($I58-1,AC$15+1,"m"),)/12,)-1,)*Index!Y$23*(AC$15&gt;$I76)*(1-AC$12)</f>
        <v>0</v>
      </c>
      <c r="AD76" s="747">
        <f>$G76*$H76*(1+$K76)^MAX(ROUNDUP(IFERROR(DATEDIF($I58-1,AD$15+1,"m"),)/12,)-1,)*Index!Z$23*(AD$15&gt;$I76)*(1-AD$12)</f>
        <v>0</v>
      </c>
      <c r="AE76" s="747">
        <f>$G76*$H76*(1+$K76)^MAX(ROUNDUP(IFERROR(DATEDIF($I58-1,AE$15+1,"m"),)/12,)-1,)*Index!AA$23*(AE$15&gt;$I76)*(1-AE$12)</f>
        <v>0</v>
      </c>
      <c r="AF76" s="747">
        <f>$G76*$H76*(1+$K76)^MAX(ROUNDUP(IFERROR(DATEDIF($I58-1,AF$15+1,"m"),)/12,)-1,)*Index!AB$23*(AF$15&gt;$I76)*(1-AF$12)</f>
        <v>0</v>
      </c>
      <c r="AG76" s="747">
        <f>$G76*$H76*(1+$K76)^MAX(ROUNDUP(IFERROR(DATEDIF($I58-1,AG$15+1,"m"),)/12,)-1,)*Index!AC$23*(AG$15&gt;$I76)*(1-AG$12)</f>
        <v>0</v>
      </c>
      <c r="AH76" s="747">
        <f>$G76*$H76*(1+$K76)^MAX(ROUNDUP(IFERROR(DATEDIF($I58-1,AH$15+1,"m"),)/12,)-1,)*Index!AD$23*(AH$15&gt;$I76)*(1-AH$12)</f>
        <v>0</v>
      </c>
      <c r="AI76" s="747">
        <f>$G76*$H76*(1+$K76)^MAX(ROUNDUP(IFERROR(DATEDIF($I58-1,AI$15+1,"m"),)/12,)-1,)*Index!AE$23*(AI$15&gt;$I76)*(1-AI$12)</f>
        <v>0</v>
      </c>
      <c r="AJ76" s="747">
        <f>$G76*$H76*(1+$K76)^MAX(ROUNDUP(IFERROR(DATEDIF($I58-1,AJ$15+1,"m"),)/12,)-1,)*Index!AF$23*(AJ$15&gt;$I76)*(1-AJ$12)</f>
        <v>0</v>
      </c>
      <c r="AK76" s="747">
        <f>$G76*$H76*(1+$K76)^MAX(ROUNDUP(IFERROR(DATEDIF($I58-1,AK$15+1,"m"),)/12,)-1,)*Index!AG$23*(AK$15&gt;$I76)*(1-AK$12)</f>
        <v>0</v>
      </c>
      <c r="AL76" s="747">
        <f>$G76*$H76*(1+$K76)^MAX(ROUNDUP(IFERROR(DATEDIF($I58-1,AL$15+1,"m"),)/12,)-1,)*Index!AH$23*(AL$15&gt;$I76)*(1-AL$12)</f>
        <v>0</v>
      </c>
      <c r="AM76" s="747">
        <f>$G76*$H76*(1+$K76)^MAX(ROUNDUP(IFERROR(DATEDIF($I58-1,AM$15+1,"m"),)/12,)-1,)*Index!AI$23*(AM$15&gt;$I76)*(1-AM$12)</f>
        <v>0</v>
      </c>
      <c r="AN76" s="747">
        <f>$G76*$H76*(1+$K76)^MAX(ROUNDUP(IFERROR(DATEDIF($I58-1,AN$15+1,"m"),)/12,)-1,)*Index!AJ$23*(AN$15&gt;$I76)*(1-AN$12)</f>
        <v>0</v>
      </c>
      <c r="AO76" s="747">
        <f>$G76*$H76*(1+$K76)^MAX(ROUNDUP(IFERROR(DATEDIF($I58-1,AO$15+1,"m"),)/12,)-1,)*Index!AK$23*(AO$15&gt;$I76)*(1-AO$12)</f>
        <v>0</v>
      </c>
      <c r="AP76" s="747">
        <f>$G76*$H76*(1+$K76)^MAX(ROUNDUP(IFERROR(DATEDIF($I58-1,AP$15+1,"m"),)/12,)-1,)*Index!AL$23*(AP$15&gt;$I76)*(1-AP$12)</f>
        <v>0</v>
      </c>
      <c r="AQ76" s="747">
        <f>$G76*$H76*(1+$K76)^MAX(ROUNDUP(IFERROR(DATEDIF($I58-1,AQ$15+1,"m"),)/12,)-1,)*Index!AM$23*(AQ$15&gt;$I76)*(1-AQ$12)</f>
        <v>0</v>
      </c>
      <c r="AR76" s="747">
        <f>$G76*$H76*(1+$K76)^MAX(ROUNDUP(IFERROR(DATEDIF($I58-1,AR$15+1,"m"),)/12,)-1,)*Index!AN$23*(AR$15&gt;$I76)*(1-AR$12)</f>
        <v>0</v>
      </c>
      <c r="AS76" s="747">
        <f>$G76*$H76*(1+$K76)^MAX(ROUNDUP(IFERROR(DATEDIF($I58-1,AS$15+1,"m"),)/12,)-1,)*Index!AO$23*(AS$15&gt;$I76)*(1-AS$12)</f>
        <v>0</v>
      </c>
      <c r="AT76" s="747">
        <f>$G76*$H76*(1+$K76)^MAX(ROUNDUP(IFERROR(DATEDIF($I58-1,AT$15+1,"m"),)/12,)-1,)*Index!AP$23*(AT$15&gt;$I76)*(1-AT$12)</f>
        <v>0</v>
      </c>
      <c r="AU76" s="747">
        <f>$G76*$H76*(1+$K76)^MAX(ROUNDUP(IFERROR(DATEDIF($I58-1,AU$15+1,"m"),)/12,)-1,)*Index!AQ$23*(AU$15&gt;$I76)*(1-AU$12)</f>
        <v>0</v>
      </c>
      <c r="AV76" s="747">
        <f>$G76*$H76*(1+$K76)^MAX(ROUNDUP(IFERROR(DATEDIF($I58-1,AV$15+1,"m"),)/12,)-1,)*Index!AR$23*(AV$15&gt;$I76)*(1-AV$12)</f>
        <v>0</v>
      </c>
      <c r="AW76" s="747">
        <f>$G76*$H76*(1+$K76)^MAX(ROUNDUP(IFERROR(DATEDIF($I58-1,AW$15+1,"m"),)/12,)-1,)*Index!AS$23*(AW$15&gt;$I76)*(1-AW$12)</f>
        <v>0</v>
      </c>
      <c r="AX76" s="747">
        <f>$G76*$H76*(1+$K76)^MAX(ROUNDUP(IFERROR(DATEDIF($I58-1,AX$15+1,"m"),)/12,)-1,)*Index!AT$23*(AX$15&gt;$I76)*(1-AX$12)</f>
        <v>0</v>
      </c>
      <c r="AY76" s="747">
        <f>$G76*$H76*(1+$K76)^MAX(ROUNDUP(IFERROR(DATEDIF($I58-1,AY$15+1,"m"),)/12,)-1,)*Index!AU$23*(AY$15&gt;$I76)*(1-AY$12)</f>
        <v>0</v>
      </c>
      <c r="AZ76" s="747">
        <f>$G76*$H76*(1+$K76)^MAX(ROUNDUP(IFERROR(DATEDIF($I58-1,AZ$15+1,"m"),)/12,)-1,)*Index!AV$23*(AZ$15&gt;$I76)*(1-AZ$12)</f>
        <v>0</v>
      </c>
      <c r="BA76" s="747">
        <f>$G76*$H76*(1+$K76)^MAX(ROUNDUP(IFERROR(DATEDIF($I58-1,BA$15+1,"m"),)/12,)-1,)*Index!AW$23*(BA$15&gt;$I76)*(1-BA$12)</f>
        <v>0</v>
      </c>
      <c r="BB76" s="747">
        <f>$G76*$H76*(1+$K76)^MAX(ROUNDUP(IFERROR(DATEDIF($I58-1,BB$15+1,"m"),)/12,)-1,)*Index!AX$23*(BB$15&gt;$I76)*(1-BB$12)</f>
        <v>0</v>
      </c>
      <c r="BC76" s="747">
        <f>$G76*$H76*(1+$K76)^MAX(ROUNDUP(IFERROR(DATEDIF($I58-1,BC$15+1,"m"),)/12,)-1,)*Index!AY$23*(BC$15&gt;$I76)*(1-BC$12)</f>
        <v>0</v>
      </c>
      <c r="BD76" s="747">
        <f>$G76*$H76*(1+$K76)^MAX(ROUNDUP(IFERROR(DATEDIF($I58-1,BD$15+1,"m"),)/12,)-1,)*Index!AZ$23*(BD$15&gt;$I76)*(1-BD$12)</f>
        <v>0</v>
      </c>
      <c r="BE76" s="747">
        <f>$G76*$H76*(1+$K76)^MAX(ROUNDUP(IFERROR(DATEDIF($I58-1,BE$15+1,"m"),)/12,)-1,)*Index!BA$23*(BE$15&gt;$I76)*(1-BE$12)</f>
        <v>0</v>
      </c>
      <c r="BF76" s="747">
        <f>$G76*$H76*(1+$K76)^MAX(ROUNDUP(IFERROR(DATEDIF($I58-1,BF$15+1,"m"),)/12,)-1,)*Index!BB$23*(BF$15&gt;$I76)*(1-BF$12)</f>
        <v>0</v>
      </c>
      <c r="BG76" s="747">
        <f>$G76*$H76*(1+$K76)^MAX(ROUNDUP(IFERROR(DATEDIF($I58-1,BG$15+1,"m"),)/12,)-1,)*Index!BC$23*(BG$15&gt;$I76)*(1-BG$12)</f>
        <v>0</v>
      </c>
      <c r="BH76" s="747">
        <f>$G76*$H76*(1+$K76)^MAX(ROUNDUP(IFERROR(DATEDIF($I58-1,BH$15+1,"m"),)/12,)-1,)*Index!BD$23*(BH$15&gt;$I76)*(1-BH$12)</f>
        <v>0</v>
      </c>
      <c r="BI76" s="747">
        <f>$G76*$H76*(1+$K76)^MAX(ROUNDUP(IFERROR(DATEDIF($I58-1,BI$15+1,"m"),)/12,)-1,)*Index!BE$23*(BI$15&gt;$I76)*(1-BI$12)</f>
        <v>0</v>
      </c>
      <c r="BJ76" s="747">
        <f>$G76*$H76*(1+$K76)^MAX(ROUNDUP(IFERROR(DATEDIF($I58-1,BJ$15+1,"m"),)/12,)-1,)*Index!BF$23*(BJ$15&gt;$I76)*(1-BJ$12)</f>
        <v>0</v>
      </c>
      <c r="BK76" s="747">
        <f>$G76*$H76*(1+$K76)^MAX(ROUNDUP(IFERROR(DATEDIF($I58-1,BK$15+1,"m"),)/12,)-1,)*Index!BG$23*(BK$15&gt;$I76)*(1-BK$12)</f>
        <v>0</v>
      </c>
      <c r="BL76" s="747">
        <f>$G76*$H76*(1+$K76)^MAX(ROUNDUP(IFERROR(DATEDIF($I58-1,BL$15+1,"m"),)/12,)-1,)*Index!BH$23*(BL$15&gt;$I76)*(1-BL$12)</f>
        <v>0</v>
      </c>
      <c r="BM76" s="747">
        <f>$G76*$H76*(1+$K76)^MAX(ROUNDUP(IFERROR(DATEDIF($I58-1,BM$15+1,"m"),)/12,)-1,)*Index!BI$23*(BM$15&gt;$I76)*(1-BM$12)</f>
        <v>0</v>
      </c>
      <c r="BN76" s="747">
        <f>$G76*$H76*(1+$K76)^MAX(ROUNDUP(IFERROR(DATEDIF($I58-1,BN$15+1,"m"),)/12,)-1,)*Index!BJ$23*(BN$15&gt;$I76)*(1-BN$12)</f>
        <v>0</v>
      </c>
      <c r="BO76" s="747">
        <f>$G76*$H76*(1+$K76)^MAX(ROUNDUP(IFERROR(DATEDIF($I58-1,BO$15+1,"m"),)/12,)-1,)*Index!BK$23*(BO$15&gt;$I76)*(1-BO$12)</f>
        <v>0</v>
      </c>
      <c r="BP76" s="747">
        <f>$G76*$H76*(1+$K76)^MAX(ROUNDUP(IFERROR(DATEDIF($I58-1,BP$15+1,"m"),)/12,)-1,)*Index!BL$23*(BP$15&gt;$I76)*(1-BP$12)</f>
        <v>0</v>
      </c>
      <c r="BQ76" s="747">
        <f>$G76*$H76*(1+$K76)^MAX(ROUNDUP(IFERROR(DATEDIF($I58-1,BQ$15+1,"m"),)/12,)-1,)*Index!BM$23*(BQ$15&gt;$I76)*(1-BQ$12)</f>
        <v>0</v>
      </c>
      <c r="BR76" s="747">
        <f>$G76*$H76*(1+$K76)^MAX(ROUNDUP(IFERROR(DATEDIF($I58-1,BR$15+1,"m"),)/12,)-1,)*Index!BN$23*(BR$15&gt;$I76)*(1-BR$12)</f>
        <v>0</v>
      </c>
      <c r="BS76" s="747">
        <f>$G76*$H76*(1+$K76)^MAX(ROUNDUP(IFERROR(DATEDIF($I58-1,BS$15+1,"m"),)/12,)-1,)*Index!BO$23*(BS$15&gt;$I76)*(1-BS$12)</f>
        <v>0</v>
      </c>
      <c r="BT76" s="747">
        <f>$G76*$H76*(1+$K76)^MAX(ROUNDUP(IFERROR(DATEDIF($I58-1,BT$15+1,"m"),)/12,)-1,)*Index!BP$23*(BT$15&gt;$I76)*(1-BT$12)</f>
        <v>0</v>
      </c>
      <c r="BU76" s="747">
        <f>$G76*$H76*(1+$K76)^MAX(ROUNDUP(IFERROR(DATEDIF($I58-1,BU$15+1,"m"),)/12,)-1,)*Index!BQ$23*(BU$15&gt;$I76)*(1-BU$12)</f>
        <v>0</v>
      </c>
      <c r="BV76" s="747">
        <f>$G76*$H76*(1+$K76)^MAX(ROUNDUP(IFERROR(DATEDIF($I58-1,BV$15+1,"m"),)/12,)-1,)*Index!BR$23*(BV$15&gt;$I76)*(1-BV$12)</f>
        <v>0</v>
      </c>
      <c r="BW76" s="747">
        <f>$G76*$H76*(1+$K76)^MAX(ROUNDUP(IFERROR(DATEDIF($I58-1,BW$15+1,"m"),)/12,)-1,)*Index!BS$23*(BW$15&gt;$I76)*(1-BW$12)</f>
        <v>0</v>
      </c>
      <c r="BX76" s="747">
        <f>$G76*$H76*(1+$K76)^MAX(ROUNDUP(IFERROR(DATEDIF($I58-1,BX$15+1,"m"),)/12,)-1,)*Index!BT$23*(BX$15&gt;$I76)*(1-BX$12)</f>
        <v>0</v>
      </c>
      <c r="BY76" s="747">
        <f>$G76*$H76*(1+$K76)^MAX(ROUNDUP(IFERROR(DATEDIF($I58-1,BY$15+1,"m"),)/12,)-1,)*Index!BU$23*(BY$15&gt;$I76)*(1-BY$12)</f>
        <v>0</v>
      </c>
      <c r="BZ76" s="747">
        <f>$G76*$H76*(1+$K76)^MAX(ROUNDUP(IFERROR(DATEDIF($I58-1,BZ$15+1,"m"),)/12,)-1,)*Index!BV$23*(BZ$15&gt;$I76)*(1-BZ$12)</f>
        <v>0</v>
      </c>
      <c r="CA76" s="747">
        <f>$G76*$H76*(1+$K76)^MAX(ROUNDUP(IFERROR(DATEDIF($I58-1,CA$15+1,"m"),)/12,)-1,)*Index!BW$23*(CA$15&gt;$I76)*(1-CA$12)</f>
        <v>0</v>
      </c>
      <c r="CB76" s="747">
        <f>$G76*$H76*(1+$K76)^MAX(ROUNDUP(IFERROR(DATEDIF($I58-1,CB$15+1,"m"),)/12,)-1,)*Index!BX$23*(CB$15&gt;$I76)*(1-CB$12)</f>
        <v>0</v>
      </c>
      <c r="CC76" s="747">
        <f>$G76*$H76*(1+$K76)^MAX(ROUNDUP(IFERROR(DATEDIF($I58-1,CC$15+1,"m"),)/12,)-1,)*Index!BY$23*(CC$15&gt;$I76)*(1-CC$12)</f>
        <v>0</v>
      </c>
      <c r="CD76" s="747">
        <f>$G76*$H76*(1+$K76)^MAX(ROUNDUP(IFERROR(DATEDIF($I58-1,CD$15+1,"m"),)/12,)-1,)*Index!BZ$23*(CD$15&gt;$I76)*(1-CD$12)</f>
        <v>0</v>
      </c>
      <c r="CE76" s="747">
        <f>$G76*$H76*(1+$K76)^MAX(ROUNDUP(IFERROR(DATEDIF($I58-1,CE$15+1,"m"),)/12,)-1,)*Index!CA$23*(CE$15&gt;$I76)*(1-CE$12)</f>
        <v>0</v>
      </c>
      <c r="CF76" s="747">
        <f>$G76*$H76*(1+$K76)^MAX(ROUNDUP(IFERROR(DATEDIF($I58-1,CF$15+1,"m"),)/12,)-1,)*Index!CB$23*(CF$15&gt;$I76)*(1-CF$12)</f>
        <v>0</v>
      </c>
      <c r="CG76" s="747">
        <f>$G76*$H76*(1+$K76)^MAX(ROUNDUP(IFERROR(DATEDIF($I58-1,CG$15+1,"m"),)/12,)-1,)*Index!CC$23*(CG$15&gt;$I76)*(1-CG$12)</f>
        <v>0</v>
      </c>
      <c r="CH76" s="747">
        <f>$G76*$H76*(1+$K76)^MAX(ROUNDUP(IFERROR(DATEDIF($I58-1,CH$15+1,"m"),)/12,)-1,)*Index!CD$23*(CH$15&gt;$I76)*(1-CH$12)</f>
        <v>0</v>
      </c>
      <c r="CI76" s="747">
        <f>$G76*$H76*(1+$K76)^MAX(ROUNDUP(IFERROR(DATEDIF($I58-1,CI$15+1,"m"),)/12,)-1,)*Index!CE$23*(CI$15&gt;$I76)*(1-CI$12)</f>
        <v>0</v>
      </c>
      <c r="CJ76" s="747">
        <f>$G76*$H76*(1+$K76)^MAX(ROUNDUP(IFERROR(DATEDIF($I58-1,CJ$15+1,"m"),)/12,)-1,)*Index!CF$23*(CJ$15&gt;$I76)*(1-CJ$12)</f>
        <v>0</v>
      </c>
      <c r="CK76" s="747">
        <f>$G76*$H76*(1+$K76)^MAX(ROUNDUP(IFERROR(DATEDIF($I58-1,CK$15+1,"m"),)/12,)-1,)*Index!CG$23*(CK$15&gt;$I76)*(1-CK$12)</f>
        <v>0</v>
      </c>
      <c r="CL76" s="747">
        <f>$G76*$H76*(1+$K76)^MAX(ROUNDUP(IFERROR(DATEDIF($I58-1,CL$15+1,"m"),)/12,)-1,)*Index!CH$23*(CL$15&gt;$I76)*(1-CL$12)</f>
        <v>0</v>
      </c>
      <c r="CM76" s="747">
        <f>$G76*$H76*(1+$K76)^MAX(ROUNDUP(IFERROR(DATEDIF($I58-1,CM$15+1,"m"),)/12,)-1,)*Index!CI$23*(CM$15&gt;$I76)*(1-CM$12)</f>
        <v>0</v>
      </c>
      <c r="CN76" s="747">
        <f>$G76*$H76*(1+$K76)^MAX(ROUNDUP(IFERROR(DATEDIF($I58-1,CN$15+1,"m"),)/12,)-1,)*Index!CJ$23*(CN$15&gt;$I76)*(1-CN$12)</f>
        <v>0</v>
      </c>
      <c r="CO76" s="747">
        <f>$G76*$H76*(1+$K76)^MAX(ROUNDUP(IFERROR(DATEDIF($I58-1,CO$15+1,"m"),)/12,)-1,)*Index!CK$23*(CO$15&gt;$I76)*(1-CO$12)</f>
        <v>0</v>
      </c>
      <c r="CP76" s="747">
        <f>$G76*$H76*(1+$K76)^MAX(ROUNDUP(IFERROR(DATEDIF($I58-1,CP$15+1,"m"),)/12,)-1,)*Index!CL$23*(CP$15&gt;$I76)*(1-CP$12)</f>
        <v>0</v>
      </c>
      <c r="CQ76" s="747">
        <f>$G76*$H76*(1+$K76)^MAX(ROUNDUP(IFERROR(DATEDIF($I58-1,CQ$15+1,"m"),)/12,)-1,)*Index!CM$23*(CQ$15&gt;$I76)*(1-CQ$12)</f>
        <v>0</v>
      </c>
      <c r="CR76" s="747">
        <f>$G76*$H76*(1+$K76)^MAX(ROUNDUP(IFERROR(DATEDIF($I58-1,CR$15+1,"m"),)/12,)-1,)*Index!CN$23*(CR$15&gt;$I76)*(1-CR$12)</f>
        <v>0</v>
      </c>
      <c r="CS76" s="747">
        <f>$G76*$H76*(1+$K76)^MAX(ROUNDUP(IFERROR(DATEDIF($I58-1,CS$15+1,"m"),)/12,)-1,)*Index!CO$23*(CS$15&gt;$I76)*(1-CS$12)</f>
        <v>0</v>
      </c>
      <c r="CT76" s="747">
        <f>$G76*$H76*(1+$K76)^MAX(ROUNDUP(IFERROR(DATEDIF($I58-1,CT$15+1,"m"),)/12,)-1,)*Index!CP$23*(CT$15&gt;$I76)*(1-CT$12)</f>
        <v>0</v>
      </c>
      <c r="CU76" s="747">
        <f>$G76*$H76*(1+$K76)^MAX(ROUNDUP(IFERROR(DATEDIF($I58-1,CU$15+1,"m"),)/12,)-1,)*Index!CQ$23*(CU$15&gt;$I76)*(1-CU$12)</f>
        <v>0</v>
      </c>
      <c r="CV76" s="747">
        <f>$G76*$H76*(1+$K76)^MAX(ROUNDUP(IFERROR(DATEDIF($I58-1,CV$15+1,"m"),)/12,)-1,)*Index!CR$23*(CV$15&gt;$I76)*(1-CV$12)</f>
        <v>0</v>
      </c>
      <c r="CW76" s="747">
        <f>$G76*$H76*(1+$K76)^MAX(ROUNDUP(IFERROR(DATEDIF($I58-1,CW$15+1,"m"),)/12,)-1,)*Index!CS$23*(CW$15&gt;$I76)*(1-CW$12)</f>
        <v>0</v>
      </c>
      <c r="CX76" s="747">
        <f>$G76*$H76*(1+$K76)^MAX(ROUNDUP(IFERROR(DATEDIF($I58-1,CX$15+1,"m"),)/12,)-1,)*Index!CT$23*(CX$15&gt;$I76)*(1-CX$12)</f>
        <v>0</v>
      </c>
      <c r="CY76" s="747">
        <f>$G76*$H76*(1+$K76)^MAX(ROUNDUP(IFERROR(DATEDIF($I58-1,CY$15+1,"m"),)/12,)-1,)*Index!CU$23*(CY$15&gt;$I76)*(1-CY$12)</f>
        <v>0</v>
      </c>
      <c r="CZ76" s="747">
        <f>$G76*$H76*(1+$K76)^MAX(ROUNDUP(IFERROR(DATEDIF($I58-1,CZ$15+1,"m"),)/12,)-1,)*Index!CV$23*(CZ$15&gt;$I76)*(1-CZ$12)</f>
        <v>0</v>
      </c>
      <c r="DA76" s="747">
        <f>$G76*$H76*(1+$K76)^MAX(ROUNDUP(IFERROR(DATEDIF($I58-1,DA$15+1,"m"),)/12,)-1,)*Index!CW$23*(DA$15&gt;$I76)*(1-DA$12)</f>
        <v>0</v>
      </c>
      <c r="DB76" s="747">
        <f>$G76*$H76*(1+$K76)^MAX(ROUNDUP(IFERROR(DATEDIF($I58-1,DB$15+1,"m"),)/12,)-1,)*Index!CX$23*(DB$15&gt;$I76)*(1-DB$12)</f>
        <v>0</v>
      </c>
      <c r="DC76" s="747">
        <f>$G76*$H76*(1+$K76)^MAX(ROUNDUP(IFERROR(DATEDIF($I58-1,DC$15+1,"m"),)/12,)-1,)*Index!CY$23*(DC$15&gt;$I76)*(1-DC$12)</f>
        <v>0</v>
      </c>
      <c r="DD76" s="747">
        <f>$G76*$H76*(1+$K76)^MAX(ROUNDUP(IFERROR(DATEDIF($I58-1,DD$15+1,"m"),)/12,)-1,)*Index!CZ$23*(DD$15&gt;$I76)*(1-DD$12)</f>
        <v>0</v>
      </c>
      <c r="DE76" s="747">
        <f>$G76*$H76*(1+$K76)^MAX(ROUNDUP(IFERROR(DATEDIF($I58-1,DE$15+1,"m"),)/12,)-1,)*Index!DA$23*(DE$15&gt;$I76)*(1-DE$12)</f>
        <v>0</v>
      </c>
      <c r="DF76" s="747">
        <f>$G76*$H76*(1+$K76)^MAX(ROUNDUP(IFERROR(DATEDIF($I58-1,DF$15+1,"m"),)/12,)-1,)*Index!DB$23*(DF$15&gt;$I76)*(1-DF$12)</f>
        <v>0</v>
      </c>
      <c r="DG76" s="747">
        <f>$G76*$H76*(1+$K76)^MAX(ROUNDUP(IFERROR(DATEDIF($I58-1,DG$15+1,"m"),)/12,)-1,)*Index!DC$23*(DG$15&gt;$I76)*(1-DG$12)</f>
        <v>0</v>
      </c>
      <c r="DH76" s="747">
        <f>$G76*$H76*(1+$K76)^MAX(ROUNDUP(IFERROR(DATEDIF($I58-1,DH$15+1,"m"),)/12,)-1,)*Index!DD$23*(DH$15&gt;$I76)*(1-DH$12)</f>
        <v>0</v>
      </c>
      <c r="DI76" s="747">
        <f>$G76*$H76*(1+$K76)^MAX(ROUNDUP(IFERROR(DATEDIF($I58-1,DI$15+1,"m"),)/12,)-1,)*Index!DE$23*(DI$15&gt;$I76)*(1-DI$12)</f>
        <v>0</v>
      </c>
      <c r="DJ76" s="747">
        <f>$G76*$H76*(1+$K76)^MAX(ROUNDUP(IFERROR(DATEDIF($I58-1,DJ$15+1,"m"),)/12,)-1,)*Index!DF$23*(DJ$15&gt;$I76)*(1-DJ$12)</f>
        <v>0</v>
      </c>
      <c r="DK76" s="747">
        <f>$G76*$H76*(1+$K76)^MAX(ROUNDUP(IFERROR(DATEDIF($I58-1,DK$15+1,"m"),)/12,)-1,)*Index!DG$23*(DK$15&gt;$I76)*(1-DK$12)</f>
        <v>0</v>
      </c>
      <c r="DL76" s="747">
        <f>$G76*$H76*(1+$K76)^MAX(ROUNDUP(IFERROR(DATEDIF($I58-1,DL$15+1,"m"),)/12,)-1,)*Index!DH$23*(DL$15&gt;$I76)*(1-DL$12)</f>
        <v>0</v>
      </c>
      <c r="DM76" s="747">
        <f>$G76*$H76*(1+$K76)^MAX(ROUNDUP(IFERROR(DATEDIF($I58-1,DM$15+1,"m"),)/12,)-1,)*Index!DI$23*(DM$15&gt;$I76)*(1-DM$12)</f>
        <v>0</v>
      </c>
      <c r="DN76" s="747">
        <f>$G76*$H76*(1+$K76)^MAX(ROUNDUP(IFERROR(DATEDIF($I58-1,DN$15+1,"m"),)/12,)-1,)*Index!DJ$23*(DN$15&gt;$I76)*(1-DN$12)</f>
        <v>0</v>
      </c>
      <c r="DO76" s="747">
        <f>$G76*$H76*(1+$K76)^MAX(ROUNDUP(IFERROR(DATEDIF($I58-1,DO$15+1,"m"),)/12,)-1,)*Index!DK$23*(DO$15&gt;$I76)*(1-DO$12)</f>
        <v>0</v>
      </c>
      <c r="DP76" s="747">
        <f>$G76*$H76*(1+$K76)^MAX(ROUNDUP(IFERROR(DATEDIF($I58-1,DP$15+1,"m"),)/12,)-1,)*Index!DL$23*(DP$15&gt;$I76)*(1-DP$12)</f>
        <v>0</v>
      </c>
      <c r="DQ76" s="747">
        <f>$G76*$H76*(1+$K76)^MAX(ROUNDUP(IFERROR(DATEDIF($I58-1,DQ$15+1,"m"),)/12,)-1,)*Index!DM$23*(DQ$15&gt;$I76)*(1-DQ$12)</f>
        <v>0</v>
      </c>
      <c r="DR76" s="747">
        <f>$G76*$H76*(1+$K76)^MAX(ROUNDUP(IFERROR(DATEDIF($I58-1,DR$15+1,"m"),)/12,)-1,)*Index!DN$23*(DR$15&gt;$I76)*(1-DR$12)</f>
        <v>0</v>
      </c>
      <c r="DS76" s="747">
        <f>$G76*$H76*(1+$K76)^MAX(ROUNDUP(IFERROR(DATEDIF($I58-1,DS$15+1,"m"),)/12,)-1,)*Index!DO$23*(DS$15&gt;$I76)*(1-DS$12)</f>
        <v>0</v>
      </c>
      <c r="DT76" s="747">
        <f>$G76*$H76*(1+$K76)^MAX(ROUNDUP(IFERROR(DATEDIF($I58-1,DT$15+1,"m"),)/12,)-1,)*Index!DP$23*(DT$15&gt;$I76)*(1-DT$12)</f>
        <v>0</v>
      </c>
      <c r="DU76" s="747">
        <f>$G76*$H76*(1+$K76)^MAX(ROUNDUP(IFERROR(DATEDIF($I58-1,DU$15+1,"m"),)/12,)-1,)*Index!DQ$23*(DU$15&gt;$I76)*(1-DU$12)</f>
        <v>0</v>
      </c>
      <c r="DV76" s="747">
        <f>$G76*$H76*(1+$K76)^MAX(ROUNDUP(IFERROR(DATEDIF($I58-1,DV$15+1,"m"),)/12,)-1,)*Index!DR$23*(DV$15&gt;$I76)*(1-DV$12)</f>
        <v>0</v>
      </c>
      <c r="DW76" s="747">
        <f>$G76*$H76*(1+$K76)^MAX(ROUNDUP(IFERROR(DATEDIF($I58-1,DW$15+1,"m"),)/12,)-1,)*Index!DS$23*(DW$15&gt;$I76)*(1-DW$12)</f>
        <v>0</v>
      </c>
      <c r="DX76" s="747">
        <f>$G76*$H76*(1+$K76)^MAX(ROUNDUP(IFERROR(DATEDIF($I58-1,DX$15+1,"m"),)/12,)-1,)*Index!DT$23*(DX$15&gt;$I76)*(1-DX$12)</f>
        <v>0</v>
      </c>
      <c r="DY76" s="747">
        <f>$G76*$H76*(1+$K76)^MAX(ROUNDUP(IFERROR(DATEDIF($I58-1,DY$15+1,"m"),)/12,)-1,)*Index!DU$23*(DY$15&gt;$I76)*(1-DY$12)</f>
        <v>0</v>
      </c>
      <c r="DZ76" s="747">
        <f>$G76*$H76*(1+$K76)^MAX(ROUNDUP(IFERROR(DATEDIF($I58-1,DZ$15+1,"m"),)/12,)-1,)*Index!DV$23*(DZ$15&gt;$I76)*(1-DZ$12)</f>
        <v>0</v>
      </c>
      <c r="EA76" s="747">
        <f>$G76*$H76*(1+$K76)^MAX(ROUNDUP(IFERROR(DATEDIF($I58-1,EA$15+1,"m"),)/12,)-1,)*Index!DW$23*(EA$15&gt;$I76)*(1-EA$12)</f>
        <v>0</v>
      </c>
      <c r="EB76" s="747">
        <f>$G76*$H76*(1+$K76)^MAX(ROUNDUP(IFERROR(DATEDIF($I58-1,EB$15+1,"m"),)/12,)-1,)*Index!DX$23*(EB$15&gt;$I76)*(1-EB$12)</f>
        <v>0</v>
      </c>
      <c r="EC76" s="747">
        <f>$G76*$H76*(1+$K76)^MAX(ROUNDUP(IFERROR(DATEDIF($I58-1,EC$15+1,"m"),)/12,)-1,)*Index!DY$23*(EC$15&gt;$I76)*(1-EC$12)</f>
        <v>0</v>
      </c>
      <c r="ED76" s="747">
        <f>$G76*$H76*(1+$K76)^MAX(ROUNDUP(IFERROR(DATEDIF($I58-1,ED$15+1,"m"),)/12,)-1,)*Index!DZ$23*(ED$15&gt;$I76)*(1-ED$12)</f>
        <v>0</v>
      </c>
      <c r="EE76" s="747">
        <f>$G76*$H76*(1+$K76)^MAX(ROUNDUP(IFERROR(DATEDIF($I58-1,EE$15+1,"m"),)/12,)-1,)*Index!EA$23*(EE$15&gt;$I76)*(1-EE$12)</f>
        <v>0</v>
      </c>
      <c r="EF76" s="747">
        <f>$G76*$H76*(1+$K76)^MAX(ROUNDUP(IFERROR(DATEDIF($I58-1,EF$15+1,"m"),)/12,)-1,)*Index!EB$23*(EF$15&gt;$I76)*(1-EF$12)</f>
        <v>0</v>
      </c>
      <c r="EG76" s="747">
        <f>$G76*$H76*(1+$K76)^MAX(ROUNDUP(IFERROR(DATEDIF($I58-1,EG$15+1,"m"),)/12,)-1,)*Index!EC$23*(EG$15&gt;$I76)*(1-EG$12)</f>
        <v>120308.55762666812</v>
      </c>
      <c r="EH76" s="747">
        <f>$G76*$H76*(1+$K76)^MAX(ROUNDUP(IFERROR(DATEDIF($I58-1,EH$15+1,"m"),)/12,)-1,)*Index!ED$23*(EH$15&gt;$I76)*(1-EH$12)</f>
        <v>120308.55762666812</v>
      </c>
      <c r="EI76" s="747">
        <f>$G76*$H76*(1+$K76)^MAX(ROUNDUP(IFERROR(DATEDIF($I58-1,EI$15+1,"m"),)/12,)-1,)*Index!EE$23*(EI$15&gt;$I76)*(1-EI$12)</f>
        <v>120308.55762666812</v>
      </c>
      <c r="EJ76" s="747">
        <f>$G76*$H76*(1+$K76)^MAX(ROUNDUP(IFERROR(DATEDIF($I58-1,EJ$15+1,"m"),)/12,)-1,)*Index!EF$23*(EJ$15&gt;$I76)*(1-EJ$12)</f>
        <v>123316.27156733481</v>
      </c>
      <c r="EK76" s="747">
        <f>$G76*$H76*(1+$K76)^MAX(ROUNDUP(IFERROR(DATEDIF($I58-1,EK$15+1,"m"),)/12,)-1,)*Index!EG$23*(EK$15&gt;$I76)*(1-EK$12)</f>
        <v>123316.27156733481</v>
      </c>
      <c r="EL76" s="747">
        <f>$G76*$H76*(1+$K76)^MAX(ROUNDUP(IFERROR(DATEDIF($I58-1,EL$15+1,"m"),)/12,)-1,)*Index!EH$23*(EL$15&gt;$I76)*(1-EL$12)</f>
        <v>123316.27156733481</v>
      </c>
      <c r="EM76" s="747">
        <f>$G76*$H76*(1+$K76)^MAX(ROUNDUP(IFERROR(DATEDIF($I58-1,EM$15+1,"m"),)/12,)-1,)*Index!EI$23*(EM$15&gt;$I76)*(1-EM$12)</f>
        <v>123316.27156733481</v>
      </c>
      <c r="EN76" s="747">
        <f>$G76*$H76*(1+$K76)^MAX(ROUNDUP(IFERROR(DATEDIF($I58-1,EN$15+1,"m"),)/12,)-1,)*Index!EJ$23*(EN$15&gt;$I76)*(1-EN$12)</f>
        <v>123316.27156733481</v>
      </c>
      <c r="EO76" s="747">
        <f>$G76*$H76*(1+$K76)^MAX(ROUNDUP(IFERROR(DATEDIF($I58-1,EO$15+1,"m"),)/12,)-1,)*Index!EK$23*(EO$15&gt;$I76)*(1-EO$12)</f>
        <v>123316.27156733481</v>
      </c>
      <c r="EP76" s="747">
        <f>$G76*$H76*(1+$K76)^MAX(ROUNDUP(IFERROR(DATEDIF($I58-1,EP$15+1,"m"),)/12,)-1,)*Index!EL$23*(EP$15&gt;$I76)*(1-EP$12)</f>
        <v>123316.27156733481</v>
      </c>
      <c r="EQ76" s="747">
        <f>$G76*$H76*(1+$K76)^MAX(ROUNDUP(IFERROR(DATEDIF($I58-1,EQ$15+1,"m"),)/12,)-1,)*Index!EM$23*(EQ$15&gt;$I76)*(1-EQ$12)</f>
        <v>123316.27156733481</v>
      </c>
      <c r="ER76" s="747">
        <f>$G76*$H76*(1+$K76)^MAX(ROUNDUP(IFERROR(DATEDIF($I58-1,ER$15+1,"m"),)/12,)-1,)*Index!EN$23*(ER$15&gt;$I76)*(1-ER$12)</f>
        <v>123316.27156733481</v>
      </c>
      <c r="ES76" s="747">
        <f>$G76*$H76*(1+$K76)^MAX(ROUNDUP(IFERROR(DATEDIF($I58-1,ES$15+1,"m"),)/12,)-1,)*Index!EO$23*(ES$15&gt;$I76)*(1-ES$12)</f>
        <v>0</v>
      </c>
      <c r="ET76" s="747">
        <f>$G76*$H76*(1+$K76)^MAX(ROUNDUP(IFERROR(DATEDIF($I58-1,ET$15+1,"m"),)/12,)-1,)*Index!EP$23*(ET$15&gt;$I76)*(1-ET$12)</f>
        <v>0</v>
      </c>
      <c r="EU76" s="747">
        <f>$G76*$H76*(1+$K76)^MAX(ROUNDUP(IFERROR(DATEDIF($I58-1,EU$15+1,"m"),)/12,)-1,)*Index!EQ$23*(EU$15&gt;$I76)*(1-EU$12)</f>
        <v>0</v>
      </c>
    </row>
    <row r="77" spans="3:151" ht="11.25" customHeight="1">
      <c r="C77" s="828"/>
      <c r="D77" s="743">
        <f t="shared" si="40"/>
        <v>6</v>
      </c>
      <c r="E77" s="704" t="str">
        <f t="shared" si="40"/>
        <v>쿠팡</v>
      </c>
      <c r="F77" s="704" t="str">
        <f t="shared" si="40"/>
        <v>상온창고</v>
      </c>
      <c r="G77" s="752">
        <f t="shared" si="41"/>
        <v>57.698001860542107</v>
      </c>
      <c r="H77" s="744">
        <f t="shared" si="40"/>
        <v>2187.87</v>
      </c>
      <c r="I77" s="745">
        <f t="shared" si="42"/>
        <v>49064</v>
      </c>
      <c r="J77" s="745"/>
      <c r="K77" s="754">
        <f t="shared" si="43"/>
        <v>2.5000000000000001E-2</v>
      </c>
      <c r="L77" s="746"/>
      <c r="M77" s="722"/>
      <c r="N77" s="747">
        <f t="shared" si="44"/>
        <v>2075475.1561449138</v>
      </c>
      <c r="O77" s="733"/>
      <c r="P77" s="747">
        <f>$G77*$H77*(1+$K77)^MAX(ROUNDUP(IFERROR(DATEDIF($I59-1,P$15+1,"m"),)/12,)-1,)*Index!L$23*(P$15&gt;$I77)*(1-P$12)</f>
        <v>0</v>
      </c>
      <c r="Q77" s="747">
        <f>$G77*$H77*(1+$K77)^MAX(ROUNDUP(IFERROR(DATEDIF($I59-1,Q$15+1,"m"),)/12,)-1,)*Index!M$23*(Q$15&gt;$I77)*(1-Q$12)</f>
        <v>0</v>
      </c>
      <c r="R77" s="747">
        <f>$G77*$H77*(1+$K77)^MAX(ROUNDUP(IFERROR(DATEDIF($I59-1,R$15+1,"m"),)/12,)-1,)*Index!N$23*(R$15&gt;$I77)*(1-R$12)</f>
        <v>0</v>
      </c>
      <c r="S77" s="747">
        <f>$G77*$H77*(1+$K77)^MAX(ROUNDUP(IFERROR(DATEDIF($I59-1,S$15+1,"m"),)/12,)-1,)*Index!O$23*(S$15&gt;$I77)*(1-S$12)</f>
        <v>0</v>
      </c>
      <c r="T77" s="747">
        <f>$G77*$H77*(1+$K77)^MAX(ROUNDUP(IFERROR(DATEDIF($I59-1,T$15+1,"m"),)/12,)-1,)*Index!P$23*(T$15&gt;$I77)*(1-T$12)</f>
        <v>0</v>
      </c>
      <c r="U77" s="747">
        <f>$G77*$H77*(1+$K77)^MAX(ROUNDUP(IFERROR(DATEDIF($I59-1,U$15+1,"m"),)/12,)-1,)*Index!Q$23*(U$15&gt;$I77)*(1-U$12)</f>
        <v>0</v>
      </c>
      <c r="V77" s="747">
        <f>$G77*$H77*(1+$K77)^MAX(ROUNDUP(IFERROR(DATEDIF($I59-1,V$15+1,"m"),)/12,)-1,)*Index!R$23*(V$15&gt;$I77)*(1-V$12)</f>
        <v>0</v>
      </c>
      <c r="W77" s="747">
        <f>$G77*$H77*(1+$K77)^MAX(ROUNDUP(IFERROR(DATEDIF($I59-1,W$15+1,"m"),)/12,)-1,)*Index!S$23*(W$15&gt;$I77)*(1-W$12)</f>
        <v>0</v>
      </c>
      <c r="X77" s="747">
        <f>$G77*$H77*(1+$K77)^MAX(ROUNDUP(IFERROR(DATEDIF($I59-1,X$15+1,"m"),)/12,)-1,)*Index!T$23*(X$15&gt;$I77)*(1-X$12)</f>
        <v>0</v>
      </c>
      <c r="Y77" s="747">
        <f>$G77*$H77*(1+$K77)^MAX(ROUNDUP(IFERROR(DATEDIF($I59-1,Y$15+1,"m"),)/12,)-1,)*Index!U$23*(Y$15&gt;$I77)*(1-Y$12)</f>
        <v>0</v>
      </c>
      <c r="Z77" s="747">
        <f>$G77*$H77*(1+$K77)^MAX(ROUNDUP(IFERROR(DATEDIF($I59-1,Z$15+1,"m"),)/12,)-1,)*Index!V$23*(Z$15&gt;$I77)*(1-Z$12)</f>
        <v>0</v>
      </c>
      <c r="AA77" s="747">
        <f>$G77*$H77*(1+$K77)^MAX(ROUNDUP(IFERROR(DATEDIF($I59-1,AA$15+1,"m"),)/12,)-1,)*Index!W$23*(AA$15&gt;$I77)*(1-AA$12)</f>
        <v>0</v>
      </c>
      <c r="AB77" s="747">
        <f>$G77*$H77*(1+$K77)^MAX(ROUNDUP(IFERROR(DATEDIF($I59-1,AB$15+1,"m"),)/12,)-1,)*Index!X$23*(AB$15&gt;$I77)*(1-AB$12)</f>
        <v>0</v>
      </c>
      <c r="AC77" s="747">
        <f>$G77*$H77*(1+$K77)^MAX(ROUNDUP(IFERROR(DATEDIF($I59-1,AC$15+1,"m"),)/12,)-1,)*Index!Y$23*(AC$15&gt;$I77)*(1-AC$12)</f>
        <v>0</v>
      </c>
      <c r="AD77" s="747">
        <f>$G77*$H77*(1+$K77)^MAX(ROUNDUP(IFERROR(DATEDIF($I59-1,AD$15+1,"m"),)/12,)-1,)*Index!Z$23*(AD$15&gt;$I77)*(1-AD$12)</f>
        <v>0</v>
      </c>
      <c r="AE77" s="747">
        <f>$G77*$H77*(1+$K77)^MAX(ROUNDUP(IFERROR(DATEDIF($I59-1,AE$15+1,"m"),)/12,)-1,)*Index!AA$23*(AE$15&gt;$I77)*(1-AE$12)</f>
        <v>0</v>
      </c>
      <c r="AF77" s="747">
        <f>$G77*$H77*(1+$K77)^MAX(ROUNDUP(IFERROR(DATEDIF($I59-1,AF$15+1,"m"),)/12,)-1,)*Index!AB$23*(AF$15&gt;$I77)*(1-AF$12)</f>
        <v>0</v>
      </c>
      <c r="AG77" s="747">
        <f>$G77*$H77*(1+$K77)^MAX(ROUNDUP(IFERROR(DATEDIF($I59-1,AG$15+1,"m"),)/12,)-1,)*Index!AC$23*(AG$15&gt;$I77)*(1-AG$12)</f>
        <v>0</v>
      </c>
      <c r="AH77" s="747">
        <f>$G77*$H77*(1+$K77)^MAX(ROUNDUP(IFERROR(DATEDIF($I59-1,AH$15+1,"m"),)/12,)-1,)*Index!AD$23*(AH$15&gt;$I77)*(1-AH$12)</f>
        <v>0</v>
      </c>
      <c r="AI77" s="747">
        <f>$G77*$H77*(1+$K77)^MAX(ROUNDUP(IFERROR(DATEDIF($I59-1,AI$15+1,"m"),)/12,)-1,)*Index!AE$23*(AI$15&gt;$I77)*(1-AI$12)</f>
        <v>0</v>
      </c>
      <c r="AJ77" s="747">
        <f>$G77*$H77*(1+$K77)^MAX(ROUNDUP(IFERROR(DATEDIF($I59-1,AJ$15+1,"m"),)/12,)-1,)*Index!AF$23*(AJ$15&gt;$I77)*(1-AJ$12)</f>
        <v>0</v>
      </c>
      <c r="AK77" s="747">
        <f>$G77*$H77*(1+$K77)^MAX(ROUNDUP(IFERROR(DATEDIF($I59-1,AK$15+1,"m"),)/12,)-1,)*Index!AG$23*(AK$15&gt;$I77)*(1-AK$12)</f>
        <v>0</v>
      </c>
      <c r="AL77" s="747">
        <f>$G77*$H77*(1+$K77)^MAX(ROUNDUP(IFERROR(DATEDIF($I59-1,AL$15+1,"m"),)/12,)-1,)*Index!AH$23*(AL$15&gt;$I77)*(1-AL$12)</f>
        <v>0</v>
      </c>
      <c r="AM77" s="747">
        <f>$G77*$H77*(1+$K77)^MAX(ROUNDUP(IFERROR(DATEDIF($I59-1,AM$15+1,"m"),)/12,)-1,)*Index!AI$23*(AM$15&gt;$I77)*(1-AM$12)</f>
        <v>0</v>
      </c>
      <c r="AN77" s="747">
        <f>$G77*$H77*(1+$K77)^MAX(ROUNDUP(IFERROR(DATEDIF($I59-1,AN$15+1,"m"),)/12,)-1,)*Index!AJ$23*(AN$15&gt;$I77)*(1-AN$12)</f>
        <v>0</v>
      </c>
      <c r="AO77" s="747">
        <f>$G77*$H77*(1+$K77)^MAX(ROUNDUP(IFERROR(DATEDIF($I59-1,AO$15+1,"m"),)/12,)-1,)*Index!AK$23*(AO$15&gt;$I77)*(1-AO$12)</f>
        <v>0</v>
      </c>
      <c r="AP77" s="747">
        <f>$G77*$H77*(1+$K77)^MAX(ROUNDUP(IFERROR(DATEDIF($I59-1,AP$15+1,"m"),)/12,)-1,)*Index!AL$23*(AP$15&gt;$I77)*(1-AP$12)</f>
        <v>0</v>
      </c>
      <c r="AQ77" s="747">
        <f>$G77*$H77*(1+$K77)^MAX(ROUNDUP(IFERROR(DATEDIF($I59-1,AQ$15+1,"m"),)/12,)-1,)*Index!AM$23*(AQ$15&gt;$I77)*(1-AQ$12)</f>
        <v>0</v>
      </c>
      <c r="AR77" s="747">
        <f>$G77*$H77*(1+$K77)^MAX(ROUNDUP(IFERROR(DATEDIF($I59-1,AR$15+1,"m"),)/12,)-1,)*Index!AN$23*(AR$15&gt;$I77)*(1-AR$12)</f>
        <v>0</v>
      </c>
      <c r="AS77" s="747">
        <f>$G77*$H77*(1+$K77)^MAX(ROUNDUP(IFERROR(DATEDIF($I59-1,AS$15+1,"m"),)/12,)-1,)*Index!AO$23*(AS$15&gt;$I77)*(1-AS$12)</f>
        <v>0</v>
      </c>
      <c r="AT77" s="747">
        <f>$G77*$H77*(1+$K77)^MAX(ROUNDUP(IFERROR(DATEDIF($I59-1,AT$15+1,"m"),)/12,)-1,)*Index!AP$23*(AT$15&gt;$I77)*(1-AT$12)</f>
        <v>0</v>
      </c>
      <c r="AU77" s="747">
        <f>$G77*$H77*(1+$K77)^MAX(ROUNDUP(IFERROR(DATEDIF($I59-1,AU$15+1,"m"),)/12,)-1,)*Index!AQ$23*(AU$15&gt;$I77)*(1-AU$12)</f>
        <v>0</v>
      </c>
      <c r="AV77" s="747">
        <f>$G77*$H77*(1+$K77)^MAX(ROUNDUP(IFERROR(DATEDIF($I59-1,AV$15+1,"m"),)/12,)-1,)*Index!AR$23*(AV$15&gt;$I77)*(1-AV$12)</f>
        <v>0</v>
      </c>
      <c r="AW77" s="747">
        <f>$G77*$H77*(1+$K77)^MAX(ROUNDUP(IFERROR(DATEDIF($I59-1,AW$15+1,"m"),)/12,)-1,)*Index!AS$23*(AW$15&gt;$I77)*(1-AW$12)</f>
        <v>0</v>
      </c>
      <c r="AX77" s="747">
        <f>$G77*$H77*(1+$K77)^MAX(ROUNDUP(IFERROR(DATEDIF($I59-1,AX$15+1,"m"),)/12,)-1,)*Index!AT$23*(AX$15&gt;$I77)*(1-AX$12)</f>
        <v>0</v>
      </c>
      <c r="AY77" s="747">
        <f>$G77*$H77*(1+$K77)^MAX(ROUNDUP(IFERROR(DATEDIF($I59-1,AY$15+1,"m"),)/12,)-1,)*Index!AU$23*(AY$15&gt;$I77)*(1-AY$12)</f>
        <v>0</v>
      </c>
      <c r="AZ77" s="747">
        <f>$G77*$H77*(1+$K77)^MAX(ROUNDUP(IFERROR(DATEDIF($I59-1,AZ$15+1,"m"),)/12,)-1,)*Index!AV$23*(AZ$15&gt;$I77)*(1-AZ$12)</f>
        <v>0</v>
      </c>
      <c r="BA77" s="747">
        <f>$G77*$H77*(1+$K77)^MAX(ROUNDUP(IFERROR(DATEDIF($I59-1,BA$15+1,"m"),)/12,)-1,)*Index!AW$23*(BA$15&gt;$I77)*(1-BA$12)</f>
        <v>0</v>
      </c>
      <c r="BB77" s="747">
        <f>$G77*$H77*(1+$K77)^MAX(ROUNDUP(IFERROR(DATEDIF($I59-1,BB$15+1,"m"),)/12,)-1,)*Index!AX$23*(BB$15&gt;$I77)*(1-BB$12)</f>
        <v>0</v>
      </c>
      <c r="BC77" s="747">
        <f>$G77*$H77*(1+$K77)^MAX(ROUNDUP(IFERROR(DATEDIF($I59-1,BC$15+1,"m"),)/12,)-1,)*Index!AY$23*(BC$15&gt;$I77)*(1-BC$12)</f>
        <v>0</v>
      </c>
      <c r="BD77" s="747">
        <f>$G77*$H77*(1+$K77)^MAX(ROUNDUP(IFERROR(DATEDIF($I59-1,BD$15+1,"m"),)/12,)-1,)*Index!AZ$23*(BD$15&gt;$I77)*(1-BD$12)</f>
        <v>0</v>
      </c>
      <c r="BE77" s="747">
        <f>$G77*$H77*(1+$K77)^MAX(ROUNDUP(IFERROR(DATEDIF($I59-1,BE$15+1,"m"),)/12,)-1,)*Index!BA$23*(BE$15&gt;$I77)*(1-BE$12)</f>
        <v>0</v>
      </c>
      <c r="BF77" s="747">
        <f>$G77*$H77*(1+$K77)^MAX(ROUNDUP(IFERROR(DATEDIF($I59-1,BF$15+1,"m"),)/12,)-1,)*Index!BB$23*(BF$15&gt;$I77)*(1-BF$12)</f>
        <v>0</v>
      </c>
      <c r="BG77" s="747">
        <f>$G77*$H77*(1+$K77)^MAX(ROUNDUP(IFERROR(DATEDIF($I59-1,BG$15+1,"m"),)/12,)-1,)*Index!BC$23*(BG$15&gt;$I77)*(1-BG$12)</f>
        <v>0</v>
      </c>
      <c r="BH77" s="747">
        <f>$G77*$H77*(1+$K77)^MAX(ROUNDUP(IFERROR(DATEDIF($I59-1,BH$15+1,"m"),)/12,)-1,)*Index!BD$23*(BH$15&gt;$I77)*(1-BH$12)</f>
        <v>0</v>
      </c>
      <c r="BI77" s="747">
        <f>$G77*$H77*(1+$K77)^MAX(ROUNDUP(IFERROR(DATEDIF($I59-1,BI$15+1,"m"),)/12,)-1,)*Index!BE$23*(BI$15&gt;$I77)*(1-BI$12)</f>
        <v>0</v>
      </c>
      <c r="BJ77" s="747">
        <f>$G77*$H77*(1+$K77)^MAX(ROUNDUP(IFERROR(DATEDIF($I59-1,BJ$15+1,"m"),)/12,)-1,)*Index!BF$23*(BJ$15&gt;$I77)*(1-BJ$12)</f>
        <v>0</v>
      </c>
      <c r="BK77" s="747">
        <f>$G77*$H77*(1+$K77)^MAX(ROUNDUP(IFERROR(DATEDIF($I59-1,BK$15+1,"m"),)/12,)-1,)*Index!BG$23*(BK$15&gt;$I77)*(1-BK$12)</f>
        <v>0</v>
      </c>
      <c r="BL77" s="747">
        <f>$G77*$H77*(1+$K77)^MAX(ROUNDUP(IFERROR(DATEDIF($I59-1,BL$15+1,"m"),)/12,)-1,)*Index!BH$23*(BL$15&gt;$I77)*(1-BL$12)</f>
        <v>0</v>
      </c>
      <c r="BM77" s="747">
        <f>$G77*$H77*(1+$K77)^MAX(ROUNDUP(IFERROR(DATEDIF($I59-1,BM$15+1,"m"),)/12,)-1,)*Index!BI$23*(BM$15&gt;$I77)*(1-BM$12)</f>
        <v>0</v>
      </c>
      <c r="BN77" s="747">
        <f>$G77*$H77*(1+$K77)^MAX(ROUNDUP(IFERROR(DATEDIF($I59-1,BN$15+1,"m"),)/12,)-1,)*Index!BJ$23*(BN$15&gt;$I77)*(1-BN$12)</f>
        <v>0</v>
      </c>
      <c r="BO77" s="747">
        <f>$G77*$H77*(1+$K77)^MAX(ROUNDUP(IFERROR(DATEDIF($I59-1,BO$15+1,"m"),)/12,)-1,)*Index!BK$23*(BO$15&gt;$I77)*(1-BO$12)</f>
        <v>0</v>
      </c>
      <c r="BP77" s="747">
        <f>$G77*$H77*(1+$K77)^MAX(ROUNDUP(IFERROR(DATEDIF($I59-1,BP$15+1,"m"),)/12,)-1,)*Index!BL$23*(BP$15&gt;$I77)*(1-BP$12)</f>
        <v>0</v>
      </c>
      <c r="BQ77" s="747">
        <f>$G77*$H77*(1+$K77)^MAX(ROUNDUP(IFERROR(DATEDIF($I59-1,BQ$15+1,"m"),)/12,)-1,)*Index!BM$23*(BQ$15&gt;$I77)*(1-BQ$12)</f>
        <v>0</v>
      </c>
      <c r="BR77" s="747">
        <f>$G77*$H77*(1+$K77)^MAX(ROUNDUP(IFERROR(DATEDIF($I59-1,BR$15+1,"m"),)/12,)-1,)*Index!BN$23*(BR$15&gt;$I77)*(1-BR$12)</f>
        <v>0</v>
      </c>
      <c r="BS77" s="747">
        <f>$G77*$H77*(1+$K77)^MAX(ROUNDUP(IFERROR(DATEDIF($I59-1,BS$15+1,"m"),)/12,)-1,)*Index!BO$23*(BS$15&gt;$I77)*(1-BS$12)</f>
        <v>0</v>
      </c>
      <c r="BT77" s="747">
        <f>$G77*$H77*(1+$K77)^MAX(ROUNDUP(IFERROR(DATEDIF($I59-1,BT$15+1,"m"),)/12,)-1,)*Index!BP$23*(BT$15&gt;$I77)*(1-BT$12)</f>
        <v>0</v>
      </c>
      <c r="BU77" s="747">
        <f>$G77*$H77*(1+$K77)^MAX(ROUNDUP(IFERROR(DATEDIF($I59-1,BU$15+1,"m"),)/12,)-1,)*Index!BQ$23*(BU$15&gt;$I77)*(1-BU$12)</f>
        <v>0</v>
      </c>
      <c r="BV77" s="747">
        <f>$G77*$H77*(1+$K77)^MAX(ROUNDUP(IFERROR(DATEDIF($I59-1,BV$15+1,"m"),)/12,)-1,)*Index!BR$23*(BV$15&gt;$I77)*(1-BV$12)</f>
        <v>0</v>
      </c>
      <c r="BW77" s="747">
        <f>$G77*$H77*(1+$K77)^MAX(ROUNDUP(IFERROR(DATEDIF($I59-1,BW$15+1,"m"),)/12,)-1,)*Index!BS$23*(BW$15&gt;$I77)*(1-BW$12)</f>
        <v>0</v>
      </c>
      <c r="BX77" s="747">
        <f>$G77*$H77*(1+$K77)^MAX(ROUNDUP(IFERROR(DATEDIF($I59-1,BX$15+1,"m"),)/12,)-1,)*Index!BT$23*(BX$15&gt;$I77)*(1-BX$12)</f>
        <v>0</v>
      </c>
      <c r="BY77" s="747">
        <f>$G77*$H77*(1+$K77)^MAX(ROUNDUP(IFERROR(DATEDIF($I59-1,BY$15+1,"m"),)/12,)-1,)*Index!BU$23*(BY$15&gt;$I77)*(1-BY$12)</f>
        <v>0</v>
      </c>
      <c r="BZ77" s="747">
        <f>$G77*$H77*(1+$K77)^MAX(ROUNDUP(IFERROR(DATEDIF($I59-1,BZ$15+1,"m"),)/12,)-1,)*Index!BV$23*(BZ$15&gt;$I77)*(1-BZ$12)</f>
        <v>0</v>
      </c>
      <c r="CA77" s="747">
        <f>$G77*$H77*(1+$K77)^MAX(ROUNDUP(IFERROR(DATEDIF($I59-1,CA$15+1,"m"),)/12,)-1,)*Index!BW$23*(CA$15&gt;$I77)*(1-CA$12)</f>
        <v>0</v>
      </c>
      <c r="CB77" s="747">
        <f>$G77*$H77*(1+$K77)^MAX(ROUNDUP(IFERROR(DATEDIF($I59-1,CB$15+1,"m"),)/12,)-1,)*Index!BX$23*(CB$15&gt;$I77)*(1-CB$12)</f>
        <v>0</v>
      </c>
      <c r="CC77" s="747">
        <f>$G77*$H77*(1+$K77)^MAX(ROUNDUP(IFERROR(DATEDIF($I59-1,CC$15+1,"m"),)/12,)-1,)*Index!BY$23*(CC$15&gt;$I77)*(1-CC$12)</f>
        <v>0</v>
      </c>
      <c r="CD77" s="747">
        <f>$G77*$H77*(1+$K77)^MAX(ROUNDUP(IFERROR(DATEDIF($I59-1,CD$15+1,"m"),)/12,)-1,)*Index!BZ$23*(CD$15&gt;$I77)*(1-CD$12)</f>
        <v>0</v>
      </c>
      <c r="CE77" s="747">
        <f>$G77*$H77*(1+$K77)^MAX(ROUNDUP(IFERROR(DATEDIF($I59-1,CE$15+1,"m"),)/12,)-1,)*Index!CA$23*(CE$15&gt;$I77)*(1-CE$12)</f>
        <v>0</v>
      </c>
      <c r="CF77" s="747">
        <f>$G77*$H77*(1+$K77)^MAX(ROUNDUP(IFERROR(DATEDIF($I59-1,CF$15+1,"m"),)/12,)-1,)*Index!CB$23*(CF$15&gt;$I77)*(1-CF$12)</f>
        <v>0</v>
      </c>
      <c r="CG77" s="747">
        <f>$G77*$H77*(1+$K77)^MAX(ROUNDUP(IFERROR(DATEDIF($I59-1,CG$15+1,"m"),)/12,)-1,)*Index!CC$23*(CG$15&gt;$I77)*(1-CG$12)</f>
        <v>0</v>
      </c>
      <c r="CH77" s="747">
        <f>$G77*$H77*(1+$K77)^MAX(ROUNDUP(IFERROR(DATEDIF($I59-1,CH$15+1,"m"),)/12,)-1,)*Index!CD$23*(CH$15&gt;$I77)*(1-CH$12)</f>
        <v>0</v>
      </c>
      <c r="CI77" s="747">
        <f>$G77*$H77*(1+$K77)^MAX(ROUNDUP(IFERROR(DATEDIF($I59-1,CI$15+1,"m"),)/12,)-1,)*Index!CE$23*(CI$15&gt;$I77)*(1-CI$12)</f>
        <v>0</v>
      </c>
      <c r="CJ77" s="747">
        <f>$G77*$H77*(1+$K77)^MAX(ROUNDUP(IFERROR(DATEDIF($I59-1,CJ$15+1,"m"),)/12,)-1,)*Index!CF$23*(CJ$15&gt;$I77)*(1-CJ$12)</f>
        <v>0</v>
      </c>
      <c r="CK77" s="747">
        <f>$G77*$H77*(1+$K77)^MAX(ROUNDUP(IFERROR(DATEDIF($I59-1,CK$15+1,"m"),)/12,)-1,)*Index!CG$23*(CK$15&gt;$I77)*(1-CK$12)</f>
        <v>0</v>
      </c>
      <c r="CL77" s="747">
        <f>$G77*$H77*(1+$K77)^MAX(ROUNDUP(IFERROR(DATEDIF($I59-1,CL$15+1,"m"),)/12,)-1,)*Index!CH$23*(CL$15&gt;$I77)*(1-CL$12)</f>
        <v>0</v>
      </c>
      <c r="CM77" s="747">
        <f>$G77*$H77*(1+$K77)^MAX(ROUNDUP(IFERROR(DATEDIF($I59-1,CM$15+1,"m"),)/12,)-1,)*Index!CI$23*(CM$15&gt;$I77)*(1-CM$12)</f>
        <v>0</v>
      </c>
      <c r="CN77" s="747">
        <f>$G77*$H77*(1+$K77)^MAX(ROUNDUP(IFERROR(DATEDIF($I59-1,CN$15+1,"m"),)/12,)-1,)*Index!CJ$23*(CN$15&gt;$I77)*(1-CN$12)</f>
        <v>0</v>
      </c>
      <c r="CO77" s="747">
        <f>$G77*$H77*(1+$K77)^MAX(ROUNDUP(IFERROR(DATEDIF($I59-1,CO$15+1,"m"),)/12,)-1,)*Index!CK$23*(CO$15&gt;$I77)*(1-CO$12)</f>
        <v>0</v>
      </c>
      <c r="CP77" s="747">
        <f>$G77*$H77*(1+$K77)^MAX(ROUNDUP(IFERROR(DATEDIF($I59-1,CP$15+1,"m"),)/12,)-1,)*Index!CL$23*(CP$15&gt;$I77)*(1-CP$12)</f>
        <v>0</v>
      </c>
      <c r="CQ77" s="747">
        <f>$G77*$H77*(1+$K77)^MAX(ROUNDUP(IFERROR(DATEDIF($I59-1,CQ$15+1,"m"),)/12,)-1,)*Index!CM$23*(CQ$15&gt;$I77)*(1-CQ$12)</f>
        <v>0</v>
      </c>
      <c r="CR77" s="747">
        <f>$G77*$H77*(1+$K77)^MAX(ROUNDUP(IFERROR(DATEDIF($I59-1,CR$15+1,"m"),)/12,)-1,)*Index!CN$23*(CR$15&gt;$I77)*(1-CR$12)</f>
        <v>0</v>
      </c>
      <c r="CS77" s="747">
        <f>$G77*$H77*(1+$K77)^MAX(ROUNDUP(IFERROR(DATEDIF($I59-1,CS$15+1,"m"),)/12,)-1,)*Index!CO$23*(CS$15&gt;$I77)*(1-CS$12)</f>
        <v>0</v>
      </c>
      <c r="CT77" s="747">
        <f>$G77*$H77*(1+$K77)^MAX(ROUNDUP(IFERROR(DATEDIF($I59-1,CT$15+1,"m"),)/12,)-1,)*Index!CP$23*(CT$15&gt;$I77)*(1-CT$12)</f>
        <v>0</v>
      </c>
      <c r="CU77" s="747">
        <f>$G77*$H77*(1+$K77)^MAX(ROUNDUP(IFERROR(DATEDIF($I59-1,CU$15+1,"m"),)/12,)-1,)*Index!CQ$23*(CU$15&gt;$I77)*(1-CU$12)</f>
        <v>0</v>
      </c>
      <c r="CV77" s="747">
        <f>$G77*$H77*(1+$K77)^MAX(ROUNDUP(IFERROR(DATEDIF($I59-1,CV$15+1,"m"),)/12,)-1,)*Index!CR$23*(CV$15&gt;$I77)*(1-CV$12)</f>
        <v>0</v>
      </c>
      <c r="CW77" s="747">
        <f>$G77*$H77*(1+$K77)^MAX(ROUNDUP(IFERROR(DATEDIF($I59-1,CW$15+1,"m"),)/12,)-1,)*Index!CS$23*(CW$15&gt;$I77)*(1-CW$12)</f>
        <v>0</v>
      </c>
      <c r="CX77" s="747">
        <f>$G77*$H77*(1+$K77)^MAX(ROUNDUP(IFERROR(DATEDIF($I59-1,CX$15+1,"m"),)/12,)-1,)*Index!CT$23*(CX$15&gt;$I77)*(1-CX$12)</f>
        <v>0</v>
      </c>
      <c r="CY77" s="747">
        <f>$G77*$H77*(1+$K77)^MAX(ROUNDUP(IFERROR(DATEDIF($I59-1,CY$15+1,"m"),)/12,)-1,)*Index!CU$23*(CY$15&gt;$I77)*(1-CY$12)</f>
        <v>0</v>
      </c>
      <c r="CZ77" s="747">
        <f>$G77*$H77*(1+$K77)^MAX(ROUNDUP(IFERROR(DATEDIF($I59-1,CZ$15+1,"m"),)/12,)-1,)*Index!CV$23*(CZ$15&gt;$I77)*(1-CZ$12)</f>
        <v>0</v>
      </c>
      <c r="DA77" s="747">
        <f>$G77*$H77*(1+$K77)^MAX(ROUNDUP(IFERROR(DATEDIF($I59-1,DA$15+1,"m"),)/12,)-1,)*Index!CW$23*(DA$15&gt;$I77)*(1-DA$12)</f>
        <v>0</v>
      </c>
      <c r="DB77" s="747">
        <f>$G77*$H77*(1+$K77)^MAX(ROUNDUP(IFERROR(DATEDIF($I59-1,DB$15+1,"m"),)/12,)-1,)*Index!CX$23*(DB$15&gt;$I77)*(1-DB$12)</f>
        <v>0</v>
      </c>
      <c r="DC77" s="747">
        <f>$G77*$H77*(1+$K77)^MAX(ROUNDUP(IFERROR(DATEDIF($I59-1,DC$15+1,"m"),)/12,)-1,)*Index!CY$23*(DC$15&gt;$I77)*(1-DC$12)</f>
        <v>0</v>
      </c>
      <c r="DD77" s="747">
        <f>$G77*$H77*(1+$K77)^MAX(ROUNDUP(IFERROR(DATEDIF($I59-1,DD$15+1,"m"),)/12,)-1,)*Index!CZ$23*(DD$15&gt;$I77)*(1-DD$12)</f>
        <v>0</v>
      </c>
      <c r="DE77" s="747">
        <f>$G77*$H77*(1+$K77)^MAX(ROUNDUP(IFERROR(DATEDIF($I59-1,DE$15+1,"m"),)/12,)-1,)*Index!DA$23*(DE$15&gt;$I77)*(1-DE$12)</f>
        <v>0</v>
      </c>
      <c r="DF77" s="747">
        <f>$G77*$H77*(1+$K77)^MAX(ROUNDUP(IFERROR(DATEDIF($I59-1,DF$15+1,"m"),)/12,)-1,)*Index!DB$23*(DF$15&gt;$I77)*(1-DF$12)</f>
        <v>0</v>
      </c>
      <c r="DG77" s="747">
        <f>$G77*$H77*(1+$K77)^MAX(ROUNDUP(IFERROR(DATEDIF($I59-1,DG$15+1,"m"),)/12,)-1,)*Index!DC$23*(DG$15&gt;$I77)*(1-DG$12)</f>
        <v>0</v>
      </c>
      <c r="DH77" s="747">
        <f>$G77*$H77*(1+$K77)^MAX(ROUNDUP(IFERROR(DATEDIF($I59-1,DH$15+1,"m"),)/12,)-1,)*Index!DD$23*(DH$15&gt;$I77)*(1-DH$12)</f>
        <v>0</v>
      </c>
      <c r="DI77" s="747">
        <f>$G77*$H77*(1+$K77)^MAX(ROUNDUP(IFERROR(DATEDIF($I59-1,DI$15+1,"m"),)/12,)-1,)*Index!DE$23*(DI$15&gt;$I77)*(1-DI$12)</f>
        <v>0</v>
      </c>
      <c r="DJ77" s="747">
        <f>$G77*$H77*(1+$K77)^MAX(ROUNDUP(IFERROR(DATEDIF($I59-1,DJ$15+1,"m"),)/12,)-1,)*Index!DF$23*(DJ$15&gt;$I77)*(1-DJ$12)</f>
        <v>0</v>
      </c>
      <c r="DK77" s="747">
        <f>$G77*$H77*(1+$K77)^MAX(ROUNDUP(IFERROR(DATEDIF($I59-1,DK$15+1,"m"),)/12,)-1,)*Index!DG$23*(DK$15&gt;$I77)*(1-DK$12)</f>
        <v>0</v>
      </c>
      <c r="DL77" s="747">
        <f>$G77*$H77*(1+$K77)^MAX(ROUNDUP(IFERROR(DATEDIF($I59-1,DL$15+1,"m"),)/12,)-1,)*Index!DH$23*(DL$15&gt;$I77)*(1-DL$12)</f>
        <v>0</v>
      </c>
      <c r="DM77" s="747">
        <f>$G77*$H77*(1+$K77)^MAX(ROUNDUP(IFERROR(DATEDIF($I59-1,DM$15+1,"m"),)/12,)-1,)*Index!DI$23*(DM$15&gt;$I77)*(1-DM$12)</f>
        <v>0</v>
      </c>
      <c r="DN77" s="747">
        <f>$G77*$H77*(1+$K77)^MAX(ROUNDUP(IFERROR(DATEDIF($I59-1,DN$15+1,"m"),)/12,)-1,)*Index!DJ$23*(DN$15&gt;$I77)*(1-DN$12)</f>
        <v>0</v>
      </c>
      <c r="DO77" s="747">
        <f>$G77*$H77*(1+$K77)^MAX(ROUNDUP(IFERROR(DATEDIF($I59-1,DO$15+1,"m"),)/12,)-1,)*Index!DK$23*(DO$15&gt;$I77)*(1-DO$12)</f>
        <v>0</v>
      </c>
      <c r="DP77" s="747">
        <f>$G77*$H77*(1+$K77)^MAX(ROUNDUP(IFERROR(DATEDIF($I59-1,DP$15+1,"m"),)/12,)-1,)*Index!DL$23*(DP$15&gt;$I77)*(1-DP$12)</f>
        <v>0</v>
      </c>
      <c r="DQ77" s="747">
        <f>$G77*$H77*(1+$K77)^MAX(ROUNDUP(IFERROR(DATEDIF($I59-1,DQ$15+1,"m"),)/12,)-1,)*Index!DM$23*(DQ$15&gt;$I77)*(1-DQ$12)</f>
        <v>0</v>
      </c>
      <c r="DR77" s="747">
        <f>$G77*$H77*(1+$K77)^MAX(ROUNDUP(IFERROR(DATEDIF($I59-1,DR$15+1,"m"),)/12,)-1,)*Index!DN$23*(DR$15&gt;$I77)*(1-DR$12)</f>
        <v>0</v>
      </c>
      <c r="DS77" s="747">
        <f>$G77*$H77*(1+$K77)^MAX(ROUNDUP(IFERROR(DATEDIF($I59-1,DS$15+1,"m"),)/12,)-1,)*Index!DO$23*(DS$15&gt;$I77)*(1-DS$12)</f>
        <v>0</v>
      </c>
      <c r="DT77" s="747">
        <f>$G77*$H77*(1+$K77)^MAX(ROUNDUP(IFERROR(DATEDIF($I59-1,DT$15+1,"m"),)/12,)-1,)*Index!DP$23*(DT$15&gt;$I77)*(1-DT$12)</f>
        <v>0</v>
      </c>
      <c r="DU77" s="747">
        <f>$G77*$H77*(1+$K77)^MAX(ROUNDUP(IFERROR(DATEDIF($I59-1,DU$15+1,"m"),)/12,)-1,)*Index!DQ$23*(DU$15&gt;$I77)*(1-DU$12)</f>
        <v>0</v>
      </c>
      <c r="DV77" s="747">
        <f>$G77*$H77*(1+$K77)^MAX(ROUNDUP(IFERROR(DATEDIF($I59-1,DV$15+1,"m"),)/12,)-1,)*Index!DR$23*(DV$15&gt;$I77)*(1-DV$12)</f>
        <v>0</v>
      </c>
      <c r="DW77" s="747">
        <f>$G77*$H77*(1+$K77)^MAX(ROUNDUP(IFERROR(DATEDIF($I59-1,DW$15+1,"m"),)/12,)-1,)*Index!DS$23*(DW$15&gt;$I77)*(1-DW$12)</f>
        <v>0</v>
      </c>
      <c r="DX77" s="747">
        <f>$G77*$H77*(1+$K77)^MAX(ROUNDUP(IFERROR(DATEDIF($I59-1,DX$15+1,"m"),)/12,)-1,)*Index!DT$23*(DX$15&gt;$I77)*(1-DX$12)</f>
        <v>0</v>
      </c>
      <c r="DY77" s="747">
        <f>$G77*$H77*(1+$K77)^MAX(ROUNDUP(IFERROR(DATEDIF($I59-1,DY$15+1,"m"),)/12,)-1,)*Index!DU$23*(DY$15&gt;$I77)*(1-DY$12)</f>
        <v>0</v>
      </c>
      <c r="DZ77" s="747">
        <f>$G77*$H77*(1+$K77)^MAX(ROUNDUP(IFERROR(DATEDIF($I59-1,DZ$15+1,"m"),)/12,)-1,)*Index!DV$23*(DZ$15&gt;$I77)*(1-DZ$12)</f>
        <v>0</v>
      </c>
      <c r="EA77" s="747">
        <f>$G77*$H77*(1+$K77)^MAX(ROUNDUP(IFERROR(DATEDIF($I59-1,EA$15+1,"m"),)/12,)-1,)*Index!DW$23*(EA$15&gt;$I77)*(1-EA$12)</f>
        <v>0</v>
      </c>
      <c r="EB77" s="747">
        <f>$G77*$H77*(1+$K77)^MAX(ROUNDUP(IFERROR(DATEDIF($I59-1,EB$15+1,"m"),)/12,)-1,)*Index!DX$23*(EB$15&gt;$I77)*(1-EB$12)</f>
        <v>0</v>
      </c>
      <c r="EC77" s="747">
        <f>$G77*$H77*(1+$K77)^MAX(ROUNDUP(IFERROR(DATEDIF($I59-1,EC$15+1,"m"),)/12,)-1,)*Index!DY$23*(EC$15&gt;$I77)*(1-EC$12)</f>
        <v>0</v>
      </c>
      <c r="ED77" s="747">
        <f>$G77*$H77*(1+$K77)^MAX(ROUNDUP(IFERROR(DATEDIF($I59-1,ED$15+1,"m"),)/12,)-1,)*Index!DZ$23*(ED$15&gt;$I77)*(1-ED$12)</f>
        <v>0</v>
      </c>
      <c r="EE77" s="747">
        <f>$G77*$H77*(1+$K77)^MAX(ROUNDUP(IFERROR(DATEDIF($I59-1,EE$15+1,"m"),)/12,)-1,)*Index!EA$23*(EE$15&gt;$I77)*(1-EE$12)</f>
        <v>0</v>
      </c>
      <c r="EF77" s="747">
        <f>$G77*$H77*(1+$K77)^MAX(ROUNDUP(IFERROR(DATEDIF($I59-1,EF$15+1,"m"),)/12,)-1,)*Index!EB$23*(EF$15&gt;$I77)*(1-EF$12)</f>
        <v>0</v>
      </c>
      <c r="EG77" s="747">
        <f>$G77*$H77*(1+$K77)^MAX(ROUNDUP(IFERROR(DATEDIF($I59-1,EG$15+1,"m"),)/12,)-1,)*Index!EC$23*(EG$15&gt;$I77)*(1-EG$12)</f>
        <v>169773.01890755945</v>
      </c>
      <c r="EH77" s="747">
        <f>$G77*$H77*(1+$K77)^MAX(ROUNDUP(IFERROR(DATEDIF($I59-1,EH$15+1,"m"),)/12,)-1,)*Index!ED$23*(EH$15&gt;$I77)*(1-EH$12)</f>
        <v>169773.01890755945</v>
      </c>
      <c r="EI77" s="747">
        <f>$G77*$H77*(1+$K77)^MAX(ROUNDUP(IFERROR(DATEDIF($I59-1,EI$15+1,"m"),)/12,)-1,)*Index!EE$23*(EI$15&gt;$I77)*(1-EI$12)</f>
        <v>169773.01890755945</v>
      </c>
      <c r="EJ77" s="747">
        <f>$G77*$H77*(1+$K77)^MAX(ROUNDUP(IFERROR(DATEDIF($I59-1,EJ$15+1,"m"),)/12,)-1,)*Index!EF$23*(EJ$15&gt;$I77)*(1-EJ$12)</f>
        <v>174017.34438024845</v>
      </c>
      <c r="EK77" s="747">
        <f>$G77*$H77*(1+$K77)^MAX(ROUNDUP(IFERROR(DATEDIF($I59-1,EK$15+1,"m"),)/12,)-1,)*Index!EG$23*(EK$15&gt;$I77)*(1-EK$12)</f>
        <v>174017.34438024845</v>
      </c>
      <c r="EL77" s="747">
        <f>$G77*$H77*(1+$K77)^MAX(ROUNDUP(IFERROR(DATEDIF($I59-1,EL$15+1,"m"),)/12,)-1,)*Index!EH$23*(EL$15&gt;$I77)*(1-EL$12)</f>
        <v>174017.34438024845</v>
      </c>
      <c r="EM77" s="747">
        <f>$G77*$H77*(1+$K77)^MAX(ROUNDUP(IFERROR(DATEDIF($I59-1,EM$15+1,"m"),)/12,)-1,)*Index!EI$23*(EM$15&gt;$I77)*(1-EM$12)</f>
        <v>174017.34438024845</v>
      </c>
      <c r="EN77" s="747">
        <f>$G77*$H77*(1+$K77)^MAX(ROUNDUP(IFERROR(DATEDIF($I59-1,EN$15+1,"m"),)/12,)-1,)*Index!EJ$23*(EN$15&gt;$I77)*(1-EN$12)</f>
        <v>174017.34438024845</v>
      </c>
      <c r="EO77" s="747">
        <f>$G77*$H77*(1+$K77)^MAX(ROUNDUP(IFERROR(DATEDIF($I59-1,EO$15+1,"m"),)/12,)-1,)*Index!EK$23*(EO$15&gt;$I77)*(1-EO$12)</f>
        <v>174017.34438024845</v>
      </c>
      <c r="EP77" s="747">
        <f>$G77*$H77*(1+$K77)^MAX(ROUNDUP(IFERROR(DATEDIF($I59-1,EP$15+1,"m"),)/12,)-1,)*Index!EL$23*(EP$15&gt;$I77)*(1-EP$12)</f>
        <v>174017.34438024845</v>
      </c>
      <c r="EQ77" s="747">
        <f>$G77*$H77*(1+$K77)^MAX(ROUNDUP(IFERROR(DATEDIF($I59-1,EQ$15+1,"m"),)/12,)-1,)*Index!EM$23*(EQ$15&gt;$I77)*(1-EQ$12)</f>
        <v>174017.34438024845</v>
      </c>
      <c r="ER77" s="747">
        <f>$G77*$H77*(1+$K77)^MAX(ROUNDUP(IFERROR(DATEDIF($I59-1,ER$15+1,"m"),)/12,)-1,)*Index!EN$23*(ER$15&gt;$I77)*(1-ER$12)</f>
        <v>174017.34438024845</v>
      </c>
      <c r="ES77" s="747">
        <f>$G77*$H77*(1+$K77)^MAX(ROUNDUP(IFERROR(DATEDIF($I59-1,ES$15+1,"m"),)/12,)-1,)*Index!EO$23*(ES$15&gt;$I77)*(1-ES$12)</f>
        <v>0</v>
      </c>
      <c r="ET77" s="747">
        <f>$G77*$H77*(1+$K77)^MAX(ROUNDUP(IFERROR(DATEDIF($I59-1,ET$15+1,"m"),)/12,)-1,)*Index!EP$23*(ET$15&gt;$I77)*(1-ET$12)</f>
        <v>0</v>
      </c>
      <c r="EU77" s="747">
        <f>$G77*$H77*(1+$K77)^MAX(ROUNDUP(IFERROR(DATEDIF($I59-1,EU$15+1,"m"),)/12,)-1,)*Index!EQ$23*(EU$15&gt;$I77)*(1-EU$12)</f>
        <v>0</v>
      </c>
    </row>
    <row r="78" spans="3:151" ht="11.25" customHeight="1">
      <c r="C78" s="828"/>
      <c r="D78" s="743">
        <f t="shared" si="40"/>
        <v>5</v>
      </c>
      <c r="E78" s="704" t="str">
        <f t="shared" si="40"/>
        <v>쿠팡</v>
      </c>
      <c r="F78" s="704" t="str">
        <f t="shared" si="40"/>
        <v>상온창고</v>
      </c>
      <c r="G78" s="752">
        <f t="shared" si="41"/>
        <v>57.698001860542107</v>
      </c>
      <c r="H78" s="744">
        <f t="shared" si="40"/>
        <v>2185.56</v>
      </c>
      <c r="I78" s="745">
        <f t="shared" si="42"/>
        <v>49064</v>
      </c>
      <c r="J78" s="745"/>
      <c r="K78" s="754">
        <f t="shared" si="43"/>
        <v>2.5000000000000001E-2</v>
      </c>
      <c r="L78" s="746"/>
      <c r="M78" s="722"/>
      <c r="N78" s="747">
        <f t="shared" si="44"/>
        <v>2073283.8250280316</v>
      </c>
      <c r="O78" s="733"/>
      <c r="P78" s="747">
        <f>$G78*$H78*(1+$K78)^MAX(ROUNDUP(IFERROR(DATEDIF($I60-1,P$15+1,"m"),)/12,)-1,)*Index!L$23*(P$15&gt;$I78)*(1-P$12)</f>
        <v>0</v>
      </c>
      <c r="Q78" s="747">
        <f>$G78*$H78*(1+$K78)^MAX(ROUNDUP(IFERROR(DATEDIF($I60-1,Q$15+1,"m"),)/12,)-1,)*Index!M$23*(Q$15&gt;$I78)*(1-Q$12)</f>
        <v>0</v>
      </c>
      <c r="R78" s="747">
        <f>$G78*$H78*(1+$K78)^MAX(ROUNDUP(IFERROR(DATEDIF($I60-1,R$15+1,"m"),)/12,)-1,)*Index!N$23*(R$15&gt;$I78)*(1-R$12)</f>
        <v>0</v>
      </c>
      <c r="S78" s="747">
        <f>$G78*$H78*(1+$K78)^MAX(ROUNDUP(IFERROR(DATEDIF($I60-1,S$15+1,"m"),)/12,)-1,)*Index!O$23*(S$15&gt;$I78)*(1-S$12)</f>
        <v>0</v>
      </c>
      <c r="T78" s="747">
        <f>$G78*$H78*(1+$K78)^MAX(ROUNDUP(IFERROR(DATEDIF($I60-1,T$15+1,"m"),)/12,)-1,)*Index!P$23*(T$15&gt;$I78)*(1-T$12)</f>
        <v>0</v>
      </c>
      <c r="U78" s="747">
        <f>$G78*$H78*(1+$K78)^MAX(ROUNDUP(IFERROR(DATEDIF($I60-1,U$15+1,"m"),)/12,)-1,)*Index!Q$23*(U$15&gt;$I78)*(1-U$12)</f>
        <v>0</v>
      </c>
      <c r="V78" s="747">
        <f>$G78*$H78*(1+$K78)^MAX(ROUNDUP(IFERROR(DATEDIF($I60-1,V$15+1,"m"),)/12,)-1,)*Index!R$23*(V$15&gt;$I78)*(1-V$12)</f>
        <v>0</v>
      </c>
      <c r="W78" s="747">
        <f>$G78*$H78*(1+$K78)^MAX(ROUNDUP(IFERROR(DATEDIF($I60-1,W$15+1,"m"),)/12,)-1,)*Index!S$23*(W$15&gt;$I78)*(1-W$12)</f>
        <v>0</v>
      </c>
      <c r="X78" s="747">
        <f>$G78*$H78*(1+$K78)^MAX(ROUNDUP(IFERROR(DATEDIF($I60-1,X$15+1,"m"),)/12,)-1,)*Index!T$23*(X$15&gt;$I78)*(1-X$12)</f>
        <v>0</v>
      </c>
      <c r="Y78" s="747">
        <f>$G78*$H78*(1+$K78)^MAX(ROUNDUP(IFERROR(DATEDIF($I60-1,Y$15+1,"m"),)/12,)-1,)*Index!U$23*(Y$15&gt;$I78)*(1-Y$12)</f>
        <v>0</v>
      </c>
      <c r="Z78" s="747">
        <f>$G78*$H78*(1+$K78)^MAX(ROUNDUP(IFERROR(DATEDIF($I60-1,Z$15+1,"m"),)/12,)-1,)*Index!V$23*(Z$15&gt;$I78)*(1-Z$12)</f>
        <v>0</v>
      </c>
      <c r="AA78" s="747">
        <f>$G78*$H78*(1+$K78)^MAX(ROUNDUP(IFERROR(DATEDIF($I60-1,AA$15+1,"m"),)/12,)-1,)*Index!W$23*(AA$15&gt;$I78)*(1-AA$12)</f>
        <v>0</v>
      </c>
      <c r="AB78" s="747">
        <f>$G78*$H78*(1+$K78)^MAX(ROUNDUP(IFERROR(DATEDIF($I60-1,AB$15+1,"m"),)/12,)-1,)*Index!X$23*(AB$15&gt;$I78)*(1-AB$12)</f>
        <v>0</v>
      </c>
      <c r="AC78" s="747">
        <f>$G78*$H78*(1+$K78)^MAX(ROUNDUP(IFERROR(DATEDIF($I60-1,AC$15+1,"m"),)/12,)-1,)*Index!Y$23*(AC$15&gt;$I78)*(1-AC$12)</f>
        <v>0</v>
      </c>
      <c r="AD78" s="747">
        <f>$G78*$H78*(1+$K78)^MAX(ROUNDUP(IFERROR(DATEDIF($I60-1,AD$15+1,"m"),)/12,)-1,)*Index!Z$23*(AD$15&gt;$I78)*(1-AD$12)</f>
        <v>0</v>
      </c>
      <c r="AE78" s="747">
        <f>$G78*$H78*(1+$K78)^MAX(ROUNDUP(IFERROR(DATEDIF($I60-1,AE$15+1,"m"),)/12,)-1,)*Index!AA$23*(AE$15&gt;$I78)*(1-AE$12)</f>
        <v>0</v>
      </c>
      <c r="AF78" s="747">
        <f>$G78*$H78*(1+$K78)^MAX(ROUNDUP(IFERROR(DATEDIF($I60-1,AF$15+1,"m"),)/12,)-1,)*Index!AB$23*(AF$15&gt;$I78)*(1-AF$12)</f>
        <v>0</v>
      </c>
      <c r="AG78" s="747">
        <f>$G78*$H78*(1+$K78)^MAX(ROUNDUP(IFERROR(DATEDIF($I60-1,AG$15+1,"m"),)/12,)-1,)*Index!AC$23*(AG$15&gt;$I78)*(1-AG$12)</f>
        <v>0</v>
      </c>
      <c r="AH78" s="747">
        <f>$G78*$H78*(1+$K78)^MAX(ROUNDUP(IFERROR(DATEDIF($I60-1,AH$15+1,"m"),)/12,)-1,)*Index!AD$23*(AH$15&gt;$I78)*(1-AH$12)</f>
        <v>0</v>
      </c>
      <c r="AI78" s="747">
        <f>$G78*$H78*(1+$K78)^MAX(ROUNDUP(IFERROR(DATEDIF($I60-1,AI$15+1,"m"),)/12,)-1,)*Index!AE$23*(AI$15&gt;$I78)*(1-AI$12)</f>
        <v>0</v>
      </c>
      <c r="AJ78" s="747">
        <f>$G78*$H78*(1+$K78)^MAX(ROUNDUP(IFERROR(DATEDIF($I60-1,AJ$15+1,"m"),)/12,)-1,)*Index!AF$23*(AJ$15&gt;$I78)*(1-AJ$12)</f>
        <v>0</v>
      </c>
      <c r="AK78" s="747">
        <f>$G78*$H78*(1+$K78)^MAX(ROUNDUP(IFERROR(DATEDIF($I60-1,AK$15+1,"m"),)/12,)-1,)*Index!AG$23*(AK$15&gt;$I78)*(1-AK$12)</f>
        <v>0</v>
      </c>
      <c r="AL78" s="747">
        <f>$G78*$H78*(1+$K78)^MAX(ROUNDUP(IFERROR(DATEDIF($I60-1,AL$15+1,"m"),)/12,)-1,)*Index!AH$23*(AL$15&gt;$I78)*(1-AL$12)</f>
        <v>0</v>
      </c>
      <c r="AM78" s="747">
        <f>$G78*$H78*(1+$K78)^MAX(ROUNDUP(IFERROR(DATEDIF($I60-1,AM$15+1,"m"),)/12,)-1,)*Index!AI$23*(AM$15&gt;$I78)*(1-AM$12)</f>
        <v>0</v>
      </c>
      <c r="AN78" s="747">
        <f>$G78*$H78*(1+$K78)^MAX(ROUNDUP(IFERROR(DATEDIF($I60-1,AN$15+1,"m"),)/12,)-1,)*Index!AJ$23*(AN$15&gt;$I78)*(1-AN$12)</f>
        <v>0</v>
      </c>
      <c r="AO78" s="747">
        <f>$G78*$H78*(1+$K78)^MAX(ROUNDUP(IFERROR(DATEDIF($I60-1,AO$15+1,"m"),)/12,)-1,)*Index!AK$23*(AO$15&gt;$I78)*(1-AO$12)</f>
        <v>0</v>
      </c>
      <c r="AP78" s="747">
        <f>$G78*$H78*(1+$K78)^MAX(ROUNDUP(IFERROR(DATEDIF($I60-1,AP$15+1,"m"),)/12,)-1,)*Index!AL$23*(AP$15&gt;$I78)*(1-AP$12)</f>
        <v>0</v>
      </c>
      <c r="AQ78" s="747">
        <f>$G78*$H78*(1+$K78)^MAX(ROUNDUP(IFERROR(DATEDIF($I60-1,AQ$15+1,"m"),)/12,)-1,)*Index!AM$23*(AQ$15&gt;$I78)*(1-AQ$12)</f>
        <v>0</v>
      </c>
      <c r="AR78" s="747">
        <f>$G78*$H78*(1+$K78)^MAX(ROUNDUP(IFERROR(DATEDIF($I60-1,AR$15+1,"m"),)/12,)-1,)*Index!AN$23*(AR$15&gt;$I78)*(1-AR$12)</f>
        <v>0</v>
      </c>
      <c r="AS78" s="747">
        <f>$G78*$H78*(1+$K78)^MAX(ROUNDUP(IFERROR(DATEDIF($I60-1,AS$15+1,"m"),)/12,)-1,)*Index!AO$23*(AS$15&gt;$I78)*(1-AS$12)</f>
        <v>0</v>
      </c>
      <c r="AT78" s="747">
        <f>$G78*$H78*(1+$K78)^MAX(ROUNDUP(IFERROR(DATEDIF($I60-1,AT$15+1,"m"),)/12,)-1,)*Index!AP$23*(AT$15&gt;$I78)*(1-AT$12)</f>
        <v>0</v>
      </c>
      <c r="AU78" s="747">
        <f>$G78*$H78*(1+$K78)^MAX(ROUNDUP(IFERROR(DATEDIF($I60-1,AU$15+1,"m"),)/12,)-1,)*Index!AQ$23*(AU$15&gt;$I78)*(1-AU$12)</f>
        <v>0</v>
      </c>
      <c r="AV78" s="747">
        <f>$G78*$H78*(1+$K78)^MAX(ROUNDUP(IFERROR(DATEDIF($I60-1,AV$15+1,"m"),)/12,)-1,)*Index!AR$23*(AV$15&gt;$I78)*(1-AV$12)</f>
        <v>0</v>
      </c>
      <c r="AW78" s="747">
        <f>$G78*$H78*(1+$K78)^MAX(ROUNDUP(IFERROR(DATEDIF($I60-1,AW$15+1,"m"),)/12,)-1,)*Index!AS$23*(AW$15&gt;$I78)*(1-AW$12)</f>
        <v>0</v>
      </c>
      <c r="AX78" s="747">
        <f>$G78*$H78*(1+$K78)^MAX(ROUNDUP(IFERROR(DATEDIF($I60-1,AX$15+1,"m"),)/12,)-1,)*Index!AT$23*(AX$15&gt;$I78)*(1-AX$12)</f>
        <v>0</v>
      </c>
      <c r="AY78" s="747">
        <f>$G78*$H78*(1+$K78)^MAX(ROUNDUP(IFERROR(DATEDIF($I60-1,AY$15+1,"m"),)/12,)-1,)*Index!AU$23*(AY$15&gt;$I78)*(1-AY$12)</f>
        <v>0</v>
      </c>
      <c r="AZ78" s="747">
        <f>$G78*$H78*(1+$K78)^MAX(ROUNDUP(IFERROR(DATEDIF($I60-1,AZ$15+1,"m"),)/12,)-1,)*Index!AV$23*(AZ$15&gt;$I78)*(1-AZ$12)</f>
        <v>0</v>
      </c>
      <c r="BA78" s="747">
        <f>$G78*$H78*(1+$K78)^MAX(ROUNDUP(IFERROR(DATEDIF($I60-1,BA$15+1,"m"),)/12,)-1,)*Index!AW$23*(BA$15&gt;$I78)*(1-BA$12)</f>
        <v>0</v>
      </c>
      <c r="BB78" s="747">
        <f>$G78*$H78*(1+$K78)^MAX(ROUNDUP(IFERROR(DATEDIF($I60-1,BB$15+1,"m"),)/12,)-1,)*Index!AX$23*(BB$15&gt;$I78)*(1-BB$12)</f>
        <v>0</v>
      </c>
      <c r="BC78" s="747">
        <f>$G78*$H78*(1+$K78)^MAX(ROUNDUP(IFERROR(DATEDIF($I60-1,BC$15+1,"m"),)/12,)-1,)*Index!AY$23*(BC$15&gt;$I78)*(1-BC$12)</f>
        <v>0</v>
      </c>
      <c r="BD78" s="747">
        <f>$G78*$H78*(1+$K78)^MAX(ROUNDUP(IFERROR(DATEDIF($I60-1,BD$15+1,"m"),)/12,)-1,)*Index!AZ$23*(BD$15&gt;$I78)*(1-BD$12)</f>
        <v>0</v>
      </c>
      <c r="BE78" s="747">
        <f>$G78*$H78*(1+$K78)^MAX(ROUNDUP(IFERROR(DATEDIF($I60-1,BE$15+1,"m"),)/12,)-1,)*Index!BA$23*(BE$15&gt;$I78)*(1-BE$12)</f>
        <v>0</v>
      </c>
      <c r="BF78" s="747">
        <f>$G78*$H78*(1+$K78)^MAX(ROUNDUP(IFERROR(DATEDIF($I60-1,BF$15+1,"m"),)/12,)-1,)*Index!BB$23*(BF$15&gt;$I78)*(1-BF$12)</f>
        <v>0</v>
      </c>
      <c r="BG78" s="747">
        <f>$G78*$H78*(1+$K78)^MAX(ROUNDUP(IFERROR(DATEDIF($I60-1,BG$15+1,"m"),)/12,)-1,)*Index!BC$23*(BG$15&gt;$I78)*(1-BG$12)</f>
        <v>0</v>
      </c>
      <c r="BH78" s="747">
        <f>$G78*$H78*(1+$K78)^MAX(ROUNDUP(IFERROR(DATEDIF($I60-1,BH$15+1,"m"),)/12,)-1,)*Index!BD$23*(BH$15&gt;$I78)*(1-BH$12)</f>
        <v>0</v>
      </c>
      <c r="BI78" s="747">
        <f>$G78*$H78*(1+$K78)^MAX(ROUNDUP(IFERROR(DATEDIF($I60-1,BI$15+1,"m"),)/12,)-1,)*Index!BE$23*(BI$15&gt;$I78)*(1-BI$12)</f>
        <v>0</v>
      </c>
      <c r="BJ78" s="747">
        <f>$G78*$H78*(1+$K78)^MAX(ROUNDUP(IFERROR(DATEDIF($I60-1,BJ$15+1,"m"),)/12,)-1,)*Index!BF$23*(BJ$15&gt;$I78)*(1-BJ$12)</f>
        <v>0</v>
      </c>
      <c r="BK78" s="747">
        <f>$G78*$H78*(1+$K78)^MAX(ROUNDUP(IFERROR(DATEDIF($I60-1,BK$15+1,"m"),)/12,)-1,)*Index!BG$23*(BK$15&gt;$I78)*(1-BK$12)</f>
        <v>0</v>
      </c>
      <c r="BL78" s="747">
        <f>$G78*$H78*(1+$K78)^MAX(ROUNDUP(IFERROR(DATEDIF($I60-1,BL$15+1,"m"),)/12,)-1,)*Index!BH$23*(BL$15&gt;$I78)*(1-BL$12)</f>
        <v>0</v>
      </c>
      <c r="BM78" s="747">
        <f>$G78*$H78*(1+$K78)^MAX(ROUNDUP(IFERROR(DATEDIF($I60-1,BM$15+1,"m"),)/12,)-1,)*Index!BI$23*(BM$15&gt;$I78)*(1-BM$12)</f>
        <v>0</v>
      </c>
      <c r="BN78" s="747">
        <f>$G78*$H78*(1+$K78)^MAX(ROUNDUP(IFERROR(DATEDIF($I60-1,BN$15+1,"m"),)/12,)-1,)*Index!BJ$23*(BN$15&gt;$I78)*(1-BN$12)</f>
        <v>0</v>
      </c>
      <c r="BO78" s="747">
        <f>$G78*$H78*(1+$K78)^MAX(ROUNDUP(IFERROR(DATEDIF($I60-1,BO$15+1,"m"),)/12,)-1,)*Index!BK$23*(BO$15&gt;$I78)*(1-BO$12)</f>
        <v>0</v>
      </c>
      <c r="BP78" s="747">
        <f>$G78*$H78*(1+$K78)^MAX(ROUNDUP(IFERROR(DATEDIF($I60-1,BP$15+1,"m"),)/12,)-1,)*Index!BL$23*(BP$15&gt;$I78)*(1-BP$12)</f>
        <v>0</v>
      </c>
      <c r="BQ78" s="747">
        <f>$G78*$H78*(1+$K78)^MAX(ROUNDUP(IFERROR(DATEDIF($I60-1,BQ$15+1,"m"),)/12,)-1,)*Index!BM$23*(BQ$15&gt;$I78)*(1-BQ$12)</f>
        <v>0</v>
      </c>
      <c r="BR78" s="747">
        <f>$G78*$H78*(1+$K78)^MAX(ROUNDUP(IFERROR(DATEDIF($I60-1,BR$15+1,"m"),)/12,)-1,)*Index!BN$23*(BR$15&gt;$I78)*(1-BR$12)</f>
        <v>0</v>
      </c>
      <c r="BS78" s="747">
        <f>$G78*$H78*(1+$K78)^MAX(ROUNDUP(IFERROR(DATEDIF($I60-1,BS$15+1,"m"),)/12,)-1,)*Index!BO$23*(BS$15&gt;$I78)*(1-BS$12)</f>
        <v>0</v>
      </c>
      <c r="BT78" s="747">
        <f>$G78*$H78*(1+$K78)^MAX(ROUNDUP(IFERROR(DATEDIF($I60-1,BT$15+1,"m"),)/12,)-1,)*Index!BP$23*(BT$15&gt;$I78)*(1-BT$12)</f>
        <v>0</v>
      </c>
      <c r="BU78" s="747">
        <f>$G78*$H78*(1+$K78)^MAX(ROUNDUP(IFERROR(DATEDIF($I60-1,BU$15+1,"m"),)/12,)-1,)*Index!BQ$23*(BU$15&gt;$I78)*(1-BU$12)</f>
        <v>0</v>
      </c>
      <c r="BV78" s="747">
        <f>$G78*$H78*(1+$K78)^MAX(ROUNDUP(IFERROR(DATEDIF($I60-1,BV$15+1,"m"),)/12,)-1,)*Index!BR$23*(BV$15&gt;$I78)*(1-BV$12)</f>
        <v>0</v>
      </c>
      <c r="BW78" s="747">
        <f>$G78*$H78*(1+$K78)^MAX(ROUNDUP(IFERROR(DATEDIF($I60-1,BW$15+1,"m"),)/12,)-1,)*Index!BS$23*(BW$15&gt;$I78)*(1-BW$12)</f>
        <v>0</v>
      </c>
      <c r="BX78" s="747">
        <f>$G78*$H78*(1+$K78)^MAX(ROUNDUP(IFERROR(DATEDIF($I60-1,BX$15+1,"m"),)/12,)-1,)*Index!BT$23*(BX$15&gt;$I78)*(1-BX$12)</f>
        <v>0</v>
      </c>
      <c r="BY78" s="747">
        <f>$G78*$H78*(1+$K78)^MAX(ROUNDUP(IFERROR(DATEDIF($I60-1,BY$15+1,"m"),)/12,)-1,)*Index!BU$23*(BY$15&gt;$I78)*(1-BY$12)</f>
        <v>0</v>
      </c>
      <c r="BZ78" s="747">
        <f>$G78*$H78*(1+$K78)^MAX(ROUNDUP(IFERROR(DATEDIF($I60-1,BZ$15+1,"m"),)/12,)-1,)*Index!BV$23*(BZ$15&gt;$I78)*(1-BZ$12)</f>
        <v>0</v>
      </c>
      <c r="CA78" s="747">
        <f>$G78*$H78*(1+$K78)^MAX(ROUNDUP(IFERROR(DATEDIF($I60-1,CA$15+1,"m"),)/12,)-1,)*Index!BW$23*(CA$15&gt;$I78)*(1-CA$12)</f>
        <v>0</v>
      </c>
      <c r="CB78" s="747">
        <f>$G78*$H78*(1+$K78)^MAX(ROUNDUP(IFERROR(DATEDIF($I60-1,CB$15+1,"m"),)/12,)-1,)*Index!BX$23*(CB$15&gt;$I78)*(1-CB$12)</f>
        <v>0</v>
      </c>
      <c r="CC78" s="747">
        <f>$G78*$H78*(1+$K78)^MAX(ROUNDUP(IFERROR(DATEDIF($I60-1,CC$15+1,"m"),)/12,)-1,)*Index!BY$23*(CC$15&gt;$I78)*(1-CC$12)</f>
        <v>0</v>
      </c>
      <c r="CD78" s="747">
        <f>$G78*$H78*(1+$K78)^MAX(ROUNDUP(IFERROR(DATEDIF($I60-1,CD$15+1,"m"),)/12,)-1,)*Index!BZ$23*(CD$15&gt;$I78)*(1-CD$12)</f>
        <v>0</v>
      </c>
      <c r="CE78" s="747">
        <f>$G78*$H78*(1+$K78)^MAX(ROUNDUP(IFERROR(DATEDIF($I60-1,CE$15+1,"m"),)/12,)-1,)*Index!CA$23*(CE$15&gt;$I78)*(1-CE$12)</f>
        <v>0</v>
      </c>
      <c r="CF78" s="747">
        <f>$G78*$H78*(1+$K78)^MAX(ROUNDUP(IFERROR(DATEDIF($I60-1,CF$15+1,"m"),)/12,)-1,)*Index!CB$23*(CF$15&gt;$I78)*(1-CF$12)</f>
        <v>0</v>
      </c>
      <c r="CG78" s="747">
        <f>$G78*$H78*(1+$K78)^MAX(ROUNDUP(IFERROR(DATEDIF($I60-1,CG$15+1,"m"),)/12,)-1,)*Index!CC$23*(CG$15&gt;$I78)*(1-CG$12)</f>
        <v>0</v>
      </c>
      <c r="CH78" s="747">
        <f>$G78*$H78*(1+$K78)^MAX(ROUNDUP(IFERROR(DATEDIF($I60-1,CH$15+1,"m"),)/12,)-1,)*Index!CD$23*(CH$15&gt;$I78)*(1-CH$12)</f>
        <v>0</v>
      </c>
      <c r="CI78" s="747">
        <f>$G78*$H78*(1+$K78)^MAX(ROUNDUP(IFERROR(DATEDIF($I60-1,CI$15+1,"m"),)/12,)-1,)*Index!CE$23*(CI$15&gt;$I78)*(1-CI$12)</f>
        <v>0</v>
      </c>
      <c r="CJ78" s="747">
        <f>$G78*$H78*(1+$K78)^MAX(ROUNDUP(IFERROR(DATEDIF($I60-1,CJ$15+1,"m"),)/12,)-1,)*Index!CF$23*(CJ$15&gt;$I78)*(1-CJ$12)</f>
        <v>0</v>
      </c>
      <c r="CK78" s="747">
        <f>$G78*$H78*(1+$K78)^MAX(ROUNDUP(IFERROR(DATEDIF($I60-1,CK$15+1,"m"),)/12,)-1,)*Index!CG$23*(CK$15&gt;$I78)*(1-CK$12)</f>
        <v>0</v>
      </c>
      <c r="CL78" s="747">
        <f>$G78*$H78*(1+$K78)^MAX(ROUNDUP(IFERROR(DATEDIF($I60-1,CL$15+1,"m"),)/12,)-1,)*Index!CH$23*(CL$15&gt;$I78)*(1-CL$12)</f>
        <v>0</v>
      </c>
      <c r="CM78" s="747">
        <f>$G78*$H78*(1+$K78)^MAX(ROUNDUP(IFERROR(DATEDIF($I60-1,CM$15+1,"m"),)/12,)-1,)*Index!CI$23*(CM$15&gt;$I78)*(1-CM$12)</f>
        <v>0</v>
      </c>
      <c r="CN78" s="747">
        <f>$G78*$H78*(1+$K78)^MAX(ROUNDUP(IFERROR(DATEDIF($I60-1,CN$15+1,"m"),)/12,)-1,)*Index!CJ$23*(CN$15&gt;$I78)*(1-CN$12)</f>
        <v>0</v>
      </c>
      <c r="CO78" s="747">
        <f>$G78*$H78*(1+$K78)^MAX(ROUNDUP(IFERROR(DATEDIF($I60-1,CO$15+1,"m"),)/12,)-1,)*Index!CK$23*(CO$15&gt;$I78)*(1-CO$12)</f>
        <v>0</v>
      </c>
      <c r="CP78" s="747">
        <f>$G78*$H78*(1+$K78)^MAX(ROUNDUP(IFERROR(DATEDIF($I60-1,CP$15+1,"m"),)/12,)-1,)*Index!CL$23*(CP$15&gt;$I78)*(1-CP$12)</f>
        <v>0</v>
      </c>
      <c r="CQ78" s="747">
        <f>$G78*$H78*(1+$K78)^MAX(ROUNDUP(IFERROR(DATEDIF($I60-1,CQ$15+1,"m"),)/12,)-1,)*Index!CM$23*(CQ$15&gt;$I78)*(1-CQ$12)</f>
        <v>0</v>
      </c>
      <c r="CR78" s="747">
        <f>$G78*$H78*(1+$K78)^MAX(ROUNDUP(IFERROR(DATEDIF($I60-1,CR$15+1,"m"),)/12,)-1,)*Index!CN$23*(CR$15&gt;$I78)*(1-CR$12)</f>
        <v>0</v>
      </c>
      <c r="CS78" s="747">
        <f>$G78*$H78*(1+$K78)^MAX(ROUNDUP(IFERROR(DATEDIF($I60-1,CS$15+1,"m"),)/12,)-1,)*Index!CO$23*(CS$15&gt;$I78)*(1-CS$12)</f>
        <v>0</v>
      </c>
      <c r="CT78" s="747">
        <f>$G78*$H78*(1+$K78)^MAX(ROUNDUP(IFERROR(DATEDIF($I60-1,CT$15+1,"m"),)/12,)-1,)*Index!CP$23*(CT$15&gt;$I78)*(1-CT$12)</f>
        <v>0</v>
      </c>
      <c r="CU78" s="747">
        <f>$G78*$H78*(1+$K78)^MAX(ROUNDUP(IFERROR(DATEDIF($I60-1,CU$15+1,"m"),)/12,)-1,)*Index!CQ$23*(CU$15&gt;$I78)*(1-CU$12)</f>
        <v>0</v>
      </c>
      <c r="CV78" s="747">
        <f>$G78*$H78*(1+$K78)^MAX(ROUNDUP(IFERROR(DATEDIF($I60-1,CV$15+1,"m"),)/12,)-1,)*Index!CR$23*(CV$15&gt;$I78)*(1-CV$12)</f>
        <v>0</v>
      </c>
      <c r="CW78" s="747">
        <f>$G78*$H78*(1+$K78)^MAX(ROUNDUP(IFERROR(DATEDIF($I60-1,CW$15+1,"m"),)/12,)-1,)*Index!CS$23*(CW$15&gt;$I78)*(1-CW$12)</f>
        <v>0</v>
      </c>
      <c r="CX78" s="747">
        <f>$G78*$H78*(1+$K78)^MAX(ROUNDUP(IFERROR(DATEDIF($I60-1,CX$15+1,"m"),)/12,)-1,)*Index!CT$23*(CX$15&gt;$I78)*(1-CX$12)</f>
        <v>0</v>
      </c>
      <c r="CY78" s="747">
        <f>$G78*$H78*(1+$K78)^MAX(ROUNDUP(IFERROR(DATEDIF($I60-1,CY$15+1,"m"),)/12,)-1,)*Index!CU$23*(CY$15&gt;$I78)*(1-CY$12)</f>
        <v>0</v>
      </c>
      <c r="CZ78" s="747">
        <f>$G78*$H78*(1+$K78)^MAX(ROUNDUP(IFERROR(DATEDIF($I60-1,CZ$15+1,"m"),)/12,)-1,)*Index!CV$23*(CZ$15&gt;$I78)*(1-CZ$12)</f>
        <v>0</v>
      </c>
      <c r="DA78" s="747">
        <f>$G78*$H78*(1+$K78)^MAX(ROUNDUP(IFERROR(DATEDIF($I60-1,DA$15+1,"m"),)/12,)-1,)*Index!CW$23*(DA$15&gt;$I78)*(1-DA$12)</f>
        <v>0</v>
      </c>
      <c r="DB78" s="747">
        <f>$G78*$H78*(1+$K78)^MAX(ROUNDUP(IFERROR(DATEDIF($I60-1,DB$15+1,"m"),)/12,)-1,)*Index!CX$23*(DB$15&gt;$I78)*(1-DB$12)</f>
        <v>0</v>
      </c>
      <c r="DC78" s="747">
        <f>$G78*$H78*(1+$K78)^MAX(ROUNDUP(IFERROR(DATEDIF($I60-1,DC$15+1,"m"),)/12,)-1,)*Index!CY$23*(DC$15&gt;$I78)*(1-DC$12)</f>
        <v>0</v>
      </c>
      <c r="DD78" s="747">
        <f>$G78*$H78*(1+$K78)^MAX(ROUNDUP(IFERROR(DATEDIF($I60-1,DD$15+1,"m"),)/12,)-1,)*Index!CZ$23*(DD$15&gt;$I78)*(1-DD$12)</f>
        <v>0</v>
      </c>
      <c r="DE78" s="747">
        <f>$G78*$H78*(1+$K78)^MAX(ROUNDUP(IFERROR(DATEDIF($I60-1,DE$15+1,"m"),)/12,)-1,)*Index!DA$23*(DE$15&gt;$I78)*(1-DE$12)</f>
        <v>0</v>
      </c>
      <c r="DF78" s="747">
        <f>$G78*$H78*(1+$K78)^MAX(ROUNDUP(IFERROR(DATEDIF($I60-1,DF$15+1,"m"),)/12,)-1,)*Index!DB$23*(DF$15&gt;$I78)*(1-DF$12)</f>
        <v>0</v>
      </c>
      <c r="DG78" s="747">
        <f>$G78*$H78*(1+$K78)^MAX(ROUNDUP(IFERROR(DATEDIF($I60-1,DG$15+1,"m"),)/12,)-1,)*Index!DC$23*(DG$15&gt;$I78)*(1-DG$12)</f>
        <v>0</v>
      </c>
      <c r="DH78" s="747">
        <f>$G78*$H78*(1+$K78)^MAX(ROUNDUP(IFERROR(DATEDIF($I60-1,DH$15+1,"m"),)/12,)-1,)*Index!DD$23*(DH$15&gt;$I78)*(1-DH$12)</f>
        <v>0</v>
      </c>
      <c r="DI78" s="747">
        <f>$G78*$H78*(1+$K78)^MAX(ROUNDUP(IFERROR(DATEDIF($I60-1,DI$15+1,"m"),)/12,)-1,)*Index!DE$23*(DI$15&gt;$I78)*(1-DI$12)</f>
        <v>0</v>
      </c>
      <c r="DJ78" s="747">
        <f>$G78*$H78*(1+$K78)^MAX(ROUNDUP(IFERROR(DATEDIF($I60-1,DJ$15+1,"m"),)/12,)-1,)*Index!DF$23*(DJ$15&gt;$I78)*(1-DJ$12)</f>
        <v>0</v>
      </c>
      <c r="DK78" s="747">
        <f>$G78*$H78*(1+$K78)^MAX(ROUNDUP(IFERROR(DATEDIF($I60-1,DK$15+1,"m"),)/12,)-1,)*Index!DG$23*(DK$15&gt;$I78)*(1-DK$12)</f>
        <v>0</v>
      </c>
      <c r="DL78" s="747">
        <f>$G78*$H78*(1+$K78)^MAX(ROUNDUP(IFERROR(DATEDIF($I60-1,DL$15+1,"m"),)/12,)-1,)*Index!DH$23*(DL$15&gt;$I78)*(1-DL$12)</f>
        <v>0</v>
      </c>
      <c r="DM78" s="747">
        <f>$G78*$H78*(1+$K78)^MAX(ROUNDUP(IFERROR(DATEDIF($I60-1,DM$15+1,"m"),)/12,)-1,)*Index!DI$23*(DM$15&gt;$I78)*(1-DM$12)</f>
        <v>0</v>
      </c>
      <c r="DN78" s="747">
        <f>$G78*$H78*(1+$K78)^MAX(ROUNDUP(IFERROR(DATEDIF($I60-1,DN$15+1,"m"),)/12,)-1,)*Index!DJ$23*(DN$15&gt;$I78)*(1-DN$12)</f>
        <v>0</v>
      </c>
      <c r="DO78" s="747">
        <f>$G78*$H78*(1+$K78)^MAX(ROUNDUP(IFERROR(DATEDIF($I60-1,DO$15+1,"m"),)/12,)-1,)*Index!DK$23*(DO$15&gt;$I78)*(1-DO$12)</f>
        <v>0</v>
      </c>
      <c r="DP78" s="747">
        <f>$G78*$H78*(1+$K78)^MAX(ROUNDUP(IFERROR(DATEDIF($I60-1,DP$15+1,"m"),)/12,)-1,)*Index!DL$23*(DP$15&gt;$I78)*(1-DP$12)</f>
        <v>0</v>
      </c>
      <c r="DQ78" s="747">
        <f>$G78*$H78*(1+$K78)^MAX(ROUNDUP(IFERROR(DATEDIF($I60-1,DQ$15+1,"m"),)/12,)-1,)*Index!DM$23*(DQ$15&gt;$I78)*(1-DQ$12)</f>
        <v>0</v>
      </c>
      <c r="DR78" s="747">
        <f>$G78*$H78*(1+$K78)^MAX(ROUNDUP(IFERROR(DATEDIF($I60-1,DR$15+1,"m"),)/12,)-1,)*Index!DN$23*(DR$15&gt;$I78)*(1-DR$12)</f>
        <v>0</v>
      </c>
      <c r="DS78" s="747">
        <f>$G78*$H78*(1+$K78)^MAX(ROUNDUP(IFERROR(DATEDIF($I60-1,DS$15+1,"m"),)/12,)-1,)*Index!DO$23*(DS$15&gt;$I78)*(1-DS$12)</f>
        <v>0</v>
      </c>
      <c r="DT78" s="747">
        <f>$G78*$H78*(1+$K78)^MAX(ROUNDUP(IFERROR(DATEDIF($I60-1,DT$15+1,"m"),)/12,)-1,)*Index!DP$23*(DT$15&gt;$I78)*(1-DT$12)</f>
        <v>0</v>
      </c>
      <c r="DU78" s="747">
        <f>$G78*$H78*(1+$K78)^MAX(ROUNDUP(IFERROR(DATEDIF($I60-1,DU$15+1,"m"),)/12,)-1,)*Index!DQ$23*(DU$15&gt;$I78)*(1-DU$12)</f>
        <v>0</v>
      </c>
      <c r="DV78" s="747">
        <f>$G78*$H78*(1+$K78)^MAX(ROUNDUP(IFERROR(DATEDIF($I60-1,DV$15+1,"m"),)/12,)-1,)*Index!DR$23*(DV$15&gt;$I78)*(1-DV$12)</f>
        <v>0</v>
      </c>
      <c r="DW78" s="747">
        <f>$G78*$H78*(1+$K78)^MAX(ROUNDUP(IFERROR(DATEDIF($I60-1,DW$15+1,"m"),)/12,)-1,)*Index!DS$23*(DW$15&gt;$I78)*(1-DW$12)</f>
        <v>0</v>
      </c>
      <c r="DX78" s="747">
        <f>$G78*$H78*(1+$K78)^MAX(ROUNDUP(IFERROR(DATEDIF($I60-1,DX$15+1,"m"),)/12,)-1,)*Index!DT$23*(DX$15&gt;$I78)*(1-DX$12)</f>
        <v>0</v>
      </c>
      <c r="DY78" s="747">
        <f>$G78*$H78*(1+$K78)^MAX(ROUNDUP(IFERROR(DATEDIF($I60-1,DY$15+1,"m"),)/12,)-1,)*Index!DU$23*(DY$15&gt;$I78)*(1-DY$12)</f>
        <v>0</v>
      </c>
      <c r="DZ78" s="747">
        <f>$G78*$H78*(1+$K78)^MAX(ROUNDUP(IFERROR(DATEDIF($I60-1,DZ$15+1,"m"),)/12,)-1,)*Index!DV$23*(DZ$15&gt;$I78)*(1-DZ$12)</f>
        <v>0</v>
      </c>
      <c r="EA78" s="747">
        <f>$G78*$H78*(1+$K78)^MAX(ROUNDUP(IFERROR(DATEDIF($I60-1,EA$15+1,"m"),)/12,)-1,)*Index!DW$23*(EA$15&gt;$I78)*(1-EA$12)</f>
        <v>0</v>
      </c>
      <c r="EB78" s="747">
        <f>$G78*$H78*(1+$K78)^MAX(ROUNDUP(IFERROR(DATEDIF($I60-1,EB$15+1,"m"),)/12,)-1,)*Index!DX$23*(EB$15&gt;$I78)*(1-EB$12)</f>
        <v>0</v>
      </c>
      <c r="EC78" s="747">
        <f>$G78*$H78*(1+$K78)^MAX(ROUNDUP(IFERROR(DATEDIF($I60-1,EC$15+1,"m"),)/12,)-1,)*Index!DY$23*(EC$15&gt;$I78)*(1-EC$12)</f>
        <v>0</v>
      </c>
      <c r="ED78" s="747">
        <f>$G78*$H78*(1+$K78)^MAX(ROUNDUP(IFERROR(DATEDIF($I60-1,ED$15+1,"m"),)/12,)-1,)*Index!DZ$23*(ED$15&gt;$I78)*(1-ED$12)</f>
        <v>0</v>
      </c>
      <c r="EE78" s="747">
        <f>$G78*$H78*(1+$K78)^MAX(ROUNDUP(IFERROR(DATEDIF($I60-1,EE$15+1,"m"),)/12,)-1,)*Index!EA$23*(EE$15&gt;$I78)*(1-EE$12)</f>
        <v>0</v>
      </c>
      <c r="EF78" s="747">
        <f>$G78*$H78*(1+$K78)^MAX(ROUNDUP(IFERROR(DATEDIF($I60-1,EF$15+1,"m"),)/12,)-1,)*Index!EB$23*(EF$15&gt;$I78)*(1-EF$12)</f>
        <v>0</v>
      </c>
      <c r="EG78" s="747">
        <f>$G78*$H78*(1+$K78)^MAX(ROUNDUP(IFERROR(DATEDIF($I60-1,EG$15+1,"m"),)/12,)-1,)*Index!EC$23*(EG$15&gt;$I78)*(1-EG$12)</f>
        <v>169593.76891844839</v>
      </c>
      <c r="EH78" s="747">
        <f>$G78*$H78*(1+$K78)^MAX(ROUNDUP(IFERROR(DATEDIF($I60-1,EH$15+1,"m"),)/12,)-1,)*Index!ED$23*(EH$15&gt;$I78)*(1-EH$12)</f>
        <v>169593.76891844839</v>
      </c>
      <c r="EI78" s="747">
        <f>$G78*$H78*(1+$K78)^MAX(ROUNDUP(IFERROR(DATEDIF($I60-1,EI$15+1,"m"),)/12,)-1,)*Index!EE$23*(EI$15&gt;$I78)*(1-EI$12)</f>
        <v>169593.76891844839</v>
      </c>
      <c r="EJ78" s="747">
        <f>$G78*$H78*(1+$K78)^MAX(ROUNDUP(IFERROR(DATEDIF($I60-1,EJ$15+1,"m"),)/12,)-1,)*Index!EF$23*(EJ$15&gt;$I78)*(1-EJ$12)</f>
        <v>173833.61314140959</v>
      </c>
      <c r="EK78" s="747">
        <f>$G78*$H78*(1+$K78)^MAX(ROUNDUP(IFERROR(DATEDIF($I60-1,EK$15+1,"m"),)/12,)-1,)*Index!EG$23*(EK$15&gt;$I78)*(1-EK$12)</f>
        <v>173833.61314140959</v>
      </c>
      <c r="EL78" s="747">
        <f>$G78*$H78*(1+$K78)^MAX(ROUNDUP(IFERROR(DATEDIF($I60-1,EL$15+1,"m"),)/12,)-1,)*Index!EH$23*(EL$15&gt;$I78)*(1-EL$12)</f>
        <v>173833.61314140959</v>
      </c>
      <c r="EM78" s="747">
        <f>$G78*$H78*(1+$K78)^MAX(ROUNDUP(IFERROR(DATEDIF($I60-1,EM$15+1,"m"),)/12,)-1,)*Index!EI$23*(EM$15&gt;$I78)*(1-EM$12)</f>
        <v>173833.61314140959</v>
      </c>
      <c r="EN78" s="747">
        <f>$G78*$H78*(1+$K78)^MAX(ROUNDUP(IFERROR(DATEDIF($I60-1,EN$15+1,"m"),)/12,)-1,)*Index!EJ$23*(EN$15&gt;$I78)*(1-EN$12)</f>
        <v>173833.61314140959</v>
      </c>
      <c r="EO78" s="747">
        <f>$G78*$H78*(1+$K78)^MAX(ROUNDUP(IFERROR(DATEDIF($I60-1,EO$15+1,"m"),)/12,)-1,)*Index!EK$23*(EO$15&gt;$I78)*(1-EO$12)</f>
        <v>173833.61314140959</v>
      </c>
      <c r="EP78" s="747">
        <f>$G78*$H78*(1+$K78)^MAX(ROUNDUP(IFERROR(DATEDIF($I60-1,EP$15+1,"m"),)/12,)-1,)*Index!EL$23*(EP$15&gt;$I78)*(1-EP$12)</f>
        <v>173833.61314140959</v>
      </c>
      <c r="EQ78" s="747">
        <f>$G78*$H78*(1+$K78)^MAX(ROUNDUP(IFERROR(DATEDIF($I60-1,EQ$15+1,"m"),)/12,)-1,)*Index!EM$23*(EQ$15&gt;$I78)*(1-EQ$12)</f>
        <v>173833.61314140959</v>
      </c>
      <c r="ER78" s="747">
        <f>$G78*$H78*(1+$K78)^MAX(ROUNDUP(IFERROR(DATEDIF($I60-1,ER$15+1,"m"),)/12,)-1,)*Index!EN$23*(ER$15&gt;$I78)*(1-ER$12)</f>
        <v>173833.61314140959</v>
      </c>
      <c r="ES78" s="747">
        <f>$G78*$H78*(1+$K78)^MAX(ROUNDUP(IFERROR(DATEDIF($I60-1,ES$15+1,"m"),)/12,)-1,)*Index!EO$23*(ES$15&gt;$I78)*(1-ES$12)</f>
        <v>0</v>
      </c>
      <c r="ET78" s="747">
        <f>$G78*$H78*(1+$K78)^MAX(ROUNDUP(IFERROR(DATEDIF($I60-1,ET$15+1,"m"),)/12,)-1,)*Index!EP$23*(ET$15&gt;$I78)*(1-ET$12)</f>
        <v>0</v>
      </c>
      <c r="EU78" s="747">
        <f>$G78*$H78*(1+$K78)^MAX(ROUNDUP(IFERROR(DATEDIF($I60-1,EU$15+1,"m"),)/12,)-1,)*Index!EQ$23*(EU$15&gt;$I78)*(1-EU$12)</f>
        <v>0</v>
      </c>
    </row>
    <row r="79" spans="3:151" ht="11.25" customHeight="1">
      <c r="C79" s="828"/>
      <c r="D79" s="743">
        <f t="shared" si="40"/>
        <v>4</v>
      </c>
      <c r="E79" s="704" t="str">
        <f t="shared" si="40"/>
        <v>쿠팡</v>
      </c>
      <c r="F79" s="704" t="str">
        <f t="shared" si="40"/>
        <v>상온창고</v>
      </c>
      <c r="G79" s="752">
        <f t="shared" si="41"/>
        <v>57.698001860542107</v>
      </c>
      <c r="H79" s="744">
        <f t="shared" si="40"/>
        <v>2185.56</v>
      </c>
      <c r="I79" s="745">
        <f t="shared" si="42"/>
        <v>49064</v>
      </c>
      <c r="J79" s="745"/>
      <c r="K79" s="754">
        <f t="shared" si="43"/>
        <v>2.5000000000000001E-2</v>
      </c>
      <c r="L79" s="746"/>
      <c r="M79" s="722"/>
      <c r="N79" s="747">
        <f t="shared" si="44"/>
        <v>2060564.2923591477</v>
      </c>
      <c r="O79" s="733"/>
      <c r="P79" s="747">
        <f>$G79*$H79*(1+$K79)^MAX(ROUNDUP(IFERROR(DATEDIF($I61-1,P$15+1,"m"),)/12,)-1,)*Index!L$23*(P$15&gt;$I79)*(1-P$12)</f>
        <v>0</v>
      </c>
      <c r="Q79" s="747">
        <f>$G79*$H79*(1+$K79)^MAX(ROUNDUP(IFERROR(DATEDIF($I61-1,Q$15+1,"m"),)/12,)-1,)*Index!M$23*(Q$15&gt;$I79)*(1-Q$12)</f>
        <v>0</v>
      </c>
      <c r="R79" s="747">
        <f>$G79*$H79*(1+$K79)^MAX(ROUNDUP(IFERROR(DATEDIF($I61-1,R$15+1,"m"),)/12,)-1,)*Index!N$23*(R$15&gt;$I79)*(1-R$12)</f>
        <v>0</v>
      </c>
      <c r="S79" s="747">
        <f>$G79*$H79*(1+$K79)^MAX(ROUNDUP(IFERROR(DATEDIF($I61-1,S$15+1,"m"),)/12,)-1,)*Index!O$23*(S$15&gt;$I79)*(1-S$12)</f>
        <v>0</v>
      </c>
      <c r="T79" s="747">
        <f>$G79*$H79*(1+$K79)^MAX(ROUNDUP(IFERROR(DATEDIF($I61-1,T$15+1,"m"),)/12,)-1,)*Index!P$23*(T$15&gt;$I79)*(1-T$12)</f>
        <v>0</v>
      </c>
      <c r="U79" s="747">
        <f>$G79*$H79*(1+$K79)^MAX(ROUNDUP(IFERROR(DATEDIF($I61-1,U$15+1,"m"),)/12,)-1,)*Index!Q$23*(U$15&gt;$I79)*(1-U$12)</f>
        <v>0</v>
      </c>
      <c r="V79" s="747">
        <f>$G79*$H79*(1+$K79)^MAX(ROUNDUP(IFERROR(DATEDIF($I61-1,V$15+1,"m"),)/12,)-1,)*Index!R$23*(V$15&gt;$I79)*(1-V$12)</f>
        <v>0</v>
      </c>
      <c r="W79" s="747">
        <f>$G79*$H79*(1+$K79)^MAX(ROUNDUP(IFERROR(DATEDIF($I61-1,W$15+1,"m"),)/12,)-1,)*Index!S$23*(W$15&gt;$I79)*(1-W$12)</f>
        <v>0</v>
      </c>
      <c r="X79" s="747">
        <f>$G79*$H79*(1+$K79)^MAX(ROUNDUP(IFERROR(DATEDIF($I61-1,X$15+1,"m"),)/12,)-1,)*Index!T$23*(X$15&gt;$I79)*(1-X$12)</f>
        <v>0</v>
      </c>
      <c r="Y79" s="747">
        <f>$G79*$H79*(1+$K79)^MAX(ROUNDUP(IFERROR(DATEDIF($I61-1,Y$15+1,"m"),)/12,)-1,)*Index!U$23*(Y$15&gt;$I79)*(1-Y$12)</f>
        <v>0</v>
      </c>
      <c r="Z79" s="747">
        <f>$G79*$H79*(1+$K79)^MAX(ROUNDUP(IFERROR(DATEDIF($I61-1,Z$15+1,"m"),)/12,)-1,)*Index!V$23*(Z$15&gt;$I79)*(1-Z$12)</f>
        <v>0</v>
      </c>
      <c r="AA79" s="747">
        <f>$G79*$H79*(1+$K79)^MAX(ROUNDUP(IFERROR(DATEDIF($I61-1,AA$15+1,"m"),)/12,)-1,)*Index!W$23*(AA$15&gt;$I79)*(1-AA$12)</f>
        <v>0</v>
      </c>
      <c r="AB79" s="747">
        <f>$G79*$H79*(1+$K79)^MAX(ROUNDUP(IFERROR(DATEDIF($I61-1,AB$15+1,"m"),)/12,)-1,)*Index!X$23*(AB$15&gt;$I79)*(1-AB$12)</f>
        <v>0</v>
      </c>
      <c r="AC79" s="747">
        <f>$G79*$H79*(1+$K79)^MAX(ROUNDUP(IFERROR(DATEDIF($I61-1,AC$15+1,"m"),)/12,)-1,)*Index!Y$23*(AC$15&gt;$I79)*(1-AC$12)</f>
        <v>0</v>
      </c>
      <c r="AD79" s="747">
        <f>$G79*$H79*(1+$K79)^MAX(ROUNDUP(IFERROR(DATEDIF($I61-1,AD$15+1,"m"),)/12,)-1,)*Index!Z$23*(AD$15&gt;$I79)*(1-AD$12)</f>
        <v>0</v>
      </c>
      <c r="AE79" s="747">
        <f>$G79*$H79*(1+$K79)^MAX(ROUNDUP(IFERROR(DATEDIF($I61-1,AE$15+1,"m"),)/12,)-1,)*Index!AA$23*(AE$15&gt;$I79)*(1-AE$12)</f>
        <v>0</v>
      </c>
      <c r="AF79" s="747">
        <f>$G79*$H79*(1+$K79)^MAX(ROUNDUP(IFERROR(DATEDIF($I61-1,AF$15+1,"m"),)/12,)-1,)*Index!AB$23*(AF$15&gt;$I79)*(1-AF$12)</f>
        <v>0</v>
      </c>
      <c r="AG79" s="747">
        <f>$G79*$H79*(1+$K79)^MAX(ROUNDUP(IFERROR(DATEDIF($I61-1,AG$15+1,"m"),)/12,)-1,)*Index!AC$23*(AG$15&gt;$I79)*(1-AG$12)</f>
        <v>0</v>
      </c>
      <c r="AH79" s="747">
        <f>$G79*$H79*(1+$K79)^MAX(ROUNDUP(IFERROR(DATEDIF($I61-1,AH$15+1,"m"),)/12,)-1,)*Index!AD$23*(AH$15&gt;$I79)*(1-AH$12)</f>
        <v>0</v>
      </c>
      <c r="AI79" s="747">
        <f>$G79*$H79*(1+$K79)^MAX(ROUNDUP(IFERROR(DATEDIF($I61-1,AI$15+1,"m"),)/12,)-1,)*Index!AE$23*(AI$15&gt;$I79)*(1-AI$12)</f>
        <v>0</v>
      </c>
      <c r="AJ79" s="747">
        <f>$G79*$H79*(1+$K79)^MAX(ROUNDUP(IFERROR(DATEDIF($I61-1,AJ$15+1,"m"),)/12,)-1,)*Index!AF$23*(AJ$15&gt;$I79)*(1-AJ$12)</f>
        <v>0</v>
      </c>
      <c r="AK79" s="747">
        <f>$G79*$H79*(1+$K79)^MAX(ROUNDUP(IFERROR(DATEDIF($I61-1,AK$15+1,"m"),)/12,)-1,)*Index!AG$23*(AK$15&gt;$I79)*(1-AK$12)</f>
        <v>0</v>
      </c>
      <c r="AL79" s="747">
        <f>$G79*$H79*(1+$K79)^MAX(ROUNDUP(IFERROR(DATEDIF($I61-1,AL$15+1,"m"),)/12,)-1,)*Index!AH$23*(AL$15&gt;$I79)*(1-AL$12)</f>
        <v>0</v>
      </c>
      <c r="AM79" s="747">
        <f>$G79*$H79*(1+$K79)^MAX(ROUNDUP(IFERROR(DATEDIF($I61-1,AM$15+1,"m"),)/12,)-1,)*Index!AI$23*(AM$15&gt;$I79)*(1-AM$12)</f>
        <v>0</v>
      </c>
      <c r="AN79" s="747">
        <f>$G79*$H79*(1+$K79)^MAX(ROUNDUP(IFERROR(DATEDIF($I61-1,AN$15+1,"m"),)/12,)-1,)*Index!AJ$23*(AN$15&gt;$I79)*(1-AN$12)</f>
        <v>0</v>
      </c>
      <c r="AO79" s="747">
        <f>$G79*$H79*(1+$K79)^MAX(ROUNDUP(IFERROR(DATEDIF($I61-1,AO$15+1,"m"),)/12,)-1,)*Index!AK$23*(AO$15&gt;$I79)*(1-AO$12)</f>
        <v>0</v>
      </c>
      <c r="AP79" s="747">
        <f>$G79*$H79*(1+$K79)^MAX(ROUNDUP(IFERROR(DATEDIF($I61-1,AP$15+1,"m"),)/12,)-1,)*Index!AL$23*(AP$15&gt;$I79)*(1-AP$12)</f>
        <v>0</v>
      </c>
      <c r="AQ79" s="747">
        <f>$G79*$H79*(1+$K79)^MAX(ROUNDUP(IFERROR(DATEDIF($I61-1,AQ$15+1,"m"),)/12,)-1,)*Index!AM$23*(AQ$15&gt;$I79)*(1-AQ$12)</f>
        <v>0</v>
      </c>
      <c r="AR79" s="747">
        <f>$G79*$H79*(1+$K79)^MAX(ROUNDUP(IFERROR(DATEDIF($I61-1,AR$15+1,"m"),)/12,)-1,)*Index!AN$23*(AR$15&gt;$I79)*(1-AR$12)</f>
        <v>0</v>
      </c>
      <c r="AS79" s="747">
        <f>$G79*$H79*(1+$K79)^MAX(ROUNDUP(IFERROR(DATEDIF($I61-1,AS$15+1,"m"),)/12,)-1,)*Index!AO$23*(AS$15&gt;$I79)*(1-AS$12)</f>
        <v>0</v>
      </c>
      <c r="AT79" s="747">
        <f>$G79*$H79*(1+$K79)^MAX(ROUNDUP(IFERROR(DATEDIF($I61-1,AT$15+1,"m"),)/12,)-1,)*Index!AP$23*(AT$15&gt;$I79)*(1-AT$12)</f>
        <v>0</v>
      </c>
      <c r="AU79" s="747">
        <f>$G79*$H79*(1+$K79)^MAX(ROUNDUP(IFERROR(DATEDIF($I61-1,AU$15+1,"m"),)/12,)-1,)*Index!AQ$23*(AU$15&gt;$I79)*(1-AU$12)</f>
        <v>0</v>
      </c>
      <c r="AV79" s="747">
        <f>$G79*$H79*(1+$K79)^MAX(ROUNDUP(IFERROR(DATEDIF($I61-1,AV$15+1,"m"),)/12,)-1,)*Index!AR$23*(AV$15&gt;$I79)*(1-AV$12)</f>
        <v>0</v>
      </c>
      <c r="AW79" s="747">
        <f>$G79*$H79*(1+$K79)^MAX(ROUNDUP(IFERROR(DATEDIF($I61-1,AW$15+1,"m"),)/12,)-1,)*Index!AS$23*(AW$15&gt;$I79)*(1-AW$12)</f>
        <v>0</v>
      </c>
      <c r="AX79" s="747">
        <f>$G79*$H79*(1+$K79)^MAX(ROUNDUP(IFERROR(DATEDIF($I61-1,AX$15+1,"m"),)/12,)-1,)*Index!AT$23*(AX$15&gt;$I79)*(1-AX$12)</f>
        <v>0</v>
      </c>
      <c r="AY79" s="747">
        <f>$G79*$H79*(1+$K79)^MAX(ROUNDUP(IFERROR(DATEDIF($I61-1,AY$15+1,"m"),)/12,)-1,)*Index!AU$23*(AY$15&gt;$I79)*(1-AY$12)</f>
        <v>0</v>
      </c>
      <c r="AZ79" s="747">
        <f>$G79*$H79*(1+$K79)^MAX(ROUNDUP(IFERROR(DATEDIF($I61-1,AZ$15+1,"m"),)/12,)-1,)*Index!AV$23*(AZ$15&gt;$I79)*(1-AZ$12)</f>
        <v>0</v>
      </c>
      <c r="BA79" s="747">
        <f>$G79*$H79*(1+$K79)^MAX(ROUNDUP(IFERROR(DATEDIF($I61-1,BA$15+1,"m"),)/12,)-1,)*Index!AW$23*(BA$15&gt;$I79)*(1-BA$12)</f>
        <v>0</v>
      </c>
      <c r="BB79" s="747">
        <f>$G79*$H79*(1+$K79)^MAX(ROUNDUP(IFERROR(DATEDIF($I61-1,BB$15+1,"m"),)/12,)-1,)*Index!AX$23*(BB$15&gt;$I79)*(1-BB$12)</f>
        <v>0</v>
      </c>
      <c r="BC79" s="747">
        <f>$G79*$H79*(1+$K79)^MAX(ROUNDUP(IFERROR(DATEDIF($I61-1,BC$15+1,"m"),)/12,)-1,)*Index!AY$23*(BC$15&gt;$I79)*(1-BC$12)</f>
        <v>0</v>
      </c>
      <c r="BD79" s="747">
        <f>$G79*$H79*(1+$K79)^MAX(ROUNDUP(IFERROR(DATEDIF($I61-1,BD$15+1,"m"),)/12,)-1,)*Index!AZ$23*(BD$15&gt;$I79)*(1-BD$12)</f>
        <v>0</v>
      </c>
      <c r="BE79" s="747">
        <f>$G79*$H79*(1+$K79)^MAX(ROUNDUP(IFERROR(DATEDIF($I61-1,BE$15+1,"m"),)/12,)-1,)*Index!BA$23*(BE$15&gt;$I79)*(1-BE$12)</f>
        <v>0</v>
      </c>
      <c r="BF79" s="747">
        <f>$G79*$H79*(1+$K79)^MAX(ROUNDUP(IFERROR(DATEDIF($I61-1,BF$15+1,"m"),)/12,)-1,)*Index!BB$23*(BF$15&gt;$I79)*(1-BF$12)</f>
        <v>0</v>
      </c>
      <c r="BG79" s="747">
        <f>$G79*$H79*(1+$K79)^MAX(ROUNDUP(IFERROR(DATEDIF($I61-1,BG$15+1,"m"),)/12,)-1,)*Index!BC$23*(BG$15&gt;$I79)*(1-BG$12)</f>
        <v>0</v>
      </c>
      <c r="BH79" s="747">
        <f>$G79*$H79*(1+$K79)^MAX(ROUNDUP(IFERROR(DATEDIF($I61-1,BH$15+1,"m"),)/12,)-1,)*Index!BD$23*(BH$15&gt;$I79)*(1-BH$12)</f>
        <v>0</v>
      </c>
      <c r="BI79" s="747">
        <f>$G79*$H79*(1+$K79)^MAX(ROUNDUP(IFERROR(DATEDIF($I61-1,BI$15+1,"m"),)/12,)-1,)*Index!BE$23*(BI$15&gt;$I79)*(1-BI$12)</f>
        <v>0</v>
      </c>
      <c r="BJ79" s="747">
        <f>$G79*$H79*(1+$K79)^MAX(ROUNDUP(IFERROR(DATEDIF($I61-1,BJ$15+1,"m"),)/12,)-1,)*Index!BF$23*(BJ$15&gt;$I79)*(1-BJ$12)</f>
        <v>0</v>
      </c>
      <c r="BK79" s="747">
        <f>$G79*$H79*(1+$K79)^MAX(ROUNDUP(IFERROR(DATEDIF($I61-1,BK$15+1,"m"),)/12,)-1,)*Index!BG$23*(BK$15&gt;$I79)*(1-BK$12)</f>
        <v>0</v>
      </c>
      <c r="BL79" s="747">
        <f>$G79*$H79*(1+$K79)^MAX(ROUNDUP(IFERROR(DATEDIF($I61-1,BL$15+1,"m"),)/12,)-1,)*Index!BH$23*(BL$15&gt;$I79)*(1-BL$12)</f>
        <v>0</v>
      </c>
      <c r="BM79" s="747">
        <f>$G79*$H79*(1+$K79)^MAX(ROUNDUP(IFERROR(DATEDIF($I61-1,BM$15+1,"m"),)/12,)-1,)*Index!BI$23*(BM$15&gt;$I79)*(1-BM$12)</f>
        <v>0</v>
      </c>
      <c r="BN79" s="747">
        <f>$G79*$H79*(1+$K79)^MAX(ROUNDUP(IFERROR(DATEDIF($I61-1,BN$15+1,"m"),)/12,)-1,)*Index!BJ$23*(BN$15&gt;$I79)*(1-BN$12)</f>
        <v>0</v>
      </c>
      <c r="BO79" s="747">
        <f>$G79*$H79*(1+$K79)^MAX(ROUNDUP(IFERROR(DATEDIF($I61-1,BO$15+1,"m"),)/12,)-1,)*Index!BK$23*(BO$15&gt;$I79)*(1-BO$12)</f>
        <v>0</v>
      </c>
      <c r="BP79" s="747">
        <f>$G79*$H79*(1+$K79)^MAX(ROUNDUP(IFERROR(DATEDIF($I61-1,BP$15+1,"m"),)/12,)-1,)*Index!BL$23*(BP$15&gt;$I79)*(1-BP$12)</f>
        <v>0</v>
      </c>
      <c r="BQ79" s="747">
        <f>$G79*$H79*(1+$K79)^MAX(ROUNDUP(IFERROR(DATEDIF($I61-1,BQ$15+1,"m"),)/12,)-1,)*Index!BM$23*(BQ$15&gt;$I79)*(1-BQ$12)</f>
        <v>0</v>
      </c>
      <c r="BR79" s="747">
        <f>$G79*$H79*(1+$K79)^MAX(ROUNDUP(IFERROR(DATEDIF($I61-1,BR$15+1,"m"),)/12,)-1,)*Index!BN$23*(BR$15&gt;$I79)*(1-BR$12)</f>
        <v>0</v>
      </c>
      <c r="BS79" s="747">
        <f>$G79*$H79*(1+$K79)^MAX(ROUNDUP(IFERROR(DATEDIF($I61-1,BS$15+1,"m"),)/12,)-1,)*Index!BO$23*(BS$15&gt;$I79)*(1-BS$12)</f>
        <v>0</v>
      </c>
      <c r="BT79" s="747">
        <f>$G79*$H79*(1+$K79)^MAX(ROUNDUP(IFERROR(DATEDIF($I61-1,BT$15+1,"m"),)/12,)-1,)*Index!BP$23*(BT$15&gt;$I79)*(1-BT$12)</f>
        <v>0</v>
      </c>
      <c r="BU79" s="747">
        <f>$G79*$H79*(1+$K79)^MAX(ROUNDUP(IFERROR(DATEDIF($I61-1,BU$15+1,"m"),)/12,)-1,)*Index!BQ$23*(BU$15&gt;$I79)*(1-BU$12)</f>
        <v>0</v>
      </c>
      <c r="BV79" s="747">
        <f>$G79*$H79*(1+$K79)^MAX(ROUNDUP(IFERROR(DATEDIF($I61-1,BV$15+1,"m"),)/12,)-1,)*Index!BR$23*(BV$15&gt;$I79)*(1-BV$12)</f>
        <v>0</v>
      </c>
      <c r="BW79" s="747">
        <f>$G79*$H79*(1+$K79)^MAX(ROUNDUP(IFERROR(DATEDIF($I61-1,BW$15+1,"m"),)/12,)-1,)*Index!BS$23*(BW$15&gt;$I79)*(1-BW$12)</f>
        <v>0</v>
      </c>
      <c r="BX79" s="747">
        <f>$G79*$H79*(1+$K79)^MAX(ROUNDUP(IFERROR(DATEDIF($I61-1,BX$15+1,"m"),)/12,)-1,)*Index!BT$23*(BX$15&gt;$I79)*(1-BX$12)</f>
        <v>0</v>
      </c>
      <c r="BY79" s="747">
        <f>$G79*$H79*(1+$K79)^MAX(ROUNDUP(IFERROR(DATEDIF($I61-1,BY$15+1,"m"),)/12,)-1,)*Index!BU$23*(BY$15&gt;$I79)*(1-BY$12)</f>
        <v>0</v>
      </c>
      <c r="BZ79" s="747">
        <f>$G79*$H79*(1+$K79)^MAX(ROUNDUP(IFERROR(DATEDIF($I61-1,BZ$15+1,"m"),)/12,)-1,)*Index!BV$23*(BZ$15&gt;$I79)*(1-BZ$12)</f>
        <v>0</v>
      </c>
      <c r="CA79" s="747">
        <f>$G79*$H79*(1+$K79)^MAX(ROUNDUP(IFERROR(DATEDIF($I61-1,CA$15+1,"m"),)/12,)-1,)*Index!BW$23*(CA$15&gt;$I79)*(1-CA$12)</f>
        <v>0</v>
      </c>
      <c r="CB79" s="747">
        <f>$G79*$H79*(1+$K79)^MAX(ROUNDUP(IFERROR(DATEDIF($I61-1,CB$15+1,"m"),)/12,)-1,)*Index!BX$23*(CB$15&gt;$I79)*(1-CB$12)</f>
        <v>0</v>
      </c>
      <c r="CC79" s="747">
        <f>$G79*$H79*(1+$K79)^MAX(ROUNDUP(IFERROR(DATEDIF($I61-1,CC$15+1,"m"),)/12,)-1,)*Index!BY$23*(CC$15&gt;$I79)*(1-CC$12)</f>
        <v>0</v>
      </c>
      <c r="CD79" s="747">
        <f>$G79*$H79*(1+$K79)^MAX(ROUNDUP(IFERROR(DATEDIF($I61-1,CD$15+1,"m"),)/12,)-1,)*Index!BZ$23*(CD$15&gt;$I79)*(1-CD$12)</f>
        <v>0</v>
      </c>
      <c r="CE79" s="747">
        <f>$G79*$H79*(1+$K79)^MAX(ROUNDUP(IFERROR(DATEDIF($I61-1,CE$15+1,"m"),)/12,)-1,)*Index!CA$23*(CE$15&gt;$I79)*(1-CE$12)</f>
        <v>0</v>
      </c>
      <c r="CF79" s="747">
        <f>$G79*$H79*(1+$K79)^MAX(ROUNDUP(IFERROR(DATEDIF($I61-1,CF$15+1,"m"),)/12,)-1,)*Index!CB$23*(CF$15&gt;$I79)*(1-CF$12)</f>
        <v>0</v>
      </c>
      <c r="CG79" s="747">
        <f>$G79*$H79*(1+$K79)^MAX(ROUNDUP(IFERROR(DATEDIF($I61-1,CG$15+1,"m"),)/12,)-1,)*Index!CC$23*(CG$15&gt;$I79)*(1-CG$12)</f>
        <v>0</v>
      </c>
      <c r="CH79" s="747">
        <f>$G79*$H79*(1+$K79)^MAX(ROUNDUP(IFERROR(DATEDIF($I61-1,CH$15+1,"m"),)/12,)-1,)*Index!CD$23*(CH$15&gt;$I79)*(1-CH$12)</f>
        <v>0</v>
      </c>
      <c r="CI79" s="747">
        <f>$G79*$H79*(1+$K79)^MAX(ROUNDUP(IFERROR(DATEDIF($I61-1,CI$15+1,"m"),)/12,)-1,)*Index!CE$23*(CI$15&gt;$I79)*(1-CI$12)</f>
        <v>0</v>
      </c>
      <c r="CJ79" s="747">
        <f>$G79*$H79*(1+$K79)^MAX(ROUNDUP(IFERROR(DATEDIF($I61-1,CJ$15+1,"m"),)/12,)-1,)*Index!CF$23*(CJ$15&gt;$I79)*(1-CJ$12)</f>
        <v>0</v>
      </c>
      <c r="CK79" s="747">
        <f>$G79*$H79*(1+$K79)^MAX(ROUNDUP(IFERROR(DATEDIF($I61-1,CK$15+1,"m"),)/12,)-1,)*Index!CG$23*(CK$15&gt;$I79)*(1-CK$12)</f>
        <v>0</v>
      </c>
      <c r="CL79" s="747">
        <f>$G79*$H79*(1+$K79)^MAX(ROUNDUP(IFERROR(DATEDIF($I61-1,CL$15+1,"m"),)/12,)-1,)*Index!CH$23*(CL$15&gt;$I79)*(1-CL$12)</f>
        <v>0</v>
      </c>
      <c r="CM79" s="747">
        <f>$G79*$H79*(1+$K79)^MAX(ROUNDUP(IFERROR(DATEDIF($I61-1,CM$15+1,"m"),)/12,)-1,)*Index!CI$23*(CM$15&gt;$I79)*(1-CM$12)</f>
        <v>0</v>
      </c>
      <c r="CN79" s="747">
        <f>$G79*$H79*(1+$K79)^MAX(ROUNDUP(IFERROR(DATEDIF($I61-1,CN$15+1,"m"),)/12,)-1,)*Index!CJ$23*(CN$15&gt;$I79)*(1-CN$12)</f>
        <v>0</v>
      </c>
      <c r="CO79" s="747">
        <f>$G79*$H79*(1+$K79)^MAX(ROUNDUP(IFERROR(DATEDIF($I61-1,CO$15+1,"m"),)/12,)-1,)*Index!CK$23*(CO$15&gt;$I79)*(1-CO$12)</f>
        <v>0</v>
      </c>
      <c r="CP79" s="747">
        <f>$G79*$H79*(1+$K79)^MAX(ROUNDUP(IFERROR(DATEDIF($I61-1,CP$15+1,"m"),)/12,)-1,)*Index!CL$23*(CP$15&gt;$I79)*(1-CP$12)</f>
        <v>0</v>
      </c>
      <c r="CQ79" s="747">
        <f>$G79*$H79*(1+$K79)^MAX(ROUNDUP(IFERROR(DATEDIF($I61-1,CQ$15+1,"m"),)/12,)-1,)*Index!CM$23*(CQ$15&gt;$I79)*(1-CQ$12)</f>
        <v>0</v>
      </c>
      <c r="CR79" s="747">
        <f>$G79*$H79*(1+$K79)^MAX(ROUNDUP(IFERROR(DATEDIF($I61-1,CR$15+1,"m"),)/12,)-1,)*Index!CN$23*(CR$15&gt;$I79)*(1-CR$12)</f>
        <v>0</v>
      </c>
      <c r="CS79" s="747">
        <f>$G79*$H79*(1+$K79)^MAX(ROUNDUP(IFERROR(DATEDIF($I61-1,CS$15+1,"m"),)/12,)-1,)*Index!CO$23*(CS$15&gt;$I79)*(1-CS$12)</f>
        <v>0</v>
      </c>
      <c r="CT79" s="747">
        <f>$G79*$H79*(1+$K79)^MAX(ROUNDUP(IFERROR(DATEDIF($I61-1,CT$15+1,"m"),)/12,)-1,)*Index!CP$23*(CT$15&gt;$I79)*(1-CT$12)</f>
        <v>0</v>
      </c>
      <c r="CU79" s="747">
        <f>$G79*$H79*(1+$K79)^MAX(ROUNDUP(IFERROR(DATEDIF($I61-1,CU$15+1,"m"),)/12,)-1,)*Index!CQ$23*(CU$15&gt;$I79)*(1-CU$12)</f>
        <v>0</v>
      </c>
      <c r="CV79" s="747">
        <f>$G79*$H79*(1+$K79)^MAX(ROUNDUP(IFERROR(DATEDIF($I61-1,CV$15+1,"m"),)/12,)-1,)*Index!CR$23*(CV$15&gt;$I79)*(1-CV$12)</f>
        <v>0</v>
      </c>
      <c r="CW79" s="747">
        <f>$G79*$H79*(1+$K79)^MAX(ROUNDUP(IFERROR(DATEDIF($I61-1,CW$15+1,"m"),)/12,)-1,)*Index!CS$23*(CW$15&gt;$I79)*(1-CW$12)</f>
        <v>0</v>
      </c>
      <c r="CX79" s="747">
        <f>$G79*$H79*(1+$K79)^MAX(ROUNDUP(IFERROR(DATEDIF($I61-1,CX$15+1,"m"),)/12,)-1,)*Index!CT$23*(CX$15&gt;$I79)*(1-CX$12)</f>
        <v>0</v>
      </c>
      <c r="CY79" s="747">
        <f>$G79*$H79*(1+$K79)^MAX(ROUNDUP(IFERROR(DATEDIF($I61-1,CY$15+1,"m"),)/12,)-1,)*Index!CU$23*(CY$15&gt;$I79)*(1-CY$12)</f>
        <v>0</v>
      </c>
      <c r="CZ79" s="747">
        <f>$G79*$H79*(1+$K79)^MAX(ROUNDUP(IFERROR(DATEDIF($I61-1,CZ$15+1,"m"),)/12,)-1,)*Index!CV$23*(CZ$15&gt;$I79)*(1-CZ$12)</f>
        <v>0</v>
      </c>
      <c r="DA79" s="747">
        <f>$G79*$H79*(1+$K79)^MAX(ROUNDUP(IFERROR(DATEDIF($I61-1,DA$15+1,"m"),)/12,)-1,)*Index!CW$23*(DA$15&gt;$I79)*(1-DA$12)</f>
        <v>0</v>
      </c>
      <c r="DB79" s="747">
        <f>$G79*$H79*(1+$K79)^MAX(ROUNDUP(IFERROR(DATEDIF($I61-1,DB$15+1,"m"),)/12,)-1,)*Index!CX$23*(DB$15&gt;$I79)*(1-DB$12)</f>
        <v>0</v>
      </c>
      <c r="DC79" s="747">
        <f>$G79*$H79*(1+$K79)^MAX(ROUNDUP(IFERROR(DATEDIF($I61-1,DC$15+1,"m"),)/12,)-1,)*Index!CY$23*(DC$15&gt;$I79)*(1-DC$12)</f>
        <v>0</v>
      </c>
      <c r="DD79" s="747">
        <f>$G79*$H79*(1+$K79)^MAX(ROUNDUP(IFERROR(DATEDIF($I61-1,DD$15+1,"m"),)/12,)-1,)*Index!CZ$23*(DD$15&gt;$I79)*(1-DD$12)</f>
        <v>0</v>
      </c>
      <c r="DE79" s="747">
        <f>$G79*$H79*(1+$K79)^MAX(ROUNDUP(IFERROR(DATEDIF($I61-1,DE$15+1,"m"),)/12,)-1,)*Index!DA$23*(DE$15&gt;$I79)*(1-DE$12)</f>
        <v>0</v>
      </c>
      <c r="DF79" s="747">
        <f>$G79*$H79*(1+$K79)^MAX(ROUNDUP(IFERROR(DATEDIF($I61-1,DF$15+1,"m"),)/12,)-1,)*Index!DB$23*(DF$15&gt;$I79)*(1-DF$12)</f>
        <v>0</v>
      </c>
      <c r="DG79" s="747">
        <f>$G79*$H79*(1+$K79)^MAX(ROUNDUP(IFERROR(DATEDIF($I61-1,DG$15+1,"m"),)/12,)-1,)*Index!DC$23*(DG$15&gt;$I79)*(1-DG$12)</f>
        <v>0</v>
      </c>
      <c r="DH79" s="747">
        <f>$G79*$H79*(1+$K79)^MAX(ROUNDUP(IFERROR(DATEDIF($I61-1,DH$15+1,"m"),)/12,)-1,)*Index!DD$23*(DH$15&gt;$I79)*(1-DH$12)</f>
        <v>0</v>
      </c>
      <c r="DI79" s="747">
        <f>$G79*$H79*(1+$K79)^MAX(ROUNDUP(IFERROR(DATEDIF($I61-1,DI$15+1,"m"),)/12,)-1,)*Index!DE$23*(DI$15&gt;$I79)*(1-DI$12)</f>
        <v>0</v>
      </c>
      <c r="DJ79" s="747">
        <f>$G79*$H79*(1+$K79)^MAX(ROUNDUP(IFERROR(DATEDIF($I61-1,DJ$15+1,"m"),)/12,)-1,)*Index!DF$23*(DJ$15&gt;$I79)*(1-DJ$12)</f>
        <v>0</v>
      </c>
      <c r="DK79" s="747">
        <f>$G79*$H79*(1+$K79)^MAX(ROUNDUP(IFERROR(DATEDIF($I61-1,DK$15+1,"m"),)/12,)-1,)*Index!DG$23*(DK$15&gt;$I79)*(1-DK$12)</f>
        <v>0</v>
      </c>
      <c r="DL79" s="747">
        <f>$G79*$H79*(1+$K79)^MAX(ROUNDUP(IFERROR(DATEDIF($I61-1,DL$15+1,"m"),)/12,)-1,)*Index!DH$23*(DL$15&gt;$I79)*(1-DL$12)</f>
        <v>0</v>
      </c>
      <c r="DM79" s="747">
        <f>$G79*$H79*(1+$K79)^MAX(ROUNDUP(IFERROR(DATEDIF($I61-1,DM$15+1,"m"),)/12,)-1,)*Index!DI$23*(DM$15&gt;$I79)*(1-DM$12)</f>
        <v>0</v>
      </c>
      <c r="DN79" s="747">
        <f>$G79*$H79*(1+$K79)^MAX(ROUNDUP(IFERROR(DATEDIF($I61-1,DN$15+1,"m"),)/12,)-1,)*Index!DJ$23*(DN$15&gt;$I79)*(1-DN$12)</f>
        <v>0</v>
      </c>
      <c r="DO79" s="747">
        <f>$G79*$H79*(1+$K79)^MAX(ROUNDUP(IFERROR(DATEDIF($I61-1,DO$15+1,"m"),)/12,)-1,)*Index!DK$23*(DO$15&gt;$I79)*(1-DO$12)</f>
        <v>0</v>
      </c>
      <c r="DP79" s="747">
        <f>$G79*$H79*(1+$K79)^MAX(ROUNDUP(IFERROR(DATEDIF($I61-1,DP$15+1,"m"),)/12,)-1,)*Index!DL$23*(DP$15&gt;$I79)*(1-DP$12)</f>
        <v>0</v>
      </c>
      <c r="DQ79" s="747">
        <f>$G79*$H79*(1+$K79)^MAX(ROUNDUP(IFERROR(DATEDIF($I61-1,DQ$15+1,"m"),)/12,)-1,)*Index!DM$23*(DQ$15&gt;$I79)*(1-DQ$12)</f>
        <v>0</v>
      </c>
      <c r="DR79" s="747">
        <f>$G79*$H79*(1+$K79)^MAX(ROUNDUP(IFERROR(DATEDIF($I61-1,DR$15+1,"m"),)/12,)-1,)*Index!DN$23*(DR$15&gt;$I79)*(1-DR$12)</f>
        <v>0</v>
      </c>
      <c r="DS79" s="747">
        <f>$G79*$H79*(1+$K79)^MAX(ROUNDUP(IFERROR(DATEDIF($I61-1,DS$15+1,"m"),)/12,)-1,)*Index!DO$23*(DS$15&gt;$I79)*(1-DS$12)</f>
        <v>0</v>
      </c>
      <c r="DT79" s="747">
        <f>$G79*$H79*(1+$K79)^MAX(ROUNDUP(IFERROR(DATEDIF($I61-1,DT$15+1,"m"),)/12,)-1,)*Index!DP$23*(DT$15&gt;$I79)*(1-DT$12)</f>
        <v>0</v>
      </c>
      <c r="DU79" s="747">
        <f>$G79*$H79*(1+$K79)^MAX(ROUNDUP(IFERROR(DATEDIF($I61-1,DU$15+1,"m"),)/12,)-1,)*Index!DQ$23*(DU$15&gt;$I79)*(1-DU$12)</f>
        <v>0</v>
      </c>
      <c r="DV79" s="747">
        <f>$G79*$H79*(1+$K79)^MAX(ROUNDUP(IFERROR(DATEDIF($I61-1,DV$15+1,"m"),)/12,)-1,)*Index!DR$23*(DV$15&gt;$I79)*(1-DV$12)</f>
        <v>0</v>
      </c>
      <c r="DW79" s="747">
        <f>$G79*$H79*(1+$K79)^MAX(ROUNDUP(IFERROR(DATEDIF($I61-1,DW$15+1,"m"),)/12,)-1,)*Index!DS$23*(DW$15&gt;$I79)*(1-DW$12)</f>
        <v>0</v>
      </c>
      <c r="DX79" s="747">
        <f>$G79*$H79*(1+$K79)^MAX(ROUNDUP(IFERROR(DATEDIF($I61-1,DX$15+1,"m"),)/12,)-1,)*Index!DT$23*(DX$15&gt;$I79)*(1-DX$12)</f>
        <v>0</v>
      </c>
      <c r="DY79" s="747">
        <f>$G79*$H79*(1+$K79)^MAX(ROUNDUP(IFERROR(DATEDIF($I61-1,DY$15+1,"m"),)/12,)-1,)*Index!DU$23*(DY$15&gt;$I79)*(1-DY$12)</f>
        <v>0</v>
      </c>
      <c r="DZ79" s="747">
        <f>$G79*$H79*(1+$K79)^MAX(ROUNDUP(IFERROR(DATEDIF($I61-1,DZ$15+1,"m"),)/12,)-1,)*Index!DV$23*(DZ$15&gt;$I79)*(1-DZ$12)</f>
        <v>0</v>
      </c>
      <c r="EA79" s="747">
        <f>$G79*$H79*(1+$K79)^MAX(ROUNDUP(IFERROR(DATEDIF($I61-1,EA$15+1,"m"),)/12,)-1,)*Index!DW$23*(EA$15&gt;$I79)*(1-EA$12)</f>
        <v>0</v>
      </c>
      <c r="EB79" s="747">
        <f>$G79*$H79*(1+$K79)^MAX(ROUNDUP(IFERROR(DATEDIF($I61-1,EB$15+1,"m"),)/12,)-1,)*Index!DX$23*(EB$15&gt;$I79)*(1-EB$12)</f>
        <v>0</v>
      </c>
      <c r="EC79" s="747">
        <f>$G79*$H79*(1+$K79)^MAX(ROUNDUP(IFERROR(DATEDIF($I61-1,EC$15+1,"m"),)/12,)-1,)*Index!DY$23*(EC$15&gt;$I79)*(1-EC$12)</f>
        <v>0</v>
      </c>
      <c r="ED79" s="747">
        <f>$G79*$H79*(1+$K79)^MAX(ROUNDUP(IFERROR(DATEDIF($I61-1,ED$15+1,"m"),)/12,)-1,)*Index!DZ$23*(ED$15&gt;$I79)*(1-ED$12)</f>
        <v>0</v>
      </c>
      <c r="EE79" s="747">
        <f>$G79*$H79*(1+$K79)^MAX(ROUNDUP(IFERROR(DATEDIF($I61-1,EE$15+1,"m"),)/12,)-1,)*Index!EA$23*(EE$15&gt;$I79)*(1-EE$12)</f>
        <v>0</v>
      </c>
      <c r="EF79" s="747">
        <f>$G79*$H79*(1+$K79)^MAX(ROUNDUP(IFERROR(DATEDIF($I61-1,EF$15+1,"m"),)/12,)-1,)*Index!EB$23*(EF$15&gt;$I79)*(1-EF$12)</f>
        <v>0</v>
      </c>
      <c r="EG79" s="747">
        <f>$G79*$H79*(1+$K79)^MAX(ROUNDUP(IFERROR(DATEDIF($I61-1,EG$15+1,"m"),)/12,)-1,)*Index!EC$23*(EG$15&gt;$I79)*(1-EG$12)</f>
        <v>169593.76891844839</v>
      </c>
      <c r="EH79" s="747">
        <f>$G79*$H79*(1+$K79)^MAX(ROUNDUP(IFERROR(DATEDIF($I61-1,EH$15+1,"m"),)/12,)-1,)*Index!ED$23*(EH$15&gt;$I79)*(1-EH$12)</f>
        <v>169593.76891844839</v>
      </c>
      <c r="EI79" s="747">
        <f>$G79*$H79*(1+$K79)^MAX(ROUNDUP(IFERROR(DATEDIF($I61-1,EI$15+1,"m"),)/12,)-1,)*Index!EE$23*(EI$15&gt;$I79)*(1-EI$12)</f>
        <v>169593.76891844839</v>
      </c>
      <c r="EJ79" s="747">
        <f>$G79*$H79*(1+$K79)^MAX(ROUNDUP(IFERROR(DATEDIF($I61-1,EJ$15+1,"m"),)/12,)-1,)*Index!EF$23*(EJ$15&gt;$I79)*(1-EJ$12)</f>
        <v>169593.76891844839</v>
      </c>
      <c r="EK79" s="747">
        <f>$G79*$H79*(1+$K79)^MAX(ROUNDUP(IFERROR(DATEDIF($I61-1,EK$15+1,"m"),)/12,)-1,)*Index!EG$23*(EK$15&gt;$I79)*(1-EK$12)</f>
        <v>169593.76891844839</v>
      </c>
      <c r="EL79" s="747">
        <f>$G79*$H79*(1+$K79)^MAX(ROUNDUP(IFERROR(DATEDIF($I61-1,EL$15+1,"m"),)/12,)-1,)*Index!EH$23*(EL$15&gt;$I79)*(1-EL$12)</f>
        <v>169593.76891844839</v>
      </c>
      <c r="EM79" s="747">
        <f>$G79*$H79*(1+$K79)^MAX(ROUNDUP(IFERROR(DATEDIF($I61-1,EM$15+1,"m"),)/12,)-1,)*Index!EI$23*(EM$15&gt;$I79)*(1-EM$12)</f>
        <v>173833.61314140959</v>
      </c>
      <c r="EN79" s="747">
        <f>$G79*$H79*(1+$K79)^MAX(ROUNDUP(IFERROR(DATEDIF($I61-1,EN$15+1,"m"),)/12,)-1,)*Index!EJ$23*(EN$15&gt;$I79)*(1-EN$12)</f>
        <v>173833.61314140959</v>
      </c>
      <c r="EO79" s="747">
        <f>$G79*$H79*(1+$K79)^MAX(ROUNDUP(IFERROR(DATEDIF($I61-1,EO$15+1,"m"),)/12,)-1,)*Index!EK$23*(EO$15&gt;$I79)*(1-EO$12)</f>
        <v>173833.61314140959</v>
      </c>
      <c r="EP79" s="747">
        <f>$G79*$H79*(1+$K79)^MAX(ROUNDUP(IFERROR(DATEDIF($I61-1,EP$15+1,"m"),)/12,)-1,)*Index!EL$23*(EP$15&gt;$I79)*(1-EP$12)</f>
        <v>173833.61314140959</v>
      </c>
      <c r="EQ79" s="747">
        <f>$G79*$H79*(1+$K79)^MAX(ROUNDUP(IFERROR(DATEDIF($I61-1,EQ$15+1,"m"),)/12,)-1,)*Index!EM$23*(EQ$15&gt;$I79)*(1-EQ$12)</f>
        <v>173833.61314140959</v>
      </c>
      <c r="ER79" s="747">
        <f>$G79*$H79*(1+$K79)^MAX(ROUNDUP(IFERROR(DATEDIF($I61-1,ER$15+1,"m"),)/12,)-1,)*Index!EN$23*(ER$15&gt;$I79)*(1-ER$12)</f>
        <v>173833.61314140959</v>
      </c>
      <c r="ES79" s="747">
        <f>$G79*$H79*(1+$K79)^MAX(ROUNDUP(IFERROR(DATEDIF($I61-1,ES$15+1,"m"),)/12,)-1,)*Index!EO$23*(ES$15&gt;$I79)*(1-ES$12)</f>
        <v>0</v>
      </c>
      <c r="ET79" s="747">
        <f>$G79*$H79*(1+$K79)^MAX(ROUNDUP(IFERROR(DATEDIF($I61-1,ET$15+1,"m"),)/12,)-1,)*Index!EP$23*(ET$15&gt;$I79)*(1-ET$12)</f>
        <v>0</v>
      </c>
      <c r="EU79" s="747">
        <f>$G79*$H79*(1+$K79)^MAX(ROUNDUP(IFERROR(DATEDIF($I61-1,EU$15+1,"m"),)/12,)-1,)*Index!EQ$23*(EU$15&gt;$I79)*(1-EU$12)</f>
        <v>0</v>
      </c>
    </row>
    <row r="80" spans="3:151" ht="11.25" customHeight="1">
      <c r="C80" s="828"/>
      <c r="D80" s="743">
        <f t="shared" si="40"/>
        <v>3</v>
      </c>
      <c r="E80" s="704" t="str">
        <f t="shared" si="40"/>
        <v>농심</v>
      </c>
      <c r="F80" s="704" t="str">
        <f t="shared" si="40"/>
        <v>상온창고</v>
      </c>
      <c r="G80" s="752">
        <f t="shared" si="41"/>
        <v>55.321485107997873</v>
      </c>
      <c r="H80" s="744">
        <f t="shared" si="40"/>
        <v>2185.56</v>
      </c>
      <c r="I80" s="745">
        <f t="shared" si="42"/>
        <v>47328</v>
      </c>
      <c r="J80" s="745"/>
      <c r="K80" s="754">
        <f t="shared" si="43"/>
        <v>2.5000000000000001E-2</v>
      </c>
      <c r="L80" s="746"/>
      <c r="M80" s="722"/>
      <c r="N80" s="747">
        <f t="shared" si="44"/>
        <v>1963496.3035725481</v>
      </c>
      <c r="O80" s="733"/>
      <c r="P80" s="747">
        <f>$G80*$H80*(1+$K80)^MAX(ROUNDUP(IFERROR(DATEDIF($I62-1,P$15+1,"m"),)/12,)-1,)*Index!L$23*(P$15&gt;$I80)*(1-P$12)</f>
        <v>0</v>
      </c>
      <c r="Q80" s="747">
        <f>$G80*$H80*(1+$K80)^MAX(ROUNDUP(IFERROR(DATEDIF($I62-1,Q$15+1,"m"),)/12,)-1,)*Index!M$23*(Q$15&gt;$I80)*(1-Q$12)</f>
        <v>0</v>
      </c>
      <c r="R80" s="747">
        <f>$G80*$H80*(1+$K80)^MAX(ROUNDUP(IFERROR(DATEDIF($I62-1,R$15+1,"m"),)/12,)-1,)*Index!N$23*(R$15&gt;$I80)*(1-R$12)</f>
        <v>0</v>
      </c>
      <c r="S80" s="747">
        <f>$G80*$H80*(1+$K80)^MAX(ROUNDUP(IFERROR(DATEDIF($I62-1,S$15+1,"m"),)/12,)-1,)*Index!O$23*(S$15&gt;$I80)*(1-S$12)</f>
        <v>0</v>
      </c>
      <c r="T80" s="747">
        <f>$G80*$H80*(1+$K80)^MAX(ROUNDUP(IFERROR(DATEDIF($I62-1,T$15+1,"m"),)/12,)-1,)*Index!P$23*(T$15&gt;$I80)*(1-T$12)</f>
        <v>0</v>
      </c>
      <c r="U80" s="747">
        <f>$G80*$H80*(1+$K80)^MAX(ROUNDUP(IFERROR(DATEDIF($I62-1,U$15+1,"m"),)/12,)-1,)*Index!Q$23*(U$15&gt;$I80)*(1-U$12)</f>
        <v>0</v>
      </c>
      <c r="V80" s="747">
        <f>$G80*$H80*(1+$K80)^MAX(ROUNDUP(IFERROR(DATEDIF($I62-1,V$15+1,"m"),)/12,)-1,)*Index!R$23*(V$15&gt;$I80)*(1-V$12)</f>
        <v>0</v>
      </c>
      <c r="W80" s="747">
        <f>$G80*$H80*(1+$K80)^MAX(ROUNDUP(IFERROR(DATEDIF($I62-1,W$15+1,"m"),)/12,)-1,)*Index!S$23*(W$15&gt;$I80)*(1-W$12)</f>
        <v>0</v>
      </c>
      <c r="X80" s="747">
        <f>$G80*$H80*(1+$K80)^MAX(ROUNDUP(IFERROR(DATEDIF($I62-1,X$15+1,"m"),)/12,)-1,)*Index!T$23*(X$15&gt;$I80)*(1-X$12)</f>
        <v>0</v>
      </c>
      <c r="Y80" s="747">
        <f>$G80*$H80*(1+$K80)^MAX(ROUNDUP(IFERROR(DATEDIF($I62-1,Y$15+1,"m"),)/12,)-1,)*Index!U$23*(Y$15&gt;$I80)*(1-Y$12)</f>
        <v>0</v>
      </c>
      <c r="Z80" s="747">
        <f>$G80*$H80*(1+$K80)^MAX(ROUNDUP(IFERROR(DATEDIF($I62-1,Z$15+1,"m"),)/12,)-1,)*Index!V$23*(Z$15&gt;$I80)*(1-Z$12)</f>
        <v>0</v>
      </c>
      <c r="AA80" s="747">
        <f>$G80*$H80*(1+$K80)^MAX(ROUNDUP(IFERROR(DATEDIF($I62-1,AA$15+1,"m"),)/12,)-1,)*Index!W$23*(AA$15&gt;$I80)*(1-AA$12)</f>
        <v>0</v>
      </c>
      <c r="AB80" s="747">
        <f>$G80*$H80*(1+$K80)^MAX(ROUNDUP(IFERROR(DATEDIF($I62-1,AB$15+1,"m"),)/12,)-1,)*Index!X$23*(AB$15&gt;$I80)*(1-AB$12)</f>
        <v>0</v>
      </c>
      <c r="AC80" s="747">
        <f>$G80*$H80*(1+$K80)^MAX(ROUNDUP(IFERROR(DATEDIF($I62-1,AC$15+1,"m"),)/12,)-1,)*Index!Y$23*(AC$15&gt;$I80)*(1-AC$12)</f>
        <v>0</v>
      </c>
      <c r="AD80" s="747">
        <f>$G80*$H80*(1+$K80)^MAX(ROUNDUP(IFERROR(DATEDIF($I62-1,AD$15+1,"m"),)/12,)-1,)*Index!Z$23*(AD$15&gt;$I80)*(1-AD$12)</f>
        <v>0</v>
      </c>
      <c r="AE80" s="747">
        <f>$G80*$H80*(1+$K80)^MAX(ROUNDUP(IFERROR(DATEDIF($I62-1,AE$15+1,"m"),)/12,)-1,)*Index!AA$23*(AE$15&gt;$I80)*(1-AE$12)</f>
        <v>0</v>
      </c>
      <c r="AF80" s="747">
        <f>$G80*$H80*(1+$K80)^MAX(ROUNDUP(IFERROR(DATEDIF($I62-1,AF$15+1,"m"),)/12,)-1,)*Index!AB$23*(AF$15&gt;$I80)*(1-AF$12)</f>
        <v>0</v>
      </c>
      <c r="AG80" s="747">
        <f>$G80*$H80*(1+$K80)^MAX(ROUNDUP(IFERROR(DATEDIF($I62-1,AG$15+1,"m"),)/12,)-1,)*Index!AC$23*(AG$15&gt;$I80)*(1-AG$12)</f>
        <v>0</v>
      </c>
      <c r="AH80" s="747">
        <f>$G80*$H80*(1+$K80)^MAX(ROUNDUP(IFERROR(DATEDIF($I62-1,AH$15+1,"m"),)/12,)-1,)*Index!AD$23*(AH$15&gt;$I80)*(1-AH$12)</f>
        <v>0</v>
      </c>
      <c r="AI80" s="747">
        <f>$G80*$H80*(1+$K80)^MAX(ROUNDUP(IFERROR(DATEDIF($I62-1,AI$15+1,"m"),)/12,)-1,)*Index!AE$23*(AI$15&gt;$I80)*(1-AI$12)</f>
        <v>0</v>
      </c>
      <c r="AJ80" s="747">
        <f>$G80*$H80*(1+$K80)^MAX(ROUNDUP(IFERROR(DATEDIF($I62-1,AJ$15+1,"m"),)/12,)-1,)*Index!AF$23*(AJ$15&gt;$I80)*(1-AJ$12)</f>
        <v>0</v>
      </c>
      <c r="AK80" s="747">
        <f>$G80*$H80*(1+$K80)^MAX(ROUNDUP(IFERROR(DATEDIF($I62-1,AK$15+1,"m"),)/12,)-1,)*Index!AG$23*(AK$15&gt;$I80)*(1-AK$12)</f>
        <v>0</v>
      </c>
      <c r="AL80" s="747">
        <f>$G80*$H80*(1+$K80)^MAX(ROUNDUP(IFERROR(DATEDIF($I62-1,AL$15+1,"m"),)/12,)-1,)*Index!AH$23*(AL$15&gt;$I80)*(1-AL$12)</f>
        <v>0</v>
      </c>
      <c r="AM80" s="747">
        <f>$G80*$H80*(1+$K80)^MAX(ROUNDUP(IFERROR(DATEDIF($I62-1,AM$15+1,"m"),)/12,)-1,)*Index!AI$23*(AM$15&gt;$I80)*(1-AM$12)</f>
        <v>0</v>
      </c>
      <c r="AN80" s="747">
        <f>$G80*$H80*(1+$K80)^MAX(ROUNDUP(IFERROR(DATEDIF($I62-1,AN$15+1,"m"),)/12,)-1,)*Index!AJ$23*(AN$15&gt;$I80)*(1-AN$12)</f>
        <v>0</v>
      </c>
      <c r="AO80" s="747">
        <f>$G80*$H80*(1+$K80)^MAX(ROUNDUP(IFERROR(DATEDIF($I62-1,AO$15+1,"m"),)/12,)-1,)*Index!AK$23*(AO$15&gt;$I80)*(1-AO$12)</f>
        <v>0</v>
      </c>
      <c r="AP80" s="747">
        <f>$G80*$H80*(1+$K80)^MAX(ROUNDUP(IFERROR(DATEDIF($I62-1,AP$15+1,"m"),)/12,)-1,)*Index!AL$23*(AP$15&gt;$I80)*(1-AP$12)</f>
        <v>0</v>
      </c>
      <c r="AQ80" s="747">
        <f>$G80*$H80*(1+$K80)^MAX(ROUNDUP(IFERROR(DATEDIF($I62-1,AQ$15+1,"m"),)/12,)-1,)*Index!AM$23*(AQ$15&gt;$I80)*(1-AQ$12)</f>
        <v>0</v>
      </c>
      <c r="AR80" s="747">
        <f>$G80*$H80*(1+$K80)^MAX(ROUNDUP(IFERROR(DATEDIF($I62-1,AR$15+1,"m"),)/12,)-1,)*Index!AN$23*(AR$15&gt;$I80)*(1-AR$12)</f>
        <v>0</v>
      </c>
      <c r="AS80" s="747">
        <f>$G80*$H80*(1+$K80)^MAX(ROUNDUP(IFERROR(DATEDIF($I62-1,AS$15+1,"m"),)/12,)-1,)*Index!AO$23*(AS$15&gt;$I80)*(1-AS$12)</f>
        <v>0</v>
      </c>
      <c r="AT80" s="747">
        <f>$G80*$H80*(1+$K80)^MAX(ROUNDUP(IFERROR(DATEDIF($I62-1,AT$15+1,"m"),)/12,)-1,)*Index!AP$23*(AT$15&gt;$I80)*(1-AT$12)</f>
        <v>0</v>
      </c>
      <c r="AU80" s="747">
        <f>$G80*$H80*(1+$K80)^MAX(ROUNDUP(IFERROR(DATEDIF($I62-1,AU$15+1,"m"),)/12,)-1,)*Index!AQ$23*(AU$15&gt;$I80)*(1-AU$12)</f>
        <v>0</v>
      </c>
      <c r="AV80" s="747">
        <f>$G80*$H80*(1+$K80)^MAX(ROUNDUP(IFERROR(DATEDIF($I62-1,AV$15+1,"m"),)/12,)-1,)*Index!AR$23*(AV$15&gt;$I80)*(1-AV$12)</f>
        <v>0</v>
      </c>
      <c r="AW80" s="747">
        <f>$G80*$H80*(1+$K80)^MAX(ROUNDUP(IFERROR(DATEDIF($I62-1,AW$15+1,"m"),)/12,)-1,)*Index!AS$23*(AW$15&gt;$I80)*(1-AW$12)</f>
        <v>0</v>
      </c>
      <c r="AX80" s="747">
        <f>$G80*$H80*(1+$K80)^MAX(ROUNDUP(IFERROR(DATEDIF($I62-1,AX$15+1,"m"),)/12,)-1,)*Index!AT$23*(AX$15&gt;$I80)*(1-AX$12)</f>
        <v>0</v>
      </c>
      <c r="AY80" s="747">
        <f>$G80*$H80*(1+$K80)^MAX(ROUNDUP(IFERROR(DATEDIF($I62-1,AY$15+1,"m"),)/12,)-1,)*Index!AU$23*(AY$15&gt;$I80)*(1-AY$12)</f>
        <v>0</v>
      </c>
      <c r="AZ80" s="747">
        <f>$G80*$H80*(1+$K80)^MAX(ROUNDUP(IFERROR(DATEDIF($I62-1,AZ$15+1,"m"),)/12,)-1,)*Index!AV$23*(AZ$15&gt;$I80)*(1-AZ$12)</f>
        <v>0</v>
      </c>
      <c r="BA80" s="747">
        <f>$G80*$H80*(1+$K80)^MAX(ROUNDUP(IFERROR(DATEDIF($I62-1,BA$15+1,"m"),)/12,)-1,)*Index!AW$23*(BA$15&gt;$I80)*(1-BA$12)</f>
        <v>0</v>
      </c>
      <c r="BB80" s="747">
        <f>$G80*$H80*(1+$K80)^MAX(ROUNDUP(IFERROR(DATEDIF($I62-1,BB$15+1,"m"),)/12,)-1,)*Index!AX$23*(BB$15&gt;$I80)*(1-BB$12)</f>
        <v>0</v>
      </c>
      <c r="BC80" s="747">
        <f>$G80*$H80*(1+$K80)^MAX(ROUNDUP(IFERROR(DATEDIF($I62-1,BC$15+1,"m"),)/12,)-1,)*Index!AY$23*(BC$15&gt;$I80)*(1-BC$12)</f>
        <v>0</v>
      </c>
      <c r="BD80" s="747">
        <f>$G80*$H80*(1+$K80)^MAX(ROUNDUP(IFERROR(DATEDIF($I62-1,BD$15+1,"m"),)/12,)-1,)*Index!AZ$23*(BD$15&gt;$I80)*(1-BD$12)</f>
        <v>0</v>
      </c>
      <c r="BE80" s="747">
        <f>$G80*$H80*(1+$K80)^MAX(ROUNDUP(IFERROR(DATEDIF($I62-1,BE$15+1,"m"),)/12,)-1,)*Index!BA$23*(BE$15&gt;$I80)*(1-BE$12)</f>
        <v>0</v>
      </c>
      <c r="BF80" s="747">
        <f>$G80*$H80*(1+$K80)^MAX(ROUNDUP(IFERROR(DATEDIF($I62-1,BF$15+1,"m"),)/12,)-1,)*Index!BB$23*(BF$15&gt;$I80)*(1-BF$12)</f>
        <v>0</v>
      </c>
      <c r="BG80" s="747">
        <f>$G80*$H80*(1+$K80)^MAX(ROUNDUP(IFERROR(DATEDIF($I62-1,BG$15+1,"m"),)/12,)-1,)*Index!BC$23*(BG$15&gt;$I80)*(1-BG$12)</f>
        <v>0</v>
      </c>
      <c r="BH80" s="747">
        <f>$G80*$H80*(1+$K80)^MAX(ROUNDUP(IFERROR(DATEDIF($I62-1,BH$15+1,"m"),)/12,)-1,)*Index!BD$23*(BH$15&gt;$I80)*(1-BH$12)</f>
        <v>0</v>
      </c>
      <c r="BI80" s="747">
        <f>$G80*$H80*(1+$K80)^MAX(ROUNDUP(IFERROR(DATEDIF($I62-1,BI$15+1,"m"),)/12,)-1,)*Index!BE$23*(BI$15&gt;$I80)*(1-BI$12)</f>
        <v>0</v>
      </c>
      <c r="BJ80" s="747">
        <f>$G80*$H80*(1+$K80)^MAX(ROUNDUP(IFERROR(DATEDIF($I62-1,BJ$15+1,"m"),)/12,)-1,)*Index!BF$23*(BJ$15&gt;$I80)*(1-BJ$12)</f>
        <v>0</v>
      </c>
      <c r="BK80" s="747">
        <f>$G80*$H80*(1+$K80)^MAX(ROUNDUP(IFERROR(DATEDIF($I62-1,BK$15+1,"m"),)/12,)-1,)*Index!BG$23*(BK$15&gt;$I80)*(1-BK$12)</f>
        <v>0</v>
      </c>
      <c r="BL80" s="747">
        <f>$G80*$H80*(1+$K80)^MAX(ROUNDUP(IFERROR(DATEDIF($I62-1,BL$15+1,"m"),)/12,)-1,)*Index!BH$23*(BL$15&gt;$I80)*(1-BL$12)</f>
        <v>0</v>
      </c>
      <c r="BM80" s="747">
        <f>$G80*$H80*(1+$K80)^MAX(ROUNDUP(IFERROR(DATEDIF($I62-1,BM$15+1,"m"),)/12,)-1,)*Index!BI$23*(BM$15&gt;$I80)*(1-BM$12)</f>
        <v>0</v>
      </c>
      <c r="BN80" s="747">
        <f>$G80*$H80*(1+$K80)^MAX(ROUNDUP(IFERROR(DATEDIF($I62-1,BN$15+1,"m"),)/12,)-1,)*Index!BJ$23*(BN$15&gt;$I80)*(1-BN$12)</f>
        <v>0</v>
      </c>
      <c r="BO80" s="747">
        <f>$G80*$H80*(1+$K80)^MAX(ROUNDUP(IFERROR(DATEDIF($I62-1,BO$15+1,"m"),)/12,)-1,)*Index!BK$23*(BO$15&gt;$I80)*(1-BO$12)</f>
        <v>0</v>
      </c>
      <c r="BP80" s="747">
        <f>$G80*$H80*(1+$K80)^MAX(ROUNDUP(IFERROR(DATEDIF($I62-1,BP$15+1,"m"),)/12,)-1,)*Index!BL$23*(BP$15&gt;$I80)*(1-BP$12)</f>
        <v>0</v>
      </c>
      <c r="BQ80" s="747">
        <f>$G80*$H80*(1+$K80)^MAX(ROUNDUP(IFERROR(DATEDIF($I62-1,BQ$15+1,"m"),)/12,)-1,)*Index!BM$23*(BQ$15&gt;$I80)*(1-BQ$12)</f>
        <v>0</v>
      </c>
      <c r="BR80" s="747">
        <f>$G80*$H80*(1+$K80)^MAX(ROUNDUP(IFERROR(DATEDIF($I62-1,BR$15+1,"m"),)/12,)-1,)*Index!BN$23*(BR$15&gt;$I80)*(1-BR$12)</f>
        <v>0</v>
      </c>
      <c r="BS80" s="747">
        <f>$G80*$H80*(1+$K80)^MAX(ROUNDUP(IFERROR(DATEDIF($I62-1,BS$15+1,"m"),)/12,)-1,)*Index!BO$23*(BS$15&gt;$I80)*(1-BS$12)</f>
        <v>0</v>
      </c>
      <c r="BT80" s="747">
        <f>$G80*$H80*(1+$K80)^MAX(ROUNDUP(IFERROR(DATEDIF($I62-1,BT$15+1,"m"),)/12,)-1,)*Index!BP$23*(BT$15&gt;$I80)*(1-BT$12)</f>
        <v>0</v>
      </c>
      <c r="BU80" s="747">
        <f>$G80*$H80*(1+$K80)^MAX(ROUNDUP(IFERROR(DATEDIF($I62-1,BU$15+1,"m"),)/12,)-1,)*Index!BQ$23*(BU$15&gt;$I80)*(1-BU$12)</f>
        <v>0</v>
      </c>
      <c r="BV80" s="747">
        <f>$G80*$H80*(1+$K80)^MAX(ROUNDUP(IFERROR(DATEDIF($I62-1,BV$15+1,"m"),)/12,)-1,)*Index!BR$23*(BV$15&gt;$I80)*(1-BV$12)</f>
        <v>0</v>
      </c>
      <c r="BW80" s="747">
        <f>$G80*$H80*(1+$K80)^MAX(ROUNDUP(IFERROR(DATEDIF($I62-1,BW$15+1,"m"),)/12,)-1,)*Index!BS$23*(BW$15&gt;$I80)*(1-BW$12)</f>
        <v>0</v>
      </c>
      <c r="BX80" s="747">
        <f>$G80*$H80*(1+$K80)^MAX(ROUNDUP(IFERROR(DATEDIF($I62-1,BX$15+1,"m"),)/12,)-1,)*Index!BT$23*(BX$15&gt;$I80)*(1-BX$12)</f>
        <v>0</v>
      </c>
      <c r="BY80" s="747">
        <f>$G80*$H80*(1+$K80)^MAX(ROUNDUP(IFERROR(DATEDIF($I62-1,BY$15+1,"m"),)/12,)-1,)*Index!BU$23*(BY$15&gt;$I80)*(1-BY$12)</f>
        <v>0</v>
      </c>
      <c r="BZ80" s="747">
        <f>$G80*$H80*(1+$K80)^MAX(ROUNDUP(IFERROR(DATEDIF($I62-1,BZ$15+1,"m"),)/12,)-1,)*Index!BV$23*(BZ$15&gt;$I80)*(1-BZ$12)</f>
        <v>0</v>
      </c>
      <c r="CA80" s="747">
        <f>$G80*$H80*(1+$K80)^MAX(ROUNDUP(IFERROR(DATEDIF($I62-1,CA$15+1,"m"),)/12,)-1,)*Index!BW$23*(CA$15&gt;$I80)*(1-CA$12)</f>
        <v>0</v>
      </c>
      <c r="CB80" s="747">
        <f>$G80*$H80*(1+$K80)^MAX(ROUNDUP(IFERROR(DATEDIF($I62-1,CB$15+1,"m"),)/12,)-1,)*Index!BX$23*(CB$15&gt;$I80)*(1-CB$12)</f>
        <v>0</v>
      </c>
      <c r="CC80" s="747">
        <f>$G80*$H80*(1+$K80)^MAX(ROUNDUP(IFERROR(DATEDIF($I62-1,CC$15+1,"m"),)/12,)-1,)*Index!BY$23*(CC$15&gt;$I80)*(1-CC$12)</f>
        <v>0</v>
      </c>
      <c r="CD80" s="747">
        <f>$G80*$H80*(1+$K80)^MAX(ROUNDUP(IFERROR(DATEDIF($I62-1,CD$15+1,"m"),)/12,)-1,)*Index!BZ$23*(CD$15&gt;$I80)*(1-CD$12)</f>
        <v>0</v>
      </c>
      <c r="CE80" s="747">
        <f>$G80*$H80*(1+$K80)^MAX(ROUNDUP(IFERROR(DATEDIF($I62-1,CE$15+1,"m"),)/12,)-1,)*Index!CA$23*(CE$15&gt;$I80)*(1-CE$12)</f>
        <v>0</v>
      </c>
      <c r="CF80" s="747">
        <f>$G80*$H80*(1+$K80)^MAX(ROUNDUP(IFERROR(DATEDIF($I62-1,CF$15+1,"m"),)/12,)-1,)*Index!CB$23*(CF$15&gt;$I80)*(1-CF$12)</f>
        <v>0</v>
      </c>
      <c r="CG80" s="747">
        <f>$G80*$H80*(1+$K80)^MAX(ROUNDUP(IFERROR(DATEDIF($I62-1,CG$15+1,"m"),)/12,)-1,)*Index!CC$23*(CG$15&gt;$I80)*(1-CG$12)</f>
        <v>0</v>
      </c>
      <c r="CH80" s="747">
        <f>$G80*$H80*(1+$K80)^MAX(ROUNDUP(IFERROR(DATEDIF($I62-1,CH$15+1,"m"),)/12,)-1,)*Index!CD$23*(CH$15&gt;$I80)*(1-CH$12)</f>
        <v>0</v>
      </c>
      <c r="CI80" s="747">
        <f>$G80*$H80*(1+$K80)^MAX(ROUNDUP(IFERROR(DATEDIF($I62-1,CI$15+1,"m"),)/12,)-1,)*Index!CE$23*(CI$15&gt;$I80)*(1-CI$12)</f>
        <v>0</v>
      </c>
      <c r="CJ80" s="747">
        <f>$G80*$H80*(1+$K80)^MAX(ROUNDUP(IFERROR(DATEDIF($I62-1,CJ$15+1,"m"),)/12,)-1,)*Index!CF$23*(CJ$15&gt;$I80)*(1-CJ$12)</f>
        <v>0</v>
      </c>
      <c r="CK80" s="747">
        <f>$G80*$H80*(1+$K80)^MAX(ROUNDUP(IFERROR(DATEDIF($I62-1,CK$15+1,"m"),)/12,)-1,)*Index!CG$23*(CK$15&gt;$I80)*(1-CK$12)</f>
        <v>0</v>
      </c>
      <c r="CL80" s="747">
        <f>$G80*$H80*(1+$K80)^MAX(ROUNDUP(IFERROR(DATEDIF($I62-1,CL$15+1,"m"),)/12,)-1,)*Index!CH$23*(CL$15&gt;$I80)*(1-CL$12)</f>
        <v>0</v>
      </c>
      <c r="CM80" s="747">
        <f>$G80*$H80*(1+$K80)^MAX(ROUNDUP(IFERROR(DATEDIF($I62-1,CM$15+1,"m"),)/12,)-1,)*Index!CI$23*(CM$15&gt;$I80)*(1-CM$12)</f>
        <v>0</v>
      </c>
      <c r="CN80" s="747">
        <f>$G80*$H80*(1+$K80)^MAX(ROUNDUP(IFERROR(DATEDIF($I62-1,CN$15+1,"m"),)/12,)-1,)*Index!CJ$23*(CN$15&gt;$I80)*(1-CN$12)</f>
        <v>0</v>
      </c>
      <c r="CO80" s="747">
        <f>$G80*$H80*(1+$K80)^MAX(ROUNDUP(IFERROR(DATEDIF($I62-1,CO$15+1,"m"),)/12,)-1,)*Index!CK$23*(CO$15&gt;$I80)*(1-CO$12)</f>
        <v>0</v>
      </c>
      <c r="CP80" s="747">
        <f>$G80*$H80*(1+$K80)^MAX(ROUNDUP(IFERROR(DATEDIF($I62-1,CP$15+1,"m"),)/12,)-1,)*Index!CL$23*(CP$15&gt;$I80)*(1-CP$12)</f>
        <v>0</v>
      </c>
      <c r="CQ80" s="747">
        <f>$G80*$H80*(1+$K80)^MAX(ROUNDUP(IFERROR(DATEDIF($I62-1,CQ$15+1,"m"),)/12,)-1,)*Index!CM$23*(CQ$15&gt;$I80)*(1-CQ$12)</f>
        <v>0</v>
      </c>
      <c r="CR80" s="747">
        <f>$G80*$H80*(1+$K80)^MAX(ROUNDUP(IFERROR(DATEDIF($I62-1,CR$15+1,"m"),)/12,)-1,)*Index!CN$23*(CR$15&gt;$I80)*(1-CR$12)</f>
        <v>0</v>
      </c>
      <c r="CS80" s="747">
        <f>$G80*$H80*(1+$K80)^MAX(ROUNDUP(IFERROR(DATEDIF($I62-1,CS$15+1,"m"),)/12,)-1,)*Index!CO$23*(CS$15&gt;$I80)*(1-CS$12)</f>
        <v>0</v>
      </c>
      <c r="CT80" s="747">
        <f>$G80*$H80*(1+$K80)^MAX(ROUNDUP(IFERROR(DATEDIF($I62-1,CT$15+1,"m"),)/12,)-1,)*Index!CP$23*(CT$15&gt;$I80)*(1-CT$12)</f>
        <v>0</v>
      </c>
      <c r="CU80" s="747">
        <f>$G80*$H80*(1+$K80)^MAX(ROUNDUP(IFERROR(DATEDIF($I62-1,CU$15+1,"m"),)/12,)-1,)*Index!CQ$23*(CU$15&gt;$I80)*(1-CU$12)</f>
        <v>0</v>
      </c>
      <c r="CV80" s="747">
        <f>$G80*$H80*(1+$K80)^MAX(ROUNDUP(IFERROR(DATEDIF($I62-1,CV$15+1,"m"),)/12,)-1,)*Index!CR$23*(CV$15&gt;$I80)*(1-CV$12)</f>
        <v>0</v>
      </c>
      <c r="CW80" s="747">
        <f>$G80*$H80*(1+$K80)^MAX(ROUNDUP(IFERROR(DATEDIF($I62-1,CW$15+1,"m"),)/12,)-1,)*Index!CS$23*(CW$15&gt;$I80)*(1-CW$12)</f>
        <v>0</v>
      </c>
      <c r="CX80" s="747">
        <f>$G80*$H80*(1+$K80)^MAX(ROUNDUP(IFERROR(DATEDIF($I62-1,CX$15+1,"m"),)/12,)-1,)*Index!CT$23*(CX$15&gt;$I80)*(1-CX$12)</f>
        <v>0</v>
      </c>
      <c r="CY80" s="747">
        <f>$G80*$H80*(1+$K80)^MAX(ROUNDUP(IFERROR(DATEDIF($I62-1,CY$15+1,"m"),)/12,)-1,)*Index!CU$23*(CY$15&gt;$I80)*(1-CY$12)</f>
        <v>0</v>
      </c>
      <c r="CZ80" s="747">
        <f>$G80*$H80*(1+$K80)^MAX(ROUNDUP(IFERROR(DATEDIF($I62-1,CZ$15+1,"m"),)/12,)-1,)*Index!CV$23*(CZ$15&gt;$I80)*(1-CZ$12)</f>
        <v>0</v>
      </c>
      <c r="DA80" s="747">
        <f>$G80*$H80*(1+$K80)^MAX(ROUNDUP(IFERROR(DATEDIF($I62-1,DA$15+1,"m"),)/12,)-1,)*Index!CW$23*(DA$15&gt;$I80)*(1-DA$12)</f>
        <v>0</v>
      </c>
      <c r="DB80" s="747">
        <f>$G80*$H80*(1+$K80)^MAX(ROUNDUP(IFERROR(DATEDIF($I62-1,DB$15+1,"m"),)/12,)-1,)*Index!CX$23*(DB$15&gt;$I80)*(1-DB$12)</f>
        <v>0</v>
      </c>
      <c r="DC80" s="747">
        <f>$G80*$H80*(1+$K80)^MAX(ROUNDUP(IFERROR(DATEDIF($I62-1,DC$15+1,"m"),)/12,)-1,)*Index!CY$23*(DC$15&gt;$I80)*(1-DC$12)</f>
        <v>0</v>
      </c>
      <c r="DD80" s="747">
        <f>$G80*$H80*(1+$K80)^MAX(ROUNDUP(IFERROR(DATEDIF($I62-1,DD$15+1,"m"),)/12,)-1,)*Index!CZ$23*(DD$15&gt;$I80)*(1-DD$12)</f>
        <v>0</v>
      </c>
      <c r="DE80" s="747">
        <f>$G80*$H80*(1+$K80)^MAX(ROUNDUP(IFERROR(DATEDIF($I62-1,DE$15+1,"m"),)/12,)-1,)*Index!DA$23*(DE$15&gt;$I80)*(1-DE$12)</f>
        <v>0</v>
      </c>
      <c r="DF80" s="747">
        <f>$G80*$H80*(1+$K80)^MAX(ROUNDUP(IFERROR(DATEDIF($I62-1,DF$15+1,"m"),)/12,)-1,)*Index!DB$23*(DF$15&gt;$I80)*(1-DF$12)</f>
        <v>0</v>
      </c>
      <c r="DG80" s="747">
        <f>$G80*$H80*(1+$K80)^MAX(ROUNDUP(IFERROR(DATEDIF($I62-1,DG$15+1,"m"),)/12,)-1,)*Index!DC$23*(DG$15&gt;$I80)*(1-DG$12)</f>
        <v>0</v>
      </c>
      <c r="DH80" s="747">
        <f>$G80*$H80*(1+$K80)^MAX(ROUNDUP(IFERROR(DATEDIF($I62-1,DH$15+1,"m"),)/12,)-1,)*Index!DD$23*(DH$15&gt;$I80)*(1-DH$12)</f>
        <v>0</v>
      </c>
      <c r="DI80" s="747">
        <f>$G80*$H80*(1+$K80)^MAX(ROUNDUP(IFERROR(DATEDIF($I62-1,DI$15+1,"m"),)/12,)-1,)*Index!DE$23*(DI$15&gt;$I80)*(1-DI$12)</f>
        <v>0</v>
      </c>
      <c r="DJ80" s="747">
        <f>$G80*$H80*(1+$K80)^MAX(ROUNDUP(IFERROR(DATEDIF($I62-1,DJ$15+1,"m"),)/12,)-1,)*Index!DF$23*(DJ$15&gt;$I80)*(1-DJ$12)</f>
        <v>0</v>
      </c>
      <c r="DK80" s="747">
        <f>$G80*$H80*(1+$K80)^MAX(ROUNDUP(IFERROR(DATEDIF($I62-1,DK$15+1,"m"),)/12,)-1,)*Index!DG$23*(DK$15&gt;$I80)*(1-DK$12)</f>
        <v>0</v>
      </c>
      <c r="DL80" s="747">
        <f>$G80*$H80*(1+$K80)^MAX(ROUNDUP(IFERROR(DATEDIF($I62-1,DL$15+1,"m"),)/12,)-1,)*Index!DH$23*(DL$15&gt;$I80)*(1-DL$12)</f>
        <v>0</v>
      </c>
      <c r="DM80" s="747">
        <f>$G80*$H80*(1+$K80)^MAX(ROUNDUP(IFERROR(DATEDIF($I62-1,DM$15+1,"m"),)/12,)-1,)*Index!DI$23*(DM$15&gt;$I80)*(1-DM$12)</f>
        <v>0</v>
      </c>
      <c r="DN80" s="747">
        <f>$G80*$H80*(1+$K80)^MAX(ROUNDUP(IFERROR(DATEDIF($I62-1,DN$15+1,"m"),)/12,)-1,)*Index!DJ$23*(DN$15&gt;$I80)*(1-DN$12)</f>
        <v>0</v>
      </c>
      <c r="DO80" s="747">
        <f>$G80*$H80*(1+$K80)^MAX(ROUNDUP(IFERROR(DATEDIF($I62-1,DO$15+1,"m"),)/12,)-1,)*Index!DK$23*(DO$15&gt;$I80)*(1-DO$12)</f>
        <v>0</v>
      </c>
      <c r="DP80" s="747">
        <f>$G80*$H80*(1+$K80)^MAX(ROUNDUP(IFERROR(DATEDIF($I62-1,DP$15+1,"m"),)/12,)-1,)*Index!DL$23*(DP$15&gt;$I80)*(1-DP$12)</f>
        <v>0</v>
      </c>
      <c r="DQ80" s="747">
        <f>$G80*$H80*(1+$K80)^MAX(ROUNDUP(IFERROR(DATEDIF($I62-1,DQ$15+1,"m"),)/12,)-1,)*Index!DM$23*(DQ$15&gt;$I80)*(1-DQ$12)</f>
        <v>0</v>
      </c>
      <c r="DR80" s="747">
        <f>$G80*$H80*(1+$K80)^MAX(ROUNDUP(IFERROR(DATEDIF($I62-1,DR$15+1,"m"),)/12,)-1,)*Index!DN$23*(DR$15&gt;$I80)*(1-DR$12)</f>
        <v>0</v>
      </c>
      <c r="DS80" s="747">
        <f>$G80*$H80*(1+$K80)^MAX(ROUNDUP(IFERROR(DATEDIF($I62-1,DS$15+1,"m"),)/12,)-1,)*Index!DO$23*(DS$15&gt;$I80)*(1-DS$12)</f>
        <v>0</v>
      </c>
      <c r="DT80" s="747">
        <f>$G80*$H80*(1+$K80)^MAX(ROUNDUP(IFERROR(DATEDIF($I62-1,DT$15+1,"m"),)/12,)-1,)*Index!DP$23*(DT$15&gt;$I80)*(1-DT$12)</f>
        <v>0</v>
      </c>
      <c r="DU80" s="747">
        <f>$G80*$H80*(1+$K80)^MAX(ROUNDUP(IFERROR(DATEDIF($I62-1,DU$15+1,"m"),)/12,)-1,)*Index!DQ$23*(DU$15&gt;$I80)*(1-DU$12)</f>
        <v>0</v>
      </c>
      <c r="DV80" s="747">
        <f>$G80*$H80*(1+$K80)^MAX(ROUNDUP(IFERROR(DATEDIF($I62-1,DV$15+1,"m"),)/12,)-1,)*Index!DR$23*(DV$15&gt;$I80)*(1-DV$12)</f>
        <v>0</v>
      </c>
      <c r="DW80" s="747">
        <f>$G80*$H80*(1+$K80)^MAX(ROUNDUP(IFERROR(DATEDIF($I62-1,DW$15+1,"m"),)/12,)-1,)*Index!DS$23*(DW$15&gt;$I80)*(1-DW$12)</f>
        <v>0</v>
      </c>
      <c r="DX80" s="747">
        <f>$G80*$H80*(1+$K80)^MAX(ROUNDUP(IFERROR(DATEDIF($I62-1,DX$15+1,"m"),)/12,)-1,)*Index!DT$23*(DX$15&gt;$I80)*(1-DX$12)</f>
        <v>0</v>
      </c>
      <c r="DY80" s="747">
        <f>$G80*$H80*(1+$K80)^MAX(ROUNDUP(IFERROR(DATEDIF($I62-1,DY$15+1,"m"),)/12,)-1,)*Index!DU$23*(DY$15&gt;$I80)*(1-DY$12)</f>
        <v>0</v>
      </c>
      <c r="DZ80" s="747">
        <f>$G80*$H80*(1+$K80)^MAX(ROUNDUP(IFERROR(DATEDIF($I62-1,DZ$15+1,"m"),)/12,)-1,)*Index!DV$23*(DZ$15&gt;$I80)*(1-DZ$12)</f>
        <v>0</v>
      </c>
      <c r="EA80" s="747">
        <f>$G80*$H80*(1+$K80)^MAX(ROUNDUP(IFERROR(DATEDIF($I62-1,EA$15+1,"m"),)/12,)-1,)*Index!DW$23*(EA$15&gt;$I80)*(1-EA$12)</f>
        <v>0</v>
      </c>
      <c r="EB80" s="747">
        <f>$G80*$H80*(1+$K80)^MAX(ROUNDUP(IFERROR(DATEDIF($I62-1,EB$15+1,"m"),)/12,)-1,)*Index!DX$23*(EB$15&gt;$I80)*(1-EB$12)</f>
        <v>0</v>
      </c>
      <c r="EC80" s="747">
        <f>$G80*$H80*(1+$K80)^MAX(ROUNDUP(IFERROR(DATEDIF($I62-1,EC$15+1,"m"),)/12,)-1,)*Index!DY$23*(EC$15&gt;$I80)*(1-EC$12)</f>
        <v>0</v>
      </c>
      <c r="ED80" s="747">
        <f>$G80*$H80*(1+$K80)^MAX(ROUNDUP(IFERROR(DATEDIF($I62-1,ED$15+1,"m"),)/12,)-1,)*Index!DZ$23*(ED$15&gt;$I80)*(1-ED$12)</f>
        <v>0</v>
      </c>
      <c r="EE80" s="747">
        <f>$G80*$H80*(1+$K80)^MAX(ROUNDUP(IFERROR(DATEDIF($I62-1,EE$15+1,"m"),)/12,)-1,)*Index!EA$23*(EE$15&gt;$I80)*(1-EE$12)</f>
        <v>0</v>
      </c>
      <c r="EF80" s="747">
        <f>$G80*$H80*(1+$K80)^MAX(ROUNDUP(IFERROR(DATEDIF($I62-1,EF$15+1,"m"),)/12,)-1,)*Index!EB$23*(EF$15&gt;$I80)*(1-EF$12)</f>
        <v>0</v>
      </c>
      <c r="EG80" s="747">
        <f>$G80*$H80*(1+$K80)^MAX(ROUNDUP(IFERROR(DATEDIF($I62-1,EG$15+1,"m"),)/12,)-1,)*Index!EC$23*(EG$15&gt;$I80)*(1-EG$12)</f>
        <v>162608.38952981765</v>
      </c>
      <c r="EH80" s="747">
        <f>$G80*$H80*(1+$K80)^MAX(ROUNDUP(IFERROR(DATEDIF($I62-1,EH$15+1,"m"),)/12,)-1,)*Index!ED$23*(EH$15&gt;$I80)*(1-EH$12)</f>
        <v>162608.38952981765</v>
      </c>
      <c r="EI80" s="747">
        <f>$G80*$H80*(1+$K80)^MAX(ROUNDUP(IFERROR(DATEDIF($I62-1,EI$15+1,"m"),)/12,)-1,)*Index!EE$23*(EI$15&gt;$I80)*(1-EI$12)</f>
        <v>162608.38952981765</v>
      </c>
      <c r="EJ80" s="747">
        <f>$G80*$H80*(1+$K80)^MAX(ROUNDUP(IFERROR(DATEDIF($I62-1,EJ$15+1,"m"),)/12,)-1,)*Index!EF$23*(EJ$15&gt;$I80)*(1-EJ$12)</f>
        <v>162608.38952981765</v>
      </c>
      <c r="EK80" s="747">
        <f>$G80*$H80*(1+$K80)^MAX(ROUNDUP(IFERROR(DATEDIF($I62-1,EK$15+1,"m"),)/12,)-1,)*Index!EG$23*(EK$15&gt;$I80)*(1-EK$12)</f>
        <v>162608.38952981765</v>
      </c>
      <c r="EL80" s="747">
        <f>$G80*$H80*(1+$K80)^MAX(ROUNDUP(IFERROR(DATEDIF($I62-1,EL$15+1,"m"),)/12,)-1,)*Index!EH$23*(EL$15&gt;$I80)*(1-EL$12)</f>
        <v>162608.38952981765</v>
      </c>
      <c r="EM80" s="747">
        <f>$G80*$H80*(1+$K80)^MAX(ROUNDUP(IFERROR(DATEDIF($I62-1,EM$15+1,"m"),)/12,)-1,)*Index!EI$23*(EM$15&gt;$I80)*(1-EM$12)</f>
        <v>162608.38952981765</v>
      </c>
      <c r="EN80" s="747">
        <f>$G80*$H80*(1+$K80)^MAX(ROUNDUP(IFERROR(DATEDIF($I62-1,EN$15+1,"m"),)/12,)-1,)*Index!EJ$23*(EN$15&gt;$I80)*(1-EN$12)</f>
        <v>162608.38952981765</v>
      </c>
      <c r="EO80" s="747">
        <f>$G80*$H80*(1+$K80)^MAX(ROUNDUP(IFERROR(DATEDIF($I62-1,EO$15+1,"m"),)/12,)-1,)*Index!EK$23*(EO$15&gt;$I80)*(1-EO$12)</f>
        <v>162608.38952981765</v>
      </c>
      <c r="EP80" s="747">
        <f>$G80*$H80*(1+$K80)^MAX(ROUNDUP(IFERROR(DATEDIF($I62-1,EP$15+1,"m"),)/12,)-1,)*Index!EL$23*(EP$15&gt;$I80)*(1-EP$12)</f>
        <v>166673.59926806309</v>
      </c>
      <c r="EQ80" s="747">
        <f>$G80*$H80*(1+$K80)^MAX(ROUNDUP(IFERROR(DATEDIF($I62-1,EQ$15+1,"m"),)/12,)-1,)*Index!EM$23*(EQ$15&gt;$I80)*(1-EQ$12)</f>
        <v>166673.59926806309</v>
      </c>
      <c r="ER80" s="747">
        <f>$G80*$H80*(1+$K80)^MAX(ROUNDUP(IFERROR(DATEDIF($I62-1,ER$15+1,"m"),)/12,)-1,)*Index!EN$23*(ER$15&gt;$I80)*(1-ER$12)</f>
        <v>166673.59926806309</v>
      </c>
      <c r="ES80" s="747">
        <f>$G80*$H80*(1+$K80)^MAX(ROUNDUP(IFERROR(DATEDIF($I62-1,ES$15+1,"m"),)/12,)-1,)*Index!EO$23*(ES$15&gt;$I80)*(1-ES$12)</f>
        <v>0</v>
      </c>
      <c r="ET80" s="747">
        <f>$G80*$H80*(1+$K80)^MAX(ROUNDUP(IFERROR(DATEDIF($I62-1,ET$15+1,"m"),)/12,)-1,)*Index!EP$23*(ET$15&gt;$I80)*(1-ET$12)</f>
        <v>0</v>
      </c>
      <c r="EU80" s="747">
        <f>$G80*$H80*(1+$K80)^MAX(ROUNDUP(IFERROR(DATEDIF($I62-1,EU$15+1,"m"),)/12,)-1,)*Index!EQ$23*(EU$15&gt;$I80)*(1-EU$12)</f>
        <v>0</v>
      </c>
    </row>
    <row r="81" spans="1:151" ht="11.25" customHeight="1">
      <c r="C81" s="828"/>
      <c r="D81" s="743">
        <f t="shared" si="40"/>
        <v>2</v>
      </c>
      <c r="E81" s="704" t="str">
        <f t="shared" si="40"/>
        <v>쿠팡</v>
      </c>
      <c r="F81" s="704" t="str">
        <f t="shared" si="40"/>
        <v>상온창고</v>
      </c>
      <c r="G81" s="752">
        <f t="shared" si="41"/>
        <v>57.698001860542107</v>
      </c>
      <c r="H81" s="744">
        <f t="shared" si="40"/>
        <v>2185.56</v>
      </c>
      <c r="I81" s="745">
        <f t="shared" si="42"/>
        <v>49064</v>
      </c>
      <c r="J81" s="745"/>
      <c r="K81" s="754">
        <f t="shared" si="43"/>
        <v>2.5000000000000001E-2</v>
      </c>
      <c r="L81" s="746"/>
      <c r="M81" s="722"/>
      <c r="N81" s="747">
        <f t="shared" si="44"/>
        <v>2026852.3602448709</v>
      </c>
      <c r="O81" s="733"/>
      <c r="P81" s="747">
        <f>$G81*$H81*(1+$K81)^MAX(ROUNDUP(IFERROR(DATEDIF($I63-1,P$15+1,"m"),)/12,)-1,)*Index!L$23*(P$15&gt;$I81)*(1-P$12)</f>
        <v>0</v>
      </c>
      <c r="Q81" s="747">
        <f>$G81*$H81*(1+$K81)^MAX(ROUNDUP(IFERROR(DATEDIF($I63-1,Q$15+1,"m"),)/12,)-1,)*Index!M$23*(Q$15&gt;$I81)*(1-Q$12)</f>
        <v>0</v>
      </c>
      <c r="R81" s="747">
        <f>$G81*$H81*(1+$K81)^MAX(ROUNDUP(IFERROR(DATEDIF($I63-1,R$15+1,"m"),)/12,)-1,)*Index!N$23*(R$15&gt;$I81)*(1-R$12)</f>
        <v>0</v>
      </c>
      <c r="S81" s="747">
        <f>$G81*$H81*(1+$K81)^MAX(ROUNDUP(IFERROR(DATEDIF($I63-1,S$15+1,"m"),)/12,)-1,)*Index!O$23*(S$15&gt;$I81)*(1-S$12)</f>
        <v>0</v>
      </c>
      <c r="T81" s="747">
        <f>$G81*$H81*(1+$K81)^MAX(ROUNDUP(IFERROR(DATEDIF($I63-1,T$15+1,"m"),)/12,)-1,)*Index!P$23*(T$15&gt;$I81)*(1-T$12)</f>
        <v>0</v>
      </c>
      <c r="U81" s="747">
        <f>$G81*$H81*(1+$K81)^MAX(ROUNDUP(IFERROR(DATEDIF($I63-1,U$15+1,"m"),)/12,)-1,)*Index!Q$23*(U$15&gt;$I81)*(1-U$12)</f>
        <v>0</v>
      </c>
      <c r="V81" s="747">
        <f>$G81*$H81*(1+$K81)^MAX(ROUNDUP(IFERROR(DATEDIF($I63-1,V$15+1,"m"),)/12,)-1,)*Index!R$23*(V$15&gt;$I81)*(1-V$12)</f>
        <v>0</v>
      </c>
      <c r="W81" s="747">
        <f>$G81*$H81*(1+$K81)^MAX(ROUNDUP(IFERROR(DATEDIF($I63-1,W$15+1,"m"),)/12,)-1,)*Index!S$23*(W$15&gt;$I81)*(1-W$12)</f>
        <v>0</v>
      </c>
      <c r="X81" s="747">
        <f>$G81*$H81*(1+$K81)^MAX(ROUNDUP(IFERROR(DATEDIF($I63-1,X$15+1,"m"),)/12,)-1,)*Index!T$23*(X$15&gt;$I81)*(1-X$12)</f>
        <v>0</v>
      </c>
      <c r="Y81" s="747">
        <f>$G81*$H81*(1+$K81)^MAX(ROUNDUP(IFERROR(DATEDIF($I63-1,Y$15+1,"m"),)/12,)-1,)*Index!U$23*(Y$15&gt;$I81)*(1-Y$12)</f>
        <v>0</v>
      </c>
      <c r="Z81" s="747">
        <f>$G81*$H81*(1+$K81)^MAX(ROUNDUP(IFERROR(DATEDIF($I63-1,Z$15+1,"m"),)/12,)-1,)*Index!V$23*(Z$15&gt;$I81)*(1-Z$12)</f>
        <v>0</v>
      </c>
      <c r="AA81" s="747">
        <f>$G81*$H81*(1+$K81)^MAX(ROUNDUP(IFERROR(DATEDIF($I63-1,AA$15+1,"m"),)/12,)-1,)*Index!W$23*(AA$15&gt;$I81)*(1-AA$12)</f>
        <v>0</v>
      </c>
      <c r="AB81" s="747">
        <f>$G81*$H81*(1+$K81)^MAX(ROUNDUP(IFERROR(DATEDIF($I63-1,AB$15+1,"m"),)/12,)-1,)*Index!X$23*(AB$15&gt;$I81)*(1-AB$12)</f>
        <v>0</v>
      </c>
      <c r="AC81" s="747">
        <f>$G81*$H81*(1+$K81)^MAX(ROUNDUP(IFERROR(DATEDIF($I63-1,AC$15+1,"m"),)/12,)-1,)*Index!Y$23*(AC$15&gt;$I81)*(1-AC$12)</f>
        <v>0</v>
      </c>
      <c r="AD81" s="747">
        <f>$G81*$H81*(1+$K81)^MAX(ROUNDUP(IFERROR(DATEDIF($I63-1,AD$15+1,"m"),)/12,)-1,)*Index!Z$23*(AD$15&gt;$I81)*(1-AD$12)</f>
        <v>0</v>
      </c>
      <c r="AE81" s="747">
        <f>$G81*$H81*(1+$K81)^MAX(ROUNDUP(IFERROR(DATEDIF($I63-1,AE$15+1,"m"),)/12,)-1,)*Index!AA$23*(AE$15&gt;$I81)*(1-AE$12)</f>
        <v>0</v>
      </c>
      <c r="AF81" s="747">
        <f>$G81*$H81*(1+$K81)^MAX(ROUNDUP(IFERROR(DATEDIF($I63-1,AF$15+1,"m"),)/12,)-1,)*Index!AB$23*(AF$15&gt;$I81)*(1-AF$12)</f>
        <v>0</v>
      </c>
      <c r="AG81" s="747">
        <f>$G81*$H81*(1+$K81)^MAX(ROUNDUP(IFERROR(DATEDIF($I63-1,AG$15+1,"m"),)/12,)-1,)*Index!AC$23*(AG$15&gt;$I81)*(1-AG$12)</f>
        <v>0</v>
      </c>
      <c r="AH81" s="747">
        <f>$G81*$H81*(1+$K81)^MAX(ROUNDUP(IFERROR(DATEDIF($I63-1,AH$15+1,"m"),)/12,)-1,)*Index!AD$23*(AH$15&gt;$I81)*(1-AH$12)</f>
        <v>0</v>
      </c>
      <c r="AI81" s="747">
        <f>$G81*$H81*(1+$K81)^MAX(ROUNDUP(IFERROR(DATEDIF($I63-1,AI$15+1,"m"),)/12,)-1,)*Index!AE$23*(AI$15&gt;$I81)*(1-AI$12)</f>
        <v>0</v>
      </c>
      <c r="AJ81" s="747">
        <f>$G81*$H81*(1+$K81)^MAX(ROUNDUP(IFERROR(DATEDIF($I63-1,AJ$15+1,"m"),)/12,)-1,)*Index!AF$23*(AJ$15&gt;$I81)*(1-AJ$12)</f>
        <v>0</v>
      </c>
      <c r="AK81" s="747">
        <f>$G81*$H81*(1+$K81)^MAX(ROUNDUP(IFERROR(DATEDIF($I63-1,AK$15+1,"m"),)/12,)-1,)*Index!AG$23*(AK$15&gt;$I81)*(1-AK$12)</f>
        <v>0</v>
      </c>
      <c r="AL81" s="747">
        <f>$G81*$H81*(1+$K81)^MAX(ROUNDUP(IFERROR(DATEDIF($I63-1,AL$15+1,"m"),)/12,)-1,)*Index!AH$23*(AL$15&gt;$I81)*(1-AL$12)</f>
        <v>0</v>
      </c>
      <c r="AM81" s="747">
        <f>$G81*$H81*(1+$K81)^MAX(ROUNDUP(IFERROR(DATEDIF($I63-1,AM$15+1,"m"),)/12,)-1,)*Index!AI$23*(AM$15&gt;$I81)*(1-AM$12)</f>
        <v>0</v>
      </c>
      <c r="AN81" s="747">
        <f>$G81*$H81*(1+$K81)^MAX(ROUNDUP(IFERROR(DATEDIF($I63-1,AN$15+1,"m"),)/12,)-1,)*Index!AJ$23*(AN$15&gt;$I81)*(1-AN$12)</f>
        <v>0</v>
      </c>
      <c r="AO81" s="747">
        <f>$G81*$H81*(1+$K81)^MAX(ROUNDUP(IFERROR(DATEDIF($I63-1,AO$15+1,"m"),)/12,)-1,)*Index!AK$23*(AO$15&gt;$I81)*(1-AO$12)</f>
        <v>0</v>
      </c>
      <c r="AP81" s="747">
        <f>$G81*$H81*(1+$K81)^MAX(ROUNDUP(IFERROR(DATEDIF($I63-1,AP$15+1,"m"),)/12,)-1,)*Index!AL$23*(AP$15&gt;$I81)*(1-AP$12)</f>
        <v>0</v>
      </c>
      <c r="AQ81" s="747">
        <f>$G81*$H81*(1+$K81)^MAX(ROUNDUP(IFERROR(DATEDIF($I63-1,AQ$15+1,"m"),)/12,)-1,)*Index!AM$23*(AQ$15&gt;$I81)*(1-AQ$12)</f>
        <v>0</v>
      </c>
      <c r="AR81" s="747">
        <f>$G81*$H81*(1+$K81)^MAX(ROUNDUP(IFERROR(DATEDIF($I63-1,AR$15+1,"m"),)/12,)-1,)*Index!AN$23*(AR$15&gt;$I81)*(1-AR$12)</f>
        <v>0</v>
      </c>
      <c r="AS81" s="747">
        <f>$G81*$H81*(1+$K81)^MAX(ROUNDUP(IFERROR(DATEDIF($I63-1,AS$15+1,"m"),)/12,)-1,)*Index!AO$23*(AS$15&gt;$I81)*(1-AS$12)</f>
        <v>0</v>
      </c>
      <c r="AT81" s="747">
        <f>$G81*$H81*(1+$K81)^MAX(ROUNDUP(IFERROR(DATEDIF($I63-1,AT$15+1,"m"),)/12,)-1,)*Index!AP$23*(AT$15&gt;$I81)*(1-AT$12)</f>
        <v>0</v>
      </c>
      <c r="AU81" s="747">
        <f>$G81*$H81*(1+$K81)^MAX(ROUNDUP(IFERROR(DATEDIF($I63-1,AU$15+1,"m"),)/12,)-1,)*Index!AQ$23*(AU$15&gt;$I81)*(1-AU$12)</f>
        <v>0</v>
      </c>
      <c r="AV81" s="747">
        <f>$G81*$H81*(1+$K81)^MAX(ROUNDUP(IFERROR(DATEDIF($I63-1,AV$15+1,"m"),)/12,)-1,)*Index!AR$23*(AV$15&gt;$I81)*(1-AV$12)</f>
        <v>0</v>
      </c>
      <c r="AW81" s="747">
        <f>$G81*$H81*(1+$K81)^MAX(ROUNDUP(IFERROR(DATEDIF($I63-1,AW$15+1,"m"),)/12,)-1,)*Index!AS$23*(AW$15&gt;$I81)*(1-AW$12)</f>
        <v>0</v>
      </c>
      <c r="AX81" s="747">
        <f>$G81*$H81*(1+$K81)^MAX(ROUNDUP(IFERROR(DATEDIF($I63-1,AX$15+1,"m"),)/12,)-1,)*Index!AT$23*(AX$15&gt;$I81)*(1-AX$12)</f>
        <v>0</v>
      </c>
      <c r="AY81" s="747">
        <f>$G81*$H81*(1+$K81)^MAX(ROUNDUP(IFERROR(DATEDIF($I63-1,AY$15+1,"m"),)/12,)-1,)*Index!AU$23*(AY$15&gt;$I81)*(1-AY$12)</f>
        <v>0</v>
      </c>
      <c r="AZ81" s="747">
        <f>$G81*$H81*(1+$K81)^MAX(ROUNDUP(IFERROR(DATEDIF($I63-1,AZ$15+1,"m"),)/12,)-1,)*Index!AV$23*(AZ$15&gt;$I81)*(1-AZ$12)</f>
        <v>0</v>
      </c>
      <c r="BA81" s="747">
        <f>$G81*$H81*(1+$K81)^MAX(ROUNDUP(IFERROR(DATEDIF($I63-1,BA$15+1,"m"),)/12,)-1,)*Index!AW$23*(BA$15&gt;$I81)*(1-BA$12)</f>
        <v>0</v>
      </c>
      <c r="BB81" s="747">
        <f>$G81*$H81*(1+$K81)^MAX(ROUNDUP(IFERROR(DATEDIF($I63-1,BB$15+1,"m"),)/12,)-1,)*Index!AX$23*(BB$15&gt;$I81)*(1-BB$12)</f>
        <v>0</v>
      </c>
      <c r="BC81" s="747">
        <f>$G81*$H81*(1+$K81)^MAX(ROUNDUP(IFERROR(DATEDIF($I63-1,BC$15+1,"m"),)/12,)-1,)*Index!AY$23*(BC$15&gt;$I81)*(1-BC$12)</f>
        <v>0</v>
      </c>
      <c r="BD81" s="747">
        <f>$G81*$H81*(1+$K81)^MAX(ROUNDUP(IFERROR(DATEDIF($I63-1,BD$15+1,"m"),)/12,)-1,)*Index!AZ$23*(BD$15&gt;$I81)*(1-BD$12)</f>
        <v>0</v>
      </c>
      <c r="BE81" s="747">
        <f>$G81*$H81*(1+$K81)^MAX(ROUNDUP(IFERROR(DATEDIF($I63-1,BE$15+1,"m"),)/12,)-1,)*Index!BA$23*(BE$15&gt;$I81)*(1-BE$12)</f>
        <v>0</v>
      </c>
      <c r="BF81" s="747">
        <f>$G81*$H81*(1+$K81)^MAX(ROUNDUP(IFERROR(DATEDIF($I63-1,BF$15+1,"m"),)/12,)-1,)*Index!BB$23*(BF$15&gt;$I81)*(1-BF$12)</f>
        <v>0</v>
      </c>
      <c r="BG81" s="747">
        <f>$G81*$H81*(1+$K81)^MAX(ROUNDUP(IFERROR(DATEDIF($I63-1,BG$15+1,"m"),)/12,)-1,)*Index!BC$23*(BG$15&gt;$I81)*(1-BG$12)</f>
        <v>0</v>
      </c>
      <c r="BH81" s="747">
        <f>$G81*$H81*(1+$K81)^MAX(ROUNDUP(IFERROR(DATEDIF($I63-1,BH$15+1,"m"),)/12,)-1,)*Index!BD$23*(BH$15&gt;$I81)*(1-BH$12)</f>
        <v>0</v>
      </c>
      <c r="BI81" s="747">
        <f>$G81*$H81*(1+$K81)^MAX(ROUNDUP(IFERROR(DATEDIF($I63-1,BI$15+1,"m"),)/12,)-1,)*Index!BE$23*(BI$15&gt;$I81)*(1-BI$12)</f>
        <v>0</v>
      </c>
      <c r="BJ81" s="747">
        <f>$G81*$H81*(1+$K81)^MAX(ROUNDUP(IFERROR(DATEDIF($I63-1,BJ$15+1,"m"),)/12,)-1,)*Index!BF$23*(BJ$15&gt;$I81)*(1-BJ$12)</f>
        <v>0</v>
      </c>
      <c r="BK81" s="747">
        <f>$G81*$H81*(1+$K81)^MAX(ROUNDUP(IFERROR(DATEDIF($I63-1,BK$15+1,"m"),)/12,)-1,)*Index!BG$23*(BK$15&gt;$I81)*(1-BK$12)</f>
        <v>0</v>
      </c>
      <c r="BL81" s="747">
        <f>$G81*$H81*(1+$K81)^MAX(ROUNDUP(IFERROR(DATEDIF($I63-1,BL$15+1,"m"),)/12,)-1,)*Index!BH$23*(BL$15&gt;$I81)*(1-BL$12)</f>
        <v>0</v>
      </c>
      <c r="BM81" s="747">
        <f>$G81*$H81*(1+$K81)^MAX(ROUNDUP(IFERROR(DATEDIF($I63-1,BM$15+1,"m"),)/12,)-1,)*Index!BI$23*(BM$15&gt;$I81)*(1-BM$12)</f>
        <v>0</v>
      </c>
      <c r="BN81" s="747">
        <f>$G81*$H81*(1+$K81)^MAX(ROUNDUP(IFERROR(DATEDIF($I63-1,BN$15+1,"m"),)/12,)-1,)*Index!BJ$23*(BN$15&gt;$I81)*(1-BN$12)</f>
        <v>0</v>
      </c>
      <c r="BO81" s="747">
        <f>$G81*$H81*(1+$K81)^MAX(ROUNDUP(IFERROR(DATEDIF($I63-1,BO$15+1,"m"),)/12,)-1,)*Index!BK$23*(BO$15&gt;$I81)*(1-BO$12)</f>
        <v>0</v>
      </c>
      <c r="BP81" s="747">
        <f>$G81*$H81*(1+$K81)^MAX(ROUNDUP(IFERROR(DATEDIF($I63-1,BP$15+1,"m"),)/12,)-1,)*Index!BL$23*(BP$15&gt;$I81)*(1-BP$12)</f>
        <v>0</v>
      </c>
      <c r="BQ81" s="747">
        <f>$G81*$H81*(1+$K81)^MAX(ROUNDUP(IFERROR(DATEDIF($I63-1,BQ$15+1,"m"),)/12,)-1,)*Index!BM$23*(BQ$15&gt;$I81)*(1-BQ$12)</f>
        <v>0</v>
      </c>
      <c r="BR81" s="747">
        <f>$G81*$H81*(1+$K81)^MAX(ROUNDUP(IFERROR(DATEDIF($I63-1,BR$15+1,"m"),)/12,)-1,)*Index!BN$23*(BR$15&gt;$I81)*(1-BR$12)</f>
        <v>0</v>
      </c>
      <c r="BS81" s="747">
        <f>$G81*$H81*(1+$K81)^MAX(ROUNDUP(IFERROR(DATEDIF($I63-1,BS$15+1,"m"),)/12,)-1,)*Index!BO$23*(BS$15&gt;$I81)*(1-BS$12)</f>
        <v>0</v>
      </c>
      <c r="BT81" s="747">
        <f>$G81*$H81*(1+$K81)^MAX(ROUNDUP(IFERROR(DATEDIF($I63-1,BT$15+1,"m"),)/12,)-1,)*Index!BP$23*(BT$15&gt;$I81)*(1-BT$12)</f>
        <v>0</v>
      </c>
      <c r="BU81" s="747">
        <f>$G81*$H81*(1+$K81)^MAX(ROUNDUP(IFERROR(DATEDIF($I63-1,BU$15+1,"m"),)/12,)-1,)*Index!BQ$23*(BU$15&gt;$I81)*(1-BU$12)</f>
        <v>0</v>
      </c>
      <c r="BV81" s="747">
        <f>$G81*$H81*(1+$K81)^MAX(ROUNDUP(IFERROR(DATEDIF($I63-1,BV$15+1,"m"),)/12,)-1,)*Index!BR$23*(BV$15&gt;$I81)*(1-BV$12)</f>
        <v>0</v>
      </c>
      <c r="BW81" s="747">
        <f>$G81*$H81*(1+$K81)^MAX(ROUNDUP(IFERROR(DATEDIF($I63-1,BW$15+1,"m"),)/12,)-1,)*Index!BS$23*(BW$15&gt;$I81)*(1-BW$12)</f>
        <v>0</v>
      </c>
      <c r="BX81" s="747">
        <f>$G81*$H81*(1+$K81)^MAX(ROUNDUP(IFERROR(DATEDIF($I63-1,BX$15+1,"m"),)/12,)-1,)*Index!BT$23*(BX$15&gt;$I81)*(1-BX$12)</f>
        <v>0</v>
      </c>
      <c r="BY81" s="747">
        <f>$G81*$H81*(1+$K81)^MAX(ROUNDUP(IFERROR(DATEDIF($I63-1,BY$15+1,"m"),)/12,)-1,)*Index!BU$23*(BY$15&gt;$I81)*(1-BY$12)</f>
        <v>0</v>
      </c>
      <c r="BZ81" s="747">
        <f>$G81*$H81*(1+$K81)^MAX(ROUNDUP(IFERROR(DATEDIF($I63-1,BZ$15+1,"m"),)/12,)-1,)*Index!BV$23*(BZ$15&gt;$I81)*(1-BZ$12)</f>
        <v>0</v>
      </c>
      <c r="CA81" s="747">
        <f>$G81*$H81*(1+$K81)^MAX(ROUNDUP(IFERROR(DATEDIF($I63-1,CA$15+1,"m"),)/12,)-1,)*Index!BW$23*(CA$15&gt;$I81)*(1-CA$12)</f>
        <v>0</v>
      </c>
      <c r="CB81" s="747">
        <f>$G81*$H81*(1+$K81)^MAX(ROUNDUP(IFERROR(DATEDIF($I63-1,CB$15+1,"m"),)/12,)-1,)*Index!BX$23*(CB$15&gt;$I81)*(1-CB$12)</f>
        <v>0</v>
      </c>
      <c r="CC81" s="747">
        <f>$G81*$H81*(1+$K81)^MAX(ROUNDUP(IFERROR(DATEDIF($I63-1,CC$15+1,"m"),)/12,)-1,)*Index!BY$23*(CC$15&gt;$I81)*(1-CC$12)</f>
        <v>0</v>
      </c>
      <c r="CD81" s="747">
        <f>$G81*$H81*(1+$K81)^MAX(ROUNDUP(IFERROR(DATEDIF($I63-1,CD$15+1,"m"),)/12,)-1,)*Index!BZ$23*(CD$15&gt;$I81)*(1-CD$12)</f>
        <v>0</v>
      </c>
      <c r="CE81" s="747">
        <f>$G81*$H81*(1+$K81)^MAX(ROUNDUP(IFERROR(DATEDIF($I63-1,CE$15+1,"m"),)/12,)-1,)*Index!CA$23*(CE$15&gt;$I81)*(1-CE$12)</f>
        <v>0</v>
      </c>
      <c r="CF81" s="747">
        <f>$G81*$H81*(1+$K81)^MAX(ROUNDUP(IFERROR(DATEDIF($I63-1,CF$15+1,"m"),)/12,)-1,)*Index!CB$23*(CF$15&gt;$I81)*(1-CF$12)</f>
        <v>0</v>
      </c>
      <c r="CG81" s="747">
        <f>$G81*$H81*(1+$K81)^MAX(ROUNDUP(IFERROR(DATEDIF($I63-1,CG$15+1,"m"),)/12,)-1,)*Index!CC$23*(CG$15&gt;$I81)*(1-CG$12)</f>
        <v>0</v>
      </c>
      <c r="CH81" s="747">
        <f>$G81*$H81*(1+$K81)^MAX(ROUNDUP(IFERROR(DATEDIF($I63-1,CH$15+1,"m"),)/12,)-1,)*Index!CD$23*(CH$15&gt;$I81)*(1-CH$12)</f>
        <v>0</v>
      </c>
      <c r="CI81" s="747">
        <f>$G81*$H81*(1+$K81)^MAX(ROUNDUP(IFERROR(DATEDIF($I63-1,CI$15+1,"m"),)/12,)-1,)*Index!CE$23*(CI$15&gt;$I81)*(1-CI$12)</f>
        <v>0</v>
      </c>
      <c r="CJ81" s="747">
        <f>$G81*$H81*(1+$K81)^MAX(ROUNDUP(IFERROR(DATEDIF($I63-1,CJ$15+1,"m"),)/12,)-1,)*Index!CF$23*(CJ$15&gt;$I81)*(1-CJ$12)</f>
        <v>0</v>
      </c>
      <c r="CK81" s="747">
        <f>$G81*$H81*(1+$K81)^MAX(ROUNDUP(IFERROR(DATEDIF($I63-1,CK$15+1,"m"),)/12,)-1,)*Index!CG$23*(CK$15&gt;$I81)*(1-CK$12)</f>
        <v>0</v>
      </c>
      <c r="CL81" s="747">
        <f>$G81*$H81*(1+$K81)^MAX(ROUNDUP(IFERROR(DATEDIF($I63-1,CL$15+1,"m"),)/12,)-1,)*Index!CH$23*(CL$15&gt;$I81)*(1-CL$12)</f>
        <v>0</v>
      </c>
      <c r="CM81" s="747">
        <f>$G81*$H81*(1+$K81)^MAX(ROUNDUP(IFERROR(DATEDIF($I63-1,CM$15+1,"m"),)/12,)-1,)*Index!CI$23*(CM$15&gt;$I81)*(1-CM$12)</f>
        <v>0</v>
      </c>
      <c r="CN81" s="747">
        <f>$G81*$H81*(1+$K81)^MAX(ROUNDUP(IFERROR(DATEDIF($I63-1,CN$15+1,"m"),)/12,)-1,)*Index!CJ$23*(CN$15&gt;$I81)*(1-CN$12)</f>
        <v>0</v>
      </c>
      <c r="CO81" s="747">
        <f>$G81*$H81*(1+$K81)^MAX(ROUNDUP(IFERROR(DATEDIF($I63-1,CO$15+1,"m"),)/12,)-1,)*Index!CK$23*(CO$15&gt;$I81)*(1-CO$12)</f>
        <v>0</v>
      </c>
      <c r="CP81" s="747">
        <f>$G81*$H81*(1+$K81)^MAX(ROUNDUP(IFERROR(DATEDIF($I63-1,CP$15+1,"m"),)/12,)-1,)*Index!CL$23*(CP$15&gt;$I81)*(1-CP$12)</f>
        <v>0</v>
      </c>
      <c r="CQ81" s="747">
        <f>$G81*$H81*(1+$K81)^MAX(ROUNDUP(IFERROR(DATEDIF($I63-1,CQ$15+1,"m"),)/12,)-1,)*Index!CM$23*(CQ$15&gt;$I81)*(1-CQ$12)</f>
        <v>0</v>
      </c>
      <c r="CR81" s="747">
        <f>$G81*$H81*(1+$K81)^MAX(ROUNDUP(IFERROR(DATEDIF($I63-1,CR$15+1,"m"),)/12,)-1,)*Index!CN$23*(CR$15&gt;$I81)*(1-CR$12)</f>
        <v>0</v>
      </c>
      <c r="CS81" s="747">
        <f>$G81*$H81*(1+$K81)^MAX(ROUNDUP(IFERROR(DATEDIF($I63-1,CS$15+1,"m"),)/12,)-1,)*Index!CO$23*(CS$15&gt;$I81)*(1-CS$12)</f>
        <v>0</v>
      </c>
      <c r="CT81" s="747">
        <f>$G81*$H81*(1+$K81)^MAX(ROUNDUP(IFERROR(DATEDIF($I63-1,CT$15+1,"m"),)/12,)-1,)*Index!CP$23*(CT$15&gt;$I81)*(1-CT$12)</f>
        <v>0</v>
      </c>
      <c r="CU81" s="747">
        <f>$G81*$H81*(1+$K81)^MAX(ROUNDUP(IFERROR(DATEDIF($I63-1,CU$15+1,"m"),)/12,)-1,)*Index!CQ$23*(CU$15&gt;$I81)*(1-CU$12)</f>
        <v>0</v>
      </c>
      <c r="CV81" s="747">
        <f>$G81*$H81*(1+$K81)^MAX(ROUNDUP(IFERROR(DATEDIF($I63-1,CV$15+1,"m"),)/12,)-1,)*Index!CR$23*(CV$15&gt;$I81)*(1-CV$12)</f>
        <v>0</v>
      </c>
      <c r="CW81" s="747">
        <f>$G81*$H81*(1+$K81)^MAX(ROUNDUP(IFERROR(DATEDIF($I63-1,CW$15+1,"m"),)/12,)-1,)*Index!CS$23*(CW$15&gt;$I81)*(1-CW$12)</f>
        <v>0</v>
      </c>
      <c r="CX81" s="747">
        <f>$G81*$H81*(1+$K81)^MAX(ROUNDUP(IFERROR(DATEDIF($I63-1,CX$15+1,"m"),)/12,)-1,)*Index!CT$23*(CX$15&gt;$I81)*(1-CX$12)</f>
        <v>0</v>
      </c>
      <c r="CY81" s="747">
        <f>$G81*$H81*(1+$K81)^MAX(ROUNDUP(IFERROR(DATEDIF($I63-1,CY$15+1,"m"),)/12,)-1,)*Index!CU$23*(CY$15&gt;$I81)*(1-CY$12)</f>
        <v>0</v>
      </c>
      <c r="CZ81" s="747">
        <f>$G81*$H81*(1+$K81)^MAX(ROUNDUP(IFERROR(DATEDIF($I63-1,CZ$15+1,"m"),)/12,)-1,)*Index!CV$23*(CZ$15&gt;$I81)*(1-CZ$12)</f>
        <v>0</v>
      </c>
      <c r="DA81" s="747">
        <f>$G81*$H81*(1+$K81)^MAX(ROUNDUP(IFERROR(DATEDIF($I63-1,DA$15+1,"m"),)/12,)-1,)*Index!CW$23*(DA$15&gt;$I81)*(1-DA$12)</f>
        <v>0</v>
      </c>
      <c r="DB81" s="747">
        <f>$G81*$H81*(1+$K81)^MAX(ROUNDUP(IFERROR(DATEDIF($I63-1,DB$15+1,"m"),)/12,)-1,)*Index!CX$23*(DB$15&gt;$I81)*(1-DB$12)</f>
        <v>0</v>
      </c>
      <c r="DC81" s="747">
        <f>$G81*$H81*(1+$K81)^MAX(ROUNDUP(IFERROR(DATEDIF($I63-1,DC$15+1,"m"),)/12,)-1,)*Index!CY$23*(DC$15&gt;$I81)*(1-DC$12)</f>
        <v>0</v>
      </c>
      <c r="DD81" s="747">
        <f>$G81*$H81*(1+$K81)^MAX(ROUNDUP(IFERROR(DATEDIF($I63-1,DD$15+1,"m"),)/12,)-1,)*Index!CZ$23*(DD$15&gt;$I81)*(1-DD$12)</f>
        <v>0</v>
      </c>
      <c r="DE81" s="747">
        <f>$G81*$H81*(1+$K81)^MAX(ROUNDUP(IFERROR(DATEDIF($I63-1,DE$15+1,"m"),)/12,)-1,)*Index!DA$23*(DE$15&gt;$I81)*(1-DE$12)</f>
        <v>0</v>
      </c>
      <c r="DF81" s="747">
        <f>$G81*$H81*(1+$K81)^MAX(ROUNDUP(IFERROR(DATEDIF($I63-1,DF$15+1,"m"),)/12,)-1,)*Index!DB$23*(DF$15&gt;$I81)*(1-DF$12)</f>
        <v>0</v>
      </c>
      <c r="DG81" s="747">
        <f>$G81*$H81*(1+$K81)^MAX(ROUNDUP(IFERROR(DATEDIF($I63-1,DG$15+1,"m"),)/12,)-1,)*Index!DC$23*(DG$15&gt;$I81)*(1-DG$12)</f>
        <v>0</v>
      </c>
      <c r="DH81" s="747">
        <f>$G81*$H81*(1+$K81)^MAX(ROUNDUP(IFERROR(DATEDIF($I63-1,DH$15+1,"m"),)/12,)-1,)*Index!DD$23*(DH$15&gt;$I81)*(1-DH$12)</f>
        <v>0</v>
      </c>
      <c r="DI81" s="747">
        <f>$G81*$H81*(1+$K81)^MAX(ROUNDUP(IFERROR(DATEDIF($I63-1,DI$15+1,"m"),)/12,)-1,)*Index!DE$23*(DI$15&gt;$I81)*(1-DI$12)</f>
        <v>0</v>
      </c>
      <c r="DJ81" s="747">
        <f>$G81*$H81*(1+$K81)^MAX(ROUNDUP(IFERROR(DATEDIF($I63-1,DJ$15+1,"m"),)/12,)-1,)*Index!DF$23*(DJ$15&gt;$I81)*(1-DJ$12)</f>
        <v>0</v>
      </c>
      <c r="DK81" s="747">
        <f>$G81*$H81*(1+$K81)^MAX(ROUNDUP(IFERROR(DATEDIF($I63-1,DK$15+1,"m"),)/12,)-1,)*Index!DG$23*(DK$15&gt;$I81)*(1-DK$12)</f>
        <v>0</v>
      </c>
      <c r="DL81" s="747">
        <f>$G81*$H81*(1+$K81)^MAX(ROUNDUP(IFERROR(DATEDIF($I63-1,DL$15+1,"m"),)/12,)-1,)*Index!DH$23*(DL$15&gt;$I81)*(1-DL$12)</f>
        <v>0</v>
      </c>
      <c r="DM81" s="747">
        <f>$G81*$H81*(1+$K81)^MAX(ROUNDUP(IFERROR(DATEDIF($I63-1,DM$15+1,"m"),)/12,)-1,)*Index!DI$23*(DM$15&gt;$I81)*(1-DM$12)</f>
        <v>0</v>
      </c>
      <c r="DN81" s="747">
        <f>$G81*$H81*(1+$K81)^MAX(ROUNDUP(IFERROR(DATEDIF($I63-1,DN$15+1,"m"),)/12,)-1,)*Index!DJ$23*(DN$15&gt;$I81)*(1-DN$12)</f>
        <v>0</v>
      </c>
      <c r="DO81" s="747">
        <f>$G81*$H81*(1+$K81)^MAX(ROUNDUP(IFERROR(DATEDIF($I63-1,DO$15+1,"m"),)/12,)-1,)*Index!DK$23*(DO$15&gt;$I81)*(1-DO$12)</f>
        <v>0</v>
      </c>
      <c r="DP81" s="747">
        <f>$G81*$H81*(1+$K81)^MAX(ROUNDUP(IFERROR(DATEDIF($I63-1,DP$15+1,"m"),)/12,)-1,)*Index!DL$23*(DP$15&gt;$I81)*(1-DP$12)</f>
        <v>0</v>
      </c>
      <c r="DQ81" s="747">
        <f>$G81*$H81*(1+$K81)^MAX(ROUNDUP(IFERROR(DATEDIF($I63-1,DQ$15+1,"m"),)/12,)-1,)*Index!DM$23*(DQ$15&gt;$I81)*(1-DQ$12)</f>
        <v>0</v>
      </c>
      <c r="DR81" s="747">
        <f>$G81*$H81*(1+$K81)^MAX(ROUNDUP(IFERROR(DATEDIF($I63-1,DR$15+1,"m"),)/12,)-1,)*Index!DN$23*(DR$15&gt;$I81)*(1-DR$12)</f>
        <v>0</v>
      </c>
      <c r="DS81" s="747">
        <f>$G81*$H81*(1+$K81)^MAX(ROUNDUP(IFERROR(DATEDIF($I63-1,DS$15+1,"m"),)/12,)-1,)*Index!DO$23*(DS$15&gt;$I81)*(1-DS$12)</f>
        <v>0</v>
      </c>
      <c r="DT81" s="747">
        <f>$G81*$H81*(1+$K81)^MAX(ROUNDUP(IFERROR(DATEDIF($I63-1,DT$15+1,"m"),)/12,)-1,)*Index!DP$23*(DT$15&gt;$I81)*(1-DT$12)</f>
        <v>0</v>
      </c>
      <c r="DU81" s="747">
        <f>$G81*$H81*(1+$K81)^MAX(ROUNDUP(IFERROR(DATEDIF($I63-1,DU$15+1,"m"),)/12,)-1,)*Index!DQ$23*(DU$15&gt;$I81)*(1-DU$12)</f>
        <v>0</v>
      </c>
      <c r="DV81" s="747">
        <f>$G81*$H81*(1+$K81)^MAX(ROUNDUP(IFERROR(DATEDIF($I63-1,DV$15+1,"m"),)/12,)-1,)*Index!DR$23*(DV$15&gt;$I81)*(1-DV$12)</f>
        <v>0</v>
      </c>
      <c r="DW81" s="747">
        <f>$G81*$H81*(1+$K81)^MAX(ROUNDUP(IFERROR(DATEDIF($I63-1,DW$15+1,"m"),)/12,)-1,)*Index!DS$23*(DW$15&gt;$I81)*(1-DW$12)</f>
        <v>0</v>
      </c>
      <c r="DX81" s="747">
        <f>$G81*$H81*(1+$K81)^MAX(ROUNDUP(IFERROR(DATEDIF($I63-1,DX$15+1,"m"),)/12,)-1,)*Index!DT$23*(DX$15&gt;$I81)*(1-DX$12)</f>
        <v>0</v>
      </c>
      <c r="DY81" s="747">
        <f>$G81*$H81*(1+$K81)^MAX(ROUNDUP(IFERROR(DATEDIF($I63-1,DY$15+1,"m"),)/12,)-1,)*Index!DU$23*(DY$15&gt;$I81)*(1-DY$12)</f>
        <v>0</v>
      </c>
      <c r="DZ81" s="747">
        <f>$G81*$H81*(1+$K81)^MAX(ROUNDUP(IFERROR(DATEDIF($I63-1,DZ$15+1,"m"),)/12,)-1,)*Index!DV$23*(DZ$15&gt;$I81)*(1-DZ$12)</f>
        <v>0</v>
      </c>
      <c r="EA81" s="747">
        <f>$G81*$H81*(1+$K81)^MAX(ROUNDUP(IFERROR(DATEDIF($I63-1,EA$15+1,"m"),)/12,)-1,)*Index!DW$23*(EA$15&gt;$I81)*(1-EA$12)</f>
        <v>0</v>
      </c>
      <c r="EB81" s="747">
        <f>$G81*$H81*(1+$K81)^MAX(ROUNDUP(IFERROR(DATEDIF($I63-1,EB$15+1,"m"),)/12,)-1,)*Index!DX$23*(EB$15&gt;$I81)*(1-EB$12)</f>
        <v>0</v>
      </c>
      <c r="EC81" s="747">
        <f>$G81*$H81*(1+$K81)^MAX(ROUNDUP(IFERROR(DATEDIF($I63-1,EC$15+1,"m"),)/12,)-1,)*Index!DY$23*(EC$15&gt;$I81)*(1-EC$12)</f>
        <v>0</v>
      </c>
      <c r="ED81" s="747">
        <f>$G81*$H81*(1+$K81)^MAX(ROUNDUP(IFERROR(DATEDIF($I63-1,ED$15+1,"m"),)/12,)-1,)*Index!DZ$23*(ED$15&gt;$I81)*(1-ED$12)</f>
        <v>0</v>
      </c>
      <c r="EE81" s="747">
        <f>$G81*$H81*(1+$K81)^MAX(ROUNDUP(IFERROR(DATEDIF($I63-1,EE$15+1,"m"),)/12,)-1,)*Index!EA$23*(EE$15&gt;$I81)*(1-EE$12)</f>
        <v>0</v>
      </c>
      <c r="EF81" s="747">
        <f>$G81*$H81*(1+$K81)^MAX(ROUNDUP(IFERROR(DATEDIF($I63-1,EF$15+1,"m"),)/12,)-1,)*Index!EB$23*(EF$15&gt;$I81)*(1-EF$12)</f>
        <v>0</v>
      </c>
      <c r="EG81" s="747">
        <f>$G81*$H81*(1+$K81)^MAX(ROUNDUP(IFERROR(DATEDIF($I63-1,EG$15+1,"m"),)/12,)-1,)*Index!EC$23*(EG$15&gt;$I81)*(1-EG$12)</f>
        <v>165457.33553019355</v>
      </c>
      <c r="EH81" s="747">
        <f>$G81*$H81*(1+$K81)^MAX(ROUNDUP(IFERROR(DATEDIF($I63-1,EH$15+1,"m"),)/12,)-1,)*Index!ED$23*(EH$15&gt;$I81)*(1-EH$12)</f>
        <v>165457.33553019355</v>
      </c>
      <c r="EI81" s="747">
        <f>$G81*$H81*(1+$K81)^MAX(ROUNDUP(IFERROR(DATEDIF($I63-1,EI$15+1,"m"),)/12,)-1,)*Index!EE$23*(EI$15&gt;$I81)*(1-EI$12)</f>
        <v>169593.76891844839</v>
      </c>
      <c r="EJ81" s="747">
        <f>$G81*$H81*(1+$K81)^MAX(ROUNDUP(IFERROR(DATEDIF($I63-1,EJ$15+1,"m"),)/12,)-1,)*Index!EF$23*(EJ$15&gt;$I81)*(1-EJ$12)</f>
        <v>169593.76891844839</v>
      </c>
      <c r="EK81" s="747">
        <f>$G81*$H81*(1+$K81)^MAX(ROUNDUP(IFERROR(DATEDIF($I63-1,EK$15+1,"m"),)/12,)-1,)*Index!EG$23*(EK$15&gt;$I81)*(1-EK$12)</f>
        <v>169593.76891844839</v>
      </c>
      <c r="EL81" s="747">
        <f>$G81*$H81*(1+$K81)^MAX(ROUNDUP(IFERROR(DATEDIF($I63-1,EL$15+1,"m"),)/12,)-1,)*Index!EH$23*(EL$15&gt;$I81)*(1-EL$12)</f>
        <v>169593.76891844839</v>
      </c>
      <c r="EM81" s="747">
        <f>$G81*$H81*(1+$K81)^MAX(ROUNDUP(IFERROR(DATEDIF($I63-1,EM$15+1,"m"),)/12,)-1,)*Index!EI$23*(EM$15&gt;$I81)*(1-EM$12)</f>
        <v>169593.76891844839</v>
      </c>
      <c r="EN81" s="747">
        <f>$G81*$H81*(1+$K81)^MAX(ROUNDUP(IFERROR(DATEDIF($I63-1,EN$15+1,"m"),)/12,)-1,)*Index!EJ$23*(EN$15&gt;$I81)*(1-EN$12)</f>
        <v>169593.76891844839</v>
      </c>
      <c r="EO81" s="747">
        <f>$G81*$H81*(1+$K81)^MAX(ROUNDUP(IFERROR(DATEDIF($I63-1,EO$15+1,"m"),)/12,)-1,)*Index!EK$23*(EO$15&gt;$I81)*(1-EO$12)</f>
        <v>169593.76891844839</v>
      </c>
      <c r="EP81" s="747">
        <f>$G81*$H81*(1+$K81)^MAX(ROUNDUP(IFERROR(DATEDIF($I63-1,EP$15+1,"m"),)/12,)-1,)*Index!EL$23*(EP$15&gt;$I81)*(1-EP$12)</f>
        <v>169593.76891844839</v>
      </c>
      <c r="EQ81" s="747">
        <f>$G81*$H81*(1+$K81)^MAX(ROUNDUP(IFERROR(DATEDIF($I63-1,EQ$15+1,"m"),)/12,)-1,)*Index!EM$23*(EQ$15&gt;$I81)*(1-EQ$12)</f>
        <v>169593.76891844839</v>
      </c>
      <c r="ER81" s="747">
        <f>$G81*$H81*(1+$K81)^MAX(ROUNDUP(IFERROR(DATEDIF($I63-1,ER$15+1,"m"),)/12,)-1,)*Index!EN$23*(ER$15&gt;$I81)*(1-ER$12)</f>
        <v>169593.76891844839</v>
      </c>
      <c r="ES81" s="747">
        <f>$G81*$H81*(1+$K81)^MAX(ROUNDUP(IFERROR(DATEDIF($I63-1,ES$15+1,"m"),)/12,)-1,)*Index!EO$23*(ES$15&gt;$I81)*(1-ES$12)</f>
        <v>0</v>
      </c>
      <c r="ET81" s="747">
        <f>$G81*$H81*(1+$K81)^MAX(ROUNDUP(IFERROR(DATEDIF($I63-1,ET$15+1,"m"),)/12,)-1,)*Index!EP$23*(ET$15&gt;$I81)*(1-ET$12)</f>
        <v>0</v>
      </c>
      <c r="EU81" s="747">
        <f>$G81*$H81*(1+$K81)^MAX(ROUNDUP(IFERROR(DATEDIF($I63-1,EU$15+1,"m"),)/12,)-1,)*Index!EQ$23*(EU$15&gt;$I81)*(1-EU$12)</f>
        <v>0</v>
      </c>
    </row>
    <row r="82" spans="1:151" ht="11.25" customHeight="1">
      <c r="C82" s="828"/>
      <c r="D82" s="743">
        <f t="shared" ref="D82:H87" si="45">D64</f>
        <v>1</v>
      </c>
      <c r="E82" s="704" t="str">
        <f t="shared" si="45"/>
        <v>지오영</v>
      </c>
      <c r="F82" s="704" t="str">
        <f t="shared" si="45"/>
        <v>상온창고</v>
      </c>
      <c r="G82" s="752">
        <f t="shared" si="41"/>
        <v>60.350711026906772</v>
      </c>
      <c r="H82" s="744">
        <f t="shared" si="45"/>
        <v>1092.94</v>
      </c>
      <c r="I82" s="745">
        <f t="shared" si="42"/>
        <v>49340</v>
      </c>
      <c r="J82" s="745"/>
      <c r="K82" s="754">
        <f t="shared" si="43"/>
        <v>2.5000000000000001E-2</v>
      </c>
      <c r="L82" s="711"/>
      <c r="M82" s="722"/>
      <c r="N82" s="747">
        <f t="shared" si="44"/>
        <v>1058010.7953954036</v>
      </c>
      <c r="O82" s="733"/>
      <c r="P82" s="747">
        <f>$G82*$H82*(1+$K82)^MAX(ROUNDUP(IFERROR(DATEDIF($I64-1,P$15+1,"m"),)/12,)-1,)*Index!L$23*(P$15&gt;$I82)*(1-P$12)</f>
        <v>0</v>
      </c>
      <c r="Q82" s="747">
        <f>$G82*$H82*(1+$K82)^MAX(ROUNDUP(IFERROR(DATEDIF($I64-1,Q$15+1,"m"),)/12,)-1,)*Index!M$23*(Q$15&gt;$I82)*(1-Q$12)</f>
        <v>0</v>
      </c>
      <c r="R82" s="747">
        <f>$G82*$H82*(1+$K82)^MAX(ROUNDUP(IFERROR(DATEDIF($I64-1,R$15+1,"m"),)/12,)-1,)*Index!N$23*(R$15&gt;$I82)*(1-R$12)</f>
        <v>0</v>
      </c>
      <c r="S82" s="747">
        <f>$G82*$H82*(1+$K82)^MAX(ROUNDUP(IFERROR(DATEDIF($I64-1,S$15+1,"m"),)/12,)-1,)*Index!O$23*(S$15&gt;$I82)*(1-S$12)</f>
        <v>0</v>
      </c>
      <c r="T82" s="747">
        <f>$G82*$H82*(1+$K82)^MAX(ROUNDUP(IFERROR(DATEDIF($I64-1,T$15+1,"m"),)/12,)-1,)*Index!P$23*(T$15&gt;$I82)*(1-T$12)</f>
        <v>0</v>
      </c>
      <c r="U82" s="747">
        <f>$G82*$H82*(1+$K82)^MAX(ROUNDUP(IFERROR(DATEDIF($I64-1,U$15+1,"m"),)/12,)-1,)*Index!Q$23*(U$15&gt;$I82)*(1-U$12)</f>
        <v>0</v>
      </c>
      <c r="V82" s="747">
        <f>$G82*$H82*(1+$K82)^MAX(ROUNDUP(IFERROR(DATEDIF($I64-1,V$15+1,"m"),)/12,)-1,)*Index!R$23*(V$15&gt;$I82)*(1-V$12)</f>
        <v>0</v>
      </c>
      <c r="W82" s="747">
        <f>$G82*$H82*(1+$K82)^MAX(ROUNDUP(IFERROR(DATEDIF($I64-1,W$15+1,"m"),)/12,)-1,)*Index!S$23*(W$15&gt;$I82)*(1-W$12)</f>
        <v>0</v>
      </c>
      <c r="X82" s="747">
        <f>$G82*$H82*(1+$K82)^MAX(ROUNDUP(IFERROR(DATEDIF($I64-1,X$15+1,"m"),)/12,)-1,)*Index!T$23*(X$15&gt;$I82)*(1-X$12)</f>
        <v>0</v>
      </c>
      <c r="Y82" s="747">
        <f>$G82*$H82*(1+$K82)^MAX(ROUNDUP(IFERROR(DATEDIF($I64-1,Y$15+1,"m"),)/12,)-1,)*Index!U$23*(Y$15&gt;$I82)*(1-Y$12)</f>
        <v>0</v>
      </c>
      <c r="Z82" s="747">
        <f>$G82*$H82*(1+$K82)^MAX(ROUNDUP(IFERROR(DATEDIF($I64-1,Z$15+1,"m"),)/12,)-1,)*Index!V$23*(Z$15&gt;$I82)*(1-Z$12)</f>
        <v>0</v>
      </c>
      <c r="AA82" s="747">
        <f>$G82*$H82*(1+$K82)^MAX(ROUNDUP(IFERROR(DATEDIF($I64-1,AA$15+1,"m"),)/12,)-1,)*Index!W$23*(AA$15&gt;$I82)*(1-AA$12)</f>
        <v>0</v>
      </c>
      <c r="AB82" s="747">
        <f>$G82*$H82*(1+$K82)^MAX(ROUNDUP(IFERROR(DATEDIF($I64-1,AB$15+1,"m"),)/12,)-1,)*Index!X$23*(AB$15&gt;$I82)*(1-AB$12)</f>
        <v>0</v>
      </c>
      <c r="AC82" s="747">
        <f>$G82*$H82*(1+$K82)^MAX(ROUNDUP(IFERROR(DATEDIF($I64-1,AC$15+1,"m"),)/12,)-1,)*Index!Y$23*(AC$15&gt;$I82)*(1-AC$12)</f>
        <v>0</v>
      </c>
      <c r="AD82" s="747">
        <f>$G82*$H82*(1+$K82)^MAX(ROUNDUP(IFERROR(DATEDIF($I64-1,AD$15+1,"m"),)/12,)-1,)*Index!Z$23*(AD$15&gt;$I82)*(1-AD$12)</f>
        <v>0</v>
      </c>
      <c r="AE82" s="747">
        <f>$G82*$H82*(1+$K82)^MAX(ROUNDUP(IFERROR(DATEDIF($I64-1,AE$15+1,"m"),)/12,)-1,)*Index!AA$23*(AE$15&gt;$I82)*(1-AE$12)</f>
        <v>0</v>
      </c>
      <c r="AF82" s="747">
        <f>$G82*$H82*(1+$K82)^MAX(ROUNDUP(IFERROR(DATEDIF($I64-1,AF$15+1,"m"),)/12,)-1,)*Index!AB$23*(AF$15&gt;$I82)*(1-AF$12)</f>
        <v>0</v>
      </c>
      <c r="AG82" s="747">
        <f>$G82*$H82*(1+$K82)^MAX(ROUNDUP(IFERROR(DATEDIF($I64-1,AG$15+1,"m"),)/12,)-1,)*Index!AC$23*(AG$15&gt;$I82)*(1-AG$12)</f>
        <v>0</v>
      </c>
      <c r="AH82" s="747">
        <f>$G82*$H82*(1+$K82)^MAX(ROUNDUP(IFERROR(DATEDIF($I64-1,AH$15+1,"m"),)/12,)-1,)*Index!AD$23*(AH$15&gt;$I82)*(1-AH$12)</f>
        <v>0</v>
      </c>
      <c r="AI82" s="747">
        <f>$G82*$H82*(1+$K82)^MAX(ROUNDUP(IFERROR(DATEDIF($I64-1,AI$15+1,"m"),)/12,)-1,)*Index!AE$23*(AI$15&gt;$I82)*(1-AI$12)</f>
        <v>0</v>
      </c>
      <c r="AJ82" s="747">
        <f>$G82*$H82*(1+$K82)^MAX(ROUNDUP(IFERROR(DATEDIF($I64-1,AJ$15+1,"m"),)/12,)-1,)*Index!AF$23*(AJ$15&gt;$I82)*(1-AJ$12)</f>
        <v>0</v>
      </c>
      <c r="AK82" s="747">
        <f>$G82*$H82*(1+$K82)^MAX(ROUNDUP(IFERROR(DATEDIF($I64-1,AK$15+1,"m"),)/12,)-1,)*Index!AG$23*(AK$15&gt;$I82)*(1-AK$12)</f>
        <v>0</v>
      </c>
      <c r="AL82" s="747">
        <f>$G82*$H82*(1+$K82)^MAX(ROUNDUP(IFERROR(DATEDIF($I64-1,AL$15+1,"m"),)/12,)-1,)*Index!AH$23*(AL$15&gt;$I82)*(1-AL$12)</f>
        <v>0</v>
      </c>
      <c r="AM82" s="747">
        <f>$G82*$H82*(1+$K82)^MAX(ROUNDUP(IFERROR(DATEDIF($I64-1,AM$15+1,"m"),)/12,)-1,)*Index!AI$23*(AM$15&gt;$I82)*(1-AM$12)</f>
        <v>0</v>
      </c>
      <c r="AN82" s="747">
        <f>$G82*$H82*(1+$K82)^MAX(ROUNDUP(IFERROR(DATEDIF($I64-1,AN$15+1,"m"),)/12,)-1,)*Index!AJ$23*(AN$15&gt;$I82)*(1-AN$12)</f>
        <v>0</v>
      </c>
      <c r="AO82" s="747">
        <f>$G82*$H82*(1+$K82)^MAX(ROUNDUP(IFERROR(DATEDIF($I64-1,AO$15+1,"m"),)/12,)-1,)*Index!AK$23*(AO$15&gt;$I82)*(1-AO$12)</f>
        <v>0</v>
      </c>
      <c r="AP82" s="747">
        <f>$G82*$H82*(1+$K82)^MAX(ROUNDUP(IFERROR(DATEDIF($I64-1,AP$15+1,"m"),)/12,)-1,)*Index!AL$23*(AP$15&gt;$I82)*(1-AP$12)</f>
        <v>0</v>
      </c>
      <c r="AQ82" s="747">
        <f>$G82*$H82*(1+$K82)^MAX(ROUNDUP(IFERROR(DATEDIF($I64-1,AQ$15+1,"m"),)/12,)-1,)*Index!AM$23*(AQ$15&gt;$I82)*(1-AQ$12)</f>
        <v>0</v>
      </c>
      <c r="AR82" s="747">
        <f>$G82*$H82*(1+$K82)^MAX(ROUNDUP(IFERROR(DATEDIF($I64-1,AR$15+1,"m"),)/12,)-1,)*Index!AN$23*(AR$15&gt;$I82)*(1-AR$12)</f>
        <v>0</v>
      </c>
      <c r="AS82" s="747">
        <f>$G82*$H82*(1+$K82)^MAX(ROUNDUP(IFERROR(DATEDIF($I64-1,AS$15+1,"m"),)/12,)-1,)*Index!AO$23*(AS$15&gt;$I82)*(1-AS$12)</f>
        <v>0</v>
      </c>
      <c r="AT82" s="747">
        <f>$G82*$H82*(1+$K82)^MAX(ROUNDUP(IFERROR(DATEDIF($I64-1,AT$15+1,"m"),)/12,)-1,)*Index!AP$23*(AT$15&gt;$I82)*(1-AT$12)</f>
        <v>0</v>
      </c>
      <c r="AU82" s="747">
        <f>$G82*$H82*(1+$K82)^MAX(ROUNDUP(IFERROR(DATEDIF($I64-1,AU$15+1,"m"),)/12,)-1,)*Index!AQ$23*(AU$15&gt;$I82)*(1-AU$12)</f>
        <v>0</v>
      </c>
      <c r="AV82" s="747">
        <f>$G82*$H82*(1+$K82)^MAX(ROUNDUP(IFERROR(DATEDIF($I64-1,AV$15+1,"m"),)/12,)-1,)*Index!AR$23*(AV$15&gt;$I82)*(1-AV$12)</f>
        <v>0</v>
      </c>
      <c r="AW82" s="747">
        <f>$G82*$H82*(1+$K82)^MAX(ROUNDUP(IFERROR(DATEDIF($I64-1,AW$15+1,"m"),)/12,)-1,)*Index!AS$23*(AW$15&gt;$I82)*(1-AW$12)</f>
        <v>0</v>
      </c>
      <c r="AX82" s="747">
        <f>$G82*$H82*(1+$K82)^MAX(ROUNDUP(IFERROR(DATEDIF($I64-1,AX$15+1,"m"),)/12,)-1,)*Index!AT$23*(AX$15&gt;$I82)*(1-AX$12)</f>
        <v>0</v>
      </c>
      <c r="AY82" s="747">
        <f>$G82*$H82*(1+$K82)^MAX(ROUNDUP(IFERROR(DATEDIF($I64-1,AY$15+1,"m"),)/12,)-1,)*Index!AU$23*(AY$15&gt;$I82)*(1-AY$12)</f>
        <v>0</v>
      </c>
      <c r="AZ82" s="747">
        <f>$G82*$H82*(1+$K82)^MAX(ROUNDUP(IFERROR(DATEDIF($I64-1,AZ$15+1,"m"),)/12,)-1,)*Index!AV$23*(AZ$15&gt;$I82)*(1-AZ$12)</f>
        <v>0</v>
      </c>
      <c r="BA82" s="747">
        <f>$G82*$H82*(1+$K82)^MAX(ROUNDUP(IFERROR(DATEDIF($I64-1,BA$15+1,"m"),)/12,)-1,)*Index!AW$23*(BA$15&gt;$I82)*(1-BA$12)</f>
        <v>0</v>
      </c>
      <c r="BB82" s="747">
        <f>$G82*$H82*(1+$K82)^MAX(ROUNDUP(IFERROR(DATEDIF($I64-1,BB$15+1,"m"),)/12,)-1,)*Index!AX$23*(BB$15&gt;$I82)*(1-BB$12)</f>
        <v>0</v>
      </c>
      <c r="BC82" s="747">
        <f>$G82*$H82*(1+$K82)^MAX(ROUNDUP(IFERROR(DATEDIF($I64-1,BC$15+1,"m"),)/12,)-1,)*Index!AY$23*(BC$15&gt;$I82)*(1-BC$12)</f>
        <v>0</v>
      </c>
      <c r="BD82" s="747">
        <f>$G82*$H82*(1+$K82)^MAX(ROUNDUP(IFERROR(DATEDIF($I64-1,BD$15+1,"m"),)/12,)-1,)*Index!AZ$23*(BD$15&gt;$I82)*(1-BD$12)</f>
        <v>0</v>
      </c>
      <c r="BE82" s="747">
        <f>$G82*$H82*(1+$K82)^MAX(ROUNDUP(IFERROR(DATEDIF($I64-1,BE$15+1,"m"),)/12,)-1,)*Index!BA$23*(BE$15&gt;$I82)*(1-BE$12)</f>
        <v>0</v>
      </c>
      <c r="BF82" s="747">
        <f>$G82*$H82*(1+$K82)^MAX(ROUNDUP(IFERROR(DATEDIF($I64-1,BF$15+1,"m"),)/12,)-1,)*Index!BB$23*(BF$15&gt;$I82)*(1-BF$12)</f>
        <v>0</v>
      </c>
      <c r="BG82" s="747">
        <f>$G82*$H82*(1+$K82)^MAX(ROUNDUP(IFERROR(DATEDIF($I64-1,BG$15+1,"m"),)/12,)-1,)*Index!BC$23*(BG$15&gt;$I82)*(1-BG$12)</f>
        <v>0</v>
      </c>
      <c r="BH82" s="747">
        <f>$G82*$H82*(1+$K82)^MAX(ROUNDUP(IFERROR(DATEDIF($I64-1,BH$15+1,"m"),)/12,)-1,)*Index!BD$23*(BH$15&gt;$I82)*(1-BH$12)</f>
        <v>0</v>
      </c>
      <c r="BI82" s="747">
        <f>$G82*$H82*(1+$K82)^MAX(ROUNDUP(IFERROR(DATEDIF($I64-1,BI$15+1,"m"),)/12,)-1,)*Index!BE$23*(BI$15&gt;$I82)*(1-BI$12)</f>
        <v>0</v>
      </c>
      <c r="BJ82" s="747">
        <f>$G82*$H82*(1+$K82)^MAX(ROUNDUP(IFERROR(DATEDIF($I64-1,BJ$15+1,"m"),)/12,)-1,)*Index!BF$23*(BJ$15&gt;$I82)*(1-BJ$12)</f>
        <v>0</v>
      </c>
      <c r="BK82" s="747">
        <f>$G82*$H82*(1+$K82)^MAX(ROUNDUP(IFERROR(DATEDIF($I64-1,BK$15+1,"m"),)/12,)-1,)*Index!BG$23*(BK$15&gt;$I82)*(1-BK$12)</f>
        <v>0</v>
      </c>
      <c r="BL82" s="747">
        <f>$G82*$H82*(1+$K82)^MAX(ROUNDUP(IFERROR(DATEDIF($I64-1,BL$15+1,"m"),)/12,)-1,)*Index!BH$23*(BL$15&gt;$I82)*(1-BL$12)</f>
        <v>0</v>
      </c>
      <c r="BM82" s="747">
        <f>$G82*$H82*(1+$K82)^MAX(ROUNDUP(IFERROR(DATEDIF($I64-1,BM$15+1,"m"),)/12,)-1,)*Index!BI$23*(BM$15&gt;$I82)*(1-BM$12)</f>
        <v>0</v>
      </c>
      <c r="BN82" s="747">
        <f>$G82*$H82*(1+$K82)^MAX(ROUNDUP(IFERROR(DATEDIF($I64-1,BN$15+1,"m"),)/12,)-1,)*Index!BJ$23*(BN$15&gt;$I82)*(1-BN$12)</f>
        <v>0</v>
      </c>
      <c r="BO82" s="747">
        <f>$G82*$H82*(1+$K82)^MAX(ROUNDUP(IFERROR(DATEDIF($I64-1,BO$15+1,"m"),)/12,)-1,)*Index!BK$23*(BO$15&gt;$I82)*(1-BO$12)</f>
        <v>0</v>
      </c>
      <c r="BP82" s="747">
        <f>$G82*$H82*(1+$K82)^MAX(ROUNDUP(IFERROR(DATEDIF($I64-1,BP$15+1,"m"),)/12,)-1,)*Index!BL$23*(BP$15&gt;$I82)*(1-BP$12)</f>
        <v>0</v>
      </c>
      <c r="BQ82" s="747">
        <f>$G82*$H82*(1+$K82)^MAX(ROUNDUP(IFERROR(DATEDIF($I64-1,BQ$15+1,"m"),)/12,)-1,)*Index!BM$23*(BQ$15&gt;$I82)*(1-BQ$12)</f>
        <v>0</v>
      </c>
      <c r="BR82" s="747">
        <f>$G82*$H82*(1+$K82)^MAX(ROUNDUP(IFERROR(DATEDIF($I64-1,BR$15+1,"m"),)/12,)-1,)*Index!BN$23*(BR$15&gt;$I82)*(1-BR$12)</f>
        <v>0</v>
      </c>
      <c r="BS82" s="747">
        <f>$G82*$H82*(1+$K82)^MAX(ROUNDUP(IFERROR(DATEDIF($I64-1,BS$15+1,"m"),)/12,)-1,)*Index!BO$23*(BS$15&gt;$I82)*(1-BS$12)</f>
        <v>0</v>
      </c>
      <c r="BT82" s="747">
        <f>$G82*$H82*(1+$K82)^MAX(ROUNDUP(IFERROR(DATEDIF($I64-1,BT$15+1,"m"),)/12,)-1,)*Index!BP$23*(BT$15&gt;$I82)*(1-BT$12)</f>
        <v>0</v>
      </c>
      <c r="BU82" s="747">
        <f>$G82*$H82*(1+$K82)^MAX(ROUNDUP(IFERROR(DATEDIF($I64-1,BU$15+1,"m"),)/12,)-1,)*Index!BQ$23*(BU$15&gt;$I82)*(1-BU$12)</f>
        <v>0</v>
      </c>
      <c r="BV82" s="747">
        <f>$G82*$H82*(1+$K82)^MAX(ROUNDUP(IFERROR(DATEDIF($I64-1,BV$15+1,"m"),)/12,)-1,)*Index!BR$23*(BV$15&gt;$I82)*(1-BV$12)</f>
        <v>0</v>
      </c>
      <c r="BW82" s="747">
        <f>$G82*$H82*(1+$K82)^MAX(ROUNDUP(IFERROR(DATEDIF($I64-1,BW$15+1,"m"),)/12,)-1,)*Index!BS$23*(BW$15&gt;$I82)*(1-BW$12)</f>
        <v>0</v>
      </c>
      <c r="BX82" s="747">
        <f>$G82*$H82*(1+$K82)^MAX(ROUNDUP(IFERROR(DATEDIF($I64-1,BX$15+1,"m"),)/12,)-1,)*Index!BT$23*(BX$15&gt;$I82)*(1-BX$12)</f>
        <v>0</v>
      </c>
      <c r="BY82" s="747">
        <f>$G82*$H82*(1+$K82)^MAX(ROUNDUP(IFERROR(DATEDIF($I64-1,BY$15+1,"m"),)/12,)-1,)*Index!BU$23*(BY$15&gt;$I82)*(1-BY$12)</f>
        <v>0</v>
      </c>
      <c r="BZ82" s="747">
        <f>$G82*$H82*(1+$K82)^MAX(ROUNDUP(IFERROR(DATEDIF($I64-1,BZ$15+1,"m"),)/12,)-1,)*Index!BV$23*(BZ$15&gt;$I82)*(1-BZ$12)</f>
        <v>0</v>
      </c>
      <c r="CA82" s="747">
        <f>$G82*$H82*(1+$K82)^MAX(ROUNDUP(IFERROR(DATEDIF($I64-1,CA$15+1,"m"),)/12,)-1,)*Index!BW$23*(CA$15&gt;$I82)*(1-CA$12)</f>
        <v>0</v>
      </c>
      <c r="CB82" s="747">
        <f>$G82*$H82*(1+$K82)^MAX(ROUNDUP(IFERROR(DATEDIF($I64-1,CB$15+1,"m"),)/12,)-1,)*Index!BX$23*(CB$15&gt;$I82)*(1-CB$12)</f>
        <v>0</v>
      </c>
      <c r="CC82" s="747">
        <f>$G82*$H82*(1+$K82)^MAX(ROUNDUP(IFERROR(DATEDIF($I64-1,CC$15+1,"m"),)/12,)-1,)*Index!BY$23*(CC$15&gt;$I82)*(1-CC$12)</f>
        <v>0</v>
      </c>
      <c r="CD82" s="747">
        <f>$G82*$H82*(1+$K82)^MAX(ROUNDUP(IFERROR(DATEDIF($I64-1,CD$15+1,"m"),)/12,)-1,)*Index!BZ$23*(CD$15&gt;$I82)*(1-CD$12)</f>
        <v>0</v>
      </c>
      <c r="CE82" s="747">
        <f>$G82*$H82*(1+$K82)^MAX(ROUNDUP(IFERROR(DATEDIF($I64-1,CE$15+1,"m"),)/12,)-1,)*Index!CA$23*(CE$15&gt;$I82)*(1-CE$12)</f>
        <v>0</v>
      </c>
      <c r="CF82" s="747">
        <f>$G82*$H82*(1+$K82)^MAX(ROUNDUP(IFERROR(DATEDIF($I64-1,CF$15+1,"m"),)/12,)-1,)*Index!CB$23*(CF$15&gt;$I82)*(1-CF$12)</f>
        <v>0</v>
      </c>
      <c r="CG82" s="747">
        <f>$G82*$H82*(1+$K82)^MAX(ROUNDUP(IFERROR(DATEDIF($I64-1,CG$15+1,"m"),)/12,)-1,)*Index!CC$23*(CG$15&gt;$I82)*(1-CG$12)</f>
        <v>0</v>
      </c>
      <c r="CH82" s="747">
        <f>$G82*$H82*(1+$K82)^MAX(ROUNDUP(IFERROR(DATEDIF($I64-1,CH$15+1,"m"),)/12,)-1,)*Index!CD$23*(CH$15&gt;$I82)*(1-CH$12)</f>
        <v>0</v>
      </c>
      <c r="CI82" s="747">
        <f>$G82*$H82*(1+$K82)^MAX(ROUNDUP(IFERROR(DATEDIF($I64-1,CI$15+1,"m"),)/12,)-1,)*Index!CE$23*(CI$15&gt;$I82)*(1-CI$12)</f>
        <v>0</v>
      </c>
      <c r="CJ82" s="747">
        <f>$G82*$H82*(1+$K82)^MAX(ROUNDUP(IFERROR(DATEDIF($I64-1,CJ$15+1,"m"),)/12,)-1,)*Index!CF$23*(CJ$15&gt;$I82)*(1-CJ$12)</f>
        <v>0</v>
      </c>
      <c r="CK82" s="747">
        <f>$G82*$H82*(1+$K82)^MAX(ROUNDUP(IFERROR(DATEDIF($I64-1,CK$15+1,"m"),)/12,)-1,)*Index!CG$23*(CK$15&gt;$I82)*(1-CK$12)</f>
        <v>0</v>
      </c>
      <c r="CL82" s="747">
        <f>$G82*$H82*(1+$K82)^MAX(ROUNDUP(IFERROR(DATEDIF($I64-1,CL$15+1,"m"),)/12,)-1,)*Index!CH$23*(CL$15&gt;$I82)*(1-CL$12)</f>
        <v>0</v>
      </c>
      <c r="CM82" s="747">
        <f>$G82*$H82*(1+$K82)^MAX(ROUNDUP(IFERROR(DATEDIF($I64-1,CM$15+1,"m"),)/12,)-1,)*Index!CI$23*(CM$15&gt;$I82)*(1-CM$12)</f>
        <v>0</v>
      </c>
      <c r="CN82" s="747">
        <f>$G82*$H82*(1+$K82)^MAX(ROUNDUP(IFERROR(DATEDIF($I64-1,CN$15+1,"m"),)/12,)-1,)*Index!CJ$23*(CN$15&gt;$I82)*(1-CN$12)</f>
        <v>0</v>
      </c>
      <c r="CO82" s="747">
        <f>$G82*$H82*(1+$K82)^MAX(ROUNDUP(IFERROR(DATEDIF($I64-1,CO$15+1,"m"),)/12,)-1,)*Index!CK$23*(CO$15&gt;$I82)*(1-CO$12)</f>
        <v>0</v>
      </c>
      <c r="CP82" s="747">
        <f>$G82*$H82*(1+$K82)^MAX(ROUNDUP(IFERROR(DATEDIF($I64-1,CP$15+1,"m"),)/12,)-1,)*Index!CL$23*(CP$15&gt;$I82)*(1-CP$12)</f>
        <v>0</v>
      </c>
      <c r="CQ82" s="747">
        <f>$G82*$H82*(1+$K82)^MAX(ROUNDUP(IFERROR(DATEDIF($I64-1,CQ$15+1,"m"),)/12,)-1,)*Index!CM$23*(CQ$15&gt;$I82)*(1-CQ$12)</f>
        <v>0</v>
      </c>
      <c r="CR82" s="747">
        <f>$G82*$H82*(1+$K82)^MAX(ROUNDUP(IFERROR(DATEDIF($I64-1,CR$15+1,"m"),)/12,)-1,)*Index!CN$23*(CR$15&gt;$I82)*(1-CR$12)</f>
        <v>0</v>
      </c>
      <c r="CS82" s="747">
        <f>$G82*$H82*(1+$K82)^MAX(ROUNDUP(IFERROR(DATEDIF($I64-1,CS$15+1,"m"),)/12,)-1,)*Index!CO$23*(CS$15&gt;$I82)*(1-CS$12)</f>
        <v>0</v>
      </c>
      <c r="CT82" s="747">
        <f>$G82*$H82*(1+$K82)^MAX(ROUNDUP(IFERROR(DATEDIF($I64-1,CT$15+1,"m"),)/12,)-1,)*Index!CP$23*(CT$15&gt;$I82)*(1-CT$12)</f>
        <v>0</v>
      </c>
      <c r="CU82" s="747">
        <f>$G82*$H82*(1+$K82)^MAX(ROUNDUP(IFERROR(DATEDIF($I64-1,CU$15+1,"m"),)/12,)-1,)*Index!CQ$23*(CU$15&gt;$I82)*(1-CU$12)</f>
        <v>0</v>
      </c>
      <c r="CV82" s="747">
        <f>$G82*$H82*(1+$K82)^MAX(ROUNDUP(IFERROR(DATEDIF($I64-1,CV$15+1,"m"),)/12,)-1,)*Index!CR$23*(CV$15&gt;$I82)*(1-CV$12)</f>
        <v>0</v>
      </c>
      <c r="CW82" s="747">
        <f>$G82*$H82*(1+$K82)^MAX(ROUNDUP(IFERROR(DATEDIF($I64-1,CW$15+1,"m"),)/12,)-1,)*Index!CS$23*(CW$15&gt;$I82)*(1-CW$12)</f>
        <v>0</v>
      </c>
      <c r="CX82" s="747">
        <f>$G82*$H82*(1+$K82)^MAX(ROUNDUP(IFERROR(DATEDIF($I64-1,CX$15+1,"m"),)/12,)-1,)*Index!CT$23*(CX$15&gt;$I82)*(1-CX$12)</f>
        <v>0</v>
      </c>
      <c r="CY82" s="747">
        <f>$G82*$H82*(1+$K82)^MAX(ROUNDUP(IFERROR(DATEDIF($I64-1,CY$15+1,"m"),)/12,)-1,)*Index!CU$23*(CY$15&gt;$I82)*(1-CY$12)</f>
        <v>0</v>
      </c>
      <c r="CZ82" s="747">
        <f>$G82*$H82*(1+$K82)^MAX(ROUNDUP(IFERROR(DATEDIF($I64-1,CZ$15+1,"m"),)/12,)-1,)*Index!CV$23*(CZ$15&gt;$I82)*(1-CZ$12)</f>
        <v>0</v>
      </c>
      <c r="DA82" s="747">
        <f>$G82*$H82*(1+$K82)^MAX(ROUNDUP(IFERROR(DATEDIF($I64-1,DA$15+1,"m"),)/12,)-1,)*Index!CW$23*(DA$15&gt;$I82)*(1-DA$12)</f>
        <v>0</v>
      </c>
      <c r="DB82" s="747">
        <f>$G82*$H82*(1+$K82)^MAX(ROUNDUP(IFERROR(DATEDIF($I64-1,DB$15+1,"m"),)/12,)-1,)*Index!CX$23*(DB$15&gt;$I82)*(1-DB$12)</f>
        <v>0</v>
      </c>
      <c r="DC82" s="747">
        <f>$G82*$H82*(1+$K82)^MAX(ROUNDUP(IFERROR(DATEDIF($I64-1,DC$15+1,"m"),)/12,)-1,)*Index!CY$23*(DC$15&gt;$I82)*(1-DC$12)</f>
        <v>0</v>
      </c>
      <c r="DD82" s="747">
        <f>$G82*$H82*(1+$K82)^MAX(ROUNDUP(IFERROR(DATEDIF($I64-1,DD$15+1,"m"),)/12,)-1,)*Index!CZ$23*(DD$15&gt;$I82)*(1-DD$12)</f>
        <v>0</v>
      </c>
      <c r="DE82" s="747">
        <f>$G82*$H82*(1+$K82)^MAX(ROUNDUP(IFERROR(DATEDIF($I64-1,DE$15+1,"m"),)/12,)-1,)*Index!DA$23*(DE$15&gt;$I82)*(1-DE$12)</f>
        <v>0</v>
      </c>
      <c r="DF82" s="747">
        <f>$G82*$H82*(1+$K82)^MAX(ROUNDUP(IFERROR(DATEDIF($I64-1,DF$15+1,"m"),)/12,)-1,)*Index!DB$23*(DF$15&gt;$I82)*(1-DF$12)</f>
        <v>0</v>
      </c>
      <c r="DG82" s="747">
        <f>$G82*$H82*(1+$K82)^MAX(ROUNDUP(IFERROR(DATEDIF($I64-1,DG$15+1,"m"),)/12,)-1,)*Index!DC$23*(DG$15&gt;$I82)*(1-DG$12)</f>
        <v>0</v>
      </c>
      <c r="DH82" s="747">
        <f>$G82*$H82*(1+$K82)^MAX(ROUNDUP(IFERROR(DATEDIF($I64-1,DH$15+1,"m"),)/12,)-1,)*Index!DD$23*(DH$15&gt;$I82)*(1-DH$12)</f>
        <v>0</v>
      </c>
      <c r="DI82" s="747">
        <f>$G82*$H82*(1+$K82)^MAX(ROUNDUP(IFERROR(DATEDIF($I64-1,DI$15+1,"m"),)/12,)-1,)*Index!DE$23*(DI$15&gt;$I82)*(1-DI$12)</f>
        <v>0</v>
      </c>
      <c r="DJ82" s="747">
        <f>$G82*$H82*(1+$K82)^MAX(ROUNDUP(IFERROR(DATEDIF($I64-1,DJ$15+1,"m"),)/12,)-1,)*Index!DF$23*(DJ$15&gt;$I82)*(1-DJ$12)</f>
        <v>0</v>
      </c>
      <c r="DK82" s="747">
        <f>$G82*$H82*(1+$K82)^MAX(ROUNDUP(IFERROR(DATEDIF($I64-1,DK$15+1,"m"),)/12,)-1,)*Index!DG$23*(DK$15&gt;$I82)*(1-DK$12)</f>
        <v>0</v>
      </c>
      <c r="DL82" s="747">
        <f>$G82*$H82*(1+$K82)^MAX(ROUNDUP(IFERROR(DATEDIF($I64-1,DL$15+1,"m"),)/12,)-1,)*Index!DH$23*(DL$15&gt;$I82)*(1-DL$12)</f>
        <v>0</v>
      </c>
      <c r="DM82" s="747">
        <f>$G82*$H82*(1+$K82)^MAX(ROUNDUP(IFERROR(DATEDIF($I64-1,DM$15+1,"m"),)/12,)-1,)*Index!DI$23*(DM$15&gt;$I82)*(1-DM$12)</f>
        <v>0</v>
      </c>
      <c r="DN82" s="747">
        <f>$G82*$H82*(1+$K82)^MAX(ROUNDUP(IFERROR(DATEDIF($I64-1,DN$15+1,"m"),)/12,)-1,)*Index!DJ$23*(DN$15&gt;$I82)*(1-DN$12)</f>
        <v>0</v>
      </c>
      <c r="DO82" s="747">
        <f>$G82*$H82*(1+$K82)^MAX(ROUNDUP(IFERROR(DATEDIF($I64-1,DO$15+1,"m"),)/12,)-1,)*Index!DK$23*(DO$15&gt;$I82)*(1-DO$12)</f>
        <v>0</v>
      </c>
      <c r="DP82" s="747">
        <f>$G82*$H82*(1+$K82)^MAX(ROUNDUP(IFERROR(DATEDIF($I64-1,DP$15+1,"m"),)/12,)-1,)*Index!DL$23*(DP$15&gt;$I82)*(1-DP$12)</f>
        <v>0</v>
      </c>
      <c r="DQ82" s="747">
        <f>$G82*$H82*(1+$K82)^MAX(ROUNDUP(IFERROR(DATEDIF($I64-1,DQ$15+1,"m"),)/12,)-1,)*Index!DM$23*(DQ$15&gt;$I82)*(1-DQ$12)</f>
        <v>0</v>
      </c>
      <c r="DR82" s="747">
        <f>$G82*$H82*(1+$K82)^MAX(ROUNDUP(IFERROR(DATEDIF($I64-1,DR$15+1,"m"),)/12,)-1,)*Index!DN$23*(DR$15&gt;$I82)*(1-DR$12)</f>
        <v>0</v>
      </c>
      <c r="DS82" s="747">
        <f>$G82*$H82*(1+$K82)^MAX(ROUNDUP(IFERROR(DATEDIF($I64-1,DS$15+1,"m"),)/12,)-1,)*Index!DO$23*(DS$15&gt;$I82)*(1-DS$12)</f>
        <v>0</v>
      </c>
      <c r="DT82" s="747">
        <f>$G82*$H82*(1+$K82)^MAX(ROUNDUP(IFERROR(DATEDIF($I64-1,DT$15+1,"m"),)/12,)-1,)*Index!DP$23*(DT$15&gt;$I82)*(1-DT$12)</f>
        <v>0</v>
      </c>
      <c r="DU82" s="747">
        <f>$G82*$H82*(1+$K82)^MAX(ROUNDUP(IFERROR(DATEDIF($I64-1,DU$15+1,"m"),)/12,)-1,)*Index!DQ$23*(DU$15&gt;$I82)*(1-DU$12)</f>
        <v>0</v>
      </c>
      <c r="DV82" s="747">
        <f>$G82*$H82*(1+$K82)^MAX(ROUNDUP(IFERROR(DATEDIF($I64-1,DV$15+1,"m"),)/12,)-1,)*Index!DR$23*(DV$15&gt;$I82)*(1-DV$12)</f>
        <v>0</v>
      </c>
      <c r="DW82" s="747">
        <f>$G82*$H82*(1+$K82)^MAX(ROUNDUP(IFERROR(DATEDIF($I64-1,DW$15+1,"m"),)/12,)-1,)*Index!DS$23*(DW$15&gt;$I82)*(1-DW$12)</f>
        <v>0</v>
      </c>
      <c r="DX82" s="747">
        <f>$G82*$H82*(1+$K82)^MAX(ROUNDUP(IFERROR(DATEDIF($I64-1,DX$15+1,"m"),)/12,)-1,)*Index!DT$23*(DX$15&gt;$I82)*(1-DX$12)</f>
        <v>0</v>
      </c>
      <c r="DY82" s="747">
        <f>$G82*$H82*(1+$K82)^MAX(ROUNDUP(IFERROR(DATEDIF($I64-1,DY$15+1,"m"),)/12,)-1,)*Index!DU$23*(DY$15&gt;$I82)*(1-DY$12)</f>
        <v>0</v>
      </c>
      <c r="DZ82" s="747">
        <f>$G82*$H82*(1+$K82)^MAX(ROUNDUP(IFERROR(DATEDIF($I64-1,DZ$15+1,"m"),)/12,)-1,)*Index!DV$23*(DZ$15&gt;$I82)*(1-DZ$12)</f>
        <v>0</v>
      </c>
      <c r="EA82" s="747">
        <f>$G82*$H82*(1+$K82)^MAX(ROUNDUP(IFERROR(DATEDIF($I64-1,EA$15+1,"m"),)/12,)-1,)*Index!DW$23*(EA$15&gt;$I82)*(1-EA$12)</f>
        <v>0</v>
      </c>
      <c r="EB82" s="747">
        <f>$G82*$H82*(1+$K82)^MAX(ROUNDUP(IFERROR(DATEDIF($I64-1,EB$15+1,"m"),)/12,)-1,)*Index!DX$23*(EB$15&gt;$I82)*(1-EB$12)</f>
        <v>0</v>
      </c>
      <c r="EC82" s="747">
        <f>$G82*$H82*(1+$K82)^MAX(ROUNDUP(IFERROR(DATEDIF($I64-1,EC$15+1,"m"),)/12,)-1,)*Index!DY$23*(EC$15&gt;$I82)*(1-EC$12)</f>
        <v>0</v>
      </c>
      <c r="ED82" s="747">
        <f>$G82*$H82*(1+$K82)^MAX(ROUNDUP(IFERROR(DATEDIF($I64-1,ED$15+1,"m"),)/12,)-1,)*Index!DZ$23*(ED$15&gt;$I82)*(1-ED$12)</f>
        <v>0</v>
      </c>
      <c r="EE82" s="747">
        <f>$G82*$H82*(1+$K82)^MAX(ROUNDUP(IFERROR(DATEDIF($I64-1,EE$15+1,"m"),)/12,)-1,)*Index!EA$23*(EE$15&gt;$I82)*(1-EE$12)</f>
        <v>0</v>
      </c>
      <c r="EF82" s="747">
        <f>$G82*$H82*(1+$K82)^MAX(ROUNDUP(IFERROR(DATEDIF($I64-1,EF$15+1,"m"),)/12,)-1,)*Index!EB$23*(EF$15&gt;$I82)*(1-EF$12)</f>
        <v>0</v>
      </c>
      <c r="EG82" s="747">
        <f>$G82*$H82*(1+$K82)^MAX(ROUNDUP(IFERROR(DATEDIF($I64-1,EG$15+1,"m"),)/12,)-1,)*Index!EC$23*(EG$15&gt;$I82)*(1-EG$12)</f>
        <v>86544.850339092329</v>
      </c>
      <c r="EH82" s="747">
        <f>$G82*$H82*(1+$K82)^MAX(ROUNDUP(IFERROR(DATEDIF($I64-1,EH$15+1,"m"),)/12,)-1,)*Index!ED$23*(EH$15&gt;$I82)*(1-EH$12)</f>
        <v>86544.850339092329</v>
      </c>
      <c r="EI82" s="747">
        <f>$G82*$H82*(1+$K82)^MAX(ROUNDUP(IFERROR(DATEDIF($I64-1,EI$15+1,"m"),)/12,)-1,)*Index!EE$23*(EI$15&gt;$I82)*(1-EI$12)</f>
        <v>86544.850339092329</v>
      </c>
      <c r="EJ82" s="747">
        <f>$G82*$H82*(1+$K82)^MAX(ROUNDUP(IFERROR(DATEDIF($I64-1,EJ$15+1,"m"),)/12,)-1,)*Index!EF$23*(EJ$15&gt;$I82)*(1-EJ$12)</f>
        <v>88708.471597569631</v>
      </c>
      <c r="EK82" s="747">
        <f>$G82*$H82*(1+$K82)^MAX(ROUNDUP(IFERROR(DATEDIF($I64-1,EK$15+1,"m"),)/12,)-1,)*Index!EG$23*(EK$15&gt;$I82)*(1-EK$12)</f>
        <v>88708.471597569631</v>
      </c>
      <c r="EL82" s="747">
        <f>$G82*$H82*(1+$K82)^MAX(ROUNDUP(IFERROR(DATEDIF($I64-1,EL$15+1,"m"),)/12,)-1,)*Index!EH$23*(EL$15&gt;$I82)*(1-EL$12)</f>
        <v>88708.471597569631</v>
      </c>
      <c r="EM82" s="747">
        <f>$G82*$H82*(1+$K82)^MAX(ROUNDUP(IFERROR(DATEDIF($I64-1,EM$15+1,"m"),)/12,)-1,)*Index!EI$23*(EM$15&gt;$I82)*(1-EM$12)</f>
        <v>88708.471597569631</v>
      </c>
      <c r="EN82" s="747">
        <f>$G82*$H82*(1+$K82)^MAX(ROUNDUP(IFERROR(DATEDIF($I64-1,EN$15+1,"m"),)/12,)-1,)*Index!EJ$23*(EN$15&gt;$I82)*(1-EN$12)</f>
        <v>88708.471597569631</v>
      </c>
      <c r="EO82" s="747">
        <f>$G82*$H82*(1+$K82)^MAX(ROUNDUP(IFERROR(DATEDIF($I64-1,EO$15+1,"m"),)/12,)-1,)*Index!EK$23*(EO$15&gt;$I82)*(1-EO$12)</f>
        <v>88708.471597569631</v>
      </c>
      <c r="EP82" s="747">
        <f>$G82*$H82*(1+$K82)^MAX(ROUNDUP(IFERROR(DATEDIF($I64-1,EP$15+1,"m"),)/12,)-1,)*Index!EL$23*(EP$15&gt;$I82)*(1-EP$12)</f>
        <v>88708.471597569631</v>
      </c>
      <c r="EQ82" s="747">
        <f>$G82*$H82*(1+$K82)^MAX(ROUNDUP(IFERROR(DATEDIF($I64-1,EQ$15+1,"m"),)/12,)-1,)*Index!EM$23*(EQ$15&gt;$I82)*(1-EQ$12)</f>
        <v>88708.471597569631</v>
      </c>
      <c r="ER82" s="747">
        <f>$G82*$H82*(1+$K82)^MAX(ROUNDUP(IFERROR(DATEDIF($I64-1,ER$15+1,"m"),)/12,)-1,)*Index!EN$23*(ER$15&gt;$I82)*(1-ER$12)</f>
        <v>88708.471597569631</v>
      </c>
      <c r="ES82" s="747">
        <f>$G82*$H82*(1+$K82)^MAX(ROUNDUP(IFERROR(DATEDIF($I64-1,ES$15+1,"m"),)/12,)-1,)*Index!EO$23*(ES$15&gt;$I82)*(1-ES$12)</f>
        <v>0</v>
      </c>
      <c r="ET82" s="747">
        <f>$G82*$H82*(1+$K82)^MAX(ROUNDUP(IFERROR(DATEDIF($I64-1,ET$15+1,"m"),)/12,)-1,)*Index!EP$23*(ET$15&gt;$I82)*(1-ET$12)</f>
        <v>0</v>
      </c>
      <c r="EU82" s="747">
        <f>$G82*$H82*(1+$K82)^MAX(ROUNDUP(IFERROR(DATEDIF($I64-1,EU$15+1,"m"),)/12,)-1,)*Index!EQ$23*(EU$15&gt;$I82)*(1-EU$12)</f>
        <v>0</v>
      </c>
    </row>
    <row r="83" spans="1:151" ht="11.25" customHeight="1">
      <c r="C83" s="828"/>
      <c r="D83" s="743">
        <f t="shared" si="45"/>
        <v>1</v>
      </c>
      <c r="E83" s="704" t="str">
        <f t="shared" si="45"/>
        <v>용마로지스</v>
      </c>
      <c r="F83" s="704" t="str">
        <f t="shared" si="45"/>
        <v>상온창고</v>
      </c>
      <c r="G83" s="752">
        <f t="shared" si="41"/>
        <v>57.106049143739746</v>
      </c>
      <c r="H83" s="744">
        <f t="shared" si="45"/>
        <v>856.05</v>
      </c>
      <c r="I83" s="745">
        <f t="shared" si="42"/>
        <v>47514</v>
      </c>
      <c r="J83" s="745"/>
      <c r="K83" s="754">
        <f t="shared" si="43"/>
        <v>2.5000000000000001E-2</v>
      </c>
      <c r="L83" s="711"/>
      <c r="M83" s="722"/>
      <c r="N83" s="747">
        <f t="shared" si="44"/>
        <v>787345.34913552611</v>
      </c>
      <c r="O83" s="733"/>
      <c r="P83" s="747">
        <f>$G83*$H83*(1+$K83)^MAX(ROUNDUP(IFERROR(DATEDIF($I65-1,P$15+1,"m"),)/12,)-1,)*Index!L$23*(P$15&gt;$I83)*(1-P$12)</f>
        <v>0</v>
      </c>
      <c r="Q83" s="747">
        <f>$G83*$H83*(1+$K83)^MAX(ROUNDUP(IFERROR(DATEDIF($I65-1,Q$15+1,"m"),)/12,)-1,)*Index!M$23*(Q$15&gt;$I83)*(1-Q$12)</f>
        <v>0</v>
      </c>
      <c r="R83" s="747">
        <f>$G83*$H83*(1+$K83)^MAX(ROUNDUP(IFERROR(DATEDIF($I65-1,R$15+1,"m"),)/12,)-1,)*Index!N$23*(R$15&gt;$I83)*(1-R$12)</f>
        <v>0</v>
      </c>
      <c r="S83" s="747">
        <f>$G83*$H83*(1+$K83)^MAX(ROUNDUP(IFERROR(DATEDIF($I65-1,S$15+1,"m"),)/12,)-1,)*Index!O$23*(S$15&gt;$I83)*(1-S$12)</f>
        <v>0</v>
      </c>
      <c r="T83" s="747">
        <f>$G83*$H83*(1+$K83)^MAX(ROUNDUP(IFERROR(DATEDIF($I65-1,T$15+1,"m"),)/12,)-1,)*Index!P$23*(T$15&gt;$I83)*(1-T$12)</f>
        <v>0</v>
      </c>
      <c r="U83" s="747">
        <f>$G83*$H83*(1+$K83)^MAX(ROUNDUP(IFERROR(DATEDIF($I65-1,U$15+1,"m"),)/12,)-1,)*Index!Q$23*(U$15&gt;$I83)*(1-U$12)</f>
        <v>0</v>
      </c>
      <c r="V83" s="747">
        <f>$G83*$H83*(1+$K83)^MAX(ROUNDUP(IFERROR(DATEDIF($I65-1,V$15+1,"m"),)/12,)-1,)*Index!R$23*(V$15&gt;$I83)*(1-V$12)</f>
        <v>0</v>
      </c>
      <c r="W83" s="747">
        <f>$G83*$H83*(1+$K83)^MAX(ROUNDUP(IFERROR(DATEDIF($I65-1,W$15+1,"m"),)/12,)-1,)*Index!S$23*(W$15&gt;$I83)*(1-W$12)</f>
        <v>0</v>
      </c>
      <c r="X83" s="747">
        <f>$G83*$H83*(1+$K83)^MAX(ROUNDUP(IFERROR(DATEDIF($I65-1,X$15+1,"m"),)/12,)-1,)*Index!T$23*(X$15&gt;$I83)*(1-X$12)</f>
        <v>0</v>
      </c>
      <c r="Y83" s="747">
        <f>$G83*$H83*(1+$K83)^MAX(ROUNDUP(IFERROR(DATEDIF($I65-1,Y$15+1,"m"),)/12,)-1,)*Index!U$23*(Y$15&gt;$I83)*(1-Y$12)</f>
        <v>0</v>
      </c>
      <c r="Z83" s="747">
        <f>$G83*$H83*(1+$K83)^MAX(ROUNDUP(IFERROR(DATEDIF($I65-1,Z$15+1,"m"),)/12,)-1,)*Index!V$23*(Z$15&gt;$I83)*(1-Z$12)</f>
        <v>0</v>
      </c>
      <c r="AA83" s="747">
        <f>$G83*$H83*(1+$K83)^MAX(ROUNDUP(IFERROR(DATEDIF($I65-1,AA$15+1,"m"),)/12,)-1,)*Index!W$23*(AA$15&gt;$I83)*(1-AA$12)</f>
        <v>0</v>
      </c>
      <c r="AB83" s="747">
        <f>$G83*$H83*(1+$K83)^MAX(ROUNDUP(IFERROR(DATEDIF($I65-1,AB$15+1,"m"),)/12,)-1,)*Index!X$23*(AB$15&gt;$I83)*(1-AB$12)</f>
        <v>0</v>
      </c>
      <c r="AC83" s="747">
        <f>$G83*$H83*(1+$K83)^MAX(ROUNDUP(IFERROR(DATEDIF($I65-1,AC$15+1,"m"),)/12,)-1,)*Index!Y$23*(AC$15&gt;$I83)*(1-AC$12)</f>
        <v>0</v>
      </c>
      <c r="AD83" s="747">
        <f>$G83*$H83*(1+$K83)^MAX(ROUNDUP(IFERROR(DATEDIF($I65-1,AD$15+1,"m"),)/12,)-1,)*Index!Z$23*(AD$15&gt;$I83)*(1-AD$12)</f>
        <v>0</v>
      </c>
      <c r="AE83" s="747">
        <f>$G83*$H83*(1+$K83)^MAX(ROUNDUP(IFERROR(DATEDIF($I65-1,AE$15+1,"m"),)/12,)-1,)*Index!AA$23*(AE$15&gt;$I83)*(1-AE$12)</f>
        <v>0</v>
      </c>
      <c r="AF83" s="747">
        <f>$G83*$H83*(1+$K83)^MAX(ROUNDUP(IFERROR(DATEDIF($I65-1,AF$15+1,"m"),)/12,)-1,)*Index!AB$23*(AF$15&gt;$I83)*(1-AF$12)</f>
        <v>0</v>
      </c>
      <c r="AG83" s="747">
        <f>$G83*$H83*(1+$K83)^MAX(ROUNDUP(IFERROR(DATEDIF($I65-1,AG$15+1,"m"),)/12,)-1,)*Index!AC$23*(AG$15&gt;$I83)*(1-AG$12)</f>
        <v>0</v>
      </c>
      <c r="AH83" s="747">
        <f>$G83*$H83*(1+$K83)^MAX(ROUNDUP(IFERROR(DATEDIF($I65-1,AH$15+1,"m"),)/12,)-1,)*Index!AD$23*(AH$15&gt;$I83)*(1-AH$12)</f>
        <v>0</v>
      </c>
      <c r="AI83" s="747">
        <f>$G83*$H83*(1+$K83)^MAX(ROUNDUP(IFERROR(DATEDIF($I65-1,AI$15+1,"m"),)/12,)-1,)*Index!AE$23*(AI$15&gt;$I83)*(1-AI$12)</f>
        <v>0</v>
      </c>
      <c r="AJ83" s="747">
        <f>$G83*$H83*(1+$K83)^MAX(ROUNDUP(IFERROR(DATEDIF($I65-1,AJ$15+1,"m"),)/12,)-1,)*Index!AF$23*(AJ$15&gt;$I83)*(1-AJ$12)</f>
        <v>0</v>
      </c>
      <c r="AK83" s="747">
        <f>$G83*$H83*(1+$K83)^MAX(ROUNDUP(IFERROR(DATEDIF($I65-1,AK$15+1,"m"),)/12,)-1,)*Index!AG$23*(AK$15&gt;$I83)*(1-AK$12)</f>
        <v>0</v>
      </c>
      <c r="AL83" s="747">
        <f>$G83*$H83*(1+$K83)^MAX(ROUNDUP(IFERROR(DATEDIF($I65-1,AL$15+1,"m"),)/12,)-1,)*Index!AH$23*(AL$15&gt;$I83)*(1-AL$12)</f>
        <v>0</v>
      </c>
      <c r="AM83" s="747">
        <f>$G83*$H83*(1+$K83)^MAX(ROUNDUP(IFERROR(DATEDIF($I65-1,AM$15+1,"m"),)/12,)-1,)*Index!AI$23*(AM$15&gt;$I83)*(1-AM$12)</f>
        <v>0</v>
      </c>
      <c r="AN83" s="747">
        <f>$G83*$H83*(1+$K83)^MAX(ROUNDUP(IFERROR(DATEDIF($I65-1,AN$15+1,"m"),)/12,)-1,)*Index!AJ$23*(AN$15&gt;$I83)*(1-AN$12)</f>
        <v>0</v>
      </c>
      <c r="AO83" s="747">
        <f>$G83*$H83*(1+$K83)^MAX(ROUNDUP(IFERROR(DATEDIF($I65-1,AO$15+1,"m"),)/12,)-1,)*Index!AK$23*(AO$15&gt;$I83)*(1-AO$12)</f>
        <v>0</v>
      </c>
      <c r="AP83" s="747">
        <f>$G83*$H83*(1+$K83)^MAX(ROUNDUP(IFERROR(DATEDIF($I65-1,AP$15+1,"m"),)/12,)-1,)*Index!AL$23*(AP$15&gt;$I83)*(1-AP$12)</f>
        <v>0</v>
      </c>
      <c r="AQ83" s="747">
        <f>$G83*$H83*(1+$K83)^MAX(ROUNDUP(IFERROR(DATEDIF($I65-1,AQ$15+1,"m"),)/12,)-1,)*Index!AM$23*(AQ$15&gt;$I83)*(1-AQ$12)</f>
        <v>0</v>
      </c>
      <c r="AR83" s="747">
        <f>$G83*$H83*(1+$K83)^MAX(ROUNDUP(IFERROR(DATEDIF($I65-1,AR$15+1,"m"),)/12,)-1,)*Index!AN$23*(AR$15&gt;$I83)*(1-AR$12)</f>
        <v>0</v>
      </c>
      <c r="AS83" s="747">
        <f>$G83*$H83*(1+$K83)^MAX(ROUNDUP(IFERROR(DATEDIF($I65-1,AS$15+1,"m"),)/12,)-1,)*Index!AO$23*(AS$15&gt;$I83)*(1-AS$12)</f>
        <v>0</v>
      </c>
      <c r="AT83" s="747">
        <f>$G83*$H83*(1+$K83)^MAX(ROUNDUP(IFERROR(DATEDIF($I65-1,AT$15+1,"m"),)/12,)-1,)*Index!AP$23*(AT$15&gt;$I83)*(1-AT$12)</f>
        <v>0</v>
      </c>
      <c r="AU83" s="747">
        <f>$G83*$H83*(1+$K83)^MAX(ROUNDUP(IFERROR(DATEDIF($I65-1,AU$15+1,"m"),)/12,)-1,)*Index!AQ$23*(AU$15&gt;$I83)*(1-AU$12)</f>
        <v>0</v>
      </c>
      <c r="AV83" s="747">
        <f>$G83*$H83*(1+$K83)^MAX(ROUNDUP(IFERROR(DATEDIF($I65-1,AV$15+1,"m"),)/12,)-1,)*Index!AR$23*(AV$15&gt;$I83)*(1-AV$12)</f>
        <v>0</v>
      </c>
      <c r="AW83" s="747">
        <f>$G83*$H83*(1+$K83)^MAX(ROUNDUP(IFERROR(DATEDIF($I65-1,AW$15+1,"m"),)/12,)-1,)*Index!AS$23*(AW$15&gt;$I83)*(1-AW$12)</f>
        <v>0</v>
      </c>
      <c r="AX83" s="747">
        <f>$G83*$H83*(1+$K83)^MAX(ROUNDUP(IFERROR(DATEDIF($I65-1,AX$15+1,"m"),)/12,)-1,)*Index!AT$23*(AX$15&gt;$I83)*(1-AX$12)</f>
        <v>0</v>
      </c>
      <c r="AY83" s="747">
        <f>$G83*$H83*(1+$K83)^MAX(ROUNDUP(IFERROR(DATEDIF($I65-1,AY$15+1,"m"),)/12,)-1,)*Index!AU$23*(AY$15&gt;$I83)*(1-AY$12)</f>
        <v>0</v>
      </c>
      <c r="AZ83" s="747">
        <f>$G83*$H83*(1+$K83)^MAX(ROUNDUP(IFERROR(DATEDIF($I65-1,AZ$15+1,"m"),)/12,)-1,)*Index!AV$23*(AZ$15&gt;$I83)*(1-AZ$12)</f>
        <v>0</v>
      </c>
      <c r="BA83" s="747">
        <f>$G83*$H83*(1+$K83)^MAX(ROUNDUP(IFERROR(DATEDIF($I65-1,BA$15+1,"m"),)/12,)-1,)*Index!AW$23*(BA$15&gt;$I83)*(1-BA$12)</f>
        <v>0</v>
      </c>
      <c r="BB83" s="747">
        <f>$G83*$H83*(1+$K83)^MAX(ROUNDUP(IFERROR(DATEDIF($I65-1,BB$15+1,"m"),)/12,)-1,)*Index!AX$23*(BB$15&gt;$I83)*(1-BB$12)</f>
        <v>0</v>
      </c>
      <c r="BC83" s="747">
        <f>$G83*$H83*(1+$K83)^MAX(ROUNDUP(IFERROR(DATEDIF($I65-1,BC$15+1,"m"),)/12,)-1,)*Index!AY$23*(BC$15&gt;$I83)*(1-BC$12)</f>
        <v>0</v>
      </c>
      <c r="BD83" s="747">
        <f>$G83*$H83*(1+$K83)^MAX(ROUNDUP(IFERROR(DATEDIF($I65-1,BD$15+1,"m"),)/12,)-1,)*Index!AZ$23*(BD$15&gt;$I83)*(1-BD$12)</f>
        <v>0</v>
      </c>
      <c r="BE83" s="747">
        <f>$G83*$H83*(1+$K83)^MAX(ROUNDUP(IFERROR(DATEDIF($I65-1,BE$15+1,"m"),)/12,)-1,)*Index!BA$23*(BE$15&gt;$I83)*(1-BE$12)</f>
        <v>0</v>
      </c>
      <c r="BF83" s="747">
        <f>$G83*$H83*(1+$K83)^MAX(ROUNDUP(IFERROR(DATEDIF($I65-1,BF$15+1,"m"),)/12,)-1,)*Index!BB$23*(BF$15&gt;$I83)*(1-BF$12)</f>
        <v>0</v>
      </c>
      <c r="BG83" s="747">
        <f>$G83*$H83*(1+$K83)^MAX(ROUNDUP(IFERROR(DATEDIF($I65-1,BG$15+1,"m"),)/12,)-1,)*Index!BC$23*(BG$15&gt;$I83)*(1-BG$12)</f>
        <v>0</v>
      </c>
      <c r="BH83" s="747">
        <f>$G83*$H83*(1+$K83)^MAX(ROUNDUP(IFERROR(DATEDIF($I65-1,BH$15+1,"m"),)/12,)-1,)*Index!BD$23*(BH$15&gt;$I83)*(1-BH$12)</f>
        <v>0</v>
      </c>
      <c r="BI83" s="747">
        <f>$G83*$H83*(1+$K83)^MAX(ROUNDUP(IFERROR(DATEDIF($I65-1,BI$15+1,"m"),)/12,)-1,)*Index!BE$23*(BI$15&gt;$I83)*(1-BI$12)</f>
        <v>0</v>
      </c>
      <c r="BJ83" s="747">
        <f>$G83*$H83*(1+$K83)^MAX(ROUNDUP(IFERROR(DATEDIF($I65-1,BJ$15+1,"m"),)/12,)-1,)*Index!BF$23*(BJ$15&gt;$I83)*(1-BJ$12)</f>
        <v>0</v>
      </c>
      <c r="BK83" s="747">
        <f>$G83*$H83*(1+$K83)^MAX(ROUNDUP(IFERROR(DATEDIF($I65-1,BK$15+1,"m"),)/12,)-1,)*Index!BG$23*(BK$15&gt;$I83)*(1-BK$12)</f>
        <v>0</v>
      </c>
      <c r="BL83" s="747">
        <f>$G83*$H83*(1+$K83)^MAX(ROUNDUP(IFERROR(DATEDIF($I65-1,BL$15+1,"m"),)/12,)-1,)*Index!BH$23*(BL$15&gt;$I83)*(1-BL$12)</f>
        <v>0</v>
      </c>
      <c r="BM83" s="747">
        <f>$G83*$H83*(1+$K83)^MAX(ROUNDUP(IFERROR(DATEDIF($I65-1,BM$15+1,"m"),)/12,)-1,)*Index!BI$23*(BM$15&gt;$I83)*(1-BM$12)</f>
        <v>0</v>
      </c>
      <c r="BN83" s="747">
        <f>$G83*$H83*(1+$K83)^MAX(ROUNDUP(IFERROR(DATEDIF($I65-1,BN$15+1,"m"),)/12,)-1,)*Index!BJ$23*(BN$15&gt;$I83)*(1-BN$12)</f>
        <v>0</v>
      </c>
      <c r="BO83" s="747">
        <f>$G83*$H83*(1+$K83)^MAX(ROUNDUP(IFERROR(DATEDIF($I65-1,BO$15+1,"m"),)/12,)-1,)*Index!BK$23*(BO$15&gt;$I83)*(1-BO$12)</f>
        <v>0</v>
      </c>
      <c r="BP83" s="747">
        <f>$G83*$H83*(1+$K83)^MAX(ROUNDUP(IFERROR(DATEDIF($I65-1,BP$15+1,"m"),)/12,)-1,)*Index!BL$23*(BP$15&gt;$I83)*(1-BP$12)</f>
        <v>0</v>
      </c>
      <c r="BQ83" s="747">
        <f>$G83*$H83*(1+$K83)^MAX(ROUNDUP(IFERROR(DATEDIF($I65-1,BQ$15+1,"m"),)/12,)-1,)*Index!BM$23*(BQ$15&gt;$I83)*(1-BQ$12)</f>
        <v>0</v>
      </c>
      <c r="BR83" s="747">
        <f>$G83*$H83*(1+$K83)^MAX(ROUNDUP(IFERROR(DATEDIF($I65-1,BR$15+1,"m"),)/12,)-1,)*Index!BN$23*(BR$15&gt;$I83)*(1-BR$12)</f>
        <v>0</v>
      </c>
      <c r="BS83" s="747">
        <f>$G83*$H83*(1+$K83)^MAX(ROUNDUP(IFERROR(DATEDIF($I65-1,BS$15+1,"m"),)/12,)-1,)*Index!BO$23*(BS$15&gt;$I83)*(1-BS$12)</f>
        <v>0</v>
      </c>
      <c r="BT83" s="747">
        <f>$G83*$H83*(1+$K83)^MAX(ROUNDUP(IFERROR(DATEDIF($I65-1,BT$15+1,"m"),)/12,)-1,)*Index!BP$23*(BT$15&gt;$I83)*(1-BT$12)</f>
        <v>0</v>
      </c>
      <c r="BU83" s="747">
        <f>$G83*$H83*(1+$K83)^MAX(ROUNDUP(IFERROR(DATEDIF($I65-1,BU$15+1,"m"),)/12,)-1,)*Index!BQ$23*(BU$15&gt;$I83)*(1-BU$12)</f>
        <v>0</v>
      </c>
      <c r="BV83" s="747">
        <f>$G83*$H83*(1+$K83)^MAX(ROUNDUP(IFERROR(DATEDIF($I65-1,BV$15+1,"m"),)/12,)-1,)*Index!BR$23*(BV$15&gt;$I83)*(1-BV$12)</f>
        <v>0</v>
      </c>
      <c r="BW83" s="747">
        <f>$G83*$H83*(1+$K83)^MAX(ROUNDUP(IFERROR(DATEDIF($I65-1,BW$15+1,"m"),)/12,)-1,)*Index!BS$23*(BW$15&gt;$I83)*(1-BW$12)</f>
        <v>0</v>
      </c>
      <c r="BX83" s="747">
        <f>$G83*$H83*(1+$K83)^MAX(ROUNDUP(IFERROR(DATEDIF($I65-1,BX$15+1,"m"),)/12,)-1,)*Index!BT$23*(BX$15&gt;$I83)*(1-BX$12)</f>
        <v>0</v>
      </c>
      <c r="BY83" s="747">
        <f>$G83*$H83*(1+$K83)^MAX(ROUNDUP(IFERROR(DATEDIF($I65-1,BY$15+1,"m"),)/12,)-1,)*Index!BU$23*(BY$15&gt;$I83)*(1-BY$12)</f>
        <v>0</v>
      </c>
      <c r="BZ83" s="747">
        <f>$G83*$H83*(1+$K83)^MAX(ROUNDUP(IFERROR(DATEDIF($I65-1,BZ$15+1,"m"),)/12,)-1,)*Index!BV$23*(BZ$15&gt;$I83)*(1-BZ$12)</f>
        <v>0</v>
      </c>
      <c r="CA83" s="747">
        <f>$G83*$H83*(1+$K83)^MAX(ROUNDUP(IFERROR(DATEDIF($I65-1,CA$15+1,"m"),)/12,)-1,)*Index!BW$23*(CA$15&gt;$I83)*(1-CA$12)</f>
        <v>0</v>
      </c>
      <c r="CB83" s="747">
        <f>$G83*$H83*(1+$K83)^MAX(ROUNDUP(IFERROR(DATEDIF($I65-1,CB$15+1,"m"),)/12,)-1,)*Index!BX$23*(CB$15&gt;$I83)*(1-CB$12)</f>
        <v>0</v>
      </c>
      <c r="CC83" s="747">
        <f>$G83*$H83*(1+$K83)^MAX(ROUNDUP(IFERROR(DATEDIF($I65-1,CC$15+1,"m"),)/12,)-1,)*Index!BY$23*(CC$15&gt;$I83)*(1-CC$12)</f>
        <v>0</v>
      </c>
      <c r="CD83" s="747">
        <f>$G83*$H83*(1+$K83)^MAX(ROUNDUP(IFERROR(DATEDIF($I65-1,CD$15+1,"m"),)/12,)-1,)*Index!BZ$23*(CD$15&gt;$I83)*(1-CD$12)</f>
        <v>0</v>
      </c>
      <c r="CE83" s="747">
        <f>$G83*$H83*(1+$K83)^MAX(ROUNDUP(IFERROR(DATEDIF($I65-1,CE$15+1,"m"),)/12,)-1,)*Index!CA$23*(CE$15&gt;$I83)*(1-CE$12)</f>
        <v>0</v>
      </c>
      <c r="CF83" s="747">
        <f>$G83*$H83*(1+$K83)^MAX(ROUNDUP(IFERROR(DATEDIF($I65-1,CF$15+1,"m"),)/12,)-1,)*Index!CB$23*(CF$15&gt;$I83)*(1-CF$12)</f>
        <v>0</v>
      </c>
      <c r="CG83" s="747">
        <f>$G83*$H83*(1+$K83)^MAX(ROUNDUP(IFERROR(DATEDIF($I65-1,CG$15+1,"m"),)/12,)-1,)*Index!CC$23*(CG$15&gt;$I83)*(1-CG$12)</f>
        <v>0</v>
      </c>
      <c r="CH83" s="747">
        <f>$G83*$H83*(1+$K83)^MAX(ROUNDUP(IFERROR(DATEDIF($I65-1,CH$15+1,"m"),)/12,)-1,)*Index!CD$23*(CH$15&gt;$I83)*(1-CH$12)</f>
        <v>0</v>
      </c>
      <c r="CI83" s="747">
        <f>$G83*$H83*(1+$K83)^MAX(ROUNDUP(IFERROR(DATEDIF($I65-1,CI$15+1,"m"),)/12,)-1,)*Index!CE$23*(CI$15&gt;$I83)*(1-CI$12)</f>
        <v>0</v>
      </c>
      <c r="CJ83" s="747">
        <f>$G83*$H83*(1+$K83)^MAX(ROUNDUP(IFERROR(DATEDIF($I65-1,CJ$15+1,"m"),)/12,)-1,)*Index!CF$23*(CJ$15&gt;$I83)*(1-CJ$12)</f>
        <v>0</v>
      </c>
      <c r="CK83" s="747">
        <f>$G83*$H83*(1+$K83)^MAX(ROUNDUP(IFERROR(DATEDIF($I65-1,CK$15+1,"m"),)/12,)-1,)*Index!CG$23*(CK$15&gt;$I83)*(1-CK$12)</f>
        <v>0</v>
      </c>
      <c r="CL83" s="747">
        <f>$G83*$H83*(1+$K83)^MAX(ROUNDUP(IFERROR(DATEDIF($I65-1,CL$15+1,"m"),)/12,)-1,)*Index!CH$23*(CL$15&gt;$I83)*(1-CL$12)</f>
        <v>0</v>
      </c>
      <c r="CM83" s="747">
        <f>$G83*$H83*(1+$K83)^MAX(ROUNDUP(IFERROR(DATEDIF($I65-1,CM$15+1,"m"),)/12,)-1,)*Index!CI$23*(CM$15&gt;$I83)*(1-CM$12)</f>
        <v>0</v>
      </c>
      <c r="CN83" s="747">
        <f>$G83*$H83*(1+$K83)^MAX(ROUNDUP(IFERROR(DATEDIF($I65-1,CN$15+1,"m"),)/12,)-1,)*Index!CJ$23*(CN$15&gt;$I83)*(1-CN$12)</f>
        <v>0</v>
      </c>
      <c r="CO83" s="747">
        <f>$G83*$H83*(1+$K83)^MAX(ROUNDUP(IFERROR(DATEDIF($I65-1,CO$15+1,"m"),)/12,)-1,)*Index!CK$23*(CO$15&gt;$I83)*(1-CO$12)</f>
        <v>0</v>
      </c>
      <c r="CP83" s="747">
        <f>$G83*$H83*(1+$K83)^MAX(ROUNDUP(IFERROR(DATEDIF($I65-1,CP$15+1,"m"),)/12,)-1,)*Index!CL$23*(CP$15&gt;$I83)*(1-CP$12)</f>
        <v>0</v>
      </c>
      <c r="CQ83" s="747">
        <f>$G83*$H83*(1+$K83)^MAX(ROUNDUP(IFERROR(DATEDIF($I65-1,CQ$15+1,"m"),)/12,)-1,)*Index!CM$23*(CQ$15&gt;$I83)*(1-CQ$12)</f>
        <v>0</v>
      </c>
      <c r="CR83" s="747">
        <f>$G83*$H83*(1+$K83)^MAX(ROUNDUP(IFERROR(DATEDIF($I65-1,CR$15+1,"m"),)/12,)-1,)*Index!CN$23*(CR$15&gt;$I83)*(1-CR$12)</f>
        <v>0</v>
      </c>
      <c r="CS83" s="747">
        <f>$G83*$H83*(1+$K83)^MAX(ROUNDUP(IFERROR(DATEDIF($I65-1,CS$15+1,"m"),)/12,)-1,)*Index!CO$23*(CS$15&gt;$I83)*(1-CS$12)</f>
        <v>0</v>
      </c>
      <c r="CT83" s="747">
        <f>$G83*$H83*(1+$K83)^MAX(ROUNDUP(IFERROR(DATEDIF($I65-1,CT$15+1,"m"),)/12,)-1,)*Index!CP$23*(CT$15&gt;$I83)*(1-CT$12)</f>
        <v>0</v>
      </c>
      <c r="CU83" s="747">
        <f>$G83*$H83*(1+$K83)^MAX(ROUNDUP(IFERROR(DATEDIF($I65-1,CU$15+1,"m"),)/12,)-1,)*Index!CQ$23*(CU$15&gt;$I83)*(1-CU$12)</f>
        <v>0</v>
      </c>
      <c r="CV83" s="747">
        <f>$G83*$H83*(1+$K83)^MAX(ROUNDUP(IFERROR(DATEDIF($I65-1,CV$15+1,"m"),)/12,)-1,)*Index!CR$23*(CV$15&gt;$I83)*(1-CV$12)</f>
        <v>0</v>
      </c>
      <c r="CW83" s="747">
        <f>$G83*$H83*(1+$K83)^MAX(ROUNDUP(IFERROR(DATEDIF($I65-1,CW$15+1,"m"),)/12,)-1,)*Index!CS$23*(CW$15&gt;$I83)*(1-CW$12)</f>
        <v>0</v>
      </c>
      <c r="CX83" s="747">
        <f>$G83*$H83*(1+$K83)^MAX(ROUNDUP(IFERROR(DATEDIF($I65-1,CX$15+1,"m"),)/12,)-1,)*Index!CT$23*(CX$15&gt;$I83)*(1-CX$12)</f>
        <v>0</v>
      </c>
      <c r="CY83" s="747">
        <f>$G83*$H83*(1+$K83)^MAX(ROUNDUP(IFERROR(DATEDIF($I65-1,CY$15+1,"m"),)/12,)-1,)*Index!CU$23*(CY$15&gt;$I83)*(1-CY$12)</f>
        <v>0</v>
      </c>
      <c r="CZ83" s="747">
        <f>$G83*$H83*(1+$K83)^MAX(ROUNDUP(IFERROR(DATEDIF($I65-1,CZ$15+1,"m"),)/12,)-1,)*Index!CV$23*(CZ$15&gt;$I83)*(1-CZ$12)</f>
        <v>0</v>
      </c>
      <c r="DA83" s="747">
        <f>$G83*$H83*(1+$K83)^MAX(ROUNDUP(IFERROR(DATEDIF($I65-1,DA$15+1,"m"),)/12,)-1,)*Index!CW$23*(DA$15&gt;$I83)*(1-DA$12)</f>
        <v>0</v>
      </c>
      <c r="DB83" s="747">
        <f>$G83*$H83*(1+$K83)^MAX(ROUNDUP(IFERROR(DATEDIF($I65-1,DB$15+1,"m"),)/12,)-1,)*Index!CX$23*(DB$15&gt;$I83)*(1-DB$12)</f>
        <v>0</v>
      </c>
      <c r="DC83" s="747">
        <f>$G83*$H83*(1+$K83)^MAX(ROUNDUP(IFERROR(DATEDIF($I65-1,DC$15+1,"m"),)/12,)-1,)*Index!CY$23*(DC$15&gt;$I83)*(1-DC$12)</f>
        <v>0</v>
      </c>
      <c r="DD83" s="747">
        <f>$G83*$H83*(1+$K83)^MAX(ROUNDUP(IFERROR(DATEDIF($I65-1,DD$15+1,"m"),)/12,)-1,)*Index!CZ$23*(DD$15&gt;$I83)*(1-DD$12)</f>
        <v>0</v>
      </c>
      <c r="DE83" s="747">
        <f>$G83*$H83*(1+$K83)^MAX(ROUNDUP(IFERROR(DATEDIF($I65-1,DE$15+1,"m"),)/12,)-1,)*Index!DA$23*(DE$15&gt;$I83)*(1-DE$12)</f>
        <v>0</v>
      </c>
      <c r="DF83" s="747">
        <f>$G83*$H83*(1+$K83)^MAX(ROUNDUP(IFERROR(DATEDIF($I65-1,DF$15+1,"m"),)/12,)-1,)*Index!DB$23*(DF$15&gt;$I83)*(1-DF$12)</f>
        <v>0</v>
      </c>
      <c r="DG83" s="747">
        <f>$G83*$H83*(1+$K83)^MAX(ROUNDUP(IFERROR(DATEDIF($I65-1,DG$15+1,"m"),)/12,)-1,)*Index!DC$23*(DG$15&gt;$I83)*(1-DG$12)</f>
        <v>0</v>
      </c>
      <c r="DH83" s="747">
        <f>$G83*$H83*(1+$K83)^MAX(ROUNDUP(IFERROR(DATEDIF($I65-1,DH$15+1,"m"),)/12,)-1,)*Index!DD$23*(DH$15&gt;$I83)*(1-DH$12)</f>
        <v>0</v>
      </c>
      <c r="DI83" s="747">
        <f>$G83*$H83*(1+$K83)^MAX(ROUNDUP(IFERROR(DATEDIF($I65-1,DI$15+1,"m"),)/12,)-1,)*Index!DE$23*(DI$15&gt;$I83)*(1-DI$12)</f>
        <v>0</v>
      </c>
      <c r="DJ83" s="747">
        <f>$G83*$H83*(1+$K83)^MAX(ROUNDUP(IFERROR(DATEDIF($I65-1,DJ$15+1,"m"),)/12,)-1,)*Index!DF$23*(DJ$15&gt;$I83)*(1-DJ$12)</f>
        <v>0</v>
      </c>
      <c r="DK83" s="747">
        <f>$G83*$H83*(1+$K83)^MAX(ROUNDUP(IFERROR(DATEDIF($I65-1,DK$15+1,"m"),)/12,)-1,)*Index!DG$23*(DK$15&gt;$I83)*(1-DK$12)</f>
        <v>0</v>
      </c>
      <c r="DL83" s="747">
        <f>$G83*$H83*(1+$K83)^MAX(ROUNDUP(IFERROR(DATEDIF($I65-1,DL$15+1,"m"),)/12,)-1,)*Index!DH$23*(DL$15&gt;$I83)*(1-DL$12)</f>
        <v>0</v>
      </c>
      <c r="DM83" s="747">
        <f>$G83*$H83*(1+$K83)^MAX(ROUNDUP(IFERROR(DATEDIF($I65-1,DM$15+1,"m"),)/12,)-1,)*Index!DI$23*(DM$15&gt;$I83)*(1-DM$12)</f>
        <v>0</v>
      </c>
      <c r="DN83" s="747">
        <f>$G83*$H83*(1+$K83)^MAX(ROUNDUP(IFERROR(DATEDIF($I65-1,DN$15+1,"m"),)/12,)-1,)*Index!DJ$23*(DN$15&gt;$I83)*(1-DN$12)</f>
        <v>0</v>
      </c>
      <c r="DO83" s="747">
        <f>$G83*$H83*(1+$K83)^MAX(ROUNDUP(IFERROR(DATEDIF($I65-1,DO$15+1,"m"),)/12,)-1,)*Index!DK$23*(DO$15&gt;$I83)*(1-DO$12)</f>
        <v>0</v>
      </c>
      <c r="DP83" s="747">
        <f>$G83*$H83*(1+$K83)^MAX(ROUNDUP(IFERROR(DATEDIF($I65-1,DP$15+1,"m"),)/12,)-1,)*Index!DL$23*(DP$15&gt;$I83)*(1-DP$12)</f>
        <v>0</v>
      </c>
      <c r="DQ83" s="747">
        <f>$G83*$H83*(1+$K83)^MAX(ROUNDUP(IFERROR(DATEDIF($I65-1,DQ$15+1,"m"),)/12,)-1,)*Index!DM$23*(DQ$15&gt;$I83)*(1-DQ$12)</f>
        <v>0</v>
      </c>
      <c r="DR83" s="747">
        <f>$G83*$H83*(1+$K83)^MAX(ROUNDUP(IFERROR(DATEDIF($I65-1,DR$15+1,"m"),)/12,)-1,)*Index!DN$23*(DR$15&gt;$I83)*(1-DR$12)</f>
        <v>0</v>
      </c>
      <c r="DS83" s="747">
        <f>$G83*$H83*(1+$K83)^MAX(ROUNDUP(IFERROR(DATEDIF($I65-1,DS$15+1,"m"),)/12,)-1,)*Index!DO$23*(DS$15&gt;$I83)*(1-DS$12)</f>
        <v>0</v>
      </c>
      <c r="DT83" s="747">
        <f>$G83*$H83*(1+$K83)^MAX(ROUNDUP(IFERROR(DATEDIF($I65-1,DT$15+1,"m"),)/12,)-1,)*Index!DP$23*(DT$15&gt;$I83)*(1-DT$12)</f>
        <v>0</v>
      </c>
      <c r="DU83" s="747">
        <f>$G83*$H83*(1+$K83)^MAX(ROUNDUP(IFERROR(DATEDIF($I65-1,DU$15+1,"m"),)/12,)-1,)*Index!DQ$23*(DU$15&gt;$I83)*(1-DU$12)</f>
        <v>0</v>
      </c>
      <c r="DV83" s="747">
        <f>$G83*$H83*(1+$K83)^MAX(ROUNDUP(IFERROR(DATEDIF($I65-1,DV$15+1,"m"),)/12,)-1,)*Index!DR$23*(DV$15&gt;$I83)*(1-DV$12)</f>
        <v>0</v>
      </c>
      <c r="DW83" s="747">
        <f>$G83*$H83*(1+$K83)^MAX(ROUNDUP(IFERROR(DATEDIF($I65-1,DW$15+1,"m"),)/12,)-1,)*Index!DS$23*(DW$15&gt;$I83)*(1-DW$12)</f>
        <v>0</v>
      </c>
      <c r="DX83" s="747">
        <f>$G83*$H83*(1+$K83)^MAX(ROUNDUP(IFERROR(DATEDIF($I65-1,DX$15+1,"m"),)/12,)-1,)*Index!DT$23*(DX$15&gt;$I83)*(1-DX$12)</f>
        <v>0</v>
      </c>
      <c r="DY83" s="747">
        <f>$G83*$H83*(1+$K83)^MAX(ROUNDUP(IFERROR(DATEDIF($I65-1,DY$15+1,"m"),)/12,)-1,)*Index!DU$23*(DY$15&gt;$I83)*(1-DY$12)</f>
        <v>0</v>
      </c>
      <c r="DZ83" s="747">
        <f>$G83*$H83*(1+$K83)^MAX(ROUNDUP(IFERROR(DATEDIF($I65-1,DZ$15+1,"m"),)/12,)-1,)*Index!DV$23*(DZ$15&gt;$I83)*(1-DZ$12)</f>
        <v>0</v>
      </c>
      <c r="EA83" s="747">
        <f>$G83*$H83*(1+$K83)^MAX(ROUNDUP(IFERROR(DATEDIF($I65-1,EA$15+1,"m"),)/12,)-1,)*Index!DW$23*(EA$15&gt;$I83)*(1-EA$12)</f>
        <v>0</v>
      </c>
      <c r="EB83" s="747">
        <f>$G83*$H83*(1+$K83)^MAX(ROUNDUP(IFERROR(DATEDIF($I65-1,EB$15+1,"m"),)/12,)-1,)*Index!DX$23*(EB$15&gt;$I83)*(1-EB$12)</f>
        <v>0</v>
      </c>
      <c r="EC83" s="747">
        <f>$G83*$H83*(1+$K83)^MAX(ROUNDUP(IFERROR(DATEDIF($I65-1,EC$15+1,"m"),)/12,)-1,)*Index!DY$23*(EC$15&gt;$I83)*(1-EC$12)</f>
        <v>0</v>
      </c>
      <c r="ED83" s="747">
        <f>$G83*$H83*(1+$K83)^MAX(ROUNDUP(IFERROR(DATEDIF($I65-1,ED$15+1,"m"),)/12,)-1,)*Index!DZ$23*(ED$15&gt;$I83)*(1-ED$12)</f>
        <v>0</v>
      </c>
      <c r="EE83" s="747">
        <f>$G83*$H83*(1+$K83)^MAX(ROUNDUP(IFERROR(DATEDIF($I65-1,EE$15+1,"m"),)/12,)-1,)*Index!EA$23*(EE$15&gt;$I83)*(1-EE$12)</f>
        <v>0</v>
      </c>
      <c r="EF83" s="747">
        <f>$G83*$H83*(1+$K83)^MAX(ROUNDUP(IFERROR(DATEDIF($I65-1,EF$15+1,"m"),)/12,)-1,)*Index!EB$23*(EF$15&gt;$I83)*(1-EF$12)</f>
        <v>0</v>
      </c>
      <c r="EG83" s="747">
        <f>$G83*$H83*(1+$K83)^MAX(ROUNDUP(IFERROR(DATEDIF($I65-1,EG$15+1,"m"),)/12,)-1,)*Index!EC$23*(EG$15&gt;$I83)*(1-EG$12)</f>
        <v>64142.187302283208</v>
      </c>
      <c r="EH83" s="747">
        <f>$G83*$H83*(1+$K83)^MAX(ROUNDUP(IFERROR(DATEDIF($I65-1,EH$15+1,"m"),)/12,)-1,)*Index!ED$23*(EH$15&gt;$I83)*(1-EH$12)</f>
        <v>65745.741984840279</v>
      </c>
      <c r="EI83" s="747">
        <f>$G83*$H83*(1+$K83)^MAX(ROUNDUP(IFERROR(DATEDIF($I65-1,EI$15+1,"m"),)/12,)-1,)*Index!EE$23*(EI$15&gt;$I83)*(1-EI$12)</f>
        <v>65745.741984840279</v>
      </c>
      <c r="EJ83" s="747">
        <f>$G83*$H83*(1+$K83)^MAX(ROUNDUP(IFERROR(DATEDIF($I65-1,EJ$15+1,"m"),)/12,)-1,)*Index!EF$23*(EJ$15&gt;$I83)*(1-EJ$12)</f>
        <v>65745.741984840279</v>
      </c>
      <c r="EK83" s="747">
        <f>$G83*$H83*(1+$K83)^MAX(ROUNDUP(IFERROR(DATEDIF($I65-1,EK$15+1,"m"),)/12,)-1,)*Index!EG$23*(EK$15&gt;$I83)*(1-EK$12)</f>
        <v>65745.741984840279</v>
      </c>
      <c r="EL83" s="747">
        <f>$G83*$H83*(1+$K83)^MAX(ROUNDUP(IFERROR(DATEDIF($I65-1,EL$15+1,"m"),)/12,)-1,)*Index!EH$23*(EL$15&gt;$I83)*(1-EL$12)</f>
        <v>65745.741984840279</v>
      </c>
      <c r="EM83" s="747">
        <f>$G83*$H83*(1+$K83)^MAX(ROUNDUP(IFERROR(DATEDIF($I65-1,EM$15+1,"m"),)/12,)-1,)*Index!EI$23*(EM$15&gt;$I83)*(1-EM$12)</f>
        <v>65745.741984840279</v>
      </c>
      <c r="EN83" s="747">
        <f>$G83*$H83*(1+$K83)^MAX(ROUNDUP(IFERROR(DATEDIF($I65-1,EN$15+1,"m"),)/12,)-1,)*Index!EJ$23*(EN$15&gt;$I83)*(1-EN$12)</f>
        <v>65745.741984840279</v>
      </c>
      <c r="EO83" s="747">
        <f>$G83*$H83*(1+$K83)^MAX(ROUNDUP(IFERROR(DATEDIF($I65-1,EO$15+1,"m"),)/12,)-1,)*Index!EK$23*(EO$15&gt;$I83)*(1-EO$12)</f>
        <v>65745.741984840279</v>
      </c>
      <c r="EP83" s="747">
        <f>$G83*$H83*(1+$K83)^MAX(ROUNDUP(IFERROR(DATEDIF($I65-1,EP$15+1,"m"),)/12,)-1,)*Index!EL$23*(EP$15&gt;$I83)*(1-EP$12)</f>
        <v>65745.741984840279</v>
      </c>
      <c r="EQ83" s="747">
        <f>$G83*$H83*(1+$K83)^MAX(ROUNDUP(IFERROR(DATEDIF($I65-1,EQ$15+1,"m"),)/12,)-1,)*Index!EM$23*(EQ$15&gt;$I83)*(1-EQ$12)</f>
        <v>65745.741984840279</v>
      </c>
      <c r="ER83" s="747">
        <f>$G83*$H83*(1+$K83)^MAX(ROUNDUP(IFERROR(DATEDIF($I65-1,ER$15+1,"m"),)/12,)-1,)*Index!EN$23*(ER$15&gt;$I83)*(1-ER$12)</f>
        <v>65745.741984840279</v>
      </c>
      <c r="ES83" s="747">
        <f>$G83*$H83*(1+$K83)^MAX(ROUNDUP(IFERROR(DATEDIF($I65-1,ES$15+1,"m"),)/12,)-1,)*Index!EO$23*(ES$15&gt;$I83)*(1-ES$12)</f>
        <v>0</v>
      </c>
      <c r="ET83" s="747">
        <f>$G83*$H83*(1+$K83)^MAX(ROUNDUP(IFERROR(DATEDIF($I65-1,ET$15+1,"m"),)/12,)-1,)*Index!EP$23*(ET$15&gt;$I83)*(1-ET$12)</f>
        <v>0</v>
      </c>
      <c r="EU83" s="747">
        <f>$G83*$H83*(1+$K83)^MAX(ROUNDUP(IFERROR(DATEDIF($I65-1,EU$15+1,"m"),)/12,)-1,)*Index!EQ$23*(EU$15&gt;$I83)*(1-EU$12)</f>
        <v>0</v>
      </c>
    </row>
    <row r="84" spans="1:151" ht="11.25" customHeight="1">
      <c r="C84" s="828"/>
      <c r="D84" s="743" t="str">
        <f t="shared" si="45"/>
        <v>1F</v>
      </c>
      <c r="E84" s="704" t="str">
        <f t="shared" si="45"/>
        <v>아이팜</v>
      </c>
      <c r="F84" s="704" t="str">
        <f t="shared" si="45"/>
        <v>근린생활시설</v>
      </c>
      <c r="G84" s="752">
        <f t="shared" si="41"/>
        <v>57.106049143739746</v>
      </c>
      <c r="H84" s="744">
        <f t="shared" si="45"/>
        <v>17.29</v>
      </c>
      <c r="I84" s="745">
        <f t="shared" si="42"/>
        <v>47603</v>
      </c>
      <c r="J84" s="745"/>
      <c r="K84" s="754">
        <f t="shared" si="43"/>
        <v>2.5000000000000001E-2</v>
      </c>
      <c r="L84" s="748"/>
      <c r="M84" s="749"/>
      <c r="N84" s="747">
        <f t="shared" si="44"/>
        <v>15740.405098120664</v>
      </c>
      <c r="O84" s="733"/>
      <c r="P84" s="747">
        <f>$G84*$H84*(1+$K84)^MAX(ROUNDUP(IFERROR(DATEDIF($I66-1,P$15+1,"m"),)/12,)-1,)*Index!L$23*(P$15&gt;$I84)*(1-P$12)</f>
        <v>0</v>
      </c>
      <c r="Q84" s="747">
        <f>$G84*$H84*(1+$K84)^MAX(ROUNDUP(IFERROR(DATEDIF($I66-1,Q$15+1,"m"),)/12,)-1,)*Index!M$23*(Q$15&gt;$I84)*(1-Q$12)</f>
        <v>0</v>
      </c>
      <c r="R84" s="747">
        <f>$G84*$H84*(1+$K84)^MAX(ROUNDUP(IFERROR(DATEDIF($I66-1,R$15+1,"m"),)/12,)-1,)*Index!N$23*(R$15&gt;$I84)*(1-R$12)</f>
        <v>0</v>
      </c>
      <c r="S84" s="747">
        <f>$G84*$H84*(1+$K84)^MAX(ROUNDUP(IFERROR(DATEDIF($I66-1,S$15+1,"m"),)/12,)-1,)*Index!O$23*(S$15&gt;$I84)*(1-S$12)</f>
        <v>0</v>
      </c>
      <c r="T84" s="747">
        <f>$G84*$H84*(1+$K84)^MAX(ROUNDUP(IFERROR(DATEDIF($I66-1,T$15+1,"m"),)/12,)-1,)*Index!P$23*(T$15&gt;$I84)*(1-T$12)</f>
        <v>0</v>
      </c>
      <c r="U84" s="747">
        <f>$G84*$H84*(1+$K84)^MAX(ROUNDUP(IFERROR(DATEDIF($I66-1,U$15+1,"m"),)/12,)-1,)*Index!Q$23*(U$15&gt;$I84)*(1-U$12)</f>
        <v>0</v>
      </c>
      <c r="V84" s="747">
        <f>$G84*$H84*(1+$K84)^MAX(ROUNDUP(IFERROR(DATEDIF($I66-1,V$15+1,"m"),)/12,)-1,)*Index!R$23*(V$15&gt;$I84)*(1-V$12)</f>
        <v>0</v>
      </c>
      <c r="W84" s="747">
        <f>$G84*$H84*(1+$K84)^MAX(ROUNDUP(IFERROR(DATEDIF($I66-1,W$15+1,"m"),)/12,)-1,)*Index!S$23*(W$15&gt;$I84)*(1-W$12)</f>
        <v>0</v>
      </c>
      <c r="X84" s="747">
        <f>$G84*$H84*(1+$K84)^MAX(ROUNDUP(IFERROR(DATEDIF($I66-1,X$15+1,"m"),)/12,)-1,)*Index!T$23*(X$15&gt;$I84)*(1-X$12)</f>
        <v>0</v>
      </c>
      <c r="Y84" s="747">
        <f>$G84*$H84*(1+$K84)^MAX(ROUNDUP(IFERROR(DATEDIF($I66-1,Y$15+1,"m"),)/12,)-1,)*Index!U$23*(Y$15&gt;$I84)*(1-Y$12)</f>
        <v>0</v>
      </c>
      <c r="Z84" s="747">
        <f>$G84*$H84*(1+$K84)^MAX(ROUNDUP(IFERROR(DATEDIF($I66-1,Z$15+1,"m"),)/12,)-1,)*Index!V$23*(Z$15&gt;$I84)*(1-Z$12)</f>
        <v>0</v>
      </c>
      <c r="AA84" s="747">
        <f>$G84*$H84*(1+$K84)^MAX(ROUNDUP(IFERROR(DATEDIF($I66-1,AA$15+1,"m"),)/12,)-1,)*Index!W$23*(AA$15&gt;$I84)*(1-AA$12)</f>
        <v>0</v>
      </c>
      <c r="AB84" s="747">
        <f>$G84*$H84*(1+$K84)^MAX(ROUNDUP(IFERROR(DATEDIF($I66-1,AB$15+1,"m"),)/12,)-1,)*Index!X$23*(AB$15&gt;$I84)*(1-AB$12)</f>
        <v>0</v>
      </c>
      <c r="AC84" s="747">
        <f>$G84*$H84*(1+$K84)^MAX(ROUNDUP(IFERROR(DATEDIF($I66-1,AC$15+1,"m"),)/12,)-1,)*Index!Y$23*(AC$15&gt;$I84)*(1-AC$12)</f>
        <v>0</v>
      </c>
      <c r="AD84" s="747">
        <f>$G84*$H84*(1+$K84)^MAX(ROUNDUP(IFERROR(DATEDIF($I66-1,AD$15+1,"m"),)/12,)-1,)*Index!Z$23*(AD$15&gt;$I84)*(1-AD$12)</f>
        <v>0</v>
      </c>
      <c r="AE84" s="747">
        <f>$G84*$H84*(1+$K84)^MAX(ROUNDUP(IFERROR(DATEDIF($I66-1,AE$15+1,"m"),)/12,)-1,)*Index!AA$23*(AE$15&gt;$I84)*(1-AE$12)</f>
        <v>0</v>
      </c>
      <c r="AF84" s="747">
        <f>$G84*$H84*(1+$K84)^MAX(ROUNDUP(IFERROR(DATEDIF($I66-1,AF$15+1,"m"),)/12,)-1,)*Index!AB$23*(AF$15&gt;$I84)*(1-AF$12)</f>
        <v>0</v>
      </c>
      <c r="AG84" s="747">
        <f>$G84*$H84*(1+$K84)^MAX(ROUNDUP(IFERROR(DATEDIF($I66-1,AG$15+1,"m"),)/12,)-1,)*Index!AC$23*(AG$15&gt;$I84)*(1-AG$12)</f>
        <v>0</v>
      </c>
      <c r="AH84" s="747">
        <f>$G84*$H84*(1+$K84)^MAX(ROUNDUP(IFERROR(DATEDIF($I66-1,AH$15+1,"m"),)/12,)-1,)*Index!AD$23*(AH$15&gt;$I84)*(1-AH$12)</f>
        <v>0</v>
      </c>
      <c r="AI84" s="747">
        <f>$G84*$H84*(1+$K84)^MAX(ROUNDUP(IFERROR(DATEDIF($I66-1,AI$15+1,"m"),)/12,)-1,)*Index!AE$23*(AI$15&gt;$I84)*(1-AI$12)</f>
        <v>0</v>
      </c>
      <c r="AJ84" s="747">
        <f>$G84*$H84*(1+$K84)^MAX(ROUNDUP(IFERROR(DATEDIF($I66-1,AJ$15+1,"m"),)/12,)-1,)*Index!AF$23*(AJ$15&gt;$I84)*(1-AJ$12)</f>
        <v>0</v>
      </c>
      <c r="AK84" s="747">
        <f>$G84*$H84*(1+$K84)^MAX(ROUNDUP(IFERROR(DATEDIF($I66-1,AK$15+1,"m"),)/12,)-1,)*Index!AG$23*(AK$15&gt;$I84)*(1-AK$12)</f>
        <v>0</v>
      </c>
      <c r="AL84" s="747">
        <f>$G84*$H84*(1+$K84)^MAX(ROUNDUP(IFERROR(DATEDIF($I66-1,AL$15+1,"m"),)/12,)-1,)*Index!AH$23*(AL$15&gt;$I84)*(1-AL$12)</f>
        <v>0</v>
      </c>
      <c r="AM84" s="747">
        <f>$G84*$H84*(1+$K84)^MAX(ROUNDUP(IFERROR(DATEDIF($I66-1,AM$15+1,"m"),)/12,)-1,)*Index!AI$23*(AM$15&gt;$I84)*(1-AM$12)</f>
        <v>0</v>
      </c>
      <c r="AN84" s="747">
        <f>$G84*$H84*(1+$K84)^MAX(ROUNDUP(IFERROR(DATEDIF($I66-1,AN$15+1,"m"),)/12,)-1,)*Index!AJ$23*(AN$15&gt;$I84)*(1-AN$12)</f>
        <v>0</v>
      </c>
      <c r="AO84" s="747">
        <f>$G84*$H84*(1+$K84)^MAX(ROUNDUP(IFERROR(DATEDIF($I66-1,AO$15+1,"m"),)/12,)-1,)*Index!AK$23*(AO$15&gt;$I84)*(1-AO$12)</f>
        <v>0</v>
      </c>
      <c r="AP84" s="747">
        <f>$G84*$H84*(1+$K84)^MAX(ROUNDUP(IFERROR(DATEDIF($I66-1,AP$15+1,"m"),)/12,)-1,)*Index!AL$23*(AP$15&gt;$I84)*(1-AP$12)</f>
        <v>0</v>
      </c>
      <c r="AQ84" s="747">
        <f>$G84*$H84*(1+$K84)^MAX(ROUNDUP(IFERROR(DATEDIF($I66-1,AQ$15+1,"m"),)/12,)-1,)*Index!AM$23*(AQ$15&gt;$I84)*(1-AQ$12)</f>
        <v>0</v>
      </c>
      <c r="AR84" s="747">
        <f>$G84*$H84*(1+$K84)^MAX(ROUNDUP(IFERROR(DATEDIF($I66-1,AR$15+1,"m"),)/12,)-1,)*Index!AN$23*(AR$15&gt;$I84)*(1-AR$12)</f>
        <v>0</v>
      </c>
      <c r="AS84" s="747">
        <f>$G84*$H84*(1+$K84)^MAX(ROUNDUP(IFERROR(DATEDIF($I66-1,AS$15+1,"m"),)/12,)-1,)*Index!AO$23*(AS$15&gt;$I84)*(1-AS$12)</f>
        <v>0</v>
      </c>
      <c r="AT84" s="747">
        <f>$G84*$H84*(1+$K84)^MAX(ROUNDUP(IFERROR(DATEDIF($I66-1,AT$15+1,"m"),)/12,)-1,)*Index!AP$23*(AT$15&gt;$I84)*(1-AT$12)</f>
        <v>0</v>
      </c>
      <c r="AU84" s="747">
        <f>$G84*$H84*(1+$K84)^MAX(ROUNDUP(IFERROR(DATEDIF($I66-1,AU$15+1,"m"),)/12,)-1,)*Index!AQ$23*(AU$15&gt;$I84)*(1-AU$12)</f>
        <v>0</v>
      </c>
      <c r="AV84" s="747">
        <f>$G84*$H84*(1+$K84)^MAX(ROUNDUP(IFERROR(DATEDIF($I66-1,AV$15+1,"m"),)/12,)-1,)*Index!AR$23*(AV$15&gt;$I84)*(1-AV$12)</f>
        <v>0</v>
      </c>
      <c r="AW84" s="747">
        <f>$G84*$H84*(1+$K84)^MAX(ROUNDUP(IFERROR(DATEDIF($I66-1,AW$15+1,"m"),)/12,)-1,)*Index!AS$23*(AW$15&gt;$I84)*(1-AW$12)</f>
        <v>0</v>
      </c>
      <c r="AX84" s="747">
        <f>$G84*$H84*(1+$K84)^MAX(ROUNDUP(IFERROR(DATEDIF($I66-1,AX$15+1,"m"),)/12,)-1,)*Index!AT$23*(AX$15&gt;$I84)*(1-AX$12)</f>
        <v>0</v>
      </c>
      <c r="AY84" s="747">
        <f>$G84*$H84*(1+$K84)^MAX(ROUNDUP(IFERROR(DATEDIF($I66-1,AY$15+1,"m"),)/12,)-1,)*Index!AU$23*(AY$15&gt;$I84)*(1-AY$12)</f>
        <v>0</v>
      </c>
      <c r="AZ84" s="747">
        <f>$G84*$H84*(1+$K84)^MAX(ROUNDUP(IFERROR(DATEDIF($I66-1,AZ$15+1,"m"),)/12,)-1,)*Index!AV$23*(AZ$15&gt;$I84)*(1-AZ$12)</f>
        <v>0</v>
      </c>
      <c r="BA84" s="747">
        <f>$G84*$H84*(1+$K84)^MAX(ROUNDUP(IFERROR(DATEDIF($I66-1,BA$15+1,"m"),)/12,)-1,)*Index!AW$23*(BA$15&gt;$I84)*(1-BA$12)</f>
        <v>0</v>
      </c>
      <c r="BB84" s="747">
        <f>$G84*$H84*(1+$K84)^MAX(ROUNDUP(IFERROR(DATEDIF($I66-1,BB$15+1,"m"),)/12,)-1,)*Index!AX$23*(BB$15&gt;$I84)*(1-BB$12)</f>
        <v>0</v>
      </c>
      <c r="BC84" s="747">
        <f>$G84*$H84*(1+$K84)^MAX(ROUNDUP(IFERROR(DATEDIF($I66-1,BC$15+1,"m"),)/12,)-1,)*Index!AY$23*(BC$15&gt;$I84)*(1-BC$12)</f>
        <v>0</v>
      </c>
      <c r="BD84" s="747">
        <f>$G84*$H84*(1+$K84)^MAX(ROUNDUP(IFERROR(DATEDIF($I66-1,BD$15+1,"m"),)/12,)-1,)*Index!AZ$23*(BD$15&gt;$I84)*(1-BD$12)</f>
        <v>0</v>
      </c>
      <c r="BE84" s="747">
        <f>$G84*$H84*(1+$K84)^MAX(ROUNDUP(IFERROR(DATEDIF($I66-1,BE$15+1,"m"),)/12,)-1,)*Index!BA$23*(BE$15&gt;$I84)*(1-BE$12)</f>
        <v>0</v>
      </c>
      <c r="BF84" s="747">
        <f>$G84*$H84*(1+$K84)^MAX(ROUNDUP(IFERROR(DATEDIF($I66-1,BF$15+1,"m"),)/12,)-1,)*Index!BB$23*(BF$15&gt;$I84)*(1-BF$12)</f>
        <v>0</v>
      </c>
      <c r="BG84" s="747">
        <f>$G84*$H84*(1+$K84)^MAX(ROUNDUP(IFERROR(DATEDIF($I66-1,BG$15+1,"m"),)/12,)-1,)*Index!BC$23*(BG$15&gt;$I84)*(1-BG$12)</f>
        <v>0</v>
      </c>
      <c r="BH84" s="747">
        <f>$G84*$H84*(1+$K84)^MAX(ROUNDUP(IFERROR(DATEDIF($I66-1,BH$15+1,"m"),)/12,)-1,)*Index!BD$23*(BH$15&gt;$I84)*(1-BH$12)</f>
        <v>0</v>
      </c>
      <c r="BI84" s="747">
        <f>$G84*$H84*(1+$K84)^MAX(ROUNDUP(IFERROR(DATEDIF($I66-1,BI$15+1,"m"),)/12,)-1,)*Index!BE$23*(BI$15&gt;$I84)*(1-BI$12)</f>
        <v>0</v>
      </c>
      <c r="BJ84" s="747">
        <f>$G84*$H84*(1+$K84)^MAX(ROUNDUP(IFERROR(DATEDIF($I66-1,BJ$15+1,"m"),)/12,)-1,)*Index!BF$23*(BJ$15&gt;$I84)*(1-BJ$12)</f>
        <v>0</v>
      </c>
      <c r="BK84" s="747">
        <f>$G84*$H84*(1+$K84)^MAX(ROUNDUP(IFERROR(DATEDIF($I66-1,BK$15+1,"m"),)/12,)-1,)*Index!BG$23*(BK$15&gt;$I84)*(1-BK$12)</f>
        <v>0</v>
      </c>
      <c r="BL84" s="747">
        <f>$G84*$H84*(1+$K84)^MAX(ROUNDUP(IFERROR(DATEDIF($I66-1,BL$15+1,"m"),)/12,)-1,)*Index!BH$23*(BL$15&gt;$I84)*(1-BL$12)</f>
        <v>0</v>
      </c>
      <c r="BM84" s="747">
        <f>$G84*$H84*(1+$K84)^MAX(ROUNDUP(IFERROR(DATEDIF($I66-1,BM$15+1,"m"),)/12,)-1,)*Index!BI$23*(BM$15&gt;$I84)*(1-BM$12)</f>
        <v>0</v>
      </c>
      <c r="BN84" s="747">
        <f>$G84*$H84*(1+$K84)^MAX(ROUNDUP(IFERROR(DATEDIF($I66-1,BN$15+1,"m"),)/12,)-1,)*Index!BJ$23*(BN$15&gt;$I84)*(1-BN$12)</f>
        <v>0</v>
      </c>
      <c r="BO84" s="747">
        <f>$G84*$H84*(1+$K84)^MAX(ROUNDUP(IFERROR(DATEDIF($I66-1,BO$15+1,"m"),)/12,)-1,)*Index!BK$23*(BO$15&gt;$I84)*(1-BO$12)</f>
        <v>0</v>
      </c>
      <c r="BP84" s="747">
        <f>$G84*$H84*(1+$K84)^MAX(ROUNDUP(IFERROR(DATEDIF($I66-1,BP$15+1,"m"),)/12,)-1,)*Index!BL$23*(BP$15&gt;$I84)*(1-BP$12)</f>
        <v>0</v>
      </c>
      <c r="BQ84" s="747">
        <f>$G84*$H84*(1+$K84)^MAX(ROUNDUP(IFERROR(DATEDIF($I66-1,BQ$15+1,"m"),)/12,)-1,)*Index!BM$23*(BQ$15&gt;$I84)*(1-BQ$12)</f>
        <v>0</v>
      </c>
      <c r="BR84" s="747">
        <f>$G84*$H84*(1+$K84)^MAX(ROUNDUP(IFERROR(DATEDIF($I66-1,BR$15+1,"m"),)/12,)-1,)*Index!BN$23*(BR$15&gt;$I84)*(1-BR$12)</f>
        <v>0</v>
      </c>
      <c r="BS84" s="747">
        <f>$G84*$H84*(1+$K84)^MAX(ROUNDUP(IFERROR(DATEDIF($I66-1,BS$15+1,"m"),)/12,)-1,)*Index!BO$23*(BS$15&gt;$I84)*(1-BS$12)</f>
        <v>0</v>
      </c>
      <c r="BT84" s="747">
        <f>$G84*$H84*(1+$K84)^MAX(ROUNDUP(IFERROR(DATEDIF($I66-1,BT$15+1,"m"),)/12,)-1,)*Index!BP$23*(BT$15&gt;$I84)*(1-BT$12)</f>
        <v>0</v>
      </c>
      <c r="BU84" s="747">
        <f>$G84*$H84*(1+$K84)^MAX(ROUNDUP(IFERROR(DATEDIF($I66-1,BU$15+1,"m"),)/12,)-1,)*Index!BQ$23*(BU$15&gt;$I84)*(1-BU$12)</f>
        <v>0</v>
      </c>
      <c r="BV84" s="747">
        <f>$G84*$H84*(1+$K84)^MAX(ROUNDUP(IFERROR(DATEDIF($I66-1,BV$15+1,"m"),)/12,)-1,)*Index!BR$23*(BV$15&gt;$I84)*(1-BV$12)</f>
        <v>0</v>
      </c>
      <c r="BW84" s="747">
        <f>$G84*$H84*(1+$K84)^MAX(ROUNDUP(IFERROR(DATEDIF($I66-1,BW$15+1,"m"),)/12,)-1,)*Index!BS$23*(BW$15&gt;$I84)*(1-BW$12)</f>
        <v>0</v>
      </c>
      <c r="BX84" s="747">
        <f>$G84*$H84*(1+$K84)^MAX(ROUNDUP(IFERROR(DATEDIF($I66-1,BX$15+1,"m"),)/12,)-1,)*Index!BT$23*(BX$15&gt;$I84)*(1-BX$12)</f>
        <v>0</v>
      </c>
      <c r="BY84" s="747">
        <f>$G84*$H84*(1+$K84)^MAX(ROUNDUP(IFERROR(DATEDIF($I66-1,BY$15+1,"m"),)/12,)-1,)*Index!BU$23*(BY$15&gt;$I84)*(1-BY$12)</f>
        <v>0</v>
      </c>
      <c r="BZ84" s="747">
        <f>$G84*$H84*(1+$K84)^MAX(ROUNDUP(IFERROR(DATEDIF($I66-1,BZ$15+1,"m"),)/12,)-1,)*Index!BV$23*(BZ$15&gt;$I84)*(1-BZ$12)</f>
        <v>0</v>
      </c>
      <c r="CA84" s="747">
        <f>$G84*$H84*(1+$K84)^MAX(ROUNDUP(IFERROR(DATEDIF($I66-1,CA$15+1,"m"),)/12,)-1,)*Index!BW$23*(CA$15&gt;$I84)*(1-CA$12)</f>
        <v>0</v>
      </c>
      <c r="CB84" s="747">
        <f>$G84*$H84*(1+$K84)^MAX(ROUNDUP(IFERROR(DATEDIF($I66-1,CB$15+1,"m"),)/12,)-1,)*Index!BX$23*(CB$15&gt;$I84)*(1-CB$12)</f>
        <v>0</v>
      </c>
      <c r="CC84" s="747">
        <f>$G84*$H84*(1+$K84)^MAX(ROUNDUP(IFERROR(DATEDIF($I66-1,CC$15+1,"m"),)/12,)-1,)*Index!BY$23*(CC$15&gt;$I84)*(1-CC$12)</f>
        <v>0</v>
      </c>
      <c r="CD84" s="747">
        <f>$G84*$H84*(1+$K84)^MAX(ROUNDUP(IFERROR(DATEDIF($I66-1,CD$15+1,"m"),)/12,)-1,)*Index!BZ$23*(CD$15&gt;$I84)*(1-CD$12)</f>
        <v>0</v>
      </c>
      <c r="CE84" s="747">
        <f>$G84*$H84*(1+$K84)^MAX(ROUNDUP(IFERROR(DATEDIF($I66-1,CE$15+1,"m"),)/12,)-1,)*Index!CA$23*(CE$15&gt;$I84)*(1-CE$12)</f>
        <v>0</v>
      </c>
      <c r="CF84" s="747">
        <f>$G84*$H84*(1+$K84)^MAX(ROUNDUP(IFERROR(DATEDIF($I66-1,CF$15+1,"m"),)/12,)-1,)*Index!CB$23*(CF$15&gt;$I84)*(1-CF$12)</f>
        <v>0</v>
      </c>
      <c r="CG84" s="747">
        <f>$G84*$H84*(1+$K84)^MAX(ROUNDUP(IFERROR(DATEDIF($I66-1,CG$15+1,"m"),)/12,)-1,)*Index!CC$23*(CG$15&gt;$I84)*(1-CG$12)</f>
        <v>0</v>
      </c>
      <c r="CH84" s="747">
        <f>$G84*$H84*(1+$K84)^MAX(ROUNDUP(IFERROR(DATEDIF($I66-1,CH$15+1,"m"),)/12,)-1,)*Index!CD$23*(CH$15&gt;$I84)*(1-CH$12)</f>
        <v>0</v>
      </c>
      <c r="CI84" s="747">
        <f>$G84*$H84*(1+$K84)^MAX(ROUNDUP(IFERROR(DATEDIF($I66-1,CI$15+1,"m"),)/12,)-1,)*Index!CE$23*(CI$15&gt;$I84)*(1-CI$12)</f>
        <v>0</v>
      </c>
      <c r="CJ84" s="747">
        <f>$G84*$H84*(1+$K84)^MAX(ROUNDUP(IFERROR(DATEDIF($I66-1,CJ$15+1,"m"),)/12,)-1,)*Index!CF$23*(CJ$15&gt;$I84)*(1-CJ$12)</f>
        <v>0</v>
      </c>
      <c r="CK84" s="747">
        <f>$G84*$H84*(1+$K84)^MAX(ROUNDUP(IFERROR(DATEDIF($I66-1,CK$15+1,"m"),)/12,)-1,)*Index!CG$23*(CK$15&gt;$I84)*(1-CK$12)</f>
        <v>0</v>
      </c>
      <c r="CL84" s="747">
        <f>$G84*$H84*(1+$K84)^MAX(ROUNDUP(IFERROR(DATEDIF($I66-1,CL$15+1,"m"),)/12,)-1,)*Index!CH$23*(CL$15&gt;$I84)*(1-CL$12)</f>
        <v>0</v>
      </c>
      <c r="CM84" s="747">
        <f>$G84*$H84*(1+$K84)^MAX(ROUNDUP(IFERROR(DATEDIF($I66-1,CM$15+1,"m"),)/12,)-1,)*Index!CI$23*(CM$15&gt;$I84)*(1-CM$12)</f>
        <v>0</v>
      </c>
      <c r="CN84" s="747">
        <f>$G84*$H84*(1+$K84)^MAX(ROUNDUP(IFERROR(DATEDIF($I66-1,CN$15+1,"m"),)/12,)-1,)*Index!CJ$23*(CN$15&gt;$I84)*(1-CN$12)</f>
        <v>0</v>
      </c>
      <c r="CO84" s="747">
        <f>$G84*$H84*(1+$K84)^MAX(ROUNDUP(IFERROR(DATEDIF($I66-1,CO$15+1,"m"),)/12,)-1,)*Index!CK$23*(CO$15&gt;$I84)*(1-CO$12)</f>
        <v>0</v>
      </c>
      <c r="CP84" s="747">
        <f>$G84*$H84*(1+$K84)^MAX(ROUNDUP(IFERROR(DATEDIF($I66-1,CP$15+1,"m"),)/12,)-1,)*Index!CL$23*(CP$15&gt;$I84)*(1-CP$12)</f>
        <v>0</v>
      </c>
      <c r="CQ84" s="747">
        <f>$G84*$H84*(1+$K84)^MAX(ROUNDUP(IFERROR(DATEDIF($I66-1,CQ$15+1,"m"),)/12,)-1,)*Index!CM$23*(CQ$15&gt;$I84)*(1-CQ$12)</f>
        <v>0</v>
      </c>
      <c r="CR84" s="747">
        <f>$G84*$H84*(1+$K84)^MAX(ROUNDUP(IFERROR(DATEDIF($I66-1,CR$15+1,"m"),)/12,)-1,)*Index!CN$23*(CR$15&gt;$I84)*(1-CR$12)</f>
        <v>0</v>
      </c>
      <c r="CS84" s="747">
        <f>$G84*$H84*(1+$K84)^MAX(ROUNDUP(IFERROR(DATEDIF($I66-1,CS$15+1,"m"),)/12,)-1,)*Index!CO$23*(CS$15&gt;$I84)*(1-CS$12)</f>
        <v>0</v>
      </c>
      <c r="CT84" s="747">
        <f>$G84*$H84*(1+$K84)^MAX(ROUNDUP(IFERROR(DATEDIF($I66-1,CT$15+1,"m"),)/12,)-1,)*Index!CP$23*(CT$15&gt;$I84)*(1-CT$12)</f>
        <v>0</v>
      </c>
      <c r="CU84" s="747">
        <f>$G84*$H84*(1+$K84)^MAX(ROUNDUP(IFERROR(DATEDIF($I66-1,CU$15+1,"m"),)/12,)-1,)*Index!CQ$23*(CU$15&gt;$I84)*(1-CU$12)</f>
        <v>0</v>
      </c>
      <c r="CV84" s="747">
        <f>$G84*$H84*(1+$K84)^MAX(ROUNDUP(IFERROR(DATEDIF($I66-1,CV$15+1,"m"),)/12,)-1,)*Index!CR$23*(CV$15&gt;$I84)*(1-CV$12)</f>
        <v>0</v>
      </c>
      <c r="CW84" s="747">
        <f>$G84*$H84*(1+$K84)^MAX(ROUNDUP(IFERROR(DATEDIF($I66-1,CW$15+1,"m"),)/12,)-1,)*Index!CS$23*(CW$15&gt;$I84)*(1-CW$12)</f>
        <v>0</v>
      </c>
      <c r="CX84" s="747">
        <f>$G84*$H84*(1+$K84)^MAX(ROUNDUP(IFERROR(DATEDIF($I66-1,CX$15+1,"m"),)/12,)-1,)*Index!CT$23*(CX$15&gt;$I84)*(1-CX$12)</f>
        <v>0</v>
      </c>
      <c r="CY84" s="747">
        <f>$G84*$H84*(1+$K84)^MAX(ROUNDUP(IFERROR(DATEDIF($I66-1,CY$15+1,"m"),)/12,)-1,)*Index!CU$23*(CY$15&gt;$I84)*(1-CY$12)</f>
        <v>0</v>
      </c>
      <c r="CZ84" s="747">
        <f>$G84*$H84*(1+$K84)^MAX(ROUNDUP(IFERROR(DATEDIF($I66-1,CZ$15+1,"m"),)/12,)-1,)*Index!CV$23*(CZ$15&gt;$I84)*(1-CZ$12)</f>
        <v>0</v>
      </c>
      <c r="DA84" s="747">
        <f>$G84*$H84*(1+$K84)^MAX(ROUNDUP(IFERROR(DATEDIF($I66-1,DA$15+1,"m"),)/12,)-1,)*Index!CW$23*(DA$15&gt;$I84)*(1-DA$12)</f>
        <v>0</v>
      </c>
      <c r="DB84" s="747">
        <f>$G84*$H84*(1+$K84)^MAX(ROUNDUP(IFERROR(DATEDIF($I66-1,DB$15+1,"m"),)/12,)-1,)*Index!CX$23*(DB$15&gt;$I84)*(1-DB$12)</f>
        <v>0</v>
      </c>
      <c r="DC84" s="747">
        <f>$G84*$H84*(1+$K84)^MAX(ROUNDUP(IFERROR(DATEDIF($I66-1,DC$15+1,"m"),)/12,)-1,)*Index!CY$23*(DC$15&gt;$I84)*(1-DC$12)</f>
        <v>0</v>
      </c>
      <c r="DD84" s="747">
        <f>$G84*$H84*(1+$K84)^MAX(ROUNDUP(IFERROR(DATEDIF($I66-1,DD$15+1,"m"),)/12,)-1,)*Index!CZ$23*(DD$15&gt;$I84)*(1-DD$12)</f>
        <v>0</v>
      </c>
      <c r="DE84" s="747">
        <f>$G84*$H84*(1+$K84)^MAX(ROUNDUP(IFERROR(DATEDIF($I66-1,DE$15+1,"m"),)/12,)-1,)*Index!DA$23*(DE$15&gt;$I84)*(1-DE$12)</f>
        <v>0</v>
      </c>
      <c r="DF84" s="747">
        <f>$G84*$H84*(1+$K84)^MAX(ROUNDUP(IFERROR(DATEDIF($I66-1,DF$15+1,"m"),)/12,)-1,)*Index!DB$23*(DF$15&gt;$I84)*(1-DF$12)</f>
        <v>0</v>
      </c>
      <c r="DG84" s="747">
        <f>$G84*$H84*(1+$K84)^MAX(ROUNDUP(IFERROR(DATEDIF($I66-1,DG$15+1,"m"),)/12,)-1,)*Index!DC$23*(DG$15&gt;$I84)*(1-DG$12)</f>
        <v>0</v>
      </c>
      <c r="DH84" s="747">
        <f>$G84*$H84*(1+$K84)^MAX(ROUNDUP(IFERROR(DATEDIF($I66-1,DH$15+1,"m"),)/12,)-1,)*Index!DD$23*(DH$15&gt;$I84)*(1-DH$12)</f>
        <v>0</v>
      </c>
      <c r="DI84" s="747">
        <f>$G84*$H84*(1+$K84)^MAX(ROUNDUP(IFERROR(DATEDIF($I66-1,DI$15+1,"m"),)/12,)-1,)*Index!DE$23*(DI$15&gt;$I84)*(1-DI$12)</f>
        <v>0</v>
      </c>
      <c r="DJ84" s="747">
        <f>$G84*$H84*(1+$K84)^MAX(ROUNDUP(IFERROR(DATEDIF($I66-1,DJ$15+1,"m"),)/12,)-1,)*Index!DF$23*(DJ$15&gt;$I84)*(1-DJ$12)</f>
        <v>0</v>
      </c>
      <c r="DK84" s="747">
        <f>$G84*$H84*(1+$K84)^MAX(ROUNDUP(IFERROR(DATEDIF($I66-1,DK$15+1,"m"),)/12,)-1,)*Index!DG$23*(DK$15&gt;$I84)*(1-DK$12)</f>
        <v>0</v>
      </c>
      <c r="DL84" s="747">
        <f>$G84*$H84*(1+$K84)^MAX(ROUNDUP(IFERROR(DATEDIF($I66-1,DL$15+1,"m"),)/12,)-1,)*Index!DH$23*(DL$15&gt;$I84)*(1-DL$12)</f>
        <v>0</v>
      </c>
      <c r="DM84" s="747">
        <f>$G84*$H84*(1+$K84)^MAX(ROUNDUP(IFERROR(DATEDIF($I66-1,DM$15+1,"m"),)/12,)-1,)*Index!DI$23*(DM$15&gt;$I84)*(1-DM$12)</f>
        <v>0</v>
      </c>
      <c r="DN84" s="747">
        <f>$G84*$H84*(1+$K84)^MAX(ROUNDUP(IFERROR(DATEDIF($I66-1,DN$15+1,"m"),)/12,)-1,)*Index!DJ$23*(DN$15&gt;$I84)*(1-DN$12)</f>
        <v>0</v>
      </c>
      <c r="DO84" s="747">
        <f>$G84*$H84*(1+$K84)^MAX(ROUNDUP(IFERROR(DATEDIF($I66-1,DO$15+1,"m"),)/12,)-1,)*Index!DK$23*(DO$15&gt;$I84)*(1-DO$12)</f>
        <v>0</v>
      </c>
      <c r="DP84" s="747">
        <f>$G84*$H84*(1+$K84)^MAX(ROUNDUP(IFERROR(DATEDIF($I66-1,DP$15+1,"m"),)/12,)-1,)*Index!DL$23*(DP$15&gt;$I84)*(1-DP$12)</f>
        <v>0</v>
      </c>
      <c r="DQ84" s="747">
        <f>$G84*$H84*(1+$K84)^MAX(ROUNDUP(IFERROR(DATEDIF($I66-1,DQ$15+1,"m"),)/12,)-1,)*Index!DM$23*(DQ$15&gt;$I84)*(1-DQ$12)</f>
        <v>0</v>
      </c>
      <c r="DR84" s="747">
        <f>$G84*$H84*(1+$K84)^MAX(ROUNDUP(IFERROR(DATEDIF($I66-1,DR$15+1,"m"),)/12,)-1,)*Index!DN$23*(DR$15&gt;$I84)*(1-DR$12)</f>
        <v>0</v>
      </c>
      <c r="DS84" s="747">
        <f>$G84*$H84*(1+$K84)^MAX(ROUNDUP(IFERROR(DATEDIF($I66-1,DS$15+1,"m"),)/12,)-1,)*Index!DO$23*(DS$15&gt;$I84)*(1-DS$12)</f>
        <v>0</v>
      </c>
      <c r="DT84" s="747">
        <f>$G84*$H84*(1+$K84)^MAX(ROUNDUP(IFERROR(DATEDIF($I66-1,DT$15+1,"m"),)/12,)-1,)*Index!DP$23*(DT$15&gt;$I84)*(1-DT$12)</f>
        <v>0</v>
      </c>
      <c r="DU84" s="747">
        <f>$G84*$H84*(1+$K84)^MAX(ROUNDUP(IFERROR(DATEDIF($I66-1,DU$15+1,"m"),)/12,)-1,)*Index!DQ$23*(DU$15&gt;$I84)*(1-DU$12)</f>
        <v>0</v>
      </c>
      <c r="DV84" s="747">
        <f>$G84*$H84*(1+$K84)^MAX(ROUNDUP(IFERROR(DATEDIF($I66-1,DV$15+1,"m"),)/12,)-1,)*Index!DR$23*(DV$15&gt;$I84)*(1-DV$12)</f>
        <v>0</v>
      </c>
      <c r="DW84" s="747">
        <f>$G84*$H84*(1+$K84)^MAX(ROUNDUP(IFERROR(DATEDIF($I66-1,DW$15+1,"m"),)/12,)-1,)*Index!DS$23*(DW$15&gt;$I84)*(1-DW$12)</f>
        <v>0</v>
      </c>
      <c r="DX84" s="747">
        <f>$G84*$H84*(1+$K84)^MAX(ROUNDUP(IFERROR(DATEDIF($I66-1,DX$15+1,"m"),)/12,)-1,)*Index!DT$23*(DX$15&gt;$I84)*(1-DX$12)</f>
        <v>0</v>
      </c>
      <c r="DY84" s="747">
        <f>$G84*$H84*(1+$K84)^MAX(ROUNDUP(IFERROR(DATEDIF($I66-1,DY$15+1,"m"),)/12,)-1,)*Index!DU$23*(DY$15&gt;$I84)*(1-DY$12)</f>
        <v>0</v>
      </c>
      <c r="DZ84" s="747">
        <f>$G84*$H84*(1+$K84)^MAX(ROUNDUP(IFERROR(DATEDIF($I66-1,DZ$15+1,"m"),)/12,)-1,)*Index!DV$23*(DZ$15&gt;$I84)*(1-DZ$12)</f>
        <v>0</v>
      </c>
      <c r="EA84" s="747">
        <f>$G84*$H84*(1+$K84)^MAX(ROUNDUP(IFERROR(DATEDIF($I66-1,EA$15+1,"m"),)/12,)-1,)*Index!DW$23*(EA$15&gt;$I84)*(1-EA$12)</f>
        <v>0</v>
      </c>
      <c r="EB84" s="747">
        <f>$G84*$H84*(1+$K84)^MAX(ROUNDUP(IFERROR(DATEDIF($I66-1,EB$15+1,"m"),)/12,)-1,)*Index!DX$23*(EB$15&gt;$I84)*(1-EB$12)</f>
        <v>0</v>
      </c>
      <c r="EC84" s="747">
        <f>$G84*$H84*(1+$K84)^MAX(ROUNDUP(IFERROR(DATEDIF($I66-1,EC$15+1,"m"),)/12,)-1,)*Index!DY$23*(EC$15&gt;$I84)*(1-EC$12)</f>
        <v>0</v>
      </c>
      <c r="ED84" s="747">
        <f>$G84*$H84*(1+$K84)^MAX(ROUNDUP(IFERROR(DATEDIF($I66-1,ED$15+1,"m"),)/12,)-1,)*Index!DZ$23*(ED$15&gt;$I84)*(1-ED$12)</f>
        <v>0</v>
      </c>
      <c r="EE84" s="747">
        <f>$G84*$H84*(1+$K84)^MAX(ROUNDUP(IFERROR(DATEDIF($I66-1,EE$15+1,"m"),)/12,)-1,)*Index!EA$23*(EE$15&gt;$I84)*(1-EE$12)</f>
        <v>0</v>
      </c>
      <c r="EF84" s="747">
        <f>$G84*$H84*(1+$K84)^MAX(ROUNDUP(IFERROR(DATEDIF($I66-1,EF$15+1,"m"),)/12,)-1,)*Index!EB$23*(EF$15&gt;$I84)*(1-EF$12)</f>
        <v>0</v>
      </c>
      <c r="EG84" s="747">
        <f>$G84*$H84*(1+$K84)^MAX(ROUNDUP(IFERROR(DATEDIF($I66-1,EG$15+1,"m"),)/12,)-1,)*Index!EC$23*(EG$15&gt;$I84)*(1-EG$12)</f>
        <v>1295.5065924379144</v>
      </c>
      <c r="EH84" s="747">
        <f>$G84*$H84*(1+$K84)^MAX(ROUNDUP(IFERROR(DATEDIF($I66-1,EH$15+1,"m"),)/12,)-1,)*Index!ED$23*(EH$15&gt;$I84)*(1-EH$12)</f>
        <v>1295.5065924379144</v>
      </c>
      <c r="EI84" s="747">
        <f>$G84*$H84*(1+$K84)^MAX(ROUNDUP(IFERROR(DATEDIF($I66-1,EI$15+1,"m"),)/12,)-1,)*Index!EE$23*(EI$15&gt;$I84)*(1-EI$12)</f>
        <v>1295.5065924379144</v>
      </c>
      <c r="EJ84" s="747">
        <f>$G84*$H84*(1+$K84)^MAX(ROUNDUP(IFERROR(DATEDIF($I66-1,EJ$15+1,"m"),)/12,)-1,)*Index!EF$23*(EJ$15&gt;$I84)*(1-EJ$12)</f>
        <v>1295.5065924379144</v>
      </c>
      <c r="EK84" s="747">
        <f>$G84*$H84*(1+$K84)^MAX(ROUNDUP(IFERROR(DATEDIF($I66-1,EK$15+1,"m"),)/12,)-1,)*Index!EG$23*(EK$15&gt;$I84)*(1-EK$12)</f>
        <v>1295.5065924379144</v>
      </c>
      <c r="EL84" s="747">
        <f>$G84*$H84*(1+$K84)^MAX(ROUNDUP(IFERROR(DATEDIF($I66-1,EL$15+1,"m"),)/12,)-1,)*Index!EH$23*(EL$15&gt;$I84)*(1-EL$12)</f>
        <v>1295.5065924379144</v>
      </c>
      <c r="EM84" s="747">
        <f>$G84*$H84*(1+$K84)^MAX(ROUNDUP(IFERROR(DATEDIF($I66-1,EM$15+1,"m"),)/12,)-1,)*Index!EI$23*(EM$15&gt;$I84)*(1-EM$12)</f>
        <v>1327.8942572488622</v>
      </c>
      <c r="EN84" s="747">
        <f>$G84*$H84*(1+$K84)^MAX(ROUNDUP(IFERROR(DATEDIF($I66-1,EN$15+1,"m"),)/12,)-1,)*Index!EJ$23*(EN$15&gt;$I84)*(1-EN$12)</f>
        <v>1327.8942572488622</v>
      </c>
      <c r="EO84" s="747">
        <f>$G84*$H84*(1+$K84)^MAX(ROUNDUP(IFERROR(DATEDIF($I66-1,EO$15+1,"m"),)/12,)-1,)*Index!EK$23*(EO$15&gt;$I84)*(1-EO$12)</f>
        <v>1327.8942572488622</v>
      </c>
      <c r="EP84" s="747">
        <f>$G84*$H84*(1+$K84)^MAX(ROUNDUP(IFERROR(DATEDIF($I66-1,EP$15+1,"m"),)/12,)-1,)*Index!EL$23*(EP$15&gt;$I84)*(1-EP$12)</f>
        <v>1327.8942572488622</v>
      </c>
      <c r="EQ84" s="747">
        <f>$G84*$H84*(1+$K84)^MAX(ROUNDUP(IFERROR(DATEDIF($I66-1,EQ$15+1,"m"),)/12,)-1,)*Index!EM$23*(EQ$15&gt;$I84)*(1-EQ$12)</f>
        <v>1327.8942572488622</v>
      </c>
      <c r="ER84" s="747">
        <f>$G84*$H84*(1+$K84)^MAX(ROUNDUP(IFERROR(DATEDIF($I66-1,ER$15+1,"m"),)/12,)-1,)*Index!EN$23*(ER$15&gt;$I84)*(1-ER$12)</f>
        <v>1327.8942572488622</v>
      </c>
      <c r="ES84" s="747">
        <f>$G84*$H84*(1+$K84)^MAX(ROUNDUP(IFERROR(DATEDIF($I66-1,ES$15+1,"m"),)/12,)-1,)*Index!EO$23*(ES$15&gt;$I84)*(1-ES$12)</f>
        <v>0</v>
      </c>
      <c r="ET84" s="747">
        <f>$G84*$H84*(1+$K84)^MAX(ROUNDUP(IFERROR(DATEDIF($I66-1,ET$15+1,"m"),)/12,)-1,)*Index!EP$23*(ET$15&gt;$I84)*(1-ET$12)</f>
        <v>0</v>
      </c>
      <c r="EU84" s="747">
        <f>$G84*$H84*(1+$K84)^MAX(ROUNDUP(IFERROR(DATEDIF($I66-1,EU$15+1,"m"),)/12,)-1,)*Index!EQ$23*(EU$15&gt;$I84)*(1-EU$12)</f>
        <v>0</v>
      </c>
    </row>
    <row r="85" spans="1:151" ht="11.25" customHeight="1">
      <c r="C85" s="828"/>
      <c r="D85" s="743">
        <f t="shared" si="45"/>
        <v>1</v>
      </c>
      <c r="E85" s="704" t="str">
        <f t="shared" si="45"/>
        <v>공실</v>
      </c>
      <c r="F85" s="704" t="str">
        <f t="shared" si="45"/>
        <v>근린생활시설</v>
      </c>
      <c r="G85" s="752">
        <f t="shared" si="41"/>
        <v>55.321485107997873</v>
      </c>
      <c r="H85" s="744">
        <f t="shared" si="45"/>
        <v>141.01000000000002</v>
      </c>
      <c r="I85" s="745">
        <f t="shared" si="42"/>
        <v>49979</v>
      </c>
      <c r="J85" s="745"/>
      <c r="K85" s="754">
        <f t="shared" si="43"/>
        <v>2.5000000000000001E-2</v>
      </c>
      <c r="L85" s="748"/>
      <c r="M85" s="749"/>
      <c r="N85" s="747">
        <f t="shared" si="44"/>
        <v>119829.47119982891</v>
      </c>
      <c r="O85" s="733"/>
      <c r="P85" s="747">
        <f>$G85*$H85*(1+$K85)^MAX(ROUNDUP(IFERROR(DATEDIF($I67-1,P$15+1,"m"),)/12,)-1,)*Index!L$23*(P$15&gt;$I85)*(1-P$12)</f>
        <v>0</v>
      </c>
      <c r="Q85" s="747">
        <f>$G85*$H85*(1+$K85)^MAX(ROUNDUP(IFERROR(DATEDIF($I67-1,Q$15+1,"m"),)/12,)-1,)*Index!M$23*(Q$15&gt;$I85)*(1-Q$12)</f>
        <v>0</v>
      </c>
      <c r="R85" s="747">
        <f>$G85*$H85*(1+$K85)^MAX(ROUNDUP(IFERROR(DATEDIF($I67-1,R$15+1,"m"),)/12,)-1,)*Index!N$23*(R$15&gt;$I85)*(1-R$12)</f>
        <v>0</v>
      </c>
      <c r="S85" s="747">
        <f>$G85*$H85*(1+$K85)^MAX(ROUNDUP(IFERROR(DATEDIF($I67-1,S$15+1,"m"),)/12,)-1,)*Index!O$23*(S$15&gt;$I85)*(1-S$12)</f>
        <v>0</v>
      </c>
      <c r="T85" s="747">
        <f>$G85*$H85*(1+$K85)^MAX(ROUNDUP(IFERROR(DATEDIF($I67-1,T$15+1,"m"),)/12,)-1,)*Index!P$23*(T$15&gt;$I85)*(1-T$12)</f>
        <v>0</v>
      </c>
      <c r="U85" s="747">
        <f>$G85*$H85*(1+$K85)^MAX(ROUNDUP(IFERROR(DATEDIF($I67-1,U$15+1,"m"),)/12,)-1,)*Index!Q$23*(U$15&gt;$I85)*(1-U$12)</f>
        <v>0</v>
      </c>
      <c r="V85" s="747">
        <f>$G85*$H85*(1+$K85)^MAX(ROUNDUP(IFERROR(DATEDIF($I67-1,V$15+1,"m"),)/12,)-1,)*Index!R$23*(V$15&gt;$I85)*(1-V$12)</f>
        <v>0</v>
      </c>
      <c r="W85" s="747">
        <f>$G85*$H85*(1+$K85)^MAX(ROUNDUP(IFERROR(DATEDIF($I67-1,W$15+1,"m"),)/12,)-1,)*Index!S$23*(W$15&gt;$I85)*(1-W$12)</f>
        <v>0</v>
      </c>
      <c r="X85" s="747">
        <f>$G85*$H85*(1+$K85)^MAX(ROUNDUP(IFERROR(DATEDIF($I67-1,X$15+1,"m"),)/12,)-1,)*Index!T$23*(X$15&gt;$I85)*(1-X$12)</f>
        <v>0</v>
      </c>
      <c r="Y85" s="747">
        <f>$G85*$H85*(1+$K85)^MAX(ROUNDUP(IFERROR(DATEDIF($I67-1,Y$15+1,"m"),)/12,)-1,)*Index!U$23*(Y$15&gt;$I85)*(1-Y$12)</f>
        <v>0</v>
      </c>
      <c r="Z85" s="747">
        <f>$G85*$H85*(1+$K85)^MAX(ROUNDUP(IFERROR(DATEDIF($I67-1,Z$15+1,"m"),)/12,)-1,)*Index!V$23*(Z$15&gt;$I85)*(1-Z$12)</f>
        <v>0</v>
      </c>
      <c r="AA85" s="747">
        <f>$G85*$H85*(1+$K85)^MAX(ROUNDUP(IFERROR(DATEDIF($I67-1,AA$15+1,"m"),)/12,)-1,)*Index!W$23*(AA$15&gt;$I85)*(1-AA$12)</f>
        <v>0</v>
      </c>
      <c r="AB85" s="747">
        <f>$G85*$H85*(1+$K85)^MAX(ROUNDUP(IFERROR(DATEDIF($I67-1,AB$15+1,"m"),)/12,)-1,)*Index!X$23*(AB$15&gt;$I85)*(1-AB$12)</f>
        <v>0</v>
      </c>
      <c r="AC85" s="747">
        <f>$G85*$H85*(1+$K85)^MAX(ROUNDUP(IFERROR(DATEDIF($I67-1,AC$15+1,"m"),)/12,)-1,)*Index!Y$23*(AC$15&gt;$I85)*(1-AC$12)</f>
        <v>0</v>
      </c>
      <c r="AD85" s="747">
        <f>$G85*$H85*(1+$K85)^MAX(ROUNDUP(IFERROR(DATEDIF($I67-1,AD$15+1,"m"),)/12,)-1,)*Index!Z$23*(AD$15&gt;$I85)*(1-AD$12)</f>
        <v>0</v>
      </c>
      <c r="AE85" s="747">
        <f>$G85*$H85*(1+$K85)^MAX(ROUNDUP(IFERROR(DATEDIF($I67-1,AE$15+1,"m"),)/12,)-1,)*Index!AA$23*(AE$15&gt;$I85)*(1-AE$12)</f>
        <v>0</v>
      </c>
      <c r="AF85" s="747">
        <f>$G85*$H85*(1+$K85)^MAX(ROUNDUP(IFERROR(DATEDIF($I67-1,AF$15+1,"m"),)/12,)-1,)*Index!AB$23*(AF$15&gt;$I85)*(1-AF$12)</f>
        <v>0</v>
      </c>
      <c r="AG85" s="747">
        <f>$G85*$H85*(1+$K85)^MAX(ROUNDUP(IFERROR(DATEDIF($I67-1,AG$15+1,"m"),)/12,)-1,)*Index!AC$23*(AG$15&gt;$I85)*(1-AG$12)</f>
        <v>0</v>
      </c>
      <c r="AH85" s="747">
        <f>$G85*$H85*(1+$K85)^MAX(ROUNDUP(IFERROR(DATEDIF($I67-1,AH$15+1,"m"),)/12,)-1,)*Index!AD$23*(AH$15&gt;$I85)*(1-AH$12)</f>
        <v>0</v>
      </c>
      <c r="AI85" s="747">
        <f>$G85*$H85*(1+$K85)^MAX(ROUNDUP(IFERROR(DATEDIF($I67-1,AI$15+1,"m"),)/12,)-1,)*Index!AE$23*(AI$15&gt;$I85)*(1-AI$12)</f>
        <v>0</v>
      </c>
      <c r="AJ85" s="747">
        <f>$G85*$H85*(1+$K85)^MAX(ROUNDUP(IFERROR(DATEDIF($I67-1,AJ$15+1,"m"),)/12,)-1,)*Index!AF$23*(AJ$15&gt;$I85)*(1-AJ$12)</f>
        <v>0</v>
      </c>
      <c r="AK85" s="747">
        <f>$G85*$H85*(1+$K85)^MAX(ROUNDUP(IFERROR(DATEDIF($I67-1,AK$15+1,"m"),)/12,)-1,)*Index!AG$23*(AK$15&gt;$I85)*(1-AK$12)</f>
        <v>0</v>
      </c>
      <c r="AL85" s="747">
        <f>$G85*$H85*(1+$K85)^MAX(ROUNDUP(IFERROR(DATEDIF($I67-1,AL$15+1,"m"),)/12,)-1,)*Index!AH$23*(AL$15&gt;$I85)*(1-AL$12)</f>
        <v>0</v>
      </c>
      <c r="AM85" s="747">
        <f>$G85*$H85*(1+$K85)^MAX(ROUNDUP(IFERROR(DATEDIF($I67-1,AM$15+1,"m"),)/12,)-1,)*Index!AI$23*(AM$15&gt;$I85)*(1-AM$12)</f>
        <v>0</v>
      </c>
      <c r="AN85" s="747">
        <f>$G85*$H85*(1+$K85)^MAX(ROUNDUP(IFERROR(DATEDIF($I67-1,AN$15+1,"m"),)/12,)-1,)*Index!AJ$23*(AN$15&gt;$I85)*(1-AN$12)</f>
        <v>0</v>
      </c>
      <c r="AO85" s="747">
        <f>$G85*$H85*(1+$K85)^MAX(ROUNDUP(IFERROR(DATEDIF($I67-1,AO$15+1,"m"),)/12,)-1,)*Index!AK$23*(AO$15&gt;$I85)*(1-AO$12)</f>
        <v>0</v>
      </c>
      <c r="AP85" s="747">
        <f>$G85*$H85*(1+$K85)^MAX(ROUNDUP(IFERROR(DATEDIF($I67-1,AP$15+1,"m"),)/12,)-1,)*Index!AL$23*(AP$15&gt;$I85)*(1-AP$12)</f>
        <v>0</v>
      </c>
      <c r="AQ85" s="747">
        <f>$G85*$H85*(1+$K85)^MAX(ROUNDUP(IFERROR(DATEDIF($I67-1,AQ$15+1,"m"),)/12,)-1,)*Index!AM$23*(AQ$15&gt;$I85)*(1-AQ$12)</f>
        <v>0</v>
      </c>
      <c r="AR85" s="747">
        <f>$G85*$H85*(1+$K85)^MAX(ROUNDUP(IFERROR(DATEDIF($I67-1,AR$15+1,"m"),)/12,)-1,)*Index!AN$23*(AR$15&gt;$I85)*(1-AR$12)</f>
        <v>0</v>
      </c>
      <c r="AS85" s="747">
        <f>$G85*$H85*(1+$K85)^MAX(ROUNDUP(IFERROR(DATEDIF($I67-1,AS$15+1,"m"),)/12,)-1,)*Index!AO$23*(AS$15&gt;$I85)*(1-AS$12)</f>
        <v>0</v>
      </c>
      <c r="AT85" s="747">
        <f>$G85*$H85*(1+$K85)^MAX(ROUNDUP(IFERROR(DATEDIF($I67-1,AT$15+1,"m"),)/12,)-1,)*Index!AP$23*(AT$15&gt;$I85)*(1-AT$12)</f>
        <v>0</v>
      </c>
      <c r="AU85" s="747">
        <f>$G85*$H85*(1+$K85)^MAX(ROUNDUP(IFERROR(DATEDIF($I67-1,AU$15+1,"m"),)/12,)-1,)*Index!AQ$23*(AU$15&gt;$I85)*(1-AU$12)</f>
        <v>0</v>
      </c>
      <c r="AV85" s="747">
        <f>$G85*$H85*(1+$K85)^MAX(ROUNDUP(IFERROR(DATEDIF($I67-1,AV$15+1,"m"),)/12,)-1,)*Index!AR$23*(AV$15&gt;$I85)*(1-AV$12)</f>
        <v>0</v>
      </c>
      <c r="AW85" s="747">
        <f>$G85*$H85*(1+$K85)^MAX(ROUNDUP(IFERROR(DATEDIF($I67-1,AW$15+1,"m"),)/12,)-1,)*Index!AS$23*(AW$15&gt;$I85)*(1-AW$12)</f>
        <v>0</v>
      </c>
      <c r="AX85" s="747">
        <f>$G85*$H85*(1+$K85)^MAX(ROUNDUP(IFERROR(DATEDIF($I67-1,AX$15+1,"m"),)/12,)-1,)*Index!AT$23*(AX$15&gt;$I85)*(1-AX$12)</f>
        <v>0</v>
      </c>
      <c r="AY85" s="747">
        <f>$G85*$H85*(1+$K85)^MAX(ROUNDUP(IFERROR(DATEDIF($I67-1,AY$15+1,"m"),)/12,)-1,)*Index!AU$23*(AY$15&gt;$I85)*(1-AY$12)</f>
        <v>0</v>
      </c>
      <c r="AZ85" s="747">
        <f>$G85*$H85*(1+$K85)^MAX(ROUNDUP(IFERROR(DATEDIF($I67-1,AZ$15+1,"m"),)/12,)-1,)*Index!AV$23*(AZ$15&gt;$I85)*(1-AZ$12)</f>
        <v>0</v>
      </c>
      <c r="BA85" s="747">
        <f>$G85*$H85*(1+$K85)^MAX(ROUNDUP(IFERROR(DATEDIF($I67-1,BA$15+1,"m"),)/12,)-1,)*Index!AW$23*(BA$15&gt;$I85)*(1-BA$12)</f>
        <v>0</v>
      </c>
      <c r="BB85" s="747">
        <f>$G85*$H85*(1+$K85)^MAX(ROUNDUP(IFERROR(DATEDIF($I67-1,BB$15+1,"m"),)/12,)-1,)*Index!AX$23*(BB$15&gt;$I85)*(1-BB$12)</f>
        <v>0</v>
      </c>
      <c r="BC85" s="747">
        <f>$G85*$H85*(1+$K85)^MAX(ROUNDUP(IFERROR(DATEDIF($I67-1,BC$15+1,"m"),)/12,)-1,)*Index!AY$23*(BC$15&gt;$I85)*(1-BC$12)</f>
        <v>0</v>
      </c>
      <c r="BD85" s="747">
        <f>$G85*$H85*(1+$K85)^MAX(ROUNDUP(IFERROR(DATEDIF($I67-1,BD$15+1,"m"),)/12,)-1,)*Index!AZ$23*(BD$15&gt;$I85)*(1-BD$12)</f>
        <v>0</v>
      </c>
      <c r="BE85" s="747">
        <f>$G85*$H85*(1+$K85)^MAX(ROUNDUP(IFERROR(DATEDIF($I67-1,BE$15+1,"m"),)/12,)-1,)*Index!BA$23*(BE$15&gt;$I85)*(1-BE$12)</f>
        <v>0</v>
      </c>
      <c r="BF85" s="747">
        <f>$G85*$H85*(1+$K85)^MAX(ROUNDUP(IFERROR(DATEDIF($I67-1,BF$15+1,"m"),)/12,)-1,)*Index!BB$23*(BF$15&gt;$I85)*(1-BF$12)</f>
        <v>0</v>
      </c>
      <c r="BG85" s="747">
        <f>$G85*$H85*(1+$K85)^MAX(ROUNDUP(IFERROR(DATEDIF($I67-1,BG$15+1,"m"),)/12,)-1,)*Index!BC$23*(BG$15&gt;$I85)*(1-BG$12)</f>
        <v>0</v>
      </c>
      <c r="BH85" s="747">
        <f>$G85*$H85*(1+$K85)^MAX(ROUNDUP(IFERROR(DATEDIF($I67-1,BH$15+1,"m"),)/12,)-1,)*Index!BD$23*(BH$15&gt;$I85)*(1-BH$12)</f>
        <v>0</v>
      </c>
      <c r="BI85" s="747">
        <f>$G85*$H85*(1+$K85)^MAX(ROUNDUP(IFERROR(DATEDIF($I67-1,BI$15+1,"m"),)/12,)-1,)*Index!BE$23*(BI$15&gt;$I85)*(1-BI$12)</f>
        <v>0</v>
      </c>
      <c r="BJ85" s="747">
        <f>$G85*$H85*(1+$K85)^MAX(ROUNDUP(IFERROR(DATEDIF($I67-1,BJ$15+1,"m"),)/12,)-1,)*Index!BF$23*(BJ$15&gt;$I85)*(1-BJ$12)</f>
        <v>0</v>
      </c>
      <c r="BK85" s="747">
        <f>$G85*$H85*(1+$K85)^MAX(ROUNDUP(IFERROR(DATEDIF($I67-1,BK$15+1,"m"),)/12,)-1,)*Index!BG$23*(BK$15&gt;$I85)*(1-BK$12)</f>
        <v>0</v>
      </c>
      <c r="BL85" s="747">
        <f>$G85*$H85*(1+$K85)^MAX(ROUNDUP(IFERROR(DATEDIF($I67-1,BL$15+1,"m"),)/12,)-1,)*Index!BH$23*(BL$15&gt;$I85)*(1-BL$12)</f>
        <v>0</v>
      </c>
      <c r="BM85" s="747">
        <f>$G85*$H85*(1+$K85)^MAX(ROUNDUP(IFERROR(DATEDIF($I67-1,BM$15+1,"m"),)/12,)-1,)*Index!BI$23*(BM$15&gt;$I85)*(1-BM$12)</f>
        <v>0</v>
      </c>
      <c r="BN85" s="747">
        <f>$G85*$H85*(1+$K85)^MAX(ROUNDUP(IFERROR(DATEDIF($I67-1,BN$15+1,"m"),)/12,)-1,)*Index!BJ$23*(BN$15&gt;$I85)*(1-BN$12)</f>
        <v>0</v>
      </c>
      <c r="BO85" s="747">
        <f>$G85*$H85*(1+$K85)^MAX(ROUNDUP(IFERROR(DATEDIF($I67-1,BO$15+1,"m"),)/12,)-1,)*Index!BK$23*(BO$15&gt;$I85)*(1-BO$12)</f>
        <v>0</v>
      </c>
      <c r="BP85" s="747">
        <f>$G85*$H85*(1+$K85)^MAX(ROUNDUP(IFERROR(DATEDIF($I67-1,BP$15+1,"m"),)/12,)-1,)*Index!BL$23*(BP$15&gt;$I85)*(1-BP$12)</f>
        <v>0</v>
      </c>
      <c r="BQ85" s="747">
        <f>$G85*$H85*(1+$K85)^MAX(ROUNDUP(IFERROR(DATEDIF($I67-1,BQ$15+1,"m"),)/12,)-1,)*Index!BM$23*(BQ$15&gt;$I85)*(1-BQ$12)</f>
        <v>0</v>
      </c>
      <c r="BR85" s="747">
        <f>$G85*$H85*(1+$K85)^MAX(ROUNDUP(IFERROR(DATEDIF($I67-1,BR$15+1,"m"),)/12,)-1,)*Index!BN$23*(BR$15&gt;$I85)*(1-BR$12)</f>
        <v>0</v>
      </c>
      <c r="BS85" s="747">
        <f>$G85*$H85*(1+$K85)^MAX(ROUNDUP(IFERROR(DATEDIF($I67-1,BS$15+1,"m"),)/12,)-1,)*Index!BO$23*(BS$15&gt;$I85)*(1-BS$12)</f>
        <v>0</v>
      </c>
      <c r="BT85" s="747">
        <f>$G85*$H85*(1+$K85)^MAX(ROUNDUP(IFERROR(DATEDIF($I67-1,BT$15+1,"m"),)/12,)-1,)*Index!BP$23*(BT$15&gt;$I85)*(1-BT$12)</f>
        <v>0</v>
      </c>
      <c r="BU85" s="747">
        <f>$G85*$H85*(1+$K85)^MAX(ROUNDUP(IFERROR(DATEDIF($I67-1,BU$15+1,"m"),)/12,)-1,)*Index!BQ$23*(BU$15&gt;$I85)*(1-BU$12)</f>
        <v>0</v>
      </c>
      <c r="BV85" s="747">
        <f>$G85*$H85*(1+$K85)^MAX(ROUNDUP(IFERROR(DATEDIF($I67-1,BV$15+1,"m"),)/12,)-1,)*Index!BR$23*(BV$15&gt;$I85)*(1-BV$12)</f>
        <v>0</v>
      </c>
      <c r="BW85" s="747">
        <f>$G85*$H85*(1+$K85)^MAX(ROUNDUP(IFERROR(DATEDIF($I67-1,BW$15+1,"m"),)/12,)-1,)*Index!BS$23*(BW$15&gt;$I85)*(1-BW$12)</f>
        <v>0</v>
      </c>
      <c r="BX85" s="747">
        <f>$G85*$H85*(1+$K85)^MAX(ROUNDUP(IFERROR(DATEDIF($I67-1,BX$15+1,"m"),)/12,)-1,)*Index!BT$23*(BX$15&gt;$I85)*(1-BX$12)</f>
        <v>0</v>
      </c>
      <c r="BY85" s="747">
        <f>$G85*$H85*(1+$K85)^MAX(ROUNDUP(IFERROR(DATEDIF($I67-1,BY$15+1,"m"),)/12,)-1,)*Index!BU$23*(BY$15&gt;$I85)*(1-BY$12)</f>
        <v>0</v>
      </c>
      <c r="BZ85" s="747">
        <f>$G85*$H85*(1+$K85)^MAX(ROUNDUP(IFERROR(DATEDIF($I67-1,BZ$15+1,"m"),)/12,)-1,)*Index!BV$23*(BZ$15&gt;$I85)*(1-BZ$12)</f>
        <v>0</v>
      </c>
      <c r="CA85" s="747">
        <f>$G85*$H85*(1+$K85)^MAX(ROUNDUP(IFERROR(DATEDIF($I67-1,CA$15+1,"m"),)/12,)-1,)*Index!BW$23*(CA$15&gt;$I85)*(1-CA$12)</f>
        <v>0</v>
      </c>
      <c r="CB85" s="747">
        <f>$G85*$H85*(1+$K85)^MAX(ROUNDUP(IFERROR(DATEDIF($I67-1,CB$15+1,"m"),)/12,)-1,)*Index!BX$23*(CB$15&gt;$I85)*(1-CB$12)</f>
        <v>0</v>
      </c>
      <c r="CC85" s="747">
        <f>$G85*$H85*(1+$K85)^MAX(ROUNDUP(IFERROR(DATEDIF($I67-1,CC$15+1,"m"),)/12,)-1,)*Index!BY$23*(CC$15&gt;$I85)*(1-CC$12)</f>
        <v>0</v>
      </c>
      <c r="CD85" s="747">
        <f>$G85*$H85*(1+$K85)^MAX(ROUNDUP(IFERROR(DATEDIF($I67-1,CD$15+1,"m"),)/12,)-1,)*Index!BZ$23*(CD$15&gt;$I85)*(1-CD$12)</f>
        <v>0</v>
      </c>
      <c r="CE85" s="747">
        <f>$G85*$H85*(1+$K85)^MAX(ROUNDUP(IFERROR(DATEDIF($I67-1,CE$15+1,"m"),)/12,)-1,)*Index!CA$23*(CE$15&gt;$I85)*(1-CE$12)</f>
        <v>0</v>
      </c>
      <c r="CF85" s="747">
        <f>$G85*$H85*(1+$K85)^MAX(ROUNDUP(IFERROR(DATEDIF($I67-1,CF$15+1,"m"),)/12,)-1,)*Index!CB$23*(CF$15&gt;$I85)*(1-CF$12)</f>
        <v>0</v>
      </c>
      <c r="CG85" s="747">
        <f>$G85*$H85*(1+$K85)^MAX(ROUNDUP(IFERROR(DATEDIF($I67-1,CG$15+1,"m"),)/12,)-1,)*Index!CC$23*(CG$15&gt;$I85)*(1-CG$12)</f>
        <v>0</v>
      </c>
      <c r="CH85" s="747">
        <f>$G85*$H85*(1+$K85)^MAX(ROUNDUP(IFERROR(DATEDIF($I67-1,CH$15+1,"m"),)/12,)-1,)*Index!CD$23*(CH$15&gt;$I85)*(1-CH$12)</f>
        <v>0</v>
      </c>
      <c r="CI85" s="747">
        <f>$G85*$H85*(1+$K85)^MAX(ROUNDUP(IFERROR(DATEDIF($I67-1,CI$15+1,"m"),)/12,)-1,)*Index!CE$23*(CI$15&gt;$I85)*(1-CI$12)</f>
        <v>0</v>
      </c>
      <c r="CJ85" s="747">
        <f>$G85*$H85*(1+$K85)^MAX(ROUNDUP(IFERROR(DATEDIF($I67-1,CJ$15+1,"m"),)/12,)-1,)*Index!CF$23*(CJ$15&gt;$I85)*(1-CJ$12)</f>
        <v>0</v>
      </c>
      <c r="CK85" s="747">
        <f>$G85*$H85*(1+$K85)^MAX(ROUNDUP(IFERROR(DATEDIF($I67-1,CK$15+1,"m"),)/12,)-1,)*Index!CG$23*(CK$15&gt;$I85)*(1-CK$12)</f>
        <v>0</v>
      </c>
      <c r="CL85" s="747">
        <f>$G85*$H85*(1+$K85)^MAX(ROUNDUP(IFERROR(DATEDIF($I67-1,CL$15+1,"m"),)/12,)-1,)*Index!CH$23*(CL$15&gt;$I85)*(1-CL$12)</f>
        <v>0</v>
      </c>
      <c r="CM85" s="747">
        <f>$G85*$H85*(1+$K85)^MAX(ROUNDUP(IFERROR(DATEDIF($I67-1,CM$15+1,"m"),)/12,)-1,)*Index!CI$23*(CM$15&gt;$I85)*(1-CM$12)</f>
        <v>0</v>
      </c>
      <c r="CN85" s="747">
        <f>$G85*$H85*(1+$K85)^MAX(ROUNDUP(IFERROR(DATEDIF($I67-1,CN$15+1,"m"),)/12,)-1,)*Index!CJ$23*(CN$15&gt;$I85)*(1-CN$12)</f>
        <v>0</v>
      </c>
      <c r="CO85" s="747">
        <f>$G85*$H85*(1+$K85)^MAX(ROUNDUP(IFERROR(DATEDIF($I67-1,CO$15+1,"m"),)/12,)-1,)*Index!CK$23*(CO$15&gt;$I85)*(1-CO$12)</f>
        <v>0</v>
      </c>
      <c r="CP85" s="747">
        <f>$G85*$H85*(1+$K85)^MAX(ROUNDUP(IFERROR(DATEDIF($I67-1,CP$15+1,"m"),)/12,)-1,)*Index!CL$23*(CP$15&gt;$I85)*(1-CP$12)</f>
        <v>0</v>
      </c>
      <c r="CQ85" s="747">
        <f>$G85*$H85*(1+$K85)^MAX(ROUNDUP(IFERROR(DATEDIF($I67-1,CQ$15+1,"m"),)/12,)-1,)*Index!CM$23*(CQ$15&gt;$I85)*(1-CQ$12)</f>
        <v>0</v>
      </c>
      <c r="CR85" s="747">
        <f>$G85*$H85*(1+$K85)^MAX(ROUNDUP(IFERROR(DATEDIF($I67-1,CR$15+1,"m"),)/12,)-1,)*Index!CN$23*(CR$15&gt;$I85)*(1-CR$12)</f>
        <v>0</v>
      </c>
      <c r="CS85" s="747">
        <f>$G85*$H85*(1+$K85)^MAX(ROUNDUP(IFERROR(DATEDIF($I67-1,CS$15+1,"m"),)/12,)-1,)*Index!CO$23*(CS$15&gt;$I85)*(1-CS$12)</f>
        <v>0</v>
      </c>
      <c r="CT85" s="747">
        <f>$G85*$H85*(1+$K85)^MAX(ROUNDUP(IFERROR(DATEDIF($I67-1,CT$15+1,"m"),)/12,)-1,)*Index!CP$23*(CT$15&gt;$I85)*(1-CT$12)</f>
        <v>0</v>
      </c>
      <c r="CU85" s="747">
        <f>$G85*$H85*(1+$K85)^MAX(ROUNDUP(IFERROR(DATEDIF($I67-1,CU$15+1,"m"),)/12,)-1,)*Index!CQ$23*(CU$15&gt;$I85)*(1-CU$12)</f>
        <v>0</v>
      </c>
      <c r="CV85" s="747">
        <f>$G85*$H85*(1+$K85)^MAX(ROUNDUP(IFERROR(DATEDIF($I67-1,CV$15+1,"m"),)/12,)-1,)*Index!CR$23*(CV$15&gt;$I85)*(1-CV$12)</f>
        <v>0</v>
      </c>
      <c r="CW85" s="747">
        <f>$G85*$H85*(1+$K85)^MAX(ROUNDUP(IFERROR(DATEDIF($I67-1,CW$15+1,"m"),)/12,)-1,)*Index!CS$23*(CW$15&gt;$I85)*(1-CW$12)</f>
        <v>0</v>
      </c>
      <c r="CX85" s="747">
        <f>$G85*$H85*(1+$K85)^MAX(ROUNDUP(IFERROR(DATEDIF($I67-1,CX$15+1,"m"),)/12,)-1,)*Index!CT$23*(CX$15&gt;$I85)*(1-CX$12)</f>
        <v>0</v>
      </c>
      <c r="CY85" s="747">
        <f>$G85*$H85*(1+$K85)^MAX(ROUNDUP(IFERROR(DATEDIF($I67-1,CY$15+1,"m"),)/12,)-1,)*Index!CU$23*(CY$15&gt;$I85)*(1-CY$12)</f>
        <v>0</v>
      </c>
      <c r="CZ85" s="747">
        <f>$G85*$H85*(1+$K85)^MAX(ROUNDUP(IFERROR(DATEDIF($I67-1,CZ$15+1,"m"),)/12,)-1,)*Index!CV$23*(CZ$15&gt;$I85)*(1-CZ$12)</f>
        <v>0</v>
      </c>
      <c r="DA85" s="747">
        <f>$G85*$H85*(1+$K85)^MAX(ROUNDUP(IFERROR(DATEDIF($I67-1,DA$15+1,"m"),)/12,)-1,)*Index!CW$23*(DA$15&gt;$I85)*(1-DA$12)</f>
        <v>0</v>
      </c>
      <c r="DB85" s="747">
        <f>$G85*$H85*(1+$K85)^MAX(ROUNDUP(IFERROR(DATEDIF($I67-1,DB$15+1,"m"),)/12,)-1,)*Index!CX$23*(DB$15&gt;$I85)*(1-DB$12)</f>
        <v>0</v>
      </c>
      <c r="DC85" s="747">
        <f>$G85*$H85*(1+$K85)^MAX(ROUNDUP(IFERROR(DATEDIF($I67-1,DC$15+1,"m"),)/12,)-1,)*Index!CY$23*(DC$15&gt;$I85)*(1-DC$12)</f>
        <v>0</v>
      </c>
      <c r="DD85" s="747">
        <f>$G85*$H85*(1+$K85)^MAX(ROUNDUP(IFERROR(DATEDIF($I67-1,DD$15+1,"m"),)/12,)-1,)*Index!CZ$23*(DD$15&gt;$I85)*(1-DD$12)</f>
        <v>0</v>
      </c>
      <c r="DE85" s="747">
        <f>$G85*$H85*(1+$K85)^MAX(ROUNDUP(IFERROR(DATEDIF($I67-1,DE$15+1,"m"),)/12,)-1,)*Index!DA$23*(DE$15&gt;$I85)*(1-DE$12)</f>
        <v>0</v>
      </c>
      <c r="DF85" s="747">
        <f>$G85*$H85*(1+$K85)^MAX(ROUNDUP(IFERROR(DATEDIF($I67-1,DF$15+1,"m"),)/12,)-1,)*Index!DB$23*(DF$15&gt;$I85)*(1-DF$12)</f>
        <v>0</v>
      </c>
      <c r="DG85" s="747">
        <f>$G85*$H85*(1+$K85)^MAX(ROUNDUP(IFERROR(DATEDIF($I67-1,DG$15+1,"m"),)/12,)-1,)*Index!DC$23*(DG$15&gt;$I85)*(1-DG$12)</f>
        <v>0</v>
      </c>
      <c r="DH85" s="747">
        <f>$G85*$H85*(1+$K85)^MAX(ROUNDUP(IFERROR(DATEDIF($I67-1,DH$15+1,"m"),)/12,)-1,)*Index!DD$23*(DH$15&gt;$I85)*(1-DH$12)</f>
        <v>0</v>
      </c>
      <c r="DI85" s="747">
        <f>$G85*$H85*(1+$K85)^MAX(ROUNDUP(IFERROR(DATEDIF($I67-1,DI$15+1,"m"),)/12,)-1,)*Index!DE$23*(DI$15&gt;$I85)*(1-DI$12)</f>
        <v>0</v>
      </c>
      <c r="DJ85" s="747">
        <f>$G85*$H85*(1+$K85)^MAX(ROUNDUP(IFERROR(DATEDIF($I67-1,DJ$15+1,"m"),)/12,)-1,)*Index!DF$23*(DJ$15&gt;$I85)*(1-DJ$12)</f>
        <v>0</v>
      </c>
      <c r="DK85" s="747">
        <f>$G85*$H85*(1+$K85)^MAX(ROUNDUP(IFERROR(DATEDIF($I67-1,DK$15+1,"m"),)/12,)-1,)*Index!DG$23*(DK$15&gt;$I85)*(1-DK$12)</f>
        <v>0</v>
      </c>
      <c r="DL85" s="747">
        <f>$G85*$H85*(1+$K85)^MAX(ROUNDUP(IFERROR(DATEDIF($I67-1,DL$15+1,"m"),)/12,)-1,)*Index!DH$23*(DL$15&gt;$I85)*(1-DL$12)</f>
        <v>0</v>
      </c>
      <c r="DM85" s="747">
        <f>$G85*$H85*(1+$K85)^MAX(ROUNDUP(IFERROR(DATEDIF($I67-1,DM$15+1,"m"),)/12,)-1,)*Index!DI$23*(DM$15&gt;$I85)*(1-DM$12)</f>
        <v>0</v>
      </c>
      <c r="DN85" s="747">
        <f>$G85*$H85*(1+$K85)^MAX(ROUNDUP(IFERROR(DATEDIF($I67-1,DN$15+1,"m"),)/12,)-1,)*Index!DJ$23*(DN$15&gt;$I85)*(1-DN$12)</f>
        <v>0</v>
      </c>
      <c r="DO85" s="747">
        <f>$G85*$H85*(1+$K85)^MAX(ROUNDUP(IFERROR(DATEDIF($I67-1,DO$15+1,"m"),)/12,)-1,)*Index!DK$23*(DO$15&gt;$I85)*(1-DO$12)</f>
        <v>0</v>
      </c>
      <c r="DP85" s="747">
        <f>$G85*$H85*(1+$K85)^MAX(ROUNDUP(IFERROR(DATEDIF($I67-1,DP$15+1,"m"),)/12,)-1,)*Index!DL$23*(DP$15&gt;$I85)*(1-DP$12)</f>
        <v>0</v>
      </c>
      <c r="DQ85" s="747">
        <f>$G85*$H85*(1+$K85)^MAX(ROUNDUP(IFERROR(DATEDIF($I67-1,DQ$15+1,"m"),)/12,)-1,)*Index!DM$23*(DQ$15&gt;$I85)*(1-DQ$12)</f>
        <v>0</v>
      </c>
      <c r="DR85" s="747">
        <f>$G85*$H85*(1+$K85)^MAX(ROUNDUP(IFERROR(DATEDIF($I67-1,DR$15+1,"m"),)/12,)-1,)*Index!DN$23*(DR$15&gt;$I85)*(1-DR$12)</f>
        <v>0</v>
      </c>
      <c r="DS85" s="747">
        <f>$G85*$H85*(1+$K85)^MAX(ROUNDUP(IFERROR(DATEDIF($I67-1,DS$15+1,"m"),)/12,)-1,)*Index!DO$23*(DS$15&gt;$I85)*(1-DS$12)</f>
        <v>0</v>
      </c>
      <c r="DT85" s="747">
        <f>$G85*$H85*(1+$K85)^MAX(ROUNDUP(IFERROR(DATEDIF($I67-1,DT$15+1,"m"),)/12,)-1,)*Index!DP$23*(DT$15&gt;$I85)*(1-DT$12)</f>
        <v>0</v>
      </c>
      <c r="DU85" s="747">
        <f>$G85*$H85*(1+$K85)^MAX(ROUNDUP(IFERROR(DATEDIF($I67-1,DU$15+1,"m"),)/12,)-1,)*Index!DQ$23*(DU$15&gt;$I85)*(1-DU$12)</f>
        <v>0</v>
      </c>
      <c r="DV85" s="747">
        <f>$G85*$H85*(1+$K85)^MAX(ROUNDUP(IFERROR(DATEDIF($I67-1,DV$15+1,"m"),)/12,)-1,)*Index!DR$23*(DV$15&gt;$I85)*(1-DV$12)</f>
        <v>0</v>
      </c>
      <c r="DW85" s="747">
        <f>$G85*$H85*(1+$K85)^MAX(ROUNDUP(IFERROR(DATEDIF($I67-1,DW$15+1,"m"),)/12,)-1,)*Index!DS$23*(DW$15&gt;$I85)*(1-DW$12)</f>
        <v>0</v>
      </c>
      <c r="DX85" s="747">
        <f>$G85*$H85*(1+$K85)^MAX(ROUNDUP(IFERROR(DATEDIF($I67-1,DX$15+1,"m"),)/12,)-1,)*Index!DT$23*(DX$15&gt;$I85)*(1-DX$12)</f>
        <v>0</v>
      </c>
      <c r="DY85" s="747">
        <f>$G85*$H85*(1+$K85)^MAX(ROUNDUP(IFERROR(DATEDIF($I67-1,DY$15+1,"m"),)/12,)-1,)*Index!DU$23*(DY$15&gt;$I85)*(1-DY$12)</f>
        <v>0</v>
      </c>
      <c r="DZ85" s="747">
        <f>$G85*$H85*(1+$K85)^MAX(ROUNDUP(IFERROR(DATEDIF($I67-1,DZ$15+1,"m"),)/12,)-1,)*Index!DV$23*(DZ$15&gt;$I85)*(1-DZ$12)</f>
        <v>0</v>
      </c>
      <c r="EA85" s="747">
        <f>$G85*$H85*(1+$K85)^MAX(ROUNDUP(IFERROR(DATEDIF($I67-1,EA$15+1,"m"),)/12,)-1,)*Index!DW$23*(EA$15&gt;$I85)*(1-EA$12)</f>
        <v>0</v>
      </c>
      <c r="EB85" s="747">
        <f>$G85*$H85*(1+$K85)^MAX(ROUNDUP(IFERROR(DATEDIF($I67-1,EB$15+1,"m"),)/12,)-1,)*Index!DX$23*(EB$15&gt;$I85)*(1-EB$12)</f>
        <v>0</v>
      </c>
      <c r="EC85" s="747">
        <f>$G85*$H85*(1+$K85)^MAX(ROUNDUP(IFERROR(DATEDIF($I67-1,EC$15+1,"m"),)/12,)-1,)*Index!DY$23*(EC$15&gt;$I85)*(1-EC$12)</f>
        <v>0</v>
      </c>
      <c r="ED85" s="747">
        <f>$G85*$H85*(1+$K85)^MAX(ROUNDUP(IFERROR(DATEDIF($I67-1,ED$15+1,"m"),)/12,)-1,)*Index!DZ$23*(ED$15&gt;$I85)*(1-ED$12)</f>
        <v>0</v>
      </c>
      <c r="EE85" s="747">
        <f>$G85*$H85*(1+$K85)^MAX(ROUNDUP(IFERROR(DATEDIF($I67-1,EE$15+1,"m"),)/12,)-1,)*Index!EA$23*(EE$15&gt;$I85)*(1-EE$12)</f>
        <v>0</v>
      </c>
      <c r="EF85" s="747">
        <f>$G85*$H85*(1+$K85)^MAX(ROUNDUP(IFERROR(DATEDIF($I67-1,EF$15+1,"m"),)/12,)-1,)*Index!EB$23*(EF$15&gt;$I85)*(1-EF$12)</f>
        <v>0</v>
      </c>
      <c r="EG85" s="747">
        <f>$G85*$H85*(1+$K85)^MAX(ROUNDUP(IFERROR(DATEDIF($I67-1,EG$15+1,"m"),)/12,)-1,)*Index!EC$23*(EG$15&gt;$I85)*(1-EG$12)</f>
        <v>9985.7892666524076</v>
      </c>
      <c r="EH85" s="747">
        <f>$G85*$H85*(1+$K85)^MAX(ROUNDUP(IFERROR(DATEDIF($I67-1,EH$15+1,"m"),)/12,)-1,)*Index!ED$23*(EH$15&gt;$I85)*(1-EH$12)</f>
        <v>9985.7892666524076</v>
      </c>
      <c r="EI85" s="747">
        <f>$G85*$H85*(1+$K85)^MAX(ROUNDUP(IFERROR(DATEDIF($I67-1,EI$15+1,"m"),)/12,)-1,)*Index!EE$23*(EI$15&gt;$I85)*(1-EI$12)</f>
        <v>9985.7892666524076</v>
      </c>
      <c r="EJ85" s="747">
        <f>$G85*$H85*(1+$K85)^MAX(ROUNDUP(IFERROR(DATEDIF($I67-1,EJ$15+1,"m"),)/12,)-1,)*Index!EF$23*(EJ$15&gt;$I85)*(1-EJ$12)</f>
        <v>9985.7892666524076</v>
      </c>
      <c r="EK85" s="747">
        <f>$G85*$H85*(1+$K85)^MAX(ROUNDUP(IFERROR(DATEDIF($I67-1,EK$15+1,"m"),)/12,)-1,)*Index!EG$23*(EK$15&gt;$I85)*(1-EK$12)</f>
        <v>9985.7892666524076</v>
      </c>
      <c r="EL85" s="747">
        <f>$G85*$H85*(1+$K85)^MAX(ROUNDUP(IFERROR(DATEDIF($I67-1,EL$15+1,"m"),)/12,)-1,)*Index!EH$23*(EL$15&gt;$I85)*(1-EL$12)</f>
        <v>9985.7892666524076</v>
      </c>
      <c r="EM85" s="747">
        <f>$G85*$H85*(1+$K85)^MAX(ROUNDUP(IFERROR(DATEDIF($I67-1,EM$15+1,"m"),)/12,)-1,)*Index!EI$23*(EM$15&gt;$I85)*(1-EM$12)</f>
        <v>9985.7892666524076</v>
      </c>
      <c r="EN85" s="747">
        <f>$G85*$H85*(1+$K85)^MAX(ROUNDUP(IFERROR(DATEDIF($I67-1,EN$15+1,"m"),)/12,)-1,)*Index!EJ$23*(EN$15&gt;$I85)*(1-EN$12)</f>
        <v>9985.7892666524076</v>
      </c>
      <c r="EO85" s="747">
        <f>$G85*$H85*(1+$K85)^MAX(ROUNDUP(IFERROR(DATEDIF($I67-1,EO$15+1,"m"),)/12,)-1,)*Index!EK$23*(EO$15&gt;$I85)*(1-EO$12)</f>
        <v>9985.7892666524076</v>
      </c>
      <c r="EP85" s="747">
        <f>$G85*$H85*(1+$K85)^MAX(ROUNDUP(IFERROR(DATEDIF($I67-1,EP$15+1,"m"),)/12,)-1,)*Index!EL$23*(EP$15&gt;$I85)*(1-EP$12)</f>
        <v>9985.7892666524076</v>
      </c>
      <c r="EQ85" s="747">
        <f>$G85*$H85*(1+$K85)^MAX(ROUNDUP(IFERROR(DATEDIF($I67-1,EQ$15+1,"m"),)/12,)-1,)*Index!EM$23*(EQ$15&gt;$I85)*(1-EQ$12)</f>
        <v>9985.7892666524076</v>
      </c>
      <c r="ER85" s="747">
        <f>$G85*$H85*(1+$K85)^MAX(ROUNDUP(IFERROR(DATEDIF($I67-1,ER$15+1,"m"),)/12,)-1,)*Index!EN$23*(ER$15&gt;$I85)*(1-ER$12)</f>
        <v>9985.7892666524076</v>
      </c>
      <c r="ES85" s="747">
        <f>$G85*$H85*(1+$K85)^MAX(ROUNDUP(IFERROR(DATEDIF($I67-1,ES$15+1,"m"),)/12,)-1,)*Index!EO$23*(ES$15&gt;$I85)*(1-ES$12)</f>
        <v>0</v>
      </c>
      <c r="ET85" s="747">
        <f>$G85*$H85*(1+$K85)^MAX(ROUNDUP(IFERROR(DATEDIF($I67-1,ET$15+1,"m"),)/12,)-1,)*Index!EP$23*(ET$15&gt;$I85)*(1-ET$12)</f>
        <v>0</v>
      </c>
      <c r="EU85" s="747">
        <f>$G85*$H85*(1+$K85)^MAX(ROUNDUP(IFERROR(DATEDIF($I67-1,EU$15+1,"m"),)/12,)-1,)*Index!EQ$23*(EU$15&gt;$I85)*(1-EU$12)</f>
        <v>0</v>
      </c>
    </row>
    <row r="86" spans="1:151" ht="11.25" customHeight="1">
      <c r="C86" s="828"/>
      <c r="D86" s="743" t="str">
        <f t="shared" si="45"/>
        <v>B1</v>
      </c>
      <c r="E86" s="704" t="str">
        <f t="shared" si="45"/>
        <v>쿠팡</v>
      </c>
      <c r="F86" s="704" t="str">
        <f t="shared" si="45"/>
        <v>상온창고</v>
      </c>
      <c r="G86" s="752">
        <f t="shared" si="41"/>
        <v>57.698001860542107</v>
      </c>
      <c r="H86" s="744">
        <f t="shared" si="45"/>
        <v>2745.32</v>
      </c>
      <c r="I86" s="745">
        <f t="shared" si="42"/>
        <v>49064</v>
      </c>
      <c r="J86" s="745"/>
      <c r="K86" s="754">
        <f t="shared" si="43"/>
        <v>2.5000000000000001E-2</v>
      </c>
      <c r="L86" s="748"/>
      <c r="M86" s="749"/>
      <c r="N86" s="747">
        <f t="shared" si="44"/>
        <v>2530377.0300056357</v>
      </c>
      <c r="O86" s="733"/>
      <c r="P86" s="747">
        <f>$G86*$H86*(1+$K86)^MAX(ROUNDUP(IFERROR(DATEDIF($I68-1,P$15+1,"m"),)/12,)-1,)*Index!L$23*(P$15&gt;$I86)*(1-P$12)</f>
        <v>0</v>
      </c>
      <c r="Q86" s="747">
        <f>$G86*$H86*(1+$K86)^MAX(ROUNDUP(IFERROR(DATEDIF($I68-1,Q$15+1,"m"),)/12,)-1,)*Index!M$23*(Q$15&gt;$I86)*(1-Q$12)</f>
        <v>0</v>
      </c>
      <c r="R86" s="747">
        <f>$G86*$H86*(1+$K86)^MAX(ROUNDUP(IFERROR(DATEDIF($I68-1,R$15+1,"m"),)/12,)-1,)*Index!N$23*(R$15&gt;$I86)*(1-R$12)</f>
        <v>0</v>
      </c>
      <c r="S86" s="747">
        <f>$G86*$H86*(1+$K86)^MAX(ROUNDUP(IFERROR(DATEDIF($I68-1,S$15+1,"m"),)/12,)-1,)*Index!O$23*(S$15&gt;$I86)*(1-S$12)</f>
        <v>0</v>
      </c>
      <c r="T86" s="747">
        <f>$G86*$H86*(1+$K86)^MAX(ROUNDUP(IFERROR(DATEDIF($I68-1,T$15+1,"m"),)/12,)-1,)*Index!P$23*(T$15&gt;$I86)*(1-T$12)</f>
        <v>0</v>
      </c>
      <c r="U86" s="747">
        <f>$G86*$H86*(1+$K86)^MAX(ROUNDUP(IFERROR(DATEDIF($I68-1,U$15+1,"m"),)/12,)-1,)*Index!Q$23*(U$15&gt;$I86)*(1-U$12)</f>
        <v>0</v>
      </c>
      <c r="V86" s="747">
        <f>$G86*$H86*(1+$K86)^MAX(ROUNDUP(IFERROR(DATEDIF($I68-1,V$15+1,"m"),)/12,)-1,)*Index!R$23*(V$15&gt;$I86)*(1-V$12)</f>
        <v>0</v>
      </c>
      <c r="W86" s="747">
        <f>$G86*$H86*(1+$K86)^MAX(ROUNDUP(IFERROR(DATEDIF($I68-1,W$15+1,"m"),)/12,)-1,)*Index!S$23*(W$15&gt;$I86)*(1-W$12)</f>
        <v>0</v>
      </c>
      <c r="X86" s="747">
        <f>$G86*$H86*(1+$K86)^MAX(ROUNDUP(IFERROR(DATEDIF($I68-1,X$15+1,"m"),)/12,)-1,)*Index!T$23*(X$15&gt;$I86)*(1-X$12)</f>
        <v>0</v>
      </c>
      <c r="Y86" s="747">
        <f>$G86*$H86*(1+$K86)^MAX(ROUNDUP(IFERROR(DATEDIF($I68-1,Y$15+1,"m"),)/12,)-1,)*Index!U$23*(Y$15&gt;$I86)*(1-Y$12)</f>
        <v>0</v>
      </c>
      <c r="Z86" s="747">
        <f>$G86*$H86*(1+$K86)^MAX(ROUNDUP(IFERROR(DATEDIF($I68-1,Z$15+1,"m"),)/12,)-1,)*Index!V$23*(Z$15&gt;$I86)*(1-Z$12)</f>
        <v>0</v>
      </c>
      <c r="AA86" s="747">
        <f>$G86*$H86*(1+$K86)^MAX(ROUNDUP(IFERROR(DATEDIF($I68-1,AA$15+1,"m"),)/12,)-1,)*Index!W$23*(AA$15&gt;$I86)*(1-AA$12)</f>
        <v>0</v>
      </c>
      <c r="AB86" s="747">
        <f>$G86*$H86*(1+$K86)^MAX(ROUNDUP(IFERROR(DATEDIF($I68-1,AB$15+1,"m"),)/12,)-1,)*Index!X$23*(AB$15&gt;$I86)*(1-AB$12)</f>
        <v>0</v>
      </c>
      <c r="AC86" s="747">
        <f>$G86*$H86*(1+$K86)^MAX(ROUNDUP(IFERROR(DATEDIF($I68-1,AC$15+1,"m"),)/12,)-1,)*Index!Y$23*(AC$15&gt;$I86)*(1-AC$12)</f>
        <v>0</v>
      </c>
      <c r="AD86" s="747">
        <f>$G86*$H86*(1+$K86)^MAX(ROUNDUP(IFERROR(DATEDIF($I68-1,AD$15+1,"m"),)/12,)-1,)*Index!Z$23*(AD$15&gt;$I86)*(1-AD$12)</f>
        <v>0</v>
      </c>
      <c r="AE86" s="747">
        <f>$G86*$H86*(1+$K86)^MAX(ROUNDUP(IFERROR(DATEDIF($I68-1,AE$15+1,"m"),)/12,)-1,)*Index!AA$23*(AE$15&gt;$I86)*(1-AE$12)</f>
        <v>0</v>
      </c>
      <c r="AF86" s="747">
        <f>$G86*$H86*(1+$K86)^MAX(ROUNDUP(IFERROR(DATEDIF($I68-1,AF$15+1,"m"),)/12,)-1,)*Index!AB$23*(AF$15&gt;$I86)*(1-AF$12)</f>
        <v>0</v>
      </c>
      <c r="AG86" s="747">
        <f>$G86*$H86*(1+$K86)^MAX(ROUNDUP(IFERROR(DATEDIF($I68-1,AG$15+1,"m"),)/12,)-1,)*Index!AC$23*(AG$15&gt;$I86)*(1-AG$12)</f>
        <v>0</v>
      </c>
      <c r="AH86" s="747">
        <f>$G86*$H86*(1+$K86)^MAX(ROUNDUP(IFERROR(DATEDIF($I68-1,AH$15+1,"m"),)/12,)-1,)*Index!AD$23*(AH$15&gt;$I86)*(1-AH$12)</f>
        <v>0</v>
      </c>
      <c r="AI86" s="747">
        <f>$G86*$H86*(1+$K86)^MAX(ROUNDUP(IFERROR(DATEDIF($I68-1,AI$15+1,"m"),)/12,)-1,)*Index!AE$23*(AI$15&gt;$I86)*(1-AI$12)</f>
        <v>0</v>
      </c>
      <c r="AJ86" s="747">
        <f>$G86*$H86*(1+$K86)^MAX(ROUNDUP(IFERROR(DATEDIF($I68-1,AJ$15+1,"m"),)/12,)-1,)*Index!AF$23*(AJ$15&gt;$I86)*(1-AJ$12)</f>
        <v>0</v>
      </c>
      <c r="AK86" s="747">
        <f>$G86*$H86*(1+$K86)^MAX(ROUNDUP(IFERROR(DATEDIF($I68-1,AK$15+1,"m"),)/12,)-1,)*Index!AG$23*(AK$15&gt;$I86)*(1-AK$12)</f>
        <v>0</v>
      </c>
      <c r="AL86" s="747">
        <f>$G86*$H86*(1+$K86)^MAX(ROUNDUP(IFERROR(DATEDIF($I68-1,AL$15+1,"m"),)/12,)-1,)*Index!AH$23*(AL$15&gt;$I86)*(1-AL$12)</f>
        <v>0</v>
      </c>
      <c r="AM86" s="747">
        <f>$G86*$H86*(1+$K86)^MAX(ROUNDUP(IFERROR(DATEDIF($I68-1,AM$15+1,"m"),)/12,)-1,)*Index!AI$23*(AM$15&gt;$I86)*(1-AM$12)</f>
        <v>0</v>
      </c>
      <c r="AN86" s="747">
        <f>$G86*$H86*(1+$K86)^MAX(ROUNDUP(IFERROR(DATEDIF($I68-1,AN$15+1,"m"),)/12,)-1,)*Index!AJ$23*(AN$15&gt;$I86)*(1-AN$12)</f>
        <v>0</v>
      </c>
      <c r="AO86" s="747">
        <f>$G86*$H86*(1+$K86)^MAX(ROUNDUP(IFERROR(DATEDIF($I68-1,AO$15+1,"m"),)/12,)-1,)*Index!AK$23*(AO$15&gt;$I86)*(1-AO$12)</f>
        <v>0</v>
      </c>
      <c r="AP86" s="747">
        <f>$G86*$H86*(1+$K86)^MAX(ROUNDUP(IFERROR(DATEDIF($I68-1,AP$15+1,"m"),)/12,)-1,)*Index!AL$23*(AP$15&gt;$I86)*(1-AP$12)</f>
        <v>0</v>
      </c>
      <c r="AQ86" s="747">
        <f>$G86*$H86*(1+$K86)^MAX(ROUNDUP(IFERROR(DATEDIF($I68-1,AQ$15+1,"m"),)/12,)-1,)*Index!AM$23*(AQ$15&gt;$I86)*(1-AQ$12)</f>
        <v>0</v>
      </c>
      <c r="AR86" s="747">
        <f>$G86*$H86*(1+$K86)^MAX(ROUNDUP(IFERROR(DATEDIF($I68-1,AR$15+1,"m"),)/12,)-1,)*Index!AN$23*(AR$15&gt;$I86)*(1-AR$12)</f>
        <v>0</v>
      </c>
      <c r="AS86" s="747">
        <f>$G86*$H86*(1+$K86)^MAX(ROUNDUP(IFERROR(DATEDIF($I68-1,AS$15+1,"m"),)/12,)-1,)*Index!AO$23*(AS$15&gt;$I86)*(1-AS$12)</f>
        <v>0</v>
      </c>
      <c r="AT86" s="747">
        <f>$G86*$H86*(1+$K86)^MAX(ROUNDUP(IFERROR(DATEDIF($I68-1,AT$15+1,"m"),)/12,)-1,)*Index!AP$23*(AT$15&gt;$I86)*(1-AT$12)</f>
        <v>0</v>
      </c>
      <c r="AU86" s="747">
        <f>$G86*$H86*(1+$K86)^MAX(ROUNDUP(IFERROR(DATEDIF($I68-1,AU$15+1,"m"),)/12,)-1,)*Index!AQ$23*(AU$15&gt;$I86)*(1-AU$12)</f>
        <v>0</v>
      </c>
      <c r="AV86" s="747">
        <f>$G86*$H86*(1+$K86)^MAX(ROUNDUP(IFERROR(DATEDIF($I68-1,AV$15+1,"m"),)/12,)-1,)*Index!AR$23*(AV$15&gt;$I86)*(1-AV$12)</f>
        <v>0</v>
      </c>
      <c r="AW86" s="747">
        <f>$G86*$H86*(1+$K86)^MAX(ROUNDUP(IFERROR(DATEDIF($I68-1,AW$15+1,"m"),)/12,)-1,)*Index!AS$23*(AW$15&gt;$I86)*(1-AW$12)</f>
        <v>0</v>
      </c>
      <c r="AX86" s="747">
        <f>$G86*$H86*(1+$K86)^MAX(ROUNDUP(IFERROR(DATEDIF($I68-1,AX$15+1,"m"),)/12,)-1,)*Index!AT$23*(AX$15&gt;$I86)*(1-AX$12)</f>
        <v>0</v>
      </c>
      <c r="AY86" s="747">
        <f>$G86*$H86*(1+$K86)^MAX(ROUNDUP(IFERROR(DATEDIF($I68-1,AY$15+1,"m"),)/12,)-1,)*Index!AU$23*(AY$15&gt;$I86)*(1-AY$12)</f>
        <v>0</v>
      </c>
      <c r="AZ86" s="747">
        <f>$G86*$H86*(1+$K86)^MAX(ROUNDUP(IFERROR(DATEDIF($I68-1,AZ$15+1,"m"),)/12,)-1,)*Index!AV$23*(AZ$15&gt;$I86)*(1-AZ$12)</f>
        <v>0</v>
      </c>
      <c r="BA86" s="747">
        <f>$G86*$H86*(1+$K86)^MAX(ROUNDUP(IFERROR(DATEDIF($I68-1,BA$15+1,"m"),)/12,)-1,)*Index!AW$23*(BA$15&gt;$I86)*(1-BA$12)</f>
        <v>0</v>
      </c>
      <c r="BB86" s="747">
        <f>$G86*$H86*(1+$K86)^MAX(ROUNDUP(IFERROR(DATEDIF($I68-1,BB$15+1,"m"),)/12,)-1,)*Index!AX$23*(BB$15&gt;$I86)*(1-BB$12)</f>
        <v>0</v>
      </c>
      <c r="BC86" s="747">
        <f>$G86*$H86*(1+$K86)^MAX(ROUNDUP(IFERROR(DATEDIF($I68-1,BC$15+1,"m"),)/12,)-1,)*Index!AY$23*(BC$15&gt;$I86)*(1-BC$12)</f>
        <v>0</v>
      </c>
      <c r="BD86" s="747">
        <f>$G86*$H86*(1+$K86)^MAX(ROUNDUP(IFERROR(DATEDIF($I68-1,BD$15+1,"m"),)/12,)-1,)*Index!AZ$23*(BD$15&gt;$I86)*(1-BD$12)</f>
        <v>0</v>
      </c>
      <c r="BE86" s="747">
        <f>$G86*$H86*(1+$K86)^MAX(ROUNDUP(IFERROR(DATEDIF($I68-1,BE$15+1,"m"),)/12,)-1,)*Index!BA$23*(BE$15&gt;$I86)*(1-BE$12)</f>
        <v>0</v>
      </c>
      <c r="BF86" s="747">
        <f>$G86*$H86*(1+$K86)^MAX(ROUNDUP(IFERROR(DATEDIF($I68-1,BF$15+1,"m"),)/12,)-1,)*Index!BB$23*(BF$15&gt;$I86)*(1-BF$12)</f>
        <v>0</v>
      </c>
      <c r="BG86" s="747">
        <f>$G86*$H86*(1+$K86)^MAX(ROUNDUP(IFERROR(DATEDIF($I68-1,BG$15+1,"m"),)/12,)-1,)*Index!BC$23*(BG$15&gt;$I86)*(1-BG$12)</f>
        <v>0</v>
      </c>
      <c r="BH86" s="747">
        <f>$G86*$H86*(1+$K86)^MAX(ROUNDUP(IFERROR(DATEDIF($I68-1,BH$15+1,"m"),)/12,)-1,)*Index!BD$23*(BH$15&gt;$I86)*(1-BH$12)</f>
        <v>0</v>
      </c>
      <c r="BI86" s="747">
        <f>$G86*$H86*(1+$K86)^MAX(ROUNDUP(IFERROR(DATEDIF($I68-1,BI$15+1,"m"),)/12,)-1,)*Index!BE$23*(BI$15&gt;$I86)*(1-BI$12)</f>
        <v>0</v>
      </c>
      <c r="BJ86" s="747">
        <f>$G86*$H86*(1+$K86)^MAX(ROUNDUP(IFERROR(DATEDIF($I68-1,BJ$15+1,"m"),)/12,)-1,)*Index!BF$23*(BJ$15&gt;$I86)*(1-BJ$12)</f>
        <v>0</v>
      </c>
      <c r="BK86" s="747">
        <f>$G86*$H86*(1+$K86)^MAX(ROUNDUP(IFERROR(DATEDIF($I68-1,BK$15+1,"m"),)/12,)-1,)*Index!BG$23*(BK$15&gt;$I86)*(1-BK$12)</f>
        <v>0</v>
      </c>
      <c r="BL86" s="747">
        <f>$G86*$H86*(1+$K86)^MAX(ROUNDUP(IFERROR(DATEDIF($I68-1,BL$15+1,"m"),)/12,)-1,)*Index!BH$23*(BL$15&gt;$I86)*(1-BL$12)</f>
        <v>0</v>
      </c>
      <c r="BM86" s="747">
        <f>$G86*$H86*(1+$K86)^MAX(ROUNDUP(IFERROR(DATEDIF($I68-1,BM$15+1,"m"),)/12,)-1,)*Index!BI$23*(BM$15&gt;$I86)*(1-BM$12)</f>
        <v>0</v>
      </c>
      <c r="BN86" s="747">
        <f>$G86*$H86*(1+$K86)^MAX(ROUNDUP(IFERROR(DATEDIF($I68-1,BN$15+1,"m"),)/12,)-1,)*Index!BJ$23*(BN$15&gt;$I86)*(1-BN$12)</f>
        <v>0</v>
      </c>
      <c r="BO86" s="747">
        <f>$G86*$H86*(1+$K86)^MAX(ROUNDUP(IFERROR(DATEDIF($I68-1,BO$15+1,"m"),)/12,)-1,)*Index!BK$23*(BO$15&gt;$I86)*(1-BO$12)</f>
        <v>0</v>
      </c>
      <c r="BP86" s="747">
        <f>$G86*$H86*(1+$K86)^MAX(ROUNDUP(IFERROR(DATEDIF($I68-1,BP$15+1,"m"),)/12,)-1,)*Index!BL$23*(BP$15&gt;$I86)*(1-BP$12)</f>
        <v>0</v>
      </c>
      <c r="BQ86" s="747">
        <f>$G86*$H86*(1+$K86)^MAX(ROUNDUP(IFERROR(DATEDIF($I68-1,BQ$15+1,"m"),)/12,)-1,)*Index!BM$23*(BQ$15&gt;$I86)*(1-BQ$12)</f>
        <v>0</v>
      </c>
      <c r="BR86" s="747">
        <f>$G86*$H86*(1+$K86)^MAX(ROUNDUP(IFERROR(DATEDIF($I68-1,BR$15+1,"m"),)/12,)-1,)*Index!BN$23*(BR$15&gt;$I86)*(1-BR$12)</f>
        <v>0</v>
      </c>
      <c r="BS86" s="747">
        <f>$G86*$H86*(1+$K86)^MAX(ROUNDUP(IFERROR(DATEDIF($I68-1,BS$15+1,"m"),)/12,)-1,)*Index!BO$23*(BS$15&gt;$I86)*(1-BS$12)</f>
        <v>0</v>
      </c>
      <c r="BT86" s="747">
        <f>$G86*$H86*(1+$K86)^MAX(ROUNDUP(IFERROR(DATEDIF($I68-1,BT$15+1,"m"),)/12,)-1,)*Index!BP$23*(BT$15&gt;$I86)*(1-BT$12)</f>
        <v>0</v>
      </c>
      <c r="BU86" s="747">
        <f>$G86*$H86*(1+$K86)^MAX(ROUNDUP(IFERROR(DATEDIF($I68-1,BU$15+1,"m"),)/12,)-1,)*Index!BQ$23*(BU$15&gt;$I86)*(1-BU$12)</f>
        <v>0</v>
      </c>
      <c r="BV86" s="747">
        <f>$G86*$H86*(1+$K86)^MAX(ROUNDUP(IFERROR(DATEDIF($I68-1,BV$15+1,"m"),)/12,)-1,)*Index!BR$23*(BV$15&gt;$I86)*(1-BV$12)</f>
        <v>0</v>
      </c>
      <c r="BW86" s="747">
        <f>$G86*$H86*(1+$K86)^MAX(ROUNDUP(IFERROR(DATEDIF($I68-1,BW$15+1,"m"),)/12,)-1,)*Index!BS$23*(BW$15&gt;$I86)*(1-BW$12)</f>
        <v>0</v>
      </c>
      <c r="BX86" s="747">
        <f>$G86*$H86*(1+$K86)^MAX(ROUNDUP(IFERROR(DATEDIF($I68-1,BX$15+1,"m"),)/12,)-1,)*Index!BT$23*(BX$15&gt;$I86)*(1-BX$12)</f>
        <v>0</v>
      </c>
      <c r="BY86" s="747">
        <f>$G86*$H86*(1+$K86)^MAX(ROUNDUP(IFERROR(DATEDIF($I68-1,BY$15+1,"m"),)/12,)-1,)*Index!BU$23*(BY$15&gt;$I86)*(1-BY$12)</f>
        <v>0</v>
      </c>
      <c r="BZ86" s="747">
        <f>$G86*$H86*(1+$K86)^MAX(ROUNDUP(IFERROR(DATEDIF($I68-1,BZ$15+1,"m"),)/12,)-1,)*Index!BV$23*(BZ$15&gt;$I86)*(1-BZ$12)</f>
        <v>0</v>
      </c>
      <c r="CA86" s="747">
        <f>$G86*$H86*(1+$K86)^MAX(ROUNDUP(IFERROR(DATEDIF($I68-1,CA$15+1,"m"),)/12,)-1,)*Index!BW$23*(CA$15&gt;$I86)*(1-CA$12)</f>
        <v>0</v>
      </c>
      <c r="CB86" s="747">
        <f>$G86*$H86*(1+$K86)^MAX(ROUNDUP(IFERROR(DATEDIF($I68-1,CB$15+1,"m"),)/12,)-1,)*Index!BX$23*(CB$15&gt;$I86)*(1-CB$12)</f>
        <v>0</v>
      </c>
      <c r="CC86" s="747">
        <f>$G86*$H86*(1+$K86)^MAX(ROUNDUP(IFERROR(DATEDIF($I68-1,CC$15+1,"m"),)/12,)-1,)*Index!BY$23*(CC$15&gt;$I86)*(1-CC$12)</f>
        <v>0</v>
      </c>
      <c r="CD86" s="747">
        <f>$G86*$H86*(1+$K86)^MAX(ROUNDUP(IFERROR(DATEDIF($I68-1,CD$15+1,"m"),)/12,)-1,)*Index!BZ$23*(CD$15&gt;$I86)*(1-CD$12)</f>
        <v>0</v>
      </c>
      <c r="CE86" s="747">
        <f>$G86*$H86*(1+$K86)^MAX(ROUNDUP(IFERROR(DATEDIF($I68-1,CE$15+1,"m"),)/12,)-1,)*Index!CA$23*(CE$15&gt;$I86)*(1-CE$12)</f>
        <v>0</v>
      </c>
      <c r="CF86" s="747">
        <f>$G86*$H86*(1+$K86)^MAX(ROUNDUP(IFERROR(DATEDIF($I68-1,CF$15+1,"m"),)/12,)-1,)*Index!CB$23*(CF$15&gt;$I86)*(1-CF$12)</f>
        <v>0</v>
      </c>
      <c r="CG86" s="747">
        <f>$G86*$H86*(1+$K86)^MAX(ROUNDUP(IFERROR(DATEDIF($I68-1,CG$15+1,"m"),)/12,)-1,)*Index!CC$23*(CG$15&gt;$I86)*(1-CG$12)</f>
        <v>0</v>
      </c>
      <c r="CH86" s="747">
        <f>$G86*$H86*(1+$K86)^MAX(ROUNDUP(IFERROR(DATEDIF($I68-1,CH$15+1,"m"),)/12,)-1,)*Index!CD$23*(CH$15&gt;$I86)*(1-CH$12)</f>
        <v>0</v>
      </c>
      <c r="CI86" s="747">
        <f>$G86*$H86*(1+$K86)^MAX(ROUNDUP(IFERROR(DATEDIF($I68-1,CI$15+1,"m"),)/12,)-1,)*Index!CE$23*(CI$15&gt;$I86)*(1-CI$12)</f>
        <v>0</v>
      </c>
      <c r="CJ86" s="747">
        <f>$G86*$H86*(1+$K86)^MAX(ROUNDUP(IFERROR(DATEDIF($I68-1,CJ$15+1,"m"),)/12,)-1,)*Index!CF$23*(CJ$15&gt;$I86)*(1-CJ$12)</f>
        <v>0</v>
      </c>
      <c r="CK86" s="747">
        <f>$G86*$H86*(1+$K86)^MAX(ROUNDUP(IFERROR(DATEDIF($I68-1,CK$15+1,"m"),)/12,)-1,)*Index!CG$23*(CK$15&gt;$I86)*(1-CK$12)</f>
        <v>0</v>
      </c>
      <c r="CL86" s="747">
        <f>$G86*$H86*(1+$K86)^MAX(ROUNDUP(IFERROR(DATEDIF($I68-1,CL$15+1,"m"),)/12,)-1,)*Index!CH$23*(CL$15&gt;$I86)*(1-CL$12)</f>
        <v>0</v>
      </c>
      <c r="CM86" s="747">
        <f>$G86*$H86*(1+$K86)^MAX(ROUNDUP(IFERROR(DATEDIF($I68-1,CM$15+1,"m"),)/12,)-1,)*Index!CI$23*(CM$15&gt;$I86)*(1-CM$12)</f>
        <v>0</v>
      </c>
      <c r="CN86" s="747">
        <f>$G86*$H86*(1+$K86)^MAX(ROUNDUP(IFERROR(DATEDIF($I68-1,CN$15+1,"m"),)/12,)-1,)*Index!CJ$23*(CN$15&gt;$I86)*(1-CN$12)</f>
        <v>0</v>
      </c>
      <c r="CO86" s="747">
        <f>$G86*$H86*(1+$K86)^MAX(ROUNDUP(IFERROR(DATEDIF($I68-1,CO$15+1,"m"),)/12,)-1,)*Index!CK$23*(CO$15&gt;$I86)*(1-CO$12)</f>
        <v>0</v>
      </c>
      <c r="CP86" s="747">
        <f>$G86*$H86*(1+$K86)^MAX(ROUNDUP(IFERROR(DATEDIF($I68-1,CP$15+1,"m"),)/12,)-1,)*Index!CL$23*(CP$15&gt;$I86)*(1-CP$12)</f>
        <v>0</v>
      </c>
      <c r="CQ86" s="747">
        <f>$G86*$H86*(1+$K86)^MAX(ROUNDUP(IFERROR(DATEDIF($I68-1,CQ$15+1,"m"),)/12,)-1,)*Index!CM$23*(CQ$15&gt;$I86)*(1-CQ$12)</f>
        <v>0</v>
      </c>
      <c r="CR86" s="747">
        <f>$G86*$H86*(1+$K86)^MAX(ROUNDUP(IFERROR(DATEDIF($I68-1,CR$15+1,"m"),)/12,)-1,)*Index!CN$23*(CR$15&gt;$I86)*(1-CR$12)</f>
        <v>0</v>
      </c>
      <c r="CS86" s="747">
        <f>$G86*$H86*(1+$K86)^MAX(ROUNDUP(IFERROR(DATEDIF($I68-1,CS$15+1,"m"),)/12,)-1,)*Index!CO$23*(CS$15&gt;$I86)*(1-CS$12)</f>
        <v>0</v>
      </c>
      <c r="CT86" s="747">
        <f>$G86*$H86*(1+$K86)^MAX(ROUNDUP(IFERROR(DATEDIF($I68-1,CT$15+1,"m"),)/12,)-1,)*Index!CP$23*(CT$15&gt;$I86)*(1-CT$12)</f>
        <v>0</v>
      </c>
      <c r="CU86" s="747">
        <f>$G86*$H86*(1+$K86)^MAX(ROUNDUP(IFERROR(DATEDIF($I68-1,CU$15+1,"m"),)/12,)-1,)*Index!CQ$23*(CU$15&gt;$I86)*(1-CU$12)</f>
        <v>0</v>
      </c>
      <c r="CV86" s="747">
        <f>$G86*$H86*(1+$K86)^MAX(ROUNDUP(IFERROR(DATEDIF($I68-1,CV$15+1,"m"),)/12,)-1,)*Index!CR$23*(CV$15&gt;$I86)*(1-CV$12)</f>
        <v>0</v>
      </c>
      <c r="CW86" s="747">
        <f>$G86*$H86*(1+$K86)^MAX(ROUNDUP(IFERROR(DATEDIF($I68-1,CW$15+1,"m"),)/12,)-1,)*Index!CS$23*(CW$15&gt;$I86)*(1-CW$12)</f>
        <v>0</v>
      </c>
      <c r="CX86" s="747">
        <f>$G86*$H86*(1+$K86)^MAX(ROUNDUP(IFERROR(DATEDIF($I68-1,CX$15+1,"m"),)/12,)-1,)*Index!CT$23*(CX$15&gt;$I86)*(1-CX$12)</f>
        <v>0</v>
      </c>
      <c r="CY86" s="747">
        <f>$G86*$H86*(1+$K86)^MAX(ROUNDUP(IFERROR(DATEDIF($I68-1,CY$15+1,"m"),)/12,)-1,)*Index!CU$23*(CY$15&gt;$I86)*(1-CY$12)</f>
        <v>0</v>
      </c>
      <c r="CZ86" s="747">
        <f>$G86*$H86*(1+$K86)^MAX(ROUNDUP(IFERROR(DATEDIF($I68-1,CZ$15+1,"m"),)/12,)-1,)*Index!CV$23*(CZ$15&gt;$I86)*(1-CZ$12)</f>
        <v>0</v>
      </c>
      <c r="DA86" s="747">
        <f>$G86*$H86*(1+$K86)^MAX(ROUNDUP(IFERROR(DATEDIF($I68-1,DA$15+1,"m"),)/12,)-1,)*Index!CW$23*(DA$15&gt;$I86)*(1-DA$12)</f>
        <v>0</v>
      </c>
      <c r="DB86" s="747">
        <f>$G86*$H86*(1+$K86)^MAX(ROUNDUP(IFERROR(DATEDIF($I68-1,DB$15+1,"m"),)/12,)-1,)*Index!CX$23*(DB$15&gt;$I86)*(1-DB$12)</f>
        <v>0</v>
      </c>
      <c r="DC86" s="747">
        <f>$G86*$H86*(1+$K86)^MAX(ROUNDUP(IFERROR(DATEDIF($I68-1,DC$15+1,"m"),)/12,)-1,)*Index!CY$23*(DC$15&gt;$I86)*(1-DC$12)</f>
        <v>0</v>
      </c>
      <c r="DD86" s="747">
        <f>$G86*$H86*(1+$K86)^MAX(ROUNDUP(IFERROR(DATEDIF($I68-1,DD$15+1,"m"),)/12,)-1,)*Index!CZ$23*(DD$15&gt;$I86)*(1-DD$12)</f>
        <v>0</v>
      </c>
      <c r="DE86" s="747">
        <f>$G86*$H86*(1+$K86)^MAX(ROUNDUP(IFERROR(DATEDIF($I68-1,DE$15+1,"m"),)/12,)-1,)*Index!DA$23*(DE$15&gt;$I86)*(1-DE$12)</f>
        <v>0</v>
      </c>
      <c r="DF86" s="747">
        <f>$G86*$H86*(1+$K86)^MAX(ROUNDUP(IFERROR(DATEDIF($I68-1,DF$15+1,"m"),)/12,)-1,)*Index!DB$23*(DF$15&gt;$I86)*(1-DF$12)</f>
        <v>0</v>
      </c>
      <c r="DG86" s="747">
        <f>$G86*$H86*(1+$K86)^MAX(ROUNDUP(IFERROR(DATEDIF($I68-1,DG$15+1,"m"),)/12,)-1,)*Index!DC$23*(DG$15&gt;$I86)*(1-DG$12)</f>
        <v>0</v>
      </c>
      <c r="DH86" s="747">
        <f>$G86*$H86*(1+$K86)^MAX(ROUNDUP(IFERROR(DATEDIF($I68-1,DH$15+1,"m"),)/12,)-1,)*Index!DD$23*(DH$15&gt;$I86)*(1-DH$12)</f>
        <v>0</v>
      </c>
      <c r="DI86" s="747">
        <f>$G86*$H86*(1+$K86)^MAX(ROUNDUP(IFERROR(DATEDIF($I68-1,DI$15+1,"m"),)/12,)-1,)*Index!DE$23*(DI$15&gt;$I86)*(1-DI$12)</f>
        <v>0</v>
      </c>
      <c r="DJ86" s="747">
        <f>$G86*$H86*(1+$K86)^MAX(ROUNDUP(IFERROR(DATEDIF($I68-1,DJ$15+1,"m"),)/12,)-1,)*Index!DF$23*(DJ$15&gt;$I86)*(1-DJ$12)</f>
        <v>0</v>
      </c>
      <c r="DK86" s="747">
        <f>$G86*$H86*(1+$K86)^MAX(ROUNDUP(IFERROR(DATEDIF($I68-1,DK$15+1,"m"),)/12,)-1,)*Index!DG$23*(DK$15&gt;$I86)*(1-DK$12)</f>
        <v>0</v>
      </c>
      <c r="DL86" s="747">
        <f>$G86*$H86*(1+$K86)^MAX(ROUNDUP(IFERROR(DATEDIF($I68-1,DL$15+1,"m"),)/12,)-1,)*Index!DH$23*(DL$15&gt;$I86)*(1-DL$12)</f>
        <v>0</v>
      </c>
      <c r="DM86" s="747">
        <f>$G86*$H86*(1+$K86)^MAX(ROUNDUP(IFERROR(DATEDIF($I68-1,DM$15+1,"m"),)/12,)-1,)*Index!DI$23*(DM$15&gt;$I86)*(1-DM$12)</f>
        <v>0</v>
      </c>
      <c r="DN86" s="747">
        <f>$G86*$H86*(1+$K86)^MAX(ROUNDUP(IFERROR(DATEDIF($I68-1,DN$15+1,"m"),)/12,)-1,)*Index!DJ$23*(DN$15&gt;$I86)*(1-DN$12)</f>
        <v>0</v>
      </c>
      <c r="DO86" s="747">
        <f>$G86*$H86*(1+$K86)^MAX(ROUNDUP(IFERROR(DATEDIF($I68-1,DO$15+1,"m"),)/12,)-1,)*Index!DK$23*(DO$15&gt;$I86)*(1-DO$12)</f>
        <v>0</v>
      </c>
      <c r="DP86" s="747">
        <f>$G86*$H86*(1+$K86)^MAX(ROUNDUP(IFERROR(DATEDIF($I68-1,DP$15+1,"m"),)/12,)-1,)*Index!DL$23*(DP$15&gt;$I86)*(1-DP$12)</f>
        <v>0</v>
      </c>
      <c r="DQ86" s="747">
        <f>$G86*$H86*(1+$K86)^MAX(ROUNDUP(IFERROR(DATEDIF($I68-1,DQ$15+1,"m"),)/12,)-1,)*Index!DM$23*(DQ$15&gt;$I86)*(1-DQ$12)</f>
        <v>0</v>
      </c>
      <c r="DR86" s="747">
        <f>$G86*$H86*(1+$K86)^MAX(ROUNDUP(IFERROR(DATEDIF($I68-1,DR$15+1,"m"),)/12,)-1,)*Index!DN$23*(DR$15&gt;$I86)*(1-DR$12)</f>
        <v>0</v>
      </c>
      <c r="DS86" s="747">
        <f>$G86*$H86*(1+$K86)^MAX(ROUNDUP(IFERROR(DATEDIF($I68-1,DS$15+1,"m"),)/12,)-1,)*Index!DO$23*(DS$15&gt;$I86)*(1-DS$12)</f>
        <v>0</v>
      </c>
      <c r="DT86" s="747">
        <f>$G86*$H86*(1+$K86)^MAX(ROUNDUP(IFERROR(DATEDIF($I68-1,DT$15+1,"m"),)/12,)-1,)*Index!DP$23*(DT$15&gt;$I86)*(1-DT$12)</f>
        <v>0</v>
      </c>
      <c r="DU86" s="747">
        <f>$G86*$H86*(1+$K86)^MAX(ROUNDUP(IFERROR(DATEDIF($I68-1,DU$15+1,"m"),)/12,)-1,)*Index!DQ$23*(DU$15&gt;$I86)*(1-DU$12)</f>
        <v>0</v>
      </c>
      <c r="DV86" s="747">
        <f>$G86*$H86*(1+$K86)^MAX(ROUNDUP(IFERROR(DATEDIF($I68-1,DV$15+1,"m"),)/12,)-1,)*Index!DR$23*(DV$15&gt;$I86)*(1-DV$12)</f>
        <v>0</v>
      </c>
      <c r="DW86" s="747">
        <f>$G86*$H86*(1+$K86)^MAX(ROUNDUP(IFERROR(DATEDIF($I68-1,DW$15+1,"m"),)/12,)-1,)*Index!DS$23*(DW$15&gt;$I86)*(1-DW$12)</f>
        <v>0</v>
      </c>
      <c r="DX86" s="747">
        <f>$G86*$H86*(1+$K86)^MAX(ROUNDUP(IFERROR(DATEDIF($I68-1,DX$15+1,"m"),)/12,)-1,)*Index!DT$23*(DX$15&gt;$I86)*(1-DX$12)</f>
        <v>0</v>
      </c>
      <c r="DY86" s="747">
        <f>$G86*$H86*(1+$K86)^MAX(ROUNDUP(IFERROR(DATEDIF($I68-1,DY$15+1,"m"),)/12,)-1,)*Index!DU$23*(DY$15&gt;$I86)*(1-DY$12)</f>
        <v>0</v>
      </c>
      <c r="DZ86" s="747">
        <f>$G86*$H86*(1+$K86)^MAX(ROUNDUP(IFERROR(DATEDIF($I68-1,DZ$15+1,"m"),)/12,)-1,)*Index!DV$23*(DZ$15&gt;$I86)*(1-DZ$12)</f>
        <v>0</v>
      </c>
      <c r="EA86" s="747">
        <f>$G86*$H86*(1+$K86)^MAX(ROUNDUP(IFERROR(DATEDIF($I68-1,EA$15+1,"m"),)/12,)-1,)*Index!DW$23*(EA$15&gt;$I86)*(1-EA$12)</f>
        <v>0</v>
      </c>
      <c r="EB86" s="747">
        <f>$G86*$H86*(1+$K86)^MAX(ROUNDUP(IFERROR(DATEDIF($I68-1,EB$15+1,"m"),)/12,)-1,)*Index!DX$23*(EB$15&gt;$I86)*(1-EB$12)</f>
        <v>0</v>
      </c>
      <c r="EC86" s="747">
        <f>$G86*$H86*(1+$K86)^MAX(ROUNDUP(IFERROR(DATEDIF($I68-1,EC$15+1,"m"),)/12,)-1,)*Index!DY$23*(EC$15&gt;$I86)*(1-EC$12)</f>
        <v>0</v>
      </c>
      <c r="ED86" s="747">
        <f>$G86*$H86*(1+$K86)^MAX(ROUNDUP(IFERROR(DATEDIF($I68-1,ED$15+1,"m"),)/12,)-1,)*Index!DZ$23*(ED$15&gt;$I86)*(1-ED$12)</f>
        <v>0</v>
      </c>
      <c r="EE86" s="747">
        <f>$G86*$H86*(1+$K86)^MAX(ROUNDUP(IFERROR(DATEDIF($I68-1,EE$15+1,"m"),)/12,)-1,)*Index!EA$23*(EE$15&gt;$I86)*(1-EE$12)</f>
        <v>0</v>
      </c>
      <c r="EF86" s="747">
        <f>$G86*$H86*(1+$K86)^MAX(ROUNDUP(IFERROR(DATEDIF($I68-1,EF$15+1,"m"),)/12,)-1,)*Index!EB$23*(EF$15&gt;$I86)*(1-EF$12)</f>
        <v>0</v>
      </c>
      <c r="EG86" s="747">
        <f>$G86*$H86*(1+$K86)^MAX(ROUNDUP(IFERROR(DATEDIF($I68-1,EG$15+1,"m"),)/12,)-1,)*Index!EC$23*(EG$15&gt;$I86)*(1-EG$12)</f>
        <v>207833.84230025759</v>
      </c>
      <c r="EH86" s="747">
        <f>$G86*$H86*(1+$K86)^MAX(ROUNDUP(IFERROR(DATEDIF($I68-1,EH$15+1,"m"),)/12,)-1,)*Index!ED$23*(EH$15&gt;$I86)*(1-EH$12)</f>
        <v>207833.84230025759</v>
      </c>
      <c r="EI86" s="747">
        <f>$G86*$H86*(1+$K86)^MAX(ROUNDUP(IFERROR(DATEDIF($I68-1,EI$15+1,"m"),)/12,)-1,)*Index!EE$23*(EI$15&gt;$I86)*(1-EI$12)</f>
        <v>207833.84230025759</v>
      </c>
      <c r="EJ86" s="747">
        <f>$G86*$H86*(1+$K86)^MAX(ROUNDUP(IFERROR(DATEDIF($I68-1,EJ$15+1,"m"),)/12,)-1,)*Index!EF$23*(EJ$15&gt;$I86)*(1-EJ$12)</f>
        <v>207833.84230025759</v>
      </c>
      <c r="EK86" s="747">
        <f>$G86*$H86*(1+$K86)^MAX(ROUNDUP(IFERROR(DATEDIF($I68-1,EK$15+1,"m"),)/12,)-1,)*Index!EG$23*(EK$15&gt;$I86)*(1-EK$12)</f>
        <v>207833.84230025759</v>
      </c>
      <c r="EL86" s="747">
        <f>$G86*$H86*(1+$K86)^MAX(ROUNDUP(IFERROR(DATEDIF($I68-1,EL$15+1,"m"),)/12,)-1,)*Index!EH$23*(EL$15&gt;$I86)*(1-EL$12)</f>
        <v>213029.68835776401</v>
      </c>
      <c r="EM86" s="747">
        <f>$G86*$H86*(1+$K86)^MAX(ROUNDUP(IFERROR(DATEDIF($I68-1,EM$15+1,"m"),)/12,)-1,)*Index!EI$23*(EM$15&gt;$I86)*(1-EM$12)</f>
        <v>213029.68835776401</v>
      </c>
      <c r="EN86" s="747">
        <f>$G86*$H86*(1+$K86)^MAX(ROUNDUP(IFERROR(DATEDIF($I68-1,EN$15+1,"m"),)/12,)-1,)*Index!EJ$23*(EN$15&gt;$I86)*(1-EN$12)</f>
        <v>213029.68835776401</v>
      </c>
      <c r="EO86" s="747">
        <f>$G86*$H86*(1+$K86)^MAX(ROUNDUP(IFERROR(DATEDIF($I68-1,EO$15+1,"m"),)/12,)-1,)*Index!EK$23*(EO$15&gt;$I86)*(1-EO$12)</f>
        <v>213029.68835776401</v>
      </c>
      <c r="EP86" s="747">
        <f>$G86*$H86*(1+$K86)^MAX(ROUNDUP(IFERROR(DATEDIF($I68-1,EP$15+1,"m"),)/12,)-1,)*Index!EL$23*(EP$15&gt;$I86)*(1-EP$12)</f>
        <v>213029.68835776401</v>
      </c>
      <c r="EQ86" s="747">
        <f>$G86*$H86*(1+$K86)^MAX(ROUNDUP(IFERROR(DATEDIF($I68-1,EQ$15+1,"m"),)/12,)-1,)*Index!EM$23*(EQ$15&gt;$I86)*(1-EQ$12)</f>
        <v>213029.68835776401</v>
      </c>
      <c r="ER86" s="747">
        <f>$G86*$H86*(1+$K86)^MAX(ROUNDUP(IFERROR(DATEDIF($I68-1,ER$15+1,"m"),)/12,)-1,)*Index!EN$23*(ER$15&gt;$I86)*(1-ER$12)</f>
        <v>213029.68835776401</v>
      </c>
      <c r="ES86" s="747">
        <f>$G86*$H86*(1+$K86)^MAX(ROUNDUP(IFERROR(DATEDIF($I68-1,ES$15+1,"m"),)/12,)-1,)*Index!EO$23*(ES$15&gt;$I86)*(1-ES$12)</f>
        <v>0</v>
      </c>
      <c r="ET86" s="747">
        <f>$G86*$H86*(1+$K86)^MAX(ROUNDUP(IFERROR(DATEDIF($I68-1,ET$15+1,"m"),)/12,)-1,)*Index!EP$23*(ET$15&gt;$I86)*(1-ET$12)</f>
        <v>0</v>
      </c>
      <c r="EU86" s="747">
        <f>$G86*$H86*(1+$K86)^MAX(ROUNDUP(IFERROR(DATEDIF($I68-1,EU$15+1,"m"),)/12,)-1,)*Index!EQ$23*(EU$15&gt;$I86)*(1-EU$12)</f>
        <v>0</v>
      </c>
    </row>
    <row r="87" spans="1:151" ht="11.25" customHeight="1">
      <c r="C87" s="828"/>
      <c r="D87" s="743" t="str">
        <f t="shared" si="45"/>
        <v>B2</v>
      </c>
      <c r="E87" s="704" t="str">
        <f t="shared" si="45"/>
        <v>쿠팡</v>
      </c>
      <c r="F87" s="704" t="str">
        <f t="shared" si="45"/>
        <v>상온창고</v>
      </c>
      <c r="G87" s="752">
        <f t="shared" si="41"/>
        <v>57.698001860542107</v>
      </c>
      <c r="H87" s="744">
        <f t="shared" si="45"/>
        <v>2728.21</v>
      </c>
      <c r="I87" s="745">
        <f t="shared" si="42"/>
        <v>49064</v>
      </c>
      <c r="J87" s="745"/>
      <c r="K87" s="754">
        <f t="shared" si="43"/>
        <v>2.5000000000000001E-2</v>
      </c>
      <c r="L87" s="711"/>
      <c r="M87" s="722"/>
      <c r="N87" s="747">
        <f t="shared" si="44"/>
        <v>2473424.877288952</v>
      </c>
      <c r="O87" s="733"/>
      <c r="P87" s="747">
        <f>$G87*$H87*(1+$K87)^MAX(ROUNDUP(IFERROR(DATEDIF($I69-1,P$15+1,"m"),)/12,)-1,)*Index!L$23*(P$15&gt;$I87)*(1-P$12)</f>
        <v>0</v>
      </c>
      <c r="Q87" s="747">
        <f>$G87*$H87*(1+$K87)^MAX(ROUNDUP(IFERROR(DATEDIF($I69-1,Q$15+1,"m"),)/12,)-1,)*Index!M$23*(Q$15&gt;$I87)*(1-Q$12)</f>
        <v>0</v>
      </c>
      <c r="R87" s="747">
        <f>$G87*$H87*(1+$K87)^MAX(ROUNDUP(IFERROR(DATEDIF($I69-1,R$15+1,"m"),)/12,)-1,)*Index!N$23*(R$15&gt;$I87)*(1-R$12)</f>
        <v>0</v>
      </c>
      <c r="S87" s="747">
        <f>$G87*$H87*(1+$K87)^MAX(ROUNDUP(IFERROR(DATEDIF($I69-1,S$15+1,"m"),)/12,)-1,)*Index!O$23*(S$15&gt;$I87)*(1-S$12)</f>
        <v>0</v>
      </c>
      <c r="T87" s="747">
        <f>$G87*$H87*(1+$K87)^MAX(ROUNDUP(IFERROR(DATEDIF($I69-1,T$15+1,"m"),)/12,)-1,)*Index!P$23*(T$15&gt;$I87)*(1-T$12)</f>
        <v>0</v>
      </c>
      <c r="U87" s="747">
        <f>$G87*$H87*(1+$K87)^MAX(ROUNDUP(IFERROR(DATEDIF($I69-1,U$15+1,"m"),)/12,)-1,)*Index!Q$23*(U$15&gt;$I87)*(1-U$12)</f>
        <v>0</v>
      </c>
      <c r="V87" s="747">
        <f>$G87*$H87*(1+$K87)^MAX(ROUNDUP(IFERROR(DATEDIF($I69-1,V$15+1,"m"),)/12,)-1,)*Index!R$23*(V$15&gt;$I87)*(1-V$12)</f>
        <v>0</v>
      </c>
      <c r="W87" s="747">
        <f>$G87*$H87*(1+$K87)^MAX(ROUNDUP(IFERROR(DATEDIF($I69-1,W$15+1,"m"),)/12,)-1,)*Index!S$23*(W$15&gt;$I87)*(1-W$12)</f>
        <v>0</v>
      </c>
      <c r="X87" s="747">
        <f>$G87*$H87*(1+$K87)^MAX(ROUNDUP(IFERROR(DATEDIF($I69-1,X$15+1,"m"),)/12,)-1,)*Index!T$23*(X$15&gt;$I87)*(1-X$12)</f>
        <v>0</v>
      </c>
      <c r="Y87" s="747">
        <f>$G87*$H87*(1+$K87)^MAX(ROUNDUP(IFERROR(DATEDIF($I69-1,Y$15+1,"m"),)/12,)-1,)*Index!U$23*(Y$15&gt;$I87)*(1-Y$12)</f>
        <v>0</v>
      </c>
      <c r="Z87" s="747">
        <f>$G87*$H87*(1+$K87)^MAX(ROUNDUP(IFERROR(DATEDIF($I69-1,Z$15+1,"m"),)/12,)-1,)*Index!V$23*(Z$15&gt;$I87)*(1-Z$12)</f>
        <v>0</v>
      </c>
      <c r="AA87" s="747">
        <f>$G87*$H87*(1+$K87)^MAX(ROUNDUP(IFERROR(DATEDIF($I69-1,AA$15+1,"m"),)/12,)-1,)*Index!W$23*(AA$15&gt;$I87)*(1-AA$12)</f>
        <v>0</v>
      </c>
      <c r="AB87" s="747">
        <f>$G87*$H87*(1+$K87)^MAX(ROUNDUP(IFERROR(DATEDIF($I69-1,AB$15+1,"m"),)/12,)-1,)*Index!X$23*(AB$15&gt;$I87)*(1-AB$12)</f>
        <v>0</v>
      </c>
      <c r="AC87" s="747">
        <f>$G87*$H87*(1+$K87)^MAX(ROUNDUP(IFERROR(DATEDIF($I69-1,AC$15+1,"m"),)/12,)-1,)*Index!Y$23*(AC$15&gt;$I87)*(1-AC$12)</f>
        <v>0</v>
      </c>
      <c r="AD87" s="747">
        <f>$G87*$H87*(1+$K87)^MAX(ROUNDUP(IFERROR(DATEDIF($I69-1,AD$15+1,"m"),)/12,)-1,)*Index!Z$23*(AD$15&gt;$I87)*(1-AD$12)</f>
        <v>0</v>
      </c>
      <c r="AE87" s="747">
        <f>$G87*$H87*(1+$K87)^MAX(ROUNDUP(IFERROR(DATEDIF($I69-1,AE$15+1,"m"),)/12,)-1,)*Index!AA$23*(AE$15&gt;$I87)*(1-AE$12)</f>
        <v>0</v>
      </c>
      <c r="AF87" s="747">
        <f>$G87*$H87*(1+$K87)^MAX(ROUNDUP(IFERROR(DATEDIF($I69-1,AF$15+1,"m"),)/12,)-1,)*Index!AB$23*(AF$15&gt;$I87)*(1-AF$12)</f>
        <v>0</v>
      </c>
      <c r="AG87" s="747">
        <f>$G87*$H87*(1+$K87)^MAX(ROUNDUP(IFERROR(DATEDIF($I69-1,AG$15+1,"m"),)/12,)-1,)*Index!AC$23*(AG$15&gt;$I87)*(1-AG$12)</f>
        <v>0</v>
      </c>
      <c r="AH87" s="747">
        <f>$G87*$H87*(1+$K87)^MAX(ROUNDUP(IFERROR(DATEDIF($I69-1,AH$15+1,"m"),)/12,)-1,)*Index!AD$23*(AH$15&gt;$I87)*(1-AH$12)</f>
        <v>0</v>
      </c>
      <c r="AI87" s="747">
        <f>$G87*$H87*(1+$K87)^MAX(ROUNDUP(IFERROR(DATEDIF($I69-1,AI$15+1,"m"),)/12,)-1,)*Index!AE$23*(AI$15&gt;$I87)*(1-AI$12)</f>
        <v>0</v>
      </c>
      <c r="AJ87" s="747">
        <f>$G87*$H87*(1+$K87)^MAX(ROUNDUP(IFERROR(DATEDIF($I69-1,AJ$15+1,"m"),)/12,)-1,)*Index!AF$23*(AJ$15&gt;$I87)*(1-AJ$12)</f>
        <v>0</v>
      </c>
      <c r="AK87" s="747">
        <f>$G87*$H87*(1+$K87)^MAX(ROUNDUP(IFERROR(DATEDIF($I69-1,AK$15+1,"m"),)/12,)-1,)*Index!AG$23*(AK$15&gt;$I87)*(1-AK$12)</f>
        <v>0</v>
      </c>
      <c r="AL87" s="747">
        <f>$G87*$H87*(1+$K87)^MAX(ROUNDUP(IFERROR(DATEDIF($I69-1,AL$15+1,"m"),)/12,)-1,)*Index!AH$23*(AL$15&gt;$I87)*(1-AL$12)</f>
        <v>0</v>
      </c>
      <c r="AM87" s="747">
        <f>$G87*$H87*(1+$K87)^MAX(ROUNDUP(IFERROR(DATEDIF($I69-1,AM$15+1,"m"),)/12,)-1,)*Index!AI$23*(AM$15&gt;$I87)*(1-AM$12)</f>
        <v>0</v>
      </c>
      <c r="AN87" s="747">
        <f>$G87*$H87*(1+$K87)^MAX(ROUNDUP(IFERROR(DATEDIF($I69-1,AN$15+1,"m"),)/12,)-1,)*Index!AJ$23*(AN$15&gt;$I87)*(1-AN$12)</f>
        <v>0</v>
      </c>
      <c r="AO87" s="747">
        <f>$G87*$H87*(1+$K87)^MAX(ROUNDUP(IFERROR(DATEDIF($I69-1,AO$15+1,"m"),)/12,)-1,)*Index!AK$23*(AO$15&gt;$I87)*(1-AO$12)</f>
        <v>0</v>
      </c>
      <c r="AP87" s="747">
        <f>$G87*$H87*(1+$K87)^MAX(ROUNDUP(IFERROR(DATEDIF($I69-1,AP$15+1,"m"),)/12,)-1,)*Index!AL$23*(AP$15&gt;$I87)*(1-AP$12)</f>
        <v>0</v>
      </c>
      <c r="AQ87" s="747">
        <f>$G87*$H87*(1+$K87)^MAX(ROUNDUP(IFERROR(DATEDIF($I69-1,AQ$15+1,"m"),)/12,)-1,)*Index!AM$23*(AQ$15&gt;$I87)*(1-AQ$12)</f>
        <v>0</v>
      </c>
      <c r="AR87" s="747">
        <f>$G87*$H87*(1+$K87)^MAX(ROUNDUP(IFERROR(DATEDIF($I69-1,AR$15+1,"m"),)/12,)-1,)*Index!AN$23*(AR$15&gt;$I87)*(1-AR$12)</f>
        <v>0</v>
      </c>
      <c r="AS87" s="747">
        <f>$G87*$H87*(1+$K87)^MAX(ROUNDUP(IFERROR(DATEDIF($I69-1,AS$15+1,"m"),)/12,)-1,)*Index!AO$23*(AS$15&gt;$I87)*(1-AS$12)</f>
        <v>0</v>
      </c>
      <c r="AT87" s="747">
        <f>$G87*$H87*(1+$K87)^MAX(ROUNDUP(IFERROR(DATEDIF($I69-1,AT$15+1,"m"),)/12,)-1,)*Index!AP$23*(AT$15&gt;$I87)*(1-AT$12)</f>
        <v>0</v>
      </c>
      <c r="AU87" s="747">
        <f>$G87*$H87*(1+$K87)^MAX(ROUNDUP(IFERROR(DATEDIF($I69-1,AU$15+1,"m"),)/12,)-1,)*Index!AQ$23*(AU$15&gt;$I87)*(1-AU$12)</f>
        <v>0</v>
      </c>
      <c r="AV87" s="747">
        <f>$G87*$H87*(1+$K87)^MAX(ROUNDUP(IFERROR(DATEDIF($I69-1,AV$15+1,"m"),)/12,)-1,)*Index!AR$23*(AV$15&gt;$I87)*(1-AV$12)</f>
        <v>0</v>
      </c>
      <c r="AW87" s="747">
        <f>$G87*$H87*(1+$K87)^MAX(ROUNDUP(IFERROR(DATEDIF($I69-1,AW$15+1,"m"),)/12,)-1,)*Index!AS$23*(AW$15&gt;$I87)*(1-AW$12)</f>
        <v>0</v>
      </c>
      <c r="AX87" s="747">
        <f>$G87*$H87*(1+$K87)^MAX(ROUNDUP(IFERROR(DATEDIF($I69-1,AX$15+1,"m"),)/12,)-1,)*Index!AT$23*(AX$15&gt;$I87)*(1-AX$12)</f>
        <v>0</v>
      </c>
      <c r="AY87" s="747">
        <f>$G87*$H87*(1+$K87)^MAX(ROUNDUP(IFERROR(DATEDIF($I69-1,AY$15+1,"m"),)/12,)-1,)*Index!AU$23*(AY$15&gt;$I87)*(1-AY$12)</f>
        <v>0</v>
      </c>
      <c r="AZ87" s="747">
        <f>$G87*$H87*(1+$K87)^MAX(ROUNDUP(IFERROR(DATEDIF($I69-1,AZ$15+1,"m"),)/12,)-1,)*Index!AV$23*(AZ$15&gt;$I87)*(1-AZ$12)</f>
        <v>0</v>
      </c>
      <c r="BA87" s="747">
        <f>$G87*$H87*(1+$K87)^MAX(ROUNDUP(IFERROR(DATEDIF($I69-1,BA$15+1,"m"),)/12,)-1,)*Index!AW$23*(BA$15&gt;$I87)*(1-BA$12)</f>
        <v>0</v>
      </c>
      <c r="BB87" s="747">
        <f>$G87*$H87*(1+$K87)^MAX(ROUNDUP(IFERROR(DATEDIF($I69-1,BB$15+1,"m"),)/12,)-1,)*Index!AX$23*(BB$15&gt;$I87)*(1-BB$12)</f>
        <v>0</v>
      </c>
      <c r="BC87" s="747">
        <f>$G87*$H87*(1+$K87)^MAX(ROUNDUP(IFERROR(DATEDIF($I69-1,BC$15+1,"m"),)/12,)-1,)*Index!AY$23*(BC$15&gt;$I87)*(1-BC$12)</f>
        <v>0</v>
      </c>
      <c r="BD87" s="747">
        <f>$G87*$H87*(1+$K87)^MAX(ROUNDUP(IFERROR(DATEDIF($I69-1,BD$15+1,"m"),)/12,)-1,)*Index!AZ$23*(BD$15&gt;$I87)*(1-BD$12)</f>
        <v>0</v>
      </c>
      <c r="BE87" s="747">
        <f>$G87*$H87*(1+$K87)^MAX(ROUNDUP(IFERROR(DATEDIF($I69-1,BE$15+1,"m"),)/12,)-1,)*Index!BA$23*(BE$15&gt;$I87)*(1-BE$12)</f>
        <v>0</v>
      </c>
      <c r="BF87" s="747">
        <f>$G87*$H87*(1+$K87)^MAX(ROUNDUP(IFERROR(DATEDIF($I69-1,BF$15+1,"m"),)/12,)-1,)*Index!BB$23*(BF$15&gt;$I87)*(1-BF$12)</f>
        <v>0</v>
      </c>
      <c r="BG87" s="747">
        <f>$G87*$H87*(1+$K87)^MAX(ROUNDUP(IFERROR(DATEDIF($I69-1,BG$15+1,"m"),)/12,)-1,)*Index!BC$23*(BG$15&gt;$I87)*(1-BG$12)</f>
        <v>0</v>
      </c>
      <c r="BH87" s="747">
        <f>$G87*$H87*(1+$K87)^MAX(ROUNDUP(IFERROR(DATEDIF($I69-1,BH$15+1,"m"),)/12,)-1,)*Index!BD$23*(BH$15&gt;$I87)*(1-BH$12)</f>
        <v>0</v>
      </c>
      <c r="BI87" s="747">
        <f>$G87*$H87*(1+$K87)^MAX(ROUNDUP(IFERROR(DATEDIF($I69-1,BI$15+1,"m"),)/12,)-1,)*Index!BE$23*(BI$15&gt;$I87)*(1-BI$12)</f>
        <v>0</v>
      </c>
      <c r="BJ87" s="747">
        <f>$G87*$H87*(1+$K87)^MAX(ROUNDUP(IFERROR(DATEDIF($I69-1,BJ$15+1,"m"),)/12,)-1,)*Index!BF$23*(BJ$15&gt;$I87)*(1-BJ$12)</f>
        <v>0</v>
      </c>
      <c r="BK87" s="747">
        <f>$G87*$H87*(1+$K87)^MAX(ROUNDUP(IFERROR(DATEDIF($I69-1,BK$15+1,"m"),)/12,)-1,)*Index!BG$23*(BK$15&gt;$I87)*(1-BK$12)</f>
        <v>0</v>
      </c>
      <c r="BL87" s="747">
        <f>$G87*$H87*(1+$K87)^MAX(ROUNDUP(IFERROR(DATEDIF($I69-1,BL$15+1,"m"),)/12,)-1,)*Index!BH$23*(BL$15&gt;$I87)*(1-BL$12)</f>
        <v>0</v>
      </c>
      <c r="BM87" s="747">
        <f>$G87*$H87*(1+$K87)^MAX(ROUNDUP(IFERROR(DATEDIF($I69-1,BM$15+1,"m"),)/12,)-1,)*Index!BI$23*(BM$15&gt;$I87)*(1-BM$12)</f>
        <v>0</v>
      </c>
      <c r="BN87" s="747">
        <f>$G87*$H87*(1+$K87)^MAX(ROUNDUP(IFERROR(DATEDIF($I69-1,BN$15+1,"m"),)/12,)-1,)*Index!BJ$23*(BN$15&gt;$I87)*(1-BN$12)</f>
        <v>0</v>
      </c>
      <c r="BO87" s="747">
        <f>$G87*$H87*(1+$K87)^MAX(ROUNDUP(IFERROR(DATEDIF($I69-1,BO$15+1,"m"),)/12,)-1,)*Index!BK$23*(BO$15&gt;$I87)*(1-BO$12)</f>
        <v>0</v>
      </c>
      <c r="BP87" s="747">
        <f>$G87*$H87*(1+$K87)^MAX(ROUNDUP(IFERROR(DATEDIF($I69-1,BP$15+1,"m"),)/12,)-1,)*Index!BL$23*(BP$15&gt;$I87)*(1-BP$12)</f>
        <v>0</v>
      </c>
      <c r="BQ87" s="747">
        <f>$G87*$H87*(1+$K87)^MAX(ROUNDUP(IFERROR(DATEDIF($I69-1,BQ$15+1,"m"),)/12,)-1,)*Index!BM$23*(BQ$15&gt;$I87)*(1-BQ$12)</f>
        <v>0</v>
      </c>
      <c r="BR87" s="747">
        <f>$G87*$H87*(1+$K87)^MAX(ROUNDUP(IFERROR(DATEDIF($I69-1,BR$15+1,"m"),)/12,)-1,)*Index!BN$23*(BR$15&gt;$I87)*(1-BR$12)</f>
        <v>0</v>
      </c>
      <c r="BS87" s="747">
        <f>$G87*$H87*(1+$K87)^MAX(ROUNDUP(IFERROR(DATEDIF($I69-1,BS$15+1,"m"),)/12,)-1,)*Index!BO$23*(BS$15&gt;$I87)*(1-BS$12)</f>
        <v>0</v>
      </c>
      <c r="BT87" s="747">
        <f>$G87*$H87*(1+$K87)^MAX(ROUNDUP(IFERROR(DATEDIF($I69-1,BT$15+1,"m"),)/12,)-1,)*Index!BP$23*(BT$15&gt;$I87)*(1-BT$12)</f>
        <v>0</v>
      </c>
      <c r="BU87" s="747">
        <f>$G87*$H87*(1+$K87)^MAX(ROUNDUP(IFERROR(DATEDIF($I69-1,BU$15+1,"m"),)/12,)-1,)*Index!BQ$23*(BU$15&gt;$I87)*(1-BU$12)</f>
        <v>0</v>
      </c>
      <c r="BV87" s="747">
        <f>$G87*$H87*(1+$K87)^MAX(ROUNDUP(IFERROR(DATEDIF($I69-1,BV$15+1,"m"),)/12,)-1,)*Index!BR$23*(BV$15&gt;$I87)*(1-BV$12)</f>
        <v>0</v>
      </c>
      <c r="BW87" s="747">
        <f>$G87*$H87*(1+$K87)^MAX(ROUNDUP(IFERROR(DATEDIF($I69-1,BW$15+1,"m"),)/12,)-1,)*Index!BS$23*(BW$15&gt;$I87)*(1-BW$12)</f>
        <v>0</v>
      </c>
      <c r="BX87" s="747">
        <f>$G87*$H87*(1+$K87)^MAX(ROUNDUP(IFERROR(DATEDIF($I69-1,BX$15+1,"m"),)/12,)-1,)*Index!BT$23*(BX$15&gt;$I87)*(1-BX$12)</f>
        <v>0</v>
      </c>
      <c r="BY87" s="747">
        <f>$G87*$H87*(1+$K87)^MAX(ROUNDUP(IFERROR(DATEDIF($I69-1,BY$15+1,"m"),)/12,)-1,)*Index!BU$23*(BY$15&gt;$I87)*(1-BY$12)</f>
        <v>0</v>
      </c>
      <c r="BZ87" s="747">
        <f>$G87*$H87*(1+$K87)^MAX(ROUNDUP(IFERROR(DATEDIF($I69-1,BZ$15+1,"m"),)/12,)-1,)*Index!BV$23*(BZ$15&gt;$I87)*(1-BZ$12)</f>
        <v>0</v>
      </c>
      <c r="CA87" s="747">
        <f>$G87*$H87*(1+$K87)^MAX(ROUNDUP(IFERROR(DATEDIF($I69-1,CA$15+1,"m"),)/12,)-1,)*Index!BW$23*(CA$15&gt;$I87)*(1-CA$12)</f>
        <v>0</v>
      </c>
      <c r="CB87" s="747">
        <f>$G87*$H87*(1+$K87)^MAX(ROUNDUP(IFERROR(DATEDIF($I69-1,CB$15+1,"m"),)/12,)-1,)*Index!BX$23*(CB$15&gt;$I87)*(1-CB$12)</f>
        <v>0</v>
      </c>
      <c r="CC87" s="747">
        <f>$G87*$H87*(1+$K87)^MAX(ROUNDUP(IFERROR(DATEDIF($I69-1,CC$15+1,"m"),)/12,)-1,)*Index!BY$23*(CC$15&gt;$I87)*(1-CC$12)</f>
        <v>0</v>
      </c>
      <c r="CD87" s="747">
        <f>$G87*$H87*(1+$K87)^MAX(ROUNDUP(IFERROR(DATEDIF($I69-1,CD$15+1,"m"),)/12,)-1,)*Index!BZ$23*(CD$15&gt;$I87)*(1-CD$12)</f>
        <v>0</v>
      </c>
      <c r="CE87" s="747">
        <f>$G87*$H87*(1+$K87)^MAX(ROUNDUP(IFERROR(DATEDIF($I69-1,CE$15+1,"m"),)/12,)-1,)*Index!CA$23*(CE$15&gt;$I87)*(1-CE$12)</f>
        <v>0</v>
      </c>
      <c r="CF87" s="747">
        <f>$G87*$H87*(1+$K87)^MAX(ROUNDUP(IFERROR(DATEDIF($I69-1,CF$15+1,"m"),)/12,)-1,)*Index!CB$23*(CF$15&gt;$I87)*(1-CF$12)</f>
        <v>0</v>
      </c>
      <c r="CG87" s="747">
        <f>$G87*$H87*(1+$K87)^MAX(ROUNDUP(IFERROR(DATEDIF($I69-1,CG$15+1,"m"),)/12,)-1,)*Index!CC$23*(CG$15&gt;$I87)*(1-CG$12)</f>
        <v>0</v>
      </c>
      <c r="CH87" s="747">
        <f>$G87*$H87*(1+$K87)^MAX(ROUNDUP(IFERROR(DATEDIF($I69-1,CH$15+1,"m"),)/12,)-1,)*Index!CD$23*(CH$15&gt;$I87)*(1-CH$12)</f>
        <v>0</v>
      </c>
      <c r="CI87" s="747">
        <f>$G87*$H87*(1+$K87)^MAX(ROUNDUP(IFERROR(DATEDIF($I69-1,CI$15+1,"m"),)/12,)-1,)*Index!CE$23*(CI$15&gt;$I87)*(1-CI$12)</f>
        <v>0</v>
      </c>
      <c r="CJ87" s="747">
        <f>$G87*$H87*(1+$K87)^MAX(ROUNDUP(IFERROR(DATEDIF($I69-1,CJ$15+1,"m"),)/12,)-1,)*Index!CF$23*(CJ$15&gt;$I87)*(1-CJ$12)</f>
        <v>0</v>
      </c>
      <c r="CK87" s="747">
        <f>$G87*$H87*(1+$K87)^MAX(ROUNDUP(IFERROR(DATEDIF($I69-1,CK$15+1,"m"),)/12,)-1,)*Index!CG$23*(CK$15&gt;$I87)*(1-CK$12)</f>
        <v>0</v>
      </c>
      <c r="CL87" s="747">
        <f>$G87*$H87*(1+$K87)^MAX(ROUNDUP(IFERROR(DATEDIF($I69-1,CL$15+1,"m"),)/12,)-1,)*Index!CH$23*(CL$15&gt;$I87)*(1-CL$12)</f>
        <v>0</v>
      </c>
      <c r="CM87" s="747">
        <f>$G87*$H87*(1+$K87)^MAX(ROUNDUP(IFERROR(DATEDIF($I69-1,CM$15+1,"m"),)/12,)-1,)*Index!CI$23*(CM$15&gt;$I87)*(1-CM$12)</f>
        <v>0</v>
      </c>
      <c r="CN87" s="747">
        <f>$G87*$H87*(1+$K87)^MAX(ROUNDUP(IFERROR(DATEDIF($I69-1,CN$15+1,"m"),)/12,)-1,)*Index!CJ$23*(CN$15&gt;$I87)*(1-CN$12)</f>
        <v>0</v>
      </c>
      <c r="CO87" s="747">
        <f>$G87*$H87*(1+$K87)^MAX(ROUNDUP(IFERROR(DATEDIF($I69-1,CO$15+1,"m"),)/12,)-1,)*Index!CK$23*(CO$15&gt;$I87)*(1-CO$12)</f>
        <v>0</v>
      </c>
      <c r="CP87" s="747">
        <f>$G87*$H87*(1+$K87)^MAX(ROUNDUP(IFERROR(DATEDIF($I69-1,CP$15+1,"m"),)/12,)-1,)*Index!CL$23*(CP$15&gt;$I87)*(1-CP$12)</f>
        <v>0</v>
      </c>
      <c r="CQ87" s="747">
        <f>$G87*$H87*(1+$K87)^MAX(ROUNDUP(IFERROR(DATEDIF($I69-1,CQ$15+1,"m"),)/12,)-1,)*Index!CM$23*(CQ$15&gt;$I87)*(1-CQ$12)</f>
        <v>0</v>
      </c>
      <c r="CR87" s="747">
        <f>$G87*$H87*(1+$K87)^MAX(ROUNDUP(IFERROR(DATEDIF($I69-1,CR$15+1,"m"),)/12,)-1,)*Index!CN$23*(CR$15&gt;$I87)*(1-CR$12)</f>
        <v>0</v>
      </c>
      <c r="CS87" s="747">
        <f>$G87*$H87*(1+$K87)^MAX(ROUNDUP(IFERROR(DATEDIF($I69-1,CS$15+1,"m"),)/12,)-1,)*Index!CO$23*(CS$15&gt;$I87)*(1-CS$12)</f>
        <v>0</v>
      </c>
      <c r="CT87" s="747">
        <f>$G87*$H87*(1+$K87)^MAX(ROUNDUP(IFERROR(DATEDIF($I69-1,CT$15+1,"m"),)/12,)-1,)*Index!CP$23*(CT$15&gt;$I87)*(1-CT$12)</f>
        <v>0</v>
      </c>
      <c r="CU87" s="747">
        <f>$G87*$H87*(1+$K87)^MAX(ROUNDUP(IFERROR(DATEDIF($I69-1,CU$15+1,"m"),)/12,)-1,)*Index!CQ$23*(CU$15&gt;$I87)*(1-CU$12)</f>
        <v>0</v>
      </c>
      <c r="CV87" s="747">
        <f>$G87*$H87*(1+$K87)^MAX(ROUNDUP(IFERROR(DATEDIF($I69-1,CV$15+1,"m"),)/12,)-1,)*Index!CR$23*(CV$15&gt;$I87)*(1-CV$12)</f>
        <v>0</v>
      </c>
      <c r="CW87" s="747">
        <f>$G87*$H87*(1+$K87)^MAX(ROUNDUP(IFERROR(DATEDIF($I69-1,CW$15+1,"m"),)/12,)-1,)*Index!CS$23*(CW$15&gt;$I87)*(1-CW$12)</f>
        <v>0</v>
      </c>
      <c r="CX87" s="747">
        <f>$G87*$H87*(1+$K87)^MAX(ROUNDUP(IFERROR(DATEDIF($I69-1,CX$15+1,"m"),)/12,)-1,)*Index!CT$23*(CX$15&gt;$I87)*(1-CX$12)</f>
        <v>0</v>
      </c>
      <c r="CY87" s="747">
        <f>$G87*$H87*(1+$K87)^MAX(ROUNDUP(IFERROR(DATEDIF($I69-1,CY$15+1,"m"),)/12,)-1,)*Index!CU$23*(CY$15&gt;$I87)*(1-CY$12)</f>
        <v>0</v>
      </c>
      <c r="CZ87" s="747">
        <f>$G87*$H87*(1+$K87)^MAX(ROUNDUP(IFERROR(DATEDIF($I69-1,CZ$15+1,"m"),)/12,)-1,)*Index!CV$23*(CZ$15&gt;$I87)*(1-CZ$12)</f>
        <v>0</v>
      </c>
      <c r="DA87" s="747">
        <f>$G87*$H87*(1+$K87)^MAX(ROUNDUP(IFERROR(DATEDIF($I69-1,DA$15+1,"m"),)/12,)-1,)*Index!CW$23*(DA$15&gt;$I87)*(1-DA$12)</f>
        <v>0</v>
      </c>
      <c r="DB87" s="747">
        <f>$G87*$H87*(1+$K87)^MAX(ROUNDUP(IFERROR(DATEDIF($I69-1,DB$15+1,"m"),)/12,)-1,)*Index!CX$23*(DB$15&gt;$I87)*(1-DB$12)</f>
        <v>0</v>
      </c>
      <c r="DC87" s="747">
        <f>$G87*$H87*(1+$K87)^MAX(ROUNDUP(IFERROR(DATEDIF($I69-1,DC$15+1,"m"),)/12,)-1,)*Index!CY$23*(DC$15&gt;$I87)*(1-DC$12)</f>
        <v>0</v>
      </c>
      <c r="DD87" s="747">
        <f>$G87*$H87*(1+$K87)^MAX(ROUNDUP(IFERROR(DATEDIF($I69-1,DD$15+1,"m"),)/12,)-1,)*Index!CZ$23*(DD$15&gt;$I87)*(1-DD$12)</f>
        <v>0</v>
      </c>
      <c r="DE87" s="747">
        <f>$G87*$H87*(1+$K87)^MAX(ROUNDUP(IFERROR(DATEDIF($I69-1,DE$15+1,"m"),)/12,)-1,)*Index!DA$23*(DE$15&gt;$I87)*(1-DE$12)</f>
        <v>0</v>
      </c>
      <c r="DF87" s="747">
        <f>$G87*$H87*(1+$K87)^MAX(ROUNDUP(IFERROR(DATEDIF($I69-1,DF$15+1,"m"),)/12,)-1,)*Index!DB$23*(DF$15&gt;$I87)*(1-DF$12)</f>
        <v>0</v>
      </c>
      <c r="DG87" s="747">
        <f>$G87*$H87*(1+$K87)^MAX(ROUNDUP(IFERROR(DATEDIF($I69-1,DG$15+1,"m"),)/12,)-1,)*Index!DC$23*(DG$15&gt;$I87)*(1-DG$12)</f>
        <v>0</v>
      </c>
      <c r="DH87" s="747">
        <f>$G87*$H87*(1+$K87)^MAX(ROUNDUP(IFERROR(DATEDIF($I69-1,DH$15+1,"m"),)/12,)-1,)*Index!DD$23*(DH$15&gt;$I87)*(1-DH$12)</f>
        <v>0</v>
      </c>
      <c r="DI87" s="747">
        <f>$G87*$H87*(1+$K87)^MAX(ROUNDUP(IFERROR(DATEDIF($I69-1,DI$15+1,"m"),)/12,)-1,)*Index!DE$23*(DI$15&gt;$I87)*(1-DI$12)</f>
        <v>0</v>
      </c>
      <c r="DJ87" s="747">
        <f>$G87*$H87*(1+$K87)^MAX(ROUNDUP(IFERROR(DATEDIF($I69-1,DJ$15+1,"m"),)/12,)-1,)*Index!DF$23*(DJ$15&gt;$I87)*(1-DJ$12)</f>
        <v>0</v>
      </c>
      <c r="DK87" s="747">
        <f>$G87*$H87*(1+$K87)^MAX(ROUNDUP(IFERROR(DATEDIF($I69-1,DK$15+1,"m"),)/12,)-1,)*Index!DG$23*(DK$15&gt;$I87)*(1-DK$12)</f>
        <v>0</v>
      </c>
      <c r="DL87" s="747">
        <f>$G87*$H87*(1+$K87)^MAX(ROUNDUP(IFERROR(DATEDIF($I69-1,DL$15+1,"m"),)/12,)-1,)*Index!DH$23*(DL$15&gt;$I87)*(1-DL$12)</f>
        <v>0</v>
      </c>
      <c r="DM87" s="747">
        <f>$G87*$H87*(1+$K87)^MAX(ROUNDUP(IFERROR(DATEDIF($I69-1,DM$15+1,"m"),)/12,)-1,)*Index!DI$23*(DM$15&gt;$I87)*(1-DM$12)</f>
        <v>0</v>
      </c>
      <c r="DN87" s="747">
        <f>$G87*$H87*(1+$K87)^MAX(ROUNDUP(IFERROR(DATEDIF($I69-1,DN$15+1,"m"),)/12,)-1,)*Index!DJ$23*(DN$15&gt;$I87)*(1-DN$12)</f>
        <v>0</v>
      </c>
      <c r="DO87" s="747">
        <f>$G87*$H87*(1+$K87)^MAX(ROUNDUP(IFERROR(DATEDIF($I69-1,DO$15+1,"m"),)/12,)-1,)*Index!DK$23*(DO$15&gt;$I87)*(1-DO$12)</f>
        <v>0</v>
      </c>
      <c r="DP87" s="747">
        <f>$G87*$H87*(1+$K87)^MAX(ROUNDUP(IFERROR(DATEDIF($I69-1,DP$15+1,"m"),)/12,)-1,)*Index!DL$23*(DP$15&gt;$I87)*(1-DP$12)</f>
        <v>0</v>
      </c>
      <c r="DQ87" s="747">
        <f>$G87*$H87*(1+$K87)^MAX(ROUNDUP(IFERROR(DATEDIF($I69-1,DQ$15+1,"m"),)/12,)-1,)*Index!DM$23*(DQ$15&gt;$I87)*(1-DQ$12)</f>
        <v>0</v>
      </c>
      <c r="DR87" s="747">
        <f>$G87*$H87*(1+$K87)^MAX(ROUNDUP(IFERROR(DATEDIF($I69-1,DR$15+1,"m"),)/12,)-1,)*Index!DN$23*(DR$15&gt;$I87)*(1-DR$12)</f>
        <v>0</v>
      </c>
      <c r="DS87" s="747">
        <f>$G87*$H87*(1+$K87)^MAX(ROUNDUP(IFERROR(DATEDIF($I69-1,DS$15+1,"m"),)/12,)-1,)*Index!DO$23*(DS$15&gt;$I87)*(1-DS$12)</f>
        <v>0</v>
      </c>
      <c r="DT87" s="747">
        <f>$G87*$H87*(1+$K87)^MAX(ROUNDUP(IFERROR(DATEDIF($I69-1,DT$15+1,"m"),)/12,)-1,)*Index!DP$23*(DT$15&gt;$I87)*(1-DT$12)</f>
        <v>0</v>
      </c>
      <c r="DU87" s="747">
        <f>$G87*$H87*(1+$K87)^MAX(ROUNDUP(IFERROR(DATEDIF($I69-1,DU$15+1,"m"),)/12,)-1,)*Index!DQ$23*(DU$15&gt;$I87)*(1-DU$12)</f>
        <v>0</v>
      </c>
      <c r="DV87" s="747">
        <f>$G87*$H87*(1+$K87)^MAX(ROUNDUP(IFERROR(DATEDIF($I69-1,DV$15+1,"m"),)/12,)-1,)*Index!DR$23*(DV$15&gt;$I87)*(1-DV$12)</f>
        <v>0</v>
      </c>
      <c r="DW87" s="747">
        <f>$G87*$H87*(1+$K87)^MAX(ROUNDUP(IFERROR(DATEDIF($I69-1,DW$15+1,"m"),)/12,)-1,)*Index!DS$23*(DW$15&gt;$I87)*(1-DW$12)</f>
        <v>0</v>
      </c>
      <c r="DX87" s="747">
        <f>$G87*$H87*(1+$K87)^MAX(ROUNDUP(IFERROR(DATEDIF($I69-1,DX$15+1,"m"),)/12,)-1,)*Index!DT$23*(DX$15&gt;$I87)*(1-DX$12)</f>
        <v>0</v>
      </c>
      <c r="DY87" s="747">
        <f>$G87*$H87*(1+$K87)^MAX(ROUNDUP(IFERROR(DATEDIF($I69-1,DY$15+1,"m"),)/12,)-1,)*Index!DU$23*(DY$15&gt;$I87)*(1-DY$12)</f>
        <v>0</v>
      </c>
      <c r="DZ87" s="747">
        <f>$G87*$H87*(1+$K87)^MAX(ROUNDUP(IFERROR(DATEDIF($I69-1,DZ$15+1,"m"),)/12,)-1,)*Index!DV$23*(DZ$15&gt;$I87)*(1-DZ$12)</f>
        <v>0</v>
      </c>
      <c r="EA87" s="747">
        <f>$G87*$H87*(1+$K87)^MAX(ROUNDUP(IFERROR(DATEDIF($I69-1,EA$15+1,"m"),)/12,)-1,)*Index!DW$23*(EA$15&gt;$I87)*(1-EA$12)</f>
        <v>0</v>
      </c>
      <c r="EB87" s="747">
        <f>$G87*$H87*(1+$K87)^MAX(ROUNDUP(IFERROR(DATEDIF($I69-1,EB$15+1,"m"),)/12,)-1,)*Index!DX$23*(EB$15&gt;$I87)*(1-EB$12)</f>
        <v>0</v>
      </c>
      <c r="EC87" s="747">
        <f>$G87*$H87*(1+$K87)^MAX(ROUNDUP(IFERROR(DATEDIF($I69-1,EC$15+1,"m"),)/12,)-1,)*Index!DY$23*(EC$15&gt;$I87)*(1-EC$12)</f>
        <v>0</v>
      </c>
      <c r="ED87" s="747">
        <f>$G87*$H87*(1+$K87)^MAX(ROUNDUP(IFERROR(DATEDIF($I69-1,ED$15+1,"m"),)/12,)-1,)*Index!DZ$23*(ED$15&gt;$I87)*(1-ED$12)</f>
        <v>0</v>
      </c>
      <c r="EE87" s="747">
        <f>$G87*$H87*(1+$K87)^MAX(ROUNDUP(IFERROR(DATEDIF($I69-1,EE$15+1,"m"),)/12,)-1,)*Index!EA$23*(EE$15&gt;$I87)*(1-EE$12)</f>
        <v>0</v>
      </c>
      <c r="EF87" s="747">
        <f>$G87*$H87*(1+$K87)^MAX(ROUNDUP(IFERROR(DATEDIF($I69-1,EF$15+1,"m"),)/12,)-1,)*Index!EB$23*(EF$15&gt;$I87)*(1-EF$12)</f>
        <v>0</v>
      </c>
      <c r="EG87" s="747">
        <f>$G87*$H87*(1+$K87)^MAX(ROUNDUP(IFERROR(DATEDIF($I69-1,EG$15+1,"m"),)/12,)-1,)*Index!EC$23*(EG$15&gt;$I87)*(1-EG$12)</f>
        <v>201501.00833311211</v>
      </c>
      <c r="EH87" s="747">
        <f>$G87*$H87*(1+$K87)^MAX(ROUNDUP(IFERROR(DATEDIF($I69-1,EH$15+1,"m"),)/12,)-1,)*Index!ED$23*(EH$15&gt;$I87)*(1-EH$12)</f>
        <v>206538.53354143992</v>
      </c>
      <c r="EI87" s="747">
        <f>$G87*$H87*(1+$K87)^MAX(ROUNDUP(IFERROR(DATEDIF($I69-1,EI$15+1,"m"),)/12,)-1,)*Index!EE$23*(EI$15&gt;$I87)*(1-EI$12)</f>
        <v>206538.53354143992</v>
      </c>
      <c r="EJ87" s="747">
        <f>$G87*$H87*(1+$K87)^MAX(ROUNDUP(IFERROR(DATEDIF($I69-1,EJ$15+1,"m"),)/12,)-1,)*Index!EF$23*(EJ$15&gt;$I87)*(1-EJ$12)</f>
        <v>206538.53354143992</v>
      </c>
      <c r="EK87" s="747">
        <f>$G87*$H87*(1+$K87)^MAX(ROUNDUP(IFERROR(DATEDIF($I69-1,EK$15+1,"m"),)/12,)-1,)*Index!EG$23*(EK$15&gt;$I87)*(1-EK$12)</f>
        <v>206538.53354143992</v>
      </c>
      <c r="EL87" s="747">
        <f>$G87*$H87*(1+$K87)^MAX(ROUNDUP(IFERROR(DATEDIF($I69-1,EL$15+1,"m"),)/12,)-1,)*Index!EH$23*(EL$15&gt;$I87)*(1-EL$12)</f>
        <v>206538.53354143992</v>
      </c>
      <c r="EM87" s="747">
        <f>$G87*$H87*(1+$K87)^MAX(ROUNDUP(IFERROR(DATEDIF($I69-1,EM$15+1,"m"),)/12,)-1,)*Index!EI$23*(EM$15&gt;$I87)*(1-EM$12)</f>
        <v>206538.53354143992</v>
      </c>
      <c r="EN87" s="747">
        <f>$G87*$H87*(1+$K87)^MAX(ROUNDUP(IFERROR(DATEDIF($I69-1,EN$15+1,"m"),)/12,)-1,)*Index!EJ$23*(EN$15&gt;$I87)*(1-EN$12)</f>
        <v>206538.53354143992</v>
      </c>
      <c r="EO87" s="747">
        <f>$G87*$H87*(1+$K87)^MAX(ROUNDUP(IFERROR(DATEDIF($I69-1,EO$15+1,"m"),)/12,)-1,)*Index!EK$23*(EO$15&gt;$I87)*(1-EO$12)</f>
        <v>206538.53354143992</v>
      </c>
      <c r="EP87" s="747">
        <f>$G87*$H87*(1+$K87)^MAX(ROUNDUP(IFERROR(DATEDIF($I69-1,EP$15+1,"m"),)/12,)-1,)*Index!EL$23*(EP$15&gt;$I87)*(1-EP$12)</f>
        <v>206538.53354143992</v>
      </c>
      <c r="EQ87" s="747">
        <f>$G87*$H87*(1+$K87)^MAX(ROUNDUP(IFERROR(DATEDIF($I69-1,EQ$15+1,"m"),)/12,)-1,)*Index!EM$23*(EQ$15&gt;$I87)*(1-EQ$12)</f>
        <v>206538.53354143992</v>
      </c>
      <c r="ER87" s="747">
        <f>$G87*$H87*(1+$K87)^MAX(ROUNDUP(IFERROR(DATEDIF($I69-1,ER$15+1,"m"),)/12,)-1,)*Index!EN$23*(ER$15&gt;$I87)*(1-ER$12)</f>
        <v>206538.53354143992</v>
      </c>
      <c r="ES87" s="747">
        <f>$G87*$H87*(1+$K87)^MAX(ROUNDUP(IFERROR(DATEDIF($I69-1,ES$15+1,"m"),)/12,)-1,)*Index!EO$23*(ES$15&gt;$I87)*(1-ES$12)</f>
        <v>0</v>
      </c>
      <c r="ET87" s="747">
        <f>$G87*$H87*(1+$K87)^MAX(ROUNDUP(IFERROR(DATEDIF($I69-1,ET$15+1,"m"),)/12,)-1,)*Index!EP$23*(ET$15&gt;$I87)*(1-ET$12)</f>
        <v>0</v>
      </c>
      <c r="EU87" s="747">
        <f>$G87*$H87*(1+$K87)^MAX(ROUNDUP(IFERROR(DATEDIF($I69-1,EU$15+1,"m"),)/12,)-1,)*Index!EQ$23*(EU$15&gt;$I87)*(1-EU$12)</f>
        <v>0</v>
      </c>
    </row>
    <row r="88" spans="1:151" ht="11.25" customHeight="1">
      <c r="C88" s="728" t="s">
        <v>487</v>
      </c>
      <c r="D88" s="729"/>
      <c r="E88" s="729"/>
      <c r="F88" s="729"/>
      <c r="G88" s="729"/>
      <c r="H88" s="729"/>
      <c r="I88" s="729"/>
      <c r="J88" s="729"/>
      <c r="K88" s="729"/>
      <c r="L88" s="730"/>
      <c r="M88" s="731"/>
      <c r="N88" s="732">
        <f>SUM(N89:N105)</f>
        <v>73</v>
      </c>
      <c r="O88" s="733"/>
      <c r="P88" s="734">
        <f>SUM(P89:P105)</f>
        <v>1</v>
      </c>
      <c r="Q88" s="734">
        <f t="shared" ref="Q88:CB88" si="46">SUM(Q89:Q105)</f>
        <v>1</v>
      </c>
      <c r="R88" s="734">
        <f t="shared" si="46"/>
        <v>0.5</v>
      </c>
      <c r="S88" s="734">
        <f t="shared" si="46"/>
        <v>2</v>
      </c>
      <c r="T88" s="734">
        <f t="shared" si="46"/>
        <v>1</v>
      </c>
      <c r="U88" s="734">
        <f t="shared" si="46"/>
        <v>1</v>
      </c>
      <c r="V88" s="734">
        <f t="shared" si="46"/>
        <v>0.5</v>
      </c>
      <c r="W88" s="734">
        <f t="shared" si="46"/>
        <v>1</v>
      </c>
      <c r="X88" s="734">
        <f t="shared" si="46"/>
        <v>1</v>
      </c>
      <c r="Y88" s="734">
        <f t="shared" si="46"/>
        <v>0.5</v>
      </c>
      <c r="Z88" s="734">
        <f t="shared" si="46"/>
        <v>0</v>
      </c>
      <c r="AA88" s="734">
        <f t="shared" si="46"/>
        <v>0</v>
      </c>
      <c r="AB88" s="734">
        <f t="shared" si="46"/>
        <v>1</v>
      </c>
      <c r="AC88" s="734">
        <f t="shared" si="46"/>
        <v>1</v>
      </c>
      <c r="AD88" s="734">
        <f t="shared" si="46"/>
        <v>0.5</v>
      </c>
      <c r="AE88" s="734">
        <f t="shared" si="46"/>
        <v>2</v>
      </c>
      <c r="AF88" s="734">
        <f t="shared" si="46"/>
        <v>1</v>
      </c>
      <c r="AG88" s="734">
        <f t="shared" si="46"/>
        <v>1</v>
      </c>
      <c r="AH88" s="734">
        <f t="shared" si="46"/>
        <v>0.5</v>
      </c>
      <c r="AI88" s="734">
        <f t="shared" si="46"/>
        <v>1</v>
      </c>
      <c r="AJ88" s="734">
        <f t="shared" si="46"/>
        <v>1</v>
      </c>
      <c r="AK88" s="734">
        <f t="shared" si="46"/>
        <v>0.5</v>
      </c>
      <c r="AL88" s="734">
        <f t="shared" si="46"/>
        <v>0</v>
      </c>
      <c r="AM88" s="734">
        <f t="shared" si="46"/>
        <v>0</v>
      </c>
      <c r="AN88" s="734">
        <f t="shared" si="46"/>
        <v>1</v>
      </c>
      <c r="AO88" s="734">
        <f t="shared" si="46"/>
        <v>0</v>
      </c>
      <c r="AP88" s="734">
        <f t="shared" si="46"/>
        <v>0.5</v>
      </c>
      <c r="AQ88" s="734">
        <f t="shared" si="46"/>
        <v>1</v>
      </c>
      <c r="AR88" s="734">
        <f t="shared" si="46"/>
        <v>0</v>
      </c>
      <c r="AS88" s="734">
        <f t="shared" si="46"/>
        <v>1</v>
      </c>
      <c r="AT88" s="734">
        <f t="shared" si="46"/>
        <v>0.5</v>
      </c>
      <c r="AU88" s="734">
        <f t="shared" si="46"/>
        <v>0</v>
      </c>
      <c r="AV88" s="734">
        <f t="shared" si="46"/>
        <v>9</v>
      </c>
      <c r="AW88" s="734">
        <f t="shared" si="46"/>
        <v>8.5</v>
      </c>
      <c r="AX88" s="734">
        <f t="shared" si="46"/>
        <v>8</v>
      </c>
      <c r="AY88" s="734">
        <f t="shared" si="46"/>
        <v>8</v>
      </c>
      <c r="AZ88" s="734">
        <f t="shared" si="46"/>
        <v>9</v>
      </c>
      <c r="BA88" s="734">
        <f t="shared" si="46"/>
        <v>0</v>
      </c>
      <c r="BB88" s="734">
        <f t="shared" si="46"/>
        <v>0</v>
      </c>
      <c r="BC88" s="734">
        <f t="shared" si="46"/>
        <v>0</v>
      </c>
      <c r="BD88" s="734">
        <f t="shared" si="46"/>
        <v>0</v>
      </c>
      <c r="BE88" s="734">
        <f t="shared" si="46"/>
        <v>1</v>
      </c>
      <c r="BF88" s="734">
        <f t="shared" si="46"/>
        <v>0.5</v>
      </c>
      <c r="BG88" s="734">
        <f t="shared" si="46"/>
        <v>0</v>
      </c>
      <c r="BH88" s="734">
        <f t="shared" si="46"/>
        <v>0</v>
      </c>
      <c r="BI88" s="734">
        <f t="shared" si="46"/>
        <v>0</v>
      </c>
      <c r="BJ88" s="734">
        <f t="shared" si="46"/>
        <v>0</v>
      </c>
      <c r="BK88" s="734">
        <f t="shared" si="46"/>
        <v>0</v>
      </c>
      <c r="BL88" s="734">
        <f t="shared" si="46"/>
        <v>0</v>
      </c>
      <c r="BM88" s="734">
        <f t="shared" si="46"/>
        <v>0</v>
      </c>
      <c r="BN88" s="734">
        <f t="shared" si="46"/>
        <v>0</v>
      </c>
      <c r="BO88" s="734">
        <f t="shared" si="46"/>
        <v>0</v>
      </c>
      <c r="BP88" s="734">
        <f t="shared" si="46"/>
        <v>0</v>
      </c>
      <c r="BQ88" s="734">
        <f t="shared" si="46"/>
        <v>1</v>
      </c>
      <c r="BR88" s="734">
        <f t="shared" si="46"/>
        <v>0.5</v>
      </c>
      <c r="BS88" s="734">
        <f t="shared" si="46"/>
        <v>0</v>
      </c>
      <c r="BT88" s="734">
        <f t="shared" si="46"/>
        <v>0</v>
      </c>
      <c r="BU88" s="734">
        <f t="shared" si="46"/>
        <v>0</v>
      </c>
      <c r="BV88" s="734">
        <f t="shared" si="46"/>
        <v>0</v>
      </c>
      <c r="BW88" s="734">
        <f t="shared" si="46"/>
        <v>0</v>
      </c>
      <c r="BX88" s="734">
        <f t="shared" si="46"/>
        <v>0</v>
      </c>
      <c r="BY88" s="734">
        <f t="shared" si="46"/>
        <v>0</v>
      </c>
      <c r="BZ88" s="734">
        <f t="shared" si="46"/>
        <v>0</v>
      </c>
      <c r="CA88" s="734">
        <f t="shared" si="46"/>
        <v>0</v>
      </c>
      <c r="CB88" s="734">
        <f t="shared" si="46"/>
        <v>0</v>
      </c>
      <c r="CC88" s="734">
        <f t="shared" ref="CC88:EN88" si="47">SUM(CC89:CC105)</f>
        <v>1</v>
      </c>
      <c r="CD88" s="734">
        <f t="shared" si="47"/>
        <v>0.5</v>
      </c>
      <c r="CE88" s="734">
        <f t="shared" si="47"/>
        <v>0</v>
      </c>
      <c r="CF88" s="734">
        <f t="shared" si="47"/>
        <v>0</v>
      </c>
      <c r="CG88" s="734">
        <f t="shared" si="47"/>
        <v>0</v>
      </c>
      <c r="CH88" s="734">
        <f t="shared" si="47"/>
        <v>0</v>
      </c>
      <c r="CI88" s="734">
        <f t="shared" si="47"/>
        <v>0</v>
      </c>
      <c r="CJ88" s="734">
        <f t="shared" si="47"/>
        <v>0</v>
      </c>
      <c r="CK88" s="734">
        <f t="shared" si="47"/>
        <v>0</v>
      </c>
      <c r="CL88" s="734">
        <f t="shared" si="47"/>
        <v>0</v>
      </c>
      <c r="CM88" s="734">
        <f t="shared" si="47"/>
        <v>0</v>
      </c>
      <c r="CN88" s="734">
        <f t="shared" si="47"/>
        <v>0</v>
      </c>
      <c r="CO88" s="734">
        <f t="shared" si="47"/>
        <v>1</v>
      </c>
      <c r="CP88" s="734">
        <f t="shared" si="47"/>
        <v>0.5</v>
      </c>
      <c r="CQ88" s="734">
        <f t="shared" si="47"/>
        <v>0</v>
      </c>
      <c r="CR88" s="734">
        <f t="shared" si="47"/>
        <v>0</v>
      </c>
      <c r="CS88" s="734">
        <f t="shared" si="47"/>
        <v>0</v>
      </c>
      <c r="CT88" s="734">
        <f t="shared" si="47"/>
        <v>0</v>
      </c>
      <c r="CU88" s="734">
        <f t="shared" si="47"/>
        <v>0</v>
      </c>
      <c r="CV88" s="734">
        <f t="shared" si="47"/>
        <v>0</v>
      </c>
      <c r="CW88" s="734">
        <f t="shared" si="47"/>
        <v>0</v>
      </c>
      <c r="CX88" s="734">
        <f t="shared" si="47"/>
        <v>0</v>
      </c>
      <c r="CY88" s="734">
        <f t="shared" si="47"/>
        <v>0</v>
      </c>
      <c r="CZ88" s="734">
        <f t="shared" si="47"/>
        <v>0</v>
      </c>
      <c r="DA88" s="734">
        <f t="shared" si="47"/>
        <v>1</v>
      </c>
      <c r="DB88" s="734">
        <f t="shared" si="47"/>
        <v>0.5</v>
      </c>
      <c r="DC88" s="734">
        <f t="shared" si="47"/>
        <v>0</v>
      </c>
      <c r="DD88" s="734">
        <f t="shared" si="47"/>
        <v>0</v>
      </c>
      <c r="DE88" s="734">
        <f t="shared" si="47"/>
        <v>0</v>
      </c>
      <c r="DF88" s="734">
        <f t="shared" si="47"/>
        <v>0</v>
      </c>
      <c r="DG88" s="734">
        <f t="shared" si="47"/>
        <v>0</v>
      </c>
      <c r="DH88" s="734">
        <f t="shared" si="47"/>
        <v>0</v>
      </c>
      <c r="DI88" s="734">
        <f t="shared" si="47"/>
        <v>0</v>
      </c>
      <c r="DJ88" s="734">
        <f t="shared" si="47"/>
        <v>0</v>
      </c>
      <c r="DK88" s="734">
        <f t="shared" si="47"/>
        <v>0</v>
      </c>
      <c r="DL88" s="734">
        <f t="shared" si="47"/>
        <v>0</v>
      </c>
      <c r="DM88" s="734">
        <f t="shared" si="47"/>
        <v>0</v>
      </c>
      <c r="DN88" s="734">
        <f t="shared" si="47"/>
        <v>0</v>
      </c>
      <c r="DO88" s="734">
        <f t="shared" si="47"/>
        <v>0</v>
      </c>
      <c r="DP88" s="734">
        <f t="shared" si="47"/>
        <v>0</v>
      </c>
      <c r="DQ88" s="734">
        <f t="shared" si="47"/>
        <v>0</v>
      </c>
      <c r="DR88" s="734">
        <f t="shared" si="47"/>
        <v>0</v>
      </c>
      <c r="DS88" s="734">
        <f t="shared" si="47"/>
        <v>0</v>
      </c>
      <c r="DT88" s="734">
        <f t="shared" si="47"/>
        <v>0</v>
      </c>
      <c r="DU88" s="734">
        <f t="shared" si="47"/>
        <v>0</v>
      </c>
      <c r="DV88" s="734">
        <f t="shared" si="47"/>
        <v>0</v>
      </c>
      <c r="DW88" s="734">
        <f t="shared" si="47"/>
        <v>0</v>
      </c>
      <c r="DX88" s="734">
        <f t="shared" si="47"/>
        <v>0</v>
      </c>
      <c r="DY88" s="734">
        <f t="shared" si="47"/>
        <v>0</v>
      </c>
      <c r="DZ88" s="734">
        <f t="shared" si="47"/>
        <v>0</v>
      </c>
      <c r="EA88" s="734">
        <f t="shared" si="47"/>
        <v>0</v>
      </c>
      <c r="EB88" s="734">
        <f t="shared" si="47"/>
        <v>0</v>
      </c>
      <c r="EC88" s="734">
        <f t="shared" si="47"/>
        <v>0</v>
      </c>
      <c r="ED88" s="734">
        <f t="shared" si="47"/>
        <v>0</v>
      </c>
      <c r="EE88" s="734">
        <f t="shared" si="47"/>
        <v>0</v>
      </c>
      <c r="EF88" s="734">
        <f t="shared" si="47"/>
        <v>0</v>
      </c>
      <c r="EG88" s="734">
        <f t="shared" si="47"/>
        <v>0</v>
      </c>
      <c r="EH88" s="734">
        <f t="shared" si="47"/>
        <v>0</v>
      </c>
      <c r="EI88" s="734">
        <f t="shared" si="47"/>
        <v>0</v>
      </c>
      <c r="EJ88" s="734">
        <f t="shared" si="47"/>
        <v>0</v>
      </c>
      <c r="EK88" s="734">
        <f t="shared" si="47"/>
        <v>0</v>
      </c>
      <c r="EL88" s="734">
        <f t="shared" si="47"/>
        <v>0</v>
      </c>
      <c r="EM88" s="734">
        <f t="shared" si="47"/>
        <v>0</v>
      </c>
      <c r="EN88" s="734">
        <f t="shared" si="47"/>
        <v>0</v>
      </c>
      <c r="EO88" s="734">
        <f t="shared" ref="EO88:EU88" si="48">SUM(EO89:EO105)</f>
        <v>0</v>
      </c>
      <c r="EP88" s="734">
        <f t="shared" si="48"/>
        <v>0</v>
      </c>
      <c r="EQ88" s="734">
        <f t="shared" si="48"/>
        <v>0</v>
      </c>
      <c r="ER88" s="734">
        <f t="shared" si="48"/>
        <v>0</v>
      </c>
      <c r="ES88" s="734">
        <f t="shared" si="48"/>
        <v>0</v>
      </c>
      <c r="ET88" s="734">
        <f t="shared" si="48"/>
        <v>0</v>
      </c>
      <c r="EU88" s="734">
        <f t="shared" si="48"/>
        <v>0</v>
      </c>
    </row>
    <row r="89" spans="1:151" s="771" customFormat="1" ht="11.25" customHeight="1">
      <c r="A89" s="704"/>
      <c r="B89" s="704"/>
      <c r="C89" s="735"/>
      <c r="D89" s="736" t="str">
        <f>'A&amp;R'!V6</f>
        <v>옥상</v>
      </c>
      <c r="E89" s="737" t="s">
        <v>850</v>
      </c>
      <c r="F89" s="737" t="str">
        <f>'A&amp;R'!X6</f>
        <v>태양광시설</v>
      </c>
      <c r="G89" s="751"/>
      <c r="H89" s="738"/>
      <c r="I89" s="739"/>
      <c r="J89" s="739"/>
      <c r="K89" s="738">
        <f>SUMPRODUCT($P89:$EU89,Index!$L$22:$EQ$22)/('A&amp;R'!$F$37/10)</f>
        <v>0</v>
      </c>
      <c r="L89" s="740"/>
      <c r="M89" s="741"/>
      <c r="N89" s="755"/>
      <c r="O89" s="733"/>
      <c r="P89" s="770"/>
      <c r="Q89" s="770"/>
      <c r="R89" s="770"/>
      <c r="S89" s="770"/>
      <c r="T89" s="770"/>
      <c r="U89" s="770"/>
      <c r="V89" s="770"/>
      <c r="W89" s="770"/>
      <c r="X89" s="770"/>
      <c r="Y89" s="770"/>
      <c r="Z89" s="770"/>
      <c r="AA89" s="770"/>
      <c r="AB89" s="770"/>
      <c r="AC89" s="770"/>
      <c r="AD89" s="770"/>
      <c r="AE89" s="770"/>
      <c r="AF89" s="770"/>
      <c r="AG89" s="770"/>
      <c r="AH89" s="770"/>
      <c r="AI89" s="770"/>
      <c r="AJ89" s="770"/>
      <c r="AK89" s="770"/>
      <c r="AL89" s="770"/>
      <c r="AM89" s="770"/>
      <c r="AN89" s="770"/>
      <c r="AO89" s="770"/>
      <c r="AP89" s="770"/>
      <c r="AQ89" s="770"/>
      <c r="AR89" s="770"/>
      <c r="AS89" s="770"/>
      <c r="AT89" s="770"/>
      <c r="AU89" s="770"/>
      <c r="AV89" s="770"/>
      <c r="AW89" s="770"/>
      <c r="AX89" s="770"/>
      <c r="AY89" s="770"/>
      <c r="AZ89" s="770"/>
      <c r="BA89" s="770"/>
      <c r="BB89" s="770"/>
      <c r="BC89" s="770"/>
      <c r="BD89" s="770"/>
      <c r="BE89" s="770"/>
      <c r="BF89" s="770"/>
      <c r="BG89" s="770"/>
      <c r="BH89" s="770"/>
      <c r="BI89" s="770"/>
      <c r="BJ89" s="770"/>
      <c r="BK89" s="770"/>
      <c r="BL89" s="770"/>
      <c r="BM89" s="770"/>
      <c r="BN89" s="770"/>
      <c r="BO89" s="770"/>
      <c r="BP89" s="770"/>
      <c r="BQ89" s="770"/>
      <c r="BR89" s="770"/>
      <c r="BS89" s="770"/>
      <c r="BT89" s="770"/>
      <c r="BU89" s="770"/>
      <c r="BV89" s="770"/>
      <c r="BW89" s="770"/>
      <c r="BX89" s="770"/>
      <c r="BY89" s="770"/>
      <c r="BZ89" s="770"/>
      <c r="CA89" s="770"/>
      <c r="CB89" s="770"/>
      <c r="CC89" s="770"/>
      <c r="CD89" s="770"/>
      <c r="CE89" s="770"/>
      <c r="CF89" s="770"/>
      <c r="CG89" s="770"/>
      <c r="CH89" s="770"/>
      <c r="CI89" s="770"/>
      <c r="CJ89" s="770"/>
      <c r="CK89" s="770"/>
      <c r="CL89" s="770"/>
      <c r="CM89" s="770"/>
      <c r="CN89" s="770"/>
      <c r="CO89" s="770"/>
      <c r="CP89" s="770"/>
      <c r="CQ89" s="770"/>
      <c r="CR89" s="770"/>
      <c r="CS89" s="770"/>
      <c r="CT89" s="770"/>
      <c r="CU89" s="770"/>
      <c r="CV89" s="770"/>
      <c r="CW89" s="770"/>
      <c r="CX89" s="770"/>
      <c r="CY89" s="770"/>
      <c r="CZ89" s="770"/>
      <c r="DA89" s="770"/>
      <c r="DB89" s="770"/>
      <c r="DC89" s="770"/>
      <c r="DD89" s="770"/>
      <c r="DE89" s="770"/>
      <c r="DF89" s="770"/>
      <c r="DG89" s="770"/>
      <c r="DH89" s="770"/>
      <c r="DI89" s="770"/>
      <c r="DJ89" s="770"/>
      <c r="DK89" s="770"/>
      <c r="DL89" s="770"/>
      <c r="DM89" s="770"/>
      <c r="DN89" s="770"/>
      <c r="DO89" s="770"/>
      <c r="DP89" s="770"/>
      <c r="DQ89" s="770"/>
      <c r="DR89" s="770"/>
      <c r="DS89" s="770"/>
      <c r="DT89" s="770"/>
      <c r="DU89" s="770"/>
      <c r="DV89" s="770"/>
      <c r="DW89" s="770"/>
      <c r="DX89" s="770"/>
      <c r="DY89" s="770"/>
      <c r="DZ89" s="770"/>
      <c r="EA89" s="770"/>
      <c r="EB89" s="770"/>
      <c r="EC89" s="770"/>
      <c r="ED89" s="770"/>
      <c r="EE89" s="770"/>
      <c r="EF89" s="770"/>
      <c r="EG89" s="770"/>
      <c r="EH89" s="770"/>
      <c r="EI89" s="770"/>
      <c r="EJ89" s="770"/>
      <c r="EK89" s="770"/>
      <c r="EL89" s="770"/>
      <c r="EM89" s="770"/>
      <c r="EN89" s="770"/>
      <c r="EO89" s="770"/>
      <c r="EP89" s="770"/>
      <c r="EQ89" s="770"/>
      <c r="ER89" s="770"/>
      <c r="ES89" s="770"/>
      <c r="ET89" s="770"/>
      <c r="EU89" s="770"/>
    </row>
    <row r="90" spans="1:151" s="771" customFormat="1" ht="11.25" customHeight="1">
      <c r="A90" s="704"/>
      <c r="B90" s="704"/>
      <c r="C90" s="735"/>
      <c r="D90" s="743">
        <f t="shared" ref="D90:F105" si="49">D36</f>
        <v>8</v>
      </c>
      <c r="E90" s="704" t="str">
        <f t="shared" si="49"/>
        <v>쿠팡</v>
      </c>
      <c r="F90" s="704" t="str">
        <f t="shared" si="49"/>
        <v>근린생활시설</v>
      </c>
      <c r="G90" s="752"/>
      <c r="H90" s="744"/>
      <c r="I90" s="745"/>
      <c r="J90" s="745"/>
      <c r="K90" s="744">
        <f>SUMPRODUCT($P90:$EU90,Index!$L$22:$EQ$22)/('A&amp;R'!$F$37/10)</f>
        <v>0</v>
      </c>
      <c r="L90" s="746"/>
      <c r="M90" s="722"/>
      <c r="N90" s="756">
        <f t="shared" ref="N90:N105" si="50">SUM(P90:EU90)</f>
        <v>0</v>
      </c>
      <c r="O90" s="733"/>
      <c r="P90" s="1403"/>
      <c r="Q90" s="1403"/>
      <c r="R90" s="1403"/>
      <c r="S90" s="1403"/>
      <c r="T90" s="1403"/>
      <c r="U90" s="1403"/>
      <c r="V90" s="1403"/>
      <c r="W90" s="1403"/>
      <c r="X90" s="1403"/>
      <c r="Y90" s="1403"/>
      <c r="Z90" s="1403"/>
      <c r="AA90" s="1403"/>
      <c r="AB90" s="1403"/>
      <c r="AC90" s="1403"/>
      <c r="AD90" s="1403"/>
      <c r="AE90" s="1403"/>
      <c r="AF90" s="1403"/>
      <c r="AG90" s="1403"/>
      <c r="AH90" s="1403"/>
      <c r="AI90" s="1403"/>
      <c r="AJ90" s="1403"/>
      <c r="AK90" s="1403"/>
      <c r="AL90" s="1403"/>
      <c r="AM90" s="1403"/>
      <c r="AN90" s="1403"/>
      <c r="AO90" s="1403"/>
      <c r="AP90" s="1403"/>
      <c r="AQ90" s="1403"/>
      <c r="AR90" s="1403"/>
      <c r="AS90" s="1403"/>
      <c r="AT90" s="1403"/>
      <c r="AU90" s="1403"/>
      <c r="AV90" s="1403"/>
      <c r="AW90" s="1403"/>
      <c r="AX90" s="1403"/>
      <c r="AY90" s="1403"/>
      <c r="AZ90" s="1403"/>
      <c r="BA90" s="1403"/>
      <c r="BB90" s="1403"/>
      <c r="BC90" s="1403"/>
      <c r="BD90" s="1403"/>
      <c r="BE90" s="1403"/>
      <c r="BF90" s="1403"/>
      <c r="BG90" s="1403"/>
      <c r="BH90" s="1403"/>
      <c r="BI90" s="1403"/>
      <c r="BJ90" s="1403"/>
      <c r="BK90" s="1403"/>
      <c r="BL90" s="1403"/>
      <c r="BM90" s="1403"/>
      <c r="BN90" s="1403"/>
      <c r="BO90" s="1403"/>
      <c r="BP90" s="1403"/>
      <c r="BQ90" s="1403"/>
      <c r="BR90" s="1403"/>
      <c r="BS90" s="1403"/>
      <c r="BT90" s="1403"/>
      <c r="BU90" s="1403"/>
      <c r="BV90" s="1403"/>
      <c r="BW90" s="1403"/>
      <c r="BX90" s="1403"/>
      <c r="BY90" s="1403"/>
      <c r="BZ90" s="1403"/>
      <c r="CA90" s="1403"/>
      <c r="CB90" s="1403"/>
      <c r="CC90" s="1403"/>
      <c r="CD90" s="1403"/>
      <c r="CE90" s="1403"/>
      <c r="CF90" s="1403"/>
      <c r="CG90" s="1403"/>
      <c r="CH90" s="1403"/>
      <c r="CI90" s="1403"/>
      <c r="CJ90" s="1403"/>
      <c r="CK90" s="1403"/>
      <c r="CL90" s="1403"/>
      <c r="CM90" s="1403"/>
      <c r="CN90" s="1403"/>
      <c r="CO90" s="1403"/>
      <c r="CP90" s="1403"/>
      <c r="CQ90" s="1403"/>
      <c r="CR90" s="1403"/>
      <c r="CS90" s="1403"/>
      <c r="CT90" s="1403"/>
      <c r="CU90" s="1403"/>
      <c r="CV90" s="1403"/>
      <c r="CW90" s="1403"/>
      <c r="CX90" s="1403"/>
      <c r="CY90" s="1403"/>
      <c r="CZ90" s="1403"/>
      <c r="DA90" s="1403"/>
      <c r="DB90" s="1403"/>
      <c r="DC90" s="1403"/>
      <c r="DD90" s="1403"/>
      <c r="DE90" s="1403"/>
      <c r="DF90" s="1403"/>
      <c r="DG90" s="1403"/>
      <c r="DH90" s="1403"/>
      <c r="DI90" s="1403"/>
      <c r="DJ90" s="1403"/>
      <c r="DK90" s="1403"/>
      <c r="DL90" s="1403"/>
      <c r="DM90" s="1403"/>
      <c r="DN90" s="1403"/>
      <c r="DO90" s="1403"/>
      <c r="DP90" s="1403"/>
      <c r="DQ90" s="1403"/>
      <c r="DR90" s="1403"/>
      <c r="DS90" s="1403"/>
      <c r="DT90" s="1403"/>
      <c r="DU90" s="1403"/>
      <c r="DV90" s="1403"/>
      <c r="DW90" s="1403"/>
      <c r="DX90" s="1403"/>
      <c r="DY90" s="1403"/>
      <c r="DZ90" s="1403"/>
      <c r="EA90" s="1403"/>
      <c r="EB90" s="1403"/>
      <c r="EC90" s="1403"/>
      <c r="ED90" s="1403"/>
      <c r="EE90" s="1403"/>
      <c r="EF90" s="1403"/>
      <c r="EG90" s="1403"/>
      <c r="EH90" s="1403"/>
      <c r="EI90" s="1403"/>
      <c r="EJ90" s="1403"/>
      <c r="EK90" s="1403"/>
      <c r="EL90" s="1403"/>
      <c r="EM90" s="1403"/>
      <c r="EN90" s="1403"/>
      <c r="EO90" s="1403"/>
      <c r="EP90" s="1403"/>
      <c r="EQ90" s="1403"/>
      <c r="ER90" s="1403"/>
      <c r="ES90" s="1403"/>
      <c r="ET90" s="1403"/>
      <c r="EU90" s="1403"/>
    </row>
    <row r="91" spans="1:151" s="773" customFormat="1" ht="11.25" customHeight="1">
      <c r="A91" s="704"/>
      <c r="B91" s="704"/>
      <c r="C91" s="735"/>
      <c r="D91" s="743">
        <f t="shared" si="49"/>
        <v>8</v>
      </c>
      <c r="E91" s="704" t="str">
        <f t="shared" si="49"/>
        <v>쿠팡</v>
      </c>
      <c r="F91" s="704" t="str">
        <f t="shared" si="49"/>
        <v>상온창고</v>
      </c>
      <c r="G91" s="752"/>
      <c r="H91" s="744"/>
      <c r="I91" s="745"/>
      <c r="J91" s="745"/>
      <c r="K91" s="744">
        <f>SUMPRODUCT($P91:$EU91,Index!$L$22:$EQ$22)/('A&amp;R'!$F$37/10)</f>
        <v>0</v>
      </c>
      <c r="L91" s="746"/>
      <c r="M91" s="722"/>
      <c r="N91" s="756">
        <f t="shared" si="50"/>
        <v>0</v>
      </c>
      <c r="O91" s="769"/>
      <c r="P91" s="772"/>
      <c r="Q91" s="772"/>
      <c r="R91" s="772"/>
      <c r="S91" s="772"/>
      <c r="T91" s="772"/>
      <c r="U91" s="772"/>
      <c r="V91" s="772"/>
      <c r="W91" s="772"/>
      <c r="X91" s="772"/>
      <c r="Y91" s="772"/>
      <c r="Z91" s="772"/>
      <c r="AA91" s="772"/>
      <c r="AB91" s="772"/>
      <c r="AC91" s="772"/>
      <c r="AD91" s="772"/>
      <c r="AE91" s="772"/>
      <c r="AF91" s="772"/>
      <c r="AG91" s="772"/>
      <c r="AH91" s="772"/>
      <c r="AI91" s="772"/>
      <c r="AJ91" s="772"/>
      <c r="AK91" s="772"/>
      <c r="AL91" s="772"/>
      <c r="AM91" s="772"/>
      <c r="AN91" s="772"/>
      <c r="AO91" s="772"/>
      <c r="AP91" s="772"/>
      <c r="AQ91" s="772"/>
      <c r="AR91" s="772"/>
      <c r="AS91" s="772"/>
      <c r="AT91" s="772"/>
      <c r="AU91" s="772"/>
      <c r="AV91" s="772"/>
      <c r="AW91" s="772"/>
      <c r="AX91" s="772"/>
      <c r="AY91" s="772"/>
      <c r="AZ91" s="772"/>
      <c r="BA91" s="772"/>
      <c r="BB91" s="772"/>
      <c r="BC91" s="772"/>
      <c r="BD91" s="772"/>
      <c r="BE91" s="772"/>
      <c r="BF91" s="772"/>
      <c r="BG91" s="772"/>
      <c r="BH91" s="772"/>
      <c r="BI91" s="772"/>
      <c r="BJ91" s="772"/>
      <c r="BK91" s="772"/>
      <c r="BL91" s="772"/>
      <c r="BM91" s="772"/>
      <c r="BN91" s="772"/>
      <c r="BO91" s="772"/>
      <c r="BP91" s="772"/>
      <c r="BQ91" s="772"/>
      <c r="BR91" s="772"/>
      <c r="BS91" s="772"/>
      <c r="BT91" s="772"/>
      <c r="BU91" s="772"/>
      <c r="BV91" s="772"/>
      <c r="BW91" s="772"/>
      <c r="BX91" s="772"/>
      <c r="BY91" s="772"/>
      <c r="BZ91" s="772"/>
      <c r="CA91" s="772"/>
      <c r="CB91" s="772"/>
      <c r="CC91" s="772"/>
      <c r="CD91" s="772"/>
      <c r="CE91" s="772"/>
      <c r="CF91" s="772"/>
      <c r="CG91" s="772"/>
      <c r="CH91" s="772"/>
      <c r="CI91" s="772"/>
      <c r="CJ91" s="772"/>
      <c r="CK91" s="772"/>
      <c r="CL91" s="772"/>
      <c r="CM91" s="772"/>
      <c r="CN91" s="772"/>
      <c r="CO91" s="772"/>
      <c r="CP91" s="772"/>
      <c r="CQ91" s="772"/>
      <c r="CR91" s="772"/>
      <c r="CS91" s="772"/>
      <c r="CT91" s="772"/>
      <c r="CU91" s="772"/>
      <c r="CV91" s="772"/>
      <c r="CW91" s="772"/>
      <c r="CX91" s="772"/>
      <c r="CY91" s="772"/>
      <c r="CZ91" s="772"/>
      <c r="DA91" s="772"/>
      <c r="DB91" s="772"/>
      <c r="DC91" s="772"/>
      <c r="DD91" s="772"/>
      <c r="DE91" s="772"/>
      <c r="DF91" s="772"/>
      <c r="DG91" s="772"/>
      <c r="DH91" s="772"/>
      <c r="DI91" s="772"/>
      <c r="DJ91" s="772"/>
      <c r="DK91" s="772"/>
      <c r="DL91" s="772"/>
      <c r="DM91" s="772"/>
      <c r="DN91" s="772"/>
      <c r="DO91" s="772"/>
      <c r="DP91" s="772"/>
      <c r="DQ91" s="772"/>
      <c r="DR91" s="772"/>
      <c r="DS91" s="772"/>
      <c r="DT91" s="772"/>
      <c r="DU91" s="772"/>
      <c r="DV91" s="772"/>
      <c r="DW91" s="772"/>
      <c r="DX91" s="772"/>
      <c r="DY91" s="772"/>
      <c r="DZ91" s="772"/>
      <c r="EA91" s="772"/>
      <c r="EB91" s="772"/>
      <c r="EC91" s="772"/>
      <c r="ED91" s="772"/>
      <c r="EE91" s="772"/>
      <c r="EF91" s="772"/>
      <c r="EG91" s="772"/>
      <c r="EH91" s="772"/>
      <c r="EI91" s="772"/>
      <c r="EJ91" s="772"/>
      <c r="EK91" s="772"/>
      <c r="EL91" s="772"/>
      <c r="EM91" s="772"/>
      <c r="EN91" s="772"/>
      <c r="EO91" s="772"/>
      <c r="EP91" s="772"/>
      <c r="EQ91" s="772"/>
      <c r="ER91" s="772"/>
      <c r="ES91" s="772"/>
      <c r="ET91" s="772"/>
      <c r="EU91" s="772"/>
    </row>
    <row r="92" spans="1:151" s="1921" customFormat="1" ht="11.25" customHeight="1">
      <c r="A92" s="1910"/>
      <c r="B92" s="1910"/>
      <c r="C92" s="1911"/>
      <c r="D92" s="1912">
        <f t="shared" si="49"/>
        <v>8</v>
      </c>
      <c r="E92" s="1910" t="str">
        <f t="shared" si="49"/>
        <v>키즈밀</v>
      </c>
      <c r="F92" s="1910" t="str">
        <f t="shared" si="49"/>
        <v>근린생활시설</v>
      </c>
      <c r="G92" s="1913"/>
      <c r="H92" s="1914"/>
      <c r="I92" s="1915"/>
      <c r="J92" s="1915"/>
      <c r="K92" s="1914">
        <f>SUMPRODUCT($P92:$EU92,Index!$L$22:$EQ$22)/('A&amp;R'!$F$37/10)</f>
        <v>0.41666666666666669</v>
      </c>
      <c r="L92" s="1924"/>
      <c r="M92" s="1917"/>
      <c r="N92" s="1918">
        <f t="shared" si="50"/>
        <v>6</v>
      </c>
      <c r="O92" s="1919"/>
      <c r="P92" s="1920">
        <v>1</v>
      </c>
      <c r="Q92" s="1920">
        <v>1</v>
      </c>
      <c r="R92" s="1920"/>
      <c r="S92" s="1920"/>
      <c r="T92" s="1920"/>
      <c r="U92" s="1920"/>
      <c r="V92" s="1920"/>
      <c r="W92" s="1920"/>
      <c r="X92" s="1920"/>
      <c r="Y92" s="1920"/>
      <c r="Z92" s="1920"/>
      <c r="AA92" s="1920"/>
      <c r="AB92" s="1920">
        <v>1</v>
      </c>
      <c r="AC92" s="1920">
        <v>1</v>
      </c>
      <c r="AD92" s="1920"/>
      <c r="AE92" s="1920"/>
      <c r="AF92" s="1920"/>
      <c r="AG92" s="1920"/>
      <c r="AH92" s="1920"/>
      <c r="AI92" s="1920"/>
      <c r="AJ92" s="1920"/>
      <c r="AK92" s="1920"/>
      <c r="AL92" s="1920"/>
      <c r="AM92" s="1920"/>
      <c r="AN92" s="1920">
        <v>1</v>
      </c>
      <c r="AO92" s="1920"/>
      <c r="AP92" s="1920"/>
      <c r="AQ92" s="1920"/>
      <c r="AR92" s="1920"/>
      <c r="AS92" s="1920"/>
      <c r="AT92" s="1920"/>
      <c r="AU92" s="1920"/>
      <c r="AV92" s="1920"/>
      <c r="AW92" s="1920"/>
      <c r="AX92" s="1920"/>
      <c r="AY92" s="1920"/>
      <c r="AZ92" s="1920">
        <v>1</v>
      </c>
      <c r="BA92" s="1920"/>
      <c r="BB92" s="1920"/>
      <c r="BC92" s="1920"/>
      <c r="BD92" s="1920"/>
      <c r="BE92" s="1920"/>
      <c r="BF92" s="1920"/>
      <c r="BG92" s="1920"/>
      <c r="BH92" s="1920"/>
      <c r="BI92" s="1920"/>
      <c r="BJ92" s="1920"/>
      <c r="BK92" s="1920"/>
      <c r="BL92" s="1920"/>
      <c r="BM92" s="1920"/>
      <c r="BN92" s="1920"/>
      <c r="BO92" s="1920"/>
      <c r="BP92" s="1920"/>
      <c r="BQ92" s="1920"/>
      <c r="BR92" s="1920"/>
      <c r="BS92" s="1920"/>
      <c r="BT92" s="1920"/>
      <c r="BU92" s="1920"/>
      <c r="BV92" s="1920"/>
      <c r="BW92" s="1920"/>
      <c r="BX92" s="1920"/>
      <c r="BY92" s="1920"/>
      <c r="BZ92" s="1920"/>
      <c r="CA92" s="1920"/>
      <c r="CB92" s="1920"/>
      <c r="CC92" s="1920"/>
      <c r="CD92" s="1920"/>
      <c r="CE92" s="1920"/>
      <c r="CF92" s="1920"/>
      <c r="CG92" s="1920"/>
      <c r="CH92" s="1920"/>
      <c r="CI92" s="1920"/>
      <c r="CJ92" s="1920"/>
      <c r="CK92" s="1920"/>
      <c r="CL92" s="1920"/>
      <c r="CM92" s="1920"/>
      <c r="CN92" s="1920"/>
      <c r="CO92" s="1920"/>
      <c r="CP92" s="1920"/>
      <c r="CQ92" s="1920"/>
      <c r="CR92" s="1920"/>
      <c r="CS92" s="1920"/>
      <c r="CT92" s="1920"/>
      <c r="CU92" s="1920"/>
      <c r="CV92" s="1920"/>
      <c r="CW92" s="1920"/>
      <c r="CX92" s="1920"/>
      <c r="CY92" s="1920"/>
      <c r="CZ92" s="1920"/>
      <c r="DA92" s="1920"/>
      <c r="DB92" s="1920"/>
      <c r="DC92" s="1920"/>
      <c r="DD92" s="1920"/>
      <c r="DE92" s="1920"/>
      <c r="DF92" s="1920"/>
      <c r="DG92" s="1920"/>
      <c r="DH92" s="1920"/>
      <c r="DI92" s="1920"/>
      <c r="DJ92" s="1920"/>
      <c r="DK92" s="1920"/>
      <c r="DL92" s="1920"/>
      <c r="DM92" s="1920"/>
      <c r="DN92" s="1920"/>
      <c r="DO92" s="1920"/>
      <c r="DP92" s="1920"/>
      <c r="DQ92" s="1920"/>
      <c r="DR92" s="1920"/>
      <c r="DS92" s="1920"/>
      <c r="DT92" s="1920"/>
      <c r="DU92" s="1920"/>
      <c r="DV92" s="1920"/>
      <c r="DW92" s="1920"/>
      <c r="DX92" s="1920"/>
      <c r="DY92" s="1920"/>
      <c r="DZ92" s="1920"/>
      <c r="EA92" s="1920"/>
      <c r="EB92" s="1920"/>
      <c r="EC92" s="1920"/>
      <c r="ED92" s="1920"/>
      <c r="EE92" s="1920"/>
      <c r="EF92" s="1920"/>
      <c r="EG92" s="1920"/>
      <c r="EH92" s="1920"/>
      <c r="EI92" s="1920"/>
      <c r="EJ92" s="1920"/>
      <c r="EK92" s="1920"/>
      <c r="EL92" s="1920"/>
      <c r="EM92" s="1920"/>
      <c r="EN92" s="1920"/>
      <c r="EO92" s="1920"/>
      <c r="EP92" s="1920"/>
      <c r="EQ92" s="1920"/>
      <c r="ER92" s="1920"/>
      <c r="ES92" s="1920"/>
      <c r="ET92" s="1920"/>
      <c r="EU92" s="1920"/>
    </row>
    <row r="93" spans="1:151" s="1921" customFormat="1" ht="11.25" customHeight="1">
      <c r="A93" s="1910"/>
      <c r="B93" s="1910"/>
      <c r="C93" s="1911"/>
      <c r="D93" s="1912">
        <f t="shared" si="49"/>
        <v>8</v>
      </c>
      <c r="E93" s="1910" t="str">
        <f t="shared" si="49"/>
        <v>쿠팡</v>
      </c>
      <c r="F93" s="1910" t="str">
        <f t="shared" si="49"/>
        <v>상온창고</v>
      </c>
      <c r="G93" s="1913"/>
      <c r="H93" s="1914"/>
      <c r="I93" s="1915"/>
      <c r="J93" s="1915"/>
      <c r="K93" s="1914">
        <f>SUMPRODUCT($P93:$EU93,Index!$L$22:$EQ$22)/('A&amp;R'!$F$37/10)</f>
        <v>0.41666666666666669</v>
      </c>
      <c r="L93" s="1924"/>
      <c r="M93" s="1917"/>
      <c r="N93" s="1918">
        <f t="shared" si="50"/>
        <v>5</v>
      </c>
      <c r="O93" s="1919"/>
      <c r="P93" s="1920">
        <v>0</v>
      </c>
      <c r="Q93" s="1920">
        <v>0</v>
      </c>
      <c r="R93" s="1920">
        <v>0</v>
      </c>
      <c r="S93" s="1920">
        <v>0</v>
      </c>
      <c r="T93" s="1920">
        <v>0</v>
      </c>
      <c r="U93" s="1920">
        <v>0</v>
      </c>
      <c r="V93" s="1920">
        <v>0</v>
      </c>
      <c r="W93" s="1920">
        <v>0</v>
      </c>
      <c r="X93" s="1920">
        <v>0</v>
      </c>
      <c r="Y93" s="1920">
        <v>0</v>
      </c>
      <c r="Z93" s="1920">
        <v>0</v>
      </c>
      <c r="AA93" s="1920">
        <v>0</v>
      </c>
      <c r="AB93" s="1920">
        <v>0</v>
      </c>
      <c r="AC93" s="1920">
        <v>0</v>
      </c>
      <c r="AD93" s="1920">
        <v>0</v>
      </c>
      <c r="AE93" s="1920">
        <v>0</v>
      </c>
      <c r="AF93" s="1920">
        <v>0</v>
      </c>
      <c r="AG93" s="1920">
        <v>0</v>
      </c>
      <c r="AH93" s="1920">
        <v>0</v>
      </c>
      <c r="AI93" s="1920">
        <v>0</v>
      </c>
      <c r="AJ93" s="1920">
        <v>0</v>
      </c>
      <c r="AK93" s="1920">
        <v>0</v>
      </c>
      <c r="AL93" s="1920">
        <v>0</v>
      </c>
      <c r="AM93" s="1920">
        <v>0</v>
      </c>
      <c r="AN93" s="1920">
        <v>0</v>
      </c>
      <c r="AO93" s="1920">
        <v>0</v>
      </c>
      <c r="AP93" s="1920">
        <v>0</v>
      </c>
      <c r="AQ93" s="1920">
        <v>0</v>
      </c>
      <c r="AR93" s="1920">
        <v>0</v>
      </c>
      <c r="AS93" s="1920">
        <v>0</v>
      </c>
      <c r="AT93" s="1920">
        <v>0</v>
      </c>
      <c r="AU93" s="1920">
        <v>0</v>
      </c>
      <c r="AV93" s="1920">
        <v>1</v>
      </c>
      <c r="AW93" s="1920">
        <v>1</v>
      </c>
      <c r="AX93" s="1920">
        <v>1</v>
      </c>
      <c r="AY93" s="1920">
        <v>1</v>
      </c>
      <c r="AZ93" s="1920">
        <v>1</v>
      </c>
      <c r="BA93" s="1920">
        <v>0</v>
      </c>
      <c r="BB93" s="1920">
        <v>0</v>
      </c>
      <c r="BC93" s="1920">
        <v>0</v>
      </c>
      <c r="BD93" s="1920">
        <v>0</v>
      </c>
      <c r="BE93" s="1920">
        <v>0</v>
      </c>
      <c r="BF93" s="1920">
        <v>0</v>
      </c>
      <c r="BG93" s="1920">
        <v>0</v>
      </c>
      <c r="BH93" s="1920">
        <v>0</v>
      </c>
      <c r="BI93" s="1920">
        <v>0</v>
      </c>
      <c r="BJ93" s="1920">
        <v>0</v>
      </c>
      <c r="BK93" s="1920">
        <v>0</v>
      </c>
      <c r="BL93" s="1920">
        <v>0</v>
      </c>
      <c r="BM93" s="1920">
        <v>0</v>
      </c>
      <c r="BN93" s="1920">
        <v>0</v>
      </c>
      <c r="BO93" s="1920">
        <v>0</v>
      </c>
      <c r="BP93" s="1920">
        <v>0</v>
      </c>
      <c r="BQ93" s="1920">
        <v>0</v>
      </c>
      <c r="BR93" s="1920">
        <v>0</v>
      </c>
      <c r="BS93" s="1920">
        <v>0</v>
      </c>
      <c r="BT93" s="1920">
        <v>0</v>
      </c>
      <c r="BU93" s="1920">
        <v>0</v>
      </c>
      <c r="BV93" s="1920">
        <v>0</v>
      </c>
      <c r="BW93" s="1920">
        <v>0</v>
      </c>
      <c r="BX93" s="1920">
        <v>0</v>
      </c>
      <c r="BY93" s="1920">
        <v>0</v>
      </c>
      <c r="BZ93" s="1920">
        <v>0</v>
      </c>
      <c r="CA93" s="1920">
        <v>0</v>
      </c>
      <c r="CB93" s="1920">
        <v>0</v>
      </c>
      <c r="CC93" s="1920">
        <v>0</v>
      </c>
      <c r="CD93" s="1920">
        <v>0</v>
      </c>
      <c r="CE93" s="1920">
        <v>0</v>
      </c>
      <c r="CF93" s="1920">
        <v>0</v>
      </c>
      <c r="CG93" s="1920">
        <v>0</v>
      </c>
      <c r="CH93" s="1920">
        <v>0</v>
      </c>
      <c r="CI93" s="1920">
        <v>0</v>
      </c>
      <c r="CJ93" s="1920">
        <v>0</v>
      </c>
      <c r="CK93" s="1920">
        <v>0</v>
      </c>
      <c r="CL93" s="1920">
        <v>0</v>
      </c>
      <c r="CM93" s="1920">
        <v>0</v>
      </c>
      <c r="CN93" s="1920">
        <v>0</v>
      </c>
      <c r="CO93" s="1920">
        <v>0</v>
      </c>
      <c r="CP93" s="1920">
        <v>0</v>
      </c>
      <c r="CQ93" s="1920">
        <v>0</v>
      </c>
      <c r="CR93" s="1920">
        <v>0</v>
      </c>
      <c r="CS93" s="1920">
        <v>0</v>
      </c>
      <c r="CT93" s="1920">
        <v>0</v>
      </c>
      <c r="CU93" s="1920">
        <v>0</v>
      </c>
      <c r="CV93" s="1920">
        <v>0</v>
      </c>
      <c r="CW93" s="1920">
        <v>0</v>
      </c>
      <c r="CX93" s="1920">
        <v>0</v>
      </c>
      <c r="CY93" s="1920">
        <v>0</v>
      </c>
      <c r="CZ93" s="1920">
        <v>0</v>
      </c>
      <c r="DA93" s="1920">
        <v>0</v>
      </c>
      <c r="DB93" s="1920">
        <v>0</v>
      </c>
      <c r="DC93" s="1920">
        <v>0</v>
      </c>
      <c r="DD93" s="1920">
        <v>0</v>
      </c>
      <c r="DE93" s="1920">
        <v>0</v>
      </c>
      <c r="DF93" s="1920">
        <v>0</v>
      </c>
      <c r="DG93" s="1920">
        <v>0</v>
      </c>
      <c r="DH93" s="1920">
        <v>0</v>
      </c>
      <c r="DI93" s="1920">
        <v>0</v>
      </c>
      <c r="DJ93" s="1920">
        <v>0</v>
      </c>
      <c r="DK93" s="1920">
        <v>0</v>
      </c>
      <c r="DL93" s="1920">
        <v>0</v>
      </c>
      <c r="DM93" s="1920">
        <v>0</v>
      </c>
      <c r="DN93" s="1920">
        <v>0</v>
      </c>
      <c r="DO93" s="1920">
        <v>0</v>
      </c>
      <c r="DP93" s="1920">
        <v>0</v>
      </c>
      <c r="DQ93" s="1920">
        <v>0</v>
      </c>
      <c r="DR93" s="1920">
        <v>0</v>
      </c>
      <c r="DS93" s="1920">
        <v>0</v>
      </c>
      <c r="DT93" s="1920">
        <v>0</v>
      </c>
      <c r="DU93" s="1920">
        <v>0</v>
      </c>
      <c r="DV93" s="1920">
        <v>0</v>
      </c>
      <c r="DW93" s="1920">
        <v>0</v>
      </c>
      <c r="DX93" s="1920">
        <v>0</v>
      </c>
      <c r="DY93" s="1920">
        <v>0</v>
      </c>
      <c r="DZ93" s="1920">
        <v>0</v>
      </c>
      <c r="EA93" s="1920">
        <v>0</v>
      </c>
      <c r="EB93" s="1920">
        <v>0</v>
      </c>
      <c r="EC93" s="1920">
        <v>0</v>
      </c>
      <c r="ED93" s="1920">
        <v>0</v>
      </c>
      <c r="EE93" s="1920">
        <v>0</v>
      </c>
      <c r="EF93" s="1920">
        <v>0</v>
      </c>
      <c r="EG93" s="1920">
        <v>0</v>
      </c>
      <c r="EH93" s="1920">
        <v>0</v>
      </c>
      <c r="EI93" s="1920">
        <v>0</v>
      </c>
      <c r="EJ93" s="1920">
        <v>0</v>
      </c>
      <c r="EK93" s="1920">
        <v>0</v>
      </c>
      <c r="EL93" s="1920">
        <v>0</v>
      </c>
      <c r="EM93" s="1920">
        <v>0</v>
      </c>
      <c r="EN93" s="1920">
        <v>0</v>
      </c>
      <c r="EO93" s="1920">
        <v>0</v>
      </c>
      <c r="EP93" s="1920">
        <v>0</v>
      </c>
      <c r="EQ93" s="1920">
        <v>0</v>
      </c>
      <c r="ER93" s="1920">
        <v>0</v>
      </c>
      <c r="ES93" s="1920">
        <v>0</v>
      </c>
      <c r="ET93" s="1920">
        <v>0</v>
      </c>
      <c r="EU93" s="1920">
        <v>0</v>
      </c>
    </row>
    <row r="94" spans="1:151" s="1921" customFormat="1" ht="11.25" customHeight="1">
      <c r="A94" s="1910"/>
      <c r="B94" s="1910"/>
      <c r="C94" s="1911"/>
      <c r="D94" s="1912">
        <f t="shared" si="49"/>
        <v>7</v>
      </c>
      <c r="E94" s="1910" t="str">
        <f t="shared" si="49"/>
        <v>쿠팡</v>
      </c>
      <c r="F94" s="1910" t="str">
        <f t="shared" si="49"/>
        <v>상온창고</v>
      </c>
      <c r="G94" s="1913"/>
      <c r="H94" s="1914"/>
      <c r="I94" s="1915"/>
      <c r="J94" s="1915"/>
      <c r="K94" s="1914">
        <f>SUMPRODUCT($P94:$EU94,Index!$L$22:$EQ$22)/('A&amp;R'!$F$37/10)</f>
        <v>0.41666666666666669</v>
      </c>
      <c r="L94" s="1924"/>
      <c r="M94" s="1917"/>
      <c r="N94" s="1918">
        <f t="shared" si="50"/>
        <v>5</v>
      </c>
      <c r="O94" s="1919"/>
      <c r="P94" s="1920">
        <v>0</v>
      </c>
      <c r="Q94" s="1920">
        <v>0</v>
      </c>
      <c r="R94" s="1920">
        <v>0</v>
      </c>
      <c r="S94" s="1920">
        <v>0</v>
      </c>
      <c r="T94" s="1920">
        <v>0</v>
      </c>
      <c r="U94" s="1920">
        <v>0</v>
      </c>
      <c r="V94" s="1920">
        <v>0</v>
      </c>
      <c r="W94" s="1920">
        <v>0</v>
      </c>
      <c r="X94" s="1920">
        <v>0</v>
      </c>
      <c r="Y94" s="1920">
        <v>0</v>
      </c>
      <c r="Z94" s="1920">
        <v>0</v>
      </c>
      <c r="AA94" s="1920">
        <v>0</v>
      </c>
      <c r="AB94" s="1920">
        <v>0</v>
      </c>
      <c r="AC94" s="1920">
        <v>0</v>
      </c>
      <c r="AD94" s="1920">
        <v>0</v>
      </c>
      <c r="AE94" s="1920">
        <v>0</v>
      </c>
      <c r="AF94" s="1920">
        <v>0</v>
      </c>
      <c r="AG94" s="1920">
        <v>0</v>
      </c>
      <c r="AH94" s="1920">
        <v>0</v>
      </c>
      <c r="AI94" s="1920">
        <v>0</v>
      </c>
      <c r="AJ94" s="1920">
        <v>0</v>
      </c>
      <c r="AK94" s="1920">
        <v>0</v>
      </c>
      <c r="AL94" s="1920">
        <v>0</v>
      </c>
      <c r="AM94" s="1920">
        <v>0</v>
      </c>
      <c r="AN94" s="1920">
        <v>0</v>
      </c>
      <c r="AO94" s="1920">
        <v>0</v>
      </c>
      <c r="AP94" s="1920">
        <v>0</v>
      </c>
      <c r="AQ94" s="1920">
        <v>0</v>
      </c>
      <c r="AR94" s="1920">
        <v>0</v>
      </c>
      <c r="AS94" s="1920">
        <v>0</v>
      </c>
      <c r="AT94" s="1920">
        <v>0</v>
      </c>
      <c r="AU94" s="1920">
        <v>0</v>
      </c>
      <c r="AV94" s="1920">
        <v>1</v>
      </c>
      <c r="AW94" s="1920">
        <v>1</v>
      </c>
      <c r="AX94" s="1920">
        <v>1</v>
      </c>
      <c r="AY94" s="1920">
        <v>1</v>
      </c>
      <c r="AZ94" s="1920">
        <v>1</v>
      </c>
      <c r="BA94" s="1920">
        <v>0</v>
      </c>
      <c r="BB94" s="1920">
        <v>0</v>
      </c>
      <c r="BC94" s="1920">
        <v>0</v>
      </c>
      <c r="BD94" s="1920">
        <v>0</v>
      </c>
      <c r="BE94" s="1920">
        <v>0</v>
      </c>
      <c r="BF94" s="1920">
        <v>0</v>
      </c>
      <c r="BG94" s="1920">
        <v>0</v>
      </c>
      <c r="BH94" s="1920">
        <v>0</v>
      </c>
      <c r="BI94" s="1920">
        <v>0</v>
      </c>
      <c r="BJ94" s="1920">
        <v>0</v>
      </c>
      <c r="BK94" s="1920">
        <v>0</v>
      </c>
      <c r="BL94" s="1920">
        <v>0</v>
      </c>
      <c r="BM94" s="1920">
        <v>0</v>
      </c>
      <c r="BN94" s="1920">
        <v>0</v>
      </c>
      <c r="BO94" s="1920">
        <v>0</v>
      </c>
      <c r="BP94" s="1920">
        <v>0</v>
      </c>
      <c r="BQ94" s="1920">
        <v>0</v>
      </c>
      <c r="BR94" s="1920">
        <v>0</v>
      </c>
      <c r="BS94" s="1920">
        <v>0</v>
      </c>
      <c r="BT94" s="1920">
        <v>0</v>
      </c>
      <c r="BU94" s="1920">
        <v>0</v>
      </c>
      <c r="BV94" s="1920">
        <v>0</v>
      </c>
      <c r="BW94" s="1920">
        <v>0</v>
      </c>
      <c r="BX94" s="1920">
        <v>0</v>
      </c>
      <c r="BY94" s="1920">
        <v>0</v>
      </c>
      <c r="BZ94" s="1920">
        <v>0</v>
      </c>
      <c r="CA94" s="1920">
        <v>0</v>
      </c>
      <c r="CB94" s="1920">
        <v>0</v>
      </c>
      <c r="CC94" s="1920">
        <v>0</v>
      </c>
      <c r="CD94" s="1920">
        <v>0</v>
      </c>
      <c r="CE94" s="1920">
        <v>0</v>
      </c>
      <c r="CF94" s="1920">
        <v>0</v>
      </c>
      <c r="CG94" s="1920">
        <v>0</v>
      </c>
      <c r="CH94" s="1920">
        <v>0</v>
      </c>
      <c r="CI94" s="1920">
        <v>0</v>
      </c>
      <c r="CJ94" s="1920">
        <v>0</v>
      </c>
      <c r="CK94" s="1920">
        <v>0</v>
      </c>
      <c r="CL94" s="1920">
        <v>0</v>
      </c>
      <c r="CM94" s="1920">
        <v>0</v>
      </c>
      <c r="CN94" s="1920">
        <v>0</v>
      </c>
      <c r="CO94" s="1920">
        <v>0</v>
      </c>
      <c r="CP94" s="1920">
        <v>0</v>
      </c>
      <c r="CQ94" s="1920">
        <v>0</v>
      </c>
      <c r="CR94" s="1920">
        <v>0</v>
      </c>
      <c r="CS94" s="1920">
        <v>0</v>
      </c>
      <c r="CT94" s="1920">
        <v>0</v>
      </c>
      <c r="CU94" s="1920">
        <v>0</v>
      </c>
      <c r="CV94" s="1920">
        <v>0</v>
      </c>
      <c r="CW94" s="1920">
        <v>0</v>
      </c>
      <c r="CX94" s="1920">
        <v>0</v>
      </c>
      <c r="CY94" s="1920">
        <v>0</v>
      </c>
      <c r="CZ94" s="1920">
        <v>0</v>
      </c>
      <c r="DA94" s="1920">
        <v>0</v>
      </c>
      <c r="DB94" s="1920">
        <v>0</v>
      </c>
      <c r="DC94" s="1920">
        <v>0</v>
      </c>
      <c r="DD94" s="1920">
        <v>0</v>
      </c>
      <c r="DE94" s="1920">
        <v>0</v>
      </c>
      <c r="DF94" s="1920">
        <v>0</v>
      </c>
      <c r="DG94" s="1920">
        <v>0</v>
      </c>
      <c r="DH94" s="1920">
        <v>0</v>
      </c>
      <c r="DI94" s="1920">
        <v>0</v>
      </c>
      <c r="DJ94" s="1920">
        <v>0</v>
      </c>
      <c r="DK94" s="1920">
        <v>0</v>
      </c>
      <c r="DL94" s="1920">
        <v>0</v>
      </c>
      <c r="DM94" s="1920">
        <v>0</v>
      </c>
      <c r="DN94" s="1920">
        <v>0</v>
      </c>
      <c r="DO94" s="1920">
        <v>0</v>
      </c>
      <c r="DP94" s="1920">
        <v>0</v>
      </c>
      <c r="DQ94" s="1920">
        <v>0</v>
      </c>
      <c r="DR94" s="1920">
        <v>0</v>
      </c>
      <c r="DS94" s="1920">
        <v>0</v>
      </c>
      <c r="DT94" s="1920">
        <v>0</v>
      </c>
      <c r="DU94" s="1920">
        <v>0</v>
      </c>
      <c r="DV94" s="1920">
        <v>0</v>
      </c>
      <c r="DW94" s="1920">
        <v>0</v>
      </c>
      <c r="DX94" s="1920">
        <v>0</v>
      </c>
      <c r="DY94" s="1920">
        <v>0</v>
      </c>
      <c r="DZ94" s="1920">
        <v>0</v>
      </c>
      <c r="EA94" s="1920">
        <v>0</v>
      </c>
      <c r="EB94" s="1920">
        <v>0</v>
      </c>
      <c r="EC94" s="1920">
        <v>0</v>
      </c>
      <c r="ED94" s="1920">
        <v>0</v>
      </c>
      <c r="EE94" s="1920">
        <v>0</v>
      </c>
      <c r="EF94" s="1920">
        <v>0</v>
      </c>
      <c r="EG94" s="1920">
        <v>0</v>
      </c>
      <c r="EH94" s="1920">
        <v>0</v>
      </c>
      <c r="EI94" s="1920">
        <v>0</v>
      </c>
      <c r="EJ94" s="1920">
        <v>0</v>
      </c>
      <c r="EK94" s="1920">
        <v>0</v>
      </c>
      <c r="EL94" s="1920">
        <v>0</v>
      </c>
      <c r="EM94" s="1920">
        <v>0</v>
      </c>
      <c r="EN94" s="1920">
        <v>0</v>
      </c>
      <c r="EO94" s="1920">
        <v>0</v>
      </c>
      <c r="EP94" s="1920">
        <v>0</v>
      </c>
      <c r="EQ94" s="1920">
        <v>0</v>
      </c>
      <c r="ER94" s="1920">
        <v>0</v>
      </c>
      <c r="ES94" s="1920">
        <v>0</v>
      </c>
      <c r="ET94" s="1920">
        <v>0</v>
      </c>
      <c r="EU94" s="1920">
        <v>0</v>
      </c>
    </row>
    <row r="95" spans="1:151" s="1921" customFormat="1" ht="11.25" customHeight="1">
      <c r="A95" s="1910"/>
      <c r="B95" s="1910"/>
      <c r="C95" s="1911"/>
      <c r="D95" s="1912">
        <f t="shared" si="49"/>
        <v>6</v>
      </c>
      <c r="E95" s="1910" t="str">
        <f t="shared" si="49"/>
        <v>쿠팡</v>
      </c>
      <c r="F95" s="1910" t="str">
        <f t="shared" si="49"/>
        <v>상온창고</v>
      </c>
      <c r="G95" s="1913"/>
      <c r="H95" s="1914"/>
      <c r="I95" s="1915"/>
      <c r="J95" s="1915"/>
      <c r="K95" s="1914">
        <f>SUMPRODUCT($P95:$EU95,Index!$L$22:$EQ$22)/('A&amp;R'!$F$37/10)</f>
        <v>0.41666666666666669</v>
      </c>
      <c r="L95" s="1924"/>
      <c r="M95" s="1917"/>
      <c r="N95" s="1918">
        <f t="shared" si="50"/>
        <v>5</v>
      </c>
      <c r="O95" s="1919"/>
      <c r="P95" s="1920">
        <v>0</v>
      </c>
      <c r="Q95" s="1920">
        <v>0</v>
      </c>
      <c r="R95" s="1920">
        <v>0</v>
      </c>
      <c r="S95" s="1920">
        <v>0</v>
      </c>
      <c r="T95" s="1920">
        <v>0</v>
      </c>
      <c r="U95" s="1920">
        <v>0</v>
      </c>
      <c r="V95" s="1920">
        <v>0</v>
      </c>
      <c r="W95" s="1920">
        <v>0</v>
      </c>
      <c r="X95" s="1920">
        <v>0</v>
      </c>
      <c r="Y95" s="1920">
        <v>0</v>
      </c>
      <c r="Z95" s="1920">
        <v>0</v>
      </c>
      <c r="AA95" s="1920">
        <v>0</v>
      </c>
      <c r="AB95" s="1920">
        <v>0</v>
      </c>
      <c r="AC95" s="1920">
        <v>0</v>
      </c>
      <c r="AD95" s="1920">
        <v>0</v>
      </c>
      <c r="AE95" s="1920">
        <v>0</v>
      </c>
      <c r="AF95" s="1920">
        <v>0</v>
      </c>
      <c r="AG95" s="1920">
        <v>0</v>
      </c>
      <c r="AH95" s="1920">
        <v>0</v>
      </c>
      <c r="AI95" s="1920">
        <v>0</v>
      </c>
      <c r="AJ95" s="1920">
        <v>0</v>
      </c>
      <c r="AK95" s="1920">
        <v>0</v>
      </c>
      <c r="AL95" s="1920">
        <v>0</v>
      </c>
      <c r="AM95" s="1920">
        <v>0</v>
      </c>
      <c r="AN95" s="1920">
        <v>0</v>
      </c>
      <c r="AO95" s="1920">
        <v>0</v>
      </c>
      <c r="AP95" s="1920">
        <v>0</v>
      </c>
      <c r="AQ95" s="1920">
        <v>0</v>
      </c>
      <c r="AR95" s="1920">
        <v>0</v>
      </c>
      <c r="AS95" s="1920">
        <v>0</v>
      </c>
      <c r="AT95" s="1920">
        <v>0</v>
      </c>
      <c r="AU95" s="1920">
        <v>0</v>
      </c>
      <c r="AV95" s="1920">
        <v>1</v>
      </c>
      <c r="AW95" s="1920">
        <v>1</v>
      </c>
      <c r="AX95" s="1920">
        <v>1</v>
      </c>
      <c r="AY95" s="1920">
        <v>1</v>
      </c>
      <c r="AZ95" s="1920">
        <v>1</v>
      </c>
      <c r="BA95" s="1920">
        <v>0</v>
      </c>
      <c r="BB95" s="1920">
        <v>0</v>
      </c>
      <c r="BC95" s="1920">
        <v>0</v>
      </c>
      <c r="BD95" s="1920">
        <v>0</v>
      </c>
      <c r="BE95" s="1920">
        <v>0</v>
      </c>
      <c r="BF95" s="1920">
        <v>0</v>
      </c>
      <c r="BG95" s="1920">
        <v>0</v>
      </c>
      <c r="BH95" s="1920">
        <v>0</v>
      </c>
      <c r="BI95" s="1920">
        <v>0</v>
      </c>
      <c r="BJ95" s="1920">
        <v>0</v>
      </c>
      <c r="BK95" s="1920">
        <v>0</v>
      </c>
      <c r="BL95" s="1920">
        <v>0</v>
      </c>
      <c r="BM95" s="1920">
        <v>0</v>
      </c>
      <c r="BN95" s="1920">
        <v>0</v>
      </c>
      <c r="BO95" s="1920">
        <v>0</v>
      </c>
      <c r="BP95" s="1920">
        <v>0</v>
      </c>
      <c r="BQ95" s="1920">
        <v>0</v>
      </c>
      <c r="BR95" s="1920">
        <v>0</v>
      </c>
      <c r="BS95" s="1920">
        <v>0</v>
      </c>
      <c r="BT95" s="1920">
        <v>0</v>
      </c>
      <c r="BU95" s="1920">
        <v>0</v>
      </c>
      <c r="BV95" s="1920">
        <v>0</v>
      </c>
      <c r="BW95" s="1920">
        <v>0</v>
      </c>
      <c r="BX95" s="1920">
        <v>0</v>
      </c>
      <c r="BY95" s="1920">
        <v>0</v>
      </c>
      <c r="BZ95" s="1920">
        <v>0</v>
      </c>
      <c r="CA95" s="1920">
        <v>0</v>
      </c>
      <c r="CB95" s="1920">
        <v>0</v>
      </c>
      <c r="CC95" s="1920">
        <v>0</v>
      </c>
      <c r="CD95" s="1920">
        <v>0</v>
      </c>
      <c r="CE95" s="1920">
        <v>0</v>
      </c>
      <c r="CF95" s="1920">
        <v>0</v>
      </c>
      <c r="CG95" s="1920">
        <v>0</v>
      </c>
      <c r="CH95" s="1920">
        <v>0</v>
      </c>
      <c r="CI95" s="1920">
        <v>0</v>
      </c>
      <c r="CJ95" s="1920">
        <v>0</v>
      </c>
      <c r="CK95" s="1920">
        <v>0</v>
      </c>
      <c r="CL95" s="1920">
        <v>0</v>
      </c>
      <c r="CM95" s="1920">
        <v>0</v>
      </c>
      <c r="CN95" s="1920">
        <v>0</v>
      </c>
      <c r="CO95" s="1920">
        <v>0</v>
      </c>
      <c r="CP95" s="1920">
        <v>0</v>
      </c>
      <c r="CQ95" s="1920">
        <v>0</v>
      </c>
      <c r="CR95" s="1920">
        <v>0</v>
      </c>
      <c r="CS95" s="1920">
        <v>0</v>
      </c>
      <c r="CT95" s="1920">
        <v>0</v>
      </c>
      <c r="CU95" s="1920">
        <v>0</v>
      </c>
      <c r="CV95" s="1920">
        <v>0</v>
      </c>
      <c r="CW95" s="1920">
        <v>0</v>
      </c>
      <c r="CX95" s="1920">
        <v>0</v>
      </c>
      <c r="CY95" s="1920">
        <v>0</v>
      </c>
      <c r="CZ95" s="1920">
        <v>0</v>
      </c>
      <c r="DA95" s="1920">
        <v>0</v>
      </c>
      <c r="DB95" s="1920">
        <v>0</v>
      </c>
      <c r="DC95" s="1920">
        <v>0</v>
      </c>
      <c r="DD95" s="1920">
        <v>0</v>
      </c>
      <c r="DE95" s="1920">
        <v>0</v>
      </c>
      <c r="DF95" s="1920">
        <v>0</v>
      </c>
      <c r="DG95" s="1920">
        <v>0</v>
      </c>
      <c r="DH95" s="1920">
        <v>0</v>
      </c>
      <c r="DI95" s="1920">
        <v>0</v>
      </c>
      <c r="DJ95" s="1920">
        <v>0</v>
      </c>
      <c r="DK95" s="1920">
        <v>0</v>
      </c>
      <c r="DL95" s="1920">
        <v>0</v>
      </c>
      <c r="DM95" s="1920">
        <v>0</v>
      </c>
      <c r="DN95" s="1920">
        <v>0</v>
      </c>
      <c r="DO95" s="1920">
        <v>0</v>
      </c>
      <c r="DP95" s="1920">
        <v>0</v>
      </c>
      <c r="DQ95" s="1920">
        <v>0</v>
      </c>
      <c r="DR95" s="1920">
        <v>0</v>
      </c>
      <c r="DS95" s="1920">
        <v>0</v>
      </c>
      <c r="DT95" s="1920">
        <v>0</v>
      </c>
      <c r="DU95" s="1920">
        <v>0</v>
      </c>
      <c r="DV95" s="1920">
        <v>0</v>
      </c>
      <c r="DW95" s="1920">
        <v>0</v>
      </c>
      <c r="DX95" s="1920">
        <v>0</v>
      </c>
      <c r="DY95" s="1920">
        <v>0</v>
      </c>
      <c r="DZ95" s="1920">
        <v>0</v>
      </c>
      <c r="EA95" s="1920">
        <v>0</v>
      </c>
      <c r="EB95" s="1920">
        <v>0</v>
      </c>
      <c r="EC95" s="1920">
        <v>0</v>
      </c>
      <c r="ED95" s="1920">
        <v>0</v>
      </c>
      <c r="EE95" s="1920">
        <v>0</v>
      </c>
      <c r="EF95" s="1920">
        <v>0</v>
      </c>
      <c r="EG95" s="1920">
        <v>0</v>
      </c>
      <c r="EH95" s="1920">
        <v>0</v>
      </c>
      <c r="EI95" s="1920">
        <v>0</v>
      </c>
      <c r="EJ95" s="1920">
        <v>0</v>
      </c>
      <c r="EK95" s="1920">
        <v>0</v>
      </c>
      <c r="EL95" s="1920">
        <v>0</v>
      </c>
      <c r="EM95" s="1920">
        <v>0</v>
      </c>
      <c r="EN95" s="1920">
        <v>0</v>
      </c>
      <c r="EO95" s="1920">
        <v>0</v>
      </c>
      <c r="EP95" s="1920">
        <v>0</v>
      </c>
      <c r="EQ95" s="1920">
        <v>0</v>
      </c>
      <c r="ER95" s="1920">
        <v>0</v>
      </c>
      <c r="ES95" s="1920">
        <v>0</v>
      </c>
      <c r="ET95" s="1920">
        <v>0</v>
      </c>
      <c r="EU95" s="1920">
        <v>0</v>
      </c>
    </row>
    <row r="96" spans="1:151" s="1921" customFormat="1" ht="11.25" customHeight="1">
      <c r="A96" s="1910"/>
      <c r="B96" s="1910"/>
      <c r="C96" s="1911"/>
      <c r="D96" s="1912">
        <f t="shared" si="49"/>
        <v>5</v>
      </c>
      <c r="E96" s="1910" t="str">
        <f t="shared" si="49"/>
        <v>쿠팡</v>
      </c>
      <c r="F96" s="1910" t="str">
        <f t="shared" si="49"/>
        <v>상온창고</v>
      </c>
      <c r="G96" s="1913"/>
      <c r="H96" s="1914"/>
      <c r="I96" s="1915"/>
      <c r="J96" s="1915"/>
      <c r="K96" s="1914">
        <f>SUMPRODUCT($P96:$EU96,Index!$L$22:$EQ$22)/('A&amp;R'!$F$37/10)</f>
        <v>0.41666666666666669</v>
      </c>
      <c r="L96" s="1924"/>
      <c r="M96" s="1917"/>
      <c r="N96" s="1918">
        <f t="shared" si="50"/>
        <v>5</v>
      </c>
      <c r="O96" s="1919"/>
      <c r="P96" s="1920">
        <v>0</v>
      </c>
      <c r="Q96" s="1920">
        <v>0</v>
      </c>
      <c r="R96" s="1920">
        <v>0</v>
      </c>
      <c r="S96" s="1920">
        <v>0</v>
      </c>
      <c r="T96" s="1920">
        <v>0</v>
      </c>
      <c r="U96" s="1920">
        <v>0</v>
      </c>
      <c r="V96" s="1920">
        <v>0</v>
      </c>
      <c r="W96" s="1920">
        <v>0</v>
      </c>
      <c r="X96" s="1920">
        <v>0</v>
      </c>
      <c r="Y96" s="1920">
        <v>0</v>
      </c>
      <c r="Z96" s="1920">
        <v>0</v>
      </c>
      <c r="AA96" s="1920">
        <v>0</v>
      </c>
      <c r="AB96" s="1920">
        <v>0</v>
      </c>
      <c r="AC96" s="1920">
        <v>0</v>
      </c>
      <c r="AD96" s="1920">
        <v>0</v>
      </c>
      <c r="AE96" s="1920">
        <v>0</v>
      </c>
      <c r="AF96" s="1920">
        <v>0</v>
      </c>
      <c r="AG96" s="1920">
        <v>0</v>
      </c>
      <c r="AH96" s="1920">
        <v>0</v>
      </c>
      <c r="AI96" s="1920">
        <v>0</v>
      </c>
      <c r="AJ96" s="1920">
        <v>0</v>
      </c>
      <c r="AK96" s="1920">
        <v>0</v>
      </c>
      <c r="AL96" s="1920">
        <v>0</v>
      </c>
      <c r="AM96" s="1920">
        <v>0</v>
      </c>
      <c r="AN96" s="1920">
        <v>0</v>
      </c>
      <c r="AO96" s="1920">
        <v>0</v>
      </c>
      <c r="AP96" s="1920">
        <v>0</v>
      </c>
      <c r="AQ96" s="1920">
        <v>0</v>
      </c>
      <c r="AR96" s="1920">
        <v>0</v>
      </c>
      <c r="AS96" s="1920">
        <v>0</v>
      </c>
      <c r="AT96" s="1920">
        <v>0</v>
      </c>
      <c r="AU96" s="1920">
        <v>0</v>
      </c>
      <c r="AV96" s="1920">
        <v>1</v>
      </c>
      <c r="AW96" s="1920">
        <v>1</v>
      </c>
      <c r="AX96" s="1920">
        <v>1</v>
      </c>
      <c r="AY96" s="1920">
        <v>1</v>
      </c>
      <c r="AZ96" s="1920">
        <v>1</v>
      </c>
      <c r="BA96" s="1920">
        <v>0</v>
      </c>
      <c r="BB96" s="1920">
        <v>0</v>
      </c>
      <c r="BC96" s="1920">
        <v>0</v>
      </c>
      <c r="BD96" s="1920">
        <v>0</v>
      </c>
      <c r="BE96" s="1920">
        <v>0</v>
      </c>
      <c r="BF96" s="1920">
        <v>0</v>
      </c>
      <c r="BG96" s="1920">
        <v>0</v>
      </c>
      <c r="BH96" s="1920">
        <v>0</v>
      </c>
      <c r="BI96" s="1920">
        <v>0</v>
      </c>
      <c r="BJ96" s="1920">
        <v>0</v>
      </c>
      <c r="BK96" s="1920">
        <v>0</v>
      </c>
      <c r="BL96" s="1920">
        <v>0</v>
      </c>
      <c r="BM96" s="1920">
        <v>0</v>
      </c>
      <c r="BN96" s="1920">
        <v>0</v>
      </c>
      <c r="BO96" s="1920">
        <v>0</v>
      </c>
      <c r="BP96" s="1920">
        <v>0</v>
      </c>
      <c r="BQ96" s="1920">
        <v>0</v>
      </c>
      <c r="BR96" s="1920">
        <v>0</v>
      </c>
      <c r="BS96" s="1920">
        <v>0</v>
      </c>
      <c r="BT96" s="1920">
        <v>0</v>
      </c>
      <c r="BU96" s="1920">
        <v>0</v>
      </c>
      <c r="BV96" s="1920">
        <v>0</v>
      </c>
      <c r="BW96" s="1920">
        <v>0</v>
      </c>
      <c r="BX96" s="1920">
        <v>0</v>
      </c>
      <c r="BY96" s="1920">
        <v>0</v>
      </c>
      <c r="BZ96" s="1920">
        <v>0</v>
      </c>
      <c r="CA96" s="1920">
        <v>0</v>
      </c>
      <c r="CB96" s="1920">
        <v>0</v>
      </c>
      <c r="CC96" s="1920">
        <v>0</v>
      </c>
      <c r="CD96" s="1920">
        <v>0</v>
      </c>
      <c r="CE96" s="1920">
        <v>0</v>
      </c>
      <c r="CF96" s="1920">
        <v>0</v>
      </c>
      <c r="CG96" s="1920">
        <v>0</v>
      </c>
      <c r="CH96" s="1920">
        <v>0</v>
      </c>
      <c r="CI96" s="1920">
        <v>0</v>
      </c>
      <c r="CJ96" s="1920">
        <v>0</v>
      </c>
      <c r="CK96" s="1920">
        <v>0</v>
      </c>
      <c r="CL96" s="1920">
        <v>0</v>
      </c>
      <c r="CM96" s="1920">
        <v>0</v>
      </c>
      <c r="CN96" s="1920">
        <v>0</v>
      </c>
      <c r="CO96" s="1920">
        <v>0</v>
      </c>
      <c r="CP96" s="1920">
        <v>0</v>
      </c>
      <c r="CQ96" s="1920">
        <v>0</v>
      </c>
      <c r="CR96" s="1920">
        <v>0</v>
      </c>
      <c r="CS96" s="1920">
        <v>0</v>
      </c>
      <c r="CT96" s="1920">
        <v>0</v>
      </c>
      <c r="CU96" s="1920">
        <v>0</v>
      </c>
      <c r="CV96" s="1920">
        <v>0</v>
      </c>
      <c r="CW96" s="1920">
        <v>0</v>
      </c>
      <c r="CX96" s="1920">
        <v>0</v>
      </c>
      <c r="CY96" s="1920">
        <v>0</v>
      </c>
      <c r="CZ96" s="1920">
        <v>0</v>
      </c>
      <c r="DA96" s="1920">
        <v>0</v>
      </c>
      <c r="DB96" s="1920">
        <v>0</v>
      </c>
      <c r="DC96" s="1920">
        <v>0</v>
      </c>
      <c r="DD96" s="1920">
        <v>0</v>
      </c>
      <c r="DE96" s="1920">
        <v>0</v>
      </c>
      <c r="DF96" s="1920">
        <v>0</v>
      </c>
      <c r="DG96" s="1920">
        <v>0</v>
      </c>
      <c r="DH96" s="1920">
        <v>0</v>
      </c>
      <c r="DI96" s="1920">
        <v>0</v>
      </c>
      <c r="DJ96" s="1920">
        <v>0</v>
      </c>
      <c r="DK96" s="1920">
        <v>0</v>
      </c>
      <c r="DL96" s="1920">
        <v>0</v>
      </c>
      <c r="DM96" s="1920">
        <v>0</v>
      </c>
      <c r="DN96" s="1920">
        <v>0</v>
      </c>
      <c r="DO96" s="1920">
        <v>0</v>
      </c>
      <c r="DP96" s="1920">
        <v>0</v>
      </c>
      <c r="DQ96" s="1920">
        <v>0</v>
      </c>
      <c r="DR96" s="1920">
        <v>0</v>
      </c>
      <c r="DS96" s="1920">
        <v>0</v>
      </c>
      <c r="DT96" s="1920">
        <v>0</v>
      </c>
      <c r="DU96" s="1920">
        <v>0</v>
      </c>
      <c r="DV96" s="1920">
        <v>0</v>
      </c>
      <c r="DW96" s="1920">
        <v>0</v>
      </c>
      <c r="DX96" s="1920">
        <v>0</v>
      </c>
      <c r="DY96" s="1920">
        <v>0</v>
      </c>
      <c r="DZ96" s="1920">
        <v>0</v>
      </c>
      <c r="EA96" s="1920">
        <v>0</v>
      </c>
      <c r="EB96" s="1920">
        <v>0</v>
      </c>
      <c r="EC96" s="1920">
        <v>0</v>
      </c>
      <c r="ED96" s="1920">
        <v>0</v>
      </c>
      <c r="EE96" s="1920">
        <v>0</v>
      </c>
      <c r="EF96" s="1920">
        <v>0</v>
      </c>
      <c r="EG96" s="1920">
        <v>0</v>
      </c>
      <c r="EH96" s="1920">
        <v>0</v>
      </c>
      <c r="EI96" s="1920">
        <v>0</v>
      </c>
      <c r="EJ96" s="1920">
        <v>0</v>
      </c>
      <c r="EK96" s="1920">
        <v>0</v>
      </c>
      <c r="EL96" s="1920">
        <v>0</v>
      </c>
      <c r="EM96" s="1920">
        <v>0</v>
      </c>
      <c r="EN96" s="1920">
        <v>0</v>
      </c>
      <c r="EO96" s="1920">
        <v>0</v>
      </c>
      <c r="EP96" s="1920">
        <v>0</v>
      </c>
      <c r="EQ96" s="1920">
        <v>0</v>
      </c>
      <c r="ER96" s="1920">
        <v>0</v>
      </c>
      <c r="ES96" s="1920">
        <v>0</v>
      </c>
      <c r="ET96" s="1920">
        <v>0</v>
      </c>
      <c r="EU96" s="1920">
        <v>0</v>
      </c>
    </row>
    <row r="97" spans="1:151" s="1921" customFormat="1" ht="11.25" customHeight="1">
      <c r="A97" s="1910"/>
      <c r="B97" s="1910"/>
      <c r="C97" s="1911"/>
      <c r="D97" s="1912">
        <f t="shared" si="49"/>
        <v>4</v>
      </c>
      <c r="E97" s="1910" t="str">
        <f t="shared" si="49"/>
        <v>쿠팡</v>
      </c>
      <c r="F97" s="1910" t="str">
        <f t="shared" si="49"/>
        <v>상온창고</v>
      </c>
      <c r="G97" s="1913"/>
      <c r="H97" s="1914"/>
      <c r="I97" s="1915"/>
      <c r="J97" s="1915"/>
      <c r="K97" s="1914">
        <f>SUMPRODUCT($P97:$EU97,Index!$L$22:$EQ$22)/('A&amp;R'!$F$37/10)</f>
        <v>0.41666666666666669</v>
      </c>
      <c r="L97" s="1924"/>
      <c r="M97" s="1917"/>
      <c r="N97" s="1918">
        <f t="shared" si="50"/>
        <v>5</v>
      </c>
      <c r="O97" s="1919"/>
      <c r="P97" s="1920">
        <v>0</v>
      </c>
      <c r="Q97" s="1920">
        <v>0</v>
      </c>
      <c r="R97" s="1920">
        <v>0</v>
      </c>
      <c r="S97" s="1920">
        <v>0</v>
      </c>
      <c r="T97" s="1920">
        <v>0</v>
      </c>
      <c r="U97" s="1920">
        <v>0</v>
      </c>
      <c r="V97" s="1920">
        <v>0</v>
      </c>
      <c r="W97" s="1920">
        <v>0</v>
      </c>
      <c r="X97" s="1920">
        <v>0</v>
      </c>
      <c r="Y97" s="1920">
        <v>0</v>
      </c>
      <c r="Z97" s="1920">
        <v>0</v>
      </c>
      <c r="AA97" s="1920">
        <v>0</v>
      </c>
      <c r="AB97" s="1920">
        <v>0</v>
      </c>
      <c r="AC97" s="1920">
        <v>0</v>
      </c>
      <c r="AD97" s="1920">
        <v>0</v>
      </c>
      <c r="AE97" s="1920">
        <v>0</v>
      </c>
      <c r="AF97" s="1920">
        <v>0</v>
      </c>
      <c r="AG97" s="1920">
        <v>0</v>
      </c>
      <c r="AH97" s="1920">
        <v>0</v>
      </c>
      <c r="AI97" s="1920">
        <v>0</v>
      </c>
      <c r="AJ97" s="1920">
        <v>0</v>
      </c>
      <c r="AK97" s="1920">
        <v>0</v>
      </c>
      <c r="AL97" s="1920">
        <v>0</v>
      </c>
      <c r="AM97" s="1920">
        <v>0</v>
      </c>
      <c r="AN97" s="1920">
        <v>0</v>
      </c>
      <c r="AO97" s="1920">
        <v>0</v>
      </c>
      <c r="AP97" s="1920">
        <v>0</v>
      </c>
      <c r="AQ97" s="1920">
        <v>0</v>
      </c>
      <c r="AR97" s="1920">
        <v>0</v>
      </c>
      <c r="AS97" s="1920">
        <v>0</v>
      </c>
      <c r="AT97" s="1920">
        <v>0</v>
      </c>
      <c r="AU97" s="1920">
        <v>0</v>
      </c>
      <c r="AV97" s="1920">
        <v>1</v>
      </c>
      <c r="AW97" s="1920">
        <v>1</v>
      </c>
      <c r="AX97" s="1920">
        <v>1</v>
      </c>
      <c r="AY97" s="1920">
        <v>1</v>
      </c>
      <c r="AZ97" s="1920">
        <v>1</v>
      </c>
      <c r="BA97" s="1920">
        <v>0</v>
      </c>
      <c r="BB97" s="1920">
        <v>0</v>
      </c>
      <c r="BC97" s="1920">
        <v>0</v>
      </c>
      <c r="BD97" s="1920">
        <v>0</v>
      </c>
      <c r="BE97" s="1920">
        <v>0</v>
      </c>
      <c r="BF97" s="1920">
        <v>0</v>
      </c>
      <c r="BG97" s="1920">
        <v>0</v>
      </c>
      <c r="BH97" s="1920">
        <v>0</v>
      </c>
      <c r="BI97" s="1920">
        <v>0</v>
      </c>
      <c r="BJ97" s="1920">
        <v>0</v>
      </c>
      <c r="BK97" s="1920">
        <v>0</v>
      </c>
      <c r="BL97" s="1920">
        <v>0</v>
      </c>
      <c r="BM97" s="1920">
        <v>0</v>
      </c>
      <c r="BN97" s="1920">
        <v>0</v>
      </c>
      <c r="BO97" s="1920">
        <v>0</v>
      </c>
      <c r="BP97" s="1920">
        <v>0</v>
      </c>
      <c r="BQ97" s="1920">
        <v>0</v>
      </c>
      <c r="BR97" s="1920">
        <v>0</v>
      </c>
      <c r="BS97" s="1920">
        <v>0</v>
      </c>
      <c r="BT97" s="1920">
        <v>0</v>
      </c>
      <c r="BU97" s="1920">
        <v>0</v>
      </c>
      <c r="BV97" s="1920">
        <v>0</v>
      </c>
      <c r="BW97" s="1920">
        <v>0</v>
      </c>
      <c r="BX97" s="1920">
        <v>0</v>
      </c>
      <c r="BY97" s="1920">
        <v>0</v>
      </c>
      <c r="BZ97" s="1920">
        <v>0</v>
      </c>
      <c r="CA97" s="1920">
        <v>0</v>
      </c>
      <c r="CB97" s="1920">
        <v>0</v>
      </c>
      <c r="CC97" s="1920">
        <v>0</v>
      </c>
      <c r="CD97" s="1920">
        <v>0</v>
      </c>
      <c r="CE97" s="1920">
        <v>0</v>
      </c>
      <c r="CF97" s="1920">
        <v>0</v>
      </c>
      <c r="CG97" s="1920">
        <v>0</v>
      </c>
      <c r="CH97" s="1920">
        <v>0</v>
      </c>
      <c r="CI97" s="1920">
        <v>0</v>
      </c>
      <c r="CJ97" s="1920">
        <v>0</v>
      </c>
      <c r="CK97" s="1920">
        <v>0</v>
      </c>
      <c r="CL97" s="1920">
        <v>0</v>
      </c>
      <c r="CM97" s="1920">
        <v>0</v>
      </c>
      <c r="CN97" s="1920">
        <v>0</v>
      </c>
      <c r="CO97" s="1920">
        <v>0</v>
      </c>
      <c r="CP97" s="1920">
        <v>0</v>
      </c>
      <c r="CQ97" s="1920">
        <v>0</v>
      </c>
      <c r="CR97" s="1920">
        <v>0</v>
      </c>
      <c r="CS97" s="1920">
        <v>0</v>
      </c>
      <c r="CT97" s="1920">
        <v>0</v>
      </c>
      <c r="CU97" s="1920">
        <v>0</v>
      </c>
      <c r="CV97" s="1920">
        <v>0</v>
      </c>
      <c r="CW97" s="1920">
        <v>0</v>
      </c>
      <c r="CX97" s="1920">
        <v>0</v>
      </c>
      <c r="CY97" s="1920">
        <v>0</v>
      </c>
      <c r="CZ97" s="1920">
        <v>0</v>
      </c>
      <c r="DA97" s="1920">
        <v>0</v>
      </c>
      <c r="DB97" s="1920">
        <v>0</v>
      </c>
      <c r="DC97" s="1920">
        <v>0</v>
      </c>
      <c r="DD97" s="1920">
        <v>0</v>
      </c>
      <c r="DE97" s="1920">
        <v>0</v>
      </c>
      <c r="DF97" s="1920">
        <v>0</v>
      </c>
      <c r="DG97" s="1920">
        <v>0</v>
      </c>
      <c r="DH97" s="1920">
        <v>0</v>
      </c>
      <c r="DI97" s="1920">
        <v>0</v>
      </c>
      <c r="DJ97" s="1920">
        <v>0</v>
      </c>
      <c r="DK97" s="1920">
        <v>0</v>
      </c>
      <c r="DL97" s="1920">
        <v>0</v>
      </c>
      <c r="DM97" s="1920">
        <v>0</v>
      </c>
      <c r="DN97" s="1920">
        <v>0</v>
      </c>
      <c r="DO97" s="1920">
        <v>0</v>
      </c>
      <c r="DP97" s="1920">
        <v>0</v>
      </c>
      <c r="DQ97" s="1920">
        <v>0</v>
      </c>
      <c r="DR97" s="1920">
        <v>0</v>
      </c>
      <c r="DS97" s="1920">
        <v>0</v>
      </c>
      <c r="DT97" s="1920">
        <v>0</v>
      </c>
      <c r="DU97" s="1920">
        <v>0</v>
      </c>
      <c r="DV97" s="1920">
        <v>0</v>
      </c>
      <c r="DW97" s="1920">
        <v>0</v>
      </c>
      <c r="DX97" s="1920">
        <v>0</v>
      </c>
      <c r="DY97" s="1920">
        <v>0</v>
      </c>
      <c r="DZ97" s="1920">
        <v>0</v>
      </c>
      <c r="EA97" s="1920">
        <v>0</v>
      </c>
      <c r="EB97" s="1920">
        <v>0</v>
      </c>
      <c r="EC97" s="1920">
        <v>0</v>
      </c>
      <c r="ED97" s="1920">
        <v>0</v>
      </c>
      <c r="EE97" s="1920">
        <v>0</v>
      </c>
      <c r="EF97" s="1920">
        <v>0</v>
      </c>
      <c r="EG97" s="1920">
        <v>0</v>
      </c>
      <c r="EH97" s="1920">
        <v>0</v>
      </c>
      <c r="EI97" s="1920">
        <v>0</v>
      </c>
      <c r="EJ97" s="1920">
        <v>0</v>
      </c>
      <c r="EK97" s="1920">
        <v>0</v>
      </c>
      <c r="EL97" s="1920">
        <v>0</v>
      </c>
      <c r="EM97" s="1920">
        <v>0</v>
      </c>
      <c r="EN97" s="1920">
        <v>0</v>
      </c>
      <c r="EO97" s="1920">
        <v>0</v>
      </c>
      <c r="EP97" s="1920">
        <v>0</v>
      </c>
      <c r="EQ97" s="1920">
        <v>0</v>
      </c>
      <c r="ER97" s="1920">
        <v>0</v>
      </c>
      <c r="ES97" s="1920">
        <v>0</v>
      </c>
      <c r="ET97" s="1920">
        <v>0</v>
      </c>
      <c r="EU97" s="1920">
        <v>0</v>
      </c>
    </row>
    <row r="98" spans="1:151" s="1921" customFormat="1" ht="11.25" customHeight="1">
      <c r="A98" s="1910"/>
      <c r="B98" s="1910"/>
      <c r="C98" s="1911"/>
      <c r="D98" s="1912">
        <f t="shared" si="49"/>
        <v>3</v>
      </c>
      <c r="E98" s="1910" t="str">
        <f t="shared" si="49"/>
        <v>농심</v>
      </c>
      <c r="F98" s="1910" t="str">
        <f t="shared" si="49"/>
        <v>상온창고</v>
      </c>
      <c r="G98" s="1913"/>
      <c r="H98" s="1914"/>
      <c r="I98" s="1915"/>
      <c r="J98" s="1915"/>
      <c r="K98" s="1914">
        <f>SUMPRODUCT($P98:$EU98,Index!$L$22:$EQ$22)/('A&amp;R'!$F$37/10)</f>
        <v>0</v>
      </c>
      <c r="L98" s="1924"/>
      <c r="M98" s="1917"/>
      <c r="N98" s="1918">
        <f t="shared" si="50"/>
        <v>0</v>
      </c>
      <c r="O98" s="1919"/>
      <c r="P98" s="1920"/>
      <c r="Q98" s="1920"/>
      <c r="R98" s="1920"/>
      <c r="S98" s="1920"/>
      <c r="T98" s="1920"/>
      <c r="U98" s="1920"/>
      <c r="V98" s="1920"/>
      <c r="W98" s="1920"/>
      <c r="X98" s="1920"/>
      <c r="Y98" s="1920"/>
      <c r="Z98" s="1920"/>
      <c r="AA98" s="1920"/>
      <c r="AB98" s="1920"/>
      <c r="AC98" s="1920"/>
      <c r="AD98" s="1920"/>
      <c r="AE98" s="1920"/>
      <c r="AF98" s="1920"/>
      <c r="AG98" s="1920"/>
      <c r="AH98" s="1920"/>
      <c r="AI98" s="1920"/>
      <c r="AJ98" s="1920"/>
      <c r="AK98" s="1920"/>
      <c r="AL98" s="1920"/>
      <c r="AM98" s="1920"/>
      <c r="AN98" s="1920"/>
      <c r="AO98" s="1920"/>
      <c r="AP98" s="1920"/>
      <c r="AQ98" s="1920"/>
      <c r="AR98" s="1920"/>
      <c r="AS98" s="1920"/>
      <c r="AT98" s="1920"/>
      <c r="AU98" s="1920"/>
      <c r="AV98" s="1920"/>
      <c r="AW98" s="1920"/>
      <c r="AX98" s="1920"/>
      <c r="AY98" s="1920"/>
      <c r="AZ98" s="1920"/>
      <c r="BA98" s="1920"/>
      <c r="BB98" s="1920"/>
      <c r="BC98" s="1920"/>
      <c r="BD98" s="1920"/>
      <c r="BE98" s="1920"/>
      <c r="BF98" s="1920"/>
      <c r="BG98" s="1920"/>
      <c r="BH98" s="1920"/>
      <c r="BI98" s="1920"/>
      <c r="BJ98" s="1920"/>
      <c r="BK98" s="1920"/>
      <c r="BL98" s="1920"/>
      <c r="BM98" s="1920"/>
      <c r="BN98" s="1920"/>
      <c r="BO98" s="1920"/>
      <c r="BP98" s="1920"/>
      <c r="BQ98" s="1920"/>
      <c r="BR98" s="1920"/>
      <c r="BS98" s="1920"/>
      <c r="BT98" s="1920"/>
      <c r="BU98" s="1920"/>
      <c r="BV98" s="1920"/>
      <c r="BW98" s="1920"/>
      <c r="BX98" s="1920"/>
      <c r="BY98" s="1920"/>
      <c r="BZ98" s="1920"/>
      <c r="CA98" s="1920"/>
      <c r="CB98" s="1920"/>
      <c r="CC98" s="1920"/>
      <c r="CD98" s="1920"/>
      <c r="CE98" s="1920"/>
      <c r="CF98" s="1920"/>
      <c r="CG98" s="1920"/>
      <c r="CH98" s="1920"/>
      <c r="CI98" s="1920"/>
      <c r="CJ98" s="1920"/>
      <c r="CK98" s="1920"/>
      <c r="CL98" s="1920"/>
      <c r="CM98" s="1920"/>
      <c r="CN98" s="1920"/>
      <c r="CO98" s="1920"/>
      <c r="CP98" s="1920"/>
      <c r="CQ98" s="1920"/>
      <c r="CR98" s="1920"/>
      <c r="CS98" s="1920"/>
      <c r="CT98" s="1920"/>
      <c r="CU98" s="1920"/>
      <c r="CV98" s="1920"/>
      <c r="CW98" s="1920"/>
      <c r="CX98" s="1920"/>
      <c r="CY98" s="1920"/>
      <c r="CZ98" s="1920"/>
      <c r="DA98" s="1920"/>
      <c r="DB98" s="1920"/>
      <c r="DC98" s="1920"/>
      <c r="DD98" s="1920"/>
      <c r="DE98" s="1920"/>
      <c r="DF98" s="1920"/>
      <c r="DG98" s="1920"/>
      <c r="DH98" s="1920"/>
      <c r="DI98" s="1920"/>
      <c r="DJ98" s="1920"/>
      <c r="DK98" s="1920"/>
      <c r="DL98" s="1920"/>
      <c r="DM98" s="1920"/>
      <c r="DN98" s="1920"/>
      <c r="DO98" s="1920"/>
      <c r="DP98" s="1920"/>
      <c r="DQ98" s="1920"/>
      <c r="DR98" s="1920"/>
      <c r="DS98" s="1920"/>
      <c r="DT98" s="1920"/>
      <c r="DU98" s="1920"/>
      <c r="DV98" s="1920"/>
      <c r="DW98" s="1920"/>
      <c r="DX98" s="1920"/>
      <c r="DY98" s="1920"/>
      <c r="DZ98" s="1920"/>
      <c r="EA98" s="1920"/>
      <c r="EB98" s="1920"/>
      <c r="EC98" s="1920"/>
      <c r="ED98" s="1920"/>
      <c r="EE98" s="1920"/>
      <c r="EF98" s="1920"/>
      <c r="EG98" s="1920"/>
      <c r="EH98" s="1920"/>
      <c r="EI98" s="1920"/>
      <c r="EJ98" s="1920"/>
      <c r="EK98" s="1920"/>
      <c r="EL98" s="1920"/>
      <c r="EM98" s="1920"/>
      <c r="EN98" s="1920"/>
      <c r="EO98" s="1920"/>
      <c r="EP98" s="1920"/>
      <c r="EQ98" s="1920"/>
      <c r="ER98" s="1920"/>
      <c r="ES98" s="1920"/>
      <c r="ET98" s="1920"/>
      <c r="EU98" s="1920"/>
    </row>
    <row r="99" spans="1:151" s="1921" customFormat="1" ht="11.25" customHeight="1">
      <c r="A99" s="1910"/>
      <c r="B99" s="1910"/>
      <c r="C99" s="1911"/>
      <c r="D99" s="1912">
        <f t="shared" si="49"/>
        <v>2</v>
      </c>
      <c r="E99" s="1910" t="str">
        <f t="shared" si="49"/>
        <v>쿠팡</v>
      </c>
      <c r="F99" s="1910" t="str">
        <f t="shared" si="49"/>
        <v>상온창고</v>
      </c>
      <c r="G99" s="1913"/>
      <c r="H99" s="1914"/>
      <c r="I99" s="1915"/>
      <c r="J99" s="1915"/>
      <c r="K99" s="1914">
        <f>SUMPRODUCT($P99:$EU99,Index!$L$22:$EQ$22)/('A&amp;R'!$F$37/10)</f>
        <v>0.58333333333333337</v>
      </c>
      <c r="L99" s="1924"/>
      <c r="M99" s="1917"/>
      <c r="N99" s="1918">
        <f t="shared" si="50"/>
        <v>7</v>
      </c>
      <c r="O99" s="1919"/>
      <c r="P99" s="1920">
        <f t="shared" ref="P99:AE99" si="51">(P$15&gt;$H99)*(P$15&lt;=$I99)</f>
        <v>0</v>
      </c>
      <c r="Q99" s="1920">
        <f t="shared" si="51"/>
        <v>0</v>
      </c>
      <c r="R99" s="1920">
        <f t="shared" si="51"/>
        <v>0</v>
      </c>
      <c r="S99" s="1920">
        <f t="shared" si="51"/>
        <v>0</v>
      </c>
      <c r="T99" s="1920">
        <v>1</v>
      </c>
      <c r="U99" s="1920">
        <f t="shared" si="51"/>
        <v>0</v>
      </c>
      <c r="V99" s="1920">
        <f t="shared" si="51"/>
        <v>0</v>
      </c>
      <c r="W99" s="1920">
        <f t="shared" si="51"/>
        <v>0</v>
      </c>
      <c r="X99" s="1920">
        <f t="shared" si="51"/>
        <v>0</v>
      </c>
      <c r="Y99" s="1920">
        <f t="shared" si="51"/>
        <v>0</v>
      </c>
      <c r="Z99" s="1920">
        <f t="shared" si="51"/>
        <v>0</v>
      </c>
      <c r="AA99" s="1920">
        <f t="shared" si="51"/>
        <v>0</v>
      </c>
      <c r="AB99" s="1920">
        <f t="shared" si="51"/>
        <v>0</v>
      </c>
      <c r="AC99" s="1920">
        <f t="shared" si="51"/>
        <v>0</v>
      </c>
      <c r="AD99" s="1920">
        <f t="shared" si="51"/>
        <v>0</v>
      </c>
      <c r="AE99" s="1920">
        <f t="shared" si="51"/>
        <v>0</v>
      </c>
      <c r="AF99" s="1920">
        <v>1</v>
      </c>
      <c r="AG99" s="1920">
        <f t="shared" ref="AG99:CQ99" si="52">(AG$15&gt;$H99)*(AG$15&lt;=$I99)</f>
        <v>0</v>
      </c>
      <c r="AH99" s="1920">
        <f t="shared" si="52"/>
        <v>0</v>
      </c>
      <c r="AI99" s="1920">
        <f t="shared" si="52"/>
        <v>0</v>
      </c>
      <c r="AJ99" s="1920">
        <f t="shared" si="52"/>
        <v>0</v>
      </c>
      <c r="AK99" s="1920">
        <f t="shared" si="52"/>
        <v>0</v>
      </c>
      <c r="AL99" s="1920">
        <f t="shared" si="52"/>
        <v>0</v>
      </c>
      <c r="AM99" s="1920">
        <f t="shared" si="52"/>
        <v>0</v>
      </c>
      <c r="AN99" s="1920">
        <f t="shared" si="52"/>
        <v>0</v>
      </c>
      <c r="AO99" s="1920">
        <f t="shared" si="52"/>
        <v>0</v>
      </c>
      <c r="AP99" s="1920">
        <f t="shared" si="52"/>
        <v>0</v>
      </c>
      <c r="AQ99" s="1920">
        <f t="shared" si="52"/>
        <v>0</v>
      </c>
      <c r="AR99" s="1920">
        <v>0</v>
      </c>
      <c r="AS99" s="1920">
        <f t="shared" si="52"/>
        <v>0</v>
      </c>
      <c r="AT99" s="1920">
        <f t="shared" si="52"/>
        <v>0</v>
      </c>
      <c r="AU99" s="1920">
        <f t="shared" si="52"/>
        <v>0</v>
      </c>
      <c r="AV99" s="1920">
        <v>1</v>
      </c>
      <c r="AW99" s="1920">
        <v>1</v>
      </c>
      <c r="AX99" s="1920">
        <v>1</v>
      </c>
      <c r="AY99" s="1920">
        <v>1</v>
      </c>
      <c r="AZ99" s="1920">
        <v>1</v>
      </c>
      <c r="BA99" s="1920">
        <f t="shared" si="52"/>
        <v>0</v>
      </c>
      <c r="BB99" s="1920">
        <f t="shared" si="52"/>
        <v>0</v>
      </c>
      <c r="BC99" s="1920">
        <f t="shared" si="52"/>
        <v>0</v>
      </c>
      <c r="BD99" s="1920">
        <f t="shared" si="52"/>
        <v>0</v>
      </c>
      <c r="BE99" s="1920">
        <f t="shared" si="52"/>
        <v>0</v>
      </c>
      <c r="BF99" s="1920">
        <f t="shared" si="52"/>
        <v>0</v>
      </c>
      <c r="BG99" s="1920">
        <f t="shared" si="52"/>
        <v>0</v>
      </c>
      <c r="BH99" s="1920">
        <f t="shared" si="52"/>
        <v>0</v>
      </c>
      <c r="BI99" s="1920">
        <f t="shared" si="52"/>
        <v>0</v>
      </c>
      <c r="BJ99" s="1920">
        <f t="shared" si="52"/>
        <v>0</v>
      </c>
      <c r="BK99" s="1920">
        <f t="shared" si="52"/>
        <v>0</v>
      </c>
      <c r="BL99" s="1920">
        <f t="shared" si="52"/>
        <v>0</v>
      </c>
      <c r="BM99" s="1920">
        <f t="shared" si="52"/>
        <v>0</v>
      </c>
      <c r="BN99" s="1920">
        <f t="shared" si="52"/>
        <v>0</v>
      </c>
      <c r="BO99" s="1920">
        <f t="shared" si="52"/>
        <v>0</v>
      </c>
      <c r="BP99" s="1920">
        <f t="shared" si="52"/>
        <v>0</v>
      </c>
      <c r="BQ99" s="1920">
        <f t="shared" si="52"/>
        <v>0</v>
      </c>
      <c r="BR99" s="1920">
        <f t="shared" si="52"/>
        <v>0</v>
      </c>
      <c r="BS99" s="1920">
        <f t="shared" si="52"/>
        <v>0</v>
      </c>
      <c r="BT99" s="1920">
        <f t="shared" si="52"/>
        <v>0</v>
      </c>
      <c r="BU99" s="1920">
        <f t="shared" si="52"/>
        <v>0</v>
      </c>
      <c r="BV99" s="1920">
        <f t="shared" si="52"/>
        <v>0</v>
      </c>
      <c r="BW99" s="1920">
        <f t="shared" si="52"/>
        <v>0</v>
      </c>
      <c r="BX99" s="1920">
        <f t="shared" si="52"/>
        <v>0</v>
      </c>
      <c r="BY99" s="1920">
        <f t="shared" si="52"/>
        <v>0</v>
      </c>
      <c r="BZ99" s="1920">
        <f t="shared" si="52"/>
        <v>0</v>
      </c>
      <c r="CA99" s="1920">
        <f t="shared" si="52"/>
        <v>0</v>
      </c>
      <c r="CB99" s="1920">
        <f t="shared" si="52"/>
        <v>0</v>
      </c>
      <c r="CC99" s="1920">
        <f t="shared" si="52"/>
        <v>0</v>
      </c>
      <c r="CD99" s="1920">
        <f t="shared" si="52"/>
        <v>0</v>
      </c>
      <c r="CE99" s="1920">
        <f t="shared" si="52"/>
        <v>0</v>
      </c>
      <c r="CF99" s="1920">
        <f t="shared" si="52"/>
        <v>0</v>
      </c>
      <c r="CG99" s="1920">
        <f t="shared" si="52"/>
        <v>0</v>
      </c>
      <c r="CH99" s="1920">
        <f t="shared" si="52"/>
        <v>0</v>
      </c>
      <c r="CI99" s="1920">
        <f t="shared" si="52"/>
        <v>0</v>
      </c>
      <c r="CJ99" s="1920">
        <f t="shared" si="52"/>
        <v>0</v>
      </c>
      <c r="CK99" s="1920">
        <f t="shared" si="52"/>
        <v>0</v>
      </c>
      <c r="CL99" s="1920">
        <f t="shared" si="52"/>
        <v>0</v>
      </c>
      <c r="CM99" s="1920">
        <f t="shared" si="52"/>
        <v>0</v>
      </c>
      <c r="CN99" s="1920">
        <f t="shared" si="52"/>
        <v>0</v>
      </c>
      <c r="CO99" s="1920">
        <f t="shared" si="52"/>
        <v>0</v>
      </c>
      <c r="CP99" s="1920">
        <f t="shared" si="52"/>
        <v>0</v>
      </c>
      <c r="CQ99" s="1920">
        <f t="shared" si="52"/>
        <v>0</v>
      </c>
      <c r="CR99" s="1920">
        <f t="shared" ref="CR99:EU99" si="53">(CR$15&gt;$H99)*(CR$15&lt;=$I99)</f>
        <v>0</v>
      </c>
      <c r="CS99" s="1920">
        <f t="shared" si="53"/>
        <v>0</v>
      </c>
      <c r="CT99" s="1920">
        <f t="shared" si="53"/>
        <v>0</v>
      </c>
      <c r="CU99" s="1920">
        <f t="shared" si="53"/>
        <v>0</v>
      </c>
      <c r="CV99" s="1920">
        <f t="shared" si="53"/>
        <v>0</v>
      </c>
      <c r="CW99" s="1920">
        <f t="shared" si="53"/>
        <v>0</v>
      </c>
      <c r="CX99" s="1920">
        <f t="shared" si="53"/>
        <v>0</v>
      </c>
      <c r="CY99" s="1920">
        <f t="shared" si="53"/>
        <v>0</v>
      </c>
      <c r="CZ99" s="1920">
        <f t="shared" si="53"/>
        <v>0</v>
      </c>
      <c r="DA99" s="1920">
        <f t="shared" si="53"/>
        <v>0</v>
      </c>
      <c r="DB99" s="1920">
        <f t="shared" si="53"/>
        <v>0</v>
      </c>
      <c r="DC99" s="1920">
        <f t="shared" si="53"/>
        <v>0</v>
      </c>
      <c r="DD99" s="1920">
        <f t="shared" si="53"/>
        <v>0</v>
      </c>
      <c r="DE99" s="1920">
        <f t="shared" si="53"/>
        <v>0</v>
      </c>
      <c r="DF99" s="1920">
        <f t="shared" si="53"/>
        <v>0</v>
      </c>
      <c r="DG99" s="1920">
        <f t="shared" si="53"/>
        <v>0</v>
      </c>
      <c r="DH99" s="1920">
        <f t="shared" si="53"/>
        <v>0</v>
      </c>
      <c r="DI99" s="1920">
        <f t="shared" si="53"/>
        <v>0</v>
      </c>
      <c r="DJ99" s="1920">
        <f t="shared" si="53"/>
        <v>0</v>
      </c>
      <c r="DK99" s="1920">
        <f t="shared" si="53"/>
        <v>0</v>
      </c>
      <c r="DL99" s="1920">
        <f t="shared" si="53"/>
        <v>0</v>
      </c>
      <c r="DM99" s="1920">
        <f t="shared" si="53"/>
        <v>0</v>
      </c>
      <c r="DN99" s="1920">
        <f t="shared" si="53"/>
        <v>0</v>
      </c>
      <c r="DO99" s="1920">
        <f t="shared" si="53"/>
        <v>0</v>
      </c>
      <c r="DP99" s="1920">
        <f t="shared" si="53"/>
        <v>0</v>
      </c>
      <c r="DQ99" s="1920">
        <f t="shared" si="53"/>
        <v>0</v>
      </c>
      <c r="DR99" s="1920">
        <f t="shared" si="53"/>
        <v>0</v>
      </c>
      <c r="DS99" s="1920">
        <f t="shared" si="53"/>
        <v>0</v>
      </c>
      <c r="DT99" s="1920">
        <f t="shared" si="53"/>
        <v>0</v>
      </c>
      <c r="DU99" s="1920">
        <f t="shared" si="53"/>
        <v>0</v>
      </c>
      <c r="DV99" s="1920">
        <f t="shared" si="53"/>
        <v>0</v>
      </c>
      <c r="DW99" s="1920">
        <f t="shared" si="53"/>
        <v>0</v>
      </c>
      <c r="DX99" s="1920">
        <f t="shared" si="53"/>
        <v>0</v>
      </c>
      <c r="DY99" s="1920">
        <f t="shared" si="53"/>
        <v>0</v>
      </c>
      <c r="DZ99" s="1920">
        <f t="shared" si="53"/>
        <v>0</v>
      </c>
      <c r="EA99" s="1920">
        <f t="shared" si="53"/>
        <v>0</v>
      </c>
      <c r="EB99" s="1920">
        <f t="shared" si="53"/>
        <v>0</v>
      </c>
      <c r="EC99" s="1920">
        <f t="shared" si="53"/>
        <v>0</v>
      </c>
      <c r="ED99" s="1920">
        <f t="shared" si="53"/>
        <v>0</v>
      </c>
      <c r="EE99" s="1920">
        <f t="shared" si="53"/>
        <v>0</v>
      </c>
      <c r="EF99" s="1920">
        <f t="shared" si="53"/>
        <v>0</v>
      </c>
      <c r="EG99" s="1920">
        <f t="shared" si="53"/>
        <v>0</v>
      </c>
      <c r="EH99" s="1920">
        <f t="shared" si="53"/>
        <v>0</v>
      </c>
      <c r="EI99" s="1920">
        <f t="shared" si="53"/>
        <v>0</v>
      </c>
      <c r="EJ99" s="1920">
        <f t="shared" si="53"/>
        <v>0</v>
      </c>
      <c r="EK99" s="1920">
        <f t="shared" si="53"/>
        <v>0</v>
      </c>
      <c r="EL99" s="1920">
        <f t="shared" si="53"/>
        <v>0</v>
      </c>
      <c r="EM99" s="1920">
        <f t="shared" si="53"/>
        <v>0</v>
      </c>
      <c r="EN99" s="1920">
        <f t="shared" si="53"/>
        <v>0</v>
      </c>
      <c r="EO99" s="1920">
        <f t="shared" si="53"/>
        <v>0</v>
      </c>
      <c r="EP99" s="1920">
        <f t="shared" si="53"/>
        <v>0</v>
      </c>
      <c r="EQ99" s="1920">
        <f t="shared" si="53"/>
        <v>0</v>
      </c>
      <c r="ER99" s="1920">
        <f t="shared" si="53"/>
        <v>0</v>
      </c>
      <c r="ES99" s="1920">
        <f t="shared" si="53"/>
        <v>0</v>
      </c>
      <c r="ET99" s="1920">
        <f t="shared" si="53"/>
        <v>0</v>
      </c>
      <c r="EU99" s="1920">
        <f t="shared" si="53"/>
        <v>0</v>
      </c>
    </row>
    <row r="100" spans="1:151" s="1921" customFormat="1" ht="11.25" customHeight="1">
      <c r="A100" s="1910"/>
      <c r="B100" s="1910"/>
      <c r="C100" s="1911"/>
      <c r="D100" s="1912">
        <f t="shared" si="49"/>
        <v>1</v>
      </c>
      <c r="E100" s="1910" t="str">
        <f t="shared" si="49"/>
        <v>지오영</v>
      </c>
      <c r="F100" s="1910" t="str">
        <f t="shared" si="49"/>
        <v>상온창고</v>
      </c>
      <c r="G100" s="1913"/>
      <c r="H100" s="1914"/>
      <c r="I100" s="1915"/>
      <c r="J100" s="1915"/>
      <c r="K100" s="1914">
        <f>SUMPRODUCT($P100:$EU100,Index!$L$22:$EQ$22)/('A&amp;R'!$F$37/10)</f>
        <v>1</v>
      </c>
      <c r="L100" s="1916"/>
      <c r="M100" s="1917"/>
      <c r="N100" s="1918">
        <f t="shared" si="50"/>
        <v>12</v>
      </c>
      <c r="O100" s="1919"/>
      <c r="P100" s="1920"/>
      <c r="Q100" s="1920"/>
      <c r="R100" s="1920"/>
      <c r="S100" s="1920"/>
      <c r="T100" s="1920"/>
      <c r="U100" s="1920">
        <v>1</v>
      </c>
      <c r="V100" s="1920">
        <v>0.5</v>
      </c>
      <c r="W100" s="1920"/>
      <c r="X100" s="1920"/>
      <c r="Y100" s="1920"/>
      <c r="Z100" s="1920"/>
      <c r="AA100" s="1920"/>
      <c r="AB100" s="1920"/>
      <c r="AC100" s="1920"/>
      <c r="AD100" s="1920"/>
      <c r="AE100" s="1920"/>
      <c r="AF100" s="1920"/>
      <c r="AG100" s="1920">
        <v>1</v>
      </c>
      <c r="AH100" s="1920">
        <v>0.5</v>
      </c>
      <c r="AI100" s="1920"/>
      <c r="AJ100" s="1920"/>
      <c r="AK100" s="1920"/>
      <c r="AL100" s="1920"/>
      <c r="AM100" s="1920"/>
      <c r="AN100" s="1920"/>
      <c r="AO100" s="1920"/>
      <c r="AP100" s="1920"/>
      <c r="AQ100" s="1920"/>
      <c r="AR100" s="1920"/>
      <c r="AS100" s="1920">
        <v>1</v>
      </c>
      <c r="AT100" s="1920">
        <v>0.5</v>
      </c>
      <c r="AU100" s="1920"/>
      <c r="AV100" s="1920"/>
      <c r="AW100" s="1920"/>
      <c r="AX100" s="1920"/>
      <c r="AY100" s="1920"/>
      <c r="AZ100" s="1920"/>
      <c r="BA100" s="1920"/>
      <c r="BB100" s="1920"/>
      <c r="BC100" s="1920"/>
      <c r="BD100" s="1920"/>
      <c r="BE100" s="1920">
        <v>1</v>
      </c>
      <c r="BF100" s="1920">
        <v>0.5</v>
      </c>
      <c r="BG100" s="1920"/>
      <c r="BH100" s="1920"/>
      <c r="BI100" s="1920"/>
      <c r="BJ100" s="1920"/>
      <c r="BK100" s="1920"/>
      <c r="BL100" s="1920"/>
      <c r="BM100" s="1920"/>
      <c r="BN100" s="1920"/>
      <c r="BO100" s="1920"/>
      <c r="BP100" s="1920"/>
      <c r="BQ100" s="1920">
        <v>1</v>
      </c>
      <c r="BR100" s="1920">
        <v>0.5</v>
      </c>
      <c r="BS100" s="1920"/>
      <c r="BT100" s="1920"/>
      <c r="BU100" s="1920"/>
      <c r="BV100" s="1920"/>
      <c r="BW100" s="1920"/>
      <c r="BX100" s="1920"/>
      <c r="BY100" s="1920"/>
      <c r="BZ100" s="1920"/>
      <c r="CA100" s="1920"/>
      <c r="CB100" s="1920"/>
      <c r="CC100" s="1920">
        <v>1</v>
      </c>
      <c r="CD100" s="1920">
        <v>0.5</v>
      </c>
      <c r="CE100" s="1920"/>
      <c r="CF100" s="1920"/>
      <c r="CG100" s="1920"/>
      <c r="CH100" s="1920"/>
      <c r="CI100" s="1920"/>
      <c r="CJ100" s="1920"/>
      <c r="CK100" s="1920"/>
      <c r="CL100" s="1920"/>
      <c r="CM100" s="1920"/>
      <c r="CN100" s="1920"/>
      <c r="CO100" s="1920">
        <v>1</v>
      </c>
      <c r="CP100" s="1920">
        <v>0.5</v>
      </c>
      <c r="CQ100" s="1920"/>
      <c r="CR100" s="1920"/>
      <c r="CS100" s="1920"/>
      <c r="CT100" s="1920"/>
      <c r="CU100" s="1920"/>
      <c r="CV100" s="1920"/>
      <c r="CW100" s="1920"/>
      <c r="CX100" s="1920"/>
      <c r="CY100" s="1920"/>
      <c r="CZ100" s="1920"/>
      <c r="DA100" s="1920">
        <v>1</v>
      </c>
      <c r="DB100" s="1920">
        <v>0.5</v>
      </c>
      <c r="DC100" s="1920">
        <v>0</v>
      </c>
      <c r="DD100" s="1920">
        <v>0</v>
      </c>
      <c r="DE100" s="1920">
        <v>0</v>
      </c>
      <c r="DF100" s="1920">
        <v>0</v>
      </c>
      <c r="DG100" s="1920">
        <v>0</v>
      </c>
      <c r="DH100" s="1920">
        <v>0</v>
      </c>
      <c r="DI100" s="1920">
        <v>0</v>
      </c>
      <c r="DJ100" s="1920">
        <v>0</v>
      </c>
      <c r="DK100" s="1920">
        <v>0</v>
      </c>
      <c r="DL100" s="1920">
        <v>0</v>
      </c>
      <c r="DM100" s="1920">
        <v>0</v>
      </c>
      <c r="DN100" s="1920">
        <v>0</v>
      </c>
      <c r="DO100" s="1920">
        <v>0</v>
      </c>
      <c r="DP100" s="1920">
        <v>0</v>
      </c>
      <c r="DQ100" s="1920">
        <v>0</v>
      </c>
      <c r="DR100" s="1920">
        <v>0</v>
      </c>
      <c r="DS100" s="1920">
        <v>0</v>
      </c>
      <c r="DT100" s="1920">
        <v>0</v>
      </c>
      <c r="DU100" s="1920">
        <v>0</v>
      </c>
      <c r="DV100" s="1920">
        <v>0</v>
      </c>
      <c r="DW100" s="1920">
        <v>0</v>
      </c>
      <c r="DX100" s="1920">
        <v>0</v>
      </c>
      <c r="DY100" s="1920">
        <v>0</v>
      </c>
      <c r="DZ100" s="1920">
        <v>0</v>
      </c>
      <c r="EA100" s="1920">
        <v>0</v>
      </c>
      <c r="EB100" s="1920">
        <v>0</v>
      </c>
      <c r="EC100" s="1920">
        <v>0</v>
      </c>
      <c r="ED100" s="1920">
        <v>0</v>
      </c>
      <c r="EE100" s="1920">
        <v>0</v>
      </c>
      <c r="EF100" s="1920">
        <v>0</v>
      </c>
      <c r="EG100" s="1920">
        <v>0</v>
      </c>
      <c r="EH100" s="1920">
        <v>0</v>
      </c>
      <c r="EI100" s="1920">
        <v>0</v>
      </c>
      <c r="EJ100" s="1920">
        <v>0</v>
      </c>
      <c r="EK100" s="1920">
        <v>0</v>
      </c>
      <c r="EL100" s="1920">
        <v>0</v>
      </c>
      <c r="EM100" s="1920">
        <v>0</v>
      </c>
      <c r="EN100" s="1920">
        <v>0</v>
      </c>
      <c r="EO100" s="1920">
        <v>0</v>
      </c>
      <c r="EP100" s="1920">
        <v>0</v>
      </c>
      <c r="EQ100" s="1920">
        <v>0</v>
      </c>
      <c r="ER100" s="1920">
        <v>0</v>
      </c>
      <c r="ES100" s="1920">
        <v>0</v>
      </c>
      <c r="ET100" s="1920">
        <v>0</v>
      </c>
      <c r="EU100" s="1920">
        <v>0</v>
      </c>
    </row>
    <row r="101" spans="1:151" s="1921" customFormat="1" ht="11.25" customHeight="1">
      <c r="A101" s="1910"/>
      <c r="B101" s="1910"/>
      <c r="C101" s="1911"/>
      <c r="D101" s="1912">
        <f t="shared" si="49"/>
        <v>1</v>
      </c>
      <c r="E101" s="1910" t="str">
        <f t="shared" si="49"/>
        <v>용마로지스</v>
      </c>
      <c r="F101" s="1910" t="str">
        <f t="shared" si="49"/>
        <v>상온창고</v>
      </c>
      <c r="G101" s="1913"/>
      <c r="H101" s="1914"/>
      <c r="I101" s="1915"/>
      <c r="J101" s="1915"/>
      <c r="K101" s="1914">
        <f>SUMPRODUCT($P101:$EU101,Index!$L$22:$EQ$22)/('A&amp;R'!$F$37/10)</f>
        <v>0.375</v>
      </c>
      <c r="L101" s="1916"/>
      <c r="M101" s="1917"/>
      <c r="N101" s="1918">
        <f t="shared" si="50"/>
        <v>4.5</v>
      </c>
      <c r="O101" s="1919"/>
      <c r="P101" s="1920"/>
      <c r="Q101" s="1920"/>
      <c r="R101" s="1920">
        <v>0.5</v>
      </c>
      <c r="S101" s="1920">
        <v>1</v>
      </c>
      <c r="T101" s="1920"/>
      <c r="U101" s="1920"/>
      <c r="V101" s="1920"/>
      <c r="W101" s="1920"/>
      <c r="X101" s="1920"/>
      <c r="Y101" s="1920"/>
      <c r="Z101" s="1920"/>
      <c r="AA101" s="1920"/>
      <c r="AB101" s="1920"/>
      <c r="AC101" s="1920"/>
      <c r="AD101" s="1920">
        <v>0.5</v>
      </c>
      <c r="AE101" s="1920">
        <v>1</v>
      </c>
      <c r="AF101" s="1920"/>
      <c r="AG101" s="1920"/>
      <c r="AH101" s="1920"/>
      <c r="AI101" s="1920"/>
      <c r="AJ101" s="1920"/>
      <c r="AK101" s="1920"/>
      <c r="AL101" s="1920"/>
      <c r="AM101" s="1920"/>
      <c r="AN101" s="1920"/>
      <c r="AO101" s="1920"/>
      <c r="AP101" s="1920">
        <v>0.5</v>
      </c>
      <c r="AQ101" s="1920">
        <v>1</v>
      </c>
      <c r="AR101" s="1920"/>
      <c r="AS101" s="1920"/>
      <c r="AT101" s="1920"/>
      <c r="AU101" s="1920"/>
      <c r="AV101" s="1920"/>
      <c r="AW101" s="1920"/>
      <c r="AX101" s="1920"/>
      <c r="AY101" s="1920"/>
      <c r="AZ101" s="1920"/>
      <c r="BA101" s="1920"/>
      <c r="BB101" s="1920"/>
      <c r="BC101" s="1920"/>
      <c r="BD101" s="1920"/>
      <c r="BE101" s="1920"/>
      <c r="BF101" s="1920"/>
      <c r="BG101" s="1920"/>
      <c r="BH101" s="1920"/>
      <c r="BI101" s="1920"/>
      <c r="BJ101" s="1920"/>
      <c r="BK101" s="1920"/>
      <c r="BL101" s="1920"/>
      <c r="BM101" s="1920"/>
      <c r="BN101" s="1920"/>
      <c r="BO101" s="1920"/>
      <c r="BP101" s="1920"/>
      <c r="BQ101" s="1920"/>
      <c r="BR101" s="1920"/>
      <c r="BS101" s="1920"/>
      <c r="BT101" s="1920"/>
      <c r="BU101" s="1920"/>
      <c r="BV101" s="1920"/>
      <c r="BW101" s="1920"/>
      <c r="BX101" s="1920"/>
      <c r="BY101" s="1920"/>
      <c r="BZ101" s="1920"/>
      <c r="CA101" s="1920"/>
      <c r="CB101" s="1920"/>
      <c r="CC101" s="1920"/>
      <c r="CD101" s="1920"/>
      <c r="CE101" s="1920"/>
      <c r="CF101" s="1920"/>
      <c r="CG101" s="1920"/>
      <c r="CH101" s="1920"/>
      <c r="CI101" s="1920"/>
      <c r="CJ101" s="1920"/>
      <c r="CK101" s="1920"/>
      <c r="CL101" s="1920"/>
      <c r="CM101" s="1920"/>
      <c r="CN101" s="1920"/>
      <c r="CO101" s="1920"/>
      <c r="CP101" s="1920"/>
      <c r="CQ101" s="1920"/>
      <c r="CR101" s="1920"/>
      <c r="CS101" s="1920"/>
      <c r="CT101" s="1920"/>
      <c r="CU101" s="1920"/>
      <c r="CV101" s="1920"/>
      <c r="CW101" s="1920"/>
      <c r="CX101" s="1920"/>
      <c r="CY101" s="1920"/>
      <c r="CZ101" s="1920"/>
      <c r="DA101" s="1920"/>
      <c r="DB101" s="1920"/>
      <c r="DC101" s="1920"/>
      <c r="DD101" s="1920"/>
      <c r="DE101" s="1920"/>
      <c r="DF101" s="1920"/>
      <c r="DG101" s="1920"/>
      <c r="DH101" s="1920"/>
      <c r="DI101" s="1920"/>
      <c r="DJ101" s="1920"/>
      <c r="DK101" s="1920"/>
      <c r="DL101" s="1920"/>
      <c r="DM101" s="1920"/>
      <c r="DN101" s="1920"/>
      <c r="DO101" s="1920"/>
      <c r="DP101" s="1920"/>
      <c r="DQ101" s="1920"/>
      <c r="DR101" s="1920"/>
      <c r="DS101" s="1920"/>
      <c r="DT101" s="1920"/>
      <c r="DU101" s="1920"/>
      <c r="DV101" s="1920"/>
      <c r="DW101" s="1920"/>
      <c r="DX101" s="1920"/>
      <c r="DY101" s="1920"/>
      <c r="DZ101" s="1920"/>
      <c r="EA101" s="1920"/>
      <c r="EB101" s="1920"/>
      <c r="EC101" s="1920"/>
      <c r="ED101" s="1920"/>
      <c r="EE101" s="1920"/>
      <c r="EF101" s="1920"/>
      <c r="EG101" s="1920"/>
      <c r="EH101" s="1920"/>
      <c r="EI101" s="1920"/>
      <c r="EJ101" s="1920"/>
      <c r="EK101" s="1920"/>
      <c r="EL101" s="1920"/>
      <c r="EM101" s="1920"/>
      <c r="EN101" s="1920"/>
      <c r="EO101" s="1920"/>
      <c r="EP101" s="1920"/>
      <c r="EQ101" s="1920"/>
      <c r="ER101" s="1920"/>
      <c r="ES101" s="1920"/>
      <c r="ET101" s="1920"/>
      <c r="EU101" s="1920"/>
    </row>
    <row r="102" spans="1:151" s="1921" customFormat="1" ht="11.25" customHeight="1">
      <c r="A102" s="1910"/>
      <c r="B102" s="1910"/>
      <c r="C102" s="1911"/>
      <c r="D102" s="1912" t="str">
        <f t="shared" si="49"/>
        <v>1F</v>
      </c>
      <c r="E102" s="1910" t="str">
        <f t="shared" si="49"/>
        <v>아이팜</v>
      </c>
      <c r="F102" s="1910" t="str">
        <f t="shared" si="49"/>
        <v>근린생활시설</v>
      </c>
      <c r="G102" s="1913"/>
      <c r="H102" s="1914"/>
      <c r="I102" s="1915"/>
      <c r="J102" s="1915"/>
      <c r="K102" s="1914">
        <f>SUMPRODUCT($P102:$EU102,Index!$L$22:$EQ$22)/('A&amp;R'!$F$37/10)</f>
        <v>0.375</v>
      </c>
      <c r="L102" s="1922"/>
      <c r="M102" s="1923"/>
      <c r="N102" s="1918">
        <f t="shared" si="50"/>
        <v>4.5</v>
      </c>
      <c r="O102" s="1919"/>
      <c r="P102" s="1920"/>
      <c r="Q102" s="1920"/>
      <c r="R102" s="1920"/>
      <c r="S102" s="1920"/>
      <c r="T102" s="1920"/>
      <c r="U102" s="1920"/>
      <c r="V102" s="1920"/>
      <c r="W102" s="1920"/>
      <c r="X102" s="1920">
        <v>1</v>
      </c>
      <c r="Y102" s="1920">
        <v>0.5</v>
      </c>
      <c r="Z102" s="1920"/>
      <c r="AA102" s="1920"/>
      <c r="AB102" s="1920"/>
      <c r="AC102" s="1920"/>
      <c r="AD102" s="1920"/>
      <c r="AE102" s="1920"/>
      <c r="AF102" s="1920"/>
      <c r="AG102" s="1920"/>
      <c r="AH102" s="1920"/>
      <c r="AI102" s="1920"/>
      <c r="AJ102" s="1920">
        <v>1</v>
      </c>
      <c r="AK102" s="1920">
        <v>0.5</v>
      </c>
      <c r="AL102" s="1920"/>
      <c r="AM102" s="1920"/>
      <c r="AN102" s="1920"/>
      <c r="AO102" s="1920"/>
      <c r="AP102" s="1920"/>
      <c r="AQ102" s="1920"/>
      <c r="AR102" s="1920"/>
      <c r="AS102" s="1920"/>
      <c r="AT102" s="1920"/>
      <c r="AU102" s="1920"/>
      <c r="AV102" s="1920">
        <v>1</v>
      </c>
      <c r="AW102" s="1920">
        <v>0.5</v>
      </c>
      <c r="AX102" s="1920"/>
      <c r="AY102" s="1920"/>
      <c r="AZ102" s="1920"/>
      <c r="BA102" s="1920"/>
      <c r="BB102" s="1920"/>
      <c r="BC102" s="1920"/>
      <c r="BD102" s="1920"/>
      <c r="BE102" s="1920"/>
      <c r="BF102" s="1920"/>
      <c r="BG102" s="1920"/>
      <c r="BH102" s="1920"/>
      <c r="BI102" s="1920"/>
      <c r="BJ102" s="1920"/>
      <c r="BK102" s="1920"/>
      <c r="BL102" s="1920"/>
      <c r="BM102" s="1920"/>
      <c r="BN102" s="1920"/>
      <c r="BO102" s="1920"/>
      <c r="BP102" s="1920"/>
      <c r="BQ102" s="1920"/>
      <c r="BR102" s="1920"/>
      <c r="BS102" s="1920"/>
      <c r="BT102" s="1920"/>
      <c r="BU102" s="1920"/>
      <c r="BV102" s="1920"/>
      <c r="BW102" s="1920"/>
      <c r="BX102" s="1920"/>
      <c r="BY102" s="1920"/>
      <c r="BZ102" s="1920"/>
      <c r="CA102" s="1920"/>
      <c r="CB102" s="1920"/>
      <c r="CC102" s="1920"/>
      <c r="CD102" s="1920"/>
      <c r="CE102" s="1920"/>
      <c r="CF102" s="1920"/>
      <c r="CG102" s="1920"/>
      <c r="CH102" s="1920"/>
      <c r="CI102" s="1920"/>
      <c r="CJ102" s="1920"/>
      <c r="CK102" s="1920"/>
      <c r="CL102" s="1920"/>
      <c r="CM102" s="1920"/>
      <c r="CN102" s="1920"/>
      <c r="CO102" s="1920"/>
      <c r="CP102" s="1920"/>
      <c r="CQ102" s="1920"/>
      <c r="CR102" s="1920"/>
      <c r="CS102" s="1920"/>
      <c r="CT102" s="1920"/>
      <c r="CU102" s="1920"/>
      <c r="CV102" s="1920"/>
      <c r="CW102" s="1920"/>
      <c r="CX102" s="1920"/>
      <c r="CY102" s="1920"/>
      <c r="CZ102" s="1920"/>
      <c r="DA102" s="1920"/>
      <c r="DB102" s="1920"/>
      <c r="DC102" s="1920"/>
      <c r="DD102" s="1920"/>
      <c r="DE102" s="1920"/>
      <c r="DF102" s="1920"/>
      <c r="DG102" s="1920"/>
      <c r="DH102" s="1920"/>
      <c r="DI102" s="1920"/>
      <c r="DJ102" s="1920"/>
      <c r="DK102" s="1920"/>
      <c r="DL102" s="1920"/>
      <c r="DM102" s="1920"/>
      <c r="DN102" s="1920"/>
      <c r="DO102" s="1920"/>
      <c r="DP102" s="1920"/>
      <c r="DQ102" s="1920"/>
      <c r="DR102" s="1920"/>
      <c r="DS102" s="1920"/>
      <c r="DT102" s="1920"/>
      <c r="DU102" s="1920"/>
      <c r="DV102" s="1920"/>
      <c r="DW102" s="1920"/>
      <c r="DX102" s="1920"/>
      <c r="DY102" s="1920"/>
      <c r="DZ102" s="1920"/>
      <c r="EA102" s="1920"/>
      <c r="EB102" s="1920"/>
      <c r="EC102" s="1920"/>
      <c r="ED102" s="1920"/>
      <c r="EE102" s="1920"/>
      <c r="EF102" s="1920"/>
      <c r="EG102" s="1920"/>
      <c r="EH102" s="1920"/>
      <c r="EI102" s="1920"/>
      <c r="EJ102" s="1920"/>
      <c r="EK102" s="1920"/>
      <c r="EL102" s="1920"/>
      <c r="EM102" s="1920"/>
      <c r="EN102" s="1920"/>
      <c r="EO102" s="1920"/>
      <c r="EP102" s="1920"/>
      <c r="EQ102" s="1920"/>
      <c r="ER102" s="1920"/>
      <c r="ES102" s="1920"/>
      <c r="ET102" s="1920"/>
      <c r="EU102" s="1920"/>
    </row>
    <row r="103" spans="1:151" s="773" customFormat="1" ht="11.25" customHeight="1">
      <c r="A103" s="704"/>
      <c r="B103" s="704"/>
      <c r="C103" s="735"/>
      <c r="D103" s="743">
        <f t="shared" si="49"/>
        <v>1</v>
      </c>
      <c r="E103" s="704" t="str">
        <f t="shared" si="49"/>
        <v>공실</v>
      </c>
      <c r="F103" s="704" t="str">
        <f t="shared" si="49"/>
        <v>근린생활시설</v>
      </c>
      <c r="G103" s="752"/>
      <c r="H103" s="744"/>
      <c r="I103" s="745"/>
      <c r="J103" s="745"/>
      <c r="K103" s="744">
        <f>SUMPRODUCT($P103:$EU103,Index!$L$22:$EQ$22)/('A&amp;R'!$F$37/10)</f>
        <v>0</v>
      </c>
      <c r="L103" s="748"/>
      <c r="M103" s="749"/>
      <c r="N103" s="756">
        <f t="shared" si="50"/>
        <v>0</v>
      </c>
      <c r="O103" s="769"/>
      <c r="P103" s="772"/>
      <c r="Q103" s="772"/>
      <c r="R103" s="772"/>
      <c r="S103" s="772"/>
      <c r="T103" s="772"/>
      <c r="U103" s="772"/>
      <c r="V103" s="772"/>
      <c r="W103" s="772"/>
      <c r="X103" s="772"/>
      <c r="Y103" s="772"/>
      <c r="Z103" s="772"/>
      <c r="AA103" s="772"/>
      <c r="AB103" s="772"/>
      <c r="AC103" s="772"/>
      <c r="AD103" s="772"/>
      <c r="AE103" s="772"/>
      <c r="AF103" s="772"/>
      <c r="AG103" s="772"/>
      <c r="AH103" s="772"/>
      <c r="AI103" s="772"/>
      <c r="AJ103" s="772"/>
      <c r="AK103" s="772"/>
      <c r="AL103" s="772"/>
      <c r="AM103" s="772"/>
      <c r="AN103" s="772"/>
      <c r="AO103" s="772"/>
      <c r="AP103" s="772"/>
      <c r="AQ103" s="772"/>
      <c r="AR103" s="772"/>
      <c r="AS103" s="772"/>
      <c r="AT103" s="772"/>
      <c r="AU103" s="772"/>
      <c r="AV103" s="772"/>
      <c r="AW103" s="772"/>
      <c r="AX103" s="772"/>
      <c r="AY103" s="772"/>
      <c r="AZ103" s="772"/>
      <c r="BA103" s="772"/>
      <c r="BB103" s="772"/>
      <c r="BC103" s="772"/>
      <c r="BD103" s="772"/>
      <c r="BE103" s="772"/>
      <c r="BF103" s="772"/>
      <c r="BG103" s="772"/>
      <c r="BH103" s="772"/>
      <c r="BI103" s="772"/>
      <c r="BJ103" s="772"/>
      <c r="BK103" s="772"/>
      <c r="BL103" s="772"/>
      <c r="BM103" s="772"/>
      <c r="BN103" s="772"/>
      <c r="BO103" s="772"/>
      <c r="BP103" s="772"/>
      <c r="BQ103" s="772"/>
      <c r="BR103" s="772"/>
      <c r="BS103" s="772"/>
      <c r="BT103" s="772"/>
      <c r="BU103" s="772"/>
      <c r="BV103" s="772"/>
      <c r="BW103" s="772"/>
      <c r="BX103" s="772"/>
      <c r="BY103" s="772"/>
      <c r="BZ103" s="772"/>
      <c r="CA103" s="772"/>
      <c r="CB103" s="772"/>
      <c r="CC103" s="772"/>
      <c r="CD103" s="772"/>
      <c r="CE103" s="772"/>
      <c r="CF103" s="772"/>
      <c r="CG103" s="772"/>
      <c r="CH103" s="772"/>
      <c r="CI103" s="772"/>
      <c r="CJ103" s="772"/>
      <c r="CK103" s="772"/>
      <c r="CL103" s="772"/>
      <c r="CM103" s="772"/>
      <c r="CN103" s="772"/>
      <c r="CO103" s="772"/>
      <c r="CP103" s="772"/>
      <c r="CQ103" s="772"/>
      <c r="CR103" s="772"/>
      <c r="CS103" s="772"/>
      <c r="CT103" s="772"/>
      <c r="CU103" s="772"/>
      <c r="CV103" s="772"/>
      <c r="CW103" s="772"/>
      <c r="CX103" s="772"/>
      <c r="CY103" s="772"/>
      <c r="CZ103" s="772"/>
      <c r="DA103" s="772"/>
      <c r="DB103" s="772"/>
      <c r="DC103" s="772"/>
      <c r="DD103" s="772"/>
      <c r="DE103" s="772"/>
      <c r="DF103" s="772"/>
      <c r="DG103" s="772"/>
      <c r="DH103" s="772"/>
      <c r="DI103" s="772"/>
      <c r="DJ103" s="772"/>
      <c r="DK103" s="772"/>
      <c r="DL103" s="772"/>
      <c r="DM103" s="772"/>
      <c r="DN103" s="772"/>
      <c r="DO103" s="772"/>
      <c r="DP103" s="772"/>
      <c r="DQ103" s="772"/>
      <c r="DR103" s="772"/>
      <c r="DS103" s="772"/>
      <c r="DT103" s="772"/>
      <c r="DU103" s="772"/>
      <c r="DV103" s="772"/>
      <c r="DW103" s="772"/>
      <c r="DX103" s="772"/>
      <c r="DY103" s="772"/>
      <c r="DZ103" s="772"/>
      <c r="EA103" s="772"/>
      <c r="EB103" s="772"/>
      <c r="EC103" s="772"/>
      <c r="ED103" s="772"/>
      <c r="EE103" s="772"/>
      <c r="EF103" s="772"/>
      <c r="EG103" s="772"/>
      <c r="EH103" s="772"/>
      <c r="EI103" s="772"/>
      <c r="EJ103" s="772"/>
      <c r="EK103" s="772"/>
      <c r="EL103" s="772"/>
      <c r="EM103" s="772"/>
      <c r="EN103" s="772"/>
      <c r="EO103" s="772"/>
      <c r="EP103" s="772"/>
      <c r="EQ103" s="772"/>
      <c r="ER103" s="772"/>
      <c r="ES103" s="772"/>
      <c r="ET103" s="772"/>
      <c r="EU103" s="772"/>
    </row>
    <row r="104" spans="1:151" s="1921" customFormat="1" ht="11.25" customHeight="1">
      <c r="A104" s="1910"/>
      <c r="B104" s="1910"/>
      <c r="C104" s="1911"/>
      <c r="D104" s="1912" t="str">
        <f t="shared" si="49"/>
        <v>B1</v>
      </c>
      <c r="E104" s="1910" t="str">
        <f t="shared" si="49"/>
        <v>쿠팡</v>
      </c>
      <c r="F104" s="1910" t="str">
        <f t="shared" si="49"/>
        <v>상온창고</v>
      </c>
      <c r="G104" s="1913"/>
      <c r="H104" s="1914"/>
      <c r="I104" s="1915"/>
      <c r="J104" s="1915"/>
      <c r="K104" s="1914">
        <f>SUMPRODUCT($P104:$EU104,Index!$L$22:$EQ$22)/('A&amp;R'!$F$37/10)</f>
        <v>0.58333333333333337</v>
      </c>
      <c r="L104" s="1922"/>
      <c r="M104" s="1923"/>
      <c r="N104" s="1918">
        <f t="shared" si="50"/>
        <v>7</v>
      </c>
      <c r="O104" s="1919"/>
      <c r="P104" s="1920">
        <f t="shared" ref="P104:CA104" si="54">(P$15&gt;$H104)*(P$15&lt;=$I104)</f>
        <v>0</v>
      </c>
      <c r="Q104" s="1920">
        <f t="shared" si="54"/>
        <v>0</v>
      </c>
      <c r="R104" s="1920">
        <f t="shared" si="54"/>
        <v>0</v>
      </c>
      <c r="S104" s="1920">
        <f t="shared" si="54"/>
        <v>0</v>
      </c>
      <c r="T104" s="1920">
        <f t="shared" si="54"/>
        <v>0</v>
      </c>
      <c r="U104" s="1920">
        <f t="shared" si="54"/>
        <v>0</v>
      </c>
      <c r="V104" s="1920">
        <f t="shared" si="54"/>
        <v>0</v>
      </c>
      <c r="W104" s="1920">
        <v>1</v>
      </c>
      <c r="X104" s="1920">
        <f t="shared" si="54"/>
        <v>0</v>
      </c>
      <c r="Y104" s="1920">
        <f t="shared" si="54"/>
        <v>0</v>
      </c>
      <c r="Z104" s="1920">
        <f t="shared" si="54"/>
        <v>0</v>
      </c>
      <c r="AA104" s="1920">
        <f t="shared" si="54"/>
        <v>0</v>
      </c>
      <c r="AB104" s="1920">
        <f t="shared" si="54"/>
        <v>0</v>
      </c>
      <c r="AC104" s="1920">
        <f t="shared" si="54"/>
        <v>0</v>
      </c>
      <c r="AD104" s="1920">
        <f t="shared" si="54"/>
        <v>0</v>
      </c>
      <c r="AE104" s="1920">
        <f t="shared" si="54"/>
        <v>0</v>
      </c>
      <c r="AF104" s="1920">
        <f t="shared" si="54"/>
        <v>0</v>
      </c>
      <c r="AG104" s="1920">
        <f t="shared" si="54"/>
        <v>0</v>
      </c>
      <c r="AH104" s="1920">
        <f t="shared" si="54"/>
        <v>0</v>
      </c>
      <c r="AI104" s="1920">
        <v>1</v>
      </c>
      <c r="AJ104" s="1920">
        <f t="shared" si="54"/>
        <v>0</v>
      </c>
      <c r="AK104" s="1920">
        <f t="shared" si="54"/>
        <v>0</v>
      </c>
      <c r="AL104" s="1920">
        <f t="shared" si="54"/>
        <v>0</v>
      </c>
      <c r="AM104" s="1920">
        <f t="shared" si="54"/>
        <v>0</v>
      </c>
      <c r="AN104" s="1920">
        <f t="shared" si="54"/>
        <v>0</v>
      </c>
      <c r="AO104" s="1920">
        <f t="shared" si="54"/>
        <v>0</v>
      </c>
      <c r="AP104" s="1920">
        <f t="shared" si="54"/>
        <v>0</v>
      </c>
      <c r="AQ104" s="1920">
        <f t="shared" si="54"/>
        <v>0</v>
      </c>
      <c r="AR104" s="1920">
        <f t="shared" si="54"/>
        <v>0</v>
      </c>
      <c r="AS104" s="1920">
        <f t="shared" si="54"/>
        <v>0</v>
      </c>
      <c r="AT104" s="1920">
        <f t="shared" si="54"/>
        <v>0</v>
      </c>
      <c r="AU104" s="1920"/>
      <c r="AV104" s="1920">
        <v>1</v>
      </c>
      <c r="AW104" s="1920">
        <v>1</v>
      </c>
      <c r="AX104" s="1920">
        <v>1</v>
      </c>
      <c r="AY104" s="1920">
        <v>1</v>
      </c>
      <c r="AZ104" s="1920">
        <v>1</v>
      </c>
      <c r="BA104" s="1920">
        <f t="shared" si="54"/>
        <v>0</v>
      </c>
      <c r="BB104" s="1920">
        <f t="shared" si="54"/>
        <v>0</v>
      </c>
      <c r="BC104" s="1920">
        <f t="shared" si="54"/>
        <v>0</v>
      </c>
      <c r="BD104" s="1920">
        <f t="shared" si="54"/>
        <v>0</v>
      </c>
      <c r="BE104" s="1920">
        <f t="shared" si="54"/>
        <v>0</v>
      </c>
      <c r="BF104" s="1920">
        <f t="shared" si="54"/>
        <v>0</v>
      </c>
      <c r="BG104" s="1920">
        <f t="shared" si="54"/>
        <v>0</v>
      </c>
      <c r="BH104" s="1920">
        <f t="shared" si="54"/>
        <v>0</v>
      </c>
      <c r="BI104" s="1920">
        <f t="shared" si="54"/>
        <v>0</v>
      </c>
      <c r="BJ104" s="1920">
        <f t="shared" si="54"/>
        <v>0</v>
      </c>
      <c r="BK104" s="1920">
        <f t="shared" si="54"/>
        <v>0</v>
      </c>
      <c r="BL104" s="1920">
        <f t="shared" si="54"/>
        <v>0</v>
      </c>
      <c r="BM104" s="1920">
        <f t="shared" si="54"/>
        <v>0</v>
      </c>
      <c r="BN104" s="1920">
        <f t="shared" si="54"/>
        <v>0</v>
      </c>
      <c r="BO104" s="1920">
        <f t="shared" si="54"/>
        <v>0</v>
      </c>
      <c r="BP104" s="1920">
        <f t="shared" si="54"/>
        <v>0</v>
      </c>
      <c r="BQ104" s="1920">
        <f t="shared" si="54"/>
        <v>0</v>
      </c>
      <c r="BR104" s="1920">
        <f t="shared" si="54"/>
        <v>0</v>
      </c>
      <c r="BS104" s="1920">
        <f t="shared" si="54"/>
        <v>0</v>
      </c>
      <c r="BT104" s="1920">
        <f t="shared" si="54"/>
        <v>0</v>
      </c>
      <c r="BU104" s="1920">
        <f t="shared" si="54"/>
        <v>0</v>
      </c>
      <c r="BV104" s="1920">
        <f t="shared" si="54"/>
        <v>0</v>
      </c>
      <c r="BW104" s="1920">
        <f t="shared" si="54"/>
        <v>0</v>
      </c>
      <c r="BX104" s="1920">
        <f t="shared" si="54"/>
        <v>0</v>
      </c>
      <c r="BY104" s="1920">
        <f t="shared" si="54"/>
        <v>0</v>
      </c>
      <c r="BZ104" s="1920">
        <f t="shared" si="54"/>
        <v>0</v>
      </c>
      <c r="CA104" s="1920">
        <f t="shared" si="54"/>
        <v>0</v>
      </c>
      <c r="CB104" s="1920">
        <f t="shared" ref="CB104:EU104" si="55">(CB$15&gt;$H104)*(CB$15&lt;=$I104)</f>
        <v>0</v>
      </c>
      <c r="CC104" s="1920">
        <f t="shared" si="55"/>
        <v>0</v>
      </c>
      <c r="CD104" s="1920">
        <f t="shared" si="55"/>
        <v>0</v>
      </c>
      <c r="CE104" s="1920">
        <f t="shared" si="55"/>
        <v>0</v>
      </c>
      <c r="CF104" s="1920">
        <f t="shared" si="55"/>
        <v>0</v>
      </c>
      <c r="CG104" s="1920">
        <f t="shared" si="55"/>
        <v>0</v>
      </c>
      <c r="CH104" s="1920">
        <f t="shared" si="55"/>
        <v>0</v>
      </c>
      <c r="CI104" s="1920">
        <f t="shared" si="55"/>
        <v>0</v>
      </c>
      <c r="CJ104" s="1920">
        <f t="shared" si="55"/>
        <v>0</v>
      </c>
      <c r="CK104" s="1920">
        <f t="shared" si="55"/>
        <v>0</v>
      </c>
      <c r="CL104" s="1920">
        <f t="shared" si="55"/>
        <v>0</v>
      </c>
      <c r="CM104" s="1920">
        <f t="shared" si="55"/>
        <v>0</v>
      </c>
      <c r="CN104" s="1920">
        <f t="shared" si="55"/>
        <v>0</v>
      </c>
      <c r="CO104" s="1920">
        <f t="shared" si="55"/>
        <v>0</v>
      </c>
      <c r="CP104" s="1920">
        <f t="shared" si="55"/>
        <v>0</v>
      </c>
      <c r="CQ104" s="1920">
        <f t="shared" si="55"/>
        <v>0</v>
      </c>
      <c r="CR104" s="1920">
        <f t="shared" si="55"/>
        <v>0</v>
      </c>
      <c r="CS104" s="1920">
        <f t="shared" si="55"/>
        <v>0</v>
      </c>
      <c r="CT104" s="1920">
        <f t="shared" si="55"/>
        <v>0</v>
      </c>
      <c r="CU104" s="1920">
        <f t="shared" si="55"/>
        <v>0</v>
      </c>
      <c r="CV104" s="1920">
        <f t="shared" si="55"/>
        <v>0</v>
      </c>
      <c r="CW104" s="1920">
        <f t="shared" si="55"/>
        <v>0</v>
      </c>
      <c r="CX104" s="1920">
        <f t="shared" si="55"/>
        <v>0</v>
      </c>
      <c r="CY104" s="1920">
        <f t="shared" si="55"/>
        <v>0</v>
      </c>
      <c r="CZ104" s="1920">
        <f t="shared" si="55"/>
        <v>0</v>
      </c>
      <c r="DA104" s="1920">
        <f t="shared" si="55"/>
        <v>0</v>
      </c>
      <c r="DB104" s="1920">
        <f t="shared" si="55"/>
        <v>0</v>
      </c>
      <c r="DC104" s="1920">
        <f t="shared" si="55"/>
        <v>0</v>
      </c>
      <c r="DD104" s="1920">
        <f t="shared" si="55"/>
        <v>0</v>
      </c>
      <c r="DE104" s="1920">
        <f t="shared" si="55"/>
        <v>0</v>
      </c>
      <c r="DF104" s="1920">
        <f t="shared" si="55"/>
        <v>0</v>
      </c>
      <c r="DG104" s="1920">
        <f t="shared" si="55"/>
        <v>0</v>
      </c>
      <c r="DH104" s="1920">
        <f t="shared" si="55"/>
        <v>0</v>
      </c>
      <c r="DI104" s="1920">
        <f t="shared" si="55"/>
        <v>0</v>
      </c>
      <c r="DJ104" s="1920">
        <f t="shared" si="55"/>
        <v>0</v>
      </c>
      <c r="DK104" s="1920">
        <f t="shared" si="55"/>
        <v>0</v>
      </c>
      <c r="DL104" s="1920">
        <f t="shared" si="55"/>
        <v>0</v>
      </c>
      <c r="DM104" s="1920">
        <f t="shared" si="55"/>
        <v>0</v>
      </c>
      <c r="DN104" s="1920">
        <f t="shared" si="55"/>
        <v>0</v>
      </c>
      <c r="DO104" s="1920">
        <f t="shared" si="55"/>
        <v>0</v>
      </c>
      <c r="DP104" s="1920">
        <f t="shared" si="55"/>
        <v>0</v>
      </c>
      <c r="DQ104" s="1920">
        <f t="shared" si="55"/>
        <v>0</v>
      </c>
      <c r="DR104" s="1920">
        <f t="shared" si="55"/>
        <v>0</v>
      </c>
      <c r="DS104" s="1920">
        <f t="shared" si="55"/>
        <v>0</v>
      </c>
      <c r="DT104" s="1920">
        <f t="shared" si="55"/>
        <v>0</v>
      </c>
      <c r="DU104" s="1920">
        <f t="shared" si="55"/>
        <v>0</v>
      </c>
      <c r="DV104" s="1920">
        <f t="shared" si="55"/>
        <v>0</v>
      </c>
      <c r="DW104" s="1920">
        <f t="shared" si="55"/>
        <v>0</v>
      </c>
      <c r="DX104" s="1920">
        <f t="shared" si="55"/>
        <v>0</v>
      </c>
      <c r="DY104" s="1920">
        <f t="shared" si="55"/>
        <v>0</v>
      </c>
      <c r="DZ104" s="1920">
        <f t="shared" si="55"/>
        <v>0</v>
      </c>
      <c r="EA104" s="1920">
        <f t="shared" si="55"/>
        <v>0</v>
      </c>
      <c r="EB104" s="1920">
        <f t="shared" si="55"/>
        <v>0</v>
      </c>
      <c r="EC104" s="1920">
        <f t="shared" si="55"/>
        <v>0</v>
      </c>
      <c r="ED104" s="1920">
        <f t="shared" si="55"/>
        <v>0</v>
      </c>
      <c r="EE104" s="1920">
        <f t="shared" si="55"/>
        <v>0</v>
      </c>
      <c r="EF104" s="1920">
        <f t="shared" si="55"/>
        <v>0</v>
      </c>
      <c r="EG104" s="1920">
        <f t="shared" si="55"/>
        <v>0</v>
      </c>
      <c r="EH104" s="1920">
        <f t="shared" si="55"/>
        <v>0</v>
      </c>
      <c r="EI104" s="1920">
        <f t="shared" si="55"/>
        <v>0</v>
      </c>
      <c r="EJ104" s="1920">
        <f t="shared" si="55"/>
        <v>0</v>
      </c>
      <c r="EK104" s="1920">
        <f t="shared" si="55"/>
        <v>0</v>
      </c>
      <c r="EL104" s="1920">
        <f t="shared" si="55"/>
        <v>0</v>
      </c>
      <c r="EM104" s="1920">
        <f t="shared" si="55"/>
        <v>0</v>
      </c>
      <c r="EN104" s="1920">
        <f t="shared" si="55"/>
        <v>0</v>
      </c>
      <c r="EO104" s="1920">
        <f t="shared" si="55"/>
        <v>0</v>
      </c>
      <c r="EP104" s="1920">
        <f t="shared" si="55"/>
        <v>0</v>
      </c>
      <c r="EQ104" s="1920">
        <f t="shared" si="55"/>
        <v>0</v>
      </c>
      <c r="ER104" s="1920">
        <f t="shared" si="55"/>
        <v>0</v>
      </c>
      <c r="ES104" s="1920">
        <f t="shared" si="55"/>
        <v>0</v>
      </c>
      <c r="ET104" s="1920">
        <f t="shared" si="55"/>
        <v>0</v>
      </c>
      <c r="EU104" s="1920">
        <f t="shared" si="55"/>
        <v>0</v>
      </c>
    </row>
    <row r="105" spans="1:151" s="1921" customFormat="1" ht="11.25" customHeight="1">
      <c r="A105" s="1910"/>
      <c r="B105" s="1910"/>
      <c r="C105" s="1911"/>
      <c r="D105" s="1912" t="str">
        <f t="shared" si="49"/>
        <v>B2</v>
      </c>
      <c r="E105" s="1910" t="str">
        <f t="shared" si="49"/>
        <v>쿠팡</v>
      </c>
      <c r="F105" s="1910" t="str">
        <f t="shared" si="49"/>
        <v>상온창고</v>
      </c>
      <c r="G105" s="1913"/>
      <c r="H105" s="1914"/>
      <c r="I105" s="1915"/>
      <c r="J105" s="1915"/>
      <c r="K105" s="1914">
        <f>SUMPRODUCT($P105:$EU105,Index!$L$22:$EQ$22)/('A&amp;R'!$F$37/10)</f>
        <v>0.58333333333333337</v>
      </c>
      <c r="L105" s="1916"/>
      <c r="M105" s="1917"/>
      <c r="N105" s="1918">
        <f t="shared" si="50"/>
        <v>7</v>
      </c>
      <c r="O105" s="1919"/>
      <c r="P105" s="1920"/>
      <c r="Q105" s="1920"/>
      <c r="R105" s="1920"/>
      <c r="S105" s="1920">
        <v>1</v>
      </c>
      <c r="T105" s="1920"/>
      <c r="U105" s="1920"/>
      <c r="V105" s="1920"/>
      <c r="W105" s="1920"/>
      <c r="X105" s="1920"/>
      <c r="Y105" s="1920"/>
      <c r="Z105" s="1920"/>
      <c r="AA105" s="1920"/>
      <c r="AB105" s="1920"/>
      <c r="AC105" s="1920"/>
      <c r="AD105" s="1920"/>
      <c r="AE105" s="1920">
        <v>1</v>
      </c>
      <c r="AF105" s="1920"/>
      <c r="AG105" s="1920"/>
      <c r="AH105" s="1920"/>
      <c r="AI105" s="1920"/>
      <c r="AJ105" s="1920"/>
      <c r="AK105" s="1920"/>
      <c r="AL105" s="1920"/>
      <c r="AM105" s="1920"/>
      <c r="AN105" s="1920"/>
      <c r="AO105" s="1920"/>
      <c r="AP105" s="1920"/>
      <c r="AQ105" s="1920"/>
      <c r="AR105" s="1920"/>
      <c r="AS105" s="1920"/>
      <c r="AT105" s="1920"/>
      <c r="AU105" s="1920"/>
      <c r="AV105" s="1920">
        <v>1</v>
      </c>
      <c r="AW105" s="1920">
        <v>1</v>
      </c>
      <c r="AX105" s="1920">
        <v>1</v>
      </c>
      <c r="AY105" s="1920">
        <v>1</v>
      </c>
      <c r="AZ105" s="1920">
        <v>1</v>
      </c>
      <c r="BA105" s="1920"/>
      <c r="BB105" s="1920"/>
      <c r="BC105" s="1920"/>
      <c r="BD105" s="1920"/>
      <c r="BE105" s="1920"/>
      <c r="BF105" s="1920"/>
      <c r="BG105" s="1920"/>
      <c r="BH105" s="1920"/>
      <c r="BI105" s="1920"/>
      <c r="BJ105" s="1920"/>
      <c r="BK105" s="1920"/>
      <c r="BL105" s="1920"/>
      <c r="BM105" s="1920"/>
      <c r="BN105" s="1920"/>
      <c r="BO105" s="1920"/>
      <c r="BP105" s="1920"/>
      <c r="BQ105" s="1920"/>
      <c r="BR105" s="1920"/>
      <c r="BS105" s="1920"/>
      <c r="BT105" s="1920"/>
      <c r="BU105" s="1920"/>
      <c r="BV105" s="1920"/>
      <c r="BW105" s="1920"/>
      <c r="BX105" s="1920"/>
      <c r="BY105" s="1920"/>
      <c r="BZ105" s="1920"/>
      <c r="CA105" s="1920"/>
      <c r="CB105" s="1920"/>
      <c r="CC105" s="1920"/>
      <c r="CD105" s="1920"/>
      <c r="CE105" s="1920"/>
      <c r="CF105" s="1920"/>
      <c r="CG105" s="1920"/>
      <c r="CH105" s="1920"/>
      <c r="CI105" s="1920"/>
      <c r="CJ105" s="1920"/>
      <c r="CK105" s="1920"/>
      <c r="CL105" s="1920"/>
      <c r="CM105" s="1920"/>
      <c r="CN105" s="1920"/>
      <c r="CO105" s="1920"/>
      <c r="CP105" s="1920"/>
      <c r="CQ105" s="1920"/>
      <c r="CR105" s="1920"/>
      <c r="CS105" s="1920"/>
      <c r="CT105" s="1920"/>
      <c r="CU105" s="1920"/>
      <c r="CV105" s="1920"/>
      <c r="CW105" s="1920"/>
      <c r="CX105" s="1920"/>
      <c r="CY105" s="1920"/>
      <c r="CZ105" s="1920"/>
      <c r="DA105" s="1920"/>
      <c r="DB105" s="1920"/>
      <c r="DC105" s="1920"/>
      <c r="DD105" s="1920"/>
      <c r="DE105" s="1920"/>
      <c r="DF105" s="1920"/>
      <c r="DG105" s="1920"/>
      <c r="DH105" s="1920"/>
      <c r="DI105" s="1920"/>
      <c r="DJ105" s="1920"/>
      <c r="DK105" s="1920"/>
      <c r="DL105" s="1920"/>
      <c r="DM105" s="1920"/>
      <c r="DN105" s="1920"/>
      <c r="DO105" s="1920"/>
      <c r="DP105" s="1920"/>
      <c r="DQ105" s="1920"/>
      <c r="DR105" s="1920"/>
      <c r="DS105" s="1920"/>
      <c r="DT105" s="1920"/>
      <c r="DU105" s="1920"/>
      <c r="DV105" s="1920"/>
      <c r="DW105" s="1920"/>
      <c r="DX105" s="1920"/>
      <c r="DY105" s="1920"/>
      <c r="DZ105" s="1920"/>
      <c r="EA105" s="1920"/>
      <c r="EB105" s="1920"/>
      <c r="EC105" s="1920"/>
      <c r="ED105" s="1920"/>
      <c r="EE105" s="1920"/>
      <c r="EF105" s="1920"/>
      <c r="EG105" s="1920"/>
      <c r="EH105" s="1920"/>
      <c r="EI105" s="1920"/>
      <c r="EJ105" s="1920"/>
      <c r="EK105" s="1920"/>
      <c r="EL105" s="1920"/>
      <c r="EM105" s="1920"/>
      <c r="EN105" s="1920"/>
      <c r="EO105" s="1920"/>
      <c r="EP105" s="1920"/>
      <c r="EQ105" s="1920"/>
      <c r="ER105" s="1920"/>
      <c r="ES105" s="1920"/>
      <c r="ET105" s="1920"/>
      <c r="EU105" s="1920"/>
    </row>
    <row r="106" spans="1:151" ht="11.25" customHeight="1">
      <c r="C106" s="728" t="s">
        <v>488</v>
      </c>
      <c r="D106" s="729"/>
      <c r="E106" s="729"/>
      <c r="F106" s="729"/>
      <c r="G106" s="729"/>
      <c r="H106" s="729"/>
      <c r="I106" s="729"/>
      <c r="J106" s="729"/>
      <c r="K106" s="729"/>
      <c r="L106" s="730"/>
      <c r="M106" s="731"/>
      <c r="N106" s="732">
        <f>SUM(N107:N123)</f>
        <v>-7537336.1067134291</v>
      </c>
      <c r="O106" s="733"/>
      <c r="P106" s="734">
        <f>SUM(P107:P123)</f>
        <v>0</v>
      </c>
      <c r="Q106" s="734">
        <f t="shared" ref="Q106:CB106" si="56">SUM(Q107:Q123)</f>
        <v>-19654.579999999998</v>
      </c>
      <c r="R106" s="734">
        <f t="shared" si="56"/>
        <v>-26981.625937499997</v>
      </c>
      <c r="S106" s="734">
        <f t="shared" si="56"/>
        <v>-221748.16687499997</v>
      </c>
      <c r="T106" s="734">
        <f t="shared" si="56"/>
        <v>-137772.23850000001</v>
      </c>
      <c r="U106" s="734">
        <f t="shared" si="56"/>
        <v>-68896.205249999999</v>
      </c>
      <c r="V106" s="734">
        <f t="shared" si="56"/>
        <v>-34448.102625</v>
      </c>
      <c r="W106" s="734">
        <f t="shared" si="56"/>
        <v>-173058.10949999999</v>
      </c>
      <c r="X106" s="734">
        <f t="shared" si="56"/>
        <v>-1089.9183749999997</v>
      </c>
      <c r="Y106" s="734">
        <f t="shared" si="56"/>
        <v>-544.95918749999987</v>
      </c>
      <c r="Z106" s="734">
        <f t="shared" si="56"/>
        <v>0</v>
      </c>
      <c r="AA106" s="734">
        <f t="shared" si="56"/>
        <v>0</v>
      </c>
      <c r="AB106" s="734">
        <f t="shared" si="56"/>
        <v>-20145.944499999998</v>
      </c>
      <c r="AC106" s="734">
        <f t="shared" si="56"/>
        <v>-20145.944499999998</v>
      </c>
      <c r="AD106" s="734">
        <f t="shared" si="56"/>
        <v>-27656.166585937495</v>
      </c>
      <c r="AE106" s="734">
        <f t="shared" si="56"/>
        <v>-227291.87104687496</v>
      </c>
      <c r="AF106" s="734">
        <f t="shared" si="56"/>
        <v>-141216.54446249999</v>
      </c>
      <c r="AG106" s="734">
        <f t="shared" si="56"/>
        <v>-70618.610381250008</v>
      </c>
      <c r="AH106" s="734">
        <f t="shared" si="56"/>
        <v>-35309.305190625004</v>
      </c>
      <c r="AI106" s="734">
        <f t="shared" si="56"/>
        <v>-177384.56223749998</v>
      </c>
      <c r="AJ106" s="734">
        <f t="shared" si="56"/>
        <v>-1117.1663343749997</v>
      </c>
      <c r="AK106" s="734">
        <f t="shared" si="56"/>
        <v>-558.58316718749984</v>
      </c>
      <c r="AL106" s="734">
        <f t="shared" si="56"/>
        <v>0</v>
      </c>
      <c r="AM106" s="734">
        <f t="shared" si="56"/>
        <v>0</v>
      </c>
      <c r="AN106" s="734">
        <f t="shared" si="56"/>
        <v>-20649.593112499999</v>
      </c>
      <c r="AO106" s="734">
        <f t="shared" si="56"/>
        <v>0</v>
      </c>
      <c r="AP106" s="734">
        <f t="shared" si="56"/>
        <v>-28347.570750585932</v>
      </c>
      <c r="AQ106" s="734">
        <f t="shared" si="56"/>
        <v>-56695.141501171864</v>
      </c>
      <c r="AR106" s="734">
        <f t="shared" si="56"/>
        <v>0</v>
      </c>
      <c r="AS106" s="734">
        <f t="shared" si="56"/>
        <v>-72384.075640781244</v>
      </c>
      <c r="AT106" s="734">
        <f t="shared" si="56"/>
        <v>-36192.037820390622</v>
      </c>
      <c r="AU106" s="734">
        <f t="shared" si="56"/>
        <v>0</v>
      </c>
      <c r="AV106" s="734">
        <f t="shared" si="56"/>
        <v>-1063058.3140363542</v>
      </c>
      <c r="AW106" s="734">
        <f t="shared" si="56"/>
        <v>-1062485.7662899871</v>
      </c>
      <c r="AX106" s="734">
        <f t="shared" si="56"/>
        <v>-1061913.2185436198</v>
      </c>
      <c r="AY106" s="734">
        <f t="shared" si="56"/>
        <v>-1061913.2185436198</v>
      </c>
      <c r="AZ106" s="734">
        <f t="shared" si="56"/>
        <v>-1083079.0514839324</v>
      </c>
      <c r="BA106" s="734">
        <f t="shared" si="56"/>
        <v>0</v>
      </c>
      <c r="BB106" s="734">
        <f t="shared" si="56"/>
        <v>0</v>
      </c>
      <c r="BC106" s="734">
        <f t="shared" si="56"/>
        <v>0</v>
      </c>
      <c r="BD106" s="734">
        <f t="shared" si="56"/>
        <v>0</v>
      </c>
      <c r="BE106" s="734">
        <f t="shared" si="56"/>
        <v>-74193.677531800771</v>
      </c>
      <c r="BF106" s="734">
        <f t="shared" si="56"/>
        <v>-37096.838765900386</v>
      </c>
      <c r="BG106" s="734">
        <f t="shared" si="56"/>
        <v>0</v>
      </c>
      <c r="BH106" s="734">
        <f t="shared" si="56"/>
        <v>0</v>
      </c>
      <c r="BI106" s="734">
        <f t="shared" si="56"/>
        <v>0</v>
      </c>
      <c r="BJ106" s="734">
        <f t="shared" si="56"/>
        <v>0</v>
      </c>
      <c r="BK106" s="734">
        <f t="shared" si="56"/>
        <v>0</v>
      </c>
      <c r="BL106" s="734">
        <f t="shared" si="56"/>
        <v>0</v>
      </c>
      <c r="BM106" s="734">
        <f t="shared" si="56"/>
        <v>0</v>
      </c>
      <c r="BN106" s="734">
        <f t="shared" si="56"/>
        <v>0</v>
      </c>
      <c r="BO106" s="734">
        <f t="shared" si="56"/>
        <v>0</v>
      </c>
      <c r="BP106" s="734">
        <f t="shared" si="56"/>
        <v>0</v>
      </c>
      <c r="BQ106" s="734">
        <f t="shared" si="56"/>
        <v>-76048.51947009578</v>
      </c>
      <c r="BR106" s="734">
        <f t="shared" si="56"/>
        <v>-38024.25973504789</v>
      </c>
      <c r="BS106" s="734">
        <f t="shared" si="56"/>
        <v>0</v>
      </c>
      <c r="BT106" s="734">
        <f t="shared" si="56"/>
        <v>0</v>
      </c>
      <c r="BU106" s="734">
        <f t="shared" si="56"/>
        <v>0</v>
      </c>
      <c r="BV106" s="734">
        <f t="shared" si="56"/>
        <v>0</v>
      </c>
      <c r="BW106" s="734">
        <f t="shared" si="56"/>
        <v>0</v>
      </c>
      <c r="BX106" s="734">
        <f t="shared" si="56"/>
        <v>0</v>
      </c>
      <c r="BY106" s="734">
        <f t="shared" si="56"/>
        <v>0</v>
      </c>
      <c r="BZ106" s="734">
        <f t="shared" si="56"/>
        <v>0</v>
      </c>
      <c r="CA106" s="734">
        <f t="shared" si="56"/>
        <v>0</v>
      </c>
      <c r="CB106" s="734">
        <f t="shared" si="56"/>
        <v>0</v>
      </c>
      <c r="CC106" s="734">
        <f t="shared" ref="CC106:EN106" si="57">SUM(CC107:CC123)</f>
        <v>-77949.732456848185</v>
      </c>
      <c r="CD106" s="734">
        <f t="shared" si="57"/>
        <v>-38974.866228424093</v>
      </c>
      <c r="CE106" s="734">
        <f t="shared" si="57"/>
        <v>0</v>
      </c>
      <c r="CF106" s="734">
        <f t="shared" si="57"/>
        <v>0</v>
      </c>
      <c r="CG106" s="734">
        <f t="shared" si="57"/>
        <v>0</v>
      </c>
      <c r="CH106" s="734">
        <f t="shared" si="57"/>
        <v>0</v>
      </c>
      <c r="CI106" s="734">
        <f t="shared" si="57"/>
        <v>0</v>
      </c>
      <c r="CJ106" s="734">
        <f t="shared" si="57"/>
        <v>0</v>
      </c>
      <c r="CK106" s="734">
        <f t="shared" si="57"/>
        <v>0</v>
      </c>
      <c r="CL106" s="734">
        <f t="shared" si="57"/>
        <v>0</v>
      </c>
      <c r="CM106" s="734">
        <f t="shared" si="57"/>
        <v>0</v>
      </c>
      <c r="CN106" s="734">
        <f t="shared" si="57"/>
        <v>0</v>
      </c>
      <c r="CO106" s="734">
        <f t="shared" si="57"/>
        <v>-79898.475768269374</v>
      </c>
      <c r="CP106" s="734">
        <f t="shared" si="57"/>
        <v>-39949.237884134687</v>
      </c>
      <c r="CQ106" s="734">
        <f t="shared" si="57"/>
        <v>0</v>
      </c>
      <c r="CR106" s="734">
        <f t="shared" si="57"/>
        <v>0</v>
      </c>
      <c r="CS106" s="734">
        <f t="shared" si="57"/>
        <v>0</v>
      </c>
      <c r="CT106" s="734">
        <f t="shared" si="57"/>
        <v>0</v>
      </c>
      <c r="CU106" s="734">
        <f t="shared" si="57"/>
        <v>0</v>
      </c>
      <c r="CV106" s="734">
        <f t="shared" si="57"/>
        <v>0</v>
      </c>
      <c r="CW106" s="734">
        <f t="shared" si="57"/>
        <v>0</v>
      </c>
      <c r="CX106" s="734">
        <f t="shared" si="57"/>
        <v>0</v>
      </c>
      <c r="CY106" s="734">
        <f t="shared" si="57"/>
        <v>0</v>
      </c>
      <c r="CZ106" s="734">
        <f t="shared" si="57"/>
        <v>0</v>
      </c>
      <c r="DA106" s="734">
        <f t="shared" si="57"/>
        <v>-81895.937662476092</v>
      </c>
      <c r="DB106" s="734">
        <f t="shared" si="57"/>
        <v>-40947.968831238046</v>
      </c>
      <c r="DC106" s="734">
        <f t="shared" si="57"/>
        <v>0</v>
      </c>
      <c r="DD106" s="734">
        <f t="shared" si="57"/>
        <v>0</v>
      </c>
      <c r="DE106" s="734">
        <f t="shared" si="57"/>
        <v>0</v>
      </c>
      <c r="DF106" s="734">
        <f t="shared" si="57"/>
        <v>0</v>
      </c>
      <c r="DG106" s="734">
        <f t="shared" si="57"/>
        <v>0</v>
      </c>
      <c r="DH106" s="734">
        <f t="shared" si="57"/>
        <v>0</v>
      </c>
      <c r="DI106" s="734">
        <f t="shared" si="57"/>
        <v>0</v>
      </c>
      <c r="DJ106" s="734">
        <f t="shared" si="57"/>
        <v>0</v>
      </c>
      <c r="DK106" s="734">
        <f t="shared" si="57"/>
        <v>0</v>
      </c>
      <c r="DL106" s="734">
        <f t="shared" si="57"/>
        <v>0</v>
      </c>
      <c r="DM106" s="734">
        <f t="shared" si="57"/>
        <v>0</v>
      </c>
      <c r="DN106" s="734">
        <f t="shared" si="57"/>
        <v>0</v>
      </c>
      <c r="DO106" s="734">
        <f t="shared" si="57"/>
        <v>0</v>
      </c>
      <c r="DP106" s="734">
        <f t="shared" si="57"/>
        <v>0</v>
      </c>
      <c r="DQ106" s="734">
        <f t="shared" si="57"/>
        <v>0</v>
      </c>
      <c r="DR106" s="734">
        <f t="shared" si="57"/>
        <v>0</v>
      </c>
      <c r="DS106" s="734">
        <f t="shared" si="57"/>
        <v>0</v>
      </c>
      <c r="DT106" s="734">
        <f t="shared" si="57"/>
        <v>0</v>
      </c>
      <c r="DU106" s="734">
        <f t="shared" si="57"/>
        <v>0</v>
      </c>
      <c r="DV106" s="734">
        <f t="shared" si="57"/>
        <v>0</v>
      </c>
      <c r="DW106" s="734">
        <f t="shared" si="57"/>
        <v>0</v>
      </c>
      <c r="DX106" s="734">
        <f t="shared" si="57"/>
        <v>0</v>
      </c>
      <c r="DY106" s="734">
        <f t="shared" si="57"/>
        <v>0</v>
      </c>
      <c r="DZ106" s="734">
        <f t="shared" si="57"/>
        <v>0</v>
      </c>
      <c r="EA106" s="734">
        <f t="shared" si="57"/>
        <v>0</v>
      </c>
      <c r="EB106" s="734">
        <f t="shared" si="57"/>
        <v>0</v>
      </c>
      <c r="EC106" s="734">
        <f t="shared" si="57"/>
        <v>0</v>
      </c>
      <c r="ED106" s="734">
        <f t="shared" si="57"/>
        <v>0</v>
      </c>
      <c r="EE106" s="734">
        <f t="shared" si="57"/>
        <v>0</v>
      </c>
      <c r="EF106" s="734">
        <f t="shared" si="57"/>
        <v>0</v>
      </c>
      <c r="EG106" s="734">
        <f t="shared" si="57"/>
        <v>0</v>
      </c>
      <c r="EH106" s="734">
        <f t="shared" si="57"/>
        <v>0</v>
      </c>
      <c r="EI106" s="734">
        <f t="shared" si="57"/>
        <v>0</v>
      </c>
      <c r="EJ106" s="734">
        <f t="shared" si="57"/>
        <v>0</v>
      </c>
      <c r="EK106" s="734">
        <f t="shared" si="57"/>
        <v>0</v>
      </c>
      <c r="EL106" s="734">
        <f t="shared" si="57"/>
        <v>0</v>
      </c>
      <c r="EM106" s="734">
        <f t="shared" si="57"/>
        <v>0</v>
      </c>
      <c r="EN106" s="734">
        <f t="shared" si="57"/>
        <v>0</v>
      </c>
      <c r="EO106" s="734">
        <f t="shared" ref="EO106:EU106" si="58">SUM(EO107:EO123)</f>
        <v>0</v>
      </c>
      <c r="EP106" s="734">
        <f t="shared" si="58"/>
        <v>0</v>
      </c>
      <c r="EQ106" s="734">
        <f t="shared" si="58"/>
        <v>0</v>
      </c>
      <c r="ER106" s="734">
        <f t="shared" si="58"/>
        <v>0</v>
      </c>
      <c r="ES106" s="734">
        <f t="shared" si="58"/>
        <v>0</v>
      </c>
      <c r="ET106" s="734">
        <f t="shared" si="58"/>
        <v>0</v>
      </c>
      <c r="EU106" s="734">
        <f t="shared" si="58"/>
        <v>0</v>
      </c>
    </row>
    <row r="107" spans="1:151" s="771" customFormat="1" ht="11.25" customHeight="1">
      <c r="A107" s="704"/>
      <c r="B107" s="704"/>
      <c r="C107" s="735"/>
      <c r="D107" s="736" t="str">
        <f>'A&amp;R'!V6</f>
        <v>옥상</v>
      </c>
      <c r="E107" s="737" t="s">
        <v>850</v>
      </c>
      <c r="F107" s="737" t="str">
        <f>'A&amp;R'!X6</f>
        <v>태양광시설</v>
      </c>
      <c r="G107" s="751"/>
      <c r="H107" s="738"/>
      <c r="I107" s="739"/>
      <c r="J107" s="739"/>
      <c r="K107" s="753"/>
      <c r="L107" s="740"/>
      <c r="M107" s="741"/>
      <c r="N107" s="742">
        <f>SUM(P107:EU107)</f>
        <v>0</v>
      </c>
      <c r="O107" s="733"/>
      <c r="P107" s="742">
        <f>-SUM(P17,P35)*P89</f>
        <v>0</v>
      </c>
      <c r="Q107" s="742">
        <f t="shared" ref="Q107:CB107" si="59">-SUM(Q17,Q35)*Q89</f>
        <v>0</v>
      </c>
      <c r="R107" s="742">
        <f t="shared" si="59"/>
        <v>0</v>
      </c>
      <c r="S107" s="742">
        <f t="shared" si="59"/>
        <v>0</v>
      </c>
      <c r="T107" s="742">
        <f t="shared" si="59"/>
        <v>0</v>
      </c>
      <c r="U107" s="742">
        <f t="shared" si="59"/>
        <v>0</v>
      </c>
      <c r="V107" s="742">
        <f t="shared" si="59"/>
        <v>0</v>
      </c>
      <c r="W107" s="742">
        <f t="shared" si="59"/>
        <v>0</v>
      </c>
      <c r="X107" s="742">
        <f t="shared" si="59"/>
        <v>0</v>
      </c>
      <c r="Y107" s="742">
        <f t="shared" si="59"/>
        <v>0</v>
      </c>
      <c r="Z107" s="742">
        <f t="shared" si="59"/>
        <v>0</v>
      </c>
      <c r="AA107" s="742">
        <f t="shared" si="59"/>
        <v>0</v>
      </c>
      <c r="AB107" s="742">
        <f t="shared" si="59"/>
        <v>0</v>
      </c>
      <c r="AC107" s="742">
        <f t="shared" si="59"/>
        <v>0</v>
      </c>
      <c r="AD107" s="742">
        <f t="shared" si="59"/>
        <v>0</v>
      </c>
      <c r="AE107" s="742">
        <f t="shared" si="59"/>
        <v>0</v>
      </c>
      <c r="AF107" s="742">
        <f t="shared" si="59"/>
        <v>0</v>
      </c>
      <c r="AG107" s="742">
        <f t="shared" si="59"/>
        <v>0</v>
      </c>
      <c r="AH107" s="742">
        <f t="shared" si="59"/>
        <v>0</v>
      </c>
      <c r="AI107" s="742">
        <f t="shared" si="59"/>
        <v>0</v>
      </c>
      <c r="AJ107" s="742">
        <f t="shared" si="59"/>
        <v>0</v>
      </c>
      <c r="AK107" s="742">
        <f t="shared" si="59"/>
        <v>0</v>
      </c>
      <c r="AL107" s="742">
        <f t="shared" si="59"/>
        <v>0</v>
      </c>
      <c r="AM107" s="742">
        <f t="shared" si="59"/>
        <v>0</v>
      </c>
      <c r="AN107" s="742">
        <f t="shared" si="59"/>
        <v>0</v>
      </c>
      <c r="AO107" s="742">
        <f t="shared" si="59"/>
        <v>0</v>
      </c>
      <c r="AP107" s="742">
        <f t="shared" si="59"/>
        <v>0</v>
      </c>
      <c r="AQ107" s="742">
        <f t="shared" si="59"/>
        <v>0</v>
      </c>
      <c r="AR107" s="742">
        <f t="shared" si="59"/>
        <v>0</v>
      </c>
      <c r="AS107" s="742">
        <f t="shared" si="59"/>
        <v>0</v>
      </c>
      <c r="AT107" s="742">
        <f t="shared" si="59"/>
        <v>0</v>
      </c>
      <c r="AU107" s="742">
        <f t="shared" si="59"/>
        <v>0</v>
      </c>
      <c r="AV107" s="742">
        <f t="shared" si="59"/>
        <v>0</v>
      </c>
      <c r="AW107" s="742">
        <f t="shared" si="59"/>
        <v>0</v>
      </c>
      <c r="AX107" s="742">
        <f t="shared" si="59"/>
        <v>0</v>
      </c>
      <c r="AY107" s="742">
        <f t="shared" si="59"/>
        <v>0</v>
      </c>
      <c r="AZ107" s="742">
        <f t="shared" si="59"/>
        <v>0</v>
      </c>
      <c r="BA107" s="742">
        <f t="shared" si="59"/>
        <v>0</v>
      </c>
      <c r="BB107" s="742">
        <f t="shared" si="59"/>
        <v>0</v>
      </c>
      <c r="BC107" s="742">
        <f t="shared" si="59"/>
        <v>0</v>
      </c>
      <c r="BD107" s="742">
        <f t="shared" si="59"/>
        <v>0</v>
      </c>
      <c r="BE107" s="742">
        <f t="shared" si="59"/>
        <v>0</v>
      </c>
      <c r="BF107" s="742">
        <f t="shared" si="59"/>
        <v>0</v>
      </c>
      <c r="BG107" s="742">
        <f t="shared" si="59"/>
        <v>0</v>
      </c>
      <c r="BH107" s="742">
        <f t="shared" si="59"/>
        <v>0</v>
      </c>
      <c r="BI107" s="742">
        <f t="shared" si="59"/>
        <v>0</v>
      </c>
      <c r="BJ107" s="742">
        <f t="shared" si="59"/>
        <v>0</v>
      </c>
      <c r="BK107" s="742">
        <f t="shared" si="59"/>
        <v>0</v>
      </c>
      <c r="BL107" s="742">
        <f t="shared" si="59"/>
        <v>0</v>
      </c>
      <c r="BM107" s="742">
        <f t="shared" si="59"/>
        <v>0</v>
      </c>
      <c r="BN107" s="742">
        <f t="shared" si="59"/>
        <v>0</v>
      </c>
      <c r="BO107" s="742">
        <f t="shared" si="59"/>
        <v>0</v>
      </c>
      <c r="BP107" s="742">
        <f t="shared" si="59"/>
        <v>0</v>
      </c>
      <c r="BQ107" s="742">
        <f t="shared" si="59"/>
        <v>0</v>
      </c>
      <c r="BR107" s="742">
        <f t="shared" si="59"/>
        <v>0</v>
      </c>
      <c r="BS107" s="742">
        <f t="shared" si="59"/>
        <v>0</v>
      </c>
      <c r="BT107" s="742">
        <f t="shared" si="59"/>
        <v>0</v>
      </c>
      <c r="BU107" s="742">
        <f t="shared" si="59"/>
        <v>0</v>
      </c>
      <c r="BV107" s="742">
        <f t="shared" si="59"/>
        <v>0</v>
      </c>
      <c r="BW107" s="742">
        <f t="shared" si="59"/>
        <v>0</v>
      </c>
      <c r="BX107" s="742">
        <f t="shared" si="59"/>
        <v>0</v>
      </c>
      <c r="BY107" s="742">
        <f t="shared" si="59"/>
        <v>0</v>
      </c>
      <c r="BZ107" s="742">
        <f t="shared" si="59"/>
        <v>0</v>
      </c>
      <c r="CA107" s="742">
        <f t="shared" si="59"/>
        <v>0</v>
      </c>
      <c r="CB107" s="742">
        <f t="shared" si="59"/>
        <v>0</v>
      </c>
      <c r="CC107" s="742">
        <f t="shared" ref="CC107:EN107" si="60">-SUM(CC17,CC35)*CC89</f>
        <v>0</v>
      </c>
      <c r="CD107" s="742">
        <f t="shared" si="60"/>
        <v>0</v>
      </c>
      <c r="CE107" s="742">
        <f t="shared" si="60"/>
        <v>0</v>
      </c>
      <c r="CF107" s="742">
        <f t="shared" si="60"/>
        <v>0</v>
      </c>
      <c r="CG107" s="742">
        <f t="shared" si="60"/>
        <v>0</v>
      </c>
      <c r="CH107" s="742">
        <f t="shared" si="60"/>
        <v>0</v>
      </c>
      <c r="CI107" s="742">
        <f t="shared" si="60"/>
        <v>0</v>
      </c>
      <c r="CJ107" s="742">
        <f t="shared" si="60"/>
        <v>0</v>
      </c>
      <c r="CK107" s="742">
        <f t="shared" si="60"/>
        <v>0</v>
      </c>
      <c r="CL107" s="742">
        <f t="shared" si="60"/>
        <v>0</v>
      </c>
      <c r="CM107" s="742">
        <f t="shared" si="60"/>
        <v>0</v>
      </c>
      <c r="CN107" s="742">
        <f t="shared" si="60"/>
        <v>0</v>
      </c>
      <c r="CO107" s="742">
        <f t="shared" si="60"/>
        <v>0</v>
      </c>
      <c r="CP107" s="742">
        <f t="shared" si="60"/>
        <v>0</v>
      </c>
      <c r="CQ107" s="742">
        <f t="shared" si="60"/>
        <v>0</v>
      </c>
      <c r="CR107" s="742">
        <f t="shared" si="60"/>
        <v>0</v>
      </c>
      <c r="CS107" s="742">
        <f t="shared" si="60"/>
        <v>0</v>
      </c>
      <c r="CT107" s="742">
        <f t="shared" si="60"/>
        <v>0</v>
      </c>
      <c r="CU107" s="742">
        <f t="shared" si="60"/>
        <v>0</v>
      </c>
      <c r="CV107" s="742">
        <f t="shared" si="60"/>
        <v>0</v>
      </c>
      <c r="CW107" s="742">
        <f t="shared" si="60"/>
        <v>0</v>
      </c>
      <c r="CX107" s="742">
        <f t="shared" si="60"/>
        <v>0</v>
      </c>
      <c r="CY107" s="742">
        <f t="shared" si="60"/>
        <v>0</v>
      </c>
      <c r="CZ107" s="742">
        <f t="shared" si="60"/>
        <v>0</v>
      </c>
      <c r="DA107" s="742">
        <f t="shared" si="60"/>
        <v>0</v>
      </c>
      <c r="DB107" s="742">
        <f t="shared" si="60"/>
        <v>0</v>
      </c>
      <c r="DC107" s="742">
        <f t="shared" si="60"/>
        <v>0</v>
      </c>
      <c r="DD107" s="742">
        <f t="shared" si="60"/>
        <v>0</v>
      </c>
      <c r="DE107" s="742">
        <f t="shared" si="60"/>
        <v>0</v>
      </c>
      <c r="DF107" s="742">
        <f t="shared" si="60"/>
        <v>0</v>
      </c>
      <c r="DG107" s="742">
        <f t="shared" si="60"/>
        <v>0</v>
      </c>
      <c r="DH107" s="742">
        <f t="shared" si="60"/>
        <v>0</v>
      </c>
      <c r="DI107" s="742">
        <f t="shared" si="60"/>
        <v>0</v>
      </c>
      <c r="DJ107" s="742">
        <f t="shared" si="60"/>
        <v>0</v>
      </c>
      <c r="DK107" s="742">
        <f t="shared" si="60"/>
        <v>0</v>
      </c>
      <c r="DL107" s="742">
        <f t="shared" si="60"/>
        <v>0</v>
      </c>
      <c r="DM107" s="742">
        <f t="shared" si="60"/>
        <v>0</v>
      </c>
      <c r="DN107" s="742">
        <f t="shared" si="60"/>
        <v>0</v>
      </c>
      <c r="DO107" s="742">
        <f t="shared" si="60"/>
        <v>0</v>
      </c>
      <c r="DP107" s="742">
        <f t="shared" si="60"/>
        <v>0</v>
      </c>
      <c r="DQ107" s="742">
        <f t="shared" si="60"/>
        <v>0</v>
      </c>
      <c r="DR107" s="742">
        <f t="shared" si="60"/>
        <v>0</v>
      </c>
      <c r="DS107" s="742">
        <f t="shared" si="60"/>
        <v>0</v>
      </c>
      <c r="DT107" s="742">
        <f t="shared" si="60"/>
        <v>0</v>
      </c>
      <c r="DU107" s="742">
        <f t="shared" si="60"/>
        <v>0</v>
      </c>
      <c r="DV107" s="742">
        <f t="shared" si="60"/>
        <v>0</v>
      </c>
      <c r="DW107" s="742">
        <f t="shared" si="60"/>
        <v>0</v>
      </c>
      <c r="DX107" s="742">
        <f t="shared" si="60"/>
        <v>0</v>
      </c>
      <c r="DY107" s="742">
        <f t="shared" si="60"/>
        <v>0</v>
      </c>
      <c r="DZ107" s="742">
        <f t="shared" si="60"/>
        <v>0</v>
      </c>
      <c r="EA107" s="742">
        <f t="shared" si="60"/>
        <v>0</v>
      </c>
      <c r="EB107" s="742">
        <f t="shared" si="60"/>
        <v>0</v>
      </c>
      <c r="EC107" s="742">
        <f t="shared" si="60"/>
        <v>0</v>
      </c>
      <c r="ED107" s="742">
        <f t="shared" si="60"/>
        <v>0</v>
      </c>
      <c r="EE107" s="742">
        <f t="shared" si="60"/>
        <v>0</v>
      </c>
      <c r="EF107" s="742">
        <f t="shared" si="60"/>
        <v>0</v>
      </c>
      <c r="EG107" s="742">
        <f t="shared" si="60"/>
        <v>0</v>
      </c>
      <c r="EH107" s="742">
        <f t="shared" si="60"/>
        <v>0</v>
      </c>
      <c r="EI107" s="742">
        <f t="shared" si="60"/>
        <v>0</v>
      </c>
      <c r="EJ107" s="742">
        <f t="shared" si="60"/>
        <v>0</v>
      </c>
      <c r="EK107" s="742">
        <f t="shared" si="60"/>
        <v>0</v>
      </c>
      <c r="EL107" s="742">
        <f t="shared" si="60"/>
        <v>0</v>
      </c>
      <c r="EM107" s="742">
        <f t="shared" si="60"/>
        <v>0</v>
      </c>
      <c r="EN107" s="742">
        <f t="shared" si="60"/>
        <v>0</v>
      </c>
      <c r="EO107" s="742">
        <f t="shared" ref="EO107:EU107" si="61">-SUM(EO17,EO35)*EO89</f>
        <v>0</v>
      </c>
      <c r="EP107" s="742">
        <f t="shared" si="61"/>
        <v>0</v>
      </c>
      <c r="EQ107" s="742">
        <f t="shared" si="61"/>
        <v>0</v>
      </c>
      <c r="ER107" s="742">
        <f t="shared" si="61"/>
        <v>0</v>
      </c>
      <c r="ES107" s="742">
        <f t="shared" si="61"/>
        <v>0</v>
      </c>
      <c r="ET107" s="742">
        <f t="shared" si="61"/>
        <v>0</v>
      </c>
      <c r="EU107" s="742">
        <f t="shared" si="61"/>
        <v>0</v>
      </c>
    </row>
    <row r="108" spans="1:151" s="771" customFormat="1" ht="11.25" customHeight="1">
      <c r="A108" s="704"/>
      <c r="B108" s="704"/>
      <c r="C108" s="735"/>
      <c r="D108" s="743">
        <f t="shared" ref="D108:F123" si="62">D90</f>
        <v>8</v>
      </c>
      <c r="E108" s="704" t="str">
        <f t="shared" si="62"/>
        <v>쿠팡</v>
      </c>
      <c r="F108" s="704" t="str">
        <f t="shared" si="62"/>
        <v>근린생활시설</v>
      </c>
      <c r="G108" s="752"/>
      <c r="H108" s="744"/>
      <c r="I108" s="745"/>
      <c r="J108" s="745"/>
      <c r="K108" s="754"/>
      <c r="L108" s="746"/>
      <c r="M108" s="722"/>
      <c r="N108" s="747">
        <f t="shared" ref="N108:N123" si="63">SUM(P108:EU108)</f>
        <v>0</v>
      </c>
      <c r="O108" s="733"/>
      <c r="P108" s="747">
        <f t="shared" ref="P108:AU108" si="64">-SUM(P18,P36)*P90</f>
        <v>0</v>
      </c>
      <c r="Q108" s="747">
        <f t="shared" si="64"/>
        <v>0</v>
      </c>
      <c r="R108" s="747">
        <f t="shared" si="64"/>
        <v>0</v>
      </c>
      <c r="S108" s="747">
        <f t="shared" si="64"/>
        <v>0</v>
      </c>
      <c r="T108" s="747">
        <f t="shared" si="64"/>
        <v>0</v>
      </c>
      <c r="U108" s="747">
        <f t="shared" si="64"/>
        <v>0</v>
      </c>
      <c r="V108" s="747">
        <f t="shared" si="64"/>
        <v>0</v>
      </c>
      <c r="W108" s="747">
        <f t="shared" si="64"/>
        <v>0</v>
      </c>
      <c r="X108" s="747">
        <f t="shared" si="64"/>
        <v>0</v>
      </c>
      <c r="Y108" s="747">
        <f t="shared" si="64"/>
        <v>0</v>
      </c>
      <c r="Z108" s="747">
        <f t="shared" si="64"/>
        <v>0</v>
      </c>
      <c r="AA108" s="747">
        <f t="shared" si="64"/>
        <v>0</v>
      </c>
      <c r="AB108" s="747">
        <f t="shared" si="64"/>
        <v>0</v>
      </c>
      <c r="AC108" s="747">
        <f t="shared" si="64"/>
        <v>0</v>
      </c>
      <c r="AD108" s="747">
        <f t="shared" si="64"/>
        <v>0</v>
      </c>
      <c r="AE108" s="747">
        <f t="shared" si="64"/>
        <v>0</v>
      </c>
      <c r="AF108" s="747">
        <f t="shared" si="64"/>
        <v>0</v>
      </c>
      <c r="AG108" s="747">
        <f t="shared" si="64"/>
        <v>0</v>
      </c>
      <c r="AH108" s="747">
        <f t="shared" si="64"/>
        <v>0</v>
      </c>
      <c r="AI108" s="747">
        <f t="shared" si="64"/>
        <v>0</v>
      </c>
      <c r="AJ108" s="747">
        <f t="shared" si="64"/>
        <v>0</v>
      </c>
      <c r="AK108" s="747">
        <f t="shared" si="64"/>
        <v>0</v>
      </c>
      <c r="AL108" s="747">
        <f t="shared" si="64"/>
        <v>0</v>
      </c>
      <c r="AM108" s="747">
        <f t="shared" si="64"/>
        <v>0</v>
      </c>
      <c r="AN108" s="747">
        <f t="shared" si="64"/>
        <v>0</v>
      </c>
      <c r="AO108" s="747">
        <f t="shared" si="64"/>
        <v>0</v>
      </c>
      <c r="AP108" s="747">
        <f t="shared" si="64"/>
        <v>0</v>
      </c>
      <c r="AQ108" s="747">
        <f t="shared" si="64"/>
        <v>0</v>
      </c>
      <c r="AR108" s="747">
        <f t="shared" si="64"/>
        <v>0</v>
      </c>
      <c r="AS108" s="747">
        <f t="shared" si="64"/>
        <v>0</v>
      </c>
      <c r="AT108" s="747">
        <f t="shared" si="64"/>
        <v>0</v>
      </c>
      <c r="AU108" s="747">
        <f t="shared" si="64"/>
        <v>0</v>
      </c>
      <c r="AV108" s="747">
        <f t="shared" ref="AV108:CA108" si="65">-SUM(AV18,AV36)*AV90</f>
        <v>0</v>
      </c>
      <c r="AW108" s="747">
        <f t="shared" si="65"/>
        <v>0</v>
      </c>
      <c r="AX108" s="747">
        <f t="shared" si="65"/>
        <v>0</v>
      </c>
      <c r="AY108" s="747">
        <f t="shared" si="65"/>
        <v>0</v>
      </c>
      <c r="AZ108" s="747">
        <f t="shared" si="65"/>
        <v>0</v>
      </c>
      <c r="BA108" s="747">
        <f t="shared" si="65"/>
        <v>0</v>
      </c>
      <c r="BB108" s="747">
        <f t="shared" si="65"/>
        <v>0</v>
      </c>
      <c r="BC108" s="747">
        <f t="shared" si="65"/>
        <v>0</v>
      </c>
      <c r="BD108" s="747">
        <f t="shared" si="65"/>
        <v>0</v>
      </c>
      <c r="BE108" s="747">
        <f t="shared" si="65"/>
        <v>0</v>
      </c>
      <c r="BF108" s="747">
        <f t="shared" si="65"/>
        <v>0</v>
      </c>
      <c r="BG108" s="747">
        <f t="shared" si="65"/>
        <v>0</v>
      </c>
      <c r="BH108" s="747">
        <f t="shared" si="65"/>
        <v>0</v>
      </c>
      <c r="BI108" s="747">
        <f t="shared" si="65"/>
        <v>0</v>
      </c>
      <c r="BJ108" s="747">
        <f t="shared" si="65"/>
        <v>0</v>
      </c>
      <c r="BK108" s="747">
        <f t="shared" si="65"/>
        <v>0</v>
      </c>
      <c r="BL108" s="747">
        <f t="shared" si="65"/>
        <v>0</v>
      </c>
      <c r="BM108" s="747">
        <f t="shared" si="65"/>
        <v>0</v>
      </c>
      <c r="BN108" s="747">
        <f t="shared" si="65"/>
        <v>0</v>
      </c>
      <c r="BO108" s="747">
        <f t="shared" si="65"/>
        <v>0</v>
      </c>
      <c r="BP108" s="747">
        <f t="shared" si="65"/>
        <v>0</v>
      </c>
      <c r="BQ108" s="747">
        <f t="shared" si="65"/>
        <v>0</v>
      </c>
      <c r="BR108" s="747">
        <f t="shared" si="65"/>
        <v>0</v>
      </c>
      <c r="BS108" s="747">
        <f t="shared" si="65"/>
        <v>0</v>
      </c>
      <c r="BT108" s="747">
        <f t="shared" si="65"/>
        <v>0</v>
      </c>
      <c r="BU108" s="747">
        <f t="shared" si="65"/>
        <v>0</v>
      </c>
      <c r="BV108" s="747">
        <f t="shared" si="65"/>
        <v>0</v>
      </c>
      <c r="BW108" s="747">
        <f t="shared" si="65"/>
        <v>0</v>
      </c>
      <c r="BX108" s="747">
        <f t="shared" si="65"/>
        <v>0</v>
      </c>
      <c r="BY108" s="747">
        <f t="shared" si="65"/>
        <v>0</v>
      </c>
      <c r="BZ108" s="747">
        <f t="shared" si="65"/>
        <v>0</v>
      </c>
      <c r="CA108" s="747">
        <f t="shared" si="65"/>
        <v>0</v>
      </c>
      <c r="CB108" s="747">
        <f t="shared" ref="CB108:DG108" si="66">-SUM(CB18,CB36)*CB90</f>
        <v>0</v>
      </c>
      <c r="CC108" s="747">
        <f t="shared" si="66"/>
        <v>0</v>
      </c>
      <c r="CD108" s="747">
        <f t="shared" si="66"/>
        <v>0</v>
      </c>
      <c r="CE108" s="747">
        <f t="shared" si="66"/>
        <v>0</v>
      </c>
      <c r="CF108" s="747">
        <f t="shared" si="66"/>
        <v>0</v>
      </c>
      <c r="CG108" s="747">
        <f t="shared" si="66"/>
        <v>0</v>
      </c>
      <c r="CH108" s="747">
        <f t="shared" si="66"/>
        <v>0</v>
      </c>
      <c r="CI108" s="747">
        <f t="shared" si="66"/>
        <v>0</v>
      </c>
      <c r="CJ108" s="747">
        <f t="shared" si="66"/>
        <v>0</v>
      </c>
      <c r="CK108" s="747">
        <f t="shared" si="66"/>
        <v>0</v>
      </c>
      <c r="CL108" s="747">
        <f t="shared" si="66"/>
        <v>0</v>
      </c>
      <c r="CM108" s="747">
        <f t="shared" si="66"/>
        <v>0</v>
      </c>
      <c r="CN108" s="747">
        <f t="shared" si="66"/>
        <v>0</v>
      </c>
      <c r="CO108" s="747">
        <f t="shared" si="66"/>
        <v>0</v>
      </c>
      <c r="CP108" s="747">
        <f t="shared" si="66"/>
        <v>0</v>
      </c>
      <c r="CQ108" s="747">
        <f t="shared" si="66"/>
        <v>0</v>
      </c>
      <c r="CR108" s="747">
        <f t="shared" si="66"/>
        <v>0</v>
      </c>
      <c r="CS108" s="747">
        <f t="shared" si="66"/>
        <v>0</v>
      </c>
      <c r="CT108" s="747">
        <f t="shared" si="66"/>
        <v>0</v>
      </c>
      <c r="CU108" s="747">
        <f t="shared" si="66"/>
        <v>0</v>
      </c>
      <c r="CV108" s="747">
        <f t="shared" si="66"/>
        <v>0</v>
      </c>
      <c r="CW108" s="747">
        <f t="shared" si="66"/>
        <v>0</v>
      </c>
      <c r="CX108" s="747">
        <f t="shared" si="66"/>
        <v>0</v>
      </c>
      <c r="CY108" s="747">
        <f t="shared" si="66"/>
        <v>0</v>
      </c>
      <c r="CZ108" s="747">
        <f t="shared" si="66"/>
        <v>0</v>
      </c>
      <c r="DA108" s="747">
        <f t="shared" si="66"/>
        <v>0</v>
      </c>
      <c r="DB108" s="747">
        <f t="shared" si="66"/>
        <v>0</v>
      </c>
      <c r="DC108" s="747">
        <f t="shared" si="66"/>
        <v>0</v>
      </c>
      <c r="DD108" s="747">
        <f t="shared" si="66"/>
        <v>0</v>
      </c>
      <c r="DE108" s="747">
        <f t="shared" si="66"/>
        <v>0</v>
      </c>
      <c r="DF108" s="747">
        <f t="shared" si="66"/>
        <v>0</v>
      </c>
      <c r="DG108" s="747">
        <f t="shared" si="66"/>
        <v>0</v>
      </c>
      <c r="DH108" s="747">
        <f t="shared" ref="DH108:DY108" si="67">-SUM(DH18,DH36)*DH90</f>
        <v>0</v>
      </c>
      <c r="DI108" s="747">
        <f t="shared" si="67"/>
        <v>0</v>
      </c>
      <c r="DJ108" s="747">
        <f t="shared" si="67"/>
        <v>0</v>
      </c>
      <c r="DK108" s="747">
        <f t="shared" si="67"/>
        <v>0</v>
      </c>
      <c r="DL108" s="747">
        <f t="shared" si="67"/>
        <v>0</v>
      </c>
      <c r="DM108" s="747">
        <f t="shared" si="67"/>
        <v>0</v>
      </c>
      <c r="DN108" s="747">
        <f t="shared" si="67"/>
        <v>0</v>
      </c>
      <c r="DO108" s="747">
        <f t="shared" si="67"/>
        <v>0</v>
      </c>
      <c r="DP108" s="747">
        <f t="shared" si="67"/>
        <v>0</v>
      </c>
      <c r="DQ108" s="747">
        <f t="shared" si="67"/>
        <v>0</v>
      </c>
      <c r="DR108" s="747">
        <f t="shared" si="67"/>
        <v>0</v>
      </c>
      <c r="DS108" s="747">
        <f t="shared" si="67"/>
        <v>0</v>
      </c>
      <c r="DT108" s="747">
        <f t="shared" si="67"/>
        <v>0</v>
      </c>
      <c r="DU108" s="747">
        <f t="shared" si="67"/>
        <v>0</v>
      </c>
      <c r="DV108" s="747">
        <f t="shared" si="67"/>
        <v>0</v>
      </c>
      <c r="DW108" s="747">
        <f t="shared" si="67"/>
        <v>0</v>
      </c>
      <c r="DX108" s="747">
        <f t="shared" si="67"/>
        <v>0</v>
      </c>
      <c r="DY108" s="747">
        <f t="shared" si="67"/>
        <v>0</v>
      </c>
      <c r="DZ108" s="747">
        <f t="shared" ref="DZ108:EH108" si="68">-SUM(DZ18,DZ36)*DZ90</f>
        <v>0</v>
      </c>
      <c r="EA108" s="747">
        <f t="shared" si="68"/>
        <v>0</v>
      </c>
      <c r="EB108" s="747">
        <f t="shared" si="68"/>
        <v>0</v>
      </c>
      <c r="EC108" s="747">
        <f t="shared" si="68"/>
        <v>0</v>
      </c>
      <c r="ED108" s="747">
        <f t="shared" si="68"/>
        <v>0</v>
      </c>
      <c r="EE108" s="747">
        <f t="shared" si="68"/>
        <v>0</v>
      </c>
      <c r="EF108" s="747">
        <f t="shared" si="68"/>
        <v>0</v>
      </c>
      <c r="EG108" s="747">
        <f t="shared" si="68"/>
        <v>0</v>
      </c>
      <c r="EH108" s="747">
        <f t="shared" si="68"/>
        <v>0</v>
      </c>
      <c r="EI108" s="747">
        <f t="shared" ref="EI108:ET108" si="69">-SUM(EI18,EI36)*EI90</f>
        <v>0</v>
      </c>
      <c r="EJ108" s="747">
        <f t="shared" si="69"/>
        <v>0</v>
      </c>
      <c r="EK108" s="747">
        <f t="shared" si="69"/>
        <v>0</v>
      </c>
      <c r="EL108" s="747">
        <f t="shared" si="69"/>
        <v>0</v>
      </c>
      <c r="EM108" s="747">
        <f t="shared" si="69"/>
        <v>0</v>
      </c>
      <c r="EN108" s="747">
        <f t="shared" si="69"/>
        <v>0</v>
      </c>
      <c r="EO108" s="747">
        <f t="shared" si="69"/>
        <v>0</v>
      </c>
      <c r="EP108" s="747">
        <f t="shared" si="69"/>
        <v>0</v>
      </c>
      <c r="EQ108" s="747">
        <f t="shared" si="69"/>
        <v>0</v>
      </c>
      <c r="ER108" s="747">
        <f t="shared" si="69"/>
        <v>0</v>
      </c>
      <c r="ES108" s="747">
        <f t="shared" si="69"/>
        <v>0</v>
      </c>
      <c r="ET108" s="747">
        <f t="shared" si="69"/>
        <v>0</v>
      </c>
      <c r="EU108" s="747">
        <f t="shared" ref="EU108:EU123" si="70">-SUM(EU18,EU36)*EU90</f>
        <v>0</v>
      </c>
    </row>
    <row r="109" spans="1:151" s="773" customFormat="1" ht="11.25" customHeight="1">
      <c r="A109" s="704"/>
      <c r="B109" s="704"/>
      <c r="C109" s="735"/>
      <c r="D109" s="743">
        <f t="shared" si="62"/>
        <v>8</v>
      </c>
      <c r="E109" s="704" t="str">
        <f t="shared" si="62"/>
        <v>쿠팡</v>
      </c>
      <c r="F109" s="704" t="str">
        <f t="shared" si="62"/>
        <v>상온창고</v>
      </c>
      <c r="G109" s="752"/>
      <c r="H109" s="744"/>
      <c r="I109" s="745"/>
      <c r="J109" s="745"/>
      <c r="K109" s="754"/>
      <c r="L109" s="746"/>
      <c r="M109" s="722"/>
      <c r="N109" s="747">
        <f t="shared" si="63"/>
        <v>0</v>
      </c>
      <c r="O109" s="769"/>
      <c r="P109" s="768">
        <f t="shared" ref="P109:AU109" si="71">-SUM(P19,P37)*P91</f>
        <v>0</v>
      </c>
      <c r="Q109" s="768">
        <f t="shared" si="71"/>
        <v>0</v>
      </c>
      <c r="R109" s="768">
        <f t="shared" si="71"/>
        <v>0</v>
      </c>
      <c r="S109" s="768">
        <f t="shared" si="71"/>
        <v>0</v>
      </c>
      <c r="T109" s="768">
        <f t="shared" si="71"/>
        <v>0</v>
      </c>
      <c r="U109" s="768">
        <f t="shared" si="71"/>
        <v>0</v>
      </c>
      <c r="V109" s="768">
        <f t="shared" si="71"/>
        <v>0</v>
      </c>
      <c r="W109" s="768">
        <f t="shared" si="71"/>
        <v>0</v>
      </c>
      <c r="X109" s="768">
        <f t="shared" si="71"/>
        <v>0</v>
      </c>
      <c r="Y109" s="768">
        <f t="shared" si="71"/>
        <v>0</v>
      </c>
      <c r="Z109" s="768">
        <f t="shared" si="71"/>
        <v>0</v>
      </c>
      <c r="AA109" s="768">
        <f t="shared" si="71"/>
        <v>0</v>
      </c>
      <c r="AB109" s="768">
        <f t="shared" si="71"/>
        <v>0</v>
      </c>
      <c r="AC109" s="768">
        <f t="shared" si="71"/>
        <v>0</v>
      </c>
      <c r="AD109" s="768">
        <f t="shared" si="71"/>
        <v>0</v>
      </c>
      <c r="AE109" s="768">
        <f t="shared" si="71"/>
        <v>0</v>
      </c>
      <c r="AF109" s="768">
        <f t="shared" si="71"/>
        <v>0</v>
      </c>
      <c r="AG109" s="768">
        <f t="shared" si="71"/>
        <v>0</v>
      </c>
      <c r="AH109" s="768">
        <f t="shared" si="71"/>
        <v>0</v>
      </c>
      <c r="AI109" s="768">
        <f t="shared" si="71"/>
        <v>0</v>
      </c>
      <c r="AJ109" s="768">
        <f t="shared" si="71"/>
        <v>0</v>
      </c>
      <c r="AK109" s="768">
        <f t="shared" si="71"/>
        <v>0</v>
      </c>
      <c r="AL109" s="768">
        <f t="shared" si="71"/>
        <v>0</v>
      </c>
      <c r="AM109" s="768">
        <f t="shared" si="71"/>
        <v>0</v>
      </c>
      <c r="AN109" s="768">
        <f t="shared" si="71"/>
        <v>0</v>
      </c>
      <c r="AO109" s="768">
        <f t="shared" si="71"/>
        <v>0</v>
      </c>
      <c r="AP109" s="768">
        <f t="shared" si="71"/>
        <v>0</v>
      </c>
      <c r="AQ109" s="768">
        <f t="shared" si="71"/>
        <v>0</v>
      </c>
      <c r="AR109" s="768">
        <f t="shared" si="71"/>
        <v>0</v>
      </c>
      <c r="AS109" s="768">
        <f t="shared" si="71"/>
        <v>0</v>
      </c>
      <c r="AT109" s="768">
        <f t="shared" si="71"/>
        <v>0</v>
      </c>
      <c r="AU109" s="768">
        <f t="shared" si="71"/>
        <v>0</v>
      </c>
      <c r="AV109" s="768">
        <f t="shared" ref="AV109:CA109" si="72">-SUM(AV19,AV37)*AV91</f>
        <v>0</v>
      </c>
      <c r="AW109" s="768">
        <f t="shared" si="72"/>
        <v>0</v>
      </c>
      <c r="AX109" s="768">
        <f t="shared" si="72"/>
        <v>0</v>
      </c>
      <c r="AY109" s="768">
        <f t="shared" si="72"/>
        <v>0</v>
      </c>
      <c r="AZ109" s="768">
        <f t="shared" si="72"/>
        <v>0</v>
      </c>
      <c r="BA109" s="768">
        <f t="shared" si="72"/>
        <v>0</v>
      </c>
      <c r="BB109" s="768">
        <f t="shared" si="72"/>
        <v>0</v>
      </c>
      <c r="BC109" s="768">
        <f t="shared" si="72"/>
        <v>0</v>
      </c>
      <c r="BD109" s="768">
        <f t="shared" si="72"/>
        <v>0</v>
      </c>
      <c r="BE109" s="768">
        <f t="shared" si="72"/>
        <v>0</v>
      </c>
      <c r="BF109" s="768">
        <f t="shared" si="72"/>
        <v>0</v>
      </c>
      <c r="BG109" s="768">
        <f t="shared" si="72"/>
        <v>0</v>
      </c>
      <c r="BH109" s="768">
        <f t="shared" si="72"/>
        <v>0</v>
      </c>
      <c r="BI109" s="768">
        <f t="shared" si="72"/>
        <v>0</v>
      </c>
      <c r="BJ109" s="768">
        <f t="shared" si="72"/>
        <v>0</v>
      </c>
      <c r="BK109" s="768">
        <f t="shared" si="72"/>
        <v>0</v>
      </c>
      <c r="BL109" s="768">
        <f t="shared" si="72"/>
        <v>0</v>
      </c>
      <c r="BM109" s="768">
        <f t="shared" si="72"/>
        <v>0</v>
      </c>
      <c r="BN109" s="768">
        <f t="shared" si="72"/>
        <v>0</v>
      </c>
      <c r="BO109" s="768">
        <f t="shared" si="72"/>
        <v>0</v>
      </c>
      <c r="BP109" s="768">
        <f t="shared" si="72"/>
        <v>0</v>
      </c>
      <c r="BQ109" s="768">
        <f t="shared" si="72"/>
        <v>0</v>
      </c>
      <c r="BR109" s="768">
        <f t="shared" si="72"/>
        <v>0</v>
      </c>
      <c r="BS109" s="768">
        <f t="shared" si="72"/>
        <v>0</v>
      </c>
      <c r="BT109" s="768">
        <f t="shared" si="72"/>
        <v>0</v>
      </c>
      <c r="BU109" s="768">
        <f t="shared" si="72"/>
        <v>0</v>
      </c>
      <c r="BV109" s="768">
        <f t="shared" si="72"/>
        <v>0</v>
      </c>
      <c r="BW109" s="768">
        <f t="shared" si="72"/>
        <v>0</v>
      </c>
      <c r="BX109" s="768">
        <f t="shared" si="72"/>
        <v>0</v>
      </c>
      <c r="BY109" s="768">
        <f t="shared" si="72"/>
        <v>0</v>
      </c>
      <c r="BZ109" s="768">
        <f t="shared" si="72"/>
        <v>0</v>
      </c>
      <c r="CA109" s="768">
        <f t="shared" si="72"/>
        <v>0</v>
      </c>
      <c r="CB109" s="768">
        <f t="shared" ref="CB109:DG109" si="73">-SUM(CB19,CB37)*CB91</f>
        <v>0</v>
      </c>
      <c r="CC109" s="768">
        <f t="shared" si="73"/>
        <v>0</v>
      </c>
      <c r="CD109" s="768">
        <f t="shared" si="73"/>
        <v>0</v>
      </c>
      <c r="CE109" s="768">
        <f t="shared" si="73"/>
        <v>0</v>
      </c>
      <c r="CF109" s="768">
        <f t="shared" si="73"/>
        <v>0</v>
      </c>
      <c r="CG109" s="768">
        <f t="shared" si="73"/>
        <v>0</v>
      </c>
      <c r="CH109" s="768">
        <f t="shared" si="73"/>
        <v>0</v>
      </c>
      <c r="CI109" s="768">
        <f t="shared" si="73"/>
        <v>0</v>
      </c>
      <c r="CJ109" s="768">
        <f t="shared" si="73"/>
        <v>0</v>
      </c>
      <c r="CK109" s="768">
        <f t="shared" si="73"/>
        <v>0</v>
      </c>
      <c r="CL109" s="768">
        <f t="shared" si="73"/>
        <v>0</v>
      </c>
      <c r="CM109" s="768">
        <f t="shared" si="73"/>
        <v>0</v>
      </c>
      <c r="CN109" s="768">
        <f t="shared" si="73"/>
        <v>0</v>
      </c>
      <c r="CO109" s="768">
        <f t="shared" si="73"/>
        <v>0</v>
      </c>
      <c r="CP109" s="768">
        <f t="shared" si="73"/>
        <v>0</v>
      </c>
      <c r="CQ109" s="768">
        <f t="shared" si="73"/>
        <v>0</v>
      </c>
      <c r="CR109" s="768">
        <f t="shared" si="73"/>
        <v>0</v>
      </c>
      <c r="CS109" s="768">
        <f t="shared" si="73"/>
        <v>0</v>
      </c>
      <c r="CT109" s="768">
        <f t="shared" si="73"/>
        <v>0</v>
      </c>
      <c r="CU109" s="768">
        <f t="shared" si="73"/>
        <v>0</v>
      </c>
      <c r="CV109" s="768">
        <f t="shared" si="73"/>
        <v>0</v>
      </c>
      <c r="CW109" s="768">
        <f t="shared" si="73"/>
        <v>0</v>
      </c>
      <c r="CX109" s="768">
        <f t="shared" si="73"/>
        <v>0</v>
      </c>
      <c r="CY109" s="768">
        <f t="shared" si="73"/>
        <v>0</v>
      </c>
      <c r="CZ109" s="768">
        <f t="shared" si="73"/>
        <v>0</v>
      </c>
      <c r="DA109" s="768">
        <f t="shared" si="73"/>
        <v>0</v>
      </c>
      <c r="DB109" s="768">
        <f t="shared" si="73"/>
        <v>0</v>
      </c>
      <c r="DC109" s="768">
        <f t="shared" si="73"/>
        <v>0</v>
      </c>
      <c r="DD109" s="768">
        <f t="shared" si="73"/>
        <v>0</v>
      </c>
      <c r="DE109" s="768">
        <f t="shared" si="73"/>
        <v>0</v>
      </c>
      <c r="DF109" s="768">
        <f t="shared" si="73"/>
        <v>0</v>
      </c>
      <c r="DG109" s="768">
        <f t="shared" si="73"/>
        <v>0</v>
      </c>
      <c r="DH109" s="768">
        <f t="shared" ref="DH109:DY109" si="74">-SUM(DH19,DH37)*DH91</f>
        <v>0</v>
      </c>
      <c r="DI109" s="768">
        <f t="shared" si="74"/>
        <v>0</v>
      </c>
      <c r="DJ109" s="768">
        <f t="shared" si="74"/>
        <v>0</v>
      </c>
      <c r="DK109" s="768">
        <f t="shared" si="74"/>
        <v>0</v>
      </c>
      <c r="DL109" s="768">
        <f t="shared" si="74"/>
        <v>0</v>
      </c>
      <c r="DM109" s="768">
        <f t="shared" si="74"/>
        <v>0</v>
      </c>
      <c r="DN109" s="768">
        <f t="shared" si="74"/>
        <v>0</v>
      </c>
      <c r="DO109" s="768">
        <f t="shared" si="74"/>
        <v>0</v>
      </c>
      <c r="DP109" s="768">
        <f t="shared" si="74"/>
        <v>0</v>
      </c>
      <c r="DQ109" s="768">
        <f t="shared" si="74"/>
        <v>0</v>
      </c>
      <c r="DR109" s="768">
        <f t="shared" si="74"/>
        <v>0</v>
      </c>
      <c r="DS109" s="768">
        <f t="shared" si="74"/>
        <v>0</v>
      </c>
      <c r="DT109" s="768">
        <f t="shared" si="74"/>
        <v>0</v>
      </c>
      <c r="DU109" s="768">
        <f t="shared" si="74"/>
        <v>0</v>
      </c>
      <c r="DV109" s="768">
        <f t="shared" si="74"/>
        <v>0</v>
      </c>
      <c r="DW109" s="768">
        <f t="shared" si="74"/>
        <v>0</v>
      </c>
      <c r="DX109" s="768">
        <f t="shared" si="74"/>
        <v>0</v>
      </c>
      <c r="DY109" s="768">
        <f t="shared" si="74"/>
        <v>0</v>
      </c>
      <c r="DZ109" s="768">
        <f t="shared" ref="DZ109:EH109" si="75">-SUM(DZ19,DZ37)*DZ91</f>
        <v>0</v>
      </c>
      <c r="EA109" s="768">
        <f t="shared" si="75"/>
        <v>0</v>
      </c>
      <c r="EB109" s="768">
        <f t="shared" si="75"/>
        <v>0</v>
      </c>
      <c r="EC109" s="768">
        <f t="shared" si="75"/>
        <v>0</v>
      </c>
      <c r="ED109" s="768">
        <f t="shared" si="75"/>
        <v>0</v>
      </c>
      <c r="EE109" s="768">
        <f t="shared" si="75"/>
        <v>0</v>
      </c>
      <c r="EF109" s="768">
        <f t="shared" si="75"/>
        <v>0</v>
      </c>
      <c r="EG109" s="768">
        <f t="shared" si="75"/>
        <v>0</v>
      </c>
      <c r="EH109" s="768">
        <f t="shared" si="75"/>
        <v>0</v>
      </c>
      <c r="EI109" s="768">
        <f t="shared" ref="EI109:ET109" si="76">-SUM(EI19,EI37)*EI91</f>
        <v>0</v>
      </c>
      <c r="EJ109" s="768">
        <f t="shared" si="76"/>
        <v>0</v>
      </c>
      <c r="EK109" s="768">
        <f t="shared" si="76"/>
        <v>0</v>
      </c>
      <c r="EL109" s="768">
        <f t="shared" si="76"/>
        <v>0</v>
      </c>
      <c r="EM109" s="768">
        <f t="shared" si="76"/>
        <v>0</v>
      </c>
      <c r="EN109" s="768">
        <f t="shared" si="76"/>
        <v>0</v>
      </c>
      <c r="EO109" s="768">
        <f t="shared" si="76"/>
        <v>0</v>
      </c>
      <c r="EP109" s="768">
        <f t="shared" si="76"/>
        <v>0</v>
      </c>
      <c r="EQ109" s="768">
        <f t="shared" si="76"/>
        <v>0</v>
      </c>
      <c r="ER109" s="768">
        <f t="shared" si="76"/>
        <v>0</v>
      </c>
      <c r="ES109" s="768">
        <f t="shared" si="76"/>
        <v>0</v>
      </c>
      <c r="ET109" s="768">
        <f t="shared" si="76"/>
        <v>0</v>
      </c>
      <c r="EU109" s="768">
        <f t="shared" si="70"/>
        <v>0</v>
      </c>
    </row>
    <row r="110" spans="1:151" s="773" customFormat="1" ht="11.25" customHeight="1">
      <c r="A110" s="704"/>
      <c r="B110" s="704"/>
      <c r="C110" s="735"/>
      <c r="D110" s="743">
        <f t="shared" si="62"/>
        <v>8</v>
      </c>
      <c r="E110" s="704" t="str">
        <f t="shared" si="62"/>
        <v>키즈밀</v>
      </c>
      <c r="F110" s="704" t="str">
        <f t="shared" si="62"/>
        <v>근린생활시설</v>
      </c>
      <c r="G110" s="752"/>
      <c r="H110" s="744"/>
      <c r="I110" s="745"/>
      <c r="J110" s="745"/>
      <c r="K110" s="754"/>
      <c r="L110" s="746"/>
      <c r="M110" s="722"/>
      <c r="N110" s="747">
        <f t="shared" si="63"/>
        <v>-101761.89505281248</v>
      </c>
      <c r="O110" s="769"/>
      <c r="P110" s="768">
        <f t="shared" ref="P110:AU110" si="77">-SUM(P20,P38)*P92</f>
        <v>0</v>
      </c>
      <c r="Q110" s="768">
        <f t="shared" si="77"/>
        <v>-19654.579999999998</v>
      </c>
      <c r="R110" s="768">
        <f t="shared" si="77"/>
        <v>0</v>
      </c>
      <c r="S110" s="768">
        <f t="shared" si="77"/>
        <v>0</v>
      </c>
      <c r="T110" s="768">
        <f t="shared" si="77"/>
        <v>0</v>
      </c>
      <c r="U110" s="768">
        <f t="shared" si="77"/>
        <v>0</v>
      </c>
      <c r="V110" s="768">
        <f t="shared" si="77"/>
        <v>0</v>
      </c>
      <c r="W110" s="768">
        <f t="shared" si="77"/>
        <v>0</v>
      </c>
      <c r="X110" s="768">
        <f t="shared" si="77"/>
        <v>0</v>
      </c>
      <c r="Y110" s="768">
        <f t="shared" si="77"/>
        <v>0</v>
      </c>
      <c r="Z110" s="768">
        <f t="shared" si="77"/>
        <v>0</v>
      </c>
      <c r="AA110" s="768">
        <f t="shared" si="77"/>
        <v>0</v>
      </c>
      <c r="AB110" s="768">
        <f t="shared" si="77"/>
        <v>-20145.944499999998</v>
      </c>
      <c r="AC110" s="768">
        <f t="shared" si="77"/>
        <v>-20145.944499999998</v>
      </c>
      <c r="AD110" s="768">
        <f t="shared" si="77"/>
        <v>0</v>
      </c>
      <c r="AE110" s="768">
        <f t="shared" si="77"/>
        <v>0</v>
      </c>
      <c r="AF110" s="768">
        <f t="shared" si="77"/>
        <v>0</v>
      </c>
      <c r="AG110" s="768">
        <f t="shared" si="77"/>
        <v>0</v>
      </c>
      <c r="AH110" s="768">
        <f t="shared" si="77"/>
        <v>0</v>
      </c>
      <c r="AI110" s="768">
        <f t="shared" si="77"/>
        <v>0</v>
      </c>
      <c r="AJ110" s="768">
        <f t="shared" si="77"/>
        <v>0</v>
      </c>
      <c r="AK110" s="768">
        <f t="shared" si="77"/>
        <v>0</v>
      </c>
      <c r="AL110" s="768">
        <f t="shared" si="77"/>
        <v>0</v>
      </c>
      <c r="AM110" s="768">
        <f t="shared" si="77"/>
        <v>0</v>
      </c>
      <c r="AN110" s="768">
        <f t="shared" si="77"/>
        <v>-20649.593112499999</v>
      </c>
      <c r="AO110" s="768">
        <f t="shared" si="77"/>
        <v>0</v>
      </c>
      <c r="AP110" s="768">
        <f t="shared" si="77"/>
        <v>0</v>
      </c>
      <c r="AQ110" s="768">
        <f t="shared" si="77"/>
        <v>0</v>
      </c>
      <c r="AR110" s="768">
        <f t="shared" si="77"/>
        <v>0</v>
      </c>
      <c r="AS110" s="768">
        <f t="shared" si="77"/>
        <v>0</v>
      </c>
      <c r="AT110" s="768">
        <f t="shared" si="77"/>
        <v>0</v>
      </c>
      <c r="AU110" s="768">
        <f t="shared" si="77"/>
        <v>0</v>
      </c>
      <c r="AV110" s="768">
        <f t="shared" ref="AV110:CA110" si="78">-SUM(AV20,AV38)*AV92</f>
        <v>0</v>
      </c>
      <c r="AW110" s="768">
        <f t="shared" si="78"/>
        <v>0</v>
      </c>
      <c r="AX110" s="768">
        <f t="shared" si="78"/>
        <v>0</v>
      </c>
      <c r="AY110" s="768">
        <f t="shared" si="78"/>
        <v>0</v>
      </c>
      <c r="AZ110" s="768">
        <f t="shared" si="78"/>
        <v>-21165.832940312495</v>
      </c>
      <c r="BA110" s="768">
        <f t="shared" si="78"/>
        <v>0</v>
      </c>
      <c r="BB110" s="768">
        <f t="shared" si="78"/>
        <v>0</v>
      </c>
      <c r="BC110" s="768">
        <f t="shared" si="78"/>
        <v>0</v>
      </c>
      <c r="BD110" s="768">
        <f t="shared" si="78"/>
        <v>0</v>
      </c>
      <c r="BE110" s="768">
        <f t="shared" si="78"/>
        <v>0</v>
      </c>
      <c r="BF110" s="768">
        <f t="shared" si="78"/>
        <v>0</v>
      </c>
      <c r="BG110" s="768">
        <f t="shared" si="78"/>
        <v>0</v>
      </c>
      <c r="BH110" s="768">
        <f t="shared" si="78"/>
        <v>0</v>
      </c>
      <c r="BI110" s="768">
        <f t="shared" si="78"/>
        <v>0</v>
      </c>
      <c r="BJ110" s="768">
        <f t="shared" si="78"/>
        <v>0</v>
      </c>
      <c r="BK110" s="768">
        <f t="shared" si="78"/>
        <v>0</v>
      </c>
      <c r="BL110" s="768">
        <f t="shared" si="78"/>
        <v>0</v>
      </c>
      <c r="BM110" s="768">
        <f t="shared" si="78"/>
        <v>0</v>
      </c>
      <c r="BN110" s="768">
        <f t="shared" si="78"/>
        <v>0</v>
      </c>
      <c r="BO110" s="768">
        <f t="shared" si="78"/>
        <v>0</v>
      </c>
      <c r="BP110" s="768">
        <f t="shared" si="78"/>
        <v>0</v>
      </c>
      <c r="BQ110" s="768">
        <f t="shared" si="78"/>
        <v>0</v>
      </c>
      <c r="BR110" s="768">
        <f t="shared" si="78"/>
        <v>0</v>
      </c>
      <c r="BS110" s="768">
        <f t="shared" si="78"/>
        <v>0</v>
      </c>
      <c r="BT110" s="768">
        <f t="shared" si="78"/>
        <v>0</v>
      </c>
      <c r="BU110" s="768">
        <f t="shared" si="78"/>
        <v>0</v>
      </c>
      <c r="BV110" s="768">
        <f t="shared" si="78"/>
        <v>0</v>
      </c>
      <c r="BW110" s="768">
        <f t="shared" si="78"/>
        <v>0</v>
      </c>
      <c r="BX110" s="768">
        <f t="shared" si="78"/>
        <v>0</v>
      </c>
      <c r="BY110" s="768">
        <f t="shared" si="78"/>
        <v>0</v>
      </c>
      <c r="BZ110" s="768">
        <f t="shared" si="78"/>
        <v>0</v>
      </c>
      <c r="CA110" s="768">
        <f t="shared" si="78"/>
        <v>0</v>
      </c>
      <c r="CB110" s="768">
        <f t="shared" ref="CB110:DG110" si="79">-SUM(CB20,CB38)*CB92</f>
        <v>0</v>
      </c>
      <c r="CC110" s="768">
        <f t="shared" si="79"/>
        <v>0</v>
      </c>
      <c r="CD110" s="768">
        <f t="shared" si="79"/>
        <v>0</v>
      </c>
      <c r="CE110" s="768">
        <f t="shared" si="79"/>
        <v>0</v>
      </c>
      <c r="CF110" s="768">
        <f t="shared" si="79"/>
        <v>0</v>
      </c>
      <c r="CG110" s="768">
        <f t="shared" si="79"/>
        <v>0</v>
      </c>
      <c r="CH110" s="768">
        <f t="shared" si="79"/>
        <v>0</v>
      </c>
      <c r="CI110" s="768">
        <f t="shared" si="79"/>
        <v>0</v>
      </c>
      <c r="CJ110" s="768">
        <f t="shared" si="79"/>
        <v>0</v>
      </c>
      <c r="CK110" s="768">
        <f t="shared" si="79"/>
        <v>0</v>
      </c>
      <c r="CL110" s="768">
        <f t="shared" si="79"/>
        <v>0</v>
      </c>
      <c r="CM110" s="768">
        <f t="shared" si="79"/>
        <v>0</v>
      </c>
      <c r="CN110" s="768">
        <f t="shared" si="79"/>
        <v>0</v>
      </c>
      <c r="CO110" s="768">
        <f t="shared" si="79"/>
        <v>0</v>
      </c>
      <c r="CP110" s="768">
        <f t="shared" si="79"/>
        <v>0</v>
      </c>
      <c r="CQ110" s="768">
        <f t="shared" si="79"/>
        <v>0</v>
      </c>
      <c r="CR110" s="768">
        <f t="shared" si="79"/>
        <v>0</v>
      </c>
      <c r="CS110" s="768">
        <f t="shared" si="79"/>
        <v>0</v>
      </c>
      <c r="CT110" s="768">
        <f t="shared" si="79"/>
        <v>0</v>
      </c>
      <c r="CU110" s="768">
        <f t="shared" si="79"/>
        <v>0</v>
      </c>
      <c r="CV110" s="768">
        <f t="shared" si="79"/>
        <v>0</v>
      </c>
      <c r="CW110" s="768">
        <f t="shared" si="79"/>
        <v>0</v>
      </c>
      <c r="CX110" s="768">
        <f t="shared" si="79"/>
        <v>0</v>
      </c>
      <c r="CY110" s="768">
        <f t="shared" si="79"/>
        <v>0</v>
      </c>
      <c r="CZ110" s="768">
        <f t="shared" si="79"/>
        <v>0</v>
      </c>
      <c r="DA110" s="768">
        <f t="shared" si="79"/>
        <v>0</v>
      </c>
      <c r="DB110" s="768">
        <f t="shared" si="79"/>
        <v>0</v>
      </c>
      <c r="DC110" s="768">
        <f t="shared" si="79"/>
        <v>0</v>
      </c>
      <c r="DD110" s="768">
        <f t="shared" si="79"/>
        <v>0</v>
      </c>
      <c r="DE110" s="768">
        <f t="shared" si="79"/>
        <v>0</v>
      </c>
      <c r="DF110" s="768">
        <f t="shared" si="79"/>
        <v>0</v>
      </c>
      <c r="DG110" s="768">
        <f t="shared" si="79"/>
        <v>0</v>
      </c>
      <c r="DH110" s="768">
        <f t="shared" ref="DH110:DY110" si="80">-SUM(DH20,DH38)*DH92</f>
        <v>0</v>
      </c>
      <c r="DI110" s="768">
        <f t="shared" si="80"/>
        <v>0</v>
      </c>
      <c r="DJ110" s="768">
        <f t="shared" si="80"/>
        <v>0</v>
      </c>
      <c r="DK110" s="768">
        <f t="shared" si="80"/>
        <v>0</v>
      </c>
      <c r="DL110" s="768">
        <f t="shared" si="80"/>
        <v>0</v>
      </c>
      <c r="DM110" s="768">
        <f t="shared" si="80"/>
        <v>0</v>
      </c>
      <c r="DN110" s="768">
        <f t="shared" si="80"/>
        <v>0</v>
      </c>
      <c r="DO110" s="768">
        <f t="shared" si="80"/>
        <v>0</v>
      </c>
      <c r="DP110" s="768">
        <f t="shared" si="80"/>
        <v>0</v>
      </c>
      <c r="DQ110" s="768">
        <f t="shared" si="80"/>
        <v>0</v>
      </c>
      <c r="DR110" s="768">
        <f t="shared" si="80"/>
        <v>0</v>
      </c>
      <c r="DS110" s="768">
        <f t="shared" si="80"/>
        <v>0</v>
      </c>
      <c r="DT110" s="768">
        <f t="shared" si="80"/>
        <v>0</v>
      </c>
      <c r="DU110" s="768">
        <f t="shared" si="80"/>
        <v>0</v>
      </c>
      <c r="DV110" s="768">
        <f t="shared" si="80"/>
        <v>0</v>
      </c>
      <c r="DW110" s="768">
        <f t="shared" si="80"/>
        <v>0</v>
      </c>
      <c r="DX110" s="768">
        <f t="shared" si="80"/>
        <v>0</v>
      </c>
      <c r="DY110" s="768">
        <f t="shared" si="80"/>
        <v>0</v>
      </c>
      <c r="DZ110" s="768">
        <f t="shared" ref="DZ110:EH110" si="81">-SUM(DZ20,DZ38)*DZ92</f>
        <v>0</v>
      </c>
      <c r="EA110" s="768">
        <f t="shared" si="81"/>
        <v>0</v>
      </c>
      <c r="EB110" s="768">
        <f t="shared" si="81"/>
        <v>0</v>
      </c>
      <c r="EC110" s="768">
        <f t="shared" si="81"/>
        <v>0</v>
      </c>
      <c r="ED110" s="768">
        <f t="shared" si="81"/>
        <v>0</v>
      </c>
      <c r="EE110" s="768">
        <f t="shared" si="81"/>
        <v>0</v>
      </c>
      <c r="EF110" s="768">
        <f t="shared" si="81"/>
        <v>0</v>
      </c>
      <c r="EG110" s="768">
        <f t="shared" si="81"/>
        <v>0</v>
      </c>
      <c r="EH110" s="768">
        <f t="shared" si="81"/>
        <v>0</v>
      </c>
      <c r="EI110" s="768">
        <f t="shared" ref="EI110:ET110" si="82">-SUM(EI20,EI38)*EI92</f>
        <v>0</v>
      </c>
      <c r="EJ110" s="768">
        <f t="shared" si="82"/>
        <v>0</v>
      </c>
      <c r="EK110" s="768">
        <f t="shared" si="82"/>
        <v>0</v>
      </c>
      <c r="EL110" s="768">
        <f t="shared" si="82"/>
        <v>0</v>
      </c>
      <c r="EM110" s="768">
        <f t="shared" si="82"/>
        <v>0</v>
      </c>
      <c r="EN110" s="768">
        <f t="shared" si="82"/>
        <v>0</v>
      </c>
      <c r="EO110" s="768">
        <f t="shared" si="82"/>
        <v>0</v>
      </c>
      <c r="EP110" s="768">
        <f t="shared" si="82"/>
        <v>0</v>
      </c>
      <c r="EQ110" s="768">
        <f t="shared" si="82"/>
        <v>0</v>
      </c>
      <c r="ER110" s="768">
        <f t="shared" si="82"/>
        <v>0</v>
      </c>
      <c r="ES110" s="768">
        <f t="shared" si="82"/>
        <v>0</v>
      </c>
      <c r="ET110" s="768">
        <f t="shared" si="82"/>
        <v>0</v>
      </c>
      <c r="EU110" s="768">
        <f t="shared" si="70"/>
        <v>0</v>
      </c>
    </row>
    <row r="111" spans="1:151" s="773" customFormat="1" ht="11.25" customHeight="1">
      <c r="A111" s="704"/>
      <c r="B111" s="704"/>
      <c r="C111" s="735"/>
      <c r="D111" s="743">
        <f t="shared" si="62"/>
        <v>8</v>
      </c>
      <c r="E111" s="704" t="str">
        <f t="shared" si="62"/>
        <v>쿠팡</v>
      </c>
      <c r="F111" s="704" t="str">
        <f t="shared" si="62"/>
        <v>상온창고</v>
      </c>
      <c r="G111" s="752"/>
      <c r="H111" s="744"/>
      <c r="I111" s="745"/>
      <c r="J111" s="745"/>
      <c r="K111" s="754"/>
      <c r="L111" s="746"/>
      <c r="M111" s="722"/>
      <c r="N111" s="747">
        <f t="shared" si="63"/>
        <v>-42824.366562016592</v>
      </c>
      <c r="O111" s="769"/>
      <c r="P111" s="768">
        <f t="shared" ref="P111:AU111" si="83">-SUM(P21,P39)*P93</f>
        <v>0</v>
      </c>
      <c r="Q111" s="768">
        <f t="shared" si="83"/>
        <v>0</v>
      </c>
      <c r="R111" s="768">
        <f t="shared" si="83"/>
        <v>0</v>
      </c>
      <c r="S111" s="768">
        <f t="shared" si="83"/>
        <v>0</v>
      </c>
      <c r="T111" s="768">
        <f t="shared" si="83"/>
        <v>0</v>
      </c>
      <c r="U111" s="768">
        <f t="shared" si="83"/>
        <v>0</v>
      </c>
      <c r="V111" s="768">
        <f t="shared" si="83"/>
        <v>0</v>
      </c>
      <c r="W111" s="768">
        <f t="shared" si="83"/>
        <v>0</v>
      </c>
      <c r="X111" s="768">
        <f t="shared" si="83"/>
        <v>0</v>
      </c>
      <c r="Y111" s="768">
        <f t="shared" si="83"/>
        <v>0</v>
      </c>
      <c r="Z111" s="768">
        <f t="shared" si="83"/>
        <v>0</v>
      </c>
      <c r="AA111" s="768">
        <f t="shared" si="83"/>
        <v>0</v>
      </c>
      <c r="AB111" s="768">
        <f t="shared" si="83"/>
        <v>0</v>
      </c>
      <c r="AC111" s="768">
        <f t="shared" si="83"/>
        <v>0</v>
      </c>
      <c r="AD111" s="768">
        <f t="shared" si="83"/>
        <v>0</v>
      </c>
      <c r="AE111" s="768">
        <f t="shared" si="83"/>
        <v>0</v>
      </c>
      <c r="AF111" s="768">
        <f t="shared" si="83"/>
        <v>0</v>
      </c>
      <c r="AG111" s="768">
        <f t="shared" si="83"/>
        <v>0</v>
      </c>
      <c r="AH111" s="768">
        <f t="shared" si="83"/>
        <v>0</v>
      </c>
      <c r="AI111" s="768">
        <f t="shared" si="83"/>
        <v>0</v>
      </c>
      <c r="AJ111" s="768">
        <f t="shared" si="83"/>
        <v>0</v>
      </c>
      <c r="AK111" s="768">
        <f t="shared" si="83"/>
        <v>0</v>
      </c>
      <c r="AL111" s="768">
        <f t="shared" si="83"/>
        <v>0</v>
      </c>
      <c r="AM111" s="768">
        <f t="shared" si="83"/>
        <v>0</v>
      </c>
      <c r="AN111" s="768">
        <f t="shared" si="83"/>
        <v>0</v>
      </c>
      <c r="AO111" s="768">
        <f t="shared" si="83"/>
        <v>0</v>
      </c>
      <c r="AP111" s="768">
        <f t="shared" si="83"/>
        <v>0</v>
      </c>
      <c r="AQ111" s="768">
        <f t="shared" si="83"/>
        <v>0</v>
      </c>
      <c r="AR111" s="768">
        <f t="shared" si="83"/>
        <v>0</v>
      </c>
      <c r="AS111" s="768">
        <f t="shared" si="83"/>
        <v>0</v>
      </c>
      <c r="AT111" s="768">
        <f t="shared" si="83"/>
        <v>0</v>
      </c>
      <c r="AU111" s="768">
        <f t="shared" si="83"/>
        <v>0</v>
      </c>
      <c r="AV111" s="1333">
        <f t="shared" ref="AV111:CA111" si="84">-SUM(AV21,AV39)*AV93</f>
        <v>-8564.8733124033188</v>
      </c>
      <c r="AW111" s="1333">
        <f t="shared" si="84"/>
        <v>-8564.8733124033188</v>
      </c>
      <c r="AX111" s="1333">
        <f t="shared" si="84"/>
        <v>-8564.8733124033188</v>
      </c>
      <c r="AY111" s="1333">
        <f t="shared" si="84"/>
        <v>-8564.8733124033188</v>
      </c>
      <c r="AZ111" s="1333">
        <f t="shared" si="84"/>
        <v>-8564.8733124033188</v>
      </c>
      <c r="BA111" s="768">
        <f t="shared" si="84"/>
        <v>0</v>
      </c>
      <c r="BB111" s="768">
        <f t="shared" si="84"/>
        <v>0</v>
      </c>
      <c r="BC111" s="768">
        <f t="shared" si="84"/>
        <v>0</v>
      </c>
      <c r="BD111" s="768">
        <f t="shared" si="84"/>
        <v>0</v>
      </c>
      <c r="BE111" s="768">
        <f t="shared" si="84"/>
        <v>0</v>
      </c>
      <c r="BF111" s="768">
        <f t="shared" si="84"/>
        <v>0</v>
      </c>
      <c r="BG111" s="768">
        <f t="shared" si="84"/>
        <v>0</v>
      </c>
      <c r="BH111" s="768">
        <f t="shared" si="84"/>
        <v>0</v>
      </c>
      <c r="BI111" s="768">
        <f t="shared" si="84"/>
        <v>0</v>
      </c>
      <c r="BJ111" s="768">
        <f t="shared" si="84"/>
        <v>0</v>
      </c>
      <c r="BK111" s="768">
        <f t="shared" si="84"/>
        <v>0</v>
      </c>
      <c r="BL111" s="768">
        <f t="shared" si="84"/>
        <v>0</v>
      </c>
      <c r="BM111" s="768">
        <f t="shared" si="84"/>
        <v>0</v>
      </c>
      <c r="BN111" s="768">
        <f t="shared" si="84"/>
        <v>0</v>
      </c>
      <c r="BO111" s="768">
        <f t="shared" si="84"/>
        <v>0</v>
      </c>
      <c r="BP111" s="768">
        <f t="shared" si="84"/>
        <v>0</v>
      </c>
      <c r="BQ111" s="768">
        <f t="shared" si="84"/>
        <v>0</v>
      </c>
      <c r="BR111" s="768">
        <f t="shared" si="84"/>
        <v>0</v>
      </c>
      <c r="BS111" s="768">
        <f t="shared" si="84"/>
        <v>0</v>
      </c>
      <c r="BT111" s="768">
        <f t="shared" si="84"/>
        <v>0</v>
      </c>
      <c r="BU111" s="768">
        <f t="shared" si="84"/>
        <v>0</v>
      </c>
      <c r="BV111" s="768">
        <f t="shared" si="84"/>
        <v>0</v>
      </c>
      <c r="BW111" s="768">
        <f t="shared" si="84"/>
        <v>0</v>
      </c>
      <c r="BX111" s="768">
        <f t="shared" si="84"/>
        <v>0</v>
      </c>
      <c r="BY111" s="768">
        <f t="shared" si="84"/>
        <v>0</v>
      </c>
      <c r="BZ111" s="768">
        <f t="shared" si="84"/>
        <v>0</v>
      </c>
      <c r="CA111" s="768">
        <f t="shared" si="84"/>
        <v>0</v>
      </c>
      <c r="CB111" s="768">
        <f t="shared" ref="CB111:DG111" si="85">-SUM(CB21,CB39)*CB93</f>
        <v>0</v>
      </c>
      <c r="CC111" s="768">
        <f t="shared" si="85"/>
        <v>0</v>
      </c>
      <c r="CD111" s="768">
        <f t="shared" si="85"/>
        <v>0</v>
      </c>
      <c r="CE111" s="768">
        <f t="shared" si="85"/>
        <v>0</v>
      </c>
      <c r="CF111" s="768">
        <f t="shared" si="85"/>
        <v>0</v>
      </c>
      <c r="CG111" s="768">
        <f t="shared" si="85"/>
        <v>0</v>
      </c>
      <c r="CH111" s="768">
        <f t="shared" si="85"/>
        <v>0</v>
      </c>
      <c r="CI111" s="768">
        <f t="shared" si="85"/>
        <v>0</v>
      </c>
      <c r="CJ111" s="768">
        <f t="shared" si="85"/>
        <v>0</v>
      </c>
      <c r="CK111" s="768">
        <f t="shared" si="85"/>
        <v>0</v>
      </c>
      <c r="CL111" s="768">
        <f t="shared" si="85"/>
        <v>0</v>
      </c>
      <c r="CM111" s="768">
        <f t="shared" si="85"/>
        <v>0</v>
      </c>
      <c r="CN111" s="768">
        <f t="shared" si="85"/>
        <v>0</v>
      </c>
      <c r="CO111" s="768">
        <f t="shared" si="85"/>
        <v>0</v>
      </c>
      <c r="CP111" s="768">
        <f t="shared" si="85"/>
        <v>0</v>
      </c>
      <c r="CQ111" s="768">
        <f t="shared" si="85"/>
        <v>0</v>
      </c>
      <c r="CR111" s="768">
        <f t="shared" si="85"/>
        <v>0</v>
      </c>
      <c r="CS111" s="768">
        <f t="shared" si="85"/>
        <v>0</v>
      </c>
      <c r="CT111" s="768">
        <f t="shared" si="85"/>
        <v>0</v>
      </c>
      <c r="CU111" s="768">
        <f t="shared" si="85"/>
        <v>0</v>
      </c>
      <c r="CV111" s="768">
        <f t="shared" si="85"/>
        <v>0</v>
      </c>
      <c r="CW111" s="768">
        <f t="shared" si="85"/>
        <v>0</v>
      </c>
      <c r="CX111" s="768">
        <f t="shared" si="85"/>
        <v>0</v>
      </c>
      <c r="CY111" s="768">
        <f t="shared" si="85"/>
        <v>0</v>
      </c>
      <c r="CZ111" s="768">
        <f t="shared" si="85"/>
        <v>0</v>
      </c>
      <c r="DA111" s="768">
        <f t="shared" si="85"/>
        <v>0</v>
      </c>
      <c r="DB111" s="768">
        <f t="shared" si="85"/>
        <v>0</v>
      </c>
      <c r="DC111" s="768">
        <f t="shared" si="85"/>
        <v>0</v>
      </c>
      <c r="DD111" s="768">
        <f t="shared" si="85"/>
        <v>0</v>
      </c>
      <c r="DE111" s="768">
        <f t="shared" si="85"/>
        <v>0</v>
      </c>
      <c r="DF111" s="768">
        <f t="shared" si="85"/>
        <v>0</v>
      </c>
      <c r="DG111" s="768">
        <f t="shared" si="85"/>
        <v>0</v>
      </c>
      <c r="DH111" s="768">
        <f t="shared" ref="DH111:DY111" si="86">-SUM(DH21,DH39)*DH93</f>
        <v>0</v>
      </c>
      <c r="DI111" s="768">
        <f t="shared" si="86"/>
        <v>0</v>
      </c>
      <c r="DJ111" s="768">
        <f t="shared" si="86"/>
        <v>0</v>
      </c>
      <c r="DK111" s="768">
        <f t="shared" si="86"/>
        <v>0</v>
      </c>
      <c r="DL111" s="768">
        <f t="shared" si="86"/>
        <v>0</v>
      </c>
      <c r="DM111" s="768">
        <f t="shared" si="86"/>
        <v>0</v>
      </c>
      <c r="DN111" s="768">
        <f t="shared" si="86"/>
        <v>0</v>
      </c>
      <c r="DO111" s="768">
        <f t="shared" si="86"/>
        <v>0</v>
      </c>
      <c r="DP111" s="768">
        <f t="shared" si="86"/>
        <v>0</v>
      </c>
      <c r="DQ111" s="768">
        <f t="shared" si="86"/>
        <v>0</v>
      </c>
      <c r="DR111" s="768">
        <f t="shared" si="86"/>
        <v>0</v>
      </c>
      <c r="DS111" s="768">
        <f t="shared" si="86"/>
        <v>0</v>
      </c>
      <c r="DT111" s="768">
        <f t="shared" si="86"/>
        <v>0</v>
      </c>
      <c r="DU111" s="768">
        <f t="shared" si="86"/>
        <v>0</v>
      </c>
      <c r="DV111" s="768">
        <f t="shared" si="86"/>
        <v>0</v>
      </c>
      <c r="DW111" s="768">
        <f t="shared" si="86"/>
        <v>0</v>
      </c>
      <c r="DX111" s="768">
        <f t="shared" si="86"/>
        <v>0</v>
      </c>
      <c r="DY111" s="768">
        <f t="shared" si="86"/>
        <v>0</v>
      </c>
      <c r="DZ111" s="768">
        <f t="shared" ref="DZ111:EH111" si="87">-SUM(DZ21,DZ39)*DZ93</f>
        <v>0</v>
      </c>
      <c r="EA111" s="768">
        <f t="shared" si="87"/>
        <v>0</v>
      </c>
      <c r="EB111" s="768">
        <f t="shared" si="87"/>
        <v>0</v>
      </c>
      <c r="EC111" s="768">
        <f t="shared" si="87"/>
        <v>0</v>
      </c>
      <c r="ED111" s="768">
        <f t="shared" si="87"/>
        <v>0</v>
      </c>
      <c r="EE111" s="768">
        <f t="shared" si="87"/>
        <v>0</v>
      </c>
      <c r="EF111" s="768">
        <f t="shared" si="87"/>
        <v>0</v>
      </c>
      <c r="EG111" s="768">
        <f t="shared" si="87"/>
        <v>0</v>
      </c>
      <c r="EH111" s="768">
        <f t="shared" si="87"/>
        <v>0</v>
      </c>
      <c r="EI111" s="768">
        <f t="shared" ref="EI111:ET111" si="88">-SUM(EI21,EI39)*EI93</f>
        <v>0</v>
      </c>
      <c r="EJ111" s="768">
        <f t="shared" si="88"/>
        <v>0</v>
      </c>
      <c r="EK111" s="768">
        <f t="shared" si="88"/>
        <v>0</v>
      </c>
      <c r="EL111" s="768">
        <f t="shared" si="88"/>
        <v>0</v>
      </c>
      <c r="EM111" s="768">
        <f t="shared" si="88"/>
        <v>0</v>
      </c>
      <c r="EN111" s="768">
        <f t="shared" si="88"/>
        <v>0</v>
      </c>
      <c r="EO111" s="768">
        <f t="shared" si="88"/>
        <v>0</v>
      </c>
      <c r="EP111" s="768">
        <f t="shared" si="88"/>
        <v>0</v>
      </c>
      <c r="EQ111" s="768">
        <f t="shared" si="88"/>
        <v>0</v>
      </c>
      <c r="ER111" s="768">
        <f t="shared" si="88"/>
        <v>0</v>
      </c>
      <c r="ES111" s="768">
        <f t="shared" si="88"/>
        <v>0</v>
      </c>
      <c r="ET111" s="768">
        <f t="shared" si="88"/>
        <v>0</v>
      </c>
      <c r="EU111" s="768">
        <f t="shared" si="70"/>
        <v>0</v>
      </c>
    </row>
    <row r="112" spans="1:151" s="773" customFormat="1" ht="11.25" customHeight="1">
      <c r="A112" s="704"/>
      <c r="B112" s="704"/>
      <c r="C112" s="735"/>
      <c r="D112" s="743">
        <f t="shared" si="62"/>
        <v>7</v>
      </c>
      <c r="E112" s="704" t="str">
        <f t="shared" si="62"/>
        <v>쿠팡</v>
      </c>
      <c r="F112" s="704" t="str">
        <f t="shared" si="62"/>
        <v>상온창고</v>
      </c>
      <c r="G112" s="752"/>
      <c r="H112" s="744"/>
      <c r="I112" s="745"/>
      <c r="J112" s="745"/>
      <c r="K112" s="754"/>
      <c r="L112" s="746"/>
      <c r="M112" s="722"/>
      <c r="N112" s="747">
        <f t="shared" si="63"/>
        <v>-526247.37642896478</v>
      </c>
      <c r="O112" s="769"/>
      <c r="P112" s="768">
        <f t="shared" ref="P112:AU112" si="89">-SUM(P22,P40)*P94</f>
        <v>0</v>
      </c>
      <c r="Q112" s="768">
        <f t="shared" si="89"/>
        <v>0</v>
      </c>
      <c r="R112" s="768">
        <f t="shared" si="89"/>
        <v>0</v>
      </c>
      <c r="S112" s="768">
        <f t="shared" si="89"/>
        <v>0</v>
      </c>
      <c r="T112" s="768">
        <f t="shared" si="89"/>
        <v>0</v>
      </c>
      <c r="U112" s="768">
        <f t="shared" si="89"/>
        <v>0</v>
      </c>
      <c r="V112" s="768">
        <f t="shared" si="89"/>
        <v>0</v>
      </c>
      <c r="W112" s="768">
        <f t="shared" si="89"/>
        <v>0</v>
      </c>
      <c r="X112" s="768">
        <f t="shared" si="89"/>
        <v>0</v>
      </c>
      <c r="Y112" s="768">
        <f t="shared" si="89"/>
        <v>0</v>
      </c>
      <c r="Z112" s="768">
        <f t="shared" si="89"/>
        <v>0</v>
      </c>
      <c r="AA112" s="768">
        <f t="shared" si="89"/>
        <v>0</v>
      </c>
      <c r="AB112" s="768">
        <f t="shared" si="89"/>
        <v>0</v>
      </c>
      <c r="AC112" s="768">
        <f t="shared" si="89"/>
        <v>0</v>
      </c>
      <c r="AD112" s="768">
        <f t="shared" si="89"/>
        <v>0</v>
      </c>
      <c r="AE112" s="768">
        <f t="shared" si="89"/>
        <v>0</v>
      </c>
      <c r="AF112" s="768">
        <f t="shared" si="89"/>
        <v>0</v>
      </c>
      <c r="AG112" s="768">
        <f t="shared" si="89"/>
        <v>0</v>
      </c>
      <c r="AH112" s="768">
        <f t="shared" si="89"/>
        <v>0</v>
      </c>
      <c r="AI112" s="768">
        <f t="shared" si="89"/>
        <v>0</v>
      </c>
      <c r="AJ112" s="768">
        <f t="shared" si="89"/>
        <v>0</v>
      </c>
      <c r="AK112" s="768">
        <f t="shared" si="89"/>
        <v>0</v>
      </c>
      <c r="AL112" s="768">
        <f t="shared" si="89"/>
        <v>0</v>
      </c>
      <c r="AM112" s="768">
        <f t="shared" si="89"/>
        <v>0</v>
      </c>
      <c r="AN112" s="768">
        <f t="shared" si="89"/>
        <v>0</v>
      </c>
      <c r="AO112" s="768">
        <f t="shared" si="89"/>
        <v>0</v>
      </c>
      <c r="AP112" s="768">
        <f t="shared" si="89"/>
        <v>0</v>
      </c>
      <c r="AQ112" s="768">
        <f t="shared" si="89"/>
        <v>0</v>
      </c>
      <c r="AR112" s="768">
        <f t="shared" si="89"/>
        <v>0</v>
      </c>
      <c r="AS112" s="768">
        <f t="shared" si="89"/>
        <v>0</v>
      </c>
      <c r="AT112" s="768">
        <f t="shared" si="89"/>
        <v>0</v>
      </c>
      <c r="AU112" s="768">
        <f t="shared" si="89"/>
        <v>0</v>
      </c>
      <c r="AV112" s="1333">
        <f t="shared" ref="AV112:CA112" si="90">-SUM(AV22,AV40)*AV94</f>
        <v>-105249.47528579296</v>
      </c>
      <c r="AW112" s="1333">
        <f t="shared" si="90"/>
        <v>-105249.47528579296</v>
      </c>
      <c r="AX112" s="1333">
        <f t="shared" si="90"/>
        <v>-105249.47528579296</v>
      </c>
      <c r="AY112" s="1333">
        <f t="shared" si="90"/>
        <v>-105249.47528579296</v>
      </c>
      <c r="AZ112" s="1333">
        <f t="shared" si="90"/>
        <v>-105249.47528579296</v>
      </c>
      <c r="BA112" s="768">
        <f t="shared" si="90"/>
        <v>0</v>
      </c>
      <c r="BB112" s="768">
        <f t="shared" si="90"/>
        <v>0</v>
      </c>
      <c r="BC112" s="768">
        <f t="shared" si="90"/>
        <v>0</v>
      </c>
      <c r="BD112" s="768">
        <f t="shared" si="90"/>
        <v>0</v>
      </c>
      <c r="BE112" s="768">
        <f t="shared" si="90"/>
        <v>0</v>
      </c>
      <c r="BF112" s="768">
        <f t="shared" si="90"/>
        <v>0</v>
      </c>
      <c r="BG112" s="768">
        <f t="shared" si="90"/>
        <v>0</v>
      </c>
      <c r="BH112" s="768">
        <f t="shared" si="90"/>
        <v>0</v>
      </c>
      <c r="BI112" s="768">
        <f t="shared" si="90"/>
        <v>0</v>
      </c>
      <c r="BJ112" s="768">
        <f t="shared" si="90"/>
        <v>0</v>
      </c>
      <c r="BK112" s="768">
        <f t="shared" si="90"/>
        <v>0</v>
      </c>
      <c r="BL112" s="768">
        <f t="shared" si="90"/>
        <v>0</v>
      </c>
      <c r="BM112" s="768">
        <f t="shared" si="90"/>
        <v>0</v>
      </c>
      <c r="BN112" s="768">
        <f t="shared" si="90"/>
        <v>0</v>
      </c>
      <c r="BO112" s="768">
        <f t="shared" si="90"/>
        <v>0</v>
      </c>
      <c r="BP112" s="768">
        <f t="shared" si="90"/>
        <v>0</v>
      </c>
      <c r="BQ112" s="768">
        <f t="shared" si="90"/>
        <v>0</v>
      </c>
      <c r="BR112" s="768">
        <f t="shared" si="90"/>
        <v>0</v>
      </c>
      <c r="BS112" s="768">
        <f t="shared" si="90"/>
        <v>0</v>
      </c>
      <c r="BT112" s="768">
        <f t="shared" si="90"/>
        <v>0</v>
      </c>
      <c r="BU112" s="768">
        <f t="shared" si="90"/>
        <v>0</v>
      </c>
      <c r="BV112" s="768">
        <f t="shared" si="90"/>
        <v>0</v>
      </c>
      <c r="BW112" s="768">
        <f t="shared" si="90"/>
        <v>0</v>
      </c>
      <c r="BX112" s="768">
        <f t="shared" si="90"/>
        <v>0</v>
      </c>
      <c r="BY112" s="768">
        <f t="shared" si="90"/>
        <v>0</v>
      </c>
      <c r="BZ112" s="768">
        <f t="shared" si="90"/>
        <v>0</v>
      </c>
      <c r="CA112" s="768">
        <f t="shared" si="90"/>
        <v>0</v>
      </c>
      <c r="CB112" s="768">
        <f t="shared" ref="CB112:DG112" si="91">-SUM(CB22,CB40)*CB94</f>
        <v>0</v>
      </c>
      <c r="CC112" s="768">
        <f t="shared" si="91"/>
        <v>0</v>
      </c>
      <c r="CD112" s="768">
        <f t="shared" si="91"/>
        <v>0</v>
      </c>
      <c r="CE112" s="768">
        <f t="shared" si="91"/>
        <v>0</v>
      </c>
      <c r="CF112" s="768">
        <f t="shared" si="91"/>
        <v>0</v>
      </c>
      <c r="CG112" s="768">
        <f t="shared" si="91"/>
        <v>0</v>
      </c>
      <c r="CH112" s="768">
        <f t="shared" si="91"/>
        <v>0</v>
      </c>
      <c r="CI112" s="768">
        <f t="shared" si="91"/>
        <v>0</v>
      </c>
      <c r="CJ112" s="768">
        <f t="shared" si="91"/>
        <v>0</v>
      </c>
      <c r="CK112" s="768">
        <f t="shared" si="91"/>
        <v>0</v>
      </c>
      <c r="CL112" s="768">
        <f t="shared" si="91"/>
        <v>0</v>
      </c>
      <c r="CM112" s="768">
        <f t="shared" si="91"/>
        <v>0</v>
      </c>
      <c r="CN112" s="768">
        <f t="shared" si="91"/>
        <v>0</v>
      </c>
      <c r="CO112" s="768">
        <f t="shared" si="91"/>
        <v>0</v>
      </c>
      <c r="CP112" s="768">
        <f t="shared" si="91"/>
        <v>0</v>
      </c>
      <c r="CQ112" s="768">
        <f t="shared" si="91"/>
        <v>0</v>
      </c>
      <c r="CR112" s="768">
        <f t="shared" si="91"/>
        <v>0</v>
      </c>
      <c r="CS112" s="768">
        <f t="shared" si="91"/>
        <v>0</v>
      </c>
      <c r="CT112" s="768">
        <f t="shared" si="91"/>
        <v>0</v>
      </c>
      <c r="CU112" s="768">
        <f t="shared" si="91"/>
        <v>0</v>
      </c>
      <c r="CV112" s="768">
        <f t="shared" si="91"/>
        <v>0</v>
      </c>
      <c r="CW112" s="768">
        <f t="shared" si="91"/>
        <v>0</v>
      </c>
      <c r="CX112" s="768">
        <f t="shared" si="91"/>
        <v>0</v>
      </c>
      <c r="CY112" s="768">
        <f t="shared" si="91"/>
        <v>0</v>
      </c>
      <c r="CZ112" s="768">
        <f t="shared" si="91"/>
        <v>0</v>
      </c>
      <c r="DA112" s="768">
        <f t="shared" si="91"/>
        <v>0</v>
      </c>
      <c r="DB112" s="768">
        <f t="shared" si="91"/>
        <v>0</v>
      </c>
      <c r="DC112" s="768">
        <f t="shared" si="91"/>
        <v>0</v>
      </c>
      <c r="DD112" s="768">
        <f t="shared" si="91"/>
        <v>0</v>
      </c>
      <c r="DE112" s="768">
        <f t="shared" si="91"/>
        <v>0</v>
      </c>
      <c r="DF112" s="768">
        <f t="shared" si="91"/>
        <v>0</v>
      </c>
      <c r="DG112" s="768">
        <f t="shared" si="91"/>
        <v>0</v>
      </c>
      <c r="DH112" s="768">
        <f t="shared" ref="DH112:DY112" si="92">-SUM(DH22,DH40)*DH94</f>
        <v>0</v>
      </c>
      <c r="DI112" s="768">
        <f t="shared" si="92"/>
        <v>0</v>
      </c>
      <c r="DJ112" s="768">
        <f t="shared" si="92"/>
        <v>0</v>
      </c>
      <c r="DK112" s="768">
        <f t="shared" si="92"/>
        <v>0</v>
      </c>
      <c r="DL112" s="768">
        <f t="shared" si="92"/>
        <v>0</v>
      </c>
      <c r="DM112" s="768">
        <f t="shared" si="92"/>
        <v>0</v>
      </c>
      <c r="DN112" s="768">
        <f t="shared" si="92"/>
        <v>0</v>
      </c>
      <c r="DO112" s="768">
        <f t="shared" si="92"/>
        <v>0</v>
      </c>
      <c r="DP112" s="768">
        <f t="shared" si="92"/>
        <v>0</v>
      </c>
      <c r="DQ112" s="768">
        <f t="shared" si="92"/>
        <v>0</v>
      </c>
      <c r="DR112" s="768">
        <f t="shared" si="92"/>
        <v>0</v>
      </c>
      <c r="DS112" s="768">
        <f t="shared" si="92"/>
        <v>0</v>
      </c>
      <c r="DT112" s="768">
        <f t="shared" si="92"/>
        <v>0</v>
      </c>
      <c r="DU112" s="768">
        <f t="shared" si="92"/>
        <v>0</v>
      </c>
      <c r="DV112" s="768">
        <f t="shared" si="92"/>
        <v>0</v>
      </c>
      <c r="DW112" s="768">
        <f t="shared" si="92"/>
        <v>0</v>
      </c>
      <c r="DX112" s="768">
        <f t="shared" si="92"/>
        <v>0</v>
      </c>
      <c r="DY112" s="768">
        <f t="shared" si="92"/>
        <v>0</v>
      </c>
      <c r="DZ112" s="768">
        <f t="shared" ref="DZ112:EH112" si="93">-SUM(DZ22,DZ40)*DZ94</f>
        <v>0</v>
      </c>
      <c r="EA112" s="768">
        <f t="shared" si="93"/>
        <v>0</v>
      </c>
      <c r="EB112" s="768">
        <f t="shared" si="93"/>
        <v>0</v>
      </c>
      <c r="EC112" s="768">
        <f t="shared" si="93"/>
        <v>0</v>
      </c>
      <c r="ED112" s="768">
        <f t="shared" si="93"/>
        <v>0</v>
      </c>
      <c r="EE112" s="768">
        <f t="shared" si="93"/>
        <v>0</v>
      </c>
      <c r="EF112" s="768">
        <f t="shared" si="93"/>
        <v>0</v>
      </c>
      <c r="EG112" s="768">
        <f t="shared" si="93"/>
        <v>0</v>
      </c>
      <c r="EH112" s="768">
        <f t="shared" si="93"/>
        <v>0</v>
      </c>
      <c r="EI112" s="768">
        <f t="shared" ref="EI112:ET112" si="94">-SUM(EI22,EI40)*EI94</f>
        <v>0</v>
      </c>
      <c r="EJ112" s="768">
        <f t="shared" si="94"/>
        <v>0</v>
      </c>
      <c r="EK112" s="768">
        <f t="shared" si="94"/>
        <v>0</v>
      </c>
      <c r="EL112" s="768">
        <f t="shared" si="94"/>
        <v>0</v>
      </c>
      <c r="EM112" s="768">
        <f t="shared" si="94"/>
        <v>0</v>
      </c>
      <c r="EN112" s="768">
        <f t="shared" si="94"/>
        <v>0</v>
      </c>
      <c r="EO112" s="768">
        <f t="shared" si="94"/>
        <v>0</v>
      </c>
      <c r="EP112" s="768">
        <f t="shared" si="94"/>
        <v>0</v>
      </c>
      <c r="EQ112" s="768">
        <f t="shared" si="94"/>
        <v>0</v>
      </c>
      <c r="ER112" s="768">
        <f t="shared" si="94"/>
        <v>0</v>
      </c>
      <c r="ES112" s="768">
        <f t="shared" si="94"/>
        <v>0</v>
      </c>
      <c r="ET112" s="768">
        <f t="shared" si="94"/>
        <v>0</v>
      </c>
      <c r="EU112" s="768">
        <f t="shared" si="70"/>
        <v>0</v>
      </c>
    </row>
    <row r="113" spans="1:151" s="773" customFormat="1" ht="11.25" customHeight="1">
      <c r="A113" s="704"/>
      <c r="B113" s="704"/>
      <c r="C113" s="735"/>
      <c r="D113" s="743">
        <f t="shared" si="62"/>
        <v>6</v>
      </c>
      <c r="E113" s="704" t="str">
        <f t="shared" si="62"/>
        <v>쿠팡</v>
      </c>
      <c r="F113" s="704" t="str">
        <f t="shared" si="62"/>
        <v>상온창고</v>
      </c>
      <c r="G113" s="752"/>
      <c r="H113" s="744"/>
      <c r="I113" s="745"/>
      <c r="J113" s="745"/>
      <c r="K113" s="754"/>
      <c r="L113" s="746"/>
      <c r="M113" s="722"/>
      <c r="N113" s="747">
        <f t="shared" si="63"/>
        <v>-742612.2260211031</v>
      </c>
      <c r="O113" s="769"/>
      <c r="P113" s="768">
        <f t="shared" ref="P113:AU113" si="95">-SUM(P23,P41)*P95</f>
        <v>0</v>
      </c>
      <c r="Q113" s="768">
        <f t="shared" si="95"/>
        <v>0</v>
      </c>
      <c r="R113" s="768">
        <f t="shared" si="95"/>
        <v>0</v>
      </c>
      <c r="S113" s="768">
        <f t="shared" si="95"/>
        <v>0</v>
      </c>
      <c r="T113" s="768">
        <f t="shared" si="95"/>
        <v>0</v>
      </c>
      <c r="U113" s="768">
        <f t="shared" si="95"/>
        <v>0</v>
      </c>
      <c r="V113" s="768">
        <f t="shared" si="95"/>
        <v>0</v>
      </c>
      <c r="W113" s="768">
        <f t="shared" si="95"/>
        <v>0</v>
      </c>
      <c r="X113" s="768">
        <f t="shared" si="95"/>
        <v>0</v>
      </c>
      <c r="Y113" s="768">
        <f t="shared" si="95"/>
        <v>0</v>
      </c>
      <c r="Z113" s="768">
        <f t="shared" si="95"/>
        <v>0</v>
      </c>
      <c r="AA113" s="768">
        <f t="shared" si="95"/>
        <v>0</v>
      </c>
      <c r="AB113" s="768">
        <f t="shared" si="95"/>
        <v>0</v>
      </c>
      <c r="AC113" s="768">
        <f t="shared" si="95"/>
        <v>0</v>
      </c>
      <c r="AD113" s="768">
        <f t="shared" si="95"/>
        <v>0</v>
      </c>
      <c r="AE113" s="768">
        <f t="shared" si="95"/>
        <v>0</v>
      </c>
      <c r="AF113" s="768">
        <f t="shared" si="95"/>
        <v>0</v>
      </c>
      <c r="AG113" s="768">
        <f t="shared" si="95"/>
        <v>0</v>
      </c>
      <c r="AH113" s="768">
        <f t="shared" si="95"/>
        <v>0</v>
      </c>
      <c r="AI113" s="768">
        <f t="shared" si="95"/>
        <v>0</v>
      </c>
      <c r="AJ113" s="768">
        <f t="shared" si="95"/>
        <v>0</v>
      </c>
      <c r="AK113" s="768">
        <f t="shared" si="95"/>
        <v>0</v>
      </c>
      <c r="AL113" s="768">
        <f t="shared" si="95"/>
        <v>0</v>
      </c>
      <c r="AM113" s="768">
        <f t="shared" si="95"/>
        <v>0</v>
      </c>
      <c r="AN113" s="768">
        <f t="shared" si="95"/>
        <v>0</v>
      </c>
      <c r="AO113" s="768">
        <f t="shared" si="95"/>
        <v>0</v>
      </c>
      <c r="AP113" s="768">
        <f t="shared" si="95"/>
        <v>0</v>
      </c>
      <c r="AQ113" s="768">
        <f t="shared" si="95"/>
        <v>0</v>
      </c>
      <c r="AR113" s="768">
        <f t="shared" si="95"/>
        <v>0</v>
      </c>
      <c r="AS113" s="768">
        <f t="shared" si="95"/>
        <v>0</v>
      </c>
      <c r="AT113" s="768">
        <f t="shared" si="95"/>
        <v>0</v>
      </c>
      <c r="AU113" s="768">
        <f t="shared" si="95"/>
        <v>0</v>
      </c>
      <c r="AV113" s="1333">
        <f t="shared" ref="AV113:CA113" si="96">-SUM(AV23,AV41)*AV95</f>
        <v>-148522.44520422062</v>
      </c>
      <c r="AW113" s="1333">
        <f t="shared" si="96"/>
        <v>-148522.44520422062</v>
      </c>
      <c r="AX113" s="1333">
        <f t="shared" si="96"/>
        <v>-148522.44520422062</v>
      </c>
      <c r="AY113" s="1333">
        <f t="shared" si="96"/>
        <v>-148522.44520422062</v>
      </c>
      <c r="AZ113" s="1333">
        <f t="shared" si="96"/>
        <v>-148522.44520422062</v>
      </c>
      <c r="BA113" s="768">
        <f t="shared" si="96"/>
        <v>0</v>
      </c>
      <c r="BB113" s="768">
        <f t="shared" si="96"/>
        <v>0</v>
      </c>
      <c r="BC113" s="768">
        <f t="shared" si="96"/>
        <v>0</v>
      </c>
      <c r="BD113" s="768">
        <f t="shared" si="96"/>
        <v>0</v>
      </c>
      <c r="BE113" s="768">
        <f t="shared" si="96"/>
        <v>0</v>
      </c>
      <c r="BF113" s="768">
        <f t="shared" si="96"/>
        <v>0</v>
      </c>
      <c r="BG113" s="768">
        <f t="shared" si="96"/>
        <v>0</v>
      </c>
      <c r="BH113" s="768">
        <f t="shared" si="96"/>
        <v>0</v>
      </c>
      <c r="BI113" s="768">
        <f t="shared" si="96"/>
        <v>0</v>
      </c>
      <c r="BJ113" s="768">
        <f t="shared" si="96"/>
        <v>0</v>
      </c>
      <c r="BK113" s="768">
        <f t="shared" si="96"/>
        <v>0</v>
      </c>
      <c r="BL113" s="768">
        <f t="shared" si="96"/>
        <v>0</v>
      </c>
      <c r="BM113" s="768">
        <f t="shared" si="96"/>
        <v>0</v>
      </c>
      <c r="BN113" s="768">
        <f t="shared" si="96"/>
        <v>0</v>
      </c>
      <c r="BO113" s="768">
        <f t="shared" si="96"/>
        <v>0</v>
      </c>
      <c r="BP113" s="768">
        <f t="shared" si="96"/>
        <v>0</v>
      </c>
      <c r="BQ113" s="768">
        <f t="shared" si="96"/>
        <v>0</v>
      </c>
      <c r="BR113" s="768">
        <f t="shared" si="96"/>
        <v>0</v>
      </c>
      <c r="BS113" s="768">
        <f t="shared" si="96"/>
        <v>0</v>
      </c>
      <c r="BT113" s="768">
        <f t="shared" si="96"/>
        <v>0</v>
      </c>
      <c r="BU113" s="768">
        <f t="shared" si="96"/>
        <v>0</v>
      </c>
      <c r="BV113" s="768">
        <f t="shared" si="96"/>
        <v>0</v>
      </c>
      <c r="BW113" s="768">
        <f t="shared" si="96"/>
        <v>0</v>
      </c>
      <c r="BX113" s="768">
        <f t="shared" si="96"/>
        <v>0</v>
      </c>
      <c r="BY113" s="768">
        <f t="shared" si="96"/>
        <v>0</v>
      </c>
      <c r="BZ113" s="768">
        <f t="shared" si="96"/>
        <v>0</v>
      </c>
      <c r="CA113" s="768">
        <f t="shared" si="96"/>
        <v>0</v>
      </c>
      <c r="CB113" s="768">
        <f t="shared" ref="CB113:DG113" si="97">-SUM(CB23,CB41)*CB95</f>
        <v>0</v>
      </c>
      <c r="CC113" s="768">
        <f t="shared" si="97"/>
        <v>0</v>
      </c>
      <c r="CD113" s="768">
        <f t="shared" si="97"/>
        <v>0</v>
      </c>
      <c r="CE113" s="768">
        <f t="shared" si="97"/>
        <v>0</v>
      </c>
      <c r="CF113" s="768">
        <f t="shared" si="97"/>
        <v>0</v>
      </c>
      <c r="CG113" s="768">
        <f t="shared" si="97"/>
        <v>0</v>
      </c>
      <c r="CH113" s="768">
        <f t="shared" si="97"/>
        <v>0</v>
      </c>
      <c r="CI113" s="768">
        <f t="shared" si="97"/>
        <v>0</v>
      </c>
      <c r="CJ113" s="768">
        <f t="shared" si="97"/>
        <v>0</v>
      </c>
      <c r="CK113" s="768">
        <f t="shared" si="97"/>
        <v>0</v>
      </c>
      <c r="CL113" s="768">
        <f t="shared" si="97"/>
        <v>0</v>
      </c>
      <c r="CM113" s="768">
        <f t="shared" si="97"/>
        <v>0</v>
      </c>
      <c r="CN113" s="768">
        <f t="shared" si="97"/>
        <v>0</v>
      </c>
      <c r="CO113" s="768">
        <f t="shared" si="97"/>
        <v>0</v>
      </c>
      <c r="CP113" s="768">
        <f t="shared" si="97"/>
        <v>0</v>
      </c>
      <c r="CQ113" s="768">
        <f t="shared" si="97"/>
        <v>0</v>
      </c>
      <c r="CR113" s="768">
        <f t="shared" si="97"/>
        <v>0</v>
      </c>
      <c r="CS113" s="768">
        <f t="shared" si="97"/>
        <v>0</v>
      </c>
      <c r="CT113" s="768">
        <f t="shared" si="97"/>
        <v>0</v>
      </c>
      <c r="CU113" s="768">
        <f t="shared" si="97"/>
        <v>0</v>
      </c>
      <c r="CV113" s="768">
        <f t="shared" si="97"/>
        <v>0</v>
      </c>
      <c r="CW113" s="768">
        <f t="shared" si="97"/>
        <v>0</v>
      </c>
      <c r="CX113" s="768">
        <f t="shared" si="97"/>
        <v>0</v>
      </c>
      <c r="CY113" s="768">
        <f t="shared" si="97"/>
        <v>0</v>
      </c>
      <c r="CZ113" s="768">
        <f t="shared" si="97"/>
        <v>0</v>
      </c>
      <c r="DA113" s="768">
        <f t="shared" si="97"/>
        <v>0</v>
      </c>
      <c r="DB113" s="768">
        <f t="shared" si="97"/>
        <v>0</v>
      </c>
      <c r="DC113" s="768">
        <f t="shared" si="97"/>
        <v>0</v>
      </c>
      <c r="DD113" s="768">
        <f t="shared" si="97"/>
        <v>0</v>
      </c>
      <c r="DE113" s="768">
        <f t="shared" si="97"/>
        <v>0</v>
      </c>
      <c r="DF113" s="768">
        <f t="shared" si="97"/>
        <v>0</v>
      </c>
      <c r="DG113" s="768">
        <f t="shared" si="97"/>
        <v>0</v>
      </c>
      <c r="DH113" s="768">
        <f t="shared" ref="DH113:DY113" si="98">-SUM(DH23,DH41)*DH95</f>
        <v>0</v>
      </c>
      <c r="DI113" s="768">
        <f t="shared" si="98"/>
        <v>0</v>
      </c>
      <c r="DJ113" s="768">
        <f t="shared" si="98"/>
        <v>0</v>
      </c>
      <c r="DK113" s="768">
        <f t="shared" si="98"/>
        <v>0</v>
      </c>
      <c r="DL113" s="768">
        <f t="shared" si="98"/>
        <v>0</v>
      </c>
      <c r="DM113" s="768">
        <f t="shared" si="98"/>
        <v>0</v>
      </c>
      <c r="DN113" s="768">
        <f t="shared" si="98"/>
        <v>0</v>
      </c>
      <c r="DO113" s="768">
        <f t="shared" si="98"/>
        <v>0</v>
      </c>
      <c r="DP113" s="768">
        <f t="shared" si="98"/>
        <v>0</v>
      </c>
      <c r="DQ113" s="768">
        <f t="shared" si="98"/>
        <v>0</v>
      </c>
      <c r="DR113" s="768">
        <f t="shared" si="98"/>
        <v>0</v>
      </c>
      <c r="DS113" s="768">
        <f t="shared" si="98"/>
        <v>0</v>
      </c>
      <c r="DT113" s="768">
        <f t="shared" si="98"/>
        <v>0</v>
      </c>
      <c r="DU113" s="768">
        <f t="shared" si="98"/>
        <v>0</v>
      </c>
      <c r="DV113" s="768">
        <f t="shared" si="98"/>
        <v>0</v>
      </c>
      <c r="DW113" s="768">
        <f t="shared" si="98"/>
        <v>0</v>
      </c>
      <c r="DX113" s="768">
        <f t="shared" si="98"/>
        <v>0</v>
      </c>
      <c r="DY113" s="768">
        <f t="shared" si="98"/>
        <v>0</v>
      </c>
      <c r="DZ113" s="768">
        <f t="shared" ref="DZ113:EH113" si="99">-SUM(DZ23,DZ41)*DZ95</f>
        <v>0</v>
      </c>
      <c r="EA113" s="768">
        <f t="shared" si="99"/>
        <v>0</v>
      </c>
      <c r="EB113" s="768">
        <f t="shared" si="99"/>
        <v>0</v>
      </c>
      <c r="EC113" s="768">
        <f t="shared" si="99"/>
        <v>0</v>
      </c>
      <c r="ED113" s="768">
        <f t="shared" si="99"/>
        <v>0</v>
      </c>
      <c r="EE113" s="768">
        <f t="shared" si="99"/>
        <v>0</v>
      </c>
      <c r="EF113" s="768">
        <f t="shared" si="99"/>
        <v>0</v>
      </c>
      <c r="EG113" s="768">
        <f t="shared" si="99"/>
        <v>0</v>
      </c>
      <c r="EH113" s="768">
        <f t="shared" si="99"/>
        <v>0</v>
      </c>
      <c r="EI113" s="768">
        <f t="shared" ref="EI113:ET113" si="100">-SUM(EI23,EI41)*EI95</f>
        <v>0</v>
      </c>
      <c r="EJ113" s="768">
        <f t="shared" si="100"/>
        <v>0</v>
      </c>
      <c r="EK113" s="768">
        <f t="shared" si="100"/>
        <v>0</v>
      </c>
      <c r="EL113" s="768">
        <f t="shared" si="100"/>
        <v>0</v>
      </c>
      <c r="EM113" s="768">
        <f t="shared" si="100"/>
        <v>0</v>
      </c>
      <c r="EN113" s="768">
        <f t="shared" si="100"/>
        <v>0</v>
      </c>
      <c r="EO113" s="768">
        <f t="shared" si="100"/>
        <v>0</v>
      </c>
      <c r="EP113" s="768">
        <f t="shared" si="100"/>
        <v>0</v>
      </c>
      <c r="EQ113" s="768">
        <f t="shared" si="100"/>
        <v>0</v>
      </c>
      <c r="ER113" s="768">
        <f t="shared" si="100"/>
        <v>0</v>
      </c>
      <c r="ES113" s="768">
        <f t="shared" si="100"/>
        <v>0</v>
      </c>
      <c r="ET113" s="768">
        <f t="shared" si="100"/>
        <v>0</v>
      </c>
      <c r="EU113" s="768">
        <f t="shared" si="70"/>
        <v>0</v>
      </c>
    </row>
    <row r="114" spans="1:151" s="773" customFormat="1" ht="11.25" customHeight="1">
      <c r="A114" s="704"/>
      <c r="B114" s="704"/>
      <c r="C114" s="735"/>
      <c r="D114" s="743">
        <f t="shared" si="62"/>
        <v>5</v>
      </c>
      <c r="E114" s="704" t="str">
        <f t="shared" si="62"/>
        <v>쿠팡</v>
      </c>
      <c r="F114" s="704" t="str">
        <f t="shared" si="62"/>
        <v>상온창고</v>
      </c>
      <c r="G114" s="752"/>
      <c r="H114" s="744"/>
      <c r="I114" s="745"/>
      <c r="J114" s="745"/>
      <c r="K114" s="754"/>
      <c r="L114" s="746"/>
      <c r="M114" s="722"/>
      <c r="N114" s="747">
        <f t="shared" si="63"/>
        <v>-741828.16012957017</v>
      </c>
      <c r="O114" s="769"/>
      <c r="P114" s="768">
        <f t="shared" ref="P114:AU114" si="101">-SUM(P24,P42)*P96</f>
        <v>0</v>
      </c>
      <c r="Q114" s="768">
        <f t="shared" si="101"/>
        <v>0</v>
      </c>
      <c r="R114" s="768">
        <f t="shared" si="101"/>
        <v>0</v>
      </c>
      <c r="S114" s="768">
        <f t="shared" si="101"/>
        <v>0</v>
      </c>
      <c r="T114" s="768">
        <f t="shared" si="101"/>
        <v>0</v>
      </c>
      <c r="U114" s="768">
        <f t="shared" si="101"/>
        <v>0</v>
      </c>
      <c r="V114" s="768">
        <f t="shared" si="101"/>
        <v>0</v>
      </c>
      <c r="W114" s="768">
        <f t="shared" si="101"/>
        <v>0</v>
      </c>
      <c r="X114" s="768">
        <f t="shared" si="101"/>
        <v>0</v>
      </c>
      <c r="Y114" s="768">
        <f t="shared" si="101"/>
        <v>0</v>
      </c>
      <c r="Z114" s="768">
        <f t="shared" si="101"/>
        <v>0</v>
      </c>
      <c r="AA114" s="768">
        <f t="shared" si="101"/>
        <v>0</v>
      </c>
      <c r="AB114" s="768">
        <f t="shared" si="101"/>
        <v>0</v>
      </c>
      <c r="AC114" s="768">
        <f t="shared" si="101"/>
        <v>0</v>
      </c>
      <c r="AD114" s="768">
        <f t="shared" si="101"/>
        <v>0</v>
      </c>
      <c r="AE114" s="768">
        <f t="shared" si="101"/>
        <v>0</v>
      </c>
      <c r="AF114" s="768">
        <f t="shared" si="101"/>
        <v>0</v>
      </c>
      <c r="AG114" s="768">
        <f t="shared" si="101"/>
        <v>0</v>
      </c>
      <c r="AH114" s="768">
        <f t="shared" si="101"/>
        <v>0</v>
      </c>
      <c r="AI114" s="768">
        <f t="shared" si="101"/>
        <v>0</v>
      </c>
      <c r="AJ114" s="768">
        <f t="shared" si="101"/>
        <v>0</v>
      </c>
      <c r="AK114" s="768">
        <f t="shared" si="101"/>
        <v>0</v>
      </c>
      <c r="AL114" s="768">
        <f t="shared" si="101"/>
        <v>0</v>
      </c>
      <c r="AM114" s="768">
        <f t="shared" si="101"/>
        <v>0</v>
      </c>
      <c r="AN114" s="768">
        <f t="shared" si="101"/>
        <v>0</v>
      </c>
      <c r="AO114" s="768">
        <f t="shared" si="101"/>
        <v>0</v>
      </c>
      <c r="AP114" s="768">
        <f t="shared" si="101"/>
        <v>0</v>
      </c>
      <c r="AQ114" s="768">
        <f t="shared" si="101"/>
        <v>0</v>
      </c>
      <c r="AR114" s="768">
        <f t="shared" si="101"/>
        <v>0</v>
      </c>
      <c r="AS114" s="768">
        <f t="shared" si="101"/>
        <v>0</v>
      </c>
      <c r="AT114" s="768">
        <f t="shared" si="101"/>
        <v>0</v>
      </c>
      <c r="AU114" s="768">
        <f t="shared" si="101"/>
        <v>0</v>
      </c>
      <c r="AV114" s="1333">
        <f t="shared" ref="AV114:CA114" si="102">-SUM(AV24,AV42)*AV96</f>
        <v>-148365.63202591403</v>
      </c>
      <c r="AW114" s="1333">
        <f t="shared" si="102"/>
        <v>-148365.63202591403</v>
      </c>
      <c r="AX114" s="1333">
        <f t="shared" si="102"/>
        <v>-148365.63202591403</v>
      </c>
      <c r="AY114" s="1333">
        <f t="shared" si="102"/>
        <v>-148365.63202591403</v>
      </c>
      <c r="AZ114" s="1333">
        <f t="shared" si="102"/>
        <v>-148365.63202591403</v>
      </c>
      <c r="BA114" s="768">
        <f t="shared" si="102"/>
        <v>0</v>
      </c>
      <c r="BB114" s="768">
        <f t="shared" si="102"/>
        <v>0</v>
      </c>
      <c r="BC114" s="768">
        <f t="shared" si="102"/>
        <v>0</v>
      </c>
      <c r="BD114" s="768">
        <f t="shared" si="102"/>
        <v>0</v>
      </c>
      <c r="BE114" s="768">
        <f t="shared" si="102"/>
        <v>0</v>
      </c>
      <c r="BF114" s="768">
        <f t="shared" si="102"/>
        <v>0</v>
      </c>
      <c r="BG114" s="768">
        <f t="shared" si="102"/>
        <v>0</v>
      </c>
      <c r="BH114" s="768">
        <f t="shared" si="102"/>
        <v>0</v>
      </c>
      <c r="BI114" s="768">
        <f t="shared" si="102"/>
        <v>0</v>
      </c>
      <c r="BJ114" s="768">
        <f t="shared" si="102"/>
        <v>0</v>
      </c>
      <c r="BK114" s="768">
        <f t="shared" si="102"/>
        <v>0</v>
      </c>
      <c r="BL114" s="768">
        <f t="shared" si="102"/>
        <v>0</v>
      </c>
      <c r="BM114" s="768">
        <f t="shared" si="102"/>
        <v>0</v>
      </c>
      <c r="BN114" s="768">
        <f t="shared" si="102"/>
        <v>0</v>
      </c>
      <c r="BO114" s="768">
        <f t="shared" si="102"/>
        <v>0</v>
      </c>
      <c r="BP114" s="768">
        <f t="shared" si="102"/>
        <v>0</v>
      </c>
      <c r="BQ114" s="768">
        <f t="shared" si="102"/>
        <v>0</v>
      </c>
      <c r="BR114" s="768">
        <f t="shared" si="102"/>
        <v>0</v>
      </c>
      <c r="BS114" s="768">
        <f t="shared" si="102"/>
        <v>0</v>
      </c>
      <c r="BT114" s="768">
        <f t="shared" si="102"/>
        <v>0</v>
      </c>
      <c r="BU114" s="768">
        <f t="shared" si="102"/>
        <v>0</v>
      </c>
      <c r="BV114" s="768">
        <f t="shared" si="102"/>
        <v>0</v>
      </c>
      <c r="BW114" s="768">
        <f t="shared" si="102"/>
        <v>0</v>
      </c>
      <c r="BX114" s="768">
        <f t="shared" si="102"/>
        <v>0</v>
      </c>
      <c r="BY114" s="768">
        <f t="shared" si="102"/>
        <v>0</v>
      </c>
      <c r="BZ114" s="768">
        <f t="shared" si="102"/>
        <v>0</v>
      </c>
      <c r="CA114" s="768">
        <f t="shared" si="102"/>
        <v>0</v>
      </c>
      <c r="CB114" s="768">
        <f t="shared" ref="CB114:DG114" si="103">-SUM(CB24,CB42)*CB96</f>
        <v>0</v>
      </c>
      <c r="CC114" s="768">
        <f t="shared" si="103"/>
        <v>0</v>
      </c>
      <c r="CD114" s="768">
        <f t="shared" si="103"/>
        <v>0</v>
      </c>
      <c r="CE114" s="768">
        <f t="shared" si="103"/>
        <v>0</v>
      </c>
      <c r="CF114" s="768">
        <f t="shared" si="103"/>
        <v>0</v>
      </c>
      <c r="CG114" s="768">
        <f t="shared" si="103"/>
        <v>0</v>
      </c>
      <c r="CH114" s="768">
        <f t="shared" si="103"/>
        <v>0</v>
      </c>
      <c r="CI114" s="768">
        <f t="shared" si="103"/>
        <v>0</v>
      </c>
      <c r="CJ114" s="768">
        <f t="shared" si="103"/>
        <v>0</v>
      </c>
      <c r="CK114" s="768">
        <f t="shared" si="103"/>
        <v>0</v>
      </c>
      <c r="CL114" s="768">
        <f t="shared" si="103"/>
        <v>0</v>
      </c>
      <c r="CM114" s="768">
        <f t="shared" si="103"/>
        <v>0</v>
      </c>
      <c r="CN114" s="768">
        <f t="shared" si="103"/>
        <v>0</v>
      </c>
      <c r="CO114" s="768">
        <f t="shared" si="103"/>
        <v>0</v>
      </c>
      <c r="CP114" s="768">
        <f t="shared" si="103"/>
        <v>0</v>
      </c>
      <c r="CQ114" s="768">
        <f t="shared" si="103"/>
        <v>0</v>
      </c>
      <c r="CR114" s="768">
        <f t="shared" si="103"/>
        <v>0</v>
      </c>
      <c r="CS114" s="768">
        <f t="shared" si="103"/>
        <v>0</v>
      </c>
      <c r="CT114" s="768">
        <f t="shared" si="103"/>
        <v>0</v>
      </c>
      <c r="CU114" s="768">
        <f t="shared" si="103"/>
        <v>0</v>
      </c>
      <c r="CV114" s="768">
        <f t="shared" si="103"/>
        <v>0</v>
      </c>
      <c r="CW114" s="768">
        <f t="shared" si="103"/>
        <v>0</v>
      </c>
      <c r="CX114" s="768">
        <f t="shared" si="103"/>
        <v>0</v>
      </c>
      <c r="CY114" s="768">
        <f t="shared" si="103"/>
        <v>0</v>
      </c>
      <c r="CZ114" s="768">
        <f t="shared" si="103"/>
        <v>0</v>
      </c>
      <c r="DA114" s="768">
        <f t="shared" si="103"/>
        <v>0</v>
      </c>
      <c r="DB114" s="768">
        <f t="shared" si="103"/>
        <v>0</v>
      </c>
      <c r="DC114" s="768">
        <f t="shared" si="103"/>
        <v>0</v>
      </c>
      <c r="DD114" s="768">
        <f t="shared" si="103"/>
        <v>0</v>
      </c>
      <c r="DE114" s="768">
        <f t="shared" si="103"/>
        <v>0</v>
      </c>
      <c r="DF114" s="768">
        <f t="shared" si="103"/>
        <v>0</v>
      </c>
      <c r="DG114" s="768">
        <f t="shared" si="103"/>
        <v>0</v>
      </c>
      <c r="DH114" s="768">
        <f t="shared" ref="DH114:DY114" si="104">-SUM(DH24,DH42)*DH96</f>
        <v>0</v>
      </c>
      <c r="DI114" s="768">
        <f t="shared" si="104"/>
        <v>0</v>
      </c>
      <c r="DJ114" s="768">
        <f t="shared" si="104"/>
        <v>0</v>
      </c>
      <c r="DK114" s="768">
        <f t="shared" si="104"/>
        <v>0</v>
      </c>
      <c r="DL114" s="768">
        <f t="shared" si="104"/>
        <v>0</v>
      </c>
      <c r="DM114" s="768">
        <f t="shared" si="104"/>
        <v>0</v>
      </c>
      <c r="DN114" s="768">
        <f t="shared" si="104"/>
        <v>0</v>
      </c>
      <c r="DO114" s="768">
        <f t="shared" si="104"/>
        <v>0</v>
      </c>
      <c r="DP114" s="768">
        <f t="shared" si="104"/>
        <v>0</v>
      </c>
      <c r="DQ114" s="768">
        <f t="shared" si="104"/>
        <v>0</v>
      </c>
      <c r="DR114" s="768">
        <f t="shared" si="104"/>
        <v>0</v>
      </c>
      <c r="DS114" s="768">
        <f t="shared" si="104"/>
        <v>0</v>
      </c>
      <c r="DT114" s="768">
        <f t="shared" si="104"/>
        <v>0</v>
      </c>
      <c r="DU114" s="768">
        <f t="shared" si="104"/>
        <v>0</v>
      </c>
      <c r="DV114" s="768">
        <f t="shared" si="104"/>
        <v>0</v>
      </c>
      <c r="DW114" s="768">
        <f t="shared" si="104"/>
        <v>0</v>
      </c>
      <c r="DX114" s="768">
        <f t="shared" si="104"/>
        <v>0</v>
      </c>
      <c r="DY114" s="768">
        <f t="shared" si="104"/>
        <v>0</v>
      </c>
      <c r="DZ114" s="768">
        <f t="shared" ref="DZ114:EH114" si="105">-SUM(DZ24,DZ42)*DZ96</f>
        <v>0</v>
      </c>
      <c r="EA114" s="768">
        <f t="shared" si="105"/>
        <v>0</v>
      </c>
      <c r="EB114" s="768">
        <f t="shared" si="105"/>
        <v>0</v>
      </c>
      <c r="EC114" s="768">
        <f t="shared" si="105"/>
        <v>0</v>
      </c>
      <c r="ED114" s="768">
        <f t="shared" si="105"/>
        <v>0</v>
      </c>
      <c r="EE114" s="768">
        <f t="shared" si="105"/>
        <v>0</v>
      </c>
      <c r="EF114" s="768">
        <f t="shared" si="105"/>
        <v>0</v>
      </c>
      <c r="EG114" s="768">
        <f t="shared" si="105"/>
        <v>0</v>
      </c>
      <c r="EH114" s="768">
        <f t="shared" si="105"/>
        <v>0</v>
      </c>
      <c r="EI114" s="768">
        <f t="shared" ref="EI114:ET114" si="106">-SUM(EI24,EI42)*EI96</f>
        <v>0</v>
      </c>
      <c r="EJ114" s="768">
        <f t="shared" si="106"/>
        <v>0</v>
      </c>
      <c r="EK114" s="768">
        <f t="shared" si="106"/>
        <v>0</v>
      </c>
      <c r="EL114" s="768">
        <f t="shared" si="106"/>
        <v>0</v>
      </c>
      <c r="EM114" s="768">
        <f t="shared" si="106"/>
        <v>0</v>
      </c>
      <c r="EN114" s="768">
        <f t="shared" si="106"/>
        <v>0</v>
      </c>
      <c r="EO114" s="768">
        <f t="shared" si="106"/>
        <v>0</v>
      </c>
      <c r="EP114" s="768">
        <f t="shared" si="106"/>
        <v>0</v>
      </c>
      <c r="EQ114" s="768">
        <f t="shared" si="106"/>
        <v>0</v>
      </c>
      <c r="ER114" s="768">
        <f t="shared" si="106"/>
        <v>0</v>
      </c>
      <c r="ES114" s="768">
        <f t="shared" si="106"/>
        <v>0</v>
      </c>
      <c r="ET114" s="768">
        <f t="shared" si="106"/>
        <v>0</v>
      </c>
      <c r="EU114" s="768">
        <f t="shared" si="70"/>
        <v>0</v>
      </c>
    </row>
    <row r="115" spans="1:151" s="773" customFormat="1" ht="11.25" customHeight="1">
      <c r="A115" s="704"/>
      <c r="B115" s="704"/>
      <c r="C115" s="735"/>
      <c r="D115" s="743">
        <f t="shared" si="62"/>
        <v>4</v>
      </c>
      <c r="E115" s="704" t="str">
        <f t="shared" si="62"/>
        <v>쿠팡</v>
      </c>
      <c r="F115" s="704" t="str">
        <f t="shared" si="62"/>
        <v>상온창고</v>
      </c>
      <c r="G115" s="752"/>
      <c r="H115" s="744"/>
      <c r="I115" s="745"/>
      <c r="J115" s="745"/>
      <c r="K115" s="754"/>
      <c r="L115" s="746"/>
      <c r="M115" s="722"/>
      <c r="N115" s="747">
        <f t="shared" si="63"/>
        <v>-741828.16012957017</v>
      </c>
      <c r="O115" s="769"/>
      <c r="P115" s="768">
        <f t="shared" ref="P115:AU115" si="107">-SUM(P25,P43)*P97</f>
        <v>0</v>
      </c>
      <c r="Q115" s="768">
        <f t="shared" si="107"/>
        <v>0</v>
      </c>
      <c r="R115" s="768">
        <f t="shared" si="107"/>
        <v>0</v>
      </c>
      <c r="S115" s="768">
        <f t="shared" si="107"/>
        <v>0</v>
      </c>
      <c r="T115" s="768">
        <f t="shared" si="107"/>
        <v>0</v>
      </c>
      <c r="U115" s="768">
        <f t="shared" si="107"/>
        <v>0</v>
      </c>
      <c r="V115" s="768">
        <f t="shared" si="107"/>
        <v>0</v>
      </c>
      <c r="W115" s="768">
        <f t="shared" si="107"/>
        <v>0</v>
      </c>
      <c r="X115" s="768">
        <f t="shared" si="107"/>
        <v>0</v>
      </c>
      <c r="Y115" s="768">
        <f t="shared" si="107"/>
        <v>0</v>
      </c>
      <c r="Z115" s="768">
        <f t="shared" si="107"/>
        <v>0</v>
      </c>
      <c r="AA115" s="768">
        <f t="shared" si="107"/>
        <v>0</v>
      </c>
      <c r="AB115" s="768">
        <f t="shared" si="107"/>
        <v>0</v>
      </c>
      <c r="AC115" s="768">
        <f t="shared" si="107"/>
        <v>0</v>
      </c>
      <c r="AD115" s="768">
        <f t="shared" si="107"/>
        <v>0</v>
      </c>
      <c r="AE115" s="768">
        <f t="shared" si="107"/>
        <v>0</v>
      </c>
      <c r="AF115" s="768">
        <f t="shared" si="107"/>
        <v>0</v>
      </c>
      <c r="AG115" s="768">
        <f t="shared" si="107"/>
        <v>0</v>
      </c>
      <c r="AH115" s="768">
        <f t="shared" si="107"/>
        <v>0</v>
      </c>
      <c r="AI115" s="768">
        <f t="shared" si="107"/>
        <v>0</v>
      </c>
      <c r="AJ115" s="768">
        <f t="shared" si="107"/>
        <v>0</v>
      </c>
      <c r="AK115" s="768">
        <f t="shared" si="107"/>
        <v>0</v>
      </c>
      <c r="AL115" s="768">
        <f t="shared" si="107"/>
        <v>0</v>
      </c>
      <c r="AM115" s="768">
        <f t="shared" si="107"/>
        <v>0</v>
      </c>
      <c r="AN115" s="768">
        <f t="shared" si="107"/>
        <v>0</v>
      </c>
      <c r="AO115" s="768">
        <f t="shared" si="107"/>
        <v>0</v>
      </c>
      <c r="AP115" s="768">
        <f t="shared" si="107"/>
        <v>0</v>
      </c>
      <c r="AQ115" s="768">
        <f t="shared" si="107"/>
        <v>0</v>
      </c>
      <c r="AR115" s="768">
        <f t="shared" si="107"/>
        <v>0</v>
      </c>
      <c r="AS115" s="768">
        <f t="shared" si="107"/>
        <v>0</v>
      </c>
      <c r="AT115" s="768">
        <f t="shared" si="107"/>
        <v>0</v>
      </c>
      <c r="AU115" s="768">
        <f t="shared" si="107"/>
        <v>0</v>
      </c>
      <c r="AV115" s="1333">
        <f t="shared" ref="AV115:CA115" si="108">-SUM(AV25,AV43)*AV97</f>
        <v>-148365.63202591403</v>
      </c>
      <c r="AW115" s="1333">
        <f t="shared" si="108"/>
        <v>-148365.63202591403</v>
      </c>
      <c r="AX115" s="1333">
        <f t="shared" si="108"/>
        <v>-148365.63202591403</v>
      </c>
      <c r="AY115" s="1333">
        <f t="shared" si="108"/>
        <v>-148365.63202591403</v>
      </c>
      <c r="AZ115" s="1333">
        <f t="shared" si="108"/>
        <v>-148365.63202591403</v>
      </c>
      <c r="BA115" s="768">
        <f t="shared" si="108"/>
        <v>0</v>
      </c>
      <c r="BB115" s="768">
        <f t="shared" si="108"/>
        <v>0</v>
      </c>
      <c r="BC115" s="768">
        <f t="shared" si="108"/>
        <v>0</v>
      </c>
      <c r="BD115" s="768">
        <f t="shared" si="108"/>
        <v>0</v>
      </c>
      <c r="BE115" s="768">
        <f t="shared" si="108"/>
        <v>0</v>
      </c>
      <c r="BF115" s="768">
        <f t="shared" si="108"/>
        <v>0</v>
      </c>
      <c r="BG115" s="768">
        <f t="shared" si="108"/>
        <v>0</v>
      </c>
      <c r="BH115" s="768">
        <f t="shared" si="108"/>
        <v>0</v>
      </c>
      <c r="BI115" s="768">
        <f t="shared" si="108"/>
        <v>0</v>
      </c>
      <c r="BJ115" s="768">
        <f t="shared" si="108"/>
        <v>0</v>
      </c>
      <c r="BK115" s="768">
        <f t="shared" si="108"/>
        <v>0</v>
      </c>
      <c r="BL115" s="768">
        <f t="shared" si="108"/>
        <v>0</v>
      </c>
      <c r="BM115" s="768">
        <f t="shared" si="108"/>
        <v>0</v>
      </c>
      <c r="BN115" s="768">
        <f t="shared" si="108"/>
        <v>0</v>
      </c>
      <c r="BO115" s="768">
        <f t="shared" si="108"/>
        <v>0</v>
      </c>
      <c r="BP115" s="768">
        <f t="shared" si="108"/>
        <v>0</v>
      </c>
      <c r="BQ115" s="768">
        <f t="shared" si="108"/>
        <v>0</v>
      </c>
      <c r="BR115" s="768">
        <f t="shared" si="108"/>
        <v>0</v>
      </c>
      <c r="BS115" s="768">
        <f t="shared" si="108"/>
        <v>0</v>
      </c>
      <c r="BT115" s="768">
        <f t="shared" si="108"/>
        <v>0</v>
      </c>
      <c r="BU115" s="768">
        <f t="shared" si="108"/>
        <v>0</v>
      </c>
      <c r="BV115" s="768">
        <f t="shared" si="108"/>
        <v>0</v>
      </c>
      <c r="BW115" s="768">
        <f t="shared" si="108"/>
        <v>0</v>
      </c>
      <c r="BX115" s="768">
        <f t="shared" si="108"/>
        <v>0</v>
      </c>
      <c r="BY115" s="768">
        <f t="shared" si="108"/>
        <v>0</v>
      </c>
      <c r="BZ115" s="768">
        <f t="shared" si="108"/>
        <v>0</v>
      </c>
      <c r="CA115" s="768">
        <f t="shared" si="108"/>
        <v>0</v>
      </c>
      <c r="CB115" s="768">
        <f t="shared" ref="CB115:DG115" si="109">-SUM(CB25,CB43)*CB97</f>
        <v>0</v>
      </c>
      <c r="CC115" s="768">
        <f t="shared" si="109"/>
        <v>0</v>
      </c>
      <c r="CD115" s="768">
        <f t="shared" si="109"/>
        <v>0</v>
      </c>
      <c r="CE115" s="768">
        <f t="shared" si="109"/>
        <v>0</v>
      </c>
      <c r="CF115" s="768">
        <f t="shared" si="109"/>
        <v>0</v>
      </c>
      <c r="CG115" s="768">
        <f t="shared" si="109"/>
        <v>0</v>
      </c>
      <c r="CH115" s="768">
        <f t="shared" si="109"/>
        <v>0</v>
      </c>
      <c r="CI115" s="768">
        <f t="shared" si="109"/>
        <v>0</v>
      </c>
      <c r="CJ115" s="768">
        <f t="shared" si="109"/>
        <v>0</v>
      </c>
      <c r="CK115" s="768">
        <f t="shared" si="109"/>
        <v>0</v>
      </c>
      <c r="CL115" s="768">
        <f t="shared" si="109"/>
        <v>0</v>
      </c>
      <c r="CM115" s="768">
        <f t="shared" si="109"/>
        <v>0</v>
      </c>
      <c r="CN115" s="768">
        <f t="shared" si="109"/>
        <v>0</v>
      </c>
      <c r="CO115" s="768">
        <f t="shared" si="109"/>
        <v>0</v>
      </c>
      <c r="CP115" s="768">
        <f t="shared" si="109"/>
        <v>0</v>
      </c>
      <c r="CQ115" s="768">
        <f t="shared" si="109"/>
        <v>0</v>
      </c>
      <c r="CR115" s="768">
        <f t="shared" si="109"/>
        <v>0</v>
      </c>
      <c r="CS115" s="768">
        <f t="shared" si="109"/>
        <v>0</v>
      </c>
      <c r="CT115" s="768">
        <f t="shared" si="109"/>
        <v>0</v>
      </c>
      <c r="CU115" s="768">
        <f t="shared" si="109"/>
        <v>0</v>
      </c>
      <c r="CV115" s="768">
        <f t="shared" si="109"/>
        <v>0</v>
      </c>
      <c r="CW115" s="768">
        <f t="shared" si="109"/>
        <v>0</v>
      </c>
      <c r="CX115" s="768">
        <f t="shared" si="109"/>
        <v>0</v>
      </c>
      <c r="CY115" s="768">
        <f t="shared" si="109"/>
        <v>0</v>
      </c>
      <c r="CZ115" s="768">
        <f t="shared" si="109"/>
        <v>0</v>
      </c>
      <c r="DA115" s="768">
        <f t="shared" si="109"/>
        <v>0</v>
      </c>
      <c r="DB115" s="768">
        <f t="shared" si="109"/>
        <v>0</v>
      </c>
      <c r="DC115" s="768">
        <f t="shared" si="109"/>
        <v>0</v>
      </c>
      <c r="DD115" s="768">
        <f t="shared" si="109"/>
        <v>0</v>
      </c>
      <c r="DE115" s="768">
        <f t="shared" si="109"/>
        <v>0</v>
      </c>
      <c r="DF115" s="768">
        <f t="shared" si="109"/>
        <v>0</v>
      </c>
      <c r="DG115" s="768">
        <f t="shared" si="109"/>
        <v>0</v>
      </c>
      <c r="DH115" s="768">
        <f t="shared" ref="DH115:DY115" si="110">-SUM(DH25,DH43)*DH97</f>
        <v>0</v>
      </c>
      <c r="DI115" s="768">
        <f t="shared" si="110"/>
        <v>0</v>
      </c>
      <c r="DJ115" s="768">
        <f t="shared" si="110"/>
        <v>0</v>
      </c>
      <c r="DK115" s="768">
        <f t="shared" si="110"/>
        <v>0</v>
      </c>
      <c r="DL115" s="768">
        <f t="shared" si="110"/>
        <v>0</v>
      </c>
      <c r="DM115" s="768">
        <f t="shared" si="110"/>
        <v>0</v>
      </c>
      <c r="DN115" s="768">
        <f t="shared" si="110"/>
        <v>0</v>
      </c>
      <c r="DO115" s="768">
        <f t="shared" si="110"/>
        <v>0</v>
      </c>
      <c r="DP115" s="768">
        <f t="shared" si="110"/>
        <v>0</v>
      </c>
      <c r="DQ115" s="768">
        <f t="shared" si="110"/>
        <v>0</v>
      </c>
      <c r="DR115" s="768">
        <f t="shared" si="110"/>
        <v>0</v>
      </c>
      <c r="DS115" s="768">
        <f t="shared" si="110"/>
        <v>0</v>
      </c>
      <c r="DT115" s="768">
        <f t="shared" si="110"/>
        <v>0</v>
      </c>
      <c r="DU115" s="768">
        <f t="shared" si="110"/>
        <v>0</v>
      </c>
      <c r="DV115" s="768">
        <f t="shared" si="110"/>
        <v>0</v>
      </c>
      <c r="DW115" s="768">
        <f t="shared" si="110"/>
        <v>0</v>
      </c>
      <c r="DX115" s="768">
        <f t="shared" si="110"/>
        <v>0</v>
      </c>
      <c r="DY115" s="768">
        <f t="shared" si="110"/>
        <v>0</v>
      </c>
      <c r="DZ115" s="768">
        <f t="shared" ref="DZ115:EH115" si="111">-SUM(DZ25,DZ43)*DZ97</f>
        <v>0</v>
      </c>
      <c r="EA115" s="768">
        <f t="shared" si="111"/>
        <v>0</v>
      </c>
      <c r="EB115" s="768">
        <f t="shared" si="111"/>
        <v>0</v>
      </c>
      <c r="EC115" s="768">
        <f t="shared" si="111"/>
        <v>0</v>
      </c>
      <c r="ED115" s="768">
        <f t="shared" si="111"/>
        <v>0</v>
      </c>
      <c r="EE115" s="768">
        <f t="shared" si="111"/>
        <v>0</v>
      </c>
      <c r="EF115" s="768">
        <f t="shared" si="111"/>
        <v>0</v>
      </c>
      <c r="EG115" s="768">
        <f t="shared" si="111"/>
        <v>0</v>
      </c>
      <c r="EH115" s="768">
        <f t="shared" si="111"/>
        <v>0</v>
      </c>
      <c r="EI115" s="768">
        <f t="shared" ref="EI115:ET115" si="112">-SUM(EI25,EI43)*EI97</f>
        <v>0</v>
      </c>
      <c r="EJ115" s="768">
        <f t="shared" si="112"/>
        <v>0</v>
      </c>
      <c r="EK115" s="768">
        <f t="shared" si="112"/>
        <v>0</v>
      </c>
      <c r="EL115" s="768">
        <f t="shared" si="112"/>
        <v>0</v>
      </c>
      <c r="EM115" s="768">
        <f t="shared" si="112"/>
        <v>0</v>
      </c>
      <c r="EN115" s="768">
        <f t="shared" si="112"/>
        <v>0</v>
      </c>
      <c r="EO115" s="768">
        <f t="shared" si="112"/>
        <v>0</v>
      </c>
      <c r="EP115" s="768">
        <f t="shared" si="112"/>
        <v>0</v>
      </c>
      <c r="EQ115" s="768">
        <f t="shared" si="112"/>
        <v>0</v>
      </c>
      <c r="ER115" s="768">
        <f t="shared" si="112"/>
        <v>0</v>
      </c>
      <c r="ES115" s="768">
        <f t="shared" si="112"/>
        <v>0</v>
      </c>
      <c r="ET115" s="768">
        <f t="shared" si="112"/>
        <v>0</v>
      </c>
      <c r="EU115" s="768">
        <f t="shared" si="70"/>
        <v>0</v>
      </c>
    </row>
    <row r="116" spans="1:151" s="773" customFormat="1" ht="11.25" customHeight="1">
      <c r="A116" s="704"/>
      <c r="B116" s="704"/>
      <c r="C116" s="735"/>
      <c r="D116" s="743">
        <f t="shared" si="62"/>
        <v>3</v>
      </c>
      <c r="E116" s="704" t="str">
        <f t="shared" si="62"/>
        <v>농심</v>
      </c>
      <c r="F116" s="704" t="str">
        <f t="shared" si="62"/>
        <v>상온창고</v>
      </c>
      <c r="G116" s="752"/>
      <c r="H116" s="744"/>
      <c r="I116" s="745"/>
      <c r="J116" s="745"/>
      <c r="K116" s="754"/>
      <c r="L116" s="746"/>
      <c r="M116" s="722"/>
      <c r="N116" s="747">
        <f t="shared" si="63"/>
        <v>0</v>
      </c>
      <c r="O116" s="769"/>
      <c r="P116" s="768">
        <f t="shared" ref="P116:AU116" si="113">-SUM(P26,P44)*P98</f>
        <v>0</v>
      </c>
      <c r="Q116" s="768">
        <f t="shared" si="113"/>
        <v>0</v>
      </c>
      <c r="R116" s="768">
        <f t="shared" si="113"/>
        <v>0</v>
      </c>
      <c r="S116" s="768">
        <f t="shared" si="113"/>
        <v>0</v>
      </c>
      <c r="T116" s="768">
        <f t="shared" si="113"/>
        <v>0</v>
      </c>
      <c r="U116" s="768">
        <f t="shared" si="113"/>
        <v>0</v>
      </c>
      <c r="V116" s="768">
        <f t="shared" si="113"/>
        <v>0</v>
      </c>
      <c r="W116" s="768">
        <f t="shared" si="113"/>
        <v>0</v>
      </c>
      <c r="X116" s="768">
        <f t="shared" si="113"/>
        <v>0</v>
      </c>
      <c r="Y116" s="768">
        <f t="shared" si="113"/>
        <v>0</v>
      </c>
      <c r="Z116" s="768">
        <f t="shared" si="113"/>
        <v>0</v>
      </c>
      <c r="AA116" s="768">
        <f t="shared" si="113"/>
        <v>0</v>
      </c>
      <c r="AB116" s="768">
        <f t="shared" si="113"/>
        <v>0</v>
      </c>
      <c r="AC116" s="768">
        <f t="shared" si="113"/>
        <v>0</v>
      </c>
      <c r="AD116" s="768">
        <f t="shared" si="113"/>
        <v>0</v>
      </c>
      <c r="AE116" s="768">
        <f t="shared" si="113"/>
        <v>0</v>
      </c>
      <c r="AF116" s="768">
        <f t="shared" si="113"/>
        <v>0</v>
      </c>
      <c r="AG116" s="768">
        <f t="shared" si="113"/>
        <v>0</v>
      </c>
      <c r="AH116" s="768">
        <f t="shared" si="113"/>
        <v>0</v>
      </c>
      <c r="AI116" s="768">
        <f t="shared" si="113"/>
        <v>0</v>
      </c>
      <c r="AJ116" s="768">
        <f t="shared" si="113"/>
        <v>0</v>
      </c>
      <c r="AK116" s="768">
        <f t="shared" si="113"/>
        <v>0</v>
      </c>
      <c r="AL116" s="768">
        <f t="shared" si="113"/>
        <v>0</v>
      </c>
      <c r="AM116" s="768">
        <f t="shared" si="113"/>
        <v>0</v>
      </c>
      <c r="AN116" s="768">
        <f t="shared" si="113"/>
        <v>0</v>
      </c>
      <c r="AO116" s="768">
        <f t="shared" si="113"/>
        <v>0</v>
      </c>
      <c r="AP116" s="768">
        <f t="shared" si="113"/>
        <v>0</v>
      </c>
      <c r="AQ116" s="768">
        <f t="shared" si="113"/>
        <v>0</v>
      </c>
      <c r="AR116" s="768">
        <f t="shared" si="113"/>
        <v>0</v>
      </c>
      <c r="AS116" s="768">
        <f t="shared" si="113"/>
        <v>0</v>
      </c>
      <c r="AT116" s="768">
        <f t="shared" si="113"/>
        <v>0</v>
      </c>
      <c r="AU116" s="768">
        <f t="shared" si="113"/>
        <v>0</v>
      </c>
      <c r="AV116" s="768">
        <f t="shared" ref="AV116:CA116" si="114">-SUM(AV26,AV44)*AV98</f>
        <v>0</v>
      </c>
      <c r="AW116" s="768">
        <f t="shared" si="114"/>
        <v>0</v>
      </c>
      <c r="AX116" s="768">
        <f t="shared" si="114"/>
        <v>0</v>
      </c>
      <c r="AY116" s="768">
        <f t="shared" si="114"/>
        <v>0</v>
      </c>
      <c r="AZ116" s="768">
        <f t="shared" si="114"/>
        <v>0</v>
      </c>
      <c r="BA116" s="768">
        <f t="shared" si="114"/>
        <v>0</v>
      </c>
      <c r="BB116" s="768">
        <f t="shared" si="114"/>
        <v>0</v>
      </c>
      <c r="BC116" s="768">
        <f t="shared" si="114"/>
        <v>0</v>
      </c>
      <c r="BD116" s="768">
        <f t="shared" si="114"/>
        <v>0</v>
      </c>
      <c r="BE116" s="768">
        <f t="shared" si="114"/>
        <v>0</v>
      </c>
      <c r="BF116" s="768">
        <f t="shared" si="114"/>
        <v>0</v>
      </c>
      <c r="BG116" s="768">
        <f t="shared" si="114"/>
        <v>0</v>
      </c>
      <c r="BH116" s="768">
        <f t="shared" si="114"/>
        <v>0</v>
      </c>
      <c r="BI116" s="768">
        <f t="shared" si="114"/>
        <v>0</v>
      </c>
      <c r="BJ116" s="768">
        <f t="shared" si="114"/>
        <v>0</v>
      </c>
      <c r="BK116" s="768">
        <f t="shared" si="114"/>
        <v>0</v>
      </c>
      <c r="BL116" s="768">
        <f t="shared" si="114"/>
        <v>0</v>
      </c>
      <c r="BM116" s="768">
        <f t="shared" si="114"/>
        <v>0</v>
      </c>
      <c r="BN116" s="768">
        <f t="shared" si="114"/>
        <v>0</v>
      </c>
      <c r="BO116" s="768">
        <f t="shared" si="114"/>
        <v>0</v>
      </c>
      <c r="BP116" s="768">
        <f t="shared" si="114"/>
        <v>0</v>
      </c>
      <c r="BQ116" s="768">
        <f t="shared" si="114"/>
        <v>0</v>
      </c>
      <c r="BR116" s="768">
        <f t="shared" si="114"/>
        <v>0</v>
      </c>
      <c r="BS116" s="768">
        <f t="shared" si="114"/>
        <v>0</v>
      </c>
      <c r="BT116" s="768">
        <f t="shared" si="114"/>
        <v>0</v>
      </c>
      <c r="BU116" s="768">
        <f t="shared" si="114"/>
        <v>0</v>
      </c>
      <c r="BV116" s="768">
        <f t="shared" si="114"/>
        <v>0</v>
      </c>
      <c r="BW116" s="768">
        <f t="shared" si="114"/>
        <v>0</v>
      </c>
      <c r="BX116" s="768">
        <f t="shared" si="114"/>
        <v>0</v>
      </c>
      <c r="BY116" s="768">
        <f t="shared" si="114"/>
        <v>0</v>
      </c>
      <c r="BZ116" s="768">
        <f t="shared" si="114"/>
        <v>0</v>
      </c>
      <c r="CA116" s="768">
        <f t="shared" si="114"/>
        <v>0</v>
      </c>
      <c r="CB116" s="768">
        <f t="shared" ref="CB116:DG116" si="115">-SUM(CB26,CB44)*CB98</f>
        <v>0</v>
      </c>
      <c r="CC116" s="768">
        <f t="shared" si="115"/>
        <v>0</v>
      </c>
      <c r="CD116" s="768">
        <f t="shared" si="115"/>
        <v>0</v>
      </c>
      <c r="CE116" s="768">
        <f t="shared" si="115"/>
        <v>0</v>
      </c>
      <c r="CF116" s="768">
        <f t="shared" si="115"/>
        <v>0</v>
      </c>
      <c r="CG116" s="768">
        <f t="shared" si="115"/>
        <v>0</v>
      </c>
      <c r="CH116" s="768">
        <f t="shared" si="115"/>
        <v>0</v>
      </c>
      <c r="CI116" s="768">
        <f t="shared" si="115"/>
        <v>0</v>
      </c>
      <c r="CJ116" s="768">
        <f t="shared" si="115"/>
        <v>0</v>
      </c>
      <c r="CK116" s="768">
        <f t="shared" si="115"/>
        <v>0</v>
      </c>
      <c r="CL116" s="768">
        <f t="shared" si="115"/>
        <v>0</v>
      </c>
      <c r="CM116" s="768">
        <f t="shared" si="115"/>
        <v>0</v>
      </c>
      <c r="CN116" s="768">
        <f t="shared" si="115"/>
        <v>0</v>
      </c>
      <c r="CO116" s="768">
        <f t="shared" si="115"/>
        <v>0</v>
      </c>
      <c r="CP116" s="768">
        <f t="shared" si="115"/>
        <v>0</v>
      </c>
      <c r="CQ116" s="768">
        <f t="shared" si="115"/>
        <v>0</v>
      </c>
      <c r="CR116" s="768">
        <f t="shared" si="115"/>
        <v>0</v>
      </c>
      <c r="CS116" s="768">
        <f t="shared" si="115"/>
        <v>0</v>
      </c>
      <c r="CT116" s="768">
        <f t="shared" si="115"/>
        <v>0</v>
      </c>
      <c r="CU116" s="768">
        <f t="shared" si="115"/>
        <v>0</v>
      </c>
      <c r="CV116" s="768">
        <f t="shared" si="115"/>
        <v>0</v>
      </c>
      <c r="CW116" s="768">
        <f t="shared" si="115"/>
        <v>0</v>
      </c>
      <c r="CX116" s="768">
        <f t="shared" si="115"/>
        <v>0</v>
      </c>
      <c r="CY116" s="768">
        <f t="shared" si="115"/>
        <v>0</v>
      </c>
      <c r="CZ116" s="768">
        <f t="shared" si="115"/>
        <v>0</v>
      </c>
      <c r="DA116" s="768">
        <f t="shared" si="115"/>
        <v>0</v>
      </c>
      <c r="DB116" s="768">
        <f t="shared" si="115"/>
        <v>0</v>
      </c>
      <c r="DC116" s="768">
        <f t="shared" si="115"/>
        <v>0</v>
      </c>
      <c r="DD116" s="768">
        <f t="shared" si="115"/>
        <v>0</v>
      </c>
      <c r="DE116" s="768">
        <f t="shared" si="115"/>
        <v>0</v>
      </c>
      <c r="DF116" s="768">
        <f t="shared" si="115"/>
        <v>0</v>
      </c>
      <c r="DG116" s="768">
        <f t="shared" si="115"/>
        <v>0</v>
      </c>
      <c r="DH116" s="768">
        <f t="shared" ref="DH116:DY116" si="116">-SUM(DH26,DH44)*DH98</f>
        <v>0</v>
      </c>
      <c r="DI116" s="768">
        <f t="shared" si="116"/>
        <v>0</v>
      </c>
      <c r="DJ116" s="768">
        <f t="shared" si="116"/>
        <v>0</v>
      </c>
      <c r="DK116" s="768">
        <f t="shared" si="116"/>
        <v>0</v>
      </c>
      <c r="DL116" s="768">
        <f t="shared" si="116"/>
        <v>0</v>
      </c>
      <c r="DM116" s="768">
        <f t="shared" si="116"/>
        <v>0</v>
      </c>
      <c r="DN116" s="768">
        <f t="shared" si="116"/>
        <v>0</v>
      </c>
      <c r="DO116" s="768">
        <f t="shared" si="116"/>
        <v>0</v>
      </c>
      <c r="DP116" s="768">
        <f t="shared" si="116"/>
        <v>0</v>
      </c>
      <c r="DQ116" s="768">
        <f t="shared" si="116"/>
        <v>0</v>
      </c>
      <c r="DR116" s="768">
        <f t="shared" si="116"/>
        <v>0</v>
      </c>
      <c r="DS116" s="768">
        <f t="shared" si="116"/>
        <v>0</v>
      </c>
      <c r="DT116" s="768">
        <f t="shared" si="116"/>
        <v>0</v>
      </c>
      <c r="DU116" s="768">
        <f t="shared" si="116"/>
        <v>0</v>
      </c>
      <c r="DV116" s="768">
        <f t="shared" si="116"/>
        <v>0</v>
      </c>
      <c r="DW116" s="768">
        <f t="shared" si="116"/>
        <v>0</v>
      </c>
      <c r="DX116" s="768">
        <f t="shared" si="116"/>
        <v>0</v>
      </c>
      <c r="DY116" s="768">
        <f t="shared" si="116"/>
        <v>0</v>
      </c>
      <c r="DZ116" s="768">
        <f t="shared" ref="DZ116:EH116" si="117">-SUM(DZ26,DZ44)*DZ98</f>
        <v>0</v>
      </c>
      <c r="EA116" s="768">
        <f t="shared" si="117"/>
        <v>0</v>
      </c>
      <c r="EB116" s="768">
        <f t="shared" si="117"/>
        <v>0</v>
      </c>
      <c r="EC116" s="768">
        <f t="shared" si="117"/>
        <v>0</v>
      </c>
      <c r="ED116" s="768">
        <f t="shared" si="117"/>
        <v>0</v>
      </c>
      <c r="EE116" s="768">
        <f t="shared" si="117"/>
        <v>0</v>
      </c>
      <c r="EF116" s="768">
        <f t="shared" si="117"/>
        <v>0</v>
      </c>
      <c r="EG116" s="768">
        <f t="shared" si="117"/>
        <v>0</v>
      </c>
      <c r="EH116" s="768">
        <f t="shared" si="117"/>
        <v>0</v>
      </c>
      <c r="EI116" s="768">
        <f t="shared" ref="EI116:ET116" si="118">-SUM(EI26,EI44)*EI98</f>
        <v>0</v>
      </c>
      <c r="EJ116" s="768">
        <f t="shared" si="118"/>
        <v>0</v>
      </c>
      <c r="EK116" s="768">
        <f t="shared" si="118"/>
        <v>0</v>
      </c>
      <c r="EL116" s="768">
        <f t="shared" si="118"/>
        <v>0</v>
      </c>
      <c r="EM116" s="768">
        <f t="shared" si="118"/>
        <v>0</v>
      </c>
      <c r="EN116" s="768">
        <f t="shared" si="118"/>
        <v>0</v>
      </c>
      <c r="EO116" s="768">
        <f t="shared" si="118"/>
        <v>0</v>
      </c>
      <c r="EP116" s="768">
        <f t="shared" si="118"/>
        <v>0</v>
      </c>
      <c r="EQ116" s="768">
        <f t="shared" si="118"/>
        <v>0</v>
      </c>
      <c r="ER116" s="768">
        <f t="shared" si="118"/>
        <v>0</v>
      </c>
      <c r="ES116" s="768">
        <f t="shared" si="118"/>
        <v>0</v>
      </c>
      <c r="ET116" s="768">
        <f t="shared" si="118"/>
        <v>0</v>
      </c>
      <c r="EU116" s="768">
        <f t="shared" si="70"/>
        <v>0</v>
      </c>
    </row>
    <row r="117" spans="1:151" s="773" customFormat="1" ht="11.25" customHeight="1">
      <c r="A117" s="704"/>
      <c r="B117" s="704"/>
      <c r="C117" s="735"/>
      <c r="D117" s="743">
        <f t="shared" si="62"/>
        <v>2</v>
      </c>
      <c r="E117" s="704" t="str">
        <f t="shared" si="62"/>
        <v>쿠팡</v>
      </c>
      <c r="F117" s="704" t="str">
        <f t="shared" si="62"/>
        <v>상온창고</v>
      </c>
      <c r="G117" s="752"/>
      <c r="H117" s="744"/>
      <c r="I117" s="745"/>
      <c r="J117" s="745"/>
      <c r="K117" s="754"/>
      <c r="L117" s="746"/>
      <c r="M117" s="722"/>
      <c r="N117" s="747">
        <f t="shared" si="63"/>
        <v>-1002723.5733328124</v>
      </c>
      <c r="O117" s="769"/>
      <c r="P117" s="768">
        <f t="shared" ref="P117:AU117" si="119">-SUM(P27,P45)*P99</f>
        <v>0</v>
      </c>
      <c r="Q117" s="768">
        <f t="shared" si="119"/>
        <v>0</v>
      </c>
      <c r="R117" s="768">
        <f t="shared" si="119"/>
        <v>0</v>
      </c>
      <c r="S117" s="768">
        <f t="shared" si="119"/>
        <v>0</v>
      </c>
      <c r="T117" s="768">
        <f t="shared" si="119"/>
        <v>-137772.23850000001</v>
      </c>
      <c r="U117" s="768">
        <f t="shared" si="119"/>
        <v>0</v>
      </c>
      <c r="V117" s="768">
        <f t="shared" si="119"/>
        <v>0</v>
      </c>
      <c r="W117" s="768">
        <f t="shared" si="119"/>
        <v>0</v>
      </c>
      <c r="X117" s="768">
        <f t="shared" si="119"/>
        <v>0</v>
      </c>
      <c r="Y117" s="768">
        <f t="shared" si="119"/>
        <v>0</v>
      </c>
      <c r="Z117" s="768">
        <f t="shared" si="119"/>
        <v>0</v>
      </c>
      <c r="AA117" s="768">
        <f t="shared" si="119"/>
        <v>0</v>
      </c>
      <c r="AB117" s="768">
        <f t="shared" si="119"/>
        <v>0</v>
      </c>
      <c r="AC117" s="768">
        <f t="shared" si="119"/>
        <v>0</v>
      </c>
      <c r="AD117" s="768">
        <f t="shared" si="119"/>
        <v>0</v>
      </c>
      <c r="AE117" s="768">
        <f t="shared" si="119"/>
        <v>0</v>
      </c>
      <c r="AF117" s="768">
        <f t="shared" si="119"/>
        <v>-141216.54446249999</v>
      </c>
      <c r="AG117" s="768">
        <f t="shared" si="119"/>
        <v>0</v>
      </c>
      <c r="AH117" s="768">
        <f t="shared" si="119"/>
        <v>0</v>
      </c>
      <c r="AI117" s="768">
        <f t="shared" si="119"/>
        <v>0</v>
      </c>
      <c r="AJ117" s="768">
        <f t="shared" si="119"/>
        <v>0</v>
      </c>
      <c r="AK117" s="768">
        <f t="shared" si="119"/>
        <v>0</v>
      </c>
      <c r="AL117" s="768">
        <f t="shared" si="119"/>
        <v>0</v>
      </c>
      <c r="AM117" s="768">
        <f t="shared" si="119"/>
        <v>0</v>
      </c>
      <c r="AN117" s="768">
        <f t="shared" si="119"/>
        <v>0</v>
      </c>
      <c r="AO117" s="747">
        <f t="shared" si="119"/>
        <v>0</v>
      </c>
      <c r="AP117" s="747">
        <f t="shared" si="119"/>
        <v>0</v>
      </c>
      <c r="AQ117" s="747">
        <f t="shared" si="119"/>
        <v>0</v>
      </c>
      <c r="AR117" s="747">
        <f t="shared" si="119"/>
        <v>0</v>
      </c>
      <c r="AS117" s="747">
        <f t="shared" si="119"/>
        <v>0</v>
      </c>
      <c r="AT117" s="747">
        <f t="shared" si="119"/>
        <v>0</v>
      </c>
      <c r="AU117" s="747">
        <f t="shared" si="119"/>
        <v>0</v>
      </c>
      <c r="AV117" s="1333">
        <f t="shared" ref="AV117:CA117" si="120">-SUM(AV27,AV45)*AV99</f>
        <v>-144746.95807406248</v>
      </c>
      <c r="AW117" s="1333">
        <f t="shared" si="120"/>
        <v>-144746.95807406248</v>
      </c>
      <c r="AX117" s="1333">
        <f t="shared" si="120"/>
        <v>-144746.95807406248</v>
      </c>
      <c r="AY117" s="1333">
        <f t="shared" si="120"/>
        <v>-144746.95807406248</v>
      </c>
      <c r="AZ117" s="1333">
        <f t="shared" si="120"/>
        <v>-144746.95807406248</v>
      </c>
      <c r="BA117" s="768">
        <f t="shared" si="120"/>
        <v>0</v>
      </c>
      <c r="BB117" s="768">
        <f t="shared" si="120"/>
        <v>0</v>
      </c>
      <c r="BC117" s="768">
        <f t="shared" si="120"/>
        <v>0</v>
      </c>
      <c r="BD117" s="768">
        <f t="shared" si="120"/>
        <v>0</v>
      </c>
      <c r="BE117" s="768">
        <f t="shared" si="120"/>
        <v>0</v>
      </c>
      <c r="BF117" s="768">
        <f t="shared" si="120"/>
        <v>0</v>
      </c>
      <c r="BG117" s="768">
        <f t="shared" si="120"/>
        <v>0</v>
      </c>
      <c r="BH117" s="768">
        <f t="shared" si="120"/>
        <v>0</v>
      </c>
      <c r="BI117" s="768">
        <f t="shared" si="120"/>
        <v>0</v>
      </c>
      <c r="BJ117" s="768">
        <f t="shared" si="120"/>
        <v>0</v>
      </c>
      <c r="BK117" s="768">
        <f t="shared" si="120"/>
        <v>0</v>
      </c>
      <c r="BL117" s="768">
        <f t="shared" si="120"/>
        <v>0</v>
      </c>
      <c r="BM117" s="768">
        <f t="shared" si="120"/>
        <v>0</v>
      </c>
      <c r="BN117" s="768">
        <f t="shared" si="120"/>
        <v>0</v>
      </c>
      <c r="BO117" s="768">
        <f t="shared" si="120"/>
        <v>0</v>
      </c>
      <c r="BP117" s="768">
        <f t="shared" si="120"/>
        <v>0</v>
      </c>
      <c r="BQ117" s="768">
        <f t="shared" si="120"/>
        <v>0</v>
      </c>
      <c r="BR117" s="768">
        <f t="shared" si="120"/>
        <v>0</v>
      </c>
      <c r="BS117" s="768">
        <f t="shared" si="120"/>
        <v>0</v>
      </c>
      <c r="BT117" s="768">
        <f t="shared" si="120"/>
        <v>0</v>
      </c>
      <c r="BU117" s="768">
        <f t="shared" si="120"/>
        <v>0</v>
      </c>
      <c r="BV117" s="768">
        <f t="shared" si="120"/>
        <v>0</v>
      </c>
      <c r="BW117" s="768">
        <f t="shared" si="120"/>
        <v>0</v>
      </c>
      <c r="BX117" s="768">
        <f t="shared" si="120"/>
        <v>0</v>
      </c>
      <c r="BY117" s="768">
        <f t="shared" si="120"/>
        <v>0</v>
      </c>
      <c r="BZ117" s="768">
        <f t="shared" si="120"/>
        <v>0</v>
      </c>
      <c r="CA117" s="768">
        <f t="shared" si="120"/>
        <v>0</v>
      </c>
      <c r="CB117" s="768">
        <f t="shared" ref="CB117:DG117" si="121">-SUM(CB27,CB45)*CB99</f>
        <v>0</v>
      </c>
      <c r="CC117" s="768">
        <f t="shared" si="121"/>
        <v>0</v>
      </c>
      <c r="CD117" s="768">
        <f t="shared" si="121"/>
        <v>0</v>
      </c>
      <c r="CE117" s="768">
        <f t="shared" si="121"/>
        <v>0</v>
      </c>
      <c r="CF117" s="768">
        <f t="shared" si="121"/>
        <v>0</v>
      </c>
      <c r="CG117" s="768">
        <f t="shared" si="121"/>
        <v>0</v>
      </c>
      <c r="CH117" s="768">
        <f t="shared" si="121"/>
        <v>0</v>
      </c>
      <c r="CI117" s="768">
        <f t="shared" si="121"/>
        <v>0</v>
      </c>
      <c r="CJ117" s="768">
        <f t="shared" si="121"/>
        <v>0</v>
      </c>
      <c r="CK117" s="768">
        <f t="shared" si="121"/>
        <v>0</v>
      </c>
      <c r="CL117" s="768">
        <f t="shared" si="121"/>
        <v>0</v>
      </c>
      <c r="CM117" s="768">
        <f t="shared" si="121"/>
        <v>0</v>
      </c>
      <c r="CN117" s="768">
        <f t="shared" si="121"/>
        <v>0</v>
      </c>
      <c r="CO117" s="768">
        <f t="shared" si="121"/>
        <v>0</v>
      </c>
      <c r="CP117" s="768">
        <f t="shared" si="121"/>
        <v>0</v>
      </c>
      <c r="CQ117" s="768">
        <f t="shared" si="121"/>
        <v>0</v>
      </c>
      <c r="CR117" s="768">
        <f t="shared" si="121"/>
        <v>0</v>
      </c>
      <c r="CS117" s="768">
        <f t="shared" si="121"/>
        <v>0</v>
      </c>
      <c r="CT117" s="768">
        <f t="shared" si="121"/>
        <v>0</v>
      </c>
      <c r="CU117" s="768">
        <f t="shared" si="121"/>
        <v>0</v>
      </c>
      <c r="CV117" s="768">
        <f t="shared" si="121"/>
        <v>0</v>
      </c>
      <c r="CW117" s="768">
        <f t="shared" si="121"/>
        <v>0</v>
      </c>
      <c r="CX117" s="768">
        <f t="shared" si="121"/>
        <v>0</v>
      </c>
      <c r="CY117" s="768">
        <f t="shared" si="121"/>
        <v>0</v>
      </c>
      <c r="CZ117" s="768">
        <f t="shared" si="121"/>
        <v>0</v>
      </c>
      <c r="DA117" s="768">
        <f t="shared" si="121"/>
        <v>0</v>
      </c>
      <c r="DB117" s="768">
        <f t="shared" si="121"/>
        <v>0</v>
      </c>
      <c r="DC117" s="768">
        <f t="shared" si="121"/>
        <v>0</v>
      </c>
      <c r="DD117" s="768">
        <f t="shared" si="121"/>
        <v>0</v>
      </c>
      <c r="DE117" s="768">
        <f t="shared" si="121"/>
        <v>0</v>
      </c>
      <c r="DF117" s="768">
        <f t="shared" si="121"/>
        <v>0</v>
      </c>
      <c r="DG117" s="768">
        <f t="shared" si="121"/>
        <v>0</v>
      </c>
      <c r="DH117" s="768">
        <f t="shared" ref="DH117:DY117" si="122">-SUM(DH27,DH45)*DH99</f>
        <v>0</v>
      </c>
      <c r="DI117" s="768">
        <f t="shared" si="122"/>
        <v>0</v>
      </c>
      <c r="DJ117" s="768">
        <f t="shared" si="122"/>
        <v>0</v>
      </c>
      <c r="DK117" s="768">
        <f t="shared" si="122"/>
        <v>0</v>
      </c>
      <c r="DL117" s="768">
        <f t="shared" si="122"/>
        <v>0</v>
      </c>
      <c r="DM117" s="768">
        <f t="shared" si="122"/>
        <v>0</v>
      </c>
      <c r="DN117" s="768">
        <f t="shared" si="122"/>
        <v>0</v>
      </c>
      <c r="DO117" s="768">
        <f t="shared" si="122"/>
        <v>0</v>
      </c>
      <c r="DP117" s="768">
        <f t="shared" si="122"/>
        <v>0</v>
      </c>
      <c r="DQ117" s="768">
        <f t="shared" si="122"/>
        <v>0</v>
      </c>
      <c r="DR117" s="768">
        <f t="shared" si="122"/>
        <v>0</v>
      </c>
      <c r="DS117" s="768">
        <f t="shared" si="122"/>
        <v>0</v>
      </c>
      <c r="DT117" s="768">
        <f t="shared" si="122"/>
        <v>0</v>
      </c>
      <c r="DU117" s="768">
        <f t="shared" si="122"/>
        <v>0</v>
      </c>
      <c r="DV117" s="768">
        <f t="shared" si="122"/>
        <v>0</v>
      </c>
      <c r="DW117" s="768">
        <f t="shared" si="122"/>
        <v>0</v>
      </c>
      <c r="DX117" s="768">
        <f t="shared" si="122"/>
        <v>0</v>
      </c>
      <c r="DY117" s="768">
        <f t="shared" si="122"/>
        <v>0</v>
      </c>
      <c r="DZ117" s="768">
        <f t="shared" ref="DZ117:EH117" si="123">-SUM(DZ27,DZ45)*DZ99</f>
        <v>0</v>
      </c>
      <c r="EA117" s="768">
        <f t="shared" si="123"/>
        <v>0</v>
      </c>
      <c r="EB117" s="768">
        <f t="shared" si="123"/>
        <v>0</v>
      </c>
      <c r="EC117" s="768">
        <f t="shared" si="123"/>
        <v>0</v>
      </c>
      <c r="ED117" s="768">
        <f t="shared" si="123"/>
        <v>0</v>
      </c>
      <c r="EE117" s="768">
        <f t="shared" si="123"/>
        <v>0</v>
      </c>
      <c r="EF117" s="768">
        <f t="shared" si="123"/>
        <v>0</v>
      </c>
      <c r="EG117" s="768">
        <f t="shared" si="123"/>
        <v>0</v>
      </c>
      <c r="EH117" s="768">
        <f t="shared" si="123"/>
        <v>0</v>
      </c>
      <c r="EI117" s="768">
        <f t="shared" ref="EI117:ET117" si="124">-SUM(EI27,EI45)*EI99</f>
        <v>0</v>
      </c>
      <c r="EJ117" s="768">
        <f t="shared" si="124"/>
        <v>0</v>
      </c>
      <c r="EK117" s="768">
        <f t="shared" si="124"/>
        <v>0</v>
      </c>
      <c r="EL117" s="768">
        <f t="shared" si="124"/>
        <v>0</v>
      </c>
      <c r="EM117" s="768">
        <f t="shared" si="124"/>
        <v>0</v>
      </c>
      <c r="EN117" s="768">
        <f t="shared" si="124"/>
        <v>0</v>
      </c>
      <c r="EO117" s="768">
        <f t="shared" si="124"/>
        <v>0</v>
      </c>
      <c r="EP117" s="768">
        <f t="shared" si="124"/>
        <v>0</v>
      </c>
      <c r="EQ117" s="768">
        <f t="shared" si="124"/>
        <v>0</v>
      </c>
      <c r="ER117" s="768">
        <f t="shared" si="124"/>
        <v>0</v>
      </c>
      <c r="ES117" s="768">
        <f t="shared" si="124"/>
        <v>0</v>
      </c>
      <c r="ET117" s="768">
        <f t="shared" si="124"/>
        <v>0</v>
      </c>
      <c r="EU117" s="768">
        <f t="shared" si="70"/>
        <v>0</v>
      </c>
    </row>
    <row r="118" spans="1:151" s="773" customFormat="1" ht="11.25" customHeight="1">
      <c r="A118" s="704"/>
      <c r="B118" s="704"/>
      <c r="C118" s="735"/>
      <c r="D118" s="743">
        <f t="shared" si="62"/>
        <v>1</v>
      </c>
      <c r="E118" s="704" t="str">
        <f t="shared" si="62"/>
        <v>지오영</v>
      </c>
      <c r="F118" s="704" t="str">
        <f t="shared" si="62"/>
        <v>상온창고</v>
      </c>
      <c r="G118" s="752"/>
      <c r="H118" s="744"/>
      <c r="I118" s="745"/>
      <c r="J118" s="745"/>
      <c r="K118" s="754"/>
      <c r="L118" s="711"/>
      <c r="M118" s="722"/>
      <c r="N118" s="747">
        <f t="shared" si="63"/>
        <v>-902827.8512422822</v>
      </c>
      <c r="O118" s="769"/>
      <c r="P118" s="768">
        <f t="shared" ref="P118:AU118" si="125">-SUM(P28,P46)*P100</f>
        <v>0</v>
      </c>
      <c r="Q118" s="768">
        <f t="shared" si="125"/>
        <v>0</v>
      </c>
      <c r="R118" s="768">
        <f t="shared" si="125"/>
        <v>0</v>
      </c>
      <c r="S118" s="768">
        <f t="shared" si="125"/>
        <v>0</v>
      </c>
      <c r="T118" s="768">
        <f t="shared" si="125"/>
        <v>0</v>
      </c>
      <c r="U118" s="768">
        <f t="shared" si="125"/>
        <v>-68896.205249999999</v>
      </c>
      <c r="V118" s="768">
        <f t="shared" si="125"/>
        <v>-34448.102625</v>
      </c>
      <c r="W118" s="768">
        <f t="shared" si="125"/>
        <v>0</v>
      </c>
      <c r="X118" s="768">
        <f t="shared" si="125"/>
        <v>0</v>
      </c>
      <c r="Y118" s="768">
        <f t="shared" si="125"/>
        <v>0</v>
      </c>
      <c r="Z118" s="768">
        <f t="shared" si="125"/>
        <v>0</v>
      </c>
      <c r="AA118" s="768">
        <f t="shared" si="125"/>
        <v>0</v>
      </c>
      <c r="AB118" s="768">
        <f t="shared" si="125"/>
        <v>0</v>
      </c>
      <c r="AC118" s="768">
        <f t="shared" si="125"/>
        <v>0</v>
      </c>
      <c r="AD118" s="768">
        <f t="shared" si="125"/>
        <v>0</v>
      </c>
      <c r="AE118" s="768">
        <f t="shared" si="125"/>
        <v>0</v>
      </c>
      <c r="AF118" s="768">
        <f t="shared" si="125"/>
        <v>0</v>
      </c>
      <c r="AG118" s="768">
        <f t="shared" si="125"/>
        <v>-70618.610381250008</v>
      </c>
      <c r="AH118" s="768">
        <f t="shared" si="125"/>
        <v>-35309.305190625004</v>
      </c>
      <c r="AI118" s="768">
        <f t="shared" si="125"/>
        <v>0</v>
      </c>
      <c r="AJ118" s="768">
        <f t="shared" si="125"/>
        <v>0</v>
      </c>
      <c r="AK118" s="768">
        <f t="shared" si="125"/>
        <v>0</v>
      </c>
      <c r="AL118" s="768">
        <f t="shared" si="125"/>
        <v>0</v>
      </c>
      <c r="AM118" s="768">
        <f t="shared" si="125"/>
        <v>0</v>
      </c>
      <c r="AN118" s="768">
        <f t="shared" si="125"/>
        <v>0</v>
      </c>
      <c r="AO118" s="768">
        <f t="shared" si="125"/>
        <v>0</v>
      </c>
      <c r="AP118" s="768">
        <f t="shared" si="125"/>
        <v>0</v>
      </c>
      <c r="AQ118" s="768">
        <f t="shared" si="125"/>
        <v>0</v>
      </c>
      <c r="AR118" s="768">
        <f t="shared" si="125"/>
        <v>0</v>
      </c>
      <c r="AS118" s="768">
        <f t="shared" si="125"/>
        <v>-72384.075640781244</v>
      </c>
      <c r="AT118" s="768">
        <f t="shared" si="125"/>
        <v>-36192.037820390622</v>
      </c>
      <c r="AU118" s="768">
        <f t="shared" si="125"/>
        <v>0</v>
      </c>
      <c r="AV118" s="768">
        <f t="shared" ref="AV118:CA118" si="126">-SUM(AV28,AV46)*AV100</f>
        <v>0</v>
      </c>
      <c r="AW118" s="768">
        <f t="shared" si="126"/>
        <v>0</v>
      </c>
      <c r="AX118" s="768">
        <f t="shared" si="126"/>
        <v>0</v>
      </c>
      <c r="AY118" s="768">
        <f t="shared" si="126"/>
        <v>0</v>
      </c>
      <c r="AZ118" s="768">
        <f t="shared" si="126"/>
        <v>0</v>
      </c>
      <c r="BA118" s="768">
        <f t="shared" si="126"/>
        <v>0</v>
      </c>
      <c r="BB118" s="768">
        <f t="shared" si="126"/>
        <v>0</v>
      </c>
      <c r="BC118" s="768">
        <f t="shared" si="126"/>
        <v>0</v>
      </c>
      <c r="BD118" s="768">
        <f t="shared" si="126"/>
        <v>0</v>
      </c>
      <c r="BE118" s="768">
        <f t="shared" si="126"/>
        <v>-74193.677531800771</v>
      </c>
      <c r="BF118" s="768">
        <f t="shared" si="126"/>
        <v>-37096.838765900386</v>
      </c>
      <c r="BG118" s="768">
        <f t="shared" si="126"/>
        <v>0</v>
      </c>
      <c r="BH118" s="768">
        <f t="shared" si="126"/>
        <v>0</v>
      </c>
      <c r="BI118" s="768">
        <f t="shared" si="126"/>
        <v>0</v>
      </c>
      <c r="BJ118" s="768">
        <f t="shared" si="126"/>
        <v>0</v>
      </c>
      <c r="BK118" s="768">
        <f t="shared" si="126"/>
        <v>0</v>
      </c>
      <c r="BL118" s="768">
        <f t="shared" si="126"/>
        <v>0</v>
      </c>
      <c r="BM118" s="768">
        <f t="shared" si="126"/>
        <v>0</v>
      </c>
      <c r="BN118" s="768">
        <f t="shared" si="126"/>
        <v>0</v>
      </c>
      <c r="BO118" s="768">
        <f t="shared" si="126"/>
        <v>0</v>
      </c>
      <c r="BP118" s="768">
        <f t="shared" si="126"/>
        <v>0</v>
      </c>
      <c r="BQ118" s="768">
        <f t="shared" si="126"/>
        <v>-76048.51947009578</v>
      </c>
      <c r="BR118" s="768">
        <f t="shared" si="126"/>
        <v>-38024.25973504789</v>
      </c>
      <c r="BS118" s="768">
        <f t="shared" si="126"/>
        <v>0</v>
      </c>
      <c r="BT118" s="768">
        <f t="shared" si="126"/>
        <v>0</v>
      </c>
      <c r="BU118" s="768">
        <f t="shared" si="126"/>
        <v>0</v>
      </c>
      <c r="BV118" s="768">
        <f t="shared" si="126"/>
        <v>0</v>
      </c>
      <c r="BW118" s="768">
        <f t="shared" si="126"/>
        <v>0</v>
      </c>
      <c r="BX118" s="768">
        <f t="shared" si="126"/>
        <v>0</v>
      </c>
      <c r="BY118" s="768">
        <f t="shared" si="126"/>
        <v>0</v>
      </c>
      <c r="BZ118" s="768">
        <f t="shared" si="126"/>
        <v>0</v>
      </c>
      <c r="CA118" s="768">
        <f t="shared" si="126"/>
        <v>0</v>
      </c>
      <c r="CB118" s="768">
        <f t="shared" ref="CB118:DG118" si="127">-SUM(CB28,CB46)*CB100</f>
        <v>0</v>
      </c>
      <c r="CC118" s="768">
        <f t="shared" si="127"/>
        <v>-77949.732456848185</v>
      </c>
      <c r="CD118" s="768">
        <f t="shared" si="127"/>
        <v>-38974.866228424093</v>
      </c>
      <c r="CE118" s="768">
        <f t="shared" si="127"/>
        <v>0</v>
      </c>
      <c r="CF118" s="768">
        <f t="shared" si="127"/>
        <v>0</v>
      </c>
      <c r="CG118" s="768">
        <f t="shared" si="127"/>
        <v>0</v>
      </c>
      <c r="CH118" s="768">
        <f t="shared" si="127"/>
        <v>0</v>
      </c>
      <c r="CI118" s="768">
        <f t="shared" si="127"/>
        <v>0</v>
      </c>
      <c r="CJ118" s="768">
        <f t="shared" si="127"/>
        <v>0</v>
      </c>
      <c r="CK118" s="768">
        <f t="shared" si="127"/>
        <v>0</v>
      </c>
      <c r="CL118" s="768">
        <f t="shared" si="127"/>
        <v>0</v>
      </c>
      <c r="CM118" s="768">
        <f t="shared" si="127"/>
        <v>0</v>
      </c>
      <c r="CN118" s="768">
        <f t="shared" si="127"/>
        <v>0</v>
      </c>
      <c r="CO118" s="768">
        <f t="shared" si="127"/>
        <v>-79898.475768269374</v>
      </c>
      <c r="CP118" s="768">
        <f t="shared" si="127"/>
        <v>-39949.237884134687</v>
      </c>
      <c r="CQ118" s="768">
        <f t="shared" si="127"/>
        <v>0</v>
      </c>
      <c r="CR118" s="768">
        <f t="shared" si="127"/>
        <v>0</v>
      </c>
      <c r="CS118" s="768">
        <f t="shared" si="127"/>
        <v>0</v>
      </c>
      <c r="CT118" s="768">
        <f t="shared" si="127"/>
        <v>0</v>
      </c>
      <c r="CU118" s="768">
        <f t="shared" si="127"/>
        <v>0</v>
      </c>
      <c r="CV118" s="768">
        <f t="shared" si="127"/>
        <v>0</v>
      </c>
      <c r="CW118" s="768">
        <f t="shared" si="127"/>
        <v>0</v>
      </c>
      <c r="CX118" s="768">
        <f t="shared" si="127"/>
        <v>0</v>
      </c>
      <c r="CY118" s="768">
        <f t="shared" si="127"/>
        <v>0</v>
      </c>
      <c r="CZ118" s="768">
        <f t="shared" si="127"/>
        <v>0</v>
      </c>
      <c r="DA118" s="768">
        <f t="shared" si="127"/>
        <v>-81895.937662476092</v>
      </c>
      <c r="DB118" s="768">
        <f t="shared" si="127"/>
        <v>-40947.968831238046</v>
      </c>
      <c r="DC118" s="768">
        <f t="shared" si="127"/>
        <v>0</v>
      </c>
      <c r="DD118" s="768">
        <f t="shared" si="127"/>
        <v>0</v>
      </c>
      <c r="DE118" s="768">
        <f t="shared" si="127"/>
        <v>0</v>
      </c>
      <c r="DF118" s="768">
        <f t="shared" si="127"/>
        <v>0</v>
      </c>
      <c r="DG118" s="768">
        <f t="shared" si="127"/>
        <v>0</v>
      </c>
      <c r="DH118" s="768">
        <f t="shared" ref="DH118:DY118" si="128">-SUM(DH28,DH46)*DH100</f>
        <v>0</v>
      </c>
      <c r="DI118" s="768">
        <f t="shared" si="128"/>
        <v>0</v>
      </c>
      <c r="DJ118" s="768">
        <f t="shared" si="128"/>
        <v>0</v>
      </c>
      <c r="DK118" s="768">
        <f t="shared" si="128"/>
        <v>0</v>
      </c>
      <c r="DL118" s="768">
        <f t="shared" si="128"/>
        <v>0</v>
      </c>
      <c r="DM118" s="768">
        <f t="shared" si="128"/>
        <v>0</v>
      </c>
      <c r="DN118" s="768">
        <f t="shared" si="128"/>
        <v>0</v>
      </c>
      <c r="DO118" s="768">
        <f t="shared" si="128"/>
        <v>0</v>
      </c>
      <c r="DP118" s="768">
        <f t="shared" si="128"/>
        <v>0</v>
      </c>
      <c r="DQ118" s="768">
        <f t="shared" si="128"/>
        <v>0</v>
      </c>
      <c r="DR118" s="768">
        <f t="shared" si="128"/>
        <v>0</v>
      </c>
      <c r="DS118" s="768">
        <f t="shared" si="128"/>
        <v>0</v>
      </c>
      <c r="DT118" s="768">
        <f t="shared" si="128"/>
        <v>0</v>
      </c>
      <c r="DU118" s="768">
        <f t="shared" si="128"/>
        <v>0</v>
      </c>
      <c r="DV118" s="768">
        <f t="shared" si="128"/>
        <v>0</v>
      </c>
      <c r="DW118" s="768">
        <f t="shared" si="128"/>
        <v>0</v>
      </c>
      <c r="DX118" s="768">
        <f t="shared" si="128"/>
        <v>0</v>
      </c>
      <c r="DY118" s="768">
        <f t="shared" si="128"/>
        <v>0</v>
      </c>
      <c r="DZ118" s="768">
        <f t="shared" ref="DZ118:EH118" si="129">-SUM(DZ28,DZ46)*DZ100</f>
        <v>0</v>
      </c>
      <c r="EA118" s="768">
        <f t="shared" si="129"/>
        <v>0</v>
      </c>
      <c r="EB118" s="768">
        <f t="shared" si="129"/>
        <v>0</v>
      </c>
      <c r="EC118" s="768">
        <f t="shared" si="129"/>
        <v>0</v>
      </c>
      <c r="ED118" s="768">
        <f t="shared" si="129"/>
        <v>0</v>
      </c>
      <c r="EE118" s="768">
        <f t="shared" si="129"/>
        <v>0</v>
      </c>
      <c r="EF118" s="768">
        <f t="shared" si="129"/>
        <v>0</v>
      </c>
      <c r="EG118" s="768">
        <f t="shared" si="129"/>
        <v>0</v>
      </c>
      <c r="EH118" s="768">
        <f t="shared" si="129"/>
        <v>0</v>
      </c>
      <c r="EI118" s="768">
        <f t="shared" ref="EI118:ET118" si="130">-SUM(EI28,EI46)*EI100</f>
        <v>0</v>
      </c>
      <c r="EJ118" s="768">
        <f t="shared" si="130"/>
        <v>0</v>
      </c>
      <c r="EK118" s="768">
        <f t="shared" si="130"/>
        <v>0</v>
      </c>
      <c r="EL118" s="768">
        <f t="shared" si="130"/>
        <v>0</v>
      </c>
      <c r="EM118" s="768">
        <f t="shared" si="130"/>
        <v>0</v>
      </c>
      <c r="EN118" s="768">
        <f t="shared" si="130"/>
        <v>0</v>
      </c>
      <c r="EO118" s="768">
        <f t="shared" si="130"/>
        <v>0</v>
      </c>
      <c r="EP118" s="768">
        <f t="shared" si="130"/>
        <v>0</v>
      </c>
      <c r="EQ118" s="768">
        <f t="shared" si="130"/>
        <v>0</v>
      </c>
      <c r="ER118" s="768">
        <f t="shared" si="130"/>
        <v>0</v>
      </c>
      <c r="ES118" s="768">
        <f t="shared" si="130"/>
        <v>0</v>
      </c>
      <c r="ET118" s="768">
        <f t="shared" si="130"/>
        <v>0</v>
      </c>
      <c r="EU118" s="768">
        <f t="shared" si="70"/>
        <v>0</v>
      </c>
    </row>
    <row r="119" spans="1:151" s="773" customFormat="1" ht="11.25" customHeight="1">
      <c r="A119" s="704"/>
      <c r="B119" s="704"/>
      <c r="C119" s="735"/>
      <c r="D119" s="743">
        <f t="shared" si="62"/>
        <v>1</v>
      </c>
      <c r="E119" s="704" t="str">
        <f t="shared" si="62"/>
        <v>용마로지스</v>
      </c>
      <c r="F119" s="704" t="str">
        <f t="shared" si="62"/>
        <v>상온창고</v>
      </c>
      <c r="G119" s="752"/>
      <c r="H119" s="744"/>
      <c r="I119" s="745"/>
      <c r="J119" s="745"/>
      <c r="K119" s="754"/>
      <c r="L119" s="711"/>
      <c r="M119" s="722"/>
      <c r="N119" s="747">
        <f t="shared" si="63"/>
        <v>-248956.08982207027</v>
      </c>
      <c r="O119" s="769"/>
      <c r="P119" s="768">
        <f t="shared" ref="P119:AU119" si="131">-SUM(P29,P47)*P101</f>
        <v>0</v>
      </c>
      <c r="Q119" s="768">
        <f t="shared" si="131"/>
        <v>0</v>
      </c>
      <c r="R119" s="768">
        <f t="shared" si="131"/>
        <v>-26981.625937499997</v>
      </c>
      <c r="S119" s="768">
        <f t="shared" si="131"/>
        <v>-53963.251874999994</v>
      </c>
      <c r="T119" s="768">
        <f t="shared" si="131"/>
        <v>0</v>
      </c>
      <c r="U119" s="768">
        <f t="shared" si="131"/>
        <v>0</v>
      </c>
      <c r="V119" s="768">
        <f t="shared" si="131"/>
        <v>0</v>
      </c>
      <c r="W119" s="768">
        <f t="shared" si="131"/>
        <v>0</v>
      </c>
      <c r="X119" s="768">
        <f t="shared" si="131"/>
        <v>0</v>
      </c>
      <c r="Y119" s="768">
        <f t="shared" si="131"/>
        <v>0</v>
      </c>
      <c r="Z119" s="768">
        <f t="shared" si="131"/>
        <v>0</v>
      </c>
      <c r="AA119" s="768">
        <f t="shared" si="131"/>
        <v>0</v>
      </c>
      <c r="AB119" s="768">
        <f t="shared" si="131"/>
        <v>0</v>
      </c>
      <c r="AC119" s="768">
        <f t="shared" si="131"/>
        <v>0</v>
      </c>
      <c r="AD119" s="768">
        <f t="shared" si="131"/>
        <v>-27656.166585937495</v>
      </c>
      <c r="AE119" s="768">
        <f t="shared" si="131"/>
        <v>-55312.333171874991</v>
      </c>
      <c r="AF119" s="768">
        <f t="shared" si="131"/>
        <v>0</v>
      </c>
      <c r="AG119" s="768">
        <f t="shared" si="131"/>
        <v>0</v>
      </c>
      <c r="AH119" s="768">
        <f t="shared" si="131"/>
        <v>0</v>
      </c>
      <c r="AI119" s="768">
        <f t="shared" si="131"/>
        <v>0</v>
      </c>
      <c r="AJ119" s="768">
        <f t="shared" si="131"/>
        <v>0</v>
      </c>
      <c r="AK119" s="768">
        <f t="shared" si="131"/>
        <v>0</v>
      </c>
      <c r="AL119" s="768">
        <f t="shared" si="131"/>
        <v>0</v>
      </c>
      <c r="AM119" s="768">
        <f t="shared" si="131"/>
        <v>0</v>
      </c>
      <c r="AN119" s="768">
        <f t="shared" si="131"/>
        <v>0</v>
      </c>
      <c r="AO119" s="768">
        <f t="shared" si="131"/>
        <v>0</v>
      </c>
      <c r="AP119" s="768">
        <f t="shared" si="131"/>
        <v>-28347.570750585932</v>
      </c>
      <c r="AQ119" s="768">
        <f t="shared" si="131"/>
        <v>-56695.141501171864</v>
      </c>
      <c r="AR119" s="768">
        <f t="shared" si="131"/>
        <v>0</v>
      </c>
      <c r="AS119" s="768">
        <f t="shared" si="131"/>
        <v>0</v>
      </c>
      <c r="AT119" s="768">
        <f t="shared" si="131"/>
        <v>0</v>
      </c>
      <c r="AU119" s="768">
        <f t="shared" si="131"/>
        <v>0</v>
      </c>
      <c r="AV119" s="768">
        <f t="shared" ref="AV119:CA119" si="132">-SUM(AV29,AV47)*AV101</f>
        <v>0</v>
      </c>
      <c r="AW119" s="768">
        <f t="shared" si="132"/>
        <v>0</v>
      </c>
      <c r="AX119" s="768">
        <f t="shared" si="132"/>
        <v>0</v>
      </c>
      <c r="AY119" s="768">
        <f t="shared" si="132"/>
        <v>0</v>
      </c>
      <c r="AZ119" s="768">
        <f t="shared" si="132"/>
        <v>0</v>
      </c>
      <c r="BA119" s="768">
        <f t="shared" si="132"/>
        <v>0</v>
      </c>
      <c r="BB119" s="768">
        <f t="shared" si="132"/>
        <v>0</v>
      </c>
      <c r="BC119" s="768">
        <f t="shared" si="132"/>
        <v>0</v>
      </c>
      <c r="BD119" s="768">
        <f t="shared" si="132"/>
        <v>0</v>
      </c>
      <c r="BE119" s="768">
        <f t="shared" si="132"/>
        <v>0</v>
      </c>
      <c r="BF119" s="768">
        <f t="shared" si="132"/>
        <v>0</v>
      </c>
      <c r="BG119" s="768">
        <f t="shared" si="132"/>
        <v>0</v>
      </c>
      <c r="BH119" s="768">
        <f t="shared" si="132"/>
        <v>0</v>
      </c>
      <c r="BI119" s="768">
        <f t="shared" si="132"/>
        <v>0</v>
      </c>
      <c r="BJ119" s="768">
        <f t="shared" si="132"/>
        <v>0</v>
      </c>
      <c r="BK119" s="768">
        <f t="shared" si="132"/>
        <v>0</v>
      </c>
      <c r="BL119" s="768">
        <f t="shared" si="132"/>
        <v>0</v>
      </c>
      <c r="BM119" s="768">
        <f t="shared" si="132"/>
        <v>0</v>
      </c>
      <c r="BN119" s="768">
        <f t="shared" si="132"/>
        <v>0</v>
      </c>
      <c r="BO119" s="768">
        <f t="shared" si="132"/>
        <v>0</v>
      </c>
      <c r="BP119" s="768">
        <f t="shared" si="132"/>
        <v>0</v>
      </c>
      <c r="BQ119" s="768">
        <f t="shared" si="132"/>
        <v>0</v>
      </c>
      <c r="BR119" s="768">
        <f t="shared" si="132"/>
        <v>0</v>
      </c>
      <c r="BS119" s="768">
        <f t="shared" si="132"/>
        <v>0</v>
      </c>
      <c r="BT119" s="768">
        <f t="shared" si="132"/>
        <v>0</v>
      </c>
      <c r="BU119" s="768">
        <f t="shared" si="132"/>
        <v>0</v>
      </c>
      <c r="BV119" s="768">
        <f t="shared" si="132"/>
        <v>0</v>
      </c>
      <c r="BW119" s="768">
        <f t="shared" si="132"/>
        <v>0</v>
      </c>
      <c r="BX119" s="768">
        <f t="shared" si="132"/>
        <v>0</v>
      </c>
      <c r="BY119" s="768">
        <f t="shared" si="132"/>
        <v>0</v>
      </c>
      <c r="BZ119" s="768">
        <f t="shared" si="132"/>
        <v>0</v>
      </c>
      <c r="CA119" s="768">
        <f t="shared" si="132"/>
        <v>0</v>
      </c>
      <c r="CB119" s="768">
        <f t="shared" ref="CB119:DG119" si="133">-SUM(CB29,CB47)*CB101</f>
        <v>0</v>
      </c>
      <c r="CC119" s="768">
        <f t="shared" si="133"/>
        <v>0</v>
      </c>
      <c r="CD119" s="768">
        <f t="shared" si="133"/>
        <v>0</v>
      </c>
      <c r="CE119" s="768">
        <f t="shared" si="133"/>
        <v>0</v>
      </c>
      <c r="CF119" s="768">
        <f t="shared" si="133"/>
        <v>0</v>
      </c>
      <c r="CG119" s="768">
        <f t="shared" si="133"/>
        <v>0</v>
      </c>
      <c r="CH119" s="768">
        <f t="shared" si="133"/>
        <v>0</v>
      </c>
      <c r="CI119" s="768">
        <f t="shared" si="133"/>
        <v>0</v>
      </c>
      <c r="CJ119" s="768">
        <f t="shared" si="133"/>
        <v>0</v>
      </c>
      <c r="CK119" s="768">
        <f t="shared" si="133"/>
        <v>0</v>
      </c>
      <c r="CL119" s="768">
        <f t="shared" si="133"/>
        <v>0</v>
      </c>
      <c r="CM119" s="768">
        <f t="shared" si="133"/>
        <v>0</v>
      </c>
      <c r="CN119" s="768">
        <f t="shared" si="133"/>
        <v>0</v>
      </c>
      <c r="CO119" s="768">
        <f t="shared" si="133"/>
        <v>0</v>
      </c>
      <c r="CP119" s="768">
        <f t="shared" si="133"/>
        <v>0</v>
      </c>
      <c r="CQ119" s="768">
        <f t="shared" si="133"/>
        <v>0</v>
      </c>
      <c r="CR119" s="768">
        <f t="shared" si="133"/>
        <v>0</v>
      </c>
      <c r="CS119" s="768">
        <f t="shared" si="133"/>
        <v>0</v>
      </c>
      <c r="CT119" s="768">
        <f t="shared" si="133"/>
        <v>0</v>
      </c>
      <c r="CU119" s="768">
        <f t="shared" si="133"/>
        <v>0</v>
      </c>
      <c r="CV119" s="768">
        <f t="shared" si="133"/>
        <v>0</v>
      </c>
      <c r="CW119" s="768">
        <f t="shared" si="133"/>
        <v>0</v>
      </c>
      <c r="CX119" s="768">
        <f t="shared" si="133"/>
        <v>0</v>
      </c>
      <c r="CY119" s="768">
        <f t="shared" si="133"/>
        <v>0</v>
      </c>
      <c r="CZ119" s="768">
        <f t="shared" si="133"/>
        <v>0</v>
      </c>
      <c r="DA119" s="768">
        <f t="shared" si="133"/>
        <v>0</v>
      </c>
      <c r="DB119" s="768">
        <f t="shared" si="133"/>
        <v>0</v>
      </c>
      <c r="DC119" s="768">
        <f t="shared" si="133"/>
        <v>0</v>
      </c>
      <c r="DD119" s="768">
        <f t="shared" si="133"/>
        <v>0</v>
      </c>
      <c r="DE119" s="768">
        <f t="shared" si="133"/>
        <v>0</v>
      </c>
      <c r="DF119" s="768">
        <f t="shared" si="133"/>
        <v>0</v>
      </c>
      <c r="DG119" s="768">
        <f t="shared" si="133"/>
        <v>0</v>
      </c>
      <c r="DH119" s="768">
        <f t="shared" ref="DH119:DY119" si="134">-SUM(DH29,DH47)*DH101</f>
        <v>0</v>
      </c>
      <c r="DI119" s="768">
        <f t="shared" si="134"/>
        <v>0</v>
      </c>
      <c r="DJ119" s="768">
        <f t="shared" si="134"/>
        <v>0</v>
      </c>
      <c r="DK119" s="768">
        <f t="shared" si="134"/>
        <v>0</v>
      </c>
      <c r="DL119" s="768">
        <f t="shared" si="134"/>
        <v>0</v>
      </c>
      <c r="DM119" s="768">
        <f t="shared" si="134"/>
        <v>0</v>
      </c>
      <c r="DN119" s="768">
        <f t="shared" si="134"/>
        <v>0</v>
      </c>
      <c r="DO119" s="768">
        <f t="shared" si="134"/>
        <v>0</v>
      </c>
      <c r="DP119" s="768">
        <f t="shared" si="134"/>
        <v>0</v>
      </c>
      <c r="DQ119" s="768">
        <f t="shared" si="134"/>
        <v>0</v>
      </c>
      <c r="DR119" s="768">
        <f t="shared" si="134"/>
        <v>0</v>
      </c>
      <c r="DS119" s="768">
        <f t="shared" si="134"/>
        <v>0</v>
      </c>
      <c r="DT119" s="768">
        <f t="shared" si="134"/>
        <v>0</v>
      </c>
      <c r="DU119" s="768">
        <f t="shared" si="134"/>
        <v>0</v>
      </c>
      <c r="DV119" s="768">
        <f t="shared" si="134"/>
        <v>0</v>
      </c>
      <c r="DW119" s="768">
        <f t="shared" si="134"/>
        <v>0</v>
      </c>
      <c r="DX119" s="768">
        <f t="shared" si="134"/>
        <v>0</v>
      </c>
      <c r="DY119" s="768">
        <f t="shared" si="134"/>
        <v>0</v>
      </c>
      <c r="DZ119" s="768">
        <f t="shared" ref="DZ119:EH119" si="135">-SUM(DZ29,DZ47)*DZ101</f>
        <v>0</v>
      </c>
      <c r="EA119" s="768">
        <f t="shared" si="135"/>
        <v>0</v>
      </c>
      <c r="EB119" s="768">
        <f t="shared" si="135"/>
        <v>0</v>
      </c>
      <c r="EC119" s="768">
        <f t="shared" si="135"/>
        <v>0</v>
      </c>
      <c r="ED119" s="768">
        <f t="shared" si="135"/>
        <v>0</v>
      </c>
      <c r="EE119" s="768">
        <f t="shared" si="135"/>
        <v>0</v>
      </c>
      <c r="EF119" s="768">
        <f t="shared" si="135"/>
        <v>0</v>
      </c>
      <c r="EG119" s="768">
        <f t="shared" si="135"/>
        <v>0</v>
      </c>
      <c r="EH119" s="768">
        <f t="shared" si="135"/>
        <v>0</v>
      </c>
      <c r="EI119" s="768">
        <f t="shared" ref="EI119:ET119" si="136">-SUM(EI29,EI47)*EI101</f>
        <v>0</v>
      </c>
      <c r="EJ119" s="768">
        <f t="shared" si="136"/>
        <v>0</v>
      </c>
      <c r="EK119" s="768">
        <f t="shared" si="136"/>
        <v>0</v>
      </c>
      <c r="EL119" s="768">
        <f t="shared" si="136"/>
        <v>0</v>
      </c>
      <c r="EM119" s="768">
        <f t="shared" si="136"/>
        <v>0</v>
      </c>
      <c r="EN119" s="768">
        <f t="shared" si="136"/>
        <v>0</v>
      </c>
      <c r="EO119" s="768">
        <f t="shared" si="136"/>
        <v>0</v>
      </c>
      <c r="EP119" s="768">
        <f t="shared" si="136"/>
        <v>0</v>
      </c>
      <c r="EQ119" s="768">
        <f t="shared" si="136"/>
        <v>0</v>
      </c>
      <c r="ER119" s="768">
        <f t="shared" si="136"/>
        <v>0</v>
      </c>
      <c r="ES119" s="768">
        <f t="shared" si="136"/>
        <v>0</v>
      </c>
      <c r="ET119" s="768">
        <f t="shared" si="136"/>
        <v>0</v>
      </c>
      <c r="EU119" s="768">
        <f t="shared" si="70"/>
        <v>0</v>
      </c>
    </row>
    <row r="120" spans="1:151" s="773" customFormat="1" ht="11.25" customHeight="1">
      <c r="A120" s="704"/>
      <c r="B120" s="704"/>
      <c r="C120" s="735"/>
      <c r="D120" s="743" t="str">
        <f t="shared" si="62"/>
        <v>1F</v>
      </c>
      <c r="E120" s="704" t="str">
        <f t="shared" si="62"/>
        <v>아이팜</v>
      </c>
      <c r="F120" s="704" t="str">
        <f t="shared" si="62"/>
        <v>근린생활시설</v>
      </c>
      <c r="G120" s="752"/>
      <c r="H120" s="744"/>
      <c r="I120" s="745"/>
      <c r="J120" s="745"/>
      <c r="K120" s="754"/>
      <c r="L120" s="748"/>
      <c r="M120" s="749"/>
      <c r="N120" s="747">
        <f t="shared" si="63"/>
        <v>-5028.2703031640613</v>
      </c>
      <c r="O120" s="769"/>
      <c r="P120" s="768">
        <f t="shared" ref="P120:AU120" si="137">-SUM(P30,P48)*P102</f>
        <v>0</v>
      </c>
      <c r="Q120" s="768">
        <f t="shared" si="137"/>
        <v>0</v>
      </c>
      <c r="R120" s="768">
        <f t="shared" si="137"/>
        <v>0</v>
      </c>
      <c r="S120" s="768">
        <f t="shared" si="137"/>
        <v>0</v>
      </c>
      <c r="T120" s="768">
        <f t="shared" si="137"/>
        <v>0</v>
      </c>
      <c r="U120" s="768">
        <f t="shared" si="137"/>
        <v>0</v>
      </c>
      <c r="V120" s="768">
        <f t="shared" si="137"/>
        <v>0</v>
      </c>
      <c r="W120" s="768">
        <f t="shared" si="137"/>
        <v>0</v>
      </c>
      <c r="X120" s="768">
        <f t="shared" si="137"/>
        <v>-1089.9183749999997</v>
      </c>
      <c r="Y120" s="768">
        <f t="shared" si="137"/>
        <v>-544.95918749999987</v>
      </c>
      <c r="Z120" s="768">
        <f t="shared" si="137"/>
        <v>0</v>
      </c>
      <c r="AA120" s="768">
        <f t="shared" si="137"/>
        <v>0</v>
      </c>
      <c r="AB120" s="768">
        <f t="shared" si="137"/>
        <v>0</v>
      </c>
      <c r="AC120" s="768">
        <f t="shared" si="137"/>
        <v>0</v>
      </c>
      <c r="AD120" s="768">
        <f t="shared" si="137"/>
        <v>0</v>
      </c>
      <c r="AE120" s="768">
        <f t="shared" si="137"/>
        <v>0</v>
      </c>
      <c r="AF120" s="768">
        <f t="shared" si="137"/>
        <v>0</v>
      </c>
      <c r="AG120" s="768">
        <f t="shared" si="137"/>
        <v>0</v>
      </c>
      <c r="AH120" s="768">
        <f t="shared" si="137"/>
        <v>0</v>
      </c>
      <c r="AI120" s="768">
        <f t="shared" si="137"/>
        <v>0</v>
      </c>
      <c r="AJ120" s="768">
        <f t="shared" si="137"/>
        <v>-1117.1663343749997</v>
      </c>
      <c r="AK120" s="768">
        <f t="shared" si="137"/>
        <v>-558.58316718749984</v>
      </c>
      <c r="AL120" s="768">
        <f t="shared" si="137"/>
        <v>0</v>
      </c>
      <c r="AM120" s="768">
        <f t="shared" si="137"/>
        <v>0</v>
      </c>
      <c r="AN120" s="768">
        <f t="shared" si="137"/>
        <v>0</v>
      </c>
      <c r="AO120" s="768">
        <f t="shared" si="137"/>
        <v>0</v>
      </c>
      <c r="AP120" s="768">
        <f t="shared" si="137"/>
        <v>0</v>
      </c>
      <c r="AQ120" s="768">
        <f t="shared" si="137"/>
        <v>0</v>
      </c>
      <c r="AR120" s="768">
        <f t="shared" si="137"/>
        <v>0</v>
      </c>
      <c r="AS120" s="768">
        <f t="shared" si="137"/>
        <v>0</v>
      </c>
      <c r="AT120" s="768">
        <f t="shared" si="137"/>
        <v>0</v>
      </c>
      <c r="AU120" s="768">
        <f t="shared" si="137"/>
        <v>0</v>
      </c>
      <c r="AV120" s="768">
        <f t="shared" ref="AV120:CA120" si="138">-SUM(AV30,AV48)*AV102</f>
        <v>-1145.0954927343746</v>
      </c>
      <c r="AW120" s="768">
        <f t="shared" si="138"/>
        <v>-572.5477463671873</v>
      </c>
      <c r="AX120" s="768">
        <f t="shared" si="138"/>
        <v>0</v>
      </c>
      <c r="AY120" s="768">
        <f t="shared" si="138"/>
        <v>0</v>
      </c>
      <c r="AZ120" s="768">
        <f t="shared" si="138"/>
        <v>0</v>
      </c>
      <c r="BA120" s="768">
        <f t="shared" si="138"/>
        <v>0</v>
      </c>
      <c r="BB120" s="768">
        <f t="shared" si="138"/>
        <v>0</v>
      </c>
      <c r="BC120" s="768">
        <f t="shared" si="138"/>
        <v>0</v>
      </c>
      <c r="BD120" s="768">
        <f t="shared" si="138"/>
        <v>0</v>
      </c>
      <c r="BE120" s="768">
        <f t="shared" si="138"/>
        <v>0</v>
      </c>
      <c r="BF120" s="768">
        <f t="shared" si="138"/>
        <v>0</v>
      </c>
      <c r="BG120" s="768">
        <f t="shared" si="138"/>
        <v>0</v>
      </c>
      <c r="BH120" s="768">
        <f t="shared" si="138"/>
        <v>0</v>
      </c>
      <c r="BI120" s="768">
        <f t="shared" si="138"/>
        <v>0</v>
      </c>
      <c r="BJ120" s="768">
        <f t="shared" si="138"/>
        <v>0</v>
      </c>
      <c r="BK120" s="768">
        <f t="shared" si="138"/>
        <v>0</v>
      </c>
      <c r="BL120" s="768">
        <f t="shared" si="138"/>
        <v>0</v>
      </c>
      <c r="BM120" s="768">
        <f t="shared" si="138"/>
        <v>0</v>
      </c>
      <c r="BN120" s="768">
        <f t="shared" si="138"/>
        <v>0</v>
      </c>
      <c r="BO120" s="768">
        <f t="shared" si="138"/>
        <v>0</v>
      </c>
      <c r="BP120" s="768">
        <f t="shared" si="138"/>
        <v>0</v>
      </c>
      <c r="BQ120" s="768">
        <f t="shared" si="138"/>
        <v>0</v>
      </c>
      <c r="BR120" s="768">
        <f t="shared" si="138"/>
        <v>0</v>
      </c>
      <c r="BS120" s="768">
        <f t="shared" si="138"/>
        <v>0</v>
      </c>
      <c r="BT120" s="768">
        <f t="shared" si="138"/>
        <v>0</v>
      </c>
      <c r="BU120" s="768">
        <f t="shared" si="138"/>
        <v>0</v>
      </c>
      <c r="BV120" s="768">
        <f t="shared" si="138"/>
        <v>0</v>
      </c>
      <c r="BW120" s="768">
        <f t="shared" si="138"/>
        <v>0</v>
      </c>
      <c r="BX120" s="768">
        <f t="shared" si="138"/>
        <v>0</v>
      </c>
      <c r="BY120" s="768">
        <f t="shared" si="138"/>
        <v>0</v>
      </c>
      <c r="BZ120" s="768">
        <f t="shared" si="138"/>
        <v>0</v>
      </c>
      <c r="CA120" s="768">
        <f t="shared" si="138"/>
        <v>0</v>
      </c>
      <c r="CB120" s="768">
        <f t="shared" ref="CB120:DG120" si="139">-SUM(CB30,CB48)*CB102</f>
        <v>0</v>
      </c>
      <c r="CC120" s="768">
        <f t="shared" si="139"/>
        <v>0</v>
      </c>
      <c r="CD120" s="768">
        <f t="shared" si="139"/>
        <v>0</v>
      </c>
      <c r="CE120" s="768">
        <f t="shared" si="139"/>
        <v>0</v>
      </c>
      <c r="CF120" s="768">
        <f t="shared" si="139"/>
        <v>0</v>
      </c>
      <c r="CG120" s="768">
        <f t="shared" si="139"/>
        <v>0</v>
      </c>
      <c r="CH120" s="768">
        <f t="shared" si="139"/>
        <v>0</v>
      </c>
      <c r="CI120" s="768">
        <f t="shared" si="139"/>
        <v>0</v>
      </c>
      <c r="CJ120" s="768">
        <f t="shared" si="139"/>
        <v>0</v>
      </c>
      <c r="CK120" s="768">
        <f t="shared" si="139"/>
        <v>0</v>
      </c>
      <c r="CL120" s="768">
        <f t="shared" si="139"/>
        <v>0</v>
      </c>
      <c r="CM120" s="768">
        <f t="shared" si="139"/>
        <v>0</v>
      </c>
      <c r="CN120" s="768">
        <f t="shared" si="139"/>
        <v>0</v>
      </c>
      <c r="CO120" s="768">
        <f t="shared" si="139"/>
        <v>0</v>
      </c>
      <c r="CP120" s="768">
        <f t="shared" si="139"/>
        <v>0</v>
      </c>
      <c r="CQ120" s="768">
        <f t="shared" si="139"/>
        <v>0</v>
      </c>
      <c r="CR120" s="768">
        <f t="shared" si="139"/>
        <v>0</v>
      </c>
      <c r="CS120" s="768">
        <f t="shared" si="139"/>
        <v>0</v>
      </c>
      <c r="CT120" s="768">
        <f t="shared" si="139"/>
        <v>0</v>
      </c>
      <c r="CU120" s="768">
        <f t="shared" si="139"/>
        <v>0</v>
      </c>
      <c r="CV120" s="768">
        <f t="shared" si="139"/>
        <v>0</v>
      </c>
      <c r="CW120" s="768">
        <f t="shared" si="139"/>
        <v>0</v>
      </c>
      <c r="CX120" s="768">
        <f t="shared" si="139"/>
        <v>0</v>
      </c>
      <c r="CY120" s="768">
        <f t="shared" si="139"/>
        <v>0</v>
      </c>
      <c r="CZ120" s="768">
        <f t="shared" si="139"/>
        <v>0</v>
      </c>
      <c r="DA120" s="768">
        <f t="shared" si="139"/>
        <v>0</v>
      </c>
      <c r="DB120" s="768">
        <f t="shared" si="139"/>
        <v>0</v>
      </c>
      <c r="DC120" s="768">
        <f t="shared" si="139"/>
        <v>0</v>
      </c>
      <c r="DD120" s="768">
        <f t="shared" si="139"/>
        <v>0</v>
      </c>
      <c r="DE120" s="768">
        <f t="shared" si="139"/>
        <v>0</v>
      </c>
      <c r="DF120" s="768">
        <f t="shared" si="139"/>
        <v>0</v>
      </c>
      <c r="DG120" s="768">
        <f t="shared" si="139"/>
        <v>0</v>
      </c>
      <c r="DH120" s="768">
        <f t="shared" ref="DH120:DY120" si="140">-SUM(DH30,DH48)*DH102</f>
        <v>0</v>
      </c>
      <c r="DI120" s="768">
        <f t="shared" si="140"/>
        <v>0</v>
      </c>
      <c r="DJ120" s="768">
        <f t="shared" si="140"/>
        <v>0</v>
      </c>
      <c r="DK120" s="768">
        <f t="shared" si="140"/>
        <v>0</v>
      </c>
      <c r="DL120" s="768">
        <f t="shared" si="140"/>
        <v>0</v>
      </c>
      <c r="DM120" s="768">
        <f t="shared" si="140"/>
        <v>0</v>
      </c>
      <c r="DN120" s="768">
        <f t="shared" si="140"/>
        <v>0</v>
      </c>
      <c r="DO120" s="768">
        <f t="shared" si="140"/>
        <v>0</v>
      </c>
      <c r="DP120" s="768">
        <f t="shared" si="140"/>
        <v>0</v>
      </c>
      <c r="DQ120" s="768">
        <f t="shared" si="140"/>
        <v>0</v>
      </c>
      <c r="DR120" s="768">
        <f t="shared" si="140"/>
        <v>0</v>
      </c>
      <c r="DS120" s="768">
        <f t="shared" si="140"/>
        <v>0</v>
      </c>
      <c r="DT120" s="768">
        <f t="shared" si="140"/>
        <v>0</v>
      </c>
      <c r="DU120" s="768">
        <f t="shared" si="140"/>
        <v>0</v>
      </c>
      <c r="DV120" s="768">
        <f t="shared" si="140"/>
        <v>0</v>
      </c>
      <c r="DW120" s="768">
        <f t="shared" si="140"/>
        <v>0</v>
      </c>
      <c r="DX120" s="768">
        <f t="shared" si="140"/>
        <v>0</v>
      </c>
      <c r="DY120" s="768">
        <f t="shared" si="140"/>
        <v>0</v>
      </c>
      <c r="DZ120" s="768">
        <f t="shared" ref="DZ120:EH120" si="141">-SUM(DZ30,DZ48)*DZ102</f>
        <v>0</v>
      </c>
      <c r="EA120" s="768">
        <f t="shared" si="141"/>
        <v>0</v>
      </c>
      <c r="EB120" s="768">
        <f t="shared" si="141"/>
        <v>0</v>
      </c>
      <c r="EC120" s="768">
        <f t="shared" si="141"/>
        <v>0</v>
      </c>
      <c r="ED120" s="768">
        <f t="shared" si="141"/>
        <v>0</v>
      </c>
      <c r="EE120" s="768">
        <f t="shared" si="141"/>
        <v>0</v>
      </c>
      <c r="EF120" s="768">
        <f t="shared" si="141"/>
        <v>0</v>
      </c>
      <c r="EG120" s="768">
        <f t="shared" si="141"/>
        <v>0</v>
      </c>
      <c r="EH120" s="768">
        <f t="shared" si="141"/>
        <v>0</v>
      </c>
      <c r="EI120" s="768">
        <f t="shared" ref="EI120:ET120" si="142">-SUM(EI30,EI48)*EI102</f>
        <v>0</v>
      </c>
      <c r="EJ120" s="768">
        <f t="shared" si="142"/>
        <v>0</v>
      </c>
      <c r="EK120" s="768">
        <f t="shared" si="142"/>
        <v>0</v>
      </c>
      <c r="EL120" s="768">
        <f t="shared" si="142"/>
        <v>0</v>
      </c>
      <c r="EM120" s="768">
        <f t="shared" si="142"/>
        <v>0</v>
      </c>
      <c r="EN120" s="768">
        <f t="shared" si="142"/>
        <v>0</v>
      </c>
      <c r="EO120" s="768">
        <f t="shared" si="142"/>
        <v>0</v>
      </c>
      <c r="EP120" s="768">
        <f t="shared" si="142"/>
        <v>0</v>
      </c>
      <c r="EQ120" s="768">
        <f t="shared" si="142"/>
        <v>0</v>
      </c>
      <c r="ER120" s="768">
        <f t="shared" si="142"/>
        <v>0</v>
      </c>
      <c r="ES120" s="768">
        <f t="shared" si="142"/>
        <v>0</v>
      </c>
      <c r="ET120" s="768">
        <f t="shared" si="142"/>
        <v>0</v>
      </c>
      <c r="EU120" s="768">
        <f t="shared" si="70"/>
        <v>0</v>
      </c>
    </row>
    <row r="121" spans="1:151" s="773" customFormat="1" ht="11.25" customHeight="1">
      <c r="A121" s="704"/>
      <c r="B121" s="704"/>
      <c r="C121" s="735"/>
      <c r="D121" s="743">
        <f t="shared" si="62"/>
        <v>1</v>
      </c>
      <c r="E121" s="704" t="str">
        <f t="shared" si="62"/>
        <v>공실</v>
      </c>
      <c r="F121" s="704" t="str">
        <f t="shared" si="62"/>
        <v>근린생활시설</v>
      </c>
      <c r="G121" s="752"/>
      <c r="H121" s="744"/>
      <c r="I121" s="745"/>
      <c r="J121" s="745"/>
      <c r="K121" s="754"/>
      <c r="L121" s="748"/>
      <c r="M121" s="749"/>
      <c r="N121" s="747">
        <f t="shared" si="63"/>
        <v>0</v>
      </c>
      <c r="O121" s="769"/>
      <c r="P121" s="768">
        <f t="shared" ref="P121:AU121" si="143">-SUM(P31,P49)*P103</f>
        <v>0</v>
      </c>
      <c r="Q121" s="768">
        <f t="shared" si="143"/>
        <v>0</v>
      </c>
      <c r="R121" s="768">
        <f t="shared" si="143"/>
        <v>0</v>
      </c>
      <c r="S121" s="768">
        <f t="shared" si="143"/>
        <v>0</v>
      </c>
      <c r="T121" s="768">
        <f t="shared" si="143"/>
        <v>0</v>
      </c>
      <c r="U121" s="768">
        <f t="shared" si="143"/>
        <v>0</v>
      </c>
      <c r="V121" s="768">
        <f t="shared" si="143"/>
        <v>0</v>
      </c>
      <c r="W121" s="768">
        <f t="shared" si="143"/>
        <v>0</v>
      </c>
      <c r="X121" s="768">
        <f t="shared" si="143"/>
        <v>0</v>
      </c>
      <c r="Y121" s="768">
        <f t="shared" si="143"/>
        <v>0</v>
      </c>
      <c r="Z121" s="768">
        <f t="shared" si="143"/>
        <v>0</v>
      </c>
      <c r="AA121" s="768">
        <f t="shared" si="143"/>
        <v>0</v>
      </c>
      <c r="AB121" s="768">
        <f t="shared" si="143"/>
        <v>0</v>
      </c>
      <c r="AC121" s="768">
        <f t="shared" si="143"/>
        <v>0</v>
      </c>
      <c r="AD121" s="768">
        <f t="shared" si="143"/>
        <v>0</v>
      </c>
      <c r="AE121" s="768">
        <f t="shared" si="143"/>
        <v>0</v>
      </c>
      <c r="AF121" s="768">
        <f t="shared" si="143"/>
        <v>0</v>
      </c>
      <c r="AG121" s="768">
        <f t="shared" si="143"/>
        <v>0</v>
      </c>
      <c r="AH121" s="768">
        <f t="shared" si="143"/>
        <v>0</v>
      </c>
      <c r="AI121" s="768">
        <f t="shared" si="143"/>
        <v>0</v>
      </c>
      <c r="AJ121" s="768">
        <f t="shared" si="143"/>
        <v>0</v>
      </c>
      <c r="AK121" s="768">
        <f t="shared" si="143"/>
        <v>0</v>
      </c>
      <c r="AL121" s="768">
        <f t="shared" si="143"/>
        <v>0</v>
      </c>
      <c r="AM121" s="768">
        <f t="shared" si="143"/>
        <v>0</v>
      </c>
      <c r="AN121" s="768">
        <f t="shared" si="143"/>
        <v>0</v>
      </c>
      <c r="AO121" s="768">
        <f t="shared" si="143"/>
        <v>0</v>
      </c>
      <c r="AP121" s="768">
        <f t="shared" si="143"/>
        <v>0</v>
      </c>
      <c r="AQ121" s="768">
        <f t="shared" si="143"/>
        <v>0</v>
      </c>
      <c r="AR121" s="768">
        <f t="shared" si="143"/>
        <v>0</v>
      </c>
      <c r="AS121" s="768">
        <f t="shared" si="143"/>
        <v>0</v>
      </c>
      <c r="AT121" s="768">
        <f t="shared" si="143"/>
        <v>0</v>
      </c>
      <c r="AU121" s="768">
        <f t="shared" si="143"/>
        <v>0</v>
      </c>
      <c r="AV121" s="768">
        <f t="shared" ref="AV121:CA121" si="144">-SUM(AV31,AV49)*AV103</f>
        <v>0</v>
      </c>
      <c r="AW121" s="768">
        <f t="shared" si="144"/>
        <v>0</v>
      </c>
      <c r="AX121" s="768">
        <f t="shared" si="144"/>
        <v>0</v>
      </c>
      <c r="AY121" s="768">
        <f t="shared" si="144"/>
        <v>0</v>
      </c>
      <c r="AZ121" s="768">
        <f t="shared" si="144"/>
        <v>0</v>
      </c>
      <c r="BA121" s="768">
        <f t="shared" si="144"/>
        <v>0</v>
      </c>
      <c r="BB121" s="768">
        <f t="shared" si="144"/>
        <v>0</v>
      </c>
      <c r="BC121" s="768">
        <f t="shared" si="144"/>
        <v>0</v>
      </c>
      <c r="BD121" s="768">
        <f t="shared" si="144"/>
        <v>0</v>
      </c>
      <c r="BE121" s="768">
        <f t="shared" si="144"/>
        <v>0</v>
      </c>
      <c r="BF121" s="768">
        <f t="shared" si="144"/>
        <v>0</v>
      </c>
      <c r="BG121" s="768">
        <f t="shared" si="144"/>
        <v>0</v>
      </c>
      <c r="BH121" s="768">
        <f t="shared" si="144"/>
        <v>0</v>
      </c>
      <c r="BI121" s="768">
        <f t="shared" si="144"/>
        <v>0</v>
      </c>
      <c r="BJ121" s="768">
        <f t="shared" si="144"/>
        <v>0</v>
      </c>
      <c r="BK121" s="768">
        <f t="shared" si="144"/>
        <v>0</v>
      </c>
      <c r="BL121" s="768">
        <f t="shared" si="144"/>
        <v>0</v>
      </c>
      <c r="BM121" s="768">
        <f t="shared" si="144"/>
        <v>0</v>
      </c>
      <c r="BN121" s="768">
        <f t="shared" si="144"/>
        <v>0</v>
      </c>
      <c r="BO121" s="768">
        <f t="shared" si="144"/>
        <v>0</v>
      </c>
      <c r="BP121" s="768">
        <f t="shared" si="144"/>
        <v>0</v>
      </c>
      <c r="BQ121" s="768">
        <f t="shared" si="144"/>
        <v>0</v>
      </c>
      <c r="BR121" s="768">
        <f t="shared" si="144"/>
        <v>0</v>
      </c>
      <c r="BS121" s="768">
        <f t="shared" si="144"/>
        <v>0</v>
      </c>
      <c r="BT121" s="768">
        <f t="shared" si="144"/>
        <v>0</v>
      </c>
      <c r="BU121" s="768">
        <f t="shared" si="144"/>
        <v>0</v>
      </c>
      <c r="BV121" s="768">
        <f t="shared" si="144"/>
        <v>0</v>
      </c>
      <c r="BW121" s="768">
        <f t="shared" si="144"/>
        <v>0</v>
      </c>
      <c r="BX121" s="768">
        <f t="shared" si="144"/>
        <v>0</v>
      </c>
      <c r="BY121" s="768">
        <f t="shared" si="144"/>
        <v>0</v>
      </c>
      <c r="BZ121" s="768">
        <f t="shared" si="144"/>
        <v>0</v>
      </c>
      <c r="CA121" s="768">
        <f t="shared" si="144"/>
        <v>0</v>
      </c>
      <c r="CB121" s="768">
        <f t="shared" ref="CB121:DG121" si="145">-SUM(CB31,CB49)*CB103</f>
        <v>0</v>
      </c>
      <c r="CC121" s="768">
        <f t="shared" si="145"/>
        <v>0</v>
      </c>
      <c r="CD121" s="768">
        <f t="shared" si="145"/>
        <v>0</v>
      </c>
      <c r="CE121" s="768">
        <f t="shared" si="145"/>
        <v>0</v>
      </c>
      <c r="CF121" s="768">
        <f t="shared" si="145"/>
        <v>0</v>
      </c>
      <c r="CG121" s="768">
        <f t="shared" si="145"/>
        <v>0</v>
      </c>
      <c r="CH121" s="768">
        <f t="shared" si="145"/>
        <v>0</v>
      </c>
      <c r="CI121" s="768">
        <f t="shared" si="145"/>
        <v>0</v>
      </c>
      <c r="CJ121" s="768">
        <f t="shared" si="145"/>
        <v>0</v>
      </c>
      <c r="CK121" s="768">
        <f t="shared" si="145"/>
        <v>0</v>
      </c>
      <c r="CL121" s="768">
        <f t="shared" si="145"/>
        <v>0</v>
      </c>
      <c r="CM121" s="768">
        <f t="shared" si="145"/>
        <v>0</v>
      </c>
      <c r="CN121" s="768">
        <f t="shared" si="145"/>
        <v>0</v>
      </c>
      <c r="CO121" s="768">
        <f t="shared" si="145"/>
        <v>0</v>
      </c>
      <c r="CP121" s="768">
        <f t="shared" si="145"/>
        <v>0</v>
      </c>
      <c r="CQ121" s="768">
        <f t="shared" si="145"/>
        <v>0</v>
      </c>
      <c r="CR121" s="768">
        <f t="shared" si="145"/>
        <v>0</v>
      </c>
      <c r="CS121" s="768">
        <f t="shared" si="145"/>
        <v>0</v>
      </c>
      <c r="CT121" s="768">
        <f t="shared" si="145"/>
        <v>0</v>
      </c>
      <c r="CU121" s="768">
        <f t="shared" si="145"/>
        <v>0</v>
      </c>
      <c r="CV121" s="768">
        <f t="shared" si="145"/>
        <v>0</v>
      </c>
      <c r="CW121" s="768">
        <f t="shared" si="145"/>
        <v>0</v>
      </c>
      <c r="CX121" s="768">
        <f t="shared" si="145"/>
        <v>0</v>
      </c>
      <c r="CY121" s="768">
        <f t="shared" si="145"/>
        <v>0</v>
      </c>
      <c r="CZ121" s="768">
        <f t="shared" si="145"/>
        <v>0</v>
      </c>
      <c r="DA121" s="768">
        <f t="shared" si="145"/>
        <v>0</v>
      </c>
      <c r="DB121" s="768">
        <f t="shared" si="145"/>
        <v>0</v>
      </c>
      <c r="DC121" s="768">
        <f t="shared" si="145"/>
        <v>0</v>
      </c>
      <c r="DD121" s="768">
        <f t="shared" si="145"/>
        <v>0</v>
      </c>
      <c r="DE121" s="768">
        <f t="shared" si="145"/>
        <v>0</v>
      </c>
      <c r="DF121" s="768">
        <f t="shared" si="145"/>
        <v>0</v>
      </c>
      <c r="DG121" s="768">
        <f t="shared" si="145"/>
        <v>0</v>
      </c>
      <c r="DH121" s="768">
        <f t="shared" ref="DH121:DY121" si="146">-SUM(DH31,DH49)*DH103</f>
        <v>0</v>
      </c>
      <c r="DI121" s="768">
        <f t="shared" si="146"/>
        <v>0</v>
      </c>
      <c r="DJ121" s="768">
        <f t="shared" si="146"/>
        <v>0</v>
      </c>
      <c r="DK121" s="768">
        <f t="shared" si="146"/>
        <v>0</v>
      </c>
      <c r="DL121" s="768">
        <f t="shared" si="146"/>
        <v>0</v>
      </c>
      <c r="DM121" s="768">
        <f t="shared" si="146"/>
        <v>0</v>
      </c>
      <c r="DN121" s="768">
        <f t="shared" si="146"/>
        <v>0</v>
      </c>
      <c r="DO121" s="768">
        <f t="shared" si="146"/>
        <v>0</v>
      </c>
      <c r="DP121" s="768">
        <f t="shared" si="146"/>
        <v>0</v>
      </c>
      <c r="DQ121" s="768">
        <f t="shared" si="146"/>
        <v>0</v>
      </c>
      <c r="DR121" s="768">
        <f t="shared" si="146"/>
        <v>0</v>
      </c>
      <c r="DS121" s="768">
        <f t="shared" si="146"/>
        <v>0</v>
      </c>
      <c r="DT121" s="768">
        <f t="shared" si="146"/>
        <v>0</v>
      </c>
      <c r="DU121" s="768">
        <f t="shared" si="146"/>
        <v>0</v>
      </c>
      <c r="DV121" s="768">
        <f t="shared" si="146"/>
        <v>0</v>
      </c>
      <c r="DW121" s="768">
        <f t="shared" si="146"/>
        <v>0</v>
      </c>
      <c r="DX121" s="768">
        <f t="shared" si="146"/>
        <v>0</v>
      </c>
      <c r="DY121" s="768">
        <f t="shared" si="146"/>
        <v>0</v>
      </c>
      <c r="DZ121" s="768">
        <f t="shared" ref="DZ121:EH121" si="147">-SUM(DZ31,DZ49)*DZ103</f>
        <v>0</v>
      </c>
      <c r="EA121" s="768">
        <f t="shared" si="147"/>
        <v>0</v>
      </c>
      <c r="EB121" s="768">
        <f t="shared" si="147"/>
        <v>0</v>
      </c>
      <c r="EC121" s="768">
        <f t="shared" si="147"/>
        <v>0</v>
      </c>
      <c r="ED121" s="768">
        <f t="shared" si="147"/>
        <v>0</v>
      </c>
      <c r="EE121" s="768">
        <f t="shared" si="147"/>
        <v>0</v>
      </c>
      <c r="EF121" s="768">
        <f t="shared" si="147"/>
        <v>0</v>
      </c>
      <c r="EG121" s="768">
        <f t="shared" si="147"/>
        <v>0</v>
      </c>
      <c r="EH121" s="768">
        <f t="shared" si="147"/>
        <v>0</v>
      </c>
      <c r="EI121" s="768">
        <f t="shared" ref="EI121:ET121" si="148">-SUM(EI31,EI49)*EI103</f>
        <v>0</v>
      </c>
      <c r="EJ121" s="768">
        <f t="shared" si="148"/>
        <v>0</v>
      </c>
      <c r="EK121" s="768">
        <f t="shared" si="148"/>
        <v>0</v>
      </c>
      <c r="EL121" s="768">
        <f t="shared" si="148"/>
        <v>0</v>
      </c>
      <c r="EM121" s="768">
        <f t="shared" si="148"/>
        <v>0</v>
      </c>
      <c r="EN121" s="768">
        <f t="shared" si="148"/>
        <v>0</v>
      </c>
      <c r="EO121" s="768">
        <f t="shared" si="148"/>
        <v>0</v>
      </c>
      <c r="EP121" s="768">
        <f t="shared" si="148"/>
        <v>0</v>
      </c>
      <c r="EQ121" s="768">
        <f t="shared" si="148"/>
        <v>0</v>
      </c>
      <c r="ER121" s="768">
        <f t="shared" si="148"/>
        <v>0</v>
      </c>
      <c r="ES121" s="768">
        <f t="shared" si="148"/>
        <v>0</v>
      </c>
      <c r="ET121" s="768">
        <f t="shared" si="148"/>
        <v>0</v>
      </c>
      <c r="EU121" s="768">
        <f t="shared" si="70"/>
        <v>0</v>
      </c>
    </row>
    <row r="122" spans="1:151" s="773" customFormat="1" ht="11.25" customHeight="1">
      <c r="A122" s="704"/>
      <c r="B122" s="704"/>
      <c r="C122" s="735"/>
      <c r="D122" s="743" t="str">
        <f t="shared" si="62"/>
        <v>B1</v>
      </c>
      <c r="E122" s="704" t="str">
        <f t="shared" si="62"/>
        <v>쿠팡</v>
      </c>
      <c r="F122" s="704" t="str">
        <f t="shared" si="62"/>
        <v>상온창고</v>
      </c>
      <c r="G122" s="752"/>
      <c r="H122" s="744"/>
      <c r="I122" s="745"/>
      <c r="J122" s="745"/>
      <c r="K122" s="754"/>
      <c r="L122" s="748"/>
      <c r="M122" s="749"/>
      <c r="N122" s="747">
        <f t="shared" si="63"/>
        <v>-1259538.5532046873</v>
      </c>
      <c r="O122" s="769"/>
      <c r="P122" s="768">
        <f t="shared" ref="P122:AU122" si="149">-SUM(P32,P50)*P104</f>
        <v>0</v>
      </c>
      <c r="Q122" s="768">
        <f t="shared" si="149"/>
        <v>0</v>
      </c>
      <c r="R122" s="768">
        <f t="shared" si="149"/>
        <v>0</v>
      </c>
      <c r="S122" s="768">
        <f t="shared" si="149"/>
        <v>0</v>
      </c>
      <c r="T122" s="768">
        <f t="shared" si="149"/>
        <v>0</v>
      </c>
      <c r="U122" s="768">
        <f t="shared" si="149"/>
        <v>0</v>
      </c>
      <c r="V122" s="768">
        <f t="shared" si="149"/>
        <v>0</v>
      </c>
      <c r="W122" s="768">
        <f t="shared" si="149"/>
        <v>-173058.10949999999</v>
      </c>
      <c r="X122" s="768">
        <f t="shared" si="149"/>
        <v>0</v>
      </c>
      <c r="Y122" s="768">
        <f t="shared" si="149"/>
        <v>0</v>
      </c>
      <c r="Z122" s="768">
        <f t="shared" si="149"/>
        <v>0</v>
      </c>
      <c r="AA122" s="768">
        <f t="shared" si="149"/>
        <v>0</v>
      </c>
      <c r="AB122" s="768">
        <f t="shared" si="149"/>
        <v>0</v>
      </c>
      <c r="AC122" s="768">
        <f t="shared" si="149"/>
        <v>0</v>
      </c>
      <c r="AD122" s="768">
        <f t="shared" si="149"/>
        <v>0</v>
      </c>
      <c r="AE122" s="768">
        <f t="shared" si="149"/>
        <v>0</v>
      </c>
      <c r="AF122" s="768">
        <f t="shared" si="149"/>
        <v>0</v>
      </c>
      <c r="AG122" s="768">
        <f t="shared" si="149"/>
        <v>0</v>
      </c>
      <c r="AH122" s="768">
        <f t="shared" si="149"/>
        <v>0</v>
      </c>
      <c r="AI122" s="768">
        <f t="shared" si="149"/>
        <v>-177384.56223749998</v>
      </c>
      <c r="AJ122" s="768">
        <f t="shared" si="149"/>
        <v>0</v>
      </c>
      <c r="AK122" s="768">
        <f t="shared" si="149"/>
        <v>0</v>
      </c>
      <c r="AL122" s="768">
        <f t="shared" si="149"/>
        <v>0</v>
      </c>
      <c r="AM122" s="768">
        <f t="shared" si="149"/>
        <v>0</v>
      </c>
      <c r="AN122" s="768">
        <f t="shared" si="149"/>
        <v>0</v>
      </c>
      <c r="AO122" s="768">
        <f t="shared" si="149"/>
        <v>0</v>
      </c>
      <c r="AP122" s="768">
        <f t="shared" si="149"/>
        <v>0</v>
      </c>
      <c r="AQ122" s="768">
        <f t="shared" si="149"/>
        <v>0</v>
      </c>
      <c r="AR122" s="768">
        <f t="shared" si="149"/>
        <v>0</v>
      </c>
      <c r="AS122" s="768">
        <f t="shared" si="149"/>
        <v>0</v>
      </c>
      <c r="AT122" s="768">
        <f t="shared" si="149"/>
        <v>0</v>
      </c>
      <c r="AU122" s="747">
        <f t="shared" si="149"/>
        <v>0</v>
      </c>
      <c r="AV122" s="1333">
        <f t="shared" ref="AV122:CA122" si="150">-SUM(AV32,AV50)*AV104</f>
        <v>-181819.17629343749</v>
      </c>
      <c r="AW122" s="1333">
        <f t="shared" si="150"/>
        <v>-181819.17629343749</v>
      </c>
      <c r="AX122" s="1333">
        <f t="shared" si="150"/>
        <v>-181819.17629343749</v>
      </c>
      <c r="AY122" s="1333">
        <f t="shared" si="150"/>
        <v>-181819.17629343749</v>
      </c>
      <c r="AZ122" s="1333">
        <f t="shared" si="150"/>
        <v>-181819.17629343749</v>
      </c>
      <c r="BA122" s="768">
        <f t="shared" si="150"/>
        <v>0</v>
      </c>
      <c r="BB122" s="768">
        <f t="shared" si="150"/>
        <v>0</v>
      </c>
      <c r="BC122" s="768">
        <f t="shared" si="150"/>
        <v>0</v>
      </c>
      <c r="BD122" s="768">
        <f t="shared" si="150"/>
        <v>0</v>
      </c>
      <c r="BE122" s="768">
        <f t="shared" si="150"/>
        <v>0</v>
      </c>
      <c r="BF122" s="768">
        <f t="shared" si="150"/>
        <v>0</v>
      </c>
      <c r="BG122" s="768">
        <f t="shared" si="150"/>
        <v>0</v>
      </c>
      <c r="BH122" s="768">
        <f t="shared" si="150"/>
        <v>0</v>
      </c>
      <c r="BI122" s="768">
        <f t="shared" si="150"/>
        <v>0</v>
      </c>
      <c r="BJ122" s="768">
        <f t="shared" si="150"/>
        <v>0</v>
      </c>
      <c r="BK122" s="768">
        <f t="shared" si="150"/>
        <v>0</v>
      </c>
      <c r="BL122" s="768">
        <f t="shared" si="150"/>
        <v>0</v>
      </c>
      <c r="BM122" s="768">
        <f t="shared" si="150"/>
        <v>0</v>
      </c>
      <c r="BN122" s="768">
        <f t="shared" si="150"/>
        <v>0</v>
      </c>
      <c r="BO122" s="768">
        <f t="shared" si="150"/>
        <v>0</v>
      </c>
      <c r="BP122" s="768">
        <f t="shared" si="150"/>
        <v>0</v>
      </c>
      <c r="BQ122" s="768">
        <f t="shared" si="150"/>
        <v>0</v>
      </c>
      <c r="BR122" s="768">
        <f t="shared" si="150"/>
        <v>0</v>
      </c>
      <c r="BS122" s="768">
        <f t="shared" si="150"/>
        <v>0</v>
      </c>
      <c r="BT122" s="768">
        <f t="shared" si="150"/>
        <v>0</v>
      </c>
      <c r="BU122" s="768">
        <f t="shared" si="150"/>
        <v>0</v>
      </c>
      <c r="BV122" s="768">
        <f t="shared" si="150"/>
        <v>0</v>
      </c>
      <c r="BW122" s="768">
        <f t="shared" si="150"/>
        <v>0</v>
      </c>
      <c r="BX122" s="768">
        <f t="shared" si="150"/>
        <v>0</v>
      </c>
      <c r="BY122" s="768">
        <f t="shared" si="150"/>
        <v>0</v>
      </c>
      <c r="BZ122" s="768">
        <f t="shared" si="150"/>
        <v>0</v>
      </c>
      <c r="CA122" s="768">
        <f t="shared" si="150"/>
        <v>0</v>
      </c>
      <c r="CB122" s="768">
        <f t="shared" ref="CB122:DG122" si="151">-SUM(CB32,CB50)*CB104</f>
        <v>0</v>
      </c>
      <c r="CC122" s="768">
        <f t="shared" si="151"/>
        <v>0</v>
      </c>
      <c r="CD122" s="768">
        <f t="shared" si="151"/>
        <v>0</v>
      </c>
      <c r="CE122" s="768">
        <f t="shared" si="151"/>
        <v>0</v>
      </c>
      <c r="CF122" s="768">
        <f t="shared" si="151"/>
        <v>0</v>
      </c>
      <c r="CG122" s="768">
        <f t="shared" si="151"/>
        <v>0</v>
      </c>
      <c r="CH122" s="768">
        <f t="shared" si="151"/>
        <v>0</v>
      </c>
      <c r="CI122" s="768">
        <f t="shared" si="151"/>
        <v>0</v>
      </c>
      <c r="CJ122" s="768">
        <f t="shared" si="151"/>
        <v>0</v>
      </c>
      <c r="CK122" s="768">
        <f t="shared" si="151"/>
        <v>0</v>
      </c>
      <c r="CL122" s="768">
        <f t="shared" si="151"/>
        <v>0</v>
      </c>
      <c r="CM122" s="768">
        <f t="shared" si="151"/>
        <v>0</v>
      </c>
      <c r="CN122" s="768">
        <f t="shared" si="151"/>
        <v>0</v>
      </c>
      <c r="CO122" s="768">
        <f t="shared" si="151"/>
        <v>0</v>
      </c>
      <c r="CP122" s="768">
        <f t="shared" si="151"/>
        <v>0</v>
      </c>
      <c r="CQ122" s="768">
        <f t="shared" si="151"/>
        <v>0</v>
      </c>
      <c r="CR122" s="768">
        <f t="shared" si="151"/>
        <v>0</v>
      </c>
      <c r="CS122" s="768">
        <f t="shared" si="151"/>
        <v>0</v>
      </c>
      <c r="CT122" s="768">
        <f t="shared" si="151"/>
        <v>0</v>
      </c>
      <c r="CU122" s="768">
        <f t="shared" si="151"/>
        <v>0</v>
      </c>
      <c r="CV122" s="768">
        <f t="shared" si="151"/>
        <v>0</v>
      </c>
      <c r="CW122" s="768">
        <f t="shared" si="151"/>
        <v>0</v>
      </c>
      <c r="CX122" s="768">
        <f t="shared" si="151"/>
        <v>0</v>
      </c>
      <c r="CY122" s="768">
        <f t="shared" si="151"/>
        <v>0</v>
      </c>
      <c r="CZ122" s="768">
        <f t="shared" si="151"/>
        <v>0</v>
      </c>
      <c r="DA122" s="768">
        <f t="shared" si="151"/>
        <v>0</v>
      </c>
      <c r="DB122" s="768">
        <f t="shared" si="151"/>
        <v>0</v>
      </c>
      <c r="DC122" s="768">
        <f t="shared" si="151"/>
        <v>0</v>
      </c>
      <c r="DD122" s="768">
        <f t="shared" si="151"/>
        <v>0</v>
      </c>
      <c r="DE122" s="768">
        <f t="shared" si="151"/>
        <v>0</v>
      </c>
      <c r="DF122" s="768">
        <f t="shared" si="151"/>
        <v>0</v>
      </c>
      <c r="DG122" s="768">
        <f t="shared" si="151"/>
        <v>0</v>
      </c>
      <c r="DH122" s="768">
        <f t="shared" ref="DH122:DY122" si="152">-SUM(DH32,DH50)*DH104</f>
        <v>0</v>
      </c>
      <c r="DI122" s="768">
        <f t="shared" si="152"/>
        <v>0</v>
      </c>
      <c r="DJ122" s="768">
        <f t="shared" si="152"/>
        <v>0</v>
      </c>
      <c r="DK122" s="768">
        <f t="shared" si="152"/>
        <v>0</v>
      </c>
      <c r="DL122" s="768">
        <f t="shared" si="152"/>
        <v>0</v>
      </c>
      <c r="DM122" s="768">
        <f t="shared" si="152"/>
        <v>0</v>
      </c>
      <c r="DN122" s="768">
        <f t="shared" si="152"/>
        <v>0</v>
      </c>
      <c r="DO122" s="768">
        <f t="shared" si="152"/>
        <v>0</v>
      </c>
      <c r="DP122" s="768">
        <f t="shared" si="152"/>
        <v>0</v>
      </c>
      <c r="DQ122" s="768">
        <f t="shared" si="152"/>
        <v>0</v>
      </c>
      <c r="DR122" s="768">
        <f t="shared" si="152"/>
        <v>0</v>
      </c>
      <c r="DS122" s="768">
        <f t="shared" si="152"/>
        <v>0</v>
      </c>
      <c r="DT122" s="768">
        <f t="shared" si="152"/>
        <v>0</v>
      </c>
      <c r="DU122" s="768">
        <f t="shared" si="152"/>
        <v>0</v>
      </c>
      <c r="DV122" s="768">
        <f t="shared" si="152"/>
        <v>0</v>
      </c>
      <c r="DW122" s="768">
        <f t="shared" si="152"/>
        <v>0</v>
      </c>
      <c r="DX122" s="768">
        <f t="shared" si="152"/>
        <v>0</v>
      </c>
      <c r="DY122" s="768">
        <f t="shared" si="152"/>
        <v>0</v>
      </c>
      <c r="DZ122" s="768">
        <f t="shared" ref="DZ122:EH122" si="153">-SUM(DZ32,DZ50)*DZ104</f>
        <v>0</v>
      </c>
      <c r="EA122" s="768">
        <f t="shared" si="153"/>
        <v>0</v>
      </c>
      <c r="EB122" s="768">
        <f t="shared" si="153"/>
        <v>0</v>
      </c>
      <c r="EC122" s="768">
        <f t="shared" si="153"/>
        <v>0</v>
      </c>
      <c r="ED122" s="768">
        <f t="shared" si="153"/>
        <v>0</v>
      </c>
      <c r="EE122" s="768">
        <f t="shared" si="153"/>
        <v>0</v>
      </c>
      <c r="EF122" s="768">
        <f t="shared" si="153"/>
        <v>0</v>
      </c>
      <c r="EG122" s="768">
        <f t="shared" si="153"/>
        <v>0</v>
      </c>
      <c r="EH122" s="768">
        <f t="shared" si="153"/>
        <v>0</v>
      </c>
      <c r="EI122" s="768">
        <f t="shared" ref="EI122:ET122" si="154">-SUM(EI32,EI50)*EI104</f>
        <v>0</v>
      </c>
      <c r="EJ122" s="768">
        <f t="shared" si="154"/>
        <v>0</v>
      </c>
      <c r="EK122" s="768">
        <f t="shared" si="154"/>
        <v>0</v>
      </c>
      <c r="EL122" s="768">
        <f t="shared" si="154"/>
        <v>0</v>
      </c>
      <c r="EM122" s="768">
        <f t="shared" si="154"/>
        <v>0</v>
      </c>
      <c r="EN122" s="768">
        <f t="shared" si="154"/>
        <v>0</v>
      </c>
      <c r="EO122" s="768">
        <f t="shared" si="154"/>
        <v>0</v>
      </c>
      <c r="EP122" s="768">
        <f t="shared" si="154"/>
        <v>0</v>
      </c>
      <c r="EQ122" s="768">
        <f t="shared" si="154"/>
        <v>0</v>
      </c>
      <c r="ER122" s="768">
        <f t="shared" si="154"/>
        <v>0</v>
      </c>
      <c r="ES122" s="768">
        <f t="shared" si="154"/>
        <v>0</v>
      </c>
      <c r="ET122" s="768">
        <f t="shared" si="154"/>
        <v>0</v>
      </c>
      <c r="EU122" s="768">
        <f t="shared" si="70"/>
        <v>0</v>
      </c>
    </row>
    <row r="123" spans="1:151" s="773" customFormat="1" ht="11.25" customHeight="1">
      <c r="A123" s="704"/>
      <c r="B123" s="704"/>
      <c r="C123" s="763"/>
      <c r="D123" s="764" t="str">
        <f t="shared" si="62"/>
        <v>B2</v>
      </c>
      <c r="E123" s="774" t="str">
        <f t="shared" si="62"/>
        <v>쿠팡</v>
      </c>
      <c r="F123" s="774" t="str">
        <f t="shared" si="62"/>
        <v>상온창고</v>
      </c>
      <c r="G123" s="775"/>
      <c r="H123" s="776"/>
      <c r="I123" s="777"/>
      <c r="J123" s="777"/>
      <c r="K123" s="778"/>
      <c r="L123" s="766"/>
      <c r="M123" s="765"/>
      <c r="N123" s="767">
        <f t="shared" si="63"/>
        <v>-1221159.5844843748</v>
      </c>
      <c r="O123" s="769"/>
      <c r="P123" s="779">
        <f t="shared" ref="P123:AU123" si="155">-SUM(P33,P51)*P105</f>
        <v>0</v>
      </c>
      <c r="Q123" s="779">
        <f t="shared" si="155"/>
        <v>0</v>
      </c>
      <c r="R123" s="779">
        <f t="shared" si="155"/>
        <v>0</v>
      </c>
      <c r="S123" s="779">
        <f t="shared" si="155"/>
        <v>-167784.91499999998</v>
      </c>
      <c r="T123" s="779">
        <f t="shared" si="155"/>
        <v>0</v>
      </c>
      <c r="U123" s="779">
        <f t="shared" si="155"/>
        <v>0</v>
      </c>
      <c r="V123" s="779">
        <f t="shared" si="155"/>
        <v>0</v>
      </c>
      <c r="W123" s="779">
        <f t="shared" si="155"/>
        <v>0</v>
      </c>
      <c r="X123" s="779">
        <f t="shared" si="155"/>
        <v>0</v>
      </c>
      <c r="Y123" s="779">
        <f t="shared" si="155"/>
        <v>0</v>
      </c>
      <c r="Z123" s="779">
        <f t="shared" si="155"/>
        <v>0</v>
      </c>
      <c r="AA123" s="779">
        <f t="shared" si="155"/>
        <v>0</v>
      </c>
      <c r="AB123" s="779">
        <f t="shared" si="155"/>
        <v>0</v>
      </c>
      <c r="AC123" s="779">
        <f t="shared" si="155"/>
        <v>0</v>
      </c>
      <c r="AD123" s="779">
        <f t="shared" si="155"/>
        <v>0</v>
      </c>
      <c r="AE123" s="779">
        <f t="shared" si="155"/>
        <v>-171979.53787499998</v>
      </c>
      <c r="AF123" s="779">
        <f t="shared" si="155"/>
        <v>0</v>
      </c>
      <c r="AG123" s="779">
        <f t="shared" si="155"/>
        <v>0</v>
      </c>
      <c r="AH123" s="779">
        <f t="shared" si="155"/>
        <v>0</v>
      </c>
      <c r="AI123" s="779">
        <f t="shared" si="155"/>
        <v>0</v>
      </c>
      <c r="AJ123" s="779">
        <f t="shared" si="155"/>
        <v>0</v>
      </c>
      <c r="AK123" s="779">
        <f t="shared" si="155"/>
        <v>0</v>
      </c>
      <c r="AL123" s="779">
        <f t="shared" si="155"/>
        <v>0</v>
      </c>
      <c r="AM123" s="779">
        <f t="shared" si="155"/>
        <v>0</v>
      </c>
      <c r="AN123" s="779">
        <f t="shared" si="155"/>
        <v>0</v>
      </c>
      <c r="AO123" s="779">
        <f t="shared" si="155"/>
        <v>0</v>
      </c>
      <c r="AP123" s="779">
        <f t="shared" si="155"/>
        <v>0</v>
      </c>
      <c r="AQ123" s="779">
        <f t="shared" si="155"/>
        <v>0</v>
      </c>
      <c r="AR123" s="767">
        <f t="shared" si="155"/>
        <v>0</v>
      </c>
      <c r="AS123" s="767">
        <f t="shared" si="155"/>
        <v>0</v>
      </c>
      <c r="AT123" s="779">
        <f t="shared" si="155"/>
        <v>0</v>
      </c>
      <c r="AU123" s="779">
        <f t="shared" si="155"/>
        <v>0</v>
      </c>
      <c r="AV123" s="1334">
        <f t="shared" ref="AV123:CA123" si="156">-SUM(AV33,AV51)*AV105</f>
        <v>-176279.02632187499</v>
      </c>
      <c r="AW123" s="1334">
        <f t="shared" si="156"/>
        <v>-176279.02632187499</v>
      </c>
      <c r="AX123" s="1334">
        <f t="shared" si="156"/>
        <v>-176279.02632187499</v>
      </c>
      <c r="AY123" s="1334">
        <f t="shared" si="156"/>
        <v>-176279.02632187499</v>
      </c>
      <c r="AZ123" s="1334">
        <f t="shared" si="156"/>
        <v>-176279.02632187499</v>
      </c>
      <c r="BA123" s="779">
        <f t="shared" si="156"/>
        <v>0</v>
      </c>
      <c r="BB123" s="779">
        <f t="shared" si="156"/>
        <v>0</v>
      </c>
      <c r="BC123" s="779">
        <f t="shared" si="156"/>
        <v>0</v>
      </c>
      <c r="BD123" s="779">
        <f t="shared" si="156"/>
        <v>0</v>
      </c>
      <c r="BE123" s="779">
        <f t="shared" si="156"/>
        <v>0</v>
      </c>
      <c r="BF123" s="779">
        <f t="shared" si="156"/>
        <v>0</v>
      </c>
      <c r="BG123" s="779">
        <f t="shared" si="156"/>
        <v>0</v>
      </c>
      <c r="BH123" s="779">
        <f t="shared" si="156"/>
        <v>0</v>
      </c>
      <c r="BI123" s="779">
        <f t="shared" si="156"/>
        <v>0</v>
      </c>
      <c r="BJ123" s="779">
        <f t="shared" si="156"/>
        <v>0</v>
      </c>
      <c r="BK123" s="779">
        <f t="shared" si="156"/>
        <v>0</v>
      </c>
      <c r="BL123" s="779">
        <f t="shared" si="156"/>
        <v>0</v>
      </c>
      <c r="BM123" s="779">
        <f t="shared" si="156"/>
        <v>0</v>
      </c>
      <c r="BN123" s="779">
        <f t="shared" si="156"/>
        <v>0</v>
      </c>
      <c r="BO123" s="779">
        <f t="shared" si="156"/>
        <v>0</v>
      </c>
      <c r="BP123" s="779">
        <f t="shared" si="156"/>
        <v>0</v>
      </c>
      <c r="BQ123" s="779">
        <f t="shared" si="156"/>
        <v>0</v>
      </c>
      <c r="BR123" s="779">
        <f t="shared" si="156"/>
        <v>0</v>
      </c>
      <c r="BS123" s="779">
        <f t="shared" si="156"/>
        <v>0</v>
      </c>
      <c r="BT123" s="779">
        <f t="shared" si="156"/>
        <v>0</v>
      </c>
      <c r="BU123" s="779">
        <f t="shared" si="156"/>
        <v>0</v>
      </c>
      <c r="BV123" s="779">
        <f t="shared" si="156"/>
        <v>0</v>
      </c>
      <c r="BW123" s="779">
        <f t="shared" si="156"/>
        <v>0</v>
      </c>
      <c r="BX123" s="779">
        <f t="shared" si="156"/>
        <v>0</v>
      </c>
      <c r="BY123" s="779">
        <f t="shared" si="156"/>
        <v>0</v>
      </c>
      <c r="BZ123" s="779">
        <f t="shared" si="156"/>
        <v>0</v>
      </c>
      <c r="CA123" s="779">
        <f t="shared" si="156"/>
        <v>0</v>
      </c>
      <c r="CB123" s="779">
        <f t="shared" ref="CB123:DG123" si="157">-SUM(CB33,CB51)*CB105</f>
        <v>0</v>
      </c>
      <c r="CC123" s="779">
        <f t="shared" si="157"/>
        <v>0</v>
      </c>
      <c r="CD123" s="779">
        <f t="shared" si="157"/>
        <v>0</v>
      </c>
      <c r="CE123" s="779">
        <f t="shared" si="157"/>
        <v>0</v>
      </c>
      <c r="CF123" s="779">
        <f t="shared" si="157"/>
        <v>0</v>
      </c>
      <c r="CG123" s="779">
        <f t="shared" si="157"/>
        <v>0</v>
      </c>
      <c r="CH123" s="779">
        <f t="shared" si="157"/>
        <v>0</v>
      </c>
      <c r="CI123" s="779">
        <f t="shared" si="157"/>
        <v>0</v>
      </c>
      <c r="CJ123" s="779">
        <f t="shared" si="157"/>
        <v>0</v>
      </c>
      <c r="CK123" s="779">
        <f t="shared" si="157"/>
        <v>0</v>
      </c>
      <c r="CL123" s="779">
        <f t="shared" si="157"/>
        <v>0</v>
      </c>
      <c r="CM123" s="779">
        <f t="shared" si="157"/>
        <v>0</v>
      </c>
      <c r="CN123" s="779">
        <f t="shared" si="157"/>
        <v>0</v>
      </c>
      <c r="CO123" s="779">
        <f t="shared" si="157"/>
        <v>0</v>
      </c>
      <c r="CP123" s="779">
        <f t="shared" si="157"/>
        <v>0</v>
      </c>
      <c r="CQ123" s="779">
        <f t="shared" si="157"/>
        <v>0</v>
      </c>
      <c r="CR123" s="779">
        <f t="shared" si="157"/>
        <v>0</v>
      </c>
      <c r="CS123" s="779">
        <f t="shared" si="157"/>
        <v>0</v>
      </c>
      <c r="CT123" s="779">
        <f t="shared" si="157"/>
        <v>0</v>
      </c>
      <c r="CU123" s="779">
        <f t="shared" si="157"/>
        <v>0</v>
      </c>
      <c r="CV123" s="779">
        <f t="shared" si="157"/>
        <v>0</v>
      </c>
      <c r="CW123" s="779">
        <f t="shared" si="157"/>
        <v>0</v>
      </c>
      <c r="CX123" s="779">
        <f t="shared" si="157"/>
        <v>0</v>
      </c>
      <c r="CY123" s="779">
        <f t="shared" si="157"/>
        <v>0</v>
      </c>
      <c r="CZ123" s="779">
        <f t="shared" si="157"/>
        <v>0</v>
      </c>
      <c r="DA123" s="779">
        <f t="shared" si="157"/>
        <v>0</v>
      </c>
      <c r="DB123" s="779">
        <f t="shared" si="157"/>
        <v>0</v>
      </c>
      <c r="DC123" s="779">
        <f t="shared" si="157"/>
        <v>0</v>
      </c>
      <c r="DD123" s="779">
        <f t="shared" si="157"/>
        <v>0</v>
      </c>
      <c r="DE123" s="779">
        <f t="shared" si="157"/>
        <v>0</v>
      </c>
      <c r="DF123" s="779">
        <f t="shared" si="157"/>
        <v>0</v>
      </c>
      <c r="DG123" s="779">
        <f t="shared" si="157"/>
        <v>0</v>
      </c>
      <c r="DH123" s="779">
        <f t="shared" ref="DH123:DY123" si="158">-SUM(DH33,DH51)*DH105</f>
        <v>0</v>
      </c>
      <c r="DI123" s="779">
        <f t="shared" si="158"/>
        <v>0</v>
      </c>
      <c r="DJ123" s="779">
        <f t="shared" si="158"/>
        <v>0</v>
      </c>
      <c r="DK123" s="779">
        <f t="shared" si="158"/>
        <v>0</v>
      </c>
      <c r="DL123" s="779">
        <f t="shared" si="158"/>
        <v>0</v>
      </c>
      <c r="DM123" s="779">
        <f t="shared" si="158"/>
        <v>0</v>
      </c>
      <c r="DN123" s="779">
        <f t="shared" si="158"/>
        <v>0</v>
      </c>
      <c r="DO123" s="779">
        <f t="shared" si="158"/>
        <v>0</v>
      </c>
      <c r="DP123" s="779">
        <f t="shared" si="158"/>
        <v>0</v>
      </c>
      <c r="DQ123" s="779">
        <f t="shared" si="158"/>
        <v>0</v>
      </c>
      <c r="DR123" s="779">
        <f t="shared" si="158"/>
        <v>0</v>
      </c>
      <c r="DS123" s="779">
        <f t="shared" si="158"/>
        <v>0</v>
      </c>
      <c r="DT123" s="779">
        <f t="shared" si="158"/>
        <v>0</v>
      </c>
      <c r="DU123" s="779">
        <f t="shared" si="158"/>
        <v>0</v>
      </c>
      <c r="DV123" s="779">
        <f t="shared" si="158"/>
        <v>0</v>
      </c>
      <c r="DW123" s="779">
        <f t="shared" si="158"/>
        <v>0</v>
      </c>
      <c r="DX123" s="779">
        <f t="shared" si="158"/>
        <v>0</v>
      </c>
      <c r="DY123" s="779">
        <f t="shared" si="158"/>
        <v>0</v>
      </c>
      <c r="DZ123" s="779">
        <f t="shared" ref="DZ123:EH123" si="159">-SUM(DZ33,DZ51)*DZ105</f>
        <v>0</v>
      </c>
      <c r="EA123" s="779">
        <f t="shared" si="159"/>
        <v>0</v>
      </c>
      <c r="EB123" s="779">
        <f t="shared" si="159"/>
        <v>0</v>
      </c>
      <c r="EC123" s="779">
        <f t="shared" si="159"/>
        <v>0</v>
      </c>
      <c r="ED123" s="779">
        <f t="shared" si="159"/>
        <v>0</v>
      </c>
      <c r="EE123" s="779">
        <f t="shared" si="159"/>
        <v>0</v>
      </c>
      <c r="EF123" s="779">
        <f t="shared" si="159"/>
        <v>0</v>
      </c>
      <c r="EG123" s="779">
        <f t="shared" si="159"/>
        <v>0</v>
      </c>
      <c r="EH123" s="779">
        <f t="shared" si="159"/>
        <v>0</v>
      </c>
      <c r="EI123" s="779">
        <f t="shared" ref="EI123:ET123" si="160">-SUM(EI33,EI51)*EI105</f>
        <v>0</v>
      </c>
      <c r="EJ123" s="779">
        <f t="shared" si="160"/>
        <v>0</v>
      </c>
      <c r="EK123" s="779">
        <f t="shared" si="160"/>
        <v>0</v>
      </c>
      <c r="EL123" s="779">
        <f t="shared" si="160"/>
        <v>0</v>
      </c>
      <c r="EM123" s="779">
        <f t="shared" si="160"/>
        <v>0</v>
      </c>
      <c r="EN123" s="779">
        <f t="shared" si="160"/>
        <v>0</v>
      </c>
      <c r="EO123" s="779">
        <f t="shared" si="160"/>
        <v>0</v>
      </c>
      <c r="EP123" s="779">
        <f t="shared" si="160"/>
        <v>0</v>
      </c>
      <c r="EQ123" s="779">
        <f t="shared" si="160"/>
        <v>0</v>
      </c>
      <c r="ER123" s="779">
        <f t="shared" si="160"/>
        <v>0</v>
      </c>
      <c r="ES123" s="779">
        <f t="shared" si="160"/>
        <v>0</v>
      </c>
      <c r="ET123" s="779">
        <f t="shared" si="160"/>
        <v>0</v>
      </c>
      <c r="EU123" s="779">
        <f t="shared" si="70"/>
        <v>0</v>
      </c>
    </row>
    <row r="124" spans="1:151" ht="11.25" customHeight="1">
      <c r="C124" s="827" t="s">
        <v>506</v>
      </c>
      <c r="D124" s="829"/>
      <c r="E124" s="829"/>
      <c r="F124" s="829"/>
      <c r="G124" s="829"/>
      <c r="H124" s="829"/>
      <c r="I124" s="829"/>
      <c r="J124" s="829"/>
      <c r="K124" s="829"/>
      <c r="L124" s="830"/>
      <c r="M124" s="831"/>
      <c r="N124" s="832">
        <f>SUM(N125:N141)</f>
        <v>0</v>
      </c>
      <c r="O124" s="733"/>
      <c r="P124" s="833">
        <f>SUM(P125:P141)</f>
        <v>0</v>
      </c>
      <c r="Q124" s="833">
        <f t="shared" ref="Q124:CB124" si="161">SUM(Q125:Q141)</f>
        <v>0</v>
      </c>
      <c r="R124" s="833">
        <f t="shared" si="161"/>
        <v>0</v>
      </c>
      <c r="S124" s="833">
        <f t="shared" si="161"/>
        <v>0</v>
      </c>
      <c r="T124" s="833">
        <f t="shared" si="161"/>
        <v>0</v>
      </c>
      <c r="U124" s="833">
        <f t="shared" si="161"/>
        <v>0</v>
      </c>
      <c r="V124" s="833">
        <f t="shared" si="161"/>
        <v>0</v>
      </c>
      <c r="W124" s="833">
        <f t="shared" si="161"/>
        <v>0</v>
      </c>
      <c r="X124" s="833">
        <f t="shared" si="161"/>
        <v>0</v>
      </c>
      <c r="Y124" s="833">
        <f t="shared" si="161"/>
        <v>0</v>
      </c>
      <c r="Z124" s="833">
        <f t="shared" si="161"/>
        <v>0</v>
      </c>
      <c r="AA124" s="833">
        <f t="shared" si="161"/>
        <v>0</v>
      </c>
      <c r="AB124" s="833">
        <f t="shared" si="161"/>
        <v>0</v>
      </c>
      <c r="AC124" s="833">
        <f t="shared" si="161"/>
        <v>0</v>
      </c>
      <c r="AD124" s="833">
        <f t="shared" si="161"/>
        <v>0</v>
      </c>
      <c r="AE124" s="833">
        <f t="shared" si="161"/>
        <v>0</v>
      </c>
      <c r="AF124" s="833">
        <f t="shared" si="161"/>
        <v>0</v>
      </c>
      <c r="AG124" s="833">
        <f t="shared" si="161"/>
        <v>0</v>
      </c>
      <c r="AH124" s="833">
        <f t="shared" si="161"/>
        <v>0</v>
      </c>
      <c r="AI124" s="833">
        <f t="shared" si="161"/>
        <v>0</v>
      </c>
      <c r="AJ124" s="833">
        <f t="shared" si="161"/>
        <v>0</v>
      </c>
      <c r="AK124" s="833">
        <f t="shared" si="161"/>
        <v>0</v>
      </c>
      <c r="AL124" s="833">
        <f t="shared" si="161"/>
        <v>0</v>
      </c>
      <c r="AM124" s="833">
        <f t="shared" si="161"/>
        <v>0</v>
      </c>
      <c r="AN124" s="833">
        <f t="shared" si="161"/>
        <v>0</v>
      </c>
      <c r="AO124" s="833">
        <f t="shared" si="161"/>
        <v>0</v>
      </c>
      <c r="AP124" s="833">
        <f t="shared" si="161"/>
        <v>0</v>
      </c>
      <c r="AQ124" s="833">
        <f t="shared" si="161"/>
        <v>0</v>
      </c>
      <c r="AR124" s="833">
        <f t="shared" si="161"/>
        <v>0</v>
      </c>
      <c r="AS124" s="833">
        <f t="shared" si="161"/>
        <v>0</v>
      </c>
      <c r="AT124" s="833">
        <f t="shared" si="161"/>
        <v>0</v>
      </c>
      <c r="AU124" s="833">
        <f t="shared" si="161"/>
        <v>0</v>
      </c>
      <c r="AV124" s="833">
        <f t="shared" si="161"/>
        <v>0</v>
      </c>
      <c r="AW124" s="833">
        <f t="shared" si="161"/>
        <v>0</v>
      </c>
      <c r="AX124" s="833">
        <f t="shared" si="161"/>
        <v>0</v>
      </c>
      <c r="AY124" s="833">
        <f t="shared" si="161"/>
        <v>0</v>
      </c>
      <c r="AZ124" s="833">
        <f t="shared" si="161"/>
        <v>0</v>
      </c>
      <c r="BA124" s="833">
        <f t="shared" si="161"/>
        <v>0</v>
      </c>
      <c r="BB124" s="833">
        <f t="shared" si="161"/>
        <v>0</v>
      </c>
      <c r="BC124" s="833">
        <f t="shared" si="161"/>
        <v>0</v>
      </c>
      <c r="BD124" s="833">
        <f t="shared" si="161"/>
        <v>0</v>
      </c>
      <c r="BE124" s="833">
        <f t="shared" si="161"/>
        <v>0</v>
      </c>
      <c r="BF124" s="833">
        <f t="shared" si="161"/>
        <v>0</v>
      </c>
      <c r="BG124" s="833">
        <f t="shared" si="161"/>
        <v>0</v>
      </c>
      <c r="BH124" s="833">
        <f t="shared" si="161"/>
        <v>0</v>
      </c>
      <c r="BI124" s="833">
        <f t="shared" si="161"/>
        <v>0</v>
      </c>
      <c r="BJ124" s="833">
        <f t="shared" si="161"/>
        <v>0</v>
      </c>
      <c r="BK124" s="833">
        <f t="shared" si="161"/>
        <v>0</v>
      </c>
      <c r="BL124" s="833">
        <f t="shared" si="161"/>
        <v>0</v>
      </c>
      <c r="BM124" s="833">
        <f t="shared" si="161"/>
        <v>0</v>
      </c>
      <c r="BN124" s="833">
        <f t="shared" si="161"/>
        <v>0</v>
      </c>
      <c r="BO124" s="833">
        <f t="shared" si="161"/>
        <v>0</v>
      </c>
      <c r="BP124" s="833">
        <f t="shared" si="161"/>
        <v>0</v>
      </c>
      <c r="BQ124" s="833">
        <f t="shared" si="161"/>
        <v>0</v>
      </c>
      <c r="BR124" s="833">
        <f t="shared" si="161"/>
        <v>0</v>
      </c>
      <c r="BS124" s="833">
        <f t="shared" si="161"/>
        <v>0</v>
      </c>
      <c r="BT124" s="833">
        <f t="shared" si="161"/>
        <v>0</v>
      </c>
      <c r="BU124" s="833">
        <f t="shared" si="161"/>
        <v>0</v>
      </c>
      <c r="BV124" s="833">
        <f t="shared" si="161"/>
        <v>0</v>
      </c>
      <c r="BW124" s="833">
        <f t="shared" si="161"/>
        <v>0</v>
      </c>
      <c r="BX124" s="833">
        <f t="shared" si="161"/>
        <v>0</v>
      </c>
      <c r="BY124" s="833">
        <f t="shared" si="161"/>
        <v>0</v>
      </c>
      <c r="BZ124" s="833">
        <f t="shared" si="161"/>
        <v>0</v>
      </c>
      <c r="CA124" s="833">
        <f t="shared" si="161"/>
        <v>0</v>
      </c>
      <c r="CB124" s="833">
        <f t="shared" si="161"/>
        <v>0</v>
      </c>
      <c r="CC124" s="833">
        <f t="shared" ref="CC124:EN124" si="162">SUM(CC125:CC141)</f>
        <v>0</v>
      </c>
      <c r="CD124" s="833">
        <f t="shared" si="162"/>
        <v>0</v>
      </c>
      <c r="CE124" s="833">
        <f t="shared" si="162"/>
        <v>0</v>
      </c>
      <c r="CF124" s="833">
        <f t="shared" si="162"/>
        <v>0</v>
      </c>
      <c r="CG124" s="833">
        <f t="shared" si="162"/>
        <v>0</v>
      </c>
      <c r="CH124" s="833">
        <f t="shared" si="162"/>
        <v>0</v>
      </c>
      <c r="CI124" s="833">
        <f t="shared" si="162"/>
        <v>0</v>
      </c>
      <c r="CJ124" s="833">
        <f t="shared" si="162"/>
        <v>0</v>
      </c>
      <c r="CK124" s="833">
        <f t="shared" si="162"/>
        <v>0</v>
      </c>
      <c r="CL124" s="833">
        <f t="shared" si="162"/>
        <v>0</v>
      </c>
      <c r="CM124" s="833">
        <f t="shared" si="162"/>
        <v>0</v>
      </c>
      <c r="CN124" s="833">
        <f t="shared" si="162"/>
        <v>0</v>
      </c>
      <c r="CO124" s="833">
        <f t="shared" si="162"/>
        <v>0</v>
      </c>
      <c r="CP124" s="833">
        <f t="shared" si="162"/>
        <v>0</v>
      </c>
      <c r="CQ124" s="833">
        <f t="shared" si="162"/>
        <v>0</v>
      </c>
      <c r="CR124" s="833">
        <f t="shared" si="162"/>
        <v>0</v>
      </c>
      <c r="CS124" s="833">
        <f t="shared" si="162"/>
        <v>0</v>
      </c>
      <c r="CT124" s="833">
        <f t="shared" si="162"/>
        <v>0</v>
      </c>
      <c r="CU124" s="833">
        <f t="shared" si="162"/>
        <v>0</v>
      </c>
      <c r="CV124" s="833">
        <f t="shared" si="162"/>
        <v>0</v>
      </c>
      <c r="CW124" s="833">
        <f t="shared" si="162"/>
        <v>0</v>
      </c>
      <c r="CX124" s="833">
        <f t="shared" si="162"/>
        <v>0</v>
      </c>
      <c r="CY124" s="833">
        <f t="shared" si="162"/>
        <v>0</v>
      </c>
      <c r="CZ124" s="833">
        <f t="shared" si="162"/>
        <v>0</v>
      </c>
      <c r="DA124" s="833">
        <f t="shared" si="162"/>
        <v>0</v>
      </c>
      <c r="DB124" s="833">
        <f t="shared" si="162"/>
        <v>0</v>
      </c>
      <c r="DC124" s="833">
        <f t="shared" si="162"/>
        <v>0</v>
      </c>
      <c r="DD124" s="833">
        <f t="shared" si="162"/>
        <v>0</v>
      </c>
      <c r="DE124" s="833">
        <f t="shared" si="162"/>
        <v>0</v>
      </c>
      <c r="DF124" s="833">
        <f t="shared" si="162"/>
        <v>0</v>
      </c>
      <c r="DG124" s="833">
        <f t="shared" si="162"/>
        <v>0</v>
      </c>
      <c r="DH124" s="833">
        <f t="shared" si="162"/>
        <v>0</v>
      </c>
      <c r="DI124" s="833">
        <f t="shared" si="162"/>
        <v>0</v>
      </c>
      <c r="DJ124" s="833">
        <f t="shared" si="162"/>
        <v>0</v>
      </c>
      <c r="DK124" s="833">
        <f t="shared" si="162"/>
        <v>0</v>
      </c>
      <c r="DL124" s="833">
        <f t="shared" si="162"/>
        <v>0</v>
      </c>
      <c r="DM124" s="833">
        <f t="shared" si="162"/>
        <v>0</v>
      </c>
      <c r="DN124" s="833">
        <f t="shared" si="162"/>
        <v>0</v>
      </c>
      <c r="DO124" s="833">
        <f t="shared" si="162"/>
        <v>0</v>
      </c>
      <c r="DP124" s="833">
        <f t="shared" si="162"/>
        <v>0</v>
      </c>
      <c r="DQ124" s="833">
        <f t="shared" si="162"/>
        <v>0</v>
      </c>
      <c r="DR124" s="833">
        <f t="shared" si="162"/>
        <v>0</v>
      </c>
      <c r="DS124" s="833">
        <f t="shared" si="162"/>
        <v>0</v>
      </c>
      <c r="DT124" s="833">
        <f t="shared" si="162"/>
        <v>0</v>
      </c>
      <c r="DU124" s="833">
        <f t="shared" si="162"/>
        <v>0</v>
      </c>
      <c r="DV124" s="833">
        <f t="shared" si="162"/>
        <v>0</v>
      </c>
      <c r="DW124" s="833">
        <f t="shared" si="162"/>
        <v>0</v>
      </c>
      <c r="DX124" s="833">
        <f t="shared" si="162"/>
        <v>0</v>
      </c>
      <c r="DY124" s="833">
        <f t="shared" si="162"/>
        <v>0</v>
      </c>
      <c r="DZ124" s="833">
        <f t="shared" si="162"/>
        <v>0</v>
      </c>
      <c r="EA124" s="833">
        <f t="shared" si="162"/>
        <v>0</v>
      </c>
      <c r="EB124" s="833">
        <f t="shared" si="162"/>
        <v>0</v>
      </c>
      <c r="EC124" s="833">
        <f t="shared" si="162"/>
        <v>0</v>
      </c>
      <c r="ED124" s="833">
        <f t="shared" si="162"/>
        <v>0</v>
      </c>
      <c r="EE124" s="833">
        <f t="shared" si="162"/>
        <v>0</v>
      </c>
      <c r="EF124" s="833">
        <f t="shared" si="162"/>
        <v>0</v>
      </c>
      <c r="EG124" s="833">
        <f t="shared" si="162"/>
        <v>0</v>
      </c>
      <c r="EH124" s="833">
        <f t="shared" si="162"/>
        <v>0</v>
      </c>
      <c r="EI124" s="833">
        <f t="shared" si="162"/>
        <v>0</v>
      </c>
      <c r="EJ124" s="833">
        <f t="shared" si="162"/>
        <v>0</v>
      </c>
      <c r="EK124" s="833">
        <f t="shared" si="162"/>
        <v>0</v>
      </c>
      <c r="EL124" s="833">
        <f t="shared" si="162"/>
        <v>0</v>
      </c>
      <c r="EM124" s="833">
        <f t="shared" si="162"/>
        <v>0</v>
      </c>
      <c r="EN124" s="833">
        <f t="shared" si="162"/>
        <v>0</v>
      </c>
      <c r="EO124" s="833">
        <f t="shared" ref="EO124:EU124" si="163">SUM(EO125:EO141)</f>
        <v>0</v>
      </c>
      <c r="EP124" s="833">
        <f t="shared" si="163"/>
        <v>0</v>
      </c>
      <c r="EQ124" s="833">
        <f t="shared" si="163"/>
        <v>0</v>
      </c>
      <c r="ER124" s="833">
        <f t="shared" si="163"/>
        <v>0</v>
      </c>
      <c r="ES124" s="833">
        <f t="shared" si="163"/>
        <v>0</v>
      </c>
      <c r="ET124" s="833">
        <f t="shared" si="163"/>
        <v>0</v>
      </c>
      <c r="EU124" s="833">
        <f t="shared" si="163"/>
        <v>0</v>
      </c>
    </row>
    <row r="125" spans="1:151" ht="11.25" customHeight="1">
      <c r="C125" s="828"/>
      <c r="D125" s="736" t="str">
        <f>'A&amp;R'!V6</f>
        <v>옥상</v>
      </c>
      <c r="E125" s="737" t="s">
        <v>850</v>
      </c>
      <c r="F125" s="737" t="str">
        <f>'A&amp;R'!X6</f>
        <v>태양광시설</v>
      </c>
      <c r="G125" s="751"/>
      <c r="H125" s="738"/>
      <c r="I125" s="739"/>
      <c r="J125" s="739"/>
      <c r="K125" s="753"/>
      <c r="L125" s="740"/>
      <c r="M125" s="741"/>
      <c r="N125" s="742">
        <f>SUM(P125:EU125)</f>
        <v>0</v>
      </c>
      <c r="O125" s="733"/>
      <c r="P125" s="742">
        <f>-SUM(P53,P71)*P89</f>
        <v>0</v>
      </c>
      <c r="Q125" s="742">
        <f t="shared" ref="Q125:CB125" si="164">-SUM(Q53,Q71)*Q89</f>
        <v>0</v>
      </c>
      <c r="R125" s="742">
        <f t="shared" si="164"/>
        <v>0</v>
      </c>
      <c r="S125" s="742">
        <f t="shared" si="164"/>
        <v>0</v>
      </c>
      <c r="T125" s="742">
        <f t="shared" si="164"/>
        <v>0</v>
      </c>
      <c r="U125" s="742">
        <f t="shared" si="164"/>
        <v>0</v>
      </c>
      <c r="V125" s="742">
        <f t="shared" si="164"/>
        <v>0</v>
      </c>
      <c r="W125" s="742">
        <f t="shared" si="164"/>
        <v>0</v>
      </c>
      <c r="X125" s="742">
        <f t="shared" si="164"/>
        <v>0</v>
      </c>
      <c r="Y125" s="742">
        <f t="shared" si="164"/>
        <v>0</v>
      </c>
      <c r="Z125" s="742">
        <f t="shared" si="164"/>
        <v>0</v>
      </c>
      <c r="AA125" s="742">
        <f t="shared" si="164"/>
        <v>0</v>
      </c>
      <c r="AB125" s="742">
        <f t="shared" si="164"/>
        <v>0</v>
      </c>
      <c r="AC125" s="742">
        <f t="shared" si="164"/>
        <v>0</v>
      </c>
      <c r="AD125" s="742">
        <f t="shared" si="164"/>
        <v>0</v>
      </c>
      <c r="AE125" s="742">
        <f t="shared" si="164"/>
        <v>0</v>
      </c>
      <c r="AF125" s="742">
        <f t="shared" si="164"/>
        <v>0</v>
      </c>
      <c r="AG125" s="742">
        <f t="shared" si="164"/>
        <v>0</v>
      </c>
      <c r="AH125" s="742">
        <f t="shared" si="164"/>
        <v>0</v>
      </c>
      <c r="AI125" s="742">
        <f t="shared" si="164"/>
        <v>0</v>
      </c>
      <c r="AJ125" s="742">
        <f t="shared" si="164"/>
        <v>0</v>
      </c>
      <c r="AK125" s="742">
        <f t="shared" si="164"/>
        <v>0</v>
      </c>
      <c r="AL125" s="742">
        <f t="shared" si="164"/>
        <v>0</v>
      </c>
      <c r="AM125" s="742">
        <f t="shared" si="164"/>
        <v>0</v>
      </c>
      <c r="AN125" s="742">
        <f t="shared" si="164"/>
        <v>0</v>
      </c>
      <c r="AO125" s="742">
        <f t="shared" si="164"/>
        <v>0</v>
      </c>
      <c r="AP125" s="742">
        <f t="shared" si="164"/>
        <v>0</v>
      </c>
      <c r="AQ125" s="742">
        <f t="shared" si="164"/>
        <v>0</v>
      </c>
      <c r="AR125" s="742">
        <f t="shared" si="164"/>
        <v>0</v>
      </c>
      <c r="AS125" s="742">
        <f t="shared" si="164"/>
        <v>0</v>
      </c>
      <c r="AT125" s="742">
        <f t="shared" si="164"/>
        <v>0</v>
      </c>
      <c r="AU125" s="742">
        <f t="shared" si="164"/>
        <v>0</v>
      </c>
      <c r="AV125" s="742">
        <f t="shared" si="164"/>
        <v>0</v>
      </c>
      <c r="AW125" s="742">
        <f t="shared" si="164"/>
        <v>0</v>
      </c>
      <c r="AX125" s="742">
        <f t="shared" si="164"/>
        <v>0</v>
      </c>
      <c r="AY125" s="742">
        <f t="shared" si="164"/>
        <v>0</v>
      </c>
      <c r="AZ125" s="742">
        <f t="shared" si="164"/>
        <v>0</v>
      </c>
      <c r="BA125" s="742">
        <f t="shared" si="164"/>
        <v>0</v>
      </c>
      <c r="BB125" s="742">
        <f t="shared" si="164"/>
        <v>0</v>
      </c>
      <c r="BC125" s="742">
        <f t="shared" si="164"/>
        <v>0</v>
      </c>
      <c r="BD125" s="742">
        <f t="shared" si="164"/>
        <v>0</v>
      </c>
      <c r="BE125" s="742">
        <f t="shared" si="164"/>
        <v>0</v>
      </c>
      <c r="BF125" s="742">
        <f t="shared" si="164"/>
        <v>0</v>
      </c>
      <c r="BG125" s="742">
        <f t="shared" si="164"/>
        <v>0</v>
      </c>
      <c r="BH125" s="742">
        <f t="shared" si="164"/>
        <v>0</v>
      </c>
      <c r="BI125" s="742">
        <f t="shared" si="164"/>
        <v>0</v>
      </c>
      <c r="BJ125" s="742">
        <f t="shared" si="164"/>
        <v>0</v>
      </c>
      <c r="BK125" s="742">
        <f t="shared" si="164"/>
        <v>0</v>
      </c>
      <c r="BL125" s="742">
        <f t="shared" si="164"/>
        <v>0</v>
      </c>
      <c r="BM125" s="742">
        <f t="shared" si="164"/>
        <v>0</v>
      </c>
      <c r="BN125" s="742">
        <f t="shared" si="164"/>
        <v>0</v>
      </c>
      <c r="BO125" s="742">
        <f t="shared" si="164"/>
        <v>0</v>
      </c>
      <c r="BP125" s="742">
        <f t="shared" si="164"/>
        <v>0</v>
      </c>
      <c r="BQ125" s="742">
        <f t="shared" si="164"/>
        <v>0</v>
      </c>
      <c r="BR125" s="742">
        <f t="shared" si="164"/>
        <v>0</v>
      </c>
      <c r="BS125" s="742">
        <f t="shared" si="164"/>
        <v>0</v>
      </c>
      <c r="BT125" s="742">
        <f t="shared" si="164"/>
        <v>0</v>
      </c>
      <c r="BU125" s="742">
        <f t="shared" si="164"/>
        <v>0</v>
      </c>
      <c r="BV125" s="742">
        <f t="shared" si="164"/>
        <v>0</v>
      </c>
      <c r="BW125" s="742">
        <f t="shared" si="164"/>
        <v>0</v>
      </c>
      <c r="BX125" s="742">
        <f t="shared" si="164"/>
        <v>0</v>
      </c>
      <c r="BY125" s="742">
        <f t="shared" si="164"/>
        <v>0</v>
      </c>
      <c r="BZ125" s="742">
        <f t="shared" si="164"/>
        <v>0</v>
      </c>
      <c r="CA125" s="742">
        <f t="shared" si="164"/>
        <v>0</v>
      </c>
      <c r="CB125" s="742">
        <f t="shared" si="164"/>
        <v>0</v>
      </c>
      <c r="CC125" s="742">
        <f t="shared" ref="CC125:EN125" si="165">-SUM(CC53,CC71)*CC89</f>
        <v>0</v>
      </c>
      <c r="CD125" s="742">
        <f t="shared" si="165"/>
        <v>0</v>
      </c>
      <c r="CE125" s="742">
        <f t="shared" si="165"/>
        <v>0</v>
      </c>
      <c r="CF125" s="742">
        <f t="shared" si="165"/>
        <v>0</v>
      </c>
      <c r="CG125" s="742">
        <f t="shared" si="165"/>
        <v>0</v>
      </c>
      <c r="CH125" s="742">
        <f t="shared" si="165"/>
        <v>0</v>
      </c>
      <c r="CI125" s="742">
        <f t="shared" si="165"/>
        <v>0</v>
      </c>
      <c r="CJ125" s="742">
        <f t="shared" si="165"/>
        <v>0</v>
      </c>
      <c r="CK125" s="742">
        <f t="shared" si="165"/>
        <v>0</v>
      </c>
      <c r="CL125" s="742">
        <f t="shared" si="165"/>
        <v>0</v>
      </c>
      <c r="CM125" s="742">
        <f t="shared" si="165"/>
        <v>0</v>
      </c>
      <c r="CN125" s="742">
        <f t="shared" si="165"/>
        <v>0</v>
      </c>
      <c r="CO125" s="742">
        <f t="shared" si="165"/>
        <v>0</v>
      </c>
      <c r="CP125" s="742">
        <f t="shared" si="165"/>
        <v>0</v>
      </c>
      <c r="CQ125" s="742">
        <f t="shared" si="165"/>
        <v>0</v>
      </c>
      <c r="CR125" s="742">
        <f t="shared" si="165"/>
        <v>0</v>
      </c>
      <c r="CS125" s="742">
        <f t="shared" si="165"/>
        <v>0</v>
      </c>
      <c r="CT125" s="742">
        <f t="shared" si="165"/>
        <v>0</v>
      </c>
      <c r="CU125" s="742">
        <f t="shared" si="165"/>
        <v>0</v>
      </c>
      <c r="CV125" s="742">
        <f t="shared" si="165"/>
        <v>0</v>
      </c>
      <c r="CW125" s="742">
        <f t="shared" si="165"/>
        <v>0</v>
      </c>
      <c r="CX125" s="742">
        <f t="shared" si="165"/>
        <v>0</v>
      </c>
      <c r="CY125" s="742">
        <f t="shared" si="165"/>
        <v>0</v>
      </c>
      <c r="CZ125" s="742">
        <f t="shared" si="165"/>
        <v>0</v>
      </c>
      <c r="DA125" s="742">
        <f t="shared" si="165"/>
        <v>0</v>
      </c>
      <c r="DB125" s="742">
        <f t="shared" si="165"/>
        <v>0</v>
      </c>
      <c r="DC125" s="742">
        <f t="shared" si="165"/>
        <v>0</v>
      </c>
      <c r="DD125" s="742">
        <f t="shared" si="165"/>
        <v>0</v>
      </c>
      <c r="DE125" s="742">
        <f t="shared" si="165"/>
        <v>0</v>
      </c>
      <c r="DF125" s="742">
        <f t="shared" si="165"/>
        <v>0</v>
      </c>
      <c r="DG125" s="742">
        <f t="shared" si="165"/>
        <v>0</v>
      </c>
      <c r="DH125" s="742">
        <f t="shared" si="165"/>
        <v>0</v>
      </c>
      <c r="DI125" s="742">
        <f t="shared" si="165"/>
        <v>0</v>
      </c>
      <c r="DJ125" s="742">
        <f t="shared" si="165"/>
        <v>0</v>
      </c>
      <c r="DK125" s="742">
        <f t="shared" si="165"/>
        <v>0</v>
      </c>
      <c r="DL125" s="742">
        <f t="shared" si="165"/>
        <v>0</v>
      </c>
      <c r="DM125" s="742">
        <f t="shared" si="165"/>
        <v>0</v>
      </c>
      <c r="DN125" s="742">
        <f t="shared" si="165"/>
        <v>0</v>
      </c>
      <c r="DO125" s="742">
        <f t="shared" si="165"/>
        <v>0</v>
      </c>
      <c r="DP125" s="742">
        <f t="shared" si="165"/>
        <v>0</v>
      </c>
      <c r="DQ125" s="742">
        <f t="shared" si="165"/>
        <v>0</v>
      </c>
      <c r="DR125" s="742">
        <f t="shared" si="165"/>
        <v>0</v>
      </c>
      <c r="DS125" s="742">
        <f t="shared" si="165"/>
        <v>0</v>
      </c>
      <c r="DT125" s="742">
        <f t="shared" si="165"/>
        <v>0</v>
      </c>
      <c r="DU125" s="742">
        <f t="shared" si="165"/>
        <v>0</v>
      </c>
      <c r="DV125" s="742">
        <f t="shared" si="165"/>
        <v>0</v>
      </c>
      <c r="DW125" s="742">
        <f t="shared" si="165"/>
        <v>0</v>
      </c>
      <c r="DX125" s="742">
        <f t="shared" si="165"/>
        <v>0</v>
      </c>
      <c r="DY125" s="742">
        <f t="shared" si="165"/>
        <v>0</v>
      </c>
      <c r="DZ125" s="742">
        <f t="shared" si="165"/>
        <v>0</v>
      </c>
      <c r="EA125" s="742">
        <f t="shared" si="165"/>
        <v>0</v>
      </c>
      <c r="EB125" s="742">
        <f t="shared" si="165"/>
        <v>0</v>
      </c>
      <c r="EC125" s="742">
        <f t="shared" si="165"/>
        <v>0</v>
      </c>
      <c r="ED125" s="742">
        <f t="shared" si="165"/>
        <v>0</v>
      </c>
      <c r="EE125" s="742">
        <f t="shared" si="165"/>
        <v>0</v>
      </c>
      <c r="EF125" s="742">
        <f t="shared" si="165"/>
        <v>0</v>
      </c>
      <c r="EG125" s="742">
        <f t="shared" si="165"/>
        <v>0</v>
      </c>
      <c r="EH125" s="742">
        <f t="shared" si="165"/>
        <v>0</v>
      </c>
      <c r="EI125" s="742">
        <f t="shared" si="165"/>
        <v>0</v>
      </c>
      <c r="EJ125" s="742">
        <f t="shared" si="165"/>
        <v>0</v>
      </c>
      <c r="EK125" s="742">
        <f t="shared" si="165"/>
        <v>0</v>
      </c>
      <c r="EL125" s="742">
        <f t="shared" si="165"/>
        <v>0</v>
      </c>
      <c r="EM125" s="742">
        <f t="shared" si="165"/>
        <v>0</v>
      </c>
      <c r="EN125" s="742">
        <f t="shared" si="165"/>
        <v>0</v>
      </c>
      <c r="EO125" s="742">
        <f t="shared" ref="EO125:EU125" si="166">-SUM(EO53,EO71)*EO89</f>
        <v>0</v>
      </c>
      <c r="EP125" s="742">
        <f t="shared" si="166"/>
        <v>0</v>
      </c>
      <c r="EQ125" s="742">
        <f t="shared" si="166"/>
        <v>0</v>
      </c>
      <c r="ER125" s="742">
        <f t="shared" si="166"/>
        <v>0</v>
      </c>
      <c r="ES125" s="742">
        <f t="shared" si="166"/>
        <v>0</v>
      </c>
      <c r="ET125" s="742">
        <f t="shared" si="166"/>
        <v>0</v>
      </c>
      <c r="EU125" s="742">
        <f t="shared" si="166"/>
        <v>0</v>
      </c>
    </row>
    <row r="126" spans="1:151" ht="11.25" customHeight="1">
      <c r="C126" s="828"/>
      <c r="D126" s="743">
        <f t="shared" ref="D126:F141" si="167">D108</f>
        <v>8</v>
      </c>
      <c r="E126" s="704" t="str">
        <f t="shared" si="167"/>
        <v>쿠팡</v>
      </c>
      <c r="F126" s="704" t="str">
        <f t="shared" si="167"/>
        <v>근린생활시설</v>
      </c>
      <c r="G126" s="752"/>
      <c r="H126" s="744"/>
      <c r="I126" s="745"/>
      <c r="J126" s="745"/>
      <c r="K126" s="754"/>
      <c r="L126" s="746"/>
      <c r="M126" s="722"/>
      <c r="N126" s="747">
        <f t="shared" ref="N126:N141" si="168">SUM(P126:EU126)</f>
        <v>0</v>
      </c>
      <c r="O126" s="733"/>
      <c r="P126" s="747">
        <f>-SUM(P54,P72)*P90</f>
        <v>0</v>
      </c>
      <c r="Q126" s="747">
        <f t="shared" ref="Q126:CB126" si="169">-SUM(Q54,Q72)*Q90</f>
        <v>0</v>
      </c>
      <c r="R126" s="747">
        <f t="shared" si="169"/>
        <v>0</v>
      </c>
      <c r="S126" s="747">
        <f t="shared" si="169"/>
        <v>0</v>
      </c>
      <c r="T126" s="747">
        <f t="shared" si="169"/>
        <v>0</v>
      </c>
      <c r="U126" s="747">
        <f t="shared" si="169"/>
        <v>0</v>
      </c>
      <c r="V126" s="747">
        <f t="shared" si="169"/>
        <v>0</v>
      </c>
      <c r="W126" s="747">
        <f t="shared" si="169"/>
        <v>0</v>
      </c>
      <c r="X126" s="747">
        <f t="shared" si="169"/>
        <v>0</v>
      </c>
      <c r="Y126" s="747">
        <f t="shared" si="169"/>
        <v>0</v>
      </c>
      <c r="Z126" s="747">
        <f t="shared" si="169"/>
        <v>0</v>
      </c>
      <c r="AA126" s="747">
        <f t="shared" si="169"/>
        <v>0</v>
      </c>
      <c r="AB126" s="747">
        <f t="shared" si="169"/>
        <v>0</v>
      </c>
      <c r="AC126" s="747">
        <f t="shared" si="169"/>
        <v>0</v>
      </c>
      <c r="AD126" s="747">
        <f t="shared" si="169"/>
        <v>0</v>
      </c>
      <c r="AE126" s="747">
        <f t="shared" si="169"/>
        <v>0</v>
      </c>
      <c r="AF126" s="747">
        <f t="shared" si="169"/>
        <v>0</v>
      </c>
      <c r="AG126" s="747">
        <f t="shared" si="169"/>
        <v>0</v>
      </c>
      <c r="AH126" s="747">
        <f t="shared" si="169"/>
        <v>0</v>
      </c>
      <c r="AI126" s="747">
        <f t="shared" si="169"/>
        <v>0</v>
      </c>
      <c r="AJ126" s="747">
        <f t="shared" si="169"/>
        <v>0</v>
      </c>
      <c r="AK126" s="747">
        <f t="shared" si="169"/>
        <v>0</v>
      </c>
      <c r="AL126" s="747">
        <f t="shared" si="169"/>
        <v>0</v>
      </c>
      <c r="AM126" s="747">
        <f t="shared" si="169"/>
        <v>0</v>
      </c>
      <c r="AN126" s="747">
        <f t="shared" si="169"/>
        <v>0</v>
      </c>
      <c r="AO126" s="747">
        <f t="shared" si="169"/>
        <v>0</v>
      </c>
      <c r="AP126" s="747">
        <f t="shared" si="169"/>
        <v>0</v>
      </c>
      <c r="AQ126" s="747">
        <f t="shared" si="169"/>
        <v>0</v>
      </c>
      <c r="AR126" s="747">
        <f t="shared" si="169"/>
        <v>0</v>
      </c>
      <c r="AS126" s="747">
        <f t="shared" si="169"/>
        <v>0</v>
      </c>
      <c r="AT126" s="747">
        <f t="shared" si="169"/>
        <v>0</v>
      </c>
      <c r="AU126" s="747">
        <f t="shared" si="169"/>
        <v>0</v>
      </c>
      <c r="AV126" s="747">
        <f t="shared" si="169"/>
        <v>0</v>
      </c>
      <c r="AW126" s="747">
        <f t="shared" si="169"/>
        <v>0</v>
      </c>
      <c r="AX126" s="747">
        <f t="shared" si="169"/>
        <v>0</v>
      </c>
      <c r="AY126" s="747">
        <f t="shared" si="169"/>
        <v>0</v>
      </c>
      <c r="AZ126" s="747">
        <f t="shared" si="169"/>
        <v>0</v>
      </c>
      <c r="BA126" s="747">
        <f t="shared" si="169"/>
        <v>0</v>
      </c>
      <c r="BB126" s="747">
        <f t="shared" si="169"/>
        <v>0</v>
      </c>
      <c r="BC126" s="747">
        <f t="shared" si="169"/>
        <v>0</v>
      </c>
      <c r="BD126" s="747">
        <f t="shared" si="169"/>
        <v>0</v>
      </c>
      <c r="BE126" s="747">
        <f t="shared" si="169"/>
        <v>0</v>
      </c>
      <c r="BF126" s="747">
        <f t="shared" si="169"/>
        <v>0</v>
      </c>
      <c r="BG126" s="747">
        <f t="shared" si="169"/>
        <v>0</v>
      </c>
      <c r="BH126" s="747">
        <f t="shared" si="169"/>
        <v>0</v>
      </c>
      <c r="BI126" s="747">
        <f t="shared" si="169"/>
        <v>0</v>
      </c>
      <c r="BJ126" s="747">
        <f t="shared" si="169"/>
        <v>0</v>
      </c>
      <c r="BK126" s="747">
        <f t="shared" si="169"/>
        <v>0</v>
      </c>
      <c r="BL126" s="747">
        <f t="shared" si="169"/>
        <v>0</v>
      </c>
      <c r="BM126" s="747">
        <f t="shared" si="169"/>
        <v>0</v>
      </c>
      <c r="BN126" s="747">
        <f t="shared" si="169"/>
        <v>0</v>
      </c>
      <c r="BO126" s="747">
        <f t="shared" si="169"/>
        <v>0</v>
      </c>
      <c r="BP126" s="747">
        <f t="shared" si="169"/>
        <v>0</v>
      </c>
      <c r="BQ126" s="747">
        <f t="shared" si="169"/>
        <v>0</v>
      </c>
      <c r="BR126" s="747">
        <f t="shared" si="169"/>
        <v>0</v>
      </c>
      <c r="BS126" s="747">
        <f t="shared" si="169"/>
        <v>0</v>
      </c>
      <c r="BT126" s="747">
        <f t="shared" si="169"/>
        <v>0</v>
      </c>
      <c r="BU126" s="747">
        <f t="shared" si="169"/>
        <v>0</v>
      </c>
      <c r="BV126" s="747">
        <f t="shared" si="169"/>
        <v>0</v>
      </c>
      <c r="BW126" s="747">
        <f t="shared" si="169"/>
        <v>0</v>
      </c>
      <c r="BX126" s="747">
        <f t="shared" si="169"/>
        <v>0</v>
      </c>
      <c r="BY126" s="747">
        <f t="shared" si="169"/>
        <v>0</v>
      </c>
      <c r="BZ126" s="747">
        <f t="shared" si="169"/>
        <v>0</v>
      </c>
      <c r="CA126" s="747">
        <f t="shared" si="169"/>
        <v>0</v>
      </c>
      <c r="CB126" s="747">
        <f t="shared" si="169"/>
        <v>0</v>
      </c>
      <c r="CC126" s="747">
        <f t="shared" ref="CC126:DY126" si="170">-SUM(CC54,CC72)*CC90</f>
        <v>0</v>
      </c>
      <c r="CD126" s="747">
        <f t="shared" si="170"/>
        <v>0</v>
      </c>
      <c r="CE126" s="747">
        <f t="shared" si="170"/>
        <v>0</v>
      </c>
      <c r="CF126" s="747">
        <f t="shared" si="170"/>
        <v>0</v>
      </c>
      <c r="CG126" s="747">
        <f t="shared" si="170"/>
        <v>0</v>
      </c>
      <c r="CH126" s="747">
        <f t="shared" si="170"/>
        <v>0</v>
      </c>
      <c r="CI126" s="747">
        <f t="shared" si="170"/>
        <v>0</v>
      </c>
      <c r="CJ126" s="747">
        <f t="shared" si="170"/>
        <v>0</v>
      </c>
      <c r="CK126" s="747">
        <f t="shared" si="170"/>
        <v>0</v>
      </c>
      <c r="CL126" s="747">
        <f t="shared" si="170"/>
        <v>0</v>
      </c>
      <c r="CM126" s="747">
        <f t="shared" si="170"/>
        <v>0</v>
      </c>
      <c r="CN126" s="747">
        <f t="shared" si="170"/>
        <v>0</v>
      </c>
      <c r="CO126" s="747">
        <f t="shared" si="170"/>
        <v>0</v>
      </c>
      <c r="CP126" s="747">
        <f t="shared" si="170"/>
        <v>0</v>
      </c>
      <c r="CQ126" s="747">
        <f t="shared" si="170"/>
        <v>0</v>
      </c>
      <c r="CR126" s="747">
        <f t="shared" si="170"/>
        <v>0</v>
      </c>
      <c r="CS126" s="747">
        <f t="shared" si="170"/>
        <v>0</v>
      </c>
      <c r="CT126" s="747">
        <f t="shared" si="170"/>
        <v>0</v>
      </c>
      <c r="CU126" s="747">
        <f t="shared" si="170"/>
        <v>0</v>
      </c>
      <c r="CV126" s="747">
        <f t="shared" si="170"/>
        <v>0</v>
      </c>
      <c r="CW126" s="747">
        <f t="shared" si="170"/>
        <v>0</v>
      </c>
      <c r="CX126" s="747">
        <f t="shared" si="170"/>
        <v>0</v>
      </c>
      <c r="CY126" s="747">
        <f t="shared" si="170"/>
        <v>0</v>
      </c>
      <c r="CZ126" s="747">
        <f t="shared" si="170"/>
        <v>0</v>
      </c>
      <c r="DA126" s="747">
        <f t="shared" si="170"/>
        <v>0</v>
      </c>
      <c r="DB126" s="747">
        <f t="shared" si="170"/>
        <v>0</v>
      </c>
      <c r="DC126" s="747">
        <f t="shared" si="170"/>
        <v>0</v>
      </c>
      <c r="DD126" s="747">
        <f t="shared" si="170"/>
        <v>0</v>
      </c>
      <c r="DE126" s="747">
        <f t="shared" si="170"/>
        <v>0</v>
      </c>
      <c r="DF126" s="747">
        <f t="shared" si="170"/>
        <v>0</v>
      </c>
      <c r="DG126" s="747">
        <f t="shared" si="170"/>
        <v>0</v>
      </c>
      <c r="DH126" s="747">
        <f t="shared" si="170"/>
        <v>0</v>
      </c>
      <c r="DI126" s="747">
        <f t="shared" si="170"/>
        <v>0</v>
      </c>
      <c r="DJ126" s="747">
        <f t="shared" si="170"/>
        <v>0</v>
      </c>
      <c r="DK126" s="747">
        <f t="shared" si="170"/>
        <v>0</v>
      </c>
      <c r="DL126" s="747">
        <f t="shared" si="170"/>
        <v>0</v>
      </c>
      <c r="DM126" s="747">
        <f t="shared" si="170"/>
        <v>0</v>
      </c>
      <c r="DN126" s="747">
        <f t="shared" si="170"/>
        <v>0</v>
      </c>
      <c r="DO126" s="747">
        <f t="shared" si="170"/>
        <v>0</v>
      </c>
      <c r="DP126" s="747">
        <f t="shared" si="170"/>
        <v>0</v>
      </c>
      <c r="DQ126" s="747">
        <f t="shared" si="170"/>
        <v>0</v>
      </c>
      <c r="DR126" s="747">
        <f t="shared" si="170"/>
        <v>0</v>
      </c>
      <c r="DS126" s="747">
        <f t="shared" si="170"/>
        <v>0</v>
      </c>
      <c r="DT126" s="747">
        <f t="shared" si="170"/>
        <v>0</v>
      </c>
      <c r="DU126" s="747">
        <f t="shared" si="170"/>
        <v>0</v>
      </c>
      <c r="DV126" s="747">
        <f t="shared" si="170"/>
        <v>0</v>
      </c>
      <c r="DW126" s="747">
        <f t="shared" si="170"/>
        <v>0</v>
      </c>
      <c r="DX126" s="747">
        <f t="shared" si="170"/>
        <v>0</v>
      </c>
      <c r="DY126" s="747">
        <f t="shared" si="170"/>
        <v>0</v>
      </c>
      <c r="DZ126" s="747">
        <f t="shared" ref="DZ126:EH126" si="171">-SUM(DZ54,DZ72)*DZ90</f>
        <v>0</v>
      </c>
      <c r="EA126" s="747">
        <f t="shared" si="171"/>
        <v>0</v>
      </c>
      <c r="EB126" s="747">
        <f t="shared" si="171"/>
        <v>0</v>
      </c>
      <c r="EC126" s="747">
        <f t="shared" si="171"/>
        <v>0</v>
      </c>
      <c r="ED126" s="747">
        <f t="shared" si="171"/>
        <v>0</v>
      </c>
      <c r="EE126" s="747">
        <f t="shared" si="171"/>
        <v>0</v>
      </c>
      <c r="EF126" s="747">
        <f t="shared" si="171"/>
        <v>0</v>
      </c>
      <c r="EG126" s="747">
        <f t="shared" si="171"/>
        <v>0</v>
      </c>
      <c r="EH126" s="747">
        <f t="shared" si="171"/>
        <v>0</v>
      </c>
      <c r="EI126" s="747">
        <f t="shared" ref="EI126:ET126" si="172">-SUM(EI54,EI72)*EI90</f>
        <v>0</v>
      </c>
      <c r="EJ126" s="747">
        <f t="shared" si="172"/>
        <v>0</v>
      </c>
      <c r="EK126" s="747">
        <f t="shared" si="172"/>
        <v>0</v>
      </c>
      <c r="EL126" s="747">
        <f t="shared" si="172"/>
        <v>0</v>
      </c>
      <c r="EM126" s="747">
        <f t="shared" si="172"/>
        <v>0</v>
      </c>
      <c r="EN126" s="747">
        <f t="shared" si="172"/>
        <v>0</v>
      </c>
      <c r="EO126" s="747">
        <f t="shared" si="172"/>
        <v>0</v>
      </c>
      <c r="EP126" s="747">
        <f t="shared" si="172"/>
        <v>0</v>
      </c>
      <c r="EQ126" s="747">
        <f t="shared" si="172"/>
        <v>0</v>
      </c>
      <c r="ER126" s="747">
        <f t="shared" si="172"/>
        <v>0</v>
      </c>
      <c r="ES126" s="747">
        <f t="shared" si="172"/>
        <v>0</v>
      </c>
      <c r="ET126" s="747">
        <f t="shared" si="172"/>
        <v>0</v>
      </c>
      <c r="EU126" s="747">
        <f t="shared" ref="EU126:EU141" si="173">-SUM(EU54,EU72)*EU90</f>
        <v>0</v>
      </c>
    </row>
    <row r="127" spans="1:151" ht="11.25" customHeight="1">
      <c r="C127" s="828"/>
      <c r="D127" s="743">
        <f t="shared" si="167"/>
        <v>8</v>
      </c>
      <c r="E127" s="704" t="str">
        <f t="shared" si="167"/>
        <v>쿠팡</v>
      </c>
      <c r="F127" s="704" t="str">
        <f t="shared" si="167"/>
        <v>상온창고</v>
      </c>
      <c r="G127" s="752"/>
      <c r="H127" s="744"/>
      <c r="I127" s="745"/>
      <c r="J127" s="745"/>
      <c r="K127" s="754"/>
      <c r="L127" s="746"/>
      <c r="M127" s="722"/>
      <c r="N127" s="747">
        <f t="shared" si="168"/>
        <v>0</v>
      </c>
      <c r="O127" s="733"/>
      <c r="P127" s="747">
        <f t="shared" ref="P127:CA127" si="174">-SUM(P55,P73)*P91</f>
        <v>0</v>
      </c>
      <c r="Q127" s="747">
        <f t="shared" si="174"/>
        <v>0</v>
      </c>
      <c r="R127" s="747">
        <f t="shared" si="174"/>
        <v>0</v>
      </c>
      <c r="S127" s="747">
        <f t="shared" si="174"/>
        <v>0</v>
      </c>
      <c r="T127" s="747">
        <f t="shared" si="174"/>
        <v>0</v>
      </c>
      <c r="U127" s="747">
        <f t="shared" si="174"/>
        <v>0</v>
      </c>
      <c r="V127" s="747">
        <f t="shared" si="174"/>
        <v>0</v>
      </c>
      <c r="W127" s="747">
        <f t="shared" si="174"/>
        <v>0</v>
      </c>
      <c r="X127" s="747">
        <f t="shared" si="174"/>
        <v>0</v>
      </c>
      <c r="Y127" s="747">
        <f t="shared" si="174"/>
        <v>0</v>
      </c>
      <c r="Z127" s="747">
        <f t="shared" si="174"/>
        <v>0</v>
      </c>
      <c r="AA127" s="747">
        <f t="shared" si="174"/>
        <v>0</v>
      </c>
      <c r="AB127" s="747">
        <f t="shared" si="174"/>
        <v>0</v>
      </c>
      <c r="AC127" s="747">
        <f t="shared" si="174"/>
        <v>0</v>
      </c>
      <c r="AD127" s="747">
        <f t="shared" si="174"/>
        <v>0</v>
      </c>
      <c r="AE127" s="747">
        <f t="shared" si="174"/>
        <v>0</v>
      </c>
      <c r="AF127" s="747">
        <f t="shared" si="174"/>
        <v>0</v>
      </c>
      <c r="AG127" s="747">
        <f t="shared" si="174"/>
        <v>0</v>
      </c>
      <c r="AH127" s="747">
        <f t="shared" si="174"/>
        <v>0</v>
      </c>
      <c r="AI127" s="747">
        <f t="shared" si="174"/>
        <v>0</v>
      </c>
      <c r="AJ127" s="747">
        <f t="shared" si="174"/>
        <v>0</v>
      </c>
      <c r="AK127" s="747">
        <f t="shared" si="174"/>
        <v>0</v>
      </c>
      <c r="AL127" s="747">
        <f t="shared" si="174"/>
        <v>0</v>
      </c>
      <c r="AM127" s="747">
        <f t="shared" si="174"/>
        <v>0</v>
      </c>
      <c r="AN127" s="747">
        <f t="shared" si="174"/>
        <v>0</v>
      </c>
      <c r="AO127" s="747">
        <f t="shared" si="174"/>
        <v>0</v>
      </c>
      <c r="AP127" s="747">
        <f t="shared" si="174"/>
        <v>0</v>
      </c>
      <c r="AQ127" s="747">
        <f t="shared" si="174"/>
        <v>0</v>
      </c>
      <c r="AR127" s="747">
        <f t="shared" si="174"/>
        <v>0</v>
      </c>
      <c r="AS127" s="747">
        <f t="shared" si="174"/>
        <v>0</v>
      </c>
      <c r="AT127" s="747">
        <f t="shared" si="174"/>
        <v>0</v>
      </c>
      <c r="AU127" s="747">
        <f t="shared" si="174"/>
        <v>0</v>
      </c>
      <c r="AV127" s="747">
        <f t="shared" si="174"/>
        <v>0</v>
      </c>
      <c r="AW127" s="747">
        <f t="shared" si="174"/>
        <v>0</v>
      </c>
      <c r="AX127" s="747">
        <f t="shared" si="174"/>
        <v>0</v>
      </c>
      <c r="AY127" s="747">
        <f t="shared" si="174"/>
        <v>0</v>
      </c>
      <c r="AZ127" s="747">
        <f t="shared" si="174"/>
        <v>0</v>
      </c>
      <c r="BA127" s="747">
        <f t="shared" si="174"/>
        <v>0</v>
      </c>
      <c r="BB127" s="747">
        <f t="shared" si="174"/>
        <v>0</v>
      </c>
      <c r="BC127" s="747">
        <f t="shared" si="174"/>
        <v>0</v>
      </c>
      <c r="BD127" s="747">
        <f t="shared" si="174"/>
        <v>0</v>
      </c>
      <c r="BE127" s="747">
        <f t="shared" si="174"/>
        <v>0</v>
      </c>
      <c r="BF127" s="747">
        <f t="shared" si="174"/>
        <v>0</v>
      </c>
      <c r="BG127" s="747">
        <f t="shared" si="174"/>
        <v>0</v>
      </c>
      <c r="BH127" s="747">
        <f t="shared" si="174"/>
        <v>0</v>
      </c>
      <c r="BI127" s="747">
        <f t="shared" si="174"/>
        <v>0</v>
      </c>
      <c r="BJ127" s="747">
        <f t="shared" si="174"/>
        <v>0</v>
      </c>
      <c r="BK127" s="747">
        <f t="shared" si="174"/>
        <v>0</v>
      </c>
      <c r="BL127" s="747">
        <f t="shared" si="174"/>
        <v>0</v>
      </c>
      <c r="BM127" s="747">
        <f t="shared" si="174"/>
        <v>0</v>
      </c>
      <c r="BN127" s="747">
        <f t="shared" si="174"/>
        <v>0</v>
      </c>
      <c r="BO127" s="747">
        <f t="shared" si="174"/>
        <v>0</v>
      </c>
      <c r="BP127" s="747">
        <f t="shared" si="174"/>
        <v>0</v>
      </c>
      <c r="BQ127" s="747">
        <f t="shared" si="174"/>
        <v>0</v>
      </c>
      <c r="BR127" s="747">
        <f t="shared" si="174"/>
        <v>0</v>
      </c>
      <c r="BS127" s="747">
        <f t="shared" si="174"/>
        <v>0</v>
      </c>
      <c r="BT127" s="747">
        <f t="shared" si="174"/>
        <v>0</v>
      </c>
      <c r="BU127" s="747">
        <f t="shared" si="174"/>
        <v>0</v>
      </c>
      <c r="BV127" s="747">
        <f t="shared" si="174"/>
        <v>0</v>
      </c>
      <c r="BW127" s="747">
        <f t="shared" si="174"/>
        <v>0</v>
      </c>
      <c r="BX127" s="747">
        <f t="shared" si="174"/>
        <v>0</v>
      </c>
      <c r="BY127" s="747">
        <f t="shared" si="174"/>
        <v>0</v>
      </c>
      <c r="BZ127" s="747">
        <f t="shared" si="174"/>
        <v>0</v>
      </c>
      <c r="CA127" s="747">
        <f t="shared" si="174"/>
        <v>0</v>
      </c>
      <c r="CB127" s="747">
        <f t="shared" ref="CB127:DY127" si="175">-SUM(CB55,CB73)*CB91</f>
        <v>0</v>
      </c>
      <c r="CC127" s="747">
        <f t="shared" si="175"/>
        <v>0</v>
      </c>
      <c r="CD127" s="747">
        <f t="shared" si="175"/>
        <v>0</v>
      </c>
      <c r="CE127" s="747">
        <f t="shared" si="175"/>
        <v>0</v>
      </c>
      <c r="CF127" s="747">
        <f t="shared" si="175"/>
        <v>0</v>
      </c>
      <c r="CG127" s="747">
        <f t="shared" si="175"/>
        <v>0</v>
      </c>
      <c r="CH127" s="747">
        <f t="shared" si="175"/>
        <v>0</v>
      </c>
      <c r="CI127" s="747">
        <f t="shared" si="175"/>
        <v>0</v>
      </c>
      <c r="CJ127" s="747">
        <f t="shared" si="175"/>
        <v>0</v>
      </c>
      <c r="CK127" s="747">
        <f t="shared" si="175"/>
        <v>0</v>
      </c>
      <c r="CL127" s="747">
        <f t="shared" si="175"/>
        <v>0</v>
      </c>
      <c r="CM127" s="747">
        <f t="shared" si="175"/>
        <v>0</v>
      </c>
      <c r="CN127" s="747">
        <f t="shared" si="175"/>
        <v>0</v>
      </c>
      <c r="CO127" s="747">
        <f t="shared" si="175"/>
        <v>0</v>
      </c>
      <c r="CP127" s="747">
        <f t="shared" si="175"/>
        <v>0</v>
      </c>
      <c r="CQ127" s="747">
        <f t="shared" si="175"/>
        <v>0</v>
      </c>
      <c r="CR127" s="747">
        <f t="shared" si="175"/>
        <v>0</v>
      </c>
      <c r="CS127" s="747">
        <f t="shared" si="175"/>
        <v>0</v>
      </c>
      <c r="CT127" s="747">
        <f t="shared" si="175"/>
        <v>0</v>
      </c>
      <c r="CU127" s="747">
        <f t="shared" si="175"/>
        <v>0</v>
      </c>
      <c r="CV127" s="747">
        <f t="shared" si="175"/>
        <v>0</v>
      </c>
      <c r="CW127" s="747">
        <f t="shared" si="175"/>
        <v>0</v>
      </c>
      <c r="CX127" s="747">
        <f t="shared" si="175"/>
        <v>0</v>
      </c>
      <c r="CY127" s="747">
        <f t="shared" si="175"/>
        <v>0</v>
      </c>
      <c r="CZ127" s="747">
        <f t="shared" si="175"/>
        <v>0</v>
      </c>
      <c r="DA127" s="747">
        <f t="shared" si="175"/>
        <v>0</v>
      </c>
      <c r="DB127" s="747">
        <f t="shared" si="175"/>
        <v>0</v>
      </c>
      <c r="DC127" s="747">
        <f t="shared" si="175"/>
        <v>0</v>
      </c>
      <c r="DD127" s="747">
        <f t="shared" si="175"/>
        <v>0</v>
      </c>
      <c r="DE127" s="747">
        <f t="shared" si="175"/>
        <v>0</v>
      </c>
      <c r="DF127" s="747">
        <f t="shared" si="175"/>
        <v>0</v>
      </c>
      <c r="DG127" s="747">
        <f t="shared" si="175"/>
        <v>0</v>
      </c>
      <c r="DH127" s="747">
        <f t="shared" si="175"/>
        <v>0</v>
      </c>
      <c r="DI127" s="747">
        <f t="shared" si="175"/>
        <v>0</v>
      </c>
      <c r="DJ127" s="747">
        <f t="shared" si="175"/>
        <v>0</v>
      </c>
      <c r="DK127" s="747">
        <f t="shared" si="175"/>
        <v>0</v>
      </c>
      <c r="DL127" s="747">
        <f t="shared" si="175"/>
        <v>0</v>
      </c>
      <c r="DM127" s="747">
        <f t="shared" si="175"/>
        <v>0</v>
      </c>
      <c r="DN127" s="747">
        <f t="shared" si="175"/>
        <v>0</v>
      </c>
      <c r="DO127" s="747">
        <f t="shared" si="175"/>
        <v>0</v>
      </c>
      <c r="DP127" s="747">
        <f t="shared" si="175"/>
        <v>0</v>
      </c>
      <c r="DQ127" s="747">
        <f t="shared" si="175"/>
        <v>0</v>
      </c>
      <c r="DR127" s="747">
        <f t="shared" si="175"/>
        <v>0</v>
      </c>
      <c r="DS127" s="747">
        <f t="shared" si="175"/>
        <v>0</v>
      </c>
      <c r="DT127" s="747">
        <f t="shared" si="175"/>
        <v>0</v>
      </c>
      <c r="DU127" s="747">
        <f t="shared" si="175"/>
        <v>0</v>
      </c>
      <c r="DV127" s="747">
        <f t="shared" si="175"/>
        <v>0</v>
      </c>
      <c r="DW127" s="747">
        <f t="shared" si="175"/>
        <v>0</v>
      </c>
      <c r="DX127" s="747">
        <f t="shared" si="175"/>
        <v>0</v>
      </c>
      <c r="DY127" s="747">
        <f t="shared" si="175"/>
        <v>0</v>
      </c>
      <c r="DZ127" s="747">
        <f t="shared" ref="DZ127:EH127" si="176">-SUM(DZ55,DZ73)*DZ91</f>
        <v>0</v>
      </c>
      <c r="EA127" s="747">
        <f t="shared" si="176"/>
        <v>0</v>
      </c>
      <c r="EB127" s="747">
        <f t="shared" si="176"/>
        <v>0</v>
      </c>
      <c r="EC127" s="747">
        <f t="shared" si="176"/>
        <v>0</v>
      </c>
      <c r="ED127" s="747">
        <f t="shared" si="176"/>
        <v>0</v>
      </c>
      <c r="EE127" s="747">
        <f t="shared" si="176"/>
        <v>0</v>
      </c>
      <c r="EF127" s="747">
        <f t="shared" si="176"/>
        <v>0</v>
      </c>
      <c r="EG127" s="747">
        <f t="shared" si="176"/>
        <v>0</v>
      </c>
      <c r="EH127" s="747">
        <f t="shared" si="176"/>
        <v>0</v>
      </c>
      <c r="EI127" s="747">
        <f t="shared" ref="EI127:ET127" si="177">-SUM(EI55,EI73)*EI91</f>
        <v>0</v>
      </c>
      <c r="EJ127" s="747">
        <f t="shared" si="177"/>
        <v>0</v>
      </c>
      <c r="EK127" s="747">
        <f t="shared" si="177"/>
        <v>0</v>
      </c>
      <c r="EL127" s="747">
        <f t="shared" si="177"/>
        <v>0</v>
      </c>
      <c r="EM127" s="747">
        <f t="shared" si="177"/>
        <v>0</v>
      </c>
      <c r="EN127" s="747">
        <f t="shared" si="177"/>
        <v>0</v>
      </c>
      <c r="EO127" s="747">
        <f t="shared" si="177"/>
        <v>0</v>
      </c>
      <c r="EP127" s="747">
        <f t="shared" si="177"/>
        <v>0</v>
      </c>
      <c r="EQ127" s="747">
        <f t="shared" si="177"/>
        <v>0</v>
      </c>
      <c r="ER127" s="747">
        <f t="shared" si="177"/>
        <v>0</v>
      </c>
      <c r="ES127" s="747">
        <f t="shared" si="177"/>
        <v>0</v>
      </c>
      <c r="ET127" s="747">
        <f t="shared" si="177"/>
        <v>0</v>
      </c>
      <c r="EU127" s="747">
        <f t="shared" si="173"/>
        <v>0</v>
      </c>
    </row>
    <row r="128" spans="1:151" ht="11.25" customHeight="1">
      <c r="C128" s="828"/>
      <c r="D128" s="743">
        <f t="shared" si="167"/>
        <v>8</v>
      </c>
      <c r="E128" s="704" t="str">
        <f t="shared" si="167"/>
        <v>키즈밀</v>
      </c>
      <c r="F128" s="704" t="str">
        <f t="shared" si="167"/>
        <v>근린생활시설</v>
      </c>
      <c r="G128" s="752"/>
      <c r="H128" s="744"/>
      <c r="I128" s="745"/>
      <c r="J128" s="745"/>
      <c r="K128" s="754"/>
      <c r="L128" s="746"/>
      <c r="M128" s="722"/>
      <c r="N128" s="747">
        <f t="shared" si="168"/>
        <v>0</v>
      </c>
      <c r="O128" s="733"/>
      <c r="P128" s="747">
        <f t="shared" ref="P128:CA128" si="178">-SUM(P56,P74)*P92</f>
        <v>0</v>
      </c>
      <c r="Q128" s="747">
        <f t="shared" si="178"/>
        <v>0</v>
      </c>
      <c r="R128" s="747">
        <f t="shared" si="178"/>
        <v>0</v>
      </c>
      <c r="S128" s="747">
        <f t="shared" si="178"/>
        <v>0</v>
      </c>
      <c r="T128" s="747">
        <f t="shared" si="178"/>
        <v>0</v>
      </c>
      <c r="U128" s="747">
        <f t="shared" si="178"/>
        <v>0</v>
      </c>
      <c r="V128" s="747">
        <f t="shared" si="178"/>
        <v>0</v>
      </c>
      <c r="W128" s="747">
        <f t="shared" si="178"/>
        <v>0</v>
      </c>
      <c r="X128" s="747">
        <f t="shared" si="178"/>
        <v>0</v>
      </c>
      <c r="Y128" s="747">
        <f t="shared" si="178"/>
        <v>0</v>
      </c>
      <c r="Z128" s="747">
        <f t="shared" si="178"/>
        <v>0</v>
      </c>
      <c r="AA128" s="747">
        <f t="shared" si="178"/>
        <v>0</v>
      </c>
      <c r="AB128" s="747">
        <f t="shared" si="178"/>
        <v>0</v>
      </c>
      <c r="AC128" s="747">
        <f t="shared" si="178"/>
        <v>0</v>
      </c>
      <c r="AD128" s="747">
        <f t="shared" si="178"/>
        <v>0</v>
      </c>
      <c r="AE128" s="747">
        <f t="shared" si="178"/>
        <v>0</v>
      </c>
      <c r="AF128" s="747">
        <f t="shared" si="178"/>
        <v>0</v>
      </c>
      <c r="AG128" s="747">
        <f t="shared" si="178"/>
        <v>0</v>
      </c>
      <c r="AH128" s="747">
        <f t="shared" si="178"/>
        <v>0</v>
      </c>
      <c r="AI128" s="747">
        <f t="shared" si="178"/>
        <v>0</v>
      </c>
      <c r="AJ128" s="747">
        <f t="shared" si="178"/>
        <v>0</v>
      </c>
      <c r="AK128" s="747">
        <f t="shared" si="178"/>
        <v>0</v>
      </c>
      <c r="AL128" s="747">
        <f t="shared" si="178"/>
        <v>0</v>
      </c>
      <c r="AM128" s="747">
        <f t="shared" si="178"/>
        <v>0</v>
      </c>
      <c r="AN128" s="747">
        <f t="shared" si="178"/>
        <v>0</v>
      </c>
      <c r="AO128" s="747">
        <f t="shared" si="178"/>
        <v>0</v>
      </c>
      <c r="AP128" s="747">
        <f t="shared" si="178"/>
        <v>0</v>
      </c>
      <c r="AQ128" s="747">
        <f t="shared" si="178"/>
        <v>0</v>
      </c>
      <c r="AR128" s="747">
        <f t="shared" si="178"/>
        <v>0</v>
      </c>
      <c r="AS128" s="747">
        <f t="shared" si="178"/>
        <v>0</v>
      </c>
      <c r="AT128" s="747">
        <f t="shared" si="178"/>
        <v>0</v>
      </c>
      <c r="AU128" s="747">
        <f t="shared" si="178"/>
        <v>0</v>
      </c>
      <c r="AV128" s="747">
        <f t="shared" si="178"/>
        <v>0</v>
      </c>
      <c r="AW128" s="747">
        <f t="shared" si="178"/>
        <v>0</v>
      </c>
      <c r="AX128" s="747">
        <f t="shared" si="178"/>
        <v>0</v>
      </c>
      <c r="AY128" s="747">
        <f t="shared" si="178"/>
        <v>0</v>
      </c>
      <c r="AZ128" s="747">
        <f t="shared" si="178"/>
        <v>0</v>
      </c>
      <c r="BA128" s="747">
        <f t="shared" si="178"/>
        <v>0</v>
      </c>
      <c r="BB128" s="747">
        <f t="shared" si="178"/>
        <v>0</v>
      </c>
      <c r="BC128" s="747">
        <f t="shared" si="178"/>
        <v>0</v>
      </c>
      <c r="BD128" s="747">
        <f t="shared" si="178"/>
        <v>0</v>
      </c>
      <c r="BE128" s="747">
        <f t="shared" si="178"/>
        <v>0</v>
      </c>
      <c r="BF128" s="747">
        <f t="shared" si="178"/>
        <v>0</v>
      </c>
      <c r="BG128" s="747">
        <f t="shared" si="178"/>
        <v>0</v>
      </c>
      <c r="BH128" s="747">
        <f t="shared" si="178"/>
        <v>0</v>
      </c>
      <c r="BI128" s="747">
        <f t="shared" si="178"/>
        <v>0</v>
      </c>
      <c r="BJ128" s="747">
        <f t="shared" si="178"/>
        <v>0</v>
      </c>
      <c r="BK128" s="747">
        <f t="shared" si="178"/>
        <v>0</v>
      </c>
      <c r="BL128" s="747">
        <f t="shared" si="178"/>
        <v>0</v>
      </c>
      <c r="BM128" s="747">
        <f t="shared" si="178"/>
        <v>0</v>
      </c>
      <c r="BN128" s="747">
        <f t="shared" si="178"/>
        <v>0</v>
      </c>
      <c r="BO128" s="747">
        <f t="shared" si="178"/>
        <v>0</v>
      </c>
      <c r="BP128" s="747">
        <f t="shared" si="178"/>
        <v>0</v>
      </c>
      <c r="BQ128" s="747">
        <f t="shared" si="178"/>
        <v>0</v>
      </c>
      <c r="BR128" s="747">
        <f t="shared" si="178"/>
        <v>0</v>
      </c>
      <c r="BS128" s="747">
        <f t="shared" si="178"/>
        <v>0</v>
      </c>
      <c r="BT128" s="747">
        <f t="shared" si="178"/>
        <v>0</v>
      </c>
      <c r="BU128" s="747">
        <f t="shared" si="178"/>
        <v>0</v>
      </c>
      <c r="BV128" s="747">
        <f t="shared" si="178"/>
        <v>0</v>
      </c>
      <c r="BW128" s="747">
        <f t="shared" si="178"/>
        <v>0</v>
      </c>
      <c r="BX128" s="747">
        <f t="shared" si="178"/>
        <v>0</v>
      </c>
      <c r="BY128" s="747">
        <f t="shared" si="178"/>
        <v>0</v>
      </c>
      <c r="BZ128" s="747">
        <f t="shared" si="178"/>
        <v>0</v>
      </c>
      <c r="CA128" s="747">
        <f t="shared" si="178"/>
        <v>0</v>
      </c>
      <c r="CB128" s="747">
        <f t="shared" ref="CB128:DY128" si="179">-SUM(CB56,CB74)*CB92</f>
        <v>0</v>
      </c>
      <c r="CC128" s="747">
        <f t="shared" si="179"/>
        <v>0</v>
      </c>
      <c r="CD128" s="747">
        <f t="shared" si="179"/>
        <v>0</v>
      </c>
      <c r="CE128" s="747">
        <f t="shared" si="179"/>
        <v>0</v>
      </c>
      <c r="CF128" s="747">
        <f t="shared" si="179"/>
        <v>0</v>
      </c>
      <c r="CG128" s="747">
        <f t="shared" si="179"/>
        <v>0</v>
      </c>
      <c r="CH128" s="747">
        <f t="shared" si="179"/>
        <v>0</v>
      </c>
      <c r="CI128" s="747">
        <f t="shared" si="179"/>
        <v>0</v>
      </c>
      <c r="CJ128" s="747">
        <f t="shared" si="179"/>
        <v>0</v>
      </c>
      <c r="CK128" s="747">
        <f t="shared" si="179"/>
        <v>0</v>
      </c>
      <c r="CL128" s="747">
        <f t="shared" si="179"/>
        <v>0</v>
      </c>
      <c r="CM128" s="747">
        <f t="shared" si="179"/>
        <v>0</v>
      </c>
      <c r="CN128" s="747">
        <f t="shared" si="179"/>
        <v>0</v>
      </c>
      <c r="CO128" s="747">
        <f t="shared" si="179"/>
        <v>0</v>
      </c>
      <c r="CP128" s="747">
        <f t="shared" si="179"/>
        <v>0</v>
      </c>
      <c r="CQ128" s="747">
        <f t="shared" si="179"/>
        <v>0</v>
      </c>
      <c r="CR128" s="747">
        <f t="shared" si="179"/>
        <v>0</v>
      </c>
      <c r="CS128" s="747">
        <f t="shared" si="179"/>
        <v>0</v>
      </c>
      <c r="CT128" s="747">
        <f t="shared" si="179"/>
        <v>0</v>
      </c>
      <c r="CU128" s="747">
        <f t="shared" si="179"/>
        <v>0</v>
      </c>
      <c r="CV128" s="747">
        <f t="shared" si="179"/>
        <v>0</v>
      </c>
      <c r="CW128" s="747">
        <f t="shared" si="179"/>
        <v>0</v>
      </c>
      <c r="CX128" s="747">
        <f t="shared" si="179"/>
        <v>0</v>
      </c>
      <c r="CY128" s="747">
        <f t="shared" si="179"/>
        <v>0</v>
      </c>
      <c r="CZ128" s="747">
        <f t="shared" si="179"/>
        <v>0</v>
      </c>
      <c r="DA128" s="747">
        <f t="shared" si="179"/>
        <v>0</v>
      </c>
      <c r="DB128" s="747">
        <f t="shared" si="179"/>
        <v>0</v>
      </c>
      <c r="DC128" s="747">
        <f t="shared" si="179"/>
        <v>0</v>
      </c>
      <c r="DD128" s="747">
        <f t="shared" si="179"/>
        <v>0</v>
      </c>
      <c r="DE128" s="747">
        <f t="shared" si="179"/>
        <v>0</v>
      </c>
      <c r="DF128" s="747">
        <f t="shared" si="179"/>
        <v>0</v>
      </c>
      <c r="DG128" s="747">
        <f t="shared" si="179"/>
        <v>0</v>
      </c>
      <c r="DH128" s="747">
        <f t="shared" si="179"/>
        <v>0</v>
      </c>
      <c r="DI128" s="747">
        <f t="shared" si="179"/>
        <v>0</v>
      </c>
      <c r="DJ128" s="747">
        <f t="shared" si="179"/>
        <v>0</v>
      </c>
      <c r="DK128" s="747">
        <f t="shared" si="179"/>
        <v>0</v>
      </c>
      <c r="DL128" s="747">
        <f t="shared" si="179"/>
        <v>0</v>
      </c>
      <c r="DM128" s="747">
        <f t="shared" si="179"/>
        <v>0</v>
      </c>
      <c r="DN128" s="747">
        <f t="shared" si="179"/>
        <v>0</v>
      </c>
      <c r="DO128" s="747">
        <f t="shared" si="179"/>
        <v>0</v>
      </c>
      <c r="DP128" s="747">
        <f t="shared" si="179"/>
        <v>0</v>
      </c>
      <c r="DQ128" s="747">
        <f t="shared" si="179"/>
        <v>0</v>
      </c>
      <c r="DR128" s="747">
        <f t="shared" si="179"/>
        <v>0</v>
      </c>
      <c r="DS128" s="747">
        <f t="shared" si="179"/>
        <v>0</v>
      </c>
      <c r="DT128" s="747">
        <f t="shared" si="179"/>
        <v>0</v>
      </c>
      <c r="DU128" s="747">
        <f t="shared" si="179"/>
        <v>0</v>
      </c>
      <c r="DV128" s="747">
        <f t="shared" si="179"/>
        <v>0</v>
      </c>
      <c r="DW128" s="747">
        <f t="shared" si="179"/>
        <v>0</v>
      </c>
      <c r="DX128" s="747">
        <f t="shared" si="179"/>
        <v>0</v>
      </c>
      <c r="DY128" s="747">
        <f t="shared" si="179"/>
        <v>0</v>
      </c>
      <c r="DZ128" s="747">
        <f t="shared" ref="DZ128:EH128" si="180">-SUM(DZ56,DZ74)*DZ92</f>
        <v>0</v>
      </c>
      <c r="EA128" s="747">
        <f t="shared" si="180"/>
        <v>0</v>
      </c>
      <c r="EB128" s="747">
        <f t="shared" si="180"/>
        <v>0</v>
      </c>
      <c r="EC128" s="747">
        <f t="shared" si="180"/>
        <v>0</v>
      </c>
      <c r="ED128" s="747">
        <f t="shared" si="180"/>
        <v>0</v>
      </c>
      <c r="EE128" s="747">
        <f t="shared" si="180"/>
        <v>0</v>
      </c>
      <c r="EF128" s="747">
        <f t="shared" si="180"/>
        <v>0</v>
      </c>
      <c r="EG128" s="747">
        <f t="shared" si="180"/>
        <v>0</v>
      </c>
      <c r="EH128" s="747">
        <f t="shared" si="180"/>
        <v>0</v>
      </c>
      <c r="EI128" s="747">
        <f t="shared" ref="EI128:ET128" si="181">-SUM(EI56,EI74)*EI92</f>
        <v>0</v>
      </c>
      <c r="EJ128" s="747">
        <f t="shared" si="181"/>
        <v>0</v>
      </c>
      <c r="EK128" s="747">
        <f t="shared" si="181"/>
        <v>0</v>
      </c>
      <c r="EL128" s="747">
        <f t="shared" si="181"/>
        <v>0</v>
      </c>
      <c r="EM128" s="747">
        <f t="shared" si="181"/>
        <v>0</v>
      </c>
      <c r="EN128" s="747">
        <f t="shared" si="181"/>
        <v>0</v>
      </c>
      <c r="EO128" s="747">
        <f t="shared" si="181"/>
        <v>0</v>
      </c>
      <c r="EP128" s="747">
        <f t="shared" si="181"/>
        <v>0</v>
      </c>
      <c r="EQ128" s="747">
        <f t="shared" si="181"/>
        <v>0</v>
      </c>
      <c r="ER128" s="747">
        <f t="shared" si="181"/>
        <v>0</v>
      </c>
      <c r="ES128" s="747">
        <f t="shared" si="181"/>
        <v>0</v>
      </c>
      <c r="ET128" s="747">
        <f t="shared" si="181"/>
        <v>0</v>
      </c>
      <c r="EU128" s="747">
        <f t="shared" si="173"/>
        <v>0</v>
      </c>
    </row>
    <row r="129" spans="3:151" ht="11.25" customHeight="1">
      <c r="C129" s="828"/>
      <c r="D129" s="743">
        <f t="shared" si="167"/>
        <v>8</v>
      </c>
      <c r="E129" s="704" t="str">
        <f t="shared" si="167"/>
        <v>쿠팡</v>
      </c>
      <c r="F129" s="704" t="str">
        <f t="shared" si="167"/>
        <v>상온창고</v>
      </c>
      <c r="G129" s="752"/>
      <c r="H129" s="744"/>
      <c r="I129" s="745"/>
      <c r="J129" s="745"/>
      <c r="K129" s="754"/>
      <c r="L129" s="746"/>
      <c r="M129" s="722"/>
      <c r="N129" s="747">
        <f t="shared" si="168"/>
        <v>0</v>
      </c>
      <c r="O129" s="733"/>
      <c r="P129" s="747">
        <f t="shared" ref="P129:CA129" si="182">-SUM(P57,P75)*P93</f>
        <v>0</v>
      </c>
      <c r="Q129" s="747">
        <f t="shared" si="182"/>
        <v>0</v>
      </c>
      <c r="R129" s="747">
        <f t="shared" si="182"/>
        <v>0</v>
      </c>
      <c r="S129" s="747">
        <f t="shared" si="182"/>
        <v>0</v>
      </c>
      <c r="T129" s="747">
        <f t="shared" si="182"/>
        <v>0</v>
      </c>
      <c r="U129" s="747">
        <f t="shared" si="182"/>
        <v>0</v>
      </c>
      <c r="V129" s="747">
        <f t="shared" si="182"/>
        <v>0</v>
      </c>
      <c r="W129" s="747">
        <f t="shared" si="182"/>
        <v>0</v>
      </c>
      <c r="X129" s="747">
        <f t="shared" si="182"/>
        <v>0</v>
      </c>
      <c r="Y129" s="747">
        <f t="shared" si="182"/>
        <v>0</v>
      </c>
      <c r="Z129" s="747">
        <f t="shared" si="182"/>
        <v>0</v>
      </c>
      <c r="AA129" s="747">
        <f t="shared" si="182"/>
        <v>0</v>
      </c>
      <c r="AB129" s="747">
        <f t="shared" si="182"/>
        <v>0</v>
      </c>
      <c r="AC129" s="747">
        <f t="shared" si="182"/>
        <v>0</v>
      </c>
      <c r="AD129" s="747">
        <f t="shared" si="182"/>
        <v>0</v>
      </c>
      <c r="AE129" s="747">
        <f t="shared" si="182"/>
        <v>0</v>
      </c>
      <c r="AF129" s="747">
        <f t="shared" si="182"/>
        <v>0</v>
      </c>
      <c r="AG129" s="747">
        <f t="shared" si="182"/>
        <v>0</v>
      </c>
      <c r="AH129" s="747">
        <f t="shared" si="182"/>
        <v>0</v>
      </c>
      <c r="AI129" s="747">
        <f t="shared" si="182"/>
        <v>0</v>
      </c>
      <c r="AJ129" s="747">
        <f t="shared" si="182"/>
        <v>0</v>
      </c>
      <c r="AK129" s="747">
        <f t="shared" si="182"/>
        <v>0</v>
      </c>
      <c r="AL129" s="747">
        <f t="shared" si="182"/>
        <v>0</v>
      </c>
      <c r="AM129" s="747">
        <f t="shared" si="182"/>
        <v>0</v>
      </c>
      <c r="AN129" s="747">
        <f t="shared" si="182"/>
        <v>0</v>
      </c>
      <c r="AO129" s="747">
        <f t="shared" si="182"/>
        <v>0</v>
      </c>
      <c r="AP129" s="747">
        <f t="shared" si="182"/>
        <v>0</v>
      </c>
      <c r="AQ129" s="747">
        <f t="shared" si="182"/>
        <v>0</v>
      </c>
      <c r="AR129" s="747">
        <f t="shared" si="182"/>
        <v>0</v>
      </c>
      <c r="AS129" s="747">
        <f t="shared" si="182"/>
        <v>0</v>
      </c>
      <c r="AT129" s="747">
        <f t="shared" si="182"/>
        <v>0</v>
      </c>
      <c r="AU129" s="747">
        <f t="shared" si="182"/>
        <v>0</v>
      </c>
      <c r="AV129" s="747">
        <f t="shared" si="182"/>
        <v>0</v>
      </c>
      <c r="AW129" s="747">
        <f t="shared" si="182"/>
        <v>0</v>
      </c>
      <c r="AX129" s="747">
        <f t="shared" si="182"/>
        <v>0</v>
      </c>
      <c r="AY129" s="747">
        <f t="shared" si="182"/>
        <v>0</v>
      </c>
      <c r="AZ129" s="747">
        <f t="shared" si="182"/>
        <v>0</v>
      </c>
      <c r="BA129" s="747">
        <f t="shared" si="182"/>
        <v>0</v>
      </c>
      <c r="BB129" s="747">
        <f t="shared" si="182"/>
        <v>0</v>
      </c>
      <c r="BC129" s="747">
        <f t="shared" si="182"/>
        <v>0</v>
      </c>
      <c r="BD129" s="747">
        <f t="shared" si="182"/>
        <v>0</v>
      </c>
      <c r="BE129" s="747">
        <f t="shared" si="182"/>
        <v>0</v>
      </c>
      <c r="BF129" s="747">
        <f t="shared" si="182"/>
        <v>0</v>
      </c>
      <c r="BG129" s="747">
        <f t="shared" si="182"/>
        <v>0</v>
      </c>
      <c r="BH129" s="747">
        <f t="shared" si="182"/>
        <v>0</v>
      </c>
      <c r="BI129" s="747">
        <f t="shared" si="182"/>
        <v>0</v>
      </c>
      <c r="BJ129" s="747">
        <f t="shared" si="182"/>
        <v>0</v>
      </c>
      <c r="BK129" s="747">
        <f t="shared" si="182"/>
        <v>0</v>
      </c>
      <c r="BL129" s="747">
        <f t="shared" si="182"/>
        <v>0</v>
      </c>
      <c r="BM129" s="747">
        <f t="shared" si="182"/>
        <v>0</v>
      </c>
      <c r="BN129" s="747">
        <f t="shared" si="182"/>
        <v>0</v>
      </c>
      <c r="BO129" s="747">
        <f t="shared" si="182"/>
        <v>0</v>
      </c>
      <c r="BP129" s="747">
        <f t="shared" si="182"/>
        <v>0</v>
      </c>
      <c r="BQ129" s="747">
        <f t="shared" si="182"/>
        <v>0</v>
      </c>
      <c r="BR129" s="747">
        <f t="shared" si="182"/>
        <v>0</v>
      </c>
      <c r="BS129" s="747">
        <f t="shared" si="182"/>
        <v>0</v>
      </c>
      <c r="BT129" s="747">
        <f t="shared" si="182"/>
        <v>0</v>
      </c>
      <c r="BU129" s="747">
        <f t="shared" si="182"/>
        <v>0</v>
      </c>
      <c r="BV129" s="747">
        <f t="shared" si="182"/>
        <v>0</v>
      </c>
      <c r="BW129" s="747">
        <f t="shared" si="182"/>
        <v>0</v>
      </c>
      <c r="BX129" s="747">
        <f t="shared" si="182"/>
        <v>0</v>
      </c>
      <c r="BY129" s="747">
        <f t="shared" si="182"/>
        <v>0</v>
      </c>
      <c r="BZ129" s="747">
        <f t="shared" si="182"/>
        <v>0</v>
      </c>
      <c r="CA129" s="747">
        <f t="shared" si="182"/>
        <v>0</v>
      </c>
      <c r="CB129" s="747">
        <f t="shared" ref="CB129:DY129" si="183">-SUM(CB57,CB75)*CB93</f>
        <v>0</v>
      </c>
      <c r="CC129" s="747">
        <f t="shared" si="183"/>
        <v>0</v>
      </c>
      <c r="CD129" s="747">
        <f t="shared" si="183"/>
        <v>0</v>
      </c>
      <c r="CE129" s="747">
        <f t="shared" si="183"/>
        <v>0</v>
      </c>
      <c r="CF129" s="747">
        <f t="shared" si="183"/>
        <v>0</v>
      </c>
      <c r="CG129" s="747">
        <f t="shared" si="183"/>
        <v>0</v>
      </c>
      <c r="CH129" s="747">
        <f t="shared" si="183"/>
        <v>0</v>
      </c>
      <c r="CI129" s="747">
        <f t="shared" si="183"/>
        <v>0</v>
      </c>
      <c r="CJ129" s="747">
        <f t="shared" si="183"/>
        <v>0</v>
      </c>
      <c r="CK129" s="747">
        <f t="shared" si="183"/>
        <v>0</v>
      </c>
      <c r="CL129" s="747">
        <f t="shared" si="183"/>
        <v>0</v>
      </c>
      <c r="CM129" s="747">
        <f t="shared" si="183"/>
        <v>0</v>
      </c>
      <c r="CN129" s="747">
        <f t="shared" si="183"/>
        <v>0</v>
      </c>
      <c r="CO129" s="747">
        <f t="shared" si="183"/>
        <v>0</v>
      </c>
      <c r="CP129" s="747">
        <f t="shared" si="183"/>
        <v>0</v>
      </c>
      <c r="CQ129" s="747">
        <f t="shared" si="183"/>
        <v>0</v>
      </c>
      <c r="CR129" s="747">
        <f t="shared" si="183"/>
        <v>0</v>
      </c>
      <c r="CS129" s="747">
        <f t="shared" si="183"/>
        <v>0</v>
      </c>
      <c r="CT129" s="747">
        <f t="shared" si="183"/>
        <v>0</v>
      </c>
      <c r="CU129" s="747">
        <f t="shared" si="183"/>
        <v>0</v>
      </c>
      <c r="CV129" s="747">
        <f t="shared" si="183"/>
        <v>0</v>
      </c>
      <c r="CW129" s="747">
        <f t="shared" si="183"/>
        <v>0</v>
      </c>
      <c r="CX129" s="747">
        <f t="shared" si="183"/>
        <v>0</v>
      </c>
      <c r="CY129" s="747">
        <f t="shared" si="183"/>
        <v>0</v>
      </c>
      <c r="CZ129" s="747">
        <f t="shared" si="183"/>
        <v>0</v>
      </c>
      <c r="DA129" s="747">
        <f t="shared" si="183"/>
        <v>0</v>
      </c>
      <c r="DB129" s="747">
        <f t="shared" si="183"/>
        <v>0</v>
      </c>
      <c r="DC129" s="747">
        <f t="shared" si="183"/>
        <v>0</v>
      </c>
      <c r="DD129" s="747">
        <f t="shared" si="183"/>
        <v>0</v>
      </c>
      <c r="DE129" s="747">
        <f t="shared" si="183"/>
        <v>0</v>
      </c>
      <c r="DF129" s="747">
        <f t="shared" si="183"/>
        <v>0</v>
      </c>
      <c r="DG129" s="747">
        <f t="shared" si="183"/>
        <v>0</v>
      </c>
      <c r="DH129" s="747">
        <f t="shared" si="183"/>
        <v>0</v>
      </c>
      <c r="DI129" s="747">
        <f t="shared" si="183"/>
        <v>0</v>
      </c>
      <c r="DJ129" s="747">
        <f t="shared" si="183"/>
        <v>0</v>
      </c>
      <c r="DK129" s="747">
        <f t="shared" si="183"/>
        <v>0</v>
      </c>
      <c r="DL129" s="747">
        <f t="shared" si="183"/>
        <v>0</v>
      </c>
      <c r="DM129" s="747">
        <f t="shared" si="183"/>
        <v>0</v>
      </c>
      <c r="DN129" s="747">
        <f t="shared" si="183"/>
        <v>0</v>
      </c>
      <c r="DO129" s="747">
        <f t="shared" si="183"/>
        <v>0</v>
      </c>
      <c r="DP129" s="747">
        <f t="shared" si="183"/>
        <v>0</v>
      </c>
      <c r="DQ129" s="747">
        <f t="shared" si="183"/>
        <v>0</v>
      </c>
      <c r="DR129" s="747">
        <f t="shared" si="183"/>
        <v>0</v>
      </c>
      <c r="DS129" s="747">
        <f t="shared" si="183"/>
        <v>0</v>
      </c>
      <c r="DT129" s="747">
        <f t="shared" si="183"/>
        <v>0</v>
      </c>
      <c r="DU129" s="747">
        <f t="shared" si="183"/>
        <v>0</v>
      </c>
      <c r="DV129" s="747">
        <f t="shared" si="183"/>
        <v>0</v>
      </c>
      <c r="DW129" s="747">
        <f t="shared" si="183"/>
        <v>0</v>
      </c>
      <c r="DX129" s="747">
        <f t="shared" si="183"/>
        <v>0</v>
      </c>
      <c r="DY129" s="747">
        <f t="shared" si="183"/>
        <v>0</v>
      </c>
      <c r="DZ129" s="747">
        <f t="shared" ref="DZ129:EH129" si="184">-SUM(DZ57,DZ75)*DZ93</f>
        <v>0</v>
      </c>
      <c r="EA129" s="747">
        <f t="shared" si="184"/>
        <v>0</v>
      </c>
      <c r="EB129" s="747">
        <f t="shared" si="184"/>
        <v>0</v>
      </c>
      <c r="EC129" s="747">
        <f t="shared" si="184"/>
        <v>0</v>
      </c>
      <c r="ED129" s="747">
        <f t="shared" si="184"/>
        <v>0</v>
      </c>
      <c r="EE129" s="747">
        <f t="shared" si="184"/>
        <v>0</v>
      </c>
      <c r="EF129" s="747">
        <f t="shared" si="184"/>
        <v>0</v>
      </c>
      <c r="EG129" s="747">
        <f t="shared" si="184"/>
        <v>0</v>
      </c>
      <c r="EH129" s="747">
        <f t="shared" si="184"/>
        <v>0</v>
      </c>
      <c r="EI129" s="747">
        <f t="shared" ref="EI129:ET129" si="185">-SUM(EI57,EI75)*EI93</f>
        <v>0</v>
      </c>
      <c r="EJ129" s="747">
        <f t="shared" si="185"/>
        <v>0</v>
      </c>
      <c r="EK129" s="747">
        <f t="shared" si="185"/>
        <v>0</v>
      </c>
      <c r="EL129" s="747">
        <f t="shared" si="185"/>
        <v>0</v>
      </c>
      <c r="EM129" s="747">
        <f t="shared" si="185"/>
        <v>0</v>
      </c>
      <c r="EN129" s="747">
        <f t="shared" si="185"/>
        <v>0</v>
      </c>
      <c r="EO129" s="747">
        <f t="shared" si="185"/>
        <v>0</v>
      </c>
      <c r="EP129" s="747">
        <f t="shared" si="185"/>
        <v>0</v>
      </c>
      <c r="EQ129" s="747">
        <f t="shared" si="185"/>
        <v>0</v>
      </c>
      <c r="ER129" s="747">
        <f t="shared" si="185"/>
        <v>0</v>
      </c>
      <c r="ES129" s="747">
        <f t="shared" si="185"/>
        <v>0</v>
      </c>
      <c r="ET129" s="747">
        <f t="shared" si="185"/>
        <v>0</v>
      </c>
      <c r="EU129" s="747">
        <f t="shared" si="173"/>
        <v>0</v>
      </c>
    </row>
    <row r="130" spans="3:151" ht="11.25" customHeight="1">
      <c r="C130" s="828"/>
      <c r="D130" s="743">
        <f t="shared" si="167"/>
        <v>7</v>
      </c>
      <c r="E130" s="704" t="str">
        <f t="shared" si="167"/>
        <v>쿠팡</v>
      </c>
      <c r="F130" s="704" t="str">
        <f t="shared" si="167"/>
        <v>상온창고</v>
      </c>
      <c r="G130" s="752"/>
      <c r="H130" s="744"/>
      <c r="I130" s="745"/>
      <c r="J130" s="745"/>
      <c r="K130" s="754"/>
      <c r="L130" s="746"/>
      <c r="M130" s="722"/>
      <c r="N130" s="747">
        <f t="shared" si="168"/>
        <v>0</v>
      </c>
      <c r="O130" s="733"/>
      <c r="P130" s="747">
        <f t="shared" ref="P130:CA130" si="186">-SUM(P58,P76)*P94</f>
        <v>0</v>
      </c>
      <c r="Q130" s="747">
        <f t="shared" si="186"/>
        <v>0</v>
      </c>
      <c r="R130" s="747">
        <f t="shared" si="186"/>
        <v>0</v>
      </c>
      <c r="S130" s="747">
        <f t="shared" si="186"/>
        <v>0</v>
      </c>
      <c r="T130" s="747">
        <f t="shared" si="186"/>
        <v>0</v>
      </c>
      <c r="U130" s="747">
        <f t="shared" si="186"/>
        <v>0</v>
      </c>
      <c r="V130" s="747">
        <f t="shared" si="186"/>
        <v>0</v>
      </c>
      <c r="W130" s="747">
        <f t="shared" si="186"/>
        <v>0</v>
      </c>
      <c r="X130" s="747">
        <f t="shared" si="186"/>
        <v>0</v>
      </c>
      <c r="Y130" s="747">
        <f t="shared" si="186"/>
        <v>0</v>
      </c>
      <c r="Z130" s="747">
        <f t="shared" si="186"/>
        <v>0</v>
      </c>
      <c r="AA130" s="747">
        <f t="shared" si="186"/>
        <v>0</v>
      </c>
      <c r="AB130" s="747">
        <f t="shared" si="186"/>
        <v>0</v>
      </c>
      <c r="AC130" s="747">
        <f t="shared" si="186"/>
        <v>0</v>
      </c>
      <c r="AD130" s="747">
        <f t="shared" si="186"/>
        <v>0</v>
      </c>
      <c r="AE130" s="747">
        <f t="shared" si="186"/>
        <v>0</v>
      </c>
      <c r="AF130" s="747">
        <f t="shared" si="186"/>
        <v>0</v>
      </c>
      <c r="AG130" s="747">
        <f t="shared" si="186"/>
        <v>0</v>
      </c>
      <c r="AH130" s="747">
        <f t="shared" si="186"/>
        <v>0</v>
      </c>
      <c r="AI130" s="747">
        <f t="shared" si="186"/>
        <v>0</v>
      </c>
      <c r="AJ130" s="747">
        <f t="shared" si="186"/>
        <v>0</v>
      </c>
      <c r="AK130" s="747">
        <f t="shared" si="186"/>
        <v>0</v>
      </c>
      <c r="AL130" s="747">
        <f t="shared" si="186"/>
        <v>0</v>
      </c>
      <c r="AM130" s="747">
        <f t="shared" si="186"/>
        <v>0</v>
      </c>
      <c r="AN130" s="747">
        <f t="shared" si="186"/>
        <v>0</v>
      </c>
      <c r="AO130" s="747">
        <f t="shared" si="186"/>
        <v>0</v>
      </c>
      <c r="AP130" s="747">
        <f t="shared" si="186"/>
        <v>0</v>
      </c>
      <c r="AQ130" s="747">
        <f t="shared" si="186"/>
        <v>0</v>
      </c>
      <c r="AR130" s="747">
        <f t="shared" si="186"/>
        <v>0</v>
      </c>
      <c r="AS130" s="747">
        <f t="shared" si="186"/>
        <v>0</v>
      </c>
      <c r="AT130" s="747">
        <f t="shared" si="186"/>
        <v>0</v>
      </c>
      <c r="AU130" s="747">
        <f t="shared" si="186"/>
        <v>0</v>
      </c>
      <c r="AV130" s="747">
        <f t="shared" si="186"/>
        <v>0</v>
      </c>
      <c r="AW130" s="747">
        <f t="shared" si="186"/>
        <v>0</v>
      </c>
      <c r="AX130" s="747">
        <f t="shared" si="186"/>
        <v>0</v>
      </c>
      <c r="AY130" s="747">
        <f t="shared" si="186"/>
        <v>0</v>
      </c>
      <c r="AZ130" s="747">
        <f t="shared" si="186"/>
        <v>0</v>
      </c>
      <c r="BA130" s="747">
        <f t="shared" si="186"/>
        <v>0</v>
      </c>
      <c r="BB130" s="747">
        <f t="shared" si="186"/>
        <v>0</v>
      </c>
      <c r="BC130" s="747">
        <f t="shared" si="186"/>
        <v>0</v>
      </c>
      <c r="BD130" s="747">
        <f t="shared" si="186"/>
        <v>0</v>
      </c>
      <c r="BE130" s="747">
        <f t="shared" si="186"/>
        <v>0</v>
      </c>
      <c r="BF130" s="747">
        <f t="shared" si="186"/>
        <v>0</v>
      </c>
      <c r="BG130" s="747">
        <f t="shared" si="186"/>
        <v>0</v>
      </c>
      <c r="BH130" s="747">
        <f t="shared" si="186"/>
        <v>0</v>
      </c>
      <c r="BI130" s="747">
        <f t="shared" si="186"/>
        <v>0</v>
      </c>
      <c r="BJ130" s="747">
        <f t="shared" si="186"/>
        <v>0</v>
      </c>
      <c r="BK130" s="747">
        <f t="shared" si="186"/>
        <v>0</v>
      </c>
      <c r="BL130" s="747">
        <f t="shared" si="186"/>
        <v>0</v>
      </c>
      <c r="BM130" s="747">
        <f t="shared" si="186"/>
        <v>0</v>
      </c>
      <c r="BN130" s="747">
        <f t="shared" si="186"/>
        <v>0</v>
      </c>
      <c r="BO130" s="747">
        <f t="shared" si="186"/>
        <v>0</v>
      </c>
      <c r="BP130" s="747">
        <f t="shared" si="186"/>
        <v>0</v>
      </c>
      <c r="BQ130" s="747">
        <f t="shared" si="186"/>
        <v>0</v>
      </c>
      <c r="BR130" s="747">
        <f t="shared" si="186"/>
        <v>0</v>
      </c>
      <c r="BS130" s="747">
        <f t="shared" si="186"/>
        <v>0</v>
      </c>
      <c r="BT130" s="747">
        <f t="shared" si="186"/>
        <v>0</v>
      </c>
      <c r="BU130" s="747">
        <f t="shared" si="186"/>
        <v>0</v>
      </c>
      <c r="BV130" s="747">
        <f t="shared" si="186"/>
        <v>0</v>
      </c>
      <c r="BW130" s="747">
        <f t="shared" si="186"/>
        <v>0</v>
      </c>
      <c r="BX130" s="747">
        <f t="shared" si="186"/>
        <v>0</v>
      </c>
      <c r="BY130" s="747">
        <f t="shared" si="186"/>
        <v>0</v>
      </c>
      <c r="BZ130" s="747">
        <f t="shared" si="186"/>
        <v>0</v>
      </c>
      <c r="CA130" s="747">
        <f t="shared" si="186"/>
        <v>0</v>
      </c>
      <c r="CB130" s="747">
        <f t="shared" ref="CB130:DY130" si="187">-SUM(CB58,CB76)*CB94</f>
        <v>0</v>
      </c>
      <c r="CC130" s="747">
        <f t="shared" si="187"/>
        <v>0</v>
      </c>
      <c r="CD130" s="747">
        <f t="shared" si="187"/>
        <v>0</v>
      </c>
      <c r="CE130" s="747">
        <f t="shared" si="187"/>
        <v>0</v>
      </c>
      <c r="CF130" s="747">
        <f t="shared" si="187"/>
        <v>0</v>
      </c>
      <c r="CG130" s="747">
        <f t="shared" si="187"/>
        <v>0</v>
      </c>
      <c r="CH130" s="747">
        <f t="shared" si="187"/>
        <v>0</v>
      </c>
      <c r="CI130" s="747">
        <f t="shared" si="187"/>
        <v>0</v>
      </c>
      <c r="CJ130" s="747">
        <f t="shared" si="187"/>
        <v>0</v>
      </c>
      <c r="CK130" s="747">
        <f t="shared" si="187"/>
        <v>0</v>
      </c>
      <c r="CL130" s="747">
        <f t="shared" si="187"/>
        <v>0</v>
      </c>
      <c r="CM130" s="747">
        <f t="shared" si="187"/>
        <v>0</v>
      </c>
      <c r="CN130" s="747">
        <f t="shared" si="187"/>
        <v>0</v>
      </c>
      <c r="CO130" s="747">
        <f t="shared" si="187"/>
        <v>0</v>
      </c>
      <c r="CP130" s="747">
        <f t="shared" si="187"/>
        <v>0</v>
      </c>
      <c r="CQ130" s="747">
        <f t="shared" si="187"/>
        <v>0</v>
      </c>
      <c r="CR130" s="747">
        <f t="shared" si="187"/>
        <v>0</v>
      </c>
      <c r="CS130" s="747">
        <f t="shared" si="187"/>
        <v>0</v>
      </c>
      <c r="CT130" s="747">
        <f t="shared" si="187"/>
        <v>0</v>
      </c>
      <c r="CU130" s="747">
        <f t="shared" si="187"/>
        <v>0</v>
      </c>
      <c r="CV130" s="747">
        <f t="shared" si="187"/>
        <v>0</v>
      </c>
      <c r="CW130" s="747">
        <f t="shared" si="187"/>
        <v>0</v>
      </c>
      <c r="CX130" s="747">
        <f t="shared" si="187"/>
        <v>0</v>
      </c>
      <c r="CY130" s="747">
        <f t="shared" si="187"/>
        <v>0</v>
      </c>
      <c r="CZ130" s="747">
        <f t="shared" si="187"/>
        <v>0</v>
      </c>
      <c r="DA130" s="747">
        <f t="shared" si="187"/>
        <v>0</v>
      </c>
      <c r="DB130" s="747">
        <f t="shared" si="187"/>
        <v>0</v>
      </c>
      <c r="DC130" s="747">
        <f t="shared" si="187"/>
        <v>0</v>
      </c>
      <c r="DD130" s="747">
        <f t="shared" si="187"/>
        <v>0</v>
      </c>
      <c r="DE130" s="747">
        <f t="shared" si="187"/>
        <v>0</v>
      </c>
      <c r="DF130" s="747">
        <f t="shared" si="187"/>
        <v>0</v>
      </c>
      <c r="DG130" s="747">
        <f t="shared" si="187"/>
        <v>0</v>
      </c>
      <c r="DH130" s="747">
        <f t="shared" si="187"/>
        <v>0</v>
      </c>
      <c r="DI130" s="747">
        <f t="shared" si="187"/>
        <v>0</v>
      </c>
      <c r="DJ130" s="747">
        <f t="shared" si="187"/>
        <v>0</v>
      </c>
      <c r="DK130" s="747">
        <f t="shared" si="187"/>
        <v>0</v>
      </c>
      <c r="DL130" s="747">
        <f t="shared" si="187"/>
        <v>0</v>
      </c>
      <c r="DM130" s="747">
        <f t="shared" si="187"/>
        <v>0</v>
      </c>
      <c r="DN130" s="747">
        <f t="shared" si="187"/>
        <v>0</v>
      </c>
      <c r="DO130" s="747">
        <f t="shared" si="187"/>
        <v>0</v>
      </c>
      <c r="DP130" s="747">
        <f t="shared" si="187"/>
        <v>0</v>
      </c>
      <c r="DQ130" s="747">
        <f t="shared" si="187"/>
        <v>0</v>
      </c>
      <c r="DR130" s="747">
        <f t="shared" si="187"/>
        <v>0</v>
      </c>
      <c r="DS130" s="747">
        <f t="shared" si="187"/>
        <v>0</v>
      </c>
      <c r="DT130" s="747">
        <f t="shared" si="187"/>
        <v>0</v>
      </c>
      <c r="DU130" s="747">
        <f t="shared" si="187"/>
        <v>0</v>
      </c>
      <c r="DV130" s="747">
        <f t="shared" si="187"/>
        <v>0</v>
      </c>
      <c r="DW130" s="747">
        <f t="shared" si="187"/>
        <v>0</v>
      </c>
      <c r="DX130" s="747">
        <f t="shared" si="187"/>
        <v>0</v>
      </c>
      <c r="DY130" s="747">
        <f t="shared" si="187"/>
        <v>0</v>
      </c>
      <c r="DZ130" s="747">
        <f t="shared" ref="DZ130:EH130" si="188">-SUM(DZ58,DZ76)*DZ94</f>
        <v>0</v>
      </c>
      <c r="EA130" s="747">
        <f t="shared" si="188"/>
        <v>0</v>
      </c>
      <c r="EB130" s="747">
        <f t="shared" si="188"/>
        <v>0</v>
      </c>
      <c r="EC130" s="747">
        <f t="shared" si="188"/>
        <v>0</v>
      </c>
      <c r="ED130" s="747">
        <f t="shared" si="188"/>
        <v>0</v>
      </c>
      <c r="EE130" s="747">
        <f t="shared" si="188"/>
        <v>0</v>
      </c>
      <c r="EF130" s="747">
        <f t="shared" si="188"/>
        <v>0</v>
      </c>
      <c r="EG130" s="747">
        <f t="shared" si="188"/>
        <v>0</v>
      </c>
      <c r="EH130" s="747">
        <f t="shared" si="188"/>
        <v>0</v>
      </c>
      <c r="EI130" s="747">
        <f t="shared" ref="EI130:ET130" si="189">-SUM(EI58,EI76)*EI94</f>
        <v>0</v>
      </c>
      <c r="EJ130" s="747">
        <f t="shared" si="189"/>
        <v>0</v>
      </c>
      <c r="EK130" s="747">
        <f t="shared" si="189"/>
        <v>0</v>
      </c>
      <c r="EL130" s="747">
        <f t="shared" si="189"/>
        <v>0</v>
      </c>
      <c r="EM130" s="747">
        <f t="shared" si="189"/>
        <v>0</v>
      </c>
      <c r="EN130" s="747">
        <f t="shared" si="189"/>
        <v>0</v>
      </c>
      <c r="EO130" s="747">
        <f t="shared" si="189"/>
        <v>0</v>
      </c>
      <c r="EP130" s="747">
        <f t="shared" si="189"/>
        <v>0</v>
      </c>
      <c r="EQ130" s="747">
        <f t="shared" si="189"/>
        <v>0</v>
      </c>
      <c r="ER130" s="747">
        <f t="shared" si="189"/>
        <v>0</v>
      </c>
      <c r="ES130" s="747">
        <f t="shared" si="189"/>
        <v>0</v>
      </c>
      <c r="ET130" s="747">
        <f t="shared" si="189"/>
        <v>0</v>
      </c>
      <c r="EU130" s="747">
        <f t="shared" si="173"/>
        <v>0</v>
      </c>
    </row>
    <row r="131" spans="3:151" ht="11.25" customHeight="1">
      <c r="C131" s="828"/>
      <c r="D131" s="743">
        <f t="shared" si="167"/>
        <v>6</v>
      </c>
      <c r="E131" s="704" t="str">
        <f t="shared" si="167"/>
        <v>쿠팡</v>
      </c>
      <c r="F131" s="704" t="str">
        <f t="shared" si="167"/>
        <v>상온창고</v>
      </c>
      <c r="G131" s="752"/>
      <c r="H131" s="744"/>
      <c r="I131" s="745"/>
      <c r="J131" s="745"/>
      <c r="K131" s="754"/>
      <c r="L131" s="746"/>
      <c r="M131" s="722"/>
      <c r="N131" s="747">
        <f t="shared" si="168"/>
        <v>0</v>
      </c>
      <c r="O131" s="733"/>
      <c r="P131" s="747">
        <f t="shared" ref="P131:CA131" si="190">-SUM(P59,P77)*P95</f>
        <v>0</v>
      </c>
      <c r="Q131" s="747">
        <f t="shared" si="190"/>
        <v>0</v>
      </c>
      <c r="R131" s="747">
        <f t="shared" si="190"/>
        <v>0</v>
      </c>
      <c r="S131" s="747">
        <f t="shared" si="190"/>
        <v>0</v>
      </c>
      <c r="T131" s="747">
        <f t="shared" si="190"/>
        <v>0</v>
      </c>
      <c r="U131" s="747">
        <f t="shared" si="190"/>
        <v>0</v>
      </c>
      <c r="V131" s="747">
        <f t="shared" si="190"/>
        <v>0</v>
      </c>
      <c r="W131" s="747">
        <f t="shared" si="190"/>
        <v>0</v>
      </c>
      <c r="X131" s="747">
        <f t="shared" si="190"/>
        <v>0</v>
      </c>
      <c r="Y131" s="747">
        <f t="shared" si="190"/>
        <v>0</v>
      </c>
      <c r="Z131" s="747">
        <f t="shared" si="190"/>
        <v>0</v>
      </c>
      <c r="AA131" s="747">
        <f t="shared" si="190"/>
        <v>0</v>
      </c>
      <c r="AB131" s="747">
        <f t="shared" si="190"/>
        <v>0</v>
      </c>
      <c r="AC131" s="747">
        <f t="shared" si="190"/>
        <v>0</v>
      </c>
      <c r="AD131" s="747">
        <f t="shared" si="190"/>
        <v>0</v>
      </c>
      <c r="AE131" s="747">
        <f t="shared" si="190"/>
        <v>0</v>
      </c>
      <c r="AF131" s="747">
        <f t="shared" si="190"/>
        <v>0</v>
      </c>
      <c r="AG131" s="747">
        <f t="shared" si="190"/>
        <v>0</v>
      </c>
      <c r="AH131" s="747">
        <f t="shared" si="190"/>
        <v>0</v>
      </c>
      <c r="AI131" s="747">
        <f t="shared" si="190"/>
        <v>0</v>
      </c>
      <c r="AJ131" s="747">
        <f t="shared" si="190"/>
        <v>0</v>
      </c>
      <c r="AK131" s="747">
        <f t="shared" si="190"/>
        <v>0</v>
      </c>
      <c r="AL131" s="747">
        <f t="shared" si="190"/>
        <v>0</v>
      </c>
      <c r="AM131" s="747">
        <f t="shared" si="190"/>
        <v>0</v>
      </c>
      <c r="AN131" s="747">
        <f t="shared" si="190"/>
        <v>0</v>
      </c>
      <c r="AO131" s="747">
        <f t="shared" si="190"/>
        <v>0</v>
      </c>
      <c r="AP131" s="747">
        <f t="shared" si="190"/>
        <v>0</v>
      </c>
      <c r="AQ131" s="747">
        <f t="shared" si="190"/>
        <v>0</v>
      </c>
      <c r="AR131" s="747">
        <f t="shared" si="190"/>
        <v>0</v>
      </c>
      <c r="AS131" s="747">
        <f t="shared" si="190"/>
        <v>0</v>
      </c>
      <c r="AT131" s="747">
        <f t="shared" si="190"/>
        <v>0</v>
      </c>
      <c r="AU131" s="747">
        <f t="shared" si="190"/>
        <v>0</v>
      </c>
      <c r="AV131" s="747">
        <f t="shared" si="190"/>
        <v>0</v>
      </c>
      <c r="AW131" s="747">
        <f t="shared" si="190"/>
        <v>0</v>
      </c>
      <c r="AX131" s="747">
        <f t="shared" si="190"/>
        <v>0</v>
      </c>
      <c r="AY131" s="747">
        <f t="shared" si="190"/>
        <v>0</v>
      </c>
      <c r="AZ131" s="747">
        <f t="shared" si="190"/>
        <v>0</v>
      </c>
      <c r="BA131" s="747">
        <f t="shared" si="190"/>
        <v>0</v>
      </c>
      <c r="BB131" s="747">
        <f t="shared" si="190"/>
        <v>0</v>
      </c>
      <c r="BC131" s="747">
        <f t="shared" si="190"/>
        <v>0</v>
      </c>
      <c r="BD131" s="747">
        <f t="shared" si="190"/>
        <v>0</v>
      </c>
      <c r="BE131" s="747">
        <f t="shared" si="190"/>
        <v>0</v>
      </c>
      <c r="BF131" s="747">
        <f t="shared" si="190"/>
        <v>0</v>
      </c>
      <c r="BG131" s="747">
        <f t="shared" si="190"/>
        <v>0</v>
      </c>
      <c r="BH131" s="747">
        <f t="shared" si="190"/>
        <v>0</v>
      </c>
      <c r="BI131" s="747">
        <f t="shared" si="190"/>
        <v>0</v>
      </c>
      <c r="BJ131" s="747">
        <f t="shared" si="190"/>
        <v>0</v>
      </c>
      <c r="BK131" s="747">
        <f t="shared" si="190"/>
        <v>0</v>
      </c>
      <c r="BL131" s="747">
        <f t="shared" si="190"/>
        <v>0</v>
      </c>
      <c r="BM131" s="747">
        <f t="shared" si="190"/>
        <v>0</v>
      </c>
      <c r="BN131" s="747">
        <f t="shared" si="190"/>
        <v>0</v>
      </c>
      <c r="BO131" s="747">
        <f t="shared" si="190"/>
        <v>0</v>
      </c>
      <c r="BP131" s="747">
        <f t="shared" si="190"/>
        <v>0</v>
      </c>
      <c r="BQ131" s="747">
        <f t="shared" si="190"/>
        <v>0</v>
      </c>
      <c r="BR131" s="747">
        <f t="shared" si="190"/>
        <v>0</v>
      </c>
      <c r="BS131" s="747">
        <f t="shared" si="190"/>
        <v>0</v>
      </c>
      <c r="BT131" s="747">
        <f t="shared" si="190"/>
        <v>0</v>
      </c>
      <c r="BU131" s="747">
        <f t="shared" si="190"/>
        <v>0</v>
      </c>
      <c r="BV131" s="747">
        <f t="shared" si="190"/>
        <v>0</v>
      </c>
      <c r="BW131" s="747">
        <f t="shared" si="190"/>
        <v>0</v>
      </c>
      <c r="BX131" s="747">
        <f t="shared" si="190"/>
        <v>0</v>
      </c>
      <c r="BY131" s="747">
        <f t="shared" si="190"/>
        <v>0</v>
      </c>
      <c r="BZ131" s="747">
        <f t="shared" si="190"/>
        <v>0</v>
      </c>
      <c r="CA131" s="747">
        <f t="shared" si="190"/>
        <v>0</v>
      </c>
      <c r="CB131" s="747">
        <f t="shared" ref="CB131:DY131" si="191">-SUM(CB59,CB77)*CB95</f>
        <v>0</v>
      </c>
      <c r="CC131" s="747">
        <f t="shared" si="191"/>
        <v>0</v>
      </c>
      <c r="CD131" s="747">
        <f t="shared" si="191"/>
        <v>0</v>
      </c>
      <c r="CE131" s="747">
        <f t="shared" si="191"/>
        <v>0</v>
      </c>
      <c r="CF131" s="747">
        <f t="shared" si="191"/>
        <v>0</v>
      </c>
      <c r="CG131" s="747">
        <f t="shared" si="191"/>
        <v>0</v>
      </c>
      <c r="CH131" s="747">
        <f t="shared" si="191"/>
        <v>0</v>
      </c>
      <c r="CI131" s="747">
        <f t="shared" si="191"/>
        <v>0</v>
      </c>
      <c r="CJ131" s="747">
        <f t="shared" si="191"/>
        <v>0</v>
      </c>
      <c r="CK131" s="747">
        <f t="shared" si="191"/>
        <v>0</v>
      </c>
      <c r="CL131" s="747">
        <f t="shared" si="191"/>
        <v>0</v>
      </c>
      <c r="CM131" s="747">
        <f t="shared" si="191"/>
        <v>0</v>
      </c>
      <c r="CN131" s="747">
        <f t="shared" si="191"/>
        <v>0</v>
      </c>
      <c r="CO131" s="747">
        <f t="shared" si="191"/>
        <v>0</v>
      </c>
      <c r="CP131" s="747">
        <f t="shared" si="191"/>
        <v>0</v>
      </c>
      <c r="CQ131" s="747">
        <f t="shared" si="191"/>
        <v>0</v>
      </c>
      <c r="CR131" s="747">
        <f t="shared" si="191"/>
        <v>0</v>
      </c>
      <c r="CS131" s="747">
        <f t="shared" si="191"/>
        <v>0</v>
      </c>
      <c r="CT131" s="747">
        <f t="shared" si="191"/>
        <v>0</v>
      </c>
      <c r="CU131" s="747">
        <f t="shared" si="191"/>
        <v>0</v>
      </c>
      <c r="CV131" s="747">
        <f t="shared" si="191"/>
        <v>0</v>
      </c>
      <c r="CW131" s="747">
        <f t="shared" si="191"/>
        <v>0</v>
      </c>
      <c r="CX131" s="747">
        <f t="shared" si="191"/>
        <v>0</v>
      </c>
      <c r="CY131" s="747">
        <f t="shared" si="191"/>
        <v>0</v>
      </c>
      <c r="CZ131" s="747">
        <f t="shared" si="191"/>
        <v>0</v>
      </c>
      <c r="DA131" s="747">
        <f t="shared" si="191"/>
        <v>0</v>
      </c>
      <c r="DB131" s="747">
        <f t="shared" si="191"/>
        <v>0</v>
      </c>
      <c r="DC131" s="747">
        <f t="shared" si="191"/>
        <v>0</v>
      </c>
      <c r="DD131" s="747">
        <f t="shared" si="191"/>
        <v>0</v>
      </c>
      <c r="DE131" s="747">
        <f t="shared" si="191"/>
        <v>0</v>
      </c>
      <c r="DF131" s="747">
        <f t="shared" si="191"/>
        <v>0</v>
      </c>
      <c r="DG131" s="747">
        <f t="shared" si="191"/>
        <v>0</v>
      </c>
      <c r="DH131" s="747">
        <f t="shared" si="191"/>
        <v>0</v>
      </c>
      <c r="DI131" s="747">
        <f t="shared" si="191"/>
        <v>0</v>
      </c>
      <c r="DJ131" s="747">
        <f t="shared" si="191"/>
        <v>0</v>
      </c>
      <c r="DK131" s="747">
        <f t="shared" si="191"/>
        <v>0</v>
      </c>
      <c r="DL131" s="747">
        <f t="shared" si="191"/>
        <v>0</v>
      </c>
      <c r="DM131" s="747">
        <f t="shared" si="191"/>
        <v>0</v>
      </c>
      <c r="DN131" s="747">
        <f t="shared" si="191"/>
        <v>0</v>
      </c>
      <c r="DO131" s="747">
        <f t="shared" si="191"/>
        <v>0</v>
      </c>
      <c r="DP131" s="747">
        <f t="shared" si="191"/>
        <v>0</v>
      </c>
      <c r="DQ131" s="747">
        <f t="shared" si="191"/>
        <v>0</v>
      </c>
      <c r="DR131" s="747">
        <f t="shared" si="191"/>
        <v>0</v>
      </c>
      <c r="DS131" s="747">
        <f t="shared" si="191"/>
        <v>0</v>
      </c>
      <c r="DT131" s="747">
        <f t="shared" si="191"/>
        <v>0</v>
      </c>
      <c r="DU131" s="747">
        <f t="shared" si="191"/>
        <v>0</v>
      </c>
      <c r="DV131" s="747">
        <f t="shared" si="191"/>
        <v>0</v>
      </c>
      <c r="DW131" s="747">
        <f t="shared" si="191"/>
        <v>0</v>
      </c>
      <c r="DX131" s="747">
        <f t="shared" si="191"/>
        <v>0</v>
      </c>
      <c r="DY131" s="747">
        <f t="shared" si="191"/>
        <v>0</v>
      </c>
      <c r="DZ131" s="747">
        <f t="shared" ref="DZ131:EH131" si="192">-SUM(DZ59,DZ77)*DZ95</f>
        <v>0</v>
      </c>
      <c r="EA131" s="747">
        <f t="shared" si="192"/>
        <v>0</v>
      </c>
      <c r="EB131" s="747">
        <f t="shared" si="192"/>
        <v>0</v>
      </c>
      <c r="EC131" s="747">
        <f t="shared" si="192"/>
        <v>0</v>
      </c>
      <c r="ED131" s="747">
        <f t="shared" si="192"/>
        <v>0</v>
      </c>
      <c r="EE131" s="747">
        <f t="shared" si="192"/>
        <v>0</v>
      </c>
      <c r="EF131" s="747">
        <f t="shared" si="192"/>
        <v>0</v>
      </c>
      <c r="EG131" s="747">
        <f t="shared" si="192"/>
        <v>0</v>
      </c>
      <c r="EH131" s="747">
        <f t="shared" si="192"/>
        <v>0</v>
      </c>
      <c r="EI131" s="747">
        <f t="shared" ref="EI131:ET131" si="193">-SUM(EI59,EI77)*EI95</f>
        <v>0</v>
      </c>
      <c r="EJ131" s="747">
        <f t="shared" si="193"/>
        <v>0</v>
      </c>
      <c r="EK131" s="747">
        <f t="shared" si="193"/>
        <v>0</v>
      </c>
      <c r="EL131" s="747">
        <f t="shared" si="193"/>
        <v>0</v>
      </c>
      <c r="EM131" s="747">
        <f t="shared" si="193"/>
        <v>0</v>
      </c>
      <c r="EN131" s="747">
        <f t="shared" si="193"/>
        <v>0</v>
      </c>
      <c r="EO131" s="747">
        <f t="shared" si="193"/>
        <v>0</v>
      </c>
      <c r="EP131" s="747">
        <f t="shared" si="193"/>
        <v>0</v>
      </c>
      <c r="EQ131" s="747">
        <f t="shared" si="193"/>
        <v>0</v>
      </c>
      <c r="ER131" s="747">
        <f t="shared" si="193"/>
        <v>0</v>
      </c>
      <c r="ES131" s="747">
        <f t="shared" si="193"/>
        <v>0</v>
      </c>
      <c r="ET131" s="747">
        <f t="shared" si="193"/>
        <v>0</v>
      </c>
      <c r="EU131" s="747">
        <f t="shared" si="173"/>
        <v>0</v>
      </c>
    </row>
    <row r="132" spans="3:151" ht="11.25" customHeight="1">
      <c r="C132" s="828"/>
      <c r="D132" s="743">
        <f t="shared" si="167"/>
        <v>5</v>
      </c>
      <c r="E132" s="704" t="str">
        <f t="shared" si="167"/>
        <v>쿠팡</v>
      </c>
      <c r="F132" s="704" t="str">
        <f t="shared" si="167"/>
        <v>상온창고</v>
      </c>
      <c r="G132" s="752"/>
      <c r="H132" s="744"/>
      <c r="I132" s="745"/>
      <c r="J132" s="745"/>
      <c r="K132" s="754"/>
      <c r="L132" s="746"/>
      <c r="M132" s="722"/>
      <c r="N132" s="747">
        <f t="shared" si="168"/>
        <v>0</v>
      </c>
      <c r="O132" s="733"/>
      <c r="P132" s="747">
        <f t="shared" ref="P132:CA132" si="194">-SUM(P60,P78)*P96</f>
        <v>0</v>
      </c>
      <c r="Q132" s="747">
        <f t="shared" si="194"/>
        <v>0</v>
      </c>
      <c r="R132" s="747">
        <f t="shared" si="194"/>
        <v>0</v>
      </c>
      <c r="S132" s="747">
        <f t="shared" si="194"/>
        <v>0</v>
      </c>
      <c r="T132" s="747">
        <f t="shared" si="194"/>
        <v>0</v>
      </c>
      <c r="U132" s="747">
        <f t="shared" si="194"/>
        <v>0</v>
      </c>
      <c r="V132" s="747">
        <f t="shared" si="194"/>
        <v>0</v>
      </c>
      <c r="W132" s="747">
        <f t="shared" si="194"/>
        <v>0</v>
      </c>
      <c r="X132" s="747">
        <f t="shared" si="194"/>
        <v>0</v>
      </c>
      <c r="Y132" s="747">
        <f t="shared" si="194"/>
        <v>0</v>
      </c>
      <c r="Z132" s="747">
        <f t="shared" si="194"/>
        <v>0</v>
      </c>
      <c r="AA132" s="747">
        <f t="shared" si="194"/>
        <v>0</v>
      </c>
      <c r="AB132" s="747">
        <f t="shared" si="194"/>
        <v>0</v>
      </c>
      <c r="AC132" s="747">
        <f t="shared" si="194"/>
        <v>0</v>
      </c>
      <c r="AD132" s="747">
        <f t="shared" si="194"/>
        <v>0</v>
      </c>
      <c r="AE132" s="747">
        <f t="shared" si="194"/>
        <v>0</v>
      </c>
      <c r="AF132" s="747">
        <f t="shared" si="194"/>
        <v>0</v>
      </c>
      <c r="AG132" s="747">
        <f t="shared" si="194"/>
        <v>0</v>
      </c>
      <c r="AH132" s="747">
        <f t="shared" si="194"/>
        <v>0</v>
      </c>
      <c r="AI132" s="747">
        <f t="shared" si="194"/>
        <v>0</v>
      </c>
      <c r="AJ132" s="747">
        <f t="shared" si="194"/>
        <v>0</v>
      </c>
      <c r="AK132" s="747">
        <f t="shared" si="194"/>
        <v>0</v>
      </c>
      <c r="AL132" s="747">
        <f t="shared" si="194"/>
        <v>0</v>
      </c>
      <c r="AM132" s="747">
        <f t="shared" si="194"/>
        <v>0</v>
      </c>
      <c r="AN132" s="747">
        <f t="shared" si="194"/>
        <v>0</v>
      </c>
      <c r="AO132" s="747">
        <f t="shared" si="194"/>
        <v>0</v>
      </c>
      <c r="AP132" s="747">
        <f t="shared" si="194"/>
        <v>0</v>
      </c>
      <c r="AQ132" s="747">
        <f t="shared" si="194"/>
        <v>0</v>
      </c>
      <c r="AR132" s="747">
        <f t="shared" si="194"/>
        <v>0</v>
      </c>
      <c r="AS132" s="747">
        <f t="shared" si="194"/>
        <v>0</v>
      </c>
      <c r="AT132" s="747">
        <f t="shared" si="194"/>
        <v>0</v>
      </c>
      <c r="AU132" s="747">
        <f t="shared" si="194"/>
        <v>0</v>
      </c>
      <c r="AV132" s="747">
        <f t="shared" si="194"/>
        <v>0</v>
      </c>
      <c r="AW132" s="747">
        <f t="shared" si="194"/>
        <v>0</v>
      </c>
      <c r="AX132" s="747">
        <f t="shared" si="194"/>
        <v>0</v>
      </c>
      <c r="AY132" s="747">
        <f t="shared" si="194"/>
        <v>0</v>
      </c>
      <c r="AZ132" s="747">
        <f t="shared" si="194"/>
        <v>0</v>
      </c>
      <c r="BA132" s="747">
        <f t="shared" si="194"/>
        <v>0</v>
      </c>
      <c r="BB132" s="747">
        <f t="shared" si="194"/>
        <v>0</v>
      </c>
      <c r="BC132" s="747">
        <f t="shared" si="194"/>
        <v>0</v>
      </c>
      <c r="BD132" s="747">
        <f t="shared" si="194"/>
        <v>0</v>
      </c>
      <c r="BE132" s="747">
        <f t="shared" si="194"/>
        <v>0</v>
      </c>
      <c r="BF132" s="747">
        <f t="shared" si="194"/>
        <v>0</v>
      </c>
      <c r="BG132" s="747">
        <f t="shared" si="194"/>
        <v>0</v>
      </c>
      <c r="BH132" s="747">
        <f t="shared" si="194"/>
        <v>0</v>
      </c>
      <c r="BI132" s="747">
        <f t="shared" si="194"/>
        <v>0</v>
      </c>
      <c r="BJ132" s="747">
        <f t="shared" si="194"/>
        <v>0</v>
      </c>
      <c r="BK132" s="747">
        <f t="shared" si="194"/>
        <v>0</v>
      </c>
      <c r="BL132" s="747">
        <f t="shared" si="194"/>
        <v>0</v>
      </c>
      <c r="BM132" s="747">
        <f t="shared" si="194"/>
        <v>0</v>
      </c>
      <c r="BN132" s="747">
        <f t="shared" si="194"/>
        <v>0</v>
      </c>
      <c r="BO132" s="747">
        <f t="shared" si="194"/>
        <v>0</v>
      </c>
      <c r="BP132" s="747">
        <f t="shared" si="194"/>
        <v>0</v>
      </c>
      <c r="BQ132" s="747">
        <f t="shared" si="194"/>
        <v>0</v>
      </c>
      <c r="BR132" s="747">
        <f t="shared" si="194"/>
        <v>0</v>
      </c>
      <c r="BS132" s="747">
        <f t="shared" si="194"/>
        <v>0</v>
      </c>
      <c r="BT132" s="747">
        <f t="shared" si="194"/>
        <v>0</v>
      </c>
      <c r="BU132" s="747">
        <f t="shared" si="194"/>
        <v>0</v>
      </c>
      <c r="BV132" s="747">
        <f t="shared" si="194"/>
        <v>0</v>
      </c>
      <c r="BW132" s="747">
        <f t="shared" si="194"/>
        <v>0</v>
      </c>
      <c r="BX132" s="747">
        <f t="shared" si="194"/>
        <v>0</v>
      </c>
      <c r="BY132" s="747">
        <f t="shared" si="194"/>
        <v>0</v>
      </c>
      <c r="BZ132" s="747">
        <f t="shared" si="194"/>
        <v>0</v>
      </c>
      <c r="CA132" s="747">
        <f t="shared" si="194"/>
        <v>0</v>
      </c>
      <c r="CB132" s="747">
        <f t="shared" ref="CB132:DY132" si="195">-SUM(CB60,CB78)*CB96</f>
        <v>0</v>
      </c>
      <c r="CC132" s="747">
        <f t="shared" si="195"/>
        <v>0</v>
      </c>
      <c r="CD132" s="747">
        <f t="shared" si="195"/>
        <v>0</v>
      </c>
      <c r="CE132" s="747">
        <f t="shared" si="195"/>
        <v>0</v>
      </c>
      <c r="CF132" s="747">
        <f t="shared" si="195"/>
        <v>0</v>
      </c>
      <c r="CG132" s="747">
        <f t="shared" si="195"/>
        <v>0</v>
      </c>
      <c r="CH132" s="747">
        <f t="shared" si="195"/>
        <v>0</v>
      </c>
      <c r="CI132" s="747">
        <f t="shared" si="195"/>
        <v>0</v>
      </c>
      <c r="CJ132" s="747">
        <f t="shared" si="195"/>
        <v>0</v>
      </c>
      <c r="CK132" s="747">
        <f t="shared" si="195"/>
        <v>0</v>
      </c>
      <c r="CL132" s="747">
        <f t="shared" si="195"/>
        <v>0</v>
      </c>
      <c r="CM132" s="747">
        <f t="shared" si="195"/>
        <v>0</v>
      </c>
      <c r="CN132" s="747">
        <f t="shared" si="195"/>
        <v>0</v>
      </c>
      <c r="CO132" s="747">
        <f t="shared" si="195"/>
        <v>0</v>
      </c>
      <c r="CP132" s="747">
        <f t="shared" si="195"/>
        <v>0</v>
      </c>
      <c r="CQ132" s="747">
        <f t="shared" si="195"/>
        <v>0</v>
      </c>
      <c r="CR132" s="747">
        <f t="shared" si="195"/>
        <v>0</v>
      </c>
      <c r="CS132" s="747">
        <f t="shared" si="195"/>
        <v>0</v>
      </c>
      <c r="CT132" s="747">
        <f t="shared" si="195"/>
        <v>0</v>
      </c>
      <c r="CU132" s="747">
        <f t="shared" si="195"/>
        <v>0</v>
      </c>
      <c r="CV132" s="747">
        <f t="shared" si="195"/>
        <v>0</v>
      </c>
      <c r="CW132" s="747">
        <f t="shared" si="195"/>
        <v>0</v>
      </c>
      <c r="CX132" s="747">
        <f t="shared" si="195"/>
        <v>0</v>
      </c>
      <c r="CY132" s="747">
        <f t="shared" si="195"/>
        <v>0</v>
      </c>
      <c r="CZ132" s="747">
        <f t="shared" si="195"/>
        <v>0</v>
      </c>
      <c r="DA132" s="747">
        <f t="shared" si="195"/>
        <v>0</v>
      </c>
      <c r="DB132" s="747">
        <f t="shared" si="195"/>
        <v>0</v>
      </c>
      <c r="DC132" s="747">
        <f t="shared" si="195"/>
        <v>0</v>
      </c>
      <c r="DD132" s="747">
        <f t="shared" si="195"/>
        <v>0</v>
      </c>
      <c r="DE132" s="747">
        <f t="shared" si="195"/>
        <v>0</v>
      </c>
      <c r="DF132" s="747">
        <f t="shared" si="195"/>
        <v>0</v>
      </c>
      <c r="DG132" s="747">
        <f t="shared" si="195"/>
        <v>0</v>
      </c>
      <c r="DH132" s="747">
        <f t="shared" si="195"/>
        <v>0</v>
      </c>
      <c r="DI132" s="747">
        <f t="shared" si="195"/>
        <v>0</v>
      </c>
      <c r="DJ132" s="747">
        <f t="shared" si="195"/>
        <v>0</v>
      </c>
      <c r="DK132" s="747">
        <f t="shared" si="195"/>
        <v>0</v>
      </c>
      <c r="DL132" s="747">
        <f t="shared" si="195"/>
        <v>0</v>
      </c>
      <c r="DM132" s="747">
        <f t="shared" si="195"/>
        <v>0</v>
      </c>
      <c r="DN132" s="747">
        <f t="shared" si="195"/>
        <v>0</v>
      </c>
      <c r="DO132" s="747">
        <f t="shared" si="195"/>
        <v>0</v>
      </c>
      <c r="DP132" s="747">
        <f t="shared" si="195"/>
        <v>0</v>
      </c>
      <c r="DQ132" s="747">
        <f t="shared" si="195"/>
        <v>0</v>
      </c>
      <c r="DR132" s="747">
        <f t="shared" si="195"/>
        <v>0</v>
      </c>
      <c r="DS132" s="747">
        <f t="shared" si="195"/>
        <v>0</v>
      </c>
      <c r="DT132" s="747">
        <f t="shared" si="195"/>
        <v>0</v>
      </c>
      <c r="DU132" s="747">
        <f t="shared" si="195"/>
        <v>0</v>
      </c>
      <c r="DV132" s="747">
        <f t="shared" si="195"/>
        <v>0</v>
      </c>
      <c r="DW132" s="747">
        <f t="shared" si="195"/>
        <v>0</v>
      </c>
      <c r="DX132" s="747">
        <f t="shared" si="195"/>
        <v>0</v>
      </c>
      <c r="DY132" s="747">
        <f t="shared" si="195"/>
        <v>0</v>
      </c>
      <c r="DZ132" s="747">
        <f t="shared" ref="DZ132:EH132" si="196">-SUM(DZ60,DZ78)*DZ96</f>
        <v>0</v>
      </c>
      <c r="EA132" s="747">
        <f t="shared" si="196"/>
        <v>0</v>
      </c>
      <c r="EB132" s="747">
        <f t="shared" si="196"/>
        <v>0</v>
      </c>
      <c r="EC132" s="747">
        <f t="shared" si="196"/>
        <v>0</v>
      </c>
      <c r="ED132" s="747">
        <f t="shared" si="196"/>
        <v>0</v>
      </c>
      <c r="EE132" s="747">
        <f t="shared" si="196"/>
        <v>0</v>
      </c>
      <c r="EF132" s="747">
        <f t="shared" si="196"/>
        <v>0</v>
      </c>
      <c r="EG132" s="747">
        <f t="shared" si="196"/>
        <v>0</v>
      </c>
      <c r="EH132" s="747">
        <f t="shared" si="196"/>
        <v>0</v>
      </c>
      <c r="EI132" s="747">
        <f t="shared" ref="EI132:ET132" si="197">-SUM(EI60,EI78)*EI96</f>
        <v>0</v>
      </c>
      <c r="EJ132" s="747">
        <f t="shared" si="197"/>
        <v>0</v>
      </c>
      <c r="EK132" s="747">
        <f t="shared" si="197"/>
        <v>0</v>
      </c>
      <c r="EL132" s="747">
        <f t="shared" si="197"/>
        <v>0</v>
      </c>
      <c r="EM132" s="747">
        <f t="shared" si="197"/>
        <v>0</v>
      </c>
      <c r="EN132" s="747">
        <f t="shared" si="197"/>
        <v>0</v>
      </c>
      <c r="EO132" s="747">
        <f t="shared" si="197"/>
        <v>0</v>
      </c>
      <c r="EP132" s="747">
        <f t="shared" si="197"/>
        <v>0</v>
      </c>
      <c r="EQ132" s="747">
        <f t="shared" si="197"/>
        <v>0</v>
      </c>
      <c r="ER132" s="747">
        <f t="shared" si="197"/>
        <v>0</v>
      </c>
      <c r="ES132" s="747">
        <f t="shared" si="197"/>
        <v>0</v>
      </c>
      <c r="ET132" s="747">
        <f t="shared" si="197"/>
        <v>0</v>
      </c>
      <c r="EU132" s="747">
        <f t="shared" si="173"/>
        <v>0</v>
      </c>
    </row>
    <row r="133" spans="3:151" ht="11.25" customHeight="1">
      <c r="C133" s="828"/>
      <c r="D133" s="743">
        <f t="shared" si="167"/>
        <v>4</v>
      </c>
      <c r="E133" s="704" t="str">
        <f t="shared" si="167"/>
        <v>쿠팡</v>
      </c>
      <c r="F133" s="704" t="str">
        <f t="shared" si="167"/>
        <v>상온창고</v>
      </c>
      <c r="G133" s="752"/>
      <c r="H133" s="744"/>
      <c r="I133" s="745"/>
      <c r="J133" s="745"/>
      <c r="K133" s="754"/>
      <c r="L133" s="746"/>
      <c r="M133" s="722"/>
      <c r="N133" s="747">
        <f t="shared" si="168"/>
        <v>0</v>
      </c>
      <c r="O133" s="733"/>
      <c r="P133" s="747">
        <f t="shared" ref="P133:CA133" si="198">-SUM(P61,P79)*P97</f>
        <v>0</v>
      </c>
      <c r="Q133" s="747">
        <f t="shared" si="198"/>
        <v>0</v>
      </c>
      <c r="R133" s="747">
        <f t="shared" si="198"/>
        <v>0</v>
      </c>
      <c r="S133" s="747">
        <f t="shared" si="198"/>
        <v>0</v>
      </c>
      <c r="T133" s="747">
        <f t="shared" si="198"/>
        <v>0</v>
      </c>
      <c r="U133" s="747">
        <f t="shared" si="198"/>
        <v>0</v>
      </c>
      <c r="V133" s="747">
        <f t="shared" si="198"/>
        <v>0</v>
      </c>
      <c r="W133" s="747">
        <f t="shared" si="198"/>
        <v>0</v>
      </c>
      <c r="X133" s="747">
        <f t="shared" si="198"/>
        <v>0</v>
      </c>
      <c r="Y133" s="747">
        <f t="shared" si="198"/>
        <v>0</v>
      </c>
      <c r="Z133" s="747">
        <f t="shared" si="198"/>
        <v>0</v>
      </c>
      <c r="AA133" s="747">
        <f t="shared" si="198"/>
        <v>0</v>
      </c>
      <c r="AB133" s="747">
        <f t="shared" si="198"/>
        <v>0</v>
      </c>
      <c r="AC133" s="747">
        <f t="shared" si="198"/>
        <v>0</v>
      </c>
      <c r="AD133" s="747">
        <f t="shared" si="198"/>
        <v>0</v>
      </c>
      <c r="AE133" s="747">
        <f t="shared" si="198"/>
        <v>0</v>
      </c>
      <c r="AF133" s="747">
        <f t="shared" si="198"/>
        <v>0</v>
      </c>
      <c r="AG133" s="747">
        <f t="shared" si="198"/>
        <v>0</v>
      </c>
      <c r="AH133" s="747">
        <f t="shared" si="198"/>
        <v>0</v>
      </c>
      <c r="AI133" s="747">
        <f t="shared" si="198"/>
        <v>0</v>
      </c>
      <c r="AJ133" s="747">
        <f t="shared" si="198"/>
        <v>0</v>
      </c>
      <c r="AK133" s="747">
        <f t="shared" si="198"/>
        <v>0</v>
      </c>
      <c r="AL133" s="747">
        <f t="shared" si="198"/>
        <v>0</v>
      </c>
      <c r="AM133" s="747">
        <f t="shared" si="198"/>
        <v>0</v>
      </c>
      <c r="AN133" s="747">
        <f t="shared" si="198"/>
        <v>0</v>
      </c>
      <c r="AO133" s="747">
        <f t="shared" si="198"/>
        <v>0</v>
      </c>
      <c r="AP133" s="747">
        <f t="shared" si="198"/>
        <v>0</v>
      </c>
      <c r="AQ133" s="747">
        <f t="shared" si="198"/>
        <v>0</v>
      </c>
      <c r="AR133" s="747">
        <f t="shared" si="198"/>
        <v>0</v>
      </c>
      <c r="AS133" s="747">
        <f t="shared" si="198"/>
        <v>0</v>
      </c>
      <c r="AT133" s="747">
        <f t="shared" si="198"/>
        <v>0</v>
      </c>
      <c r="AU133" s="747">
        <f t="shared" si="198"/>
        <v>0</v>
      </c>
      <c r="AV133" s="747">
        <f t="shared" si="198"/>
        <v>0</v>
      </c>
      <c r="AW133" s="747">
        <f t="shared" si="198"/>
        <v>0</v>
      </c>
      <c r="AX133" s="747">
        <f t="shared" si="198"/>
        <v>0</v>
      </c>
      <c r="AY133" s="747">
        <f t="shared" si="198"/>
        <v>0</v>
      </c>
      <c r="AZ133" s="747">
        <f t="shared" si="198"/>
        <v>0</v>
      </c>
      <c r="BA133" s="747">
        <f t="shared" si="198"/>
        <v>0</v>
      </c>
      <c r="BB133" s="747">
        <f t="shared" si="198"/>
        <v>0</v>
      </c>
      <c r="BC133" s="747">
        <f t="shared" si="198"/>
        <v>0</v>
      </c>
      <c r="BD133" s="747">
        <f t="shared" si="198"/>
        <v>0</v>
      </c>
      <c r="BE133" s="747">
        <f t="shared" si="198"/>
        <v>0</v>
      </c>
      <c r="BF133" s="747">
        <f t="shared" si="198"/>
        <v>0</v>
      </c>
      <c r="BG133" s="747">
        <f t="shared" si="198"/>
        <v>0</v>
      </c>
      <c r="BH133" s="747">
        <f t="shared" si="198"/>
        <v>0</v>
      </c>
      <c r="BI133" s="747">
        <f t="shared" si="198"/>
        <v>0</v>
      </c>
      <c r="BJ133" s="747">
        <f t="shared" si="198"/>
        <v>0</v>
      </c>
      <c r="BK133" s="747">
        <f t="shared" si="198"/>
        <v>0</v>
      </c>
      <c r="BL133" s="747">
        <f t="shared" si="198"/>
        <v>0</v>
      </c>
      <c r="BM133" s="747">
        <f t="shared" si="198"/>
        <v>0</v>
      </c>
      <c r="BN133" s="747">
        <f t="shared" si="198"/>
        <v>0</v>
      </c>
      <c r="BO133" s="747">
        <f t="shared" si="198"/>
        <v>0</v>
      </c>
      <c r="BP133" s="747">
        <f t="shared" si="198"/>
        <v>0</v>
      </c>
      <c r="BQ133" s="747">
        <f t="shared" si="198"/>
        <v>0</v>
      </c>
      <c r="BR133" s="747">
        <f t="shared" si="198"/>
        <v>0</v>
      </c>
      <c r="BS133" s="747">
        <f t="shared" si="198"/>
        <v>0</v>
      </c>
      <c r="BT133" s="747">
        <f t="shared" si="198"/>
        <v>0</v>
      </c>
      <c r="BU133" s="747">
        <f t="shared" si="198"/>
        <v>0</v>
      </c>
      <c r="BV133" s="747">
        <f t="shared" si="198"/>
        <v>0</v>
      </c>
      <c r="BW133" s="747">
        <f t="shared" si="198"/>
        <v>0</v>
      </c>
      <c r="BX133" s="747">
        <f t="shared" si="198"/>
        <v>0</v>
      </c>
      <c r="BY133" s="747">
        <f t="shared" si="198"/>
        <v>0</v>
      </c>
      <c r="BZ133" s="747">
        <f t="shared" si="198"/>
        <v>0</v>
      </c>
      <c r="CA133" s="747">
        <f t="shared" si="198"/>
        <v>0</v>
      </c>
      <c r="CB133" s="747">
        <f t="shared" ref="CB133:DY133" si="199">-SUM(CB61,CB79)*CB97</f>
        <v>0</v>
      </c>
      <c r="CC133" s="747">
        <f t="shared" si="199"/>
        <v>0</v>
      </c>
      <c r="CD133" s="747">
        <f t="shared" si="199"/>
        <v>0</v>
      </c>
      <c r="CE133" s="747">
        <f t="shared" si="199"/>
        <v>0</v>
      </c>
      <c r="CF133" s="747">
        <f t="shared" si="199"/>
        <v>0</v>
      </c>
      <c r="CG133" s="747">
        <f t="shared" si="199"/>
        <v>0</v>
      </c>
      <c r="CH133" s="747">
        <f t="shared" si="199"/>
        <v>0</v>
      </c>
      <c r="CI133" s="747">
        <f t="shared" si="199"/>
        <v>0</v>
      </c>
      <c r="CJ133" s="747">
        <f t="shared" si="199"/>
        <v>0</v>
      </c>
      <c r="CK133" s="747">
        <f t="shared" si="199"/>
        <v>0</v>
      </c>
      <c r="CL133" s="747">
        <f t="shared" si="199"/>
        <v>0</v>
      </c>
      <c r="CM133" s="747">
        <f t="shared" si="199"/>
        <v>0</v>
      </c>
      <c r="CN133" s="747">
        <f t="shared" si="199"/>
        <v>0</v>
      </c>
      <c r="CO133" s="747">
        <f t="shared" si="199"/>
        <v>0</v>
      </c>
      <c r="CP133" s="747">
        <f t="shared" si="199"/>
        <v>0</v>
      </c>
      <c r="CQ133" s="747">
        <f t="shared" si="199"/>
        <v>0</v>
      </c>
      <c r="CR133" s="747">
        <f t="shared" si="199"/>
        <v>0</v>
      </c>
      <c r="CS133" s="747">
        <f t="shared" si="199"/>
        <v>0</v>
      </c>
      <c r="CT133" s="747">
        <f t="shared" si="199"/>
        <v>0</v>
      </c>
      <c r="CU133" s="747">
        <f t="shared" si="199"/>
        <v>0</v>
      </c>
      <c r="CV133" s="747">
        <f t="shared" si="199"/>
        <v>0</v>
      </c>
      <c r="CW133" s="747">
        <f t="shared" si="199"/>
        <v>0</v>
      </c>
      <c r="CX133" s="747">
        <f t="shared" si="199"/>
        <v>0</v>
      </c>
      <c r="CY133" s="747">
        <f t="shared" si="199"/>
        <v>0</v>
      </c>
      <c r="CZ133" s="747">
        <f t="shared" si="199"/>
        <v>0</v>
      </c>
      <c r="DA133" s="747">
        <f t="shared" si="199"/>
        <v>0</v>
      </c>
      <c r="DB133" s="747">
        <f t="shared" si="199"/>
        <v>0</v>
      </c>
      <c r="DC133" s="747">
        <f t="shared" si="199"/>
        <v>0</v>
      </c>
      <c r="DD133" s="747">
        <f t="shared" si="199"/>
        <v>0</v>
      </c>
      <c r="DE133" s="747">
        <f t="shared" si="199"/>
        <v>0</v>
      </c>
      <c r="DF133" s="747">
        <f t="shared" si="199"/>
        <v>0</v>
      </c>
      <c r="DG133" s="747">
        <f t="shared" si="199"/>
        <v>0</v>
      </c>
      <c r="DH133" s="747">
        <f t="shared" si="199"/>
        <v>0</v>
      </c>
      <c r="DI133" s="747">
        <f t="shared" si="199"/>
        <v>0</v>
      </c>
      <c r="DJ133" s="747">
        <f t="shared" si="199"/>
        <v>0</v>
      </c>
      <c r="DK133" s="747">
        <f t="shared" si="199"/>
        <v>0</v>
      </c>
      <c r="DL133" s="747">
        <f t="shared" si="199"/>
        <v>0</v>
      </c>
      <c r="DM133" s="747">
        <f t="shared" si="199"/>
        <v>0</v>
      </c>
      <c r="DN133" s="747">
        <f t="shared" si="199"/>
        <v>0</v>
      </c>
      <c r="DO133" s="747">
        <f t="shared" si="199"/>
        <v>0</v>
      </c>
      <c r="DP133" s="747">
        <f t="shared" si="199"/>
        <v>0</v>
      </c>
      <c r="DQ133" s="747">
        <f t="shared" si="199"/>
        <v>0</v>
      </c>
      <c r="DR133" s="747">
        <f t="shared" si="199"/>
        <v>0</v>
      </c>
      <c r="DS133" s="747">
        <f t="shared" si="199"/>
        <v>0</v>
      </c>
      <c r="DT133" s="747">
        <f t="shared" si="199"/>
        <v>0</v>
      </c>
      <c r="DU133" s="747">
        <f t="shared" si="199"/>
        <v>0</v>
      </c>
      <c r="DV133" s="747">
        <f t="shared" si="199"/>
        <v>0</v>
      </c>
      <c r="DW133" s="747">
        <f t="shared" si="199"/>
        <v>0</v>
      </c>
      <c r="DX133" s="747">
        <f t="shared" si="199"/>
        <v>0</v>
      </c>
      <c r="DY133" s="747">
        <f t="shared" si="199"/>
        <v>0</v>
      </c>
      <c r="DZ133" s="747">
        <f t="shared" ref="DZ133:EH133" si="200">-SUM(DZ61,DZ79)*DZ97</f>
        <v>0</v>
      </c>
      <c r="EA133" s="747">
        <f t="shared" si="200"/>
        <v>0</v>
      </c>
      <c r="EB133" s="747">
        <f t="shared" si="200"/>
        <v>0</v>
      </c>
      <c r="EC133" s="747">
        <f t="shared" si="200"/>
        <v>0</v>
      </c>
      <c r="ED133" s="747">
        <f t="shared" si="200"/>
        <v>0</v>
      </c>
      <c r="EE133" s="747">
        <f t="shared" si="200"/>
        <v>0</v>
      </c>
      <c r="EF133" s="747">
        <f t="shared" si="200"/>
        <v>0</v>
      </c>
      <c r="EG133" s="747">
        <f t="shared" si="200"/>
        <v>0</v>
      </c>
      <c r="EH133" s="747">
        <f t="shared" si="200"/>
        <v>0</v>
      </c>
      <c r="EI133" s="747">
        <f t="shared" ref="EI133:ET133" si="201">-SUM(EI61,EI79)*EI97</f>
        <v>0</v>
      </c>
      <c r="EJ133" s="747">
        <f t="shared" si="201"/>
        <v>0</v>
      </c>
      <c r="EK133" s="747">
        <f t="shared" si="201"/>
        <v>0</v>
      </c>
      <c r="EL133" s="747">
        <f t="shared" si="201"/>
        <v>0</v>
      </c>
      <c r="EM133" s="747">
        <f t="shared" si="201"/>
        <v>0</v>
      </c>
      <c r="EN133" s="747">
        <f t="shared" si="201"/>
        <v>0</v>
      </c>
      <c r="EO133" s="747">
        <f t="shared" si="201"/>
        <v>0</v>
      </c>
      <c r="EP133" s="747">
        <f t="shared" si="201"/>
        <v>0</v>
      </c>
      <c r="EQ133" s="747">
        <f t="shared" si="201"/>
        <v>0</v>
      </c>
      <c r="ER133" s="747">
        <f t="shared" si="201"/>
        <v>0</v>
      </c>
      <c r="ES133" s="747">
        <f t="shared" si="201"/>
        <v>0</v>
      </c>
      <c r="ET133" s="747">
        <f t="shared" si="201"/>
        <v>0</v>
      </c>
      <c r="EU133" s="747">
        <f t="shared" si="173"/>
        <v>0</v>
      </c>
    </row>
    <row r="134" spans="3:151" ht="11.25" customHeight="1">
      <c r="C134" s="828"/>
      <c r="D134" s="743">
        <f t="shared" si="167"/>
        <v>3</v>
      </c>
      <c r="E134" s="704" t="str">
        <f t="shared" si="167"/>
        <v>농심</v>
      </c>
      <c r="F134" s="704" t="str">
        <f t="shared" si="167"/>
        <v>상온창고</v>
      </c>
      <c r="G134" s="752"/>
      <c r="H134" s="744"/>
      <c r="I134" s="745"/>
      <c r="J134" s="745"/>
      <c r="K134" s="754"/>
      <c r="L134" s="746"/>
      <c r="M134" s="722"/>
      <c r="N134" s="747">
        <f t="shared" si="168"/>
        <v>0</v>
      </c>
      <c r="O134" s="733"/>
      <c r="P134" s="747">
        <f t="shared" ref="P134:CA134" si="202">-SUM(P62,P80)*P98</f>
        <v>0</v>
      </c>
      <c r="Q134" s="747">
        <f t="shared" si="202"/>
        <v>0</v>
      </c>
      <c r="R134" s="747">
        <f t="shared" si="202"/>
        <v>0</v>
      </c>
      <c r="S134" s="747">
        <f t="shared" si="202"/>
        <v>0</v>
      </c>
      <c r="T134" s="747">
        <f t="shared" si="202"/>
        <v>0</v>
      </c>
      <c r="U134" s="747">
        <f t="shared" si="202"/>
        <v>0</v>
      </c>
      <c r="V134" s="747">
        <f t="shared" si="202"/>
        <v>0</v>
      </c>
      <c r="W134" s="747">
        <f t="shared" si="202"/>
        <v>0</v>
      </c>
      <c r="X134" s="747">
        <f t="shared" si="202"/>
        <v>0</v>
      </c>
      <c r="Y134" s="747">
        <f t="shared" si="202"/>
        <v>0</v>
      </c>
      <c r="Z134" s="747">
        <f t="shared" si="202"/>
        <v>0</v>
      </c>
      <c r="AA134" s="747">
        <f t="shared" si="202"/>
        <v>0</v>
      </c>
      <c r="AB134" s="747">
        <f t="shared" si="202"/>
        <v>0</v>
      </c>
      <c r="AC134" s="747">
        <f t="shared" si="202"/>
        <v>0</v>
      </c>
      <c r="AD134" s="747">
        <f t="shared" si="202"/>
        <v>0</v>
      </c>
      <c r="AE134" s="747">
        <f t="shared" si="202"/>
        <v>0</v>
      </c>
      <c r="AF134" s="747">
        <f t="shared" si="202"/>
        <v>0</v>
      </c>
      <c r="AG134" s="747">
        <f t="shared" si="202"/>
        <v>0</v>
      </c>
      <c r="AH134" s="747">
        <f t="shared" si="202"/>
        <v>0</v>
      </c>
      <c r="AI134" s="747">
        <f t="shared" si="202"/>
        <v>0</v>
      </c>
      <c r="AJ134" s="747">
        <f t="shared" si="202"/>
        <v>0</v>
      </c>
      <c r="AK134" s="747">
        <f t="shared" si="202"/>
        <v>0</v>
      </c>
      <c r="AL134" s="747">
        <f t="shared" si="202"/>
        <v>0</v>
      </c>
      <c r="AM134" s="747">
        <f t="shared" si="202"/>
        <v>0</v>
      </c>
      <c r="AN134" s="747">
        <f t="shared" si="202"/>
        <v>0</v>
      </c>
      <c r="AO134" s="747">
        <f t="shared" si="202"/>
        <v>0</v>
      </c>
      <c r="AP134" s="747">
        <f t="shared" si="202"/>
        <v>0</v>
      </c>
      <c r="AQ134" s="747">
        <f t="shared" si="202"/>
        <v>0</v>
      </c>
      <c r="AR134" s="747">
        <f t="shared" si="202"/>
        <v>0</v>
      </c>
      <c r="AS134" s="747">
        <f t="shared" si="202"/>
        <v>0</v>
      </c>
      <c r="AT134" s="747">
        <f t="shared" si="202"/>
        <v>0</v>
      </c>
      <c r="AU134" s="747">
        <f t="shared" si="202"/>
        <v>0</v>
      </c>
      <c r="AV134" s="747">
        <f t="shared" si="202"/>
        <v>0</v>
      </c>
      <c r="AW134" s="747">
        <f t="shared" si="202"/>
        <v>0</v>
      </c>
      <c r="AX134" s="747">
        <f t="shared" si="202"/>
        <v>0</v>
      </c>
      <c r="AY134" s="747">
        <f t="shared" si="202"/>
        <v>0</v>
      </c>
      <c r="AZ134" s="747">
        <f t="shared" si="202"/>
        <v>0</v>
      </c>
      <c r="BA134" s="747">
        <f t="shared" si="202"/>
        <v>0</v>
      </c>
      <c r="BB134" s="747">
        <f t="shared" si="202"/>
        <v>0</v>
      </c>
      <c r="BC134" s="747">
        <f t="shared" si="202"/>
        <v>0</v>
      </c>
      <c r="BD134" s="747">
        <f t="shared" si="202"/>
        <v>0</v>
      </c>
      <c r="BE134" s="747">
        <f t="shared" si="202"/>
        <v>0</v>
      </c>
      <c r="BF134" s="747">
        <f t="shared" si="202"/>
        <v>0</v>
      </c>
      <c r="BG134" s="747">
        <f t="shared" si="202"/>
        <v>0</v>
      </c>
      <c r="BH134" s="747">
        <f t="shared" si="202"/>
        <v>0</v>
      </c>
      <c r="BI134" s="747">
        <f t="shared" si="202"/>
        <v>0</v>
      </c>
      <c r="BJ134" s="747">
        <f t="shared" si="202"/>
        <v>0</v>
      </c>
      <c r="BK134" s="747">
        <f t="shared" si="202"/>
        <v>0</v>
      </c>
      <c r="BL134" s="747">
        <f t="shared" si="202"/>
        <v>0</v>
      </c>
      <c r="BM134" s="747">
        <f t="shared" si="202"/>
        <v>0</v>
      </c>
      <c r="BN134" s="747">
        <f t="shared" si="202"/>
        <v>0</v>
      </c>
      <c r="BO134" s="747">
        <f t="shared" si="202"/>
        <v>0</v>
      </c>
      <c r="BP134" s="747">
        <f t="shared" si="202"/>
        <v>0</v>
      </c>
      <c r="BQ134" s="747">
        <f t="shared" si="202"/>
        <v>0</v>
      </c>
      <c r="BR134" s="747">
        <f t="shared" si="202"/>
        <v>0</v>
      </c>
      <c r="BS134" s="747">
        <f t="shared" si="202"/>
        <v>0</v>
      </c>
      <c r="BT134" s="747">
        <f t="shared" si="202"/>
        <v>0</v>
      </c>
      <c r="BU134" s="747">
        <f t="shared" si="202"/>
        <v>0</v>
      </c>
      <c r="BV134" s="747">
        <f t="shared" si="202"/>
        <v>0</v>
      </c>
      <c r="BW134" s="747">
        <f t="shared" si="202"/>
        <v>0</v>
      </c>
      <c r="BX134" s="747">
        <f t="shared" si="202"/>
        <v>0</v>
      </c>
      <c r="BY134" s="747">
        <f t="shared" si="202"/>
        <v>0</v>
      </c>
      <c r="BZ134" s="747">
        <f t="shared" si="202"/>
        <v>0</v>
      </c>
      <c r="CA134" s="747">
        <f t="shared" si="202"/>
        <v>0</v>
      </c>
      <c r="CB134" s="747">
        <f t="shared" ref="CB134:DY134" si="203">-SUM(CB62,CB80)*CB98</f>
        <v>0</v>
      </c>
      <c r="CC134" s="747">
        <f t="shared" si="203"/>
        <v>0</v>
      </c>
      <c r="CD134" s="747">
        <f t="shared" si="203"/>
        <v>0</v>
      </c>
      <c r="CE134" s="747">
        <f t="shared" si="203"/>
        <v>0</v>
      </c>
      <c r="CF134" s="747">
        <f t="shared" si="203"/>
        <v>0</v>
      </c>
      <c r="CG134" s="747">
        <f t="shared" si="203"/>
        <v>0</v>
      </c>
      <c r="CH134" s="747">
        <f t="shared" si="203"/>
        <v>0</v>
      </c>
      <c r="CI134" s="747">
        <f t="shared" si="203"/>
        <v>0</v>
      </c>
      <c r="CJ134" s="747">
        <f t="shared" si="203"/>
        <v>0</v>
      </c>
      <c r="CK134" s="747">
        <f t="shared" si="203"/>
        <v>0</v>
      </c>
      <c r="CL134" s="747">
        <f t="shared" si="203"/>
        <v>0</v>
      </c>
      <c r="CM134" s="747">
        <f t="shared" si="203"/>
        <v>0</v>
      </c>
      <c r="CN134" s="747">
        <f t="shared" si="203"/>
        <v>0</v>
      </c>
      <c r="CO134" s="747">
        <f t="shared" si="203"/>
        <v>0</v>
      </c>
      <c r="CP134" s="747">
        <f t="shared" si="203"/>
        <v>0</v>
      </c>
      <c r="CQ134" s="747">
        <f t="shared" si="203"/>
        <v>0</v>
      </c>
      <c r="CR134" s="747">
        <f t="shared" si="203"/>
        <v>0</v>
      </c>
      <c r="CS134" s="747">
        <f t="shared" si="203"/>
        <v>0</v>
      </c>
      <c r="CT134" s="747">
        <f t="shared" si="203"/>
        <v>0</v>
      </c>
      <c r="CU134" s="747">
        <f t="shared" si="203"/>
        <v>0</v>
      </c>
      <c r="CV134" s="747">
        <f t="shared" si="203"/>
        <v>0</v>
      </c>
      <c r="CW134" s="747">
        <f t="shared" si="203"/>
        <v>0</v>
      </c>
      <c r="CX134" s="747">
        <f t="shared" si="203"/>
        <v>0</v>
      </c>
      <c r="CY134" s="747">
        <f t="shared" si="203"/>
        <v>0</v>
      </c>
      <c r="CZ134" s="747">
        <f t="shared" si="203"/>
        <v>0</v>
      </c>
      <c r="DA134" s="747">
        <f t="shared" si="203"/>
        <v>0</v>
      </c>
      <c r="DB134" s="747">
        <f t="shared" si="203"/>
        <v>0</v>
      </c>
      <c r="DC134" s="747">
        <f t="shared" si="203"/>
        <v>0</v>
      </c>
      <c r="DD134" s="747">
        <f t="shared" si="203"/>
        <v>0</v>
      </c>
      <c r="DE134" s="747">
        <f t="shared" si="203"/>
        <v>0</v>
      </c>
      <c r="DF134" s="747">
        <f t="shared" si="203"/>
        <v>0</v>
      </c>
      <c r="DG134" s="747">
        <f t="shared" si="203"/>
        <v>0</v>
      </c>
      <c r="DH134" s="747">
        <f t="shared" si="203"/>
        <v>0</v>
      </c>
      <c r="DI134" s="747">
        <f t="shared" si="203"/>
        <v>0</v>
      </c>
      <c r="DJ134" s="747">
        <f t="shared" si="203"/>
        <v>0</v>
      </c>
      <c r="DK134" s="747">
        <f t="shared" si="203"/>
        <v>0</v>
      </c>
      <c r="DL134" s="747">
        <f t="shared" si="203"/>
        <v>0</v>
      </c>
      <c r="DM134" s="747">
        <f t="shared" si="203"/>
        <v>0</v>
      </c>
      <c r="DN134" s="747">
        <f t="shared" si="203"/>
        <v>0</v>
      </c>
      <c r="DO134" s="747">
        <f t="shared" si="203"/>
        <v>0</v>
      </c>
      <c r="DP134" s="747">
        <f t="shared" si="203"/>
        <v>0</v>
      </c>
      <c r="DQ134" s="747">
        <f t="shared" si="203"/>
        <v>0</v>
      </c>
      <c r="DR134" s="747">
        <f t="shared" si="203"/>
        <v>0</v>
      </c>
      <c r="DS134" s="747">
        <f t="shared" si="203"/>
        <v>0</v>
      </c>
      <c r="DT134" s="747">
        <f t="shared" si="203"/>
        <v>0</v>
      </c>
      <c r="DU134" s="747">
        <f t="shared" si="203"/>
        <v>0</v>
      </c>
      <c r="DV134" s="747">
        <f t="shared" si="203"/>
        <v>0</v>
      </c>
      <c r="DW134" s="747">
        <f t="shared" si="203"/>
        <v>0</v>
      </c>
      <c r="DX134" s="747">
        <f t="shared" si="203"/>
        <v>0</v>
      </c>
      <c r="DY134" s="747">
        <f t="shared" si="203"/>
        <v>0</v>
      </c>
      <c r="DZ134" s="747">
        <f t="shared" ref="DZ134:EH134" si="204">-SUM(DZ62,DZ80)*DZ98</f>
        <v>0</v>
      </c>
      <c r="EA134" s="747">
        <f t="shared" si="204"/>
        <v>0</v>
      </c>
      <c r="EB134" s="747">
        <f t="shared" si="204"/>
        <v>0</v>
      </c>
      <c r="EC134" s="747">
        <f t="shared" si="204"/>
        <v>0</v>
      </c>
      <c r="ED134" s="747">
        <f t="shared" si="204"/>
        <v>0</v>
      </c>
      <c r="EE134" s="747">
        <f t="shared" si="204"/>
        <v>0</v>
      </c>
      <c r="EF134" s="747">
        <f t="shared" si="204"/>
        <v>0</v>
      </c>
      <c r="EG134" s="747">
        <f t="shared" si="204"/>
        <v>0</v>
      </c>
      <c r="EH134" s="747">
        <f t="shared" si="204"/>
        <v>0</v>
      </c>
      <c r="EI134" s="747">
        <f t="shared" ref="EI134:ET134" si="205">-SUM(EI62,EI80)*EI98</f>
        <v>0</v>
      </c>
      <c r="EJ134" s="747">
        <f t="shared" si="205"/>
        <v>0</v>
      </c>
      <c r="EK134" s="747">
        <f t="shared" si="205"/>
        <v>0</v>
      </c>
      <c r="EL134" s="747">
        <f t="shared" si="205"/>
        <v>0</v>
      </c>
      <c r="EM134" s="747">
        <f t="shared" si="205"/>
        <v>0</v>
      </c>
      <c r="EN134" s="747">
        <f t="shared" si="205"/>
        <v>0</v>
      </c>
      <c r="EO134" s="747">
        <f t="shared" si="205"/>
        <v>0</v>
      </c>
      <c r="EP134" s="747">
        <f t="shared" si="205"/>
        <v>0</v>
      </c>
      <c r="EQ134" s="747">
        <f t="shared" si="205"/>
        <v>0</v>
      </c>
      <c r="ER134" s="747">
        <f t="shared" si="205"/>
        <v>0</v>
      </c>
      <c r="ES134" s="747">
        <f t="shared" si="205"/>
        <v>0</v>
      </c>
      <c r="ET134" s="747">
        <f t="shared" si="205"/>
        <v>0</v>
      </c>
      <c r="EU134" s="747">
        <f t="shared" si="173"/>
        <v>0</v>
      </c>
    </row>
    <row r="135" spans="3:151" ht="11.25" customHeight="1">
      <c r="C135" s="828"/>
      <c r="D135" s="743">
        <f t="shared" si="167"/>
        <v>2</v>
      </c>
      <c r="E135" s="704" t="str">
        <f t="shared" si="167"/>
        <v>쿠팡</v>
      </c>
      <c r="F135" s="704" t="str">
        <f t="shared" si="167"/>
        <v>상온창고</v>
      </c>
      <c r="G135" s="752"/>
      <c r="H135" s="744"/>
      <c r="I135" s="745"/>
      <c r="J135" s="745"/>
      <c r="K135" s="754"/>
      <c r="L135" s="746"/>
      <c r="M135" s="722"/>
      <c r="N135" s="747">
        <f t="shared" si="168"/>
        <v>0</v>
      </c>
      <c r="O135" s="733"/>
      <c r="P135" s="747">
        <f t="shared" ref="P135:CA135" si="206">-SUM(P63,P81)*P99</f>
        <v>0</v>
      </c>
      <c r="Q135" s="747">
        <f t="shared" si="206"/>
        <v>0</v>
      </c>
      <c r="R135" s="747">
        <f t="shared" si="206"/>
        <v>0</v>
      </c>
      <c r="S135" s="747">
        <f t="shared" si="206"/>
        <v>0</v>
      </c>
      <c r="T135" s="747">
        <f t="shared" si="206"/>
        <v>0</v>
      </c>
      <c r="U135" s="747">
        <f t="shared" si="206"/>
        <v>0</v>
      </c>
      <c r="V135" s="747">
        <f t="shared" si="206"/>
        <v>0</v>
      </c>
      <c r="W135" s="747">
        <f t="shared" si="206"/>
        <v>0</v>
      </c>
      <c r="X135" s="747">
        <f t="shared" si="206"/>
        <v>0</v>
      </c>
      <c r="Y135" s="747">
        <f t="shared" si="206"/>
        <v>0</v>
      </c>
      <c r="Z135" s="747">
        <f t="shared" si="206"/>
        <v>0</v>
      </c>
      <c r="AA135" s="747">
        <f t="shared" si="206"/>
        <v>0</v>
      </c>
      <c r="AB135" s="747">
        <f t="shared" si="206"/>
        <v>0</v>
      </c>
      <c r="AC135" s="747">
        <f t="shared" si="206"/>
        <v>0</v>
      </c>
      <c r="AD135" s="747">
        <f t="shared" si="206"/>
        <v>0</v>
      </c>
      <c r="AE135" s="747">
        <f t="shared" si="206"/>
        <v>0</v>
      </c>
      <c r="AF135" s="747">
        <f t="shared" si="206"/>
        <v>0</v>
      </c>
      <c r="AG135" s="747">
        <f t="shared" si="206"/>
        <v>0</v>
      </c>
      <c r="AH135" s="747">
        <f t="shared" si="206"/>
        <v>0</v>
      </c>
      <c r="AI135" s="747">
        <f t="shared" si="206"/>
        <v>0</v>
      </c>
      <c r="AJ135" s="747">
        <f t="shared" si="206"/>
        <v>0</v>
      </c>
      <c r="AK135" s="747">
        <f t="shared" si="206"/>
        <v>0</v>
      </c>
      <c r="AL135" s="747">
        <f t="shared" si="206"/>
        <v>0</v>
      </c>
      <c r="AM135" s="747">
        <f t="shared" si="206"/>
        <v>0</v>
      </c>
      <c r="AN135" s="747">
        <f t="shared" si="206"/>
        <v>0</v>
      </c>
      <c r="AO135" s="747">
        <f t="shared" si="206"/>
        <v>0</v>
      </c>
      <c r="AP135" s="747">
        <f t="shared" si="206"/>
        <v>0</v>
      </c>
      <c r="AQ135" s="747">
        <f t="shared" si="206"/>
        <v>0</v>
      </c>
      <c r="AR135" s="747">
        <f t="shared" si="206"/>
        <v>0</v>
      </c>
      <c r="AS135" s="747">
        <f t="shared" si="206"/>
        <v>0</v>
      </c>
      <c r="AT135" s="747">
        <f t="shared" si="206"/>
        <v>0</v>
      </c>
      <c r="AU135" s="747">
        <f t="shared" si="206"/>
        <v>0</v>
      </c>
      <c r="AV135" s="747">
        <f t="shared" si="206"/>
        <v>0</v>
      </c>
      <c r="AW135" s="747">
        <f t="shared" si="206"/>
        <v>0</v>
      </c>
      <c r="AX135" s="747">
        <f t="shared" si="206"/>
        <v>0</v>
      </c>
      <c r="AY135" s="747">
        <f t="shared" si="206"/>
        <v>0</v>
      </c>
      <c r="AZ135" s="747">
        <f t="shared" si="206"/>
        <v>0</v>
      </c>
      <c r="BA135" s="747">
        <f t="shared" si="206"/>
        <v>0</v>
      </c>
      <c r="BB135" s="747">
        <f t="shared" si="206"/>
        <v>0</v>
      </c>
      <c r="BC135" s="747">
        <f t="shared" si="206"/>
        <v>0</v>
      </c>
      <c r="BD135" s="747">
        <f t="shared" si="206"/>
        <v>0</v>
      </c>
      <c r="BE135" s="747">
        <f t="shared" si="206"/>
        <v>0</v>
      </c>
      <c r="BF135" s="747">
        <f t="shared" si="206"/>
        <v>0</v>
      </c>
      <c r="BG135" s="747">
        <f t="shared" si="206"/>
        <v>0</v>
      </c>
      <c r="BH135" s="747">
        <f t="shared" si="206"/>
        <v>0</v>
      </c>
      <c r="BI135" s="747">
        <f t="shared" si="206"/>
        <v>0</v>
      </c>
      <c r="BJ135" s="747">
        <f t="shared" si="206"/>
        <v>0</v>
      </c>
      <c r="BK135" s="747">
        <f t="shared" si="206"/>
        <v>0</v>
      </c>
      <c r="BL135" s="747">
        <f t="shared" si="206"/>
        <v>0</v>
      </c>
      <c r="BM135" s="747">
        <f t="shared" si="206"/>
        <v>0</v>
      </c>
      <c r="BN135" s="747">
        <f t="shared" si="206"/>
        <v>0</v>
      </c>
      <c r="BO135" s="747">
        <f t="shared" si="206"/>
        <v>0</v>
      </c>
      <c r="BP135" s="747">
        <f t="shared" si="206"/>
        <v>0</v>
      </c>
      <c r="BQ135" s="747">
        <f t="shared" si="206"/>
        <v>0</v>
      </c>
      <c r="BR135" s="747">
        <f t="shared" si="206"/>
        <v>0</v>
      </c>
      <c r="BS135" s="747">
        <f t="shared" si="206"/>
        <v>0</v>
      </c>
      <c r="BT135" s="747">
        <f t="shared" si="206"/>
        <v>0</v>
      </c>
      <c r="BU135" s="747">
        <f t="shared" si="206"/>
        <v>0</v>
      </c>
      <c r="BV135" s="747">
        <f t="shared" si="206"/>
        <v>0</v>
      </c>
      <c r="BW135" s="747">
        <f t="shared" si="206"/>
        <v>0</v>
      </c>
      <c r="BX135" s="747">
        <f t="shared" si="206"/>
        <v>0</v>
      </c>
      <c r="BY135" s="747">
        <f t="shared" si="206"/>
        <v>0</v>
      </c>
      <c r="BZ135" s="747">
        <f t="shared" si="206"/>
        <v>0</v>
      </c>
      <c r="CA135" s="747">
        <f t="shared" si="206"/>
        <v>0</v>
      </c>
      <c r="CB135" s="747">
        <f t="shared" ref="CB135:DY135" si="207">-SUM(CB63,CB81)*CB99</f>
        <v>0</v>
      </c>
      <c r="CC135" s="747">
        <f t="shared" si="207"/>
        <v>0</v>
      </c>
      <c r="CD135" s="747">
        <f t="shared" si="207"/>
        <v>0</v>
      </c>
      <c r="CE135" s="747">
        <f t="shared" si="207"/>
        <v>0</v>
      </c>
      <c r="CF135" s="747">
        <f t="shared" si="207"/>
        <v>0</v>
      </c>
      <c r="CG135" s="747">
        <f t="shared" si="207"/>
        <v>0</v>
      </c>
      <c r="CH135" s="747">
        <f t="shared" si="207"/>
        <v>0</v>
      </c>
      <c r="CI135" s="747">
        <f t="shared" si="207"/>
        <v>0</v>
      </c>
      <c r="CJ135" s="747">
        <f t="shared" si="207"/>
        <v>0</v>
      </c>
      <c r="CK135" s="747">
        <f t="shared" si="207"/>
        <v>0</v>
      </c>
      <c r="CL135" s="747">
        <f t="shared" si="207"/>
        <v>0</v>
      </c>
      <c r="CM135" s="747">
        <f t="shared" si="207"/>
        <v>0</v>
      </c>
      <c r="CN135" s="747">
        <f t="shared" si="207"/>
        <v>0</v>
      </c>
      <c r="CO135" s="747">
        <f t="shared" si="207"/>
        <v>0</v>
      </c>
      <c r="CP135" s="747">
        <f t="shared" si="207"/>
        <v>0</v>
      </c>
      <c r="CQ135" s="747">
        <f t="shared" si="207"/>
        <v>0</v>
      </c>
      <c r="CR135" s="747">
        <f t="shared" si="207"/>
        <v>0</v>
      </c>
      <c r="CS135" s="747">
        <f t="shared" si="207"/>
        <v>0</v>
      </c>
      <c r="CT135" s="747">
        <f t="shared" si="207"/>
        <v>0</v>
      </c>
      <c r="CU135" s="747">
        <f t="shared" si="207"/>
        <v>0</v>
      </c>
      <c r="CV135" s="747">
        <f t="shared" si="207"/>
        <v>0</v>
      </c>
      <c r="CW135" s="747">
        <f t="shared" si="207"/>
        <v>0</v>
      </c>
      <c r="CX135" s="747">
        <f t="shared" si="207"/>
        <v>0</v>
      </c>
      <c r="CY135" s="747">
        <f t="shared" si="207"/>
        <v>0</v>
      </c>
      <c r="CZ135" s="747">
        <f t="shared" si="207"/>
        <v>0</v>
      </c>
      <c r="DA135" s="747">
        <f t="shared" si="207"/>
        <v>0</v>
      </c>
      <c r="DB135" s="747">
        <f t="shared" si="207"/>
        <v>0</v>
      </c>
      <c r="DC135" s="747">
        <f t="shared" si="207"/>
        <v>0</v>
      </c>
      <c r="DD135" s="747">
        <f t="shared" si="207"/>
        <v>0</v>
      </c>
      <c r="DE135" s="747">
        <f t="shared" si="207"/>
        <v>0</v>
      </c>
      <c r="DF135" s="747">
        <f t="shared" si="207"/>
        <v>0</v>
      </c>
      <c r="DG135" s="747">
        <f t="shared" si="207"/>
        <v>0</v>
      </c>
      <c r="DH135" s="747">
        <f t="shared" si="207"/>
        <v>0</v>
      </c>
      <c r="DI135" s="747">
        <f t="shared" si="207"/>
        <v>0</v>
      </c>
      <c r="DJ135" s="747">
        <f t="shared" si="207"/>
        <v>0</v>
      </c>
      <c r="DK135" s="747">
        <f t="shared" si="207"/>
        <v>0</v>
      </c>
      <c r="DL135" s="747">
        <f t="shared" si="207"/>
        <v>0</v>
      </c>
      <c r="DM135" s="747">
        <f t="shared" si="207"/>
        <v>0</v>
      </c>
      <c r="DN135" s="747">
        <f t="shared" si="207"/>
        <v>0</v>
      </c>
      <c r="DO135" s="747">
        <f t="shared" si="207"/>
        <v>0</v>
      </c>
      <c r="DP135" s="747">
        <f t="shared" si="207"/>
        <v>0</v>
      </c>
      <c r="DQ135" s="747">
        <f t="shared" si="207"/>
        <v>0</v>
      </c>
      <c r="DR135" s="747">
        <f t="shared" si="207"/>
        <v>0</v>
      </c>
      <c r="DS135" s="747">
        <f t="shared" si="207"/>
        <v>0</v>
      </c>
      <c r="DT135" s="747">
        <f t="shared" si="207"/>
        <v>0</v>
      </c>
      <c r="DU135" s="747">
        <f t="shared" si="207"/>
        <v>0</v>
      </c>
      <c r="DV135" s="747">
        <f t="shared" si="207"/>
        <v>0</v>
      </c>
      <c r="DW135" s="747">
        <f t="shared" si="207"/>
        <v>0</v>
      </c>
      <c r="DX135" s="747">
        <f t="shared" si="207"/>
        <v>0</v>
      </c>
      <c r="DY135" s="747">
        <f t="shared" si="207"/>
        <v>0</v>
      </c>
      <c r="DZ135" s="747">
        <f t="shared" ref="DZ135:EH135" si="208">-SUM(DZ63,DZ81)*DZ99</f>
        <v>0</v>
      </c>
      <c r="EA135" s="747">
        <f t="shared" si="208"/>
        <v>0</v>
      </c>
      <c r="EB135" s="747">
        <f t="shared" si="208"/>
        <v>0</v>
      </c>
      <c r="EC135" s="747">
        <f t="shared" si="208"/>
        <v>0</v>
      </c>
      <c r="ED135" s="747">
        <f t="shared" si="208"/>
        <v>0</v>
      </c>
      <c r="EE135" s="747">
        <f t="shared" si="208"/>
        <v>0</v>
      </c>
      <c r="EF135" s="747">
        <f t="shared" si="208"/>
        <v>0</v>
      </c>
      <c r="EG135" s="747">
        <f t="shared" si="208"/>
        <v>0</v>
      </c>
      <c r="EH135" s="747">
        <f t="shared" si="208"/>
        <v>0</v>
      </c>
      <c r="EI135" s="747">
        <f t="shared" ref="EI135:ET135" si="209">-SUM(EI63,EI81)*EI99</f>
        <v>0</v>
      </c>
      <c r="EJ135" s="747">
        <f t="shared" si="209"/>
        <v>0</v>
      </c>
      <c r="EK135" s="747">
        <f t="shared" si="209"/>
        <v>0</v>
      </c>
      <c r="EL135" s="747">
        <f t="shared" si="209"/>
        <v>0</v>
      </c>
      <c r="EM135" s="747">
        <f t="shared" si="209"/>
        <v>0</v>
      </c>
      <c r="EN135" s="747">
        <f t="shared" si="209"/>
        <v>0</v>
      </c>
      <c r="EO135" s="747">
        <f t="shared" si="209"/>
        <v>0</v>
      </c>
      <c r="EP135" s="747">
        <f t="shared" si="209"/>
        <v>0</v>
      </c>
      <c r="EQ135" s="747">
        <f t="shared" si="209"/>
        <v>0</v>
      </c>
      <c r="ER135" s="747">
        <f t="shared" si="209"/>
        <v>0</v>
      </c>
      <c r="ES135" s="747">
        <f t="shared" si="209"/>
        <v>0</v>
      </c>
      <c r="ET135" s="747">
        <f t="shared" si="209"/>
        <v>0</v>
      </c>
      <c r="EU135" s="747">
        <f t="shared" si="173"/>
        <v>0</v>
      </c>
    </row>
    <row r="136" spans="3:151" ht="11.25" customHeight="1">
      <c r="C136" s="828"/>
      <c r="D136" s="743">
        <f t="shared" si="167"/>
        <v>1</v>
      </c>
      <c r="E136" s="704" t="str">
        <f t="shared" si="167"/>
        <v>지오영</v>
      </c>
      <c r="F136" s="704" t="str">
        <f t="shared" si="167"/>
        <v>상온창고</v>
      </c>
      <c r="G136" s="752"/>
      <c r="H136" s="744"/>
      <c r="I136" s="745"/>
      <c r="J136" s="745"/>
      <c r="K136" s="754"/>
      <c r="L136" s="711"/>
      <c r="M136" s="722"/>
      <c r="N136" s="747">
        <f t="shared" si="168"/>
        <v>0</v>
      </c>
      <c r="O136" s="733"/>
      <c r="P136" s="747">
        <f t="shared" ref="P136:CA136" si="210">-SUM(P64,P82)*P100</f>
        <v>0</v>
      </c>
      <c r="Q136" s="747">
        <f t="shared" si="210"/>
        <v>0</v>
      </c>
      <c r="R136" s="747">
        <f t="shared" si="210"/>
        <v>0</v>
      </c>
      <c r="S136" s="747">
        <f t="shared" si="210"/>
        <v>0</v>
      </c>
      <c r="T136" s="747">
        <f t="shared" si="210"/>
        <v>0</v>
      </c>
      <c r="U136" s="747">
        <f t="shared" si="210"/>
        <v>0</v>
      </c>
      <c r="V136" s="747">
        <f t="shared" si="210"/>
        <v>0</v>
      </c>
      <c r="W136" s="747">
        <f t="shared" si="210"/>
        <v>0</v>
      </c>
      <c r="X136" s="747">
        <f t="shared" si="210"/>
        <v>0</v>
      </c>
      <c r="Y136" s="747">
        <f t="shared" si="210"/>
        <v>0</v>
      </c>
      <c r="Z136" s="747">
        <f t="shared" si="210"/>
        <v>0</v>
      </c>
      <c r="AA136" s="747">
        <f t="shared" si="210"/>
        <v>0</v>
      </c>
      <c r="AB136" s="747">
        <f t="shared" si="210"/>
        <v>0</v>
      </c>
      <c r="AC136" s="747">
        <f t="shared" si="210"/>
        <v>0</v>
      </c>
      <c r="AD136" s="747">
        <f t="shared" si="210"/>
        <v>0</v>
      </c>
      <c r="AE136" s="747">
        <f t="shared" si="210"/>
        <v>0</v>
      </c>
      <c r="AF136" s="747">
        <f t="shared" si="210"/>
        <v>0</v>
      </c>
      <c r="AG136" s="747">
        <f t="shared" si="210"/>
        <v>0</v>
      </c>
      <c r="AH136" s="747">
        <f t="shared" si="210"/>
        <v>0</v>
      </c>
      <c r="AI136" s="747">
        <f t="shared" si="210"/>
        <v>0</v>
      </c>
      <c r="AJ136" s="747">
        <f t="shared" si="210"/>
        <v>0</v>
      </c>
      <c r="AK136" s="747">
        <f t="shared" si="210"/>
        <v>0</v>
      </c>
      <c r="AL136" s="747">
        <f t="shared" si="210"/>
        <v>0</v>
      </c>
      <c r="AM136" s="747">
        <f t="shared" si="210"/>
        <v>0</v>
      </c>
      <c r="AN136" s="747">
        <f t="shared" si="210"/>
        <v>0</v>
      </c>
      <c r="AO136" s="747">
        <f t="shared" si="210"/>
        <v>0</v>
      </c>
      <c r="AP136" s="747">
        <f t="shared" si="210"/>
        <v>0</v>
      </c>
      <c r="AQ136" s="747">
        <f t="shared" si="210"/>
        <v>0</v>
      </c>
      <c r="AR136" s="747">
        <f t="shared" si="210"/>
        <v>0</v>
      </c>
      <c r="AS136" s="747">
        <f t="shared" si="210"/>
        <v>0</v>
      </c>
      <c r="AT136" s="747">
        <f t="shared" si="210"/>
        <v>0</v>
      </c>
      <c r="AU136" s="747">
        <f t="shared" si="210"/>
        <v>0</v>
      </c>
      <c r="AV136" s="747">
        <f t="shared" si="210"/>
        <v>0</v>
      </c>
      <c r="AW136" s="747">
        <f t="shared" si="210"/>
        <v>0</v>
      </c>
      <c r="AX136" s="747">
        <f t="shared" si="210"/>
        <v>0</v>
      </c>
      <c r="AY136" s="747">
        <f t="shared" si="210"/>
        <v>0</v>
      </c>
      <c r="AZ136" s="747">
        <f t="shared" si="210"/>
        <v>0</v>
      </c>
      <c r="BA136" s="747">
        <f t="shared" si="210"/>
        <v>0</v>
      </c>
      <c r="BB136" s="747">
        <f t="shared" si="210"/>
        <v>0</v>
      </c>
      <c r="BC136" s="747">
        <f t="shared" si="210"/>
        <v>0</v>
      </c>
      <c r="BD136" s="747">
        <f t="shared" si="210"/>
        <v>0</v>
      </c>
      <c r="BE136" s="747">
        <f t="shared" si="210"/>
        <v>0</v>
      </c>
      <c r="BF136" s="747">
        <f t="shared" si="210"/>
        <v>0</v>
      </c>
      <c r="BG136" s="747">
        <f t="shared" si="210"/>
        <v>0</v>
      </c>
      <c r="BH136" s="747">
        <f t="shared" si="210"/>
        <v>0</v>
      </c>
      <c r="BI136" s="747">
        <f t="shared" si="210"/>
        <v>0</v>
      </c>
      <c r="BJ136" s="747">
        <f t="shared" si="210"/>
        <v>0</v>
      </c>
      <c r="BK136" s="747">
        <f t="shared" si="210"/>
        <v>0</v>
      </c>
      <c r="BL136" s="747">
        <f t="shared" si="210"/>
        <v>0</v>
      </c>
      <c r="BM136" s="747">
        <f t="shared" si="210"/>
        <v>0</v>
      </c>
      <c r="BN136" s="747">
        <f t="shared" si="210"/>
        <v>0</v>
      </c>
      <c r="BO136" s="747">
        <f t="shared" si="210"/>
        <v>0</v>
      </c>
      <c r="BP136" s="747">
        <f t="shared" si="210"/>
        <v>0</v>
      </c>
      <c r="BQ136" s="747">
        <f t="shared" si="210"/>
        <v>0</v>
      </c>
      <c r="BR136" s="747">
        <f t="shared" si="210"/>
        <v>0</v>
      </c>
      <c r="BS136" s="747">
        <f t="shared" si="210"/>
        <v>0</v>
      </c>
      <c r="BT136" s="747">
        <f t="shared" si="210"/>
        <v>0</v>
      </c>
      <c r="BU136" s="747">
        <f t="shared" si="210"/>
        <v>0</v>
      </c>
      <c r="BV136" s="747">
        <f t="shared" si="210"/>
        <v>0</v>
      </c>
      <c r="BW136" s="747">
        <f t="shared" si="210"/>
        <v>0</v>
      </c>
      <c r="BX136" s="747">
        <f t="shared" si="210"/>
        <v>0</v>
      </c>
      <c r="BY136" s="747">
        <f t="shared" si="210"/>
        <v>0</v>
      </c>
      <c r="BZ136" s="747">
        <f t="shared" si="210"/>
        <v>0</v>
      </c>
      <c r="CA136" s="747">
        <f t="shared" si="210"/>
        <v>0</v>
      </c>
      <c r="CB136" s="747">
        <f t="shared" ref="CB136:DY136" si="211">-SUM(CB64,CB82)*CB100</f>
        <v>0</v>
      </c>
      <c r="CC136" s="747">
        <f t="shared" si="211"/>
        <v>0</v>
      </c>
      <c r="CD136" s="747">
        <f t="shared" si="211"/>
        <v>0</v>
      </c>
      <c r="CE136" s="747">
        <f t="shared" si="211"/>
        <v>0</v>
      </c>
      <c r="CF136" s="747">
        <f t="shared" si="211"/>
        <v>0</v>
      </c>
      <c r="CG136" s="747">
        <f t="shared" si="211"/>
        <v>0</v>
      </c>
      <c r="CH136" s="747">
        <f t="shared" si="211"/>
        <v>0</v>
      </c>
      <c r="CI136" s="747">
        <f t="shared" si="211"/>
        <v>0</v>
      </c>
      <c r="CJ136" s="747">
        <f t="shared" si="211"/>
        <v>0</v>
      </c>
      <c r="CK136" s="747">
        <f t="shared" si="211"/>
        <v>0</v>
      </c>
      <c r="CL136" s="747">
        <f t="shared" si="211"/>
        <v>0</v>
      </c>
      <c r="CM136" s="747">
        <f t="shared" si="211"/>
        <v>0</v>
      </c>
      <c r="CN136" s="747">
        <f t="shared" si="211"/>
        <v>0</v>
      </c>
      <c r="CO136" s="747">
        <f t="shared" si="211"/>
        <v>0</v>
      </c>
      <c r="CP136" s="747">
        <f t="shared" si="211"/>
        <v>0</v>
      </c>
      <c r="CQ136" s="747">
        <f t="shared" si="211"/>
        <v>0</v>
      </c>
      <c r="CR136" s="747">
        <f t="shared" si="211"/>
        <v>0</v>
      </c>
      <c r="CS136" s="747">
        <f t="shared" si="211"/>
        <v>0</v>
      </c>
      <c r="CT136" s="747">
        <f t="shared" si="211"/>
        <v>0</v>
      </c>
      <c r="CU136" s="747">
        <f t="shared" si="211"/>
        <v>0</v>
      </c>
      <c r="CV136" s="747">
        <f t="shared" si="211"/>
        <v>0</v>
      </c>
      <c r="CW136" s="747">
        <f t="shared" si="211"/>
        <v>0</v>
      </c>
      <c r="CX136" s="747">
        <f t="shared" si="211"/>
        <v>0</v>
      </c>
      <c r="CY136" s="747">
        <f t="shared" si="211"/>
        <v>0</v>
      </c>
      <c r="CZ136" s="747">
        <f t="shared" si="211"/>
        <v>0</v>
      </c>
      <c r="DA136" s="747">
        <f t="shared" si="211"/>
        <v>0</v>
      </c>
      <c r="DB136" s="747">
        <f t="shared" si="211"/>
        <v>0</v>
      </c>
      <c r="DC136" s="747">
        <f t="shared" si="211"/>
        <v>0</v>
      </c>
      <c r="DD136" s="747">
        <f t="shared" si="211"/>
        <v>0</v>
      </c>
      <c r="DE136" s="747">
        <f t="shared" si="211"/>
        <v>0</v>
      </c>
      <c r="DF136" s="747">
        <f t="shared" si="211"/>
        <v>0</v>
      </c>
      <c r="DG136" s="747">
        <f t="shared" si="211"/>
        <v>0</v>
      </c>
      <c r="DH136" s="747">
        <f t="shared" si="211"/>
        <v>0</v>
      </c>
      <c r="DI136" s="747">
        <f t="shared" si="211"/>
        <v>0</v>
      </c>
      <c r="DJ136" s="747">
        <f t="shared" si="211"/>
        <v>0</v>
      </c>
      <c r="DK136" s="747">
        <f t="shared" si="211"/>
        <v>0</v>
      </c>
      <c r="DL136" s="747">
        <f t="shared" si="211"/>
        <v>0</v>
      </c>
      <c r="DM136" s="747">
        <f t="shared" si="211"/>
        <v>0</v>
      </c>
      <c r="DN136" s="747">
        <f t="shared" si="211"/>
        <v>0</v>
      </c>
      <c r="DO136" s="747">
        <f t="shared" si="211"/>
        <v>0</v>
      </c>
      <c r="DP136" s="747">
        <f t="shared" si="211"/>
        <v>0</v>
      </c>
      <c r="DQ136" s="747">
        <f t="shared" si="211"/>
        <v>0</v>
      </c>
      <c r="DR136" s="747">
        <f t="shared" si="211"/>
        <v>0</v>
      </c>
      <c r="DS136" s="747">
        <f t="shared" si="211"/>
        <v>0</v>
      </c>
      <c r="DT136" s="747">
        <f t="shared" si="211"/>
        <v>0</v>
      </c>
      <c r="DU136" s="747">
        <f t="shared" si="211"/>
        <v>0</v>
      </c>
      <c r="DV136" s="747">
        <f t="shared" si="211"/>
        <v>0</v>
      </c>
      <c r="DW136" s="747">
        <f t="shared" si="211"/>
        <v>0</v>
      </c>
      <c r="DX136" s="747">
        <f t="shared" si="211"/>
        <v>0</v>
      </c>
      <c r="DY136" s="747">
        <f t="shared" si="211"/>
        <v>0</v>
      </c>
      <c r="DZ136" s="747">
        <f t="shared" ref="DZ136:EH136" si="212">-SUM(DZ64,DZ82)*DZ100</f>
        <v>0</v>
      </c>
      <c r="EA136" s="747">
        <f t="shared" si="212"/>
        <v>0</v>
      </c>
      <c r="EB136" s="747">
        <f t="shared" si="212"/>
        <v>0</v>
      </c>
      <c r="EC136" s="747">
        <f t="shared" si="212"/>
        <v>0</v>
      </c>
      <c r="ED136" s="747">
        <f t="shared" si="212"/>
        <v>0</v>
      </c>
      <c r="EE136" s="747">
        <f t="shared" si="212"/>
        <v>0</v>
      </c>
      <c r="EF136" s="747">
        <f t="shared" si="212"/>
        <v>0</v>
      </c>
      <c r="EG136" s="747">
        <f t="shared" si="212"/>
        <v>0</v>
      </c>
      <c r="EH136" s="747">
        <f t="shared" si="212"/>
        <v>0</v>
      </c>
      <c r="EI136" s="747">
        <f t="shared" ref="EI136:ET136" si="213">-SUM(EI64,EI82)*EI100</f>
        <v>0</v>
      </c>
      <c r="EJ136" s="747">
        <f t="shared" si="213"/>
        <v>0</v>
      </c>
      <c r="EK136" s="747">
        <f t="shared" si="213"/>
        <v>0</v>
      </c>
      <c r="EL136" s="747">
        <f t="shared" si="213"/>
        <v>0</v>
      </c>
      <c r="EM136" s="747">
        <f t="shared" si="213"/>
        <v>0</v>
      </c>
      <c r="EN136" s="747">
        <f t="shared" si="213"/>
        <v>0</v>
      </c>
      <c r="EO136" s="747">
        <f t="shared" si="213"/>
        <v>0</v>
      </c>
      <c r="EP136" s="747">
        <f t="shared" si="213"/>
        <v>0</v>
      </c>
      <c r="EQ136" s="747">
        <f t="shared" si="213"/>
        <v>0</v>
      </c>
      <c r="ER136" s="747">
        <f t="shared" si="213"/>
        <v>0</v>
      </c>
      <c r="ES136" s="747">
        <f t="shared" si="213"/>
        <v>0</v>
      </c>
      <c r="ET136" s="747">
        <f t="shared" si="213"/>
        <v>0</v>
      </c>
      <c r="EU136" s="747">
        <f t="shared" si="173"/>
        <v>0</v>
      </c>
    </row>
    <row r="137" spans="3:151" ht="11.25" customHeight="1">
      <c r="C137" s="828"/>
      <c r="D137" s="743">
        <f t="shared" si="167"/>
        <v>1</v>
      </c>
      <c r="E137" s="704" t="str">
        <f t="shared" si="167"/>
        <v>용마로지스</v>
      </c>
      <c r="F137" s="704" t="str">
        <f t="shared" si="167"/>
        <v>상온창고</v>
      </c>
      <c r="G137" s="752"/>
      <c r="H137" s="744"/>
      <c r="I137" s="745"/>
      <c r="J137" s="745"/>
      <c r="K137" s="754"/>
      <c r="L137" s="711"/>
      <c r="M137" s="722"/>
      <c r="N137" s="747">
        <f t="shared" si="168"/>
        <v>0</v>
      </c>
      <c r="O137" s="733"/>
      <c r="P137" s="747">
        <f t="shared" ref="P137:CA137" si="214">-SUM(P65,P83)*P101</f>
        <v>0</v>
      </c>
      <c r="Q137" s="747">
        <f t="shared" si="214"/>
        <v>0</v>
      </c>
      <c r="R137" s="747">
        <f t="shared" si="214"/>
        <v>0</v>
      </c>
      <c r="S137" s="747">
        <f t="shared" si="214"/>
        <v>0</v>
      </c>
      <c r="T137" s="747">
        <f t="shared" si="214"/>
        <v>0</v>
      </c>
      <c r="U137" s="747">
        <f t="shared" si="214"/>
        <v>0</v>
      </c>
      <c r="V137" s="747">
        <f t="shared" si="214"/>
        <v>0</v>
      </c>
      <c r="W137" s="747">
        <f t="shared" si="214"/>
        <v>0</v>
      </c>
      <c r="X137" s="747">
        <f t="shared" si="214"/>
        <v>0</v>
      </c>
      <c r="Y137" s="747">
        <f t="shared" si="214"/>
        <v>0</v>
      </c>
      <c r="Z137" s="747">
        <f t="shared" si="214"/>
        <v>0</v>
      </c>
      <c r="AA137" s="747">
        <f t="shared" si="214"/>
        <v>0</v>
      </c>
      <c r="AB137" s="747">
        <f t="shared" si="214"/>
        <v>0</v>
      </c>
      <c r="AC137" s="747">
        <f t="shared" si="214"/>
        <v>0</v>
      </c>
      <c r="AD137" s="747">
        <f t="shared" si="214"/>
        <v>0</v>
      </c>
      <c r="AE137" s="747">
        <f t="shared" si="214"/>
        <v>0</v>
      </c>
      <c r="AF137" s="747">
        <f t="shared" si="214"/>
        <v>0</v>
      </c>
      <c r="AG137" s="747">
        <f t="shared" si="214"/>
        <v>0</v>
      </c>
      <c r="AH137" s="747">
        <f t="shared" si="214"/>
        <v>0</v>
      </c>
      <c r="AI137" s="747">
        <f t="shared" si="214"/>
        <v>0</v>
      </c>
      <c r="AJ137" s="747">
        <f t="shared" si="214"/>
        <v>0</v>
      </c>
      <c r="AK137" s="747">
        <f t="shared" si="214"/>
        <v>0</v>
      </c>
      <c r="AL137" s="747">
        <f t="shared" si="214"/>
        <v>0</v>
      </c>
      <c r="AM137" s="747">
        <f t="shared" si="214"/>
        <v>0</v>
      </c>
      <c r="AN137" s="747">
        <f t="shared" si="214"/>
        <v>0</v>
      </c>
      <c r="AO137" s="747">
        <f t="shared" si="214"/>
        <v>0</v>
      </c>
      <c r="AP137" s="747">
        <f t="shared" si="214"/>
        <v>0</v>
      </c>
      <c r="AQ137" s="747">
        <f t="shared" si="214"/>
        <v>0</v>
      </c>
      <c r="AR137" s="747">
        <f t="shared" si="214"/>
        <v>0</v>
      </c>
      <c r="AS137" s="747">
        <f t="shared" si="214"/>
        <v>0</v>
      </c>
      <c r="AT137" s="747">
        <f t="shared" si="214"/>
        <v>0</v>
      </c>
      <c r="AU137" s="747">
        <f t="shared" si="214"/>
        <v>0</v>
      </c>
      <c r="AV137" s="747">
        <f t="shared" si="214"/>
        <v>0</v>
      </c>
      <c r="AW137" s="747">
        <f t="shared" si="214"/>
        <v>0</v>
      </c>
      <c r="AX137" s="747">
        <f t="shared" si="214"/>
        <v>0</v>
      </c>
      <c r="AY137" s="747">
        <f t="shared" si="214"/>
        <v>0</v>
      </c>
      <c r="AZ137" s="747">
        <f t="shared" si="214"/>
        <v>0</v>
      </c>
      <c r="BA137" s="747">
        <f t="shared" si="214"/>
        <v>0</v>
      </c>
      <c r="BB137" s="747">
        <f t="shared" si="214"/>
        <v>0</v>
      </c>
      <c r="BC137" s="747">
        <f t="shared" si="214"/>
        <v>0</v>
      </c>
      <c r="BD137" s="747">
        <f t="shared" si="214"/>
        <v>0</v>
      </c>
      <c r="BE137" s="747">
        <f t="shared" si="214"/>
        <v>0</v>
      </c>
      <c r="BF137" s="747">
        <f t="shared" si="214"/>
        <v>0</v>
      </c>
      <c r="BG137" s="747">
        <f t="shared" si="214"/>
        <v>0</v>
      </c>
      <c r="BH137" s="747">
        <f t="shared" si="214"/>
        <v>0</v>
      </c>
      <c r="BI137" s="747">
        <f t="shared" si="214"/>
        <v>0</v>
      </c>
      <c r="BJ137" s="747">
        <f t="shared" si="214"/>
        <v>0</v>
      </c>
      <c r="BK137" s="747">
        <f t="shared" si="214"/>
        <v>0</v>
      </c>
      <c r="BL137" s="747">
        <f t="shared" si="214"/>
        <v>0</v>
      </c>
      <c r="BM137" s="747">
        <f t="shared" si="214"/>
        <v>0</v>
      </c>
      <c r="BN137" s="747">
        <f t="shared" si="214"/>
        <v>0</v>
      </c>
      <c r="BO137" s="747">
        <f t="shared" si="214"/>
        <v>0</v>
      </c>
      <c r="BP137" s="747">
        <f t="shared" si="214"/>
        <v>0</v>
      </c>
      <c r="BQ137" s="747">
        <f t="shared" si="214"/>
        <v>0</v>
      </c>
      <c r="BR137" s="747">
        <f t="shared" si="214"/>
        <v>0</v>
      </c>
      <c r="BS137" s="747">
        <f t="shared" si="214"/>
        <v>0</v>
      </c>
      <c r="BT137" s="747">
        <f t="shared" si="214"/>
        <v>0</v>
      </c>
      <c r="BU137" s="747">
        <f t="shared" si="214"/>
        <v>0</v>
      </c>
      <c r="BV137" s="747">
        <f t="shared" si="214"/>
        <v>0</v>
      </c>
      <c r="BW137" s="747">
        <f t="shared" si="214"/>
        <v>0</v>
      </c>
      <c r="BX137" s="747">
        <f t="shared" si="214"/>
        <v>0</v>
      </c>
      <c r="BY137" s="747">
        <f t="shared" si="214"/>
        <v>0</v>
      </c>
      <c r="BZ137" s="747">
        <f t="shared" si="214"/>
        <v>0</v>
      </c>
      <c r="CA137" s="747">
        <f t="shared" si="214"/>
        <v>0</v>
      </c>
      <c r="CB137" s="747">
        <f t="shared" ref="CB137:DY137" si="215">-SUM(CB65,CB83)*CB101</f>
        <v>0</v>
      </c>
      <c r="CC137" s="747">
        <f t="shared" si="215"/>
        <v>0</v>
      </c>
      <c r="CD137" s="747">
        <f t="shared" si="215"/>
        <v>0</v>
      </c>
      <c r="CE137" s="747">
        <f t="shared" si="215"/>
        <v>0</v>
      </c>
      <c r="CF137" s="747">
        <f t="shared" si="215"/>
        <v>0</v>
      </c>
      <c r="CG137" s="747">
        <f t="shared" si="215"/>
        <v>0</v>
      </c>
      <c r="CH137" s="747">
        <f t="shared" si="215"/>
        <v>0</v>
      </c>
      <c r="CI137" s="747">
        <f t="shared" si="215"/>
        <v>0</v>
      </c>
      <c r="CJ137" s="747">
        <f t="shared" si="215"/>
        <v>0</v>
      </c>
      <c r="CK137" s="747">
        <f t="shared" si="215"/>
        <v>0</v>
      </c>
      <c r="CL137" s="747">
        <f t="shared" si="215"/>
        <v>0</v>
      </c>
      <c r="CM137" s="747">
        <f t="shared" si="215"/>
        <v>0</v>
      </c>
      <c r="CN137" s="747">
        <f t="shared" si="215"/>
        <v>0</v>
      </c>
      <c r="CO137" s="747">
        <f t="shared" si="215"/>
        <v>0</v>
      </c>
      <c r="CP137" s="747">
        <f t="shared" si="215"/>
        <v>0</v>
      </c>
      <c r="CQ137" s="747">
        <f t="shared" si="215"/>
        <v>0</v>
      </c>
      <c r="CR137" s="747">
        <f t="shared" si="215"/>
        <v>0</v>
      </c>
      <c r="CS137" s="747">
        <f t="shared" si="215"/>
        <v>0</v>
      </c>
      <c r="CT137" s="747">
        <f t="shared" si="215"/>
        <v>0</v>
      </c>
      <c r="CU137" s="747">
        <f t="shared" si="215"/>
        <v>0</v>
      </c>
      <c r="CV137" s="747">
        <f t="shared" si="215"/>
        <v>0</v>
      </c>
      <c r="CW137" s="747">
        <f t="shared" si="215"/>
        <v>0</v>
      </c>
      <c r="CX137" s="747">
        <f t="shared" si="215"/>
        <v>0</v>
      </c>
      <c r="CY137" s="747">
        <f t="shared" si="215"/>
        <v>0</v>
      </c>
      <c r="CZ137" s="747">
        <f t="shared" si="215"/>
        <v>0</v>
      </c>
      <c r="DA137" s="747">
        <f t="shared" si="215"/>
        <v>0</v>
      </c>
      <c r="DB137" s="747">
        <f t="shared" si="215"/>
        <v>0</v>
      </c>
      <c r="DC137" s="747">
        <f t="shared" si="215"/>
        <v>0</v>
      </c>
      <c r="DD137" s="747">
        <f t="shared" si="215"/>
        <v>0</v>
      </c>
      <c r="DE137" s="747">
        <f t="shared" si="215"/>
        <v>0</v>
      </c>
      <c r="DF137" s="747">
        <f t="shared" si="215"/>
        <v>0</v>
      </c>
      <c r="DG137" s="747">
        <f t="shared" si="215"/>
        <v>0</v>
      </c>
      <c r="DH137" s="747">
        <f t="shared" si="215"/>
        <v>0</v>
      </c>
      <c r="DI137" s="747">
        <f t="shared" si="215"/>
        <v>0</v>
      </c>
      <c r="DJ137" s="747">
        <f t="shared" si="215"/>
        <v>0</v>
      </c>
      <c r="DK137" s="747">
        <f t="shared" si="215"/>
        <v>0</v>
      </c>
      <c r="DL137" s="747">
        <f t="shared" si="215"/>
        <v>0</v>
      </c>
      <c r="DM137" s="747">
        <f t="shared" si="215"/>
        <v>0</v>
      </c>
      <c r="DN137" s="747">
        <f t="shared" si="215"/>
        <v>0</v>
      </c>
      <c r="DO137" s="747">
        <f t="shared" si="215"/>
        <v>0</v>
      </c>
      <c r="DP137" s="747">
        <f t="shared" si="215"/>
        <v>0</v>
      </c>
      <c r="DQ137" s="747">
        <f t="shared" si="215"/>
        <v>0</v>
      </c>
      <c r="DR137" s="747">
        <f t="shared" si="215"/>
        <v>0</v>
      </c>
      <c r="DS137" s="747">
        <f t="shared" si="215"/>
        <v>0</v>
      </c>
      <c r="DT137" s="747">
        <f t="shared" si="215"/>
        <v>0</v>
      </c>
      <c r="DU137" s="747">
        <f t="shared" si="215"/>
        <v>0</v>
      </c>
      <c r="DV137" s="747">
        <f t="shared" si="215"/>
        <v>0</v>
      </c>
      <c r="DW137" s="747">
        <f t="shared" si="215"/>
        <v>0</v>
      </c>
      <c r="DX137" s="747">
        <f t="shared" si="215"/>
        <v>0</v>
      </c>
      <c r="DY137" s="747">
        <f t="shared" si="215"/>
        <v>0</v>
      </c>
      <c r="DZ137" s="747">
        <f t="shared" ref="DZ137:EH137" si="216">-SUM(DZ65,DZ83)*DZ101</f>
        <v>0</v>
      </c>
      <c r="EA137" s="747">
        <f t="shared" si="216"/>
        <v>0</v>
      </c>
      <c r="EB137" s="747">
        <f t="shared" si="216"/>
        <v>0</v>
      </c>
      <c r="EC137" s="747">
        <f t="shared" si="216"/>
        <v>0</v>
      </c>
      <c r="ED137" s="747">
        <f t="shared" si="216"/>
        <v>0</v>
      </c>
      <c r="EE137" s="747">
        <f t="shared" si="216"/>
        <v>0</v>
      </c>
      <c r="EF137" s="747">
        <f t="shared" si="216"/>
        <v>0</v>
      </c>
      <c r="EG137" s="747">
        <f t="shared" si="216"/>
        <v>0</v>
      </c>
      <c r="EH137" s="747">
        <f t="shared" si="216"/>
        <v>0</v>
      </c>
      <c r="EI137" s="747">
        <f t="shared" ref="EI137:ET137" si="217">-SUM(EI65,EI83)*EI101</f>
        <v>0</v>
      </c>
      <c r="EJ137" s="747">
        <f t="shared" si="217"/>
        <v>0</v>
      </c>
      <c r="EK137" s="747">
        <f t="shared" si="217"/>
        <v>0</v>
      </c>
      <c r="EL137" s="747">
        <f t="shared" si="217"/>
        <v>0</v>
      </c>
      <c r="EM137" s="747">
        <f t="shared" si="217"/>
        <v>0</v>
      </c>
      <c r="EN137" s="747">
        <f t="shared" si="217"/>
        <v>0</v>
      </c>
      <c r="EO137" s="747">
        <f t="shared" si="217"/>
        <v>0</v>
      </c>
      <c r="EP137" s="747">
        <f t="shared" si="217"/>
        <v>0</v>
      </c>
      <c r="EQ137" s="747">
        <f t="shared" si="217"/>
        <v>0</v>
      </c>
      <c r="ER137" s="747">
        <f t="shared" si="217"/>
        <v>0</v>
      </c>
      <c r="ES137" s="747">
        <f t="shared" si="217"/>
        <v>0</v>
      </c>
      <c r="ET137" s="747">
        <f t="shared" si="217"/>
        <v>0</v>
      </c>
      <c r="EU137" s="747">
        <f t="shared" si="173"/>
        <v>0</v>
      </c>
    </row>
    <row r="138" spans="3:151" ht="11.25" customHeight="1">
      <c r="C138" s="828"/>
      <c r="D138" s="743" t="str">
        <f t="shared" si="167"/>
        <v>1F</v>
      </c>
      <c r="E138" s="704" t="str">
        <f t="shared" si="167"/>
        <v>아이팜</v>
      </c>
      <c r="F138" s="704" t="str">
        <f t="shared" si="167"/>
        <v>근린생활시설</v>
      </c>
      <c r="G138" s="752"/>
      <c r="H138" s="744"/>
      <c r="I138" s="745"/>
      <c r="J138" s="745"/>
      <c r="K138" s="754"/>
      <c r="L138" s="748"/>
      <c r="M138" s="749"/>
      <c r="N138" s="747">
        <f t="shared" si="168"/>
        <v>0</v>
      </c>
      <c r="O138" s="733"/>
      <c r="P138" s="747">
        <f t="shared" ref="P138:CA138" si="218">-SUM(P66,P84)*P102</f>
        <v>0</v>
      </c>
      <c r="Q138" s="747">
        <f t="shared" si="218"/>
        <v>0</v>
      </c>
      <c r="R138" s="747">
        <f t="shared" si="218"/>
        <v>0</v>
      </c>
      <c r="S138" s="747">
        <f t="shared" si="218"/>
        <v>0</v>
      </c>
      <c r="T138" s="747">
        <f t="shared" si="218"/>
        <v>0</v>
      </c>
      <c r="U138" s="747">
        <f t="shared" si="218"/>
        <v>0</v>
      </c>
      <c r="V138" s="747">
        <f t="shared" si="218"/>
        <v>0</v>
      </c>
      <c r="W138" s="747">
        <f t="shared" si="218"/>
        <v>0</v>
      </c>
      <c r="X138" s="747">
        <f t="shared" si="218"/>
        <v>0</v>
      </c>
      <c r="Y138" s="747">
        <f t="shared" si="218"/>
        <v>0</v>
      </c>
      <c r="Z138" s="747">
        <f t="shared" si="218"/>
        <v>0</v>
      </c>
      <c r="AA138" s="747">
        <f t="shared" si="218"/>
        <v>0</v>
      </c>
      <c r="AB138" s="747">
        <f t="shared" si="218"/>
        <v>0</v>
      </c>
      <c r="AC138" s="747">
        <f t="shared" si="218"/>
        <v>0</v>
      </c>
      <c r="AD138" s="747">
        <f t="shared" si="218"/>
        <v>0</v>
      </c>
      <c r="AE138" s="747">
        <f t="shared" si="218"/>
        <v>0</v>
      </c>
      <c r="AF138" s="747">
        <f t="shared" si="218"/>
        <v>0</v>
      </c>
      <c r="AG138" s="747">
        <f t="shared" si="218"/>
        <v>0</v>
      </c>
      <c r="AH138" s="747">
        <f t="shared" si="218"/>
        <v>0</v>
      </c>
      <c r="AI138" s="747">
        <f t="shared" si="218"/>
        <v>0</v>
      </c>
      <c r="AJ138" s="747">
        <f t="shared" si="218"/>
        <v>0</v>
      </c>
      <c r="AK138" s="747">
        <f t="shared" si="218"/>
        <v>0</v>
      </c>
      <c r="AL138" s="747">
        <f t="shared" si="218"/>
        <v>0</v>
      </c>
      <c r="AM138" s="747">
        <f t="shared" si="218"/>
        <v>0</v>
      </c>
      <c r="AN138" s="747">
        <f t="shared" si="218"/>
        <v>0</v>
      </c>
      <c r="AO138" s="747">
        <f t="shared" si="218"/>
        <v>0</v>
      </c>
      <c r="AP138" s="747">
        <f t="shared" si="218"/>
        <v>0</v>
      </c>
      <c r="AQ138" s="747">
        <f t="shared" si="218"/>
        <v>0</v>
      </c>
      <c r="AR138" s="747">
        <f t="shared" si="218"/>
        <v>0</v>
      </c>
      <c r="AS138" s="747">
        <f t="shared" si="218"/>
        <v>0</v>
      </c>
      <c r="AT138" s="747">
        <f t="shared" si="218"/>
        <v>0</v>
      </c>
      <c r="AU138" s="747">
        <f t="shared" si="218"/>
        <v>0</v>
      </c>
      <c r="AV138" s="747">
        <f t="shared" si="218"/>
        <v>0</v>
      </c>
      <c r="AW138" s="747">
        <f t="shared" si="218"/>
        <v>0</v>
      </c>
      <c r="AX138" s="747">
        <f t="shared" si="218"/>
        <v>0</v>
      </c>
      <c r="AY138" s="747">
        <f t="shared" si="218"/>
        <v>0</v>
      </c>
      <c r="AZ138" s="747">
        <f t="shared" si="218"/>
        <v>0</v>
      </c>
      <c r="BA138" s="747">
        <f t="shared" si="218"/>
        <v>0</v>
      </c>
      <c r="BB138" s="747">
        <f t="shared" si="218"/>
        <v>0</v>
      </c>
      <c r="BC138" s="747">
        <f t="shared" si="218"/>
        <v>0</v>
      </c>
      <c r="BD138" s="747">
        <f t="shared" si="218"/>
        <v>0</v>
      </c>
      <c r="BE138" s="747">
        <f t="shared" si="218"/>
        <v>0</v>
      </c>
      <c r="BF138" s="747">
        <f t="shared" si="218"/>
        <v>0</v>
      </c>
      <c r="BG138" s="747">
        <f t="shared" si="218"/>
        <v>0</v>
      </c>
      <c r="BH138" s="747">
        <f t="shared" si="218"/>
        <v>0</v>
      </c>
      <c r="BI138" s="747">
        <f t="shared" si="218"/>
        <v>0</v>
      </c>
      <c r="BJ138" s="747">
        <f t="shared" si="218"/>
        <v>0</v>
      </c>
      <c r="BK138" s="747">
        <f t="shared" si="218"/>
        <v>0</v>
      </c>
      <c r="BL138" s="747">
        <f t="shared" si="218"/>
        <v>0</v>
      </c>
      <c r="BM138" s="747">
        <f t="shared" si="218"/>
        <v>0</v>
      </c>
      <c r="BN138" s="747">
        <f t="shared" si="218"/>
        <v>0</v>
      </c>
      <c r="BO138" s="747">
        <f t="shared" si="218"/>
        <v>0</v>
      </c>
      <c r="BP138" s="747">
        <f t="shared" si="218"/>
        <v>0</v>
      </c>
      <c r="BQ138" s="747">
        <f t="shared" si="218"/>
        <v>0</v>
      </c>
      <c r="BR138" s="747">
        <f t="shared" si="218"/>
        <v>0</v>
      </c>
      <c r="BS138" s="747">
        <f t="shared" si="218"/>
        <v>0</v>
      </c>
      <c r="BT138" s="747">
        <f t="shared" si="218"/>
        <v>0</v>
      </c>
      <c r="BU138" s="747">
        <f t="shared" si="218"/>
        <v>0</v>
      </c>
      <c r="BV138" s="747">
        <f t="shared" si="218"/>
        <v>0</v>
      </c>
      <c r="BW138" s="747">
        <f t="shared" si="218"/>
        <v>0</v>
      </c>
      <c r="BX138" s="747">
        <f t="shared" si="218"/>
        <v>0</v>
      </c>
      <c r="BY138" s="747">
        <f t="shared" si="218"/>
        <v>0</v>
      </c>
      <c r="BZ138" s="747">
        <f t="shared" si="218"/>
        <v>0</v>
      </c>
      <c r="CA138" s="747">
        <f t="shared" si="218"/>
        <v>0</v>
      </c>
      <c r="CB138" s="747">
        <f t="shared" ref="CB138:DY138" si="219">-SUM(CB66,CB84)*CB102</f>
        <v>0</v>
      </c>
      <c r="CC138" s="747">
        <f t="shared" si="219"/>
        <v>0</v>
      </c>
      <c r="CD138" s="747">
        <f t="shared" si="219"/>
        <v>0</v>
      </c>
      <c r="CE138" s="747">
        <f t="shared" si="219"/>
        <v>0</v>
      </c>
      <c r="CF138" s="747">
        <f t="shared" si="219"/>
        <v>0</v>
      </c>
      <c r="CG138" s="747">
        <f t="shared" si="219"/>
        <v>0</v>
      </c>
      <c r="CH138" s="747">
        <f t="shared" si="219"/>
        <v>0</v>
      </c>
      <c r="CI138" s="747">
        <f t="shared" si="219"/>
        <v>0</v>
      </c>
      <c r="CJ138" s="747">
        <f t="shared" si="219"/>
        <v>0</v>
      </c>
      <c r="CK138" s="747">
        <f t="shared" si="219"/>
        <v>0</v>
      </c>
      <c r="CL138" s="747">
        <f t="shared" si="219"/>
        <v>0</v>
      </c>
      <c r="CM138" s="747">
        <f t="shared" si="219"/>
        <v>0</v>
      </c>
      <c r="CN138" s="747">
        <f t="shared" si="219"/>
        <v>0</v>
      </c>
      <c r="CO138" s="747">
        <f t="shared" si="219"/>
        <v>0</v>
      </c>
      <c r="CP138" s="747">
        <f t="shared" si="219"/>
        <v>0</v>
      </c>
      <c r="CQ138" s="747">
        <f t="shared" si="219"/>
        <v>0</v>
      </c>
      <c r="CR138" s="747">
        <f t="shared" si="219"/>
        <v>0</v>
      </c>
      <c r="CS138" s="747">
        <f t="shared" si="219"/>
        <v>0</v>
      </c>
      <c r="CT138" s="747">
        <f t="shared" si="219"/>
        <v>0</v>
      </c>
      <c r="CU138" s="747">
        <f t="shared" si="219"/>
        <v>0</v>
      </c>
      <c r="CV138" s="747">
        <f t="shared" si="219"/>
        <v>0</v>
      </c>
      <c r="CW138" s="747">
        <f t="shared" si="219"/>
        <v>0</v>
      </c>
      <c r="CX138" s="747">
        <f t="shared" si="219"/>
        <v>0</v>
      </c>
      <c r="CY138" s="747">
        <f t="shared" si="219"/>
        <v>0</v>
      </c>
      <c r="CZ138" s="747">
        <f t="shared" si="219"/>
        <v>0</v>
      </c>
      <c r="DA138" s="747">
        <f t="shared" si="219"/>
        <v>0</v>
      </c>
      <c r="DB138" s="747">
        <f t="shared" si="219"/>
        <v>0</v>
      </c>
      <c r="DC138" s="747">
        <f t="shared" si="219"/>
        <v>0</v>
      </c>
      <c r="DD138" s="747">
        <f t="shared" si="219"/>
        <v>0</v>
      </c>
      <c r="DE138" s="747">
        <f t="shared" si="219"/>
        <v>0</v>
      </c>
      <c r="DF138" s="747">
        <f t="shared" si="219"/>
        <v>0</v>
      </c>
      <c r="DG138" s="747">
        <f t="shared" si="219"/>
        <v>0</v>
      </c>
      <c r="DH138" s="747">
        <f t="shared" si="219"/>
        <v>0</v>
      </c>
      <c r="DI138" s="747">
        <f t="shared" si="219"/>
        <v>0</v>
      </c>
      <c r="DJ138" s="747">
        <f t="shared" si="219"/>
        <v>0</v>
      </c>
      <c r="DK138" s="747">
        <f t="shared" si="219"/>
        <v>0</v>
      </c>
      <c r="DL138" s="747">
        <f t="shared" si="219"/>
        <v>0</v>
      </c>
      <c r="DM138" s="747">
        <f t="shared" si="219"/>
        <v>0</v>
      </c>
      <c r="DN138" s="747">
        <f t="shared" si="219"/>
        <v>0</v>
      </c>
      <c r="DO138" s="747">
        <f t="shared" si="219"/>
        <v>0</v>
      </c>
      <c r="DP138" s="747">
        <f t="shared" si="219"/>
        <v>0</v>
      </c>
      <c r="DQ138" s="747">
        <f t="shared" si="219"/>
        <v>0</v>
      </c>
      <c r="DR138" s="747">
        <f t="shared" si="219"/>
        <v>0</v>
      </c>
      <c r="DS138" s="747">
        <f t="shared" si="219"/>
        <v>0</v>
      </c>
      <c r="DT138" s="747">
        <f t="shared" si="219"/>
        <v>0</v>
      </c>
      <c r="DU138" s="747">
        <f t="shared" si="219"/>
        <v>0</v>
      </c>
      <c r="DV138" s="747">
        <f t="shared" si="219"/>
        <v>0</v>
      </c>
      <c r="DW138" s="747">
        <f t="shared" si="219"/>
        <v>0</v>
      </c>
      <c r="DX138" s="747">
        <f t="shared" si="219"/>
        <v>0</v>
      </c>
      <c r="DY138" s="747">
        <f t="shared" si="219"/>
        <v>0</v>
      </c>
      <c r="DZ138" s="747">
        <f t="shared" ref="DZ138:EH138" si="220">-SUM(DZ66,DZ84)*DZ102</f>
        <v>0</v>
      </c>
      <c r="EA138" s="747">
        <f t="shared" si="220"/>
        <v>0</v>
      </c>
      <c r="EB138" s="747">
        <f t="shared" si="220"/>
        <v>0</v>
      </c>
      <c r="EC138" s="747">
        <f t="shared" si="220"/>
        <v>0</v>
      </c>
      <c r="ED138" s="747">
        <f t="shared" si="220"/>
        <v>0</v>
      </c>
      <c r="EE138" s="747">
        <f t="shared" si="220"/>
        <v>0</v>
      </c>
      <c r="EF138" s="747">
        <f t="shared" si="220"/>
        <v>0</v>
      </c>
      <c r="EG138" s="747">
        <f t="shared" si="220"/>
        <v>0</v>
      </c>
      <c r="EH138" s="747">
        <f t="shared" si="220"/>
        <v>0</v>
      </c>
      <c r="EI138" s="747">
        <f t="shared" ref="EI138:ET138" si="221">-SUM(EI66,EI84)*EI102</f>
        <v>0</v>
      </c>
      <c r="EJ138" s="747">
        <f t="shared" si="221"/>
        <v>0</v>
      </c>
      <c r="EK138" s="747">
        <f t="shared" si="221"/>
        <v>0</v>
      </c>
      <c r="EL138" s="747">
        <f t="shared" si="221"/>
        <v>0</v>
      </c>
      <c r="EM138" s="747">
        <f t="shared" si="221"/>
        <v>0</v>
      </c>
      <c r="EN138" s="747">
        <f t="shared" si="221"/>
        <v>0</v>
      </c>
      <c r="EO138" s="747">
        <f t="shared" si="221"/>
        <v>0</v>
      </c>
      <c r="EP138" s="747">
        <f t="shared" si="221"/>
        <v>0</v>
      </c>
      <c r="EQ138" s="747">
        <f t="shared" si="221"/>
        <v>0</v>
      </c>
      <c r="ER138" s="747">
        <f t="shared" si="221"/>
        <v>0</v>
      </c>
      <c r="ES138" s="747">
        <f t="shared" si="221"/>
        <v>0</v>
      </c>
      <c r="ET138" s="747">
        <f t="shared" si="221"/>
        <v>0</v>
      </c>
      <c r="EU138" s="747">
        <f t="shared" si="173"/>
        <v>0</v>
      </c>
    </row>
    <row r="139" spans="3:151" ht="11.25" customHeight="1">
      <c r="C139" s="828"/>
      <c r="D139" s="743">
        <f t="shared" si="167"/>
        <v>1</v>
      </c>
      <c r="E139" s="704" t="str">
        <f t="shared" si="167"/>
        <v>공실</v>
      </c>
      <c r="F139" s="704" t="str">
        <f t="shared" si="167"/>
        <v>근린생활시설</v>
      </c>
      <c r="G139" s="752"/>
      <c r="H139" s="744"/>
      <c r="I139" s="745"/>
      <c r="J139" s="745"/>
      <c r="K139" s="754"/>
      <c r="L139" s="748"/>
      <c r="M139" s="749"/>
      <c r="N139" s="747">
        <f t="shared" si="168"/>
        <v>0</v>
      </c>
      <c r="O139" s="733"/>
      <c r="P139" s="747">
        <f t="shared" ref="P139:CA139" si="222">-SUM(P67,P85)*P103</f>
        <v>0</v>
      </c>
      <c r="Q139" s="747">
        <f t="shared" si="222"/>
        <v>0</v>
      </c>
      <c r="R139" s="747">
        <f t="shared" si="222"/>
        <v>0</v>
      </c>
      <c r="S139" s="747">
        <f t="shared" si="222"/>
        <v>0</v>
      </c>
      <c r="T139" s="747">
        <f t="shared" si="222"/>
        <v>0</v>
      </c>
      <c r="U139" s="747">
        <f t="shared" si="222"/>
        <v>0</v>
      </c>
      <c r="V139" s="747">
        <f t="shared" si="222"/>
        <v>0</v>
      </c>
      <c r="W139" s="747">
        <f t="shared" si="222"/>
        <v>0</v>
      </c>
      <c r="X139" s="747">
        <f t="shared" si="222"/>
        <v>0</v>
      </c>
      <c r="Y139" s="747">
        <f t="shared" si="222"/>
        <v>0</v>
      </c>
      <c r="Z139" s="747">
        <f t="shared" si="222"/>
        <v>0</v>
      </c>
      <c r="AA139" s="747">
        <f t="shared" si="222"/>
        <v>0</v>
      </c>
      <c r="AB139" s="747">
        <f t="shared" si="222"/>
        <v>0</v>
      </c>
      <c r="AC139" s="747">
        <f t="shared" si="222"/>
        <v>0</v>
      </c>
      <c r="AD139" s="747">
        <f t="shared" si="222"/>
        <v>0</v>
      </c>
      <c r="AE139" s="747">
        <f t="shared" si="222"/>
        <v>0</v>
      </c>
      <c r="AF139" s="747">
        <f t="shared" si="222"/>
        <v>0</v>
      </c>
      <c r="AG139" s="747">
        <f t="shared" si="222"/>
        <v>0</v>
      </c>
      <c r="AH139" s="747">
        <f t="shared" si="222"/>
        <v>0</v>
      </c>
      <c r="AI139" s="747">
        <f t="shared" si="222"/>
        <v>0</v>
      </c>
      <c r="AJ139" s="747">
        <f t="shared" si="222"/>
        <v>0</v>
      </c>
      <c r="AK139" s="747">
        <f t="shared" si="222"/>
        <v>0</v>
      </c>
      <c r="AL139" s="747">
        <f t="shared" si="222"/>
        <v>0</v>
      </c>
      <c r="AM139" s="747">
        <f t="shared" si="222"/>
        <v>0</v>
      </c>
      <c r="AN139" s="747">
        <f t="shared" si="222"/>
        <v>0</v>
      </c>
      <c r="AO139" s="747">
        <f t="shared" si="222"/>
        <v>0</v>
      </c>
      <c r="AP139" s="747">
        <f t="shared" si="222"/>
        <v>0</v>
      </c>
      <c r="AQ139" s="747">
        <f t="shared" si="222"/>
        <v>0</v>
      </c>
      <c r="AR139" s="747">
        <f t="shared" si="222"/>
        <v>0</v>
      </c>
      <c r="AS139" s="747">
        <f t="shared" si="222"/>
        <v>0</v>
      </c>
      <c r="AT139" s="747">
        <f t="shared" si="222"/>
        <v>0</v>
      </c>
      <c r="AU139" s="747">
        <f t="shared" si="222"/>
        <v>0</v>
      </c>
      <c r="AV139" s="747">
        <f t="shared" si="222"/>
        <v>0</v>
      </c>
      <c r="AW139" s="747">
        <f t="shared" si="222"/>
        <v>0</v>
      </c>
      <c r="AX139" s="747">
        <f t="shared" si="222"/>
        <v>0</v>
      </c>
      <c r="AY139" s="747">
        <f t="shared" si="222"/>
        <v>0</v>
      </c>
      <c r="AZ139" s="747">
        <f t="shared" si="222"/>
        <v>0</v>
      </c>
      <c r="BA139" s="747">
        <f t="shared" si="222"/>
        <v>0</v>
      </c>
      <c r="BB139" s="747">
        <f t="shared" si="222"/>
        <v>0</v>
      </c>
      <c r="BC139" s="747">
        <f t="shared" si="222"/>
        <v>0</v>
      </c>
      <c r="BD139" s="747">
        <f t="shared" si="222"/>
        <v>0</v>
      </c>
      <c r="BE139" s="747">
        <f t="shared" si="222"/>
        <v>0</v>
      </c>
      <c r="BF139" s="747">
        <f t="shared" si="222"/>
        <v>0</v>
      </c>
      <c r="BG139" s="747">
        <f t="shared" si="222"/>
        <v>0</v>
      </c>
      <c r="BH139" s="747">
        <f t="shared" si="222"/>
        <v>0</v>
      </c>
      <c r="BI139" s="747">
        <f t="shared" si="222"/>
        <v>0</v>
      </c>
      <c r="BJ139" s="747">
        <f t="shared" si="222"/>
        <v>0</v>
      </c>
      <c r="BK139" s="747">
        <f t="shared" si="222"/>
        <v>0</v>
      </c>
      <c r="BL139" s="747">
        <f t="shared" si="222"/>
        <v>0</v>
      </c>
      <c r="BM139" s="747">
        <f t="shared" si="222"/>
        <v>0</v>
      </c>
      <c r="BN139" s="747">
        <f t="shared" si="222"/>
        <v>0</v>
      </c>
      <c r="BO139" s="747">
        <f t="shared" si="222"/>
        <v>0</v>
      </c>
      <c r="BP139" s="747">
        <f t="shared" si="222"/>
        <v>0</v>
      </c>
      <c r="BQ139" s="747">
        <f t="shared" si="222"/>
        <v>0</v>
      </c>
      <c r="BR139" s="747">
        <f t="shared" si="222"/>
        <v>0</v>
      </c>
      <c r="BS139" s="747">
        <f t="shared" si="222"/>
        <v>0</v>
      </c>
      <c r="BT139" s="747">
        <f t="shared" si="222"/>
        <v>0</v>
      </c>
      <c r="BU139" s="747">
        <f t="shared" si="222"/>
        <v>0</v>
      </c>
      <c r="BV139" s="747">
        <f t="shared" si="222"/>
        <v>0</v>
      </c>
      <c r="BW139" s="747">
        <f t="shared" si="222"/>
        <v>0</v>
      </c>
      <c r="BX139" s="747">
        <f t="shared" si="222"/>
        <v>0</v>
      </c>
      <c r="BY139" s="747">
        <f t="shared" si="222"/>
        <v>0</v>
      </c>
      <c r="BZ139" s="747">
        <f t="shared" si="222"/>
        <v>0</v>
      </c>
      <c r="CA139" s="747">
        <f t="shared" si="222"/>
        <v>0</v>
      </c>
      <c r="CB139" s="747">
        <f t="shared" ref="CB139:DY139" si="223">-SUM(CB67,CB85)*CB103</f>
        <v>0</v>
      </c>
      <c r="CC139" s="747">
        <f t="shared" si="223"/>
        <v>0</v>
      </c>
      <c r="CD139" s="747">
        <f t="shared" si="223"/>
        <v>0</v>
      </c>
      <c r="CE139" s="747">
        <f t="shared" si="223"/>
        <v>0</v>
      </c>
      <c r="CF139" s="747">
        <f t="shared" si="223"/>
        <v>0</v>
      </c>
      <c r="CG139" s="747">
        <f t="shared" si="223"/>
        <v>0</v>
      </c>
      <c r="CH139" s="747">
        <f t="shared" si="223"/>
        <v>0</v>
      </c>
      <c r="CI139" s="747">
        <f t="shared" si="223"/>
        <v>0</v>
      </c>
      <c r="CJ139" s="747">
        <f t="shared" si="223"/>
        <v>0</v>
      </c>
      <c r="CK139" s="747">
        <f t="shared" si="223"/>
        <v>0</v>
      </c>
      <c r="CL139" s="747">
        <f t="shared" si="223"/>
        <v>0</v>
      </c>
      <c r="CM139" s="747">
        <f t="shared" si="223"/>
        <v>0</v>
      </c>
      <c r="CN139" s="747">
        <f t="shared" si="223"/>
        <v>0</v>
      </c>
      <c r="CO139" s="747">
        <f t="shared" si="223"/>
        <v>0</v>
      </c>
      <c r="CP139" s="747">
        <f t="shared" si="223"/>
        <v>0</v>
      </c>
      <c r="CQ139" s="747">
        <f t="shared" si="223"/>
        <v>0</v>
      </c>
      <c r="CR139" s="747">
        <f t="shared" si="223"/>
        <v>0</v>
      </c>
      <c r="CS139" s="747">
        <f t="shared" si="223"/>
        <v>0</v>
      </c>
      <c r="CT139" s="747">
        <f t="shared" si="223"/>
        <v>0</v>
      </c>
      <c r="CU139" s="747">
        <f t="shared" si="223"/>
        <v>0</v>
      </c>
      <c r="CV139" s="747">
        <f t="shared" si="223"/>
        <v>0</v>
      </c>
      <c r="CW139" s="747">
        <f t="shared" si="223"/>
        <v>0</v>
      </c>
      <c r="CX139" s="747">
        <f t="shared" si="223"/>
        <v>0</v>
      </c>
      <c r="CY139" s="747">
        <f t="shared" si="223"/>
        <v>0</v>
      </c>
      <c r="CZ139" s="747">
        <f t="shared" si="223"/>
        <v>0</v>
      </c>
      <c r="DA139" s="747">
        <f t="shared" si="223"/>
        <v>0</v>
      </c>
      <c r="DB139" s="747">
        <f t="shared" si="223"/>
        <v>0</v>
      </c>
      <c r="DC139" s="747">
        <f t="shared" si="223"/>
        <v>0</v>
      </c>
      <c r="DD139" s="747">
        <f t="shared" si="223"/>
        <v>0</v>
      </c>
      <c r="DE139" s="747">
        <f t="shared" si="223"/>
        <v>0</v>
      </c>
      <c r="DF139" s="747">
        <f t="shared" si="223"/>
        <v>0</v>
      </c>
      <c r="DG139" s="747">
        <f t="shared" si="223"/>
        <v>0</v>
      </c>
      <c r="DH139" s="747">
        <f t="shared" si="223"/>
        <v>0</v>
      </c>
      <c r="DI139" s="747">
        <f t="shared" si="223"/>
        <v>0</v>
      </c>
      <c r="DJ139" s="747">
        <f t="shared" si="223"/>
        <v>0</v>
      </c>
      <c r="DK139" s="747">
        <f t="shared" si="223"/>
        <v>0</v>
      </c>
      <c r="DL139" s="747">
        <f t="shared" si="223"/>
        <v>0</v>
      </c>
      <c r="DM139" s="747">
        <f t="shared" si="223"/>
        <v>0</v>
      </c>
      <c r="DN139" s="747">
        <f t="shared" si="223"/>
        <v>0</v>
      </c>
      <c r="DO139" s="747">
        <f t="shared" si="223"/>
        <v>0</v>
      </c>
      <c r="DP139" s="747">
        <f t="shared" si="223"/>
        <v>0</v>
      </c>
      <c r="DQ139" s="747">
        <f t="shared" si="223"/>
        <v>0</v>
      </c>
      <c r="DR139" s="747">
        <f t="shared" si="223"/>
        <v>0</v>
      </c>
      <c r="DS139" s="747">
        <f t="shared" si="223"/>
        <v>0</v>
      </c>
      <c r="DT139" s="747">
        <f t="shared" si="223"/>
        <v>0</v>
      </c>
      <c r="DU139" s="747">
        <f t="shared" si="223"/>
        <v>0</v>
      </c>
      <c r="DV139" s="747">
        <f t="shared" si="223"/>
        <v>0</v>
      </c>
      <c r="DW139" s="747">
        <f t="shared" si="223"/>
        <v>0</v>
      </c>
      <c r="DX139" s="747">
        <f t="shared" si="223"/>
        <v>0</v>
      </c>
      <c r="DY139" s="747">
        <f t="shared" si="223"/>
        <v>0</v>
      </c>
      <c r="DZ139" s="747">
        <f t="shared" ref="DZ139:EH139" si="224">-SUM(DZ67,DZ85)*DZ103</f>
        <v>0</v>
      </c>
      <c r="EA139" s="747">
        <f t="shared" si="224"/>
        <v>0</v>
      </c>
      <c r="EB139" s="747">
        <f t="shared" si="224"/>
        <v>0</v>
      </c>
      <c r="EC139" s="747">
        <f t="shared" si="224"/>
        <v>0</v>
      </c>
      <c r="ED139" s="747">
        <f t="shared" si="224"/>
        <v>0</v>
      </c>
      <c r="EE139" s="747">
        <f t="shared" si="224"/>
        <v>0</v>
      </c>
      <c r="EF139" s="747">
        <f t="shared" si="224"/>
        <v>0</v>
      </c>
      <c r="EG139" s="747">
        <f t="shared" si="224"/>
        <v>0</v>
      </c>
      <c r="EH139" s="747">
        <f t="shared" si="224"/>
        <v>0</v>
      </c>
      <c r="EI139" s="747">
        <f t="shared" ref="EI139:ET139" si="225">-SUM(EI67,EI85)*EI103</f>
        <v>0</v>
      </c>
      <c r="EJ139" s="747">
        <f t="shared" si="225"/>
        <v>0</v>
      </c>
      <c r="EK139" s="747">
        <f t="shared" si="225"/>
        <v>0</v>
      </c>
      <c r="EL139" s="747">
        <f t="shared" si="225"/>
        <v>0</v>
      </c>
      <c r="EM139" s="747">
        <f t="shared" si="225"/>
        <v>0</v>
      </c>
      <c r="EN139" s="747">
        <f t="shared" si="225"/>
        <v>0</v>
      </c>
      <c r="EO139" s="747">
        <f t="shared" si="225"/>
        <v>0</v>
      </c>
      <c r="EP139" s="747">
        <f t="shared" si="225"/>
        <v>0</v>
      </c>
      <c r="EQ139" s="747">
        <f t="shared" si="225"/>
        <v>0</v>
      </c>
      <c r="ER139" s="747">
        <f t="shared" si="225"/>
        <v>0</v>
      </c>
      <c r="ES139" s="747">
        <f t="shared" si="225"/>
        <v>0</v>
      </c>
      <c r="ET139" s="747">
        <f t="shared" si="225"/>
        <v>0</v>
      </c>
      <c r="EU139" s="747">
        <f t="shared" si="173"/>
        <v>0</v>
      </c>
    </row>
    <row r="140" spans="3:151" ht="11.25" customHeight="1">
      <c r="C140" s="828"/>
      <c r="D140" s="743" t="str">
        <f t="shared" si="167"/>
        <v>B1</v>
      </c>
      <c r="E140" s="704" t="str">
        <f t="shared" si="167"/>
        <v>쿠팡</v>
      </c>
      <c r="F140" s="704" t="str">
        <f t="shared" si="167"/>
        <v>상온창고</v>
      </c>
      <c r="G140" s="752"/>
      <c r="H140" s="744"/>
      <c r="I140" s="745"/>
      <c r="J140" s="745"/>
      <c r="K140" s="754"/>
      <c r="L140" s="748"/>
      <c r="M140" s="749"/>
      <c r="N140" s="747">
        <f t="shared" si="168"/>
        <v>0</v>
      </c>
      <c r="O140" s="733"/>
      <c r="P140" s="747">
        <f t="shared" ref="P140:CA140" si="226">-SUM(P68,P86)*P104</f>
        <v>0</v>
      </c>
      <c r="Q140" s="747">
        <f t="shared" si="226"/>
        <v>0</v>
      </c>
      <c r="R140" s="747">
        <f t="shared" si="226"/>
        <v>0</v>
      </c>
      <c r="S140" s="747">
        <f t="shared" si="226"/>
        <v>0</v>
      </c>
      <c r="T140" s="747">
        <f t="shared" si="226"/>
        <v>0</v>
      </c>
      <c r="U140" s="747">
        <f t="shared" si="226"/>
        <v>0</v>
      </c>
      <c r="V140" s="747">
        <f t="shared" si="226"/>
        <v>0</v>
      </c>
      <c r="W140" s="747">
        <f t="shared" si="226"/>
        <v>0</v>
      </c>
      <c r="X140" s="747">
        <f t="shared" si="226"/>
        <v>0</v>
      </c>
      <c r="Y140" s="747">
        <f t="shared" si="226"/>
        <v>0</v>
      </c>
      <c r="Z140" s="747">
        <f t="shared" si="226"/>
        <v>0</v>
      </c>
      <c r="AA140" s="747">
        <f t="shared" si="226"/>
        <v>0</v>
      </c>
      <c r="AB140" s="747">
        <f t="shared" si="226"/>
        <v>0</v>
      </c>
      <c r="AC140" s="747">
        <f t="shared" si="226"/>
        <v>0</v>
      </c>
      <c r="AD140" s="747">
        <f t="shared" si="226"/>
        <v>0</v>
      </c>
      <c r="AE140" s="747">
        <f t="shared" si="226"/>
        <v>0</v>
      </c>
      <c r="AF140" s="747">
        <f t="shared" si="226"/>
        <v>0</v>
      </c>
      <c r="AG140" s="747">
        <f t="shared" si="226"/>
        <v>0</v>
      </c>
      <c r="AH140" s="747">
        <f t="shared" si="226"/>
        <v>0</v>
      </c>
      <c r="AI140" s="747">
        <f t="shared" si="226"/>
        <v>0</v>
      </c>
      <c r="AJ140" s="747">
        <f t="shared" si="226"/>
        <v>0</v>
      </c>
      <c r="AK140" s="747">
        <f t="shared" si="226"/>
        <v>0</v>
      </c>
      <c r="AL140" s="747">
        <f t="shared" si="226"/>
        <v>0</v>
      </c>
      <c r="AM140" s="747">
        <f t="shared" si="226"/>
        <v>0</v>
      </c>
      <c r="AN140" s="747">
        <f t="shared" si="226"/>
        <v>0</v>
      </c>
      <c r="AO140" s="747">
        <f t="shared" si="226"/>
        <v>0</v>
      </c>
      <c r="AP140" s="747">
        <f t="shared" si="226"/>
        <v>0</v>
      </c>
      <c r="AQ140" s="747">
        <f t="shared" si="226"/>
        <v>0</v>
      </c>
      <c r="AR140" s="747">
        <f t="shared" si="226"/>
        <v>0</v>
      </c>
      <c r="AS140" s="747">
        <f t="shared" si="226"/>
        <v>0</v>
      </c>
      <c r="AT140" s="747">
        <f t="shared" si="226"/>
        <v>0</v>
      </c>
      <c r="AU140" s="747">
        <f t="shared" si="226"/>
        <v>0</v>
      </c>
      <c r="AV140" s="747">
        <f t="shared" si="226"/>
        <v>0</v>
      </c>
      <c r="AW140" s="747">
        <f t="shared" si="226"/>
        <v>0</v>
      </c>
      <c r="AX140" s="747">
        <f t="shared" si="226"/>
        <v>0</v>
      </c>
      <c r="AY140" s="747">
        <f t="shared" si="226"/>
        <v>0</v>
      </c>
      <c r="AZ140" s="747">
        <f t="shared" si="226"/>
        <v>0</v>
      </c>
      <c r="BA140" s="747">
        <f t="shared" si="226"/>
        <v>0</v>
      </c>
      <c r="BB140" s="747">
        <f t="shared" si="226"/>
        <v>0</v>
      </c>
      <c r="BC140" s="747">
        <f t="shared" si="226"/>
        <v>0</v>
      </c>
      <c r="BD140" s="747">
        <f t="shared" si="226"/>
        <v>0</v>
      </c>
      <c r="BE140" s="747">
        <f t="shared" si="226"/>
        <v>0</v>
      </c>
      <c r="BF140" s="747">
        <f t="shared" si="226"/>
        <v>0</v>
      </c>
      <c r="BG140" s="747">
        <f t="shared" si="226"/>
        <v>0</v>
      </c>
      <c r="BH140" s="747">
        <f t="shared" si="226"/>
        <v>0</v>
      </c>
      <c r="BI140" s="747">
        <f t="shared" si="226"/>
        <v>0</v>
      </c>
      <c r="BJ140" s="747">
        <f t="shared" si="226"/>
        <v>0</v>
      </c>
      <c r="BK140" s="747">
        <f t="shared" si="226"/>
        <v>0</v>
      </c>
      <c r="BL140" s="747">
        <f t="shared" si="226"/>
        <v>0</v>
      </c>
      <c r="BM140" s="747">
        <f t="shared" si="226"/>
        <v>0</v>
      </c>
      <c r="BN140" s="747">
        <f t="shared" si="226"/>
        <v>0</v>
      </c>
      <c r="BO140" s="747">
        <f t="shared" si="226"/>
        <v>0</v>
      </c>
      <c r="BP140" s="747">
        <f t="shared" si="226"/>
        <v>0</v>
      </c>
      <c r="BQ140" s="747">
        <f t="shared" si="226"/>
        <v>0</v>
      </c>
      <c r="BR140" s="747">
        <f t="shared" si="226"/>
        <v>0</v>
      </c>
      <c r="BS140" s="747">
        <f t="shared" si="226"/>
        <v>0</v>
      </c>
      <c r="BT140" s="747">
        <f t="shared" si="226"/>
        <v>0</v>
      </c>
      <c r="BU140" s="747">
        <f t="shared" si="226"/>
        <v>0</v>
      </c>
      <c r="BV140" s="747">
        <f t="shared" si="226"/>
        <v>0</v>
      </c>
      <c r="BW140" s="747">
        <f t="shared" si="226"/>
        <v>0</v>
      </c>
      <c r="BX140" s="747">
        <f t="shared" si="226"/>
        <v>0</v>
      </c>
      <c r="BY140" s="747">
        <f t="shared" si="226"/>
        <v>0</v>
      </c>
      <c r="BZ140" s="747">
        <f t="shared" si="226"/>
        <v>0</v>
      </c>
      <c r="CA140" s="747">
        <f t="shared" si="226"/>
        <v>0</v>
      </c>
      <c r="CB140" s="747">
        <f t="shared" ref="CB140:DY140" si="227">-SUM(CB68,CB86)*CB104</f>
        <v>0</v>
      </c>
      <c r="CC140" s="747">
        <f t="shared" si="227"/>
        <v>0</v>
      </c>
      <c r="CD140" s="747">
        <f t="shared" si="227"/>
        <v>0</v>
      </c>
      <c r="CE140" s="747">
        <f t="shared" si="227"/>
        <v>0</v>
      </c>
      <c r="CF140" s="747">
        <f t="shared" si="227"/>
        <v>0</v>
      </c>
      <c r="CG140" s="747">
        <f t="shared" si="227"/>
        <v>0</v>
      </c>
      <c r="CH140" s="747">
        <f t="shared" si="227"/>
        <v>0</v>
      </c>
      <c r="CI140" s="747">
        <f t="shared" si="227"/>
        <v>0</v>
      </c>
      <c r="CJ140" s="747">
        <f t="shared" si="227"/>
        <v>0</v>
      </c>
      <c r="CK140" s="747">
        <f t="shared" si="227"/>
        <v>0</v>
      </c>
      <c r="CL140" s="747">
        <f t="shared" si="227"/>
        <v>0</v>
      </c>
      <c r="CM140" s="747">
        <f t="shared" si="227"/>
        <v>0</v>
      </c>
      <c r="CN140" s="747">
        <f t="shared" si="227"/>
        <v>0</v>
      </c>
      <c r="CO140" s="747">
        <f t="shared" si="227"/>
        <v>0</v>
      </c>
      <c r="CP140" s="747">
        <f t="shared" si="227"/>
        <v>0</v>
      </c>
      <c r="CQ140" s="747">
        <f t="shared" si="227"/>
        <v>0</v>
      </c>
      <c r="CR140" s="747">
        <f t="shared" si="227"/>
        <v>0</v>
      </c>
      <c r="CS140" s="747">
        <f t="shared" si="227"/>
        <v>0</v>
      </c>
      <c r="CT140" s="747">
        <f t="shared" si="227"/>
        <v>0</v>
      </c>
      <c r="CU140" s="747">
        <f t="shared" si="227"/>
        <v>0</v>
      </c>
      <c r="CV140" s="747">
        <f t="shared" si="227"/>
        <v>0</v>
      </c>
      <c r="CW140" s="747">
        <f t="shared" si="227"/>
        <v>0</v>
      </c>
      <c r="CX140" s="747">
        <f t="shared" si="227"/>
        <v>0</v>
      </c>
      <c r="CY140" s="747">
        <f t="shared" si="227"/>
        <v>0</v>
      </c>
      <c r="CZ140" s="747">
        <f t="shared" si="227"/>
        <v>0</v>
      </c>
      <c r="DA140" s="747">
        <f t="shared" si="227"/>
        <v>0</v>
      </c>
      <c r="DB140" s="747">
        <f t="shared" si="227"/>
        <v>0</v>
      </c>
      <c r="DC140" s="747">
        <f t="shared" si="227"/>
        <v>0</v>
      </c>
      <c r="DD140" s="747">
        <f t="shared" si="227"/>
        <v>0</v>
      </c>
      <c r="DE140" s="747">
        <f t="shared" si="227"/>
        <v>0</v>
      </c>
      <c r="DF140" s="747">
        <f t="shared" si="227"/>
        <v>0</v>
      </c>
      <c r="DG140" s="747">
        <f t="shared" si="227"/>
        <v>0</v>
      </c>
      <c r="DH140" s="747">
        <f t="shared" si="227"/>
        <v>0</v>
      </c>
      <c r="DI140" s="747">
        <f t="shared" si="227"/>
        <v>0</v>
      </c>
      <c r="DJ140" s="747">
        <f t="shared" si="227"/>
        <v>0</v>
      </c>
      <c r="DK140" s="747">
        <f t="shared" si="227"/>
        <v>0</v>
      </c>
      <c r="DL140" s="747">
        <f t="shared" si="227"/>
        <v>0</v>
      </c>
      <c r="DM140" s="747">
        <f t="shared" si="227"/>
        <v>0</v>
      </c>
      <c r="DN140" s="747">
        <f t="shared" si="227"/>
        <v>0</v>
      </c>
      <c r="DO140" s="747">
        <f t="shared" si="227"/>
        <v>0</v>
      </c>
      <c r="DP140" s="747">
        <f t="shared" si="227"/>
        <v>0</v>
      </c>
      <c r="DQ140" s="747">
        <f t="shared" si="227"/>
        <v>0</v>
      </c>
      <c r="DR140" s="747">
        <f t="shared" si="227"/>
        <v>0</v>
      </c>
      <c r="DS140" s="747">
        <f t="shared" si="227"/>
        <v>0</v>
      </c>
      <c r="DT140" s="747">
        <f t="shared" si="227"/>
        <v>0</v>
      </c>
      <c r="DU140" s="747">
        <f t="shared" si="227"/>
        <v>0</v>
      </c>
      <c r="DV140" s="747">
        <f t="shared" si="227"/>
        <v>0</v>
      </c>
      <c r="DW140" s="747">
        <f t="shared" si="227"/>
        <v>0</v>
      </c>
      <c r="DX140" s="747">
        <f t="shared" si="227"/>
        <v>0</v>
      </c>
      <c r="DY140" s="747">
        <f t="shared" si="227"/>
        <v>0</v>
      </c>
      <c r="DZ140" s="747">
        <f t="shared" ref="DZ140:EH140" si="228">-SUM(DZ68,DZ86)*DZ104</f>
        <v>0</v>
      </c>
      <c r="EA140" s="747">
        <f t="shared" si="228"/>
        <v>0</v>
      </c>
      <c r="EB140" s="747">
        <f t="shared" si="228"/>
        <v>0</v>
      </c>
      <c r="EC140" s="747">
        <f t="shared" si="228"/>
        <v>0</v>
      </c>
      <c r="ED140" s="747">
        <f t="shared" si="228"/>
        <v>0</v>
      </c>
      <c r="EE140" s="747">
        <f t="shared" si="228"/>
        <v>0</v>
      </c>
      <c r="EF140" s="747">
        <f t="shared" si="228"/>
        <v>0</v>
      </c>
      <c r="EG140" s="747">
        <f t="shared" si="228"/>
        <v>0</v>
      </c>
      <c r="EH140" s="747">
        <f t="shared" si="228"/>
        <v>0</v>
      </c>
      <c r="EI140" s="747">
        <f t="shared" ref="EI140:ET140" si="229">-SUM(EI68,EI86)*EI104</f>
        <v>0</v>
      </c>
      <c r="EJ140" s="747">
        <f t="shared" si="229"/>
        <v>0</v>
      </c>
      <c r="EK140" s="747">
        <f t="shared" si="229"/>
        <v>0</v>
      </c>
      <c r="EL140" s="747">
        <f t="shared" si="229"/>
        <v>0</v>
      </c>
      <c r="EM140" s="747">
        <f t="shared" si="229"/>
        <v>0</v>
      </c>
      <c r="EN140" s="747">
        <f t="shared" si="229"/>
        <v>0</v>
      </c>
      <c r="EO140" s="747">
        <f t="shared" si="229"/>
        <v>0</v>
      </c>
      <c r="EP140" s="747">
        <f t="shared" si="229"/>
        <v>0</v>
      </c>
      <c r="EQ140" s="747">
        <f t="shared" si="229"/>
        <v>0</v>
      </c>
      <c r="ER140" s="747">
        <f t="shared" si="229"/>
        <v>0</v>
      </c>
      <c r="ES140" s="747">
        <f t="shared" si="229"/>
        <v>0</v>
      </c>
      <c r="ET140" s="747">
        <f t="shared" si="229"/>
        <v>0</v>
      </c>
      <c r="EU140" s="747">
        <f t="shared" si="173"/>
        <v>0</v>
      </c>
    </row>
    <row r="141" spans="3:151" ht="11.25" customHeight="1">
      <c r="C141" s="828"/>
      <c r="D141" s="743" t="str">
        <f t="shared" si="167"/>
        <v>B2</v>
      </c>
      <c r="E141" s="704" t="str">
        <f t="shared" si="167"/>
        <v>쿠팡</v>
      </c>
      <c r="F141" s="704" t="str">
        <f t="shared" si="167"/>
        <v>상온창고</v>
      </c>
      <c r="G141" s="752"/>
      <c r="H141" s="744"/>
      <c r="I141" s="745"/>
      <c r="J141" s="745"/>
      <c r="K141" s="754"/>
      <c r="L141" s="711"/>
      <c r="M141" s="722"/>
      <c r="N141" s="747">
        <f t="shared" si="168"/>
        <v>0</v>
      </c>
      <c r="O141" s="733"/>
      <c r="P141" s="747">
        <f t="shared" ref="P141:CA141" si="230">-SUM(P69,P87)*P105</f>
        <v>0</v>
      </c>
      <c r="Q141" s="747">
        <f t="shared" si="230"/>
        <v>0</v>
      </c>
      <c r="R141" s="747">
        <f t="shared" si="230"/>
        <v>0</v>
      </c>
      <c r="S141" s="747">
        <f t="shared" si="230"/>
        <v>0</v>
      </c>
      <c r="T141" s="747">
        <f t="shared" si="230"/>
        <v>0</v>
      </c>
      <c r="U141" s="747">
        <f t="shared" si="230"/>
        <v>0</v>
      </c>
      <c r="V141" s="747">
        <f t="shared" si="230"/>
        <v>0</v>
      </c>
      <c r="W141" s="747">
        <f t="shared" si="230"/>
        <v>0</v>
      </c>
      <c r="X141" s="747">
        <f t="shared" si="230"/>
        <v>0</v>
      </c>
      <c r="Y141" s="747">
        <f t="shared" si="230"/>
        <v>0</v>
      </c>
      <c r="Z141" s="747">
        <f t="shared" si="230"/>
        <v>0</v>
      </c>
      <c r="AA141" s="747">
        <f t="shared" si="230"/>
        <v>0</v>
      </c>
      <c r="AB141" s="747">
        <f t="shared" si="230"/>
        <v>0</v>
      </c>
      <c r="AC141" s="747">
        <f t="shared" si="230"/>
        <v>0</v>
      </c>
      <c r="AD141" s="747">
        <f t="shared" si="230"/>
        <v>0</v>
      </c>
      <c r="AE141" s="747">
        <f t="shared" si="230"/>
        <v>0</v>
      </c>
      <c r="AF141" s="747">
        <f t="shared" si="230"/>
        <v>0</v>
      </c>
      <c r="AG141" s="747">
        <f t="shared" si="230"/>
        <v>0</v>
      </c>
      <c r="AH141" s="747">
        <f t="shared" si="230"/>
        <v>0</v>
      </c>
      <c r="AI141" s="747">
        <f t="shared" si="230"/>
        <v>0</v>
      </c>
      <c r="AJ141" s="747">
        <f t="shared" si="230"/>
        <v>0</v>
      </c>
      <c r="AK141" s="747">
        <f t="shared" si="230"/>
        <v>0</v>
      </c>
      <c r="AL141" s="747">
        <f t="shared" si="230"/>
        <v>0</v>
      </c>
      <c r="AM141" s="747">
        <f t="shared" si="230"/>
        <v>0</v>
      </c>
      <c r="AN141" s="747">
        <f t="shared" si="230"/>
        <v>0</v>
      </c>
      <c r="AO141" s="747">
        <f t="shared" si="230"/>
        <v>0</v>
      </c>
      <c r="AP141" s="747">
        <f t="shared" si="230"/>
        <v>0</v>
      </c>
      <c r="AQ141" s="747">
        <f t="shared" si="230"/>
        <v>0</v>
      </c>
      <c r="AR141" s="747">
        <f t="shared" si="230"/>
        <v>0</v>
      </c>
      <c r="AS141" s="747">
        <f t="shared" si="230"/>
        <v>0</v>
      </c>
      <c r="AT141" s="747">
        <f t="shared" si="230"/>
        <v>0</v>
      </c>
      <c r="AU141" s="747">
        <f t="shared" si="230"/>
        <v>0</v>
      </c>
      <c r="AV141" s="747">
        <f t="shared" si="230"/>
        <v>0</v>
      </c>
      <c r="AW141" s="747">
        <f t="shared" si="230"/>
        <v>0</v>
      </c>
      <c r="AX141" s="747">
        <f t="shared" si="230"/>
        <v>0</v>
      </c>
      <c r="AY141" s="747">
        <f t="shared" si="230"/>
        <v>0</v>
      </c>
      <c r="AZ141" s="747">
        <f t="shared" si="230"/>
        <v>0</v>
      </c>
      <c r="BA141" s="747">
        <f t="shared" si="230"/>
        <v>0</v>
      </c>
      <c r="BB141" s="747">
        <f t="shared" si="230"/>
        <v>0</v>
      </c>
      <c r="BC141" s="747">
        <f t="shared" si="230"/>
        <v>0</v>
      </c>
      <c r="BD141" s="747">
        <f t="shared" si="230"/>
        <v>0</v>
      </c>
      <c r="BE141" s="747">
        <f t="shared" si="230"/>
        <v>0</v>
      </c>
      <c r="BF141" s="747">
        <f t="shared" si="230"/>
        <v>0</v>
      </c>
      <c r="BG141" s="747">
        <f t="shared" si="230"/>
        <v>0</v>
      </c>
      <c r="BH141" s="747">
        <f t="shared" si="230"/>
        <v>0</v>
      </c>
      <c r="BI141" s="747">
        <f t="shared" si="230"/>
        <v>0</v>
      </c>
      <c r="BJ141" s="747">
        <f t="shared" si="230"/>
        <v>0</v>
      </c>
      <c r="BK141" s="747">
        <f t="shared" si="230"/>
        <v>0</v>
      </c>
      <c r="BL141" s="747">
        <f t="shared" si="230"/>
        <v>0</v>
      </c>
      <c r="BM141" s="747">
        <f t="shared" si="230"/>
        <v>0</v>
      </c>
      <c r="BN141" s="747">
        <f t="shared" si="230"/>
        <v>0</v>
      </c>
      <c r="BO141" s="747">
        <f t="shared" si="230"/>
        <v>0</v>
      </c>
      <c r="BP141" s="747">
        <f t="shared" si="230"/>
        <v>0</v>
      </c>
      <c r="BQ141" s="747">
        <f t="shared" si="230"/>
        <v>0</v>
      </c>
      <c r="BR141" s="747">
        <f t="shared" si="230"/>
        <v>0</v>
      </c>
      <c r="BS141" s="747">
        <f t="shared" si="230"/>
        <v>0</v>
      </c>
      <c r="BT141" s="747">
        <f t="shared" si="230"/>
        <v>0</v>
      </c>
      <c r="BU141" s="747">
        <f t="shared" si="230"/>
        <v>0</v>
      </c>
      <c r="BV141" s="747">
        <f t="shared" si="230"/>
        <v>0</v>
      </c>
      <c r="BW141" s="747">
        <f t="shared" si="230"/>
        <v>0</v>
      </c>
      <c r="BX141" s="747">
        <f t="shared" si="230"/>
        <v>0</v>
      </c>
      <c r="BY141" s="747">
        <f t="shared" si="230"/>
        <v>0</v>
      </c>
      <c r="BZ141" s="747">
        <f t="shared" si="230"/>
        <v>0</v>
      </c>
      <c r="CA141" s="747">
        <f t="shared" si="230"/>
        <v>0</v>
      </c>
      <c r="CB141" s="747">
        <f t="shared" ref="CB141:DY141" si="231">-SUM(CB69,CB87)*CB105</f>
        <v>0</v>
      </c>
      <c r="CC141" s="747">
        <f t="shared" si="231"/>
        <v>0</v>
      </c>
      <c r="CD141" s="747">
        <f t="shared" si="231"/>
        <v>0</v>
      </c>
      <c r="CE141" s="747">
        <f t="shared" si="231"/>
        <v>0</v>
      </c>
      <c r="CF141" s="747">
        <f t="shared" si="231"/>
        <v>0</v>
      </c>
      <c r="CG141" s="747">
        <f t="shared" si="231"/>
        <v>0</v>
      </c>
      <c r="CH141" s="747">
        <f t="shared" si="231"/>
        <v>0</v>
      </c>
      <c r="CI141" s="747">
        <f t="shared" si="231"/>
        <v>0</v>
      </c>
      <c r="CJ141" s="747">
        <f t="shared" si="231"/>
        <v>0</v>
      </c>
      <c r="CK141" s="747">
        <f t="shared" si="231"/>
        <v>0</v>
      </c>
      <c r="CL141" s="747">
        <f t="shared" si="231"/>
        <v>0</v>
      </c>
      <c r="CM141" s="747">
        <f t="shared" si="231"/>
        <v>0</v>
      </c>
      <c r="CN141" s="747">
        <f t="shared" si="231"/>
        <v>0</v>
      </c>
      <c r="CO141" s="747">
        <f t="shared" si="231"/>
        <v>0</v>
      </c>
      <c r="CP141" s="747">
        <f t="shared" si="231"/>
        <v>0</v>
      </c>
      <c r="CQ141" s="747">
        <f t="shared" si="231"/>
        <v>0</v>
      </c>
      <c r="CR141" s="747">
        <f t="shared" si="231"/>
        <v>0</v>
      </c>
      <c r="CS141" s="747">
        <f t="shared" si="231"/>
        <v>0</v>
      </c>
      <c r="CT141" s="747">
        <f t="shared" si="231"/>
        <v>0</v>
      </c>
      <c r="CU141" s="747">
        <f t="shared" si="231"/>
        <v>0</v>
      </c>
      <c r="CV141" s="747">
        <f t="shared" si="231"/>
        <v>0</v>
      </c>
      <c r="CW141" s="747">
        <f t="shared" si="231"/>
        <v>0</v>
      </c>
      <c r="CX141" s="747">
        <f t="shared" si="231"/>
        <v>0</v>
      </c>
      <c r="CY141" s="747">
        <f t="shared" si="231"/>
        <v>0</v>
      </c>
      <c r="CZ141" s="747">
        <f t="shared" si="231"/>
        <v>0</v>
      </c>
      <c r="DA141" s="747">
        <f t="shared" si="231"/>
        <v>0</v>
      </c>
      <c r="DB141" s="747">
        <f t="shared" si="231"/>
        <v>0</v>
      </c>
      <c r="DC141" s="747">
        <f t="shared" si="231"/>
        <v>0</v>
      </c>
      <c r="DD141" s="747">
        <f t="shared" si="231"/>
        <v>0</v>
      </c>
      <c r="DE141" s="747">
        <f t="shared" si="231"/>
        <v>0</v>
      </c>
      <c r="DF141" s="747">
        <f t="shared" si="231"/>
        <v>0</v>
      </c>
      <c r="DG141" s="747">
        <f t="shared" si="231"/>
        <v>0</v>
      </c>
      <c r="DH141" s="747">
        <f t="shared" si="231"/>
        <v>0</v>
      </c>
      <c r="DI141" s="747">
        <f t="shared" si="231"/>
        <v>0</v>
      </c>
      <c r="DJ141" s="747">
        <f t="shared" si="231"/>
        <v>0</v>
      </c>
      <c r="DK141" s="747">
        <f t="shared" si="231"/>
        <v>0</v>
      </c>
      <c r="DL141" s="747">
        <f t="shared" si="231"/>
        <v>0</v>
      </c>
      <c r="DM141" s="747">
        <f t="shared" si="231"/>
        <v>0</v>
      </c>
      <c r="DN141" s="747">
        <f t="shared" si="231"/>
        <v>0</v>
      </c>
      <c r="DO141" s="747">
        <f t="shared" si="231"/>
        <v>0</v>
      </c>
      <c r="DP141" s="747">
        <f t="shared" si="231"/>
        <v>0</v>
      </c>
      <c r="DQ141" s="747">
        <f t="shared" si="231"/>
        <v>0</v>
      </c>
      <c r="DR141" s="747">
        <f t="shared" si="231"/>
        <v>0</v>
      </c>
      <c r="DS141" s="747">
        <f t="shared" si="231"/>
        <v>0</v>
      </c>
      <c r="DT141" s="747">
        <f t="shared" si="231"/>
        <v>0</v>
      </c>
      <c r="DU141" s="747">
        <f t="shared" si="231"/>
        <v>0</v>
      </c>
      <c r="DV141" s="747">
        <f t="shared" si="231"/>
        <v>0</v>
      </c>
      <c r="DW141" s="747">
        <f t="shared" si="231"/>
        <v>0</v>
      </c>
      <c r="DX141" s="747">
        <f t="shared" si="231"/>
        <v>0</v>
      </c>
      <c r="DY141" s="747">
        <f t="shared" si="231"/>
        <v>0</v>
      </c>
      <c r="DZ141" s="747">
        <f t="shared" ref="DZ141:EH141" si="232">-SUM(DZ69,DZ87)*DZ105</f>
        <v>0</v>
      </c>
      <c r="EA141" s="747">
        <f t="shared" si="232"/>
        <v>0</v>
      </c>
      <c r="EB141" s="747">
        <f t="shared" si="232"/>
        <v>0</v>
      </c>
      <c r="EC141" s="747">
        <f t="shared" si="232"/>
        <v>0</v>
      </c>
      <c r="ED141" s="747">
        <f t="shared" si="232"/>
        <v>0</v>
      </c>
      <c r="EE141" s="747">
        <f t="shared" si="232"/>
        <v>0</v>
      </c>
      <c r="EF141" s="747">
        <f t="shared" si="232"/>
        <v>0</v>
      </c>
      <c r="EG141" s="747">
        <f t="shared" si="232"/>
        <v>0</v>
      </c>
      <c r="EH141" s="747">
        <f t="shared" si="232"/>
        <v>0</v>
      </c>
      <c r="EI141" s="747">
        <f t="shared" ref="EI141:ET141" si="233">-SUM(EI69,EI87)*EI105</f>
        <v>0</v>
      </c>
      <c r="EJ141" s="747">
        <f t="shared" si="233"/>
        <v>0</v>
      </c>
      <c r="EK141" s="747">
        <f t="shared" si="233"/>
        <v>0</v>
      </c>
      <c r="EL141" s="747">
        <f t="shared" si="233"/>
        <v>0</v>
      </c>
      <c r="EM141" s="747">
        <f t="shared" si="233"/>
        <v>0</v>
      </c>
      <c r="EN141" s="747">
        <f t="shared" si="233"/>
        <v>0</v>
      </c>
      <c r="EO141" s="747">
        <f t="shared" si="233"/>
        <v>0</v>
      </c>
      <c r="EP141" s="747">
        <f t="shared" si="233"/>
        <v>0</v>
      </c>
      <c r="EQ141" s="747">
        <f t="shared" si="233"/>
        <v>0</v>
      </c>
      <c r="ER141" s="747">
        <f t="shared" si="233"/>
        <v>0</v>
      </c>
      <c r="ES141" s="747">
        <f t="shared" si="233"/>
        <v>0</v>
      </c>
      <c r="ET141" s="747">
        <f t="shared" si="233"/>
        <v>0</v>
      </c>
      <c r="EU141" s="747">
        <f t="shared" si="173"/>
        <v>0</v>
      </c>
    </row>
    <row r="142" spans="3:151" ht="11.25" customHeight="1">
      <c r="C142" s="728" t="s">
        <v>489</v>
      </c>
      <c r="D142" s="729"/>
      <c r="E142" s="729"/>
      <c r="F142" s="729"/>
      <c r="G142" s="729"/>
      <c r="H142" s="729"/>
      <c r="I142" s="729"/>
      <c r="J142" s="729"/>
      <c r="K142" s="729"/>
      <c r="L142" s="730"/>
      <c r="M142" s="731"/>
      <c r="N142" s="732">
        <f>SUM(N143:N159)</f>
        <v>5702519.2445829036</v>
      </c>
      <c r="O142" s="733"/>
      <c r="P142" s="734">
        <f>SUM(P143:P159)</f>
        <v>0</v>
      </c>
      <c r="Q142" s="734">
        <f t="shared" ref="Q142:CB142" si="234">SUM(Q143:Q159)</f>
        <v>63897.836206250002</v>
      </c>
      <c r="R142" s="734">
        <f t="shared" si="234"/>
        <v>64168.260800000004</v>
      </c>
      <c r="S142" s="734">
        <f t="shared" si="234"/>
        <v>64373.128062500007</v>
      </c>
      <c r="T142" s="734">
        <f t="shared" si="234"/>
        <v>64923.928692968751</v>
      </c>
      <c r="U142" s="734">
        <f t="shared" si="234"/>
        <v>64923.928692968751</v>
      </c>
      <c r="V142" s="734">
        <f t="shared" si="234"/>
        <v>65134.975167968747</v>
      </c>
      <c r="W142" s="734">
        <f t="shared" si="234"/>
        <v>65322.138361406251</v>
      </c>
      <c r="X142" s="734">
        <f t="shared" si="234"/>
        <v>65322.138361406251</v>
      </c>
      <c r="Y142" s="734">
        <f t="shared" si="234"/>
        <v>65322.138361406251</v>
      </c>
      <c r="Z142" s="734">
        <f t="shared" si="234"/>
        <v>65322.138361406251</v>
      </c>
      <c r="AA142" s="734">
        <f t="shared" si="234"/>
        <v>65322.138361406251</v>
      </c>
      <c r="AB142" s="734">
        <f t="shared" si="234"/>
        <v>65322.138361406251</v>
      </c>
      <c r="AC142" s="734">
        <f t="shared" si="234"/>
        <v>65331.365111406252</v>
      </c>
      <c r="AD142" s="734">
        <f t="shared" si="234"/>
        <v>65608.550319999995</v>
      </c>
      <c r="AE142" s="734">
        <f t="shared" si="234"/>
        <v>65818.539264062492</v>
      </c>
      <c r="AF142" s="734">
        <f t="shared" si="234"/>
        <v>66383.109910292958</v>
      </c>
      <c r="AG142" s="734">
        <f t="shared" si="234"/>
        <v>66383.109910292958</v>
      </c>
      <c r="AH142" s="734">
        <f t="shared" si="234"/>
        <v>66599.432547167962</v>
      </c>
      <c r="AI142" s="734">
        <f t="shared" si="234"/>
        <v>66791.274820441409</v>
      </c>
      <c r="AJ142" s="734">
        <f t="shared" si="234"/>
        <v>66791.274820441409</v>
      </c>
      <c r="AK142" s="734">
        <f t="shared" si="234"/>
        <v>66791.274820441409</v>
      </c>
      <c r="AL142" s="734">
        <f t="shared" si="234"/>
        <v>66791.274820441409</v>
      </c>
      <c r="AM142" s="734">
        <f t="shared" si="234"/>
        <v>66791.274820441409</v>
      </c>
      <c r="AN142" s="734">
        <f t="shared" si="234"/>
        <v>66791.274820441409</v>
      </c>
      <c r="AO142" s="734">
        <f t="shared" si="234"/>
        <v>66800.732239191406</v>
      </c>
      <c r="AP142" s="734">
        <f t="shared" si="234"/>
        <v>67084.847078000006</v>
      </c>
      <c r="AQ142" s="734">
        <f t="shared" si="234"/>
        <v>67300.085745664052</v>
      </c>
      <c r="AR142" s="734">
        <f t="shared" si="234"/>
        <v>67878.770658050285</v>
      </c>
      <c r="AS142" s="734">
        <f t="shared" si="234"/>
        <v>67878.770658050285</v>
      </c>
      <c r="AT142" s="734">
        <f t="shared" si="234"/>
        <v>68100.501360847149</v>
      </c>
      <c r="AU142" s="734">
        <f t="shared" si="234"/>
        <v>68297.139690952434</v>
      </c>
      <c r="AV142" s="734">
        <f t="shared" si="234"/>
        <v>68297.139690952434</v>
      </c>
      <c r="AW142" s="734">
        <f t="shared" si="234"/>
        <v>61740.459690952433</v>
      </c>
      <c r="AX142" s="734">
        <f t="shared" si="234"/>
        <v>61740.459690952433</v>
      </c>
      <c r="AY142" s="734">
        <f t="shared" si="234"/>
        <v>61740.459690952433</v>
      </c>
      <c r="AZ142" s="734">
        <f t="shared" si="234"/>
        <v>61740.459690952433</v>
      </c>
      <c r="BA142" s="734">
        <f t="shared" si="234"/>
        <v>61750.153545171182</v>
      </c>
      <c r="BB142" s="734">
        <f t="shared" si="234"/>
        <v>62041.371254949991</v>
      </c>
      <c r="BC142" s="734">
        <f t="shared" si="234"/>
        <v>60634.86748201913</v>
      </c>
      <c r="BD142" s="734">
        <f t="shared" si="234"/>
        <v>58322.393515279953</v>
      </c>
      <c r="BE142" s="734">
        <f t="shared" si="234"/>
        <v>58322.393515279953</v>
      </c>
      <c r="BF142" s="734">
        <f t="shared" si="234"/>
        <v>58549.667485646751</v>
      </c>
      <c r="BG142" s="734">
        <f t="shared" si="234"/>
        <v>58692.535630002014</v>
      </c>
      <c r="BH142" s="734">
        <f t="shared" si="234"/>
        <v>58692.535630002014</v>
      </c>
      <c r="BI142" s="734">
        <f t="shared" si="234"/>
        <v>58692.535630002014</v>
      </c>
      <c r="BJ142" s="734">
        <f t="shared" si="234"/>
        <v>58692.535630002014</v>
      </c>
      <c r="BK142" s="734">
        <f t="shared" si="234"/>
        <v>58692.535630002014</v>
      </c>
      <c r="BL142" s="734">
        <f t="shared" si="234"/>
        <v>58692.535630002014</v>
      </c>
      <c r="BM142" s="734">
        <f t="shared" si="234"/>
        <v>58702.471830576244</v>
      </c>
      <c r="BN142" s="734">
        <f t="shared" si="234"/>
        <v>58928.329333051144</v>
      </c>
      <c r="BO142" s="734">
        <f t="shared" si="234"/>
        <v>59113.786373083531</v>
      </c>
      <c r="BP142" s="734">
        <f t="shared" si="234"/>
        <v>59721.767209159312</v>
      </c>
      <c r="BQ142" s="734">
        <f t="shared" si="234"/>
        <v>59721.767209159312</v>
      </c>
      <c r="BR142" s="734">
        <f t="shared" si="234"/>
        <v>59954.72302878528</v>
      </c>
      <c r="BS142" s="734">
        <f t="shared" si="234"/>
        <v>60159.849020752074</v>
      </c>
      <c r="BT142" s="734">
        <f t="shared" si="234"/>
        <v>60159.849020752074</v>
      </c>
      <c r="BU142" s="734">
        <f t="shared" si="234"/>
        <v>60159.849020752074</v>
      </c>
      <c r="BV142" s="734">
        <f t="shared" si="234"/>
        <v>60159.849020752074</v>
      </c>
      <c r="BW142" s="734">
        <f t="shared" si="234"/>
        <v>60159.849020752074</v>
      </c>
      <c r="BX142" s="734">
        <f t="shared" si="234"/>
        <v>60159.849020752074</v>
      </c>
      <c r="BY142" s="734">
        <f t="shared" si="234"/>
        <v>60170.033626340643</v>
      </c>
      <c r="BZ142" s="734">
        <f t="shared" si="234"/>
        <v>60401.537566377418</v>
      </c>
      <c r="CA142" s="734">
        <f t="shared" si="234"/>
        <v>60591.631032410616</v>
      </c>
      <c r="CB142" s="734">
        <f t="shared" si="234"/>
        <v>61214.811389388298</v>
      </c>
      <c r="CC142" s="734">
        <f t="shared" ref="CC142:EN142" si="235">SUM(CC143:CC159)</f>
        <v>61214.811389388298</v>
      </c>
      <c r="CD142" s="734">
        <f t="shared" si="235"/>
        <v>61453.591104504914</v>
      </c>
      <c r="CE142" s="734">
        <f t="shared" si="235"/>
        <v>61663.845246270866</v>
      </c>
      <c r="CF142" s="734">
        <f t="shared" si="235"/>
        <v>61663.845246270866</v>
      </c>
      <c r="CG142" s="734">
        <f t="shared" si="235"/>
        <v>61663.845246270866</v>
      </c>
      <c r="CH142" s="734">
        <f t="shared" si="235"/>
        <v>61663.845246270866</v>
      </c>
      <c r="CI142" s="734">
        <f t="shared" si="235"/>
        <v>61663.845246270866</v>
      </c>
      <c r="CJ142" s="734">
        <f t="shared" si="235"/>
        <v>61663.845246270866</v>
      </c>
      <c r="CK142" s="734">
        <f t="shared" si="235"/>
        <v>61674.284466999146</v>
      </c>
      <c r="CL142" s="734">
        <f t="shared" si="235"/>
        <v>61911.576005536837</v>
      </c>
      <c r="CM142" s="734">
        <f t="shared" si="235"/>
        <v>62106.421808220875</v>
      </c>
      <c r="CN142" s="734">
        <f t="shared" si="235"/>
        <v>62745.181674122992</v>
      </c>
      <c r="CO142" s="734">
        <f t="shared" si="235"/>
        <v>62745.181674122992</v>
      </c>
      <c r="CP142" s="734">
        <f t="shared" si="235"/>
        <v>62989.930882117529</v>
      </c>
      <c r="CQ142" s="734">
        <f t="shared" si="235"/>
        <v>63205.441377427633</v>
      </c>
      <c r="CR142" s="734">
        <f t="shared" si="235"/>
        <v>63205.441377427633</v>
      </c>
      <c r="CS142" s="734">
        <f t="shared" si="235"/>
        <v>63205.441377427633</v>
      </c>
      <c r="CT142" s="734">
        <f t="shared" si="235"/>
        <v>63205.441377427633</v>
      </c>
      <c r="CU142" s="734">
        <f t="shared" si="235"/>
        <v>63205.441377427633</v>
      </c>
      <c r="CV142" s="734">
        <f t="shared" si="235"/>
        <v>63205.441377427633</v>
      </c>
      <c r="CW142" s="734">
        <f t="shared" si="235"/>
        <v>63216.141578674127</v>
      </c>
      <c r="CX142" s="734">
        <f t="shared" si="235"/>
        <v>63459.365405675264</v>
      </c>
      <c r="CY142" s="734">
        <f t="shared" si="235"/>
        <v>63659.082353426398</v>
      </c>
      <c r="CZ142" s="734">
        <f t="shared" si="235"/>
        <v>64313.811215976064</v>
      </c>
      <c r="DA142" s="734">
        <f t="shared" si="235"/>
        <v>64313.811215976064</v>
      </c>
      <c r="DB142" s="734">
        <f t="shared" si="235"/>
        <v>64564.679154170459</v>
      </c>
      <c r="DC142" s="734">
        <f t="shared" si="235"/>
        <v>4094.7968831238045</v>
      </c>
      <c r="DD142" s="734">
        <f t="shared" si="235"/>
        <v>4094.7968831238045</v>
      </c>
      <c r="DE142" s="734">
        <f t="shared" si="235"/>
        <v>4094.7968831238045</v>
      </c>
      <c r="DF142" s="734">
        <f t="shared" si="235"/>
        <v>4094.7968831238045</v>
      </c>
      <c r="DG142" s="734">
        <f t="shared" si="235"/>
        <v>4094.7968831238045</v>
      </c>
      <c r="DH142" s="734">
        <f t="shared" si="235"/>
        <v>4094.7968831238045</v>
      </c>
      <c r="DI142" s="734">
        <f t="shared" si="235"/>
        <v>4094.7968831238045</v>
      </c>
      <c r="DJ142" s="734">
        <f t="shared" si="235"/>
        <v>4094.7968831238045</v>
      </c>
      <c r="DK142" s="734">
        <f t="shared" si="235"/>
        <v>4094.7968831238045</v>
      </c>
      <c r="DL142" s="734">
        <f t="shared" si="235"/>
        <v>0</v>
      </c>
      <c r="DM142" s="734">
        <f t="shared" si="235"/>
        <v>0</v>
      </c>
      <c r="DN142" s="734">
        <f t="shared" si="235"/>
        <v>0</v>
      </c>
      <c r="DO142" s="734">
        <f t="shared" si="235"/>
        <v>0</v>
      </c>
      <c r="DP142" s="734">
        <f t="shared" si="235"/>
        <v>0</v>
      </c>
      <c r="DQ142" s="734">
        <f t="shared" si="235"/>
        <v>0</v>
      </c>
      <c r="DR142" s="734">
        <f t="shared" si="235"/>
        <v>0</v>
      </c>
      <c r="DS142" s="734">
        <f t="shared" si="235"/>
        <v>0</v>
      </c>
      <c r="DT142" s="734">
        <f t="shared" si="235"/>
        <v>0</v>
      </c>
      <c r="DU142" s="734">
        <f t="shared" si="235"/>
        <v>0</v>
      </c>
      <c r="DV142" s="734">
        <f t="shared" si="235"/>
        <v>0</v>
      </c>
      <c r="DW142" s="734">
        <f t="shared" si="235"/>
        <v>0</v>
      </c>
      <c r="DX142" s="734">
        <f t="shared" si="235"/>
        <v>0</v>
      </c>
      <c r="DY142" s="734">
        <f t="shared" si="235"/>
        <v>0</v>
      </c>
      <c r="DZ142" s="734">
        <f t="shared" si="235"/>
        <v>0</v>
      </c>
      <c r="EA142" s="734">
        <f t="shared" si="235"/>
        <v>0</v>
      </c>
      <c r="EB142" s="734">
        <f t="shared" si="235"/>
        <v>0</v>
      </c>
      <c r="EC142" s="734">
        <f t="shared" si="235"/>
        <v>0</v>
      </c>
      <c r="ED142" s="734">
        <f t="shared" si="235"/>
        <v>0</v>
      </c>
      <c r="EE142" s="734">
        <f t="shared" si="235"/>
        <v>0</v>
      </c>
      <c r="EF142" s="734">
        <f t="shared" si="235"/>
        <v>0</v>
      </c>
      <c r="EG142" s="734">
        <f t="shared" si="235"/>
        <v>0</v>
      </c>
      <c r="EH142" s="734">
        <f t="shared" si="235"/>
        <v>0</v>
      </c>
      <c r="EI142" s="734">
        <f t="shared" si="235"/>
        <v>0</v>
      </c>
      <c r="EJ142" s="734">
        <f t="shared" si="235"/>
        <v>0</v>
      </c>
      <c r="EK142" s="734">
        <f t="shared" si="235"/>
        <v>0</v>
      </c>
      <c r="EL142" s="734">
        <f t="shared" si="235"/>
        <v>0</v>
      </c>
      <c r="EM142" s="734">
        <f t="shared" si="235"/>
        <v>0</v>
      </c>
      <c r="EN142" s="734">
        <f t="shared" si="235"/>
        <v>0</v>
      </c>
      <c r="EO142" s="734">
        <f t="shared" ref="EO142:EU142" si="236">SUM(EO143:EO159)</f>
        <v>0</v>
      </c>
      <c r="EP142" s="734">
        <f t="shared" si="236"/>
        <v>0</v>
      </c>
      <c r="EQ142" s="734">
        <f t="shared" si="236"/>
        <v>0</v>
      </c>
      <c r="ER142" s="734">
        <f t="shared" si="236"/>
        <v>0</v>
      </c>
      <c r="ES142" s="734">
        <f t="shared" si="236"/>
        <v>0</v>
      </c>
      <c r="ET142" s="734">
        <f t="shared" si="236"/>
        <v>0</v>
      </c>
      <c r="EU142" s="734">
        <f t="shared" si="236"/>
        <v>0</v>
      </c>
    </row>
    <row r="143" spans="3:151" ht="11.25" customHeight="1">
      <c r="C143" s="735"/>
      <c r="D143" s="736" t="str">
        <f>'A&amp;R'!V6</f>
        <v>옥상</v>
      </c>
      <c r="E143" s="737" t="s">
        <v>850</v>
      </c>
      <c r="F143" s="737" t="str">
        <f>'A&amp;R'!X6</f>
        <v>태양광시설</v>
      </c>
      <c r="G143" s="780">
        <f>'A&amp;R'!AD6/1000</f>
        <v>0</v>
      </c>
      <c r="H143" s="738">
        <f>'A&amp;R'!Y6</f>
        <v>0</v>
      </c>
      <c r="I143" s="739">
        <f>'A&amp;R'!Z6</f>
        <v>46326</v>
      </c>
      <c r="J143" s="739">
        <f>'A&amp;R'!AA6</f>
        <v>49979</v>
      </c>
      <c r="K143" s="753">
        <f>'A&amp;R'!AF6</f>
        <v>2.5000000000000001E-2</v>
      </c>
      <c r="L143" s="740"/>
      <c r="M143" s="741"/>
      <c r="N143" s="742">
        <f>SUM(P143:EU143)</f>
        <v>0</v>
      </c>
      <c r="O143" s="733"/>
      <c r="P143" s="742">
        <f>$G143*$H143*(1+$K143)^MAX(ROUNDUP(IFERROR(DATEDIF($I143-1,P$15+1,"m"),)/12,)-1,)*Index!L$22*(P$15&lt;=$J143)*(1-P$12)</f>
        <v>0</v>
      </c>
      <c r="Q143" s="742">
        <f>$G143*$H143*(1+$K143)^MAX(ROUNDUP(IFERROR(DATEDIF($I143-1,Q$15+1,"m"),)/12,)-1,)*Index!M$22*(Q$15&lt;=$J143)*(1-Q$12)</f>
        <v>0</v>
      </c>
      <c r="R143" s="742">
        <f>$G143*$H143*(1+$K143)^MAX(ROUNDUP(IFERROR(DATEDIF($I143-1,R$15+1,"m"),)/12,)-1,)*Index!N$22*(R$15&lt;=$J143)*(1-R$12)</f>
        <v>0</v>
      </c>
      <c r="S143" s="742">
        <f>$G143*$H143*(1+$K143)^MAX(ROUNDUP(IFERROR(DATEDIF($I143-1,S$15+1,"m"),)/12,)-1,)*Index!O$22*(S$15&lt;=$J143)*(1-S$12)</f>
        <v>0</v>
      </c>
      <c r="T143" s="742">
        <f>$G143*$H143*(1+$K143)^MAX(ROUNDUP(IFERROR(DATEDIF($I143-1,T$15+1,"m"),)/12,)-1,)*Index!P$22*(T$15&lt;=$J143)*(1-T$12)</f>
        <v>0</v>
      </c>
      <c r="U143" s="742">
        <f>$G143*$H143*(1+$K143)^MAX(ROUNDUP(IFERROR(DATEDIF($I143-1,U$15+1,"m"),)/12,)-1,)*Index!Q$22*(U$15&lt;=$J143)*(1-U$12)</f>
        <v>0</v>
      </c>
      <c r="V143" s="742">
        <f>$G143*$H143*(1+$K143)^MAX(ROUNDUP(IFERROR(DATEDIF($I143-1,V$15+1,"m"),)/12,)-1,)*Index!R$22*(V$15&lt;=$J143)*(1-V$12)</f>
        <v>0</v>
      </c>
      <c r="W143" s="742">
        <f>$G143*$H143*(1+$K143)^MAX(ROUNDUP(IFERROR(DATEDIF($I143-1,W$15+1,"m"),)/12,)-1,)*Index!S$22*(W$15&lt;=$J143)*(1-W$12)</f>
        <v>0</v>
      </c>
      <c r="X143" s="742">
        <f>$G143*$H143*(1+$K143)^MAX(ROUNDUP(IFERROR(DATEDIF($I143-1,X$15+1,"m"),)/12,)-1,)*Index!T$22*(X$15&lt;=$J143)*(1-X$12)</f>
        <v>0</v>
      </c>
      <c r="Y143" s="742">
        <f>$G143*$H143*(1+$K143)^MAX(ROUNDUP(IFERROR(DATEDIF($I143-1,Y$15+1,"m"),)/12,)-1,)*Index!U$22*(Y$15&lt;=$J143)*(1-Y$12)</f>
        <v>0</v>
      </c>
      <c r="Z143" s="742">
        <f>$G143*$H143*(1+$K143)^MAX(ROUNDUP(IFERROR(DATEDIF($I143-1,Z$15+1,"m"),)/12,)-1,)*Index!V$22*(Z$15&lt;=$J143)*(1-Z$12)</f>
        <v>0</v>
      </c>
      <c r="AA143" s="742">
        <f>$G143*$H143*(1+$K143)^MAX(ROUNDUP(IFERROR(DATEDIF($I143-1,AA$15+1,"m"),)/12,)-1,)*Index!W$22*(AA$15&lt;=$J143)*(1-AA$12)</f>
        <v>0</v>
      </c>
      <c r="AB143" s="742">
        <f>$G143*$H143*(1+$K143)^MAX(ROUNDUP(IFERROR(DATEDIF($I143-1,AB$15+1,"m"),)/12,)-1,)*Index!X$22*(AB$15&lt;=$J143)*(1-AB$12)</f>
        <v>0</v>
      </c>
      <c r="AC143" s="742">
        <f>$G143*$H143*(1+$K143)^MAX(ROUNDUP(IFERROR(DATEDIF($I143-1,AC$15+1,"m"),)/12,)-1,)*Index!Y$22*(AC$15&lt;=$J143)*(1-AC$12)</f>
        <v>0</v>
      </c>
      <c r="AD143" s="742">
        <f>$G143*$H143*(1+$K143)^MAX(ROUNDUP(IFERROR(DATEDIF($I143-1,AD$15+1,"m"),)/12,)-1,)*Index!Z$22*(AD$15&lt;=$J143)*(1-AD$12)</f>
        <v>0</v>
      </c>
      <c r="AE143" s="742">
        <f>$G143*$H143*(1+$K143)^MAX(ROUNDUP(IFERROR(DATEDIF($I143-1,AE$15+1,"m"),)/12,)-1,)*Index!AA$22*(AE$15&lt;=$J143)*(1-AE$12)</f>
        <v>0</v>
      </c>
      <c r="AF143" s="742">
        <f>$G143*$H143*(1+$K143)^MAX(ROUNDUP(IFERROR(DATEDIF($I143-1,AF$15+1,"m"),)/12,)-1,)*Index!AB$22*(AF$15&lt;=$J143)*(1-AF$12)</f>
        <v>0</v>
      </c>
      <c r="AG143" s="742">
        <f>$G143*$H143*(1+$K143)^MAX(ROUNDUP(IFERROR(DATEDIF($I143-1,AG$15+1,"m"),)/12,)-1,)*Index!AC$22*(AG$15&lt;=$J143)*(1-AG$12)</f>
        <v>0</v>
      </c>
      <c r="AH143" s="742">
        <f>$G143*$H143*(1+$K143)^MAX(ROUNDUP(IFERROR(DATEDIF($I143-1,AH$15+1,"m"),)/12,)-1,)*Index!AD$22*(AH$15&lt;=$J143)*(1-AH$12)</f>
        <v>0</v>
      </c>
      <c r="AI143" s="742">
        <f>$G143*$H143*(1+$K143)^MAX(ROUNDUP(IFERROR(DATEDIF($I143-1,AI$15+1,"m"),)/12,)-1,)*Index!AE$22*(AI$15&lt;=$J143)*(1-AI$12)</f>
        <v>0</v>
      </c>
      <c r="AJ143" s="742">
        <f>$G143*$H143*(1+$K143)^MAX(ROUNDUP(IFERROR(DATEDIF($I143-1,AJ$15+1,"m"),)/12,)-1,)*Index!AF$22*(AJ$15&lt;=$J143)*(1-AJ$12)</f>
        <v>0</v>
      </c>
      <c r="AK143" s="742">
        <f>$G143*$H143*(1+$K143)^MAX(ROUNDUP(IFERROR(DATEDIF($I143-1,AK$15+1,"m"),)/12,)-1,)*Index!AG$22*(AK$15&lt;=$J143)*(1-AK$12)</f>
        <v>0</v>
      </c>
      <c r="AL143" s="742">
        <f>$G143*$H143*(1+$K143)^MAX(ROUNDUP(IFERROR(DATEDIF($I143-1,AL$15+1,"m"),)/12,)-1,)*Index!AH$22*(AL$15&lt;=$J143)*(1-AL$12)</f>
        <v>0</v>
      </c>
      <c r="AM143" s="742">
        <f>$G143*$H143*(1+$K143)^MAX(ROUNDUP(IFERROR(DATEDIF($I143-1,AM$15+1,"m"),)/12,)-1,)*Index!AI$22*(AM$15&lt;=$J143)*(1-AM$12)</f>
        <v>0</v>
      </c>
      <c r="AN143" s="742">
        <f>$G143*$H143*(1+$K143)^MAX(ROUNDUP(IFERROR(DATEDIF($I143-1,AN$15+1,"m"),)/12,)-1,)*Index!AJ$22*(AN$15&lt;=$J143)*(1-AN$12)</f>
        <v>0</v>
      </c>
      <c r="AO143" s="742">
        <f>$G143*$H143*(1+$K143)^MAX(ROUNDUP(IFERROR(DATEDIF($I143-1,AO$15+1,"m"),)/12,)-1,)*Index!AK$22*(AO$15&lt;=$J143)*(1-AO$12)</f>
        <v>0</v>
      </c>
      <c r="AP143" s="742">
        <f>$G143*$H143*(1+$K143)^MAX(ROUNDUP(IFERROR(DATEDIF($I143-1,AP$15+1,"m"),)/12,)-1,)*Index!AL$22*(AP$15&lt;=$J143)*(1-AP$12)</f>
        <v>0</v>
      </c>
      <c r="AQ143" s="742">
        <f>$G143*$H143*(1+$K143)^MAX(ROUNDUP(IFERROR(DATEDIF($I143-1,AQ$15+1,"m"),)/12,)-1,)*Index!AM$22*(AQ$15&lt;=$J143)*(1-AQ$12)</f>
        <v>0</v>
      </c>
      <c r="AR143" s="742">
        <f>$G143*$H143*(1+$K143)^MAX(ROUNDUP(IFERROR(DATEDIF($I143-1,AR$15+1,"m"),)/12,)-1,)*Index!AN$22*(AR$15&lt;=$J143)*(1-AR$12)</f>
        <v>0</v>
      </c>
      <c r="AS143" s="742">
        <f>$G143*$H143*(1+$K143)^MAX(ROUNDUP(IFERROR(DATEDIF($I143-1,AS$15+1,"m"),)/12,)-1,)*Index!AO$22*(AS$15&lt;=$J143)*(1-AS$12)</f>
        <v>0</v>
      </c>
      <c r="AT143" s="742">
        <f>$G143*$H143*(1+$K143)^MAX(ROUNDUP(IFERROR(DATEDIF($I143-1,AT$15+1,"m"),)/12,)-1,)*Index!AP$22*(AT$15&lt;=$J143)*(1-AT$12)</f>
        <v>0</v>
      </c>
      <c r="AU143" s="742">
        <f>$G143*$H143*(1+$K143)^MAX(ROUNDUP(IFERROR(DATEDIF($I143-1,AU$15+1,"m"),)/12,)-1,)*Index!AQ$22*(AU$15&lt;=$J143)*(1-AU$12)</f>
        <v>0</v>
      </c>
      <c r="AV143" s="742">
        <f>$G143*$H143*(1+$K143)^MAX(ROUNDUP(IFERROR(DATEDIF($I143-1,AV$15+1,"m"),)/12,)-1,)*Index!AR$22*(AV$15&lt;=$J143)*(1-AV$12)</f>
        <v>0</v>
      </c>
      <c r="AW143" s="742">
        <f>$G143*$H143*(1+$K143)^MAX(ROUNDUP(IFERROR(DATEDIF($I143-1,AW$15+1,"m"),)/12,)-1,)*Index!AS$22*(AW$15&lt;=$J143)*(1-AW$12)</f>
        <v>0</v>
      </c>
      <c r="AX143" s="742">
        <f>$G143*$H143*(1+$K143)^MAX(ROUNDUP(IFERROR(DATEDIF($I143-1,AX$15+1,"m"),)/12,)-1,)*Index!AT$22*(AX$15&lt;=$J143)*(1-AX$12)</f>
        <v>0</v>
      </c>
      <c r="AY143" s="742">
        <f>$G143*$H143*(1+$K143)^MAX(ROUNDUP(IFERROR(DATEDIF($I143-1,AY$15+1,"m"),)/12,)-1,)*Index!AU$22*(AY$15&lt;=$J143)*(1-AY$12)</f>
        <v>0</v>
      </c>
      <c r="AZ143" s="742">
        <f>$G143*$H143*(1+$K143)^MAX(ROUNDUP(IFERROR(DATEDIF($I143-1,AZ$15+1,"m"),)/12,)-1,)*Index!AV$22*(AZ$15&lt;=$J143)*(1-AZ$12)</f>
        <v>0</v>
      </c>
      <c r="BA143" s="742">
        <f>$G143*$H143*(1+$K143)^MAX(ROUNDUP(IFERROR(DATEDIF($I143-1,BA$15+1,"m"),)/12,)-1,)*Index!AW$22*(BA$15&lt;=$J143)*(1-BA$12)</f>
        <v>0</v>
      </c>
      <c r="BB143" s="742">
        <f>$G143*$H143*(1+$K143)^MAX(ROUNDUP(IFERROR(DATEDIF($I143-1,BB$15+1,"m"),)/12,)-1,)*Index!AX$22*(BB$15&lt;=$J143)*(1-BB$12)</f>
        <v>0</v>
      </c>
      <c r="BC143" s="742">
        <f>$G143*$H143*(1+$K143)^MAX(ROUNDUP(IFERROR(DATEDIF($I143-1,BC$15+1,"m"),)/12,)-1,)*Index!AY$22*(BC$15&lt;=$J143)*(1-BC$12)</f>
        <v>0</v>
      </c>
      <c r="BD143" s="742">
        <f>$G143*$H143*(1+$K143)^MAX(ROUNDUP(IFERROR(DATEDIF($I143-1,BD$15+1,"m"),)/12,)-1,)*Index!AZ$22*(BD$15&lt;=$J143)*(1-BD$12)</f>
        <v>0</v>
      </c>
      <c r="BE143" s="742">
        <f>$G143*$H143*(1+$K143)^MAX(ROUNDUP(IFERROR(DATEDIF($I143-1,BE$15+1,"m"),)/12,)-1,)*Index!BA$22*(BE$15&lt;=$J143)*(1-BE$12)</f>
        <v>0</v>
      </c>
      <c r="BF143" s="742">
        <f>$G143*$H143*(1+$K143)^MAX(ROUNDUP(IFERROR(DATEDIF($I143-1,BF$15+1,"m"),)/12,)-1,)*Index!BB$22*(BF$15&lt;=$J143)*(1-BF$12)</f>
        <v>0</v>
      </c>
      <c r="BG143" s="742">
        <f>$G143*$H143*(1+$K143)^MAX(ROUNDUP(IFERROR(DATEDIF($I143-1,BG$15+1,"m"),)/12,)-1,)*Index!BC$22*(BG$15&lt;=$J143)*(1-BG$12)</f>
        <v>0</v>
      </c>
      <c r="BH143" s="742">
        <f>$G143*$H143*(1+$K143)^MAX(ROUNDUP(IFERROR(DATEDIF($I143-1,BH$15+1,"m"),)/12,)-1,)*Index!BD$22*(BH$15&lt;=$J143)*(1-BH$12)</f>
        <v>0</v>
      </c>
      <c r="BI143" s="742">
        <f>$G143*$H143*(1+$K143)^MAX(ROUNDUP(IFERROR(DATEDIF($I143-1,BI$15+1,"m"),)/12,)-1,)*Index!BE$22*(BI$15&lt;=$J143)*(1-BI$12)</f>
        <v>0</v>
      </c>
      <c r="BJ143" s="742">
        <f>$G143*$H143*(1+$K143)^MAX(ROUNDUP(IFERROR(DATEDIF($I143-1,BJ$15+1,"m"),)/12,)-1,)*Index!BF$22*(BJ$15&lt;=$J143)*(1-BJ$12)</f>
        <v>0</v>
      </c>
      <c r="BK143" s="742">
        <f>$G143*$H143*(1+$K143)^MAX(ROUNDUP(IFERROR(DATEDIF($I143-1,BK$15+1,"m"),)/12,)-1,)*Index!BG$22*(BK$15&lt;=$J143)*(1-BK$12)</f>
        <v>0</v>
      </c>
      <c r="BL143" s="742">
        <f>$G143*$H143*(1+$K143)^MAX(ROUNDUP(IFERROR(DATEDIF($I143-1,BL$15+1,"m"),)/12,)-1,)*Index!BH$22*(BL$15&lt;=$J143)*(1-BL$12)</f>
        <v>0</v>
      </c>
      <c r="BM143" s="742">
        <f>$G143*$H143*(1+$K143)^MAX(ROUNDUP(IFERROR(DATEDIF($I143-1,BM$15+1,"m"),)/12,)-1,)*Index!BI$22*(BM$15&lt;=$J143)*(1-BM$12)</f>
        <v>0</v>
      </c>
      <c r="BN143" s="742">
        <f>$G143*$H143*(1+$K143)^MAX(ROUNDUP(IFERROR(DATEDIF($I143-1,BN$15+1,"m"),)/12,)-1,)*Index!BJ$22*(BN$15&lt;=$J143)*(1-BN$12)</f>
        <v>0</v>
      </c>
      <c r="BO143" s="742">
        <f>$G143*$H143*(1+$K143)^MAX(ROUNDUP(IFERROR(DATEDIF($I143-1,BO$15+1,"m"),)/12,)-1,)*Index!BK$22*(BO$15&lt;=$J143)*(1-BO$12)</f>
        <v>0</v>
      </c>
      <c r="BP143" s="742">
        <f>$G143*$H143*(1+$K143)^MAX(ROUNDUP(IFERROR(DATEDIF($I143-1,BP$15+1,"m"),)/12,)-1,)*Index!BL$22*(BP$15&lt;=$J143)*(1-BP$12)</f>
        <v>0</v>
      </c>
      <c r="BQ143" s="742">
        <f>$G143*$H143*(1+$K143)^MAX(ROUNDUP(IFERROR(DATEDIF($I143-1,BQ$15+1,"m"),)/12,)-1,)*Index!BM$22*(BQ$15&lt;=$J143)*(1-BQ$12)</f>
        <v>0</v>
      </c>
      <c r="BR143" s="742">
        <f>$G143*$H143*(1+$K143)^MAX(ROUNDUP(IFERROR(DATEDIF($I143-1,BR$15+1,"m"),)/12,)-1,)*Index!BN$22*(BR$15&lt;=$J143)*(1-BR$12)</f>
        <v>0</v>
      </c>
      <c r="BS143" s="742">
        <f>$G143*$H143*(1+$K143)^MAX(ROUNDUP(IFERROR(DATEDIF($I143-1,BS$15+1,"m"),)/12,)-1,)*Index!BO$22*(BS$15&lt;=$J143)*(1-BS$12)</f>
        <v>0</v>
      </c>
      <c r="BT143" s="742">
        <f>$G143*$H143*(1+$K143)^MAX(ROUNDUP(IFERROR(DATEDIF($I143-1,BT$15+1,"m"),)/12,)-1,)*Index!BP$22*(BT$15&lt;=$J143)*(1-BT$12)</f>
        <v>0</v>
      </c>
      <c r="BU143" s="742">
        <f>$G143*$H143*(1+$K143)^MAX(ROUNDUP(IFERROR(DATEDIF($I143-1,BU$15+1,"m"),)/12,)-1,)*Index!BQ$22*(BU$15&lt;=$J143)*(1-BU$12)</f>
        <v>0</v>
      </c>
      <c r="BV143" s="742">
        <f>$G143*$H143*(1+$K143)^MAX(ROUNDUP(IFERROR(DATEDIF($I143-1,BV$15+1,"m"),)/12,)-1,)*Index!BR$22*(BV$15&lt;=$J143)*(1-BV$12)</f>
        <v>0</v>
      </c>
      <c r="BW143" s="742">
        <f>$G143*$H143*(1+$K143)^MAX(ROUNDUP(IFERROR(DATEDIF($I143-1,BW$15+1,"m"),)/12,)-1,)*Index!BS$22*(BW$15&lt;=$J143)*(1-BW$12)</f>
        <v>0</v>
      </c>
      <c r="BX143" s="742">
        <f>$G143*$H143*(1+$K143)^MAX(ROUNDUP(IFERROR(DATEDIF($I143-1,BX$15+1,"m"),)/12,)-1,)*Index!BT$22*(BX$15&lt;=$J143)*(1-BX$12)</f>
        <v>0</v>
      </c>
      <c r="BY143" s="742">
        <f>$G143*$H143*(1+$K143)^MAX(ROUNDUP(IFERROR(DATEDIF($I143-1,BY$15+1,"m"),)/12,)-1,)*Index!BU$22*(BY$15&lt;=$J143)*(1-BY$12)</f>
        <v>0</v>
      </c>
      <c r="BZ143" s="742">
        <f>$G143*$H143*(1+$K143)^MAX(ROUNDUP(IFERROR(DATEDIF($I143-1,BZ$15+1,"m"),)/12,)-1,)*Index!BV$22*(BZ$15&lt;=$J143)*(1-BZ$12)</f>
        <v>0</v>
      </c>
      <c r="CA143" s="742">
        <f>$G143*$H143*(1+$K143)^MAX(ROUNDUP(IFERROR(DATEDIF($I143-1,CA$15+1,"m"),)/12,)-1,)*Index!BW$22*(CA$15&lt;=$J143)*(1-CA$12)</f>
        <v>0</v>
      </c>
      <c r="CB143" s="742">
        <f>$G143*$H143*(1+$K143)^MAX(ROUNDUP(IFERROR(DATEDIF($I143-1,CB$15+1,"m"),)/12,)-1,)*Index!BX$22*(CB$15&lt;=$J143)*(1-CB$12)</f>
        <v>0</v>
      </c>
      <c r="CC143" s="742">
        <f>$G143*$H143*(1+$K143)^MAX(ROUNDUP(IFERROR(DATEDIF($I143-1,CC$15+1,"m"),)/12,)-1,)*Index!BY$22*(CC$15&lt;=$J143)*(1-CC$12)</f>
        <v>0</v>
      </c>
      <c r="CD143" s="742">
        <f>$G143*$H143*(1+$K143)^MAX(ROUNDUP(IFERROR(DATEDIF($I143-1,CD$15+1,"m"),)/12,)-1,)*Index!BZ$22*(CD$15&lt;=$J143)*(1-CD$12)</f>
        <v>0</v>
      </c>
      <c r="CE143" s="742">
        <f>$G143*$H143*(1+$K143)^MAX(ROUNDUP(IFERROR(DATEDIF($I143-1,CE$15+1,"m"),)/12,)-1,)*Index!CA$22*(CE$15&lt;=$J143)*(1-CE$12)</f>
        <v>0</v>
      </c>
      <c r="CF143" s="742">
        <f>$G143*$H143*(1+$K143)^MAX(ROUNDUP(IFERROR(DATEDIF($I143-1,CF$15+1,"m"),)/12,)-1,)*Index!CB$22*(CF$15&lt;=$J143)*(1-CF$12)</f>
        <v>0</v>
      </c>
      <c r="CG143" s="742">
        <f>$G143*$H143*(1+$K143)^MAX(ROUNDUP(IFERROR(DATEDIF($I143-1,CG$15+1,"m"),)/12,)-1,)*Index!CC$22*(CG$15&lt;=$J143)*(1-CG$12)</f>
        <v>0</v>
      </c>
      <c r="CH143" s="742">
        <f>$G143*$H143*(1+$K143)^MAX(ROUNDUP(IFERROR(DATEDIF($I143-1,CH$15+1,"m"),)/12,)-1,)*Index!CD$22*(CH$15&lt;=$J143)*(1-CH$12)</f>
        <v>0</v>
      </c>
      <c r="CI143" s="742">
        <f>$G143*$H143*(1+$K143)^MAX(ROUNDUP(IFERROR(DATEDIF($I143-1,CI$15+1,"m"),)/12,)-1,)*Index!CE$22*(CI$15&lt;=$J143)*(1-CI$12)</f>
        <v>0</v>
      </c>
      <c r="CJ143" s="742">
        <f>$G143*$H143*(1+$K143)^MAX(ROUNDUP(IFERROR(DATEDIF($I143-1,CJ$15+1,"m"),)/12,)-1,)*Index!CF$22*(CJ$15&lt;=$J143)*(1-CJ$12)</f>
        <v>0</v>
      </c>
      <c r="CK143" s="742">
        <f>$G143*$H143*(1+$K143)^MAX(ROUNDUP(IFERROR(DATEDIF($I143-1,CK$15+1,"m"),)/12,)-1,)*Index!CG$22*(CK$15&lt;=$J143)*(1-CK$12)</f>
        <v>0</v>
      </c>
      <c r="CL143" s="742">
        <f>$G143*$H143*(1+$K143)^MAX(ROUNDUP(IFERROR(DATEDIF($I143-1,CL$15+1,"m"),)/12,)-1,)*Index!CH$22*(CL$15&lt;=$J143)*(1-CL$12)</f>
        <v>0</v>
      </c>
      <c r="CM143" s="742">
        <f>$G143*$H143*(1+$K143)^MAX(ROUNDUP(IFERROR(DATEDIF($I143-1,CM$15+1,"m"),)/12,)-1,)*Index!CI$22*(CM$15&lt;=$J143)*(1-CM$12)</f>
        <v>0</v>
      </c>
      <c r="CN143" s="742">
        <f>$G143*$H143*(1+$K143)^MAX(ROUNDUP(IFERROR(DATEDIF($I143-1,CN$15+1,"m"),)/12,)-1,)*Index!CJ$22*(CN$15&lt;=$J143)*(1-CN$12)</f>
        <v>0</v>
      </c>
      <c r="CO143" s="742">
        <f>$G143*$H143*(1+$K143)^MAX(ROUNDUP(IFERROR(DATEDIF($I143-1,CO$15+1,"m"),)/12,)-1,)*Index!CK$22*(CO$15&lt;=$J143)*(1-CO$12)</f>
        <v>0</v>
      </c>
      <c r="CP143" s="742">
        <f>$G143*$H143*(1+$K143)^MAX(ROUNDUP(IFERROR(DATEDIF($I143-1,CP$15+1,"m"),)/12,)-1,)*Index!CL$22*(CP$15&lt;=$J143)*(1-CP$12)</f>
        <v>0</v>
      </c>
      <c r="CQ143" s="742">
        <f>$G143*$H143*(1+$K143)^MAX(ROUNDUP(IFERROR(DATEDIF($I143-1,CQ$15+1,"m"),)/12,)-1,)*Index!CM$22*(CQ$15&lt;=$J143)*(1-CQ$12)</f>
        <v>0</v>
      </c>
      <c r="CR143" s="742">
        <f>$G143*$H143*(1+$K143)^MAX(ROUNDUP(IFERROR(DATEDIF($I143-1,CR$15+1,"m"),)/12,)-1,)*Index!CN$22*(CR$15&lt;=$J143)*(1-CR$12)</f>
        <v>0</v>
      </c>
      <c r="CS143" s="742">
        <f>$G143*$H143*(1+$K143)^MAX(ROUNDUP(IFERROR(DATEDIF($I143-1,CS$15+1,"m"),)/12,)-1,)*Index!CO$22*(CS$15&lt;=$J143)*(1-CS$12)</f>
        <v>0</v>
      </c>
      <c r="CT143" s="742">
        <f>$G143*$H143*(1+$K143)^MAX(ROUNDUP(IFERROR(DATEDIF($I143-1,CT$15+1,"m"),)/12,)-1,)*Index!CP$22*(CT$15&lt;=$J143)*(1-CT$12)</f>
        <v>0</v>
      </c>
      <c r="CU143" s="742">
        <f>$G143*$H143*(1+$K143)^MAX(ROUNDUP(IFERROR(DATEDIF($I143-1,CU$15+1,"m"),)/12,)-1,)*Index!CQ$22*(CU$15&lt;=$J143)*(1-CU$12)</f>
        <v>0</v>
      </c>
      <c r="CV143" s="742">
        <f>$G143*$H143*(1+$K143)^MAX(ROUNDUP(IFERROR(DATEDIF($I143-1,CV$15+1,"m"),)/12,)-1,)*Index!CR$22*(CV$15&lt;=$J143)*(1-CV$12)</f>
        <v>0</v>
      </c>
      <c r="CW143" s="742">
        <f>$G143*$H143*(1+$K143)^MAX(ROUNDUP(IFERROR(DATEDIF($I143-1,CW$15+1,"m"),)/12,)-1,)*Index!CS$22*(CW$15&lt;=$J143)*(1-CW$12)</f>
        <v>0</v>
      </c>
      <c r="CX143" s="742">
        <f>$G143*$H143*(1+$K143)^MAX(ROUNDUP(IFERROR(DATEDIF($I143-1,CX$15+1,"m"),)/12,)-1,)*Index!CT$22*(CX$15&lt;=$J143)*(1-CX$12)</f>
        <v>0</v>
      </c>
      <c r="CY143" s="742">
        <f>$G143*$H143*(1+$K143)^MAX(ROUNDUP(IFERROR(DATEDIF($I143-1,CY$15+1,"m"),)/12,)-1,)*Index!CU$22*(CY$15&lt;=$J143)*(1-CY$12)</f>
        <v>0</v>
      </c>
      <c r="CZ143" s="742">
        <f>$G143*$H143*(1+$K143)^MAX(ROUNDUP(IFERROR(DATEDIF($I143-1,CZ$15+1,"m"),)/12,)-1,)*Index!CV$22*(CZ$15&lt;=$J143)*(1-CZ$12)</f>
        <v>0</v>
      </c>
      <c r="DA143" s="742">
        <f>$G143*$H143*(1+$K143)^MAX(ROUNDUP(IFERROR(DATEDIF($I143-1,DA$15+1,"m"),)/12,)-1,)*Index!CW$22*(DA$15&lt;=$J143)*(1-DA$12)</f>
        <v>0</v>
      </c>
      <c r="DB143" s="742">
        <f>$G143*$H143*(1+$K143)^MAX(ROUNDUP(IFERROR(DATEDIF($I143-1,DB$15+1,"m"),)/12,)-1,)*Index!CX$22*(DB$15&lt;=$J143)*(1-DB$12)</f>
        <v>0</v>
      </c>
      <c r="DC143" s="742">
        <f>$G143*$H143*(1+$K143)^MAX(ROUNDUP(IFERROR(DATEDIF($I143-1,DC$15+1,"m"),)/12,)-1,)*Index!CY$22*(DC$15&lt;=$J143)*(1-DC$12)</f>
        <v>0</v>
      </c>
      <c r="DD143" s="742">
        <f>$G143*$H143*(1+$K143)^MAX(ROUNDUP(IFERROR(DATEDIF($I143-1,DD$15+1,"m"),)/12,)-1,)*Index!CZ$22*(DD$15&lt;=$J143)*(1-DD$12)</f>
        <v>0</v>
      </c>
      <c r="DE143" s="742">
        <f>$G143*$H143*(1+$K143)^MAX(ROUNDUP(IFERROR(DATEDIF($I143-1,DE$15+1,"m"),)/12,)-1,)*Index!DA$22*(DE$15&lt;=$J143)*(1-DE$12)</f>
        <v>0</v>
      </c>
      <c r="DF143" s="742">
        <f>$G143*$H143*(1+$K143)^MAX(ROUNDUP(IFERROR(DATEDIF($I143-1,DF$15+1,"m"),)/12,)-1,)*Index!DB$22*(DF$15&lt;=$J143)*(1-DF$12)</f>
        <v>0</v>
      </c>
      <c r="DG143" s="742">
        <f>$G143*$H143*(1+$K143)^MAX(ROUNDUP(IFERROR(DATEDIF($I143-1,DG$15+1,"m"),)/12,)-1,)*Index!DC$22*(DG$15&lt;=$J143)*(1-DG$12)</f>
        <v>0</v>
      </c>
      <c r="DH143" s="742">
        <f>$G143*$H143*(1+$K143)^MAX(ROUNDUP(IFERROR(DATEDIF($I143-1,DH$15+1,"m"),)/12,)-1,)*Index!DD$22*(DH$15&lt;=$J143)*(1-DH$12)</f>
        <v>0</v>
      </c>
      <c r="DI143" s="742">
        <f>$G143*$H143*(1+$K143)^MAX(ROUNDUP(IFERROR(DATEDIF($I143-1,DI$15+1,"m"),)/12,)-1,)*Index!DE$22*(DI$15&lt;=$J143)*(1-DI$12)</f>
        <v>0</v>
      </c>
      <c r="DJ143" s="742">
        <f>$G143*$H143*(1+$K143)^MAX(ROUNDUP(IFERROR(DATEDIF($I143-1,DJ$15+1,"m"),)/12,)-1,)*Index!DF$22*(DJ$15&lt;=$J143)*(1-DJ$12)</f>
        <v>0</v>
      </c>
      <c r="DK143" s="742">
        <f>$G143*$H143*(1+$K143)^MAX(ROUNDUP(IFERROR(DATEDIF($I143-1,DK$15+1,"m"),)/12,)-1,)*Index!DG$22*(DK$15&lt;=$J143)*(1-DK$12)</f>
        <v>0</v>
      </c>
      <c r="DL143" s="742">
        <f>$G143*$H143*(1+$K143)^MAX(ROUNDUP(IFERROR(DATEDIF($I143-1,DL$15+1,"m"),)/12,)-1,)*Index!DH$22*(DL$15&lt;=$J143)*(1-DL$12)</f>
        <v>0</v>
      </c>
      <c r="DM143" s="742">
        <f>$G143*$H143*(1+$K143)^MAX(ROUNDUP(IFERROR(DATEDIF($I143-1,DM$15+1,"m"),)/12,)-1,)*Index!DI$22*(DM$15&lt;=$J143)*(1-DM$12)</f>
        <v>0</v>
      </c>
      <c r="DN143" s="742">
        <f>$G143*$H143*(1+$K143)^MAX(ROUNDUP(IFERROR(DATEDIF($I143-1,DN$15+1,"m"),)/12,)-1,)*Index!DJ$22*(DN$15&lt;=$J143)*(1-DN$12)</f>
        <v>0</v>
      </c>
      <c r="DO143" s="742">
        <f>$G143*$H143*(1+$K143)^MAX(ROUNDUP(IFERROR(DATEDIF($I143-1,DO$15+1,"m"),)/12,)-1,)*Index!DK$22*(DO$15&lt;=$J143)*(1-DO$12)</f>
        <v>0</v>
      </c>
      <c r="DP143" s="742">
        <f>$G143*$H143*(1+$K143)^MAX(ROUNDUP(IFERROR(DATEDIF($I143-1,DP$15+1,"m"),)/12,)-1,)*Index!DL$22*(DP$15&lt;=$J143)*(1-DP$12)</f>
        <v>0</v>
      </c>
      <c r="DQ143" s="742">
        <f>$G143*$H143*(1+$K143)^MAX(ROUNDUP(IFERROR(DATEDIF($I143-1,DQ$15+1,"m"),)/12,)-1,)*Index!DM$22*(DQ$15&lt;=$J143)*(1-DQ$12)</f>
        <v>0</v>
      </c>
      <c r="DR143" s="742">
        <f>$G143*$H143*(1+$K143)^MAX(ROUNDUP(IFERROR(DATEDIF($I143-1,DR$15+1,"m"),)/12,)-1,)*Index!DN$22*(DR$15&lt;=$J143)*(1-DR$12)</f>
        <v>0</v>
      </c>
      <c r="DS143" s="742">
        <f>$G143*$H143*(1+$K143)^MAX(ROUNDUP(IFERROR(DATEDIF($I143-1,DS$15+1,"m"),)/12,)-1,)*Index!DO$22*(DS$15&lt;=$J143)*(1-DS$12)</f>
        <v>0</v>
      </c>
      <c r="DT143" s="742">
        <f>$G143*$H143*(1+$K143)^MAX(ROUNDUP(IFERROR(DATEDIF($I143-1,DT$15+1,"m"),)/12,)-1,)*Index!DP$22*(DT$15&lt;=$J143)*(1-DT$12)</f>
        <v>0</v>
      </c>
      <c r="DU143" s="742">
        <f>$G143*$H143*(1+$K143)^MAX(ROUNDUP(IFERROR(DATEDIF($I143-1,DU$15+1,"m"),)/12,)-1,)*Index!DQ$22*(DU$15&lt;=$J143)*(1-DU$12)</f>
        <v>0</v>
      </c>
      <c r="DV143" s="742">
        <f>$G143*$H143*(1+$K143)^MAX(ROUNDUP(IFERROR(DATEDIF($I143-1,DV$15+1,"m"),)/12,)-1,)*Index!DR$22*(DV$15&lt;=$J143)*(1-DV$12)</f>
        <v>0</v>
      </c>
      <c r="DW143" s="742">
        <f>$G143*$H143*(1+$K143)^MAX(ROUNDUP(IFERROR(DATEDIF($I143-1,DW$15+1,"m"),)/12,)-1,)*Index!DS$22*(DW$15&lt;=$J143)*(1-DW$12)</f>
        <v>0</v>
      </c>
      <c r="DX143" s="742">
        <f>$G143*$H143*(1+$K143)^MAX(ROUNDUP(IFERROR(DATEDIF($I143-1,DX$15+1,"m"),)/12,)-1,)*Index!DT$22*(DX$15&lt;=$J143)*(1-DX$12)</f>
        <v>0</v>
      </c>
      <c r="DY143" s="742">
        <f>$G143*$H143*(1+$K143)^MAX(ROUNDUP(IFERROR(DATEDIF($I143-1,DY$15+1,"m"),)/12,)-1,)*Index!DU$22*(DY$15&lt;=$J143)*(1-DY$12)</f>
        <v>0</v>
      </c>
      <c r="DZ143" s="742">
        <f>$G143*$H143*(1+$K143)^MAX(ROUNDUP(IFERROR(DATEDIF($I143-1,DZ$15+1,"m"),)/12,)-1,)*Index!DV$22*(DZ$15&lt;=$J143)*(1-DZ$12)</f>
        <v>0</v>
      </c>
      <c r="EA143" s="742">
        <f>$G143*$H143*(1+$K143)^MAX(ROUNDUP(IFERROR(DATEDIF($I143-1,EA$15+1,"m"),)/12,)-1,)*Index!DW$22*(EA$15&lt;=$J143)*(1-EA$12)</f>
        <v>0</v>
      </c>
      <c r="EB143" s="742">
        <f>$G143*$H143*(1+$K143)^MAX(ROUNDUP(IFERROR(DATEDIF($I143-1,EB$15+1,"m"),)/12,)-1,)*Index!DX$22*(EB$15&lt;=$J143)*(1-EB$12)</f>
        <v>0</v>
      </c>
      <c r="EC143" s="742">
        <f>$G143*$H143*(1+$K143)^MAX(ROUNDUP(IFERROR(DATEDIF($I143-1,EC$15+1,"m"),)/12,)-1,)*Index!DY$22*(EC$15&lt;=$J143)*(1-EC$12)</f>
        <v>0</v>
      </c>
      <c r="ED143" s="742">
        <f>$G143*$H143*(1+$K143)^MAX(ROUNDUP(IFERROR(DATEDIF($I143-1,ED$15+1,"m"),)/12,)-1,)*Index!DZ$22*(ED$15&lt;=$J143)*(1-ED$12)</f>
        <v>0</v>
      </c>
      <c r="EE143" s="742">
        <f>$G143*$H143*(1+$K143)^MAX(ROUNDUP(IFERROR(DATEDIF($I143-1,EE$15+1,"m"),)/12,)-1,)*Index!EA$22*(EE$15&lt;=$J143)*(1-EE$12)</f>
        <v>0</v>
      </c>
      <c r="EF143" s="742">
        <f>$G143*$H143*(1+$K143)^MAX(ROUNDUP(IFERROR(DATEDIF($I143-1,EF$15+1,"m"),)/12,)-1,)*Index!EB$22*(EF$15&lt;=$J143)*(1-EF$12)</f>
        <v>0</v>
      </c>
      <c r="EG143" s="742">
        <f>$G143*$H143*(1+$K143)^MAX(ROUNDUP(IFERROR(DATEDIF($I143-1,EG$15+1,"m"),)/12,)-1,)*Index!EC$22*(EG$15&lt;=$J143)*(1-EG$12)</f>
        <v>0</v>
      </c>
      <c r="EH143" s="742">
        <f>$G143*$H143*(1+$K143)^MAX(ROUNDUP(IFERROR(DATEDIF($I143-1,EH$15+1,"m"),)/12,)-1,)*Index!ED$22*(EH$15&lt;=$J143)*(1-EH$12)</f>
        <v>0</v>
      </c>
      <c r="EI143" s="742">
        <f>$G143*$H143*(1+$K143)^MAX(ROUNDUP(IFERROR(DATEDIF($I143-1,EI$15+1,"m"),)/12,)-1,)*Index!EE$22*(EI$15&lt;=$J143)*(1-EI$12)</f>
        <v>0</v>
      </c>
      <c r="EJ143" s="742">
        <f>$G143*$H143*(1+$K143)^MAX(ROUNDUP(IFERROR(DATEDIF($I143-1,EJ$15+1,"m"),)/12,)-1,)*Index!EF$22*(EJ$15&lt;=$J143)*(1-EJ$12)</f>
        <v>0</v>
      </c>
      <c r="EK143" s="742">
        <f>$G143*$H143*(1+$K143)^MAX(ROUNDUP(IFERROR(DATEDIF($I143-1,EK$15+1,"m"),)/12,)-1,)*Index!EG$22*(EK$15&lt;=$J143)*(1-EK$12)</f>
        <v>0</v>
      </c>
      <c r="EL143" s="742">
        <f>$G143*$H143*(1+$K143)^MAX(ROUNDUP(IFERROR(DATEDIF($I143-1,EL$15+1,"m"),)/12,)-1,)*Index!EH$22*(EL$15&lt;=$J143)*(1-EL$12)</f>
        <v>0</v>
      </c>
      <c r="EM143" s="742">
        <f>$G143*$H143*(1+$K143)^MAX(ROUNDUP(IFERROR(DATEDIF($I143-1,EM$15+1,"m"),)/12,)-1,)*Index!EI$22*(EM$15&lt;=$J143)*(1-EM$12)</f>
        <v>0</v>
      </c>
      <c r="EN143" s="742">
        <f>$G143*$H143*(1+$K143)^MAX(ROUNDUP(IFERROR(DATEDIF($I143-1,EN$15+1,"m"),)/12,)-1,)*Index!EJ$22*(EN$15&lt;=$J143)*(1-EN$12)</f>
        <v>0</v>
      </c>
      <c r="EO143" s="742">
        <f>$G143*$H143*(1+$K143)^MAX(ROUNDUP(IFERROR(DATEDIF($I143-1,EO$15+1,"m"),)/12,)-1,)*Index!EK$22*(EO$15&lt;=$J143)*(1-EO$12)</f>
        <v>0</v>
      </c>
      <c r="EP143" s="742">
        <f>$G143*$H143*(1+$K143)^MAX(ROUNDUP(IFERROR(DATEDIF($I143-1,EP$15+1,"m"),)/12,)-1,)*Index!EL$22*(EP$15&lt;=$J143)*(1-EP$12)</f>
        <v>0</v>
      </c>
      <c r="EQ143" s="742">
        <f>$G143*$H143*(1+$K143)^MAX(ROUNDUP(IFERROR(DATEDIF($I143-1,EQ$15+1,"m"),)/12,)-1,)*Index!EM$22*(EQ$15&lt;=$J143)*(1-EQ$12)</f>
        <v>0</v>
      </c>
      <c r="ER143" s="742">
        <f>$G143*$H143*(1+$K143)^MAX(ROUNDUP(IFERROR(DATEDIF($I143-1,ER$15+1,"m"),)/12,)-1,)*Index!EN$22*(ER$15&lt;=$J143)*(1-ER$12)</f>
        <v>0</v>
      </c>
      <c r="ES143" s="742">
        <f>$G143*$H143*(1+$K143)^MAX(ROUNDUP(IFERROR(DATEDIF($I143-1,ES$15+1,"m"),)/12,)-1,)*Index!EO$22*(ES$15&lt;=$J143)*(1-ES$12)</f>
        <v>0</v>
      </c>
      <c r="ET143" s="742">
        <f>$G143*$H143*(1+$K143)^MAX(ROUNDUP(IFERROR(DATEDIF($I143-1,ET$15+1,"m"),)/12,)-1,)*Index!EP$22*(ET$15&lt;=$J143)*(1-ET$12)</f>
        <v>0</v>
      </c>
      <c r="EU143" s="742">
        <f>$G143*$H143*(1+$K143)^MAX(ROUNDUP(IFERROR(DATEDIF($I143-1,EU$15+1,"m"),)/12,)-1,)*Index!EQ$22*(EU$15&lt;=$J143)*(1-EU$12)</f>
        <v>0</v>
      </c>
    </row>
    <row r="144" spans="3:151" ht="11.25" customHeight="1">
      <c r="C144" s="735"/>
      <c r="D144" s="743">
        <f t="shared" ref="D144:F159" si="237">D18</f>
        <v>8</v>
      </c>
      <c r="E144" s="704" t="str">
        <f t="shared" si="237"/>
        <v>쿠팡</v>
      </c>
      <c r="F144" s="704" t="str">
        <f t="shared" si="237"/>
        <v>근린생활시설</v>
      </c>
      <c r="G144" s="781">
        <f>'A&amp;R'!AD7/1000</f>
        <v>2.6</v>
      </c>
      <c r="H144" s="744">
        <f>'A&amp;R'!Y7</f>
        <v>78.09</v>
      </c>
      <c r="I144" s="745">
        <f t="shared" ref="I144:K159" si="238">I18</f>
        <v>46326</v>
      </c>
      <c r="J144" s="745">
        <f t="shared" si="238"/>
        <v>49064</v>
      </c>
      <c r="K144" s="754">
        <f t="shared" si="238"/>
        <v>2.5000000000000001E-2</v>
      </c>
      <c r="L144" s="746"/>
      <c r="M144" s="722"/>
      <c r="N144" s="747">
        <f t="shared" ref="N144:N159" si="239">SUM(P144:EU144)</f>
        <v>19836.680928792201</v>
      </c>
      <c r="O144" s="733"/>
      <c r="P144" s="747">
        <f>$G144*$H144*(1+$K144)^MAX(ROUNDUP(IFERROR(DATEDIF($I144-1,P$15+1,"m"),)/12,)-1,)*Index!L$22*(P$15&lt;=$J144)*(1-P$12)</f>
        <v>0</v>
      </c>
      <c r="Q144" s="747">
        <f>$G144*$H144*(1+$K144)^MAX(ROUNDUP(IFERROR(DATEDIF($I144-1,Q$15+1,"m"),)/12,)-1,)*Index!M$22*(Q$15&lt;=$J144)*(1-Q$12)</f>
        <v>203.03400000000002</v>
      </c>
      <c r="R144" s="747">
        <f>$G144*$H144*(1+$K144)^MAX(ROUNDUP(IFERROR(DATEDIF($I144-1,R$15+1,"m"),)/12,)-1,)*Index!N$22*(R$15&lt;=$J144)*(1-R$12)</f>
        <v>203.03400000000002</v>
      </c>
      <c r="S144" s="747">
        <f>$G144*$H144*(1+$K144)^MAX(ROUNDUP(IFERROR(DATEDIF($I144-1,S$15+1,"m"),)/12,)-1,)*Index!O$22*(S$15&lt;=$J144)*(1-S$12)</f>
        <v>203.03400000000002</v>
      </c>
      <c r="T144" s="747">
        <f>$G144*$H144*(1+$K144)^MAX(ROUNDUP(IFERROR(DATEDIF($I144-1,T$15+1,"m"),)/12,)-1,)*Index!P$22*(T$15&lt;=$J144)*(1-T$12)</f>
        <v>203.03400000000002</v>
      </c>
      <c r="U144" s="747">
        <f>$G144*$H144*(1+$K144)^MAX(ROUNDUP(IFERROR(DATEDIF($I144-1,U$15+1,"m"),)/12,)-1,)*Index!Q$22*(U$15&lt;=$J144)*(1-U$12)</f>
        <v>203.03400000000002</v>
      </c>
      <c r="V144" s="747">
        <f>$G144*$H144*(1+$K144)^MAX(ROUNDUP(IFERROR(DATEDIF($I144-1,V$15+1,"m"),)/12,)-1,)*Index!R$22*(V$15&lt;=$J144)*(1-V$12)</f>
        <v>203.03400000000002</v>
      </c>
      <c r="W144" s="747">
        <f>$G144*$H144*(1+$K144)^MAX(ROUNDUP(IFERROR(DATEDIF($I144-1,W$15+1,"m"),)/12,)-1,)*Index!S$22*(W$15&lt;=$J144)*(1-W$12)</f>
        <v>203.03400000000002</v>
      </c>
      <c r="X144" s="747">
        <f>$G144*$H144*(1+$K144)^MAX(ROUNDUP(IFERROR(DATEDIF($I144-1,X$15+1,"m"),)/12,)-1,)*Index!T$22*(X$15&lt;=$J144)*(1-X$12)</f>
        <v>203.03400000000002</v>
      </c>
      <c r="Y144" s="747">
        <f>$G144*$H144*(1+$K144)^MAX(ROUNDUP(IFERROR(DATEDIF($I144-1,Y$15+1,"m"),)/12,)-1,)*Index!U$22*(Y$15&lt;=$J144)*(1-Y$12)</f>
        <v>203.03400000000002</v>
      </c>
      <c r="Z144" s="747">
        <f>$G144*$H144*(1+$K144)^MAX(ROUNDUP(IFERROR(DATEDIF($I144-1,Z$15+1,"m"),)/12,)-1,)*Index!V$22*(Z$15&lt;=$J144)*(1-Z$12)</f>
        <v>203.03400000000002</v>
      </c>
      <c r="AA144" s="747">
        <f>$G144*$H144*(1+$K144)^MAX(ROUNDUP(IFERROR(DATEDIF($I144-1,AA$15+1,"m"),)/12,)-1,)*Index!W$22*(AA$15&lt;=$J144)*(1-AA$12)</f>
        <v>203.03400000000002</v>
      </c>
      <c r="AB144" s="747">
        <f>$G144*$H144*(1+$K144)^MAX(ROUNDUP(IFERROR(DATEDIF($I144-1,AB$15+1,"m"),)/12,)-1,)*Index!X$22*(AB$15&lt;=$J144)*(1-AB$12)</f>
        <v>203.03400000000002</v>
      </c>
      <c r="AC144" s="747">
        <f>$G144*$H144*(1+$K144)^MAX(ROUNDUP(IFERROR(DATEDIF($I144-1,AC$15+1,"m"),)/12,)-1,)*Index!Y$22*(AC$15&lt;=$J144)*(1-AC$12)</f>
        <v>208.10984999999999</v>
      </c>
      <c r="AD144" s="747">
        <f>$G144*$H144*(1+$K144)^MAX(ROUNDUP(IFERROR(DATEDIF($I144-1,AD$15+1,"m"),)/12,)-1,)*Index!Z$22*(AD$15&lt;=$J144)*(1-AD$12)</f>
        <v>208.10984999999999</v>
      </c>
      <c r="AE144" s="747">
        <f>$G144*$H144*(1+$K144)^MAX(ROUNDUP(IFERROR(DATEDIF($I144-1,AE$15+1,"m"),)/12,)-1,)*Index!AA$22*(AE$15&lt;=$J144)*(1-AE$12)</f>
        <v>208.10984999999999</v>
      </c>
      <c r="AF144" s="747">
        <f>$G144*$H144*(1+$K144)^MAX(ROUNDUP(IFERROR(DATEDIF($I144-1,AF$15+1,"m"),)/12,)-1,)*Index!AB$22*(AF$15&lt;=$J144)*(1-AF$12)</f>
        <v>208.10984999999999</v>
      </c>
      <c r="AG144" s="747">
        <f>$G144*$H144*(1+$K144)^MAX(ROUNDUP(IFERROR(DATEDIF($I144-1,AG$15+1,"m"),)/12,)-1,)*Index!AC$22*(AG$15&lt;=$J144)*(1-AG$12)</f>
        <v>208.10984999999999</v>
      </c>
      <c r="AH144" s="747">
        <f>$G144*$H144*(1+$K144)^MAX(ROUNDUP(IFERROR(DATEDIF($I144-1,AH$15+1,"m"),)/12,)-1,)*Index!AD$22*(AH$15&lt;=$J144)*(1-AH$12)</f>
        <v>208.10984999999999</v>
      </c>
      <c r="AI144" s="747">
        <f>$G144*$H144*(1+$K144)^MAX(ROUNDUP(IFERROR(DATEDIF($I144-1,AI$15+1,"m"),)/12,)-1,)*Index!AE$22*(AI$15&lt;=$J144)*(1-AI$12)</f>
        <v>208.10984999999999</v>
      </c>
      <c r="AJ144" s="747">
        <f>$G144*$H144*(1+$K144)^MAX(ROUNDUP(IFERROR(DATEDIF($I144-1,AJ$15+1,"m"),)/12,)-1,)*Index!AF$22*(AJ$15&lt;=$J144)*(1-AJ$12)</f>
        <v>208.10984999999999</v>
      </c>
      <c r="AK144" s="747">
        <f>$G144*$H144*(1+$K144)^MAX(ROUNDUP(IFERROR(DATEDIF($I144-1,AK$15+1,"m"),)/12,)-1,)*Index!AG$22*(AK$15&lt;=$J144)*(1-AK$12)</f>
        <v>208.10984999999999</v>
      </c>
      <c r="AL144" s="747">
        <f>$G144*$H144*(1+$K144)^MAX(ROUNDUP(IFERROR(DATEDIF($I144-1,AL$15+1,"m"),)/12,)-1,)*Index!AH$22*(AL$15&lt;=$J144)*(1-AL$12)</f>
        <v>208.10984999999999</v>
      </c>
      <c r="AM144" s="747">
        <f>$G144*$H144*(1+$K144)^MAX(ROUNDUP(IFERROR(DATEDIF($I144-1,AM$15+1,"m"),)/12,)-1,)*Index!AI$22*(AM$15&lt;=$J144)*(1-AM$12)</f>
        <v>208.10984999999999</v>
      </c>
      <c r="AN144" s="747">
        <f>$G144*$H144*(1+$K144)^MAX(ROUNDUP(IFERROR(DATEDIF($I144-1,AN$15+1,"m"),)/12,)-1,)*Index!AJ$22*(AN$15&lt;=$J144)*(1-AN$12)</f>
        <v>208.10984999999999</v>
      </c>
      <c r="AO144" s="747">
        <f>$G144*$H144*(1+$K144)^MAX(ROUNDUP(IFERROR(DATEDIF($I144-1,AO$15+1,"m"),)/12,)-1,)*Index!AK$22*(AO$15&lt;=$J144)*(1-AO$12)</f>
        <v>213.31259625000001</v>
      </c>
      <c r="AP144" s="747">
        <f>$G144*$H144*(1+$K144)^MAX(ROUNDUP(IFERROR(DATEDIF($I144-1,AP$15+1,"m"),)/12,)-1,)*Index!AL$22*(AP$15&lt;=$J144)*(1-AP$12)</f>
        <v>213.31259625000001</v>
      </c>
      <c r="AQ144" s="747">
        <f>$G144*$H144*(1+$K144)^MAX(ROUNDUP(IFERROR(DATEDIF($I144-1,AQ$15+1,"m"),)/12,)-1,)*Index!AM$22*(AQ$15&lt;=$J144)*(1-AQ$12)</f>
        <v>213.31259625000001</v>
      </c>
      <c r="AR144" s="747">
        <f>$G144*$H144*(1+$K144)^MAX(ROUNDUP(IFERROR(DATEDIF($I144-1,AR$15+1,"m"),)/12,)-1,)*Index!AN$22*(AR$15&lt;=$J144)*(1-AR$12)</f>
        <v>213.31259625000001</v>
      </c>
      <c r="AS144" s="747">
        <f>$G144*$H144*(1+$K144)^MAX(ROUNDUP(IFERROR(DATEDIF($I144-1,AS$15+1,"m"),)/12,)-1,)*Index!AO$22*(AS$15&lt;=$J144)*(1-AS$12)</f>
        <v>213.31259625000001</v>
      </c>
      <c r="AT144" s="747">
        <f>$G144*$H144*(1+$K144)^MAX(ROUNDUP(IFERROR(DATEDIF($I144-1,AT$15+1,"m"),)/12,)-1,)*Index!AP$22*(AT$15&lt;=$J144)*(1-AT$12)</f>
        <v>213.31259625000001</v>
      </c>
      <c r="AU144" s="747">
        <f>$G144*$H144*(1+$K144)^MAX(ROUNDUP(IFERROR(DATEDIF($I144-1,AU$15+1,"m"),)/12,)-1,)*Index!AQ$22*(AU$15&lt;=$J144)*(1-AU$12)</f>
        <v>213.31259625000001</v>
      </c>
      <c r="AV144" s="747">
        <f>$G144*$H144*(1+$K144)^MAX(ROUNDUP(IFERROR(DATEDIF($I144-1,AV$15+1,"m"),)/12,)-1,)*Index!AR$22*(AV$15&lt;=$J144)*(1-AV$12)</f>
        <v>213.31259625000001</v>
      </c>
      <c r="AW144" s="747">
        <f>$G144*$H144*(1+$K144)^MAX(ROUNDUP(IFERROR(DATEDIF($I144-1,AW$15+1,"m"),)/12,)-1,)*Index!AS$22*(AW$15&lt;=$J144)*(1-AW$12)</f>
        <v>213.31259625000001</v>
      </c>
      <c r="AX144" s="747">
        <f>$G144*$H144*(1+$K144)^MAX(ROUNDUP(IFERROR(DATEDIF($I144-1,AX$15+1,"m"),)/12,)-1,)*Index!AT$22*(AX$15&lt;=$J144)*(1-AX$12)</f>
        <v>213.31259625000001</v>
      </c>
      <c r="AY144" s="747">
        <f>$G144*$H144*(1+$K144)^MAX(ROUNDUP(IFERROR(DATEDIF($I144-1,AY$15+1,"m"),)/12,)-1,)*Index!AU$22*(AY$15&lt;=$J144)*(1-AY$12)</f>
        <v>213.31259625000001</v>
      </c>
      <c r="AZ144" s="747">
        <f>$G144*$H144*(1+$K144)^MAX(ROUNDUP(IFERROR(DATEDIF($I144-1,AZ$15+1,"m"),)/12,)-1,)*Index!AV$22*(AZ$15&lt;=$J144)*(1-AZ$12)</f>
        <v>213.31259625000001</v>
      </c>
      <c r="BA144" s="747">
        <f>$G144*$H144*(1+$K144)^MAX(ROUNDUP(IFERROR(DATEDIF($I144-1,BA$15+1,"m"),)/12,)-1,)*Index!AW$22*(BA$15&lt;=$J144)*(1-BA$12)</f>
        <v>218.64541115624999</v>
      </c>
      <c r="BB144" s="747">
        <f>$G144*$H144*(1+$K144)^MAX(ROUNDUP(IFERROR(DATEDIF($I144-1,BB$15+1,"m"),)/12,)-1,)*Index!AX$22*(BB$15&lt;=$J144)*(1-BB$12)</f>
        <v>218.64541115624999</v>
      </c>
      <c r="BC144" s="747">
        <f>$G144*$H144*(1+$K144)^MAX(ROUNDUP(IFERROR(DATEDIF($I144-1,BC$15+1,"m"),)/12,)-1,)*Index!AY$22*(BC$15&lt;=$J144)*(1-BC$12)</f>
        <v>218.64541115624999</v>
      </c>
      <c r="BD144" s="747">
        <f>$G144*$H144*(1+$K144)^MAX(ROUNDUP(IFERROR(DATEDIF($I144-1,BD$15+1,"m"),)/12,)-1,)*Index!AZ$22*(BD$15&lt;=$J144)*(1-BD$12)</f>
        <v>218.64541115624999</v>
      </c>
      <c r="BE144" s="747">
        <f>$G144*$H144*(1+$K144)^MAX(ROUNDUP(IFERROR(DATEDIF($I144-1,BE$15+1,"m"),)/12,)-1,)*Index!BA$22*(BE$15&lt;=$J144)*(1-BE$12)</f>
        <v>218.64541115624999</v>
      </c>
      <c r="BF144" s="747">
        <f>$G144*$H144*(1+$K144)^MAX(ROUNDUP(IFERROR(DATEDIF($I144-1,BF$15+1,"m"),)/12,)-1,)*Index!BB$22*(BF$15&lt;=$J144)*(1-BF$12)</f>
        <v>218.64541115624999</v>
      </c>
      <c r="BG144" s="747">
        <f>$G144*$H144*(1+$K144)^MAX(ROUNDUP(IFERROR(DATEDIF($I144-1,BG$15+1,"m"),)/12,)-1,)*Index!BC$22*(BG$15&lt;=$J144)*(1-BG$12)</f>
        <v>218.64541115624999</v>
      </c>
      <c r="BH144" s="747">
        <f>$G144*$H144*(1+$K144)^MAX(ROUNDUP(IFERROR(DATEDIF($I144-1,BH$15+1,"m"),)/12,)-1,)*Index!BD$22*(BH$15&lt;=$J144)*(1-BH$12)</f>
        <v>218.64541115624999</v>
      </c>
      <c r="BI144" s="747">
        <f>$G144*$H144*(1+$K144)^MAX(ROUNDUP(IFERROR(DATEDIF($I144-1,BI$15+1,"m"),)/12,)-1,)*Index!BE$22*(BI$15&lt;=$J144)*(1-BI$12)</f>
        <v>218.64541115624999</v>
      </c>
      <c r="BJ144" s="747">
        <f>$G144*$H144*(1+$K144)^MAX(ROUNDUP(IFERROR(DATEDIF($I144-1,BJ$15+1,"m"),)/12,)-1,)*Index!BF$22*(BJ$15&lt;=$J144)*(1-BJ$12)</f>
        <v>218.64541115624999</v>
      </c>
      <c r="BK144" s="747">
        <f>$G144*$H144*(1+$K144)^MAX(ROUNDUP(IFERROR(DATEDIF($I144-1,BK$15+1,"m"),)/12,)-1,)*Index!BG$22*(BK$15&lt;=$J144)*(1-BK$12)</f>
        <v>218.64541115624999</v>
      </c>
      <c r="BL144" s="747">
        <f>$G144*$H144*(1+$K144)^MAX(ROUNDUP(IFERROR(DATEDIF($I144-1,BL$15+1,"m"),)/12,)-1,)*Index!BH$22*(BL$15&lt;=$J144)*(1-BL$12)</f>
        <v>218.64541115624999</v>
      </c>
      <c r="BM144" s="747">
        <f>$G144*$H144*(1+$K144)^MAX(ROUNDUP(IFERROR(DATEDIF($I144-1,BM$15+1,"m"),)/12,)-1,)*Index!BI$22*(BM$15&lt;=$J144)*(1-BM$12)</f>
        <v>224.11154643515621</v>
      </c>
      <c r="BN144" s="747">
        <f>$G144*$H144*(1+$K144)^MAX(ROUNDUP(IFERROR(DATEDIF($I144-1,BN$15+1,"m"),)/12,)-1,)*Index!BJ$22*(BN$15&lt;=$J144)*(1-BN$12)</f>
        <v>224.11154643515621</v>
      </c>
      <c r="BO144" s="747">
        <f>$G144*$H144*(1+$K144)^MAX(ROUNDUP(IFERROR(DATEDIF($I144-1,BO$15+1,"m"),)/12,)-1,)*Index!BK$22*(BO$15&lt;=$J144)*(1-BO$12)</f>
        <v>224.11154643515621</v>
      </c>
      <c r="BP144" s="747">
        <f>$G144*$H144*(1+$K144)^MAX(ROUNDUP(IFERROR(DATEDIF($I144-1,BP$15+1,"m"),)/12,)-1,)*Index!BL$22*(BP$15&lt;=$J144)*(1-BP$12)</f>
        <v>224.11154643515621</v>
      </c>
      <c r="BQ144" s="747">
        <f>$G144*$H144*(1+$K144)^MAX(ROUNDUP(IFERROR(DATEDIF($I144-1,BQ$15+1,"m"),)/12,)-1,)*Index!BM$22*(BQ$15&lt;=$J144)*(1-BQ$12)</f>
        <v>224.11154643515621</v>
      </c>
      <c r="BR144" s="747">
        <f>$G144*$H144*(1+$K144)^MAX(ROUNDUP(IFERROR(DATEDIF($I144-1,BR$15+1,"m"),)/12,)-1,)*Index!BN$22*(BR$15&lt;=$J144)*(1-BR$12)</f>
        <v>224.11154643515621</v>
      </c>
      <c r="BS144" s="747">
        <f>$G144*$H144*(1+$K144)^MAX(ROUNDUP(IFERROR(DATEDIF($I144-1,BS$15+1,"m"),)/12,)-1,)*Index!BO$22*(BS$15&lt;=$J144)*(1-BS$12)</f>
        <v>224.11154643515621</v>
      </c>
      <c r="BT144" s="747">
        <f>$G144*$H144*(1+$K144)^MAX(ROUNDUP(IFERROR(DATEDIF($I144-1,BT$15+1,"m"),)/12,)-1,)*Index!BP$22*(BT$15&lt;=$J144)*(1-BT$12)</f>
        <v>224.11154643515621</v>
      </c>
      <c r="BU144" s="747">
        <f>$G144*$H144*(1+$K144)^MAX(ROUNDUP(IFERROR(DATEDIF($I144-1,BU$15+1,"m"),)/12,)-1,)*Index!BQ$22*(BU$15&lt;=$J144)*(1-BU$12)</f>
        <v>224.11154643515621</v>
      </c>
      <c r="BV144" s="747">
        <f>$G144*$H144*(1+$K144)^MAX(ROUNDUP(IFERROR(DATEDIF($I144-1,BV$15+1,"m"),)/12,)-1,)*Index!BR$22*(BV$15&lt;=$J144)*(1-BV$12)</f>
        <v>224.11154643515621</v>
      </c>
      <c r="BW144" s="747">
        <f>$G144*$H144*(1+$K144)^MAX(ROUNDUP(IFERROR(DATEDIF($I144-1,BW$15+1,"m"),)/12,)-1,)*Index!BS$22*(BW$15&lt;=$J144)*(1-BW$12)</f>
        <v>224.11154643515621</v>
      </c>
      <c r="BX144" s="747">
        <f>$G144*$H144*(1+$K144)^MAX(ROUNDUP(IFERROR(DATEDIF($I144-1,BX$15+1,"m"),)/12,)-1,)*Index!BT$22*(BX$15&lt;=$J144)*(1-BX$12)</f>
        <v>224.11154643515621</v>
      </c>
      <c r="BY144" s="747">
        <f>$G144*$H144*(1+$K144)^MAX(ROUNDUP(IFERROR(DATEDIF($I144-1,BY$15+1,"m"),)/12,)-1,)*Index!BU$22*(BY$15&lt;=$J144)*(1-BY$12)</f>
        <v>229.71433509603511</v>
      </c>
      <c r="BZ144" s="747">
        <f>$G144*$H144*(1+$K144)^MAX(ROUNDUP(IFERROR(DATEDIF($I144-1,BZ$15+1,"m"),)/12,)-1,)*Index!BV$22*(BZ$15&lt;=$J144)*(1-BZ$12)</f>
        <v>229.71433509603511</v>
      </c>
      <c r="CA144" s="747">
        <f>$G144*$H144*(1+$K144)^MAX(ROUNDUP(IFERROR(DATEDIF($I144-1,CA$15+1,"m"),)/12,)-1,)*Index!BW$22*(CA$15&lt;=$J144)*(1-CA$12)</f>
        <v>229.71433509603511</v>
      </c>
      <c r="CB144" s="747">
        <f>$G144*$H144*(1+$K144)^MAX(ROUNDUP(IFERROR(DATEDIF($I144-1,CB$15+1,"m"),)/12,)-1,)*Index!BX$22*(CB$15&lt;=$J144)*(1-CB$12)</f>
        <v>229.71433509603511</v>
      </c>
      <c r="CC144" s="747">
        <f>$G144*$H144*(1+$K144)^MAX(ROUNDUP(IFERROR(DATEDIF($I144-1,CC$15+1,"m"),)/12,)-1,)*Index!BY$22*(CC$15&lt;=$J144)*(1-CC$12)</f>
        <v>229.71433509603511</v>
      </c>
      <c r="CD144" s="747">
        <f>$G144*$H144*(1+$K144)^MAX(ROUNDUP(IFERROR(DATEDIF($I144-1,CD$15+1,"m"),)/12,)-1,)*Index!BZ$22*(CD$15&lt;=$J144)*(1-CD$12)</f>
        <v>229.71433509603511</v>
      </c>
      <c r="CE144" s="747">
        <f>$G144*$H144*(1+$K144)^MAX(ROUNDUP(IFERROR(DATEDIF($I144-1,CE$15+1,"m"),)/12,)-1,)*Index!CA$22*(CE$15&lt;=$J144)*(1-CE$12)</f>
        <v>229.71433509603511</v>
      </c>
      <c r="CF144" s="747">
        <f>$G144*$H144*(1+$K144)^MAX(ROUNDUP(IFERROR(DATEDIF($I144-1,CF$15+1,"m"),)/12,)-1,)*Index!CB$22*(CF$15&lt;=$J144)*(1-CF$12)</f>
        <v>229.71433509603511</v>
      </c>
      <c r="CG144" s="747">
        <f>$G144*$H144*(1+$K144)^MAX(ROUNDUP(IFERROR(DATEDIF($I144-1,CG$15+1,"m"),)/12,)-1,)*Index!CC$22*(CG$15&lt;=$J144)*(1-CG$12)</f>
        <v>229.71433509603511</v>
      </c>
      <c r="CH144" s="747">
        <f>$G144*$H144*(1+$K144)^MAX(ROUNDUP(IFERROR(DATEDIF($I144-1,CH$15+1,"m"),)/12,)-1,)*Index!CD$22*(CH$15&lt;=$J144)*(1-CH$12)</f>
        <v>229.71433509603511</v>
      </c>
      <c r="CI144" s="747">
        <f>$G144*$H144*(1+$K144)^MAX(ROUNDUP(IFERROR(DATEDIF($I144-1,CI$15+1,"m"),)/12,)-1,)*Index!CE$22*(CI$15&lt;=$J144)*(1-CI$12)</f>
        <v>229.71433509603511</v>
      </c>
      <c r="CJ144" s="747">
        <f>$G144*$H144*(1+$K144)^MAX(ROUNDUP(IFERROR(DATEDIF($I144-1,CJ$15+1,"m"),)/12,)-1,)*Index!CF$22*(CJ$15&lt;=$J144)*(1-CJ$12)</f>
        <v>229.71433509603511</v>
      </c>
      <c r="CK144" s="747">
        <f>$G144*$H144*(1+$K144)^MAX(ROUNDUP(IFERROR(DATEDIF($I144-1,CK$15+1,"m"),)/12,)-1,)*Index!CG$22*(CK$15&lt;=$J144)*(1-CK$12)</f>
        <v>235.45719347343598</v>
      </c>
      <c r="CL144" s="747">
        <f>$G144*$H144*(1+$K144)^MAX(ROUNDUP(IFERROR(DATEDIF($I144-1,CL$15+1,"m"),)/12,)-1,)*Index!CH$22*(CL$15&lt;=$J144)*(1-CL$12)</f>
        <v>235.45719347343598</v>
      </c>
      <c r="CM144" s="747">
        <f>$G144*$H144*(1+$K144)^MAX(ROUNDUP(IFERROR(DATEDIF($I144-1,CM$15+1,"m"),)/12,)-1,)*Index!CI$22*(CM$15&lt;=$J144)*(1-CM$12)</f>
        <v>235.45719347343598</v>
      </c>
      <c r="CN144" s="747">
        <f>$G144*$H144*(1+$K144)^MAX(ROUNDUP(IFERROR(DATEDIF($I144-1,CN$15+1,"m"),)/12,)-1,)*Index!CJ$22*(CN$15&lt;=$J144)*(1-CN$12)</f>
        <v>235.45719347343598</v>
      </c>
      <c r="CO144" s="747">
        <f>$G144*$H144*(1+$K144)^MAX(ROUNDUP(IFERROR(DATEDIF($I144-1,CO$15+1,"m"),)/12,)-1,)*Index!CK$22*(CO$15&lt;=$J144)*(1-CO$12)</f>
        <v>235.45719347343598</v>
      </c>
      <c r="CP144" s="747">
        <f>$G144*$H144*(1+$K144)^MAX(ROUNDUP(IFERROR(DATEDIF($I144-1,CP$15+1,"m"),)/12,)-1,)*Index!CL$22*(CP$15&lt;=$J144)*(1-CP$12)</f>
        <v>235.45719347343598</v>
      </c>
      <c r="CQ144" s="747">
        <f>$G144*$H144*(1+$K144)^MAX(ROUNDUP(IFERROR(DATEDIF($I144-1,CQ$15+1,"m"),)/12,)-1,)*Index!CM$22*(CQ$15&lt;=$J144)*(1-CQ$12)</f>
        <v>235.45719347343598</v>
      </c>
      <c r="CR144" s="747">
        <f>$G144*$H144*(1+$K144)^MAX(ROUNDUP(IFERROR(DATEDIF($I144-1,CR$15+1,"m"),)/12,)-1,)*Index!CN$22*(CR$15&lt;=$J144)*(1-CR$12)</f>
        <v>235.45719347343598</v>
      </c>
      <c r="CS144" s="747">
        <f>$G144*$H144*(1+$K144)^MAX(ROUNDUP(IFERROR(DATEDIF($I144-1,CS$15+1,"m"),)/12,)-1,)*Index!CO$22*(CS$15&lt;=$J144)*(1-CS$12)</f>
        <v>235.45719347343598</v>
      </c>
      <c r="CT144" s="747">
        <f>$G144*$H144*(1+$K144)^MAX(ROUNDUP(IFERROR(DATEDIF($I144-1,CT$15+1,"m"),)/12,)-1,)*Index!CP$22*(CT$15&lt;=$J144)*(1-CT$12)</f>
        <v>235.45719347343598</v>
      </c>
      <c r="CU144" s="747">
        <f>$G144*$H144*(1+$K144)^MAX(ROUNDUP(IFERROR(DATEDIF($I144-1,CU$15+1,"m"),)/12,)-1,)*Index!CQ$22*(CU$15&lt;=$J144)*(1-CU$12)</f>
        <v>235.45719347343598</v>
      </c>
      <c r="CV144" s="747">
        <f>$G144*$H144*(1+$K144)^MAX(ROUNDUP(IFERROR(DATEDIF($I144-1,CV$15+1,"m"),)/12,)-1,)*Index!CR$22*(CV$15&lt;=$J144)*(1-CV$12)</f>
        <v>235.45719347343598</v>
      </c>
      <c r="CW144" s="747">
        <f>$G144*$H144*(1+$K144)^MAX(ROUNDUP(IFERROR(DATEDIF($I144-1,CW$15+1,"m"),)/12,)-1,)*Index!CS$22*(CW$15&lt;=$J144)*(1-CW$12)</f>
        <v>241.34362331027188</v>
      </c>
      <c r="CX144" s="747">
        <f>$G144*$H144*(1+$K144)^MAX(ROUNDUP(IFERROR(DATEDIF($I144-1,CX$15+1,"m"),)/12,)-1,)*Index!CT$22*(CX$15&lt;=$J144)*(1-CX$12)</f>
        <v>241.34362331027188</v>
      </c>
      <c r="CY144" s="747">
        <f>$G144*$H144*(1+$K144)^MAX(ROUNDUP(IFERROR(DATEDIF($I144-1,CY$15+1,"m"),)/12,)-1,)*Index!CU$22*(CY$15&lt;=$J144)*(1-CY$12)</f>
        <v>241.34362331027188</v>
      </c>
      <c r="CZ144" s="747">
        <f>$G144*$H144*(1+$K144)^MAX(ROUNDUP(IFERROR(DATEDIF($I144-1,CZ$15+1,"m"),)/12,)-1,)*Index!CV$22*(CZ$15&lt;=$J144)*(1-CZ$12)</f>
        <v>241.34362331027188</v>
      </c>
      <c r="DA144" s="747">
        <f>$G144*$H144*(1+$K144)^MAX(ROUNDUP(IFERROR(DATEDIF($I144-1,DA$15+1,"m"),)/12,)-1,)*Index!CW$22*(DA$15&lt;=$J144)*(1-DA$12)</f>
        <v>241.34362331027188</v>
      </c>
      <c r="DB144" s="747">
        <f>$G144*$H144*(1+$K144)^MAX(ROUNDUP(IFERROR(DATEDIF($I144-1,DB$15+1,"m"),)/12,)-1,)*Index!CX$22*(DB$15&lt;=$J144)*(1-DB$12)</f>
        <v>241.34362331027188</v>
      </c>
      <c r="DC144" s="747">
        <f>$G144*$H144*(1+$K144)^MAX(ROUNDUP(IFERROR(DATEDIF($I144-1,DC$15+1,"m"),)/12,)-1,)*Index!CY$22*(DC$15&lt;=$J144)*(1-DC$12)</f>
        <v>0</v>
      </c>
      <c r="DD144" s="747">
        <f>$G144*$H144*(1+$K144)^MAX(ROUNDUP(IFERROR(DATEDIF($I144-1,DD$15+1,"m"),)/12,)-1,)*Index!CZ$22*(DD$15&lt;=$J144)*(1-DD$12)</f>
        <v>0</v>
      </c>
      <c r="DE144" s="747">
        <f>$G144*$H144*(1+$K144)^MAX(ROUNDUP(IFERROR(DATEDIF($I144-1,DE$15+1,"m"),)/12,)-1,)*Index!DA$22*(DE$15&lt;=$J144)*(1-DE$12)</f>
        <v>0</v>
      </c>
      <c r="DF144" s="747">
        <f>$G144*$H144*(1+$K144)^MAX(ROUNDUP(IFERROR(DATEDIF($I144-1,DF$15+1,"m"),)/12,)-1,)*Index!DB$22*(DF$15&lt;=$J144)*(1-DF$12)</f>
        <v>0</v>
      </c>
      <c r="DG144" s="747">
        <f>$G144*$H144*(1+$K144)^MAX(ROUNDUP(IFERROR(DATEDIF($I144-1,DG$15+1,"m"),)/12,)-1,)*Index!DC$22*(DG$15&lt;=$J144)*(1-DG$12)</f>
        <v>0</v>
      </c>
      <c r="DH144" s="747">
        <f>$G144*$H144*(1+$K144)^MAX(ROUNDUP(IFERROR(DATEDIF($I144-1,DH$15+1,"m"),)/12,)-1,)*Index!DD$22*(DH$15&lt;=$J144)*(1-DH$12)</f>
        <v>0</v>
      </c>
      <c r="DI144" s="747">
        <f>$G144*$H144*(1+$K144)^MAX(ROUNDUP(IFERROR(DATEDIF($I144-1,DI$15+1,"m"),)/12,)-1,)*Index!DE$22*(DI$15&lt;=$J144)*(1-DI$12)</f>
        <v>0</v>
      </c>
      <c r="DJ144" s="747">
        <f>$G144*$H144*(1+$K144)^MAX(ROUNDUP(IFERROR(DATEDIF($I144-1,DJ$15+1,"m"),)/12,)-1,)*Index!DF$22*(DJ$15&lt;=$J144)*(1-DJ$12)</f>
        <v>0</v>
      </c>
      <c r="DK144" s="747">
        <f>$G144*$H144*(1+$K144)^MAX(ROUNDUP(IFERROR(DATEDIF($I144-1,DK$15+1,"m"),)/12,)-1,)*Index!DG$22*(DK$15&lt;=$J144)*(1-DK$12)</f>
        <v>0</v>
      </c>
      <c r="DL144" s="747">
        <f>$G144*$H144*(1+$K144)^MAX(ROUNDUP(IFERROR(DATEDIF($I144-1,DL$15+1,"m"),)/12,)-1,)*Index!DH$22*(DL$15&lt;=$J144)*(1-DL$12)</f>
        <v>0</v>
      </c>
      <c r="DM144" s="747">
        <f>$G144*$H144*(1+$K144)^MAX(ROUNDUP(IFERROR(DATEDIF($I144-1,DM$15+1,"m"),)/12,)-1,)*Index!DI$22*(DM$15&lt;=$J144)*(1-DM$12)</f>
        <v>0</v>
      </c>
      <c r="DN144" s="747">
        <f>$G144*$H144*(1+$K144)^MAX(ROUNDUP(IFERROR(DATEDIF($I144-1,DN$15+1,"m"),)/12,)-1,)*Index!DJ$22*(DN$15&lt;=$J144)*(1-DN$12)</f>
        <v>0</v>
      </c>
      <c r="DO144" s="747">
        <f>$G144*$H144*(1+$K144)^MAX(ROUNDUP(IFERROR(DATEDIF($I144-1,DO$15+1,"m"),)/12,)-1,)*Index!DK$22*(DO$15&lt;=$J144)*(1-DO$12)</f>
        <v>0</v>
      </c>
      <c r="DP144" s="747">
        <f>$G144*$H144*(1+$K144)^MAX(ROUNDUP(IFERROR(DATEDIF($I144-1,DP$15+1,"m"),)/12,)-1,)*Index!DL$22*(DP$15&lt;=$J144)*(1-DP$12)</f>
        <v>0</v>
      </c>
      <c r="DQ144" s="747">
        <f>$G144*$H144*(1+$K144)^MAX(ROUNDUP(IFERROR(DATEDIF($I144-1,DQ$15+1,"m"),)/12,)-1,)*Index!DM$22*(DQ$15&lt;=$J144)*(1-DQ$12)</f>
        <v>0</v>
      </c>
      <c r="DR144" s="747">
        <f>$G144*$H144*(1+$K144)^MAX(ROUNDUP(IFERROR(DATEDIF($I144-1,DR$15+1,"m"),)/12,)-1,)*Index!DN$22*(DR$15&lt;=$J144)*(1-DR$12)</f>
        <v>0</v>
      </c>
      <c r="DS144" s="747">
        <f>$G144*$H144*(1+$K144)^MAX(ROUNDUP(IFERROR(DATEDIF($I144-1,DS$15+1,"m"),)/12,)-1,)*Index!DO$22*(DS$15&lt;=$J144)*(1-DS$12)</f>
        <v>0</v>
      </c>
      <c r="DT144" s="747">
        <f>$G144*$H144*(1+$K144)^MAX(ROUNDUP(IFERROR(DATEDIF($I144-1,DT$15+1,"m"),)/12,)-1,)*Index!DP$22*(DT$15&lt;=$J144)*(1-DT$12)</f>
        <v>0</v>
      </c>
      <c r="DU144" s="747">
        <f>$G144*$H144*(1+$K144)^MAX(ROUNDUP(IFERROR(DATEDIF($I144-1,DU$15+1,"m"),)/12,)-1,)*Index!DQ$22*(DU$15&lt;=$J144)*(1-DU$12)</f>
        <v>0</v>
      </c>
      <c r="DV144" s="747">
        <f>$G144*$H144*(1+$K144)^MAX(ROUNDUP(IFERROR(DATEDIF($I144-1,DV$15+1,"m"),)/12,)-1,)*Index!DR$22*(DV$15&lt;=$J144)*(1-DV$12)</f>
        <v>0</v>
      </c>
      <c r="DW144" s="747">
        <f>$G144*$H144*(1+$K144)^MAX(ROUNDUP(IFERROR(DATEDIF($I144-1,DW$15+1,"m"),)/12,)-1,)*Index!DS$22*(DW$15&lt;=$J144)*(1-DW$12)</f>
        <v>0</v>
      </c>
      <c r="DX144" s="747">
        <f>$G144*$H144*(1+$K144)^MAX(ROUNDUP(IFERROR(DATEDIF($I144-1,DX$15+1,"m"),)/12,)-1,)*Index!DT$22*(DX$15&lt;=$J144)*(1-DX$12)</f>
        <v>0</v>
      </c>
      <c r="DY144" s="747">
        <f>$G144*$H144*(1+$K144)^MAX(ROUNDUP(IFERROR(DATEDIF($I144-1,DY$15+1,"m"),)/12,)-1,)*Index!DU$22*(DY$15&lt;=$J144)*(1-DY$12)</f>
        <v>0</v>
      </c>
      <c r="DZ144" s="747">
        <f>$G144*$H144*(1+$K144)^MAX(ROUNDUP(IFERROR(DATEDIF($I144-1,DZ$15+1,"m"),)/12,)-1,)*Index!DV$22*(DZ$15&lt;=$J144)*(1-DZ$12)</f>
        <v>0</v>
      </c>
      <c r="EA144" s="747">
        <f>$G144*$H144*(1+$K144)^MAX(ROUNDUP(IFERROR(DATEDIF($I144-1,EA$15+1,"m"),)/12,)-1,)*Index!DW$22*(EA$15&lt;=$J144)*(1-EA$12)</f>
        <v>0</v>
      </c>
      <c r="EB144" s="747">
        <f>$G144*$H144*(1+$K144)^MAX(ROUNDUP(IFERROR(DATEDIF($I144-1,EB$15+1,"m"),)/12,)-1,)*Index!DX$22*(EB$15&lt;=$J144)*(1-EB$12)</f>
        <v>0</v>
      </c>
      <c r="EC144" s="747">
        <f>$G144*$H144*(1+$K144)^MAX(ROUNDUP(IFERROR(DATEDIF($I144-1,EC$15+1,"m"),)/12,)-1,)*Index!DY$22*(EC$15&lt;=$J144)*(1-EC$12)</f>
        <v>0</v>
      </c>
      <c r="ED144" s="747">
        <f>$G144*$H144*(1+$K144)^MAX(ROUNDUP(IFERROR(DATEDIF($I144-1,ED$15+1,"m"),)/12,)-1,)*Index!DZ$22*(ED$15&lt;=$J144)*(1-ED$12)</f>
        <v>0</v>
      </c>
      <c r="EE144" s="747">
        <f>$G144*$H144*(1+$K144)^MAX(ROUNDUP(IFERROR(DATEDIF($I144-1,EE$15+1,"m"),)/12,)-1,)*Index!EA$22*(EE$15&lt;=$J144)*(1-EE$12)</f>
        <v>0</v>
      </c>
      <c r="EF144" s="747">
        <f>$G144*$H144*(1+$K144)^MAX(ROUNDUP(IFERROR(DATEDIF($I144-1,EF$15+1,"m"),)/12,)-1,)*Index!EB$22*(EF$15&lt;=$J144)*(1-EF$12)</f>
        <v>0</v>
      </c>
      <c r="EG144" s="747">
        <f>$G144*$H144*(1+$K144)^MAX(ROUNDUP(IFERROR(DATEDIF($I144-1,EG$15+1,"m"),)/12,)-1,)*Index!EC$22*(EG$15&lt;=$J144)*(1-EG$12)</f>
        <v>0</v>
      </c>
      <c r="EH144" s="747">
        <f>$G144*$H144*(1+$K144)^MAX(ROUNDUP(IFERROR(DATEDIF($I144-1,EH$15+1,"m"),)/12,)-1,)*Index!ED$22*(EH$15&lt;=$J144)*(1-EH$12)</f>
        <v>0</v>
      </c>
      <c r="EI144" s="747">
        <f>$G144*$H144*(1+$K144)^MAX(ROUNDUP(IFERROR(DATEDIF($I144-1,EI$15+1,"m"),)/12,)-1,)*Index!EE$22*(EI$15&lt;=$J144)*(1-EI$12)</f>
        <v>0</v>
      </c>
      <c r="EJ144" s="747">
        <f>$G144*$H144*(1+$K144)^MAX(ROUNDUP(IFERROR(DATEDIF($I144-1,EJ$15+1,"m"),)/12,)-1,)*Index!EF$22*(EJ$15&lt;=$J144)*(1-EJ$12)</f>
        <v>0</v>
      </c>
      <c r="EK144" s="747">
        <f>$G144*$H144*(1+$K144)^MAX(ROUNDUP(IFERROR(DATEDIF($I144-1,EK$15+1,"m"),)/12,)-1,)*Index!EG$22*(EK$15&lt;=$J144)*(1-EK$12)</f>
        <v>0</v>
      </c>
      <c r="EL144" s="747">
        <f>$G144*$H144*(1+$K144)^MAX(ROUNDUP(IFERROR(DATEDIF($I144-1,EL$15+1,"m"),)/12,)-1,)*Index!EH$22*(EL$15&lt;=$J144)*(1-EL$12)</f>
        <v>0</v>
      </c>
      <c r="EM144" s="747">
        <f>$G144*$H144*(1+$K144)^MAX(ROUNDUP(IFERROR(DATEDIF($I144-1,EM$15+1,"m"),)/12,)-1,)*Index!EI$22*(EM$15&lt;=$J144)*(1-EM$12)</f>
        <v>0</v>
      </c>
      <c r="EN144" s="747">
        <f>$G144*$H144*(1+$K144)^MAX(ROUNDUP(IFERROR(DATEDIF($I144-1,EN$15+1,"m"),)/12,)-1,)*Index!EJ$22*(EN$15&lt;=$J144)*(1-EN$12)</f>
        <v>0</v>
      </c>
      <c r="EO144" s="747">
        <f>$G144*$H144*(1+$K144)^MAX(ROUNDUP(IFERROR(DATEDIF($I144-1,EO$15+1,"m"),)/12,)-1,)*Index!EK$22*(EO$15&lt;=$J144)*(1-EO$12)</f>
        <v>0</v>
      </c>
      <c r="EP144" s="747">
        <f>$G144*$H144*(1+$K144)^MAX(ROUNDUP(IFERROR(DATEDIF($I144-1,EP$15+1,"m"),)/12,)-1,)*Index!EL$22*(EP$15&lt;=$J144)*(1-EP$12)</f>
        <v>0</v>
      </c>
      <c r="EQ144" s="747">
        <f>$G144*$H144*(1+$K144)^MAX(ROUNDUP(IFERROR(DATEDIF($I144-1,EQ$15+1,"m"),)/12,)-1,)*Index!EM$22*(EQ$15&lt;=$J144)*(1-EQ$12)</f>
        <v>0</v>
      </c>
      <c r="ER144" s="747">
        <f>$G144*$H144*(1+$K144)^MAX(ROUNDUP(IFERROR(DATEDIF($I144-1,ER$15+1,"m"),)/12,)-1,)*Index!EN$22*(ER$15&lt;=$J144)*(1-ER$12)</f>
        <v>0</v>
      </c>
      <c r="ES144" s="747">
        <f>$G144*$H144*(1+$K144)^MAX(ROUNDUP(IFERROR(DATEDIF($I144-1,ES$15+1,"m"),)/12,)-1,)*Index!EO$22*(ES$15&lt;=$J144)*(1-ES$12)</f>
        <v>0</v>
      </c>
      <c r="ET144" s="747">
        <f>$G144*$H144*(1+$K144)^MAX(ROUNDUP(IFERROR(DATEDIF($I144-1,ET$15+1,"m"),)/12,)-1,)*Index!EP$22*(ET$15&lt;=$J144)*(1-ET$12)</f>
        <v>0</v>
      </c>
      <c r="EU144" s="747">
        <f>$G144*$H144*(1+$K144)^MAX(ROUNDUP(IFERROR(DATEDIF($I144-1,EU$15+1,"m"),)/12,)-1,)*Index!EQ$22*(EU$15&lt;=$J144)*(1-EU$12)</f>
        <v>0</v>
      </c>
    </row>
    <row r="145" spans="3:151" ht="11.25" customHeight="1">
      <c r="C145" s="735"/>
      <c r="D145" s="743">
        <f t="shared" si="237"/>
        <v>8</v>
      </c>
      <c r="E145" s="704" t="str">
        <f t="shared" si="237"/>
        <v>쿠팡</v>
      </c>
      <c r="F145" s="704" t="str">
        <f t="shared" si="237"/>
        <v>상온창고</v>
      </c>
      <c r="G145" s="781">
        <f>'A&amp;R'!AD8/1000</f>
        <v>2.6</v>
      </c>
      <c r="H145" s="744">
        <f>'A&amp;R'!Y8</f>
        <v>63.86</v>
      </c>
      <c r="I145" s="745">
        <f t="shared" si="238"/>
        <v>46326</v>
      </c>
      <c r="J145" s="745">
        <f t="shared" si="238"/>
        <v>49064</v>
      </c>
      <c r="K145" s="754">
        <f t="shared" si="238"/>
        <v>2.5000000000000001E-2</v>
      </c>
      <c r="L145" s="746"/>
      <c r="M145" s="722"/>
      <c r="N145" s="747">
        <f t="shared" si="239"/>
        <v>16221.929108882918</v>
      </c>
      <c r="O145" s="733"/>
      <c r="P145" s="747">
        <f>$G145*$H145*(1+$K145)^MAX(ROUNDUP(IFERROR(DATEDIF($I145-1,P$15+1,"m"),)/12,)-1,)*Index!L$22*(P$15&lt;=$J145)*(1-P$12)</f>
        <v>0</v>
      </c>
      <c r="Q145" s="747">
        <f>$G145*$H145*(1+$K145)^MAX(ROUNDUP(IFERROR(DATEDIF($I145-1,Q$15+1,"m"),)/12,)-1,)*Index!M$22*(Q$15&lt;=$J145)*(1-Q$12)</f>
        <v>166.036</v>
      </c>
      <c r="R145" s="747">
        <f>$G145*$H145*(1+$K145)^MAX(ROUNDUP(IFERROR(DATEDIF($I145-1,R$15+1,"m"),)/12,)-1,)*Index!N$22*(R$15&lt;=$J145)*(1-R$12)</f>
        <v>166.036</v>
      </c>
      <c r="S145" s="747">
        <f>$G145*$H145*(1+$K145)^MAX(ROUNDUP(IFERROR(DATEDIF($I145-1,S$15+1,"m"),)/12,)-1,)*Index!O$22*(S$15&lt;=$J145)*(1-S$12)</f>
        <v>166.036</v>
      </c>
      <c r="T145" s="747">
        <f>$G145*$H145*(1+$K145)^MAX(ROUNDUP(IFERROR(DATEDIF($I145-1,T$15+1,"m"),)/12,)-1,)*Index!P$22*(T$15&lt;=$J145)*(1-T$12)</f>
        <v>166.036</v>
      </c>
      <c r="U145" s="747">
        <f>$G145*$H145*(1+$K145)^MAX(ROUNDUP(IFERROR(DATEDIF($I145-1,U$15+1,"m"),)/12,)-1,)*Index!Q$22*(U$15&lt;=$J145)*(1-U$12)</f>
        <v>166.036</v>
      </c>
      <c r="V145" s="747">
        <f>$G145*$H145*(1+$K145)^MAX(ROUNDUP(IFERROR(DATEDIF($I145-1,V$15+1,"m"),)/12,)-1,)*Index!R$22*(V$15&lt;=$J145)*(1-V$12)</f>
        <v>166.036</v>
      </c>
      <c r="W145" s="747">
        <f>$G145*$H145*(1+$K145)^MAX(ROUNDUP(IFERROR(DATEDIF($I145-1,W$15+1,"m"),)/12,)-1,)*Index!S$22*(W$15&lt;=$J145)*(1-W$12)</f>
        <v>166.036</v>
      </c>
      <c r="X145" s="747">
        <f>$G145*$H145*(1+$K145)^MAX(ROUNDUP(IFERROR(DATEDIF($I145-1,X$15+1,"m"),)/12,)-1,)*Index!T$22*(X$15&lt;=$J145)*(1-X$12)</f>
        <v>166.036</v>
      </c>
      <c r="Y145" s="747">
        <f>$G145*$H145*(1+$K145)^MAX(ROUNDUP(IFERROR(DATEDIF($I145-1,Y$15+1,"m"),)/12,)-1,)*Index!U$22*(Y$15&lt;=$J145)*(1-Y$12)</f>
        <v>166.036</v>
      </c>
      <c r="Z145" s="747">
        <f>$G145*$H145*(1+$K145)^MAX(ROUNDUP(IFERROR(DATEDIF($I145-1,Z$15+1,"m"),)/12,)-1,)*Index!V$22*(Z$15&lt;=$J145)*(1-Z$12)</f>
        <v>166.036</v>
      </c>
      <c r="AA145" s="747">
        <f>$G145*$H145*(1+$K145)^MAX(ROUNDUP(IFERROR(DATEDIF($I145-1,AA$15+1,"m"),)/12,)-1,)*Index!W$22*(AA$15&lt;=$J145)*(1-AA$12)</f>
        <v>166.036</v>
      </c>
      <c r="AB145" s="747">
        <f>$G145*$H145*(1+$K145)^MAX(ROUNDUP(IFERROR(DATEDIF($I145-1,AB$15+1,"m"),)/12,)-1,)*Index!X$22*(AB$15&lt;=$J145)*(1-AB$12)</f>
        <v>166.036</v>
      </c>
      <c r="AC145" s="747">
        <f>$G145*$H145*(1+$K145)^MAX(ROUNDUP(IFERROR(DATEDIF($I145-1,AC$15+1,"m"),)/12,)-1,)*Index!Y$22*(AC$15&lt;=$J145)*(1-AC$12)</f>
        <v>170.18689999999998</v>
      </c>
      <c r="AD145" s="747">
        <f>$G145*$H145*(1+$K145)^MAX(ROUNDUP(IFERROR(DATEDIF($I145-1,AD$15+1,"m"),)/12,)-1,)*Index!Z$22*(AD$15&lt;=$J145)*(1-AD$12)</f>
        <v>170.18689999999998</v>
      </c>
      <c r="AE145" s="747">
        <f>$G145*$H145*(1+$K145)^MAX(ROUNDUP(IFERROR(DATEDIF($I145-1,AE$15+1,"m"),)/12,)-1,)*Index!AA$22*(AE$15&lt;=$J145)*(1-AE$12)</f>
        <v>170.18689999999998</v>
      </c>
      <c r="AF145" s="747">
        <f>$G145*$H145*(1+$K145)^MAX(ROUNDUP(IFERROR(DATEDIF($I145-1,AF$15+1,"m"),)/12,)-1,)*Index!AB$22*(AF$15&lt;=$J145)*(1-AF$12)</f>
        <v>170.18689999999998</v>
      </c>
      <c r="AG145" s="747">
        <f>$G145*$H145*(1+$K145)^MAX(ROUNDUP(IFERROR(DATEDIF($I145-1,AG$15+1,"m"),)/12,)-1,)*Index!AC$22*(AG$15&lt;=$J145)*(1-AG$12)</f>
        <v>170.18689999999998</v>
      </c>
      <c r="AH145" s="747">
        <f>$G145*$H145*(1+$K145)^MAX(ROUNDUP(IFERROR(DATEDIF($I145-1,AH$15+1,"m"),)/12,)-1,)*Index!AD$22*(AH$15&lt;=$J145)*(1-AH$12)</f>
        <v>170.18689999999998</v>
      </c>
      <c r="AI145" s="747">
        <f>$G145*$H145*(1+$K145)^MAX(ROUNDUP(IFERROR(DATEDIF($I145-1,AI$15+1,"m"),)/12,)-1,)*Index!AE$22*(AI$15&lt;=$J145)*(1-AI$12)</f>
        <v>170.18689999999998</v>
      </c>
      <c r="AJ145" s="747">
        <f>$G145*$H145*(1+$K145)^MAX(ROUNDUP(IFERROR(DATEDIF($I145-1,AJ$15+1,"m"),)/12,)-1,)*Index!AF$22*(AJ$15&lt;=$J145)*(1-AJ$12)</f>
        <v>170.18689999999998</v>
      </c>
      <c r="AK145" s="747">
        <f>$G145*$H145*(1+$K145)^MAX(ROUNDUP(IFERROR(DATEDIF($I145-1,AK$15+1,"m"),)/12,)-1,)*Index!AG$22*(AK$15&lt;=$J145)*(1-AK$12)</f>
        <v>170.18689999999998</v>
      </c>
      <c r="AL145" s="747">
        <f>$G145*$H145*(1+$K145)^MAX(ROUNDUP(IFERROR(DATEDIF($I145-1,AL$15+1,"m"),)/12,)-1,)*Index!AH$22*(AL$15&lt;=$J145)*(1-AL$12)</f>
        <v>170.18689999999998</v>
      </c>
      <c r="AM145" s="747">
        <f>$G145*$H145*(1+$K145)^MAX(ROUNDUP(IFERROR(DATEDIF($I145-1,AM$15+1,"m"),)/12,)-1,)*Index!AI$22*(AM$15&lt;=$J145)*(1-AM$12)</f>
        <v>170.18689999999998</v>
      </c>
      <c r="AN145" s="747">
        <f>$G145*$H145*(1+$K145)^MAX(ROUNDUP(IFERROR(DATEDIF($I145-1,AN$15+1,"m"),)/12,)-1,)*Index!AJ$22*(AN$15&lt;=$J145)*(1-AN$12)</f>
        <v>170.18689999999998</v>
      </c>
      <c r="AO145" s="747">
        <f>$G145*$H145*(1+$K145)^MAX(ROUNDUP(IFERROR(DATEDIF($I145-1,AO$15+1,"m"),)/12,)-1,)*Index!AK$22*(AO$15&lt;=$J145)*(1-AO$12)</f>
        <v>174.44157249999998</v>
      </c>
      <c r="AP145" s="747">
        <f>$G145*$H145*(1+$K145)^MAX(ROUNDUP(IFERROR(DATEDIF($I145-1,AP$15+1,"m"),)/12,)-1,)*Index!AL$22*(AP$15&lt;=$J145)*(1-AP$12)</f>
        <v>174.44157249999998</v>
      </c>
      <c r="AQ145" s="747">
        <f>$G145*$H145*(1+$K145)^MAX(ROUNDUP(IFERROR(DATEDIF($I145-1,AQ$15+1,"m"),)/12,)-1,)*Index!AM$22*(AQ$15&lt;=$J145)*(1-AQ$12)</f>
        <v>174.44157249999998</v>
      </c>
      <c r="AR145" s="747">
        <f>$G145*$H145*(1+$K145)^MAX(ROUNDUP(IFERROR(DATEDIF($I145-1,AR$15+1,"m"),)/12,)-1,)*Index!AN$22*(AR$15&lt;=$J145)*(1-AR$12)</f>
        <v>174.44157249999998</v>
      </c>
      <c r="AS145" s="747">
        <f>$G145*$H145*(1+$K145)^MAX(ROUNDUP(IFERROR(DATEDIF($I145-1,AS$15+1,"m"),)/12,)-1,)*Index!AO$22*(AS$15&lt;=$J145)*(1-AS$12)</f>
        <v>174.44157249999998</v>
      </c>
      <c r="AT145" s="747">
        <f>$G145*$H145*(1+$K145)^MAX(ROUNDUP(IFERROR(DATEDIF($I145-1,AT$15+1,"m"),)/12,)-1,)*Index!AP$22*(AT$15&lt;=$J145)*(1-AT$12)</f>
        <v>174.44157249999998</v>
      </c>
      <c r="AU145" s="747">
        <f>$G145*$H145*(1+$K145)^MAX(ROUNDUP(IFERROR(DATEDIF($I145-1,AU$15+1,"m"),)/12,)-1,)*Index!AQ$22*(AU$15&lt;=$J145)*(1-AU$12)</f>
        <v>174.44157249999998</v>
      </c>
      <c r="AV145" s="747">
        <f>$G145*$H145*(1+$K145)^MAX(ROUNDUP(IFERROR(DATEDIF($I145-1,AV$15+1,"m"),)/12,)-1,)*Index!AR$22*(AV$15&lt;=$J145)*(1-AV$12)</f>
        <v>174.44157249999998</v>
      </c>
      <c r="AW145" s="747">
        <f>$G145*$H145*(1+$K145)^MAX(ROUNDUP(IFERROR(DATEDIF($I145-1,AW$15+1,"m"),)/12,)-1,)*Index!AS$22*(AW$15&lt;=$J145)*(1-AW$12)</f>
        <v>174.44157249999998</v>
      </c>
      <c r="AX145" s="747">
        <f>$G145*$H145*(1+$K145)^MAX(ROUNDUP(IFERROR(DATEDIF($I145-1,AX$15+1,"m"),)/12,)-1,)*Index!AT$22*(AX$15&lt;=$J145)*(1-AX$12)</f>
        <v>174.44157249999998</v>
      </c>
      <c r="AY145" s="747">
        <f>$G145*$H145*(1+$K145)^MAX(ROUNDUP(IFERROR(DATEDIF($I145-1,AY$15+1,"m"),)/12,)-1,)*Index!AU$22*(AY$15&lt;=$J145)*(1-AY$12)</f>
        <v>174.44157249999998</v>
      </c>
      <c r="AZ145" s="747">
        <f>$G145*$H145*(1+$K145)^MAX(ROUNDUP(IFERROR(DATEDIF($I145-1,AZ$15+1,"m"),)/12,)-1,)*Index!AV$22*(AZ$15&lt;=$J145)*(1-AZ$12)</f>
        <v>174.44157249999998</v>
      </c>
      <c r="BA145" s="747">
        <f>$G145*$H145*(1+$K145)^MAX(ROUNDUP(IFERROR(DATEDIF($I145-1,BA$15+1,"m"),)/12,)-1,)*Index!AW$22*(BA$15&lt;=$J145)*(1-BA$12)</f>
        <v>178.80261181249998</v>
      </c>
      <c r="BB145" s="747">
        <f>$G145*$H145*(1+$K145)^MAX(ROUNDUP(IFERROR(DATEDIF($I145-1,BB$15+1,"m"),)/12,)-1,)*Index!AX$22*(BB$15&lt;=$J145)*(1-BB$12)</f>
        <v>178.80261181249998</v>
      </c>
      <c r="BC145" s="747">
        <f>$G145*$H145*(1+$K145)^MAX(ROUNDUP(IFERROR(DATEDIF($I145-1,BC$15+1,"m"),)/12,)-1,)*Index!AY$22*(BC$15&lt;=$J145)*(1-BC$12)</f>
        <v>178.80261181249998</v>
      </c>
      <c r="BD145" s="747">
        <f>$G145*$H145*(1+$K145)^MAX(ROUNDUP(IFERROR(DATEDIF($I145-1,BD$15+1,"m"),)/12,)-1,)*Index!AZ$22*(BD$15&lt;=$J145)*(1-BD$12)</f>
        <v>178.80261181249998</v>
      </c>
      <c r="BE145" s="747">
        <f>$G145*$H145*(1+$K145)^MAX(ROUNDUP(IFERROR(DATEDIF($I145-1,BE$15+1,"m"),)/12,)-1,)*Index!BA$22*(BE$15&lt;=$J145)*(1-BE$12)</f>
        <v>178.80261181249998</v>
      </c>
      <c r="BF145" s="747">
        <f>$G145*$H145*(1+$K145)^MAX(ROUNDUP(IFERROR(DATEDIF($I145-1,BF$15+1,"m"),)/12,)-1,)*Index!BB$22*(BF$15&lt;=$J145)*(1-BF$12)</f>
        <v>178.80261181249998</v>
      </c>
      <c r="BG145" s="747">
        <f>$G145*$H145*(1+$K145)^MAX(ROUNDUP(IFERROR(DATEDIF($I145-1,BG$15+1,"m"),)/12,)-1,)*Index!BC$22*(BG$15&lt;=$J145)*(1-BG$12)</f>
        <v>178.80261181249998</v>
      </c>
      <c r="BH145" s="747">
        <f>$G145*$H145*(1+$K145)^MAX(ROUNDUP(IFERROR(DATEDIF($I145-1,BH$15+1,"m"),)/12,)-1,)*Index!BD$22*(BH$15&lt;=$J145)*(1-BH$12)</f>
        <v>178.80261181249998</v>
      </c>
      <c r="BI145" s="747">
        <f>$G145*$H145*(1+$K145)^MAX(ROUNDUP(IFERROR(DATEDIF($I145-1,BI$15+1,"m"),)/12,)-1,)*Index!BE$22*(BI$15&lt;=$J145)*(1-BI$12)</f>
        <v>178.80261181249998</v>
      </c>
      <c r="BJ145" s="747">
        <f>$G145*$H145*(1+$K145)^MAX(ROUNDUP(IFERROR(DATEDIF($I145-1,BJ$15+1,"m"),)/12,)-1,)*Index!BF$22*(BJ$15&lt;=$J145)*(1-BJ$12)</f>
        <v>178.80261181249998</v>
      </c>
      <c r="BK145" s="747">
        <f>$G145*$H145*(1+$K145)^MAX(ROUNDUP(IFERROR(DATEDIF($I145-1,BK$15+1,"m"),)/12,)-1,)*Index!BG$22*(BK$15&lt;=$J145)*(1-BK$12)</f>
        <v>178.80261181249998</v>
      </c>
      <c r="BL145" s="747">
        <f>$G145*$H145*(1+$K145)^MAX(ROUNDUP(IFERROR(DATEDIF($I145-1,BL$15+1,"m"),)/12,)-1,)*Index!BH$22*(BL$15&lt;=$J145)*(1-BL$12)</f>
        <v>178.80261181249998</v>
      </c>
      <c r="BM145" s="747">
        <f>$G145*$H145*(1+$K145)^MAX(ROUNDUP(IFERROR(DATEDIF($I145-1,BM$15+1,"m"),)/12,)-1,)*Index!BI$22*(BM$15&lt;=$J145)*(1-BM$12)</f>
        <v>183.27267710781246</v>
      </c>
      <c r="BN145" s="747">
        <f>$G145*$H145*(1+$K145)^MAX(ROUNDUP(IFERROR(DATEDIF($I145-1,BN$15+1,"m"),)/12,)-1,)*Index!BJ$22*(BN$15&lt;=$J145)*(1-BN$12)</f>
        <v>183.27267710781246</v>
      </c>
      <c r="BO145" s="747">
        <f>$G145*$H145*(1+$K145)^MAX(ROUNDUP(IFERROR(DATEDIF($I145-1,BO$15+1,"m"),)/12,)-1,)*Index!BK$22*(BO$15&lt;=$J145)*(1-BO$12)</f>
        <v>183.27267710781246</v>
      </c>
      <c r="BP145" s="747">
        <f>$G145*$H145*(1+$K145)^MAX(ROUNDUP(IFERROR(DATEDIF($I145-1,BP$15+1,"m"),)/12,)-1,)*Index!BL$22*(BP$15&lt;=$J145)*(1-BP$12)</f>
        <v>183.27267710781246</v>
      </c>
      <c r="BQ145" s="747">
        <f>$G145*$H145*(1+$K145)^MAX(ROUNDUP(IFERROR(DATEDIF($I145-1,BQ$15+1,"m"),)/12,)-1,)*Index!BM$22*(BQ$15&lt;=$J145)*(1-BQ$12)</f>
        <v>183.27267710781246</v>
      </c>
      <c r="BR145" s="747">
        <f>$G145*$H145*(1+$K145)^MAX(ROUNDUP(IFERROR(DATEDIF($I145-1,BR$15+1,"m"),)/12,)-1,)*Index!BN$22*(BR$15&lt;=$J145)*(1-BR$12)</f>
        <v>183.27267710781246</v>
      </c>
      <c r="BS145" s="747">
        <f>$G145*$H145*(1+$K145)^MAX(ROUNDUP(IFERROR(DATEDIF($I145-1,BS$15+1,"m"),)/12,)-1,)*Index!BO$22*(BS$15&lt;=$J145)*(1-BS$12)</f>
        <v>183.27267710781246</v>
      </c>
      <c r="BT145" s="747">
        <f>$G145*$H145*(1+$K145)^MAX(ROUNDUP(IFERROR(DATEDIF($I145-1,BT$15+1,"m"),)/12,)-1,)*Index!BP$22*(BT$15&lt;=$J145)*(1-BT$12)</f>
        <v>183.27267710781246</v>
      </c>
      <c r="BU145" s="747">
        <f>$G145*$H145*(1+$K145)^MAX(ROUNDUP(IFERROR(DATEDIF($I145-1,BU$15+1,"m"),)/12,)-1,)*Index!BQ$22*(BU$15&lt;=$J145)*(1-BU$12)</f>
        <v>183.27267710781246</v>
      </c>
      <c r="BV145" s="747">
        <f>$G145*$H145*(1+$K145)^MAX(ROUNDUP(IFERROR(DATEDIF($I145-1,BV$15+1,"m"),)/12,)-1,)*Index!BR$22*(BV$15&lt;=$J145)*(1-BV$12)</f>
        <v>183.27267710781246</v>
      </c>
      <c r="BW145" s="747">
        <f>$G145*$H145*(1+$K145)^MAX(ROUNDUP(IFERROR(DATEDIF($I145-1,BW$15+1,"m"),)/12,)-1,)*Index!BS$22*(BW$15&lt;=$J145)*(1-BW$12)</f>
        <v>183.27267710781246</v>
      </c>
      <c r="BX145" s="747">
        <f>$G145*$H145*(1+$K145)^MAX(ROUNDUP(IFERROR(DATEDIF($I145-1,BX$15+1,"m"),)/12,)-1,)*Index!BT$22*(BX$15&lt;=$J145)*(1-BX$12)</f>
        <v>183.27267710781246</v>
      </c>
      <c r="BY145" s="747">
        <f>$G145*$H145*(1+$K145)^MAX(ROUNDUP(IFERROR(DATEDIF($I145-1,BY$15+1,"m"),)/12,)-1,)*Index!BU$22*(BY$15&lt;=$J145)*(1-BY$12)</f>
        <v>187.85449403550777</v>
      </c>
      <c r="BZ145" s="747">
        <f>$G145*$H145*(1+$K145)^MAX(ROUNDUP(IFERROR(DATEDIF($I145-1,BZ$15+1,"m"),)/12,)-1,)*Index!BV$22*(BZ$15&lt;=$J145)*(1-BZ$12)</f>
        <v>187.85449403550777</v>
      </c>
      <c r="CA145" s="747">
        <f>$G145*$H145*(1+$K145)^MAX(ROUNDUP(IFERROR(DATEDIF($I145-1,CA$15+1,"m"),)/12,)-1,)*Index!BW$22*(CA$15&lt;=$J145)*(1-CA$12)</f>
        <v>187.85449403550777</v>
      </c>
      <c r="CB145" s="747">
        <f>$G145*$H145*(1+$K145)^MAX(ROUNDUP(IFERROR(DATEDIF($I145-1,CB$15+1,"m"),)/12,)-1,)*Index!BX$22*(CB$15&lt;=$J145)*(1-CB$12)</f>
        <v>187.85449403550777</v>
      </c>
      <c r="CC145" s="747">
        <f>$G145*$H145*(1+$K145)^MAX(ROUNDUP(IFERROR(DATEDIF($I145-1,CC$15+1,"m"),)/12,)-1,)*Index!BY$22*(CC$15&lt;=$J145)*(1-CC$12)</f>
        <v>187.85449403550777</v>
      </c>
      <c r="CD145" s="747">
        <f>$G145*$H145*(1+$K145)^MAX(ROUNDUP(IFERROR(DATEDIF($I145-1,CD$15+1,"m"),)/12,)-1,)*Index!BZ$22*(CD$15&lt;=$J145)*(1-CD$12)</f>
        <v>187.85449403550777</v>
      </c>
      <c r="CE145" s="747">
        <f>$G145*$H145*(1+$K145)^MAX(ROUNDUP(IFERROR(DATEDIF($I145-1,CE$15+1,"m"),)/12,)-1,)*Index!CA$22*(CE$15&lt;=$J145)*(1-CE$12)</f>
        <v>187.85449403550777</v>
      </c>
      <c r="CF145" s="747">
        <f>$G145*$H145*(1+$K145)^MAX(ROUNDUP(IFERROR(DATEDIF($I145-1,CF$15+1,"m"),)/12,)-1,)*Index!CB$22*(CF$15&lt;=$J145)*(1-CF$12)</f>
        <v>187.85449403550777</v>
      </c>
      <c r="CG145" s="747">
        <f>$G145*$H145*(1+$K145)^MAX(ROUNDUP(IFERROR(DATEDIF($I145-1,CG$15+1,"m"),)/12,)-1,)*Index!CC$22*(CG$15&lt;=$J145)*(1-CG$12)</f>
        <v>187.85449403550777</v>
      </c>
      <c r="CH145" s="747">
        <f>$G145*$H145*(1+$K145)^MAX(ROUNDUP(IFERROR(DATEDIF($I145-1,CH$15+1,"m"),)/12,)-1,)*Index!CD$22*(CH$15&lt;=$J145)*(1-CH$12)</f>
        <v>187.85449403550777</v>
      </c>
      <c r="CI145" s="747">
        <f>$G145*$H145*(1+$K145)^MAX(ROUNDUP(IFERROR(DATEDIF($I145-1,CI$15+1,"m"),)/12,)-1,)*Index!CE$22*(CI$15&lt;=$J145)*(1-CI$12)</f>
        <v>187.85449403550777</v>
      </c>
      <c r="CJ145" s="747">
        <f>$G145*$H145*(1+$K145)^MAX(ROUNDUP(IFERROR(DATEDIF($I145-1,CJ$15+1,"m"),)/12,)-1,)*Index!CF$22*(CJ$15&lt;=$J145)*(1-CJ$12)</f>
        <v>187.85449403550777</v>
      </c>
      <c r="CK145" s="747">
        <f>$G145*$H145*(1+$K145)^MAX(ROUNDUP(IFERROR(DATEDIF($I145-1,CK$15+1,"m"),)/12,)-1,)*Index!CG$22*(CK$15&lt;=$J145)*(1-CK$12)</f>
        <v>192.55085638639542</v>
      </c>
      <c r="CL145" s="747">
        <f>$G145*$H145*(1+$K145)^MAX(ROUNDUP(IFERROR(DATEDIF($I145-1,CL$15+1,"m"),)/12,)-1,)*Index!CH$22*(CL$15&lt;=$J145)*(1-CL$12)</f>
        <v>192.55085638639542</v>
      </c>
      <c r="CM145" s="747">
        <f>$G145*$H145*(1+$K145)^MAX(ROUNDUP(IFERROR(DATEDIF($I145-1,CM$15+1,"m"),)/12,)-1,)*Index!CI$22*(CM$15&lt;=$J145)*(1-CM$12)</f>
        <v>192.55085638639542</v>
      </c>
      <c r="CN145" s="747">
        <f>$G145*$H145*(1+$K145)^MAX(ROUNDUP(IFERROR(DATEDIF($I145-1,CN$15+1,"m"),)/12,)-1,)*Index!CJ$22*(CN$15&lt;=$J145)*(1-CN$12)</f>
        <v>192.55085638639542</v>
      </c>
      <c r="CO145" s="747">
        <f>$G145*$H145*(1+$K145)^MAX(ROUNDUP(IFERROR(DATEDIF($I145-1,CO$15+1,"m"),)/12,)-1,)*Index!CK$22*(CO$15&lt;=$J145)*(1-CO$12)</f>
        <v>192.55085638639542</v>
      </c>
      <c r="CP145" s="747">
        <f>$G145*$H145*(1+$K145)^MAX(ROUNDUP(IFERROR(DATEDIF($I145-1,CP$15+1,"m"),)/12,)-1,)*Index!CL$22*(CP$15&lt;=$J145)*(1-CP$12)</f>
        <v>192.55085638639542</v>
      </c>
      <c r="CQ145" s="747">
        <f>$G145*$H145*(1+$K145)^MAX(ROUNDUP(IFERROR(DATEDIF($I145-1,CQ$15+1,"m"),)/12,)-1,)*Index!CM$22*(CQ$15&lt;=$J145)*(1-CQ$12)</f>
        <v>192.55085638639542</v>
      </c>
      <c r="CR145" s="747">
        <f>$G145*$H145*(1+$K145)^MAX(ROUNDUP(IFERROR(DATEDIF($I145-1,CR$15+1,"m"),)/12,)-1,)*Index!CN$22*(CR$15&lt;=$J145)*(1-CR$12)</f>
        <v>192.55085638639542</v>
      </c>
      <c r="CS145" s="747">
        <f>$G145*$H145*(1+$K145)^MAX(ROUNDUP(IFERROR(DATEDIF($I145-1,CS$15+1,"m"),)/12,)-1,)*Index!CO$22*(CS$15&lt;=$J145)*(1-CS$12)</f>
        <v>192.55085638639542</v>
      </c>
      <c r="CT145" s="747">
        <f>$G145*$H145*(1+$K145)^MAX(ROUNDUP(IFERROR(DATEDIF($I145-1,CT$15+1,"m"),)/12,)-1,)*Index!CP$22*(CT$15&lt;=$J145)*(1-CT$12)</f>
        <v>192.55085638639542</v>
      </c>
      <c r="CU145" s="747">
        <f>$G145*$H145*(1+$K145)^MAX(ROUNDUP(IFERROR(DATEDIF($I145-1,CU$15+1,"m"),)/12,)-1,)*Index!CQ$22*(CU$15&lt;=$J145)*(1-CU$12)</f>
        <v>192.55085638639542</v>
      </c>
      <c r="CV145" s="747">
        <f>$G145*$H145*(1+$K145)^MAX(ROUNDUP(IFERROR(DATEDIF($I145-1,CV$15+1,"m"),)/12,)-1,)*Index!CR$22*(CV$15&lt;=$J145)*(1-CV$12)</f>
        <v>192.55085638639542</v>
      </c>
      <c r="CW145" s="747">
        <f>$G145*$H145*(1+$K145)^MAX(ROUNDUP(IFERROR(DATEDIF($I145-1,CW$15+1,"m"),)/12,)-1,)*Index!CS$22*(CW$15&lt;=$J145)*(1-CW$12)</f>
        <v>197.36462779605534</v>
      </c>
      <c r="CX145" s="747">
        <f>$G145*$H145*(1+$K145)^MAX(ROUNDUP(IFERROR(DATEDIF($I145-1,CX$15+1,"m"),)/12,)-1,)*Index!CT$22*(CX$15&lt;=$J145)*(1-CX$12)</f>
        <v>197.36462779605534</v>
      </c>
      <c r="CY145" s="747">
        <f>$G145*$H145*(1+$K145)^MAX(ROUNDUP(IFERROR(DATEDIF($I145-1,CY$15+1,"m"),)/12,)-1,)*Index!CU$22*(CY$15&lt;=$J145)*(1-CY$12)</f>
        <v>197.36462779605534</v>
      </c>
      <c r="CZ145" s="747">
        <f>$G145*$H145*(1+$K145)^MAX(ROUNDUP(IFERROR(DATEDIF($I145-1,CZ$15+1,"m"),)/12,)-1,)*Index!CV$22*(CZ$15&lt;=$J145)*(1-CZ$12)</f>
        <v>197.36462779605534</v>
      </c>
      <c r="DA145" s="747">
        <f>$G145*$H145*(1+$K145)^MAX(ROUNDUP(IFERROR(DATEDIF($I145-1,DA$15+1,"m"),)/12,)-1,)*Index!CW$22*(DA$15&lt;=$J145)*(1-DA$12)</f>
        <v>197.36462779605534</v>
      </c>
      <c r="DB145" s="747">
        <f>$G145*$H145*(1+$K145)^MAX(ROUNDUP(IFERROR(DATEDIF($I145-1,DB$15+1,"m"),)/12,)-1,)*Index!CX$22*(DB$15&lt;=$J145)*(1-DB$12)</f>
        <v>197.36462779605534</v>
      </c>
      <c r="DC145" s="747">
        <f>$G145*$H145*(1+$K145)^MAX(ROUNDUP(IFERROR(DATEDIF($I145-1,DC$15+1,"m"),)/12,)-1,)*Index!CY$22*(DC$15&lt;=$J145)*(1-DC$12)</f>
        <v>0</v>
      </c>
      <c r="DD145" s="747">
        <f>$G145*$H145*(1+$K145)^MAX(ROUNDUP(IFERROR(DATEDIF($I145-1,DD$15+1,"m"),)/12,)-1,)*Index!CZ$22*(DD$15&lt;=$J145)*(1-DD$12)</f>
        <v>0</v>
      </c>
      <c r="DE145" s="747">
        <f>$G145*$H145*(1+$K145)^MAX(ROUNDUP(IFERROR(DATEDIF($I145-1,DE$15+1,"m"),)/12,)-1,)*Index!DA$22*(DE$15&lt;=$J145)*(1-DE$12)</f>
        <v>0</v>
      </c>
      <c r="DF145" s="747">
        <f>$G145*$H145*(1+$K145)^MAX(ROUNDUP(IFERROR(DATEDIF($I145-1,DF$15+1,"m"),)/12,)-1,)*Index!DB$22*(DF$15&lt;=$J145)*(1-DF$12)</f>
        <v>0</v>
      </c>
      <c r="DG145" s="747">
        <f>$G145*$H145*(1+$K145)^MAX(ROUNDUP(IFERROR(DATEDIF($I145-1,DG$15+1,"m"),)/12,)-1,)*Index!DC$22*(DG$15&lt;=$J145)*(1-DG$12)</f>
        <v>0</v>
      </c>
      <c r="DH145" s="747">
        <f>$G145*$H145*(1+$K145)^MAX(ROUNDUP(IFERROR(DATEDIF($I145-1,DH$15+1,"m"),)/12,)-1,)*Index!DD$22*(DH$15&lt;=$J145)*(1-DH$12)</f>
        <v>0</v>
      </c>
      <c r="DI145" s="747">
        <f>$G145*$H145*(1+$K145)^MAX(ROUNDUP(IFERROR(DATEDIF($I145-1,DI$15+1,"m"),)/12,)-1,)*Index!DE$22*(DI$15&lt;=$J145)*(1-DI$12)</f>
        <v>0</v>
      </c>
      <c r="DJ145" s="747">
        <f>$G145*$H145*(1+$K145)^MAX(ROUNDUP(IFERROR(DATEDIF($I145-1,DJ$15+1,"m"),)/12,)-1,)*Index!DF$22*(DJ$15&lt;=$J145)*(1-DJ$12)</f>
        <v>0</v>
      </c>
      <c r="DK145" s="747">
        <f>$G145*$H145*(1+$K145)^MAX(ROUNDUP(IFERROR(DATEDIF($I145-1,DK$15+1,"m"),)/12,)-1,)*Index!DG$22*(DK$15&lt;=$J145)*(1-DK$12)</f>
        <v>0</v>
      </c>
      <c r="DL145" s="747">
        <f>$G145*$H145*(1+$K145)^MAX(ROUNDUP(IFERROR(DATEDIF($I145-1,DL$15+1,"m"),)/12,)-1,)*Index!DH$22*(DL$15&lt;=$J145)*(1-DL$12)</f>
        <v>0</v>
      </c>
      <c r="DM145" s="747">
        <f>$G145*$H145*(1+$K145)^MAX(ROUNDUP(IFERROR(DATEDIF($I145-1,DM$15+1,"m"),)/12,)-1,)*Index!DI$22*(DM$15&lt;=$J145)*(1-DM$12)</f>
        <v>0</v>
      </c>
      <c r="DN145" s="747">
        <f>$G145*$H145*(1+$K145)^MAX(ROUNDUP(IFERROR(DATEDIF($I145-1,DN$15+1,"m"),)/12,)-1,)*Index!DJ$22*(DN$15&lt;=$J145)*(1-DN$12)</f>
        <v>0</v>
      </c>
      <c r="DO145" s="747">
        <f>$G145*$H145*(1+$K145)^MAX(ROUNDUP(IFERROR(DATEDIF($I145-1,DO$15+1,"m"),)/12,)-1,)*Index!DK$22*(DO$15&lt;=$J145)*(1-DO$12)</f>
        <v>0</v>
      </c>
      <c r="DP145" s="747">
        <f>$G145*$H145*(1+$K145)^MAX(ROUNDUP(IFERROR(DATEDIF($I145-1,DP$15+1,"m"),)/12,)-1,)*Index!DL$22*(DP$15&lt;=$J145)*(1-DP$12)</f>
        <v>0</v>
      </c>
      <c r="DQ145" s="747">
        <f>$G145*$H145*(1+$K145)^MAX(ROUNDUP(IFERROR(DATEDIF($I145-1,DQ$15+1,"m"),)/12,)-1,)*Index!DM$22*(DQ$15&lt;=$J145)*(1-DQ$12)</f>
        <v>0</v>
      </c>
      <c r="DR145" s="747">
        <f>$G145*$H145*(1+$K145)^MAX(ROUNDUP(IFERROR(DATEDIF($I145-1,DR$15+1,"m"),)/12,)-1,)*Index!DN$22*(DR$15&lt;=$J145)*(1-DR$12)</f>
        <v>0</v>
      </c>
      <c r="DS145" s="747">
        <f>$G145*$H145*(1+$K145)^MAX(ROUNDUP(IFERROR(DATEDIF($I145-1,DS$15+1,"m"),)/12,)-1,)*Index!DO$22*(DS$15&lt;=$J145)*(1-DS$12)</f>
        <v>0</v>
      </c>
      <c r="DT145" s="747">
        <f>$G145*$H145*(1+$K145)^MAX(ROUNDUP(IFERROR(DATEDIF($I145-1,DT$15+1,"m"),)/12,)-1,)*Index!DP$22*(DT$15&lt;=$J145)*(1-DT$12)</f>
        <v>0</v>
      </c>
      <c r="DU145" s="747">
        <f>$G145*$H145*(1+$K145)^MAX(ROUNDUP(IFERROR(DATEDIF($I145-1,DU$15+1,"m"),)/12,)-1,)*Index!DQ$22*(DU$15&lt;=$J145)*(1-DU$12)</f>
        <v>0</v>
      </c>
      <c r="DV145" s="747">
        <f>$G145*$H145*(1+$K145)^MAX(ROUNDUP(IFERROR(DATEDIF($I145-1,DV$15+1,"m"),)/12,)-1,)*Index!DR$22*(DV$15&lt;=$J145)*(1-DV$12)</f>
        <v>0</v>
      </c>
      <c r="DW145" s="747">
        <f>$G145*$H145*(1+$K145)^MAX(ROUNDUP(IFERROR(DATEDIF($I145-1,DW$15+1,"m"),)/12,)-1,)*Index!DS$22*(DW$15&lt;=$J145)*(1-DW$12)</f>
        <v>0</v>
      </c>
      <c r="DX145" s="747">
        <f>$G145*$H145*(1+$K145)^MAX(ROUNDUP(IFERROR(DATEDIF($I145-1,DX$15+1,"m"),)/12,)-1,)*Index!DT$22*(DX$15&lt;=$J145)*(1-DX$12)</f>
        <v>0</v>
      </c>
      <c r="DY145" s="747">
        <f>$G145*$H145*(1+$K145)^MAX(ROUNDUP(IFERROR(DATEDIF($I145-1,DY$15+1,"m"),)/12,)-1,)*Index!DU$22*(DY$15&lt;=$J145)*(1-DY$12)</f>
        <v>0</v>
      </c>
      <c r="DZ145" s="747">
        <f>$G145*$H145*(1+$K145)^MAX(ROUNDUP(IFERROR(DATEDIF($I145-1,DZ$15+1,"m"),)/12,)-1,)*Index!DV$22*(DZ$15&lt;=$J145)*(1-DZ$12)</f>
        <v>0</v>
      </c>
      <c r="EA145" s="747">
        <f>$G145*$H145*(1+$K145)^MAX(ROUNDUP(IFERROR(DATEDIF($I145-1,EA$15+1,"m"),)/12,)-1,)*Index!DW$22*(EA$15&lt;=$J145)*(1-EA$12)</f>
        <v>0</v>
      </c>
      <c r="EB145" s="747">
        <f>$G145*$H145*(1+$K145)^MAX(ROUNDUP(IFERROR(DATEDIF($I145-1,EB$15+1,"m"),)/12,)-1,)*Index!DX$22*(EB$15&lt;=$J145)*(1-EB$12)</f>
        <v>0</v>
      </c>
      <c r="EC145" s="747">
        <f>$G145*$H145*(1+$K145)^MAX(ROUNDUP(IFERROR(DATEDIF($I145-1,EC$15+1,"m"),)/12,)-1,)*Index!DY$22*(EC$15&lt;=$J145)*(1-EC$12)</f>
        <v>0</v>
      </c>
      <c r="ED145" s="747">
        <f>$G145*$H145*(1+$K145)^MAX(ROUNDUP(IFERROR(DATEDIF($I145-1,ED$15+1,"m"),)/12,)-1,)*Index!DZ$22*(ED$15&lt;=$J145)*(1-ED$12)</f>
        <v>0</v>
      </c>
      <c r="EE145" s="747">
        <f>$G145*$H145*(1+$K145)^MAX(ROUNDUP(IFERROR(DATEDIF($I145-1,EE$15+1,"m"),)/12,)-1,)*Index!EA$22*(EE$15&lt;=$J145)*(1-EE$12)</f>
        <v>0</v>
      </c>
      <c r="EF145" s="747">
        <f>$G145*$H145*(1+$K145)^MAX(ROUNDUP(IFERROR(DATEDIF($I145-1,EF$15+1,"m"),)/12,)-1,)*Index!EB$22*(EF$15&lt;=$J145)*(1-EF$12)</f>
        <v>0</v>
      </c>
      <c r="EG145" s="747">
        <f>$G145*$H145*(1+$K145)^MAX(ROUNDUP(IFERROR(DATEDIF($I145-1,EG$15+1,"m"),)/12,)-1,)*Index!EC$22*(EG$15&lt;=$J145)*(1-EG$12)</f>
        <v>0</v>
      </c>
      <c r="EH145" s="747">
        <f>$G145*$H145*(1+$K145)^MAX(ROUNDUP(IFERROR(DATEDIF($I145-1,EH$15+1,"m"),)/12,)-1,)*Index!ED$22*(EH$15&lt;=$J145)*(1-EH$12)</f>
        <v>0</v>
      </c>
      <c r="EI145" s="747">
        <f>$G145*$H145*(1+$K145)^MAX(ROUNDUP(IFERROR(DATEDIF($I145-1,EI$15+1,"m"),)/12,)-1,)*Index!EE$22*(EI$15&lt;=$J145)*(1-EI$12)</f>
        <v>0</v>
      </c>
      <c r="EJ145" s="747">
        <f>$G145*$H145*(1+$K145)^MAX(ROUNDUP(IFERROR(DATEDIF($I145-1,EJ$15+1,"m"),)/12,)-1,)*Index!EF$22*(EJ$15&lt;=$J145)*(1-EJ$12)</f>
        <v>0</v>
      </c>
      <c r="EK145" s="747">
        <f>$G145*$H145*(1+$K145)^MAX(ROUNDUP(IFERROR(DATEDIF($I145-1,EK$15+1,"m"),)/12,)-1,)*Index!EG$22*(EK$15&lt;=$J145)*(1-EK$12)</f>
        <v>0</v>
      </c>
      <c r="EL145" s="747">
        <f>$G145*$H145*(1+$K145)^MAX(ROUNDUP(IFERROR(DATEDIF($I145-1,EL$15+1,"m"),)/12,)-1,)*Index!EH$22*(EL$15&lt;=$J145)*(1-EL$12)</f>
        <v>0</v>
      </c>
      <c r="EM145" s="747">
        <f>$G145*$H145*(1+$K145)^MAX(ROUNDUP(IFERROR(DATEDIF($I145-1,EM$15+1,"m"),)/12,)-1,)*Index!EI$22*(EM$15&lt;=$J145)*(1-EM$12)</f>
        <v>0</v>
      </c>
      <c r="EN145" s="747">
        <f>$G145*$H145*(1+$K145)^MAX(ROUNDUP(IFERROR(DATEDIF($I145-1,EN$15+1,"m"),)/12,)-1,)*Index!EJ$22*(EN$15&lt;=$J145)*(1-EN$12)</f>
        <v>0</v>
      </c>
      <c r="EO145" s="747">
        <f>$G145*$H145*(1+$K145)^MAX(ROUNDUP(IFERROR(DATEDIF($I145-1,EO$15+1,"m"),)/12,)-1,)*Index!EK$22*(EO$15&lt;=$J145)*(1-EO$12)</f>
        <v>0</v>
      </c>
      <c r="EP145" s="747">
        <f>$G145*$H145*(1+$K145)^MAX(ROUNDUP(IFERROR(DATEDIF($I145-1,EP$15+1,"m"),)/12,)-1,)*Index!EL$22*(EP$15&lt;=$J145)*(1-EP$12)</f>
        <v>0</v>
      </c>
      <c r="EQ145" s="747">
        <f>$G145*$H145*(1+$K145)^MAX(ROUNDUP(IFERROR(DATEDIF($I145-1,EQ$15+1,"m"),)/12,)-1,)*Index!EM$22*(EQ$15&lt;=$J145)*(1-EQ$12)</f>
        <v>0</v>
      </c>
      <c r="ER145" s="747">
        <f>$G145*$H145*(1+$K145)^MAX(ROUNDUP(IFERROR(DATEDIF($I145-1,ER$15+1,"m"),)/12,)-1,)*Index!EN$22*(ER$15&lt;=$J145)*(1-ER$12)</f>
        <v>0</v>
      </c>
      <c r="ES145" s="747">
        <f>$G145*$H145*(1+$K145)^MAX(ROUNDUP(IFERROR(DATEDIF($I145-1,ES$15+1,"m"),)/12,)-1,)*Index!EO$22*(ES$15&lt;=$J145)*(1-ES$12)</f>
        <v>0</v>
      </c>
      <c r="ET145" s="747">
        <f>$G145*$H145*(1+$K145)^MAX(ROUNDUP(IFERROR(DATEDIF($I145-1,ET$15+1,"m"),)/12,)-1,)*Index!EP$22*(ET$15&lt;=$J145)*(1-ET$12)</f>
        <v>0</v>
      </c>
      <c r="EU145" s="747">
        <f>$G145*$H145*(1+$K145)^MAX(ROUNDUP(IFERROR(DATEDIF($I145-1,EU$15+1,"m"),)/12,)-1,)*Index!EQ$22*(EU$15&lt;=$J145)*(1-EU$12)</f>
        <v>0</v>
      </c>
    </row>
    <row r="146" spans="3:151" ht="11.25" customHeight="1">
      <c r="C146" s="735"/>
      <c r="D146" s="743">
        <f t="shared" si="237"/>
        <v>8</v>
      </c>
      <c r="E146" s="704" t="str">
        <f t="shared" si="237"/>
        <v>키즈밀</v>
      </c>
      <c r="F146" s="704" t="str">
        <f t="shared" si="237"/>
        <v>근린생활시설</v>
      </c>
      <c r="G146" s="781">
        <f>'A&amp;R'!AD9/1000</f>
        <v>3</v>
      </c>
      <c r="H146" s="744">
        <f>'A&amp;R'!Y9</f>
        <v>479.38</v>
      </c>
      <c r="I146" s="745">
        <f t="shared" si="238"/>
        <v>45658</v>
      </c>
      <c r="J146" s="745">
        <f t="shared" si="238"/>
        <v>47483</v>
      </c>
      <c r="K146" s="754">
        <f t="shared" si="238"/>
        <v>2.5000000000000001E-2</v>
      </c>
      <c r="L146" s="746"/>
      <c r="M146" s="722"/>
      <c r="N146" s="747">
        <f t="shared" si="239"/>
        <v>58713.420497531224</v>
      </c>
      <c r="O146" s="733"/>
      <c r="P146" s="747">
        <f>$G146*$H146*(1+$K146)^MAX(ROUNDUP(IFERROR(DATEDIF($I146-1,P$15+1,"m"),)/12,)-1,)*Index!L$22*(P$15&lt;=$J146)*(1-P$12)</f>
        <v>0</v>
      </c>
      <c r="Q146" s="747">
        <f>$G146*$H146*(1+$K146)^MAX(ROUNDUP(IFERROR(DATEDIF($I146-1,Q$15+1,"m"),)/12,)-1,)*Index!M$22*(Q$15&lt;=$J146)*(1-Q$12)</f>
        <v>1474.0934999999997</v>
      </c>
      <c r="R146" s="747">
        <f>$G146*$H146*(1+$K146)^MAX(ROUNDUP(IFERROR(DATEDIF($I146-1,R$15+1,"m"),)/12,)-1,)*Index!N$22*(R$15&lt;=$J146)*(1-R$12)</f>
        <v>1474.0934999999997</v>
      </c>
      <c r="S146" s="747">
        <f>$G146*$H146*(1+$K146)^MAX(ROUNDUP(IFERROR(DATEDIF($I146-1,S$15+1,"m"),)/12,)-1,)*Index!O$22*(S$15&lt;=$J146)*(1-S$12)</f>
        <v>1510.9458374999997</v>
      </c>
      <c r="T146" s="747">
        <f>$G146*$H146*(1+$K146)^MAX(ROUNDUP(IFERROR(DATEDIF($I146-1,T$15+1,"m"),)/12,)-1,)*Index!P$22*(T$15&lt;=$J146)*(1-T$12)</f>
        <v>1510.9458374999997</v>
      </c>
      <c r="U146" s="747">
        <f>$G146*$H146*(1+$K146)^MAX(ROUNDUP(IFERROR(DATEDIF($I146-1,U$15+1,"m"),)/12,)-1,)*Index!Q$22*(U$15&lt;=$J146)*(1-U$12)</f>
        <v>1510.9458374999997</v>
      </c>
      <c r="V146" s="747">
        <f>$G146*$H146*(1+$K146)^MAX(ROUNDUP(IFERROR(DATEDIF($I146-1,V$15+1,"m"),)/12,)-1,)*Index!R$22*(V$15&lt;=$J146)*(1-V$12)</f>
        <v>1510.9458374999997</v>
      </c>
      <c r="W146" s="747">
        <f>$G146*$H146*(1+$K146)^MAX(ROUNDUP(IFERROR(DATEDIF($I146-1,W$15+1,"m"),)/12,)-1,)*Index!S$22*(W$15&lt;=$J146)*(1-W$12)</f>
        <v>1510.9458374999997</v>
      </c>
      <c r="X146" s="747">
        <f>$G146*$H146*(1+$K146)^MAX(ROUNDUP(IFERROR(DATEDIF($I146-1,X$15+1,"m"),)/12,)-1,)*Index!T$22*(X$15&lt;=$J146)*(1-X$12)</f>
        <v>1510.9458374999997</v>
      </c>
      <c r="Y146" s="747">
        <f>$G146*$H146*(1+$K146)^MAX(ROUNDUP(IFERROR(DATEDIF($I146-1,Y$15+1,"m"),)/12,)-1,)*Index!U$22*(Y$15&lt;=$J146)*(1-Y$12)</f>
        <v>1510.9458374999997</v>
      </c>
      <c r="Z146" s="747">
        <f>$G146*$H146*(1+$K146)^MAX(ROUNDUP(IFERROR(DATEDIF($I146-1,Z$15+1,"m"),)/12,)-1,)*Index!V$22*(Z$15&lt;=$J146)*(1-Z$12)</f>
        <v>1510.9458374999997</v>
      </c>
      <c r="AA146" s="747">
        <f>$G146*$H146*(1+$K146)^MAX(ROUNDUP(IFERROR(DATEDIF($I146-1,AA$15+1,"m"),)/12,)-1,)*Index!W$22*(AA$15&lt;=$J146)*(1-AA$12)</f>
        <v>1510.9458374999997</v>
      </c>
      <c r="AB146" s="747">
        <f>$G146*$H146*(1+$K146)^MAX(ROUNDUP(IFERROR(DATEDIF($I146-1,AB$15+1,"m"),)/12,)-1,)*Index!X$22*(AB$15&lt;=$J146)*(1-AB$12)</f>
        <v>1510.9458374999997</v>
      </c>
      <c r="AC146" s="747">
        <f>$G146*$H146*(1+$K146)^MAX(ROUNDUP(IFERROR(DATEDIF($I146-1,AC$15+1,"m"),)/12,)-1,)*Index!Y$22*(AC$15&lt;=$J146)*(1-AC$12)</f>
        <v>1510.9458374999997</v>
      </c>
      <c r="AD146" s="747">
        <f>$G146*$H146*(1+$K146)^MAX(ROUNDUP(IFERROR(DATEDIF($I146-1,AD$15+1,"m"),)/12,)-1,)*Index!Z$22*(AD$15&lt;=$J146)*(1-AD$12)</f>
        <v>1510.9458374999997</v>
      </c>
      <c r="AE146" s="747">
        <f>$G146*$H146*(1+$K146)^MAX(ROUNDUP(IFERROR(DATEDIF($I146-1,AE$15+1,"m"),)/12,)-1,)*Index!AA$22*(AE$15&lt;=$J146)*(1-AE$12)</f>
        <v>1548.7194834374998</v>
      </c>
      <c r="AF146" s="747">
        <f>$G146*$H146*(1+$K146)^MAX(ROUNDUP(IFERROR(DATEDIF($I146-1,AF$15+1,"m"),)/12,)-1,)*Index!AB$22*(AF$15&lt;=$J146)*(1-AF$12)</f>
        <v>1548.7194834374998</v>
      </c>
      <c r="AG146" s="747">
        <f>$G146*$H146*(1+$K146)^MAX(ROUNDUP(IFERROR(DATEDIF($I146-1,AG$15+1,"m"),)/12,)-1,)*Index!AC$22*(AG$15&lt;=$J146)*(1-AG$12)</f>
        <v>1548.7194834374998</v>
      </c>
      <c r="AH146" s="747">
        <f>$G146*$H146*(1+$K146)^MAX(ROUNDUP(IFERROR(DATEDIF($I146-1,AH$15+1,"m"),)/12,)-1,)*Index!AD$22*(AH$15&lt;=$J146)*(1-AH$12)</f>
        <v>1548.7194834374998</v>
      </c>
      <c r="AI146" s="747">
        <f>$G146*$H146*(1+$K146)^MAX(ROUNDUP(IFERROR(DATEDIF($I146-1,AI$15+1,"m"),)/12,)-1,)*Index!AE$22*(AI$15&lt;=$J146)*(1-AI$12)</f>
        <v>1548.7194834374998</v>
      </c>
      <c r="AJ146" s="747">
        <f>$G146*$H146*(1+$K146)^MAX(ROUNDUP(IFERROR(DATEDIF($I146-1,AJ$15+1,"m"),)/12,)-1,)*Index!AF$22*(AJ$15&lt;=$J146)*(1-AJ$12)</f>
        <v>1548.7194834374998</v>
      </c>
      <c r="AK146" s="747">
        <f>$G146*$H146*(1+$K146)^MAX(ROUNDUP(IFERROR(DATEDIF($I146-1,AK$15+1,"m"),)/12,)-1,)*Index!AG$22*(AK$15&lt;=$J146)*(1-AK$12)</f>
        <v>1548.7194834374998</v>
      </c>
      <c r="AL146" s="747">
        <f>$G146*$H146*(1+$K146)^MAX(ROUNDUP(IFERROR(DATEDIF($I146-1,AL$15+1,"m"),)/12,)-1,)*Index!AH$22*(AL$15&lt;=$J146)*(1-AL$12)</f>
        <v>1548.7194834374998</v>
      </c>
      <c r="AM146" s="747">
        <f>$G146*$H146*(1+$K146)^MAX(ROUNDUP(IFERROR(DATEDIF($I146-1,AM$15+1,"m"),)/12,)-1,)*Index!AI$22*(AM$15&lt;=$J146)*(1-AM$12)</f>
        <v>1548.7194834374998</v>
      </c>
      <c r="AN146" s="747">
        <f>$G146*$H146*(1+$K146)^MAX(ROUNDUP(IFERROR(DATEDIF($I146-1,AN$15+1,"m"),)/12,)-1,)*Index!AJ$22*(AN$15&lt;=$J146)*(1-AN$12)</f>
        <v>1548.7194834374998</v>
      </c>
      <c r="AO146" s="747">
        <f>$G146*$H146*(1+$K146)^MAX(ROUNDUP(IFERROR(DATEDIF($I146-1,AO$15+1,"m"),)/12,)-1,)*Index!AK$22*(AO$15&lt;=$J146)*(1-AO$12)</f>
        <v>1548.7194834374998</v>
      </c>
      <c r="AP146" s="747">
        <f>$G146*$H146*(1+$K146)^MAX(ROUNDUP(IFERROR(DATEDIF($I146-1,AP$15+1,"m"),)/12,)-1,)*Index!AL$22*(AP$15&lt;=$J146)*(1-AP$12)</f>
        <v>1548.7194834374998</v>
      </c>
      <c r="AQ146" s="747">
        <f>$G146*$H146*(1+$K146)^MAX(ROUNDUP(IFERROR(DATEDIF($I146-1,AQ$15+1,"m"),)/12,)-1,)*Index!AM$22*(AQ$15&lt;=$J146)*(1-AQ$12)</f>
        <v>1587.437470523437</v>
      </c>
      <c r="AR146" s="747">
        <f>$G146*$H146*(1+$K146)^MAX(ROUNDUP(IFERROR(DATEDIF($I146-1,AR$15+1,"m"),)/12,)-1,)*Index!AN$22*(AR$15&lt;=$J146)*(1-AR$12)</f>
        <v>1587.437470523437</v>
      </c>
      <c r="AS146" s="747">
        <f>$G146*$H146*(1+$K146)^MAX(ROUNDUP(IFERROR(DATEDIF($I146-1,AS$15+1,"m"),)/12,)-1,)*Index!AO$22*(AS$15&lt;=$J146)*(1-AS$12)</f>
        <v>1587.437470523437</v>
      </c>
      <c r="AT146" s="747">
        <f>$G146*$H146*(1+$K146)^MAX(ROUNDUP(IFERROR(DATEDIF($I146-1,AT$15+1,"m"),)/12,)-1,)*Index!AP$22*(AT$15&lt;=$J146)*(1-AT$12)</f>
        <v>1587.437470523437</v>
      </c>
      <c r="AU146" s="747">
        <f>$G146*$H146*(1+$K146)^MAX(ROUNDUP(IFERROR(DATEDIF($I146-1,AU$15+1,"m"),)/12,)-1,)*Index!AQ$22*(AU$15&lt;=$J146)*(1-AU$12)</f>
        <v>1587.437470523437</v>
      </c>
      <c r="AV146" s="747">
        <f>$G146*$H146*(1+$K146)^MAX(ROUNDUP(IFERROR(DATEDIF($I146-1,AV$15+1,"m"),)/12,)-1,)*Index!AR$22*(AV$15&lt;=$J146)*(1-AV$12)</f>
        <v>1587.437470523437</v>
      </c>
      <c r="AW146" s="747">
        <f>$G146*$H146*(1+$K146)^MAX(ROUNDUP(IFERROR(DATEDIF($I146-1,AW$15+1,"m"),)/12,)-1,)*Index!AS$22*(AW$15&lt;=$J146)*(1-AW$12)</f>
        <v>1587.437470523437</v>
      </c>
      <c r="AX146" s="747">
        <f>$G146*$H146*(1+$K146)^MAX(ROUNDUP(IFERROR(DATEDIF($I146-1,AX$15+1,"m"),)/12,)-1,)*Index!AT$22*(AX$15&lt;=$J146)*(1-AX$12)</f>
        <v>1587.437470523437</v>
      </c>
      <c r="AY146" s="747">
        <f>$G146*$H146*(1+$K146)^MAX(ROUNDUP(IFERROR(DATEDIF($I146-1,AY$15+1,"m"),)/12,)-1,)*Index!AU$22*(AY$15&lt;=$J146)*(1-AY$12)</f>
        <v>1587.437470523437</v>
      </c>
      <c r="AZ146" s="747">
        <f>$G146*$H146*(1+$K146)^MAX(ROUNDUP(IFERROR(DATEDIF($I146-1,AZ$15+1,"m"),)/12,)-1,)*Index!AV$22*(AZ$15&lt;=$J146)*(1-AZ$12)</f>
        <v>1587.437470523437</v>
      </c>
      <c r="BA146" s="747">
        <f>$G146*$H146*(1+$K146)^MAX(ROUNDUP(IFERROR(DATEDIF($I146-1,BA$15+1,"m"),)/12,)-1,)*Index!AW$22*(BA$15&lt;=$J146)*(1-BA$12)</f>
        <v>1587.437470523437</v>
      </c>
      <c r="BB146" s="747">
        <f>$G146*$H146*(1+$K146)^MAX(ROUNDUP(IFERROR(DATEDIF($I146-1,BB$15+1,"m"),)/12,)-1,)*Index!AX$22*(BB$15&lt;=$J146)*(1-BB$12)</f>
        <v>1587.437470523437</v>
      </c>
      <c r="BC146" s="747">
        <f>$G146*$H146*(1+$K146)^MAX(ROUNDUP(IFERROR(DATEDIF($I146-1,BC$15+1,"m"),)/12,)-1,)*Index!AY$22*(BC$15&lt;=$J146)*(1-BC$12)</f>
        <v>0</v>
      </c>
      <c r="BD146" s="747">
        <f>$G146*$H146*(1+$K146)^MAX(ROUNDUP(IFERROR(DATEDIF($I146-1,BD$15+1,"m"),)/12,)-1,)*Index!AZ$22*(BD$15&lt;=$J146)*(1-BD$12)</f>
        <v>0</v>
      </c>
      <c r="BE146" s="747">
        <f>$G146*$H146*(1+$K146)^MAX(ROUNDUP(IFERROR(DATEDIF($I146-1,BE$15+1,"m"),)/12,)-1,)*Index!BA$22*(BE$15&lt;=$J146)*(1-BE$12)</f>
        <v>0</v>
      </c>
      <c r="BF146" s="747">
        <f>$G146*$H146*(1+$K146)^MAX(ROUNDUP(IFERROR(DATEDIF($I146-1,BF$15+1,"m"),)/12,)-1,)*Index!BB$22*(BF$15&lt;=$J146)*(1-BF$12)</f>
        <v>0</v>
      </c>
      <c r="BG146" s="747">
        <f>$G146*$H146*(1+$K146)^MAX(ROUNDUP(IFERROR(DATEDIF($I146-1,BG$15+1,"m"),)/12,)-1,)*Index!BC$22*(BG$15&lt;=$J146)*(1-BG$12)</f>
        <v>0</v>
      </c>
      <c r="BH146" s="747">
        <f>$G146*$H146*(1+$K146)^MAX(ROUNDUP(IFERROR(DATEDIF($I146-1,BH$15+1,"m"),)/12,)-1,)*Index!BD$22*(BH$15&lt;=$J146)*(1-BH$12)</f>
        <v>0</v>
      </c>
      <c r="BI146" s="747">
        <f>$G146*$H146*(1+$K146)^MAX(ROUNDUP(IFERROR(DATEDIF($I146-1,BI$15+1,"m"),)/12,)-1,)*Index!BE$22*(BI$15&lt;=$J146)*(1-BI$12)</f>
        <v>0</v>
      </c>
      <c r="BJ146" s="747">
        <f>$G146*$H146*(1+$K146)^MAX(ROUNDUP(IFERROR(DATEDIF($I146-1,BJ$15+1,"m"),)/12,)-1,)*Index!BF$22*(BJ$15&lt;=$J146)*(1-BJ$12)</f>
        <v>0</v>
      </c>
      <c r="BK146" s="747">
        <f>$G146*$H146*(1+$K146)^MAX(ROUNDUP(IFERROR(DATEDIF($I146-1,BK$15+1,"m"),)/12,)-1,)*Index!BG$22*(BK$15&lt;=$J146)*(1-BK$12)</f>
        <v>0</v>
      </c>
      <c r="BL146" s="747">
        <f>$G146*$H146*(1+$K146)^MAX(ROUNDUP(IFERROR(DATEDIF($I146-1,BL$15+1,"m"),)/12,)-1,)*Index!BH$22*(BL$15&lt;=$J146)*(1-BL$12)</f>
        <v>0</v>
      </c>
      <c r="BM146" s="747">
        <f>$G146*$H146*(1+$K146)^MAX(ROUNDUP(IFERROR(DATEDIF($I146-1,BM$15+1,"m"),)/12,)-1,)*Index!BI$22*(BM$15&lt;=$J146)*(1-BM$12)</f>
        <v>0</v>
      </c>
      <c r="BN146" s="747">
        <f>$G146*$H146*(1+$K146)^MAX(ROUNDUP(IFERROR(DATEDIF($I146-1,BN$15+1,"m"),)/12,)-1,)*Index!BJ$22*(BN$15&lt;=$J146)*(1-BN$12)</f>
        <v>0</v>
      </c>
      <c r="BO146" s="747">
        <f>$G146*$H146*(1+$K146)^MAX(ROUNDUP(IFERROR(DATEDIF($I146-1,BO$15+1,"m"),)/12,)-1,)*Index!BK$22*(BO$15&lt;=$J146)*(1-BO$12)</f>
        <v>0</v>
      </c>
      <c r="BP146" s="747">
        <f>$G146*$H146*(1+$K146)^MAX(ROUNDUP(IFERROR(DATEDIF($I146-1,BP$15+1,"m"),)/12,)-1,)*Index!BL$22*(BP$15&lt;=$J146)*(1-BP$12)</f>
        <v>0</v>
      </c>
      <c r="BQ146" s="747">
        <f>$G146*$H146*(1+$K146)^MAX(ROUNDUP(IFERROR(DATEDIF($I146-1,BQ$15+1,"m"),)/12,)-1,)*Index!BM$22*(BQ$15&lt;=$J146)*(1-BQ$12)</f>
        <v>0</v>
      </c>
      <c r="BR146" s="747">
        <f>$G146*$H146*(1+$K146)^MAX(ROUNDUP(IFERROR(DATEDIF($I146-1,BR$15+1,"m"),)/12,)-1,)*Index!BN$22*(BR$15&lt;=$J146)*(1-BR$12)</f>
        <v>0</v>
      </c>
      <c r="BS146" s="747">
        <f>$G146*$H146*(1+$K146)^MAX(ROUNDUP(IFERROR(DATEDIF($I146-1,BS$15+1,"m"),)/12,)-1,)*Index!BO$22*(BS$15&lt;=$J146)*(1-BS$12)</f>
        <v>0</v>
      </c>
      <c r="BT146" s="747">
        <f>$G146*$H146*(1+$K146)^MAX(ROUNDUP(IFERROR(DATEDIF($I146-1,BT$15+1,"m"),)/12,)-1,)*Index!BP$22*(BT$15&lt;=$J146)*(1-BT$12)</f>
        <v>0</v>
      </c>
      <c r="BU146" s="747">
        <f>$G146*$H146*(1+$K146)^MAX(ROUNDUP(IFERROR(DATEDIF($I146-1,BU$15+1,"m"),)/12,)-1,)*Index!BQ$22*(BU$15&lt;=$J146)*(1-BU$12)</f>
        <v>0</v>
      </c>
      <c r="BV146" s="747">
        <f>$G146*$H146*(1+$K146)^MAX(ROUNDUP(IFERROR(DATEDIF($I146-1,BV$15+1,"m"),)/12,)-1,)*Index!BR$22*(BV$15&lt;=$J146)*(1-BV$12)</f>
        <v>0</v>
      </c>
      <c r="BW146" s="747">
        <f>$G146*$H146*(1+$K146)^MAX(ROUNDUP(IFERROR(DATEDIF($I146-1,BW$15+1,"m"),)/12,)-1,)*Index!BS$22*(BW$15&lt;=$J146)*(1-BW$12)</f>
        <v>0</v>
      </c>
      <c r="BX146" s="747">
        <f>$G146*$H146*(1+$K146)^MAX(ROUNDUP(IFERROR(DATEDIF($I146-1,BX$15+1,"m"),)/12,)-1,)*Index!BT$22*(BX$15&lt;=$J146)*(1-BX$12)</f>
        <v>0</v>
      </c>
      <c r="BY146" s="747">
        <f>$G146*$H146*(1+$K146)^MAX(ROUNDUP(IFERROR(DATEDIF($I146-1,BY$15+1,"m"),)/12,)-1,)*Index!BU$22*(BY$15&lt;=$J146)*(1-BY$12)</f>
        <v>0</v>
      </c>
      <c r="BZ146" s="747">
        <f>$G146*$H146*(1+$K146)^MAX(ROUNDUP(IFERROR(DATEDIF($I146-1,BZ$15+1,"m"),)/12,)-1,)*Index!BV$22*(BZ$15&lt;=$J146)*(1-BZ$12)</f>
        <v>0</v>
      </c>
      <c r="CA146" s="747">
        <f>$G146*$H146*(1+$K146)^MAX(ROUNDUP(IFERROR(DATEDIF($I146-1,CA$15+1,"m"),)/12,)-1,)*Index!BW$22*(CA$15&lt;=$J146)*(1-CA$12)</f>
        <v>0</v>
      </c>
      <c r="CB146" s="747">
        <f>$G146*$H146*(1+$K146)^MAX(ROUNDUP(IFERROR(DATEDIF($I146-1,CB$15+1,"m"),)/12,)-1,)*Index!BX$22*(CB$15&lt;=$J146)*(1-CB$12)</f>
        <v>0</v>
      </c>
      <c r="CC146" s="747">
        <f>$G146*$H146*(1+$K146)^MAX(ROUNDUP(IFERROR(DATEDIF($I146-1,CC$15+1,"m"),)/12,)-1,)*Index!BY$22*(CC$15&lt;=$J146)*(1-CC$12)</f>
        <v>0</v>
      </c>
      <c r="CD146" s="747">
        <f>$G146*$H146*(1+$K146)^MAX(ROUNDUP(IFERROR(DATEDIF($I146-1,CD$15+1,"m"),)/12,)-1,)*Index!BZ$22*(CD$15&lt;=$J146)*(1-CD$12)</f>
        <v>0</v>
      </c>
      <c r="CE146" s="747">
        <f>$G146*$H146*(1+$K146)^MAX(ROUNDUP(IFERROR(DATEDIF($I146-1,CE$15+1,"m"),)/12,)-1,)*Index!CA$22*(CE$15&lt;=$J146)*(1-CE$12)</f>
        <v>0</v>
      </c>
      <c r="CF146" s="747">
        <f>$G146*$H146*(1+$K146)^MAX(ROUNDUP(IFERROR(DATEDIF($I146-1,CF$15+1,"m"),)/12,)-1,)*Index!CB$22*(CF$15&lt;=$J146)*(1-CF$12)</f>
        <v>0</v>
      </c>
      <c r="CG146" s="747">
        <f>$G146*$H146*(1+$K146)^MAX(ROUNDUP(IFERROR(DATEDIF($I146-1,CG$15+1,"m"),)/12,)-1,)*Index!CC$22*(CG$15&lt;=$J146)*(1-CG$12)</f>
        <v>0</v>
      </c>
      <c r="CH146" s="747">
        <f>$G146*$H146*(1+$K146)^MAX(ROUNDUP(IFERROR(DATEDIF($I146-1,CH$15+1,"m"),)/12,)-1,)*Index!CD$22*(CH$15&lt;=$J146)*(1-CH$12)</f>
        <v>0</v>
      </c>
      <c r="CI146" s="747">
        <f>$G146*$H146*(1+$K146)^MAX(ROUNDUP(IFERROR(DATEDIF($I146-1,CI$15+1,"m"),)/12,)-1,)*Index!CE$22*(CI$15&lt;=$J146)*(1-CI$12)</f>
        <v>0</v>
      </c>
      <c r="CJ146" s="747">
        <f>$G146*$H146*(1+$K146)^MAX(ROUNDUP(IFERROR(DATEDIF($I146-1,CJ$15+1,"m"),)/12,)-1,)*Index!CF$22*(CJ$15&lt;=$J146)*(1-CJ$12)</f>
        <v>0</v>
      </c>
      <c r="CK146" s="747">
        <f>$G146*$H146*(1+$K146)^MAX(ROUNDUP(IFERROR(DATEDIF($I146-1,CK$15+1,"m"),)/12,)-1,)*Index!CG$22*(CK$15&lt;=$J146)*(1-CK$12)</f>
        <v>0</v>
      </c>
      <c r="CL146" s="747">
        <f>$G146*$H146*(1+$K146)^MAX(ROUNDUP(IFERROR(DATEDIF($I146-1,CL$15+1,"m"),)/12,)-1,)*Index!CH$22*(CL$15&lt;=$J146)*(1-CL$12)</f>
        <v>0</v>
      </c>
      <c r="CM146" s="747">
        <f>$G146*$H146*(1+$K146)^MAX(ROUNDUP(IFERROR(DATEDIF($I146-1,CM$15+1,"m"),)/12,)-1,)*Index!CI$22*(CM$15&lt;=$J146)*(1-CM$12)</f>
        <v>0</v>
      </c>
      <c r="CN146" s="747">
        <f>$G146*$H146*(1+$K146)^MAX(ROUNDUP(IFERROR(DATEDIF($I146-1,CN$15+1,"m"),)/12,)-1,)*Index!CJ$22*(CN$15&lt;=$J146)*(1-CN$12)</f>
        <v>0</v>
      </c>
      <c r="CO146" s="747">
        <f>$G146*$H146*(1+$K146)^MAX(ROUNDUP(IFERROR(DATEDIF($I146-1,CO$15+1,"m"),)/12,)-1,)*Index!CK$22*(CO$15&lt;=$J146)*(1-CO$12)</f>
        <v>0</v>
      </c>
      <c r="CP146" s="747">
        <f>$G146*$H146*(1+$K146)^MAX(ROUNDUP(IFERROR(DATEDIF($I146-1,CP$15+1,"m"),)/12,)-1,)*Index!CL$22*(CP$15&lt;=$J146)*(1-CP$12)</f>
        <v>0</v>
      </c>
      <c r="CQ146" s="747">
        <f>$G146*$H146*(1+$K146)^MAX(ROUNDUP(IFERROR(DATEDIF($I146-1,CQ$15+1,"m"),)/12,)-1,)*Index!CM$22*(CQ$15&lt;=$J146)*(1-CQ$12)</f>
        <v>0</v>
      </c>
      <c r="CR146" s="747">
        <f>$G146*$H146*(1+$K146)^MAX(ROUNDUP(IFERROR(DATEDIF($I146-1,CR$15+1,"m"),)/12,)-1,)*Index!CN$22*(CR$15&lt;=$J146)*(1-CR$12)</f>
        <v>0</v>
      </c>
      <c r="CS146" s="747">
        <f>$G146*$H146*(1+$K146)^MAX(ROUNDUP(IFERROR(DATEDIF($I146-1,CS$15+1,"m"),)/12,)-1,)*Index!CO$22*(CS$15&lt;=$J146)*(1-CS$12)</f>
        <v>0</v>
      </c>
      <c r="CT146" s="747">
        <f>$G146*$H146*(1+$K146)^MAX(ROUNDUP(IFERROR(DATEDIF($I146-1,CT$15+1,"m"),)/12,)-1,)*Index!CP$22*(CT$15&lt;=$J146)*(1-CT$12)</f>
        <v>0</v>
      </c>
      <c r="CU146" s="747">
        <f>$G146*$H146*(1+$K146)^MAX(ROUNDUP(IFERROR(DATEDIF($I146-1,CU$15+1,"m"),)/12,)-1,)*Index!CQ$22*(CU$15&lt;=$J146)*(1-CU$12)</f>
        <v>0</v>
      </c>
      <c r="CV146" s="747">
        <f>$G146*$H146*(1+$K146)^MAX(ROUNDUP(IFERROR(DATEDIF($I146-1,CV$15+1,"m"),)/12,)-1,)*Index!CR$22*(CV$15&lt;=$J146)*(1-CV$12)</f>
        <v>0</v>
      </c>
      <c r="CW146" s="747">
        <f>$G146*$H146*(1+$K146)^MAX(ROUNDUP(IFERROR(DATEDIF($I146-1,CW$15+1,"m"),)/12,)-1,)*Index!CS$22*(CW$15&lt;=$J146)*(1-CW$12)</f>
        <v>0</v>
      </c>
      <c r="CX146" s="747">
        <f>$G146*$H146*(1+$K146)^MAX(ROUNDUP(IFERROR(DATEDIF($I146-1,CX$15+1,"m"),)/12,)-1,)*Index!CT$22*(CX$15&lt;=$J146)*(1-CX$12)</f>
        <v>0</v>
      </c>
      <c r="CY146" s="747">
        <f>$G146*$H146*(1+$K146)^MAX(ROUNDUP(IFERROR(DATEDIF($I146-1,CY$15+1,"m"),)/12,)-1,)*Index!CU$22*(CY$15&lt;=$J146)*(1-CY$12)</f>
        <v>0</v>
      </c>
      <c r="CZ146" s="747">
        <f>$G146*$H146*(1+$K146)^MAX(ROUNDUP(IFERROR(DATEDIF($I146-1,CZ$15+1,"m"),)/12,)-1,)*Index!CV$22*(CZ$15&lt;=$J146)*(1-CZ$12)</f>
        <v>0</v>
      </c>
      <c r="DA146" s="747">
        <f>$G146*$H146*(1+$K146)^MAX(ROUNDUP(IFERROR(DATEDIF($I146-1,DA$15+1,"m"),)/12,)-1,)*Index!CW$22*(DA$15&lt;=$J146)*(1-DA$12)</f>
        <v>0</v>
      </c>
      <c r="DB146" s="747">
        <f>$G146*$H146*(1+$K146)^MAX(ROUNDUP(IFERROR(DATEDIF($I146-1,DB$15+1,"m"),)/12,)-1,)*Index!CX$22*(DB$15&lt;=$J146)*(1-DB$12)</f>
        <v>0</v>
      </c>
      <c r="DC146" s="747">
        <f>$G146*$H146*(1+$K146)^MAX(ROUNDUP(IFERROR(DATEDIF($I146-1,DC$15+1,"m"),)/12,)-1,)*Index!CY$22*(DC$15&lt;=$J146)*(1-DC$12)</f>
        <v>0</v>
      </c>
      <c r="DD146" s="747">
        <f>$G146*$H146*(1+$K146)^MAX(ROUNDUP(IFERROR(DATEDIF($I146-1,DD$15+1,"m"),)/12,)-1,)*Index!CZ$22*(DD$15&lt;=$J146)*(1-DD$12)</f>
        <v>0</v>
      </c>
      <c r="DE146" s="747">
        <f>$G146*$H146*(1+$K146)^MAX(ROUNDUP(IFERROR(DATEDIF($I146-1,DE$15+1,"m"),)/12,)-1,)*Index!DA$22*(DE$15&lt;=$J146)*(1-DE$12)</f>
        <v>0</v>
      </c>
      <c r="DF146" s="747">
        <f>$G146*$H146*(1+$K146)^MAX(ROUNDUP(IFERROR(DATEDIF($I146-1,DF$15+1,"m"),)/12,)-1,)*Index!DB$22*(DF$15&lt;=$J146)*(1-DF$12)</f>
        <v>0</v>
      </c>
      <c r="DG146" s="747">
        <f>$G146*$H146*(1+$K146)^MAX(ROUNDUP(IFERROR(DATEDIF($I146-1,DG$15+1,"m"),)/12,)-1,)*Index!DC$22*(DG$15&lt;=$J146)*(1-DG$12)</f>
        <v>0</v>
      </c>
      <c r="DH146" s="747">
        <f>$G146*$H146*(1+$K146)^MAX(ROUNDUP(IFERROR(DATEDIF($I146-1,DH$15+1,"m"),)/12,)-1,)*Index!DD$22*(DH$15&lt;=$J146)*(1-DH$12)</f>
        <v>0</v>
      </c>
      <c r="DI146" s="747">
        <f>$G146*$H146*(1+$K146)^MAX(ROUNDUP(IFERROR(DATEDIF($I146-1,DI$15+1,"m"),)/12,)-1,)*Index!DE$22*(DI$15&lt;=$J146)*(1-DI$12)</f>
        <v>0</v>
      </c>
      <c r="DJ146" s="747">
        <f>$G146*$H146*(1+$K146)^MAX(ROUNDUP(IFERROR(DATEDIF($I146-1,DJ$15+1,"m"),)/12,)-1,)*Index!DF$22*(DJ$15&lt;=$J146)*(1-DJ$12)</f>
        <v>0</v>
      </c>
      <c r="DK146" s="747">
        <f>$G146*$H146*(1+$K146)^MAX(ROUNDUP(IFERROR(DATEDIF($I146-1,DK$15+1,"m"),)/12,)-1,)*Index!DG$22*(DK$15&lt;=$J146)*(1-DK$12)</f>
        <v>0</v>
      </c>
      <c r="DL146" s="747">
        <f>$G146*$H146*(1+$K146)^MAX(ROUNDUP(IFERROR(DATEDIF($I146-1,DL$15+1,"m"),)/12,)-1,)*Index!DH$22*(DL$15&lt;=$J146)*(1-DL$12)</f>
        <v>0</v>
      </c>
      <c r="DM146" s="747">
        <f>$G146*$H146*(1+$K146)^MAX(ROUNDUP(IFERROR(DATEDIF($I146-1,DM$15+1,"m"),)/12,)-1,)*Index!DI$22*(DM$15&lt;=$J146)*(1-DM$12)</f>
        <v>0</v>
      </c>
      <c r="DN146" s="747">
        <f>$G146*$H146*(1+$K146)^MAX(ROUNDUP(IFERROR(DATEDIF($I146-1,DN$15+1,"m"),)/12,)-1,)*Index!DJ$22*(DN$15&lt;=$J146)*(1-DN$12)</f>
        <v>0</v>
      </c>
      <c r="DO146" s="747">
        <f>$G146*$H146*(1+$K146)^MAX(ROUNDUP(IFERROR(DATEDIF($I146-1,DO$15+1,"m"),)/12,)-1,)*Index!DK$22*(DO$15&lt;=$J146)*(1-DO$12)</f>
        <v>0</v>
      </c>
      <c r="DP146" s="747">
        <f>$G146*$H146*(1+$K146)^MAX(ROUNDUP(IFERROR(DATEDIF($I146-1,DP$15+1,"m"),)/12,)-1,)*Index!DL$22*(DP$15&lt;=$J146)*(1-DP$12)</f>
        <v>0</v>
      </c>
      <c r="DQ146" s="747">
        <f>$G146*$H146*(1+$K146)^MAX(ROUNDUP(IFERROR(DATEDIF($I146-1,DQ$15+1,"m"),)/12,)-1,)*Index!DM$22*(DQ$15&lt;=$J146)*(1-DQ$12)</f>
        <v>0</v>
      </c>
      <c r="DR146" s="747">
        <f>$G146*$H146*(1+$K146)^MAX(ROUNDUP(IFERROR(DATEDIF($I146-1,DR$15+1,"m"),)/12,)-1,)*Index!DN$22*(DR$15&lt;=$J146)*(1-DR$12)</f>
        <v>0</v>
      </c>
      <c r="DS146" s="747">
        <f>$G146*$H146*(1+$K146)^MAX(ROUNDUP(IFERROR(DATEDIF($I146-1,DS$15+1,"m"),)/12,)-1,)*Index!DO$22*(DS$15&lt;=$J146)*(1-DS$12)</f>
        <v>0</v>
      </c>
      <c r="DT146" s="747">
        <f>$G146*$H146*(1+$K146)^MAX(ROUNDUP(IFERROR(DATEDIF($I146-1,DT$15+1,"m"),)/12,)-1,)*Index!DP$22*(DT$15&lt;=$J146)*(1-DT$12)</f>
        <v>0</v>
      </c>
      <c r="DU146" s="747">
        <f>$G146*$H146*(1+$K146)^MAX(ROUNDUP(IFERROR(DATEDIF($I146-1,DU$15+1,"m"),)/12,)-1,)*Index!DQ$22*(DU$15&lt;=$J146)*(1-DU$12)</f>
        <v>0</v>
      </c>
      <c r="DV146" s="747">
        <f>$G146*$H146*(1+$K146)^MAX(ROUNDUP(IFERROR(DATEDIF($I146-1,DV$15+1,"m"),)/12,)-1,)*Index!DR$22*(DV$15&lt;=$J146)*(1-DV$12)</f>
        <v>0</v>
      </c>
      <c r="DW146" s="747">
        <f>$G146*$H146*(1+$K146)^MAX(ROUNDUP(IFERROR(DATEDIF($I146-1,DW$15+1,"m"),)/12,)-1,)*Index!DS$22*(DW$15&lt;=$J146)*(1-DW$12)</f>
        <v>0</v>
      </c>
      <c r="DX146" s="747">
        <f>$G146*$H146*(1+$K146)^MAX(ROUNDUP(IFERROR(DATEDIF($I146-1,DX$15+1,"m"),)/12,)-1,)*Index!DT$22*(DX$15&lt;=$J146)*(1-DX$12)</f>
        <v>0</v>
      </c>
      <c r="DY146" s="747">
        <f>$G146*$H146*(1+$K146)^MAX(ROUNDUP(IFERROR(DATEDIF($I146-1,DY$15+1,"m"),)/12,)-1,)*Index!DU$22*(DY$15&lt;=$J146)*(1-DY$12)</f>
        <v>0</v>
      </c>
      <c r="DZ146" s="747">
        <f>$G146*$H146*(1+$K146)^MAX(ROUNDUP(IFERROR(DATEDIF($I146-1,DZ$15+1,"m"),)/12,)-1,)*Index!DV$22*(DZ$15&lt;=$J146)*(1-DZ$12)</f>
        <v>0</v>
      </c>
      <c r="EA146" s="747">
        <f>$G146*$H146*(1+$K146)^MAX(ROUNDUP(IFERROR(DATEDIF($I146-1,EA$15+1,"m"),)/12,)-1,)*Index!DW$22*(EA$15&lt;=$J146)*(1-EA$12)</f>
        <v>0</v>
      </c>
      <c r="EB146" s="747">
        <f>$G146*$H146*(1+$K146)^MAX(ROUNDUP(IFERROR(DATEDIF($I146-1,EB$15+1,"m"),)/12,)-1,)*Index!DX$22*(EB$15&lt;=$J146)*(1-EB$12)</f>
        <v>0</v>
      </c>
      <c r="EC146" s="747">
        <f>$G146*$H146*(1+$K146)^MAX(ROUNDUP(IFERROR(DATEDIF($I146-1,EC$15+1,"m"),)/12,)-1,)*Index!DY$22*(EC$15&lt;=$J146)*(1-EC$12)</f>
        <v>0</v>
      </c>
      <c r="ED146" s="747">
        <f>$G146*$H146*(1+$K146)^MAX(ROUNDUP(IFERROR(DATEDIF($I146-1,ED$15+1,"m"),)/12,)-1,)*Index!DZ$22*(ED$15&lt;=$J146)*(1-ED$12)</f>
        <v>0</v>
      </c>
      <c r="EE146" s="747">
        <f>$G146*$H146*(1+$K146)^MAX(ROUNDUP(IFERROR(DATEDIF($I146-1,EE$15+1,"m"),)/12,)-1,)*Index!EA$22*(EE$15&lt;=$J146)*(1-EE$12)</f>
        <v>0</v>
      </c>
      <c r="EF146" s="747">
        <f>$G146*$H146*(1+$K146)^MAX(ROUNDUP(IFERROR(DATEDIF($I146-1,EF$15+1,"m"),)/12,)-1,)*Index!EB$22*(EF$15&lt;=$J146)*(1-EF$12)</f>
        <v>0</v>
      </c>
      <c r="EG146" s="747">
        <f>$G146*$H146*(1+$K146)^MAX(ROUNDUP(IFERROR(DATEDIF($I146-1,EG$15+1,"m"),)/12,)-1,)*Index!EC$22*(EG$15&lt;=$J146)*(1-EG$12)</f>
        <v>0</v>
      </c>
      <c r="EH146" s="747">
        <f>$G146*$H146*(1+$K146)^MAX(ROUNDUP(IFERROR(DATEDIF($I146-1,EH$15+1,"m"),)/12,)-1,)*Index!ED$22*(EH$15&lt;=$J146)*(1-EH$12)</f>
        <v>0</v>
      </c>
      <c r="EI146" s="747">
        <f>$G146*$H146*(1+$K146)^MAX(ROUNDUP(IFERROR(DATEDIF($I146-1,EI$15+1,"m"),)/12,)-1,)*Index!EE$22*(EI$15&lt;=$J146)*(1-EI$12)</f>
        <v>0</v>
      </c>
      <c r="EJ146" s="747">
        <f>$G146*$H146*(1+$K146)^MAX(ROUNDUP(IFERROR(DATEDIF($I146-1,EJ$15+1,"m"),)/12,)-1,)*Index!EF$22*(EJ$15&lt;=$J146)*(1-EJ$12)</f>
        <v>0</v>
      </c>
      <c r="EK146" s="747">
        <f>$G146*$H146*(1+$K146)^MAX(ROUNDUP(IFERROR(DATEDIF($I146-1,EK$15+1,"m"),)/12,)-1,)*Index!EG$22*(EK$15&lt;=$J146)*(1-EK$12)</f>
        <v>0</v>
      </c>
      <c r="EL146" s="747">
        <f>$G146*$H146*(1+$K146)^MAX(ROUNDUP(IFERROR(DATEDIF($I146-1,EL$15+1,"m"),)/12,)-1,)*Index!EH$22*(EL$15&lt;=$J146)*(1-EL$12)</f>
        <v>0</v>
      </c>
      <c r="EM146" s="747">
        <f>$G146*$H146*(1+$K146)^MAX(ROUNDUP(IFERROR(DATEDIF($I146-1,EM$15+1,"m"),)/12,)-1,)*Index!EI$22*(EM$15&lt;=$J146)*(1-EM$12)</f>
        <v>0</v>
      </c>
      <c r="EN146" s="747">
        <f>$G146*$H146*(1+$K146)^MAX(ROUNDUP(IFERROR(DATEDIF($I146-1,EN$15+1,"m"),)/12,)-1,)*Index!EJ$22*(EN$15&lt;=$J146)*(1-EN$12)</f>
        <v>0</v>
      </c>
      <c r="EO146" s="747">
        <f>$G146*$H146*(1+$K146)^MAX(ROUNDUP(IFERROR(DATEDIF($I146-1,EO$15+1,"m"),)/12,)-1,)*Index!EK$22*(EO$15&lt;=$J146)*(1-EO$12)</f>
        <v>0</v>
      </c>
      <c r="EP146" s="747">
        <f>$G146*$H146*(1+$K146)^MAX(ROUNDUP(IFERROR(DATEDIF($I146-1,EP$15+1,"m"),)/12,)-1,)*Index!EL$22*(EP$15&lt;=$J146)*(1-EP$12)</f>
        <v>0</v>
      </c>
      <c r="EQ146" s="747">
        <f>$G146*$H146*(1+$K146)^MAX(ROUNDUP(IFERROR(DATEDIF($I146-1,EQ$15+1,"m"),)/12,)-1,)*Index!EM$22*(EQ$15&lt;=$J146)*(1-EQ$12)</f>
        <v>0</v>
      </c>
      <c r="ER146" s="747">
        <f>$G146*$H146*(1+$K146)^MAX(ROUNDUP(IFERROR(DATEDIF($I146-1,ER$15+1,"m"),)/12,)-1,)*Index!EN$22*(ER$15&lt;=$J146)*(1-ER$12)</f>
        <v>0</v>
      </c>
      <c r="ES146" s="747">
        <f>$G146*$H146*(1+$K146)^MAX(ROUNDUP(IFERROR(DATEDIF($I146-1,ES$15+1,"m"),)/12,)-1,)*Index!EO$22*(ES$15&lt;=$J146)*(1-ES$12)</f>
        <v>0</v>
      </c>
      <c r="ET146" s="747">
        <f>$G146*$H146*(1+$K146)^MAX(ROUNDUP(IFERROR(DATEDIF($I146-1,ET$15+1,"m"),)/12,)-1,)*Index!EP$22*(ET$15&lt;=$J146)*(1-ET$12)</f>
        <v>0</v>
      </c>
      <c r="EU146" s="747">
        <f>$G146*$H146*(1+$K146)^MAX(ROUNDUP(IFERROR(DATEDIF($I146-1,EU$15+1,"m"),)/12,)-1,)*Index!EQ$22*(EU$15&lt;=$J146)*(1-EU$12)</f>
        <v>0</v>
      </c>
    </row>
    <row r="147" spans="3:151" ht="11.25" customHeight="1">
      <c r="C147" s="735"/>
      <c r="D147" s="743">
        <f t="shared" si="237"/>
        <v>8</v>
      </c>
      <c r="E147" s="704" t="str">
        <f t="shared" si="237"/>
        <v>쿠팡</v>
      </c>
      <c r="F147" s="704" t="str">
        <f t="shared" si="237"/>
        <v>상온창고</v>
      </c>
      <c r="G147" s="781">
        <f>'A&amp;R'!AD10/1000</f>
        <v>2.5</v>
      </c>
      <c r="H147" s="744">
        <f>'A&amp;R'!Y10</f>
        <v>207.4</v>
      </c>
      <c r="I147" s="745">
        <f t="shared" si="238"/>
        <v>45413</v>
      </c>
      <c r="J147" s="745">
        <f t="shared" si="238"/>
        <v>49064</v>
      </c>
      <c r="K147" s="754">
        <f t="shared" si="238"/>
        <v>2.5000000000000001E-2</v>
      </c>
      <c r="L147" s="746"/>
      <c r="M147" s="722"/>
      <c r="N147" s="747">
        <f t="shared" si="239"/>
        <v>53839.396984589541</v>
      </c>
      <c r="O147" s="733"/>
      <c r="P147" s="747">
        <f>$G147*$H147*(1+$K147)^MAX(ROUNDUP(IFERROR(DATEDIF($I147-1,P$15+1,"m"),)/12,)-1,)*Index!L$22*(P$15&lt;=$J147)*(1-P$12)</f>
        <v>0</v>
      </c>
      <c r="Q147" s="747">
        <f>$G147*$H147*(1+$K147)^MAX(ROUNDUP(IFERROR(DATEDIF($I147-1,Q$15+1,"m"),)/12,)-1,)*Index!M$22*(Q$15&lt;=$J147)*(1-Q$12)</f>
        <v>544.74906249999992</v>
      </c>
      <c r="R147" s="747">
        <f>$G147*$H147*(1+$K147)^MAX(ROUNDUP(IFERROR(DATEDIF($I147-1,R$15+1,"m"),)/12,)-1,)*Index!N$22*(R$15&lt;=$J147)*(1-R$12)</f>
        <v>544.74906249999992</v>
      </c>
      <c r="S147" s="747">
        <f>$G147*$H147*(1+$K147)^MAX(ROUNDUP(IFERROR(DATEDIF($I147-1,S$15+1,"m"),)/12,)-1,)*Index!O$22*(S$15&lt;=$J147)*(1-S$12)</f>
        <v>544.74906249999992</v>
      </c>
      <c r="T147" s="747">
        <f>$G147*$H147*(1+$K147)^MAX(ROUNDUP(IFERROR(DATEDIF($I147-1,T$15+1,"m"),)/12,)-1,)*Index!P$22*(T$15&lt;=$J147)*(1-T$12)</f>
        <v>544.74906249999992</v>
      </c>
      <c r="U147" s="747">
        <f>$G147*$H147*(1+$K147)^MAX(ROUNDUP(IFERROR(DATEDIF($I147-1,U$15+1,"m"),)/12,)-1,)*Index!Q$22*(U$15&lt;=$J147)*(1-U$12)</f>
        <v>544.74906249999992</v>
      </c>
      <c r="V147" s="747">
        <f>$G147*$H147*(1+$K147)^MAX(ROUNDUP(IFERROR(DATEDIF($I147-1,V$15+1,"m"),)/12,)-1,)*Index!R$22*(V$15&lt;=$J147)*(1-V$12)</f>
        <v>544.74906249999992</v>
      </c>
      <c r="W147" s="747">
        <f>$G147*$H147*(1+$K147)^MAX(ROUNDUP(IFERROR(DATEDIF($I147-1,W$15+1,"m"),)/12,)-1,)*Index!S$22*(W$15&lt;=$J147)*(1-W$12)</f>
        <v>558.36778906249992</v>
      </c>
      <c r="X147" s="747">
        <f>$G147*$H147*(1+$K147)^MAX(ROUNDUP(IFERROR(DATEDIF($I147-1,X$15+1,"m"),)/12,)-1,)*Index!T$22*(X$15&lt;=$J147)*(1-X$12)</f>
        <v>558.36778906249992</v>
      </c>
      <c r="Y147" s="747">
        <f>$G147*$H147*(1+$K147)^MAX(ROUNDUP(IFERROR(DATEDIF($I147-1,Y$15+1,"m"),)/12,)-1,)*Index!U$22*(Y$15&lt;=$J147)*(1-Y$12)</f>
        <v>558.36778906249992</v>
      </c>
      <c r="Z147" s="747">
        <f>$G147*$H147*(1+$K147)^MAX(ROUNDUP(IFERROR(DATEDIF($I147-1,Z$15+1,"m"),)/12,)-1,)*Index!V$22*(Z$15&lt;=$J147)*(1-Z$12)</f>
        <v>558.36778906249992</v>
      </c>
      <c r="AA147" s="747">
        <f>$G147*$H147*(1+$K147)^MAX(ROUNDUP(IFERROR(DATEDIF($I147-1,AA$15+1,"m"),)/12,)-1,)*Index!W$22*(AA$15&lt;=$J147)*(1-AA$12)</f>
        <v>558.36778906249992</v>
      </c>
      <c r="AB147" s="747">
        <f>$G147*$H147*(1+$K147)^MAX(ROUNDUP(IFERROR(DATEDIF($I147-1,AB$15+1,"m"),)/12,)-1,)*Index!X$22*(AB$15&lt;=$J147)*(1-AB$12)</f>
        <v>558.36778906249992</v>
      </c>
      <c r="AC147" s="747">
        <f>$G147*$H147*(1+$K147)^MAX(ROUNDUP(IFERROR(DATEDIF($I147-1,AC$15+1,"m"),)/12,)-1,)*Index!Y$22*(AC$15&lt;=$J147)*(1-AC$12)</f>
        <v>558.36778906249992</v>
      </c>
      <c r="AD147" s="747">
        <f>$G147*$H147*(1+$K147)^MAX(ROUNDUP(IFERROR(DATEDIF($I147-1,AD$15+1,"m"),)/12,)-1,)*Index!Z$22*(AD$15&lt;=$J147)*(1-AD$12)</f>
        <v>558.36778906249992</v>
      </c>
      <c r="AE147" s="747">
        <f>$G147*$H147*(1+$K147)^MAX(ROUNDUP(IFERROR(DATEDIF($I147-1,AE$15+1,"m"),)/12,)-1,)*Index!AA$22*(AE$15&lt;=$J147)*(1-AE$12)</f>
        <v>558.36778906249992</v>
      </c>
      <c r="AF147" s="747">
        <f>$G147*$H147*(1+$K147)^MAX(ROUNDUP(IFERROR(DATEDIF($I147-1,AF$15+1,"m"),)/12,)-1,)*Index!AB$22*(AF$15&lt;=$J147)*(1-AF$12)</f>
        <v>558.36778906249992</v>
      </c>
      <c r="AG147" s="747">
        <f>$G147*$H147*(1+$K147)^MAX(ROUNDUP(IFERROR(DATEDIF($I147-1,AG$15+1,"m"),)/12,)-1,)*Index!AC$22*(AG$15&lt;=$J147)*(1-AG$12)</f>
        <v>558.36778906249992</v>
      </c>
      <c r="AH147" s="747">
        <f>$G147*$H147*(1+$K147)^MAX(ROUNDUP(IFERROR(DATEDIF($I147-1,AH$15+1,"m"),)/12,)-1,)*Index!AD$22*(AH$15&lt;=$J147)*(1-AH$12)</f>
        <v>558.36778906249992</v>
      </c>
      <c r="AI147" s="747">
        <f>$G147*$H147*(1+$K147)^MAX(ROUNDUP(IFERROR(DATEDIF($I147-1,AI$15+1,"m"),)/12,)-1,)*Index!AE$22*(AI$15&lt;=$J147)*(1-AI$12)</f>
        <v>572.32698378906241</v>
      </c>
      <c r="AJ147" s="747">
        <f>$G147*$H147*(1+$K147)^MAX(ROUNDUP(IFERROR(DATEDIF($I147-1,AJ$15+1,"m"),)/12,)-1,)*Index!AF$22*(AJ$15&lt;=$J147)*(1-AJ$12)</f>
        <v>572.32698378906241</v>
      </c>
      <c r="AK147" s="747">
        <f>$G147*$H147*(1+$K147)^MAX(ROUNDUP(IFERROR(DATEDIF($I147-1,AK$15+1,"m"),)/12,)-1,)*Index!AG$22*(AK$15&lt;=$J147)*(1-AK$12)</f>
        <v>572.32698378906241</v>
      </c>
      <c r="AL147" s="747">
        <f>$G147*$H147*(1+$K147)^MAX(ROUNDUP(IFERROR(DATEDIF($I147-1,AL$15+1,"m"),)/12,)-1,)*Index!AH$22*(AL$15&lt;=$J147)*(1-AL$12)</f>
        <v>572.32698378906241</v>
      </c>
      <c r="AM147" s="747">
        <f>$G147*$H147*(1+$K147)^MAX(ROUNDUP(IFERROR(DATEDIF($I147-1,AM$15+1,"m"),)/12,)-1,)*Index!AI$22*(AM$15&lt;=$J147)*(1-AM$12)</f>
        <v>572.32698378906241</v>
      </c>
      <c r="AN147" s="747">
        <f>$G147*$H147*(1+$K147)^MAX(ROUNDUP(IFERROR(DATEDIF($I147-1,AN$15+1,"m"),)/12,)-1,)*Index!AJ$22*(AN$15&lt;=$J147)*(1-AN$12)</f>
        <v>572.32698378906241</v>
      </c>
      <c r="AO147" s="747">
        <f>$G147*$H147*(1+$K147)^MAX(ROUNDUP(IFERROR(DATEDIF($I147-1,AO$15+1,"m"),)/12,)-1,)*Index!AK$22*(AO$15&lt;=$J147)*(1-AO$12)</f>
        <v>572.32698378906241</v>
      </c>
      <c r="AP147" s="747">
        <f>$G147*$H147*(1+$K147)^MAX(ROUNDUP(IFERROR(DATEDIF($I147-1,AP$15+1,"m"),)/12,)-1,)*Index!AL$22*(AP$15&lt;=$J147)*(1-AP$12)</f>
        <v>572.32698378906241</v>
      </c>
      <c r="AQ147" s="747">
        <f>$G147*$H147*(1+$K147)^MAX(ROUNDUP(IFERROR(DATEDIF($I147-1,AQ$15+1,"m"),)/12,)-1,)*Index!AM$22*(AQ$15&lt;=$J147)*(1-AQ$12)</f>
        <v>572.32698378906241</v>
      </c>
      <c r="AR147" s="747">
        <f>$G147*$H147*(1+$K147)^MAX(ROUNDUP(IFERROR(DATEDIF($I147-1,AR$15+1,"m"),)/12,)-1,)*Index!AN$22*(AR$15&lt;=$J147)*(1-AR$12)</f>
        <v>572.32698378906241</v>
      </c>
      <c r="AS147" s="747">
        <f>$G147*$H147*(1+$K147)^MAX(ROUNDUP(IFERROR(DATEDIF($I147-1,AS$15+1,"m"),)/12,)-1,)*Index!AO$22*(AS$15&lt;=$J147)*(1-AS$12)</f>
        <v>572.32698378906241</v>
      </c>
      <c r="AT147" s="747">
        <f>$G147*$H147*(1+$K147)^MAX(ROUNDUP(IFERROR(DATEDIF($I147-1,AT$15+1,"m"),)/12,)-1,)*Index!AP$22*(AT$15&lt;=$J147)*(1-AT$12)</f>
        <v>572.32698378906241</v>
      </c>
      <c r="AU147" s="747">
        <f>$G147*$H147*(1+$K147)^MAX(ROUNDUP(IFERROR(DATEDIF($I147-1,AU$15+1,"m"),)/12,)-1,)*Index!AQ$22*(AU$15&lt;=$J147)*(1-AU$12)</f>
        <v>586.63515838378885</v>
      </c>
      <c r="AV147" s="747">
        <f>$G147*$H147*(1+$K147)^MAX(ROUNDUP(IFERROR(DATEDIF($I147-1,AV$15+1,"m"),)/12,)-1,)*Index!AR$22*(AV$15&lt;=$J147)*(1-AV$12)</f>
        <v>586.63515838378885</v>
      </c>
      <c r="AW147" s="747">
        <f>$G147*$H147*(1+$K147)^MAX(ROUNDUP(IFERROR(DATEDIF($I147-1,AW$15+1,"m"),)/12,)-1,)*Index!AS$22*(AW$15&lt;=$J147)*(1-AW$12)</f>
        <v>586.63515838378885</v>
      </c>
      <c r="AX147" s="747">
        <f>$G147*$H147*(1+$K147)^MAX(ROUNDUP(IFERROR(DATEDIF($I147-1,AX$15+1,"m"),)/12,)-1,)*Index!AT$22*(AX$15&lt;=$J147)*(1-AX$12)</f>
        <v>586.63515838378885</v>
      </c>
      <c r="AY147" s="747">
        <f>$G147*$H147*(1+$K147)^MAX(ROUNDUP(IFERROR(DATEDIF($I147-1,AY$15+1,"m"),)/12,)-1,)*Index!AU$22*(AY$15&lt;=$J147)*(1-AY$12)</f>
        <v>586.63515838378885</v>
      </c>
      <c r="AZ147" s="747">
        <f>$G147*$H147*(1+$K147)^MAX(ROUNDUP(IFERROR(DATEDIF($I147-1,AZ$15+1,"m"),)/12,)-1,)*Index!AV$22*(AZ$15&lt;=$J147)*(1-AZ$12)</f>
        <v>586.63515838378885</v>
      </c>
      <c r="BA147" s="747">
        <f>$G147*$H147*(1+$K147)^MAX(ROUNDUP(IFERROR(DATEDIF($I147-1,BA$15+1,"m"),)/12,)-1,)*Index!AW$22*(BA$15&lt;=$J147)*(1-BA$12)</f>
        <v>586.63515838378885</v>
      </c>
      <c r="BB147" s="747">
        <f>$G147*$H147*(1+$K147)^MAX(ROUNDUP(IFERROR(DATEDIF($I147-1,BB$15+1,"m"),)/12,)-1,)*Index!AX$22*(BB$15&lt;=$J147)*(1-BB$12)</f>
        <v>586.63515838378885</v>
      </c>
      <c r="BC147" s="747">
        <f>$G147*$H147*(1+$K147)^MAX(ROUNDUP(IFERROR(DATEDIF($I147-1,BC$15+1,"m"),)/12,)-1,)*Index!AY$22*(BC$15&lt;=$J147)*(1-BC$12)</f>
        <v>586.63515838378885</v>
      </c>
      <c r="BD147" s="747">
        <f>$G147*$H147*(1+$K147)^MAX(ROUNDUP(IFERROR(DATEDIF($I147-1,BD$15+1,"m"),)/12,)-1,)*Index!AZ$22*(BD$15&lt;=$J147)*(1-BD$12)</f>
        <v>586.63515838378885</v>
      </c>
      <c r="BE147" s="747">
        <f>$G147*$H147*(1+$K147)^MAX(ROUNDUP(IFERROR(DATEDIF($I147-1,BE$15+1,"m"),)/12,)-1,)*Index!BA$22*(BE$15&lt;=$J147)*(1-BE$12)</f>
        <v>586.63515838378885</v>
      </c>
      <c r="BF147" s="747">
        <f>$G147*$H147*(1+$K147)^MAX(ROUNDUP(IFERROR(DATEDIF($I147-1,BF$15+1,"m"),)/12,)-1,)*Index!BB$22*(BF$15&lt;=$J147)*(1-BF$12)</f>
        <v>586.63515838378885</v>
      </c>
      <c r="BG147" s="747">
        <f>$G147*$H147*(1+$K147)^MAX(ROUNDUP(IFERROR(DATEDIF($I147-1,BG$15+1,"m"),)/12,)-1,)*Index!BC$22*(BG$15&lt;=$J147)*(1-BG$12)</f>
        <v>601.30103734338354</v>
      </c>
      <c r="BH147" s="747">
        <f>$G147*$H147*(1+$K147)^MAX(ROUNDUP(IFERROR(DATEDIF($I147-1,BH$15+1,"m"),)/12,)-1,)*Index!BD$22*(BH$15&lt;=$J147)*(1-BH$12)</f>
        <v>601.30103734338354</v>
      </c>
      <c r="BI147" s="747">
        <f>$G147*$H147*(1+$K147)^MAX(ROUNDUP(IFERROR(DATEDIF($I147-1,BI$15+1,"m"),)/12,)-1,)*Index!BE$22*(BI$15&lt;=$J147)*(1-BI$12)</f>
        <v>601.30103734338354</v>
      </c>
      <c r="BJ147" s="747">
        <f>$G147*$H147*(1+$K147)^MAX(ROUNDUP(IFERROR(DATEDIF($I147-1,BJ$15+1,"m"),)/12,)-1,)*Index!BF$22*(BJ$15&lt;=$J147)*(1-BJ$12)</f>
        <v>601.30103734338354</v>
      </c>
      <c r="BK147" s="747">
        <f>$G147*$H147*(1+$K147)^MAX(ROUNDUP(IFERROR(DATEDIF($I147-1,BK$15+1,"m"),)/12,)-1,)*Index!BG$22*(BK$15&lt;=$J147)*(1-BK$12)</f>
        <v>601.30103734338354</v>
      </c>
      <c r="BL147" s="747">
        <f>$G147*$H147*(1+$K147)^MAX(ROUNDUP(IFERROR(DATEDIF($I147-1,BL$15+1,"m"),)/12,)-1,)*Index!BH$22*(BL$15&lt;=$J147)*(1-BL$12)</f>
        <v>601.30103734338354</v>
      </c>
      <c r="BM147" s="747">
        <f>$G147*$H147*(1+$K147)^MAX(ROUNDUP(IFERROR(DATEDIF($I147-1,BM$15+1,"m"),)/12,)-1,)*Index!BI$22*(BM$15&lt;=$J147)*(1-BM$12)</f>
        <v>601.30103734338354</v>
      </c>
      <c r="BN147" s="747">
        <f>$G147*$H147*(1+$K147)^MAX(ROUNDUP(IFERROR(DATEDIF($I147-1,BN$15+1,"m"),)/12,)-1,)*Index!BJ$22*(BN$15&lt;=$J147)*(1-BN$12)</f>
        <v>601.30103734338354</v>
      </c>
      <c r="BO147" s="747">
        <f>$G147*$H147*(1+$K147)^MAX(ROUNDUP(IFERROR(DATEDIF($I147-1,BO$15+1,"m"),)/12,)-1,)*Index!BK$22*(BO$15&lt;=$J147)*(1-BO$12)</f>
        <v>601.30103734338354</v>
      </c>
      <c r="BP147" s="747">
        <f>$G147*$H147*(1+$K147)^MAX(ROUNDUP(IFERROR(DATEDIF($I147-1,BP$15+1,"m"),)/12,)-1,)*Index!BL$22*(BP$15&lt;=$J147)*(1-BP$12)</f>
        <v>601.30103734338354</v>
      </c>
      <c r="BQ147" s="747">
        <f>$G147*$H147*(1+$K147)^MAX(ROUNDUP(IFERROR(DATEDIF($I147-1,BQ$15+1,"m"),)/12,)-1,)*Index!BM$22*(BQ$15&lt;=$J147)*(1-BQ$12)</f>
        <v>601.30103734338354</v>
      </c>
      <c r="BR147" s="747">
        <f>$G147*$H147*(1+$K147)^MAX(ROUNDUP(IFERROR(DATEDIF($I147-1,BR$15+1,"m"),)/12,)-1,)*Index!BN$22*(BR$15&lt;=$J147)*(1-BR$12)</f>
        <v>601.30103734338354</v>
      </c>
      <c r="BS147" s="747">
        <f>$G147*$H147*(1+$K147)^MAX(ROUNDUP(IFERROR(DATEDIF($I147-1,BS$15+1,"m"),)/12,)-1,)*Index!BO$22*(BS$15&lt;=$J147)*(1-BS$12)</f>
        <v>616.33356327696822</v>
      </c>
      <c r="BT147" s="747">
        <f>$G147*$H147*(1+$K147)^MAX(ROUNDUP(IFERROR(DATEDIF($I147-1,BT$15+1,"m"),)/12,)-1,)*Index!BP$22*(BT$15&lt;=$J147)*(1-BT$12)</f>
        <v>616.33356327696822</v>
      </c>
      <c r="BU147" s="747">
        <f>$G147*$H147*(1+$K147)^MAX(ROUNDUP(IFERROR(DATEDIF($I147-1,BU$15+1,"m"),)/12,)-1,)*Index!BQ$22*(BU$15&lt;=$J147)*(1-BU$12)</f>
        <v>616.33356327696822</v>
      </c>
      <c r="BV147" s="747">
        <f>$G147*$H147*(1+$K147)^MAX(ROUNDUP(IFERROR(DATEDIF($I147-1,BV$15+1,"m"),)/12,)-1,)*Index!BR$22*(BV$15&lt;=$J147)*(1-BV$12)</f>
        <v>616.33356327696822</v>
      </c>
      <c r="BW147" s="747">
        <f>$G147*$H147*(1+$K147)^MAX(ROUNDUP(IFERROR(DATEDIF($I147-1,BW$15+1,"m"),)/12,)-1,)*Index!BS$22*(BW$15&lt;=$J147)*(1-BW$12)</f>
        <v>616.33356327696822</v>
      </c>
      <c r="BX147" s="747">
        <f>$G147*$H147*(1+$K147)^MAX(ROUNDUP(IFERROR(DATEDIF($I147-1,BX$15+1,"m"),)/12,)-1,)*Index!BT$22*(BX$15&lt;=$J147)*(1-BX$12)</f>
        <v>616.33356327696822</v>
      </c>
      <c r="BY147" s="747">
        <f>$G147*$H147*(1+$K147)^MAX(ROUNDUP(IFERROR(DATEDIF($I147-1,BY$15+1,"m"),)/12,)-1,)*Index!BU$22*(BY$15&lt;=$J147)*(1-BY$12)</f>
        <v>616.33356327696822</v>
      </c>
      <c r="BZ147" s="747">
        <f>$G147*$H147*(1+$K147)^MAX(ROUNDUP(IFERROR(DATEDIF($I147-1,BZ$15+1,"m"),)/12,)-1,)*Index!BV$22*(BZ$15&lt;=$J147)*(1-BZ$12)</f>
        <v>616.33356327696822</v>
      </c>
      <c r="CA147" s="747">
        <f>$G147*$H147*(1+$K147)^MAX(ROUNDUP(IFERROR(DATEDIF($I147-1,CA$15+1,"m"),)/12,)-1,)*Index!BW$22*(CA$15&lt;=$J147)*(1-CA$12)</f>
        <v>616.33356327696822</v>
      </c>
      <c r="CB147" s="747">
        <f>$G147*$H147*(1+$K147)^MAX(ROUNDUP(IFERROR(DATEDIF($I147-1,CB$15+1,"m"),)/12,)-1,)*Index!BX$22*(CB$15&lt;=$J147)*(1-CB$12)</f>
        <v>616.33356327696822</v>
      </c>
      <c r="CC147" s="747">
        <f>$G147*$H147*(1+$K147)^MAX(ROUNDUP(IFERROR(DATEDIF($I147-1,CC$15+1,"m"),)/12,)-1,)*Index!BY$22*(CC$15&lt;=$J147)*(1-CC$12)</f>
        <v>616.33356327696822</v>
      </c>
      <c r="CD147" s="747">
        <f>$G147*$H147*(1+$K147)^MAX(ROUNDUP(IFERROR(DATEDIF($I147-1,CD$15+1,"m"),)/12,)-1,)*Index!BZ$22*(CD$15&lt;=$J147)*(1-CD$12)</f>
        <v>616.33356327696822</v>
      </c>
      <c r="CE147" s="747">
        <f>$G147*$H147*(1+$K147)^MAX(ROUNDUP(IFERROR(DATEDIF($I147-1,CE$15+1,"m"),)/12,)-1,)*Index!CA$22*(CE$15&lt;=$J147)*(1-CE$12)</f>
        <v>631.74190235889228</v>
      </c>
      <c r="CF147" s="747">
        <f>$G147*$H147*(1+$K147)^MAX(ROUNDUP(IFERROR(DATEDIF($I147-1,CF$15+1,"m"),)/12,)-1,)*Index!CB$22*(CF$15&lt;=$J147)*(1-CF$12)</f>
        <v>631.74190235889228</v>
      </c>
      <c r="CG147" s="747">
        <f>$G147*$H147*(1+$K147)^MAX(ROUNDUP(IFERROR(DATEDIF($I147-1,CG$15+1,"m"),)/12,)-1,)*Index!CC$22*(CG$15&lt;=$J147)*(1-CG$12)</f>
        <v>631.74190235889228</v>
      </c>
      <c r="CH147" s="747">
        <f>$G147*$H147*(1+$K147)^MAX(ROUNDUP(IFERROR(DATEDIF($I147-1,CH$15+1,"m"),)/12,)-1,)*Index!CD$22*(CH$15&lt;=$J147)*(1-CH$12)</f>
        <v>631.74190235889228</v>
      </c>
      <c r="CI147" s="747">
        <f>$G147*$H147*(1+$K147)^MAX(ROUNDUP(IFERROR(DATEDIF($I147-1,CI$15+1,"m"),)/12,)-1,)*Index!CE$22*(CI$15&lt;=$J147)*(1-CI$12)</f>
        <v>631.74190235889228</v>
      </c>
      <c r="CJ147" s="747">
        <f>$G147*$H147*(1+$K147)^MAX(ROUNDUP(IFERROR(DATEDIF($I147-1,CJ$15+1,"m"),)/12,)-1,)*Index!CF$22*(CJ$15&lt;=$J147)*(1-CJ$12)</f>
        <v>631.74190235889228</v>
      </c>
      <c r="CK147" s="747">
        <f>$G147*$H147*(1+$K147)^MAX(ROUNDUP(IFERROR(DATEDIF($I147-1,CK$15+1,"m"),)/12,)-1,)*Index!CG$22*(CK$15&lt;=$J147)*(1-CK$12)</f>
        <v>631.74190235889228</v>
      </c>
      <c r="CL147" s="747">
        <f>$G147*$H147*(1+$K147)^MAX(ROUNDUP(IFERROR(DATEDIF($I147-1,CL$15+1,"m"),)/12,)-1,)*Index!CH$22*(CL$15&lt;=$J147)*(1-CL$12)</f>
        <v>631.74190235889228</v>
      </c>
      <c r="CM147" s="747">
        <f>$G147*$H147*(1+$K147)^MAX(ROUNDUP(IFERROR(DATEDIF($I147-1,CM$15+1,"m"),)/12,)-1,)*Index!CI$22*(CM$15&lt;=$J147)*(1-CM$12)</f>
        <v>631.74190235889228</v>
      </c>
      <c r="CN147" s="747">
        <f>$G147*$H147*(1+$K147)^MAX(ROUNDUP(IFERROR(DATEDIF($I147-1,CN$15+1,"m"),)/12,)-1,)*Index!CJ$22*(CN$15&lt;=$J147)*(1-CN$12)</f>
        <v>631.74190235889228</v>
      </c>
      <c r="CO147" s="747">
        <f>$G147*$H147*(1+$K147)^MAX(ROUNDUP(IFERROR(DATEDIF($I147-1,CO$15+1,"m"),)/12,)-1,)*Index!CK$22*(CO$15&lt;=$J147)*(1-CO$12)</f>
        <v>631.74190235889228</v>
      </c>
      <c r="CP147" s="747">
        <f>$G147*$H147*(1+$K147)^MAX(ROUNDUP(IFERROR(DATEDIF($I147-1,CP$15+1,"m"),)/12,)-1,)*Index!CL$22*(CP$15&lt;=$J147)*(1-CP$12)</f>
        <v>631.74190235889228</v>
      </c>
      <c r="CQ147" s="747">
        <f>$G147*$H147*(1+$K147)^MAX(ROUNDUP(IFERROR(DATEDIF($I147-1,CQ$15+1,"m"),)/12,)-1,)*Index!CM$22*(CQ$15&lt;=$J147)*(1-CQ$12)</f>
        <v>647.53544991786453</v>
      </c>
      <c r="CR147" s="747">
        <f>$G147*$H147*(1+$K147)^MAX(ROUNDUP(IFERROR(DATEDIF($I147-1,CR$15+1,"m"),)/12,)-1,)*Index!CN$22*(CR$15&lt;=$J147)*(1-CR$12)</f>
        <v>647.53544991786453</v>
      </c>
      <c r="CS147" s="747">
        <f>$G147*$H147*(1+$K147)^MAX(ROUNDUP(IFERROR(DATEDIF($I147-1,CS$15+1,"m"),)/12,)-1,)*Index!CO$22*(CS$15&lt;=$J147)*(1-CS$12)</f>
        <v>647.53544991786453</v>
      </c>
      <c r="CT147" s="747">
        <f>$G147*$H147*(1+$K147)^MAX(ROUNDUP(IFERROR(DATEDIF($I147-1,CT$15+1,"m"),)/12,)-1,)*Index!CP$22*(CT$15&lt;=$J147)*(1-CT$12)</f>
        <v>647.53544991786453</v>
      </c>
      <c r="CU147" s="747">
        <f>$G147*$H147*(1+$K147)^MAX(ROUNDUP(IFERROR(DATEDIF($I147-1,CU$15+1,"m"),)/12,)-1,)*Index!CQ$22*(CU$15&lt;=$J147)*(1-CU$12)</f>
        <v>647.53544991786453</v>
      </c>
      <c r="CV147" s="747">
        <f>$G147*$H147*(1+$K147)^MAX(ROUNDUP(IFERROR(DATEDIF($I147-1,CV$15+1,"m"),)/12,)-1,)*Index!CR$22*(CV$15&lt;=$J147)*(1-CV$12)</f>
        <v>647.53544991786453</v>
      </c>
      <c r="CW147" s="747">
        <f>$G147*$H147*(1+$K147)^MAX(ROUNDUP(IFERROR(DATEDIF($I147-1,CW$15+1,"m"),)/12,)-1,)*Index!CS$22*(CW$15&lt;=$J147)*(1-CW$12)</f>
        <v>647.53544991786453</v>
      </c>
      <c r="CX147" s="747">
        <f>$G147*$H147*(1+$K147)^MAX(ROUNDUP(IFERROR(DATEDIF($I147-1,CX$15+1,"m"),)/12,)-1,)*Index!CT$22*(CX$15&lt;=$J147)*(1-CX$12)</f>
        <v>647.53544991786453</v>
      </c>
      <c r="CY147" s="747">
        <f>$G147*$H147*(1+$K147)^MAX(ROUNDUP(IFERROR(DATEDIF($I147-1,CY$15+1,"m"),)/12,)-1,)*Index!CU$22*(CY$15&lt;=$J147)*(1-CY$12)</f>
        <v>647.53544991786453</v>
      </c>
      <c r="CZ147" s="747">
        <f>$G147*$H147*(1+$K147)^MAX(ROUNDUP(IFERROR(DATEDIF($I147-1,CZ$15+1,"m"),)/12,)-1,)*Index!CV$22*(CZ$15&lt;=$J147)*(1-CZ$12)</f>
        <v>647.53544991786453</v>
      </c>
      <c r="DA147" s="747">
        <f>$G147*$H147*(1+$K147)^MAX(ROUNDUP(IFERROR(DATEDIF($I147-1,DA$15+1,"m"),)/12,)-1,)*Index!CW$22*(DA$15&lt;=$J147)*(1-DA$12)</f>
        <v>647.53544991786453</v>
      </c>
      <c r="DB147" s="747">
        <f>$G147*$H147*(1+$K147)^MAX(ROUNDUP(IFERROR(DATEDIF($I147-1,DB$15+1,"m"),)/12,)-1,)*Index!CX$22*(DB$15&lt;=$J147)*(1-DB$12)</f>
        <v>647.53544991786453</v>
      </c>
      <c r="DC147" s="747">
        <f>$G147*$H147*(1+$K147)^MAX(ROUNDUP(IFERROR(DATEDIF($I147-1,DC$15+1,"m"),)/12,)-1,)*Index!CY$22*(DC$15&lt;=$J147)*(1-DC$12)</f>
        <v>0</v>
      </c>
      <c r="DD147" s="747">
        <f>$G147*$H147*(1+$K147)^MAX(ROUNDUP(IFERROR(DATEDIF($I147-1,DD$15+1,"m"),)/12,)-1,)*Index!CZ$22*(DD$15&lt;=$J147)*(1-DD$12)</f>
        <v>0</v>
      </c>
      <c r="DE147" s="747">
        <f>$G147*$H147*(1+$K147)^MAX(ROUNDUP(IFERROR(DATEDIF($I147-1,DE$15+1,"m"),)/12,)-1,)*Index!DA$22*(DE$15&lt;=$J147)*(1-DE$12)</f>
        <v>0</v>
      </c>
      <c r="DF147" s="747">
        <f>$G147*$H147*(1+$K147)^MAX(ROUNDUP(IFERROR(DATEDIF($I147-1,DF$15+1,"m"),)/12,)-1,)*Index!DB$22*(DF$15&lt;=$J147)*(1-DF$12)</f>
        <v>0</v>
      </c>
      <c r="DG147" s="747">
        <f>$G147*$H147*(1+$K147)^MAX(ROUNDUP(IFERROR(DATEDIF($I147-1,DG$15+1,"m"),)/12,)-1,)*Index!DC$22*(DG$15&lt;=$J147)*(1-DG$12)</f>
        <v>0</v>
      </c>
      <c r="DH147" s="747">
        <f>$G147*$H147*(1+$K147)^MAX(ROUNDUP(IFERROR(DATEDIF($I147-1,DH$15+1,"m"),)/12,)-1,)*Index!DD$22*(DH$15&lt;=$J147)*(1-DH$12)</f>
        <v>0</v>
      </c>
      <c r="DI147" s="747">
        <f>$G147*$H147*(1+$K147)^MAX(ROUNDUP(IFERROR(DATEDIF($I147-1,DI$15+1,"m"),)/12,)-1,)*Index!DE$22*(DI$15&lt;=$J147)*(1-DI$12)</f>
        <v>0</v>
      </c>
      <c r="DJ147" s="747">
        <f>$G147*$H147*(1+$K147)^MAX(ROUNDUP(IFERROR(DATEDIF($I147-1,DJ$15+1,"m"),)/12,)-1,)*Index!DF$22*(DJ$15&lt;=$J147)*(1-DJ$12)</f>
        <v>0</v>
      </c>
      <c r="DK147" s="747">
        <f>$G147*$H147*(1+$K147)^MAX(ROUNDUP(IFERROR(DATEDIF($I147-1,DK$15+1,"m"),)/12,)-1,)*Index!DG$22*(DK$15&lt;=$J147)*(1-DK$12)</f>
        <v>0</v>
      </c>
      <c r="DL147" s="747">
        <f>$G147*$H147*(1+$K147)^MAX(ROUNDUP(IFERROR(DATEDIF($I147-1,DL$15+1,"m"),)/12,)-1,)*Index!DH$22*(DL$15&lt;=$J147)*(1-DL$12)</f>
        <v>0</v>
      </c>
      <c r="DM147" s="747">
        <f>$G147*$H147*(1+$K147)^MAX(ROUNDUP(IFERROR(DATEDIF($I147-1,DM$15+1,"m"),)/12,)-1,)*Index!DI$22*(DM$15&lt;=$J147)*(1-DM$12)</f>
        <v>0</v>
      </c>
      <c r="DN147" s="747">
        <f>$G147*$H147*(1+$K147)^MAX(ROUNDUP(IFERROR(DATEDIF($I147-1,DN$15+1,"m"),)/12,)-1,)*Index!DJ$22*(DN$15&lt;=$J147)*(1-DN$12)</f>
        <v>0</v>
      </c>
      <c r="DO147" s="747">
        <f>$G147*$H147*(1+$K147)^MAX(ROUNDUP(IFERROR(DATEDIF($I147-1,DO$15+1,"m"),)/12,)-1,)*Index!DK$22*(DO$15&lt;=$J147)*(1-DO$12)</f>
        <v>0</v>
      </c>
      <c r="DP147" s="747">
        <f>$G147*$H147*(1+$K147)^MAX(ROUNDUP(IFERROR(DATEDIF($I147-1,DP$15+1,"m"),)/12,)-1,)*Index!DL$22*(DP$15&lt;=$J147)*(1-DP$12)</f>
        <v>0</v>
      </c>
      <c r="DQ147" s="747">
        <f>$G147*$H147*(1+$K147)^MAX(ROUNDUP(IFERROR(DATEDIF($I147-1,DQ$15+1,"m"),)/12,)-1,)*Index!DM$22*(DQ$15&lt;=$J147)*(1-DQ$12)</f>
        <v>0</v>
      </c>
      <c r="DR147" s="747">
        <f>$G147*$H147*(1+$K147)^MAX(ROUNDUP(IFERROR(DATEDIF($I147-1,DR$15+1,"m"),)/12,)-1,)*Index!DN$22*(DR$15&lt;=$J147)*(1-DR$12)</f>
        <v>0</v>
      </c>
      <c r="DS147" s="747">
        <f>$G147*$H147*(1+$K147)^MAX(ROUNDUP(IFERROR(DATEDIF($I147-1,DS$15+1,"m"),)/12,)-1,)*Index!DO$22*(DS$15&lt;=$J147)*(1-DS$12)</f>
        <v>0</v>
      </c>
      <c r="DT147" s="747">
        <f>$G147*$H147*(1+$K147)^MAX(ROUNDUP(IFERROR(DATEDIF($I147-1,DT$15+1,"m"),)/12,)-1,)*Index!DP$22*(DT$15&lt;=$J147)*(1-DT$12)</f>
        <v>0</v>
      </c>
      <c r="DU147" s="747">
        <f>$G147*$H147*(1+$K147)^MAX(ROUNDUP(IFERROR(DATEDIF($I147-1,DU$15+1,"m"),)/12,)-1,)*Index!DQ$22*(DU$15&lt;=$J147)*(1-DU$12)</f>
        <v>0</v>
      </c>
      <c r="DV147" s="747">
        <f>$G147*$H147*(1+$K147)^MAX(ROUNDUP(IFERROR(DATEDIF($I147-1,DV$15+1,"m"),)/12,)-1,)*Index!DR$22*(DV$15&lt;=$J147)*(1-DV$12)</f>
        <v>0</v>
      </c>
      <c r="DW147" s="747">
        <f>$G147*$H147*(1+$K147)^MAX(ROUNDUP(IFERROR(DATEDIF($I147-1,DW$15+1,"m"),)/12,)-1,)*Index!DS$22*(DW$15&lt;=$J147)*(1-DW$12)</f>
        <v>0</v>
      </c>
      <c r="DX147" s="747">
        <f>$G147*$H147*(1+$K147)^MAX(ROUNDUP(IFERROR(DATEDIF($I147-1,DX$15+1,"m"),)/12,)-1,)*Index!DT$22*(DX$15&lt;=$J147)*(1-DX$12)</f>
        <v>0</v>
      </c>
      <c r="DY147" s="747">
        <f>$G147*$H147*(1+$K147)^MAX(ROUNDUP(IFERROR(DATEDIF($I147-1,DY$15+1,"m"),)/12,)-1,)*Index!DU$22*(DY$15&lt;=$J147)*(1-DY$12)</f>
        <v>0</v>
      </c>
      <c r="DZ147" s="747">
        <f>$G147*$H147*(1+$K147)^MAX(ROUNDUP(IFERROR(DATEDIF($I147-1,DZ$15+1,"m"),)/12,)-1,)*Index!DV$22*(DZ$15&lt;=$J147)*(1-DZ$12)</f>
        <v>0</v>
      </c>
      <c r="EA147" s="747">
        <f>$G147*$H147*(1+$K147)^MAX(ROUNDUP(IFERROR(DATEDIF($I147-1,EA$15+1,"m"),)/12,)-1,)*Index!DW$22*(EA$15&lt;=$J147)*(1-EA$12)</f>
        <v>0</v>
      </c>
      <c r="EB147" s="747">
        <f>$G147*$H147*(1+$K147)^MAX(ROUNDUP(IFERROR(DATEDIF($I147-1,EB$15+1,"m"),)/12,)-1,)*Index!DX$22*(EB$15&lt;=$J147)*(1-EB$12)</f>
        <v>0</v>
      </c>
      <c r="EC147" s="747">
        <f>$G147*$H147*(1+$K147)^MAX(ROUNDUP(IFERROR(DATEDIF($I147-1,EC$15+1,"m"),)/12,)-1,)*Index!DY$22*(EC$15&lt;=$J147)*(1-EC$12)</f>
        <v>0</v>
      </c>
      <c r="ED147" s="747">
        <f>$G147*$H147*(1+$K147)^MAX(ROUNDUP(IFERROR(DATEDIF($I147-1,ED$15+1,"m"),)/12,)-1,)*Index!DZ$22*(ED$15&lt;=$J147)*(1-ED$12)</f>
        <v>0</v>
      </c>
      <c r="EE147" s="747">
        <f>$G147*$H147*(1+$K147)^MAX(ROUNDUP(IFERROR(DATEDIF($I147-1,EE$15+1,"m"),)/12,)-1,)*Index!EA$22*(EE$15&lt;=$J147)*(1-EE$12)</f>
        <v>0</v>
      </c>
      <c r="EF147" s="747">
        <f>$G147*$H147*(1+$K147)^MAX(ROUNDUP(IFERROR(DATEDIF($I147-1,EF$15+1,"m"),)/12,)-1,)*Index!EB$22*(EF$15&lt;=$J147)*(1-EF$12)</f>
        <v>0</v>
      </c>
      <c r="EG147" s="747">
        <f>$G147*$H147*(1+$K147)^MAX(ROUNDUP(IFERROR(DATEDIF($I147-1,EG$15+1,"m"),)/12,)-1,)*Index!EC$22*(EG$15&lt;=$J147)*(1-EG$12)</f>
        <v>0</v>
      </c>
      <c r="EH147" s="747">
        <f>$G147*$H147*(1+$K147)^MAX(ROUNDUP(IFERROR(DATEDIF($I147-1,EH$15+1,"m"),)/12,)-1,)*Index!ED$22*(EH$15&lt;=$J147)*(1-EH$12)</f>
        <v>0</v>
      </c>
      <c r="EI147" s="747">
        <f>$G147*$H147*(1+$K147)^MAX(ROUNDUP(IFERROR(DATEDIF($I147-1,EI$15+1,"m"),)/12,)-1,)*Index!EE$22*(EI$15&lt;=$J147)*(1-EI$12)</f>
        <v>0</v>
      </c>
      <c r="EJ147" s="747">
        <f>$G147*$H147*(1+$K147)^MAX(ROUNDUP(IFERROR(DATEDIF($I147-1,EJ$15+1,"m"),)/12,)-1,)*Index!EF$22*(EJ$15&lt;=$J147)*(1-EJ$12)</f>
        <v>0</v>
      </c>
      <c r="EK147" s="747">
        <f>$G147*$H147*(1+$K147)^MAX(ROUNDUP(IFERROR(DATEDIF($I147-1,EK$15+1,"m"),)/12,)-1,)*Index!EG$22*(EK$15&lt;=$J147)*(1-EK$12)</f>
        <v>0</v>
      </c>
      <c r="EL147" s="747">
        <f>$G147*$H147*(1+$K147)^MAX(ROUNDUP(IFERROR(DATEDIF($I147-1,EL$15+1,"m"),)/12,)-1,)*Index!EH$22*(EL$15&lt;=$J147)*(1-EL$12)</f>
        <v>0</v>
      </c>
      <c r="EM147" s="747">
        <f>$G147*$H147*(1+$K147)^MAX(ROUNDUP(IFERROR(DATEDIF($I147-1,EM$15+1,"m"),)/12,)-1,)*Index!EI$22*(EM$15&lt;=$J147)*(1-EM$12)</f>
        <v>0</v>
      </c>
      <c r="EN147" s="747">
        <f>$G147*$H147*(1+$K147)^MAX(ROUNDUP(IFERROR(DATEDIF($I147-1,EN$15+1,"m"),)/12,)-1,)*Index!EJ$22*(EN$15&lt;=$J147)*(1-EN$12)</f>
        <v>0</v>
      </c>
      <c r="EO147" s="747">
        <f>$G147*$H147*(1+$K147)^MAX(ROUNDUP(IFERROR(DATEDIF($I147-1,EO$15+1,"m"),)/12,)-1,)*Index!EK$22*(EO$15&lt;=$J147)*(1-EO$12)</f>
        <v>0</v>
      </c>
      <c r="EP147" s="747">
        <f>$G147*$H147*(1+$K147)^MAX(ROUNDUP(IFERROR(DATEDIF($I147-1,EP$15+1,"m"),)/12,)-1,)*Index!EL$22*(EP$15&lt;=$J147)*(1-EP$12)</f>
        <v>0</v>
      </c>
      <c r="EQ147" s="747">
        <f>$G147*$H147*(1+$K147)^MAX(ROUNDUP(IFERROR(DATEDIF($I147-1,EQ$15+1,"m"),)/12,)-1,)*Index!EM$22*(EQ$15&lt;=$J147)*(1-EQ$12)</f>
        <v>0</v>
      </c>
      <c r="ER147" s="747">
        <f>$G147*$H147*(1+$K147)^MAX(ROUNDUP(IFERROR(DATEDIF($I147-1,ER$15+1,"m"),)/12,)-1,)*Index!EN$22*(ER$15&lt;=$J147)*(1-ER$12)</f>
        <v>0</v>
      </c>
      <c r="ES147" s="747">
        <f>$G147*$H147*(1+$K147)^MAX(ROUNDUP(IFERROR(DATEDIF($I147-1,ES$15+1,"m"),)/12,)-1,)*Index!EO$22*(ES$15&lt;=$J147)*(1-ES$12)</f>
        <v>0</v>
      </c>
      <c r="ET147" s="747">
        <f>$G147*$H147*(1+$K147)^MAX(ROUNDUP(IFERROR(DATEDIF($I147-1,ET$15+1,"m"),)/12,)-1,)*Index!EP$22*(ET$15&lt;=$J147)*(1-ET$12)</f>
        <v>0</v>
      </c>
      <c r="EU147" s="747">
        <f>$G147*$H147*(1+$K147)^MAX(ROUNDUP(IFERROR(DATEDIF($I147-1,EU$15+1,"m"),)/12,)-1,)*Index!EQ$22*(EU$15&lt;=$J147)*(1-EU$12)</f>
        <v>0</v>
      </c>
    </row>
    <row r="148" spans="3:151" ht="11.25" customHeight="1">
      <c r="C148" s="735"/>
      <c r="D148" s="743">
        <f t="shared" si="237"/>
        <v>7</v>
      </c>
      <c r="E148" s="704" t="str">
        <f t="shared" si="237"/>
        <v>쿠팡</v>
      </c>
      <c r="F148" s="704" t="str">
        <f t="shared" si="237"/>
        <v>상온창고</v>
      </c>
      <c r="G148" s="781">
        <f>'A&amp;R'!AD11/1000</f>
        <v>3</v>
      </c>
      <c r="H148" s="744">
        <f>'A&amp;R'!Y11</f>
        <v>1550.42</v>
      </c>
      <c r="I148" s="745">
        <f t="shared" si="238"/>
        <v>45323</v>
      </c>
      <c r="J148" s="745">
        <f t="shared" si="238"/>
        <v>49064</v>
      </c>
      <c r="K148" s="754">
        <f t="shared" si="238"/>
        <v>2.5000000000000001E-2</v>
      </c>
      <c r="L148" s="746"/>
      <c r="M148" s="722"/>
      <c r="N148" s="747">
        <f t="shared" si="239"/>
        <v>486173.92755221669</v>
      </c>
      <c r="O148" s="733"/>
      <c r="P148" s="747">
        <f>$G148*$H148*(1+$K148)^MAX(ROUNDUP(IFERROR(DATEDIF($I148-1,P$15+1,"m"),)/12,)-1,)*Index!L$22*(P$15&lt;=$J148)*(1-P$12)</f>
        <v>0</v>
      </c>
      <c r="Q148" s="747">
        <f>$G148*$H148*(1+$K148)^MAX(ROUNDUP(IFERROR(DATEDIF($I148-1,Q$15+1,"m"),)/12,)-1,)*Index!M$22*(Q$15&lt;=$J148)*(1-Q$12)</f>
        <v>4886.7300374999995</v>
      </c>
      <c r="R148" s="747">
        <f>$G148*$H148*(1+$K148)^MAX(ROUNDUP(IFERROR(DATEDIF($I148-1,R$15+1,"m"),)/12,)-1,)*Index!N$22*(R$15&lt;=$J148)*(1-R$12)</f>
        <v>4886.7300374999995</v>
      </c>
      <c r="S148" s="747">
        <f>$G148*$H148*(1+$K148)^MAX(ROUNDUP(IFERROR(DATEDIF($I148-1,S$15+1,"m"),)/12,)-1,)*Index!O$22*(S$15&lt;=$J148)*(1-S$12)</f>
        <v>4886.7300374999995</v>
      </c>
      <c r="T148" s="747">
        <f>$G148*$H148*(1+$K148)^MAX(ROUNDUP(IFERROR(DATEDIF($I148-1,T$15+1,"m"),)/12,)-1,)*Index!P$22*(T$15&lt;=$J148)*(1-T$12)</f>
        <v>5008.8982884375</v>
      </c>
      <c r="U148" s="747">
        <f>$G148*$H148*(1+$K148)^MAX(ROUNDUP(IFERROR(DATEDIF($I148-1,U$15+1,"m"),)/12,)-1,)*Index!Q$22*(U$15&lt;=$J148)*(1-U$12)</f>
        <v>5008.8982884375</v>
      </c>
      <c r="V148" s="747">
        <f>$G148*$H148*(1+$K148)^MAX(ROUNDUP(IFERROR(DATEDIF($I148-1,V$15+1,"m"),)/12,)-1,)*Index!R$22*(V$15&lt;=$J148)*(1-V$12)</f>
        <v>5008.8982884375</v>
      </c>
      <c r="W148" s="747">
        <f>$G148*$H148*(1+$K148)^MAX(ROUNDUP(IFERROR(DATEDIF($I148-1,W$15+1,"m"),)/12,)-1,)*Index!S$22*(W$15&lt;=$J148)*(1-W$12)</f>
        <v>5008.8982884375</v>
      </c>
      <c r="X148" s="747">
        <f>$G148*$H148*(1+$K148)^MAX(ROUNDUP(IFERROR(DATEDIF($I148-1,X$15+1,"m"),)/12,)-1,)*Index!T$22*(X$15&lt;=$J148)*(1-X$12)</f>
        <v>5008.8982884375</v>
      </c>
      <c r="Y148" s="747">
        <f>$G148*$H148*(1+$K148)^MAX(ROUNDUP(IFERROR(DATEDIF($I148-1,Y$15+1,"m"),)/12,)-1,)*Index!U$22*(Y$15&lt;=$J148)*(1-Y$12)</f>
        <v>5008.8982884375</v>
      </c>
      <c r="Z148" s="747">
        <f>$G148*$H148*(1+$K148)^MAX(ROUNDUP(IFERROR(DATEDIF($I148-1,Z$15+1,"m"),)/12,)-1,)*Index!V$22*(Z$15&lt;=$J148)*(1-Z$12)</f>
        <v>5008.8982884375</v>
      </c>
      <c r="AA148" s="747">
        <f>$G148*$H148*(1+$K148)^MAX(ROUNDUP(IFERROR(DATEDIF($I148-1,AA$15+1,"m"),)/12,)-1,)*Index!W$22*(AA$15&lt;=$J148)*(1-AA$12)</f>
        <v>5008.8982884375</v>
      </c>
      <c r="AB148" s="747">
        <f>$G148*$H148*(1+$K148)^MAX(ROUNDUP(IFERROR(DATEDIF($I148-1,AB$15+1,"m"),)/12,)-1,)*Index!X$22*(AB$15&lt;=$J148)*(1-AB$12)</f>
        <v>5008.8982884375</v>
      </c>
      <c r="AC148" s="747">
        <f>$G148*$H148*(1+$K148)^MAX(ROUNDUP(IFERROR(DATEDIF($I148-1,AC$15+1,"m"),)/12,)-1,)*Index!Y$22*(AC$15&lt;=$J148)*(1-AC$12)</f>
        <v>5008.8982884375</v>
      </c>
      <c r="AD148" s="747">
        <f>$G148*$H148*(1+$K148)^MAX(ROUNDUP(IFERROR(DATEDIF($I148-1,AD$15+1,"m"),)/12,)-1,)*Index!Z$22*(AD$15&lt;=$J148)*(1-AD$12)</f>
        <v>5008.8982884375</v>
      </c>
      <c r="AE148" s="747">
        <f>$G148*$H148*(1+$K148)^MAX(ROUNDUP(IFERROR(DATEDIF($I148-1,AE$15+1,"m"),)/12,)-1,)*Index!AA$22*(AE$15&lt;=$J148)*(1-AE$12)</f>
        <v>5008.8982884375</v>
      </c>
      <c r="AF148" s="747">
        <f>$G148*$H148*(1+$K148)^MAX(ROUNDUP(IFERROR(DATEDIF($I148-1,AF$15+1,"m"),)/12,)-1,)*Index!AB$22*(AF$15&lt;=$J148)*(1-AF$12)</f>
        <v>5134.1207456484362</v>
      </c>
      <c r="AG148" s="747">
        <f>$G148*$H148*(1+$K148)^MAX(ROUNDUP(IFERROR(DATEDIF($I148-1,AG$15+1,"m"),)/12,)-1,)*Index!AC$22*(AG$15&lt;=$J148)*(1-AG$12)</f>
        <v>5134.1207456484362</v>
      </c>
      <c r="AH148" s="747">
        <f>$G148*$H148*(1+$K148)^MAX(ROUNDUP(IFERROR(DATEDIF($I148-1,AH$15+1,"m"),)/12,)-1,)*Index!AD$22*(AH$15&lt;=$J148)*(1-AH$12)</f>
        <v>5134.1207456484362</v>
      </c>
      <c r="AI148" s="747">
        <f>$G148*$H148*(1+$K148)^MAX(ROUNDUP(IFERROR(DATEDIF($I148-1,AI$15+1,"m"),)/12,)-1,)*Index!AE$22*(AI$15&lt;=$J148)*(1-AI$12)</f>
        <v>5134.1207456484362</v>
      </c>
      <c r="AJ148" s="747">
        <f>$G148*$H148*(1+$K148)^MAX(ROUNDUP(IFERROR(DATEDIF($I148-1,AJ$15+1,"m"),)/12,)-1,)*Index!AF$22*(AJ$15&lt;=$J148)*(1-AJ$12)</f>
        <v>5134.1207456484362</v>
      </c>
      <c r="AK148" s="747">
        <f>$G148*$H148*(1+$K148)^MAX(ROUNDUP(IFERROR(DATEDIF($I148-1,AK$15+1,"m"),)/12,)-1,)*Index!AG$22*(AK$15&lt;=$J148)*(1-AK$12)</f>
        <v>5134.1207456484362</v>
      </c>
      <c r="AL148" s="747">
        <f>$G148*$H148*(1+$K148)^MAX(ROUNDUP(IFERROR(DATEDIF($I148-1,AL$15+1,"m"),)/12,)-1,)*Index!AH$22*(AL$15&lt;=$J148)*(1-AL$12)</f>
        <v>5134.1207456484362</v>
      </c>
      <c r="AM148" s="747">
        <f>$G148*$H148*(1+$K148)^MAX(ROUNDUP(IFERROR(DATEDIF($I148-1,AM$15+1,"m"),)/12,)-1,)*Index!AI$22*(AM$15&lt;=$J148)*(1-AM$12)</f>
        <v>5134.1207456484362</v>
      </c>
      <c r="AN148" s="747">
        <f>$G148*$H148*(1+$K148)^MAX(ROUNDUP(IFERROR(DATEDIF($I148-1,AN$15+1,"m"),)/12,)-1,)*Index!AJ$22*(AN$15&lt;=$J148)*(1-AN$12)</f>
        <v>5134.1207456484362</v>
      </c>
      <c r="AO148" s="747">
        <f>$G148*$H148*(1+$K148)^MAX(ROUNDUP(IFERROR(DATEDIF($I148-1,AO$15+1,"m"),)/12,)-1,)*Index!AK$22*(AO$15&lt;=$J148)*(1-AO$12)</f>
        <v>5134.1207456484362</v>
      </c>
      <c r="AP148" s="747">
        <f>$G148*$H148*(1+$K148)^MAX(ROUNDUP(IFERROR(DATEDIF($I148-1,AP$15+1,"m"),)/12,)-1,)*Index!AL$22*(AP$15&lt;=$J148)*(1-AP$12)</f>
        <v>5134.1207456484362</v>
      </c>
      <c r="AQ148" s="747">
        <f>$G148*$H148*(1+$K148)^MAX(ROUNDUP(IFERROR(DATEDIF($I148-1,AQ$15+1,"m"),)/12,)-1,)*Index!AM$22*(AQ$15&lt;=$J148)*(1-AQ$12)</f>
        <v>5134.1207456484362</v>
      </c>
      <c r="AR148" s="747">
        <f>$G148*$H148*(1+$K148)^MAX(ROUNDUP(IFERROR(DATEDIF($I148-1,AR$15+1,"m"),)/12,)-1,)*Index!AN$22*(AR$15&lt;=$J148)*(1-AR$12)</f>
        <v>5262.4737642896471</v>
      </c>
      <c r="AS148" s="747">
        <f>$G148*$H148*(1+$K148)^MAX(ROUNDUP(IFERROR(DATEDIF($I148-1,AS$15+1,"m"),)/12,)-1,)*Index!AO$22*(AS$15&lt;=$J148)*(1-AS$12)</f>
        <v>5262.4737642896471</v>
      </c>
      <c r="AT148" s="747">
        <f>$G148*$H148*(1+$K148)^MAX(ROUNDUP(IFERROR(DATEDIF($I148-1,AT$15+1,"m"),)/12,)-1,)*Index!AP$22*(AT$15&lt;=$J148)*(1-AT$12)</f>
        <v>5262.4737642896471</v>
      </c>
      <c r="AU148" s="747">
        <f>$G148*$H148*(1+$K148)^MAX(ROUNDUP(IFERROR(DATEDIF($I148-1,AU$15+1,"m"),)/12,)-1,)*Index!AQ$22*(AU$15&lt;=$J148)*(1-AU$12)</f>
        <v>5262.4737642896471</v>
      </c>
      <c r="AV148" s="747">
        <f>$G148*$H148*(1+$K148)^MAX(ROUNDUP(IFERROR(DATEDIF($I148-1,AV$15+1,"m"),)/12,)-1,)*Index!AR$22*(AV$15&lt;=$J148)*(1-AV$12)</f>
        <v>5262.4737642896471</v>
      </c>
      <c r="AW148" s="747">
        <f>$G148*$H148*(1+$K148)^MAX(ROUNDUP(IFERROR(DATEDIF($I148-1,AW$15+1,"m"),)/12,)-1,)*Index!AS$22*(AW$15&lt;=$J148)*(1-AW$12)</f>
        <v>5262.4737642896471</v>
      </c>
      <c r="AX148" s="747">
        <f>$G148*$H148*(1+$K148)^MAX(ROUNDUP(IFERROR(DATEDIF($I148-1,AX$15+1,"m"),)/12,)-1,)*Index!AT$22*(AX$15&lt;=$J148)*(1-AX$12)</f>
        <v>5262.4737642896471</v>
      </c>
      <c r="AY148" s="747">
        <f>$G148*$H148*(1+$K148)^MAX(ROUNDUP(IFERROR(DATEDIF($I148-1,AY$15+1,"m"),)/12,)-1,)*Index!AU$22*(AY$15&lt;=$J148)*(1-AY$12)</f>
        <v>5262.4737642896471</v>
      </c>
      <c r="AZ148" s="747">
        <f>$G148*$H148*(1+$K148)^MAX(ROUNDUP(IFERROR(DATEDIF($I148-1,AZ$15+1,"m"),)/12,)-1,)*Index!AV$22*(AZ$15&lt;=$J148)*(1-AZ$12)</f>
        <v>5262.4737642896471</v>
      </c>
      <c r="BA148" s="747">
        <f>$G148*$H148*(1+$K148)^MAX(ROUNDUP(IFERROR(DATEDIF($I148-1,BA$15+1,"m"),)/12,)-1,)*Index!AW$22*(BA$15&lt;=$J148)*(1-BA$12)</f>
        <v>5262.4737642896471</v>
      </c>
      <c r="BB148" s="747">
        <f>$G148*$H148*(1+$K148)^MAX(ROUNDUP(IFERROR(DATEDIF($I148-1,BB$15+1,"m"),)/12,)-1,)*Index!AX$22*(BB$15&lt;=$J148)*(1-BB$12)</f>
        <v>5262.4737642896471</v>
      </c>
      <c r="BC148" s="747">
        <f>$G148*$H148*(1+$K148)^MAX(ROUNDUP(IFERROR(DATEDIF($I148-1,BC$15+1,"m"),)/12,)-1,)*Index!AY$22*(BC$15&lt;=$J148)*(1-BC$12)</f>
        <v>5262.4737642896471</v>
      </c>
      <c r="BD148" s="747">
        <f>$G148*$H148*(1+$K148)^MAX(ROUNDUP(IFERROR(DATEDIF($I148-1,BD$15+1,"m"),)/12,)-1,)*Index!AZ$22*(BD$15&lt;=$J148)*(1-BD$12)</f>
        <v>5394.0356083968882</v>
      </c>
      <c r="BE148" s="747">
        <f>$G148*$H148*(1+$K148)^MAX(ROUNDUP(IFERROR(DATEDIF($I148-1,BE$15+1,"m"),)/12,)-1,)*Index!BA$22*(BE$15&lt;=$J148)*(1-BE$12)</f>
        <v>5394.0356083968882</v>
      </c>
      <c r="BF148" s="747">
        <f>$G148*$H148*(1+$K148)^MAX(ROUNDUP(IFERROR(DATEDIF($I148-1,BF$15+1,"m"),)/12,)-1,)*Index!BB$22*(BF$15&lt;=$J148)*(1-BF$12)</f>
        <v>5394.0356083968882</v>
      </c>
      <c r="BG148" s="747">
        <f>$G148*$H148*(1+$K148)^MAX(ROUNDUP(IFERROR(DATEDIF($I148-1,BG$15+1,"m"),)/12,)-1,)*Index!BC$22*(BG$15&lt;=$J148)*(1-BG$12)</f>
        <v>5394.0356083968882</v>
      </c>
      <c r="BH148" s="747">
        <f>$G148*$H148*(1+$K148)^MAX(ROUNDUP(IFERROR(DATEDIF($I148-1,BH$15+1,"m"),)/12,)-1,)*Index!BD$22*(BH$15&lt;=$J148)*(1-BH$12)</f>
        <v>5394.0356083968882</v>
      </c>
      <c r="BI148" s="747">
        <f>$G148*$H148*(1+$K148)^MAX(ROUNDUP(IFERROR(DATEDIF($I148-1,BI$15+1,"m"),)/12,)-1,)*Index!BE$22*(BI$15&lt;=$J148)*(1-BI$12)</f>
        <v>5394.0356083968882</v>
      </c>
      <c r="BJ148" s="747">
        <f>$G148*$H148*(1+$K148)^MAX(ROUNDUP(IFERROR(DATEDIF($I148-1,BJ$15+1,"m"),)/12,)-1,)*Index!BF$22*(BJ$15&lt;=$J148)*(1-BJ$12)</f>
        <v>5394.0356083968882</v>
      </c>
      <c r="BK148" s="747">
        <f>$G148*$H148*(1+$K148)^MAX(ROUNDUP(IFERROR(DATEDIF($I148-1,BK$15+1,"m"),)/12,)-1,)*Index!BG$22*(BK$15&lt;=$J148)*(1-BK$12)</f>
        <v>5394.0356083968882</v>
      </c>
      <c r="BL148" s="747">
        <f>$G148*$H148*(1+$K148)^MAX(ROUNDUP(IFERROR(DATEDIF($I148-1,BL$15+1,"m"),)/12,)-1,)*Index!BH$22*(BL$15&lt;=$J148)*(1-BL$12)</f>
        <v>5394.0356083968882</v>
      </c>
      <c r="BM148" s="747">
        <f>$G148*$H148*(1+$K148)^MAX(ROUNDUP(IFERROR(DATEDIF($I148-1,BM$15+1,"m"),)/12,)-1,)*Index!BI$22*(BM$15&lt;=$J148)*(1-BM$12)</f>
        <v>5394.0356083968882</v>
      </c>
      <c r="BN148" s="747">
        <f>$G148*$H148*(1+$K148)^MAX(ROUNDUP(IFERROR(DATEDIF($I148-1,BN$15+1,"m"),)/12,)-1,)*Index!BJ$22*(BN$15&lt;=$J148)*(1-BN$12)</f>
        <v>5394.0356083968882</v>
      </c>
      <c r="BO148" s="747">
        <f>$G148*$H148*(1+$K148)^MAX(ROUNDUP(IFERROR(DATEDIF($I148-1,BO$15+1,"m"),)/12,)-1,)*Index!BK$22*(BO$15&lt;=$J148)*(1-BO$12)</f>
        <v>5394.0356083968882</v>
      </c>
      <c r="BP148" s="747">
        <f>$G148*$H148*(1+$K148)^MAX(ROUNDUP(IFERROR(DATEDIF($I148-1,BP$15+1,"m"),)/12,)-1,)*Index!BL$22*(BP$15&lt;=$J148)*(1-BP$12)</f>
        <v>5528.8864986068102</v>
      </c>
      <c r="BQ148" s="747">
        <f>$G148*$H148*(1+$K148)^MAX(ROUNDUP(IFERROR(DATEDIF($I148-1,BQ$15+1,"m"),)/12,)-1,)*Index!BM$22*(BQ$15&lt;=$J148)*(1-BQ$12)</f>
        <v>5528.8864986068102</v>
      </c>
      <c r="BR148" s="747">
        <f>$G148*$H148*(1+$K148)^MAX(ROUNDUP(IFERROR(DATEDIF($I148-1,BR$15+1,"m"),)/12,)-1,)*Index!BN$22*(BR$15&lt;=$J148)*(1-BR$12)</f>
        <v>5528.8864986068102</v>
      </c>
      <c r="BS148" s="747">
        <f>$G148*$H148*(1+$K148)^MAX(ROUNDUP(IFERROR(DATEDIF($I148-1,BS$15+1,"m"),)/12,)-1,)*Index!BO$22*(BS$15&lt;=$J148)*(1-BS$12)</f>
        <v>5528.8864986068102</v>
      </c>
      <c r="BT148" s="747">
        <f>$G148*$H148*(1+$K148)^MAX(ROUNDUP(IFERROR(DATEDIF($I148-1,BT$15+1,"m"),)/12,)-1,)*Index!BP$22*(BT$15&lt;=$J148)*(1-BT$12)</f>
        <v>5528.8864986068102</v>
      </c>
      <c r="BU148" s="747">
        <f>$G148*$H148*(1+$K148)^MAX(ROUNDUP(IFERROR(DATEDIF($I148-1,BU$15+1,"m"),)/12,)-1,)*Index!BQ$22*(BU$15&lt;=$J148)*(1-BU$12)</f>
        <v>5528.8864986068102</v>
      </c>
      <c r="BV148" s="747">
        <f>$G148*$H148*(1+$K148)^MAX(ROUNDUP(IFERROR(DATEDIF($I148-1,BV$15+1,"m"),)/12,)-1,)*Index!BR$22*(BV$15&lt;=$J148)*(1-BV$12)</f>
        <v>5528.8864986068102</v>
      </c>
      <c r="BW148" s="747">
        <f>$G148*$H148*(1+$K148)^MAX(ROUNDUP(IFERROR(DATEDIF($I148-1,BW$15+1,"m"),)/12,)-1,)*Index!BS$22*(BW$15&lt;=$J148)*(1-BW$12)</f>
        <v>5528.8864986068102</v>
      </c>
      <c r="BX148" s="747">
        <f>$G148*$H148*(1+$K148)^MAX(ROUNDUP(IFERROR(DATEDIF($I148-1,BX$15+1,"m"),)/12,)-1,)*Index!BT$22*(BX$15&lt;=$J148)*(1-BX$12)</f>
        <v>5528.8864986068102</v>
      </c>
      <c r="BY148" s="747">
        <f>$G148*$H148*(1+$K148)^MAX(ROUNDUP(IFERROR(DATEDIF($I148-1,BY$15+1,"m"),)/12,)-1,)*Index!BU$22*(BY$15&lt;=$J148)*(1-BY$12)</f>
        <v>5528.8864986068102</v>
      </c>
      <c r="BZ148" s="747">
        <f>$G148*$H148*(1+$K148)^MAX(ROUNDUP(IFERROR(DATEDIF($I148-1,BZ$15+1,"m"),)/12,)-1,)*Index!BV$22*(BZ$15&lt;=$J148)*(1-BZ$12)</f>
        <v>5528.8864986068102</v>
      </c>
      <c r="CA148" s="747">
        <f>$G148*$H148*(1+$K148)^MAX(ROUNDUP(IFERROR(DATEDIF($I148-1,CA$15+1,"m"),)/12,)-1,)*Index!BW$22*(CA$15&lt;=$J148)*(1-CA$12)</f>
        <v>5528.8864986068102</v>
      </c>
      <c r="CB148" s="747">
        <f>$G148*$H148*(1+$K148)^MAX(ROUNDUP(IFERROR(DATEDIF($I148-1,CB$15+1,"m"),)/12,)-1,)*Index!BX$22*(CB$15&lt;=$J148)*(1-CB$12)</f>
        <v>5667.1086610719804</v>
      </c>
      <c r="CC148" s="747">
        <f>$G148*$H148*(1+$K148)^MAX(ROUNDUP(IFERROR(DATEDIF($I148-1,CC$15+1,"m"),)/12,)-1,)*Index!BY$22*(CC$15&lt;=$J148)*(1-CC$12)</f>
        <v>5667.1086610719804</v>
      </c>
      <c r="CD148" s="747">
        <f>$G148*$H148*(1+$K148)^MAX(ROUNDUP(IFERROR(DATEDIF($I148-1,CD$15+1,"m"),)/12,)-1,)*Index!BZ$22*(CD$15&lt;=$J148)*(1-CD$12)</f>
        <v>5667.1086610719804</v>
      </c>
      <c r="CE148" s="747">
        <f>$G148*$H148*(1+$K148)^MAX(ROUNDUP(IFERROR(DATEDIF($I148-1,CE$15+1,"m"),)/12,)-1,)*Index!CA$22*(CE$15&lt;=$J148)*(1-CE$12)</f>
        <v>5667.1086610719804</v>
      </c>
      <c r="CF148" s="747">
        <f>$G148*$H148*(1+$K148)^MAX(ROUNDUP(IFERROR(DATEDIF($I148-1,CF$15+1,"m"),)/12,)-1,)*Index!CB$22*(CF$15&lt;=$J148)*(1-CF$12)</f>
        <v>5667.1086610719804</v>
      </c>
      <c r="CG148" s="747">
        <f>$G148*$H148*(1+$K148)^MAX(ROUNDUP(IFERROR(DATEDIF($I148-1,CG$15+1,"m"),)/12,)-1,)*Index!CC$22*(CG$15&lt;=$J148)*(1-CG$12)</f>
        <v>5667.1086610719804</v>
      </c>
      <c r="CH148" s="747">
        <f>$G148*$H148*(1+$K148)^MAX(ROUNDUP(IFERROR(DATEDIF($I148-1,CH$15+1,"m"),)/12,)-1,)*Index!CD$22*(CH$15&lt;=$J148)*(1-CH$12)</f>
        <v>5667.1086610719804</v>
      </c>
      <c r="CI148" s="747">
        <f>$G148*$H148*(1+$K148)^MAX(ROUNDUP(IFERROR(DATEDIF($I148-1,CI$15+1,"m"),)/12,)-1,)*Index!CE$22*(CI$15&lt;=$J148)*(1-CI$12)</f>
        <v>5667.1086610719804</v>
      </c>
      <c r="CJ148" s="747">
        <f>$G148*$H148*(1+$K148)^MAX(ROUNDUP(IFERROR(DATEDIF($I148-1,CJ$15+1,"m"),)/12,)-1,)*Index!CF$22*(CJ$15&lt;=$J148)*(1-CJ$12)</f>
        <v>5667.1086610719804</v>
      </c>
      <c r="CK148" s="747">
        <f>$G148*$H148*(1+$K148)^MAX(ROUNDUP(IFERROR(DATEDIF($I148-1,CK$15+1,"m"),)/12,)-1,)*Index!CG$22*(CK$15&lt;=$J148)*(1-CK$12)</f>
        <v>5667.1086610719804</v>
      </c>
      <c r="CL148" s="747">
        <f>$G148*$H148*(1+$K148)^MAX(ROUNDUP(IFERROR(DATEDIF($I148-1,CL$15+1,"m"),)/12,)-1,)*Index!CH$22*(CL$15&lt;=$J148)*(1-CL$12)</f>
        <v>5667.1086610719804</v>
      </c>
      <c r="CM148" s="747">
        <f>$G148*$H148*(1+$K148)^MAX(ROUNDUP(IFERROR(DATEDIF($I148-1,CM$15+1,"m"),)/12,)-1,)*Index!CI$22*(CM$15&lt;=$J148)*(1-CM$12)</f>
        <v>5667.1086610719804</v>
      </c>
      <c r="CN148" s="747">
        <f>$G148*$H148*(1+$K148)^MAX(ROUNDUP(IFERROR(DATEDIF($I148-1,CN$15+1,"m"),)/12,)-1,)*Index!CJ$22*(CN$15&lt;=$J148)*(1-CN$12)</f>
        <v>5808.7863775987789</v>
      </c>
      <c r="CO148" s="747">
        <f>$G148*$H148*(1+$K148)^MAX(ROUNDUP(IFERROR(DATEDIF($I148-1,CO$15+1,"m"),)/12,)-1,)*Index!CK$22*(CO$15&lt;=$J148)*(1-CO$12)</f>
        <v>5808.7863775987789</v>
      </c>
      <c r="CP148" s="747">
        <f>$G148*$H148*(1+$K148)^MAX(ROUNDUP(IFERROR(DATEDIF($I148-1,CP$15+1,"m"),)/12,)-1,)*Index!CL$22*(CP$15&lt;=$J148)*(1-CP$12)</f>
        <v>5808.7863775987789</v>
      </c>
      <c r="CQ148" s="747">
        <f>$G148*$H148*(1+$K148)^MAX(ROUNDUP(IFERROR(DATEDIF($I148-1,CQ$15+1,"m"),)/12,)-1,)*Index!CM$22*(CQ$15&lt;=$J148)*(1-CQ$12)</f>
        <v>5808.7863775987789</v>
      </c>
      <c r="CR148" s="747">
        <f>$G148*$H148*(1+$K148)^MAX(ROUNDUP(IFERROR(DATEDIF($I148-1,CR$15+1,"m"),)/12,)-1,)*Index!CN$22*(CR$15&lt;=$J148)*(1-CR$12)</f>
        <v>5808.7863775987789</v>
      </c>
      <c r="CS148" s="747">
        <f>$G148*$H148*(1+$K148)^MAX(ROUNDUP(IFERROR(DATEDIF($I148-1,CS$15+1,"m"),)/12,)-1,)*Index!CO$22*(CS$15&lt;=$J148)*(1-CS$12)</f>
        <v>5808.7863775987789</v>
      </c>
      <c r="CT148" s="747">
        <f>$G148*$H148*(1+$K148)^MAX(ROUNDUP(IFERROR(DATEDIF($I148-1,CT$15+1,"m"),)/12,)-1,)*Index!CP$22*(CT$15&lt;=$J148)*(1-CT$12)</f>
        <v>5808.7863775987789</v>
      </c>
      <c r="CU148" s="747">
        <f>$G148*$H148*(1+$K148)^MAX(ROUNDUP(IFERROR(DATEDIF($I148-1,CU$15+1,"m"),)/12,)-1,)*Index!CQ$22*(CU$15&lt;=$J148)*(1-CU$12)</f>
        <v>5808.7863775987789</v>
      </c>
      <c r="CV148" s="747">
        <f>$G148*$H148*(1+$K148)^MAX(ROUNDUP(IFERROR(DATEDIF($I148-1,CV$15+1,"m"),)/12,)-1,)*Index!CR$22*(CV$15&lt;=$J148)*(1-CV$12)</f>
        <v>5808.7863775987789</v>
      </c>
      <c r="CW148" s="747">
        <f>$G148*$H148*(1+$K148)^MAX(ROUNDUP(IFERROR(DATEDIF($I148-1,CW$15+1,"m"),)/12,)-1,)*Index!CS$22*(CW$15&lt;=$J148)*(1-CW$12)</f>
        <v>5808.7863775987789</v>
      </c>
      <c r="CX148" s="747">
        <f>$G148*$H148*(1+$K148)^MAX(ROUNDUP(IFERROR(DATEDIF($I148-1,CX$15+1,"m"),)/12,)-1,)*Index!CT$22*(CX$15&lt;=$J148)*(1-CX$12)</f>
        <v>5808.7863775987789</v>
      </c>
      <c r="CY148" s="747">
        <f>$G148*$H148*(1+$K148)^MAX(ROUNDUP(IFERROR(DATEDIF($I148-1,CY$15+1,"m"),)/12,)-1,)*Index!CU$22*(CY$15&lt;=$J148)*(1-CY$12)</f>
        <v>5808.7863775987789</v>
      </c>
      <c r="CZ148" s="747">
        <f>$G148*$H148*(1+$K148)^MAX(ROUNDUP(IFERROR(DATEDIF($I148-1,CZ$15+1,"m"),)/12,)-1,)*Index!CV$22*(CZ$15&lt;=$J148)*(1-CZ$12)</f>
        <v>5954.0060370387482</v>
      </c>
      <c r="DA148" s="747">
        <f>$G148*$H148*(1+$K148)^MAX(ROUNDUP(IFERROR(DATEDIF($I148-1,DA$15+1,"m"),)/12,)-1,)*Index!CW$22*(DA$15&lt;=$J148)*(1-DA$12)</f>
        <v>5954.0060370387482</v>
      </c>
      <c r="DB148" s="747">
        <f>$G148*$H148*(1+$K148)^MAX(ROUNDUP(IFERROR(DATEDIF($I148-1,DB$15+1,"m"),)/12,)-1,)*Index!CX$22*(DB$15&lt;=$J148)*(1-DB$12)</f>
        <v>5954.0060370387482</v>
      </c>
      <c r="DC148" s="747">
        <f>$G148*$H148*(1+$K148)^MAX(ROUNDUP(IFERROR(DATEDIF($I148-1,DC$15+1,"m"),)/12,)-1,)*Index!CY$22*(DC$15&lt;=$J148)*(1-DC$12)</f>
        <v>0</v>
      </c>
      <c r="DD148" s="747">
        <f>$G148*$H148*(1+$K148)^MAX(ROUNDUP(IFERROR(DATEDIF($I148-1,DD$15+1,"m"),)/12,)-1,)*Index!CZ$22*(DD$15&lt;=$J148)*(1-DD$12)</f>
        <v>0</v>
      </c>
      <c r="DE148" s="747">
        <f>$G148*$H148*(1+$K148)^MAX(ROUNDUP(IFERROR(DATEDIF($I148-1,DE$15+1,"m"),)/12,)-1,)*Index!DA$22*(DE$15&lt;=$J148)*(1-DE$12)</f>
        <v>0</v>
      </c>
      <c r="DF148" s="747">
        <f>$G148*$H148*(1+$K148)^MAX(ROUNDUP(IFERROR(DATEDIF($I148-1,DF$15+1,"m"),)/12,)-1,)*Index!DB$22*(DF$15&lt;=$J148)*(1-DF$12)</f>
        <v>0</v>
      </c>
      <c r="DG148" s="747">
        <f>$G148*$H148*(1+$K148)^MAX(ROUNDUP(IFERROR(DATEDIF($I148-1,DG$15+1,"m"),)/12,)-1,)*Index!DC$22*(DG$15&lt;=$J148)*(1-DG$12)</f>
        <v>0</v>
      </c>
      <c r="DH148" s="747">
        <f>$G148*$H148*(1+$K148)^MAX(ROUNDUP(IFERROR(DATEDIF($I148-1,DH$15+1,"m"),)/12,)-1,)*Index!DD$22*(DH$15&lt;=$J148)*(1-DH$12)</f>
        <v>0</v>
      </c>
      <c r="DI148" s="747">
        <f>$G148*$H148*(1+$K148)^MAX(ROUNDUP(IFERROR(DATEDIF($I148-1,DI$15+1,"m"),)/12,)-1,)*Index!DE$22*(DI$15&lt;=$J148)*(1-DI$12)</f>
        <v>0</v>
      </c>
      <c r="DJ148" s="747">
        <f>$G148*$H148*(1+$K148)^MAX(ROUNDUP(IFERROR(DATEDIF($I148-1,DJ$15+1,"m"),)/12,)-1,)*Index!DF$22*(DJ$15&lt;=$J148)*(1-DJ$12)</f>
        <v>0</v>
      </c>
      <c r="DK148" s="747">
        <f>$G148*$H148*(1+$K148)^MAX(ROUNDUP(IFERROR(DATEDIF($I148-1,DK$15+1,"m"),)/12,)-1,)*Index!DG$22*(DK$15&lt;=$J148)*(1-DK$12)</f>
        <v>0</v>
      </c>
      <c r="DL148" s="747">
        <f>$G148*$H148*(1+$K148)^MAX(ROUNDUP(IFERROR(DATEDIF($I148-1,DL$15+1,"m"),)/12,)-1,)*Index!DH$22*(DL$15&lt;=$J148)*(1-DL$12)</f>
        <v>0</v>
      </c>
      <c r="DM148" s="747">
        <f>$G148*$H148*(1+$K148)^MAX(ROUNDUP(IFERROR(DATEDIF($I148-1,DM$15+1,"m"),)/12,)-1,)*Index!DI$22*(DM$15&lt;=$J148)*(1-DM$12)</f>
        <v>0</v>
      </c>
      <c r="DN148" s="747">
        <f>$G148*$H148*(1+$K148)^MAX(ROUNDUP(IFERROR(DATEDIF($I148-1,DN$15+1,"m"),)/12,)-1,)*Index!DJ$22*(DN$15&lt;=$J148)*(1-DN$12)</f>
        <v>0</v>
      </c>
      <c r="DO148" s="747">
        <f>$G148*$H148*(1+$K148)^MAX(ROUNDUP(IFERROR(DATEDIF($I148-1,DO$15+1,"m"),)/12,)-1,)*Index!DK$22*(DO$15&lt;=$J148)*(1-DO$12)</f>
        <v>0</v>
      </c>
      <c r="DP148" s="747">
        <f>$G148*$H148*(1+$K148)^MAX(ROUNDUP(IFERROR(DATEDIF($I148-1,DP$15+1,"m"),)/12,)-1,)*Index!DL$22*(DP$15&lt;=$J148)*(1-DP$12)</f>
        <v>0</v>
      </c>
      <c r="DQ148" s="747">
        <f>$G148*$H148*(1+$K148)^MAX(ROUNDUP(IFERROR(DATEDIF($I148-1,DQ$15+1,"m"),)/12,)-1,)*Index!DM$22*(DQ$15&lt;=$J148)*(1-DQ$12)</f>
        <v>0</v>
      </c>
      <c r="DR148" s="747">
        <f>$G148*$H148*(1+$K148)^MAX(ROUNDUP(IFERROR(DATEDIF($I148-1,DR$15+1,"m"),)/12,)-1,)*Index!DN$22*(DR$15&lt;=$J148)*(1-DR$12)</f>
        <v>0</v>
      </c>
      <c r="DS148" s="747">
        <f>$G148*$H148*(1+$K148)^MAX(ROUNDUP(IFERROR(DATEDIF($I148-1,DS$15+1,"m"),)/12,)-1,)*Index!DO$22*(DS$15&lt;=$J148)*(1-DS$12)</f>
        <v>0</v>
      </c>
      <c r="DT148" s="747">
        <f>$G148*$H148*(1+$K148)^MAX(ROUNDUP(IFERROR(DATEDIF($I148-1,DT$15+1,"m"),)/12,)-1,)*Index!DP$22*(DT$15&lt;=$J148)*(1-DT$12)</f>
        <v>0</v>
      </c>
      <c r="DU148" s="747">
        <f>$G148*$H148*(1+$K148)^MAX(ROUNDUP(IFERROR(DATEDIF($I148-1,DU$15+1,"m"),)/12,)-1,)*Index!DQ$22*(DU$15&lt;=$J148)*(1-DU$12)</f>
        <v>0</v>
      </c>
      <c r="DV148" s="747">
        <f>$G148*$H148*(1+$K148)^MAX(ROUNDUP(IFERROR(DATEDIF($I148-1,DV$15+1,"m"),)/12,)-1,)*Index!DR$22*(DV$15&lt;=$J148)*(1-DV$12)</f>
        <v>0</v>
      </c>
      <c r="DW148" s="747">
        <f>$G148*$H148*(1+$K148)^MAX(ROUNDUP(IFERROR(DATEDIF($I148-1,DW$15+1,"m"),)/12,)-1,)*Index!DS$22*(DW$15&lt;=$J148)*(1-DW$12)</f>
        <v>0</v>
      </c>
      <c r="DX148" s="747">
        <f>$G148*$H148*(1+$K148)^MAX(ROUNDUP(IFERROR(DATEDIF($I148-1,DX$15+1,"m"),)/12,)-1,)*Index!DT$22*(DX$15&lt;=$J148)*(1-DX$12)</f>
        <v>0</v>
      </c>
      <c r="DY148" s="747">
        <f>$G148*$H148*(1+$K148)^MAX(ROUNDUP(IFERROR(DATEDIF($I148-1,DY$15+1,"m"),)/12,)-1,)*Index!DU$22*(DY$15&lt;=$J148)*(1-DY$12)</f>
        <v>0</v>
      </c>
      <c r="DZ148" s="747">
        <f>$G148*$H148*(1+$K148)^MAX(ROUNDUP(IFERROR(DATEDIF($I148-1,DZ$15+1,"m"),)/12,)-1,)*Index!DV$22*(DZ$15&lt;=$J148)*(1-DZ$12)</f>
        <v>0</v>
      </c>
      <c r="EA148" s="747">
        <f>$G148*$H148*(1+$K148)^MAX(ROUNDUP(IFERROR(DATEDIF($I148-1,EA$15+1,"m"),)/12,)-1,)*Index!DW$22*(EA$15&lt;=$J148)*(1-EA$12)</f>
        <v>0</v>
      </c>
      <c r="EB148" s="747">
        <f>$G148*$H148*(1+$K148)^MAX(ROUNDUP(IFERROR(DATEDIF($I148-1,EB$15+1,"m"),)/12,)-1,)*Index!DX$22*(EB$15&lt;=$J148)*(1-EB$12)</f>
        <v>0</v>
      </c>
      <c r="EC148" s="747">
        <f>$G148*$H148*(1+$K148)^MAX(ROUNDUP(IFERROR(DATEDIF($I148-1,EC$15+1,"m"),)/12,)-1,)*Index!DY$22*(EC$15&lt;=$J148)*(1-EC$12)</f>
        <v>0</v>
      </c>
      <c r="ED148" s="747">
        <f>$G148*$H148*(1+$K148)^MAX(ROUNDUP(IFERROR(DATEDIF($I148-1,ED$15+1,"m"),)/12,)-1,)*Index!DZ$22*(ED$15&lt;=$J148)*(1-ED$12)</f>
        <v>0</v>
      </c>
      <c r="EE148" s="747">
        <f>$G148*$H148*(1+$K148)^MAX(ROUNDUP(IFERROR(DATEDIF($I148-1,EE$15+1,"m"),)/12,)-1,)*Index!EA$22*(EE$15&lt;=$J148)*(1-EE$12)</f>
        <v>0</v>
      </c>
      <c r="EF148" s="747">
        <f>$G148*$H148*(1+$K148)^MAX(ROUNDUP(IFERROR(DATEDIF($I148-1,EF$15+1,"m"),)/12,)-1,)*Index!EB$22*(EF$15&lt;=$J148)*(1-EF$12)</f>
        <v>0</v>
      </c>
      <c r="EG148" s="747">
        <f>$G148*$H148*(1+$K148)^MAX(ROUNDUP(IFERROR(DATEDIF($I148-1,EG$15+1,"m"),)/12,)-1,)*Index!EC$22*(EG$15&lt;=$J148)*(1-EG$12)</f>
        <v>0</v>
      </c>
      <c r="EH148" s="747">
        <f>$G148*$H148*(1+$K148)^MAX(ROUNDUP(IFERROR(DATEDIF($I148-1,EH$15+1,"m"),)/12,)-1,)*Index!ED$22*(EH$15&lt;=$J148)*(1-EH$12)</f>
        <v>0</v>
      </c>
      <c r="EI148" s="747">
        <f>$G148*$H148*(1+$K148)^MAX(ROUNDUP(IFERROR(DATEDIF($I148-1,EI$15+1,"m"),)/12,)-1,)*Index!EE$22*(EI$15&lt;=$J148)*(1-EI$12)</f>
        <v>0</v>
      </c>
      <c r="EJ148" s="747">
        <f>$G148*$H148*(1+$K148)^MAX(ROUNDUP(IFERROR(DATEDIF($I148-1,EJ$15+1,"m"),)/12,)-1,)*Index!EF$22*(EJ$15&lt;=$J148)*(1-EJ$12)</f>
        <v>0</v>
      </c>
      <c r="EK148" s="747">
        <f>$G148*$H148*(1+$K148)^MAX(ROUNDUP(IFERROR(DATEDIF($I148-1,EK$15+1,"m"),)/12,)-1,)*Index!EG$22*(EK$15&lt;=$J148)*(1-EK$12)</f>
        <v>0</v>
      </c>
      <c r="EL148" s="747">
        <f>$G148*$H148*(1+$K148)^MAX(ROUNDUP(IFERROR(DATEDIF($I148-1,EL$15+1,"m"),)/12,)-1,)*Index!EH$22*(EL$15&lt;=$J148)*(1-EL$12)</f>
        <v>0</v>
      </c>
      <c r="EM148" s="747">
        <f>$G148*$H148*(1+$K148)^MAX(ROUNDUP(IFERROR(DATEDIF($I148-1,EM$15+1,"m"),)/12,)-1,)*Index!EI$22*(EM$15&lt;=$J148)*(1-EM$12)</f>
        <v>0</v>
      </c>
      <c r="EN148" s="747">
        <f>$G148*$H148*(1+$K148)^MAX(ROUNDUP(IFERROR(DATEDIF($I148-1,EN$15+1,"m"),)/12,)-1,)*Index!EJ$22*(EN$15&lt;=$J148)*(1-EN$12)</f>
        <v>0</v>
      </c>
      <c r="EO148" s="747">
        <f>$G148*$H148*(1+$K148)^MAX(ROUNDUP(IFERROR(DATEDIF($I148-1,EO$15+1,"m"),)/12,)-1,)*Index!EK$22*(EO$15&lt;=$J148)*(1-EO$12)</f>
        <v>0</v>
      </c>
      <c r="EP148" s="747">
        <f>$G148*$H148*(1+$K148)^MAX(ROUNDUP(IFERROR(DATEDIF($I148-1,EP$15+1,"m"),)/12,)-1,)*Index!EL$22*(EP$15&lt;=$J148)*(1-EP$12)</f>
        <v>0</v>
      </c>
      <c r="EQ148" s="747">
        <f>$G148*$H148*(1+$K148)^MAX(ROUNDUP(IFERROR(DATEDIF($I148-1,EQ$15+1,"m"),)/12,)-1,)*Index!EM$22*(EQ$15&lt;=$J148)*(1-EQ$12)</f>
        <v>0</v>
      </c>
      <c r="ER148" s="747">
        <f>$G148*$H148*(1+$K148)^MAX(ROUNDUP(IFERROR(DATEDIF($I148-1,ER$15+1,"m"),)/12,)-1,)*Index!EN$22*(ER$15&lt;=$J148)*(1-ER$12)</f>
        <v>0</v>
      </c>
      <c r="ES148" s="747">
        <f>$G148*$H148*(1+$K148)^MAX(ROUNDUP(IFERROR(DATEDIF($I148-1,ES$15+1,"m"),)/12,)-1,)*Index!EO$22*(ES$15&lt;=$J148)*(1-ES$12)</f>
        <v>0</v>
      </c>
      <c r="ET148" s="747">
        <f>$G148*$H148*(1+$K148)^MAX(ROUNDUP(IFERROR(DATEDIF($I148-1,ET$15+1,"m"),)/12,)-1,)*Index!EP$22*(ET$15&lt;=$J148)*(1-ET$12)</f>
        <v>0</v>
      </c>
      <c r="EU148" s="747">
        <f>$G148*$H148*(1+$K148)^MAX(ROUNDUP(IFERROR(DATEDIF($I148-1,EU$15+1,"m"),)/12,)-1,)*Index!EQ$22*(EU$15&lt;=$J148)*(1-EU$12)</f>
        <v>0</v>
      </c>
    </row>
    <row r="149" spans="3:151" ht="11.25" customHeight="1">
      <c r="C149" s="735"/>
      <c r="D149" s="743">
        <f t="shared" si="237"/>
        <v>6</v>
      </c>
      <c r="E149" s="704" t="str">
        <f t="shared" si="237"/>
        <v>쿠팡</v>
      </c>
      <c r="F149" s="704" t="str">
        <f t="shared" si="237"/>
        <v>상온창고</v>
      </c>
      <c r="G149" s="781">
        <f>'A&amp;R'!AD12/1000</f>
        <v>3</v>
      </c>
      <c r="H149" s="744">
        <f>'A&amp;R'!Y12</f>
        <v>2187.87</v>
      </c>
      <c r="I149" s="745">
        <f t="shared" si="238"/>
        <v>45323</v>
      </c>
      <c r="J149" s="745">
        <f t="shared" si="238"/>
        <v>49064</v>
      </c>
      <c r="K149" s="754">
        <f t="shared" si="238"/>
        <v>2.5000000000000001E-2</v>
      </c>
      <c r="L149" s="746"/>
      <c r="M149" s="722"/>
      <c r="N149" s="747">
        <f t="shared" si="239"/>
        <v>686062.71260282176</v>
      </c>
      <c r="O149" s="733"/>
      <c r="P149" s="747">
        <f>$G149*$H149*(1+$K149)^MAX(ROUNDUP(IFERROR(DATEDIF($I149-1,P$15+1,"m"),)/12,)-1,)*Index!L$22*(P$15&lt;=$J149)*(1-P$12)</f>
        <v>0</v>
      </c>
      <c r="Q149" s="747">
        <f>$G149*$H149*(1+$K149)^MAX(ROUNDUP(IFERROR(DATEDIF($I149-1,Q$15+1,"m"),)/12,)-1,)*Index!M$22*(Q$15&lt;=$J149)*(1-Q$12)</f>
        <v>6895.8927562499994</v>
      </c>
      <c r="R149" s="747">
        <f>$G149*$H149*(1+$K149)^MAX(ROUNDUP(IFERROR(DATEDIF($I149-1,R$15+1,"m"),)/12,)-1,)*Index!N$22*(R$15&lt;=$J149)*(1-R$12)</f>
        <v>6895.8927562499994</v>
      </c>
      <c r="S149" s="747">
        <f>$G149*$H149*(1+$K149)^MAX(ROUNDUP(IFERROR(DATEDIF($I149-1,S$15+1,"m"),)/12,)-1,)*Index!O$22*(S$15&lt;=$J149)*(1-S$12)</f>
        <v>6895.8927562499994</v>
      </c>
      <c r="T149" s="747">
        <f>$G149*$H149*(1+$K149)^MAX(ROUNDUP(IFERROR(DATEDIF($I149-1,T$15+1,"m"),)/12,)-1,)*Index!P$22*(T$15&lt;=$J149)*(1-T$12)</f>
        <v>7068.2900751562493</v>
      </c>
      <c r="U149" s="747">
        <f>$G149*$H149*(1+$K149)^MAX(ROUNDUP(IFERROR(DATEDIF($I149-1,U$15+1,"m"),)/12,)-1,)*Index!Q$22*(U$15&lt;=$J149)*(1-U$12)</f>
        <v>7068.2900751562493</v>
      </c>
      <c r="V149" s="747">
        <f>$G149*$H149*(1+$K149)^MAX(ROUNDUP(IFERROR(DATEDIF($I149-1,V$15+1,"m"),)/12,)-1,)*Index!R$22*(V$15&lt;=$J149)*(1-V$12)</f>
        <v>7068.2900751562493</v>
      </c>
      <c r="W149" s="747">
        <f>$G149*$H149*(1+$K149)^MAX(ROUNDUP(IFERROR(DATEDIF($I149-1,W$15+1,"m"),)/12,)-1,)*Index!S$22*(W$15&lt;=$J149)*(1-W$12)</f>
        <v>7068.2900751562493</v>
      </c>
      <c r="X149" s="747">
        <f>$G149*$H149*(1+$K149)^MAX(ROUNDUP(IFERROR(DATEDIF($I149-1,X$15+1,"m"),)/12,)-1,)*Index!T$22*(X$15&lt;=$J149)*(1-X$12)</f>
        <v>7068.2900751562493</v>
      </c>
      <c r="Y149" s="747">
        <f>$G149*$H149*(1+$K149)^MAX(ROUNDUP(IFERROR(DATEDIF($I149-1,Y$15+1,"m"),)/12,)-1,)*Index!U$22*(Y$15&lt;=$J149)*(1-Y$12)</f>
        <v>7068.2900751562493</v>
      </c>
      <c r="Z149" s="747">
        <f>$G149*$H149*(1+$K149)^MAX(ROUNDUP(IFERROR(DATEDIF($I149-1,Z$15+1,"m"),)/12,)-1,)*Index!V$22*(Z$15&lt;=$J149)*(1-Z$12)</f>
        <v>7068.2900751562493</v>
      </c>
      <c r="AA149" s="747">
        <f>$G149*$H149*(1+$K149)^MAX(ROUNDUP(IFERROR(DATEDIF($I149-1,AA$15+1,"m"),)/12,)-1,)*Index!W$22*(AA$15&lt;=$J149)*(1-AA$12)</f>
        <v>7068.2900751562493</v>
      </c>
      <c r="AB149" s="747">
        <f>$G149*$H149*(1+$K149)^MAX(ROUNDUP(IFERROR(DATEDIF($I149-1,AB$15+1,"m"),)/12,)-1,)*Index!X$22*(AB$15&lt;=$J149)*(1-AB$12)</f>
        <v>7068.2900751562493</v>
      </c>
      <c r="AC149" s="747">
        <f>$G149*$H149*(1+$K149)^MAX(ROUNDUP(IFERROR(DATEDIF($I149-1,AC$15+1,"m"),)/12,)-1,)*Index!Y$22*(AC$15&lt;=$J149)*(1-AC$12)</f>
        <v>7068.2900751562493</v>
      </c>
      <c r="AD149" s="747">
        <f>$G149*$H149*(1+$K149)^MAX(ROUNDUP(IFERROR(DATEDIF($I149-1,AD$15+1,"m"),)/12,)-1,)*Index!Z$22*(AD$15&lt;=$J149)*(1-AD$12)</f>
        <v>7068.2900751562493</v>
      </c>
      <c r="AE149" s="747">
        <f>$G149*$H149*(1+$K149)^MAX(ROUNDUP(IFERROR(DATEDIF($I149-1,AE$15+1,"m"),)/12,)-1,)*Index!AA$22*(AE$15&lt;=$J149)*(1-AE$12)</f>
        <v>7068.2900751562493</v>
      </c>
      <c r="AF149" s="747">
        <f>$G149*$H149*(1+$K149)^MAX(ROUNDUP(IFERROR(DATEDIF($I149-1,AF$15+1,"m"),)/12,)-1,)*Index!AB$22*(AF$15&lt;=$J149)*(1-AF$12)</f>
        <v>7244.9973270351547</v>
      </c>
      <c r="AG149" s="747">
        <f>$G149*$H149*(1+$K149)^MAX(ROUNDUP(IFERROR(DATEDIF($I149-1,AG$15+1,"m"),)/12,)-1,)*Index!AC$22*(AG$15&lt;=$J149)*(1-AG$12)</f>
        <v>7244.9973270351547</v>
      </c>
      <c r="AH149" s="747">
        <f>$G149*$H149*(1+$K149)^MAX(ROUNDUP(IFERROR(DATEDIF($I149-1,AH$15+1,"m"),)/12,)-1,)*Index!AD$22*(AH$15&lt;=$J149)*(1-AH$12)</f>
        <v>7244.9973270351547</v>
      </c>
      <c r="AI149" s="747">
        <f>$G149*$H149*(1+$K149)^MAX(ROUNDUP(IFERROR(DATEDIF($I149-1,AI$15+1,"m"),)/12,)-1,)*Index!AE$22*(AI$15&lt;=$J149)*(1-AI$12)</f>
        <v>7244.9973270351547</v>
      </c>
      <c r="AJ149" s="747">
        <f>$G149*$H149*(1+$K149)^MAX(ROUNDUP(IFERROR(DATEDIF($I149-1,AJ$15+1,"m"),)/12,)-1,)*Index!AF$22*(AJ$15&lt;=$J149)*(1-AJ$12)</f>
        <v>7244.9973270351547</v>
      </c>
      <c r="AK149" s="747">
        <f>$G149*$H149*(1+$K149)^MAX(ROUNDUP(IFERROR(DATEDIF($I149-1,AK$15+1,"m"),)/12,)-1,)*Index!AG$22*(AK$15&lt;=$J149)*(1-AK$12)</f>
        <v>7244.9973270351547</v>
      </c>
      <c r="AL149" s="747">
        <f>$G149*$H149*(1+$K149)^MAX(ROUNDUP(IFERROR(DATEDIF($I149-1,AL$15+1,"m"),)/12,)-1,)*Index!AH$22*(AL$15&lt;=$J149)*(1-AL$12)</f>
        <v>7244.9973270351547</v>
      </c>
      <c r="AM149" s="747">
        <f>$G149*$H149*(1+$K149)^MAX(ROUNDUP(IFERROR(DATEDIF($I149-1,AM$15+1,"m"),)/12,)-1,)*Index!AI$22*(AM$15&lt;=$J149)*(1-AM$12)</f>
        <v>7244.9973270351547</v>
      </c>
      <c r="AN149" s="747">
        <f>$G149*$H149*(1+$K149)^MAX(ROUNDUP(IFERROR(DATEDIF($I149-1,AN$15+1,"m"),)/12,)-1,)*Index!AJ$22*(AN$15&lt;=$J149)*(1-AN$12)</f>
        <v>7244.9973270351547</v>
      </c>
      <c r="AO149" s="747">
        <f>$G149*$H149*(1+$K149)^MAX(ROUNDUP(IFERROR(DATEDIF($I149-1,AO$15+1,"m"),)/12,)-1,)*Index!AK$22*(AO$15&lt;=$J149)*(1-AO$12)</f>
        <v>7244.9973270351547</v>
      </c>
      <c r="AP149" s="747">
        <f>$G149*$H149*(1+$K149)^MAX(ROUNDUP(IFERROR(DATEDIF($I149-1,AP$15+1,"m"),)/12,)-1,)*Index!AL$22*(AP$15&lt;=$J149)*(1-AP$12)</f>
        <v>7244.9973270351547</v>
      </c>
      <c r="AQ149" s="747">
        <f>$G149*$H149*(1+$K149)^MAX(ROUNDUP(IFERROR(DATEDIF($I149-1,AQ$15+1,"m"),)/12,)-1,)*Index!AM$22*(AQ$15&lt;=$J149)*(1-AQ$12)</f>
        <v>7244.9973270351547</v>
      </c>
      <c r="AR149" s="747">
        <f>$G149*$H149*(1+$K149)^MAX(ROUNDUP(IFERROR(DATEDIF($I149-1,AR$15+1,"m"),)/12,)-1,)*Index!AN$22*(AR$15&lt;=$J149)*(1-AR$12)</f>
        <v>7426.1222602110329</v>
      </c>
      <c r="AS149" s="747">
        <f>$G149*$H149*(1+$K149)^MAX(ROUNDUP(IFERROR(DATEDIF($I149-1,AS$15+1,"m"),)/12,)-1,)*Index!AO$22*(AS$15&lt;=$J149)*(1-AS$12)</f>
        <v>7426.1222602110329</v>
      </c>
      <c r="AT149" s="747">
        <f>$G149*$H149*(1+$K149)^MAX(ROUNDUP(IFERROR(DATEDIF($I149-1,AT$15+1,"m"),)/12,)-1,)*Index!AP$22*(AT$15&lt;=$J149)*(1-AT$12)</f>
        <v>7426.1222602110329</v>
      </c>
      <c r="AU149" s="747">
        <f>$G149*$H149*(1+$K149)^MAX(ROUNDUP(IFERROR(DATEDIF($I149-1,AU$15+1,"m"),)/12,)-1,)*Index!AQ$22*(AU$15&lt;=$J149)*(1-AU$12)</f>
        <v>7426.1222602110329</v>
      </c>
      <c r="AV149" s="747">
        <f>$G149*$H149*(1+$K149)^MAX(ROUNDUP(IFERROR(DATEDIF($I149-1,AV$15+1,"m"),)/12,)-1,)*Index!AR$22*(AV$15&lt;=$J149)*(1-AV$12)</f>
        <v>7426.1222602110329</v>
      </c>
      <c r="AW149" s="747">
        <f>$G149*$H149*(1+$K149)^MAX(ROUNDUP(IFERROR(DATEDIF($I149-1,AW$15+1,"m"),)/12,)-1,)*Index!AS$22*(AW$15&lt;=$J149)*(1-AW$12)</f>
        <v>7426.1222602110329</v>
      </c>
      <c r="AX149" s="747">
        <f>$G149*$H149*(1+$K149)^MAX(ROUNDUP(IFERROR(DATEDIF($I149-1,AX$15+1,"m"),)/12,)-1,)*Index!AT$22*(AX$15&lt;=$J149)*(1-AX$12)</f>
        <v>7426.1222602110329</v>
      </c>
      <c r="AY149" s="747">
        <f>$G149*$H149*(1+$K149)^MAX(ROUNDUP(IFERROR(DATEDIF($I149-1,AY$15+1,"m"),)/12,)-1,)*Index!AU$22*(AY$15&lt;=$J149)*(1-AY$12)</f>
        <v>7426.1222602110329</v>
      </c>
      <c r="AZ149" s="747">
        <f>$G149*$H149*(1+$K149)^MAX(ROUNDUP(IFERROR(DATEDIF($I149-1,AZ$15+1,"m"),)/12,)-1,)*Index!AV$22*(AZ$15&lt;=$J149)*(1-AZ$12)</f>
        <v>7426.1222602110329</v>
      </c>
      <c r="BA149" s="747">
        <f>$G149*$H149*(1+$K149)^MAX(ROUNDUP(IFERROR(DATEDIF($I149-1,BA$15+1,"m"),)/12,)-1,)*Index!AW$22*(BA$15&lt;=$J149)*(1-BA$12)</f>
        <v>7426.1222602110329</v>
      </c>
      <c r="BB149" s="747">
        <f>$G149*$H149*(1+$K149)^MAX(ROUNDUP(IFERROR(DATEDIF($I149-1,BB$15+1,"m"),)/12,)-1,)*Index!AX$22*(BB$15&lt;=$J149)*(1-BB$12)</f>
        <v>7426.1222602110329</v>
      </c>
      <c r="BC149" s="747">
        <f>$G149*$H149*(1+$K149)^MAX(ROUNDUP(IFERROR(DATEDIF($I149-1,BC$15+1,"m"),)/12,)-1,)*Index!AY$22*(BC$15&lt;=$J149)*(1-BC$12)</f>
        <v>7426.1222602110329</v>
      </c>
      <c r="BD149" s="747">
        <f>$G149*$H149*(1+$K149)^MAX(ROUNDUP(IFERROR(DATEDIF($I149-1,BD$15+1,"m"),)/12,)-1,)*Index!AZ$22*(BD$15&lt;=$J149)*(1-BD$12)</f>
        <v>7611.7753167163073</v>
      </c>
      <c r="BE149" s="747">
        <f>$G149*$H149*(1+$K149)^MAX(ROUNDUP(IFERROR(DATEDIF($I149-1,BE$15+1,"m"),)/12,)-1,)*Index!BA$22*(BE$15&lt;=$J149)*(1-BE$12)</f>
        <v>7611.7753167163073</v>
      </c>
      <c r="BF149" s="747">
        <f>$G149*$H149*(1+$K149)^MAX(ROUNDUP(IFERROR(DATEDIF($I149-1,BF$15+1,"m"),)/12,)-1,)*Index!BB$22*(BF$15&lt;=$J149)*(1-BF$12)</f>
        <v>7611.7753167163073</v>
      </c>
      <c r="BG149" s="747">
        <f>$G149*$H149*(1+$K149)^MAX(ROUNDUP(IFERROR(DATEDIF($I149-1,BG$15+1,"m"),)/12,)-1,)*Index!BC$22*(BG$15&lt;=$J149)*(1-BG$12)</f>
        <v>7611.7753167163073</v>
      </c>
      <c r="BH149" s="747">
        <f>$G149*$H149*(1+$K149)^MAX(ROUNDUP(IFERROR(DATEDIF($I149-1,BH$15+1,"m"),)/12,)-1,)*Index!BD$22*(BH$15&lt;=$J149)*(1-BH$12)</f>
        <v>7611.7753167163073</v>
      </c>
      <c r="BI149" s="747">
        <f>$G149*$H149*(1+$K149)^MAX(ROUNDUP(IFERROR(DATEDIF($I149-1,BI$15+1,"m"),)/12,)-1,)*Index!BE$22*(BI$15&lt;=$J149)*(1-BI$12)</f>
        <v>7611.7753167163073</v>
      </c>
      <c r="BJ149" s="747">
        <f>$G149*$H149*(1+$K149)^MAX(ROUNDUP(IFERROR(DATEDIF($I149-1,BJ$15+1,"m"),)/12,)-1,)*Index!BF$22*(BJ$15&lt;=$J149)*(1-BJ$12)</f>
        <v>7611.7753167163073</v>
      </c>
      <c r="BK149" s="747">
        <f>$G149*$H149*(1+$K149)^MAX(ROUNDUP(IFERROR(DATEDIF($I149-1,BK$15+1,"m"),)/12,)-1,)*Index!BG$22*(BK$15&lt;=$J149)*(1-BK$12)</f>
        <v>7611.7753167163073</v>
      </c>
      <c r="BL149" s="747">
        <f>$G149*$H149*(1+$K149)^MAX(ROUNDUP(IFERROR(DATEDIF($I149-1,BL$15+1,"m"),)/12,)-1,)*Index!BH$22*(BL$15&lt;=$J149)*(1-BL$12)</f>
        <v>7611.7753167163073</v>
      </c>
      <c r="BM149" s="747">
        <f>$G149*$H149*(1+$K149)^MAX(ROUNDUP(IFERROR(DATEDIF($I149-1,BM$15+1,"m"),)/12,)-1,)*Index!BI$22*(BM$15&lt;=$J149)*(1-BM$12)</f>
        <v>7611.7753167163073</v>
      </c>
      <c r="BN149" s="747">
        <f>$G149*$H149*(1+$K149)^MAX(ROUNDUP(IFERROR(DATEDIF($I149-1,BN$15+1,"m"),)/12,)-1,)*Index!BJ$22*(BN$15&lt;=$J149)*(1-BN$12)</f>
        <v>7611.7753167163073</v>
      </c>
      <c r="BO149" s="747">
        <f>$G149*$H149*(1+$K149)^MAX(ROUNDUP(IFERROR(DATEDIF($I149-1,BO$15+1,"m"),)/12,)-1,)*Index!BK$22*(BO$15&lt;=$J149)*(1-BO$12)</f>
        <v>7611.7753167163073</v>
      </c>
      <c r="BP149" s="747">
        <f>$G149*$H149*(1+$K149)^MAX(ROUNDUP(IFERROR(DATEDIF($I149-1,BP$15+1,"m"),)/12,)-1,)*Index!BL$22*(BP$15&lt;=$J149)*(1-BP$12)</f>
        <v>7802.0696996342158</v>
      </c>
      <c r="BQ149" s="747">
        <f>$G149*$H149*(1+$K149)^MAX(ROUNDUP(IFERROR(DATEDIF($I149-1,BQ$15+1,"m"),)/12,)-1,)*Index!BM$22*(BQ$15&lt;=$J149)*(1-BQ$12)</f>
        <v>7802.0696996342158</v>
      </c>
      <c r="BR149" s="747">
        <f>$G149*$H149*(1+$K149)^MAX(ROUNDUP(IFERROR(DATEDIF($I149-1,BR$15+1,"m"),)/12,)-1,)*Index!BN$22*(BR$15&lt;=$J149)*(1-BR$12)</f>
        <v>7802.0696996342158</v>
      </c>
      <c r="BS149" s="747">
        <f>$G149*$H149*(1+$K149)^MAX(ROUNDUP(IFERROR(DATEDIF($I149-1,BS$15+1,"m"),)/12,)-1,)*Index!BO$22*(BS$15&lt;=$J149)*(1-BS$12)</f>
        <v>7802.0696996342158</v>
      </c>
      <c r="BT149" s="747">
        <f>$G149*$H149*(1+$K149)^MAX(ROUNDUP(IFERROR(DATEDIF($I149-1,BT$15+1,"m"),)/12,)-1,)*Index!BP$22*(BT$15&lt;=$J149)*(1-BT$12)</f>
        <v>7802.0696996342158</v>
      </c>
      <c r="BU149" s="747">
        <f>$G149*$H149*(1+$K149)^MAX(ROUNDUP(IFERROR(DATEDIF($I149-1,BU$15+1,"m"),)/12,)-1,)*Index!BQ$22*(BU$15&lt;=$J149)*(1-BU$12)</f>
        <v>7802.0696996342158</v>
      </c>
      <c r="BV149" s="747">
        <f>$G149*$H149*(1+$K149)^MAX(ROUNDUP(IFERROR(DATEDIF($I149-1,BV$15+1,"m"),)/12,)-1,)*Index!BR$22*(BV$15&lt;=$J149)*(1-BV$12)</f>
        <v>7802.0696996342158</v>
      </c>
      <c r="BW149" s="747">
        <f>$G149*$H149*(1+$K149)^MAX(ROUNDUP(IFERROR(DATEDIF($I149-1,BW$15+1,"m"),)/12,)-1,)*Index!BS$22*(BW$15&lt;=$J149)*(1-BW$12)</f>
        <v>7802.0696996342158</v>
      </c>
      <c r="BX149" s="747">
        <f>$G149*$H149*(1+$K149)^MAX(ROUNDUP(IFERROR(DATEDIF($I149-1,BX$15+1,"m"),)/12,)-1,)*Index!BT$22*(BX$15&lt;=$J149)*(1-BX$12)</f>
        <v>7802.0696996342158</v>
      </c>
      <c r="BY149" s="747">
        <f>$G149*$H149*(1+$K149)^MAX(ROUNDUP(IFERROR(DATEDIF($I149-1,BY$15+1,"m"),)/12,)-1,)*Index!BU$22*(BY$15&lt;=$J149)*(1-BY$12)</f>
        <v>7802.0696996342158</v>
      </c>
      <c r="BZ149" s="747">
        <f>$G149*$H149*(1+$K149)^MAX(ROUNDUP(IFERROR(DATEDIF($I149-1,BZ$15+1,"m"),)/12,)-1,)*Index!BV$22*(BZ$15&lt;=$J149)*(1-BZ$12)</f>
        <v>7802.0696996342158</v>
      </c>
      <c r="CA149" s="747">
        <f>$G149*$H149*(1+$K149)^MAX(ROUNDUP(IFERROR(DATEDIF($I149-1,CA$15+1,"m"),)/12,)-1,)*Index!BW$22*(CA$15&lt;=$J149)*(1-CA$12)</f>
        <v>7802.0696996342158</v>
      </c>
      <c r="CB149" s="747">
        <f>$G149*$H149*(1+$K149)^MAX(ROUNDUP(IFERROR(DATEDIF($I149-1,CB$15+1,"m"),)/12,)-1,)*Index!BX$22*(CB$15&lt;=$J149)*(1-CB$12)</f>
        <v>7997.1214421250706</v>
      </c>
      <c r="CC149" s="747">
        <f>$G149*$H149*(1+$K149)^MAX(ROUNDUP(IFERROR(DATEDIF($I149-1,CC$15+1,"m"),)/12,)-1,)*Index!BY$22*(CC$15&lt;=$J149)*(1-CC$12)</f>
        <v>7997.1214421250706</v>
      </c>
      <c r="CD149" s="747">
        <f>$G149*$H149*(1+$K149)^MAX(ROUNDUP(IFERROR(DATEDIF($I149-1,CD$15+1,"m"),)/12,)-1,)*Index!BZ$22*(CD$15&lt;=$J149)*(1-CD$12)</f>
        <v>7997.1214421250706</v>
      </c>
      <c r="CE149" s="747">
        <f>$G149*$H149*(1+$K149)^MAX(ROUNDUP(IFERROR(DATEDIF($I149-1,CE$15+1,"m"),)/12,)-1,)*Index!CA$22*(CE$15&lt;=$J149)*(1-CE$12)</f>
        <v>7997.1214421250706</v>
      </c>
      <c r="CF149" s="747">
        <f>$G149*$H149*(1+$K149)^MAX(ROUNDUP(IFERROR(DATEDIF($I149-1,CF$15+1,"m"),)/12,)-1,)*Index!CB$22*(CF$15&lt;=$J149)*(1-CF$12)</f>
        <v>7997.1214421250706</v>
      </c>
      <c r="CG149" s="747">
        <f>$G149*$H149*(1+$K149)^MAX(ROUNDUP(IFERROR(DATEDIF($I149-1,CG$15+1,"m"),)/12,)-1,)*Index!CC$22*(CG$15&lt;=$J149)*(1-CG$12)</f>
        <v>7997.1214421250706</v>
      </c>
      <c r="CH149" s="747">
        <f>$G149*$H149*(1+$K149)^MAX(ROUNDUP(IFERROR(DATEDIF($I149-1,CH$15+1,"m"),)/12,)-1,)*Index!CD$22*(CH$15&lt;=$J149)*(1-CH$12)</f>
        <v>7997.1214421250706</v>
      </c>
      <c r="CI149" s="747">
        <f>$G149*$H149*(1+$K149)^MAX(ROUNDUP(IFERROR(DATEDIF($I149-1,CI$15+1,"m"),)/12,)-1,)*Index!CE$22*(CI$15&lt;=$J149)*(1-CI$12)</f>
        <v>7997.1214421250706</v>
      </c>
      <c r="CJ149" s="747">
        <f>$G149*$H149*(1+$K149)^MAX(ROUNDUP(IFERROR(DATEDIF($I149-1,CJ$15+1,"m"),)/12,)-1,)*Index!CF$22*(CJ$15&lt;=$J149)*(1-CJ$12)</f>
        <v>7997.1214421250706</v>
      </c>
      <c r="CK149" s="747">
        <f>$G149*$H149*(1+$K149)^MAX(ROUNDUP(IFERROR(DATEDIF($I149-1,CK$15+1,"m"),)/12,)-1,)*Index!CG$22*(CK$15&lt;=$J149)*(1-CK$12)</f>
        <v>7997.1214421250706</v>
      </c>
      <c r="CL149" s="747">
        <f>$G149*$H149*(1+$K149)^MAX(ROUNDUP(IFERROR(DATEDIF($I149-1,CL$15+1,"m"),)/12,)-1,)*Index!CH$22*(CL$15&lt;=$J149)*(1-CL$12)</f>
        <v>7997.1214421250706</v>
      </c>
      <c r="CM149" s="747">
        <f>$G149*$H149*(1+$K149)^MAX(ROUNDUP(IFERROR(DATEDIF($I149-1,CM$15+1,"m"),)/12,)-1,)*Index!CI$22*(CM$15&lt;=$J149)*(1-CM$12)</f>
        <v>7997.1214421250706</v>
      </c>
      <c r="CN149" s="747">
        <f>$G149*$H149*(1+$K149)^MAX(ROUNDUP(IFERROR(DATEDIF($I149-1,CN$15+1,"m"),)/12,)-1,)*Index!CJ$22*(CN$15&lt;=$J149)*(1-CN$12)</f>
        <v>8197.0494781781963</v>
      </c>
      <c r="CO149" s="747">
        <f>$G149*$H149*(1+$K149)^MAX(ROUNDUP(IFERROR(DATEDIF($I149-1,CO$15+1,"m"),)/12,)-1,)*Index!CK$22*(CO$15&lt;=$J149)*(1-CO$12)</f>
        <v>8197.0494781781963</v>
      </c>
      <c r="CP149" s="747">
        <f>$G149*$H149*(1+$K149)^MAX(ROUNDUP(IFERROR(DATEDIF($I149-1,CP$15+1,"m"),)/12,)-1,)*Index!CL$22*(CP$15&lt;=$J149)*(1-CP$12)</f>
        <v>8197.0494781781963</v>
      </c>
      <c r="CQ149" s="747">
        <f>$G149*$H149*(1+$K149)^MAX(ROUNDUP(IFERROR(DATEDIF($I149-1,CQ$15+1,"m"),)/12,)-1,)*Index!CM$22*(CQ$15&lt;=$J149)*(1-CQ$12)</f>
        <v>8197.0494781781963</v>
      </c>
      <c r="CR149" s="747">
        <f>$G149*$H149*(1+$K149)^MAX(ROUNDUP(IFERROR(DATEDIF($I149-1,CR$15+1,"m"),)/12,)-1,)*Index!CN$22*(CR$15&lt;=$J149)*(1-CR$12)</f>
        <v>8197.0494781781963</v>
      </c>
      <c r="CS149" s="747">
        <f>$G149*$H149*(1+$K149)^MAX(ROUNDUP(IFERROR(DATEDIF($I149-1,CS$15+1,"m"),)/12,)-1,)*Index!CO$22*(CS$15&lt;=$J149)*(1-CS$12)</f>
        <v>8197.0494781781963</v>
      </c>
      <c r="CT149" s="747">
        <f>$G149*$H149*(1+$K149)^MAX(ROUNDUP(IFERROR(DATEDIF($I149-1,CT$15+1,"m"),)/12,)-1,)*Index!CP$22*(CT$15&lt;=$J149)*(1-CT$12)</f>
        <v>8197.0494781781963</v>
      </c>
      <c r="CU149" s="747">
        <f>$G149*$H149*(1+$K149)^MAX(ROUNDUP(IFERROR(DATEDIF($I149-1,CU$15+1,"m"),)/12,)-1,)*Index!CQ$22*(CU$15&lt;=$J149)*(1-CU$12)</f>
        <v>8197.0494781781963</v>
      </c>
      <c r="CV149" s="747">
        <f>$G149*$H149*(1+$K149)^MAX(ROUNDUP(IFERROR(DATEDIF($I149-1,CV$15+1,"m"),)/12,)-1,)*Index!CR$22*(CV$15&lt;=$J149)*(1-CV$12)</f>
        <v>8197.0494781781963</v>
      </c>
      <c r="CW149" s="747">
        <f>$G149*$H149*(1+$K149)^MAX(ROUNDUP(IFERROR(DATEDIF($I149-1,CW$15+1,"m"),)/12,)-1,)*Index!CS$22*(CW$15&lt;=$J149)*(1-CW$12)</f>
        <v>8197.0494781781963</v>
      </c>
      <c r="CX149" s="747">
        <f>$G149*$H149*(1+$K149)^MAX(ROUNDUP(IFERROR(DATEDIF($I149-1,CX$15+1,"m"),)/12,)-1,)*Index!CT$22*(CX$15&lt;=$J149)*(1-CX$12)</f>
        <v>8197.0494781781963</v>
      </c>
      <c r="CY149" s="747">
        <f>$G149*$H149*(1+$K149)^MAX(ROUNDUP(IFERROR(DATEDIF($I149-1,CY$15+1,"m"),)/12,)-1,)*Index!CU$22*(CY$15&lt;=$J149)*(1-CY$12)</f>
        <v>8197.0494781781963</v>
      </c>
      <c r="CZ149" s="747">
        <f>$G149*$H149*(1+$K149)^MAX(ROUNDUP(IFERROR(DATEDIF($I149-1,CZ$15+1,"m"),)/12,)-1,)*Index!CV$22*(CZ$15&lt;=$J149)*(1-CZ$12)</f>
        <v>8401.9757151326503</v>
      </c>
      <c r="DA149" s="747">
        <f>$G149*$H149*(1+$K149)^MAX(ROUNDUP(IFERROR(DATEDIF($I149-1,DA$15+1,"m"),)/12,)-1,)*Index!CW$22*(DA$15&lt;=$J149)*(1-DA$12)</f>
        <v>8401.9757151326503</v>
      </c>
      <c r="DB149" s="747">
        <f>$G149*$H149*(1+$K149)^MAX(ROUNDUP(IFERROR(DATEDIF($I149-1,DB$15+1,"m"),)/12,)-1,)*Index!CX$22*(DB$15&lt;=$J149)*(1-DB$12)</f>
        <v>8401.9757151326503</v>
      </c>
      <c r="DC149" s="747">
        <f>$G149*$H149*(1+$K149)^MAX(ROUNDUP(IFERROR(DATEDIF($I149-1,DC$15+1,"m"),)/12,)-1,)*Index!CY$22*(DC$15&lt;=$J149)*(1-DC$12)</f>
        <v>0</v>
      </c>
      <c r="DD149" s="747">
        <f>$G149*$H149*(1+$K149)^MAX(ROUNDUP(IFERROR(DATEDIF($I149-1,DD$15+1,"m"),)/12,)-1,)*Index!CZ$22*(DD$15&lt;=$J149)*(1-DD$12)</f>
        <v>0</v>
      </c>
      <c r="DE149" s="747">
        <f>$G149*$H149*(1+$K149)^MAX(ROUNDUP(IFERROR(DATEDIF($I149-1,DE$15+1,"m"),)/12,)-1,)*Index!DA$22*(DE$15&lt;=$J149)*(1-DE$12)</f>
        <v>0</v>
      </c>
      <c r="DF149" s="747">
        <f>$G149*$H149*(1+$K149)^MAX(ROUNDUP(IFERROR(DATEDIF($I149-1,DF$15+1,"m"),)/12,)-1,)*Index!DB$22*(DF$15&lt;=$J149)*(1-DF$12)</f>
        <v>0</v>
      </c>
      <c r="DG149" s="747">
        <f>$G149*$H149*(1+$K149)^MAX(ROUNDUP(IFERROR(DATEDIF($I149-1,DG$15+1,"m"),)/12,)-1,)*Index!DC$22*(DG$15&lt;=$J149)*(1-DG$12)</f>
        <v>0</v>
      </c>
      <c r="DH149" s="747">
        <f>$G149*$H149*(1+$K149)^MAX(ROUNDUP(IFERROR(DATEDIF($I149-1,DH$15+1,"m"),)/12,)-1,)*Index!DD$22*(DH$15&lt;=$J149)*(1-DH$12)</f>
        <v>0</v>
      </c>
      <c r="DI149" s="747">
        <f>$G149*$H149*(1+$K149)^MAX(ROUNDUP(IFERROR(DATEDIF($I149-1,DI$15+1,"m"),)/12,)-1,)*Index!DE$22*(DI$15&lt;=$J149)*(1-DI$12)</f>
        <v>0</v>
      </c>
      <c r="DJ149" s="747">
        <f>$G149*$H149*(1+$K149)^MAX(ROUNDUP(IFERROR(DATEDIF($I149-1,DJ$15+1,"m"),)/12,)-1,)*Index!DF$22*(DJ$15&lt;=$J149)*(1-DJ$12)</f>
        <v>0</v>
      </c>
      <c r="DK149" s="747">
        <f>$G149*$H149*(1+$K149)^MAX(ROUNDUP(IFERROR(DATEDIF($I149-1,DK$15+1,"m"),)/12,)-1,)*Index!DG$22*(DK$15&lt;=$J149)*(1-DK$12)</f>
        <v>0</v>
      </c>
      <c r="DL149" s="747">
        <f>$G149*$H149*(1+$K149)^MAX(ROUNDUP(IFERROR(DATEDIF($I149-1,DL$15+1,"m"),)/12,)-1,)*Index!DH$22*(DL$15&lt;=$J149)*(1-DL$12)</f>
        <v>0</v>
      </c>
      <c r="DM149" s="747">
        <f>$G149*$H149*(1+$K149)^MAX(ROUNDUP(IFERROR(DATEDIF($I149-1,DM$15+1,"m"),)/12,)-1,)*Index!DI$22*(DM$15&lt;=$J149)*(1-DM$12)</f>
        <v>0</v>
      </c>
      <c r="DN149" s="747">
        <f>$G149*$H149*(1+$K149)^MAX(ROUNDUP(IFERROR(DATEDIF($I149-1,DN$15+1,"m"),)/12,)-1,)*Index!DJ$22*(DN$15&lt;=$J149)*(1-DN$12)</f>
        <v>0</v>
      </c>
      <c r="DO149" s="747">
        <f>$G149*$H149*(1+$K149)^MAX(ROUNDUP(IFERROR(DATEDIF($I149-1,DO$15+1,"m"),)/12,)-1,)*Index!DK$22*(DO$15&lt;=$J149)*(1-DO$12)</f>
        <v>0</v>
      </c>
      <c r="DP149" s="747">
        <f>$G149*$H149*(1+$K149)^MAX(ROUNDUP(IFERROR(DATEDIF($I149-1,DP$15+1,"m"),)/12,)-1,)*Index!DL$22*(DP$15&lt;=$J149)*(1-DP$12)</f>
        <v>0</v>
      </c>
      <c r="DQ149" s="747">
        <f>$G149*$H149*(1+$K149)^MAX(ROUNDUP(IFERROR(DATEDIF($I149-1,DQ$15+1,"m"),)/12,)-1,)*Index!DM$22*(DQ$15&lt;=$J149)*(1-DQ$12)</f>
        <v>0</v>
      </c>
      <c r="DR149" s="747">
        <f>$G149*$H149*(1+$K149)^MAX(ROUNDUP(IFERROR(DATEDIF($I149-1,DR$15+1,"m"),)/12,)-1,)*Index!DN$22*(DR$15&lt;=$J149)*(1-DR$12)</f>
        <v>0</v>
      </c>
      <c r="DS149" s="747">
        <f>$G149*$H149*(1+$K149)^MAX(ROUNDUP(IFERROR(DATEDIF($I149-1,DS$15+1,"m"),)/12,)-1,)*Index!DO$22*(DS$15&lt;=$J149)*(1-DS$12)</f>
        <v>0</v>
      </c>
      <c r="DT149" s="747">
        <f>$G149*$H149*(1+$K149)^MAX(ROUNDUP(IFERROR(DATEDIF($I149-1,DT$15+1,"m"),)/12,)-1,)*Index!DP$22*(DT$15&lt;=$J149)*(1-DT$12)</f>
        <v>0</v>
      </c>
      <c r="DU149" s="747">
        <f>$G149*$H149*(1+$K149)^MAX(ROUNDUP(IFERROR(DATEDIF($I149-1,DU$15+1,"m"),)/12,)-1,)*Index!DQ$22*(DU$15&lt;=$J149)*(1-DU$12)</f>
        <v>0</v>
      </c>
      <c r="DV149" s="747">
        <f>$G149*$H149*(1+$K149)^MAX(ROUNDUP(IFERROR(DATEDIF($I149-1,DV$15+1,"m"),)/12,)-1,)*Index!DR$22*(DV$15&lt;=$J149)*(1-DV$12)</f>
        <v>0</v>
      </c>
      <c r="DW149" s="747">
        <f>$G149*$H149*(1+$K149)^MAX(ROUNDUP(IFERROR(DATEDIF($I149-1,DW$15+1,"m"),)/12,)-1,)*Index!DS$22*(DW$15&lt;=$J149)*(1-DW$12)</f>
        <v>0</v>
      </c>
      <c r="DX149" s="747">
        <f>$G149*$H149*(1+$K149)^MAX(ROUNDUP(IFERROR(DATEDIF($I149-1,DX$15+1,"m"),)/12,)-1,)*Index!DT$22*(DX$15&lt;=$J149)*(1-DX$12)</f>
        <v>0</v>
      </c>
      <c r="DY149" s="747">
        <f>$G149*$H149*(1+$K149)^MAX(ROUNDUP(IFERROR(DATEDIF($I149-1,DY$15+1,"m"),)/12,)-1,)*Index!DU$22*(DY$15&lt;=$J149)*(1-DY$12)</f>
        <v>0</v>
      </c>
      <c r="DZ149" s="747">
        <f>$G149*$H149*(1+$K149)^MAX(ROUNDUP(IFERROR(DATEDIF($I149-1,DZ$15+1,"m"),)/12,)-1,)*Index!DV$22*(DZ$15&lt;=$J149)*(1-DZ$12)</f>
        <v>0</v>
      </c>
      <c r="EA149" s="747">
        <f>$G149*$H149*(1+$K149)^MAX(ROUNDUP(IFERROR(DATEDIF($I149-1,EA$15+1,"m"),)/12,)-1,)*Index!DW$22*(EA$15&lt;=$J149)*(1-EA$12)</f>
        <v>0</v>
      </c>
      <c r="EB149" s="747">
        <f>$G149*$H149*(1+$K149)^MAX(ROUNDUP(IFERROR(DATEDIF($I149-1,EB$15+1,"m"),)/12,)-1,)*Index!DX$22*(EB$15&lt;=$J149)*(1-EB$12)</f>
        <v>0</v>
      </c>
      <c r="EC149" s="747">
        <f>$G149*$H149*(1+$K149)^MAX(ROUNDUP(IFERROR(DATEDIF($I149-1,EC$15+1,"m"),)/12,)-1,)*Index!DY$22*(EC$15&lt;=$J149)*(1-EC$12)</f>
        <v>0</v>
      </c>
      <c r="ED149" s="747">
        <f>$G149*$H149*(1+$K149)^MAX(ROUNDUP(IFERROR(DATEDIF($I149-1,ED$15+1,"m"),)/12,)-1,)*Index!DZ$22*(ED$15&lt;=$J149)*(1-ED$12)</f>
        <v>0</v>
      </c>
      <c r="EE149" s="747">
        <f>$G149*$H149*(1+$K149)^MAX(ROUNDUP(IFERROR(DATEDIF($I149-1,EE$15+1,"m"),)/12,)-1,)*Index!EA$22*(EE$15&lt;=$J149)*(1-EE$12)</f>
        <v>0</v>
      </c>
      <c r="EF149" s="747">
        <f>$G149*$H149*(1+$K149)^MAX(ROUNDUP(IFERROR(DATEDIF($I149-1,EF$15+1,"m"),)/12,)-1,)*Index!EB$22*(EF$15&lt;=$J149)*(1-EF$12)</f>
        <v>0</v>
      </c>
      <c r="EG149" s="747">
        <f>$G149*$H149*(1+$K149)^MAX(ROUNDUP(IFERROR(DATEDIF($I149-1,EG$15+1,"m"),)/12,)-1,)*Index!EC$22*(EG$15&lt;=$J149)*(1-EG$12)</f>
        <v>0</v>
      </c>
      <c r="EH149" s="747">
        <f>$G149*$H149*(1+$K149)^MAX(ROUNDUP(IFERROR(DATEDIF($I149-1,EH$15+1,"m"),)/12,)-1,)*Index!ED$22*(EH$15&lt;=$J149)*(1-EH$12)</f>
        <v>0</v>
      </c>
      <c r="EI149" s="747">
        <f>$G149*$H149*(1+$K149)^MAX(ROUNDUP(IFERROR(DATEDIF($I149-1,EI$15+1,"m"),)/12,)-1,)*Index!EE$22*(EI$15&lt;=$J149)*(1-EI$12)</f>
        <v>0</v>
      </c>
      <c r="EJ149" s="747">
        <f>$G149*$H149*(1+$K149)^MAX(ROUNDUP(IFERROR(DATEDIF($I149-1,EJ$15+1,"m"),)/12,)-1,)*Index!EF$22*(EJ$15&lt;=$J149)*(1-EJ$12)</f>
        <v>0</v>
      </c>
      <c r="EK149" s="747">
        <f>$G149*$H149*(1+$K149)^MAX(ROUNDUP(IFERROR(DATEDIF($I149-1,EK$15+1,"m"),)/12,)-1,)*Index!EG$22*(EK$15&lt;=$J149)*(1-EK$12)</f>
        <v>0</v>
      </c>
      <c r="EL149" s="747">
        <f>$G149*$H149*(1+$K149)^MAX(ROUNDUP(IFERROR(DATEDIF($I149-1,EL$15+1,"m"),)/12,)-1,)*Index!EH$22*(EL$15&lt;=$J149)*(1-EL$12)</f>
        <v>0</v>
      </c>
      <c r="EM149" s="747">
        <f>$G149*$H149*(1+$K149)^MAX(ROUNDUP(IFERROR(DATEDIF($I149-1,EM$15+1,"m"),)/12,)-1,)*Index!EI$22*(EM$15&lt;=$J149)*(1-EM$12)</f>
        <v>0</v>
      </c>
      <c r="EN149" s="747">
        <f>$G149*$H149*(1+$K149)^MAX(ROUNDUP(IFERROR(DATEDIF($I149-1,EN$15+1,"m"),)/12,)-1,)*Index!EJ$22*(EN$15&lt;=$J149)*(1-EN$12)</f>
        <v>0</v>
      </c>
      <c r="EO149" s="747">
        <f>$G149*$H149*(1+$K149)^MAX(ROUNDUP(IFERROR(DATEDIF($I149-1,EO$15+1,"m"),)/12,)-1,)*Index!EK$22*(EO$15&lt;=$J149)*(1-EO$12)</f>
        <v>0</v>
      </c>
      <c r="EP149" s="747">
        <f>$G149*$H149*(1+$K149)^MAX(ROUNDUP(IFERROR(DATEDIF($I149-1,EP$15+1,"m"),)/12,)-1,)*Index!EL$22*(EP$15&lt;=$J149)*(1-EP$12)</f>
        <v>0</v>
      </c>
      <c r="EQ149" s="747">
        <f>$G149*$H149*(1+$K149)^MAX(ROUNDUP(IFERROR(DATEDIF($I149-1,EQ$15+1,"m"),)/12,)-1,)*Index!EM$22*(EQ$15&lt;=$J149)*(1-EQ$12)</f>
        <v>0</v>
      </c>
      <c r="ER149" s="747">
        <f>$G149*$H149*(1+$K149)^MAX(ROUNDUP(IFERROR(DATEDIF($I149-1,ER$15+1,"m"),)/12,)-1,)*Index!EN$22*(ER$15&lt;=$J149)*(1-ER$12)</f>
        <v>0</v>
      </c>
      <c r="ES149" s="747">
        <f>$G149*$H149*(1+$K149)^MAX(ROUNDUP(IFERROR(DATEDIF($I149-1,ES$15+1,"m"),)/12,)-1,)*Index!EO$22*(ES$15&lt;=$J149)*(1-ES$12)</f>
        <v>0</v>
      </c>
      <c r="ET149" s="747">
        <f>$G149*$H149*(1+$K149)^MAX(ROUNDUP(IFERROR(DATEDIF($I149-1,ET$15+1,"m"),)/12,)-1,)*Index!EP$22*(ET$15&lt;=$J149)*(1-ET$12)</f>
        <v>0</v>
      </c>
      <c r="EU149" s="747">
        <f>$G149*$H149*(1+$K149)^MAX(ROUNDUP(IFERROR(DATEDIF($I149-1,EU$15+1,"m"),)/12,)-1,)*Index!EQ$22*(EU$15&lt;=$J149)*(1-EU$12)</f>
        <v>0</v>
      </c>
    </row>
    <row r="150" spans="3:151" ht="11.25" customHeight="1">
      <c r="C150" s="735"/>
      <c r="D150" s="743">
        <f t="shared" si="237"/>
        <v>5</v>
      </c>
      <c r="E150" s="704" t="str">
        <f t="shared" si="237"/>
        <v>쿠팡</v>
      </c>
      <c r="F150" s="704" t="str">
        <f t="shared" si="237"/>
        <v>상온창고</v>
      </c>
      <c r="G150" s="781">
        <f>'A&amp;R'!AD13/1000</f>
        <v>3</v>
      </c>
      <c r="H150" s="744">
        <f>'A&amp;R'!Y13</f>
        <v>2185.56</v>
      </c>
      <c r="I150" s="745">
        <f t="shared" si="238"/>
        <v>45323</v>
      </c>
      <c r="J150" s="745">
        <f t="shared" si="238"/>
        <v>49064</v>
      </c>
      <c r="K150" s="754">
        <f t="shared" si="238"/>
        <v>2.5000000000000001E-2</v>
      </c>
      <c r="L150" s="746"/>
      <c r="M150" s="722"/>
      <c r="N150" s="747">
        <f t="shared" si="239"/>
        <v>685338.3528985848</v>
      </c>
      <c r="O150" s="733"/>
      <c r="P150" s="747">
        <f>$G150*$H150*(1+$K150)^MAX(ROUNDUP(IFERROR(DATEDIF($I150-1,P$15+1,"m"),)/12,)-1,)*Index!L$22*(P$15&lt;=$J150)*(1-P$12)</f>
        <v>0</v>
      </c>
      <c r="Q150" s="747">
        <f>$G150*$H150*(1+$K150)^MAX(ROUNDUP(IFERROR(DATEDIF($I150-1,Q$15+1,"m"),)/12,)-1,)*Index!M$22*(Q$15&lt;=$J150)*(1-Q$12)</f>
        <v>6888.6119250000002</v>
      </c>
      <c r="R150" s="747">
        <f>$G150*$H150*(1+$K150)^MAX(ROUNDUP(IFERROR(DATEDIF($I150-1,R$15+1,"m"),)/12,)-1,)*Index!N$22*(R$15&lt;=$J150)*(1-R$12)</f>
        <v>6888.6119250000002</v>
      </c>
      <c r="S150" s="747">
        <f>$G150*$H150*(1+$K150)^MAX(ROUNDUP(IFERROR(DATEDIF($I150-1,S$15+1,"m"),)/12,)-1,)*Index!O$22*(S$15&lt;=$J150)*(1-S$12)</f>
        <v>6888.6119250000002</v>
      </c>
      <c r="T150" s="747">
        <f>$G150*$H150*(1+$K150)^MAX(ROUNDUP(IFERROR(DATEDIF($I150-1,T$15+1,"m"),)/12,)-1,)*Index!P$22*(T$15&lt;=$J150)*(1-T$12)</f>
        <v>7060.8272231249994</v>
      </c>
      <c r="U150" s="747">
        <f>$G150*$H150*(1+$K150)^MAX(ROUNDUP(IFERROR(DATEDIF($I150-1,U$15+1,"m"),)/12,)-1,)*Index!Q$22*(U$15&lt;=$J150)*(1-U$12)</f>
        <v>7060.8272231249994</v>
      </c>
      <c r="V150" s="747">
        <f>$G150*$H150*(1+$K150)^MAX(ROUNDUP(IFERROR(DATEDIF($I150-1,V$15+1,"m"),)/12,)-1,)*Index!R$22*(V$15&lt;=$J150)*(1-V$12)</f>
        <v>7060.8272231249994</v>
      </c>
      <c r="W150" s="747">
        <f>$G150*$H150*(1+$K150)^MAX(ROUNDUP(IFERROR(DATEDIF($I150-1,W$15+1,"m"),)/12,)-1,)*Index!S$22*(W$15&lt;=$J150)*(1-W$12)</f>
        <v>7060.8272231249994</v>
      </c>
      <c r="X150" s="747">
        <f>$G150*$H150*(1+$K150)^MAX(ROUNDUP(IFERROR(DATEDIF($I150-1,X$15+1,"m"),)/12,)-1,)*Index!T$22*(X$15&lt;=$J150)*(1-X$12)</f>
        <v>7060.8272231249994</v>
      </c>
      <c r="Y150" s="747">
        <f>$G150*$H150*(1+$K150)^MAX(ROUNDUP(IFERROR(DATEDIF($I150-1,Y$15+1,"m"),)/12,)-1,)*Index!U$22*(Y$15&lt;=$J150)*(1-Y$12)</f>
        <v>7060.8272231249994</v>
      </c>
      <c r="Z150" s="747">
        <f>$G150*$H150*(1+$K150)^MAX(ROUNDUP(IFERROR(DATEDIF($I150-1,Z$15+1,"m"),)/12,)-1,)*Index!V$22*(Z$15&lt;=$J150)*(1-Z$12)</f>
        <v>7060.8272231249994</v>
      </c>
      <c r="AA150" s="747">
        <f>$G150*$H150*(1+$K150)^MAX(ROUNDUP(IFERROR(DATEDIF($I150-1,AA$15+1,"m"),)/12,)-1,)*Index!W$22*(AA$15&lt;=$J150)*(1-AA$12)</f>
        <v>7060.8272231249994</v>
      </c>
      <c r="AB150" s="747">
        <f>$G150*$H150*(1+$K150)^MAX(ROUNDUP(IFERROR(DATEDIF($I150-1,AB$15+1,"m"),)/12,)-1,)*Index!X$22*(AB$15&lt;=$J150)*(1-AB$12)</f>
        <v>7060.8272231249994</v>
      </c>
      <c r="AC150" s="747">
        <f>$G150*$H150*(1+$K150)^MAX(ROUNDUP(IFERROR(DATEDIF($I150-1,AC$15+1,"m"),)/12,)-1,)*Index!Y$22*(AC$15&lt;=$J150)*(1-AC$12)</f>
        <v>7060.8272231249994</v>
      </c>
      <c r="AD150" s="747">
        <f>$G150*$H150*(1+$K150)^MAX(ROUNDUP(IFERROR(DATEDIF($I150-1,AD$15+1,"m"),)/12,)-1,)*Index!Z$22*(AD$15&lt;=$J150)*(1-AD$12)</f>
        <v>7060.8272231249994</v>
      </c>
      <c r="AE150" s="747">
        <f>$G150*$H150*(1+$K150)^MAX(ROUNDUP(IFERROR(DATEDIF($I150-1,AE$15+1,"m"),)/12,)-1,)*Index!AA$22*(AE$15&lt;=$J150)*(1-AE$12)</f>
        <v>7060.8272231249994</v>
      </c>
      <c r="AF150" s="747">
        <f>$G150*$H150*(1+$K150)^MAX(ROUNDUP(IFERROR(DATEDIF($I150-1,AF$15+1,"m"),)/12,)-1,)*Index!AB$22*(AF$15&lt;=$J150)*(1-AF$12)</f>
        <v>7237.3479037031238</v>
      </c>
      <c r="AG150" s="747">
        <f>$G150*$H150*(1+$K150)^MAX(ROUNDUP(IFERROR(DATEDIF($I150-1,AG$15+1,"m"),)/12,)-1,)*Index!AC$22*(AG$15&lt;=$J150)*(1-AG$12)</f>
        <v>7237.3479037031238</v>
      </c>
      <c r="AH150" s="747">
        <f>$G150*$H150*(1+$K150)^MAX(ROUNDUP(IFERROR(DATEDIF($I150-1,AH$15+1,"m"),)/12,)-1,)*Index!AD$22*(AH$15&lt;=$J150)*(1-AH$12)</f>
        <v>7237.3479037031238</v>
      </c>
      <c r="AI150" s="747">
        <f>$G150*$H150*(1+$K150)^MAX(ROUNDUP(IFERROR(DATEDIF($I150-1,AI$15+1,"m"),)/12,)-1,)*Index!AE$22*(AI$15&lt;=$J150)*(1-AI$12)</f>
        <v>7237.3479037031238</v>
      </c>
      <c r="AJ150" s="747">
        <f>$G150*$H150*(1+$K150)^MAX(ROUNDUP(IFERROR(DATEDIF($I150-1,AJ$15+1,"m"),)/12,)-1,)*Index!AF$22*(AJ$15&lt;=$J150)*(1-AJ$12)</f>
        <v>7237.3479037031238</v>
      </c>
      <c r="AK150" s="747">
        <f>$G150*$H150*(1+$K150)^MAX(ROUNDUP(IFERROR(DATEDIF($I150-1,AK$15+1,"m"),)/12,)-1,)*Index!AG$22*(AK$15&lt;=$J150)*(1-AK$12)</f>
        <v>7237.3479037031238</v>
      </c>
      <c r="AL150" s="747">
        <f>$G150*$H150*(1+$K150)^MAX(ROUNDUP(IFERROR(DATEDIF($I150-1,AL$15+1,"m"),)/12,)-1,)*Index!AH$22*(AL$15&lt;=$J150)*(1-AL$12)</f>
        <v>7237.3479037031238</v>
      </c>
      <c r="AM150" s="747">
        <f>$G150*$H150*(1+$K150)^MAX(ROUNDUP(IFERROR(DATEDIF($I150-1,AM$15+1,"m"),)/12,)-1,)*Index!AI$22*(AM$15&lt;=$J150)*(1-AM$12)</f>
        <v>7237.3479037031238</v>
      </c>
      <c r="AN150" s="747">
        <f>$G150*$H150*(1+$K150)^MAX(ROUNDUP(IFERROR(DATEDIF($I150-1,AN$15+1,"m"),)/12,)-1,)*Index!AJ$22*(AN$15&lt;=$J150)*(1-AN$12)</f>
        <v>7237.3479037031238</v>
      </c>
      <c r="AO150" s="747">
        <f>$G150*$H150*(1+$K150)^MAX(ROUNDUP(IFERROR(DATEDIF($I150-1,AO$15+1,"m"),)/12,)-1,)*Index!AK$22*(AO$15&lt;=$J150)*(1-AO$12)</f>
        <v>7237.3479037031238</v>
      </c>
      <c r="AP150" s="747">
        <f>$G150*$H150*(1+$K150)^MAX(ROUNDUP(IFERROR(DATEDIF($I150-1,AP$15+1,"m"),)/12,)-1,)*Index!AL$22*(AP$15&lt;=$J150)*(1-AP$12)</f>
        <v>7237.3479037031238</v>
      </c>
      <c r="AQ150" s="747">
        <f>$G150*$H150*(1+$K150)^MAX(ROUNDUP(IFERROR(DATEDIF($I150-1,AQ$15+1,"m"),)/12,)-1,)*Index!AM$22*(AQ$15&lt;=$J150)*(1-AQ$12)</f>
        <v>7237.3479037031238</v>
      </c>
      <c r="AR150" s="747">
        <f>$G150*$H150*(1+$K150)^MAX(ROUNDUP(IFERROR(DATEDIF($I150-1,AR$15+1,"m"),)/12,)-1,)*Index!AN$22*(AR$15&lt;=$J150)*(1-AR$12)</f>
        <v>7418.281601295701</v>
      </c>
      <c r="AS150" s="747">
        <f>$G150*$H150*(1+$K150)^MAX(ROUNDUP(IFERROR(DATEDIF($I150-1,AS$15+1,"m"),)/12,)-1,)*Index!AO$22*(AS$15&lt;=$J150)*(1-AS$12)</f>
        <v>7418.281601295701</v>
      </c>
      <c r="AT150" s="747">
        <f>$G150*$H150*(1+$K150)^MAX(ROUNDUP(IFERROR(DATEDIF($I150-1,AT$15+1,"m"),)/12,)-1,)*Index!AP$22*(AT$15&lt;=$J150)*(1-AT$12)</f>
        <v>7418.281601295701</v>
      </c>
      <c r="AU150" s="747">
        <f>$G150*$H150*(1+$K150)^MAX(ROUNDUP(IFERROR(DATEDIF($I150-1,AU$15+1,"m"),)/12,)-1,)*Index!AQ$22*(AU$15&lt;=$J150)*(1-AU$12)</f>
        <v>7418.281601295701</v>
      </c>
      <c r="AV150" s="747">
        <f>$G150*$H150*(1+$K150)^MAX(ROUNDUP(IFERROR(DATEDIF($I150-1,AV$15+1,"m"),)/12,)-1,)*Index!AR$22*(AV$15&lt;=$J150)*(1-AV$12)</f>
        <v>7418.281601295701</v>
      </c>
      <c r="AW150" s="747">
        <f>$G150*$H150*(1+$K150)^MAX(ROUNDUP(IFERROR(DATEDIF($I150-1,AW$15+1,"m"),)/12,)-1,)*Index!AS$22*(AW$15&lt;=$J150)*(1-AW$12)</f>
        <v>7418.281601295701</v>
      </c>
      <c r="AX150" s="747">
        <f>$G150*$H150*(1+$K150)^MAX(ROUNDUP(IFERROR(DATEDIF($I150-1,AX$15+1,"m"),)/12,)-1,)*Index!AT$22*(AX$15&lt;=$J150)*(1-AX$12)</f>
        <v>7418.281601295701</v>
      </c>
      <c r="AY150" s="747">
        <f>$G150*$H150*(1+$K150)^MAX(ROUNDUP(IFERROR(DATEDIF($I150-1,AY$15+1,"m"),)/12,)-1,)*Index!AU$22*(AY$15&lt;=$J150)*(1-AY$12)</f>
        <v>7418.281601295701</v>
      </c>
      <c r="AZ150" s="747">
        <f>$G150*$H150*(1+$K150)^MAX(ROUNDUP(IFERROR(DATEDIF($I150-1,AZ$15+1,"m"),)/12,)-1,)*Index!AV$22*(AZ$15&lt;=$J150)*(1-AZ$12)</f>
        <v>7418.281601295701</v>
      </c>
      <c r="BA150" s="747">
        <f>$G150*$H150*(1+$K150)^MAX(ROUNDUP(IFERROR(DATEDIF($I150-1,BA$15+1,"m"),)/12,)-1,)*Index!AW$22*(BA$15&lt;=$J150)*(1-BA$12)</f>
        <v>7418.281601295701</v>
      </c>
      <c r="BB150" s="747">
        <f>$G150*$H150*(1+$K150)^MAX(ROUNDUP(IFERROR(DATEDIF($I150-1,BB$15+1,"m"),)/12,)-1,)*Index!AX$22*(BB$15&lt;=$J150)*(1-BB$12)</f>
        <v>7418.281601295701</v>
      </c>
      <c r="BC150" s="747">
        <f>$G150*$H150*(1+$K150)^MAX(ROUNDUP(IFERROR(DATEDIF($I150-1,BC$15+1,"m"),)/12,)-1,)*Index!AY$22*(BC$15&lt;=$J150)*(1-BC$12)</f>
        <v>7418.281601295701</v>
      </c>
      <c r="BD150" s="747">
        <f>$G150*$H150*(1+$K150)^MAX(ROUNDUP(IFERROR(DATEDIF($I150-1,BD$15+1,"m"),)/12,)-1,)*Index!AZ$22*(BD$15&lt;=$J150)*(1-BD$12)</f>
        <v>7603.7386413280929</v>
      </c>
      <c r="BE150" s="747">
        <f>$G150*$H150*(1+$K150)^MAX(ROUNDUP(IFERROR(DATEDIF($I150-1,BE$15+1,"m"),)/12,)-1,)*Index!BA$22*(BE$15&lt;=$J150)*(1-BE$12)</f>
        <v>7603.7386413280929</v>
      </c>
      <c r="BF150" s="747">
        <f>$G150*$H150*(1+$K150)^MAX(ROUNDUP(IFERROR(DATEDIF($I150-1,BF$15+1,"m"),)/12,)-1,)*Index!BB$22*(BF$15&lt;=$J150)*(1-BF$12)</f>
        <v>7603.7386413280929</v>
      </c>
      <c r="BG150" s="747">
        <f>$G150*$H150*(1+$K150)^MAX(ROUNDUP(IFERROR(DATEDIF($I150-1,BG$15+1,"m"),)/12,)-1,)*Index!BC$22*(BG$15&lt;=$J150)*(1-BG$12)</f>
        <v>7603.7386413280929</v>
      </c>
      <c r="BH150" s="747">
        <f>$G150*$H150*(1+$K150)^MAX(ROUNDUP(IFERROR(DATEDIF($I150-1,BH$15+1,"m"),)/12,)-1,)*Index!BD$22*(BH$15&lt;=$J150)*(1-BH$12)</f>
        <v>7603.7386413280929</v>
      </c>
      <c r="BI150" s="747">
        <f>$G150*$H150*(1+$K150)^MAX(ROUNDUP(IFERROR(DATEDIF($I150-1,BI$15+1,"m"),)/12,)-1,)*Index!BE$22*(BI$15&lt;=$J150)*(1-BI$12)</f>
        <v>7603.7386413280929</v>
      </c>
      <c r="BJ150" s="747">
        <f>$G150*$H150*(1+$K150)^MAX(ROUNDUP(IFERROR(DATEDIF($I150-1,BJ$15+1,"m"),)/12,)-1,)*Index!BF$22*(BJ$15&lt;=$J150)*(1-BJ$12)</f>
        <v>7603.7386413280929</v>
      </c>
      <c r="BK150" s="747">
        <f>$G150*$H150*(1+$K150)^MAX(ROUNDUP(IFERROR(DATEDIF($I150-1,BK$15+1,"m"),)/12,)-1,)*Index!BG$22*(BK$15&lt;=$J150)*(1-BK$12)</f>
        <v>7603.7386413280929</v>
      </c>
      <c r="BL150" s="747">
        <f>$G150*$H150*(1+$K150)^MAX(ROUNDUP(IFERROR(DATEDIF($I150-1,BL$15+1,"m"),)/12,)-1,)*Index!BH$22*(BL$15&lt;=$J150)*(1-BL$12)</f>
        <v>7603.7386413280929</v>
      </c>
      <c r="BM150" s="747">
        <f>$G150*$H150*(1+$K150)^MAX(ROUNDUP(IFERROR(DATEDIF($I150-1,BM$15+1,"m"),)/12,)-1,)*Index!BI$22*(BM$15&lt;=$J150)*(1-BM$12)</f>
        <v>7603.7386413280929</v>
      </c>
      <c r="BN150" s="747">
        <f>$G150*$H150*(1+$K150)^MAX(ROUNDUP(IFERROR(DATEDIF($I150-1,BN$15+1,"m"),)/12,)-1,)*Index!BJ$22*(BN$15&lt;=$J150)*(1-BN$12)</f>
        <v>7603.7386413280929</v>
      </c>
      <c r="BO150" s="747">
        <f>$G150*$H150*(1+$K150)^MAX(ROUNDUP(IFERROR(DATEDIF($I150-1,BO$15+1,"m"),)/12,)-1,)*Index!BK$22*(BO$15&lt;=$J150)*(1-BO$12)</f>
        <v>7603.7386413280929</v>
      </c>
      <c r="BP150" s="747">
        <f>$G150*$H150*(1+$K150)^MAX(ROUNDUP(IFERROR(DATEDIF($I150-1,BP$15+1,"m"),)/12,)-1,)*Index!BL$22*(BP$15&lt;=$J150)*(1-BP$12)</f>
        <v>7793.832107361296</v>
      </c>
      <c r="BQ150" s="747">
        <f>$G150*$H150*(1+$K150)^MAX(ROUNDUP(IFERROR(DATEDIF($I150-1,BQ$15+1,"m"),)/12,)-1,)*Index!BM$22*(BQ$15&lt;=$J150)*(1-BQ$12)</f>
        <v>7793.832107361296</v>
      </c>
      <c r="BR150" s="747">
        <f>$G150*$H150*(1+$K150)^MAX(ROUNDUP(IFERROR(DATEDIF($I150-1,BR$15+1,"m"),)/12,)-1,)*Index!BN$22*(BR$15&lt;=$J150)*(1-BR$12)</f>
        <v>7793.832107361296</v>
      </c>
      <c r="BS150" s="747">
        <f>$G150*$H150*(1+$K150)^MAX(ROUNDUP(IFERROR(DATEDIF($I150-1,BS$15+1,"m"),)/12,)-1,)*Index!BO$22*(BS$15&lt;=$J150)*(1-BS$12)</f>
        <v>7793.832107361296</v>
      </c>
      <c r="BT150" s="747">
        <f>$G150*$H150*(1+$K150)^MAX(ROUNDUP(IFERROR(DATEDIF($I150-1,BT$15+1,"m"),)/12,)-1,)*Index!BP$22*(BT$15&lt;=$J150)*(1-BT$12)</f>
        <v>7793.832107361296</v>
      </c>
      <c r="BU150" s="747">
        <f>$G150*$H150*(1+$K150)^MAX(ROUNDUP(IFERROR(DATEDIF($I150-1,BU$15+1,"m"),)/12,)-1,)*Index!BQ$22*(BU$15&lt;=$J150)*(1-BU$12)</f>
        <v>7793.832107361296</v>
      </c>
      <c r="BV150" s="747">
        <f>$G150*$H150*(1+$K150)^MAX(ROUNDUP(IFERROR(DATEDIF($I150-1,BV$15+1,"m"),)/12,)-1,)*Index!BR$22*(BV$15&lt;=$J150)*(1-BV$12)</f>
        <v>7793.832107361296</v>
      </c>
      <c r="BW150" s="747">
        <f>$G150*$H150*(1+$K150)^MAX(ROUNDUP(IFERROR(DATEDIF($I150-1,BW$15+1,"m"),)/12,)-1,)*Index!BS$22*(BW$15&lt;=$J150)*(1-BW$12)</f>
        <v>7793.832107361296</v>
      </c>
      <c r="BX150" s="747">
        <f>$G150*$H150*(1+$K150)^MAX(ROUNDUP(IFERROR(DATEDIF($I150-1,BX$15+1,"m"),)/12,)-1,)*Index!BT$22*(BX$15&lt;=$J150)*(1-BX$12)</f>
        <v>7793.832107361296</v>
      </c>
      <c r="BY150" s="747">
        <f>$G150*$H150*(1+$K150)^MAX(ROUNDUP(IFERROR(DATEDIF($I150-1,BY$15+1,"m"),)/12,)-1,)*Index!BU$22*(BY$15&lt;=$J150)*(1-BY$12)</f>
        <v>7793.832107361296</v>
      </c>
      <c r="BZ150" s="747">
        <f>$G150*$H150*(1+$K150)^MAX(ROUNDUP(IFERROR(DATEDIF($I150-1,BZ$15+1,"m"),)/12,)-1,)*Index!BV$22*(BZ$15&lt;=$J150)*(1-BZ$12)</f>
        <v>7793.832107361296</v>
      </c>
      <c r="CA150" s="747">
        <f>$G150*$H150*(1+$K150)^MAX(ROUNDUP(IFERROR(DATEDIF($I150-1,CA$15+1,"m"),)/12,)-1,)*Index!BW$22*(CA$15&lt;=$J150)*(1-CA$12)</f>
        <v>7793.832107361296</v>
      </c>
      <c r="CB150" s="747">
        <f>$G150*$H150*(1+$K150)^MAX(ROUNDUP(IFERROR(DATEDIF($I150-1,CB$15+1,"m"),)/12,)-1,)*Index!BX$22*(CB$15&lt;=$J150)*(1-CB$12)</f>
        <v>7988.6779100453277</v>
      </c>
      <c r="CC150" s="747">
        <f>$G150*$H150*(1+$K150)^MAX(ROUNDUP(IFERROR(DATEDIF($I150-1,CC$15+1,"m"),)/12,)-1,)*Index!BY$22*(CC$15&lt;=$J150)*(1-CC$12)</f>
        <v>7988.6779100453277</v>
      </c>
      <c r="CD150" s="747">
        <f>$G150*$H150*(1+$K150)^MAX(ROUNDUP(IFERROR(DATEDIF($I150-1,CD$15+1,"m"),)/12,)-1,)*Index!BZ$22*(CD$15&lt;=$J150)*(1-CD$12)</f>
        <v>7988.6779100453277</v>
      </c>
      <c r="CE150" s="747">
        <f>$G150*$H150*(1+$K150)^MAX(ROUNDUP(IFERROR(DATEDIF($I150-1,CE$15+1,"m"),)/12,)-1,)*Index!CA$22*(CE$15&lt;=$J150)*(1-CE$12)</f>
        <v>7988.6779100453277</v>
      </c>
      <c r="CF150" s="747">
        <f>$G150*$H150*(1+$K150)^MAX(ROUNDUP(IFERROR(DATEDIF($I150-1,CF$15+1,"m"),)/12,)-1,)*Index!CB$22*(CF$15&lt;=$J150)*(1-CF$12)</f>
        <v>7988.6779100453277</v>
      </c>
      <c r="CG150" s="747">
        <f>$G150*$H150*(1+$K150)^MAX(ROUNDUP(IFERROR(DATEDIF($I150-1,CG$15+1,"m"),)/12,)-1,)*Index!CC$22*(CG$15&lt;=$J150)*(1-CG$12)</f>
        <v>7988.6779100453277</v>
      </c>
      <c r="CH150" s="747">
        <f>$G150*$H150*(1+$K150)^MAX(ROUNDUP(IFERROR(DATEDIF($I150-1,CH$15+1,"m"),)/12,)-1,)*Index!CD$22*(CH$15&lt;=$J150)*(1-CH$12)</f>
        <v>7988.6779100453277</v>
      </c>
      <c r="CI150" s="747">
        <f>$G150*$H150*(1+$K150)^MAX(ROUNDUP(IFERROR(DATEDIF($I150-1,CI$15+1,"m"),)/12,)-1,)*Index!CE$22*(CI$15&lt;=$J150)*(1-CI$12)</f>
        <v>7988.6779100453277</v>
      </c>
      <c r="CJ150" s="747">
        <f>$G150*$H150*(1+$K150)^MAX(ROUNDUP(IFERROR(DATEDIF($I150-1,CJ$15+1,"m"),)/12,)-1,)*Index!CF$22*(CJ$15&lt;=$J150)*(1-CJ$12)</f>
        <v>7988.6779100453277</v>
      </c>
      <c r="CK150" s="747">
        <f>$G150*$H150*(1+$K150)^MAX(ROUNDUP(IFERROR(DATEDIF($I150-1,CK$15+1,"m"),)/12,)-1,)*Index!CG$22*(CK$15&lt;=$J150)*(1-CK$12)</f>
        <v>7988.6779100453277</v>
      </c>
      <c r="CL150" s="747">
        <f>$G150*$H150*(1+$K150)^MAX(ROUNDUP(IFERROR(DATEDIF($I150-1,CL$15+1,"m"),)/12,)-1,)*Index!CH$22*(CL$15&lt;=$J150)*(1-CL$12)</f>
        <v>7988.6779100453277</v>
      </c>
      <c r="CM150" s="747">
        <f>$G150*$H150*(1+$K150)^MAX(ROUNDUP(IFERROR(DATEDIF($I150-1,CM$15+1,"m"),)/12,)-1,)*Index!CI$22*(CM$15&lt;=$J150)*(1-CM$12)</f>
        <v>7988.6779100453277</v>
      </c>
      <c r="CN150" s="747">
        <f>$G150*$H150*(1+$K150)^MAX(ROUNDUP(IFERROR(DATEDIF($I150-1,CN$15+1,"m"),)/12,)-1,)*Index!CJ$22*(CN$15&lt;=$J150)*(1-CN$12)</f>
        <v>8188.3948577964593</v>
      </c>
      <c r="CO150" s="747">
        <f>$G150*$H150*(1+$K150)^MAX(ROUNDUP(IFERROR(DATEDIF($I150-1,CO$15+1,"m"),)/12,)-1,)*Index!CK$22*(CO$15&lt;=$J150)*(1-CO$12)</f>
        <v>8188.3948577964593</v>
      </c>
      <c r="CP150" s="747">
        <f>$G150*$H150*(1+$K150)^MAX(ROUNDUP(IFERROR(DATEDIF($I150-1,CP$15+1,"m"),)/12,)-1,)*Index!CL$22*(CP$15&lt;=$J150)*(1-CP$12)</f>
        <v>8188.3948577964593</v>
      </c>
      <c r="CQ150" s="747">
        <f>$G150*$H150*(1+$K150)^MAX(ROUNDUP(IFERROR(DATEDIF($I150-1,CQ$15+1,"m"),)/12,)-1,)*Index!CM$22*(CQ$15&lt;=$J150)*(1-CQ$12)</f>
        <v>8188.3948577964593</v>
      </c>
      <c r="CR150" s="747">
        <f>$G150*$H150*(1+$K150)^MAX(ROUNDUP(IFERROR(DATEDIF($I150-1,CR$15+1,"m"),)/12,)-1,)*Index!CN$22*(CR$15&lt;=$J150)*(1-CR$12)</f>
        <v>8188.3948577964593</v>
      </c>
      <c r="CS150" s="747">
        <f>$G150*$H150*(1+$K150)^MAX(ROUNDUP(IFERROR(DATEDIF($I150-1,CS$15+1,"m"),)/12,)-1,)*Index!CO$22*(CS$15&lt;=$J150)*(1-CS$12)</f>
        <v>8188.3948577964593</v>
      </c>
      <c r="CT150" s="747">
        <f>$G150*$H150*(1+$K150)^MAX(ROUNDUP(IFERROR(DATEDIF($I150-1,CT$15+1,"m"),)/12,)-1,)*Index!CP$22*(CT$15&lt;=$J150)*(1-CT$12)</f>
        <v>8188.3948577964593</v>
      </c>
      <c r="CU150" s="747">
        <f>$G150*$H150*(1+$K150)^MAX(ROUNDUP(IFERROR(DATEDIF($I150-1,CU$15+1,"m"),)/12,)-1,)*Index!CQ$22*(CU$15&lt;=$J150)*(1-CU$12)</f>
        <v>8188.3948577964593</v>
      </c>
      <c r="CV150" s="747">
        <f>$G150*$H150*(1+$K150)^MAX(ROUNDUP(IFERROR(DATEDIF($I150-1,CV$15+1,"m"),)/12,)-1,)*Index!CR$22*(CV$15&lt;=$J150)*(1-CV$12)</f>
        <v>8188.3948577964593</v>
      </c>
      <c r="CW150" s="747">
        <f>$G150*$H150*(1+$K150)^MAX(ROUNDUP(IFERROR(DATEDIF($I150-1,CW$15+1,"m"),)/12,)-1,)*Index!CS$22*(CW$15&lt;=$J150)*(1-CW$12)</f>
        <v>8188.3948577964593</v>
      </c>
      <c r="CX150" s="747">
        <f>$G150*$H150*(1+$K150)^MAX(ROUNDUP(IFERROR(DATEDIF($I150-1,CX$15+1,"m"),)/12,)-1,)*Index!CT$22*(CX$15&lt;=$J150)*(1-CX$12)</f>
        <v>8188.3948577964593</v>
      </c>
      <c r="CY150" s="747">
        <f>$G150*$H150*(1+$K150)^MAX(ROUNDUP(IFERROR(DATEDIF($I150-1,CY$15+1,"m"),)/12,)-1,)*Index!CU$22*(CY$15&lt;=$J150)*(1-CY$12)</f>
        <v>8188.3948577964593</v>
      </c>
      <c r="CZ150" s="747">
        <f>$G150*$H150*(1+$K150)^MAX(ROUNDUP(IFERROR(DATEDIF($I150-1,CZ$15+1,"m"),)/12,)-1,)*Index!CV$22*(CZ$15&lt;=$J150)*(1-CZ$12)</f>
        <v>8393.1047292413714</v>
      </c>
      <c r="DA150" s="747">
        <f>$G150*$H150*(1+$K150)^MAX(ROUNDUP(IFERROR(DATEDIF($I150-1,DA$15+1,"m"),)/12,)-1,)*Index!CW$22*(DA$15&lt;=$J150)*(1-DA$12)</f>
        <v>8393.1047292413714</v>
      </c>
      <c r="DB150" s="747">
        <f>$G150*$H150*(1+$K150)^MAX(ROUNDUP(IFERROR(DATEDIF($I150-1,DB$15+1,"m"),)/12,)-1,)*Index!CX$22*(DB$15&lt;=$J150)*(1-DB$12)</f>
        <v>8393.1047292413714</v>
      </c>
      <c r="DC150" s="747">
        <f>$G150*$H150*(1+$K150)^MAX(ROUNDUP(IFERROR(DATEDIF($I150-1,DC$15+1,"m"),)/12,)-1,)*Index!CY$22*(DC$15&lt;=$J150)*(1-DC$12)</f>
        <v>0</v>
      </c>
      <c r="DD150" s="747">
        <f>$G150*$H150*(1+$K150)^MAX(ROUNDUP(IFERROR(DATEDIF($I150-1,DD$15+1,"m"),)/12,)-1,)*Index!CZ$22*(DD$15&lt;=$J150)*(1-DD$12)</f>
        <v>0</v>
      </c>
      <c r="DE150" s="747">
        <f>$G150*$H150*(1+$K150)^MAX(ROUNDUP(IFERROR(DATEDIF($I150-1,DE$15+1,"m"),)/12,)-1,)*Index!DA$22*(DE$15&lt;=$J150)*(1-DE$12)</f>
        <v>0</v>
      </c>
      <c r="DF150" s="747">
        <f>$G150*$H150*(1+$K150)^MAX(ROUNDUP(IFERROR(DATEDIF($I150-1,DF$15+1,"m"),)/12,)-1,)*Index!DB$22*(DF$15&lt;=$J150)*(1-DF$12)</f>
        <v>0</v>
      </c>
      <c r="DG150" s="747">
        <f>$G150*$H150*(1+$K150)^MAX(ROUNDUP(IFERROR(DATEDIF($I150-1,DG$15+1,"m"),)/12,)-1,)*Index!DC$22*(DG$15&lt;=$J150)*(1-DG$12)</f>
        <v>0</v>
      </c>
      <c r="DH150" s="747">
        <f>$G150*$H150*(1+$K150)^MAX(ROUNDUP(IFERROR(DATEDIF($I150-1,DH$15+1,"m"),)/12,)-1,)*Index!DD$22*(DH$15&lt;=$J150)*(1-DH$12)</f>
        <v>0</v>
      </c>
      <c r="DI150" s="747">
        <f>$G150*$H150*(1+$K150)^MAX(ROUNDUP(IFERROR(DATEDIF($I150-1,DI$15+1,"m"),)/12,)-1,)*Index!DE$22*(DI$15&lt;=$J150)*(1-DI$12)</f>
        <v>0</v>
      </c>
      <c r="DJ150" s="747">
        <f>$G150*$H150*(1+$K150)^MAX(ROUNDUP(IFERROR(DATEDIF($I150-1,DJ$15+1,"m"),)/12,)-1,)*Index!DF$22*(DJ$15&lt;=$J150)*(1-DJ$12)</f>
        <v>0</v>
      </c>
      <c r="DK150" s="747">
        <f>$G150*$H150*(1+$K150)^MAX(ROUNDUP(IFERROR(DATEDIF($I150-1,DK$15+1,"m"),)/12,)-1,)*Index!DG$22*(DK$15&lt;=$J150)*(1-DK$12)</f>
        <v>0</v>
      </c>
      <c r="DL150" s="747">
        <f>$G150*$H150*(1+$K150)^MAX(ROUNDUP(IFERROR(DATEDIF($I150-1,DL$15+1,"m"),)/12,)-1,)*Index!DH$22*(DL$15&lt;=$J150)*(1-DL$12)</f>
        <v>0</v>
      </c>
      <c r="DM150" s="747">
        <f>$G150*$H150*(1+$K150)^MAX(ROUNDUP(IFERROR(DATEDIF($I150-1,DM$15+1,"m"),)/12,)-1,)*Index!DI$22*(DM$15&lt;=$J150)*(1-DM$12)</f>
        <v>0</v>
      </c>
      <c r="DN150" s="747">
        <f>$G150*$H150*(1+$K150)^MAX(ROUNDUP(IFERROR(DATEDIF($I150-1,DN$15+1,"m"),)/12,)-1,)*Index!DJ$22*(DN$15&lt;=$J150)*(1-DN$12)</f>
        <v>0</v>
      </c>
      <c r="DO150" s="747">
        <f>$G150*$H150*(1+$K150)^MAX(ROUNDUP(IFERROR(DATEDIF($I150-1,DO$15+1,"m"),)/12,)-1,)*Index!DK$22*(DO$15&lt;=$J150)*(1-DO$12)</f>
        <v>0</v>
      </c>
      <c r="DP150" s="747">
        <f>$G150*$H150*(1+$K150)^MAX(ROUNDUP(IFERROR(DATEDIF($I150-1,DP$15+1,"m"),)/12,)-1,)*Index!DL$22*(DP$15&lt;=$J150)*(1-DP$12)</f>
        <v>0</v>
      </c>
      <c r="DQ150" s="747">
        <f>$G150*$H150*(1+$K150)^MAX(ROUNDUP(IFERROR(DATEDIF($I150-1,DQ$15+1,"m"),)/12,)-1,)*Index!DM$22*(DQ$15&lt;=$J150)*(1-DQ$12)</f>
        <v>0</v>
      </c>
      <c r="DR150" s="747">
        <f>$G150*$H150*(1+$K150)^MAX(ROUNDUP(IFERROR(DATEDIF($I150-1,DR$15+1,"m"),)/12,)-1,)*Index!DN$22*(DR$15&lt;=$J150)*(1-DR$12)</f>
        <v>0</v>
      </c>
      <c r="DS150" s="747">
        <f>$G150*$H150*(1+$K150)^MAX(ROUNDUP(IFERROR(DATEDIF($I150-1,DS$15+1,"m"),)/12,)-1,)*Index!DO$22*(DS$15&lt;=$J150)*(1-DS$12)</f>
        <v>0</v>
      </c>
      <c r="DT150" s="747">
        <f>$G150*$H150*(1+$K150)^MAX(ROUNDUP(IFERROR(DATEDIF($I150-1,DT$15+1,"m"),)/12,)-1,)*Index!DP$22*(DT$15&lt;=$J150)*(1-DT$12)</f>
        <v>0</v>
      </c>
      <c r="DU150" s="747">
        <f>$G150*$H150*(1+$K150)^MAX(ROUNDUP(IFERROR(DATEDIF($I150-1,DU$15+1,"m"),)/12,)-1,)*Index!DQ$22*(DU$15&lt;=$J150)*(1-DU$12)</f>
        <v>0</v>
      </c>
      <c r="DV150" s="747">
        <f>$G150*$H150*(1+$K150)^MAX(ROUNDUP(IFERROR(DATEDIF($I150-1,DV$15+1,"m"),)/12,)-1,)*Index!DR$22*(DV$15&lt;=$J150)*(1-DV$12)</f>
        <v>0</v>
      </c>
      <c r="DW150" s="747">
        <f>$G150*$H150*(1+$K150)^MAX(ROUNDUP(IFERROR(DATEDIF($I150-1,DW$15+1,"m"),)/12,)-1,)*Index!DS$22*(DW$15&lt;=$J150)*(1-DW$12)</f>
        <v>0</v>
      </c>
      <c r="DX150" s="747">
        <f>$G150*$H150*(1+$K150)^MAX(ROUNDUP(IFERROR(DATEDIF($I150-1,DX$15+1,"m"),)/12,)-1,)*Index!DT$22*(DX$15&lt;=$J150)*(1-DX$12)</f>
        <v>0</v>
      </c>
      <c r="DY150" s="747">
        <f>$G150*$H150*(1+$K150)^MAX(ROUNDUP(IFERROR(DATEDIF($I150-1,DY$15+1,"m"),)/12,)-1,)*Index!DU$22*(DY$15&lt;=$J150)*(1-DY$12)</f>
        <v>0</v>
      </c>
      <c r="DZ150" s="747">
        <f>$G150*$H150*(1+$K150)^MAX(ROUNDUP(IFERROR(DATEDIF($I150-1,DZ$15+1,"m"),)/12,)-1,)*Index!DV$22*(DZ$15&lt;=$J150)*(1-DZ$12)</f>
        <v>0</v>
      </c>
      <c r="EA150" s="747">
        <f>$G150*$H150*(1+$K150)^MAX(ROUNDUP(IFERROR(DATEDIF($I150-1,EA$15+1,"m"),)/12,)-1,)*Index!DW$22*(EA$15&lt;=$J150)*(1-EA$12)</f>
        <v>0</v>
      </c>
      <c r="EB150" s="747">
        <f>$G150*$H150*(1+$K150)^MAX(ROUNDUP(IFERROR(DATEDIF($I150-1,EB$15+1,"m"),)/12,)-1,)*Index!DX$22*(EB$15&lt;=$J150)*(1-EB$12)</f>
        <v>0</v>
      </c>
      <c r="EC150" s="747">
        <f>$G150*$H150*(1+$K150)^MAX(ROUNDUP(IFERROR(DATEDIF($I150-1,EC$15+1,"m"),)/12,)-1,)*Index!DY$22*(EC$15&lt;=$J150)*(1-EC$12)</f>
        <v>0</v>
      </c>
      <c r="ED150" s="747">
        <f>$G150*$H150*(1+$K150)^MAX(ROUNDUP(IFERROR(DATEDIF($I150-1,ED$15+1,"m"),)/12,)-1,)*Index!DZ$22*(ED$15&lt;=$J150)*(1-ED$12)</f>
        <v>0</v>
      </c>
      <c r="EE150" s="747">
        <f>$G150*$H150*(1+$K150)^MAX(ROUNDUP(IFERROR(DATEDIF($I150-1,EE$15+1,"m"),)/12,)-1,)*Index!EA$22*(EE$15&lt;=$J150)*(1-EE$12)</f>
        <v>0</v>
      </c>
      <c r="EF150" s="747">
        <f>$G150*$H150*(1+$K150)^MAX(ROUNDUP(IFERROR(DATEDIF($I150-1,EF$15+1,"m"),)/12,)-1,)*Index!EB$22*(EF$15&lt;=$J150)*(1-EF$12)</f>
        <v>0</v>
      </c>
      <c r="EG150" s="747">
        <f>$G150*$H150*(1+$K150)^MAX(ROUNDUP(IFERROR(DATEDIF($I150-1,EG$15+1,"m"),)/12,)-1,)*Index!EC$22*(EG$15&lt;=$J150)*(1-EG$12)</f>
        <v>0</v>
      </c>
      <c r="EH150" s="747">
        <f>$G150*$H150*(1+$K150)^MAX(ROUNDUP(IFERROR(DATEDIF($I150-1,EH$15+1,"m"),)/12,)-1,)*Index!ED$22*(EH$15&lt;=$J150)*(1-EH$12)</f>
        <v>0</v>
      </c>
      <c r="EI150" s="747">
        <f>$G150*$H150*(1+$K150)^MAX(ROUNDUP(IFERROR(DATEDIF($I150-1,EI$15+1,"m"),)/12,)-1,)*Index!EE$22*(EI$15&lt;=$J150)*(1-EI$12)</f>
        <v>0</v>
      </c>
      <c r="EJ150" s="747">
        <f>$G150*$H150*(1+$K150)^MAX(ROUNDUP(IFERROR(DATEDIF($I150-1,EJ$15+1,"m"),)/12,)-1,)*Index!EF$22*(EJ$15&lt;=$J150)*(1-EJ$12)</f>
        <v>0</v>
      </c>
      <c r="EK150" s="747">
        <f>$G150*$H150*(1+$K150)^MAX(ROUNDUP(IFERROR(DATEDIF($I150-1,EK$15+1,"m"),)/12,)-1,)*Index!EG$22*(EK$15&lt;=$J150)*(1-EK$12)</f>
        <v>0</v>
      </c>
      <c r="EL150" s="747">
        <f>$G150*$H150*(1+$K150)^MAX(ROUNDUP(IFERROR(DATEDIF($I150-1,EL$15+1,"m"),)/12,)-1,)*Index!EH$22*(EL$15&lt;=$J150)*(1-EL$12)</f>
        <v>0</v>
      </c>
      <c r="EM150" s="747">
        <f>$G150*$H150*(1+$K150)^MAX(ROUNDUP(IFERROR(DATEDIF($I150-1,EM$15+1,"m"),)/12,)-1,)*Index!EI$22*(EM$15&lt;=$J150)*(1-EM$12)</f>
        <v>0</v>
      </c>
      <c r="EN150" s="747">
        <f>$G150*$H150*(1+$K150)^MAX(ROUNDUP(IFERROR(DATEDIF($I150-1,EN$15+1,"m"),)/12,)-1,)*Index!EJ$22*(EN$15&lt;=$J150)*(1-EN$12)</f>
        <v>0</v>
      </c>
      <c r="EO150" s="747">
        <f>$G150*$H150*(1+$K150)^MAX(ROUNDUP(IFERROR(DATEDIF($I150-1,EO$15+1,"m"),)/12,)-1,)*Index!EK$22*(EO$15&lt;=$J150)*(1-EO$12)</f>
        <v>0</v>
      </c>
      <c r="EP150" s="747">
        <f>$G150*$H150*(1+$K150)^MAX(ROUNDUP(IFERROR(DATEDIF($I150-1,EP$15+1,"m"),)/12,)-1,)*Index!EL$22*(EP$15&lt;=$J150)*(1-EP$12)</f>
        <v>0</v>
      </c>
      <c r="EQ150" s="747">
        <f>$G150*$H150*(1+$K150)^MAX(ROUNDUP(IFERROR(DATEDIF($I150-1,EQ$15+1,"m"),)/12,)-1,)*Index!EM$22*(EQ$15&lt;=$J150)*(1-EQ$12)</f>
        <v>0</v>
      </c>
      <c r="ER150" s="747">
        <f>$G150*$H150*(1+$K150)^MAX(ROUNDUP(IFERROR(DATEDIF($I150-1,ER$15+1,"m"),)/12,)-1,)*Index!EN$22*(ER$15&lt;=$J150)*(1-ER$12)</f>
        <v>0</v>
      </c>
      <c r="ES150" s="747">
        <f>$G150*$H150*(1+$K150)^MAX(ROUNDUP(IFERROR(DATEDIF($I150-1,ES$15+1,"m"),)/12,)-1,)*Index!EO$22*(ES$15&lt;=$J150)*(1-ES$12)</f>
        <v>0</v>
      </c>
      <c r="ET150" s="747">
        <f>$G150*$H150*(1+$K150)^MAX(ROUNDUP(IFERROR(DATEDIF($I150-1,ET$15+1,"m"),)/12,)-1,)*Index!EP$22*(ET$15&lt;=$J150)*(1-ET$12)</f>
        <v>0</v>
      </c>
      <c r="EU150" s="747">
        <f>$G150*$H150*(1+$K150)^MAX(ROUNDUP(IFERROR(DATEDIF($I150-1,EU$15+1,"m"),)/12,)-1,)*Index!EQ$22*(EU$15&lt;=$J150)*(1-EU$12)</f>
        <v>0</v>
      </c>
    </row>
    <row r="151" spans="3:151" ht="11.25" customHeight="1">
      <c r="C151" s="735"/>
      <c r="D151" s="743">
        <f t="shared" si="237"/>
        <v>4</v>
      </c>
      <c r="E151" s="704" t="str">
        <f t="shared" si="237"/>
        <v>쿠팡</v>
      </c>
      <c r="F151" s="704" t="str">
        <f t="shared" si="237"/>
        <v>상온창고</v>
      </c>
      <c r="G151" s="781">
        <f>'A&amp;R'!AD14/1000</f>
        <v>3</v>
      </c>
      <c r="H151" s="744">
        <f>'A&amp;R'!Y14</f>
        <v>2185.56</v>
      </c>
      <c r="I151" s="745">
        <f t="shared" si="238"/>
        <v>45413</v>
      </c>
      <c r="J151" s="745">
        <f t="shared" si="238"/>
        <v>49064</v>
      </c>
      <c r="K151" s="754">
        <f t="shared" si="238"/>
        <v>2.5000000000000001E-2</v>
      </c>
      <c r="L151" s="746"/>
      <c r="M151" s="722"/>
      <c r="N151" s="747">
        <f t="shared" si="239"/>
        <v>680824.87448586093</v>
      </c>
      <c r="O151" s="733"/>
      <c r="P151" s="747">
        <f>$G151*$H151*(1+$K151)^MAX(ROUNDUP(IFERROR(DATEDIF($I151-1,P$15+1,"m"),)/12,)-1,)*Index!L$22*(P$15&lt;=$J151)*(1-P$12)</f>
        <v>0</v>
      </c>
      <c r="Q151" s="747">
        <f>$G151*$H151*(1+$K151)^MAX(ROUNDUP(IFERROR(DATEDIF($I151-1,Q$15+1,"m"),)/12,)-1,)*Index!M$22*(Q$15&lt;=$J151)*(1-Q$12)</f>
        <v>6888.6119250000002</v>
      </c>
      <c r="R151" s="747">
        <f>$G151*$H151*(1+$K151)^MAX(ROUNDUP(IFERROR(DATEDIF($I151-1,R$15+1,"m"),)/12,)-1,)*Index!N$22*(R$15&lt;=$J151)*(1-R$12)</f>
        <v>6888.6119250000002</v>
      </c>
      <c r="S151" s="747">
        <f>$G151*$H151*(1+$K151)^MAX(ROUNDUP(IFERROR(DATEDIF($I151-1,S$15+1,"m"),)/12,)-1,)*Index!O$22*(S$15&lt;=$J151)*(1-S$12)</f>
        <v>6888.6119250000002</v>
      </c>
      <c r="T151" s="747">
        <f>$G151*$H151*(1+$K151)^MAX(ROUNDUP(IFERROR(DATEDIF($I151-1,T$15+1,"m"),)/12,)-1,)*Index!P$22*(T$15&lt;=$J151)*(1-T$12)</f>
        <v>6888.6119250000002</v>
      </c>
      <c r="U151" s="747">
        <f>$G151*$H151*(1+$K151)^MAX(ROUNDUP(IFERROR(DATEDIF($I151-1,U$15+1,"m"),)/12,)-1,)*Index!Q$22*(U$15&lt;=$J151)*(1-U$12)</f>
        <v>6888.6119250000002</v>
      </c>
      <c r="V151" s="747">
        <f>$G151*$H151*(1+$K151)^MAX(ROUNDUP(IFERROR(DATEDIF($I151-1,V$15+1,"m"),)/12,)-1,)*Index!R$22*(V$15&lt;=$J151)*(1-V$12)</f>
        <v>6888.6119250000002</v>
      </c>
      <c r="W151" s="747">
        <f>$G151*$H151*(1+$K151)^MAX(ROUNDUP(IFERROR(DATEDIF($I151-1,W$15+1,"m"),)/12,)-1,)*Index!S$22*(W$15&lt;=$J151)*(1-W$12)</f>
        <v>7060.8272231249994</v>
      </c>
      <c r="X151" s="747">
        <f>$G151*$H151*(1+$K151)^MAX(ROUNDUP(IFERROR(DATEDIF($I151-1,X$15+1,"m"),)/12,)-1,)*Index!T$22*(X$15&lt;=$J151)*(1-X$12)</f>
        <v>7060.8272231249994</v>
      </c>
      <c r="Y151" s="747">
        <f>$G151*$H151*(1+$K151)^MAX(ROUNDUP(IFERROR(DATEDIF($I151-1,Y$15+1,"m"),)/12,)-1,)*Index!U$22*(Y$15&lt;=$J151)*(1-Y$12)</f>
        <v>7060.8272231249994</v>
      </c>
      <c r="Z151" s="747">
        <f>$G151*$H151*(1+$K151)^MAX(ROUNDUP(IFERROR(DATEDIF($I151-1,Z$15+1,"m"),)/12,)-1,)*Index!V$22*(Z$15&lt;=$J151)*(1-Z$12)</f>
        <v>7060.8272231249994</v>
      </c>
      <c r="AA151" s="747">
        <f>$G151*$H151*(1+$K151)^MAX(ROUNDUP(IFERROR(DATEDIF($I151-1,AA$15+1,"m"),)/12,)-1,)*Index!W$22*(AA$15&lt;=$J151)*(1-AA$12)</f>
        <v>7060.8272231249994</v>
      </c>
      <c r="AB151" s="747">
        <f>$G151*$H151*(1+$K151)^MAX(ROUNDUP(IFERROR(DATEDIF($I151-1,AB$15+1,"m"),)/12,)-1,)*Index!X$22*(AB$15&lt;=$J151)*(1-AB$12)</f>
        <v>7060.8272231249994</v>
      </c>
      <c r="AC151" s="747">
        <f>$G151*$H151*(1+$K151)^MAX(ROUNDUP(IFERROR(DATEDIF($I151-1,AC$15+1,"m"),)/12,)-1,)*Index!Y$22*(AC$15&lt;=$J151)*(1-AC$12)</f>
        <v>7060.8272231249994</v>
      </c>
      <c r="AD151" s="747">
        <f>$G151*$H151*(1+$K151)^MAX(ROUNDUP(IFERROR(DATEDIF($I151-1,AD$15+1,"m"),)/12,)-1,)*Index!Z$22*(AD$15&lt;=$J151)*(1-AD$12)</f>
        <v>7060.8272231249994</v>
      </c>
      <c r="AE151" s="747">
        <f>$G151*$H151*(1+$K151)^MAX(ROUNDUP(IFERROR(DATEDIF($I151-1,AE$15+1,"m"),)/12,)-1,)*Index!AA$22*(AE$15&lt;=$J151)*(1-AE$12)</f>
        <v>7060.8272231249994</v>
      </c>
      <c r="AF151" s="747">
        <f>$G151*$H151*(1+$K151)^MAX(ROUNDUP(IFERROR(DATEDIF($I151-1,AF$15+1,"m"),)/12,)-1,)*Index!AB$22*(AF$15&lt;=$J151)*(1-AF$12)</f>
        <v>7060.8272231249994</v>
      </c>
      <c r="AG151" s="747">
        <f>$G151*$H151*(1+$K151)^MAX(ROUNDUP(IFERROR(DATEDIF($I151-1,AG$15+1,"m"),)/12,)-1,)*Index!AC$22*(AG$15&lt;=$J151)*(1-AG$12)</f>
        <v>7060.8272231249994</v>
      </c>
      <c r="AH151" s="747">
        <f>$G151*$H151*(1+$K151)^MAX(ROUNDUP(IFERROR(DATEDIF($I151-1,AH$15+1,"m"),)/12,)-1,)*Index!AD$22*(AH$15&lt;=$J151)*(1-AH$12)</f>
        <v>7060.8272231249994</v>
      </c>
      <c r="AI151" s="747">
        <f>$G151*$H151*(1+$K151)^MAX(ROUNDUP(IFERROR(DATEDIF($I151-1,AI$15+1,"m"),)/12,)-1,)*Index!AE$22*(AI$15&lt;=$J151)*(1-AI$12)</f>
        <v>7237.3479037031238</v>
      </c>
      <c r="AJ151" s="747">
        <f>$G151*$H151*(1+$K151)^MAX(ROUNDUP(IFERROR(DATEDIF($I151-1,AJ$15+1,"m"),)/12,)-1,)*Index!AF$22*(AJ$15&lt;=$J151)*(1-AJ$12)</f>
        <v>7237.3479037031238</v>
      </c>
      <c r="AK151" s="747">
        <f>$G151*$H151*(1+$K151)^MAX(ROUNDUP(IFERROR(DATEDIF($I151-1,AK$15+1,"m"),)/12,)-1,)*Index!AG$22*(AK$15&lt;=$J151)*(1-AK$12)</f>
        <v>7237.3479037031238</v>
      </c>
      <c r="AL151" s="747">
        <f>$G151*$H151*(1+$K151)^MAX(ROUNDUP(IFERROR(DATEDIF($I151-1,AL$15+1,"m"),)/12,)-1,)*Index!AH$22*(AL$15&lt;=$J151)*(1-AL$12)</f>
        <v>7237.3479037031238</v>
      </c>
      <c r="AM151" s="747">
        <f>$G151*$H151*(1+$K151)^MAX(ROUNDUP(IFERROR(DATEDIF($I151-1,AM$15+1,"m"),)/12,)-1,)*Index!AI$22*(AM$15&lt;=$J151)*(1-AM$12)</f>
        <v>7237.3479037031238</v>
      </c>
      <c r="AN151" s="747">
        <f>$G151*$H151*(1+$K151)^MAX(ROUNDUP(IFERROR(DATEDIF($I151-1,AN$15+1,"m"),)/12,)-1,)*Index!AJ$22*(AN$15&lt;=$J151)*(1-AN$12)</f>
        <v>7237.3479037031238</v>
      </c>
      <c r="AO151" s="747">
        <f>$G151*$H151*(1+$K151)^MAX(ROUNDUP(IFERROR(DATEDIF($I151-1,AO$15+1,"m"),)/12,)-1,)*Index!AK$22*(AO$15&lt;=$J151)*(1-AO$12)</f>
        <v>7237.3479037031238</v>
      </c>
      <c r="AP151" s="747">
        <f>$G151*$H151*(1+$K151)^MAX(ROUNDUP(IFERROR(DATEDIF($I151-1,AP$15+1,"m"),)/12,)-1,)*Index!AL$22*(AP$15&lt;=$J151)*(1-AP$12)</f>
        <v>7237.3479037031238</v>
      </c>
      <c r="AQ151" s="747">
        <f>$G151*$H151*(1+$K151)^MAX(ROUNDUP(IFERROR(DATEDIF($I151-1,AQ$15+1,"m"),)/12,)-1,)*Index!AM$22*(AQ$15&lt;=$J151)*(1-AQ$12)</f>
        <v>7237.3479037031238</v>
      </c>
      <c r="AR151" s="747">
        <f>$G151*$H151*(1+$K151)^MAX(ROUNDUP(IFERROR(DATEDIF($I151-1,AR$15+1,"m"),)/12,)-1,)*Index!AN$22*(AR$15&lt;=$J151)*(1-AR$12)</f>
        <v>7237.3479037031238</v>
      </c>
      <c r="AS151" s="747">
        <f>$G151*$H151*(1+$K151)^MAX(ROUNDUP(IFERROR(DATEDIF($I151-1,AS$15+1,"m"),)/12,)-1,)*Index!AO$22*(AS$15&lt;=$J151)*(1-AS$12)</f>
        <v>7237.3479037031238</v>
      </c>
      <c r="AT151" s="747">
        <f>$G151*$H151*(1+$K151)^MAX(ROUNDUP(IFERROR(DATEDIF($I151-1,AT$15+1,"m"),)/12,)-1,)*Index!AP$22*(AT$15&lt;=$J151)*(1-AT$12)</f>
        <v>7237.3479037031238</v>
      </c>
      <c r="AU151" s="747">
        <f>$G151*$H151*(1+$K151)^MAX(ROUNDUP(IFERROR(DATEDIF($I151-1,AU$15+1,"m"),)/12,)-1,)*Index!AQ$22*(AU$15&lt;=$J151)*(1-AU$12)</f>
        <v>7418.281601295701</v>
      </c>
      <c r="AV151" s="747">
        <f>$G151*$H151*(1+$K151)^MAX(ROUNDUP(IFERROR(DATEDIF($I151-1,AV$15+1,"m"),)/12,)-1,)*Index!AR$22*(AV$15&lt;=$J151)*(1-AV$12)</f>
        <v>7418.281601295701</v>
      </c>
      <c r="AW151" s="747">
        <f>$G151*$H151*(1+$K151)^MAX(ROUNDUP(IFERROR(DATEDIF($I151-1,AW$15+1,"m"),)/12,)-1,)*Index!AS$22*(AW$15&lt;=$J151)*(1-AW$12)</f>
        <v>7418.281601295701</v>
      </c>
      <c r="AX151" s="747">
        <f>$G151*$H151*(1+$K151)^MAX(ROUNDUP(IFERROR(DATEDIF($I151-1,AX$15+1,"m"),)/12,)-1,)*Index!AT$22*(AX$15&lt;=$J151)*(1-AX$12)</f>
        <v>7418.281601295701</v>
      </c>
      <c r="AY151" s="747">
        <f>$G151*$H151*(1+$K151)^MAX(ROUNDUP(IFERROR(DATEDIF($I151-1,AY$15+1,"m"),)/12,)-1,)*Index!AU$22*(AY$15&lt;=$J151)*(1-AY$12)</f>
        <v>7418.281601295701</v>
      </c>
      <c r="AZ151" s="747">
        <f>$G151*$H151*(1+$K151)^MAX(ROUNDUP(IFERROR(DATEDIF($I151-1,AZ$15+1,"m"),)/12,)-1,)*Index!AV$22*(AZ$15&lt;=$J151)*(1-AZ$12)</f>
        <v>7418.281601295701</v>
      </c>
      <c r="BA151" s="747">
        <f>$G151*$H151*(1+$K151)^MAX(ROUNDUP(IFERROR(DATEDIF($I151-1,BA$15+1,"m"),)/12,)-1,)*Index!AW$22*(BA$15&lt;=$J151)*(1-BA$12)</f>
        <v>7418.281601295701</v>
      </c>
      <c r="BB151" s="747">
        <f>$G151*$H151*(1+$K151)^MAX(ROUNDUP(IFERROR(DATEDIF($I151-1,BB$15+1,"m"),)/12,)-1,)*Index!AX$22*(BB$15&lt;=$J151)*(1-BB$12)</f>
        <v>7418.281601295701</v>
      </c>
      <c r="BC151" s="747">
        <f>$G151*$H151*(1+$K151)^MAX(ROUNDUP(IFERROR(DATEDIF($I151-1,BC$15+1,"m"),)/12,)-1,)*Index!AY$22*(BC$15&lt;=$J151)*(1-BC$12)</f>
        <v>7418.281601295701</v>
      </c>
      <c r="BD151" s="747">
        <f>$G151*$H151*(1+$K151)^MAX(ROUNDUP(IFERROR(DATEDIF($I151-1,BD$15+1,"m"),)/12,)-1,)*Index!AZ$22*(BD$15&lt;=$J151)*(1-BD$12)</f>
        <v>7418.281601295701</v>
      </c>
      <c r="BE151" s="747">
        <f>$G151*$H151*(1+$K151)^MAX(ROUNDUP(IFERROR(DATEDIF($I151-1,BE$15+1,"m"),)/12,)-1,)*Index!BA$22*(BE$15&lt;=$J151)*(1-BE$12)</f>
        <v>7418.281601295701</v>
      </c>
      <c r="BF151" s="747">
        <f>$G151*$H151*(1+$K151)^MAX(ROUNDUP(IFERROR(DATEDIF($I151-1,BF$15+1,"m"),)/12,)-1,)*Index!BB$22*(BF$15&lt;=$J151)*(1-BF$12)</f>
        <v>7418.281601295701</v>
      </c>
      <c r="BG151" s="747">
        <f>$G151*$H151*(1+$K151)^MAX(ROUNDUP(IFERROR(DATEDIF($I151-1,BG$15+1,"m"),)/12,)-1,)*Index!BC$22*(BG$15&lt;=$J151)*(1-BG$12)</f>
        <v>7603.7386413280929</v>
      </c>
      <c r="BH151" s="747">
        <f>$G151*$H151*(1+$K151)^MAX(ROUNDUP(IFERROR(DATEDIF($I151-1,BH$15+1,"m"),)/12,)-1,)*Index!BD$22*(BH$15&lt;=$J151)*(1-BH$12)</f>
        <v>7603.7386413280929</v>
      </c>
      <c r="BI151" s="747">
        <f>$G151*$H151*(1+$K151)^MAX(ROUNDUP(IFERROR(DATEDIF($I151-1,BI$15+1,"m"),)/12,)-1,)*Index!BE$22*(BI$15&lt;=$J151)*(1-BI$12)</f>
        <v>7603.7386413280929</v>
      </c>
      <c r="BJ151" s="747">
        <f>$G151*$H151*(1+$K151)^MAX(ROUNDUP(IFERROR(DATEDIF($I151-1,BJ$15+1,"m"),)/12,)-1,)*Index!BF$22*(BJ$15&lt;=$J151)*(1-BJ$12)</f>
        <v>7603.7386413280929</v>
      </c>
      <c r="BK151" s="747">
        <f>$G151*$H151*(1+$K151)^MAX(ROUNDUP(IFERROR(DATEDIF($I151-1,BK$15+1,"m"),)/12,)-1,)*Index!BG$22*(BK$15&lt;=$J151)*(1-BK$12)</f>
        <v>7603.7386413280929</v>
      </c>
      <c r="BL151" s="747">
        <f>$G151*$H151*(1+$K151)^MAX(ROUNDUP(IFERROR(DATEDIF($I151-1,BL$15+1,"m"),)/12,)-1,)*Index!BH$22*(BL$15&lt;=$J151)*(1-BL$12)</f>
        <v>7603.7386413280929</v>
      </c>
      <c r="BM151" s="747">
        <f>$G151*$H151*(1+$K151)^MAX(ROUNDUP(IFERROR(DATEDIF($I151-1,BM$15+1,"m"),)/12,)-1,)*Index!BI$22*(BM$15&lt;=$J151)*(1-BM$12)</f>
        <v>7603.7386413280929</v>
      </c>
      <c r="BN151" s="747">
        <f>$G151*$H151*(1+$K151)^MAX(ROUNDUP(IFERROR(DATEDIF($I151-1,BN$15+1,"m"),)/12,)-1,)*Index!BJ$22*(BN$15&lt;=$J151)*(1-BN$12)</f>
        <v>7603.7386413280929</v>
      </c>
      <c r="BO151" s="747">
        <f>$G151*$H151*(1+$K151)^MAX(ROUNDUP(IFERROR(DATEDIF($I151-1,BO$15+1,"m"),)/12,)-1,)*Index!BK$22*(BO$15&lt;=$J151)*(1-BO$12)</f>
        <v>7603.7386413280929</v>
      </c>
      <c r="BP151" s="747">
        <f>$G151*$H151*(1+$K151)^MAX(ROUNDUP(IFERROR(DATEDIF($I151-1,BP$15+1,"m"),)/12,)-1,)*Index!BL$22*(BP$15&lt;=$J151)*(1-BP$12)</f>
        <v>7603.7386413280929</v>
      </c>
      <c r="BQ151" s="747">
        <f>$G151*$H151*(1+$K151)^MAX(ROUNDUP(IFERROR(DATEDIF($I151-1,BQ$15+1,"m"),)/12,)-1,)*Index!BM$22*(BQ$15&lt;=$J151)*(1-BQ$12)</f>
        <v>7603.7386413280929</v>
      </c>
      <c r="BR151" s="747">
        <f>$G151*$H151*(1+$K151)^MAX(ROUNDUP(IFERROR(DATEDIF($I151-1,BR$15+1,"m"),)/12,)-1,)*Index!BN$22*(BR$15&lt;=$J151)*(1-BR$12)</f>
        <v>7603.7386413280929</v>
      </c>
      <c r="BS151" s="747">
        <f>$G151*$H151*(1+$K151)^MAX(ROUNDUP(IFERROR(DATEDIF($I151-1,BS$15+1,"m"),)/12,)-1,)*Index!BO$22*(BS$15&lt;=$J151)*(1-BS$12)</f>
        <v>7793.832107361296</v>
      </c>
      <c r="BT151" s="747">
        <f>$G151*$H151*(1+$K151)^MAX(ROUNDUP(IFERROR(DATEDIF($I151-1,BT$15+1,"m"),)/12,)-1,)*Index!BP$22*(BT$15&lt;=$J151)*(1-BT$12)</f>
        <v>7793.832107361296</v>
      </c>
      <c r="BU151" s="747">
        <f>$G151*$H151*(1+$K151)^MAX(ROUNDUP(IFERROR(DATEDIF($I151-1,BU$15+1,"m"),)/12,)-1,)*Index!BQ$22*(BU$15&lt;=$J151)*(1-BU$12)</f>
        <v>7793.832107361296</v>
      </c>
      <c r="BV151" s="747">
        <f>$G151*$H151*(1+$K151)^MAX(ROUNDUP(IFERROR(DATEDIF($I151-1,BV$15+1,"m"),)/12,)-1,)*Index!BR$22*(BV$15&lt;=$J151)*(1-BV$12)</f>
        <v>7793.832107361296</v>
      </c>
      <c r="BW151" s="747">
        <f>$G151*$H151*(1+$K151)^MAX(ROUNDUP(IFERROR(DATEDIF($I151-1,BW$15+1,"m"),)/12,)-1,)*Index!BS$22*(BW$15&lt;=$J151)*(1-BW$12)</f>
        <v>7793.832107361296</v>
      </c>
      <c r="BX151" s="747">
        <f>$G151*$H151*(1+$K151)^MAX(ROUNDUP(IFERROR(DATEDIF($I151-1,BX$15+1,"m"),)/12,)-1,)*Index!BT$22*(BX$15&lt;=$J151)*(1-BX$12)</f>
        <v>7793.832107361296</v>
      </c>
      <c r="BY151" s="747">
        <f>$G151*$H151*(1+$K151)^MAX(ROUNDUP(IFERROR(DATEDIF($I151-1,BY$15+1,"m"),)/12,)-1,)*Index!BU$22*(BY$15&lt;=$J151)*(1-BY$12)</f>
        <v>7793.832107361296</v>
      </c>
      <c r="BZ151" s="747">
        <f>$G151*$H151*(1+$K151)^MAX(ROUNDUP(IFERROR(DATEDIF($I151-1,BZ$15+1,"m"),)/12,)-1,)*Index!BV$22*(BZ$15&lt;=$J151)*(1-BZ$12)</f>
        <v>7793.832107361296</v>
      </c>
      <c r="CA151" s="747">
        <f>$G151*$H151*(1+$K151)^MAX(ROUNDUP(IFERROR(DATEDIF($I151-1,CA$15+1,"m"),)/12,)-1,)*Index!BW$22*(CA$15&lt;=$J151)*(1-CA$12)</f>
        <v>7793.832107361296</v>
      </c>
      <c r="CB151" s="747">
        <f>$G151*$H151*(1+$K151)^MAX(ROUNDUP(IFERROR(DATEDIF($I151-1,CB$15+1,"m"),)/12,)-1,)*Index!BX$22*(CB$15&lt;=$J151)*(1-CB$12)</f>
        <v>7793.832107361296</v>
      </c>
      <c r="CC151" s="747">
        <f>$G151*$H151*(1+$K151)^MAX(ROUNDUP(IFERROR(DATEDIF($I151-1,CC$15+1,"m"),)/12,)-1,)*Index!BY$22*(CC$15&lt;=$J151)*(1-CC$12)</f>
        <v>7793.832107361296</v>
      </c>
      <c r="CD151" s="747">
        <f>$G151*$H151*(1+$K151)^MAX(ROUNDUP(IFERROR(DATEDIF($I151-1,CD$15+1,"m"),)/12,)-1,)*Index!BZ$22*(CD$15&lt;=$J151)*(1-CD$12)</f>
        <v>7793.832107361296</v>
      </c>
      <c r="CE151" s="747">
        <f>$G151*$H151*(1+$K151)^MAX(ROUNDUP(IFERROR(DATEDIF($I151-1,CE$15+1,"m"),)/12,)-1,)*Index!CA$22*(CE$15&lt;=$J151)*(1-CE$12)</f>
        <v>7988.6779100453277</v>
      </c>
      <c r="CF151" s="747">
        <f>$G151*$H151*(1+$K151)^MAX(ROUNDUP(IFERROR(DATEDIF($I151-1,CF$15+1,"m"),)/12,)-1,)*Index!CB$22*(CF$15&lt;=$J151)*(1-CF$12)</f>
        <v>7988.6779100453277</v>
      </c>
      <c r="CG151" s="747">
        <f>$G151*$H151*(1+$K151)^MAX(ROUNDUP(IFERROR(DATEDIF($I151-1,CG$15+1,"m"),)/12,)-1,)*Index!CC$22*(CG$15&lt;=$J151)*(1-CG$12)</f>
        <v>7988.6779100453277</v>
      </c>
      <c r="CH151" s="747">
        <f>$G151*$H151*(1+$K151)^MAX(ROUNDUP(IFERROR(DATEDIF($I151-1,CH$15+1,"m"),)/12,)-1,)*Index!CD$22*(CH$15&lt;=$J151)*(1-CH$12)</f>
        <v>7988.6779100453277</v>
      </c>
      <c r="CI151" s="747">
        <f>$G151*$H151*(1+$K151)^MAX(ROUNDUP(IFERROR(DATEDIF($I151-1,CI$15+1,"m"),)/12,)-1,)*Index!CE$22*(CI$15&lt;=$J151)*(1-CI$12)</f>
        <v>7988.6779100453277</v>
      </c>
      <c r="CJ151" s="747">
        <f>$G151*$H151*(1+$K151)^MAX(ROUNDUP(IFERROR(DATEDIF($I151-1,CJ$15+1,"m"),)/12,)-1,)*Index!CF$22*(CJ$15&lt;=$J151)*(1-CJ$12)</f>
        <v>7988.6779100453277</v>
      </c>
      <c r="CK151" s="747">
        <f>$G151*$H151*(1+$K151)^MAX(ROUNDUP(IFERROR(DATEDIF($I151-1,CK$15+1,"m"),)/12,)-1,)*Index!CG$22*(CK$15&lt;=$J151)*(1-CK$12)</f>
        <v>7988.6779100453277</v>
      </c>
      <c r="CL151" s="747">
        <f>$G151*$H151*(1+$K151)^MAX(ROUNDUP(IFERROR(DATEDIF($I151-1,CL$15+1,"m"),)/12,)-1,)*Index!CH$22*(CL$15&lt;=$J151)*(1-CL$12)</f>
        <v>7988.6779100453277</v>
      </c>
      <c r="CM151" s="747">
        <f>$G151*$H151*(1+$K151)^MAX(ROUNDUP(IFERROR(DATEDIF($I151-1,CM$15+1,"m"),)/12,)-1,)*Index!CI$22*(CM$15&lt;=$J151)*(1-CM$12)</f>
        <v>7988.6779100453277</v>
      </c>
      <c r="CN151" s="747">
        <f>$G151*$H151*(1+$K151)^MAX(ROUNDUP(IFERROR(DATEDIF($I151-1,CN$15+1,"m"),)/12,)-1,)*Index!CJ$22*(CN$15&lt;=$J151)*(1-CN$12)</f>
        <v>7988.6779100453277</v>
      </c>
      <c r="CO151" s="747">
        <f>$G151*$H151*(1+$K151)^MAX(ROUNDUP(IFERROR(DATEDIF($I151-1,CO$15+1,"m"),)/12,)-1,)*Index!CK$22*(CO$15&lt;=$J151)*(1-CO$12)</f>
        <v>7988.6779100453277</v>
      </c>
      <c r="CP151" s="747">
        <f>$G151*$H151*(1+$K151)^MAX(ROUNDUP(IFERROR(DATEDIF($I151-1,CP$15+1,"m"),)/12,)-1,)*Index!CL$22*(CP$15&lt;=$J151)*(1-CP$12)</f>
        <v>7988.6779100453277</v>
      </c>
      <c r="CQ151" s="747">
        <f>$G151*$H151*(1+$K151)^MAX(ROUNDUP(IFERROR(DATEDIF($I151-1,CQ$15+1,"m"),)/12,)-1,)*Index!CM$22*(CQ$15&lt;=$J151)*(1-CQ$12)</f>
        <v>8188.3948577964593</v>
      </c>
      <c r="CR151" s="747">
        <f>$G151*$H151*(1+$K151)^MAX(ROUNDUP(IFERROR(DATEDIF($I151-1,CR$15+1,"m"),)/12,)-1,)*Index!CN$22*(CR$15&lt;=$J151)*(1-CR$12)</f>
        <v>8188.3948577964593</v>
      </c>
      <c r="CS151" s="747">
        <f>$G151*$H151*(1+$K151)^MAX(ROUNDUP(IFERROR(DATEDIF($I151-1,CS$15+1,"m"),)/12,)-1,)*Index!CO$22*(CS$15&lt;=$J151)*(1-CS$12)</f>
        <v>8188.3948577964593</v>
      </c>
      <c r="CT151" s="747">
        <f>$G151*$H151*(1+$K151)^MAX(ROUNDUP(IFERROR(DATEDIF($I151-1,CT$15+1,"m"),)/12,)-1,)*Index!CP$22*(CT$15&lt;=$J151)*(1-CT$12)</f>
        <v>8188.3948577964593</v>
      </c>
      <c r="CU151" s="747">
        <f>$G151*$H151*(1+$K151)^MAX(ROUNDUP(IFERROR(DATEDIF($I151-1,CU$15+1,"m"),)/12,)-1,)*Index!CQ$22*(CU$15&lt;=$J151)*(1-CU$12)</f>
        <v>8188.3948577964593</v>
      </c>
      <c r="CV151" s="747">
        <f>$G151*$H151*(1+$K151)^MAX(ROUNDUP(IFERROR(DATEDIF($I151-1,CV$15+1,"m"),)/12,)-1,)*Index!CR$22*(CV$15&lt;=$J151)*(1-CV$12)</f>
        <v>8188.3948577964593</v>
      </c>
      <c r="CW151" s="747">
        <f>$G151*$H151*(1+$K151)^MAX(ROUNDUP(IFERROR(DATEDIF($I151-1,CW$15+1,"m"),)/12,)-1,)*Index!CS$22*(CW$15&lt;=$J151)*(1-CW$12)</f>
        <v>8188.3948577964593</v>
      </c>
      <c r="CX151" s="747">
        <f>$G151*$H151*(1+$K151)^MAX(ROUNDUP(IFERROR(DATEDIF($I151-1,CX$15+1,"m"),)/12,)-1,)*Index!CT$22*(CX$15&lt;=$J151)*(1-CX$12)</f>
        <v>8188.3948577964593</v>
      </c>
      <c r="CY151" s="747">
        <f>$G151*$H151*(1+$K151)^MAX(ROUNDUP(IFERROR(DATEDIF($I151-1,CY$15+1,"m"),)/12,)-1,)*Index!CU$22*(CY$15&lt;=$J151)*(1-CY$12)</f>
        <v>8188.3948577964593</v>
      </c>
      <c r="CZ151" s="747">
        <f>$G151*$H151*(1+$K151)^MAX(ROUNDUP(IFERROR(DATEDIF($I151-1,CZ$15+1,"m"),)/12,)-1,)*Index!CV$22*(CZ$15&lt;=$J151)*(1-CZ$12)</f>
        <v>8188.3948577964593</v>
      </c>
      <c r="DA151" s="747">
        <f>$G151*$H151*(1+$K151)^MAX(ROUNDUP(IFERROR(DATEDIF($I151-1,DA$15+1,"m"),)/12,)-1,)*Index!CW$22*(DA$15&lt;=$J151)*(1-DA$12)</f>
        <v>8188.3948577964593</v>
      </c>
      <c r="DB151" s="747">
        <f>$G151*$H151*(1+$K151)^MAX(ROUNDUP(IFERROR(DATEDIF($I151-1,DB$15+1,"m"),)/12,)-1,)*Index!CX$22*(DB$15&lt;=$J151)*(1-DB$12)</f>
        <v>8188.3948577964593</v>
      </c>
      <c r="DC151" s="747">
        <f>$G151*$H151*(1+$K151)^MAX(ROUNDUP(IFERROR(DATEDIF($I151-1,DC$15+1,"m"),)/12,)-1,)*Index!CY$22*(DC$15&lt;=$J151)*(1-DC$12)</f>
        <v>0</v>
      </c>
      <c r="DD151" s="747">
        <f>$G151*$H151*(1+$K151)^MAX(ROUNDUP(IFERROR(DATEDIF($I151-1,DD$15+1,"m"),)/12,)-1,)*Index!CZ$22*(DD$15&lt;=$J151)*(1-DD$12)</f>
        <v>0</v>
      </c>
      <c r="DE151" s="747">
        <f>$G151*$H151*(1+$K151)^MAX(ROUNDUP(IFERROR(DATEDIF($I151-1,DE$15+1,"m"),)/12,)-1,)*Index!DA$22*(DE$15&lt;=$J151)*(1-DE$12)</f>
        <v>0</v>
      </c>
      <c r="DF151" s="747">
        <f>$G151*$H151*(1+$K151)^MAX(ROUNDUP(IFERROR(DATEDIF($I151-1,DF$15+1,"m"),)/12,)-1,)*Index!DB$22*(DF$15&lt;=$J151)*(1-DF$12)</f>
        <v>0</v>
      </c>
      <c r="DG151" s="747">
        <f>$G151*$H151*(1+$K151)^MAX(ROUNDUP(IFERROR(DATEDIF($I151-1,DG$15+1,"m"),)/12,)-1,)*Index!DC$22*(DG$15&lt;=$J151)*(1-DG$12)</f>
        <v>0</v>
      </c>
      <c r="DH151" s="747">
        <f>$G151*$H151*(1+$K151)^MAX(ROUNDUP(IFERROR(DATEDIF($I151-1,DH$15+1,"m"),)/12,)-1,)*Index!DD$22*(DH$15&lt;=$J151)*(1-DH$12)</f>
        <v>0</v>
      </c>
      <c r="DI151" s="747">
        <f>$G151*$H151*(1+$K151)^MAX(ROUNDUP(IFERROR(DATEDIF($I151-1,DI$15+1,"m"),)/12,)-1,)*Index!DE$22*(DI$15&lt;=$J151)*(1-DI$12)</f>
        <v>0</v>
      </c>
      <c r="DJ151" s="747">
        <f>$G151*$H151*(1+$K151)^MAX(ROUNDUP(IFERROR(DATEDIF($I151-1,DJ$15+1,"m"),)/12,)-1,)*Index!DF$22*(DJ$15&lt;=$J151)*(1-DJ$12)</f>
        <v>0</v>
      </c>
      <c r="DK151" s="747">
        <f>$G151*$H151*(1+$K151)^MAX(ROUNDUP(IFERROR(DATEDIF($I151-1,DK$15+1,"m"),)/12,)-1,)*Index!DG$22*(DK$15&lt;=$J151)*(1-DK$12)</f>
        <v>0</v>
      </c>
      <c r="DL151" s="747">
        <f>$G151*$H151*(1+$K151)^MAX(ROUNDUP(IFERROR(DATEDIF($I151-1,DL$15+1,"m"),)/12,)-1,)*Index!DH$22*(DL$15&lt;=$J151)*(1-DL$12)</f>
        <v>0</v>
      </c>
      <c r="DM151" s="747">
        <f>$G151*$H151*(1+$K151)^MAX(ROUNDUP(IFERROR(DATEDIF($I151-1,DM$15+1,"m"),)/12,)-1,)*Index!DI$22*(DM$15&lt;=$J151)*(1-DM$12)</f>
        <v>0</v>
      </c>
      <c r="DN151" s="747">
        <f>$G151*$H151*(1+$K151)^MAX(ROUNDUP(IFERROR(DATEDIF($I151-1,DN$15+1,"m"),)/12,)-1,)*Index!DJ$22*(DN$15&lt;=$J151)*(1-DN$12)</f>
        <v>0</v>
      </c>
      <c r="DO151" s="747">
        <f>$G151*$H151*(1+$K151)^MAX(ROUNDUP(IFERROR(DATEDIF($I151-1,DO$15+1,"m"),)/12,)-1,)*Index!DK$22*(DO$15&lt;=$J151)*(1-DO$12)</f>
        <v>0</v>
      </c>
      <c r="DP151" s="747">
        <f>$G151*$H151*(1+$K151)^MAX(ROUNDUP(IFERROR(DATEDIF($I151-1,DP$15+1,"m"),)/12,)-1,)*Index!DL$22*(DP$15&lt;=$J151)*(1-DP$12)</f>
        <v>0</v>
      </c>
      <c r="DQ151" s="747">
        <f>$G151*$H151*(1+$K151)^MAX(ROUNDUP(IFERROR(DATEDIF($I151-1,DQ$15+1,"m"),)/12,)-1,)*Index!DM$22*(DQ$15&lt;=$J151)*(1-DQ$12)</f>
        <v>0</v>
      </c>
      <c r="DR151" s="747">
        <f>$G151*$H151*(1+$K151)^MAX(ROUNDUP(IFERROR(DATEDIF($I151-1,DR$15+1,"m"),)/12,)-1,)*Index!DN$22*(DR$15&lt;=$J151)*(1-DR$12)</f>
        <v>0</v>
      </c>
      <c r="DS151" s="747">
        <f>$G151*$H151*(1+$K151)^MAX(ROUNDUP(IFERROR(DATEDIF($I151-1,DS$15+1,"m"),)/12,)-1,)*Index!DO$22*(DS$15&lt;=$J151)*(1-DS$12)</f>
        <v>0</v>
      </c>
      <c r="DT151" s="747">
        <f>$G151*$H151*(1+$K151)^MAX(ROUNDUP(IFERROR(DATEDIF($I151-1,DT$15+1,"m"),)/12,)-1,)*Index!DP$22*(DT$15&lt;=$J151)*(1-DT$12)</f>
        <v>0</v>
      </c>
      <c r="DU151" s="747">
        <f>$G151*$H151*(1+$K151)^MAX(ROUNDUP(IFERROR(DATEDIF($I151-1,DU$15+1,"m"),)/12,)-1,)*Index!DQ$22*(DU$15&lt;=$J151)*(1-DU$12)</f>
        <v>0</v>
      </c>
      <c r="DV151" s="747">
        <f>$G151*$H151*(1+$K151)^MAX(ROUNDUP(IFERROR(DATEDIF($I151-1,DV$15+1,"m"),)/12,)-1,)*Index!DR$22*(DV$15&lt;=$J151)*(1-DV$12)</f>
        <v>0</v>
      </c>
      <c r="DW151" s="747">
        <f>$G151*$H151*(1+$K151)^MAX(ROUNDUP(IFERROR(DATEDIF($I151-1,DW$15+1,"m"),)/12,)-1,)*Index!DS$22*(DW$15&lt;=$J151)*(1-DW$12)</f>
        <v>0</v>
      </c>
      <c r="DX151" s="747">
        <f>$G151*$H151*(1+$K151)^MAX(ROUNDUP(IFERROR(DATEDIF($I151-1,DX$15+1,"m"),)/12,)-1,)*Index!DT$22*(DX$15&lt;=$J151)*(1-DX$12)</f>
        <v>0</v>
      </c>
      <c r="DY151" s="747">
        <f>$G151*$H151*(1+$K151)^MAX(ROUNDUP(IFERROR(DATEDIF($I151-1,DY$15+1,"m"),)/12,)-1,)*Index!DU$22*(DY$15&lt;=$J151)*(1-DY$12)</f>
        <v>0</v>
      </c>
      <c r="DZ151" s="747">
        <f>$G151*$H151*(1+$K151)^MAX(ROUNDUP(IFERROR(DATEDIF($I151-1,DZ$15+1,"m"),)/12,)-1,)*Index!DV$22*(DZ$15&lt;=$J151)*(1-DZ$12)</f>
        <v>0</v>
      </c>
      <c r="EA151" s="747">
        <f>$G151*$H151*(1+$K151)^MAX(ROUNDUP(IFERROR(DATEDIF($I151-1,EA$15+1,"m"),)/12,)-1,)*Index!DW$22*(EA$15&lt;=$J151)*(1-EA$12)</f>
        <v>0</v>
      </c>
      <c r="EB151" s="747">
        <f>$G151*$H151*(1+$K151)^MAX(ROUNDUP(IFERROR(DATEDIF($I151-1,EB$15+1,"m"),)/12,)-1,)*Index!DX$22*(EB$15&lt;=$J151)*(1-EB$12)</f>
        <v>0</v>
      </c>
      <c r="EC151" s="747">
        <f>$G151*$H151*(1+$K151)^MAX(ROUNDUP(IFERROR(DATEDIF($I151-1,EC$15+1,"m"),)/12,)-1,)*Index!DY$22*(EC$15&lt;=$J151)*(1-EC$12)</f>
        <v>0</v>
      </c>
      <c r="ED151" s="747">
        <f>$G151*$H151*(1+$K151)^MAX(ROUNDUP(IFERROR(DATEDIF($I151-1,ED$15+1,"m"),)/12,)-1,)*Index!DZ$22*(ED$15&lt;=$J151)*(1-ED$12)</f>
        <v>0</v>
      </c>
      <c r="EE151" s="747">
        <f>$G151*$H151*(1+$K151)^MAX(ROUNDUP(IFERROR(DATEDIF($I151-1,EE$15+1,"m"),)/12,)-1,)*Index!EA$22*(EE$15&lt;=$J151)*(1-EE$12)</f>
        <v>0</v>
      </c>
      <c r="EF151" s="747">
        <f>$G151*$H151*(1+$K151)^MAX(ROUNDUP(IFERROR(DATEDIF($I151-1,EF$15+1,"m"),)/12,)-1,)*Index!EB$22*(EF$15&lt;=$J151)*(1-EF$12)</f>
        <v>0</v>
      </c>
      <c r="EG151" s="747">
        <f>$G151*$H151*(1+$K151)^MAX(ROUNDUP(IFERROR(DATEDIF($I151-1,EG$15+1,"m"),)/12,)-1,)*Index!EC$22*(EG$15&lt;=$J151)*(1-EG$12)</f>
        <v>0</v>
      </c>
      <c r="EH151" s="747">
        <f>$G151*$H151*(1+$K151)^MAX(ROUNDUP(IFERROR(DATEDIF($I151-1,EH$15+1,"m"),)/12,)-1,)*Index!ED$22*(EH$15&lt;=$J151)*(1-EH$12)</f>
        <v>0</v>
      </c>
      <c r="EI151" s="747">
        <f>$G151*$H151*(1+$K151)^MAX(ROUNDUP(IFERROR(DATEDIF($I151-1,EI$15+1,"m"),)/12,)-1,)*Index!EE$22*(EI$15&lt;=$J151)*(1-EI$12)</f>
        <v>0</v>
      </c>
      <c r="EJ151" s="747">
        <f>$G151*$H151*(1+$K151)^MAX(ROUNDUP(IFERROR(DATEDIF($I151-1,EJ$15+1,"m"),)/12,)-1,)*Index!EF$22*(EJ$15&lt;=$J151)*(1-EJ$12)</f>
        <v>0</v>
      </c>
      <c r="EK151" s="747">
        <f>$G151*$H151*(1+$K151)^MAX(ROUNDUP(IFERROR(DATEDIF($I151-1,EK$15+1,"m"),)/12,)-1,)*Index!EG$22*(EK$15&lt;=$J151)*(1-EK$12)</f>
        <v>0</v>
      </c>
      <c r="EL151" s="747">
        <f>$G151*$H151*(1+$K151)^MAX(ROUNDUP(IFERROR(DATEDIF($I151-1,EL$15+1,"m"),)/12,)-1,)*Index!EH$22*(EL$15&lt;=$J151)*(1-EL$12)</f>
        <v>0</v>
      </c>
      <c r="EM151" s="747">
        <f>$G151*$H151*(1+$K151)^MAX(ROUNDUP(IFERROR(DATEDIF($I151-1,EM$15+1,"m"),)/12,)-1,)*Index!EI$22*(EM$15&lt;=$J151)*(1-EM$12)</f>
        <v>0</v>
      </c>
      <c r="EN151" s="747">
        <f>$G151*$H151*(1+$K151)^MAX(ROUNDUP(IFERROR(DATEDIF($I151-1,EN$15+1,"m"),)/12,)-1,)*Index!EJ$22*(EN$15&lt;=$J151)*(1-EN$12)</f>
        <v>0</v>
      </c>
      <c r="EO151" s="747">
        <f>$G151*$H151*(1+$K151)^MAX(ROUNDUP(IFERROR(DATEDIF($I151-1,EO$15+1,"m"),)/12,)-1,)*Index!EK$22*(EO$15&lt;=$J151)*(1-EO$12)</f>
        <v>0</v>
      </c>
      <c r="EP151" s="747">
        <f>$G151*$H151*(1+$K151)^MAX(ROUNDUP(IFERROR(DATEDIF($I151-1,EP$15+1,"m"),)/12,)-1,)*Index!EL$22*(EP$15&lt;=$J151)*(1-EP$12)</f>
        <v>0</v>
      </c>
      <c r="EQ151" s="747">
        <f>$G151*$H151*(1+$K151)^MAX(ROUNDUP(IFERROR(DATEDIF($I151-1,EQ$15+1,"m"),)/12,)-1,)*Index!EM$22*(EQ$15&lt;=$J151)*(1-EQ$12)</f>
        <v>0</v>
      </c>
      <c r="ER151" s="747">
        <f>$G151*$H151*(1+$K151)^MAX(ROUNDUP(IFERROR(DATEDIF($I151-1,ER$15+1,"m"),)/12,)-1,)*Index!EN$22*(ER$15&lt;=$J151)*(1-ER$12)</f>
        <v>0</v>
      </c>
      <c r="ES151" s="747">
        <f>$G151*$H151*(1+$K151)^MAX(ROUNDUP(IFERROR(DATEDIF($I151-1,ES$15+1,"m"),)/12,)-1,)*Index!EO$22*(ES$15&lt;=$J151)*(1-ES$12)</f>
        <v>0</v>
      </c>
      <c r="ET151" s="747">
        <f>$G151*$H151*(1+$K151)^MAX(ROUNDUP(IFERROR(DATEDIF($I151-1,ET$15+1,"m"),)/12,)-1,)*Index!EP$22*(ET$15&lt;=$J151)*(1-ET$12)</f>
        <v>0</v>
      </c>
      <c r="EU151" s="747">
        <f>$G151*$H151*(1+$K151)^MAX(ROUNDUP(IFERROR(DATEDIF($I151-1,EU$15+1,"m"),)/12,)-1,)*Index!EQ$22*(EU$15&lt;=$J151)*(1-EU$12)</f>
        <v>0</v>
      </c>
    </row>
    <row r="152" spans="3:151" ht="11.25" customHeight="1">
      <c r="C152" s="735"/>
      <c r="D152" s="743">
        <f t="shared" si="237"/>
        <v>3</v>
      </c>
      <c r="E152" s="704" t="str">
        <f t="shared" si="237"/>
        <v>농심</v>
      </c>
      <c r="F152" s="704" t="str">
        <f t="shared" si="237"/>
        <v>상온창고</v>
      </c>
      <c r="G152" s="781">
        <f>'A&amp;R'!AD15/1000</f>
        <v>3</v>
      </c>
      <c r="H152" s="744">
        <f>'A&amp;R'!Y15</f>
        <v>2185.56</v>
      </c>
      <c r="I152" s="745">
        <f t="shared" si="238"/>
        <v>45503</v>
      </c>
      <c r="J152" s="745">
        <f t="shared" si="238"/>
        <v>47328</v>
      </c>
      <c r="K152" s="754">
        <f t="shared" si="238"/>
        <v>0</v>
      </c>
      <c r="L152" s="746"/>
      <c r="M152" s="722"/>
      <c r="N152" s="747">
        <f t="shared" si="239"/>
        <v>209813.75999999986</v>
      </c>
      <c r="O152" s="733"/>
      <c r="P152" s="747">
        <f>$G152*$H152*(1+$K152)^MAX(ROUNDUP(IFERROR(DATEDIF($I152-1,P$15+1,"m"),)/12,)-1,)*Index!L$22*(P$15&lt;=$J152)*(1-P$12)</f>
        <v>0</v>
      </c>
      <c r="Q152" s="747">
        <f>$G152*$H152*(1+$K152)^MAX(ROUNDUP(IFERROR(DATEDIF($I152-1,Q$15+1,"m"),)/12,)-1,)*Index!M$22*(Q$15&lt;=$J152)*(1-Q$12)</f>
        <v>6556.68</v>
      </c>
      <c r="R152" s="747">
        <f>$G152*$H152*(1+$K152)^MAX(ROUNDUP(IFERROR(DATEDIF($I152-1,R$15+1,"m"),)/12,)-1,)*Index!N$22*(R$15&lt;=$J152)*(1-R$12)</f>
        <v>6556.68</v>
      </c>
      <c r="S152" s="747">
        <f>$G152*$H152*(1+$K152)^MAX(ROUNDUP(IFERROR(DATEDIF($I152-1,S$15+1,"m"),)/12,)-1,)*Index!O$22*(S$15&lt;=$J152)*(1-S$12)</f>
        <v>6556.68</v>
      </c>
      <c r="T152" s="747">
        <f>$G152*$H152*(1+$K152)^MAX(ROUNDUP(IFERROR(DATEDIF($I152-1,T$15+1,"m"),)/12,)-1,)*Index!P$22*(T$15&lt;=$J152)*(1-T$12)</f>
        <v>6556.68</v>
      </c>
      <c r="U152" s="747">
        <f>$G152*$H152*(1+$K152)^MAX(ROUNDUP(IFERROR(DATEDIF($I152-1,U$15+1,"m"),)/12,)-1,)*Index!Q$22*(U$15&lt;=$J152)*(1-U$12)</f>
        <v>6556.68</v>
      </c>
      <c r="V152" s="747">
        <f>$G152*$H152*(1+$K152)^MAX(ROUNDUP(IFERROR(DATEDIF($I152-1,V$15+1,"m"),)/12,)-1,)*Index!R$22*(V$15&lt;=$J152)*(1-V$12)</f>
        <v>6556.68</v>
      </c>
      <c r="W152" s="747">
        <f>$G152*$H152*(1+$K152)^MAX(ROUNDUP(IFERROR(DATEDIF($I152-1,W$15+1,"m"),)/12,)-1,)*Index!S$22*(W$15&lt;=$J152)*(1-W$12)</f>
        <v>6556.68</v>
      </c>
      <c r="X152" s="747">
        <f>$G152*$H152*(1+$K152)^MAX(ROUNDUP(IFERROR(DATEDIF($I152-1,X$15+1,"m"),)/12,)-1,)*Index!T$22*(X$15&lt;=$J152)*(1-X$12)</f>
        <v>6556.68</v>
      </c>
      <c r="Y152" s="747">
        <f>$G152*$H152*(1+$K152)^MAX(ROUNDUP(IFERROR(DATEDIF($I152-1,Y$15+1,"m"),)/12,)-1,)*Index!U$22*(Y$15&lt;=$J152)*(1-Y$12)</f>
        <v>6556.68</v>
      </c>
      <c r="Z152" s="747">
        <f>$G152*$H152*(1+$K152)^MAX(ROUNDUP(IFERROR(DATEDIF($I152-1,Z$15+1,"m"),)/12,)-1,)*Index!V$22*(Z$15&lt;=$J152)*(1-Z$12)</f>
        <v>6556.68</v>
      </c>
      <c r="AA152" s="747">
        <f>$G152*$H152*(1+$K152)^MAX(ROUNDUP(IFERROR(DATEDIF($I152-1,AA$15+1,"m"),)/12,)-1,)*Index!W$22*(AA$15&lt;=$J152)*(1-AA$12)</f>
        <v>6556.68</v>
      </c>
      <c r="AB152" s="747">
        <f>$G152*$H152*(1+$K152)^MAX(ROUNDUP(IFERROR(DATEDIF($I152-1,AB$15+1,"m"),)/12,)-1,)*Index!X$22*(AB$15&lt;=$J152)*(1-AB$12)</f>
        <v>6556.68</v>
      </c>
      <c r="AC152" s="747">
        <f>$G152*$H152*(1+$K152)^MAX(ROUNDUP(IFERROR(DATEDIF($I152-1,AC$15+1,"m"),)/12,)-1,)*Index!Y$22*(AC$15&lt;=$J152)*(1-AC$12)</f>
        <v>6556.68</v>
      </c>
      <c r="AD152" s="747">
        <f>$G152*$H152*(1+$K152)^MAX(ROUNDUP(IFERROR(DATEDIF($I152-1,AD$15+1,"m"),)/12,)-1,)*Index!Z$22*(AD$15&lt;=$J152)*(1-AD$12)</f>
        <v>6556.68</v>
      </c>
      <c r="AE152" s="747">
        <f>$G152*$H152*(1+$K152)^MAX(ROUNDUP(IFERROR(DATEDIF($I152-1,AE$15+1,"m"),)/12,)-1,)*Index!AA$22*(AE$15&lt;=$J152)*(1-AE$12)</f>
        <v>6556.68</v>
      </c>
      <c r="AF152" s="747">
        <f>$G152*$H152*(1+$K152)^MAX(ROUNDUP(IFERROR(DATEDIF($I152-1,AF$15+1,"m"),)/12,)-1,)*Index!AB$22*(AF$15&lt;=$J152)*(1-AF$12)</f>
        <v>6556.68</v>
      </c>
      <c r="AG152" s="747">
        <f>$G152*$H152*(1+$K152)^MAX(ROUNDUP(IFERROR(DATEDIF($I152-1,AG$15+1,"m"),)/12,)-1,)*Index!AC$22*(AG$15&lt;=$J152)*(1-AG$12)</f>
        <v>6556.68</v>
      </c>
      <c r="AH152" s="747">
        <f>$G152*$H152*(1+$K152)^MAX(ROUNDUP(IFERROR(DATEDIF($I152-1,AH$15+1,"m"),)/12,)-1,)*Index!AD$22*(AH$15&lt;=$J152)*(1-AH$12)</f>
        <v>6556.68</v>
      </c>
      <c r="AI152" s="747">
        <f>$G152*$H152*(1+$K152)^MAX(ROUNDUP(IFERROR(DATEDIF($I152-1,AI$15+1,"m"),)/12,)-1,)*Index!AE$22*(AI$15&lt;=$J152)*(1-AI$12)</f>
        <v>6556.68</v>
      </c>
      <c r="AJ152" s="747">
        <f>$G152*$H152*(1+$K152)^MAX(ROUNDUP(IFERROR(DATEDIF($I152-1,AJ$15+1,"m"),)/12,)-1,)*Index!AF$22*(AJ$15&lt;=$J152)*(1-AJ$12)</f>
        <v>6556.68</v>
      </c>
      <c r="AK152" s="747">
        <f>$G152*$H152*(1+$K152)^MAX(ROUNDUP(IFERROR(DATEDIF($I152-1,AK$15+1,"m"),)/12,)-1,)*Index!AG$22*(AK$15&lt;=$J152)*(1-AK$12)</f>
        <v>6556.68</v>
      </c>
      <c r="AL152" s="747">
        <f>$G152*$H152*(1+$K152)^MAX(ROUNDUP(IFERROR(DATEDIF($I152-1,AL$15+1,"m"),)/12,)-1,)*Index!AH$22*(AL$15&lt;=$J152)*(1-AL$12)</f>
        <v>6556.68</v>
      </c>
      <c r="AM152" s="747">
        <f>$G152*$H152*(1+$K152)^MAX(ROUNDUP(IFERROR(DATEDIF($I152-1,AM$15+1,"m"),)/12,)-1,)*Index!AI$22*(AM$15&lt;=$J152)*(1-AM$12)</f>
        <v>6556.68</v>
      </c>
      <c r="AN152" s="747">
        <f>$G152*$H152*(1+$K152)^MAX(ROUNDUP(IFERROR(DATEDIF($I152-1,AN$15+1,"m"),)/12,)-1,)*Index!AJ$22*(AN$15&lt;=$J152)*(1-AN$12)</f>
        <v>6556.68</v>
      </c>
      <c r="AO152" s="747">
        <f>$G152*$H152*(1+$K152)^MAX(ROUNDUP(IFERROR(DATEDIF($I152-1,AO$15+1,"m"),)/12,)-1,)*Index!AK$22*(AO$15&lt;=$J152)*(1-AO$12)</f>
        <v>6556.68</v>
      </c>
      <c r="AP152" s="747">
        <f>$G152*$H152*(1+$K152)^MAX(ROUNDUP(IFERROR(DATEDIF($I152-1,AP$15+1,"m"),)/12,)-1,)*Index!AL$22*(AP$15&lt;=$J152)*(1-AP$12)</f>
        <v>6556.68</v>
      </c>
      <c r="AQ152" s="747">
        <f>$G152*$H152*(1+$K152)^MAX(ROUNDUP(IFERROR(DATEDIF($I152-1,AQ$15+1,"m"),)/12,)-1,)*Index!AM$22*(AQ$15&lt;=$J152)*(1-AQ$12)</f>
        <v>6556.68</v>
      </c>
      <c r="AR152" s="747">
        <f>$G152*$H152*(1+$K152)^MAX(ROUNDUP(IFERROR(DATEDIF($I152-1,AR$15+1,"m"),)/12,)-1,)*Index!AN$22*(AR$15&lt;=$J152)*(1-AR$12)</f>
        <v>6556.68</v>
      </c>
      <c r="AS152" s="747">
        <f>$G152*$H152*(1+$K152)^MAX(ROUNDUP(IFERROR(DATEDIF($I152-1,AS$15+1,"m"),)/12,)-1,)*Index!AO$22*(AS$15&lt;=$J152)*(1-AS$12)</f>
        <v>6556.68</v>
      </c>
      <c r="AT152" s="747">
        <f>$G152*$H152*(1+$K152)^MAX(ROUNDUP(IFERROR(DATEDIF($I152-1,AT$15+1,"m"),)/12,)-1,)*Index!AP$22*(AT$15&lt;=$J152)*(1-AT$12)</f>
        <v>6556.68</v>
      </c>
      <c r="AU152" s="747">
        <f>$G152*$H152*(1+$K152)^MAX(ROUNDUP(IFERROR(DATEDIF($I152-1,AU$15+1,"m"),)/12,)-1,)*Index!AQ$22*(AU$15&lt;=$J152)*(1-AU$12)</f>
        <v>6556.68</v>
      </c>
      <c r="AV152" s="747">
        <f>$G152*$H152*(1+$K152)^MAX(ROUNDUP(IFERROR(DATEDIF($I152-1,AV$15+1,"m"),)/12,)-1,)*Index!AR$22*(AV$15&lt;=$J152)*(1-AV$12)</f>
        <v>6556.68</v>
      </c>
      <c r="AW152" s="747">
        <f>$G152*$H152*(1+$K152)^MAX(ROUNDUP(IFERROR(DATEDIF($I152-1,AW$15+1,"m"),)/12,)-1,)*Index!AS$22*(AW$15&lt;=$J152)*(1-AW$12)</f>
        <v>0</v>
      </c>
      <c r="AX152" s="747">
        <f>$G152*$H152*(1+$K152)^MAX(ROUNDUP(IFERROR(DATEDIF($I152-1,AX$15+1,"m"),)/12,)-1,)*Index!AT$22*(AX$15&lt;=$J152)*(1-AX$12)</f>
        <v>0</v>
      </c>
      <c r="AY152" s="747">
        <f>$G152*$H152*(1+$K152)^MAX(ROUNDUP(IFERROR(DATEDIF($I152-1,AY$15+1,"m"),)/12,)-1,)*Index!AU$22*(AY$15&lt;=$J152)*(1-AY$12)</f>
        <v>0</v>
      </c>
      <c r="AZ152" s="747">
        <f>$G152*$H152*(1+$K152)^MAX(ROUNDUP(IFERROR(DATEDIF($I152-1,AZ$15+1,"m"),)/12,)-1,)*Index!AV$22*(AZ$15&lt;=$J152)*(1-AZ$12)</f>
        <v>0</v>
      </c>
      <c r="BA152" s="747">
        <f>$G152*$H152*(1+$K152)^MAX(ROUNDUP(IFERROR(DATEDIF($I152-1,BA$15+1,"m"),)/12,)-1,)*Index!AW$22*(BA$15&lt;=$J152)*(1-BA$12)</f>
        <v>0</v>
      </c>
      <c r="BB152" s="747">
        <f>$G152*$H152*(1+$K152)^MAX(ROUNDUP(IFERROR(DATEDIF($I152-1,BB$15+1,"m"),)/12,)-1,)*Index!AX$22*(BB$15&lt;=$J152)*(1-BB$12)</f>
        <v>0</v>
      </c>
      <c r="BC152" s="747">
        <f>$G152*$H152*(1+$K152)^MAX(ROUNDUP(IFERROR(DATEDIF($I152-1,BC$15+1,"m"),)/12,)-1,)*Index!AY$22*(BC$15&lt;=$J152)*(1-BC$12)</f>
        <v>0</v>
      </c>
      <c r="BD152" s="747">
        <f>$G152*$H152*(1+$K152)^MAX(ROUNDUP(IFERROR(DATEDIF($I152-1,BD$15+1,"m"),)/12,)-1,)*Index!AZ$22*(BD$15&lt;=$J152)*(1-BD$12)</f>
        <v>0</v>
      </c>
      <c r="BE152" s="747">
        <f>$G152*$H152*(1+$K152)^MAX(ROUNDUP(IFERROR(DATEDIF($I152-1,BE$15+1,"m"),)/12,)-1,)*Index!BA$22*(BE$15&lt;=$J152)*(1-BE$12)</f>
        <v>0</v>
      </c>
      <c r="BF152" s="747">
        <f>$G152*$H152*(1+$K152)^MAX(ROUNDUP(IFERROR(DATEDIF($I152-1,BF$15+1,"m"),)/12,)-1,)*Index!BB$22*(BF$15&lt;=$J152)*(1-BF$12)</f>
        <v>0</v>
      </c>
      <c r="BG152" s="747">
        <f>$G152*$H152*(1+$K152)^MAX(ROUNDUP(IFERROR(DATEDIF($I152-1,BG$15+1,"m"),)/12,)-1,)*Index!BC$22*(BG$15&lt;=$J152)*(1-BG$12)</f>
        <v>0</v>
      </c>
      <c r="BH152" s="747">
        <f>$G152*$H152*(1+$K152)^MAX(ROUNDUP(IFERROR(DATEDIF($I152-1,BH$15+1,"m"),)/12,)-1,)*Index!BD$22*(BH$15&lt;=$J152)*(1-BH$12)</f>
        <v>0</v>
      </c>
      <c r="BI152" s="747">
        <f>$G152*$H152*(1+$K152)^MAX(ROUNDUP(IFERROR(DATEDIF($I152-1,BI$15+1,"m"),)/12,)-1,)*Index!BE$22*(BI$15&lt;=$J152)*(1-BI$12)</f>
        <v>0</v>
      </c>
      <c r="BJ152" s="747">
        <f>$G152*$H152*(1+$K152)^MAX(ROUNDUP(IFERROR(DATEDIF($I152-1,BJ$15+1,"m"),)/12,)-1,)*Index!BF$22*(BJ$15&lt;=$J152)*(1-BJ$12)</f>
        <v>0</v>
      </c>
      <c r="BK152" s="747">
        <f>$G152*$H152*(1+$K152)^MAX(ROUNDUP(IFERROR(DATEDIF($I152-1,BK$15+1,"m"),)/12,)-1,)*Index!BG$22*(BK$15&lt;=$J152)*(1-BK$12)</f>
        <v>0</v>
      </c>
      <c r="BL152" s="747">
        <f>$G152*$H152*(1+$K152)^MAX(ROUNDUP(IFERROR(DATEDIF($I152-1,BL$15+1,"m"),)/12,)-1,)*Index!BH$22*(BL$15&lt;=$J152)*(1-BL$12)</f>
        <v>0</v>
      </c>
      <c r="BM152" s="747">
        <f>$G152*$H152*(1+$K152)^MAX(ROUNDUP(IFERROR(DATEDIF($I152-1,BM$15+1,"m"),)/12,)-1,)*Index!BI$22*(BM$15&lt;=$J152)*(1-BM$12)</f>
        <v>0</v>
      </c>
      <c r="BN152" s="747">
        <f>$G152*$H152*(1+$K152)^MAX(ROUNDUP(IFERROR(DATEDIF($I152-1,BN$15+1,"m"),)/12,)-1,)*Index!BJ$22*(BN$15&lt;=$J152)*(1-BN$12)</f>
        <v>0</v>
      </c>
      <c r="BO152" s="747">
        <f>$G152*$H152*(1+$K152)^MAX(ROUNDUP(IFERROR(DATEDIF($I152-1,BO$15+1,"m"),)/12,)-1,)*Index!BK$22*(BO$15&lt;=$J152)*(1-BO$12)</f>
        <v>0</v>
      </c>
      <c r="BP152" s="747">
        <f>$G152*$H152*(1+$K152)^MAX(ROUNDUP(IFERROR(DATEDIF($I152-1,BP$15+1,"m"),)/12,)-1,)*Index!BL$22*(BP$15&lt;=$J152)*(1-BP$12)</f>
        <v>0</v>
      </c>
      <c r="BQ152" s="747">
        <f>$G152*$H152*(1+$K152)^MAX(ROUNDUP(IFERROR(DATEDIF($I152-1,BQ$15+1,"m"),)/12,)-1,)*Index!BM$22*(BQ$15&lt;=$J152)*(1-BQ$12)</f>
        <v>0</v>
      </c>
      <c r="BR152" s="747">
        <f>$G152*$H152*(1+$K152)^MAX(ROUNDUP(IFERROR(DATEDIF($I152-1,BR$15+1,"m"),)/12,)-1,)*Index!BN$22*(BR$15&lt;=$J152)*(1-BR$12)</f>
        <v>0</v>
      </c>
      <c r="BS152" s="747">
        <f>$G152*$H152*(1+$K152)^MAX(ROUNDUP(IFERROR(DATEDIF($I152-1,BS$15+1,"m"),)/12,)-1,)*Index!BO$22*(BS$15&lt;=$J152)*(1-BS$12)</f>
        <v>0</v>
      </c>
      <c r="BT152" s="747">
        <f>$G152*$H152*(1+$K152)^MAX(ROUNDUP(IFERROR(DATEDIF($I152-1,BT$15+1,"m"),)/12,)-1,)*Index!BP$22*(BT$15&lt;=$J152)*(1-BT$12)</f>
        <v>0</v>
      </c>
      <c r="BU152" s="747">
        <f>$G152*$H152*(1+$K152)^MAX(ROUNDUP(IFERROR(DATEDIF($I152-1,BU$15+1,"m"),)/12,)-1,)*Index!BQ$22*(BU$15&lt;=$J152)*(1-BU$12)</f>
        <v>0</v>
      </c>
      <c r="BV152" s="747">
        <f>$G152*$H152*(1+$K152)^MAX(ROUNDUP(IFERROR(DATEDIF($I152-1,BV$15+1,"m"),)/12,)-1,)*Index!BR$22*(BV$15&lt;=$J152)*(1-BV$12)</f>
        <v>0</v>
      </c>
      <c r="BW152" s="747">
        <f>$G152*$H152*(1+$K152)^MAX(ROUNDUP(IFERROR(DATEDIF($I152-1,BW$15+1,"m"),)/12,)-1,)*Index!BS$22*(BW$15&lt;=$J152)*(1-BW$12)</f>
        <v>0</v>
      </c>
      <c r="BX152" s="747">
        <f>$G152*$H152*(1+$K152)^MAX(ROUNDUP(IFERROR(DATEDIF($I152-1,BX$15+1,"m"),)/12,)-1,)*Index!BT$22*(BX$15&lt;=$J152)*(1-BX$12)</f>
        <v>0</v>
      </c>
      <c r="BY152" s="747">
        <f>$G152*$H152*(1+$K152)^MAX(ROUNDUP(IFERROR(DATEDIF($I152-1,BY$15+1,"m"),)/12,)-1,)*Index!BU$22*(BY$15&lt;=$J152)*(1-BY$12)</f>
        <v>0</v>
      </c>
      <c r="BZ152" s="747">
        <f>$G152*$H152*(1+$K152)^MAX(ROUNDUP(IFERROR(DATEDIF($I152-1,BZ$15+1,"m"),)/12,)-1,)*Index!BV$22*(BZ$15&lt;=$J152)*(1-BZ$12)</f>
        <v>0</v>
      </c>
      <c r="CA152" s="747">
        <f>$G152*$H152*(1+$K152)^MAX(ROUNDUP(IFERROR(DATEDIF($I152-1,CA$15+1,"m"),)/12,)-1,)*Index!BW$22*(CA$15&lt;=$J152)*(1-CA$12)</f>
        <v>0</v>
      </c>
      <c r="CB152" s="747">
        <f>$G152*$H152*(1+$K152)^MAX(ROUNDUP(IFERROR(DATEDIF($I152-1,CB$15+1,"m"),)/12,)-1,)*Index!BX$22*(CB$15&lt;=$J152)*(1-CB$12)</f>
        <v>0</v>
      </c>
      <c r="CC152" s="747">
        <f>$G152*$H152*(1+$K152)^MAX(ROUNDUP(IFERROR(DATEDIF($I152-1,CC$15+1,"m"),)/12,)-1,)*Index!BY$22*(CC$15&lt;=$J152)*(1-CC$12)</f>
        <v>0</v>
      </c>
      <c r="CD152" s="747">
        <f>$G152*$H152*(1+$K152)^MAX(ROUNDUP(IFERROR(DATEDIF($I152-1,CD$15+1,"m"),)/12,)-1,)*Index!BZ$22*(CD$15&lt;=$J152)*(1-CD$12)</f>
        <v>0</v>
      </c>
      <c r="CE152" s="747">
        <f>$G152*$H152*(1+$K152)^MAX(ROUNDUP(IFERROR(DATEDIF($I152-1,CE$15+1,"m"),)/12,)-1,)*Index!CA$22*(CE$15&lt;=$J152)*(1-CE$12)</f>
        <v>0</v>
      </c>
      <c r="CF152" s="747">
        <f>$G152*$H152*(1+$K152)^MAX(ROUNDUP(IFERROR(DATEDIF($I152-1,CF$15+1,"m"),)/12,)-1,)*Index!CB$22*(CF$15&lt;=$J152)*(1-CF$12)</f>
        <v>0</v>
      </c>
      <c r="CG152" s="747">
        <f>$G152*$H152*(1+$K152)^MAX(ROUNDUP(IFERROR(DATEDIF($I152-1,CG$15+1,"m"),)/12,)-1,)*Index!CC$22*(CG$15&lt;=$J152)*(1-CG$12)</f>
        <v>0</v>
      </c>
      <c r="CH152" s="747">
        <f>$G152*$H152*(1+$K152)^MAX(ROUNDUP(IFERROR(DATEDIF($I152-1,CH$15+1,"m"),)/12,)-1,)*Index!CD$22*(CH$15&lt;=$J152)*(1-CH$12)</f>
        <v>0</v>
      </c>
      <c r="CI152" s="747">
        <f>$G152*$H152*(1+$K152)^MAX(ROUNDUP(IFERROR(DATEDIF($I152-1,CI$15+1,"m"),)/12,)-1,)*Index!CE$22*(CI$15&lt;=$J152)*(1-CI$12)</f>
        <v>0</v>
      </c>
      <c r="CJ152" s="747">
        <f>$G152*$H152*(1+$K152)^MAX(ROUNDUP(IFERROR(DATEDIF($I152-1,CJ$15+1,"m"),)/12,)-1,)*Index!CF$22*(CJ$15&lt;=$J152)*(1-CJ$12)</f>
        <v>0</v>
      </c>
      <c r="CK152" s="747">
        <f>$G152*$H152*(1+$K152)^MAX(ROUNDUP(IFERROR(DATEDIF($I152-1,CK$15+1,"m"),)/12,)-1,)*Index!CG$22*(CK$15&lt;=$J152)*(1-CK$12)</f>
        <v>0</v>
      </c>
      <c r="CL152" s="747">
        <f>$G152*$H152*(1+$K152)^MAX(ROUNDUP(IFERROR(DATEDIF($I152-1,CL$15+1,"m"),)/12,)-1,)*Index!CH$22*(CL$15&lt;=$J152)*(1-CL$12)</f>
        <v>0</v>
      </c>
      <c r="CM152" s="747">
        <f>$G152*$H152*(1+$K152)^MAX(ROUNDUP(IFERROR(DATEDIF($I152-1,CM$15+1,"m"),)/12,)-1,)*Index!CI$22*(CM$15&lt;=$J152)*(1-CM$12)</f>
        <v>0</v>
      </c>
      <c r="CN152" s="747">
        <f>$G152*$H152*(1+$K152)^MAX(ROUNDUP(IFERROR(DATEDIF($I152-1,CN$15+1,"m"),)/12,)-1,)*Index!CJ$22*(CN$15&lt;=$J152)*(1-CN$12)</f>
        <v>0</v>
      </c>
      <c r="CO152" s="747">
        <f>$G152*$H152*(1+$K152)^MAX(ROUNDUP(IFERROR(DATEDIF($I152-1,CO$15+1,"m"),)/12,)-1,)*Index!CK$22*(CO$15&lt;=$J152)*(1-CO$12)</f>
        <v>0</v>
      </c>
      <c r="CP152" s="747">
        <f>$G152*$H152*(1+$K152)^MAX(ROUNDUP(IFERROR(DATEDIF($I152-1,CP$15+1,"m"),)/12,)-1,)*Index!CL$22*(CP$15&lt;=$J152)*(1-CP$12)</f>
        <v>0</v>
      </c>
      <c r="CQ152" s="747">
        <f>$G152*$H152*(1+$K152)^MAX(ROUNDUP(IFERROR(DATEDIF($I152-1,CQ$15+1,"m"),)/12,)-1,)*Index!CM$22*(CQ$15&lt;=$J152)*(1-CQ$12)</f>
        <v>0</v>
      </c>
      <c r="CR152" s="747">
        <f>$G152*$H152*(1+$K152)^MAX(ROUNDUP(IFERROR(DATEDIF($I152-1,CR$15+1,"m"),)/12,)-1,)*Index!CN$22*(CR$15&lt;=$J152)*(1-CR$12)</f>
        <v>0</v>
      </c>
      <c r="CS152" s="747">
        <f>$G152*$H152*(1+$K152)^MAX(ROUNDUP(IFERROR(DATEDIF($I152-1,CS$15+1,"m"),)/12,)-1,)*Index!CO$22*(CS$15&lt;=$J152)*(1-CS$12)</f>
        <v>0</v>
      </c>
      <c r="CT152" s="747">
        <f>$G152*$H152*(1+$K152)^MAX(ROUNDUP(IFERROR(DATEDIF($I152-1,CT$15+1,"m"),)/12,)-1,)*Index!CP$22*(CT$15&lt;=$J152)*(1-CT$12)</f>
        <v>0</v>
      </c>
      <c r="CU152" s="747">
        <f>$G152*$H152*(1+$K152)^MAX(ROUNDUP(IFERROR(DATEDIF($I152-1,CU$15+1,"m"),)/12,)-1,)*Index!CQ$22*(CU$15&lt;=$J152)*(1-CU$12)</f>
        <v>0</v>
      </c>
      <c r="CV152" s="747">
        <f>$G152*$H152*(1+$K152)^MAX(ROUNDUP(IFERROR(DATEDIF($I152-1,CV$15+1,"m"),)/12,)-1,)*Index!CR$22*(CV$15&lt;=$J152)*(1-CV$12)</f>
        <v>0</v>
      </c>
      <c r="CW152" s="747">
        <f>$G152*$H152*(1+$K152)^MAX(ROUNDUP(IFERROR(DATEDIF($I152-1,CW$15+1,"m"),)/12,)-1,)*Index!CS$22*(CW$15&lt;=$J152)*(1-CW$12)</f>
        <v>0</v>
      </c>
      <c r="CX152" s="747">
        <f>$G152*$H152*(1+$K152)^MAX(ROUNDUP(IFERROR(DATEDIF($I152-1,CX$15+1,"m"),)/12,)-1,)*Index!CT$22*(CX$15&lt;=$J152)*(1-CX$12)</f>
        <v>0</v>
      </c>
      <c r="CY152" s="747">
        <f>$G152*$H152*(1+$K152)^MAX(ROUNDUP(IFERROR(DATEDIF($I152-1,CY$15+1,"m"),)/12,)-1,)*Index!CU$22*(CY$15&lt;=$J152)*(1-CY$12)</f>
        <v>0</v>
      </c>
      <c r="CZ152" s="747">
        <f>$G152*$H152*(1+$K152)^MAX(ROUNDUP(IFERROR(DATEDIF($I152-1,CZ$15+1,"m"),)/12,)-1,)*Index!CV$22*(CZ$15&lt;=$J152)*(1-CZ$12)</f>
        <v>0</v>
      </c>
      <c r="DA152" s="747">
        <f>$G152*$H152*(1+$K152)^MAX(ROUNDUP(IFERROR(DATEDIF($I152-1,DA$15+1,"m"),)/12,)-1,)*Index!CW$22*(DA$15&lt;=$J152)*(1-DA$12)</f>
        <v>0</v>
      </c>
      <c r="DB152" s="747">
        <f>$G152*$H152*(1+$K152)^MAX(ROUNDUP(IFERROR(DATEDIF($I152-1,DB$15+1,"m"),)/12,)-1,)*Index!CX$22*(DB$15&lt;=$J152)*(1-DB$12)</f>
        <v>0</v>
      </c>
      <c r="DC152" s="747">
        <f>$G152*$H152*(1+$K152)^MAX(ROUNDUP(IFERROR(DATEDIF($I152-1,DC$15+1,"m"),)/12,)-1,)*Index!CY$22*(DC$15&lt;=$J152)*(1-DC$12)</f>
        <v>0</v>
      </c>
      <c r="DD152" s="747">
        <f>$G152*$H152*(1+$K152)^MAX(ROUNDUP(IFERROR(DATEDIF($I152-1,DD$15+1,"m"),)/12,)-1,)*Index!CZ$22*(DD$15&lt;=$J152)*(1-DD$12)</f>
        <v>0</v>
      </c>
      <c r="DE152" s="747">
        <f>$G152*$H152*(1+$K152)^MAX(ROUNDUP(IFERROR(DATEDIF($I152-1,DE$15+1,"m"),)/12,)-1,)*Index!DA$22*(DE$15&lt;=$J152)*(1-DE$12)</f>
        <v>0</v>
      </c>
      <c r="DF152" s="747">
        <f>$G152*$H152*(1+$K152)^MAX(ROUNDUP(IFERROR(DATEDIF($I152-1,DF$15+1,"m"),)/12,)-1,)*Index!DB$22*(DF$15&lt;=$J152)*(1-DF$12)</f>
        <v>0</v>
      </c>
      <c r="DG152" s="747">
        <f>$G152*$H152*(1+$K152)^MAX(ROUNDUP(IFERROR(DATEDIF($I152-1,DG$15+1,"m"),)/12,)-1,)*Index!DC$22*(DG$15&lt;=$J152)*(1-DG$12)</f>
        <v>0</v>
      </c>
      <c r="DH152" s="747">
        <f>$G152*$H152*(1+$K152)^MAX(ROUNDUP(IFERROR(DATEDIF($I152-1,DH$15+1,"m"),)/12,)-1,)*Index!DD$22*(DH$15&lt;=$J152)*(1-DH$12)</f>
        <v>0</v>
      </c>
      <c r="DI152" s="747">
        <f>$G152*$H152*(1+$K152)^MAX(ROUNDUP(IFERROR(DATEDIF($I152-1,DI$15+1,"m"),)/12,)-1,)*Index!DE$22*(DI$15&lt;=$J152)*(1-DI$12)</f>
        <v>0</v>
      </c>
      <c r="DJ152" s="747">
        <f>$G152*$H152*(1+$K152)^MAX(ROUNDUP(IFERROR(DATEDIF($I152-1,DJ$15+1,"m"),)/12,)-1,)*Index!DF$22*(DJ$15&lt;=$J152)*(1-DJ$12)</f>
        <v>0</v>
      </c>
      <c r="DK152" s="747">
        <f>$G152*$H152*(1+$K152)^MAX(ROUNDUP(IFERROR(DATEDIF($I152-1,DK$15+1,"m"),)/12,)-1,)*Index!DG$22*(DK$15&lt;=$J152)*(1-DK$12)</f>
        <v>0</v>
      </c>
      <c r="DL152" s="747">
        <f>$G152*$H152*(1+$K152)^MAX(ROUNDUP(IFERROR(DATEDIF($I152-1,DL$15+1,"m"),)/12,)-1,)*Index!DH$22*(DL$15&lt;=$J152)*(1-DL$12)</f>
        <v>0</v>
      </c>
      <c r="DM152" s="747">
        <f>$G152*$H152*(1+$K152)^MAX(ROUNDUP(IFERROR(DATEDIF($I152-1,DM$15+1,"m"),)/12,)-1,)*Index!DI$22*(DM$15&lt;=$J152)*(1-DM$12)</f>
        <v>0</v>
      </c>
      <c r="DN152" s="747">
        <f>$G152*$H152*(1+$K152)^MAX(ROUNDUP(IFERROR(DATEDIF($I152-1,DN$15+1,"m"),)/12,)-1,)*Index!DJ$22*(DN$15&lt;=$J152)*(1-DN$12)</f>
        <v>0</v>
      </c>
      <c r="DO152" s="747">
        <f>$G152*$H152*(1+$K152)^MAX(ROUNDUP(IFERROR(DATEDIF($I152-1,DO$15+1,"m"),)/12,)-1,)*Index!DK$22*(DO$15&lt;=$J152)*(1-DO$12)</f>
        <v>0</v>
      </c>
      <c r="DP152" s="747">
        <f>$G152*$H152*(1+$K152)^MAX(ROUNDUP(IFERROR(DATEDIF($I152-1,DP$15+1,"m"),)/12,)-1,)*Index!DL$22*(DP$15&lt;=$J152)*(1-DP$12)</f>
        <v>0</v>
      </c>
      <c r="DQ152" s="747">
        <f>$G152*$H152*(1+$K152)^MAX(ROUNDUP(IFERROR(DATEDIF($I152-1,DQ$15+1,"m"),)/12,)-1,)*Index!DM$22*(DQ$15&lt;=$J152)*(1-DQ$12)</f>
        <v>0</v>
      </c>
      <c r="DR152" s="747">
        <f>$G152*$H152*(1+$K152)^MAX(ROUNDUP(IFERROR(DATEDIF($I152-1,DR$15+1,"m"),)/12,)-1,)*Index!DN$22*(DR$15&lt;=$J152)*(1-DR$12)</f>
        <v>0</v>
      </c>
      <c r="DS152" s="747">
        <f>$G152*$H152*(1+$K152)^MAX(ROUNDUP(IFERROR(DATEDIF($I152-1,DS$15+1,"m"),)/12,)-1,)*Index!DO$22*(DS$15&lt;=$J152)*(1-DS$12)</f>
        <v>0</v>
      </c>
      <c r="DT152" s="747">
        <f>$G152*$H152*(1+$K152)^MAX(ROUNDUP(IFERROR(DATEDIF($I152-1,DT$15+1,"m"),)/12,)-1,)*Index!DP$22*(DT$15&lt;=$J152)*(1-DT$12)</f>
        <v>0</v>
      </c>
      <c r="DU152" s="747">
        <f>$G152*$H152*(1+$K152)^MAX(ROUNDUP(IFERROR(DATEDIF($I152-1,DU$15+1,"m"),)/12,)-1,)*Index!DQ$22*(DU$15&lt;=$J152)*(1-DU$12)</f>
        <v>0</v>
      </c>
      <c r="DV152" s="747">
        <f>$G152*$H152*(1+$K152)^MAX(ROUNDUP(IFERROR(DATEDIF($I152-1,DV$15+1,"m"),)/12,)-1,)*Index!DR$22*(DV$15&lt;=$J152)*(1-DV$12)</f>
        <v>0</v>
      </c>
      <c r="DW152" s="747">
        <f>$G152*$H152*(1+$K152)^MAX(ROUNDUP(IFERROR(DATEDIF($I152-1,DW$15+1,"m"),)/12,)-1,)*Index!DS$22*(DW$15&lt;=$J152)*(1-DW$12)</f>
        <v>0</v>
      </c>
      <c r="DX152" s="747">
        <f>$G152*$H152*(1+$K152)^MAX(ROUNDUP(IFERROR(DATEDIF($I152-1,DX$15+1,"m"),)/12,)-1,)*Index!DT$22*(DX$15&lt;=$J152)*(1-DX$12)</f>
        <v>0</v>
      </c>
      <c r="DY152" s="747">
        <f>$G152*$H152*(1+$K152)^MAX(ROUNDUP(IFERROR(DATEDIF($I152-1,DY$15+1,"m"),)/12,)-1,)*Index!DU$22*(DY$15&lt;=$J152)*(1-DY$12)</f>
        <v>0</v>
      </c>
      <c r="DZ152" s="747">
        <f>$G152*$H152*(1+$K152)^MAX(ROUNDUP(IFERROR(DATEDIF($I152-1,DZ$15+1,"m"),)/12,)-1,)*Index!DV$22*(DZ$15&lt;=$J152)*(1-DZ$12)</f>
        <v>0</v>
      </c>
      <c r="EA152" s="747">
        <f>$G152*$H152*(1+$K152)^MAX(ROUNDUP(IFERROR(DATEDIF($I152-1,EA$15+1,"m"),)/12,)-1,)*Index!DW$22*(EA$15&lt;=$J152)*(1-EA$12)</f>
        <v>0</v>
      </c>
      <c r="EB152" s="747">
        <f>$G152*$H152*(1+$K152)^MAX(ROUNDUP(IFERROR(DATEDIF($I152-1,EB$15+1,"m"),)/12,)-1,)*Index!DX$22*(EB$15&lt;=$J152)*(1-EB$12)</f>
        <v>0</v>
      </c>
      <c r="EC152" s="747">
        <f>$G152*$H152*(1+$K152)^MAX(ROUNDUP(IFERROR(DATEDIF($I152-1,EC$15+1,"m"),)/12,)-1,)*Index!DY$22*(EC$15&lt;=$J152)*(1-EC$12)</f>
        <v>0</v>
      </c>
      <c r="ED152" s="747">
        <f>$G152*$H152*(1+$K152)^MAX(ROUNDUP(IFERROR(DATEDIF($I152-1,ED$15+1,"m"),)/12,)-1,)*Index!DZ$22*(ED$15&lt;=$J152)*(1-ED$12)</f>
        <v>0</v>
      </c>
      <c r="EE152" s="747">
        <f>$G152*$H152*(1+$K152)^MAX(ROUNDUP(IFERROR(DATEDIF($I152-1,EE$15+1,"m"),)/12,)-1,)*Index!EA$22*(EE$15&lt;=$J152)*(1-EE$12)</f>
        <v>0</v>
      </c>
      <c r="EF152" s="747">
        <f>$G152*$H152*(1+$K152)^MAX(ROUNDUP(IFERROR(DATEDIF($I152-1,EF$15+1,"m"),)/12,)-1,)*Index!EB$22*(EF$15&lt;=$J152)*(1-EF$12)</f>
        <v>0</v>
      </c>
      <c r="EG152" s="747">
        <f>$G152*$H152*(1+$K152)^MAX(ROUNDUP(IFERROR(DATEDIF($I152-1,EG$15+1,"m"),)/12,)-1,)*Index!EC$22*(EG$15&lt;=$J152)*(1-EG$12)</f>
        <v>0</v>
      </c>
      <c r="EH152" s="747">
        <f>$G152*$H152*(1+$K152)^MAX(ROUNDUP(IFERROR(DATEDIF($I152-1,EH$15+1,"m"),)/12,)-1,)*Index!ED$22*(EH$15&lt;=$J152)*(1-EH$12)</f>
        <v>0</v>
      </c>
      <c r="EI152" s="747">
        <f>$G152*$H152*(1+$K152)^MAX(ROUNDUP(IFERROR(DATEDIF($I152-1,EI$15+1,"m"),)/12,)-1,)*Index!EE$22*(EI$15&lt;=$J152)*(1-EI$12)</f>
        <v>0</v>
      </c>
      <c r="EJ152" s="747">
        <f>$G152*$H152*(1+$K152)^MAX(ROUNDUP(IFERROR(DATEDIF($I152-1,EJ$15+1,"m"),)/12,)-1,)*Index!EF$22*(EJ$15&lt;=$J152)*(1-EJ$12)</f>
        <v>0</v>
      </c>
      <c r="EK152" s="747">
        <f>$G152*$H152*(1+$K152)^MAX(ROUNDUP(IFERROR(DATEDIF($I152-1,EK$15+1,"m"),)/12,)-1,)*Index!EG$22*(EK$15&lt;=$J152)*(1-EK$12)</f>
        <v>0</v>
      </c>
      <c r="EL152" s="747">
        <f>$G152*$H152*(1+$K152)^MAX(ROUNDUP(IFERROR(DATEDIF($I152-1,EL$15+1,"m"),)/12,)-1,)*Index!EH$22*(EL$15&lt;=$J152)*(1-EL$12)</f>
        <v>0</v>
      </c>
      <c r="EM152" s="747">
        <f>$G152*$H152*(1+$K152)^MAX(ROUNDUP(IFERROR(DATEDIF($I152-1,EM$15+1,"m"),)/12,)-1,)*Index!EI$22*(EM$15&lt;=$J152)*(1-EM$12)</f>
        <v>0</v>
      </c>
      <c r="EN152" s="747">
        <f>$G152*$H152*(1+$K152)^MAX(ROUNDUP(IFERROR(DATEDIF($I152-1,EN$15+1,"m"),)/12,)-1,)*Index!EJ$22*(EN$15&lt;=$J152)*(1-EN$12)</f>
        <v>0</v>
      </c>
      <c r="EO152" s="747">
        <f>$G152*$H152*(1+$K152)^MAX(ROUNDUP(IFERROR(DATEDIF($I152-1,EO$15+1,"m"),)/12,)-1,)*Index!EK$22*(EO$15&lt;=$J152)*(1-EO$12)</f>
        <v>0</v>
      </c>
      <c r="EP152" s="747">
        <f>$G152*$H152*(1+$K152)^MAX(ROUNDUP(IFERROR(DATEDIF($I152-1,EP$15+1,"m"),)/12,)-1,)*Index!EL$22*(EP$15&lt;=$J152)*(1-EP$12)</f>
        <v>0</v>
      </c>
      <c r="EQ152" s="747">
        <f>$G152*$H152*(1+$K152)^MAX(ROUNDUP(IFERROR(DATEDIF($I152-1,EQ$15+1,"m"),)/12,)-1,)*Index!EM$22*(EQ$15&lt;=$J152)*(1-EQ$12)</f>
        <v>0</v>
      </c>
      <c r="ER152" s="747">
        <f>$G152*$H152*(1+$K152)^MAX(ROUNDUP(IFERROR(DATEDIF($I152-1,ER$15+1,"m"),)/12,)-1,)*Index!EN$22*(ER$15&lt;=$J152)*(1-ER$12)</f>
        <v>0</v>
      </c>
      <c r="ES152" s="747">
        <f>$G152*$H152*(1+$K152)^MAX(ROUNDUP(IFERROR(DATEDIF($I152-1,ES$15+1,"m"),)/12,)-1,)*Index!EO$22*(ES$15&lt;=$J152)*(1-ES$12)</f>
        <v>0</v>
      </c>
      <c r="ET152" s="747">
        <f>$G152*$H152*(1+$K152)^MAX(ROUNDUP(IFERROR(DATEDIF($I152-1,ET$15+1,"m"),)/12,)-1,)*Index!EP$22*(ET$15&lt;=$J152)*(1-ET$12)</f>
        <v>0</v>
      </c>
      <c r="EU152" s="747">
        <f>$G152*$H152*(1+$K152)^MAX(ROUNDUP(IFERROR(DATEDIF($I152-1,EU$15+1,"m"),)/12,)-1,)*Index!EQ$22*(EU$15&lt;=$J152)*(1-EU$12)</f>
        <v>0</v>
      </c>
    </row>
    <row r="153" spans="3:151" ht="11.25" customHeight="1">
      <c r="C153" s="735"/>
      <c r="D153" s="743">
        <f t="shared" si="237"/>
        <v>2</v>
      </c>
      <c r="E153" s="704" t="str">
        <f t="shared" si="237"/>
        <v>쿠팡</v>
      </c>
      <c r="F153" s="704" t="str">
        <f t="shared" si="237"/>
        <v>상온창고</v>
      </c>
      <c r="G153" s="781">
        <f>'A&amp;R'!AD16/1000</f>
        <v>3</v>
      </c>
      <c r="H153" s="744">
        <f>'A&amp;R'!Y16</f>
        <v>2185.56</v>
      </c>
      <c r="I153" s="745">
        <f t="shared" si="238"/>
        <v>45658</v>
      </c>
      <c r="J153" s="745">
        <f t="shared" si="238"/>
        <v>49064</v>
      </c>
      <c r="K153" s="754">
        <f t="shared" si="238"/>
        <v>2.5000000000000001E-2</v>
      </c>
      <c r="L153" s="746"/>
      <c r="M153" s="722"/>
      <c r="N153" s="747">
        <f t="shared" si="239"/>
        <v>670090.58117348934</v>
      </c>
      <c r="O153" s="733"/>
      <c r="P153" s="747">
        <f>$G153*$H153*(1+$K153)^MAX(ROUNDUP(IFERROR(DATEDIF($I153-1,P$15+1,"m"),)/12,)-1,)*Index!L$22*(P$15&lt;=$J153)*(1-P$12)</f>
        <v>0</v>
      </c>
      <c r="Q153" s="747">
        <f>$G153*$H153*(1+$K153)^MAX(ROUNDUP(IFERROR(DATEDIF($I153-1,Q$15+1,"m"),)/12,)-1,)*Index!M$22*(Q$15&lt;=$J153)*(1-Q$12)</f>
        <v>6720.5969999999998</v>
      </c>
      <c r="R153" s="747">
        <f>$G153*$H153*(1+$K153)^MAX(ROUNDUP(IFERROR(DATEDIF($I153-1,R$15+1,"m"),)/12,)-1,)*Index!N$22*(R$15&lt;=$J153)*(1-R$12)</f>
        <v>6720.5969999999998</v>
      </c>
      <c r="S153" s="747">
        <f>$G153*$H153*(1+$K153)^MAX(ROUNDUP(IFERROR(DATEDIF($I153-1,S$15+1,"m"),)/12,)-1,)*Index!O$22*(S$15&lt;=$J153)*(1-S$12)</f>
        <v>6888.6119250000002</v>
      </c>
      <c r="T153" s="747">
        <f>$G153*$H153*(1+$K153)^MAX(ROUNDUP(IFERROR(DATEDIF($I153-1,T$15+1,"m"),)/12,)-1,)*Index!P$22*(T$15&lt;=$J153)*(1-T$12)</f>
        <v>6888.6119250000002</v>
      </c>
      <c r="U153" s="747">
        <f>$G153*$H153*(1+$K153)^MAX(ROUNDUP(IFERROR(DATEDIF($I153-1,U$15+1,"m"),)/12,)-1,)*Index!Q$22*(U$15&lt;=$J153)*(1-U$12)</f>
        <v>6888.6119250000002</v>
      </c>
      <c r="V153" s="747">
        <f>$G153*$H153*(1+$K153)^MAX(ROUNDUP(IFERROR(DATEDIF($I153-1,V$15+1,"m"),)/12,)-1,)*Index!R$22*(V$15&lt;=$J153)*(1-V$12)</f>
        <v>6888.6119250000002</v>
      </c>
      <c r="W153" s="747">
        <f>$G153*$H153*(1+$K153)^MAX(ROUNDUP(IFERROR(DATEDIF($I153-1,W$15+1,"m"),)/12,)-1,)*Index!S$22*(W$15&lt;=$J153)*(1-W$12)</f>
        <v>6888.6119250000002</v>
      </c>
      <c r="X153" s="747">
        <f>$G153*$H153*(1+$K153)^MAX(ROUNDUP(IFERROR(DATEDIF($I153-1,X$15+1,"m"),)/12,)-1,)*Index!T$22*(X$15&lt;=$J153)*(1-X$12)</f>
        <v>6888.6119250000002</v>
      </c>
      <c r="Y153" s="747">
        <f>$G153*$H153*(1+$K153)^MAX(ROUNDUP(IFERROR(DATEDIF($I153-1,Y$15+1,"m"),)/12,)-1,)*Index!U$22*(Y$15&lt;=$J153)*(1-Y$12)</f>
        <v>6888.6119250000002</v>
      </c>
      <c r="Z153" s="747">
        <f>$G153*$H153*(1+$K153)^MAX(ROUNDUP(IFERROR(DATEDIF($I153-1,Z$15+1,"m"),)/12,)-1,)*Index!V$22*(Z$15&lt;=$J153)*(1-Z$12)</f>
        <v>6888.6119250000002</v>
      </c>
      <c r="AA153" s="747">
        <f>$G153*$H153*(1+$K153)^MAX(ROUNDUP(IFERROR(DATEDIF($I153-1,AA$15+1,"m"),)/12,)-1,)*Index!W$22*(AA$15&lt;=$J153)*(1-AA$12)</f>
        <v>6888.6119250000002</v>
      </c>
      <c r="AB153" s="747">
        <f>$G153*$H153*(1+$K153)^MAX(ROUNDUP(IFERROR(DATEDIF($I153-1,AB$15+1,"m"),)/12,)-1,)*Index!X$22*(AB$15&lt;=$J153)*(1-AB$12)</f>
        <v>6888.6119250000002</v>
      </c>
      <c r="AC153" s="747">
        <f>$G153*$H153*(1+$K153)^MAX(ROUNDUP(IFERROR(DATEDIF($I153-1,AC$15+1,"m"),)/12,)-1,)*Index!Y$22*(AC$15&lt;=$J153)*(1-AC$12)</f>
        <v>6888.6119250000002</v>
      </c>
      <c r="AD153" s="747">
        <f>$G153*$H153*(1+$K153)^MAX(ROUNDUP(IFERROR(DATEDIF($I153-1,AD$15+1,"m"),)/12,)-1,)*Index!Z$22*(AD$15&lt;=$J153)*(1-AD$12)</f>
        <v>6888.6119250000002</v>
      </c>
      <c r="AE153" s="747">
        <f>$G153*$H153*(1+$K153)^MAX(ROUNDUP(IFERROR(DATEDIF($I153-1,AE$15+1,"m"),)/12,)-1,)*Index!AA$22*(AE$15&lt;=$J153)*(1-AE$12)</f>
        <v>7060.8272231249994</v>
      </c>
      <c r="AF153" s="747">
        <f>$G153*$H153*(1+$K153)^MAX(ROUNDUP(IFERROR(DATEDIF($I153-1,AF$15+1,"m"),)/12,)-1,)*Index!AB$22*(AF$15&lt;=$J153)*(1-AF$12)</f>
        <v>7060.8272231249994</v>
      </c>
      <c r="AG153" s="747">
        <f>$G153*$H153*(1+$K153)^MAX(ROUNDUP(IFERROR(DATEDIF($I153-1,AG$15+1,"m"),)/12,)-1,)*Index!AC$22*(AG$15&lt;=$J153)*(1-AG$12)</f>
        <v>7060.8272231249994</v>
      </c>
      <c r="AH153" s="747">
        <f>$G153*$H153*(1+$K153)^MAX(ROUNDUP(IFERROR(DATEDIF($I153-1,AH$15+1,"m"),)/12,)-1,)*Index!AD$22*(AH$15&lt;=$J153)*(1-AH$12)</f>
        <v>7060.8272231249994</v>
      </c>
      <c r="AI153" s="747">
        <f>$G153*$H153*(1+$K153)^MAX(ROUNDUP(IFERROR(DATEDIF($I153-1,AI$15+1,"m"),)/12,)-1,)*Index!AE$22*(AI$15&lt;=$J153)*(1-AI$12)</f>
        <v>7060.8272231249994</v>
      </c>
      <c r="AJ153" s="747">
        <f>$G153*$H153*(1+$K153)^MAX(ROUNDUP(IFERROR(DATEDIF($I153-1,AJ$15+1,"m"),)/12,)-1,)*Index!AF$22*(AJ$15&lt;=$J153)*(1-AJ$12)</f>
        <v>7060.8272231249994</v>
      </c>
      <c r="AK153" s="747">
        <f>$G153*$H153*(1+$K153)^MAX(ROUNDUP(IFERROR(DATEDIF($I153-1,AK$15+1,"m"),)/12,)-1,)*Index!AG$22*(AK$15&lt;=$J153)*(1-AK$12)</f>
        <v>7060.8272231249994</v>
      </c>
      <c r="AL153" s="747">
        <f>$G153*$H153*(1+$K153)^MAX(ROUNDUP(IFERROR(DATEDIF($I153-1,AL$15+1,"m"),)/12,)-1,)*Index!AH$22*(AL$15&lt;=$J153)*(1-AL$12)</f>
        <v>7060.8272231249994</v>
      </c>
      <c r="AM153" s="747">
        <f>$G153*$H153*(1+$K153)^MAX(ROUNDUP(IFERROR(DATEDIF($I153-1,AM$15+1,"m"),)/12,)-1,)*Index!AI$22*(AM$15&lt;=$J153)*(1-AM$12)</f>
        <v>7060.8272231249994</v>
      </c>
      <c r="AN153" s="747">
        <f>$G153*$H153*(1+$K153)^MAX(ROUNDUP(IFERROR(DATEDIF($I153-1,AN$15+1,"m"),)/12,)-1,)*Index!AJ$22*(AN$15&lt;=$J153)*(1-AN$12)</f>
        <v>7060.8272231249994</v>
      </c>
      <c r="AO153" s="747">
        <f>$G153*$H153*(1+$K153)^MAX(ROUNDUP(IFERROR(DATEDIF($I153-1,AO$15+1,"m"),)/12,)-1,)*Index!AK$22*(AO$15&lt;=$J153)*(1-AO$12)</f>
        <v>7060.8272231249994</v>
      </c>
      <c r="AP153" s="747">
        <f>$G153*$H153*(1+$K153)^MAX(ROUNDUP(IFERROR(DATEDIF($I153-1,AP$15+1,"m"),)/12,)-1,)*Index!AL$22*(AP$15&lt;=$J153)*(1-AP$12)</f>
        <v>7060.8272231249994</v>
      </c>
      <c r="AQ153" s="747">
        <f>$G153*$H153*(1+$K153)^MAX(ROUNDUP(IFERROR(DATEDIF($I153-1,AQ$15+1,"m"),)/12,)-1,)*Index!AM$22*(AQ$15&lt;=$J153)*(1-AQ$12)</f>
        <v>7237.3479037031238</v>
      </c>
      <c r="AR153" s="747">
        <f>$G153*$H153*(1+$K153)^MAX(ROUNDUP(IFERROR(DATEDIF($I153-1,AR$15+1,"m"),)/12,)-1,)*Index!AN$22*(AR$15&lt;=$J153)*(1-AR$12)</f>
        <v>7237.3479037031238</v>
      </c>
      <c r="AS153" s="747">
        <f>$G153*$H153*(1+$K153)^MAX(ROUNDUP(IFERROR(DATEDIF($I153-1,AS$15+1,"m"),)/12,)-1,)*Index!AO$22*(AS$15&lt;=$J153)*(1-AS$12)</f>
        <v>7237.3479037031238</v>
      </c>
      <c r="AT153" s="747">
        <f>$G153*$H153*(1+$K153)^MAX(ROUNDUP(IFERROR(DATEDIF($I153-1,AT$15+1,"m"),)/12,)-1,)*Index!AP$22*(AT$15&lt;=$J153)*(1-AT$12)</f>
        <v>7237.3479037031238</v>
      </c>
      <c r="AU153" s="747">
        <f>$G153*$H153*(1+$K153)^MAX(ROUNDUP(IFERROR(DATEDIF($I153-1,AU$15+1,"m"),)/12,)-1,)*Index!AQ$22*(AU$15&lt;=$J153)*(1-AU$12)</f>
        <v>7237.3479037031238</v>
      </c>
      <c r="AV153" s="747">
        <f>$G153*$H153*(1+$K153)^MAX(ROUNDUP(IFERROR(DATEDIF($I153-1,AV$15+1,"m"),)/12,)-1,)*Index!AR$22*(AV$15&lt;=$J153)*(1-AV$12)</f>
        <v>7237.3479037031238</v>
      </c>
      <c r="AW153" s="747">
        <f>$G153*$H153*(1+$K153)^MAX(ROUNDUP(IFERROR(DATEDIF($I153-1,AW$15+1,"m"),)/12,)-1,)*Index!AS$22*(AW$15&lt;=$J153)*(1-AW$12)</f>
        <v>7237.3479037031238</v>
      </c>
      <c r="AX153" s="747">
        <f>$G153*$H153*(1+$K153)^MAX(ROUNDUP(IFERROR(DATEDIF($I153-1,AX$15+1,"m"),)/12,)-1,)*Index!AT$22*(AX$15&lt;=$J153)*(1-AX$12)</f>
        <v>7237.3479037031238</v>
      </c>
      <c r="AY153" s="747">
        <f>$G153*$H153*(1+$K153)^MAX(ROUNDUP(IFERROR(DATEDIF($I153-1,AY$15+1,"m"),)/12,)-1,)*Index!AU$22*(AY$15&lt;=$J153)*(1-AY$12)</f>
        <v>7237.3479037031238</v>
      </c>
      <c r="AZ153" s="747">
        <f>$G153*$H153*(1+$K153)^MAX(ROUNDUP(IFERROR(DATEDIF($I153-1,AZ$15+1,"m"),)/12,)-1,)*Index!AV$22*(AZ$15&lt;=$J153)*(1-AZ$12)</f>
        <v>7237.3479037031238</v>
      </c>
      <c r="BA153" s="747">
        <f>$G153*$H153*(1+$K153)^MAX(ROUNDUP(IFERROR(DATEDIF($I153-1,BA$15+1,"m"),)/12,)-1,)*Index!AW$22*(BA$15&lt;=$J153)*(1-BA$12)</f>
        <v>7237.3479037031238</v>
      </c>
      <c r="BB153" s="747">
        <f>$G153*$H153*(1+$K153)^MAX(ROUNDUP(IFERROR(DATEDIF($I153-1,BB$15+1,"m"),)/12,)-1,)*Index!AX$22*(BB$15&lt;=$J153)*(1-BB$12)</f>
        <v>7237.3479037031238</v>
      </c>
      <c r="BC153" s="747">
        <f>$G153*$H153*(1+$K153)^MAX(ROUNDUP(IFERROR(DATEDIF($I153-1,BC$15+1,"m"),)/12,)-1,)*Index!AY$22*(BC$15&lt;=$J153)*(1-BC$12)</f>
        <v>7418.281601295701</v>
      </c>
      <c r="BD153" s="747">
        <f>$G153*$H153*(1+$K153)^MAX(ROUNDUP(IFERROR(DATEDIF($I153-1,BD$15+1,"m"),)/12,)-1,)*Index!AZ$22*(BD$15&lt;=$J153)*(1-BD$12)</f>
        <v>7418.281601295701</v>
      </c>
      <c r="BE153" s="747">
        <f>$G153*$H153*(1+$K153)^MAX(ROUNDUP(IFERROR(DATEDIF($I153-1,BE$15+1,"m"),)/12,)-1,)*Index!BA$22*(BE$15&lt;=$J153)*(1-BE$12)</f>
        <v>7418.281601295701</v>
      </c>
      <c r="BF153" s="747">
        <f>$G153*$H153*(1+$K153)^MAX(ROUNDUP(IFERROR(DATEDIF($I153-1,BF$15+1,"m"),)/12,)-1,)*Index!BB$22*(BF$15&lt;=$J153)*(1-BF$12)</f>
        <v>7418.281601295701</v>
      </c>
      <c r="BG153" s="747">
        <f>$G153*$H153*(1+$K153)^MAX(ROUNDUP(IFERROR(DATEDIF($I153-1,BG$15+1,"m"),)/12,)-1,)*Index!BC$22*(BG$15&lt;=$J153)*(1-BG$12)</f>
        <v>7418.281601295701</v>
      </c>
      <c r="BH153" s="747">
        <f>$G153*$H153*(1+$K153)^MAX(ROUNDUP(IFERROR(DATEDIF($I153-1,BH$15+1,"m"),)/12,)-1,)*Index!BD$22*(BH$15&lt;=$J153)*(1-BH$12)</f>
        <v>7418.281601295701</v>
      </c>
      <c r="BI153" s="747">
        <f>$G153*$H153*(1+$K153)^MAX(ROUNDUP(IFERROR(DATEDIF($I153-1,BI$15+1,"m"),)/12,)-1,)*Index!BE$22*(BI$15&lt;=$J153)*(1-BI$12)</f>
        <v>7418.281601295701</v>
      </c>
      <c r="BJ153" s="747">
        <f>$G153*$H153*(1+$K153)^MAX(ROUNDUP(IFERROR(DATEDIF($I153-1,BJ$15+1,"m"),)/12,)-1,)*Index!BF$22*(BJ$15&lt;=$J153)*(1-BJ$12)</f>
        <v>7418.281601295701</v>
      </c>
      <c r="BK153" s="747">
        <f>$G153*$H153*(1+$K153)^MAX(ROUNDUP(IFERROR(DATEDIF($I153-1,BK$15+1,"m"),)/12,)-1,)*Index!BG$22*(BK$15&lt;=$J153)*(1-BK$12)</f>
        <v>7418.281601295701</v>
      </c>
      <c r="BL153" s="747">
        <f>$G153*$H153*(1+$K153)^MAX(ROUNDUP(IFERROR(DATEDIF($I153-1,BL$15+1,"m"),)/12,)-1,)*Index!BH$22*(BL$15&lt;=$J153)*(1-BL$12)</f>
        <v>7418.281601295701</v>
      </c>
      <c r="BM153" s="747">
        <f>$G153*$H153*(1+$K153)^MAX(ROUNDUP(IFERROR(DATEDIF($I153-1,BM$15+1,"m"),)/12,)-1,)*Index!BI$22*(BM$15&lt;=$J153)*(1-BM$12)</f>
        <v>7418.281601295701</v>
      </c>
      <c r="BN153" s="747">
        <f>$G153*$H153*(1+$K153)^MAX(ROUNDUP(IFERROR(DATEDIF($I153-1,BN$15+1,"m"),)/12,)-1,)*Index!BJ$22*(BN$15&lt;=$J153)*(1-BN$12)</f>
        <v>7418.281601295701</v>
      </c>
      <c r="BO153" s="747">
        <f>$G153*$H153*(1+$K153)^MAX(ROUNDUP(IFERROR(DATEDIF($I153-1,BO$15+1,"m"),)/12,)-1,)*Index!BK$22*(BO$15&lt;=$J153)*(1-BO$12)</f>
        <v>7603.7386413280929</v>
      </c>
      <c r="BP153" s="747">
        <f>$G153*$H153*(1+$K153)^MAX(ROUNDUP(IFERROR(DATEDIF($I153-1,BP$15+1,"m"),)/12,)-1,)*Index!BL$22*(BP$15&lt;=$J153)*(1-BP$12)</f>
        <v>7603.7386413280929</v>
      </c>
      <c r="BQ153" s="747">
        <f>$G153*$H153*(1+$K153)^MAX(ROUNDUP(IFERROR(DATEDIF($I153-1,BQ$15+1,"m"),)/12,)-1,)*Index!BM$22*(BQ$15&lt;=$J153)*(1-BQ$12)</f>
        <v>7603.7386413280929</v>
      </c>
      <c r="BR153" s="747">
        <f>$G153*$H153*(1+$K153)^MAX(ROUNDUP(IFERROR(DATEDIF($I153-1,BR$15+1,"m"),)/12,)-1,)*Index!BN$22*(BR$15&lt;=$J153)*(1-BR$12)</f>
        <v>7603.7386413280929</v>
      </c>
      <c r="BS153" s="747">
        <f>$G153*$H153*(1+$K153)^MAX(ROUNDUP(IFERROR(DATEDIF($I153-1,BS$15+1,"m"),)/12,)-1,)*Index!BO$22*(BS$15&lt;=$J153)*(1-BS$12)</f>
        <v>7603.7386413280929</v>
      </c>
      <c r="BT153" s="747">
        <f>$G153*$H153*(1+$K153)^MAX(ROUNDUP(IFERROR(DATEDIF($I153-1,BT$15+1,"m"),)/12,)-1,)*Index!BP$22*(BT$15&lt;=$J153)*(1-BT$12)</f>
        <v>7603.7386413280929</v>
      </c>
      <c r="BU153" s="747">
        <f>$G153*$H153*(1+$K153)^MAX(ROUNDUP(IFERROR(DATEDIF($I153-1,BU$15+1,"m"),)/12,)-1,)*Index!BQ$22*(BU$15&lt;=$J153)*(1-BU$12)</f>
        <v>7603.7386413280929</v>
      </c>
      <c r="BV153" s="747">
        <f>$G153*$H153*(1+$K153)^MAX(ROUNDUP(IFERROR(DATEDIF($I153-1,BV$15+1,"m"),)/12,)-1,)*Index!BR$22*(BV$15&lt;=$J153)*(1-BV$12)</f>
        <v>7603.7386413280929</v>
      </c>
      <c r="BW153" s="747">
        <f>$G153*$H153*(1+$K153)^MAX(ROUNDUP(IFERROR(DATEDIF($I153-1,BW$15+1,"m"),)/12,)-1,)*Index!BS$22*(BW$15&lt;=$J153)*(1-BW$12)</f>
        <v>7603.7386413280929</v>
      </c>
      <c r="BX153" s="747">
        <f>$G153*$H153*(1+$K153)^MAX(ROUNDUP(IFERROR(DATEDIF($I153-1,BX$15+1,"m"),)/12,)-1,)*Index!BT$22*(BX$15&lt;=$J153)*(1-BX$12)</f>
        <v>7603.7386413280929</v>
      </c>
      <c r="BY153" s="747">
        <f>$G153*$H153*(1+$K153)^MAX(ROUNDUP(IFERROR(DATEDIF($I153-1,BY$15+1,"m"),)/12,)-1,)*Index!BU$22*(BY$15&lt;=$J153)*(1-BY$12)</f>
        <v>7603.7386413280929</v>
      </c>
      <c r="BZ153" s="747">
        <f>$G153*$H153*(1+$K153)^MAX(ROUNDUP(IFERROR(DATEDIF($I153-1,BZ$15+1,"m"),)/12,)-1,)*Index!BV$22*(BZ$15&lt;=$J153)*(1-BZ$12)</f>
        <v>7603.7386413280929</v>
      </c>
      <c r="CA153" s="747">
        <f>$G153*$H153*(1+$K153)^MAX(ROUNDUP(IFERROR(DATEDIF($I153-1,CA$15+1,"m"),)/12,)-1,)*Index!BW$22*(CA$15&lt;=$J153)*(1-CA$12)</f>
        <v>7793.832107361296</v>
      </c>
      <c r="CB153" s="747">
        <f>$G153*$H153*(1+$K153)^MAX(ROUNDUP(IFERROR(DATEDIF($I153-1,CB$15+1,"m"),)/12,)-1,)*Index!BX$22*(CB$15&lt;=$J153)*(1-CB$12)</f>
        <v>7793.832107361296</v>
      </c>
      <c r="CC153" s="747">
        <f>$G153*$H153*(1+$K153)^MAX(ROUNDUP(IFERROR(DATEDIF($I153-1,CC$15+1,"m"),)/12,)-1,)*Index!BY$22*(CC$15&lt;=$J153)*(1-CC$12)</f>
        <v>7793.832107361296</v>
      </c>
      <c r="CD153" s="747">
        <f>$G153*$H153*(1+$K153)^MAX(ROUNDUP(IFERROR(DATEDIF($I153-1,CD$15+1,"m"),)/12,)-1,)*Index!BZ$22*(CD$15&lt;=$J153)*(1-CD$12)</f>
        <v>7793.832107361296</v>
      </c>
      <c r="CE153" s="747">
        <f>$G153*$H153*(1+$K153)^MAX(ROUNDUP(IFERROR(DATEDIF($I153-1,CE$15+1,"m"),)/12,)-1,)*Index!CA$22*(CE$15&lt;=$J153)*(1-CE$12)</f>
        <v>7793.832107361296</v>
      </c>
      <c r="CF153" s="747">
        <f>$G153*$H153*(1+$K153)^MAX(ROUNDUP(IFERROR(DATEDIF($I153-1,CF$15+1,"m"),)/12,)-1,)*Index!CB$22*(CF$15&lt;=$J153)*(1-CF$12)</f>
        <v>7793.832107361296</v>
      </c>
      <c r="CG153" s="747">
        <f>$G153*$H153*(1+$K153)^MAX(ROUNDUP(IFERROR(DATEDIF($I153-1,CG$15+1,"m"),)/12,)-1,)*Index!CC$22*(CG$15&lt;=$J153)*(1-CG$12)</f>
        <v>7793.832107361296</v>
      </c>
      <c r="CH153" s="747">
        <f>$G153*$H153*(1+$K153)^MAX(ROUNDUP(IFERROR(DATEDIF($I153-1,CH$15+1,"m"),)/12,)-1,)*Index!CD$22*(CH$15&lt;=$J153)*(1-CH$12)</f>
        <v>7793.832107361296</v>
      </c>
      <c r="CI153" s="747">
        <f>$G153*$H153*(1+$K153)^MAX(ROUNDUP(IFERROR(DATEDIF($I153-1,CI$15+1,"m"),)/12,)-1,)*Index!CE$22*(CI$15&lt;=$J153)*(1-CI$12)</f>
        <v>7793.832107361296</v>
      </c>
      <c r="CJ153" s="747">
        <f>$G153*$H153*(1+$K153)^MAX(ROUNDUP(IFERROR(DATEDIF($I153-1,CJ$15+1,"m"),)/12,)-1,)*Index!CF$22*(CJ$15&lt;=$J153)*(1-CJ$12)</f>
        <v>7793.832107361296</v>
      </c>
      <c r="CK153" s="747">
        <f>$G153*$H153*(1+$K153)^MAX(ROUNDUP(IFERROR(DATEDIF($I153-1,CK$15+1,"m"),)/12,)-1,)*Index!CG$22*(CK$15&lt;=$J153)*(1-CK$12)</f>
        <v>7793.832107361296</v>
      </c>
      <c r="CL153" s="747">
        <f>$G153*$H153*(1+$K153)^MAX(ROUNDUP(IFERROR(DATEDIF($I153-1,CL$15+1,"m"),)/12,)-1,)*Index!CH$22*(CL$15&lt;=$J153)*(1-CL$12)</f>
        <v>7793.832107361296</v>
      </c>
      <c r="CM153" s="747">
        <f>$G153*$H153*(1+$K153)^MAX(ROUNDUP(IFERROR(DATEDIF($I153-1,CM$15+1,"m"),)/12,)-1,)*Index!CI$22*(CM$15&lt;=$J153)*(1-CM$12)</f>
        <v>7988.6779100453277</v>
      </c>
      <c r="CN153" s="747">
        <f>$G153*$H153*(1+$K153)^MAX(ROUNDUP(IFERROR(DATEDIF($I153-1,CN$15+1,"m"),)/12,)-1,)*Index!CJ$22*(CN$15&lt;=$J153)*(1-CN$12)</f>
        <v>7988.6779100453277</v>
      </c>
      <c r="CO153" s="747">
        <f>$G153*$H153*(1+$K153)^MAX(ROUNDUP(IFERROR(DATEDIF($I153-1,CO$15+1,"m"),)/12,)-1,)*Index!CK$22*(CO$15&lt;=$J153)*(1-CO$12)</f>
        <v>7988.6779100453277</v>
      </c>
      <c r="CP153" s="747">
        <f>$G153*$H153*(1+$K153)^MAX(ROUNDUP(IFERROR(DATEDIF($I153-1,CP$15+1,"m"),)/12,)-1,)*Index!CL$22*(CP$15&lt;=$J153)*(1-CP$12)</f>
        <v>7988.6779100453277</v>
      </c>
      <c r="CQ153" s="747">
        <f>$G153*$H153*(1+$K153)^MAX(ROUNDUP(IFERROR(DATEDIF($I153-1,CQ$15+1,"m"),)/12,)-1,)*Index!CM$22*(CQ$15&lt;=$J153)*(1-CQ$12)</f>
        <v>7988.6779100453277</v>
      </c>
      <c r="CR153" s="747">
        <f>$G153*$H153*(1+$K153)^MAX(ROUNDUP(IFERROR(DATEDIF($I153-1,CR$15+1,"m"),)/12,)-1,)*Index!CN$22*(CR$15&lt;=$J153)*(1-CR$12)</f>
        <v>7988.6779100453277</v>
      </c>
      <c r="CS153" s="747">
        <f>$G153*$H153*(1+$K153)^MAX(ROUNDUP(IFERROR(DATEDIF($I153-1,CS$15+1,"m"),)/12,)-1,)*Index!CO$22*(CS$15&lt;=$J153)*(1-CS$12)</f>
        <v>7988.6779100453277</v>
      </c>
      <c r="CT153" s="747">
        <f>$G153*$H153*(1+$K153)^MAX(ROUNDUP(IFERROR(DATEDIF($I153-1,CT$15+1,"m"),)/12,)-1,)*Index!CP$22*(CT$15&lt;=$J153)*(1-CT$12)</f>
        <v>7988.6779100453277</v>
      </c>
      <c r="CU153" s="747">
        <f>$G153*$H153*(1+$K153)^MAX(ROUNDUP(IFERROR(DATEDIF($I153-1,CU$15+1,"m"),)/12,)-1,)*Index!CQ$22*(CU$15&lt;=$J153)*(1-CU$12)</f>
        <v>7988.6779100453277</v>
      </c>
      <c r="CV153" s="747">
        <f>$G153*$H153*(1+$K153)^MAX(ROUNDUP(IFERROR(DATEDIF($I153-1,CV$15+1,"m"),)/12,)-1,)*Index!CR$22*(CV$15&lt;=$J153)*(1-CV$12)</f>
        <v>7988.6779100453277</v>
      </c>
      <c r="CW153" s="747">
        <f>$G153*$H153*(1+$K153)^MAX(ROUNDUP(IFERROR(DATEDIF($I153-1,CW$15+1,"m"),)/12,)-1,)*Index!CS$22*(CW$15&lt;=$J153)*(1-CW$12)</f>
        <v>7988.6779100453277</v>
      </c>
      <c r="CX153" s="747">
        <f>$G153*$H153*(1+$K153)^MAX(ROUNDUP(IFERROR(DATEDIF($I153-1,CX$15+1,"m"),)/12,)-1,)*Index!CT$22*(CX$15&lt;=$J153)*(1-CX$12)</f>
        <v>7988.6779100453277</v>
      </c>
      <c r="CY153" s="747">
        <f>$G153*$H153*(1+$K153)^MAX(ROUNDUP(IFERROR(DATEDIF($I153-1,CY$15+1,"m"),)/12,)-1,)*Index!CU$22*(CY$15&lt;=$J153)*(1-CY$12)</f>
        <v>8188.3948577964593</v>
      </c>
      <c r="CZ153" s="747">
        <f>$G153*$H153*(1+$K153)^MAX(ROUNDUP(IFERROR(DATEDIF($I153-1,CZ$15+1,"m"),)/12,)-1,)*Index!CV$22*(CZ$15&lt;=$J153)*(1-CZ$12)</f>
        <v>8188.3948577964593</v>
      </c>
      <c r="DA153" s="747">
        <f>$G153*$H153*(1+$K153)^MAX(ROUNDUP(IFERROR(DATEDIF($I153-1,DA$15+1,"m"),)/12,)-1,)*Index!CW$22*(DA$15&lt;=$J153)*(1-DA$12)</f>
        <v>8188.3948577964593</v>
      </c>
      <c r="DB153" s="747">
        <f>$G153*$H153*(1+$K153)^MAX(ROUNDUP(IFERROR(DATEDIF($I153-1,DB$15+1,"m"),)/12,)-1,)*Index!CX$22*(DB$15&lt;=$J153)*(1-DB$12)</f>
        <v>8188.3948577964593</v>
      </c>
      <c r="DC153" s="747">
        <f>$G153*$H153*(1+$K153)^MAX(ROUNDUP(IFERROR(DATEDIF($I153-1,DC$15+1,"m"),)/12,)-1,)*Index!CY$22*(DC$15&lt;=$J153)*(1-DC$12)</f>
        <v>0</v>
      </c>
      <c r="DD153" s="747">
        <f>$G153*$H153*(1+$K153)^MAX(ROUNDUP(IFERROR(DATEDIF($I153-1,DD$15+1,"m"),)/12,)-1,)*Index!CZ$22*(DD$15&lt;=$J153)*(1-DD$12)</f>
        <v>0</v>
      </c>
      <c r="DE153" s="747">
        <f>$G153*$H153*(1+$K153)^MAX(ROUNDUP(IFERROR(DATEDIF($I153-1,DE$15+1,"m"),)/12,)-1,)*Index!DA$22*(DE$15&lt;=$J153)*(1-DE$12)</f>
        <v>0</v>
      </c>
      <c r="DF153" s="747">
        <f>$G153*$H153*(1+$K153)^MAX(ROUNDUP(IFERROR(DATEDIF($I153-1,DF$15+1,"m"),)/12,)-1,)*Index!DB$22*(DF$15&lt;=$J153)*(1-DF$12)</f>
        <v>0</v>
      </c>
      <c r="DG153" s="747">
        <f>$G153*$H153*(1+$K153)^MAX(ROUNDUP(IFERROR(DATEDIF($I153-1,DG$15+1,"m"),)/12,)-1,)*Index!DC$22*(DG$15&lt;=$J153)*(1-DG$12)</f>
        <v>0</v>
      </c>
      <c r="DH153" s="747">
        <f>$G153*$H153*(1+$K153)^MAX(ROUNDUP(IFERROR(DATEDIF($I153-1,DH$15+1,"m"),)/12,)-1,)*Index!DD$22*(DH$15&lt;=$J153)*(1-DH$12)</f>
        <v>0</v>
      </c>
      <c r="DI153" s="747">
        <f>$G153*$H153*(1+$K153)^MAX(ROUNDUP(IFERROR(DATEDIF($I153-1,DI$15+1,"m"),)/12,)-1,)*Index!DE$22*(DI$15&lt;=$J153)*(1-DI$12)</f>
        <v>0</v>
      </c>
      <c r="DJ153" s="747">
        <f>$G153*$H153*(1+$K153)^MAX(ROUNDUP(IFERROR(DATEDIF($I153-1,DJ$15+1,"m"),)/12,)-1,)*Index!DF$22*(DJ$15&lt;=$J153)*(1-DJ$12)</f>
        <v>0</v>
      </c>
      <c r="DK153" s="747">
        <f>$G153*$H153*(1+$K153)^MAX(ROUNDUP(IFERROR(DATEDIF($I153-1,DK$15+1,"m"),)/12,)-1,)*Index!DG$22*(DK$15&lt;=$J153)*(1-DK$12)</f>
        <v>0</v>
      </c>
      <c r="DL153" s="747">
        <f>$G153*$H153*(1+$K153)^MAX(ROUNDUP(IFERROR(DATEDIF($I153-1,DL$15+1,"m"),)/12,)-1,)*Index!DH$22*(DL$15&lt;=$J153)*(1-DL$12)</f>
        <v>0</v>
      </c>
      <c r="DM153" s="747">
        <f>$G153*$H153*(1+$K153)^MAX(ROUNDUP(IFERROR(DATEDIF($I153-1,DM$15+1,"m"),)/12,)-1,)*Index!DI$22*(DM$15&lt;=$J153)*(1-DM$12)</f>
        <v>0</v>
      </c>
      <c r="DN153" s="747">
        <f>$G153*$H153*(1+$K153)^MAX(ROUNDUP(IFERROR(DATEDIF($I153-1,DN$15+1,"m"),)/12,)-1,)*Index!DJ$22*(DN$15&lt;=$J153)*(1-DN$12)</f>
        <v>0</v>
      </c>
      <c r="DO153" s="747">
        <f>$G153*$H153*(1+$K153)^MAX(ROUNDUP(IFERROR(DATEDIF($I153-1,DO$15+1,"m"),)/12,)-1,)*Index!DK$22*(DO$15&lt;=$J153)*(1-DO$12)</f>
        <v>0</v>
      </c>
      <c r="DP153" s="747">
        <f>$G153*$H153*(1+$K153)^MAX(ROUNDUP(IFERROR(DATEDIF($I153-1,DP$15+1,"m"),)/12,)-1,)*Index!DL$22*(DP$15&lt;=$J153)*(1-DP$12)</f>
        <v>0</v>
      </c>
      <c r="DQ153" s="747">
        <f>$G153*$H153*(1+$K153)^MAX(ROUNDUP(IFERROR(DATEDIF($I153-1,DQ$15+1,"m"),)/12,)-1,)*Index!DM$22*(DQ$15&lt;=$J153)*(1-DQ$12)</f>
        <v>0</v>
      </c>
      <c r="DR153" s="747">
        <f>$G153*$H153*(1+$K153)^MAX(ROUNDUP(IFERROR(DATEDIF($I153-1,DR$15+1,"m"),)/12,)-1,)*Index!DN$22*(DR$15&lt;=$J153)*(1-DR$12)</f>
        <v>0</v>
      </c>
      <c r="DS153" s="747">
        <f>$G153*$H153*(1+$K153)^MAX(ROUNDUP(IFERROR(DATEDIF($I153-1,DS$15+1,"m"),)/12,)-1,)*Index!DO$22*(DS$15&lt;=$J153)*(1-DS$12)</f>
        <v>0</v>
      </c>
      <c r="DT153" s="747">
        <f>$G153*$H153*(1+$K153)^MAX(ROUNDUP(IFERROR(DATEDIF($I153-1,DT$15+1,"m"),)/12,)-1,)*Index!DP$22*(DT$15&lt;=$J153)*(1-DT$12)</f>
        <v>0</v>
      </c>
      <c r="DU153" s="747">
        <f>$G153*$H153*(1+$K153)^MAX(ROUNDUP(IFERROR(DATEDIF($I153-1,DU$15+1,"m"),)/12,)-1,)*Index!DQ$22*(DU$15&lt;=$J153)*(1-DU$12)</f>
        <v>0</v>
      </c>
      <c r="DV153" s="747">
        <f>$G153*$H153*(1+$K153)^MAX(ROUNDUP(IFERROR(DATEDIF($I153-1,DV$15+1,"m"),)/12,)-1,)*Index!DR$22*(DV$15&lt;=$J153)*(1-DV$12)</f>
        <v>0</v>
      </c>
      <c r="DW153" s="747">
        <f>$G153*$H153*(1+$K153)^MAX(ROUNDUP(IFERROR(DATEDIF($I153-1,DW$15+1,"m"),)/12,)-1,)*Index!DS$22*(DW$15&lt;=$J153)*(1-DW$12)</f>
        <v>0</v>
      </c>
      <c r="DX153" s="747">
        <f>$G153*$H153*(1+$K153)^MAX(ROUNDUP(IFERROR(DATEDIF($I153-1,DX$15+1,"m"),)/12,)-1,)*Index!DT$22*(DX$15&lt;=$J153)*(1-DX$12)</f>
        <v>0</v>
      </c>
      <c r="DY153" s="747">
        <f>$G153*$H153*(1+$K153)^MAX(ROUNDUP(IFERROR(DATEDIF($I153-1,DY$15+1,"m"),)/12,)-1,)*Index!DU$22*(DY$15&lt;=$J153)*(1-DY$12)</f>
        <v>0</v>
      </c>
      <c r="DZ153" s="747">
        <f>$G153*$H153*(1+$K153)^MAX(ROUNDUP(IFERROR(DATEDIF($I153-1,DZ$15+1,"m"),)/12,)-1,)*Index!DV$22*(DZ$15&lt;=$J153)*(1-DZ$12)</f>
        <v>0</v>
      </c>
      <c r="EA153" s="747">
        <f>$G153*$H153*(1+$K153)^MAX(ROUNDUP(IFERROR(DATEDIF($I153-1,EA$15+1,"m"),)/12,)-1,)*Index!DW$22*(EA$15&lt;=$J153)*(1-EA$12)</f>
        <v>0</v>
      </c>
      <c r="EB153" s="747">
        <f>$G153*$H153*(1+$K153)^MAX(ROUNDUP(IFERROR(DATEDIF($I153-1,EB$15+1,"m"),)/12,)-1,)*Index!DX$22*(EB$15&lt;=$J153)*(1-EB$12)</f>
        <v>0</v>
      </c>
      <c r="EC153" s="747">
        <f>$G153*$H153*(1+$K153)^MAX(ROUNDUP(IFERROR(DATEDIF($I153-1,EC$15+1,"m"),)/12,)-1,)*Index!DY$22*(EC$15&lt;=$J153)*(1-EC$12)</f>
        <v>0</v>
      </c>
      <c r="ED153" s="747">
        <f>$G153*$H153*(1+$K153)^MAX(ROUNDUP(IFERROR(DATEDIF($I153-1,ED$15+1,"m"),)/12,)-1,)*Index!DZ$22*(ED$15&lt;=$J153)*(1-ED$12)</f>
        <v>0</v>
      </c>
      <c r="EE153" s="747">
        <f>$G153*$H153*(1+$K153)^MAX(ROUNDUP(IFERROR(DATEDIF($I153-1,EE$15+1,"m"),)/12,)-1,)*Index!EA$22*(EE$15&lt;=$J153)*(1-EE$12)</f>
        <v>0</v>
      </c>
      <c r="EF153" s="747">
        <f>$G153*$H153*(1+$K153)^MAX(ROUNDUP(IFERROR(DATEDIF($I153-1,EF$15+1,"m"),)/12,)-1,)*Index!EB$22*(EF$15&lt;=$J153)*(1-EF$12)</f>
        <v>0</v>
      </c>
      <c r="EG153" s="747">
        <f>$G153*$H153*(1+$K153)^MAX(ROUNDUP(IFERROR(DATEDIF($I153-1,EG$15+1,"m"),)/12,)-1,)*Index!EC$22*(EG$15&lt;=$J153)*(1-EG$12)</f>
        <v>0</v>
      </c>
      <c r="EH153" s="747">
        <f>$G153*$H153*(1+$K153)^MAX(ROUNDUP(IFERROR(DATEDIF($I153-1,EH$15+1,"m"),)/12,)-1,)*Index!ED$22*(EH$15&lt;=$J153)*(1-EH$12)</f>
        <v>0</v>
      </c>
      <c r="EI153" s="747">
        <f>$G153*$H153*(1+$K153)^MAX(ROUNDUP(IFERROR(DATEDIF($I153-1,EI$15+1,"m"),)/12,)-1,)*Index!EE$22*(EI$15&lt;=$J153)*(1-EI$12)</f>
        <v>0</v>
      </c>
      <c r="EJ153" s="747">
        <f>$G153*$H153*(1+$K153)^MAX(ROUNDUP(IFERROR(DATEDIF($I153-1,EJ$15+1,"m"),)/12,)-1,)*Index!EF$22*(EJ$15&lt;=$J153)*(1-EJ$12)</f>
        <v>0</v>
      </c>
      <c r="EK153" s="747">
        <f>$G153*$H153*(1+$K153)^MAX(ROUNDUP(IFERROR(DATEDIF($I153-1,EK$15+1,"m"),)/12,)-1,)*Index!EG$22*(EK$15&lt;=$J153)*(1-EK$12)</f>
        <v>0</v>
      </c>
      <c r="EL153" s="747">
        <f>$G153*$H153*(1+$K153)^MAX(ROUNDUP(IFERROR(DATEDIF($I153-1,EL$15+1,"m"),)/12,)-1,)*Index!EH$22*(EL$15&lt;=$J153)*(1-EL$12)</f>
        <v>0</v>
      </c>
      <c r="EM153" s="747">
        <f>$G153*$H153*(1+$K153)^MAX(ROUNDUP(IFERROR(DATEDIF($I153-1,EM$15+1,"m"),)/12,)-1,)*Index!EI$22*(EM$15&lt;=$J153)*(1-EM$12)</f>
        <v>0</v>
      </c>
      <c r="EN153" s="747">
        <f>$G153*$H153*(1+$K153)^MAX(ROUNDUP(IFERROR(DATEDIF($I153-1,EN$15+1,"m"),)/12,)-1,)*Index!EJ$22*(EN$15&lt;=$J153)*(1-EN$12)</f>
        <v>0</v>
      </c>
      <c r="EO153" s="747">
        <f>$G153*$H153*(1+$K153)^MAX(ROUNDUP(IFERROR(DATEDIF($I153-1,EO$15+1,"m"),)/12,)-1,)*Index!EK$22*(EO$15&lt;=$J153)*(1-EO$12)</f>
        <v>0</v>
      </c>
      <c r="EP153" s="747">
        <f>$G153*$H153*(1+$K153)^MAX(ROUNDUP(IFERROR(DATEDIF($I153-1,EP$15+1,"m"),)/12,)-1,)*Index!EL$22*(EP$15&lt;=$J153)*(1-EP$12)</f>
        <v>0</v>
      </c>
      <c r="EQ153" s="747">
        <f>$G153*$H153*(1+$K153)^MAX(ROUNDUP(IFERROR(DATEDIF($I153-1,EQ$15+1,"m"),)/12,)-1,)*Index!EM$22*(EQ$15&lt;=$J153)*(1-EQ$12)</f>
        <v>0</v>
      </c>
      <c r="ER153" s="747">
        <f>$G153*$H153*(1+$K153)^MAX(ROUNDUP(IFERROR(DATEDIF($I153-1,ER$15+1,"m"),)/12,)-1,)*Index!EN$22*(ER$15&lt;=$J153)*(1-ER$12)</f>
        <v>0</v>
      </c>
      <c r="ES153" s="747">
        <f>$G153*$H153*(1+$K153)^MAX(ROUNDUP(IFERROR(DATEDIF($I153-1,ES$15+1,"m"),)/12,)-1,)*Index!EO$22*(ES$15&lt;=$J153)*(1-ES$12)</f>
        <v>0</v>
      </c>
      <c r="ET153" s="747">
        <f>$G153*$H153*(1+$K153)^MAX(ROUNDUP(IFERROR(DATEDIF($I153-1,ET$15+1,"m"),)/12,)-1,)*Index!EP$22*(ET$15&lt;=$J153)*(1-ET$12)</f>
        <v>0</v>
      </c>
      <c r="EU153" s="747">
        <f>$G153*$H153*(1+$K153)^MAX(ROUNDUP(IFERROR(DATEDIF($I153-1,EU$15+1,"m"),)/12,)-1,)*Index!EQ$22*(EU$15&lt;=$J153)*(1-EU$12)</f>
        <v>0</v>
      </c>
    </row>
    <row r="154" spans="3:151" ht="11.25" customHeight="1">
      <c r="C154" s="735"/>
      <c r="D154" s="743">
        <f t="shared" si="237"/>
        <v>1</v>
      </c>
      <c r="E154" s="704" t="str">
        <f t="shared" si="237"/>
        <v>지오영</v>
      </c>
      <c r="F154" s="704" t="str">
        <f t="shared" si="237"/>
        <v>상온창고</v>
      </c>
      <c r="G154" s="781">
        <f>'A&amp;R'!AD17/1000</f>
        <v>3</v>
      </c>
      <c r="H154" s="744">
        <f>'A&amp;R'!Y17</f>
        <v>1092.94</v>
      </c>
      <c r="I154" s="745">
        <f t="shared" si="238"/>
        <v>45689</v>
      </c>
      <c r="J154" s="745">
        <f t="shared" si="238"/>
        <v>49340</v>
      </c>
      <c r="K154" s="754">
        <f t="shared" si="238"/>
        <v>2.5000000000000001E-2</v>
      </c>
      <c r="L154" s="711"/>
      <c r="M154" s="722"/>
      <c r="N154" s="747">
        <f t="shared" si="239"/>
        <v>371213.51199691306</v>
      </c>
      <c r="O154" s="733"/>
      <c r="P154" s="747">
        <f>$G154*$H154*(1+$K154)^MAX(ROUNDUP(IFERROR(DATEDIF($I154-1,P$15+1,"m"),)/12,)-1,)*Index!L$22*(P$15&lt;=$J154)*(1-P$12)</f>
        <v>0</v>
      </c>
      <c r="Q154" s="747">
        <f>$G154*$H154*(1+$K154)^MAX(ROUNDUP(IFERROR(DATEDIF($I154-1,Q$15+1,"m"),)/12,)-1,)*Index!M$22*(Q$15&lt;=$J154)*(1-Q$12)</f>
        <v>3360.7905000000001</v>
      </c>
      <c r="R154" s="747">
        <f>$G154*$H154*(1+$K154)^MAX(ROUNDUP(IFERROR(DATEDIF($I154-1,R$15+1,"m"),)/12,)-1,)*Index!N$22*(R$15&lt;=$J154)*(1-R$12)</f>
        <v>3360.7905000000001</v>
      </c>
      <c r="S154" s="747">
        <f>$G154*$H154*(1+$K154)^MAX(ROUNDUP(IFERROR(DATEDIF($I154-1,S$15+1,"m"),)/12,)-1,)*Index!O$22*(S$15&lt;=$J154)*(1-S$12)</f>
        <v>3360.7905000000001</v>
      </c>
      <c r="T154" s="747">
        <f>$G154*$H154*(1+$K154)^MAX(ROUNDUP(IFERROR(DATEDIF($I154-1,T$15+1,"m"),)/12,)-1,)*Index!P$22*(T$15&lt;=$J154)*(1-T$12)</f>
        <v>3444.8102625000001</v>
      </c>
      <c r="U154" s="747">
        <f>$G154*$H154*(1+$K154)^MAX(ROUNDUP(IFERROR(DATEDIF($I154-1,U$15+1,"m"),)/12,)-1,)*Index!Q$22*(U$15&lt;=$J154)*(1-U$12)</f>
        <v>3444.8102625000001</v>
      </c>
      <c r="V154" s="747">
        <f>$G154*$H154*(1+$K154)^MAX(ROUNDUP(IFERROR(DATEDIF($I154-1,V$15+1,"m"),)/12,)-1,)*Index!R$22*(V$15&lt;=$J154)*(1-V$12)</f>
        <v>3444.8102625000001</v>
      </c>
      <c r="W154" s="747">
        <f>$G154*$H154*(1+$K154)^MAX(ROUNDUP(IFERROR(DATEDIF($I154-1,W$15+1,"m"),)/12,)-1,)*Index!S$22*(W$15&lt;=$J154)*(1-W$12)</f>
        <v>3444.8102625000001</v>
      </c>
      <c r="X154" s="747">
        <f>$G154*$H154*(1+$K154)^MAX(ROUNDUP(IFERROR(DATEDIF($I154-1,X$15+1,"m"),)/12,)-1,)*Index!T$22*(X$15&lt;=$J154)*(1-X$12)</f>
        <v>3444.8102625000001</v>
      </c>
      <c r="Y154" s="747">
        <f>$G154*$H154*(1+$K154)^MAX(ROUNDUP(IFERROR(DATEDIF($I154-1,Y$15+1,"m"),)/12,)-1,)*Index!U$22*(Y$15&lt;=$J154)*(1-Y$12)</f>
        <v>3444.8102625000001</v>
      </c>
      <c r="Z154" s="747">
        <f>$G154*$H154*(1+$K154)^MAX(ROUNDUP(IFERROR(DATEDIF($I154-1,Z$15+1,"m"),)/12,)-1,)*Index!V$22*(Z$15&lt;=$J154)*(1-Z$12)</f>
        <v>3444.8102625000001</v>
      </c>
      <c r="AA154" s="747">
        <f>$G154*$H154*(1+$K154)^MAX(ROUNDUP(IFERROR(DATEDIF($I154-1,AA$15+1,"m"),)/12,)-1,)*Index!W$22*(AA$15&lt;=$J154)*(1-AA$12)</f>
        <v>3444.8102625000001</v>
      </c>
      <c r="AB154" s="747">
        <f>$G154*$H154*(1+$K154)^MAX(ROUNDUP(IFERROR(DATEDIF($I154-1,AB$15+1,"m"),)/12,)-1,)*Index!X$22*(AB$15&lt;=$J154)*(1-AB$12)</f>
        <v>3444.8102625000001</v>
      </c>
      <c r="AC154" s="747">
        <f>$G154*$H154*(1+$K154)^MAX(ROUNDUP(IFERROR(DATEDIF($I154-1,AC$15+1,"m"),)/12,)-1,)*Index!Y$22*(AC$15&lt;=$J154)*(1-AC$12)</f>
        <v>3444.8102625000001</v>
      </c>
      <c r="AD154" s="747">
        <f>$G154*$H154*(1+$K154)^MAX(ROUNDUP(IFERROR(DATEDIF($I154-1,AD$15+1,"m"),)/12,)-1,)*Index!Z$22*(AD$15&lt;=$J154)*(1-AD$12)</f>
        <v>3444.8102625000001</v>
      </c>
      <c r="AE154" s="747">
        <f>$G154*$H154*(1+$K154)^MAX(ROUNDUP(IFERROR(DATEDIF($I154-1,AE$15+1,"m"),)/12,)-1,)*Index!AA$22*(AE$15&lt;=$J154)*(1-AE$12)</f>
        <v>3444.8102625000001</v>
      </c>
      <c r="AF154" s="747">
        <f>$G154*$H154*(1+$K154)^MAX(ROUNDUP(IFERROR(DATEDIF($I154-1,AF$15+1,"m"),)/12,)-1,)*Index!AB$22*(AF$15&lt;=$J154)*(1-AF$12)</f>
        <v>3530.9305190624996</v>
      </c>
      <c r="AG154" s="747">
        <f>$G154*$H154*(1+$K154)^MAX(ROUNDUP(IFERROR(DATEDIF($I154-1,AG$15+1,"m"),)/12,)-1,)*Index!AC$22*(AG$15&lt;=$J154)*(1-AG$12)</f>
        <v>3530.9305190624996</v>
      </c>
      <c r="AH154" s="747">
        <f>$G154*$H154*(1+$K154)^MAX(ROUNDUP(IFERROR(DATEDIF($I154-1,AH$15+1,"m"),)/12,)-1,)*Index!AD$22*(AH$15&lt;=$J154)*(1-AH$12)</f>
        <v>3530.9305190624996</v>
      </c>
      <c r="AI154" s="747">
        <f>$G154*$H154*(1+$K154)^MAX(ROUNDUP(IFERROR(DATEDIF($I154-1,AI$15+1,"m"),)/12,)-1,)*Index!AE$22*(AI$15&lt;=$J154)*(1-AI$12)</f>
        <v>3530.9305190624996</v>
      </c>
      <c r="AJ154" s="747">
        <f>$G154*$H154*(1+$K154)^MAX(ROUNDUP(IFERROR(DATEDIF($I154-1,AJ$15+1,"m"),)/12,)-1,)*Index!AF$22*(AJ$15&lt;=$J154)*(1-AJ$12)</f>
        <v>3530.9305190624996</v>
      </c>
      <c r="AK154" s="747">
        <f>$G154*$H154*(1+$K154)^MAX(ROUNDUP(IFERROR(DATEDIF($I154-1,AK$15+1,"m"),)/12,)-1,)*Index!AG$22*(AK$15&lt;=$J154)*(1-AK$12)</f>
        <v>3530.9305190624996</v>
      </c>
      <c r="AL154" s="747">
        <f>$G154*$H154*(1+$K154)^MAX(ROUNDUP(IFERROR(DATEDIF($I154-1,AL$15+1,"m"),)/12,)-1,)*Index!AH$22*(AL$15&lt;=$J154)*(1-AL$12)</f>
        <v>3530.9305190624996</v>
      </c>
      <c r="AM154" s="747">
        <f>$G154*$H154*(1+$K154)^MAX(ROUNDUP(IFERROR(DATEDIF($I154-1,AM$15+1,"m"),)/12,)-1,)*Index!AI$22*(AM$15&lt;=$J154)*(1-AM$12)</f>
        <v>3530.9305190624996</v>
      </c>
      <c r="AN154" s="747">
        <f>$G154*$H154*(1+$K154)^MAX(ROUNDUP(IFERROR(DATEDIF($I154-1,AN$15+1,"m"),)/12,)-1,)*Index!AJ$22*(AN$15&lt;=$J154)*(1-AN$12)</f>
        <v>3530.9305190624996</v>
      </c>
      <c r="AO154" s="747">
        <f>$G154*$H154*(1+$K154)^MAX(ROUNDUP(IFERROR(DATEDIF($I154-1,AO$15+1,"m"),)/12,)-1,)*Index!AK$22*(AO$15&lt;=$J154)*(1-AO$12)</f>
        <v>3530.9305190624996</v>
      </c>
      <c r="AP154" s="747">
        <f>$G154*$H154*(1+$K154)^MAX(ROUNDUP(IFERROR(DATEDIF($I154-1,AP$15+1,"m"),)/12,)-1,)*Index!AL$22*(AP$15&lt;=$J154)*(1-AP$12)</f>
        <v>3530.9305190624996</v>
      </c>
      <c r="AQ154" s="747">
        <f>$G154*$H154*(1+$K154)^MAX(ROUNDUP(IFERROR(DATEDIF($I154-1,AQ$15+1,"m"),)/12,)-1,)*Index!AM$22*(AQ$15&lt;=$J154)*(1-AQ$12)</f>
        <v>3530.9305190624996</v>
      </c>
      <c r="AR154" s="747">
        <f>$G154*$H154*(1+$K154)^MAX(ROUNDUP(IFERROR(DATEDIF($I154-1,AR$15+1,"m"),)/12,)-1,)*Index!AN$22*(AR$15&lt;=$J154)*(1-AR$12)</f>
        <v>3619.2037820390619</v>
      </c>
      <c r="AS154" s="747">
        <f>$G154*$H154*(1+$K154)^MAX(ROUNDUP(IFERROR(DATEDIF($I154-1,AS$15+1,"m"),)/12,)-1,)*Index!AO$22*(AS$15&lt;=$J154)*(1-AS$12)</f>
        <v>3619.2037820390619</v>
      </c>
      <c r="AT154" s="747">
        <f>$G154*$H154*(1+$K154)^MAX(ROUNDUP(IFERROR(DATEDIF($I154-1,AT$15+1,"m"),)/12,)-1,)*Index!AP$22*(AT$15&lt;=$J154)*(1-AT$12)</f>
        <v>3619.2037820390619</v>
      </c>
      <c r="AU154" s="747">
        <f>$G154*$H154*(1+$K154)^MAX(ROUNDUP(IFERROR(DATEDIF($I154-1,AU$15+1,"m"),)/12,)-1,)*Index!AQ$22*(AU$15&lt;=$J154)*(1-AU$12)</f>
        <v>3619.2037820390619</v>
      </c>
      <c r="AV154" s="747">
        <f>$G154*$H154*(1+$K154)^MAX(ROUNDUP(IFERROR(DATEDIF($I154-1,AV$15+1,"m"),)/12,)-1,)*Index!AR$22*(AV$15&lt;=$J154)*(1-AV$12)</f>
        <v>3619.2037820390619</v>
      </c>
      <c r="AW154" s="747">
        <f>$G154*$H154*(1+$K154)^MAX(ROUNDUP(IFERROR(DATEDIF($I154-1,AW$15+1,"m"),)/12,)-1,)*Index!AS$22*(AW$15&lt;=$J154)*(1-AW$12)</f>
        <v>3619.2037820390619</v>
      </c>
      <c r="AX154" s="747">
        <f>$G154*$H154*(1+$K154)^MAX(ROUNDUP(IFERROR(DATEDIF($I154-1,AX$15+1,"m"),)/12,)-1,)*Index!AT$22*(AX$15&lt;=$J154)*(1-AX$12)</f>
        <v>3619.2037820390619</v>
      </c>
      <c r="AY154" s="747">
        <f>$G154*$H154*(1+$K154)^MAX(ROUNDUP(IFERROR(DATEDIF($I154-1,AY$15+1,"m"),)/12,)-1,)*Index!AU$22*(AY$15&lt;=$J154)*(1-AY$12)</f>
        <v>3619.2037820390619</v>
      </c>
      <c r="AZ154" s="747">
        <f>$G154*$H154*(1+$K154)^MAX(ROUNDUP(IFERROR(DATEDIF($I154-1,AZ$15+1,"m"),)/12,)-1,)*Index!AV$22*(AZ$15&lt;=$J154)*(1-AZ$12)</f>
        <v>3619.2037820390619</v>
      </c>
      <c r="BA154" s="747">
        <f>$G154*$H154*(1+$K154)^MAX(ROUNDUP(IFERROR(DATEDIF($I154-1,BA$15+1,"m"),)/12,)-1,)*Index!AW$22*(BA$15&lt;=$J154)*(1-BA$12)</f>
        <v>3619.2037820390619</v>
      </c>
      <c r="BB154" s="747">
        <f>$G154*$H154*(1+$K154)^MAX(ROUNDUP(IFERROR(DATEDIF($I154-1,BB$15+1,"m"),)/12,)-1,)*Index!AX$22*(BB$15&lt;=$J154)*(1-BB$12)</f>
        <v>3619.2037820390619</v>
      </c>
      <c r="BC154" s="747">
        <f>$G154*$H154*(1+$K154)^MAX(ROUNDUP(IFERROR(DATEDIF($I154-1,BC$15+1,"m"),)/12,)-1,)*Index!AY$22*(BC$15&lt;=$J154)*(1-BC$12)</f>
        <v>3619.2037820390619</v>
      </c>
      <c r="BD154" s="747">
        <f>$G154*$H154*(1+$K154)^MAX(ROUNDUP(IFERROR(DATEDIF($I154-1,BD$15+1,"m"),)/12,)-1,)*Index!AZ$22*(BD$15&lt;=$J154)*(1-BD$12)</f>
        <v>3709.6838765900379</v>
      </c>
      <c r="BE154" s="747">
        <f>$G154*$H154*(1+$K154)^MAX(ROUNDUP(IFERROR(DATEDIF($I154-1,BE$15+1,"m"),)/12,)-1,)*Index!BA$22*(BE$15&lt;=$J154)*(1-BE$12)</f>
        <v>3709.6838765900379</v>
      </c>
      <c r="BF154" s="747">
        <f>$G154*$H154*(1+$K154)^MAX(ROUNDUP(IFERROR(DATEDIF($I154-1,BF$15+1,"m"),)/12,)-1,)*Index!BB$22*(BF$15&lt;=$J154)*(1-BF$12)</f>
        <v>3709.6838765900379</v>
      </c>
      <c r="BG154" s="747">
        <f>$G154*$H154*(1+$K154)^MAX(ROUNDUP(IFERROR(DATEDIF($I154-1,BG$15+1,"m"),)/12,)-1,)*Index!BC$22*(BG$15&lt;=$J154)*(1-BG$12)</f>
        <v>3709.6838765900379</v>
      </c>
      <c r="BH154" s="747">
        <f>$G154*$H154*(1+$K154)^MAX(ROUNDUP(IFERROR(DATEDIF($I154-1,BH$15+1,"m"),)/12,)-1,)*Index!BD$22*(BH$15&lt;=$J154)*(1-BH$12)</f>
        <v>3709.6838765900379</v>
      </c>
      <c r="BI154" s="747">
        <f>$G154*$H154*(1+$K154)^MAX(ROUNDUP(IFERROR(DATEDIF($I154-1,BI$15+1,"m"),)/12,)-1,)*Index!BE$22*(BI$15&lt;=$J154)*(1-BI$12)</f>
        <v>3709.6838765900379</v>
      </c>
      <c r="BJ154" s="747">
        <f>$G154*$H154*(1+$K154)^MAX(ROUNDUP(IFERROR(DATEDIF($I154-1,BJ$15+1,"m"),)/12,)-1,)*Index!BF$22*(BJ$15&lt;=$J154)*(1-BJ$12)</f>
        <v>3709.6838765900379</v>
      </c>
      <c r="BK154" s="747">
        <f>$G154*$H154*(1+$K154)^MAX(ROUNDUP(IFERROR(DATEDIF($I154-1,BK$15+1,"m"),)/12,)-1,)*Index!BG$22*(BK$15&lt;=$J154)*(1-BK$12)</f>
        <v>3709.6838765900379</v>
      </c>
      <c r="BL154" s="747">
        <f>$G154*$H154*(1+$K154)^MAX(ROUNDUP(IFERROR(DATEDIF($I154-1,BL$15+1,"m"),)/12,)-1,)*Index!BH$22*(BL$15&lt;=$J154)*(1-BL$12)</f>
        <v>3709.6838765900379</v>
      </c>
      <c r="BM154" s="747">
        <f>$G154*$H154*(1+$K154)^MAX(ROUNDUP(IFERROR(DATEDIF($I154-1,BM$15+1,"m"),)/12,)-1,)*Index!BI$22*(BM$15&lt;=$J154)*(1-BM$12)</f>
        <v>3709.6838765900379</v>
      </c>
      <c r="BN154" s="747">
        <f>$G154*$H154*(1+$K154)^MAX(ROUNDUP(IFERROR(DATEDIF($I154-1,BN$15+1,"m"),)/12,)-1,)*Index!BJ$22*(BN$15&lt;=$J154)*(1-BN$12)</f>
        <v>3709.6838765900379</v>
      </c>
      <c r="BO154" s="747">
        <f>$G154*$H154*(1+$K154)^MAX(ROUNDUP(IFERROR(DATEDIF($I154-1,BO$15+1,"m"),)/12,)-1,)*Index!BK$22*(BO$15&lt;=$J154)*(1-BO$12)</f>
        <v>3709.6838765900379</v>
      </c>
      <c r="BP154" s="747">
        <f>$G154*$H154*(1+$K154)^MAX(ROUNDUP(IFERROR(DATEDIF($I154-1,BP$15+1,"m"),)/12,)-1,)*Index!BL$22*(BP$15&lt;=$J154)*(1-BP$12)</f>
        <v>3802.425973504789</v>
      </c>
      <c r="BQ154" s="747">
        <f>$G154*$H154*(1+$K154)^MAX(ROUNDUP(IFERROR(DATEDIF($I154-1,BQ$15+1,"m"),)/12,)-1,)*Index!BM$22*(BQ$15&lt;=$J154)*(1-BQ$12)</f>
        <v>3802.425973504789</v>
      </c>
      <c r="BR154" s="747">
        <f>$G154*$H154*(1+$K154)^MAX(ROUNDUP(IFERROR(DATEDIF($I154-1,BR$15+1,"m"),)/12,)-1,)*Index!BN$22*(BR$15&lt;=$J154)*(1-BR$12)</f>
        <v>3802.425973504789</v>
      </c>
      <c r="BS154" s="747">
        <f>$G154*$H154*(1+$K154)^MAX(ROUNDUP(IFERROR(DATEDIF($I154-1,BS$15+1,"m"),)/12,)-1,)*Index!BO$22*(BS$15&lt;=$J154)*(1-BS$12)</f>
        <v>3802.425973504789</v>
      </c>
      <c r="BT154" s="747">
        <f>$G154*$H154*(1+$K154)^MAX(ROUNDUP(IFERROR(DATEDIF($I154-1,BT$15+1,"m"),)/12,)-1,)*Index!BP$22*(BT$15&lt;=$J154)*(1-BT$12)</f>
        <v>3802.425973504789</v>
      </c>
      <c r="BU154" s="747">
        <f>$G154*$H154*(1+$K154)^MAX(ROUNDUP(IFERROR(DATEDIF($I154-1,BU$15+1,"m"),)/12,)-1,)*Index!BQ$22*(BU$15&lt;=$J154)*(1-BU$12)</f>
        <v>3802.425973504789</v>
      </c>
      <c r="BV154" s="747">
        <f>$G154*$H154*(1+$K154)^MAX(ROUNDUP(IFERROR(DATEDIF($I154-1,BV$15+1,"m"),)/12,)-1,)*Index!BR$22*(BV$15&lt;=$J154)*(1-BV$12)</f>
        <v>3802.425973504789</v>
      </c>
      <c r="BW154" s="747">
        <f>$G154*$H154*(1+$K154)^MAX(ROUNDUP(IFERROR(DATEDIF($I154-1,BW$15+1,"m"),)/12,)-1,)*Index!BS$22*(BW$15&lt;=$J154)*(1-BW$12)</f>
        <v>3802.425973504789</v>
      </c>
      <c r="BX154" s="747">
        <f>$G154*$H154*(1+$K154)^MAX(ROUNDUP(IFERROR(DATEDIF($I154-1,BX$15+1,"m"),)/12,)-1,)*Index!BT$22*(BX$15&lt;=$J154)*(1-BX$12)</f>
        <v>3802.425973504789</v>
      </c>
      <c r="BY154" s="747">
        <f>$G154*$H154*(1+$K154)^MAX(ROUNDUP(IFERROR(DATEDIF($I154-1,BY$15+1,"m"),)/12,)-1,)*Index!BU$22*(BY$15&lt;=$J154)*(1-BY$12)</f>
        <v>3802.425973504789</v>
      </c>
      <c r="BZ154" s="747">
        <f>$G154*$H154*(1+$K154)^MAX(ROUNDUP(IFERROR(DATEDIF($I154-1,BZ$15+1,"m"),)/12,)-1,)*Index!BV$22*(BZ$15&lt;=$J154)*(1-BZ$12)</f>
        <v>3802.425973504789</v>
      </c>
      <c r="CA154" s="747">
        <f>$G154*$H154*(1+$K154)^MAX(ROUNDUP(IFERROR(DATEDIF($I154-1,CA$15+1,"m"),)/12,)-1,)*Index!BW$22*(CA$15&lt;=$J154)*(1-CA$12)</f>
        <v>3802.425973504789</v>
      </c>
      <c r="CB154" s="747">
        <f>$G154*$H154*(1+$K154)^MAX(ROUNDUP(IFERROR(DATEDIF($I154-1,CB$15+1,"m"),)/12,)-1,)*Index!BX$22*(CB$15&lt;=$J154)*(1-CB$12)</f>
        <v>3897.4866228424089</v>
      </c>
      <c r="CC154" s="747">
        <f>$G154*$H154*(1+$K154)^MAX(ROUNDUP(IFERROR(DATEDIF($I154-1,CC$15+1,"m"),)/12,)-1,)*Index!BY$22*(CC$15&lt;=$J154)*(1-CC$12)</f>
        <v>3897.4866228424089</v>
      </c>
      <c r="CD154" s="747">
        <f>$G154*$H154*(1+$K154)^MAX(ROUNDUP(IFERROR(DATEDIF($I154-1,CD$15+1,"m"),)/12,)-1,)*Index!BZ$22*(CD$15&lt;=$J154)*(1-CD$12)</f>
        <v>3897.4866228424089</v>
      </c>
      <c r="CE154" s="747">
        <f>$G154*$H154*(1+$K154)^MAX(ROUNDUP(IFERROR(DATEDIF($I154-1,CE$15+1,"m"),)/12,)-1,)*Index!CA$22*(CE$15&lt;=$J154)*(1-CE$12)</f>
        <v>3897.4866228424089</v>
      </c>
      <c r="CF154" s="747">
        <f>$G154*$H154*(1+$K154)^MAX(ROUNDUP(IFERROR(DATEDIF($I154-1,CF$15+1,"m"),)/12,)-1,)*Index!CB$22*(CF$15&lt;=$J154)*(1-CF$12)</f>
        <v>3897.4866228424089</v>
      </c>
      <c r="CG154" s="747">
        <f>$G154*$H154*(1+$K154)^MAX(ROUNDUP(IFERROR(DATEDIF($I154-1,CG$15+1,"m"),)/12,)-1,)*Index!CC$22*(CG$15&lt;=$J154)*(1-CG$12)</f>
        <v>3897.4866228424089</v>
      </c>
      <c r="CH154" s="747">
        <f>$G154*$H154*(1+$K154)^MAX(ROUNDUP(IFERROR(DATEDIF($I154-1,CH$15+1,"m"),)/12,)-1,)*Index!CD$22*(CH$15&lt;=$J154)*(1-CH$12)</f>
        <v>3897.4866228424089</v>
      </c>
      <c r="CI154" s="747">
        <f>$G154*$H154*(1+$K154)^MAX(ROUNDUP(IFERROR(DATEDIF($I154-1,CI$15+1,"m"),)/12,)-1,)*Index!CE$22*(CI$15&lt;=$J154)*(1-CI$12)</f>
        <v>3897.4866228424089</v>
      </c>
      <c r="CJ154" s="747">
        <f>$G154*$H154*(1+$K154)^MAX(ROUNDUP(IFERROR(DATEDIF($I154-1,CJ$15+1,"m"),)/12,)-1,)*Index!CF$22*(CJ$15&lt;=$J154)*(1-CJ$12)</f>
        <v>3897.4866228424089</v>
      </c>
      <c r="CK154" s="747">
        <f>$G154*$H154*(1+$K154)^MAX(ROUNDUP(IFERROR(DATEDIF($I154-1,CK$15+1,"m"),)/12,)-1,)*Index!CG$22*(CK$15&lt;=$J154)*(1-CK$12)</f>
        <v>3897.4866228424089</v>
      </c>
      <c r="CL154" s="747">
        <f>$G154*$H154*(1+$K154)^MAX(ROUNDUP(IFERROR(DATEDIF($I154-1,CL$15+1,"m"),)/12,)-1,)*Index!CH$22*(CL$15&lt;=$J154)*(1-CL$12)</f>
        <v>3897.4866228424089</v>
      </c>
      <c r="CM154" s="747">
        <f>$G154*$H154*(1+$K154)^MAX(ROUNDUP(IFERROR(DATEDIF($I154-1,CM$15+1,"m"),)/12,)-1,)*Index!CI$22*(CM$15&lt;=$J154)*(1-CM$12)</f>
        <v>3897.4866228424089</v>
      </c>
      <c r="CN154" s="747">
        <f>$G154*$H154*(1+$K154)^MAX(ROUNDUP(IFERROR(DATEDIF($I154-1,CN$15+1,"m"),)/12,)-1,)*Index!CJ$22*(CN$15&lt;=$J154)*(1-CN$12)</f>
        <v>3994.9237884134686</v>
      </c>
      <c r="CO154" s="747">
        <f>$G154*$H154*(1+$K154)^MAX(ROUNDUP(IFERROR(DATEDIF($I154-1,CO$15+1,"m"),)/12,)-1,)*Index!CK$22*(CO$15&lt;=$J154)*(1-CO$12)</f>
        <v>3994.9237884134686</v>
      </c>
      <c r="CP154" s="747">
        <f>$G154*$H154*(1+$K154)^MAX(ROUNDUP(IFERROR(DATEDIF($I154-1,CP$15+1,"m"),)/12,)-1,)*Index!CL$22*(CP$15&lt;=$J154)*(1-CP$12)</f>
        <v>3994.9237884134686</v>
      </c>
      <c r="CQ154" s="747">
        <f>$G154*$H154*(1+$K154)^MAX(ROUNDUP(IFERROR(DATEDIF($I154-1,CQ$15+1,"m"),)/12,)-1,)*Index!CM$22*(CQ$15&lt;=$J154)*(1-CQ$12)</f>
        <v>3994.9237884134686</v>
      </c>
      <c r="CR154" s="747">
        <f>$G154*$H154*(1+$K154)^MAX(ROUNDUP(IFERROR(DATEDIF($I154-1,CR$15+1,"m"),)/12,)-1,)*Index!CN$22*(CR$15&lt;=$J154)*(1-CR$12)</f>
        <v>3994.9237884134686</v>
      </c>
      <c r="CS154" s="747">
        <f>$G154*$H154*(1+$K154)^MAX(ROUNDUP(IFERROR(DATEDIF($I154-1,CS$15+1,"m"),)/12,)-1,)*Index!CO$22*(CS$15&lt;=$J154)*(1-CS$12)</f>
        <v>3994.9237884134686</v>
      </c>
      <c r="CT154" s="747">
        <f>$G154*$H154*(1+$K154)^MAX(ROUNDUP(IFERROR(DATEDIF($I154-1,CT$15+1,"m"),)/12,)-1,)*Index!CP$22*(CT$15&lt;=$J154)*(1-CT$12)</f>
        <v>3994.9237884134686</v>
      </c>
      <c r="CU154" s="747">
        <f>$G154*$H154*(1+$K154)^MAX(ROUNDUP(IFERROR(DATEDIF($I154-1,CU$15+1,"m"),)/12,)-1,)*Index!CQ$22*(CU$15&lt;=$J154)*(1-CU$12)</f>
        <v>3994.9237884134686</v>
      </c>
      <c r="CV154" s="747">
        <f>$G154*$H154*(1+$K154)^MAX(ROUNDUP(IFERROR(DATEDIF($I154-1,CV$15+1,"m"),)/12,)-1,)*Index!CR$22*(CV$15&lt;=$J154)*(1-CV$12)</f>
        <v>3994.9237884134686</v>
      </c>
      <c r="CW154" s="747">
        <f>$G154*$H154*(1+$K154)^MAX(ROUNDUP(IFERROR(DATEDIF($I154-1,CW$15+1,"m"),)/12,)-1,)*Index!CS$22*(CW$15&lt;=$J154)*(1-CW$12)</f>
        <v>3994.9237884134686</v>
      </c>
      <c r="CX154" s="747">
        <f>$G154*$H154*(1+$K154)^MAX(ROUNDUP(IFERROR(DATEDIF($I154-1,CX$15+1,"m"),)/12,)-1,)*Index!CT$22*(CX$15&lt;=$J154)*(1-CX$12)</f>
        <v>3994.9237884134686</v>
      </c>
      <c r="CY154" s="747">
        <f>$G154*$H154*(1+$K154)^MAX(ROUNDUP(IFERROR(DATEDIF($I154-1,CY$15+1,"m"),)/12,)-1,)*Index!CU$22*(CY$15&lt;=$J154)*(1-CY$12)</f>
        <v>3994.9237884134686</v>
      </c>
      <c r="CZ154" s="747">
        <f>$G154*$H154*(1+$K154)^MAX(ROUNDUP(IFERROR(DATEDIF($I154-1,CZ$15+1,"m"),)/12,)-1,)*Index!CV$22*(CZ$15&lt;=$J154)*(1-CZ$12)</f>
        <v>4094.7968831238045</v>
      </c>
      <c r="DA154" s="747">
        <f>$G154*$H154*(1+$K154)^MAX(ROUNDUP(IFERROR(DATEDIF($I154-1,DA$15+1,"m"),)/12,)-1,)*Index!CW$22*(DA$15&lt;=$J154)*(1-DA$12)</f>
        <v>4094.7968831238045</v>
      </c>
      <c r="DB154" s="747">
        <f>$G154*$H154*(1+$K154)^MAX(ROUNDUP(IFERROR(DATEDIF($I154-1,DB$15+1,"m"),)/12,)-1,)*Index!CX$22*(DB$15&lt;=$J154)*(1-DB$12)</f>
        <v>4094.7968831238045</v>
      </c>
      <c r="DC154" s="747">
        <f>$G154*$H154*(1+$K154)^MAX(ROUNDUP(IFERROR(DATEDIF($I154-1,DC$15+1,"m"),)/12,)-1,)*Index!CY$22*(DC$15&lt;=$J154)*(1-DC$12)</f>
        <v>4094.7968831238045</v>
      </c>
      <c r="DD154" s="747">
        <f>$G154*$H154*(1+$K154)^MAX(ROUNDUP(IFERROR(DATEDIF($I154-1,DD$15+1,"m"),)/12,)-1,)*Index!CZ$22*(DD$15&lt;=$J154)*(1-DD$12)</f>
        <v>4094.7968831238045</v>
      </c>
      <c r="DE154" s="747">
        <f>$G154*$H154*(1+$K154)^MAX(ROUNDUP(IFERROR(DATEDIF($I154-1,DE$15+1,"m"),)/12,)-1,)*Index!DA$22*(DE$15&lt;=$J154)*(1-DE$12)</f>
        <v>4094.7968831238045</v>
      </c>
      <c r="DF154" s="747">
        <f>$G154*$H154*(1+$K154)^MAX(ROUNDUP(IFERROR(DATEDIF($I154-1,DF$15+1,"m"),)/12,)-1,)*Index!DB$22*(DF$15&lt;=$J154)*(1-DF$12)</f>
        <v>4094.7968831238045</v>
      </c>
      <c r="DG154" s="747">
        <f>$G154*$H154*(1+$K154)^MAX(ROUNDUP(IFERROR(DATEDIF($I154-1,DG$15+1,"m"),)/12,)-1,)*Index!DC$22*(DG$15&lt;=$J154)*(1-DG$12)</f>
        <v>4094.7968831238045</v>
      </c>
      <c r="DH154" s="747">
        <f>$G154*$H154*(1+$K154)^MAX(ROUNDUP(IFERROR(DATEDIF($I154-1,DH$15+1,"m"),)/12,)-1,)*Index!DD$22*(DH$15&lt;=$J154)*(1-DH$12)</f>
        <v>4094.7968831238045</v>
      </c>
      <c r="DI154" s="747">
        <f>$G154*$H154*(1+$K154)^MAX(ROUNDUP(IFERROR(DATEDIF($I154-1,DI$15+1,"m"),)/12,)-1,)*Index!DE$22*(DI$15&lt;=$J154)*(1-DI$12)</f>
        <v>4094.7968831238045</v>
      </c>
      <c r="DJ154" s="747">
        <f>$G154*$H154*(1+$K154)^MAX(ROUNDUP(IFERROR(DATEDIF($I154-1,DJ$15+1,"m"),)/12,)-1,)*Index!DF$22*(DJ$15&lt;=$J154)*(1-DJ$12)</f>
        <v>4094.7968831238045</v>
      </c>
      <c r="DK154" s="747">
        <f>$G154*$H154*(1+$K154)^MAX(ROUNDUP(IFERROR(DATEDIF($I154-1,DK$15+1,"m"),)/12,)-1,)*Index!DG$22*(DK$15&lt;=$J154)*(1-DK$12)</f>
        <v>4094.7968831238045</v>
      </c>
      <c r="DL154" s="747">
        <f>$G154*$H154*(1+$K154)^MAX(ROUNDUP(IFERROR(DATEDIF($I154-1,DL$15+1,"m"),)/12,)-1,)*Index!DH$22*(DL$15&lt;=$J154)*(1-DL$12)</f>
        <v>0</v>
      </c>
      <c r="DM154" s="747">
        <f>$G154*$H154*(1+$K154)^MAX(ROUNDUP(IFERROR(DATEDIF($I154-1,DM$15+1,"m"),)/12,)-1,)*Index!DI$22*(DM$15&lt;=$J154)*(1-DM$12)</f>
        <v>0</v>
      </c>
      <c r="DN154" s="747">
        <f>$G154*$H154*(1+$K154)^MAX(ROUNDUP(IFERROR(DATEDIF($I154-1,DN$15+1,"m"),)/12,)-1,)*Index!DJ$22*(DN$15&lt;=$J154)*(1-DN$12)</f>
        <v>0</v>
      </c>
      <c r="DO154" s="747">
        <f>$G154*$H154*(1+$K154)^MAX(ROUNDUP(IFERROR(DATEDIF($I154-1,DO$15+1,"m"),)/12,)-1,)*Index!DK$22*(DO$15&lt;=$J154)*(1-DO$12)</f>
        <v>0</v>
      </c>
      <c r="DP154" s="747">
        <f>$G154*$H154*(1+$K154)^MAX(ROUNDUP(IFERROR(DATEDIF($I154-1,DP$15+1,"m"),)/12,)-1,)*Index!DL$22*(DP$15&lt;=$J154)*(1-DP$12)</f>
        <v>0</v>
      </c>
      <c r="DQ154" s="747">
        <f>$G154*$H154*(1+$K154)^MAX(ROUNDUP(IFERROR(DATEDIF($I154-1,DQ$15+1,"m"),)/12,)-1,)*Index!DM$22*(DQ$15&lt;=$J154)*(1-DQ$12)</f>
        <v>0</v>
      </c>
      <c r="DR154" s="747">
        <f>$G154*$H154*(1+$K154)^MAX(ROUNDUP(IFERROR(DATEDIF($I154-1,DR$15+1,"m"),)/12,)-1,)*Index!DN$22*(DR$15&lt;=$J154)*(1-DR$12)</f>
        <v>0</v>
      </c>
      <c r="DS154" s="747">
        <f>$G154*$H154*(1+$K154)^MAX(ROUNDUP(IFERROR(DATEDIF($I154-1,DS$15+1,"m"),)/12,)-1,)*Index!DO$22*(DS$15&lt;=$J154)*(1-DS$12)</f>
        <v>0</v>
      </c>
      <c r="DT154" s="747">
        <f>$G154*$H154*(1+$K154)^MAX(ROUNDUP(IFERROR(DATEDIF($I154-1,DT$15+1,"m"),)/12,)-1,)*Index!DP$22*(DT$15&lt;=$J154)*(1-DT$12)</f>
        <v>0</v>
      </c>
      <c r="DU154" s="747">
        <f>$G154*$H154*(1+$K154)^MAX(ROUNDUP(IFERROR(DATEDIF($I154-1,DU$15+1,"m"),)/12,)-1,)*Index!DQ$22*(DU$15&lt;=$J154)*(1-DU$12)</f>
        <v>0</v>
      </c>
      <c r="DV154" s="747">
        <f>$G154*$H154*(1+$K154)^MAX(ROUNDUP(IFERROR(DATEDIF($I154-1,DV$15+1,"m"),)/12,)-1,)*Index!DR$22*(DV$15&lt;=$J154)*(1-DV$12)</f>
        <v>0</v>
      </c>
      <c r="DW154" s="747">
        <f>$G154*$H154*(1+$K154)^MAX(ROUNDUP(IFERROR(DATEDIF($I154-1,DW$15+1,"m"),)/12,)-1,)*Index!DS$22*(DW$15&lt;=$J154)*(1-DW$12)</f>
        <v>0</v>
      </c>
      <c r="DX154" s="747">
        <f>$G154*$H154*(1+$K154)^MAX(ROUNDUP(IFERROR(DATEDIF($I154-1,DX$15+1,"m"),)/12,)-1,)*Index!DT$22*(DX$15&lt;=$J154)*(1-DX$12)</f>
        <v>0</v>
      </c>
      <c r="DY154" s="747">
        <f>$G154*$H154*(1+$K154)^MAX(ROUNDUP(IFERROR(DATEDIF($I154-1,DY$15+1,"m"),)/12,)-1,)*Index!DU$22*(DY$15&lt;=$J154)*(1-DY$12)</f>
        <v>0</v>
      </c>
      <c r="DZ154" s="747">
        <f>$G154*$H154*(1+$K154)^MAX(ROUNDUP(IFERROR(DATEDIF($I154-1,DZ$15+1,"m"),)/12,)-1,)*Index!DV$22*(DZ$15&lt;=$J154)*(1-DZ$12)</f>
        <v>0</v>
      </c>
      <c r="EA154" s="747">
        <f>$G154*$H154*(1+$K154)^MAX(ROUNDUP(IFERROR(DATEDIF($I154-1,EA$15+1,"m"),)/12,)-1,)*Index!DW$22*(EA$15&lt;=$J154)*(1-EA$12)</f>
        <v>0</v>
      </c>
      <c r="EB154" s="747">
        <f>$G154*$H154*(1+$K154)^MAX(ROUNDUP(IFERROR(DATEDIF($I154-1,EB$15+1,"m"),)/12,)-1,)*Index!DX$22*(EB$15&lt;=$J154)*(1-EB$12)</f>
        <v>0</v>
      </c>
      <c r="EC154" s="747">
        <f>$G154*$H154*(1+$K154)^MAX(ROUNDUP(IFERROR(DATEDIF($I154-1,EC$15+1,"m"),)/12,)-1,)*Index!DY$22*(EC$15&lt;=$J154)*(1-EC$12)</f>
        <v>0</v>
      </c>
      <c r="ED154" s="747">
        <f>$G154*$H154*(1+$K154)^MAX(ROUNDUP(IFERROR(DATEDIF($I154-1,ED$15+1,"m"),)/12,)-1,)*Index!DZ$22*(ED$15&lt;=$J154)*(1-ED$12)</f>
        <v>0</v>
      </c>
      <c r="EE154" s="747">
        <f>$G154*$H154*(1+$K154)^MAX(ROUNDUP(IFERROR(DATEDIF($I154-1,EE$15+1,"m"),)/12,)-1,)*Index!EA$22*(EE$15&lt;=$J154)*(1-EE$12)</f>
        <v>0</v>
      </c>
      <c r="EF154" s="747">
        <f>$G154*$H154*(1+$K154)^MAX(ROUNDUP(IFERROR(DATEDIF($I154-1,EF$15+1,"m"),)/12,)-1,)*Index!EB$22*(EF$15&lt;=$J154)*(1-EF$12)</f>
        <v>0</v>
      </c>
      <c r="EG154" s="747">
        <f>$G154*$H154*(1+$K154)^MAX(ROUNDUP(IFERROR(DATEDIF($I154-1,EG$15+1,"m"),)/12,)-1,)*Index!EC$22*(EG$15&lt;=$J154)*(1-EG$12)</f>
        <v>0</v>
      </c>
      <c r="EH154" s="747">
        <f>$G154*$H154*(1+$K154)^MAX(ROUNDUP(IFERROR(DATEDIF($I154-1,EH$15+1,"m"),)/12,)-1,)*Index!ED$22*(EH$15&lt;=$J154)*(1-EH$12)</f>
        <v>0</v>
      </c>
      <c r="EI154" s="747">
        <f>$G154*$H154*(1+$K154)^MAX(ROUNDUP(IFERROR(DATEDIF($I154-1,EI$15+1,"m"),)/12,)-1,)*Index!EE$22*(EI$15&lt;=$J154)*(1-EI$12)</f>
        <v>0</v>
      </c>
      <c r="EJ154" s="747">
        <f>$G154*$H154*(1+$K154)^MAX(ROUNDUP(IFERROR(DATEDIF($I154-1,EJ$15+1,"m"),)/12,)-1,)*Index!EF$22*(EJ$15&lt;=$J154)*(1-EJ$12)</f>
        <v>0</v>
      </c>
      <c r="EK154" s="747">
        <f>$G154*$H154*(1+$K154)^MAX(ROUNDUP(IFERROR(DATEDIF($I154-1,EK$15+1,"m"),)/12,)-1,)*Index!EG$22*(EK$15&lt;=$J154)*(1-EK$12)</f>
        <v>0</v>
      </c>
      <c r="EL154" s="747">
        <f>$G154*$H154*(1+$K154)^MAX(ROUNDUP(IFERROR(DATEDIF($I154-1,EL$15+1,"m"),)/12,)-1,)*Index!EH$22*(EL$15&lt;=$J154)*(1-EL$12)</f>
        <v>0</v>
      </c>
      <c r="EM154" s="747">
        <f>$G154*$H154*(1+$K154)^MAX(ROUNDUP(IFERROR(DATEDIF($I154-1,EM$15+1,"m"),)/12,)-1,)*Index!EI$22*(EM$15&lt;=$J154)*(1-EM$12)</f>
        <v>0</v>
      </c>
      <c r="EN154" s="747">
        <f>$G154*$H154*(1+$K154)^MAX(ROUNDUP(IFERROR(DATEDIF($I154-1,EN$15+1,"m"),)/12,)-1,)*Index!EJ$22*(EN$15&lt;=$J154)*(1-EN$12)</f>
        <v>0</v>
      </c>
      <c r="EO154" s="747">
        <f>$G154*$H154*(1+$K154)^MAX(ROUNDUP(IFERROR(DATEDIF($I154-1,EO$15+1,"m"),)/12,)-1,)*Index!EK$22*(EO$15&lt;=$J154)*(1-EO$12)</f>
        <v>0</v>
      </c>
      <c r="EP154" s="747">
        <f>$G154*$H154*(1+$K154)^MAX(ROUNDUP(IFERROR(DATEDIF($I154-1,EP$15+1,"m"),)/12,)-1,)*Index!EL$22*(EP$15&lt;=$J154)*(1-EP$12)</f>
        <v>0</v>
      </c>
      <c r="EQ154" s="747">
        <f>$G154*$H154*(1+$K154)^MAX(ROUNDUP(IFERROR(DATEDIF($I154-1,EQ$15+1,"m"),)/12,)-1,)*Index!EM$22*(EQ$15&lt;=$J154)*(1-EQ$12)</f>
        <v>0</v>
      </c>
      <c r="ER154" s="747">
        <f>$G154*$H154*(1+$K154)^MAX(ROUNDUP(IFERROR(DATEDIF($I154-1,ER$15+1,"m"),)/12,)-1,)*Index!EN$22*(ER$15&lt;=$J154)*(1-ER$12)</f>
        <v>0</v>
      </c>
      <c r="ES154" s="747">
        <f>$G154*$H154*(1+$K154)^MAX(ROUNDUP(IFERROR(DATEDIF($I154-1,ES$15+1,"m"),)/12,)-1,)*Index!EO$22*(ES$15&lt;=$J154)*(1-ES$12)</f>
        <v>0</v>
      </c>
      <c r="ET154" s="747">
        <f>$G154*$H154*(1+$K154)^MAX(ROUNDUP(IFERROR(DATEDIF($I154-1,ET$15+1,"m"),)/12,)-1,)*Index!EP$22*(ET$15&lt;=$J154)*(1-ET$12)</f>
        <v>0</v>
      </c>
      <c r="EU154" s="747">
        <f>$G154*$H154*(1+$K154)^MAX(ROUNDUP(IFERROR(DATEDIF($I154-1,EU$15+1,"m"),)/12,)-1,)*Index!EQ$22*(EU$15&lt;=$J154)*(1-EU$12)</f>
        <v>0</v>
      </c>
    </row>
    <row r="155" spans="3:151" ht="11.25" customHeight="1">
      <c r="C155" s="735"/>
      <c r="D155" s="743">
        <f t="shared" si="237"/>
        <v>1</v>
      </c>
      <c r="E155" s="704" t="str">
        <f t="shared" si="237"/>
        <v>용마로지스</v>
      </c>
      <c r="F155" s="704" t="str">
        <f t="shared" si="237"/>
        <v>상온창고</v>
      </c>
      <c r="G155" s="781">
        <f>'A&amp;R'!AD18/1000</f>
        <v>3</v>
      </c>
      <c r="H155" s="744">
        <f>'A&amp;R'!Y18</f>
        <v>856.05</v>
      </c>
      <c r="I155" s="745">
        <f t="shared" si="238"/>
        <v>45612</v>
      </c>
      <c r="J155" s="745">
        <f t="shared" si="238"/>
        <v>47514</v>
      </c>
      <c r="K155" s="754">
        <f t="shared" si="238"/>
        <v>2.5000000000000001E-2</v>
      </c>
      <c r="L155" s="711"/>
      <c r="M155" s="722"/>
      <c r="N155" s="747">
        <f t="shared" si="239"/>
        <v>108026.04168269811</v>
      </c>
      <c r="O155" s="733"/>
      <c r="P155" s="747">
        <f>$G155*$H155*(1+$K155)^MAX(ROUNDUP(IFERROR(DATEDIF($I155-1,P$15+1,"m"),)/12,)-1,)*Index!L$22*(P$15&lt;=$J155)*(1-P$12)</f>
        <v>0</v>
      </c>
      <c r="Q155" s="747">
        <f>$G155*$H155*(1+$K155)^MAX(ROUNDUP(IFERROR(DATEDIF($I155-1,Q$15+1,"m"),)/12,)-1,)*Index!M$22*(Q$15&lt;=$J155)*(1-Q$12)</f>
        <v>2632.3537499999993</v>
      </c>
      <c r="R155" s="747">
        <f>$G155*$H155*(1+$K155)^MAX(ROUNDUP(IFERROR(DATEDIF($I155-1,R$15+1,"m"),)/12,)-1,)*Index!N$22*(R$15&lt;=$J155)*(1-R$12)</f>
        <v>2698.1625937499994</v>
      </c>
      <c r="S155" s="747">
        <f>$G155*$H155*(1+$K155)^MAX(ROUNDUP(IFERROR(DATEDIF($I155-1,S$15+1,"m"),)/12,)-1,)*Index!O$22*(S$15&lt;=$J155)*(1-S$12)</f>
        <v>2698.1625937499994</v>
      </c>
      <c r="T155" s="747">
        <f>$G155*$H155*(1+$K155)^MAX(ROUNDUP(IFERROR(DATEDIF($I155-1,T$15+1,"m"),)/12,)-1,)*Index!P$22*(T$15&lt;=$J155)*(1-T$12)</f>
        <v>2698.1625937499994</v>
      </c>
      <c r="U155" s="747">
        <f>$G155*$H155*(1+$K155)^MAX(ROUNDUP(IFERROR(DATEDIF($I155-1,U$15+1,"m"),)/12,)-1,)*Index!Q$22*(U$15&lt;=$J155)*(1-U$12)</f>
        <v>2698.1625937499994</v>
      </c>
      <c r="V155" s="747">
        <f>$G155*$H155*(1+$K155)^MAX(ROUNDUP(IFERROR(DATEDIF($I155-1,V$15+1,"m"),)/12,)-1,)*Index!R$22*(V$15&lt;=$J155)*(1-V$12)</f>
        <v>2698.1625937499994</v>
      </c>
      <c r="W155" s="747">
        <f>$G155*$H155*(1+$K155)^MAX(ROUNDUP(IFERROR(DATEDIF($I155-1,W$15+1,"m"),)/12,)-1,)*Index!S$22*(W$15&lt;=$J155)*(1-W$12)</f>
        <v>2698.1625937499994</v>
      </c>
      <c r="X155" s="747">
        <f>$G155*$H155*(1+$K155)^MAX(ROUNDUP(IFERROR(DATEDIF($I155-1,X$15+1,"m"),)/12,)-1,)*Index!T$22*(X$15&lt;=$J155)*(1-X$12)</f>
        <v>2698.1625937499994</v>
      </c>
      <c r="Y155" s="747">
        <f>$G155*$H155*(1+$K155)^MAX(ROUNDUP(IFERROR(DATEDIF($I155-1,Y$15+1,"m"),)/12,)-1,)*Index!U$22*(Y$15&lt;=$J155)*(1-Y$12)</f>
        <v>2698.1625937499994</v>
      </c>
      <c r="Z155" s="747">
        <f>$G155*$H155*(1+$K155)^MAX(ROUNDUP(IFERROR(DATEDIF($I155-1,Z$15+1,"m"),)/12,)-1,)*Index!V$22*(Z$15&lt;=$J155)*(1-Z$12)</f>
        <v>2698.1625937499994</v>
      </c>
      <c r="AA155" s="747">
        <f>$G155*$H155*(1+$K155)^MAX(ROUNDUP(IFERROR(DATEDIF($I155-1,AA$15+1,"m"),)/12,)-1,)*Index!W$22*(AA$15&lt;=$J155)*(1-AA$12)</f>
        <v>2698.1625937499994</v>
      </c>
      <c r="AB155" s="747">
        <f>$G155*$H155*(1+$K155)^MAX(ROUNDUP(IFERROR(DATEDIF($I155-1,AB$15+1,"m"),)/12,)-1,)*Index!X$22*(AB$15&lt;=$J155)*(1-AB$12)</f>
        <v>2698.1625937499994</v>
      </c>
      <c r="AC155" s="747">
        <f>$G155*$H155*(1+$K155)^MAX(ROUNDUP(IFERROR(DATEDIF($I155-1,AC$15+1,"m"),)/12,)-1,)*Index!Y$22*(AC$15&lt;=$J155)*(1-AC$12)</f>
        <v>2698.1625937499994</v>
      </c>
      <c r="AD155" s="747">
        <f>$G155*$H155*(1+$K155)^MAX(ROUNDUP(IFERROR(DATEDIF($I155-1,AD$15+1,"m"),)/12,)-1,)*Index!Z$22*(AD$15&lt;=$J155)*(1-AD$12)</f>
        <v>2765.6166585937494</v>
      </c>
      <c r="AE155" s="747">
        <f>$G155*$H155*(1+$K155)^MAX(ROUNDUP(IFERROR(DATEDIF($I155-1,AE$15+1,"m"),)/12,)-1,)*Index!AA$22*(AE$15&lt;=$J155)*(1-AE$12)</f>
        <v>2765.6166585937494</v>
      </c>
      <c r="AF155" s="747">
        <f>$G155*$H155*(1+$K155)^MAX(ROUNDUP(IFERROR(DATEDIF($I155-1,AF$15+1,"m"),)/12,)-1,)*Index!AB$22*(AF$15&lt;=$J155)*(1-AF$12)</f>
        <v>2765.6166585937494</v>
      </c>
      <c r="AG155" s="747">
        <f>$G155*$H155*(1+$K155)^MAX(ROUNDUP(IFERROR(DATEDIF($I155-1,AG$15+1,"m"),)/12,)-1,)*Index!AC$22*(AG$15&lt;=$J155)*(1-AG$12)</f>
        <v>2765.6166585937494</v>
      </c>
      <c r="AH155" s="747">
        <f>$G155*$H155*(1+$K155)^MAX(ROUNDUP(IFERROR(DATEDIF($I155-1,AH$15+1,"m"),)/12,)-1,)*Index!AD$22*(AH$15&lt;=$J155)*(1-AH$12)</f>
        <v>2765.6166585937494</v>
      </c>
      <c r="AI155" s="747">
        <f>$G155*$H155*(1+$K155)^MAX(ROUNDUP(IFERROR(DATEDIF($I155-1,AI$15+1,"m"),)/12,)-1,)*Index!AE$22*(AI$15&lt;=$J155)*(1-AI$12)</f>
        <v>2765.6166585937494</v>
      </c>
      <c r="AJ155" s="747">
        <f>$G155*$H155*(1+$K155)^MAX(ROUNDUP(IFERROR(DATEDIF($I155-1,AJ$15+1,"m"),)/12,)-1,)*Index!AF$22*(AJ$15&lt;=$J155)*(1-AJ$12)</f>
        <v>2765.6166585937494</v>
      </c>
      <c r="AK155" s="747">
        <f>$G155*$H155*(1+$K155)^MAX(ROUNDUP(IFERROR(DATEDIF($I155-1,AK$15+1,"m"),)/12,)-1,)*Index!AG$22*(AK$15&lt;=$J155)*(1-AK$12)</f>
        <v>2765.6166585937494</v>
      </c>
      <c r="AL155" s="747">
        <f>$G155*$H155*(1+$K155)^MAX(ROUNDUP(IFERROR(DATEDIF($I155-1,AL$15+1,"m"),)/12,)-1,)*Index!AH$22*(AL$15&lt;=$J155)*(1-AL$12)</f>
        <v>2765.6166585937494</v>
      </c>
      <c r="AM155" s="747">
        <f>$G155*$H155*(1+$K155)^MAX(ROUNDUP(IFERROR(DATEDIF($I155-1,AM$15+1,"m"),)/12,)-1,)*Index!AI$22*(AM$15&lt;=$J155)*(1-AM$12)</f>
        <v>2765.6166585937494</v>
      </c>
      <c r="AN155" s="747">
        <f>$G155*$H155*(1+$K155)^MAX(ROUNDUP(IFERROR(DATEDIF($I155-1,AN$15+1,"m"),)/12,)-1,)*Index!AJ$22*(AN$15&lt;=$J155)*(1-AN$12)</f>
        <v>2765.6166585937494</v>
      </c>
      <c r="AO155" s="747">
        <f>$G155*$H155*(1+$K155)^MAX(ROUNDUP(IFERROR(DATEDIF($I155-1,AO$15+1,"m"),)/12,)-1,)*Index!AK$22*(AO$15&lt;=$J155)*(1-AO$12)</f>
        <v>2765.6166585937494</v>
      </c>
      <c r="AP155" s="747">
        <f>$G155*$H155*(1+$K155)^MAX(ROUNDUP(IFERROR(DATEDIF($I155-1,AP$15+1,"m"),)/12,)-1,)*Index!AL$22*(AP$15&lt;=$J155)*(1-AP$12)</f>
        <v>2834.7570750585928</v>
      </c>
      <c r="AQ155" s="747">
        <f>$G155*$H155*(1+$K155)^MAX(ROUNDUP(IFERROR(DATEDIF($I155-1,AQ$15+1,"m"),)/12,)-1,)*Index!AM$22*(AQ$15&lt;=$J155)*(1-AQ$12)</f>
        <v>2834.7570750585928</v>
      </c>
      <c r="AR155" s="747">
        <f>$G155*$H155*(1+$K155)^MAX(ROUNDUP(IFERROR(DATEDIF($I155-1,AR$15+1,"m"),)/12,)-1,)*Index!AN$22*(AR$15&lt;=$J155)*(1-AR$12)</f>
        <v>2834.7570750585928</v>
      </c>
      <c r="AS155" s="747">
        <f>$G155*$H155*(1+$K155)^MAX(ROUNDUP(IFERROR(DATEDIF($I155-1,AS$15+1,"m"),)/12,)-1,)*Index!AO$22*(AS$15&lt;=$J155)*(1-AS$12)</f>
        <v>2834.7570750585928</v>
      </c>
      <c r="AT155" s="747">
        <f>$G155*$H155*(1+$K155)^MAX(ROUNDUP(IFERROR(DATEDIF($I155-1,AT$15+1,"m"),)/12,)-1,)*Index!AP$22*(AT$15&lt;=$J155)*(1-AT$12)</f>
        <v>2834.7570750585928</v>
      </c>
      <c r="AU155" s="747">
        <f>$G155*$H155*(1+$K155)^MAX(ROUNDUP(IFERROR(DATEDIF($I155-1,AU$15+1,"m"),)/12,)-1,)*Index!AQ$22*(AU$15&lt;=$J155)*(1-AU$12)</f>
        <v>2834.7570750585928</v>
      </c>
      <c r="AV155" s="747">
        <f>$G155*$H155*(1+$K155)^MAX(ROUNDUP(IFERROR(DATEDIF($I155-1,AV$15+1,"m"),)/12,)-1,)*Index!AR$22*(AV$15&lt;=$J155)*(1-AV$12)</f>
        <v>2834.7570750585928</v>
      </c>
      <c r="AW155" s="747">
        <f>$G155*$H155*(1+$K155)^MAX(ROUNDUP(IFERROR(DATEDIF($I155-1,AW$15+1,"m"),)/12,)-1,)*Index!AS$22*(AW$15&lt;=$J155)*(1-AW$12)</f>
        <v>2834.7570750585928</v>
      </c>
      <c r="AX155" s="747">
        <f>$G155*$H155*(1+$K155)^MAX(ROUNDUP(IFERROR(DATEDIF($I155-1,AX$15+1,"m"),)/12,)-1,)*Index!AT$22*(AX$15&lt;=$J155)*(1-AX$12)</f>
        <v>2834.7570750585928</v>
      </c>
      <c r="AY155" s="747">
        <f>$G155*$H155*(1+$K155)^MAX(ROUNDUP(IFERROR(DATEDIF($I155-1,AY$15+1,"m"),)/12,)-1,)*Index!AU$22*(AY$15&lt;=$J155)*(1-AY$12)</f>
        <v>2834.7570750585928</v>
      </c>
      <c r="AZ155" s="747">
        <f>$G155*$H155*(1+$K155)^MAX(ROUNDUP(IFERROR(DATEDIF($I155-1,AZ$15+1,"m"),)/12,)-1,)*Index!AV$22*(AZ$15&lt;=$J155)*(1-AZ$12)</f>
        <v>2834.7570750585928</v>
      </c>
      <c r="BA155" s="747">
        <f>$G155*$H155*(1+$K155)^MAX(ROUNDUP(IFERROR(DATEDIF($I155-1,BA$15+1,"m"),)/12,)-1,)*Index!AW$22*(BA$15&lt;=$J155)*(1-BA$12)</f>
        <v>2834.7570750585928</v>
      </c>
      <c r="BB155" s="747">
        <f>$G155*$H155*(1+$K155)^MAX(ROUNDUP(IFERROR(DATEDIF($I155-1,BB$15+1,"m"),)/12,)-1,)*Index!AX$22*(BB$15&lt;=$J155)*(1-BB$12)</f>
        <v>2905.6260019350575</v>
      </c>
      <c r="BC155" s="747">
        <f>$G155*$H155*(1+$K155)^MAX(ROUNDUP(IFERROR(DATEDIF($I155-1,BC$15+1,"m"),)/12,)-1,)*Index!AY$22*(BC$15&lt;=$J155)*(1-BC$12)</f>
        <v>2905.6260019350575</v>
      </c>
      <c r="BD155" s="747">
        <f>$G155*$H155*(1+$K155)^MAX(ROUNDUP(IFERROR(DATEDIF($I155-1,BD$15+1,"m"),)/12,)-1,)*Index!AZ$22*(BD$15&lt;=$J155)*(1-BD$12)</f>
        <v>0</v>
      </c>
      <c r="BE155" s="747">
        <f>$G155*$H155*(1+$K155)^MAX(ROUNDUP(IFERROR(DATEDIF($I155-1,BE$15+1,"m"),)/12,)-1,)*Index!BA$22*(BE$15&lt;=$J155)*(1-BE$12)</f>
        <v>0</v>
      </c>
      <c r="BF155" s="747">
        <f>$G155*$H155*(1+$K155)^MAX(ROUNDUP(IFERROR(DATEDIF($I155-1,BF$15+1,"m"),)/12,)-1,)*Index!BB$22*(BF$15&lt;=$J155)*(1-BF$12)</f>
        <v>0</v>
      </c>
      <c r="BG155" s="747">
        <f>$G155*$H155*(1+$K155)^MAX(ROUNDUP(IFERROR(DATEDIF($I155-1,BG$15+1,"m"),)/12,)-1,)*Index!BC$22*(BG$15&lt;=$J155)*(1-BG$12)</f>
        <v>0</v>
      </c>
      <c r="BH155" s="747">
        <f>$G155*$H155*(1+$K155)^MAX(ROUNDUP(IFERROR(DATEDIF($I155-1,BH$15+1,"m"),)/12,)-1,)*Index!BD$22*(BH$15&lt;=$J155)*(1-BH$12)</f>
        <v>0</v>
      </c>
      <c r="BI155" s="747">
        <f>$G155*$H155*(1+$K155)^MAX(ROUNDUP(IFERROR(DATEDIF($I155-1,BI$15+1,"m"),)/12,)-1,)*Index!BE$22*(BI$15&lt;=$J155)*(1-BI$12)</f>
        <v>0</v>
      </c>
      <c r="BJ155" s="747">
        <f>$G155*$H155*(1+$K155)^MAX(ROUNDUP(IFERROR(DATEDIF($I155-1,BJ$15+1,"m"),)/12,)-1,)*Index!BF$22*(BJ$15&lt;=$J155)*(1-BJ$12)</f>
        <v>0</v>
      </c>
      <c r="BK155" s="747">
        <f>$G155*$H155*(1+$K155)^MAX(ROUNDUP(IFERROR(DATEDIF($I155-1,BK$15+1,"m"),)/12,)-1,)*Index!BG$22*(BK$15&lt;=$J155)*(1-BK$12)</f>
        <v>0</v>
      </c>
      <c r="BL155" s="747">
        <f>$G155*$H155*(1+$K155)^MAX(ROUNDUP(IFERROR(DATEDIF($I155-1,BL$15+1,"m"),)/12,)-1,)*Index!BH$22*(BL$15&lt;=$J155)*(1-BL$12)</f>
        <v>0</v>
      </c>
      <c r="BM155" s="747">
        <f>$G155*$H155*(1+$K155)^MAX(ROUNDUP(IFERROR(DATEDIF($I155-1,BM$15+1,"m"),)/12,)-1,)*Index!BI$22*(BM$15&lt;=$J155)*(1-BM$12)</f>
        <v>0</v>
      </c>
      <c r="BN155" s="747">
        <f>$G155*$H155*(1+$K155)^MAX(ROUNDUP(IFERROR(DATEDIF($I155-1,BN$15+1,"m"),)/12,)-1,)*Index!BJ$22*(BN$15&lt;=$J155)*(1-BN$12)</f>
        <v>0</v>
      </c>
      <c r="BO155" s="747">
        <f>$G155*$H155*(1+$K155)^MAX(ROUNDUP(IFERROR(DATEDIF($I155-1,BO$15+1,"m"),)/12,)-1,)*Index!BK$22*(BO$15&lt;=$J155)*(1-BO$12)</f>
        <v>0</v>
      </c>
      <c r="BP155" s="747">
        <f>$G155*$H155*(1+$K155)^MAX(ROUNDUP(IFERROR(DATEDIF($I155-1,BP$15+1,"m"),)/12,)-1,)*Index!BL$22*(BP$15&lt;=$J155)*(1-BP$12)</f>
        <v>0</v>
      </c>
      <c r="BQ155" s="747">
        <f>$G155*$H155*(1+$K155)^MAX(ROUNDUP(IFERROR(DATEDIF($I155-1,BQ$15+1,"m"),)/12,)-1,)*Index!BM$22*(BQ$15&lt;=$J155)*(1-BQ$12)</f>
        <v>0</v>
      </c>
      <c r="BR155" s="747">
        <f>$G155*$H155*(1+$K155)^MAX(ROUNDUP(IFERROR(DATEDIF($I155-1,BR$15+1,"m"),)/12,)-1,)*Index!BN$22*(BR$15&lt;=$J155)*(1-BR$12)</f>
        <v>0</v>
      </c>
      <c r="BS155" s="747">
        <f>$G155*$H155*(1+$K155)^MAX(ROUNDUP(IFERROR(DATEDIF($I155-1,BS$15+1,"m"),)/12,)-1,)*Index!BO$22*(BS$15&lt;=$J155)*(1-BS$12)</f>
        <v>0</v>
      </c>
      <c r="BT155" s="747">
        <f>$G155*$H155*(1+$K155)^MAX(ROUNDUP(IFERROR(DATEDIF($I155-1,BT$15+1,"m"),)/12,)-1,)*Index!BP$22*(BT$15&lt;=$J155)*(1-BT$12)</f>
        <v>0</v>
      </c>
      <c r="BU155" s="747">
        <f>$G155*$H155*(1+$K155)^MAX(ROUNDUP(IFERROR(DATEDIF($I155-1,BU$15+1,"m"),)/12,)-1,)*Index!BQ$22*(BU$15&lt;=$J155)*(1-BU$12)</f>
        <v>0</v>
      </c>
      <c r="BV155" s="747">
        <f>$G155*$H155*(1+$K155)^MAX(ROUNDUP(IFERROR(DATEDIF($I155-1,BV$15+1,"m"),)/12,)-1,)*Index!BR$22*(BV$15&lt;=$J155)*(1-BV$12)</f>
        <v>0</v>
      </c>
      <c r="BW155" s="747">
        <f>$G155*$H155*(1+$K155)^MAX(ROUNDUP(IFERROR(DATEDIF($I155-1,BW$15+1,"m"),)/12,)-1,)*Index!BS$22*(BW$15&lt;=$J155)*(1-BW$12)</f>
        <v>0</v>
      </c>
      <c r="BX155" s="747">
        <f>$G155*$H155*(1+$K155)^MAX(ROUNDUP(IFERROR(DATEDIF($I155-1,BX$15+1,"m"),)/12,)-1,)*Index!BT$22*(BX$15&lt;=$J155)*(1-BX$12)</f>
        <v>0</v>
      </c>
      <c r="BY155" s="747">
        <f>$G155*$H155*(1+$K155)^MAX(ROUNDUP(IFERROR(DATEDIF($I155-1,BY$15+1,"m"),)/12,)-1,)*Index!BU$22*(BY$15&lt;=$J155)*(1-BY$12)</f>
        <v>0</v>
      </c>
      <c r="BZ155" s="747">
        <f>$G155*$H155*(1+$K155)^MAX(ROUNDUP(IFERROR(DATEDIF($I155-1,BZ$15+1,"m"),)/12,)-1,)*Index!BV$22*(BZ$15&lt;=$J155)*(1-BZ$12)</f>
        <v>0</v>
      </c>
      <c r="CA155" s="747">
        <f>$G155*$H155*(1+$K155)^MAX(ROUNDUP(IFERROR(DATEDIF($I155-1,CA$15+1,"m"),)/12,)-1,)*Index!BW$22*(CA$15&lt;=$J155)*(1-CA$12)</f>
        <v>0</v>
      </c>
      <c r="CB155" s="747">
        <f>$G155*$H155*(1+$K155)^MAX(ROUNDUP(IFERROR(DATEDIF($I155-1,CB$15+1,"m"),)/12,)-1,)*Index!BX$22*(CB$15&lt;=$J155)*(1-CB$12)</f>
        <v>0</v>
      </c>
      <c r="CC155" s="747">
        <f>$G155*$H155*(1+$K155)^MAX(ROUNDUP(IFERROR(DATEDIF($I155-1,CC$15+1,"m"),)/12,)-1,)*Index!BY$22*(CC$15&lt;=$J155)*(1-CC$12)</f>
        <v>0</v>
      </c>
      <c r="CD155" s="747">
        <f>$G155*$H155*(1+$K155)^MAX(ROUNDUP(IFERROR(DATEDIF($I155-1,CD$15+1,"m"),)/12,)-1,)*Index!BZ$22*(CD$15&lt;=$J155)*(1-CD$12)</f>
        <v>0</v>
      </c>
      <c r="CE155" s="747">
        <f>$G155*$H155*(1+$K155)^MAX(ROUNDUP(IFERROR(DATEDIF($I155-1,CE$15+1,"m"),)/12,)-1,)*Index!CA$22*(CE$15&lt;=$J155)*(1-CE$12)</f>
        <v>0</v>
      </c>
      <c r="CF155" s="747">
        <f>$G155*$H155*(1+$K155)^MAX(ROUNDUP(IFERROR(DATEDIF($I155-1,CF$15+1,"m"),)/12,)-1,)*Index!CB$22*(CF$15&lt;=$J155)*(1-CF$12)</f>
        <v>0</v>
      </c>
      <c r="CG155" s="747">
        <f>$G155*$H155*(1+$K155)^MAX(ROUNDUP(IFERROR(DATEDIF($I155-1,CG$15+1,"m"),)/12,)-1,)*Index!CC$22*(CG$15&lt;=$J155)*(1-CG$12)</f>
        <v>0</v>
      </c>
      <c r="CH155" s="747">
        <f>$G155*$H155*(1+$K155)^MAX(ROUNDUP(IFERROR(DATEDIF($I155-1,CH$15+1,"m"),)/12,)-1,)*Index!CD$22*(CH$15&lt;=$J155)*(1-CH$12)</f>
        <v>0</v>
      </c>
      <c r="CI155" s="747">
        <f>$G155*$H155*(1+$K155)^MAX(ROUNDUP(IFERROR(DATEDIF($I155-1,CI$15+1,"m"),)/12,)-1,)*Index!CE$22*(CI$15&lt;=$J155)*(1-CI$12)</f>
        <v>0</v>
      </c>
      <c r="CJ155" s="747">
        <f>$G155*$H155*(1+$K155)^MAX(ROUNDUP(IFERROR(DATEDIF($I155-1,CJ$15+1,"m"),)/12,)-1,)*Index!CF$22*(CJ$15&lt;=$J155)*(1-CJ$12)</f>
        <v>0</v>
      </c>
      <c r="CK155" s="747">
        <f>$G155*$H155*(1+$K155)^MAX(ROUNDUP(IFERROR(DATEDIF($I155-1,CK$15+1,"m"),)/12,)-1,)*Index!CG$22*(CK$15&lt;=$J155)*(1-CK$12)</f>
        <v>0</v>
      </c>
      <c r="CL155" s="747">
        <f>$G155*$H155*(1+$K155)^MAX(ROUNDUP(IFERROR(DATEDIF($I155-1,CL$15+1,"m"),)/12,)-1,)*Index!CH$22*(CL$15&lt;=$J155)*(1-CL$12)</f>
        <v>0</v>
      </c>
      <c r="CM155" s="747">
        <f>$G155*$H155*(1+$K155)^MAX(ROUNDUP(IFERROR(DATEDIF($I155-1,CM$15+1,"m"),)/12,)-1,)*Index!CI$22*(CM$15&lt;=$J155)*(1-CM$12)</f>
        <v>0</v>
      </c>
      <c r="CN155" s="747">
        <f>$G155*$H155*(1+$K155)^MAX(ROUNDUP(IFERROR(DATEDIF($I155-1,CN$15+1,"m"),)/12,)-1,)*Index!CJ$22*(CN$15&lt;=$J155)*(1-CN$12)</f>
        <v>0</v>
      </c>
      <c r="CO155" s="747">
        <f>$G155*$H155*(1+$K155)^MAX(ROUNDUP(IFERROR(DATEDIF($I155-1,CO$15+1,"m"),)/12,)-1,)*Index!CK$22*(CO$15&lt;=$J155)*(1-CO$12)</f>
        <v>0</v>
      </c>
      <c r="CP155" s="747">
        <f>$G155*$H155*(1+$K155)^MAX(ROUNDUP(IFERROR(DATEDIF($I155-1,CP$15+1,"m"),)/12,)-1,)*Index!CL$22*(CP$15&lt;=$J155)*(1-CP$12)</f>
        <v>0</v>
      </c>
      <c r="CQ155" s="747">
        <f>$G155*$H155*(1+$K155)^MAX(ROUNDUP(IFERROR(DATEDIF($I155-1,CQ$15+1,"m"),)/12,)-1,)*Index!CM$22*(CQ$15&lt;=$J155)*(1-CQ$12)</f>
        <v>0</v>
      </c>
      <c r="CR155" s="747">
        <f>$G155*$H155*(1+$K155)^MAX(ROUNDUP(IFERROR(DATEDIF($I155-1,CR$15+1,"m"),)/12,)-1,)*Index!CN$22*(CR$15&lt;=$J155)*(1-CR$12)</f>
        <v>0</v>
      </c>
      <c r="CS155" s="747">
        <f>$G155*$H155*(1+$K155)^MAX(ROUNDUP(IFERROR(DATEDIF($I155-1,CS$15+1,"m"),)/12,)-1,)*Index!CO$22*(CS$15&lt;=$J155)*(1-CS$12)</f>
        <v>0</v>
      </c>
      <c r="CT155" s="747">
        <f>$G155*$H155*(1+$K155)^MAX(ROUNDUP(IFERROR(DATEDIF($I155-1,CT$15+1,"m"),)/12,)-1,)*Index!CP$22*(CT$15&lt;=$J155)*(1-CT$12)</f>
        <v>0</v>
      </c>
      <c r="CU155" s="747">
        <f>$G155*$H155*(1+$K155)^MAX(ROUNDUP(IFERROR(DATEDIF($I155-1,CU$15+1,"m"),)/12,)-1,)*Index!CQ$22*(CU$15&lt;=$J155)*(1-CU$12)</f>
        <v>0</v>
      </c>
      <c r="CV155" s="747">
        <f>$G155*$H155*(1+$K155)^MAX(ROUNDUP(IFERROR(DATEDIF($I155-1,CV$15+1,"m"),)/12,)-1,)*Index!CR$22*(CV$15&lt;=$J155)*(1-CV$12)</f>
        <v>0</v>
      </c>
      <c r="CW155" s="747">
        <f>$G155*$H155*(1+$K155)^MAX(ROUNDUP(IFERROR(DATEDIF($I155-1,CW$15+1,"m"),)/12,)-1,)*Index!CS$22*(CW$15&lt;=$J155)*(1-CW$12)</f>
        <v>0</v>
      </c>
      <c r="CX155" s="747">
        <f>$G155*$H155*(1+$K155)^MAX(ROUNDUP(IFERROR(DATEDIF($I155-1,CX$15+1,"m"),)/12,)-1,)*Index!CT$22*(CX$15&lt;=$J155)*(1-CX$12)</f>
        <v>0</v>
      </c>
      <c r="CY155" s="747">
        <f>$G155*$H155*(1+$K155)^MAX(ROUNDUP(IFERROR(DATEDIF($I155-1,CY$15+1,"m"),)/12,)-1,)*Index!CU$22*(CY$15&lt;=$J155)*(1-CY$12)</f>
        <v>0</v>
      </c>
      <c r="CZ155" s="747">
        <f>$G155*$H155*(1+$K155)^MAX(ROUNDUP(IFERROR(DATEDIF($I155-1,CZ$15+1,"m"),)/12,)-1,)*Index!CV$22*(CZ$15&lt;=$J155)*(1-CZ$12)</f>
        <v>0</v>
      </c>
      <c r="DA155" s="747">
        <f>$G155*$H155*(1+$K155)^MAX(ROUNDUP(IFERROR(DATEDIF($I155-1,DA$15+1,"m"),)/12,)-1,)*Index!CW$22*(DA$15&lt;=$J155)*(1-DA$12)</f>
        <v>0</v>
      </c>
      <c r="DB155" s="747">
        <f>$G155*$H155*(1+$K155)^MAX(ROUNDUP(IFERROR(DATEDIF($I155-1,DB$15+1,"m"),)/12,)-1,)*Index!CX$22*(DB$15&lt;=$J155)*(1-DB$12)</f>
        <v>0</v>
      </c>
      <c r="DC155" s="747">
        <f>$G155*$H155*(1+$K155)^MAX(ROUNDUP(IFERROR(DATEDIF($I155-1,DC$15+1,"m"),)/12,)-1,)*Index!CY$22*(DC$15&lt;=$J155)*(1-DC$12)</f>
        <v>0</v>
      </c>
      <c r="DD155" s="747">
        <f>$G155*$H155*(1+$K155)^MAX(ROUNDUP(IFERROR(DATEDIF($I155-1,DD$15+1,"m"),)/12,)-1,)*Index!CZ$22*(DD$15&lt;=$J155)*(1-DD$12)</f>
        <v>0</v>
      </c>
      <c r="DE155" s="747">
        <f>$G155*$H155*(1+$K155)^MAX(ROUNDUP(IFERROR(DATEDIF($I155-1,DE$15+1,"m"),)/12,)-1,)*Index!DA$22*(DE$15&lt;=$J155)*(1-DE$12)</f>
        <v>0</v>
      </c>
      <c r="DF155" s="747">
        <f>$G155*$H155*(1+$K155)^MAX(ROUNDUP(IFERROR(DATEDIF($I155-1,DF$15+1,"m"),)/12,)-1,)*Index!DB$22*(DF$15&lt;=$J155)*(1-DF$12)</f>
        <v>0</v>
      </c>
      <c r="DG155" s="747">
        <f>$G155*$H155*(1+$K155)^MAX(ROUNDUP(IFERROR(DATEDIF($I155-1,DG$15+1,"m"),)/12,)-1,)*Index!DC$22*(DG$15&lt;=$J155)*(1-DG$12)</f>
        <v>0</v>
      </c>
      <c r="DH155" s="747">
        <f>$G155*$H155*(1+$K155)^MAX(ROUNDUP(IFERROR(DATEDIF($I155-1,DH$15+1,"m"),)/12,)-1,)*Index!DD$22*(DH$15&lt;=$J155)*(1-DH$12)</f>
        <v>0</v>
      </c>
      <c r="DI155" s="747">
        <f>$G155*$H155*(1+$K155)^MAX(ROUNDUP(IFERROR(DATEDIF($I155-1,DI$15+1,"m"),)/12,)-1,)*Index!DE$22*(DI$15&lt;=$J155)*(1-DI$12)</f>
        <v>0</v>
      </c>
      <c r="DJ155" s="747">
        <f>$G155*$H155*(1+$K155)^MAX(ROUNDUP(IFERROR(DATEDIF($I155-1,DJ$15+1,"m"),)/12,)-1,)*Index!DF$22*(DJ$15&lt;=$J155)*(1-DJ$12)</f>
        <v>0</v>
      </c>
      <c r="DK155" s="747">
        <f>$G155*$H155*(1+$K155)^MAX(ROUNDUP(IFERROR(DATEDIF($I155-1,DK$15+1,"m"),)/12,)-1,)*Index!DG$22*(DK$15&lt;=$J155)*(1-DK$12)</f>
        <v>0</v>
      </c>
      <c r="DL155" s="747">
        <f>$G155*$H155*(1+$K155)^MAX(ROUNDUP(IFERROR(DATEDIF($I155-1,DL$15+1,"m"),)/12,)-1,)*Index!DH$22*(DL$15&lt;=$J155)*(1-DL$12)</f>
        <v>0</v>
      </c>
      <c r="DM155" s="747">
        <f>$G155*$H155*(1+$K155)^MAX(ROUNDUP(IFERROR(DATEDIF($I155-1,DM$15+1,"m"),)/12,)-1,)*Index!DI$22*(DM$15&lt;=$J155)*(1-DM$12)</f>
        <v>0</v>
      </c>
      <c r="DN155" s="747">
        <f>$G155*$H155*(1+$K155)^MAX(ROUNDUP(IFERROR(DATEDIF($I155-1,DN$15+1,"m"),)/12,)-1,)*Index!DJ$22*(DN$15&lt;=$J155)*(1-DN$12)</f>
        <v>0</v>
      </c>
      <c r="DO155" s="747">
        <f>$G155*$H155*(1+$K155)^MAX(ROUNDUP(IFERROR(DATEDIF($I155-1,DO$15+1,"m"),)/12,)-1,)*Index!DK$22*(DO$15&lt;=$J155)*(1-DO$12)</f>
        <v>0</v>
      </c>
      <c r="DP155" s="747">
        <f>$G155*$H155*(1+$K155)^MAX(ROUNDUP(IFERROR(DATEDIF($I155-1,DP$15+1,"m"),)/12,)-1,)*Index!DL$22*(DP$15&lt;=$J155)*(1-DP$12)</f>
        <v>0</v>
      </c>
      <c r="DQ155" s="747">
        <f>$G155*$H155*(1+$K155)^MAX(ROUNDUP(IFERROR(DATEDIF($I155-1,DQ$15+1,"m"),)/12,)-1,)*Index!DM$22*(DQ$15&lt;=$J155)*(1-DQ$12)</f>
        <v>0</v>
      </c>
      <c r="DR155" s="747">
        <f>$G155*$H155*(1+$K155)^MAX(ROUNDUP(IFERROR(DATEDIF($I155-1,DR$15+1,"m"),)/12,)-1,)*Index!DN$22*(DR$15&lt;=$J155)*(1-DR$12)</f>
        <v>0</v>
      </c>
      <c r="DS155" s="747">
        <f>$G155*$H155*(1+$K155)^MAX(ROUNDUP(IFERROR(DATEDIF($I155-1,DS$15+1,"m"),)/12,)-1,)*Index!DO$22*(DS$15&lt;=$J155)*(1-DS$12)</f>
        <v>0</v>
      </c>
      <c r="DT155" s="747">
        <f>$G155*$H155*(1+$K155)^MAX(ROUNDUP(IFERROR(DATEDIF($I155-1,DT$15+1,"m"),)/12,)-1,)*Index!DP$22*(DT$15&lt;=$J155)*(1-DT$12)</f>
        <v>0</v>
      </c>
      <c r="DU155" s="747">
        <f>$G155*$H155*(1+$K155)^MAX(ROUNDUP(IFERROR(DATEDIF($I155-1,DU$15+1,"m"),)/12,)-1,)*Index!DQ$22*(DU$15&lt;=$J155)*(1-DU$12)</f>
        <v>0</v>
      </c>
      <c r="DV155" s="747">
        <f>$G155*$H155*(1+$K155)^MAX(ROUNDUP(IFERROR(DATEDIF($I155-1,DV$15+1,"m"),)/12,)-1,)*Index!DR$22*(DV$15&lt;=$J155)*(1-DV$12)</f>
        <v>0</v>
      </c>
      <c r="DW155" s="747">
        <f>$G155*$H155*(1+$K155)^MAX(ROUNDUP(IFERROR(DATEDIF($I155-1,DW$15+1,"m"),)/12,)-1,)*Index!DS$22*(DW$15&lt;=$J155)*(1-DW$12)</f>
        <v>0</v>
      </c>
      <c r="DX155" s="747">
        <f>$G155*$H155*(1+$K155)^MAX(ROUNDUP(IFERROR(DATEDIF($I155-1,DX$15+1,"m"),)/12,)-1,)*Index!DT$22*(DX$15&lt;=$J155)*(1-DX$12)</f>
        <v>0</v>
      </c>
      <c r="DY155" s="747">
        <f>$G155*$H155*(1+$K155)^MAX(ROUNDUP(IFERROR(DATEDIF($I155-1,DY$15+1,"m"),)/12,)-1,)*Index!DU$22*(DY$15&lt;=$J155)*(1-DY$12)</f>
        <v>0</v>
      </c>
      <c r="DZ155" s="747">
        <f>$G155*$H155*(1+$K155)^MAX(ROUNDUP(IFERROR(DATEDIF($I155-1,DZ$15+1,"m"),)/12,)-1,)*Index!DV$22*(DZ$15&lt;=$J155)*(1-DZ$12)</f>
        <v>0</v>
      </c>
      <c r="EA155" s="747">
        <f>$G155*$H155*(1+$K155)^MAX(ROUNDUP(IFERROR(DATEDIF($I155-1,EA$15+1,"m"),)/12,)-1,)*Index!DW$22*(EA$15&lt;=$J155)*(1-EA$12)</f>
        <v>0</v>
      </c>
      <c r="EB155" s="747">
        <f>$G155*$H155*(1+$K155)^MAX(ROUNDUP(IFERROR(DATEDIF($I155-1,EB$15+1,"m"),)/12,)-1,)*Index!DX$22*(EB$15&lt;=$J155)*(1-EB$12)</f>
        <v>0</v>
      </c>
      <c r="EC155" s="747">
        <f>$G155*$H155*(1+$K155)^MAX(ROUNDUP(IFERROR(DATEDIF($I155-1,EC$15+1,"m"),)/12,)-1,)*Index!DY$22*(EC$15&lt;=$J155)*(1-EC$12)</f>
        <v>0</v>
      </c>
      <c r="ED155" s="747">
        <f>$G155*$H155*(1+$K155)^MAX(ROUNDUP(IFERROR(DATEDIF($I155-1,ED$15+1,"m"),)/12,)-1,)*Index!DZ$22*(ED$15&lt;=$J155)*(1-ED$12)</f>
        <v>0</v>
      </c>
      <c r="EE155" s="747">
        <f>$G155*$H155*(1+$K155)^MAX(ROUNDUP(IFERROR(DATEDIF($I155-1,EE$15+1,"m"),)/12,)-1,)*Index!EA$22*(EE$15&lt;=$J155)*(1-EE$12)</f>
        <v>0</v>
      </c>
      <c r="EF155" s="747">
        <f>$G155*$H155*(1+$K155)^MAX(ROUNDUP(IFERROR(DATEDIF($I155-1,EF$15+1,"m"),)/12,)-1,)*Index!EB$22*(EF$15&lt;=$J155)*(1-EF$12)</f>
        <v>0</v>
      </c>
      <c r="EG155" s="747">
        <f>$G155*$H155*(1+$K155)^MAX(ROUNDUP(IFERROR(DATEDIF($I155-1,EG$15+1,"m"),)/12,)-1,)*Index!EC$22*(EG$15&lt;=$J155)*(1-EG$12)</f>
        <v>0</v>
      </c>
      <c r="EH155" s="747">
        <f>$G155*$H155*(1+$K155)^MAX(ROUNDUP(IFERROR(DATEDIF($I155-1,EH$15+1,"m"),)/12,)-1,)*Index!ED$22*(EH$15&lt;=$J155)*(1-EH$12)</f>
        <v>0</v>
      </c>
      <c r="EI155" s="747">
        <f>$G155*$H155*(1+$K155)^MAX(ROUNDUP(IFERROR(DATEDIF($I155-1,EI$15+1,"m"),)/12,)-1,)*Index!EE$22*(EI$15&lt;=$J155)*(1-EI$12)</f>
        <v>0</v>
      </c>
      <c r="EJ155" s="747">
        <f>$G155*$H155*(1+$K155)^MAX(ROUNDUP(IFERROR(DATEDIF($I155-1,EJ$15+1,"m"),)/12,)-1,)*Index!EF$22*(EJ$15&lt;=$J155)*(1-EJ$12)</f>
        <v>0</v>
      </c>
      <c r="EK155" s="747">
        <f>$G155*$H155*(1+$K155)^MAX(ROUNDUP(IFERROR(DATEDIF($I155-1,EK$15+1,"m"),)/12,)-1,)*Index!EG$22*(EK$15&lt;=$J155)*(1-EK$12)</f>
        <v>0</v>
      </c>
      <c r="EL155" s="747">
        <f>$G155*$H155*(1+$K155)^MAX(ROUNDUP(IFERROR(DATEDIF($I155-1,EL$15+1,"m"),)/12,)-1,)*Index!EH$22*(EL$15&lt;=$J155)*(1-EL$12)</f>
        <v>0</v>
      </c>
      <c r="EM155" s="747">
        <f>$G155*$H155*(1+$K155)^MAX(ROUNDUP(IFERROR(DATEDIF($I155-1,EM$15+1,"m"),)/12,)-1,)*Index!EI$22*(EM$15&lt;=$J155)*(1-EM$12)</f>
        <v>0</v>
      </c>
      <c r="EN155" s="747">
        <f>$G155*$H155*(1+$K155)^MAX(ROUNDUP(IFERROR(DATEDIF($I155-1,EN$15+1,"m"),)/12,)-1,)*Index!EJ$22*(EN$15&lt;=$J155)*(1-EN$12)</f>
        <v>0</v>
      </c>
      <c r="EO155" s="747">
        <f>$G155*$H155*(1+$K155)^MAX(ROUNDUP(IFERROR(DATEDIF($I155-1,EO$15+1,"m"),)/12,)-1,)*Index!EK$22*(EO$15&lt;=$J155)*(1-EO$12)</f>
        <v>0</v>
      </c>
      <c r="EP155" s="747">
        <f>$G155*$H155*(1+$K155)^MAX(ROUNDUP(IFERROR(DATEDIF($I155-1,EP$15+1,"m"),)/12,)-1,)*Index!EL$22*(EP$15&lt;=$J155)*(1-EP$12)</f>
        <v>0</v>
      </c>
      <c r="EQ155" s="747">
        <f>$G155*$H155*(1+$K155)^MAX(ROUNDUP(IFERROR(DATEDIF($I155-1,EQ$15+1,"m"),)/12,)-1,)*Index!EM$22*(EQ$15&lt;=$J155)*(1-EQ$12)</f>
        <v>0</v>
      </c>
      <c r="ER155" s="747">
        <f>$G155*$H155*(1+$K155)^MAX(ROUNDUP(IFERROR(DATEDIF($I155-1,ER$15+1,"m"),)/12,)-1,)*Index!EN$22*(ER$15&lt;=$J155)*(1-ER$12)</f>
        <v>0</v>
      </c>
      <c r="ES155" s="747">
        <f>$G155*$H155*(1+$K155)^MAX(ROUNDUP(IFERROR(DATEDIF($I155-1,ES$15+1,"m"),)/12,)-1,)*Index!EO$22*(ES$15&lt;=$J155)*(1-ES$12)</f>
        <v>0</v>
      </c>
      <c r="ET155" s="747">
        <f>$G155*$H155*(1+$K155)^MAX(ROUNDUP(IFERROR(DATEDIF($I155-1,ET$15+1,"m"),)/12,)-1,)*Index!EP$22*(ET$15&lt;=$J155)*(1-ET$12)</f>
        <v>0</v>
      </c>
      <c r="EU155" s="747">
        <f>$G155*$H155*(1+$K155)^MAX(ROUNDUP(IFERROR(DATEDIF($I155-1,EU$15+1,"m"),)/12,)-1,)*Index!EQ$22*(EU$15&lt;=$J155)*(1-EU$12)</f>
        <v>0</v>
      </c>
    </row>
    <row r="156" spans="3:151" ht="11.25" customHeight="1">
      <c r="C156" s="735"/>
      <c r="D156" s="743" t="str">
        <f t="shared" si="237"/>
        <v>1F</v>
      </c>
      <c r="E156" s="704" t="str">
        <f t="shared" si="237"/>
        <v>아이팜</v>
      </c>
      <c r="F156" s="704" t="str">
        <f t="shared" si="237"/>
        <v>근린생활시설</v>
      </c>
      <c r="G156" s="781">
        <f>'A&amp;R'!AD19/1000</f>
        <v>3</v>
      </c>
      <c r="H156" s="744">
        <f>'A&amp;R'!Y19</f>
        <v>17.29</v>
      </c>
      <c r="I156" s="745">
        <f t="shared" si="238"/>
        <v>45778</v>
      </c>
      <c r="J156" s="745">
        <f t="shared" si="238"/>
        <v>47603</v>
      </c>
      <c r="K156" s="754">
        <f t="shared" si="238"/>
        <v>2.5000000000000001E-2</v>
      </c>
      <c r="L156" s="748"/>
      <c r="M156" s="749"/>
      <c r="N156" s="747">
        <f t="shared" si="239"/>
        <v>2330.3086212656253</v>
      </c>
      <c r="O156" s="733"/>
      <c r="P156" s="747">
        <f>$G156*$H156*(1+$K156)^MAX(ROUNDUP(IFERROR(DATEDIF($I156-1,P$15+1,"m"),)/12,)-1,)*Index!L$22*(P$15&lt;=$J156)*(1-P$12)</f>
        <v>0</v>
      </c>
      <c r="Q156" s="747">
        <f>$G156*$H156*(1+$K156)^MAX(ROUNDUP(IFERROR(DATEDIF($I156-1,Q$15+1,"m"),)/12,)-1,)*Index!M$22*(Q$15&lt;=$J156)*(1-Q$12)</f>
        <v>53.166749999999993</v>
      </c>
      <c r="R156" s="747">
        <f>$G156*$H156*(1+$K156)^MAX(ROUNDUP(IFERROR(DATEDIF($I156-1,R$15+1,"m"),)/12,)-1,)*Index!N$22*(R$15&lt;=$J156)*(1-R$12)</f>
        <v>53.166749999999993</v>
      </c>
      <c r="S156" s="747">
        <f>$G156*$H156*(1+$K156)^MAX(ROUNDUP(IFERROR(DATEDIF($I156-1,S$15+1,"m"),)/12,)-1,)*Index!O$22*(S$15&lt;=$J156)*(1-S$12)</f>
        <v>53.166749999999993</v>
      </c>
      <c r="T156" s="747">
        <f>$G156*$H156*(1+$K156)^MAX(ROUNDUP(IFERROR(DATEDIF($I156-1,T$15+1,"m"),)/12,)-1,)*Index!P$22*(T$15&lt;=$J156)*(1-T$12)</f>
        <v>53.166749999999993</v>
      </c>
      <c r="U156" s="747">
        <f>$G156*$H156*(1+$K156)^MAX(ROUNDUP(IFERROR(DATEDIF($I156-1,U$15+1,"m"),)/12,)-1,)*Index!Q$22*(U$15&lt;=$J156)*(1-U$12)</f>
        <v>53.166749999999993</v>
      </c>
      <c r="V156" s="747">
        <f>$G156*$H156*(1+$K156)^MAX(ROUNDUP(IFERROR(DATEDIF($I156-1,V$15+1,"m"),)/12,)-1,)*Index!R$22*(V$15&lt;=$J156)*(1-V$12)</f>
        <v>53.166749999999993</v>
      </c>
      <c r="W156" s="747">
        <f>$G156*$H156*(1+$K156)^MAX(ROUNDUP(IFERROR(DATEDIF($I156-1,W$15+1,"m"),)/12,)-1,)*Index!S$22*(W$15&lt;=$J156)*(1-W$12)</f>
        <v>54.495918749999994</v>
      </c>
      <c r="X156" s="747">
        <f>$G156*$H156*(1+$K156)^MAX(ROUNDUP(IFERROR(DATEDIF($I156-1,X$15+1,"m"),)/12,)-1,)*Index!T$22*(X$15&lt;=$J156)*(1-X$12)</f>
        <v>54.495918749999994</v>
      </c>
      <c r="Y156" s="747">
        <f>$G156*$H156*(1+$K156)^MAX(ROUNDUP(IFERROR(DATEDIF($I156-1,Y$15+1,"m"),)/12,)-1,)*Index!U$22*(Y$15&lt;=$J156)*(1-Y$12)</f>
        <v>54.495918749999994</v>
      </c>
      <c r="Z156" s="747">
        <f>$G156*$H156*(1+$K156)^MAX(ROUNDUP(IFERROR(DATEDIF($I156-1,Z$15+1,"m"),)/12,)-1,)*Index!V$22*(Z$15&lt;=$J156)*(1-Z$12)</f>
        <v>54.495918749999994</v>
      </c>
      <c r="AA156" s="747">
        <f>$G156*$H156*(1+$K156)^MAX(ROUNDUP(IFERROR(DATEDIF($I156-1,AA$15+1,"m"),)/12,)-1,)*Index!W$22*(AA$15&lt;=$J156)*(1-AA$12)</f>
        <v>54.495918749999994</v>
      </c>
      <c r="AB156" s="747">
        <f>$G156*$H156*(1+$K156)^MAX(ROUNDUP(IFERROR(DATEDIF($I156-1,AB$15+1,"m"),)/12,)-1,)*Index!X$22*(AB$15&lt;=$J156)*(1-AB$12)</f>
        <v>54.495918749999994</v>
      </c>
      <c r="AC156" s="747">
        <f>$G156*$H156*(1+$K156)^MAX(ROUNDUP(IFERROR(DATEDIF($I156-1,AC$15+1,"m"),)/12,)-1,)*Index!Y$22*(AC$15&lt;=$J156)*(1-AC$12)</f>
        <v>54.495918749999994</v>
      </c>
      <c r="AD156" s="747">
        <f>$G156*$H156*(1+$K156)^MAX(ROUNDUP(IFERROR(DATEDIF($I156-1,AD$15+1,"m"),)/12,)-1,)*Index!Z$22*(AD$15&lt;=$J156)*(1-AD$12)</f>
        <v>54.495918749999994</v>
      </c>
      <c r="AE156" s="747">
        <f>$G156*$H156*(1+$K156)^MAX(ROUNDUP(IFERROR(DATEDIF($I156-1,AE$15+1,"m"),)/12,)-1,)*Index!AA$22*(AE$15&lt;=$J156)*(1-AE$12)</f>
        <v>54.495918749999994</v>
      </c>
      <c r="AF156" s="747">
        <f>$G156*$H156*(1+$K156)^MAX(ROUNDUP(IFERROR(DATEDIF($I156-1,AF$15+1,"m"),)/12,)-1,)*Index!AB$22*(AF$15&lt;=$J156)*(1-AF$12)</f>
        <v>54.495918749999994</v>
      </c>
      <c r="AG156" s="747">
        <f>$G156*$H156*(1+$K156)^MAX(ROUNDUP(IFERROR(DATEDIF($I156-1,AG$15+1,"m"),)/12,)-1,)*Index!AC$22*(AG$15&lt;=$J156)*(1-AG$12)</f>
        <v>54.495918749999994</v>
      </c>
      <c r="AH156" s="747">
        <f>$G156*$H156*(1+$K156)^MAX(ROUNDUP(IFERROR(DATEDIF($I156-1,AH$15+1,"m"),)/12,)-1,)*Index!AD$22*(AH$15&lt;=$J156)*(1-AH$12)</f>
        <v>54.495918749999994</v>
      </c>
      <c r="AI156" s="747">
        <f>$G156*$H156*(1+$K156)^MAX(ROUNDUP(IFERROR(DATEDIF($I156-1,AI$15+1,"m"),)/12,)-1,)*Index!AE$22*(AI$15&lt;=$J156)*(1-AI$12)</f>
        <v>55.85831671874999</v>
      </c>
      <c r="AJ156" s="747">
        <f>$G156*$H156*(1+$K156)^MAX(ROUNDUP(IFERROR(DATEDIF($I156-1,AJ$15+1,"m"),)/12,)-1,)*Index!AF$22*(AJ$15&lt;=$J156)*(1-AJ$12)</f>
        <v>55.85831671874999</v>
      </c>
      <c r="AK156" s="747">
        <f>$G156*$H156*(1+$K156)^MAX(ROUNDUP(IFERROR(DATEDIF($I156-1,AK$15+1,"m"),)/12,)-1,)*Index!AG$22*(AK$15&lt;=$J156)*(1-AK$12)</f>
        <v>55.85831671874999</v>
      </c>
      <c r="AL156" s="747">
        <f>$G156*$H156*(1+$K156)^MAX(ROUNDUP(IFERROR(DATEDIF($I156-1,AL$15+1,"m"),)/12,)-1,)*Index!AH$22*(AL$15&lt;=$J156)*(1-AL$12)</f>
        <v>55.85831671874999</v>
      </c>
      <c r="AM156" s="747">
        <f>$G156*$H156*(1+$K156)^MAX(ROUNDUP(IFERROR(DATEDIF($I156-1,AM$15+1,"m"),)/12,)-1,)*Index!AI$22*(AM$15&lt;=$J156)*(1-AM$12)</f>
        <v>55.85831671874999</v>
      </c>
      <c r="AN156" s="747">
        <f>$G156*$H156*(1+$K156)^MAX(ROUNDUP(IFERROR(DATEDIF($I156-1,AN$15+1,"m"),)/12,)-1,)*Index!AJ$22*(AN$15&lt;=$J156)*(1-AN$12)</f>
        <v>55.85831671874999</v>
      </c>
      <c r="AO156" s="747">
        <f>$G156*$H156*(1+$K156)^MAX(ROUNDUP(IFERROR(DATEDIF($I156-1,AO$15+1,"m"),)/12,)-1,)*Index!AK$22*(AO$15&lt;=$J156)*(1-AO$12)</f>
        <v>55.85831671874999</v>
      </c>
      <c r="AP156" s="747">
        <f>$G156*$H156*(1+$K156)^MAX(ROUNDUP(IFERROR(DATEDIF($I156-1,AP$15+1,"m"),)/12,)-1,)*Index!AL$22*(AP$15&lt;=$J156)*(1-AP$12)</f>
        <v>55.85831671874999</v>
      </c>
      <c r="AQ156" s="747">
        <f>$G156*$H156*(1+$K156)^MAX(ROUNDUP(IFERROR(DATEDIF($I156-1,AQ$15+1,"m"),)/12,)-1,)*Index!AM$22*(AQ$15&lt;=$J156)*(1-AQ$12)</f>
        <v>55.85831671874999</v>
      </c>
      <c r="AR156" s="747">
        <f>$G156*$H156*(1+$K156)^MAX(ROUNDUP(IFERROR(DATEDIF($I156-1,AR$15+1,"m"),)/12,)-1,)*Index!AN$22*(AR$15&lt;=$J156)*(1-AR$12)</f>
        <v>55.85831671874999</v>
      </c>
      <c r="AS156" s="747">
        <f>$G156*$H156*(1+$K156)^MAX(ROUNDUP(IFERROR(DATEDIF($I156-1,AS$15+1,"m"),)/12,)-1,)*Index!AO$22*(AS$15&lt;=$J156)*(1-AS$12)</f>
        <v>55.85831671874999</v>
      </c>
      <c r="AT156" s="747">
        <f>$G156*$H156*(1+$K156)^MAX(ROUNDUP(IFERROR(DATEDIF($I156-1,AT$15+1,"m"),)/12,)-1,)*Index!AP$22*(AT$15&lt;=$J156)*(1-AT$12)</f>
        <v>55.85831671874999</v>
      </c>
      <c r="AU156" s="747">
        <f>$G156*$H156*(1+$K156)^MAX(ROUNDUP(IFERROR(DATEDIF($I156-1,AU$15+1,"m"),)/12,)-1,)*Index!AQ$22*(AU$15&lt;=$J156)*(1-AU$12)</f>
        <v>57.254774636718736</v>
      </c>
      <c r="AV156" s="747">
        <f>$G156*$H156*(1+$K156)^MAX(ROUNDUP(IFERROR(DATEDIF($I156-1,AV$15+1,"m"),)/12,)-1,)*Index!AR$22*(AV$15&lt;=$J156)*(1-AV$12)</f>
        <v>57.254774636718736</v>
      </c>
      <c r="AW156" s="747">
        <f>$G156*$H156*(1+$K156)^MAX(ROUNDUP(IFERROR(DATEDIF($I156-1,AW$15+1,"m"),)/12,)-1,)*Index!AS$22*(AW$15&lt;=$J156)*(1-AW$12)</f>
        <v>57.254774636718736</v>
      </c>
      <c r="AX156" s="747">
        <f>$G156*$H156*(1+$K156)^MAX(ROUNDUP(IFERROR(DATEDIF($I156-1,AX$15+1,"m"),)/12,)-1,)*Index!AT$22*(AX$15&lt;=$J156)*(1-AX$12)</f>
        <v>57.254774636718736</v>
      </c>
      <c r="AY156" s="747">
        <f>$G156*$H156*(1+$K156)^MAX(ROUNDUP(IFERROR(DATEDIF($I156-1,AY$15+1,"m"),)/12,)-1,)*Index!AU$22*(AY$15&lt;=$J156)*(1-AY$12)</f>
        <v>57.254774636718736</v>
      </c>
      <c r="AZ156" s="747">
        <f>$G156*$H156*(1+$K156)^MAX(ROUNDUP(IFERROR(DATEDIF($I156-1,AZ$15+1,"m"),)/12,)-1,)*Index!AV$22*(AZ$15&lt;=$J156)*(1-AZ$12)</f>
        <v>57.254774636718736</v>
      </c>
      <c r="BA156" s="747">
        <f>$G156*$H156*(1+$K156)^MAX(ROUNDUP(IFERROR(DATEDIF($I156-1,BA$15+1,"m"),)/12,)-1,)*Index!AW$22*(BA$15&lt;=$J156)*(1-BA$12)</f>
        <v>57.254774636718736</v>
      </c>
      <c r="BB156" s="747">
        <f>$G156*$H156*(1+$K156)^MAX(ROUNDUP(IFERROR(DATEDIF($I156-1,BB$15+1,"m"),)/12,)-1,)*Index!AX$22*(BB$15&lt;=$J156)*(1-BB$12)</f>
        <v>57.254774636718736</v>
      </c>
      <c r="BC156" s="747">
        <f>$G156*$H156*(1+$K156)^MAX(ROUNDUP(IFERROR(DATEDIF($I156-1,BC$15+1,"m"),)/12,)-1,)*Index!AY$22*(BC$15&lt;=$J156)*(1-BC$12)</f>
        <v>57.254774636718736</v>
      </c>
      <c r="BD156" s="747">
        <f>$G156*$H156*(1+$K156)^MAX(ROUNDUP(IFERROR(DATEDIF($I156-1,BD$15+1,"m"),)/12,)-1,)*Index!AZ$22*(BD$15&lt;=$J156)*(1-BD$12)</f>
        <v>57.254774636718736</v>
      </c>
      <c r="BE156" s="747">
        <f>$G156*$H156*(1+$K156)^MAX(ROUNDUP(IFERROR(DATEDIF($I156-1,BE$15+1,"m"),)/12,)-1,)*Index!BA$22*(BE$15&lt;=$J156)*(1-BE$12)</f>
        <v>57.254774636718736</v>
      </c>
      <c r="BF156" s="747">
        <f>$G156*$H156*(1+$K156)^MAX(ROUNDUP(IFERROR(DATEDIF($I156-1,BF$15+1,"m"),)/12,)-1,)*Index!BB$22*(BF$15&lt;=$J156)*(1-BF$12)</f>
        <v>57.254774636718736</v>
      </c>
      <c r="BG156" s="747">
        <f>$G156*$H156*(1+$K156)^MAX(ROUNDUP(IFERROR(DATEDIF($I156-1,BG$15+1,"m"),)/12,)-1,)*Index!BC$22*(BG$15&lt;=$J156)*(1-BG$12)</f>
        <v>0</v>
      </c>
      <c r="BH156" s="747">
        <f>$G156*$H156*(1+$K156)^MAX(ROUNDUP(IFERROR(DATEDIF($I156-1,BH$15+1,"m"),)/12,)-1,)*Index!BD$22*(BH$15&lt;=$J156)*(1-BH$12)</f>
        <v>0</v>
      </c>
      <c r="BI156" s="747">
        <f>$G156*$H156*(1+$K156)^MAX(ROUNDUP(IFERROR(DATEDIF($I156-1,BI$15+1,"m"),)/12,)-1,)*Index!BE$22*(BI$15&lt;=$J156)*(1-BI$12)</f>
        <v>0</v>
      </c>
      <c r="BJ156" s="747">
        <f>$G156*$H156*(1+$K156)^MAX(ROUNDUP(IFERROR(DATEDIF($I156-1,BJ$15+1,"m"),)/12,)-1,)*Index!BF$22*(BJ$15&lt;=$J156)*(1-BJ$12)</f>
        <v>0</v>
      </c>
      <c r="BK156" s="747">
        <f>$G156*$H156*(1+$K156)^MAX(ROUNDUP(IFERROR(DATEDIF($I156-1,BK$15+1,"m"),)/12,)-1,)*Index!BG$22*(BK$15&lt;=$J156)*(1-BK$12)</f>
        <v>0</v>
      </c>
      <c r="BL156" s="747">
        <f>$G156*$H156*(1+$K156)^MAX(ROUNDUP(IFERROR(DATEDIF($I156-1,BL$15+1,"m"),)/12,)-1,)*Index!BH$22*(BL$15&lt;=$J156)*(1-BL$12)</f>
        <v>0</v>
      </c>
      <c r="BM156" s="747">
        <f>$G156*$H156*(1+$K156)^MAX(ROUNDUP(IFERROR(DATEDIF($I156-1,BM$15+1,"m"),)/12,)-1,)*Index!BI$22*(BM$15&lt;=$J156)*(1-BM$12)</f>
        <v>0</v>
      </c>
      <c r="BN156" s="747">
        <f>$G156*$H156*(1+$K156)^MAX(ROUNDUP(IFERROR(DATEDIF($I156-1,BN$15+1,"m"),)/12,)-1,)*Index!BJ$22*(BN$15&lt;=$J156)*(1-BN$12)</f>
        <v>0</v>
      </c>
      <c r="BO156" s="747">
        <f>$G156*$H156*(1+$K156)^MAX(ROUNDUP(IFERROR(DATEDIF($I156-1,BO$15+1,"m"),)/12,)-1,)*Index!BK$22*(BO$15&lt;=$J156)*(1-BO$12)</f>
        <v>0</v>
      </c>
      <c r="BP156" s="747">
        <f>$G156*$H156*(1+$K156)^MAX(ROUNDUP(IFERROR(DATEDIF($I156-1,BP$15+1,"m"),)/12,)-1,)*Index!BL$22*(BP$15&lt;=$J156)*(1-BP$12)</f>
        <v>0</v>
      </c>
      <c r="BQ156" s="747">
        <f>$G156*$H156*(1+$K156)^MAX(ROUNDUP(IFERROR(DATEDIF($I156-1,BQ$15+1,"m"),)/12,)-1,)*Index!BM$22*(BQ$15&lt;=$J156)*(1-BQ$12)</f>
        <v>0</v>
      </c>
      <c r="BR156" s="747">
        <f>$G156*$H156*(1+$K156)^MAX(ROUNDUP(IFERROR(DATEDIF($I156-1,BR$15+1,"m"),)/12,)-1,)*Index!BN$22*(BR$15&lt;=$J156)*(1-BR$12)</f>
        <v>0</v>
      </c>
      <c r="BS156" s="747">
        <f>$G156*$H156*(1+$K156)^MAX(ROUNDUP(IFERROR(DATEDIF($I156-1,BS$15+1,"m"),)/12,)-1,)*Index!BO$22*(BS$15&lt;=$J156)*(1-BS$12)</f>
        <v>0</v>
      </c>
      <c r="BT156" s="747">
        <f>$G156*$H156*(1+$K156)^MAX(ROUNDUP(IFERROR(DATEDIF($I156-1,BT$15+1,"m"),)/12,)-1,)*Index!BP$22*(BT$15&lt;=$J156)*(1-BT$12)</f>
        <v>0</v>
      </c>
      <c r="BU156" s="747">
        <f>$G156*$H156*(1+$K156)^MAX(ROUNDUP(IFERROR(DATEDIF($I156-1,BU$15+1,"m"),)/12,)-1,)*Index!BQ$22*(BU$15&lt;=$J156)*(1-BU$12)</f>
        <v>0</v>
      </c>
      <c r="BV156" s="747">
        <f>$G156*$H156*(1+$K156)^MAX(ROUNDUP(IFERROR(DATEDIF($I156-1,BV$15+1,"m"),)/12,)-1,)*Index!BR$22*(BV$15&lt;=$J156)*(1-BV$12)</f>
        <v>0</v>
      </c>
      <c r="BW156" s="747">
        <f>$G156*$H156*(1+$K156)^MAX(ROUNDUP(IFERROR(DATEDIF($I156-1,BW$15+1,"m"),)/12,)-1,)*Index!BS$22*(BW$15&lt;=$J156)*(1-BW$12)</f>
        <v>0</v>
      </c>
      <c r="BX156" s="747">
        <f>$G156*$H156*(1+$K156)^MAX(ROUNDUP(IFERROR(DATEDIF($I156-1,BX$15+1,"m"),)/12,)-1,)*Index!BT$22*(BX$15&lt;=$J156)*(1-BX$12)</f>
        <v>0</v>
      </c>
      <c r="BY156" s="747">
        <f>$G156*$H156*(1+$K156)^MAX(ROUNDUP(IFERROR(DATEDIF($I156-1,BY$15+1,"m"),)/12,)-1,)*Index!BU$22*(BY$15&lt;=$J156)*(1-BY$12)</f>
        <v>0</v>
      </c>
      <c r="BZ156" s="747">
        <f>$G156*$H156*(1+$K156)^MAX(ROUNDUP(IFERROR(DATEDIF($I156-1,BZ$15+1,"m"),)/12,)-1,)*Index!BV$22*(BZ$15&lt;=$J156)*(1-BZ$12)</f>
        <v>0</v>
      </c>
      <c r="CA156" s="747">
        <f>$G156*$H156*(1+$K156)^MAX(ROUNDUP(IFERROR(DATEDIF($I156-1,CA$15+1,"m"),)/12,)-1,)*Index!BW$22*(CA$15&lt;=$J156)*(1-CA$12)</f>
        <v>0</v>
      </c>
      <c r="CB156" s="747">
        <f>$G156*$H156*(1+$K156)^MAX(ROUNDUP(IFERROR(DATEDIF($I156-1,CB$15+1,"m"),)/12,)-1,)*Index!BX$22*(CB$15&lt;=$J156)*(1-CB$12)</f>
        <v>0</v>
      </c>
      <c r="CC156" s="747">
        <f>$G156*$H156*(1+$K156)^MAX(ROUNDUP(IFERROR(DATEDIF($I156-1,CC$15+1,"m"),)/12,)-1,)*Index!BY$22*(CC$15&lt;=$J156)*(1-CC$12)</f>
        <v>0</v>
      </c>
      <c r="CD156" s="747">
        <f>$G156*$H156*(1+$K156)^MAX(ROUNDUP(IFERROR(DATEDIF($I156-1,CD$15+1,"m"),)/12,)-1,)*Index!BZ$22*(CD$15&lt;=$J156)*(1-CD$12)</f>
        <v>0</v>
      </c>
      <c r="CE156" s="747">
        <f>$G156*$H156*(1+$K156)^MAX(ROUNDUP(IFERROR(DATEDIF($I156-1,CE$15+1,"m"),)/12,)-1,)*Index!CA$22*(CE$15&lt;=$J156)*(1-CE$12)</f>
        <v>0</v>
      </c>
      <c r="CF156" s="747">
        <f>$G156*$H156*(1+$K156)^MAX(ROUNDUP(IFERROR(DATEDIF($I156-1,CF$15+1,"m"),)/12,)-1,)*Index!CB$22*(CF$15&lt;=$J156)*(1-CF$12)</f>
        <v>0</v>
      </c>
      <c r="CG156" s="747">
        <f>$G156*$H156*(1+$K156)^MAX(ROUNDUP(IFERROR(DATEDIF($I156-1,CG$15+1,"m"),)/12,)-1,)*Index!CC$22*(CG$15&lt;=$J156)*(1-CG$12)</f>
        <v>0</v>
      </c>
      <c r="CH156" s="747">
        <f>$G156*$H156*(1+$K156)^MAX(ROUNDUP(IFERROR(DATEDIF($I156-1,CH$15+1,"m"),)/12,)-1,)*Index!CD$22*(CH$15&lt;=$J156)*(1-CH$12)</f>
        <v>0</v>
      </c>
      <c r="CI156" s="747">
        <f>$G156*$H156*(1+$K156)^MAX(ROUNDUP(IFERROR(DATEDIF($I156-1,CI$15+1,"m"),)/12,)-1,)*Index!CE$22*(CI$15&lt;=$J156)*(1-CI$12)</f>
        <v>0</v>
      </c>
      <c r="CJ156" s="747">
        <f>$G156*$H156*(1+$K156)^MAX(ROUNDUP(IFERROR(DATEDIF($I156-1,CJ$15+1,"m"),)/12,)-1,)*Index!CF$22*(CJ$15&lt;=$J156)*(1-CJ$12)</f>
        <v>0</v>
      </c>
      <c r="CK156" s="747">
        <f>$G156*$H156*(1+$K156)^MAX(ROUNDUP(IFERROR(DATEDIF($I156-1,CK$15+1,"m"),)/12,)-1,)*Index!CG$22*(CK$15&lt;=$J156)*(1-CK$12)</f>
        <v>0</v>
      </c>
      <c r="CL156" s="747">
        <f>$G156*$H156*(1+$K156)^MAX(ROUNDUP(IFERROR(DATEDIF($I156-1,CL$15+1,"m"),)/12,)-1,)*Index!CH$22*(CL$15&lt;=$J156)*(1-CL$12)</f>
        <v>0</v>
      </c>
      <c r="CM156" s="747">
        <f>$G156*$H156*(1+$K156)^MAX(ROUNDUP(IFERROR(DATEDIF($I156-1,CM$15+1,"m"),)/12,)-1,)*Index!CI$22*(CM$15&lt;=$J156)*(1-CM$12)</f>
        <v>0</v>
      </c>
      <c r="CN156" s="747">
        <f>$G156*$H156*(1+$K156)^MAX(ROUNDUP(IFERROR(DATEDIF($I156-1,CN$15+1,"m"),)/12,)-1,)*Index!CJ$22*(CN$15&lt;=$J156)*(1-CN$12)</f>
        <v>0</v>
      </c>
      <c r="CO156" s="747">
        <f>$G156*$H156*(1+$K156)^MAX(ROUNDUP(IFERROR(DATEDIF($I156-1,CO$15+1,"m"),)/12,)-1,)*Index!CK$22*(CO$15&lt;=$J156)*(1-CO$12)</f>
        <v>0</v>
      </c>
      <c r="CP156" s="747">
        <f>$G156*$H156*(1+$K156)^MAX(ROUNDUP(IFERROR(DATEDIF($I156-1,CP$15+1,"m"),)/12,)-1,)*Index!CL$22*(CP$15&lt;=$J156)*(1-CP$12)</f>
        <v>0</v>
      </c>
      <c r="CQ156" s="747">
        <f>$G156*$H156*(1+$K156)^MAX(ROUNDUP(IFERROR(DATEDIF($I156-1,CQ$15+1,"m"),)/12,)-1,)*Index!CM$22*(CQ$15&lt;=$J156)*(1-CQ$12)</f>
        <v>0</v>
      </c>
      <c r="CR156" s="747">
        <f>$G156*$H156*(1+$K156)^MAX(ROUNDUP(IFERROR(DATEDIF($I156-1,CR$15+1,"m"),)/12,)-1,)*Index!CN$22*(CR$15&lt;=$J156)*(1-CR$12)</f>
        <v>0</v>
      </c>
      <c r="CS156" s="747">
        <f>$G156*$H156*(1+$K156)^MAX(ROUNDUP(IFERROR(DATEDIF($I156-1,CS$15+1,"m"),)/12,)-1,)*Index!CO$22*(CS$15&lt;=$J156)*(1-CS$12)</f>
        <v>0</v>
      </c>
      <c r="CT156" s="747">
        <f>$G156*$H156*(1+$K156)^MAX(ROUNDUP(IFERROR(DATEDIF($I156-1,CT$15+1,"m"),)/12,)-1,)*Index!CP$22*(CT$15&lt;=$J156)*(1-CT$12)</f>
        <v>0</v>
      </c>
      <c r="CU156" s="747">
        <f>$G156*$H156*(1+$K156)^MAX(ROUNDUP(IFERROR(DATEDIF($I156-1,CU$15+1,"m"),)/12,)-1,)*Index!CQ$22*(CU$15&lt;=$J156)*(1-CU$12)</f>
        <v>0</v>
      </c>
      <c r="CV156" s="747">
        <f>$G156*$H156*(1+$K156)^MAX(ROUNDUP(IFERROR(DATEDIF($I156-1,CV$15+1,"m"),)/12,)-1,)*Index!CR$22*(CV$15&lt;=$J156)*(1-CV$12)</f>
        <v>0</v>
      </c>
      <c r="CW156" s="747">
        <f>$G156*$H156*(1+$K156)^MAX(ROUNDUP(IFERROR(DATEDIF($I156-1,CW$15+1,"m"),)/12,)-1,)*Index!CS$22*(CW$15&lt;=$J156)*(1-CW$12)</f>
        <v>0</v>
      </c>
      <c r="CX156" s="747">
        <f>$G156*$H156*(1+$K156)^MAX(ROUNDUP(IFERROR(DATEDIF($I156-1,CX$15+1,"m"),)/12,)-1,)*Index!CT$22*(CX$15&lt;=$J156)*(1-CX$12)</f>
        <v>0</v>
      </c>
      <c r="CY156" s="747">
        <f>$G156*$H156*(1+$K156)^MAX(ROUNDUP(IFERROR(DATEDIF($I156-1,CY$15+1,"m"),)/12,)-1,)*Index!CU$22*(CY$15&lt;=$J156)*(1-CY$12)</f>
        <v>0</v>
      </c>
      <c r="CZ156" s="747">
        <f>$G156*$H156*(1+$K156)^MAX(ROUNDUP(IFERROR(DATEDIF($I156-1,CZ$15+1,"m"),)/12,)-1,)*Index!CV$22*(CZ$15&lt;=$J156)*(1-CZ$12)</f>
        <v>0</v>
      </c>
      <c r="DA156" s="747">
        <f>$G156*$H156*(1+$K156)^MAX(ROUNDUP(IFERROR(DATEDIF($I156-1,DA$15+1,"m"),)/12,)-1,)*Index!CW$22*(DA$15&lt;=$J156)*(1-DA$12)</f>
        <v>0</v>
      </c>
      <c r="DB156" s="747">
        <f>$G156*$H156*(1+$K156)^MAX(ROUNDUP(IFERROR(DATEDIF($I156-1,DB$15+1,"m"),)/12,)-1,)*Index!CX$22*(DB$15&lt;=$J156)*(1-DB$12)</f>
        <v>0</v>
      </c>
      <c r="DC156" s="747">
        <f>$G156*$H156*(1+$K156)^MAX(ROUNDUP(IFERROR(DATEDIF($I156-1,DC$15+1,"m"),)/12,)-1,)*Index!CY$22*(DC$15&lt;=$J156)*(1-DC$12)</f>
        <v>0</v>
      </c>
      <c r="DD156" s="747">
        <f>$G156*$H156*(1+$K156)^MAX(ROUNDUP(IFERROR(DATEDIF($I156-1,DD$15+1,"m"),)/12,)-1,)*Index!CZ$22*(DD$15&lt;=$J156)*(1-DD$12)</f>
        <v>0</v>
      </c>
      <c r="DE156" s="747">
        <f>$G156*$H156*(1+$K156)^MAX(ROUNDUP(IFERROR(DATEDIF($I156-1,DE$15+1,"m"),)/12,)-1,)*Index!DA$22*(DE$15&lt;=$J156)*(1-DE$12)</f>
        <v>0</v>
      </c>
      <c r="DF156" s="747">
        <f>$G156*$H156*(1+$K156)^MAX(ROUNDUP(IFERROR(DATEDIF($I156-1,DF$15+1,"m"),)/12,)-1,)*Index!DB$22*(DF$15&lt;=$J156)*(1-DF$12)</f>
        <v>0</v>
      </c>
      <c r="DG156" s="747">
        <f>$G156*$H156*(1+$K156)^MAX(ROUNDUP(IFERROR(DATEDIF($I156-1,DG$15+1,"m"),)/12,)-1,)*Index!DC$22*(DG$15&lt;=$J156)*(1-DG$12)</f>
        <v>0</v>
      </c>
      <c r="DH156" s="747">
        <f>$G156*$H156*(1+$K156)^MAX(ROUNDUP(IFERROR(DATEDIF($I156-1,DH$15+1,"m"),)/12,)-1,)*Index!DD$22*(DH$15&lt;=$J156)*(1-DH$12)</f>
        <v>0</v>
      </c>
      <c r="DI156" s="747">
        <f>$G156*$H156*(1+$K156)^MAX(ROUNDUP(IFERROR(DATEDIF($I156-1,DI$15+1,"m"),)/12,)-1,)*Index!DE$22*(DI$15&lt;=$J156)*(1-DI$12)</f>
        <v>0</v>
      </c>
      <c r="DJ156" s="747">
        <f>$G156*$H156*(1+$K156)^MAX(ROUNDUP(IFERROR(DATEDIF($I156-1,DJ$15+1,"m"),)/12,)-1,)*Index!DF$22*(DJ$15&lt;=$J156)*(1-DJ$12)</f>
        <v>0</v>
      </c>
      <c r="DK156" s="747">
        <f>$G156*$H156*(1+$K156)^MAX(ROUNDUP(IFERROR(DATEDIF($I156-1,DK$15+1,"m"),)/12,)-1,)*Index!DG$22*(DK$15&lt;=$J156)*(1-DK$12)</f>
        <v>0</v>
      </c>
      <c r="DL156" s="747">
        <f>$G156*$H156*(1+$K156)^MAX(ROUNDUP(IFERROR(DATEDIF($I156-1,DL$15+1,"m"),)/12,)-1,)*Index!DH$22*(DL$15&lt;=$J156)*(1-DL$12)</f>
        <v>0</v>
      </c>
      <c r="DM156" s="747">
        <f>$G156*$H156*(1+$K156)^MAX(ROUNDUP(IFERROR(DATEDIF($I156-1,DM$15+1,"m"),)/12,)-1,)*Index!DI$22*(DM$15&lt;=$J156)*(1-DM$12)</f>
        <v>0</v>
      </c>
      <c r="DN156" s="747">
        <f>$G156*$H156*(1+$K156)^MAX(ROUNDUP(IFERROR(DATEDIF($I156-1,DN$15+1,"m"),)/12,)-1,)*Index!DJ$22*(DN$15&lt;=$J156)*(1-DN$12)</f>
        <v>0</v>
      </c>
      <c r="DO156" s="747">
        <f>$G156*$H156*(1+$K156)^MAX(ROUNDUP(IFERROR(DATEDIF($I156-1,DO$15+1,"m"),)/12,)-1,)*Index!DK$22*(DO$15&lt;=$J156)*(1-DO$12)</f>
        <v>0</v>
      </c>
      <c r="DP156" s="747">
        <f>$G156*$H156*(1+$K156)^MAX(ROUNDUP(IFERROR(DATEDIF($I156-1,DP$15+1,"m"),)/12,)-1,)*Index!DL$22*(DP$15&lt;=$J156)*(1-DP$12)</f>
        <v>0</v>
      </c>
      <c r="DQ156" s="747">
        <f>$G156*$H156*(1+$K156)^MAX(ROUNDUP(IFERROR(DATEDIF($I156-1,DQ$15+1,"m"),)/12,)-1,)*Index!DM$22*(DQ$15&lt;=$J156)*(1-DQ$12)</f>
        <v>0</v>
      </c>
      <c r="DR156" s="747">
        <f>$G156*$H156*(1+$K156)^MAX(ROUNDUP(IFERROR(DATEDIF($I156-1,DR$15+1,"m"),)/12,)-1,)*Index!DN$22*(DR$15&lt;=$J156)*(1-DR$12)</f>
        <v>0</v>
      </c>
      <c r="DS156" s="747">
        <f>$G156*$H156*(1+$K156)^MAX(ROUNDUP(IFERROR(DATEDIF($I156-1,DS$15+1,"m"),)/12,)-1,)*Index!DO$22*(DS$15&lt;=$J156)*(1-DS$12)</f>
        <v>0</v>
      </c>
      <c r="DT156" s="747">
        <f>$G156*$H156*(1+$K156)^MAX(ROUNDUP(IFERROR(DATEDIF($I156-1,DT$15+1,"m"),)/12,)-1,)*Index!DP$22*(DT$15&lt;=$J156)*(1-DT$12)</f>
        <v>0</v>
      </c>
      <c r="DU156" s="747">
        <f>$G156*$H156*(1+$K156)^MAX(ROUNDUP(IFERROR(DATEDIF($I156-1,DU$15+1,"m"),)/12,)-1,)*Index!DQ$22*(DU$15&lt;=$J156)*(1-DU$12)</f>
        <v>0</v>
      </c>
      <c r="DV156" s="747">
        <f>$G156*$H156*(1+$K156)^MAX(ROUNDUP(IFERROR(DATEDIF($I156-1,DV$15+1,"m"),)/12,)-1,)*Index!DR$22*(DV$15&lt;=$J156)*(1-DV$12)</f>
        <v>0</v>
      </c>
      <c r="DW156" s="747">
        <f>$G156*$H156*(1+$K156)^MAX(ROUNDUP(IFERROR(DATEDIF($I156-1,DW$15+1,"m"),)/12,)-1,)*Index!DS$22*(DW$15&lt;=$J156)*(1-DW$12)</f>
        <v>0</v>
      </c>
      <c r="DX156" s="747">
        <f>$G156*$H156*(1+$K156)^MAX(ROUNDUP(IFERROR(DATEDIF($I156-1,DX$15+1,"m"),)/12,)-1,)*Index!DT$22*(DX$15&lt;=$J156)*(1-DX$12)</f>
        <v>0</v>
      </c>
      <c r="DY156" s="747">
        <f>$G156*$H156*(1+$K156)^MAX(ROUNDUP(IFERROR(DATEDIF($I156-1,DY$15+1,"m"),)/12,)-1,)*Index!DU$22*(DY$15&lt;=$J156)*(1-DY$12)</f>
        <v>0</v>
      </c>
      <c r="DZ156" s="747">
        <f>$G156*$H156*(1+$K156)^MAX(ROUNDUP(IFERROR(DATEDIF($I156-1,DZ$15+1,"m"),)/12,)-1,)*Index!DV$22*(DZ$15&lt;=$J156)*(1-DZ$12)</f>
        <v>0</v>
      </c>
      <c r="EA156" s="747">
        <f>$G156*$H156*(1+$K156)^MAX(ROUNDUP(IFERROR(DATEDIF($I156-1,EA$15+1,"m"),)/12,)-1,)*Index!DW$22*(EA$15&lt;=$J156)*(1-EA$12)</f>
        <v>0</v>
      </c>
      <c r="EB156" s="747">
        <f>$G156*$H156*(1+$K156)^MAX(ROUNDUP(IFERROR(DATEDIF($I156-1,EB$15+1,"m"),)/12,)-1,)*Index!DX$22*(EB$15&lt;=$J156)*(1-EB$12)</f>
        <v>0</v>
      </c>
      <c r="EC156" s="747">
        <f>$G156*$H156*(1+$K156)^MAX(ROUNDUP(IFERROR(DATEDIF($I156-1,EC$15+1,"m"),)/12,)-1,)*Index!DY$22*(EC$15&lt;=$J156)*(1-EC$12)</f>
        <v>0</v>
      </c>
      <c r="ED156" s="747">
        <f>$G156*$H156*(1+$K156)^MAX(ROUNDUP(IFERROR(DATEDIF($I156-1,ED$15+1,"m"),)/12,)-1,)*Index!DZ$22*(ED$15&lt;=$J156)*(1-ED$12)</f>
        <v>0</v>
      </c>
      <c r="EE156" s="747">
        <f>$G156*$H156*(1+$K156)^MAX(ROUNDUP(IFERROR(DATEDIF($I156-1,EE$15+1,"m"),)/12,)-1,)*Index!EA$22*(EE$15&lt;=$J156)*(1-EE$12)</f>
        <v>0</v>
      </c>
      <c r="EF156" s="747">
        <f>$G156*$H156*(1+$K156)^MAX(ROUNDUP(IFERROR(DATEDIF($I156-1,EF$15+1,"m"),)/12,)-1,)*Index!EB$22*(EF$15&lt;=$J156)*(1-EF$12)</f>
        <v>0</v>
      </c>
      <c r="EG156" s="747">
        <f>$G156*$H156*(1+$K156)^MAX(ROUNDUP(IFERROR(DATEDIF($I156-1,EG$15+1,"m"),)/12,)-1,)*Index!EC$22*(EG$15&lt;=$J156)*(1-EG$12)</f>
        <v>0</v>
      </c>
      <c r="EH156" s="747">
        <f>$G156*$H156*(1+$K156)^MAX(ROUNDUP(IFERROR(DATEDIF($I156-1,EH$15+1,"m"),)/12,)-1,)*Index!ED$22*(EH$15&lt;=$J156)*(1-EH$12)</f>
        <v>0</v>
      </c>
      <c r="EI156" s="747">
        <f>$G156*$H156*(1+$K156)^MAX(ROUNDUP(IFERROR(DATEDIF($I156-1,EI$15+1,"m"),)/12,)-1,)*Index!EE$22*(EI$15&lt;=$J156)*(1-EI$12)</f>
        <v>0</v>
      </c>
      <c r="EJ156" s="747">
        <f>$G156*$H156*(1+$K156)^MAX(ROUNDUP(IFERROR(DATEDIF($I156-1,EJ$15+1,"m"),)/12,)-1,)*Index!EF$22*(EJ$15&lt;=$J156)*(1-EJ$12)</f>
        <v>0</v>
      </c>
      <c r="EK156" s="747">
        <f>$G156*$H156*(1+$K156)^MAX(ROUNDUP(IFERROR(DATEDIF($I156-1,EK$15+1,"m"),)/12,)-1,)*Index!EG$22*(EK$15&lt;=$J156)*(1-EK$12)</f>
        <v>0</v>
      </c>
      <c r="EL156" s="747">
        <f>$G156*$H156*(1+$K156)^MAX(ROUNDUP(IFERROR(DATEDIF($I156-1,EL$15+1,"m"),)/12,)-1,)*Index!EH$22*(EL$15&lt;=$J156)*(1-EL$12)</f>
        <v>0</v>
      </c>
      <c r="EM156" s="747">
        <f>$G156*$H156*(1+$K156)^MAX(ROUNDUP(IFERROR(DATEDIF($I156-1,EM$15+1,"m"),)/12,)-1,)*Index!EI$22*(EM$15&lt;=$J156)*(1-EM$12)</f>
        <v>0</v>
      </c>
      <c r="EN156" s="747">
        <f>$G156*$H156*(1+$K156)^MAX(ROUNDUP(IFERROR(DATEDIF($I156-1,EN$15+1,"m"),)/12,)-1,)*Index!EJ$22*(EN$15&lt;=$J156)*(1-EN$12)</f>
        <v>0</v>
      </c>
      <c r="EO156" s="747">
        <f>$G156*$H156*(1+$K156)^MAX(ROUNDUP(IFERROR(DATEDIF($I156-1,EO$15+1,"m"),)/12,)-1,)*Index!EK$22*(EO$15&lt;=$J156)*(1-EO$12)</f>
        <v>0</v>
      </c>
      <c r="EP156" s="747">
        <f>$G156*$H156*(1+$K156)^MAX(ROUNDUP(IFERROR(DATEDIF($I156-1,EP$15+1,"m"),)/12,)-1,)*Index!EL$22*(EP$15&lt;=$J156)*(1-EP$12)</f>
        <v>0</v>
      </c>
      <c r="EQ156" s="747">
        <f>$G156*$H156*(1+$K156)^MAX(ROUNDUP(IFERROR(DATEDIF($I156-1,EQ$15+1,"m"),)/12,)-1,)*Index!EM$22*(EQ$15&lt;=$J156)*(1-EQ$12)</f>
        <v>0</v>
      </c>
      <c r="ER156" s="747">
        <f>$G156*$H156*(1+$K156)^MAX(ROUNDUP(IFERROR(DATEDIF($I156-1,ER$15+1,"m"),)/12,)-1,)*Index!EN$22*(ER$15&lt;=$J156)*(1-ER$12)</f>
        <v>0</v>
      </c>
      <c r="ES156" s="747">
        <f>$G156*$H156*(1+$K156)^MAX(ROUNDUP(IFERROR(DATEDIF($I156-1,ES$15+1,"m"),)/12,)-1,)*Index!EO$22*(ES$15&lt;=$J156)*(1-ES$12)</f>
        <v>0</v>
      </c>
      <c r="ET156" s="747">
        <f>$G156*$H156*(1+$K156)^MAX(ROUNDUP(IFERROR(DATEDIF($I156-1,ET$15+1,"m"),)/12,)-1,)*Index!EP$22*(ET$15&lt;=$J156)*(1-ET$12)</f>
        <v>0</v>
      </c>
      <c r="EU156" s="747">
        <f>$G156*$H156*(1+$K156)^MAX(ROUNDUP(IFERROR(DATEDIF($I156-1,EU$15+1,"m"),)/12,)-1,)*Index!EQ$22*(EU$15&lt;=$J156)*(1-EU$12)</f>
        <v>0</v>
      </c>
    </row>
    <row r="157" spans="3:151" ht="11.25" customHeight="1">
      <c r="C157" s="735"/>
      <c r="D157" s="743">
        <f t="shared" si="237"/>
        <v>1</v>
      </c>
      <c r="E157" s="704" t="str">
        <f t="shared" si="237"/>
        <v>공실</v>
      </c>
      <c r="F157" s="704" t="str">
        <f t="shared" si="237"/>
        <v>근린생활시설</v>
      </c>
      <c r="G157" s="781">
        <f>'A&amp;R'!AD20/1000</f>
        <v>0</v>
      </c>
      <c r="H157" s="744">
        <f>'A&amp;R'!Y20</f>
        <v>141.01000000000002</v>
      </c>
      <c r="I157" s="745">
        <f t="shared" si="238"/>
        <v>46326</v>
      </c>
      <c r="J157" s="745">
        <f t="shared" si="238"/>
        <v>49979</v>
      </c>
      <c r="K157" s="754">
        <f t="shared" si="238"/>
        <v>2.5000000000000001E-2</v>
      </c>
      <c r="L157" s="748"/>
      <c r="M157" s="749"/>
      <c r="N157" s="747">
        <f t="shared" si="239"/>
        <v>0</v>
      </c>
      <c r="O157" s="733"/>
      <c r="P157" s="747">
        <f>$G157*$H157*(1+$K157)^MAX(ROUNDUP(IFERROR(DATEDIF($I157-1,P$15+1,"m"),)/12,)-1,)*Index!L$22*(P$15&lt;=$J157)*(1-P$12)</f>
        <v>0</v>
      </c>
      <c r="Q157" s="747">
        <f>$G157*$H157*(1+$K157)^MAX(ROUNDUP(IFERROR(DATEDIF($I157-1,Q$15+1,"m"),)/12,)-1,)*Index!M$22*(Q$15&lt;=$J157)*(1-Q$12)</f>
        <v>0</v>
      </c>
      <c r="R157" s="747">
        <f>$G157*$H157*(1+$K157)^MAX(ROUNDUP(IFERROR(DATEDIF($I157-1,R$15+1,"m"),)/12,)-1,)*Index!N$22*(R$15&lt;=$J157)*(1-R$12)</f>
        <v>0</v>
      </c>
      <c r="S157" s="747">
        <f>$G157*$H157*(1+$K157)^MAX(ROUNDUP(IFERROR(DATEDIF($I157-1,S$15+1,"m"),)/12,)-1,)*Index!O$22*(S$15&lt;=$J157)*(1-S$12)</f>
        <v>0</v>
      </c>
      <c r="T157" s="747">
        <f>$G157*$H157*(1+$K157)^MAX(ROUNDUP(IFERROR(DATEDIF($I157-1,T$15+1,"m"),)/12,)-1,)*Index!P$22*(T$15&lt;=$J157)*(1-T$12)</f>
        <v>0</v>
      </c>
      <c r="U157" s="747">
        <f>$G157*$H157*(1+$K157)^MAX(ROUNDUP(IFERROR(DATEDIF($I157-1,U$15+1,"m"),)/12,)-1,)*Index!Q$22*(U$15&lt;=$J157)*(1-U$12)</f>
        <v>0</v>
      </c>
      <c r="V157" s="747">
        <f>$G157*$H157*(1+$K157)^MAX(ROUNDUP(IFERROR(DATEDIF($I157-1,V$15+1,"m"),)/12,)-1,)*Index!R$22*(V$15&lt;=$J157)*(1-V$12)</f>
        <v>0</v>
      </c>
      <c r="W157" s="747">
        <f>$G157*$H157*(1+$K157)^MAX(ROUNDUP(IFERROR(DATEDIF($I157-1,W$15+1,"m"),)/12,)-1,)*Index!S$22*(W$15&lt;=$J157)*(1-W$12)</f>
        <v>0</v>
      </c>
      <c r="X157" s="747">
        <f>$G157*$H157*(1+$K157)^MAX(ROUNDUP(IFERROR(DATEDIF($I157-1,X$15+1,"m"),)/12,)-1,)*Index!T$22*(X$15&lt;=$J157)*(1-X$12)</f>
        <v>0</v>
      </c>
      <c r="Y157" s="747">
        <f>$G157*$H157*(1+$K157)^MAX(ROUNDUP(IFERROR(DATEDIF($I157-1,Y$15+1,"m"),)/12,)-1,)*Index!U$22*(Y$15&lt;=$J157)*(1-Y$12)</f>
        <v>0</v>
      </c>
      <c r="Z157" s="747">
        <f>$G157*$H157*(1+$K157)^MAX(ROUNDUP(IFERROR(DATEDIF($I157-1,Z$15+1,"m"),)/12,)-1,)*Index!V$22*(Z$15&lt;=$J157)*(1-Z$12)</f>
        <v>0</v>
      </c>
      <c r="AA157" s="747">
        <f>$G157*$H157*(1+$K157)^MAX(ROUNDUP(IFERROR(DATEDIF($I157-1,AA$15+1,"m"),)/12,)-1,)*Index!W$22*(AA$15&lt;=$J157)*(1-AA$12)</f>
        <v>0</v>
      </c>
      <c r="AB157" s="747">
        <f>$G157*$H157*(1+$K157)^MAX(ROUNDUP(IFERROR(DATEDIF($I157-1,AB$15+1,"m"),)/12,)-1,)*Index!X$22*(AB$15&lt;=$J157)*(1-AB$12)</f>
        <v>0</v>
      </c>
      <c r="AC157" s="747">
        <f>$G157*$H157*(1+$K157)^MAX(ROUNDUP(IFERROR(DATEDIF($I157-1,AC$15+1,"m"),)/12,)-1,)*Index!Y$22*(AC$15&lt;=$J157)*(1-AC$12)</f>
        <v>0</v>
      </c>
      <c r="AD157" s="747">
        <f>$G157*$H157*(1+$K157)^MAX(ROUNDUP(IFERROR(DATEDIF($I157-1,AD$15+1,"m"),)/12,)-1,)*Index!Z$22*(AD$15&lt;=$J157)*(1-AD$12)</f>
        <v>0</v>
      </c>
      <c r="AE157" s="747">
        <f>$G157*$H157*(1+$K157)^MAX(ROUNDUP(IFERROR(DATEDIF($I157-1,AE$15+1,"m"),)/12,)-1,)*Index!AA$22*(AE$15&lt;=$J157)*(1-AE$12)</f>
        <v>0</v>
      </c>
      <c r="AF157" s="747">
        <f>$G157*$H157*(1+$K157)^MAX(ROUNDUP(IFERROR(DATEDIF($I157-1,AF$15+1,"m"),)/12,)-1,)*Index!AB$22*(AF$15&lt;=$J157)*(1-AF$12)</f>
        <v>0</v>
      </c>
      <c r="AG157" s="747">
        <f>$G157*$H157*(1+$K157)^MAX(ROUNDUP(IFERROR(DATEDIF($I157-1,AG$15+1,"m"),)/12,)-1,)*Index!AC$22*(AG$15&lt;=$J157)*(1-AG$12)</f>
        <v>0</v>
      </c>
      <c r="AH157" s="747">
        <f>$G157*$H157*(1+$K157)^MAX(ROUNDUP(IFERROR(DATEDIF($I157-1,AH$15+1,"m"),)/12,)-1,)*Index!AD$22*(AH$15&lt;=$J157)*(1-AH$12)</f>
        <v>0</v>
      </c>
      <c r="AI157" s="747">
        <f>$G157*$H157*(1+$K157)^MAX(ROUNDUP(IFERROR(DATEDIF($I157-1,AI$15+1,"m"),)/12,)-1,)*Index!AE$22*(AI$15&lt;=$J157)*(1-AI$12)</f>
        <v>0</v>
      </c>
      <c r="AJ157" s="747">
        <f>$G157*$H157*(1+$K157)^MAX(ROUNDUP(IFERROR(DATEDIF($I157-1,AJ$15+1,"m"),)/12,)-1,)*Index!AF$22*(AJ$15&lt;=$J157)*(1-AJ$12)</f>
        <v>0</v>
      </c>
      <c r="AK157" s="747">
        <f>$G157*$H157*(1+$K157)^MAX(ROUNDUP(IFERROR(DATEDIF($I157-1,AK$15+1,"m"),)/12,)-1,)*Index!AG$22*(AK$15&lt;=$J157)*(1-AK$12)</f>
        <v>0</v>
      </c>
      <c r="AL157" s="747">
        <f>$G157*$H157*(1+$K157)^MAX(ROUNDUP(IFERROR(DATEDIF($I157-1,AL$15+1,"m"),)/12,)-1,)*Index!AH$22*(AL$15&lt;=$J157)*(1-AL$12)</f>
        <v>0</v>
      </c>
      <c r="AM157" s="747">
        <f>$G157*$H157*(1+$K157)^MAX(ROUNDUP(IFERROR(DATEDIF($I157-1,AM$15+1,"m"),)/12,)-1,)*Index!AI$22*(AM$15&lt;=$J157)*(1-AM$12)</f>
        <v>0</v>
      </c>
      <c r="AN157" s="747">
        <f>$G157*$H157*(1+$K157)^MAX(ROUNDUP(IFERROR(DATEDIF($I157-1,AN$15+1,"m"),)/12,)-1,)*Index!AJ$22*(AN$15&lt;=$J157)*(1-AN$12)</f>
        <v>0</v>
      </c>
      <c r="AO157" s="747">
        <f>$G157*$H157*(1+$K157)^MAX(ROUNDUP(IFERROR(DATEDIF($I157-1,AO$15+1,"m"),)/12,)-1,)*Index!AK$22*(AO$15&lt;=$J157)*(1-AO$12)</f>
        <v>0</v>
      </c>
      <c r="AP157" s="747">
        <f>$G157*$H157*(1+$K157)^MAX(ROUNDUP(IFERROR(DATEDIF($I157-1,AP$15+1,"m"),)/12,)-1,)*Index!AL$22*(AP$15&lt;=$J157)*(1-AP$12)</f>
        <v>0</v>
      </c>
      <c r="AQ157" s="747">
        <f>$G157*$H157*(1+$K157)^MAX(ROUNDUP(IFERROR(DATEDIF($I157-1,AQ$15+1,"m"),)/12,)-1,)*Index!AM$22*(AQ$15&lt;=$J157)*(1-AQ$12)</f>
        <v>0</v>
      </c>
      <c r="AR157" s="747">
        <f>$G157*$H157*(1+$K157)^MAX(ROUNDUP(IFERROR(DATEDIF($I157-1,AR$15+1,"m"),)/12,)-1,)*Index!AN$22*(AR$15&lt;=$J157)*(1-AR$12)</f>
        <v>0</v>
      </c>
      <c r="AS157" s="747">
        <f>$G157*$H157*(1+$K157)^MAX(ROUNDUP(IFERROR(DATEDIF($I157-1,AS$15+1,"m"),)/12,)-1,)*Index!AO$22*(AS$15&lt;=$J157)*(1-AS$12)</f>
        <v>0</v>
      </c>
      <c r="AT157" s="747">
        <f>$G157*$H157*(1+$K157)^MAX(ROUNDUP(IFERROR(DATEDIF($I157-1,AT$15+1,"m"),)/12,)-1,)*Index!AP$22*(AT$15&lt;=$J157)*(1-AT$12)</f>
        <v>0</v>
      </c>
      <c r="AU157" s="747">
        <f>$G157*$H157*(1+$K157)^MAX(ROUNDUP(IFERROR(DATEDIF($I157-1,AU$15+1,"m"),)/12,)-1,)*Index!AQ$22*(AU$15&lt;=$J157)*(1-AU$12)</f>
        <v>0</v>
      </c>
      <c r="AV157" s="747">
        <f>$G157*$H157*(1+$K157)^MAX(ROUNDUP(IFERROR(DATEDIF($I157-1,AV$15+1,"m"),)/12,)-1,)*Index!AR$22*(AV$15&lt;=$J157)*(1-AV$12)</f>
        <v>0</v>
      </c>
      <c r="AW157" s="747">
        <f>$G157*$H157*(1+$K157)^MAX(ROUNDUP(IFERROR(DATEDIF($I157-1,AW$15+1,"m"),)/12,)-1,)*Index!AS$22*(AW$15&lt;=$J157)*(1-AW$12)</f>
        <v>0</v>
      </c>
      <c r="AX157" s="747">
        <f>$G157*$H157*(1+$K157)^MAX(ROUNDUP(IFERROR(DATEDIF($I157-1,AX$15+1,"m"),)/12,)-1,)*Index!AT$22*(AX$15&lt;=$J157)*(1-AX$12)</f>
        <v>0</v>
      </c>
      <c r="AY157" s="747">
        <f>$G157*$H157*(1+$K157)^MAX(ROUNDUP(IFERROR(DATEDIF($I157-1,AY$15+1,"m"),)/12,)-1,)*Index!AU$22*(AY$15&lt;=$J157)*(1-AY$12)</f>
        <v>0</v>
      </c>
      <c r="AZ157" s="747">
        <f>$G157*$H157*(1+$K157)^MAX(ROUNDUP(IFERROR(DATEDIF($I157-1,AZ$15+1,"m"),)/12,)-1,)*Index!AV$22*(AZ$15&lt;=$J157)*(1-AZ$12)</f>
        <v>0</v>
      </c>
      <c r="BA157" s="747">
        <f>$G157*$H157*(1+$K157)^MAX(ROUNDUP(IFERROR(DATEDIF($I157-1,BA$15+1,"m"),)/12,)-1,)*Index!AW$22*(BA$15&lt;=$J157)*(1-BA$12)</f>
        <v>0</v>
      </c>
      <c r="BB157" s="747">
        <f>$G157*$H157*(1+$K157)^MAX(ROUNDUP(IFERROR(DATEDIF($I157-1,BB$15+1,"m"),)/12,)-1,)*Index!AX$22*(BB$15&lt;=$J157)*(1-BB$12)</f>
        <v>0</v>
      </c>
      <c r="BC157" s="747">
        <f>$G157*$H157*(1+$K157)^MAX(ROUNDUP(IFERROR(DATEDIF($I157-1,BC$15+1,"m"),)/12,)-1,)*Index!AY$22*(BC$15&lt;=$J157)*(1-BC$12)</f>
        <v>0</v>
      </c>
      <c r="BD157" s="747">
        <f>$G157*$H157*(1+$K157)^MAX(ROUNDUP(IFERROR(DATEDIF($I157-1,BD$15+1,"m"),)/12,)-1,)*Index!AZ$22*(BD$15&lt;=$J157)*(1-BD$12)</f>
        <v>0</v>
      </c>
      <c r="BE157" s="747">
        <f>$G157*$H157*(1+$K157)^MAX(ROUNDUP(IFERROR(DATEDIF($I157-1,BE$15+1,"m"),)/12,)-1,)*Index!BA$22*(BE$15&lt;=$J157)*(1-BE$12)</f>
        <v>0</v>
      </c>
      <c r="BF157" s="747">
        <f>$G157*$H157*(1+$K157)^MAX(ROUNDUP(IFERROR(DATEDIF($I157-1,BF$15+1,"m"),)/12,)-1,)*Index!BB$22*(BF$15&lt;=$J157)*(1-BF$12)</f>
        <v>0</v>
      </c>
      <c r="BG157" s="747">
        <f>$G157*$H157*(1+$K157)^MAX(ROUNDUP(IFERROR(DATEDIF($I157-1,BG$15+1,"m"),)/12,)-1,)*Index!BC$22*(BG$15&lt;=$J157)*(1-BG$12)</f>
        <v>0</v>
      </c>
      <c r="BH157" s="747">
        <f>$G157*$H157*(1+$K157)^MAX(ROUNDUP(IFERROR(DATEDIF($I157-1,BH$15+1,"m"),)/12,)-1,)*Index!BD$22*(BH$15&lt;=$J157)*(1-BH$12)</f>
        <v>0</v>
      </c>
      <c r="BI157" s="747">
        <f>$G157*$H157*(1+$K157)^MAX(ROUNDUP(IFERROR(DATEDIF($I157-1,BI$15+1,"m"),)/12,)-1,)*Index!BE$22*(BI$15&lt;=$J157)*(1-BI$12)</f>
        <v>0</v>
      </c>
      <c r="BJ157" s="747">
        <f>$G157*$H157*(1+$K157)^MAX(ROUNDUP(IFERROR(DATEDIF($I157-1,BJ$15+1,"m"),)/12,)-1,)*Index!BF$22*(BJ$15&lt;=$J157)*(1-BJ$12)</f>
        <v>0</v>
      </c>
      <c r="BK157" s="747">
        <f>$G157*$H157*(1+$K157)^MAX(ROUNDUP(IFERROR(DATEDIF($I157-1,BK$15+1,"m"),)/12,)-1,)*Index!BG$22*(BK$15&lt;=$J157)*(1-BK$12)</f>
        <v>0</v>
      </c>
      <c r="BL157" s="747">
        <f>$G157*$H157*(1+$K157)^MAX(ROUNDUP(IFERROR(DATEDIF($I157-1,BL$15+1,"m"),)/12,)-1,)*Index!BH$22*(BL$15&lt;=$J157)*(1-BL$12)</f>
        <v>0</v>
      </c>
      <c r="BM157" s="747">
        <f>$G157*$H157*(1+$K157)^MAX(ROUNDUP(IFERROR(DATEDIF($I157-1,BM$15+1,"m"),)/12,)-1,)*Index!BI$22*(BM$15&lt;=$J157)*(1-BM$12)</f>
        <v>0</v>
      </c>
      <c r="BN157" s="747">
        <f>$G157*$H157*(1+$K157)^MAX(ROUNDUP(IFERROR(DATEDIF($I157-1,BN$15+1,"m"),)/12,)-1,)*Index!BJ$22*(BN$15&lt;=$J157)*(1-BN$12)</f>
        <v>0</v>
      </c>
      <c r="BO157" s="747">
        <f>$G157*$H157*(1+$K157)^MAX(ROUNDUP(IFERROR(DATEDIF($I157-1,BO$15+1,"m"),)/12,)-1,)*Index!BK$22*(BO$15&lt;=$J157)*(1-BO$12)</f>
        <v>0</v>
      </c>
      <c r="BP157" s="747">
        <f>$G157*$H157*(1+$K157)^MAX(ROUNDUP(IFERROR(DATEDIF($I157-1,BP$15+1,"m"),)/12,)-1,)*Index!BL$22*(BP$15&lt;=$J157)*(1-BP$12)</f>
        <v>0</v>
      </c>
      <c r="BQ157" s="747">
        <f>$G157*$H157*(1+$K157)^MAX(ROUNDUP(IFERROR(DATEDIF($I157-1,BQ$15+1,"m"),)/12,)-1,)*Index!BM$22*(BQ$15&lt;=$J157)*(1-BQ$12)</f>
        <v>0</v>
      </c>
      <c r="BR157" s="747">
        <f>$G157*$H157*(1+$K157)^MAX(ROUNDUP(IFERROR(DATEDIF($I157-1,BR$15+1,"m"),)/12,)-1,)*Index!BN$22*(BR$15&lt;=$J157)*(1-BR$12)</f>
        <v>0</v>
      </c>
      <c r="BS157" s="747">
        <f>$G157*$H157*(1+$K157)^MAX(ROUNDUP(IFERROR(DATEDIF($I157-1,BS$15+1,"m"),)/12,)-1,)*Index!BO$22*(BS$15&lt;=$J157)*(1-BS$12)</f>
        <v>0</v>
      </c>
      <c r="BT157" s="747">
        <f>$G157*$H157*(1+$K157)^MAX(ROUNDUP(IFERROR(DATEDIF($I157-1,BT$15+1,"m"),)/12,)-1,)*Index!BP$22*(BT$15&lt;=$J157)*(1-BT$12)</f>
        <v>0</v>
      </c>
      <c r="BU157" s="747">
        <f>$G157*$H157*(1+$K157)^MAX(ROUNDUP(IFERROR(DATEDIF($I157-1,BU$15+1,"m"),)/12,)-1,)*Index!BQ$22*(BU$15&lt;=$J157)*(1-BU$12)</f>
        <v>0</v>
      </c>
      <c r="BV157" s="747">
        <f>$G157*$H157*(1+$K157)^MAX(ROUNDUP(IFERROR(DATEDIF($I157-1,BV$15+1,"m"),)/12,)-1,)*Index!BR$22*(BV$15&lt;=$J157)*(1-BV$12)</f>
        <v>0</v>
      </c>
      <c r="BW157" s="747">
        <f>$G157*$H157*(1+$K157)^MAX(ROUNDUP(IFERROR(DATEDIF($I157-1,BW$15+1,"m"),)/12,)-1,)*Index!BS$22*(BW$15&lt;=$J157)*(1-BW$12)</f>
        <v>0</v>
      </c>
      <c r="BX157" s="747">
        <f>$G157*$H157*(1+$K157)^MAX(ROUNDUP(IFERROR(DATEDIF($I157-1,BX$15+1,"m"),)/12,)-1,)*Index!BT$22*(BX$15&lt;=$J157)*(1-BX$12)</f>
        <v>0</v>
      </c>
      <c r="BY157" s="747">
        <f>$G157*$H157*(1+$K157)^MAX(ROUNDUP(IFERROR(DATEDIF($I157-1,BY$15+1,"m"),)/12,)-1,)*Index!BU$22*(BY$15&lt;=$J157)*(1-BY$12)</f>
        <v>0</v>
      </c>
      <c r="BZ157" s="747">
        <f>$G157*$H157*(1+$K157)^MAX(ROUNDUP(IFERROR(DATEDIF($I157-1,BZ$15+1,"m"),)/12,)-1,)*Index!BV$22*(BZ$15&lt;=$J157)*(1-BZ$12)</f>
        <v>0</v>
      </c>
      <c r="CA157" s="747">
        <f>$G157*$H157*(1+$K157)^MAX(ROUNDUP(IFERROR(DATEDIF($I157-1,CA$15+1,"m"),)/12,)-1,)*Index!BW$22*(CA$15&lt;=$J157)*(1-CA$12)</f>
        <v>0</v>
      </c>
      <c r="CB157" s="747">
        <f>$G157*$H157*(1+$K157)^MAX(ROUNDUP(IFERROR(DATEDIF($I157-1,CB$15+1,"m"),)/12,)-1,)*Index!BX$22*(CB$15&lt;=$J157)*(1-CB$12)</f>
        <v>0</v>
      </c>
      <c r="CC157" s="747">
        <f>$G157*$H157*(1+$K157)^MAX(ROUNDUP(IFERROR(DATEDIF($I157-1,CC$15+1,"m"),)/12,)-1,)*Index!BY$22*(CC$15&lt;=$J157)*(1-CC$12)</f>
        <v>0</v>
      </c>
      <c r="CD157" s="747">
        <f>$G157*$H157*(1+$K157)^MAX(ROUNDUP(IFERROR(DATEDIF($I157-1,CD$15+1,"m"),)/12,)-1,)*Index!BZ$22*(CD$15&lt;=$J157)*(1-CD$12)</f>
        <v>0</v>
      </c>
      <c r="CE157" s="747">
        <f>$G157*$H157*(1+$K157)^MAX(ROUNDUP(IFERROR(DATEDIF($I157-1,CE$15+1,"m"),)/12,)-1,)*Index!CA$22*(CE$15&lt;=$J157)*(1-CE$12)</f>
        <v>0</v>
      </c>
      <c r="CF157" s="747">
        <f>$G157*$H157*(1+$K157)^MAX(ROUNDUP(IFERROR(DATEDIF($I157-1,CF$15+1,"m"),)/12,)-1,)*Index!CB$22*(CF$15&lt;=$J157)*(1-CF$12)</f>
        <v>0</v>
      </c>
      <c r="CG157" s="747">
        <f>$G157*$H157*(1+$K157)^MAX(ROUNDUP(IFERROR(DATEDIF($I157-1,CG$15+1,"m"),)/12,)-1,)*Index!CC$22*(CG$15&lt;=$J157)*(1-CG$12)</f>
        <v>0</v>
      </c>
      <c r="CH157" s="747">
        <f>$G157*$H157*(1+$K157)^MAX(ROUNDUP(IFERROR(DATEDIF($I157-1,CH$15+1,"m"),)/12,)-1,)*Index!CD$22*(CH$15&lt;=$J157)*(1-CH$12)</f>
        <v>0</v>
      </c>
      <c r="CI157" s="747">
        <f>$G157*$H157*(1+$K157)^MAX(ROUNDUP(IFERROR(DATEDIF($I157-1,CI$15+1,"m"),)/12,)-1,)*Index!CE$22*(CI$15&lt;=$J157)*(1-CI$12)</f>
        <v>0</v>
      </c>
      <c r="CJ157" s="747">
        <f>$G157*$H157*(1+$K157)^MAX(ROUNDUP(IFERROR(DATEDIF($I157-1,CJ$15+1,"m"),)/12,)-1,)*Index!CF$22*(CJ$15&lt;=$J157)*(1-CJ$12)</f>
        <v>0</v>
      </c>
      <c r="CK157" s="747">
        <f>$G157*$H157*(1+$K157)^MAX(ROUNDUP(IFERROR(DATEDIF($I157-1,CK$15+1,"m"),)/12,)-1,)*Index!CG$22*(CK$15&lt;=$J157)*(1-CK$12)</f>
        <v>0</v>
      </c>
      <c r="CL157" s="747">
        <f>$G157*$H157*(1+$K157)^MAX(ROUNDUP(IFERROR(DATEDIF($I157-1,CL$15+1,"m"),)/12,)-1,)*Index!CH$22*(CL$15&lt;=$J157)*(1-CL$12)</f>
        <v>0</v>
      </c>
      <c r="CM157" s="747">
        <f>$G157*$H157*(1+$K157)^MAX(ROUNDUP(IFERROR(DATEDIF($I157-1,CM$15+1,"m"),)/12,)-1,)*Index!CI$22*(CM$15&lt;=$J157)*(1-CM$12)</f>
        <v>0</v>
      </c>
      <c r="CN157" s="747">
        <f>$G157*$H157*(1+$K157)^MAX(ROUNDUP(IFERROR(DATEDIF($I157-1,CN$15+1,"m"),)/12,)-1,)*Index!CJ$22*(CN$15&lt;=$J157)*(1-CN$12)</f>
        <v>0</v>
      </c>
      <c r="CO157" s="747">
        <f>$G157*$H157*(1+$K157)^MAX(ROUNDUP(IFERROR(DATEDIF($I157-1,CO$15+1,"m"),)/12,)-1,)*Index!CK$22*(CO$15&lt;=$J157)*(1-CO$12)</f>
        <v>0</v>
      </c>
      <c r="CP157" s="747">
        <f>$G157*$H157*(1+$K157)^MAX(ROUNDUP(IFERROR(DATEDIF($I157-1,CP$15+1,"m"),)/12,)-1,)*Index!CL$22*(CP$15&lt;=$J157)*(1-CP$12)</f>
        <v>0</v>
      </c>
      <c r="CQ157" s="747">
        <f>$G157*$H157*(1+$K157)^MAX(ROUNDUP(IFERROR(DATEDIF($I157-1,CQ$15+1,"m"),)/12,)-1,)*Index!CM$22*(CQ$15&lt;=$J157)*(1-CQ$12)</f>
        <v>0</v>
      </c>
      <c r="CR157" s="747">
        <f>$G157*$H157*(1+$K157)^MAX(ROUNDUP(IFERROR(DATEDIF($I157-1,CR$15+1,"m"),)/12,)-1,)*Index!CN$22*(CR$15&lt;=$J157)*(1-CR$12)</f>
        <v>0</v>
      </c>
      <c r="CS157" s="747">
        <f>$G157*$H157*(1+$K157)^MAX(ROUNDUP(IFERROR(DATEDIF($I157-1,CS$15+1,"m"),)/12,)-1,)*Index!CO$22*(CS$15&lt;=$J157)*(1-CS$12)</f>
        <v>0</v>
      </c>
      <c r="CT157" s="747">
        <f>$G157*$H157*(1+$K157)^MAX(ROUNDUP(IFERROR(DATEDIF($I157-1,CT$15+1,"m"),)/12,)-1,)*Index!CP$22*(CT$15&lt;=$J157)*(1-CT$12)</f>
        <v>0</v>
      </c>
      <c r="CU157" s="747">
        <f>$G157*$H157*(1+$K157)^MAX(ROUNDUP(IFERROR(DATEDIF($I157-1,CU$15+1,"m"),)/12,)-1,)*Index!CQ$22*(CU$15&lt;=$J157)*(1-CU$12)</f>
        <v>0</v>
      </c>
      <c r="CV157" s="747">
        <f>$G157*$H157*(1+$K157)^MAX(ROUNDUP(IFERROR(DATEDIF($I157-1,CV$15+1,"m"),)/12,)-1,)*Index!CR$22*(CV$15&lt;=$J157)*(1-CV$12)</f>
        <v>0</v>
      </c>
      <c r="CW157" s="747">
        <f>$G157*$H157*(1+$K157)^MAX(ROUNDUP(IFERROR(DATEDIF($I157-1,CW$15+1,"m"),)/12,)-1,)*Index!CS$22*(CW$15&lt;=$J157)*(1-CW$12)</f>
        <v>0</v>
      </c>
      <c r="CX157" s="747">
        <f>$G157*$H157*(1+$K157)^MAX(ROUNDUP(IFERROR(DATEDIF($I157-1,CX$15+1,"m"),)/12,)-1,)*Index!CT$22*(CX$15&lt;=$J157)*(1-CX$12)</f>
        <v>0</v>
      </c>
      <c r="CY157" s="747">
        <f>$G157*$H157*(1+$K157)^MAX(ROUNDUP(IFERROR(DATEDIF($I157-1,CY$15+1,"m"),)/12,)-1,)*Index!CU$22*(CY$15&lt;=$J157)*(1-CY$12)</f>
        <v>0</v>
      </c>
      <c r="CZ157" s="747">
        <f>$G157*$H157*(1+$K157)^MAX(ROUNDUP(IFERROR(DATEDIF($I157-1,CZ$15+1,"m"),)/12,)-1,)*Index!CV$22*(CZ$15&lt;=$J157)*(1-CZ$12)</f>
        <v>0</v>
      </c>
      <c r="DA157" s="747">
        <f>$G157*$H157*(1+$K157)^MAX(ROUNDUP(IFERROR(DATEDIF($I157-1,DA$15+1,"m"),)/12,)-1,)*Index!CW$22*(DA$15&lt;=$J157)*(1-DA$12)</f>
        <v>0</v>
      </c>
      <c r="DB157" s="747">
        <f>$G157*$H157*(1+$K157)^MAX(ROUNDUP(IFERROR(DATEDIF($I157-1,DB$15+1,"m"),)/12,)-1,)*Index!CX$22*(DB$15&lt;=$J157)*(1-DB$12)</f>
        <v>0</v>
      </c>
      <c r="DC157" s="747">
        <f>$G157*$H157*(1+$K157)^MAX(ROUNDUP(IFERROR(DATEDIF($I157-1,DC$15+1,"m"),)/12,)-1,)*Index!CY$22*(DC$15&lt;=$J157)*(1-DC$12)</f>
        <v>0</v>
      </c>
      <c r="DD157" s="747">
        <f>$G157*$H157*(1+$K157)^MAX(ROUNDUP(IFERROR(DATEDIF($I157-1,DD$15+1,"m"),)/12,)-1,)*Index!CZ$22*(DD$15&lt;=$J157)*(1-DD$12)</f>
        <v>0</v>
      </c>
      <c r="DE157" s="747">
        <f>$G157*$H157*(1+$K157)^MAX(ROUNDUP(IFERROR(DATEDIF($I157-1,DE$15+1,"m"),)/12,)-1,)*Index!DA$22*(DE$15&lt;=$J157)*(1-DE$12)</f>
        <v>0</v>
      </c>
      <c r="DF157" s="747">
        <f>$G157*$H157*(1+$K157)^MAX(ROUNDUP(IFERROR(DATEDIF($I157-1,DF$15+1,"m"),)/12,)-1,)*Index!DB$22*(DF$15&lt;=$J157)*(1-DF$12)</f>
        <v>0</v>
      </c>
      <c r="DG157" s="747">
        <f>$G157*$H157*(1+$K157)^MAX(ROUNDUP(IFERROR(DATEDIF($I157-1,DG$15+1,"m"),)/12,)-1,)*Index!DC$22*(DG$15&lt;=$J157)*(1-DG$12)</f>
        <v>0</v>
      </c>
      <c r="DH157" s="747">
        <f>$G157*$H157*(1+$K157)^MAX(ROUNDUP(IFERROR(DATEDIF($I157-1,DH$15+1,"m"),)/12,)-1,)*Index!DD$22*(DH$15&lt;=$J157)*(1-DH$12)</f>
        <v>0</v>
      </c>
      <c r="DI157" s="747">
        <f>$G157*$H157*(1+$K157)^MAX(ROUNDUP(IFERROR(DATEDIF($I157-1,DI$15+1,"m"),)/12,)-1,)*Index!DE$22*(DI$15&lt;=$J157)*(1-DI$12)</f>
        <v>0</v>
      </c>
      <c r="DJ157" s="747">
        <f>$G157*$H157*(1+$K157)^MAX(ROUNDUP(IFERROR(DATEDIF($I157-1,DJ$15+1,"m"),)/12,)-1,)*Index!DF$22*(DJ$15&lt;=$J157)*(1-DJ$12)</f>
        <v>0</v>
      </c>
      <c r="DK157" s="747">
        <f>$G157*$H157*(1+$K157)^MAX(ROUNDUP(IFERROR(DATEDIF($I157-1,DK$15+1,"m"),)/12,)-1,)*Index!DG$22*(DK$15&lt;=$J157)*(1-DK$12)</f>
        <v>0</v>
      </c>
      <c r="DL157" s="747">
        <f>$G157*$H157*(1+$K157)^MAX(ROUNDUP(IFERROR(DATEDIF($I157-1,DL$15+1,"m"),)/12,)-1,)*Index!DH$22*(DL$15&lt;=$J157)*(1-DL$12)</f>
        <v>0</v>
      </c>
      <c r="DM157" s="747">
        <f>$G157*$H157*(1+$K157)^MAX(ROUNDUP(IFERROR(DATEDIF($I157-1,DM$15+1,"m"),)/12,)-1,)*Index!DI$22*(DM$15&lt;=$J157)*(1-DM$12)</f>
        <v>0</v>
      </c>
      <c r="DN157" s="747">
        <f>$G157*$H157*(1+$K157)^MAX(ROUNDUP(IFERROR(DATEDIF($I157-1,DN$15+1,"m"),)/12,)-1,)*Index!DJ$22*(DN$15&lt;=$J157)*(1-DN$12)</f>
        <v>0</v>
      </c>
      <c r="DO157" s="747">
        <f>$G157*$H157*(1+$K157)^MAX(ROUNDUP(IFERROR(DATEDIF($I157-1,DO$15+1,"m"),)/12,)-1,)*Index!DK$22*(DO$15&lt;=$J157)*(1-DO$12)</f>
        <v>0</v>
      </c>
      <c r="DP157" s="747">
        <f>$G157*$H157*(1+$K157)^MAX(ROUNDUP(IFERROR(DATEDIF($I157-1,DP$15+1,"m"),)/12,)-1,)*Index!DL$22*(DP$15&lt;=$J157)*(1-DP$12)</f>
        <v>0</v>
      </c>
      <c r="DQ157" s="747">
        <f>$G157*$H157*(1+$K157)^MAX(ROUNDUP(IFERROR(DATEDIF($I157-1,DQ$15+1,"m"),)/12,)-1,)*Index!DM$22*(DQ$15&lt;=$J157)*(1-DQ$12)</f>
        <v>0</v>
      </c>
      <c r="DR157" s="747">
        <f>$G157*$H157*(1+$K157)^MAX(ROUNDUP(IFERROR(DATEDIF($I157-1,DR$15+1,"m"),)/12,)-1,)*Index!DN$22*(DR$15&lt;=$J157)*(1-DR$12)</f>
        <v>0</v>
      </c>
      <c r="DS157" s="747">
        <f>$G157*$H157*(1+$K157)^MAX(ROUNDUP(IFERROR(DATEDIF($I157-1,DS$15+1,"m"),)/12,)-1,)*Index!DO$22*(DS$15&lt;=$J157)*(1-DS$12)</f>
        <v>0</v>
      </c>
      <c r="DT157" s="747">
        <f>$G157*$H157*(1+$K157)^MAX(ROUNDUP(IFERROR(DATEDIF($I157-1,DT$15+1,"m"),)/12,)-1,)*Index!DP$22*(DT$15&lt;=$J157)*(1-DT$12)</f>
        <v>0</v>
      </c>
      <c r="DU157" s="747">
        <f>$G157*$H157*(1+$K157)^MAX(ROUNDUP(IFERROR(DATEDIF($I157-1,DU$15+1,"m"),)/12,)-1,)*Index!DQ$22*(DU$15&lt;=$J157)*(1-DU$12)</f>
        <v>0</v>
      </c>
      <c r="DV157" s="747">
        <f>$G157*$H157*(1+$K157)^MAX(ROUNDUP(IFERROR(DATEDIF($I157-1,DV$15+1,"m"),)/12,)-1,)*Index!DR$22*(DV$15&lt;=$J157)*(1-DV$12)</f>
        <v>0</v>
      </c>
      <c r="DW157" s="747">
        <f>$G157*$H157*(1+$K157)^MAX(ROUNDUP(IFERROR(DATEDIF($I157-1,DW$15+1,"m"),)/12,)-1,)*Index!DS$22*(DW$15&lt;=$J157)*(1-DW$12)</f>
        <v>0</v>
      </c>
      <c r="DX157" s="747">
        <f>$G157*$H157*(1+$K157)^MAX(ROUNDUP(IFERROR(DATEDIF($I157-1,DX$15+1,"m"),)/12,)-1,)*Index!DT$22*(DX$15&lt;=$J157)*(1-DX$12)</f>
        <v>0</v>
      </c>
      <c r="DY157" s="747">
        <f>$G157*$H157*(1+$K157)^MAX(ROUNDUP(IFERROR(DATEDIF($I157-1,DY$15+1,"m"),)/12,)-1,)*Index!DU$22*(DY$15&lt;=$J157)*(1-DY$12)</f>
        <v>0</v>
      </c>
      <c r="DZ157" s="747">
        <f>$G157*$H157*(1+$K157)^MAX(ROUNDUP(IFERROR(DATEDIF($I157-1,DZ$15+1,"m"),)/12,)-1,)*Index!DV$22*(DZ$15&lt;=$J157)*(1-DZ$12)</f>
        <v>0</v>
      </c>
      <c r="EA157" s="747">
        <f>$G157*$H157*(1+$K157)^MAX(ROUNDUP(IFERROR(DATEDIF($I157-1,EA$15+1,"m"),)/12,)-1,)*Index!DW$22*(EA$15&lt;=$J157)*(1-EA$12)</f>
        <v>0</v>
      </c>
      <c r="EB157" s="747">
        <f>$G157*$H157*(1+$K157)^MAX(ROUNDUP(IFERROR(DATEDIF($I157-1,EB$15+1,"m"),)/12,)-1,)*Index!DX$22*(EB$15&lt;=$J157)*(1-EB$12)</f>
        <v>0</v>
      </c>
      <c r="EC157" s="747">
        <f>$G157*$H157*(1+$K157)^MAX(ROUNDUP(IFERROR(DATEDIF($I157-1,EC$15+1,"m"),)/12,)-1,)*Index!DY$22*(EC$15&lt;=$J157)*(1-EC$12)</f>
        <v>0</v>
      </c>
      <c r="ED157" s="747">
        <f>$G157*$H157*(1+$K157)^MAX(ROUNDUP(IFERROR(DATEDIF($I157-1,ED$15+1,"m"),)/12,)-1,)*Index!DZ$22*(ED$15&lt;=$J157)*(1-ED$12)</f>
        <v>0</v>
      </c>
      <c r="EE157" s="747">
        <f>$G157*$H157*(1+$K157)^MAX(ROUNDUP(IFERROR(DATEDIF($I157-1,EE$15+1,"m"),)/12,)-1,)*Index!EA$22*(EE$15&lt;=$J157)*(1-EE$12)</f>
        <v>0</v>
      </c>
      <c r="EF157" s="747">
        <f>$G157*$H157*(1+$K157)^MAX(ROUNDUP(IFERROR(DATEDIF($I157-1,EF$15+1,"m"),)/12,)-1,)*Index!EB$22*(EF$15&lt;=$J157)*(1-EF$12)</f>
        <v>0</v>
      </c>
      <c r="EG157" s="747">
        <f>$G157*$H157*(1+$K157)^MAX(ROUNDUP(IFERROR(DATEDIF($I157-1,EG$15+1,"m"),)/12,)-1,)*Index!EC$22*(EG$15&lt;=$J157)*(1-EG$12)</f>
        <v>0</v>
      </c>
      <c r="EH157" s="747">
        <f>$G157*$H157*(1+$K157)^MAX(ROUNDUP(IFERROR(DATEDIF($I157-1,EH$15+1,"m"),)/12,)-1,)*Index!ED$22*(EH$15&lt;=$J157)*(1-EH$12)</f>
        <v>0</v>
      </c>
      <c r="EI157" s="747">
        <f>$G157*$H157*(1+$K157)^MAX(ROUNDUP(IFERROR(DATEDIF($I157-1,EI$15+1,"m"),)/12,)-1,)*Index!EE$22*(EI$15&lt;=$J157)*(1-EI$12)</f>
        <v>0</v>
      </c>
      <c r="EJ157" s="747">
        <f>$G157*$H157*(1+$K157)^MAX(ROUNDUP(IFERROR(DATEDIF($I157-1,EJ$15+1,"m"),)/12,)-1,)*Index!EF$22*(EJ$15&lt;=$J157)*(1-EJ$12)</f>
        <v>0</v>
      </c>
      <c r="EK157" s="747">
        <f>$G157*$H157*(1+$K157)^MAX(ROUNDUP(IFERROR(DATEDIF($I157-1,EK$15+1,"m"),)/12,)-1,)*Index!EG$22*(EK$15&lt;=$J157)*(1-EK$12)</f>
        <v>0</v>
      </c>
      <c r="EL157" s="747">
        <f>$G157*$H157*(1+$K157)^MAX(ROUNDUP(IFERROR(DATEDIF($I157-1,EL$15+1,"m"),)/12,)-1,)*Index!EH$22*(EL$15&lt;=$J157)*(1-EL$12)</f>
        <v>0</v>
      </c>
      <c r="EM157" s="747">
        <f>$G157*$H157*(1+$K157)^MAX(ROUNDUP(IFERROR(DATEDIF($I157-1,EM$15+1,"m"),)/12,)-1,)*Index!EI$22*(EM$15&lt;=$J157)*(1-EM$12)</f>
        <v>0</v>
      </c>
      <c r="EN157" s="747">
        <f>$G157*$H157*(1+$K157)^MAX(ROUNDUP(IFERROR(DATEDIF($I157-1,EN$15+1,"m"),)/12,)-1,)*Index!EJ$22*(EN$15&lt;=$J157)*(1-EN$12)</f>
        <v>0</v>
      </c>
      <c r="EO157" s="747">
        <f>$G157*$H157*(1+$K157)^MAX(ROUNDUP(IFERROR(DATEDIF($I157-1,EO$15+1,"m"),)/12,)-1,)*Index!EK$22*(EO$15&lt;=$J157)*(1-EO$12)</f>
        <v>0</v>
      </c>
      <c r="EP157" s="747">
        <f>$G157*$H157*(1+$K157)^MAX(ROUNDUP(IFERROR(DATEDIF($I157-1,EP$15+1,"m"),)/12,)-1,)*Index!EL$22*(EP$15&lt;=$J157)*(1-EP$12)</f>
        <v>0</v>
      </c>
      <c r="EQ157" s="747">
        <f>$G157*$H157*(1+$K157)^MAX(ROUNDUP(IFERROR(DATEDIF($I157-1,EQ$15+1,"m"),)/12,)-1,)*Index!EM$22*(EQ$15&lt;=$J157)*(1-EQ$12)</f>
        <v>0</v>
      </c>
      <c r="ER157" s="747">
        <f>$G157*$H157*(1+$K157)^MAX(ROUNDUP(IFERROR(DATEDIF($I157-1,ER$15+1,"m"),)/12,)-1,)*Index!EN$22*(ER$15&lt;=$J157)*(1-ER$12)</f>
        <v>0</v>
      </c>
      <c r="ES157" s="747">
        <f>$G157*$H157*(1+$K157)^MAX(ROUNDUP(IFERROR(DATEDIF($I157-1,ES$15+1,"m"),)/12,)-1,)*Index!EO$22*(ES$15&lt;=$J157)*(1-ES$12)</f>
        <v>0</v>
      </c>
      <c r="ET157" s="747">
        <f>$G157*$H157*(1+$K157)^MAX(ROUNDUP(IFERROR(DATEDIF($I157-1,ET$15+1,"m"),)/12,)-1,)*Index!EP$22*(ET$15&lt;=$J157)*(1-ET$12)</f>
        <v>0</v>
      </c>
      <c r="EU157" s="747">
        <f>$G157*$H157*(1+$K157)^MAX(ROUNDUP(IFERROR(DATEDIF($I157-1,EU$15+1,"m"),)/12,)-1,)*Index!EQ$22*(EU$15&lt;=$J157)*(1-EU$12)</f>
        <v>0</v>
      </c>
    </row>
    <row r="158" spans="3:151" ht="11.25" customHeight="1">
      <c r="C158" s="735"/>
      <c r="D158" s="743" t="str">
        <f t="shared" si="237"/>
        <v>B1</v>
      </c>
      <c r="E158" s="704" t="str">
        <f t="shared" si="237"/>
        <v>쿠팡</v>
      </c>
      <c r="F158" s="704" t="str">
        <f t="shared" si="237"/>
        <v>상온창고</v>
      </c>
      <c r="G158" s="781">
        <f>'A&amp;R'!AD21/1000</f>
        <v>3</v>
      </c>
      <c r="H158" s="744">
        <f>'A&amp;R'!Y21</f>
        <v>2745.32</v>
      </c>
      <c r="I158" s="745">
        <f t="shared" si="238"/>
        <v>45748</v>
      </c>
      <c r="J158" s="745">
        <f t="shared" si="238"/>
        <v>49064</v>
      </c>
      <c r="K158" s="754">
        <f t="shared" si="238"/>
        <v>2.5000000000000001E-2</v>
      </c>
      <c r="L158" s="748"/>
      <c r="M158" s="749"/>
      <c r="N158" s="747">
        <f t="shared" si="239"/>
        <v>836181.27613165649</v>
      </c>
      <c r="O158" s="733"/>
      <c r="P158" s="747">
        <f>$G158*$H158*(1+$K158)^MAX(ROUNDUP(IFERROR(DATEDIF($I158-1,P$15+1,"m"),)/12,)-1,)*Index!L$22*(P$15&lt;=$J158)*(1-P$12)</f>
        <v>0</v>
      </c>
      <c r="Q158" s="747">
        <f>$G158*$H158*(1+$K158)^MAX(ROUNDUP(IFERROR(DATEDIF($I158-1,Q$15+1,"m"),)/12,)-1,)*Index!M$22*(Q$15&lt;=$J158)*(1-Q$12)</f>
        <v>8441.8590000000004</v>
      </c>
      <c r="R158" s="747">
        <f>$G158*$H158*(1+$K158)^MAX(ROUNDUP(IFERROR(DATEDIF($I158-1,R$15+1,"m"),)/12,)-1,)*Index!N$22*(R$15&lt;=$J158)*(1-R$12)</f>
        <v>8441.8590000000004</v>
      </c>
      <c r="S158" s="747">
        <f>$G158*$H158*(1+$K158)^MAX(ROUNDUP(IFERROR(DATEDIF($I158-1,S$15+1,"m"),)/12,)-1,)*Index!O$22*(S$15&lt;=$J158)*(1-S$12)</f>
        <v>8441.8590000000004</v>
      </c>
      <c r="T158" s="747">
        <f>$G158*$H158*(1+$K158)^MAX(ROUNDUP(IFERROR(DATEDIF($I158-1,T$15+1,"m"),)/12,)-1,)*Index!P$22*(T$15&lt;=$J158)*(1-T$12)</f>
        <v>8441.8590000000004</v>
      </c>
      <c r="U158" s="747">
        <f>$G158*$H158*(1+$K158)^MAX(ROUNDUP(IFERROR(DATEDIF($I158-1,U$15+1,"m"),)/12,)-1,)*Index!Q$22*(U$15&lt;=$J158)*(1-U$12)</f>
        <v>8441.8590000000004</v>
      </c>
      <c r="V158" s="747">
        <f>$G158*$H158*(1+$K158)^MAX(ROUNDUP(IFERROR(DATEDIF($I158-1,V$15+1,"m"),)/12,)-1,)*Index!R$22*(V$15&lt;=$J158)*(1-V$12)</f>
        <v>8652.9054749999996</v>
      </c>
      <c r="W158" s="747">
        <f>$G158*$H158*(1+$K158)^MAX(ROUNDUP(IFERROR(DATEDIF($I158-1,W$15+1,"m"),)/12,)-1,)*Index!S$22*(W$15&lt;=$J158)*(1-W$12)</f>
        <v>8652.9054749999996</v>
      </c>
      <c r="X158" s="747">
        <f>$G158*$H158*(1+$K158)^MAX(ROUNDUP(IFERROR(DATEDIF($I158-1,X$15+1,"m"),)/12,)-1,)*Index!T$22*(X$15&lt;=$J158)*(1-X$12)</f>
        <v>8652.9054749999996</v>
      </c>
      <c r="Y158" s="747">
        <f>$G158*$H158*(1+$K158)^MAX(ROUNDUP(IFERROR(DATEDIF($I158-1,Y$15+1,"m"),)/12,)-1,)*Index!U$22*(Y$15&lt;=$J158)*(1-Y$12)</f>
        <v>8652.9054749999996</v>
      </c>
      <c r="Z158" s="747">
        <f>$G158*$H158*(1+$K158)^MAX(ROUNDUP(IFERROR(DATEDIF($I158-1,Z$15+1,"m"),)/12,)-1,)*Index!V$22*(Z$15&lt;=$J158)*(1-Z$12)</f>
        <v>8652.9054749999996</v>
      </c>
      <c r="AA158" s="747">
        <f>$G158*$H158*(1+$K158)^MAX(ROUNDUP(IFERROR(DATEDIF($I158-1,AA$15+1,"m"),)/12,)-1,)*Index!W$22*(AA$15&lt;=$J158)*(1-AA$12)</f>
        <v>8652.9054749999996</v>
      </c>
      <c r="AB158" s="747">
        <f>$G158*$H158*(1+$K158)^MAX(ROUNDUP(IFERROR(DATEDIF($I158-1,AB$15+1,"m"),)/12,)-1,)*Index!X$22*(AB$15&lt;=$J158)*(1-AB$12)</f>
        <v>8652.9054749999996</v>
      </c>
      <c r="AC158" s="747">
        <f>$G158*$H158*(1+$K158)^MAX(ROUNDUP(IFERROR(DATEDIF($I158-1,AC$15+1,"m"),)/12,)-1,)*Index!Y$22*(AC$15&lt;=$J158)*(1-AC$12)</f>
        <v>8652.9054749999996</v>
      </c>
      <c r="AD158" s="747">
        <f>$G158*$H158*(1+$K158)^MAX(ROUNDUP(IFERROR(DATEDIF($I158-1,AD$15+1,"m"),)/12,)-1,)*Index!Z$22*(AD$15&lt;=$J158)*(1-AD$12)</f>
        <v>8652.9054749999996</v>
      </c>
      <c r="AE158" s="747">
        <f>$G158*$H158*(1+$K158)^MAX(ROUNDUP(IFERROR(DATEDIF($I158-1,AE$15+1,"m"),)/12,)-1,)*Index!AA$22*(AE$15&lt;=$J158)*(1-AE$12)</f>
        <v>8652.9054749999996</v>
      </c>
      <c r="AF158" s="747">
        <f>$G158*$H158*(1+$K158)^MAX(ROUNDUP(IFERROR(DATEDIF($I158-1,AF$15+1,"m"),)/12,)-1,)*Index!AB$22*(AF$15&lt;=$J158)*(1-AF$12)</f>
        <v>8652.9054749999996</v>
      </c>
      <c r="AG158" s="747">
        <f>$G158*$H158*(1+$K158)^MAX(ROUNDUP(IFERROR(DATEDIF($I158-1,AG$15+1,"m"),)/12,)-1,)*Index!AC$22*(AG$15&lt;=$J158)*(1-AG$12)</f>
        <v>8652.9054749999996</v>
      </c>
      <c r="AH158" s="747">
        <f>$G158*$H158*(1+$K158)^MAX(ROUNDUP(IFERROR(DATEDIF($I158-1,AH$15+1,"m"),)/12,)-1,)*Index!AD$22*(AH$15&lt;=$J158)*(1-AH$12)</f>
        <v>8869.2281118749997</v>
      </c>
      <c r="AI158" s="747">
        <f>$G158*$H158*(1+$K158)^MAX(ROUNDUP(IFERROR(DATEDIF($I158-1,AI$15+1,"m"),)/12,)-1,)*Index!AE$22*(AI$15&lt;=$J158)*(1-AI$12)</f>
        <v>8869.2281118749997</v>
      </c>
      <c r="AJ158" s="747">
        <f>$G158*$H158*(1+$K158)^MAX(ROUNDUP(IFERROR(DATEDIF($I158-1,AJ$15+1,"m"),)/12,)-1,)*Index!AF$22*(AJ$15&lt;=$J158)*(1-AJ$12)</f>
        <v>8869.2281118749997</v>
      </c>
      <c r="AK158" s="747">
        <f>$G158*$H158*(1+$K158)^MAX(ROUNDUP(IFERROR(DATEDIF($I158-1,AK$15+1,"m"),)/12,)-1,)*Index!AG$22*(AK$15&lt;=$J158)*(1-AK$12)</f>
        <v>8869.2281118749997</v>
      </c>
      <c r="AL158" s="747">
        <f>$G158*$H158*(1+$K158)^MAX(ROUNDUP(IFERROR(DATEDIF($I158-1,AL$15+1,"m"),)/12,)-1,)*Index!AH$22*(AL$15&lt;=$J158)*(1-AL$12)</f>
        <v>8869.2281118749997</v>
      </c>
      <c r="AM158" s="747">
        <f>$G158*$H158*(1+$K158)^MAX(ROUNDUP(IFERROR(DATEDIF($I158-1,AM$15+1,"m"),)/12,)-1,)*Index!AI$22*(AM$15&lt;=$J158)*(1-AM$12)</f>
        <v>8869.2281118749997</v>
      </c>
      <c r="AN158" s="747">
        <f>$G158*$H158*(1+$K158)^MAX(ROUNDUP(IFERROR(DATEDIF($I158-1,AN$15+1,"m"),)/12,)-1,)*Index!AJ$22*(AN$15&lt;=$J158)*(1-AN$12)</f>
        <v>8869.2281118749997</v>
      </c>
      <c r="AO158" s="747">
        <f>$G158*$H158*(1+$K158)^MAX(ROUNDUP(IFERROR(DATEDIF($I158-1,AO$15+1,"m"),)/12,)-1,)*Index!AK$22*(AO$15&lt;=$J158)*(1-AO$12)</f>
        <v>8869.2281118749997</v>
      </c>
      <c r="AP158" s="747">
        <f>$G158*$H158*(1+$K158)^MAX(ROUNDUP(IFERROR(DATEDIF($I158-1,AP$15+1,"m"),)/12,)-1,)*Index!AL$22*(AP$15&lt;=$J158)*(1-AP$12)</f>
        <v>8869.2281118749997</v>
      </c>
      <c r="AQ158" s="747">
        <f>$G158*$H158*(1+$K158)^MAX(ROUNDUP(IFERROR(DATEDIF($I158-1,AQ$15+1,"m"),)/12,)-1,)*Index!AM$22*(AQ$15&lt;=$J158)*(1-AQ$12)</f>
        <v>8869.2281118749997</v>
      </c>
      <c r="AR158" s="747">
        <f>$G158*$H158*(1+$K158)^MAX(ROUNDUP(IFERROR(DATEDIF($I158-1,AR$15+1,"m"),)/12,)-1,)*Index!AN$22*(AR$15&lt;=$J158)*(1-AR$12)</f>
        <v>8869.2281118749997</v>
      </c>
      <c r="AS158" s="747">
        <f>$G158*$H158*(1+$K158)^MAX(ROUNDUP(IFERROR(DATEDIF($I158-1,AS$15+1,"m"),)/12,)-1,)*Index!AO$22*(AS$15&lt;=$J158)*(1-AS$12)</f>
        <v>8869.2281118749997</v>
      </c>
      <c r="AT158" s="747">
        <f>$G158*$H158*(1+$K158)^MAX(ROUNDUP(IFERROR(DATEDIF($I158-1,AT$15+1,"m"),)/12,)-1,)*Index!AP$22*(AT$15&lt;=$J158)*(1-AT$12)</f>
        <v>9090.9588146718743</v>
      </c>
      <c r="AU158" s="747">
        <f>$G158*$H158*(1+$K158)^MAX(ROUNDUP(IFERROR(DATEDIF($I158-1,AU$15+1,"m"),)/12,)-1,)*Index!AQ$22*(AU$15&lt;=$J158)*(1-AU$12)</f>
        <v>9090.9588146718743</v>
      </c>
      <c r="AV158" s="747">
        <f>$G158*$H158*(1+$K158)^MAX(ROUNDUP(IFERROR(DATEDIF($I158-1,AV$15+1,"m"),)/12,)-1,)*Index!AR$22*(AV$15&lt;=$J158)*(1-AV$12)</f>
        <v>9090.9588146718743</v>
      </c>
      <c r="AW158" s="747">
        <f>$G158*$H158*(1+$K158)^MAX(ROUNDUP(IFERROR(DATEDIF($I158-1,AW$15+1,"m"),)/12,)-1,)*Index!AS$22*(AW$15&lt;=$J158)*(1-AW$12)</f>
        <v>9090.9588146718743</v>
      </c>
      <c r="AX158" s="747">
        <f>$G158*$H158*(1+$K158)^MAX(ROUNDUP(IFERROR(DATEDIF($I158-1,AX$15+1,"m"),)/12,)-1,)*Index!AT$22*(AX$15&lt;=$J158)*(1-AX$12)</f>
        <v>9090.9588146718743</v>
      </c>
      <c r="AY158" s="747">
        <f>$G158*$H158*(1+$K158)^MAX(ROUNDUP(IFERROR(DATEDIF($I158-1,AY$15+1,"m"),)/12,)-1,)*Index!AU$22*(AY$15&lt;=$J158)*(1-AY$12)</f>
        <v>9090.9588146718743</v>
      </c>
      <c r="AZ158" s="747">
        <f>$G158*$H158*(1+$K158)^MAX(ROUNDUP(IFERROR(DATEDIF($I158-1,AZ$15+1,"m"),)/12,)-1,)*Index!AV$22*(AZ$15&lt;=$J158)*(1-AZ$12)</f>
        <v>9090.9588146718743</v>
      </c>
      <c r="BA158" s="747">
        <f>$G158*$H158*(1+$K158)^MAX(ROUNDUP(IFERROR(DATEDIF($I158-1,BA$15+1,"m"),)/12,)-1,)*Index!AW$22*(BA$15&lt;=$J158)*(1-BA$12)</f>
        <v>9090.9588146718743</v>
      </c>
      <c r="BB158" s="747">
        <f>$G158*$H158*(1+$K158)^MAX(ROUNDUP(IFERROR(DATEDIF($I158-1,BB$15+1,"m"),)/12,)-1,)*Index!AX$22*(BB$15&lt;=$J158)*(1-BB$12)</f>
        <v>9090.9588146718743</v>
      </c>
      <c r="BC158" s="747">
        <f>$G158*$H158*(1+$K158)^MAX(ROUNDUP(IFERROR(DATEDIF($I158-1,BC$15+1,"m"),)/12,)-1,)*Index!AY$22*(BC$15&lt;=$J158)*(1-BC$12)</f>
        <v>9090.9588146718743</v>
      </c>
      <c r="BD158" s="747">
        <f>$G158*$H158*(1+$K158)^MAX(ROUNDUP(IFERROR(DATEDIF($I158-1,BD$15+1,"m"),)/12,)-1,)*Index!AZ$22*(BD$15&lt;=$J158)*(1-BD$12)</f>
        <v>9090.9588146718743</v>
      </c>
      <c r="BE158" s="747">
        <f>$G158*$H158*(1+$K158)^MAX(ROUNDUP(IFERROR(DATEDIF($I158-1,BE$15+1,"m"),)/12,)-1,)*Index!BA$22*(BE$15&lt;=$J158)*(1-BE$12)</f>
        <v>9090.9588146718743</v>
      </c>
      <c r="BF158" s="747">
        <f>$G158*$H158*(1+$K158)^MAX(ROUNDUP(IFERROR(DATEDIF($I158-1,BF$15+1,"m"),)/12,)-1,)*Index!BB$22*(BF$15&lt;=$J158)*(1-BF$12)</f>
        <v>9318.23278503867</v>
      </c>
      <c r="BG158" s="747">
        <f>$G158*$H158*(1+$K158)^MAX(ROUNDUP(IFERROR(DATEDIF($I158-1,BG$15+1,"m"),)/12,)-1,)*Index!BC$22*(BG$15&lt;=$J158)*(1-BG$12)</f>
        <v>9318.23278503867</v>
      </c>
      <c r="BH158" s="747">
        <f>$G158*$H158*(1+$K158)^MAX(ROUNDUP(IFERROR(DATEDIF($I158-1,BH$15+1,"m"),)/12,)-1,)*Index!BD$22*(BH$15&lt;=$J158)*(1-BH$12)</f>
        <v>9318.23278503867</v>
      </c>
      <c r="BI158" s="747">
        <f>$G158*$H158*(1+$K158)^MAX(ROUNDUP(IFERROR(DATEDIF($I158-1,BI$15+1,"m"),)/12,)-1,)*Index!BE$22*(BI$15&lt;=$J158)*(1-BI$12)</f>
        <v>9318.23278503867</v>
      </c>
      <c r="BJ158" s="747">
        <f>$G158*$H158*(1+$K158)^MAX(ROUNDUP(IFERROR(DATEDIF($I158-1,BJ$15+1,"m"),)/12,)-1,)*Index!BF$22*(BJ$15&lt;=$J158)*(1-BJ$12)</f>
        <v>9318.23278503867</v>
      </c>
      <c r="BK158" s="747">
        <f>$G158*$H158*(1+$K158)^MAX(ROUNDUP(IFERROR(DATEDIF($I158-1,BK$15+1,"m"),)/12,)-1,)*Index!BG$22*(BK$15&lt;=$J158)*(1-BK$12)</f>
        <v>9318.23278503867</v>
      </c>
      <c r="BL158" s="747">
        <f>$G158*$H158*(1+$K158)^MAX(ROUNDUP(IFERROR(DATEDIF($I158-1,BL$15+1,"m"),)/12,)-1,)*Index!BH$22*(BL$15&lt;=$J158)*(1-BL$12)</f>
        <v>9318.23278503867</v>
      </c>
      <c r="BM158" s="747">
        <f>$G158*$H158*(1+$K158)^MAX(ROUNDUP(IFERROR(DATEDIF($I158-1,BM$15+1,"m"),)/12,)-1,)*Index!BI$22*(BM$15&lt;=$J158)*(1-BM$12)</f>
        <v>9318.23278503867</v>
      </c>
      <c r="BN158" s="747">
        <f>$G158*$H158*(1+$K158)^MAX(ROUNDUP(IFERROR(DATEDIF($I158-1,BN$15+1,"m"),)/12,)-1,)*Index!BJ$22*(BN$15&lt;=$J158)*(1-BN$12)</f>
        <v>9318.23278503867</v>
      </c>
      <c r="BO158" s="747">
        <f>$G158*$H158*(1+$K158)^MAX(ROUNDUP(IFERROR(DATEDIF($I158-1,BO$15+1,"m"),)/12,)-1,)*Index!BK$22*(BO$15&lt;=$J158)*(1-BO$12)</f>
        <v>9318.23278503867</v>
      </c>
      <c r="BP158" s="747">
        <f>$G158*$H158*(1+$K158)^MAX(ROUNDUP(IFERROR(DATEDIF($I158-1,BP$15+1,"m"),)/12,)-1,)*Index!BL$22*(BP$15&lt;=$J158)*(1-BP$12)</f>
        <v>9318.23278503867</v>
      </c>
      <c r="BQ158" s="747">
        <f>$G158*$H158*(1+$K158)^MAX(ROUNDUP(IFERROR(DATEDIF($I158-1,BQ$15+1,"m"),)/12,)-1,)*Index!BM$22*(BQ$15&lt;=$J158)*(1-BQ$12)</f>
        <v>9318.23278503867</v>
      </c>
      <c r="BR158" s="747">
        <f>$G158*$H158*(1+$K158)^MAX(ROUNDUP(IFERROR(DATEDIF($I158-1,BR$15+1,"m"),)/12,)-1,)*Index!BN$22*(BR$15&lt;=$J158)*(1-BR$12)</f>
        <v>9551.1886046646359</v>
      </c>
      <c r="BS158" s="747">
        <f>$G158*$H158*(1+$K158)^MAX(ROUNDUP(IFERROR(DATEDIF($I158-1,BS$15+1,"m"),)/12,)-1,)*Index!BO$22*(BS$15&lt;=$J158)*(1-BS$12)</f>
        <v>9551.1886046646359</v>
      </c>
      <c r="BT158" s="747">
        <f>$G158*$H158*(1+$K158)^MAX(ROUNDUP(IFERROR(DATEDIF($I158-1,BT$15+1,"m"),)/12,)-1,)*Index!BP$22*(BT$15&lt;=$J158)*(1-BT$12)</f>
        <v>9551.1886046646359</v>
      </c>
      <c r="BU158" s="747">
        <f>$G158*$H158*(1+$K158)^MAX(ROUNDUP(IFERROR(DATEDIF($I158-1,BU$15+1,"m"),)/12,)-1,)*Index!BQ$22*(BU$15&lt;=$J158)*(1-BU$12)</f>
        <v>9551.1886046646359</v>
      </c>
      <c r="BV158" s="747">
        <f>$G158*$H158*(1+$K158)^MAX(ROUNDUP(IFERROR(DATEDIF($I158-1,BV$15+1,"m"),)/12,)-1,)*Index!BR$22*(BV$15&lt;=$J158)*(1-BV$12)</f>
        <v>9551.1886046646359</v>
      </c>
      <c r="BW158" s="747">
        <f>$G158*$H158*(1+$K158)^MAX(ROUNDUP(IFERROR(DATEDIF($I158-1,BW$15+1,"m"),)/12,)-1,)*Index!BS$22*(BW$15&lt;=$J158)*(1-BW$12)</f>
        <v>9551.1886046646359</v>
      </c>
      <c r="BX158" s="747">
        <f>$G158*$H158*(1+$K158)^MAX(ROUNDUP(IFERROR(DATEDIF($I158-1,BX$15+1,"m"),)/12,)-1,)*Index!BT$22*(BX$15&lt;=$J158)*(1-BX$12)</f>
        <v>9551.1886046646359</v>
      </c>
      <c r="BY158" s="747">
        <f>$G158*$H158*(1+$K158)^MAX(ROUNDUP(IFERROR(DATEDIF($I158-1,BY$15+1,"m"),)/12,)-1,)*Index!BU$22*(BY$15&lt;=$J158)*(1-BY$12)</f>
        <v>9551.1886046646359</v>
      </c>
      <c r="BZ158" s="747">
        <f>$G158*$H158*(1+$K158)^MAX(ROUNDUP(IFERROR(DATEDIF($I158-1,BZ$15+1,"m"),)/12,)-1,)*Index!BV$22*(BZ$15&lt;=$J158)*(1-BZ$12)</f>
        <v>9551.1886046646359</v>
      </c>
      <c r="CA158" s="747">
        <f>$G158*$H158*(1+$K158)^MAX(ROUNDUP(IFERROR(DATEDIF($I158-1,CA$15+1,"m"),)/12,)-1,)*Index!BW$22*(CA$15&lt;=$J158)*(1-CA$12)</f>
        <v>9551.1886046646359</v>
      </c>
      <c r="CB158" s="747">
        <f>$G158*$H158*(1+$K158)^MAX(ROUNDUP(IFERROR(DATEDIF($I158-1,CB$15+1,"m"),)/12,)-1,)*Index!BX$22*(CB$15&lt;=$J158)*(1-CB$12)</f>
        <v>9551.1886046646359</v>
      </c>
      <c r="CC158" s="747">
        <f>$G158*$H158*(1+$K158)^MAX(ROUNDUP(IFERROR(DATEDIF($I158-1,CC$15+1,"m"),)/12,)-1,)*Index!BY$22*(CC$15&lt;=$J158)*(1-CC$12)</f>
        <v>9551.1886046646359</v>
      </c>
      <c r="CD158" s="747">
        <f>$G158*$H158*(1+$K158)^MAX(ROUNDUP(IFERROR(DATEDIF($I158-1,CD$15+1,"m"),)/12,)-1,)*Index!BZ$22*(CD$15&lt;=$J158)*(1-CD$12)</f>
        <v>9789.9683197812519</v>
      </c>
      <c r="CE158" s="747">
        <f>$G158*$H158*(1+$K158)^MAX(ROUNDUP(IFERROR(DATEDIF($I158-1,CE$15+1,"m"),)/12,)-1,)*Index!CA$22*(CE$15&lt;=$J158)*(1-CE$12)</f>
        <v>9789.9683197812519</v>
      </c>
      <c r="CF158" s="747">
        <f>$G158*$H158*(1+$K158)^MAX(ROUNDUP(IFERROR(DATEDIF($I158-1,CF$15+1,"m"),)/12,)-1,)*Index!CB$22*(CF$15&lt;=$J158)*(1-CF$12)</f>
        <v>9789.9683197812519</v>
      </c>
      <c r="CG158" s="747">
        <f>$G158*$H158*(1+$K158)^MAX(ROUNDUP(IFERROR(DATEDIF($I158-1,CG$15+1,"m"),)/12,)-1,)*Index!CC$22*(CG$15&lt;=$J158)*(1-CG$12)</f>
        <v>9789.9683197812519</v>
      </c>
      <c r="CH158" s="747">
        <f>$G158*$H158*(1+$K158)^MAX(ROUNDUP(IFERROR(DATEDIF($I158-1,CH$15+1,"m"),)/12,)-1,)*Index!CD$22*(CH$15&lt;=$J158)*(1-CH$12)</f>
        <v>9789.9683197812519</v>
      </c>
      <c r="CI158" s="747">
        <f>$G158*$H158*(1+$K158)^MAX(ROUNDUP(IFERROR(DATEDIF($I158-1,CI$15+1,"m"),)/12,)-1,)*Index!CE$22*(CI$15&lt;=$J158)*(1-CI$12)</f>
        <v>9789.9683197812519</v>
      </c>
      <c r="CJ158" s="747">
        <f>$G158*$H158*(1+$K158)^MAX(ROUNDUP(IFERROR(DATEDIF($I158-1,CJ$15+1,"m"),)/12,)-1,)*Index!CF$22*(CJ$15&lt;=$J158)*(1-CJ$12)</f>
        <v>9789.9683197812519</v>
      </c>
      <c r="CK158" s="747">
        <f>$G158*$H158*(1+$K158)^MAX(ROUNDUP(IFERROR(DATEDIF($I158-1,CK$15+1,"m"),)/12,)-1,)*Index!CG$22*(CK$15&lt;=$J158)*(1-CK$12)</f>
        <v>9789.9683197812519</v>
      </c>
      <c r="CL158" s="747">
        <f>$G158*$H158*(1+$K158)^MAX(ROUNDUP(IFERROR(DATEDIF($I158-1,CL$15+1,"m"),)/12,)-1,)*Index!CH$22*(CL$15&lt;=$J158)*(1-CL$12)</f>
        <v>9789.9683197812519</v>
      </c>
      <c r="CM158" s="747">
        <f>$G158*$H158*(1+$K158)^MAX(ROUNDUP(IFERROR(DATEDIF($I158-1,CM$15+1,"m"),)/12,)-1,)*Index!CI$22*(CM$15&lt;=$J158)*(1-CM$12)</f>
        <v>9789.9683197812519</v>
      </c>
      <c r="CN158" s="747">
        <f>$G158*$H158*(1+$K158)^MAX(ROUNDUP(IFERROR(DATEDIF($I158-1,CN$15+1,"m"),)/12,)-1,)*Index!CJ$22*(CN$15&lt;=$J158)*(1-CN$12)</f>
        <v>9789.9683197812519</v>
      </c>
      <c r="CO158" s="747">
        <f>$G158*$H158*(1+$K158)^MAX(ROUNDUP(IFERROR(DATEDIF($I158-1,CO$15+1,"m"),)/12,)-1,)*Index!CK$22*(CO$15&lt;=$J158)*(1-CO$12)</f>
        <v>9789.9683197812519</v>
      </c>
      <c r="CP158" s="747">
        <f>$G158*$H158*(1+$K158)^MAX(ROUNDUP(IFERROR(DATEDIF($I158-1,CP$15+1,"m"),)/12,)-1,)*Index!CL$22*(CP$15&lt;=$J158)*(1-CP$12)</f>
        <v>10034.717527775783</v>
      </c>
      <c r="CQ158" s="747">
        <f>$G158*$H158*(1+$K158)^MAX(ROUNDUP(IFERROR(DATEDIF($I158-1,CQ$15+1,"m"),)/12,)-1,)*Index!CM$22*(CQ$15&lt;=$J158)*(1-CQ$12)</f>
        <v>10034.717527775783</v>
      </c>
      <c r="CR158" s="747">
        <f>$G158*$H158*(1+$K158)^MAX(ROUNDUP(IFERROR(DATEDIF($I158-1,CR$15+1,"m"),)/12,)-1,)*Index!CN$22*(CR$15&lt;=$J158)*(1-CR$12)</f>
        <v>10034.717527775783</v>
      </c>
      <c r="CS158" s="747">
        <f>$G158*$H158*(1+$K158)^MAX(ROUNDUP(IFERROR(DATEDIF($I158-1,CS$15+1,"m"),)/12,)-1,)*Index!CO$22*(CS$15&lt;=$J158)*(1-CS$12)</f>
        <v>10034.717527775783</v>
      </c>
      <c r="CT158" s="747">
        <f>$G158*$H158*(1+$K158)^MAX(ROUNDUP(IFERROR(DATEDIF($I158-1,CT$15+1,"m"),)/12,)-1,)*Index!CP$22*(CT$15&lt;=$J158)*(1-CT$12)</f>
        <v>10034.717527775783</v>
      </c>
      <c r="CU158" s="747">
        <f>$G158*$H158*(1+$K158)^MAX(ROUNDUP(IFERROR(DATEDIF($I158-1,CU$15+1,"m"),)/12,)-1,)*Index!CQ$22*(CU$15&lt;=$J158)*(1-CU$12)</f>
        <v>10034.717527775783</v>
      </c>
      <c r="CV158" s="747">
        <f>$G158*$H158*(1+$K158)^MAX(ROUNDUP(IFERROR(DATEDIF($I158-1,CV$15+1,"m"),)/12,)-1,)*Index!CR$22*(CV$15&lt;=$J158)*(1-CV$12)</f>
        <v>10034.717527775783</v>
      </c>
      <c r="CW158" s="747">
        <f>$G158*$H158*(1+$K158)^MAX(ROUNDUP(IFERROR(DATEDIF($I158-1,CW$15+1,"m"),)/12,)-1,)*Index!CS$22*(CW$15&lt;=$J158)*(1-CW$12)</f>
        <v>10034.717527775783</v>
      </c>
      <c r="CX158" s="747">
        <f>$G158*$H158*(1+$K158)^MAX(ROUNDUP(IFERROR(DATEDIF($I158-1,CX$15+1,"m"),)/12,)-1,)*Index!CT$22*(CX$15&lt;=$J158)*(1-CX$12)</f>
        <v>10034.717527775783</v>
      </c>
      <c r="CY158" s="747">
        <f>$G158*$H158*(1+$K158)^MAX(ROUNDUP(IFERROR(DATEDIF($I158-1,CY$15+1,"m"),)/12,)-1,)*Index!CU$22*(CY$15&lt;=$J158)*(1-CY$12)</f>
        <v>10034.717527775783</v>
      </c>
      <c r="CZ158" s="747">
        <f>$G158*$H158*(1+$K158)^MAX(ROUNDUP(IFERROR(DATEDIF($I158-1,CZ$15+1,"m"),)/12,)-1,)*Index!CV$22*(CZ$15&lt;=$J158)*(1-CZ$12)</f>
        <v>10034.717527775783</v>
      </c>
      <c r="DA158" s="747">
        <f>$G158*$H158*(1+$K158)^MAX(ROUNDUP(IFERROR(DATEDIF($I158-1,DA$15+1,"m"),)/12,)-1,)*Index!CW$22*(DA$15&lt;=$J158)*(1-DA$12)</f>
        <v>10034.717527775783</v>
      </c>
      <c r="DB158" s="747">
        <f>$G158*$H158*(1+$K158)^MAX(ROUNDUP(IFERROR(DATEDIF($I158-1,DB$15+1,"m"),)/12,)-1,)*Index!CX$22*(DB$15&lt;=$J158)*(1-DB$12)</f>
        <v>10285.585465970176</v>
      </c>
      <c r="DC158" s="747">
        <f>$G158*$H158*(1+$K158)^MAX(ROUNDUP(IFERROR(DATEDIF($I158-1,DC$15+1,"m"),)/12,)-1,)*Index!CY$22*(DC$15&lt;=$J158)*(1-DC$12)</f>
        <v>0</v>
      </c>
      <c r="DD158" s="747">
        <f>$G158*$H158*(1+$K158)^MAX(ROUNDUP(IFERROR(DATEDIF($I158-1,DD$15+1,"m"),)/12,)-1,)*Index!CZ$22*(DD$15&lt;=$J158)*(1-DD$12)</f>
        <v>0</v>
      </c>
      <c r="DE158" s="747">
        <f>$G158*$H158*(1+$K158)^MAX(ROUNDUP(IFERROR(DATEDIF($I158-1,DE$15+1,"m"),)/12,)-1,)*Index!DA$22*(DE$15&lt;=$J158)*(1-DE$12)</f>
        <v>0</v>
      </c>
      <c r="DF158" s="747">
        <f>$G158*$H158*(1+$K158)^MAX(ROUNDUP(IFERROR(DATEDIF($I158-1,DF$15+1,"m"),)/12,)-1,)*Index!DB$22*(DF$15&lt;=$J158)*(1-DF$12)</f>
        <v>0</v>
      </c>
      <c r="DG158" s="747">
        <f>$G158*$H158*(1+$K158)^MAX(ROUNDUP(IFERROR(DATEDIF($I158-1,DG$15+1,"m"),)/12,)-1,)*Index!DC$22*(DG$15&lt;=$J158)*(1-DG$12)</f>
        <v>0</v>
      </c>
      <c r="DH158" s="747">
        <f>$G158*$H158*(1+$K158)^MAX(ROUNDUP(IFERROR(DATEDIF($I158-1,DH$15+1,"m"),)/12,)-1,)*Index!DD$22*(DH$15&lt;=$J158)*(1-DH$12)</f>
        <v>0</v>
      </c>
      <c r="DI158" s="747">
        <f>$G158*$H158*(1+$K158)^MAX(ROUNDUP(IFERROR(DATEDIF($I158-1,DI$15+1,"m"),)/12,)-1,)*Index!DE$22*(DI$15&lt;=$J158)*(1-DI$12)</f>
        <v>0</v>
      </c>
      <c r="DJ158" s="747">
        <f>$G158*$H158*(1+$K158)^MAX(ROUNDUP(IFERROR(DATEDIF($I158-1,DJ$15+1,"m"),)/12,)-1,)*Index!DF$22*(DJ$15&lt;=$J158)*(1-DJ$12)</f>
        <v>0</v>
      </c>
      <c r="DK158" s="747">
        <f>$G158*$H158*(1+$K158)^MAX(ROUNDUP(IFERROR(DATEDIF($I158-1,DK$15+1,"m"),)/12,)-1,)*Index!DG$22*(DK$15&lt;=$J158)*(1-DK$12)</f>
        <v>0</v>
      </c>
      <c r="DL158" s="747">
        <f>$G158*$H158*(1+$K158)^MAX(ROUNDUP(IFERROR(DATEDIF($I158-1,DL$15+1,"m"),)/12,)-1,)*Index!DH$22*(DL$15&lt;=$J158)*(1-DL$12)</f>
        <v>0</v>
      </c>
      <c r="DM158" s="747">
        <f>$G158*$H158*(1+$K158)^MAX(ROUNDUP(IFERROR(DATEDIF($I158-1,DM$15+1,"m"),)/12,)-1,)*Index!DI$22*(DM$15&lt;=$J158)*(1-DM$12)</f>
        <v>0</v>
      </c>
      <c r="DN158" s="747">
        <f>$G158*$H158*(1+$K158)^MAX(ROUNDUP(IFERROR(DATEDIF($I158-1,DN$15+1,"m"),)/12,)-1,)*Index!DJ$22*(DN$15&lt;=$J158)*(1-DN$12)</f>
        <v>0</v>
      </c>
      <c r="DO158" s="747">
        <f>$G158*$H158*(1+$K158)^MAX(ROUNDUP(IFERROR(DATEDIF($I158-1,DO$15+1,"m"),)/12,)-1,)*Index!DK$22*(DO$15&lt;=$J158)*(1-DO$12)</f>
        <v>0</v>
      </c>
      <c r="DP158" s="747">
        <f>$G158*$H158*(1+$K158)^MAX(ROUNDUP(IFERROR(DATEDIF($I158-1,DP$15+1,"m"),)/12,)-1,)*Index!DL$22*(DP$15&lt;=$J158)*(1-DP$12)</f>
        <v>0</v>
      </c>
      <c r="DQ158" s="747">
        <f>$G158*$H158*(1+$K158)^MAX(ROUNDUP(IFERROR(DATEDIF($I158-1,DQ$15+1,"m"),)/12,)-1,)*Index!DM$22*(DQ$15&lt;=$J158)*(1-DQ$12)</f>
        <v>0</v>
      </c>
      <c r="DR158" s="747">
        <f>$G158*$H158*(1+$K158)^MAX(ROUNDUP(IFERROR(DATEDIF($I158-1,DR$15+1,"m"),)/12,)-1,)*Index!DN$22*(DR$15&lt;=$J158)*(1-DR$12)</f>
        <v>0</v>
      </c>
      <c r="DS158" s="747">
        <f>$G158*$H158*(1+$K158)^MAX(ROUNDUP(IFERROR(DATEDIF($I158-1,DS$15+1,"m"),)/12,)-1,)*Index!DO$22*(DS$15&lt;=$J158)*(1-DS$12)</f>
        <v>0</v>
      </c>
      <c r="DT158" s="747">
        <f>$G158*$H158*(1+$K158)^MAX(ROUNDUP(IFERROR(DATEDIF($I158-1,DT$15+1,"m"),)/12,)-1,)*Index!DP$22*(DT$15&lt;=$J158)*(1-DT$12)</f>
        <v>0</v>
      </c>
      <c r="DU158" s="747">
        <f>$G158*$H158*(1+$K158)^MAX(ROUNDUP(IFERROR(DATEDIF($I158-1,DU$15+1,"m"),)/12,)-1,)*Index!DQ$22*(DU$15&lt;=$J158)*(1-DU$12)</f>
        <v>0</v>
      </c>
      <c r="DV158" s="747">
        <f>$G158*$H158*(1+$K158)^MAX(ROUNDUP(IFERROR(DATEDIF($I158-1,DV$15+1,"m"),)/12,)-1,)*Index!DR$22*(DV$15&lt;=$J158)*(1-DV$12)</f>
        <v>0</v>
      </c>
      <c r="DW158" s="747">
        <f>$G158*$H158*(1+$K158)^MAX(ROUNDUP(IFERROR(DATEDIF($I158-1,DW$15+1,"m"),)/12,)-1,)*Index!DS$22*(DW$15&lt;=$J158)*(1-DW$12)</f>
        <v>0</v>
      </c>
      <c r="DX158" s="747">
        <f>$G158*$H158*(1+$K158)^MAX(ROUNDUP(IFERROR(DATEDIF($I158-1,DX$15+1,"m"),)/12,)-1,)*Index!DT$22*(DX$15&lt;=$J158)*(1-DX$12)</f>
        <v>0</v>
      </c>
      <c r="DY158" s="747">
        <f>$G158*$H158*(1+$K158)^MAX(ROUNDUP(IFERROR(DATEDIF($I158-1,DY$15+1,"m"),)/12,)-1,)*Index!DU$22*(DY$15&lt;=$J158)*(1-DY$12)</f>
        <v>0</v>
      </c>
      <c r="DZ158" s="747">
        <f>$G158*$H158*(1+$K158)^MAX(ROUNDUP(IFERROR(DATEDIF($I158-1,DZ$15+1,"m"),)/12,)-1,)*Index!DV$22*(DZ$15&lt;=$J158)*(1-DZ$12)</f>
        <v>0</v>
      </c>
      <c r="EA158" s="747">
        <f>$G158*$H158*(1+$K158)^MAX(ROUNDUP(IFERROR(DATEDIF($I158-1,EA$15+1,"m"),)/12,)-1,)*Index!DW$22*(EA$15&lt;=$J158)*(1-EA$12)</f>
        <v>0</v>
      </c>
      <c r="EB158" s="747">
        <f>$G158*$H158*(1+$K158)^MAX(ROUNDUP(IFERROR(DATEDIF($I158-1,EB$15+1,"m"),)/12,)-1,)*Index!DX$22*(EB$15&lt;=$J158)*(1-EB$12)</f>
        <v>0</v>
      </c>
      <c r="EC158" s="747">
        <f>$G158*$H158*(1+$K158)^MAX(ROUNDUP(IFERROR(DATEDIF($I158-1,EC$15+1,"m"),)/12,)-1,)*Index!DY$22*(EC$15&lt;=$J158)*(1-EC$12)</f>
        <v>0</v>
      </c>
      <c r="ED158" s="747">
        <f>$G158*$H158*(1+$K158)^MAX(ROUNDUP(IFERROR(DATEDIF($I158-1,ED$15+1,"m"),)/12,)-1,)*Index!DZ$22*(ED$15&lt;=$J158)*(1-ED$12)</f>
        <v>0</v>
      </c>
      <c r="EE158" s="747">
        <f>$G158*$H158*(1+$K158)^MAX(ROUNDUP(IFERROR(DATEDIF($I158-1,EE$15+1,"m"),)/12,)-1,)*Index!EA$22*(EE$15&lt;=$J158)*(1-EE$12)</f>
        <v>0</v>
      </c>
      <c r="EF158" s="747">
        <f>$G158*$H158*(1+$K158)^MAX(ROUNDUP(IFERROR(DATEDIF($I158-1,EF$15+1,"m"),)/12,)-1,)*Index!EB$22*(EF$15&lt;=$J158)*(1-EF$12)</f>
        <v>0</v>
      </c>
      <c r="EG158" s="747">
        <f>$G158*$H158*(1+$K158)^MAX(ROUNDUP(IFERROR(DATEDIF($I158-1,EG$15+1,"m"),)/12,)-1,)*Index!EC$22*(EG$15&lt;=$J158)*(1-EG$12)</f>
        <v>0</v>
      </c>
      <c r="EH158" s="747">
        <f>$G158*$H158*(1+$K158)^MAX(ROUNDUP(IFERROR(DATEDIF($I158-1,EH$15+1,"m"),)/12,)-1,)*Index!ED$22*(EH$15&lt;=$J158)*(1-EH$12)</f>
        <v>0</v>
      </c>
      <c r="EI158" s="747">
        <f>$G158*$H158*(1+$K158)^MAX(ROUNDUP(IFERROR(DATEDIF($I158-1,EI$15+1,"m"),)/12,)-1,)*Index!EE$22*(EI$15&lt;=$J158)*(1-EI$12)</f>
        <v>0</v>
      </c>
      <c r="EJ158" s="747">
        <f>$G158*$H158*(1+$K158)^MAX(ROUNDUP(IFERROR(DATEDIF($I158-1,EJ$15+1,"m"),)/12,)-1,)*Index!EF$22*(EJ$15&lt;=$J158)*(1-EJ$12)</f>
        <v>0</v>
      </c>
      <c r="EK158" s="747">
        <f>$G158*$H158*(1+$K158)^MAX(ROUNDUP(IFERROR(DATEDIF($I158-1,EK$15+1,"m"),)/12,)-1,)*Index!EG$22*(EK$15&lt;=$J158)*(1-EK$12)</f>
        <v>0</v>
      </c>
      <c r="EL158" s="747">
        <f>$G158*$H158*(1+$K158)^MAX(ROUNDUP(IFERROR(DATEDIF($I158-1,EL$15+1,"m"),)/12,)-1,)*Index!EH$22*(EL$15&lt;=$J158)*(1-EL$12)</f>
        <v>0</v>
      </c>
      <c r="EM158" s="747">
        <f>$G158*$H158*(1+$K158)^MAX(ROUNDUP(IFERROR(DATEDIF($I158-1,EM$15+1,"m"),)/12,)-1,)*Index!EI$22*(EM$15&lt;=$J158)*(1-EM$12)</f>
        <v>0</v>
      </c>
      <c r="EN158" s="747">
        <f>$G158*$H158*(1+$K158)^MAX(ROUNDUP(IFERROR(DATEDIF($I158-1,EN$15+1,"m"),)/12,)-1,)*Index!EJ$22*(EN$15&lt;=$J158)*(1-EN$12)</f>
        <v>0</v>
      </c>
      <c r="EO158" s="747">
        <f>$G158*$H158*(1+$K158)^MAX(ROUNDUP(IFERROR(DATEDIF($I158-1,EO$15+1,"m"),)/12,)-1,)*Index!EK$22*(EO$15&lt;=$J158)*(1-EO$12)</f>
        <v>0</v>
      </c>
      <c r="EP158" s="747">
        <f>$G158*$H158*(1+$K158)^MAX(ROUNDUP(IFERROR(DATEDIF($I158-1,EP$15+1,"m"),)/12,)-1,)*Index!EL$22*(EP$15&lt;=$J158)*(1-EP$12)</f>
        <v>0</v>
      </c>
      <c r="EQ158" s="747">
        <f>$G158*$H158*(1+$K158)^MAX(ROUNDUP(IFERROR(DATEDIF($I158-1,EQ$15+1,"m"),)/12,)-1,)*Index!EM$22*(EQ$15&lt;=$J158)*(1-EQ$12)</f>
        <v>0</v>
      </c>
      <c r="ER158" s="747">
        <f>$G158*$H158*(1+$K158)^MAX(ROUNDUP(IFERROR(DATEDIF($I158-1,ER$15+1,"m"),)/12,)-1,)*Index!EN$22*(ER$15&lt;=$J158)*(1-ER$12)</f>
        <v>0</v>
      </c>
      <c r="ES158" s="747">
        <f>$G158*$H158*(1+$K158)^MAX(ROUNDUP(IFERROR(DATEDIF($I158-1,ES$15+1,"m"),)/12,)-1,)*Index!EO$22*(ES$15&lt;=$J158)*(1-ES$12)</f>
        <v>0</v>
      </c>
      <c r="ET158" s="747">
        <f>$G158*$H158*(1+$K158)^MAX(ROUNDUP(IFERROR(DATEDIF($I158-1,ET$15+1,"m"),)/12,)-1,)*Index!EP$22*(ET$15&lt;=$J158)*(1-ET$12)</f>
        <v>0</v>
      </c>
      <c r="EU158" s="747">
        <f>$G158*$H158*(1+$K158)^MAX(ROUNDUP(IFERROR(DATEDIF($I158-1,EU$15+1,"m"),)/12,)-1,)*Index!EQ$22*(EU$15&lt;=$J158)*(1-EU$12)</f>
        <v>0</v>
      </c>
    </row>
    <row r="159" spans="3:151" ht="11.25" customHeight="1">
      <c r="C159" s="735"/>
      <c r="D159" s="743" t="str">
        <f t="shared" si="237"/>
        <v>B2</v>
      </c>
      <c r="E159" s="704" t="str">
        <f t="shared" si="237"/>
        <v>쿠팡</v>
      </c>
      <c r="F159" s="704" t="str">
        <f t="shared" si="237"/>
        <v>상온창고</v>
      </c>
      <c r="G159" s="781">
        <f>'A&amp;R'!AD22/1000</f>
        <v>3</v>
      </c>
      <c r="H159" s="744">
        <f>'A&amp;R'!Y22</f>
        <v>2728.21</v>
      </c>
      <c r="I159" s="745">
        <f t="shared" si="238"/>
        <v>45992</v>
      </c>
      <c r="J159" s="745">
        <f t="shared" si="238"/>
        <v>49064</v>
      </c>
      <c r="K159" s="754">
        <f t="shared" si="238"/>
        <v>2.5000000000000001E-2</v>
      </c>
      <c r="L159" s="711"/>
      <c r="M159" s="722"/>
      <c r="N159" s="747">
        <f t="shared" si="239"/>
        <v>817852.46991760132</v>
      </c>
      <c r="O159" s="733"/>
      <c r="P159" s="747">
        <f>$G159*$H159*(1+$K159)^MAX(ROUNDUP(IFERROR(DATEDIF($I159-1,P$15+1,"m"),)/12,)-1,)*Index!L$22*(P$15&lt;=$J159)*(1-P$12)</f>
        <v>0</v>
      </c>
      <c r="Q159" s="747">
        <f>$G159*$H159*(1+$K159)^MAX(ROUNDUP(IFERROR(DATEDIF($I159-1,Q$15+1,"m"),)/12,)-1,)*Index!M$22*(Q$15&lt;=$J159)*(1-Q$12)</f>
        <v>8184.63</v>
      </c>
      <c r="R159" s="747">
        <f>$G159*$H159*(1+$K159)^MAX(ROUNDUP(IFERROR(DATEDIF($I159-1,R$15+1,"m"),)/12,)-1,)*Index!N$22*(R$15&lt;=$J159)*(1-R$12)</f>
        <v>8389.24575</v>
      </c>
      <c r="S159" s="747">
        <f>$G159*$H159*(1+$K159)^MAX(ROUNDUP(IFERROR(DATEDIF($I159-1,S$15+1,"m"),)/12,)-1,)*Index!O$22*(S$15&lt;=$J159)*(1-S$12)</f>
        <v>8389.24575</v>
      </c>
      <c r="T159" s="747">
        <f>$G159*$H159*(1+$K159)^MAX(ROUNDUP(IFERROR(DATEDIF($I159-1,T$15+1,"m"),)/12,)-1,)*Index!P$22*(T$15&lt;=$J159)*(1-T$12)</f>
        <v>8389.24575</v>
      </c>
      <c r="U159" s="747">
        <f>$G159*$H159*(1+$K159)^MAX(ROUNDUP(IFERROR(DATEDIF($I159-1,U$15+1,"m"),)/12,)-1,)*Index!Q$22*(U$15&lt;=$J159)*(1-U$12)</f>
        <v>8389.24575</v>
      </c>
      <c r="V159" s="747">
        <f>$G159*$H159*(1+$K159)^MAX(ROUNDUP(IFERROR(DATEDIF($I159-1,V$15+1,"m"),)/12,)-1,)*Index!R$22*(V$15&lt;=$J159)*(1-V$12)</f>
        <v>8389.24575</v>
      </c>
      <c r="W159" s="747">
        <f>$G159*$H159*(1+$K159)^MAX(ROUNDUP(IFERROR(DATEDIF($I159-1,W$15+1,"m"),)/12,)-1,)*Index!S$22*(W$15&lt;=$J159)*(1-W$12)</f>
        <v>8389.24575</v>
      </c>
      <c r="X159" s="747">
        <f>$G159*$H159*(1+$K159)^MAX(ROUNDUP(IFERROR(DATEDIF($I159-1,X$15+1,"m"),)/12,)-1,)*Index!T$22*(X$15&lt;=$J159)*(1-X$12)</f>
        <v>8389.24575</v>
      </c>
      <c r="Y159" s="747">
        <f>$G159*$H159*(1+$K159)^MAX(ROUNDUP(IFERROR(DATEDIF($I159-1,Y$15+1,"m"),)/12,)-1,)*Index!U$22*(Y$15&lt;=$J159)*(1-Y$12)</f>
        <v>8389.24575</v>
      </c>
      <c r="Z159" s="747">
        <f>$G159*$H159*(1+$K159)^MAX(ROUNDUP(IFERROR(DATEDIF($I159-1,Z$15+1,"m"),)/12,)-1,)*Index!V$22*(Z$15&lt;=$J159)*(1-Z$12)</f>
        <v>8389.24575</v>
      </c>
      <c r="AA159" s="747">
        <f>$G159*$H159*(1+$K159)^MAX(ROUNDUP(IFERROR(DATEDIF($I159-1,AA$15+1,"m"),)/12,)-1,)*Index!W$22*(AA$15&lt;=$J159)*(1-AA$12)</f>
        <v>8389.24575</v>
      </c>
      <c r="AB159" s="747">
        <f>$G159*$H159*(1+$K159)^MAX(ROUNDUP(IFERROR(DATEDIF($I159-1,AB$15+1,"m"),)/12,)-1,)*Index!X$22*(AB$15&lt;=$J159)*(1-AB$12)</f>
        <v>8389.24575</v>
      </c>
      <c r="AC159" s="747">
        <f>$G159*$H159*(1+$K159)^MAX(ROUNDUP(IFERROR(DATEDIF($I159-1,AC$15+1,"m"),)/12,)-1,)*Index!Y$22*(AC$15&lt;=$J159)*(1-AC$12)</f>
        <v>8389.24575</v>
      </c>
      <c r="AD159" s="747">
        <f>$G159*$H159*(1+$K159)^MAX(ROUNDUP(IFERROR(DATEDIF($I159-1,AD$15+1,"m"),)/12,)-1,)*Index!Z$22*(AD$15&lt;=$J159)*(1-AD$12)</f>
        <v>8598.9768937499994</v>
      </c>
      <c r="AE159" s="747">
        <f>$G159*$H159*(1+$K159)^MAX(ROUNDUP(IFERROR(DATEDIF($I159-1,AE$15+1,"m"),)/12,)-1,)*Index!AA$22*(AE$15&lt;=$J159)*(1-AE$12)</f>
        <v>8598.9768937499994</v>
      </c>
      <c r="AF159" s="747">
        <f>$G159*$H159*(1+$K159)^MAX(ROUNDUP(IFERROR(DATEDIF($I159-1,AF$15+1,"m"),)/12,)-1,)*Index!AB$22*(AF$15&lt;=$J159)*(1-AF$12)</f>
        <v>8598.9768937499994</v>
      </c>
      <c r="AG159" s="747">
        <f>$G159*$H159*(1+$K159)^MAX(ROUNDUP(IFERROR(DATEDIF($I159-1,AG$15+1,"m"),)/12,)-1,)*Index!AC$22*(AG$15&lt;=$J159)*(1-AG$12)</f>
        <v>8598.9768937499994</v>
      </c>
      <c r="AH159" s="747">
        <f>$G159*$H159*(1+$K159)^MAX(ROUNDUP(IFERROR(DATEDIF($I159-1,AH$15+1,"m"),)/12,)-1,)*Index!AD$22*(AH$15&lt;=$J159)*(1-AH$12)</f>
        <v>8598.9768937499994</v>
      </c>
      <c r="AI159" s="747">
        <f>$G159*$H159*(1+$K159)^MAX(ROUNDUP(IFERROR(DATEDIF($I159-1,AI$15+1,"m"),)/12,)-1,)*Index!AE$22*(AI$15&lt;=$J159)*(1-AI$12)</f>
        <v>8598.9768937499994</v>
      </c>
      <c r="AJ159" s="747">
        <f>$G159*$H159*(1+$K159)^MAX(ROUNDUP(IFERROR(DATEDIF($I159-1,AJ$15+1,"m"),)/12,)-1,)*Index!AF$22*(AJ$15&lt;=$J159)*(1-AJ$12)</f>
        <v>8598.9768937499994</v>
      </c>
      <c r="AK159" s="747">
        <f>$G159*$H159*(1+$K159)^MAX(ROUNDUP(IFERROR(DATEDIF($I159-1,AK$15+1,"m"),)/12,)-1,)*Index!AG$22*(AK$15&lt;=$J159)*(1-AK$12)</f>
        <v>8598.9768937499994</v>
      </c>
      <c r="AL159" s="747">
        <f>$G159*$H159*(1+$K159)^MAX(ROUNDUP(IFERROR(DATEDIF($I159-1,AL$15+1,"m"),)/12,)-1,)*Index!AH$22*(AL$15&lt;=$J159)*(1-AL$12)</f>
        <v>8598.9768937499994</v>
      </c>
      <c r="AM159" s="747">
        <f>$G159*$H159*(1+$K159)^MAX(ROUNDUP(IFERROR(DATEDIF($I159-1,AM$15+1,"m"),)/12,)-1,)*Index!AI$22*(AM$15&lt;=$J159)*(1-AM$12)</f>
        <v>8598.9768937499994</v>
      </c>
      <c r="AN159" s="747">
        <f>$G159*$H159*(1+$K159)^MAX(ROUNDUP(IFERROR(DATEDIF($I159-1,AN$15+1,"m"),)/12,)-1,)*Index!AJ$22*(AN$15&lt;=$J159)*(1-AN$12)</f>
        <v>8598.9768937499994</v>
      </c>
      <c r="AO159" s="747">
        <f>$G159*$H159*(1+$K159)^MAX(ROUNDUP(IFERROR(DATEDIF($I159-1,AO$15+1,"m"),)/12,)-1,)*Index!AK$22*(AO$15&lt;=$J159)*(1-AO$12)</f>
        <v>8598.9768937499994</v>
      </c>
      <c r="AP159" s="747">
        <f>$G159*$H159*(1+$K159)^MAX(ROUNDUP(IFERROR(DATEDIF($I159-1,AP$15+1,"m"),)/12,)-1,)*Index!AL$22*(AP$15&lt;=$J159)*(1-AP$12)</f>
        <v>8813.9513160937495</v>
      </c>
      <c r="AQ159" s="747">
        <f>$G159*$H159*(1+$K159)^MAX(ROUNDUP(IFERROR(DATEDIF($I159-1,AQ$15+1,"m"),)/12,)-1,)*Index!AM$22*(AQ$15&lt;=$J159)*(1-AQ$12)</f>
        <v>8813.9513160937495</v>
      </c>
      <c r="AR159" s="747">
        <f>$G159*$H159*(1+$K159)^MAX(ROUNDUP(IFERROR(DATEDIF($I159-1,AR$15+1,"m"),)/12,)-1,)*Index!AN$22*(AR$15&lt;=$J159)*(1-AR$12)</f>
        <v>8813.9513160937495</v>
      </c>
      <c r="AS159" s="747">
        <f>$G159*$H159*(1+$K159)^MAX(ROUNDUP(IFERROR(DATEDIF($I159-1,AS$15+1,"m"),)/12,)-1,)*Index!AO$22*(AS$15&lt;=$J159)*(1-AS$12)</f>
        <v>8813.9513160937495</v>
      </c>
      <c r="AT159" s="747">
        <f>$G159*$H159*(1+$K159)^MAX(ROUNDUP(IFERROR(DATEDIF($I159-1,AT$15+1,"m"),)/12,)-1,)*Index!AP$22*(AT$15&lt;=$J159)*(1-AT$12)</f>
        <v>8813.9513160937495</v>
      </c>
      <c r="AU159" s="747">
        <f>$G159*$H159*(1+$K159)^MAX(ROUNDUP(IFERROR(DATEDIF($I159-1,AU$15+1,"m"),)/12,)-1,)*Index!AQ$22*(AU$15&lt;=$J159)*(1-AU$12)</f>
        <v>8813.9513160937495</v>
      </c>
      <c r="AV159" s="747">
        <f>$G159*$H159*(1+$K159)^MAX(ROUNDUP(IFERROR(DATEDIF($I159-1,AV$15+1,"m"),)/12,)-1,)*Index!AR$22*(AV$15&lt;=$J159)*(1-AV$12)</f>
        <v>8813.9513160937495</v>
      </c>
      <c r="AW159" s="747">
        <f>$G159*$H159*(1+$K159)^MAX(ROUNDUP(IFERROR(DATEDIF($I159-1,AW$15+1,"m"),)/12,)-1,)*Index!AS$22*(AW$15&lt;=$J159)*(1-AW$12)</f>
        <v>8813.9513160937495</v>
      </c>
      <c r="AX159" s="747">
        <f>$G159*$H159*(1+$K159)^MAX(ROUNDUP(IFERROR(DATEDIF($I159-1,AX$15+1,"m"),)/12,)-1,)*Index!AT$22*(AX$15&lt;=$J159)*(1-AX$12)</f>
        <v>8813.9513160937495</v>
      </c>
      <c r="AY159" s="747">
        <f>$G159*$H159*(1+$K159)^MAX(ROUNDUP(IFERROR(DATEDIF($I159-1,AY$15+1,"m"),)/12,)-1,)*Index!AU$22*(AY$15&lt;=$J159)*(1-AY$12)</f>
        <v>8813.9513160937495</v>
      </c>
      <c r="AZ159" s="747">
        <f>$G159*$H159*(1+$K159)^MAX(ROUNDUP(IFERROR(DATEDIF($I159-1,AZ$15+1,"m"),)/12,)-1,)*Index!AV$22*(AZ$15&lt;=$J159)*(1-AZ$12)</f>
        <v>8813.9513160937495</v>
      </c>
      <c r="BA159" s="747">
        <f>$G159*$H159*(1+$K159)^MAX(ROUNDUP(IFERROR(DATEDIF($I159-1,BA$15+1,"m"),)/12,)-1,)*Index!AW$22*(BA$15&lt;=$J159)*(1-BA$12)</f>
        <v>8813.9513160937495</v>
      </c>
      <c r="BB159" s="747">
        <f>$G159*$H159*(1+$K159)^MAX(ROUNDUP(IFERROR(DATEDIF($I159-1,BB$15+1,"m"),)/12,)-1,)*Index!AX$22*(BB$15&lt;=$J159)*(1-BB$12)</f>
        <v>9034.3000989960929</v>
      </c>
      <c r="BC159" s="747">
        <f>$G159*$H159*(1+$K159)^MAX(ROUNDUP(IFERROR(DATEDIF($I159-1,BC$15+1,"m"),)/12,)-1,)*Index!AY$22*(BC$15&lt;=$J159)*(1-BC$12)</f>
        <v>9034.3000989960929</v>
      </c>
      <c r="BD159" s="747">
        <f>$G159*$H159*(1+$K159)^MAX(ROUNDUP(IFERROR(DATEDIF($I159-1,BD$15+1,"m"),)/12,)-1,)*Index!AZ$22*(BD$15&lt;=$J159)*(1-BD$12)</f>
        <v>9034.3000989960929</v>
      </c>
      <c r="BE159" s="747">
        <f>$G159*$H159*(1+$K159)^MAX(ROUNDUP(IFERROR(DATEDIF($I159-1,BE$15+1,"m"),)/12,)-1,)*Index!BA$22*(BE$15&lt;=$J159)*(1-BE$12)</f>
        <v>9034.3000989960929</v>
      </c>
      <c r="BF159" s="747">
        <f>$G159*$H159*(1+$K159)^MAX(ROUNDUP(IFERROR(DATEDIF($I159-1,BF$15+1,"m"),)/12,)-1,)*Index!BB$22*(BF$15&lt;=$J159)*(1-BF$12)</f>
        <v>9034.3000989960929</v>
      </c>
      <c r="BG159" s="747">
        <f>$G159*$H159*(1+$K159)^MAX(ROUNDUP(IFERROR(DATEDIF($I159-1,BG$15+1,"m"),)/12,)-1,)*Index!BC$22*(BG$15&lt;=$J159)*(1-BG$12)</f>
        <v>9034.3000989960929</v>
      </c>
      <c r="BH159" s="747">
        <f>$G159*$H159*(1+$K159)^MAX(ROUNDUP(IFERROR(DATEDIF($I159-1,BH$15+1,"m"),)/12,)-1,)*Index!BD$22*(BH$15&lt;=$J159)*(1-BH$12)</f>
        <v>9034.3000989960929</v>
      </c>
      <c r="BI159" s="747">
        <f>$G159*$H159*(1+$K159)^MAX(ROUNDUP(IFERROR(DATEDIF($I159-1,BI$15+1,"m"),)/12,)-1,)*Index!BE$22*(BI$15&lt;=$J159)*(1-BI$12)</f>
        <v>9034.3000989960929</v>
      </c>
      <c r="BJ159" s="747">
        <f>$G159*$H159*(1+$K159)^MAX(ROUNDUP(IFERROR(DATEDIF($I159-1,BJ$15+1,"m"),)/12,)-1,)*Index!BF$22*(BJ$15&lt;=$J159)*(1-BJ$12)</f>
        <v>9034.3000989960929</v>
      </c>
      <c r="BK159" s="747">
        <f>$G159*$H159*(1+$K159)^MAX(ROUNDUP(IFERROR(DATEDIF($I159-1,BK$15+1,"m"),)/12,)-1,)*Index!BG$22*(BK$15&lt;=$J159)*(1-BK$12)</f>
        <v>9034.3000989960929</v>
      </c>
      <c r="BL159" s="747">
        <f>$G159*$H159*(1+$K159)^MAX(ROUNDUP(IFERROR(DATEDIF($I159-1,BL$15+1,"m"),)/12,)-1,)*Index!BH$22*(BL$15&lt;=$J159)*(1-BL$12)</f>
        <v>9034.3000989960929</v>
      </c>
      <c r="BM159" s="747">
        <f>$G159*$H159*(1+$K159)^MAX(ROUNDUP(IFERROR(DATEDIF($I159-1,BM$15+1,"m"),)/12,)-1,)*Index!BI$22*(BM$15&lt;=$J159)*(1-BM$12)</f>
        <v>9034.3000989960929</v>
      </c>
      <c r="BN159" s="747">
        <f>$G159*$H159*(1+$K159)^MAX(ROUNDUP(IFERROR(DATEDIF($I159-1,BN$15+1,"m"),)/12,)-1,)*Index!BJ$22*(BN$15&lt;=$J159)*(1-BN$12)</f>
        <v>9260.1576014709935</v>
      </c>
      <c r="BO159" s="747">
        <f>$G159*$H159*(1+$K159)^MAX(ROUNDUP(IFERROR(DATEDIF($I159-1,BO$15+1,"m"),)/12,)-1,)*Index!BK$22*(BO$15&lt;=$J159)*(1-BO$12)</f>
        <v>9260.1576014709935</v>
      </c>
      <c r="BP159" s="747">
        <f>$G159*$H159*(1+$K159)^MAX(ROUNDUP(IFERROR(DATEDIF($I159-1,BP$15+1,"m"),)/12,)-1,)*Index!BL$22*(BP$15&lt;=$J159)*(1-BP$12)</f>
        <v>9260.1576014709935</v>
      </c>
      <c r="BQ159" s="747">
        <f>$G159*$H159*(1+$K159)^MAX(ROUNDUP(IFERROR(DATEDIF($I159-1,BQ$15+1,"m"),)/12,)-1,)*Index!BM$22*(BQ$15&lt;=$J159)*(1-BQ$12)</f>
        <v>9260.1576014709935</v>
      </c>
      <c r="BR159" s="747">
        <f>$G159*$H159*(1+$K159)^MAX(ROUNDUP(IFERROR(DATEDIF($I159-1,BR$15+1,"m"),)/12,)-1,)*Index!BN$22*(BR$15&lt;=$J159)*(1-BR$12)</f>
        <v>9260.1576014709935</v>
      </c>
      <c r="BS159" s="747">
        <f>$G159*$H159*(1+$K159)^MAX(ROUNDUP(IFERROR(DATEDIF($I159-1,BS$15+1,"m"),)/12,)-1,)*Index!BO$22*(BS$15&lt;=$J159)*(1-BS$12)</f>
        <v>9260.1576014709935</v>
      </c>
      <c r="BT159" s="747">
        <f>$G159*$H159*(1+$K159)^MAX(ROUNDUP(IFERROR(DATEDIF($I159-1,BT$15+1,"m"),)/12,)-1,)*Index!BP$22*(BT$15&lt;=$J159)*(1-BT$12)</f>
        <v>9260.1576014709935</v>
      </c>
      <c r="BU159" s="747">
        <f>$G159*$H159*(1+$K159)^MAX(ROUNDUP(IFERROR(DATEDIF($I159-1,BU$15+1,"m"),)/12,)-1,)*Index!BQ$22*(BU$15&lt;=$J159)*(1-BU$12)</f>
        <v>9260.1576014709935</v>
      </c>
      <c r="BV159" s="747">
        <f>$G159*$H159*(1+$K159)^MAX(ROUNDUP(IFERROR(DATEDIF($I159-1,BV$15+1,"m"),)/12,)-1,)*Index!BR$22*(BV$15&lt;=$J159)*(1-BV$12)</f>
        <v>9260.1576014709935</v>
      </c>
      <c r="BW159" s="747">
        <f>$G159*$H159*(1+$K159)^MAX(ROUNDUP(IFERROR(DATEDIF($I159-1,BW$15+1,"m"),)/12,)-1,)*Index!BS$22*(BW$15&lt;=$J159)*(1-BW$12)</f>
        <v>9260.1576014709935</v>
      </c>
      <c r="BX159" s="747">
        <f>$G159*$H159*(1+$K159)^MAX(ROUNDUP(IFERROR(DATEDIF($I159-1,BX$15+1,"m"),)/12,)-1,)*Index!BT$22*(BX$15&lt;=$J159)*(1-BX$12)</f>
        <v>9260.1576014709935</v>
      </c>
      <c r="BY159" s="747">
        <f>$G159*$H159*(1+$K159)^MAX(ROUNDUP(IFERROR(DATEDIF($I159-1,BY$15+1,"m"),)/12,)-1,)*Index!BU$22*(BY$15&lt;=$J159)*(1-BY$12)</f>
        <v>9260.1576014709935</v>
      </c>
      <c r="BZ159" s="747">
        <f>$G159*$H159*(1+$K159)^MAX(ROUNDUP(IFERROR(DATEDIF($I159-1,BZ$15+1,"m"),)/12,)-1,)*Index!BV$22*(BZ$15&lt;=$J159)*(1-BZ$12)</f>
        <v>9491.6615415077667</v>
      </c>
      <c r="CA159" s="747">
        <f>$G159*$H159*(1+$K159)^MAX(ROUNDUP(IFERROR(DATEDIF($I159-1,CA$15+1,"m"),)/12,)-1,)*Index!BW$22*(CA$15&lt;=$J159)*(1-CA$12)</f>
        <v>9491.6615415077667</v>
      </c>
      <c r="CB159" s="747">
        <f>$G159*$H159*(1+$K159)^MAX(ROUNDUP(IFERROR(DATEDIF($I159-1,CB$15+1,"m"),)/12,)-1,)*Index!BX$22*(CB$15&lt;=$J159)*(1-CB$12)</f>
        <v>9491.6615415077667</v>
      </c>
      <c r="CC159" s="747">
        <f>$G159*$H159*(1+$K159)^MAX(ROUNDUP(IFERROR(DATEDIF($I159-1,CC$15+1,"m"),)/12,)-1,)*Index!BY$22*(CC$15&lt;=$J159)*(1-CC$12)</f>
        <v>9491.6615415077667</v>
      </c>
      <c r="CD159" s="747">
        <f>$G159*$H159*(1+$K159)^MAX(ROUNDUP(IFERROR(DATEDIF($I159-1,CD$15+1,"m"),)/12,)-1,)*Index!BZ$22*(CD$15&lt;=$J159)*(1-CD$12)</f>
        <v>9491.6615415077667</v>
      </c>
      <c r="CE159" s="747">
        <f>$G159*$H159*(1+$K159)^MAX(ROUNDUP(IFERROR(DATEDIF($I159-1,CE$15+1,"m"),)/12,)-1,)*Index!CA$22*(CE$15&lt;=$J159)*(1-CE$12)</f>
        <v>9491.6615415077667</v>
      </c>
      <c r="CF159" s="747">
        <f>$G159*$H159*(1+$K159)^MAX(ROUNDUP(IFERROR(DATEDIF($I159-1,CF$15+1,"m"),)/12,)-1,)*Index!CB$22*(CF$15&lt;=$J159)*(1-CF$12)</f>
        <v>9491.6615415077667</v>
      </c>
      <c r="CG159" s="747">
        <f>$G159*$H159*(1+$K159)^MAX(ROUNDUP(IFERROR(DATEDIF($I159-1,CG$15+1,"m"),)/12,)-1,)*Index!CC$22*(CG$15&lt;=$J159)*(1-CG$12)</f>
        <v>9491.6615415077667</v>
      </c>
      <c r="CH159" s="747">
        <f>$G159*$H159*(1+$K159)^MAX(ROUNDUP(IFERROR(DATEDIF($I159-1,CH$15+1,"m"),)/12,)-1,)*Index!CD$22*(CH$15&lt;=$J159)*(1-CH$12)</f>
        <v>9491.6615415077667</v>
      </c>
      <c r="CI159" s="747">
        <f>$G159*$H159*(1+$K159)^MAX(ROUNDUP(IFERROR(DATEDIF($I159-1,CI$15+1,"m"),)/12,)-1,)*Index!CE$22*(CI$15&lt;=$J159)*(1-CI$12)</f>
        <v>9491.6615415077667</v>
      </c>
      <c r="CJ159" s="747">
        <f>$G159*$H159*(1+$K159)^MAX(ROUNDUP(IFERROR(DATEDIF($I159-1,CJ$15+1,"m"),)/12,)-1,)*Index!CF$22*(CJ$15&lt;=$J159)*(1-CJ$12)</f>
        <v>9491.6615415077667</v>
      </c>
      <c r="CK159" s="747">
        <f>$G159*$H159*(1+$K159)^MAX(ROUNDUP(IFERROR(DATEDIF($I159-1,CK$15+1,"m"),)/12,)-1,)*Index!CG$22*(CK$15&lt;=$J159)*(1-CK$12)</f>
        <v>9491.6615415077667</v>
      </c>
      <c r="CL159" s="747">
        <f>$G159*$H159*(1+$K159)^MAX(ROUNDUP(IFERROR(DATEDIF($I159-1,CL$15+1,"m"),)/12,)-1,)*Index!CH$22*(CL$15&lt;=$J159)*(1-CL$12)</f>
        <v>9728.9530800454613</v>
      </c>
      <c r="CM159" s="747">
        <f>$G159*$H159*(1+$K159)^MAX(ROUNDUP(IFERROR(DATEDIF($I159-1,CM$15+1,"m"),)/12,)-1,)*Index!CI$22*(CM$15&lt;=$J159)*(1-CM$12)</f>
        <v>9728.9530800454613</v>
      </c>
      <c r="CN159" s="747">
        <f>$G159*$H159*(1+$K159)^MAX(ROUNDUP(IFERROR(DATEDIF($I159-1,CN$15+1,"m"),)/12,)-1,)*Index!CJ$22*(CN$15&lt;=$J159)*(1-CN$12)</f>
        <v>9728.9530800454613</v>
      </c>
      <c r="CO159" s="747">
        <f>$G159*$H159*(1+$K159)^MAX(ROUNDUP(IFERROR(DATEDIF($I159-1,CO$15+1,"m"),)/12,)-1,)*Index!CK$22*(CO$15&lt;=$J159)*(1-CO$12)</f>
        <v>9728.9530800454613</v>
      </c>
      <c r="CP159" s="747">
        <f>$G159*$H159*(1+$K159)^MAX(ROUNDUP(IFERROR(DATEDIF($I159-1,CP$15+1,"m"),)/12,)-1,)*Index!CL$22*(CP$15&lt;=$J159)*(1-CP$12)</f>
        <v>9728.9530800454613</v>
      </c>
      <c r="CQ159" s="747">
        <f>$G159*$H159*(1+$K159)^MAX(ROUNDUP(IFERROR(DATEDIF($I159-1,CQ$15+1,"m"),)/12,)-1,)*Index!CM$22*(CQ$15&lt;=$J159)*(1-CQ$12)</f>
        <v>9728.9530800454613</v>
      </c>
      <c r="CR159" s="747">
        <f>$G159*$H159*(1+$K159)^MAX(ROUNDUP(IFERROR(DATEDIF($I159-1,CR$15+1,"m"),)/12,)-1,)*Index!CN$22*(CR$15&lt;=$J159)*(1-CR$12)</f>
        <v>9728.9530800454613</v>
      </c>
      <c r="CS159" s="747">
        <f>$G159*$H159*(1+$K159)^MAX(ROUNDUP(IFERROR(DATEDIF($I159-1,CS$15+1,"m"),)/12,)-1,)*Index!CO$22*(CS$15&lt;=$J159)*(1-CS$12)</f>
        <v>9728.9530800454613</v>
      </c>
      <c r="CT159" s="747">
        <f>$G159*$H159*(1+$K159)^MAX(ROUNDUP(IFERROR(DATEDIF($I159-1,CT$15+1,"m"),)/12,)-1,)*Index!CP$22*(CT$15&lt;=$J159)*(1-CT$12)</f>
        <v>9728.9530800454613</v>
      </c>
      <c r="CU159" s="747">
        <f>$G159*$H159*(1+$K159)^MAX(ROUNDUP(IFERROR(DATEDIF($I159-1,CU$15+1,"m"),)/12,)-1,)*Index!CQ$22*(CU$15&lt;=$J159)*(1-CU$12)</f>
        <v>9728.9530800454613</v>
      </c>
      <c r="CV159" s="747">
        <f>$G159*$H159*(1+$K159)^MAX(ROUNDUP(IFERROR(DATEDIF($I159-1,CV$15+1,"m"),)/12,)-1,)*Index!CR$22*(CV$15&lt;=$J159)*(1-CV$12)</f>
        <v>9728.9530800454613</v>
      </c>
      <c r="CW159" s="747">
        <f>$G159*$H159*(1+$K159)^MAX(ROUNDUP(IFERROR(DATEDIF($I159-1,CW$15+1,"m"),)/12,)-1,)*Index!CS$22*(CW$15&lt;=$J159)*(1-CW$12)</f>
        <v>9728.9530800454613</v>
      </c>
      <c r="CX159" s="747">
        <f>$G159*$H159*(1+$K159)^MAX(ROUNDUP(IFERROR(DATEDIF($I159-1,CX$15+1,"m"),)/12,)-1,)*Index!CT$22*(CX$15&lt;=$J159)*(1-CX$12)</f>
        <v>9972.176907046598</v>
      </c>
      <c r="CY159" s="747">
        <f>$G159*$H159*(1+$K159)^MAX(ROUNDUP(IFERROR(DATEDIF($I159-1,CY$15+1,"m"),)/12,)-1,)*Index!CU$22*(CY$15&lt;=$J159)*(1-CY$12)</f>
        <v>9972.176907046598</v>
      </c>
      <c r="CZ159" s="747">
        <f>$G159*$H159*(1+$K159)^MAX(ROUNDUP(IFERROR(DATEDIF($I159-1,CZ$15+1,"m"),)/12,)-1,)*Index!CV$22*(CZ$15&lt;=$J159)*(1-CZ$12)</f>
        <v>9972.176907046598</v>
      </c>
      <c r="DA159" s="747">
        <f>$G159*$H159*(1+$K159)^MAX(ROUNDUP(IFERROR(DATEDIF($I159-1,DA$15+1,"m"),)/12,)-1,)*Index!CW$22*(DA$15&lt;=$J159)*(1-DA$12)</f>
        <v>9972.176907046598</v>
      </c>
      <c r="DB159" s="747">
        <f>$G159*$H159*(1+$K159)^MAX(ROUNDUP(IFERROR(DATEDIF($I159-1,DB$15+1,"m"),)/12,)-1,)*Index!CX$22*(DB$15&lt;=$J159)*(1-DB$12)</f>
        <v>9972.176907046598</v>
      </c>
      <c r="DC159" s="747">
        <f>$G159*$H159*(1+$K159)^MAX(ROUNDUP(IFERROR(DATEDIF($I159-1,DC$15+1,"m"),)/12,)-1,)*Index!CY$22*(DC$15&lt;=$J159)*(1-DC$12)</f>
        <v>0</v>
      </c>
      <c r="DD159" s="747">
        <f>$G159*$H159*(1+$K159)^MAX(ROUNDUP(IFERROR(DATEDIF($I159-1,DD$15+1,"m"),)/12,)-1,)*Index!CZ$22*(DD$15&lt;=$J159)*(1-DD$12)</f>
        <v>0</v>
      </c>
      <c r="DE159" s="747">
        <f>$G159*$H159*(1+$K159)^MAX(ROUNDUP(IFERROR(DATEDIF($I159-1,DE$15+1,"m"),)/12,)-1,)*Index!DA$22*(DE$15&lt;=$J159)*(1-DE$12)</f>
        <v>0</v>
      </c>
      <c r="DF159" s="747">
        <f>$G159*$H159*(1+$K159)^MAX(ROUNDUP(IFERROR(DATEDIF($I159-1,DF$15+1,"m"),)/12,)-1,)*Index!DB$22*(DF$15&lt;=$J159)*(1-DF$12)</f>
        <v>0</v>
      </c>
      <c r="DG159" s="747">
        <f>$G159*$H159*(1+$K159)^MAX(ROUNDUP(IFERROR(DATEDIF($I159-1,DG$15+1,"m"),)/12,)-1,)*Index!DC$22*(DG$15&lt;=$J159)*(1-DG$12)</f>
        <v>0</v>
      </c>
      <c r="DH159" s="747">
        <f>$G159*$H159*(1+$K159)^MAX(ROUNDUP(IFERROR(DATEDIF($I159-1,DH$15+1,"m"),)/12,)-1,)*Index!DD$22*(DH$15&lt;=$J159)*(1-DH$12)</f>
        <v>0</v>
      </c>
      <c r="DI159" s="747">
        <f>$G159*$H159*(1+$K159)^MAX(ROUNDUP(IFERROR(DATEDIF($I159-1,DI$15+1,"m"),)/12,)-1,)*Index!DE$22*(DI$15&lt;=$J159)*(1-DI$12)</f>
        <v>0</v>
      </c>
      <c r="DJ159" s="747">
        <f>$G159*$H159*(1+$K159)^MAX(ROUNDUP(IFERROR(DATEDIF($I159-1,DJ$15+1,"m"),)/12,)-1,)*Index!DF$22*(DJ$15&lt;=$J159)*(1-DJ$12)</f>
        <v>0</v>
      </c>
      <c r="DK159" s="747">
        <f>$G159*$H159*(1+$K159)^MAX(ROUNDUP(IFERROR(DATEDIF($I159-1,DK$15+1,"m"),)/12,)-1,)*Index!DG$22*(DK$15&lt;=$J159)*(1-DK$12)</f>
        <v>0</v>
      </c>
      <c r="DL159" s="747">
        <f>$G159*$H159*(1+$K159)^MAX(ROUNDUP(IFERROR(DATEDIF($I159-1,DL$15+1,"m"),)/12,)-1,)*Index!DH$22*(DL$15&lt;=$J159)*(1-DL$12)</f>
        <v>0</v>
      </c>
      <c r="DM159" s="747">
        <f>$G159*$H159*(1+$K159)^MAX(ROUNDUP(IFERROR(DATEDIF($I159-1,DM$15+1,"m"),)/12,)-1,)*Index!DI$22*(DM$15&lt;=$J159)*(1-DM$12)</f>
        <v>0</v>
      </c>
      <c r="DN159" s="747">
        <f>$G159*$H159*(1+$K159)^MAX(ROUNDUP(IFERROR(DATEDIF($I159-1,DN$15+1,"m"),)/12,)-1,)*Index!DJ$22*(DN$15&lt;=$J159)*(1-DN$12)</f>
        <v>0</v>
      </c>
      <c r="DO159" s="747">
        <f>$G159*$H159*(1+$K159)^MAX(ROUNDUP(IFERROR(DATEDIF($I159-1,DO$15+1,"m"),)/12,)-1,)*Index!DK$22*(DO$15&lt;=$J159)*(1-DO$12)</f>
        <v>0</v>
      </c>
      <c r="DP159" s="747">
        <f>$G159*$H159*(1+$K159)^MAX(ROUNDUP(IFERROR(DATEDIF($I159-1,DP$15+1,"m"),)/12,)-1,)*Index!DL$22*(DP$15&lt;=$J159)*(1-DP$12)</f>
        <v>0</v>
      </c>
      <c r="DQ159" s="747">
        <f>$G159*$H159*(1+$K159)^MAX(ROUNDUP(IFERROR(DATEDIF($I159-1,DQ$15+1,"m"),)/12,)-1,)*Index!DM$22*(DQ$15&lt;=$J159)*(1-DQ$12)</f>
        <v>0</v>
      </c>
      <c r="DR159" s="747">
        <f>$G159*$H159*(1+$K159)^MAX(ROUNDUP(IFERROR(DATEDIF($I159-1,DR$15+1,"m"),)/12,)-1,)*Index!DN$22*(DR$15&lt;=$J159)*(1-DR$12)</f>
        <v>0</v>
      </c>
      <c r="DS159" s="747">
        <f>$G159*$H159*(1+$K159)^MAX(ROUNDUP(IFERROR(DATEDIF($I159-1,DS$15+1,"m"),)/12,)-1,)*Index!DO$22*(DS$15&lt;=$J159)*(1-DS$12)</f>
        <v>0</v>
      </c>
      <c r="DT159" s="747">
        <f>$G159*$H159*(1+$K159)^MAX(ROUNDUP(IFERROR(DATEDIF($I159-1,DT$15+1,"m"),)/12,)-1,)*Index!DP$22*(DT$15&lt;=$J159)*(1-DT$12)</f>
        <v>0</v>
      </c>
      <c r="DU159" s="747">
        <f>$G159*$H159*(1+$K159)^MAX(ROUNDUP(IFERROR(DATEDIF($I159-1,DU$15+1,"m"),)/12,)-1,)*Index!DQ$22*(DU$15&lt;=$J159)*(1-DU$12)</f>
        <v>0</v>
      </c>
      <c r="DV159" s="747">
        <f>$G159*$H159*(1+$K159)^MAX(ROUNDUP(IFERROR(DATEDIF($I159-1,DV$15+1,"m"),)/12,)-1,)*Index!DR$22*(DV$15&lt;=$J159)*(1-DV$12)</f>
        <v>0</v>
      </c>
      <c r="DW159" s="747">
        <f>$G159*$H159*(1+$K159)^MAX(ROUNDUP(IFERROR(DATEDIF($I159-1,DW$15+1,"m"),)/12,)-1,)*Index!DS$22*(DW$15&lt;=$J159)*(1-DW$12)</f>
        <v>0</v>
      </c>
      <c r="DX159" s="747">
        <f>$G159*$H159*(1+$K159)^MAX(ROUNDUP(IFERROR(DATEDIF($I159-1,DX$15+1,"m"),)/12,)-1,)*Index!DT$22*(DX$15&lt;=$J159)*(1-DX$12)</f>
        <v>0</v>
      </c>
      <c r="DY159" s="747">
        <f>$G159*$H159*(1+$K159)^MAX(ROUNDUP(IFERROR(DATEDIF($I159-1,DY$15+1,"m"),)/12,)-1,)*Index!DU$22*(DY$15&lt;=$J159)*(1-DY$12)</f>
        <v>0</v>
      </c>
      <c r="DZ159" s="747">
        <f>$G159*$H159*(1+$K159)^MAX(ROUNDUP(IFERROR(DATEDIF($I159-1,DZ$15+1,"m"),)/12,)-1,)*Index!DV$22*(DZ$15&lt;=$J159)*(1-DZ$12)</f>
        <v>0</v>
      </c>
      <c r="EA159" s="747">
        <f>$G159*$H159*(1+$K159)^MAX(ROUNDUP(IFERROR(DATEDIF($I159-1,EA$15+1,"m"),)/12,)-1,)*Index!DW$22*(EA$15&lt;=$J159)*(1-EA$12)</f>
        <v>0</v>
      </c>
      <c r="EB159" s="747">
        <f>$G159*$H159*(1+$K159)^MAX(ROUNDUP(IFERROR(DATEDIF($I159-1,EB$15+1,"m"),)/12,)-1,)*Index!DX$22*(EB$15&lt;=$J159)*(1-EB$12)</f>
        <v>0</v>
      </c>
      <c r="EC159" s="747">
        <f>$G159*$H159*(1+$K159)^MAX(ROUNDUP(IFERROR(DATEDIF($I159-1,EC$15+1,"m"),)/12,)-1,)*Index!DY$22*(EC$15&lt;=$J159)*(1-EC$12)</f>
        <v>0</v>
      </c>
      <c r="ED159" s="747">
        <f>$G159*$H159*(1+$K159)^MAX(ROUNDUP(IFERROR(DATEDIF($I159-1,ED$15+1,"m"),)/12,)-1,)*Index!DZ$22*(ED$15&lt;=$J159)*(1-ED$12)</f>
        <v>0</v>
      </c>
      <c r="EE159" s="747">
        <f>$G159*$H159*(1+$K159)^MAX(ROUNDUP(IFERROR(DATEDIF($I159-1,EE$15+1,"m"),)/12,)-1,)*Index!EA$22*(EE$15&lt;=$J159)*(1-EE$12)</f>
        <v>0</v>
      </c>
      <c r="EF159" s="747">
        <f>$G159*$H159*(1+$K159)^MAX(ROUNDUP(IFERROR(DATEDIF($I159-1,EF$15+1,"m"),)/12,)-1,)*Index!EB$22*(EF$15&lt;=$J159)*(1-EF$12)</f>
        <v>0</v>
      </c>
      <c r="EG159" s="747">
        <f>$G159*$H159*(1+$K159)^MAX(ROUNDUP(IFERROR(DATEDIF($I159-1,EG$15+1,"m"),)/12,)-1,)*Index!EC$22*(EG$15&lt;=$J159)*(1-EG$12)</f>
        <v>0</v>
      </c>
      <c r="EH159" s="747">
        <f>$G159*$H159*(1+$K159)^MAX(ROUNDUP(IFERROR(DATEDIF($I159-1,EH$15+1,"m"),)/12,)-1,)*Index!ED$22*(EH$15&lt;=$J159)*(1-EH$12)</f>
        <v>0</v>
      </c>
      <c r="EI159" s="747">
        <f>$G159*$H159*(1+$K159)^MAX(ROUNDUP(IFERROR(DATEDIF($I159-1,EI$15+1,"m"),)/12,)-1,)*Index!EE$22*(EI$15&lt;=$J159)*(1-EI$12)</f>
        <v>0</v>
      </c>
      <c r="EJ159" s="747">
        <f>$G159*$H159*(1+$K159)^MAX(ROUNDUP(IFERROR(DATEDIF($I159-1,EJ$15+1,"m"),)/12,)-1,)*Index!EF$22*(EJ$15&lt;=$J159)*(1-EJ$12)</f>
        <v>0</v>
      </c>
      <c r="EK159" s="747">
        <f>$G159*$H159*(1+$K159)^MAX(ROUNDUP(IFERROR(DATEDIF($I159-1,EK$15+1,"m"),)/12,)-1,)*Index!EG$22*(EK$15&lt;=$J159)*(1-EK$12)</f>
        <v>0</v>
      </c>
      <c r="EL159" s="747">
        <f>$G159*$H159*(1+$K159)^MAX(ROUNDUP(IFERROR(DATEDIF($I159-1,EL$15+1,"m"),)/12,)-1,)*Index!EH$22*(EL$15&lt;=$J159)*(1-EL$12)</f>
        <v>0</v>
      </c>
      <c r="EM159" s="747">
        <f>$G159*$H159*(1+$K159)^MAX(ROUNDUP(IFERROR(DATEDIF($I159-1,EM$15+1,"m"),)/12,)-1,)*Index!EI$22*(EM$15&lt;=$J159)*(1-EM$12)</f>
        <v>0</v>
      </c>
      <c r="EN159" s="747">
        <f>$G159*$H159*(1+$K159)^MAX(ROUNDUP(IFERROR(DATEDIF($I159-1,EN$15+1,"m"),)/12,)-1,)*Index!EJ$22*(EN$15&lt;=$J159)*(1-EN$12)</f>
        <v>0</v>
      </c>
      <c r="EO159" s="747">
        <f>$G159*$H159*(1+$K159)^MAX(ROUNDUP(IFERROR(DATEDIF($I159-1,EO$15+1,"m"),)/12,)-1,)*Index!EK$22*(EO$15&lt;=$J159)*(1-EO$12)</f>
        <v>0</v>
      </c>
      <c r="EP159" s="747">
        <f>$G159*$H159*(1+$K159)^MAX(ROUNDUP(IFERROR(DATEDIF($I159-1,EP$15+1,"m"),)/12,)-1,)*Index!EL$22*(EP$15&lt;=$J159)*(1-EP$12)</f>
        <v>0</v>
      </c>
      <c r="EQ159" s="747">
        <f>$G159*$H159*(1+$K159)^MAX(ROUNDUP(IFERROR(DATEDIF($I159-1,EQ$15+1,"m"),)/12,)-1,)*Index!EM$22*(EQ$15&lt;=$J159)*(1-EQ$12)</f>
        <v>0</v>
      </c>
      <c r="ER159" s="747">
        <f>$G159*$H159*(1+$K159)^MAX(ROUNDUP(IFERROR(DATEDIF($I159-1,ER$15+1,"m"),)/12,)-1,)*Index!EN$22*(ER$15&lt;=$J159)*(1-ER$12)</f>
        <v>0</v>
      </c>
      <c r="ES159" s="747">
        <f>$G159*$H159*(1+$K159)^MAX(ROUNDUP(IFERROR(DATEDIF($I159-1,ES$15+1,"m"),)/12,)-1,)*Index!EO$22*(ES$15&lt;=$J159)*(1-ES$12)</f>
        <v>0</v>
      </c>
      <c r="ET159" s="747">
        <f>$G159*$H159*(1+$K159)^MAX(ROUNDUP(IFERROR(DATEDIF($I159-1,ET$15+1,"m"),)/12,)-1,)*Index!EP$22*(ET$15&lt;=$J159)*(1-ET$12)</f>
        <v>0</v>
      </c>
      <c r="EU159" s="747">
        <f>$G159*$H159*(1+$K159)^MAX(ROUNDUP(IFERROR(DATEDIF($I159-1,EU$15+1,"m"),)/12,)-1,)*Index!EQ$22*(EU$15&lt;=$J159)*(1-EU$12)</f>
        <v>0</v>
      </c>
    </row>
    <row r="160" spans="3:151" ht="11.25" customHeight="1">
      <c r="C160" s="728" t="s">
        <v>490</v>
      </c>
      <c r="D160" s="729"/>
      <c r="E160" s="729"/>
      <c r="F160" s="729"/>
      <c r="G160" s="729"/>
      <c r="H160" s="729"/>
      <c r="I160" s="729"/>
      <c r="J160" s="729"/>
      <c r="K160" s="729"/>
      <c r="L160" s="730"/>
      <c r="M160" s="731"/>
      <c r="N160" s="732">
        <f>SUM(N161:N177)</f>
        <v>2934145.0596565609</v>
      </c>
      <c r="O160" s="733"/>
      <c r="P160" s="734">
        <f>SUM(P161:P177)</f>
        <v>0</v>
      </c>
      <c r="Q160" s="734">
        <f t="shared" ref="Q160:CB160" si="240">SUM(Q161:Q177)</f>
        <v>0</v>
      </c>
      <c r="R160" s="734">
        <f t="shared" si="240"/>
        <v>0</v>
      </c>
      <c r="S160" s="734">
        <f t="shared" si="240"/>
        <v>0</v>
      </c>
      <c r="T160" s="734">
        <f t="shared" si="240"/>
        <v>0</v>
      </c>
      <c r="U160" s="734">
        <f t="shared" si="240"/>
        <v>0</v>
      </c>
      <c r="V160" s="734">
        <f t="shared" si="240"/>
        <v>0</v>
      </c>
      <c r="W160" s="734">
        <f t="shared" si="240"/>
        <v>0</v>
      </c>
      <c r="X160" s="734">
        <f t="shared" si="240"/>
        <v>0</v>
      </c>
      <c r="Y160" s="734">
        <f t="shared" si="240"/>
        <v>0</v>
      </c>
      <c r="Z160" s="734">
        <f t="shared" si="240"/>
        <v>0</v>
      </c>
      <c r="AA160" s="734">
        <f t="shared" si="240"/>
        <v>0</v>
      </c>
      <c r="AB160" s="734">
        <f t="shared" si="240"/>
        <v>0</v>
      </c>
      <c r="AC160" s="734">
        <f t="shared" si="240"/>
        <v>0</v>
      </c>
      <c r="AD160" s="734">
        <f t="shared" si="240"/>
        <v>0</v>
      </c>
      <c r="AE160" s="734">
        <f t="shared" si="240"/>
        <v>0</v>
      </c>
      <c r="AF160" s="734">
        <f t="shared" si="240"/>
        <v>0</v>
      </c>
      <c r="AG160" s="734">
        <f t="shared" si="240"/>
        <v>0</v>
      </c>
      <c r="AH160" s="734">
        <f t="shared" si="240"/>
        <v>0</v>
      </c>
      <c r="AI160" s="734">
        <f t="shared" si="240"/>
        <v>0</v>
      </c>
      <c r="AJ160" s="734">
        <f t="shared" si="240"/>
        <v>0</v>
      </c>
      <c r="AK160" s="734">
        <f t="shared" si="240"/>
        <v>0</v>
      </c>
      <c r="AL160" s="734">
        <f t="shared" si="240"/>
        <v>0</v>
      </c>
      <c r="AM160" s="734">
        <f t="shared" si="240"/>
        <v>0</v>
      </c>
      <c r="AN160" s="734">
        <f t="shared" si="240"/>
        <v>0</v>
      </c>
      <c r="AO160" s="734">
        <f t="shared" si="240"/>
        <v>0</v>
      </c>
      <c r="AP160" s="734">
        <f t="shared" si="240"/>
        <v>0</v>
      </c>
      <c r="AQ160" s="734">
        <f t="shared" si="240"/>
        <v>0</v>
      </c>
      <c r="AR160" s="734">
        <f t="shared" si="240"/>
        <v>0</v>
      </c>
      <c r="AS160" s="734">
        <f t="shared" si="240"/>
        <v>0</v>
      </c>
      <c r="AT160" s="734">
        <f t="shared" si="240"/>
        <v>0</v>
      </c>
      <c r="AU160" s="734">
        <f t="shared" si="240"/>
        <v>0</v>
      </c>
      <c r="AV160" s="734">
        <f t="shared" si="240"/>
        <v>0</v>
      </c>
      <c r="AW160" s="734">
        <f t="shared" si="240"/>
        <v>6556.68</v>
      </c>
      <c r="AX160" s="734">
        <f t="shared" si="240"/>
        <v>6556.68</v>
      </c>
      <c r="AY160" s="734">
        <f t="shared" si="240"/>
        <v>6556.68</v>
      </c>
      <c r="AZ160" s="734">
        <f t="shared" si="240"/>
        <v>6556.68</v>
      </c>
      <c r="BA160" s="734">
        <f t="shared" si="240"/>
        <v>6556.68</v>
      </c>
      <c r="BB160" s="734">
        <f t="shared" si="240"/>
        <v>6556.68</v>
      </c>
      <c r="BC160" s="734">
        <f t="shared" si="240"/>
        <v>8183.803407286523</v>
      </c>
      <c r="BD160" s="734">
        <f t="shared" si="240"/>
        <v>11089.42940922158</v>
      </c>
      <c r="BE160" s="734">
        <f t="shared" si="240"/>
        <v>11089.42940922158</v>
      </c>
      <c r="BF160" s="734">
        <f t="shared" si="240"/>
        <v>11089.42940922158</v>
      </c>
      <c r="BG160" s="734">
        <f t="shared" si="240"/>
        <v>11148.115553224217</v>
      </c>
      <c r="BH160" s="734">
        <f t="shared" si="240"/>
        <v>11148.115553224217</v>
      </c>
      <c r="BI160" s="734">
        <f t="shared" si="240"/>
        <v>11148.115553224217</v>
      </c>
      <c r="BJ160" s="734">
        <f t="shared" si="240"/>
        <v>11148.115553224217</v>
      </c>
      <c r="BK160" s="734">
        <f t="shared" si="240"/>
        <v>11148.115553224217</v>
      </c>
      <c r="BL160" s="734">
        <f t="shared" si="240"/>
        <v>11148.115553224217</v>
      </c>
      <c r="BM160" s="734">
        <f t="shared" si="240"/>
        <v>11148.115553224217</v>
      </c>
      <c r="BN160" s="734">
        <f t="shared" si="240"/>
        <v>11220.756203272593</v>
      </c>
      <c r="BO160" s="734">
        <f t="shared" si="240"/>
        <v>11261.434288454755</v>
      </c>
      <c r="BP160" s="734">
        <f t="shared" si="240"/>
        <v>11261.434288454755</v>
      </c>
      <c r="BQ160" s="734">
        <f t="shared" si="240"/>
        <v>11261.434288454755</v>
      </c>
      <c r="BR160" s="734">
        <f t="shared" si="240"/>
        <v>11261.434288454755</v>
      </c>
      <c r="BS160" s="734">
        <f t="shared" si="240"/>
        <v>11262.901442054821</v>
      </c>
      <c r="BT160" s="734">
        <f t="shared" si="240"/>
        <v>11262.901442054821</v>
      </c>
      <c r="BU160" s="734">
        <f t="shared" si="240"/>
        <v>11262.901442054821</v>
      </c>
      <c r="BV160" s="734">
        <f t="shared" si="240"/>
        <v>11262.901442054821</v>
      </c>
      <c r="BW160" s="734">
        <f t="shared" si="240"/>
        <v>11262.901442054821</v>
      </c>
      <c r="BX160" s="734">
        <f t="shared" si="240"/>
        <v>11262.901442054821</v>
      </c>
      <c r="BY160" s="734">
        <f t="shared" si="240"/>
        <v>11262.901442054821</v>
      </c>
      <c r="BZ160" s="734">
        <f t="shared" si="240"/>
        <v>11337.358108354407</v>
      </c>
      <c r="CA160" s="734">
        <f t="shared" si="240"/>
        <v>11379.053145666125</v>
      </c>
      <c r="CB160" s="734">
        <f t="shared" si="240"/>
        <v>11379.053145666125</v>
      </c>
      <c r="CC160" s="734">
        <f t="shared" ref="CC160:EN160" si="241">SUM(CC161:CC177)</f>
        <v>11379.053145666125</v>
      </c>
      <c r="CD160" s="734">
        <f t="shared" si="241"/>
        <v>11379.053145666125</v>
      </c>
      <c r="CE160" s="734">
        <f t="shared" si="241"/>
        <v>11380.556978106191</v>
      </c>
      <c r="CF160" s="734">
        <f t="shared" si="241"/>
        <v>11380.556978106191</v>
      </c>
      <c r="CG160" s="734">
        <f t="shared" si="241"/>
        <v>11380.556978106191</v>
      </c>
      <c r="CH160" s="734">
        <f t="shared" si="241"/>
        <v>11380.556978106191</v>
      </c>
      <c r="CI160" s="734">
        <f t="shared" si="241"/>
        <v>11380.556978106191</v>
      </c>
      <c r="CJ160" s="734">
        <f t="shared" si="241"/>
        <v>11380.556978106191</v>
      </c>
      <c r="CK160" s="734">
        <f t="shared" si="241"/>
        <v>11380.556978106191</v>
      </c>
      <c r="CL160" s="734">
        <f t="shared" si="241"/>
        <v>11456.875061063267</v>
      </c>
      <c r="CM160" s="734">
        <f t="shared" si="241"/>
        <v>11499.612474307776</v>
      </c>
      <c r="CN160" s="734">
        <f t="shared" si="241"/>
        <v>11499.612474307776</v>
      </c>
      <c r="CO160" s="734">
        <f t="shared" si="241"/>
        <v>11499.612474307776</v>
      </c>
      <c r="CP160" s="734">
        <f t="shared" si="241"/>
        <v>11499.612474307776</v>
      </c>
      <c r="CQ160" s="734">
        <f t="shared" si="241"/>
        <v>11501.153902558846</v>
      </c>
      <c r="CR160" s="734">
        <f t="shared" si="241"/>
        <v>11501.153902558846</v>
      </c>
      <c r="CS160" s="734">
        <f t="shared" si="241"/>
        <v>11501.153902558846</v>
      </c>
      <c r="CT160" s="734">
        <f t="shared" si="241"/>
        <v>11501.153902558846</v>
      </c>
      <c r="CU160" s="734">
        <f t="shared" si="241"/>
        <v>11501.153902558846</v>
      </c>
      <c r="CV160" s="734">
        <f t="shared" si="241"/>
        <v>11501.153902558846</v>
      </c>
      <c r="CW160" s="734">
        <f t="shared" si="241"/>
        <v>11501.153902558846</v>
      </c>
      <c r="CX160" s="734">
        <f t="shared" si="241"/>
        <v>11579.379937589849</v>
      </c>
      <c r="CY160" s="734">
        <f t="shared" si="241"/>
        <v>11623.185786165472</v>
      </c>
      <c r="CZ160" s="734">
        <f t="shared" si="241"/>
        <v>11623.185786165472</v>
      </c>
      <c r="DA160" s="734">
        <f t="shared" si="241"/>
        <v>11623.185786165472</v>
      </c>
      <c r="DB160" s="734">
        <f t="shared" si="241"/>
        <v>11623.185786165472</v>
      </c>
      <c r="DC160" s="734">
        <f t="shared" si="241"/>
        <v>72313.694172565214</v>
      </c>
      <c r="DD160" s="734">
        <f t="shared" si="241"/>
        <v>72313.694172565214</v>
      </c>
      <c r="DE160" s="734">
        <f t="shared" si="241"/>
        <v>72313.694172565214</v>
      </c>
      <c r="DF160" s="734">
        <f t="shared" si="241"/>
        <v>72313.694172565214</v>
      </c>
      <c r="DG160" s="734">
        <f t="shared" si="241"/>
        <v>72313.694172565214</v>
      </c>
      <c r="DH160" s="734">
        <f t="shared" si="241"/>
        <v>72313.694172565214</v>
      </c>
      <c r="DI160" s="734">
        <f t="shared" si="241"/>
        <v>72326.307217595284</v>
      </c>
      <c r="DJ160" s="734">
        <f t="shared" si="241"/>
        <v>72654.965912808344</v>
      </c>
      <c r="DK160" s="734">
        <f t="shared" si="241"/>
        <v>72903.897369978789</v>
      </c>
      <c r="DL160" s="734">
        <f t="shared" si="241"/>
        <v>77667.903795660881</v>
      </c>
      <c r="DM160" s="734">
        <f t="shared" si="241"/>
        <v>77667.903795660881</v>
      </c>
      <c r="DN160" s="734">
        <f t="shared" si="241"/>
        <v>77924.190014745342</v>
      </c>
      <c r="DO160" s="734">
        <f t="shared" si="241"/>
        <v>78154.786332081218</v>
      </c>
      <c r="DP160" s="734">
        <f t="shared" si="241"/>
        <v>78154.786332081218</v>
      </c>
      <c r="DQ160" s="734">
        <f t="shared" si="241"/>
        <v>78154.786332081218</v>
      </c>
      <c r="DR160" s="734">
        <f t="shared" si="241"/>
        <v>78154.786332081218</v>
      </c>
      <c r="DS160" s="734">
        <f t="shared" si="241"/>
        <v>78154.786332081218</v>
      </c>
      <c r="DT160" s="734">
        <f t="shared" si="241"/>
        <v>78154.786332081218</v>
      </c>
      <c r="DU160" s="734">
        <f t="shared" si="241"/>
        <v>78167.714703237056</v>
      </c>
      <c r="DV160" s="734">
        <f t="shared" si="241"/>
        <v>78504.589865830436</v>
      </c>
      <c r="DW160" s="734">
        <f t="shared" si="241"/>
        <v>78759.744609430156</v>
      </c>
      <c r="DX160" s="734">
        <f t="shared" si="241"/>
        <v>79445.684390552386</v>
      </c>
      <c r="DY160" s="734">
        <f t="shared" si="241"/>
        <v>79445.684390552386</v>
      </c>
      <c r="DZ160" s="734">
        <f t="shared" si="241"/>
        <v>79708.377765113968</v>
      </c>
      <c r="EA160" s="734">
        <f t="shared" si="241"/>
        <v>79944.738990383266</v>
      </c>
      <c r="EB160" s="734">
        <f t="shared" si="241"/>
        <v>79944.738990383266</v>
      </c>
      <c r="EC160" s="734">
        <f t="shared" si="241"/>
        <v>79944.738990383266</v>
      </c>
      <c r="ED160" s="734">
        <f t="shared" si="241"/>
        <v>79944.738990383266</v>
      </c>
      <c r="EE160" s="734">
        <f t="shared" si="241"/>
        <v>79944.738990383266</v>
      </c>
      <c r="EF160" s="734">
        <f t="shared" si="241"/>
        <v>79944.738990383266</v>
      </c>
      <c r="EG160" s="734">
        <f t="shared" si="241"/>
        <v>0</v>
      </c>
      <c r="EH160" s="734">
        <f t="shared" si="241"/>
        <v>0</v>
      </c>
      <c r="EI160" s="734">
        <f t="shared" si="241"/>
        <v>0</v>
      </c>
      <c r="EJ160" s="734">
        <f t="shared" si="241"/>
        <v>0</v>
      </c>
      <c r="EK160" s="734">
        <f t="shared" si="241"/>
        <v>0</v>
      </c>
      <c r="EL160" s="734">
        <f t="shared" si="241"/>
        <v>0</v>
      </c>
      <c r="EM160" s="734">
        <f t="shared" si="241"/>
        <v>0</v>
      </c>
      <c r="EN160" s="734">
        <f t="shared" si="241"/>
        <v>0</v>
      </c>
      <c r="EO160" s="734">
        <f t="shared" ref="EO160:EU160" si="242">SUM(EO161:EO177)</f>
        <v>0</v>
      </c>
      <c r="EP160" s="734">
        <f t="shared" si="242"/>
        <v>0</v>
      </c>
      <c r="EQ160" s="734">
        <f t="shared" si="242"/>
        <v>0</v>
      </c>
      <c r="ER160" s="734">
        <f t="shared" si="242"/>
        <v>0</v>
      </c>
      <c r="ES160" s="734">
        <f t="shared" si="242"/>
        <v>0</v>
      </c>
      <c r="ET160" s="734">
        <f t="shared" si="242"/>
        <v>0</v>
      </c>
      <c r="EU160" s="734">
        <f t="shared" si="242"/>
        <v>0</v>
      </c>
    </row>
    <row r="161" spans="3:151" ht="11.25" customHeight="1">
      <c r="C161" s="735"/>
      <c r="D161" s="736" t="str">
        <f>'A&amp;R'!V6</f>
        <v>옥상</v>
      </c>
      <c r="E161" s="737" t="s">
        <v>850</v>
      </c>
      <c r="F161" s="737" t="str">
        <f>'A&amp;R'!X6</f>
        <v>태양광시설</v>
      </c>
      <c r="G161" s="780">
        <f>'A&amp;R'!AD6/1000</f>
        <v>0</v>
      </c>
      <c r="H161" s="738">
        <f>'A&amp;R'!Y6</f>
        <v>0</v>
      </c>
      <c r="I161" s="739">
        <f>'A&amp;R'!AA6</f>
        <v>49979</v>
      </c>
      <c r="J161" s="739"/>
      <c r="K161" s="753">
        <f>'A&amp;R'!AF6</f>
        <v>2.5000000000000001E-2</v>
      </c>
      <c r="L161" s="740"/>
      <c r="M161" s="741"/>
      <c r="N161" s="742">
        <f>SUM(P161:EU161)</f>
        <v>0</v>
      </c>
      <c r="O161" s="733"/>
      <c r="P161" s="742">
        <f>$G161*$H161*(1+$K161)^MAX(ROUNDUP(IFERROR(DATEDIF($I143-1,P$15+1,"m"),)/12,)-1,)*Index!L$22*(P$15&gt;$I161)*(1-P$12)</f>
        <v>0</v>
      </c>
      <c r="Q161" s="742">
        <f>$G161*$H161*(1+$K161)^MAX(ROUNDUP(IFERROR(DATEDIF($I143-1,Q$15+1,"m"),)/12,)-1,)*Index!M$22*(Q$15&gt;$I161)*(1-Q$12)</f>
        <v>0</v>
      </c>
      <c r="R161" s="742">
        <f>$G161*$H161*(1+$K161)^MAX(ROUNDUP(IFERROR(DATEDIF($I143-1,R$15+1,"m"),)/12,)-1,)*Index!N$22*(R$15&gt;$I161)*(1-R$12)</f>
        <v>0</v>
      </c>
      <c r="S161" s="742">
        <f>$G161*$H161*(1+$K161)^MAX(ROUNDUP(IFERROR(DATEDIF($I143-1,S$15+1,"m"),)/12,)-1,)*Index!O$22*(S$15&gt;$I161)*(1-S$12)</f>
        <v>0</v>
      </c>
      <c r="T161" s="742">
        <f>$G161*$H161*(1+$K161)^MAX(ROUNDUP(IFERROR(DATEDIF($I143-1,T$15+1,"m"),)/12,)-1,)*Index!P$22*(T$15&gt;$I161)*(1-T$12)</f>
        <v>0</v>
      </c>
      <c r="U161" s="742">
        <f>$G161*$H161*(1+$K161)^MAX(ROUNDUP(IFERROR(DATEDIF($I143-1,U$15+1,"m"),)/12,)-1,)*Index!Q$22*(U$15&gt;$I161)*(1-U$12)</f>
        <v>0</v>
      </c>
      <c r="V161" s="742">
        <f>$G161*$H161*(1+$K161)^MAX(ROUNDUP(IFERROR(DATEDIF($I143-1,V$15+1,"m"),)/12,)-1,)*Index!R$22*(V$15&gt;$I161)*(1-V$12)</f>
        <v>0</v>
      </c>
      <c r="W161" s="742">
        <f>$G161*$H161*(1+$K161)^MAX(ROUNDUP(IFERROR(DATEDIF($I143-1,W$15+1,"m"),)/12,)-1,)*Index!S$22*(W$15&gt;$I161)*(1-W$12)</f>
        <v>0</v>
      </c>
      <c r="X161" s="742">
        <f>$G161*$H161*(1+$K161)^MAX(ROUNDUP(IFERROR(DATEDIF($I143-1,X$15+1,"m"),)/12,)-1,)*Index!T$22*(X$15&gt;$I161)*(1-X$12)</f>
        <v>0</v>
      </c>
      <c r="Y161" s="742">
        <f>$G161*$H161*(1+$K161)^MAX(ROUNDUP(IFERROR(DATEDIF($I143-1,Y$15+1,"m"),)/12,)-1,)*Index!U$22*(Y$15&gt;$I161)*(1-Y$12)</f>
        <v>0</v>
      </c>
      <c r="Z161" s="742">
        <f>$G161*$H161*(1+$K161)^MAX(ROUNDUP(IFERROR(DATEDIF($I143-1,Z$15+1,"m"),)/12,)-1,)*Index!V$22*(Z$15&gt;$I161)*(1-Z$12)</f>
        <v>0</v>
      </c>
      <c r="AA161" s="742">
        <f>$G161*$H161*(1+$K161)^MAX(ROUNDUP(IFERROR(DATEDIF($I143-1,AA$15+1,"m"),)/12,)-1,)*Index!W$22*(AA$15&gt;$I161)*(1-AA$12)</f>
        <v>0</v>
      </c>
      <c r="AB161" s="742">
        <f>$G161*$H161*(1+$K161)^MAX(ROUNDUP(IFERROR(DATEDIF($I143-1,AB$15+1,"m"),)/12,)-1,)*Index!X$22*(AB$15&gt;$I161)*(1-AB$12)</f>
        <v>0</v>
      </c>
      <c r="AC161" s="742">
        <f>$G161*$H161*(1+$K161)^MAX(ROUNDUP(IFERROR(DATEDIF($I143-1,AC$15+1,"m"),)/12,)-1,)*Index!Y$22*(AC$15&gt;$I161)*(1-AC$12)</f>
        <v>0</v>
      </c>
      <c r="AD161" s="742">
        <f>$G161*$H161*(1+$K161)^MAX(ROUNDUP(IFERROR(DATEDIF($I143-1,AD$15+1,"m"),)/12,)-1,)*Index!Z$22*(AD$15&gt;$I161)*(1-AD$12)</f>
        <v>0</v>
      </c>
      <c r="AE161" s="742">
        <f>$G161*$H161*(1+$K161)^MAX(ROUNDUP(IFERROR(DATEDIF($I143-1,AE$15+1,"m"),)/12,)-1,)*Index!AA$22*(AE$15&gt;$I161)*(1-AE$12)</f>
        <v>0</v>
      </c>
      <c r="AF161" s="742">
        <f>$G161*$H161*(1+$K161)^MAX(ROUNDUP(IFERROR(DATEDIF($I143-1,AF$15+1,"m"),)/12,)-1,)*Index!AB$22*(AF$15&gt;$I161)*(1-AF$12)</f>
        <v>0</v>
      </c>
      <c r="AG161" s="742">
        <f>$G161*$H161*(1+$K161)^MAX(ROUNDUP(IFERROR(DATEDIF($I143-1,AG$15+1,"m"),)/12,)-1,)*Index!AC$22*(AG$15&gt;$I161)*(1-AG$12)</f>
        <v>0</v>
      </c>
      <c r="AH161" s="742">
        <f>$G161*$H161*(1+$K161)^MAX(ROUNDUP(IFERROR(DATEDIF($I143-1,AH$15+1,"m"),)/12,)-1,)*Index!AD$22*(AH$15&gt;$I161)*(1-AH$12)</f>
        <v>0</v>
      </c>
      <c r="AI161" s="742">
        <f>$G161*$H161*(1+$K161)^MAX(ROUNDUP(IFERROR(DATEDIF($I143-1,AI$15+1,"m"),)/12,)-1,)*Index!AE$22*(AI$15&gt;$I161)*(1-AI$12)</f>
        <v>0</v>
      </c>
      <c r="AJ161" s="742">
        <f>$G161*$H161*(1+$K161)^MAX(ROUNDUP(IFERROR(DATEDIF($I143-1,AJ$15+1,"m"),)/12,)-1,)*Index!AF$22*(AJ$15&gt;$I161)*(1-AJ$12)</f>
        <v>0</v>
      </c>
      <c r="AK161" s="742">
        <f>$G161*$H161*(1+$K161)^MAX(ROUNDUP(IFERROR(DATEDIF($I143-1,AK$15+1,"m"),)/12,)-1,)*Index!AG$22*(AK$15&gt;$I161)*(1-AK$12)</f>
        <v>0</v>
      </c>
      <c r="AL161" s="742">
        <f>$G161*$H161*(1+$K161)^MAX(ROUNDUP(IFERROR(DATEDIF($I143-1,AL$15+1,"m"),)/12,)-1,)*Index!AH$22*(AL$15&gt;$I161)*(1-AL$12)</f>
        <v>0</v>
      </c>
      <c r="AM161" s="742">
        <f>$G161*$H161*(1+$K161)^MAX(ROUNDUP(IFERROR(DATEDIF($I143-1,AM$15+1,"m"),)/12,)-1,)*Index!AI$22*(AM$15&gt;$I161)*(1-AM$12)</f>
        <v>0</v>
      </c>
      <c r="AN161" s="742">
        <f>$G161*$H161*(1+$K161)^MAX(ROUNDUP(IFERROR(DATEDIF($I143-1,AN$15+1,"m"),)/12,)-1,)*Index!AJ$22*(AN$15&gt;$I161)*(1-AN$12)</f>
        <v>0</v>
      </c>
      <c r="AO161" s="742">
        <f>$G161*$H161*(1+$K161)^MAX(ROUNDUP(IFERROR(DATEDIF($I143-1,AO$15+1,"m"),)/12,)-1,)*Index!AK$22*(AO$15&gt;$I161)*(1-AO$12)</f>
        <v>0</v>
      </c>
      <c r="AP161" s="742">
        <f>$G161*$H161*(1+$K161)^MAX(ROUNDUP(IFERROR(DATEDIF($I143-1,AP$15+1,"m"),)/12,)-1,)*Index!AL$22*(AP$15&gt;$I161)*(1-AP$12)</f>
        <v>0</v>
      </c>
      <c r="AQ161" s="742">
        <f>$G161*$H161*(1+$K161)^MAX(ROUNDUP(IFERROR(DATEDIF($I143-1,AQ$15+1,"m"),)/12,)-1,)*Index!AM$22*(AQ$15&gt;$I161)*(1-AQ$12)</f>
        <v>0</v>
      </c>
      <c r="AR161" s="742">
        <f>$G161*$H161*(1+$K161)^MAX(ROUNDUP(IFERROR(DATEDIF($I143-1,AR$15+1,"m"),)/12,)-1,)*Index!AN$22*(AR$15&gt;$I161)*(1-AR$12)</f>
        <v>0</v>
      </c>
      <c r="AS161" s="742">
        <f>$G161*$H161*(1+$K161)^MAX(ROUNDUP(IFERROR(DATEDIF($I143-1,AS$15+1,"m"),)/12,)-1,)*Index!AO$22*(AS$15&gt;$I161)*(1-AS$12)</f>
        <v>0</v>
      </c>
      <c r="AT161" s="742">
        <f>$G161*$H161*(1+$K161)^MAX(ROUNDUP(IFERROR(DATEDIF($I143-1,AT$15+1,"m"),)/12,)-1,)*Index!AP$22*(AT$15&gt;$I161)*(1-AT$12)</f>
        <v>0</v>
      </c>
      <c r="AU161" s="742">
        <f>$G161*$H161*(1+$K161)^MAX(ROUNDUP(IFERROR(DATEDIF($I143-1,AU$15+1,"m"),)/12,)-1,)*Index!AQ$22*(AU$15&gt;$I161)*(1-AU$12)</f>
        <v>0</v>
      </c>
      <c r="AV161" s="742">
        <f>$G161*$H161*(1+$K161)^MAX(ROUNDUP(IFERROR(DATEDIF($I143-1,AV$15+1,"m"),)/12,)-1,)*Index!AR$22*(AV$15&gt;$I161)*(1-AV$12)</f>
        <v>0</v>
      </c>
      <c r="AW161" s="742">
        <f>$G161*$H161*(1+$K161)^MAX(ROUNDUP(IFERROR(DATEDIF($I143-1,AW$15+1,"m"),)/12,)-1,)*Index!AS$22*(AW$15&gt;$I161)*(1-AW$12)</f>
        <v>0</v>
      </c>
      <c r="AX161" s="742">
        <f>$G161*$H161*(1+$K161)^MAX(ROUNDUP(IFERROR(DATEDIF($I143-1,AX$15+1,"m"),)/12,)-1,)*Index!AT$22*(AX$15&gt;$I161)*(1-AX$12)</f>
        <v>0</v>
      </c>
      <c r="AY161" s="742">
        <f>$G161*$H161*(1+$K161)^MAX(ROUNDUP(IFERROR(DATEDIF($I143-1,AY$15+1,"m"),)/12,)-1,)*Index!AU$22*(AY$15&gt;$I161)*(1-AY$12)</f>
        <v>0</v>
      </c>
      <c r="AZ161" s="742">
        <f>$G161*$H161*(1+$K161)^MAX(ROUNDUP(IFERROR(DATEDIF($I143-1,AZ$15+1,"m"),)/12,)-1,)*Index!AV$22*(AZ$15&gt;$I161)*(1-AZ$12)</f>
        <v>0</v>
      </c>
      <c r="BA161" s="742">
        <f>$G161*$H161*(1+$K161)^MAX(ROUNDUP(IFERROR(DATEDIF($I143-1,BA$15+1,"m"),)/12,)-1,)*Index!AW$22*(BA$15&gt;$I161)*(1-BA$12)</f>
        <v>0</v>
      </c>
      <c r="BB161" s="742">
        <f>$G161*$H161*(1+$K161)^MAX(ROUNDUP(IFERROR(DATEDIF($I143-1,BB$15+1,"m"),)/12,)-1,)*Index!AX$22*(BB$15&gt;$I161)*(1-BB$12)</f>
        <v>0</v>
      </c>
      <c r="BC161" s="742">
        <f>$G161*$H161*(1+$K161)^MAX(ROUNDUP(IFERROR(DATEDIF($I143-1,BC$15+1,"m"),)/12,)-1,)*Index!AY$22*(BC$15&gt;$I161)*(1-BC$12)</f>
        <v>0</v>
      </c>
      <c r="BD161" s="742">
        <f>$G161*$H161*(1+$K161)^MAX(ROUNDUP(IFERROR(DATEDIF($I143-1,BD$15+1,"m"),)/12,)-1,)*Index!AZ$22*(BD$15&gt;$I161)*(1-BD$12)</f>
        <v>0</v>
      </c>
      <c r="BE161" s="742">
        <f>$G161*$H161*(1+$K161)^MAX(ROUNDUP(IFERROR(DATEDIF($I143-1,BE$15+1,"m"),)/12,)-1,)*Index!BA$22*(BE$15&gt;$I161)*(1-BE$12)</f>
        <v>0</v>
      </c>
      <c r="BF161" s="742">
        <f>$G161*$H161*(1+$K161)^MAX(ROUNDUP(IFERROR(DATEDIF($I143-1,BF$15+1,"m"),)/12,)-1,)*Index!BB$22*(BF$15&gt;$I161)*(1-BF$12)</f>
        <v>0</v>
      </c>
      <c r="BG161" s="742">
        <f>$G161*$H161*(1+$K161)^MAX(ROUNDUP(IFERROR(DATEDIF($I143-1,BG$15+1,"m"),)/12,)-1,)*Index!BC$22*(BG$15&gt;$I161)*(1-BG$12)</f>
        <v>0</v>
      </c>
      <c r="BH161" s="742">
        <f>$G161*$H161*(1+$K161)^MAX(ROUNDUP(IFERROR(DATEDIF($I143-1,BH$15+1,"m"),)/12,)-1,)*Index!BD$22*(BH$15&gt;$I161)*(1-BH$12)</f>
        <v>0</v>
      </c>
      <c r="BI161" s="742">
        <f>$G161*$H161*(1+$K161)^MAX(ROUNDUP(IFERROR(DATEDIF($I143-1,BI$15+1,"m"),)/12,)-1,)*Index!BE$22*(BI$15&gt;$I161)*(1-BI$12)</f>
        <v>0</v>
      </c>
      <c r="BJ161" s="742">
        <f>$G161*$H161*(1+$K161)^MAX(ROUNDUP(IFERROR(DATEDIF($I143-1,BJ$15+1,"m"),)/12,)-1,)*Index!BF$22*(BJ$15&gt;$I161)*(1-BJ$12)</f>
        <v>0</v>
      </c>
      <c r="BK161" s="742">
        <f>$G161*$H161*(1+$K161)^MAX(ROUNDUP(IFERROR(DATEDIF($I143-1,BK$15+1,"m"),)/12,)-1,)*Index!BG$22*(BK$15&gt;$I161)*(1-BK$12)</f>
        <v>0</v>
      </c>
      <c r="BL161" s="742">
        <f>$G161*$H161*(1+$K161)^MAX(ROUNDUP(IFERROR(DATEDIF($I143-1,BL$15+1,"m"),)/12,)-1,)*Index!BH$22*(BL$15&gt;$I161)*(1-BL$12)</f>
        <v>0</v>
      </c>
      <c r="BM161" s="742">
        <f>$G161*$H161*(1+$K161)^MAX(ROUNDUP(IFERROR(DATEDIF($I143-1,BM$15+1,"m"),)/12,)-1,)*Index!BI$22*(BM$15&gt;$I161)*(1-BM$12)</f>
        <v>0</v>
      </c>
      <c r="BN161" s="742">
        <f>$G161*$H161*(1+$K161)^MAX(ROUNDUP(IFERROR(DATEDIF($I143-1,BN$15+1,"m"),)/12,)-1,)*Index!BJ$22*(BN$15&gt;$I161)*(1-BN$12)</f>
        <v>0</v>
      </c>
      <c r="BO161" s="742">
        <f>$G161*$H161*(1+$K161)^MAX(ROUNDUP(IFERROR(DATEDIF($I143-1,BO$15+1,"m"),)/12,)-1,)*Index!BK$22*(BO$15&gt;$I161)*(1-BO$12)</f>
        <v>0</v>
      </c>
      <c r="BP161" s="742">
        <f>$G161*$H161*(1+$K161)^MAX(ROUNDUP(IFERROR(DATEDIF($I143-1,BP$15+1,"m"),)/12,)-1,)*Index!BL$22*(BP$15&gt;$I161)*(1-BP$12)</f>
        <v>0</v>
      </c>
      <c r="BQ161" s="742">
        <f>$G161*$H161*(1+$K161)^MAX(ROUNDUP(IFERROR(DATEDIF($I143-1,BQ$15+1,"m"),)/12,)-1,)*Index!BM$22*(BQ$15&gt;$I161)*(1-BQ$12)</f>
        <v>0</v>
      </c>
      <c r="BR161" s="742">
        <f>$G161*$H161*(1+$K161)^MAX(ROUNDUP(IFERROR(DATEDIF($I143-1,BR$15+1,"m"),)/12,)-1,)*Index!BN$22*(BR$15&gt;$I161)*(1-BR$12)</f>
        <v>0</v>
      </c>
      <c r="BS161" s="742">
        <f>$G161*$H161*(1+$K161)^MAX(ROUNDUP(IFERROR(DATEDIF($I143-1,BS$15+1,"m"),)/12,)-1,)*Index!BO$22*(BS$15&gt;$I161)*(1-BS$12)</f>
        <v>0</v>
      </c>
      <c r="BT161" s="742">
        <f>$G161*$H161*(1+$K161)^MAX(ROUNDUP(IFERROR(DATEDIF($I143-1,BT$15+1,"m"),)/12,)-1,)*Index!BP$22*(BT$15&gt;$I161)*(1-BT$12)</f>
        <v>0</v>
      </c>
      <c r="BU161" s="742">
        <f>$G161*$H161*(1+$K161)^MAX(ROUNDUP(IFERROR(DATEDIF($I143-1,BU$15+1,"m"),)/12,)-1,)*Index!BQ$22*(BU$15&gt;$I161)*(1-BU$12)</f>
        <v>0</v>
      </c>
      <c r="BV161" s="742">
        <f>$G161*$H161*(1+$K161)^MAX(ROUNDUP(IFERROR(DATEDIF($I143-1,BV$15+1,"m"),)/12,)-1,)*Index!BR$22*(BV$15&gt;$I161)*(1-BV$12)</f>
        <v>0</v>
      </c>
      <c r="BW161" s="742">
        <f>$G161*$H161*(1+$K161)^MAX(ROUNDUP(IFERROR(DATEDIF($I143-1,BW$15+1,"m"),)/12,)-1,)*Index!BS$22*(BW$15&gt;$I161)*(1-BW$12)</f>
        <v>0</v>
      </c>
      <c r="BX161" s="742">
        <f>$G161*$H161*(1+$K161)^MAX(ROUNDUP(IFERROR(DATEDIF($I143-1,BX$15+1,"m"),)/12,)-1,)*Index!BT$22*(BX$15&gt;$I161)*(1-BX$12)</f>
        <v>0</v>
      </c>
      <c r="BY161" s="742">
        <f>$G161*$H161*(1+$K161)^MAX(ROUNDUP(IFERROR(DATEDIF($I143-1,BY$15+1,"m"),)/12,)-1,)*Index!BU$22*(BY$15&gt;$I161)*(1-BY$12)</f>
        <v>0</v>
      </c>
      <c r="BZ161" s="742">
        <f>$G161*$H161*(1+$K161)^MAX(ROUNDUP(IFERROR(DATEDIF($I143-1,BZ$15+1,"m"),)/12,)-1,)*Index!BV$22*(BZ$15&gt;$I161)*(1-BZ$12)</f>
        <v>0</v>
      </c>
      <c r="CA161" s="742">
        <f>$G161*$H161*(1+$K161)^MAX(ROUNDUP(IFERROR(DATEDIF($I143-1,CA$15+1,"m"),)/12,)-1,)*Index!BW$22*(CA$15&gt;$I161)*(1-CA$12)</f>
        <v>0</v>
      </c>
      <c r="CB161" s="742">
        <f>$G161*$H161*(1+$K161)^MAX(ROUNDUP(IFERROR(DATEDIF($I143-1,CB$15+1,"m"),)/12,)-1,)*Index!BX$22*(CB$15&gt;$I161)*(1-CB$12)</f>
        <v>0</v>
      </c>
      <c r="CC161" s="742">
        <f>$G161*$H161*(1+$K161)^MAX(ROUNDUP(IFERROR(DATEDIF($I143-1,CC$15+1,"m"),)/12,)-1,)*Index!BY$22*(CC$15&gt;$I161)*(1-CC$12)</f>
        <v>0</v>
      </c>
      <c r="CD161" s="742">
        <f>$G161*$H161*(1+$K161)^MAX(ROUNDUP(IFERROR(DATEDIF($I143-1,CD$15+1,"m"),)/12,)-1,)*Index!BZ$22*(CD$15&gt;$I161)*(1-CD$12)</f>
        <v>0</v>
      </c>
      <c r="CE161" s="742">
        <f>$G161*$H161*(1+$K161)^MAX(ROUNDUP(IFERROR(DATEDIF($I143-1,CE$15+1,"m"),)/12,)-1,)*Index!CA$22*(CE$15&gt;$I161)*(1-CE$12)</f>
        <v>0</v>
      </c>
      <c r="CF161" s="742">
        <f>$G161*$H161*(1+$K161)^MAX(ROUNDUP(IFERROR(DATEDIF($I143-1,CF$15+1,"m"),)/12,)-1,)*Index!CB$22*(CF$15&gt;$I161)*(1-CF$12)</f>
        <v>0</v>
      </c>
      <c r="CG161" s="742">
        <f>$G161*$H161*(1+$K161)^MAX(ROUNDUP(IFERROR(DATEDIF($I143-1,CG$15+1,"m"),)/12,)-1,)*Index!CC$22*(CG$15&gt;$I161)*(1-CG$12)</f>
        <v>0</v>
      </c>
      <c r="CH161" s="742">
        <f>$G161*$H161*(1+$K161)^MAX(ROUNDUP(IFERROR(DATEDIF($I143-1,CH$15+1,"m"),)/12,)-1,)*Index!CD$22*(CH$15&gt;$I161)*(1-CH$12)</f>
        <v>0</v>
      </c>
      <c r="CI161" s="742">
        <f>$G161*$H161*(1+$K161)^MAX(ROUNDUP(IFERROR(DATEDIF($I143-1,CI$15+1,"m"),)/12,)-1,)*Index!CE$22*(CI$15&gt;$I161)*(1-CI$12)</f>
        <v>0</v>
      </c>
      <c r="CJ161" s="742">
        <f>$G161*$H161*(1+$K161)^MAX(ROUNDUP(IFERROR(DATEDIF($I143-1,CJ$15+1,"m"),)/12,)-1,)*Index!CF$22*(CJ$15&gt;$I161)*(1-CJ$12)</f>
        <v>0</v>
      </c>
      <c r="CK161" s="742">
        <f>$G161*$H161*(1+$K161)^MAX(ROUNDUP(IFERROR(DATEDIF($I143-1,CK$15+1,"m"),)/12,)-1,)*Index!CG$22*(CK$15&gt;$I161)*(1-CK$12)</f>
        <v>0</v>
      </c>
      <c r="CL161" s="742">
        <f>$G161*$H161*(1+$K161)^MAX(ROUNDUP(IFERROR(DATEDIF($I143-1,CL$15+1,"m"),)/12,)-1,)*Index!CH$22*(CL$15&gt;$I161)*(1-CL$12)</f>
        <v>0</v>
      </c>
      <c r="CM161" s="742">
        <f>$G161*$H161*(1+$K161)^MAX(ROUNDUP(IFERROR(DATEDIF($I143-1,CM$15+1,"m"),)/12,)-1,)*Index!CI$22*(CM$15&gt;$I161)*(1-CM$12)</f>
        <v>0</v>
      </c>
      <c r="CN161" s="742">
        <f>$G161*$H161*(1+$K161)^MAX(ROUNDUP(IFERROR(DATEDIF($I143-1,CN$15+1,"m"),)/12,)-1,)*Index!CJ$22*(CN$15&gt;$I161)*(1-CN$12)</f>
        <v>0</v>
      </c>
      <c r="CO161" s="742">
        <f>$G161*$H161*(1+$K161)^MAX(ROUNDUP(IFERROR(DATEDIF($I143-1,CO$15+1,"m"),)/12,)-1,)*Index!CK$22*(CO$15&gt;$I161)*(1-CO$12)</f>
        <v>0</v>
      </c>
      <c r="CP161" s="742">
        <f>$G161*$H161*(1+$K161)^MAX(ROUNDUP(IFERROR(DATEDIF($I143-1,CP$15+1,"m"),)/12,)-1,)*Index!CL$22*(CP$15&gt;$I161)*(1-CP$12)</f>
        <v>0</v>
      </c>
      <c r="CQ161" s="742">
        <f>$G161*$H161*(1+$K161)^MAX(ROUNDUP(IFERROR(DATEDIF($I143-1,CQ$15+1,"m"),)/12,)-1,)*Index!CM$22*(CQ$15&gt;$I161)*(1-CQ$12)</f>
        <v>0</v>
      </c>
      <c r="CR161" s="742">
        <f>$G161*$H161*(1+$K161)^MAX(ROUNDUP(IFERROR(DATEDIF($I143-1,CR$15+1,"m"),)/12,)-1,)*Index!CN$22*(CR$15&gt;$I161)*(1-CR$12)</f>
        <v>0</v>
      </c>
      <c r="CS161" s="742">
        <f>$G161*$H161*(1+$K161)^MAX(ROUNDUP(IFERROR(DATEDIF($I143-1,CS$15+1,"m"),)/12,)-1,)*Index!CO$22*(CS$15&gt;$I161)*(1-CS$12)</f>
        <v>0</v>
      </c>
      <c r="CT161" s="742">
        <f>$G161*$H161*(1+$K161)^MAX(ROUNDUP(IFERROR(DATEDIF($I143-1,CT$15+1,"m"),)/12,)-1,)*Index!CP$22*(CT$15&gt;$I161)*(1-CT$12)</f>
        <v>0</v>
      </c>
      <c r="CU161" s="742">
        <f>$G161*$H161*(1+$K161)^MAX(ROUNDUP(IFERROR(DATEDIF($I143-1,CU$15+1,"m"),)/12,)-1,)*Index!CQ$22*(CU$15&gt;$I161)*(1-CU$12)</f>
        <v>0</v>
      </c>
      <c r="CV161" s="742">
        <f>$G161*$H161*(1+$K161)^MAX(ROUNDUP(IFERROR(DATEDIF($I143-1,CV$15+1,"m"),)/12,)-1,)*Index!CR$22*(CV$15&gt;$I161)*(1-CV$12)</f>
        <v>0</v>
      </c>
      <c r="CW161" s="742">
        <f>$G161*$H161*(1+$K161)^MAX(ROUNDUP(IFERROR(DATEDIF($I143-1,CW$15+1,"m"),)/12,)-1,)*Index!CS$22*(CW$15&gt;$I161)*(1-CW$12)</f>
        <v>0</v>
      </c>
      <c r="CX161" s="742">
        <f>$G161*$H161*(1+$K161)^MAX(ROUNDUP(IFERROR(DATEDIF($I143-1,CX$15+1,"m"),)/12,)-1,)*Index!CT$22*(CX$15&gt;$I161)*(1-CX$12)</f>
        <v>0</v>
      </c>
      <c r="CY161" s="742">
        <f>$G161*$H161*(1+$K161)^MAX(ROUNDUP(IFERROR(DATEDIF($I143-1,CY$15+1,"m"),)/12,)-1,)*Index!CU$22*(CY$15&gt;$I161)*(1-CY$12)</f>
        <v>0</v>
      </c>
      <c r="CZ161" s="742">
        <f>$G161*$H161*(1+$K161)^MAX(ROUNDUP(IFERROR(DATEDIF($I143-1,CZ$15+1,"m"),)/12,)-1,)*Index!CV$22*(CZ$15&gt;$I161)*(1-CZ$12)</f>
        <v>0</v>
      </c>
      <c r="DA161" s="742">
        <f>$G161*$H161*(1+$K161)^MAX(ROUNDUP(IFERROR(DATEDIF($I143-1,DA$15+1,"m"),)/12,)-1,)*Index!CW$22*(DA$15&gt;$I161)*(1-DA$12)</f>
        <v>0</v>
      </c>
      <c r="DB161" s="742">
        <f>$G161*$H161*(1+$K161)^MAX(ROUNDUP(IFERROR(DATEDIF($I143-1,DB$15+1,"m"),)/12,)-1,)*Index!CX$22*(DB$15&gt;$I161)*(1-DB$12)</f>
        <v>0</v>
      </c>
      <c r="DC161" s="742">
        <f>$G161*$H161*(1+$K161)^MAX(ROUNDUP(IFERROR(DATEDIF($I143-1,DC$15+1,"m"),)/12,)-1,)*Index!CY$22*(DC$15&gt;$I161)*(1-DC$12)</f>
        <v>0</v>
      </c>
      <c r="DD161" s="742">
        <f>$G161*$H161*(1+$K161)^MAX(ROUNDUP(IFERROR(DATEDIF($I143-1,DD$15+1,"m"),)/12,)-1,)*Index!CZ$22*(DD$15&gt;$I161)*(1-DD$12)</f>
        <v>0</v>
      </c>
      <c r="DE161" s="742">
        <f>$G161*$H161*(1+$K161)^MAX(ROUNDUP(IFERROR(DATEDIF($I143-1,DE$15+1,"m"),)/12,)-1,)*Index!DA$22*(DE$15&gt;$I161)*(1-DE$12)</f>
        <v>0</v>
      </c>
      <c r="DF161" s="742">
        <f>$G161*$H161*(1+$K161)^MAX(ROUNDUP(IFERROR(DATEDIF($I143-1,DF$15+1,"m"),)/12,)-1,)*Index!DB$22*(DF$15&gt;$I161)*(1-DF$12)</f>
        <v>0</v>
      </c>
      <c r="DG161" s="742">
        <f>$G161*$H161*(1+$K161)^MAX(ROUNDUP(IFERROR(DATEDIF($I143-1,DG$15+1,"m"),)/12,)-1,)*Index!DC$22*(DG$15&gt;$I161)*(1-DG$12)</f>
        <v>0</v>
      </c>
      <c r="DH161" s="742">
        <f>$G161*$H161*(1+$K161)^MAX(ROUNDUP(IFERROR(DATEDIF($I143-1,DH$15+1,"m"),)/12,)-1,)*Index!DD$22*(DH$15&gt;$I161)*(1-DH$12)</f>
        <v>0</v>
      </c>
      <c r="DI161" s="742">
        <f>$G161*$H161*(1+$K161)^MAX(ROUNDUP(IFERROR(DATEDIF($I143-1,DI$15+1,"m"),)/12,)-1,)*Index!DE$22*(DI$15&gt;$I161)*(1-DI$12)</f>
        <v>0</v>
      </c>
      <c r="DJ161" s="742">
        <f>$G161*$H161*(1+$K161)^MAX(ROUNDUP(IFERROR(DATEDIF($I143-1,DJ$15+1,"m"),)/12,)-1,)*Index!DF$22*(DJ$15&gt;$I161)*(1-DJ$12)</f>
        <v>0</v>
      </c>
      <c r="DK161" s="742">
        <f>$G161*$H161*(1+$K161)^MAX(ROUNDUP(IFERROR(DATEDIF($I143-1,DK$15+1,"m"),)/12,)-1,)*Index!DG$22*(DK$15&gt;$I161)*(1-DK$12)</f>
        <v>0</v>
      </c>
      <c r="DL161" s="742">
        <f>$G161*$H161*(1+$K161)^MAX(ROUNDUP(IFERROR(DATEDIF($I143-1,DL$15+1,"m"),)/12,)-1,)*Index!DH$22*(DL$15&gt;$I161)*(1-DL$12)</f>
        <v>0</v>
      </c>
      <c r="DM161" s="742">
        <f>$G161*$H161*(1+$K161)^MAX(ROUNDUP(IFERROR(DATEDIF($I143-1,DM$15+1,"m"),)/12,)-1,)*Index!DI$22*(DM$15&gt;$I161)*(1-DM$12)</f>
        <v>0</v>
      </c>
      <c r="DN161" s="742">
        <f>$G161*$H161*(1+$K161)^MAX(ROUNDUP(IFERROR(DATEDIF($I143-1,DN$15+1,"m"),)/12,)-1,)*Index!DJ$22*(DN$15&gt;$I161)*(1-DN$12)</f>
        <v>0</v>
      </c>
      <c r="DO161" s="742">
        <f>$G161*$H161*(1+$K161)^MAX(ROUNDUP(IFERROR(DATEDIF($I143-1,DO$15+1,"m"),)/12,)-1,)*Index!DK$22*(DO$15&gt;$I161)*(1-DO$12)</f>
        <v>0</v>
      </c>
      <c r="DP161" s="742">
        <f>$G161*$H161*(1+$K161)^MAX(ROUNDUP(IFERROR(DATEDIF($I143-1,DP$15+1,"m"),)/12,)-1,)*Index!DL$22*(DP$15&gt;$I161)*(1-DP$12)</f>
        <v>0</v>
      </c>
      <c r="DQ161" s="742">
        <f>$G161*$H161*(1+$K161)^MAX(ROUNDUP(IFERROR(DATEDIF($I143-1,DQ$15+1,"m"),)/12,)-1,)*Index!DM$22*(DQ$15&gt;$I161)*(1-DQ$12)</f>
        <v>0</v>
      </c>
      <c r="DR161" s="742">
        <f>$G161*$H161*(1+$K161)^MAX(ROUNDUP(IFERROR(DATEDIF($I143-1,DR$15+1,"m"),)/12,)-1,)*Index!DN$22*(DR$15&gt;$I161)*(1-DR$12)</f>
        <v>0</v>
      </c>
      <c r="DS161" s="742">
        <f>$G161*$H161*(1+$K161)^MAX(ROUNDUP(IFERROR(DATEDIF($I143-1,DS$15+1,"m"),)/12,)-1,)*Index!DO$22*(DS$15&gt;$I161)*(1-DS$12)</f>
        <v>0</v>
      </c>
      <c r="DT161" s="742">
        <f>$G161*$H161*(1+$K161)^MAX(ROUNDUP(IFERROR(DATEDIF($I143-1,DT$15+1,"m"),)/12,)-1,)*Index!DP$22*(DT$15&gt;$I161)*(1-DT$12)</f>
        <v>0</v>
      </c>
      <c r="DU161" s="742">
        <f>$G161*$H161*(1+$K161)^MAX(ROUNDUP(IFERROR(DATEDIF($I143-1,DU$15+1,"m"),)/12,)-1,)*Index!DQ$22*(DU$15&gt;$I161)*(1-DU$12)</f>
        <v>0</v>
      </c>
      <c r="DV161" s="742">
        <f>$G161*$H161*(1+$K161)^MAX(ROUNDUP(IFERROR(DATEDIF($I143-1,DV$15+1,"m"),)/12,)-1,)*Index!DR$22*(DV$15&gt;$I161)*(1-DV$12)</f>
        <v>0</v>
      </c>
      <c r="DW161" s="742">
        <f>$G161*$H161*(1+$K161)^MAX(ROUNDUP(IFERROR(DATEDIF($I143-1,DW$15+1,"m"),)/12,)-1,)*Index!DS$22*(DW$15&gt;$I161)*(1-DW$12)</f>
        <v>0</v>
      </c>
      <c r="DX161" s="742">
        <f>$G161*$H161*(1+$K161)^MAX(ROUNDUP(IFERROR(DATEDIF($I143-1,DX$15+1,"m"),)/12,)-1,)*Index!DT$22*(DX$15&gt;$I161)*(1-DX$12)</f>
        <v>0</v>
      </c>
      <c r="DY161" s="742">
        <f>$G161*$H161*(1+$K161)^MAX(ROUNDUP(IFERROR(DATEDIF($I143-1,DY$15+1,"m"),)/12,)-1,)*Index!DU$22*(DY$15&gt;$I161)*(1-DY$12)</f>
        <v>0</v>
      </c>
      <c r="DZ161" s="742">
        <f>$G161*$H161*(1+$K161)^MAX(ROUNDUP(IFERROR(DATEDIF($I143-1,DZ$15+1,"m"),)/12,)-1,)*Index!DV$22*(DZ$15&gt;$I161)*(1-DZ$12)</f>
        <v>0</v>
      </c>
      <c r="EA161" s="742">
        <f>$G161*$H161*(1+$K161)^MAX(ROUNDUP(IFERROR(DATEDIF($I143-1,EA$15+1,"m"),)/12,)-1,)*Index!DW$22*(EA$15&gt;$I161)*(1-EA$12)</f>
        <v>0</v>
      </c>
      <c r="EB161" s="742">
        <f>$G161*$H161*(1+$K161)^MAX(ROUNDUP(IFERROR(DATEDIF($I143-1,EB$15+1,"m"),)/12,)-1,)*Index!DX$22*(EB$15&gt;$I161)*(1-EB$12)</f>
        <v>0</v>
      </c>
      <c r="EC161" s="742">
        <f>$G161*$H161*(1+$K161)^MAX(ROUNDUP(IFERROR(DATEDIF($I143-1,EC$15+1,"m"),)/12,)-1,)*Index!DY$22*(EC$15&gt;$I161)*(1-EC$12)</f>
        <v>0</v>
      </c>
      <c r="ED161" s="742">
        <f>$G161*$H161*(1+$K161)^MAX(ROUNDUP(IFERROR(DATEDIF($I143-1,ED$15+1,"m"),)/12,)-1,)*Index!DZ$22*(ED$15&gt;$I161)*(1-ED$12)</f>
        <v>0</v>
      </c>
      <c r="EE161" s="742">
        <f>$G161*$H161*(1+$K161)^MAX(ROUNDUP(IFERROR(DATEDIF($I143-1,EE$15+1,"m"),)/12,)-1,)*Index!EA$22*(EE$15&gt;$I161)*(1-EE$12)</f>
        <v>0</v>
      </c>
      <c r="EF161" s="742">
        <f>$G161*$H161*(1+$K161)^MAX(ROUNDUP(IFERROR(DATEDIF($I143-1,EF$15+1,"m"),)/12,)-1,)*Index!EB$22*(EF$15&gt;$I161)*(1-EF$12)</f>
        <v>0</v>
      </c>
      <c r="EG161" s="742">
        <f>$G161*$H161*(1+$K161)^MAX(ROUNDUP(IFERROR(DATEDIF($I143-1,EG$15+1,"m"),)/12,)-1,)*Index!EC$22*(EG$15&gt;$I161)*(1-EG$12)</f>
        <v>0</v>
      </c>
      <c r="EH161" s="742">
        <f>$G161*$H161*(1+$K161)^MAX(ROUNDUP(IFERROR(DATEDIF($I143-1,EH$15+1,"m"),)/12,)-1,)*Index!ED$22*(EH$15&gt;$I161)*(1-EH$12)</f>
        <v>0</v>
      </c>
      <c r="EI161" s="742">
        <f>$G161*$H161*(1+$K161)^MAX(ROUNDUP(IFERROR(DATEDIF($I143-1,EI$15+1,"m"),)/12,)-1,)*Index!EE$22*(EI$15&gt;$I161)*(1-EI$12)</f>
        <v>0</v>
      </c>
      <c r="EJ161" s="742">
        <f>$G161*$H161*(1+$K161)^MAX(ROUNDUP(IFERROR(DATEDIF($I143-1,EJ$15+1,"m"),)/12,)-1,)*Index!EF$22*(EJ$15&gt;$I161)*(1-EJ$12)</f>
        <v>0</v>
      </c>
      <c r="EK161" s="742">
        <f>$G161*$H161*(1+$K161)^MAX(ROUNDUP(IFERROR(DATEDIF($I143-1,EK$15+1,"m"),)/12,)-1,)*Index!EG$22*(EK$15&gt;$I161)*(1-EK$12)</f>
        <v>0</v>
      </c>
      <c r="EL161" s="742">
        <f>$G161*$H161*(1+$K161)^MAX(ROUNDUP(IFERROR(DATEDIF($I143-1,EL$15+1,"m"),)/12,)-1,)*Index!EH$22*(EL$15&gt;$I161)*(1-EL$12)</f>
        <v>0</v>
      </c>
      <c r="EM161" s="742">
        <f>$G161*$H161*(1+$K161)^MAX(ROUNDUP(IFERROR(DATEDIF($I143-1,EM$15+1,"m"),)/12,)-1,)*Index!EI$22*(EM$15&gt;$I161)*(1-EM$12)</f>
        <v>0</v>
      </c>
      <c r="EN161" s="742">
        <f>$G161*$H161*(1+$K161)^MAX(ROUNDUP(IFERROR(DATEDIF($I143-1,EN$15+1,"m"),)/12,)-1,)*Index!EJ$22*(EN$15&gt;$I161)*(1-EN$12)</f>
        <v>0</v>
      </c>
      <c r="EO161" s="742">
        <f>$G161*$H161*(1+$K161)^MAX(ROUNDUP(IFERROR(DATEDIF($I143-1,EO$15+1,"m"),)/12,)-1,)*Index!EK$22*(EO$15&gt;$I161)*(1-EO$12)</f>
        <v>0</v>
      </c>
      <c r="EP161" s="742">
        <f>$G161*$H161*(1+$K161)^MAX(ROUNDUP(IFERROR(DATEDIF($I143-1,EP$15+1,"m"),)/12,)-1,)*Index!EL$22*(EP$15&gt;$I161)*(1-EP$12)</f>
        <v>0</v>
      </c>
      <c r="EQ161" s="742">
        <f>$G161*$H161*(1+$K161)^MAX(ROUNDUP(IFERROR(DATEDIF($I143-1,EQ$15+1,"m"),)/12,)-1,)*Index!EM$22*(EQ$15&gt;$I161)*(1-EQ$12)</f>
        <v>0</v>
      </c>
      <c r="ER161" s="742">
        <f>$G161*$H161*(1+$K161)^MAX(ROUNDUP(IFERROR(DATEDIF($I143-1,ER$15+1,"m"),)/12,)-1,)*Index!EN$22*(ER$15&gt;$I161)*(1-ER$12)</f>
        <v>0</v>
      </c>
      <c r="ES161" s="742">
        <f>$G161*$H161*(1+$K161)^MAX(ROUNDUP(IFERROR(DATEDIF($I143-1,ES$15+1,"m"),)/12,)-1,)*Index!EO$22*(ES$15&gt;$I161)*(1-ES$12)</f>
        <v>0</v>
      </c>
      <c r="ET161" s="742">
        <f>$G161*$H161*(1+$K161)^MAX(ROUNDUP(IFERROR(DATEDIF($I143-1,ET$15+1,"m"),)/12,)-1,)*Index!EP$22*(ET$15&gt;$I161)*(1-ET$12)</f>
        <v>0</v>
      </c>
      <c r="EU161" s="742">
        <f>$G161*$H161*(1+$K161)^MAX(ROUNDUP(IFERROR(DATEDIF($I143-1,EU$15+1,"m"),)/12,)-1,)*Index!EQ$22*(EU$15&gt;$I161)*(1-EU$12)</f>
        <v>0</v>
      </c>
    </row>
    <row r="162" spans="3:151" ht="11.25" customHeight="1">
      <c r="C162" s="735"/>
      <c r="D162" s="743">
        <f t="shared" ref="D162:F177" si="243">D144</f>
        <v>8</v>
      </c>
      <c r="E162" s="704" t="str">
        <f t="shared" si="243"/>
        <v>쿠팡</v>
      </c>
      <c r="F162" s="704" t="str">
        <f t="shared" si="243"/>
        <v>근린생활시설</v>
      </c>
      <c r="G162" s="781" cm="1">
        <f t="array" ref="G162">SUMPRODUCT(($E162='A&amp;R'!$V$26:$V$32)*('A&amp;R'!$AC$26:$AC$32))/1000</f>
        <v>2.9900433370455741</v>
      </c>
      <c r="H162" s="744">
        <f t="shared" ref="H162:H177" si="244">H144</f>
        <v>78.09</v>
      </c>
      <c r="I162" s="745">
        <f t="shared" ref="I162:I177" si="245">J144</f>
        <v>49064</v>
      </c>
      <c r="J162" s="745"/>
      <c r="K162" s="754">
        <f t="shared" ref="K162:K177" si="246">K144</f>
        <v>2.5000000000000001E-2</v>
      </c>
      <c r="L162" s="746"/>
      <c r="M162" s="722"/>
      <c r="N162" s="747">
        <f t="shared" ref="N162:N177" si="247">SUM(P162:EU162)</f>
        <v>8578.3515758658395</v>
      </c>
      <c r="O162" s="733"/>
      <c r="P162" s="747">
        <f>$G162*$H162*(1+$K162)^MAX(ROUNDUP(IFERROR(DATEDIF($I144-1,P$15+1,"m"),)/12,)-1,)*Index!L$22*(P$15&gt;$I162)*(1-P$12)</f>
        <v>0</v>
      </c>
      <c r="Q162" s="747">
        <f>$G162*$H162*(1+$K162)^MAX(ROUNDUP(IFERROR(DATEDIF($I144-1,Q$15+1,"m"),)/12,)-1,)*Index!M$22*(Q$15&gt;$I162)*(1-Q$12)</f>
        <v>0</v>
      </c>
      <c r="R162" s="747">
        <f>$G162*$H162*(1+$K162)^MAX(ROUNDUP(IFERROR(DATEDIF($I144-1,R$15+1,"m"),)/12,)-1,)*Index!N$22*(R$15&gt;$I162)*(1-R$12)</f>
        <v>0</v>
      </c>
      <c r="S162" s="747">
        <f>$G162*$H162*(1+$K162)^MAX(ROUNDUP(IFERROR(DATEDIF($I144-1,S$15+1,"m"),)/12,)-1,)*Index!O$22*(S$15&gt;$I162)*(1-S$12)</f>
        <v>0</v>
      </c>
      <c r="T162" s="747">
        <f>$G162*$H162*(1+$K162)^MAX(ROUNDUP(IFERROR(DATEDIF($I144-1,T$15+1,"m"),)/12,)-1,)*Index!P$22*(T$15&gt;$I162)*(1-T$12)</f>
        <v>0</v>
      </c>
      <c r="U162" s="747">
        <f>$G162*$H162*(1+$K162)^MAX(ROUNDUP(IFERROR(DATEDIF($I144-1,U$15+1,"m"),)/12,)-1,)*Index!Q$22*(U$15&gt;$I162)*(1-U$12)</f>
        <v>0</v>
      </c>
      <c r="V162" s="747">
        <f>$G162*$H162*(1+$K162)^MAX(ROUNDUP(IFERROR(DATEDIF($I144-1,V$15+1,"m"),)/12,)-1,)*Index!R$22*(V$15&gt;$I162)*(1-V$12)</f>
        <v>0</v>
      </c>
      <c r="W162" s="747">
        <f>$G162*$H162*(1+$K162)^MAX(ROUNDUP(IFERROR(DATEDIF($I144-1,W$15+1,"m"),)/12,)-1,)*Index!S$22*(W$15&gt;$I162)*(1-W$12)</f>
        <v>0</v>
      </c>
      <c r="X162" s="747">
        <f>$G162*$H162*(1+$K162)^MAX(ROUNDUP(IFERROR(DATEDIF($I144-1,X$15+1,"m"),)/12,)-1,)*Index!T$22*(X$15&gt;$I162)*(1-X$12)</f>
        <v>0</v>
      </c>
      <c r="Y162" s="747">
        <f>$G162*$H162*(1+$K162)^MAX(ROUNDUP(IFERROR(DATEDIF($I144-1,Y$15+1,"m"),)/12,)-1,)*Index!U$22*(Y$15&gt;$I162)*(1-Y$12)</f>
        <v>0</v>
      </c>
      <c r="Z162" s="747">
        <f>$G162*$H162*(1+$K162)^MAX(ROUNDUP(IFERROR(DATEDIF($I144-1,Z$15+1,"m"),)/12,)-1,)*Index!V$22*(Z$15&gt;$I162)*(1-Z$12)</f>
        <v>0</v>
      </c>
      <c r="AA162" s="747">
        <f>$G162*$H162*(1+$K162)^MAX(ROUNDUP(IFERROR(DATEDIF($I144-1,AA$15+1,"m"),)/12,)-1,)*Index!W$22*(AA$15&gt;$I162)*(1-AA$12)</f>
        <v>0</v>
      </c>
      <c r="AB162" s="747">
        <f>$G162*$H162*(1+$K162)^MAX(ROUNDUP(IFERROR(DATEDIF($I144-1,AB$15+1,"m"),)/12,)-1,)*Index!X$22*(AB$15&gt;$I162)*(1-AB$12)</f>
        <v>0</v>
      </c>
      <c r="AC162" s="747">
        <f>$G162*$H162*(1+$K162)^MAX(ROUNDUP(IFERROR(DATEDIF($I144-1,AC$15+1,"m"),)/12,)-1,)*Index!Y$22*(AC$15&gt;$I162)*(1-AC$12)</f>
        <v>0</v>
      </c>
      <c r="AD162" s="747">
        <f>$G162*$H162*(1+$K162)^MAX(ROUNDUP(IFERROR(DATEDIF($I144-1,AD$15+1,"m"),)/12,)-1,)*Index!Z$22*(AD$15&gt;$I162)*(1-AD$12)</f>
        <v>0</v>
      </c>
      <c r="AE162" s="747">
        <f>$G162*$H162*(1+$K162)^MAX(ROUNDUP(IFERROR(DATEDIF($I144-1,AE$15+1,"m"),)/12,)-1,)*Index!AA$22*(AE$15&gt;$I162)*(1-AE$12)</f>
        <v>0</v>
      </c>
      <c r="AF162" s="747">
        <f>$G162*$H162*(1+$K162)^MAX(ROUNDUP(IFERROR(DATEDIF($I144-1,AF$15+1,"m"),)/12,)-1,)*Index!AB$22*(AF$15&gt;$I162)*(1-AF$12)</f>
        <v>0</v>
      </c>
      <c r="AG162" s="747">
        <f>$G162*$H162*(1+$K162)^MAX(ROUNDUP(IFERROR(DATEDIF($I144-1,AG$15+1,"m"),)/12,)-1,)*Index!AC$22*(AG$15&gt;$I162)*(1-AG$12)</f>
        <v>0</v>
      </c>
      <c r="AH162" s="747">
        <f>$G162*$H162*(1+$K162)^MAX(ROUNDUP(IFERROR(DATEDIF($I144-1,AH$15+1,"m"),)/12,)-1,)*Index!AD$22*(AH$15&gt;$I162)*(1-AH$12)</f>
        <v>0</v>
      </c>
      <c r="AI162" s="747">
        <f>$G162*$H162*(1+$K162)^MAX(ROUNDUP(IFERROR(DATEDIF($I144-1,AI$15+1,"m"),)/12,)-1,)*Index!AE$22*(AI$15&gt;$I162)*(1-AI$12)</f>
        <v>0</v>
      </c>
      <c r="AJ162" s="747">
        <f>$G162*$H162*(1+$K162)^MAX(ROUNDUP(IFERROR(DATEDIF($I144-1,AJ$15+1,"m"),)/12,)-1,)*Index!AF$22*(AJ$15&gt;$I162)*(1-AJ$12)</f>
        <v>0</v>
      </c>
      <c r="AK162" s="747">
        <f>$G162*$H162*(1+$K162)^MAX(ROUNDUP(IFERROR(DATEDIF($I144-1,AK$15+1,"m"),)/12,)-1,)*Index!AG$22*(AK$15&gt;$I162)*(1-AK$12)</f>
        <v>0</v>
      </c>
      <c r="AL162" s="747">
        <f>$G162*$H162*(1+$K162)^MAX(ROUNDUP(IFERROR(DATEDIF($I144-1,AL$15+1,"m"),)/12,)-1,)*Index!AH$22*(AL$15&gt;$I162)*(1-AL$12)</f>
        <v>0</v>
      </c>
      <c r="AM162" s="747">
        <f>$G162*$H162*(1+$K162)^MAX(ROUNDUP(IFERROR(DATEDIF($I144-1,AM$15+1,"m"),)/12,)-1,)*Index!AI$22*(AM$15&gt;$I162)*(1-AM$12)</f>
        <v>0</v>
      </c>
      <c r="AN162" s="747">
        <f>$G162*$H162*(1+$K162)^MAX(ROUNDUP(IFERROR(DATEDIF($I144-1,AN$15+1,"m"),)/12,)-1,)*Index!AJ$22*(AN$15&gt;$I162)*(1-AN$12)</f>
        <v>0</v>
      </c>
      <c r="AO162" s="747">
        <f>$G162*$H162*(1+$K162)^MAX(ROUNDUP(IFERROR(DATEDIF($I144-1,AO$15+1,"m"),)/12,)-1,)*Index!AK$22*(AO$15&gt;$I162)*(1-AO$12)</f>
        <v>0</v>
      </c>
      <c r="AP162" s="747">
        <f>$G162*$H162*(1+$K162)^MAX(ROUNDUP(IFERROR(DATEDIF($I144-1,AP$15+1,"m"),)/12,)-1,)*Index!AL$22*(AP$15&gt;$I162)*(1-AP$12)</f>
        <v>0</v>
      </c>
      <c r="AQ162" s="747">
        <f>$G162*$H162*(1+$K162)^MAX(ROUNDUP(IFERROR(DATEDIF($I144-1,AQ$15+1,"m"),)/12,)-1,)*Index!AM$22*(AQ$15&gt;$I162)*(1-AQ$12)</f>
        <v>0</v>
      </c>
      <c r="AR162" s="747">
        <f>$G162*$H162*(1+$K162)^MAX(ROUNDUP(IFERROR(DATEDIF($I144-1,AR$15+1,"m"),)/12,)-1,)*Index!AN$22*(AR$15&gt;$I162)*(1-AR$12)</f>
        <v>0</v>
      </c>
      <c r="AS162" s="747">
        <f>$G162*$H162*(1+$K162)^MAX(ROUNDUP(IFERROR(DATEDIF($I144-1,AS$15+1,"m"),)/12,)-1,)*Index!AO$22*(AS$15&gt;$I162)*(1-AS$12)</f>
        <v>0</v>
      </c>
      <c r="AT162" s="747">
        <f>$G162*$H162*(1+$K162)^MAX(ROUNDUP(IFERROR(DATEDIF($I144-1,AT$15+1,"m"),)/12,)-1,)*Index!AP$22*(AT$15&gt;$I162)*(1-AT$12)</f>
        <v>0</v>
      </c>
      <c r="AU162" s="747">
        <f>$G162*$H162*(1+$K162)^MAX(ROUNDUP(IFERROR(DATEDIF($I144-1,AU$15+1,"m"),)/12,)-1,)*Index!AQ$22*(AU$15&gt;$I162)*(1-AU$12)</f>
        <v>0</v>
      </c>
      <c r="AV162" s="747">
        <f>$G162*$H162*(1+$K162)^MAX(ROUNDUP(IFERROR(DATEDIF($I144-1,AV$15+1,"m"),)/12,)-1,)*Index!AR$22*(AV$15&gt;$I162)*(1-AV$12)</f>
        <v>0</v>
      </c>
      <c r="AW162" s="747">
        <f>$G162*$H162*(1+$K162)^MAX(ROUNDUP(IFERROR(DATEDIF($I144-1,AW$15+1,"m"),)/12,)-1,)*Index!AS$22*(AW$15&gt;$I162)*(1-AW$12)</f>
        <v>0</v>
      </c>
      <c r="AX162" s="747">
        <f>$G162*$H162*(1+$K162)^MAX(ROUNDUP(IFERROR(DATEDIF($I144-1,AX$15+1,"m"),)/12,)-1,)*Index!AT$22*(AX$15&gt;$I162)*(1-AX$12)</f>
        <v>0</v>
      </c>
      <c r="AY162" s="747">
        <f>$G162*$H162*(1+$K162)^MAX(ROUNDUP(IFERROR(DATEDIF($I144-1,AY$15+1,"m"),)/12,)-1,)*Index!AU$22*(AY$15&gt;$I162)*(1-AY$12)</f>
        <v>0</v>
      </c>
      <c r="AZ162" s="747">
        <f>$G162*$H162*(1+$K162)^MAX(ROUNDUP(IFERROR(DATEDIF($I144-1,AZ$15+1,"m"),)/12,)-1,)*Index!AV$22*(AZ$15&gt;$I162)*(1-AZ$12)</f>
        <v>0</v>
      </c>
      <c r="BA162" s="747">
        <f>$G162*$H162*(1+$K162)^MAX(ROUNDUP(IFERROR(DATEDIF($I144-1,BA$15+1,"m"),)/12,)-1,)*Index!AW$22*(BA$15&gt;$I162)*(1-BA$12)</f>
        <v>0</v>
      </c>
      <c r="BB162" s="747">
        <f>$G162*$H162*(1+$K162)^MAX(ROUNDUP(IFERROR(DATEDIF($I144-1,BB$15+1,"m"),)/12,)-1,)*Index!AX$22*(BB$15&gt;$I162)*(1-BB$12)</f>
        <v>0</v>
      </c>
      <c r="BC162" s="747">
        <f>$G162*$H162*(1+$K162)^MAX(ROUNDUP(IFERROR(DATEDIF($I144-1,BC$15+1,"m"),)/12,)-1,)*Index!AY$22*(BC$15&gt;$I162)*(1-BC$12)</f>
        <v>0</v>
      </c>
      <c r="BD162" s="747">
        <f>$G162*$H162*(1+$K162)^MAX(ROUNDUP(IFERROR(DATEDIF($I144-1,BD$15+1,"m"),)/12,)-1,)*Index!AZ$22*(BD$15&gt;$I162)*(1-BD$12)</f>
        <v>0</v>
      </c>
      <c r="BE162" s="747">
        <f>$G162*$H162*(1+$K162)^MAX(ROUNDUP(IFERROR(DATEDIF($I144-1,BE$15+1,"m"),)/12,)-1,)*Index!BA$22*(BE$15&gt;$I162)*(1-BE$12)</f>
        <v>0</v>
      </c>
      <c r="BF162" s="747">
        <f>$G162*$H162*(1+$K162)^MAX(ROUNDUP(IFERROR(DATEDIF($I144-1,BF$15+1,"m"),)/12,)-1,)*Index!BB$22*(BF$15&gt;$I162)*(1-BF$12)</f>
        <v>0</v>
      </c>
      <c r="BG162" s="747">
        <f>$G162*$H162*(1+$K162)^MAX(ROUNDUP(IFERROR(DATEDIF($I144-1,BG$15+1,"m"),)/12,)-1,)*Index!BC$22*(BG$15&gt;$I162)*(1-BG$12)</f>
        <v>0</v>
      </c>
      <c r="BH162" s="747">
        <f>$G162*$H162*(1+$K162)^MAX(ROUNDUP(IFERROR(DATEDIF($I144-1,BH$15+1,"m"),)/12,)-1,)*Index!BD$22*(BH$15&gt;$I162)*(1-BH$12)</f>
        <v>0</v>
      </c>
      <c r="BI162" s="747">
        <f>$G162*$H162*(1+$K162)^MAX(ROUNDUP(IFERROR(DATEDIF($I144-1,BI$15+1,"m"),)/12,)-1,)*Index!BE$22*(BI$15&gt;$I162)*(1-BI$12)</f>
        <v>0</v>
      </c>
      <c r="BJ162" s="747">
        <f>$G162*$H162*(1+$K162)^MAX(ROUNDUP(IFERROR(DATEDIF($I144-1,BJ$15+1,"m"),)/12,)-1,)*Index!BF$22*(BJ$15&gt;$I162)*(1-BJ$12)</f>
        <v>0</v>
      </c>
      <c r="BK162" s="747">
        <f>$G162*$H162*(1+$K162)^MAX(ROUNDUP(IFERROR(DATEDIF($I144-1,BK$15+1,"m"),)/12,)-1,)*Index!BG$22*(BK$15&gt;$I162)*(1-BK$12)</f>
        <v>0</v>
      </c>
      <c r="BL162" s="747">
        <f>$G162*$H162*(1+$K162)^MAX(ROUNDUP(IFERROR(DATEDIF($I144-1,BL$15+1,"m"),)/12,)-1,)*Index!BH$22*(BL$15&gt;$I162)*(1-BL$12)</f>
        <v>0</v>
      </c>
      <c r="BM162" s="747">
        <f>$G162*$H162*(1+$K162)^MAX(ROUNDUP(IFERROR(DATEDIF($I144-1,BM$15+1,"m"),)/12,)-1,)*Index!BI$22*(BM$15&gt;$I162)*(1-BM$12)</f>
        <v>0</v>
      </c>
      <c r="BN162" s="747">
        <f>$G162*$H162*(1+$K162)^MAX(ROUNDUP(IFERROR(DATEDIF($I144-1,BN$15+1,"m"),)/12,)-1,)*Index!BJ$22*(BN$15&gt;$I162)*(1-BN$12)</f>
        <v>0</v>
      </c>
      <c r="BO162" s="747">
        <f>$G162*$H162*(1+$K162)^MAX(ROUNDUP(IFERROR(DATEDIF($I144-1,BO$15+1,"m"),)/12,)-1,)*Index!BK$22*(BO$15&gt;$I162)*(1-BO$12)</f>
        <v>0</v>
      </c>
      <c r="BP162" s="747">
        <f>$G162*$H162*(1+$K162)^MAX(ROUNDUP(IFERROR(DATEDIF($I144-1,BP$15+1,"m"),)/12,)-1,)*Index!BL$22*(BP$15&gt;$I162)*(1-BP$12)</f>
        <v>0</v>
      </c>
      <c r="BQ162" s="747">
        <f>$G162*$H162*(1+$K162)^MAX(ROUNDUP(IFERROR(DATEDIF($I144-1,BQ$15+1,"m"),)/12,)-1,)*Index!BM$22*(BQ$15&gt;$I162)*(1-BQ$12)</f>
        <v>0</v>
      </c>
      <c r="BR162" s="747">
        <f>$G162*$H162*(1+$K162)^MAX(ROUNDUP(IFERROR(DATEDIF($I144-1,BR$15+1,"m"),)/12,)-1,)*Index!BN$22*(BR$15&gt;$I162)*(1-BR$12)</f>
        <v>0</v>
      </c>
      <c r="BS162" s="747">
        <f>$G162*$H162*(1+$K162)^MAX(ROUNDUP(IFERROR(DATEDIF($I144-1,BS$15+1,"m"),)/12,)-1,)*Index!BO$22*(BS$15&gt;$I162)*(1-BS$12)</f>
        <v>0</v>
      </c>
      <c r="BT162" s="747">
        <f>$G162*$H162*(1+$K162)^MAX(ROUNDUP(IFERROR(DATEDIF($I144-1,BT$15+1,"m"),)/12,)-1,)*Index!BP$22*(BT$15&gt;$I162)*(1-BT$12)</f>
        <v>0</v>
      </c>
      <c r="BU162" s="747">
        <f>$G162*$H162*(1+$K162)^MAX(ROUNDUP(IFERROR(DATEDIF($I144-1,BU$15+1,"m"),)/12,)-1,)*Index!BQ$22*(BU$15&gt;$I162)*(1-BU$12)</f>
        <v>0</v>
      </c>
      <c r="BV162" s="747">
        <f>$G162*$H162*(1+$K162)^MAX(ROUNDUP(IFERROR(DATEDIF($I144-1,BV$15+1,"m"),)/12,)-1,)*Index!BR$22*(BV$15&gt;$I162)*(1-BV$12)</f>
        <v>0</v>
      </c>
      <c r="BW162" s="747">
        <f>$G162*$H162*(1+$K162)^MAX(ROUNDUP(IFERROR(DATEDIF($I144-1,BW$15+1,"m"),)/12,)-1,)*Index!BS$22*(BW$15&gt;$I162)*(1-BW$12)</f>
        <v>0</v>
      </c>
      <c r="BX162" s="747">
        <f>$G162*$H162*(1+$K162)^MAX(ROUNDUP(IFERROR(DATEDIF($I144-1,BX$15+1,"m"),)/12,)-1,)*Index!BT$22*(BX$15&gt;$I162)*(1-BX$12)</f>
        <v>0</v>
      </c>
      <c r="BY162" s="747">
        <f>$G162*$H162*(1+$K162)^MAX(ROUNDUP(IFERROR(DATEDIF($I144-1,BY$15+1,"m"),)/12,)-1,)*Index!BU$22*(BY$15&gt;$I162)*(1-BY$12)</f>
        <v>0</v>
      </c>
      <c r="BZ162" s="747">
        <f>$G162*$H162*(1+$K162)^MAX(ROUNDUP(IFERROR(DATEDIF($I144-1,BZ$15+1,"m"),)/12,)-1,)*Index!BV$22*(BZ$15&gt;$I162)*(1-BZ$12)</f>
        <v>0</v>
      </c>
      <c r="CA162" s="747">
        <f>$G162*$H162*(1+$K162)^MAX(ROUNDUP(IFERROR(DATEDIF($I144-1,CA$15+1,"m"),)/12,)-1,)*Index!BW$22*(CA$15&gt;$I162)*(1-CA$12)</f>
        <v>0</v>
      </c>
      <c r="CB162" s="747">
        <f>$G162*$H162*(1+$K162)^MAX(ROUNDUP(IFERROR(DATEDIF($I144-1,CB$15+1,"m"),)/12,)-1,)*Index!BX$22*(CB$15&gt;$I162)*(1-CB$12)</f>
        <v>0</v>
      </c>
      <c r="CC162" s="747">
        <f>$G162*$H162*(1+$K162)^MAX(ROUNDUP(IFERROR(DATEDIF($I144-1,CC$15+1,"m"),)/12,)-1,)*Index!BY$22*(CC$15&gt;$I162)*(1-CC$12)</f>
        <v>0</v>
      </c>
      <c r="CD162" s="747">
        <f>$G162*$H162*(1+$K162)^MAX(ROUNDUP(IFERROR(DATEDIF($I144-1,CD$15+1,"m"),)/12,)-1,)*Index!BZ$22*(CD$15&gt;$I162)*(1-CD$12)</f>
        <v>0</v>
      </c>
      <c r="CE162" s="747">
        <f>$G162*$H162*(1+$K162)^MAX(ROUNDUP(IFERROR(DATEDIF($I144-1,CE$15+1,"m"),)/12,)-1,)*Index!CA$22*(CE$15&gt;$I162)*(1-CE$12)</f>
        <v>0</v>
      </c>
      <c r="CF162" s="747">
        <f>$G162*$H162*(1+$K162)^MAX(ROUNDUP(IFERROR(DATEDIF($I144-1,CF$15+1,"m"),)/12,)-1,)*Index!CB$22*(CF$15&gt;$I162)*(1-CF$12)</f>
        <v>0</v>
      </c>
      <c r="CG162" s="747">
        <f>$G162*$H162*(1+$K162)^MAX(ROUNDUP(IFERROR(DATEDIF($I144-1,CG$15+1,"m"),)/12,)-1,)*Index!CC$22*(CG$15&gt;$I162)*(1-CG$12)</f>
        <v>0</v>
      </c>
      <c r="CH162" s="747">
        <f>$G162*$H162*(1+$K162)^MAX(ROUNDUP(IFERROR(DATEDIF($I144-1,CH$15+1,"m"),)/12,)-1,)*Index!CD$22*(CH$15&gt;$I162)*(1-CH$12)</f>
        <v>0</v>
      </c>
      <c r="CI162" s="747">
        <f>$G162*$H162*(1+$K162)^MAX(ROUNDUP(IFERROR(DATEDIF($I144-1,CI$15+1,"m"),)/12,)-1,)*Index!CE$22*(CI$15&gt;$I162)*(1-CI$12)</f>
        <v>0</v>
      </c>
      <c r="CJ162" s="747">
        <f>$G162*$H162*(1+$K162)^MAX(ROUNDUP(IFERROR(DATEDIF($I144-1,CJ$15+1,"m"),)/12,)-1,)*Index!CF$22*(CJ$15&gt;$I162)*(1-CJ$12)</f>
        <v>0</v>
      </c>
      <c r="CK162" s="747">
        <f>$G162*$H162*(1+$K162)^MAX(ROUNDUP(IFERROR(DATEDIF($I144-1,CK$15+1,"m"),)/12,)-1,)*Index!CG$22*(CK$15&gt;$I162)*(1-CK$12)</f>
        <v>0</v>
      </c>
      <c r="CL162" s="747">
        <f>$G162*$H162*(1+$K162)^MAX(ROUNDUP(IFERROR(DATEDIF($I144-1,CL$15+1,"m"),)/12,)-1,)*Index!CH$22*(CL$15&gt;$I162)*(1-CL$12)</f>
        <v>0</v>
      </c>
      <c r="CM162" s="747">
        <f>$G162*$H162*(1+$K162)^MAX(ROUNDUP(IFERROR(DATEDIF($I144-1,CM$15+1,"m"),)/12,)-1,)*Index!CI$22*(CM$15&gt;$I162)*(1-CM$12)</f>
        <v>0</v>
      </c>
      <c r="CN162" s="747">
        <f>$G162*$H162*(1+$K162)^MAX(ROUNDUP(IFERROR(DATEDIF($I144-1,CN$15+1,"m"),)/12,)-1,)*Index!CJ$22*(CN$15&gt;$I162)*(1-CN$12)</f>
        <v>0</v>
      </c>
      <c r="CO162" s="747">
        <f>$G162*$H162*(1+$K162)^MAX(ROUNDUP(IFERROR(DATEDIF($I144-1,CO$15+1,"m"),)/12,)-1,)*Index!CK$22*(CO$15&gt;$I162)*(1-CO$12)</f>
        <v>0</v>
      </c>
      <c r="CP162" s="747">
        <f>$G162*$H162*(1+$K162)^MAX(ROUNDUP(IFERROR(DATEDIF($I144-1,CP$15+1,"m"),)/12,)-1,)*Index!CL$22*(CP$15&gt;$I162)*(1-CP$12)</f>
        <v>0</v>
      </c>
      <c r="CQ162" s="747">
        <f>$G162*$H162*(1+$K162)^MAX(ROUNDUP(IFERROR(DATEDIF($I144-1,CQ$15+1,"m"),)/12,)-1,)*Index!CM$22*(CQ$15&gt;$I162)*(1-CQ$12)</f>
        <v>0</v>
      </c>
      <c r="CR162" s="747">
        <f>$G162*$H162*(1+$K162)^MAX(ROUNDUP(IFERROR(DATEDIF($I144-1,CR$15+1,"m"),)/12,)-1,)*Index!CN$22*(CR$15&gt;$I162)*(1-CR$12)</f>
        <v>0</v>
      </c>
      <c r="CS162" s="747">
        <f>$G162*$H162*(1+$K162)^MAX(ROUNDUP(IFERROR(DATEDIF($I144-1,CS$15+1,"m"),)/12,)-1,)*Index!CO$22*(CS$15&gt;$I162)*(1-CS$12)</f>
        <v>0</v>
      </c>
      <c r="CT162" s="747">
        <f>$G162*$H162*(1+$K162)^MAX(ROUNDUP(IFERROR(DATEDIF($I144-1,CT$15+1,"m"),)/12,)-1,)*Index!CP$22*(CT$15&gt;$I162)*(1-CT$12)</f>
        <v>0</v>
      </c>
      <c r="CU162" s="747">
        <f>$G162*$H162*(1+$K162)^MAX(ROUNDUP(IFERROR(DATEDIF($I144-1,CU$15+1,"m"),)/12,)-1,)*Index!CQ$22*(CU$15&gt;$I162)*(1-CU$12)</f>
        <v>0</v>
      </c>
      <c r="CV162" s="747">
        <f>$G162*$H162*(1+$K162)^MAX(ROUNDUP(IFERROR(DATEDIF($I144-1,CV$15+1,"m"),)/12,)-1,)*Index!CR$22*(CV$15&gt;$I162)*(1-CV$12)</f>
        <v>0</v>
      </c>
      <c r="CW162" s="747">
        <f>$G162*$H162*(1+$K162)^MAX(ROUNDUP(IFERROR(DATEDIF($I144-1,CW$15+1,"m"),)/12,)-1,)*Index!CS$22*(CW$15&gt;$I162)*(1-CW$12)</f>
        <v>0</v>
      </c>
      <c r="CX162" s="747">
        <f>$G162*$H162*(1+$K162)^MAX(ROUNDUP(IFERROR(DATEDIF($I144-1,CX$15+1,"m"),)/12,)-1,)*Index!CT$22*(CX$15&gt;$I162)*(1-CX$12)</f>
        <v>0</v>
      </c>
      <c r="CY162" s="747">
        <f>$G162*$H162*(1+$K162)^MAX(ROUNDUP(IFERROR(DATEDIF($I144-1,CY$15+1,"m"),)/12,)-1,)*Index!CU$22*(CY$15&gt;$I162)*(1-CY$12)</f>
        <v>0</v>
      </c>
      <c r="CZ162" s="747">
        <f>$G162*$H162*(1+$K162)^MAX(ROUNDUP(IFERROR(DATEDIF($I144-1,CZ$15+1,"m"),)/12,)-1,)*Index!CV$22*(CZ$15&gt;$I162)*(1-CZ$12)</f>
        <v>0</v>
      </c>
      <c r="DA162" s="747">
        <f>$G162*$H162*(1+$K162)^MAX(ROUNDUP(IFERROR(DATEDIF($I144-1,DA$15+1,"m"),)/12,)-1,)*Index!CW$22*(DA$15&gt;$I162)*(1-DA$12)</f>
        <v>0</v>
      </c>
      <c r="DB162" s="747">
        <f>$G162*$H162*(1+$K162)^MAX(ROUNDUP(IFERROR(DATEDIF($I144-1,DB$15+1,"m"),)/12,)-1,)*Index!CX$22*(DB$15&gt;$I162)*(1-DB$12)</f>
        <v>0</v>
      </c>
      <c r="DC162" s="747">
        <f>$G162*$H162*(1+$K162)^MAX(ROUNDUP(IFERROR(DATEDIF($I144-1,DC$15+1,"m"),)/12,)-1,)*Index!CY$22*(DC$15&gt;$I162)*(1-DC$12)</f>
        <v>277.54918954512129</v>
      </c>
      <c r="DD162" s="747">
        <f>$G162*$H162*(1+$K162)^MAX(ROUNDUP(IFERROR(DATEDIF($I144-1,DD$15+1,"m"),)/12,)-1,)*Index!CZ$22*(DD$15&gt;$I162)*(1-DD$12)</f>
        <v>277.54918954512129</v>
      </c>
      <c r="DE162" s="747">
        <f>$G162*$H162*(1+$K162)^MAX(ROUNDUP(IFERROR(DATEDIF($I144-1,DE$15+1,"m"),)/12,)-1,)*Index!DA$22*(DE$15&gt;$I162)*(1-DE$12)</f>
        <v>277.54918954512129</v>
      </c>
      <c r="DF162" s="747">
        <f>$G162*$H162*(1+$K162)^MAX(ROUNDUP(IFERROR(DATEDIF($I144-1,DF$15+1,"m"),)/12,)-1,)*Index!DB$22*(DF$15&gt;$I162)*(1-DF$12)</f>
        <v>277.54918954512129</v>
      </c>
      <c r="DG162" s="747">
        <f>$G162*$H162*(1+$K162)^MAX(ROUNDUP(IFERROR(DATEDIF($I144-1,DG$15+1,"m"),)/12,)-1,)*Index!DC$22*(DG$15&gt;$I162)*(1-DG$12)</f>
        <v>277.54918954512129</v>
      </c>
      <c r="DH162" s="747">
        <f>$G162*$H162*(1+$K162)^MAX(ROUNDUP(IFERROR(DATEDIF($I144-1,DH$15+1,"m"),)/12,)-1,)*Index!DD$22*(DH$15&gt;$I162)*(1-DH$12)</f>
        <v>277.54918954512129</v>
      </c>
      <c r="DI162" s="747">
        <f>$G162*$H162*(1+$K162)^MAX(ROUNDUP(IFERROR(DATEDIF($I144-1,DI$15+1,"m"),)/12,)-1,)*Index!DE$22*(DI$15&gt;$I162)*(1-DI$12)</f>
        <v>284.48791928374931</v>
      </c>
      <c r="DJ162" s="747">
        <f>$G162*$H162*(1+$K162)^MAX(ROUNDUP(IFERROR(DATEDIF($I144-1,DJ$15+1,"m"),)/12,)-1,)*Index!DF$22*(DJ$15&gt;$I162)*(1-DJ$12)</f>
        <v>284.48791928374931</v>
      </c>
      <c r="DK162" s="747">
        <f>$G162*$H162*(1+$K162)^MAX(ROUNDUP(IFERROR(DATEDIF($I144-1,DK$15+1,"m"),)/12,)-1,)*Index!DG$22*(DK$15&gt;$I162)*(1-DK$12)</f>
        <v>284.48791928374931</v>
      </c>
      <c r="DL162" s="747">
        <f>$G162*$H162*(1+$K162)^MAX(ROUNDUP(IFERROR(DATEDIF($I144-1,DL$15+1,"m"),)/12,)-1,)*Index!DH$22*(DL$15&gt;$I162)*(1-DL$12)</f>
        <v>284.48791928374931</v>
      </c>
      <c r="DM162" s="747">
        <f>$G162*$H162*(1+$K162)^MAX(ROUNDUP(IFERROR(DATEDIF($I144-1,DM$15+1,"m"),)/12,)-1,)*Index!DI$22*(DM$15&gt;$I162)*(1-DM$12)</f>
        <v>284.48791928374931</v>
      </c>
      <c r="DN162" s="747">
        <f>$G162*$H162*(1+$K162)^MAX(ROUNDUP(IFERROR(DATEDIF($I144-1,DN$15+1,"m"),)/12,)-1,)*Index!DJ$22*(DN$15&gt;$I162)*(1-DN$12)</f>
        <v>284.48791928374931</v>
      </c>
      <c r="DO162" s="747">
        <f>$G162*$H162*(1+$K162)^MAX(ROUNDUP(IFERROR(DATEDIF($I144-1,DO$15+1,"m"),)/12,)-1,)*Index!DK$22*(DO$15&gt;$I162)*(1-DO$12)</f>
        <v>284.48791928374931</v>
      </c>
      <c r="DP162" s="747">
        <f>$G162*$H162*(1+$K162)^MAX(ROUNDUP(IFERROR(DATEDIF($I144-1,DP$15+1,"m"),)/12,)-1,)*Index!DL$22*(DP$15&gt;$I162)*(1-DP$12)</f>
        <v>284.48791928374931</v>
      </c>
      <c r="DQ162" s="747">
        <f>$G162*$H162*(1+$K162)^MAX(ROUNDUP(IFERROR(DATEDIF($I144-1,DQ$15+1,"m"),)/12,)-1,)*Index!DM$22*(DQ$15&gt;$I162)*(1-DQ$12)</f>
        <v>284.48791928374931</v>
      </c>
      <c r="DR162" s="747">
        <f>$G162*$H162*(1+$K162)^MAX(ROUNDUP(IFERROR(DATEDIF($I144-1,DR$15+1,"m"),)/12,)-1,)*Index!DN$22*(DR$15&gt;$I162)*(1-DR$12)</f>
        <v>284.48791928374931</v>
      </c>
      <c r="DS162" s="747">
        <f>$G162*$H162*(1+$K162)^MAX(ROUNDUP(IFERROR(DATEDIF($I144-1,DS$15+1,"m"),)/12,)-1,)*Index!DO$22*(DS$15&gt;$I162)*(1-DS$12)</f>
        <v>284.48791928374931</v>
      </c>
      <c r="DT162" s="747">
        <f>$G162*$H162*(1+$K162)^MAX(ROUNDUP(IFERROR(DATEDIF($I144-1,DT$15+1,"m"),)/12,)-1,)*Index!DP$22*(DT$15&gt;$I162)*(1-DT$12)</f>
        <v>284.48791928374931</v>
      </c>
      <c r="DU162" s="747">
        <f>$G162*$H162*(1+$K162)^MAX(ROUNDUP(IFERROR(DATEDIF($I144-1,DU$15+1,"m"),)/12,)-1,)*Index!DQ$22*(DU$15&gt;$I162)*(1-DU$12)</f>
        <v>291.60011726584298</v>
      </c>
      <c r="DV162" s="747">
        <f>$G162*$H162*(1+$K162)^MAX(ROUNDUP(IFERROR(DATEDIF($I144-1,DV$15+1,"m"),)/12,)-1,)*Index!DR$22*(DV$15&gt;$I162)*(1-DV$12)</f>
        <v>291.60011726584298</v>
      </c>
      <c r="DW162" s="747">
        <f>$G162*$H162*(1+$K162)^MAX(ROUNDUP(IFERROR(DATEDIF($I144-1,DW$15+1,"m"),)/12,)-1,)*Index!DS$22*(DW$15&gt;$I162)*(1-DW$12)</f>
        <v>291.60011726584298</v>
      </c>
      <c r="DX162" s="747">
        <f>$G162*$H162*(1+$K162)^MAX(ROUNDUP(IFERROR(DATEDIF($I144-1,DX$15+1,"m"),)/12,)-1,)*Index!DT$22*(DX$15&gt;$I162)*(1-DX$12)</f>
        <v>291.60011726584298</v>
      </c>
      <c r="DY162" s="747">
        <f>$G162*$H162*(1+$K162)^MAX(ROUNDUP(IFERROR(DATEDIF($I144-1,DY$15+1,"m"),)/12,)-1,)*Index!DU$22*(DY$15&gt;$I162)*(1-DY$12)</f>
        <v>291.60011726584298</v>
      </c>
      <c r="DZ162" s="747">
        <f>$G162*$H162*(1+$K162)^MAX(ROUNDUP(IFERROR(DATEDIF($I144-1,DZ$15+1,"m"),)/12,)-1,)*Index!DV$22*(DZ$15&gt;$I162)*(1-DZ$12)</f>
        <v>291.60011726584298</v>
      </c>
      <c r="EA162" s="747">
        <f>$G162*$H162*(1+$K162)^MAX(ROUNDUP(IFERROR(DATEDIF($I144-1,EA$15+1,"m"),)/12,)-1,)*Index!DW$22*(EA$15&gt;$I162)*(1-EA$12)</f>
        <v>291.60011726584298</v>
      </c>
      <c r="EB162" s="747">
        <f>$G162*$H162*(1+$K162)^MAX(ROUNDUP(IFERROR(DATEDIF($I144-1,EB$15+1,"m"),)/12,)-1,)*Index!DX$22*(EB$15&gt;$I162)*(1-EB$12)</f>
        <v>291.60011726584298</v>
      </c>
      <c r="EC162" s="747">
        <f>$G162*$H162*(1+$K162)^MAX(ROUNDUP(IFERROR(DATEDIF($I144-1,EC$15+1,"m"),)/12,)-1,)*Index!DY$22*(EC$15&gt;$I162)*(1-EC$12)</f>
        <v>291.60011726584298</v>
      </c>
      <c r="ED162" s="747">
        <f>$G162*$H162*(1+$K162)^MAX(ROUNDUP(IFERROR(DATEDIF($I144-1,ED$15+1,"m"),)/12,)-1,)*Index!DZ$22*(ED$15&gt;$I162)*(1-ED$12)</f>
        <v>291.60011726584298</v>
      </c>
      <c r="EE162" s="747">
        <f>$G162*$H162*(1+$K162)^MAX(ROUNDUP(IFERROR(DATEDIF($I144-1,EE$15+1,"m"),)/12,)-1,)*Index!EA$22*(EE$15&gt;$I162)*(1-EE$12)</f>
        <v>291.60011726584298</v>
      </c>
      <c r="EF162" s="747">
        <f>$G162*$H162*(1+$K162)^MAX(ROUNDUP(IFERROR(DATEDIF($I144-1,EF$15+1,"m"),)/12,)-1,)*Index!EB$22*(EF$15&gt;$I162)*(1-EF$12)</f>
        <v>291.60011726584298</v>
      </c>
      <c r="EG162" s="747">
        <f>$G162*$H162*(1+$K162)^MAX(ROUNDUP(IFERROR(DATEDIF($I144-1,EG$15+1,"m"),)/12,)-1,)*Index!EC$22*(EG$15&gt;$I162)*(1-EG$12)</f>
        <v>0</v>
      </c>
      <c r="EH162" s="747">
        <f>$G162*$H162*(1+$K162)^MAX(ROUNDUP(IFERROR(DATEDIF($I144-1,EH$15+1,"m"),)/12,)-1,)*Index!ED$22*(EH$15&gt;$I162)*(1-EH$12)</f>
        <v>0</v>
      </c>
      <c r="EI162" s="747">
        <f>$G162*$H162*(1+$K162)^MAX(ROUNDUP(IFERROR(DATEDIF($I144-1,EI$15+1,"m"),)/12,)-1,)*Index!EE$22*(EI$15&gt;$I162)*(1-EI$12)</f>
        <v>0</v>
      </c>
      <c r="EJ162" s="747">
        <f>$G162*$H162*(1+$K162)^MAX(ROUNDUP(IFERROR(DATEDIF($I144-1,EJ$15+1,"m"),)/12,)-1,)*Index!EF$22*(EJ$15&gt;$I162)*(1-EJ$12)</f>
        <v>0</v>
      </c>
      <c r="EK162" s="747">
        <f>$G162*$H162*(1+$K162)^MAX(ROUNDUP(IFERROR(DATEDIF($I144-1,EK$15+1,"m"),)/12,)-1,)*Index!EG$22*(EK$15&gt;$I162)*(1-EK$12)</f>
        <v>0</v>
      </c>
      <c r="EL162" s="747">
        <f>$G162*$H162*(1+$K162)^MAX(ROUNDUP(IFERROR(DATEDIF($I144-1,EL$15+1,"m"),)/12,)-1,)*Index!EH$22*(EL$15&gt;$I162)*(1-EL$12)</f>
        <v>0</v>
      </c>
      <c r="EM162" s="747">
        <f>$G162*$H162*(1+$K162)^MAX(ROUNDUP(IFERROR(DATEDIF($I144-1,EM$15+1,"m"),)/12,)-1,)*Index!EI$22*(EM$15&gt;$I162)*(1-EM$12)</f>
        <v>0</v>
      </c>
      <c r="EN162" s="747">
        <f>$G162*$H162*(1+$K162)^MAX(ROUNDUP(IFERROR(DATEDIF($I144-1,EN$15+1,"m"),)/12,)-1,)*Index!EJ$22*(EN$15&gt;$I162)*(1-EN$12)</f>
        <v>0</v>
      </c>
      <c r="EO162" s="747">
        <f>$G162*$H162*(1+$K162)^MAX(ROUNDUP(IFERROR(DATEDIF($I144-1,EO$15+1,"m"),)/12,)-1,)*Index!EK$22*(EO$15&gt;$I162)*(1-EO$12)</f>
        <v>0</v>
      </c>
      <c r="EP162" s="747">
        <f>$G162*$H162*(1+$K162)^MAX(ROUNDUP(IFERROR(DATEDIF($I144-1,EP$15+1,"m"),)/12,)-1,)*Index!EL$22*(EP$15&gt;$I162)*(1-EP$12)</f>
        <v>0</v>
      </c>
      <c r="EQ162" s="747">
        <f>$G162*$H162*(1+$K162)^MAX(ROUNDUP(IFERROR(DATEDIF($I144-1,EQ$15+1,"m"),)/12,)-1,)*Index!EM$22*(EQ$15&gt;$I162)*(1-EQ$12)</f>
        <v>0</v>
      </c>
      <c r="ER162" s="747">
        <f>$G162*$H162*(1+$K162)^MAX(ROUNDUP(IFERROR(DATEDIF($I144-1,ER$15+1,"m"),)/12,)-1,)*Index!EN$22*(ER$15&gt;$I162)*(1-ER$12)</f>
        <v>0</v>
      </c>
      <c r="ES162" s="747">
        <f>$G162*$H162*(1+$K162)^MAX(ROUNDUP(IFERROR(DATEDIF($I144-1,ES$15+1,"m"),)/12,)-1,)*Index!EO$22*(ES$15&gt;$I162)*(1-ES$12)</f>
        <v>0</v>
      </c>
      <c r="ET162" s="747">
        <f>$G162*$H162*(1+$K162)^MAX(ROUNDUP(IFERROR(DATEDIF($I144-1,ET$15+1,"m"),)/12,)-1,)*Index!EP$22*(ET$15&gt;$I162)*(1-ET$12)</f>
        <v>0</v>
      </c>
      <c r="EU162" s="747">
        <f>$G162*$H162*(1+$K162)^MAX(ROUNDUP(IFERROR(DATEDIF($I144-1,EU$15+1,"m"),)/12,)-1,)*Index!EQ$22*(EU$15&gt;$I162)*(1-EU$12)</f>
        <v>0</v>
      </c>
    </row>
    <row r="163" spans="3:151" ht="11.25" customHeight="1">
      <c r="C163" s="735"/>
      <c r="D163" s="743">
        <f t="shared" si="243"/>
        <v>8</v>
      </c>
      <c r="E163" s="704" t="str">
        <f t="shared" si="243"/>
        <v>쿠팡</v>
      </c>
      <c r="F163" s="704" t="str">
        <f t="shared" si="243"/>
        <v>상온창고</v>
      </c>
      <c r="G163" s="781" cm="1">
        <f t="array" ref="G163">SUMPRODUCT(($E163='A&amp;R'!$V$26:$V$32)*('A&amp;R'!$AC$26:$AC$32))/1000</f>
        <v>2.9900433370455741</v>
      </c>
      <c r="H163" s="744">
        <f t="shared" si="244"/>
        <v>63.86</v>
      </c>
      <c r="I163" s="745">
        <f t="shared" si="245"/>
        <v>49064</v>
      </c>
      <c r="J163" s="745"/>
      <c r="K163" s="754">
        <f t="shared" si="246"/>
        <v>2.5000000000000001E-2</v>
      </c>
      <c r="L163" s="746"/>
      <c r="M163" s="722"/>
      <c r="N163" s="747">
        <f t="shared" si="247"/>
        <v>7015.1559948110189</v>
      </c>
      <c r="O163" s="733"/>
      <c r="P163" s="747">
        <f>$G163*$H163*(1+$K163)^MAX(ROUNDUP(IFERROR(DATEDIF($I145-1,P$15+1,"m"),)/12,)-1,)*Index!L$22*(P$15&gt;$I163)*(1-P$12)</f>
        <v>0</v>
      </c>
      <c r="Q163" s="747">
        <f>$G163*$H163*(1+$K163)^MAX(ROUNDUP(IFERROR(DATEDIF($I145-1,Q$15+1,"m"),)/12,)-1,)*Index!M$22*(Q$15&gt;$I163)*(1-Q$12)</f>
        <v>0</v>
      </c>
      <c r="R163" s="747">
        <f>$G163*$H163*(1+$K163)^MAX(ROUNDUP(IFERROR(DATEDIF($I145-1,R$15+1,"m"),)/12,)-1,)*Index!N$22*(R$15&gt;$I163)*(1-R$12)</f>
        <v>0</v>
      </c>
      <c r="S163" s="747">
        <f>$G163*$H163*(1+$K163)^MAX(ROUNDUP(IFERROR(DATEDIF($I145-1,S$15+1,"m"),)/12,)-1,)*Index!O$22*(S$15&gt;$I163)*(1-S$12)</f>
        <v>0</v>
      </c>
      <c r="T163" s="747">
        <f>$G163*$H163*(1+$K163)^MAX(ROUNDUP(IFERROR(DATEDIF($I145-1,T$15+1,"m"),)/12,)-1,)*Index!P$22*(T$15&gt;$I163)*(1-T$12)</f>
        <v>0</v>
      </c>
      <c r="U163" s="747">
        <f>$G163*$H163*(1+$K163)^MAX(ROUNDUP(IFERROR(DATEDIF($I145-1,U$15+1,"m"),)/12,)-1,)*Index!Q$22*(U$15&gt;$I163)*(1-U$12)</f>
        <v>0</v>
      </c>
      <c r="V163" s="747">
        <f>$G163*$H163*(1+$K163)^MAX(ROUNDUP(IFERROR(DATEDIF($I145-1,V$15+1,"m"),)/12,)-1,)*Index!R$22*(V$15&gt;$I163)*(1-V$12)</f>
        <v>0</v>
      </c>
      <c r="W163" s="747">
        <f>$G163*$H163*(1+$K163)^MAX(ROUNDUP(IFERROR(DATEDIF($I145-1,W$15+1,"m"),)/12,)-1,)*Index!S$22*(W$15&gt;$I163)*(1-W$12)</f>
        <v>0</v>
      </c>
      <c r="X163" s="747">
        <f>$G163*$H163*(1+$K163)^MAX(ROUNDUP(IFERROR(DATEDIF($I145-1,X$15+1,"m"),)/12,)-1,)*Index!T$22*(X$15&gt;$I163)*(1-X$12)</f>
        <v>0</v>
      </c>
      <c r="Y163" s="747">
        <f>$G163*$H163*(1+$K163)^MAX(ROUNDUP(IFERROR(DATEDIF($I145-1,Y$15+1,"m"),)/12,)-1,)*Index!U$22*(Y$15&gt;$I163)*(1-Y$12)</f>
        <v>0</v>
      </c>
      <c r="Z163" s="747">
        <f>$G163*$H163*(1+$K163)^MAX(ROUNDUP(IFERROR(DATEDIF($I145-1,Z$15+1,"m"),)/12,)-1,)*Index!V$22*(Z$15&gt;$I163)*(1-Z$12)</f>
        <v>0</v>
      </c>
      <c r="AA163" s="747">
        <f>$G163*$H163*(1+$K163)^MAX(ROUNDUP(IFERROR(DATEDIF($I145-1,AA$15+1,"m"),)/12,)-1,)*Index!W$22*(AA$15&gt;$I163)*(1-AA$12)</f>
        <v>0</v>
      </c>
      <c r="AB163" s="747">
        <f>$G163*$H163*(1+$K163)^MAX(ROUNDUP(IFERROR(DATEDIF($I145-1,AB$15+1,"m"),)/12,)-1,)*Index!X$22*(AB$15&gt;$I163)*(1-AB$12)</f>
        <v>0</v>
      </c>
      <c r="AC163" s="747">
        <f>$G163*$H163*(1+$K163)^MAX(ROUNDUP(IFERROR(DATEDIF($I145-1,AC$15+1,"m"),)/12,)-1,)*Index!Y$22*(AC$15&gt;$I163)*(1-AC$12)</f>
        <v>0</v>
      </c>
      <c r="AD163" s="747">
        <f>$G163*$H163*(1+$K163)^MAX(ROUNDUP(IFERROR(DATEDIF($I145-1,AD$15+1,"m"),)/12,)-1,)*Index!Z$22*(AD$15&gt;$I163)*(1-AD$12)</f>
        <v>0</v>
      </c>
      <c r="AE163" s="747">
        <f>$G163*$H163*(1+$K163)^MAX(ROUNDUP(IFERROR(DATEDIF($I145-1,AE$15+1,"m"),)/12,)-1,)*Index!AA$22*(AE$15&gt;$I163)*(1-AE$12)</f>
        <v>0</v>
      </c>
      <c r="AF163" s="747">
        <f>$G163*$H163*(1+$K163)^MAX(ROUNDUP(IFERROR(DATEDIF($I145-1,AF$15+1,"m"),)/12,)-1,)*Index!AB$22*(AF$15&gt;$I163)*(1-AF$12)</f>
        <v>0</v>
      </c>
      <c r="AG163" s="747">
        <f>$G163*$H163*(1+$K163)^MAX(ROUNDUP(IFERROR(DATEDIF($I145-1,AG$15+1,"m"),)/12,)-1,)*Index!AC$22*(AG$15&gt;$I163)*(1-AG$12)</f>
        <v>0</v>
      </c>
      <c r="AH163" s="747">
        <f>$G163*$H163*(1+$K163)^MAX(ROUNDUP(IFERROR(DATEDIF($I145-1,AH$15+1,"m"),)/12,)-1,)*Index!AD$22*(AH$15&gt;$I163)*(1-AH$12)</f>
        <v>0</v>
      </c>
      <c r="AI163" s="747">
        <f>$G163*$H163*(1+$K163)^MAX(ROUNDUP(IFERROR(DATEDIF($I145-1,AI$15+1,"m"),)/12,)-1,)*Index!AE$22*(AI$15&gt;$I163)*(1-AI$12)</f>
        <v>0</v>
      </c>
      <c r="AJ163" s="747">
        <f>$G163*$H163*(1+$K163)^MAX(ROUNDUP(IFERROR(DATEDIF($I145-1,AJ$15+1,"m"),)/12,)-1,)*Index!AF$22*(AJ$15&gt;$I163)*(1-AJ$12)</f>
        <v>0</v>
      </c>
      <c r="AK163" s="747">
        <f>$G163*$H163*(1+$K163)^MAX(ROUNDUP(IFERROR(DATEDIF($I145-1,AK$15+1,"m"),)/12,)-1,)*Index!AG$22*(AK$15&gt;$I163)*(1-AK$12)</f>
        <v>0</v>
      </c>
      <c r="AL163" s="747">
        <f>$G163*$H163*(1+$K163)^MAX(ROUNDUP(IFERROR(DATEDIF($I145-1,AL$15+1,"m"),)/12,)-1,)*Index!AH$22*(AL$15&gt;$I163)*(1-AL$12)</f>
        <v>0</v>
      </c>
      <c r="AM163" s="747">
        <f>$G163*$H163*(1+$K163)^MAX(ROUNDUP(IFERROR(DATEDIF($I145-1,AM$15+1,"m"),)/12,)-1,)*Index!AI$22*(AM$15&gt;$I163)*(1-AM$12)</f>
        <v>0</v>
      </c>
      <c r="AN163" s="747">
        <f>$G163*$H163*(1+$K163)^MAX(ROUNDUP(IFERROR(DATEDIF($I145-1,AN$15+1,"m"),)/12,)-1,)*Index!AJ$22*(AN$15&gt;$I163)*(1-AN$12)</f>
        <v>0</v>
      </c>
      <c r="AO163" s="747">
        <f>$G163*$H163*(1+$K163)^MAX(ROUNDUP(IFERROR(DATEDIF($I145-1,AO$15+1,"m"),)/12,)-1,)*Index!AK$22*(AO$15&gt;$I163)*(1-AO$12)</f>
        <v>0</v>
      </c>
      <c r="AP163" s="747">
        <f>$G163*$H163*(1+$K163)^MAX(ROUNDUP(IFERROR(DATEDIF($I145-1,AP$15+1,"m"),)/12,)-1,)*Index!AL$22*(AP$15&gt;$I163)*(1-AP$12)</f>
        <v>0</v>
      </c>
      <c r="AQ163" s="747">
        <f>$G163*$H163*(1+$K163)^MAX(ROUNDUP(IFERROR(DATEDIF($I145-1,AQ$15+1,"m"),)/12,)-1,)*Index!AM$22*(AQ$15&gt;$I163)*(1-AQ$12)</f>
        <v>0</v>
      </c>
      <c r="AR163" s="747">
        <f>$G163*$H163*(1+$K163)^MAX(ROUNDUP(IFERROR(DATEDIF($I145-1,AR$15+1,"m"),)/12,)-1,)*Index!AN$22*(AR$15&gt;$I163)*(1-AR$12)</f>
        <v>0</v>
      </c>
      <c r="AS163" s="747">
        <f>$G163*$H163*(1+$K163)^MAX(ROUNDUP(IFERROR(DATEDIF($I145-1,AS$15+1,"m"),)/12,)-1,)*Index!AO$22*(AS$15&gt;$I163)*(1-AS$12)</f>
        <v>0</v>
      </c>
      <c r="AT163" s="747">
        <f>$G163*$H163*(1+$K163)^MAX(ROUNDUP(IFERROR(DATEDIF($I145-1,AT$15+1,"m"),)/12,)-1,)*Index!AP$22*(AT$15&gt;$I163)*(1-AT$12)</f>
        <v>0</v>
      </c>
      <c r="AU163" s="747">
        <f>$G163*$H163*(1+$K163)^MAX(ROUNDUP(IFERROR(DATEDIF($I145-1,AU$15+1,"m"),)/12,)-1,)*Index!AQ$22*(AU$15&gt;$I163)*(1-AU$12)</f>
        <v>0</v>
      </c>
      <c r="AV163" s="747">
        <f>$G163*$H163*(1+$K163)^MAX(ROUNDUP(IFERROR(DATEDIF($I145-1,AV$15+1,"m"),)/12,)-1,)*Index!AR$22*(AV$15&gt;$I163)*(1-AV$12)</f>
        <v>0</v>
      </c>
      <c r="AW163" s="747">
        <f>$G163*$H163*(1+$K163)^MAX(ROUNDUP(IFERROR(DATEDIF($I145-1,AW$15+1,"m"),)/12,)-1,)*Index!AS$22*(AW$15&gt;$I163)*(1-AW$12)</f>
        <v>0</v>
      </c>
      <c r="AX163" s="747">
        <f>$G163*$H163*(1+$K163)^MAX(ROUNDUP(IFERROR(DATEDIF($I145-1,AX$15+1,"m"),)/12,)-1,)*Index!AT$22*(AX$15&gt;$I163)*(1-AX$12)</f>
        <v>0</v>
      </c>
      <c r="AY163" s="747">
        <f>$G163*$H163*(1+$K163)^MAX(ROUNDUP(IFERROR(DATEDIF($I145-1,AY$15+1,"m"),)/12,)-1,)*Index!AU$22*(AY$15&gt;$I163)*(1-AY$12)</f>
        <v>0</v>
      </c>
      <c r="AZ163" s="747">
        <f>$G163*$H163*(1+$K163)^MAX(ROUNDUP(IFERROR(DATEDIF($I145-1,AZ$15+1,"m"),)/12,)-1,)*Index!AV$22*(AZ$15&gt;$I163)*(1-AZ$12)</f>
        <v>0</v>
      </c>
      <c r="BA163" s="747">
        <f>$G163*$H163*(1+$K163)^MAX(ROUNDUP(IFERROR(DATEDIF($I145-1,BA$15+1,"m"),)/12,)-1,)*Index!AW$22*(BA$15&gt;$I163)*(1-BA$12)</f>
        <v>0</v>
      </c>
      <c r="BB163" s="747">
        <f>$G163*$H163*(1+$K163)^MAX(ROUNDUP(IFERROR(DATEDIF($I145-1,BB$15+1,"m"),)/12,)-1,)*Index!AX$22*(BB$15&gt;$I163)*(1-BB$12)</f>
        <v>0</v>
      </c>
      <c r="BC163" s="747">
        <f>$G163*$H163*(1+$K163)^MAX(ROUNDUP(IFERROR(DATEDIF($I145-1,BC$15+1,"m"),)/12,)-1,)*Index!AY$22*(BC$15&gt;$I163)*(1-BC$12)</f>
        <v>0</v>
      </c>
      <c r="BD163" s="747">
        <f>$G163*$H163*(1+$K163)^MAX(ROUNDUP(IFERROR(DATEDIF($I145-1,BD$15+1,"m"),)/12,)-1,)*Index!AZ$22*(BD$15&gt;$I163)*(1-BD$12)</f>
        <v>0</v>
      </c>
      <c r="BE163" s="747">
        <f>$G163*$H163*(1+$K163)^MAX(ROUNDUP(IFERROR(DATEDIF($I145-1,BE$15+1,"m"),)/12,)-1,)*Index!BA$22*(BE$15&gt;$I163)*(1-BE$12)</f>
        <v>0</v>
      </c>
      <c r="BF163" s="747">
        <f>$G163*$H163*(1+$K163)^MAX(ROUNDUP(IFERROR(DATEDIF($I145-1,BF$15+1,"m"),)/12,)-1,)*Index!BB$22*(BF$15&gt;$I163)*(1-BF$12)</f>
        <v>0</v>
      </c>
      <c r="BG163" s="747">
        <f>$G163*$H163*(1+$K163)^MAX(ROUNDUP(IFERROR(DATEDIF($I145-1,BG$15+1,"m"),)/12,)-1,)*Index!BC$22*(BG$15&gt;$I163)*(1-BG$12)</f>
        <v>0</v>
      </c>
      <c r="BH163" s="747">
        <f>$G163*$H163*(1+$K163)^MAX(ROUNDUP(IFERROR(DATEDIF($I145-1,BH$15+1,"m"),)/12,)-1,)*Index!BD$22*(BH$15&gt;$I163)*(1-BH$12)</f>
        <v>0</v>
      </c>
      <c r="BI163" s="747">
        <f>$G163*$H163*(1+$K163)^MAX(ROUNDUP(IFERROR(DATEDIF($I145-1,BI$15+1,"m"),)/12,)-1,)*Index!BE$22*(BI$15&gt;$I163)*(1-BI$12)</f>
        <v>0</v>
      </c>
      <c r="BJ163" s="747">
        <f>$G163*$H163*(1+$K163)^MAX(ROUNDUP(IFERROR(DATEDIF($I145-1,BJ$15+1,"m"),)/12,)-1,)*Index!BF$22*(BJ$15&gt;$I163)*(1-BJ$12)</f>
        <v>0</v>
      </c>
      <c r="BK163" s="747">
        <f>$G163*$H163*(1+$K163)^MAX(ROUNDUP(IFERROR(DATEDIF($I145-1,BK$15+1,"m"),)/12,)-1,)*Index!BG$22*(BK$15&gt;$I163)*(1-BK$12)</f>
        <v>0</v>
      </c>
      <c r="BL163" s="747">
        <f>$G163*$H163*(1+$K163)^MAX(ROUNDUP(IFERROR(DATEDIF($I145-1,BL$15+1,"m"),)/12,)-1,)*Index!BH$22*(BL$15&gt;$I163)*(1-BL$12)</f>
        <v>0</v>
      </c>
      <c r="BM163" s="747">
        <f>$G163*$H163*(1+$K163)^MAX(ROUNDUP(IFERROR(DATEDIF($I145-1,BM$15+1,"m"),)/12,)-1,)*Index!BI$22*(BM$15&gt;$I163)*(1-BM$12)</f>
        <v>0</v>
      </c>
      <c r="BN163" s="747">
        <f>$G163*$H163*(1+$K163)^MAX(ROUNDUP(IFERROR(DATEDIF($I145-1,BN$15+1,"m"),)/12,)-1,)*Index!BJ$22*(BN$15&gt;$I163)*(1-BN$12)</f>
        <v>0</v>
      </c>
      <c r="BO163" s="747">
        <f>$G163*$H163*(1+$K163)^MAX(ROUNDUP(IFERROR(DATEDIF($I145-1,BO$15+1,"m"),)/12,)-1,)*Index!BK$22*(BO$15&gt;$I163)*(1-BO$12)</f>
        <v>0</v>
      </c>
      <c r="BP163" s="747">
        <f>$G163*$H163*(1+$K163)^MAX(ROUNDUP(IFERROR(DATEDIF($I145-1,BP$15+1,"m"),)/12,)-1,)*Index!BL$22*(BP$15&gt;$I163)*(1-BP$12)</f>
        <v>0</v>
      </c>
      <c r="BQ163" s="747">
        <f>$G163*$H163*(1+$K163)^MAX(ROUNDUP(IFERROR(DATEDIF($I145-1,BQ$15+1,"m"),)/12,)-1,)*Index!BM$22*(BQ$15&gt;$I163)*(1-BQ$12)</f>
        <v>0</v>
      </c>
      <c r="BR163" s="747">
        <f>$G163*$H163*(1+$K163)^MAX(ROUNDUP(IFERROR(DATEDIF($I145-1,BR$15+1,"m"),)/12,)-1,)*Index!BN$22*(BR$15&gt;$I163)*(1-BR$12)</f>
        <v>0</v>
      </c>
      <c r="BS163" s="747">
        <f>$G163*$H163*(1+$K163)^MAX(ROUNDUP(IFERROR(DATEDIF($I145-1,BS$15+1,"m"),)/12,)-1,)*Index!BO$22*(BS$15&gt;$I163)*(1-BS$12)</f>
        <v>0</v>
      </c>
      <c r="BT163" s="747">
        <f>$G163*$H163*(1+$K163)^MAX(ROUNDUP(IFERROR(DATEDIF($I145-1,BT$15+1,"m"),)/12,)-1,)*Index!BP$22*(BT$15&gt;$I163)*(1-BT$12)</f>
        <v>0</v>
      </c>
      <c r="BU163" s="747">
        <f>$G163*$H163*(1+$K163)^MAX(ROUNDUP(IFERROR(DATEDIF($I145-1,BU$15+1,"m"),)/12,)-1,)*Index!BQ$22*(BU$15&gt;$I163)*(1-BU$12)</f>
        <v>0</v>
      </c>
      <c r="BV163" s="747">
        <f>$G163*$H163*(1+$K163)^MAX(ROUNDUP(IFERROR(DATEDIF($I145-1,BV$15+1,"m"),)/12,)-1,)*Index!BR$22*(BV$15&gt;$I163)*(1-BV$12)</f>
        <v>0</v>
      </c>
      <c r="BW163" s="747">
        <f>$G163*$H163*(1+$K163)^MAX(ROUNDUP(IFERROR(DATEDIF($I145-1,BW$15+1,"m"),)/12,)-1,)*Index!BS$22*(BW$15&gt;$I163)*(1-BW$12)</f>
        <v>0</v>
      </c>
      <c r="BX163" s="747">
        <f>$G163*$H163*(1+$K163)^MAX(ROUNDUP(IFERROR(DATEDIF($I145-1,BX$15+1,"m"),)/12,)-1,)*Index!BT$22*(BX$15&gt;$I163)*(1-BX$12)</f>
        <v>0</v>
      </c>
      <c r="BY163" s="747">
        <f>$G163*$H163*(1+$K163)^MAX(ROUNDUP(IFERROR(DATEDIF($I145-1,BY$15+1,"m"),)/12,)-1,)*Index!BU$22*(BY$15&gt;$I163)*(1-BY$12)</f>
        <v>0</v>
      </c>
      <c r="BZ163" s="747">
        <f>$G163*$H163*(1+$K163)^MAX(ROUNDUP(IFERROR(DATEDIF($I145-1,BZ$15+1,"m"),)/12,)-1,)*Index!BV$22*(BZ$15&gt;$I163)*(1-BZ$12)</f>
        <v>0</v>
      </c>
      <c r="CA163" s="747">
        <f>$G163*$H163*(1+$K163)^MAX(ROUNDUP(IFERROR(DATEDIF($I145-1,CA$15+1,"m"),)/12,)-1,)*Index!BW$22*(CA$15&gt;$I163)*(1-CA$12)</f>
        <v>0</v>
      </c>
      <c r="CB163" s="747">
        <f>$G163*$H163*(1+$K163)^MAX(ROUNDUP(IFERROR(DATEDIF($I145-1,CB$15+1,"m"),)/12,)-1,)*Index!BX$22*(CB$15&gt;$I163)*(1-CB$12)</f>
        <v>0</v>
      </c>
      <c r="CC163" s="747">
        <f>$G163*$H163*(1+$K163)^MAX(ROUNDUP(IFERROR(DATEDIF($I145-1,CC$15+1,"m"),)/12,)-1,)*Index!BY$22*(CC$15&gt;$I163)*(1-CC$12)</f>
        <v>0</v>
      </c>
      <c r="CD163" s="747">
        <f>$G163*$H163*(1+$K163)^MAX(ROUNDUP(IFERROR(DATEDIF($I145-1,CD$15+1,"m"),)/12,)-1,)*Index!BZ$22*(CD$15&gt;$I163)*(1-CD$12)</f>
        <v>0</v>
      </c>
      <c r="CE163" s="747">
        <f>$G163*$H163*(1+$K163)^MAX(ROUNDUP(IFERROR(DATEDIF($I145-1,CE$15+1,"m"),)/12,)-1,)*Index!CA$22*(CE$15&gt;$I163)*(1-CE$12)</f>
        <v>0</v>
      </c>
      <c r="CF163" s="747">
        <f>$G163*$H163*(1+$K163)^MAX(ROUNDUP(IFERROR(DATEDIF($I145-1,CF$15+1,"m"),)/12,)-1,)*Index!CB$22*(CF$15&gt;$I163)*(1-CF$12)</f>
        <v>0</v>
      </c>
      <c r="CG163" s="747">
        <f>$G163*$H163*(1+$K163)^MAX(ROUNDUP(IFERROR(DATEDIF($I145-1,CG$15+1,"m"),)/12,)-1,)*Index!CC$22*(CG$15&gt;$I163)*(1-CG$12)</f>
        <v>0</v>
      </c>
      <c r="CH163" s="747">
        <f>$G163*$H163*(1+$K163)^MAX(ROUNDUP(IFERROR(DATEDIF($I145-1,CH$15+1,"m"),)/12,)-1,)*Index!CD$22*(CH$15&gt;$I163)*(1-CH$12)</f>
        <v>0</v>
      </c>
      <c r="CI163" s="747">
        <f>$G163*$H163*(1+$K163)^MAX(ROUNDUP(IFERROR(DATEDIF($I145-1,CI$15+1,"m"),)/12,)-1,)*Index!CE$22*(CI$15&gt;$I163)*(1-CI$12)</f>
        <v>0</v>
      </c>
      <c r="CJ163" s="747">
        <f>$G163*$H163*(1+$K163)^MAX(ROUNDUP(IFERROR(DATEDIF($I145-1,CJ$15+1,"m"),)/12,)-1,)*Index!CF$22*(CJ$15&gt;$I163)*(1-CJ$12)</f>
        <v>0</v>
      </c>
      <c r="CK163" s="747">
        <f>$G163*$H163*(1+$K163)^MAX(ROUNDUP(IFERROR(DATEDIF($I145-1,CK$15+1,"m"),)/12,)-1,)*Index!CG$22*(CK$15&gt;$I163)*(1-CK$12)</f>
        <v>0</v>
      </c>
      <c r="CL163" s="747">
        <f>$G163*$H163*(1+$K163)^MAX(ROUNDUP(IFERROR(DATEDIF($I145-1,CL$15+1,"m"),)/12,)-1,)*Index!CH$22*(CL$15&gt;$I163)*(1-CL$12)</f>
        <v>0</v>
      </c>
      <c r="CM163" s="747">
        <f>$G163*$H163*(1+$K163)^MAX(ROUNDUP(IFERROR(DATEDIF($I145-1,CM$15+1,"m"),)/12,)-1,)*Index!CI$22*(CM$15&gt;$I163)*(1-CM$12)</f>
        <v>0</v>
      </c>
      <c r="CN163" s="747">
        <f>$G163*$H163*(1+$K163)^MAX(ROUNDUP(IFERROR(DATEDIF($I145-1,CN$15+1,"m"),)/12,)-1,)*Index!CJ$22*(CN$15&gt;$I163)*(1-CN$12)</f>
        <v>0</v>
      </c>
      <c r="CO163" s="747">
        <f>$G163*$H163*(1+$K163)^MAX(ROUNDUP(IFERROR(DATEDIF($I145-1,CO$15+1,"m"),)/12,)-1,)*Index!CK$22*(CO$15&gt;$I163)*(1-CO$12)</f>
        <v>0</v>
      </c>
      <c r="CP163" s="747">
        <f>$G163*$H163*(1+$K163)^MAX(ROUNDUP(IFERROR(DATEDIF($I145-1,CP$15+1,"m"),)/12,)-1,)*Index!CL$22*(CP$15&gt;$I163)*(1-CP$12)</f>
        <v>0</v>
      </c>
      <c r="CQ163" s="747">
        <f>$G163*$H163*(1+$K163)^MAX(ROUNDUP(IFERROR(DATEDIF($I145-1,CQ$15+1,"m"),)/12,)-1,)*Index!CM$22*(CQ$15&gt;$I163)*(1-CQ$12)</f>
        <v>0</v>
      </c>
      <c r="CR163" s="747">
        <f>$G163*$H163*(1+$K163)^MAX(ROUNDUP(IFERROR(DATEDIF($I145-1,CR$15+1,"m"),)/12,)-1,)*Index!CN$22*(CR$15&gt;$I163)*(1-CR$12)</f>
        <v>0</v>
      </c>
      <c r="CS163" s="747">
        <f>$G163*$H163*(1+$K163)^MAX(ROUNDUP(IFERROR(DATEDIF($I145-1,CS$15+1,"m"),)/12,)-1,)*Index!CO$22*(CS$15&gt;$I163)*(1-CS$12)</f>
        <v>0</v>
      </c>
      <c r="CT163" s="747">
        <f>$G163*$H163*(1+$K163)^MAX(ROUNDUP(IFERROR(DATEDIF($I145-1,CT$15+1,"m"),)/12,)-1,)*Index!CP$22*(CT$15&gt;$I163)*(1-CT$12)</f>
        <v>0</v>
      </c>
      <c r="CU163" s="747">
        <f>$G163*$H163*(1+$K163)^MAX(ROUNDUP(IFERROR(DATEDIF($I145-1,CU$15+1,"m"),)/12,)-1,)*Index!CQ$22*(CU$15&gt;$I163)*(1-CU$12)</f>
        <v>0</v>
      </c>
      <c r="CV163" s="747">
        <f>$G163*$H163*(1+$K163)^MAX(ROUNDUP(IFERROR(DATEDIF($I145-1,CV$15+1,"m"),)/12,)-1,)*Index!CR$22*(CV$15&gt;$I163)*(1-CV$12)</f>
        <v>0</v>
      </c>
      <c r="CW163" s="747">
        <f>$G163*$H163*(1+$K163)^MAX(ROUNDUP(IFERROR(DATEDIF($I145-1,CW$15+1,"m"),)/12,)-1,)*Index!CS$22*(CW$15&gt;$I163)*(1-CW$12)</f>
        <v>0</v>
      </c>
      <c r="CX163" s="747">
        <f>$G163*$H163*(1+$K163)^MAX(ROUNDUP(IFERROR(DATEDIF($I145-1,CX$15+1,"m"),)/12,)-1,)*Index!CT$22*(CX$15&gt;$I163)*(1-CX$12)</f>
        <v>0</v>
      </c>
      <c r="CY163" s="747">
        <f>$G163*$H163*(1+$K163)^MAX(ROUNDUP(IFERROR(DATEDIF($I145-1,CY$15+1,"m"),)/12,)-1,)*Index!CU$22*(CY$15&gt;$I163)*(1-CY$12)</f>
        <v>0</v>
      </c>
      <c r="CZ163" s="747">
        <f>$G163*$H163*(1+$K163)^MAX(ROUNDUP(IFERROR(DATEDIF($I145-1,CZ$15+1,"m"),)/12,)-1,)*Index!CV$22*(CZ$15&gt;$I163)*(1-CZ$12)</f>
        <v>0</v>
      </c>
      <c r="DA163" s="747">
        <f>$G163*$H163*(1+$K163)^MAX(ROUNDUP(IFERROR(DATEDIF($I145-1,DA$15+1,"m"),)/12,)-1,)*Index!CW$22*(DA$15&gt;$I163)*(1-DA$12)</f>
        <v>0</v>
      </c>
      <c r="DB163" s="747">
        <f>$G163*$H163*(1+$K163)^MAX(ROUNDUP(IFERROR(DATEDIF($I145-1,DB$15+1,"m"),)/12,)-1,)*Index!CX$22*(DB$15&gt;$I163)*(1-DB$12)</f>
        <v>0</v>
      </c>
      <c r="DC163" s="747">
        <f>$G163*$H163*(1+$K163)^MAX(ROUNDUP(IFERROR(DATEDIF($I145-1,DC$15+1,"m"),)/12,)-1,)*Index!CY$22*(DC$15&gt;$I163)*(1-DC$12)</f>
        <v>226.97261165772113</v>
      </c>
      <c r="DD163" s="747">
        <f>$G163*$H163*(1+$K163)^MAX(ROUNDUP(IFERROR(DATEDIF($I145-1,DD$15+1,"m"),)/12,)-1,)*Index!CZ$22*(DD$15&gt;$I163)*(1-DD$12)</f>
        <v>226.97261165772113</v>
      </c>
      <c r="DE163" s="747">
        <f>$G163*$H163*(1+$K163)^MAX(ROUNDUP(IFERROR(DATEDIF($I145-1,DE$15+1,"m"),)/12,)-1,)*Index!DA$22*(DE$15&gt;$I163)*(1-DE$12)</f>
        <v>226.97261165772113</v>
      </c>
      <c r="DF163" s="747">
        <f>$G163*$H163*(1+$K163)^MAX(ROUNDUP(IFERROR(DATEDIF($I145-1,DF$15+1,"m"),)/12,)-1,)*Index!DB$22*(DF$15&gt;$I163)*(1-DF$12)</f>
        <v>226.97261165772113</v>
      </c>
      <c r="DG163" s="747">
        <f>$G163*$H163*(1+$K163)^MAX(ROUNDUP(IFERROR(DATEDIF($I145-1,DG$15+1,"m"),)/12,)-1,)*Index!DC$22*(DG$15&gt;$I163)*(1-DG$12)</f>
        <v>226.97261165772113</v>
      </c>
      <c r="DH163" s="747">
        <f>$G163*$H163*(1+$K163)^MAX(ROUNDUP(IFERROR(DATEDIF($I145-1,DH$15+1,"m"),)/12,)-1,)*Index!DD$22*(DH$15&gt;$I163)*(1-DH$12)</f>
        <v>226.97261165772113</v>
      </c>
      <c r="DI163" s="747">
        <f>$G163*$H163*(1+$K163)^MAX(ROUNDUP(IFERROR(DATEDIF($I145-1,DI$15+1,"m"),)/12,)-1,)*Index!DE$22*(DI$15&gt;$I163)*(1-DI$12)</f>
        <v>232.64692694916414</v>
      </c>
      <c r="DJ163" s="747">
        <f>$G163*$H163*(1+$K163)^MAX(ROUNDUP(IFERROR(DATEDIF($I145-1,DJ$15+1,"m"),)/12,)-1,)*Index!DF$22*(DJ$15&gt;$I163)*(1-DJ$12)</f>
        <v>232.64692694916414</v>
      </c>
      <c r="DK163" s="747">
        <f>$G163*$H163*(1+$K163)^MAX(ROUNDUP(IFERROR(DATEDIF($I145-1,DK$15+1,"m"),)/12,)-1,)*Index!DG$22*(DK$15&gt;$I163)*(1-DK$12)</f>
        <v>232.64692694916414</v>
      </c>
      <c r="DL163" s="747">
        <f>$G163*$H163*(1+$K163)^MAX(ROUNDUP(IFERROR(DATEDIF($I145-1,DL$15+1,"m"),)/12,)-1,)*Index!DH$22*(DL$15&gt;$I163)*(1-DL$12)</f>
        <v>232.64692694916414</v>
      </c>
      <c r="DM163" s="747">
        <f>$G163*$H163*(1+$K163)^MAX(ROUNDUP(IFERROR(DATEDIF($I145-1,DM$15+1,"m"),)/12,)-1,)*Index!DI$22*(DM$15&gt;$I163)*(1-DM$12)</f>
        <v>232.64692694916414</v>
      </c>
      <c r="DN163" s="747">
        <f>$G163*$H163*(1+$K163)^MAX(ROUNDUP(IFERROR(DATEDIF($I145-1,DN$15+1,"m"),)/12,)-1,)*Index!DJ$22*(DN$15&gt;$I163)*(1-DN$12)</f>
        <v>232.64692694916414</v>
      </c>
      <c r="DO163" s="747">
        <f>$G163*$H163*(1+$K163)^MAX(ROUNDUP(IFERROR(DATEDIF($I145-1,DO$15+1,"m"),)/12,)-1,)*Index!DK$22*(DO$15&gt;$I163)*(1-DO$12)</f>
        <v>232.64692694916414</v>
      </c>
      <c r="DP163" s="747">
        <f>$G163*$H163*(1+$K163)^MAX(ROUNDUP(IFERROR(DATEDIF($I145-1,DP$15+1,"m"),)/12,)-1,)*Index!DL$22*(DP$15&gt;$I163)*(1-DP$12)</f>
        <v>232.64692694916414</v>
      </c>
      <c r="DQ163" s="747">
        <f>$G163*$H163*(1+$K163)^MAX(ROUNDUP(IFERROR(DATEDIF($I145-1,DQ$15+1,"m"),)/12,)-1,)*Index!DM$22*(DQ$15&gt;$I163)*(1-DQ$12)</f>
        <v>232.64692694916414</v>
      </c>
      <c r="DR163" s="747">
        <f>$G163*$H163*(1+$K163)^MAX(ROUNDUP(IFERROR(DATEDIF($I145-1,DR$15+1,"m"),)/12,)-1,)*Index!DN$22*(DR$15&gt;$I163)*(1-DR$12)</f>
        <v>232.64692694916414</v>
      </c>
      <c r="DS163" s="747">
        <f>$G163*$H163*(1+$K163)^MAX(ROUNDUP(IFERROR(DATEDIF($I145-1,DS$15+1,"m"),)/12,)-1,)*Index!DO$22*(DS$15&gt;$I163)*(1-DS$12)</f>
        <v>232.64692694916414</v>
      </c>
      <c r="DT163" s="747">
        <f>$G163*$H163*(1+$K163)^MAX(ROUNDUP(IFERROR(DATEDIF($I145-1,DT$15+1,"m"),)/12,)-1,)*Index!DP$22*(DT$15&gt;$I163)*(1-DT$12)</f>
        <v>232.64692694916414</v>
      </c>
      <c r="DU163" s="747">
        <f>$G163*$H163*(1+$K163)^MAX(ROUNDUP(IFERROR(DATEDIF($I145-1,DU$15+1,"m"),)/12,)-1,)*Index!DQ$22*(DU$15&gt;$I163)*(1-DU$12)</f>
        <v>238.46310012289322</v>
      </c>
      <c r="DV163" s="747">
        <f>$G163*$H163*(1+$K163)^MAX(ROUNDUP(IFERROR(DATEDIF($I145-1,DV$15+1,"m"),)/12,)-1,)*Index!DR$22*(DV$15&gt;$I163)*(1-DV$12)</f>
        <v>238.46310012289322</v>
      </c>
      <c r="DW163" s="747">
        <f>$G163*$H163*(1+$K163)^MAX(ROUNDUP(IFERROR(DATEDIF($I145-1,DW$15+1,"m"),)/12,)-1,)*Index!DS$22*(DW$15&gt;$I163)*(1-DW$12)</f>
        <v>238.46310012289322</v>
      </c>
      <c r="DX163" s="747">
        <f>$G163*$H163*(1+$K163)^MAX(ROUNDUP(IFERROR(DATEDIF($I145-1,DX$15+1,"m"),)/12,)-1,)*Index!DT$22*(DX$15&gt;$I163)*(1-DX$12)</f>
        <v>238.46310012289322</v>
      </c>
      <c r="DY163" s="747">
        <f>$G163*$H163*(1+$K163)^MAX(ROUNDUP(IFERROR(DATEDIF($I145-1,DY$15+1,"m"),)/12,)-1,)*Index!DU$22*(DY$15&gt;$I163)*(1-DY$12)</f>
        <v>238.46310012289322</v>
      </c>
      <c r="DZ163" s="747">
        <f>$G163*$H163*(1+$K163)^MAX(ROUNDUP(IFERROR(DATEDIF($I145-1,DZ$15+1,"m"),)/12,)-1,)*Index!DV$22*(DZ$15&gt;$I163)*(1-DZ$12)</f>
        <v>238.46310012289322</v>
      </c>
      <c r="EA163" s="747">
        <f>$G163*$H163*(1+$K163)^MAX(ROUNDUP(IFERROR(DATEDIF($I145-1,EA$15+1,"m"),)/12,)-1,)*Index!DW$22*(EA$15&gt;$I163)*(1-EA$12)</f>
        <v>238.46310012289322</v>
      </c>
      <c r="EB163" s="747">
        <f>$G163*$H163*(1+$K163)^MAX(ROUNDUP(IFERROR(DATEDIF($I145-1,EB$15+1,"m"),)/12,)-1,)*Index!DX$22*(EB$15&gt;$I163)*(1-EB$12)</f>
        <v>238.46310012289322</v>
      </c>
      <c r="EC163" s="747">
        <f>$G163*$H163*(1+$K163)^MAX(ROUNDUP(IFERROR(DATEDIF($I145-1,EC$15+1,"m"),)/12,)-1,)*Index!DY$22*(EC$15&gt;$I163)*(1-EC$12)</f>
        <v>238.46310012289322</v>
      </c>
      <c r="ED163" s="747">
        <f>$G163*$H163*(1+$K163)^MAX(ROUNDUP(IFERROR(DATEDIF($I145-1,ED$15+1,"m"),)/12,)-1,)*Index!DZ$22*(ED$15&gt;$I163)*(1-ED$12)</f>
        <v>238.46310012289322</v>
      </c>
      <c r="EE163" s="747">
        <f>$G163*$H163*(1+$K163)^MAX(ROUNDUP(IFERROR(DATEDIF($I145-1,EE$15+1,"m"),)/12,)-1,)*Index!EA$22*(EE$15&gt;$I163)*(1-EE$12)</f>
        <v>238.46310012289322</v>
      </c>
      <c r="EF163" s="747">
        <f>$G163*$H163*(1+$K163)^MAX(ROUNDUP(IFERROR(DATEDIF($I145-1,EF$15+1,"m"),)/12,)-1,)*Index!EB$22*(EF$15&gt;$I163)*(1-EF$12)</f>
        <v>238.46310012289322</v>
      </c>
      <c r="EG163" s="747">
        <f>$G163*$H163*(1+$K163)^MAX(ROUNDUP(IFERROR(DATEDIF($I145-1,EG$15+1,"m"),)/12,)-1,)*Index!EC$22*(EG$15&gt;$I163)*(1-EG$12)</f>
        <v>0</v>
      </c>
      <c r="EH163" s="747">
        <f>$G163*$H163*(1+$K163)^MAX(ROUNDUP(IFERROR(DATEDIF($I145-1,EH$15+1,"m"),)/12,)-1,)*Index!ED$22*(EH$15&gt;$I163)*(1-EH$12)</f>
        <v>0</v>
      </c>
      <c r="EI163" s="747">
        <f>$G163*$H163*(1+$K163)^MAX(ROUNDUP(IFERROR(DATEDIF($I145-1,EI$15+1,"m"),)/12,)-1,)*Index!EE$22*(EI$15&gt;$I163)*(1-EI$12)</f>
        <v>0</v>
      </c>
      <c r="EJ163" s="747">
        <f>$G163*$H163*(1+$K163)^MAX(ROUNDUP(IFERROR(DATEDIF($I145-1,EJ$15+1,"m"),)/12,)-1,)*Index!EF$22*(EJ$15&gt;$I163)*(1-EJ$12)</f>
        <v>0</v>
      </c>
      <c r="EK163" s="747">
        <f>$G163*$H163*(1+$K163)^MAX(ROUNDUP(IFERROR(DATEDIF($I145-1,EK$15+1,"m"),)/12,)-1,)*Index!EG$22*(EK$15&gt;$I163)*(1-EK$12)</f>
        <v>0</v>
      </c>
      <c r="EL163" s="747">
        <f>$G163*$H163*(1+$K163)^MAX(ROUNDUP(IFERROR(DATEDIF($I145-1,EL$15+1,"m"),)/12,)-1,)*Index!EH$22*(EL$15&gt;$I163)*(1-EL$12)</f>
        <v>0</v>
      </c>
      <c r="EM163" s="747">
        <f>$G163*$H163*(1+$K163)^MAX(ROUNDUP(IFERROR(DATEDIF($I145-1,EM$15+1,"m"),)/12,)-1,)*Index!EI$22*(EM$15&gt;$I163)*(1-EM$12)</f>
        <v>0</v>
      </c>
      <c r="EN163" s="747">
        <f>$G163*$H163*(1+$K163)^MAX(ROUNDUP(IFERROR(DATEDIF($I145-1,EN$15+1,"m"),)/12,)-1,)*Index!EJ$22*(EN$15&gt;$I163)*(1-EN$12)</f>
        <v>0</v>
      </c>
      <c r="EO163" s="747">
        <f>$G163*$H163*(1+$K163)^MAX(ROUNDUP(IFERROR(DATEDIF($I145-1,EO$15+1,"m"),)/12,)-1,)*Index!EK$22*(EO$15&gt;$I163)*(1-EO$12)</f>
        <v>0</v>
      </c>
      <c r="EP163" s="747">
        <f>$G163*$H163*(1+$K163)^MAX(ROUNDUP(IFERROR(DATEDIF($I145-1,EP$15+1,"m"),)/12,)-1,)*Index!EL$22*(EP$15&gt;$I163)*(1-EP$12)</f>
        <v>0</v>
      </c>
      <c r="EQ163" s="747">
        <f>$G163*$H163*(1+$K163)^MAX(ROUNDUP(IFERROR(DATEDIF($I145-1,EQ$15+1,"m"),)/12,)-1,)*Index!EM$22*(EQ$15&gt;$I163)*(1-EQ$12)</f>
        <v>0</v>
      </c>
      <c r="ER163" s="747">
        <f>$G163*$H163*(1+$K163)^MAX(ROUNDUP(IFERROR(DATEDIF($I145-1,ER$15+1,"m"),)/12,)-1,)*Index!EN$22*(ER$15&gt;$I163)*(1-ER$12)</f>
        <v>0</v>
      </c>
      <c r="ES163" s="747">
        <f>$G163*$H163*(1+$K163)^MAX(ROUNDUP(IFERROR(DATEDIF($I145-1,ES$15+1,"m"),)/12,)-1,)*Index!EO$22*(ES$15&gt;$I163)*(1-ES$12)</f>
        <v>0</v>
      </c>
      <c r="ET163" s="747">
        <f>$G163*$H163*(1+$K163)^MAX(ROUNDUP(IFERROR(DATEDIF($I145-1,ET$15+1,"m"),)/12,)-1,)*Index!EP$22*(ET$15&gt;$I163)*(1-ET$12)</f>
        <v>0</v>
      </c>
      <c r="EU163" s="747">
        <f>$G163*$H163*(1+$K163)^MAX(ROUNDUP(IFERROR(DATEDIF($I145-1,EU$15+1,"m"),)/12,)-1,)*Index!EQ$22*(EU$15&gt;$I163)*(1-EU$12)</f>
        <v>0</v>
      </c>
    </row>
    <row r="164" spans="3:151" ht="11.25" customHeight="1">
      <c r="C164" s="735"/>
      <c r="D164" s="743">
        <f t="shared" si="243"/>
        <v>8</v>
      </c>
      <c r="E164" s="704" t="str">
        <f t="shared" si="243"/>
        <v>키즈밀</v>
      </c>
      <c r="F164" s="704" t="str">
        <f t="shared" si="243"/>
        <v>근린생활시설</v>
      </c>
      <c r="G164" s="781" cm="1">
        <f t="array" ref="G164">SUMPRODUCT(($E164='A&amp;R'!$V$26:$V$32)*('A&amp;R'!$AC$26:$AC$32))/1000</f>
        <v>3</v>
      </c>
      <c r="H164" s="744">
        <f t="shared" si="244"/>
        <v>479.38</v>
      </c>
      <c r="I164" s="745">
        <f t="shared" si="245"/>
        <v>47483</v>
      </c>
      <c r="J164" s="745"/>
      <c r="K164" s="754">
        <f t="shared" si="246"/>
        <v>2.5000000000000001E-2</v>
      </c>
      <c r="L164" s="746"/>
      <c r="M164" s="722"/>
      <c r="N164" s="747">
        <f t="shared" si="247"/>
        <v>143593.2744671223</v>
      </c>
      <c r="O164" s="733"/>
      <c r="P164" s="747">
        <f>$G164*$H164*(1+$K164)^MAX(ROUNDUP(IFERROR(DATEDIF($I146-1,P$15+1,"m"),)/12,)-1,)*Index!L$22*(P$15&gt;$I164)*(1-P$12)</f>
        <v>0</v>
      </c>
      <c r="Q164" s="747">
        <f>$G164*$H164*(1+$K164)^MAX(ROUNDUP(IFERROR(DATEDIF($I146-1,Q$15+1,"m"),)/12,)-1,)*Index!M$22*(Q$15&gt;$I164)*(1-Q$12)</f>
        <v>0</v>
      </c>
      <c r="R164" s="747">
        <f>$G164*$H164*(1+$K164)^MAX(ROUNDUP(IFERROR(DATEDIF($I146-1,R$15+1,"m"),)/12,)-1,)*Index!N$22*(R$15&gt;$I164)*(1-R$12)</f>
        <v>0</v>
      </c>
      <c r="S164" s="747">
        <f>$G164*$H164*(1+$K164)^MAX(ROUNDUP(IFERROR(DATEDIF($I146-1,S$15+1,"m"),)/12,)-1,)*Index!O$22*(S$15&gt;$I164)*(1-S$12)</f>
        <v>0</v>
      </c>
      <c r="T164" s="747">
        <f>$G164*$H164*(1+$K164)^MAX(ROUNDUP(IFERROR(DATEDIF($I146-1,T$15+1,"m"),)/12,)-1,)*Index!P$22*(T$15&gt;$I164)*(1-T$12)</f>
        <v>0</v>
      </c>
      <c r="U164" s="747">
        <f>$G164*$H164*(1+$K164)^MAX(ROUNDUP(IFERROR(DATEDIF($I146-1,U$15+1,"m"),)/12,)-1,)*Index!Q$22*(U$15&gt;$I164)*(1-U$12)</f>
        <v>0</v>
      </c>
      <c r="V164" s="747">
        <f>$G164*$H164*(1+$K164)^MAX(ROUNDUP(IFERROR(DATEDIF($I146-1,V$15+1,"m"),)/12,)-1,)*Index!R$22*(V$15&gt;$I164)*(1-V$12)</f>
        <v>0</v>
      </c>
      <c r="W164" s="747">
        <f>$G164*$H164*(1+$K164)^MAX(ROUNDUP(IFERROR(DATEDIF($I146-1,W$15+1,"m"),)/12,)-1,)*Index!S$22*(W$15&gt;$I164)*(1-W$12)</f>
        <v>0</v>
      </c>
      <c r="X164" s="747">
        <f>$G164*$H164*(1+$K164)^MAX(ROUNDUP(IFERROR(DATEDIF($I146-1,X$15+1,"m"),)/12,)-1,)*Index!T$22*(X$15&gt;$I164)*(1-X$12)</f>
        <v>0</v>
      </c>
      <c r="Y164" s="747">
        <f>$G164*$H164*(1+$K164)^MAX(ROUNDUP(IFERROR(DATEDIF($I146-1,Y$15+1,"m"),)/12,)-1,)*Index!U$22*(Y$15&gt;$I164)*(1-Y$12)</f>
        <v>0</v>
      </c>
      <c r="Z164" s="747">
        <f>$G164*$H164*(1+$K164)^MAX(ROUNDUP(IFERROR(DATEDIF($I146-1,Z$15+1,"m"),)/12,)-1,)*Index!V$22*(Z$15&gt;$I164)*(1-Z$12)</f>
        <v>0</v>
      </c>
      <c r="AA164" s="747">
        <f>$G164*$H164*(1+$K164)^MAX(ROUNDUP(IFERROR(DATEDIF($I146-1,AA$15+1,"m"),)/12,)-1,)*Index!W$22*(AA$15&gt;$I164)*(1-AA$12)</f>
        <v>0</v>
      </c>
      <c r="AB164" s="747">
        <f>$G164*$H164*(1+$K164)^MAX(ROUNDUP(IFERROR(DATEDIF($I146-1,AB$15+1,"m"),)/12,)-1,)*Index!X$22*(AB$15&gt;$I164)*(1-AB$12)</f>
        <v>0</v>
      </c>
      <c r="AC164" s="747">
        <f>$G164*$H164*(1+$K164)^MAX(ROUNDUP(IFERROR(DATEDIF($I146-1,AC$15+1,"m"),)/12,)-1,)*Index!Y$22*(AC$15&gt;$I164)*(1-AC$12)</f>
        <v>0</v>
      </c>
      <c r="AD164" s="747">
        <f>$G164*$H164*(1+$K164)^MAX(ROUNDUP(IFERROR(DATEDIF($I146-1,AD$15+1,"m"),)/12,)-1,)*Index!Z$22*(AD$15&gt;$I164)*(1-AD$12)</f>
        <v>0</v>
      </c>
      <c r="AE164" s="747">
        <f>$G164*$H164*(1+$K164)^MAX(ROUNDUP(IFERROR(DATEDIF($I146-1,AE$15+1,"m"),)/12,)-1,)*Index!AA$22*(AE$15&gt;$I164)*(1-AE$12)</f>
        <v>0</v>
      </c>
      <c r="AF164" s="747">
        <f>$G164*$H164*(1+$K164)^MAX(ROUNDUP(IFERROR(DATEDIF($I146-1,AF$15+1,"m"),)/12,)-1,)*Index!AB$22*(AF$15&gt;$I164)*(1-AF$12)</f>
        <v>0</v>
      </c>
      <c r="AG164" s="747">
        <f>$G164*$H164*(1+$K164)^MAX(ROUNDUP(IFERROR(DATEDIF($I146-1,AG$15+1,"m"),)/12,)-1,)*Index!AC$22*(AG$15&gt;$I164)*(1-AG$12)</f>
        <v>0</v>
      </c>
      <c r="AH164" s="747">
        <f>$G164*$H164*(1+$K164)^MAX(ROUNDUP(IFERROR(DATEDIF($I146-1,AH$15+1,"m"),)/12,)-1,)*Index!AD$22*(AH$15&gt;$I164)*(1-AH$12)</f>
        <v>0</v>
      </c>
      <c r="AI164" s="747">
        <f>$G164*$H164*(1+$K164)^MAX(ROUNDUP(IFERROR(DATEDIF($I146-1,AI$15+1,"m"),)/12,)-1,)*Index!AE$22*(AI$15&gt;$I164)*(1-AI$12)</f>
        <v>0</v>
      </c>
      <c r="AJ164" s="747">
        <f>$G164*$H164*(1+$K164)^MAX(ROUNDUP(IFERROR(DATEDIF($I146-1,AJ$15+1,"m"),)/12,)-1,)*Index!AF$22*(AJ$15&gt;$I164)*(1-AJ$12)</f>
        <v>0</v>
      </c>
      <c r="AK164" s="747">
        <f>$G164*$H164*(1+$K164)^MAX(ROUNDUP(IFERROR(DATEDIF($I146-1,AK$15+1,"m"),)/12,)-1,)*Index!AG$22*(AK$15&gt;$I164)*(1-AK$12)</f>
        <v>0</v>
      </c>
      <c r="AL164" s="747">
        <f>$G164*$H164*(1+$K164)^MAX(ROUNDUP(IFERROR(DATEDIF($I146-1,AL$15+1,"m"),)/12,)-1,)*Index!AH$22*(AL$15&gt;$I164)*(1-AL$12)</f>
        <v>0</v>
      </c>
      <c r="AM164" s="747">
        <f>$G164*$H164*(1+$K164)^MAX(ROUNDUP(IFERROR(DATEDIF($I146-1,AM$15+1,"m"),)/12,)-1,)*Index!AI$22*(AM$15&gt;$I164)*(1-AM$12)</f>
        <v>0</v>
      </c>
      <c r="AN164" s="747">
        <f>$G164*$H164*(1+$K164)^MAX(ROUNDUP(IFERROR(DATEDIF($I146-1,AN$15+1,"m"),)/12,)-1,)*Index!AJ$22*(AN$15&gt;$I164)*(1-AN$12)</f>
        <v>0</v>
      </c>
      <c r="AO164" s="747">
        <f>$G164*$H164*(1+$K164)^MAX(ROUNDUP(IFERROR(DATEDIF($I146-1,AO$15+1,"m"),)/12,)-1,)*Index!AK$22*(AO$15&gt;$I164)*(1-AO$12)</f>
        <v>0</v>
      </c>
      <c r="AP164" s="747">
        <f>$G164*$H164*(1+$K164)^MAX(ROUNDUP(IFERROR(DATEDIF($I146-1,AP$15+1,"m"),)/12,)-1,)*Index!AL$22*(AP$15&gt;$I164)*(1-AP$12)</f>
        <v>0</v>
      </c>
      <c r="AQ164" s="747">
        <f>$G164*$H164*(1+$K164)^MAX(ROUNDUP(IFERROR(DATEDIF($I146-1,AQ$15+1,"m"),)/12,)-1,)*Index!AM$22*(AQ$15&gt;$I164)*(1-AQ$12)</f>
        <v>0</v>
      </c>
      <c r="AR164" s="747">
        <f>$G164*$H164*(1+$K164)^MAX(ROUNDUP(IFERROR(DATEDIF($I146-1,AR$15+1,"m"),)/12,)-1,)*Index!AN$22*(AR$15&gt;$I164)*(1-AR$12)</f>
        <v>0</v>
      </c>
      <c r="AS164" s="747">
        <f>$G164*$H164*(1+$K164)^MAX(ROUNDUP(IFERROR(DATEDIF($I146-1,AS$15+1,"m"),)/12,)-1,)*Index!AO$22*(AS$15&gt;$I164)*(1-AS$12)</f>
        <v>0</v>
      </c>
      <c r="AT164" s="747">
        <f>$G164*$H164*(1+$K164)^MAX(ROUNDUP(IFERROR(DATEDIF($I146-1,AT$15+1,"m"),)/12,)-1,)*Index!AP$22*(AT$15&gt;$I164)*(1-AT$12)</f>
        <v>0</v>
      </c>
      <c r="AU164" s="747">
        <f>$G164*$H164*(1+$K164)^MAX(ROUNDUP(IFERROR(DATEDIF($I146-1,AU$15+1,"m"),)/12,)-1,)*Index!AQ$22*(AU$15&gt;$I164)*(1-AU$12)</f>
        <v>0</v>
      </c>
      <c r="AV164" s="747">
        <f>$G164*$H164*(1+$K164)^MAX(ROUNDUP(IFERROR(DATEDIF($I146-1,AV$15+1,"m"),)/12,)-1,)*Index!AR$22*(AV$15&gt;$I164)*(1-AV$12)</f>
        <v>0</v>
      </c>
      <c r="AW164" s="747">
        <f>$G164*$H164*(1+$K164)^MAX(ROUNDUP(IFERROR(DATEDIF($I146-1,AW$15+1,"m"),)/12,)-1,)*Index!AS$22*(AW$15&gt;$I164)*(1-AW$12)</f>
        <v>0</v>
      </c>
      <c r="AX164" s="747">
        <f>$G164*$H164*(1+$K164)^MAX(ROUNDUP(IFERROR(DATEDIF($I146-1,AX$15+1,"m"),)/12,)-1,)*Index!AT$22*(AX$15&gt;$I164)*(1-AX$12)</f>
        <v>0</v>
      </c>
      <c r="AY164" s="747">
        <f>$G164*$H164*(1+$K164)^MAX(ROUNDUP(IFERROR(DATEDIF($I146-1,AY$15+1,"m"),)/12,)-1,)*Index!AU$22*(AY$15&gt;$I164)*(1-AY$12)</f>
        <v>0</v>
      </c>
      <c r="AZ164" s="747">
        <f>$G164*$H164*(1+$K164)^MAX(ROUNDUP(IFERROR(DATEDIF($I146-1,AZ$15+1,"m"),)/12,)-1,)*Index!AV$22*(AZ$15&gt;$I164)*(1-AZ$12)</f>
        <v>0</v>
      </c>
      <c r="BA164" s="747">
        <f>$G164*$H164*(1+$K164)^MAX(ROUNDUP(IFERROR(DATEDIF($I146-1,BA$15+1,"m"),)/12,)-1,)*Index!AW$22*(BA$15&gt;$I164)*(1-BA$12)</f>
        <v>0</v>
      </c>
      <c r="BB164" s="747">
        <f>$G164*$H164*(1+$K164)^MAX(ROUNDUP(IFERROR(DATEDIF($I146-1,BB$15+1,"m"),)/12,)-1,)*Index!AX$22*(BB$15&gt;$I164)*(1-BB$12)</f>
        <v>0</v>
      </c>
      <c r="BC164" s="747">
        <f>$G164*$H164*(1+$K164)^MAX(ROUNDUP(IFERROR(DATEDIF($I146-1,BC$15+1,"m"),)/12,)-1,)*Index!AY$22*(BC$15&gt;$I164)*(1-BC$12)</f>
        <v>1627.1234072865227</v>
      </c>
      <c r="BD164" s="747">
        <f>$G164*$H164*(1+$K164)^MAX(ROUNDUP(IFERROR(DATEDIF($I146-1,BD$15+1,"m"),)/12,)-1,)*Index!AZ$22*(BD$15&gt;$I164)*(1-BD$12)</f>
        <v>1627.1234072865227</v>
      </c>
      <c r="BE164" s="747">
        <f>$G164*$H164*(1+$K164)^MAX(ROUNDUP(IFERROR(DATEDIF($I146-1,BE$15+1,"m"),)/12,)-1,)*Index!BA$22*(BE$15&gt;$I164)*(1-BE$12)</f>
        <v>1627.1234072865227</v>
      </c>
      <c r="BF164" s="747">
        <f>$G164*$H164*(1+$K164)^MAX(ROUNDUP(IFERROR(DATEDIF($I146-1,BF$15+1,"m"),)/12,)-1,)*Index!BB$22*(BF$15&gt;$I164)*(1-BF$12)</f>
        <v>1627.1234072865227</v>
      </c>
      <c r="BG164" s="747">
        <f>$G164*$H164*(1+$K164)^MAX(ROUNDUP(IFERROR(DATEDIF($I146-1,BG$15+1,"m"),)/12,)-1,)*Index!BC$22*(BG$15&gt;$I164)*(1-BG$12)</f>
        <v>1627.1234072865227</v>
      </c>
      <c r="BH164" s="747">
        <f>$G164*$H164*(1+$K164)^MAX(ROUNDUP(IFERROR(DATEDIF($I146-1,BH$15+1,"m"),)/12,)-1,)*Index!BD$22*(BH$15&gt;$I164)*(1-BH$12)</f>
        <v>1627.1234072865227</v>
      </c>
      <c r="BI164" s="747">
        <f>$G164*$H164*(1+$K164)^MAX(ROUNDUP(IFERROR(DATEDIF($I146-1,BI$15+1,"m"),)/12,)-1,)*Index!BE$22*(BI$15&gt;$I164)*(1-BI$12)</f>
        <v>1627.1234072865227</v>
      </c>
      <c r="BJ164" s="747">
        <f>$G164*$H164*(1+$K164)^MAX(ROUNDUP(IFERROR(DATEDIF($I146-1,BJ$15+1,"m"),)/12,)-1,)*Index!BF$22*(BJ$15&gt;$I164)*(1-BJ$12)</f>
        <v>1627.1234072865227</v>
      </c>
      <c r="BK164" s="747">
        <f>$G164*$H164*(1+$K164)^MAX(ROUNDUP(IFERROR(DATEDIF($I146-1,BK$15+1,"m"),)/12,)-1,)*Index!BG$22*(BK$15&gt;$I164)*(1-BK$12)</f>
        <v>1627.1234072865227</v>
      </c>
      <c r="BL164" s="747">
        <f>$G164*$H164*(1+$K164)^MAX(ROUNDUP(IFERROR(DATEDIF($I146-1,BL$15+1,"m"),)/12,)-1,)*Index!BH$22*(BL$15&gt;$I164)*(1-BL$12)</f>
        <v>1627.1234072865227</v>
      </c>
      <c r="BM164" s="747">
        <f>$G164*$H164*(1+$K164)^MAX(ROUNDUP(IFERROR(DATEDIF($I146-1,BM$15+1,"m"),)/12,)-1,)*Index!BI$22*(BM$15&gt;$I164)*(1-BM$12)</f>
        <v>1627.1234072865227</v>
      </c>
      <c r="BN164" s="747">
        <f>$G164*$H164*(1+$K164)^MAX(ROUNDUP(IFERROR(DATEDIF($I146-1,BN$15+1,"m"),)/12,)-1,)*Index!BJ$22*(BN$15&gt;$I164)*(1-BN$12)</f>
        <v>1627.1234072865227</v>
      </c>
      <c r="BO164" s="747">
        <f>$G164*$H164*(1+$K164)^MAX(ROUNDUP(IFERROR(DATEDIF($I146-1,BO$15+1,"m"),)/12,)-1,)*Index!BK$22*(BO$15&gt;$I164)*(1-BO$12)</f>
        <v>1667.8014924686856</v>
      </c>
      <c r="BP164" s="747">
        <f>$G164*$H164*(1+$K164)^MAX(ROUNDUP(IFERROR(DATEDIF($I146-1,BP$15+1,"m"),)/12,)-1,)*Index!BL$22*(BP$15&gt;$I164)*(1-BP$12)</f>
        <v>1667.8014924686856</v>
      </c>
      <c r="BQ164" s="747">
        <f>$G164*$H164*(1+$K164)^MAX(ROUNDUP(IFERROR(DATEDIF($I146-1,BQ$15+1,"m"),)/12,)-1,)*Index!BM$22*(BQ$15&gt;$I164)*(1-BQ$12)</f>
        <v>1667.8014924686856</v>
      </c>
      <c r="BR164" s="747">
        <f>$G164*$H164*(1+$K164)^MAX(ROUNDUP(IFERROR(DATEDIF($I146-1,BR$15+1,"m"),)/12,)-1,)*Index!BN$22*(BR$15&gt;$I164)*(1-BR$12)</f>
        <v>1667.8014924686856</v>
      </c>
      <c r="BS164" s="747">
        <f>$G164*$H164*(1+$K164)^MAX(ROUNDUP(IFERROR(DATEDIF($I146-1,BS$15+1,"m"),)/12,)-1,)*Index!BO$22*(BS$15&gt;$I164)*(1-BS$12)</f>
        <v>1667.8014924686856</v>
      </c>
      <c r="BT164" s="747">
        <f>$G164*$H164*(1+$K164)^MAX(ROUNDUP(IFERROR(DATEDIF($I146-1,BT$15+1,"m"),)/12,)-1,)*Index!BP$22*(BT$15&gt;$I164)*(1-BT$12)</f>
        <v>1667.8014924686856</v>
      </c>
      <c r="BU164" s="747">
        <f>$G164*$H164*(1+$K164)^MAX(ROUNDUP(IFERROR(DATEDIF($I146-1,BU$15+1,"m"),)/12,)-1,)*Index!BQ$22*(BU$15&gt;$I164)*(1-BU$12)</f>
        <v>1667.8014924686856</v>
      </c>
      <c r="BV164" s="747">
        <f>$G164*$H164*(1+$K164)^MAX(ROUNDUP(IFERROR(DATEDIF($I146-1,BV$15+1,"m"),)/12,)-1,)*Index!BR$22*(BV$15&gt;$I164)*(1-BV$12)</f>
        <v>1667.8014924686856</v>
      </c>
      <c r="BW164" s="747">
        <f>$G164*$H164*(1+$K164)^MAX(ROUNDUP(IFERROR(DATEDIF($I146-1,BW$15+1,"m"),)/12,)-1,)*Index!BS$22*(BW$15&gt;$I164)*(1-BW$12)</f>
        <v>1667.8014924686856</v>
      </c>
      <c r="BX164" s="747">
        <f>$G164*$H164*(1+$K164)^MAX(ROUNDUP(IFERROR(DATEDIF($I146-1,BX$15+1,"m"),)/12,)-1,)*Index!BT$22*(BX$15&gt;$I164)*(1-BX$12)</f>
        <v>1667.8014924686856</v>
      </c>
      <c r="BY164" s="747">
        <f>$G164*$H164*(1+$K164)^MAX(ROUNDUP(IFERROR(DATEDIF($I146-1,BY$15+1,"m"),)/12,)-1,)*Index!BU$22*(BY$15&gt;$I164)*(1-BY$12)</f>
        <v>1667.8014924686856</v>
      </c>
      <c r="BZ164" s="747">
        <f>$G164*$H164*(1+$K164)^MAX(ROUNDUP(IFERROR(DATEDIF($I146-1,BZ$15+1,"m"),)/12,)-1,)*Index!BV$22*(BZ$15&gt;$I164)*(1-BZ$12)</f>
        <v>1667.8014924686856</v>
      </c>
      <c r="CA164" s="747">
        <f>$G164*$H164*(1+$K164)^MAX(ROUNDUP(IFERROR(DATEDIF($I146-1,CA$15+1,"m"),)/12,)-1,)*Index!BW$22*(CA$15&gt;$I164)*(1-CA$12)</f>
        <v>1709.4965297804031</v>
      </c>
      <c r="CB164" s="747">
        <f>$G164*$H164*(1+$K164)^MAX(ROUNDUP(IFERROR(DATEDIF($I146-1,CB$15+1,"m"),)/12,)-1,)*Index!BX$22*(CB$15&gt;$I164)*(1-CB$12)</f>
        <v>1709.4965297804031</v>
      </c>
      <c r="CC164" s="747">
        <f>$G164*$H164*(1+$K164)^MAX(ROUNDUP(IFERROR(DATEDIF($I146-1,CC$15+1,"m"),)/12,)-1,)*Index!BY$22*(CC$15&gt;$I164)*(1-CC$12)</f>
        <v>1709.4965297804031</v>
      </c>
      <c r="CD164" s="747">
        <f>$G164*$H164*(1+$K164)^MAX(ROUNDUP(IFERROR(DATEDIF($I146-1,CD$15+1,"m"),)/12,)-1,)*Index!BZ$22*(CD$15&gt;$I164)*(1-CD$12)</f>
        <v>1709.4965297804031</v>
      </c>
      <c r="CE164" s="747">
        <f>$G164*$H164*(1+$K164)^MAX(ROUNDUP(IFERROR(DATEDIF($I146-1,CE$15+1,"m"),)/12,)-1,)*Index!CA$22*(CE$15&gt;$I164)*(1-CE$12)</f>
        <v>1709.4965297804031</v>
      </c>
      <c r="CF164" s="747">
        <f>$G164*$H164*(1+$K164)^MAX(ROUNDUP(IFERROR(DATEDIF($I146-1,CF$15+1,"m"),)/12,)-1,)*Index!CB$22*(CF$15&gt;$I164)*(1-CF$12)</f>
        <v>1709.4965297804031</v>
      </c>
      <c r="CG164" s="747">
        <f>$G164*$H164*(1+$K164)^MAX(ROUNDUP(IFERROR(DATEDIF($I146-1,CG$15+1,"m"),)/12,)-1,)*Index!CC$22*(CG$15&gt;$I164)*(1-CG$12)</f>
        <v>1709.4965297804031</v>
      </c>
      <c r="CH164" s="747">
        <f>$G164*$H164*(1+$K164)^MAX(ROUNDUP(IFERROR(DATEDIF($I146-1,CH$15+1,"m"),)/12,)-1,)*Index!CD$22*(CH$15&gt;$I164)*(1-CH$12)</f>
        <v>1709.4965297804031</v>
      </c>
      <c r="CI164" s="747">
        <f>$G164*$H164*(1+$K164)^MAX(ROUNDUP(IFERROR(DATEDIF($I146-1,CI$15+1,"m"),)/12,)-1,)*Index!CE$22*(CI$15&gt;$I164)*(1-CI$12)</f>
        <v>1709.4965297804031</v>
      </c>
      <c r="CJ164" s="747">
        <f>$G164*$H164*(1+$K164)^MAX(ROUNDUP(IFERROR(DATEDIF($I146-1,CJ$15+1,"m"),)/12,)-1,)*Index!CF$22*(CJ$15&gt;$I164)*(1-CJ$12)</f>
        <v>1709.4965297804031</v>
      </c>
      <c r="CK164" s="747">
        <f>$G164*$H164*(1+$K164)^MAX(ROUNDUP(IFERROR(DATEDIF($I146-1,CK$15+1,"m"),)/12,)-1,)*Index!CG$22*(CK$15&gt;$I164)*(1-CK$12)</f>
        <v>1709.4965297804031</v>
      </c>
      <c r="CL164" s="747">
        <f>$G164*$H164*(1+$K164)^MAX(ROUNDUP(IFERROR(DATEDIF($I146-1,CL$15+1,"m"),)/12,)-1,)*Index!CH$22*(CL$15&gt;$I164)*(1-CL$12)</f>
        <v>1709.4965297804031</v>
      </c>
      <c r="CM164" s="747">
        <f>$G164*$H164*(1+$K164)^MAX(ROUNDUP(IFERROR(DATEDIF($I146-1,CM$15+1,"m"),)/12,)-1,)*Index!CI$22*(CM$15&gt;$I164)*(1-CM$12)</f>
        <v>1752.2339430249128</v>
      </c>
      <c r="CN164" s="747">
        <f>$G164*$H164*(1+$K164)^MAX(ROUNDUP(IFERROR(DATEDIF($I146-1,CN$15+1,"m"),)/12,)-1,)*Index!CJ$22*(CN$15&gt;$I164)*(1-CN$12)</f>
        <v>1752.2339430249128</v>
      </c>
      <c r="CO164" s="747">
        <f>$G164*$H164*(1+$K164)^MAX(ROUNDUP(IFERROR(DATEDIF($I146-1,CO$15+1,"m"),)/12,)-1,)*Index!CK$22*(CO$15&gt;$I164)*(1-CO$12)</f>
        <v>1752.2339430249128</v>
      </c>
      <c r="CP164" s="747">
        <f>$G164*$H164*(1+$K164)^MAX(ROUNDUP(IFERROR(DATEDIF($I146-1,CP$15+1,"m"),)/12,)-1,)*Index!CL$22*(CP$15&gt;$I164)*(1-CP$12)</f>
        <v>1752.2339430249128</v>
      </c>
      <c r="CQ164" s="747">
        <f>$G164*$H164*(1+$K164)^MAX(ROUNDUP(IFERROR(DATEDIF($I146-1,CQ$15+1,"m"),)/12,)-1,)*Index!CM$22*(CQ$15&gt;$I164)*(1-CQ$12)</f>
        <v>1752.2339430249128</v>
      </c>
      <c r="CR164" s="747">
        <f>$G164*$H164*(1+$K164)^MAX(ROUNDUP(IFERROR(DATEDIF($I146-1,CR$15+1,"m"),)/12,)-1,)*Index!CN$22*(CR$15&gt;$I164)*(1-CR$12)</f>
        <v>1752.2339430249128</v>
      </c>
      <c r="CS164" s="747">
        <f>$G164*$H164*(1+$K164)^MAX(ROUNDUP(IFERROR(DATEDIF($I146-1,CS$15+1,"m"),)/12,)-1,)*Index!CO$22*(CS$15&gt;$I164)*(1-CS$12)</f>
        <v>1752.2339430249128</v>
      </c>
      <c r="CT164" s="747">
        <f>$G164*$H164*(1+$K164)^MAX(ROUNDUP(IFERROR(DATEDIF($I146-1,CT$15+1,"m"),)/12,)-1,)*Index!CP$22*(CT$15&gt;$I164)*(1-CT$12)</f>
        <v>1752.2339430249128</v>
      </c>
      <c r="CU164" s="747">
        <f>$G164*$H164*(1+$K164)^MAX(ROUNDUP(IFERROR(DATEDIF($I146-1,CU$15+1,"m"),)/12,)-1,)*Index!CQ$22*(CU$15&gt;$I164)*(1-CU$12)</f>
        <v>1752.2339430249128</v>
      </c>
      <c r="CV164" s="747">
        <f>$G164*$H164*(1+$K164)^MAX(ROUNDUP(IFERROR(DATEDIF($I146-1,CV$15+1,"m"),)/12,)-1,)*Index!CR$22*(CV$15&gt;$I164)*(1-CV$12)</f>
        <v>1752.2339430249128</v>
      </c>
      <c r="CW164" s="747">
        <f>$G164*$H164*(1+$K164)^MAX(ROUNDUP(IFERROR(DATEDIF($I146-1,CW$15+1,"m"),)/12,)-1,)*Index!CS$22*(CW$15&gt;$I164)*(1-CW$12)</f>
        <v>1752.2339430249128</v>
      </c>
      <c r="CX164" s="747">
        <f>$G164*$H164*(1+$K164)^MAX(ROUNDUP(IFERROR(DATEDIF($I146-1,CX$15+1,"m"),)/12,)-1,)*Index!CT$22*(CX$15&gt;$I164)*(1-CX$12)</f>
        <v>1752.2339430249128</v>
      </c>
      <c r="CY164" s="747">
        <f>$G164*$H164*(1+$K164)^MAX(ROUNDUP(IFERROR(DATEDIF($I146-1,CY$15+1,"m"),)/12,)-1,)*Index!CU$22*(CY$15&gt;$I164)*(1-CY$12)</f>
        <v>1796.0397916005354</v>
      </c>
      <c r="CZ164" s="747">
        <f>$G164*$H164*(1+$K164)^MAX(ROUNDUP(IFERROR(DATEDIF($I146-1,CZ$15+1,"m"),)/12,)-1,)*Index!CV$22*(CZ$15&gt;$I164)*(1-CZ$12)</f>
        <v>1796.0397916005354</v>
      </c>
      <c r="DA164" s="747">
        <f>$G164*$H164*(1+$K164)^MAX(ROUNDUP(IFERROR(DATEDIF($I146-1,DA$15+1,"m"),)/12,)-1,)*Index!CW$22*(DA$15&gt;$I164)*(1-DA$12)</f>
        <v>1796.0397916005354</v>
      </c>
      <c r="DB164" s="747">
        <f>$G164*$H164*(1+$K164)^MAX(ROUNDUP(IFERROR(DATEDIF($I146-1,DB$15+1,"m"),)/12,)-1,)*Index!CX$22*(DB$15&gt;$I164)*(1-DB$12)</f>
        <v>1796.0397916005354</v>
      </c>
      <c r="DC164" s="747">
        <f>$G164*$H164*(1+$K164)^MAX(ROUNDUP(IFERROR(DATEDIF($I146-1,DC$15+1,"m"),)/12,)-1,)*Index!CY$22*(DC$15&gt;$I164)*(1-DC$12)</f>
        <v>1796.0397916005354</v>
      </c>
      <c r="DD164" s="747">
        <f>$G164*$H164*(1+$K164)^MAX(ROUNDUP(IFERROR(DATEDIF($I146-1,DD$15+1,"m"),)/12,)-1,)*Index!CZ$22*(DD$15&gt;$I164)*(1-DD$12)</f>
        <v>1796.0397916005354</v>
      </c>
      <c r="DE164" s="747">
        <f>$G164*$H164*(1+$K164)^MAX(ROUNDUP(IFERROR(DATEDIF($I146-1,DE$15+1,"m"),)/12,)-1,)*Index!DA$22*(DE$15&gt;$I164)*(1-DE$12)</f>
        <v>1796.0397916005354</v>
      </c>
      <c r="DF164" s="747">
        <f>$G164*$H164*(1+$K164)^MAX(ROUNDUP(IFERROR(DATEDIF($I146-1,DF$15+1,"m"),)/12,)-1,)*Index!DB$22*(DF$15&gt;$I164)*(1-DF$12)</f>
        <v>1796.0397916005354</v>
      </c>
      <c r="DG164" s="747">
        <f>$G164*$H164*(1+$K164)^MAX(ROUNDUP(IFERROR(DATEDIF($I146-1,DG$15+1,"m"),)/12,)-1,)*Index!DC$22*(DG$15&gt;$I164)*(1-DG$12)</f>
        <v>1796.0397916005354</v>
      </c>
      <c r="DH164" s="747">
        <f>$G164*$H164*(1+$K164)^MAX(ROUNDUP(IFERROR(DATEDIF($I146-1,DH$15+1,"m"),)/12,)-1,)*Index!DD$22*(DH$15&gt;$I164)*(1-DH$12)</f>
        <v>1796.0397916005354</v>
      </c>
      <c r="DI164" s="747">
        <f>$G164*$H164*(1+$K164)^MAX(ROUNDUP(IFERROR(DATEDIF($I146-1,DI$15+1,"m"),)/12,)-1,)*Index!DE$22*(DI$15&gt;$I164)*(1-DI$12)</f>
        <v>1796.0397916005354</v>
      </c>
      <c r="DJ164" s="747">
        <f>$G164*$H164*(1+$K164)^MAX(ROUNDUP(IFERROR(DATEDIF($I146-1,DJ$15+1,"m"),)/12,)-1,)*Index!DF$22*(DJ$15&gt;$I164)*(1-DJ$12)</f>
        <v>1796.0397916005354</v>
      </c>
      <c r="DK164" s="747">
        <f>$G164*$H164*(1+$K164)^MAX(ROUNDUP(IFERROR(DATEDIF($I146-1,DK$15+1,"m"),)/12,)-1,)*Index!DG$22*(DK$15&gt;$I164)*(1-DK$12)</f>
        <v>1840.9407863905487</v>
      </c>
      <c r="DL164" s="747">
        <f>$G164*$H164*(1+$K164)^MAX(ROUNDUP(IFERROR(DATEDIF($I146-1,DL$15+1,"m"),)/12,)-1,)*Index!DH$22*(DL$15&gt;$I164)*(1-DL$12)</f>
        <v>1840.9407863905487</v>
      </c>
      <c r="DM164" s="747">
        <f>$G164*$H164*(1+$K164)^MAX(ROUNDUP(IFERROR(DATEDIF($I146-1,DM$15+1,"m"),)/12,)-1,)*Index!DI$22*(DM$15&gt;$I164)*(1-DM$12)</f>
        <v>1840.9407863905487</v>
      </c>
      <c r="DN164" s="747">
        <f>$G164*$H164*(1+$K164)^MAX(ROUNDUP(IFERROR(DATEDIF($I146-1,DN$15+1,"m"),)/12,)-1,)*Index!DJ$22*(DN$15&gt;$I164)*(1-DN$12)</f>
        <v>1840.9407863905487</v>
      </c>
      <c r="DO164" s="747">
        <f>$G164*$H164*(1+$K164)^MAX(ROUNDUP(IFERROR(DATEDIF($I146-1,DO$15+1,"m"),)/12,)-1,)*Index!DK$22*(DO$15&gt;$I164)*(1-DO$12)</f>
        <v>1840.9407863905487</v>
      </c>
      <c r="DP164" s="747">
        <f>$G164*$H164*(1+$K164)^MAX(ROUNDUP(IFERROR(DATEDIF($I146-1,DP$15+1,"m"),)/12,)-1,)*Index!DL$22*(DP$15&gt;$I164)*(1-DP$12)</f>
        <v>1840.9407863905487</v>
      </c>
      <c r="DQ164" s="747">
        <f>$G164*$H164*(1+$K164)^MAX(ROUNDUP(IFERROR(DATEDIF($I146-1,DQ$15+1,"m"),)/12,)-1,)*Index!DM$22*(DQ$15&gt;$I164)*(1-DQ$12)</f>
        <v>1840.9407863905487</v>
      </c>
      <c r="DR164" s="747">
        <f>$G164*$H164*(1+$K164)^MAX(ROUNDUP(IFERROR(DATEDIF($I146-1,DR$15+1,"m"),)/12,)-1,)*Index!DN$22*(DR$15&gt;$I164)*(1-DR$12)</f>
        <v>1840.9407863905487</v>
      </c>
      <c r="DS164" s="747">
        <f>$G164*$H164*(1+$K164)^MAX(ROUNDUP(IFERROR(DATEDIF($I146-1,DS$15+1,"m"),)/12,)-1,)*Index!DO$22*(DS$15&gt;$I164)*(1-DS$12)</f>
        <v>1840.9407863905487</v>
      </c>
      <c r="DT164" s="747">
        <f>$G164*$H164*(1+$K164)^MAX(ROUNDUP(IFERROR(DATEDIF($I146-1,DT$15+1,"m"),)/12,)-1,)*Index!DP$22*(DT$15&gt;$I164)*(1-DT$12)</f>
        <v>1840.9407863905487</v>
      </c>
      <c r="DU164" s="747">
        <f>$G164*$H164*(1+$K164)^MAX(ROUNDUP(IFERROR(DATEDIF($I146-1,DU$15+1,"m"),)/12,)-1,)*Index!DQ$22*(DU$15&gt;$I164)*(1-DU$12)</f>
        <v>1840.9407863905487</v>
      </c>
      <c r="DV164" s="747">
        <f>$G164*$H164*(1+$K164)^MAX(ROUNDUP(IFERROR(DATEDIF($I146-1,DV$15+1,"m"),)/12,)-1,)*Index!DR$22*(DV$15&gt;$I164)*(1-DV$12)</f>
        <v>1840.9407863905487</v>
      </c>
      <c r="DW164" s="747">
        <f>$G164*$H164*(1+$K164)^MAX(ROUNDUP(IFERROR(DATEDIF($I146-1,DW$15+1,"m"),)/12,)-1,)*Index!DS$22*(DW$15&gt;$I164)*(1-DW$12)</f>
        <v>1886.9643060503124</v>
      </c>
      <c r="DX164" s="747">
        <f>$G164*$H164*(1+$K164)^MAX(ROUNDUP(IFERROR(DATEDIF($I146-1,DX$15+1,"m"),)/12,)-1,)*Index!DT$22*(DX$15&gt;$I164)*(1-DX$12)</f>
        <v>1886.9643060503124</v>
      </c>
      <c r="DY164" s="747">
        <f>$G164*$H164*(1+$K164)^MAX(ROUNDUP(IFERROR(DATEDIF($I146-1,DY$15+1,"m"),)/12,)-1,)*Index!DU$22*(DY$15&gt;$I164)*(1-DY$12)</f>
        <v>1886.9643060503124</v>
      </c>
      <c r="DZ164" s="747">
        <f>$G164*$H164*(1+$K164)^MAX(ROUNDUP(IFERROR(DATEDIF($I146-1,DZ$15+1,"m"),)/12,)-1,)*Index!DV$22*(DZ$15&gt;$I164)*(1-DZ$12)</f>
        <v>1886.9643060503124</v>
      </c>
      <c r="EA164" s="747">
        <f>$G164*$H164*(1+$K164)^MAX(ROUNDUP(IFERROR(DATEDIF($I146-1,EA$15+1,"m"),)/12,)-1,)*Index!DW$22*(EA$15&gt;$I164)*(1-EA$12)</f>
        <v>1886.9643060503124</v>
      </c>
      <c r="EB164" s="747">
        <f>$G164*$H164*(1+$K164)^MAX(ROUNDUP(IFERROR(DATEDIF($I146-1,EB$15+1,"m"),)/12,)-1,)*Index!DX$22*(EB$15&gt;$I164)*(1-EB$12)</f>
        <v>1886.9643060503124</v>
      </c>
      <c r="EC164" s="747">
        <f>$G164*$H164*(1+$K164)^MAX(ROUNDUP(IFERROR(DATEDIF($I146-1,EC$15+1,"m"),)/12,)-1,)*Index!DY$22*(EC$15&gt;$I164)*(1-EC$12)</f>
        <v>1886.9643060503124</v>
      </c>
      <c r="ED164" s="747">
        <f>$G164*$H164*(1+$K164)^MAX(ROUNDUP(IFERROR(DATEDIF($I146-1,ED$15+1,"m"),)/12,)-1,)*Index!DZ$22*(ED$15&gt;$I164)*(1-ED$12)</f>
        <v>1886.9643060503124</v>
      </c>
      <c r="EE164" s="747">
        <f>$G164*$H164*(1+$K164)^MAX(ROUNDUP(IFERROR(DATEDIF($I146-1,EE$15+1,"m"),)/12,)-1,)*Index!EA$22*(EE$15&gt;$I164)*(1-EE$12)</f>
        <v>1886.9643060503124</v>
      </c>
      <c r="EF164" s="747">
        <f>$G164*$H164*(1+$K164)^MAX(ROUNDUP(IFERROR(DATEDIF($I146-1,EF$15+1,"m"),)/12,)-1,)*Index!EB$22*(EF$15&gt;$I164)*(1-EF$12)</f>
        <v>1886.9643060503124</v>
      </c>
      <c r="EG164" s="747">
        <f>$G164*$H164*(1+$K164)^MAX(ROUNDUP(IFERROR(DATEDIF($I146-1,EG$15+1,"m"),)/12,)-1,)*Index!EC$22*(EG$15&gt;$I164)*(1-EG$12)</f>
        <v>0</v>
      </c>
      <c r="EH164" s="747">
        <f>$G164*$H164*(1+$K164)^MAX(ROUNDUP(IFERROR(DATEDIF($I146-1,EH$15+1,"m"),)/12,)-1,)*Index!ED$22*(EH$15&gt;$I164)*(1-EH$12)</f>
        <v>0</v>
      </c>
      <c r="EI164" s="747">
        <f>$G164*$H164*(1+$K164)^MAX(ROUNDUP(IFERROR(DATEDIF($I146-1,EI$15+1,"m"),)/12,)-1,)*Index!EE$22*(EI$15&gt;$I164)*(1-EI$12)</f>
        <v>0</v>
      </c>
      <c r="EJ164" s="747">
        <f>$G164*$H164*(1+$K164)^MAX(ROUNDUP(IFERROR(DATEDIF($I146-1,EJ$15+1,"m"),)/12,)-1,)*Index!EF$22*(EJ$15&gt;$I164)*(1-EJ$12)</f>
        <v>0</v>
      </c>
      <c r="EK164" s="747">
        <f>$G164*$H164*(1+$K164)^MAX(ROUNDUP(IFERROR(DATEDIF($I146-1,EK$15+1,"m"),)/12,)-1,)*Index!EG$22*(EK$15&gt;$I164)*(1-EK$12)</f>
        <v>0</v>
      </c>
      <c r="EL164" s="747">
        <f>$G164*$H164*(1+$K164)^MAX(ROUNDUP(IFERROR(DATEDIF($I146-1,EL$15+1,"m"),)/12,)-1,)*Index!EH$22*(EL$15&gt;$I164)*(1-EL$12)</f>
        <v>0</v>
      </c>
      <c r="EM164" s="747">
        <f>$G164*$H164*(1+$K164)^MAX(ROUNDUP(IFERROR(DATEDIF($I146-1,EM$15+1,"m"),)/12,)-1,)*Index!EI$22*(EM$15&gt;$I164)*(1-EM$12)</f>
        <v>0</v>
      </c>
      <c r="EN164" s="747">
        <f>$G164*$H164*(1+$K164)^MAX(ROUNDUP(IFERROR(DATEDIF($I146-1,EN$15+1,"m"),)/12,)-1,)*Index!EJ$22*(EN$15&gt;$I164)*(1-EN$12)</f>
        <v>0</v>
      </c>
      <c r="EO164" s="747">
        <f>$G164*$H164*(1+$K164)^MAX(ROUNDUP(IFERROR(DATEDIF($I146-1,EO$15+1,"m"),)/12,)-1,)*Index!EK$22*(EO$15&gt;$I164)*(1-EO$12)</f>
        <v>0</v>
      </c>
      <c r="EP164" s="747">
        <f>$G164*$H164*(1+$K164)^MAX(ROUNDUP(IFERROR(DATEDIF($I146-1,EP$15+1,"m"),)/12,)-1,)*Index!EL$22*(EP$15&gt;$I164)*(1-EP$12)</f>
        <v>0</v>
      </c>
      <c r="EQ164" s="747">
        <f>$G164*$H164*(1+$K164)^MAX(ROUNDUP(IFERROR(DATEDIF($I146-1,EQ$15+1,"m"),)/12,)-1,)*Index!EM$22*(EQ$15&gt;$I164)*(1-EQ$12)</f>
        <v>0</v>
      </c>
      <c r="ER164" s="747">
        <f>$G164*$H164*(1+$K164)^MAX(ROUNDUP(IFERROR(DATEDIF($I146-1,ER$15+1,"m"),)/12,)-1,)*Index!EN$22*(ER$15&gt;$I164)*(1-ER$12)</f>
        <v>0</v>
      </c>
      <c r="ES164" s="747">
        <f>$G164*$H164*(1+$K164)^MAX(ROUNDUP(IFERROR(DATEDIF($I146-1,ES$15+1,"m"),)/12,)-1,)*Index!EO$22*(ES$15&gt;$I164)*(1-ES$12)</f>
        <v>0</v>
      </c>
      <c r="ET164" s="747">
        <f>$G164*$H164*(1+$K164)^MAX(ROUNDUP(IFERROR(DATEDIF($I146-1,ET$15+1,"m"),)/12,)-1,)*Index!EP$22*(ET$15&gt;$I164)*(1-ET$12)</f>
        <v>0</v>
      </c>
      <c r="EU164" s="747">
        <f>$G164*$H164*(1+$K164)^MAX(ROUNDUP(IFERROR(DATEDIF($I146-1,EU$15+1,"m"),)/12,)-1,)*Index!EQ$22*(EU$15&gt;$I164)*(1-EU$12)</f>
        <v>0</v>
      </c>
    </row>
    <row r="165" spans="3:151" ht="11.25" customHeight="1">
      <c r="C165" s="735"/>
      <c r="D165" s="743">
        <f t="shared" si="243"/>
        <v>8</v>
      </c>
      <c r="E165" s="704" t="str">
        <f t="shared" si="243"/>
        <v>쿠팡</v>
      </c>
      <c r="F165" s="704" t="str">
        <f t="shared" si="243"/>
        <v>상온창고</v>
      </c>
      <c r="G165" s="781" cm="1">
        <f t="array" ref="G165">SUMPRODUCT(($E165='A&amp;R'!$V$26:$V$32)*('A&amp;R'!$AC$26:$AC$32))/1000</f>
        <v>2.9900433370455741</v>
      </c>
      <c r="H165" s="744">
        <f t="shared" si="244"/>
        <v>207.4</v>
      </c>
      <c r="I165" s="745">
        <f t="shared" si="245"/>
        <v>49064</v>
      </c>
      <c r="J165" s="745"/>
      <c r="K165" s="754">
        <f t="shared" si="246"/>
        <v>2.5000000000000001E-2</v>
      </c>
      <c r="L165" s="746"/>
      <c r="M165" s="722"/>
      <c r="N165" s="747">
        <f t="shared" si="247"/>
        <v>24294.028380293712</v>
      </c>
      <c r="O165" s="733"/>
      <c r="P165" s="747">
        <f>$G165*$H165*(1+$K165)^MAX(ROUNDUP(IFERROR(DATEDIF($I147-1,P$15+1,"m"),)/12,)-1,)*Index!L$22*(P$15&gt;$I165)*(1-P$12)</f>
        <v>0</v>
      </c>
      <c r="Q165" s="747">
        <f>$G165*$H165*(1+$K165)^MAX(ROUNDUP(IFERROR(DATEDIF($I147-1,Q$15+1,"m"),)/12,)-1,)*Index!M$22*(Q$15&gt;$I165)*(1-Q$12)</f>
        <v>0</v>
      </c>
      <c r="R165" s="747">
        <f>$G165*$H165*(1+$K165)^MAX(ROUNDUP(IFERROR(DATEDIF($I147-1,R$15+1,"m"),)/12,)-1,)*Index!N$22*(R$15&gt;$I165)*(1-R$12)</f>
        <v>0</v>
      </c>
      <c r="S165" s="747">
        <f>$G165*$H165*(1+$K165)^MAX(ROUNDUP(IFERROR(DATEDIF($I147-1,S$15+1,"m"),)/12,)-1,)*Index!O$22*(S$15&gt;$I165)*(1-S$12)</f>
        <v>0</v>
      </c>
      <c r="T165" s="747">
        <f>$G165*$H165*(1+$K165)^MAX(ROUNDUP(IFERROR(DATEDIF($I147-1,T$15+1,"m"),)/12,)-1,)*Index!P$22*(T$15&gt;$I165)*(1-T$12)</f>
        <v>0</v>
      </c>
      <c r="U165" s="747">
        <f>$G165*$H165*(1+$K165)^MAX(ROUNDUP(IFERROR(DATEDIF($I147-1,U$15+1,"m"),)/12,)-1,)*Index!Q$22*(U$15&gt;$I165)*(1-U$12)</f>
        <v>0</v>
      </c>
      <c r="V165" s="747">
        <f>$G165*$H165*(1+$K165)^MAX(ROUNDUP(IFERROR(DATEDIF($I147-1,V$15+1,"m"),)/12,)-1,)*Index!R$22*(V$15&gt;$I165)*(1-V$12)</f>
        <v>0</v>
      </c>
      <c r="W165" s="747">
        <f>$G165*$H165*(1+$K165)^MAX(ROUNDUP(IFERROR(DATEDIF($I147-1,W$15+1,"m"),)/12,)-1,)*Index!S$22*(W$15&gt;$I165)*(1-W$12)</f>
        <v>0</v>
      </c>
      <c r="X165" s="747">
        <f>$G165*$H165*(1+$K165)^MAX(ROUNDUP(IFERROR(DATEDIF($I147-1,X$15+1,"m"),)/12,)-1,)*Index!T$22*(X$15&gt;$I165)*(1-X$12)</f>
        <v>0</v>
      </c>
      <c r="Y165" s="747">
        <f>$G165*$H165*(1+$K165)^MAX(ROUNDUP(IFERROR(DATEDIF($I147-1,Y$15+1,"m"),)/12,)-1,)*Index!U$22*(Y$15&gt;$I165)*(1-Y$12)</f>
        <v>0</v>
      </c>
      <c r="Z165" s="747">
        <f>$G165*$H165*(1+$K165)^MAX(ROUNDUP(IFERROR(DATEDIF($I147-1,Z$15+1,"m"),)/12,)-1,)*Index!V$22*(Z$15&gt;$I165)*(1-Z$12)</f>
        <v>0</v>
      </c>
      <c r="AA165" s="747">
        <f>$G165*$H165*(1+$K165)^MAX(ROUNDUP(IFERROR(DATEDIF($I147-1,AA$15+1,"m"),)/12,)-1,)*Index!W$22*(AA$15&gt;$I165)*(1-AA$12)</f>
        <v>0</v>
      </c>
      <c r="AB165" s="747">
        <f>$G165*$H165*(1+$K165)^MAX(ROUNDUP(IFERROR(DATEDIF($I147-1,AB$15+1,"m"),)/12,)-1,)*Index!X$22*(AB$15&gt;$I165)*(1-AB$12)</f>
        <v>0</v>
      </c>
      <c r="AC165" s="747">
        <f>$G165*$H165*(1+$K165)^MAX(ROUNDUP(IFERROR(DATEDIF($I147-1,AC$15+1,"m"),)/12,)-1,)*Index!Y$22*(AC$15&gt;$I165)*(1-AC$12)</f>
        <v>0</v>
      </c>
      <c r="AD165" s="747">
        <f>$G165*$H165*(1+$K165)^MAX(ROUNDUP(IFERROR(DATEDIF($I147-1,AD$15+1,"m"),)/12,)-1,)*Index!Z$22*(AD$15&gt;$I165)*(1-AD$12)</f>
        <v>0</v>
      </c>
      <c r="AE165" s="747">
        <f>$G165*$H165*(1+$K165)^MAX(ROUNDUP(IFERROR(DATEDIF($I147-1,AE$15+1,"m"),)/12,)-1,)*Index!AA$22*(AE$15&gt;$I165)*(1-AE$12)</f>
        <v>0</v>
      </c>
      <c r="AF165" s="747">
        <f>$G165*$H165*(1+$K165)^MAX(ROUNDUP(IFERROR(DATEDIF($I147-1,AF$15+1,"m"),)/12,)-1,)*Index!AB$22*(AF$15&gt;$I165)*(1-AF$12)</f>
        <v>0</v>
      </c>
      <c r="AG165" s="747">
        <f>$G165*$H165*(1+$K165)^MAX(ROUNDUP(IFERROR(DATEDIF($I147-1,AG$15+1,"m"),)/12,)-1,)*Index!AC$22*(AG$15&gt;$I165)*(1-AG$12)</f>
        <v>0</v>
      </c>
      <c r="AH165" s="747">
        <f>$G165*$H165*(1+$K165)^MAX(ROUNDUP(IFERROR(DATEDIF($I147-1,AH$15+1,"m"),)/12,)-1,)*Index!AD$22*(AH$15&gt;$I165)*(1-AH$12)</f>
        <v>0</v>
      </c>
      <c r="AI165" s="747">
        <f>$G165*$H165*(1+$K165)^MAX(ROUNDUP(IFERROR(DATEDIF($I147-1,AI$15+1,"m"),)/12,)-1,)*Index!AE$22*(AI$15&gt;$I165)*(1-AI$12)</f>
        <v>0</v>
      </c>
      <c r="AJ165" s="747">
        <f>$G165*$H165*(1+$K165)^MAX(ROUNDUP(IFERROR(DATEDIF($I147-1,AJ$15+1,"m"),)/12,)-1,)*Index!AF$22*(AJ$15&gt;$I165)*(1-AJ$12)</f>
        <v>0</v>
      </c>
      <c r="AK165" s="747">
        <f>$G165*$H165*(1+$K165)^MAX(ROUNDUP(IFERROR(DATEDIF($I147-1,AK$15+1,"m"),)/12,)-1,)*Index!AG$22*(AK$15&gt;$I165)*(1-AK$12)</f>
        <v>0</v>
      </c>
      <c r="AL165" s="747">
        <f>$G165*$H165*(1+$K165)^MAX(ROUNDUP(IFERROR(DATEDIF($I147-1,AL$15+1,"m"),)/12,)-1,)*Index!AH$22*(AL$15&gt;$I165)*(1-AL$12)</f>
        <v>0</v>
      </c>
      <c r="AM165" s="747">
        <f>$G165*$H165*(1+$K165)^MAX(ROUNDUP(IFERROR(DATEDIF($I147-1,AM$15+1,"m"),)/12,)-1,)*Index!AI$22*(AM$15&gt;$I165)*(1-AM$12)</f>
        <v>0</v>
      </c>
      <c r="AN165" s="747">
        <f>$G165*$H165*(1+$K165)^MAX(ROUNDUP(IFERROR(DATEDIF($I147-1,AN$15+1,"m"),)/12,)-1,)*Index!AJ$22*(AN$15&gt;$I165)*(1-AN$12)</f>
        <v>0</v>
      </c>
      <c r="AO165" s="747">
        <f>$G165*$H165*(1+$K165)^MAX(ROUNDUP(IFERROR(DATEDIF($I147-1,AO$15+1,"m"),)/12,)-1,)*Index!AK$22*(AO$15&gt;$I165)*(1-AO$12)</f>
        <v>0</v>
      </c>
      <c r="AP165" s="747">
        <f>$G165*$H165*(1+$K165)^MAX(ROUNDUP(IFERROR(DATEDIF($I147-1,AP$15+1,"m"),)/12,)-1,)*Index!AL$22*(AP$15&gt;$I165)*(1-AP$12)</f>
        <v>0</v>
      </c>
      <c r="AQ165" s="747">
        <f>$G165*$H165*(1+$K165)^MAX(ROUNDUP(IFERROR(DATEDIF($I147-1,AQ$15+1,"m"),)/12,)-1,)*Index!AM$22*(AQ$15&gt;$I165)*(1-AQ$12)</f>
        <v>0</v>
      </c>
      <c r="AR165" s="747">
        <f>$G165*$H165*(1+$K165)^MAX(ROUNDUP(IFERROR(DATEDIF($I147-1,AR$15+1,"m"),)/12,)-1,)*Index!AN$22*(AR$15&gt;$I165)*(1-AR$12)</f>
        <v>0</v>
      </c>
      <c r="AS165" s="747">
        <f>$G165*$H165*(1+$K165)^MAX(ROUNDUP(IFERROR(DATEDIF($I147-1,AS$15+1,"m"),)/12,)-1,)*Index!AO$22*(AS$15&gt;$I165)*(1-AS$12)</f>
        <v>0</v>
      </c>
      <c r="AT165" s="747">
        <f>$G165*$H165*(1+$K165)^MAX(ROUNDUP(IFERROR(DATEDIF($I147-1,AT$15+1,"m"),)/12,)-1,)*Index!AP$22*(AT$15&gt;$I165)*(1-AT$12)</f>
        <v>0</v>
      </c>
      <c r="AU165" s="747">
        <f>$G165*$H165*(1+$K165)^MAX(ROUNDUP(IFERROR(DATEDIF($I147-1,AU$15+1,"m"),)/12,)-1,)*Index!AQ$22*(AU$15&gt;$I165)*(1-AU$12)</f>
        <v>0</v>
      </c>
      <c r="AV165" s="747">
        <f>$G165*$H165*(1+$K165)^MAX(ROUNDUP(IFERROR(DATEDIF($I147-1,AV$15+1,"m"),)/12,)-1,)*Index!AR$22*(AV$15&gt;$I165)*(1-AV$12)</f>
        <v>0</v>
      </c>
      <c r="AW165" s="747">
        <f>$G165*$H165*(1+$K165)^MAX(ROUNDUP(IFERROR(DATEDIF($I147-1,AW$15+1,"m"),)/12,)-1,)*Index!AS$22*(AW$15&gt;$I165)*(1-AW$12)</f>
        <v>0</v>
      </c>
      <c r="AX165" s="747">
        <f>$G165*$H165*(1+$K165)^MAX(ROUNDUP(IFERROR(DATEDIF($I147-1,AX$15+1,"m"),)/12,)-1,)*Index!AT$22*(AX$15&gt;$I165)*(1-AX$12)</f>
        <v>0</v>
      </c>
      <c r="AY165" s="747">
        <f>$G165*$H165*(1+$K165)^MAX(ROUNDUP(IFERROR(DATEDIF($I147-1,AY$15+1,"m"),)/12,)-1,)*Index!AU$22*(AY$15&gt;$I165)*(1-AY$12)</f>
        <v>0</v>
      </c>
      <c r="AZ165" s="747">
        <f>$G165*$H165*(1+$K165)^MAX(ROUNDUP(IFERROR(DATEDIF($I147-1,AZ$15+1,"m"),)/12,)-1,)*Index!AV$22*(AZ$15&gt;$I165)*(1-AZ$12)</f>
        <v>0</v>
      </c>
      <c r="BA165" s="747">
        <f>$G165*$H165*(1+$K165)^MAX(ROUNDUP(IFERROR(DATEDIF($I147-1,BA$15+1,"m"),)/12,)-1,)*Index!AW$22*(BA$15&gt;$I165)*(1-BA$12)</f>
        <v>0</v>
      </c>
      <c r="BB165" s="747">
        <f>$G165*$H165*(1+$K165)^MAX(ROUNDUP(IFERROR(DATEDIF($I147-1,BB$15+1,"m"),)/12,)-1,)*Index!AX$22*(BB$15&gt;$I165)*(1-BB$12)</f>
        <v>0</v>
      </c>
      <c r="BC165" s="747">
        <f>$G165*$H165*(1+$K165)^MAX(ROUNDUP(IFERROR(DATEDIF($I147-1,BC$15+1,"m"),)/12,)-1,)*Index!AY$22*(BC$15&gt;$I165)*(1-BC$12)</f>
        <v>0</v>
      </c>
      <c r="BD165" s="747">
        <f>$G165*$H165*(1+$K165)^MAX(ROUNDUP(IFERROR(DATEDIF($I147-1,BD$15+1,"m"),)/12,)-1,)*Index!AZ$22*(BD$15&gt;$I165)*(1-BD$12)</f>
        <v>0</v>
      </c>
      <c r="BE165" s="747">
        <f>$G165*$H165*(1+$K165)^MAX(ROUNDUP(IFERROR(DATEDIF($I147-1,BE$15+1,"m"),)/12,)-1,)*Index!BA$22*(BE$15&gt;$I165)*(1-BE$12)</f>
        <v>0</v>
      </c>
      <c r="BF165" s="747">
        <f>$G165*$H165*(1+$K165)^MAX(ROUNDUP(IFERROR(DATEDIF($I147-1,BF$15+1,"m"),)/12,)-1,)*Index!BB$22*(BF$15&gt;$I165)*(1-BF$12)</f>
        <v>0</v>
      </c>
      <c r="BG165" s="747">
        <f>$G165*$H165*(1+$K165)^MAX(ROUNDUP(IFERROR(DATEDIF($I147-1,BG$15+1,"m"),)/12,)-1,)*Index!BC$22*(BG$15&gt;$I165)*(1-BG$12)</f>
        <v>0</v>
      </c>
      <c r="BH165" s="747">
        <f>$G165*$H165*(1+$K165)^MAX(ROUNDUP(IFERROR(DATEDIF($I147-1,BH$15+1,"m"),)/12,)-1,)*Index!BD$22*(BH$15&gt;$I165)*(1-BH$12)</f>
        <v>0</v>
      </c>
      <c r="BI165" s="747">
        <f>$G165*$H165*(1+$K165)^MAX(ROUNDUP(IFERROR(DATEDIF($I147-1,BI$15+1,"m"),)/12,)-1,)*Index!BE$22*(BI$15&gt;$I165)*(1-BI$12)</f>
        <v>0</v>
      </c>
      <c r="BJ165" s="747">
        <f>$G165*$H165*(1+$K165)^MAX(ROUNDUP(IFERROR(DATEDIF($I147-1,BJ$15+1,"m"),)/12,)-1,)*Index!BF$22*(BJ$15&gt;$I165)*(1-BJ$12)</f>
        <v>0</v>
      </c>
      <c r="BK165" s="747">
        <f>$G165*$H165*(1+$K165)^MAX(ROUNDUP(IFERROR(DATEDIF($I147-1,BK$15+1,"m"),)/12,)-1,)*Index!BG$22*(BK$15&gt;$I165)*(1-BK$12)</f>
        <v>0</v>
      </c>
      <c r="BL165" s="747">
        <f>$G165*$H165*(1+$K165)^MAX(ROUNDUP(IFERROR(DATEDIF($I147-1,BL$15+1,"m"),)/12,)-1,)*Index!BH$22*(BL$15&gt;$I165)*(1-BL$12)</f>
        <v>0</v>
      </c>
      <c r="BM165" s="747">
        <f>$G165*$H165*(1+$K165)^MAX(ROUNDUP(IFERROR(DATEDIF($I147-1,BM$15+1,"m"),)/12,)-1,)*Index!BI$22*(BM$15&gt;$I165)*(1-BM$12)</f>
        <v>0</v>
      </c>
      <c r="BN165" s="747">
        <f>$G165*$H165*(1+$K165)^MAX(ROUNDUP(IFERROR(DATEDIF($I147-1,BN$15+1,"m"),)/12,)-1,)*Index!BJ$22*(BN$15&gt;$I165)*(1-BN$12)</f>
        <v>0</v>
      </c>
      <c r="BO165" s="747">
        <f>$G165*$H165*(1+$K165)^MAX(ROUNDUP(IFERROR(DATEDIF($I147-1,BO$15+1,"m"),)/12,)-1,)*Index!BK$22*(BO$15&gt;$I165)*(1-BO$12)</f>
        <v>0</v>
      </c>
      <c r="BP165" s="747">
        <f>$G165*$H165*(1+$K165)^MAX(ROUNDUP(IFERROR(DATEDIF($I147-1,BP$15+1,"m"),)/12,)-1,)*Index!BL$22*(BP$15&gt;$I165)*(1-BP$12)</f>
        <v>0</v>
      </c>
      <c r="BQ165" s="747">
        <f>$G165*$H165*(1+$K165)^MAX(ROUNDUP(IFERROR(DATEDIF($I147-1,BQ$15+1,"m"),)/12,)-1,)*Index!BM$22*(BQ$15&gt;$I165)*(1-BQ$12)</f>
        <v>0</v>
      </c>
      <c r="BR165" s="747">
        <f>$G165*$H165*(1+$K165)^MAX(ROUNDUP(IFERROR(DATEDIF($I147-1,BR$15+1,"m"),)/12,)-1,)*Index!BN$22*(BR$15&gt;$I165)*(1-BR$12)</f>
        <v>0</v>
      </c>
      <c r="BS165" s="747">
        <f>$G165*$H165*(1+$K165)^MAX(ROUNDUP(IFERROR(DATEDIF($I147-1,BS$15+1,"m"),)/12,)-1,)*Index!BO$22*(BS$15&gt;$I165)*(1-BS$12)</f>
        <v>0</v>
      </c>
      <c r="BT165" s="747">
        <f>$G165*$H165*(1+$K165)^MAX(ROUNDUP(IFERROR(DATEDIF($I147-1,BT$15+1,"m"),)/12,)-1,)*Index!BP$22*(BT$15&gt;$I165)*(1-BT$12)</f>
        <v>0</v>
      </c>
      <c r="BU165" s="747">
        <f>$G165*$H165*(1+$K165)^MAX(ROUNDUP(IFERROR(DATEDIF($I147-1,BU$15+1,"m"),)/12,)-1,)*Index!BQ$22*(BU$15&gt;$I165)*(1-BU$12)</f>
        <v>0</v>
      </c>
      <c r="BV165" s="747">
        <f>$G165*$H165*(1+$K165)^MAX(ROUNDUP(IFERROR(DATEDIF($I147-1,BV$15+1,"m"),)/12,)-1,)*Index!BR$22*(BV$15&gt;$I165)*(1-BV$12)</f>
        <v>0</v>
      </c>
      <c r="BW165" s="747">
        <f>$G165*$H165*(1+$K165)^MAX(ROUNDUP(IFERROR(DATEDIF($I147-1,BW$15+1,"m"),)/12,)-1,)*Index!BS$22*(BW$15&gt;$I165)*(1-BW$12)</f>
        <v>0</v>
      </c>
      <c r="BX165" s="747">
        <f>$G165*$H165*(1+$K165)^MAX(ROUNDUP(IFERROR(DATEDIF($I147-1,BX$15+1,"m"),)/12,)-1,)*Index!BT$22*(BX$15&gt;$I165)*(1-BX$12)</f>
        <v>0</v>
      </c>
      <c r="BY165" s="747">
        <f>$G165*$H165*(1+$K165)^MAX(ROUNDUP(IFERROR(DATEDIF($I147-1,BY$15+1,"m"),)/12,)-1,)*Index!BU$22*(BY$15&gt;$I165)*(1-BY$12)</f>
        <v>0</v>
      </c>
      <c r="BZ165" s="747">
        <f>$G165*$H165*(1+$K165)^MAX(ROUNDUP(IFERROR(DATEDIF($I147-1,BZ$15+1,"m"),)/12,)-1,)*Index!BV$22*(BZ$15&gt;$I165)*(1-BZ$12)</f>
        <v>0</v>
      </c>
      <c r="CA165" s="747">
        <f>$G165*$H165*(1+$K165)^MAX(ROUNDUP(IFERROR(DATEDIF($I147-1,CA$15+1,"m"),)/12,)-1,)*Index!BW$22*(CA$15&gt;$I165)*(1-CA$12)</f>
        <v>0</v>
      </c>
      <c r="CB165" s="747">
        <f>$G165*$H165*(1+$K165)^MAX(ROUNDUP(IFERROR(DATEDIF($I147-1,CB$15+1,"m"),)/12,)-1,)*Index!BX$22*(CB$15&gt;$I165)*(1-CB$12)</f>
        <v>0</v>
      </c>
      <c r="CC165" s="747">
        <f>$G165*$H165*(1+$K165)^MAX(ROUNDUP(IFERROR(DATEDIF($I147-1,CC$15+1,"m"),)/12,)-1,)*Index!BY$22*(CC$15&gt;$I165)*(1-CC$12)</f>
        <v>0</v>
      </c>
      <c r="CD165" s="747">
        <f>$G165*$H165*(1+$K165)^MAX(ROUNDUP(IFERROR(DATEDIF($I147-1,CD$15+1,"m"),)/12,)-1,)*Index!BZ$22*(CD$15&gt;$I165)*(1-CD$12)</f>
        <v>0</v>
      </c>
      <c r="CE165" s="747">
        <f>$G165*$H165*(1+$K165)^MAX(ROUNDUP(IFERROR(DATEDIF($I147-1,CE$15+1,"m"),)/12,)-1,)*Index!CA$22*(CE$15&gt;$I165)*(1-CE$12)</f>
        <v>0</v>
      </c>
      <c r="CF165" s="747">
        <f>$G165*$H165*(1+$K165)^MAX(ROUNDUP(IFERROR(DATEDIF($I147-1,CF$15+1,"m"),)/12,)-1,)*Index!CB$22*(CF$15&gt;$I165)*(1-CF$12)</f>
        <v>0</v>
      </c>
      <c r="CG165" s="747">
        <f>$G165*$H165*(1+$K165)^MAX(ROUNDUP(IFERROR(DATEDIF($I147-1,CG$15+1,"m"),)/12,)-1,)*Index!CC$22*(CG$15&gt;$I165)*(1-CG$12)</f>
        <v>0</v>
      </c>
      <c r="CH165" s="747">
        <f>$G165*$H165*(1+$K165)^MAX(ROUNDUP(IFERROR(DATEDIF($I147-1,CH$15+1,"m"),)/12,)-1,)*Index!CD$22*(CH$15&gt;$I165)*(1-CH$12)</f>
        <v>0</v>
      </c>
      <c r="CI165" s="747">
        <f>$G165*$H165*(1+$K165)^MAX(ROUNDUP(IFERROR(DATEDIF($I147-1,CI$15+1,"m"),)/12,)-1,)*Index!CE$22*(CI$15&gt;$I165)*(1-CI$12)</f>
        <v>0</v>
      </c>
      <c r="CJ165" s="747">
        <f>$G165*$H165*(1+$K165)^MAX(ROUNDUP(IFERROR(DATEDIF($I147-1,CJ$15+1,"m"),)/12,)-1,)*Index!CF$22*(CJ$15&gt;$I165)*(1-CJ$12)</f>
        <v>0</v>
      </c>
      <c r="CK165" s="747">
        <f>$G165*$H165*(1+$K165)^MAX(ROUNDUP(IFERROR(DATEDIF($I147-1,CK$15+1,"m"),)/12,)-1,)*Index!CG$22*(CK$15&gt;$I165)*(1-CK$12)</f>
        <v>0</v>
      </c>
      <c r="CL165" s="747">
        <f>$G165*$H165*(1+$K165)^MAX(ROUNDUP(IFERROR(DATEDIF($I147-1,CL$15+1,"m"),)/12,)-1,)*Index!CH$22*(CL$15&gt;$I165)*(1-CL$12)</f>
        <v>0</v>
      </c>
      <c r="CM165" s="747">
        <f>$G165*$H165*(1+$K165)^MAX(ROUNDUP(IFERROR(DATEDIF($I147-1,CM$15+1,"m"),)/12,)-1,)*Index!CI$22*(CM$15&gt;$I165)*(1-CM$12)</f>
        <v>0</v>
      </c>
      <c r="CN165" s="747">
        <f>$G165*$H165*(1+$K165)^MAX(ROUNDUP(IFERROR(DATEDIF($I147-1,CN$15+1,"m"),)/12,)-1,)*Index!CJ$22*(CN$15&gt;$I165)*(1-CN$12)</f>
        <v>0</v>
      </c>
      <c r="CO165" s="747">
        <f>$G165*$H165*(1+$K165)^MAX(ROUNDUP(IFERROR(DATEDIF($I147-1,CO$15+1,"m"),)/12,)-1,)*Index!CK$22*(CO$15&gt;$I165)*(1-CO$12)</f>
        <v>0</v>
      </c>
      <c r="CP165" s="747">
        <f>$G165*$H165*(1+$K165)^MAX(ROUNDUP(IFERROR(DATEDIF($I147-1,CP$15+1,"m"),)/12,)-1,)*Index!CL$22*(CP$15&gt;$I165)*(1-CP$12)</f>
        <v>0</v>
      </c>
      <c r="CQ165" s="747">
        <f>$G165*$H165*(1+$K165)^MAX(ROUNDUP(IFERROR(DATEDIF($I147-1,CQ$15+1,"m"),)/12,)-1,)*Index!CM$22*(CQ$15&gt;$I165)*(1-CQ$12)</f>
        <v>0</v>
      </c>
      <c r="CR165" s="747">
        <f>$G165*$H165*(1+$K165)^MAX(ROUNDUP(IFERROR(DATEDIF($I147-1,CR$15+1,"m"),)/12,)-1,)*Index!CN$22*(CR$15&gt;$I165)*(1-CR$12)</f>
        <v>0</v>
      </c>
      <c r="CS165" s="747">
        <f>$G165*$H165*(1+$K165)^MAX(ROUNDUP(IFERROR(DATEDIF($I147-1,CS$15+1,"m"),)/12,)-1,)*Index!CO$22*(CS$15&gt;$I165)*(1-CS$12)</f>
        <v>0</v>
      </c>
      <c r="CT165" s="747">
        <f>$G165*$H165*(1+$K165)^MAX(ROUNDUP(IFERROR(DATEDIF($I147-1,CT$15+1,"m"),)/12,)-1,)*Index!CP$22*(CT$15&gt;$I165)*(1-CT$12)</f>
        <v>0</v>
      </c>
      <c r="CU165" s="747">
        <f>$G165*$H165*(1+$K165)^MAX(ROUNDUP(IFERROR(DATEDIF($I147-1,CU$15+1,"m"),)/12,)-1,)*Index!CQ$22*(CU$15&gt;$I165)*(1-CU$12)</f>
        <v>0</v>
      </c>
      <c r="CV165" s="747">
        <f>$G165*$H165*(1+$K165)^MAX(ROUNDUP(IFERROR(DATEDIF($I147-1,CV$15+1,"m"),)/12,)-1,)*Index!CR$22*(CV$15&gt;$I165)*(1-CV$12)</f>
        <v>0</v>
      </c>
      <c r="CW165" s="747">
        <f>$G165*$H165*(1+$K165)^MAX(ROUNDUP(IFERROR(DATEDIF($I147-1,CW$15+1,"m"),)/12,)-1,)*Index!CS$22*(CW$15&gt;$I165)*(1-CW$12)</f>
        <v>0</v>
      </c>
      <c r="CX165" s="747">
        <f>$G165*$H165*(1+$K165)^MAX(ROUNDUP(IFERROR(DATEDIF($I147-1,CX$15+1,"m"),)/12,)-1,)*Index!CT$22*(CX$15&gt;$I165)*(1-CX$12)</f>
        <v>0</v>
      </c>
      <c r="CY165" s="747">
        <f>$G165*$H165*(1+$K165)^MAX(ROUNDUP(IFERROR(DATEDIF($I147-1,CY$15+1,"m"),)/12,)-1,)*Index!CU$22*(CY$15&gt;$I165)*(1-CY$12)</f>
        <v>0</v>
      </c>
      <c r="CZ165" s="747">
        <f>$G165*$H165*(1+$K165)^MAX(ROUNDUP(IFERROR(DATEDIF($I147-1,CZ$15+1,"m"),)/12,)-1,)*Index!CV$22*(CZ$15&gt;$I165)*(1-CZ$12)</f>
        <v>0</v>
      </c>
      <c r="DA165" s="747">
        <f>$G165*$H165*(1+$K165)^MAX(ROUNDUP(IFERROR(DATEDIF($I147-1,DA$15+1,"m"),)/12,)-1,)*Index!CW$22*(DA$15&gt;$I165)*(1-DA$12)</f>
        <v>0</v>
      </c>
      <c r="DB165" s="747">
        <f>$G165*$H165*(1+$K165)^MAX(ROUNDUP(IFERROR(DATEDIF($I147-1,DB$15+1,"m"),)/12,)-1,)*Index!CX$22*(DB$15&gt;$I165)*(1-DB$12)</f>
        <v>0</v>
      </c>
      <c r="DC165" s="747">
        <f>$G165*$H165*(1+$K165)^MAX(ROUNDUP(IFERROR(DATEDIF($I147-1,DC$15+1,"m"),)/12,)-1,)*Index!CY$22*(DC$15&gt;$I165)*(1-DC$12)</f>
        <v>793.82521358636484</v>
      </c>
      <c r="DD165" s="747">
        <f>$G165*$H165*(1+$K165)^MAX(ROUNDUP(IFERROR(DATEDIF($I147-1,DD$15+1,"m"),)/12,)-1,)*Index!CZ$22*(DD$15&gt;$I165)*(1-DD$12)</f>
        <v>793.82521358636484</v>
      </c>
      <c r="DE165" s="747">
        <f>$G165*$H165*(1+$K165)^MAX(ROUNDUP(IFERROR(DATEDIF($I147-1,DE$15+1,"m"),)/12,)-1,)*Index!DA$22*(DE$15&gt;$I165)*(1-DE$12)</f>
        <v>793.82521358636484</v>
      </c>
      <c r="DF165" s="747">
        <f>$G165*$H165*(1+$K165)^MAX(ROUNDUP(IFERROR(DATEDIF($I147-1,DF$15+1,"m"),)/12,)-1,)*Index!DB$22*(DF$15&gt;$I165)*(1-DF$12)</f>
        <v>793.82521358636484</v>
      </c>
      <c r="DG165" s="747">
        <f>$G165*$H165*(1+$K165)^MAX(ROUNDUP(IFERROR(DATEDIF($I147-1,DG$15+1,"m"),)/12,)-1,)*Index!DC$22*(DG$15&gt;$I165)*(1-DG$12)</f>
        <v>793.82521358636484</v>
      </c>
      <c r="DH165" s="747">
        <f>$G165*$H165*(1+$K165)^MAX(ROUNDUP(IFERROR(DATEDIF($I147-1,DH$15+1,"m"),)/12,)-1,)*Index!DD$22*(DH$15&gt;$I165)*(1-DH$12)</f>
        <v>793.82521358636484</v>
      </c>
      <c r="DI165" s="747">
        <f>$G165*$H165*(1+$K165)^MAX(ROUNDUP(IFERROR(DATEDIF($I147-1,DI$15+1,"m"),)/12,)-1,)*Index!DE$22*(DI$15&gt;$I165)*(1-DI$12)</f>
        <v>793.82521358636484</v>
      </c>
      <c r="DJ165" s="747">
        <f>$G165*$H165*(1+$K165)^MAX(ROUNDUP(IFERROR(DATEDIF($I147-1,DJ$15+1,"m"),)/12,)-1,)*Index!DF$22*(DJ$15&gt;$I165)*(1-DJ$12)</f>
        <v>793.82521358636484</v>
      </c>
      <c r="DK165" s="747">
        <f>$G165*$H165*(1+$K165)^MAX(ROUNDUP(IFERROR(DATEDIF($I147-1,DK$15+1,"m"),)/12,)-1,)*Index!DG$22*(DK$15&gt;$I165)*(1-DK$12)</f>
        <v>793.82521358636484</v>
      </c>
      <c r="DL165" s="747">
        <f>$G165*$H165*(1+$K165)^MAX(ROUNDUP(IFERROR(DATEDIF($I147-1,DL$15+1,"m"),)/12,)-1,)*Index!DH$22*(DL$15&gt;$I165)*(1-DL$12)</f>
        <v>793.82521358636484</v>
      </c>
      <c r="DM165" s="747">
        <f>$G165*$H165*(1+$K165)^MAX(ROUNDUP(IFERROR(DATEDIF($I147-1,DM$15+1,"m"),)/12,)-1,)*Index!DI$22*(DM$15&gt;$I165)*(1-DM$12)</f>
        <v>793.82521358636484</v>
      </c>
      <c r="DN165" s="747">
        <f>$G165*$H165*(1+$K165)^MAX(ROUNDUP(IFERROR(DATEDIF($I147-1,DN$15+1,"m"),)/12,)-1,)*Index!DJ$22*(DN$15&gt;$I165)*(1-DN$12)</f>
        <v>793.82521358636484</v>
      </c>
      <c r="DO165" s="747">
        <f>$G165*$H165*(1+$K165)^MAX(ROUNDUP(IFERROR(DATEDIF($I147-1,DO$15+1,"m"),)/12,)-1,)*Index!DK$22*(DO$15&gt;$I165)*(1-DO$12)</f>
        <v>813.67084392602396</v>
      </c>
      <c r="DP165" s="747">
        <f>$G165*$H165*(1+$K165)^MAX(ROUNDUP(IFERROR(DATEDIF($I147-1,DP$15+1,"m"),)/12,)-1,)*Index!DL$22*(DP$15&gt;$I165)*(1-DP$12)</f>
        <v>813.67084392602396</v>
      </c>
      <c r="DQ165" s="747">
        <f>$G165*$H165*(1+$K165)^MAX(ROUNDUP(IFERROR(DATEDIF($I147-1,DQ$15+1,"m"),)/12,)-1,)*Index!DM$22*(DQ$15&gt;$I165)*(1-DQ$12)</f>
        <v>813.67084392602396</v>
      </c>
      <c r="DR165" s="747">
        <f>$G165*$H165*(1+$K165)^MAX(ROUNDUP(IFERROR(DATEDIF($I147-1,DR$15+1,"m"),)/12,)-1,)*Index!DN$22*(DR$15&gt;$I165)*(1-DR$12)</f>
        <v>813.67084392602396</v>
      </c>
      <c r="DS165" s="747">
        <f>$G165*$H165*(1+$K165)^MAX(ROUNDUP(IFERROR(DATEDIF($I147-1,DS$15+1,"m"),)/12,)-1,)*Index!DO$22*(DS$15&gt;$I165)*(1-DS$12)</f>
        <v>813.67084392602396</v>
      </c>
      <c r="DT165" s="747">
        <f>$G165*$H165*(1+$K165)^MAX(ROUNDUP(IFERROR(DATEDIF($I147-1,DT$15+1,"m"),)/12,)-1,)*Index!DP$22*(DT$15&gt;$I165)*(1-DT$12)</f>
        <v>813.67084392602396</v>
      </c>
      <c r="DU165" s="747">
        <f>$G165*$H165*(1+$K165)^MAX(ROUNDUP(IFERROR(DATEDIF($I147-1,DU$15+1,"m"),)/12,)-1,)*Index!DQ$22*(DU$15&gt;$I165)*(1-DU$12)</f>
        <v>813.67084392602396</v>
      </c>
      <c r="DV165" s="747">
        <f>$G165*$H165*(1+$K165)^MAX(ROUNDUP(IFERROR(DATEDIF($I147-1,DV$15+1,"m"),)/12,)-1,)*Index!DR$22*(DV$15&gt;$I165)*(1-DV$12)</f>
        <v>813.67084392602396</v>
      </c>
      <c r="DW165" s="747">
        <f>$G165*$H165*(1+$K165)^MAX(ROUNDUP(IFERROR(DATEDIF($I147-1,DW$15+1,"m"),)/12,)-1,)*Index!DS$22*(DW$15&gt;$I165)*(1-DW$12)</f>
        <v>813.67084392602396</v>
      </c>
      <c r="DX165" s="747">
        <f>$G165*$H165*(1+$K165)^MAX(ROUNDUP(IFERROR(DATEDIF($I147-1,DX$15+1,"m"),)/12,)-1,)*Index!DT$22*(DX$15&gt;$I165)*(1-DX$12)</f>
        <v>813.67084392602396</v>
      </c>
      <c r="DY165" s="747">
        <f>$G165*$H165*(1+$K165)^MAX(ROUNDUP(IFERROR(DATEDIF($I147-1,DY$15+1,"m"),)/12,)-1,)*Index!DU$22*(DY$15&gt;$I165)*(1-DY$12)</f>
        <v>813.67084392602396</v>
      </c>
      <c r="DZ165" s="747">
        <f>$G165*$H165*(1+$K165)^MAX(ROUNDUP(IFERROR(DATEDIF($I147-1,DZ$15+1,"m"),)/12,)-1,)*Index!DV$22*(DZ$15&gt;$I165)*(1-DZ$12)</f>
        <v>813.67084392602396</v>
      </c>
      <c r="EA165" s="747">
        <f>$G165*$H165*(1+$K165)^MAX(ROUNDUP(IFERROR(DATEDIF($I147-1,EA$15+1,"m"),)/12,)-1,)*Index!DW$22*(EA$15&gt;$I165)*(1-EA$12)</f>
        <v>834.01261502417447</v>
      </c>
      <c r="EB165" s="747">
        <f>$G165*$H165*(1+$K165)^MAX(ROUNDUP(IFERROR(DATEDIF($I147-1,EB$15+1,"m"),)/12,)-1,)*Index!DX$22*(EB$15&gt;$I165)*(1-EB$12)</f>
        <v>834.01261502417447</v>
      </c>
      <c r="EC165" s="747">
        <f>$G165*$H165*(1+$K165)^MAX(ROUNDUP(IFERROR(DATEDIF($I147-1,EC$15+1,"m"),)/12,)-1,)*Index!DY$22*(EC$15&gt;$I165)*(1-EC$12)</f>
        <v>834.01261502417447</v>
      </c>
      <c r="ED165" s="747">
        <f>$G165*$H165*(1+$K165)^MAX(ROUNDUP(IFERROR(DATEDIF($I147-1,ED$15+1,"m"),)/12,)-1,)*Index!DZ$22*(ED$15&gt;$I165)*(1-ED$12)</f>
        <v>834.01261502417447</v>
      </c>
      <c r="EE165" s="747">
        <f>$G165*$H165*(1+$K165)^MAX(ROUNDUP(IFERROR(DATEDIF($I147-1,EE$15+1,"m"),)/12,)-1,)*Index!EA$22*(EE$15&gt;$I165)*(1-EE$12)</f>
        <v>834.01261502417447</v>
      </c>
      <c r="EF165" s="747">
        <f>$G165*$H165*(1+$K165)^MAX(ROUNDUP(IFERROR(DATEDIF($I147-1,EF$15+1,"m"),)/12,)-1,)*Index!EB$22*(EF$15&gt;$I165)*(1-EF$12)</f>
        <v>834.01261502417447</v>
      </c>
      <c r="EG165" s="747">
        <f>$G165*$H165*(1+$K165)^MAX(ROUNDUP(IFERROR(DATEDIF($I147-1,EG$15+1,"m"),)/12,)-1,)*Index!EC$22*(EG$15&gt;$I165)*(1-EG$12)</f>
        <v>0</v>
      </c>
      <c r="EH165" s="747">
        <f>$G165*$H165*(1+$K165)^MAX(ROUNDUP(IFERROR(DATEDIF($I147-1,EH$15+1,"m"),)/12,)-1,)*Index!ED$22*(EH$15&gt;$I165)*(1-EH$12)</f>
        <v>0</v>
      </c>
      <c r="EI165" s="747">
        <f>$G165*$H165*(1+$K165)^MAX(ROUNDUP(IFERROR(DATEDIF($I147-1,EI$15+1,"m"),)/12,)-1,)*Index!EE$22*(EI$15&gt;$I165)*(1-EI$12)</f>
        <v>0</v>
      </c>
      <c r="EJ165" s="747">
        <f>$G165*$H165*(1+$K165)^MAX(ROUNDUP(IFERROR(DATEDIF($I147-1,EJ$15+1,"m"),)/12,)-1,)*Index!EF$22*(EJ$15&gt;$I165)*(1-EJ$12)</f>
        <v>0</v>
      </c>
      <c r="EK165" s="747">
        <f>$G165*$H165*(1+$K165)^MAX(ROUNDUP(IFERROR(DATEDIF($I147-1,EK$15+1,"m"),)/12,)-1,)*Index!EG$22*(EK$15&gt;$I165)*(1-EK$12)</f>
        <v>0</v>
      </c>
      <c r="EL165" s="747">
        <f>$G165*$H165*(1+$K165)^MAX(ROUNDUP(IFERROR(DATEDIF($I147-1,EL$15+1,"m"),)/12,)-1,)*Index!EH$22*(EL$15&gt;$I165)*(1-EL$12)</f>
        <v>0</v>
      </c>
      <c r="EM165" s="747">
        <f>$G165*$H165*(1+$K165)^MAX(ROUNDUP(IFERROR(DATEDIF($I147-1,EM$15+1,"m"),)/12,)-1,)*Index!EI$22*(EM$15&gt;$I165)*(1-EM$12)</f>
        <v>0</v>
      </c>
      <c r="EN165" s="747">
        <f>$G165*$H165*(1+$K165)^MAX(ROUNDUP(IFERROR(DATEDIF($I147-1,EN$15+1,"m"),)/12,)-1,)*Index!EJ$22*(EN$15&gt;$I165)*(1-EN$12)</f>
        <v>0</v>
      </c>
      <c r="EO165" s="747">
        <f>$G165*$H165*(1+$K165)^MAX(ROUNDUP(IFERROR(DATEDIF($I147-1,EO$15+1,"m"),)/12,)-1,)*Index!EK$22*(EO$15&gt;$I165)*(1-EO$12)</f>
        <v>0</v>
      </c>
      <c r="EP165" s="747">
        <f>$G165*$H165*(1+$K165)^MAX(ROUNDUP(IFERROR(DATEDIF($I147-1,EP$15+1,"m"),)/12,)-1,)*Index!EL$22*(EP$15&gt;$I165)*(1-EP$12)</f>
        <v>0</v>
      </c>
      <c r="EQ165" s="747">
        <f>$G165*$H165*(1+$K165)^MAX(ROUNDUP(IFERROR(DATEDIF($I147-1,EQ$15+1,"m"),)/12,)-1,)*Index!EM$22*(EQ$15&gt;$I165)*(1-EQ$12)</f>
        <v>0</v>
      </c>
      <c r="ER165" s="747">
        <f>$G165*$H165*(1+$K165)^MAX(ROUNDUP(IFERROR(DATEDIF($I147-1,ER$15+1,"m"),)/12,)-1,)*Index!EN$22*(ER$15&gt;$I165)*(1-ER$12)</f>
        <v>0</v>
      </c>
      <c r="ES165" s="747">
        <f>$G165*$H165*(1+$K165)^MAX(ROUNDUP(IFERROR(DATEDIF($I147-1,ES$15+1,"m"),)/12,)-1,)*Index!EO$22*(ES$15&gt;$I165)*(1-ES$12)</f>
        <v>0</v>
      </c>
      <c r="ET165" s="747">
        <f>$G165*$H165*(1+$K165)^MAX(ROUNDUP(IFERROR(DATEDIF($I147-1,ET$15+1,"m"),)/12,)-1,)*Index!EP$22*(ET$15&gt;$I165)*(1-ET$12)</f>
        <v>0</v>
      </c>
      <c r="EU165" s="747">
        <f>$G165*$H165*(1+$K165)^MAX(ROUNDUP(IFERROR(DATEDIF($I147-1,EU$15+1,"m"),)/12,)-1,)*Index!EQ$22*(EU$15&gt;$I165)*(1-EU$12)</f>
        <v>0</v>
      </c>
    </row>
    <row r="166" spans="3:151" ht="11.25" customHeight="1">
      <c r="C166" s="735"/>
      <c r="D166" s="743">
        <f t="shared" si="243"/>
        <v>7</v>
      </c>
      <c r="E166" s="704" t="str">
        <f t="shared" si="243"/>
        <v>쿠팡</v>
      </c>
      <c r="F166" s="704" t="str">
        <f t="shared" si="243"/>
        <v>상온창고</v>
      </c>
      <c r="G166" s="781" cm="1">
        <f t="array" ref="G166">SUMPRODUCT(($E166='A&amp;R'!$V$26:$V$32)*('A&amp;R'!$AC$26:$AC$32))/1000</f>
        <v>2.9900433370455741</v>
      </c>
      <c r="H166" s="744">
        <f t="shared" si="244"/>
        <v>1550.42</v>
      </c>
      <c r="I166" s="745">
        <f t="shared" si="245"/>
        <v>49064</v>
      </c>
      <c r="J166" s="745"/>
      <c r="K166" s="754">
        <f t="shared" si="246"/>
        <v>2.5000000000000001E-2</v>
      </c>
      <c r="L166" s="746"/>
      <c r="M166" s="722"/>
      <c r="N166" s="747">
        <f t="shared" si="247"/>
        <v>182511.42494786219</v>
      </c>
      <c r="O166" s="733"/>
      <c r="P166" s="747">
        <f>$G166*$H166*(1+$K166)^MAX(ROUNDUP(IFERROR(DATEDIF($I148-1,P$15+1,"m"),)/12,)-1,)*Index!L$22*(P$15&gt;$I166)*(1-P$12)</f>
        <v>0</v>
      </c>
      <c r="Q166" s="747">
        <f>$G166*$H166*(1+$K166)^MAX(ROUNDUP(IFERROR(DATEDIF($I148-1,Q$15+1,"m"),)/12,)-1,)*Index!M$22*(Q$15&gt;$I166)*(1-Q$12)</f>
        <v>0</v>
      </c>
      <c r="R166" s="747">
        <f>$G166*$H166*(1+$K166)^MAX(ROUNDUP(IFERROR(DATEDIF($I148-1,R$15+1,"m"),)/12,)-1,)*Index!N$22*(R$15&gt;$I166)*(1-R$12)</f>
        <v>0</v>
      </c>
      <c r="S166" s="747">
        <f>$G166*$H166*(1+$K166)^MAX(ROUNDUP(IFERROR(DATEDIF($I148-1,S$15+1,"m"),)/12,)-1,)*Index!O$22*(S$15&gt;$I166)*(1-S$12)</f>
        <v>0</v>
      </c>
      <c r="T166" s="747">
        <f>$G166*$H166*(1+$K166)^MAX(ROUNDUP(IFERROR(DATEDIF($I148-1,T$15+1,"m"),)/12,)-1,)*Index!P$22*(T$15&gt;$I166)*(1-T$12)</f>
        <v>0</v>
      </c>
      <c r="U166" s="747">
        <f>$G166*$H166*(1+$K166)^MAX(ROUNDUP(IFERROR(DATEDIF($I148-1,U$15+1,"m"),)/12,)-1,)*Index!Q$22*(U$15&gt;$I166)*(1-U$12)</f>
        <v>0</v>
      </c>
      <c r="V166" s="747">
        <f>$G166*$H166*(1+$K166)^MAX(ROUNDUP(IFERROR(DATEDIF($I148-1,V$15+1,"m"),)/12,)-1,)*Index!R$22*(V$15&gt;$I166)*(1-V$12)</f>
        <v>0</v>
      </c>
      <c r="W166" s="747">
        <f>$G166*$H166*(1+$K166)^MAX(ROUNDUP(IFERROR(DATEDIF($I148-1,W$15+1,"m"),)/12,)-1,)*Index!S$22*(W$15&gt;$I166)*(1-W$12)</f>
        <v>0</v>
      </c>
      <c r="X166" s="747">
        <f>$G166*$H166*(1+$K166)^MAX(ROUNDUP(IFERROR(DATEDIF($I148-1,X$15+1,"m"),)/12,)-1,)*Index!T$22*(X$15&gt;$I166)*(1-X$12)</f>
        <v>0</v>
      </c>
      <c r="Y166" s="747">
        <f>$G166*$H166*(1+$K166)^MAX(ROUNDUP(IFERROR(DATEDIF($I148-1,Y$15+1,"m"),)/12,)-1,)*Index!U$22*(Y$15&gt;$I166)*(1-Y$12)</f>
        <v>0</v>
      </c>
      <c r="Z166" s="747">
        <f>$G166*$H166*(1+$K166)^MAX(ROUNDUP(IFERROR(DATEDIF($I148-1,Z$15+1,"m"),)/12,)-1,)*Index!V$22*(Z$15&gt;$I166)*(1-Z$12)</f>
        <v>0</v>
      </c>
      <c r="AA166" s="747">
        <f>$G166*$H166*(1+$K166)^MAX(ROUNDUP(IFERROR(DATEDIF($I148-1,AA$15+1,"m"),)/12,)-1,)*Index!W$22*(AA$15&gt;$I166)*(1-AA$12)</f>
        <v>0</v>
      </c>
      <c r="AB166" s="747">
        <f>$G166*$H166*(1+$K166)^MAX(ROUNDUP(IFERROR(DATEDIF($I148-1,AB$15+1,"m"),)/12,)-1,)*Index!X$22*(AB$15&gt;$I166)*(1-AB$12)</f>
        <v>0</v>
      </c>
      <c r="AC166" s="747">
        <f>$G166*$H166*(1+$K166)^MAX(ROUNDUP(IFERROR(DATEDIF($I148-1,AC$15+1,"m"),)/12,)-1,)*Index!Y$22*(AC$15&gt;$I166)*(1-AC$12)</f>
        <v>0</v>
      </c>
      <c r="AD166" s="747">
        <f>$G166*$H166*(1+$K166)^MAX(ROUNDUP(IFERROR(DATEDIF($I148-1,AD$15+1,"m"),)/12,)-1,)*Index!Z$22*(AD$15&gt;$I166)*(1-AD$12)</f>
        <v>0</v>
      </c>
      <c r="AE166" s="747">
        <f>$G166*$H166*(1+$K166)^MAX(ROUNDUP(IFERROR(DATEDIF($I148-1,AE$15+1,"m"),)/12,)-1,)*Index!AA$22*(AE$15&gt;$I166)*(1-AE$12)</f>
        <v>0</v>
      </c>
      <c r="AF166" s="747">
        <f>$G166*$H166*(1+$K166)^MAX(ROUNDUP(IFERROR(DATEDIF($I148-1,AF$15+1,"m"),)/12,)-1,)*Index!AB$22*(AF$15&gt;$I166)*(1-AF$12)</f>
        <v>0</v>
      </c>
      <c r="AG166" s="747">
        <f>$G166*$H166*(1+$K166)^MAX(ROUNDUP(IFERROR(DATEDIF($I148-1,AG$15+1,"m"),)/12,)-1,)*Index!AC$22*(AG$15&gt;$I166)*(1-AG$12)</f>
        <v>0</v>
      </c>
      <c r="AH166" s="747">
        <f>$G166*$H166*(1+$K166)^MAX(ROUNDUP(IFERROR(DATEDIF($I148-1,AH$15+1,"m"),)/12,)-1,)*Index!AD$22*(AH$15&gt;$I166)*(1-AH$12)</f>
        <v>0</v>
      </c>
      <c r="AI166" s="747">
        <f>$G166*$H166*(1+$K166)^MAX(ROUNDUP(IFERROR(DATEDIF($I148-1,AI$15+1,"m"),)/12,)-1,)*Index!AE$22*(AI$15&gt;$I166)*(1-AI$12)</f>
        <v>0</v>
      </c>
      <c r="AJ166" s="747">
        <f>$G166*$H166*(1+$K166)^MAX(ROUNDUP(IFERROR(DATEDIF($I148-1,AJ$15+1,"m"),)/12,)-1,)*Index!AF$22*(AJ$15&gt;$I166)*(1-AJ$12)</f>
        <v>0</v>
      </c>
      <c r="AK166" s="747">
        <f>$G166*$H166*(1+$K166)^MAX(ROUNDUP(IFERROR(DATEDIF($I148-1,AK$15+1,"m"),)/12,)-1,)*Index!AG$22*(AK$15&gt;$I166)*(1-AK$12)</f>
        <v>0</v>
      </c>
      <c r="AL166" s="747">
        <f>$G166*$H166*(1+$K166)^MAX(ROUNDUP(IFERROR(DATEDIF($I148-1,AL$15+1,"m"),)/12,)-1,)*Index!AH$22*(AL$15&gt;$I166)*(1-AL$12)</f>
        <v>0</v>
      </c>
      <c r="AM166" s="747">
        <f>$G166*$H166*(1+$K166)^MAX(ROUNDUP(IFERROR(DATEDIF($I148-1,AM$15+1,"m"),)/12,)-1,)*Index!AI$22*(AM$15&gt;$I166)*(1-AM$12)</f>
        <v>0</v>
      </c>
      <c r="AN166" s="747">
        <f>$G166*$H166*(1+$K166)^MAX(ROUNDUP(IFERROR(DATEDIF($I148-1,AN$15+1,"m"),)/12,)-1,)*Index!AJ$22*(AN$15&gt;$I166)*(1-AN$12)</f>
        <v>0</v>
      </c>
      <c r="AO166" s="747">
        <f>$G166*$H166*(1+$K166)^MAX(ROUNDUP(IFERROR(DATEDIF($I148-1,AO$15+1,"m"),)/12,)-1,)*Index!AK$22*(AO$15&gt;$I166)*(1-AO$12)</f>
        <v>0</v>
      </c>
      <c r="AP166" s="747">
        <f>$G166*$H166*(1+$K166)^MAX(ROUNDUP(IFERROR(DATEDIF($I148-1,AP$15+1,"m"),)/12,)-1,)*Index!AL$22*(AP$15&gt;$I166)*(1-AP$12)</f>
        <v>0</v>
      </c>
      <c r="AQ166" s="747">
        <f>$G166*$H166*(1+$K166)^MAX(ROUNDUP(IFERROR(DATEDIF($I148-1,AQ$15+1,"m"),)/12,)-1,)*Index!AM$22*(AQ$15&gt;$I166)*(1-AQ$12)</f>
        <v>0</v>
      </c>
      <c r="AR166" s="747">
        <f>$G166*$H166*(1+$K166)^MAX(ROUNDUP(IFERROR(DATEDIF($I148-1,AR$15+1,"m"),)/12,)-1,)*Index!AN$22*(AR$15&gt;$I166)*(1-AR$12)</f>
        <v>0</v>
      </c>
      <c r="AS166" s="747">
        <f>$G166*$H166*(1+$K166)^MAX(ROUNDUP(IFERROR(DATEDIF($I148-1,AS$15+1,"m"),)/12,)-1,)*Index!AO$22*(AS$15&gt;$I166)*(1-AS$12)</f>
        <v>0</v>
      </c>
      <c r="AT166" s="747">
        <f>$G166*$H166*(1+$K166)^MAX(ROUNDUP(IFERROR(DATEDIF($I148-1,AT$15+1,"m"),)/12,)-1,)*Index!AP$22*(AT$15&gt;$I166)*(1-AT$12)</f>
        <v>0</v>
      </c>
      <c r="AU166" s="747">
        <f>$G166*$H166*(1+$K166)^MAX(ROUNDUP(IFERROR(DATEDIF($I148-1,AU$15+1,"m"),)/12,)-1,)*Index!AQ$22*(AU$15&gt;$I166)*(1-AU$12)</f>
        <v>0</v>
      </c>
      <c r="AV166" s="747">
        <f>$G166*$H166*(1+$K166)^MAX(ROUNDUP(IFERROR(DATEDIF($I148-1,AV$15+1,"m"),)/12,)-1,)*Index!AR$22*(AV$15&gt;$I166)*(1-AV$12)</f>
        <v>0</v>
      </c>
      <c r="AW166" s="747">
        <f>$G166*$H166*(1+$K166)^MAX(ROUNDUP(IFERROR(DATEDIF($I148-1,AW$15+1,"m"),)/12,)-1,)*Index!AS$22*(AW$15&gt;$I166)*(1-AW$12)</f>
        <v>0</v>
      </c>
      <c r="AX166" s="747">
        <f>$G166*$H166*(1+$K166)^MAX(ROUNDUP(IFERROR(DATEDIF($I148-1,AX$15+1,"m"),)/12,)-1,)*Index!AT$22*(AX$15&gt;$I166)*(1-AX$12)</f>
        <v>0</v>
      </c>
      <c r="AY166" s="747">
        <f>$G166*$H166*(1+$K166)^MAX(ROUNDUP(IFERROR(DATEDIF($I148-1,AY$15+1,"m"),)/12,)-1,)*Index!AU$22*(AY$15&gt;$I166)*(1-AY$12)</f>
        <v>0</v>
      </c>
      <c r="AZ166" s="747">
        <f>$G166*$H166*(1+$K166)^MAX(ROUNDUP(IFERROR(DATEDIF($I148-1,AZ$15+1,"m"),)/12,)-1,)*Index!AV$22*(AZ$15&gt;$I166)*(1-AZ$12)</f>
        <v>0</v>
      </c>
      <c r="BA166" s="747">
        <f>$G166*$H166*(1+$K166)^MAX(ROUNDUP(IFERROR(DATEDIF($I148-1,BA$15+1,"m"),)/12,)-1,)*Index!AW$22*(BA$15&gt;$I166)*(1-BA$12)</f>
        <v>0</v>
      </c>
      <c r="BB166" s="747">
        <f>$G166*$H166*(1+$K166)^MAX(ROUNDUP(IFERROR(DATEDIF($I148-1,BB$15+1,"m"),)/12,)-1,)*Index!AX$22*(BB$15&gt;$I166)*(1-BB$12)</f>
        <v>0</v>
      </c>
      <c r="BC166" s="747">
        <f>$G166*$H166*(1+$K166)^MAX(ROUNDUP(IFERROR(DATEDIF($I148-1,BC$15+1,"m"),)/12,)-1,)*Index!AY$22*(BC$15&gt;$I166)*(1-BC$12)</f>
        <v>0</v>
      </c>
      <c r="BD166" s="747">
        <f>$G166*$H166*(1+$K166)^MAX(ROUNDUP(IFERROR(DATEDIF($I148-1,BD$15+1,"m"),)/12,)-1,)*Index!AZ$22*(BD$15&gt;$I166)*(1-BD$12)</f>
        <v>0</v>
      </c>
      <c r="BE166" s="747">
        <f>$G166*$H166*(1+$K166)^MAX(ROUNDUP(IFERROR(DATEDIF($I148-1,BE$15+1,"m"),)/12,)-1,)*Index!BA$22*(BE$15&gt;$I166)*(1-BE$12)</f>
        <v>0</v>
      </c>
      <c r="BF166" s="747">
        <f>$G166*$H166*(1+$K166)^MAX(ROUNDUP(IFERROR(DATEDIF($I148-1,BF$15+1,"m"),)/12,)-1,)*Index!BB$22*(BF$15&gt;$I166)*(1-BF$12)</f>
        <v>0</v>
      </c>
      <c r="BG166" s="747">
        <f>$G166*$H166*(1+$K166)^MAX(ROUNDUP(IFERROR(DATEDIF($I148-1,BG$15+1,"m"),)/12,)-1,)*Index!BC$22*(BG$15&gt;$I166)*(1-BG$12)</f>
        <v>0</v>
      </c>
      <c r="BH166" s="747">
        <f>$G166*$H166*(1+$K166)^MAX(ROUNDUP(IFERROR(DATEDIF($I148-1,BH$15+1,"m"),)/12,)-1,)*Index!BD$22*(BH$15&gt;$I166)*(1-BH$12)</f>
        <v>0</v>
      </c>
      <c r="BI166" s="747">
        <f>$G166*$H166*(1+$K166)^MAX(ROUNDUP(IFERROR(DATEDIF($I148-1,BI$15+1,"m"),)/12,)-1,)*Index!BE$22*(BI$15&gt;$I166)*(1-BI$12)</f>
        <v>0</v>
      </c>
      <c r="BJ166" s="747">
        <f>$G166*$H166*(1+$K166)^MAX(ROUNDUP(IFERROR(DATEDIF($I148-1,BJ$15+1,"m"),)/12,)-1,)*Index!BF$22*(BJ$15&gt;$I166)*(1-BJ$12)</f>
        <v>0</v>
      </c>
      <c r="BK166" s="747">
        <f>$G166*$H166*(1+$K166)^MAX(ROUNDUP(IFERROR(DATEDIF($I148-1,BK$15+1,"m"),)/12,)-1,)*Index!BG$22*(BK$15&gt;$I166)*(1-BK$12)</f>
        <v>0</v>
      </c>
      <c r="BL166" s="747">
        <f>$G166*$H166*(1+$K166)^MAX(ROUNDUP(IFERROR(DATEDIF($I148-1,BL$15+1,"m"),)/12,)-1,)*Index!BH$22*(BL$15&gt;$I166)*(1-BL$12)</f>
        <v>0</v>
      </c>
      <c r="BM166" s="747">
        <f>$G166*$H166*(1+$K166)^MAX(ROUNDUP(IFERROR(DATEDIF($I148-1,BM$15+1,"m"),)/12,)-1,)*Index!BI$22*(BM$15&gt;$I166)*(1-BM$12)</f>
        <v>0</v>
      </c>
      <c r="BN166" s="747">
        <f>$G166*$H166*(1+$K166)^MAX(ROUNDUP(IFERROR(DATEDIF($I148-1,BN$15+1,"m"),)/12,)-1,)*Index!BJ$22*(BN$15&gt;$I166)*(1-BN$12)</f>
        <v>0</v>
      </c>
      <c r="BO166" s="747">
        <f>$G166*$H166*(1+$K166)^MAX(ROUNDUP(IFERROR(DATEDIF($I148-1,BO$15+1,"m"),)/12,)-1,)*Index!BK$22*(BO$15&gt;$I166)*(1-BO$12)</f>
        <v>0</v>
      </c>
      <c r="BP166" s="747">
        <f>$G166*$H166*(1+$K166)^MAX(ROUNDUP(IFERROR(DATEDIF($I148-1,BP$15+1,"m"),)/12,)-1,)*Index!BL$22*(BP$15&gt;$I166)*(1-BP$12)</f>
        <v>0</v>
      </c>
      <c r="BQ166" s="747">
        <f>$G166*$H166*(1+$K166)^MAX(ROUNDUP(IFERROR(DATEDIF($I148-1,BQ$15+1,"m"),)/12,)-1,)*Index!BM$22*(BQ$15&gt;$I166)*(1-BQ$12)</f>
        <v>0</v>
      </c>
      <c r="BR166" s="747">
        <f>$G166*$H166*(1+$K166)^MAX(ROUNDUP(IFERROR(DATEDIF($I148-1,BR$15+1,"m"),)/12,)-1,)*Index!BN$22*(BR$15&gt;$I166)*(1-BR$12)</f>
        <v>0</v>
      </c>
      <c r="BS166" s="747">
        <f>$G166*$H166*(1+$K166)^MAX(ROUNDUP(IFERROR(DATEDIF($I148-1,BS$15+1,"m"),)/12,)-1,)*Index!BO$22*(BS$15&gt;$I166)*(1-BS$12)</f>
        <v>0</v>
      </c>
      <c r="BT166" s="747">
        <f>$G166*$H166*(1+$K166)^MAX(ROUNDUP(IFERROR(DATEDIF($I148-1,BT$15+1,"m"),)/12,)-1,)*Index!BP$22*(BT$15&gt;$I166)*(1-BT$12)</f>
        <v>0</v>
      </c>
      <c r="BU166" s="747">
        <f>$G166*$H166*(1+$K166)^MAX(ROUNDUP(IFERROR(DATEDIF($I148-1,BU$15+1,"m"),)/12,)-1,)*Index!BQ$22*(BU$15&gt;$I166)*(1-BU$12)</f>
        <v>0</v>
      </c>
      <c r="BV166" s="747">
        <f>$G166*$H166*(1+$K166)^MAX(ROUNDUP(IFERROR(DATEDIF($I148-1,BV$15+1,"m"),)/12,)-1,)*Index!BR$22*(BV$15&gt;$I166)*(1-BV$12)</f>
        <v>0</v>
      </c>
      <c r="BW166" s="747">
        <f>$G166*$H166*(1+$K166)^MAX(ROUNDUP(IFERROR(DATEDIF($I148-1,BW$15+1,"m"),)/12,)-1,)*Index!BS$22*(BW$15&gt;$I166)*(1-BW$12)</f>
        <v>0</v>
      </c>
      <c r="BX166" s="747">
        <f>$G166*$H166*(1+$K166)^MAX(ROUNDUP(IFERROR(DATEDIF($I148-1,BX$15+1,"m"),)/12,)-1,)*Index!BT$22*(BX$15&gt;$I166)*(1-BX$12)</f>
        <v>0</v>
      </c>
      <c r="BY166" s="747">
        <f>$G166*$H166*(1+$K166)^MAX(ROUNDUP(IFERROR(DATEDIF($I148-1,BY$15+1,"m"),)/12,)-1,)*Index!BU$22*(BY$15&gt;$I166)*(1-BY$12)</f>
        <v>0</v>
      </c>
      <c r="BZ166" s="747">
        <f>$G166*$H166*(1+$K166)^MAX(ROUNDUP(IFERROR(DATEDIF($I148-1,BZ$15+1,"m"),)/12,)-1,)*Index!BV$22*(BZ$15&gt;$I166)*(1-BZ$12)</f>
        <v>0</v>
      </c>
      <c r="CA166" s="747">
        <f>$G166*$H166*(1+$K166)^MAX(ROUNDUP(IFERROR(DATEDIF($I148-1,CA$15+1,"m"),)/12,)-1,)*Index!BW$22*(CA$15&gt;$I166)*(1-CA$12)</f>
        <v>0</v>
      </c>
      <c r="CB166" s="747">
        <f>$G166*$H166*(1+$K166)^MAX(ROUNDUP(IFERROR(DATEDIF($I148-1,CB$15+1,"m"),)/12,)-1,)*Index!BX$22*(CB$15&gt;$I166)*(1-CB$12)</f>
        <v>0</v>
      </c>
      <c r="CC166" s="747">
        <f>$G166*$H166*(1+$K166)^MAX(ROUNDUP(IFERROR(DATEDIF($I148-1,CC$15+1,"m"),)/12,)-1,)*Index!BY$22*(CC$15&gt;$I166)*(1-CC$12)</f>
        <v>0</v>
      </c>
      <c r="CD166" s="747">
        <f>$G166*$H166*(1+$K166)^MAX(ROUNDUP(IFERROR(DATEDIF($I148-1,CD$15+1,"m"),)/12,)-1,)*Index!BZ$22*(CD$15&gt;$I166)*(1-CD$12)</f>
        <v>0</v>
      </c>
      <c r="CE166" s="747">
        <f>$G166*$H166*(1+$K166)^MAX(ROUNDUP(IFERROR(DATEDIF($I148-1,CE$15+1,"m"),)/12,)-1,)*Index!CA$22*(CE$15&gt;$I166)*(1-CE$12)</f>
        <v>0</v>
      </c>
      <c r="CF166" s="747">
        <f>$G166*$H166*(1+$K166)^MAX(ROUNDUP(IFERROR(DATEDIF($I148-1,CF$15+1,"m"),)/12,)-1,)*Index!CB$22*(CF$15&gt;$I166)*(1-CF$12)</f>
        <v>0</v>
      </c>
      <c r="CG166" s="747">
        <f>$G166*$H166*(1+$K166)^MAX(ROUNDUP(IFERROR(DATEDIF($I148-1,CG$15+1,"m"),)/12,)-1,)*Index!CC$22*(CG$15&gt;$I166)*(1-CG$12)</f>
        <v>0</v>
      </c>
      <c r="CH166" s="747">
        <f>$G166*$H166*(1+$K166)^MAX(ROUNDUP(IFERROR(DATEDIF($I148-1,CH$15+1,"m"),)/12,)-1,)*Index!CD$22*(CH$15&gt;$I166)*(1-CH$12)</f>
        <v>0</v>
      </c>
      <c r="CI166" s="747">
        <f>$G166*$H166*(1+$K166)^MAX(ROUNDUP(IFERROR(DATEDIF($I148-1,CI$15+1,"m"),)/12,)-1,)*Index!CE$22*(CI$15&gt;$I166)*(1-CI$12)</f>
        <v>0</v>
      </c>
      <c r="CJ166" s="747">
        <f>$G166*$H166*(1+$K166)^MAX(ROUNDUP(IFERROR(DATEDIF($I148-1,CJ$15+1,"m"),)/12,)-1,)*Index!CF$22*(CJ$15&gt;$I166)*(1-CJ$12)</f>
        <v>0</v>
      </c>
      <c r="CK166" s="747">
        <f>$G166*$H166*(1+$K166)^MAX(ROUNDUP(IFERROR(DATEDIF($I148-1,CK$15+1,"m"),)/12,)-1,)*Index!CG$22*(CK$15&gt;$I166)*(1-CK$12)</f>
        <v>0</v>
      </c>
      <c r="CL166" s="747">
        <f>$G166*$H166*(1+$K166)^MAX(ROUNDUP(IFERROR(DATEDIF($I148-1,CL$15+1,"m"),)/12,)-1,)*Index!CH$22*(CL$15&gt;$I166)*(1-CL$12)</f>
        <v>0</v>
      </c>
      <c r="CM166" s="747">
        <f>$G166*$H166*(1+$K166)^MAX(ROUNDUP(IFERROR(DATEDIF($I148-1,CM$15+1,"m"),)/12,)-1,)*Index!CI$22*(CM$15&gt;$I166)*(1-CM$12)</f>
        <v>0</v>
      </c>
      <c r="CN166" s="747">
        <f>$G166*$H166*(1+$K166)^MAX(ROUNDUP(IFERROR(DATEDIF($I148-1,CN$15+1,"m"),)/12,)-1,)*Index!CJ$22*(CN$15&gt;$I166)*(1-CN$12)</f>
        <v>0</v>
      </c>
      <c r="CO166" s="747">
        <f>$G166*$H166*(1+$K166)^MAX(ROUNDUP(IFERROR(DATEDIF($I148-1,CO$15+1,"m"),)/12,)-1,)*Index!CK$22*(CO$15&gt;$I166)*(1-CO$12)</f>
        <v>0</v>
      </c>
      <c r="CP166" s="747">
        <f>$G166*$H166*(1+$K166)^MAX(ROUNDUP(IFERROR(DATEDIF($I148-1,CP$15+1,"m"),)/12,)-1,)*Index!CL$22*(CP$15&gt;$I166)*(1-CP$12)</f>
        <v>0</v>
      </c>
      <c r="CQ166" s="747">
        <f>$G166*$H166*(1+$K166)^MAX(ROUNDUP(IFERROR(DATEDIF($I148-1,CQ$15+1,"m"),)/12,)-1,)*Index!CM$22*(CQ$15&gt;$I166)*(1-CQ$12)</f>
        <v>0</v>
      </c>
      <c r="CR166" s="747">
        <f>$G166*$H166*(1+$K166)^MAX(ROUNDUP(IFERROR(DATEDIF($I148-1,CR$15+1,"m"),)/12,)-1,)*Index!CN$22*(CR$15&gt;$I166)*(1-CR$12)</f>
        <v>0</v>
      </c>
      <c r="CS166" s="747">
        <f>$G166*$H166*(1+$K166)^MAX(ROUNDUP(IFERROR(DATEDIF($I148-1,CS$15+1,"m"),)/12,)-1,)*Index!CO$22*(CS$15&gt;$I166)*(1-CS$12)</f>
        <v>0</v>
      </c>
      <c r="CT166" s="747">
        <f>$G166*$H166*(1+$K166)^MAX(ROUNDUP(IFERROR(DATEDIF($I148-1,CT$15+1,"m"),)/12,)-1,)*Index!CP$22*(CT$15&gt;$I166)*(1-CT$12)</f>
        <v>0</v>
      </c>
      <c r="CU166" s="747">
        <f>$G166*$H166*(1+$K166)^MAX(ROUNDUP(IFERROR(DATEDIF($I148-1,CU$15+1,"m"),)/12,)-1,)*Index!CQ$22*(CU$15&gt;$I166)*(1-CU$12)</f>
        <v>0</v>
      </c>
      <c r="CV166" s="747">
        <f>$G166*$H166*(1+$K166)^MAX(ROUNDUP(IFERROR(DATEDIF($I148-1,CV$15+1,"m"),)/12,)-1,)*Index!CR$22*(CV$15&gt;$I166)*(1-CV$12)</f>
        <v>0</v>
      </c>
      <c r="CW166" s="747">
        <f>$G166*$H166*(1+$K166)^MAX(ROUNDUP(IFERROR(DATEDIF($I148-1,CW$15+1,"m"),)/12,)-1,)*Index!CS$22*(CW$15&gt;$I166)*(1-CW$12)</f>
        <v>0</v>
      </c>
      <c r="CX166" s="747">
        <f>$G166*$H166*(1+$K166)^MAX(ROUNDUP(IFERROR(DATEDIF($I148-1,CX$15+1,"m"),)/12,)-1,)*Index!CT$22*(CX$15&gt;$I166)*(1-CX$12)</f>
        <v>0</v>
      </c>
      <c r="CY166" s="747">
        <f>$G166*$H166*(1+$K166)^MAX(ROUNDUP(IFERROR(DATEDIF($I148-1,CY$15+1,"m"),)/12,)-1,)*Index!CU$22*(CY$15&gt;$I166)*(1-CY$12)</f>
        <v>0</v>
      </c>
      <c r="CZ166" s="747">
        <f>$G166*$H166*(1+$K166)^MAX(ROUNDUP(IFERROR(DATEDIF($I148-1,CZ$15+1,"m"),)/12,)-1,)*Index!CV$22*(CZ$15&gt;$I166)*(1-CZ$12)</f>
        <v>0</v>
      </c>
      <c r="DA166" s="747">
        <f>$G166*$H166*(1+$K166)^MAX(ROUNDUP(IFERROR(DATEDIF($I148-1,DA$15+1,"m"),)/12,)-1,)*Index!CW$22*(DA$15&gt;$I166)*(1-DA$12)</f>
        <v>0</v>
      </c>
      <c r="DB166" s="747">
        <f>$G166*$H166*(1+$K166)^MAX(ROUNDUP(IFERROR(DATEDIF($I148-1,DB$15+1,"m"),)/12,)-1,)*Index!CX$22*(DB$15&gt;$I166)*(1-DB$12)</f>
        <v>0</v>
      </c>
      <c r="DC166" s="747">
        <f>$G166*$H166*(1+$K166)^MAX(ROUNDUP(IFERROR(DATEDIF($I148-1,DC$15+1,"m"),)/12,)-1,)*Index!CY$22*(DC$15&gt;$I166)*(1-DC$12)</f>
        <v>5934.2453599256114</v>
      </c>
      <c r="DD166" s="747">
        <f>$G166*$H166*(1+$K166)^MAX(ROUNDUP(IFERROR(DATEDIF($I148-1,DD$15+1,"m"),)/12,)-1,)*Index!CZ$22*(DD$15&gt;$I166)*(1-DD$12)</f>
        <v>5934.2453599256114</v>
      </c>
      <c r="DE166" s="747">
        <f>$G166*$H166*(1+$K166)^MAX(ROUNDUP(IFERROR(DATEDIF($I148-1,DE$15+1,"m"),)/12,)-1,)*Index!DA$22*(DE$15&gt;$I166)*(1-DE$12)</f>
        <v>5934.2453599256114</v>
      </c>
      <c r="DF166" s="747">
        <f>$G166*$H166*(1+$K166)^MAX(ROUNDUP(IFERROR(DATEDIF($I148-1,DF$15+1,"m"),)/12,)-1,)*Index!DB$22*(DF$15&gt;$I166)*(1-DF$12)</f>
        <v>5934.2453599256114</v>
      </c>
      <c r="DG166" s="747">
        <f>$G166*$H166*(1+$K166)^MAX(ROUNDUP(IFERROR(DATEDIF($I148-1,DG$15+1,"m"),)/12,)-1,)*Index!DC$22*(DG$15&gt;$I166)*(1-DG$12)</f>
        <v>5934.2453599256114</v>
      </c>
      <c r="DH166" s="747">
        <f>$G166*$H166*(1+$K166)^MAX(ROUNDUP(IFERROR(DATEDIF($I148-1,DH$15+1,"m"),)/12,)-1,)*Index!DD$22*(DH$15&gt;$I166)*(1-DH$12)</f>
        <v>5934.2453599256114</v>
      </c>
      <c r="DI166" s="747">
        <f>$G166*$H166*(1+$K166)^MAX(ROUNDUP(IFERROR(DATEDIF($I148-1,DI$15+1,"m"),)/12,)-1,)*Index!DE$22*(DI$15&gt;$I166)*(1-DI$12)</f>
        <v>5934.2453599256114</v>
      </c>
      <c r="DJ166" s="747">
        <f>$G166*$H166*(1+$K166)^MAX(ROUNDUP(IFERROR(DATEDIF($I148-1,DJ$15+1,"m"),)/12,)-1,)*Index!DF$22*(DJ$15&gt;$I166)*(1-DJ$12)</f>
        <v>5934.2453599256114</v>
      </c>
      <c r="DK166" s="747">
        <f>$G166*$H166*(1+$K166)^MAX(ROUNDUP(IFERROR(DATEDIF($I148-1,DK$15+1,"m"),)/12,)-1,)*Index!DG$22*(DK$15&gt;$I166)*(1-DK$12)</f>
        <v>5934.2453599256114</v>
      </c>
      <c r="DL166" s="747">
        <f>$G166*$H166*(1+$K166)^MAX(ROUNDUP(IFERROR(DATEDIF($I148-1,DL$15+1,"m"),)/12,)-1,)*Index!DH$22*(DL$15&gt;$I166)*(1-DL$12)</f>
        <v>6082.6014939237511</v>
      </c>
      <c r="DM166" s="747">
        <f>$G166*$H166*(1+$K166)^MAX(ROUNDUP(IFERROR(DATEDIF($I148-1,DM$15+1,"m"),)/12,)-1,)*Index!DI$22*(DM$15&gt;$I166)*(1-DM$12)</f>
        <v>6082.6014939237511</v>
      </c>
      <c r="DN166" s="747">
        <f>$G166*$H166*(1+$K166)^MAX(ROUNDUP(IFERROR(DATEDIF($I148-1,DN$15+1,"m"),)/12,)-1,)*Index!DJ$22*(DN$15&gt;$I166)*(1-DN$12)</f>
        <v>6082.6014939237511</v>
      </c>
      <c r="DO166" s="747">
        <f>$G166*$H166*(1+$K166)^MAX(ROUNDUP(IFERROR(DATEDIF($I148-1,DO$15+1,"m"),)/12,)-1,)*Index!DK$22*(DO$15&gt;$I166)*(1-DO$12)</f>
        <v>6082.6014939237511</v>
      </c>
      <c r="DP166" s="747">
        <f>$G166*$H166*(1+$K166)^MAX(ROUNDUP(IFERROR(DATEDIF($I148-1,DP$15+1,"m"),)/12,)-1,)*Index!DL$22*(DP$15&gt;$I166)*(1-DP$12)</f>
        <v>6082.6014939237511</v>
      </c>
      <c r="DQ166" s="747">
        <f>$G166*$H166*(1+$K166)^MAX(ROUNDUP(IFERROR(DATEDIF($I148-1,DQ$15+1,"m"),)/12,)-1,)*Index!DM$22*(DQ$15&gt;$I166)*(1-DQ$12)</f>
        <v>6082.6014939237511</v>
      </c>
      <c r="DR166" s="747">
        <f>$G166*$H166*(1+$K166)^MAX(ROUNDUP(IFERROR(DATEDIF($I148-1,DR$15+1,"m"),)/12,)-1,)*Index!DN$22*(DR$15&gt;$I166)*(1-DR$12)</f>
        <v>6082.6014939237511</v>
      </c>
      <c r="DS166" s="747">
        <f>$G166*$H166*(1+$K166)^MAX(ROUNDUP(IFERROR(DATEDIF($I148-1,DS$15+1,"m"),)/12,)-1,)*Index!DO$22*(DS$15&gt;$I166)*(1-DS$12)</f>
        <v>6082.6014939237511</v>
      </c>
      <c r="DT166" s="747">
        <f>$G166*$H166*(1+$K166)^MAX(ROUNDUP(IFERROR(DATEDIF($I148-1,DT$15+1,"m"),)/12,)-1,)*Index!DP$22*(DT$15&gt;$I166)*(1-DT$12)</f>
        <v>6082.6014939237511</v>
      </c>
      <c r="DU166" s="747">
        <f>$G166*$H166*(1+$K166)^MAX(ROUNDUP(IFERROR(DATEDIF($I148-1,DU$15+1,"m"),)/12,)-1,)*Index!DQ$22*(DU$15&gt;$I166)*(1-DU$12)</f>
        <v>6082.6014939237511</v>
      </c>
      <c r="DV166" s="747">
        <f>$G166*$H166*(1+$K166)^MAX(ROUNDUP(IFERROR(DATEDIF($I148-1,DV$15+1,"m"),)/12,)-1,)*Index!DR$22*(DV$15&gt;$I166)*(1-DV$12)</f>
        <v>6082.6014939237511</v>
      </c>
      <c r="DW166" s="747">
        <f>$G166*$H166*(1+$K166)^MAX(ROUNDUP(IFERROR(DATEDIF($I148-1,DW$15+1,"m"),)/12,)-1,)*Index!DS$22*(DW$15&gt;$I166)*(1-DW$12)</f>
        <v>6082.6014939237511</v>
      </c>
      <c r="DX166" s="747">
        <f>$G166*$H166*(1+$K166)^MAX(ROUNDUP(IFERROR(DATEDIF($I148-1,DX$15+1,"m"),)/12,)-1,)*Index!DT$22*(DX$15&gt;$I166)*(1-DX$12)</f>
        <v>6234.6665312718451</v>
      </c>
      <c r="DY166" s="747">
        <f>$G166*$H166*(1+$K166)^MAX(ROUNDUP(IFERROR(DATEDIF($I148-1,DY$15+1,"m"),)/12,)-1,)*Index!DU$22*(DY$15&gt;$I166)*(1-DY$12)</f>
        <v>6234.6665312718451</v>
      </c>
      <c r="DZ166" s="747">
        <f>$G166*$H166*(1+$K166)^MAX(ROUNDUP(IFERROR(DATEDIF($I148-1,DZ$15+1,"m"),)/12,)-1,)*Index!DV$22*(DZ$15&gt;$I166)*(1-DZ$12)</f>
        <v>6234.6665312718451</v>
      </c>
      <c r="EA166" s="747">
        <f>$G166*$H166*(1+$K166)^MAX(ROUNDUP(IFERROR(DATEDIF($I148-1,EA$15+1,"m"),)/12,)-1,)*Index!DW$22*(EA$15&gt;$I166)*(1-EA$12)</f>
        <v>6234.6665312718451</v>
      </c>
      <c r="EB166" s="747">
        <f>$G166*$H166*(1+$K166)^MAX(ROUNDUP(IFERROR(DATEDIF($I148-1,EB$15+1,"m"),)/12,)-1,)*Index!DX$22*(EB$15&gt;$I166)*(1-EB$12)</f>
        <v>6234.6665312718451</v>
      </c>
      <c r="EC166" s="747">
        <f>$G166*$H166*(1+$K166)^MAX(ROUNDUP(IFERROR(DATEDIF($I148-1,EC$15+1,"m"),)/12,)-1,)*Index!DY$22*(EC$15&gt;$I166)*(1-EC$12)</f>
        <v>6234.6665312718451</v>
      </c>
      <c r="ED166" s="747">
        <f>$G166*$H166*(1+$K166)^MAX(ROUNDUP(IFERROR(DATEDIF($I148-1,ED$15+1,"m"),)/12,)-1,)*Index!DZ$22*(ED$15&gt;$I166)*(1-ED$12)</f>
        <v>6234.6665312718451</v>
      </c>
      <c r="EE166" s="747">
        <f>$G166*$H166*(1+$K166)^MAX(ROUNDUP(IFERROR(DATEDIF($I148-1,EE$15+1,"m"),)/12,)-1,)*Index!EA$22*(EE$15&gt;$I166)*(1-EE$12)</f>
        <v>6234.6665312718451</v>
      </c>
      <c r="EF166" s="747">
        <f>$G166*$H166*(1+$K166)^MAX(ROUNDUP(IFERROR(DATEDIF($I148-1,EF$15+1,"m"),)/12,)-1,)*Index!EB$22*(EF$15&gt;$I166)*(1-EF$12)</f>
        <v>6234.6665312718451</v>
      </c>
      <c r="EG166" s="747">
        <f>$G166*$H166*(1+$K166)^MAX(ROUNDUP(IFERROR(DATEDIF($I148-1,EG$15+1,"m"),)/12,)-1,)*Index!EC$22*(EG$15&gt;$I166)*(1-EG$12)</f>
        <v>0</v>
      </c>
      <c r="EH166" s="747">
        <f>$G166*$H166*(1+$K166)^MAX(ROUNDUP(IFERROR(DATEDIF($I148-1,EH$15+1,"m"),)/12,)-1,)*Index!ED$22*(EH$15&gt;$I166)*(1-EH$12)</f>
        <v>0</v>
      </c>
      <c r="EI166" s="747">
        <f>$G166*$H166*(1+$K166)^MAX(ROUNDUP(IFERROR(DATEDIF($I148-1,EI$15+1,"m"),)/12,)-1,)*Index!EE$22*(EI$15&gt;$I166)*(1-EI$12)</f>
        <v>0</v>
      </c>
      <c r="EJ166" s="747">
        <f>$G166*$H166*(1+$K166)^MAX(ROUNDUP(IFERROR(DATEDIF($I148-1,EJ$15+1,"m"),)/12,)-1,)*Index!EF$22*(EJ$15&gt;$I166)*(1-EJ$12)</f>
        <v>0</v>
      </c>
      <c r="EK166" s="747">
        <f>$G166*$H166*(1+$K166)^MAX(ROUNDUP(IFERROR(DATEDIF($I148-1,EK$15+1,"m"),)/12,)-1,)*Index!EG$22*(EK$15&gt;$I166)*(1-EK$12)</f>
        <v>0</v>
      </c>
      <c r="EL166" s="747">
        <f>$G166*$H166*(1+$K166)^MAX(ROUNDUP(IFERROR(DATEDIF($I148-1,EL$15+1,"m"),)/12,)-1,)*Index!EH$22*(EL$15&gt;$I166)*(1-EL$12)</f>
        <v>0</v>
      </c>
      <c r="EM166" s="747">
        <f>$G166*$H166*(1+$K166)^MAX(ROUNDUP(IFERROR(DATEDIF($I148-1,EM$15+1,"m"),)/12,)-1,)*Index!EI$22*(EM$15&gt;$I166)*(1-EM$12)</f>
        <v>0</v>
      </c>
      <c r="EN166" s="747">
        <f>$G166*$H166*(1+$K166)^MAX(ROUNDUP(IFERROR(DATEDIF($I148-1,EN$15+1,"m"),)/12,)-1,)*Index!EJ$22*(EN$15&gt;$I166)*(1-EN$12)</f>
        <v>0</v>
      </c>
      <c r="EO166" s="747">
        <f>$G166*$H166*(1+$K166)^MAX(ROUNDUP(IFERROR(DATEDIF($I148-1,EO$15+1,"m"),)/12,)-1,)*Index!EK$22*(EO$15&gt;$I166)*(1-EO$12)</f>
        <v>0</v>
      </c>
      <c r="EP166" s="747">
        <f>$G166*$H166*(1+$K166)^MAX(ROUNDUP(IFERROR(DATEDIF($I148-1,EP$15+1,"m"),)/12,)-1,)*Index!EL$22*(EP$15&gt;$I166)*(1-EP$12)</f>
        <v>0</v>
      </c>
      <c r="EQ166" s="747">
        <f>$G166*$H166*(1+$K166)^MAX(ROUNDUP(IFERROR(DATEDIF($I148-1,EQ$15+1,"m"),)/12,)-1,)*Index!EM$22*(EQ$15&gt;$I166)*(1-EQ$12)</f>
        <v>0</v>
      </c>
      <c r="ER166" s="747">
        <f>$G166*$H166*(1+$K166)^MAX(ROUNDUP(IFERROR(DATEDIF($I148-1,ER$15+1,"m"),)/12,)-1,)*Index!EN$22*(ER$15&gt;$I166)*(1-ER$12)</f>
        <v>0</v>
      </c>
      <c r="ES166" s="747">
        <f>$G166*$H166*(1+$K166)^MAX(ROUNDUP(IFERROR(DATEDIF($I148-1,ES$15+1,"m"),)/12,)-1,)*Index!EO$22*(ES$15&gt;$I166)*(1-ES$12)</f>
        <v>0</v>
      </c>
      <c r="ET166" s="747">
        <f>$G166*$H166*(1+$K166)^MAX(ROUNDUP(IFERROR(DATEDIF($I148-1,ET$15+1,"m"),)/12,)-1,)*Index!EP$22*(ET$15&gt;$I166)*(1-ET$12)</f>
        <v>0</v>
      </c>
      <c r="EU166" s="747">
        <f>$G166*$H166*(1+$K166)^MAX(ROUNDUP(IFERROR(DATEDIF($I148-1,EU$15+1,"m"),)/12,)-1,)*Index!EQ$22*(EU$15&gt;$I166)*(1-EU$12)</f>
        <v>0</v>
      </c>
    </row>
    <row r="167" spans="3:151" ht="11.25" customHeight="1">
      <c r="C167" s="735"/>
      <c r="D167" s="743">
        <f t="shared" si="243"/>
        <v>6</v>
      </c>
      <c r="E167" s="704" t="str">
        <f t="shared" si="243"/>
        <v>쿠팡</v>
      </c>
      <c r="F167" s="704" t="str">
        <f t="shared" si="243"/>
        <v>상온창고</v>
      </c>
      <c r="G167" s="781" cm="1">
        <f t="array" ref="G167">SUMPRODUCT(($E167='A&amp;R'!$V$26:$V$32)*('A&amp;R'!$AC$26:$AC$32))/1000</f>
        <v>2.9900433370455741</v>
      </c>
      <c r="H167" s="744">
        <f t="shared" si="244"/>
        <v>2187.87</v>
      </c>
      <c r="I167" s="745">
        <f t="shared" si="245"/>
        <v>49064</v>
      </c>
      <c r="J167" s="745"/>
      <c r="K167" s="754">
        <f t="shared" si="246"/>
        <v>2.5000000000000001E-2</v>
      </c>
      <c r="L167" s="746"/>
      <c r="M167" s="722"/>
      <c r="N167" s="747">
        <f t="shared" si="247"/>
        <v>257550.3871858457</v>
      </c>
      <c r="O167" s="733"/>
      <c r="P167" s="747">
        <f>$G167*$H167*(1+$K167)^MAX(ROUNDUP(IFERROR(DATEDIF($I149-1,P$15+1,"m"),)/12,)-1,)*Index!L$22*(P$15&gt;$I167)*(1-P$12)</f>
        <v>0</v>
      </c>
      <c r="Q167" s="747">
        <f>$G167*$H167*(1+$K167)^MAX(ROUNDUP(IFERROR(DATEDIF($I149-1,Q$15+1,"m"),)/12,)-1,)*Index!M$22*(Q$15&gt;$I167)*(1-Q$12)</f>
        <v>0</v>
      </c>
      <c r="R167" s="747">
        <f>$G167*$H167*(1+$K167)^MAX(ROUNDUP(IFERROR(DATEDIF($I149-1,R$15+1,"m"),)/12,)-1,)*Index!N$22*(R$15&gt;$I167)*(1-R$12)</f>
        <v>0</v>
      </c>
      <c r="S167" s="747">
        <f>$G167*$H167*(1+$K167)^MAX(ROUNDUP(IFERROR(DATEDIF($I149-1,S$15+1,"m"),)/12,)-1,)*Index!O$22*(S$15&gt;$I167)*(1-S$12)</f>
        <v>0</v>
      </c>
      <c r="T167" s="747">
        <f>$G167*$H167*(1+$K167)^MAX(ROUNDUP(IFERROR(DATEDIF($I149-1,T$15+1,"m"),)/12,)-1,)*Index!P$22*(T$15&gt;$I167)*(1-T$12)</f>
        <v>0</v>
      </c>
      <c r="U167" s="747">
        <f>$G167*$H167*(1+$K167)^MAX(ROUNDUP(IFERROR(DATEDIF($I149-1,U$15+1,"m"),)/12,)-1,)*Index!Q$22*(U$15&gt;$I167)*(1-U$12)</f>
        <v>0</v>
      </c>
      <c r="V167" s="747">
        <f>$G167*$H167*(1+$K167)^MAX(ROUNDUP(IFERROR(DATEDIF($I149-1,V$15+1,"m"),)/12,)-1,)*Index!R$22*(V$15&gt;$I167)*(1-V$12)</f>
        <v>0</v>
      </c>
      <c r="W167" s="747">
        <f>$G167*$H167*(1+$K167)^MAX(ROUNDUP(IFERROR(DATEDIF($I149-1,W$15+1,"m"),)/12,)-1,)*Index!S$22*(W$15&gt;$I167)*(1-W$12)</f>
        <v>0</v>
      </c>
      <c r="X167" s="747">
        <f>$G167*$H167*(1+$K167)^MAX(ROUNDUP(IFERROR(DATEDIF($I149-1,X$15+1,"m"),)/12,)-1,)*Index!T$22*(X$15&gt;$I167)*(1-X$12)</f>
        <v>0</v>
      </c>
      <c r="Y167" s="747">
        <f>$G167*$H167*(1+$K167)^MAX(ROUNDUP(IFERROR(DATEDIF($I149-1,Y$15+1,"m"),)/12,)-1,)*Index!U$22*(Y$15&gt;$I167)*(1-Y$12)</f>
        <v>0</v>
      </c>
      <c r="Z167" s="747">
        <f>$G167*$H167*(1+$K167)^MAX(ROUNDUP(IFERROR(DATEDIF($I149-1,Z$15+1,"m"),)/12,)-1,)*Index!V$22*(Z$15&gt;$I167)*(1-Z$12)</f>
        <v>0</v>
      </c>
      <c r="AA167" s="747">
        <f>$G167*$H167*(1+$K167)^MAX(ROUNDUP(IFERROR(DATEDIF($I149-1,AA$15+1,"m"),)/12,)-1,)*Index!W$22*(AA$15&gt;$I167)*(1-AA$12)</f>
        <v>0</v>
      </c>
      <c r="AB167" s="747">
        <f>$G167*$H167*(1+$K167)^MAX(ROUNDUP(IFERROR(DATEDIF($I149-1,AB$15+1,"m"),)/12,)-1,)*Index!X$22*(AB$15&gt;$I167)*(1-AB$12)</f>
        <v>0</v>
      </c>
      <c r="AC167" s="747">
        <f>$G167*$H167*(1+$K167)^MAX(ROUNDUP(IFERROR(DATEDIF($I149-1,AC$15+1,"m"),)/12,)-1,)*Index!Y$22*(AC$15&gt;$I167)*(1-AC$12)</f>
        <v>0</v>
      </c>
      <c r="AD167" s="747">
        <f>$G167*$H167*(1+$K167)^MAX(ROUNDUP(IFERROR(DATEDIF($I149-1,AD$15+1,"m"),)/12,)-1,)*Index!Z$22*(AD$15&gt;$I167)*(1-AD$12)</f>
        <v>0</v>
      </c>
      <c r="AE167" s="747">
        <f>$G167*$H167*(1+$K167)^MAX(ROUNDUP(IFERROR(DATEDIF($I149-1,AE$15+1,"m"),)/12,)-1,)*Index!AA$22*(AE$15&gt;$I167)*(1-AE$12)</f>
        <v>0</v>
      </c>
      <c r="AF167" s="747">
        <f>$G167*$H167*(1+$K167)^MAX(ROUNDUP(IFERROR(DATEDIF($I149-1,AF$15+1,"m"),)/12,)-1,)*Index!AB$22*(AF$15&gt;$I167)*(1-AF$12)</f>
        <v>0</v>
      </c>
      <c r="AG167" s="747">
        <f>$G167*$H167*(1+$K167)^MAX(ROUNDUP(IFERROR(DATEDIF($I149-1,AG$15+1,"m"),)/12,)-1,)*Index!AC$22*(AG$15&gt;$I167)*(1-AG$12)</f>
        <v>0</v>
      </c>
      <c r="AH167" s="747">
        <f>$G167*$H167*(1+$K167)^MAX(ROUNDUP(IFERROR(DATEDIF($I149-1,AH$15+1,"m"),)/12,)-1,)*Index!AD$22*(AH$15&gt;$I167)*(1-AH$12)</f>
        <v>0</v>
      </c>
      <c r="AI167" s="747">
        <f>$G167*$H167*(1+$K167)^MAX(ROUNDUP(IFERROR(DATEDIF($I149-1,AI$15+1,"m"),)/12,)-1,)*Index!AE$22*(AI$15&gt;$I167)*(1-AI$12)</f>
        <v>0</v>
      </c>
      <c r="AJ167" s="747">
        <f>$G167*$H167*(1+$K167)^MAX(ROUNDUP(IFERROR(DATEDIF($I149-1,AJ$15+1,"m"),)/12,)-1,)*Index!AF$22*(AJ$15&gt;$I167)*(1-AJ$12)</f>
        <v>0</v>
      </c>
      <c r="AK167" s="747">
        <f>$G167*$H167*(1+$K167)^MAX(ROUNDUP(IFERROR(DATEDIF($I149-1,AK$15+1,"m"),)/12,)-1,)*Index!AG$22*(AK$15&gt;$I167)*(1-AK$12)</f>
        <v>0</v>
      </c>
      <c r="AL167" s="747">
        <f>$G167*$H167*(1+$K167)^MAX(ROUNDUP(IFERROR(DATEDIF($I149-1,AL$15+1,"m"),)/12,)-1,)*Index!AH$22*(AL$15&gt;$I167)*(1-AL$12)</f>
        <v>0</v>
      </c>
      <c r="AM167" s="747">
        <f>$G167*$H167*(1+$K167)^MAX(ROUNDUP(IFERROR(DATEDIF($I149-1,AM$15+1,"m"),)/12,)-1,)*Index!AI$22*(AM$15&gt;$I167)*(1-AM$12)</f>
        <v>0</v>
      </c>
      <c r="AN167" s="747">
        <f>$G167*$H167*(1+$K167)^MAX(ROUNDUP(IFERROR(DATEDIF($I149-1,AN$15+1,"m"),)/12,)-1,)*Index!AJ$22*(AN$15&gt;$I167)*(1-AN$12)</f>
        <v>0</v>
      </c>
      <c r="AO167" s="747">
        <f>$G167*$H167*(1+$K167)^MAX(ROUNDUP(IFERROR(DATEDIF($I149-1,AO$15+1,"m"),)/12,)-1,)*Index!AK$22*(AO$15&gt;$I167)*(1-AO$12)</f>
        <v>0</v>
      </c>
      <c r="AP167" s="747">
        <f>$G167*$H167*(1+$K167)^MAX(ROUNDUP(IFERROR(DATEDIF($I149-1,AP$15+1,"m"),)/12,)-1,)*Index!AL$22*(AP$15&gt;$I167)*(1-AP$12)</f>
        <v>0</v>
      </c>
      <c r="AQ167" s="747">
        <f>$G167*$H167*(1+$K167)^MAX(ROUNDUP(IFERROR(DATEDIF($I149-1,AQ$15+1,"m"),)/12,)-1,)*Index!AM$22*(AQ$15&gt;$I167)*(1-AQ$12)</f>
        <v>0</v>
      </c>
      <c r="AR167" s="747">
        <f>$G167*$H167*(1+$K167)^MAX(ROUNDUP(IFERROR(DATEDIF($I149-1,AR$15+1,"m"),)/12,)-1,)*Index!AN$22*(AR$15&gt;$I167)*(1-AR$12)</f>
        <v>0</v>
      </c>
      <c r="AS167" s="747">
        <f>$G167*$H167*(1+$K167)^MAX(ROUNDUP(IFERROR(DATEDIF($I149-1,AS$15+1,"m"),)/12,)-1,)*Index!AO$22*(AS$15&gt;$I167)*(1-AS$12)</f>
        <v>0</v>
      </c>
      <c r="AT167" s="747">
        <f>$G167*$H167*(1+$K167)^MAX(ROUNDUP(IFERROR(DATEDIF($I149-1,AT$15+1,"m"),)/12,)-1,)*Index!AP$22*(AT$15&gt;$I167)*(1-AT$12)</f>
        <v>0</v>
      </c>
      <c r="AU167" s="747">
        <f>$G167*$H167*(1+$K167)^MAX(ROUNDUP(IFERROR(DATEDIF($I149-1,AU$15+1,"m"),)/12,)-1,)*Index!AQ$22*(AU$15&gt;$I167)*(1-AU$12)</f>
        <v>0</v>
      </c>
      <c r="AV167" s="747">
        <f>$G167*$H167*(1+$K167)^MAX(ROUNDUP(IFERROR(DATEDIF($I149-1,AV$15+1,"m"),)/12,)-1,)*Index!AR$22*(AV$15&gt;$I167)*(1-AV$12)</f>
        <v>0</v>
      </c>
      <c r="AW167" s="747">
        <f>$G167*$H167*(1+$K167)^MAX(ROUNDUP(IFERROR(DATEDIF($I149-1,AW$15+1,"m"),)/12,)-1,)*Index!AS$22*(AW$15&gt;$I167)*(1-AW$12)</f>
        <v>0</v>
      </c>
      <c r="AX167" s="747">
        <f>$G167*$H167*(1+$K167)^MAX(ROUNDUP(IFERROR(DATEDIF($I149-1,AX$15+1,"m"),)/12,)-1,)*Index!AT$22*(AX$15&gt;$I167)*(1-AX$12)</f>
        <v>0</v>
      </c>
      <c r="AY167" s="747">
        <f>$G167*$H167*(1+$K167)^MAX(ROUNDUP(IFERROR(DATEDIF($I149-1,AY$15+1,"m"),)/12,)-1,)*Index!AU$22*(AY$15&gt;$I167)*(1-AY$12)</f>
        <v>0</v>
      </c>
      <c r="AZ167" s="747">
        <f>$G167*$H167*(1+$K167)^MAX(ROUNDUP(IFERROR(DATEDIF($I149-1,AZ$15+1,"m"),)/12,)-1,)*Index!AV$22*(AZ$15&gt;$I167)*(1-AZ$12)</f>
        <v>0</v>
      </c>
      <c r="BA167" s="747">
        <f>$G167*$H167*(1+$K167)^MAX(ROUNDUP(IFERROR(DATEDIF($I149-1,BA$15+1,"m"),)/12,)-1,)*Index!AW$22*(BA$15&gt;$I167)*(1-BA$12)</f>
        <v>0</v>
      </c>
      <c r="BB167" s="747">
        <f>$G167*$H167*(1+$K167)^MAX(ROUNDUP(IFERROR(DATEDIF($I149-1,BB$15+1,"m"),)/12,)-1,)*Index!AX$22*(BB$15&gt;$I167)*(1-BB$12)</f>
        <v>0</v>
      </c>
      <c r="BC167" s="747">
        <f>$G167*$H167*(1+$K167)^MAX(ROUNDUP(IFERROR(DATEDIF($I149-1,BC$15+1,"m"),)/12,)-1,)*Index!AY$22*(BC$15&gt;$I167)*(1-BC$12)</f>
        <v>0</v>
      </c>
      <c r="BD167" s="747">
        <f>$G167*$H167*(1+$K167)^MAX(ROUNDUP(IFERROR(DATEDIF($I149-1,BD$15+1,"m"),)/12,)-1,)*Index!AZ$22*(BD$15&gt;$I167)*(1-BD$12)</f>
        <v>0</v>
      </c>
      <c r="BE167" s="747">
        <f>$G167*$H167*(1+$K167)^MAX(ROUNDUP(IFERROR(DATEDIF($I149-1,BE$15+1,"m"),)/12,)-1,)*Index!BA$22*(BE$15&gt;$I167)*(1-BE$12)</f>
        <v>0</v>
      </c>
      <c r="BF167" s="747">
        <f>$G167*$H167*(1+$K167)^MAX(ROUNDUP(IFERROR(DATEDIF($I149-1,BF$15+1,"m"),)/12,)-1,)*Index!BB$22*(BF$15&gt;$I167)*(1-BF$12)</f>
        <v>0</v>
      </c>
      <c r="BG167" s="747">
        <f>$G167*$H167*(1+$K167)^MAX(ROUNDUP(IFERROR(DATEDIF($I149-1,BG$15+1,"m"),)/12,)-1,)*Index!BC$22*(BG$15&gt;$I167)*(1-BG$12)</f>
        <v>0</v>
      </c>
      <c r="BH167" s="747">
        <f>$G167*$H167*(1+$K167)^MAX(ROUNDUP(IFERROR(DATEDIF($I149-1,BH$15+1,"m"),)/12,)-1,)*Index!BD$22*(BH$15&gt;$I167)*(1-BH$12)</f>
        <v>0</v>
      </c>
      <c r="BI167" s="747">
        <f>$G167*$H167*(1+$K167)^MAX(ROUNDUP(IFERROR(DATEDIF($I149-1,BI$15+1,"m"),)/12,)-1,)*Index!BE$22*(BI$15&gt;$I167)*(1-BI$12)</f>
        <v>0</v>
      </c>
      <c r="BJ167" s="747">
        <f>$G167*$H167*(1+$K167)^MAX(ROUNDUP(IFERROR(DATEDIF($I149-1,BJ$15+1,"m"),)/12,)-1,)*Index!BF$22*(BJ$15&gt;$I167)*(1-BJ$12)</f>
        <v>0</v>
      </c>
      <c r="BK167" s="747">
        <f>$G167*$H167*(1+$K167)^MAX(ROUNDUP(IFERROR(DATEDIF($I149-1,BK$15+1,"m"),)/12,)-1,)*Index!BG$22*(BK$15&gt;$I167)*(1-BK$12)</f>
        <v>0</v>
      </c>
      <c r="BL167" s="747">
        <f>$G167*$H167*(1+$K167)^MAX(ROUNDUP(IFERROR(DATEDIF($I149-1,BL$15+1,"m"),)/12,)-1,)*Index!BH$22*(BL$15&gt;$I167)*(1-BL$12)</f>
        <v>0</v>
      </c>
      <c r="BM167" s="747">
        <f>$G167*$H167*(1+$K167)^MAX(ROUNDUP(IFERROR(DATEDIF($I149-1,BM$15+1,"m"),)/12,)-1,)*Index!BI$22*(BM$15&gt;$I167)*(1-BM$12)</f>
        <v>0</v>
      </c>
      <c r="BN167" s="747">
        <f>$G167*$H167*(1+$K167)^MAX(ROUNDUP(IFERROR(DATEDIF($I149-1,BN$15+1,"m"),)/12,)-1,)*Index!BJ$22*(BN$15&gt;$I167)*(1-BN$12)</f>
        <v>0</v>
      </c>
      <c r="BO167" s="747">
        <f>$G167*$H167*(1+$K167)^MAX(ROUNDUP(IFERROR(DATEDIF($I149-1,BO$15+1,"m"),)/12,)-1,)*Index!BK$22*(BO$15&gt;$I167)*(1-BO$12)</f>
        <v>0</v>
      </c>
      <c r="BP167" s="747">
        <f>$G167*$H167*(1+$K167)^MAX(ROUNDUP(IFERROR(DATEDIF($I149-1,BP$15+1,"m"),)/12,)-1,)*Index!BL$22*(BP$15&gt;$I167)*(1-BP$12)</f>
        <v>0</v>
      </c>
      <c r="BQ167" s="747">
        <f>$G167*$H167*(1+$K167)^MAX(ROUNDUP(IFERROR(DATEDIF($I149-1,BQ$15+1,"m"),)/12,)-1,)*Index!BM$22*(BQ$15&gt;$I167)*(1-BQ$12)</f>
        <v>0</v>
      </c>
      <c r="BR167" s="747">
        <f>$G167*$H167*(1+$K167)^MAX(ROUNDUP(IFERROR(DATEDIF($I149-1,BR$15+1,"m"),)/12,)-1,)*Index!BN$22*(BR$15&gt;$I167)*(1-BR$12)</f>
        <v>0</v>
      </c>
      <c r="BS167" s="747">
        <f>$G167*$H167*(1+$K167)^MAX(ROUNDUP(IFERROR(DATEDIF($I149-1,BS$15+1,"m"),)/12,)-1,)*Index!BO$22*(BS$15&gt;$I167)*(1-BS$12)</f>
        <v>0</v>
      </c>
      <c r="BT167" s="747">
        <f>$G167*$H167*(1+$K167)^MAX(ROUNDUP(IFERROR(DATEDIF($I149-1,BT$15+1,"m"),)/12,)-1,)*Index!BP$22*(BT$15&gt;$I167)*(1-BT$12)</f>
        <v>0</v>
      </c>
      <c r="BU167" s="747">
        <f>$G167*$H167*(1+$K167)^MAX(ROUNDUP(IFERROR(DATEDIF($I149-1,BU$15+1,"m"),)/12,)-1,)*Index!BQ$22*(BU$15&gt;$I167)*(1-BU$12)</f>
        <v>0</v>
      </c>
      <c r="BV167" s="747">
        <f>$G167*$H167*(1+$K167)^MAX(ROUNDUP(IFERROR(DATEDIF($I149-1,BV$15+1,"m"),)/12,)-1,)*Index!BR$22*(BV$15&gt;$I167)*(1-BV$12)</f>
        <v>0</v>
      </c>
      <c r="BW167" s="747">
        <f>$G167*$H167*(1+$K167)^MAX(ROUNDUP(IFERROR(DATEDIF($I149-1,BW$15+1,"m"),)/12,)-1,)*Index!BS$22*(BW$15&gt;$I167)*(1-BW$12)</f>
        <v>0</v>
      </c>
      <c r="BX167" s="747">
        <f>$G167*$H167*(1+$K167)^MAX(ROUNDUP(IFERROR(DATEDIF($I149-1,BX$15+1,"m"),)/12,)-1,)*Index!BT$22*(BX$15&gt;$I167)*(1-BX$12)</f>
        <v>0</v>
      </c>
      <c r="BY167" s="747">
        <f>$G167*$H167*(1+$K167)^MAX(ROUNDUP(IFERROR(DATEDIF($I149-1,BY$15+1,"m"),)/12,)-1,)*Index!BU$22*(BY$15&gt;$I167)*(1-BY$12)</f>
        <v>0</v>
      </c>
      <c r="BZ167" s="747">
        <f>$G167*$H167*(1+$K167)^MAX(ROUNDUP(IFERROR(DATEDIF($I149-1,BZ$15+1,"m"),)/12,)-1,)*Index!BV$22*(BZ$15&gt;$I167)*(1-BZ$12)</f>
        <v>0</v>
      </c>
      <c r="CA167" s="747">
        <f>$G167*$H167*(1+$K167)^MAX(ROUNDUP(IFERROR(DATEDIF($I149-1,CA$15+1,"m"),)/12,)-1,)*Index!BW$22*(CA$15&gt;$I167)*(1-CA$12)</f>
        <v>0</v>
      </c>
      <c r="CB167" s="747">
        <f>$G167*$H167*(1+$K167)^MAX(ROUNDUP(IFERROR(DATEDIF($I149-1,CB$15+1,"m"),)/12,)-1,)*Index!BX$22*(CB$15&gt;$I167)*(1-CB$12)</f>
        <v>0</v>
      </c>
      <c r="CC167" s="747">
        <f>$G167*$H167*(1+$K167)^MAX(ROUNDUP(IFERROR(DATEDIF($I149-1,CC$15+1,"m"),)/12,)-1,)*Index!BY$22*(CC$15&gt;$I167)*(1-CC$12)</f>
        <v>0</v>
      </c>
      <c r="CD167" s="747">
        <f>$G167*$H167*(1+$K167)^MAX(ROUNDUP(IFERROR(DATEDIF($I149-1,CD$15+1,"m"),)/12,)-1,)*Index!BZ$22*(CD$15&gt;$I167)*(1-CD$12)</f>
        <v>0</v>
      </c>
      <c r="CE167" s="747">
        <f>$G167*$H167*(1+$K167)^MAX(ROUNDUP(IFERROR(DATEDIF($I149-1,CE$15+1,"m"),)/12,)-1,)*Index!CA$22*(CE$15&gt;$I167)*(1-CE$12)</f>
        <v>0</v>
      </c>
      <c r="CF167" s="747">
        <f>$G167*$H167*(1+$K167)^MAX(ROUNDUP(IFERROR(DATEDIF($I149-1,CF$15+1,"m"),)/12,)-1,)*Index!CB$22*(CF$15&gt;$I167)*(1-CF$12)</f>
        <v>0</v>
      </c>
      <c r="CG167" s="747">
        <f>$G167*$H167*(1+$K167)^MAX(ROUNDUP(IFERROR(DATEDIF($I149-1,CG$15+1,"m"),)/12,)-1,)*Index!CC$22*(CG$15&gt;$I167)*(1-CG$12)</f>
        <v>0</v>
      </c>
      <c r="CH167" s="747">
        <f>$G167*$H167*(1+$K167)^MAX(ROUNDUP(IFERROR(DATEDIF($I149-1,CH$15+1,"m"),)/12,)-1,)*Index!CD$22*(CH$15&gt;$I167)*(1-CH$12)</f>
        <v>0</v>
      </c>
      <c r="CI167" s="747">
        <f>$G167*$H167*(1+$K167)^MAX(ROUNDUP(IFERROR(DATEDIF($I149-1,CI$15+1,"m"),)/12,)-1,)*Index!CE$22*(CI$15&gt;$I167)*(1-CI$12)</f>
        <v>0</v>
      </c>
      <c r="CJ167" s="747">
        <f>$G167*$H167*(1+$K167)^MAX(ROUNDUP(IFERROR(DATEDIF($I149-1,CJ$15+1,"m"),)/12,)-1,)*Index!CF$22*(CJ$15&gt;$I167)*(1-CJ$12)</f>
        <v>0</v>
      </c>
      <c r="CK167" s="747">
        <f>$G167*$H167*(1+$K167)^MAX(ROUNDUP(IFERROR(DATEDIF($I149-1,CK$15+1,"m"),)/12,)-1,)*Index!CG$22*(CK$15&gt;$I167)*(1-CK$12)</f>
        <v>0</v>
      </c>
      <c r="CL167" s="747">
        <f>$G167*$H167*(1+$K167)^MAX(ROUNDUP(IFERROR(DATEDIF($I149-1,CL$15+1,"m"),)/12,)-1,)*Index!CH$22*(CL$15&gt;$I167)*(1-CL$12)</f>
        <v>0</v>
      </c>
      <c r="CM167" s="747">
        <f>$G167*$H167*(1+$K167)^MAX(ROUNDUP(IFERROR(DATEDIF($I149-1,CM$15+1,"m"),)/12,)-1,)*Index!CI$22*(CM$15&gt;$I167)*(1-CM$12)</f>
        <v>0</v>
      </c>
      <c r="CN167" s="747">
        <f>$G167*$H167*(1+$K167)^MAX(ROUNDUP(IFERROR(DATEDIF($I149-1,CN$15+1,"m"),)/12,)-1,)*Index!CJ$22*(CN$15&gt;$I167)*(1-CN$12)</f>
        <v>0</v>
      </c>
      <c r="CO167" s="747">
        <f>$G167*$H167*(1+$K167)^MAX(ROUNDUP(IFERROR(DATEDIF($I149-1,CO$15+1,"m"),)/12,)-1,)*Index!CK$22*(CO$15&gt;$I167)*(1-CO$12)</f>
        <v>0</v>
      </c>
      <c r="CP167" s="747">
        <f>$G167*$H167*(1+$K167)^MAX(ROUNDUP(IFERROR(DATEDIF($I149-1,CP$15+1,"m"),)/12,)-1,)*Index!CL$22*(CP$15&gt;$I167)*(1-CP$12)</f>
        <v>0</v>
      </c>
      <c r="CQ167" s="747">
        <f>$G167*$H167*(1+$K167)^MAX(ROUNDUP(IFERROR(DATEDIF($I149-1,CQ$15+1,"m"),)/12,)-1,)*Index!CM$22*(CQ$15&gt;$I167)*(1-CQ$12)</f>
        <v>0</v>
      </c>
      <c r="CR167" s="747">
        <f>$G167*$H167*(1+$K167)^MAX(ROUNDUP(IFERROR(DATEDIF($I149-1,CR$15+1,"m"),)/12,)-1,)*Index!CN$22*(CR$15&gt;$I167)*(1-CR$12)</f>
        <v>0</v>
      </c>
      <c r="CS167" s="747">
        <f>$G167*$H167*(1+$K167)^MAX(ROUNDUP(IFERROR(DATEDIF($I149-1,CS$15+1,"m"),)/12,)-1,)*Index!CO$22*(CS$15&gt;$I167)*(1-CS$12)</f>
        <v>0</v>
      </c>
      <c r="CT167" s="747">
        <f>$G167*$H167*(1+$K167)^MAX(ROUNDUP(IFERROR(DATEDIF($I149-1,CT$15+1,"m"),)/12,)-1,)*Index!CP$22*(CT$15&gt;$I167)*(1-CT$12)</f>
        <v>0</v>
      </c>
      <c r="CU167" s="747">
        <f>$G167*$H167*(1+$K167)^MAX(ROUNDUP(IFERROR(DATEDIF($I149-1,CU$15+1,"m"),)/12,)-1,)*Index!CQ$22*(CU$15&gt;$I167)*(1-CU$12)</f>
        <v>0</v>
      </c>
      <c r="CV167" s="747">
        <f>$G167*$H167*(1+$K167)^MAX(ROUNDUP(IFERROR(DATEDIF($I149-1,CV$15+1,"m"),)/12,)-1,)*Index!CR$22*(CV$15&gt;$I167)*(1-CV$12)</f>
        <v>0</v>
      </c>
      <c r="CW167" s="747">
        <f>$G167*$H167*(1+$K167)^MAX(ROUNDUP(IFERROR(DATEDIF($I149-1,CW$15+1,"m"),)/12,)-1,)*Index!CS$22*(CW$15&gt;$I167)*(1-CW$12)</f>
        <v>0</v>
      </c>
      <c r="CX167" s="747">
        <f>$G167*$H167*(1+$K167)^MAX(ROUNDUP(IFERROR(DATEDIF($I149-1,CX$15+1,"m"),)/12,)-1,)*Index!CT$22*(CX$15&gt;$I167)*(1-CX$12)</f>
        <v>0</v>
      </c>
      <c r="CY167" s="747">
        <f>$G167*$H167*(1+$K167)^MAX(ROUNDUP(IFERROR(DATEDIF($I149-1,CY$15+1,"m"),)/12,)-1,)*Index!CU$22*(CY$15&gt;$I167)*(1-CY$12)</f>
        <v>0</v>
      </c>
      <c r="CZ167" s="747">
        <f>$G167*$H167*(1+$K167)^MAX(ROUNDUP(IFERROR(DATEDIF($I149-1,CZ$15+1,"m"),)/12,)-1,)*Index!CV$22*(CZ$15&gt;$I167)*(1-CZ$12)</f>
        <v>0</v>
      </c>
      <c r="DA167" s="747">
        <f>$G167*$H167*(1+$K167)^MAX(ROUNDUP(IFERROR(DATEDIF($I149-1,DA$15+1,"m"),)/12,)-1,)*Index!CW$22*(DA$15&gt;$I167)*(1-DA$12)</f>
        <v>0</v>
      </c>
      <c r="DB167" s="747">
        <f>$G167*$H167*(1+$K167)^MAX(ROUNDUP(IFERROR(DATEDIF($I149-1,DB$15+1,"m"),)/12,)-1,)*Index!CX$22*(DB$15&gt;$I167)*(1-DB$12)</f>
        <v>0</v>
      </c>
      <c r="DC167" s="747">
        <f>$G167*$H167*(1+$K167)^MAX(ROUNDUP(IFERROR(DATEDIF($I149-1,DC$15+1,"m"),)/12,)-1,)*Index!CY$22*(DC$15&gt;$I167)*(1-DC$12)</f>
        <v>8374.0905016837023</v>
      </c>
      <c r="DD167" s="747">
        <f>$G167*$H167*(1+$K167)^MAX(ROUNDUP(IFERROR(DATEDIF($I149-1,DD$15+1,"m"),)/12,)-1,)*Index!CZ$22*(DD$15&gt;$I167)*(1-DD$12)</f>
        <v>8374.0905016837023</v>
      </c>
      <c r="DE167" s="747">
        <f>$G167*$H167*(1+$K167)^MAX(ROUNDUP(IFERROR(DATEDIF($I149-1,DE$15+1,"m"),)/12,)-1,)*Index!DA$22*(DE$15&gt;$I167)*(1-DE$12)</f>
        <v>8374.0905016837023</v>
      </c>
      <c r="DF167" s="747">
        <f>$G167*$H167*(1+$K167)^MAX(ROUNDUP(IFERROR(DATEDIF($I149-1,DF$15+1,"m"),)/12,)-1,)*Index!DB$22*(DF$15&gt;$I167)*(1-DF$12)</f>
        <v>8374.0905016837023</v>
      </c>
      <c r="DG167" s="747">
        <f>$G167*$H167*(1+$K167)^MAX(ROUNDUP(IFERROR(DATEDIF($I149-1,DG$15+1,"m"),)/12,)-1,)*Index!DC$22*(DG$15&gt;$I167)*(1-DG$12)</f>
        <v>8374.0905016837023</v>
      </c>
      <c r="DH167" s="747">
        <f>$G167*$H167*(1+$K167)^MAX(ROUNDUP(IFERROR(DATEDIF($I149-1,DH$15+1,"m"),)/12,)-1,)*Index!DD$22*(DH$15&gt;$I167)*(1-DH$12)</f>
        <v>8374.0905016837023</v>
      </c>
      <c r="DI167" s="747">
        <f>$G167*$H167*(1+$K167)^MAX(ROUNDUP(IFERROR(DATEDIF($I149-1,DI$15+1,"m"),)/12,)-1,)*Index!DE$22*(DI$15&gt;$I167)*(1-DI$12)</f>
        <v>8374.0905016837023</v>
      </c>
      <c r="DJ167" s="747">
        <f>$G167*$H167*(1+$K167)^MAX(ROUNDUP(IFERROR(DATEDIF($I149-1,DJ$15+1,"m"),)/12,)-1,)*Index!DF$22*(DJ$15&gt;$I167)*(1-DJ$12)</f>
        <v>8374.0905016837023</v>
      </c>
      <c r="DK167" s="747">
        <f>$G167*$H167*(1+$K167)^MAX(ROUNDUP(IFERROR(DATEDIF($I149-1,DK$15+1,"m"),)/12,)-1,)*Index!DG$22*(DK$15&gt;$I167)*(1-DK$12)</f>
        <v>8374.0905016837023</v>
      </c>
      <c r="DL167" s="747">
        <f>$G167*$H167*(1+$K167)^MAX(ROUNDUP(IFERROR(DATEDIF($I149-1,DL$15+1,"m"),)/12,)-1,)*Index!DH$22*(DL$15&gt;$I167)*(1-DL$12)</f>
        <v>8583.4427642257942</v>
      </c>
      <c r="DM167" s="747">
        <f>$G167*$H167*(1+$K167)^MAX(ROUNDUP(IFERROR(DATEDIF($I149-1,DM$15+1,"m"),)/12,)-1,)*Index!DI$22*(DM$15&gt;$I167)*(1-DM$12)</f>
        <v>8583.4427642257942</v>
      </c>
      <c r="DN167" s="747">
        <f>$G167*$H167*(1+$K167)^MAX(ROUNDUP(IFERROR(DATEDIF($I149-1,DN$15+1,"m"),)/12,)-1,)*Index!DJ$22*(DN$15&gt;$I167)*(1-DN$12)</f>
        <v>8583.4427642257942</v>
      </c>
      <c r="DO167" s="747">
        <f>$G167*$H167*(1+$K167)^MAX(ROUNDUP(IFERROR(DATEDIF($I149-1,DO$15+1,"m"),)/12,)-1,)*Index!DK$22*(DO$15&gt;$I167)*(1-DO$12)</f>
        <v>8583.4427642257942</v>
      </c>
      <c r="DP167" s="747">
        <f>$G167*$H167*(1+$K167)^MAX(ROUNDUP(IFERROR(DATEDIF($I149-1,DP$15+1,"m"),)/12,)-1,)*Index!DL$22*(DP$15&gt;$I167)*(1-DP$12)</f>
        <v>8583.4427642257942</v>
      </c>
      <c r="DQ167" s="747">
        <f>$G167*$H167*(1+$K167)^MAX(ROUNDUP(IFERROR(DATEDIF($I149-1,DQ$15+1,"m"),)/12,)-1,)*Index!DM$22*(DQ$15&gt;$I167)*(1-DQ$12)</f>
        <v>8583.4427642257942</v>
      </c>
      <c r="DR167" s="747">
        <f>$G167*$H167*(1+$K167)^MAX(ROUNDUP(IFERROR(DATEDIF($I149-1,DR$15+1,"m"),)/12,)-1,)*Index!DN$22*(DR$15&gt;$I167)*(1-DR$12)</f>
        <v>8583.4427642257942</v>
      </c>
      <c r="DS167" s="747">
        <f>$G167*$H167*(1+$K167)^MAX(ROUNDUP(IFERROR(DATEDIF($I149-1,DS$15+1,"m"),)/12,)-1,)*Index!DO$22*(DS$15&gt;$I167)*(1-DS$12)</f>
        <v>8583.4427642257942</v>
      </c>
      <c r="DT167" s="747">
        <f>$G167*$H167*(1+$K167)^MAX(ROUNDUP(IFERROR(DATEDIF($I149-1,DT$15+1,"m"),)/12,)-1,)*Index!DP$22*(DT$15&gt;$I167)*(1-DT$12)</f>
        <v>8583.4427642257942</v>
      </c>
      <c r="DU167" s="747">
        <f>$G167*$H167*(1+$K167)^MAX(ROUNDUP(IFERROR(DATEDIF($I149-1,DU$15+1,"m"),)/12,)-1,)*Index!DQ$22*(DU$15&gt;$I167)*(1-DU$12)</f>
        <v>8583.4427642257942</v>
      </c>
      <c r="DV167" s="747">
        <f>$G167*$H167*(1+$K167)^MAX(ROUNDUP(IFERROR(DATEDIF($I149-1,DV$15+1,"m"),)/12,)-1,)*Index!DR$22*(DV$15&gt;$I167)*(1-DV$12)</f>
        <v>8583.4427642257942</v>
      </c>
      <c r="DW167" s="747">
        <f>$G167*$H167*(1+$K167)^MAX(ROUNDUP(IFERROR(DATEDIF($I149-1,DW$15+1,"m"),)/12,)-1,)*Index!DS$22*(DW$15&gt;$I167)*(1-DW$12)</f>
        <v>8583.4427642257942</v>
      </c>
      <c r="DX167" s="747">
        <f>$G167*$H167*(1+$K167)^MAX(ROUNDUP(IFERROR(DATEDIF($I149-1,DX$15+1,"m"),)/12,)-1,)*Index!DT$22*(DX$15&gt;$I167)*(1-DX$12)</f>
        <v>8798.0288333314384</v>
      </c>
      <c r="DY167" s="747">
        <f>$G167*$H167*(1+$K167)^MAX(ROUNDUP(IFERROR(DATEDIF($I149-1,DY$15+1,"m"),)/12,)-1,)*Index!DU$22*(DY$15&gt;$I167)*(1-DY$12)</f>
        <v>8798.0288333314384</v>
      </c>
      <c r="DZ167" s="747">
        <f>$G167*$H167*(1+$K167)^MAX(ROUNDUP(IFERROR(DATEDIF($I149-1,DZ$15+1,"m"),)/12,)-1,)*Index!DV$22*(DZ$15&gt;$I167)*(1-DZ$12)</f>
        <v>8798.0288333314384</v>
      </c>
      <c r="EA167" s="747">
        <f>$G167*$H167*(1+$K167)^MAX(ROUNDUP(IFERROR(DATEDIF($I149-1,EA$15+1,"m"),)/12,)-1,)*Index!DW$22*(EA$15&gt;$I167)*(1-EA$12)</f>
        <v>8798.0288333314384</v>
      </c>
      <c r="EB167" s="747">
        <f>$G167*$H167*(1+$K167)^MAX(ROUNDUP(IFERROR(DATEDIF($I149-1,EB$15+1,"m"),)/12,)-1,)*Index!DX$22*(EB$15&gt;$I167)*(1-EB$12)</f>
        <v>8798.0288333314384</v>
      </c>
      <c r="EC167" s="747">
        <f>$G167*$H167*(1+$K167)^MAX(ROUNDUP(IFERROR(DATEDIF($I149-1,EC$15+1,"m"),)/12,)-1,)*Index!DY$22*(EC$15&gt;$I167)*(1-EC$12)</f>
        <v>8798.0288333314384</v>
      </c>
      <c r="ED167" s="747">
        <f>$G167*$H167*(1+$K167)^MAX(ROUNDUP(IFERROR(DATEDIF($I149-1,ED$15+1,"m"),)/12,)-1,)*Index!DZ$22*(ED$15&gt;$I167)*(1-ED$12)</f>
        <v>8798.0288333314384</v>
      </c>
      <c r="EE167" s="747">
        <f>$G167*$H167*(1+$K167)^MAX(ROUNDUP(IFERROR(DATEDIF($I149-1,EE$15+1,"m"),)/12,)-1,)*Index!EA$22*(EE$15&gt;$I167)*(1-EE$12)</f>
        <v>8798.0288333314384</v>
      </c>
      <c r="EF167" s="747">
        <f>$G167*$H167*(1+$K167)^MAX(ROUNDUP(IFERROR(DATEDIF($I149-1,EF$15+1,"m"),)/12,)-1,)*Index!EB$22*(EF$15&gt;$I167)*(1-EF$12)</f>
        <v>8798.0288333314384</v>
      </c>
      <c r="EG167" s="747">
        <f>$G167*$H167*(1+$K167)^MAX(ROUNDUP(IFERROR(DATEDIF($I149-1,EG$15+1,"m"),)/12,)-1,)*Index!EC$22*(EG$15&gt;$I167)*(1-EG$12)</f>
        <v>0</v>
      </c>
      <c r="EH167" s="747">
        <f>$G167*$H167*(1+$K167)^MAX(ROUNDUP(IFERROR(DATEDIF($I149-1,EH$15+1,"m"),)/12,)-1,)*Index!ED$22*(EH$15&gt;$I167)*(1-EH$12)</f>
        <v>0</v>
      </c>
      <c r="EI167" s="747">
        <f>$G167*$H167*(1+$K167)^MAX(ROUNDUP(IFERROR(DATEDIF($I149-1,EI$15+1,"m"),)/12,)-1,)*Index!EE$22*(EI$15&gt;$I167)*(1-EI$12)</f>
        <v>0</v>
      </c>
      <c r="EJ167" s="747">
        <f>$G167*$H167*(1+$K167)^MAX(ROUNDUP(IFERROR(DATEDIF($I149-1,EJ$15+1,"m"),)/12,)-1,)*Index!EF$22*(EJ$15&gt;$I167)*(1-EJ$12)</f>
        <v>0</v>
      </c>
      <c r="EK167" s="747">
        <f>$G167*$H167*(1+$K167)^MAX(ROUNDUP(IFERROR(DATEDIF($I149-1,EK$15+1,"m"),)/12,)-1,)*Index!EG$22*(EK$15&gt;$I167)*(1-EK$12)</f>
        <v>0</v>
      </c>
      <c r="EL167" s="747">
        <f>$G167*$H167*(1+$K167)^MAX(ROUNDUP(IFERROR(DATEDIF($I149-1,EL$15+1,"m"),)/12,)-1,)*Index!EH$22*(EL$15&gt;$I167)*(1-EL$12)</f>
        <v>0</v>
      </c>
      <c r="EM167" s="747">
        <f>$G167*$H167*(1+$K167)^MAX(ROUNDUP(IFERROR(DATEDIF($I149-1,EM$15+1,"m"),)/12,)-1,)*Index!EI$22*(EM$15&gt;$I167)*(1-EM$12)</f>
        <v>0</v>
      </c>
      <c r="EN167" s="747">
        <f>$G167*$H167*(1+$K167)^MAX(ROUNDUP(IFERROR(DATEDIF($I149-1,EN$15+1,"m"),)/12,)-1,)*Index!EJ$22*(EN$15&gt;$I167)*(1-EN$12)</f>
        <v>0</v>
      </c>
      <c r="EO167" s="747">
        <f>$G167*$H167*(1+$K167)^MAX(ROUNDUP(IFERROR(DATEDIF($I149-1,EO$15+1,"m"),)/12,)-1,)*Index!EK$22*(EO$15&gt;$I167)*(1-EO$12)</f>
        <v>0</v>
      </c>
      <c r="EP167" s="747">
        <f>$G167*$H167*(1+$K167)^MAX(ROUNDUP(IFERROR(DATEDIF($I149-1,EP$15+1,"m"),)/12,)-1,)*Index!EL$22*(EP$15&gt;$I167)*(1-EP$12)</f>
        <v>0</v>
      </c>
      <c r="EQ167" s="747">
        <f>$G167*$H167*(1+$K167)^MAX(ROUNDUP(IFERROR(DATEDIF($I149-1,EQ$15+1,"m"),)/12,)-1,)*Index!EM$22*(EQ$15&gt;$I167)*(1-EQ$12)</f>
        <v>0</v>
      </c>
      <c r="ER167" s="747">
        <f>$G167*$H167*(1+$K167)^MAX(ROUNDUP(IFERROR(DATEDIF($I149-1,ER$15+1,"m"),)/12,)-1,)*Index!EN$22*(ER$15&gt;$I167)*(1-ER$12)</f>
        <v>0</v>
      </c>
      <c r="ES167" s="747">
        <f>$G167*$H167*(1+$K167)^MAX(ROUNDUP(IFERROR(DATEDIF($I149-1,ES$15+1,"m"),)/12,)-1,)*Index!EO$22*(ES$15&gt;$I167)*(1-ES$12)</f>
        <v>0</v>
      </c>
      <c r="ET167" s="747">
        <f>$G167*$H167*(1+$K167)^MAX(ROUNDUP(IFERROR(DATEDIF($I149-1,ET$15+1,"m"),)/12,)-1,)*Index!EP$22*(ET$15&gt;$I167)*(1-ET$12)</f>
        <v>0</v>
      </c>
      <c r="EU167" s="747">
        <f>$G167*$H167*(1+$K167)^MAX(ROUNDUP(IFERROR(DATEDIF($I149-1,EU$15+1,"m"),)/12,)-1,)*Index!EQ$22*(EU$15&gt;$I167)*(1-EU$12)</f>
        <v>0</v>
      </c>
    </row>
    <row r="168" spans="3:151" ht="11.25" customHeight="1">
      <c r="C168" s="735"/>
      <c r="D168" s="743">
        <f t="shared" si="243"/>
        <v>5</v>
      </c>
      <c r="E168" s="704" t="str">
        <f t="shared" si="243"/>
        <v>쿠팡</v>
      </c>
      <c r="F168" s="704" t="str">
        <f t="shared" si="243"/>
        <v>상온창고</v>
      </c>
      <c r="G168" s="781" cm="1">
        <f t="array" ref="G168">SUMPRODUCT(($E168='A&amp;R'!$V$26:$V$32)*('A&amp;R'!$AC$26:$AC$32))/1000</f>
        <v>2.9900433370455741</v>
      </c>
      <c r="H168" s="744">
        <f t="shared" si="244"/>
        <v>2185.56</v>
      </c>
      <c r="I168" s="745">
        <f t="shared" si="245"/>
        <v>49064</v>
      </c>
      <c r="J168" s="745"/>
      <c r="K168" s="754">
        <f t="shared" si="246"/>
        <v>2.5000000000000001E-2</v>
      </c>
      <c r="L168" s="746"/>
      <c r="M168" s="722"/>
      <c r="N168" s="747">
        <f t="shared" si="247"/>
        <v>257278.45997152364</v>
      </c>
      <c r="O168" s="733"/>
      <c r="P168" s="747">
        <f>$G168*$H168*(1+$K168)^MAX(ROUNDUP(IFERROR(DATEDIF($I150-1,P$15+1,"m"),)/12,)-1,)*Index!L$22*(P$15&gt;$I168)*(1-P$12)</f>
        <v>0</v>
      </c>
      <c r="Q168" s="747">
        <f>$G168*$H168*(1+$K168)^MAX(ROUNDUP(IFERROR(DATEDIF($I150-1,Q$15+1,"m"),)/12,)-1,)*Index!M$22*(Q$15&gt;$I168)*(1-Q$12)</f>
        <v>0</v>
      </c>
      <c r="R168" s="747">
        <f>$G168*$H168*(1+$K168)^MAX(ROUNDUP(IFERROR(DATEDIF($I150-1,R$15+1,"m"),)/12,)-1,)*Index!N$22*(R$15&gt;$I168)*(1-R$12)</f>
        <v>0</v>
      </c>
      <c r="S168" s="747">
        <f>$G168*$H168*(1+$K168)^MAX(ROUNDUP(IFERROR(DATEDIF($I150-1,S$15+1,"m"),)/12,)-1,)*Index!O$22*(S$15&gt;$I168)*(1-S$12)</f>
        <v>0</v>
      </c>
      <c r="T168" s="747">
        <f>$G168*$H168*(1+$K168)^MAX(ROUNDUP(IFERROR(DATEDIF($I150-1,T$15+1,"m"),)/12,)-1,)*Index!P$22*(T$15&gt;$I168)*(1-T$12)</f>
        <v>0</v>
      </c>
      <c r="U168" s="747">
        <f>$G168*$H168*(1+$K168)^MAX(ROUNDUP(IFERROR(DATEDIF($I150-1,U$15+1,"m"),)/12,)-1,)*Index!Q$22*(U$15&gt;$I168)*(1-U$12)</f>
        <v>0</v>
      </c>
      <c r="V168" s="747">
        <f>$G168*$H168*(1+$K168)^MAX(ROUNDUP(IFERROR(DATEDIF($I150-1,V$15+1,"m"),)/12,)-1,)*Index!R$22*(V$15&gt;$I168)*(1-V$12)</f>
        <v>0</v>
      </c>
      <c r="W168" s="747">
        <f>$G168*$H168*(1+$K168)^MAX(ROUNDUP(IFERROR(DATEDIF($I150-1,W$15+1,"m"),)/12,)-1,)*Index!S$22*(W$15&gt;$I168)*(1-W$12)</f>
        <v>0</v>
      </c>
      <c r="X168" s="747">
        <f>$G168*$H168*(1+$K168)^MAX(ROUNDUP(IFERROR(DATEDIF($I150-1,X$15+1,"m"),)/12,)-1,)*Index!T$22*(X$15&gt;$I168)*(1-X$12)</f>
        <v>0</v>
      </c>
      <c r="Y168" s="747">
        <f>$G168*$H168*(1+$K168)^MAX(ROUNDUP(IFERROR(DATEDIF($I150-1,Y$15+1,"m"),)/12,)-1,)*Index!U$22*(Y$15&gt;$I168)*(1-Y$12)</f>
        <v>0</v>
      </c>
      <c r="Z168" s="747">
        <f>$G168*$H168*(1+$K168)^MAX(ROUNDUP(IFERROR(DATEDIF($I150-1,Z$15+1,"m"),)/12,)-1,)*Index!V$22*(Z$15&gt;$I168)*(1-Z$12)</f>
        <v>0</v>
      </c>
      <c r="AA168" s="747">
        <f>$G168*$H168*(1+$K168)^MAX(ROUNDUP(IFERROR(DATEDIF($I150-1,AA$15+1,"m"),)/12,)-1,)*Index!W$22*(AA$15&gt;$I168)*(1-AA$12)</f>
        <v>0</v>
      </c>
      <c r="AB168" s="747">
        <f>$G168*$H168*(1+$K168)^MAX(ROUNDUP(IFERROR(DATEDIF($I150-1,AB$15+1,"m"),)/12,)-1,)*Index!X$22*(AB$15&gt;$I168)*(1-AB$12)</f>
        <v>0</v>
      </c>
      <c r="AC168" s="747">
        <f>$G168*$H168*(1+$K168)^MAX(ROUNDUP(IFERROR(DATEDIF($I150-1,AC$15+1,"m"),)/12,)-1,)*Index!Y$22*(AC$15&gt;$I168)*(1-AC$12)</f>
        <v>0</v>
      </c>
      <c r="AD168" s="747">
        <f>$G168*$H168*(1+$K168)^MAX(ROUNDUP(IFERROR(DATEDIF($I150-1,AD$15+1,"m"),)/12,)-1,)*Index!Z$22*(AD$15&gt;$I168)*(1-AD$12)</f>
        <v>0</v>
      </c>
      <c r="AE168" s="747">
        <f>$G168*$H168*(1+$K168)^MAX(ROUNDUP(IFERROR(DATEDIF($I150-1,AE$15+1,"m"),)/12,)-1,)*Index!AA$22*(AE$15&gt;$I168)*(1-AE$12)</f>
        <v>0</v>
      </c>
      <c r="AF168" s="747">
        <f>$G168*$H168*(1+$K168)^MAX(ROUNDUP(IFERROR(DATEDIF($I150-1,AF$15+1,"m"),)/12,)-1,)*Index!AB$22*(AF$15&gt;$I168)*(1-AF$12)</f>
        <v>0</v>
      </c>
      <c r="AG168" s="747">
        <f>$G168*$H168*(1+$K168)^MAX(ROUNDUP(IFERROR(DATEDIF($I150-1,AG$15+1,"m"),)/12,)-1,)*Index!AC$22*(AG$15&gt;$I168)*(1-AG$12)</f>
        <v>0</v>
      </c>
      <c r="AH168" s="747">
        <f>$G168*$H168*(1+$K168)^MAX(ROUNDUP(IFERROR(DATEDIF($I150-1,AH$15+1,"m"),)/12,)-1,)*Index!AD$22*(AH$15&gt;$I168)*(1-AH$12)</f>
        <v>0</v>
      </c>
      <c r="AI168" s="747">
        <f>$G168*$H168*(1+$K168)^MAX(ROUNDUP(IFERROR(DATEDIF($I150-1,AI$15+1,"m"),)/12,)-1,)*Index!AE$22*(AI$15&gt;$I168)*(1-AI$12)</f>
        <v>0</v>
      </c>
      <c r="AJ168" s="747">
        <f>$G168*$H168*(1+$K168)^MAX(ROUNDUP(IFERROR(DATEDIF($I150-1,AJ$15+1,"m"),)/12,)-1,)*Index!AF$22*(AJ$15&gt;$I168)*(1-AJ$12)</f>
        <v>0</v>
      </c>
      <c r="AK168" s="747">
        <f>$G168*$H168*(1+$K168)^MAX(ROUNDUP(IFERROR(DATEDIF($I150-1,AK$15+1,"m"),)/12,)-1,)*Index!AG$22*(AK$15&gt;$I168)*(1-AK$12)</f>
        <v>0</v>
      </c>
      <c r="AL168" s="747">
        <f>$G168*$H168*(1+$K168)^MAX(ROUNDUP(IFERROR(DATEDIF($I150-1,AL$15+1,"m"),)/12,)-1,)*Index!AH$22*(AL$15&gt;$I168)*(1-AL$12)</f>
        <v>0</v>
      </c>
      <c r="AM168" s="747">
        <f>$G168*$H168*(1+$K168)^MAX(ROUNDUP(IFERROR(DATEDIF($I150-1,AM$15+1,"m"),)/12,)-1,)*Index!AI$22*(AM$15&gt;$I168)*(1-AM$12)</f>
        <v>0</v>
      </c>
      <c r="AN168" s="747">
        <f>$G168*$H168*(1+$K168)^MAX(ROUNDUP(IFERROR(DATEDIF($I150-1,AN$15+1,"m"),)/12,)-1,)*Index!AJ$22*(AN$15&gt;$I168)*(1-AN$12)</f>
        <v>0</v>
      </c>
      <c r="AO168" s="747">
        <f>$G168*$H168*(1+$K168)^MAX(ROUNDUP(IFERROR(DATEDIF($I150-1,AO$15+1,"m"),)/12,)-1,)*Index!AK$22*(AO$15&gt;$I168)*(1-AO$12)</f>
        <v>0</v>
      </c>
      <c r="AP168" s="747">
        <f>$G168*$H168*(1+$K168)^MAX(ROUNDUP(IFERROR(DATEDIF($I150-1,AP$15+1,"m"),)/12,)-1,)*Index!AL$22*(AP$15&gt;$I168)*(1-AP$12)</f>
        <v>0</v>
      </c>
      <c r="AQ168" s="747">
        <f>$G168*$H168*(1+$K168)^MAX(ROUNDUP(IFERROR(DATEDIF($I150-1,AQ$15+1,"m"),)/12,)-1,)*Index!AM$22*(AQ$15&gt;$I168)*(1-AQ$12)</f>
        <v>0</v>
      </c>
      <c r="AR168" s="747">
        <f>$G168*$H168*(1+$K168)^MAX(ROUNDUP(IFERROR(DATEDIF($I150-1,AR$15+1,"m"),)/12,)-1,)*Index!AN$22*(AR$15&gt;$I168)*(1-AR$12)</f>
        <v>0</v>
      </c>
      <c r="AS168" s="747">
        <f>$G168*$H168*(1+$K168)^MAX(ROUNDUP(IFERROR(DATEDIF($I150-1,AS$15+1,"m"),)/12,)-1,)*Index!AO$22*(AS$15&gt;$I168)*(1-AS$12)</f>
        <v>0</v>
      </c>
      <c r="AT168" s="747">
        <f>$G168*$H168*(1+$K168)^MAX(ROUNDUP(IFERROR(DATEDIF($I150-1,AT$15+1,"m"),)/12,)-1,)*Index!AP$22*(AT$15&gt;$I168)*(1-AT$12)</f>
        <v>0</v>
      </c>
      <c r="AU168" s="747">
        <f>$G168*$H168*(1+$K168)^MAX(ROUNDUP(IFERROR(DATEDIF($I150-1,AU$15+1,"m"),)/12,)-1,)*Index!AQ$22*(AU$15&gt;$I168)*(1-AU$12)</f>
        <v>0</v>
      </c>
      <c r="AV168" s="747">
        <f>$G168*$H168*(1+$K168)^MAX(ROUNDUP(IFERROR(DATEDIF($I150-1,AV$15+1,"m"),)/12,)-1,)*Index!AR$22*(AV$15&gt;$I168)*(1-AV$12)</f>
        <v>0</v>
      </c>
      <c r="AW168" s="747">
        <f>$G168*$H168*(1+$K168)^MAX(ROUNDUP(IFERROR(DATEDIF($I150-1,AW$15+1,"m"),)/12,)-1,)*Index!AS$22*(AW$15&gt;$I168)*(1-AW$12)</f>
        <v>0</v>
      </c>
      <c r="AX168" s="747">
        <f>$G168*$H168*(1+$K168)^MAX(ROUNDUP(IFERROR(DATEDIF($I150-1,AX$15+1,"m"),)/12,)-1,)*Index!AT$22*(AX$15&gt;$I168)*(1-AX$12)</f>
        <v>0</v>
      </c>
      <c r="AY168" s="747">
        <f>$G168*$H168*(1+$K168)^MAX(ROUNDUP(IFERROR(DATEDIF($I150-1,AY$15+1,"m"),)/12,)-1,)*Index!AU$22*(AY$15&gt;$I168)*(1-AY$12)</f>
        <v>0</v>
      </c>
      <c r="AZ168" s="747">
        <f>$G168*$H168*(1+$K168)^MAX(ROUNDUP(IFERROR(DATEDIF($I150-1,AZ$15+1,"m"),)/12,)-1,)*Index!AV$22*(AZ$15&gt;$I168)*(1-AZ$12)</f>
        <v>0</v>
      </c>
      <c r="BA168" s="747">
        <f>$G168*$H168*(1+$K168)^MAX(ROUNDUP(IFERROR(DATEDIF($I150-1,BA$15+1,"m"),)/12,)-1,)*Index!AW$22*(BA$15&gt;$I168)*(1-BA$12)</f>
        <v>0</v>
      </c>
      <c r="BB168" s="747">
        <f>$G168*$H168*(1+$K168)^MAX(ROUNDUP(IFERROR(DATEDIF($I150-1,BB$15+1,"m"),)/12,)-1,)*Index!AX$22*(BB$15&gt;$I168)*(1-BB$12)</f>
        <v>0</v>
      </c>
      <c r="BC168" s="747">
        <f>$G168*$H168*(1+$K168)^MAX(ROUNDUP(IFERROR(DATEDIF($I150-1,BC$15+1,"m"),)/12,)-1,)*Index!AY$22*(BC$15&gt;$I168)*(1-BC$12)</f>
        <v>0</v>
      </c>
      <c r="BD168" s="747">
        <f>$G168*$H168*(1+$K168)^MAX(ROUNDUP(IFERROR(DATEDIF($I150-1,BD$15+1,"m"),)/12,)-1,)*Index!AZ$22*(BD$15&gt;$I168)*(1-BD$12)</f>
        <v>0</v>
      </c>
      <c r="BE168" s="747">
        <f>$G168*$H168*(1+$K168)^MAX(ROUNDUP(IFERROR(DATEDIF($I150-1,BE$15+1,"m"),)/12,)-1,)*Index!BA$22*(BE$15&gt;$I168)*(1-BE$12)</f>
        <v>0</v>
      </c>
      <c r="BF168" s="747">
        <f>$G168*$H168*(1+$K168)^MAX(ROUNDUP(IFERROR(DATEDIF($I150-1,BF$15+1,"m"),)/12,)-1,)*Index!BB$22*(BF$15&gt;$I168)*(1-BF$12)</f>
        <v>0</v>
      </c>
      <c r="BG168" s="747">
        <f>$G168*$H168*(1+$K168)^MAX(ROUNDUP(IFERROR(DATEDIF($I150-1,BG$15+1,"m"),)/12,)-1,)*Index!BC$22*(BG$15&gt;$I168)*(1-BG$12)</f>
        <v>0</v>
      </c>
      <c r="BH168" s="747">
        <f>$G168*$H168*(1+$K168)^MAX(ROUNDUP(IFERROR(DATEDIF($I150-1,BH$15+1,"m"),)/12,)-1,)*Index!BD$22*(BH$15&gt;$I168)*(1-BH$12)</f>
        <v>0</v>
      </c>
      <c r="BI168" s="747">
        <f>$G168*$H168*(1+$K168)^MAX(ROUNDUP(IFERROR(DATEDIF($I150-1,BI$15+1,"m"),)/12,)-1,)*Index!BE$22*(BI$15&gt;$I168)*(1-BI$12)</f>
        <v>0</v>
      </c>
      <c r="BJ168" s="747">
        <f>$G168*$H168*(1+$K168)^MAX(ROUNDUP(IFERROR(DATEDIF($I150-1,BJ$15+1,"m"),)/12,)-1,)*Index!BF$22*(BJ$15&gt;$I168)*(1-BJ$12)</f>
        <v>0</v>
      </c>
      <c r="BK168" s="747">
        <f>$G168*$H168*(1+$K168)^MAX(ROUNDUP(IFERROR(DATEDIF($I150-1,BK$15+1,"m"),)/12,)-1,)*Index!BG$22*(BK$15&gt;$I168)*(1-BK$12)</f>
        <v>0</v>
      </c>
      <c r="BL168" s="747">
        <f>$G168*$H168*(1+$K168)^MAX(ROUNDUP(IFERROR(DATEDIF($I150-1,BL$15+1,"m"),)/12,)-1,)*Index!BH$22*(BL$15&gt;$I168)*(1-BL$12)</f>
        <v>0</v>
      </c>
      <c r="BM168" s="747">
        <f>$G168*$H168*(1+$K168)^MAX(ROUNDUP(IFERROR(DATEDIF($I150-1,BM$15+1,"m"),)/12,)-1,)*Index!BI$22*(BM$15&gt;$I168)*(1-BM$12)</f>
        <v>0</v>
      </c>
      <c r="BN168" s="747">
        <f>$G168*$H168*(1+$K168)^MAX(ROUNDUP(IFERROR(DATEDIF($I150-1,BN$15+1,"m"),)/12,)-1,)*Index!BJ$22*(BN$15&gt;$I168)*(1-BN$12)</f>
        <v>0</v>
      </c>
      <c r="BO168" s="747">
        <f>$G168*$H168*(1+$K168)^MAX(ROUNDUP(IFERROR(DATEDIF($I150-1,BO$15+1,"m"),)/12,)-1,)*Index!BK$22*(BO$15&gt;$I168)*(1-BO$12)</f>
        <v>0</v>
      </c>
      <c r="BP168" s="747">
        <f>$G168*$H168*(1+$K168)^MAX(ROUNDUP(IFERROR(DATEDIF($I150-1,BP$15+1,"m"),)/12,)-1,)*Index!BL$22*(BP$15&gt;$I168)*(1-BP$12)</f>
        <v>0</v>
      </c>
      <c r="BQ168" s="747">
        <f>$G168*$H168*(1+$K168)^MAX(ROUNDUP(IFERROR(DATEDIF($I150-1,BQ$15+1,"m"),)/12,)-1,)*Index!BM$22*(BQ$15&gt;$I168)*(1-BQ$12)</f>
        <v>0</v>
      </c>
      <c r="BR168" s="747">
        <f>$G168*$H168*(1+$K168)^MAX(ROUNDUP(IFERROR(DATEDIF($I150-1,BR$15+1,"m"),)/12,)-1,)*Index!BN$22*(BR$15&gt;$I168)*(1-BR$12)</f>
        <v>0</v>
      </c>
      <c r="BS168" s="747">
        <f>$G168*$H168*(1+$K168)^MAX(ROUNDUP(IFERROR(DATEDIF($I150-1,BS$15+1,"m"),)/12,)-1,)*Index!BO$22*(BS$15&gt;$I168)*(1-BS$12)</f>
        <v>0</v>
      </c>
      <c r="BT168" s="747">
        <f>$G168*$H168*(1+$K168)^MAX(ROUNDUP(IFERROR(DATEDIF($I150-1,BT$15+1,"m"),)/12,)-1,)*Index!BP$22*(BT$15&gt;$I168)*(1-BT$12)</f>
        <v>0</v>
      </c>
      <c r="BU168" s="747">
        <f>$G168*$H168*(1+$K168)^MAX(ROUNDUP(IFERROR(DATEDIF($I150-1,BU$15+1,"m"),)/12,)-1,)*Index!BQ$22*(BU$15&gt;$I168)*(1-BU$12)</f>
        <v>0</v>
      </c>
      <c r="BV168" s="747">
        <f>$G168*$H168*(1+$K168)^MAX(ROUNDUP(IFERROR(DATEDIF($I150-1,BV$15+1,"m"),)/12,)-1,)*Index!BR$22*(BV$15&gt;$I168)*(1-BV$12)</f>
        <v>0</v>
      </c>
      <c r="BW168" s="747">
        <f>$G168*$H168*(1+$K168)^MAX(ROUNDUP(IFERROR(DATEDIF($I150-1,BW$15+1,"m"),)/12,)-1,)*Index!BS$22*(BW$15&gt;$I168)*(1-BW$12)</f>
        <v>0</v>
      </c>
      <c r="BX168" s="747">
        <f>$G168*$H168*(1+$K168)^MAX(ROUNDUP(IFERROR(DATEDIF($I150-1,BX$15+1,"m"),)/12,)-1,)*Index!BT$22*(BX$15&gt;$I168)*(1-BX$12)</f>
        <v>0</v>
      </c>
      <c r="BY168" s="747">
        <f>$G168*$H168*(1+$K168)^MAX(ROUNDUP(IFERROR(DATEDIF($I150-1,BY$15+1,"m"),)/12,)-1,)*Index!BU$22*(BY$15&gt;$I168)*(1-BY$12)</f>
        <v>0</v>
      </c>
      <c r="BZ168" s="747">
        <f>$G168*$H168*(1+$K168)^MAX(ROUNDUP(IFERROR(DATEDIF($I150-1,BZ$15+1,"m"),)/12,)-1,)*Index!BV$22*(BZ$15&gt;$I168)*(1-BZ$12)</f>
        <v>0</v>
      </c>
      <c r="CA168" s="747">
        <f>$G168*$H168*(1+$K168)^MAX(ROUNDUP(IFERROR(DATEDIF($I150-1,CA$15+1,"m"),)/12,)-1,)*Index!BW$22*(CA$15&gt;$I168)*(1-CA$12)</f>
        <v>0</v>
      </c>
      <c r="CB168" s="747">
        <f>$G168*$H168*(1+$K168)^MAX(ROUNDUP(IFERROR(DATEDIF($I150-1,CB$15+1,"m"),)/12,)-1,)*Index!BX$22*(CB$15&gt;$I168)*(1-CB$12)</f>
        <v>0</v>
      </c>
      <c r="CC168" s="747">
        <f>$G168*$H168*(1+$K168)^MAX(ROUNDUP(IFERROR(DATEDIF($I150-1,CC$15+1,"m"),)/12,)-1,)*Index!BY$22*(CC$15&gt;$I168)*(1-CC$12)</f>
        <v>0</v>
      </c>
      <c r="CD168" s="747">
        <f>$G168*$H168*(1+$K168)^MAX(ROUNDUP(IFERROR(DATEDIF($I150-1,CD$15+1,"m"),)/12,)-1,)*Index!BZ$22*(CD$15&gt;$I168)*(1-CD$12)</f>
        <v>0</v>
      </c>
      <c r="CE168" s="747">
        <f>$G168*$H168*(1+$K168)^MAX(ROUNDUP(IFERROR(DATEDIF($I150-1,CE$15+1,"m"),)/12,)-1,)*Index!CA$22*(CE$15&gt;$I168)*(1-CE$12)</f>
        <v>0</v>
      </c>
      <c r="CF168" s="747">
        <f>$G168*$H168*(1+$K168)^MAX(ROUNDUP(IFERROR(DATEDIF($I150-1,CF$15+1,"m"),)/12,)-1,)*Index!CB$22*(CF$15&gt;$I168)*(1-CF$12)</f>
        <v>0</v>
      </c>
      <c r="CG168" s="747">
        <f>$G168*$H168*(1+$K168)^MAX(ROUNDUP(IFERROR(DATEDIF($I150-1,CG$15+1,"m"),)/12,)-1,)*Index!CC$22*(CG$15&gt;$I168)*(1-CG$12)</f>
        <v>0</v>
      </c>
      <c r="CH168" s="747">
        <f>$G168*$H168*(1+$K168)^MAX(ROUNDUP(IFERROR(DATEDIF($I150-1,CH$15+1,"m"),)/12,)-1,)*Index!CD$22*(CH$15&gt;$I168)*(1-CH$12)</f>
        <v>0</v>
      </c>
      <c r="CI168" s="747">
        <f>$G168*$H168*(1+$K168)^MAX(ROUNDUP(IFERROR(DATEDIF($I150-1,CI$15+1,"m"),)/12,)-1,)*Index!CE$22*(CI$15&gt;$I168)*(1-CI$12)</f>
        <v>0</v>
      </c>
      <c r="CJ168" s="747">
        <f>$G168*$H168*(1+$K168)^MAX(ROUNDUP(IFERROR(DATEDIF($I150-1,CJ$15+1,"m"),)/12,)-1,)*Index!CF$22*(CJ$15&gt;$I168)*(1-CJ$12)</f>
        <v>0</v>
      </c>
      <c r="CK168" s="747">
        <f>$G168*$H168*(1+$K168)^MAX(ROUNDUP(IFERROR(DATEDIF($I150-1,CK$15+1,"m"),)/12,)-1,)*Index!CG$22*(CK$15&gt;$I168)*(1-CK$12)</f>
        <v>0</v>
      </c>
      <c r="CL168" s="747">
        <f>$G168*$H168*(1+$K168)^MAX(ROUNDUP(IFERROR(DATEDIF($I150-1,CL$15+1,"m"),)/12,)-1,)*Index!CH$22*(CL$15&gt;$I168)*(1-CL$12)</f>
        <v>0</v>
      </c>
      <c r="CM168" s="747">
        <f>$G168*$H168*(1+$K168)^MAX(ROUNDUP(IFERROR(DATEDIF($I150-1,CM$15+1,"m"),)/12,)-1,)*Index!CI$22*(CM$15&gt;$I168)*(1-CM$12)</f>
        <v>0</v>
      </c>
      <c r="CN168" s="747">
        <f>$G168*$H168*(1+$K168)^MAX(ROUNDUP(IFERROR(DATEDIF($I150-1,CN$15+1,"m"),)/12,)-1,)*Index!CJ$22*(CN$15&gt;$I168)*(1-CN$12)</f>
        <v>0</v>
      </c>
      <c r="CO168" s="747">
        <f>$G168*$H168*(1+$K168)^MAX(ROUNDUP(IFERROR(DATEDIF($I150-1,CO$15+1,"m"),)/12,)-1,)*Index!CK$22*(CO$15&gt;$I168)*(1-CO$12)</f>
        <v>0</v>
      </c>
      <c r="CP168" s="747">
        <f>$G168*$H168*(1+$K168)^MAX(ROUNDUP(IFERROR(DATEDIF($I150-1,CP$15+1,"m"),)/12,)-1,)*Index!CL$22*(CP$15&gt;$I168)*(1-CP$12)</f>
        <v>0</v>
      </c>
      <c r="CQ168" s="747">
        <f>$G168*$H168*(1+$K168)^MAX(ROUNDUP(IFERROR(DATEDIF($I150-1,CQ$15+1,"m"),)/12,)-1,)*Index!CM$22*(CQ$15&gt;$I168)*(1-CQ$12)</f>
        <v>0</v>
      </c>
      <c r="CR168" s="747">
        <f>$G168*$H168*(1+$K168)^MAX(ROUNDUP(IFERROR(DATEDIF($I150-1,CR$15+1,"m"),)/12,)-1,)*Index!CN$22*(CR$15&gt;$I168)*(1-CR$12)</f>
        <v>0</v>
      </c>
      <c r="CS168" s="747">
        <f>$G168*$H168*(1+$K168)^MAX(ROUNDUP(IFERROR(DATEDIF($I150-1,CS$15+1,"m"),)/12,)-1,)*Index!CO$22*(CS$15&gt;$I168)*(1-CS$12)</f>
        <v>0</v>
      </c>
      <c r="CT168" s="747">
        <f>$G168*$H168*(1+$K168)^MAX(ROUNDUP(IFERROR(DATEDIF($I150-1,CT$15+1,"m"),)/12,)-1,)*Index!CP$22*(CT$15&gt;$I168)*(1-CT$12)</f>
        <v>0</v>
      </c>
      <c r="CU168" s="747">
        <f>$G168*$H168*(1+$K168)^MAX(ROUNDUP(IFERROR(DATEDIF($I150-1,CU$15+1,"m"),)/12,)-1,)*Index!CQ$22*(CU$15&gt;$I168)*(1-CU$12)</f>
        <v>0</v>
      </c>
      <c r="CV168" s="747">
        <f>$G168*$H168*(1+$K168)^MAX(ROUNDUP(IFERROR(DATEDIF($I150-1,CV$15+1,"m"),)/12,)-1,)*Index!CR$22*(CV$15&gt;$I168)*(1-CV$12)</f>
        <v>0</v>
      </c>
      <c r="CW168" s="747">
        <f>$G168*$H168*(1+$K168)^MAX(ROUNDUP(IFERROR(DATEDIF($I150-1,CW$15+1,"m"),)/12,)-1,)*Index!CS$22*(CW$15&gt;$I168)*(1-CW$12)</f>
        <v>0</v>
      </c>
      <c r="CX168" s="747">
        <f>$G168*$H168*(1+$K168)^MAX(ROUNDUP(IFERROR(DATEDIF($I150-1,CX$15+1,"m"),)/12,)-1,)*Index!CT$22*(CX$15&gt;$I168)*(1-CX$12)</f>
        <v>0</v>
      </c>
      <c r="CY168" s="747">
        <f>$G168*$H168*(1+$K168)^MAX(ROUNDUP(IFERROR(DATEDIF($I150-1,CY$15+1,"m"),)/12,)-1,)*Index!CU$22*(CY$15&gt;$I168)*(1-CY$12)</f>
        <v>0</v>
      </c>
      <c r="CZ168" s="747">
        <f>$G168*$H168*(1+$K168)^MAX(ROUNDUP(IFERROR(DATEDIF($I150-1,CZ$15+1,"m"),)/12,)-1,)*Index!CV$22*(CZ$15&gt;$I168)*(1-CZ$12)</f>
        <v>0</v>
      </c>
      <c r="DA168" s="747">
        <f>$G168*$H168*(1+$K168)^MAX(ROUNDUP(IFERROR(DATEDIF($I150-1,DA$15+1,"m"),)/12,)-1,)*Index!CW$22*(DA$15&gt;$I168)*(1-DA$12)</f>
        <v>0</v>
      </c>
      <c r="DB168" s="747">
        <f>$G168*$H168*(1+$K168)^MAX(ROUNDUP(IFERROR(DATEDIF($I150-1,DB$15+1,"m"),)/12,)-1,)*Index!CX$22*(DB$15&gt;$I168)*(1-DB$12)</f>
        <v>0</v>
      </c>
      <c r="DC168" s="747">
        <f>$G168*$H168*(1+$K168)^MAX(ROUNDUP(IFERROR(DATEDIF($I150-1,DC$15+1,"m"),)/12,)-1,)*Index!CY$22*(DC$15&gt;$I168)*(1-DC$12)</f>
        <v>8365.2489575979525</v>
      </c>
      <c r="DD168" s="747">
        <f>$G168*$H168*(1+$K168)^MAX(ROUNDUP(IFERROR(DATEDIF($I150-1,DD$15+1,"m"),)/12,)-1,)*Index!CZ$22*(DD$15&gt;$I168)*(1-DD$12)</f>
        <v>8365.2489575979525</v>
      </c>
      <c r="DE168" s="747">
        <f>$G168*$H168*(1+$K168)^MAX(ROUNDUP(IFERROR(DATEDIF($I150-1,DE$15+1,"m"),)/12,)-1,)*Index!DA$22*(DE$15&gt;$I168)*(1-DE$12)</f>
        <v>8365.2489575979525</v>
      </c>
      <c r="DF168" s="747">
        <f>$G168*$H168*(1+$K168)^MAX(ROUNDUP(IFERROR(DATEDIF($I150-1,DF$15+1,"m"),)/12,)-1,)*Index!DB$22*(DF$15&gt;$I168)*(1-DF$12)</f>
        <v>8365.2489575979525</v>
      </c>
      <c r="DG168" s="747">
        <f>$G168*$H168*(1+$K168)^MAX(ROUNDUP(IFERROR(DATEDIF($I150-1,DG$15+1,"m"),)/12,)-1,)*Index!DC$22*(DG$15&gt;$I168)*(1-DG$12)</f>
        <v>8365.2489575979525</v>
      </c>
      <c r="DH168" s="747">
        <f>$G168*$H168*(1+$K168)^MAX(ROUNDUP(IFERROR(DATEDIF($I150-1,DH$15+1,"m"),)/12,)-1,)*Index!DD$22*(DH$15&gt;$I168)*(1-DH$12)</f>
        <v>8365.2489575979525</v>
      </c>
      <c r="DI168" s="747">
        <f>$G168*$H168*(1+$K168)^MAX(ROUNDUP(IFERROR(DATEDIF($I150-1,DI$15+1,"m"),)/12,)-1,)*Index!DE$22*(DI$15&gt;$I168)*(1-DI$12)</f>
        <v>8365.2489575979525</v>
      </c>
      <c r="DJ168" s="747">
        <f>$G168*$H168*(1+$K168)^MAX(ROUNDUP(IFERROR(DATEDIF($I150-1,DJ$15+1,"m"),)/12,)-1,)*Index!DF$22*(DJ$15&gt;$I168)*(1-DJ$12)</f>
        <v>8365.2489575979525</v>
      </c>
      <c r="DK168" s="747">
        <f>$G168*$H168*(1+$K168)^MAX(ROUNDUP(IFERROR(DATEDIF($I150-1,DK$15+1,"m"),)/12,)-1,)*Index!DG$22*(DK$15&gt;$I168)*(1-DK$12)</f>
        <v>8365.2489575979525</v>
      </c>
      <c r="DL168" s="747">
        <f>$G168*$H168*(1+$K168)^MAX(ROUNDUP(IFERROR(DATEDIF($I150-1,DL$15+1,"m"),)/12,)-1,)*Index!DH$22*(DL$15&gt;$I168)*(1-DL$12)</f>
        <v>8574.3801815379011</v>
      </c>
      <c r="DM168" s="747">
        <f>$G168*$H168*(1+$K168)^MAX(ROUNDUP(IFERROR(DATEDIF($I150-1,DM$15+1,"m"),)/12,)-1,)*Index!DI$22*(DM$15&gt;$I168)*(1-DM$12)</f>
        <v>8574.3801815379011</v>
      </c>
      <c r="DN168" s="747">
        <f>$G168*$H168*(1+$K168)^MAX(ROUNDUP(IFERROR(DATEDIF($I150-1,DN$15+1,"m"),)/12,)-1,)*Index!DJ$22*(DN$15&gt;$I168)*(1-DN$12)</f>
        <v>8574.3801815379011</v>
      </c>
      <c r="DO168" s="747">
        <f>$G168*$H168*(1+$K168)^MAX(ROUNDUP(IFERROR(DATEDIF($I150-1,DO$15+1,"m"),)/12,)-1,)*Index!DK$22*(DO$15&gt;$I168)*(1-DO$12)</f>
        <v>8574.3801815379011</v>
      </c>
      <c r="DP168" s="747">
        <f>$G168*$H168*(1+$K168)^MAX(ROUNDUP(IFERROR(DATEDIF($I150-1,DP$15+1,"m"),)/12,)-1,)*Index!DL$22*(DP$15&gt;$I168)*(1-DP$12)</f>
        <v>8574.3801815379011</v>
      </c>
      <c r="DQ168" s="747">
        <f>$G168*$H168*(1+$K168)^MAX(ROUNDUP(IFERROR(DATEDIF($I150-1,DQ$15+1,"m"),)/12,)-1,)*Index!DM$22*(DQ$15&gt;$I168)*(1-DQ$12)</f>
        <v>8574.3801815379011</v>
      </c>
      <c r="DR168" s="747">
        <f>$G168*$H168*(1+$K168)^MAX(ROUNDUP(IFERROR(DATEDIF($I150-1,DR$15+1,"m"),)/12,)-1,)*Index!DN$22*(DR$15&gt;$I168)*(1-DR$12)</f>
        <v>8574.3801815379011</v>
      </c>
      <c r="DS168" s="747">
        <f>$G168*$H168*(1+$K168)^MAX(ROUNDUP(IFERROR(DATEDIF($I150-1,DS$15+1,"m"),)/12,)-1,)*Index!DO$22*(DS$15&gt;$I168)*(1-DS$12)</f>
        <v>8574.3801815379011</v>
      </c>
      <c r="DT168" s="747">
        <f>$G168*$H168*(1+$K168)^MAX(ROUNDUP(IFERROR(DATEDIF($I150-1,DT$15+1,"m"),)/12,)-1,)*Index!DP$22*(DT$15&gt;$I168)*(1-DT$12)</f>
        <v>8574.3801815379011</v>
      </c>
      <c r="DU168" s="747">
        <f>$G168*$H168*(1+$K168)^MAX(ROUNDUP(IFERROR(DATEDIF($I150-1,DU$15+1,"m"),)/12,)-1,)*Index!DQ$22*(DU$15&gt;$I168)*(1-DU$12)</f>
        <v>8574.3801815379011</v>
      </c>
      <c r="DV168" s="747">
        <f>$G168*$H168*(1+$K168)^MAX(ROUNDUP(IFERROR(DATEDIF($I150-1,DV$15+1,"m"),)/12,)-1,)*Index!DR$22*(DV$15&gt;$I168)*(1-DV$12)</f>
        <v>8574.3801815379011</v>
      </c>
      <c r="DW168" s="747">
        <f>$G168*$H168*(1+$K168)^MAX(ROUNDUP(IFERROR(DATEDIF($I150-1,DW$15+1,"m"),)/12,)-1,)*Index!DS$22*(DW$15&gt;$I168)*(1-DW$12)</f>
        <v>8574.3801815379011</v>
      </c>
      <c r="DX168" s="747">
        <f>$G168*$H168*(1+$K168)^MAX(ROUNDUP(IFERROR(DATEDIF($I150-1,DX$15+1,"m"),)/12,)-1,)*Index!DT$22*(DX$15&gt;$I168)*(1-DX$12)</f>
        <v>8788.7396860763474</v>
      </c>
      <c r="DY168" s="747">
        <f>$G168*$H168*(1+$K168)^MAX(ROUNDUP(IFERROR(DATEDIF($I150-1,DY$15+1,"m"),)/12,)-1,)*Index!DU$22*(DY$15&gt;$I168)*(1-DY$12)</f>
        <v>8788.7396860763474</v>
      </c>
      <c r="DZ168" s="747">
        <f>$G168*$H168*(1+$K168)^MAX(ROUNDUP(IFERROR(DATEDIF($I150-1,DZ$15+1,"m"),)/12,)-1,)*Index!DV$22*(DZ$15&gt;$I168)*(1-DZ$12)</f>
        <v>8788.7396860763474</v>
      </c>
      <c r="EA168" s="747">
        <f>$G168*$H168*(1+$K168)^MAX(ROUNDUP(IFERROR(DATEDIF($I150-1,EA$15+1,"m"),)/12,)-1,)*Index!DW$22*(EA$15&gt;$I168)*(1-EA$12)</f>
        <v>8788.7396860763474</v>
      </c>
      <c r="EB168" s="747">
        <f>$G168*$H168*(1+$K168)^MAX(ROUNDUP(IFERROR(DATEDIF($I150-1,EB$15+1,"m"),)/12,)-1,)*Index!DX$22*(EB$15&gt;$I168)*(1-EB$12)</f>
        <v>8788.7396860763474</v>
      </c>
      <c r="EC168" s="747">
        <f>$G168*$H168*(1+$K168)^MAX(ROUNDUP(IFERROR(DATEDIF($I150-1,EC$15+1,"m"),)/12,)-1,)*Index!DY$22*(EC$15&gt;$I168)*(1-EC$12)</f>
        <v>8788.7396860763474</v>
      </c>
      <c r="ED168" s="747">
        <f>$G168*$H168*(1+$K168)^MAX(ROUNDUP(IFERROR(DATEDIF($I150-1,ED$15+1,"m"),)/12,)-1,)*Index!DZ$22*(ED$15&gt;$I168)*(1-ED$12)</f>
        <v>8788.7396860763474</v>
      </c>
      <c r="EE168" s="747">
        <f>$G168*$H168*(1+$K168)^MAX(ROUNDUP(IFERROR(DATEDIF($I150-1,EE$15+1,"m"),)/12,)-1,)*Index!EA$22*(EE$15&gt;$I168)*(1-EE$12)</f>
        <v>8788.7396860763474</v>
      </c>
      <c r="EF168" s="747">
        <f>$G168*$H168*(1+$K168)^MAX(ROUNDUP(IFERROR(DATEDIF($I150-1,EF$15+1,"m"),)/12,)-1,)*Index!EB$22*(EF$15&gt;$I168)*(1-EF$12)</f>
        <v>8788.7396860763474</v>
      </c>
      <c r="EG168" s="747">
        <f>$G168*$H168*(1+$K168)^MAX(ROUNDUP(IFERROR(DATEDIF($I150-1,EG$15+1,"m"),)/12,)-1,)*Index!EC$22*(EG$15&gt;$I168)*(1-EG$12)</f>
        <v>0</v>
      </c>
      <c r="EH168" s="747">
        <f>$G168*$H168*(1+$K168)^MAX(ROUNDUP(IFERROR(DATEDIF($I150-1,EH$15+1,"m"),)/12,)-1,)*Index!ED$22*(EH$15&gt;$I168)*(1-EH$12)</f>
        <v>0</v>
      </c>
      <c r="EI168" s="747">
        <f>$G168*$H168*(1+$K168)^MAX(ROUNDUP(IFERROR(DATEDIF($I150-1,EI$15+1,"m"),)/12,)-1,)*Index!EE$22*(EI$15&gt;$I168)*(1-EI$12)</f>
        <v>0</v>
      </c>
      <c r="EJ168" s="747">
        <f>$G168*$H168*(1+$K168)^MAX(ROUNDUP(IFERROR(DATEDIF($I150-1,EJ$15+1,"m"),)/12,)-1,)*Index!EF$22*(EJ$15&gt;$I168)*(1-EJ$12)</f>
        <v>0</v>
      </c>
      <c r="EK168" s="747">
        <f>$G168*$H168*(1+$K168)^MAX(ROUNDUP(IFERROR(DATEDIF($I150-1,EK$15+1,"m"),)/12,)-1,)*Index!EG$22*(EK$15&gt;$I168)*(1-EK$12)</f>
        <v>0</v>
      </c>
      <c r="EL168" s="747">
        <f>$G168*$H168*(1+$K168)^MAX(ROUNDUP(IFERROR(DATEDIF($I150-1,EL$15+1,"m"),)/12,)-1,)*Index!EH$22*(EL$15&gt;$I168)*(1-EL$12)</f>
        <v>0</v>
      </c>
      <c r="EM168" s="747">
        <f>$G168*$H168*(1+$K168)^MAX(ROUNDUP(IFERROR(DATEDIF($I150-1,EM$15+1,"m"),)/12,)-1,)*Index!EI$22*(EM$15&gt;$I168)*(1-EM$12)</f>
        <v>0</v>
      </c>
      <c r="EN168" s="747">
        <f>$G168*$H168*(1+$K168)^MAX(ROUNDUP(IFERROR(DATEDIF($I150-1,EN$15+1,"m"),)/12,)-1,)*Index!EJ$22*(EN$15&gt;$I168)*(1-EN$12)</f>
        <v>0</v>
      </c>
      <c r="EO168" s="747">
        <f>$G168*$H168*(1+$K168)^MAX(ROUNDUP(IFERROR(DATEDIF($I150-1,EO$15+1,"m"),)/12,)-1,)*Index!EK$22*(EO$15&gt;$I168)*(1-EO$12)</f>
        <v>0</v>
      </c>
      <c r="EP168" s="747">
        <f>$G168*$H168*(1+$K168)^MAX(ROUNDUP(IFERROR(DATEDIF($I150-1,EP$15+1,"m"),)/12,)-1,)*Index!EL$22*(EP$15&gt;$I168)*(1-EP$12)</f>
        <v>0</v>
      </c>
      <c r="EQ168" s="747">
        <f>$G168*$H168*(1+$K168)^MAX(ROUNDUP(IFERROR(DATEDIF($I150-1,EQ$15+1,"m"),)/12,)-1,)*Index!EM$22*(EQ$15&gt;$I168)*(1-EQ$12)</f>
        <v>0</v>
      </c>
      <c r="ER168" s="747">
        <f>$G168*$H168*(1+$K168)^MAX(ROUNDUP(IFERROR(DATEDIF($I150-1,ER$15+1,"m"),)/12,)-1,)*Index!EN$22*(ER$15&gt;$I168)*(1-ER$12)</f>
        <v>0</v>
      </c>
      <c r="ES168" s="747">
        <f>$G168*$H168*(1+$K168)^MAX(ROUNDUP(IFERROR(DATEDIF($I150-1,ES$15+1,"m"),)/12,)-1,)*Index!EO$22*(ES$15&gt;$I168)*(1-ES$12)</f>
        <v>0</v>
      </c>
      <c r="ET168" s="747">
        <f>$G168*$H168*(1+$K168)^MAX(ROUNDUP(IFERROR(DATEDIF($I150-1,ET$15+1,"m"),)/12,)-1,)*Index!EP$22*(ET$15&gt;$I168)*(1-ET$12)</f>
        <v>0</v>
      </c>
      <c r="EU168" s="747">
        <f>$G168*$H168*(1+$K168)^MAX(ROUNDUP(IFERROR(DATEDIF($I150-1,EU$15+1,"m"),)/12,)-1,)*Index!EQ$22*(EU$15&gt;$I168)*(1-EU$12)</f>
        <v>0</v>
      </c>
    </row>
    <row r="169" spans="3:151" ht="11.25" customHeight="1">
      <c r="C169" s="735"/>
      <c r="D169" s="743">
        <f t="shared" si="243"/>
        <v>4</v>
      </c>
      <c r="E169" s="704" t="str">
        <f t="shared" si="243"/>
        <v>쿠팡</v>
      </c>
      <c r="F169" s="704" t="str">
        <f t="shared" si="243"/>
        <v>상온창고</v>
      </c>
      <c r="G169" s="781" cm="1">
        <f t="array" ref="G169">SUMPRODUCT(($E169='A&amp;R'!$V$26:$V$32)*('A&amp;R'!$AC$26:$AC$32))/1000</f>
        <v>2.9900433370455741</v>
      </c>
      <c r="H169" s="744">
        <f t="shared" si="244"/>
        <v>2185.56</v>
      </c>
      <c r="I169" s="745">
        <f t="shared" si="245"/>
        <v>49064</v>
      </c>
      <c r="J169" s="745"/>
      <c r="K169" s="754">
        <f t="shared" si="246"/>
        <v>2.5000000000000001E-2</v>
      </c>
      <c r="L169" s="746"/>
      <c r="M169" s="722"/>
      <c r="N169" s="747">
        <f t="shared" si="247"/>
        <v>256007.98778608849</v>
      </c>
      <c r="O169" s="733"/>
      <c r="P169" s="747">
        <f>$G169*$H169*(1+$K169)^MAX(ROUNDUP(IFERROR(DATEDIF($I151-1,P$15+1,"m"),)/12,)-1,)*Index!L$22*(P$15&gt;$I169)*(1-P$12)</f>
        <v>0</v>
      </c>
      <c r="Q169" s="747">
        <f>$G169*$H169*(1+$K169)^MAX(ROUNDUP(IFERROR(DATEDIF($I151-1,Q$15+1,"m"),)/12,)-1,)*Index!M$22*(Q$15&gt;$I169)*(1-Q$12)</f>
        <v>0</v>
      </c>
      <c r="R169" s="747">
        <f>$G169*$H169*(1+$K169)^MAX(ROUNDUP(IFERROR(DATEDIF($I151-1,R$15+1,"m"),)/12,)-1,)*Index!N$22*(R$15&gt;$I169)*(1-R$12)</f>
        <v>0</v>
      </c>
      <c r="S169" s="747">
        <f>$G169*$H169*(1+$K169)^MAX(ROUNDUP(IFERROR(DATEDIF($I151-1,S$15+1,"m"),)/12,)-1,)*Index!O$22*(S$15&gt;$I169)*(1-S$12)</f>
        <v>0</v>
      </c>
      <c r="T169" s="747">
        <f>$G169*$H169*(1+$K169)^MAX(ROUNDUP(IFERROR(DATEDIF($I151-1,T$15+1,"m"),)/12,)-1,)*Index!P$22*(T$15&gt;$I169)*(1-T$12)</f>
        <v>0</v>
      </c>
      <c r="U169" s="747">
        <f>$G169*$H169*(1+$K169)^MAX(ROUNDUP(IFERROR(DATEDIF($I151-1,U$15+1,"m"),)/12,)-1,)*Index!Q$22*(U$15&gt;$I169)*(1-U$12)</f>
        <v>0</v>
      </c>
      <c r="V169" s="747">
        <f>$G169*$H169*(1+$K169)^MAX(ROUNDUP(IFERROR(DATEDIF($I151-1,V$15+1,"m"),)/12,)-1,)*Index!R$22*(V$15&gt;$I169)*(1-V$12)</f>
        <v>0</v>
      </c>
      <c r="W169" s="747">
        <f>$G169*$H169*(1+$K169)^MAX(ROUNDUP(IFERROR(DATEDIF($I151-1,W$15+1,"m"),)/12,)-1,)*Index!S$22*(W$15&gt;$I169)*(1-W$12)</f>
        <v>0</v>
      </c>
      <c r="X169" s="747">
        <f>$G169*$H169*(1+$K169)^MAX(ROUNDUP(IFERROR(DATEDIF($I151-1,X$15+1,"m"),)/12,)-1,)*Index!T$22*(X$15&gt;$I169)*(1-X$12)</f>
        <v>0</v>
      </c>
      <c r="Y169" s="747">
        <f>$G169*$H169*(1+$K169)^MAX(ROUNDUP(IFERROR(DATEDIF($I151-1,Y$15+1,"m"),)/12,)-1,)*Index!U$22*(Y$15&gt;$I169)*(1-Y$12)</f>
        <v>0</v>
      </c>
      <c r="Z169" s="747">
        <f>$G169*$H169*(1+$K169)^MAX(ROUNDUP(IFERROR(DATEDIF($I151-1,Z$15+1,"m"),)/12,)-1,)*Index!V$22*(Z$15&gt;$I169)*(1-Z$12)</f>
        <v>0</v>
      </c>
      <c r="AA169" s="747">
        <f>$G169*$H169*(1+$K169)^MAX(ROUNDUP(IFERROR(DATEDIF($I151-1,AA$15+1,"m"),)/12,)-1,)*Index!W$22*(AA$15&gt;$I169)*(1-AA$12)</f>
        <v>0</v>
      </c>
      <c r="AB169" s="747">
        <f>$G169*$H169*(1+$K169)^MAX(ROUNDUP(IFERROR(DATEDIF($I151-1,AB$15+1,"m"),)/12,)-1,)*Index!X$22*(AB$15&gt;$I169)*(1-AB$12)</f>
        <v>0</v>
      </c>
      <c r="AC169" s="747">
        <f>$G169*$H169*(1+$K169)^MAX(ROUNDUP(IFERROR(DATEDIF($I151-1,AC$15+1,"m"),)/12,)-1,)*Index!Y$22*(AC$15&gt;$I169)*(1-AC$12)</f>
        <v>0</v>
      </c>
      <c r="AD169" s="747">
        <f>$G169*$H169*(1+$K169)^MAX(ROUNDUP(IFERROR(DATEDIF($I151-1,AD$15+1,"m"),)/12,)-1,)*Index!Z$22*(AD$15&gt;$I169)*(1-AD$12)</f>
        <v>0</v>
      </c>
      <c r="AE169" s="747">
        <f>$G169*$H169*(1+$K169)^MAX(ROUNDUP(IFERROR(DATEDIF($I151-1,AE$15+1,"m"),)/12,)-1,)*Index!AA$22*(AE$15&gt;$I169)*(1-AE$12)</f>
        <v>0</v>
      </c>
      <c r="AF169" s="747">
        <f>$G169*$H169*(1+$K169)^MAX(ROUNDUP(IFERROR(DATEDIF($I151-1,AF$15+1,"m"),)/12,)-1,)*Index!AB$22*(AF$15&gt;$I169)*(1-AF$12)</f>
        <v>0</v>
      </c>
      <c r="AG169" s="747">
        <f>$G169*$H169*(1+$K169)^MAX(ROUNDUP(IFERROR(DATEDIF($I151-1,AG$15+1,"m"),)/12,)-1,)*Index!AC$22*(AG$15&gt;$I169)*(1-AG$12)</f>
        <v>0</v>
      </c>
      <c r="AH169" s="747">
        <f>$G169*$H169*(1+$K169)^MAX(ROUNDUP(IFERROR(DATEDIF($I151-1,AH$15+1,"m"),)/12,)-1,)*Index!AD$22*(AH$15&gt;$I169)*(1-AH$12)</f>
        <v>0</v>
      </c>
      <c r="AI169" s="747">
        <f>$G169*$H169*(1+$K169)^MAX(ROUNDUP(IFERROR(DATEDIF($I151-1,AI$15+1,"m"),)/12,)-1,)*Index!AE$22*(AI$15&gt;$I169)*(1-AI$12)</f>
        <v>0</v>
      </c>
      <c r="AJ169" s="747">
        <f>$G169*$H169*(1+$K169)^MAX(ROUNDUP(IFERROR(DATEDIF($I151-1,AJ$15+1,"m"),)/12,)-1,)*Index!AF$22*(AJ$15&gt;$I169)*(1-AJ$12)</f>
        <v>0</v>
      </c>
      <c r="AK169" s="747">
        <f>$G169*$H169*(1+$K169)^MAX(ROUNDUP(IFERROR(DATEDIF($I151-1,AK$15+1,"m"),)/12,)-1,)*Index!AG$22*(AK$15&gt;$I169)*(1-AK$12)</f>
        <v>0</v>
      </c>
      <c r="AL169" s="747">
        <f>$G169*$H169*(1+$K169)^MAX(ROUNDUP(IFERROR(DATEDIF($I151-1,AL$15+1,"m"),)/12,)-1,)*Index!AH$22*(AL$15&gt;$I169)*(1-AL$12)</f>
        <v>0</v>
      </c>
      <c r="AM169" s="747">
        <f>$G169*$H169*(1+$K169)^MAX(ROUNDUP(IFERROR(DATEDIF($I151-1,AM$15+1,"m"),)/12,)-1,)*Index!AI$22*(AM$15&gt;$I169)*(1-AM$12)</f>
        <v>0</v>
      </c>
      <c r="AN169" s="747">
        <f>$G169*$H169*(1+$K169)^MAX(ROUNDUP(IFERROR(DATEDIF($I151-1,AN$15+1,"m"),)/12,)-1,)*Index!AJ$22*(AN$15&gt;$I169)*(1-AN$12)</f>
        <v>0</v>
      </c>
      <c r="AO169" s="747">
        <f>$G169*$H169*(1+$K169)^MAX(ROUNDUP(IFERROR(DATEDIF($I151-1,AO$15+1,"m"),)/12,)-1,)*Index!AK$22*(AO$15&gt;$I169)*(1-AO$12)</f>
        <v>0</v>
      </c>
      <c r="AP169" s="747">
        <f>$G169*$H169*(1+$K169)^MAX(ROUNDUP(IFERROR(DATEDIF($I151-1,AP$15+1,"m"),)/12,)-1,)*Index!AL$22*(AP$15&gt;$I169)*(1-AP$12)</f>
        <v>0</v>
      </c>
      <c r="AQ169" s="747">
        <f>$G169*$H169*(1+$K169)^MAX(ROUNDUP(IFERROR(DATEDIF($I151-1,AQ$15+1,"m"),)/12,)-1,)*Index!AM$22*(AQ$15&gt;$I169)*(1-AQ$12)</f>
        <v>0</v>
      </c>
      <c r="AR169" s="747">
        <f>$G169*$H169*(1+$K169)^MAX(ROUNDUP(IFERROR(DATEDIF($I151-1,AR$15+1,"m"),)/12,)-1,)*Index!AN$22*(AR$15&gt;$I169)*(1-AR$12)</f>
        <v>0</v>
      </c>
      <c r="AS169" s="747">
        <f>$G169*$H169*(1+$K169)^MAX(ROUNDUP(IFERROR(DATEDIF($I151-1,AS$15+1,"m"),)/12,)-1,)*Index!AO$22*(AS$15&gt;$I169)*(1-AS$12)</f>
        <v>0</v>
      </c>
      <c r="AT169" s="747">
        <f>$G169*$H169*(1+$K169)^MAX(ROUNDUP(IFERROR(DATEDIF($I151-1,AT$15+1,"m"),)/12,)-1,)*Index!AP$22*(AT$15&gt;$I169)*(1-AT$12)</f>
        <v>0</v>
      </c>
      <c r="AU169" s="747">
        <f>$G169*$H169*(1+$K169)^MAX(ROUNDUP(IFERROR(DATEDIF($I151-1,AU$15+1,"m"),)/12,)-1,)*Index!AQ$22*(AU$15&gt;$I169)*(1-AU$12)</f>
        <v>0</v>
      </c>
      <c r="AV169" s="747">
        <f>$G169*$H169*(1+$K169)^MAX(ROUNDUP(IFERROR(DATEDIF($I151-1,AV$15+1,"m"),)/12,)-1,)*Index!AR$22*(AV$15&gt;$I169)*(1-AV$12)</f>
        <v>0</v>
      </c>
      <c r="AW169" s="747">
        <f>$G169*$H169*(1+$K169)^MAX(ROUNDUP(IFERROR(DATEDIF($I151-1,AW$15+1,"m"),)/12,)-1,)*Index!AS$22*(AW$15&gt;$I169)*(1-AW$12)</f>
        <v>0</v>
      </c>
      <c r="AX169" s="747">
        <f>$G169*$H169*(1+$K169)^MAX(ROUNDUP(IFERROR(DATEDIF($I151-1,AX$15+1,"m"),)/12,)-1,)*Index!AT$22*(AX$15&gt;$I169)*(1-AX$12)</f>
        <v>0</v>
      </c>
      <c r="AY169" s="747">
        <f>$G169*$H169*(1+$K169)^MAX(ROUNDUP(IFERROR(DATEDIF($I151-1,AY$15+1,"m"),)/12,)-1,)*Index!AU$22*(AY$15&gt;$I169)*(1-AY$12)</f>
        <v>0</v>
      </c>
      <c r="AZ169" s="747">
        <f>$G169*$H169*(1+$K169)^MAX(ROUNDUP(IFERROR(DATEDIF($I151-1,AZ$15+1,"m"),)/12,)-1,)*Index!AV$22*(AZ$15&gt;$I169)*(1-AZ$12)</f>
        <v>0</v>
      </c>
      <c r="BA169" s="747">
        <f>$G169*$H169*(1+$K169)^MAX(ROUNDUP(IFERROR(DATEDIF($I151-1,BA$15+1,"m"),)/12,)-1,)*Index!AW$22*(BA$15&gt;$I169)*(1-BA$12)</f>
        <v>0</v>
      </c>
      <c r="BB169" s="747">
        <f>$G169*$H169*(1+$K169)^MAX(ROUNDUP(IFERROR(DATEDIF($I151-1,BB$15+1,"m"),)/12,)-1,)*Index!AX$22*(BB$15&gt;$I169)*(1-BB$12)</f>
        <v>0</v>
      </c>
      <c r="BC169" s="747">
        <f>$G169*$H169*(1+$K169)^MAX(ROUNDUP(IFERROR(DATEDIF($I151-1,BC$15+1,"m"),)/12,)-1,)*Index!AY$22*(BC$15&gt;$I169)*(1-BC$12)</f>
        <v>0</v>
      </c>
      <c r="BD169" s="747">
        <f>$G169*$H169*(1+$K169)^MAX(ROUNDUP(IFERROR(DATEDIF($I151-1,BD$15+1,"m"),)/12,)-1,)*Index!AZ$22*(BD$15&gt;$I169)*(1-BD$12)</f>
        <v>0</v>
      </c>
      <c r="BE169" s="747">
        <f>$G169*$H169*(1+$K169)^MAX(ROUNDUP(IFERROR(DATEDIF($I151-1,BE$15+1,"m"),)/12,)-1,)*Index!BA$22*(BE$15&gt;$I169)*(1-BE$12)</f>
        <v>0</v>
      </c>
      <c r="BF169" s="747">
        <f>$G169*$H169*(1+$K169)^MAX(ROUNDUP(IFERROR(DATEDIF($I151-1,BF$15+1,"m"),)/12,)-1,)*Index!BB$22*(BF$15&gt;$I169)*(1-BF$12)</f>
        <v>0</v>
      </c>
      <c r="BG169" s="747">
        <f>$G169*$H169*(1+$K169)^MAX(ROUNDUP(IFERROR(DATEDIF($I151-1,BG$15+1,"m"),)/12,)-1,)*Index!BC$22*(BG$15&gt;$I169)*(1-BG$12)</f>
        <v>0</v>
      </c>
      <c r="BH169" s="747">
        <f>$G169*$H169*(1+$K169)^MAX(ROUNDUP(IFERROR(DATEDIF($I151-1,BH$15+1,"m"),)/12,)-1,)*Index!BD$22*(BH$15&gt;$I169)*(1-BH$12)</f>
        <v>0</v>
      </c>
      <c r="BI169" s="747">
        <f>$G169*$H169*(1+$K169)^MAX(ROUNDUP(IFERROR(DATEDIF($I151-1,BI$15+1,"m"),)/12,)-1,)*Index!BE$22*(BI$15&gt;$I169)*(1-BI$12)</f>
        <v>0</v>
      </c>
      <c r="BJ169" s="747">
        <f>$G169*$H169*(1+$K169)^MAX(ROUNDUP(IFERROR(DATEDIF($I151-1,BJ$15+1,"m"),)/12,)-1,)*Index!BF$22*(BJ$15&gt;$I169)*(1-BJ$12)</f>
        <v>0</v>
      </c>
      <c r="BK169" s="747">
        <f>$G169*$H169*(1+$K169)^MAX(ROUNDUP(IFERROR(DATEDIF($I151-1,BK$15+1,"m"),)/12,)-1,)*Index!BG$22*(BK$15&gt;$I169)*(1-BK$12)</f>
        <v>0</v>
      </c>
      <c r="BL169" s="747">
        <f>$G169*$H169*(1+$K169)^MAX(ROUNDUP(IFERROR(DATEDIF($I151-1,BL$15+1,"m"),)/12,)-1,)*Index!BH$22*(BL$15&gt;$I169)*(1-BL$12)</f>
        <v>0</v>
      </c>
      <c r="BM169" s="747">
        <f>$G169*$H169*(1+$K169)^MAX(ROUNDUP(IFERROR(DATEDIF($I151-1,BM$15+1,"m"),)/12,)-1,)*Index!BI$22*(BM$15&gt;$I169)*(1-BM$12)</f>
        <v>0</v>
      </c>
      <c r="BN169" s="747">
        <f>$G169*$H169*(1+$K169)^MAX(ROUNDUP(IFERROR(DATEDIF($I151-1,BN$15+1,"m"),)/12,)-1,)*Index!BJ$22*(BN$15&gt;$I169)*(1-BN$12)</f>
        <v>0</v>
      </c>
      <c r="BO169" s="747">
        <f>$G169*$H169*(1+$K169)^MAX(ROUNDUP(IFERROR(DATEDIF($I151-1,BO$15+1,"m"),)/12,)-1,)*Index!BK$22*(BO$15&gt;$I169)*(1-BO$12)</f>
        <v>0</v>
      </c>
      <c r="BP169" s="747">
        <f>$G169*$H169*(1+$K169)^MAX(ROUNDUP(IFERROR(DATEDIF($I151-1,BP$15+1,"m"),)/12,)-1,)*Index!BL$22*(BP$15&gt;$I169)*(1-BP$12)</f>
        <v>0</v>
      </c>
      <c r="BQ169" s="747">
        <f>$G169*$H169*(1+$K169)^MAX(ROUNDUP(IFERROR(DATEDIF($I151-1,BQ$15+1,"m"),)/12,)-1,)*Index!BM$22*(BQ$15&gt;$I169)*(1-BQ$12)</f>
        <v>0</v>
      </c>
      <c r="BR169" s="747">
        <f>$G169*$H169*(1+$K169)^MAX(ROUNDUP(IFERROR(DATEDIF($I151-1,BR$15+1,"m"),)/12,)-1,)*Index!BN$22*(BR$15&gt;$I169)*(1-BR$12)</f>
        <v>0</v>
      </c>
      <c r="BS169" s="747">
        <f>$G169*$H169*(1+$K169)^MAX(ROUNDUP(IFERROR(DATEDIF($I151-1,BS$15+1,"m"),)/12,)-1,)*Index!BO$22*(BS$15&gt;$I169)*(1-BS$12)</f>
        <v>0</v>
      </c>
      <c r="BT169" s="747">
        <f>$G169*$H169*(1+$K169)^MAX(ROUNDUP(IFERROR(DATEDIF($I151-1,BT$15+1,"m"),)/12,)-1,)*Index!BP$22*(BT$15&gt;$I169)*(1-BT$12)</f>
        <v>0</v>
      </c>
      <c r="BU169" s="747">
        <f>$G169*$H169*(1+$K169)^MAX(ROUNDUP(IFERROR(DATEDIF($I151-1,BU$15+1,"m"),)/12,)-1,)*Index!BQ$22*(BU$15&gt;$I169)*(1-BU$12)</f>
        <v>0</v>
      </c>
      <c r="BV169" s="747">
        <f>$G169*$H169*(1+$K169)^MAX(ROUNDUP(IFERROR(DATEDIF($I151-1,BV$15+1,"m"),)/12,)-1,)*Index!BR$22*(BV$15&gt;$I169)*(1-BV$12)</f>
        <v>0</v>
      </c>
      <c r="BW169" s="747">
        <f>$G169*$H169*(1+$K169)^MAX(ROUNDUP(IFERROR(DATEDIF($I151-1,BW$15+1,"m"),)/12,)-1,)*Index!BS$22*(BW$15&gt;$I169)*(1-BW$12)</f>
        <v>0</v>
      </c>
      <c r="BX169" s="747">
        <f>$G169*$H169*(1+$K169)^MAX(ROUNDUP(IFERROR(DATEDIF($I151-1,BX$15+1,"m"),)/12,)-1,)*Index!BT$22*(BX$15&gt;$I169)*(1-BX$12)</f>
        <v>0</v>
      </c>
      <c r="BY169" s="747">
        <f>$G169*$H169*(1+$K169)^MAX(ROUNDUP(IFERROR(DATEDIF($I151-1,BY$15+1,"m"),)/12,)-1,)*Index!BU$22*(BY$15&gt;$I169)*(1-BY$12)</f>
        <v>0</v>
      </c>
      <c r="BZ169" s="747">
        <f>$G169*$H169*(1+$K169)^MAX(ROUNDUP(IFERROR(DATEDIF($I151-1,BZ$15+1,"m"),)/12,)-1,)*Index!BV$22*(BZ$15&gt;$I169)*(1-BZ$12)</f>
        <v>0</v>
      </c>
      <c r="CA169" s="747">
        <f>$G169*$H169*(1+$K169)^MAX(ROUNDUP(IFERROR(DATEDIF($I151-1,CA$15+1,"m"),)/12,)-1,)*Index!BW$22*(CA$15&gt;$I169)*(1-CA$12)</f>
        <v>0</v>
      </c>
      <c r="CB169" s="747">
        <f>$G169*$H169*(1+$K169)^MAX(ROUNDUP(IFERROR(DATEDIF($I151-1,CB$15+1,"m"),)/12,)-1,)*Index!BX$22*(CB$15&gt;$I169)*(1-CB$12)</f>
        <v>0</v>
      </c>
      <c r="CC169" s="747">
        <f>$G169*$H169*(1+$K169)^MAX(ROUNDUP(IFERROR(DATEDIF($I151-1,CC$15+1,"m"),)/12,)-1,)*Index!BY$22*(CC$15&gt;$I169)*(1-CC$12)</f>
        <v>0</v>
      </c>
      <c r="CD169" s="747">
        <f>$G169*$H169*(1+$K169)^MAX(ROUNDUP(IFERROR(DATEDIF($I151-1,CD$15+1,"m"),)/12,)-1,)*Index!BZ$22*(CD$15&gt;$I169)*(1-CD$12)</f>
        <v>0</v>
      </c>
      <c r="CE169" s="747">
        <f>$G169*$H169*(1+$K169)^MAX(ROUNDUP(IFERROR(DATEDIF($I151-1,CE$15+1,"m"),)/12,)-1,)*Index!CA$22*(CE$15&gt;$I169)*(1-CE$12)</f>
        <v>0</v>
      </c>
      <c r="CF169" s="747">
        <f>$G169*$H169*(1+$K169)^MAX(ROUNDUP(IFERROR(DATEDIF($I151-1,CF$15+1,"m"),)/12,)-1,)*Index!CB$22*(CF$15&gt;$I169)*(1-CF$12)</f>
        <v>0</v>
      </c>
      <c r="CG169" s="747">
        <f>$G169*$H169*(1+$K169)^MAX(ROUNDUP(IFERROR(DATEDIF($I151-1,CG$15+1,"m"),)/12,)-1,)*Index!CC$22*(CG$15&gt;$I169)*(1-CG$12)</f>
        <v>0</v>
      </c>
      <c r="CH169" s="747">
        <f>$G169*$H169*(1+$K169)^MAX(ROUNDUP(IFERROR(DATEDIF($I151-1,CH$15+1,"m"),)/12,)-1,)*Index!CD$22*(CH$15&gt;$I169)*(1-CH$12)</f>
        <v>0</v>
      </c>
      <c r="CI169" s="747">
        <f>$G169*$H169*(1+$K169)^MAX(ROUNDUP(IFERROR(DATEDIF($I151-1,CI$15+1,"m"),)/12,)-1,)*Index!CE$22*(CI$15&gt;$I169)*(1-CI$12)</f>
        <v>0</v>
      </c>
      <c r="CJ169" s="747">
        <f>$G169*$H169*(1+$K169)^MAX(ROUNDUP(IFERROR(DATEDIF($I151-1,CJ$15+1,"m"),)/12,)-1,)*Index!CF$22*(CJ$15&gt;$I169)*(1-CJ$12)</f>
        <v>0</v>
      </c>
      <c r="CK169" s="747">
        <f>$G169*$H169*(1+$K169)^MAX(ROUNDUP(IFERROR(DATEDIF($I151-1,CK$15+1,"m"),)/12,)-1,)*Index!CG$22*(CK$15&gt;$I169)*(1-CK$12)</f>
        <v>0</v>
      </c>
      <c r="CL169" s="747">
        <f>$G169*$H169*(1+$K169)^MAX(ROUNDUP(IFERROR(DATEDIF($I151-1,CL$15+1,"m"),)/12,)-1,)*Index!CH$22*(CL$15&gt;$I169)*(1-CL$12)</f>
        <v>0</v>
      </c>
      <c r="CM169" s="747">
        <f>$G169*$H169*(1+$K169)^MAX(ROUNDUP(IFERROR(DATEDIF($I151-1,CM$15+1,"m"),)/12,)-1,)*Index!CI$22*(CM$15&gt;$I169)*(1-CM$12)</f>
        <v>0</v>
      </c>
      <c r="CN169" s="747">
        <f>$G169*$H169*(1+$K169)^MAX(ROUNDUP(IFERROR(DATEDIF($I151-1,CN$15+1,"m"),)/12,)-1,)*Index!CJ$22*(CN$15&gt;$I169)*(1-CN$12)</f>
        <v>0</v>
      </c>
      <c r="CO169" s="747">
        <f>$G169*$H169*(1+$K169)^MAX(ROUNDUP(IFERROR(DATEDIF($I151-1,CO$15+1,"m"),)/12,)-1,)*Index!CK$22*(CO$15&gt;$I169)*(1-CO$12)</f>
        <v>0</v>
      </c>
      <c r="CP169" s="747">
        <f>$G169*$H169*(1+$K169)^MAX(ROUNDUP(IFERROR(DATEDIF($I151-1,CP$15+1,"m"),)/12,)-1,)*Index!CL$22*(CP$15&gt;$I169)*(1-CP$12)</f>
        <v>0</v>
      </c>
      <c r="CQ169" s="747">
        <f>$G169*$H169*(1+$K169)^MAX(ROUNDUP(IFERROR(DATEDIF($I151-1,CQ$15+1,"m"),)/12,)-1,)*Index!CM$22*(CQ$15&gt;$I169)*(1-CQ$12)</f>
        <v>0</v>
      </c>
      <c r="CR169" s="747">
        <f>$G169*$H169*(1+$K169)^MAX(ROUNDUP(IFERROR(DATEDIF($I151-1,CR$15+1,"m"),)/12,)-1,)*Index!CN$22*(CR$15&gt;$I169)*(1-CR$12)</f>
        <v>0</v>
      </c>
      <c r="CS169" s="747">
        <f>$G169*$H169*(1+$K169)^MAX(ROUNDUP(IFERROR(DATEDIF($I151-1,CS$15+1,"m"),)/12,)-1,)*Index!CO$22*(CS$15&gt;$I169)*(1-CS$12)</f>
        <v>0</v>
      </c>
      <c r="CT169" s="747">
        <f>$G169*$H169*(1+$K169)^MAX(ROUNDUP(IFERROR(DATEDIF($I151-1,CT$15+1,"m"),)/12,)-1,)*Index!CP$22*(CT$15&gt;$I169)*(1-CT$12)</f>
        <v>0</v>
      </c>
      <c r="CU169" s="747">
        <f>$G169*$H169*(1+$K169)^MAX(ROUNDUP(IFERROR(DATEDIF($I151-1,CU$15+1,"m"),)/12,)-1,)*Index!CQ$22*(CU$15&gt;$I169)*(1-CU$12)</f>
        <v>0</v>
      </c>
      <c r="CV169" s="747">
        <f>$G169*$H169*(1+$K169)^MAX(ROUNDUP(IFERROR(DATEDIF($I151-1,CV$15+1,"m"),)/12,)-1,)*Index!CR$22*(CV$15&gt;$I169)*(1-CV$12)</f>
        <v>0</v>
      </c>
      <c r="CW169" s="747">
        <f>$G169*$H169*(1+$K169)^MAX(ROUNDUP(IFERROR(DATEDIF($I151-1,CW$15+1,"m"),)/12,)-1,)*Index!CS$22*(CW$15&gt;$I169)*(1-CW$12)</f>
        <v>0</v>
      </c>
      <c r="CX169" s="747">
        <f>$G169*$H169*(1+$K169)^MAX(ROUNDUP(IFERROR(DATEDIF($I151-1,CX$15+1,"m"),)/12,)-1,)*Index!CT$22*(CX$15&gt;$I169)*(1-CX$12)</f>
        <v>0</v>
      </c>
      <c r="CY169" s="747">
        <f>$G169*$H169*(1+$K169)^MAX(ROUNDUP(IFERROR(DATEDIF($I151-1,CY$15+1,"m"),)/12,)-1,)*Index!CU$22*(CY$15&gt;$I169)*(1-CY$12)</f>
        <v>0</v>
      </c>
      <c r="CZ169" s="747">
        <f>$G169*$H169*(1+$K169)^MAX(ROUNDUP(IFERROR(DATEDIF($I151-1,CZ$15+1,"m"),)/12,)-1,)*Index!CV$22*(CZ$15&gt;$I169)*(1-CZ$12)</f>
        <v>0</v>
      </c>
      <c r="DA169" s="747">
        <f>$G169*$H169*(1+$K169)^MAX(ROUNDUP(IFERROR(DATEDIF($I151-1,DA$15+1,"m"),)/12,)-1,)*Index!CW$22*(DA$15&gt;$I169)*(1-DA$12)</f>
        <v>0</v>
      </c>
      <c r="DB169" s="747">
        <f>$G169*$H169*(1+$K169)^MAX(ROUNDUP(IFERROR(DATEDIF($I151-1,DB$15+1,"m"),)/12,)-1,)*Index!CX$22*(DB$15&gt;$I169)*(1-DB$12)</f>
        <v>0</v>
      </c>
      <c r="DC169" s="747">
        <f>$G169*$H169*(1+$K169)^MAX(ROUNDUP(IFERROR(DATEDIF($I151-1,DC$15+1,"m"),)/12,)-1,)*Index!CY$22*(DC$15&gt;$I169)*(1-DC$12)</f>
        <v>8365.2489575979525</v>
      </c>
      <c r="DD169" s="747">
        <f>$G169*$H169*(1+$K169)^MAX(ROUNDUP(IFERROR(DATEDIF($I151-1,DD$15+1,"m"),)/12,)-1,)*Index!CZ$22*(DD$15&gt;$I169)*(1-DD$12)</f>
        <v>8365.2489575979525</v>
      </c>
      <c r="DE169" s="747">
        <f>$G169*$H169*(1+$K169)^MAX(ROUNDUP(IFERROR(DATEDIF($I151-1,DE$15+1,"m"),)/12,)-1,)*Index!DA$22*(DE$15&gt;$I169)*(1-DE$12)</f>
        <v>8365.2489575979525</v>
      </c>
      <c r="DF169" s="747">
        <f>$G169*$H169*(1+$K169)^MAX(ROUNDUP(IFERROR(DATEDIF($I151-1,DF$15+1,"m"),)/12,)-1,)*Index!DB$22*(DF$15&gt;$I169)*(1-DF$12)</f>
        <v>8365.2489575979525</v>
      </c>
      <c r="DG169" s="747">
        <f>$G169*$H169*(1+$K169)^MAX(ROUNDUP(IFERROR(DATEDIF($I151-1,DG$15+1,"m"),)/12,)-1,)*Index!DC$22*(DG$15&gt;$I169)*(1-DG$12)</f>
        <v>8365.2489575979525</v>
      </c>
      <c r="DH169" s="747">
        <f>$G169*$H169*(1+$K169)^MAX(ROUNDUP(IFERROR(DATEDIF($I151-1,DH$15+1,"m"),)/12,)-1,)*Index!DD$22*(DH$15&gt;$I169)*(1-DH$12)</f>
        <v>8365.2489575979525</v>
      </c>
      <c r="DI169" s="747">
        <f>$G169*$H169*(1+$K169)^MAX(ROUNDUP(IFERROR(DATEDIF($I151-1,DI$15+1,"m"),)/12,)-1,)*Index!DE$22*(DI$15&gt;$I169)*(1-DI$12)</f>
        <v>8365.2489575979525</v>
      </c>
      <c r="DJ169" s="747">
        <f>$G169*$H169*(1+$K169)^MAX(ROUNDUP(IFERROR(DATEDIF($I151-1,DJ$15+1,"m"),)/12,)-1,)*Index!DF$22*(DJ$15&gt;$I169)*(1-DJ$12)</f>
        <v>8365.2489575979525</v>
      </c>
      <c r="DK169" s="747">
        <f>$G169*$H169*(1+$K169)^MAX(ROUNDUP(IFERROR(DATEDIF($I151-1,DK$15+1,"m"),)/12,)-1,)*Index!DG$22*(DK$15&gt;$I169)*(1-DK$12)</f>
        <v>8365.2489575979525</v>
      </c>
      <c r="DL169" s="747">
        <f>$G169*$H169*(1+$K169)^MAX(ROUNDUP(IFERROR(DATEDIF($I151-1,DL$15+1,"m"),)/12,)-1,)*Index!DH$22*(DL$15&gt;$I169)*(1-DL$12)</f>
        <v>8365.2489575979525</v>
      </c>
      <c r="DM169" s="747">
        <f>$G169*$H169*(1+$K169)^MAX(ROUNDUP(IFERROR(DATEDIF($I151-1,DM$15+1,"m"),)/12,)-1,)*Index!DI$22*(DM$15&gt;$I169)*(1-DM$12)</f>
        <v>8365.2489575979525</v>
      </c>
      <c r="DN169" s="747">
        <f>$G169*$H169*(1+$K169)^MAX(ROUNDUP(IFERROR(DATEDIF($I151-1,DN$15+1,"m"),)/12,)-1,)*Index!DJ$22*(DN$15&gt;$I169)*(1-DN$12)</f>
        <v>8365.2489575979525</v>
      </c>
      <c r="DO169" s="747">
        <f>$G169*$H169*(1+$K169)^MAX(ROUNDUP(IFERROR(DATEDIF($I151-1,DO$15+1,"m"),)/12,)-1,)*Index!DK$22*(DO$15&gt;$I169)*(1-DO$12)</f>
        <v>8574.3801815379011</v>
      </c>
      <c r="DP169" s="747">
        <f>$G169*$H169*(1+$K169)^MAX(ROUNDUP(IFERROR(DATEDIF($I151-1,DP$15+1,"m"),)/12,)-1,)*Index!DL$22*(DP$15&gt;$I169)*(1-DP$12)</f>
        <v>8574.3801815379011</v>
      </c>
      <c r="DQ169" s="747">
        <f>$G169*$H169*(1+$K169)^MAX(ROUNDUP(IFERROR(DATEDIF($I151-1,DQ$15+1,"m"),)/12,)-1,)*Index!DM$22*(DQ$15&gt;$I169)*(1-DQ$12)</f>
        <v>8574.3801815379011</v>
      </c>
      <c r="DR169" s="747">
        <f>$G169*$H169*(1+$K169)^MAX(ROUNDUP(IFERROR(DATEDIF($I151-1,DR$15+1,"m"),)/12,)-1,)*Index!DN$22*(DR$15&gt;$I169)*(1-DR$12)</f>
        <v>8574.3801815379011</v>
      </c>
      <c r="DS169" s="747">
        <f>$G169*$H169*(1+$K169)^MAX(ROUNDUP(IFERROR(DATEDIF($I151-1,DS$15+1,"m"),)/12,)-1,)*Index!DO$22*(DS$15&gt;$I169)*(1-DS$12)</f>
        <v>8574.3801815379011</v>
      </c>
      <c r="DT169" s="747">
        <f>$G169*$H169*(1+$K169)^MAX(ROUNDUP(IFERROR(DATEDIF($I151-1,DT$15+1,"m"),)/12,)-1,)*Index!DP$22*(DT$15&gt;$I169)*(1-DT$12)</f>
        <v>8574.3801815379011</v>
      </c>
      <c r="DU169" s="747">
        <f>$G169*$H169*(1+$K169)^MAX(ROUNDUP(IFERROR(DATEDIF($I151-1,DU$15+1,"m"),)/12,)-1,)*Index!DQ$22*(DU$15&gt;$I169)*(1-DU$12)</f>
        <v>8574.3801815379011</v>
      </c>
      <c r="DV169" s="747">
        <f>$G169*$H169*(1+$K169)^MAX(ROUNDUP(IFERROR(DATEDIF($I151-1,DV$15+1,"m"),)/12,)-1,)*Index!DR$22*(DV$15&gt;$I169)*(1-DV$12)</f>
        <v>8574.3801815379011</v>
      </c>
      <c r="DW169" s="747">
        <f>$G169*$H169*(1+$K169)^MAX(ROUNDUP(IFERROR(DATEDIF($I151-1,DW$15+1,"m"),)/12,)-1,)*Index!DS$22*(DW$15&gt;$I169)*(1-DW$12)</f>
        <v>8574.3801815379011</v>
      </c>
      <c r="DX169" s="747">
        <f>$G169*$H169*(1+$K169)^MAX(ROUNDUP(IFERROR(DATEDIF($I151-1,DX$15+1,"m"),)/12,)-1,)*Index!DT$22*(DX$15&gt;$I169)*(1-DX$12)</f>
        <v>8574.3801815379011</v>
      </c>
      <c r="DY169" s="747">
        <f>$G169*$H169*(1+$K169)^MAX(ROUNDUP(IFERROR(DATEDIF($I151-1,DY$15+1,"m"),)/12,)-1,)*Index!DU$22*(DY$15&gt;$I169)*(1-DY$12)</f>
        <v>8574.3801815379011</v>
      </c>
      <c r="DZ169" s="747">
        <f>$G169*$H169*(1+$K169)^MAX(ROUNDUP(IFERROR(DATEDIF($I151-1,DZ$15+1,"m"),)/12,)-1,)*Index!DV$22*(DZ$15&gt;$I169)*(1-DZ$12)</f>
        <v>8574.3801815379011</v>
      </c>
      <c r="EA169" s="747">
        <f>$G169*$H169*(1+$K169)^MAX(ROUNDUP(IFERROR(DATEDIF($I151-1,EA$15+1,"m"),)/12,)-1,)*Index!DW$22*(EA$15&gt;$I169)*(1-EA$12)</f>
        <v>8788.7396860763474</v>
      </c>
      <c r="EB169" s="747">
        <f>$G169*$H169*(1+$K169)^MAX(ROUNDUP(IFERROR(DATEDIF($I151-1,EB$15+1,"m"),)/12,)-1,)*Index!DX$22*(EB$15&gt;$I169)*(1-EB$12)</f>
        <v>8788.7396860763474</v>
      </c>
      <c r="EC169" s="747">
        <f>$G169*$H169*(1+$K169)^MAX(ROUNDUP(IFERROR(DATEDIF($I151-1,EC$15+1,"m"),)/12,)-1,)*Index!DY$22*(EC$15&gt;$I169)*(1-EC$12)</f>
        <v>8788.7396860763474</v>
      </c>
      <c r="ED169" s="747">
        <f>$G169*$H169*(1+$K169)^MAX(ROUNDUP(IFERROR(DATEDIF($I151-1,ED$15+1,"m"),)/12,)-1,)*Index!DZ$22*(ED$15&gt;$I169)*(1-ED$12)</f>
        <v>8788.7396860763474</v>
      </c>
      <c r="EE169" s="747">
        <f>$G169*$H169*(1+$K169)^MAX(ROUNDUP(IFERROR(DATEDIF($I151-1,EE$15+1,"m"),)/12,)-1,)*Index!EA$22*(EE$15&gt;$I169)*(1-EE$12)</f>
        <v>8788.7396860763474</v>
      </c>
      <c r="EF169" s="747">
        <f>$G169*$H169*(1+$K169)^MAX(ROUNDUP(IFERROR(DATEDIF($I151-1,EF$15+1,"m"),)/12,)-1,)*Index!EB$22*(EF$15&gt;$I169)*(1-EF$12)</f>
        <v>8788.7396860763474</v>
      </c>
      <c r="EG169" s="747">
        <f>$G169*$H169*(1+$K169)^MAX(ROUNDUP(IFERROR(DATEDIF($I151-1,EG$15+1,"m"),)/12,)-1,)*Index!EC$22*(EG$15&gt;$I169)*(1-EG$12)</f>
        <v>0</v>
      </c>
      <c r="EH169" s="747">
        <f>$G169*$H169*(1+$K169)^MAX(ROUNDUP(IFERROR(DATEDIF($I151-1,EH$15+1,"m"),)/12,)-1,)*Index!ED$22*(EH$15&gt;$I169)*(1-EH$12)</f>
        <v>0</v>
      </c>
      <c r="EI169" s="747">
        <f>$G169*$H169*(1+$K169)^MAX(ROUNDUP(IFERROR(DATEDIF($I151-1,EI$15+1,"m"),)/12,)-1,)*Index!EE$22*(EI$15&gt;$I169)*(1-EI$12)</f>
        <v>0</v>
      </c>
      <c r="EJ169" s="747">
        <f>$G169*$H169*(1+$K169)^MAX(ROUNDUP(IFERROR(DATEDIF($I151-1,EJ$15+1,"m"),)/12,)-1,)*Index!EF$22*(EJ$15&gt;$I169)*(1-EJ$12)</f>
        <v>0</v>
      </c>
      <c r="EK169" s="747">
        <f>$G169*$H169*(1+$K169)^MAX(ROUNDUP(IFERROR(DATEDIF($I151-1,EK$15+1,"m"),)/12,)-1,)*Index!EG$22*(EK$15&gt;$I169)*(1-EK$12)</f>
        <v>0</v>
      </c>
      <c r="EL169" s="747">
        <f>$G169*$H169*(1+$K169)^MAX(ROUNDUP(IFERROR(DATEDIF($I151-1,EL$15+1,"m"),)/12,)-1,)*Index!EH$22*(EL$15&gt;$I169)*(1-EL$12)</f>
        <v>0</v>
      </c>
      <c r="EM169" s="747">
        <f>$G169*$H169*(1+$K169)^MAX(ROUNDUP(IFERROR(DATEDIF($I151-1,EM$15+1,"m"),)/12,)-1,)*Index!EI$22*(EM$15&gt;$I169)*(1-EM$12)</f>
        <v>0</v>
      </c>
      <c r="EN169" s="747">
        <f>$G169*$H169*(1+$K169)^MAX(ROUNDUP(IFERROR(DATEDIF($I151-1,EN$15+1,"m"),)/12,)-1,)*Index!EJ$22*(EN$15&gt;$I169)*(1-EN$12)</f>
        <v>0</v>
      </c>
      <c r="EO169" s="747">
        <f>$G169*$H169*(1+$K169)^MAX(ROUNDUP(IFERROR(DATEDIF($I151-1,EO$15+1,"m"),)/12,)-1,)*Index!EK$22*(EO$15&gt;$I169)*(1-EO$12)</f>
        <v>0</v>
      </c>
      <c r="EP169" s="747">
        <f>$G169*$H169*(1+$K169)^MAX(ROUNDUP(IFERROR(DATEDIF($I151-1,EP$15+1,"m"),)/12,)-1,)*Index!EL$22*(EP$15&gt;$I169)*(1-EP$12)</f>
        <v>0</v>
      </c>
      <c r="EQ169" s="747">
        <f>$G169*$H169*(1+$K169)^MAX(ROUNDUP(IFERROR(DATEDIF($I151-1,EQ$15+1,"m"),)/12,)-1,)*Index!EM$22*(EQ$15&gt;$I169)*(1-EQ$12)</f>
        <v>0</v>
      </c>
      <c r="ER169" s="747">
        <f>$G169*$H169*(1+$K169)^MAX(ROUNDUP(IFERROR(DATEDIF($I151-1,ER$15+1,"m"),)/12,)-1,)*Index!EN$22*(ER$15&gt;$I169)*(1-ER$12)</f>
        <v>0</v>
      </c>
      <c r="ES169" s="747">
        <f>$G169*$H169*(1+$K169)^MAX(ROUNDUP(IFERROR(DATEDIF($I151-1,ES$15+1,"m"),)/12,)-1,)*Index!EO$22*(ES$15&gt;$I169)*(1-ES$12)</f>
        <v>0</v>
      </c>
      <c r="ET169" s="747">
        <f>$G169*$H169*(1+$K169)^MAX(ROUNDUP(IFERROR(DATEDIF($I151-1,ET$15+1,"m"),)/12,)-1,)*Index!EP$22*(ET$15&gt;$I169)*(1-ET$12)</f>
        <v>0</v>
      </c>
      <c r="EU169" s="747">
        <f>$G169*$H169*(1+$K169)^MAX(ROUNDUP(IFERROR(DATEDIF($I151-1,EU$15+1,"m"),)/12,)-1,)*Index!EQ$22*(EU$15&gt;$I169)*(1-EU$12)</f>
        <v>0</v>
      </c>
    </row>
    <row r="170" spans="3:151" ht="11.25" customHeight="1">
      <c r="C170" s="735"/>
      <c r="D170" s="743">
        <f t="shared" si="243"/>
        <v>3</v>
      </c>
      <c r="E170" s="704" t="str">
        <f t="shared" si="243"/>
        <v>농심</v>
      </c>
      <c r="F170" s="704" t="str">
        <f t="shared" si="243"/>
        <v>상온창고</v>
      </c>
      <c r="G170" s="781" cm="1">
        <f t="array" ref="G170">SUMPRODUCT(($E170='A&amp;R'!$V$26:$V$32)*('A&amp;R'!$AC$26:$AC$32))/1000</f>
        <v>3</v>
      </c>
      <c r="H170" s="744">
        <f t="shared" si="244"/>
        <v>2185.56</v>
      </c>
      <c r="I170" s="745">
        <f t="shared" si="245"/>
        <v>47328</v>
      </c>
      <c r="J170" s="745"/>
      <c r="K170" s="754">
        <f t="shared" si="246"/>
        <v>0</v>
      </c>
      <c r="L170" s="746"/>
      <c r="M170" s="722"/>
      <c r="N170" s="747">
        <f t="shared" si="247"/>
        <v>576987.84</v>
      </c>
      <c r="O170" s="733"/>
      <c r="P170" s="747">
        <f>$G170*$H170*(1+$K170)^MAX(ROUNDUP(IFERROR(DATEDIF($I152-1,P$15+1,"m"),)/12,)-1,)*Index!L$22*(P$15&gt;$I170)*(1-P$12)</f>
        <v>0</v>
      </c>
      <c r="Q170" s="747">
        <f>$G170*$H170*(1+$K170)^MAX(ROUNDUP(IFERROR(DATEDIF($I152-1,Q$15+1,"m"),)/12,)-1,)*Index!M$22*(Q$15&gt;$I170)*(1-Q$12)</f>
        <v>0</v>
      </c>
      <c r="R170" s="747">
        <f>$G170*$H170*(1+$K170)^MAX(ROUNDUP(IFERROR(DATEDIF($I152-1,R$15+1,"m"),)/12,)-1,)*Index!N$22*(R$15&gt;$I170)*(1-R$12)</f>
        <v>0</v>
      </c>
      <c r="S170" s="747">
        <f>$G170*$H170*(1+$K170)^MAX(ROUNDUP(IFERROR(DATEDIF($I152-1,S$15+1,"m"),)/12,)-1,)*Index!O$22*(S$15&gt;$I170)*(1-S$12)</f>
        <v>0</v>
      </c>
      <c r="T170" s="747">
        <f>$G170*$H170*(1+$K170)^MAX(ROUNDUP(IFERROR(DATEDIF($I152-1,T$15+1,"m"),)/12,)-1,)*Index!P$22*(T$15&gt;$I170)*(1-T$12)</f>
        <v>0</v>
      </c>
      <c r="U170" s="747">
        <f>$G170*$H170*(1+$K170)^MAX(ROUNDUP(IFERROR(DATEDIF($I152-1,U$15+1,"m"),)/12,)-1,)*Index!Q$22*(U$15&gt;$I170)*(1-U$12)</f>
        <v>0</v>
      </c>
      <c r="V170" s="747">
        <f>$G170*$H170*(1+$K170)^MAX(ROUNDUP(IFERROR(DATEDIF($I152-1,V$15+1,"m"),)/12,)-1,)*Index!R$22*(V$15&gt;$I170)*(1-V$12)</f>
        <v>0</v>
      </c>
      <c r="W170" s="747">
        <f>$G170*$H170*(1+$K170)^MAX(ROUNDUP(IFERROR(DATEDIF($I152-1,W$15+1,"m"),)/12,)-1,)*Index!S$22*(W$15&gt;$I170)*(1-W$12)</f>
        <v>0</v>
      </c>
      <c r="X170" s="747">
        <f>$G170*$H170*(1+$K170)^MAX(ROUNDUP(IFERROR(DATEDIF($I152-1,X$15+1,"m"),)/12,)-1,)*Index!T$22*(X$15&gt;$I170)*(1-X$12)</f>
        <v>0</v>
      </c>
      <c r="Y170" s="747">
        <f>$G170*$H170*(1+$K170)^MAX(ROUNDUP(IFERROR(DATEDIF($I152-1,Y$15+1,"m"),)/12,)-1,)*Index!U$22*(Y$15&gt;$I170)*(1-Y$12)</f>
        <v>0</v>
      </c>
      <c r="Z170" s="747">
        <f>$G170*$H170*(1+$K170)^MAX(ROUNDUP(IFERROR(DATEDIF($I152-1,Z$15+1,"m"),)/12,)-1,)*Index!V$22*(Z$15&gt;$I170)*(1-Z$12)</f>
        <v>0</v>
      </c>
      <c r="AA170" s="747">
        <f>$G170*$H170*(1+$K170)^MAX(ROUNDUP(IFERROR(DATEDIF($I152-1,AA$15+1,"m"),)/12,)-1,)*Index!W$22*(AA$15&gt;$I170)*(1-AA$12)</f>
        <v>0</v>
      </c>
      <c r="AB170" s="747">
        <f>$G170*$H170*(1+$K170)^MAX(ROUNDUP(IFERROR(DATEDIF($I152-1,AB$15+1,"m"),)/12,)-1,)*Index!X$22*(AB$15&gt;$I170)*(1-AB$12)</f>
        <v>0</v>
      </c>
      <c r="AC170" s="747">
        <f>$G170*$H170*(1+$K170)^MAX(ROUNDUP(IFERROR(DATEDIF($I152-1,AC$15+1,"m"),)/12,)-1,)*Index!Y$22*(AC$15&gt;$I170)*(1-AC$12)</f>
        <v>0</v>
      </c>
      <c r="AD170" s="747">
        <f>$G170*$H170*(1+$K170)^MAX(ROUNDUP(IFERROR(DATEDIF($I152-1,AD$15+1,"m"),)/12,)-1,)*Index!Z$22*(AD$15&gt;$I170)*(1-AD$12)</f>
        <v>0</v>
      </c>
      <c r="AE170" s="747">
        <f>$G170*$H170*(1+$K170)^MAX(ROUNDUP(IFERROR(DATEDIF($I152-1,AE$15+1,"m"),)/12,)-1,)*Index!AA$22*(AE$15&gt;$I170)*(1-AE$12)</f>
        <v>0</v>
      </c>
      <c r="AF170" s="747">
        <f>$G170*$H170*(1+$K170)^MAX(ROUNDUP(IFERROR(DATEDIF($I152-1,AF$15+1,"m"),)/12,)-1,)*Index!AB$22*(AF$15&gt;$I170)*(1-AF$12)</f>
        <v>0</v>
      </c>
      <c r="AG170" s="747">
        <f>$G170*$H170*(1+$K170)^MAX(ROUNDUP(IFERROR(DATEDIF($I152-1,AG$15+1,"m"),)/12,)-1,)*Index!AC$22*(AG$15&gt;$I170)*(1-AG$12)</f>
        <v>0</v>
      </c>
      <c r="AH170" s="747">
        <f>$G170*$H170*(1+$K170)^MAX(ROUNDUP(IFERROR(DATEDIF($I152-1,AH$15+1,"m"),)/12,)-1,)*Index!AD$22*(AH$15&gt;$I170)*(1-AH$12)</f>
        <v>0</v>
      </c>
      <c r="AI170" s="747">
        <f>$G170*$H170*(1+$K170)^MAX(ROUNDUP(IFERROR(DATEDIF($I152-1,AI$15+1,"m"),)/12,)-1,)*Index!AE$22*(AI$15&gt;$I170)*(1-AI$12)</f>
        <v>0</v>
      </c>
      <c r="AJ170" s="747">
        <f>$G170*$H170*(1+$K170)^MAX(ROUNDUP(IFERROR(DATEDIF($I152-1,AJ$15+1,"m"),)/12,)-1,)*Index!AF$22*(AJ$15&gt;$I170)*(1-AJ$12)</f>
        <v>0</v>
      </c>
      <c r="AK170" s="747">
        <f>$G170*$H170*(1+$K170)^MAX(ROUNDUP(IFERROR(DATEDIF($I152-1,AK$15+1,"m"),)/12,)-1,)*Index!AG$22*(AK$15&gt;$I170)*(1-AK$12)</f>
        <v>0</v>
      </c>
      <c r="AL170" s="747">
        <f>$G170*$H170*(1+$K170)^MAX(ROUNDUP(IFERROR(DATEDIF($I152-1,AL$15+1,"m"),)/12,)-1,)*Index!AH$22*(AL$15&gt;$I170)*(1-AL$12)</f>
        <v>0</v>
      </c>
      <c r="AM170" s="747">
        <f>$G170*$H170*(1+$K170)^MAX(ROUNDUP(IFERROR(DATEDIF($I152-1,AM$15+1,"m"),)/12,)-1,)*Index!AI$22*(AM$15&gt;$I170)*(1-AM$12)</f>
        <v>0</v>
      </c>
      <c r="AN170" s="747">
        <f>$G170*$H170*(1+$K170)^MAX(ROUNDUP(IFERROR(DATEDIF($I152-1,AN$15+1,"m"),)/12,)-1,)*Index!AJ$22*(AN$15&gt;$I170)*(1-AN$12)</f>
        <v>0</v>
      </c>
      <c r="AO170" s="747">
        <f>$G170*$H170*(1+$K170)^MAX(ROUNDUP(IFERROR(DATEDIF($I152-1,AO$15+1,"m"),)/12,)-1,)*Index!AK$22*(AO$15&gt;$I170)*(1-AO$12)</f>
        <v>0</v>
      </c>
      <c r="AP170" s="747">
        <f>$G170*$H170*(1+$K170)^MAX(ROUNDUP(IFERROR(DATEDIF($I152-1,AP$15+1,"m"),)/12,)-1,)*Index!AL$22*(AP$15&gt;$I170)*(1-AP$12)</f>
        <v>0</v>
      </c>
      <c r="AQ170" s="747">
        <f>$G170*$H170*(1+$K170)^MAX(ROUNDUP(IFERROR(DATEDIF($I152-1,AQ$15+1,"m"),)/12,)-1,)*Index!AM$22*(AQ$15&gt;$I170)*(1-AQ$12)</f>
        <v>0</v>
      </c>
      <c r="AR170" s="747">
        <f>$G170*$H170*(1+$K170)^MAX(ROUNDUP(IFERROR(DATEDIF($I152-1,AR$15+1,"m"),)/12,)-1,)*Index!AN$22*(AR$15&gt;$I170)*(1-AR$12)</f>
        <v>0</v>
      </c>
      <c r="AS170" s="747">
        <f>$G170*$H170*(1+$K170)^MAX(ROUNDUP(IFERROR(DATEDIF($I152-1,AS$15+1,"m"),)/12,)-1,)*Index!AO$22*(AS$15&gt;$I170)*(1-AS$12)</f>
        <v>0</v>
      </c>
      <c r="AT170" s="747">
        <f>$G170*$H170*(1+$K170)^MAX(ROUNDUP(IFERROR(DATEDIF($I152-1,AT$15+1,"m"),)/12,)-1,)*Index!AP$22*(AT$15&gt;$I170)*(1-AT$12)</f>
        <v>0</v>
      </c>
      <c r="AU170" s="747">
        <f>$G170*$H170*(1+$K170)^MAX(ROUNDUP(IFERROR(DATEDIF($I152-1,AU$15+1,"m"),)/12,)-1,)*Index!AQ$22*(AU$15&gt;$I170)*(1-AU$12)</f>
        <v>0</v>
      </c>
      <c r="AV170" s="747">
        <f>$G170*$H170*(1+$K170)^MAX(ROUNDUP(IFERROR(DATEDIF($I152-1,AV$15+1,"m"),)/12,)-1,)*Index!AR$22*(AV$15&gt;$I170)*(1-AV$12)</f>
        <v>0</v>
      </c>
      <c r="AW170" s="747">
        <f>$G170*$H170*(1+$K170)^MAX(ROUNDUP(IFERROR(DATEDIF($I152-1,AW$15+1,"m"),)/12,)-1,)*Index!AS$22*(AW$15&gt;$I170)*(1-AW$12)</f>
        <v>6556.68</v>
      </c>
      <c r="AX170" s="747">
        <f>$G170*$H170*(1+$K170)^MAX(ROUNDUP(IFERROR(DATEDIF($I152-1,AX$15+1,"m"),)/12,)-1,)*Index!AT$22*(AX$15&gt;$I170)*(1-AX$12)</f>
        <v>6556.68</v>
      </c>
      <c r="AY170" s="747">
        <f>$G170*$H170*(1+$K170)^MAX(ROUNDUP(IFERROR(DATEDIF($I152-1,AY$15+1,"m"),)/12,)-1,)*Index!AU$22*(AY$15&gt;$I170)*(1-AY$12)</f>
        <v>6556.68</v>
      </c>
      <c r="AZ170" s="747">
        <f>$G170*$H170*(1+$K170)^MAX(ROUNDUP(IFERROR(DATEDIF($I152-1,AZ$15+1,"m"),)/12,)-1,)*Index!AV$22*(AZ$15&gt;$I170)*(1-AZ$12)</f>
        <v>6556.68</v>
      </c>
      <c r="BA170" s="747">
        <f>$G170*$H170*(1+$K170)^MAX(ROUNDUP(IFERROR(DATEDIF($I152-1,BA$15+1,"m"),)/12,)-1,)*Index!AW$22*(BA$15&gt;$I170)*(1-BA$12)</f>
        <v>6556.68</v>
      </c>
      <c r="BB170" s="747">
        <f>$G170*$H170*(1+$K170)^MAX(ROUNDUP(IFERROR(DATEDIF($I152-1,BB$15+1,"m"),)/12,)-1,)*Index!AX$22*(BB$15&gt;$I170)*(1-BB$12)</f>
        <v>6556.68</v>
      </c>
      <c r="BC170" s="747">
        <f>$G170*$H170*(1+$K170)^MAX(ROUNDUP(IFERROR(DATEDIF($I152-1,BC$15+1,"m"),)/12,)-1,)*Index!AY$22*(BC$15&gt;$I170)*(1-BC$12)</f>
        <v>6556.68</v>
      </c>
      <c r="BD170" s="747">
        <f>$G170*$H170*(1+$K170)^MAX(ROUNDUP(IFERROR(DATEDIF($I152-1,BD$15+1,"m"),)/12,)-1,)*Index!AZ$22*(BD$15&gt;$I170)*(1-BD$12)</f>
        <v>6556.68</v>
      </c>
      <c r="BE170" s="747">
        <f>$G170*$H170*(1+$K170)^MAX(ROUNDUP(IFERROR(DATEDIF($I152-1,BE$15+1,"m"),)/12,)-1,)*Index!BA$22*(BE$15&gt;$I170)*(1-BE$12)</f>
        <v>6556.68</v>
      </c>
      <c r="BF170" s="747">
        <f>$G170*$H170*(1+$K170)^MAX(ROUNDUP(IFERROR(DATEDIF($I152-1,BF$15+1,"m"),)/12,)-1,)*Index!BB$22*(BF$15&gt;$I170)*(1-BF$12)</f>
        <v>6556.68</v>
      </c>
      <c r="BG170" s="747">
        <f>$G170*$H170*(1+$K170)^MAX(ROUNDUP(IFERROR(DATEDIF($I152-1,BG$15+1,"m"),)/12,)-1,)*Index!BC$22*(BG$15&gt;$I170)*(1-BG$12)</f>
        <v>6556.68</v>
      </c>
      <c r="BH170" s="747">
        <f>$G170*$H170*(1+$K170)^MAX(ROUNDUP(IFERROR(DATEDIF($I152-1,BH$15+1,"m"),)/12,)-1,)*Index!BD$22*(BH$15&gt;$I170)*(1-BH$12)</f>
        <v>6556.68</v>
      </c>
      <c r="BI170" s="747">
        <f>$G170*$H170*(1+$K170)^MAX(ROUNDUP(IFERROR(DATEDIF($I152-1,BI$15+1,"m"),)/12,)-1,)*Index!BE$22*(BI$15&gt;$I170)*(1-BI$12)</f>
        <v>6556.68</v>
      </c>
      <c r="BJ170" s="747">
        <f>$G170*$H170*(1+$K170)^MAX(ROUNDUP(IFERROR(DATEDIF($I152-1,BJ$15+1,"m"),)/12,)-1,)*Index!BF$22*(BJ$15&gt;$I170)*(1-BJ$12)</f>
        <v>6556.68</v>
      </c>
      <c r="BK170" s="747">
        <f>$G170*$H170*(1+$K170)^MAX(ROUNDUP(IFERROR(DATEDIF($I152-1,BK$15+1,"m"),)/12,)-1,)*Index!BG$22*(BK$15&gt;$I170)*(1-BK$12)</f>
        <v>6556.68</v>
      </c>
      <c r="BL170" s="747">
        <f>$G170*$H170*(1+$K170)^MAX(ROUNDUP(IFERROR(DATEDIF($I152-1,BL$15+1,"m"),)/12,)-1,)*Index!BH$22*(BL$15&gt;$I170)*(1-BL$12)</f>
        <v>6556.68</v>
      </c>
      <c r="BM170" s="747">
        <f>$G170*$H170*(1+$K170)^MAX(ROUNDUP(IFERROR(DATEDIF($I152-1,BM$15+1,"m"),)/12,)-1,)*Index!BI$22*(BM$15&gt;$I170)*(1-BM$12)</f>
        <v>6556.68</v>
      </c>
      <c r="BN170" s="747">
        <f>$G170*$H170*(1+$K170)^MAX(ROUNDUP(IFERROR(DATEDIF($I152-1,BN$15+1,"m"),)/12,)-1,)*Index!BJ$22*(BN$15&gt;$I170)*(1-BN$12)</f>
        <v>6556.68</v>
      </c>
      <c r="BO170" s="747">
        <f>$G170*$H170*(1+$K170)^MAX(ROUNDUP(IFERROR(DATEDIF($I152-1,BO$15+1,"m"),)/12,)-1,)*Index!BK$22*(BO$15&gt;$I170)*(1-BO$12)</f>
        <v>6556.68</v>
      </c>
      <c r="BP170" s="747">
        <f>$G170*$H170*(1+$K170)^MAX(ROUNDUP(IFERROR(DATEDIF($I152-1,BP$15+1,"m"),)/12,)-1,)*Index!BL$22*(BP$15&gt;$I170)*(1-BP$12)</f>
        <v>6556.68</v>
      </c>
      <c r="BQ170" s="747">
        <f>$G170*$H170*(1+$K170)^MAX(ROUNDUP(IFERROR(DATEDIF($I152-1,BQ$15+1,"m"),)/12,)-1,)*Index!BM$22*(BQ$15&gt;$I170)*(1-BQ$12)</f>
        <v>6556.68</v>
      </c>
      <c r="BR170" s="747">
        <f>$G170*$H170*(1+$K170)^MAX(ROUNDUP(IFERROR(DATEDIF($I152-1,BR$15+1,"m"),)/12,)-1,)*Index!BN$22*(BR$15&gt;$I170)*(1-BR$12)</f>
        <v>6556.68</v>
      </c>
      <c r="BS170" s="747">
        <f>$G170*$H170*(1+$K170)^MAX(ROUNDUP(IFERROR(DATEDIF($I152-1,BS$15+1,"m"),)/12,)-1,)*Index!BO$22*(BS$15&gt;$I170)*(1-BS$12)</f>
        <v>6556.68</v>
      </c>
      <c r="BT170" s="747">
        <f>$G170*$H170*(1+$K170)^MAX(ROUNDUP(IFERROR(DATEDIF($I152-1,BT$15+1,"m"),)/12,)-1,)*Index!BP$22*(BT$15&gt;$I170)*(1-BT$12)</f>
        <v>6556.68</v>
      </c>
      <c r="BU170" s="747">
        <f>$G170*$H170*(1+$K170)^MAX(ROUNDUP(IFERROR(DATEDIF($I152-1,BU$15+1,"m"),)/12,)-1,)*Index!BQ$22*(BU$15&gt;$I170)*(1-BU$12)</f>
        <v>6556.68</v>
      </c>
      <c r="BV170" s="747">
        <f>$G170*$H170*(1+$K170)^MAX(ROUNDUP(IFERROR(DATEDIF($I152-1,BV$15+1,"m"),)/12,)-1,)*Index!BR$22*(BV$15&gt;$I170)*(1-BV$12)</f>
        <v>6556.68</v>
      </c>
      <c r="BW170" s="747">
        <f>$G170*$H170*(1+$K170)^MAX(ROUNDUP(IFERROR(DATEDIF($I152-1,BW$15+1,"m"),)/12,)-1,)*Index!BS$22*(BW$15&gt;$I170)*(1-BW$12)</f>
        <v>6556.68</v>
      </c>
      <c r="BX170" s="747">
        <f>$G170*$H170*(1+$K170)^MAX(ROUNDUP(IFERROR(DATEDIF($I152-1,BX$15+1,"m"),)/12,)-1,)*Index!BT$22*(BX$15&gt;$I170)*(1-BX$12)</f>
        <v>6556.68</v>
      </c>
      <c r="BY170" s="747">
        <f>$G170*$H170*(1+$K170)^MAX(ROUNDUP(IFERROR(DATEDIF($I152-1,BY$15+1,"m"),)/12,)-1,)*Index!BU$22*(BY$15&gt;$I170)*(1-BY$12)</f>
        <v>6556.68</v>
      </c>
      <c r="BZ170" s="747">
        <f>$G170*$H170*(1+$K170)^MAX(ROUNDUP(IFERROR(DATEDIF($I152-1,BZ$15+1,"m"),)/12,)-1,)*Index!BV$22*(BZ$15&gt;$I170)*(1-BZ$12)</f>
        <v>6556.68</v>
      </c>
      <c r="CA170" s="747">
        <f>$G170*$H170*(1+$K170)^MAX(ROUNDUP(IFERROR(DATEDIF($I152-1,CA$15+1,"m"),)/12,)-1,)*Index!BW$22*(CA$15&gt;$I170)*(1-CA$12)</f>
        <v>6556.68</v>
      </c>
      <c r="CB170" s="747">
        <f>$G170*$H170*(1+$K170)^MAX(ROUNDUP(IFERROR(DATEDIF($I152-1,CB$15+1,"m"),)/12,)-1,)*Index!BX$22*(CB$15&gt;$I170)*(1-CB$12)</f>
        <v>6556.68</v>
      </c>
      <c r="CC170" s="747">
        <f>$G170*$H170*(1+$K170)^MAX(ROUNDUP(IFERROR(DATEDIF($I152-1,CC$15+1,"m"),)/12,)-1,)*Index!BY$22*(CC$15&gt;$I170)*(1-CC$12)</f>
        <v>6556.68</v>
      </c>
      <c r="CD170" s="747">
        <f>$G170*$H170*(1+$K170)^MAX(ROUNDUP(IFERROR(DATEDIF($I152-1,CD$15+1,"m"),)/12,)-1,)*Index!BZ$22*(CD$15&gt;$I170)*(1-CD$12)</f>
        <v>6556.68</v>
      </c>
      <c r="CE170" s="747">
        <f>$G170*$H170*(1+$K170)^MAX(ROUNDUP(IFERROR(DATEDIF($I152-1,CE$15+1,"m"),)/12,)-1,)*Index!CA$22*(CE$15&gt;$I170)*(1-CE$12)</f>
        <v>6556.68</v>
      </c>
      <c r="CF170" s="747">
        <f>$G170*$H170*(1+$K170)^MAX(ROUNDUP(IFERROR(DATEDIF($I152-1,CF$15+1,"m"),)/12,)-1,)*Index!CB$22*(CF$15&gt;$I170)*(1-CF$12)</f>
        <v>6556.68</v>
      </c>
      <c r="CG170" s="747">
        <f>$G170*$H170*(1+$K170)^MAX(ROUNDUP(IFERROR(DATEDIF($I152-1,CG$15+1,"m"),)/12,)-1,)*Index!CC$22*(CG$15&gt;$I170)*(1-CG$12)</f>
        <v>6556.68</v>
      </c>
      <c r="CH170" s="747">
        <f>$G170*$H170*(1+$K170)^MAX(ROUNDUP(IFERROR(DATEDIF($I152-1,CH$15+1,"m"),)/12,)-1,)*Index!CD$22*(CH$15&gt;$I170)*(1-CH$12)</f>
        <v>6556.68</v>
      </c>
      <c r="CI170" s="747">
        <f>$G170*$H170*(1+$K170)^MAX(ROUNDUP(IFERROR(DATEDIF($I152-1,CI$15+1,"m"),)/12,)-1,)*Index!CE$22*(CI$15&gt;$I170)*(1-CI$12)</f>
        <v>6556.68</v>
      </c>
      <c r="CJ170" s="747">
        <f>$G170*$H170*(1+$K170)^MAX(ROUNDUP(IFERROR(DATEDIF($I152-1,CJ$15+1,"m"),)/12,)-1,)*Index!CF$22*(CJ$15&gt;$I170)*(1-CJ$12)</f>
        <v>6556.68</v>
      </c>
      <c r="CK170" s="747">
        <f>$G170*$H170*(1+$K170)^MAX(ROUNDUP(IFERROR(DATEDIF($I152-1,CK$15+1,"m"),)/12,)-1,)*Index!CG$22*(CK$15&gt;$I170)*(1-CK$12)</f>
        <v>6556.68</v>
      </c>
      <c r="CL170" s="747">
        <f>$G170*$H170*(1+$K170)^MAX(ROUNDUP(IFERROR(DATEDIF($I152-1,CL$15+1,"m"),)/12,)-1,)*Index!CH$22*(CL$15&gt;$I170)*(1-CL$12)</f>
        <v>6556.68</v>
      </c>
      <c r="CM170" s="747">
        <f>$G170*$H170*(1+$K170)^MAX(ROUNDUP(IFERROR(DATEDIF($I152-1,CM$15+1,"m"),)/12,)-1,)*Index!CI$22*(CM$15&gt;$I170)*(1-CM$12)</f>
        <v>6556.68</v>
      </c>
      <c r="CN170" s="747">
        <f>$G170*$H170*(1+$K170)^MAX(ROUNDUP(IFERROR(DATEDIF($I152-1,CN$15+1,"m"),)/12,)-1,)*Index!CJ$22*(CN$15&gt;$I170)*(1-CN$12)</f>
        <v>6556.68</v>
      </c>
      <c r="CO170" s="747">
        <f>$G170*$H170*(1+$K170)^MAX(ROUNDUP(IFERROR(DATEDIF($I152-1,CO$15+1,"m"),)/12,)-1,)*Index!CK$22*(CO$15&gt;$I170)*(1-CO$12)</f>
        <v>6556.68</v>
      </c>
      <c r="CP170" s="747">
        <f>$G170*$H170*(1+$K170)^MAX(ROUNDUP(IFERROR(DATEDIF($I152-1,CP$15+1,"m"),)/12,)-1,)*Index!CL$22*(CP$15&gt;$I170)*(1-CP$12)</f>
        <v>6556.68</v>
      </c>
      <c r="CQ170" s="747">
        <f>$G170*$H170*(1+$K170)^MAX(ROUNDUP(IFERROR(DATEDIF($I152-1,CQ$15+1,"m"),)/12,)-1,)*Index!CM$22*(CQ$15&gt;$I170)*(1-CQ$12)</f>
        <v>6556.68</v>
      </c>
      <c r="CR170" s="747">
        <f>$G170*$H170*(1+$K170)^MAX(ROUNDUP(IFERROR(DATEDIF($I152-1,CR$15+1,"m"),)/12,)-1,)*Index!CN$22*(CR$15&gt;$I170)*(1-CR$12)</f>
        <v>6556.68</v>
      </c>
      <c r="CS170" s="747">
        <f>$G170*$H170*(1+$K170)^MAX(ROUNDUP(IFERROR(DATEDIF($I152-1,CS$15+1,"m"),)/12,)-1,)*Index!CO$22*(CS$15&gt;$I170)*(1-CS$12)</f>
        <v>6556.68</v>
      </c>
      <c r="CT170" s="747">
        <f>$G170*$H170*(1+$K170)^MAX(ROUNDUP(IFERROR(DATEDIF($I152-1,CT$15+1,"m"),)/12,)-1,)*Index!CP$22*(CT$15&gt;$I170)*(1-CT$12)</f>
        <v>6556.68</v>
      </c>
      <c r="CU170" s="747">
        <f>$G170*$H170*(1+$K170)^MAX(ROUNDUP(IFERROR(DATEDIF($I152-1,CU$15+1,"m"),)/12,)-1,)*Index!CQ$22*(CU$15&gt;$I170)*(1-CU$12)</f>
        <v>6556.68</v>
      </c>
      <c r="CV170" s="747">
        <f>$G170*$H170*(1+$K170)^MAX(ROUNDUP(IFERROR(DATEDIF($I152-1,CV$15+1,"m"),)/12,)-1,)*Index!CR$22*(CV$15&gt;$I170)*(1-CV$12)</f>
        <v>6556.68</v>
      </c>
      <c r="CW170" s="747">
        <f>$G170*$H170*(1+$K170)^MAX(ROUNDUP(IFERROR(DATEDIF($I152-1,CW$15+1,"m"),)/12,)-1,)*Index!CS$22*(CW$15&gt;$I170)*(1-CW$12)</f>
        <v>6556.68</v>
      </c>
      <c r="CX170" s="747">
        <f>$G170*$H170*(1+$K170)^MAX(ROUNDUP(IFERROR(DATEDIF($I152-1,CX$15+1,"m"),)/12,)-1,)*Index!CT$22*(CX$15&gt;$I170)*(1-CX$12)</f>
        <v>6556.68</v>
      </c>
      <c r="CY170" s="747">
        <f>$G170*$H170*(1+$K170)^MAX(ROUNDUP(IFERROR(DATEDIF($I152-1,CY$15+1,"m"),)/12,)-1,)*Index!CU$22*(CY$15&gt;$I170)*(1-CY$12)</f>
        <v>6556.68</v>
      </c>
      <c r="CZ170" s="747">
        <f>$G170*$H170*(1+$K170)^MAX(ROUNDUP(IFERROR(DATEDIF($I152-1,CZ$15+1,"m"),)/12,)-1,)*Index!CV$22*(CZ$15&gt;$I170)*(1-CZ$12)</f>
        <v>6556.68</v>
      </c>
      <c r="DA170" s="747">
        <f>$G170*$H170*(1+$K170)^MAX(ROUNDUP(IFERROR(DATEDIF($I152-1,DA$15+1,"m"),)/12,)-1,)*Index!CW$22*(DA$15&gt;$I170)*(1-DA$12)</f>
        <v>6556.68</v>
      </c>
      <c r="DB170" s="747">
        <f>$G170*$H170*(1+$K170)^MAX(ROUNDUP(IFERROR(DATEDIF($I152-1,DB$15+1,"m"),)/12,)-1,)*Index!CX$22*(DB$15&gt;$I170)*(1-DB$12)</f>
        <v>6556.68</v>
      </c>
      <c r="DC170" s="747">
        <f>$G170*$H170*(1+$K170)^MAX(ROUNDUP(IFERROR(DATEDIF($I152-1,DC$15+1,"m"),)/12,)-1,)*Index!CY$22*(DC$15&gt;$I170)*(1-DC$12)</f>
        <v>6556.68</v>
      </c>
      <c r="DD170" s="747">
        <f>$G170*$H170*(1+$K170)^MAX(ROUNDUP(IFERROR(DATEDIF($I152-1,DD$15+1,"m"),)/12,)-1,)*Index!CZ$22*(DD$15&gt;$I170)*(1-DD$12)</f>
        <v>6556.68</v>
      </c>
      <c r="DE170" s="747">
        <f>$G170*$H170*(1+$K170)^MAX(ROUNDUP(IFERROR(DATEDIF($I152-1,DE$15+1,"m"),)/12,)-1,)*Index!DA$22*(DE$15&gt;$I170)*(1-DE$12)</f>
        <v>6556.68</v>
      </c>
      <c r="DF170" s="747">
        <f>$G170*$H170*(1+$K170)^MAX(ROUNDUP(IFERROR(DATEDIF($I152-1,DF$15+1,"m"),)/12,)-1,)*Index!DB$22*(DF$15&gt;$I170)*(1-DF$12)</f>
        <v>6556.68</v>
      </c>
      <c r="DG170" s="747">
        <f>$G170*$H170*(1+$K170)^MAX(ROUNDUP(IFERROR(DATEDIF($I152-1,DG$15+1,"m"),)/12,)-1,)*Index!DC$22*(DG$15&gt;$I170)*(1-DG$12)</f>
        <v>6556.68</v>
      </c>
      <c r="DH170" s="747">
        <f>$G170*$H170*(1+$K170)^MAX(ROUNDUP(IFERROR(DATEDIF($I152-1,DH$15+1,"m"),)/12,)-1,)*Index!DD$22*(DH$15&gt;$I170)*(1-DH$12)</f>
        <v>6556.68</v>
      </c>
      <c r="DI170" s="747">
        <f>$G170*$H170*(1+$K170)^MAX(ROUNDUP(IFERROR(DATEDIF($I152-1,DI$15+1,"m"),)/12,)-1,)*Index!DE$22*(DI$15&gt;$I170)*(1-DI$12)</f>
        <v>6556.68</v>
      </c>
      <c r="DJ170" s="747">
        <f>$G170*$H170*(1+$K170)^MAX(ROUNDUP(IFERROR(DATEDIF($I152-1,DJ$15+1,"m"),)/12,)-1,)*Index!DF$22*(DJ$15&gt;$I170)*(1-DJ$12)</f>
        <v>6556.68</v>
      </c>
      <c r="DK170" s="747">
        <f>$G170*$H170*(1+$K170)^MAX(ROUNDUP(IFERROR(DATEDIF($I152-1,DK$15+1,"m"),)/12,)-1,)*Index!DG$22*(DK$15&gt;$I170)*(1-DK$12)</f>
        <v>6556.68</v>
      </c>
      <c r="DL170" s="747">
        <f>$G170*$H170*(1+$K170)^MAX(ROUNDUP(IFERROR(DATEDIF($I152-1,DL$15+1,"m"),)/12,)-1,)*Index!DH$22*(DL$15&gt;$I170)*(1-DL$12)</f>
        <v>6556.68</v>
      </c>
      <c r="DM170" s="747">
        <f>$G170*$H170*(1+$K170)^MAX(ROUNDUP(IFERROR(DATEDIF($I152-1,DM$15+1,"m"),)/12,)-1,)*Index!DI$22*(DM$15&gt;$I170)*(1-DM$12)</f>
        <v>6556.68</v>
      </c>
      <c r="DN170" s="747">
        <f>$G170*$H170*(1+$K170)^MAX(ROUNDUP(IFERROR(DATEDIF($I152-1,DN$15+1,"m"),)/12,)-1,)*Index!DJ$22*(DN$15&gt;$I170)*(1-DN$12)</f>
        <v>6556.68</v>
      </c>
      <c r="DO170" s="747">
        <f>$G170*$H170*(1+$K170)^MAX(ROUNDUP(IFERROR(DATEDIF($I152-1,DO$15+1,"m"),)/12,)-1,)*Index!DK$22*(DO$15&gt;$I170)*(1-DO$12)</f>
        <v>6556.68</v>
      </c>
      <c r="DP170" s="747">
        <f>$G170*$H170*(1+$K170)^MAX(ROUNDUP(IFERROR(DATEDIF($I152-1,DP$15+1,"m"),)/12,)-1,)*Index!DL$22*(DP$15&gt;$I170)*(1-DP$12)</f>
        <v>6556.68</v>
      </c>
      <c r="DQ170" s="747">
        <f>$G170*$H170*(1+$K170)^MAX(ROUNDUP(IFERROR(DATEDIF($I152-1,DQ$15+1,"m"),)/12,)-1,)*Index!DM$22*(DQ$15&gt;$I170)*(1-DQ$12)</f>
        <v>6556.68</v>
      </c>
      <c r="DR170" s="747">
        <f>$G170*$H170*(1+$K170)^MAX(ROUNDUP(IFERROR(DATEDIF($I152-1,DR$15+1,"m"),)/12,)-1,)*Index!DN$22*(DR$15&gt;$I170)*(1-DR$12)</f>
        <v>6556.68</v>
      </c>
      <c r="DS170" s="747">
        <f>$G170*$H170*(1+$K170)^MAX(ROUNDUP(IFERROR(DATEDIF($I152-1,DS$15+1,"m"),)/12,)-1,)*Index!DO$22*(DS$15&gt;$I170)*(1-DS$12)</f>
        <v>6556.68</v>
      </c>
      <c r="DT170" s="747">
        <f>$G170*$H170*(1+$K170)^MAX(ROUNDUP(IFERROR(DATEDIF($I152-1,DT$15+1,"m"),)/12,)-1,)*Index!DP$22*(DT$15&gt;$I170)*(1-DT$12)</f>
        <v>6556.68</v>
      </c>
      <c r="DU170" s="747">
        <f>$G170*$H170*(1+$K170)^MAX(ROUNDUP(IFERROR(DATEDIF($I152-1,DU$15+1,"m"),)/12,)-1,)*Index!DQ$22*(DU$15&gt;$I170)*(1-DU$12)</f>
        <v>6556.68</v>
      </c>
      <c r="DV170" s="747">
        <f>$G170*$H170*(1+$K170)^MAX(ROUNDUP(IFERROR(DATEDIF($I152-1,DV$15+1,"m"),)/12,)-1,)*Index!DR$22*(DV$15&gt;$I170)*(1-DV$12)</f>
        <v>6556.68</v>
      </c>
      <c r="DW170" s="747">
        <f>$G170*$H170*(1+$K170)^MAX(ROUNDUP(IFERROR(DATEDIF($I152-1,DW$15+1,"m"),)/12,)-1,)*Index!DS$22*(DW$15&gt;$I170)*(1-DW$12)</f>
        <v>6556.68</v>
      </c>
      <c r="DX170" s="747">
        <f>$G170*$H170*(1+$K170)^MAX(ROUNDUP(IFERROR(DATEDIF($I152-1,DX$15+1,"m"),)/12,)-1,)*Index!DT$22*(DX$15&gt;$I170)*(1-DX$12)</f>
        <v>6556.68</v>
      </c>
      <c r="DY170" s="747">
        <f>$G170*$H170*(1+$K170)^MAX(ROUNDUP(IFERROR(DATEDIF($I152-1,DY$15+1,"m"),)/12,)-1,)*Index!DU$22*(DY$15&gt;$I170)*(1-DY$12)</f>
        <v>6556.68</v>
      </c>
      <c r="DZ170" s="747">
        <f>$G170*$H170*(1+$K170)^MAX(ROUNDUP(IFERROR(DATEDIF($I152-1,DZ$15+1,"m"),)/12,)-1,)*Index!DV$22*(DZ$15&gt;$I170)*(1-DZ$12)</f>
        <v>6556.68</v>
      </c>
      <c r="EA170" s="747">
        <f>$G170*$H170*(1+$K170)^MAX(ROUNDUP(IFERROR(DATEDIF($I152-1,EA$15+1,"m"),)/12,)-1,)*Index!DW$22*(EA$15&gt;$I170)*(1-EA$12)</f>
        <v>6556.68</v>
      </c>
      <c r="EB170" s="747">
        <f>$G170*$H170*(1+$K170)^MAX(ROUNDUP(IFERROR(DATEDIF($I152-1,EB$15+1,"m"),)/12,)-1,)*Index!DX$22*(EB$15&gt;$I170)*(1-EB$12)</f>
        <v>6556.68</v>
      </c>
      <c r="EC170" s="747">
        <f>$G170*$H170*(1+$K170)^MAX(ROUNDUP(IFERROR(DATEDIF($I152-1,EC$15+1,"m"),)/12,)-1,)*Index!DY$22*(EC$15&gt;$I170)*(1-EC$12)</f>
        <v>6556.68</v>
      </c>
      <c r="ED170" s="747">
        <f>$G170*$H170*(1+$K170)^MAX(ROUNDUP(IFERROR(DATEDIF($I152-1,ED$15+1,"m"),)/12,)-1,)*Index!DZ$22*(ED$15&gt;$I170)*(1-ED$12)</f>
        <v>6556.68</v>
      </c>
      <c r="EE170" s="747">
        <f>$G170*$H170*(1+$K170)^MAX(ROUNDUP(IFERROR(DATEDIF($I152-1,EE$15+1,"m"),)/12,)-1,)*Index!EA$22*(EE$15&gt;$I170)*(1-EE$12)</f>
        <v>6556.68</v>
      </c>
      <c r="EF170" s="747">
        <f>$G170*$H170*(1+$K170)^MAX(ROUNDUP(IFERROR(DATEDIF($I152-1,EF$15+1,"m"),)/12,)-1,)*Index!EB$22*(EF$15&gt;$I170)*(1-EF$12)</f>
        <v>6556.68</v>
      </c>
      <c r="EG170" s="747">
        <f>$G170*$H170*(1+$K170)^MAX(ROUNDUP(IFERROR(DATEDIF($I152-1,EG$15+1,"m"),)/12,)-1,)*Index!EC$22*(EG$15&gt;$I170)*(1-EG$12)</f>
        <v>0</v>
      </c>
      <c r="EH170" s="747">
        <f>$G170*$H170*(1+$K170)^MAX(ROUNDUP(IFERROR(DATEDIF($I152-1,EH$15+1,"m"),)/12,)-1,)*Index!ED$22*(EH$15&gt;$I170)*(1-EH$12)</f>
        <v>0</v>
      </c>
      <c r="EI170" s="747">
        <f>$G170*$H170*(1+$K170)^MAX(ROUNDUP(IFERROR(DATEDIF($I152-1,EI$15+1,"m"),)/12,)-1,)*Index!EE$22*(EI$15&gt;$I170)*(1-EI$12)</f>
        <v>0</v>
      </c>
      <c r="EJ170" s="747">
        <f>$G170*$H170*(1+$K170)^MAX(ROUNDUP(IFERROR(DATEDIF($I152-1,EJ$15+1,"m"),)/12,)-1,)*Index!EF$22*(EJ$15&gt;$I170)*(1-EJ$12)</f>
        <v>0</v>
      </c>
      <c r="EK170" s="747">
        <f>$G170*$H170*(1+$K170)^MAX(ROUNDUP(IFERROR(DATEDIF($I152-1,EK$15+1,"m"),)/12,)-1,)*Index!EG$22*(EK$15&gt;$I170)*(1-EK$12)</f>
        <v>0</v>
      </c>
      <c r="EL170" s="747">
        <f>$G170*$H170*(1+$K170)^MAX(ROUNDUP(IFERROR(DATEDIF($I152-1,EL$15+1,"m"),)/12,)-1,)*Index!EH$22*(EL$15&gt;$I170)*(1-EL$12)</f>
        <v>0</v>
      </c>
      <c r="EM170" s="747">
        <f>$G170*$H170*(1+$K170)^MAX(ROUNDUP(IFERROR(DATEDIF($I152-1,EM$15+1,"m"),)/12,)-1,)*Index!EI$22*(EM$15&gt;$I170)*(1-EM$12)</f>
        <v>0</v>
      </c>
      <c r="EN170" s="747">
        <f>$G170*$H170*(1+$K170)^MAX(ROUNDUP(IFERROR(DATEDIF($I152-1,EN$15+1,"m"),)/12,)-1,)*Index!EJ$22*(EN$15&gt;$I170)*(1-EN$12)</f>
        <v>0</v>
      </c>
      <c r="EO170" s="747">
        <f>$G170*$H170*(1+$K170)^MAX(ROUNDUP(IFERROR(DATEDIF($I152-1,EO$15+1,"m"),)/12,)-1,)*Index!EK$22*(EO$15&gt;$I170)*(1-EO$12)</f>
        <v>0</v>
      </c>
      <c r="EP170" s="747">
        <f>$G170*$H170*(1+$K170)^MAX(ROUNDUP(IFERROR(DATEDIF($I152-1,EP$15+1,"m"),)/12,)-1,)*Index!EL$22*(EP$15&gt;$I170)*(1-EP$12)</f>
        <v>0</v>
      </c>
      <c r="EQ170" s="747">
        <f>$G170*$H170*(1+$K170)^MAX(ROUNDUP(IFERROR(DATEDIF($I152-1,EQ$15+1,"m"),)/12,)-1,)*Index!EM$22*(EQ$15&gt;$I170)*(1-EQ$12)</f>
        <v>0</v>
      </c>
      <c r="ER170" s="747">
        <f>$G170*$H170*(1+$K170)^MAX(ROUNDUP(IFERROR(DATEDIF($I152-1,ER$15+1,"m"),)/12,)-1,)*Index!EN$22*(ER$15&gt;$I170)*(1-ER$12)</f>
        <v>0</v>
      </c>
      <c r="ES170" s="747">
        <f>$G170*$H170*(1+$K170)^MAX(ROUNDUP(IFERROR(DATEDIF($I152-1,ES$15+1,"m"),)/12,)-1,)*Index!EO$22*(ES$15&gt;$I170)*(1-ES$12)</f>
        <v>0</v>
      </c>
      <c r="ET170" s="747">
        <f>$G170*$H170*(1+$K170)^MAX(ROUNDUP(IFERROR(DATEDIF($I152-1,ET$15+1,"m"),)/12,)-1,)*Index!EP$22*(ET$15&gt;$I170)*(1-ET$12)</f>
        <v>0</v>
      </c>
      <c r="EU170" s="747">
        <f>$G170*$H170*(1+$K170)^MAX(ROUNDUP(IFERROR(DATEDIF($I152-1,EU$15+1,"m"),)/12,)-1,)*Index!EQ$22*(EU$15&gt;$I170)*(1-EU$12)</f>
        <v>0</v>
      </c>
    </row>
    <row r="171" spans="3:151" ht="11.25" customHeight="1">
      <c r="C171" s="735"/>
      <c r="D171" s="743">
        <f t="shared" si="243"/>
        <v>2</v>
      </c>
      <c r="E171" s="704" t="str">
        <f t="shared" si="243"/>
        <v>쿠팡</v>
      </c>
      <c r="F171" s="704" t="str">
        <f t="shared" si="243"/>
        <v>상온창고</v>
      </c>
      <c r="G171" s="781" cm="1">
        <f t="array" ref="G171">SUMPRODUCT(($E171='A&amp;R'!$V$26:$V$32)*('A&amp;R'!$AC$26:$AC$32))/1000</f>
        <v>2.9900433370455741</v>
      </c>
      <c r="H171" s="744">
        <f t="shared" si="244"/>
        <v>2185.56</v>
      </c>
      <c r="I171" s="745">
        <f t="shared" si="245"/>
        <v>49064</v>
      </c>
      <c r="J171" s="745"/>
      <c r="K171" s="754">
        <f t="shared" si="246"/>
        <v>2.5000000000000001E-2</v>
      </c>
      <c r="L171" s="746"/>
      <c r="M171" s="722"/>
      <c r="N171" s="747">
        <f t="shared" si="247"/>
        <v>251416.53726829463</v>
      </c>
      <c r="O171" s="733"/>
      <c r="P171" s="747">
        <f>$G171*$H171*(1+$K171)^MAX(ROUNDUP(IFERROR(DATEDIF($I153-1,P$15+1,"m"),)/12,)-1,)*Index!L$22*(P$15&gt;$I171)*(1-P$12)</f>
        <v>0</v>
      </c>
      <c r="Q171" s="747">
        <f>$G171*$H171*(1+$K171)^MAX(ROUNDUP(IFERROR(DATEDIF($I153-1,Q$15+1,"m"),)/12,)-1,)*Index!M$22*(Q$15&gt;$I171)*(1-Q$12)</f>
        <v>0</v>
      </c>
      <c r="R171" s="747">
        <f>$G171*$H171*(1+$K171)^MAX(ROUNDUP(IFERROR(DATEDIF($I153-1,R$15+1,"m"),)/12,)-1,)*Index!N$22*(R$15&gt;$I171)*(1-R$12)</f>
        <v>0</v>
      </c>
      <c r="S171" s="747">
        <f>$G171*$H171*(1+$K171)^MAX(ROUNDUP(IFERROR(DATEDIF($I153-1,S$15+1,"m"),)/12,)-1,)*Index!O$22*(S$15&gt;$I171)*(1-S$12)</f>
        <v>0</v>
      </c>
      <c r="T171" s="747">
        <f>$G171*$H171*(1+$K171)^MAX(ROUNDUP(IFERROR(DATEDIF($I153-1,T$15+1,"m"),)/12,)-1,)*Index!P$22*(T$15&gt;$I171)*(1-T$12)</f>
        <v>0</v>
      </c>
      <c r="U171" s="747">
        <f>$G171*$H171*(1+$K171)^MAX(ROUNDUP(IFERROR(DATEDIF($I153-1,U$15+1,"m"),)/12,)-1,)*Index!Q$22*(U$15&gt;$I171)*(1-U$12)</f>
        <v>0</v>
      </c>
      <c r="V171" s="747">
        <f>$G171*$H171*(1+$K171)^MAX(ROUNDUP(IFERROR(DATEDIF($I153-1,V$15+1,"m"),)/12,)-1,)*Index!R$22*(V$15&gt;$I171)*(1-V$12)</f>
        <v>0</v>
      </c>
      <c r="W171" s="747">
        <f>$G171*$H171*(1+$K171)^MAX(ROUNDUP(IFERROR(DATEDIF($I153-1,W$15+1,"m"),)/12,)-1,)*Index!S$22*(W$15&gt;$I171)*(1-W$12)</f>
        <v>0</v>
      </c>
      <c r="X171" s="747">
        <f>$G171*$H171*(1+$K171)^MAX(ROUNDUP(IFERROR(DATEDIF($I153-1,X$15+1,"m"),)/12,)-1,)*Index!T$22*(X$15&gt;$I171)*(1-X$12)</f>
        <v>0</v>
      </c>
      <c r="Y171" s="747">
        <f>$G171*$H171*(1+$K171)^MAX(ROUNDUP(IFERROR(DATEDIF($I153-1,Y$15+1,"m"),)/12,)-1,)*Index!U$22*(Y$15&gt;$I171)*(1-Y$12)</f>
        <v>0</v>
      </c>
      <c r="Z171" s="747">
        <f>$G171*$H171*(1+$K171)^MAX(ROUNDUP(IFERROR(DATEDIF($I153-1,Z$15+1,"m"),)/12,)-1,)*Index!V$22*(Z$15&gt;$I171)*(1-Z$12)</f>
        <v>0</v>
      </c>
      <c r="AA171" s="747">
        <f>$G171*$H171*(1+$K171)^MAX(ROUNDUP(IFERROR(DATEDIF($I153-1,AA$15+1,"m"),)/12,)-1,)*Index!W$22*(AA$15&gt;$I171)*(1-AA$12)</f>
        <v>0</v>
      </c>
      <c r="AB171" s="747">
        <f>$G171*$H171*(1+$K171)^MAX(ROUNDUP(IFERROR(DATEDIF($I153-1,AB$15+1,"m"),)/12,)-1,)*Index!X$22*(AB$15&gt;$I171)*(1-AB$12)</f>
        <v>0</v>
      </c>
      <c r="AC171" s="747">
        <f>$G171*$H171*(1+$K171)^MAX(ROUNDUP(IFERROR(DATEDIF($I153-1,AC$15+1,"m"),)/12,)-1,)*Index!Y$22*(AC$15&gt;$I171)*(1-AC$12)</f>
        <v>0</v>
      </c>
      <c r="AD171" s="747">
        <f>$G171*$H171*(1+$K171)^MAX(ROUNDUP(IFERROR(DATEDIF($I153-1,AD$15+1,"m"),)/12,)-1,)*Index!Z$22*(AD$15&gt;$I171)*(1-AD$12)</f>
        <v>0</v>
      </c>
      <c r="AE171" s="747">
        <f>$G171*$H171*(1+$K171)^MAX(ROUNDUP(IFERROR(DATEDIF($I153-1,AE$15+1,"m"),)/12,)-1,)*Index!AA$22*(AE$15&gt;$I171)*(1-AE$12)</f>
        <v>0</v>
      </c>
      <c r="AF171" s="747">
        <f>$G171*$H171*(1+$K171)^MAX(ROUNDUP(IFERROR(DATEDIF($I153-1,AF$15+1,"m"),)/12,)-1,)*Index!AB$22*(AF$15&gt;$I171)*(1-AF$12)</f>
        <v>0</v>
      </c>
      <c r="AG171" s="747">
        <f>$G171*$H171*(1+$K171)^MAX(ROUNDUP(IFERROR(DATEDIF($I153-1,AG$15+1,"m"),)/12,)-1,)*Index!AC$22*(AG$15&gt;$I171)*(1-AG$12)</f>
        <v>0</v>
      </c>
      <c r="AH171" s="747">
        <f>$G171*$H171*(1+$K171)^MAX(ROUNDUP(IFERROR(DATEDIF($I153-1,AH$15+1,"m"),)/12,)-1,)*Index!AD$22*(AH$15&gt;$I171)*(1-AH$12)</f>
        <v>0</v>
      </c>
      <c r="AI171" s="747">
        <f>$G171*$H171*(1+$K171)^MAX(ROUNDUP(IFERROR(DATEDIF($I153-1,AI$15+1,"m"),)/12,)-1,)*Index!AE$22*(AI$15&gt;$I171)*(1-AI$12)</f>
        <v>0</v>
      </c>
      <c r="AJ171" s="747">
        <f>$G171*$H171*(1+$K171)^MAX(ROUNDUP(IFERROR(DATEDIF($I153-1,AJ$15+1,"m"),)/12,)-1,)*Index!AF$22*(AJ$15&gt;$I171)*(1-AJ$12)</f>
        <v>0</v>
      </c>
      <c r="AK171" s="747">
        <f>$G171*$H171*(1+$K171)^MAX(ROUNDUP(IFERROR(DATEDIF($I153-1,AK$15+1,"m"),)/12,)-1,)*Index!AG$22*(AK$15&gt;$I171)*(1-AK$12)</f>
        <v>0</v>
      </c>
      <c r="AL171" s="747">
        <f>$G171*$H171*(1+$K171)^MAX(ROUNDUP(IFERROR(DATEDIF($I153-1,AL$15+1,"m"),)/12,)-1,)*Index!AH$22*(AL$15&gt;$I171)*(1-AL$12)</f>
        <v>0</v>
      </c>
      <c r="AM171" s="747">
        <f>$G171*$H171*(1+$K171)^MAX(ROUNDUP(IFERROR(DATEDIF($I153-1,AM$15+1,"m"),)/12,)-1,)*Index!AI$22*(AM$15&gt;$I171)*(1-AM$12)</f>
        <v>0</v>
      </c>
      <c r="AN171" s="747">
        <f>$G171*$H171*(1+$K171)^MAX(ROUNDUP(IFERROR(DATEDIF($I153-1,AN$15+1,"m"),)/12,)-1,)*Index!AJ$22*(AN$15&gt;$I171)*(1-AN$12)</f>
        <v>0</v>
      </c>
      <c r="AO171" s="747">
        <f>$G171*$H171*(1+$K171)^MAX(ROUNDUP(IFERROR(DATEDIF($I153-1,AO$15+1,"m"),)/12,)-1,)*Index!AK$22*(AO$15&gt;$I171)*(1-AO$12)</f>
        <v>0</v>
      </c>
      <c r="AP171" s="747">
        <f>$G171*$H171*(1+$K171)^MAX(ROUNDUP(IFERROR(DATEDIF($I153-1,AP$15+1,"m"),)/12,)-1,)*Index!AL$22*(AP$15&gt;$I171)*(1-AP$12)</f>
        <v>0</v>
      </c>
      <c r="AQ171" s="747">
        <f>$G171*$H171*(1+$K171)^MAX(ROUNDUP(IFERROR(DATEDIF($I153-1,AQ$15+1,"m"),)/12,)-1,)*Index!AM$22*(AQ$15&gt;$I171)*(1-AQ$12)</f>
        <v>0</v>
      </c>
      <c r="AR171" s="747">
        <f>$G171*$H171*(1+$K171)^MAX(ROUNDUP(IFERROR(DATEDIF($I153-1,AR$15+1,"m"),)/12,)-1,)*Index!AN$22*(AR$15&gt;$I171)*(1-AR$12)</f>
        <v>0</v>
      </c>
      <c r="AS171" s="747">
        <f>$G171*$H171*(1+$K171)^MAX(ROUNDUP(IFERROR(DATEDIF($I153-1,AS$15+1,"m"),)/12,)-1,)*Index!AO$22*(AS$15&gt;$I171)*(1-AS$12)</f>
        <v>0</v>
      </c>
      <c r="AT171" s="747">
        <f>$G171*$H171*(1+$K171)^MAX(ROUNDUP(IFERROR(DATEDIF($I153-1,AT$15+1,"m"),)/12,)-1,)*Index!AP$22*(AT$15&gt;$I171)*(1-AT$12)</f>
        <v>0</v>
      </c>
      <c r="AU171" s="747">
        <f>$G171*$H171*(1+$K171)^MAX(ROUNDUP(IFERROR(DATEDIF($I153-1,AU$15+1,"m"),)/12,)-1,)*Index!AQ$22*(AU$15&gt;$I171)*(1-AU$12)</f>
        <v>0</v>
      </c>
      <c r="AV171" s="747">
        <f>$G171*$H171*(1+$K171)^MAX(ROUNDUP(IFERROR(DATEDIF($I153-1,AV$15+1,"m"),)/12,)-1,)*Index!AR$22*(AV$15&gt;$I171)*(1-AV$12)</f>
        <v>0</v>
      </c>
      <c r="AW171" s="747">
        <f>$G171*$H171*(1+$K171)^MAX(ROUNDUP(IFERROR(DATEDIF($I153-1,AW$15+1,"m"),)/12,)-1,)*Index!AS$22*(AW$15&gt;$I171)*(1-AW$12)</f>
        <v>0</v>
      </c>
      <c r="AX171" s="747">
        <f>$G171*$H171*(1+$K171)^MAX(ROUNDUP(IFERROR(DATEDIF($I153-1,AX$15+1,"m"),)/12,)-1,)*Index!AT$22*(AX$15&gt;$I171)*(1-AX$12)</f>
        <v>0</v>
      </c>
      <c r="AY171" s="747">
        <f>$G171*$H171*(1+$K171)^MAX(ROUNDUP(IFERROR(DATEDIF($I153-1,AY$15+1,"m"),)/12,)-1,)*Index!AU$22*(AY$15&gt;$I171)*(1-AY$12)</f>
        <v>0</v>
      </c>
      <c r="AZ171" s="747">
        <f>$G171*$H171*(1+$K171)^MAX(ROUNDUP(IFERROR(DATEDIF($I153-1,AZ$15+1,"m"),)/12,)-1,)*Index!AV$22*(AZ$15&gt;$I171)*(1-AZ$12)</f>
        <v>0</v>
      </c>
      <c r="BA171" s="747">
        <f>$G171*$H171*(1+$K171)^MAX(ROUNDUP(IFERROR(DATEDIF($I153-1,BA$15+1,"m"),)/12,)-1,)*Index!AW$22*(BA$15&gt;$I171)*(1-BA$12)</f>
        <v>0</v>
      </c>
      <c r="BB171" s="747">
        <f>$G171*$H171*(1+$K171)^MAX(ROUNDUP(IFERROR(DATEDIF($I153-1,BB$15+1,"m"),)/12,)-1,)*Index!AX$22*(BB$15&gt;$I171)*(1-BB$12)</f>
        <v>0</v>
      </c>
      <c r="BC171" s="747">
        <f>$G171*$H171*(1+$K171)^MAX(ROUNDUP(IFERROR(DATEDIF($I153-1,BC$15+1,"m"),)/12,)-1,)*Index!AY$22*(BC$15&gt;$I171)*(1-BC$12)</f>
        <v>0</v>
      </c>
      <c r="BD171" s="747">
        <f>$G171*$H171*(1+$K171)^MAX(ROUNDUP(IFERROR(DATEDIF($I153-1,BD$15+1,"m"),)/12,)-1,)*Index!AZ$22*(BD$15&gt;$I171)*(1-BD$12)</f>
        <v>0</v>
      </c>
      <c r="BE171" s="747">
        <f>$G171*$H171*(1+$K171)^MAX(ROUNDUP(IFERROR(DATEDIF($I153-1,BE$15+1,"m"),)/12,)-1,)*Index!BA$22*(BE$15&gt;$I171)*(1-BE$12)</f>
        <v>0</v>
      </c>
      <c r="BF171" s="747">
        <f>$G171*$H171*(1+$K171)^MAX(ROUNDUP(IFERROR(DATEDIF($I153-1,BF$15+1,"m"),)/12,)-1,)*Index!BB$22*(BF$15&gt;$I171)*(1-BF$12)</f>
        <v>0</v>
      </c>
      <c r="BG171" s="747">
        <f>$G171*$H171*(1+$K171)^MAX(ROUNDUP(IFERROR(DATEDIF($I153-1,BG$15+1,"m"),)/12,)-1,)*Index!BC$22*(BG$15&gt;$I171)*(1-BG$12)</f>
        <v>0</v>
      </c>
      <c r="BH171" s="747">
        <f>$G171*$H171*(1+$K171)^MAX(ROUNDUP(IFERROR(DATEDIF($I153-1,BH$15+1,"m"),)/12,)-1,)*Index!BD$22*(BH$15&gt;$I171)*(1-BH$12)</f>
        <v>0</v>
      </c>
      <c r="BI171" s="747">
        <f>$G171*$H171*(1+$K171)^MAX(ROUNDUP(IFERROR(DATEDIF($I153-1,BI$15+1,"m"),)/12,)-1,)*Index!BE$22*(BI$15&gt;$I171)*(1-BI$12)</f>
        <v>0</v>
      </c>
      <c r="BJ171" s="747">
        <f>$G171*$H171*(1+$K171)^MAX(ROUNDUP(IFERROR(DATEDIF($I153-1,BJ$15+1,"m"),)/12,)-1,)*Index!BF$22*(BJ$15&gt;$I171)*(1-BJ$12)</f>
        <v>0</v>
      </c>
      <c r="BK171" s="747">
        <f>$G171*$H171*(1+$K171)^MAX(ROUNDUP(IFERROR(DATEDIF($I153-1,BK$15+1,"m"),)/12,)-1,)*Index!BG$22*(BK$15&gt;$I171)*(1-BK$12)</f>
        <v>0</v>
      </c>
      <c r="BL171" s="747">
        <f>$G171*$H171*(1+$K171)^MAX(ROUNDUP(IFERROR(DATEDIF($I153-1,BL$15+1,"m"),)/12,)-1,)*Index!BH$22*(BL$15&gt;$I171)*(1-BL$12)</f>
        <v>0</v>
      </c>
      <c r="BM171" s="747">
        <f>$G171*$H171*(1+$K171)^MAX(ROUNDUP(IFERROR(DATEDIF($I153-1,BM$15+1,"m"),)/12,)-1,)*Index!BI$22*(BM$15&gt;$I171)*(1-BM$12)</f>
        <v>0</v>
      </c>
      <c r="BN171" s="747">
        <f>$G171*$H171*(1+$K171)^MAX(ROUNDUP(IFERROR(DATEDIF($I153-1,BN$15+1,"m"),)/12,)-1,)*Index!BJ$22*(BN$15&gt;$I171)*(1-BN$12)</f>
        <v>0</v>
      </c>
      <c r="BO171" s="747">
        <f>$G171*$H171*(1+$K171)^MAX(ROUNDUP(IFERROR(DATEDIF($I153-1,BO$15+1,"m"),)/12,)-1,)*Index!BK$22*(BO$15&gt;$I171)*(1-BO$12)</f>
        <v>0</v>
      </c>
      <c r="BP171" s="747">
        <f>$G171*$H171*(1+$K171)^MAX(ROUNDUP(IFERROR(DATEDIF($I153-1,BP$15+1,"m"),)/12,)-1,)*Index!BL$22*(BP$15&gt;$I171)*(1-BP$12)</f>
        <v>0</v>
      </c>
      <c r="BQ171" s="747">
        <f>$G171*$H171*(1+$K171)^MAX(ROUNDUP(IFERROR(DATEDIF($I153-1,BQ$15+1,"m"),)/12,)-1,)*Index!BM$22*(BQ$15&gt;$I171)*(1-BQ$12)</f>
        <v>0</v>
      </c>
      <c r="BR171" s="747">
        <f>$G171*$H171*(1+$K171)^MAX(ROUNDUP(IFERROR(DATEDIF($I153-1,BR$15+1,"m"),)/12,)-1,)*Index!BN$22*(BR$15&gt;$I171)*(1-BR$12)</f>
        <v>0</v>
      </c>
      <c r="BS171" s="747">
        <f>$G171*$H171*(1+$K171)^MAX(ROUNDUP(IFERROR(DATEDIF($I153-1,BS$15+1,"m"),)/12,)-1,)*Index!BO$22*(BS$15&gt;$I171)*(1-BS$12)</f>
        <v>0</v>
      </c>
      <c r="BT171" s="747">
        <f>$G171*$H171*(1+$K171)^MAX(ROUNDUP(IFERROR(DATEDIF($I153-1,BT$15+1,"m"),)/12,)-1,)*Index!BP$22*(BT$15&gt;$I171)*(1-BT$12)</f>
        <v>0</v>
      </c>
      <c r="BU171" s="747">
        <f>$G171*$H171*(1+$K171)^MAX(ROUNDUP(IFERROR(DATEDIF($I153-1,BU$15+1,"m"),)/12,)-1,)*Index!BQ$22*(BU$15&gt;$I171)*(1-BU$12)</f>
        <v>0</v>
      </c>
      <c r="BV171" s="747">
        <f>$G171*$H171*(1+$K171)^MAX(ROUNDUP(IFERROR(DATEDIF($I153-1,BV$15+1,"m"),)/12,)-1,)*Index!BR$22*(BV$15&gt;$I171)*(1-BV$12)</f>
        <v>0</v>
      </c>
      <c r="BW171" s="747">
        <f>$G171*$H171*(1+$K171)^MAX(ROUNDUP(IFERROR(DATEDIF($I153-1,BW$15+1,"m"),)/12,)-1,)*Index!BS$22*(BW$15&gt;$I171)*(1-BW$12)</f>
        <v>0</v>
      </c>
      <c r="BX171" s="747">
        <f>$G171*$H171*(1+$K171)^MAX(ROUNDUP(IFERROR(DATEDIF($I153-1,BX$15+1,"m"),)/12,)-1,)*Index!BT$22*(BX$15&gt;$I171)*(1-BX$12)</f>
        <v>0</v>
      </c>
      <c r="BY171" s="747">
        <f>$G171*$H171*(1+$K171)^MAX(ROUNDUP(IFERROR(DATEDIF($I153-1,BY$15+1,"m"),)/12,)-1,)*Index!BU$22*(BY$15&gt;$I171)*(1-BY$12)</f>
        <v>0</v>
      </c>
      <c r="BZ171" s="747">
        <f>$G171*$H171*(1+$K171)^MAX(ROUNDUP(IFERROR(DATEDIF($I153-1,BZ$15+1,"m"),)/12,)-1,)*Index!BV$22*(BZ$15&gt;$I171)*(1-BZ$12)</f>
        <v>0</v>
      </c>
      <c r="CA171" s="747">
        <f>$G171*$H171*(1+$K171)^MAX(ROUNDUP(IFERROR(DATEDIF($I153-1,CA$15+1,"m"),)/12,)-1,)*Index!BW$22*(CA$15&gt;$I171)*(1-CA$12)</f>
        <v>0</v>
      </c>
      <c r="CB171" s="747">
        <f>$G171*$H171*(1+$K171)^MAX(ROUNDUP(IFERROR(DATEDIF($I153-1,CB$15+1,"m"),)/12,)-1,)*Index!BX$22*(CB$15&gt;$I171)*(1-CB$12)</f>
        <v>0</v>
      </c>
      <c r="CC171" s="747">
        <f>$G171*$H171*(1+$K171)^MAX(ROUNDUP(IFERROR(DATEDIF($I153-1,CC$15+1,"m"),)/12,)-1,)*Index!BY$22*(CC$15&gt;$I171)*(1-CC$12)</f>
        <v>0</v>
      </c>
      <c r="CD171" s="747">
        <f>$G171*$H171*(1+$K171)^MAX(ROUNDUP(IFERROR(DATEDIF($I153-1,CD$15+1,"m"),)/12,)-1,)*Index!BZ$22*(CD$15&gt;$I171)*(1-CD$12)</f>
        <v>0</v>
      </c>
      <c r="CE171" s="747">
        <f>$G171*$H171*(1+$K171)^MAX(ROUNDUP(IFERROR(DATEDIF($I153-1,CE$15+1,"m"),)/12,)-1,)*Index!CA$22*(CE$15&gt;$I171)*(1-CE$12)</f>
        <v>0</v>
      </c>
      <c r="CF171" s="747">
        <f>$G171*$H171*(1+$K171)^MAX(ROUNDUP(IFERROR(DATEDIF($I153-1,CF$15+1,"m"),)/12,)-1,)*Index!CB$22*(CF$15&gt;$I171)*(1-CF$12)</f>
        <v>0</v>
      </c>
      <c r="CG171" s="747">
        <f>$G171*$H171*(1+$K171)^MAX(ROUNDUP(IFERROR(DATEDIF($I153-1,CG$15+1,"m"),)/12,)-1,)*Index!CC$22*(CG$15&gt;$I171)*(1-CG$12)</f>
        <v>0</v>
      </c>
      <c r="CH171" s="747">
        <f>$G171*$H171*(1+$K171)^MAX(ROUNDUP(IFERROR(DATEDIF($I153-1,CH$15+1,"m"),)/12,)-1,)*Index!CD$22*(CH$15&gt;$I171)*(1-CH$12)</f>
        <v>0</v>
      </c>
      <c r="CI171" s="747">
        <f>$G171*$H171*(1+$K171)^MAX(ROUNDUP(IFERROR(DATEDIF($I153-1,CI$15+1,"m"),)/12,)-1,)*Index!CE$22*(CI$15&gt;$I171)*(1-CI$12)</f>
        <v>0</v>
      </c>
      <c r="CJ171" s="747">
        <f>$G171*$H171*(1+$K171)^MAX(ROUNDUP(IFERROR(DATEDIF($I153-1,CJ$15+1,"m"),)/12,)-1,)*Index!CF$22*(CJ$15&gt;$I171)*(1-CJ$12)</f>
        <v>0</v>
      </c>
      <c r="CK171" s="747">
        <f>$G171*$H171*(1+$K171)^MAX(ROUNDUP(IFERROR(DATEDIF($I153-1,CK$15+1,"m"),)/12,)-1,)*Index!CG$22*(CK$15&gt;$I171)*(1-CK$12)</f>
        <v>0</v>
      </c>
      <c r="CL171" s="747">
        <f>$G171*$H171*(1+$K171)^MAX(ROUNDUP(IFERROR(DATEDIF($I153-1,CL$15+1,"m"),)/12,)-1,)*Index!CH$22*(CL$15&gt;$I171)*(1-CL$12)</f>
        <v>0</v>
      </c>
      <c r="CM171" s="747">
        <f>$G171*$H171*(1+$K171)^MAX(ROUNDUP(IFERROR(DATEDIF($I153-1,CM$15+1,"m"),)/12,)-1,)*Index!CI$22*(CM$15&gt;$I171)*(1-CM$12)</f>
        <v>0</v>
      </c>
      <c r="CN171" s="747">
        <f>$G171*$H171*(1+$K171)^MAX(ROUNDUP(IFERROR(DATEDIF($I153-1,CN$15+1,"m"),)/12,)-1,)*Index!CJ$22*(CN$15&gt;$I171)*(1-CN$12)</f>
        <v>0</v>
      </c>
      <c r="CO171" s="747">
        <f>$G171*$H171*(1+$K171)^MAX(ROUNDUP(IFERROR(DATEDIF($I153-1,CO$15+1,"m"),)/12,)-1,)*Index!CK$22*(CO$15&gt;$I171)*(1-CO$12)</f>
        <v>0</v>
      </c>
      <c r="CP171" s="747">
        <f>$G171*$H171*(1+$K171)^MAX(ROUNDUP(IFERROR(DATEDIF($I153-1,CP$15+1,"m"),)/12,)-1,)*Index!CL$22*(CP$15&gt;$I171)*(1-CP$12)</f>
        <v>0</v>
      </c>
      <c r="CQ171" s="747">
        <f>$G171*$H171*(1+$K171)^MAX(ROUNDUP(IFERROR(DATEDIF($I153-1,CQ$15+1,"m"),)/12,)-1,)*Index!CM$22*(CQ$15&gt;$I171)*(1-CQ$12)</f>
        <v>0</v>
      </c>
      <c r="CR171" s="747">
        <f>$G171*$H171*(1+$K171)^MAX(ROUNDUP(IFERROR(DATEDIF($I153-1,CR$15+1,"m"),)/12,)-1,)*Index!CN$22*(CR$15&gt;$I171)*(1-CR$12)</f>
        <v>0</v>
      </c>
      <c r="CS171" s="747">
        <f>$G171*$H171*(1+$K171)^MAX(ROUNDUP(IFERROR(DATEDIF($I153-1,CS$15+1,"m"),)/12,)-1,)*Index!CO$22*(CS$15&gt;$I171)*(1-CS$12)</f>
        <v>0</v>
      </c>
      <c r="CT171" s="747">
        <f>$G171*$H171*(1+$K171)^MAX(ROUNDUP(IFERROR(DATEDIF($I153-1,CT$15+1,"m"),)/12,)-1,)*Index!CP$22*(CT$15&gt;$I171)*(1-CT$12)</f>
        <v>0</v>
      </c>
      <c r="CU171" s="747">
        <f>$G171*$H171*(1+$K171)^MAX(ROUNDUP(IFERROR(DATEDIF($I153-1,CU$15+1,"m"),)/12,)-1,)*Index!CQ$22*(CU$15&gt;$I171)*(1-CU$12)</f>
        <v>0</v>
      </c>
      <c r="CV171" s="747">
        <f>$G171*$H171*(1+$K171)^MAX(ROUNDUP(IFERROR(DATEDIF($I153-1,CV$15+1,"m"),)/12,)-1,)*Index!CR$22*(CV$15&gt;$I171)*(1-CV$12)</f>
        <v>0</v>
      </c>
      <c r="CW171" s="747">
        <f>$G171*$H171*(1+$K171)^MAX(ROUNDUP(IFERROR(DATEDIF($I153-1,CW$15+1,"m"),)/12,)-1,)*Index!CS$22*(CW$15&gt;$I171)*(1-CW$12)</f>
        <v>0</v>
      </c>
      <c r="CX171" s="747">
        <f>$G171*$H171*(1+$K171)^MAX(ROUNDUP(IFERROR(DATEDIF($I153-1,CX$15+1,"m"),)/12,)-1,)*Index!CT$22*(CX$15&gt;$I171)*(1-CX$12)</f>
        <v>0</v>
      </c>
      <c r="CY171" s="747">
        <f>$G171*$H171*(1+$K171)^MAX(ROUNDUP(IFERROR(DATEDIF($I153-1,CY$15+1,"m"),)/12,)-1,)*Index!CU$22*(CY$15&gt;$I171)*(1-CY$12)</f>
        <v>0</v>
      </c>
      <c r="CZ171" s="747">
        <f>$G171*$H171*(1+$K171)^MAX(ROUNDUP(IFERROR(DATEDIF($I153-1,CZ$15+1,"m"),)/12,)-1,)*Index!CV$22*(CZ$15&gt;$I171)*(1-CZ$12)</f>
        <v>0</v>
      </c>
      <c r="DA171" s="747">
        <f>$G171*$H171*(1+$K171)^MAX(ROUNDUP(IFERROR(DATEDIF($I153-1,DA$15+1,"m"),)/12,)-1,)*Index!CW$22*(DA$15&gt;$I171)*(1-DA$12)</f>
        <v>0</v>
      </c>
      <c r="DB171" s="747">
        <f>$G171*$H171*(1+$K171)^MAX(ROUNDUP(IFERROR(DATEDIF($I153-1,DB$15+1,"m"),)/12,)-1,)*Index!CX$22*(DB$15&gt;$I171)*(1-DB$12)</f>
        <v>0</v>
      </c>
      <c r="DC171" s="747">
        <f>$G171*$H171*(1+$K171)^MAX(ROUNDUP(IFERROR(DATEDIF($I153-1,DC$15+1,"m"),)/12,)-1,)*Index!CY$22*(DC$15&gt;$I171)*(1-DC$12)</f>
        <v>8161.2184952175139</v>
      </c>
      <c r="DD171" s="747">
        <f>$G171*$H171*(1+$K171)^MAX(ROUNDUP(IFERROR(DATEDIF($I153-1,DD$15+1,"m"),)/12,)-1,)*Index!CZ$22*(DD$15&gt;$I171)*(1-DD$12)</f>
        <v>8161.2184952175139</v>
      </c>
      <c r="DE171" s="747">
        <f>$G171*$H171*(1+$K171)^MAX(ROUNDUP(IFERROR(DATEDIF($I153-1,DE$15+1,"m"),)/12,)-1,)*Index!DA$22*(DE$15&gt;$I171)*(1-DE$12)</f>
        <v>8161.2184952175139</v>
      </c>
      <c r="DF171" s="747">
        <f>$G171*$H171*(1+$K171)^MAX(ROUNDUP(IFERROR(DATEDIF($I153-1,DF$15+1,"m"),)/12,)-1,)*Index!DB$22*(DF$15&gt;$I171)*(1-DF$12)</f>
        <v>8161.2184952175139</v>
      </c>
      <c r="DG171" s="747">
        <f>$G171*$H171*(1+$K171)^MAX(ROUNDUP(IFERROR(DATEDIF($I153-1,DG$15+1,"m"),)/12,)-1,)*Index!DC$22*(DG$15&gt;$I171)*(1-DG$12)</f>
        <v>8161.2184952175139</v>
      </c>
      <c r="DH171" s="747">
        <f>$G171*$H171*(1+$K171)^MAX(ROUNDUP(IFERROR(DATEDIF($I153-1,DH$15+1,"m"),)/12,)-1,)*Index!DD$22*(DH$15&gt;$I171)*(1-DH$12)</f>
        <v>8161.2184952175139</v>
      </c>
      <c r="DI171" s="747">
        <f>$G171*$H171*(1+$K171)^MAX(ROUNDUP(IFERROR(DATEDIF($I153-1,DI$15+1,"m"),)/12,)-1,)*Index!DE$22*(DI$15&gt;$I171)*(1-DI$12)</f>
        <v>8161.2184952175139</v>
      </c>
      <c r="DJ171" s="747">
        <f>$G171*$H171*(1+$K171)^MAX(ROUNDUP(IFERROR(DATEDIF($I153-1,DJ$15+1,"m"),)/12,)-1,)*Index!DF$22*(DJ$15&gt;$I171)*(1-DJ$12)</f>
        <v>8161.2184952175139</v>
      </c>
      <c r="DK171" s="747">
        <f>$G171*$H171*(1+$K171)^MAX(ROUNDUP(IFERROR(DATEDIF($I153-1,DK$15+1,"m"),)/12,)-1,)*Index!DG$22*(DK$15&gt;$I171)*(1-DK$12)</f>
        <v>8365.2489575979525</v>
      </c>
      <c r="DL171" s="747">
        <f>$G171*$H171*(1+$K171)^MAX(ROUNDUP(IFERROR(DATEDIF($I153-1,DL$15+1,"m"),)/12,)-1,)*Index!DH$22*(DL$15&gt;$I171)*(1-DL$12)</f>
        <v>8365.2489575979525</v>
      </c>
      <c r="DM171" s="747">
        <f>$G171*$H171*(1+$K171)^MAX(ROUNDUP(IFERROR(DATEDIF($I153-1,DM$15+1,"m"),)/12,)-1,)*Index!DI$22*(DM$15&gt;$I171)*(1-DM$12)</f>
        <v>8365.2489575979525</v>
      </c>
      <c r="DN171" s="747">
        <f>$G171*$H171*(1+$K171)^MAX(ROUNDUP(IFERROR(DATEDIF($I153-1,DN$15+1,"m"),)/12,)-1,)*Index!DJ$22*(DN$15&gt;$I171)*(1-DN$12)</f>
        <v>8365.2489575979525</v>
      </c>
      <c r="DO171" s="747">
        <f>$G171*$H171*(1+$K171)^MAX(ROUNDUP(IFERROR(DATEDIF($I153-1,DO$15+1,"m"),)/12,)-1,)*Index!DK$22*(DO$15&gt;$I171)*(1-DO$12)</f>
        <v>8365.2489575979525</v>
      </c>
      <c r="DP171" s="747">
        <f>$G171*$H171*(1+$K171)^MAX(ROUNDUP(IFERROR(DATEDIF($I153-1,DP$15+1,"m"),)/12,)-1,)*Index!DL$22*(DP$15&gt;$I171)*(1-DP$12)</f>
        <v>8365.2489575979525</v>
      </c>
      <c r="DQ171" s="747">
        <f>$G171*$H171*(1+$K171)^MAX(ROUNDUP(IFERROR(DATEDIF($I153-1,DQ$15+1,"m"),)/12,)-1,)*Index!DM$22*(DQ$15&gt;$I171)*(1-DQ$12)</f>
        <v>8365.2489575979525</v>
      </c>
      <c r="DR171" s="747">
        <f>$G171*$H171*(1+$K171)^MAX(ROUNDUP(IFERROR(DATEDIF($I153-1,DR$15+1,"m"),)/12,)-1,)*Index!DN$22*(DR$15&gt;$I171)*(1-DR$12)</f>
        <v>8365.2489575979525</v>
      </c>
      <c r="DS171" s="747">
        <f>$G171*$H171*(1+$K171)^MAX(ROUNDUP(IFERROR(DATEDIF($I153-1,DS$15+1,"m"),)/12,)-1,)*Index!DO$22*(DS$15&gt;$I171)*(1-DS$12)</f>
        <v>8365.2489575979525</v>
      </c>
      <c r="DT171" s="747">
        <f>$G171*$H171*(1+$K171)^MAX(ROUNDUP(IFERROR(DATEDIF($I153-1,DT$15+1,"m"),)/12,)-1,)*Index!DP$22*(DT$15&gt;$I171)*(1-DT$12)</f>
        <v>8365.2489575979525</v>
      </c>
      <c r="DU171" s="747">
        <f>$G171*$H171*(1+$K171)^MAX(ROUNDUP(IFERROR(DATEDIF($I153-1,DU$15+1,"m"),)/12,)-1,)*Index!DQ$22*(DU$15&gt;$I171)*(1-DU$12)</f>
        <v>8365.2489575979525</v>
      </c>
      <c r="DV171" s="747">
        <f>$G171*$H171*(1+$K171)^MAX(ROUNDUP(IFERROR(DATEDIF($I153-1,DV$15+1,"m"),)/12,)-1,)*Index!DR$22*(DV$15&gt;$I171)*(1-DV$12)</f>
        <v>8365.2489575979525</v>
      </c>
      <c r="DW171" s="747">
        <f>$G171*$H171*(1+$K171)^MAX(ROUNDUP(IFERROR(DATEDIF($I153-1,DW$15+1,"m"),)/12,)-1,)*Index!DS$22*(DW$15&gt;$I171)*(1-DW$12)</f>
        <v>8574.3801815379011</v>
      </c>
      <c r="DX171" s="747">
        <f>$G171*$H171*(1+$K171)^MAX(ROUNDUP(IFERROR(DATEDIF($I153-1,DX$15+1,"m"),)/12,)-1,)*Index!DT$22*(DX$15&gt;$I171)*(1-DX$12)</f>
        <v>8574.3801815379011</v>
      </c>
      <c r="DY171" s="747">
        <f>$G171*$H171*(1+$K171)^MAX(ROUNDUP(IFERROR(DATEDIF($I153-1,DY$15+1,"m"),)/12,)-1,)*Index!DU$22*(DY$15&gt;$I171)*(1-DY$12)</f>
        <v>8574.3801815379011</v>
      </c>
      <c r="DZ171" s="747">
        <f>$G171*$H171*(1+$K171)^MAX(ROUNDUP(IFERROR(DATEDIF($I153-1,DZ$15+1,"m"),)/12,)-1,)*Index!DV$22*(DZ$15&gt;$I171)*(1-DZ$12)</f>
        <v>8574.3801815379011</v>
      </c>
      <c r="EA171" s="747">
        <f>$G171*$H171*(1+$K171)^MAX(ROUNDUP(IFERROR(DATEDIF($I153-1,EA$15+1,"m"),)/12,)-1,)*Index!DW$22*(EA$15&gt;$I171)*(1-EA$12)</f>
        <v>8574.3801815379011</v>
      </c>
      <c r="EB171" s="747">
        <f>$G171*$H171*(1+$K171)^MAX(ROUNDUP(IFERROR(DATEDIF($I153-1,EB$15+1,"m"),)/12,)-1,)*Index!DX$22*(EB$15&gt;$I171)*(1-EB$12)</f>
        <v>8574.3801815379011</v>
      </c>
      <c r="EC171" s="747">
        <f>$G171*$H171*(1+$K171)^MAX(ROUNDUP(IFERROR(DATEDIF($I153-1,EC$15+1,"m"),)/12,)-1,)*Index!DY$22*(EC$15&gt;$I171)*(1-EC$12)</f>
        <v>8574.3801815379011</v>
      </c>
      <c r="ED171" s="747">
        <f>$G171*$H171*(1+$K171)^MAX(ROUNDUP(IFERROR(DATEDIF($I153-1,ED$15+1,"m"),)/12,)-1,)*Index!DZ$22*(ED$15&gt;$I171)*(1-ED$12)</f>
        <v>8574.3801815379011</v>
      </c>
      <c r="EE171" s="747">
        <f>$G171*$H171*(1+$K171)^MAX(ROUNDUP(IFERROR(DATEDIF($I153-1,EE$15+1,"m"),)/12,)-1,)*Index!EA$22*(EE$15&gt;$I171)*(1-EE$12)</f>
        <v>8574.3801815379011</v>
      </c>
      <c r="EF171" s="747">
        <f>$G171*$H171*(1+$K171)^MAX(ROUNDUP(IFERROR(DATEDIF($I153-1,EF$15+1,"m"),)/12,)-1,)*Index!EB$22*(EF$15&gt;$I171)*(1-EF$12)</f>
        <v>8574.3801815379011</v>
      </c>
      <c r="EG171" s="747">
        <f>$G171*$H171*(1+$K171)^MAX(ROUNDUP(IFERROR(DATEDIF($I153-1,EG$15+1,"m"),)/12,)-1,)*Index!EC$22*(EG$15&gt;$I171)*(1-EG$12)</f>
        <v>0</v>
      </c>
      <c r="EH171" s="747">
        <f>$G171*$H171*(1+$K171)^MAX(ROUNDUP(IFERROR(DATEDIF($I153-1,EH$15+1,"m"),)/12,)-1,)*Index!ED$22*(EH$15&gt;$I171)*(1-EH$12)</f>
        <v>0</v>
      </c>
      <c r="EI171" s="747">
        <f>$G171*$H171*(1+$K171)^MAX(ROUNDUP(IFERROR(DATEDIF($I153-1,EI$15+1,"m"),)/12,)-1,)*Index!EE$22*(EI$15&gt;$I171)*(1-EI$12)</f>
        <v>0</v>
      </c>
      <c r="EJ171" s="747">
        <f>$G171*$H171*(1+$K171)^MAX(ROUNDUP(IFERROR(DATEDIF($I153-1,EJ$15+1,"m"),)/12,)-1,)*Index!EF$22*(EJ$15&gt;$I171)*(1-EJ$12)</f>
        <v>0</v>
      </c>
      <c r="EK171" s="747">
        <f>$G171*$H171*(1+$K171)^MAX(ROUNDUP(IFERROR(DATEDIF($I153-1,EK$15+1,"m"),)/12,)-1,)*Index!EG$22*(EK$15&gt;$I171)*(1-EK$12)</f>
        <v>0</v>
      </c>
      <c r="EL171" s="747">
        <f>$G171*$H171*(1+$K171)^MAX(ROUNDUP(IFERROR(DATEDIF($I153-1,EL$15+1,"m"),)/12,)-1,)*Index!EH$22*(EL$15&gt;$I171)*(1-EL$12)</f>
        <v>0</v>
      </c>
      <c r="EM171" s="747">
        <f>$G171*$H171*(1+$K171)^MAX(ROUNDUP(IFERROR(DATEDIF($I153-1,EM$15+1,"m"),)/12,)-1,)*Index!EI$22*(EM$15&gt;$I171)*(1-EM$12)</f>
        <v>0</v>
      </c>
      <c r="EN171" s="747">
        <f>$G171*$H171*(1+$K171)^MAX(ROUNDUP(IFERROR(DATEDIF($I153-1,EN$15+1,"m"),)/12,)-1,)*Index!EJ$22*(EN$15&gt;$I171)*(1-EN$12)</f>
        <v>0</v>
      </c>
      <c r="EO171" s="747">
        <f>$G171*$H171*(1+$K171)^MAX(ROUNDUP(IFERROR(DATEDIF($I153-1,EO$15+1,"m"),)/12,)-1,)*Index!EK$22*(EO$15&gt;$I171)*(1-EO$12)</f>
        <v>0</v>
      </c>
      <c r="EP171" s="747">
        <f>$G171*$H171*(1+$K171)^MAX(ROUNDUP(IFERROR(DATEDIF($I153-1,EP$15+1,"m"),)/12,)-1,)*Index!EL$22*(EP$15&gt;$I171)*(1-EP$12)</f>
        <v>0</v>
      </c>
      <c r="EQ171" s="747">
        <f>$G171*$H171*(1+$K171)^MAX(ROUNDUP(IFERROR(DATEDIF($I153-1,EQ$15+1,"m"),)/12,)-1,)*Index!EM$22*(EQ$15&gt;$I171)*(1-EQ$12)</f>
        <v>0</v>
      </c>
      <c r="ER171" s="747">
        <f>$G171*$H171*(1+$K171)^MAX(ROUNDUP(IFERROR(DATEDIF($I153-1,ER$15+1,"m"),)/12,)-1,)*Index!EN$22*(ER$15&gt;$I171)*(1-ER$12)</f>
        <v>0</v>
      </c>
      <c r="ES171" s="747">
        <f>$G171*$H171*(1+$K171)^MAX(ROUNDUP(IFERROR(DATEDIF($I153-1,ES$15+1,"m"),)/12,)-1,)*Index!EO$22*(ES$15&gt;$I171)*(1-ES$12)</f>
        <v>0</v>
      </c>
      <c r="ET171" s="747">
        <f>$G171*$H171*(1+$K171)^MAX(ROUNDUP(IFERROR(DATEDIF($I153-1,ET$15+1,"m"),)/12,)-1,)*Index!EP$22*(ET$15&gt;$I171)*(1-ET$12)</f>
        <v>0</v>
      </c>
      <c r="EU171" s="747">
        <f>$G171*$H171*(1+$K171)^MAX(ROUNDUP(IFERROR(DATEDIF($I153-1,EU$15+1,"m"),)/12,)-1,)*Index!EQ$22*(EU$15&gt;$I171)*(1-EU$12)</f>
        <v>0</v>
      </c>
    </row>
    <row r="172" spans="3:151" ht="11.25" customHeight="1">
      <c r="C172" s="735"/>
      <c r="D172" s="743">
        <f t="shared" si="243"/>
        <v>1</v>
      </c>
      <c r="E172" s="704" t="str">
        <f t="shared" si="243"/>
        <v>지오영</v>
      </c>
      <c r="F172" s="704" t="str">
        <f t="shared" si="243"/>
        <v>상온창고</v>
      </c>
      <c r="G172" s="781" cm="1">
        <f t="array" ref="G172">SUMPRODUCT(($E172='A&amp;R'!$V$26:$V$32)*('A&amp;R'!$AC$26:$AC$32))/1000</f>
        <v>3</v>
      </c>
      <c r="H172" s="744">
        <f t="shared" si="244"/>
        <v>1092.94</v>
      </c>
      <c r="I172" s="745">
        <f t="shared" si="245"/>
        <v>49340</v>
      </c>
      <c r="J172" s="745"/>
      <c r="K172" s="754">
        <f t="shared" si="246"/>
        <v>2.5000000000000001E-2</v>
      </c>
      <c r="L172" s="711"/>
      <c r="M172" s="722"/>
      <c r="N172" s="747">
        <f t="shared" si="247"/>
        <v>89084.865440410344</v>
      </c>
      <c r="O172" s="733"/>
      <c r="P172" s="747">
        <f>$G172*$H172*(1+$K172)^MAX(ROUNDUP(IFERROR(DATEDIF($I154-1,P$15+1,"m"),)/12,)-1,)*Index!L$22*(P$15&gt;$I172)*(1-P$12)</f>
        <v>0</v>
      </c>
      <c r="Q172" s="747">
        <f>$G172*$H172*(1+$K172)^MAX(ROUNDUP(IFERROR(DATEDIF($I154-1,Q$15+1,"m"),)/12,)-1,)*Index!M$22*(Q$15&gt;$I172)*(1-Q$12)</f>
        <v>0</v>
      </c>
      <c r="R172" s="747">
        <f>$G172*$H172*(1+$K172)^MAX(ROUNDUP(IFERROR(DATEDIF($I154-1,R$15+1,"m"),)/12,)-1,)*Index!N$22*(R$15&gt;$I172)*(1-R$12)</f>
        <v>0</v>
      </c>
      <c r="S172" s="747">
        <f>$G172*$H172*(1+$K172)^MAX(ROUNDUP(IFERROR(DATEDIF($I154-1,S$15+1,"m"),)/12,)-1,)*Index!O$22*(S$15&gt;$I172)*(1-S$12)</f>
        <v>0</v>
      </c>
      <c r="T172" s="747">
        <f>$G172*$H172*(1+$K172)^MAX(ROUNDUP(IFERROR(DATEDIF($I154-1,T$15+1,"m"),)/12,)-1,)*Index!P$22*(T$15&gt;$I172)*(1-T$12)</f>
        <v>0</v>
      </c>
      <c r="U172" s="747">
        <f>$G172*$H172*(1+$K172)^MAX(ROUNDUP(IFERROR(DATEDIF($I154-1,U$15+1,"m"),)/12,)-1,)*Index!Q$22*(U$15&gt;$I172)*(1-U$12)</f>
        <v>0</v>
      </c>
      <c r="V172" s="747">
        <f>$G172*$H172*(1+$K172)^MAX(ROUNDUP(IFERROR(DATEDIF($I154-1,V$15+1,"m"),)/12,)-1,)*Index!R$22*(V$15&gt;$I172)*(1-V$12)</f>
        <v>0</v>
      </c>
      <c r="W172" s="747">
        <f>$G172*$H172*(1+$K172)^MAX(ROUNDUP(IFERROR(DATEDIF($I154-1,W$15+1,"m"),)/12,)-1,)*Index!S$22*(W$15&gt;$I172)*(1-W$12)</f>
        <v>0</v>
      </c>
      <c r="X172" s="747">
        <f>$G172*$H172*(1+$K172)^MAX(ROUNDUP(IFERROR(DATEDIF($I154-1,X$15+1,"m"),)/12,)-1,)*Index!T$22*(X$15&gt;$I172)*(1-X$12)</f>
        <v>0</v>
      </c>
      <c r="Y172" s="747">
        <f>$G172*$H172*(1+$K172)^MAX(ROUNDUP(IFERROR(DATEDIF($I154-1,Y$15+1,"m"),)/12,)-1,)*Index!U$22*(Y$15&gt;$I172)*(1-Y$12)</f>
        <v>0</v>
      </c>
      <c r="Z172" s="747">
        <f>$G172*$H172*(1+$K172)^MAX(ROUNDUP(IFERROR(DATEDIF($I154-1,Z$15+1,"m"),)/12,)-1,)*Index!V$22*(Z$15&gt;$I172)*(1-Z$12)</f>
        <v>0</v>
      </c>
      <c r="AA172" s="747">
        <f>$G172*$H172*(1+$K172)^MAX(ROUNDUP(IFERROR(DATEDIF($I154-1,AA$15+1,"m"),)/12,)-1,)*Index!W$22*(AA$15&gt;$I172)*(1-AA$12)</f>
        <v>0</v>
      </c>
      <c r="AB172" s="747">
        <f>$G172*$H172*(1+$K172)^MAX(ROUNDUP(IFERROR(DATEDIF($I154-1,AB$15+1,"m"),)/12,)-1,)*Index!X$22*(AB$15&gt;$I172)*(1-AB$12)</f>
        <v>0</v>
      </c>
      <c r="AC172" s="747">
        <f>$G172*$H172*(1+$K172)^MAX(ROUNDUP(IFERROR(DATEDIF($I154-1,AC$15+1,"m"),)/12,)-1,)*Index!Y$22*(AC$15&gt;$I172)*(1-AC$12)</f>
        <v>0</v>
      </c>
      <c r="AD172" s="747">
        <f>$G172*$H172*(1+$K172)^MAX(ROUNDUP(IFERROR(DATEDIF($I154-1,AD$15+1,"m"),)/12,)-1,)*Index!Z$22*(AD$15&gt;$I172)*(1-AD$12)</f>
        <v>0</v>
      </c>
      <c r="AE172" s="747">
        <f>$G172*$H172*(1+$K172)^MAX(ROUNDUP(IFERROR(DATEDIF($I154-1,AE$15+1,"m"),)/12,)-1,)*Index!AA$22*(AE$15&gt;$I172)*(1-AE$12)</f>
        <v>0</v>
      </c>
      <c r="AF172" s="747">
        <f>$G172*$H172*(1+$K172)^MAX(ROUNDUP(IFERROR(DATEDIF($I154-1,AF$15+1,"m"),)/12,)-1,)*Index!AB$22*(AF$15&gt;$I172)*(1-AF$12)</f>
        <v>0</v>
      </c>
      <c r="AG172" s="747">
        <f>$G172*$H172*(1+$K172)^MAX(ROUNDUP(IFERROR(DATEDIF($I154-1,AG$15+1,"m"),)/12,)-1,)*Index!AC$22*(AG$15&gt;$I172)*(1-AG$12)</f>
        <v>0</v>
      </c>
      <c r="AH172" s="747">
        <f>$G172*$H172*(1+$K172)^MAX(ROUNDUP(IFERROR(DATEDIF($I154-1,AH$15+1,"m"),)/12,)-1,)*Index!AD$22*(AH$15&gt;$I172)*(1-AH$12)</f>
        <v>0</v>
      </c>
      <c r="AI172" s="747">
        <f>$G172*$H172*(1+$K172)^MAX(ROUNDUP(IFERROR(DATEDIF($I154-1,AI$15+1,"m"),)/12,)-1,)*Index!AE$22*(AI$15&gt;$I172)*(1-AI$12)</f>
        <v>0</v>
      </c>
      <c r="AJ172" s="747">
        <f>$G172*$H172*(1+$K172)^MAX(ROUNDUP(IFERROR(DATEDIF($I154-1,AJ$15+1,"m"),)/12,)-1,)*Index!AF$22*(AJ$15&gt;$I172)*(1-AJ$12)</f>
        <v>0</v>
      </c>
      <c r="AK172" s="747">
        <f>$G172*$H172*(1+$K172)^MAX(ROUNDUP(IFERROR(DATEDIF($I154-1,AK$15+1,"m"),)/12,)-1,)*Index!AG$22*(AK$15&gt;$I172)*(1-AK$12)</f>
        <v>0</v>
      </c>
      <c r="AL172" s="747">
        <f>$G172*$H172*(1+$K172)^MAX(ROUNDUP(IFERROR(DATEDIF($I154-1,AL$15+1,"m"),)/12,)-1,)*Index!AH$22*(AL$15&gt;$I172)*(1-AL$12)</f>
        <v>0</v>
      </c>
      <c r="AM172" s="747">
        <f>$G172*$H172*(1+$K172)^MAX(ROUNDUP(IFERROR(DATEDIF($I154-1,AM$15+1,"m"),)/12,)-1,)*Index!AI$22*(AM$15&gt;$I172)*(1-AM$12)</f>
        <v>0</v>
      </c>
      <c r="AN172" s="747">
        <f>$G172*$H172*(1+$K172)^MAX(ROUNDUP(IFERROR(DATEDIF($I154-1,AN$15+1,"m"),)/12,)-1,)*Index!AJ$22*(AN$15&gt;$I172)*(1-AN$12)</f>
        <v>0</v>
      </c>
      <c r="AO172" s="747">
        <f>$G172*$H172*(1+$K172)^MAX(ROUNDUP(IFERROR(DATEDIF($I154-1,AO$15+1,"m"),)/12,)-1,)*Index!AK$22*(AO$15&gt;$I172)*(1-AO$12)</f>
        <v>0</v>
      </c>
      <c r="AP172" s="747">
        <f>$G172*$H172*(1+$K172)^MAX(ROUNDUP(IFERROR(DATEDIF($I154-1,AP$15+1,"m"),)/12,)-1,)*Index!AL$22*(AP$15&gt;$I172)*(1-AP$12)</f>
        <v>0</v>
      </c>
      <c r="AQ172" s="747">
        <f>$G172*$H172*(1+$K172)^MAX(ROUNDUP(IFERROR(DATEDIF($I154-1,AQ$15+1,"m"),)/12,)-1,)*Index!AM$22*(AQ$15&gt;$I172)*(1-AQ$12)</f>
        <v>0</v>
      </c>
      <c r="AR172" s="747">
        <f>$G172*$H172*(1+$K172)^MAX(ROUNDUP(IFERROR(DATEDIF($I154-1,AR$15+1,"m"),)/12,)-1,)*Index!AN$22*(AR$15&gt;$I172)*(1-AR$12)</f>
        <v>0</v>
      </c>
      <c r="AS172" s="747">
        <f>$G172*$H172*(1+$K172)^MAX(ROUNDUP(IFERROR(DATEDIF($I154-1,AS$15+1,"m"),)/12,)-1,)*Index!AO$22*(AS$15&gt;$I172)*(1-AS$12)</f>
        <v>0</v>
      </c>
      <c r="AT172" s="747">
        <f>$G172*$H172*(1+$K172)^MAX(ROUNDUP(IFERROR(DATEDIF($I154-1,AT$15+1,"m"),)/12,)-1,)*Index!AP$22*(AT$15&gt;$I172)*(1-AT$12)</f>
        <v>0</v>
      </c>
      <c r="AU172" s="747">
        <f>$G172*$H172*(1+$K172)^MAX(ROUNDUP(IFERROR(DATEDIF($I154-1,AU$15+1,"m"),)/12,)-1,)*Index!AQ$22*(AU$15&gt;$I172)*(1-AU$12)</f>
        <v>0</v>
      </c>
      <c r="AV172" s="747">
        <f>$G172*$H172*(1+$K172)^MAX(ROUNDUP(IFERROR(DATEDIF($I154-1,AV$15+1,"m"),)/12,)-1,)*Index!AR$22*(AV$15&gt;$I172)*(1-AV$12)</f>
        <v>0</v>
      </c>
      <c r="AW172" s="747">
        <f>$G172*$H172*(1+$K172)^MAX(ROUNDUP(IFERROR(DATEDIF($I154-1,AW$15+1,"m"),)/12,)-1,)*Index!AS$22*(AW$15&gt;$I172)*(1-AW$12)</f>
        <v>0</v>
      </c>
      <c r="AX172" s="747">
        <f>$G172*$H172*(1+$K172)^MAX(ROUNDUP(IFERROR(DATEDIF($I154-1,AX$15+1,"m"),)/12,)-1,)*Index!AT$22*(AX$15&gt;$I172)*(1-AX$12)</f>
        <v>0</v>
      </c>
      <c r="AY172" s="747">
        <f>$G172*$H172*(1+$K172)^MAX(ROUNDUP(IFERROR(DATEDIF($I154-1,AY$15+1,"m"),)/12,)-1,)*Index!AU$22*(AY$15&gt;$I172)*(1-AY$12)</f>
        <v>0</v>
      </c>
      <c r="AZ172" s="747">
        <f>$G172*$H172*(1+$K172)^MAX(ROUNDUP(IFERROR(DATEDIF($I154-1,AZ$15+1,"m"),)/12,)-1,)*Index!AV$22*(AZ$15&gt;$I172)*(1-AZ$12)</f>
        <v>0</v>
      </c>
      <c r="BA172" s="747">
        <f>$G172*$H172*(1+$K172)^MAX(ROUNDUP(IFERROR(DATEDIF($I154-1,BA$15+1,"m"),)/12,)-1,)*Index!AW$22*(BA$15&gt;$I172)*(1-BA$12)</f>
        <v>0</v>
      </c>
      <c r="BB172" s="747">
        <f>$G172*$H172*(1+$K172)^MAX(ROUNDUP(IFERROR(DATEDIF($I154-1,BB$15+1,"m"),)/12,)-1,)*Index!AX$22*(BB$15&gt;$I172)*(1-BB$12)</f>
        <v>0</v>
      </c>
      <c r="BC172" s="747">
        <f>$G172*$H172*(1+$K172)^MAX(ROUNDUP(IFERROR(DATEDIF($I154-1,BC$15+1,"m"),)/12,)-1,)*Index!AY$22*(BC$15&gt;$I172)*(1-BC$12)</f>
        <v>0</v>
      </c>
      <c r="BD172" s="747">
        <f>$G172*$H172*(1+$K172)^MAX(ROUNDUP(IFERROR(DATEDIF($I154-1,BD$15+1,"m"),)/12,)-1,)*Index!AZ$22*(BD$15&gt;$I172)*(1-BD$12)</f>
        <v>0</v>
      </c>
      <c r="BE172" s="747">
        <f>$G172*$H172*(1+$K172)^MAX(ROUNDUP(IFERROR(DATEDIF($I154-1,BE$15+1,"m"),)/12,)-1,)*Index!BA$22*(BE$15&gt;$I172)*(1-BE$12)</f>
        <v>0</v>
      </c>
      <c r="BF172" s="747">
        <f>$G172*$H172*(1+$K172)^MAX(ROUNDUP(IFERROR(DATEDIF($I154-1,BF$15+1,"m"),)/12,)-1,)*Index!BB$22*(BF$15&gt;$I172)*(1-BF$12)</f>
        <v>0</v>
      </c>
      <c r="BG172" s="747">
        <f>$G172*$H172*(1+$K172)^MAX(ROUNDUP(IFERROR(DATEDIF($I154-1,BG$15+1,"m"),)/12,)-1,)*Index!BC$22*(BG$15&gt;$I172)*(1-BG$12)</f>
        <v>0</v>
      </c>
      <c r="BH172" s="747">
        <f>$G172*$H172*(1+$K172)^MAX(ROUNDUP(IFERROR(DATEDIF($I154-1,BH$15+1,"m"),)/12,)-1,)*Index!BD$22*(BH$15&gt;$I172)*(1-BH$12)</f>
        <v>0</v>
      </c>
      <c r="BI172" s="747">
        <f>$G172*$H172*(1+$K172)^MAX(ROUNDUP(IFERROR(DATEDIF($I154-1,BI$15+1,"m"),)/12,)-1,)*Index!BE$22*(BI$15&gt;$I172)*(1-BI$12)</f>
        <v>0</v>
      </c>
      <c r="BJ172" s="747">
        <f>$G172*$H172*(1+$K172)^MAX(ROUNDUP(IFERROR(DATEDIF($I154-1,BJ$15+1,"m"),)/12,)-1,)*Index!BF$22*(BJ$15&gt;$I172)*(1-BJ$12)</f>
        <v>0</v>
      </c>
      <c r="BK172" s="747">
        <f>$G172*$H172*(1+$K172)^MAX(ROUNDUP(IFERROR(DATEDIF($I154-1,BK$15+1,"m"),)/12,)-1,)*Index!BG$22*(BK$15&gt;$I172)*(1-BK$12)</f>
        <v>0</v>
      </c>
      <c r="BL172" s="747">
        <f>$G172*$H172*(1+$K172)^MAX(ROUNDUP(IFERROR(DATEDIF($I154-1,BL$15+1,"m"),)/12,)-1,)*Index!BH$22*(BL$15&gt;$I172)*(1-BL$12)</f>
        <v>0</v>
      </c>
      <c r="BM172" s="747">
        <f>$G172*$H172*(1+$K172)^MAX(ROUNDUP(IFERROR(DATEDIF($I154-1,BM$15+1,"m"),)/12,)-1,)*Index!BI$22*(BM$15&gt;$I172)*(1-BM$12)</f>
        <v>0</v>
      </c>
      <c r="BN172" s="747">
        <f>$G172*$H172*(1+$K172)^MAX(ROUNDUP(IFERROR(DATEDIF($I154-1,BN$15+1,"m"),)/12,)-1,)*Index!BJ$22*(BN$15&gt;$I172)*(1-BN$12)</f>
        <v>0</v>
      </c>
      <c r="BO172" s="747">
        <f>$G172*$H172*(1+$K172)^MAX(ROUNDUP(IFERROR(DATEDIF($I154-1,BO$15+1,"m"),)/12,)-1,)*Index!BK$22*(BO$15&gt;$I172)*(1-BO$12)</f>
        <v>0</v>
      </c>
      <c r="BP172" s="747">
        <f>$G172*$H172*(1+$K172)^MAX(ROUNDUP(IFERROR(DATEDIF($I154-1,BP$15+1,"m"),)/12,)-1,)*Index!BL$22*(BP$15&gt;$I172)*(1-BP$12)</f>
        <v>0</v>
      </c>
      <c r="BQ172" s="747">
        <f>$G172*$H172*(1+$K172)^MAX(ROUNDUP(IFERROR(DATEDIF($I154-1,BQ$15+1,"m"),)/12,)-1,)*Index!BM$22*(BQ$15&gt;$I172)*(1-BQ$12)</f>
        <v>0</v>
      </c>
      <c r="BR172" s="747">
        <f>$G172*$H172*(1+$K172)^MAX(ROUNDUP(IFERROR(DATEDIF($I154-1,BR$15+1,"m"),)/12,)-1,)*Index!BN$22*(BR$15&gt;$I172)*(1-BR$12)</f>
        <v>0</v>
      </c>
      <c r="BS172" s="747">
        <f>$G172*$H172*(1+$K172)^MAX(ROUNDUP(IFERROR(DATEDIF($I154-1,BS$15+1,"m"),)/12,)-1,)*Index!BO$22*(BS$15&gt;$I172)*(1-BS$12)</f>
        <v>0</v>
      </c>
      <c r="BT172" s="747">
        <f>$G172*$H172*(1+$K172)^MAX(ROUNDUP(IFERROR(DATEDIF($I154-1,BT$15+1,"m"),)/12,)-1,)*Index!BP$22*(BT$15&gt;$I172)*(1-BT$12)</f>
        <v>0</v>
      </c>
      <c r="BU172" s="747">
        <f>$G172*$H172*(1+$K172)^MAX(ROUNDUP(IFERROR(DATEDIF($I154-1,BU$15+1,"m"),)/12,)-1,)*Index!BQ$22*(BU$15&gt;$I172)*(1-BU$12)</f>
        <v>0</v>
      </c>
      <c r="BV172" s="747">
        <f>$G172*$H172*(1+$K172)^MAX(ROUNDUP(IFERROR(DATEDIF($I154-1,BV$15+1,"m"),)/12,)-1,)*Index!BR$22*(BV$15&gt;$I172)*(1-BV$12)</f>
        <v>0</v>
      </c>
      <c r="BW172" s="747">
        <f>$G172*$H172*(1+$K172)^MAX(ROUNDUP(IFERROR(DATEDIF($I154-1,BW$15+1,"m"),)/12,)-1,)*Index!BS$22*(BW$15&gt;$I172)*(1-BW$12)</f>
        <v>0</v>
      </c>
      <c r="BX172" s="747">
        <f>$G172*$H172*(1+$K172)^MAX(ROUNDUP(IFERROR(DATEDIF($I154-1,BX$15+1,"m"),)/12,)-1,)*Index!BT$22*(BX$15&gt;$I172)*(1-BX$12)</f>
        <v>0</v>
      </c>
      <c r="BY172" s="747">
        <f>$G172*$H172*(1+$K172)^MAX(ROUNDUP(IFERROR(DATEDIF($I154-1,BY$15+1,"m"),)/12,)-1,)*Index!BU$22*(BY$15&gt;$I172)*(1-BY$12)</f>
        <v>0</v>
      </c>
      <c r="BZ172" s="747">
        <f>$G172*$H172*(1+$K172)^MAX(ROUNDUP(IFERROR(DATEDIF($I154-1,BZ$15+1,"m"),)/12,)-1,)*Index!BV$22*(BZ$15&gt;$I172)*(1-BZ$12)</f>
        <v>0</v>
      </c>
      <c r="CA172" s="747">
        <f>$G172*$H172*(1+$K172)^MAX(ROUNDUP(IFERROR(DATEDIF($I154-1,CA$15+1,"m"),)/12,)-1,)*Index!BW$22*(CA$15&gt;$I172)*(1-CA$12)</f>
        <v>0</v>
      </c>
      <c r="CB172" s="747">
        <f>$G172*$H172*(1+$K172)^MAX(ROUNDUP(IFERROR(DATEDIF($I154-1,CB$15+1,"m"),)/12,)-1,)*Index!BX$22*(CB$15&gt;$I172)*(1-CB$12)</f>
        <v>0</v>
      </c>
      <c r="CC172" s="747">
        <f>$G172*$H172*(1+$K172)^MAX(ROUNDUP(IFERROR(DATEDIF($I154-1,CC$15+1,"m"),)/12,)-1,)*Index!BY$22*(CC$15&gt;$I172)*(1-CC$12)</f>
        <v>0</v>
      </c>
      <c r="CD172" s="747">
        <f>$G172*$H172*(1+$K172)^MAX(ROUNDUP(IFERROR(DATEDIF($I154-1,CD$15+1,"m"),)/12,)-1,)*Index!BZ$22*(CD$15&gt;$I172)*(1-CD$12)</f>
        <v>0</v>
      </c>
      <c r="CE172" s="747">
        <f>$G172*$H172*(1+$K172)^MAX(ROUNDUP(IFERROR(DATEDIF($I154-1,CE$15+1,"m"),)/12,)-1,)*Index!CA$22*(CE$15&gt;$I172)*(1-CE$12)</f>
        <v>0</v>
      </c>
      <c r="CF172" s="747">
        <f>$G172*$H172*(1+$K172)^MAX(ROUNDUP(IFERROR(DATEDIF($I154-1,CF$15+1,"m"),)/12,)-1,)*Index!CB$22*(CF$15&gt;$I172)*(1-CF$12)</f>
        <v>0</v>
      </c>
      <c r="CG172" s="747">
        <f>$G172*$H172*(1+$K172)^MAX(ROUNDUP(IFERROR(DATEDIF($I154-1,CG$15+1,"m"),)/12,)-1,)*Index!CC$22*(CG$15&gt;$I172)*(1-CG$12)</f>
        <v>0</v>
      </c>
      <c r="CH172" s="747">
        <f>$G172*$H172*(1+$K172)^MAX(ROUNDUP(IFERROR(DATEDIF($I154-1,CH$15+1,"m"),)/12,)-1,)*Index!CD$22*(CH$15&gt;$I172)*(1-CH$12)</f>
        <v>0</v>
      </c>
      <c r="CI172" s="747">
        <f>$G172*$H172*(1+$K172)^MAX(ROUNDUP(IFERROR(DATEDIF($I154-1,CI$15+1,"m"),)/12,)-1,)*Index!CE$22*(CI$15&gt;$I172)*(1-CI$12)</f>
        <v>0</v>
      </c>
      <c r="CJ172" s="747">
        <f>$G172*$H172*(1+$K172)^MAX(ROUNDUP(IFERROR(DATEDIF($I154-1,CJ$15+1,"m"),)/12,)-1,)*Index!CF$22*(CJ$15&gt;$I172)*(1-CJ$12)</f>
        <v>0</v>
      </c>
      <c r="CK172" s="747">
        <f>$G172*$H172*(1+$K172)^MAX(ROUNDUP(IFERROR(DATEDIF($I154-1,CK$15+1,"m"),)/12,)-1,)*Index!CG$22*(CK$15&gt;$I172)*(1-CK$12)</f>
        <v>0</v>
      </c>
      <c r="CL172" s="747">
        <f>$G172*$H172*(1+$K172)^MAX(ROUNDUP(IFERROR(DATEDIF($I154-1,CL$15+1,"m"),)/12,)-1,)*Index!CH$22*(CL$15&gt;$I172)*(1-CL$12)</f>
        <v>0</v>
      </c>
      <c r="CM172" s="747">
        <f>$G172*$H172*(1+$K172)^MAX(ROUNDUP(IFERROR(DATEDIF($I154-1,CM$15+1,"m"),)/12,)-1,)*Index!CI$22*(CM$15&gt;$I172)*(1-CM$12)</f>
        <v>0</v>
      </c>
      <c r="CN172" s="747">
        <f>$G172*$H172*(1+$K172)^MAX(ROUNDUP(IFERROR(DATEDIF($I154-1,CN$15+1,"m"),)/12,)-1,)*Index!CJ$22*(CN$15&gt;$I172)*(1-CN$12)</f>
        <v>0</v>
      </c>
      <c r="CO172" s="747">
        <f>$G172*$H172*(1+$K172)^MAX(ROUNDUP(IFERROR(DATEDIF($I154-1,CO$15+1,"m"),)/12,)-1,)*Index!CK$22*(CO$15&gt;$I172)*(1-CO$12)</f>
        <v>0</v>
      </c>
      <c r="CP172" s="747">
        <f>$G172*$H172*(1+$K172)^MAX(ROUNDUP(IFERROR(DATEDIF($I154-1,CP$15+1,"m"),)/12,)-1,)*Index!CL$22*(CP$15&gt;$I172)*(1-CP$12)</f>
        <v>0</v>
      </c>
      <c r="CQ172" s="747">
        <f>$G172*$H172*(1+$K172)^MAX(ROUNDUP(IFERROR(DATEDIF($I154-1,CQ$15+1,"m"),)/12,)-1,)*Index!CM$22*(CQ$15&gt;$I172)*(1-CQ$12)</f>
        <v>0</v>
      </c>
      <c r="CR172" s="747">
        <f>$G172*$H172*(1+$K172)^MAX(ROUNDUP(IFERROR(DATEDIF($I154-1,CR$15+1,"m"),)/12,)-1,)*Index!CN$22*(CR$15&gt;$I172)*(1-CR$12)</f>
        <v>0</v>
      </c>
      <c r="CS172" s="747">
        <f>$G172*$H172*(1+$K172)^MAX(ROUNDUP(IFERROR(DATEDIF($I154-1,CS$15+1,"m"),)/12,)-1,)*Index!CO$22*(CS$15&gt;$I172)*(1-CS$12)</f>
        <v>0</v>
      </c>
      <c r="CT172" s="747">
        <f>$G172*$H172*(1+$K172)^MAX(ROUNDUP(IFERROR(DATEDIF($I154-1,CT$15+1,"m"),)/12,)-1,)*Index!CP$22*(CT$15&gt;$I172)*(1-CT$12)</f>
        <v>0</v>
      </c>
      <c r="CU172" s="747">
        <f>$G172*$H172*(1+$K172)^MAX(ROUNDUP(IFERROR(DATEDIF($I154-1,CU$15+1,"m"),)/12,)-1,)*Index!CQ$22*(CU$15&gt;$I172)*(1-CU$12)</f>
        <v>0</v>
      </c>
      <c r="CV172" s="747">
        <f>$G172*$H172*(1+$K172)^MAX(ROUNDUP(IFERROR(DATEDIF($I154-1,CV$15+1,"m"),)/12,)-1,)*Index!CR$22*(CV$15&gt;$I172)*(1-CV$12)</f>
        <v>0</v>
      </c>
      <c r="CW172" s="747">
        <f>$G172*$H172*(1+$K172)^MAX(ROUNDUP(IFERROR(DATEDIF($I154-1,CW$15+1,"m"),)/12,)-1,)*Index!CS$22*(CW$15&gt;$I172)*(1-CW$12)</f>
        <v>0</v>
      </c>
      <c r="CX172" s="747">
        <f>$G172*$H172*(1+$K172)^MAX(ROUNDUP(IFERROR(DATEDIF($I154-1,CX$15+1,"m"),)/12,)-1,)*Index!CT$22*(CX$15&gt;$I172)*(1-CX$12)</f>
        <v>0</v>
      </c>
      <c r="CY172" s="747">
        <f>$G172*$H172*(1+$K172)^MAX(ROUNDUP(IFERROR(DATEDIF($I154-1,CY$15+1,"m"),)/12,)-1,)*Index!CU$22*(CY$15&gt;$I172)*(1-CY$12)</f>
        <v>0</v>
      </c>
      <c r="CZ172" s="747">
        <f>$G172*$H172*(1+$K172)^MAX(ROUNDUP(IFERROR(DATEDIF($I154-1,CZ$15+1,"m"),)/12,)-1,)*Index!CV$22*(CZ$15&gt;$I172)*(1-CZ$12)</f>
        <v>0</v>
      </c>
      <c r="DA172" s="747">
        <f>$G172*$H172*(1+$K172)^MAX(ROUNDUP(IFERROR(DATEDIF($I154-1,DA$15+1,"m"),)/12,)-1,)*Index!CW$22*(DA$15&gt;$I172)*(1-DA$12)</f>
        <v>0</v>
      </c>
      <c r="DB172" s="747">
        <f>$G172*$H172*(1+$K172)^MAX(ROUNDUP(IFERROR(DATEDIF($I154-1,DB$15+1,"m"),)/12,)-1,)*Index!CX$22*(DB$15&gt;$I172)*(1-DB$12)</f>
        <v>0</v>
      </c>
      <c r="DC172" s="747">
        <f>$G172*$H172*(1+$K172)^MAX(ROUNDUP(IFERROR(DATEDIF($I154-1,DC$15+1,"m"),)/12,)-1,)*Index!CY$22*(DC$15&gt;$I172)*(1-DC$12)</f>
        <v>0</v>
      </c>
      <c r="DD172" s="747">
        <f>$G172*$H172*(1+$K172)^MAX(ROUNDUP(IFERROR(DATEDIF($I154-1,DD$15+1,"m"),)/12,)-1,)*Index!CZ$22*(DD$15&gt;$I172)*(1-DD$12)</f>
        <v>0</v>
      </c>
      <c r="DE172" s="747">
        <f>$G172*$H172*(1+$K172)^MAX(ROUNDUP(IFERROR(DATEDIF($I154-1,DE$15+1,"m"),)/12,)-1,)*Index!DA$22*(DE$15&gt;$I172)*(1-DE$12)</f>
        <v>0</v>
      </c>
      <c r="DF172" s="747">
        <f>$G172*$H172*(1+$K172)^MAX(ROUNDUP(IFERROR(DATEDIF($I154-1,DF$15+1,"m"),)/12,)-1,)*Index!DB$22*(DF$15&gt;$I172)*(1-DF$12)</f>
        <v>0</v>
      </c>
      <c r="DG172" s="747">
        <f>$G172*$H172*(1+$K172)^MAX(ROUNDUP(IFERROR(DATEDIF($I154-1,DG$15+1,"m"),)/12,)-1,)*Index!DC$22*(DG$15&gt;$I172)*(1-DG$12)</f>
        <v>0</v>
      </c>
      <c r="DH172" s="747">
        <f>$G172*$H172*(1+$K172)^MAX(ROUNDUP(IFERROR(DATEDIF($I154-1,DH$15+1,"m"),)/12,)-1,)*Index!DD$22*(DH$15&gt;$I172)*(1-DH$12)</f>
        <v>0</v>
      </c>
      <c r="DI172" s="747">
        <f>$G172*$H172*(1+$K172)^MAX(ROUNDUP(IFERROR(DATEDIF($I154-1,DI$15+1,"m"),)/12,)-1,)*Index!DE$22*(DI$15&gt;$I172)*(1-DI$12)</f>
        <v>0</v>
      </c>
      <c r="DJ172" s="747">
        <f>$G172*$H172*(1+$K172)^MAX(ROUNDUP(IFERROR(DATEDIF($I154-1,DJ$15+1,"m"),)/12,)-1,)*Index!DF$22*(DJ$15&gt;$I172)*(1-DJ$12)</f>
        <v>0</v>
      </c>
      <c r="DK172" s="747">
        <f>$G172*$H172*(1+$K172)^MAX(ROUNDUP(IFERROR(DATEDIF($I154-1,DK$15+1,"m"),)/12,)-1,)*Index!DG$22*(DK$15&gt;$I172)*(1-DK$12)</f>
        <v>0</v>
      </c>
      <c r="DL172" s="747">
        <f>$G172*$H172*(1+$K172)^MAX(ROUNDUP(IFERROR(DATEDIF($I154-1,DL$15+1,"m"),)/12,)-1,)*Index!DH$22*(DL$15&gt;$I172)*(1-DL$12)</f>
        <v>4197.1668052018995</v>
      </c>
      <c r="DM172" s="747">
        <f>$G172*$H172*(1+$K172)^MAX(ROUNDUP(IFERROR(DATEDIF($I154-1,DM$15+1,"m"),)/12,)-1,)*Index!DI$22*(DM$15&gt;$I172)*(1-DM$12)</f>
        <v>4197.1668052018995</v>
      </c>
      <c r="DN172" s="747">
        <f>$G172*$H172*(1+$K172)^MAX(ROUNDUP(IFERROR(DATEDIF($I154-1,DN$15+1,"m"),)/12,)-1,)*Index!DJ$22*(DN$15&gt;$I172)*(1-DN$12)</f>
        <v>4197.1668052018995</v>
      </c>
      <c r="DO172" s="747">
        <f>$G172*$H172*(1+$K172)^MAX(ROUNDUP(IFERROR(DATEDIF($I154-1,DO$15+1,"m"),)/12,)-1,)*Index!DK$22*(DO$15&gt;$I172)*(1-DO$12)</f>
        <v>4197.1668052018995</v>
      </c>
      <c r="DP172" s="747">
        <f>$G172*$H172*(1+$K172)^MAX(ROUNDUP(IFERROR(DATEDIF($I154-1,DP$15+1,"m"),)/12,)-1,)*Index!DL$22*(DP$15&gt;$I172)*(1-DP$12)</f>
        <v>4197.1668052018995</v>
      </c>
      <c r="DQ172" s="747">
        <f>$G172*$H172*(1+$K172)^MAX(ROUNDUP(IFERROR(DATEDIF($I154-1,DQ$15+1,"m"),)/12,)-1,)*Index!DM$22*(DQ$15&gt;$I172)*(1-DQ$12)</f>
        <v>4197.1668052018995</v>
      </c>
      <c r="DR172" s="747">
        <f>$G172*$H172*(1+$K172)^MAX(ROUNDUP(IFERROR(DATEDIF($I154-1,DR$15+1,"m"),)/12,)-1,)*Index!DN$22*(DR$15&gt;$I172)*(1-DR$12)</f>
        <v>4197.1668052018995</v>
      </c>
      <c r="DS172" s="747">
        <f>$G172*$H172*(1+$K172)^MAX(ROUNDUP(IFERROR(DATEDIF($I154-1,DS$15+1,"m"),)/12,)-1,)*Index!DO$22*(DS$15&gt;$I172)*(1-DS$12)</f>
        <v>4197.1668052018995</v>
      </c>
      <c r="DT172" s="747">
        <f>$G172*$H172*(1+$K172)^MAX(ROUNDUP(IFERROR(DATEDIF($I154-1,DT$15+1,"m"),)/12,)-1,)*Index!DP$22*(DT$15&gt;$I172)*(1-DT$12)</f>
        <v>4197.1668052018995</v>
      </c>
      <c r="DU172" s="747">
        <f>$G172*$H172*(1+$K172)^MAX(ROUNDUP(IFERROR(DATEDIF($I154-1,DU$15+1,"m"),)/12,)-1,)*Index!DQ$22*(DU$15&gt;$I172)*(1-DU$12)</f>
        <v>4197.1668052018995</v>
      </c>
      <c r="DV172" s="747">
        <f>$G172*$H172*(1+$K172)^MAX(ROUNDUP(IFERROR(DATEDIF($I154-1,DV$15+1,"m"),)/12,)-1,)*Index!DR$22*(DV$15&gt;$I172)*(1-DV$12)</f>
        <v>4197.1668052018995</v>
      </c>
      <c r="DW172" s="747">
        <f>$G172*$H172*(1+$K172)^MAX(ROUNDUP(IFERROR(DATEDIF($I154-1,DW$15+1,"m"),)/12,)-1,)*Index!DS$22*(DW$15&gt;$I172)*(1-DW$12)</f>
        <v>4197.1668052018995</v>
      </c>
      <c r="DX172" s="747">
        <f>$G172*$H172*(1+$K172)^MAX(ROUNDUP(IFERROR(DATEDIF($I154-1,DX$15+1,"m"),)/12,)-1,)*Index!DT$22*(DX$15&gt;$I172)*(1-DX$12)</f>
        <v>4302.0959753319476</v>
      </c>
      <c r="DY172" s="747">
        <f>$G172*$H172*(1+$K172)^MAX(ROUNDUP(IFERROR(DATEDIF($I154-1,DY$15+1,"m"),)/12,)-1,)*Index!DU$22*(DY$15&gt;$I172)*(1-DY$12)</f>
        <v>4302.0959753319476</v>
      </c>
      <c r="DZ172" s="747">
        <f>$G172*$H172*(1+$K172)^MAX(ROUNDUP(IFERROR(DATEDIF($I154-1,DZ$15+1,"m"),)/12,)-1,)*Index!DV$22*(DZ$15&gt;$I172)*(1-DZ$12)</f>
        <v>4302.0959753319476</v>
      </c>
      <c r="EA172" s="747">
        <f>$G172*$H172*(1+$K172)^MAX(ROUNDUP(IFERROR(DATEDIF($I154-1,EA$15+1,"m"),)/12,)-1,)*Index!DW$22*(EA$15&gt;$I172)*(1-EA$12)</f>
        <v>4302.0959753319476</v>
      </c>
      <c r="EB172" s="747">
        <f>$G172*$H172*(1+$K172)^MAX(ROUNDUP(IFERROR(DATEDIF($I154-1,EB$15+1,"m"),)/12,)-1,)*Index!DX$22*(EB$15&gt;$I172)*(1-EB$12)</f>
        <v>4302.0959753319476</v>
      </c>
      <c r="EC172" s="747">
        <f>$G172*$H172*(1+$K172)^MAX(ROUNDUP(IFERROR(DATEDIF($I154-1,EC$15+1,"m"),)/12,)-1,)*Index!DY$22*(EC$15&gt;$I172)*(1-EC$12)</f>
        <v>4302.0959753319476</v>
      </c>
      <c r="ED172" s="747">
        <f>$G172*$H172*(1+$K172)^MAX(ROUNDUP(IFERROR(DATEDIF($I154-1,ED$15+1,"m"),)/12,)-1,)*Index!DZ$22*(ED$15&gt;$I172)*(1-ED$12)</f>
        <v>4302.0959753319476</v>
      </c>
      <c r="EE172" s="747">
        <f>$G172*$H172*(1+$K172)^MAX(ROUNDUP(IFERROR(DATEDIF($I154-1,EE$15+1,"m"),)/12,)-1,)*Index!EA$22*(EE$15&gt;$I172)*(1-EE$12)</f>
        <v>4302.0959753319476</v>
      </c>
      <c r="EF172" s="747">
        <f>$G172*$H172*(1+$K172)^MAX(ROUNDUP(IFERROR(DATEDIF($I154-1,EF$15+1,"m"),)/12,)-1,)*Index!EB$22*(EF$15&gt;$I172)*(1-EF$12)</f>
        <v>4302.0959753319476</v>
      </c>
      <c r="EG172" s="747">
        <f>$G172*$H172*(1+$K172)^MAX(ROUNDUP(IFERROR(DATEDIF($I154-1,EG$15+1,"m"),)/12,)-1,)*Index!EC$22*(EG$15&gt;$I172)*(1-EG$12)</f>
        <v>0</v>
      </c>
      <c r="EH172" s="747">
        <f>$G172*$H172*(1+$K172)^MAX(ROUNDUP(IFERROR(DATEDIF($I154-1,EH$15+1,"m"),)/12,)-1,)*Index!ED$22*(EH$15&gt;$I172)*(1-EH$12)</f>
        <v>0</v>
      </c>
      <c r="EI172" s="747">
        <f>$G172*$H172*(1+$K172)^MAX(ROUNDUP(IFERROR(DATEDIF($I154-1,EI$15+1,"m"),)/12,)-1,)*Index!EE$22*(EI$15&gt;$I172)*(1-EI$12)</f>
        <v>0</v>
      </c>
      <c r="EJ172" s="747">
        <f>$G172*$H172*(1+$K172)^MAX(ROUNDUP(IFERROR(DATEDIF($I154-1,EJ$15+1,"m"),)/12,)-1,)*Index!EF$22*(EJ$15&gt;$I172)*(1-EJ$12)</f>
        <v>0</v>
      </c>
      <c r="EK172" s="747">
        <f>$G172*$H172*(1+$K172)^MAX(ROUNDUP(IFERROR(DATEDIF($I154-1,EK$15+1,"m"),)/12,)-1,)*Index!EG$22*(EK$15&gt;$I172)*(1-EK$12)</f>
        <v>0</v>
      </c>
      <c r="EL172" s="747">
        <f>$G172*$H172*(1+$K172)^MAX(ROUNDUP(IFERROR(DATEDIF($I154-1,EL$15+1,"m"),)/12,)-1,)*Index!EH$22*(EL$15&gt;$I172)*(1-EL$12)</f>
        <v>0</v>
      </c>
      <c r="EM172" s="747">
        <f>$G172*$H172*(1+$K172)^MAX(ROUNDUP(IFERROR(DATEDIF($I154-1,EM$15+1,"m"),)/12,)-1,)*Index!EI$22*(EM$15&gt;$I172)*(1-EM$12)</f>
        <v>0</v>
      </c>
      <c r="EN172" s="747">
        <f>$G172*$H172*(1+$K172)^MAX(ROUNDUP(IFERROR(DATEDIF($I154-1,EN$15+1,"m"),)/12,)-1,)*Index!EJ$22*(EN$15&gt;$I172)*(1-EN$12)</f>
        <v>0</v>
      </c>
      <c r="EO172" s="747">
        <f>$G172*$H172*(1+$K172)^MAX(ROUNDUP(IFERROR(DATEDIF($I154-1,EO$15+1,"m"),)/12,)-1,)*Index!EK$22*(EO$15&gt;$I172)*(1-EO$12)</f>
        <v>0</v>
      </c>
      <c r="EP172" s="747">
        <f>$G172*$H172*(1+$K172)^MAX(ROUNDUP(IFERROR(DATEDIF($I154-1,EP$15+1,"m"),)/12,)-1,)*Index!EL$22*(EP$15&gt;$I172)*(1-EP$12)</f>
        <v>0</v>
      </c>
      <c r="EQ172" s="747">
        <f>$G172*$H172*(1+$K172)^MAX(ROUNDUP(IFERROR(DATEDIF($I154-1,EQ$15+1,"m"),)/12,)-1,)*Index!EM$22*(EQ$15&gt;$I172)*(1-EQ$12)</f>
        <v>0</v>
      </c>
      <c r="ER172" s="747">
        <f>$G172*$H172*(1+$K172)^MAX(ROUNDUP(IFERROR(DATEDIF($I154-1,ER$15+1,"m"),)/12,)-1,)*Index!EN$22*(ER$15&gt;$I172)*(1-ER$12)</f>
        <v>0</v>
      </c>
      <c r="ES172" s="747">
        <f>$G172*$H172*(1+$K172)^MAX(ROUNDUP(IFERROR(DATEDIF($I154-1,ES$15+1,"m"),)/12,)-1,)*Index!EO$22*(ES$15&gt;$I172)*(1-ES$12)</f>
        <v>0</v>
      </c>
      <c r="ET172" s="747">
        <f>$G172*$H172*(1+$K172)^MAX(ROUNDUP(IFERROR(DATEDIF($I154-1,ET$15+1,"m"),)/12,)-1,)*Index!EP$22*(ET$15&gt;$I172)*(1-ET$12)</f>
        <v>0</v>
      </c>
      <c r="EU172" s="747">
        <f>$G172*$H172*(1+$K172)^MAX(ROUNDUP(IFERROR(DATEDIF($I154-1,EU$15+1,"m"),)/12,)-1,)*Index!EQ$22*(EU$15&gt;$I172)*(1-EU$12)</f>
        <v>0</v>
      </c>
    </row>
    <row r="173" spans="3:151" ht="11.25" customHeight="1">
      <c r="C173" s="735"/>
      <c r="D173" s="743">
        <f t="shared" si="243"/>
        <v>1</v>
      </c>
      <c r="E173" s="704" t="str">
        <f t="shared" si="243"/>
        <v>용마로지스</v>
      </c>
      <c r="F173" s="704" t="str">
        <f t="shared" si="243"/>
        <v>상온창고</v>
      </c>
      <c r="G173" s="781" cm="1">
        <f t="array" ref="G173">SUMPRODUCT(($E173='A&amp;R'!$V$26:$V$32)*('A&amp;R'!$AC$26:$AC$32))/1000</f>
        <v>3</v>
      </c>
      <c r="H173" s="744">
        <f t="shared" si="244"/>
        <v>856.05</v>
      </c>
      <c r="I173" s="745">
        <f t="shared" si="245"/>
        <v>47514</v>
      </c>
      <c r="J173" s="745"/>
      <c r="K173" s="754">
        <f t="shared" si="246"/>
        <v>2.5000000000000001E-2</v>
      </c>
      <c r="L173" s="711"/>
      <c r="M173" s="722"/>
      <c r="N173" s="747">
        <f t="shared" si="247"/>
        <v>253979.22403137255</v>
      </c>
      <c r="O173" s="733"/>
      <c r="P173" s="747">
        <f>$G173*$H173*(1+$K173)^MAX(ROUNDUP(IFERROR(DATEDIF($I155-1,P$15+1,"m"),)/12,)-1,)*Index!L$22*(P$15&gt;$I173)*(1-P$12)</f>
        <v>0</v>
      </c>
      <c r="Q173" s="747">
        <f>$G173*$H173*(1+$K173)^MAX(ROUNDUP(IFERROR(DATEDIF($I155-1,Q$15+1,"m"),)/12,)-1,)*Index!M$22*(Q$15&gt;$I173)*(1-Q$12)</f>
        <v>0</v>
      </c>
      <c r="R173" s="747">
        <f>$G173*$H173*(1+$K173)^MAX(ROUNDUP(IFERROR(DATEDIF($I155-1,R$15+1,"m"),)/12,)-1,)*Index!N$22*(R$15&gt;$I173)*(1-R$12)</f>
        <v>0</v>
      </c>
      <c r="S173" s="747">
        <f>$G173*$H173*(1+$K173)^MAX(ROUNDUP(IFERROR(DATEDIF($I155-1,S$15+1,"m"),)/12,)-1,)*Index!O$22*(S$15&gt;$I173)*(1-S$12)</f>
        <v>0</v>
      </c>
      <c r="T173" s="747">
        <f>$G173*$H173*(1+$K173)^MAX(ROUNDUP(IFERROR(DATEDIF($I155-1,T$15+1,"m"),)/12,)-1,)*Index!P$22*(T$15&gt;$I173)*(1-T$12)</f>
        <v>0</v>
      </c>
      <c r="U173" s="747">
        <f>$G173*$H173*(1+$K173)^MAX(ROUNDUP(IFERROR(DATEDIF($I155-1,U$15+1,"m"),)/12,)-1,)*Index!Q$22*(U$15&gt;$I173)*(1-U$12)</f>
        <v>0</v>
      </c>
      <c r="V173" s="747">
        <f>$G173*$H173*(1+$K173)^MAX(ROUNDUP(IFERROR(DATEDIF($I155-1,V$15+1,"m"),)/12,)-1,)*Index!R$22*(V$15&gt;$I173)*(1-V$12)</f>
        <v>0</v>
      </c>
      <c r="W173" s="747">
        <f>$G173*$H173*(1+$K173)^MAX(ROUNDUP(IFERROR(DATEDIF($I155-1,W$15+1,"m"),)/12,)-1,)*Index!S$22*(W$15&gt;$I173)*(1-W$12)</f>
        <v>0</v>
      </c>
      <c r="X173" s="747">
        <f>$G173*$H173*(1+$K173)^MAX(ROUNDUP(IFERROR(DATEDIF($I155-1,X$15+1,"m"),)/12,)-1,)*Index!T$22*(X$15&gt;$I173)*(1-X$12)</f>
        <v>0</v>
      </c>
      <c r="Y173" s="747">
        <f>$G173*$H173*(1+$K173)^MAX(ROUNDUP(IFERROR(DATEDIF($I155-1,Y$15+1,"m"),)/12,)-1,)*Index!U$22*(Y$15&gt;$I173)*(1-Y$12)</f>
        <v>0</v>
      </c>
      <c r="Z173" s="747">
        <f>$G173*$H173*(1+$K173)^MAX(ROUNDUP(IFERROR(DATEDIF($I155-1,Z$15+1,"m"),)/12,)-1,)*Index!V$22*(Z$15&gt;$I173)*(1-Z$12)</f>
        <v>0</v>
      </c>
      <c r="AA173" s="747">
        <f>$G173*$H173*(1+$K173)^MAX(ROUNDUP(IFERROR(DATEDIF($I155-1,AA$15+1,"m"),)/12,)-1,)*Index!W$22*(AA$15&gt;$I173)*(1-AA$12)</f>
        <v>0</v>
      </c>
      <c r="AB173" s="747">
        <f>$G173*$H173*(1+$K173)^MAX(ROUNDUP(IFERROR(DATEDIF($I155-1,AB$15+1,"m"),)/12,)-1,)*Index!X$22*(AB$15&gt;$I173)*(1-AB$12)</f>
        <v>0</v>
      </c>
      <c r="AC173" s="747">
        <f>$G173*$H173*(1+$K173)^MAX(ROUNDUP(IFERROR(DATEDIF($I155-1,AC$15+1,"m"),)/12,)-1,)*Index!Y$22*(AC$15&gt;$I173)*(1-AC$12)</f>
        <v>0</v>
      </c>
      <c r="AD173" s="747">
        <f>$G173*$H173*(1+$K173)^MAX(ROUNDUP(IFERROR(DATEDIF($I155-1,AD$15+1,"m"),)/12,)-1,)*Index!Z$22*(AD$15&gt;$I173)*(1-AD$12)</f>
        <v>0</v>
      </c>
      <c r="AE173" s="747">
        <f>$G173*$H173*(1+$K173)^MAX(ROUNDUP(IFERROR(DATEDIF($I155-1,AE$15+1,"m"),)/12,)-1,)*Index!AA$22*(AE$15&gt;$I173)*(1-AE$12)</f>
        <v>0</v>
      </c>
      <c r="AF173" s="747">
        <f>$G173*$H173*(1+$K173)^MAX(ROUNDUP(IFERROR(DATEDIF($I155-1,AF$15+1,"m"),)/12,)-1,)*Index!AB$22*(AF$15&gt;$I173)*(1-AF$12)</f>
        <v>0</v>
      </c>
      <c r="AG173" s="747">
        <f>$G173*$H173*(1+$K173)^MAX(ROUNDUP(IFERROR(DATEDIF($I155-1,AG$15+1,"m"),)/12,)-1,)*Index!AC$22*(AG$15&gt;$I173)*(1-AG$12)</f>
        <v>0</v>
      </c>
      <c r="AH173" s="747">
        <f>$G173*$H173*(1+$K173)^MAX(ROUNDUP(IFERROR(DATEDIF($I155-1,AH$15+1,"m"),)/12,)-1,)*Index!AD$22*(AH$15&gt;$I173)*(1-AH$12)</f>
        <v>0</v>
      </c>
      <c r="AI173" s="747">
        <f>$G173*$H173*(1+$K173)^MAX(ROUNDUP(IFERROR(DATEDIF($I155-1,AI$15+1,"m"),)/12,)-1,)*Index!AE$22*(AI$15&gt;$I173)*(1-AI$12)</f>
        <v>0</v>
      </c>
      <c r="AJ173" s="747">
        <f>$G173*$H173*(1+$K173)^MAX(ROUNDUP(IFERROR(DATEDIF($I155-1,AJ$15+1,"m"),)/12,)-1,)*Index!AF$22*(AJ$15&gt;$I173)*(1-AJ$12)</f>
        <v>0</v>
      </c>
      <c r="AK173" s="747">
        <f>$G173*$H173*(1+$K173)^MAX(ROUNDUP(IFERROR(DATEDIF($I155-1,AK$15+1,"m"),)/12,)-1,)*Index!AG$22*(AK$15&gt;$I173)*(1-AK$12)</f>
        <v>0</v>
      </c>
      <c r="AL173" s="747">
        <f>$G173*$H173*(1+$K173)^MAX(ROUNDUP(IFERROR(DATEDIF($I155-1,AL$15+1,"m"),)/12,)-1,)*Index!AH$22*(AL$15&gt;$I173)*(1-AL$12)</f>
        <v>0</v>
      </c>
      <c r="AM173" s="747">
        <f>$G173*$H173*(1+$K173)^MAX(ROUNDUP(IFERROR(DATEDIF($I155-1,AM$15+1,"m"),)/12,)-1,)*Index!AI$22*(AM$15&gt;$I173)*(1-AM$12)</f>
        <v>0</v>
      </c>
      <c r="AN173" s="747">
        <f>$G173*$H173*(1+$K173)^MAX(ROUNDUP(IFERROR(DATEDIF($I155-1,AN$15+1,"m"),)/12,)-1,)*Index!AJ$22*(AN$15&gt;$I173)*(1-AN$12)</f>
        <v>0</v>
      </c>
      <c r="AO173" s="747">
        <f>$G173*$H173*(1+$K173)^MAX(ROUNDUP(IFERROR(DATEDIF($I155-1,AO$15+1,"m"),)/12,)-1,)*Index!AK$22*(AO$15&gt;$I173)*(1-AO$12)</f>
        <v>0</v>
      </c>
      <c r="AP173" s="747">
        <f>$G173*$H173*(1+$K173)^MAX(ROUNDUP(IFERROR(DATEDIF($I155-1,AP$15+1,"m"),)/12,)-1,)*Index!AL$22*(AP$15&gt;$I173)*(1-AP$12)</f>
        <v>0</v>
      </c>
      <c r="AQ173" s="747">
        <f>$G173*$H173*(1+$K173)^MAX(ROUNDUP(IFERROR(DATEDIF($I155-1,AQ$15+1,"m"),)/12,)-1,)*Index!AM$22*(AQ$15&gt;$I173)*(1-AQ$12)</f>
        <v>0</v>
      </c>
      <c r="AR173" s="747">
        <f>$G173*$H173*(1+$K173)^MAX(ROUNDUP(IFERROR(DATEDIF($I155-1,AR$15+1,"m"),)/12,)-1,)*Index!AN$22*(AR$15&gt;$I173)*(1-AR$12)</f>
        <v>0</v>
      </c>
      <c r="AS173" s="747">
        <f>$G173*$H173*(1+$K173)^MAX(ROUNDUP(IFERROR(DATEDIF($I155-1,AS$15+1,"m"),)/12,)-1,)*Index!AO$22*(AS$15&gt;$I173)*(1-AS$12)</f>
        <v>0</v>
      </c>
      <c r="AT173" s="747">
        <f>$G173*$H173*(1+$K173)^MAX(ROUNDUP(IFERROR(DATEDIF($I155-1,AT$15+1,"m"),)/12,)-1,)*Index!AP$22*(AT$15&gt;$I173)*(1-AT$12)</f>
        <v>0</v>
      </c>
      <c r="AU173" s="747">
        <f>$G173*$H173*(1+$K173)^MAX(ROUNDUP(IFERROR(DATEDIF($I155-1,AU$15+1,"m"),)/12,)-1,)*Index!AQ$22*(AU$15&gt;$I173)*(1-AU$12)</f>
        <v>0</v>
      </c>
      <c r="AV173" s="747">
        <f>$G173*$H173*(1+$K173)^MAX(ROUNDUP(IFERROR(DATEDIF($I155-1,AV$15+1,"m"),)/12,)-1,)*Index!AR$22*(AV$15&gt;$I173)*(1-AV$12)</f>
        <v>0</v>
      </c>
      <c r="AW173" s="747">
        <f>$G173*$H173*(1+$K173)^MAX(ROUNDUP(IFERROR(DATEDIF($I155-1,AW$15+1,"m"),)/12,)-1,)*Index!AS$22*(AW$15&gt;$I173)*(1-AW$12)</f>
        <v>0</v>
      </c>
      <c r="AX173" s="747">
        <f>$G173*$H173*(1+$K173)^MAX(ROUNDUP(IFERROR(DATEDIF($I155-1,AX$15+1,"m"),)/12,)-1,)*Index!AT$22*(AX$15&gt;$I173)*(1-AX$12)</f>
        <v>0</v>
      </c>
      <c r="AY173" s="747">
        <f>$G173*$H173*(1+$K173)^MAX(ROUNDUP(IFERROR(DATEDIF($I155-1,AY$15+1,"m"),)/12,)-1,)*Index!AU$22*(AY$15&gt;$I173)*(1-AY$12)</f>
        <v>0</v>
      </c>
      <c r="AZ173" s="747">
        <f>$G173*$H173*(1+$K173)^MAX(ROUNDUP(IFERROR(DATEDIF($I155-1,AZ$15+1,"m"),)/12,)-1,)*Index!AV$22*(AZ$15&gt;$I173)*(1-AZ$12)</f>
        <v>0</v>
      </c>
      <c r="BA173" s="747">
        <f>$G173*$H173*(1+$K173)^MAX(ROUNDUP(IFERROR(DATEDIF($I155-1,BA$15+1,"m"),)/12,)-1,)*Index!AW$22*(BA$15&gt;$I173)*(1-BA$12)</f>
        <v>0</v>
      </c>
      <c r="BB173" s="747">
        <f>$G173*$H173*(1+$K173)^MAX(ROUNDUP(IFERROR(DATEDIF($I155-1,BB$15+1,"m"),)/12,)-1,)*Index!AX$22*(BB$15&gt;$I173)*(1-BB$12)</f>
        <v>0</v>
      </c>
      <c r="BC173" s="747">
        <f>$G173*$H173*(1+$K173)^MAX(ROUNDUP(IFERROR(DATEDIF($I155-1,BC$15+1,"m"),)/12,)-1,)*Index!AY$22*(BC$15&gt;$I173)*(1-BC$12)</f>
        <v>0</v>
      </c>
      <c r="BD173" s="747">
        <f>$G173*$H173*(1+$K173)^MAX(ROUNDUP(IFERROR(DATEDIF($I155-1,BD$15+1,"m"),)/12,)-1,)*Index!AZ$22*(BD$15&gt;$I173)*(1-BD$12)</f>
        <v>2905.6260019350575</v>
      </c>
      <c r="BE173" s="747">
        <f>$G173*$H173*(1+$K173)^MAX(ROUNDUP(IFERROR(DATEDIF($I155-1,BE$15+1,"m"),)/12,)-1,)*Index!BA$22*(BE$15&gt;$I173)*(1-BE$12)</f>
        <v>2905.6260019350575</v>
      </c>
      <c r="BF173" s="747">
        <f>$G173*$H173*(1+$K173)^MAX(ROUNDUP(IFERROR(DATEDIF($I155-1,BF$15+1,"m"),)/12,)-1,)*Index!BB$22*(BF$15&gt;$I173)*(1-BF$12)</f>
        <v>2905.6260019350575</v>
      </c>
      <c r="BG173" s="747">
        <f>$G173*$H173*(1+$K173)^MAX(ROUNDUP(IFERROR(DATEDIF($I155-1,BG$15+1,"m"),)/12,)-1,)*Index!BC$22*(BG$15&gt;$I173)*(1-BG$12)</f>
        <v>2905.6260019350575</v>
      </c>
      <c r="BH173" s="747">
        <f>$G173*$H173*(1+$K173)^MAX(ROUNDUP(IFERROR(DATEDIF($I155-1,BH$15+1,"m"),)/12,)-1,)*Index!BD$22*(BH$15&gt;$I173)*(1-BH$12)</f>
        <v>2905.6260019350575</v>
      </c>
      <c r="BI173" s="747">
        <f>$G173*$H173*(1+$K173)^MAX(ROUNDUP(IFERROR(DATEDIF($I155-1,BI$15+1,"m"),)/12,)-1,)*Index!BE$22*(BI$15&gt;$I173)*(1-BI$12)</f>
        <v>2905.6260019350575</v>
      </c>
      <c r="BJ173" s="747">
        <f>$G173*$H173*(1+$K173)^MAX(ROUNDUP(IFERROR(DATEDIF($I155-1,BJ$15+1,"m"),)/12,)-1,)*Index!BF$22*(BJ$15&gt;$I173)*(1-BJ$12)</f>
        <v>2905.6260019350575</v>
      </c>
      <c r="BK173" s="747">
        <f>$G173*$H173*(1+$K173)^MAX(ROUNDUP(IFERROR(DATEDIF($I155-1,BK$15+1,"m"),)/12,)-1,)*Index!BG$22*(BK$15&gt;$I173)*(1-BK$12)</f>
        <v>2905.6260019350575</v>
      </c>
      <c r="BL173" s="747">
        <f>$G173*$H173*(1+$K173)^MAX(ROUNDUP(IFERROR(DATEDIF($I155-1,BL$15+1,"m"),)/12,)-1,)*Index!BH$22*(BL$15&gt;$I173)*(1-BL$12)</f>
        <v>2905.6260019350575</v>
      </c>
      <c r="BM173" s="747">
        <f>$G173*$H173*(1+$K173)^MAX(ROUNDUP(IFERROR(DATEDIF($I155-1,BM$15+1,"m"),)/12,)-1,)*Index!BI$22*(BM$15&gt;$I173)*(1-BM$12)</f>
        <v>2905.6260019350575</v>
      </c>
      <c r="BN173" s="747">
        <f>$G173*$H173*(1+$K173)^MAX(ROUNDUP(IFERROR(DATEDIF($I155-1,BN$15+1,"m"),)/12,)-1,)*Index!BJ$22*(BN$15&gt;$I173)*(1-BN$12)</f>
        <v>2978.2666519834333</v>
      </c>
      <c r="BO173" s="747">
        <f>$G173*$H173*(1+$K173)^MAX(ROUNDUP(IFERROR(DATEDIF($I155-1,BO$15+1,"m"),)/12,)-1,)*Index!BK$22*(BO$15&gt;$I173)*(1-BO$12)</f>
        <v>2978.2666519834333</v>
      </c>
      <c r="BP173" s="747">
        <f>$G173*$H173*(1+$K173)^MAX(ROUNDUP(IFERROR(DATEDIF($I155-1,BP$15+1,"m"),)/12,)-1,)*Index!BL$22*(BP$15&gt;$I173)*(1-BP$12)</f>
        <v>2978.2666519834333</v>
      </c>
      <c r="BQ173" s="747">
        <f>$G173*$H173*(1+$K173)^MAX(ROUNDUP(IFERROR(DATEDIF($I155-1,BQ$15+1,"m"),)/12,)-1,)*Index!BM$22*(BQ$15&gt;$I173)*(1-BQ$12)</f>
        <v>2978.2666519834333</v>
      </c>
      <c r="BR173" s="747">
        <f>$G173*$H173*(1+$K173)^MAX(ROUNDUP(IFERROR(DATEDIF($I155-1,BR$15+1,"m"),)/12,)-1,)*Index!BN$22*(BR$15&gt;$I173)*(1-BR$12)</f>
        <v>2978.2666519834333</v>
      </c>
      <c r="BS173" s="747">
        <f>$G173*$H173*(1+$K173)^MAX(ROUNDUP(IFERROR(DATEDIF($I155-1,BS$15+1,"m"),)/12,)-1,)*Index!BO$22*(BS$15&gt;$I173)*(1-BS$12)</f>
        <v>2978.2666519834333</v>
      </c>
      <c r="BT173" s="747">
        <f>$G173*$H173*(1+$K173)^MAX(ROUNDUP(IFERROR(DATEDIF($I155-1,BT$15+1,"m"),)/12,)-1,)*Index!BP$22*(BT$15&gt;$I173)*(1-BT$12)</f>
        <v>2978.2666519834333</v>
      </c>
      <c r="BU173" s="747">
        <f>$G173*$H173*(1+$K173)^MAX(ROUNDUP(IFERROR(DATEDIF($I155-1,BU$15+1,"m"),)/12,)-1,)*Index!BQ$22*(BU$15&gt;$I173)*(1-BU$12)</f>
        <v>2978.2666519834333</v>
      </c>
      <c r="BV173" s="747">
        <f>$G173*$H173*(1+$K173)^MAX(ROUNDUP(IFERROR(DATEDIF($I155-1,BV$15+1,"m"),)/12,)-1,)*Index!BR$22*(BV$15&gt;$I173)*(1-BV$12)</f>
        <v>2978.2666519834333</v>
      </c>
      <c r="BW173" s="747">
        <f>$G173*$H173*(1+$K173)^MAX(ROUNDUP(IFERROR(DATEDIF($I155-1,BW$15+1,"m"),)/12,)-1,)*Index!BS$22*(BW$15&gt;$I173)*(1-BW$12)</f>
        <v>2978.2666519834333</v>
      </c>
      <c r="BX173" s="747">
        <f>$G173*$H173*(1+$K173)^MAX(ROUNDUP(IFERROR(DATEDIF($I155-1,BX$15+1,"m"),)/12,)-1,)*Index!BT$22*(BX$15&gt;$I173)*(1-BX$12)</f>
        <v>2978.2666519834333</v>
      </c>
      <c r="BY173" s="747">
        <f>$G173*$H173*(1+$K173)^MAX(ROUNDUP(IFERROR(DATEDIF($I155-1,BY$15+1,"m"),)/12,)-1,)*Index!BU$22*(BY$15&gt;$I173)*(1-BY$12)</f>
        <v>2978.2666519834333</v>
      </c>
      <c r="BZ173" s="747">
        <f>$G173*$H173*(1+$K173)^MAX(ROUNDUP(IFERROR(DATEDIF($I155-1,BZ$15+1,"m"),)/12,)-1,)*Index!BV$22*(BZ$15&gt;$I173)*(1-BZ$12)</f>
        <v>3052.7233182830196</v>
      </c>
      <c r="CA173" s="747">
        <f>$G173*$H173*(1+$K173)^MAX(ROUNDUP(IFERROR(DATEDIF($I155-1,CA$15+1,"m"),)/12,)-1,)*Index!BW$22*(CA$15&gt;$I173)*(1-CA$12)</f>
        <v>3052.7233182830196</v>
      </c>
      <c r="CB173" s="747">
        <f>$G173*$H173*(1+$K173)^MAX(ROUNDUP(IFERROR(DATEDIF($I155-1,CB$15+1,"m"),)/12,)-1,)*Index!BX$22*(CB$15&gt;$I173)*(1-CB$12)</f>
        <v>3052.7233182830196</v>
      </c>
      <c r="CC173" s="747">
        <f>$G173*$H173*(1+$K173)^MAX(ROUNDUP(IFERROR(DATEDIF($I155-1,CC$15+1,"m"),)/12,)-1,)*Index!BY$22*(CC$15&gt;$I173)*(1-CC$12)</f>
        <v>3052.7233182830196</v>
      </c>
      <c r="CD173" s="747">
        <f>$G173*$H173*(1+$K173)^MAX(ROUNDUP(IFERROR(DATEDIF($I155-1,CD$15+1,"m"),)/12,)-1,)*Index!BZ$22*(CD$15&gt;$I173)*(1-CD$12)</f>
        <v>3052.7233182830196</v>
      </c>
      <c r="CE173" s="747">
        <f>$G173*$H173*(1+$K173)^MAX(ROUNDUP(IFERROR(DATEDIF($I155-1,CE$15+1,"m"),)/12,)-1,)*Index!CA$22*(CE$15&gt;$I173)*(1-CE$12)</f>
        <v>3052.7233182830196</v>
      </c>
      <c r="CF173" s="747">
        <f>$G173*$H173*(1+$K173)^MAX(ROUNDUP(IFERROR(DATEDIF($I155-1,CF$15+1,"m"),)/12,)-1,)*Index!CB$22*(CF$15&gt;$I173)*(1-CF$12)</f>
        <v>3052.7233182830196</v>
      </c>
      <c r="CG173" s="747">
        <f>$G173*$H173*(1+$K173)^MAX(ROUNDUP(IFERROR(DATEDIF($I155-1,CG$15+1,"m"),)/12,)-1,)*Index!CC$22*(CG$15&gt;$I173)*(1-CG$12)</f>
        <v>3052.7233182830196</v>
      </c>
      <c r="CH173" s="747">
        <f>$G173*$H173*(1+$K173)^MAX(ROUNDUP(IFERROR(DATEDIF($I155-1,CH$15+1,"m"),)/12,)-1,)*Index!CD$22*(CH$15&gt;$I173)*(1-CH$12)</f>
        <v>3052.7233182830196</v>
      </c>
      <c r="CI173" s="747">
        <f>$G173*$H173*(1+$K173)^MAX(ROUNDUP(IFERROR(DATEDIF($I155-1,CI$15+1,"m"),)/12,)-1,)*Index!CE$22*(CI$15&gt;$I173)*(1-CI$12)</f>
        <v>3052.7233182830196</v>
      </c>
      <c r="CJ173" s="747">
        <f>$G173*$H173*(1+$K173)^MAX(ROUNDUP(IFERROR(DATEDIF($I155-1,CJ$15+1,"m"),)/12,)-1,)*Index!CF$22*(CJ$15&gt;$I173)*(1-CJ$12)</f>
        <v>3052.7233182830196</v>
      </c>
      <c r="CK173" s="747">
        <f>$G173*$H173*(1+$K173)^MAX(ROUNDUP(IFERROR(DATEDIF($I155-1,CK$15+1,"m"),)/12,)-1,)*Index!CG$22*(CK$15&gt;$I173)*(1-CK$12)</f>
        <v>3052.7233182830196</v>
      </c>
      <c r="CL173" s="747">
        <f>$G173*$H173*(1+$K173)^MAX(ROUNDUP(IFERROR(DATEDIF($I155-1,CL$15+1,"m"),)/12,)-1,)*Index!CH$22*(CL$15&gt;$I173)*(1-CL$12)</f>
        <v>3129.0414012400947</v>
      </c>
      <c r="CM173" s="747">
        <f>$G173*$H173*(1+$K173)^MAX(ROUNDUP(IFERROR(DATEDIF($I155-1,CM$15+1,"m"),)/12,)-1,)*Index!CI$22*(CM$15&gt;$I173)*(1-CM$12)</f>
        <v>3129.0414012400947</v>
      </c>
      <c r="CN173" s="747">
        <f>$G173*$H173*(1+$K173)^MAX(ROUNDUP(IFERROR(DATEDIF($I155-1,CN$15+1,"m"),)/12,)-1,)*Index!CJ$22*(CN$15&gt;$I173)*(1-CN$12)</f>
        <v>3129.0414012400947</v>
      </c>
      <c r="CO173" s="747">
        <f>$G173*$H173*(1+$K173)^MAX(ROUNDUP(IFERROR(DATEDIF($I155-1,CO$15+1,"m"),)/12,)-1,)*Index!CK$22*(CO$15&gt;$I173)*(1-CO$12)</f>
        <v>3129.0414012400947</v>
      </c>
      <c r="CP173" s="747">
        <f>$G173*$H173*(1+$K173)^MAX(ROUNDUP(IFERROR(DATEDIF($I155-1,CP$15+1,"m"),)/12,)-1,)*Index!CL$22*(CP$15&gt;$I173)*(1-CP$12)</f>
        <v>3129.0414012400947</v>
      </c>
      <c r="CQ173" s="747">
        <f>$G173*$H173*(1+$K173)^MAX(ROUNDUP(IFERROR(DATEDIF($I155-1,CQ$15+1,"m"),)/12,)-1,)*Index!CM$22*(CQ$15&gt;$I173)*(1-CQ$12)</f>
        <v>3129.0414012400947</v>
      </c>
      <c r="CR173" s="747">
        <f>$G173*$H173*(1+$K173)^MAX(ROUNDUP(IFERROR(DATEDIF($I155-1,CR$15+1,"m"),)/12,)-1,)*Index!CN$22*(CR$15&gt;$I173)*(1-CR$12)</f>
        <v>3129.0414012400947</v>
      </c>
      <c r="CS173" s="747">
        <f>$G173*$H173*(1+$K173)^MAX(ROUNDUP(IFERROR(DATEDIF($I155-1,CS$15+1,"m"),)/12,)-1,)*Index!CO$22*(CS$15&gt;$I173)*(1-CS$12)</f>
        <v>3129.0414012400947</v>
      </c>
      <c r="CT173" s="747">
        <f>$G173*$H173*(1+$K173)^MAX(ROUNDUP(IFERROR(DATEDIF($I155-1,CT$15+1,"m"),)/12,)-1,)*Index!CP$22*(CT$15&gt;$I173)*(1-CT$12)</f>
        <v>3129.0414012400947</v>
      </c>
      <c r="CU173" s="747">
        <f>$G173*$H173*(1+$K173)^MAX(ROUNDUP(IFERROR(DATEDIF($I155-1,CU$15+1,"m"),)/12,)-1,)*Index!CQ$22*(CU$15&gt;$I173)*(1-CU$12)</f>
        <v>3129.0414012400947</v>
      </c>
      <c r="CV173" s="747">
        <f>$G173*$H173*(1+$K173)^MAX(ROUNDUP(IFERROR(DATEDIF($I155-1,CV$15+1,"m"),)/12,)-1,)*Index!CR$22*(CV$15&gt;$I173)*(1-CV$12)</f>
        <v>3129.0414012400947</v>
      </c>
      <c r="CW173" s="747">
        <f>$G173*$H173*(1+$K173)^MAX(ROUNDUP(IFERROR(DATEDIF($I155-1,CW$15+1,"m"),)/12,)-1,)*Index!CS$22*(CW$15&gt;$I173)*(1-CW$12)</f>
        <v>3129.0414012400947</v>
      </c>
      <c r="CX173" s="747">
        <f>$G173*$H173*(1+$K173)^MAX(ROUNDUP(IFERROR(DATEDIF($I155-1,CX$15+1,"m"),)/12,)-1,)*Index!CT$22*(CX$15&gt;$I173)*(1-CX$12)</f>
        <v>3207.2674362710964</v>
      </c>
      <c r="CY173" s="747">
        <f>$G173*$H173*(1+$K173)^MAX(ROUNDUP(IFERROR(DATEDIF($I155-1,CY$15+1,"m"),)/12,)-1,)*Index!CU$22*(CY$15&gt;$I173)*(1-CY$12)</f>
        <v>3207.2674362710964</v>
      </c>
      <c r="CZ173" s="747">
        <f>$G173*$H173*(1+$K173)^MAX(ROUNDUP(IFERROR(DATEDIF($I155-1,CZ$15+1,"m"),)/12,)-1,)*Index!CV$22*(CZ$15&gt;$I173)*(1-CZ$12)</f>
        <v>3207.2674362710964</v>
      </c>
      <c r="DA173" s="747">
        <f>$G173*$H173*(1+$K173)^MAX(ROUNDUP(IFERROR(DATEDIF($I155-1,DA$15+1,"m"),)/12,)-1,)*Index!CW$22*(DA$15&gt;$I173)*(1-DA$12)</f>
        <v>3207.2674362710964</v>
      </c>
      <c r="DB173" s="747">
        <f>$G173*$H173*(1+$K173)^MAX(ROUNDUP(IFERROR(DATEDIF($I155-1,DB$15+1,"m"),)/12,)-1,)*Index!CX$22*(DB$15&gt;$I173)*(1-DB$12)</f>
        <v>3207.2674362710964</v>
      </c>
      <c r="DC173" s="747">
        <f>$G173*$H173*(1+$K173)^MAX(ROUNDUP(IFERROR(DATEDIF($I155-1,DC$15+1,"m"),)/12,)-1,)*Index!CY$22*(DC$15&gt;$I173)*(1-DC$12)</f>
        <v>3207.2674362710964</v>
      </c>
      <c r="DD173" s="747">
        <f>$G173*$H173*(1+$K173)^MAX(ROUNDUP(IFERROR(DATEDIF($I155-1,DD$15+1,"m"),)/12,)-1,)*Index!CZ$22*(DD$15&gt;$I173)*(1-DD$12)</f>
        <v>3207.2674362710964</v>
      </c>
      <c r="DE173" s="747">
        <f>$G173*$H173*(1+$K173)^MAX(ROUNDUP(IFERROR(DATEDIF($I155-1,DE$15+1,"m"),)/12,)-1,)*Index!DA$22*(DE$15&gt;$I173)*(1-DE$12)</f>
        <v>3207.2674362710964</v>
      </c>
      <c r="DF173" s="747">
        <f>$G173*$H173*(1+$K173)^MAX(ROUNDUP(IFERROR(DATEDIF($I155-1,DF$15+1,"m"),)/12,)-1,)*Index!DB$22*(DF$15&gt;$I173)*(1-DF$12)</f>
        <v>3207.2674362710964</v>
      </c>
      <c r="DG173" s="747">
        <f>$G173*$H173*(1+$K173)^MAX(ROUNDUP(IFERROR(DATEDIF($I155-1,DG$15+1,"m"),)/12,)-1,)*Index!DC$22*(DG$15&gt;$I173)*(1-DG$12)</f>
        <v>3207.2674362710964</v>
      </c>
      <c r="DH173" s="747">
        <f>$G173*$H173*(1+$K173)^MAX(ROUNDUP(IFERROR(DATEDIF($I155-1,DH$15+1,"m"),)/12,)-1,)*Index!DD$22*(DH$15&gt;$I173)*(1-DH$12)</f>
        <v>3207.2674362710964</v>
      </c>
      <c r="DI173" s="747">
        <f>$G173*$H173*(1+$K173)^MAX(ROUNDUP(IFERROR(DATEDIF($I155-1,DI$15+1,"m"),)/12,)-1,)*Index!DE$22*(DI$15&gt;$I173)*(1-DI$12)</f>
        <v>3207.2674362710964</v>
      </c>
      <c r="DJ173" s="747">
        <f>$G173*$H173*(1+$K173)^MAX(ROUNDUP(IFERROR(DATEDIF($I155-1,DJ$15+1,"m"),)/12,)-1,)*Index!DF$22*(DJ$15&gt;$I173)*(1-DJ$12)</f>
        <v>3287.449122177874</v>
      </c>
      <c r="DK173" s="747">
        <f>$G173*$H173*(1+$K173)^MAX(ROUNDUP(IFERROR(DATEDIF($I155-1,DK$15+1,"m"),)/12,)-1,)*Index!DG$22*(DK$15&gt;$I173)*(1-DK$12)</f>
        <v>3287.449122177874</v>
      </c>
      <c r="DL173" s="747">
        <f>$G173*$H173*(1+$K173)^MAX(ROUNDUP(IFERROR(DATEDIF($I155-1,DL$15+1,"m"),)/12,)-1,)*Index!DH$22*(DL$15&gt;$I173)*(1-DL$12)</f>
        <v>3287.449122177874</v>
      </c>
      <c r="DM173" s="747">
        <f>$G173*$H173*(1+$K173)^MAX(ROUNDUP(IFERROR(DATEDIF($I155-1,DM$15+1,"m"),)/12,)-1,)*Index!DI$22*(DM$15&gt;$I173)*(1-DM$12)</f>
        <v>3287.449122177874</v>
      </c>
      <c r="DN173" s="747">
        <f>$G173*$H173*(1+$K173)^MAX(ROUNDUP(IFERROR(DATEDIF($I155-1,DN$15+1,"m"),)/12,)-1,)*Index!DJ$22*(DN$15&gt;$I173)*(1-DN$12)</f>
        <v>3287.449122177874</v>
      </c>
      <c r="DO173" s="747">
        <f>$G173*$H173*(1+$K173)^MAX(ROUNDUP(IFERROR(DATEDIF($I155-1,DO$15+1,"m"),)/12,)-1,)*Index!DK$22*(DO$15&gt;$I173)*(1-DO$12)</f>
        <v>3287.449122177874</v>
      </c>
      <c r="DP173" s="747">
        <f>$G173*$H173*(1+$K173)^MAX(ROUNDUP(IFERROR(DATEDIF($I155-1,DP$15+1,"m"),)/12,)-1,)*Index!DL$22*(DP$15&gt;$I173)*(1-DP$12)</f>
        <v>3287.449122177874</v>
      </c>
      <c r="DQ173" s="747">
        <f>$G173*$H173*(1+$K173)^MAX(ROUNDUP(IFERROR(DATEDIF($I155-1,DQ$15+1,"m"),)/12,)-1,)*Index!DM$22*(DQ$15&gt;$I173)*(1-DQ$12)</f>
        <v>3287.449122177874</v>
      </c>
      <c r="DR173" s="747">
        <f>$G173*$H173*(1+$K173)^MAX(ROUNDUP(IFERROR(DATEDIF($I155-1,DR$15+1,"m"),)/12,)-1,)*Index!DN$22*(DR$15&gt;$I173)*(1-DR$12)</f>
        <v>3287.449122177874</v>
      </c>
      <c r="DS173" s="747">
        <f>$G173*$H173*(1+$K173)^MAX(ROUNDUP(IFERROR(DATEDIF($I155-1,DS$15+1,"m"),)/12,)-1,)*Index!DO$22*(DS$15&gt;$I173)*(1-DS$12)</f>
        <v>3287.449122177874</v>
      </c>
      <c r="DT173" s="747">
        <f>$G173*$H173*(1+$K173)^MAX(ROUNDUP(IFERROR(DATEDIF($I155-1,DT$15+1,"m"),)/12,)-1,)*Index!DP$22*(DT$15&gt;$I173)*(1-DT$12)</f>
        <v>3287.449122177874</v>
      </c>
      <c r="DU173" s="747">
        <f>$G173*$H173*(1+$K173)^MAX(ROUNDUP(IFERROR(DATEDIF($I155-1,DU$15+1,"m"),)/12,)-1,)*Index!DQ$22*(DU$15&gt;$I173)*(1-DU$12)</f>
        <v>3287.449122177874</v>
      </c>
      <c r="DV173" s="747">
        <f>$G173*$H173*(1+$K173)^MAX(ROUNDUP(IFERROR(DATEDIF($I155-1,DV$15+1,"m"),)/12,)-1,)*Index!DR$22*(DV$15&gt;$I173)*(1-DV$12)</f>
        <v>3369.6353502323209</v>
      </c>
      <c r="DW173" s="747">
        <f>$G173*$H173*(1+$K173)^MAX(ROUNDUP(IFERROR(DATEDIF($I155-1,DW$15+1,"m"),)/12,)-1,)*Index!DS$22*(DW$15&gt;$I173)*(1-DW$12)</f>
        <v>3369.6353502323209</v>
      </c>
      <c r="DX173" s="747">
        <f>$G173*$H173*(1+$K173)^MAX(ROUNDUP(IFERROR(DATEDIF($I155-1,DX$15+1,"m"),)/12,)-1,)*Index!DT$22*(DX$15&gt;$I173)*(1-DX$12)</f>
        <v>3369.6353502323209</v>
      </c>
      <c r="DY173" s="747">
        <f>$G173*$H173*(1+$K173)^MAX(ROUNDUP(IFERROR(DATEDIF($I155-1,DY$15+1,"m"),)/12,)-1,)*Index!DU$22*(DY$15&gt;$I173)*(1-DY$12)</f>
        <v>3369.6353502323209</v>
      </c>
      <c r="DZ173" s="747">
        <f>$G173*$H173*(1+$K173)^MAX(ROUNDUP(IFERROR(DATEDIF($I155-1,DZ$15+1,"m"),)/12,)-1,)*Index!DV$22*(DZ$15&gt;$I173)*(1-DZ$12)</f>
        <v>3369.6353502323209</v>
      </c>
      <c r="EA173" s="747">
        <f>$G173*$H173*(1+$K173)^MAX(ROUNDUP(IFERROR(DATEDIF($I155-1,EA$15+1,"m"),)/12,)-1,)*Index!DW$22*(EA$15&gt;$I173)*(1-EA$12)</f>
        <v>3369.6353502323209</v>
      </c>
      <c r="EB173" s="747">
        <f>$G173*$H173*(1+$K173)^MAX(ROUNDUP(IFERROR(DATEDIF($I155-1,EB$15+1,"m"),)/12,)-1,)*Index!DX$22*(EB$15&gt;$I173)*(1-EB$12)</f>
        <v>3369.6353502323209</v>
      </c>
      <c r="EC173" s="747">
        <f>$G173*$H173*(1+$K173)^MAX(ROUNDUP(IFERROR(DATEDIF($I155-1,EC$15+1,"m"),)/12,)-1,)*Index!DY$22*(EC$15&gt;$I173)*(1-EC$12)</f>
        <v>3369.6353502323209</v>
      </c>
      <c r="ED173" s="747">
        <f>$G173*$H173*(1+$K173)^MAX(ROUNDUP(IFERROR(DATEDIF($I155-1,ED$15+1,"m"),)/12,)-1,)*Index!DZ$22*(ED$15&gt;$I173)*(1-ED$12)</f>
        <v>3369.6353502323209</v>
      </c>
      <c r="EE173" s="747">
        <f>$G173*$H173*(1+$K173)^MAX(ROUNDUP(IFERROR(DATEDIF($I155-1,EE$15+1,"m"),)/12,)-1,)*Index!EA$22*(EE$15&gt;$I173)*(1-EE$12)</f>
        <v>3369.6353502323209</v>
      </c>
      <c r="EF173" s="747">
        <f>$G173*$H173*(1+$K173)^MAX(ROUNDUP(IFERROR(DATEDIF($I155-1,EF$15+1,"m"),)/12,)-1,)*Index!EB$22*(EF$15&gt;$I173)*(1-EF$12)</f>
        <v>3369.6353502323209</v>
      </c>
      <c r="EG173" s="747">
        <f>$G173*$H173*(1+$K173)^MAX(ROUNDUP(IFERROR(DATEDIF($I155-1,EG$15+1,"m"),)/12,)-1,)*Index!EC$22*(EG$15&gt;$I173)*(1-EG$12)</f>
        <v>0</v>
      </c>
      <c r="EH173" s="747">
        <f>$G173*$H173*(1+$K173)^MAX(ROUNDUP(IFERROR(DATEDIF($I155-1,EH$15+1,"m"),)/12,)-1,)*Index!ED$22*(EH$15&gt;$I173)*(1-EH$12)</f>
        <v>0</v>
      </c>
      <c r="EI173" s="747">
        <f>$G173*$H173*(1+$K173)^MAX(ROUNDUP(IFERROR(DATEDIF($I155-1,EI$15+1,"m"),)/12,)-1,)*Index!EE$22*(EI$15&gt;$I173)*(1-EI$12)</f>
        <v>0</v>
      </c>
      <c r="EJ173" s="747">
        <f>$G173*$H173*(1+$K173)^MAX(ROUNDUP(IFERROR(DATEDIF($I155-1,EJ$15+1,"m"),)/12,)-1,)*Index!EF$22*(EJ$15&gt;$I173)*(1-EJ$12)</f>
        <v>0</v>
      </c>
      <c r="EK173" s="747">
        <f>$G173*$H173*(1+$K173)^MAX(ROUNDUP(IFERROR(DATEDIF($I155-1,EK$15+1,"m"),)/12,)-1,)*Index!EG$22*(EK$15&gt;$I173)*(1-EK$12)</f>
        <v>0</v>
      </c>
      <c r="EL173" s="747">
        <f>$G173*$H173*(1+$K173)^MAX(ROUNDUP(IFERROR(DATEDIF($I155-1,EL$15+1,"m"),)/12,)-1,)*Index!EH$22*(EL$15&gt;$I173)*(1-EL$12)</f>
        <v>0</v>
      </c>
      <c r="EM173" s="747">
        <f>$G173*$H173*(1+$K173)^MAX(ROUNDUP(IFERROR(DATEDIF($I155-1,EM$15+1,"m"),)/12,)-1,)*Index!EI$22*(EM$15&gt;$I173)*(1-EM$12)</f>
        <v>0</v>
      </c>
      <c r="EN173" s="747">
        <f>$G173*$H173*(1+$K173)^MAX(ROUNDUP(IFERROR(DATEDIF($I155-1,EN$15+1,"m"),)/12,)-1,)*Index!EJ$22*(EN$15&gt;$I173)*(1-EN$12)</f>
        <v>0</v>
      </c>
      <c r="EO173" s="747">
        <f>$G173*$H173*(1+$K173)^MAX(ROUNDUP(IFERROR(DATEDIF($I155-1,EO$15+1,"m"),)/12,)-1,)*Index!EK$22*(EO$15&gt;$I173)*(1-EO$12)</f>
        <v>0</v>
      </c>
      <c r="EP173" s="747">
        <f>$G173*$H173*(1+$K173)^MAX(ROUNDUP(IFERROR(DATEDIF($I155-1,EP$15+1,"m"),)/12,)-1,)*Index!EL$22*(EP$15&gt;$I173)*(1-EP$12)</f>
        <v>0</v>
      </c>
      <c r="EQ173" s="747">
        <f>$G173*$H173*(1+$K173)^MAX(ROUNDUP(IFERROR(DATEDIF($I155-1,EQ$15+1,"m"),)/12,)-1,)*Index!EM$22*(EQ$15&gt;$I173)*(1-EQ$12)</f>
        <v>0</v>
      </c>
      <c r="ER173" s="747">
        <f>$G173*$H173*(1+$K173)^MAX(ROUNDUP(IFERROR(DATEDIF($I155-1,ER$15+1,"m"),)/12,)-1,)*Index!EN$22*(ER$15&gt;$I173)*(1-ER$12)</f>
        <v>0</v>
      </c>
      <c r="ES173" s="747">
        <f>$G173*$H173*(1+$K173)^MAX(ROUNDUP(IFERROR(DATEDIF($I155-1,ES$15+1,"m"),)/12,)-1,)*Index!EO$22*(ES$15&gt;$I173)*(1-ES$12)</f>
        <v>0</v>
      </c>
      <c r="ET173" s="747">
        <f>$G173*$H173*(1+$K173)^MAX(ROUNDUP(IFERROR(DATEDIF($I155-1,ET$15+1,"m"),)/12,)-1,)*Index!EP$22*(ET$15&gt;$I173)*(1-ET$12)</f>
        <v>0</v>
      </c>
      <c r="EU173" s="747">
        <f>$G173*$H173*(1+$K173)^MAX(ROUNDUP(IFERROR(DATEDIF($I155-1,EU$15+1,"m"),)/12,)-1,)*Index!EQ$22*(EU$15&gt;$I173)*(1-EU$12)</f>
        <v>0</v>
      </c>
    </row>
    <row r="174" spans="3:151" ht="11.25" customHeight="1">
      <c r="C174" s="735"/>
      <c r="D174" s="743" t="str">
        <f t="shared" si="243"/>
        <v>1F</v>
      </c>
      <c r="E174" s="704" t="str">
        <f t="shared" si="243"/>
        <v>아이팜</v>
      </c>
      <c r="F174" s="704" t="str">
        <f t="shared" si="243"/>
        <v>근린생활시설</v>
      </c>
      <c r="G174" s="781" cm="1">
        <f t="array" ref="G174">SUMPRODUCT(($E174='A&amp;R'!$V$26:$V$32)*('A&amp;R'!$AC$26:$AC$32))/1000</f>
        <v>3</v>
      </c>
      <c r="H174" s="744">
        <f t="shared" si="244"/>
        <v>17.29</v>
      </c>
      <c r="I174" s="745">
        <f t="shared" si="245"/>
        <v>47603</v>
      </c>
      <c r="J174" s="745"/>
      <c r="K174" s="754">
        <f t="shared" si="246"/>
        <v>2.5000000000000001E-2</v>
      </c>
      <c r="L174" s="748"/>
      <c r="M174" s="749"/>
      <c r="N174" s="747">
        <f t="shared" si="247"/>
        <v>4906.8072596481034</v>
      </c>
      <c r="O174" s="733"/>
      <c r="P174" s="747">
        <f>$G174*$H174*(1+$K174)^MAX(ROUNDUP(IFERROR(DATEDIF($I156-1,P$15+1,"m"),)/12,)-1,)*Index!L$22*(P$15&gt;$I174)*(1-P$12)</f>
        <v>0</v>
      </c>
      <c r="Q174" s="747">
        <f>$G174*$H174*(1+$K174)^MAX(ROUNDUP(IFERROR(DATEDIF($I156-1,Q$15+1,"m"),)/12,)-1,)*Index!M$22*(Q$15&gt;$I174)*(1-Q$12)</f>
        <v>0</v>
      </c>
      <c r="R174" s="747">
        <f>$G174*$H174*(1+$K174)^MAX(ROUNDUP(IFERROR(DATEDIF($I156-1,R$15+1,"m"),)/12,)-1,)*Index!N$22*(R$15&gt;$I174)*(1-R$12)</f>
        <v>0</v>
      </c>
      <c r="S174" s="747">
        <f>$G174*$H174*(1+$K174)^MAX(ROUNDUP(IFERROR(DATEDIF($I156-1,S$15+1,"m"),)/12,)-1,)*Index!O$22*(S$15&gt;$I174)*(1-S$12)</f>
        <v>0</v>
      </c>
      <c r="T174" s="747">
        <f>$G174*$H174*(1+$K174)^MAX(ROUNDUP(IFERROR(DATEDIF($I156-1,T$15+1,"m"),)/12,)-1,)*Index!P$22*(T$15&gt;$I174)*(1-T$12)</f>
        <v>0</v>
      </c>
      <c r="U174" s="747">
        <f>$G174*$H174*(1+$K174)^MAX(ROUNDUP(IFERROR(DATEDIF($I156-1,U$15+1,"m"),)/12,)-1,)*Index!Q$22*(U$15&gt;$I174)*(1-U$12)</f>
        <v>0</v>
      </c>
      <c r="V174" s="747">
        <f>$G174*$H174*(1+$K174)^MAX(ROUNDUP(IFERROR(DATEDIF($I156-1,V$15+1,"m"),)/12,)-1,)*Index!R$22*(V$15&gt;$I174)*(1-V$12)</f>
        <v>0</v>
      </c>
      <c r="W174" s="747">
        <f>$G174*$H174*(1+$K174)^MAX(ROUNDUP(IFERROR(DATEDIF($I156-1,W$15+1,"m"),)/12,)-1,)*Index!S$22*(W$15&gt;$I174)*(1-W$12)</f>
        <v>0</v>
      </c>
      <c r="X174" s="747">
        <f>$G174*$H174*(1+$K174)^MAX(ROUNDUP(IFERROR(DATEDIF($I156-1,X$15+1,"m"),)/12,)-1,)*Index!T$22*(X$15&gt;$I174)*(1-X$12)</f>
        <v>0</v>
      </c>
      <c r="Y174" s="747">
        <f>$G174*$H174*(1+$K174)^MAX(ROUNDUP(IFERROR(DATEDIF($I156-1,Y$15+1,"m"),)/12,)-1,)*Index!U$22*(Y$15&gt;$I174)*(1-Y$12)</f>
        <v>0</v>
      </c>
      <c r="Z174" s="747">
        <f>$G174*$H174*(1+$K174)^MAX(ROUNDUP(IFERROR(DATEDIF($I156-1,Z$15+1,"m"),)/12,)-1,)*Index!V$22*(Z$15&gt;$I174)*(1-Z$12)</f>
        <v>0</v>
      </c>
      <c r="AA174" s="747">
        <f>$G174*$H174*(1+$K174)^MAX(ROUNDUP(IFERROR(DATEDIF($I156-1,AA$15+1,"m"),)/12,)-1,)*Index!W$22*(AA$15&gt;$I174)*(1-AA$12)</f>
        <v>0</v>
      </c>
      <c r="AB174" s="747">
        <f>$G174*$H174*(1+$K174)^MAX(ROUNDUP(IFERROR(DATEDIF($I156-1,AB$15+1,"m"),)/12,)-1,)*Index!X$22*(AB$15&gt;$I174)*(1-AB$12)</f>
        <v>0</v>
      </c>
      <c r="AC174" s="747">
        <f>$G174*$H174*(1+$K174)^MAX(ROUNDUP(IFERROR(DATEDIF($I156-1,AC$15+1,"m"),)/12,)-1,)*Index!Y$22*(AC$15&gt;$I174)*(1-AC$12)</f>
        <v>0</v>
      </c>
      <c r="AD174" s="747">
        <f>$G174*$H174*(1+$K174)^MAX(ROUNDUP(IFERROR(DATEDIF($I156-1,AD$15+1,"m"),)/12,)-1,)*Index!Z$22*(AD$15&gt;$I174)*(1-AD$12)</f>
        <v>0</v>
      </c>
      <c r="AE174" s="747">
        <f>$G174*$H174*(1+$K174)^MAX(ROUNDUP(IFERROR(DATEDIF($I156-1,AE$15+1,"m"),)/12,)-1,)*Index!AA$22*(AE$15&gt;$I174)*(1-AE$12)</f>
        <v>0</v>
      </c>
      <c r="AF174" s="747">
        <f>$G174*$H174*(1+$K174)^MAX(ROUNDUP(IFERROR(DATEDIF($I156-1,AF$15+1,"m"),)/12,)-1,)*Index!AB$22*(AF$15&gt;$I174)*(1-AF$12)</f>
        <v>0</v>
      </c>
      <c r="AG174" s="747">
        <f>$G174*$H174*(1+$K174)^MAX(ROUNDUP(IFERROR(DATEDIF($I156-1,AG$15+1,"m"),)/12,)-1,)*Index!AC$22*(AG$15&gt;$I174)*(1-AG$12)</f>
        <v>0</v>
      </c>
      <c r="AH174" s="747">
        <f>$G174*$H174*(1+$K174)^MAX(ROUNDUP(IFERROR(DATEDIF($I156-1,AH$15+1,"m"),)/12,)-1,)*Index!AD$22*(AH$15&gt;$I174)*(1-AH$12)</f>
        <v>0</v>
      </c>
      <c r="AI174" s="747">
        <f>$G174*$H174*(1+$K174)^MAX(ROUNDUP(IFERROR(DATEDIF($I156-1,AI$15+1,"m"),)/12,)-1,)*Index!AE$22*(AI$15&gt;$I174)*(1-AI$12)</f>
        <v>0</v>
      </c>
      <c r="AJ174" s="747">
        <f>$G174*$H174*(1+$K174)^MAX(ROUNDUP(IFERROR(DATEDIF($I156-1,AJ$15+1,"m"),)/12,)-1,)*Index!AF$22*(AJ$15&gt;$I174)*(1-AJ$12)</f>
        <v>0</v>
      </c>
      <c r="AK174" s="747">
        <f>$G174*$H174*(1+$K174)^MAX(ROUNDUP(IFERROR(DATEDIF($I156-1,AK$15+1,"m"),)/12,)-1,)*Index!AG$22*(AK$15&gt;$I174)*(1-AK$12)</f>
        <v>0</v>
      </c>
      <c r="AL174" s="747">
        <f>$G174*$H174*(1+$K174)^MAX(ROUNDUP(IFERROR(DATEDIF($I156-1,AL$15+1,"m"),)/12,)-1,)*Index!AH$22*(AL$15&gt;$I174)*(1-AL$12)</f>
        <v>0</v>
      </c>
      <c r="AM174" s="747">
        <f>$G174*$H174*(1+$K174)^MAX(ROUNDUP(IFERROR(DATEDIF($I156-1,AM$15+1,"m"),)/12,)-1,)*Index!AI$22*(AM$15&gt;$I174)*(1-AM$12)</f>
        <v>0</v>
      </c>
      <c r="AN174" s="747">
        <f>$G174*$H174*(1+$K174)^MAX(ROUNDUP(IFERROR(DATEDIF($I156-1,AN$15+1,"m"),)/12,)-1,)*Index!AJ$22*(AN$15&gt;$I174)*(1-AN$12)</f>
        <v>0</v>
      </c>
      <c r="AO174" s="747">
        <f>$G174*$H174*(1+$K174)^MAX(ROUNDUP(IFERROR(DATEDIF($I156-1,AO$15+1,"m"),)/12,)-1,)*Index!AK$22*(AO$15&gt;$I174)*(1-AO$12)</f>
        <v>0</v>
      </c>
      <c r="AP174" s="747">
        <f>$G174*$H174*(1+$K174)^MAX(ROUNDUP(IFERROR(DATEDIF($I156-1,AP$15+1,"m"),)/12,)-1,)*Index!AL$22*(AP$15&gt;$I174)*(1-AP$12)</f>
        <v>0</v>
      </c>
      <c r="AQ174" s="747">
        <f>$G174*$H174*(1+$K174)^MAX(ROUNDUP(IFERROR(DATEDIF($I156-1,AQ$15+1,"m"),)/12,)-1,)*Index!AM$22*(AQ$15&gt;$I174)*(1-AQ$12)</f>
        <v>0</v>
      </c>
      <c r="AR174" s="747">
        <f>$G174*$H174*(1+$K174)^MAX(ROUNDUP(IFERROR(DATEDIF($I156-1,AR$15+1,"m"),)/12,)-1,)*Index!AN$22*(AR$15&gt;$I174)*(1-AR$12)</f>
        <v>0</v>
      </c>
      <c r="AS174" s="747">
        <f>$G174*$H174*(1+$K174)^MAX(ROUNDUP(IFERROR(DATEDIF($I156-1,AS$15+1,"m"),)/12,)-1,)*Index!AO$22*(AS$15&gt;$I174)*(1-AS$12)</f>
        <v>0</v>
      </c>
      <c r="AT174" s="747">
        <f>$G174*$H174*(1+$K174)^MAX(ROUNDUP(IFERROR(DATEDIF($I156-1,AT$15+1,"m"),)/12,)-1,)*Index!AP$22*(AT$15&gt;$I174)*(1-AT$12)</f>
        <v>0</v>
      </c>
      <c r="AU174" s="747">
        <f>$G174*$H174*(1+$K174)^MAX(ROUNDUP(IFERROR(DATEDIF($I156-1,AU$15+1,"m"),)/12,)-1,)*Index!AQ$22*(AU$15&gt;$I174)*(1-AU$12)</f>
        <v>0</v>
      </c>
      <c r="AV174" s="747">
        <f>$G174*$H174*(1+$K174)^MAX(ROUNDUP(IFERROR(DATEDIF($I156-1,AV$15+1,"m"),)/12,)-1,)*Index!AR$22*(AV$15&gt;$I174)*(1-AV$12)</f>
        <v>0</v>
      </c>
      <c r="AW174" s="747">
        <f>$G174*$H174*(1+$K174)^MAX(ROUNDUP(IFERROR(DATEDIF($I156-1,AW$15+1,"m"),)/12,)-1,)*Index!AS$22*(AW$15&gt;$I174)*(1-AW$12)</f>
        <v>0</v>
      </c>
      <c r="AX174" s="747">
        <f>$G174*$H174*(1+$K174)^MAX(ROUNDUP(IFERROR(DATEDIF($I156-1,AX$15+1,"m"),)/12,)-1,)*Index!AT$22*(AX$15&gt;$I174)*(1-AX$12)</f>
        <v>0</v>
      </c>
      <c r="AY174" s="747">
        <f>$G174*$H174*(1+$K174)^MAX(ROUNDUP(IFERROR(DATEDIF($I156-1,AY$15+1,"m"),)/12,)-1,)*Index!AU$22*(AY$15&gt;$I174)*(1-AY$12)</f>
        <v>0</v>
      </c>
      <c r="AZ174" s="747">
        <f>$G174*$H174*(1+$K174)^MAX(ROUNDUP(IFERROR(DATEDIF($I156-1,AZ$15+1,"m"),)/12,)-1,)*Index!AV$22*(AZ$15&gt;$I174)*(1-AZ$12)</f>
        <v>0</v>
      </c>
      <c r="BA174" s="747">
        <f>$G174*$H174*(1+$K174)^MAX(ROUNDUP(IFERROR(DATEDIF($I156-1,BA$15+1,"m"),)/12,)-1,)*Index!AW$22*(BA$15&gt;$I174)*(1-BA$12)</f>
        <v>0</v>
      </c>
      <c r="BB174" s="747">
        <f>$G174*$H174*(1+$K174)^MAX(ROUNDUP(IFERROR(DATEDIF($I156-1,BB$15+1,"m"),)/12,)-1,)*Index!AX$22*(BB$15&gt;$I174)*(1-BB$12)</f>
        <v>0</v>
      </c>
      <c r="BC174" s="747">
        <f>$G174*$H174*(1+$K174)^MAX(ROUNDUP(IFERROR(DATEDIF($I156-1,BC$15+1,"m"),)/12,)-1,)*Index!AY$22*(BC$15&gt;$I174)*(1-BC$12)</f>
        <v>0</v>
      </c>
      <c r="BD174" s="747">
        <f>$G174*$H174*(1+$K174)^MAX(ROUNDUP(IFERROR(DATEDIF($I156-1,BD$15+1,"m"),)/12,)-1,)*Index!AZ$22*(BD$15&gt;$I174)*(1-BD$12)</f>
        <v>0</v>
      </c>
      <c r="BE174" s="747">
        <f>$G174*$H174*(1+$K174)^MAX(ROUNDUP(IFERROR(DATEDIF($I156-1,BE$15+1,"m"),)/12,)-1,)*Index!BA$22*(BE$15&gt;$I174)*(1-BE$12)</f>
        <v>0</v>
      </c>
      <c r="BF174" s="747">
        <f>$G174*$H174*(1+$K174)^MAX(ROUNDUP(IFERROR(DATEDIF($I156-1,BF$15+1,"m"),)/12,)-1,)*Index!BB$22*(BF$15&gt;$I174)*(1-BF$12)</f>
        <v>0</v>
      </c>
      <c r="BG174" s="747">
        <f>$G174*$H174*(1+$K174)^MAX(ROUNDUP(IFERROR(DATEDIF($I156-1,BG$15+1,"m"),)/12,)-1,)*Index!BC$22*(BG$15&gt;$I174)*(1-BG$12)</f>
        <v>58.686144002636695</v>
      </c>
      <c r="BH174" s="747">
        <f>$G174*$H174*(1+$K174)^MAX(ROUNDUP(IFERROR(DATEDIF($I156-1,BH$15+1,"m"),)/12,)-1,)*Index!BD$22*(BH$15&gt;$I174)*(1-BH$12)</f>
        <v>58.686144002636695</v>
      </c>
      <c r="BI174" s="747">
        <f>$G174*$H174*(1+$K174)^MAX(ROUNDUP(IFERROR(DATEDIF($I156-1,BI$15+1,"m"),)/12,)-1,)*Index!BE$22*(BI$15&gt;$I174)*(1-BI$12)</f>
        <v>58.686144002636695</v>
      </c>
      <c r="BJ174" s="747">
        <f>$G174*$H174*(1+$K174)^MAX(ROUNDUP(IFERROR(DATEDIF($I156-1,BJ$15+1,"m"),)/12,)-1,)*Index!BF$22*(BJ$15&gt;$I174)*(1-BJ$12)</f>
        <v>58.686144002636695</v>
      </c>
      <c r="BK174" s="747">
        <f>$G174*$H174*(1+$K174)^MAX(ROUNDUP(IFERROR(DATEDIF($I156-1,BK$15+1,"m"),)/12,)-1,)*Index!BG$22*(BK$15&gt;$I174)*(1-BK$12)</f>
        <v>58.686144002636695</v>
      </c>
      <c r="BL174" s="747">
        <f>$G174*$H174*(1+$K174)^MAX(ROUNDUP(IFERROR(DATEDIF($I156-1,BL$15+1,"m"),)/12,)-1,)*Index!BH$22*(BL$15&gt;$I174)*(1-BL$12)</f>
        <v>58.686144002636695</v>
      </c>
      <c r="BM174" s="747">
        <f>$G174*$H174*(1+$K174)^MAX(ROUNDUP(IFERROR(DATEDIF($I156-1,BM$15+1,"m"),)/12,)-1,)*Index!BI$22*(BM$15&gt;$I174)*(1-BM$12)</f>
        <v>58.686144002636695</v>
      </c>
      <c r="BN174" s="747">
        <f>$G174*$H174*(1+$K174)^MAX(ROUNDUP(IFERROR(DATEDIF($I156-1,BN$15+1,"m"),)/12,)-1,)*Index!BJ$22*(BN$15&gt;$I174)*(1-BN$12)</f>
        <v>58.686144002636695</v>
      </c>
      <c r="BO174" s="747">
        <f>$G174*$H174*(1+$K174)^MAX(ROUNDUP(IFERROR(DATEDIF($I156-1,BO$15+1,"m"),)/12,)-1,)*Index!BK$22*(BO$15&gt;$I174)*(1-BO$12)</f>
        <v>58.686144002636695</v>
      </c>
      <c r="BP174" s="747">
        <f>$G174*$H174*(1+$K174)^MAX(ROUNDUP(IFERROR(DATEDIF($I156-1,BP$15+1,"m"),)/12,)-1,)*Index!BL$22*(BP$15&gt;$I174)*(1-BP$12)</f>
        <v>58.686144002636695</v>
      </c>
      <c r="BQ174" s="747">
        <f>$G174*$H174*(1+$K174)^MAX(ROUNDUP(IFERROR(DATEDIF($I156-1,BQ$15+1,"m"),)/12,)-1,)*Index!BM$22*(BQ$15&gt;$I174)*(1-BQ$12)</f>
        <v>58.686144002636695</v>
      </c>
      <c r="BR174" s="747">
        <f>$G174*$H174*(1+$K174)^MAX(ROUNDUP(IFERROR(DATEDIF($I156-1,BR$15+1,"m"),)/12,)-1,)*Index!BN$22*(BR$15&gt;$I174)*(1-BR$12)</f>
        <v>58.686144002636695</v>
      </c>
      <c r="BS174" s="747">
        <f>$G174*$H174*(1+$K174)^MAX(ROUNDUP(IFERROR(DATEDIF($I156-1,BS$15+1,"m"),)/12,)-1,)*Index!BO$22*(BS$15&gt;$I174)*(1-BS$12)</f>
        <v>60.153297602702608</v>
      </c>
      <c r="BT174" s="747">
        <f>$G174*$H174*(1+$K174)^MAX(ROUNDUP(IFERROR(DATEDIF($I156-1,BT$15+1,"m"),)/12,)-1,)*Index!BP$22*(BT$15&gt;$I174)*(1-BT$12)</f>
        <v>60.153297602702608</v>
      </c>
      <c r="BU174" s="747">
        <f>$G174*$H174*(1+$K174)^MAX(ROUNDUP(IFERROR(DATEDIF($I156-1,BU$15+1,"m"),)/12,)-1,)*Index!BQ$22*(BU$15&gt;$I174)*(1-BU$12)</f>
        <v>60.153297602702608</v>
      </c>
      <c r="BV174" s="747">
        <f>$G174*$H174*(1+$K174)^MAX(ROUNDUP(IFERROR(DATEDIF($I156-1,BV$15+1,"m"),)/12,)-1,)*Index!BR$22*(BV$15&gt;$I174)*(1-BV$12)</f>
        <v>60.153297602702608</v>
      </c>
      <c r="BW174" s="747">
        <f>$G174*$H174*(1+$K174)^MAX(ROUNDUP(IFERROR(DATEDIF($I156-1,BW$15+1,"m"),)/12,)-1,)*Index!BS$22*(BW$15&gt;$I174)*(1-BW$12)</f>
        <v>60.153297602702608</v>
      </c>
      <c r="BX174" s="747">
        <f>$G174*$H174*(1+$K174)^MAX(ROUNDUP(IFERROR(DATEDIF($I156-1,BX$15+1,"m"),)/12,)-1,)*Index!BT$22*(BX$15&gt;$I174)*(1-BX$12)</f>
        <v>60.153297602702608</v>
      </c>
      <c r="BY174" s="747">
        <f>$G174*$H174*(1+$K174)^MAX(ROUNDUP(IFERROR(DATEDIF($I156-1,BY$15+1,"m"),)/12,)-1,)*Index!BU$22*(BY$15&gt;$I174)*(1-BY$12)</f>
        <v>60.153297602702608</v>
      </c>
      <c r="BZ174" s="747">
        <f>$G174*$H174*(1+$K174)^MAX(ROUNDUP(IFERROR(DATEDIF($I156-1,BZ$15+1,"m"),)/12,)-1,)*Index!BV$22*(BZ$15&gt;$I174)*(1-BZ$12)</f>
        <v>60.153297602702608</v>
      </c>
      <c r="CA174" s="747">
        <f>$G174*$H174*(1+$K174)^MAX(ROUNDUP(IFERROR(DATEDIF($I156-1,CA$15+1,"m"),)/12,)-1,)*Index!BW$22*(CA$15&gt;$I174)*(1-CA$12)</f>
        <v>60.153297602702608</v>
      </c>
      <c r="CB174" s="747">
        <f>$G174*$H174*(1+$K174)^MAX(ROUNDUP(IFERROR(DATEDIF($I156-1,CB$15+1,"m"),)/12,)-1,)*Index!BX$22*(CB$15&gt;$I174)*(1-CB$12)</f>
        <v>60.153297602702608</v>
      </c>
      <c r="CC174" s="747">
        <f>$G174*$H174*(1+$K174)^MAX(ROUNDUP(IFERROR(DATEDIF($I156-1,CC$15+1,"m"),)/12,)-1,)*Index!BY$22*(CC$15&gt;$I174)*(1-CC$12)</f>
        <v>60.153297602702608</v>
      </c>
      <c r="CD174" s="747">
        <f>$G174*$H174*(1+$K174)^MAX(ROUNDUP(IFERROR(DATEDIF($I156-1,CD$15+1,"m"),)/12,)-1,)*Index!BZ$22*(CD$15&gt;$I174)*(1-CD$12)</f>
        <v>60.153297602702608</v>
      </c>
      <c r="CE174" s="747">
        <f>$G174*$H174*(1+$K174)^MAX(ROUNDUP(IFERROR(DATEDIF($I156-1,CE$15+1,"m"),)/12,)-1,)*Index!CA$22*(CE$15&gt;$I174)*(1-CE$12)</f>
        <v>61.657130042770177</v>
      </c>
      <c r="CF174" s="747">
        <f>$G174*$H174*(1+$K174)^MAX(ROUNDUP(IFERROR(DATEDIF($I156-1,CF$15+1,"m"),)/12,)-1,)*Index!CB$22*(CF$15&gt;$I174)*(1-CF$12)</f>
        <v>61.657130042770177</v>
      </c>
      <c r="CG174" s="747">
        <f>$G174*$H174*(1+$K174)^MAX(ROUNDUP(IFERROR(DATEDIF($I156-1,CG$15+1,"m"),)/12,)-1,)*Index!CC$22*(CG$15&gt;$I174)*(1-CG$12)</f>
        <v>61.657130042770177</v>
      </c>
      <c r="CH174" s="747">
        <f>$G174*$H174*(1+$K174)^MAX(ROUNDUP(IFERROR(DATEDIF($I156-1,CH$15+1,"m"),)/12,)-1,)*Index!CD$22*(CH$15&gt;$I174)*(1-CH$12)</f>
        <v>61.657130042770177</v>
      </c>
      <c r="CI174" s="747">
        <f>$G174*$H174*(1+$K174)^MAX(ROUNDUP(IFERROR(DATEDIF($I156-1,CI$15+1,"m"),)/12,)-1,)*Index!CE$22*(CI$15&gt;$I174)*(1-CI$12)</f>
        <v>61.657130042770177</v>
      </c>
      <c r="CJ174" s="747">
        <f>$G174*$H174*(1+$K174)^MAX(ROUNDUP(IFERROR(DATEDIF($I156-1,CJ$15+1,"m"),)/12,)-1,)*Index!CF$22*(CJ$15&gt;$I174)*(1-CJ$12)</f>
        <v>61.657130042770177</v>
      </c>
      <c r="CK174" s="747">
        <f>$G174*$H174*(1+$K174)^MAX(ROUNDUP(IFERROR(DATEDIF($I156-1,CK$15+1,"m"),)/12,)-1,)*Index!CG$22*(CK$15&gt;$I174)*(1-CK$12)</f>
        <v>61.657130042770177</v>
      </c>
      <c r="CL174" s="747">
        <f>$G174*$H174*(1+$K174)^MAX(ROUNDUP(IFERROR(DATEDIF($I156-1,CL$15+1,"m"),)/12,)-1,)*Index!CH$22*(CL$15&gt;$I174)*(1-CL$12)</f>
        <v>61.657130042770177</v>
      </c>
      <c r="CM174" s="747">
        <f>$G174*$H174*(1+$K174)^MAX(ROUNDUP(IFERROR(DATEDIF($I156-1,CM$15+1,"m"),)/12,)-1,)*Index!CI$22*(CM$15&gt;$I174)*(1-CM$12)</f>
        <v>61.657130042770177</v>
      </c>
      <c r="CN174" s="747">
        <f>$G174*$H174*(1+$K174)^MAX(ROUNDUP(IFERROR(DATEDIF($I156-1,CN$15+1,"m"),)/12,)-1,)*Index!CJ$22*(CN$15&gt;$I174)*(1-CN$12)</f>
        <v>61.657130042770177</v>
      </c>
      <c r="CO174" s="747">
        <f>$G174*$H174*(1+$K174)^MAX(ROUNDUP(IFERROR(DATEDIF($I156-1,CO$15+1,"m"),)/12,)-1,)*Index!CK$22*(CO$15&gt;$I174)*(1-CO$12)</f>
        <v>61.657130042770177</v>
      </c>
      <c r="CP174" s="747">
        <f>$G174*$H174*(1+$K174)^MAX(ROUNDUP(IFERROR(DATEDIF($I156-1,CP$15+1,"m"),)/12,)-1,)*Index!CL$22*(CP$15&gt;$I174)*(1-CP$12)</f>
        <v>61.657130042770177</v>
      </c>
      <c r="CQ174" s="747">
        <f>$G174*$H174*(1+$K174)^MAX(ROUNDUP(IFERROR(DATEDIF($I156-1,CQ$15+1,"m"),)/12,)-1,)*Index!CM$22*(CQ$15&gt;$I174)*(1-CQ$12)</f>
        <v>63.198558293839426</v>
      </c>
      <c r="CR174" s="747">
        <f>$G174*$H174*(1+$K174)^MAX(ROUNDUP(IFERROR(DATEDIF($I156-1,CR$15+1,"m"),)/12,)-1,)*Index!CN$22*(CR$15&gt;$I174)*(1-CR$12)</f>
        <v>63.198558293839426</v>
      </c>
      <c r="CS174" s="747">
        <f>$G174*$H174*(1+$K174)^MAX(ROUNDUP(IFERROR(DATEDIF($I156-1,CS$15+1,"m"),)/12,)-1,)*Index!CO$22*(CS$15&gt;$I174)*(1-CS$12)</f>
        <v>63.198558293839426</v>
      </c>
      <c r="CT174" s="747">
        <f>$G174*$H174*(1+$K174)^MAX(ROUNDUP(IFERROR(DATEDIF($I156-1,CT$15+1,"m"),)/12,)-1,)*Index!CP$22*(CT$15&gt;$I174)*(1-CT$12)</f>
        <v>63.198558293839426</v>
      </c>
      <c r="CU174" s="747">
        <f>$G174*$H174*(1+$K174)^MAX(ROUNDUP(IFERROR(DATEDIF($I156-1,CU$15+1,"m"),)/12,)-1,)*Index!CQ$22*(CU$15&gt;$I174)*(1-CU$12)</f>
        <v>63.198558293839426</v>
      </c>
      <c r="CV174" s="747">
        <f>$G174*$H174*(1+$K174)^MAX(ROUNDUP(IFERROR(DATEDIF($I156-1,CV$15+1,"m"),)/12,)-1,)*Index!CR$22*(CV$15&gt;$I174)*(1-CV$12)</f>
        <v>63.198558293839426</v>
      </c>
      <c r="CW174" s="747">
        <f>$G174*$H174*(1+$K174)^MAX(ROUNDUP(IFERROR(DATEDIF($I156-1,CW$15+1,"m"),)/12,)-1,)*Index!CS$22*(CW$15&gt;$I174)*(1-CW$12)</f>
        <v>63.198558293839426</v>
      </c>
      <c r="CX174" s="747">
        <f>$G174*$H174*(1+$K174)^MAX(ROUNDUP(IFERROR(DATEDIF($I156-1,CX$15+1,"m"),)/12,)-1,)*Index!CT$22*(CX$15&gt;$I174)*(1-CX$12)</f>
        <v>63.198558293839426</v>
      </c>
      <c r="CY174" s="747">
        <f>$G174*$H174*(1+$K174)^MAX(ROUNDUP(IFERROR(DATEDIF($I156-1,CY$15+1,"m"),)/12,)-1,)*Index!CU$22*(CY$15&gt;$I174)*(1-CY$12)</f>
        <v>63.198558293839426</v>
      </c>
      <c r="CZ174" s="747">
        <f>$G174*$H174*(1+$K174)^MAX(ROUNDUP(IFERROR(DATEDIF($I156-1,CZ$15+1,"m"),)/12,)-1,)*Index!CV$22*(CZ$15&gt;$I174)*(1-CZ$12)</f>
        <v>63.198558293839426</v>
      </c>
      <c r="DA174" s="747">
        <f>$G174*$H174*(1+$K174)^MAX(ROUNDUP(IFERROR(DATEDIF($I156-1,DA$15+1,"m"),)/12,)-1,)*Index!CW$22*(DA$15&gt;$I174)*(1-DA$12)</f>
        <v>63.198558293839426</v>
      </c>
      <c r="DB174" s="747">
        <f>$G174*$H174*(1+$K174)^MAX(ROUNDUP(IFERROR(DATEDIF($I156-1,DB$15+1,"m"),)/12,)-1,)*Index!CX$22*(DB$15&gt;$I174)*(1-DB$12)</f>
        <v>63.198558293839426</v>
      </c>
      <c r="DC174" s="747">
        <f>$G174*$H174*(1+$K174)^MAX(ROUNDUP(IFERROR(DATEDIF($I156-1,DC$15+1,"m"),)/12,)-1,)*Index!CY$22*(DC$15&gt;$I174)*(1-DC$12)</f>
        <v>64.778522251185407</v>
      </c>
      <c r="DD174" s="747">
        <f>$G174*$H174*(1+$K174)^MAX(ROUNDUP(IFERROR(DATEDIF($I156-1,DD$15+1,"m"),)/12,)-1,)*Index!CZ$22*(DD$15&gt;$I174)*(1-DD$12)</f>
        <v>64.778522251185407</v>
      </c>
      <c r="DE174" s="747">
        <f>$G174*$H174*(1+$K174)^MAX(ROUNDUP(IFERROR(DATEDIF($I156-1,DE$15+1,"m"),)/12,)-1,)*Index!DA$22*(DE$15&gt;$I174)*(1-DE$12)</f>
        <v>64.778522251185407</v>
      </c>
      <c r="DF174" s="747">
        <f>$G174*$H174*(1+$K174)^MAX(ROUNDUP(IFERROR(DATEDIF($I156-1,DF$15+1,"m"),)/12,)-1,)*Index!DB$22*(DF$15&gt;$I174)*(1-DF$12)</f>
        <v>64.778522251185407</v>
      </c>
      <c r="DG174" s="747">
        <f>$G174*$H174*(1+$K174)^MAX(ROUNDUP(IFERROR(DATEDIF($I156-1,DG$15+1,"m"),)/12,)-1,)*Index!DC$22*(DG$15&gt;$I174)*(1-DG$12)</f>
        <v>64.778522251185407</v>
      </c>
      <c r="DH174" s="747">
        <f>$G174*$H174*(1+$K174)^MAX(ROUNDUP(IFERROR(DATEDIF($I156-1,DH$15+1,"m"),)/12,)-1,)*Index!DD$22*(DH$15&gt;$I174)*(1-DH$12)</f>
        <v>64.778522251185407</v>
      </c>
      <c r="DI174" s="747">
        <f>$G174*$H174*(1+$K174)^MAX(ROUNDUP(IFERROR(DATEDIF($I156-1,DI$15+1,"m"),)/12,)-1,)*Index!DE$22*(DI$15&gt;$I174)*(1-DI$12)</f>
        <v>64.778522251185407</v>
      </c>
      <c r="DJ174" s="747">
        <f>$G174*$H174*(1+$K174)^MAX(ROUNDUP(IFERROR(DATEDIF($I156-1,DJ$15+1,"m"),)/12,)-1,)*Index!DF$22*(DJ$15&gt;$I174)*(1-DJ$12)</f>
        <v>64.778522251185407</v>
      </c>
      <c r="DK174" s="747">
        <f>$G174*$H174*(1+$K174)^MAX(ROUNDUP(IFERROR(DATEDIF($I156-1,DK$15+1,"m"),)/12,)-1,)*Index!DG$22*(DK$15&gt;$I174)*(1-DK$12)</f>
        <v>64.778522251185407</v>
      </c>
      <c r="DL174" s="747">
        <f>$G174*$H174*(1+$K174)^MAX(ROUNDUP(IFERROR(DATEDIF($I156-1,DL$15+1,"m"),)/12,)-1,)*Index!DH$22*(DL$15&gt;$I174)*(1-DL$12)</f>
        <v>64.778522251185407</v>
      </c>
      <c r="DM174" s="747">
        <f>$G174*$H174*(1+$K174)^MAX(ROUNDUP(IFERROR(DATEDIF($I156-1,DM$15+1,"m"),)/12,)-1,)*Index!DI$22*(DM$15&gt;$I174)*(1-DM$12)</f>
        <v>64.778522251185407</v>
      </c>
      <c r="DN174" s="747">
        <f>$G174*$H174*(1+$K174)^MAX(ROUNDUP(IFERROR(DATEDIF($I156-1,DN$15+1,"m"),)/12,)-1,)*Index!DJ$22*(DN$15&gt;$I174)*(1-DN$12)</f>
        <v>64.778522251185407</v>
      </c>
      <c r="DO174" s="747">
        <f>$G174*$H174*(1+$K174)^MAX(ROUNDUP(IFERROR(DATEDIF($I156-1,DO$15+1,"m"),)/12,)-1,)*Index!DK$22*(DO$15&gt;$I174)*(1-DO$12)</f>
        <v>66.397985307465035</v>
      </c>
      <c r="DP174" s="747">
        <f>$G174*$H174*(1+$K174)^MAX(ROUNDUP(IFERROR(DATEDIF($I156-1,DP$15+1,"m"),)/12,)-1,)*Index!DL$22*(DP$15&gt;$I174)*(1-DP$12)</f>
        <v>66.397985307465035</v>
      </c>
      <c r="DQ174" s="747">
        <f>$G174*$H174*(1+$K174)^MAX(ROUNDUP(IFERROR(DATEDIF($I156-1,DQ$15+1,"m"),)/12,)-1,)*Index!DM$22*(DQ$15&gt;$I174)*(1-DQ$12)</f>
        <v>66.397985307465035</v>
      </c>
      <c r="DR174" s="747">
        <f>$G174*$H174*(1+$K174)^MAX(ROUNDUP(IFERROR(DATEDIF($I156-1,DR$15+1,"m"),)/12,)-1,)*Index!DN$22*(DR$15&gt;$I174)*(1-DR$12)</f>
        <v>66.397985307465035</v>
      </c>
      <c r="DS174" s="747">
        <f>$G174*$H174*(1+$K174)^MAX(ROUNDUP(IFERROR(DATEDIF($I156-1,DS$15+1,"m"),)/12,)-1,)*Index!DO$22*(DS$15&gt;$I174)*(1-DS$12)</f>
        <v>66.397985307465035</v>
      </c>
      <c r="DT174" s="747">
        <f>$G174*$H174*(1+$K174)^MAX(ROUNDUP(IFERROR(DATEDIF($I156-1,DT$15+1,"m"),)/12,)-1,)*Index!DP$22*(DT$15&gt;$I174)*(1-DT$12)</f>
        <v>66.397985307465035</v>
      </c>
      <c r="DU174" s="747">
        <f>$G174*$H174*(1+$K174)^MAX(ROUNDUP(IFERROR(DATEDIF($I156-1,DU$15+1,"m"),)/12,)-1,)*Index!DQ$22*(DU$15&gt;$I174)*(1-DU$12)</f>
        <v>66.397985307465035</v>
      </c>
      <c r="DV174" s="747">
        <f>$G174*$H174*(1+$K174)^MAX(ROUNDUP(IFERROR(DATEDIF($I156-1,DV$15+1,"m"),)/12,)-1,)*Index!DR$22*(DV$15&gt;$I174)*(1-DV$12)</f>
        <v>66.397985307465035</v>
      </c>
      <c r="DW174" s="747">
        <f>$G174*$H174*(1+$K174)^MAX(ROUNDUP(IFERROR(DATEDIF($I156-1,DW$15+1,"m"),)/12,)-1,)*Index!DS$22*(DW$15&gt;$I174)*(1-DW$12)</f>
        <v>66.397985307465035</v>
      </c>
      <c r="DX174" s="747">
        <f>$G174*$H174*(1+$K174)^MAX(ROUNDUP(IFERROR(DATEDIF($I156-1,DX$15+1,"m"),)/12,)-1,)*Index!DT$22*(DX$15&gt;$I174)*(1-DX$12)</f>
        <v>66.397985307465035</v>
      </c>
      <c r="DY174" s="747">
        <f>$G174*$H174*(1+$K174)^MAX(ROUNDUP(IFERROR(DATEDIF($I156-1,DY$15+1,"m"),)/12,)-1,)*Index!DU$22*(DY$15&gt;$I174)*(1-DY$12)</f>
        <v>66.397985307465035</v>
      </c>
      <c r="DZ174" s="747">
        <f>$G174*$H174*(1+$K174)^MAX(ROUNDUP(IFERROR(DATEDIF($I156-1,DZ$15+1,"m"),)/12,)-1,)*Index!DV$22*(DZ$15&gt;$I174)*(1-DZ$12)</f>
        <v>66.397985307465035</v>
      </c>
      <c r="EA174" s="747">
        <f>$G174*$H174*(1+$K174)^MAX(ROUNDUP(IFERROR(DATEDIF($I156-1,EA$15+1,"m"),)/12,)-1,)*Index!DW$22*(EA$15&gt;$I174)*(1-EA$12)</f>
        <v>68.057934940151668</v>
      </c>
      <c r="EB174" s="747">
        <f>$G174*$H174*(1+$K174)^MAX(ROUNDUP(IFERROR(DATEDIF($I156-1,EB$15+1,"m"),)/12,)-1,)*Index!DX$22*(EB$15&gt;$I174)*(1-EB$12)</f>
        <v>68.057934940151668</v>
      </c>
      <c r="EC174" s="747">
        <f>$G174*$H174*(1+$K174)^MAX(ROUNDUP(IFERROR(DATEDIF($I156-1,EC$15+1,"m"),)/12,)-1,)*Index!DY$22*(EC$15&gt;$I174)*(1-EC$12)</f>
        <v>68.057934940151668</v>
      </c>
      <c r="ED174" s="747">
        <f>$G174*$H174*(1+$K174)^MAX(ROUNDUP(IFERROR(DATEDIF($I156-1,ED$15+1,"m"),)/12,)-1,)*Index!DZ$22*(ED$15&gt;$I174)*(1-ED$12)</f>
        <v>68.057934940151668</v>
      </c>
      <c r="EE174" s="747">
        <f>$G174*$H174*(1+$K174)^MAX(ROUNDUP(IFERROR(DATEDIF($I156-1,EE$15+1,"m"),)/12,)-1,)*Index!EA$22*(EE$15&gt;$I174)*(1-EE$12)</f>
        <v>68.057934940151668</v>
      </c>
      <c r="EF174" s="747">
        <f>$G174*$H174*(1+$K174)^MAX(ROUNDUP(IFERROR(DATEDIF($I156-1,EF$15+1,"m"),)/12,)-1,)*Index!EB$22*(EF$15&gt;$I174)*(1-EF$12)</f>
        <v>68.057934940151668</v>
      </c>
      <c r="EG174" s="747">
        <f>$G174*$H174*(1+$K174)^MAX(ROUNDUP(IFERROR(DATEDIF($I156-1,EG$15+1,"m"),)/12,)-1,)*Index!EC$22*(EG$15&gt;$I174)*(1-EG$12)</f>
        <v>0</v>
      </c>
      <c r="EH174" s="747">
        <f>$G174*$H174*(1+$K174)^MAX(ROUNDUP(IFERROR(DATEDIF($I156-1,EH$15+1,"m"),)/12,)-1,)*Index!ED$22*(EH$15&gt;$I174)*(1-EH$12)</f>
        <v>0</v>
      </c>
      <c r="EI174" s="747">
        <f>$G174*$H174*(1+$K174)^MAX(ROUNDUP(IFERROR(DATEDIF($I156-1,EI$15+1,"m"),)/12,)-1,)*Index!EE$22*(EI$15&gt;$I174)*(1-EI$12)</f>
        <v>0</v>
      </c>
      <c r="EJ174" s="747">
        <f>$G174*$H174*(1+$K174)^MAX(ROUNDUP(IFERROR(DATEDIF($I156-1,EJ$15+1,"m"),)/12,)-1,)*Index!EF$22*(EJ$15&gt;$I174)*(1-EJ$12)</f>
        <v>0</v>
      </c>
      <c r="EK174" s="747">
        <f>$G174*$H174*(1+$K174)^MAX(ROUNDUP(IFERROR(DATEDIF($I156-1,EK$15+1,"m"),)/12,)-1,)*Index!EG$22*(EK$15&gt;$I174)*(1-EK$12)</f>
        <v>0</v>
      </c>
      <c r="EL174" s="747">
        <f>$G174*$H174*(1+$K174)^MAX(ROUNDUP(IFERROR(DATEDIF($I156-1,EL$15+1,"m"),)/12,)-1,)*Index!EH$22*(EL$15&gt;$I174)*(1-EL$12)</f>
        <v>0</v>
      </c>
      <c r="EM174" s="747">
        <f>$G174*$H174*(1+$K174)^MAX(ROUNDUP(IFERROR(DATEDIF($I156-1,EM$15+1,"m"),)/12,)-1,)*Index!EI$22*(EM$15&gt;$I174)*(1-EM$12)</f>
        <v>0</v>
      </c>
      <c r="EN174" s="747">
        <f>$G174*$H174*(1+$K174)^MAX(ROUNDUP(IFERROR(DATEDIF($I156-1,EN$15+1,"m"),)/12,)-1,)*Index!EJ$22*(EN$15&gt;$I174)*(1-EN$12)</f>
        <v>0</v>
      </c>
      <c r="EO174" s="747">
        <f>$G174*$H174*(1+$K174)^MAX(ROUNDUP(IFERROR(DATEDIF($I156-1,EO$15+1,"m"),)/12,)-1,)*Index!EK$22*(EO$15&gt;$I174)*(1-EO$12)</f>
        <v>0</v>
      </c>
      <c r="EP174" s="747">
        <f>$G174*$H174*(1+$K174)^MAX(ROUNDUP(IFERROR(DATEDIF($I156-1,EP$15+1,"m"),)/12,)-1,)*Index!EL$22*(EP$15&gt;$I174)*(1-EP$12)</f>
        <v>0</v>
      </c>
      <c r="EQ174" s="747">
        <f>$G174*$H174*(1+$K174)^MAX(ROUNDUP(IFERROR(DATEDIF($I156-1,EQ$15+1,"m"),)/12,)-1,)*Index!EM$22*(EQ$15&gt;$I174)*(1-EQ$12)</f>
        <v>0</v>
      </c>
      <c r="ER174" s="747">
        <f>$G174*$H174*(1+$K174)^MAX(ROUNDUP(IFERROR(DATEDIF($I156-1,ER$15+1,"m"),)/12,)-1,)*Index!EN$22*(ER$15&gt;$I174)*(1-ER$12)</f>
        <v>0</v>
      </c>
      <c r="ES174" s="747">
        <f>$G174*$H174*(1+$K174)^MAX(ROUNDUP(IFERROR(DATEDIF($I156-1,ES$15+1,"m"),)/12,)-1,)*Index!EO$22*(ES$15&gt;$I174)*(1-ES$12)</f>
        <v>0</v>
      </c>
      <c r="ET174" s="747">
        <f>$G174*$H174*(1+$K174)^MAX(ROUNDUP(IFERROR(DATEDIF($I156-1,ET$15+1,"m"),)/12,)-1,)*Index!EP$22*(ET$15&gt;$I174)*(1-ET$12)</f>
        <v>0</v>
      </c>
      <c r="EU174" s="747">
        <f>$G174*$H174*(1+$K174)^MAX(ROUNDUP(IFERROR(DATEDIF($I156-1,EU$15+1,"m"),)/12,)-1,)*Index!EQ$22*(EU$15&gt;$I174)*(1-EU$12)</f>
        <v>0</v>
      </c>
    </row>
    <row r="175" spans="3:151" ht="11.25" customHeight="1">
      <c r="C175" s="735"/>
      <c r="D175" s="743">
        <f t="shared" si="243"/>
        <v>1</v>
      </c>
      <c r="E175" s="704" t="str">
        <f t="shared" si="243"/>
        <v>공실</v>
      </c>
      <c r="F175" s="704" t="str">
        <f t="shared" si="243"/>
        <v>근린생활시설</v>
      </c>
      <c r="G175" s="781" cm="1">
        <f t="array" ref="G175">SUMPRODUCT(($E175='A&amp;R'!$V$26:$V$32)*('A&amp;R'!$AC$26:$AC$32))/1000</f>
        <v>3</v>
      </c>
      <c r="H175" s="744">
        <f t="shared" si="244"/>
        <v>141.01000000000002</v>
      </c>
      <c r="I175" s="745">
        <f t="shared" si="245"/>
        <v>49979</v>
      </c>
      <c r="J175" s="745"/>
      <c r="K175" s="754">
        <f t="shared" si="246"/>
        <v>2.5000000000000001E-2</v>
      </c>
      <c r="L175" s="748"/>
      <c r="M175" s="749"/>
      <c r="N175" s="747">
        <f t="shared" si="247"/>
        <v>0</v>
      </c>
      <c r="O175" s="733"/>
      <c r="P175" s="747">
        <f>$G175*$H175*(1+$K175)^MAX(ROUNDUP(IFERROR(DATEDIF($I157-1,P$15+1,"m"),)/12,)-1,)*Index!L$22*(P$15&gt;$I175)*(1-P$12)</f>
        <v>0</v>
      </c>
      <c r="Q175" s="747">
        <f>$G175*$H175*(1+$K175)^MAX(ROUNDUP(IFERROR(DATEDIF($I157-1,Q$15+1,"m"),)/12,)-1,)*Index!M$22*(Q$15&gt;$I175)*(1-Q$12)</f>
        <v>0</v>
      </c>
      <c r="R175" s="747">
        <f>$G175*$H175*(1+$K175)^MAX(ROUNDUP(IFERROR(DATEDIF($I157-1,R$15+1,"m"),)/12,)-1,)*Index!N$22*(R$15&gt;$I175)*(1-R$12)</f>
        <v>0</v>
      </c>
      <c r="S175" s="747">
        <f>$G175*$H175*(1+$K175)^MAX(ROUNDUP(IFERROR(DATEDIF($I157-1,S$15+1,"m"),)/12,)-1,)*Index!O$22*(S$15&gt;$I175)*(1-S$12)</f>
        <v>0</v>
      </c>
      <c r="T175" s="747">
        <f>$G175*$H175*(1+$K175)^MAX(ROUNDUP(IFERROR(DATEDIF($I157-1,T$15+1,"m"),)/12,)-1,)*Index!P$22*(T$15&gt;$I175)*(1-T$12)</f>
        <v>0</v>
      </c>
      <c r="U175" s="747">
        <f>$G175*$H175*(1+$K175)^MAX(ROUNDUP(IFERROR(DATEDIF($I157-1,U$15+1,"m"),)/12,)-1,)*Index!Q$22*(U$15&gt;$I175)*(1-U$12)</f>
        <v>0</v>
      </c>
      <c r="V175" s="747">
        <f>$G175*$H175*(1+$K175)^MAX(ROUNDUP(IFERROR(DATEDIF($I157-1,V$15+1,"m"),)/12,)-1,)*Index!R$22*(V$15&gt;$I175)*(1-V$12)</f>
        <v>0</v>
      </c>
      <c r="W175" s="747">
        <f>$G175*$H175*(1+$K175)^MAX(ROUNDUP(IFERROR(DATEDIF($I157-1,W$15+1,"m"),)/12,)-1,)*Index!S$22*(W$15&gt;$I175)*(1-W$12)</f>
        <v>0</v>
      </c>
      <c r="X175" s="747">
        <f>$G175*$H175*(1+$K175)^MAX(ROUNDUP(IFERROR(DATEDIF($I157-1,X$15+1,"m"),)/12,)-1,)*Index!T$22*(X$15&gt;$I175)*(1-X$12)</f>
        <v>0</v>
      </c>
      <c r="Y175" s="747">
        <f>$G175*$H175*(1+$K175)^MAX(ROUNDUP(IFERROR(DATEDIF($I157-1,Y$15+1,"m"),)/12,)-1,)*Index!U$22*(Y$15&gt;$I175)*(1-Y$12)</f>
        <v>0</v>
      </c>
      <c r="Z175" s="747">
        <f>$G175*$H175*(1+$K175)^MAX(ROUNDUP(IFERROR(DATEDIF($I157-1,Z$15+1,"m"),)/12,)-1,)*Index!V$22*(Z$15&gt;$I175)*(1-Z$12)</f>
        <v>0</v>
      </c>
      <c r="AA175" s="747">
        <f>$G175*$H175*(1+$K175)^MAX(ROUNDUP(IFERROR(DATEDIF($I157-1,AA$15+1,"m"),)/12,)-1,)*Index!W$22*(AA$15&gt;$I175)*(1-AA$12)</f>
        <v>0</v>
      </c>
      <c r="AB175" s="747">
        <f>$G175*$H175*(1+$K175)^MAX(ROUNDUP(IFERROR(DATEDIF($I157-1,AB$15+1,"m"),)/12,)-1,)*Index!X$22*(AB$15&gt;$I175)*(1-AB$12)</f>
        <v>0</v>
      </c>
      <c r="AC175" s="747">
        <f>$G175*$H175*(1+$K175)^MAX(ROUNDUP(IFERROR(DATEDIF($I157-1,AC$15+1,"m"),)/12,)-1,)*Index!Y$22*(AC$15&gt;$I175)*(1-AC$12)</f>
        <v>0</v>
      </c>
      <c r="AD175" s="747">
        <f>$G175*$H175*(1+$K175)^MAX(ROUNDUP(IFERROR(DATEDIF($I157-1,AD$15+1,"m"),)/12,)-1,)*Index!Z$22*(AD$15&gt;$I175)*(1-AD$12)</f>
        <v>0</v>
      </c>
      <c r="AE175" s="747">
        <f>$G175*$H175*(1+$K175)^MAX(ROUNDUP(IFERROR(DATEDIF($I157-1,AE$15+1,"m"),)/12,)-1,)*Index!AA$22*(AE$15&gt;$I175)*(1-AE$12)</f>
        <v>0</v>
      </c>
      <c r="AF175" s="747">
        <f>$G175*$H175*(1+$K175)^MAX(ROUNDUP(IFERROR(DATEDIF($I157-1,AF$15+1,"m"),)/12,)-1,)*Index!AB$22*(AF$15&gt;$I175)*(1-AF$12)</f>
        <v>0</v>
      </c>
      <c r="AG175" s="747">
        <f>$G175*$H175*(1+$K175)^MAX(ROUNDUP(IFERROR(DATEDIF($I157-1,AG$15+1,"m"),)/12,)-1,)*Index!AC$22*(AG$15&gt;$I175)*(1-AG$12)</f>
        <v>0</v>
      </c>
      <c r="AH175" s="747">
        <f>$G175*$H175*(1+$K175)^MAX(ROUNDUP(IFERROR(DATEDIF($I157-1,AH$15+1,"m"),)/12,)-1,)*Index!AD$22*(AH$15&gt;$I175)*(1-AH$12)</f>
        <v>0</v>
      </c>
      <c r="AI175" s="747">
        <f>$G175*$H175*(1+$K175)^MAX(ROUNDUP(IFERROR(DATEDIF($I157-1,AI$15+1,"m"),)/12,)-1,)*Index!AE$22*(AI$15&gt;$I175)*(1-AI$12)</f>
        <v>0</v>
      </c>
      <c r="AJ175" s="747">
        <f>$G175*$H175*(1+$K175)^MAX(ROUNDUP(IFERROR(DATEDIF($I157-1,AJ$15+1,"m"),)/12,)-1,)*Index!AF$22*(AJ$15&gt;$I175)*(1-AJ$12)</f>
        <v>0</v>
      </c>
      <c r="AK175" s="747">
        <f>$G175*$H175*(1+$K175)^MAX(ROUNDUP(IFERROR(DATEDIF($I157-1,AK$15+1,"m"),)/12,)-1,)*Index!AG$22*(AK$15&gt;$I175)*(1-AK$12)</f>
        <v>0</v>
      </c>
      <c r="AL175" s="747">
        <f>$G175*$H175*(1+$K175)^MAX(ROUNDUP(IFERROR(DATEDIF($I157-1,AL$15+1,"m"),)/12,)-1,)*Index!AH$22*(AL$15&gt;$I175)*(1-AL$12)</f>
        <v>0</v>
      </c>
      <c r="AM175" s="747">
        <f>$G175*$H175*(1+$K175)^MAX(ROUNDUP(IFERROR(DATEDIF($I157-1,AM$15+1,"m"),)/12,)-1,)*Index!AI$22*(AM$15&gt;$I175)*(1-AM$12)</f>
        <v>0</v>
      </c>
      <c r="AN175" s="747">
        <f>$G175*$H175*(1+$K175)^MAX(ROUNDUP(IFERROR(DATEDIF($I157-1,AN$15+1,"m"),)/12,)-1,)*Index!AJ$22*(AN$15&gt;$I175)*(1-AN$12)</f>
        <v>0</v>
      </c>
      <c r="AO175" s="747">
        <f>$G175*$H175*(1+$K175)^MAX(ROUNDUP(IFERROR(DATEDIF($I157-1,AO$15+1,"m"),)/12,)-1,)*Index!AK$22*(AO$15&gt;$I175)*(1-AO$12)</f>
        <v>0</v>
      </c>
      <c r="AP175" s="747">
        <f>$G175*$H175*(1+$K175)^MAX(ROUNDUP(IFERROR(DATEDIF($I157-1,AP$15+1,"m"),)/12,)-1,)*Index!AL$22*(AP$15&gt;$I175)*(1-AP$12)</f>
        <v>0</v>
      </c>
      <c r="AQ175" s="747">
        <f>$G175*$H175*(1+$K175)^MAX(ROUNDUP(IFERROR(DATEDIF($I157-1,AQ$15+1,"m"),)/12,)-1,)*Index!AM$22*(AQ$15&gt;$I175)*(1-AQ$12)</f>
        <v>0</v>
      </c>
      <c r="AR175" s="747">
        <f>$G175*$H175*(1+$K175)^MAX(ROUNDUP(IFERROR(DATEDIF($I157-1,AR$15+1,"m"),)/12,)-1,)*Index!AN$22*(AR$15&gt;$I175)*(1-AR$12)</f>
        <v>0</v>
      </c>
      <c r="AS175" s="747">
        <f>$G175*$H175*(1+$K175)^MAX(ROUNDUP(IFERROR(DATEDIF($I157-1,AS$15+1,"m"),)/12,)-1,)*Index!AO$22*(AS$15&gt;$I175)*(1-AS$12)</f>
        <v>0</v>
      </c>
      <c r="AT175" s="747">
        <f>$G175*$H175*(1+$K175)^MAX(ROUNDUP(IFERROR(DATEDIF($I157-1,AT$15+1,"m"),)/12,)-1,)*Index!AP$22*(AT$15&gt;$I175)*(1-AT$12)</f>
        <v>0</v>
      </c>
      <c r="AU175" s="747">
        <f>$G175*$H175*(1+$K175)^MAX(ROUNDUP(IFERROR(DATEDIF($I157-1,AU$15+1,"m"),)/12,)-1,)*Index!AQ$22*(AU$15&gt;$I175)*(1-AU$12)</f>
        <v>0</v>
      </c>
      <c r="AV175" s="747">
        <f>$G175*$H175*(1+$K175)^MAX(ROUNDUP(IFERROR(DATEDIF($I157-1,AV$15+1,"m"),)/12,)-1,)*Index!AR$22*(AV$15&gt;$I175)*(1-AV$12)</f>
        <v>0</v>
      </c>
      <c r="AW175" s="747">
        <f>$G175*$H175*(1+$K175)^MAX(ROUNDUP(IFERROR(DATEDIF($I157-1,AW$15+1,"m"),)/12,)-1,)*Index!AS$22*(AW$15&gt;$I175)*(1-AW$12)</f>
        <v>0</v>
      </c>
      <c r="AX175" s="747">
        <f>$G175*$H175*(1+$K175)^MAX(ROUNDUP(IFERROR(DATEDIF($I157-1,AX$15+1,"m"),)/12,)-1,)*Index!AT$22*(AX$15&gt;$I175)*(1-AX$12)</f>
        <v>0</v>
      </c>
      <c r="AY175" s="747">
        <f>$G175*$H175*(1+$K175)^MAX(ROUNDUP(IFERROR(DATEDIF($I157-1,AY$15+1,"m"),)/12,)-1,)*Index!AU$22*(AY$15&gt;$I175)*(1-AY$12)</f>
        <v>0</v>
      </c>
      <c r="AZ175" s="747">
        <f>$G175*$H175*(1+$K175)^MAX(ROUNDUP(IFERROR(DATEDIF($I157-1,AZ$15+1,"m"),)/12,)-1,)*Index!AV$22*(AZ$15&gt;$I175)*(1-AZ$12)</f>
        <v>0</v>
      </c>
      <c r="BA175" s="747">
        <f>$G175*$H175*(1+$K175)^MAX(ROUNDUP(IFERROR(DATEDIF($I157-1,BA$15+1,"m"),)/12,)-1,)*Index!AW$22*(BA$15&gt;$I175)*(1-BA$12)</f>
        <v>0</v>
      </c>
      <c r="BB175" s="747">
        <f>$G175*$H175*(1+$K175)^MAX(ROUNDUP(IFERROR(DATEDIF($I157-1,BB$15+1,"m"),)/12,)-1,)*Index!AX$22*(BB$15&gt;$I175)*(1-BB$12)</f>
        <v>0</v>
      </c>
      <c r="BC175" s="747">
        <f>$G175*$H175*(1+$K175)^MAX(ROUNDUP(IFERROR(DATEDIF($I157-1,BC$15+1,"m"),)/12,)-1,)*Index!AY$22*(BC$15&gt;$I175)*(1-BC$12)</f>
        <v>0</v>
      </c>
      <c r="BD175" s="747">
        <f>$G175*$H175*(1+$K175)^MAX(ROUNDUP(IFERROR(DATEDIF($I157-1,BD$15+1,"m"),)/12,)-1,)*Index!AZ$22*(BD$15&gt;$I175)*(1-BD$12)</f>
        <v>0</v>
      </c>
      <c r="BE175" s="747">
        <f>$G175*$H175*(1+$K175)^MAX(ROUNDUP(IFERROR(DATEDIF($I157-1,BE$15+1,"m"),)/12,)-1,)*Index!BA$22*(BE$15&gt;$I175)*(1-BE$12)</f>
        <v>0</v>
      </c>
      <c r="BF175" s="747">
        <f>$G175*$H175*(1+$K175)^MAX(ROUNDUP(IFERROR(DATEDIF($I157-1,BF$15+1,"m"),)/12,)-1,)*Index!BB$22*(BF$15&gt;$I175)*(1-BF$12)</f>
        <v>0</v>
      </c>
      <c r="BG175" s="747">
        <f>$G175*$H175*(1+$K175)^MAX(ROUNDUP(IFERROR(DATEDIF($I157-1,BG$15+1,"m"),)/12,)-1,)*Index!BC$22*(BG$15&gt;$I175)*(1-BG$12)</f>
        <v>0</v>
      </c>
      <c r="BH175" s="747">
        <f>$G175*$H175*(1+$K175)^MAX(ROUNDUP(IFERROR(DATEDIF($I157-1,BH$15+1,"m"),)/12,)-1,)*Index!BD$22*(BH$15&gt;$I175)*(1-BH$12)</f>
        <v>0</v>
      </c>
      <c r="BI175" s="747">
        <f>$G175*$H175*(1+$K175)^MAX(ROUNDUP(IFERROR(DATEDIF($I157-1,BI$15+1,"m"),)/12,)-1,)*Index!BE$22*(BI$15&gt;$I175)*(1-BI$12)</f>
        <v>0</v>
      </c>
      <c r="BJ175" s="747">
        <f>$G175*$H175*(1+$K175)^MAX(ROUNDUP(IFERROR(DATEDIF($I157-1,BJ$15+1,"m"),)/12,)-1,)*Index!BF$22*(BJ$15&gt;$I175)*(1-BJ$12)</f>
        <v>0</v>
      </c>
      <c r="BK175" s="747">
        <f>$G175*$H175*(1+$K175)^MAX(ROUNDUP(IFERROR(DATEDIF($I157-1,BK$15+1,"m"),)/12,)-1,)*Index!BG$22*(BK$15&gt;$I175)*(1-BK$12)</f>
        <v>0</v>
      </c>
      <c r="BL175" s="747">
        <f>$G175*$H175*(1+$K175)^MAX(ROUNDUP(IFERROR(DATEDIF($I157-1,BL$15+1,"m"),)/12,)-1,)*Index!BH$22*(BL$15&gt;$I175)*(1-BL$12)</f>
        <v>0</v>
      </c>
      <c r="BM175" s="747">
        <f>$G175*$H175*(1+$K175)^MAX(ROUNDUP(IFERROR(DATEDIF($I157-1,BM$15+1,"m"),)/12,)-1,)*Index!BI$22*(BM$15&gt;$I175)*(1-BM$12)</f>
        <v>0</v>
      </c>
      <c r="BN175" s="747">
        <f>$G175*$H175*(1+$K175)^MAX(ROUNDUP(IFERROR(DATEDIF($I157-1,BN$15+1,"m"),)/12,)-1,)*Index!BJ$22*(BN$15&gt;$I175)*(1-BN$12)</f>
        <v>0</v>
      </c>
      <c r="BO175" s="747">
        <f>$G175*$H175*(1+$K175)^MAX(ROUNDUP(IFERROR(DATEDIF($I157-1,BO$15+1,"m"),)/12,)-1,)*Index!BK$22*(BO$15&gt;$I175)*(1-BO$12)</f>
        <v>0</v>
      </c>
      <c r="BP175" s="747">
        <f>$G175*$H175*(1+$K175)^MAX(ROUNDUP(IFERROR(DATEDIF($I157-1,BP$15+1,"m"),)/12,)-1,)*Index!BL$22*(BP$15&gt;$I175)*(1-BP$12)</f>
        <v>0</v>
      </c>
      <c r="BQ175" s="747">
        <f>$G175*$H175*(1+$K175)^MAX(ROUNDUP(IFERROR(DATEDIF($I157-1,BQ$15+1,"m"),)/12,)-1,)*Index!BM$22*(BQ$15&gt;$I175)*(1-BQ$12)</f>
        <v>0</v>
      </c>
      <c r="BR175" s="747">
        <f>$G175*$H175*(1+$K175)^MAX(ROUNDUP(IFERROR(DATEDIF($I157-1,BR$15+1,"m"),)/12,)-1,)*Index!BN$22*(BR$15&gt;$I175)*(1-BR$12)</f>
        <v>0</v>
      </c>
      <c r="BS175" s="747">
        <f>$G175*$H175*(1+$K175)^MAX(ROUNDUP(IFERROR(DATEDIF($I157-1,BS$15+1,"m"),)/12,)-1,)*Index!BO$22*(BS$15&gt;$I175)*(1-BS$12)</f>
        <v>0</v>
      </c>
      <c r="BT175" s="747">
        <f>$G175*$H175*(1+$K175)^MAX(ROUNDUP(IFERROR(DATEDIF($I157-1,BT$15+1,"m"),)/12,)-1,)*Index!BP$22*(BT$15&gt;$I175)*(1-BT$12)</f>
        <v>0</v>
      </c>
      <c r="BU175" s="747">
        <f>$G175*$H175*(1+$K175)^MAX(ROUNDUP(IFERROR(DATEDIF($I157-1,BU$15+1,"m"),)/12,)-1,)*Index!BQ$22*(BU$15&gt;$I175)*(1-BU$12)</f>
        <v>0</v>
      </c>
      <c r="BV175" s="747">
        <f>$G175*$H175*(1+$K175)^MAX(ROUNDUP(IFERROR(DATEDIF($I157-1,BV$15+1,"m"),)/12,)-1,)*Index!BR$22*(BV$15&gt;$I175)*(1-BV$12)</f>
        <v>0</v>
      </c>
      <c r="BW175" s="747">
        <f>$G175*$H175*(1+$K175)^MAX(ROUNDUP(IFERROR(DATEDIF($I157-1,BW$15+1,"m"),)/12,)-1,)*Index!BS$22*(BW$15&gt;$I175)*(1-BW$12)</f>
        <v>0</v>
      </c>
      <c r="BX175" s="747">
        <f>$G175*$H175*(1+$K175)^MAX(ROUNDUP(IFERROR(DATEDIF($I157-1,BX$15+1,"m"),)/12,)-1,)*Index!BT$22*(BX$15&gt;$I175)*(1-BX$12)</f>
        <v>0</v>
      </c>
      <c r="BY175" s="747">
        <f>$G175*$H175*(1+$K175)^MAX(ROUNDUP(IFERROR(DATEDIF($I157-1,BY$15+1,"m"),)/12,)-1,)*Index!BU$22*(BY$15&gt;$I175)*(1-BY$12)</f>
        <v>0</v>
      </c>
      <c r="BZ175" s="747">
        <f>$G175*$H175*(1+$K175)^MAX(ROUNDUP(IFERROR(DATEDIF($I157-1,BZ$15+1,"m"),)/12,)-1,)*Index!BV$22*(BZ$15&gt;$I175)*(1-BZ$12)</f>
        <v>0</v>
      </c>
      <c r="CA175" s="747">
        <f>$G175*$H175*(1+$K175)^MAX(ROUNDUP(IFERROR(DATEDIF($I157-1,CA$15+1,"m"),)/12,)-1,)*Index!BW$22*(CA$15&gt;$I175)*(1-CA$12)</f>
        <v>0</v>
      </c>
      <c r="CB175" s="747">
        <f>$G175*$H175*(1+$K175)^MAX(ROUNDUP(IFERROR(DATEDIF($I157-1,CB$15+1,"m"),)/12,)-1,)*Index!BX$22*(CB$15&gt;$I175)*(1-CB$12)</f>
        <v>0</v>
      </c>
      <c r="CC175" s="747">
        <f>$G175*$H175*(1+$K175)^MAX(ROUNDUP(IFERROR(DATEDIF($I157-1,CC$15+1,"m"),)/12,)-1,)*Index!BY$22*(CC$15&gt;$I175)*(1-CC$12)</f>
        <v>0</v>
      </c>
      <c r="CD175" s="747">
        <f>$G175*$H175*(1+$K175)^MAX(ROUNDUP(IFERROR(DATEDIF($I157-1,CD$15+1,"m"),)/12,)-1,)*Index!BZ$22*(CD$15&gt;$I175)*(1-CD$12)</f>
        <v>0</v>
      </c>
      <c r="CE175" s="747">
        <f>$G175*$H175*(1+$K175)^MAX(ROUNDUP(IFERROR(DATEDIF($I157-1,CE$15+1,"m"),)/12,)-1,)*Index!CA$22*(CE$15&gt;$I175)*(1-CE$12)</f>
        <v>0</v>
      </c>
      <c r="CF175" s="747">
        <f>$G175*$H175*(1+$K175)^MAX(ROUNDUP(IFERROR(DATEDIF($I157-1,CF$15+1,"m"),)/12,)-1,)*Index!CB$22*(CF$15&gt;$I175)*(1-CF$12)</f>
        <v>0</v>
      </c>
      <c r="CG175" s="747">
        <f>$G175*$H175*(1+$K175)^MAX(ROUNDUP(IFERROR(DATEDIF($I157-1,CG$15+1,"m"),)/12,)-1,)*Index!CC$22*(CG$15&gt;$I175)*(1-CG$12)</f>
        <v>0</v>
      </c>
      <c r="CH175" s="747">
        <f>$G175*$H175*(1+$K175)^MAX(ROUNDUP(IFERROR(DATEDIF($I157-1,CH$15+1,"m"),)/12,)-1,)*Index!CD$22*(CH$15&gt;$I175)*(1-CH$12)</f>
        <v>0</v>
      </c>
      <c r="CI175" s="747">
        <f>$G175*$H175*(1+$K175)^MAX(ROUNDUP(IFERROR(DATEDIF($I157-1,CI$15+1,"m"),)/12,)-1,)*Index!CE$22*(CI$15&gt;$I175)*(1-CI$12)</f>
        <v>0</v>
      </c>
      <c r="CJ175" s="747">
        <f>$G175*$H175*(1+$K175)^MAX(ROUNDUP(IFERROR(DATEDIF($I157-1,CJ$15+1,"m"),)/12,)-1,)*Index!CF$22*(CJ$15&gt;$I175)*(1-CJ$12)</f>
        <v>0</v>
      </c>
      <c r="CK175" s="747">
        <f>$G175*$H175*(1+$K175)^MAX(ROUNDUP(IFERROR(DATEDIF($I157-1,CK$15+1,"m"),)/12,)-1,)*Index!CG$22*(CK$15&gt;$I175)*(1-CK$12)</f>
        <v>0</v>
      </c>
      <c r="CL175" s="747">
        <f>$G175*$H175*(1+$K175)^MAX(ROUNDUP(IFERROR(DATEDIF($I157-1,CL$15+1,"m"),)/12,)-1,)*Index!CH$22*(CL$15&gt;$I175)*(1-CL$12)</f>
        <v>0</v>
      </c>
      <c r="CM175" s="747">
        <f>$G175*$H175*(1+$K175)^MAX(ROUNDUP(IFERROR(DATEDIF($I157-1,CM$15+1,"m"),)/12,)-1,)*Index!CI$22*(CM$15&gt;$I175)*(1-CM$12)</f>
        <v>0</v>
      </c>
      <c r="CN175" s="747">
        <f>$G175*$H175*(1+$K175)^MAX(ROUNDUP(IFERROR(DATEDIF($I157-1,CN$15+1,"m"),)/12,)-1,)*Index!CJ$22*(CN$15&gt;$I175)*(1-CN$12)</f>
        <v>0</v>
      </c>
      <c r="CO175" s="747">
        <f>$G175*$H175*(1+$K175)^MAX(ROUNDUP(IFERROR(DATEDIF($I157-1,CO$15+1,"m"),)/12,)-1,)*Index!CK$22*(CO$15&gt;$I175)*(1-CO$12)</f>
        <v>0</v>
      </c>
      <c r="CP175" s="747">
        <f>$G175*$H175*(1+$K175)^MAX(ROUNDUP(IFERROR(DATEDIF($I157-1,CP$15+1,"m"),)/12,)-1,)*Index!CL$22*(CP$15&gt;$I175)*(1-CP$12)</f>
        <v>0</v>
      </c>
      <c r="CQ175" s="747">
        <f>$G175*$H175*(1+$K175)^MAX(ROUNDUP(IFERROR(DATEDIF($I157-1,CQ$15+1,"m"),)/12,)-1,)*Index!CM$22*(CQ$15&gt;$I175)*(1-CQ$12)</f>
        <v>0</v>
      </c>
      <c r="CR175" s="747">
        <f>$G175*$H175*(1+$K175)^MAX(ROUNDUP(IFERROR(DATEDIF($I157-1,CR$15+1,"m"),)/12,)-1,)*Index!CN$22*(CR$15&gt;$I175)*(1-CR$12)</f>
        <v>0</v>
      </c>
      <c r="CS175" s="747">
        <f>$G175*$H175*(1+$K175)^MAX(ROUNDUP(IFERROR(DATEDIF($I157-1,CS$15+1,"m"),)/12,)-1,)*Index!CO$22*(CS$15&gt;$I175)*(1-CS$12)</f>
        <v>0</v>
      </c>
      <c r="CT175" s="747">
        <f>$G175*$H175*(1+$K175)^MAX(ROUNDUP(IFERROR(DATEDIF($I157-1,CT$15+1,"m"),)/12,)-1,)*Index!CP$22*(CT$15&gt;$I175)*(1-CT$12)</f>
        <v>0</v>
      </c>
      <c r="CU175" s="747">
        <f>$G175*$H175*(1+$K175)^MAX(ROUNDUP(IFERROR(DATEDIF($I157-1,CU$15+1,"m"),)/12,)-1,)*Index!CQ$22*(CU$15&gt;$I175)*(1-CU$12)</f>
        <v>0</v>
      </c>
      <c r="CV175" s="747">
        <f>$G175*$H175*(1+$K175)^MAX(ROUNDUP(IFERROR(DATEDIF($I157-1,CV$15+1,"m"),)/12,)-1,)*Index!CR$22*(CV$15&gt;$I175)*(1-CV$12)</f>
        <v>0</v>
      </c>
      <c r="CW175" s="747">
        <f>$G175*$H175*(1+$K175)^MAX(ROUNDUP(IFERROR(DATEDIF($I157-1,CW$15+1,"m"),)/12,)-1,)*Index!CS$22*(CW$15&gt;$I175)*(1-CW$12)</f>
        <v>0</v>
      </c>
      <c r="CX175" s="747">
        <f>$G175*$H175*(1+$K175)^MAX(ROUNDUP(IFERROR(DATEDIF($I157-1,CX$15+1,"m"),)/12,)-1,)*Index!CT$22*(CX$15&gt;$I175)*(1-CX$12)</f>
        <v>0</v>
      </c>
      <c r="CY175" s="747">
        <f>$G175*$H175*(1+$K175)^MAX(ROUNDUP(IFERROR(DATEDIF($I157-1,CY$15+1,"m"),)/12,)-1,)*Index!CU$22*(CY$15&gt;$I175)*(1-CY$12)</f>
        <v>0</v>
      </c>
      <c r="CZ175" s="747">
        <f>$G175*$H175*(1+$K175)^MAX(ROUNDUP(IFERROR(DATEDIF($I157-1,CZ$15+1,"m"),)/12,)-1,)*Index!CV$22*(CZ$15&gt;$I175)*(1-CZ$12)</f>
        <v>0</v>
      </c>
      <c r="DA175" s="747">
        <f>$G175*$H175*(1+$K175)^MAX(ROUNDUP(IFERROR(DATEDIF($I157-1,DA$15+1,"m"),)/12,)-1,)*Index!CW$22*(DA$15&gt;$I175)*(1-DA$12)</f>
        <v>0</v>
      </c>
      <c r="DB175" s="747">
        <f>$G175*$H175*(1+$K175)^MAX(ROUNDUP(IFERROR(DATEDIF($I157-1,DB$15+1,"m"),)/12,)-1,)*Index!CX$22*(DB$15&gt;$I175)*(1-DB$12)</f>
        <v>0</v>
      </c>
      <c r="DC175" s="747">
        <f>$G175*$H175*(1+$K175)^MAX(ROUNDUP(IFERROR(DATEDIF($I157-1,DC$15+1,"m"),)/12,)-1,)*Index!CY$22*(DC$15&gt;$I175)*(1-DC$12)</f>
        <v>0</v>
      </c>
      <c r="DD175" s="747">
        <f>$G175*$H175*(1+$K175)^MAX(ROUNDUP(IFERROR(DATEDIF($I157-1,DD$15+1,"m"),)/12,)-1,)*Index!CZ$22*(DD$15&gt;$I175)*(1-DD$12)</f>
        <v>0</v>
      </c>
      <c r="DE175" s="747">
        <f>$G175*$H175*(1+$K175)^MAX(ROUNDUP(IFERROR(DATEDIF($I157-1,DE$15+1,"m"),)/12,)-1,)*Index!DA$22*(DE$15&gt;$I175)*(1-DE$12)</f>
        <v>0</v>
      </c>
      <c r="DF175" s="747">
        <f>$G175*$H175*(1+$K175)^MAX(ROUNDUP(IFERROR(DATEDIF($I157-1,DF$15+1,"m"),)/12,)-1,)*Index!DB$22*(DF$15&gt;$I175)*(1-DF$12)</f>
        <v>0</v>
      </c>
      <c r="DG175" s="747">
        <f>$G175*$H175*(1+$K175)^MAX(ROUNDUP(IFERROR(DATEDIF($I157-1,DG$15+1,"m"),)/12,)-1,)*Index!DC$22*(DG$15&gt;$I175)*(1-DG$12)</f>
        <v>0</v>
      </c>
      <c r="DH175" s="747">
        <f>$G175*$H175*(1+$K175)^MAX(ROUNDUP(IFERROR(DATEDIF($I157-1,DH$15+1,"m"),)/12,)-1,)*Index!DD$22*(DH$15&gt;$I175)*(1-DH$12)</f>
        <v>0</v>
      </c>
      <c r="DI175" s="747">
        <f>$G175*$H175*(1+$K175)^MAX(ROUNDUP(IFERROR(DATEDIF($I157-1,DI$15+1,"m"),)/12,)-1,)*Index!DE$22*(DI$15&gt;$I175)*(1-DI$12)</f>
        <v>0</v>
      </c>
      <c r="DJ175" s="747">
        <f>$G175*$H175*(1+$K175)^MAX(ROUNDUP(IFERROR(DATEDIF($I157-1,DJ$15+1,"m"),)/12,)-1,)*Index!DF$22*(DJ$15&gt;$I175)*(1-DJ$12)</f>
        <v>0</v>
      </c>
      <c r="DK175" s="747">
        <f>$G175*$H175*(1+$K175)^MAX(ROUNDUP(IFERROR(DATEDIF($I157-1,DK$15+1,"m"),)/12,)-1,)*Index!DG$22*(DK$15&gt;$I175)*(1-DK$12)</f>
        <v>0</v>
      </c>
      <c r="DL175" s="747">
        <f>$G175*$H175*(1+$K175)^MAX(ROUNDUP(IFERROR(DATEDIF($I157-1,DL$15+1,"m"),)/12,)-1,)*Index!DH$22*(DL$15&gt;$I175)*(1-DL$12)</f>
        <v>0</v>
      </c>
      <c r="DM175" s="747">
        <f>$G175*$H175*(1+$K175)^MAX(ROUNDUP(IFERROR(DATEDIF($I157-1,DM$15+1,"m"),)/12,)-1,)*Index!DI$22*(DM$15&gt;$I175)*(1-DM$12)</f>
        <v>0</v>
      </c>
      <c r="DN175" s="747">
        <f>$G175*$H175*(1+$K175)^MAX(ROUNDUP(IFERROR(DATEDIF($I157-1,DN$15+1,"m"),)/12,)-1,)*Index!DJ$22*(DN$15&gt;$I175)*(1-DN$12)</f>
        <v>0</v>
      </c>
      <c r="DO175" s="747">
        <f>$G175*$H175*(1+$K175)^MAX(ROUNDUP(IFERROR(DATEDIF($I157-1,DO$15+1,"m"),)/12,)-1,)*Index!DK$22*(DO$15&gt;$I175)*(1-DO$12)</f>
        <v>0</v>
      </c>
      <c r="DP175" s="747">
        <f>$G175*$H175*(1+$K175)^MAX(ROUNDUP(IFERROR(DATEDIF($I157-1,DP$15+1,"m"),)/12,)-1,)*Index!DL$22*(DP$15&gt;$I175)*(1-DP$12)</f>
        <v>0</v>
      </c>
      <c r="DQ175" s="747">
        <f>$G175*$H175*(1+$K175)^MAX(ROUNDUP(IFERROR(DATEDIF($I157-1,DQ$15+1,"m"),)/12,)-1,)*Index!DM$22*(DQ$15&gt;$I175)*(1-DQ$12)</f>
        <v>0</v>
      </c>
      <c r="DR175" s="747">
        <f>$G175*$H175*(1+$K175)^MAX(ROUNDUP(IFERROR(DATEDIF($I157-1,DR$15+1,"m"),)/12,)-1,)*Index!DN$22*(DR$15&gt;$I175)*(1-DR$12)</f>
        <v>0</v>
      </c>
      <c r="DS175" s="747">
        <f>$G175*$H175*(1+$K175)^MAX(ROUNDUP(IFERROR(DATEDIF($I157-1,DS$15+1,"m"),)/12,)-1,)*Index!DO$22*(DS$15&gt;$I175)*(1-DS$12)</f>
        <v>0</v>
      </c>
      <c r="DT175" s="747">
        <f>$G175*$H175*(1+$K175)^MAX(ROUNDUP(IFERROR(DATEDIF($I157-1,DT$15+1,"m"),)/12,)-1,)*Index!DP$22*(DT$15&gt;$I175)*(1-DT$12)</f>
        <v>0</v>
      </c>
      <c r="DU175" s="747">
        <f>$G175*$H175*(1+$K175)^MAX(ROUNDUP(IFERROR(DATEDIF($I157-1,DU$15+1,"m"),)/12,)-1,)*Index!DQ$22*(DU$15&gt;$I175)*(1-DU$12)</f>
        <v>0</v>
      </c>
      <c r="DV175" s="747">
        <f>$G175*$H175*(1+$K175)^MAX(ROUNDUP(IFERROR(DATEDIF($I157-1,DV$15+1,"m"),)/12,)-1,)*Index!DR$22*(DV$15&gt;$I175)*(1-DV$12)</f>
        <v>0</v>
      </c>
      <c r="DW175" s="747">
        <f>$G175*$H175*(1+$K175)^MAX(ROUNDUP(IFERROR(DATEDIF($I157-1,DW$15+1,"m"),)/12,)-1,)*Index!DS$22*(DW$15&gt;$I175)*(1-DW$12)</f>
        <v>0</v>
      </c>
      <c r="DX175" s="747">
        <f>$G175*$H175*(1+$K175)^MAX(ROUNDUP(IFERROR(DATEDIF($I157-1,DX$15+1,"m"),)/12,)-1,)*Index!DT$22*(DX$15&gt;$I175)*(1-DX$12)</f>
        <v>0</v>
      </c>
      <c r="DY175" s="747">
        <f>$G175*$H175*(1+$K175)^MAX(ROUNDUP(IFERROR(DATEDIF($I157-1,DY$15+1,"m"),)/12,)-1,)*Index!DU$22*(DY$15&gt;$I175)*(1-DY$12)</f>
        <v>0</v>
      </c>
      <c r="DZ175" s="747">
        <f>$G175*$H175*(1+$K175)^MAX(ROUNDUP(IFERROR(DATEDIF($I157-1,DZ$15+1,"m"),)/12,)-1,)*Index!DV$22*(DZ$15&gt;$I175)*(1-DZ$12)</f>
        <v>0</v>
      </c>
      <c r="EA175" s="747">
        <f>$G175*$H175*(1+$K175)^MAX(ROUNDUP(IFERROR(DATEDIF($I157-1,EA$15+1,"m"),)/12,)-1,)*Index!DW$22*(EA$15&gt;$I175)*(1-EA$12)</f>
        <v>0</v>
      </c>
      <c r="EB175" s="747">
        <f>$G175*$H175*(1+$K175)^MAX(ROUNDUP(IFERROR(DATEDIF($I157-1,EB$15+1,"m"),)/12,)-1,)*Index!DX$22*(EB$15&gt;$I175)*(1-EB$12)</f>
        <v>0</v>
      </c>
      <c r="EC175" s="747">
        <f>$G175*$H175*(1+$K175)^MAX(ROUNDUP(IFERROR(DATEDIF($I157-1,EC$15+1,"m"),)/12,)-1,)*Index!DY$22*(EC$15&gt;$I175)*(1-EC$12)</f>
        <v>0</v>
      </c>
      <c r="ED175" s="747">
        <f>$G175*$H175*(1+$K175)^MAX(ROUNDUP(IFERROR(DATEDIF($I157-1,ED$15+1,"m"),)/12,)-1,)*Index!DZ$22*(ED$15&gt;$I175)*(1-ED$12)</f>
        <v>0</v>
      </c>
      <c r="EE175" s="747">
        <f>$G175*$H175*(1+$K175)^MAX(ROUNDUP(IFERROR(DATEDIF($I157-1,EE$15+1,"m"),)/12,)-1,)*Index!EA$22*(EE$15&gt;$I175)*(1-EE$12)</f>
        <v>0</v>
      </c>
      <c r="EF175" s="747">
        <f>$G175*$H175*(1+$K175)^MAX(ROUNDUP(IFERROR(DATEDIF($I157-1,EF$15+1,"m"),)/12,)-1,)*Index!EB$22*(EF$15&gt;$I175)*(1-EF$12)</f>
        <v>0</v>
      </c>
      <c r="EG175" s="747">
        <f>$G175*$H175*(1+$K175)^MAX(ROUNDUP(IFERROR(DATEDIF($I157-1,EG$15+1,"m"),)/12,)-1,)*Index!EC$22*(EG$15&gt;$I175)*(1-EG$12)</f>
        <v>0</v>
      </c>
      <c r="EH175" s="747">
        <f>$G175*$H175*(1+$K175)^MAX(ROUNDUP(IFERROR(DATEDIF($I157-1,EH$15+1,"m"),)/12,)-1,)*Index!ED$22*(EH$15&gt;$I175)*(1-EH$12)</f>
        <v>0</v>
      </c>
      <c r="EI175" s="747">
        <f>$G175*$H175*(1+$K175)^MAX(ROUNDUP(IFERROR(DATEDIF($I157-1,EI$15+1,"m"),)/12,)-1,)*Index!EE$22*(EI$15&gt;$I175)*(1-EI$12)</f>
        <v>0</v>
      </c>
      <c r="EJ175" s="747">
        <f>$G175*$H175*(1+$K175)^MAX(ROUNDUP(IFERROR(DATEDIF($I157-1,EJ$15+1,"m"),)/12,)-1,)*Index!EF$22*(EJ$15&gt;$I175)*(1-EJ$12)</f>
        <v>0</v>
      </c>
      <c r="EK175" s="747">
        <f>$G175*$H175*(1+$K175)^MAX(ROUNDUP(IFERROR(DATEDIF($I157-1,EK$15+1,"m"),)/12,)-1,)*Index!EG$22*(EK$15&gt;$I175)*(1-EK$12)</f>
        <v>0</v>
      </c>
      <c r="EL175" s="747">
        <f>$G175*$H175*(1+$K175)^MAX(ROUNDUP(IFERROR(DATEDIF($I157-1,EL$15+1,"m"),)/12,)-1,)*Index!EH$22*(EL$15&gt;$I175)*(1-EL$12)</f>
        <v>0</v>
      </c>
      <c r="EM175" s="747">
        <f>$G175*$H175*(1+$K175)^MAX(ROUNDUP(IFERROR(DATEDIF($I157-1,EM$15+1,"m"),)/12,)-1,)*Index!EI$22*(EM$15&gt;$I175)*(1-EM$12)</f>
        <v>0</v>
      </c>
      <c r="EN175" s="747">
        <f>$G175*$H175*(1+$K175)^MAX(ROUNDUP(IFERROR(DATEDIF($I157-1,EN$15+1,"m"),)/12,)-1,)*Index!EJ$22*(EN$15&gt;$I175)*(1-EN$12)</f>
        <v>0</v>
      </c>
      <c r="EO175" s="747">
        <f>$G175*$H175*(1+$K175)^MAX(ROUNDUP(IFERROR(DATEDIF($I157-1,EO$15+1,"m"),)/12,)-1,)*Index!EK$22*(EO$15&gt;$I175)*(1-EO$12)</f>
        <v>0</v>
      </c>
      <c r="EP175" s="747">
        <f>$G175*$H175*(1+$K175)^MAX(ROUNDUP(IFERROR(DATEDIF($I157-1,EP$15+1,"m"),)/12,)-1,)*Index!EL$22*(EP$15&gt;$I175)*(1-EP$12)</f>
        <v>0</v>
      </c>
      <c r="EQ175" s="747">
        <f>$G175*$H175*(1+$K175)^MAX(ROUNDUP(IFERROR(DATEDIF($I157-1,EQ$15+1,"m"),)/12,)-1,)*Index!EM$22*(EQ$15&gt;$I175)*(1-EQ$12)</f>
        <v>0</v>
      </c>
      <c r="ER175" s="747">
        <f>$G175*$H175*(1+$K175)^MAX(ROUNDUP(IFERROR(DATEDIF($I157-1,ER$15+1,"m"),)/12,)-1,)*Index!EN$22*(ER$15&gt;$I175)*(1-ER$12)</f>
        <v>0</v>
      </c>
      <c r="ES175" s="747">
        <f>$G175*$H175*(1+$K175)^MAX(ROUNDUP(IFERROR(DATEDIF($I157-1,ES$15+1,"m"),)/12,)-1,)*Index!EO$22*(ES$15&gt;$I175)*(1-ES$12)</f>
        <v>0</v>
      </c>
      <c r="ET175" s="747">
        <f>$G175*$H175*(1+$K175)^MAX(ROUNDUP(IFERROR(DATEDIF($I157-1,ET$15+1,"m"),)/12,)-1,)*Index!EP$22*(ET$15&gt;$I175)*(1-ET$12)</f>
        <v>0</v>
      </c>
      <c r="EU175" s="747">
        <f>$G175*$H175*(1+$K175)^MAX(ROUNDUP(IFERROR(DATEDIF($I157-1,EU$15+1,"m"),)/12,)-1,)*Index!EQ$22*(EU$15&gt;$I175)*(1-EU$12)</f>
        <v>0</v>
      </c>
    </row>
    <row r="176" spans="3:151" ht="11.25" customHeight="1">
      <c r="C176" s="735"/>
      <c r="D176" s="743" t="str">
        <f t="shared" si="243"/>
        <v>B1</v>
      </c>
      <c r="E176" s="704" t="str">
        <f t="shared" si="243"/>
        <v>쿠팡</v>
      </c>
      <c r="F176" s="704" t="str">
        <f t="shared" si="243"/>
        <v>상온창고</v>
      </c>
      <c r="G176" s="781" cm="1">
        <f t="array" ref="G176">SUMPRODUCT(($E176='A&amp;R'!$V$26:$V$32)*('A&amp;R'!$AC$26:$AC$32))/1000</f>
        <v>2.9900433370455741</v>
      </c>
      <c r="H176" s="744">
        <f t="shared" si="244"/>
        <v>2745.32</v>
      </c>
      <c r="I176" s="745">
        <f t="shared" si="245"/>
        <v>49064</v>
      </c>
      <c r="J176" s="745"/>
      <c r="K176" s="754">
        <f t="shared" si="246"/>
        <v>2.5000000000000001E-2</v>
      </c>
      <c r="L176" s="748"/>
      <c r="M176" s="749"/>
      <c r="N176" s="747">
        <f t="shared" si="247"/>
        <v>314251.75468590524</v>
      </c>
      <c r="O176" s="733"/>
      <c r="P176" s="747">
        <f>$G176*$H176*(1+$K176)^MAX(ROUNDUP(IFERROR(DATEDIF($I158-1,P$15+1,"m"),)/12,)-1,)*Index!L$22*(P$15&gt;$I176)*(1-P$12)</f>
        <v>0</v>
      </c>
      <c r="Q176" s="747">
        <f>$G176*$H176*(1+$K176)^MAX(ROUNDUP(IFERROR(DATEDIF($I158-1,Q$15+1,"m"),)/12,)-1,)*Index!M$22*(Q$15&gt;$I176)*(1-Q$12)</f>
        <v>0</v>
      </c>
      <c r="R176" s="747">
        <f>$G176*$H176*(1+$K176)^MAX(ROUNDUP(IFERROR(DATEDIF($I158-1,R$15+1,"m"),)/12,)-1,)*Index!N$22*(R$15&gt;$I176)*(1-R$12)</f>
        <v>0</v>
      </c>
      <c r="S176" s="747">
        <f>$G176*$H176*(1+$K176)^MAX(ROUNDUP(IFERROR(DATEDIF($I158-1,S$15+1,"m"),)/12,)-1,)*Index!O$22*(S$15&gt;$I176)*(1-S$12)</f>
        <v>0</v>
      </c>
      <c r="T176" s="747">
        <f>$G176*$H176*(1+$K176)^MAX(ROUNDUP(IFERROR(DATEDIF($I158-1,T$15+1,"m"),)/12,)-1,)*Index!P$22*(T$15&gt;$I176)*(1-T$12)</f>
        <v>0</v>
      </c>
      <c r="U176" s="747">
        <f>$G176*$H176*(1+$K176)^MAX(ROUNDUP(IFERROR(DATEDIF($I158-1,U$15+1,"m"),)/12,)-1,)*Index!Q$22*(U$15&gt;$I176)*(1-U$12)</f>
        <v>0</v>
      </c>
      <c r="V176" s="747">
        <f>$G176*$H176*(1+$K176)^MAX(ROUNDUP(IFERROR(DATEDIF($I158-1,V$15+1,"m"),)/12,)-1,)*Index!R$22*(V$15&gt;$I176)*(1-V$12)</f>
        <v>0</v>
      </c>
      <c r="W176" s="747">
        <f>$G176*$H176*(1+$K176)^MAX(ROUNDUP(IFERROR(DATEDIF($I158-1,W$15+1,"m"),)/12,)-1,)*Index!S$22*(W$15&gt;$I176)*(1-W$12)</f>
        <v>0</v>
      </c>
      <c r="X176" s="747">
        <f>$G176*$H176*(1+$K176)^MAX(ROUNDUP(IFERROR(DATEDIF($I158-1,X$15+1,"m"),)/12,)-1,)*Index!T$22*(X$15&gt;$I176)*(1-X$12)</f>
        <v>0</v>
      </c>
      <c r="Y176" s="747">
        <f>$G176*$H176*(1+$K176)^MAX(ROUNDUP(IFERROR(DATEDIF($I158-1,Y$15+1,"m"),)/12,)-1,)*Index!U$22*(Y$15&gt;$I176)*(1-Y$12)</f>
        <v>0</v>
      </c>
      <c r="Z176" s="747">
        <f>$G176*$H176*(1+$K176)^MAX(ROUNDUP(IFERROR(DATEDIF($I158-1,Z$15+1,"m"),)/12,)-1,)*Index!V$22*(Z$15&gt;$I176)*(1-Z$12)</f>
        <v>0</v>
      </c>
      <c r="AA176" s="747">
        <f>$G176*$H176*(1+$K176)^MAX(ROUNDUP(IFERROR(DATEDIF($I158-1,AA$15+1,"m"),)/12,)-1,)*Index!W$22*(AA$15&gt;$I176)*(1-AA$12)</f>
        <v>0</v>
      </c>
      <c r="AB176" s="747">
        <f>$G176*$H176*(1+$K176)^MAX(ROUNDUP(IFERROR(DATEDIF($I158-1,AB$15+1,"m"),)/12,)-1,)*Index!X$22*(AB$15&gt;$I176)*(1-AB$12)</f>
        <v>0</v>
      </c>
      <c r="AC176" s="747">
        <f>$G176*$H176*(1+$K176)^MAX(ROUNDUP(IFERROR(DATEDIF($I158-1,AC$15+1,"m"),)/12,)-1,)*Index!Y$22*(AC$15&gt;$I176)*(1-AC$12)</f>
        <v>0</v>
      </c>
      <c r="AD176" s="747">
        <f>$G176*$H176*(1+$K176)^MAX(ROUNDUP(IFERROR(DATEDIF($I158-1,AD$15+1,"m"),)/12,)-1,)*Index!Z$22*(AD$15&gt;$I176)*(1-AD$12)</f>
        <v>0</v>
      </c>
      <c r="AE176" s="747">
        <f>$G176*$H176*(1+$K176)^MAX(ROUNDUP(IFERROR(DATEDIF($I158-1,AE$15+1,"m"),)/12,)-1,)*Index!AA$22*(AE$15&gt;$I176)*(1-AE$12)</f>
        <v>0</v>
      </c>
      <c r="AF176" s="747">
        <f>$G176*$H176*(1+$K176)^MAX(ROUNDUP(IFERROR(DATEDIF($I158-1,AF$15+1,"m"),)/12,)-1,)*Index!AB$22*(AF$15&gt;$I176)*(1-AF$12)</f>
        <v>0</v>
      </c>
      <c r="AG176" s="747">
        <f>$G176*$H176*(1+$K176)^MAX(ROUNDUP(IFERROR(DATEDIF($I158-1,AG$15+1,"m"),)/12,)-1,)*Index!AC$22*(AG$15&gt;$I176)*(1-AG$12)</f>
        <v>0</v>
      </c>
      <c r="AH176" s="747">
        <f>$G176*$H176*(1+$K176)^MAX(ROUNDUP(IFERROR(DATEDIF($I158-1,AH$15+1,"m"),)/12,)-1,)*Index!AD$22*(AH$15&gt;$I176)*(1-AH$12)</f>
        <v>0</v>
      </c>
      <c r="AI176" s="747">
        <f>$G176*$H176*(1+$K176)^MAX(ROUNDUP(IFERROR(DATEDIF($I158-1,AI$15+1,"m"),)/12,)-1,)*Index!AE$22*(AI$15&gt;$I176)*(1-AI$12)</f>
        <v>0</v>
      </c>
      <c r="AJ176" s="747">
        <f>$G176*$H176*(1+$K176)^MAX(ROUNDUP(IFERROR(DATEDIF($I158-1,AJ$15+1,"m"),)/12,)-1,)*Index!AF$22*(AJ$15&gt;$I176)*(1-AJ$12)</f>
        <v>0</v>
      </c>
      <c r="AK176" s="747">
        <f>$G176*$H176*(1+$K176)^MAX(ROUNDUP(IFERROR(DATEDIF($I158-1,AK$15+1,"m"),)/12,)-1,)*Index!AG$22*(AK$15&gt;$I176)*(1-AK$12)</f>
        <v>0</v>
      </c>
      <c r="AL176" s="747">
        <f>$G176*$H176*(1+$K176)^MAX(ROUNDUP(IFERROR(DATEDIF($I158-1,AL$15+1,"m"),)/12,)-1,)*Index!AH$22*(AL$15&gt;$I176)*(1-AL$12)</f>
        <v>0</v>
      </c>
      <c r="AM176" s="747">
        <f>$G176*$H176*(1+$K176)^MAX(ROUNDUP(IFERROR(DATEDIF($I158-1,AM$15+1,"m"),)/12,)-1,)*Index!AI$22*(AM$15&gt;$I176)*(1-AM$12)</f>
        <v>0</v>
      </c>
      <c r="AN176" s="747">
        <f>$G176*$H176*(1+$K176)^MAX(ROUNDUP(IFERROR(DATEDIF($I158-1,AN$15+1,"m"),)/12,)-1,)*Index!AJ$22*(AN$15&gt;$I176)*(1-AN$12)</f>
        <v>0</v>
      </c>
      <c r="AO176" s="747">
        <f>$G176*$H176*(1+$K176)^MAX(ROUNDUP(IFERROR(DATEDIF($I158-1,AO$15+1,"m"),)/12,)-1,)*Index!AK$22*(AO$15&gt;$I176)*(1-AO$12)</f>
        <v>0</v>
      </c>
      <c r="AP176" s="747">
        <f>$G176*$H176*(1+$K176)^MAX(ROUNDUP(IFERROR(DATEDIF($I158-1,AP$15+1,"m"),)/12,)-1,)*Index!AL$22*(AP$15&gt;$I176)*(1-AP$12)</f>
        <v>0</v>
      </c>
      <c r="AQ176" s="747">
        <f>$G176*$H176*(1+$K176)^MAX(ROUNDUP(IFERROR(DATEDIF($I158-1,AQ$15+1,"m"),)/12,)-1,)*Index!AM$22*(AQ$15&gt;$I176)*(1-AQ$12)</f>
        <v>0</v>
      </c>
      <c r="AR176" s="747">
        <f>$G176*$H176*(1+$K176)^MAX(ROUNDUP(IFERROR(DATEDIF($I158-1,AR$15+1,"m"),)/12,)-1,)*Index!AN$22*(AR$15&gt;$I176)*(1-AR$12)</f>
        <v>0</v>
      </c>
      <c r="AS176" s="747">
        <f>$G176*$H176*(1+$K176)^MAX(ROUNDUP(IFERROR(DATEDIF($I158-1,AS$15+1,"m"),)/12,)-1,)*Index!AO$22*(AS$15&gt;$I176)*(1-AS$12)</f>
        <v>0</v>
      </c>
      <c r="AT176" s="747">
        <f>$G176*$H176*(1+$K176)^MAX(ROUNDUP(IFERROR(DATEDIF($I158-1,AT$15+1,"m"),)/12,)-1,)*Index!AP$22*(AT$15&gt;$I176)*(1-AT$12)</f>
        <v>0</v>
      </c>
      <c r="AU176" s="747">
        <f>$G176*$H176*(1+$K176)^MAX(ROUNDUP(IFERROR(DATEDIF($I158-1,AU$15+1,"m"),)/12,)-1,)*Index!AQ$22*(AU$15&gt;$I176)*(1-AU$12)</f>
        <v>0</v>
      </c>
      <c r="AV176" s="747">
        <f>$G176*$H176*(1+$K176)^MAX(ROUNDUP(IFERROR(DATEDIF($I158-1,AV$15+1,"m"),)/12,)-1,)*Index!AR$22*(AV$15&gt;$I176)*(1-AV$12)</f>
        <v>0</v>
      </c>
      <c r="AW176" s="747">
        <f>$G176*$H176*(1+$K176)^MAX(ROUNDUP(IFERROR(DATEDIF($I158-1,AW$15+1,"m"),)/12,)-1,)*Index!AS$22*(AW$15&gt;$I176)*(1-AW$12)</f>
        <v>0</v>
      </c>
      <c r="AX176" s="747">
        <f>$G176*$H176*(1+$K176)^MAX(ROUNDUP(IFERROR(DATEDIF($I158-1,AX$15+1,"m"),)/12,)-1,)*Index!AT$22*(AX$15&gt;$I176)*(1-AX$12)</f>
        <v>0</v>
      </c>
      <c r="AY176" s="747">
        <f>$G176*$H176*(1+$K176)^MAX(ROUNDUP(IFERROR(DATEDIF($I158-1,AY$15+1,"m"),)/12,)-1,)*Index!AU$22*(AY$15&gt;$I176)*(1-AY$12)</f>
        <v>0</v>
      </c>
      <c r="AZ176" s="747">
        <f>$G176*$H176*(1+$K176)^MAX(ROUNDUP(IFERROR(DATEDIF($I158-1,AZ$15+1,"m"),)/12,)-1,)*Index!AV$22*(AZ$15&gt;$I176)*(1-AZ$12)</f>
        <v>0</v>
      </c>
      <c r="BA176" s="747">
        <f>$G176*$H176*(1+$K176)^MAX(ROUNDUP(IFERROR(DATEDIF($I158-1,BA$15+1,"m"),)/12,)-1,)*Index!AW$22*(BA$15&gt;$I176)*(1-BA$12)</f>
        <v>0</v>
      </c>
      <c r="BB176" s="747">
        <f>$G176*$H176*(1+$K176)^MAX(ROUNDUP(IFERROR(DATEDIF($I158-1,BB$15+1,"m"),)/12,)-1,)*Index!AX$22*(BB$15&gt;$I176)*(1-BB$12)</f>
        <v>0</v>
      </c>
      <c r="BC176" s="747">
        <f>$G176*$H176*(1+$K176)^MAX(ROUNDUP(IFERROR(DATEDIF($I158-1,BC$15+1,"m"),)/12,)-1,)*Index!AY$22*(BC$15&gt;$I176)*(1-BC$12)</f>
        <v>0</v>
      </c>
      <c r="BD176" s="747">
        <f>$G176*$H176*(1+$K176)^MAX(ROUNDUP(IFERROR(DATEDIF($I158-1,BD$15+1,"m"),)/12,)-1,)*Index!AZ$22*(BD$15&gt;$I176)*(1-BD$12)</f>
        <v>0</v>
      </c>
      <c r="BE176" s="747">
        <f>$G176*$H176*(1+$K176)^MAX(ROUNDUP(IFERROR(DATEDIF($I158-1,BE$15+1,"m"),)/12,)-1,)*Index!BA$22*(BE$15&gt;$I176)*(1-BE$12)</f>
        <v>0</v>
      </c>
      <c r="BF176" s="747">
        <f>$G176*$H176*(1+$K176)^MAX(ROUNDUP(IFERROR(DATEDIF($I158-1,BF$15+1,"m"),)/12,)-1,)*Index!BB$22*(BF$15&gt;$I176)*(1-BF$12)</f>
        <v>0</v>
      </c>
      <c r="BG176" s="747">
        <f>$G176*$H176*(1+$K176)^MAX(ROUNDUP(IFERROR(DATEDIF($I158-1,BG$15+1,"m"),)/12,)-1,)*Index!BC$22*(BG$15&gt;$I176)*(1-BG$12)</f>
        <v>0</v>
      </c>
      <c r="BH176" s="747">
        <f>$G176*$H176*(1+$K176)^MAX(ROUNDUP(IFERROR(DATEDIF($I158-1,BH$15+1,"m"),)/12,)-1,)*Index!BD$22*(BH$15&gt;$I176)*(1-BH$12)</f>
        <v>0</v>
      </c>
      <c r="BI176" s="747">
        <f>$G176*$H176*(1+$K176)^MAX(ROUNDUP(IFERROR(DATEDIF($I158-1,BI$15+1,"m"),)/12,)-1,)*Index!BE$22*(BI$15&gt;$I176)*(1-BI$12)</f>
        <v>0</v>
      </c>
      <c r="BJ176" s="747">
        <f>$G176*$H176*(1+$K176)^MAX(ROUNDUP(IFERROR(DATEDIF($I158-1,BJ$15+1,"m"),)/12,)-1,)*Index!BF$22*(BJ$15&gt;$I176)*(1-BJ$12)</f>
        <v>0</v>
      </c>
      <c r="BK176" s="747">
        <f>$G176*$H176*(1+$K176)^MAX(ROUNDUP(IFERROR(DATEDIF($I158-1,BK$15+1,"m"),)/12,)-1,)*Index!BG$22*(BK$15&gt;$I176)*(1-BK$12)</f>
        <v>0</v>
      </c>
      <c r="BL176" s="747">
        <f>$G176*$H176*(1+$K176)^MAX(ROUNDUP(IFERROR(DATEDIF($I158-1,BL$15+1,"m"),)/12,)-1,)*Index!BH$22*(BL$15&gt;$I176)*(1-BL$12)</f>
        <v>0</v>
      </c>
      <c r="BM176" s="747">
        <f>$G176*$H176*(1+$K176)^MAX(ROUNDUP(IFERROR(DATEDIF($I158-1,BM$15+1,"m"),)/12,)-1,)*Index!BI$22*(BM$15&gt;$I176)*(1-BM$12)</f>
        <v>0</v>
      </c>
      <c r="BN176" s="747">
        <f>$G176*$H176*(1+$K176)^MAX(ROUNDUP(IFERROR(DATEDIF($I158-1,BN$15+1,"m"),)/12,)-1,)*Index!BJ$22*(BN$15&gt;$I176)*(1-BN$12)</f>
        <v>0</v>
      </c>
      <c r="BO176" s="747">
        <f>$G176*$H176*(1+$K176)^MAX(ROUNDUP(IFERROR(DATEDIF($I158-1,BO$15+1,"m"),)/12,)-1,)*Index!BK$22*(BO$15&gt;$I176)*(1-BO$12)</f>
        <v>0</v>
      </c>
      <c r="BP176" s="747">
        <f>$G176*$H176*(1+$K176)^MAX(ROUNDUP(IFERROR(DATEDIF($I158-1,BP$15+1,"m"),)/12,)-1,)*Index!BL$22*(BP$15&gt;$I176)*(1-BP$12)</f>
        <v>0</v>
      </c>
      <c r="BQ176" s="747">
        <f>$G176*$H176*(1+$K176)^MAX(ROUNDUP(IFERROR(DATEDIF($I158-1,BQ$15+1,"m"),)/12,)-1,)*Index!BM$22*(BQ$15&gt;$I176)*(1-BQ$12)</f>
        <v>0</v>
      </c>
      <c r="BR176" s="747">
        <f>$G176*$H176*(1+$K176)^MAX(ROUNDUP(IFERROR(DATEDIF($I158-1,BR$15+1,"m"),)/12,)-1,)*Index!BN$22*(BR$15&gt;$I176)*(1-BR$12)</f>
        <v>0</v>
      </c>
      <c r="BS176" s="747">
        <f>$G176*$H176*(1+$K176)^MAX(ROUNDUP(IFERROR(DATEDIF($I158-1,BS$15+1,"m"),)/12,)-1,)*Index!BO$22*(BS$15&gt;$I176)*(1-BS$12)</f>
        <v>0</v>
      </c>
      <c r="BT176" s="747">
        <f>$G176*$H176*(1+$K176)^MAX(ROUNDUP(IFERROR(DATEDIF($I158-1,BT$15+1,"m"),)/12,)-1,)*Index!BP$22*(BT$15&gt;$I176)*(1-BT$12)</f>
        <v>0</v>
      </c>
      <c r="BU176" s="747">
        <f>$G176*$H176*(1+$K176)^MAX(ROUNDUP(IFERROR(DATEDIF($I158-1,BU$15+1,"m"),)/12,)-1,)*Index!BQ$22*(BU$15&gt;$I176)*(1-BU$12)</f>
        <v>0</v>
      </c>
      <c r="BV176" s="747">
        <f>$G176*$H176*(1+$K176)^MAX(ROUNDUP(IFERROR(DATEDIF($I158-1,BV$15+1,"m"),)/12,)-1,)*Index!BR$22*(BV$15&gt;$I176)*(1-BV$12)</f>
        <v>0</v>
      </c>
      <c r="BW176" s="747">
        <f>$G176*$H176*(1+$K176)^MAX(ROUNDUP(IFERROR(DATEDIF($I158-1,BW$15+1,"m"),)/12,)-1,)*Index!BS$22*(BW$15&gt;$I176)*(1-BW$12)</f>
        <v>0</v>
      </c>
      <c r="BX176" s="747">
        <f>$G176*$H176*(1+$K176)^MAX(ROUNDUP(IFERROR(DATEDIF($I158-1,BX$15+1,"m"),)/12,)-1,)*Index!BT$22*(BX$15&gt;$I176)*(1-BX$12)</f>
        <v>0</v>
      </c>
      <c r="BY176" s="747">
        <f>$G176*$H176*(1+$K176)^MAX(ROUNDUP(IFERROR(DATEDIF($I158-1,BY$15+1,"m"),)/12,)-1,)*Index!BU$22*(BY$15&gt;$I176)*(1-BY$12)</f>
        <v>0</v>
      </c>
      <c r="BZ176" s="747">
        <f>$G176*$H176*(1+$K176)^MAX(ROUNDUP(IFERROR(DATEDIF($I158-1,BZ$15+1,"m"),)/12,)-1,)*Index!BV$22*(BZ$15&gt;$I176)*(1-BZ$12)</f>
        <v>0</v>
      </c>
      <c r="CA176" s="747">
        <f>$G176*$H176*(1+$K176)^MAX(ROUNDUP(IFERROR(DATEDIF($I158-1,CA$15+1,"m"),)/12,)-1,)*Index!BW$22*(CA$15&gt;$I176)*(1-CA$12)</f>
        <v>0</v>
      </c>
      <c r="CB176" s="747">
        <f>$G176*$H176*(1+$K176)^MAX(ROUNDUP(IFERROR(DATEDIF($I158-1,CB$15+1,"m"),)/12,)-1,)*Index!BX$22*(CB$15&gt;$I176)*(1-CB$12)</f>
        <v>0</v>
      </c>
      <c r="CC176" s="747">
        <f>$G176*$H176*(1+$K176)^MAX(ROUNDUP(IFERROR(DATEDIF($I158-1,CC$15+1,"m"),)/12,)-1,)*Index!BY$22*(CC$15&gt;$I176)*(1-CC$12)</f>
        <v>0</v>
      </c>
      <c r="CD176" s="747">
        <f>$G176*$H176*(1+$K176)^MAX(ROUNDUP(IFERROR(DATEDIF($I158-1,CD$15+1,"m"),)/12,)-1,)*Index!BZ$22*(CD$15&gt;$I176)*(1-CD$12)</f>
        <v>0</v>
      </c>
      <c r="CE176" s="747">
        <f>$G176*$H176*(1+$K176)^MAX(ROUNDUP(IFERROR(DATEDIF($I158-1,CE$15+1,"m"),)/12,)-1,)*Index!CA$22*(CE$15&gt;$I176)*(1-CE$12)</f>
        <v>0</v>
      </c>
      <c r="CF176" s="747">
        <f>$G176*$H176*(1+$K176)^MAX(ROUNDUP(IFERROR(DATEDIF($I158-1,CF$15+1,"m"),)/12,)-1,)*Index!CB$22*(CF$15&gt;$I176)*(1-CF$12)</f>
        <v>0</v>
      </c>
      <c r="CG176" s="747">
        <f>$G176*$H176*(1+$K176)^MAX(ROUNDUP(IFERROR(DATEDIF($I158-1,CG$15+1,"m"),)/12,)-1,)*Index!CC$22*(CG$15&gt;$I176)*(1-CG$12)</f>
        <v>0</v>
      </c>
      <c r="CH176" s="747">
        <f>$G176*$H176*(1+$K176)^MAX(ROUNDUP(IFERROR(DATEDIF($I158-1,CH$15+1,"m"),)/12,)-1,)*Index!CD$22*(CH$15&gt;$I176)*(1-CH$12)</f>
        <v>0</v>
      </c>
      <c r="CI176" s="747">
        <f>$G176*$H176*(1+$K176)^MAX(ROUNDUP(IFERROR(DATEDIF($I158-1,CI$15+1,"m"),)/12,)-1,)*Index!CE$22*(CI$15&gt;$I176)*(1-CI$12)</f>
        <v>0</v>
      </c>
      <c r="CJ176" s="747">
        <f>$G176*$H176*(1+$K176)^MAX(ROUNDUP(IFERROR(DATEDIF($I158-1,CJ$15+1,"m"),)/12,)-1,)*Index!CF$22*(CJ$15&gt;$I176)*(1-CJ$12)</f>
        <v>0</v>
      </c>
      <c r="CK176" s="747">
        <f>$G176*$H176*(1+$K176)^MAX(ROUNDUP(IFERROR(DATEDIF($I158-1,CK$15+1,"m"),)/12,)-1,)*Index!CG$22*(CK$15&gt;$I176)*(1-CK$12)</f>
        <v>0</v>
      </c>
      <c r="CL176" s="747">
        <f>$G176*$H176*(1+$K176)^MAX(ROUNDUP(IFERROR(DATEDIF($I158-1,CL$15+1,"m"),)/12,)-1,)*Index!CH$22*(CL$15&gt;$I176)*(1-CL$12)</f>
        <v>0</v>
      </c>
      <c r="CM176" s="747">
        <f>$G176*$H176*(1+$K176)^MAX(ROUNDUP(IFERROR(DATEDIF($I158-1,CM$15+1,"m"),)/12,)-1,)*Index!CI$22*(CM$15&gt;$I176)*(1-CM$12)</f>
        <v>0</v>
      </c>
      <c r="CN176" s="747">
        <f>$G176*$H176*(1+$K176)^MAX(ROUNDUP(IFERROR(DATEDIF($I158-1,CN$15+1,"m"),)/12,)-1,)*Index!CJ$22*(CN$15&gt;$I176)*(1-CN$12)</f>
        <v>0</v>
      </c>
      <c r="CO176" s="747">
        <f>$G176*$H176*(1+$K176)^MAX(ROUNDUP(IFERROR(DATEDIF($I158-1,CO$15+1,"m"),)/12,)-1,)*Index!CK$22*(CO$15&gt;$I176)*(1-CO$12)</f>
        <v>0</v>
      </c>
      <c r="CP176" s="747">
        <f>$G176*$H176*(1+$K176)^MAX(ROUNDUP(IFERROR(DATEDIF($I158-1,CP$15+1,"m"),)/12,)-1,)*Index!CL$22*(CP$15&gt;$I176)*(1-CP$12)</f>
        <v>0</v>
      </c>
      <c r="CQ176" s="747">
        <f>$G176*$H176*(1+$K176)^MAX(ROUNDUP(IFERROR(DATEDIF($I158-1,CQ$15+1,"m"),)/12,)-1,)*Index!CM$22*(CQ$15&gt;$I176)*(1-CQ$12)</f>
        <v>0</v>
      </c>
      <c r="CR176" s="747">
        <f>$G176*$H176*(1+$K176)^MAX(ROUNDUP(IFERROR(DATEDIF($I158-1,CR$15+1,"m"),)/12,)-1,)*Index!CN$22*(CR$15&gt;$I176)*(1-CR$12)</f>
        <v>0</v>
      </c>
      <c r="CS176" s="747">
        <f>$G176*$H176*(1+$K176)^MAX(ROUNDUP(IFERROR(DATEDIF($I158-1,CS$15+1,"m"),)/12,)-1,)*Index!CO$22*(CS$15&gt;$I176)*(1-CS$12)</f>
        <v>0</v>
      </c>
      <c r="CT176" s="747">
        <f>$G176*$H176*(1+$K176)^MAX(ROUNDUP(IFERROR(DATEDIF($I158-1,CT$15+1,"m"),)/12,)-1,)*Index!CP$22*(CT$15&gt;$I176)*(1-CT$12)</f>
        <v>0</v>
      </c>
      <c r="CU176" s="747">
        <f>$G176*$H176*(1+$K176)^MAX(ROUNDUP(IFERROR(DATEDIF($I158-1,CU$15+1,"m"),)/12,)-1,)*Index!CQ$22*(CU$15&gt;$I176)*(1-CU$12)</f>
        <v>0</v>
      </c>
      <c r="CV176" s="747">
        <f>$G176*$H176*(1+$K176)^MAX(ROUNDUP(IFERROR(DATEDIF($I158-1,CV$15+1,"m"),)/12,)-1,)*Index!CR$22*(CV$15&gt;$I176)*(1-CV$12)</f>
        <v>0</v>
      </c>
      <c r="CW176" s="747">
        <f>$G176*$H176*(1+$K176)^MAX(ROUNDUP(IFERROR(DATEDIF($I158-1,CW$15+1,"m"),)/12,)-1,)*Index!CS$22*(CW$15&gt;$I176)*(1-CW$12)</f>
        <v>0</v>
      </c>
      <c r="CX176" s="747">
        <f>$G176*$H176*(1+$K176)^MAX(ROUNDUP(IFERROR(DATEDIF($I158-1,CX$15+1,"m"),)/12,)-1,)*Index!CT$22*(CX$15&gt;$I176)*(1-CX$12)</f>
        <v>0</v>
      </c>
      <c r="CY176" s="747">
        <f>$G176*$H176*(1+$K176)^MAX(ROUNDUP(IFERROR(DATEDIF($I158-1,CY$15+1,"m"),)/12,)-1,)*Index!CU$22*(CY$15&gt;$I176)*(1-CY$12)</f>
        <v>0</v>
      </c>
      <c r="CZ176" s="747">
        <f>$G176*$H176*(1+$K176)^MAX(ROUNDUP(IFERROR(DATEDIF($I158-1,CZ$15+1,"m"),)/12,)-1,)*Index!CV$22*(CZ$15&gt;$I176)*(1-CZ$12)</f>
        <v>0</v>
      </c>
      <c r="DA176" s="747">
        <f>$G176*$H176*(1+$K176)^MAX(ROUNDUP(IFERROR(DATEDIF($I158-1,DA$15+1,"m"),)/12,)-1,)*Index!CW$22*(DA$15&gt;$I176)*(1-DA$12)</f>
        <v>0</v>
      </c>
      <c r="DB176" s="747">
        <f>$G176*$H176*(1+$K176)^MAX(ROUNDUP(IFERROR(DATEDIF($I158-1,DB$15+1,"m"),)/12,)-1,)*Index!CX$22*(DB$15&gt;$I176)*(1-DB$12)</f>
        <v>0</v>
      </c>
      <c r="DC176" s="747">
        <f>$G176*$H176*(1+$K176)^MAX(ROUNDUP(IFERROR(DATEDIF($I158-1,DC$15+1,"m"),)/12,)-1,)*Index!CY$22*(DC$15&gt;$I176)*(1-DC$12)</f>
        <v>10251.448763378974</v>
      </c>
      <c r="DD176" s="747">
        <f>$G176*$H176*(1+$K176)^MAX(ROUNDUP(IFERROR(DATEDIF($I158-1,DD$15+1,"m"),)/12,)-1,)*Index!CZ$22*(DD$15&gt;$I176)*(1-DD$12)</f>
        <v>10251.448763378974</v>
      </c>
      <c r="DE176" s="747">
        <f>$G176*$H176*(1+$K176)^MAX(ROUNDUP(IFERROR(DATEDIF($I158-1,DE$15+1,"m"),)/12,)-1,)*Index!DA$22*(DE$15&gt;$I176)*(1-DE$12)</f>
        <v>10251.448763378974</v>
      </c>
      <c r="DF176" s="747">
        <f>$G176*$H176*(1+$K176)^MAX(ROUNDUP(IFERROR(DATEDIF($I158-1,DF$15+1,"m"),)/12,)-1,)*Index!DB$22*(DF$15&gt;$I176)*(1-DF$12)</f>
        <v>10251.448763378974</v>
      </c>
      <c r="DG176" s="747">
        <f>$G176*$H176*(1+$K176)^MAX(ROUNDUP(IFERROR(DATEDIF($I158-1,DG$15+1,"m"),)/12,)-1,)*Index!DC$22*(DG$15&gt;$I176)*(1-DG$12)</f>
        <v>10251.448763378974</v>
      </c>
      <c r="DH176" s="747">
        <f>$G176*$H176*(1+$K176)^MAX(ROUNDUP(IFERROR(DATEDIF($I158-1,DH$15+1,"m"),)/12,)-1,)*Index!DD$22*(DH$15&gt;$I176)*(1-DH$12)</f>
        <v>10251.448763378974</v>
      </c>
      <c r="DI176" s="747">
        <f>$G176*$H176*(1+$K176)^MAX(ROUNDUP(IFERROR(DATEDIF($I158-1,DI$15+1,"m"),)/12,)-1,)*Index!DE$22*(DI$15&gt;$I176)*(1-DI$12)</f>
        <v>10251.448763378974</v>
      </c>
      <c r="DJ176" s="747">
        <f>$G176*$H176*(1+$K176)^MAX(ROUNDUP(IFERROR(DATEDIF($I158-1,DJ$15+1,"m"),)/12,)-1,)*Index!DF$22*(DJ$15&gt;$I176)*(1-DJ$12)</f>
        <v>10251.448763378974</v>
      </c>
      <c r="DK176" s="747">
        <f>$G176*$H176*(1+$K176)^MAX(ROUNDUP(IFERROR(DATEDIF($I158-1,DK$15+1,"m"),)/12,)-1,)*Index!DG$22*(DK$15&gt;$I176)*(1-DK$12)</f>
        <v>10251.448763378974</v>
      </c>
      <c r="DL176" s="747">
        <f>$G176*$H176*(1+$K176)^MAX(ROUNDUP(IFERROR(DATEDIF($I158-1,DL$15+1,"m"),)/12,)-1,)*Index!DH$22*(DL$15&gt;$I176)*(1-DL$12)</f>
        <v>10251.448763378974</v>
      </c>
      <c r="DM176" s="747">
        <f>$G176*$H176*(1+$K176)^MAX(ROUNDUP(IFERROR(DATEDIF($I158-1,DM$15+1,"m"),)/12,)-1,)*Index!DI$22*(DM$15&gt;$I176)*(1-DM$12)</f>
        <v>10251.448763378974</v>
      </c>
      <c r="DN176" s="747">
        <f>$G176*$H176*(1+$K176)^MAX(ROUNDUP(IFERROR(DATEDIF($I158-1,DN$15+1,"m"),)/12,)-1,)*Index!DJ$22*(DN$15&gt;$I176)*(1-DN$12)</f>
        <v>10507.734982463448</v>
      </c>
      <c r="DO176" s="747">
        <f>$G176*$H176*(1+$K176)^MAX(ROUNDUP(IFERROR(DATEDIF($I158-1,DO$15+1,"m"),)/12,)-1,)*Index!DK$22*(DO$15&gt;$I176)*(1-DO$12)</f>
        <v>10507.734982463448</v>
      </c>
      <c r="DP176" s="747">
        <f>$G176*$H176*(1+$K176)^MAX(ROUNDUP(IFERROR(DATEDIF($I158-1,DP$15+1,"m"),)/12,)-1,)*Index!DL$22*(DP$15&gt;$I176)*(1-DP$12)</f>
        <v>10507.734982463448</v>
      </c>
      <c r="DQ176" s="747">
        <f>$G176*$H176*(1+$K176)^MAX(ROUNDUP(IFERROR(DATEDIF($I158-1,DQ$15+1,"m"),)/12,)-1,)*Index!DM$22*(DQ$15&gt;$I176)*(1-DQ$12)</f>
        <v>10507.734982463448</v>
      </c>
      <c r="DR176" s="747">
        <f>$G176*$H176*(1+$K176)^MAX(ROUNDUP(IFERROR(DATEDIF($I158-1,DR$15+1,"m"),)/12,)-1,)*Index!DN$22*(DR$15&gt;$I176)*(1-DR$12)</f>
        <v>10507.734982463448</v>
      </c>
      <c r="DS176" s="747">
        <f>$G176*$H176*(1+$K176)^MAX(ROUNDUP(IFERROR(DATEDIF($I158-1,DS$15+1,"m"),)/12,)-1,)*Index!DO$22*(DS$15&gt;$I176)*(1-DS$12)</f>
        <v>10507.734982463448</v>
      </c>
      <c r="DT176" s="747">
        <f>$G176*$H176*(1+$K176)^MAX(ROUNDUP(IFERROR(DATEDIF($I158-1,DT$15+1,"m"),)/12,)-1,)*Index!DP$22*(DT$15&gt;$I176)*(1-DT$12)</f>
        <v>10507.734982463448</v>
      </c>
      <c r="DU176" s="747">
        <f>$G176*$H176*(1+$K176)^MAX(ROUNDUP(IFERROR(DATEDIF($I158-1,DU$15+1,"m"),)/12,)-1,)*Index!DQ$22*(DU$15&gt;$I176)*(1-DU$12)</f>
        <v>10507.734982463448</v>
      </c>
      <c r="DV176" s="747">
        <f>$G176*$H176*(1+$K176)^MAX(ROUNDUP(IFERROR(DATEDIF($I158-1,DV$15+1,"m"),)/12,)-1,)*Index!DR$22*(DV$15&gt;$I176)*(1-DV$12)</f>
        <v>10507.734982463448</v>
      </c>
      <c r="DW176" s="747">
        <f>$G176*$H176*(1+$K176)^MAX(ROUNDUP(IFERROR(DATEDIF($I158-1,DW$15+1,"m"),)/12,)-1,)*Index!DS$22*(DW$15&gt;$I176)*(1-DW$12)</f>
        <v>10507.734982463448</v>
      </c>
      <c r="DX176" s="747">
        <f>$G176*$H176*(1+$K176)^MAX(ROUNDUP(IFERROR(DATEDIF($I158-1,DX$15+1,"m"),)/12,)-1,)*Index!DT$22*(DX$15&gt;$I176)*(1-DX$12)</f>
        <v>10507.734982463448</v>
      </c>
      <c r="DY176" s="747">
        <f>$G176*$H176*(1+$K176)^MAX(ROUNDUP(IFERROR(DATEDIF($I158-1,DY$15+1,"m"),)/12,)-1,)*Index!DU$22*(DY$15&gt;$I176)*(1-DY$12)</f>
        <v>10507.734982463448</v>
      </c>
      <c r="DZ176" s="747">
        <f>$G176*$H176*(1+$K176)^MAX(ROUNDUP(IFERROR(DATEDIF($I158-1,DZ$15+1,"m"),)/12,)-1,)*Index!DV$22*(DZ$15&gt;$I176)*(1-DZ$12)</f>
        <v>10770.428357025034</v>
      </c>
      <c r="EA176" s="747">
        <f>$G176*$H176*(1+$K176)^MAX(ROUNDUP(IFERROR(DATEDIF($I158-1,EA$15+1,"m"),)/12,)-1,)*Index!DW$22*(EA$15&gt;$I176)*(1-EA$12)</f>
        <v>10770.428357025034</v>
      </c>
      <c r="EB176" s="747">
        <f>$G176*$H176*(1+$K176)^MAX(ROUNDUP(IFERROR(DATEDIF($I158-1,EB$15+1,"m"),)/12,)-1,)*Index!DX$22*(EB$15&gt;$I176)*(1-EB$12)</f>
        <v>10770.428357025034</v>
      </c>
      <c r="EC176" s="747">
        <f>$G176*$H176*(1+$K176)^MAX(ROUNDUP(IFERROR(DATEDIF($I158-1,EC$15+1,"m"),)/12,)-1,)*Index!DY$22*(EC$15&gt;$I176)*(1-EC$12)</f>
        <v>10770.428357025034</v>
      </c>
      <c r="ED176" s="747">
        <f>$G176*$H176*(1+$K176)^MAX(ROUNDUP(IFERROR(DATEDIF($I158-1,ED$15+1,"m"),)/12,)-1,)*Index!DZ$22*(ED$15&gt;$I176)*(1-ED$12)</f>
        <v>10770.428357025034</v>
      </c>
      <c r="EE176" s="747">
        <f>$G176*$H176*(1+$K176)^MAX(ROUNDUP(IFERROR(DATEDIF($I158-1,EE$15+1,"m"),)/12,)-1,)*Index!EA$22*(EE$15&gt;$I176)*(1-EE$12)</f>
        <v>10770.428357025034</v>
      </c>
      <c r="EF176" s="747">
        <f>$G176*$H176*(1+$K176)^MAX(ROUNDUP(IFERROR(DATEDIF($I158-1,EF$15+1,"m"),)/12,)-1,)*Index!EB$22*(EF$15&gt;$I176)*(1-EF$12)</f>
        <v>10770.428357025034</v>
      </c>
      <c r="EG176" s="747">
        <f>$G176*$H176*(1+$K176)^MAX(ROUNDUP(IFERROR(DATEDIF($I158-1,EG$15+1,"m"),)/12,)-1,)*Index!EC$22*(EG$15&gt;$I176)*(1-EG$12)</f>
        <v>0</v>
      </c>
      <c r="EH176" s="747">
        <f>$G176*$H176*(1+$K176)^MAX(ROUNDUP(IFERROR(DATEDIF($I158-1,EH$15+1,"m"),)/12,)-1,)*Index!ED$22*(EH$15&gt;$I176)*(1-EH$12)</f>
        <v>0</v>
      </c>
      <c r="EI176" s="747">
        <f>$G176*$H176*(1+$K176)^MAX(ROUNDUP(IFERROR(DATEDIF($I158-1,EI$15+1,"m"),)/12,)-1,)*Index!EE$22*(EI$15&gt;$I176)*(1-EI$12)</f>
        <v>0</v>
      </c>
      <c r="EJ176" s="747">
        <f>$G176*$H176*(1+$K176)^MAX(ROUNDUP(IFERROR(DATEDIF($I158-1,EJ$15+1,"m"),)/12,)-1,)*Index!EF$22*(EJ$15&gt;$I176)*(1-EJ$12)</f>
        <v>0</v>
      </c>
      <c r="EK176" s="747">
        <f>$G176*$H176*(1+$K176)^MAX(ROUNDUP(IFERROR(DATEDIF($I158-1,EK$15+1,"m"),)/12,)-1,)*Index!EG$22*(EK$15&gt;$I176)*(1-EK$12)</f>
        <v>0</v>
      </c>
      <c r="EL176" s="747">
        <f>$G176*$H176*(1+$K176)^MAX(ROUNDUP(IFERROR(DATEDIF($I158-1,EL$15+1,"m"),)/12,)-1,)*Index!EH$22*(EL$15&gt;$I176)*(1-EL$12)</f>
        <v>0</v>
      </c>
      <c r="EM176" s="747">
        <f>$G176*$H176*(1+$K176)^MAX(ROUNDUP(IFERROR(DATEDIF($I158-1,EM$15+1,"m"),)/12,)-1,)*Index!EI$22*(EM$15&gt;$I176)*(1-EM$12)</f>
        <v>0</v>
      </c>
      <c r="EN176" s="747">
        <f>$G176*$H176*(1+$K176)^MAX(ROUNDUP(IFERROR(DATEDIF($I158-1,EN$15+1,"m"),)/12,)-1,)*Index!EJ$22*(EN$15&gt;$I176)*(1-EN$12)</f>
        <v>0</v>
      </c>
      <c r="EO176" s="747">
        <f>$G176*$H176*(1+$K176)^MAX(ROUNDUP(IFERROR(DATEDIF($I158-1,EO$15+1,"m"),)/12,)-1,)*Index!EK$22*(EO$15&gt;$I176)*(1-EO$12)</f>
        <v>0</v>
      </c>
      <c r="EP176" s="747">
        <f>$G176*$H176*(1+$K176)^MAX(ROUNDUP(IFERROR(DATEDIF($I158-1,EP$15+1,"m"),)/12,)-1,)*Index!EL$22*(EP$15&gt;$I176)*(1-EP$12)</f>
        <v>0</v>
      </c>
      <c r="EQ176" s="747">
        <f>$G176*$H176*(1+$K176)^MAX(ROUNDUP(IFERROR(DATEDIF($I158-1,EQ$15+1,"m"),)/12,)-1,)*Index!EM$22*(EQ$15&gt;$I176)*(1-EQ$12)</f>
        <v>0</v>
      </c>
      <c r="ER176" s="747">
        <f>$G176*$H176*(1+$K176)^MAX(ROUNDUP(IFERROR(DATEDIF($I158-1,ER$15+1,"m"),)/12,)-1,)*Index!EN$22*(ER$15&gt;$I176)*(1-ER$12)</f>
        <v>0</v>
      </c>
      <c r="ES176" s="747">
        <f>$G176*$H176*(1+$K176)^MAX(ROUNDUP(IFERROR(DATEDIF($I158-1,ES$15+1,"m"),)/12,)-1,)*Index!EO$22*(ES$15&gt;$I176)*(1-ES$12)</f>
        <v>0</v>
      </c>
      <c r="ET176" s="747">
        <f>$G176*$H176*(1+$K176)^MAX(ROUNDUP(IFERROR(DATEDIF($I158-1,ET$15+1,"m"),)/12,)-1,)*Index!EP$22*(ET$15&gt;$I176)*(1-ET$12)</f>
        <v>0</v>
      </c>
      <c r="EU176" s="747">
        <f>$G176*$H176*(1+$K176)^MAX(ROUNDUP(IFERROR(DATEDIF($I158-1,EU$15+1,"m"),)/12,)-1,)*Index!EQ$22*(EU$15&gt;$I176)*(1-EU$12)</f>
        <v>0</v>
      </c>
    </row>
    <row r="177" spans="3:151" ht="11.25" customHeight="1">
      <c r="C177" s="763"/>
      <c r="D177" s="764" t="str">
        <f t="shared" si="243"/>
        <v>B2</v>
      </c>
      <c r="E177" s="774" t="str">
        <f t="shared" si="243"/>
        <v>쿠팡</v>
      </c>
      <c r="F177" s="774" t="str">
        <f t="shared" si="243"/>
        <v>상온창고</v>
      </c>
      <c r="G177" s="782" cm="1">
        <f t="array" ref="G177">SUMPRODUCT(($E177='A&amp;R'!$V$26:$V$32)*('A&amp;R'!$AC$26:$AC$32))/1000</f>
        <v>2.9900433370455741</v>
      </c>
      <c r="H177" s="776">
        <f t="shared" si="244"/>
        <v>2728.21</v>
      </c>
      <c r="I177" s="777">
        <f t="shared" si="245"/>
        <v>49064</v>
      </c>
      <c r="J177" s="777"/>
      <c r="K177" s="778">
        <f t="shared" si="246"/>
        <v>2.5000000000000001E-2</v>
      </c>
      <c r="L177" s="766"/>
      <c r="M177" s="765"/>
      <c r="N177" s="767">
        <f t="shared" si="247"/>
        <v>306688.96066151728</v>
      </c>
      <c r="O177" s="733"/>
      <c r="P177" s="767">
        <f>$G177*$H177*(1+$K177)^MAX(ROUNDUP(IFERROR(DATEDIF($I159-1,P$15+1,"m"),)/12,)-1,)*Index!L$22*(P$15&gt;$I177)*(1-P$12)</f>
        <v>0</v>
      </c>
      <c r="Q177" s="767">
        <f>$G177*$H177*(1+$K177)^MAX(ROUNDUP(IFERROR(DATEDIF($I159-1,Q$15+1,"m"),)/12,)-1,)*Index!M$22*(Q$15&gt;$I177)*(1-Q$12)</f>
        <v>0</v>
      </c>
      <c r="R177" s="767">
        <f>$G177*$H177*(1+$K177)^MAX(ROUNDUP(IFERROR(DATEDIF($I159-1,R$15+1,"m"),)/12,)-1,)*Index!N$22*(R$15&gt;$I177)*(1-R$12)</f>
        <v>0</v>
      </c>
      <c r="S177" s="767">
        <f>$G177*$H177*(1+$K177)^MAX(ROUNDUP(IFERROR(DATEDIF($I159-1,S$15+1,"m"),)/12,)-1,)*Index!O$22*(S$15&gt;$I177)*(1-S$12)</f>
        <v>0</v>
      </c>
      <c r="T177" s="767">
        <f>$G177*$H177*(1+$K177)^MAX(ROUNDUP(IFERROR(DATEDIF($I159-1,T$15+1,"m"),)/12,)-1,)*Index!P$22*(T$15&gt;$I177)*(1-T$12)</f>
        <v>0</v>
      </c>
      <c r="U177" s="767">
        <f>$G177*$H177*(1+$K177)^MAX(ROUNDUP(IFERROR(DATEDIF($I159-1,U$15+1,"m"),)/12,)-1,)*Index!Q$22*(U$15&gt;$I177)*(1-U$12)</f>
        <v>0</v>
      </c>
      <c r="V177" s="767">
        <f>$G177*$H177*(1+$K177)^MAX(ROUNDUP(IFERROR(DATEDIF($I159-1,V$15+1,"m"),)/12,)-1,)*Index!R$22*(V$15&gt;$I177)*(1-V$12)</f>
        <v>0</v>
      </c>
      <c r="W177" s="767">
        <f>$G177*$H177*(1+$K177)^MAX(ROUNDUP(IFERROR(DATEDIF($I159-1,W$15+1,"m"),)/12,)-1,)*Index!S$22*(W$15&gt;$I177)*(1-W$12)</f>
        <v>0</v>
      </c>
      <c r="X177" s="767">
        <f>$G177*$H177*(1+$K177)^MAX(ROUNDUP(IFERROR(DATEDIF($I159-1,X$15+1,"m"),)/12,)-1,)*Index!T$22*(X$15&gt;$I177)*(1-X$12)</f>
        <v>0</v>
      </c>
      <c r="Y177" s="767">
        <f>$G177*$H177*(1+$K177)^MAX(ROUNDUP(IFERROR(DATEDIF($I159-1,Y$15+1,"m"),)/12,)-1,)*Index!U$22*(Y$15&gt;$I177)*(1-Y$12)</f>
        <v>0</v>
      </c>
      <c r="Z177" s="767">
        <f>$G177*$H177*(1+$K177)^MAX(ROUNDUP(IFERROR(DATEDIF($I159-1,Z$15+1,"m"),)/12,)-1,)*Index!V$22*(Z$15&gt;$I177)*(1-Z$12)</f>
        <v>0</v>
      </c>
      <c r="AA177" s="767">
        <f>$G177*$H177*(1+$K177)^MAX(ROUNDUP(IFERROR(DATEDIF($I159-1,AA$15+1,"m"),)/12,)-1,)*Index!W$22*(AA$15&gt;$I177)*(1-AA$12)</f>
        <v>0</v>
      </c>
      <c r="AB177" s="767">
        <f>$G177*$H177*(1+$K177)^MAX(ROUNDUP(IFERROR(DATEDIF($I159-1,AB$15+1,"m"),)/12,)-1,)*Index!X$22*(AB$15&gt;$I177)*(1-AB$12)</f>
        <v>0</v>
      </c>
      <c r="AC177" s="767">
        <f>$G177*$H177*(1+$K177)^MAX(ROUNDUP(IFERROR(DATEDIF($I159-1,AC$15+1,"m"),)/12,)-1,)*Index!Y$22*(AC$15&gt;$I177)*(1-AC$12)</f>
        <v>0</v>
      </c>
      <c r="AD177" s="767">
        <f>$G177*$H177*(1+$K177)^MAX(ROUNDUP(IFERROR(DATEDIF($I159-1,AD$15+1,"m"),)/12,)-1,)*Index!Z$22*(AD$15&gt;$I177)*(1-AD$12)</f>
        <v>0</v>
      </c>
      <c r="AE177" s="767">
        <f>$G177*$H177*(1+$K177)^MAX(ROUNDUP(IFERROR(DATEDIF($I159-1,AE$15+1,"m"),)/12,)-1,)*Index!AA$22*(AE$15&gt;$I177)*(1-AE$12)</f>
        <v>0</v>
      </c>
      <c r="AF177" s="767">
        <f>$G177*$H177*(1+$K177)^MAX(ROUNDUP(IFERROR(DATEDIF($I159-1,AF$15+1,"m"),)/12,)-1,)*Index!AB$22*(AF$15&gt;$I177)*(1-AF$12)</f>
        <v>0</v>
      </c>
      <c r="AG177" s="767">
        <f>$G177*$H177*(1+$K177)^MAX(ROUNDUP(IFERROR(DATEDIF($I159-1,AG$15+1,"m"),)/12,)-1,)*Index!AC$22*(AG$15&gt;$I177)*(1-AG$12)</f>
        <v>0</v>
      </c>
      <c r="AH177" s="767">
        <f>$G177*$H177*(1+$K177)^MAX(ROUNDUP(IFERROR(DATEDIF($I159-1,AH$15+1,"m"),)/12,)-1,)*Index!AD$22*(AH$15&gt;$I177)*(1-AH$12)</f>
        <v>0</v>
      </c>
      <c r="AI177" s="767">
        <f>$G177*$H177*(1+$K177)^MAX(ROUNDUP(IFERROR(DATEDIF($I159-1,AI$15+1,"m"),)/12,)-1,)*Index!AE$22*(AI$15&gt;$I177)*(1-AI$12)</f>
        <v>0</v>
      </c>
      <c r="AJ177" s="767">
        <f>$G177*$H177*(1+$K177)^MAX(ROUNDUP(IFERROR(DATEDIF($I159-1,AJ$15+1,"m"),)/12,)-1,)*Index!AF$22*(AJ$15&gt;$I177)*(1-AJ$12)</f>
        <v>0</v>
      </c>
      <c r="AK177" s="767">
        <f>$G177*$H177*(1+$K177)^MAX(ROUNDUP(IFERROR(DATEDIF($I159-1,AK$15+1,"m"),)/12,)-1,)*Index!AG$22*(AK$15&gt;$I177)*(1-AK$12)</f>
        <v>0</v>
      </c>
      <c r="AL177" s="767">
        <f>$G177*$H177*(1+$K177)^MAX(ROUNDUP(IFERROR(DATEDIF($I159-1,AL$15+1,"m"),)/12,)-1,)*Index!AH$22*(AL$15&gt;$I177)*(1-AL$12)</f>
        <v>0</v>
      </c>
      <c r="AM177" s="767">
        <f>$G177*$H177*(1+$K177)^MAX(ROUNDUP(IFERROR(DATEDIF($I159-1,AM$15+1,"m"),)/12,)-1,)*Index!AI$22*(AM$15&gt;$I177)*(1-AM$12)</f>
        <v>0</v>
      </c>
      <c r="AN177" s="767">
        <f>$G177*$H177*(1+$K177)^MAX(ROUNDUP(IFERROR(DATEDIF($I159-1,AN$15+1,"m"),)/12,)-1,)*Index!AJ$22*(AN$15&gt;$I177)*(1-AN$12)</f>
        <v>0</v>
      </c>
      <c r="AO177" s="767">
        <f>$G177*$H177*(1+$K177)^MAX(ROUNDUP(IFERROR(DATEDIF($I159-1,AO$15+1,"m"),)/12,)-1,)*Index!AK$22*(AO$15&gt;$I177)*(1-AO$12)</f>
        <v>0</v>
      </c>
      <c r="AP177" s="767">
        <f>$G177*$H177*(1+$K177)^MAX(ROUNDUP(IFERROR(DATEDIF($I159-1,AP$15+1,"m"),)/12,)-1,)*Index!AL$22*(AP$15&gt;$I177)*(1-AP$12)</f>
        <v>0</v>
      </c>
      <c r="AQ177" s="767">
        <f>$G177*$H177*(1+$K177)^MAX(ROUNDUP(IFERROR(DATEDIF($I159-1,AQ$15+1,"m"),)/12,)-1,)*Index!AM$22*(AQ$15&gt;$I177)*(1-AQ$12)</f>
        <v>0</v>
      </c>
      <c r="AR177" s="767">
        <f>$G177*$H177*(1+$K177)^MAX(ROUNDUP(IFERROR(DATEDIF($I159-1,AR$15+1,"m"),)/12,)-1,)*Index!AN$22*(AR$15&gt;$I177)*(1-AR$12)</f>
        <v>0</v>
      </c>
      <c r="AS177" s="767">
        <f>$G177*$H177*(1+$K177)^MAX(ROUNDUP(IFERROR(DATEDIF($I159-1,AS$15+1,"m"),)/12,)-1,)*Index!AO$22*(AS$15&gt;$I177)*(1-AS$12)</f>
        <v>0</v>
      </c>
      <c r="AT177" s="767">
        <f>$G177*$H177*(1+$K177)^MAX(ROUNDUP(IFERROR(DATEDIF($I159-1,AT$15+1,"m"),)/12,)-1,)*Index!AP$22*(AT$15&gt;$I177)*(1-AT$12)</f>
        <v>0</v>
      </c>
      <c r="AU177" s="767">
        <f>$G177*$H177*(1+$K177)^MAX(ROUNDUP(IFERROR(DATEDIF($I159-1,AU$15+1,"m"),)/12,)-1,)*Index!AQ$22*(AU$15&gt;$I177)*(1-AU$12)</f>
        <v>0</v>
      </c>
      <c r="AV177" s="767">
        <f>$G177*$H177*(1+$K177)^MAX(ROUNDUP(IFERROR(DATEDIF($I159-1,AV$15+1,"m"),)/12,)-1,)*Index!AR$22*(AV$15&gt;$I177)*(1-AV$12)</f>
        <v>0</v>
      </c>
      <c r="AW177" s="767">
        <f>$G177*$H177*(1+$K177)^MAX(ROUNDUP(IFERROR(DATEDIF($I159-1,AW$15+1,"m"),)/12,)-1,)*Index!AS$22*(AW$15&gt;$I177)*(1-AW$12)</f>
        <v>0</v>
      </c>
      <c r="AX177" s="767">
        <f>$G177*$H177*(1+$K177)^MAX(ROUNDUP(IFERROR(DATEDIF($I159-1,AX$15+1,"m"),)/12,)-1,)*Index!AT$22*(AX$15&gt;$I177)*(1-AX$12)</f>
        <v>0</v>
      </c>
      <c r="AY177" s="767">
        <f>$G177*$H177*(1+$K177)^MAX(ROUNDUP(IFERROR(DATEDIF($I159-1,AY$15+1,"m"),)/12,)-1,)*Index!AU$22*(AY$15&gt;$I177)*(1-AY$12)</f>
        <v>0</v>
      </c>
      <c r="AZ177" s="767">
        <f>$G177*$H177*(1+$K177)^MAX(ROUNDUP(IFERROR(DATEDIF($I159-1,AZ$15+1,"m"),)/12,)-1,)*Index!AV$22*(AZ$15&gt;$I177)*(1-AZ$12)</f>
        <v>0</v>
      </c>
      <c r="BA177" s="767">
        <f>$G177*$H177*(1+$K177)^MAX(ROUNDUP(IFERROR(DATEDIF($I159-1,BA$15+1,"m"),)/12,)-1,)*Index!AW$22*(BA$15&gt;$I177)*(1-BA$12)</f>
        <v>0</v>
      </c>
      <c r="BB177" s="767">
        <f>$G177*$H177*(1+$K177)^MAX(ROUNDUP(IFERROR(DATEDIF($I159-1,BB$15+1,"m"),)/12,)-1,)*Index!AX$22*(BB$15&gt;$I177)*(1-BB$12)</f>
        <v>0</v>
      </c>
      <c r="BC177" s="767">
        <f>$G177*$H177*(1+$K177)^MAX(ROUNDUP(IFERROR(DATEDIF($I159-1,BC$15+1,"m"),)/12,)-1,)*Index!AY$22*(BC$15&gt;$I177)*(1-BC$12)</f>
        <v>0</v>
      </c>
      <c r="BD177" s="767">
        <f>$G177*$H177*(1+$K177)^MAX(ROUNDUP(IFERROR(DATEDIF($I159-1,BD$15+1,"m"),)/12,)-1,)*Index!AZ$22*(BD$15&gt;$I177)*(1-BD$12)</f>
        <v>0</v>
      </c>
      <c r="BE177" s="767">
        <f>$G177*$H177*(1+$K177)^MAX(ROUNDUP(IFERROR(DATEDIF($I159-1,BE$15+1,"m"),)/12,)-1,)*Index!BA$22*(BE$15&gt;$I177)*(1-BE$12)</f>
        <v>0</v>
      </c>
      <c r="BF177" s="767">
        <f>$G177*$H177*(1+$K177)^MAX(ROUNDUP(IFERROR(DATEDIF($I159-1,BF$15+1,"m"),)/12,)-1,)*Index!BB$22*(BF$15&gt;$I177)*(1-BF$12)</f>
        <v>0</v>
      </c>
      <c r="BG177" s="767">
        <f>$G177*$H177*(1+$K177)^MAX(ROUNDUP(IFERROR(DATEDIF($I159-1,BG$15+1,"m"),)/12,)-1,)*Index!BC$22*(BG$15&gt;$I177)*(1-BG$12)</f>
        <v>0</v>
      </c>
      <c r="BH177" s="767">
        <f>$G177*$H177*(1+$K177)^MAX(ROUNDUP(IFERROR(DATEDIF($I159-1,BH$15+1,"m"),)/12,)-1,)*Index!BD$22*(BH$15&gt;$I177)*(1-BH$12)</f>
        <v>0</v>
      </c>
      <c r="BI177" s="767">
        <f>$G177*$H177*(1+$K177)^MAX(ROUNDUP(IFERROR(DATEDIF($I159-1,BI$15+1,"m"),)/12,)-1,)*Index!BE$22*(BI$15&gt;$I177)*(1-BI$12)</f>
        <v>0</v>
      </c>
      <c r="BJ177" s="767">
        <f>$G177*$H177*(1+$K177)^MAX(ROUNDUP(IFERROR(DATEDIF($I159-1,BJ$15+1,"m"),)/12,)-1,)*Index!BF$22*(BJ$15&gt;$I177)*(1-BJ$12)</f>
        <v>0</v>
      </c>
      <c r="BK177" s="767">
        <f>$G177*$H177*(1+$K177)^MAX(ROUNDUP(IFERROR(DATEDIF($I159-1,BK$15+1,"m"),)/12,)-1,)*Index!BG$22*(BK$15&gt;$I177)*(1-BK$12)</f>
        <v>0</v>
      </c>
      <c r="BL177" s="767">
        <f>$G177*$H177*(1+$K177)^MAX(ROUNDUP(IFERROR(DATEDIF($I159-1,BL$15+1,"m"),)/12,)-1,)*Index!BH$22*(BL$15&gt;$I177)*(1-BL$12)</f>
        <v>0</v>
      </c>
      <c r="BM177" s="767">
        <f>$G177*$H177*(1+$K177)^MAX(ROUNDUP(IFERROR(DATEDIF($I159-1,BM$15+1,"m"),)/12,)-1,)*Index!BI$22*(BM$15&gt;$I177)*(1-BM$12)</f>
        <v>0</v>
      </c>
      <c r="BN177" s="767">
        <f>$G177*$H177*(1+$K177)^MAX(ROUNDUP(IFERROR(DATEDIF($I159-1,BN$15+1,"m"),)/12,)-1,)*Index!BJ$22*(BN$15&gt;$I177)*(1-BN$12)</f>
        <v>0</v>
      </c>
      <c r="BO177" s="767">
        <f>$G177*$H177*(1+$K177)^MAX(ROUNDUP(IFERROR(DATEDIF($I159-1,BO$15+1,"m"),)/12,)-1,)*Index!BK$22*(BO$15&gt;$I177)*(1-BO$12)</f>
        <v>0</v>
      </c>
      <c r="BP177" s="767">
        <f>$G177*$H177*(1+$K177)^MAX(ROUNDUP(IFERROR(DATEDIF($I159-1,BP$15+1,"m"),)/12,)-1,)*Index!BL$22*(BP$15&gt;$I177)*(1-BP$12)</f>
        <v>0</v>
      </c>
      <c r="BQ177" s="767">
        <f>$G177*$H177*(1+$K177)^MAX(ROUNDUP(IFERROR(DATEDIF($I159-1,BQ$15+1,"m"),)/12,)-1,)*Index!BM$22*(BQ$15&gt;$I177)*(1-BQ$12)</f>
        <v>0</v>
      </c>
      <c r="BR177" s="767">
        <f>$G177*$H177*(1+$K177)^MAX(ROUNDUP(IFERROR(DATEDIF($I159-1,BR$15+1,"m"),)/12,)-1,)*Index!BN$22*(BR$15&gt;$I177)*(1-BR$12)</f>
        <v>0</v>
      </c>
      <c r="BS177" s="767">
        <f>$G177*$H177*(1+$K177)^MAX(ROUNDUP(IFERROR(DATEDIF($I159-1,BS$15+1,"m"),)/12,)-1,)*Index!BO$22*(BS$15&gt;$I177)*(1-BS$12)</f>
        <v>0</v>
      </c>
      <c r="BT177" s="767">
        <f>$G177*$H177*(1+$K177)^MAX(ROUNDUP(IFERROR(DATEDIF($I159-1,BT$15+1,"m"),)/12,)-1,)*Index!BP$22*(BT$15&gt;$I177)*(1-BT$12)</f>
        <v>0</v>
      </c>
      <c r="BU177" s="767">
        <f>$G177*$H177*(1+$K177)^MAX(ROUNDUP(IFERROR(DATEDIF($I159-1,BU$15+1,"m"),)/12,)-1,)*Index!BQ$22*(BU$15&gt;$I177)*(1-BU$12)</f>
        <v>0</v>
      </c>
      <c r="BV177" s="767">
        <f>$G177*$H177*(1+$K177)^MAX(ROUNDUP(IFERROR(DATEDIF($I159-1,BV$15+1,"m"),)/12,)-1,)*Index!BR$22*(BV$15&gt;$I177)*(1-BV$12)</f>
        <v>0</v>
      </c>
      <c r="BW177" s="767">
        <f>$G177*$H177*(1+$K177)^MAX(ROUNDUP(IFERROR(DATEDIF($I159-1,BW$15+1,"m"),)/12,)-1,)*Index!BS$22*(BW$15&gt;$I177)*(1-BW$12)</f>
        <v>0</v>
      </c>
      <c r="BX177" s="767">
        <f>$G177*$H177*(1+$K177)^MAX(ROUNDUP(IFERROR(DATEDIF($I159-1,BX$15+1,"m"),)/12,)-1,)*Index!BT$22*(BX$15&gt;$I177)*(1-BX$12)</f>
        <v>0</v>
      </c>
      <c r="BY177" s="767">
        <f>$G177*$H177*(1+$K177)^MAX(ROUNDUP(IFERROR(DATEDIF($I159-1,BY$15+1,"m"),)/12,)-1,)*Index!BU$22*(BY$15&gt;$I177)*(1-BY$12)</f>
        <v>0</v>
      </c>
      <c r="BZ177" s="767">
        <f>$G177*$H177*(1+$K177)^MAX(ROUNDUP(IFERROR(DATEDIF($I159-1,BZ$15+1,"m"),)/12,)-1,)*Index!BV$22*(BZ$15&gt;$I177)*(1-BZ$12)</f>
        <v>0</v>
      </c>
      <c r="CA177" s="767">
        <f>$G177*$H177*(1+$K177)^MAX(ROUNDUP(IFERROR(DATEDIF($I159-1,CA$15+1,"m"),)/12,)-1,)*Index!BW$22*(CA$15&gt;$I177)*(1-CA$12)</f>
        <v>0</v>
      </c>
      <c r="CB177" s="767">
        <f>$G177*$H177*(1+$K177)^MAX(ROUNDUP(IFERROR(DATEDIF($I159-1,CB$15+1,"m"),)/12,)-1,)*Index!BX$22*(CB$15&gt;$I177)*(1-CB$12)</f>
        <v>0</v>
      </c>
      <c r="CC177" s="767">
        <f>$G177*$H177*(1+$K177)^MAX(ROUNDUP(IFERROR(DATEDIF($I159-1,CC$15+1,"m"),)/12,)-1,)*Index!BY$22*(CC$15&gt;$I177)*(1-CC$12)</f>
        <v>0</v>
      </c>
      <c r="CD177" s="767">
        <f>$G177*$H177*(1+$K177)^MAX(ROUNDUP(IFERROR(DATEDIF($I159-1,CD$15+1,"m"),)/12,)-1,)*Index!BZ$22*(CD$15&gt;$I177)*(1-CD$12)</f>
        <v>0</v>
      </c>
      <c r="CE177" s="767">
        <f>$G177*$H177*(1+$K177)^MAX(ROUNDUP(IFERROR(DATEDIF($I159-1,CE$15+1,"m"),)/12,)-1,)*Index!CA$22*(CE$15&gt;$I177)*(1-CE$12)</f>
        <v>0</v>
      </c>
      <c r="CF177" s="767">
        <f>$G177*$H177*(1+$K177)^MAX(ROUNDUP(IFERROR(DATEDIF($I159-1,CF$15+1,"m"),)/12,)-1,)*Index!CB$22*(CF$15&gt;$I177)*(1-CF$12)</f>
        <v>0</v>
      </c>
      <c r="CG177" s="767">
        <f>$G177*$H177*(1+$K177)^MAX(ROUNDUP(IFERROR(DATEDIF($I159-1,CG$15+1,"m"),)/12,)-1,)*Index!CC$22*(CG$15&gt;$I177)*(1-CG$12)</f>
        <v>0</v>
      </c>
      <c r="CH177" s="767">
        <f>$G177*$H177*(1+$K177)^MAX(ROUNDUP(IFERROR(DATEDIF($I159-1,CH$15+1,"m"),)/12,)-1,)*Index!CD$22*(CH$15&gt;$I177)*(1-CH$12)</f>
        <v>0</v>
      </c>
      <c r="CI177" s="767">
        <f>$G177*$H177*(1+$K177)^MAX(ROUNDUP(IFERROR(DATEDIF($I159-1,CI$15+1,"m"),)/12,)-1,)*Index!CE$22*(CI$15&gt;$I177)*(1-CI$12)</f>
        <v>0</v>
      </c>
      <c r="CJ177" s="767">
        <f>$G177*$H177*(1+$K177)^MAX(ROUNDUP(IFERROR(DATEDIF($I159-1,CJ$15+1,"m"),)/12,)-1,)*Index!CF$22*(CJ$15&gt;$I177)*(1-CJ$12)</f>
        <v>0</v>
      </c>
      <c r="CK177" s="767">
        <f>$G177*$H177*(1+$K177)^MAX(ROUNDUP(IFERROR(DATEDIF($I159-1,CK$15+1,"m"),)/12,)-1,)*Index!CG$22*(CK$15&gt;$I177)*(1-CK$12)</f>
        <v>0</v>
      </c>
      <c r="CL177" s="767">
        <f>$G177*$H177*(1+$K177)^MAX(ROUNDUP(IFERROR(DATEDIF($I159-1,CL$15+1,"m"),)/12,)-1,)*Index!CH$22*(CL$15&gt;$I177)*(1-CL$12)</f>
        <v>0</v>
      </c>
      <c r="CM177" s="767">
        <f>$G177*$H177*(1+$K177)^MAX(ROUNDUP(IFERROR(DATEDIF($I159-1,CM$15+1,"m"),)/12,)-1,)*Index!CI$22*(CM$15&gt;$I177)*(1-CM$12)</f>
        <v>0</v>
      </c>
      <c r="CN177" s="767">
        <f>$G177*$H177*(1+$K177)^MAX(ROUNDUP(IFERROR(DATEDIF($I159-1,CN$15+1,"m"),)/12,)-1,)*Index!CJ$22*(CN$15&gt;$I177)*(1-CN$12)</f>
        <v>0</v>
      </c>
      <c r="CO177" s="767">
        <f>$G177*$H177*(1+$K177)^MAX(ROUNDUP(IFERROR(DATEDIF($I159-1,CO$15+1,"m"),)/12,)-1,)*Index!CK$22*(CO$15&gt;$I177)*(1-CO$12)</f>
        <v>0</v>
      </c>
      <c r="CP177" s="767">
        <f>$G177*$H177*(1+$K177)^MAX(ROUNDUP(IFERROR(DATEDIF($I159-1,CP$15+1,"m"),)/12,)-1,)*Index!CL$22*(CP$15&gt;$I177)*(1-CP$12)</f>
        <v>0</v>
      </c>
      <c r="CQ177" s="767">
        <f>$G177*$H177*(1+$K177)^MAX(ROUNDUP(IFERROR(DATEDIF($I159-1,CQ$15+1,"m"),)/12,)-1,)*Index!CM$22*(CQ$15&gt;$I177)*(1-CQ$12)</f>
        <v>0</v>
      </c>
      <c r="CR177" s="767">
        <f>$G177*$H177*(1+$K177)^MAX(ROUNDUP(IFERROR(DATEDIF($I159-1,CR$15+1,"m"),)/12,)-1,)*Index!CN$22*(CR$15&gt;$I177)*(1-CR$12)</f>
        <v>0</v>
      </c>
      <c r="CS177" s="767">
        <f>$G177*$H177*(1+$K177)^MAX(ROUNDUP(IFERROR(DATEDIF($I159-1,CS$15+1,"m"),)/12,)-1,)*Index!CO$22*(CS$15&gt;$I177)*(1-CS$12)</f>
        <v>0</v>
      </c>
      <c r="CT177" s="767">
        <f>$G177*$H177*(1+$K177)^MAX(ROUNDUP(IFERROR(DATEDIF($I159-1,CT$15+1,"m"),)/12,)-1,)*Index!CP$22*(CT$15&gt;$I177)*(1-CT$12)</f>
        <v>0</v>
      </c>
      <c r="CU177" s="767">
        <f>$G177*$H177*(1+$K177)^MAX(ROUNDUP(IFERROR(DATEDIF($I159-1,CU$15+1,"m"),)/12,)-1,)*Index!CQ$22*(CU$15&gt;$I177)*(1-CU$12)</f>
        <v>0</v>
      </c>
      <c r="CV177" s="767">
        <f>$G177*$H177*(1+$K177)^MAX(ROUNDUP(IFERROR(DATEDIF($I159-1,CV$15+1,"m"),)/12,)-1,)*Index!CR$22*(CV$15&gt;$I177)*(1-CV$12)</f>
        <v>0</v>
      </c>
      <c r="CW177" s="767">
        <f>$G177*$H177*(1+$K177)^MAX(ROUNDUP(IFERROR(DATEDIF($I159-1,CW$15+1,"m"),)/12,)-1,)*Index!CS$22*(CW$15&gt;$I177)*(1-CW$12)</f>
        <v>0</v>
      </c>
      <c r="CX177" s="767">
        <f>$G177*$H177*(1+$K177)^MAX(ROUNDUP(IFERROR(DATEDIF($I159-1,CX$15+1,"m"),)/12,)-1,)*Index!CT$22*(CX$15&gt;$I177)*(1-CX$12)</f>
        <v>0</v>
      </c>
      <c r="CY177" s="767">
        <f>$G177*$H177*(1+$K177)^MAX(ROUNDUP(IFERROR(DATEDIF($I159-1,CY$15+1,"m"),)/12,)-1,)*Index!CU$22*(CY$15&gt;$I177)*(1-CY$12)</f>
        <v>0</v>
      </c>
      <c r="CZ177" s="767">
        <f>$G177*$H177*(1+$K177)^MAX(ROUNDUP(IFERROR(DATEDIF($I159-1,CZ$15+1,"m"),)/12,)-1,)*Index!CV$22*(CZ$15&gt;$I177)*(1-CZ$12)</f>
        <v>0</v>
      </c>
      <c r="DA177" s="767">
        <f>$G177*$H177*(1+$K177)^MAX(ROUNDUP(IFERROR(DATEDIF($I159-1,DA$15+1,"m"),)/12,)-1,)*Index!CW$22*(DA$15&gt;$I177)*(1-DA$12)</f>
        <v>0</v>
      </c>
      <c r="DB177" s="767">
        <f>$G177*$H177*(1+$K177)^MAX(ROUNDUP(IFERROR(DATEDIF($I159-1,DB$15+1,"m"),)/12,)-1,)*Index!CX$22*(DB$15&gt;$I177)*(1-DB$12)</f>
        <v>0</v>
      </c>
      <c r="DC177" s="767">
        <f>$G177*$H177*(1+$K177)^MAX(ROUNDUP(IFERROR(DATEDIF($I159-1,DC$15+1,"m"),)/12,)-1,)*Index!CY$22*(DC$15&gt;$I177)*(1-DC$12)</f>
        <v>9939.0803722514738</v>
      </c>
      <c r="DD177" s="767">
        <f>$G177*$H177*(1+$K177)^MAX(ROUNDUP(IFERROR(DATEDIF($I159-1,DD$15+1,"m"),)/12,)-1,)*Index!CZ$22*(DD$15&gt;$I177)*(1-DD$12)</f>
        <v>9939.0803722514738</v>
      </c>
      <c r="DE177" s="767">
        <f>$G177*$H177*(1+$K177)^MAX(ROUNDUP(IFERROR(DATEDIF($I159-1,DE$15+1,"m"),)/12,)-1,)*Index!DA$22*(DE$15&gt;$I177)*(1-DE$12)</f>
        <v>9939.0803722514738</v>
      </c>
      <c r="DF177" s="767">
        <f>$G177*$H177*(1+$K177)^MAX(ROUNDUP(IFERROR(DATEDIF($I159-1,DF$15+1,"m"),)/12,)-1,)*Index!DB$22*(DF$15&gt;$I177)*(1-DF$12)</f>
        <v>9939.0803722514738</v>
      </c>
      <c r="DG177" s="767">
        <f>$G177*$H177*(1+$K177)^MAX(ROUNDUP(IFERROR(DATEDIF($I159-1,DG$15+1,"m"),)/12,)-1,)*Index!DC$22*(DG$15&gt;$I177)*(1-DG$12)</f>
        <v>9939.0803722514738</v>
      </c>
      <c r="DH177" s="767">
        <f>$G177*$H177*(1+$K177)^MAX(ROUNDUP(IFERROR(DATEDIF($I159-1,DH$15+1,"m"),)/12,)-1,)*Index!DD$22*(DH$15&gt;$I177)*(1-DH$12)</f>
        <v>9939.0803722514738</v>
      </c>
      <c r="DI177" s="767">
        <f>$G177*$H177*(1+$K177)^MAX(ROUNDUP(IFERROR(DATEDIF($I159-1,DI$15+1,"m"),)/12,)-1,)*Index!DE$22*(DI$15&gt;$I177)*(1-DI$12)</f>
        <v>9939.0803722514738</v>
      </c>
      <c r="DJ177" s="767">
        <f>$G177*$H177*(1+$K177)^MAX(ROUNDUP(IFERROR(DATEDIF($I159-1,DJ$15+1,"m"),)/12,)-1,)*Index!DF$22*(DJ$15&gt;$I177)*(1-DJ$12)</f>
        <v>10187.557381557759</v>
      </c>
      <c r="DK177" s="767">
        <f>$G177*$H177*(1+$K177)^MAX(ROUNDUP(IFERROR(DATEDIF($I159-1,DK$15+1,"m"),)/12,)-1,)*Index!DG$22*(DK$15&gt;$I177)*(1-DK$12)</f>
        <v>10187.557381557759</v>
      </c>
      <c r="DL177" s="767">
        <f>$G177*$H177*(1+$K177)^MAX(ROUNDUP(IFERROR(DATEDIF($I159-1,DL$15+1,"m"),)/12,)-1,)*Index!DH$22*(DL$15&gt;$I177)*(1-DL$12)</f>
        <v>10187.557381557759</v>
      </c>
      <c r="DM177" s="767">
        <f>$G177*$H177*(1+$K177)^MAX(ROUNDUP(IFERROR(DATEDIF($I159-1,DM$15+1,"m"),)/12,)-1,)*Index!DI$22*(DM$15&gt;$I177)*(1-DM$12)</f>
        <v>10187.557381557759</v>
      </c>
      <c r="DN177" s="767">
        <f>$G177*$H177*(1+$K177)^MAX(ROUNDUP(IFERROR(DATEDIF($I159-1,DN$15+1,"m"),)/12,)-1,)*Index!DJ$22*(DN$15&gt;$I177)*(1-DN$12)</f>
        <v>10187.557381557759</v>
      </c>
      <c r="DO177" s="767">
        <f>$G177*$H177*(1+$K177)^MAX(ROUNDUP(IFERROR(DATEDIF($I159-1,DO$15+1,"m"),)/12,)-1,)*Index!DK$22*(DO$15&gt;$I177)*(1-DO$12)</f>
        <v>10187.557381557759</v>
      </c>
      <c r="DP177" s="767">
        <f>$G177*$H177*(1+$K177)^MAX(ROUNDUP(IFERROR(DATEDIF($I159-1,DP$15+1,"m"),)/12,)-1,)*Index!DL$22*(DP$15&gt;$I177)*(1-DP$12)</f>
        <v>10187.557381557759</v>
      </c>
      <c r="DQ177" s="767">
        <f>$G177*$H177*(1+$K177)^MAX(ROUNDUP(IFERROR(DATEDIF($I159-1,DQ$15+1,"m"),)/12,)-1,)*Index!DM$22*(DQ$15&gt;$I177)*(1-DQ$12)</f>
        <v>10187.557381557759</v>
      </c>
      <c r="DR177" s="767">
        <f>$G177*$H177*(1+$K177)^MAX(ROUNDUP(IFERROR(DATEDIF($I159-1,DR$15+1,"m"),)/12,)-1,)*Index!DN$22*(DR$15&gt;$I177)*(1-DR$12)</f>
        <v>10187.557381557759</v>
      </c>
      <c r="DS177" s="767">
        <f>$G177*$H177*(1+$K177)^MAX(ROUNDUP(IFERROR(DATEDIF($I159-1,DS$15+1,"m"),)/12,)-1,)*Index!DO$22*(DS$15&gt;$I177)*(1-DS$12)</f>
        <v>10187.557381557759</v>
      </c>
      <c r="DT177" s="767">
        <f>$G177*$H177*(1+$K177)^MAX(ROUNDUP(IFERROR(DATEDIF($I159-1,DT$15+1,"m"),)/12,)-1,)*Index!DP$22*(DT$15&gt;$I177)*(1-DT$12)</f>
        <v>10187.557381557759</v>
      </c>
      <c r="DU177" s="767">
        <f>$G177*$H177*(1+$K177)^MAX(ROUNDUP(IFERROR(DATEDIF($I159-1,DU$15+1,"m"),)/12,)-1,)*Index!DQ$22*(DU$15&gt;$I177)*(1-DU$12)</f>
        <v>10187.557381557759</v>
      </c>
      <c r="DV177" s="767">
        <f>$G177*$H177*(1+$K177)^MAX(ROUNDUP(IFERROR(DATEDIF($I159-1,DV$15+1,"m"),)/12,)-1,)*Index!DR$22*(DV$15&gt;$I177)*(1-DV$12)</f>
        <v>10442.246316096704</v>
      </c>
      <c r="DW177" s="767">
        <f>$G177*$H177*(1+$K177)^MAX(ROUNDUP(IFERROR(DATEDIF($I159-1,DW$15+1,"m"),)/12,)-1,)*Index!DS$22*(DW$15&gt;$I177)*(1-DW$12)</f>
        <v>10442.246316096704</v>
      </c>
      <c r="DX177" s="767">
        <f>$G177*$H177*(1+$K177)^MAX(ROUNDUP(IFERROR(DATEDIF($I159-1,DX$15+1,"m"),)/12,)-1,)*Index!DT$22*(DX$15&gt;$I177)*(1-DX$12)</f>
        <v>10442.246316096704</v>
      </c>
      <c r="DY177" s="767">
        <f>$G177*$H177*(1+$K177)^MAX(ROUNDUP(IFERROR(DATEDIF($I159-1,DY$15+1,"m"),)/12,)-1,)*Index!DU$22*(DY$15&gt;$I177)*(1-DY$12)</f>
        <v>10442.246316096704</v>
      </c>
      <c r="DZ177" s="767">
        <f>$G177*$H177*(1+$K177)^MAX(ROUNDUP(IFERROR(DATEDIF($I159-1,DZ$15+1,"m"),)/12,)-1,)*Index!DV$22*(DZ$15&gt;$I177)*(1-DZ$12)</f>
        <v>10442.246316096704</v>
      </c>
      <c r="EA177" s="767">
        <f>$G177*$H177*(1+$K177)^MAX(ROUNDUP(IFERROR(DATEDIF($I159-1,EA$15+1,"m"),)/12,)-1,)*Index!DW$22*(EA$15&gt;$I177)*(1-EA$12)</f>
        <v>10442.246316096704</v>
      </c>
      <c r="EB177" s="767">
        <f>$G177*$H177*(1+$K177)^MAX(ROUNDUP(IFERROR(DATEDIF($I159-1,EB$15+1,"m"),)/12,)-1,)*Index!DX$22*(EB$15&gt;$I177)*(1-EB$12)</f>
        <v>10442.246316096704</v>
      </c>
      <c r="EC177" s="767">
        <f>$G177*$H177*(1+$K177)^MAX(ROUNDUP(IFERROR(DATEDIF($I159-1,EC$15+1,"m"),)/12,)-1,)*Index!DY$22*(EC$15&gt;$I177)*(1-EC$12)</f>
        <v>10442.246316096704</v>
      </c>
      <c r="ED177" s="767">
        <f>$G177*$H177*(1+$K177)^MAX(ROUNDUP(IFERROR(DATEDIF($I159-1,ED$15+1,"m"),)/12,)-1,)*Index!DZ$22*(ED$15&gt;$I177)*(1-ED$12)</f>
        <v>10442.246316096704</v>
      </c>
      <c r="EE177" s="767">
        <f>$G177*$H177*(1+$K177)^MAX(ROUNDUP(IFERROR(DATEDIF($I159-1,EE$15+1,"m"),)/12,)-1,)*Index!EA$22*(EE$15&gt;$I177)*(1-EE$12)</f>
        <v>10442.246316096704</v>
      </c>
      <c r="EF177" s="767">
        <f>$G177*$H177*(1+$K177)^MAX(ROUNDUP(IFERROR(DATEDIF($I159-1,EF$15+1,"m"),)/12,)-1,)*Index!EB$22*(EF$15&gt;$I177)*(1-EF$12)</f>
        <v>10442.246316096704</v>
      </c>
      <c r="EG177" s="767">
        <f>$G177*$H177*(1+$K177)^MAX(ROUNDUP(IFERROR(DATEDIF($I159-1,EG$15+1,"m"),)/12,)-1,)*Index!EC$22*(EG$15&gt;$I177)*(1-EG$12)</f>
        <v>0</v>
      </c>
      <c r="EH177" s="767">
        <f>$G177*$H177*(1+$K177)^MAX(ROUNDUP(IFERROR(DATEDIF($I159-1,EH$15+1,"m"),)/12,)-1,)*Index!ED$22*(EH$15&gt;$I177)*(1-EH$12)</f>
        <v>0</v>
      </c>
      <c r="EI177" s="767">
        <f>$G177*$H177*(1+$K177)^MAX(ROUNDUP(IFERROR(DATEDIF($I159-1,EI$15+1,"m"),)/12,)-1,)*Index!EE$22*(EI$15&gt;$I177)*(1-EI$12)</f>
        <v>0</v>
      </c>
      <c r="EJ177" s="767">
        <f>$G177*$H177*(1+$K177)^MAX(ROUNDUP(IFERROR(DATEDIF($I159-1,EJ$15+1,"m"),)/12,)-1,)*Index!EF$22*(EJ$15&gt;$I177)*(1-EJ$12)</f>
        <v>0</v>
      </c>
      <c r="EK177" s="767">
        <f>$G177*$H177*(1+$K177)^MAX(ROUNDUP(IFERROR(DATEDIF($I159-1,EK$15+1,"m"),)/12,)-1,)*Index!EG$22*(EK$15&gt;$I177)*(1-EK$12)</f>
        <v>0</v>
      </c>
      <c r="EL177" s="767">
        <f>$G177*$H177*(1+$K177)^MAX(ROUNDUP(IFERROR(DATEDIF($I159-1,EL$15+1,"m"),)/12,)-1,)*Index!EH$22*(EL$15&gt;$I177)*(1-EL$12)</f>
        <v>0</v>
      </c>
      <c r="EM177" s="767">
        <f>$G177*$H177*(1+$K177)^MAX(ROUNDUP(IFERROR(DATEDIF($I159-1,EM$15+1,"m"),)/12,)-1,)*Index!EI$22*(EM$15&gt;$I177)*(1-EM$12)</f>
        <v>0</v>
      </c>
      <c r="EN177" s="767">
        <f>$G177*$H177*(1+$K177)^MAX(ROUNDUP(IFERROR(DATEDIF($I159-1,EN$15+1,"m"),)/12,)-1,)*Index!EJ$22*(EN$15&gt;$I177)*(1-EN$12)</f>
        <v>0</v>
      </c>
      <c r="EO177" s="767">
        <f>$G177*$H177*(1+$K177)^MAX(ROUNDUP(IFERROR(DATEDIF($I159-1,EO$15+1,"m"),)/12,)-1,)*Index!EK$22*(EO$15&gt;$I177)*(1-EO$12)</f>
        <v>0</v>
      </c>
      <c r="EP177" s="767">
        <f>$G177*$H177*(1+$K177)^MAX(ROUNDUP(IFERROR(DATEDIF($I159-1,EP$15+1,"m"),)/12,)-1,)*Index!EL$22*(EP$15&gt;$I177)*(1-EP$12)</f>
        <v>0</v>
      </c>
      <c r="EQ177" s="767">
        <f>$G177*$H177*(1+$K177)^MAX(ROUNDUP(IFERROR(DATEDIF($I159-1,EQ$15+1,"m"),)/12,)-1,)*Index!EM$22*(EQ$15&gt;$I177)*(1-EQ$12)</f>
        <v>0</v>
      </c>
      <c r="ER177" s="767">
        <f>$G177*$H177*(1+$K177)^MAX(ROUNDUP(IFERROR(DATEDIF($I159-1,ER$15+1,"m"),)/12,)-1,)*Index!EN$22*(ER$15&gt;$I177)*(1-ER$12)</f>
        <v>0</v>
      </c>
      <c r="ES177" s="767">
        <f>$G177*$H177*(1+$K177)^MAX(ROUNDUP(IFERROR(DATEDIF($I159-1,ES$15+1,"m"),)/12,)-1,)*Index!EO$22*(ES$15&gt;$I177)*(1-ES$12)</f>
        <v>0</v>
      </c>
      <c r="ET177" s="767">
        <f>$G177*$H177*(1+$K177)^MAX(ROUNDUP(IFERROR(DATEDIF($I159-1,ET$15+1,"m"),)/12,)-1,)*Index!EP$22*(ET$15&gt;$I177)*(1-ET$12)</f>
        <v>0</v>
      </c>
      <c r="EU177" s="767">
        <f>$G177*$H177*(1+$K177)^MAX(ROUNDUP(IFERROR(DATEDIF($I159-1,EU$15+1,"m"),)/12,)-1,)*Index!EQ$22*(EU$15&gt;$I177)*(1-EU$12)</f>
        <v>0</v>
      </c>
    </row>
    <row r="178" spans="3:151" ht="11.25" customHeight="1">
      <c r="C178" s="827" t="s">
        <v>507</v>
      </c>
      <c r="D178" s="829"/>
      <c r="E178" s="829"/>
      <c r="F178" s="829"/>
      <c r="G178" s="829"/>
      <c r="H178" s="829"/>
      <c r="I178" s="829"/>
      <c r="J178" s="829"/>
      <c r="K178" s="829"/>
      <c r="L178" s="830"/>
      <c r="M178" s="831"/>
      <c r="N178" s="832">
        <f>SUM(N179:N195)</f>
        <v>0</v>
      </c>
      <c r="O178" s="733"/>
      <c r="P178" s="833">
        <f>SUM(P179:P195)</f>
        <v>0</v>
      </c>
      <c r="Q178" s="833">
        <f t="shared" ref="Q178:CB178" si="248">SUM(Q179:Q195)</f>
        <v>0</v>
      </c>
      <c r="R178" s="833">
        <f t="shared" si="248"/>
        <v>0</v>
      </c>
      <c r="S178" s="833">
        <f t="shared" si="248"/>
        <v>0</v>
      </c>
      <c r="T178" s="833">
        <f t="shared" si="248"/>
        <v>0</v>
      </c>
      <c r="U178" s="833">
        <f t="shared" si="248"/>
        <v>0</v>
      </c>
      <c r="V178" s="833">
        <f t="shared" si="248"/>
        <v>0</v>
      </c>
      <c r="W178" s="833">
        <f t="shared" si="248"/>
        <v>0</v>
      </c>
      <c r="X178" s="833">
        <f t="shared" si="248"/>
        <v>0</v>
      </c>
      <c r="Y178" s="833">
        <f t="shared" si="248"/>
        <v>0</v>
      </c>
      <c r="Z178" s="833">
        <f t="shared" si="248"/>
        <v>0</v>
      </c>
      <c r="AA178" s="833">
        <f t="shared" si="248"/>
        <v>0</v>
      </c>
      <c r="AB178" s="833">
        <f t="shared" si="248"/>
        <v>0</v>
      </c>
      <c r="AC178" s="833">
        <f t="shared" si="248"/>
        <v>0</v>
      </c>
      <c r="AD178" s="833">
        <f t="shared" si="248"/>
        <v>0</v>
      </c>
      <c r="AE178" s="833">
        <f t="shared" si="248"/>
        <v>0</v>
      </c>
      <c r="AF178" s="833">
        <f t="shared" si="248"/>
        <v>0</v>
      </c>
      <c r="AG178" s="833">
        <f t="shared" si="248"/>
        <v>0</v>
      </c>
      <c r="AH178" s="833">
        <f t="shared" si="248"/>
        <v>0</v>
      </c>
      <c r="AI178" s="833">
        <f t="shared" si="248"/>
        <v>0</v>
      </c>
      <c r="AJ178" s="833">
        <f t="shared" si="248"/>
        <v>0</v>
      </c>
      <c r="AK178" s="833">
        <f t="shared" si="248"/>
        <v>0</v>
      </c>
      <c r="AL178" s="833">
        <f t="shared" si="248"/>
        <v>0</v>
      </c>
      <c r="AM178" s="833">
        <f t="shared" si="248"/>
        <v>0</v>
      </c>
      <c r="AN178" s="833">
        <f t="shared" si="248"/>
        <v>0</v>
      </c>
      <c r="AO178" s="833">
        <f t="shared" si="248"/>
        <v>0</v>
      </c>
      <c r="AP178" s="833">
        <f t="shared" si="248"/>
        <v>0</v>
      </c>
      <c r="AQ178" s="833">
        <f t="shared" si="248"/>
        <v>0</v>
      </c>
      <c r="AR178" s="833">
        <f t="shared" si="248"/>
        <v>0</v>
      </c>
      <c r="AS178" s="833">
        <f t="shared" si="248"/>
        <v>0</v>
      </c>
      <c r="AT178" s="833">
        <f t="shared" si="248"/>
        <v>0</v>
      </c>
      <c r="AU178" s="833">
        <f t="shared" si="248"/>
        <v>0</v>
      </c>
      <c r="AV178" s="833">
        <f t="shared" si="248"/>
        <v>0</v>
      </c>
      <c r="AW178" s="833">
        <f t="shared" si="248"/>
        <v>0</v>
      </c>
      <c r="AX178" s="833">
        <f t="shared" si="248"/>
        <v>0</v>
      </c>
      <c r="AY178" s="833">
        <f t="shared" si="248"/>
        <v>0</v>
      </c>
      <c r="AZ178" s="833">
        <f t="shared" si="248"/>
        <v>0</v>
      </c>
      <c r="BA178" s="833">
        <f t="shared" si="248"/>
        <v>0</v>
      </c>
      <c r="BB178" s="833">
        <f t="shared" si="248"/>
        <v>0</v>
      </c>
      <c r="BC178" s="833">
        <f t="shared" si="248"/>
        <v>0</v>
      </c>
      <c r="BD178" s="833">
        <f t="shared" si="248"/>
        <v>0</v>
      </c>
      <c r="BE178" s="833">
        <f t="shared" si="248"/>
        <v>0</v>
      </c>
      <c r="BF178" s="833">
        <f t="shared" si="248"/>
        <v>0</v>
      </c>
      <c r="BG178" s="833">
        <f t="shared" si="248"/>
        <v>0</v>
      </c>
      <c r="BH178" s="833">
        <f t="shared" si="248"/>
        <v>0</v>
      </c>
      <c r="BI178" s="833">
        <f t="shared" si="248"/>
        <v>0</v>
      </c>
      <c r="BJ178" s="833">
        <f t="shared" si="248"/>
        <v>0</v>
      </c>
      <c r="BK178" s="833">
        <f t="shared" si="248"/>
        <v>0</v>
      </c>
      <c r="BL178" s="833">
        <f t="shared" si="248"/>
        <v>0</v>
      </c>
      <c r="BM178" s="833">
        <f t="shared" si="248"/>
        <v>0</v>
      </c>
      <c r="BN178" s="833">
        <f t="shared" si="248"/>
        <v>0</v>
      </c>
      <c r="BO178" s="833">
        <f t="shared" si="248"/>
        <v>0</v>
      </c>
      <c r="BP178" s="833">
        <f t="shared" si="248"/>
        <v>0</v>
      </c>
      <c r="BQ178" s="833">
        <f t="shared" si="248"/>
        <v>0</v>
      </c>
      <c r="BR178" s="833">
        <f t="shared" si="248"/>
        <v>0</v>
      </c>
      <c r="BS178" s="833">
        <f t="shared" si="248"/>
        <v>0</v>
      </c>
      <c r="BT178" s="833">
        <f t="shared" si="248"/>
        <v>0</v>
      </c>
      <c r="BU178" s="833">
        <f t="shared" si="248"/>
        <v>0</v>
      </c>
      <c r="BV178" s="833">
        <f t="shared" si="248"/>
        <v>0</v>
      </c>
      <c r="BW178" s="833">
        <f t="shared" si="248"/>
        <v>0</v>
      </c>
      <c r="BX178" s="833">
        <f t="shared" si="248"/>
        <v>0</v>
      </c>
      <c r="BY178" s="833">
        <f t="shared" si="248"/>
        <v>0</v>
      </c>
      <c r="BZ178" s="833">
        <f t="shared" si="248"/>
        <v>0</v>
      </c>
      <c r="CA178" s="833">
        <f t="shared" si="248"/>
        <v>0</v>
      </c>
      <c r="CB178" s="833">
        <f t="shared" si="248"/>
        <v>0</v>
      </c>
      <c r="CC178" s="833">
        <f t="shared" ref="CC178:EN178" si="249">SUM(CC179:CC195)</f>
        <v>0</v>
      </c>
      <c r="CD178" s="833">
        <f t="shared" si="249"/>
        <v>0</v>
      </c>
      <c r="CE178" s="833">
        <f t="shared" si="249"/>
        <v>0</v>
      </c>
      <c r="CF178" s="833">
        <f t="shared" si="249"/>
        <v>0</v>
      </c>
      <c r="CG178" s="833">
        <f t="shared" si="249"/>
        <v>0</v>
      </c>
      <c r="CH178" s="833">
        <f t="shared" si="249"/>
        <v>0</v>
      </c>
      <c r="CI178" s="833">
        <f t="shared" si="249"/>
        <v>0</v>
      </c>
      <c r="CJ178" s="833">
        <f t="shared" si="249"/>
        <v>0</v>
      </c>
      <c r="CK178" s="833">
        <f t="shared" si="249"/>
        <v>0</v>
      </c>
      <c r="CL178" s="833">
        <f t="shared" si="249"/>
        <v>0</v>
      </c>
      <c r="CM178" s="833">
        <f t="shared" si="249"/>
        <v>0</v>
      </c>
      <c r="CN178" s="833">
        <f t="shared" si="249"/>
        <v>0</v>
      </c>
      <c r="CO178" s="833">
        <f t="shared" si="249"/>
        <v>0</v>
      </c>
      <c r="CP178" s="833">
        <f t="shared" si="249"/>
        <v>0</v>
      </c>
      <c r="CQ178" s="833">
        <f t="shared" si="249"/>
        <v>0</v>
      </c>
      <c r="CR178" s="833">
        <f t="shared" si="249"/>
        <v>0</v>
      </c>
      <c r="CS178" s="833">
        <f t="shared" si="249"/>
        <v>0</v>
      </c>
      <c r="CT178" s="833">
        <f t="shared" si="249"/>
        <v>0</v>
      </c>
      <c r="CU178" s="833">
        <f t="shared" si="249"/>
        <v>0</v>
      </c>
      <c r="CV178" s="833">
        <f t="shared" si="249"/>
        <v>0</v>
      </c>
      <c r="CW178" s="833">
        <f t="shared" si="249"/>
        <v>0</v>
      </c>
      <c r="CX178" s="833">
        <f t="shared" si="249"/>
        <v>0</v>
      </c>
      <c r="CY178" s="833">
        <f t="shared" si="249"/>
        <v>0</v>
      </c>
      <c r="CZ178" s="833">
        <f t="shared" si="249"/>
        <v>0</v>
      </c>
      <c r="DA178" s="833">
        <f t="shared" si="249"/>
        <v>0</v>
      </c>
      <c r="DB178" s="833">
        <f t="shared" si="249"/>
        <v>0</v>
      </c>
      <c r="DC178" s="833">
        <f t="shared" si="249"/>
        <v>0</v>
      </c>
      <c r="DD178" s="833">
        <f t="shared" si="249"/>
        <v>0</v>
      </c>
      <c r="DE178" s="833">
        <f t="shared" si="249"/>
        <v>0</v>
      </c>
      <c r="DF178" s="833">
        <f t="shared" si="249"/>
        <v>0</v>
      </c>
      <c r="DG178" s="833">
        <f t="shared" si="249"/>
        <v>0</v>
      </c>
      <c r="DH178" s="833">
        <f t="shared" si="249"/>
        <v>0</v>
      </c>
      <c r="DI178" s="833">
        <f t="shared" si="249"/>
        <v>0</v>
      </c>
      <c r="DJ178" s="833">
        <f t="shared" si="249"/>
        <v>0</v>
      </c>
      <c r="DK178" s="833">
        <f t="shared" si="249"/>
        <v>0</v>
      </c>
      <c r="DL178" s="833">
        <f t="shared" si="249"/>
        <v>0</v>
      </c>
      <c r="DM178" s="833">
        <f t="shared" si="249"/>
        <v>0</v>
      </c>
      <c r="DN178" s="833">
        <f t="shared" si="249"/>
        <v>0</v>
      </c>
      <c r="DO178" s="833">
        <f t="shared" si="249"/>
        <v>0</v>
      </c>
      <c r="DP178" s="833">
        <f t="shared" si="249"/>
        <v>0</v>
      </c>
      <c r="DQ178" s="833">
        <f t="shared" si="249"/>
        <v>0</v>
      </c>
      <c r="DR178" s="833">
        <f t="shared" si="249"/>
        <v>0</v>
      </c>
      <c r="DS178" s="833">
        <f t="shared" si="249"/>
        <v>0</v>
      </c>
      <c r="DT178" s="833">
        <f t="shared" si="249"/>
        <v>0</v>
      </c>
      <c r="DU178" s="833">
        <f t="shared" si="249"/>
        <v>0</v>
      </c>
      <c r="DV178" s="833">
        <f t="shared" si="249"/>
        <v>0</v>
      </c>
      <c r="DW178" s="833">
        <f t="shared" si="249"/>
        <v>0</v>
      </c>
      <c r="DX178" s="833">
        <f t="shared" si="249"/>
        <v>0</v>
      </c>
      <c r="DY178" s="833">
        <f t="shared" si="249"/>
        <v>0</v>
      </c>
      <c r="DZ178" s="833">
        <f t="shared" si="249"/>
        <v>0</v>
      </c>
      <c r="EA178" s="833">
        <f t="shared" si="249"/>
        <v>0</v>
      </c>
      <c r="EB178" s="833">
        <f t="shared" si="249"/>
        <v>0</v>
      </c>
      <c r="EC178" s="833">
        <f t="shared" si="249"/>
        <v>0</v>
      </c>
      <c r="ED178" s="833">
        <f t="shared" si="249"/>
        <v>0</v>
      </c>
      <c r="EE178" s="833">
        <f t="shared" si="249"/>
        <v>0</v>
      </c>
      <c r="EF178" s="833">
        <f t="shared" si="249"/>
        <v>0</v>
      </c>
      <c r="EG178" s="833">
        <f t="shared" si="249"/>
        <v>0</v>
      </c>
      <c r="EH178" s="833">
        <f t="shared" si="249"/>
        <v>0</v>
      </c>
      <c r="EI178" s="833">
        <f t="shared" si="249"/>
        <v>0</v>
      </c>
      <c r="EJ178" s="833">
        <f t="shared" si="249"/>
        <v>0</v>
      </c>
      <c r="EK178" s="833">
        <f t="shared" si="249"/>
        <v>0</v>
      </c>
      <c r="EL178" s="833">
        <f t="shared" si="249"/>
        <v>0</v>
      </c>
      <c r="EM178" s="833">
        <f t="shared" si="249"/>
        <v>0</v>
      </c>
      <c r="EN178" s="833">
        <f t="shared" si="249"/>
        <v>0</v>
      </c>
      <c r="EO178" s="833">
        <f t="shared" ref="EO178:EU178" si="250">SUM(EO179:EO195)</f>
        <v>0</v>
      </c>
      <c r="EP178" s="833">
        <f t="shared" si="250"/>
        <v>0</v>
      </c>
      <c r="EQ178" s="833">
        <f t="shared" si="250"/>
        <v>0</v>
      </c>
      <c r="ER178" s="833">
        <f t="shared" si="250"/>
        <v>0</v>
      </c>
      <c r="ES178" s="833">
        <f t="shared" si="250"/>
        <v>0</v>
      </c>
      <c r="ET178" s="833">
        <f t="shared" si="250"/>
        <v>0</v>
      </c>
      <c r="EU178" s="833">
        <f t="shared" si="250"/>
        <v>0</v>
      </c>
    </row>
    <row r="179" spans="3:151" ht="11.25" customHeight="1">
      <c r="C179" s="828"/>
      <c r="D179" s="736" t="str">
        <f>'A&amp;R'!V6</f>
        <v>옥상</v>
      </c>
      <c r="E179" s="737" t="s">
        <v>850</v>
      </c>
      <c r="F179" s="737" t="str">
        <f>'A&amp;R'!X6</f>
        <v>태양광시설</v>
      </c>
      <c r="G179" s="780">
        <f>'A&amp;R'!AD6/1000</f>
        <v>0</v>
      </c>
      <c r="H179" s="738">
        <f>'A&amp;R'!Y6</f>
        <v>0</v>
      </c>
      <c r="I179" s="739">
        <f>'A&amp;R'!Z6</f>
        <v>46326</v>
      </c>
      <c r="J179" s="739">
        <f>'A&amp;R'!AA6</f>
        <v>49979</v>
      </c>
      <c r="K179" s="753">
        <f>'A&amp;R'!AF6</f>
        <v>2.5000000000000001E-2</v>
      </c>
      <c r="L179" s="740"/>
      <c r="M179" s="741"/>
      <c r="N179" s="742">
        <f>SUM(P179:EU179)</f>
        <v>0</v>
      </c>
      <c r="O179" s="733"/>
      <c r="P179" s="742">
        <f>$G179*$H179*(1+$K179)^MAX(ROUNDUP(IFERROR(DATEDIF($I179-1,P$15+1,"m"),)/12,)-1,)*Index!L$23*(P$15&lt;=$J179)*(1-P$12)</f>
        <v>0</v>
      </c>
      <c r="Q179" s="742">
        <f>$G179*$H179*(1+$K179)^MAX(ROUNDUP(IFERROR(DATEDIF($I179-1,Q$15+1,"m"),)/12,)-1,)*Index!M$23*(Q$15&lt;=$J179)*(1-Q$12)</f>
        <v>0</v>
      </c>
      <c r="R179" s="742">
        <f>$G179*$H179*(1+$K179)^MAX(ROUNDUP(IFERROR(DATEDIF($I179-1,R$15+1,"m"),)/12,)-1,)*Index!N$23*(R$15&lt;=$J179)*(1-R$12)</f>
        <v>0</v>
      </c>
      <c r="S179" s="742">
        <f>$G179*$H179*(1+$K179)^MAX(ROUNDUP(IFERROR(DATEDIF($I179-1,S$15+1,"m"),)/12,)-1,)*Index!O$23*(S$15&lt;=$J179)*(1-S$12)</f>
        <v>0</v>
      </c>
      <c r="T179" s="742">
        <f>$G179*$H179*(1+$K179)^MAX(ROUNDUP(IFERROR(DATEDIF($I179-1,T$15+1,"m"),)/12,)-1,)*Index!P$23*(T$15&lt;=$J179)*(1-T$12)</f>
        <v>0</v>
      </c>
      <c r="U179" s="742">
        <f>$G179*$H179*(1+$K179)^MAX(ROUNDUP(IFERROR(DATEDIF($I179-1,U$15+1,"m"),)/12,)-1,)*Index!Q$23*(U$15&lt;=$J179)*(1-U$12)</f>
        <v>0</v>
      </c>
      <c r="V179" s="742">
        <f>$G179*$H179*(1+$K179)^MAX(ROUNDUP(IFERROR(DATEDIF($I179-1,V$15+1,"m"),)/12,)-1,)*Index!R$23*(V$15&lt;=$J179)*(1-V$12)</f>
        <v>0</v>
      </c>
      <c r="W179" s="742">
        <f>$G179*$H179*(1+$K179)^MAX(ROUNDUP(IFERROR(DATEDIF($I179-1,W$15+1,"m"),)/12,)-1,)*Index!S$23*(W$15&lt;=$J179)*(1-W$12)</f>
        <v>0</v>
      </c>
      <c r="X179" s="742">
        <f>$G179*$H179*(1+$K179)^MAX(ROUNDUP(IFERROR(DATEDIF($I179-1,X$15+1,"m"),)/12,)-1,)*Index!T$23*(X$15&lt;=$J179)*(1-X$12)</f>
        <v>0</v>
      </c>
      <c r="Y179" s="742">
        <f>$G179*$H179*(1+$K179)^MAX(ROUNDUP(IFERROR(DATEDIF($I179-1,Y$15+1,"m"),)/12,)-1,)*Index!U$23*(Y$15&lt;=$J179)*(1-Y$12)</f>
        <v>0</v>
      </c>
      <c r="Z179" s="742">
        <f>$G179*$H179*(1+$K179)^MAX(ROUNDUP(IFERROR(DATEDIF($I179-1,Z$15+1,"m"),)/12,)-1,)*Index!V$23*(Z$15&lt;=$J179)*(1-Z$12)</f>
        <v>0</v>
      </c>
      <c r="AA179" s="742">
        <f>$G179*$H179*(1+$K179)^MAX(ROUNDUP(IFERROR(DATEDIF($I179-1,AA$15+1,"m"),)/12,)-1,)*Index!W$23*(AA$15&lt;=$J179)*(1-AA$12)</f>
        <v>0</v>
      </c>
      <c r="AB179" s="742">
        <f>$G179*$H179*(1+$K179)^MAX(ROUNDUP(IFERROR(DATEDIF($I179-1,AB$15+1,"m"),)/12,)-1,)*Index!X$23*(AB$15&lt;=$J179)*(1-AB$12)</f>
        <v>0</v>
      </c>
      <c r="AC179" s="742">
        <f>$G179*$H179*(1+$K179)^MAX(ROUNDUP(IFERROR(DATEDIF($I179-1,AC$15+1,"m"),)/12,)-1,)*Index!Y$23*(AC$15&lt;=$J179)*(1-AC$12)</f>
        <v>0</v>
      </c>
      <c r="AD179" s="742">
        <f>$G179*$H179*(1+$K179)^MAX(ROUNDUP(IFERROR(DATEDIF($I179-1,AD$15+1,"m"),)/12,)-1,)*Index!Z$23*(AD$15&lt;=$J179)*(1-AD$12)</f>
        <v>0</v>
      </c>
      <c r="AE179" s="742">
        <f>$G179*$H179*(1+$K179)^MAX(ROUNDUP(IFERROR(DATEDIF($I179-1,AE$15+1,"m"),)/12,)-1,)*Index!AA$23*(AE$15&lt;=$J179)*(1-AE$12)</f>
        <v>0</v>
      </c>
      <c r="AF179" s="742">
        <f>$G179*$H179*(1+$K179)^MAX(ROUNDUP(IFERROR(DATEDIF($I179-1,AF$15+1,"m"),)/12,)-1,)*Index!AB$23*(AF$15&lt;=$J179)*(1-AF$12)</f>
        <v>0</v>
      </c>
      <c r="AG179" s="742">
        <f>$G179*$H179*(1+$K179)^MAX(ROUNDUP(IFERROR(DATEDIF($I179-1,AG$15+1,"m"),)/12,)-1,)*Index!AC$23*(AG$15&lt;=$J179)*(1-AG$12)</f>
        <v>0</v>
      </c>
      <c r="AH179" s="742">
        <f>$G179*$H179*(1+$K179)^MAX(ROUNDUP(IFERROR(DATEDIF($I179-1,AH$15+1,"m"),)/12,)-1,)*Index!AD$23*(AH$15&lt;=$J179)*(1-AH$12)</f>
        <v>0</v>
      </c>
      <c r="AI179" s="742">
        <f>$G179*$H179*(1+$K179)^MAX(ROUNDUP(IFERROR(DATEDIF($I179-1,AI$15+1,"m"),)/12,)-1,)*Index!AE$23*(AI$15&lt;=$J179)*(1-AI$12)</f>
        <v>0</v>
      </c>
      <c r="AJ179" s="742">
        <f>$G179*$H179*(1+$K179)^MAX(ROUNDUP(IFERROR(DATEDIF($I179-1,AJ$15+1,"m"),)/12,)-1,)*Index!AF$23*(AJ$15&lt;=$J179)*(1-AJ$12)</f>
        <v>0</v>
      </c>
      <c r="AK179" s="742">
        <f>$G179*$H179*(1+$K179)^MAX(ROUNDUP(IFERROR(DATEDIF($I179-1,AK$15+1,"m"),)/12,)-1,)*Index!AG$23*(AK$15&lt;=$J179)*(1-AK$12)</f>
        <v>0</v>
      </c>
      <c r="AL179" s="742">
        <f>$G179*$H179*(1+$K179)^MAX(ROUNDUP(IFERROR(DATEDIF($I179-1,AL$15+1,"m"),)/12,)-1,)*Index!AH$23*(AL$15&lt;=$J179)*(1-AL$12)</f>
        <v>0</v>
      </c>
      <c r="AM179" s="742">
        <f>$G179*$H179*(1+$K179)^MAX(ROUNDUP(IFERROR(DATEDIF($I179-1,AM$15+1,"m"),)/12,)-1,)*Index!AI$23*(AM$15&lt;=$J179)*(1-AM$12)</f>
        <v>0</v>
      </c>
      <c r="AN179" s="742">
        <f>$G179*$H179*(1+$K179)^MAX(ROUNDUP(IFERROR(DATEDIF($I179-1,AN$15+1,"m"),)/12,)-1,)*Index!AJ$23*(AN$15&lt;=$J179)*(1-AN$12)</f>
        <v>0</v>
      </c>
      <c r="AO179" s="742">
        <f>$G179*$H179*(1+$K179)^MAX(ROUNDUP(IFERROR(DATEDIF($I179-1,AO$15+1,"m"),)/12,)-1,)*Index!AK$23*(AO$15&lt;=$J179)*(1-AO$12)</f>
        <v>0</v>
      </c>
      <c r="AP179" s="742">
        <f>$G179*$H179*(1+$K179)^MAX(ROUNDUP(IFERROR(DATEDIF($I179-1,AP$15+1,"m"),)/12,)-1,)*Index!AL$23*(AP$15&lt;=$J179)*(1-AP$12)</f>
        <v>0</v>
      </c>
      <c r="AQ179" s="742">
        <f>$G179*$H179*(1+$K179)^MAX(ROUNDUP(IFERROR(DATEDIF($I179-1,AQ$15+1,"m"),)/12,)-1,)*Index!AM$23*(AQ$15&lt;=$J179)*(1-AQ$12)</f>
        <v>0</v>
      </c>
      <c r="AR179" s="742">
        <f>$G179*$H179*(1+$K179)^MAX(ROUNDUP(IFERROR(DATEDIF($I179-1,AR$15+1,"m"),)/12,)-1,)*Index!AN$23*(AR$15&lt;=$J179)*(1-AR$12)</f>
        <v>0</v>
      </c>
      <c r="AS179" s="742">
        <f>$G179*$H179*(1+$K179)^MAX(ROUNDUP(IFERROR(DATEDIF($I179-1,AS$15+1,"m"),)/12,)-1,)*Index!AO$23*(AS$15&lt;=$J179)*(1-AS$12)</f>
        <v>0</v>
      </c>
      <c r="AT179" s="742">
        <f>$G179*$H179*(1+$K179)^MAX(ROUNDUP(IFERROR(DATEDIF($I179-1,AT$15+1,"m"),)/12,)-1,)*Index!AP$23*(AT$15&lt;=$J179)*(1-AT$12)</f>
        <v>0</v>
      </c>
      <c r="AU179" s="742">
        <f>$G179*$H179*(1+$K179)^MAX(ROUNDUP(IFERROR(DATEDIF($I179-1,AU$15+1,"m"),)/12,)-1,)*Index!AQ$23*(AU$15&lt;=$J179)*(1-AU$12)</f>
        <v>0</v>
      </c>
      <c r="AV179" s="742">
        <f>$G179*$H179*(1+$K179)^MAX(ROUNDUP(IFERROR(DATEDIF($I179-1,AV$15+1,"m"),)/12,)-1,)*Index!AR$23*(AV$15&lt;=$J179)*(1-AV$12)</f>
        <v>0</v>
      </c>
      <c r="AW179" s="742">
        <f>$G179*$H179*(1+$K179)^MAX(ROUNDUP(IFERROR(DATEDIF($I179-1,AW$15+1,"m"),)/12,)-1,)*Index!AS$23*(AW$15&lt;=$J179)*(1-AW$12)</f>
        <v>0</v>
      </c>
      <c r="AX179" s="742">
        <f>$G179*$H179*(1+$K179)^MAX(ROUNDUP(IFERROR(DATEDIF($I179-1,AX$15+1,"m"),)/12,)-1,)*Index!AT$23*(AX$15&lt;=$J179)*(1-AX$12)</f>
        <v>0</v>
      </c>
      <c r="AY179" s="742">
        <f>$G179*$H179*(1+$K179)^MAX(ROUNDUP(IFERROR(DATEDIF($I179-1,AY$15+1,"m"),)/12,)-1,)*Index!AU$23*(AY$15&lt;=$J179)*(1-AY$12)</f>
        <v>0</v>
      </c>
      <c r="AZ179" s="742">
        <f>$G179*$H179*(1+$K179)^MAX(ROUNDUP(IFERROR(DATEDIF($I179-1,AZ$15+1,"m"),)/12,)-1,)*Index!AV$23*(AZ$15&lt;=$J179)*(1-AZ$12)</f>
        <v>0</v>
      </c>
      <c r="BA179" s="742">
        <f>$G179*$H179*(1+$K179)^MAX(ROUNDUP(IFERROR(DATEDIF($I179-1,BA$15+1,"m"),)/12,)-1,)*Index!AW$23*(BA$15&lt;=$J179)*(1-BA$12)</f>
        <v>0</v>
      </c>
      <c r="BB179" s="742">
        <f>$G179*$H179*(1+$K179)^MAX(ROUNDUP(IFERROR(DATEDIF($I179-1,BB$15+1,"m"),)/12,)-1,)*Index!AX$23*(BB$15&lt;=$J179)*(1-BB$12)</f>
        <v>0</v>
      </c>
      <c r="BC179" s="742">
        <f>$G179*$H179*(1+$K179)^MAX(ROUNDUP(IFERROR(DATEDIF($I179-1,BC$15+1,"m"),)/12,)-1,)*Index!AY$23*(BC$15&lt;=$J179)*(1-BC$12)</f>
        <v>0</v>
      </c>
      <c r="BD179" s="742">
        <f>$G179*$H179*(1+$K179)^MAX(ROUNDUP(IFERROR(DATEDIF($I179-1,BD$15+1,"m"),)/12,)-1,)*Index!AZ$23*(BD$15&lt;=$J179)*(1-BD$12)</f>
        <v>0</v>
      </c>
      <c r="BE179" s="742">
        <f>$G179*$H179*(1+$K179)^MAX(ROUNDUP(IFERROR(DATEDIF($I179-1,BE$15+1,"m"),)/12,)-1,)*Index!BA$23*(BE$15&lt;=$J179)*(1-BE$12)</f>
        <v>0</v>
      </c>
      <c r="BF179" s="742">
        <f>$G179*$H179*(1+$K179)^MAX(ROUNDUP(IFERROR(DATEDIF($I179-1,BF$15+1,"m"),)/12,)-1,)*Index!BB$23*(BF$15&lt;=$J179)*(1-BF$12)</f>
        <v>0</v>
      </c>
      <c r="BG179" s="742">
        <f>$G179*$H179*(1+$K179)^MAX(ROUNDUP(IFERROR(DATEDIF($I179-1,BG$15+1,"m"),)/12,)-1,)*Index!BC$23*(BG$15&lt;=$J179)*(1-BG$12)</f>
        <v>0</v>
      </c>
      <c r="BH179" s="742">
        <f>$G179*$H179*(1+$K179)^MAX(ROUNDUP(IFERROR(DATEDIF($I179-1,BH$15+1,"m"),)/12,)-1,)*Index!BD$23*(BH$15&lt;=$J179)*(1-BH$12)</f>
        <v>0</v>
      </c>
      <c r="BI179" s="742">
        <f>$G179*$H179*(1+$K179)^MAX(ROUNDUP(IFERROR(DATEDIF($I179-1,BI$15+1,"m"),)/12,)-1,)*Index!BE$23*(BI$15&lt;=$J179)*(1-BI$12)</f>
        <v>0</v>
      </c>
      <c r="BJ179" s="742">
        <f>$G179*$H179*(1+$K179)^MAX(ROUNDUP(IFERROR(DATEDIF($I179-1,BJ$15+1,"m"),)/12,)-1,)*Index!BF$23*(BJ$15&lt;=$J179)*(1-BJ$12)</f>
        <v>0</v>
      </c>
      <c r="BK179" s="742">
        <f>$G179*$H179*(1+$K179)^MAX(ROUNDUP(IFERROR(DATEDIF($I179-1,BK$15+1,"m"),)/12,)-1,)*Index!BG$23*(BK$15&lt;=$J179)*(1-BK$12)</f>
        <v>0</v>
      </c>
      <c r="BL179" s="742">
        <f>$G179*$H179*(1+$K179)^MAX(ROUNDUP(IFERROR(DATEDIF($I179-1,BL$15+1,"m"),)/12,)-1,)*Index!BH$23*(BL$15&lt;=$J179)*(1-BL$12)</f>
        <v>0</v>
      </c>
      <c r="BM179" s="742">
        <f>$G179*$H179*(1+$K179)^MAX(ROUNDUP(IFERROR(DATEDIF($I179-1,BM$15+1,"m"),)/12,)-1,)*Index!BI$23*(BM$15&lt;=$J179)*(1-BM$12)</f>
        <v>0</v>
      </c>
      <c r="BN179" s="742">
        <f>$G179*$H179*(1+$K179)^MAX(ROUNDUP(IFERROR(DATEDIF($I179-1,BN$15+1,"m"),)/12,)-1,)*Index!BJ$23*(BN$15&lt;=$J179)*(1-BN$12)</f>
        <v>0</v>
      </c>
      <c r="BO179" s="742">
        <f>$G179*$H179*(1+$K179)^MAX(ROUNDUP(IFERROR(DATEDIF($I179-1,BO$15+1,"m"),)/12,)-1,)*Index!BK$23*(BO$15&lt;=$J179)*(1-BO$12)</f>
        <v>0</v>
      </c>
      <c r="BP179" s="742">
        <f>$G179*$H179*(1+$K179)^MAX(ROUNDUP(IFERROR(DATEDIF($I179-1,BP$15+1,"m"),)/12,)-1,)*Index!BL$23*(BP$15&lt;=$J179)*(1-BP$12)</f>
        <v>0</v>
      </c>
      <c r="BQ179" s="742">
        <f>$G179*$H179*(1+$K179)^MAX(ROUNDUP(IFERROR(DATEDIF($I179-1,BQ$15+1,"m"),)/12,)-1,)*Index!BM$23*(BQ$15&lt;=$J179)*(1-BQ$12)</f>
        <v>0</v>
      </c>
      <c r="BR179" s="742">
        <f>$G179*$H179*(1+$K179)^MAX(ROUNDUP(IFERROR(DATEDIF($I179-1,BR$15+1,"m"),)/12,)-1,)*Index!BN$23*(BR$15&lt;=$J179)*(1-BR$12)</f>
        <v>0</v>
      </c>
      <c r="BS179" s="742">
        <f>$G179*$H179*(1+$K179)^MAX(ROUNDUP(IFERROR(DATEDIF($I179-1,BS$15+1,"m"),)/12,)-1,)*Index!BO$23*(BS$15&lt;=$J179)*(1-BS$12)</f>
        <v>0</v>
      </c>
      <c r="BT179" s="742">
        <f>$G179*$H179*(1+$K179)^MAX(ROUNDUP(IFERROR(DATEDIF($I179-1,BT$15+1,"m"),)/12,)-1,)*Index!BP$23*(BT$15&lt;=$J179)*(1-BT$12)</f>
        <v>0</v>
      </c>
      <c r="BU179" s="742">
        <f>$G179*$H179*(1+$K179)^MAX(ROUNDUP(IFERROR(DATEDIF($I179-1,BU$15+1,"m"),)/12,)-1,)*Index!BQ$23*(BU$15&lt;=$J179)*(1-BU$12)</f>
        <v>0</v>
      </c>
      <c r="BV179" s="742">
        <f>$G179*$H179*(1+$K179)^MAX(ROUNDUP(IFERROR(DATEDIF($I179-1,BV$15+1,"m"),)/12,)-1,)*Index!BR$23*(BV$15&lt;=$J179)*(1-BV$12)</f>
        <v>0</v>
      </c>
      <c r="BW179" s="742">
        <f>$G179*$H179*(1+$K179)^MAX(ROUNDUP(IFERROR(DATEDIF($I179-1,BW$15+1,"m"),)/12,)-1,)*Index!BS$23*(BW$15&lt;=$J179)*(1-BW$12)</f>
        <v>0</v>
      </c>
      <c r="BX179" s="742">
        <f>$G179*$H179*(1+$K179)^MAX(ROUNDUP(IFERROR(DATEDIF($I179-1,BX$15+1,"m"),)/12,)-1,)*Index!BT$23*(BX$15&lt;=$J179)*(1-BX$12)</f>
        <v>0</v>
      </c>
      <c r="BY179" s="742">
        <f>$G179*$H179*(1+$K179)^MAX(ROUNDUP(IFERROR(DATEDIF($I179-1,BY$15+1,"m"),)/12,)-1,)*Index!BU$23*(BY$15&lt;=$J179)*(1-BY$12)</f>
        <v>0</v>
      </c>
      <c r="BZ179" s="742">
        <f>$G179*$H179*(1+$K179)^MAX(ROUNDUP(IFERROR(DATEDIF($I179-1,BZ$15+1,"m"),)/12,)-1,)*Index!BV$23*(BZ$15&lt;=$J179)*(1-BZ$12)</f>
        <v>0</v>
      </c>
      <c r="CA179" s="742">
        <f>$G179*$H179*(1+$K179)^MAX(ROUNDUP(IFERROR(DATEDIF($I179-1,CA$15+1,"m"),)/12,)-1,)*Index!BW$23*(CA$15&lt;=$J179)*(1-CA$12)</f>
        <v>0</v>
      </c>
      <c r="CB179" s="742">
        <f>$G179*$H179*(1+$K179)^MAX(ROUNDUP(IFERROR(DATEDIF($I179-1,CB$15+1,"m"),)/12,)-1,)*Index!BX$23*(CB$15&lt;=$J179)*(1-CB$12)</f>
        <v>0</v>
      </c>
      <c r="CC179" s="742">
        <f>$G179*$H179*(1+$K179)^MAX(ROUNDUP(IFERROR(DATEDIF($I179-1,CC$15+1,"m"),)/12,)-1,)*Index!BY$23*(CC$15&lt;=$J179)*(1-CC$12)</f>
        <v>0</v>
      </c>
      <c r="CD179" s="742">
        <f>$G179*$H179*(1+$K179)^MAX(ROUNDUP(IFERROR(DATEDIF($I179-1,CD$15+1,"m"),)/12,)-1,)*Index!BZ$23*(CD$15&lt;=$J179)*(1-CD$12)</f>
        <v>0</v>
      </c>
      <c r="CE179" s="742">
        <f>$G179*$H179*(1+$K179)^MAX(ROUNDUP(IFERROR(DATEDIF($I179-1,CE$15+1,"m"),)/12,)-1,)*Index!CA$23*(CE$15&lt;=$J179)*(1-CE$12)</f>
        <v>0</v>
      </c>
      <c r="CF179" s="742">
        <f>$G179*$H179*(1+$K179)^MAX(ROUNDUP(IFERROR(DATEDIF($I179-1,CF$15+1,"m"),)/12,)-1,)*Index!CB$23*(CF$15&lt;=$J179)*(1-CF$12)</f>
        <v>0</v>
      </c>
      <c r="CG179" s="742">
        <f>$G179*$H179*(1+$K179)^MAX(ROUNDUP(IFERROR(DATEDIF($I179-1,CG$15+1,"m"),)/12,)-1,)*Index!CC$23*(CG$15&lt;=$J179)*(1-CG$12)</f>
        <v>0</v>
      </c>
      <c r="CH179" s="742">
        <f>$G179*$H179*(1+$K179)^MAX(ROUNDUP(IFERROR(DATEDIF($I179-1,CH$15+1,"m"),)/12,)-1,)*Index!CD$23*(CH$15&lt;=$J179)*(1-CH$12)</f>
        <v>0</v>
      </c>
      <c r="CI179" s="742">
        <f>$G179*$H179*(1+$K179)^MAX(ROUNDUP(IFERROR(DATEDIF($I179-1,CI$15+1,"m"),)/12,)-1,)*Index!CE$23*(CI$15&lt;=$J179)*(1-CI$12)</f>
        <v>0</v>
      </c>
      <c r="CJ179" s="742">
        <f>$G179*$H179*(1+$K179)^MAX(ROUNDUP(IFERROR(DATEDIF($I179-1,CJ$15+1,"m"),)/12,)-1,)*Index!CF$23*(CJ$15&lt;=$J179)*(1-CJ$12)</f>
        <v>0</v>
      </c>
      <c r="CK179" s="742">
        <f>$G179*$H179*(1+$K179)^MAX(ROUNDUP(IFERROR(DATEDIF($I179-1,CK$15+1,"m"),)/12,)-1,)*Index!CG$23*(CK$15&lt;=$J179)*(1-CK$12)</f>
        <v>0</v>
      </c>
      <c r="CL179" s="742">
        <f>$G179*$H179*(1+$K179)^MAX(ROUNDUP(IFERROR(DATEDIF($I179-1,CL$15+1,"m"),)/12,)-1,)*Index!CH$23*(CL$15&lt;=$J179)*(1-CL$12)</f>
        <v>0</v>
      </c>
      <c r="CM179" s="742">
        <f>$G179*$H179*(1+$K179)^MAX(ROUNDUP(IFERROR(DATEDIF($I179-1,CM$15+1,"m"),)/12,)-1,)*Index!CI$23*(CM$15&lt;=$J179)*(1-CM$12)</f>
        <v>0</v>
      </c>
      <c r="CN179" s="742">
        <f>$G179*$H179*(1+$K179)^MAX(ROUNDUP(IFERROR(DATEDIF($I179-1,CN$15+1,"m"),)/12,)-1,)*Index!CJ$23*(CN$15&lt;=$J179)*(1-CN$12)</f>
        <v>0</v>
      </c>
      <c r="CO179" s="742">
        <f>$G179*$H179*(1+$K179)^MAX(ROUNDUP(IFERROR(DATEDIF($I179-1,CO$15+1,"m"),)/12,)-1,)*Index!CK$23*(CO$15&lt;=$J179)*(1-CO$12)</f>
        <v>0</v>
      </c>
      <c r="CP179" s="742">
        <f>$G179*$H179*(1+$K179)^MAX(ROUNDUP(IFERROR(DATEDIF($I179-1,CP$15+1,"m"),)/12,)-1,)*Index!CL$23*(CP$15&lt;=$J179)*(1-CP$12)</f>
        <v>0</v>
      </c>
      <c r="CQ179" s="742">
        <f>$G179*$H179*(1+$K179)^MAX(ROUNDUP(IFERROR(DATEDIF($I179-1,CQ$15+1,"m"),)/12,)-1,)*Index!CM$23*(CQ$15&lt;=$J179)*(1-CQ$12)</f>
        <v>0</v>
      </c>
      <c r="CR179" s="742">
        <f>$G179*$H179*(1+$K179)^MAX(ROUNDUP(IFERROR(DATEDIF($I179-1,CR$15+1,"m"),)/12,)-1,)*Index!CN$23*(CR$15&lt;=$J179)*(1-CR$12)</f>
        <v>0</v>
      </c>
      <c r="CS179" s="742">
        <f>$G179*$H179*(1+$K179)^MAX(ROUNDUP(IFERROR(DATEDIF($I179-1,CS$15+1,"m"),)/12,)-1,)*Index!CO$23*(CS$15&lt;=$J179)*(1-CS$12)</f>
        <v>0</v>
      </c>
      <c r="CT179" s="742">
        <f>$G179*$H179*(1+$K179)^MAX(ROUNDUP(IFERROR(DATEDIF($I179-1,CT$15+1,"m"),)/12,)-1,)*Index!CP$23*(CT$15&lt;=$J179)*(1-CT$12)</f>
        <v>0</v>
      </c>
      <c r="CU179" s="742">
        <f>$G179*$H179*(1+$K179)^MAX(ROUNDUP(IFERROR(DATEDIF($I179-1,CU$15+1,"m"),)/12,)-1,)*Index!CQ$23*(CU$15&lt;=$J179)*(1-CU$12)</f>
        <v>0</v>
      </c>
      <c r="CV179" s="742">
        <f>$G179*$H179*(1+$K179)^MAX(ROUNDUP(IFERROR(DATEDIF($I179-1,CV$15+1,"m"),)/12,)-1,)*Index!CR$23*(CV$15&lt;=$J179)*(1-CV$12)</f>
        <v>0</v>
      </c>
      <c r="CW179" s="742">
        <f>$G179*$H179*(1+$K179)^MAX(ROUNDUP(IFERROR(DATEDIF($I179-1,CW$15+1,"m"),)/12,)-1,)*Index!CS$23*(CW$15&lt;=$J179)*(1-CW$12)</f>
        <v>0</v>
      </c>
      <c r="CX179" s="742">
        <f>$G179*$H179*(1+$K179)^MAX(ROUNDUP(IFERROR(DATEDIF($I179-1,CX$15+1,"m"),)/12,)-1,)*Index!CT$23*(CX$15&lt;=$J179)*(1-CX$12)</f>
        <v>0</v>
      </c>
      <c r="CY179" s="742">
        <f>$G179*$H179*(1+$K179)^MAX(ROUNDUP(IFERROR(DATEDIF($I179-1,CY$15+1,"m"),)/12,)-1,)*Index!CU$23*(CY$15&lt;=$J179)*(1-CY$12)</f>
        <v>0</v>
      </c>
      <c r="CZ179" s="742">
        <f>$G179*$H179*(1+$K179)^MAX(ROUNDUP(IFERROR(DATEDIF($I179-1,CZ$15+1,"m"),)/12,)-1,)*Index!CV$23*(CZ$15&lt;=$J179)*(1-CZ$12)</f>
        <v>0</v>
      </c>
      <c r="DA179" s="742">
        <f>$G179*$H179*(1+$K179)^MAX(ROUNDUP(IFERROR(DATEDIF($I179-1,DA$15+1,"m"),)/12,)-1,)*Index!CW$23*(DA$15&lt;=$J179)*(1-DA$12)</f>
        <v>0</v>
      </c>
      <c r="DB179" s="742">
        <f>$G179*$H179*(1+$K179)^MAX(ROUNDUP(IFERROR(DATEDIF($I179-1,DB$15+1,"m"),)/12,)-1,)*Index!CX$23*(DB$15&lt;=$J179)*(1-DB$12)</f>
        <v>0</v>
      </c>
      <c r="DC179" s="742">
        <f>$G179*$H179*(1+$K179)^MAX(ROUNDUP(IFERROR(DATEDIF($I179-1,DC$15+1,"m"),)/12,)-1,)*Index!CY$23*(DC$15&lt;=$J179)*(1-DC$12)</f>
        <v>0</v>
      </c>
      <c r="DD179" s="742">
        <f>$G179*$H179*(1+$K179)^MAX(ROUNDUP(IFERROR(DATEDIF($I179-1,DD$15+1,"m"),)/12,)-1,)*Index!CZ$23*(DD$15&lt;=$J179)*(1-DD$12)</f>
        <v>0</v>
      </c>
      <c r="DE179" s="742">
        <f>$G179*$H179*(1+$K179)^MAX(ROUNDUP(IFERROR(DATEDIF($I179-1,DE$15+1,"m"),)/12,)-1,)*Index!DA$23*(DE$15&lt;=$J179)*(1-DE$12)</f>
        <v>0</v>
      </c>
      <c r="DF179" s="742">
        <f>$G179*$H179*(1+$K179)^MAX(ROUNDUP(IFERROR(DATEDIF($I179-1,DF$15+1,"m"),)/12,)-1,)*Index!DB$23*(DF$15&lt;=$J179)*(1-DF$12)</f>
        <v>0</v>
      </c>
      <c r="DG179" s="742">
        <f>$G179*$H179*(1+$K179)^MAX(ROUNDUP(IFERROR(DATEDIF($I179-1,DG$15+1,"m"),)/12,)-1,)*Index!DC$23*(DG$15&lt;=$J179)*(1-DG$12)</f>
        <v>0</v>
      </c>
      <c r="DH179" s="742">
        <f>$G179*$H179*(1+$K179)^MAX(ROUNDUP(IFERROR(DATEDIF($I179-1,DH$15+1,"m"),)/12,)-1,)*Index!DD$23*(DH$15&lt;=$J179)*(1-DH$12)</f>
        <v>0</v>
      </c>
      <c r="DI179" s="742">
        <f>$G179*$H179*(1+$K179)^MAX(ROUNDUP(IFERROR(DATEDIF($I179-1,DI$15+1,"m"),)/12,)-1,)*Index!DE$23*(DI$15&lt;=$J179)*(1-DI$12)</f>
        <v>0</v>
      </c>
      <c r="DJ179" s="742">
        <f>$G179*$H179*(1+$K179)^MAX(ROUNDUP(IFERROR(DATEDIF($I179-1,DJ$15+1,"m"),)/12,)-1,)*Index!DF$23*(DJ$15&lt;=$J179)*(1-DJ$12)</f>
        <v>0</v>
      </c>
      <c r="DK179" s="742">
        <f>$G179*$H179*(1+$K179)^MAX(ROUNDUP(IFERROR(DATEDIF($I179-1,DK$15+1,"m"),)/12,)-1,)*Index!DG$23*(DK$15&lt;=$J179)*(1-DK$12)</f>
        <v>0</v>
      </c>
      <c r="DL179" s="742">
        <f>$G179*$H179*(1+$K179)^MAX(ROUNDUP(IFERROR(DATEDIF($I179-1,DL$15+1,"m"),)/12,)-1,)*Index!DH$23*(DL$15&lt;=$J179)*(1-DL$12)</f>
        <v>0</v>
      </c>
      <c r="DM179" s="742">
        <f>$G179*$H179*(1+$K179)^MAX(ROUNDUP(IFERROR(DATEDIF($I179-1,DM$15+1,"m"),)/12,)-1,)*Index!DI$23*(DM$15&lt;=$J179)*(1-DM$12)</f>
        <v>0</v>
      </c>
      <c r="DN179" s="742">
        <f>$G179*$H179*(1+$K179)^MAX(ROUNDUP(IFERROR(DATEDIF($I179-1,DN$15+1,"m"),)/12,)-1,)*Index!DJ$23*(DN$15&lt;=$J179)*(1-DN$12)</f>
        <v>0</v>
      </c>
      <c r="DO179" s="742">
        <f>$G179*$H179*(1+$K179)^MAX(ROUNDUP(IFERROR(DATEDIF($I179-1,DO$15+1,"m"),)/12,)-1,)*Index!DK$23*(DO$15&lt;=$J179)*(1-DO$12)</f>
        <v>0</v>
      </c>
      <c r="DP179" s="742">
        <f>$G179*$H179*(1+$K179)^MAX(ROUNDUP(IFERROR(DATEDIF($I179-1,DP$15+1,"m"),)/12,)-1,)*Index!DL$23*(DP$15&lt;=$J179)*(1-DP$12)</f>
        <v>0</v>
      </c>
      <c r="DQ179" s="742">
        <f>$G179*$H179*(1+$K179)^MAX(ROUNDUP(IFERROR(DATEDIF($I179-1,DQ$15+1,"m"),)/12,)-1,)*Index!DM$23*(DQ$15&lt;=$J179)*(1-DQ$12)</f>
        <v>0</v>
      </c>
      <c r="DR179" s="742">
        <f>$G179*$H179*(1+$K179)^MAX(ROUNDUP(IFERROR(DATEDIF($I179-1,DR$15+1,"m"),)/12,)-1,)*Index!DN$23*(DR$15&lt;=$J179)*(1-DR$12)</f>
        <v>0</v>
      </c>
      <c r="DS179" s="742">
        <f>$G179*$H179*(1+$K179)^MAX(ROUNDUP(IFERROR(DATEDIF($I179-1,DS$15+1,"m"),)/12,)-1,)*Index!DO$23*(DS$15&lt;=$J179)*(1-DS$12)</f>
        <v>0</v>
      </c>
      <c r="DT179" s="742">
        <f>$G179*$H179*(1+$K179)^MAX(ROUNDUP(IFERROR(DATEDIF($I179-1,DT$15+1,"m"),)/12,)-1,)*Index!DP$23*(DT$15&lt;=$J179)*(1-DT$12)</f>
        <v>0</v>
      </c>
      <c r="DU179" s="742">
        <f>$G179*$H179*(1+$K179)^MAX(ROUNDUP(IFERROR(DATEDIF($I179-1,DU$15+1,"m"),)/12,)-1,)*Index!DQ$23*(DU$15&lt;=$J179)*(1-DU$12)</f>
        <v>0</v>
      </c>
      <c r="DV179" s="742">
        <f>$G179*$H179*(1+$K179)^MAX(ROUNDUP(IFERROR(DATEDIF($I179-1,DV$15+1,"m"),)/12,)-1,)*Index!DR$23*(DV$15&lt;=$J179)*(1-DV$12)</f>
        <v>0</v>
      </c>
      <c r="DW179" s="742">
        <f>$G179*$H179*(1+$K179)^MAX(ROUNDUP(IFERROR(DATEDIF($I179-1,DW$15+1,"m"),)/12,)-1,)*Index!DS$23*(DW$15&lt;=$J179)*(1-DW$12)</f>
        <v>0</v>
      </c>
      <c r="DX179" s="742">
        <f>$G179*$H179*(1+$K179)^MAX(ROUNDUP(IFERROR(DATEDIF($I179-1,DX$15+1,"m"),)/12,)-1,)*Index!DT$23*(DX$15&lt;=$J179)*(1-DX$12)</f>
        <v>0</v>
      </c>
      <c r="DY179" s="742">
        <f>$G179*$H179*(1+$K179)^MAX(ROUNDUP(IFERROR(DATEDIF($I179-1,DY$15+1,"m"),)/12,)-1,)*Index!DU$23*(DY$15&lt;=$J179)*(1-DY$12)</f>
        <v>0</v>
      </c>
      <c r="DZ179" s="742">
        <f>$G179*$H179*(1+$K179)^MAX(ROUNDUP(IFERROR(DATEDIF($I179-1,DZ$15+1,"m"),)/12,)-1,)*Index!DV$23*(DZ$15&lt;=$J179)*(1-DZ$12)</f>
        <v>0</v>
      </c>
      <c r="EA179" s="742">
        <f>$G179*$H179*(1+$K179)^MAX(ROUNDUP(IFERROR(DATEDIF($I179-1,EA$15+1,"m"),)/12,)-1,)*Index!DW$23*(EA$15&lt;=$J179)*(1-EA$12)</f>
        <v>0</v>
      </c>
      <c r="EB179" s="742">
        <f>$G179*$H179*(1+$K179)^MAX(ROUNDUP(IFERROR(DATEDIF($I179-1,EB$15+1,"m"),)/12,)-1,)*Index!DX$23*(EB$15&lt;=$J179)*(1-EB$12)</f>
        <v>0</v>
      </c>
      <c r="EC179" s="742">
        <f>$G179*$H179*(1+$K179)^MAX(ROUNDUP(IFERROR(DATEDIF($I179-1,EC$15+1,"m"),)/12,)-1,)*Index!DY$23*(EC$15&lt;=$J179)*(1-EC$12)</f>
        <v>0</v>
      </c>
      <c r="ED179" s="742">
        <f>$G179*$H179*(1+$K179)^MAX(ROUNDUP(IFERROR(DATEDIF($I179-1,ED$15+1,"m"),)/12,)-1,)*Index!DZ$23*(ED$15&lt;=$J179)*(1-ED$12)</f>
        <v>0</v>
      </c>
      <c r="EE179" s="742">
        <f>$G179*$H179*(1+$K179)^MAX(ROUNDUP(IFERROR(DATEDIF($I179-1,EE$15+1,"m"),)/12,)-1,)*Index!EA$23*(EE$15&lt;=$J179)*(1-EE$12)</f>
        <v>0</v>
      </c>
      <c r="EF179" s="742">
        <f>$G179*$H179*(1+$K179)^MAX(ROUNDUP(IFERROR(DATEDIF($I179-1,EF$15+1,"m"),)/12,)-1,)*Index!EB$23*(EF$15&lt;=$J179)*(1-EF$12)</f>
        <v>0</v>
      </c>
      <c r="EG179" s="742">
        <f>$G179*$H179*(1+$K179)^MAX(ROUNDUP(IFERROR(DATEDIF($I179-1,EG$15+1,"m"),)/12,)-1,)*Index!EC$23*(EG$15&lt;=$J179)*(1-EG$12)</f>
        <v>0</v>
      </c>
      <c r="EH179" s="742">
        <f>$G179*$H179*(1+$K179)^MAX(ROUNDUP(IFERROR(DATEDIF($I179-1,EH$15+1,"m"),)/12,)-1,)*Index!ED$23*(EH$15&lt;=$J179)*(1-EH$12)</f>
        <v>0</v>
      </c>
      <c r="EI179" s="742">
        <f>$G179*$H179*(1+$K179)^MAX(ROUNDUP(IFERROR(DATEDIF($I179-1,EI$15+1,"m"),)/12,)-1,)*Index!EE$23*(EI$15&lt;=$J179)*(1-EI$12)</f>
        <v>0</v>
      </c>
      <c r="EJ179" s="742">
        <f>$G179*$H179*(1+$K179)^MAX(ROUNDUP(IFERROR(DATEDIF($I179-1,EJ$15+1,"m"),)/12,)-1,)*Index!EF$23*(EJ$15&lt;=$J179)*(1-EJ$12)</f>
        <v>0</v>
      </c>
      <c r="EK179" s="742">
        <f>$G179*$H179*(1+$K179)^MAX(ROUNDUP(IFERROR(DATEDIF($I179-1,EK$15+1,"m"),)/12,)-1,)*Index!EG$23*(EK$15&lt;=$J179)*(1-EK$12)</f>
        <v>0</v>
      </c>
      <c r="EL179" s="742">
        <f>$G179*$H179*(1+$K179)^MAX(ROUNDUP(IFERROR(DATEDIF($I179-1,EL$15+1,"m"),)/12,)-1,)*Index!EH$23*(EL$15&lt;=$J179)*(1-EL$12)</f>
        <v>0</v>
      </c>
      <c r="EM179" s="742">
        <f>$G179*$H179*(1+$K179)^MAX(ROUNDUP(IFERROR(DATEDIF($I179-1,EM$15+1,"m"),)/12,)-1,)*Index!EI$23*(EM$15&lt;=$J179)*(1-EM$12)</f>
        <v>0</v>
      </c>
      <c r="EN179" s="742">
        <f>$G179*$H179*(1+$K179)^MAX(ROUNDUP(IFERROR(DATEDIF($I179-1,EN$15+1,"m"),)/12,)-1,)*Index!EJ$23*(EN$15&lt;=$J179)*(1-EN$12)</f>
        <v>0</v>
      </c>
      <c r="EO179" s="742">
        <f>$G179*$H179*(1+$K179)^MAX(ROUNDUP(IFERROR(DATEDIF($I179-1,EO$15+1,"m"),)/12,)-1,)*Index!EK$23*(EO$15&lt;=$J179)*(1-EO$12)</f>
        <v>0</v>
      </c>
      <c r="EP179" s="742">
        <f>$G179*$H179*(1+$K179)^MAX(ROUNDUP(IFERROR(DATEDIF($I179-1,EP$15+1,"m"),)/12,)-1,)*Index!EL$23*(EP$15&lt;=$J179)*(1-EP$12)</f>
        <v>0</v>
      </c>
      <c r="EQ179" s="742">
        <f>$G179*$H179*(1+$K179)^MAX(ROUNDUP(IFERROR(DATEDIF($I179-1,EQ$15+1,"m"),)/12,)-1,)*Index!EM$23*(EQ$15&lt;=$J179)*(1-EQ$12)</f>
        <v>0</v>
      </c>
      <c r="ER179" s="742">
        <f>$G179*$H179*(1+$K179)^MAX(ROUNDUP(IFERROR(DATEDIF($I179-1,ER$15+1,"m"),)/12,)-1,)*Index!EN$23*(ER$15&lt;=$J179)*(1-ER$12)</f>
        <v>0</v>
      </c>
      <c r="ES179" s="742">
        <f>$G179*$H179*(1+$K179)^MAX(ROUNDUP(IFERROR(DATEDIF($I179-1,ES$15+1,"m"),)/12,)-1,)*Index!EO$23*(ES$15&lt;=$J179)*(1-ES$12)</f>
        <v>0</v>
      </c>
      <c r="ET179" s="742">
        <f>$G179*$H179*(1+$K179)^MAX(ROUNDUP(IFERROR(DATEDIF($I179-1,ET$15+1,"m"),)/12,)-1,)*Index!EP$23*(ET$15&lt;=$J179)*(1-ET$12)</f>
        <v>0</v>
      </c>
      <c r="EU179" s="742">
        <f>$G179*$H179*(1+$K179)^MAX(ROUNDUP(IFERROR(DATEDIF($I179-1,EU$15+1,"m"),)/12,)-1,)*Index!EQ$23*(EU$15&lt;=$J179)*(1-EU$12)</f>
        <v>0</v>
      </c>
    </row>
    <row r="180" spans="3:151" ht="11.25" customHeight="1">
      <c r="C180" s="828"/>
      <c r="D180" s="743">
        <f>D144</f>
        <v>8</v>
      </c>
      <c r="E180" s="704" t="str">
        <f t="shared" ref="E180:K180" si="251">E144</f>
        <v>쿠팡</v>
      </c>
      <c r="F180" s="704" t="str">
        <f t="shared" si="251"/>
        <v>근린생활시설</v>
      </c>
      <c r="G180" s="781">
        <f t="shared" si="251"/>
        <v>2.6</v>
      </c>
      <c r="H180" s="744">
        <f t="shared" si="251"/>
        <v>78.09</v>
      </c>
      <c r="I180" s="745">
        <f t="shared" si="251"/>
        <v>46326</v>
      </c>
      <c r="J180" s="745">
        <f t="shared" si="251"/>
        <v>49064</v>
      </c>
      <c r="K180" s="754">
        <f t="shared" si="251"/>
        <v>2.5000000000000001E-2</v>
      </c>
      <c r="L180" s="746"/>
      <c r="M180" s="722"/>
      <c r="N180" s="747">
        <f t="shared" ref="N180:N195" si="252">SUM(P180:EU180)</f>
        <v>0</v>
      </c>
      <c r="O180" s="733"/>
      <c r="P180" s="747">
        <f>$G180*$H180*(1+$K180)^MAX(ROUNDUP(IFERROR(DATEDIF($I180-1,P$15+1,"m"),)/12,)-1,)*Index!L$23*(P$15&lt;=$J180)*(1-P$12)</f>
        <v>0</v>
      </c>
      <c r="Q180" s="747">
        <f>$G180*$H180*(1+$K180)^MAX(ROUNDUP(IFERROR(DATEDIF($I180-1,Q$15+1,"m"),)/12,)-1,)*Index!M$23*(Q$15&lt;=$J180)*(1-Q$12)</f>
        <v>0</v>
      </c>
      <c r="R180" s="747">
        <f>$G180*$H180*(1+$K180)^MAX(ROUNDUP(IFERROR(DATEDIF($I180-1,R$15+1,"m"),)/12,)-1,)*Index!N$23*(R$15&lt;=$J180)*(1-R$12)</f>
        <v>0</v>
      </c>
      <c r="S180" s="747">
        <f>$G180*$H180*(1+$K180)^MAX(ROUNDUP(IFERROR(DATEDIF($I180-1,S$15+1,"m"),)/12,)-1,)*Index!O$23*(S$15&lt;=$J180)*(1-S$12)</f>
        <v>0</v>
      </c>
      <c r="T180" s="747">
        <f>$G180*$H180*(1+$K180)^MAX(ROUNDUP(IFERROR(DATEDIF($I180-1,T$15+1,"m"),)/12,)-1,)*Index!P$23*(T$15&lt;=$J180)*(1-T$12)</f>
        <v>0</v>
      </c>
      <c r="U180" s="747">
        <f>$G180*$H180*(1+$K180)^MAX(ROUNDUP(IFERROR(DATEDIF($I180-1,U$15+1,"m"),)/12,)-1,)*Index!Q$23*(U$15&lt;=$J180)*(1-U$12)</f>
        <v>0</v>
      </c>
      <c r="V180" s="747">
        <f>$G180*$H180*(1+$K180)^MAX(ROUNDUP(IFERROR(DATEDIF($I180-1,V$15+1,"m"),)/12,)-1,)*Index!R$23*(V$15&lt;=$J180)*(1-V$12)</f>
        <v>0</v>
      </c>
      <c r="W180" s="747">
        <f>$G180*$H180*(1+$K180)^MAX(ROUNDUP(IFERROR(DATEDIF($I180-1,W$15+1,"m"),)/12,)-1,)*Index!S$23*(W$15&lt;=$J180)*(1-W$12)</f>
        <v>0</v>
      </c>
      <c r="X180" s="747">
        <f>$G180*$H180*(1+$K180)^MAX(ROUNDUP(IFERROR(DATEDIF($I180-1,X$15+1,"m"),)/12,)-1,)*Index!T$23*(X$15&lt;=$J180)*(1-X$12)</f>
        <v>0</v>
      </c>
      <c r="Y180" s="747">
        <f>$G180*$H180*(1+$K180)^MAX(ROUNDUP(IFERROR(DATEDIF($I180-1,Y$15+1,"m"),)/12,)-1,)*Index!U$23*(Y$15&lt;=$J180)*(1-Y$12)</f>
        <v>0</v>
      </c>
      <c r="Z180" s="747">
        <f>$G180*$H180*(1+$K180)^MAX(ROUNDUP(IFERROR(DATEDIF($I180-1,Z$15+1,"m"),)/12,)-1,)*Index!V$23*(Z$15&lt;=$J180)*(1-Z$12)</f>
        <v>0</v>
      </c>
      <c r="AA180" s="747">
        <f>$G180*$H180*(1+$K180)^MAX(ROUNDUP(IFERROR(DATEDIF($I180-1,AA$15+1,"m"),)/12,)-1,)*Index!W$23*(AA$15&lt;=$J180)*(1-AA$12)</f>
        <v>0</v>
      </c>
      <c r="AB180" s="747">
        <f>$G180*$H180*(1+$K180)^MAX(ROUNDUP(IFERROR(DATEDIF($I180-1,AB$15+1,"m"),)/12,)-1,)*Index!X$23*(AB$15&lt;=$J180)*(1-AB$12)</f>
        <v>0</v>
      </c>
      <c r="AC180" s="747">
        <f>$G180*$H180*(1+$K180)^MAX(ROUNDUP(IFERROR(DATEDIF($I180-1,AC$15+1,"m"),)/12,)-1,)*Index!Y$23*(AC$15&lt;=$J180)*(1-AC$12)</f>
        <v>0</v>
      </c>
      <c r="AD180" s="747">
        <f>$G180*$H180*(1+$K180)^MAX(ROUNDUP(IFERROR(DATEDIF($I180-1,AD$15+1,"m"),)/12,)-1,)*Index!Z$23*(AD$15&lt;=$J180)*(1-AD$12)</f>
        <v>0</v>
      </c>
      <c r="AE180" s="747">
        <f>$G180*$H180*(1+$K180)^MAX(ROUNDUP(IFERROR(DATEDIF($I180-1,AE$15+1,"m"),)/12,)-1,)*Index!AA$23*(AE$15&lt;=$J180)*(1-AE$12)</f>
        <v>0</v>
      </c>
      <c r="AF180" s="747">
        <f>$G180*$H180*(1+$K180)^MAX(ROUNDUP(IFERROR(DATEDIF($I180-1,AF$15+1,"m"),)/12,)-1,)*Index!AB$23*(AF$15&lt;=$J180)*(1-AF$12)</f>
        <v>0</v>
      </c>
      <c r="AG180" s="747">
        <f>$G180*$H180*(1+$K180)^MAX(ROUNDUP(IFERROR(DATEDIF($I180-1,AG$15+1,"m"),)/12,)-1,)*Index!AC$23*(AG$15&lt;=$J180)*(1-AG$12)</f>
        <v>0</v>
      </c>
      <c r="AH180" s="747">
        <f>$G180*$H180*(1+$K180)^MAX(ROUNDUP(IFERROR(DATEDIF($I180-1,AH$15+1,"m"),)/12,)-1,)*Index!AD$23*(AH$15&lt;=$J180)*(1-AH$12)</f>
        <v>0</v>
      </c>
      <c r="AI180" s="747">
        <f>$G180*$H180*(1+$K180)^MAX(ROUNDUP(IFERROR(DATEDIF($I180-1,AI$15+1,"m"),)/12,)-1,)*Index!AE$23*(AI$15&lt;=$J180)*(1-AI$12)</f>
        <v>0</v>
      </c>
      <c r="AJ180" s="747">
        <f>$G180*$H180*(1+$K180)^MAX(ROUNDUP(IFERROR(DATEDIF($I180-1,AJ$15+1,"m"),)/12,)-1,)*Index!AF$23*(AJ$15&lt;=$J180)*(1-AJ$12)</f>
        <v>0</v>
      </c>
      <c r="AK180" s="747">
        <f>$G180*$H180*(1+$K180)^MAX(ROUNDUP(IFERROR(DATEDIF($I180-1,AK$15+1,"m"),)/12,)-1,)*Index!AG$23*(AK$15&lt;=$J180)*(1-AK$12)</f>
        <v>0</v>
      </c>
      <c r="AL180" s="747">
        <f>$G180*$H180*(1+$K180)^MAX(ROUNDUP(IFERROR(DATEDIF($I180-1,AL$15+1,"m"),)/12,)-1,)*Index!AH$23*(AL$15&lt;=$J180)*(1-AL$12)</f>
        <v>0</v>
      </c>
      <c r="AM180" s="747">
        <f>$G180*$H180*(1+$K180)^MAX(ROUNDUP(IFERROR(DATEDIF($I180-1,AM$15+1,"m"),)/12,)-1,)*Index!AI$23*(AM$15&lt;=$J180)*(1-AM$12)</f>
        <v>0</v>
      </c>
      <c r="AN180" s="747">
        <f>$G180*$H180*(1+$K180)^MAX(ROUNDUP(IFERROR(DATEDIF($I180-1,AN$15+1,"m"),)/12,)-1,)*Index!AJ$23*(AN$15&lt;=$J180)*(1-AN$12)</f>
        <v>0</v>
      </c>
      <c r="AO180" s="747">
        <f>$G180*$H180*(1+$K180)^MAX(ROUNDUP(IFERROR(DATEDIF($I180-1,AO$15+1,"m"),)/12,)-1,)*Index!AK$23*(AO$15&lt;=$J180)*(1-AO$12)</f>
        <v>0</v>
      </c>
      <c r="AP180" s="747">
        <f>$G180*$H180*(1+$K180)^MAX(ROUNDUP(IFERROR(DATEDIF($I180-1,AP$15+1,"m"),)/12,)-1,)*Index!AL$23*(AP$15&lt;=$J180)*(1-AP$12)</f>
        <v>0</v>
      </c>
      <c r="AQ180" s="747">
        <f>$G180*$H180*(1+$K180)^MAX(ROUNDUP(IFERROR(DATEDIF($I180-1,AQ$15+1,"m"),)/12,)-1,)*Index!AM$23*(AQ$15&lt;=$J180)*(1-AQ$12)</f>
        <v>0</v>
      </c>
      <c r="AR180" s="747">
        <f>$G180*$H180*(1+$K180)^MAX(ROUNDUP(IFERROR(DATEDIF($I180-1,AR$15+1,"m"),)/12,)-1,)*Index!AN$23*(AR$15&lt;=$J180)*(1-AR$12)</f>
        <v>0</v>
      </c>
      <c r="AS180" s="747">
        <f>$G180*$H180*(1+$K180)^MAX(ROUNDUP(IFERROR(DATEDIF($I180-1,AS$15+1,"m"),)/12,)-1,)*Index!AO$23*(AS$15&lt;=$J180)*(1-AS$12)</f>
        <v>0</v>
      </c>
      <c r="AT180" s="747">
        <f>$G180*$H180*(1+$K180)^MAX(ROUNDUP(IFERROR(DATEDIF($I180-1,AT$15+1,"m"),)/12,)-1,)*Index!AP$23*(AT$15&lt;=$J180)*(1-AT$12)</f>
        <v>0</v>
      </c>
      <c r="AU180" s="747">
        <f>$G180*$H180*(1+$K180)^MAX(ROUNDUP(IFERROR(DATEDIF($I180-1,AU$15+1,"m"),)/12,)-1,)*Index!AQ$23*(AU$15&lt;=$J180)*(1-AU$12)</f>
        <v>0</v>
      </c>
      <c r="AV180" s="747">
        <f>$G180*$H180*(1+$K180)^MAX(ROUNDUP(IFERROR(DATEDIF($I180-1,AV$15+1,"m"),)/12,)-1,)*Index!AR$23*(AV$15&lt;=$J180)*(1-AV$12)</f>
        <v>0</v>
      </c>
      <c r="AW180" s="747">
        <f>$G180*$H180*(1+$K180)^MAX(ROUNDUP(IFERROR(DATEDIF($I180-1,AW$15+1,"m"),)/12,)-1,)*Index!AS$23*(AW$15&lt;=$J180)*(1-AW$12)</f>
        <v>0</v>
      </c>
      <c r="AX180" s="747">
        <f>$G180*$H180*(1+$K180)^MAX(ROUNDUP(IFERROR(DATEDIF($I180-1,AX$15+1,"m"),)/12,)-1,)*Index!AT$23*(AX$15&lt;=$J180)*(1-AX$12)</f>
        <v>0</v>
      </c>
      <c r="AY180" s="747">
        <f>$G180*$H180*(1+$K180)^MAX(ROUNDUP(IFERROR(DATEDIF($I180-1,AY$15+1,"m"),)/12,)-1,)*Index!AU$23*(AY$15&lt;=$J180)*(1-AY$12)</f>
        <v>0</v>
      </c>
      <c r="AZ180" s="747">
        <f>$G180*$H180*(1+$K180)^MAX(ROUNDUP(IFERROR(DATEDIF($I180-1,AZ$15+1,"m"),)/12,)-1,)*Index!AV$23*(AZ$15&lt;=$J180)*(1-AZ$12)</f>
        <v>0</v>
      </c>
      <c r="BA180" s="747">
        <f>$G180*$H180*(1+$K180)^MAX(ROUNDUP(IFERROR(DATEDIF($I180-1,BA$15+1,"m"),)/12,)-1,)*Index!AW$23*(BA$15&lt;=$J180)*(1-BA$12)</f>
        <v>0</v>
      </c>
      <c r="BB180" s="747">
        <f>$G180*$H180*(1+$K180)^MAX(ROUNDUP(IFERROR(DATEDIF($I180-1,BB$15+1,"m"),)/12,)-1,)*Index!AX$23*(BB$15&lt;=$J180)*(1-BB$12)</f>
        <v>0</v>
      </c>
      <c r="BC180" s="747">
        <f>$G180*$H180*(1+$K180)^MAX(ROUNDUP(IFERROR(DATEDIF($I180-1,BC$15+1,"m"),)/12,)-1,)*Index!AY$23*(BC$15&lt;=$J180)*(1-BC$12)</f>
        <v>0</v>
      </c>
      <c r="BD180" s="747">
        <f>$G180*$H180*(1+$K180)^MAX(ROUNDUP(IFERROR(DATEDIF($I180-1,BD$15+1,"m"),)/12,)-1,)*Index!AZ$23*(BD$15&lt;=$J180)*(1-BD$12)</f>
        <v>0</v>
      </c>
      <c r="BE180" s="747">
        <f>$G180*$H180*(1+$K180)^MAX(ROUNDUP(IFERROR(DATEDIF($I180-1,BE$15+1,"m"),)/12,)-1,)*Index!BA$23*(BE$15&lt;=$J180)*(1-BE$12)</f>
        <v>0</v>
      </c>
      <c r="BF180" s="747">
        <f>$G180*$H180*(1+$K180)^MAX(ROUNDUP(IFERROR(DATEDIF($I180-1,BF$15+1,"m"),)/12,)-1,)*Index!BB$23*(BF$15&lt;=$J180)*(1-BF$12)</f>
        <v>0</v>
      </c>
      <c r="BG180" s="747">
        <f>$G180*$H180*(1+$K180)^MAX(ROUNDUP(IFERROR(DATEDIF($I180-1,BG$15+1,"m"),)/12,)-1,)*Index!BC$23*(BG$15&lt;=$J180)*(1-BG$12)</f>
        <v>0</v>
      </c>
      <c r="BH180" s="747">
        <f>$G180*$H180*(1+$K180)^MAX(ROUNDUP(IFERROR(DATEDIF($I180-1,BH$15+1,"m"),)/12,)-1,)*Index!BD$23*(BH$15&lt;=$J180)*(1-BH$12)</f>
        <v>0</v>
      </c>
      <c r="BI180" s="747">
        <f>$G180*$H180*(1+$K180)^MAX(ROUNDUP(IFERROR(DATEDIF($I180-1,BI$15+1,"m"),)/12,)-1,)*Index!BE$23*(BI$15&lt;=$J180)*(1-BI$12)</f>
        <v>0</v>
      </c>
      <c r="BJ180" s="747">
        <f>$G180*$H180*(1+$K180)^MAX(ROUNDUP(IFERROR(DATEDIF($I180-1,BJ$15+1,"m"),)/12,)-1,)*Index!BF$23*(BJ$15&lt;=$J180)*(1-BJ$12)</f>
        <v>0</v>
      </c>
      <c r="BK180" s="747">
        <f>$G180*$H180*(1+$K180)^MAX(ROUNDUP(IFERROR(DATEDIF($I180-1,BK$15+1,"m"),)/12,)-1,)*Index!BG$23*(BK$15&lt;=$J180)*(1-BK$12)</f>
        <v>0</v>
      </c>
      <c r="BL180" s="747">
        <f>$G180*$H180*(1+$K180)^MAX(ROUNDUP(IFERROR(DATEDIF($I180-1,BL$15+1,"m"),)/12,)-1,)*Index!BH$23*(BL$15&lt;=$J180)*(1-BL$12)</f>
        <v>0</v>
      </c>
      <c r="BM180" s="747">
        <f>$G180*$H180*(1+$K180)^MAX(ROUNDUP(IFERROR(DATEDIF($I180-1,BM$15+1,"m"),)/12,)-1,)*Index!BI$23*(BM$15&lt;=$J180)*(1-BM$12)</f>
        <v>0</v>
      </c>
      <c r="BN180" s="747">
        <f>$G180*$H180*(1+$K180)^MAX(ROUNDUP(IFERROR(DATEDIF($I180-1,BN$15+1,"m"),)/12,)-1,)*Index!BJ$23*(BN$15&lt;=$J180)*(1-BN$12)</f>
        <v>0</v>
      </c>
      <c r="BO180" s="747">
        <f>$G180*$H180*(1+$K180)^MAX(ROUNDUP(IFERROR(DATEDIF($I180-1,BO$15+1,"m"),)/12,)-1,)*Index!BK$23*(BO$15&lt;=$J180)*(1-BO$12)</f>
        <v>0</v>
      </c>
      <c r="BP180" s="747">
        <f>$G180*$H180*(1+$K180)^MAX(ROUNDUP(IFERROR(DATEDIF($I180-1,BP$15+1,"m"),)/12,)-1,)*Index!BL$23*(BP$15&lt;=$J180)*(1-BP$12)</f>
        <v>0</v>
      </c>
      <c r="BQ180" s="747">
        <f>$G180*$H180*(1+$K180)^MAX(ROUNDUP(IFERROR(DATEDIF($I180-1,BQ$15+1,"m"),)/12,)-1,)*Index!BM$23*(BQ$15&lt;=$J180)*(1-BQ$12)</f>
        <v>0</v>
      </c>
      <c r="BR180" s="747">
        <f>$G180*$H180*(1+$K180)^MAX(ROUNDUP(IFERROR(DATEDIF($I180-1,BR$15+1,"m"),)/12,)-1,)*Index!BN$23*(BR$15&lt;=$J180)*(1-BR$12)</f>
        <v>0</v>
      </c>
      <c r="BS180" s="747">
        <f>$G180*$H180*(1+$K180)^MAX(ROUNDUP(IFERROR(DATEDIF($I180-1,BS$15+1,"m"),)/12,)-1,)*Index!BO$23*(BS$15&lt;=$J180)*(1-BS$12)</f>
        <v>0</v>
      </c>
      <c r="BT180" s="747">
        <f>$G180*$H180*(1+$K180)^MAX(ROUNDUP(IFERROR(DATEDIF($I180-1,BT$15+1,"m"),)/12,)-1,)*Index!BP$23*(BT$15&lt;=$J180)*(1-BT$12)</f>
        <v>0</v>
      </c>
      <c r="BU180" s="747">
        <f>$G180*$H180*(1+$K180)^MAX(ROUNDUP(IFERROR(DATEDIF($I180-1,BU$15+1,"m"),)/12,)-1,)*Index!BQ$23*(BU$15&lt;=$J180)*(1-BU$12)</f>
        <v>0</v>
      </c>
      <c r="BV180" s="747">
        <f>$G180*$H180*(1+$K180)^MAX(ROUNDUP(IFERROR(DATEDIF($I180-1,BV$15+1,"m"),)/12,)-1,)*Index!BR$23*(BV$15&lt;=$J180)*(1-BV$12)</f>
        <v>0</v>
      </c>
      <c r="BW180" s="747">
        <f>$G180*$H180*(1+$K180)^MAX(ROUNDUP(IFERROR(DATEDIF($I180-1,BW$15+1,"m"),)/12,)-1,)*Index!BS$23*(BW$15&lt;=$J180)*(1-BW$12)</f>
        <v>0</v>
      </c>
      <c r="BX180" s="747">
        <f>$G180*$H180*(1+$K180)^MAX(ROUNDUP(IFERROR(DATEDIF($I180-1,BX$15+1,"m"),)/12,)-1,)*Index!BT$23*(BX$15&lt;=$J180)*(1-BX$12)</f>
        <v>0</v>
      </c>
      <c r="BY180" s="747">
        <f>$G180*$H180*(1+$K180)^MAX(ROUNDUP(IFERROR(DATEDIF($I180-1,BY$15+1,"m"),)/12,)-1,)*Index!BU$23*(BY$15&lt;=$J180)*(1-BY$12)</f>
        <v>0</v>
      </c>
      <c r="BZ180" s="747">
        <f>$G180*$H180*(1+$K180)^MAX(ROUNDUP(IFERROR(DATEDIF($I180-1,BZ$15+1,"m"),)/12,)-1,)*Index!BV$23*(BZ$15&lt;=$J180)*(1-BZ$12)</f>
        <v>0</v>
      </c>
      <c r="CA180" s="747">
        <f>$G180*$H180*(1+$K180)^MAX(ROUNDUP(IFERROR(DATEDIF($I180-1,CA$15+1,"m"),)/12,)-1,)*Index!BW$23*(CA$15&lt;=$J180)*(1-CA$12)</f>
        <v>0</v>
      </c>
      <c r="CB180" s="747">
        <f>$G180*$H180*(1+$K180)^MAX(ROUNDUP(IFERROR(DATEDIF($I180-1,CB$15+1,"m"),)/12,)-1,)*Index!BX$23*(CB$15&lt;=$J180)*(1-CB$12)</f>
        <v>0</v>
      </c>
      <c r="CC180" s="747">
        <f>$G180*$H180*(1+$K180)^MAX(ROUNDUP(IFERROR(DATEDIF($I180-1,CC$15+1,"m"),)/12,)-1,)*Index!BY$23*(CC$15&lt;=$J180)*(1-CC$12)</f>
        <v>0</v>
      </c>
      <c r="CD180" s="747">
        <f>$G180*$H180*(1+$K180)^MAX(ROUNDUP(IFERROR(DATEDIF($I180-1,CD$15+1,"m"),)/12,)-1,)*Index!BZ$23*(CD$15&lt;=$J180)*(1-CD$12)</f>
        <v>0</v>
      </c>
      <c r="CE180" s="747">
        <f>$G180*$H180*(1+$K180)^MAX(ROUNDUP(IFERROR(DATEDIF($I180-1,CE$15+1,"m"),)/12,)-1,)*Index!CA$23*(CE$15&lt;=$J180)*(1-CE$12)</f>
        <v>0</v>
      </c>
      <c r="CF180" s="747">
        <f>$G180*$H180*(1+$K180)^MAX(ROUNDUP(IFERROR(DATEDIF($I180-1,CF$15+1,"m"),)/12,)-1,)*Index!CB$23*(CF$15&lt;=$J180)*(1-CF$12)</f>
        <v>0</v>
      </c>
      <c r="CG180" s="747">
        <f>$G180*$H180*(1+$K180)^MAX(ROUNDUP(IFERROR(DATEDIF($I180-1,CG$15+1,"m"),)/12,)-1,)*Index!CC$23*(CG$15&lt;=$J180)*(1-CG$12)</f>
        <v>0</v>
      </c>
      <c r="CH180" s="747">
        <f>$G180*$H180*(1+$K180)^MAX(ROUNDUP(IFERROR(DATEDIF($I180-1,CH$15+1,"m"),)/12,)-1,)*Index!CD$23*(CH$15&lt;=$J180)*(1-CH$12)</f>
        <v>0</v>
      </c>
      <c r="CI180" s="747">
        <f>$G180*$H180*(1+$K180)^MAX(ROUNDUP(IFERROR(DATEDIF($I180-1,CI$15+1,"m"),)/12,)-1,)*Index!CE$23*(CI$15&lt;=$J180)*(1-CI$12)</f>
        <v>0</v>
      </c>
      <c r="CJ180" s="747">
        <f>$G180*$H180*(1+$K180)^MAX(ROUNDUP(IFERROR(DATEDIF($I180-1,CJ$15+1,"m"),)/12,)-1,)*Index!CF$23*(CJ$15&lt;=$J180)*(1-CJ$12)</f>
        <v>0</v>
      </c>
      <c r="CK180" s="747">
        <f>$G180*$H180*(1+$K180)^MAX(ROUNDUP(IFERROR(DATEDIF($I180-1,CK$15+1,"m"),)/12,)-1,)*Index!CG$23*(CK$15&lt;=$J180)*(1-CK$12)</f>
        <v>0</v>
      </c>
      <c r="CL180" s="747">
        <f>$G180*$H180*(1+$K180)^MAX(ROUNDUP(IFERROR(DATEDIF($I180-1,CL$15+1,"m"),)/12,)-1,)*Index!CH$23*(CL$15&lt;=$J180)*(1-CL$12)</f>
        <v>0</v>
      </c>
      <c r="CM180" s="747">
        <f>$G180*$H180*(1+$K180)^MAX(ROUNDUP(IFERROR(DATEDIF($I180-1,CM$15+1,"m"),)/12,)-1,)*Index!CI$23*(CM$15&lt;=$J180)*(1-CM$12)</f>
        <v>0</v>
      </c>
      <c r="CN180" s="747">
        <f>$G180*$H180*(1+$K180)^MAX(ROUNDUP(IFERROR(DATEDIF($I180-1,CN$15+1,"m"),)/12,)-1,)*Index!CJ$23*(CN$15&lt;=$J180)*(1-CN$12)</f>
        <v>0</v>
      </c>
      <c r="CO180" s="747">
        <f>$G180*$H180*(1+$K180)^MAX(ROUNDUP(IFERROR(DATEDIF($I180-1,CO$15+1,"m"),)/12,)-1,)*Index!CK$23*(CO$15&lt;=$J180)*(1-CO$12)</f>
        <v>0</v>
      </c>
      <c r="CP180" s="747">
        <f>$G180*$H180*(1+$K180)^MAX(ROUNDUP(IFERROR(DATEDIF($I180-1,CP$15+1,"m"),)/12,)-1,)*Index!CL$23*(CP$15&lt;=$J180)*(1-CP$12)</f>
        <v>0</v>
      </c>
      <c r="CQ180" s="747">
        <f>$G180*$H180*(1+$K180)^MAX(ROUNDUP(IFERROR(DATEDIF($I180-1,CQ$15+1,"m"),)/12,)-1,)*Index!CM$23*(CQ$15&lt;=$J180)*(1-CQ$12)</f>
        <v>0</v>
      </c>
      <c r="CR180" s="747">
        <f>$G180*$H180*(1+$K180)^MAX(ROUNDUP(IFERROR(DATEDIF($I180-1,CR$15+1,"m"),)/12,)-1,)*Index!CN$23*(CR$15&lt;=$J180)*(1-CR$12)</f>
        <v>0</v>
      </c>
      <c r="CS180" s="747">
        <f>$G180*$H180*(1+$K180)^MAX(ROUNDUP(IFERROR(DATEDIF($I180-1,CS$15+1,"m"),)/12,)-1,)*Index!CO$23*(CS$15&lt;=$J180)*(1-CS$12)</f>
        <v>0</v>
      </c>
      <c r="CT180" s="747">
        <f>$G180*$H180*(1+$K180)^MAX(ROUNDUP(IFERROR(DATEDIF($I180-1,CT$15+1,"m"),)/12,)-1,)*Index!CP$23*(CT$15&lt;=$J180)*(1-CT$12)</f>
        <v>0</v>
      </c>
      <c r="CU180" s="747">
        <f>$G180*$H180*(1+$K180)^MAX(ROUNDUP(IFERROR(DATEDIF($I180-1,CU$15+1,"m"),)/12,)-1,)*Index!CQ$23*(CU$15&lt;=$J180)*(1-CU$12)</f>
        <v>0</v>
      </c>
      <c r="CV180" s="747">
        <f>$G180*$H180*(1+$K180)^MAX(ROUNDUP(IFERROR(DATEDIF($I180-1,CV$15+1,"m"),)/12,)-1,)*Index!CR$23*(CV$15&lt;=$J180)*(1-CV$12)</f>
        <v>0</v>
      </c>
      <c r="CW180" s="747">
        <f>$G180*$H180*(1+$K180)^MAX(ROUNDUP(IFERROR(DATEDIF($I180-1,CW$15+1,"m"),)/12,)-1,)*Index!CS$23*(CW$15&lt;=$J180)*(1-CW$12)</f>
        <v>0</v>
      </c>
      <c r="CX180" s="747">
        <f>$G180*$H180*(1+$K180)^MAX(ROUNDUP(IFERROR(DATEDIF($I180-1,CX$15+1,"m"),)/12,)-1,)*Index!CT$23*(CX$15&lt;=$J180)*(1-CX$12)</f>
        <v>0</v>
      </c>
      <c r="CY180" s="747">
        <f>$G180*$H180*(1+$K180)^MAX(ROUNDUP(IFERROR(DATEDIF($I180-1,CY$15+1,"m"),)/12,)-1,)*Index!CU$23*(CY$15&lt;=$J180)*(1-CY$12)</f>
        <v>0</v>
      </c>
      <c r="CZ180" s="747">
        <f>$G180*$H180*(1+$K180)^MAX(ROUNDUP(IFERROR(DATEDIF($I180-1,CZ$15+1,"m"),)/12,)-1,)*Index!CV$23*(CZ$15&lt;=$J180)*(1-CZ$12)</f>
        <v>0</v>
      </c>
      <c r="DA180" s="747">
        <f>$G180*$H180*(1+$K180)^MAX(ROUNDUP(IFERROR(DATEDIF($I180-1,DA$15+1,"m"),)/12,)-1,)*Index!CW$23*(DA$15&lt;=$J180)*(1-DA$12)</f>
        <v>0</v>
      </c>
      <c r="DB180" s="747">
        <f>$G180*$H180*(1+$K180)^MAX(ROUNDUP(IFERROR(DATEDIF($I180-1,DB$15+1,"m"),)/12,)-1,)*Index!CX$23*(DB$15&lt;=$J180)*(1-DB$12)</f>
        <v>0</v>
      </c>
      <c r="DC180" s="747">
        <f>$G180*$H180*(1+$K180)^MAX(ROUNDUP(IFERROR(DATEDIF($I180-1,DC$15+1,"m"),)/12,)-1,)*Index!CY$23*(DC$15&lt;=$J180)*(1-DC$12)</f>
        <v>0</v>
      </c>
      <c r="DD180" s="747">
        <f>$G180*$H180*(1+$K180)^MAX(ROUNDUP(IFERROR(DATEDIF($I180-1,DD$15+1,"m"),)/12,)-1,)*Index!CZ$23*(DD$15&lt;=$J180)*(1-DD$12)</f>
        <v>0</v>
      </c>
      <c r="DE180" s="747">
        <f>$G180*$H180*(1+$K180)^MAX(ROUNDUP(IFERROR(DATEDIF($I180-1,DE$15+1,"m"),)/12,)-1,)*Index!DA$23*(DE$15&lt;=$J180)*(1-DE$12)</f>
        <v>0</v>
      </c>
      <c r="DF180" s="747">
        <f>$G180*$H180*(1+$K180)^MAX(ROUNDUP(IFERROR(DATEDIF($I180-1,DF$15+1,"m"),)/12,)-1,)*Index!DB$23*(DF$15&lt;=$J180)*(1-DF$12)</f>
        <v>0</v>
      </c>
      <c r="DG180" s="747">
        <f>$G180*$H180*(1+$K180)^MAX(ROUNDUP(IFERROR(DATEDIF($I180-1,DG$15+1,"m"),)/12,)-1,)*Index!DC$23*(DG$15&lt;=$J180)*(1-DG$12)</f>
        <v>0</v>
      </c>
      <c r="DH180" s="747">
        <f>$G180*$H180*(1+$K180)^MAX(ROUNDUP(IFERROR(DATEDIF($I180-1,DH$15+1,"m"),)/12,)-1,)*Index!DD$23*(DH$15&lt;=$J180)*(1-DH$12)</f>
        <v>0</v>
      </c>
      <c r="DI180" s="747">
        <f>$G180*$H180*(1+$K180)^MAX(ROUNDUP(IFERROR(DATEDIF($I180-1,DI$15+1,"m"),)/12,)-1,)*Index!DE$23*(DI$15&lt;=$J180)*(1-DI$12)</f>
        <v>0</v>
      </c>
      <c r="DJ180" s="747">
        <f>$G180*$H180*(1+$K180)^MAX(ROUNDUP(IFERROR(DATEDIF($I180-1,DJ$15+1,"m"),)/12,)-1,)*Index!DF$23*(DJ$15&lt;=$J180)*(1-DJ$12)</f>
        <v>0</v>
      </c>
      <c r="DK180" s="747">
        <f>$G180*$H180*(1+$K180)^MAX(ROUNDUP(IFERROR(DATEDIF($I180-1,DK$15+1,"m"),)/12,)-1,)*Index!DG$23*(DK$15&lt;=$J180)*(1-DK$12)</f>
        <v>0</v>
      </c>
      <c r="DL180" s="747">
        <f>$G180*$H180*(1+$K180)^MAX(ROUNDUP(IFERROR(DATEDIF($I180-1,DL$15+1,"m"),)/12,)-1,)*Index!DH$23*(DL$15&lt;=$J180)*(1-DL$12)</f>
        <v>0</v>
      </c>
      <c r="DM180" s="747">
        <f>$G180*$H180*(1+$K180)^MAX(ROUNDUP(IFERROR(DATEDIF($I180-1,DM$15+1,"m"),)/12,)-1,)*Index!DI$23*(DM$15&lt;=$J180)*(1-DM$12)</f>
        <v>0</v>
      </c>
      <c r="DN180" s="747">
        <f>$G180*$H180*(1+$K180)^MAX(ROUNDUP(IFERROR(DATEDIF($I180-1,DN$15+1,"m"),)/12,)-1,)*Index!DJ$23*(DN$15&lt;=$J180)*(1-DN$12)</f>
        <v>0</v>
      </c>
      <c r="DO180" s="747">
        <f>$G180*$H180*(1+$K180)^MAX(ROUNDUP(IFERROR(DATEDIF($I180-1,DO$15+1,"m"),)/12,)-1,)*Index!DK$23*(DO$15&lt;=$J180)*(1-DO$12)</f>
        <v>0</v>
      </c>
      <c r="DP180" s="747">
        <f>$G180*$H180*(1+$K180)^MAX(ROUNDUP(IFERROR(DATEDIF($I180-1,DP$15+1,"m"),)/12,)-1,)*Index!DL$23*(DP$15&lt;=$J180)*(1-DP$12)</f>
        <v>0</v>
      </c>
      <c r="DQ180" s="747">
        <f>$G180*$H180*(1+$K180)^MAX(ROUNDUP(IFERROR(DATEDIF($I180-1,DQ$15+1,"m"),)/12,)-1,)*Index!DM$23*(DQ$15&lt;=$J180)*(1-DQ$12)</f>
        <v>0</v>
      </c>
      <c r="DR180" s="747">
        <f>$G180*$H180*(1+$K180)^MAX(ROUNDUP(IFERROR(DATEDIF($I180-1,DR$15+1,"m"),)/12,)-1,)*Index!DN$23*(DR$15&lt;=$J180)*(1-DR$12)</f>
        <v>0</v>
      </c>
      <c r="DS180" s="747">
        <f>$G180*$H180*(1+$K180)^MAX(ROUNDUP(IFERROR(DATEDIF($I180-1,DS$15+1,"m"),)/12,)-1,)*Index!DO$23*(DS$15&lt;=$J180)*(1-DS$12)</f>
        <v>0</v>
      </c>
      <c r="DT180" s="747">
        <f>$G180*$H180*(1+$K180)^MAX(ROUNDUP(IFERROR(DATEDIF($I180-1,DT$15+1,"m"),)/12,)-1,)*Index!DP$23*(DT$15&lt;=$J180)*(1-DT$12)</f>
        <v>0</v>
      </c>
      <c r="DU180" s="747">
        <f>$G180*$H180*(1+$K180)^MAX(ROUNDUP(IFERROR(DATEDIF($I180-1,DU$15+1,"m"),)/12,)-1,)*Index!DQ$23*(DU$15&lt;=$J180)*(1-DU$12)</f>
        <v>0</v>
      </c>
      <c r="DV180" s="747">
        <f>$G180*$H180*(1+$K180)^MAX(ROUNDUP(IFERROR(DATEDIF($I180-1,DV$15+1,"m"),)/12,)-1,)*Index!DR$23*(DV$15&lt;=$J180)*(1-DV$12)</f>
        <v>0</v>
      </c>
      <c r="DW180" s="747">
        <f>$G180*$H180*(1+$K180)^MAX(ROUNDUP(IFERROR(DATEDIF($I180-1,DW$15+1,"m"),)/12,)-1,)*Index!DS$23*(DW$15&lt;=$J180)*(1-DW$12)</f>
        <v>0</v>
      </c>
      <c r="DX180" s="747">
        <f>$G180*$H180*(1+$K180)^MAX(ROUNDUP(IFERROR(DATEDIF($I180-1,DX$15+1,"m"),)/12,)-1,)*Index!DT$23*(DX$15&lt;=$J180)*(1-DX$12)</f>
        <v>0</v>
      </c>
      <c r="DY180" s="747">
        <f>$G180*$H180*(1+$K180)^MAX(ROUNDUP(IFERROR(DATEDIF($I180-1,DY$15+1,"m"),)/12,)-1,)*Index!DU$23*(DY$15&lt;=$J180)*(1-DY$12)</f>
        <v>0</v>
      </c>
      <c r="DZ180" s="747">
        <f>$G180*$H180*(1+$K180)^MAX(ROUNDUP(IFERROR(DATEDIF($I180-1,DZ$15+1,"m"),)/12,)-1,)*Index!DV$23*(DZ$15&lt;=$J180)*(1-DZ$12)</f>
        <v>0</v>
      </c>
      <c r="EA180" s="747">
        <f>$G180*$H180*(1+$K180)^MAX(ROUNDUP(IFERROR(DATEDIF($I180-1,EA$15+1,"m"),)/12,)-1,)*Index!DW$23*(EA$15&lt;=$J180)*(1-EA$12)</f>
        <v>0</v>
      </c>
      <c r="EB180" s="747">
        <f>$G180*$H180*(1+$K180)^MAX(ROUNDUP(IFERROR(DATEDIF($I180-1,EB$15+1,"m"),)/12,)-1,)*Index!DX$23*(EB$15&lt;=$J180)*(1-EB$12)</f>
        <v>0</v>
      </c>
      <c r="EC180" s="747">
        <f>$G180*$H180*(1+$K180)^MAX(ROUNDUP(IFERROR(DATEDIF($I180-1,EC$15+1,"m"),)/12,)-1,)*Index!DY$23*(EC$15&lt;=$J180)*(1-EC$12)</f>
        <v>0</v>
      </c>
      <c r="ED180" s="747">
        <f>$G180*$H180*(1+$K180)^MAX(ROUNDUP(IFERROR(DATEDIF($I180-1,ED$15+1,"m"),)/12,)-1,)*Index!DZ$23*(ED$15&lt;=$J180)*(1-ED$12)</f>
        <v>0</v>
      </c>
      <c r="EE180" s="747">
        <f>$G180*$H180*(1+$K180)^MAX(ROUNDUP(IFERROR(DATEDIF($I180-1,EE$15+1,"m"),)/12,)-1,)*Index!EA$23*(EE$15&lt;=$J180)*(1-EE$12)</f>
        <v>0</v>
      </c>
      <c r="EF180" s="747">
        <f>$G180*$H180*(1+$K180)^MAX(ROUNDUP(IFERROR(DATEDIF($I180-1,EF$15+1,"m"),)/12,)-1,)*Index!EB$23*(EF$15&lt;=$J180)*(1-EF$12)</f>
        <v>0</v>
      </c>
      <c r="EG180" s="747">
        <f>$G180*$H180*(1+$K180)^MAX(ROUNDUP(IFERROR(DATEDIF($I180-1,EG$15+1,"m"),)/12,)-1,)*Index!EC$23*(EG$15&lt;=$J180)*(1-EG$12)</f>
        <v>0</v>
      </c>
      <c r="EH180" s="747">
        <f>$G180*$H180*(1+$K180)^MAX(ROUNDUP(IFERROR(DATEDIF($I180-1,EH$15+1,"m"),)/12,)-1,)*Index!ED$23*(EH$15&lt;=$J180)*(1-EH$12)</f>
        <v>0</v>
      </c>
      <c r="EI180" s="747">
        <f>$G180*$H180*(1+$K180)^MAX(ROUNDUP(IFERROR(DATEDIF($I180-1,EI$15+1,"m"),)/12,)-1,)*Index!EE$23*(EI$15&lt;=$J180)*(1-EI$12)</f>
        <v>0</v>
      </c>
      <c r="EJ180" s="747">
        <f>$G180*$H180*(1+$K180)^MAX(ROUNDUP(IFERROR(DATEDIF($I180-1,EJ$15+1,"m"),)/12,)-1,)*Index!EF$23*(EJ$15&lt;=$J180)*(1-EJ$12)</f>
        <v>0</v>
      </c>
      <c r="EK180" s="747">
        <f>$G180*$H180*(1+$K180)^MAX(ROUNDUP(IFERROR(DATEDIF($I180-1,EK$15+1,"m"),)/12,)-1,)*Index!EG$23*(EK$15&lt;=$J180)*(1-EK$12)</f>
        <v>0</v>
      </c>
      <c r="EL180" s="747">
        <f>$G180*$H180*(1+$K180)^MAX(ROUNDUP(IFERROR(DATEDIF($I180-1,EL$15+1,"m"),)/12,)-1,)*Index!EH$23*(EL$15&lt;=$J180)*(1-EL$12)</f>
        <v>0</v>
      </c>
      <c r="EM180" s="747">
        <f>$G180*$H180*(1+$K180)^MAX(ROUNDUP(IFERROR(DATEDIF($I180-1,EM$15+1,"m"),)/12,)-1,)*Index!EI$23*(EM$15&lt;=$J180)*(1-EM$12)</f>
        <v>0</v>
      </c>
      <c r="EN180" s="747">
        <f>$G180*$H180*(1+$K180)^MAX(ROUNDUP(IFERROR(DATEDIF($I180-1,EN$15+1,"m"),)/12,)-1,)*Index!EJ$23*(EN$15&lt;=$J180)*(1-EN$12)</f>
        <v>0</v>
      </c>
      <c r="EO180" s="747">
        <f>$G180*$H180*(1+$K180)^MAX(ROUNDUP(IFERROR(DATEDIF($I180-1,EO$15+1,"m"),)/12,)-1,)*Index!EK$23*(EO$15&lt;=$J180)*(1-EO$12)</f>
        <v>0</v>
      </c>
      <c r="EP180" s="747">
        <f>$G180*$H180*(1+$K180)^MAX(ROUNDUP(IFERROR(DATEDIF($I180-1,EP$15+1,"m"),)/12,)-1,)*Index!EL$23*(EP$15&lt;=$J180)*(1-EP$12)</f>
        <v>0</v>
      </c>
      <c r="EQ180" s="747">
        <f>$G180*$H180*(1+$K180)^MAX(ROUNDUP(IFERROR(DATEDIF($I180-1,EQ$15+1,"m"),)/12,)-1,)*Index!EM$23*(EQ$15&lt;=$J180)*(1-EQ$12)</f>
        <v>0</v>
      </c>
      <c r="ER180" s="747">
        <f>$G180*$H180*(1+$K180)^MAX(ROUNDUP(IFERROR(DATEDIF($I180-1,ER$15+1,"m"),)/12,)-1,)*Index!EN$23*(ER$15&lt;=$J180)*(1-ER$12)</f>
        <v>0</v>
      </c>
      <c r="ES180" s="747">
        <f>$G180*$H180*(1+$K180)^MAX(ROUNDUP(IFERROR(DATEDIF($I180-1,ES$15+1,"m"),)/12,)-1,)*Index!EO$23*(ES$15&lt;=$J180)*(1-ES$12)</f>
        <v>0</v>
      </c>
      <c r="ET180" s="747">
        <f>$G180*$H180*(1+$K180)^MAX(ROUNDUP(IFERROR(DATEDIF($I180-1,ET$15+1,"m"),)/12,)-1,)*Index!EP$23*(ET$15&lt;=$J180)*(1-ET$12)</f>
        <v>0</v>
      </c>
      <c r="EU180" s="747">
        <f>$G180*$H180*(1+$K180)^MAX(ROUNDUP(IFERROR(DATEDIF($I180-1,EU$15+1,"m"),)/12,)-1,)*Index!EQ$23*(EU$15&lt;=$J180)*(1-EU$12)</f>
        <v>0</v>
      </c>
    </row>
    <row r="181" spans="3:151" ht="11.25" customHeight="1">
      <c r="C181" s="828"/>
      <c r="D181" s="743">
        <f t="shared" ref="D181:K181" si="253">D145</f>
        <v>8</v>
      </c>
      <c r="E181" s="704" t="str">
        <f t="shared" si="253"/>
        <v>쿠팡</v>
      </c>
      <c r="F181" s="704" t="str">
        <f t="shared" si="253"/>
        <v>상온창고</v>
      </c>
      <c r="G181" s="781">
        <f t="shared" si="253"/>
        <v>2.6</v>
      </c>
      <c r="H181" s="744">
        <f t="shared" si="253"/>
        <v>63.86</v>
      </c>
      <c r="I181" s="745">
        <f t="shared" si="253"/>
        <v>46326</v>
      </c>
      <c r="J181" s="745">
        <f t="shared" si="253"/>
        <v>49064</v>
      </c>
      <c r="K181" s="754">
        <f t="shared" si="253"/>
        <v>2.5000000000000001E-2</v>
      </c>
      <c r="L181" s="746"/>
      <c r="M181" s="722"/>
      <c r="N181" s="747">
        <f t="shared" si="252"/>
        <v>0</v>
      </c>
      <c r="O181" s="733"/>
      <c r="P181" s="747">
        <f>$G181*$H181*(1+$K181)^MAX(ROUNDUP(IFERROR(DATEDIF($I181-1,P$15+1,"m"),)/12,)-1,)*Index!L$23*(P$15&lt;=$J181)*(1-P$12)</f>
        <v>0</v>
      </c>
      <c r="Q181" s="747">
        <f>$G181*$H181*(1+$K181)^MAX(ROUNDUP(IFERROR(DATEDIF($I181-1,Q$15+1,"m"),)/12,)-1,)*Index!M$23*(Q$15&lt;=$J181)*(1-Q$12)</f>
        <v>0</v>
      </c>
      <c r="R181" s="747">
        <f>$G181*$H181*(1+$K181)^MAX(ROUNDUP(IFERROR(DATEDIF($I181-1,R$15+1,"m"),)/12,)-1,)*Index!N$23*(R$15&lt;=$J181)*(1-R$12)</f>
        <v>0</v>
      </c>
      <c r="S181" s="747">
        <f>$G181*$H181*(1+$K181)^MAX(ROUNDUP(IFERROR(DATEDIF($I181-1,S$15+1,"m"),)/12,)-1,)*Index!O$23*(S$15&lt;=$J181)*(1-S$12)</f>
        <v>0</v>
      </c>
      <c r="T181" s="747">
        <f>$G181*$H181*(1+$K181)^MAX(ROUNDUP(IFERROR(DATEDIF($I181-1,T$15+1,"m"),)/12,)-1,)*Index!P$23*(T$15&lt;=$J181)*(1-T$12)</f>
        <v>0</v>
      </c>
      <c r="U181" s="747">
        <f>$G181*$H181*(1+$K181)^MAX(ROUNDUP(IFERROR(DATEDIF($I181-1,U$15+1,"m"),)/12,)-1,)*Index!Q$23*(U$15&lt;=$J181)*(1-U$12)</f>
        <v>0</v>
      </c>
      <c r="V181" s="747">
        <f>$G181*$H181*(1+$K181)^MAX(ROUNDUP(IFERROR(DATEDIF($I181-1,V$15+1,"m"),)/12,)-1,)*Index!R$23*(V$15&lt;=$J181)*(1-V$12)</f>
        <v>0</v>
      </c>
      <c r="W181" s="747">
        <f>$G181*$H181*(1+$K181)^MAX(ROUNDUP(IFERROR(DATEDIF($I181-1,W$15+1,"m"),)/12,)-1,)*Index!S$23*(W$15&lt;=$J181)*(1-W$12)</f>
        <v>0</v>
      </c>
      <c r="X181" s="747">
        <f>$G181*$H181*(1+$K181)^MAX(ROUNDUP(IFERROR(DATEDIF($I181-1,X$15+1,"m"),)/12,)-1,)*Index!T$23*(X$15&lt;=$J181)*(1-X$12)</f>
        <v>0</v>
      </c>
      <c r="Y181" s="747">
        <f>$G181*$H181*(1+$K181)^MAX(ROUNDUP(IFERROR(DATEDIF($I181-1,Y$15+1,"m"),)/12,)-1,)*Index!U$23*(Y$15&lt;=$J181)*(1-Y$12)</f>
        <v>0</v>
      </c>
      <c r="Z181" s="747">
        <f>$G181*$H181*(1+$K181)^MAX(ROUNDUP(IFERROR(DATEDIF($I181-1,Z$15+1,"m"),)/12,)-1,)*Index!V$23*(Z$15&lt;=$J181)*(1-Z$12)</f>
        <v>0</v>
      </c>
      <c r="AA181" s="747">
        <f>$G181*$H181*(1+$K181)^MAX(ROUNDUP(IFERROR(DATEDIF($I181-1,AA$15+1,"m"),)/12,)-1,)*Index!W$23*(AA$15&lt;=$J181)*(1-AA$12)</f>
        <v>0</v>
      </c>
      <c r="AB181" s="747">
        <f>$G181*$H181*(1+$K181)^MAX(ROUNDUP(IFERROR(DATEDIF($I181-1,AB$15+1,"m"),)/12,)-1,)*Index!X$23*(AB$15&lt;=$J181)*(1-AB$12)</f>
        <v>0</v>
      </c>
      <c r="AC181" s="747">
        <f>$G181*$H181*(1+$K181)^MAX(ROUNDUP(IFERROR(DATEDIF($I181-1,AC$15+1,"m"),)/12,)-1,)*Index!Y$23*(AC$15&lt;=$J181)*(1-AC$12)</f>
        <v>0</v>
      </c>
      <c r="AD181" s="747">
        <f>$G181*$H181*(1+$K181)^MAX(ROUNDUP(IFERROR(DATEDIF($I181-1,AD$15+1,"m"),)/12,)-1,)*Index!Z$23*(AD$15&lt;=$J181)*(1-AD$12)</f>
        <v>0</v>
      </c>
      <c r="AE181" s="747">
        <f>$G181*$H181*(1+$K181)^MAX(ROUNDUP(IFERROR(DATEDIF($I181-1,AE$15+1,"m"),)/12,)-1,)*Index!AA$23*(AE$15&lt;=$J181)*(1-AE$12)</f>
        <v>0</v>
      </c>
      <c r="AF181" s="747">
        <f>$G181*$H181*(1+$K181)^MAX(ROUNDUP(IFERROR(DATEDIF($I181-1,AF$15+1,"m"),)/12,)-1,)*Index!AB$23*(AF$15&lt;=$J181)*(1-AF$12)</f>
        <v>0</v>
      </c>
      <c r="AG181" s="747">
        <f>$G181*$H181*(1+$K181)^MAX(ROUNDUP(IFERROR(DATEDIF($I181-1,AG$15+1,"m"),)/12,)-1,)*Index!AC$23*(AG$15&lt;=$J181)*(1-AG$12)</f>
        <v>0</v>
      </c>
      <c r="AH181" s="747">
        <f>$G181*$H181*(1+$K181)^MAX(ROUNDUP(IFERROR(DATEDIF($I181-1,AH$15+1,"m"),)/12,)-1,)*Index!AD$23*(AH$15&lt;=$J181)*(1-AH$12)</f>
        <v>0</v>
      </c>
      <c r="AI181" s="747">
        <f>$G181*$H181*(1+$K181)^MAX(ROUNDUP(IFERROR(DATEDIF($I181-1,AI$15+1,"m"),)/12,)-1,)*Index!AE$23*(AI$15&lt;=$J181)*(1-AI$12)</f>
        <v>0</v>
      </c>
      <c r="AJ181" s="747">
        <f>$G181*$H181*(1+$K181)^MAX(ROUNDUP(IFERROR(DATEDIF($I181-1,AJ$15+1,"m"),)/12,)-1,)*Index!AF$23*(AJ$15&lt;=$J181)*(1-AJ$12)</f>
        <v>0</v>
      </c>
      <c r="AK181" s="747">
        <f>$G181*$H181*(1+$K181)^MAX(ROUNDUP(IFERROR(DATEDIF($I181-1,AK$15+1,"m"),)/12,)-1,)*Index!AG$23*(AK$15&lt;=$J181)*(1-AK$12)</f>
        <v>0</v>
      </c>
      <c r="AL181" s="747">
        <f>$G181*$H181*(1+$K181)^MAX(ROUNDUP(IFERROR(DATEDIF($I181-1,AL$15+1,"m"),)/12,)-1,)*Index!AH$23*(AL$15&lt;=$J181)*(1-AL$12)</f>
        <v>0</v>
      </c>
      <c r="AM181" s="747">
        <f>$G181*$H181*(1+$K181)^MAX(ROUNDUP(IFERROR(DATEDIF($I181-1,AM$15+1,"m"),)/12,)-1,)*Index!AI$23*(AM$15&lt;=$J181)*(1-AM$12)</f>
        <v>0</v>
      </c>
      <c r="AN181" s="747">
        <f>$G181*$H181*(1+$K181)^MAX(ROUNDUP(IFERROR(DATEDIF($I181-1,AN$15+1,"m"),)/12,)-1,)*Index!AJ$23*(AN$15&lt;=$J181)*(1-AN$12)</f>
        <v>0</v>
      </c>
      <c r="AO181" s="747">
        <f>$G181*$H181*(1+$K181)^MAX(ROUNDUP(IFERROR(DATEDIF($I181-1,AO$15+1,"m"),)/12,)-1,)*Index!AK$23*(AO$15&lt;=$J181)*(1-AO$12)</f>
        <v>0</v>
      </c>
      <c r="AP181" s="747">
        <f>$G181*$H181*(1+$K181)^MAX(ROUNDUP(IFERROR(DATEDIF($I181-1,AP$15+1,"m"),)/12,)-1,)*Index!AL$23*(AP$15&lt;=$J181)*(1-AP$12)</f>
        <v>0</v>
      </c>
      <c r="AQ181" s="747">
        <f>$G181*$H181*(1+$K181)^MAX(ROUNDUP(IFERROR(DATEDIF($I181-1,AQ$15+1,"m"),)/12,)-1,)*Index!AM$23*(AQ$15&lt;=$J181)*(1-AQ$12)</f>
        <v>0</v>
      </c>
      <c r="AR181" s="747">
        <f>$G181*$H181*(1+$K181)^MAX(ROUNDUP(IFERROR(DATEDIF($I181-1,AR$15+1,"m"),)/12,)-1,)*Index!AN$23*(AR$15&lt;=$J181)*(1-AR$12)</f>
        <v>0</v>
      </c>
      <c r="AS181" s="747">
        <f>$G181*$H181*(1+$K181)^MAX(ROUNDUP(IFERROR(DATEDIF($I181-1,AS$15+1,"m"),)/12,)-1,)*Index!AO$23*(AS$15&lt;=$J181)*(1-AS$12)</f>
        <v>0</v>
      </c>
      <c r="AT181" s="747">
        <f>$G181*$H181*(1+$K181)^MAX(ROUNDUP(IFERROR(DATEDIF($I181-1,AT$15+1,"m"),)/12,)-1,)*Index!AP$23*(AT$15&lt;=$J181)*(1-AT$12)</f>
        <v>0</v>
      </c>
      <c r="AU181" s="747">
        <f>$G181*$H181*(1+$K181)^MAX(ROUNDUP(IFERROR(DATEDIF($I181-1,AU$15+1,"m"),)/12,)-1,)*Index!AQ$23*(AU$15&lt;=$J181)*(1-AU$12)</f>
        <v>0</v>
      </c>
      <c r="AV181" s="747">
        <f>$G181*$H181*(1+$K181)^MAX(ROUNDUP(IFERROR(DATEDIF($I181-1,AV$15+1,"m"),)/12,)-1,)*Index!AR$23*(AV$15&lt;=$J181)*(1-AV$12)</f>
        <v>0</v>
      </c>
      <c r="AW181" s="747">
        <f>$G181*$H181*(1+$K181)^MAX(ROUNDUP(IFERROR(DATEDIF($I181-1,AW$15+1,"m"),)/12,)-1,)*Index!AS$23*(AW$15&lt;=$J181)*(1-AW$12)</f>
        <v>0</v>
      </c>
      <c r="AX181" s="747">
        <f>$G181*$H181*(1+$K181)^MAX(ROUNDUP(IFERROR(DATEDIF($I181-1,AX$15+1,"m"),)/12,)-1,)*Index!AT$23*(AX$15&lt;=$J181)*(1-AX$12)</f>
        <v>0</v>
      </c>
      <c r="AY181" s="747">
        <f>$G181*$H181*(1+$K181)^MAX(ROUNDUP(IFERROR(DATEDIF($I181-1,AY$15+1,"m"),)/12,)-1,)*Index!AU$23*(AY$15&lt;=$J181)*(1-AY$12)</f>
        <v>0</v>
      </c>
      <c r="AZ181" s="747">
        <f>$G181*$H181*(1+$K181)^MAX(ROUNDUP(IFERROR(DATEDIF($I181-1,AZ$15+1,"m"),)/12,)-1,)*Index!AV$23*(AZ$15&lt;=$J181)*(1-AZ$12)</f>
        <v>0</v>
      </c>
      <c r="BA181" s="747">
        <f>$G181*$H181*(1+$K181)^MAX(ROUNDUP(IFERROR(DATEDIF($I181-1,BA$15+1,"m"),)/12,)-1,)*Index!AW$23*(BA$15&lt;=$J181)*(1-BA$12)</f>
        <v>0</v>
      </c>
      <c r="BB181" s="747">
        <f>$G181*$H181*(1+$K181)^MAX(ROUNDUP(IFERROR(DATEDIF($I181-1,BB$15+1,"m"),)/12,)-1,)*Index!AX$23*(BB$15&lt;=$J181)*(1-BB$12)</f>
        <v>0</v>
      </c>
      <c r="BC181" s="747">
        <f>$G181*$H181*(1+$K181)^MAX(ROUNDUP(IFERROR(DATEDIF($I181-1,BC$15+1,"m"),)/12,)-1,)*Index!AY$23*(BC$15&lt;=$J181)*(1-BC$12)</f>
        <v>0</v>
      </c>
      <c r="BD181" s="747">
        <f>$G181*$H181*(1+$K181)^MAX(ROUNDUP(IFERROR(DATEDIF($I181-1,BD$15+1,"m"),)/12,)-1,)*Index!AZ$23*(BD$15&lt;=$J181)*(1-BD$12)</f>
        <v>0</v>
      </c>
      <c r="BE181" s="747">
        <f>$G181*$H181*(1+$K181)^MAX(ROUNDUP(IFERROR(DATEDIF($I181-1,BE$15+1,"m"),)/12,)-1,)*Index!BA$23*(BE$15&lt;=$J181)*(1-BE$12)</f>
        <v>0</v>
      </c>
      <c r="BF181" s="747">
        <f>$G181*$H181*(1+$K181)^MAX(ROUNDUP(IFERROR(DATEDIF($I181-1,BF$15+1,"m"),)/12,)-1,)*Index!BB$23*(BF$15&lt;=$J181)*(1-BF$12)</f>
        <v>0</v>
      </c>
      <c r="BG181" s="747">
        <f>$G181*$H181*(1+$K181)^MAX(ROUNDUP(IFERROR(DATEDIF($I181-1,BG$15+1,"m"),)/12,)-1,)*Index!BC$23*(BG$15&lt;=$J181)*(1-BG$12)</f>
        <v>0</v>
      </c>
      <c r="BH181" s="747">
        <f>$G181*$H181*(1+$K181)^MAX(ROUNDUP(IFERROR(DATEDIF($I181-1,BH$15+1,"m"),)/12,)-1,)*Index!BD$23*(BH$15&lt;=$J181)*(1-BH$12)</f>
        <v>0</v>
      </c>
      <c r="BI181" s="747">
        <f>$G181*$H181*(1+$K181)^MAX(ROUNDUP(IFERROR(DATEDIF($I181-1,BI$15+1,"m"),)/12,)-1,)*Index!BE$23*(BI$15&lt;=$J181)*(1-BI$12)</f>
        <v>0</v>
      </c>
      <c r="BJ181" s="747">
        <f>$G181*$H181*(1+$K181)^MAX(ROUNDUP(IFERROR(DATEDIF($I181-1,BJ$15+1,"m"),)/12,)-1,)*Index!BF$23*(BJ$15&lt;=$J181)*(1-BJ$12)</f>
        <v>0</v>
      </c>
      <c r="BK181" s="747">
        <f>$G181*$H181*(1+$K181)^MAX(ROUNDUP(IFERROR(DATEDIF($I181-1,BK$15+1,"m"),)/12,)-1,)*Index!BG$23*(BK$15&lt;=$J181)*(1-BK$12)</f>
        <v>0</v>
      </c>
      <c r="BL181" s="747">
        <f>$G181*$H181*(1+$K181)^MAX(ROUNDUP(IFERROR(DATEDIF($I181-1,BL$15+1,"m"),)/12,)-1,)*Index!BH$23*(BL$15&lt;=$J181)*(1-BL$12)</f>
        <v>0</v>
      </c>
      <c r="BM181" s="747">
        <f>$G181*$H181*(1+$K181)^MAX(ROUNDUP(IFERROR(DATEDIF($I181-1,BM$15+1,"m"),)/12,)-1,)*Index!BI$23*(BM$15&lt;=$J181)*(1-BM$12)</f>
        <v>0</v>
      </c>
      <c r="BN181" s="747">
        <f>$G181*$H181*(1+$K181)^MAX(ROUNDUP(IFERROR(DATEDIF($I181-1,BN$15+1,"m"),)/12,)-1,)*Index!BJ$23*(BN$15&lt;=$J181)*(1-BN$12)</f>
        <v>0</v>
      </c>
      <c r="BO181" s="747">
        <f>$G181*$H181*(1+$K181)^MAX(ROUNDUP(IFERROR(DATEDIF($I181-1,BO$15+1,"m"),)/12,)-1,)*Index!BK$23*(BO$15&lt;=$J181)*(1-BO$12)</f>
        <v>0</v>
      </c>
      <c r="BP181" s="747">
        <f>$G181*$H181*(1+$K181)^MAX(ROUNDUP(IFERROR(DATEDIF($I181-1,BP$15+1,"m"),)/12,)-1,)*Index!BL$23*(BP$15&lt;=$J181)*(1-BP$12)</f>
        <v>0</v>
      </c>
      <c r="BQ181" s="747">
        <f>$G181*$H181*(1+$K181)^MAX(ROUNDUP(IFERROR(DATEDIF($I181-1,BQ$15+1,"m"),)/12,)-1,)*Index!BM$23*(BQ$15&lt;=$J181)*(1-BQ$12)</f>
        <v>0</v>
      </c>
      <c r="BR181" s="747">
        <f>$G181*$H181*(1+$K181)^MAX(ROUNDUP(IFERROR(DATEDIF($I181-1,BR$15+1,"m"),)/12,)-1,)*Index!BN$23*(BR$15&lt;=$J181)*(1-BR$12)</f>
        <v>0</v>
      </c>
      <c r="BS181" s="747">
        <f>$G181*$H181*(1+$K181)^MAX(ROUNDUP(IFERROR(DATEDIF($I181-1,BS$15+1,"m"),)/12,)-1,)*Index!BO$23*(BS$15&lt;=$J181)*(1-BS$12)</f>
        <v>0</v>
      </c>
      <c r="BT181" s="747">
        <f>$G181*$H181*(1+$K181)^MAX(ROUNDUP(IFERROR(DATEDIF($I181-1,BT$15+1,"m"),)/12,)-1,)*Index!BP$23*(BT$15&lt;=$J181)*(1-BT$12)</f>
        <v>0</v>
      </c>
      <c r="BU181" s="747">
        <f>$G181*$H181*(1+$K181)^MAX(ROUNDUP(IFERROR(DATEDIF($I181-1,BU$15+1,"m"),)/12,)-1,)*Index!BQ$23*(BU$15&lt;=$J181)*(1-BU$12)</f>
        <v>0</v>
      </c>
      <c r="BV181" s="747">
        <f>$G181*$H181*(1+$K181)^MAX(ROUNDUP(IFERROR(DATEDIF($I181-1,BV$15+1,"m"),)/12,)-1,)*Index!BR$23*(BV$15&lt;=$J181)*(1-BV$12)</f>
        <v>0</v>
      </c>
      <c r="BW181" s="747">
        <f>$G181*$H181*(1+$K181)^MAX(ROUNDUP(IFERROR(DATEDIF($I181-1,BW$15+1,"m"),)/12,)-1,)*Index!BS$23*(BW$15&lt;=$J181)*(1-BW$12)</f>
        <v>0</v>
      </c>
      <c r="BX181" s="747">
        <f>$G181*$H181*(1+$K181)^MAX(ROUNDUP(IFERROR(DATEDIF($I181-1,BX$15+1,"m"),)/12,)-1,)*Index!BT$23*(BX$15&lt;=$J181)*(1-BX$12)</f>
        <v>0</v>
      </c>
      <c r="BY181" s="747">
        <f>$G181*$H181*(1+$K181)^MAX(ROUNDUP(IFERROR(DATEDIF($I181-1,BY$15+1,"m"),)/12,)-1,)*Index!BU$23*(BY$15&lt;=$J181)*(1-BY$12)</f>
        <v>0</v>
      </c>
      <c r="BZ181" s="747">
        <f>$G181*$H181*(1+$K181)^MAX(ROUNDUP(IFERROR(DATEDIF($I181-1,BZ$15+1,"m"),)/12,)-1,)*Index!BV$23*(BZ$15&lt;=$J181)*(1-BZ$12)</f>
        <v>0</v>
      </c>
      <c r="CA181" s="747">
        <f>$G181*$H181*(1+$K181)^MAX(ROUNDUP(IFERROR(DATEDIF($I181-1,CA$15+1,"m"),)/12,)-1,)*Index!BW$23*(CA$15&lt;=$J181)*(1-CA$12)</f>
        <v>0</v>
      </c>
      <c r="CB181" s="747">
        <f>$G181*$H181*(1+$K181)^MAX(ROUNDUP(IFERROR(DATEDIF($I181-1,CB$15+1,"m"),)/12,)-1,)*Index!BX$23*(CB$15&lt;=$J181)*(1-CB$12)</f>
        <v>0</v>
      </c>
      <c r="CC181" s="747">
        <f>$G181*$H181*(1+$K181)^MAX(ROUNDUP(IFERROR(DATEDIF($I181-1,CC$15+1,"m"),)/12,)-1,)*Index!BY$23*(CC$15&lt;=$J181)*(1-CC$12)</f>
        <v>0</v>
      </c>
      <c r="CD181" s="747">
        <f>$G181*$H181*(1+$K181)^MAX(ROUNDUP(IFERROR(DATEDIF($I181-1,CD$15+1,"m"),)/12,)-1,)*Index!BZ$23*(CD$15&lt;=$J181)*(1-CD$12)</f>
        <v>0</v>
      </c>
      <c r="CE181" s="747">
        <f>$G181*$H181*(1+$K181)^MAX(ROUNDUP(IFERROR(DATEDIF($I181-1,CE$15+1,"m"),)/12,)-1,)*Index!CA$23*(CE$15&lt;=$J181)*(1-CE$12)</f>
        <v>0</v>
      </c>
      <c r="CF181" s="747">
        <f>$G181*$H181*(1+$K181)^MAX(ROUNDUP(IFERROR(DATEDIF($I181-1,CF$15+1,"m"),)/12,)-1,)*Index!CB$23*(CF$15&lt;=$J181)*(1-CF$12)</f>
        <v>0</v>
      </c>
      <c r="CG181" s="747">
        <f>$G181*$H181*(1+$K181)^MAX(ROUNDUP(IFERROR(DATEDIF($I181-1,CG$15+1,"m"),)/12,)-1,)*Index!CC$23*(CG$15&lt;=$J181)*(1-CG$12)</f>
        <v>0</v>
      </c>
      <c r="CH181" s="747">
        <f>$G181*$H181*(1+$K181)^MAX(ROUNDUP(IFERROR(DATEDIF($I181-1,CH$15+1,"m"),)/12,)-1,)*Index!CD$23*(CH$15&lt;=$J181)*(1-CH$12)</f>
        <v>0</v>
      </c>
      <c r="CI181" s="747">
        <f>$G181*$H181*(1+$K181)^MAX(ROUNDUP(IFERROR(DATEDIF($I181-1,CI$15+1,"m"),)/12,)-1,)*Index!CE$23*(CI$15&lt;=$J181)*(1-CI$12)</f>
        <v>0</v>
      </c>
      <c r="CJ181" s="747">
        <f>$G181*$H181*(1+$K181)^MAX(ROUNDUP(IFERROR(DATEDIF($I181-1,CJ$15+1,"m"),)/12,)-1,)*Index!CF$23*(CJ$15&lt;=$J181)*(1-CJ$12)</f>
        <v>0</v>
      </c>
      <c r="CK181" s="747">
        <f>$G181*$H181*(1+$K181)^MAX(ROUNDUP(IFERROR(DATEDIF($I181-1,CK$15+1,"m"),)/12,)-1,)*Index!CG$23*(CK$15&lt;=$J181)*(1-CK$12)</f>
        <v>0</v>
      </c>
      <c r="CL181" s="747">
        <f>$G181*$H181*(1+$K181)^MAX(ROUNDUP(IFERROR(DATEDIF($I181-1,CL$15+1,"m"),)/12,)-1,)*Index!CH$23*(CL$15&lt;=$J181)*(1-CL$12)</f>
        <v>0</v>
      </c>
      <c r="CM181" s="747">
        <f>$G181*$H181*(1+$K181)^MAX(ROUNDUP(IFERROR(DATEDIF($I181-1,CM$15+1,"m"),)/12,)-1,)*Index!CI$23*(CM$15&lt;=$J181)*(1-CM$12)</f>
        <v>0</v>
      </c>
      <c r="CN181" s="747">
        <f>$G181*$H181*(1+$K181)^MAX(ROUNDUP(IFERROR(DATEDIF($I181-1,CN$15+1,"m"),)/12,)-1,)*Index!CJ$23*(CN$15&lt;=$J181)*(1-CN$12)</f>
        <v>0</v>
      </c>
      <c r="CO181" s="747">
        <f>$G181*$H181*(1+$K181)^MAX(ROUNDUP(IFERROR(DATEDIF($I181-1,CO$15+1,"m"),)/12,)-1,)*Index!CK$23*(CO$15&lt;=$J181)*(1-CO$12)</f>
        <v>0</v>
      </c>
      <c r="CP181" s="747">
        <f>$G181*$H181*(1+$K181)^MAX(ROUNDUP(IFERROR(DATEDIF($I181-1,CP$15+1,"m"),)/12,)-1,)*Index!CL$23*(CP$15&lt;=$J181)*(1-CP$12)</f>
        <v>0</v>
      </c>
      <c r="CQ181" s="747">
        <f>$G181*$H181*(1+$K181)^MAX(ROUNDUP(IFERROR(DATEDIF($I181-1,CQ$15+1,"m"),)/12,)-1,)*Index!CM$23*(CQ$15&lt;=$J181)*(1-CQ$12)</f>
        <v>0</v>
      </c>
      <c r="CR181" s="747">
        <f>$G181*$H181*(1+$K181)^MAX(ROUNDUP(IFERROR(DATEDIF($I181-1,CR$15+1,"m"),)/12,)-1,)*Index!CN$23*(CR$15&lt;=$J181)*(1-CR$12)</f>
        <v>0</v>
      </c>
      <c r="CS181" s="747">
        <f>$G181*$H181*(1+$K181)^MAX(ROUNDUP(IFERROR(DATEDIF($I181-1,CS$15+1,"m"),)/12,)-1,)*Index!CO$23*(CS$15&lt;=$J181)*(1-CS$12)</f>
        <v>0</v>
      </c>
      <c r="CT181" s="747">
        <f>$G181*$H181*(1+$K181)^MAX(ROUNDUP(IFERROR(DATEDIF($I181-1,CT$15+1,"m"),)/12,)-1,)*Index!CP$23*(CT$15&lt;=$J181)*(1-CT$12)</f>
        <v>0</v>
      </c>
      <c r="CU181" s="747">
        <f>$G181*$H181*(1+$K181)^MAX(ROUNDUP(IFERROR(DATEDIF($I181-1,CU$15+1,"m"),)/12,)-1,)*Index!CQ$23*(CU$15&lt;=$J181)*(1-CU$12)</f>
        <v>0</v>
      </c>
      <c r="CV181" s="747">
        <f>$G181*$H181*(1+$K181)^MAX(ROUNDUP(IFERROR(DATEDIF($I181-1,CV$15+1,"m"),)/12,)-1,)*Index!CR$23*(CV$15&lt;=$J181)*(1-CV$12)</f>
        <v>0</v>
      </c>
      <c r="CW181" s="747">
        <f>$G181*$H181*(1+$K181)^MAX(ROUNDUP(IFERROR(DATEDIF($I181-1,CW$15+1,"m"),)/12,)-1,)*Index!CS$23*(CW$15&lt;=$J181)*(1-CW$12)</f>
        <v>0</v>
      </c>
      <c r="CX181" s="747">
        <f>$G181*$H181*(1+$K181)^MAX(ROUNDUP(IFERROR(DATEDIF($I181-1,CX$15+1,"m"),)/12,)-1,)*Index!CT$23*(CX$15&lt;=$J181)*(1-CX$12)</f>
        <v>0</v>
      </c>
      <c r="CY181" s="747">
        <f>$G181*$H181*(1+$K181)^MAX(ROUNDUP(IFERROR(DATEDIF($I181-1,CY$15+1,"m"),)/12,)-1,)*Index!CU$23*(CY$15&lt;=$J181)*(1-CY$12)</f>
        <v>0</v>
      </c>
      <c r="CZ181" s="747">
        <f>$G181*$H181*(1+$K181)^MAX(ROUNDUP(IFERROR(DATEDIF($I181-1,CZ$15+1,"m"),)/12,)-1,)*Index!CV$23*(CZ$15&lt;=$J181)*(1-CZ$12)</f>
        <v>0</v>
      </c>
      <c r="DA181" s="747">
        <f>$G181*$H181*(1+$K181)^MAX(ROUNDUP(IFERROR(DATEDIF($I181-1,DA$15+1,"m"),)/12,)-1,)*Index!CW$23*(DA$15&lt;=$J181)*(1-DA$12)</f>
        <v>0</v>
      </c>
      <c r="DB181" s="747">
        <f>$G181*$H181*(1+$K181)^MAX(ROUNDUP(IFERROR(DATEDIF($I181-1,DB$15+1,"m"),)/12,)-1,)*Index!CX$23*(DB$15&lt;=$J181)*(1-DB$12)</f>
        <v>0</v>
      </c>
      <c r="DC181" s="747">
        <f>$G181*$H181*(1+$K181)^MAX(ROUNDUP(IFERROR(DATEDIF($I181-1,DC$15+1,"m"),)/12,)-1,)*Index!CY$23*(DC$15&lt;=$J181)*(1-DC$12)</f>
        <v>0</v>
      </c>
      <c r="DD181" s="747">
        <f>$G181*$H181*(1+$K181)^MAX(ROUNDUP(IFERROR(DATEDIF($I181-1,DD$15+1,"m"),)/12,)-1,)*Index!CZ$23*(DD$15&lt;=$J181)*(1-DD$12)</f>
        <v>0</v>
      </c>
      <c r="DE181" s="747">
        <f>$G181*$H181*(1+$K181)^MAX(ROUNDUP(IFERROR(DATEDIF($I181-1,DE$15+1,"m"),)/12,)-1,)*Index!DA$23*(DE$15&lt;=$J181)*(1-DE$12)</f>
        <v>0</v>
      </c>
      <c r="DF181" s="747">
        <f>$G181*$H181*(1+$K181)^MAX(ROUNDUP(IFERROR(DATEDIF($I181-1,DF$15+1,"m"),)/12,)-1,)*Index!DB$23*(DF$15&lt;=$J181)*(1-DF$12)</f>
        <v>0</v>
      </c>
      <c r="DG181" s="747">
        <f>$G181*$H181*(1+$K181)^MAX(ROUNDUP(IFERROR(DATEDIF($I181-1,DG$15+1,"m"),)/12,)-1,)*Index!DC$23*(DG$15&lt;=$J181)*(1-DG$12)</f>
        <v>0</v>
      </c>
      <c r="DH181" s="747">
        <f>$G181*$H181*(1+$K181)^MAX(ROUNDUP(IFERROR(DATEDIF($I181-1,DH$15+1,"m"),)/12,)-1,)*Index!DD$23*(DH$15&lt;=$J181)*(1-DH$12)</f>
        <v>0</v>
      </c>
      <c r="DI181" s="747">
        <f>$G181*$H181*(1+$K181)^MAX(ROUNDUP(IFERROR(DATEDIF($I181-1,DI$15+1,"m"),)/12,)-1,)*Index!DE$23*(DI$15&lt;=$J181)*(1-DI$12)</f>
        <v>0</v>
      </c>
      <c r="DJ181" s="747">
        <f>$G181*$H181*(1+$K181)^MAX(ROUNDUP(IFERROR(DATEDIF($I181-1,DJ$15+1,"m"),)/12,)-1,)*Index!DF$23*(DJ$15&lt;=$J181)*(1-DJ$12)</f>
        <v>0</v>
      </c>
      <c r="DK181" s="747">
        <f>$G181*$H181*(1+$K181)^MAX(ROUNDUP(IFERROR(DATEDIF($I181-1,DK$15+1,"m"),)/12,)-1,)*Index!DG$23*(DK$15&lt;=$J181)*(1-DK$12)</f>
        <v>0</v>
      </c>
      <c r="DL181" s="747">
        <f>$G181*$H181*(1+$K181)^MAX(ROUNDUP(IFERROR(DATEDIF($I181-1,DL$15+1,"m"),)/12,)-1,)*Index!DH$23*(DL$15&lt;=$J181)*(1-DL$12)</f>
        <v>0</v>
      </c>
      <c r="DM181" s="747">
        <f>$G181*$H181*(1+$K181)^MAX(ROUNDUP(IFERROR(DATEDIF($I181-1,DM$15+1,"m"),)/12,)-1,)*Index!DI$23*(DM$15&lt;=$J181)*(1-DM$12)</f>
        <v>0</v>
      </c>
      <c r="DN181" s="747">
        <f>$G181*$H181*(1+$K181)^MAX(ROUNDUP(IFERROR(DATEDIF($I181-1,DN$15+1,"m"),)/12,)-1,)*Index!DJ$23*(DN$15&lt;=$J181)*(1-DN$12)</f>
        <v>0</v>
      </c>
      <c r="DO181" s="747">
        <f>$G181*$H181*(1+$K181)^MAX(ROUNDUP(IFERROR(DATEDIF($I181-1,DO$15+1,"m"),)/12,)-1,)*Index!DK$23*(DO$15&lt;=$J181)*(1-DO$12)</f>
        <v>0</v>
      </c>
      <c r="DP181" s="747">
        <f>$G181*$H181*(1+$K181)^MAX(ROUNDUP(IFERROR(DATEDIF($I181-1,DP$15+1,"m"),)/12,)-1,)*Index!DL$23*(DP$15&lt;=$J181)*(1-DP$12)</f>
        <v>0</v>
      </c>
      <c r="DQ181" s="747">
        <f>$G181*$H181*(1+$K181)^MAX(ROUNDUP(IFERROR(DATEDIF($I181-1,DQ$15+1,"m"),)/12,)-1,)*Index!DM$23*(DQ$15&lt;=$J181)*(1-DQ$12)</f>
        <v>0</v>
      </c>
      <c r="DR181" s="747">
        <f>$G181*$H181*(1+$K181)^MAX(ROUNDUP(IFERROR(DATEDIF($I181-1,DR$15+1,"m"),)/12,)-1,)*Index!DN$23*(DR$15&lt;=$J181)*(1-DR$12)</f>
        <v>0</v>
      </c>
      <c r="DS181" s="747">
        <f>$G181*$H181*(1+$K181)^MAX(ROUNDUP(IFERROR(DATEDIF($I181-1,DS$15+1,"m"),)/12,)-1,)*Index!DO$23*(DS$15&lt;=$J181)*(1-DS$12)</f>
        <v>0</v>
      </c>
      <c r="DT181" s="747">
        <f>$G181*$H181*(1+$K181)^MAX(ROUNDUP(IFERROR(DATEDIF($I181-1,DT$15+1,"m"),)/12,)-1,)*Index!DP$23*(DT$15&lt;=$J181)*(1-DT$12)</f>
        <v>0</v>
      </c>
      <c r="DU181" s="747">
        <f>$G181*$H181*(1+$K181)^MAX(ROUNDUP(IFERROR(DATEDIF($I181-1,DU$15+1,"m"),)/12,)-1,)*Index!DQ$23*(DU$15&lt;=$J181)*(1-DU$12)</f>
        <v>0</v>
      </c>
      <c r="DV181" s="747">
        <f>$G181*$H181*(1+$K181)^MAX(ROUNDUP(IFERROR(DATEDIF($I181-1,DV$15+1,"m"),)/12,)-1,)*Index!DR$23*(DV$15&lt;=$J181)*(1-DV$12)</f>
        <v>0</v>
      </c>
      <c r="DW181" s="747">
        <f>$G181*$H181*(1+$K181)^MAX(ROUNDUP(IFERROR(DATEDIF($I181-1,DW$15+1,"m"),)/12,)-1,)*Index!DS$23*(DW$15&lt;=$J181)*(1-DW$12)</f>
        <v>0</v>
      </c>
      <c r="DX181" s="747">
        <f>$G181*$H181*(1+$K181)^MAX(ROUNDUP(IFERROR(DATEDIF($I181-1,DX$15+1,"m"),)/12,)-1,)*Index!DT$23*(DX$15&lt;=$J181)*(1-DX$12)</f>
        <v>0</v>
      </c>
      <c r="DY181" s="747">
        <f>$G181*$H181*(1+$K181)^MAX(ROUNDUP(IFERROR(DATEDIF($I181-1,DY$15+1,"m"),)/12,)-1,)*Index!DU$23*(DY$15&lt;=$J181)*(1-DY$12)</f>
        <v>0</v>
      </c>
      <c r="DZ181" s="747">
        <f>$G181*$H181*(1+$K181)^MAX(ROUNDUP(IFERROR(DATEDIF($I181-1,DZ$15+1,"m"),)/12,)-1,)*Index!DV$23*(DZ$15&lt;=$J181)*(1-DZ$12)</f>
        <v>0</v>
      </c>
      <c r="EA181" s="747">
        <f>$G181*$H181*(1+$K181)^MAX(ROUNDUP(IFERROR(DATEDIF($I181-1,EA$15+1,"m"),)/12,)-1,)*Index!DW$23*(EA$15&lt;=$J181)*(1-EA$12)</f>
        <v>0</v>
      </c>
      <c r="EB181" s="747">
        <f>$G181*$H181*(1+$K181)^MAX(ROUNDUP(IFERROR(DATEDIF($I181-1,EB$15+1,"m"),)/12,)-1,)*Index!DX$23*(EB$15&lt;=$J181)*(1-EB$12)</f>
        <v>0</v>
      </c>
      <c r="EC181" s="747">
        <f>$G181*$H181*(1+$K181)^MAX(ROUNDUP(IFERROR(DATEDIF($I181-1,EC$15+1,"m"),)/12,)-1,)*Index!DY$23*(EC$15&lt;=$J181)*(1-EC$12)</f>
        <v>0</v>
      </c>
      <c r="ED181" s="747">
        <f>$G181*$H181*(1+$K181)^MAX(ROUNDUP(IFERROR(DATEDIF($I181-1,ED$15+1,"m"),)/12,)-1,)*Index!DZ$23*(ED$15&lt;=$J181)*(1-ED$12)</f>
        <v>0</v>
      </c>
      <c r="EE181" s="747">
        <f>$G181*$H181*(1+$K181)^MAX(ROUNDUP(IFERROR(DATEDIF($I181-1,EE$15+1,"m"),)/12,)-1,)*Index!EA$23*(EE$15&lt;=$J181)*(1-EE$12)</f>
        <v>0</v>
      </c>
      <c r="EF181" s="747">
        <f>$G181*$H181*(1+$K181)^MAX(ROUNDUP(IFERROR(DATEDIF($I181-1,EF$15+1,"m"),)/12,)-1,)*Index!EB$23*(EF$15&lt;=$J181)*(1-EF$12)</f>
        <v>0</v>
      </c>
      <c r="EG181" s="747">
        <f>$G181*$H181*(1+$K181)^MAX(ROUNDUP(IFERROR(DATEDIF($I181-1,EG$15+1,"m"),)/12,)-1,)*Index!EC$23*(EG$15&lt;=$J181)*(1-EG$12)</f>
        <v>0</v>
      </c>
      <c r="EH181" s="747">
        <f>$G181*$H181*(1+$K181)^MAX(ROUNDUP(IFERROR(DATEDIF($I181-1,EH$15+1,"m"),)/12,)-1,)*Index!ED$23*(EH$15&lt;=$J181)*(1-EH$12)</f>
        <v>0</v>
      </c>
      <c r="EI181" s="747">
        <f>$G181*$H181*(1+$K181)^MAX(ROUNDUP(IFERROR(DATEDIF($I181-1,EI$15+1,"m"),)/12,)-1,)*Index!EE$23*(EI$15&lt;=$J181)*(1-EI$12)</f>
        <v>0</v>
      </c>
      <c r="EJ181" s="747">
        <f>$G181*$H181*(1+$K181)^MAX(ROUNDUP(IFERROR(DATEDIF($I181-1,EJ$15+1,"m"),)/12,)-1,)*Index!EF$23*(EJ$15&lt;=$J181)*(1-EJ$12)</f>
        <v>0</v>
      </c>
      <c r="EK181" s="747">
        <f>$G181*$H181*(1+$K181)^MAX(ROUNDUP(IFERROR(DATEDIF($I181-1,EK$15+1,"m"),)/12,)-1,)*Index!EG$23*(EK$15&lt;=$J181)*(1-EK$12)</f>
        <v>0</v>
      </c>
      <c r="EL181" s="747">
        <f>$G181*$H181*(1+$K181)^MAX(ROUNDUP(IFERROR(DATEDIF($I181-1,EL$15+1,"m"),)/12,)-1,)*Index!EH$23*(EL$15&lt;=$J181)*(1-EL$12)</f>
        <v>0</v>
      </c>
      <c r="EM181" s="747">
        <f>$G181*$H181*(1+$K181)^MAX(ROUNDUP(IFERROR(DATEDIF($I181-1,EM$15+1,"m"),)/12,)-1,)*Index!EI$23*(EM$15&lt;=$J181)*(1-EM$12)</f>
        <v>0</v>
      </c>
      <c r="EN181" s="747">
        <f>$G181*$H181*(1+$K181)^MAX(ROUNDUP(IFERROR(DATEDIF($I181-1,EN$15+1,"m"),)/12,)-1,)*Index!EJ$23*(EN$15&lt;=$J181)*(1-EN$12)</f>
        <v>0</v>
      </c>
      <c r="EO181" s="747">
        <f>$G181*$H181*(1+$K181)^MAX(ROUNDUP(IFERROR(DATEDIF($I181-1,EO$15+1,"m"),)/12,)-1,)*Index!EK$23*(EO$15&lt;=$J181)*(1-EO$12)</f>
        <v>0</v>
      </c>
      <c r="EP181" s="747">
        <f>$G181*$H181*(1+$K181)^MAX(ROUNDUP(IFERROR(DATEDIF($I181-1,EP$15+1,"m"),)/12,)-1,)*Index!EL$23*(EP$15&lt;=$J181)*(1-EP$12)</f>
        <v>0</v>
      </c>
      <c r="EQ181" s="747">
        <f>$G181*$H181*(1+$K181)^MAX(ROUNDUP(IFERROR(DATEDIF($I181-1,EQ$15+1,"m"),)/12,)-1,)*Index!EM$23*(EQ$15&lt;=$J181)*(1-EQ$12)</f>
        <v>0</v>
      </c>
      <c r="ER181" s="747">
        <f>$G181*$H181*(1+$K181)^MAX(ROUNDUP(IFERROR(DATEDIF($I181-1,ER$15+1,"m"),)/12,)-1,)*Index!EN$23*(ER$15&lt;=$J181)*(1-ER$12)</f>
        <v>0</v>
      </c>
      <c r="ES181" s="747">
        <f>$G181*$H181*(1+$K181)^MAX(ROUNDUP(IFERROR(DATEDIF($I181-1,ES$15+1,"m"),)/12,)-1,)*Index!EO$23*(ES$15&lt;=$J181)*(1-ES$12)</f>
        <v>0</v>
      </c>
      <c r="ET181" s="747">
        <f>$G181*$H181*(1+$K181)^MAX(ROUNDUP(IFERROR(DATEDIF($I181-1,ET$15+1,"m"),)/12,)-1,)*Index!EP$23*(ET$15&lt;=$J181)*(1-ET$12)</f>
        <v>0</v>
      </c>
      <c r="EU181" s="747">
        <f>$G181*$H181*(1+$K181)^MAX(ROUNDUP(IFERROR(DATEDIF($I181-1,EU$15+1,"m"),)/12,)-1,)*Index!EQ$23*(EU$15&lt;=$J181)*(1-EU$12)</f>
        <v>0</v>
      </c>
    </row>
    <row r="182" spans="3:151" ht="11.25" customHeight="1">
      <c r="C182" s="828"/>
      <c r="D182" s="743">
        <f t="shared" ref="D182:K182" si="254">D146</f>
        <v>8</v>
      </c>
      <c r="E182" s="704" t="str">
        <f t="shared" si="254"/>
        <v>키즈밀</v>
      </c>
      <c r="F182" s="704" t="str">
        <f t="shared" si="254"/>
        <v>근린생활시설</v>
      </c>
      <c r="G182" s="781">
        <f t="shared" si="254"/>
        <v>3</v>
      </c>
      <c r="H182" s="744">
        <f t="shared" si="254"/>
        <v>479.38</v>
      </c>
      <c r="I182" s="745">
        <f t="shared" si="254"/>
        <v>45658</v>
      </c>
      <c r="J182" s="745">
        <f t="shared" si="254"/>
        <v>47483</v>
      </c>
      <c r="K182" s="754">
        <f t="shared" si="254"/>
        <v>2.5000000000000001E-2</v>
      </c>
      <c r="L182" s="746"/>
      <c r="M182" s="722"/>
      <c r="N182" s="747">
        <f t="shared" si="252"/>
        <v>0</v>
      </c>
      <c r="O182" s="733"/>
      <c r="P182" s="747">
        <f>$G182*$H182*(1+$K182)^MAX(ROUNDUP(IFERROR(DATEDIF($I182-1,P$15+1,"m"),)/12,)-1,)*Index!L$23*(P$15&lt;=$J182)*(1-P$12)</f>
        <v>0</v>
      </c>
      <c r="Q182" s="747">
        <f>$G182*$H182*(1+$K182)^MAX(ROUNDUP(IFERROR(DATEDIF($I182-1,Q$15+1,"m"),)/12,)-1,)*Index!M$23*(Q$15&lt;=$J182)*(1-Q$12)</f>
        <v>0</v>
      </c>
      <c r="R182" s="747">
        <f>$G182*$H182*(1+$K182)^MAX(ROUNDUP(IFERROR(DATEDIF($I182-1,R$15+1,"m"),)/12,)-1,)*Index!N$23*(R$15&lt;=$J182)*(1-R$12)</f>
        <v>0</v>
      </c>
      <c r="S182" s="747">
        <f>$G182*$H182*(1+$K182)^MAX(ROUNDUP(IFERROR(DATEDIF($I182-1,S$15+1,"m"),)/12,)-1,)*Index!O$23*(S$15&lt;=$J182)*(1-S$12)</f>
        <v>0</v>
      </c>
      <c r="T182" s="747">
        <f>$G182*$H182*(1+$K182)^MAX(ROUNDUP(IFERROR(DATEDIF($I182-1,T$15+1,"m"),)/12,)-1,)*Index!P$23*(T$15&lt;=$J182)*(1-T$12)</f>
        <v>0</v>
      </c>
      <c r="U182" s="747">
        <f>$G182*$H182*(1+$K182)^MAX(ROUNDUP(IFERROR(DATEDIF($I182-1,U$15+1,"m"),)/12,)-1,)*Index!Q$23*(U$15&lt;=$J182)*(1-U$12)</f>
        <v>0</v>
      </c>
      <c r="V182" s="747">
        <f>$G182*$H182*(1+$K182)^MAX(ROUNDUP(IFERROR(DATEDIF($I182-1,V$15+1,"m"),)/12,)-1,)*Index!R$23*(V$15&lt;=$J182)*(1-V$12)</f>
        <v>0</v>
      </c>
      <c r="W182" s="747">
        <f>$G182*$H182*(1+$K182)^MAX(ROUNDUP(IFERROR(DATEDIF($I182-1,W$15+1,"m"),)/12,)-1,)*Index!S$23*(W$15&lt;=$J182)*(1-W$12)</f>
        <v>0</v>
      </c>
      <c r="X182" s="747">
        <f>$G182*$H182*(1+$K182)^MAX(ROUNDUP(IFERROR(DATEDIF($I182-1,X$15+1,"m"),)/12,)-1,)*Index!T$23*(X$15&lt;=$J182)*(1-X$12)</f>
        <v>0</v>
      </c>
      <c r="Y182" s="747">
        <f>$G182*$H182*(1+$K182)^MAX(ROUNDUP(IFERROR(DATEDIF($I182-1,Y$15+1,"m"),)/12,)-1,)*Index!U$23*(Y$15&lt;=$J182)*(1-Y$12)</f>
        <v>0</v>
      </c>
      <c r="Z182" s="747">
        <f>$G182*$H182*(1+$K182)^MAX(ROUNDUP(IFERROR(DATEDIF($I182-1,Z$15+1,"m"),)/12,)-1,)*Index!V$23*(Z$15&lt;=$J182)*(1-Z$12)</f>
        <v>0</v>
      </c>
      <c r="AA182" s="747">
        <f>$G182*$H182*(1+$K182)^MAX(ROUNDUP(IFERROR(DATEDIF($I182-1,AA$15+1,"m"),)/12,)-1,)*Index!W$23*(AA$15&lt;=$J182)*(1-AA$12)</f>
        <v>0</v>
      </c>
      <c r="AB182" s="747">
        <f>$G182*$H182*(1+$K182)^MAX(ROUNDUP(IFERROR(DATEDIF($I182-1,AB$15+1,"m"),)/12,)-1,)*Index!X$23*(AB$15&lt;=$J182)*(1-AB$12)</f>
        <v>0</v>
      </c>
      <c r="AC182" s="747">
        <f>$G182*$H182*(1+$K182)^MAX(ROUNDUP(IFERROR(DATEDIF($I182-1,AC$15+1,"m"),)/12,)-1,)*Index!Y$23*(AC$15&lt;=$J182)*(1-AC$12)</f>
        <v>0</v>
      </c>
      <c r="AD182" s="747">
        <f>$G182*$H182*(1+$K182)^MAX(ROUNDUP(IFERROR(DATEDIF($I182-1,AD$15+1,"m"),)/12,)-1,)*Index!Z$23*(AD$15&lt;=$J182)*(1-AD$12)</f>
        <v>0</v>
      </c>
      <c r="AE182" s="747">
        <f>$G182*$H182*(1+$K182)^MAX(ROUNDUP(IFERROR(DATEDIF($I182-1,AE$15+1,"m"),)/12,)-1,)*Index!AA$23*(AE$15&lt;=$J182)*(1-AE$12)</f>
        <v>0</v>
      </c>
      <c r="AF182" s="747">
        <f>$G182*$H182*(1+$K182)^MAX(ROUNDUP(IFERROR(DATEDIF($I182-1,AF$15+1,"m"),)/12,)-1,)*Index!AB$23*(AF$15&lt;=$J182)*(1-AF$12)</f>
        <v>0</v>
      </c>
      <c r="AG182" s="747">
        <f>$G182*$H182*(1+$K182)^MAX(ROUNDUP(IFERROR(DATEDIF($I182-1,AG$15+1,"m"),)/12,)-1,)*Index!AC$23*(AG$15&lt;=$J182)*(1-AG$12)</f>
        <v>0</v>
      </c>
      <c r="AH182" s="747">
        <f>$G182*$H182*(1+$K182)^MAX(ROUNDUP(IFERROR(DATEDIF($I182-1,AH$15+1,"m"),)/12,)-1,)*Index!AD$23*(AH$15&lt;=$J182)*(1-AH$12)</f>
        <v>0</v>
      </c>
      <c r="AI182" s="747">
        <f>$G182*$H182*(1+$K182)^MAX(ROUNDUP(IFERROR(DATEDIF($I182-1,AI$15+1,"m"),)/12,)-1,)*Index!AE$23*(AI$15&lt;=$J182)*(1-AI$12)</f>
        <v>0</v>
      </c>
      <c r="AJ182" s="747">
        <f>$G182*$H182*(1+$K182)^MAX(ROUNDUP(IFERROR(DATEDIF($I182-1,AJ$15+1,"m"),)/12,)-1,)*Index!AF$23*(AJ$15&lt;=$J182)*(1-AJ$12)</f>
        <v>0</v>
      </c>
      <c r="AK182" s="747">
        <f>$G182*$H182*(1+$K182)^MAX(ROUNDUP(IFERROR(DATEDIF($I182-1,AK$15+1,"m"),)/12,)-1,)*Index!AG$23*(AK$15&lt;=$J182)*(1-AK$12)</f>
        <v>0</v>
      </c>
      <c r="AL182" s="747">
        <f>$G182*$H182*(1+$K182)^MAX(ROUNDUP(IFERROR(DATEDIF($I182-1,AL$15+1,"m"),)/12,)-1,)*Index!AH$23*(AL$15&lt;=$J182)*(1-AL$12)</f>
        <v>0</v>
      </c>
      <c r="AM182" s="747">
        <f>$G182*$H182*(1+$K182)^MAX(ROUNDUP(IFERROR(DATEDIF($I182-1,AM$15+1,"m"),)/12,)-1,)*Index!AI$23*(AM$15&lt;=$J182)*(1-AM$12)</f>
        <v>0</v>
      </c>
      <c r="AN182" s="747">
        <f>$G182*$H182*(1+$K182)^MAX(ROUNDUP(IFERROR(DATEDIF($I182-1,AN$15+1,"m"),)/12,)-1,)*Index!AJ$23*(AN$15&lt;=$J182)*(1-AN$12)</f>
        <v>0</v>
      </c>
      <c r="AO182" s="747">
        <f>$G182*$H182*(1+$K182)^MAX(ROUNDUP(IFERROR(DATEDIF($I182-1,AO$15+1,"m"),)/12,)-1,)*Index!AK$23*(AO$15&lt;=$J182)*(1-AO$12)</f>
        <v>0</v>
      </c>
      <c r="AP182" s="747">
        <f>$G182*$H182*(1+$K182)^MAX(ROUNDUP(IFERROR(DATEDIF($I182-1,AP$15+1,"m"),)/12,)-1,)*Index!AL$23*(AP$15&lt;=$J182)*(1-AP$12)</f>
        <v>0</v>
      </c>
      <c r="AQ182" s="747">
        <f>$G182*$H182*(1+$K182)^MAX(ROUNDUP(IFERROR(DATEDIF($I182-1,AQ$15+1,"m"),)/12,)-1,)*Index!AM$23*(AQ$15&lt;=$J182)*(1-AQ$12)</f>
        <v>0</v>
      </c>
      <c r="AR182" s="747">
        <f>$G182*$H182*(1+$K182)^MAX(ROUNDUP(IFERROR(DATEDIF($I182-1,AR$15+1,"m"),)/12,)-1,)*Index!AN$23*(AR$15&lt;=$J182)*(1-AR$12)</f>
        <v>0</v>
      </c>
      <c r="AS182" s="747">
        <f>$G182*$H182*(1+$K182)^MAX(ROUNDUP(IFERROR(DATEDIF($I182-1,AS$15+1,"m"),)/12,)-1,)*Index!AO$23*(AS$15&lt;=$J182)*(1-AS$12)</f>
        <v>0</v>
      </c>
      <c r="AT182" s="747">
        <f>$G182*$H182*(1+$K182)^MAX(ROUNDUP(IFERROR(DATEDIF($I182-1,AT$15+1,"m"),)/12,)-1,)*Index!AP$23*(AT$15&lt;=$J182)*(1-AT$12)</f>
        <v>0</v>
      </c>
      <c r="AU182" s="747">
        <f>$G182*$H182*(1+$K182)^MAX(ROUNDUP(IFERROR(DATEDIF($I182-1,AU$15+1,"m"),)/12,)-1,)*Index!AQ$23*(AU$15&lt;=$J182)*(1-AU$12)</f>
        <v>0</v>
      </c>
      <c r="AV182" s="747">
        <f>$G182*$H182*(1+$K182)^MAX(ROUNDUP(IFERROR(DATEDIF($I182-1,AV$15+1,"m"),)/12,)-1,)*Index!AR$23*(AV$15&lt;=$J182)*(1-AV$12)</f>
        <v>0</v>
      </c>
      <c r="AW182" s="747">
        <f>$G182*$H182*(1+$K182)^MAX(ROUNDUP(IFERROR(DATEDIF($I182-1,AW$15+1,"m"),)/12,)-1,)*Index!AS$23*(AW$15&lt;=$J182)*(1-AW$12)</f>
        <v>0</v>
      </c>
      <c r="AX182" s="747">
        <f>$G182*$H182*(1+$K182)^MAX(ROUNDUP(IFERROR(DATEDIF($I182-1,AX$15+1,"m"),)/12,)-1,)*Index!AT$23*(AX$15&lt;=$J182)*(1-AX$12)</f>
        <v>0</v>
      </c>
      <c r="AY182" s="747">
        <f>$G182*$H182*(1+$K182)^MAX(ROUNDUP(IFERROR(DATEDIF($I182-1,AY$15+1,"m"),)/12,)-1,)*Index!AU$23*(AY$15&lt;=$J182)*(1-AY$12)</f>
        <v>0</v>
      </c>
      <c r="AZ182" s="747">
        <f>$G182*$H182*(1+$K182)^MAX(ROUNDUP(IFERROR(DATEDIF($I182-1,AZ$15+1,"m"),)/12,)-1,)*Index!AV$23*(AZ$15&lt;=$J182)*(1-AZ$12)</f>
        <v>0</v>
      </c>
      <c r="BA182" s="747">
        <f>$G182*$H182*(1+$K182)^MAX(ROUNDUP(IFERROR(DATEDIF($I182-1,BA$15+1,"m"),)/12,)-1,)*Index!AW$23*(BA$15&lt;=$J182)*(1-BA$12)</f>
        <v>0</v>
      </c>
      <c r="BB182" s="747">
        <f>$G182*$H182*(1+$K182)^MAX(ROUNDUP(IFERROR(DATEDIF($I182-1,BB$15+1,"m"),)/12,)-1,)*Index!AX$23*(BB$15&lt;=$J182)*(1-BB$12)</f>
        <v>0</v>
      </c>
      <c r="BC182" s="747">
        <f>$G182*$H182*(1+$K182)^MAX(ROUNDUP(IFERROR(DATEDIF($I182-1,BC$15+1,"m"),)/12,)-1,)*Index!AY$23*(BC$15&lt;=$J182)*(1-BC$12)</f>
        <v>0</v>
      </c>
      <c r="BD182" s="747">
        <f>$G182*$H182*(1+$K182)^MAX(ROUNDUP(IFERROR(DATEDIF($I182-1,BD$15+1,"m"),)/12,)-1,)*Index!AZ$23*(BD$15&lt;=$J182)*(1-BD$12)</f>
        <v>0</v>
      </c>
      <c r="BE182" s="747">
        <f>$G182*$H182*(1+$K182)^MAX(ROUNDUP(IFERROR(DATEDIF($I182-1,BE$15+1,"m"),)/12,)-1,)*Index!BA$23*(BE$15&lt;=$J182)*(1-BE$12)</f>
        <v>0</v>
      </c>
      <c r="BF182" s="747">
        <f>$G182*$H182*(1+$K182)^MAX(ROUNDUP(IFERROR(DATEDIF($I182-1,BF$15+1,"m"),)/12,)-1,)*Index!BB$23*(BF$15&lt;=$J182)*(1-BF$12)</f>
        <v>0</v>
      </c>
      <c r="BG182" s="747">
        <f>$G182*$H182*(1+$K182)^MAX(ROUNDUP(IFERROR(DATEDIF($I182-1,BG$15+1,"m"),)/12,)-1,)*Index!BC$23*(BG$15&lt;=$J182)*(1-BG$12)</f>
        <v>0</v>
      </c>
      <c r="BH182" s="747">
        <f>$G182*$H182*(1+$K182)^MAX(ROUNDUP(IFERROR(DATEDIF($I182-1,BH$15+1,"m"),)/12,)-1,)*Index!BD$23*(BH$15&lt;=$J182)*(1-BH$12)</f>
        <v>0</v>
      </c>
      <c r="BI182" s="747">
        <f>$G182*$H182*(1+$K182)^MAX(ROUNDUP(IFERROR(DATEDIF($I182-1,BI$15+1,"m"),)/12,)-1,)*Index!BE$23*(BI$15&lt;=$J182)*(1-BI$12)</f>
        <v>0</v>
      </c>
      <c r="BJ182" s="747">
        <f>$G182*$H182*(1+$K182)^MAX(ROUNDUP(IFERROR(DATEDIF($I182-1,BJ$15+1,"m"),)/12,)-1,)*Index!BF$23*(BJ$15&lt;=$J182)*(1-BJ$12)</f>
        <v>0</v>
      </c>
      <c r="BK182" s="747">
        <f>$G182*$H182*(1+$K182)^MAX(ROUNDUP(IFERROR(DATEDIF($I182-1,BK$15+1,"m"),)/12,)-1,)*Index!BG$23*(BK$15&lt;=$J182)*(1-BK$12)</f>
        <v>0</v>
      </c>
      <c r="BL182" s="747">
        <f>$G182*$H182*(1+$K182)^MAX(ROUNDUP(IFERROR(DATEDIF($I182-1,BL$15+1,"m"),)/12,)-1,)*Index!BH$23*(BL$15&lt;=$J182)*(1-BL$12)</f>
        <v>0</v>
      </c>
      <c r="BM182" s="747">
        <f>$G182*$H182*(1+$K182)^MAX(ROUNDUP(IFERROR(DATEDIF($I182-1,BM$15+1,"m"),)/12,)-1,)*Index!BI$23*(BM$15&lt;=$J182)*(1-BM$12)</f>
        <v>0</v>
      </c>
      <c r="BN182" s="747">
        <f>$G182*$H182*(1+$K182)^MAX(ROUNDUP(IFERROR(DATEDIF($I182-1,BN$15+1,"m"),)/12,)-1,)*Index!BJ$23*(BN$15&lt;=$J182)*(1-BN$12)</f>
        <v>0</v>
      </c>
      <c r="BO182" s="747">
        <f>$G182*$H182*(1+$K182)^MAX(ROUNDUP(IFERROR(DATEDIF($I182-1,BO$15+1,"m"),)/12,)-1,)*Index!BK$23*(BO$15&lt;=$J182)*(1-BO$12)</f>
        <v>0</v>
      </c>
      <c r="BP182" s="747">
        <f>$G182*$H182*(1+$K182)^MAX(ROUNDUP(IFERROR(DATEDIF($I182-1,BP$15+1,"m"),)/12,)-1,)*Index!BL$23*(BP$15&lt;=$J182)*(1-BP$12)</f>
        <v>0</v>
      </c>
      <c r="BQ182" s="747">
        <f>$G182*$H182*(1+$K182)^MAX(ROUNDUP(IFERROR(DATEDIF($I182-1,BQ$15+1,"m"),)/12,)-1,)*Index!BM$23*(BQ$15&lt;=$J182)*(1-BQ$12)</f>
        <v>0</v>
      </c>
      <c r="BR182" s="747">
        <f>$G182*$H182*(1+$K182)^MAX(ROUNDUP(IFERROR(DATEDIF($I182-1,BR$15+1,"m"),)/12,)-1,)*Index!BN$23*(BR$15&lt;=$J182)*(1-BR$12)</f>
        <v>0</v>
      </c>
      <c r="BS182" s="747">
        <f>$G182*$H182*(1+$K182)^MAX(ROUNDUP(IFERROR(DATEDIF($I182-1,BS$15+1,"m"),)/12,)-1,)*Index!BO$23*(BS$15&lt;=$J182)*(1-BS$12)</f>
        <v>0</v>
      </c>
      <c r="BT182" s="747">
        <f>$G182*$H182*(1+$K182)^MAX(ROUNDUP(IFERROR(DATEDIF($I182-1,BT$15+1,"m"),)/12,)-1,)*Index!BP$23*(BT$15&lt;=$J182)*(1-BT$12)</f>
        <v>0</v>
      </c>
      <c r="BU182" s="747">
        <f>$G182*$H182*(1+$K182)^MAX(ROUNDUP(IFERROR(DATEDIF($I182-1,BU$15+1,"m"),)/12,)-1,)*Index!BQ$23*(BU$15&lt;=$J182)*(1-BU$12)</f>
        <v>0</v>
      </c>
      <c r="BV182" s="747">
        <f>$G182*$H182*(1+$K182)^MAX(ROUNDUP(IFERROR(DATEDIF($I182-1,BV$15+1,"m"),)/12,)-1,)*Index!BR$23*(BV$15&lt;=$J182)*(1-BV$12)</f>
        <v>0</v>
      </c>
      <c r="BW182" s="747">
        <f>$G182*$H182*(1+$K182)^MAX(ROUNDUP(IFERROR(DATEDIF($I182-1,BW$15+1,"m"),)/12,)-1,)*Index!BS$23*(BW$15&lt;=$J182)*(1-BW$12)</f>
        <v>0</v>
      </c>
      <c r="BX182" s="747">
        <f>$G182*$H182*(1+$K182)^MAX(ROUNDUP(IFERROR(DATEDIF($I182-1,BX$15+1,"m"),)/12,)-1,)*Index!BT$23*(BX$15&lt;=$J182)*(1-BX$12)</f>
        <v>0</v>
      </c>
      <c r="BY182" s="747">
        <f>$G182*$H182*(1+$K182)^MAX(ROUNDUP(IFERROR(DATEDIF($I182-1,BY$15+1,"m"),)/12,)-1,)*Index!BU$23*(BY$15&lt;=$J182)*(1-BY$12)</f>
        <v>0</v>
      </c>
      <c r="BZ182" s="747">
        <f>$G182*$H182*(1+$K182)^MAX(ROUNDUP(IFERROR(DATEDIF($I182-1,BZ$15+1,"m"),)/12,)-1,)*Index!BV$23*(BZ$15&lt;=$J182)*(1-BZ$12)</f>
        <v>0</v>
      </c>
      <c r="CA182" s="747">
        <f>$G182*$H182*(1+$K182)^MAX(ROUNDUP(IFERROR(DATEDIF($I182-1,CA$15+1,"m"),)/12,)-1,)*Index!BW$23*(CA$15&lt;=$J182)*(1-CA$12)</f>
        <v>0</v>
      </c>
      <c r="CB182" s="747">
        <f>$G182*$H182*(1+$K182)^MAX(ROUNDUP(IFERROR(DATEDIF($I182-1,CB$15+1,"m"),)/12,)-1,)*Index!BX$23*(CB$15&lt;=$J182)*(1-CB$12)</f>
        <v>0</v>
      </c>
      <c r="CC182" s="747">
        <f>$G182*$H182*(1+$K182)^MAX(ROUNDUP(IFERROR(DATEDIF($I182-1,CC$15+1,"m"),)/12,)-1,)*Index!BY$23*(CC$15&lt;=$J182)*(1-CC$12)</f>
        <v>0</v>
      </c>
      <c r="CD182" s="747">
        <f>$G182*$H182*(1+$K182)^MAX(ROUNDUP(IFERROR(DATEDIF($I182-1,CD$15+1,"m"),)/12,)-1,)*Index!BZ$23*(CD$15&lt;=$J182)*(1-CD$12)</f>
        <v>0</v>
      </c>
      <c r="CE182" s="747">
        <f>$G182*$H182*(1+$K182)^MAX(ROUNDUP(IFERROR(DATEDIF($I182-1,CE$15+1,"m"),)/12,)-1,)*Index!CA$23*(CE$15&lt;=$J182)*(1-CE$12)</f>
        <v>0</v>
      </c>
      <c r="CF182" s="747">
        <f>$G182*$H182*(1+$K182)^MAX(ROUNDUP(IFERROR(DATEDIF($I182-1,CF$15+1,"m"),)/12,)-1,)*Index!CB$23*(CF$15&lt;=$J182)*(1-CF$12)</f>
        <v>0</v>
      </c>
      <c r="CG182" s="747">
        <f>$G182*$H182*(1+$K182)^MAX(ROUNDUP(IFERROR(DATEDIF($I182-1,CG$15+1,"m"),)/12,)-1,)*Index!CC$23*(CG$15&lt;=$J182)*(1-CG$12)</f>
        <v>0</v>
      </c>
      <c r="CH182" s="747">
        <f>$G182*$H182*(1+$K182)^MAX(ROUNDUP(IFERROR(DATEDIF($I182-1,CH$15+1,"m"),)/12,)-1,)*Index!CD$23*(CH$15&lt;=$J182)*(1-CH$12)</f>
        <v>0</v>
      </c>
      <c r="CI182" s="747">
        <f>$G182*$H182*(1+$K182)^MAX(ROUNDUP(IFERROR(DATEDIF($I182-1,CI$15+1,"m"),)/12,)-1,)*Index!CE$23*(CI$15&lt;=$J182)*(1-CI$12)</f>
        <v>0</v>
      </c>
      <c r="CJ182" s="747">
        <f>$G182*$H182*(1+$K182)^MAX(ROUNDUP(IFERROR(DATEDIF($I182-1,CJ$15+1,"m"),)/12,)-1,)*Index!CF$23*(CJ$15&lt;=$J182)*(1-CJ$12)</f>
        <v>0</v>
      </c>
      <c r="CK182" s="747">
        <f>$G182*$H182*(1+$K182)^MAX(ROUNDUP(IFERROR(DATEDIF($I182-1,CK$15+1,"m"),)/12,)-1,)*Index!CG$23*(CK$15&lt;=$J182)*(1-CK$12)</f>
        <v>0</v>
      </c>
      <c r="CL182" s="747">
        <f>$G182*$H182*(1+$K182)^MAX(ROUNDUP(IFERROR(DATEDIF($I182-1,CL$15+1,"m"),)/12,)-1,)*Index!CH$23*(CL$15&lt;=$J182)*(1-CL$12)</f>
        <v>0</v>
      </c>
      <c r="CM182" s="747">
        <f>$G182*$H182*(1+$K182)^MAX(ROUNDUP(IFERROR(DATEDIF($I182-1,CM$15+1,"m"),)/12,)-1,)*Index!CI$23*(CM$15&lt;=$J182)*(1-CM$12)</f>
        <v>0</v>
      </c>
      <c r="CN182" s="747">
        <f>$G182*$H182*(1+$K182)^MAX(ROUNDUP(IFERROR(DATEDIF($I182-1,CN$15+1,"m"),)/12,)-1,)*Index!CJ$23*(CN$15&lt;=$J182)*(1-CN$12)</f>
        <v>0</v>
      </c>
      <c r="CO182" s="747">
        <f>$G182*$H182*(1+$K182)^MAX(ROUNDUP(IFERROR(DATEDIF($I182-1,CO$15+1,"m"),)/12,)-1,)*Index!CK$23*(CO$15&lt;=$J182)*(1-CO$12)</f>
        <v>0</v>
      </c>
      <c r="CP182" s="747">
        <f>$G182*$H182*(1+$K182)^MAX(ROUNDUP(IFERROR(DATEDIF($I182-1,CP$15+1,"m"),)/12,)-1,)*Index!CL$23*(CP$15&lt;=$J182)*(1-CP$12)</f>
        <v>0</v>
      </c>
      <c r="CQ182" s="747">
        <f>$G182*$H182*(1+$K182)^MAX(ROUNDUP(IFERROR(DATEDIF($I182-1,CQ$15+1,"m"),)/12,)-1,)*Index!CM$23*(CQ$15&lt;=$J182)*(1-CQ$12)</f>
        <v>0</v>
      </c>
      <c r="CR182" s="747">
        <f>$G182*$H182*(1+$K182)^MAX(ROUNDUP(IFERROR(DATEDIF($I182-1,CR$15+1,"m"),)/12,)-1,)*Index!CN$23*(CR$15&lt;=$J182)*(1-CR$12)</f>
        <v>0</v>
      </c>
      <c r="CS182" s="747">
        <f>$G182*$H182*(1+$K182)^MAX(ROUNDUP(IFERROR(DATEDIF($I182-1,CS$15+1,"m"),)/12,)-1,)*Index!CO$23*(CS$15&lt;=$J182)*(1-CS$12)</f>
        <v>0</v>
      </c>
      <c r="CT182" s="747">
        <f>$G182*$H182*(1+$K182)^MAX(ROUNDUP(IFERROR(DATEDIF($I182-1,CT$15+1,"m"),)/12,)-1,)*Index!CP$23*(CT$15&lt;=$J182)*(1-CT$12)</f>
        <v>0</v>
      </c>
      <c r="CU182" s="747">
        <f>$G182*$H182*(1+$K182)^MAX(ROUNDUP(IFERROR(DATEDIF($I182-1,CU$15+1,"m"),)/12,)-1,)*Index!CQ$23*(CU$15&lt;=$J182)*(1-CU$12)</f>
        <v>0</v>
      </c>
      <c r="CV182" s="747">
        <f>$G182*$H182*(1+$K182)^MAX(ROUNDUP(IFERROR(DATEDIF($I182-1,CV$15+1,"m"),)/12,)-1,)*Index!CR$23*(CV$15&lt;=$J182)*(1-CV$12)</f>
        <v>0</v>
      </c>
      <c r="CW182" s="747">
        <f>$G182*$H182*(1+$K182)^MAX(ROUNDUP(IFERROR(DATEDIF($I182-1,CW$15+1,"m"),)/12,)-1,)*Index!CS$23*(CW$15&lt;=$J182)*(1-CW$12)</f>
        <v>0</v>
      </c>
      <c r="CX182" s="747">
        <f>$G182*$H182*(1+$K182)^MAX(ROUNDUP(IFERROR(DATEDIF($I182-1,CX$15+1,"m"),)/12,)-1,)*Index!CT$23*(CX$15&lt;=$J182)*(1-CX$12)</f>
        <v>0</v>
      </c>
      <c r="CY182" s="747">
        <f>$G182*$H182*(1+$K182)^MAX(ROUNDUP(IFERROR(DATEDIF($I182-1,CY$15+1,"m"),)/12,)-1,)*Index!CU$23*(CY$15&lt;=$J182)*(1-CY$12)</f>
        <v>0</v>
      </c>
      <c r="CZ182" s="747">
        <f>$G182*$H182*(1+$K182)^MAX(ROUNDUP(IFERROR(DATEDIF($I182-1,CZ$15+1,"m"),)/12,)-1,)*Index!CV$23*(CZ$15&lt;=$J182)*(1-CZ$12)</f>
        <v>0</v>
      </c>
      <c r="DA182" s="747">
        <f>$G182*$H182*(1+$K182)^MAX(ROUNDUP(IFERROR(DATEDIF($I182-1,DA$15+1,"m"),)/12,)-1,)*Index!CW$23*(DA$15&lt;=$J182)*(1-DA$12)</f>
        <v>0</v>
      </c>
      <c r="DB182" s="747">
        <f>$G182*$H182*(1+$K182)^MAX(ROUNDUP(IFERROR(DATEDIF($I182-1,DB$15+1,"m"),)/12,)-1,)*Index!CX$23*(DB$15&lt;=$J182)*(1-DB$12)</f>
        <v>0</v>
      </c>
      <c r="DC182" s="747">
        <f>$G182*$H182*(1+$K182)^MAX(ROUNDUP(IFERROR(DATEDIF($I182-1,DC$15+1,"m"),)/12,)-1,)*Index!CY$23*(DC$15&lt;=$J182)*(1-DC$12)</f>
        <v>0</v>
      </c>
      <c r="DD182" s="747">
        <f>$G182*$H182*(1+$K182)^MAX(ROUNDUP(IFERROR(DATEDIF($I182-1,DD$15+1,"m"),)/12,)-1,)*Index!CZ$23*(DD$15&lt;=$J182)*(1-DD$12)</f>
        <v>0</v>
      </c>
      <c r="DE182" s="747">
        <f>$G182*$H182*(1+$K182)^MAX(ROUNDUP(IFERROR(DATEDIF($I182-1,DE$15+1,"m"),)/12,)-1,)*Index!DA$23*(DE$15&lt;=$J182)*(1-DE$12)</f>
        <v>0</v>
      </c>
      <c r="DF182" s="747">
        <f>$G182*$H182*(1+$K182)^MAX(ROUNDUP(IFERROR(DATEDIF($I182-1,DF$15+1,"m"),)/12,)-1,)*Index!DB$23*(DF$15&lt;=$J182)*(1-DF$12)</f>
        <v>0</v>
      </c>
      <c r="DG182" s="747">
        <f>$G182*$H182*(1+$K182)^MAX(ROUNDUP(IFERROR(DATEDIF($I182-1,DG$15+1,"m"),)/12,)-1,)*Index!DC$23*(DG$15&lt;=$J182)*(1-DG$12)</f>
        <v>0</v>
      </c>
      <c r="DH182" s="747">
        <f>$G182*$H182*(1+$K182)^MAX(ROUNDUP(IFERROR(DATEDIF($I182-1,DH$15+1,"m"),)/12,)-1,)*Index!DD$23*(DH$15&lt;=$J182)*(1-DH$12)</f>
        <v>0</v>
      </c>
      <c r="DI182" s="747">
        <f>$G182*$H182*(1+$K182)^MAX(ROUNDUP(IFERROR(DATEDIF($I182-1,DI$15+1,"m"),)/12,)-1,)*Index!DE$23*(DI$15&lt;=$J182)*(1-DI$12)</f>
        <v>0</v>
      </c>
      <c r="DJ182" s="747">
        <f>$G182*$H182*(1+$K182)^MAX(ROUNDUP(IFERROR(DATEDIF($I182-1,DJ$15+1,"m"),)/12,)-1,)*Index!DF$23*(DJ$15&lt;=$J182)*(1-DJ$12)</f>
        <v>0</v>
      </c>
      <c r="DK182" s="747">
        <f>$G182*$H182*(1+$K182)^MAX(ROUNDUP(IFERROR(DATEDIF($I182-1,DK$15+1,"m"),)/12,)-1,)*Index!DG$23*(DK$15&lt;=$J182)*(1-DK$12)</f>
        <v>0</v>
      </c>
      <c r="DL182" s="747">
        <f>$G182*$H182*(1+$K182)^MAX(ROUNDUP(IFERROR(DATEDIF($I182-1,DL$15+1,"m"),)/12,)-1,)*Index!DH$23*(DL$15&lt;=$J182)*(1-DL$12)</f>
        <v>0</v>
      </c>
      <c r="DM182" s="747">
        <f>$G182*$H182*(1+$K182)^MAX(ROUNDUP(IFERROR(DATEDIF($I182-1,DM$15+1,"m"),)/12,)-1,)*Index!DI$23*(DM$15&lt;=$J182)*(1-DM$12)</f>
        <v>0</v>
      </c>
      <c r="DN182" s="747">
        <f>$G182*$H182*(1+$K182)^MAX(ROUNDUP(IFERROR(DATEDIF($I182-1,DN$15+1,"m"),)/12,)-1,)*Index!DJ$23*(DN$15&lt;=$J182)*(1-DN$12)</f>
        <v>0</v>
      </c>
      <c r="DO182" s="747">
        <f>$G182*$H182*(1+$K182)^MAX(ROUNDUP(IFERROR(DATEDIF($I182-1,DO$15+1,"m"),)/12,)-1,)*Index!DK$23*(DO$15&lt;=$J182)*(1-DO$12)</f>
        <v>0</v>
      </c>
      <c r="DP182" s="747">
        <f>$G182*$H182*(1+$K182)^MAX(ROUNDUP(IFERROR(DATEDIF($I182-1,DP$15+1,"m"),)/12,)-1,)*Index!DL$23*(DP$15&lt;=$J182)*(1-DP$12)</f>
        <v>0</v>
      </c>
      <c r="DQ182" s="747">
        <f>$G182*$H182*(1+$K182)^MAX(ROUNDUP(IFERROR(DATEDIF($I182-1,DQ$15+1,"m"),)/12,)-1,)*Index!DM$23*(DQ$15&lt;=$J182)*(1-DQ$12)</f>
        <v>0</v>
      </c>
      <c r="DR182" s="747">
        <f>$G182*$H182*(1+$K182)^MAX(ROUNDUP(IFERROR(DATEDIF($I182-1,DR$15+1,"m"),)/12,)-1,)*Index!DN$23*(DR$15&lt;=$J182)*(1-DR$12)</f>
        <v>0</v>
      </c>
      <c r="DS182" s="747">
        <f>$G182*$H182*(1+$K182)^MAX(ROUNDUP(IFERROR(DATEDIF($I182-1,DS$15+1,"m"),)/12,)-1,)*Index!DO$23*(DS$15&lt;=$J182)*(1-DS$12)</f>
        <v>0</v>
      </c>
      <c r="DT182" s="747">
        <f>$G182*$H182*(1+$K182)^MAX(ROUNDUP(IFERROR(DATEDIF($I182-1,DT$15+1,"m"),)/12,)-1,)*Index!DP$23*(DT$15&lt;=$J182)*(1-DT$12)</f>
        <v>0</v>
      </c>
      <c r="DU182" s="747">
        <f>$G182*$H182*(1+$K182)^MAX(ROUNDUP(IFERROR(DATEDIF($I182-1,DU$15+1,"m"),)/12,)-1,)*Index!DQ$23*(DU$15&lt;=$J182)*(1-DU$12)</f>
        <v>0</v>
      </c>
      <c r="DV182" s="747">
        <f>$G182*$H182*(1+$K182)^MAX(ROUNDUP(IFERROR(DATEDIF($I182-1,DV$15+1,"m"),)/12,)-1,)*Index!DR$23*(DV$15&lt;=$J182)*(1-DV$12)</f>
        <v>0</v>
      </c>
      <c r="DW182" s="747">
        <f>$G182*$H182*(1+$K182)^MAX(ROUNDUP(IFERROR(DATEDIF($I182-1,DW$15+1,"m"),)/12,)-1,)*Index!DS$23*(DW$15&lt;=$J182)*(1-DW$12)</f>
        <v>0</v>
      </c>
      <c r="DX182" s="747">
        <f>$G182*$H182*(1+$K182)^MAX(ROUNDUP(IFERROR(DATEDIF($I182-1,DX$15+1,"m"),)/12,)-1,)*Index!DT$23*(DX$15&lt;=$J182)*(1-DX$12)</f>
        <v>0</v>
      </c>
      <c r="DY182" s="747">
        <f>$G182*$H182*(1+$K182)^MAX(ROUNDUP(IFERROR(DATEDIF($I182-1,DY$15+1,"m"),)/12,)-1,)*Index!DU$23*(DY$15&lt;=$J182)*(1-DY$12)</f>
        <v>0</v>
      </c>
      <c r="DZ182" s="747">
        <f>$G182*$H182*(1+$K182)^MAX(ROUNDUP(IFERROR(DATEDIF($I182-1,DZ$15+1,"m"),)/12,)-1,)*Index!DV$23*(DZ$15&lt;=$J182)*(1-DZ$12)</f>
        <v>0</v>
      </c>
      <c r="EA182" s="747">
        <f>$G182*$H182*(1+$K182)^MAX(ROUNDUP(IFERROR(DATEDIF($I182-1,EA$15+1,"m"),)/12,)-1,)*Index!DW$23*(EA$15&lt;=$J182)*(1-EA$12)</f>
        <v>0</v>
      </c>
      <c r="EB182" s="747">
        <f>$G182*$H182*(1+$K182)^MAX(ROUNDUP(IFERROR(DATEDIF($I182-1,EB$15+1,"m"),)/12,)-1,)*Index!DX$23*(EB$15&lt;=$J182)*(1-EB$12)</f>
        <v>0</v>
      </c>
      <c r="EC182" s="747">
        <f>$G182*$H182*(1+$K182)^MAX(ROUNDUP(IFERROR(DATEDIF($I182-1,EC$15+1,"m"),)/12,)-1,)*Index!DY$23*(EC$15&lt;=$J182)*(1-EC$12)</f>
        <v>0</v>
      </c>
      <c r="ED182" s="747">
        <f>$G182*$H182*(1+$K182)^MAX(ROUNDUP(IFERROR(DATEDIF($I182-1,ED$15+1,"m"),)/12,)-1,)*Index!DZ$23*(ED$15&lt;=$J182)*(1-ED$12)</f>
        <v>0</v>
      </c>
      <c r="EE182" s="747">
        <f>$G182*$H182*(1+$K182)^MAX(ROUNDUP(IFERROR(DATEDIF($I182-1,EE$15+1,"m"),)/12,)-1,)*Index!EA$23*(EE$15&lt;=$J182)*(1-EE$12)</f>
        <v>0</v>
      </c>
      <c r="EF182" s="747">
        <f>$G182*$H182*(1+$K182)^MAX(ROUNDUP(IFERROR(DATEDIF($I182-1,EF$15+1,"m"),)/12,)-1,)*Index!EB$23*(EF$15&lt;=$J182)*(1-EF$12)</f>
        <v>0</v>
      </c>
      <c r="EG182" s="747">
        <f>$G182*$H182*(1+$K182)^MAX(ROUNDUP(IFERROR(DATEDIF($I182-1,EG$15+1,"m"),)/12,)-1,)*Index!EC$23*(EG$15&lt;=$J182)*(1-EG$12)</f>
        <v>0</v>
      </c>
      <c r="EH182" s="747">
        <f>$G182*$H182*(1+$K182)^MAX(ROUNDUP(IFERROR(DATEDIF($I182-1,EH$15+1,"m"),)/12,)-1,)*Index!ED$23*(EH$15&lt;=$J182)*(1-EH$12)</f>
        <v>0</v>
      </c>
      <c r="EI182" s="747">
        <f>$G182*$H182*(1+$K182)^MAX(ROUNDUP(IFERROR(DATEDIF($I182-1,EI$15+1,"m"),)/12,)-1,)*Index!EE$23*(EI$15&lt;=$J182)*(1-EI$12)</f>
        <v>0</v>
      </c>
      <c r="EJ182" s="747">
        <f>$G182*$H182*(1+$K182)^MAX(ROUNDUP(IFERROR(DATEDIF($I182-1,EJ$15+1,"m"),)/12,)-1,)*Index!EF$23*(EJ$15&lt;=$J182)*(1-EJ$12)</f>
        <v>0</v>
      </c>
      <c r="EK182" s="747">
        <f>$G182*$H182*(1+$K182)^MAX(ROUNDUP(IFERROR(DATEDIF($I182-1,EK$15+1,"m"),)/12,)-1,)*Index!EG$23*(EK$15&lt;=$J182)*(1-EK$12)</f>
        <v>0</v>
      </c>
      <c r="EL182" s="747">
        <f>$G182*$H182*(1+$K182)^MAX(ROUNDUP(IFERROR(DATEDIF($I182-1,EL$15+1,"m"),)/12,)-1,)*Index!EH$23*(EL$15&lt;=$J182)*(1-EL$12)</f>
        <v>0</v>
      </c>
      <c r="EM182" s="747">
        <f>$G182*$H182*(1+$K182)^MAX(ROUNDUP(IFERROR(DATEDIF($I182-1,EM$15+1,"m"),)/12,)-1,)*Index!EI$23*(EM$15&lt;=$J182)*(1-EM$12)</f>
        <v>0</v>
      </c>
      <c r="EN182" s="747">
        <f>$G182*$H182*(1+$K182)^MAX(ROUNDUP(IFERROR(DATEDIF($I182-1,EN$15+1,"m"),)/12,)-1,)*Index!EJ$23*(EN$15&lt;=$J182)*(1-EN$12)</f>
        <v>0</v>
      </c>
      <c r="EO182" s="747">
        <f>$G182*$H182*(1+$K182)^MAX(ROUNDUP(IFERROR(DATEDIF($I182-1,EO$15+1,"m"),)/12,)-1,)*Index!EK$23*(EO$15&lt;=$J182)*(1-EO$12)</f>
        <v>0</v>
      </c>
      <c r="EP182" s="747">
        <f>$G182*$H182*(1+$K182)^MAX(ROUNDUP(IFERROR(DATEDIF($I182-1,EP$15+1,"m"),)/12,)-1,)*Index!EL$23*(EP$15&lt;=$J182)*(1-EP$12)</f>
        <v>0</v>
      </c>
      <c r="EQ182" s="747">
        <f>$G182*$H182*(1+$K182)^MAX(ROUNDUP(IFERROR(DATEDIF($I182-1,EQ$15+1,"m"),)/12,)-1,)*Index!EM$23*(EQ$15&lt;=$J182)*(1-EQ$12)</f>
        <v>0</v>
      </c>
      <c r="ER182" s="747">
        <f>$G182*$H182*(1+$K182)^MAX(ROUNDUP(IFERROR(DATEDIF($I182-1,ER$15+1,"m"),)/12,)-1,)*Index!EN$23*(ER$15&lt;=$J182)*(1-ER$12)</f>
        <v>0</v>
      </c>
      <c r="ES182" s="747">
        <f>$G182*$H182*(1+$K182)^MAX(ROUNDUP(IFERROR(DATEDIF($I182-1,ES$15+1,"m"),)/12,)-1,)*Index!EO$23*(ES$15&lt;=$J182)*(1-ES$12)</f>
        <v>0</v>
      </c>
      <c r="ET182" s="747">
        <f>$G182*$H182*(1+$K182)^MAX(ROUNDUP(IFERROR(DATEDIF($I182-1,ET$15+1,"m"),)/12,)-1,)*Index!EP$23*(ET$15&lt;=$J182)*(1-ET$12)</f>
        <v>0</v>
      </c>
      <c r="EU182" s="747">
        <f>$G182*$H182*(1+$K182)^MAX(ROUNDUP(IFERROR(DATEDIF($I182-1,EU$15+1,"m"),)/12,)-1,)*Index!EQ$23*(EU$15&lt;=$J182)*(1-EU$12)</f>
        <v>0</v>
      </c>
    </row>
    <row r="183" spans="3:151" ht="11.25" customHeight="1">
      <c r="C183" s="828"/>
      <c r="D183" s="743">
        <f t="shared" ref="D183:K183" si="255">D147</f>
        <v>8</v>
      </c>
      <c r="E183" s="704" t="str">
        <f t="shared" si="255"/>
        <v>쿠팡</v>
      </c>
      <c r="F183" s="704" t="str">
        <f t="shared" si="255"/>
        <v>상온창고</v>
      </c>
      <c r="G183" s="781">
        <f t="shared" si="255"/>
        <v>2.5</v>
      </c>
      <c r="H183" s="744">
        <f t="shared" si="255"/>
        <v>207.4</v>
      </c>
      <c r="I183" s="745">
        <f t="shared" si="255"/>
        <v>45413</v>
      </c>
      <c r="J183" s="745">
        <f t="shared" si="255"/>
        <v>49064</v>
      </c>
      <c r="K183" s="754">
        <f t="shared" si="255"/>
        <v>2.5000000000000001E-2</v>
      </c>
      <c r="L183" s="746"/>
      <c r="M183" s="722"/>
      <c r="N183" s="747">
        <f t="shared" si="252"/>
        <v>0</v>
      </c>
      <c r="O183" s="733"/>
      <c r="P183" s="747">
        <f>$G183*$H183*(1+$K183)^MAX(ROUNDUP(IFERROR(DATEDIF($I183-1,P$15+1,"m"),)/12,)-1,)*Index!L$23*(P$15&lt;=$J183)*(1-P$12)</f>
        <v>0</v>
      </c>
      <c r="Q183" s="747">
        <f>$G183*$H183*(1+$K183)^MAX(ROUNDUP(IFERROR(DATEDIF($I183-1,Q$15+1,"m"),)/12,)-1,)*Index!M$23*(Q$15&lt;=$J183)*(1-Q$12)</f>
        <v>0</v>
      </c>
      <c r="R183" s="747">
        <f>$G183*$H183*(1+$K183)^MAX(ROUNDUP(IFERROR(DATEDIF($I183-1,R$15+1,"m"),)/12,)-1,)*Index!N$23*(R$15&lt;=$J183)*(1-R$12)</f>
        <v>0</v>
      </c>
      <c r="S183" s="747">
        <f>$G183*$H183*(1+$K183)^MAX(ROUNDUP(IFERROR(DATEDIF($I183-1,S$15+1,"m"),)/12,)-1,)*Index!O$23*(S$15&lt;=$J183)*(1-S$12)</f>
        <v>0</v>
      </c>
      <c r="T183" s="747">
        <f>$G183*$H183*(1+$K183)^MAX(ROUNDUP(IFERROR(DATEDIF($I183-1,T$15+1,"m"),)/12,)-1,)*Index!P$23*(T$15&lt;=$J183)*(1-T$12)</f>
        <v>0</v>
      </c>
      <c r="U183" s="747">
        <f>$G183*$H183*(1+$K183)^MAX(ROUNDUP(IFERROR(DATEDIF($I183-1,U$15+1,"m"),)/12,)-1,)*Index!Q$23*(U$15&lt;=$J183)*(1-U$12)</f>
        <v>0</v>
      </c>
      <c r="V183" s="747">
        <f>$G183*$H183*(1+$K183)^MAX(ROUNDUP(IFERROR(DATEDIF($I183-1,V$15+1,"m"),)/12,)-1,)*Index!R$23*(V$15&lt;=$J183)*(1-V$12)</f>
        <v>0</v>
      </c>
      <c r="W183" s="747">
        <f>$G183*$H183*(1+$K183)^MAX(ROUNDUP(IFERROR(DATEDIF($I183-1,W$15+1,"m"),)/12,)-1,)*Index!S$23*(W$15&lt;=$J183)*(1-W$12)</f>
        <v>0</v>
      </c>
      <c r="X183" s="747">
        <f>$G183*$H183*(1+$K183)^MAX(ROUNDUP(IFERROR(DATEDIF($I183-1,X$15+1,"m"),)/12,)-1,)*Index!T$23*(X$15&lt;=$J183)*(1-X$12)</f>
        <v>0</v>
      </c>
      <c r="Y183" s="747">
        <f>$G183*$H183*(1+$K183)^MAX(ROUNDUP(IFERROR(DATEDIF($I183-1,Y$15+1,"m"),)/12,)-1,)*Index!U$23*(Y$15&lt;=$J183)*(1-Y$12)</f>
        <v>0</v>
      </c>
      <c r="Z183" s="747">
        <f>$G183*$H183*(1+$K183)^MAX(ROUNDUP(IFERROR(DATEDIF($I183-1,Z$15+1,"m"),)/12,)-1,)*Index!V$23*(Z$15&lt;=$J183)*(1-Z$12)</f>
        <v>0</v>
      </c>
      <c r="AA183" s="747">
        <f>$G183*$H183*(1+$K183)^MAX(ROUNDUP(IFERROR(DATEDIF($I183-1,AA$15+1,"m"),)/12,)-1,)*Index!W$23*(AA$15&lt;=$J183)*(1-AA$12)</f>
        <v>0</v>
      </c>
      <c r="AB183" s="747">
        <f>$G183*$H183*(1+$K183)^MAX(ROUNDUP(IFERROR(DATEDIF($I183-1,AB$15+1,"m"),)/12,)-1,)*Index!X$23*(AB$15&lt;=$J183)*(1-AB$12)</f>
        <v>0</v>
      </c>
      <c r="AC183" s="747">
        <f>$G183*$H183*(1+$K183)^MAX(ROUNDUP(IFERROR(DATEDIF($I183-1,AC$15+1,"m"),)/12,)-1,)*Index!Y$23*(AC$15&lt;=$J183)*(1-AC$12)</f>
        <v>0</v>
      </c>
      <c r="AD183" s="747">
        <f>$G183*$H183*(1+$K183)^MAX(ROUNDUP(IFERROR(DATEDIF($I183-1,AD$15+1,"m"),)/12,)-1,)*Index!Z$23*(AD$15&lt;=$J183)*(1-AD$12)</f>
        <v>0</v>
      </c>
      <c r="AE183" s="747">
        <f>$G183*$H183*(1+$K183)^MAX(ROUNDUP(IFERROR(DATEDIF($I183-1,AE$15+1,"m"),)/12,)-1,)*Index!AA$23*(AE$15&lt;=$J183)*(1-AE$12)</f>
        <v>0</v>
      </c>
      <c r="AF183" s="747">
        <f>$G183*$H183*(1+$K183)^MAX(ROUNDUP(IFERROR(DATEDIF($I183-1,AF$15+1,"m"),)/12,)-1,)*Index!AB$23*(AF$15&lt;=$J183)*(1-AF$12)</f>
        <v>0</v>
      </c>
      <c r="AG183" s="747">
        <f>$G183*$H183*(1+$K183)^MAX(ROUNDUP(IFERROR(DATEDIF($I183-1,AG$15+1,"m"),)/12,)-1,)*Index!AC$23*(AG$15&lt;=$J183)*(1-AG$12)</f>
        <v>0</v>
      </c>
      <c r="AH183" s="747">
        <f>$G183*$H183*(1+$K183)^MAX(ROUNDUP(IFERROR(DATEDIF($I183-1,AH$15+1,"m"),)/12,)-1,)*Index!AD$23*(AH$15&lt;=$J183)*(1-AH$12)</f>
        <v>0</v>
      </c>
      <c r="AI183" s="747">
        <f>$G183*$H183*(1+$K183)^MAX(ROUNDUP(IFERROR(DATEDIF($I183-1,AI$15+1,"m"),)/12,)-1,)*Index!AE$23*(AI$15&lt;=$J183)*(1-AI$12)</f>
        <v>0</v>
      </c>
      <c r="AJ183" s="747">
        <f>$G183*$H183*(1+$K183)^MAX(ROUNDUP(IFERROR(DATEDIF($I183-1,AJ$15+1,"m"),)/12,)-1,)*Index!AF$23*(AJ$15&lt;=$J183)*(1-AJ$12)</f>
        <v>0</v>
      </c>
      <c r="AK183" s="747">
        <f>$G183*$H183*(1+$K183)^MAX(ROUNDUP(IFERROR(DATEDIF($I183-1,AK$15+1,"m"),)/12,)-1,)*Index!AG$23*(AK$15&lt;=$J183)*(1-AK$12)</f>
        <v>0</v>
      </c>
      <c r="AL183" s="747">
        <f>$G183*$H183*(1+$K183)^MAX(ROUNDUP(IFERROR(DATEDIF($I183-1,AL$15+1,"m"),)/12,)-1,)*Index!AH$23*(AL$15&lt;=$J183)*(1-AL$12)</f>
        <v>0</v>
      </c>
      <c r="AM183" s="747">
        <f>$G183*$H183*(1+$K183)^MAX(ROUNDUP(IFERROR(DATEDIF($I183-1,AM$15+1,"m"),)/12,)-1,)*Index!AI$23*(AM$15&lt;=$J183)*(1-AM$12)</f>
        <v>0</v>
      </c>
      <c r="AN183" s="747">
        <f>$G183*$H183*(1+$K183)^MAX(ROUNDUP(IFERROR(DATEDIF($I183-1,AN$15+1,"m"),)/12,)-1,)*Index!AJ$23*(AN$15&lt;=$J183)*(1-AN$12)</f>
        <v>0</v>
      </c>
      <c r="AO183" s="747">
        <f>$G183*$H183*(1+$K183)^MAX(ROUNDUP(IFERROR(DATEDIF($I183-1,AO$15+1,"m"),)/12,)-1,)*Index!AK$23*(AO$15&lt;=$J183)*(1-AO$12)</f>
        <v>0</v>
      </c>
      <c r="AP183" s="747">
        <f>$G183*$H183*(1+$K183)^MAX(ROUNDUP(IFERROR(DATEDIF($I183-1,AP$15+1,"m"),)/12,)-1,)*Index!AL$23*(AP$15&lt;=$J183)*(1-AP$12)</f>
        <v>0</v>
      </c>
      <c r="AQ183" s="747">
        <f>$G183*$H183*(1+$K183)^MAX(ROUNDUP(IFERROR(DATEDIF($I183-1,AQ$15+1,"m"),)/12,)-1,)*Index!AM$23*(AQ$15&lt;=$J183)*(1-AQ$12)</f>
        <v>0</v>
      </c>
      <c r="AR183" s="747">
        <f>$G183*$H183*(1+$K183)^MAX(ROUNDUP(IFERROR(DATEDIF($I183-1,AR$15+1,"m"),)/12,)-1,)*Index!AN$23*(AR$15&lt;=$J183)*(1-AR$12)</f>
        <v>0</v>
      </c>
      <c r="AS183" s="747">
        <f>$G183*$H183*(1+$K183)^MAX(ROUNDUP(IFERROR(DATEDIF($I183-1,AS$15+1,"m"),)/12,)-1,)*Index!AO$23*(AS$15&lt;=$J183)*(1-AS$12)</f>
        <v>0</v>
      </c>
      <c r="AT183" s="747">
        <f>$G183*$H183*(1+$K183)^MAX(ROUNDUP(IFERROR(DATEDIF($I183-1,AT$15+1,"m"),)/12,)-1,)*Index!AP$23*(AT$15&lt;=$J183)*(1-AT$12)</f>
        <v>0</v>
      </c>
      <c r="AU183" s="747">
        <f>$G183*$H183*(1+$K183)^MAX(ROUNDUP(IFERROR(DATEDIF($I183-1,AU$15+1,"m"),)/12,)-1,)*Index!AQ$23*(AU$15&lt;=$J183)*(1-AU$12)</f>
        <v>0</v>
      </c>
      <c r="AV183" s="747">
        <f>$G183*$H183*(1+$K183)^MAX(ROUNDUP(IFERROR(DATEDIF($I183-1,AV$15+1,"m"),)/12,)-1,)*Index!AR$23*(AV$15&lt;=$J183)*(1-AV$12)</f>
        <v>0</v>
      </c>
      <c r="AW183" s="747">
        <f>$G183*$H183*(1+$K183)^MAX(ROUNDUP(IFERROR(DATEDIF($I183-1,AW$15+1,"m"),)/12,)-1,)*Index!AS$23*(AW$15&lt;=$J183)*(1-AW$12)</f>
        <v>0</v>
      </c>
      <c r="AX183" s="747">
        <f>$G183*$H183*(1+$K183)^MAX(ROUNDUP(IFERROR(DATEDIF($I183-1,AX$15+1,"m"),)/12,)-1,)*Index!AT$23*(AX$15&lt;=$J183)*(1-AX$12)</f>
        <v>0</v>
      </c>
      <c r="AY183" s="747">
        <f>$G183*$H183*(1+$K183)^MAX(ROUNDUP(IFERROR(DATEDIF($I183-1,AY$15+1,"m"),)/12,)-1,)*Index!AU$23*(AY$15&lt;=$J183)*(1-AY$12)</f>
        <v>0</v>
      </c>
      <c r="AZ183" s="747">
        <f>$G183*$H183*(1+$K183)^MAX(ROUNDUP(IFERROR(DATEDIF($I183-1,AZ$15+1,"m"),)/12,)-1,)*Index!AV$23*(AZ$15&lt;=$J183)*(1-AZ$12)</f>
        <v>0</v>
      </c>
      <c r="BA183" s="747">
        <f>$G183*$H183*(1+$K183)^MAX(ROUNDUP(IFERROR(DATEDIF($I183-1,BA$15+1,"m"),)/12,)-1,)*Index!AW$23*(BA$15&lt;=$J183)*(1-BA$12)</f>
        <v>0</v>
      </c>
      <c r="BB183" s="747">
        <f>$G183*$H183*(1+$K183)^MAX(ROUNDUP(IFERROR(DATEDIF($I183-1,BB$15+1,"m"),)/12,)-1,)*Index!AX$23*(BB$15&lt;=$J183)*(1-BB$12)</f>
        <v>0</v>
      </c>
      <c r="BC183" s="747">
        <f>$G183*$H183*(1+$K183)^MAX(ROUNDUP(IFERROR(DATEDIF($I183-1,BC$15+1,"m"),)/12,)-1,)*Index!AY$23*(BC$15&lt;=$J183)*(1-BC$12)</f>
        <v>0</v>
      </c>
      <c r="BD183" s="747">
        <f>$G183*$H183*(1+$K183)^MAX(ROUNDUP(IFERROR(DATEDIF($I183-1,BD$15+1,"m"),)/12,)-1,)*Index!AZ$23*(BD$15&lt;=$J183)*(1-BD$12)</f>
        <v>0</v>
      </c>
      <c r="BE183" s="747">
        <f>$G183*$H183*(1+$K183)^MAX(ROUNDUP(IFERROR(DATEDIF($I183-1,BE$15+1,"m"),)/12,)-1,)*Index!BA$23*(BE$15&lt;=$J183)*(1-BE$12)</f>
        <v>0</v>
      </c>
      <c r="BF183" s="747">
        <f>$G183*$H183*(1+$K183)^MAX(ROUNDUP(IFERROR(DATEDIF($I183-1,BF$15+1,"m"),)/12,)-1,)*Index!BB$23*(BF$15&lt;=$J183)*(1-BF$12)</f>
        <v>0</v>
      </c>
      <c r="BG183" s="747">
        <f>$G183*$H183*(1+$K183)^MAX(ROUNDUP(IFERROR(DATEDIF($I183-1,BG$15+1,"m"),)/12,)-1,)*Index!BC$23*(BG$15&lt;=$J183)*(1-BG$12)</f>
        <v>0</v>
      </c>
      <c r="BH183" s="747">
        <f>$G183*$H183*(1+$K183)^MAX(ROUNDUP(IFERROR(DATEDIF($I183-1,BH$15+1,"m"),)/12,)-1,)*Index!BD$23*(BH$15&lt;=$J183)*(1-BH$12)</f>
        <v>0</v>
      </c>
      <c r="BI183" s="747">
        <f>$G183*$H183*(1+$K183)^MAX(ROUNDUP(IFERROR(DATEDIF($I183-1,BI$15+1,"m"),)/12,)-1,)*Index!BE$23*(BI$15&lt;=$J183)*(1-BI$12)</f>
        <v>0</v>
      </c>
      <c r="BJ183" s="747">
        <f>$G183*$H183*(1+$K183)^MAX(ROUNDUP(IFERROR(DATEDIF($I183-1,BJ$15+1,"m"),)/12,)-1,)*Index!BF$23*(BJ$15&lt;=$J183)*(1-BJ$12)</f>
        <v>0</v>
      </c>
      <c r="BK183" s="747">
        <f>$G183*$H183*(1+$K183)^MAX(ROUNDUP(IFERROR(DATEDIF($I183-1,BK$15+1,"m"),)/12,)-1,)*Index!BG$23*(BK$15&lt;=$J183)*(1-BK$12)</f>
        <v>0</v>
      </c>
      <c r="BL183" s="747">
        <f>$G183*$H183*(1+$K183)^MAX(ROUNDUP(IFERROR(DATEDIF($I183-1,BL$15+1,"m"),)/12,)-1,)*Index!BH$23*(BL$15&lt;=$J183)*(1-BL$12)</f>
        <v>0</v>
      </c>
      <c r="BM183" s="747">
        <f>$G183*$H183*(1+$K183)^MAX(ROUNDUP(IFERROR(DATEDIF($I183-1,BM$15+1,"m"),)/12,)-1,)*Index!BI$23*(BM$15&lt;=$J183)*(1-BM$12)</f>
        <v>0</v>
      </c>
      <c r="BN183" s="747">
        <f>$G183*$H183*(1+$K183)^MAX(ROUNDUP(IFERROR(DATEDIF($I183-1,BN$15+1,"m"),)/12,)-1,)*Index!BJ$23*(BN$15&lt;=$J183)*(1-BN$12)</f>
        <v>0</v>
      </c>
      <c r="BO183" s="747">
        <f>$G183*$H183*(1+$K183)^MAX(ROUNDUP(IFERROR(DATEDIF($I183-1,BO$15+1,"m"),)/12,)-1,)*Index!BK$23*(BO$15&lt;=$J183)*(1-BO$12)</f>
        <v>0</v>
      </c>
      <c r="BP183" s="747">
        <f>$G183*$H183*(1+$K183)^MAX(ROUNDUP(IFERROR(DATEDIF($I183-1,BP$15+1,"m"),)/12,)-1,)*Index!BL$23*(BP$15&lt;=$J183)*(1-BP$12)</f>
        <v>0</v>
      </c>
      <c r="BQ183" s="747">
        <f>$G183*$H183*(1+$K183)^MAX(ROUNDUP(IFERROR(DATEDIF($I183-1,BQ$15+1,"m"),)/12,)-1,)*Index!BM$23*(BQ$15&lt;=$J183)*(1-BQ$12)</f>
        <v>0</v>
      </c>
      <c r="BR183" s="747">
        <f>$G183*$H183*(1+$K183)^MAX(ROUNDUP(IFERROR(DATEDIF($I183-1,BR$15+1,"m"),)/12,)-1,)*Index!BN$23*(BR$15&lt;=$J183)*(1-BR$12)</f>
        <v>0</v>
      </c>
      <c r="BS183" s="747">
        <f>$G183*$H183*(1+$K183)^MAX(ROUNDUP(IFERROR(DATEDIF($I183-1,BS$15+1,"m"),)/12,)-1,)*Index!BO$23*(BS$15&lt;=$J183)*(1-BS$12)</f>
        <v>0</v>
      </c>
      <c r="BT183" s="747">
        <f>$G183*$H183*(1+$K183)^MAX(ROUNDUP(IFERROR(DATEDIF($I183-1,BT$15+1,"m"),)/12,)-1,)*Index!BP$23*(BT$15&lt;=$J183)*(1-BT$12)</f>
        <v>0</v>
      </c>
      <c r="BU183" s="747">
        <f>$G183*$H183*(1+$K183)^MAX(ROUNDUP(IFERROR(DATEDIF($I183-1,BU$15+1,"m"),)/12,)-1,)*Index!BQ$23*(BU$15&lt;=$J183)*(1-BU$12)</f>
        <v>0</v>
      </c>
      <c r="BV183" s="747">
        <f>$G183*$H183*(1+$K183)^MAX(ROUNDUP(IFERROR(DATEDIF($I183-1,BV$15+1,"m"),)/12,)-1,)*Index!BR$23*(BV$15&lt;=$J183)*(1-BV$12)</f>
        <v>0</v>
      </c>
      <c r="BW183" s="747">
        <f>$G183*$H183*(1+$K183)^MAX(ROUNDUP(IFERROR(DATEDIF($I183-1,BW$15+1,"m"),)/12,)-1,)*Index!BS$23*(BW$15&lt;=$J183)*(1-BW$12)</f>
        <v>0</v>
      </c>
      <c r="BX183" s="747">
        <f>$G183*$H183*(1+$K183)^MAX(ROUNDUP(IFERROR(DATEDIF($I183-1,BX$15+1,"m"),)/12,)-1,)*Index!BT$23*(BX$15&lt;=$J183)*(1-BX$12)</f>
        <v>0</v>
      </c>
      <c r="BY183" s="747">
        <f>$G183*$H183*(1+$K183)^MAX(ROUNDUP(IFERROR(DATEDIF($I183-1,BY$15+1,"m"),)/12,)-1,)*Index!BU$23*(BY$15&lt;=$J183)*(1-BY$12)</f>
        <v>0</v>
      </c>
      <c r="BZ183" s="747">
        <f>$G183*$H183*(1+$K183)^MAX(ROUNDUP(IFERROR(DATEDIF($I183-1,BZ$15+1,"m"),)/12,)-1,)*Index!BV$23*(BZ$15&lt;=$J183)*(1-BZ$12)</f>
        <v>0</v>
      </c>
      <c r="CA183" s="747">
        <f>$G183*$H183*(1+$K183)^MAX(ROUNDUP(IFERROR(DATEDIF($I183-1,CA$15+1,"m"),)/12,)-1,)*Index!BW$23*(CA$15&lt;=$J183)*(1-CA$12)</f>
        <v>0</v>
      </c>
      <c r="CB183" s="747">
        <f>$G183*$H183*(1+$K183)^MAX(ROUNDUP(IFERROR(DATEDIF($I183-1,CB$15+1,"m"),)/12,)-1,)*Index!BX$23*(CB$15&lt;=$J183)*(1-CB$12)</f>
        <v>0</v>
      </c>
      <c r="CC183" s="747">
        <f>$G183*$H183*(1+$K183)^MAX(ROUNDUP(IFERROR(DATEDIF($I183-1,CC$15+1,"m"),)/12,)-1,)*Index!BY$23*(CC$15&lt;=$J183)*(1-CC$12)</f>
        <v>0</v>
      </c>
      <c r="CD183" s="747">
        <f>$G183*$H183*(1+$K183)^MAX(ROUNDUP(IFERROR(DATEDIF($I183-1,CD$15+1,"m"),)/12,)-1,)*Index!BZ$23*(CD$15&lt;=$J183)*(1-CD$12)</f>
        <v>0</v>
      </c>
      <c r="CE183" s="747">
        <f>$G183*$H183*(1+$K183)^MAX(ROUNDUP(IFERROR(DATEDIF($I183-1,CE$15+1,"m"),)/12,)-1,)*Index!CA$23*(CE$15&lt;=$J183)*(1-CE$12)</f>
        <v>0</v>
      </c>
      <c r="CF183" s="747">
        <f>$G183*$H183*(1+$K183)^MAX(ROUNDUP(IFERROR(DATEDIF($I183-1,CF$15+1,"m"),)/12,)-1,)*Index!CB$23*(CF$15&lt;=$J183)*(1-CF$12)</f>
        <v>0</v>
      </c>
      <c r="CG183" s="747">
        <f>$G183*$H183*(1+$K183)^MAX(ROUNDUP(IFERROR(DATEDIF($I183-1,CG$15+1,"m"),)/12,)-1,)*Index!CC$23*(CG$15&lt;=$J183)*(1-CG$12)</f>
        <v>0</v>
      </c>
      <c r="CH183" s="747">
        <f>$G183*$H183*(1+$K183)^MAX(ROUNDUP(IFERROR(DATEDIF($I183-1,CH$15+1,"m"),)/12,)-1,)*Index!CD$23*(CH$15&lt;=$J183)*(1-CH$12)</f>
        <v>0</v>
      </c>
      <c r="CI183" s="747">
        <f>$G183*$H183*(1+$K183)^MAX(ROUNDUP(IFERROR(DATEDIF($I183-1,CI$15+1,"m"),)/12,)-1,)*Index!CE$23*(CI$15&lt;=$J183)*(1-CI$12)</f>
        <v>0</v>
      </c>
      <c r="CJ183" s="747">
        <f>$G183*$H183*(1+$K183)^MAX(ROUNDUP(IFERROR(DATEDIF($I183-1,CJ$15+1,"m"),)/12,)-1,)*Index!CF$23*(CJ$15&lt;=$J183)*(1-CJ$12)</f>
        <v>0</v>
      </c>
      <c r="CK183" s="747">
        <f>$G183*$H183*(1+$K183)^MAX(ROUNDUP(IFERROR(DATEDIF($I183-1,CK$15+1,"m"),)/12,)-1,)*Index!CG$23*(CK$15&lt;=$J183)*(1-CK$12)</f>
        <v>0</v>
      </c>
      <c r="CL183" s="747">
        <f>$G183*$H183*(1+$K183)^MAX(ROUNDUP(IFERROR(DATEDIF($I183-1,CL$15+1,"m"),)/12,)-1,)*Index!CH$23*(CL$15&lt;=$J183)*(1-CL$12)</f>
        <v>0</v>
      </c>
      <c r="CM183" s="747">
        <f>$G183*$H183*(1+$K183)^MAX(ROUNDUP(IFERROR(DATEDIF($I183-1,CM$15+1,"m"),)/12,)-1,)*Index!CI$23*(CM$15&lt;=$J183)*(1-CM$12)</f>
        <v>0</v>
      </c>
      <c r="CN183" s="747">
        <f>$G183*$H183*(1+$K183)^MAX(ROUNDUP(IFERROR(DATEDIF($I183-1,CN$15+1,"m"),)/12,)-1,)*Index!CJ$23*(CN$15&lt;=$J183)*(1-CN$12)</f>
        <v>0</v>
      </c>
      <c r="CO183" s="747">
        <f>$G183*$H183*(1+$K183)^MAX(ROUNDUP(IFERROR(DATEDIF($I183-1,CO$15+1,"m"),)/12,)-1,)*Index!CK$23*(CO$15&lt;=$J183)*(1-CO$12)</f>
        <v>0</v>
      </c>
      <c r="CP183" s="747">
        <f>$G183*$H183*(1+$K183)^MAX(ROUNDUP(IFERROR(DATEDIF($I183-1,CP$15+1,"m"),)/12,)-1,)*Index!CL$23*(CP$15&lt;=$J183)*(1-CP$12)</f>
        <v>0</v>
      </c>
      <c r="CQ183" s="747">
        <f>$G183*$H183*(1+$K183)^MAX(ROUNDUP(IFERROR(DATEDIF($I183-1,CQ$15+1,"m"),)/12,)-1,)*Index!CM$23*(CQ$15&lt;=$J183)*(1-CQ$12)</f>
        <v>0</v>
      </c>
      <c r="CR183" s="747">
        <f>$G183*$H183*(1+$K183)^MAX(ROUNDUP(IFERROR(DATEDIF($I183-1,CR$15+1,"m"),)/12,)-1,)*Index!CN$23*(CR$15&lt;=$J183)*(1-CR$12)</f>
        <v>0</v>
      </c>
      <c r="CS183" s="747">
        <f>$G183*$H183*(1+$K183)^MAX(ROUNDUP(IFERROR(DATEDIF($I183-1,CS$15+1,"m"),)/12,)-1,)*Index!CO$23*(CS$15&lt;=$J183)*(1-CS$12)</f>
        <v>0</v>
      </c>
      <c r="CT183" s="747">
        <f>$G183*$H183*(1+$K183)^MAX(ROUNDUP(IFERROR(DATEDIF($I183-1,CT$15+1,"m"),)/12,)-1,)*Index!CP$23*(CT$15&lt;=$J183)*(1-CT$12)</f>
        <v>0</v>
      </c>
      <c r="CU183" s="747">
        <f>$G183*$H183*(1+$K183)^MAX(ROUNDUP(IFERROR(DATEDIF($I183-1,CU$15+1,"m"),)/12,)-1,)*Index!CQ$23*(CU$15&lt;=$J183)*(1-CU$12)</f>
        <v>0</v>
      </c>
      <c r="CV183" s="747">
        <f>$G183*$H183*(1+$K183)^MAX(ROUNDUP(IFERROR(DATEDIF($I183-1,CV$15+1,"m"),)/12,)-1,)*Index!CR$23*(CV$15&lt;=$J183)*(1-CV$12)</f>
        <v>0</v>
      </c>
      <c r="CW183" s="747">
        <f>$G183*$H183*(1+$K183)^MAX(ROUNDUP(IFERROR(DATEDIF($I183-1,CW$15+1,"m"),)/12,)-1,)*Index!CS$23*(CW$15&lt;=$J183)*(1-CW$12)</f>
        <v>0</v>
      </c>
      <c r="CX183" s="747">
        <f>$G183*$H183*(1+$K183)^MAX(ROUNDUP(IFERROR(DATEDIF($I183-1,CX$15+1,"m"),)/12,)-1,)*Index!CT$23*(CX$15&lt;=$J183)*(1-CX$12)</f>
        <v>0</v>
      </c>
      <c r="CY183" s="747">
        <f>$G183*$H183*(1+$K183)^MAX(ROUNDUP(IFERROR(DATEDIF($I183-1,CY$15+1,"m"),)/12,)-1,)*Index!CU$23*(CY$15&lt;=$J183)*(1-CY$12)</f>
        <v>0</v>
      </c>
      <c r="CZ183" s="747">
        <f>$G183*$H183*(1+$K183)^MAX(ROUNDUP(IFERROR(DATEDIF($I183-1,CZ$15+1,"m"),)/12,)-1,)*Index!CV$23*(CZ$15&lt;=$J183)*(1-CZ$12)</f>
        <v>0</v>
      </c>
      <c r="DA183" s="747">
        <f>$G183*$H183*(1+$K183)^MAX(ROUNDUP(IFERROR(DATEDIF($I183-1,DA$15+1,"m"),)/12,)-1,)*Index!CW$23*(DA$15&lt;=$J183)*(1-DA$12)</f>
        <v>0</v>
      </c>
      <c r="DB183" s="747">
        <f>$G183*$H183*(1+$K183)^MAX(ROUNDUP(IFERROR(DATEDIF($I183-1,DB$15+1,"m"),)/12,)-1,)*Index!CX$23*(DB$15&lt;=$J183)*(1-DB$12)</f>
        <v>0</v>
      </c>
      <c r="DC183" s="747">
        <f>$G183*$H183*(1+$K183)^MAX(ROUNDUP(IFERROR(DATEDIF($I183-1,DC$15+1,"m"),)/12,)-1,)*Index!CY$23*(DC$15&lt;=$J183)*(1-DC$12)</f>
        <v>0</v>
      </c>
      <c r="DD183" s="747">
        <f>$G183*$H183*(1+$K183)^MAX(ROUNDUP(IFERROR(DATEDIF($I183-1,DD$15+1,"m"),)/12,)-1,)*Index!CZ$23*(DD$15&lt;=$J183)*(1-DD$12)</f>
        <v>0</v>
      </c>
      <c r="DE183" s="747">
        <f>$G183*$H183*(1+$K183)^MAX(ROUNDUP(IFERROR(DATEDIF($I183-1,DE$15+1,"m"),)/12,)-1,)*Index!DA$23*(DE$15&lt;=$J183)*(1-DE$12)</f>
        <v>0</v>
      </c>
      <c r="DF183" s="747">
        <f>$G183*$H183*(1+$K183)^MAX(ROUNDUP(IFERROR(DATEDIF($I183-1,DF$15+1,"m"),)/12,)-1,)*Index!DB$23*(DF$15&lt;=$J183)*(1-DF$12)</f>
        <v>0</v>
      </c>
      <c r="DG183" s="747">
        <f>$G183*$H183*(1+$K183)^MAX(ROUNDUP(IFERROR(DATEDIF($I183-1,DG$15+1,"m"),)/12,)-1,)*Index!DC$23*(DG$15&lt;=$J183)*(1-DG$12)</f>
        <v>0</v>
      </c>
      <c r="DH183" s="747">
        <f>$G183*$H183*(1+$K183)^MAX(ROUNDUP(IFERROR(DATEDIF($I183-1,DH$15+1,"m"),)/12,)-1,)*Index!DD$23*(DH$15&lt;=$J183)*(1-DH$12)</f>
        <v>0</v>
      </c>
      <c r="DI183" s="747">
        <f>$G183*$H183*(1+$K183)^MAX(ROUNDUP(IFERROR(DATEDIF($I183-1,DI$15+1,"m"),)/12,)-1,)*Index!DE$23*(DI$15&lt;=$J183)*(1-DI$12)</f>
        <v>0</v>
      </c>
      <c r="DJ183" s="747">
        <f>$G183*$H183*(1+$K183)^MAX(ROUNDUP(IFERROR(DATEDIF($I183-1,DJ$15+1,"m"),)/12,)-1,)*Index!DF$23*(DJ$15&lt;=$J183)*(1-DJ$12)</f>
        <v>0</v>
      </c>
      <c r="DK183" s="747">
        <f>$G183*$H183*(1+$K183)^MAX(ROUNDUP(IFERROR(DATEDIF($I183-1,DK$15+1,"m"),)/12,)-1,)*Index!DG$23*(DK$15&lt;=$J183)*(1-DK$12)</f>
        <v>0</v>
      </c>
      <c r="DL183" s="747">
        <f>$G183*$H183*(1+$K183)^MAX(ROUNDUP(IFERROR(DATEDIF($I183-1,DL$15+1,"m"),)/12,)-1,)*Index!DH$23*(DL$15&lt;=$J183)*(1-DL$12)</f>
        <v>0</v>
      </c>
      <c r="DM183" s="747">
        <f>$G183*$H183*(1+$K183)^MAX(ROUNDUP(IFERROR(DATEDIF($I183-1,DM$15+1,"m"),)/12,)-1,)*Index!DI$23*(DM$15&lt;=$J183)*(1-DM$12)</f>
        <v>0</v>
      </c>
      <c r="DN183" s="747">
        <f>$G183*$H183*(1+$K183)^MAX(ROUNDUP(IFERROR(DATEDIF($I183-1,DN$15+1,"m"),)/12,)-1,)*Index!DJ$23*(DN$15&lt;=$J183)*(1-DN$12)</f>
        <v>0</v>
      </c>
      <c r="DO183" s="747">
        <f>$G183*$H183*(1+$K183)^MAX(ROUNDUP(IFERROR(DATEDIF($I183-1,DO$15+1,"m"),)/12,)-1,)*Index!DK$23*(DO$15&lt;=$J183)*(1-DO$12)</f>
        <v>0</v>
      </c>
      <c r="DP183" s="747">
        <f>$G183*$H183*(1+$K183)^MAX(ROUNDUP(IFERROR(DATEDIF($I183-1,DP$15+1,"m"),)/12,)-1,)*Index!DL$23*(DP$15&lt;=$J183)*(1-DP$12)</f>
        <v>0</v>
      </c>
      <c r="DQ183" s="747">
        <f>$G183*$H183*(1+$K183)^MAX(ROUNDUP(IFERROR(DATEDIF($I183-1,DQ$15+1,"m"),)/12,)-1,)*Index!DM$23*(DQ$15&lt;=$J183)*(1-DQ$12)</f>
        <v>0</v>
      </c>
      <c r="DR183" s="747">
        <f>$G183*$H183*(1+$K183)^MAX(ROUNDUP(IFERROR(DATEDIF($I183-1,DR$15+1,"m"),)/12,)-1,)*Index!DN$23*(DR$15&lt;=$J183)*(1-DR$12)</f>
        <v>0</v>
      </c>
      <c r="DS183" s="747">
        <f>$G183*$H183*(1+$K183)^MAX(ROUNDUP(IFERROR(DATEDIF($I183-1,DS$15+1,"m"),)/12,)-1,)*Index!DO$23*(DS$15&lt;=$J183)*(1-DS$12)</f>
        <v>0</v>
      </c>
      <c r="DT183" s="747">
        <f>$G183*$H183*(1+$K183)^MAX(ROUNDUP(IFERROR(DATEDIF($I183-1,DT$15+1,"m"),)/12,)-1,)*Index!DP$23*(DT$15&lt;=$J183)*(1-DT$12)</f>
        <v>0</v>
      </c>
      <c r="DU183" s="747">
        <f>$G183*$H183*(1+$K183)^MAX(ROUNDUP(IFERROR(DATEDIF($I183-1,DU$15+1,"m"),)/12,)-1,)*Index!DQ$23*(DU$15&lt;=$J183)*(1-DU$12)</f>
        <v>0</v>
      </c>
      <c r="DV183" s="747">
        <f>$G183*$H183*(1+$K183)^MAX(ROUNDUP(IFERROR(DATEDIF($I183-1,DV$15+1,"m"),)/12,)-1,)*Index!DR$23*(DV$15&lt;=$J183)*(1-DV$12)</f>
        <v>0</v>
      </c>
      <c r="DW183" s="747">
        <f>$G183*$H183*(1+$K183)^MAX(ROUNDUP(IFERROR(DATEDIF($I183-1,DW$15+1,"m"),)/12,)-1,)*Index!DS$23*(DW$15&lt;=$J183)*(1-DW$12)</f>
        <v>0</v>
      </c>
      <c r="DX183" s="747">
        <f>$G183*$H183*(1+$K183)^MAX(ROUNDUP(IFERROR(DATEDIF($I183-1,DX$15+1,"m"),)/12,)-1,)*Index!DT$23*(DX$15&lt;=$J183)*(1-DX$12)</f>
        <v>0</v>
      </c>
      <c r="DY183" s="747">
        <f>$G183*$H183*(1+$K183)^MAX(ROUNDUP(IFERROR(DATEDIF($I183-1,DY$15+1,"m"),)/12,)-1,)*Index!DU$23*(DY$15&lt;=$J183)*(1-DY$12)</f>
        <v>0</v>
      </c>
      <c r="DZ183" s="747">
        <f>$G183*$H183*(1+$K183)^MAX(ROUNDUP(IFERROR(DATEDIF($I183-1,DZ$15+1,"m"),)/12,)-1,)*Index!DV$23*(DZ$15&lt;=$J183)*(1-DZ$12)</f>
        <v>0</v>
      </c>
      <c r="EA183" s="747">
        <f>$G183*$H183*(1+$K183)^MAX(ROUNDUP(IFERROR(DATEDIF($I183-1,EA$15+1,"m"),)/12,)-1,)*Index!DW$23*(EA$15&lt;=$J183)*(1-EA$12)</f>
        <v>0</v>
      </c>
      <c r="EB183" s="747">
        <f>$G183*$H183*(1+$K183)^MAX(ROUNDUP(IFERROR(DATEDIF($I183-1,EB$15+1,"m"),)/12,)-1,)*Index!DX$23*(EB$15&lt;=$J183)*(1-EB$12)</f>
        <v>0</v>
      </c>
      <c r="EC183" s="747">
        <f>$G183*$H183*(1+$K183)^MAX(ROUNDUP(IFERROR(DATEDIF($I183-1,EC$15+1,"m"),)/12,)-1,)*Index!DY$23*(EC$15&lt;=$J183)*(1-EC$12)</f>
        <v>0</v>
      </c>
      <c r="ED183" s="747">
        <f>$G183*$H183*(1+$K183)^MAX(ROUNDUP(IFERROR(DATEDIF($I183-1,ED$15+1,"m"),)/12,)-1,)*Index!DZ$23*(ED$15&lt;=$J183)*(1-ED$12)</f>
        <v>0</v>
      </c>
      <c r="EE183" s="747">
        <f>$G183*$H183*(1+$K183)^MAX(ROUNDUP(IFERROR(DATEDIF($I183-1,EE$15+1,"m"),)/12,)-1,)*Index!EA$23*(EE$15&lt;=$J183)*(1-EE$12)</f>
        <v>0</v>
      </c>
      <c r="EF183" s="747">
        <f>$G183*$H183*(1+$K183)^MAX(ROUNDUP(IFERROR(DATEDIF($I183-1,EF$15+1,"m"),)/12,)-1,)*Index!EB$23*(EF$15&lt;=$J183)*(1-EF$12)</f>
        <v>0</v>
      </c>
      <c r="EG183" s="747">
        <f>$G183*$H183*(1+$K183)^MAX(ROUNDUP(IFERROR(DATEDIF($I183-1,EG$15+1,"m"),)/12,)-1,)*Index!EC$23*(EG$15&lt;=$J183)*(1-EG$12)</f>
        <v>0</v>
      </c>
      <c r="EH183" s="747">
        <f>$G183*$H183*(1+$K183)^MAX(ROUNDUP(IFERROR(DATEDIF($I183-1,EH$15+1,"m"),)/12,)-1,)*Index!ED$23*(EH$15&lt;=$J183)*(1-EH$12)</f>
        <v>0</v>
      </c>
      <c r="EI183" s="747">
        <f>$G183*$H183*(1+$K183)^MAX(ROUNDUP(IFERROR(DATEDIF($I183-1,EI$15+1,"m"),)/12,)-1,)*Index!EE$23*(EI$15&lt;=$J183)*(1-EI$12)</f>
        <v>0</v>
      </c>
      <c r="EJ183" s="747">
        <f>$G183*$H183*(1+$K183)^MAX(ROUNDUP(IFERROR(DATEDIF($I183-1,EJ$15+1,"m"),)/12,)-1,)*Index!EF$23*(EJ$15&lt;=$J183)*(1-EJ$12)</f>
        <v>0</v>
      </c>
      <c r="EK183" s="747">
        <f>$G183*$H183*(1+$K183)^MAX(ROUNDUP(IFERROR(DATEDIF($I183-1,EK$15+1,"m"),)/12,)-1,)*Index!EG$23*(EK$15&lt;=$J183)*(1-EK$12)</f>
        <v>0</v>
      </c>
      <c r="EL183" s="747">
        <f>$G183*$H183*(1+$K183)^MAX(ROUNDUP(IFERROR(DATEDIF($I183-1,EL$15+1,"m"),)/12,)-1,)*Index!EH$23*(EL$15&lt;=$J183)*(1-EL$12)</f>
        <v>0</v>
      </c>
      <c r="EM183" s="747">
        <f>$G183*$H183*(1+$K183)^MAX(ROUNDUP(IFERROR(DATEDIF($I183-1,EM$15+1,"m"),)/12,)-1,)*Index!EI$23*(EM$15&lt;=$J183)*(1-EM$12)</f>
        <v>0</v>
      </c>
      <c r="EN183" s="747">
        <f>$G183*$H183*(1+$K183)^MAX(ROUNDUP(IFERROR(DATEDIF($I183-1,EN$15+1,"m"),)/12,)-1,)*Index!EJ$23*(EN$15&lt;=$J183)*(1-EN$12)</f>
        <v>0</v>
      </c>
      <c r="EO183" s="747">
        <f>$G183*$H183*(1+$K183)^MAX(ROUNDUP(IFERROR(DATEDIF($I183-1,EO$15+1,"m"),)/12,)-1,)*Index!EK$23*(EO$15&lt;=$J183)*(1-EO$12)</f>
        <v>0</v>
      </c>
      <c r="EP183" s="747">
        <f>$G183*$H183*(1+$K183)^MAX(ROUNDUP(IFERROR(DATEDIF($I183-1,EP$15+1,"m"),)/12,)-1,)*Index!EL$23*(EP$15&lt;=$J183)*(1-EP$12)</f>
        <v>0</v>
      </c>
      <c r="EQ183" s="747">
        <f>$G183*$H183*(1+$K183)^MAX(ROUNDUP(IFERROR(DATEDIF($I183-1,EQ$15+1,"m"),)/12,)-1,)*Index!EM$23*(EQ$15&lt;=$J183)*(1-EQ$12)</f>
        <v>0</v>
      </c>
      <c r="ER183" s="747">
        <f>$G183*$H183*(1+$K183)^MAX(ROUNDUP(IFERROR(DATEDIF($I183-1,ER$15+1,"m"),)/12,)-1,)*Index!EN$23*(ER$15&lt;=$J183)*(1-ER$12)</f>
        <v>0</v>
      </c>
      <c r="ES183" s="747">
        <f>$G183*$H183*(1+$K183)^MAX(ROUNDUP(IFERROR(DATEDIF($I183-1,ES$15+1,"m"),)/12,)-1,)*Index!EO$23*(ES$15&lt;=$J183)*(1-ES$12)</f>
        <v>0</v>
      </c>
      <c r="ET183" s="747">
        <f>$G183*$H183*(1+$K183)^MAX(ROUNDUP(IFERROR(DATEDIF($I183-1,ET$15+1,"m"),)/12,)-1,)*Index!EP$23*(ET$15&lt;=$J183)*(1-ET$12)</f>
        <v>0</v>
      </c>
      <c r="EU183" s="747">
        <f>$G183*$H183*(1+$K183)^MAX(ROUNDUP(IFERROR(DATEDIF($I183-1,EU$15+1,"m"),)/12,)-1,)*Index!EQ$23*(EU$15&lt;=$J183)*(1-EU$12)</f>
        <v>0</v>
      </c>
    </row>
    <row r="184" spans="3:151" ht="11.25" customHeight="1">
      <c r="C184" s="828"/>
      <c r="D184" s="743">
        <f t="shared" ref="D184:K184" si="256">D148</f>
        <v>7</v>
      </c>
      <c r="E184" s="704" t="str">
        <f t="shared" si="256"/>
        <v>쿠팡</v>
      </c>
      <c r="F184" s="704" t="str">
        <f t="shared" si="256"/>
        <v>상온창고</v>
      </c>
      <c r="G184" s="781">
        <f t="shared" si="256"/>
        <v>3</v>
      </c>
      <c r="H184" s="744">
        <f t="shared" si="256"/>
        <v>1550.42</v>
      </c>
      <c r="I184" s="745">
        <f t="shared" si="256"/>
        <v>45323</v>
      </c>
      <c r="J184" s="745">
        <f t="shared" si="256"/>
        <v>49064</v>
      </c>
      <c r="K184" s="754">
        <f t="shared" si="256"/>
        <v>2.5000000000000001E-2</v>
      </c>
      <c r="L184" s="746"/>
      <c r="M184" s="722"/>
      <c r="N184" s="747">
        <f t="shared" si="252"/>
        <v>0</v>
      </c>
      <c r="O184" s="733"/>
      <c r="P184" s="747">
        <f>$G184*$H184*(1+$K184)^MAX(ROUNDUP(IFERROR(DATEDIF($I184-1,P$15+1,"m"),)/12,)-1,)*Index!L$23*(P$15&lt;=$J184)*(1-P$12)</f>
        <v>0</v>
      </c>
      <c r="Q184" s="747">
        <f>$G184*$H184*(1+$K184)^MAX(ROUNDUP(IFERROR(DATEDIF($I184-1,Q$15+1,"m"),)/12,)-1,)*Index!M$23*(Q$15&lt;=$J184)*(1-Q$12)</f>
        <v>0</v>
      </c>
      <c r="R184" s="747">
        <f>$G184*$H184*(1+$K184)^MAX(ROUNDUP(IFERROR(DATEDIF($I184-1,R$15+1,"m"),)/12,)-1,)*Index!N$23*(R$15&lt;=$J184)*(1-R$12)</f>
        <v>0</v>
      </c>
      <c r="S184" s="747">
        <f>$G184*$H184*(1+$K184)^MAX(ROUNDUP(IFERROR(DATEDIF($I184-1,S$15+1,"m"),)/12,)-1,)*Index!O$23*(S$15&lt;=$J184)*(1-S$12)</f>
        <v>0</v>
      </c>
      <c r="T184" s="747">
        <f>$G184*$H184*(1+$K184)^MAX(ROUNDUP(IFERROR(DATEDIF($I184-1,T$15+1,"m"),)/12,)-1,)*Index!P$23*(T$15&lt;=$J184)*(1-T$12)</f>
        <v>0</v>
      </c>
      <c r="U184" s="747">
        <f>$G184*$H184*(1+$K184)^MAX(ROUNDUP(IFERROR(DATEDIF($I184-1,U$15+1,"m"),)/12,)-1,)*Index!Q$23*(U$15&lt;=$J184)*(1-U$12)</f>
        <v>0</v>
      </c>
      <c r="V184" s="747">
        <f>$G184*$H184*(1+$K184)^MAX(ROUNDUP(IFERROR(DATEDIF($I184-1,V$15+1,"m"),)/12,)-1,)*Index!R$23*(V$15&lt;=$J184)*(1-V$12)</f>
        <v>0</v>
      </c>
      <c r="W184" s="747">
        <f>$G184*$H184*(1+$K184)^MAX(ROUNDUP(IFERROR(DATEDIF($I184-1,W$15+1,"m"),)/12,)-1,)*Index!S$23*(W$15&lt;=$J184)*(1-W$12)</f>
        <v>0</v>
      </c>
      <c r="X184" s="747">
        <f>$G184*$H184*(1+$K184)^MAX(ROUNDUP(IFERROR(DATEDIF($I184-1,X$15+1,"m"),)/12,)-1,)*Index!T$23*(X$15&lt;=$J184)*(1-X$12)</f>
        <v>0</v>
      </c>
      <c r="Y184" s="747">
        <f>$G184*$H184*(1+$K184)^MAX(ROUNDUP(IFERROR(DATEDIF($I184-1,Y$15+1,"m"),)/12,)-1,)*Index!U$23*(Y$15&lt;=$J184)*(1-Y$12)</f>
        <v>0</v>
      </c>
      <c r="Z184" s="747">
        <f>$G184*$H184*(1+$K184)^MAX(ROUNDUP(IFERROR(DATEDIF($I184-1,Z$15+1,"m"),)/12,)-1,)*Index!V$23*(Z$15&lt;=$J184)*(1-Z$12)</f>
        <v>0</v>
      </c>
      <c r="AA184" s="747">
        <f>$G184*$H184*(1+$K184)^MAX(ROUNDUP(IFERROR(DATEDIF($I184-1,AA$15+1,"m"),)/12,)-1,)*Index!W$23*(AA$15&lt;=$J184)*(1-AA$12)</f>
        <v>0</v>
      </c>
      <c r="AB184" s="747">
        <f>$G184*$H184*(1+$K184)^MAX(ROUNDUP(IFERROR(DATEDIF($I184-1,AB$15+1,"m"),)/12,)-1,)*Index!X$23*(AB$15&lt;=$J184)*(1-AB$12)</f>
        <v>0</v>
      </c>
      <c r="AC184" s="747">
        <f>$G184*$H184*(1+$K184)^MAX(ROUNDUP(IFERROR(DATEDIF($I184-1,AC$15+1,"m"),)/12,)-1,)*Index!Y$23*(AC$15&lt;=$J184)*(1-AC$12)</f>
        <v>0</v>
      </c>
      <c r="AD184" s="747">
        <f>$G184*$H184*(1+$K184)^MAX(ROUNDUP(IFERROR(DATEDIF($I184-1,AD$15+1,"m"),)/12,)-1,)*Index!Z$23*(AD$15&lt;=$J184)*(1-AD$12)</f>
        <v>0</v>
      </c>
      <c r="AE184" s="747">
        <f>$G184*$H184*(1+$K184)^MAX(ROUNDUP(IFERROR(DATEDIF($I184-1,AE$15+1,"m"),)/12,)-1,)*Index!AA$23*(AE$15&lt;=$J184)*(1-AE$12)</f>
        <v>0</v>
      </c>
      <c r="AF184" s="747">
        <f>$G184*$H184*(1+$K184)^MAX(ROUNDUP(IFERROR(DATEDIF($I184-1,AF$15+1,"m"),)/12,)-1,)*Index!AB$23*(AF$15&lt;=$J184)*(1-AF$12)</f>
        <v>0</v>
      </c>
      <c r="AG184" s="747">
        <f>$G184*$H184*(1+$K184)^MAX(ROUNDUP(IFERROR(DATEDIF($I184-1,AG$15+1,"m"),)/12,)-1,)*Index!AC$23*(AG$15&lt;=$J184)*(1-AG$12)</f>
        <v>0</v>
      </c>
      <c r="AH184" s="747">
        <f>$G184*$H184*(1+$K184)^MAX(ROUNDUP(IFERROR(DATEDIF($I184-1,AH$15+1,"m"),)/12,)-1,)*Index!AD$23*(AH$15&lt;=$J184)*(1-AH$12)</f>
        <v>0</v>
      </c>
      <c r="AI184" s="747">
        <f>$G184*$H184*(1+$K184)^MAX(ROUNDUP(IFERROR(DATEDIF($I184-1,AI$15+1,"m"),)/12,)-1,)*Index!AE$23*(AI$15&lt;=$J184)*(1-AI$12)</f>
        <v>0</v>
      </c>
      <c r="AJ184" s="747">
        <f>$G184*$H184*(1+$K184)^MAX(ROUNDUP(IFERROR(DATEDIF($I184-1,AJ$15+1,"m"),)/12,)-1,)*Index!AF$23*(AJ$15&lt;=$J184)*(1-AJ$12)</f>
        <v>0</v>
      </c>
      <c r="AK184" s="747">
        <f>$G184*$H184*(1+$K184)^MAX(ROUNDUP(IFERROR(DATEDIF($I184-1,AK$15+1,"m"),)/12,)-1,)*Index!AG$23*(AK$15&lt;=$J184)*(1-AK$12)</f>
        <v>0</v>
      </c>
      <c r="AL184" s="747">
        <f>$G184*$H184*(1+$K184)^MAX(ROUNDUP(IFERROR(DATEDIF($I184-1,AL$15+1,"m"),)/12,)-1,)*Index!AH$23*(AL$15&lt;=$J184)*(1-AL$12)</f>
        <v>0</v>
      </c>
      <c r="AM184" s="747">
        <f>$G184*$H184*(1+$K184)^MAX(ROUNDUP(IFERROR(DATEDIF($I184-1,AM$15+1,"m"),)/12,)-1,)*Index!AI$23*(AM$15&lt;=$J184)*(1-AM$12)</f>
        <v>0</v>
      </c>
      <c r="AN184" s="747">
        <f>$G184*$H184*(1+$K184)^MAX(ROUNDUP(IFERROR(DATEDIF($I184-1,AN$15+1,"m"),)/12,)-1,)*Index!AJ$23*(AN$15&lt;=$J184)*(1-AN$12)</f>
        <v>0</v>
      </c>
      <c r="AO184" s="747">
        <f>$G184*$H184*(1+$K184)^MAX(ROUNDUP(IFERROR(DATEDIF($I184-1,AO$15+1,"m"),)/12,)-1,)*Index!AK$23*(AO$15&lt;=$J184)*(1-AO$12)</f>
        <v>0</v>
      </c>
      <c r="AP184" s="747">
        <f>$G184*$H184*(1+$K184)^MAX(ROUNDUP(IFERROR(DATEDIF($I184-1,AP$15+1,"m"),)/12,)-1,)*Index!AL$23*(AP$15&lt;=$J184)*(1-AP$12)</f>
        <v>0</v>
      </c>
      <c r="AQ184" s="747">
        <f>$G184*$H184*(1+$K184)^MAX(ROUNDUP(IFERROR(DATEDIF($I184-1,AQ$15+1,"m"),)/12,)-1,)*Index!AM$23*(AQ$15&lt;=$J184)*(1-AQ$12)</f>
        <v>0</v>
      </c>
      <c r="AR184" s="747">
        <f>$G184*$H184*(1+$K184)^MAX(ROUNDUP(IFERROR(DATEDIF($I184-1,AR$15+1,"m"),)/12,)-1,)*Index!AN$23*(AR$15&lt;=$J184)*(1-AR$12)</f>
        <v>0</v>
      </c>
      <c r="AS184" s="747">
        <f>$G184*$H184*(1+$K184)^MAX(ROUNDUP(IFERROR(DATEDIF($I184-1,AS$15+1,"m"),)/12,)-1,)*Index!AO$23*(AS$15&lt;=$J184)*(1-AS$12)</f>
        <v>0</v>
      </c>
      <c r="AT184" s="747">
        <f>$G184*$H184*(1+$K184)^MAX(ROUNDUP(IFERROR(DATEDIF($I184-1,AT$15+1,"m"),)/12,)-1,)*Index!AP$23*(AT$15&lt;=$J184)*(1-AT$12)</f>
        <v>0</v>
      </c>
      <c r="AU184" s="747">
        <f>$G184*$H184*(1+$K184)^MAX(ROUNDUP(IFERROR(DATEDIF($I184-1,AU$15+1,"m"),)/12,)-1,)*Index!AQ$23*(AU$15&lt;=$J184)*(1-AU$12)</f>
        <v>0</v>
      </c>
      <c r="AV184" s="747">
        <f>$G184*$H184*(1+$K184)^MAX(ROUNDUP(IFERROR(DATEDIF($I184-1,AV$15+1,"m"),)/12,)-1,)*Index!AR$23*(AV$15&lt;=$J184)*(1-AV$12)</f>
        <v>0</v>
      </c>
      <c r="AW184" s="747">
        <f>$G184*$H184*(1+$K184)^MAX(ROUNDUP(IFERROR(DATEDIF($I184-1,AW$15+1,"m"),)/12,)-1,)*Index!AS$23*(AW$15&lt;=$J184)*(1-AW$12)</f>
        <v>0</v>
      </c>
      <c r="AX184" s="747">
        <f>$G184*$H184*(1+$K184)^MAX(ROUNDUP(IFERROR(DATEDIF($I184-1,AX$15+1,"m"),)/12,)-1,)*Index!AT$23*(AX$15&lt;=$J184)*(1-AX$12)</f>
        <v>0</v>
      </c>
      <c r="AY184" s="747">
        <f>$G184*$H184*(1+$K184)^MAX(ROUNDUP(IFERROR(DATEDIF($I184-1,AY$15+1,"m"),)/12,)-1,)*Index!AU$23*(AY$15&lt;=$J184)*(1-AY$12)</f>
        <v>0</v>
      </c>
      <c r="AZ184" s="747">
        <f>$G184*$H184*(1+$K184)^MAX(ROUNDUP(IFERROR(DATEDIF($I184-1,AZ$15+1,"m"),)/12,)-1,)*Index!AV$23*(AZ$15&lt;=$J184)*(1-AZ$12)</f>
        <v>0</v>
      </c>
      <c r="BA184" s="747">
        <f>$G184*$H184*(1+$K184)^MAX(ROUNDUP(IFERROR(DATEDIF($I184-1,BA$15+1,"m"),)/12,)-1,)*Index!AW$23*(BA$15&lt;=$J184)*(1-BA$12)</f>
        <v>0</v>
      </c>
      <c r="BB184" s="747">
        <f>$G184*$H184*(1+$K184)^MAX(ROUNDUP(IFERROR(DATEDIF($I184-1,BB$15+1,"m"),)/12,)-1,)*Index!AX$23*(BB$15&lt;=$J184)*(1-BB$12)</f>
        <v>0</v>
      </c>
      <c r="BC184" s="747">
        <f>$G184*$H184*(1+$K184)^MAX(ROUNDUP(IFERROR(DATEDIF($I184-1,BC$15+1,"m"),)/12,)-1,)*Index!AY$23*(BC$15&lt;=$J184)*(1-BC$12)</f>
        <v>0</v>
      </c>
      <c r="BD184" s="747">
        <f>$G184*$H184*(1+$K184)^MAX(ROUNDUP(IFERROR(DATEDIF($I184-1,BD$15+1,"m"),)/12,)-1,)*Index!AZ$23*(BD$15&lt;=$J184)*(1-BD$12)</f>
        <v>0</v>
      </c>
      <c r="BE184" s="747">
        <f>$G184*$H184*(1+$K184)^MAX(ROUNDUP(IFERROR(DATEDIF($I184-1,BE$15+1,"m"),)/12,)-1,)*Index!BA$23*(BE$15&lt;=$J184)*(1-BE$12)</f>
        <v>0</v>
      </c>
      <c r="BF184" s="747">
        <f>$G184*$H184*(1+$K184)^MAX(ROUNDUP(IFERROR(DATEDIF($I184-1,BF$15+1,"m"),)/12,)-1,)*Index!BB$23*(BF$15&lt;=$J184)*(1-BF$12)</f>
        <v>0</v>
      </c>
      <c r="BG184" s="747">
        <f>$G184*$H184*(1+$K184)^MAX(ROUNDUP(IFERROR(DATEDIF($I184-1,BG$15+1,"m"),)/12,)-1,)*Index!BC$23*(BG$15&lt;=$J184)*(1-BG$12)</f>
        <v>0</v>
      </c>
      <c r="BH184" s="747">
        <f>$G184*$H184*(1+$K184)^MAX(ROUNDUP(IFERROR(DATEDIF($I184-1,BH$15+1,"m"),)/12,)-1,)*Index!BD$23*(BH$15&lt;=$J184)*(1-BH$12)</f>
        <v>0</v>
      </c>
      <c r="BI184" s="747">
        <f>$G184*$H184*(1+$K184)^MAX(ROUNDUP(IFERROR(DATEDIF($I184-1,BI$15+1,"m"),)/12,)-1,)*Index!BE$23*(BI$15&lt;=$J184)*(1-BI$12)</f>
        <v>0</v>
      </c>
      <c r="BJ184" s="747">
        <f>$G184*$H184*(1+$K184)^MAX(ROUNDUP(IFERROR(DATEDIF($I184-1,BJ$15+1,"m"),)/12,)-1,)*Index!BF$23*(BJ$15&lt;=$J184)*(1-BJ$12)</f>
        <v>0</v>
      </c>
      <c r="BK184" s="747">
        <f>$G184*$H184*(1+$K184)^MAX(ROUNDUP(IFERROR(DATEDIF($I184-1,BK$15+1,"m"),)/12,)-1,)*Index!BG$23*(BK$15&lt;=$J184)*(1-BK$12)</f>
        <v>0</v>
      </c>
      <c r="BL184" s="747">
        <f>$G184*$H184*(1+$K184)^MAX(ROUNDUP(IFERROR(DATEDIF($I184-1,BL$15+1,"m"),)/12,)-1,)*Index!BH$23*(BL$15&lt;=$J184)*(1-BL$12)</f>
        <v>0</v>
      </c>
      <c r="BM184" s="747">
        <f>$G184*$H184*(1+$K184)^MAX(ROUNDUP(IFERROR(DATEDIF($I184-1,BM$15+1,"m"),)/12,)-1,)*Index!BI$23*(BM$15&lt;=$J184)*(1-BM$12)</f>
        <v>0</v>
      </c>
      <c r="BN184" s="747">
        <f>$G184*$H184*(1+$K184)^MAX(ROUNDUP(IFERROR(DATEDIF($I184-1,BN$15+1,"m"),)/12,)-1,)*Index!BJ$23*(BN$15&lt;=$J184)*(1-BN$12)</f>
        <v>0</v>
      </c>
      <c r="BO184" s="747">
        <f>$G184*$H184*(1+$K184)^MAX(ROUNDUP(IFERROR(DATEDIF($I184-1,BO$15+1,"m"),)/12,)-1,)*Index!BK$23*(BO$15&lt;=$J184)*(1-BO$12)</f>
        <v>0</v>
      </c>
      <c r="BP184" s="747">
        <f>$G184*$H184*(1+$K184)^MAX(ROUNDUP(IFERROR(DATEDIF($I184-1,BP$15+1,"m"),)/12,)-1,)*Index!BL$23*(BP$15&lt;=$J184)*(1-BP$12)</f>
        <v>0</v>
      </c>
      <c r="BQ184" s="747">
        <f>$G184*$H184*(1+$K184)^MAX(ROUNDUP(IFERROR(DATEDIF($I184-1,BQ$15+1,"m"),)/12,)-1,)*Index!BM$23*(BQ$15&lt;=$J184)*(1-BQ$12)</f>
        <v>0</v>
      </c>
      <c r="BR184" s="747">
        <f>$G184*$H184*(1+$K184)^MAX(ROUNDUP(IFERROR(DATEDIF($I184-1,BR$15+1,"m"),)/12,)-1,)*Index!BN$23*(BR$15&lt;=$J184)*(1-BR$12)</f>
        <v>0</v>
      </c>
      <c r="BS184" s="747">
        <f>$G184*$H184*(1+$K184)^MAX(ROUNDUP(IFERROR(DATEDIF($I184-1,BS$15+1,"m"),)/12,)-1,)*Index!BO$23*(BS$15&lt;=$J184)*(1-BS$12)</f>
        <v>0</v>
      </c>
      <c r="BT184" s="747">
        <f>$G184*$H184*(1+$K184)^MAX(ROUNDUP(IFERROR(DATEDIF($I184-1,BT$15+1,"m"),)/12,)-1,)*Index!BP$23*(BT$15&lt;=$J184)*(1-BT$12)</f>
        <v>0</v>
      </c>
      <c r="BU184" s="747">
        <f>$G184*$H184*(1+$K184)^MAX(ROUNDUP(IFERROR(DATEDIF($I184-1,BU$15+1,"m"),)/12,)-1,)*Index!BQ$23*(BU$15&lt;=$J184)*(1-BU$12)</f>
        <v>0</v>
      </c>
      <c r="BV184" s="747">
        <f>$G184*$H184*(1+$K184)^MAX(ROUNDUP(IFERROR(DATEDIF($I184-1,BV$15+1,"m"),)/12,)-1,)*Index!BR$23*(BV$15&lt;=$J184)*(1-BV$12)</f>
        <v>0</v>
      </c>
      <c r="BW184" s="747">
        <f>$G184*$H184*(1+$K184)^MAX(ROUNDUP(IFERROR(DATEDIF($I184-1,BW$15+1,"m"),)/12,)-1,)*Index!BS$23*(BW$15&lt;=$J184)*(1-BW$12)</f>
        <v>0</v>
      </c>
      <c r="BX184" s="747">
        <f>$G184*$H184*(1+$K184)^MAX(ROUNDUP(IFERROR(DATEDIF($I184-1,BX$15+1,"m"),)/12,)-1,)*Index!BT$23*(BX$15&lt;=$J184)*(1-BX$12)</f>
        <v>0</v>
      </c>
      <c r="BY184" s="747">
        <f>$G184*$H184*(1+$K184)^MAX(ROUNDUP(IFERROR(DATEDIF($I184-1,BY$15+1,"m"),)/12,)-1,)*Index!BU$23*(BY$15&lt;=$J184)*(1-BY$12)</f>
        <v>0</v>
      </c>
      <c r="BZ184" s="747">
        <f>$G184*$H184*(1+$K184)^MAX(ROUNDUP(IFERROR(DATEDIF($I184-1,BZ$15+1,"m"),)/12,)-1,)*Index!BV$23*(BZ$15&lt;=$J184)*(1-BZ$12)</f>
        <v>0</v>
      </c>
      <c r="CA184" s="747">
        <f>$G184*$H184*(1+$K184)^MAX(ROUNDUP(IFERROR(DATEDIF($I184-1,CA$15+1,"m"),)/12,)-1,)*Index!BW$23*(CA$15&lt;=$J184)*(1-CA$12)</f>
        <v>0</v>
      </c>
      <c r="CB184" s="747">
        <f>$G184*$H184*(1+$K184)^MAX(ROUNDUP(IFERROR(DATEDIF($I184-1,CB$15+1,"m"),)/12,)-1,)*Index!BX$23*(CB$15&lt;=$J184)*(1-CB$12)</f>
        <v>0</v>
      </c>
      <c r="CC184" s="747">
        <f>$G184*$H184*(1+$K184)^MAX(ROUNDUP(IFERROR(DATEDIF($I184-1,CC$15+1,"m"),)/12,)-1,)*Index!BY$23*(CC$15&lt;=$J184)*(1-CC$12)</f>
        <v>0</v>
      </c>
      <c r="CD184" s="747">
        <f>$G184*$H184*(1+$K184)^MAX(ROUNDUP(IFERROR(DATEDIF($I184-1,CD$15+1,"m"),)/12,)-1,)*Index!BZ$23*(CD$15&lt;=$J184)*(1-CD$12)</f>
        <v>0</v>
      </c>
      <c r="CE184" s="747">
        <f>$G184*$H184*(1+$K184)^MAX(ROUNDUP(IFERROR(DATEDIF($I184-1,CE$15+1,"m"),)/12,)-1,)*Index!CA$23*(CE$15&lt;=$J184)*(1-CE$12)</f>
        <v>0</v>
      </c>
      <c r="CF184" s="747">
        <f>$G184*$H184*(1+$K184)^MAX(ROUNDUP(IFERROR(DATEDIF($I184-1,CF$15+1,"m"),)/12,)-1,)*Index!CB$23*(CF$15&lt;=$J184)*(1-CF$12)</f>
        <v>0</v>
      </c>
      <c r="CG184" s="747">
        <f>$G184*$H184*(1+$K184)^MAX(ROUNDUP(IFERROR(DATEDIF($I184-1,CG$15+1,"m"),)/12,)-1,)*Index!CC$23*(CG$15&lt;=$J184)*(1-CG$12)</f>
        <v>0</v>
      </c>
      <c r="CH184" s="747">
        <f>$G184*$H184*(1+$K184)^MAX(ROUNDUP(IFERROR(DATEDIF($I184-1,CH$15+1,"m"),)/12,)-1,)*Index!CD$23*(CH$15&lt;=$J184)*(1-CH$12)</f>
        <v>0</v>
      </c>
      <c r="CI184" s="747">
        <f>$G184*$H184*(1+$K184)^MAX(ROUNDUP(IFERROR(DATEDIF($I184-1,CI$15+1,"m"),)/12,)-1,)*Index!CE$23*(CI$15&lt;=$J184)*(1-CI$12)</f>
        <v>0</v>
      </c>
      <c r="CJ184" s="747">
        <f>$G184*$H184*(1+$K184)^MAX(ROUNDUP(IFERROR(DATEDIF($I184-1,CJ$15+1,"m"),)/12,)-1,)*Index!CF$23*(CJ$15&lt;=$J184)*(1-CJ$12)</f>
        <v>0</v>
      </c>
      <c r="CK184" s="747">
        <f>$G184*$H184*(1+$K184)^MAX(ROUNDUP(IFERROR(DATEDIF($I184-1,CK$15+1,"m"),)/12,)-1,)*Index!CG$23*(CK$15&lt;=$J184)*(1-CK$12)</f>
        <v>0</v>
      </c>
      <c r="CL184" s="747">
        <f>$G184*$H184*(1+$K184)^MAX(ROUNDUP(IFERROR(DATEDIF($I184-1,CL$15+1,"m"),)/12,)-1,)*Index!CH$23*(CL$15&lt;=$J184)*(1-CL$12)</f>
        <v>0</v>
      </c>
      <c r="CM184" s="747">
        <f>$G184*$H184*(1+$K184)^MAX(ROUNDUP(IFERROR(DATEDIF($I184-1,CM$15+1,"m"),)/12,)-1,)*Index!CI$23*(CM$15&lt;=$J184)*(1-CM$12)</f>
        <v>0</v>
      </c>
      <c r="CN184" s="747">
        <f>$G184*$H184*(1+$K184)^MAX(ROUNDUP(IFERROR(DATEDIF($I184-1,CN$15+1,"m"),)/12,)-1,)*Index!CJ$23*(CN$15&lt;=$J184)*(1-CN$12)</f>
        <v>0</v>
      </c>
      <c r="CO184" s="747">
        <f>$G184*$H184*(1+$K184)^MAX(ROUNDUP(IFERROR(DATEDIF($I184-1,CO$15+1,"m"),)/12,)-1,)*Index!CK$23*(CO$15&lt;=$J184)*(1-CO$12)</f>
        <v>0</v>
      </c>
      <c r="CP184" s="747">
        <f>$G184*$H184*(1+$K184)^MAX(ROUNDUP(IFERROR(DATEDIF($I184-1,CP$15+1,"m"),)/12,)-1,)*Index!CL$23*(CP$15&lt;=$J184)*(1-CP$12)</f>
        <v>0</v>
      </c>
      <c r="CQ184" s="747">
        <f>$G184*$H184*(1+$K184)^MAX(ROUNDUP(IFERROR(DATEDIF($I184-1,CQ$15+1,"m"),)/12,)-1,)*Index!CM$23*(CQ$15&lt;=$J184)*(1-CQ$12)</f>
        <v>0</v>
      </c>
      <c r="CR184" s="747">
        <f>$G184*$H184*(1+$K184)^MAX(ROUNDUP(IFERROR(DATEDIF($I184-1,CR$15+1,"m"),)/12,)-1,)*Index!CN$23*(CR$15&lt;=$J184)*(1-CR$12)</f>
        <v>0</v>
      </c>
      <c r="CS184" s="747">
        <f>$G184*$H184*(1+$K184)^MAX(ROUNDUP(IFERROR(DATEDIF($I184-1,CS$15+1,"m"),)/12,)-1,)*Index!CO$23*(CS$15&lt;=$J184)*(1-CS$12)</f>
        <v>0</v>
      </c>
      <c r="CT184" s="747">
        <f>$G184*$H184*(1+$K184)^MAX(ROUNDUP(IFERROR(DATEDIF($I184-1,CT$15+1,"m"),)/12,)-1,)*Index!CP$23*(CT$15&lt;=$J184)*(1-CT$12)</f>
        <v>0</v>
      </c>
      <c r="CU184" s="747">
        <f>$G184*$H184*(1+$K184)^MAX(ROUNDUP(IFERROR(DATEDIF($I184-1,CU$15+1,"m"),)/12,)-1,)*Index!CQ$23*(CU$15&lt;=$J184)*(1-CU$12)</f>
        <v>0</v>
      </c>
      <c r="CV184" s="747">
        <f>$G184*$H184*(1+$K184)^MAX(ROUNDUP(IFERROR(DATEDIF($I184-1,CV$15+1,"m"),)/12,)-1,)*Index!CR$23*(CV$15&lt;=$J184)*(1-CV$12)</f>
        <v>0</v>
      </c>
      <c r="CW184" s="747">
        <f>$G184*$H184*(1+$K184)^MAX(ROUNDUP(IFERROR(DATEDIF($I184-1,CW$15+1,"m"),)/12,)-1,)*Index!CS$23*(CW$15&lt;=$J184)*(1-CW$12)</f>
        <v>0</v>
      </c>
      <c r="CX184" s="747">
        <f>$G184*$H184*(1+$K184)^MAX(ROUNDUP(IFERROR(DATEDIF($I184-1,CX$15+1,"m"),)/12,)-1,)*Index!CT$23*(CX$15&lt;=$J184)*(1-CX$12)</f>
        <v>0</v>
      </c>
      <c r="CY184" s="747">
        <f>$G184*$H184*(1+$K184)^MAX(ROUNDUP(IFERROR(DATEDIF($I184-1,CY$15+1,"m"),)/12,)-1,)*Index!CU$23*(CY$15&lt;=$J184)*(1-CY$12)</f>
        <v>0</v>
      </c>
      <c r="CZ184" s="747">
        <f>$G184*$H184*(1+$K184)^MAX(ROUNDUP(IFERROR(DATEDIF($I184-1,CZ$15+1,"m"),)/12,)-1,)*Index!CV$23*(CZ$15&lt;=$J184)*(1-CZ$12)</f>
        <v>0</v>
      </c>
      <c r="DA184" s="747">
        <f>$G184*$H184*(1+$K184)^MAX(ROUNDUP(IFERROR(DATEDIF($I184-1,DA$15+1,"m"),)/12,)-1,)*Index!CW$23*(DA$15&lt;=$J184)*(1-DA$12)</f>
        <v>0</v>
      </c>
      <c r="DB184" s="747">
        <f>$G184*$H184*(1+$K184)^MAX(ROUNDUP(IFERROR(DATEDIF($I184-1,DB$15+1,"m"),)/12,)-1,)*Index!CX$23*(DB$15&lt;=$J184)*(1-DB$12)</f>
        <v>0</v>
      </c>
      <c r="DC184" s="747">
        <f>$G184*$H184*(1+$K184)^MAX(ROUNDUP(IFERROR(DATEDIF($I184-1,DC$15+1,"m"),)/12,)-1,)*Index!CY$23*(DC$15&lt;=$J184)*(1-DC$12)</f>
        <v>0</v>
      </c>
      <c r="DD184" s="747">
        <f>$G184*$H184*(1+$K184)^MAX(ROUNDUP(IFERROR(DATEDIF($I184-1,DD$15+1,"m"),)/12,)-1,)*Index!CZ$23*(DD$15&lt;=$J184)*(1-DD$12)</f>
        <v>0</v>
      </c>
      <c r="DE184" s="747">
        <f>$G184*$H184*(1+$K184)^MAX(ROUNDUP(IFERROR(DATEDIF($I184-1,DE$15+1,"m"),)/12,)-1,)*Index!DA$23*(DE$15&lt;=$J184)*(1-DE$12)</f>
        <v>0</v>
      </c>
      <c r="DF184" s="747">
        <f>$G184*$H184*(1+$K184)^MAX(ROUNDUP(IFERROR(DATEDIF($I184-1,DF$15+1,"m"),)/12,)-1,)*Index!DB$23*(DF$15&lt;=$J184)*(1-DF$12)</f>
        <v>0</v>
      </c>
      <c r="DG184" s="747">
        <f>$G184*$H184*(1+$K184)^MAX(ROUNDUP(IFERROR(DATEDIF($I184-1,DG$15+1,"m"),)/12,)-1,)*Index!DC$23*(DG$15&lt;=$J184)*(1-DG$12)</f>
        <v>0</v>
      </c>
      <c r="DH184" s="747">
        <f>$G184*$H184*(1+$K184)^MAX(ROUNDUP(IFERROR(DATEDIF($I184-1,DH$15+1,"m"),)/12,)-1,)*Index!DD$23*(DH$15&lt;=$J184)*(1-DH$12)</f>
        <v>0</v>
      </c>
      <c r="DI184" s="747">
        <f>$G184*$H184*(1+$K184)^MAX(ROUNDUP(IFERROR(DATEDIF($I184-1,DI$15+1,"m"),)/12,)-1,)*Index!DE$23*(DI$15&lt;=$J184)*(1-DI$12)</f>
        <v>0</v>
      </c>
      <c r="DJ184" s="747">
        <f>$G184*$H184*(1+$K184)^MAX(ROUNDUP(IFERROR(DATEDIF($I184-1,DJ$15+1,"m"),)/12,)-1,)*Index!DF$23*(DJ$15&lt;=$J184)*(1-DJ$12)</f>
        <v>0</v>
      </c>
      <c r="DK184" s="747">
        <f>$G184*$H184*(1+$K184)^MAX(ROUNDUP(IFERROR(DATEDIF($I184-1,DK$15+1,"m"),)/12,)-1,)*Index!DG$23*(DK$15&lt;=$J184)*(1-DK$12)</f>
        <v>0</v>
      </c>
      <c r="DL184" s="747">
        <f>$G184*$H184*(1+$K184)^MAX(ROUNDUP(IFERROR(DATEDIF($I184-1,DL$15+1,"m"),)/12,)-1,)*Index!DH$23*(DL$15&lt;=$J184)*(1-DL$12)</f>
        <v>0</v>
      </c>
      <c r="DM184" s="747">
        <f>$G184*$H184*(1+$K184)^MAX(ROUNDUP(IFERROR(DATEDIF($I184-1,DM$15+1,"m"),)/12,)-1,)*Index!DI$23*(DM$15&lt;=$J184)*(1-DM$12)</f>
        <v>0</v>
      </c>
      <c r="DN184" s="747">
        <f>$G184*$H184*(1+$K184)^MAX(ROUNDUP(IFERROR(DATEDIF($I184-1,DN$15+1,"m"),)/12,)-1,)*Index!DJ$23*(DN$15&lt;=$J184)*(1-DN$12)</f>
        <v>0</v>
      </c>
      <c r="DO184" s="747">
        <f>$G184*$H184*(1+$K184)^MAX(ROUNDUP(IFERROR(DATEDIF($I184-1,DO$15+1,"m"),)/12,)-1,)*Index!DK$23*(DO$15&lt;=$J184)*(1-DO$12)</f>
        <v>0</v>
      </c>
      <c r="DP184" s="747">
        <f>$G184*$H184*(1+$K184)^MAX(ROUNDUP(IFERROR(DATEDIF($I184-1,DP$15+1,"m"),)/12,)-1,)*Index!DL$23*(DP$15&lt;=$J184)*(1-DP$12)</f>
        <v>0</v>
      </c>
      <c r="DQ184" s="747">
        <f>$G184*$H184*(1+$K184)^MAX(ROUNDUP(IFERROR(DATEDIF($I184-1,DQ$15+1,"m"),)/12,)-1,)*Index!DM$23*(DQ$15&lt;=$J184)*(1-DQ$12)</f>
        <v>0</v>
      </c>
      <c r="DR184" s="747">
        <f>$G184*$H184*(1+$K184)^MAX(ROUNDUP(IFERROR(DATEDIF($I184-1,DR$15+1,"m"),)/12,)-1,)*Index!DN$23*(DR$15&lt;=$J184)*(1-DR$12)</f>
        <v>0</v>
      </c>
      <c r="DS184" s="747">
        <f>$G184*$H184*(1+$K184)^MAX(ROUNDUP(IFERROR(DATEDIF($I184-1,DS$15+1,"m"),)/12,)-1,)*Index!DO$23*(DS$15&lt;=$J184)*(1-DS$12)</f>
        <v>0</v>
      </c>
      <c r="DT184" s="747">
        <f>$G184*$H184*(1+$K184)^MAX(ROUNDUP(IFERROR(DATEDIF($I184-1,DT$15+1,"m"),)/12,)-1,)*Index!DP$23*(DT$15&lt;=$J184)*(1-DT$12)</f>
        <v>0</v>
      </c>
      <c r="DU184" s="747">
        <f>$G184*$H184*(1+$K184)^MAX(ROUNDUP(IFERROR(DATEDIF($I184-1,DU$15+1,"m"),)/12,)-1,)*Index!DQ$23*(DU$15&lt;=$J184)*(1-DU$12)</f>
        <v>0</v>
      </c>
      <c r="DV184" s="747">
        <f>$G184*$H184*(1+$K184)^MAX(ROUNDUP(IFERROR(DATEDIF($I184-1,DV$15+1,"m"),)/12,)-1,)*Index!DR$23*(DV$15&lt;=$J184)*(1-DV$12)</f>
        <v>0</v>
      </c>
      <c r="DW184" s="747">
        <f>$G184*$H184*(1+$K184)^MAX(ROUNDUP(IFERROR(DATEDIF($I184-1,DW$15+1,"m"),)/12,)-1,)*Index!DS$23*(DW$15&lt;=$J184)*(1-DW$12)</f>
        <v>0</v>
      </c>
      <c r="DX184" s="747">
        <f>$G184*$H184*(1+$K184)^MAX(ROUNDUP(IFERROR(DATEDIF($I184-1,DX$15+1,"m"),)/12,)-1,)*Index!DT$23*(DX$15&lt;=$J184)*(1-DX$12)</f>
        <v>0</v>
      </c>
      <c r="DY184" s="747">
        <f>$G184*$H184*(1+$K184)^MAX(ROUNDUP(IFERROR(DATEDIF($I184-1,DY$15+1,"m"),)/12,)-1,)*Index!DU$23*(DY$15&lt;=$J184)*(1-DY$12)</f>
        <v>0</v>
      </c>
      <c r="DZ184" s="747">
        <f>$G184*$H184*(1+$K184)^MAX(ROUNDUP(IFERROR(DATEDIF($I184-1,DZ$15+1,"m"),)/12,)-1,)*Index!DV$23*(DZ$15&lt;=$J184)*(1-DZ$12)</f>
        <v>0</v>
      </c>
      <c r="EA184" s="747">
        <f>$G184*$H184*(1+$K184)^MAX(ROUNDUP(IFERROR(DATEDIF($I184-1,EA$15+1,"m"),)/12,)-1,)*Index!DW$23*(EA$15&lt;=$J184)*(1-EA$12)</f>
        <v>0</v>
      </c>
      <c r="EB184" s="747">
        <f>$G184*$H184*(1+$K184)^MAX(ROUNDUP(IFERROR(DATEDIF($I184-1,EB$15+1,"m"),)/12,)-1,)*Index!DX$23*(EB$15&lt;=$J184)*(1-EB$12)</f>
        <v>0</v>
      </c>
      <c r="EC184" s="747">
        <f>$G184*$H184*(1+$K184)^MAX(ROUNDUP(IFERROR(DATEDIF($I184-1,EC$15+1,"m"),)/12,)-1,)*Index!DY$23*(EC$15&lt;=$J184)*(1-EC$12)</f>
        <v>0</v>
      </c>
      <c r="ED184" s="747">
        <f>$G184*$H184*(1+$K184)^MAX(ROUNDUP(IFERROR(DATEDIF($I184-1,ED$15+1,"m"),)/12,)-1,)*Index!DZ$23*(ED$15&lt;=$J184)*(1-ED$12)</f>
        <v>0</v>
      </c>
      <c r="EE184" s="747">
        <f>$G184*$H184*(1+$K184)^MAX(ROUNDUP(IFERROR(DATEDIF($I184-1,EE$15+1,"m"),)/12,)-1,)*Index!EA$23*(EE$15&lt;=$J184)*(1-EE$12)</f>
        <v>0</v>
      </c>
      <c r="EF184" s="747">
        <f>$G184*$H184*(1+$K184)^MAX(ROUNDUP(IFERROR(DATEDIF($I184-1,EF$15+1,"m"),)/12,)-1,)*Index!EB$23*(EF$15&lt;=$J184)*(1-EF$12)</f>
        <v>0</v>
      </c>
      <c r="EG184" s="747">
        <f>$G184*$H184*(1+$K184)^MAX(ROUNDUP(IFERROR(DATEDIF($I184-1,EG$15+1,"m"),)/12,)-1,)*Index!EC$23*(EG$15&lt;=$J184)*(1-EG$12)</f>
        <v>0</v>
      </c>
      <c r="EH184" s="747">
        <f>$G184*$H184*(1+$K184)^MAX(ROUNDUP(IFERROR(DATEDIF($I184-1,EH$15+1,"m"),)/12,)-1,)*Index!ED$23*(EH$15&lt;=$J184)*(1-EH$12)</f>
        <v>0</v>
      </c>
      <c r="EI184" s="747">
        <f>$G184*$H184*(1+$K184)^MAX(ROUNDUP(IFERROR(DATEDIF($I184-1,EI$15+1,"m"),)/12,)-1,)*Index!EE$23*(EI$15&lt;=$J184)*(1-EI$12)</f>
        <v>0</v>
      </c>
      <c r="EJ184" s="747">
        <f>$G184*$H184*(1+$K184)^MAX(ROUNDUP(IFERROR(DATEDIF($I184-1,EJ$15+1,"m"),)/12,)-1,)*Index!EF$23*(EJ$15&lt;=$J184)*(1-EJ$12)</f>
        <v>0</v>
      </c>
      <c r="EK184" s="747">
        <f>$G184*$H184*(1+$K184)^MAX(ROUNDUP(IFERROR(DATEDIF($I184-1,EK$15+1,"m"),)/12,)-1,)*Index!EG$23*(EK$15&lt;=$J184)*(1-EK$12)</f>
        <v>0</v>
      </c>
      <c r="EL184" s="747">
        <f>$G184*$H184*(1+$K184)^MAX(ROUNDUP(IFERROR(DATEDIF($I184-1,EL$15+1,"m"),)/12,)-1,)*Index!EH$23*(EL$15&lt;=$J184)*(1-EL$12)</f>
        <v>0</v>
      </c>
      <c r="EM184" s="747">
        <f>$G184*$H184*(1+$K184)^MAX(ROUNDUP(IFERROR(DATEDIF($I184-1,EM$15+1,"m"),)/12,)-1,)*Index!EI$23*(EM$15&lt;=$J184)*(1-EM$12)</f>
        <v>0</v>
      </c>
      <c r="EN184" s="747">
        <f>$G184*$H184*(1+$K184)^MAX(ROUNDUP(IFERROR(DATEDIF($I184-1,EN$15+1,"m"),)/12,)-1,)*Index!EJ$23*(EN$15&lt;=$J184)*(1-EN$12)</f>
        <v>0</v>
      </c>
      <c r="EO184" s="747">
        <f>$G184*$H184*(1+$K184)^MAX(ROUNDUP(IFERROR(DATEDIF($I184-1,EO$15+1,"m"),)/12,)-1,)*Index!EK$23*(EO$15&lt;=$J184)*(1-EO$12)</f>
        <v>0</v>
      </c>
      <c r="EP184" s="747">
        <f>$G184*$H184*(1+$K184)^MAX(ROUNDUP(IFERROR(DATEDIF($I184-1,EP$15+1,"m"),)/12,)-1,)*Index!EL$23*(EP$15&lt;=$J184)*(1-EP$12)</f>
        <v>0</v>
      </c>
      <c r="EQ184" s="747">
        <f>$G184*$H184*(1+$K184)^MAX(ROUNDUP(IFERROR(DATEDIF($I184-1,EQ$15+1,"m"),)/12,)-1,)*Index!EM$23*(EQ$15&lt;=$J184)*(1-EQ$12)</f>
        <v>0</v>
      </c>
      <c r="ER184" s="747">
        <f>$G184*$H184*(1+$K184)^MAX(ROUNDUP(IFERROR(DATEDIF($I184-1,ER$15+1,"m"),)/12,)-1,)*Index!EN$23*(ER$15&lt;=$J184)*(1-ER$12)</f>
        <v>0</v>
      </c>
      <c r="ES184" s="747">
        <f>$G184*$H184*(1+$K184)^MAX(ROUNDUP(IFERROR(DATEDIF($I184-1,ES$15+1,"m"),)/12,)-1,)*Index!EO$23*(ES$15&lt;=$J184)*(1-ES$12)</f>
        <v>0</v>
      </c>
      <c r="ET184" s="747">
        <f>$G184*$H184*(1+$K184)^MAX(ROUNDUP(IFERROR(DATEDIF($I184-1,ET$15+1,"m"),)/12,)-1,)*Index!EP$23*(ET$15&lt;=$J184)*(1-ET$12)</f>
        <v>0</v>
      </c>
      <c r="EU184" s="747">
        <f>$G184*$H184*(1+$K184)^MAX(ROUNDUP(IFERROR(DATEDIF($I184-1,EU$15+1,"m"),)/12,)-1,)*Index!EQ$23*(EU$15&lt;=$J184)*(1-EU$12)</f>
        <v>0</v>
      </c>
    </row>
    <row r="185" spans="3:151" ht="11.25" customHeight="1">
      <c r="C185" s="828"/>
      <c r="D185" s="743">
        <f t="shared" ref="D185:K185" si="257">D149</f>
        <v>6</v>
      </c>
      <c r="E185" s="704" t="str">
        <f t="shared" si="257"/>
        <v>쿠팡</v>
      </c>
      <c r="F185" s="704" t="str">
        <f t="shared" si="257"/>
        <v>상온창고</v>
      </c>
      <c r="G185" s="781">
        <f t="shared" si="257"/>
        <v>3</v>
      </c>
      <c r="H185" s="744">
        <f t="shared" si="257"/>
        <v>2187.87</v>
      </c>
      <c r="I185" s="745">
        <f t="shared" si="257"/>
        <v>45323</v>
      </c>
      <c r="J185" s="745">
        <f t="shared" si="257"/>
        <v>49064</v>
      </c>
      <c r="K185" s="754">
        <f t="shared" si="257"/>
        <v>2.5000000000000001E-2</v>
      </c>
      <c r="L185" s="746"/>
      <c r="M185" s="722"/>
      <c r="N185" s="747">
        <f t="shared" si="252"/>
        <v>0</v>
      </c>
      <c r="O185" s="733"/>
      <c r="P185" s="747">
        <f>$G185*$H185*(1+$K185)^MAX(ROUNDUP(IFERROR(DATEDIF($I185-1,P$15+1,"m"),)/12,)-1,)*Index!L$23*(P$15&lt;=$J185)*(1-P$12)</f>
        <v>0</v>
      </c>
      <c r="Q185" s="747">
        <f>$G185*$H185*(1+$K185)^MAX(ROUNDUP(IFERROR(DATEDIF($I185-1,Q$15+1,"m"),)/12,)-1,)*Index!M$23*(Q$15&lt;=$J185)*(1-Q$12)</f>
        <v>0</v>
      </c>
      <c r="R185" s="747">
        <f>$G185*$H185*(1+$K185)^MAX(ROUNDUP(IFERROR(DATEDIF($I185-1,R$15+1,"m"),)/12,)-1,)*Index!N$23*(R$15&lt;=$J185)*(1-R$12)</f>
        <v>0</v>
      </c>
      <c r="S185" s="747">
        <f>$G185*$H185*(1+$K185)^MAX(ROUNDUP(IFERROR(DATEDIF($I185-1,S$15+1,"m"),)/12,)-1,)*Index!O$23*(S$15&lt;=$J185)*(1-S$12)</f>
        <v>0</v>
      </c>
      <c r="T185" s="747">
        <f>$G185*$H185*(1+$K185)^MAX(ROUNDUP(IFERROR(DATEDIF($I185-1,T$15+1,"m"),)/12,)-1,)*Index!P$23*(T$15&lt;=$J185)*(1-T$12)</f>
        <v>0</v>
      </c>
      <c r="U185" s="747">
        <f>$G185*$H185*(1+$K185)^MAX(ROUNDUP(IFERROR(DATEDIF($I185-1,U$15+1,"m"),)/12,)-1,)*Index!Q$23*(U$15&lt;=$J185)*(1-U$12)</f>
        <v>0</v>
      </c>
      <c r="V185" s="747">
        <f>$G185*$H185*(1+$K185)^MAX(ROUNDUP(IFERROR(DATEDIF($I185-1,V$15+1,"m"),)/12,)-1,)*Index!R$23*(V$15&lt;=$J185)*(1-V$12)</f>
        <v>0</v>
      </c>
      <c r="W185" s="747">
        <f>$G185*$H185*(1+$K185)^MAX(ROUNDUP(IFERROR(DATEDIF($I185-1,W$15+1,"m"),)/12,)-1,)*Index!S$23*(W$15&lt;=$J185)*(1-W$12)</f>
        <v>0</v>
      </c>
      <c r="X185" s="747">
        <f>$G185*$H185*(1+$K185)^MAX(ROUNDUP(IFERROR(DATEDIF($I185-1,X$15+1,"m"),)/12,)-1,)*Index!T$23*(X$15&lt;=$J185)*(1-X$12)</f>
        <v>0</v>
      </c>
      <c r="Y185" s="747">
        <f>$G185*$H185*(1+$K185)^MAX(ROUNDUP(IFERROR(DATEDIF($I185-1,Y$15+1,"m"),)/12,)-1,)*Index!U$23*(Y$15&lt;=$J185)*(1-Y$12)</f>
        <v>0</v>
      </c>
      <c r="Z185" s="747">
        <f>$G185*$H185*(1+$K185)^MAX(ROUNDUP(IFERROR(DATEDIF($I185-1,Z$15+1,"m"),)/12,)-1,)*Index!V$23*(Z$15&lt;=$J185)*(1-Z$12)</f>
        <v>0</v>
      </c>
      <c r="AA185" s="747">
        <f>$G185*$H185*(1+$K185)^MAX(ROUNDUP(IFERROR(DATEDIF($I185-1,AA$15+1,"m"),)/12,)-1,)*Index!W$23*(AA$15&lt;=$J185)*(1-AA$12)</f>
        <v>0</v>
      </c>
      <c r="AB185" s="747">
        <f>$G185*$H185*(1+$K185)^MAX(ROUNDUP(IFERROR(DATEDIF($I185-1,AB$15+1,"m"),)/12,)-1,)*Index!X$23*(AB$15&lt;=$J185)*(1-AB$12)</f>
        <v>0</v>
      </c>
      <c r="AC185" s="747">
        <f>$G185*$H185*(1+$K185)^MAX(ROUNDUP(IFERROR(DATEDIF($I185-1,AC$15+1,"m"),)/12,)-1,)*Index!Y$23*(AC$15&lt;=$J185)*(1-AC$12)</f>
        <v>0</v>
      </c>
      <c r="AD185" s="747">
        <f>$G185*$H185*(1+$K185)^MAX(ROUNDUP(IFERROR(DATEDIF($I185-1,AD$15+1,"m"),)/12,)-1,)*Index!Z$23*(AD$15&lt;=$J185)*(1-AD$12)</f>
        <v>0</v>
      </c>
      <c r="AE185" s="747">
        <f>$G185*$H185*(1+$K185)^MAX(ROUNDUP(IFERROR(DATEDIF($I185-1,AE$15+1,"m"),)/12,)-1,)*Index!AA$23*(AE$15&lt;=$J185)*(1-AE$12)</f>
        <v>0</v>
      </c>
      <c r="AF185" s="747">
        <f>$G185*$H185*(1+$K185)^MAX(ROUNDUP(IFERROR(DATEDIF($I185-1,AF$15+1,"m"),)/12,)-1,)*Index!AB$23*(AF$15&lt;=$J185)*(1-AF$12)</f>
        <v>0</v>
      </c>
      <c r="AG185" s="747">
        <f>$G185*$H185*(1+$K185)^MAX(ROUNDUP(IFERROR(DATEDIF($I185-1,AG$15+1,"m"),)/12,)-1,)*Index!AC$23*(AG$15&lt;=$J185)*(1-AG$12)</f>
        <v>0</v>
      </c>
      <c r="AH185" s="747">
        <f>$G185*$H185*(1+$K185)^MAX(ROUNDUP(IFERROR(DATEDIF($I185-1,AH$15+1,"m"),)/12,)-1,)*Index!AD$23*(AH$15&lt;=$J185)*(1-AH$12)</f>
        <v>0</v>
      </c>
      <c r="AI185" s="747">
        <f>$G185*$H185*(1+$K185)^MAX(ROUNDUP(IFERROR(DATEDIF($I185-1,AI$15+1,"m"),)/12,)-1,)*Index!AE$23*(AI$15&lt;=$J185)*(1-AI$12)</f>
        <v>0</v>
      </c>
      <c r="AJ185" s="747">
        <f>$G185*$H185*(1+$K185)^MAX(ROUNDUP(IFERROR(DATEDIF($I185-1,AJ$15+1,"m"),)/12,)-1,)*Index!AF$23*(AJ$15&lt;=$J185)*(1-AJ$12)</f>
        <v>0</v>
      </c>
      <c r="AK185" s="747">
        <f>$G185*$H185*(1+$K185)^MAX(ROUNDUP(IFERROR(DATEDIF($I185-1,AK$15+1,"m"),)/12,)-1,)*Index!AG$23*(AK$15&lt;=$J185)*(1-AK$12)</f>
        <v>0</v>
      </c>
      <c r="AL185" s="747">
        <f>$G185*$H185*(1+$K185)^MAX(ROUNDUP(IFERROR(DATEDIF($I185-1,AL$15+1,"m"),)/12,)-1,)*Index!AH$23*(AL$15&lt;=$J185)*(1-AL$12)</f>
        <v>0</v>
      </c>
      <c r="AM185" s="747">
        <f>$G185*$H185*(1+$K185)^MAX(ROUNDUP(IFERROR(DATEDIF($I185-1,AM$15+1,"m"),)/12,)-1,)*Index!AI$23*(AM$15&lt;=$J185)*(1-AM$12)</f>
        <v>0</v>
      </c>
      <c r="AN185" s="747">
        <f>$G185*$H185*(1+$K185)^MAX(ROUNDUP(IFERROR(DATEDIF($I185-1,AN$15+1,"m"),)/12,)-1,)*Index!AJ$23*(AN$15&lt;=$J185)*(1-AN$12)</f>
        <v>0</v>
      </c>
      <c r="AO185" s="747">
        <f>$G185*$H185*(1+$K185)^MAX(ROUNDUP(IFERROR(DATEDIF($I185-1,AO$15+1,"m"),)/12,)-1,)*Index!AK$23*(AO$15&lt;=$J185)*(1-AO$12)</f>
        <v>0</v>
      </c>
      <c r="AP185" s="747">
        <f>$G185*$H185*(1+$K185)^MAX(ROUNDUP(IFERROR(DATEDIF($I185-1,AP$15+1,"m"),)/12,)-1,)*Index!AL$23*(AP$15&lt;=$J185)*(1-AP$12)</f>
        <v>0</v>
      </c>
      <c r="AQ185" s="747">
        <f>$G185*$H185*(1+$K185)^MAX(ROUNDUP(IFERROR(DATEDIF($I185-1,AQ$15+1,"m"),)/12,)-1,)*Index!AM$23*(AQ$15&lt;=$J185)*(1-AQ$12)</f>
        <v>0</v>
      </c>
      <c r="AR185" s="747">
        <f>$G185*$H185*(1+$K185)^MAX(ROUNDUP(IFERROR(DATEDIF($I185-1,AR$15+1,"m"),)/12,)-1,)*Index!AN$23*(AR$15&lt;=$J185)*(1-AR$12)</f>
        <v>0</v>
      </c>
      <c r="AS185" s="747">
        <f>$G185*$H185*(1+$K185)^MAX(ROUNDUP(IFERROR(DATEDIF($I185-1,AS$15+1,"m"),)/12,)-1,)*Index!AO$23*(AS$15&lt;=$J185)*(1-AS$12)</f>
        <v>0</v>
      </c>
      <c r="AT185" s="747">
        <f>$G185*$H185*(1+$K185)^MAX(ROUNDUP(IFERROR(DATEDIF($I185-1,AT$15+1,"m"),)/12,)-1,)*Index!AP$23*(AT$15&lt;=$J185)*(1-AT$12)</f>
        <v>0</v>
      </c>
      <c r="AU185" s="747">
        <f>$G185*$H185*(1+$K185)^MAX(ROUNDUP(IFERROR(DATEDIF($I185-1,AU$15+1,"m"),)/12,)-1,)*Index!AQ$23*(AU$15&lt;=$J185)*(1-AU$12)</f>
        <v>0</v>
      </c>
      <c r="AV185" s="747">
        <f>$G185*$H185*(1+$K185)^MAX(ROUNDUP(IFERROR(DATEDIF($I185-1,AV$15+1,"m"),)/12,)-1,)*Index!AR$23*(AV$15&lt;=$J185)*(1-AV$12)</f>
        <v>0</v>
      </c>
      <c r="AW185" s="747">
        <f>$G185*$H185*(1+$K185)^MAX(ROUNDUP(IFERROR(DATEDIF($I185-1,AW$15+1,"m"),)/12,)-1,)*Index!AS$23*(AW$15&lt;=$J185)*(1-AW$12)</f>
        <v>0</v>
      </c>
      <c r="AX185" s="747">
        <f>$G185*$H185*(1+$K185)^MAX(ROUNDUP(IFERROR(DATEDIF($I185-1,AX$15+1,"m"),)/12,)-1,)*Index!AT$23*(AX$15&lt;=$J185)*(1-AX$12)</f>
        <v>0</v>
      </c>
      <c r="AY185" s="747">
        <f>$G185*$H185*(1+$K185)^MAX(ROUNDUP(IFERROR(DATEDIF($I185-1,AY$15+1,"m"),)/12,)-1,)*Index!AU$23*(AY$15&lt;=$J185)*(1-AY$12)</f>
        <v>0</v>
      </c>
      <c r="AZ185" s="747">
        <f>$G185*$H185*(1+$K185)^MAX(ROUNDUP(IFERROR(DATEDIF($I185-1,AZ$15+1,"m"),)/12,)-1,)*Index!AV$23*(AZ$15&lt;=$J185)*(1-AZ$12)</f>
        <v>0</v>
      </c>
      <c r="BA185" s="747">
        <f>$G185*$H185*(1+$K185)^MAX(ROUNDUP(IFERROR(DATEDIF($I185-1,BA$15+1,"m"),)/12,)-1,)*Index!AW$23*(BA$15&lt;=$J185)*(1-BA$12)</f>
        <v>0</v>
      </c>
      <c r="BB185" s="747">
        <f>$G185*$H185*(1+$K185)^MAX(ROUNDUP(IFERROR(DATEDIF($I185-1,BB$15+1,"m"),)/12,)-1,)*Index!AX$23*(BB$15&lt;=$J185)*(1-BB$12)</f>
        <v>0</v>
      </c>
      <c r="BC185" s="747">
        <f>$G185*$H185*(1+$K185)^MAX(ROUNDUP(IFERROR(DATEDIF($I185-1,BC$15+1,"m"),)/12,)-1,)*Index!AY$23*(BC$15&lt;=$J185)*(1-BC$12)</f>
        <v>0</v>
      </c>
      <c r="BD185" s="747">
        <f>$G185*$H185*(1+$K185)^MAX(ROUNDUP(IFERROR(DATEDIF($I185-1,BD$15+1,"m"),)/12,)-1,)*Index!AZ$23*(BD$15&lt;=$J185)*(1-BD$12)</f>
        <v>0</v>
      </c>
      <c r="BE185" s="747">
        <f>$G185*$H185*(1+$K185)^MAX(ROUNDUP(IFERROR(DATEDIF($I185-1,BE$15+1,"m"),)/12,)-1,)*Index!BA$23*(BE$15&lt;=$J185)*(1-BE$12)</f>
        <v>0</v>
      </c>
      <c r="BF185" s="747">
        <f>$G185*$H185*(1+$K185)^MAX(ROUNDUP(IFERROR(DATEDIF($I185-1,BF$15+1,"m"),)/12,)-1,)*Index!BB$23*(BF$15&lt;=$J185)*(1-BF$12)</f>
        <v>0</v>
      </c>
      <c r="BG185" s="747">
        <f>$G185*$H185*(1+$K185)^MAX(ROUNDUP(IFERROR(DATEDIF($I185-1,BG$15+1,"m"),)/12,)-1,)*Index!BC$23*(BG$15&lt;=$J185)*(1-BG$12)</f>
        <v>0</v>
      </c>
      <c r="BH185" s="747">
        <f>$G185*$H185*(1+$K185)^MAX(ROUNDUP(IFERROR(DATEDIF($I185-1,BH$15+1,"m"),)/12,)-1,)*Index!BD$23*(BH$15&lt;=$J185)*(1-BH$12)</f>
        <v>0</v>
      </c>
      <c r="BI185" s="747">
        <f>$G185*$H185*(1+$K185)^MAX(ROUNDUP(IFERROR(DATEDIF($I185-1,BI$15+1,"m"),)/12,)-1,)*Index!BE$23*(BI$15&lt;=$J185)*(1-BI$12)</f>
        <v>0</v>
      </c>
      <c r="BJ185" s="747">
        <f>$G185*$H185*(1+$K185)^MAX(ROUNDUP(IFERROR(DATEDIF($I185-1,BJ$15+1,"m"),)/12,)-1,)*Index!BF$23*(BJ$15&lt;=$J185)*(1-BJ$12)</f>
        <v>0</v>
      </c>
      <c r="BK185" s="747">
        <f>$G185*$H185*(1+$K185)^MAX(ROUNDUP(IFERROR(DATEDIF($I185-1,BK$15+1,"m"),)/12,)-1,)*Index!BG$23*(BK$15&lt;=$J185)*(1-BK$12)</f>
        <v>0</v>
      </c>
      <c r="BL185" s="747">
        <f>$G185*$H185*(1+$K185)^MAX(ROUNDUP(IFERROR(DATEDIF($I185-1,BL$15+1,"m"),)/12,)-1,)*Index!BH$23*(BL$15&lt;=$J185)*(1-BL$12)</f>
        <v>0</v>
      </c>
      <c r="BM185" s="747">
        <f>$G185*$H185*(1+$K185)^MAX(ROUNDUP(IFERROR(DATEDIF($I185-1,BM$15+1,"m"),)/12,)-1,)*Index!BI$23*(BM$15&lt;=$J185)*(1-BM$12)</f>
        <v>0</v>
      </c>
      <c r="BN185" s="747">
        <f>$G185*$H185*(1+$K185)^MAX(ROUNDUP(IFERROR(DATEDIF($I185-1,BN$15+1,"m"),)/12,)-1,)*Index!BJ$23*(BN$15&lt;=$J185)*(1-BN$12)</f>
        <v>0</v>
      </c>
      <c r="BO185" s="747">
        <f>$G185*$H185*(1+$K185)^MAX(ROUNDUP(IFERROR(DATEDIF($I185-1,BO$15+1,"m"),)/12,)-1,)*Index!BK$23*(BO$15&lt;=$J185)*(1-BO$12)</f>
        <v>0</v>
      </c>
      <c r="BP185" s="747">
        <f>$G185*$H185*(1+$K185)^MAX(ROUNDUP(IFERROR(DATEDIF($I185-1,BP$15+1,"m"),)/12,)-1,)*Index!BL$23*(BP$15&lt;=$J185)*(1-BP$12)</f>
        <v>0</v>
      </c>
      <c r="BQ185" s="747">
        <f>$G185*$H185*(1+$K185)^MAX(ROUNDUP(IFERROR(DATEDIF($I185-1,BQ$15+1,"m"),)/12,)-1,)*Index!BM$23*(BQ$15&lt;=$J185)*(1-BQ$12)</f>
        <v>0</v>
      </c>
      <c r="BR185" s="747">
        <f>$G185*$H185*(1+$K185)^MAX(ROUNDUP(IFERROR(DATEDIF($I185-1,BR$15+1,"m"),)/12,)-1,)*Index!BN$23*(BR$15&lt;=$J185)*(1-BR$12)</f>
        <v>0</v>
      </c>
      <c r="BS185" s="747">
        <f>$G185*$H185*(1+$K185)^MAX(ROUNDUP(IFERROR(DATEDIF($I185-1,BS$15+1,"m"),)/12,)-1,)*Index!BO$23*(BS$15&lt;=$J185)*(1-BS$12)</f>
        <v>0</v>
      </c>
      <c r="BT185" s="747">
        <f>$G185*$H185*(1+$K185)^MAX(ROUNDUP(IFERROR(DATEDIF($I185-1,BT$15+1,"m"),)/12,)-1,)*Index!BP$23*(BT$15&lt;=$J185)*(1-BT$12)</f>
        <v>0</v>
      </c>
      <c r="BU185" s="747">
        <f>$G185*$H185*(1+$K185)^MAX(ROUNDUP(IFERROR(DATEDIF($I185-1,BU$15+1,"m"),)/12,)-1,)*Index!BQ$23*(BU$15&lt;=$J185)*(1-BU$12)</f>
        <v>0</v>
      </c>
      <c r="BV185" s="747">
        <f>$G185*$H185*(1+$K185)^MAX(ROUNDUP(IFERROR(DATEDIF($I185-1,BV$15+1,"m"),)/12,)-1,)*Index!BR$23*(BV$15&lt;=$J185)*(1-BV$12)</f>
        <v>0</v>
      </c>
      <c r="BW185" s="747">
        <f>$G185*$H185*(1+$K185)^MAX(ROUNDUP(IFERROR(DATEDIF($I185-1,BW$15+1,"m"),)/12,)-1,)*Index!BS$23*(BW$15&lt;=$J185)*(1-BW$12)</f>
        <v>0</v>
      </c>
      <c r="BX185" s="747">
        <f>$G185*$H185*(1+$K185)^MAX(ROUNDUP(IFERROR(DATEDIF($I185-1,BX$15+1,"m"),)/12,)-1,)*Index!BT$23*(BX$15&lt;=$J185)*(1-BX$12)</f>
        <v>0</v>
      </c>
      <c r="BY185" s="747">
        <f>$G185*$H185*(1+$K185)^MAX(ROUNDUP(IFERROR(DATEDIF($I185-1,BY$15+1,"m"),)/12,)-1,)*Index!BU$23*(BY$15&lt;=$J185)*(1-BY$12)</f>
        <v>0</v>
      </c>
      <c r="BZ185" s="747">
        <f>$G185*$H185*(1+$K185)^MAX(ROUNDUP(IFERROR(DATEDIF($I185-1,BZ$15+1,"m"),)/12,)-1,)*Index!BV$23*(BZ$15&lt;=$J185)*(1-BZ$12)</f>
        <v>0</v>
      </c>
      <c r="CA185" s="747">
        <f>$G185*$H185*(1+$K185)^MAX(ROUNDUP(IFERROR(DATEDIF($I185-1,CA$15+1,"m"),)/12,)-1,)*Index!BW$23*(CA$15&lt;=$J185)*(1-CA$12)</f>
        <v>0</v>
      </c>
      <c r="CB185" s="747">
        <f>$G185*$H185*(1+$K185)^MAX(ROUNDUP(IFERROR(DATEDIF($I185-1,CB$15+1,"m"),)/12,)-1,)*Index!BX$23*(CB$15&lt;=$J185)*(1-CB$12)</f>
        <v>0</v>
      </c>
      <c r="CC185" s="747">
        <f>$G185*$H185*(1+$K185)^MAX(ROUNDUP(IFERROR(DATEDIF($I185-1,CC$15+1,"m"),)/12,)-1,)*Index!BY$23*(CC$15&lt;=$J185)*(1-CC$12)</f>
        <v>0</v>
      </c>
      <c r="CD185" s="747">
        <f>$G185*$H185*(1+$K185)^MAX(ROUNDUP(IFERROR(DATEDIF($I185-1,CD$15+1,"m"),)/12,)-1,)*Index!BZ$23*(CD$15&lt;=$J185)*(1-CD$12)</f>
        <v>0</v>
      </c>
      <c r="CE185" s="747">
        <f>$G185*$H185*(1+$K185)^MAX(ROUNDUP(IFERROR(DATEDIF($I185-1,CE$15+1,"m"),)/12,)-1,)*Index!CA$23*(CE$15&lt;=$J185)*(1-CE$12)</f>
        <v>0</v>
      </c>
      <c r="CF185" s="747">
        <f>$G185*$H185*(1+$K185)^MAX(ROUNDUP(IFERROR(DATEDIF($I185-1,CF$15+1,"m"),)/12,)-1,)*Index!CB$23*(CF$15&lt;=$J185)*(1-CF$12)</f>
        <v>0</v>
      </c>
      <c r="CG185" s="747">
        <f>$G185*$H185*(1+$K185)^MAX(ROUNDUP(IFERROR(DATEDIF($I185-1,CG$15+1,"m"),)/12,)-1,)*Index!CC$23*(CG$15&lt;=$J185)*(1-CG$12)</f>
        <v>0</v>
      </c>
      <c r="CH185" s="747">
        <f>$G185*$H185*(1+$K185)^MAX(ROUNDUP(IFERROR(DATEDIF($I185-1,CH$15+1,"m"),)/12,)-1,)*Index!CD$23*(CH$15&lt;=$J185)*(1-CH$12)</f>
        <v>0</v>
      </c>
      <c r="CI185" s="747">
        <f>$G185*$H185*(1+$K185)^MAX(ROUNDUP(IFERROR(DATEDIF($I185-1,CI$15+1,"m"),)/12,)-1,)*Index!CE$23*(CI$15&lt;=$J185)*(1-CI$12)</f>
        <v>0</v>
      </c>
      <c r="CJ185" s="747">
        <f>$G185*$H185*(1+$K185)^MAX(ROUNDUP(IFERROR(DATEDIF($I185-1,CJ$15+1,"m"),)/12,)-1,)*Index!CF$23*(CJ$15&lt;=$J185)*(1-CJ$12)</f>
        <v>0</v>
      </c>
      <c r="CK185" s="747">
        <f>$G185*$H185*(1+$K185)^MAX(ROUNDUP(IFERROR(DATEDIF($I185-1,CK$15+1,"m"),)/12,)-1,)*Index!CG$23*(CK$15&lt;=$J185)*(1-CK$12)</f>
        <v>0</v>
      </c>
      <c r="CL185" s="747">
        <f>$G185*$H185*(1+$K185)^MAX(ROUNDUP(IFERROR(DATEDIF($I185-1,CL$15+1,"m"),)/12,)-1,)*Index!CH$23*(CL$15&lt;=$J185)*(1-CL$12)</f>
        <v>0</v>
      </c>
      <c r="CM185" s="747">
        <f>$G185*$H185*(1+$K185)^MAX(ROUNDUP(IFERROR(DATEDIF($I185-1,CM$15+1,"m"),)/12,)-1,)*Index!CI$23*(CM$15&lt;=$J185)*(1-CM$12)</f>
        <v>0</v>
      </c>
      <c r="CN185" s="747">
        <f>$G185*$H185*(1+$K185)^MAX(ROUNDUP(IFERROR(DATEDIF($I185-1,CN$15+1,"m"),)/12,)-1,)*Index!CJ$23*(CN$15&lt;=$J185)*(1-CN$12)</f>
        <v>0</v>
      </c>
      <c r="CO185" s="747">
        <f>$G185*$H185*(1+$K185)^MAX(ROUNDUP(IFERROR(DATEDIF($I185-1,CO$15+1,"m"),)/12,)-1,)*Index!CK$23*(CO$15&lt;=$J185)*(1-CO$12)</f>
        <v>0</v>
      </c>
      <c r="CP185" s="747">
        <f>$G185*$H185*(1+$K185)^MAX(ROUNDUP(IFERROR(DATEDIF($I185-1,CP$15+1,"m"),)/12,)-1,)*Index!CL$23*(CP$15&lt;=$J185)*(1-CP$12)</f>
        <v>0</v>
      </c>
      <c r="CQ185" s="747">
        <f>$G185*$H185*(1+$K185)^MAX(ROUNDUP(IFERROR(DATEDIF($I185-1,CQ$15+1,"m"),)/12,)-1,)*Index!CM$23*(CQ$15&lt;=$J185)*(1-CQ$12)</f>
        <v>0</v>
      </c>
      <c r="CR185" s="747">
        <f>$G185*$H185*(1+$K185)^MAX(ROUNDUP(IFERROR(DATEDIF($I185-1,CR$15+1,"m"),)/12,)-1,)*Index!CN$23*(CR$15&lt;=$J185)*(1-CR$12)</f>
        <v>0</v>
      </c>
      <c r="CS185" s="747">
        <f>$G185*$H185*(1+$K185)^MAX(ROUNDUP(IFERROR(DATEDIF($I185-1,CS$15+1,"m"),)/12,)-1,)*Index!CO$23*(CS$15&lt;=$J185)*(1-CS$12)</f>
        <v>0</v>
      </c>
      <c r="CT185" s="747">
        <f>$G185*$H185*(1+$K185)^MAX(ROUNDUP(IFERROR(DATEDIF($I185-1,CT$15+1,"m"),)/12,)-1,)*Index!CP$23*(CT$15&lt;=$J185)*(1-CT$12)</f>
        <v>0</v>
      </c>
      <c r="CU185" s="747">
        <f>$G185*$H185*(1+$K185)^MAX(ROUNDUP(IFERROR(DATEDIF($I185-1,CU$15+1,"m"),)/12,)-1,)*Index!CQ$23*(CU$15&lt;=$J185)*(1-CU$12)</f>
        <v>0</v>
      </c>
      <c r="CV185" s="747">
        <f>$G185*$H185*(1+$K185)^MAX(ROUNDUP(IFERROR(DATEDIF($I185-1,CV$15+1,"m"),)/12,)-1,)*Index!CR$23*(CV$15&lt;=$J185)*(1-CV$12)</f>
        <v>0</v>
      </c>
      <c r="CW185" s="747">
        <f>$G185*$H185*(1+$K185)^MAX(ROUNDUP(IFERROR(DATEDIF($I185-1,CW$15+1,"m"),)/12,)-1,)*Index!CS$23*(CW$15&lt;=$J185)*(1-CW$12)</f>
        <v>0</v>
      </c>
      <c r="CX185" s="747">
        <f>$G185*$H185*(1+$K185)^MAX(ROUNDUP(IFERROR(DATEDIF($I185-1,CX$15+1,"m"),)/12,)-1,)*Index!CT$23*(CX$15&lt;=$J185)*(1-CX$12)</f>
        <v>0</v>
      </c>
      <c r="CY185" s="747">
        <f>$G185*$H185*(1+$K185)^MAX(ROUNDUP(IFERROR(DATEDIF($I185-1,CY$15+1,"m"),)/12,)-1,)*Index!CU$23*(CY$15&lt;=$J185)*(1-CY$12)</f>
        <v>0</v>
      </c>
      <c r="CZ185" s="747">
        <f>$G185*$H185*(1+$K185)^MAX(ROUNDUP(IFERROR(DATEDIF($I185-1,CZ$15+1,"m"),)/12,)-1,)*Index!CV$23*(CZ$15&lt;=$J185)*(1-CZ$12)</f>
        <v>0</v>
      </c>
      <c r="DA185" s="747">
        <f>$G185*$H185*(1+$K185)^MAX(ROUNDUP(IFERROR(DATEDIF($I185-1,DA$15+1,"m"),)/12,)-1,)*Index!CW$23*(DA$15&lt;=$J185)*(1-DA$12)</f>
        <v>0</v>
      </c>
      <c r="DB185" s="747">
        <f>$G185*$H185*(1+$K185)^MAX(ROUNDUP(IFERROR(DATEDIF($I185-1,DB$15+1,"m"),)/12,)-1,)*Index!CX$23*(DB$15&lt;=$J185)*(1-DB$12)</f>
        <v>0</v>
      </c>
      <c r="DC185" s="747">
        <f>$G185*$H185*(1+$K185)^MAX(ROUNDUP(IFERROR(DATEDIF($I185-1,DC$15+1,"m"),)/12,)-1,)*Index!CY$23*(DC$15&lt;=$J185)*(1-DC$12)</f>
        <v>0</v>
      </c>
      <c r="DD185" s="747">
        <f>$G185*$H185*(1+$K185)^MAX(ROUNDUP(IFERROR(DATEDIF($I185-1,DD$15+1,"m"),)/12,)-1,)*Index!CZ$23*(DD$15&lt;=$J185)*(1-DD$12)</f>
        <v>0</v>
      </c>
      <c r="DE185" s="747">
        <f>$G185*$H185*(1+$K185)^MAX(ROUNDUP(IFERROR(DATEDIF($I185-1,DE$15+1,"m"),)/12,)-1,)*Index!DA$23*(DE$15&lt;=$J185)*(1-DE$12)</f>
        <v>0</v>
      </c>
      <c r="DF185" s="747">
        <f>$G185*$H185*(1+$K185)^MAX(ROUNDUP(IFERROR(DATEDIF($I185-1,DF$15+1,"m"),)/12,)-1,)*Index!DB$23*(DF$15&lt;=$J185)*(1-DF$12)</f>
        <v>0</v>
      </c>
      <c r="DG185" s="747">
        <f>$G185*$H185*(1+$K185)^MAX(ROUNDUP(IFERROR(DATEDIF($I185-1,DG$15+1,"m"),)/12,)-1,)*Index!DC$23*(DG$15&lt;=$J185)*(1-DG$12)</f>
        <v>0</v>
      </c>
      <c r="DH185" s="747">
        <f>$G185*$H185*(1+$K185)^MAX(ROUNDUP(IFERROR(DATEDIF($I185-1,DH$15+1,"m"),)/12,)-1,)*Index!DD$23*(DH$15&lt;=$J185)*(1-DH$12)</f>
        <v>0</v>
      </c>
      <c r="DI185" s="747">
        <f>$G185*$H185*(1+$K185)^MAX(ROUNDUP(IFERROR(DATEDIF($I185-1,DI$15+1,"m"),)/12,)-1,)*Index!DE$23*(DI$15&lt;=$J185)*(1-DI$12)</f>
        <v>0</v>
      </c>
      <c r="DJ185" s="747">
        <f>$G185*$H185*(1+$K185)^MAX(ROUNDUP(IFERROR(DATEDIF($I185-1,DJ$15+1,"m"),)/12,)-1,)*Index!DF$23*(DJ$15&lt;=$J185)*(1-DJ$12)</f>
        <v>0</v>
      </c>
      <c r="DK185" s="747">
        <f>$G185*$H185*(1+$K185)^MAX(ROUNDUP(IFERROR(DATEDIF($I185-1,DK$15+1,"m"),)/12,)-1,)*Index!DG$23*(DK$15&lt;=$J185)*(1-DK$12)</f>
        <v>0</v>
      </c>
      <c r="DL185" s="747">
        <f>$G185*$H185*(1+$K185)^MAX(ROUNDUP(IFERROR(DATEDIF($I185-1,DL$15+1,"m"),)/12,)-1,)*Index!DH$23*(DL$15&lt;=$J185)*(1-DL$12)</f>
        <v>0</v>
      </c>
      <c r="DM185" s="747">
        <f>$G185*$H185*(1+$K185)^MAX(ROUNDUP(IFERROR(DATEDIF($I185-1,DM$15+1,"m"),)/12,)-1,)*Index!DI$23*(DM$15&lt;=$J185)*(1-DM$12)</f>
        <v>0</v>
      </c>
      <c r="DN185" s="747">
        <f>$G185*$H185*(1+$K185)^MAX(ROUNDUP(IFERROR(DATEDIF($I185-1,DN$15+1,"m"),)/12,)-1,)*Index!DJ$23*(DN$15&lt;=$J185)*(1-DN$12)</f>
        <v>0</v>
      </c>
      <c r="DO185" s="747">
        <f>$G185*$H185*(1+$K185)^MAX(ROUNDUP(IFERROR(DATEDIF($I185-1,DO$15+1,"m"),)/12,)-1,)*Index!DK$23*(DO$15&lt;=$J185)*(1-DO$12)</f>
        <v>0</v>
      </c>
      <c r="DP185" s="747">
        <f>$G185*$H185*(1+$K185)^MAX(ROUNDUP(IFERROR(DATEDIF($I185-1,DP$15+1,"m"),)/12,)-1,)*Index!DL$23*(DP$15&lt;=$J185)*(1-DP$12)</f>
        <v>0</v>
      </c>
      <c r="DQ185" s="747">
        <f>$G185*$H185*(1+$K185)^MAX(ROUNDUP(IFERROR(DATEDIF($I185-1,DQ$15+1,"m"),)/12,)-1,)*Index!DM$23*(DQ$15&lt;=$J185)*(1-DQ$12)</f>
        <v>0</v>
      </c>
      <c r="DR185" s="747">
        <f>$G185*$H185*(1+$K185)^MAX(ROUNDUP(IFERROR(DATEDIF($I185-1,DR$15+1,"m"),)/12,)-1,)*Index!DN$23*(DR$15&lt;=$J185)*(1-DR$12)</f>
        <v>0</v>
      </c>
      <c r="DS185" s="747">
        <f>$G185*$H185*(1+$K185)^MAX(ROUNDUP(IFERROR(DATEDIF($I185-1,DS$15+1,"m"),)/12,)-1,)*Index!DO$23*(DS$15&lt;=$J185)*(1-DS$12)</f>
        <v>0</v>
      </c>
      <c r="DT185" s="747">
        <f>$G185*$H185*(1+$K185)^MAX(ROUNDUP(IFERROR(DATEDIF($I185-1,DT$15+1,"m"),)/12,)-1,)*Index!DP$23*(DT$15&lt;=$J185)*(1-DT$12)</f>
        <v>0</v>
      </c>
      <c r="DU185" s="747">
        <f>$G185*$H185*(1+$K185)^MAX(ROUNDUP(IFERROR(DATEDIF($I185-1,DU$15+1,"m"),)/12,)-1,)*Index!DQ$23*(DU$15&lt;=$J185)*(1-DU$12)</f>
        <v>0</v>
      </c>
      <c r="DV185" s="747">
        <f>$G185*$H185*(1+$K185)^MAX(ROUNDUP(IFERROR(DATEDIF($I185-1,DV$15+1,"m"),)/12,)-1,)*Index!DR$23*(DV$15&lt;=$J185)*(1-DV$12)</f>
        <v>0</v>
      </c>
      <c r="DW185" s="747">
        <f>$G185*$H185*(1+$K185)^MAX(ROUNDUP(IFERROR(DATEDIF($I185-1,DW$15+1,"m"),)/12,)-1,)*Index!DS$23*(DW$15&lt;=$J185)*(1-DW$12)</f>
        <v>0</v>
      </c>
      <c r="DX185" s="747">
        <f>$G185*$H185*(1+$K185)^MAX(ROUNDUP(IFERROR(DATEDIF($I185-1,DX$15+1,"m"),)/12,)-1,)*Index!DT$23*(DX$15&lt;=$J185)*(1-DX$12)</f>
        <v>0</v>
      </c>
      <c r="DY185" s="747">
        <f>$G185*$H185*(1+$K185)^MAX(ROUNDUP(IFERROR(DATEDIF($I185-1,DY$15+1,"m"),)/12,)-1,)*Index!DU$23*(DY$15&lt;=$J185)*(1-DY$12)</f>
        <v>0</v>
      </c>
      <c r="DZ185" s="747">
        <f>$G185*$H185*(1+$K185)^MAX(ROUNDUP(IFERROR(DATEDIF($I185-1,DZ$15+1,"m"),)/12,)-1,)*Index!DV$23*(DZ$15&lt;=$J185)*(1-DZ$12)</f>
        <v>0</v>
      </c>
      <c r="EA185" s="747">
        <f>$G185*$H185*(1+$K185)^MAX(ROUNDUP(IFERROR(DATEDIF($I185-1,EA$15+1,"m"),)/12,)-1,)*Index!DW$23*(EA$15&lt;=$J185)*(1-EA$12)</f>
        <v>0</v>
      </c>
      <c r="EB185" s="747">
        <f>$G185*$H185*(1+$K185)^MAX(ROUNDUP(IFERROR(DATEDIF($I185-1,EB$15+1,"m"),)/12,)-1,)*Index!DX$23*(EB$15&lt;=$J185)*(1-EB$12)</f>
        <v>0</v>
      </c>
      <c r="EC185" s="747">
        <f>$G185*$H185*(1+$K185)^MAX(ROUNDUP(IFERROR(DATEDIF($I185-1,EC$15+1,"m"),)/12,)-1,)*Index!DY$23*(EC$15&lt;=$J185)*(1-EC$12)</f>
        <v>0</v>
      </c>
      <c r="ED185" s="747">
        <f>$G185*$H185*(1+$K185)^MAX(ROUNDUP(IFERROR(DATEDIF($I185-1,ED$15+1,"m"),)/12,)-1,)*Index!DZ$23*(ED$15&lt;=$J185)*(1-ED$12)</f>
        <v>0</v>
      </c>
      <c r="EE185" s="747">
        <f>$G185*$H185*(1+$K185)^MAX(ROUNDUP(IFERROR(DATEDIF($I185-1,EE$15+1,"m"),)/12,)-1,)*Index!EA$23*(EE$15&lt;=$J185)*(1-EE$12)</f>
        <v>0</v>
      </c>
      <c r="EF185" s="747">
        <f>$G185*$H185*(1+$K185)^MAX(ROUNDUP(IFERROR(DATEDIF($I185-1,EF$15+1,"m"),)/12,)-1,)*Index!EB$23*(EF$15&lt;=$J185)*(1-EF$12)</f>
        <v>0</v>
      </c>
      <c r="EG185" s="747">
        <f>$G185*$H185*(1+$K185)^MAX(ROUNDUP(IFERROR(DATEDIF($I185-1,EG$15+1,"m"),)/12,)-1,)*Index!EC$23*(EG$15&lt;=$J185)*(1-EG$12)</f>
        <v>0</v>
      </c>
      <c r="EH185" s="747">
        <f>$G185*$H185*(1+$K185)^MAX(ROUNDUP(IFERROR(DATEDIF($I185-1,EH$15+1,"m"),)/12,)-1,)*Index!ED$23*(EH$15&lt;=$J185)*(1-EH$12)</f>
        <v>0</v>
      </c>
      <c r="EI185" s="747">
        <f>$G185*$H185*(1+$K185)^MAX(ROUNDUP(IFERROR(DATEDIF($I185-1,EI$15+1,"m"),)/12,)-1,)*Index!EE$23*(EI$15&lt;=$J185)*(1-EI$12)</f>
        <v>0</v>
      </c>
      <c r="EJ185" s="747">
        <f>$G185*$H185*(1+$K185)^MAX(ROUNDUP(IFERROR(DATEDIF($I185-1,EJ$15+1,"m"),)/12,)-1,)*Index!EF$23*(EJ$15&lt;=$J185)*(1-EJ$12)</f>
        <v>0</v>
      </c>
      <c r="EK185" s="747">
        <f>$G185*$H185*(1+$K185)^MAX(ROUNDUP(IFERROR(DATEDIF($I185-1,EK$15+1,"m"),)/12,)-1,)*Index!EG$23*(EK$15&lt;=$J185)*(1-EK$12)</f>
        <v>0</v>
      </c>
      <c r="EL185" s="747">
        <f>$G185*$H185*(1+$K185)^MAX(ROUNDUP(IFERROR(DATEDIF($I185-1,EL$15+1,"m"),)/12,)-1,)*Index!EH$23*(EL$15&lt;=$J185)*(1-EL$12)</f>
        <v>0</v>
      </c>
      <c r="EM185" s="747">
        <f>$G185*$H185*(1+$K185)^MAX(ROUNDUP(IFERROR(DATEDIF($I185-1,EM$15+1,"m"),)/12,)-1,)*Index!EI$23*(EM$15&lt;=$J185)*(1-EM$12)</f>
        <v>0</v>
      </c>
      <c r="EN185" s="747">
        <f>$G185*$H185*(1+$K185)^MAX(ROUNDUP(IFERROR(DATEDIF($I185-1,EN$15+1,"m"),)/12,)-1,)*Index!EJ$23*(EN$15&lt;=$J185)*(1-EN$12)</f>
        <v>0</v>
      </c>
      <c r="EO185" s="747">
        <f>$G185*$H185*(1+$K185)^MAX(ROUNDUP(IFERROR(DATEDIF($I185-1,EO$15+1,"m"),)/12,)-1,)*Index!EK$23*(EO$15&lt;=$J185)*(1-EO$12)</f>
        <v>0</v>
      </c>
      <c r="EP185" s="747">
        <f>$G185*$H185*(1+$K185)^MAX(ROUNDUP(IFERROR(DATEDIF($I185-1,EP$15+1,"m"),)/12,)-1,)*Index!EL$23*(EP$15&lt;=$J185)*(1-EP$12)</f>
        <v>0</v>
      </c>
      <c r="EQ185" s="747">
        <f>$G185*$H185*(1+$K185)^MAX(ROUNDUP(IFERROR(DATEDIF($I185-1,EQ$15+1,"m"),)/12,)-1,)*Index!EM$23*(EQ$15&lt;=$J185)*(1-EQ$12)</f>
        <v>0</v>
      </c>
      <c r="ER185" s="747">
        <f>$G185*$H185*(1+$K185)^MAX(ROUNDUP(IFERROR(DATEDIF($I185-1,ER$15+1,"m"),)/12,)-1,)*Index!EN$23*(ER$15&lt;=$J185)*(1-ER$12)</f>
        <v>0</v>
      </c>
      <c r="ES185" s="747">
        <f>$G185*$H185*(1+$K185)^MAX(ROUNDUP(IFERROR(DATEDIF($I185-1,ES$15+1,"m"),)/12,)-1,)*Index!EO$23*(ES$15&lt;=$J185)*(1-ES$12)</f>
        <v>0</v>
      </c>
      <c r="ET185" s="747">
        <f>$G185*$H185*(1+$K185)^MAX(ROUNDUP(IFERROR(DATEDIF($I185-1,ET$15+1,"m"),)/12,)-1,)*Index!EP$23*(ET$15&lt;=$J185)*(1-ET$12)</f>
        <v>0</v>
      </c>
      <c r="EU185" s="747">
        <f>$G185*$H185*(1+$K185)^MAX(ROUNDUP(IFERROR(DATEDIF($I185-1,EU$15+1,"m"),)/12,)-1,)*Index!EQ$23*(EU$15&lt;=$J185)*(1-EU$12)</f>
        <v>0</v>
      </c>
    </row>
    <row r="186" spans="3:151" ht="11.25" customHeight="1">
      <c r="C186" s="828"/>
      <c r="D186" s="743">
        <f t="shared" ref="D186:K186" si="258">D150</f>
        <v>5</v>
      </c>
      <c r="E186" s="704" t="str">
        <f t="shared" si="258"/>
        <v>쿠팡</v>
      </c>
      <c r="F186" s="704" t="str">
        <f t="shared" si="258"/>
        <v>상온창고</v>
      </c>
      <c r="G186" s="781">
        <f t="shared" si="258"/>
        <v>3</v>
      </c>
      <c r="H186" s="744">
        <f t="shared" si="258"/>
        <v>2185.56</v>
      </c>
      <c r="I186" s="745">
        <f t="shared" si="258"/>
        <v>45323</v>
      </c>
      <c r="J186" s="745">
        <f t="shared" si="258"/>
        <v>49064</v>
      </c>
      <c r="K186" s="754">
        <f t="shared" si="258"/>
        <v>2.5000000000000001E-2</v>
      </c>
      <c r="L186" s="746"/>
      <c r="M186" s="722"/>
      <c r="N186" s="747">
        <f t="shared" si="252"/>
        <v>0</v>
      </c>
      <c r="O186" s="733"/>
      <c r="P186" s="747">
        <f>$G186*$H186*(1+$K186)^MAX(ROUNDUP(IFERROR(DATEDIF($I186-1,P$15+1,"m"),)/12,)-1,)*Index!L$23*(P$15&lt;=$J186)*(1-P$12)</f>
        <v>0</v>
      </c>
      <c r="Q186" s="747">
        <f>$G186*$H186*(1+$K186)^MAX(ROUNDUP(IFERROR(DATEDIF($I186-1,Q$15+1,"m"),)/12,)-1,)*Index!M$23*(Q$15&lt;=$J186)*(1-Q$12)</f>
        <v>0</v>
      </c>
      <c r="R186" s="747">
        <f>$G186*$H186*(1+$K186)^MAX(ROUNDUP(IFERROR(DATEDIF($I186-1,R$15+1,"m"),)/12,)-1,)*Index!N$23*(R$15&lt;=$J186)*(1-R$12)</f>
        <v>0</v>
      </c>
      <c r="S186" s="747">
        <f>$G186*$H186*(1+$K186)^MAX(ROUNDUP(IFERROR(DATEDIF($I186-1,S$15+1,"m"),)/12,)-1,)*Index!O$23*(S$15&lt;=$J186)*(1-S$12)</f>
        <v>0</v>
      </c>
      <c r="T186" s="747">
        <f>$G186*$H186*(1+$K186)^MAX(ROUNDUP(IFERROR(DATEDIF($I186-1,T$15+1,"m"),)/12,)-1,)*Index!P$23*(T$15&lt;=$J186)*(1-T$12)</f>
        <v>0</v>
      </c>
      <c r="U186" s="747">
        <f>$G186*$H186*(1+$K186)^MAX(ROUNDUP(IFERROR(DATEDIF($I186-1,U$15+1,"m"),)/12,)-1,)*Index!Q$23*(U$15&lt;=$J186)*(1-U$12)</f>
        <v>0</v>
      </c>
      <c r="V186" s="747">
        <f>$G186*$H186*(1+$K186)^MAX(ROUNDUP(IFERROR(DATEDIF($I186-1,V$15+1,"m"),)/12,)-1,)*Index!R$23*(V$15&lt;=$J186)*(1-V$12)</f>
        <v>0</v>
      </c>
      <c r="W186" s="747">
        <f>$G186*$H186*(1+$K186)^MAX(ROUNDUP(IFERROR(DATEDIF($I186-1,W$15+1,"m"),)/12,)-1,)*Index!S$23*(W$15&lt;=$J186)*(1-W$12)</f>
        <v>0</v>
      </c>
      <c r="X186" s="747">
        <f>$G186*$H186*(1+$K186)^MAX(ROUNDUP(IFERROR(DATEDIF($I186-1,X$15+1,"m"),)/12,)-1,)*Index!T$23*(X$15&lt;=$J186)*(1-X$12)</f>
        <v>0</v>
      </c>
      <c r="Y186" s="747">
        <f>$G186*$H186*(1+$K186)^MAX(ROUNDUP(IFERROR(DATEDIF($I186-1,Y$15+1,"m"),)/12,)-1,)*Index!U$23*(Y$15&lt;=$J186)*(1-Y$12)</f>
        <v>0</v>
      </c>
      <c r="Z186" s="747">
        <f>$G186*$H186*(1+$K186)^MAX(ROUNDUP(IFERROR(DATEDIF($I186-1,Z$15+1,"m"),)/12,)-1,)*Index!V$23*(Z$15&lt;=$J186)*(1-Z$12)</f>
        <v>0</v>
      </c>
      <c r="AA186" s="747">
        <f>$G186*$H186*(1+$K186)^MAX(ROUNDUP(IFERROR(DATEDIF($I186-1,AA$15+1,"m"),)/12,)-1,)*Index!W$23*(AA$15&lt;=$J186)*(1-AA$12)</f>
        <v>0</v>
      </c>
      <c r="AB186" s="747">
        <f>$G186*$H186*(1+$K186)^MAX(ROUNDUP(IFERROR(DATEDIF($I186-1,AB$15+1,"m"),)/12,)-1,)*Index!X$23*(AB$15&lt;=$J186)*(1-AB$12)</f>
        <v>0</v>
      </c>
      <c r="AC186" s="747">
        <f>$G186*$H186*(1+$K186)^MAX(ROUNDUP(IFERROR(DATEDIF($I186-1,AC$15+1,"m"),)/12,)-1,)*Index!Y$23*(AC$15&lt;=$J186)*(1-AC$12)</f>
        <v>0</v>
      </c>
      <c r="AD186" s="747">
        <f>$G186*$H186*(1+$K186)^MAX(ROUNDUP(IFERROR(DATEDIF($I186-1,AD$15+1,"m"),)/12,)-1,)*Index!Z$23*(AD$15&lt;=$J186)*(1-AD$12)</f>
        <v>0</v>
      </c>
      <c r="AE186" s="747">
        <f>$G186*$H186*(1+$K186)^MAX(ROUNDUP(IFERROR(DATEDIF($I186-1,AE$15+1,"m"),)/12,)-1,)*Index!AA$23*(AE$15&lt;=$J186)*(1-AE$12)</f>
        <v>0</v>
      </c>
      <c r="AF186" s="747">
        <f>$G186*$H186*(1+$K186)^MAX(ROUNDUP(IFERROR(DATEDIF($I186-1,AF$15+1,"m"),)/12,)-1,)*Index!AB$23*(AF$15&lt;=$J186)*(1-AF$12)</f>
        <v>0</v>
      </c>
      <c r="AG186" s="747">
        <f>$G186*$H186*(1+$K186)^MAX(ROUNDUP(IFERROR(DATEDIF($I186-1,AG$15+1,"m"),)/12,)-1,)*Index!AC$23*(AG$15&lt;=$J186)*(1-AG$12)</f>
        <v>0</v>
      </c>
      <c r="AH186" s="747">
        <f>$G186*$H186*(1+$K186)^MAX(ROUNDUP(IFERROR(DATEDIF($I186-1,AH$15+1,"m"),)/12,)-1,)*Index!AD$23*(AH$15&lt;=$J186)*(1-AH$12)</f>
        <v>0</v>
      </c>
      <c r="AI186" s="747">
        <f>$G186*$H186*(1+$K186)^MAX(ROUNDUP(IFERROR(DATEDIF($I186-1,AI$15+1,"m"),)/12,)-1,)*Index!AE$23*(AI$15&lt;=$J186)*(1-AI$12)</f>
        <v>0</v>
      </c>
      <c r="AJ186" s="747">
        <f>$G186*$H186*(1+$K186)^MAX(ROUNDUP(IFERROR(DATEDIF($I186-1,AJ$15+1,"m"),)/12,)-1,)*Index!AF$23*(AJ$15&lt;=$J186)*(1-AJ$12)</f>
        <v>0</v>
      </c>
      <c r="AK186" s="747">
        <f>$G186*$H186*(1+$K186)^MAX(ROUNDUP(IFERROR(DATEDIF($I186-1,AK$15+1,"m"),)/12,)-1,)*Index!AG$23*(AK$15&lt;=$J186)*(1-AK$12)</f>
        <v>0</v>
      </c>
      <c r="AL186" s="747">
        <f>$G186*$H186*(1+$K186)^MAX(ROUNDUP(IFERROR(DATEDIF($I186-1,AL$15+1,"m"),)/12,)-1,)*Index!AH$23*(AL$15&lt;=$J186)*(1-AL$12)</f>
        <v>0</v>
      </c>
      <c r="AM186" s="747">
        <f>$G186*$H186*(1+$K186)^MAX(ROUNDUP(IFERROR(DATEDIF($I186-1,AM$15+1,"m"),)/12,)-1,)*Index!AI$23*(AM$15&lt;=$J186)*(1-AM$12)</f>
        <v>0</v>
      </c>
      <c r="AN186" s="747">
        <f>$G186*$H186*(1+$K186)^MAX(ROUNDUP(IFERROR(DATEDIF($I186-1,AN$15+1,"m"),)/12,)-1,)*Index!AJ$23*(AN$15&lt;=$J186)*(1-AN$12)</f>
        <v>0</v>
      </c>
      <c r="AO186" s="747">
        <f>$G186*$H186*(1+$K186)^MAX(ROUNDUP(IFERROR(DATEDIF($I186-1,AO$15+1,"m"),)/12,)-1,)*Index!AK$23*(AO$15&lt;=$J186)*(1-AO$12)</f>
        <v>0</v>
      </c>
      <c r="AP186" s="747">
        <f>$G186*$H186*(1+$K186)^MAX(ROUNDUP(IFERROR(DATEDIF($I186-1,AP$15+1,"m"),)/12,)-1,)*Index!AL$23*(AP$15&lt;=$J186)*(1-AP$12)</f>
        <v>0</v>
      </c>
      <c r="AQ186" s="747">
        <f>$G186*$H186*(1+$K186)^MAX(ROUNDUP(IFERROR(DATEDIF($I186-1,AQ$15+1,"m"),)/12,)-1,)*Index!AM$23*(AQ$15&lt;=$J186)*(1-AQ$12)</f>
        <v>0</v>
      </c>
      <c r="AR186" s="747">
        <f>$G186*$H186*(1+$K186)^MAX(ROUNDUP(IFERROR(DATEDIF($I186-1,AR$15+1,"m"),)/12,)-1,)*Index!AN$23*(AR$15&lt;=$J186)*(1-AR$12)</f>
        <v>0</v>
      </c>
      <c r="AS186" s="747">
        <f>$G186*$H186*(1+$K186)^MAX(ROUNDUP(IFERROR(DATEDIF($I186-1,AS$15+1,"m"),)/12,)-1,)*Index!AO$23*(AS$15&lt;=$J186)*(1-AS$12)</f>
        <v>0</v>
      </c>
      <c r="AT186" s="747">
        <f>$G186*$H186*(1+$K186)^MAX(ROUNDUP(IFERROR(DATEDIF($I186-1,AT$15+1,"m"),)/12,)-1,)*Index!AP$23*(AT$15&lt;=$J186)*(1-AT$12)</f>
        <v>0</v>
      </c>
      <c r="AU186" s="747">
        <f>$G186*$H186*(1+$K186)^MAX(ROUNDUP(IFERROR(DATEDIF($I186-1,AU$15+1,"m"),)/12,)-1,)*Index!AQ$23*(AU$15&lt;=$J186)*(1-AU$12)</f>
        <v>0</v>
      </c>
      <c r="AV186" s="747">
        <f>$G186*$H186*(1+$K186)^MAX(ROUNDUP(IFERROR(DATEDIF($I186-1,AV$15+1,"m"),)/12,)-1,)*Index!AR$23*(AV$15&lt;=$J186)*(1-AV$12)</f>
        <v>0</v>
      </c>
      <c r="AW186" s="747">
        <f>$G186*$H186*(1+$K186)^MAX(ROUNDUP(IFERROR(DATEDIF($I186-1,AW$15+1,"m"),)/12,)-1,)*Index!AS$23*(AW$15&lt;=$J186)*(1-AW$12)</f>
        <v>0</v>
      </c>
      <c r="AX186" s="747">
        <f>$G186*$H186*(1+$K186)^MAX(ROUNDUP(IFERROR(DATEDIF($I186-1,AX$15+1,"m"),)/12,)-1,)*Index!AT$23*(AX$15&lt;=$J186)*(1-AX$12)</f>
        <v>0</v>
      </c>
      <c r="AY186" s="747">
        <f>$G186*$H186*(1+$K186)^MAX(ROUNDUP(IFERROR(DATEDIF($I186-1,AY$15+1,"m"),)/12,)-1,)*Index!AU$23*(AY$15&lt;=$J186)*(1-AY$12)</f>
        <v>0</v>
      </c>
      <c r="AZ186" s="747">
        <f>$G186*$H186*(1+$K186)^MAX(ROUNDUP(IFERROR(DATEDIF($I186-1,AZ$15+1,"m"),)/12,)-1,)*Index!AV$23*(AZ$15&lt;=$J186)*(1-AZ$12)</f>
        <v>0</v>
      </c>
      <c r="BA186" s="747">
        <f>$G186*$H186*(1+$K186)^MAX(ROUNDUP(IFERROR(DATEDIF($I186-1,BA$15+1,"m"),)/12,)-1,)*Index!AW$23*(BA$15&lt;=$J186)*(1-BA$12)</f>
        <v>0</v>
      </c>
      <c r="BB186" s="747">
        <f>$G186*$H186*(1+$K186)^MAX(ROUNDUP(IFERROR(DATEDIF($I186-1,BB$15+1,"m"),)/12,)-1,)*Index!AX$23*(BB$15&lt;=$J186)*(1-BB$12)</f>
        <v>0</v>
      </c>
      <c r="BC186" s="747">
        <f>$G186*$H186*(1+$K186)^MAX(ROUNDUP(IFERROR(DATEDIF($I186-1,BC$15+1,"m"),)/12,)-1,)*Index!AY$23*(BC$15&lt;=$J186)*(1-BC$12)</f>
        <v>0</v>
      </c>
      <c r="BD186" s="747">
        <f>$G186*$H186*(1+$K186)^MAX(ROUNDUP(IFERROR(DATEDIF($I186-1,BD$15+1,"m"),)/12,)-1,)*Index!AZ$23*(BD$15&lt;=$J186)*(1-BD$12)</f>
        <v>0</v>
      </c>
      <c r="BE186" s="747">
        <f>$G186*$H186*(1+$K186)^MAX(ROUNDUP(IFERROR(DATEDIF($I186-1,BE$15+1,"m"),)/12,)-1,)*Index!BA$23*(BE$15&lt;=$J186)*(1-BE$12)</f>
        <v>0</v>
      </c>
      <c r="BF186" s="747">
        <f>$G186*$H186*(1+$K186)^MAX(ROUNDUP(IFERROR(DATEDIF($I186-1,BF$15+1,"m"),)/12,)-1,)*Index!BB$23*(BF$15&lt;=$J186)*(1-BF$12)</f>
        <v>0</v>
      </c>
      <c r="BG186" s="747">
        <f>$G186*$H186*(1+$K186)^MAX(ROUNDUP(IFERROR(DATEDIF($I186-1,BG$15+1,"m"),)/12,)-1,)*Index!BC$23*(BG$15&lt;=$J186)*(1-BG$12)</f>
        <v>0</v>
      </c>
      <c r="BH186" s="747">
        <f>$G186*$H186*(1+$K186)^MAX(ROUNDUP(IFERROR(DATEDIF($I186-1,BH$15+1,"m"),)/12,)-1,)*Index!BD$23*(BH$15&lt;=$J186)*(1-BH$12)</f>
        <v>0</v>
      </c>
      <c r="BI186" s="747">
        <f>$G186*$H186*(1+$K186)^MAX(ROUNDUP(IFERROR(DATEDIF($I186-1,BI$15+1,"m"),)/12,)-1,)*Index!BE$23*(BI$15&lt;=$J186)*(1-BI$12)</f>
        <v>0</v>
      </c>
      <c r="BJ186" s="747">
        <f>$G186*$H186*(1+$K186)^MAX(ROUNDUP(IFERROR(DATEDIF($I186-1,BJ$15+1,"m"),)/12,)-1,)*Index!BF$23*(BJ$15&lt;=$J186)*(1-BJ$12)</f>
        <v>0</v>
      </c>
      <c r="BK186" s="747">
        <f>$G186*$H186*(1+$K186)^MAX(ROUNDUP(IFERROR(DATEDIF($I186-1,BK$15+1,"m"),)/12,)-1,)*Index!BG$23*(BK$15&lt;=$J186)*(1-BK$12)</f>
        <v>0</v>
      </c>
      <c r="BL186" s="747">
        <f>$G186*$H186*(1+$K186)^MAX(ROUNDUP(IFERROR(DATEDIF($I186-1,BL$15+1,"m"),)/12,)-1,)*Index!BH$23*(BL$15&lt;=$J186)*(1-BL$12)</f>
        <v>0</v>
      </c>
      <c r="BM186" s="747">
        <f>$G186*$H186*(1+$K186)^MAX(ROUNDUP(IFERROR(DATEDIF($I186-1,BM$15+1,"m"),)/12,)-1,)*Index!BI$23*(BM$15&lt;=$J186)*(1-BM$12)</f>
        <v>0</v>
      </c>
      <c r="BN186" s="747">
        <f>$G186*$H186*(1+$K186)^MAX(ROUNDUP(IFERROR(DATEDIF($I186-1,BN$15+1,"m"),)/12,)-1,)*Index!BJ$23*(BN$15&lt;=$J186)*(1-BN$12)</f>
        <v>0</v>
      </c>
      <c r="BO186" s="747">
        <f>$G186*$H186*(1+$K186)^MAX(ROUNDUP(IFERROR(DATEDIF($I186-1,BO$15+1,"m"),)/12,)-1,)*Index!BK$23*(BO$15&lt;=$J186)*(1-BO$12)</f>
        <v>0</v>
      </c>
      <c r="BP186" s="747">
        <f>$G186*$H186*(1+$K186)^MAX(ROUNDUP(IFERROR(DATEDIF($I186-1,BP$15+1,"m"),)/12,)-1,)*Index!BL$23*(BP$15&lt;=$J186)*(1-BP$12)</f>
        <v>0</v>
      </c>
      <c r="BQ186" s="747">
        <f>$G186*$H186*(1+$K186)^MAX(ROUNDUP(IFERROR(DATEDIF($I186-1,BQ$15+1,"m"),)/12,)-1,)*Index!BM$23*(BQ$15&lt;=$J186)*(1-BQ$12)</f>
        <v>0</v>
      </c>
      <c r="BR186" s="747">
        <f>$G186*$H186*(1+$K186)^MAX(ROUNDUP(IFERROR(DATEDIF($I186-1,BR$15+1,"m"),)/12,)-1,)*Index!BN$23*(BR$15&lt;=$J186)*(1-BR$12)</f>
        <v>0</v>
      </c>
      <c r="BS186" s="747">
        <f>$G186*$H186*(1+$K186)^MAX(ROUNDUP(IFERROR(DATEDIF($I186-1,BS$15+1,"m"),)/12,)-1,)*Index!BO$23*(BS$15&lt;=$J186)*(1-BS$12)</f>
        <v>0</v>
      </c>
      <c r="BT186" s="747">
        <f>$G186*$H186*(1+$K186)^MAX(ROUNDUP(IFERROR(DATEDIF($I186-1,BT$15+1,"m"),)/12,)-1,)*Index!BP$23*(BT$15&lt;=$J186)*(1-BT$12)</f>
        <v>0</v>
      </c>
      <c r="BU186" s="747">
        <f>$G186*$H186*(1+$K186)^MAX(ROUNDUP(IFERROR(DATEDIF($I186-1,BU$15+1,"m"),)/12,)-1,)*Index!BQ$23*(BU$15&lt;=$J186)*(1-BU$12)</f>
        <v>0</v>
      </c>
      <c r="BV186" s="747">
        <f>$G186*$H186*(1+$K186)^MAX(ROUNDUP(IFERROR(DATEDIF($I186-1,BV$15+1,"m"),)/12,)-1,)*Index!BR$23*(BV$15&lt;=$J186)*(1-BV$12)</f>
        <v>0</v>
      </c>
      <c r="BW186" s="747">
        <f>$G186*$H186*(1+$K186)^MAX(ROUNDUP(IFERROR(DATEDIF($I186-1,BW$15+1,"m"),)/12,)-1,)*Index!BS$23*(BW$15&lt;=$J186)*(1-BW$12)</f>
        <v>0</v>
      </c>
      <c r="BX186" s="747">
        <f>$G186*$H186*(1+$K186)^MAX(ROUNDUP(IFERROR(DATEDIF($I186-1,BX$15+1,"m"),)/12,)-1,)*Index!BT$23*(BX$15&lt;=$J186)*(1-BX$12)</f>
        <v>0</v>
      </c>
      <c r="BY186" s="747">
        <f>$G186*$H186*(1+$K186)^MAX(ROUNDUP(IFERROR(DATEDIF($I186-1,BY$15+1,"m"),)/12,)-1,)*Index!BU$23*(BY$15&lt;=$J186)*(1-BY$12)</f>
        <v>0</v>
      </c>
      <c r="BZ186" s="747">
        <f>$G186*$H186*(1+$K186)^MAX(ROUNDUP(IFERROR(DATEDIF($I186-1,BZ$15+1,"m"),)/12,)-1,)*Index!BV$23*(BZ$15&lt;=$J186)*(1-BZ$12)</f>
        <v>0</v>
      </c>
      <c r="CA186" s="747">
        <f>$G186*$H186*(1+$K186)^MAX(ROUNDUP(IFERROR(DATEDIF($I186-1,CA$15+1,"m"),)/12,)-1,)*Index!BW$23*(CA$15&lt;=$J186)*(1-CA$12)</f>
        <v>0</v>
      </c>
      <c r="CB186" s="747">
        <f>$G186*$H186*(1+$K186)^MAX(ROUNDUP(IFERROR(DATEDIF($I186-1,CB$15+1,"m"),)/12,)-1,)*Index!BX$23*(CB$15&lt;=$J186)*(1-CB$12)</f>
        <v>0</v>
      </c>
      <c r="CC186" s="747">
        <f>$G186*$H186*(1+$K186)^MAX(ROUNDUP(IFERROR(DATEDIF($I186-1,CC$15+1,"m"),)/12,)-1,)*Index!BY$23*(CC$15&lt;=$J186)*(1-CC$12)</f>
        <v>0</v>
      </c>
      <c r="CD186" s="747">
        <f>$G186*$H186*(1+$K186)^MAX(ROUNDUP(IFERROR(DATEDIF($I186-1,CD$15+1,"m"),)/12,)-1,)*Index!BZ$23*(CD$15&lt;=$J186)*(1-CD$12)</f>
        <v>0</v>
      </c>
      <c r="CE186" s="747">
        <f>$G186*$H186*(1+$K186)^MAX(ROUNDUP(IFERROR(DATEDIF($I186-1,CE$15+1,"m"),)/12,)-1,)*Index!CA$23*(CE$15&lt;=$J186)*(1-CE$12)</f>
        <v>0</v>
      </c>
      <c r="CF186" s="747">
        <f>$G186*$H186*(1+$K186)^MAX(ROUNDUP(IFERROR(DATEDIF($I186-1,CF$15+1,"m"),)/12,)-1,)*Index!CB$23*(CF$15&lt;=$J186)*(1-CF$12)</f>
        <v>0</v>
      </c>
      <c r="CG186" s="747">
        <f>$G186*$H186*(1+$K186)^MAX(ROUNDUP(IFERROR(DATEDIF($I186-1,CG$15+1,"m"),)/12,)-1,)*Index!CC$23*(CG$15&lt;=$J186)*(1-CG$12)</f>
        <v>0</v>
      </c>
      <c r="CH186" s="747">
        <f>$G186*$H186*(1+$K186)^MAX(ROUNDUP(IFERROR(DATEDIF($I186-1,CH$15+1,"m"),)/12,)-1,)*Index!CD$23*(CH$15&lt;=$J186)*(1-CH$12)</f>
        <v>0</v>
      </c>
      <c r="CI186" s="747">
        <f>$G186*$H186*(1+$K186)^MAX(ROUNDUP(IFERROR(DATEDIF($I186-1,CI$15+1,"m"),)/12,)-1,)*Index!CE$23*(CI$15&lt;=$J186)*(1-CI$12)</f>
        <v>0</v>
      </c>
      <c r="CJ186" s="747">
        <f>$G186*$H186*(1+$K186)^MAX(ROUNDUP(IFERROR(DATEDIF($I186-1,CJ$15+1,"m"),)/12,)-1,)*Index!CF$23*(CJ$15&lt;=$J186)*(1-CJ$12)</f>
        <v>0</v>
      </c>
      <c r="CK186" s="747">
        <f>$G186*$H186*(1+$K186)^MAX(ROUNDUP(IFERROR(DATEDIF($I186-1,CK$15+1,"m"),)/12,)-1,)*Index!CG$23*(CK$15&lt;=$J186)*(1-CK$12)</f>
        <v>0</v>
      </c>
      <c r="CL186" s="747">
        <f>$G186*$H186*(1+$K186)^MAX(ROUNDUP(IFERROR(DATEDIF($I186-1,CL$15+1,"m"),)/12,)-1,)*Index!CH$23*(CL$15&lt;=$J186)*(1-CL$12)</f>
        <v>0</v>
      </c>
      <c r="CM186" s="747">
        <f>$G186*$H186*(1+$K186)^MAX(ROUNDUP(IFERROR(DATEDIF($I186-1,CM$15+1,"m"),)/12,)-1,)*Index!CI$23*(CM$15&lt;=$J186)*(1-CM$12)</f>
        <v>0</v>
      </c>
      <c r="CN186" s="747">
        <f>$G186*$H186*(1+$K186)^MAX(ROUNDUP(IFERROR(DATEDIF($I186-1,CN$15+1,"m"),)/12,)-1,)*Index!CJ$23*(CN$15&lt;=$J186)*(1-CN$12)</f>
        <v>0</v>
      </c>
      <c r="CO186" s="747">
        <f>$G186*$H186*(1+$K186)^MAX(ROUNDUP(IFERROR(DATEDIF($I186-1,CO$15+1,"m"),)/12,)-1,)*Index!CK$23*(CO$15&lt;=$J186)*(1-CO$12)</f>
        <v>0</v>
      </c>
      <c r="CP186" s="747">
        <f>$G186*$H186*(1+$K186)^MAX(ROUNDUP(IFERROR(DATEDIF($I186-1,CP$15+1,"m"),)/12,)-1,)*Index!CL$23*(CP$15&lt;=$J186)*(1-CP$12)</f>
        <v>0</v>
      </c>
      <c r="CQ186" s="747">
        <f>$G186*$H186*(1+$K186)^MAX(ROUNDUP(IFERROR(DATEDIF($I186-1,CQ$15+1,"m"),)/12,)-1,)*Index!CM$23*(CQ$15&lt;=$J186)*(1-CQ$12)</f>
        <v>0</v>
      </c>
      <c r="CR186" s="747">
        <f>$G186*$H186*(1+$K186)^MAX(ROUNDUP(IFERROR(DATEDIF($I186-1,CR$15+1,"m"),)/12,)-1,)*Index!CN$23*(CR$15&lt;=$J186)*(1-CR$12)</f>
        <v>0</v>
      </c>
      <c r="CS186" s="747">
        <f>$G186*$H186*(1+$K186)^MAX(ROUNDUP(IFERROR(DATEDIF($I186-1,CS$15+1,"m"),)/12,)-1,)*Index!CO$23*(CS$15&lt;=$J186)*(1-CS$12)</f>
        <v>0</v>
      </c>
      <c r="CT186" s="747">
        <f>$G186*$H186*(1+$K186)^MAX(ROUNDUP(IFERROR(DATEDIF($I186-1,CT$15+1,"m"),)/12,)-1,)*Index!CP$23*(CT$15&lt;=$J186)*(1-CT$12)</f>
        <v>0</v>
      </c>
      <c r="CU186" s="747">
        <f>$G186*$H186*(1+$K186)^MAX(ROUNDUP(IFERROR(DATEDIF($I186-1,CU$15+1,"m"),)/12,)-1,)*Index!CQ$23*(CU$15&lt;=$J186)*(1-CU$12)</f>
        <v>0</v>
      </c>
      <c r="CV186" s="747">
        <f>$G186*$H186*(1+$K186)^MAX(ROUNDUP(IFERROR(DATEDIF($I186-1,CV$15+1,"m"),)/12,)-1,)*Index!CR$23*(CV$15&lt;=$J186)*(1-CV$12)</f>
        <v>0</v>
      </c>
      <c r="CW186" s="747">
        <f>$G186*$H186*(1+$K186)^MAX(ROUNDUP(IFERROR(DATEDIF($I186-1,CW$15+1,"m"),)/12,)-1,)*Index!CS$23*(CW$15&lt;=$J186)*(1-CW$12)</f>
        <v>0</v>
      </c>
      <c r="CX186" s="747">
        <f>$G186*$H186*(1+$K186)^MAX(ROUNDUP(IFERROR(DATEDIF($I186-1,CX$15+1,"m"),)/12,)-1,)*Index!CT$23*(CX$15&lt;=$J186)*(1-CX$12)</f>
        <v>0</v>
      </c>
      <c r="CY186" s="747">
        <f>$G186*$H186*(1+$K186)^MAX(ROUNDUP(IFERROR(DATEDIF($I186-1,CY$15+1,"m"),)/12,)-1,)*Index!CU$23*(CY$15&lt;=$J186)*(1-CY$12)</f>
        <v>0</v>
      </c>
      <c r="CZ186" s="747">
        <f>$G186*$H186*(1+$K186)^MAX(ROUNDUP(IFERROR(DATEDIF($I186-1,CZ$15+1,"m"),)/12,)-1,)*Index!CV$23*(CZ$15&lt;=$J186)*(1-CZ$12)</f>
        <v>0</v>
      </c>
      <c r="DA186" s="747">
        <f>$G186*$H186*(1+$K186)^MAX(ROUNDUP(IFERROR(DATEDIF($I186-1,DA$15+1,"m"),)/12,)-1,)*Index!CW$23*(DA$15&lt;=$J186)*(1-DA$12)</f>
        <v>0</v>
      </c>
      <c r="DB186" s="747">
        <f>$G186*$H186*(1+$K186)^MAX(ROUNDUP(IFERROR(DATEDIF($I186-1,DB$15+1,"m"),)/12,)-1,)*Index!CX$23*(DB$15&lt;=$J186)*(1-DB$12)</f>
        <v>0</v>
      </c>
      <c r="DC186" s="747">
        <f>$G186*$H186*(1+$K186)^MAX(ROUNDUP(IFERROR(DATEDIF($I186-1,DC$15+1,"m"),)/12,)-1,)*Index!CY$23*(DC$15&lt;=$J186)*(1-DC$12)</f>
        <v>0</v>
      </c>
      <c r="DD186" s="747">
        <f>$G186*$H186*(1+$K186)^MAX(ROUNDUP(IFERROR(DATEDIF($I186-1,DD$15+1,"m"),)/12,)-1,)*Index!CZ$23*(DD$15&lt;=$J186)*(1-DD$12)</f>
        <v>0</v>
      </c>
      <c r="DE186" s="747">
        <f>$G186*$H186*(1+$K186)^MAX(ROUNDUP(IFERROR(DATEDIF($I186-1,DE$15+1,"m"),)/12,)-1,)*Index!DA$23*(DE$15&lt;=$J186)*(1-DE$12)</f>
        <v>0</v>
      </c>
      <c r="DF186" s="747">
        <f>$G186*$H186*(1+$K186)^MAX(ROUNDUP(IFERROR(DATEDIF($I186-1,DF$15+1,"m"),)/12,)-1,)*Index!DB$23*(DF$15&lt;=$J186)*(1-DF$12)</f>
        <v>0</v>
      </c>
      <c r="DG186" s="747">
        <f>$G186*$H186*(1+$K186)^MAX(ROUNDUP(IFERROR(DATEDIF($I186-1,DG$15+1,"m"),)/12,)-1,)*Index!DC$23*(DG$15&lt;=$J186)*(1-DG$12)</f>
        <v>0</v>
      </c>
      <c r="DH186" s="747">
        <f>$G186*$H186*(1+$K186)^MAX(ROUNDUP(IFERROR(DATEDIF($I186-1,DH$15+1,"m"),)/12,)-1,)*Index!DD$23*(DH$15&lt;=$J186)*(1-DH$12)</f>
        <v>0</v>
      </c>
      <c r="DI186" s="747">
        <f>$G186*$H186*(1+$K186)^MAX(ROUNDUP(IFERROR(DATEDIF($I186-1,DI$15+1,"m"),)/12,)-1,)*Index!DE$23*(DI$15&lt;=$J186)*(1-DI$12)</f>
        <v>0</v>
      </c>
      <c r="DJ186" s="747">
        <f>$G186*$H186*(1+$K186)^MAX(ROUNDUP(IFERROR(DATEDIF($I186-1,DJ$15+1,"m"),)/12,)-1,)*Index!DF$23*(DJ$15&lt;=$J186)*(1-DJ$12)</f>
        <v>0</v>
      </c>
      <c r="DK186" s="747">
        <f>$G186*$H186*(1+$K186)^MAX(ROUNDUP(IFERROR(DATEDIF($I186-1,DK$15+1,"m"),)/12,)-1,)*Index!DG$23*(DK$15&lt;=$J186)*(1-DK$12)</f>
        <v>0</v>
      </c>
      <c r="DL186" s="747">
        <f>$G186*$H186*(1+$K186)^MAX(ROUNDUP(IFERROR(DATEDIF($I186-1,DL$15+1,"m"),)/12,)-1,)*Index!DH$23*(DL$15&lt;=$J186)*(1-DL$12)</f>
        <v>0</v>
      </c>
      <c r="DM186" s="747">
        <f>$G186*$H186*(1+$K186)^MAX(ROUNDUP(IFERROR(DATEDIF($I186-1,DM$15+1,"m"),)/12,)-1,)*Index!DI$23*(DM$15&lt;=$J186)*(1-DM$12)</f>
        <v>0</v>
      </c>
      <c r="DN186" s="747">
        <f>$G186*$H186*(1+$K186)^MAX(ROUNDUP(IFERROR(DATEDIF($I186-1,DN$15+1,"m"),)/12,)-1,)*Index!DJ$23*(DN$15&lt;=$J186)*(1-DN$12)</f>
        <v>0</v>
      </c>
      <c r="DO186" s="747">
        <f>$G186*$H186*(1+$K186)^MAX(ROUNDUP(IFERROR(DATEDIF($I186-1,DO$15+1,"m"),)/12,)-1,)*Index!DK$23*(DO$15&lt;=$J186)*(1-DO$12)</f>
        <v>0</v>
      </c>
      <c r="DP186" s="747">
        <f>$G186*$H186*(1+$K186)^MAX(ROUNDUP(IFERROR(DATEDIF($I186-1,DP$15+1,"m"),)/12,)-1,)*Index!DL$23*(DP$15&lt;=$J186)*(1-DP$12)</f>
        <v>0</v>
      </c>
      <c r="DQ186" s="747">
        <f>$G186*$H186*(1+$K186)^MAX(ROUNDUP(IFERROR(DATEDIF($I186-1,DQ$15+1,"m"),)/12,)-1,)*Index!DM$23*(DQ$15&lt;=$J186)*(1-DQ$12)</f>
        <v>0</v>
      </c>
      <c r="DR186" s="747">
        <f>$G186*$H186*(1+$K186)^MAX(ROUNDUP(IFERROR(DATEDIF($I186-1,DR$15+1,"m"),)/12,)-1,)*Index!DN$23*(DR$15&lt;=$J186)*(1-DR$12)</f>
        <v>0</v>
      </c>
      <c r="DS186" s="747">
        <f>$G186*$H186*(1+$K186)^MAX(ROUNDUP(IFERROR(DATEDIF($I186-1,DS$15+1,"m"),)/12,)-1,)*Index!DO$23*(DS$15&lt;=$J186)*(1-DS$12)</f>
        <v>0</v>
      </c>
      <c r="DT186" s="747">
        <f>$G186*$H186*(1+$K186)^MAX(ROUNDUP(IFERROR(DATEDIF($I186-1,DT$15+1,"m"),)/12,)-1,)*Index!DP$23*(DT$15&lt;=$J186)*(1-DT$12)</f>
        <v>0</v>
      </c>
      <c r="DU186" s="747">
        <f>$G186*$H186*(1+$K186)^MAX(ROUNDUP(IFERROR(DATEDIF($I186-1,DU$15+1,"m"),)/12,)-1,)*Index!DQ$23*(DU$15&lt;=$J186)*(1-DU$12)</f>
        <v>0</v>
      </c>
      <c r="DV186" s="747">
        <f>$G186*$H186*(1+$K186)^MAX(ROUNDUP(IFERROR(DATEDIF($I186-1,DV$15+1,"m"),)/12,)-1,)*Index!DR$23*(DV$15&lt;=$J186)*(1-DV$12)</f>
        <v>0</v>
      </c>
      <c r="DW186" s="747">
        <f>$G186*$H186*(1+$K186)^MAX(ROUNDUP(IFERROR(DATEDIF($I186-1,DW$15+1,"m"),)/12,)-1,)*Index!DS$23*(DW$15&lt;=$J186)*(1-DW$12)</f>
        <v>0</v>
      </c>
      <c r="DX186" s="747">
        <f>$G186*$H186*(1+$K186)^MAX(ROUNDUP(IFERROR(DATEDIF($I186-1,DX$15+1,"m"),)/12,)-1,)*Index!DT$23*(DX$15&lt;=$J186)*(1-DX$12)</f>
        <v>0</v>
      </c>
      <c r="DY186" s="747">
        <f>$G186*$H186*(1+$K186)^MAX(ROUNDUP(IFERROR(DATEDIF($I186-1,DY$15+1,"m"),)/12,)-1,)*Index!DU$23*(DY$15&lt;=$J186)*(1-DY$12)</f>
        <v>0</v>
      </c>
      <c r="DZ186" s="747">
        <f>$G186*$H186*(1+$K186)^MAX(ROUNDUP(IFERROR(DATEDIF($I186-1,DZ$15+1,"m"),)/12,)-1,)*Index!DV$23*(DZ$15&lt;=$J186)*(1-DZ$12)</f>
        <v>0</v>
      </c>
      <c r="EA186" s="747">
        <f>$G186*$H186*(1+$K186)^MAX(ROUNDUP(IFERROR(DATEDIF($I186-1,EA$15+1,"m"),)/12,)-1,)*Index!DW$23*(EA$15&lt;=$J186)*(1-EA$12)</f>
        <v>0</v>
      </c>
      <c r="EB186" s="747">
        <f>$G186*$H186*(1+$K186)^MAX(ROUNDUP(IFERROR(DATEDIF($I186-1,EB$15+1,"m"),)/12,)-1,)*Index!DX$23*(EB$15&lt;=$J186)*(1-EB$12)</f>
        <v>0</v>
      </c>
      <c r="EC186" s="747">
        <f>$G186*$H186*(1+$K186)^MAX(ROUNDUP(IFERROR(DATEDIF($I186-1,EC$15+1,"m"),)/12,)-1,)*Index!DY$23*(EC$15&lt;=$J186)*(1-EC$12)</f>
        <v>0</v>
      </c>
      <c r="ED186" s="747">
        <f>$G186*$H186*(1+$K186)^MAX(ROUNDUP(IFERROR(DATEDIF($I186-1,ED$15+1,"m"),)/12,)-1,)*Index!DZ$23*(ED$15&lt;=$J186)*(1-ED$12)</f>
        <v>0</v>
      </c>
      <c r="EE186" s="747">
        <f>$G186*$H186*(1+$K186)^MAX(ROUNDUP(IFERROR(DATEDIF($I186-1,EE$15+1,"m"),)/12,)-1,)*Index!EA$23*(EE$15&lt;=$J186)*(1-EE$12)</f>
        <v>0</v>
      </c>
      <c r="EF186" s="747">
        <f>$G186*$H186*(1+$K186)^MAX(ROUNDUP(IFERROR(DATEDIF($I186-1,EF$15+1,"m"),)/12,)-1,)*Index!EB$23*(EF$15&lt;=$J186)*(1-EF$12)</f>
        <v>0</v>
      </c>
      <c r="EG186" s="747">
        <f>$G186*$H186*(1+$K186)^MAX(ROUNDUP(IFERROR(DATEDIF($I186-1,EG$15+1,"m"),)/12,)-1,)*Index!EC$23*(EG$15&lt;=$J186)*(1-EG$12)</f>
        <v>0</v>
      </c>
      <c r="EH186" s="747">
        <f>$G186*$H186*(1+$K186)^MAX(ROUNDUP(IFERROR(DATEDIF($I186-1,EH$15+1,"m"),)/12,)-1,)*Index!ED$23*(EH$15&lt;=$J186)*(1-EH$12)</f>
        <v>0</v>
      </c>
      <c r="EI186" s="747">
        <f>$G186*$H186*(1+$K186)^MAX(ROUNDUP(IFERROR(DATEDIF($I186-1,EI$15+1,"m"),)/12,)-1,)*Index!EE$23*(EI$15&lt;=$J186)*(1-EI$12)</f>
        <v>0</v>
      </c>
      <c r="EJ186" s="747">
        <f>$G186*$H186*(1+$K186)^MAX(ROUNDUP(IFERROR(DATEDIF($I186-1,EJ$15+1,"m"),)/12,)-1,)*Index!EF$23*(EJ$15&lt;=$J186)*(1-EJ$12)</f>
        <v>0</v>
      </c>
      <c r="EK186" s="747">
        <f>$G186*$H186*(1+$K186)^MAX(ROUNDUP(IFERROR(DATEDIF($I186-1,EK$15+1,"m"),)/12,)-1,)*Index!EG$23*(EK$15&lt;=$J186)*(1-EK$12)</f>
        <v>0</v>
      </c>
      <c r="EL186" s="747">
        <f>$G186*$H186*(1+$K186)^MAX(ROUNDUP(IFERROR(DATEDIF($I186-1,EL$15+1,"m"),)/12,)-1,)*Index!EH$23*(EL$15&lt;=$J186)*(1-EL$12)</f>
        <v>0</v>
      </c>
      <c r="EM186" s="747">
        <f>$G186*$H186*(1+$K186)^MAX(ROUNDUP(IFERROR(DATEDIF($I186-1,EM$15+1,"m"),)/12,)-1,)*Index!EI$23*(EM$15&lt;=$J186)*(1-EM$12)</f>
        <v>0</v>
      </c>
      <c r="EN186" s="747">
        <f>$G186*$H186*(1+$K186)^MAX(ROUNDUP(IFERROR(DATEDIF($I186-1,EN$15+1,"m"),)/12,)-1,)*Index!EJ$23*(EN$15&lt;=$J186)*(1-EN$12)</f>
        <v>0</v>
      </c>
      <c r="EO186" s="747">
        <f>$G186*$H186*(1+$K186)^MAX(ROUNDUP(IFERROR(DATEDIF($I186-1,EO$15+1,"m"),)/12,)-1,)*Index!EK$23*(EO$15&lt;=$J186)*(1-EO$12)</f>
        <v>0</v>
      </c>
      <c r="EP186" s="747">
        <f>$G186*$H186*(1+$K186)^MAX(ROUNDUP(IFERROR(DATEDIF($I186-1,EP$15+1,"m"),)/12,)-1,)*Index!EL$23*(EP$15&lt;=$J186)*(1-EP$12)</f>
        <v>0</v>
      </c>
      <c r="EQ186" s="747">
        <f>$G186*$H186*(1+$K186)^MAX(ROUNDUP(IFERROR(DATEDIF($I186-1,EQ$15+1,"m"),)/12,)-1,)*Index!EM$23*(EQ$15&lt;=$J186)*(1-EQ$12)</f>
        <v>0</v>
      </c>
      <c r="ER186" s="747">
        <f>$G186*$H186*(1+$K186)^MAX(ROUNDUP(IFERROR(DATEDIF($I186-1,ER$15+1,"m"),)/12,)-1,)*Index!EN$23*(ER$15&lt;=$J186)*(1-ER$12)</f>
        <v>0</v>
      </c>
      <c r="ES186" s="747">
        <f>$G186*$H186*(1+$K186)^MAX(ROUNDUP(IFERROR(DATEDIF($I186-1,ES$15+1,"m"),)/12,)-1,)*Index!EO$23*(ES$15&lt;=$J186)*(1-ES$12)</f>
        <v>0</v>
      </c>
      <c r="ET186" s="747">
        <f>$G186*$H186*(1+$K186)^MAX(ROUNDUP(IFERROR(DATEDIF($I186-1,ET$15+1,"m"),)/12,)-1,)*Index!EP$23*(ET$15&lt;=$J186)*(1-ET$12)</f>
        <v>0</v>
      </c>
      <c r="EU186" s="747">
        <f>$G186*$H186*(1+$K186)^MAX(ROUNDUP(IFERROR(DATEDIF($I186-1,EU$15+1,"m"),)/12,)-1,)*Index!EQ$23*(EU$15&lt;=$J186)*(1-EU$12)</f>
        <v>0</v>
      </c>
    </row>
    <row r="187" spans="3:151" ht="11.25" customHeight="1">
      <c r="C187" s="828"/>
      <c r="D187" s="743">
        <f t="shared" ref="D187:K187" si="259">D151</f>
        <v>4</v>
      </c>
      <c r="E187" s="704" t="str">
        <f t="shared" si="259"/>
        <v>쿠팡</v>
      </c>
      <c r="F187" s="704" t="str">
        <f t="shared" si="259"/>
        <v>상온창고</v>
      </c>
      <c r="G187" s="781">
        <f t="shared" si="259"/>
        <v>3</v>
      </c>
      <c r="H187" s="744">
        <f t="shared" si="259"/>
        <v>2185.56</v>
      </c>
      <c r="I187" s="745">
        <f t="shared" si="259"/>
        <v>45413</v>
      </c>
      <c r="J187" s="745">
        <f t="shared" si="259"/>
        <v>49064</v>
      </c>
      <c r="K187" s="754">
        <f t="shared" si="259"/>
        <v>2.5000000000000001E-2</v>
      </c>
      <c r="L187" s="746"/>
      <c r="M187" s="722"/>
      <c r="N187" s="747">
        <f t="shared" si="252"/>
        <v>0</v>
      </c>
      <c r="O187" s="733"/>
      <c r="P187" s="747">
        <f>$G187*$H187*(1+$K187)^MAX(ROUNDUP(IFERROR(DATEDIF($I187-1,P$15+1,"m"),)/12,)-1,)*Index!L$23*(P$15&lt;=$J187)*(1-P$12)</f>
        <v>0</v>
      </c>
      <c r="Q187" s="747">
        <f>$G187*$H187*(1+$K187)^MAX(ROUNDUP(IFERROR(DATEDIF($I187-1,Q$15+1,"m"),)/12,)-1,)*Index!M$23*(Q$15&lt;=$J187)*(1-Q$12)</f>
        <v>0</v>
      </c>
      <c r="R187" s="747">
        <f>$G187*$H187*(1+$K187)^MAX(ROUNDUP(IFERROR(DATEDIF($I187-1,R$15+1,"m"),)/12,)-1,)*Index!N$23*(R$15&lt;=$J187)*(1-R$12)</f>
        <v>0</v>
      </c>
      <c r="S187" s="747">
        <f>$G187*$H187*(1+$K187)^MAX(ROUNDUP(IFERROR(DATEDIF($I187-1,S$15+1,"m"),)/12,)-1,)*Index!O$23*(S$15&lt;=$J187)*(1-S$12)</f>
        <v>0</v>
      </c>
      <c r="T187" s="747">
        <f>$G187*$H187*(1+$K187)^MAX(ROUNDUP(IFERROR(DATEDIF($I187-1,T$15+1,"m"),)/12,)-1,)*Index!P$23*(T$15&lt;=$J187)*(1-T$12)</f>
        <v>0</v>
      </c>
      <c r="U187" s="747">
        <f>$G187*$H187*(1+$K187)^MAX(ROUNDUP(IFERROR(DATEDIF($I187-1,U$15+1,"m"),)/12,)-1,)*Index!Q$23*(U$15&lt;=$J187)*(1-U$12)</f>
        <v>0</v>
      </c>
      <c r="V187" s="747">
        <f>$G187*$H187*(1+$K187)^MAX(ROUNDUP(IFERROR(DATEDIF($I187-1,V$15+1,"m"),)/12,)-1,)*Index!R$23*(V$15&lt;=$J187)*(1-V$12)</f>
        <v>0</v>
      </c>
      <c r="W187" s="747">
        <f>$G187*$H187*(1+$K187)^MAX(ROUNDUP(IFERROR(DATEDIF($I187-1,W$15+1,"m"),)/12,)-1,)*Index!S$23*(W$15&lt;=$J187)*(1-W$12)</f>
        <v>0</v>
      </c>
      <c r="X187" s="747">
        <f>$G187*$H187*(1+$K187)^MAX(ROUNDUP(IFERROR(DATEDIF($I187-1,X$15+1,"m"),)/12,)-1,)*Index!T$23*(X$15&lt;=$J187)*(1-X$12)</f>
        <v>0</v>
      </c>
      <c r="Y187" s="747">
        <f>$G187*$H187*(1+$K187)^MAX(ROUNDUP(IFERROR(DATEDIF($I187-1,Y$15+1,"m"),)/12,)-1,)*Index!U$23*(Y$15&lt;=$J187)*(1-Y$12)</f>
        <v>0</v>
      </c>
      <c r="Z187" s="747">
        <f>$G187*$H187*(1+$K187)^MAX(ROUNDUP(IFERROR(DATEDIF($I187-1,Z$15+1,"m"),)/12,)-1,)*Index!V$23*(Z$15&lt;=$J187)*(1-Z$12)</f>
        <v>0</v>
      </c>
      <c r="AA187" s="747">
        <f>$G187*$H187*(1+$K187)^MAX(ROUNDUP(IFERROR(DATEDIF($I187-1,AA$15+1,"m"),)/12,)-1,)*Index!W$23*(AA$15&lt;=$J187)*(1-AA$12)</f>
        <v>0</v>
      </c>
      <c r="AB187" s="747">
        <f>$G187*$H187*(1+$K187)^MAX(ROUNDUP(IFERROR(DATEDIF($I187-1,AB$15+1,"m"),)/12,)-1,)*Index!X$23*(AB$15&lt;=$J187)*(1-AB$12)</f>
        <v>0</v>
      </c>
      <c r="AC187" s="747">
        <f>$G187*$H187*(1+$K187)^MAX(ROUNDUP(IFERROR(DATEDIF($I187-1,AC$15+1,"m"),)/12,)-1,)*Index!Y$23*(AC$15&lt;=$J187)*(1-AC$12)</f>
        <v>0</v>
      </c>
      <c r="AD187" s="747">
        <f>$G187*$H187*(1+$K187)^MAX(ROUNDUP(IFERROR(DATEDIF($I187-1,AD$15+1,"m"),)/12,)-1,)*Index!Z$23*(AD$15&lt;=$J187)*(1-AD$12)</f>
        <v>0</v>
      </c>
      <c r="AE187" s="747">
        <f>$G187*$H187*(1+$K187)^MAX(ROUNDUP(IFERROR(DATEDIF($I187-1,AE$15+1,"m"),)/12,)-1,)*Index!AA$23*(AE$15&lt;=$J187)*(1-AE$12)</f>
        <v>0</v>
      </c>
      <c r="AF187" s="747">
        <f>$G187*$H187*(1+$K187)^MAX(ROUNDUP(IFERROR(DATEDIF($I187-1,AF$15+1,"m"),)/12,)-1,)*Index!AB$23*(AF$15&lt;=$J187)*(1-AF$12)</f>
        <v>0</v>
      </c>
      <c r="AG187" s="747">
        <f>$G187*$H187*(1+$K187)^MAX(ROUNDUP(IFERROR(DATEDIF($I187-1,AG$15+1,"m"),)/12,)-1,)*Index!AC$23*(AG$15&lt;=$J187)*(1-AG$12)</f>
        <v>0</v>
      </c>
      <c r="AH187" s="747">
        <f>$G187*$H187*(1+$K187)^MAX(ROUNDUP(IFERROR(DATEDIF($I187-1,AH$15+1,"m"),)/12,)-1,)*Index!AD$23*(AH$15&lt;=$J187)*(1-AH$12)</f>
        <v>0</v>
      </c>
      <c r="AI187" s="747">
        <f>$G187*$H187*(1+$K187)^MAX(ROUNDUP(IFERROR(DATEDIF($I187-1,AI$15+1,"m"),)/12,)-1,)*Index!AE$23*(AI$15&lt;=$J187)*(1-AI$12)</f>
        <v>0</v>
      </c>
      <c r="AJ187" s="747">
        <f>$G187*$H187*(1+$K187)^MAX(ROUNDUP(IFERROR(DATEDIF($I187-1,AJ$15+1,"m"),)/12,)-1,)*Index!AF$23*(AJ$15&lt;=$J187)*(1-AJ$12)</f>
        <v>0</v>
      </c>
      <c r="AK187" s="747">
        <f>$G187*$H187*(1+$K187)^MAX(ROUNDUP(IFERROR(DATEDIF($I187-1,AK$15+1,"m"),)/12,)-1,)*Index!AG$23*(AK$15&lt;=$J187)*(1-AK$12)</f>
        <v>0</v>
      </c>
      <c r="AL187" s="747">
        <f>$G187*$H187*(1+$K187)^MAX(ROUNDUP(IFERROR(DATEDIF($I187-1,AL$15+1,"m"),)/12,)-1,)*Index!AH$23*(AL$15&lt;=$J187)*(1-AL$12)</f>
        <v>0</v>
      </c>
      <c r="AM187" s="747">
        <f>$G187*$H187*(1+$K187)^MAX(ROUNDUP(IFERROR(DATEDIF($I187-1,AM$15+1,"m"),)/12,)-1,)*Index!AI$23*(AM$15&lt;=$J187)*(1-AM$12)</f>
        <v>0</v>
      </c>
      <c r="AN187" s="747">
        <f>$G187*$H187*(1+$K187)^MAX(ROUNDUP(IFERROR(DATEDIF($I187-1,AN$15+1,"m"),)/12,)-1,)*Index!AJ$23*(AN$15&lt;=$J187)*(1-AN$12)</f>
        <v>0</v>
      </c>
      <c r="AO187" s="747">
        <f>$G187*$H187*(1+$K187)^MAX(ROUNDUP(IFERROR(DATEDIF($I187-1,AO$15+1,"m"),)/12,)-1,)*Index!AK$23*(AO$15&lt;=$J187)*(1-AO$12)</f>
        <v>0</v>
      </c>
      <c r="AP187" s="747">
        <f>$G187*$H187*(1+$K187)^MAX(ROUNDUP(IFERROR(DATEDIF($I187-1,AP$15+1,"m"),)/12,)-1,)*Index!AL$23*(AP$15&lt;=$J187)*(1-AP$12)</f>
        <v>0</v>
      </c>
      <c r="AQ187" s="747">
        <f>$G187*$H187*(1+$K187)^MAX(ROUNDUP(IFERROR(DATEDIF($I187-1,AQ$15+1,"m"),)/12,)-1,)*Index!AM$23*(AQ$15&lt;=$J187)*(1-AQ$12)</f>
        <v>0</v>
      </c>
      <c r="AR187" s="747">
        <f>$G187*$H187*(1+$K187)^MAX(ROUNDUP(IFERROR(DATEDIF($I187-1,AR$15+1,"m"),)/12,)-1,)*Index!AN$23*(AR$15&lt;=$J187)*(1-AR$12)</f>
        <v>0</v>
      </c>
      <c r="AS187" s="747">
        <f>$G187*$H187*(1+$K187)^MAX(ROUNDUP(IFERROR(DATEDIF($I187-1,AS$15+1,"m"),)/12,)-1,)*Index!AO$23*(AS$15&lt;=$J187)*(1-AS$12)</f>
        <v>0</v>
      </c>
      <c r="AT187" s="747">
        <f>$G187*$H187*(1+$K187)^MAX(ROUNDUP(IFERROR(DATEDIF($I187-1,AT$15+1,"m"),)/12,)-1,)*Index!AP$23*(AT$15&lt;=$J187)*(1-AT$12)</f>
        <v>0</v>
      </c>
      <c r="AU187" s="747">
        <f>$G187*$H187*(1+$K187)^MAX(ROUNDUP(IFERROR(DATEDIF($I187-1,AU$15+1,"m"),)/12,)-1,)*Index!AQ$23*(AU$15&lt;=$J187)*(1-AU$12)</f>
        <v>0</v>
      </c>
      <c r="AV187" s="747">
        <f>$G187*$H187*(1+$K187)^MAX(ROUNDUP(IFERROR(DATEDIF($I187-1,AV$15+1,"m"),)/12,)-1,)*Index!AR$23*(AV$15&lt;=$J187)*(1-AV$12)</f>
        <v>0</v>
      </c>
      <c r="AW187" s="747">
        <f>$G187*$H187*(1+$K187)^MAX(ROUNDUP(IFERROR(DATEDIF($I187-1,AW$15+1,"m"),)/12,)-1,)*Index!AS$23*(AW$15&lt;=$J187)*(1-AW$12)</f>
        <v>0</v>
      </c>
      <c r="AX187" s="747">
        <f>$G187*$H187*(1+$K187)^MAX(ROUNDUP(IFERROR(DATEDIF($I187-1,AX$15+1,"m"),)/12,)-1,)*Index!AT$23*(AX$15&lt;=$J187)*(1-AX$12)</f>
        <v>0</v>
      </c>
      <c r="AY187" s="747">
        <f>$G187*$H187*(1+$K187)^MAX(ROUNDUP(IFERROR(DATEDIF($I187-1,AY$15+1,"m"),)/12,)-1,)*Index!AU$23*(AY$15&lt;=$J187)*(1-AY$12)</f>
        <v>0</v>
      </c>
      <c r="AZ187" s="747">
        <f>$G187*$H187*(1+$K187)^MAX(ROUNDUP(IFERROR(DATEDIF($I187-1,AZ$15+1,"m"),)/12,)-1,)*Index!AV$23*(AZ$15&lt;=$J187)*(1-AZ$12)</f>
        <v>0</v>
      </c>
      <c r="BA187" s="747">
        <f>$G187*$H187*(1+$K187)^MAX(ROUNDUP(IFERROR(DATEDIF($I187-1,BA$15+1,"m"),)/12,)-1,)*Index!AW$23*(BA$15&lt;=$J187)*(1-BA$12)</f>
        <v>0</v>
      </c>
      <c r="BB187" s="747">
        <f>$G187*$H187*(1+$K187)^MAX(ROUNDUP(IFERROR(DATEDIF($I187-1,BB$15+1,"m"),)/12,)-1,)*Index!AX$23*(BB$15&lt;=$J187)*(1-BB$12)</f>
        <v>0</v>
      </c>
      <c r="BC187" s="747">
        <f>$G187*$H187*(1+$K187)^MAX(ROUNDUP(IFERROR(DATEDIF($I187-1,BC$15+1,"m"),)/12,)-1,)*Index!AY$23*(BC$15&lt;=$J187)*(1-BC$12)</f>
        <v>0</v>
      </c>
      <c r="BD187" s="747">
        <f>$G187*$H187*(1+$K187)^MAX(ROUNDUP(IFERROR(DATEDIF($I187-1,BD$15+1,"m"),)/12,)-1,)*Index!AZ$23*(BD$15&lt;=$J187)*(1-BD$12)</f>
        <v>0</v>
      </c>
      <c r="BE187" s="747">
        <f>$G187*$H187*(1+$K187)^MAX(ROUNDUP(IFERROR(DATEDIF($I187-1,BE$15+1,"m"),)/12,)-1,)*Index!BA$23*(BE$15&lt;=$J187)*(1-BE$12)</f>
        <v>0</v>
      </c>
      <c r="BF187" s="747">
        <f>$G187*$H187*(1+$K187)^MAX(ROUNDUP(IFERROR(DATEDIF($I187-1,BF$15+1,"m"),)/12,)-1,)*Index!BB$23*(BF$15&lt;=$J187)*(1-BF$12)</f>
        <v>0</v>
      </c>
      <c r="BG187" s="747">
        <f>$G187*$H187*(1+$K187)^MAX(ROUNDUP(IFERROR(DATEDIF($I187-1,BG$15+1,"m"),)/12,)-1,)*Index!BC$23*(BG$15&lt;=$J187)*(1-BG$12)</f>
        <v>0</v>
      </c>
      <c r="BH187" s="747">
        <f>$G187*$H187*(1+$K187)^MAX(ROUNDUP(IFERROR(DATEDIF($I187-1,BH$15+1,"m"),)/12,)-1,)*Index!BD$23*(BH$15&lt;=$J187)*(1-BH$12)</f>
        <v>0</v>
      </c>
      <c r="BI187" s="747">
        <f>$G187*$H187*(1+$K187)^MAX(ROUNDUP(IFERROR(DATEDIF($I187-1,BI$15+1,"m"),)/12,)-1,)*Index!BE$23*(BI$15&lt;=$J187)*(1-BI$12)</f>
        <v>0</v>
      </c>
      <c r="BJ187" s="747">
        <f>$G187*$H187*(1+$K187)^MAX(ROUNDUP(IFERROR(DATEDIF($I187-1,BJ$15+1,"m"),)/12,)-1,)*Index!BF$23*(BJ$15&lt;=$J187)*(1-BJ$12)</f>
        <v>0</v>
      </c>
      <c r="BK187" s="747">
        <f>$G187*$H187*(1+$K187)^MAX(ROUNDUP(IFERROR(DATEDIF($I187-1,BK$15+1,"m"),)/12,)-1,)*Index!BG$23*(BK$15&lt;=$J187)*(1-BK$12)</f>
        <v>0</v>
      </c>
      <c r="BL187" s="747">
        <f>$G187*$H187*(1+$K187)^MAX(ROUNDUP(IFERROR(DATEDIF($I187-1,BL$15+1,"m"),)/12,)-1,)*Index!BH$23*(BL$15&lt;=$J187)*(1-BL$12)</f>
        <v>0</v>
      </c>
      <c r="BM187" s="747">
        <f>$G187*$H187*(1+$K187)^MAX(ROUNDUP(IFERROR(DATEDIF($I187-1,BM$15+1,"m"),)/12,)-1,)*Index!BI$23*(BM$15&lt;=$J187)*(1-BM$12)</f>
        <v>0</v>
      </c>
      <c r="BN187" s="747">
        <f>$G187*$H187*(1+$K187)^MAX(ROUNDUP(IFERROR(DATEDIF($I187-1,BN$15+1,"m"),)/12,)-1,)*Index!BJ$23*(BN$15&lt;=$J187)*(1-BN$12)</f>
        <v>0</v>
      </c>
      <c r="BO187" s="747">
        <f>$G187*$H187*(1+$K187)^MAX(ROUNDUP(IFERROR(DATEDIF($I187-1,BO$15+1,"m"),)/12,)-1,)*Index!BK$23*(BO$15&lt;=$J187)*(1-BO$12)</f>
        <v>0</v>
      </c>
      <c r="BP187" s="747">
        <f>$G187*$H187*(1+$K187)^MAX(ROUNDUP(IFERROR(DATEDIF($I187-1,BP$15+1,"m"),)/12,)-1,)*Index!BL$23*(BP$15&lt;=$J187)*(1-BP$12)</f>
        <v>0</v>
      </c>
      <c r="BQ187" s="747">
        <f>$G187*$H187*(1+$K187)^MAX(ROUNDUP(IFERROR(DATEDIF($I187-1,BQ$15+1,"m"),)/12,)-1,)*Index!BM$23*(BQ$15&lt;=$J187)*(1-BQ$12)</f>
        <v>0</v>
      </c>
      <c r="BR187" s="747">
        <f>$G187*$H187*(1+$K187)^MAX(ROUNDUP(IFERROR(DATEDIF($I187-1,BR$15+1,"m"),)/12,)-1,)*Index!BN$23*(BR$15&lt;=$J187)*(1-BR$12)</f>
        <v>0</v>
      </c>
      <c r="BS187" s="747">
        <f>$G187*$H187*(1+$K187)^MAX(ROUNDUP(IFERROR(DATEDIF($I187-1,BS$15+1,"m"),)/12,)-1,)*Index!BO$23*(BS$15&lt;=$J187)*(1-BS$12)</f>
        <v>0</v>
      </c>
      <c r="BT187" s="747">
        <f>$G187*$H187*(1+$K187)^MAX(ROUNDUP(IFERROR(DATEDIF($I187-1,BT$15+1,"m"),)/12,)-1,)*Index!BP$23*(BT$15&lt;=$J187)*(1-BT$12)</f>
        <v>0</v>
      </c>
      <c r="BU187" s="747">
        <f>$G187*$H187*(1+$K187)^MAX(ROUNDUP(IFERROR(DATEDIF($I187-1,BU$15+1,"m"),)/12,)-1,)*Index!BQ$23*(BU$15&lt;=$J187)*(1-BU$12)</f>
        <v>0</v>
      </c>
      <c r="BV187" s="747">
        <f>$G187*$H187*(1+$K187)^MAX(ROUNDUP(IFERROR(DATEDIF($I187-1,BV$15+1,"m"),)/12,)-1,)*Index!BR$23*(BV$15&lt;=$J187)*(1-BV$12)</f>
        <v>0</v>
      </c>
      <c r="BW187" s="747">
        <f>$G187*$H187*(1+$K187)^MAX(ROUNDUP(IFERROR(DATEDIF($I187-1,BW$15+1,"m"),)/12,)-1,)*Index!BS$23*(BW$15&lt;=$J187)*(1-BW$12)</f>
        <v>0</v>
      </c>
      <c r="BX187" s="747">
        <f>$G187*$H187*(1+$K187)^MAX(ROUNDUP(IFERROR(DATEDIF($I187-1,BX$15+1,"m"),)/12,)-1,)*Index!BT$23*(BX$15&lt;=$J187)*(1-BX$12)</f>
        <v>0</v>
      </c>
      <c r="BY187" s="747">
        <f>$G187*$H187*(1+$K187)^MAX(ROUNDUP(IFERROR(DATEDIF($I187-1,BY$15+1,"m"),)/12,)-1,)*Index!BU$23*(BY$15&lt;=$J187)*(1-BY$12)</f>
        <v>0</v>
      </c>
      <c r="BZ187" s="747">
        <f>$G187*$H187*(1+$K187)^MAX(ROUNDUP(IFERROR(DATEDIF($I187-1,BZ$15+1,"m"),)/12,)-1,)*Index!BV$23*(BZ$15&lt;=$J187)*(1-BZ$12)</f>
        <v>0</v>
      </c>
      <c r="CA187" s="747">
        <f>$G187*$H187*(1+$K187)^MAX(ROUNDUP(IFERROR(DATEDIF($I187-1,CA$15+1,"m"),)/12,)-1,)*Index!BW$23*(CA$15&lt;=$J187)*(1-CA$12)</f>
        <v>0</v>
      </c>
      <c r="CB187" s="747">
        <f>$G187*$H187*(1+$K187)^MAX(ROUNDUP(IFERROR(DATEDIF($I187-1,CB$15+1,"m"),)/12,)-1,)*Index!BX$23*(CB$15&lt;=$J187)*(1-CB$12)</f>
        <v>0</v>
      </c>
      <c r="CC187" s="747">
        <f>$G187*$H187*(1+$K187)^MAX(ROUNDUP(IFERROR(DATEDIF($I187-1,CC$15+1,"m"),)/12,)-1,)*Index!BY$23*(CC$15&lt;=$J187)*(1-CC$12)</f>
        <v>0</v>
      </c>
      <c r="CD187" s="747">
        <f>$G187*$H187*(1+$K187)^MAX(ROUNDUP(IFERROR(DATEDIF($I187-1,CD$15+1,"m"),)/12,)-1,)*Index!BZ$23*(CD$15&lt;=$J187)*(1-CD$12)</f>
        <v>0</v>
      </c>
      <c r="CE187" s="747">
        <f>$G187*$H187*(1+$K187)^MAX(ROUNDUP(IFERROR(DATEDIF($I187-1,CE$15+1,"m"),)/12,)-1,)*Index!CA$23*(CE$15&lt;=$J187)*(1-CE$12)</f>
        <v>0</v>
      </c>
      <c r="CF187" s="747">
        <f>$G187*$H187*(1+$K187)^MAX(ROUNDUP(IFERROR(DATEDIF($I187-1,CF$15+1,"m"),)/12,)-1,)*Index!CB$23*(CF$15&lt;=$J187)*(1-CF$12)</f>
        <v>0</v>
      </c>
      <c r="CG187" s="747">
        <f>$G187*$H187*(1+$K187)^MAX(ROUNDUP(IFERROR(DATEDIF($I187-1,CG$15+1,"m"),)/12,)-1,)*Index!CC$23*(CG$15&lt;=$J187)*(1-CG$12)</f>
        <v>0</v>
      </c>
      <c r="CH187" s="747">
        <f>$G187*$H187*(1+$K187)^MAX(ROUNDUP(IFERROR(DATEDIF($I187-1,CH$15+1,"m"),)/12,)-1,)*Index!CD$23*(CH$15&lt;=$J187)*(1-CH$12)</f>
        <v>0</v>
      </c>
      <c r="CI187" s="747">
        <f>$G187*$H187*(1+$K187)^MAX(ROUNDUP(IFERROR(DATEDIF($I187-1,CI$15+1,"m"),)/12,)-1,)*Index!CE$23*(CI$15&lt;=$J187)*(1-CI$12)</f>
        <v>0</v>
      </c>
      <c r="CJ187" s="747">
        <f>$G187*$H187*(1+$K187)^MAX(ROUNDUP(IFERROR(DATEDIF($I187-1,CJ$15+1,"m"),)/12,)-1,)*Index!CF$23*(CJ$15&lt;=$J187)*(1-CJ$12)</f>
        <v>0</v>
      </c>
      <c r="CK187" s="747">
        <f>$G187*$H187*(1+$K187)^MAX(ROUNDUP(IFERROR(DATEDIF($I187-1,CK$15+1,"m"),)/12,)-1,)*Index!CG$23*(CK$15&lt;=$J187)*(1-CK$12)</f>
        <v>0</v>
      </c>
      <c r="CL187" s="747">
        <f>$G187*$H187*(1+$K187)^MAX(ROUNDUP(IFERROR(DATEDIF($I187-1,CL$15+1,"m"),)/12,)-1,)*Index!CH$23*(CL$15&lt;=$J187)*(1-CL$12)</f>
        <v>0</v>
      </c>
      <c r="CM187" s="747">
        <f>$G187*$H187*(1+$K187)^MAX(ROUNDUP(IFERROR(DATEDIF($I187-1,CM$15+1,"m"),)/12,)-1,)*Index!CI$23*(CM$15&lt;=$J187)*(1-CM$12)</f>
        <v>0</v>
      </c>
      <c r="CN187" s="747">
        <f>$G187*$H187*(1+$K187)^MAX(ROUNDUP(IFERROR(DATEDIF($I187-1,CN$15+1,"m"),)/12,)-1,)*Index!CJ$23*(CN$15&lt;=$J187)*(1-CN$12)</f>
        <v>0</v>
      </c>
      <c r="CO187" s="747">
        <f>$G187*$H187*(1+$K187)^MAX(ROUNDUP(IFERROR(DATEDIF($I187-1,CO$15+1,"m"),)/12,)-1,)*Index!CK$23*(CO$15&lt;=$J187)*(1-CO$12)</f>
        <v>0</v>
      </c>
      <c r="CP187" s="747">
        <f>$G187*$H187*(1+$K187)^MAX(ROUNDUP(IFERROR(DATEDIF($I187-1,CP$15+1,"m"),)/12,)-1,)*Index!CL$23*(CP$15&lt;=$J187)*(1-CP$12)</f>
        <v>0</v>
      </c>
      <c r="CQ187" s="747">
        <f>$G187*$H187*(1+$K187)^MAX(ROUNDUP(IFERROR(DATEDIF($I187-1,CQ$15+1,"m"),)/12,)-1,)*Index!CM$23*(CQ$15&lt;=$J187)*(1-CQ$12)</f>
        <v>0</v>
      </c>
      <c r="CR187" s="747">
        <f>$G187*$H187*(1+$K187)^MAX(ROUNDUP(IFERROR(DATEDIF($I187-1,CR$15+1,"m"),)/12,)-1,)*Index!CN$23*(CR$15&lt;=$J187)*(1-CR$12)</f>
        <v>0</v>
      </c>
      <c r="CS187" s="747">
        <f>$G187*$H187*(1+$K187)^MAX(ROUNDUP(IFERROR(DATEDIF($I187-1,CS$15+1,"m"),)/12,)-1,)*Index!CO$23*(CS$15&lt;=$J187)*(1-CS$12)</f>
        <v>0</v>
      </c>
      <c r="CT187" s="747">
        <f>$G187*$H187*(1+$K187)^MAX(ROUNDUP(IFERROR(DATEDIF($I187-1,CT$15+1,"m"),)/12,)-1,)*Index!CP$23*(CT$15&lt;=$J187)*(1-CT$12)</f>
        <v>0</v>
      </c>
      <c r="CU187" s="747">
        <f>$G187*$H187*(1+$K187)^MAX(ROUNDUP(IFERROR(DATEDIF($I187-1,CU$15+1,"m"),)/12,)-1,)*Index!CQ$23*(CU$15&lt;=$J187)*(1-CU$12)</f>
        <v>0</v>
      </c>
      <c r="CV187" s="747">
        <f>$G187*$H187*(1+$K187)^MAX(ROUNDUP(IFERROR(DATEDIF($I187-1,CV$15+1,"m"),)/12,)-1,)*Index!CR$23*(CV$15&lt;=$J187)*(1-CV$12)</f>
        <v>0</v>
      </c>
      <c r="CW187" s="747">
        <f>$G187*$H187*(1+$K187)^MAX(ROUNDUP(IFERROR(DATEDIF($I187-1,CW$15+1,"m"),)/12,)-1,)*Index!CS$23*(CW$15&lt;=$J187)*(1-CW$12)</f>
        <v>0</v>
      </c>
      <c r="CX187" s="747">
        <f>$G187*$H187*(1+$K187)^MAX(ROUNDUP(IFERROR(DATEDIF($I187-1,CX$15+1,"m"),)/12,)-1,)*Index!CT$23*(CX$15&lt;=$J187)*(1-CX$12)</f>
        <v>0</v>
      </c>
      <c r="CY187" s="747">
        <f>$G187*$H187*(1+$K187)^MAX(ROUNDUP(IFERROR(DATEDIF($I187-1,CY$15+1,"m"),)/12,)-1,)*Index!CU$23*(CY$15&lt;=$J187)*(1-CY$12)</f>
        <v>0</v>
      </c>
      <c r="CZ187" s="747">
        <f>$G187*$H187*(1+$K187)^MAX(ROUNDUP(IFERROR(DATEDIF($I187-1,CZ$15+1,"m"),)/12,)-1,)*Index!CV$23*(CZ$15&lt;=$J187)*(1-CZ$12)</f>
        <v>0</v>
      </c>
      <c r="DA187" s="747">
        <f>$G187*$H187*(1+$K187)^MAX(ROUNDUP(IFERROR(DATEDIF($I187-1,DA$15+1,"m"),)/12,)-1,)*Index!CW$23*(DA$15&lt;=$J187)*(1-DA$12)</f>
        <v>0</v>
      </c>
      <c r="DB187" s="747">
        <f>$G187*$H187*(1+$K187)^MAX(ROUNDUP(IFERROR(DATEDIF($I187-1,DB$15+1,"m"),)/12,)-1,)*Index!CX$23*(DB$15&lt;=$J187)*(1-DB$12)</f>
        <v>0</v>
      </c>
      <c r="DC187" s="747">
        <f>$G187*$H187*(1+$K187)^MAX(ROUNDUP(IFERROR(DATEDIF($I187-1,DC$15+1,"m"),)/12,)-1,)*Index!CY$23*(DC$15&lt;=$J187)*(1-DC$12)</f>
        <v>0</v>
      </c>
      <c r="DD187" s="747">
        <f>$G187*$H187*(1+$K187)^MAX(ROUNDUP(IFERROR(DATEDIF($I187-1,DD$15+1,"m"),)/12,)-1,)*Index!CZ$23*(DD$15&lt;=$J187)*(1-DD$12)</f>
        <v>0</v>
      </c>
      <c r="DE187" s="747">
        <f>$G187*$H187*(1+$K187)^MAX(ROUNDUP(IFERROR(DATEDIF($I187-1,DE$15+1,"m"),)/12,)-1,)*Index!DA$23*(DE$15&lt;=$J187)*(1-DE$12)</f>
        <v>0</v>
      </c>
      <c r="DF187" s="747">
        <f>$G187*$H187*(1+$K187)^MAX(ROUNDUP(IFERROR(DATEDIF($I187-1,DF$15+1,"m"),)/12,)-1,)*Index!DB$23*(DF$15&lt;=$J187)*(1-DF$12)</f>
        <v>0</v>
      </c>
      <c r="DG187" s="747">
        <f>$G187*$H187*(1+$K187)^MAX(ROUNDUP(IFERROR(DATEDIF($I187-1,DG$15+1,"m"),)/12,)-1,)*Index!DC$23*(DG$15&lt;=$J187)*(1-DG$12)</f>
        <v>0</v>
      </c>
      <c r="DH187" s="747">
        <f>$G187*$H187*(1+$K187)^MAX(ROUNDUP(IFERROR(DATEDIF($I187-1,DH$15+1,"m"),)/12,)-1,)*Index!DD$23*(DH$15&lt;=$J187)*(1-DH$12)</f>
        <v>0</v>
      </c>
      <c r="DI187" s="747">
        <f>$G187*$H187*(1+$K187)^MAX(ROUNDUP(IFERROR(DATEDIF($I187-1,DI$15+1,"m"),)/12,)-1,)*Index!DE$23*(DI$15&lt;=$J187)*(1-DI$12)</f>
        <v>0</v>
      </c>
      <c r="DJ187" s="747">
        <f>$G187*$H187*(1+$K187)^MAX(ROUNDUP(IFERROR(DATEDIF($I187-1,DJ$15+1,"m"),)/12,)-1,)*Index!DF$23*(DJ$15&lt;=$J187)*(1-DJ$12)</f>
        <v>0</v>
      </c>
      <c r="DK187" s="747">
        <f>$G187*$H187*(1+$K187)^MAX(ROUNDUP(IFERROR(DATEDIF($I187-1,DK$15+1,"m"),)/12,)-1,)*Index!DG$23*(DK$15&lt;=$J187)*(1-DK$12)</f>
        <v>0</v>
      </c>
      <c r="DL187" s="747">
        <f>$G187*$H187*(1+$K187)^MAX(ROUNDUP(IFERROR(DATEDIF($I187-1,DL$15+1,"m"),)/12,)-1,)*Index!DH$23*(DL$15&lt;=$J187)*(1-DL$12)</f>
        <v>0</v>
      </c>
      <c r="DM187" s="747">
        <f>$G187*$H187*(1+$K187)^MAX(ROUNDUP(IFERROR(DATEDIF($I187-1,DM$15+1,"m"),)/12,)-1,)*Index!DI$23*(DM$15&lt;=$J187)*(1-DM$12)</f>
        <v>0</v>
      </c>
      <c r="DN187" s="747">
        <f>$G187*$H187*(1+$K187)^MAX(ROUNDUP(IFERROR(DATEDIF($I187-1,DN$15+1,"m"),)/12,)-1,)*Index!DJ$23*(DN$15&lt;=$J187)*(1-DN$12)</f>
        <v>0</v>
      </c>
      <c r="DO187" s="747">
        <f>$G187*$H187*(1+$K187)^MAX(ROUNDUP(IFERROR(DATEDIF($I187-1,DO$15+1,"m"),)/12,)-1,)*Index!DK$23*(DO$15&lt;=$J187)*(1-DO$12)</f>
        <v>0</v>
      </c>
      <c r="DP187" s="747">
        <f>$G187*$H187*(1+$K187)^MAX(ROUNDUP(IFERROR(DATEDIF($I187-1,DP$15+1,"m"),)/12,)-1,)*Index!DL$23*(DP$15&lt;=$J187)*(1-DP$12)</f>
        <v>0</v>
      </c>
      <c r="DQ187" s="747">
        <f>$G187*$H187*(1+$K187)^MAX(ROUNDUP(IFERROR(DATEDIF($I187-1,DQ$15+1,"m"),)/12,)-1,)*Index!DM$23*(DQ$15&lt;=$J187)*(1-DQ$12)</f>
        <v>0</v>
      </c>
      <c r="DR187" s="747">
        <f>$G187*$H187*(1+$K187)^MAX(ROUNDUP(IFERROR(DATEDIF($I187-1,DR$15+1,"m"),)/12,)-1,)*Index!DN$23*(DR$15&lt;=$J187)*(1-DR$12)</f>
        <v>0</v>
      </c>
      <c r="DS187" s="747">
        <f>$G187*$H187*(1+$K187)^MAX(ROUNDUP(IFERROR(DATEDIF($I187-1,DS$15+1,"m"),)/12,)-1,)*Index!DO$23*(DS$15&lt;=$J187)*(1-DS$12)</f>
        <v>0</v>
      </c>
      <c r="DT187" s="747">
        <f>$G187*$H187*(1+$K187)^MAX(ROUNDUP(IFERROR(DATEDIF($I187-1,DT$15+1,"m"),)/12,)-1,)*Index!DP$23*(DT$15&lt;=$J187)*(1-DT$12)</f>
        <v>0</v>
      </c>
      <c r="DU187" s="747">
        <f>$G187*$H187*(1+$K187)^MAX(ROUNDUP(IFERROR(DATEDIF($I187-1,DU$15+1,"m"),)/12,)-1,)*Index!DQ$23*(DU$15&lt;=$J187)*(1-DU$12)</f>
        <v>0</v>
      </c>
      <c r="DV187" s="747">
        <f>$G187*$H187*(1+$K187)^MAX(ROUNDUP(IFERROR(DATEDIF($I187-1,DV$15+1,"m"),)/12,)-1,)*Index!DR$23*(DV$15&lt;=$J187)*(1-DV$12)</f>
        <v>0</v>
      </c>
      <c r="DW187" s="747">
        <f>$G187*$H187*(1+$K187)^MAX(ROUNDUP(IFERROR(DATEDIF($I187-1,DW$15+1,"m"),)/12,)-1,)*Index!DS$23*(DW$15&lt;=$J187)*(1-DW$12)</f>
        <v>0</v>
      </c>
      <c r="DX187" s="747">
        <f>$G187*$H187*(1+$K187)^MAX(ROUNDUP(IFERROR(DATEDIF($I187-1,DX$15+1,"m"),)/12,)-1,)*Index!DT$23*(DX$15&lt;=$J187)*(1-DX$12)</f>
        <v>0</v>
      </c>
      <c r="DY187" s="747">
        <f>$G187*$H187*(1+$K187)^MAX(ROUNDUP(IFERROR(DATEDIF($I187-1,DY$15+1,"m"),)/12,)-1,)*Index!DU$23*(DY$15&lt;=$J187)*(1-DY$12)</f>
        <v>0</v>
      </c>
      <c r="DZ187" s="747">
        <f>$G187*$H187*(1+$K187)^MAX(ROUNDUP(IFERROR(DATEDIF($I187-1,DZ$15+1,"m"),)/12,)-1,)*Index!DV$23*(DZ$15&lt;=$J187)*(1-DZ$12)</f>
        <v>0</v>
      </c>
      <c r="EA187" s="747">
        <f>$G187*$H187*(1+$K187)^MAX(ROUNDUP(IFERROR(DATEDIF($I187-1,EA$15+1,"m"),)/12,)-1,)*Index!DW$23*(EA$15&lt;=$J187)*(1-EA$12)</f>
        <v>0</v>
      </c>
      <c r="EB187" s="747">
        <f>$G187*$H187*(1+$K187)^MAX(ROUNDUP(IFERROR(DATEDIF($I187-1,EB$15+1,"m"),)/12,)-1,)*Index!DX$23*(EB$15&lt;=$J187)*(1-EB$12)</f>
        <v>0</v>
      </c>
      <c r="EC187" s="747">
        <f>$G187*$H187*(1+$K187)^MAX(ROUNDUP(IFERROR(DATEDIF($I187-1,EC$15+1,"m"),)/12,)-1,)*Index!DY$23*(EC$15&lt;=$J187)*(1-EC$12)</f>
        <v>0</v>
      </c>
      <c r="ED187" s="747">
        <f>$G187*$H187*(1+$K187)^MAX(ROUNDUP(IFERROR(DATEDIF($I187-1,ED$15+1,"m"),)/12,)-1,)*Index!DZ$23*(ED$15&lt;=$J187)*(1-ED$12)</f>
        <v>0</v>
      </c>
      <c r="EE187" s="747">
        <f>$G187*$H187*(1+$K187)^MAX(ROUNDUP(IFERROR(DATEDIF($I187-1,EE$15+1,"m"),)/12,)-1,)*Index!EA$23*(EE$15&lt;=$J187)*(1-EE$12)</f>
        <v>0</v>
      </c>
      <c r="EF187" s="747">
        <f>$G187*$H187*(1+$K187)^MAX(ROUNDUP(IFERROR(DATEDIF($I187-1,EF$15+1,"m"),)/12,)-1,)*Index!EB$23*(EF$15&lt;=$J187)*(1-EF$12)</f>
        <v>0</v>
      </c>
      <c r="EG187" s="747">
        <f>$G187*$H187*(1+$K187)^MAX(ROUNDUP(IFERROR(DATEDIF($I187-1,EG$15+1,"m"),)/12,)-1,)*Index!EC$23*(EG$15&lt;=$J187)*(1-EG$12)</f>
        <v>0</v>
      </c>
      <c r="EH187" s="747">
        <f>$G187*$H187*(1+$K187)^MAX(ROUNDUP(IFERROR(DATEDIF($I187-1,EH$15+1,"m"),)/12,)-1,)*Index!ED$23*(EH$15&lt;=$J187)*(1-EH$12)</f>
        <v>0</v>
      </c>
      <c r="EI187" s="747">
        <f>$G187*$H187*(1+$K187)^MAX(ROUNDUP(IFERROR(DATEDIF($I187-1,EI$15+1,"m"),)/12,)-1,)*Index!EE$23*(EI$15&lt;=$J187)*(1-EI$12)</f>
        <v>0</v>
      </c>
      <c r="EJ187" s="747">
        <f>$G187*$H187*(1+$K187)^MAX(ROUNDUP(IFERROR(DATEDIF($I187-1,EJ$15+1,"m"),)/12,)-1,)*Index!EF$23*(EJ$15&lt;=$J187)*(1-EJ$12)</f>
        <v>0</v>
      </c>
      <c r="EK187" s="747">
        <f>$G187*$H187*(1+$K187)^MAX(ROUNDUP(IFERROR(DATEDIF($I187-1,EK$15+1,"m"),)/12,)-1,)*Index!EG$23*(EK$15&lt;=$J187)*(1-EK$12)</f>
        <v>0</v>
      </c>
      <c r="EL187" s="747">
        <f>$G187*$H187*(1+$K187)^MAX(ROUNDUP(IFERROR(DATEDIF($I187-1,EL$15+1,"m"),)/12,)-1,)*Index!EH$23*(EL$15&lt;=$J187)*(1-EL$12)</f>
        <v>0</v>
      </c>
      <c r="EM187" s="747">
        <f>$G187*$H187*(1+$K187)^MAX(ROUNDUP(IFERROR(DATEDIF($I187-1,EM$15+1,"m"),)/12,)-1,)*Index!EI$23*(EM$15&lt;=$J187)*(1-EM$12)</f>
        <v>0</v>
      </c>
      <c r="EN187" s="747">
        <f>$G187*$H187*(1+$K187)^MAX(ROUNDUP(IFERROR(DATEDIF($I187-1,EN$15+1,"m"),)/12,)-1,)*Index!EJ$23*(EN$15&lt;=$J187)*(1-EN$12)</f>
        <v>0</v>
      </c>
      <c r="EO187" s="747">
        <f>$G187*$H187*(1+$K187)^MAX(ROUNDUP(IFERROR(DATEDIF($I187-1,EO$15+1,"m"),)/12,)-1,)*Index!EK$23*(EO$15&lt;=$J187)*(1-EO$12)</f>
        <v>0</v>
      </c>
      <c r="EP187" s="747">
        <f>$G187*$H187*(1+$K187)^MAX(ROUNDUP(IFERROR(DATEDIF($I187-1,EP$15+1,"m"),)/12,)-1,)*Index!EL$23*(EP$15&lt;=$J187)*(1-EP$12)</f>
        <v>0</v>
      </c>
      <c r="EQ187" s="747">
        <f>$G187*$H187*(1+$K187)^MAX(ROUNDUP(IFERROR(DATEDIF($I187-1,EQ$15+1,"m"),)/12,)-1,)*Index!EM$23*(EQ$15&lt;=$J187)*(1-EQ$12)</f>
        <v>0</v>
      </c>
      <c r="ER187" s="747">
        <f>$G187*$H187*(1+$K187)^MAX(ROUNDUP(IFERROR(DATEDIF($I187-1,ER$15+1,"m"),)/12,)-1,)*Index!EN$23*(ER$15&lt;=$J187)*(1-ER$12)</f>
        <v>0</v>
      </c>
      <c r="ES187" s="747">
        <f>$G187*$H187*(1+$K187)^MAX(ROUNDUP(IFERROR(DATEDIF($I187-1,ES$15+1,"m"),)/12,)-1,)*Index!EO$23*(ES$15&lt;=$J187)*(1-ES$12)</f>
        <v>0</v>
      </c>
      <c r="ET187" s="747">
        <f>$G187*$H187*(1+$K187)^MAX(ROUNDUP(IFERROR(DATEDIF($I187-1,ET$15+1,"m"),)/12,)-1,)*Index!EP$23*(ET$15&lt;=$J187)*(1-ET$12)</f>
        <v>0</v>
      </c>
      <c r="EU187" s="747">
        <f>$G187*$H187*(1+$K187)^MAX(ROUNDUP(IFERROR(DATEDIF($I187-1,EU$15+1,"m"),)/12,)-1,)*Index!EQ$23*(EU$15&lt;=$J187)*(1-EU$12)</f>
        <v>0</v>
      </c>
    </row>
    <row r="188" spans="3:151" ht="11.25" customHeight="1">
      <c r="C188" s="828"/>
      <c r="D188" s="743">
        <f t="shared" ref="D188:K188" si="260">D152</f>
        <v>3</v>
      </c>
      <c r="E188" s="704" t="str">
        <f t="shared" si="260"/>
        <v>농심</v>
      </c>
      <c r="F188" s="704" t="str">
        <f t="shared" si="260"/>
        <v>상온창고</v>
      </c>
      <c r="G188" s="781">
        <f t="shared" si="260"/>
        <v>3</v>
      </c>
      <c r="H188" s="744">
        <f t="shared" si="260"/>
        <v>2185.56</v>
      </c>
      <c r="I188" s="745">
        <f t="shared" si="260"/>
        <v>45503</v>
      </c>
      <c r="J188" s="745">
        <f t="shared" si="260"/>
        <v>47328</v>
      </c>
      <c r="K188" s="754">
        <f t="shared" si="260"/>
        <v>0</v>
      </c>
      <c r="L188" s="746"/>
      <c r="M188" s="722"/>
      <c r="N188" s="747">
        <f t="shared" si="252"/>
        <v>0</v>
      </c>
      <c r="O188" s="733"/>
      <c r="P188" s="747">
        <f>$G188*$H188*(1+$K188)^MAX(ROUNDUP(IFERROR(DATEDIF($I188-1,P$15+1,"m"),)/12,)-1,)*Index!L$23*(P$15&lt;=$J188)*(1-P$12)</f>
        <v>0</v>
      </c>
      <c r="Q188" s="747">
        <f>$G188*$H188*(1+$K188)^MAX(ROUNDUP(IFERROR(DATEDIF($I188-1,Q$15+1,"m"),)/12,)-1,)*Index!M$23*(Q$15&lt;=$J188)*(1-Q$12)</f>
        <v>0</v>
      </c>
      <c r="R188" s="747">
        <f>$G188*$H188*(1+$K188)^MAX(ROUNDUP(IFERROR(DATEDIF($I188-1,R$15+1,"m"),)/12,)-1,)*Index!N$23*(R$15&lt;=$J188)*(1-R$12)</f>
        <v>0</v>
      </c>
      <c r="S188" s="747">
        <f>$G188*$H188*(1+$K188)^MAX(ROUNDUP(IFERROR(DATEDIF($I188-1,S$15+1,"m"),)/12,)-1,)*Index!O$23*(S$15&lt;=$J188)*(1-S$12)</f>
        <v>0</v>
      </c>
      <c r="T188" s="747">
        <f>$G188*$H188*(1+$K188)^MAX(ROUNDUP(IFERROR(DATEDIF($I188-1,T$15+1,"m"),)/12,)-1,)*Index!P$23*(T$15&lt;=$J188)*(1-T$12)</f>
        <v>0</v>
      </c>
      <c r="U188" s="747">
        <f>$G188*$H188*(1+$K188)^MAX(ROUNDUP(IFERROR(DATEDIF($I188-1,U$15+1,"m"),)/12,)-1,)*Index!Q$23*(U$15&lt;=$J188)*(1-U$12)</f>
        <v>0</v>
      </c>
      <c r="V188" s="747">
        <f>$G188*$H188*(1+$K188)^MAX(ROUNDUP(IFERROR(DATEDIF($I188-1,V$15+1,"m"),)/12,)-1,)*Index!R$23*(V$15&lt;=$J188)*(1-V$12)</f>
        <v>0</v>
      </c>
      <c r="W188" s="747">
        <f>$G188*$H188*(1+$K188)^MAX(ROUNDUP(IFERROR(DATEDIF($I188-1,W$15+1,"m"),)/12,)-1,)*Index!S$23*(W$15&lt;=$J188)*(1-W$12)</f>
        <v>0</v>
      </c>
      <c r="X188" s="747">
        <f>$G188*$H188*(1+$K188)^MAX(ROUNDUP(IFERROR(DATEDIF($I188-1,X$15+1,"m"),)/12,)-1,)*Index!T$23*(X$15&lt;=$J188)*(1-X$12)</f>
        <v>0</v>
      </c>
      <c r="Y188" s="747">
        <f>$G188*$H188*(1+$K188)^MAX(ROUNDUP(IFERROR(DATEDIF($I188-1,Y$15+1,"m"),)/12,)-1,)*Index!U$23*(Y$15&lt;=$J188)*(1-Y$12)</f>
        <v>0</v>
      </c>
      <c r="Z188" s="747">
        <f>$G188*$H188*(1+$K188)^MAX(ROUNDUP(IFERROR(DATEDIF($I188-1,Z$15+1,"m"),)/12,)-1,)*Index!V$23*(Z$15&lt;=$J188)*(1-Z$12)</f>
        <v>0</v>
      </c>
      <c r="AA188" s="747">
        <f>$G188*$H188*(1+$K188)^MAX(ROUNDUP(IFERROR(DATEDIF($I188-1,AA$15+1,"m"),)/12,)-1,)*Index!W$23*(AA$15&lt;=$J188)*(1-AA$12)</f>
        <v>0</v>
      </c>
      <c r="AB188" s="747">
        <f>$G188*$H188*(1+$K188)^MAX(ROUNDUP(IFERROR(DATEDIF($I188-1,AB$15+1,"m"),)/12,)-1,)*Index!X$23*(AB$15&lt;=$J188)*(1-AB$12)</f>
        <v>0</v>
      </c>
      <c r="AC188" s="747">
        <f>$G188*$H188*(1+$K188)^MAX(ROUNDUP(IFERROR(DATEDIF($I188-1,AC$15+1,"m"),)/12,)-1,)*Index!Y$23*(AC$15&lt;=$J188)*(1-AC$12)</f>
        <v>0</v>
      </c>
      <c r="AD188" s="747">
        <f>$G188*$H188*(1+$K188)^MAX(ROUNDUP(IFERROR(DATEDIF($I188-1,AD$15+1,"m"),)/12,)-1,)*Index!Z$23*(AD$15&lt;=$J188)*(1-AD$12)</f>
        <v>0</v>
      </c>
      <c r="AE188" s="747">
        <f>$G188*$H188*(1+$K188)^MAX(ROUNDUP(IFERROR(DATEDIF($I188-1,AE$15+1,"m"),)/12,)-1,)*Index!AA$23*(AE$15&lt;=$J188)*(1-AE$12)</f>
        <v>0</v>
      </c>
      <c r="AF188" s="747">
        <f>$G188*$H188*(1+$K188)^MAX(ROUNDUP(IFERROR(DATEDIF($I188-1,AF$15+1,"m"),)/12,)-1,)*Index!AB$23*(AF$15&lt;=$J188)*(1-AF$12)</f>
        <v>0</v>
      </c>
      <c r="AG188" s="747">
        <f>$G188*$H188*(1+$K188)^MAX(ROUNDUP(IFERROR(DATEDIF($I188-1,AG$15+1,"m"),)/12,)-1,)*Index!AC$23*(AG$15&lt;=$J188)*(1-AG$12)</f>
        <v>0</v>
      </c>
      <c r="AH188" s="747">
        <f>$G188*$H188*(1+$K188)^MAX(ROUNDUP(IFERROR(DATEDIF($I188-1,AH$15+1,"m"),)/12,)-1,)*Index!AD$23*(AH$15&lt;=$J188)*(1-AH$12)</f>
        <v>0</v>
      </c>
      <c r="AI188" s="747">
        <f>$G188*$H188*(1+$K188)^MAX(ROUNDUP(IFERROR(DATEDIF($I188-1,AI$15+1,"m"),)/12,)-1,)*Index!AE$23*(AI$15&lt;=$J188)*(1-AI$12)</f>
        <v>0</v>
      </c>
      <c r="AJ188" s="747">
        <f>$G188*$H188*(1+$K188)^MAX(ROUNDUP(IFERROR(DATEDIF($I188-1,AJ$15+1,"m"),)/12,)-1,)*Index!AF$23*(AJ$15&lt;=$J188)*(1-AJ$12)</f>
        <v>0</v>
      </c>
      <c r="AK188" s="747">
        <f>$G188*$H188*(1+$K188)^MAX(ROUNDUP(IFERROR(DATEDIF($I188-1,AK$15+1,"m"),)/12,)-1,)*Index!AG$23*(AK$15&lt;=$J188)*(1-AK$12)</f>
        <v>0</v>
      </c>
      <c r="AL188" s="747">
        <f>$G188*$H188*(1+$K188)^MAX(ROUNDUP(IFERROR(DATEDIF($I188-1,AL$15+1,"m"),)/12,)-1,)*Index!AH$23*(AL$15&lt;=$J188)*(1-AL$12)</f>
        <v>0</v>
      </c>
      <c r="AM188" s="747">
        <f>$G188*$H188*(1+$K188)^MAX(ROUNDUP(IFERROR(DATEDIF($I188-1,AM$15+1,"m"),)/12,)-1,)*Index!AI$23*(AM$15&lt;=$J188)*(1-AM$12)</f>
        <v>0</v>
      </c>
      <c r="AN188" s="747">
        <f>$G188*$H188*(1+$K188)^MAX(ROUNDUP(IFERROR(DATEDIF($I188-1,AN$15+1,"m"),)/12,)-1,)*Index!AJ$23*(AN$15&lt;=$J188)*(1-AN$12)</f>
        <v>0</v>
      </c>
      <c r="AO188" s="747">
        <f>$G188*$H188*(1+$K188)^MAX(ROUNDUP(IFERROR(DATEDIF($I188-1,AO$15+1,"m"),)/12,)-1,)*Index!AK$23*(AO$15&lt;=$J188)*(1-AO$12)</f>
        <v>0</v>
      </c>
      <c r="AP188" s="747">
        <f>$G188*$H188*(1+$K188)^MAX(ROUNDUP(IFERROR(DATEDIF($I188-1,AP$15+1,"m"),)/12,)-1,)*Index!AL$23*(AP$15&lt;=$J188)*(1-AP$12)</f>
        <v>0</v>
      </c>
      <c r="AQ188" s="747">
        <f>$G188*$H188*(1+$K188)^MAX(ROUNDUP(IFERROR(DATEDIF($I188-1,AQ$15+1,"m"),)/12,)-1,)*Index!AM$23*(AQ$15&lt;=$J188)*(1-AQ$12)</f>
        <v>0</v>
      </c>
      <c r="AR188" s="747">
        <f>$G188*$H188*(1+$K188)^MAX(ROUNDUP(IFERROR(DATEDIF($I188-1,AR$15+1,"m"),)/12,)-1,)*Index!AN$23*(AR$15&lt;=$J188)*(1-AR$12)</f>
        <v>0</v>
      </c>
      <c r="AS188" s="747">
        <f>$G188*$H188*(1+$K188)^MAX(ROUNDUP(IFERROR(DATEDIF($I188-1,AS$15+1,"m"),)/12,)-1,)*Index!AO$23*(AS$15&lt;=$J188)*(1-AS$12)</f>
        <v>0</v>
      </c>
      <c r="AT188" s="747">
        <f>$G188*$H188*(1+$K188)^MAX(ROUNDUP(IFERROR(DATEDIF($I188-1,AT$15+1,"m"),)/12,)-1,)*Index!AP$23*(AT$15&lt;=$J188)*(1-AT$12)</f>
        <v>0</v>
      </c>
      <c r="AU188" s="747">
        <f>$G188*$H188*(1+$K188)^MAX(ROUNDUP(IFERROR(DATEDIF($I188-1,AU$15+1,"m"),)/12,)-1,)*Index!AQ$23*(AU$15&lt;=$J188)*(1-AU$12)</f>
        <v>0</v>
      </c>
      <c r="AV188" s="747">
        <f>$G188*$H188*(1+$K188)^MAX(ROUNDUP(IFERROR(DATEDIF($I188-1,AV$15+1,"m"),)/12,)-1,)*Index!AR$23*(AV$15&lt;=$J188)*(1-AV$12)</f>
        <v>0</v>
      </c>
      <c r="AW188" s="747">
        <f>$G188*$H188*(1+$K188)^MAX(ROUNDUP(IFERROR(DATEDIF($I188-1,AW$15+1,"m"),)/12,)-1,)*Index!AS$23*(AW$15&lt;=$J188)*(1-AW$12)</f>
        <v>0</v>
      </c>
      <c r="AX188" s="747">
        <f>$G188*$H188*(1+$K188)^MAX(ROUNDUP(IFERROR(DATEDIF($I188-1,AX$15+1,"m"),)/12,)-1,)*Index!AT$23*(AX$15&lt;=$J188)*(1-AX$12)</f>
        <v>0</v>
      </c>
      <c r="AY188" s="747">
        <f>$G188*$H188*(1+$K188)^MAX(ROUNDUP(IFERROR(DATEDIF($I188-1,AY$15+1,"m"),)/12,)-1,)*Index!AU$23*(AY$15&lt;=$J188)*(1-AY$12)</f>
        <v>0</v>
      </c>
      <c r="AZ188" s="747">
        <f>$G188*$H188*(1+$K188)^MAX(ROUNDUP(IFERROR(DATEDIF($I188-1,AZ$15+1,"m"),)/12,)-1,)*Index!AV$23*(AZ$15&lt;=$J188)*(1-AZ$12)</f>
        <v>0</v>
      </c>
      <c r="BA188" s="747">
        <f>$G188*$H188*(1+$K188)^MAX(ROUNDUP(IFERROR(DATEDIF($I188-1,BA$15+1,"m"),)/12,)-1,)*Index!AW$23*(BA$15&lt;=$J188)*(1-BA$12)</f>
        <v>0</v>
      </c>
      <c r="BB188" s="747">
        <f>$G188*$H188*(1+$K188)^MAX(ROUNDUP(IFERROR(DATEDIF($I188-1,BB$15+1,"m"),)/12,)-1,)*Index!AX$23*(BB$15&lt;=$J188)*(1-BB$12)</f>
        <v>0</v>
      </c>
      <c r="BC188" s="747">
        <f>$G188*$H188*(1+$K188)^MAX(ROUNDUP(IFERROR(DATEDIF($I188-1,BC$15+1,"m"),)/12,)-1,)*Index!AY$23*(BC$15&lt;=$J188)*(1-BC$12)</f>
        <v>0</v>
      </c>
      <c r="BD188" s="747">
        <f>$G188*$H188*(1+$K188)^MAX(ROUNDUP(IFERROR(DATEDIF($I188-1,BD$15+1,"m"),)/12,)-1,)*Index!AZ$23*(BD$15&lt;=$J188)*(1-BD$12)</f>
        <v>0</v>
      </c>
      <c r="BE188" s="747">
        <f>$G188*$H188*(1+$K188)^MAX(ROUNDUP(IFERROR(DATEDIF($I188-1,BE$15+1,"m"),)/12,)-1,)*Index!BA$23*(BE$15&lt;=$J188)*(1-BE$12)</f>
        <v>0</v>
      </c>
      <c r="BF188" s="747">
        <f>$G188*$H188*(1+$K188)^MAX(ROUNDUP(IFERROR(DATEDIF($I188-1,BF$15+1,"m"),)/12,)-1,)*Index!BB$23*(BF$15&lt;=$J188)*(1-BF$12)</f>
        <v>0</v>
      </c>
      <c r="BG188" s="747">
        <f>$G188*$H188*(1+$K188)^MAX(ROUNDUP(IFERROR(DATEDIF($I188-1,BG$15+1,"m"),)/12,)-1,)*Index!BC$23*(BG$15&lt;=$J188)*(1-BG$12)</f>
        <v>0</v>
      </c>
      <c r="BH188" s="747">
        <f>$G188*$H188*(1+$K188)^MAX(ROUNDUP(IFERROR(DATEDIF($I188-1,BH$15+1,"m"),)/12,)-1,)*Index!BD$23*(BH$15&lt;=$J188)*(1-BH$12)</f>
        <v>0</v>
      </c>
      <c r="BI188" s="747">
        <f>$G188*$H188*(1+$K188)^MAX(ROUNDUP(IFERROR(DATEDIF($I188-1,BI$15+1,"m"),)/12,)-1,)*Index!BE$23*(BI$15&lt;=$J188)*(1-BI$12)</f>
        <v>0</v>
      </c>
      <c r="BJ188" s="747">
        <f>$G188*$H188*(1+$K188)^MAX(ROUNDUP(IFERROR(DATEDIF($I188-1,BJ$15+1,"m"),)/12,)-1,)*Index!BF$23*(BJ$15&lt;=$J188)*(1-BJ$12)</f>
        <v>0</v>
      </c>
      <c r="BK188" s="747">
        <f>$G188*$H188*(1+$K188)^MAX(ROUNDUP(IFERROR(DATEDIF($I188-1,BK$15+1,"m"),)/12,)-1,)*Index!BG$23*(BK$15&lt;=$J188)*(1-BK$12)</f>
        <v>0</v>
      </c>
      <c r="BL188" s="747">
        <f>$G188*$H188*(1+$K188)^MAX(ROUNDUP(IFERROR(DATEDIF($I188-1,BL$15+1,"m"),)/12,)-1,)*Index!BH$23*(BL$15&lt;=$J188)*(1-BL$12)</f>
        <v>0</v>
      </c>
      <c r="BM188" s="747">
        <f>$G188*$H188*(1+$K188)^MAX(ROUNDUP(IFERROR(DATEDIF($I188-1,BM$15+1,"m"),)/12,)-1,)*Index!BI$23*(BM$15&lt;=$J188)*(1-BM$12)</f>
        <v>0</v>
      </c>
      <c r="BN188" s="747">
        <f>$G188*$H188*(1+$K188)^MAX(ROUNDUP(IFERROR(DATEDIF($I188-1,BN$15+1,"m"),)/12,)-1,)*Index!BJ$23*(BN$15&lt;=$J188)*(1-BN$12)</f>
        <v>0</v>
      </c>
      <c r="BO188" s="747">
        <f>$G188*$H188*(1+$K188)^MAX(ROUNDUP(IFERROR(DATEDIF($I188-1,BO$15+1,"m"),)/12,)-1,)*Index!BK$23*(BO$15&lt;=$J188)*(1-BO$12)</f>
        <v>0</v>
      </c>
      <c r="BP188" s="747">
        <f>$G188*$H188*(1+$K188)^MAX(ROUNDUP(IFERROR(DATEDIF($I188-1,BP$15+1,"m"),)/12,)-1,)*Index!BL$23*(BP$15&lt;=$J188)*(1-BP$12)</f>
        <v>0</v>
      </c>
      <c r="BQ188" s="747">
        <f>$G188*$H188*(1+$K188)^MAX(ROUNDUP(IFERROR(DATEDIF($I188-1,BQ$15+1,"m"),)/12,)-1,)*Index!BM$23*(BQ$15&lt;=$J188)*(1-BQ$12)</f>
        <v>0</v>
      </c>
      <c r="BR188" s="747">
        <f>$G188*$H188*(1+$K188)^MAX(ROUNDUP(IFERROR(DATEDIF($I188-1,BR$15+1,"m"),)/12,)-1,)*Index!BN$23*(BR$15&lt;=$J188)*(1-BR$12)</f>
        <v>0</v>
      </c>
      <c r="BS188" s="747">
        <f>$G188*$H188*(1+$K188)^MAX(ROUNDUP(IFERROR(DATEDIF($I188-1,BS$15+1,"m"),)/12,)-1,)*Index!BO$23*(BS$15&lt;=$J188)*(1-BS$12)</f>
        <v>0</v>
      </c>
      <c r="BT188" s="747">
        <f>$G188*$H188*(1+$K188)^MAX(ROUNDUP(IFERROR(DATEDIF($I188-1,BT$15+1,"m"),)/12,)-1,)*Index!BP$23*(BT$15&lt;=$J188)*(1-BT$12)</f>
        <v>0</v>
      </c>
      <c r="BU188" s="747">
        <f>$G188*$H188*(1+$K188)^MAX(ROUNDUP(IFERROR(DATEDIF($I188-1,BU$15+1,"m"),)/12,)-1,)*Index!BQ$23*(BU$15&lt;=$J188)*(1-BU$12)</f>
        <v>0</v>
      </c>
      <c r="BV188" s="747">
        <f>$G188*$H188*(1+$K188)^MAX(ROUNDUP(IFERROR(DATEDIF($I188-1,BV$15+1,"m"),)/12,)-1,)*Index!BR$23*(BV$15&lt;=$J188)*(1-BV$12)</f>
        <v>0</v>
      </c>
      <c r="BW188" s="747">
        <f>$G188*$H188*(1+$K188)^MAX(ROUNDUP(IFERROR(DATEDIF($I188-1,BW$15+1,"m"),)/12,)-1,)*Index!BS$23*(BW$15&lt;=$J188)*(1-BW$12)</f>
        <v>0</v>
      </c>
      <c r="BX188" s="747">
        <f>$G188*$H188*(1+$K188)^MAX(ROUNDUP(IFERROR(DATEDIF($I188-1,BX$15+1,"m"),)/12,)-1,)*Index!BT$23*(BX$15&lt;=$J188)*(1-BX$12)</f>
        <v>0</v>
      </c>
      <c r="BY188" s="747">
        <f>$G188*$H188*(1+$K188)^MAX(ROUNDUP(IFERROR(DATEDIF($I188-1,BY$15+1,"m"),)/12,)-1,)*Index!BU$23*(BY$15&lt;=$J188)*(1-BY$12)</f>
        <v>0</v>
      </c>
      <c r="BZ188" s="747">
        <f>$G188*$H188*(1+$K188)^MAX(ROUNDUP(IFERROR(DATEDIF($I188-1,BZ$15+1,"m"),)/12,)-1,)*Index!BV$23*(BZ$15&lt;=$J188)*(1-BZ$12)</f>
        <v>0</v>
      </c>
      <c r="CA188" s="747">
        <f>$G188*$H188*(1+$K188)^MAX(ROUNDUP(IFERROR(DATEDIF($I188-1,CA$15+1,"m"),)/12,)-1,)*Index!BW$23*(CA$15&lt;=$J188)*(1-CA$12)</f>
        <v>0</v>
      </c>
      <c r="CB188" s="747">
        <f>$G188*$H188*(1+$K188)^MAX(ROUNDUP(IFERROR(DATEDIF($I188-1,CB$15+1,"m"),)/12,)-1,)*Index!BX$23*(CB$15&lt;=$J188)*(1-CB$12)</f>
        <v>0</v>
      </c>
      <c r="CC188" s="747">
        <f>$G188*$H188*(1+$K188)^MAX(ROUNDUP(IFERROR(DATEDIF($I188-1,CC$15+1,"m"),)/12,)-1,)*Index!BY$23*(CC$15&lt;=$J188)*(1-CC$12)</f>
        <v>0</v>
      </c>
      <c r="CD188" s="747">
        <f>$G188*$H188*(1+$K188)^MAX(ROUNDUP(IFERROR(DATEDIF($I188-1,CD$15+1,"m"),)/12,)-1,)*Index!BZ$23*(CD$15&lt;=$J188)*(1-CD$12)</f>
        <v>0</v>
      </c>
      <c r="CE188" s="747">
        <f>$G188*$H188*(1+$K188)^MAX(ROUNDUP(IFERROR(DATEDIF($I188-1,CE$15+1,"m"),)/12,)-1,)*Index!CA$23*(CE$15&lt;=$J188)*(1-CE$12)</f>
        <v>0</v>
      </c>
      <c r="CF188" s="747">
        <f>$G188*$H188*(1+$K188)^MAX(ROUNDUP(IFERROR(DATEDIF($I188-1,CF$15+1,"m"),)/12,)-1,)*Index!CB$23*(CF$15&lt;=$J188)*(1-CF$12)</f>
        <v>0</v>
      </c>
      <c r="CG188" s="747">
        <f>$G188*$H188*(1+$K188)^MAX(ROUNDUP(IFERROR(DATEDIF($I188-1,CG$15+1,"m"),)/12,)-1,)*Index!CC$23*(CG$15&lt;=$J188)*(1-CG$12)</f>
        <v>0</v>
      </c>
      <c r="CH188" s="747">
        <f>$G188*$H188*(1+$K188)^MAX(ROUNDUP(IFERROR(DATEDIF($I188-1,CH$15+1,"m"),)/12,)-1,)*Index!CD$23*(CH$15&lt;=$J188)*(1-CH$12)</f>
        <v>0</v>
      </c>
      <c r="CI188" s="747">
        <f>$G188*$H188*(1+$K188)^MAX(ROUNDUP(IFERROR(DATEDIF($I188-1,CI$15+1,"m"),)/12,)-1,)*Index!CE$23*(CI$15&lt;=$J188)*(1-CI$12)</f>
        <v>0</v>
      </c>
      <c r="CJ188" s="747">
        <f>$G188*$H188*(1+$K188)^MAX(ROUNDUP(IFERROR(DATEDIF($I188-1,CJ$15+1,"m"),)/12,)-1,)*Index!CF$23*(CJ$15&lt;=$J188)*(1-CJ$12)</f>
        <v>0</v>
      </c>
      <c r="CK188" s="747">
        <f>$G188*$H188*(1+$K188)^MAX(ROUNDUP(IFERROR(DATEDIF($I188-1,CK$15+1,"m"),)/12,)-1,)*Index!CG$23*(CK$15&lt;=$J188)*(1-CK$12)</f>
        <v>0</v>
      </c>
      <c r="CL188" s="747">
        <f>$G188*$H188*(1+$K188)^MAX(ROUNDUP(IFERROR(DATEDIF($I188-1,CL$15+1,"m"),)/12,)-1,)*Index!CH$23*(CL$15&lt;=$J188)*(1-CL$12)</f>
        <v>0</v>
      </c>
      <c r="CM188" s="747">
        <f>$G188*$H188*(1+$K188)^MAX(ROUNDUP(IFERROR(DATEDIF($I188-1,CM$15+1,"m"),)/12,)-1,)*Index!CI$23*(CM$15&lt;=$J188)*(1-CM$12)</f>
        <v>0</v>
      </c>
      <c r="CN188" s="747">
        <f>$G188*$H188*(1+$K188)^MAX(ROUNDUP(IFERROR(DATEDIF($I188-1,CN$15+1,"m"),)/12,)-1,)*Index!CJ$23*(CN$15&lt;=$J188)*(1-CN$12)</f>
        <v>0</v>
      </c>
      <c r="CO188" s="747">
        <f>$G188*$H188*(1+$K188)^MAX(ROUNDUP(IFERROR(DATEDIF($I188-1,CO$15+1,"m"),)/12,)-1,)*Index!CK$23*(CO$15&lt;=$J188)*(1-CO$12)</f>
        <v>0</v>
      </c>
      <c r="CP188" s="747">
        <f>$G188*$H188*(1+$K188)^MAX(ROUNDUP(IFERROR(DATEDIF($I188-1,CP$15+1,"m"),)/12,)-1,)*Index!CL$23*(CP$15&lt;=$J188)*(1-CP$12)</f>
        <v>0</v>
      </c>
      <c r="CQ188" s="747">
        <f>$G188*$H188*(1+$K188)^MAX(ROUNDUP(IFERROR(DATEDIF($I188-1,CQ$15+1,"m"),)/12,)-1,)*Index!CM$23*(CQ$15&lt;=$J188)*(1-CQ$12)</f>
        <v>0</v>
      </c>
      <c r="CR188" s="747">
        <f>$G188*$H188*(1+$K188)^MAX(ROUNDUP(IFERROR(DATEDIF($I188-1,CR$15+1,"m"),)/12,)-1,)*Index!CN$23*(CR$15&lt;=$J188)*(1-CR$12)</f>
        <v>0</v>
      </c>
      <c r="CS188" s="747">
        <f>$G188*$H188*(1+$K188)^MAX(ROUNDUP(IFERROR(DATEDIF($I188-1,CS$15+1,"m"),)/12,)-1,)*Index!CO$23*(CS$15&lt;=$J188)*(1-CS$12)</f>
        <v>0</v>
      </c>
      <c r="CT188" s="747">
        <f>$G188*$H188*(1+$K188)^MAX(ROUNDUP(IFERROR(DATEDIF($I188-1,CT$15+1,"m"),)/12,)-1,)*Index!CP$23*(CT$15&lt;=$J188)*(1-CT$12)</f>
        <v>0</v>
      </c>
      <c r="CU188" s="747">
        <f>$G188*$H188*(1+$K188)^MAX(ROUNDUP(IFERROR(DATEDIF($I188-1,CU$15+1,"m"),)/12,)-1,)*Index!CQ$23*(CU$15&lt;=$J188)*(1-CU$12)</f>
        <v>0</v>
      </c>
      <c r="CV188" s="747">
        <f>$G188*$H188*(1+$K188)^MAX(ROUNDUP(IFERROR(DATEDIF($I188-1,CV$15+1,"m"),)/12,)-1,)*Index!CR$23*(CV$15&lt;=$J188)*(1-CV$12)</f>
        <v>0</v>
      </c>
      <c r="CW188" s="747">
        <f>$G188*$H188*(1+$K188)^MAX(ROUNDUP(IFERROR(DATEDIF($I188-1,CW$15+1,"m"),)/12,)-1,)*Index!CS$23*(CW$15&lt;=$J188)*(1-CW$12)</f>
        <v>0</v>
      </c>
      <c r="CX188" s="747">
        <f>$G188*$H188*(1+$K188)^MAX(ROUNDUP(IFERROR(DATEDIF($I188-1,CX$15+1,"m"),)/12,)-1,)*Index!CT$23*(CX$15&lt;=$J188)*(1-CX$12)</f>
        <v>0</v>
      </c>
      <c r="CY188" s="747">
        <f>$G188*$H188*(1+$K188)^MAX(ROUNDUP(IFERROR(DATEDIF($I188-1,CY$15+1,"m"),)/12,)-1,)*Index!CU$23*(CY$15&lt;=$J188)*(1-CY$12)</f>
        <v>0</v>
      </c>
      <c r="CZ188" s="747">
        <f>$G188*$H188*(1+$K188)^MAX(ROUNDUP(IFERROR(DATEDIF($I188-1,CZ$15+1,"m"),)/12,)-1,)*Index!CV$23*(CZ$15&lt;=$J188)*(1-CZ$12)</f>
        <v>0</v>
      </c>
      <c r="DA188" s="747">
        <f>$G188*$H188*(1+$K188)^MAX(ROUNDUP(IFERROR(DATEDIF($I188-1,DA$15+1,"m"),)/12,)-1,)*Index!CW$23*(DA$15&lt;=$J188)*(1-DA$12)</f>
        <v>0</v>
      </c>
      <c r="DB188" s="747">
        <f>$G188*$H188*(1+$K188)^MAX(ROUNDUP(IFERROR(DATEDIF($I188-1,DB$15+1,"m"),)/12,)-1,)*Index!CX$23*(DB$15&lt;=$J188)*(1-DB$12)</f>
        <v>0</v>
      </c>
      <c r="DC188" s="747">
        <f>$G188*$H188*(1+$K188)^MAX(ROUNDUP(IFERROR(DATEDIF($I188-1,DC$15+1,"m"),)/12,)-1,)*Index!CY$23*(DC$15&lt;=$J188)*(1-DC$12)</f>
        <v>0</v>
      </c>
      <c r="DD188" s="747">
        <f>$G188*$H188*(1+$K188)^MAX(ROUNDUP(IFERROR(DATEDIF($I188-1,DD$15+1,"m"),)/12,)-1,)*Index!CZ$23*(DD$15&lt;=$J188)*(1-DD$12)</f>
        <v>0</v>
      </c>
      <c r="DE188" s="747">
        <f>$G188*$H188*(1+$K188)^MAX(ROUNDUP(IFERROR(DATEDIF($I188-1,DE$15+1,"m"),)/12,)-1,)*Index!DA$23*(DE$15&lt;=$J188)*(1-DE$12)</f>
        <v>0</v>
      </c>
      <c r="DF188" s="747">
        <f>$G188*$H188*(1+$K188)^MAX(ROUNDUP(IFERROR(DATEDIF($I188-1,DF$15+1,"m"),)/12,)-1,)*Index!DB$23*(DF$15&lt;=$J188)*(1-DF$12)</f>
        <v>0</v>
      </c>
      <c r="DG188" s="747">
        <f>$G188*$H188*(1+$K188)^MAX(ROUNDUP(IFERROR(DATEDIF($I188-1,DG$15+1,"m"),)/12,)-1,)*Index!DC$23*(DG$15&lt;=$J188)*(1-DG$12)</f>
        <v>0</v>
      </c>
      <c r="DH188" s="747">
        <f>$G188*$H188*(1+$K188)^MAX(ROUNDUP(IFERROR(DATEDIF($I188-1,DH$15+1,"m"),)/12,)-1,)*Index!DD$23*(DH$15&lt;=$J188)*(1-DH$12)</f>
        <v>0</v>
      </c>
      <c r="DI188" s="747">
        <f>$G188*$H188*(1+$K188)^MAX(ROUNDUP(IFERROR(DATEDIF($I188-1,DI$15+1,"m"),)/12,)-1,)*Index!DE$23*(DI$15&lt;=$J188)*(1-DI$12)</f>
        <v>0</v>
      </c>
      <c r="DJ188" s="747">
        <f>$G188*$H188*(1+$K188)^MAX(ROUNDUP(IFERROR(DATEDIF($I188-1,DJ$15+1,"m"),)/12,)-1,)*Index!DF$23*(DJ$15&lt;=$J188)*(1-DJ$12)</f>
        <v>0</v>
      </c>
      <c r="DK188" s="747">
        <f>$G188*$H188*(1+$K188)^MAX(ROUNDUP(IFERROR(DATEDIF($I188-1,DK$15+1,"m"),)/12,)-1,)*Index!DG$23*(DK$15&lt;=$J188)*(1-DK$12)</f>
        <v>0</v>
      </c>
      <c r="DL188" s="747">
        <f>$G188*$H188*(1+$K188)^MAX(ROUNDUP(IFERROR(DATEDIF($I188-1,DL$15+1,"m"),)/12,)-1,)*Index!DH$23*(DL$15&lt;=$J188)*(1-DL$12)</f>
        <v>0</v>
      </c>
      <c r="DM188" s="747">
        <f>$G188*$H188*(1+$K188)^MAX(ROUNDUP(IFERROR(DATEDIF($I188-1,DM$15+1,"m"),)/12,)-1,)*Index!DI$23*(DM$15&lt;=$J188)*(1-DM$12)</f>
        <v>0</v>
      </c>
      <c r="DN188" s="747">
        <f>$G188*$H188*(1+$K188)^MAX(ROUNDUP(IFERROR(DATEDIF($I188-1,DN$15+1,"m"),)/12,)-1,)*Index!DJ$23*(DN$15&lt;=$J188)*(1-DN$12)</f>
        <v>0</v>
      </c>
      <c r="DO188" s="747">
        <f>$G188*$H188*(1+$K188)^MAX(ROUNDUP(IFERROR(DATEDIF($I188-1,DO$15+1,"m"),)/12,)-1,)*Index!DK$23*(DO$15&lt;=$J188)*(1-DO$12)</f>
        <v>0</v>
      </c>
      <c r="DP188" s="747">
        <f>$G188*$H188*(1+$K188)^MAX(ROUNDUP(IFERROR(DATEDIF($I188-1,DP$15+1,"m"),)/12,)-1,)*Index!DL$23*(DP$15&lt;=$J188)*(1-DP$12)</f>
        <v>0</v>
      </c>
      <c r="DQ188" s="747">
        <f>$G188*$H188*(1+$K188)^MAX(ROUNDUP(IFERROR(DATEDIF($I188-1,DQ$15+1,"m"),)/12,)-1,)*Index!DM$23*(DQ$15&lt;=$J188)*(1-DQ$12)</f>
        <v>0</v>
      </c>
      <c r="DR188" s="747">
        <f>$G188*$H188*(1+$K188)^MAX(ROUNDUP(IFERROR(DATEDIF($I188-1,DR$15+1,"m"),)/12,)-1,)*Index!DN$23*(DR$15&lt;=$J188)*(1-DR$12)</f>
        <v>0</v>
      </c>
      <c r="DS188" s="747">
        <f>$G188*$H188*(1+$K188)^MAX(ROUNDUP(IFERROR(DATEDIF($I188-1,DS$15+1,"m"),)/12,)-1,)*Index!DO$23*(DS$15&lt;=$J188)*(1-DS$12)</f>
        <v>0</v>
      </c>
      <c r="DT188" s="747">
        <f>$G188*$H188*(1+$K188)^MAX(ROUNDUP(IFERROR(DATEDIF($I188-1,DT$15+1,"m"),)/12,)-1,)*Index!DP$23*(DT$15&lt;=$J188)*(1-DT$12)</f>
        <v>0</v>
      </c>
      <c r="DU188" s="747">
        <f>$G188*$H188*(1+$K188)^MAX(ROUNDUP(IFERROR(DATEDIF($I188-1,DU$15+1,"m"),)/12,)-1,)*Index!DQ$23*(DU$15&lt;=$J188)*(1-DU$12)</f>
        <v>0</v>
      </c>
      <c r="DV188" s="747">
        <f>$G188*$H188*(1+$K188)^MAX(ROUNDUP(IFERROR(DATEDIF($I188-1,DV$15+1,"m"),)/12,)-1,)*Index!DR$23*(DV$15&lt;=$J188)*(1-DV$12)</f>
        <v>0</v>
      </c>
      <c r="DW188" s="747">
        <f>$G188*$H188*(1+$K188)^MAX(ROUNDUP(IFERROR(DATEDIF($I188-1,DW$15+1,"m"),)/12,)-1,)*Index!DS$23*(DW$15&lt;=$J188)*(1-DW$12)</f>
        <v>0</v>
      </c>
      <c r="DX188" s="747">
        <f>$G188*$H188*(1+$K188)^MAX(ROUNDUP(IFERROR(DATEDIF($I188-1,DX$15+1,"m"),)/12,)-1,)*Index!DT$23*(DX$15&lt;=$J188)*(1-DX$12)</f>
        <v>0</v>
      </c>
      <c r="DY188" s="747">
        <f>$G188*$H188*(1+$K188)^MAX(ROUNDUP(IFERROR(DATEDIF($I188-1,DY$15+1,"m"),)/12,)-1,)*Index!DU$23*(DY$15&lt;=$J188)*(1-DY$12)</f>
        <v>0</v>
      </c>
      <c r="DZ188" s="747">
        <f>$G188*$H188*(1+$K188)^MAX(ROUNDUP(IFERROR(DATEDIF($I188-1,DZ$15+1,"m"),)/12,)-1,)*Index!DV$23*(DZ$15&lt;=$J188)*(1-DZ$12)</f>
        <v>0</v>
      </c>
      <c r="EA188" s="747">
        <f>$G188*$H188*(1+$K188)^MAX(ROUNDUP(IFERROR(DATEDIF($I188-1,EA$15+1,"m"),)/12,)-1,)*Index!DW$23*(EA$15&lt;=$J188)*(1-EA$12)</f>
        <v>0</v>
      </c>
      <c r="EB188" s="747">
        <f>$G188*$H188*(1+$K188)^MAX(ROUNDUP(IFERROR(DATEDIF($I188-1,EB$15+1,"m"),)/12,)-1,)*Index!DX$23*(EB$15&lt;=$J188)*(1-EB$12)</f>
        <v>0</v>
      </c>
      <c r="EC188" s="747">
        <f>$G188*$H188*(1+$K188)^MAX(ROUNDUP(IFERROR(DATEDIF($I188-1,EC$15+1,"m"),)/12,)-1,)*Index!DY$23*(EC$15&lt;=$J188)*(1-EC$12)</f>
        <v>0</v>
      </c>
      <c r="ED188" s="747">
        <f>$G188*$H188*(1+$K188)^MAX(ROUNDUP(IFERROR(DATEDIF($I188-1,ED$15+1,"m"),)/12,)-1,)*Index!DZ$23*(ED$15&lt;=$J188)*(1-ED$12)</f>
        <v>0</v>
      </c>
      <c r="EE188" s="747">
        <f>$G188*$H188*(1+$K188)^MAX(ROUNDUP(IFERROR(DATEDIF($I188-1,EE$15+1,"m"),)/12,)-1,)*Index!EA$23*(EE$15&lt;=$J188)*(1-EE$12)</f>
        <v>0</v>
      </c>
      <c r="EF188" s="747">
        <f>$G188*$H188*(1+$K188)^MAX(ROUNDUP(IFERROR(DATEDIF($I188-1,EF$15+1,"m"),)/12,)-1,)*Index!EB$23*(EF$15&lt;=$J188)*(1-EF$12)</f>
        <v>0</v>
      </c>
      <c r="EG188" s="747">
        <f>$G188*$H188*(1+$K188)^MAX(ROUNDUP(IFERROR(DATEDIF($I188-1,EG$15+1,"m"),)/12,)-1,)*Index!EC$23*(EG$15&lt;=$J188)*(1-EG$12)</f>
        <v>0</v>
      </c>
      <c r="EH188" s="747">
        <f>$G188*$H188*(1+$K188)^MAX(ROUNDUP(IFERROR(DATEDIF($I188-1,EH$15+1,"m"),)/12,)-1,)*Index!ED$23*(EH$15&lt;=$J188)*(1-EH$12)</f>
        <v>0</v>
      </c>
      <c r="EI188" s="747">
        <f>$G188*$H188*(1+$K188)^MAX(ROUNDUP(IFERROR(DATEDIF($I188-1,EI$15+1,"m"),)/12,)-1,)*Index!EE$23*(EI$15&lt;=$J188)*(1-EI$12)</f>
        <v>0</v>
      </c>
      <c r="EJ188" s="747">
        <f>$G188*$H188*(1+$K188)^MAX(ROUNDUP(IFERROR(DATEDIF($I188-1,EJ$15+1,"m"),)/12,)-1,)*Index!EF$23*(EJ$15&lt;=$J188)*(1-EJ$12)</f>
        <v>0</v>
      </c>
      <c r="EK188" s="747">
        <f>$G188*$H188*(1+$K188)^MAX(ROUNDUP(IFERROR(DATEDIF($I188-1,EK$15+1,"m"),)/12,)-1,)*Index!EG$23*(EK$15&lt;=$J188)*(1-EK$12)</f>
        <v>0</v>
      </c>
      <c r="EL188" s="747">
        <f>$G188*$H188*(1+$K188)^MAX(ROUNDUP(IFERROR(DATEDIF($I188-1,EL$15+1,"m"),)/12,)-1,)*Index!EH$23*(EL$15&lt;=$J188)*(1-EL$12)</f>
        <v>0</v>
      </c>
      <c r="EM188" s="747">
        <f>$G188*$H188*(1+$K188)^MAX(ROUNDUP(IFERROR(DATEDIF($I188-1,EM$15+1,"m"),)/12,)-1,)*Index!EI$23*(EM$15&lt;=$J188)*(1-EM$12)</f>
        <v>0</v>
      </c>
      <c r="EN188" s="747">
        <f>$G188*$H188*(1+$K188)^MAX(ROUNDUP(IFERROR(DATEDIF($I188-1,EN$15+1,"m"),)/12,)-1,)*Index!EJ$23*(EN$15&lt;=$J188)*(1-EN$12)</f>
        <v>0</v>
      </c>
      <c r="EO188" s="747">
        <f>$G188*$H188*(1+$K188)^MAX(ROUNDUP(IFERROR(DATEDIF($I188-1,EO$15+1,"m"),)/12,)-1,)*Index!EK$23*(EO$15&lt;=$J188)*(1-EO$12)</f>
        <v>0</v>
      </c>
      <c r="EP188" s="747">
        <f>$G188*$H188*(1+$K188)^MAX(ROUNDUP(IFERROR(DATEDIF($I188-1,EP$15+1,"m"),)/12,)-1,)*Index!EL$23*(EP$15&lt;=$J188)*(1-EP$12)</f>
        <v>0</v>
      </c>
      <c r="EQ188" s="747">
        <f>$G188*$H188*(1+$K188)^MAX(ROUNDUP(IFERROR(DATEDIF($I188-1,EQ$15+1,"m"),)/12,)-1,)*Index!EM$23*(EQ$15&lt;=$J188)*(1-EQ$12)</f>
        <v>0</v>
      </c>
      <c r="ER188" s="747">
        <f>$G188*$H188*(1+$K188)^MAX(ROUNDUP(IFERROR(DATEDIF($I188-1,ER$15+1,"m"),)/12,)-1,)*Index!EN$23*(ER$15&lt;=$J188)*(1-ER$12)</f>
        <v>0</v>
      </c>
      <c r="ES188" s="747">
        <f>$G188*$H188*(1+$K188)^MAX(ROUNDUP(IFERROR(DATEDIF($I188-1,ES$15+1,"m"),)/12,)-1,)*Index!EO$23*(ES$15&lt;=$J188)*(1-ES$12)</f>
        <v>0</v>
      </c>
      <c r="ET188" s="747">
        <f>$G188*$H188*(1+$K188)^MAX(ROUNDUP(IFERROR(DATEDIF($I188-1,ET$15+1,"m"),)/12,)-1,)*Index!EP$23*(ET$15&lt;=$J188)*(1-ET$12)</f>
        <v>0</v>
      </c>
      <c r="EU188" s="747">
        <f>$G188*$H188*(1+$K188)^MAX(ROUNDUP(IFERROR(DATEDIF($I188-1,EU$15+1,"m"),)/12,)-1,)*Index!EQ$23*(EU$15&lt;=$J188)*(1-EU$12)</f>
        <v>0</v>
      </c>
    </row>
    <row r="189" spans="3:151" ht="11.25" customHeight="1">
      <c r="C189" s="828"/>
      <c r="D189" s="743">
        <f t="shared" ref="D189:K189" si="261">D153</f>
        <v>2</v>
      </c>
      <c r="E189" s="704" t="str">
        <f t="shared" si="261"/>
        <v>쿠팡</v>
      </c>
      <c r="F189" s="704" t="str">
        <f t="shared" si="261"/>
        <v>상온창고</v>
      </c>
      <c r="G189" s="781">
        <f t="shared" si="261"/>
        <v>3</v>
      </c>
      <c r="H189" s="744">
        <f t="shared" si="261"/>
        <v>2185.56</v>
      </c>
      <c r="I189" s="745">
        <f t="shared" si="261"/>
        <v>45658</v>
      </c>
      <c r="J189" s="745">
        <f t="shared" si="261"/>
        <v>49064</v>
      </c>
      <c r="K189" s="754">
        <f t="shared" si="261"/>
        <v>2.5000000000000001E-2</v>
      </c>
      <c r="L189" s="746"/>
      <c r="M189" s="722"/>
      <c r="N189" s="747">
        <f t="shared" si="252"/>
        <v>0</v>
      </c>
      <c r="O189" s="733"/>
      <c r="P189" s="747">
        <f>$G189*$H189*(1+$K189)^MAX(ROUNDUP(IFERROR(DATEDIF($I189-1,P$15+1,"m"),)/12,)-1,)*Index!L$23*(P$15&lt;=$J189)*(1-P$12)</f>
        <v>0</v>
      </c>
      <c r="Q189" s="747">
        <f>$G189*$H189*(1+$K189)^MAX(ROUNDUP(IFERROR(DATEDIF($I189-1,Q$15+1,"m"),)/12,)-1,)*Index!M$23*(Q$15&lt;=$J189)*(1-Q$12)</f>
        <v>0</v>
      </c>
      <c r="R189" s="747">
        <f>$G189*$H189*(1+$K189)^MAX(ROUNDUP(IFERROR(DATEDIF($I189-1,R$15+1,"m"),)/12,)-1,)*Index!N$23*(R$15&lt;=$J189)*(1-R$12)</f>
        <v>0</v>
      </c>
      <c r="S189" s="747">
        <f>$G189*$H189*(1+$K189)^MAX(ROUNDUP(IFERROR(DATEDIF($I189-1,S$15+1,"m"),)/12,)-1,)*Index!O$23*(S$15&lt;=$J189)*(1-S$12)</f>
        <v>0</v>
      </c>
      <c r="T189" s="747">
        <f>$G189*$H189*(1+$K189)^MAX(ROUNDUP(IFERROR(DATEDIF($I189-1,T$15+1,"m"),)/12,)-1,)*Index!P$23*(T$15&lt;=$J189)*(1-T$12)</f>
        <v>0</v>
      </c>
      <c r="U189" s="747">
        <f>$G189*$H189*(1+$K189)^MAX(ROUNDUP(IFERROR(DATEDIF($I189-1,U$15+1,"m"),)/12,)-1,)*Index!Q$23*(U$15&lt;=$J189)*(1-U$12)</f>
        <v>0</v>
      </c>
      <c r="V189" s="747">
        <f>$G189*$H189*(1+$K189)^MAX(ROUNDUP(IFERROR(DATEDIF($I189-1,V$15+1,"m"),)/12,)-1,)*Index!R$23*(V$15&lt;=$J189)*(1-V$12)</f>
        <v>0</v>
      </c>
      <c r="W189" s="747">
        <f>$G189*$H189*(1+$K189)^MAX(ROUNDUP(IFERROR(DATEDIF($I189-1,W$15+1,"m"),)/12,)-1,)*Index!S$23*(W$15&lt;=$J189)*(1-W$12)</f>
        <v>0</v>
      </c>
      <c r="X189" s="747">
        <f>$G189*$H189*(1+$K189)^MAX(ROUNDUP(IFERROR(DATEDIF($I189-1,X$15+1,"m"),)/12,)-1,)*Index!T$23*(X$15&lt;=$J189)*(1-X$12)</f>
        <v>0</v>
      </c>
      <c r="Y189" s="747">
        <f>$G189*$H189*(1+$K189)^MAX(ROUNDUP(IFERROR(DATEDIF($I189-1,Y$15+1,"m"),)/12,)-1,)*Index!U$23*(Y$15&lt;=$J189)*(1-Y$12)</f>
        <v>0</v>
      </c>
      <c r="Z189" s="747">
        <f>$G189*$H189*(1+$K189)^MAX(ROUNDUP(IFERROR(DATEDIF($I189-1,Z$15+1,"m"),)/12,)-1,)*Index!V$23*(Z$15&lt;=$J189)*(1-Z$12)</f>
        <v>0</v>
      </c>
      <c r="AA189" s="747">
        <f>$G189*$H189*(1+$K189)^MAX(ROUNDUP(IFERROR(DATEDIF($I189-1,AA$15+1,"m"),)/12,)-1,)*Index!W$23*(AA$15&lt;=$J189)*(1-AA$12)</f>
        <v>0</v>
      </c>
      <c r="AB189" s="747">
        <f>$G189*$H189*(1+$K189)^MAX(ROUNDUP(IFERROR(DATEDIF($I189-1,AB$15+1,"m"),)/12,)-1,)*Index!X$23*(AB$15&lt;=$J189)*(1-AB$12)</f>
        <v>0</v>
      </c>
      <c r="AC189" s="747">
        <f>$G189*$H189*(1+$K189)^MAX(ROUNDUP(IFERROR(DATEDIF($I189-1,AC$15+1,"m"),)/12,)-1,)*Index!Y$23*(AC$15&lt;=$J189)*(1-AC$12)</f>
        <v>0</v>
      </c>
      <c r="AD189" s="747">
        <f>$G189*$H189*(1+$K189)^MAX(ROUNDUP(IFERROR(DATEDIF($I189-1,AD$15+1,"m"),)/12,)-1,)*Index!Z$23*(AD$15&lt;=$J189)*(1-AD$12)</f>
        <v>0</v>
      </c>
      <c r="AE189" s="747">
        <f>$G189*$H189*(1+$K189)^MAX(ROUNDUP(IFERROR(DATEDIF($I189-1,AE$15+1,"m"),)/12,)-1,)*Index!AA$23*(AE$15&lt;=$J189)*(1-AE$12)</f>
        <v>0</v>
      </c>
      <c r="AF189" s="747">
        <f>$G189*$H189*(1+$K189)^MAX(ROUNDUP(IFERROR(DATEDIF($I189-1,AF$15+1,"m"),)/12,)-1,)*Index!AB$23*(AF$15&lt;=$J189)*(1-AF$12)</f>
        <v>0</v>
      </c>
      <c r="AG189" s="747">
        <f>$G189*$H189*(1+$K189)^MAX(ROUNDUP(IFERROR(DATEDIF($I189-1,AG$15+1,"m"),)/12,)-1,)*Index!AC$23*(AG$15&lt;=$J189)*(1-AG$12)</f>
        <v>0</v>
      </c>
      <c r="AH189" s="747">
        <f>$G189*$H189*(1+$K189)^MAX(ROUNDUP(IFERROR(DATEDIF($I189-1,AH$15+1,"m"),)/12,)-1,)*Index!AD$23*(AH$15&lt;=$J189)*(1-AH$12)</f>
        <v>0</v>
      </c>
      <c r="AI189" s="747">
        <f>$G189*$H189*(1+$K189)^MAX(ROUNDUP(IFERROR(DATEDIF($I189-1,AI$15+1,"m"),)/12,)-1,)*Index!AE$23*(AI$15&lt;=$J189)*(1-AI$12)</f>
        <v>0</v>
      </c>
      <c r="AJ189" s="747">
        <f>$G189*$H189*(1+$K189)^MAX(ROUNDUP(IFERROR(DATEDIF($I189-1,AJ$15+1,"m"),)/12,)-1,)*Index!AF$23*(AJ$15&lt;=$J189)*(1-AJ$12)</f>
        <v>0</v>
      </c>
      <c r="AK189" s="747">
        <f>$G189*$H189*(1+$K189)^MAX(ROUNDUP(IFERROR(DATEDIF($I189-1,AK$15+1,"m"),)/12,)-1,)*Index!AG$23*(AK$15&lt;=$J189)*(1-AK$12)</f>
        <v>0</v>
      </c>
      <c r="AL189" s="747">
        <f>$G189*$H189*(1+$K189)^MAX(ROUNDUP(IFERROR(DATEDIF($I189-1,AL$15+1,"m"),)/12,)-1,)*Index!AH$23*(AL$15&lt;=$J189)*(1-AL$12)</f>
        <v>0</v>
      </c>
      <c r="AM189" s="747">
        <f>$G189*$H189*(1+$K189)^MAX(ROUNDUP(IFERROR(DATEDIF($I189-1,AM$15+1,"m"),)/12,)-1,)*Index!AI$23*(AM$15&lt;=$J189)*(1-AM$12)</f>
        <v>0</v>
      </c>
      <c r="AN189" s="747">
        <f>$G189*$H189*(1+$K189)^MAX(ROUNDUP(IFERROR(DATEDIF($I189-1,AN$15+1,"m"),)/12,)-1,)*Index!AJ$23*(AN$15&lt;=$J189)*(1-AN$12)</f>
        <v>0</v>
      </c>
      <c r="AO189" s="747">
        <f>$G189*$H189*(1+$K189)^MAX(ROUNDUP(IFERROR(DATEDIF($I189-1,AO$15+1,"m"),)/12,)-1,)*Index!AK$23*(AO$15&lt;=$J189)*(1-AO$12)</f>
        <v>0</v>
      </c>
      <c r="AP189" s="747">
        <f>$G189*$H189*(1+$K189)^MAX(ROUNDUP(IFERROR(DATEDIF($I189-1,AP$15+1,"m"),)/12,)-1,)*Index!AL$23*(AP$15&lt;=$J189)*(1-AP$12)</f>
        <v>0</v>
      </c>
      <c r="AQ189" s="747">
        <f>$G189*$H189*(1+$K189)^MAX(ROUNDUP(IFERROR(DATEDIF($I189-1,AQ$15+1,"m"),)/12,)-1,)*Index!AM$23*(AQ$15&lt;=$J189)*(1-AQ$12)</f>
        <v>0</v>
      </c>
      <c r="AR189" s="747">
        <f>$G189*$H189*(1+$K189)^MAX(ROUNDUP(IFERROR(DATEDIF($I189-1,AR$15+1,"m"),)/12,)-1,)*Index!AN$23*(AR$15&lt;=$J189)*(1-AR$12)</f>
        <v>0</v>
      </c>
      <c r="AS189" s="747">
        <f>$G189*$H189*(1+$K189)^MAX(ROUNDUP(IFERROR(DATEDIF($I189-1,AS$15+1,"m"),)/12,)-1,)*Index!AO$23*(AS$15&lt;=$J189)*(1-AS$12)</f>
        <v>0</v>
      </c>
      <c r="AT189" s="747">
        <f>$G189*$H189*(1+$K189)^MAX(ROUNDUP(IFERROR(DATEDIF($I189-1,AT$15+1,"m"),)/12,)-1,)*Index!AP$23*(AT$15&lt;=$J189)*(1-AT$12)</f>
        <v>0</v>
      </c>
      <c r="AU189" s="747">
        <f>$G189*$H189*(1+$K189)^MAX(ROUNDUP(IFERROR(DATEDIF($I189-1,AU$15+1,"m"),)/12,)-1,)*Index!AQ$23*(AU$15&lt;=$J189)*(1-AU$12)</f>
        <v>0</v>
      </c>
      <c r="AV189" s="747">
        <f>$G189*$H189*(1+$K189)^MAX(ROUNDUP(IFERROR(DATEDIF($I189-1,AV$15+1,"m"),)/12,)-1,)*Index!AR$23*(AV$15&lt;=$J189)*(1-AV$12)</f>
        <v>0</v>
      </c>
      <c r="AW189" s="747">
        <f>$G189*$H189*(1+$K189)^MAX(ROUNDUP(IFERROR(DATEDIF($I189-1,AW$15+1,"m"),)/12,)-1,)*Index!AS$23*(AW$15&lt;=$J189)*(1-AW$12)</f>
        <v>0</v>
      </c>
      <c r="AX189" s="747">
        <f>$G189*$H189*(1+$K189)^MAX(ROUNDUP(IFERROR(DATEDIF($I189-1,AX$15+1,"m"),)/12,)-1,)*Index!AT$23*(AX$15&lt;=$J189)*(1-AX$12)</f>
        <v>0</v>
      </c>
      <c r="AY189" s="747">
        <f>$G189*$H189*(1+$K189)^MAX(ROUNDUP(IFERROR(DATEDIF($I189-1,AY$15+1,"m"),)/12,)-1,)*Index!AU$23*(AY$15&lt;=$J189)*(1-AY$12)</f>
        <v>0</v>
      </c>
      <c r="AZ189" s="747">
        <f>$G189*$H189*(1+$K189)^MAX(ROUNDUP(IFERROR(DATEDIF($I189-1,AZ$15+1,"m"),)/12,)-1,)*Index!AV$23*(AZ$15&lt;=$J189)*(1-AZ$12)</f>
        <v>0</v>
      </c>
      <c r="BA189" s="747">
        <f>$G189*$H189*(1+$K189)^MAX(ROUNDUP(IFERROR(DATEDIF($I189-1,BA$15+1,"m"),)/12,)-1,)*Index!AW$23*(BA$15&lt;=$J189)*(1-BA$12)</f>
        <v>0</v>
      </c>
      <c r="BB189" s="747">
        <f>$G189*$H189*(1+$K189)^MAX(ROUNDUP(IFERROR(DATEDIF($I189-1,BB$15+1,"m"),)/12,)-1,)*Index!AX$23*(BB$15&lt;=$J189)*(1-BB$12)</f>
        <v>0</v>
      </c>
      <c r="BC189" s="747">
        <f>$G189*$H189*(1+$K189)^MAX(ROUNDUP(IFERROR(DATEDIF($I189-1,BC$15+1,"m"),)/12,)-1,)*Index!AY$23*(BC$15&lt;=$J189)*(1-BC$12)</f>
        <v>0</v>
      </c>
      <c r="BD189" s="747">
        <f>$G189*$H189*(1+$K189)^MAX(ROUNDUP(IFERROR(DATEDIF($I189-1,BD$15+1,"m"),)/12,)-1,)*Index!AZ$23*(BD$15&lt;=$J189)*(1-BD$12)</f>
        <v>0</v>
      </c>
      <c r="BE189" s="747">
        <f>$G189*$H189*(1+$K189)^MAX(ROUNDUP(IFERROR(DATEDIF($I189-1,BE$15+1,"m"),)/12,)-1,)*Index!BA$23*(BE$15&lt;=$J189)*(1-BE$12)</f>
        <v>0</v>
      </c>
      <c r="BF189" s="747">
        <f>$G189*$H189*(1+$K189)^MAX(ROUNDUP(IFERROR(DATEDIF($I189-1,BF$15+1,"m"),)/12,)-1,)*Index!BB$23*(BF$15&lt;=$J189)*(1-BF$12)</f>
        <v>0</v>
      </c>
      <c r="BG189" s="747">
        <f>$G189*$H189*(1+$K189)^MAX(ROUNDUP(IFERROR(DATEDIF($I189-1,BG$15+1,"m"),)/12,)-1,)*Index!BC$23*(BG$15&lt;=$J189)*(1-BG$12)</f>
        <v>0</v>
      </c>
      <c r="BH189" s="747">
        <f>$G189*$H189*(1+$K189)^MAX(ROUNDUP(IFERROR(DATEDIF($I189-1,BH$15+1,"m"),)/12,)-1,)*Index!BD$23*(BH$15&lt;=$J189)*(1-BH$12)</f>
        <v>0</v>
      </c>
      <c r="BI189" s="747">
        <f>$G189*$H189*(1+$K189)^MAX(ROUNDUP(IFERROR(DATEDIF($I189-1,BI$15+1,"m"),)/12,)-1,)*Index!BE$23*(BI$15&lt;=$J189)*(1-BI$12)</f>
        <v>0</v>
      </c>
      <c r="BJ189" s="747">
        <f>$G189*$H189*(1+$K189)^MAX(ROUNDUP(IFERROR(DATEDIF($I189-1,BJ$15+1,"m"),)/12,)-1,)*Index!BF$23*(BJ$15&lt;=$J189)*(1-BJ$12)</f>
        <v>0</v>
      </c>
      <c r="BK189" s="747">
        <f>$G189*$H189*(1+$K189)^MAX(ROUNDUP(IFERROR(DATEDIF($I189-1,BK$15+1,"m"),)/12,)-1,)*Index!BG$23*(BK$15&lt;=$J189)*(1-BK$12)</f>
        <v>0</v>
      </c>
      <c r="BL189" s="747">
        <f>$G189*$H189*(1+$K189)^MAX(ROUNDUP(IFERROR(DATEDIF($I189-1,BL$15+1,"m"),)/12,)-1,)*Index!BH$23*(BL$15&lt;=$J189)*(1-BL$12)</f>
        <v>0</v>
      </c>
      <c r="BM189" s="747">
        <f>$G189*$H189*(1+$K189)^MAX(ROUNDUP(IFERROR(DATEDIF($I189-1,BM$15+1,"m"),)/12,)-1,)*Index!BI$23*(BM$15&lt;=$J189)*(1-BM$12)</f>
        <v>0</v>
      </c>
      <c r="BN189" s="747">
        <f>$G189*$H189*(1+$K189)^MAX(ROUNDUP(IFERROR(DATEDIF($I189-1,BN$15+1,"m"),)/12,)-1,)*Index!BJ$23*(BN$15&lt;=$J189)*(1-BN$12)</f>
        <v>0</v>
      </c>
      <c r="BO189" s="747">
        <f>$G189*$H189*(1+$K189)^MAX(ROUNDUP(IFERROR(DATEDIF($I189-1,BO$15+1,"m"),)/12,)-1,)*Index!BK$23*(BO$15&lt;=$J189)*(1-BO$12)</f>
        <v>0</v>
      </c>
      <c r="BP189" s="747">
        <f>$G189*$H189*(1+$K189)^MAX(ROUNDUP(IFERROR(DATEDIF($I189-1,BP$15+1,"m"),)/12,)-1,)*Index!BL$23*(BP$15&lt;=$J189)*(1-BP$12)</f>
        <v>0</v>
      </c>
      <c r="BQ189" s="747">
        <f>$G189*$H189*(1+$K189)^MAX(ROUNDUP(IFERROR(DATEDIF($I189-1,BQ$15+1,"m"),)/12,)-1,)*Index!BM$23*(BQ$15&lt;=$J189)*(1-BQ$12)</f>
        <v>0</v>
      </c>
      <c r="BR189" s="747">
        <f>$G189*$H189*(1+$K189)^MAX(ROUNDUP(IFERROR(DATEDIF($I189-1,BR$15+1,"m"),)/12,)-1,)*Index!BN$23*(BR$15&lt;=$J189)*(1-BR$12)</f>
        <v>0</v>
      </c>
      <c r="BS189" s="747">
        <f>$G189*$H189*(1+$K189)^MAX(ROUNDUP(IFERROR(DATEDIF($I189-1,BS$15+1,"m"),)/12,)-1,)*Index!BO$23*(BS$15&lt;=$J189)*(1-BS$12)</f>
        <v>0</v>
      </c>
      <c r="BT189" s="747">
        <f>$G189*$H189*(1+$K189)^MAX(ROUNDUP(IFERROR(DATEDIF($I189-1,BT$15+1,"m"),)/12,)-1,)*Index!BP$23*(BT$15&lt;=$J189)*(1-BT$12)</f>
        <v>0</v>
      </c>
      <c r="BU189" s="747">
        <f>$G189*$H189*(1+$K189)^MAX(ROUNDUP(IFERROR(DATEDIF($I189-1,BU$15+1,"m"),)/12,)-1,)*Index!BQ$23*(BU$15&lt;=$J189)*(1-BU$12)</f>
        <v>0</v>
      </c>
      <c r="BV189" s="747">
        <f>$G189*$H189*(1+$K189)^MAX(ROUNDUP(IFERROR(DATEDIF($I189-1,BV$15+1,"m"),)/12,)-1,)*Index!BR$23*(BV$15&lt;=$J189)*(1-BV$12)</f>
        <v>0</v>
      </c>
      <c r="BW189" s="747">
        <f>$G189*$H189*(1+$K189)^MAX(ROUNDUP(IFERROR(DATEDIF($I189-1,BW$15+1,"m"),)/12,)-1,)*Index!BS$23*(BW$15&lt;=$J189)*(1-BW$12)</f>
        <v>0</v>
      </c>
      <c r="BX189" s="747">
        <f>$G189*$H189*(1+$K189)^MAX(ROUNDUP(IFERROR(DATEDIF($I189-1,BX$15+1,"m"),)/12,)-1,)*Index!BT$23*(BX$15&lt;=$J189)*(1-BX$12)</f>
        <v>0</v>
      </c>
      <c r="BY189" s="747">
        <f>$G189*$H189*(1+$K189)^MAX(ROUNDUP(IFERROR(DATEDIF($I189-1,BY$15+1,"m"),)/12,)-1,)*Index!BU$23*(BY$15&lt;=$J189)*(1-BY$12)</f>
        <v>0</v>
      </c>
      <c r="BZ189" s="747">
        <f>$G189*$H189*(1+$K189)^MAX(ROUNDUP(IFERROR(DATEDIF($I189-1,BZ$15+1,"m"),)/12,)-1,)*Index!BV$23*(BZ$15&lt;=$J189)*(1-BZ$12)</f>
        <v>0</v>
      </c>
      <c r="CA189" s="747">
        <f>$G189*$H189*(1+$K189)^MAX(ROUNDUP(IFERROR(DATEDIF($I189-1,CA$15+1,"m"),)/12,)-1,)*Index!BW$23*(CA$15&lt;=$J189)*(1-CA$12)</f>
        <v>0</v>
      </c>
      <c r="CB189" s="747">
        <f>$G189*$H189*(1+$K189)^MAX(ROUNDUP(IFERROR(DATEDIF($I189-1,CB$15+1,"m"),)/12,)-1,)*Index!BX$23*(CB$15&lt;=$J189)*(1-CB$12)</f>
        <v>0</v>
      </c>
      <c r="CC189" s="747">
        <f>$G189*$H189*(1+$K189)^MAX(ROUNDUP(IFERROR(DATEDIF($I189-1,CC$15+1,"m"),)/12,)-1,)*Index!BY$23*(CC$15&lt;=$J189)*(1-CC$12)</f>
        <v>0</v>
      </c>
      <c r="CD189" s="747">
        <f>$G189*$H189*(1+$K189)^MAX(ROUNDUP(IFERROR(DATEDIF($I189-1,CD$15+1,"m"),)/12,)-1,)*Index!BZ$23*(CD$15&lt;=$J189)*(1-CD$12)</f>
        <v>0</v>
      </c>
      <c r="CE189" s="747">
        <f>$G189*$H189*(1+$K189)^MAX(ROUNDUP(IFERROR(DATEDIF($I189-1,CE$15+1,"m"),)/12,)-1,)*Index!CA$23*(CE$15&lt;=$J189)*(1-CE$12)</f>
        <v>0</v>
      </c>
      <c r="CF189" s="747">
        <f>$G189*$H189*(1+$K189)^MAX(ROUNDUP(IFERROR(DATEDIF($I189-1,CF$15+1,"m"),)/12,)-1,)*Index!CB$23*(CF$15&lt;=$J189)*(1-CF$12)</f>
        <v>0</v>
      </c>
      <c r="CG189" s="747">
        <f>$G189*$H189*(1+$K189)^MAX(ROUNDUP(IFERROR(DATEDIF($I189-1,CG$15+1,"m"),)/12,)-1,)*Index!CC$23*(CG$15&lt;=$J189)*(1-CG$12)</f>
        <v>0</v>
      </c>
      <c r="CH189" s="747">
        <f>$G189*$H189*(1+$K189)^MAX(ROUNDUP(IFERROR(DATEDIF($I189-1,CH$15+1,"m"),)/12,)-1,)*Index!CD$23*(CH$15&lt;=$J189)*(1-CH$12)</f>
        <v>0</v>
      </c>
      <c r="CI189" s="747">
        <f>$G189*$H189*(1+$K189)^MAX(ROUNDUP(IFERROR(DATEDIF($I189-1,CI$15+1,"m"),)/12,)-1,)*Index!CE$23*(CI$15&lt;=$J189)*(1-CI$12)</f>
        <v>0</v>
      </c>
      <c r="CJ189" s="747">
        <f>$G189*$H189*(1+$K189)^MAX(ROUNDUP(IFERROR(DATEDIF($I189-1,CJ$15+1,"m"),)/12,)-1,)*Index!CF$23*(CJ$15&lt;=$J189)*(1-CJ$12)</f>
        <v>0</v>
      </c>
      <c r="CK189" s="747">
        <f>$G189*$H189*(1+$K189)^MAX(ROUNDUP(IFERROR(DATEDIF($I189-1,CK$15+1,"m"),)/12,)-1,)*Index!CG$23*(CK$15&lt;=$J189)*(1-CK$12)</f>
        <v>0</v>
      </c>
      <c r="CL189" s="747">
        <f>$G189*$H189*(1+$K189)^MAX(ROUNDUP(IFERROR(DATEDIF($I189-1,CL$15+1,"m"),)/12,)-1,)*Index!CH$23*(CL$15&lt;=$J189)*(1-CL$12)</f>
        <v>0</v>
      </c>
      <c r="CM189" s="747">
        <f>$G189*$H189*(1+$K189)^MAX(ROUNDUP(IFERROR(DATEDIF($I189-1,CM$15+1,"m"),)/12,)-1,)*Index!CI$23*(CM$15&lt;=$J189)*(1-CM$12)</f>
        <v>0</v>
      </c>
      <c r="CN189" s="747">
        <f>$G189*$H189*(1+$K189)^MAX(ROUNDUP(IFERROR(DATEDIF($I189-1,CN$15+1,"m"),)/12,)-1,)*Index!CJ$23*(CN$15&lt;=$J189)*(1-CN$12)</f>
        <v>0</v>
      </c>
      <c r="CO189" s="747">
        <f>$G189*$H189*(1+$K189)^MAX(ROUNDUP(IFERROR(DATEDIF($I189-1,CO$15+1,"m"),)/12,)-1,)*Index!CK$23*(CO$15&lt;=$J189)*(1-CO$12)</f>
        <v>0</v>
      </c>
      <c r="CP189" s="747">
        <f>$G189*$H189*(1+$K189)^MAX(ROUNDUP(IFERROR(DATEDIF($I189-1,CP$15+1,"m"),)/12,)-1,)*Index!CL$23*(CP$15&lt;=$J189)*(1-CP$12)</f>
        <v>0</v>
      </c>
      <c r="CQ189" s="747">
        <f>$G189*$H189*(1+$K189)^MAX(ROUNDUP(IFERROR(DATEDIF($I189-1,CQ$15+1,"m"),)/12,)-1,)*Index!CM$23*(CQ$15&lt;=$J189)*(1-CQ$12)</f>
        <v>0</v>
      </c>
      <c r="CR189" s="747">
        <f>$G189*$H189*(1+$K189)^MAX(ROUNDUP(IFERROR(DATEDIF($I189-1,CR$15+1,"m"),)/12,)-1,)*Index!CN$23*(CR$15&lt;=$J189)*(1-CR$12)</f>
        <v>0</v>
      </c>
      <c r="CS189" s="747">
        <f>$G189*$H189*(1+$K189)^MAX(ROUNDUP(IFERROR(DATEDIF($I189-1,CS$15+1,"m"),)/12,)-1,)*Index!CO$23*(CS$15&lt;=$J189)*(1-CS$12)</f>
        <v>0</v>
      </c>
      <c r="CT189" s="747">
        <f>$G189*$H189*(1+$K189)^MAX(ROUNDUP(IFERROR(DATEDIF($I189-1,CT$15+1,"m"),)/12,)-1,)*Index!CP$23*(CT$15&lt;=$J189)*(1-CT$12)</f>
        <v>0</v>
      </c>
      <c r="CU189" s="747">
        <f>$G189*$H189*(1+$K189)^MAX(ROUNDUP(IFERROR(DATEDIF($I189-1,CU$15+1,"m"),)/12,)-1,)*Index!CQ$23*(CU$15&lt;=$J189)*(1-CU$12)</f>
        <v>0</v>
      </c>
      <c r="CV189" s="747">
        <f>$G189*$H189*(1+$K189)^MAX(ROUNDUP(IFERROR(DATEDIF($I189-1,CV$15+1,"m"),)/12,)-1,)*Index!CR$23*(CV$15&lt;=$J189)*(1-CV$12)</f>
        <v>0</v>
      </c>
      <c r="CW189" s="747">
        <f>$G189*$H189*(1+$K189)^MAX(ROUNDUP(IFERROR(DATEDIF($I189-1,CW$15+1,"m"),)/12,)-1,)*Index!CS$23*(CW$15&lt;=$J189)*(1-CW$12)</f>
        <v>0</v>
      </c>
      <c r="CX189" s="747">
        <f>$G189*$H189*(1+$K189)^MAX(ROUNDUP(IFERROR(DATEDIF($I189-1,CX$15+1,"m"),)/12,)-1,)*Index!CT$23*(CX$15&lt;=$J189)*(1-CX$12)</f>
        <v>0</v>
      </c>
      <c r="CY189" s="747">
        <f>$G189*$H189*(1+$K189)^MAX(ROUNDUP(IFERROR(DATEDIF($I189-1,CY$15+1,"m"),)/12,)-1,)*Index!CU$23*(CY$15&lt;=$J189)*(1-CY$12)</f>
        <v>0</v>
      </c>
      <c r="CZ189" s="747">
        <f>$G189*$H189*(1+$K189)^MAX(ROUNDUP(IFERROR(DATEDIF($I189-1,CZ$15+1,"m"),)/12,)-1,)*Index!CV$23*(CZ$15&lt;=$J189)*(1-CZ$12)</f>
        <v>0</v>
      </c>
      <c r="DA189" s="747">
        <f>$G189*$H189*(1+$K189)^MAX(ROUNDUP(IFERROR(DATEDIF($I189-1,DA$15+1,"m"),)/12,)-1,)*Index!CW$23*(DA$15&lt;=$J189)*(1-DA$12)</f>
        <v>0</v>
      </c>
      <c r="DB189" s="747">
        <f>$G189*$H189*(1+$K189)^MAX(ROUNDUP(IFERROR(DATEDIF($I189-1,DB$15+1,"m"),)/12,)-1,)*Index!CX$23*(DB$15&lt;=$J189)*(1-DB$12)</f>
        <v>0</v>
      </c>
      <c r="DC189" s="747">
        <f>$G189*$H189*(1+$K189)^MAX(ROUNDUP(IFERROR(DATEDIF($I189-1,DC$15+1,"m"),)/12,)-1,)*Index!CY$23*(DC$15&lt;=$J189)*(1-DC$12)</f>
        <v>0</v>
      </c>
      <c r="DD189" s="747">
        <f>$G189*$H189*(1+$K189)^MAX(ROUNDUP(IFERROR(DATEDIF($I189-1,DD$15+1,"m"),)/12,)-1,)*Index!CZ$23*(DD$15&lt;=$J189)*(1-DD$12)</f>
        <v>0</v>
      </c>
      <c r="DE189" s="747">
        <f>$G189*$H189*(1+$K189)^MAX(ROUNDUP(IFERROR(DATEDIF($I189-1,DE$15+1,"m"),)/12,)-1,)*Index!DA$23*(DE$15&lt;=$J189)*(1-DE$12)</f>
        <v>0</v>
      </c>
      <c r="DF189" s="747">
        <f>$G189*$H189*(1+$K189)^MAX(ROUNDUP(IFERROR(DATEDIF($I189-1,DF$15+1,"m"),)/12,)-1,)*Index!DB$23*(DF$15&lt;=$J189)*(1-DF$12)</f>
        <v>0</v>
      </c>
      <c r="DG189" s="747">
        <f>$G189*$H189*(1+$K189)^MAX(ROUNDUP(IFERROR(DATEDIF($I189-1,DG$15+1,"m"),)/12,)-1,)*Index!DC$23*(DG$15&lt;=$J189)*(1-DG$12)</f>
        <v>0</v>
      </c>
      <c r="DH189" s="747">
        <f>$G189*$H189*(1+$K189)^MAX(ROUNDUP(IFERROR(DATEDIF($I189-1,DH$15+1,"m"),)/12,)-1,)*Index!DD$23*(DH$15&lt;=$J189)*(1-DH$12)</f>
        <v>0</v>
      </c>
      <c r="DI189" s="747">
        <f>$G189*$H189*(1+$K189)^MAX(ROUNDUP(IFERROR(DATEDIF($I189-1,DI$15+1,"m"),)/12,)-1,)*Index!DE$23*(DI$15&lt;=$J189)*(1-DI$12)</f>
        <v>0</v>
      </c>
      <c r="DJ189" s="747">
        <f>$G189*$H189*(1+$K189)^MAX(ROUNDUP(IFERROR(DATEDIF($I189-1,DJ$15+1,"m"),)/12,)-1,)*Index!DF$23*(DJ$15&lt;=$J189)*(1-DJ$12)</f>
        <v>0</v>
      </c>
      <c r="DK189" s="747">
        <f>$G189*$H189*(1+$K189)^MAX(ROUNDUP(IFERROR(DATEDIF($I189-1,DK$15+1,"m"),)/12,)-1,)*Index!DG$23*(DK$15&lt;=$J189)*(1-DK$12)</f>
        <v>0</v>
      </c>
      <c r="DL189" s="747">
        <f>$G189*$H189*(1+$K189)^MAX(ROUNDUP(IFERROR(DATEDIF($I189-1,DL$15+1,"m"),)/12,)-1,)*Index!DH$23*(DL$15&lt;=$J189)*(1-DL$12)</f>
        <v>0</v>
      </c>
      <c r="DM189" s="747">
        <f>$G189*$H189*(1+$K189)^MAX(ROUNDUP(IFERROR(DATEDIF($I189-1,DM$15+1,"m"),)/12,)-1,)*Index!DI$23*(DM$15&lt;=$J189)*(1-DM$12)</f>
        <v>0</v>
      </c>
      <c r="DN189" s="747">
        <f>$G189*$H189*(1+$K189)^MAX(ROUNDUP(IFERROR(DATEDIF($I189-1,DN$15+1,"m"),)/12,)-1,)*Index!DJ$23*(DN$15&lt;=$J189)*(1-DN$12)</f>
        <v>0</v>
      </c>
      <c r="DO189" s="747">
        <f>$G189*$H189*(1+$K189)^MAX(ROUNDUP(IFERROR(DATEDIF($I189-1,DO$15+1,"m"),)/12,)-1,)*Index!DK$23*(DO$15&lt;=$J189)*(1-DO$12)</f>
        <v>0</v>
      </c>
      <c r="DP189" s="747">
        <f>$G189*$H189*(1+$K189)^MAX(ROUNDUP(IFERROR(DATEDIF($I189-1,DP$15+1,"m"),)/12,)-1,)*Index!DL$23*(DP$15&lt;=$J189)*(1-DP$12)</f>
        <v>0</v>
      </c>
      <c r="DQ189" s="747">
        <f>$G189*$H189*(1+$K189)^MAX(ROUNDUP(IFERROR(DATEDIF($I189-1,DQ$15+1,"m"),)/12,)-1,)*Index!DM$23*(DQ$15&lt;=$J189)*(1-DQ$12)</f>
        <v>0</v>
      </c>
      <c r="DR189" s="747">
        <f>$G189*$H189*(1+$K189)^MAX(ROUNDUP(IFERROR(DATEDIF($I189-1,DR$15+1,"m"),)/12,)-1,)*Index!DN$23*(DR$15&lt;=$J189)*(1-DR$12)</f>
        <v>0</v>
      </c>
      <c r="DS189" s="747">
        <f>$G189*$H189*(1+$K189)^MAX(ROUNDUP(IFERROR(DATEDIF($I189-1,DS$15+1,"m"),)/12,)-1,)*Index!DO$23*(DS$15&lt;=$J189)*(1-DS$12)</f>
        <v>0</v>
      </c>
      <c r="DT189" s="747">
        <f>$G189*$H189*(1+$K189)^MAX(ROUNDUP(IFERROR(DATEDIF($I189-1,DT$15+1,"m"),)/12,)-1,)*Index!DP$23*(DT$15&lt;=$J189)*(1-DT$12)</f>
        <v>0</v>
      </c>
      <c r="DU189" s="747">
        <f>$G189*$H189*(1+$K189)^MAX(ROUNDUP(IFERROR(DATEDIF($I189-1,DU$15+1,"m"),)/12,)-1,)*Index!DQ$23*(DU$15&lt;=$J189)*(1-DU$12)</f>
        <v>0</v>
      </c>
      <c r="DV189" s="747">
        <f>$G189*$H189*(1+$K189)^MAX(ROUNDUP(IFERROR(DATEDIF($I189-1,DV$15+1,"m"),)/12,)-1,)*Index!DR$23*(DV$15&lt;=$J189)*(1-DV$12)</f>
        <v>0</v>
      </c>
      <c r="DW189" s="747">
        <f>$G189*$H189*(1+$K189)^MAX(ROUNDUP(IFERROR(DATEDIF($I189-1,DW$15+1,"m"),)/12,)-1,)*Index!DS$23*(DW$15&lt;=$J189)*(1-DW$12)</f>
        <v>0</v>
      </c>
      <c r="DX189" s="747">
        <f>$G189*$H189*(1+$K189)^MAX(ROUNDUP(IFERROR(DATEDIF($I189-1,DX$15+1,"m"),)/12,)-1,)*Index!DT$23*(DX$15&lt;=$J189)*(1-DX$12)</f>
        <v>0</v>
      </c>
      <c r="DY189" s="747">
        <f>$G189*$H189*(1+$K189)^MAX(ROUNDUP(IFERROR(DATEDIF($I189-1,DY$15+1,"m"),)/12,)-1,)*Index!DU$23*(DY$15&lt;=$J189)*(1-DY$12)</f>
        <v>0</v>
      </c>
      <c r="DZ189" s="747">
        <f>$G189*$H189*(1+$K189)^MAX(ROUNDUP(IFERROR(DATEDIF($I189-1,DZ$15+1,"m"),)/12,)-1,)*Index!DV$23*(DZ$15&lt;=$J189)*(1-DZ$12)</f>
        <v>0</v>
      </c>
      <c r="EA189" s="747">
        <f>$G189*$H189*(1+$K189)^MAX(ROUNDUP(IFERROR(DATEDIF($I189-1,EA$15+1,"m"),)/12,)-1,)*Index!DW$23*(EA$15&lt;=$J189)*(1-EA$12)</f>
        <v>0</v>
      </c>
      <c r="EB189" s="747">
        <f>$G189*$H189*(1+$K189)^MAX(ROUNDUP(IFERROR(DATEDIF($I189-1,EB$15+1,"m"),)/12,)-1,)*Index!DX$23*(EB$15&lt;=$J189)*(1-EB$12)</f>
        <v>0</v>
      </c>
      <c r="EC189" s="747">
        <f>$G189*$H189*(1+$K189)^MAX(ROUNDUP(IFERROR(DATEDIF($I189-1,EC$15+1,"m"),)/12,)-1,)*Index!DY$23*(EC$15&lt;=$J189)*(1-EC$12)</f>
        <v>0</v>
      </c>
      <c r="ED189" s="747">
        <f>$G189*$H189*(1+$K189)^MAX(ROUNDUP(IFERROR(DATEDIF($I189-1,ED$15+1,"m"),)/12,)-1,)*Index!DZ$23*(ED$15&lt;=$J189)*(1-ED$12)</f>
        <v>0</v>
      </c>
      <c r="EE189" s="747">
        <f>$G189*$H189*(1+$K189)^MAX(ROUNDUP(IFERROR(DATEDIF($I189-1,EE$15+1,"m"),)/12,)-1,)*Index!EA$23*(EE$15&lt;=$J189)*(1-EE$12)</f>
        <v>0</v>
      </c>
      <c r="EF189" s="747">
        <f>$G189*$H189*(1+$K189)^MAX(ROUNDUP(IFERROR(DATEDIF($I189-1,EF$15+1,"m"),)/12,)-1,)*Index!EB$23*(EF$15&lt;=$J189)*(1-EF$12)</f>
        <v>0</v>
      </c>
      <c r="EG189" s="747">
        <f>$G189*$H189*(1+$K189)^MAX(ROUNDUP(IFERROR(DATEDIF($I189-1,EG$15+1,"m"),)/12,)-1,)*Index!EC$23*(EG$15&lt;=$J189)*(1-EG$12)</f>
        <v>0</v>
      </c>
      <c r="EH189" s="747">
        <f>$G189*$H189*(1+$K189)^MAX(ROUNDUP(IFERROR(DATEDIF($I189-1,EH$15+1,"m"),)/12,)-1,)*Index!ED$23*(EH$15&lt;=$J189)*(1-EH$12)</f>
        <v>0</v>
      </c>
      <c r="EI189" s="747">
        <f>$G189*$H189*(1+$K189)^MAX(ROUNDUP(IFERROR(DATEDIF($I189-1,EI$15+1,"m"),)/12,)-1,)*Index!EE$23*(EI$15&lt;=$J189)*(1-EI$12)</f>
        <v>0</v>
      </c>
      <c r="EJ189" s="747">
        <f>$G189*$H189*(1+$K189)^MAX(ROUNDUP(IFERROR(DATEDIF($I189-1,EJ$15+1,"m"),)/12,)-1,)*Index!EF$23*(EJ$15&lt;=$J189)*(1-EJ$12)</f>
        <v>0</v>
      </c>
      <c r="EK189" s="747">
        <f>$G189*$H189*(1+$K189)^MAX(ROUNDUP(IFERROR(DATEDIF($I189-1,EK$15+1,"m"),)/12,)-1,)*Index!EG$23*(EK$15&lt;=$J189)*(1-EK$12)</f>
        <v>0</v>
      </c>
      <c r="EL189" s="747">
        <f>$G189*$H189*(1+$K189)^MAX(ROUNDUP(IFERROR(DATEDIF($I189-1,EL$15+1,"m"),)/12,)-1,)*Index!EH$23*(EL$15&lt;=$J189)*(1-EL$12)</f>
        <v>0</v>
      </c>
      <c r="EM189" s="747">
        <f>$G189*$H189*(1+$K189)^MAX(ROUNDUP(IFERROR(DATEDIF($I189-1,EM$15+1,"m"),)/12,)-1,)*Index!EI$23*(EM$15&lt;=$J189)*(1-EM$12)</f>
        <v>0</v>
      </c>
      <c r="EN189" s="747">
        <f>$G189*$H189*(1+$K189)^MAX(ROUNDUP(IFERROR(DATEDIF($I189-1,EN$15+1,"m"),)/12,)-1,)*Index!EJ$23*(EN$15&lt;=$J189)*(1-EN$12)</f>
        <v>0</v>
      </c>
      <c r="EO189" s="747">
        <f>$G189*$H189*(1+$K189)^MAX(ROUNDUP(IFERROR(DATEDIF($I189-1,EO$15+1,"m"),)/12,)-1,)*Index!EK$23*(EO$15&lt;=$J189)*(1-EO$12)</f>
        <v>0</v>
      </c>
      <c r="EP189" s="747">
        <f>$G189*$H189*(1+$K189)^MAX(ROUNDUP(IFERROR(DATEDIF($I189-1,EP$15+1,"m"),)/12,)-1,)*Index!EL$23*(EP$15&lt;=$J189)*(1-EP$12)</f>
        <v>0</v>
      </c>
      <c r="EQ189" s="747">
        <f>$G189*$H189*(1+$K189)^MAX(ROUNDUP(IFERROR(DATEDIF($I189-1,EQ$15+1,"m"),)/12,)-1,)*Index!EM$23*(EQ$15&lt;=$J189)*(1-EQ$12)</f>
        <v>0</v>
      </c>
      <c r="ER189" s="747">
        <f>$G189*$H189*(1+$K189)^MAX(ROUNDUP(IFERROR(DATEDIF($I189-1,ER$15+1,"m"),)/12,)-1,)*Index!EN$23*(ER$15&lt;=$J189)*(1-ER$12)</f>
        <v>0</v>
      </c>
      <c r="ES189" s="747">
        <f>$G189*$H189*(1+$K189)^MAX(ROUNDUP(IFERROR(DATEDIF($I189-1,ES$15+1,"m"),)/12,)-1,)*Index!EO$23*(ES$15&lt;=$J189)*(1-ES$12)</f>
        <v>0</v>
      </c>
      <c r="ET189" s="747">
        <f>$G189*$H189*(1+$K189)^MAX(ROUNDUP(IFERROR(DATEDIF($I189-1,ET$15+1,"m"),)/12,)-1,)*Index!EP$23*(ET$15&lt;=$J189)*(1-ET$12)</f>
        <v>0</v>
      </c>
      <c r="EU189" s="747">
        <f>$G189*$H189*(1+$K189)^MAX(ROUNDUP(IFERROR(DATEDIF($I189-1,EU$15+1,"m"),)/12,)-1,)*Index!EQ$23*(EU$15&lt;=$J189)*(1-EU$12)</f>
        <v>0</v>
      </c>
    </row>
    <row r="190" spans="3:151" ht="11.25" customHeight="1">
      <c r="C190" s="828"/>
      <c r="D190" s="743">
        <f t="shared" ref="D190:K190" si="262">D154</f>
        <v>1</v>
      </c>
      <c r="E190" s="704" t="str">
        <f t="shared" si="262"/>
        <v>지오영</v>
      </c>
      <c r="F190" s="704" t="str">
        <f t="shared" si="262"/>
        <v>상온창고</v>
      </c>
      <c r="G190" s="781">
        <f t="shared" si="262"/>
        <v>3</v>
      </c>
      <c r="H190" s="744">
        <f t="shared" si="262"/>
        <v>1092.94</v>
      </c>
      <c r="I190" s="745">
        <f t="shared" si="262"/>
        <v>45689</v>
      </c>
      <c r="J190" s="745">
        <f t="shared" si="262"/>
        <v>49340</v>
      </c>
      <c r="K190" s="754">
        <f t="shared" si="262"/>
        <v>2.5000000000000001E-2</v>
      </c>
      <c r="L190" s="711"/>
      <c r="M190" s="722"/>
      <c r="N190" s="747">
        <f t="shared" si="252"/>
        <v>0</v>
      </c>
      <c r="O190" s="733"/>
      <c r="P190" s="747">
        <f>$G190*$H190*(1+$K190)^MAX(ROUNDUP(IFERROR(DATEDIF($I190-1,P$15+1,"m"),)/12,)-1,)*Index!L$23*(P$15&lt;=$J190)*(1-P$12)</f>
        <v>0</v>
      </c>
      <c r="Q190" s="747">
        <f>$G190*$H190*(1+$K190)^MAX(ROUNDUP(IFERROR(DATEDIF($I190-1,Q$15+1,"m"),)/12,)-1,)*Index!M$23*(Q$15&lt;=$J190)*(1-Q$12)</f>
        <v>0</v>
      </c>
      <c r="R190" s="747">
        <f>$G190*$H190*(1+$K190)^MAX(ROUNDUP(IFERROR(DATEDIF($I190-1,R$15+1,"m"),)/12,)-1,)*Index!N$23*(R$15&lt;=$J190)*(1-R$12)</f>
        <v>0</v>
      </c>
      <c r="S190" s="747">
        <f>$G190*$H190*(1+$K190)^MAX(ROUNDUP(IFERROR(DATEDIF($I190-1,S$15+1,"m"),)/12,)-1,)*Index!O$23*(S$15&lt;=$J190)*(1-S$12)</f>
        <v>0</v>
      </c>
      <c r="T190" s="747">
        <f>$G190*$H190*(1+$K190)^MAX(ROUNDUP(IFERROR(DATEDIF($I190-1,T$15+1,"m"),)/12,)-1,)*Index!P$23*(T$15&lt;=$J190)*(1-T$12)</f>
        <v>0</v>
      </c>
      <c r="U190" s="747">
        <f>$G190*$H190*(1+$K190)^MAX(ROUNDUP(IFERROR(DATEDIF($I190-1,U$15+1,"m"),)/12,)-1,)*Index!Q$23*(U$15&lt;=$J190)*(1-U$12)</f>
        <v>0</v>
      </c>
      <c r="V190" s="747">
        <f>$G190*$H190*(1+$K190)^MAX(ROUNDUP(IFERROR(DATEDIF($I190-1,V$15+1,"m"),)/12,)-1,)*Index!R$23*(V$15&lt;=$J190)*(1-V$12)</f>
        <v>0</v>
      </c>
      <c r="W190" s="747">
        <f>$G190*$H190*(1+$K190)^MAX(ROUNDUP(IFERROR(DATEDIF($I190-1,W$15+1,"m"),)/12,)-1,)*Index!S$23*(W$15&lt;=$J190)*(1-W$12)</f>
        <v>0</v>
      </c>
      <c r="X190" s="747">
        <f>$G190*$H190*(1+$K190)^MAX(ROUNDUP(IFERROR(DATEDIF($I190-1,X$15+1,"m"),)/12,)-1,)*Index!T$23*(X$15&lt;=$J190)*(1-X$12)</f>
        <v>0</v>
      </c>
      <c r="Y190" s="747">
        <f>$G190*$H190*(1+$K190)^MAX(ROUNDUP(IFERROR(DATEDIF($I190-1,Y$15+1,"m"),)/12,)-1,)*Index!U$23*(Y$15&lt;=$J190)*(1-Y$12)</f>
        <v>0</v>
      </c>
      <c r="Z190" s="747">
        <f>$G190*$H190*(1+$K190)^MAX(ROUNDUP(IFERROR(DATEDIF($I190-1,Z$15+1,"m"),)/12,)-1,)*Index!V$23*(Z$15&lt;=$J190)*(1-Z$12)</f>
        <v>0</v>
      </c>
      <c r="AA190" s="747">
        <f>$G190*$H190*(1+$K190)^MAX(ROUNDUP(IFERROR(DATEDIF($I190-1,AA$15+1,"m"),)/12,)-1,)*Index!W$23*(AA$15&lt;=$J190)*(1-AA$12)</f>
        <v>0</v>
      </c>
      <c r="AB190" s="747">
        <f>$G190*$H190*(1+$K190)^MAX(ROUNDUP(IFERROR(DATEDIF($I190-1,AB$15+1,"m"),)/12,)-1,)*Index!X$23*(AB$15&lt;=$J190)*(1-AB$12)</f>
        <v>0</v>
      </c>
      <c r="AC190" s="747">
        <f>$G190*$H190*(1+$K190)^MAX(ROUNDUP(IFERROR(DATEDIF($I190-1,AC$15+1,"m"),)/12,)-1,)*Index!Y$23*(AC$15&lt;=$J190)*(1-AC$12)</f>
        <v>0</v>
      </c>
      <c r="AD190" s="747">
        <f>$G190*$H190*(1+$K190)^MAX(ROUNDUP(IFERROR(DATEDIF($I190-1,AD$15+1,"m"),)/12,)-1,)*Index!Z$23*(AD$15&lt;=$J190)*(1-AD$12)</f>
        <v>0</v>
      </c>
      <c r="AE190" s="747">
        <f>$G190*$H190*(1+$K190)^MAX(ROUNDUP(IFERROR(DATEDIF($I190-1,AE$15+1,"m"),)/12,)-1,)*Index!AA$23*(AE$15&lt;=$J190)*(1-AE$12)</f>
        <v>0</v>
      </c>
      <c r="AF190" s="747">
        <f>$G190*$H190*(1+$K190)^MAX(ROUNDUP(IFERROR(DATEDIF($I190-1,AF$15+1,"m"),)/12,)-1,)*Index!AB$23*(AF$15&lt;=$J190)*(1-AF$12)</f>
        <v>0</v>
      </c>
      <c r="AG190" s="747">
        <f>$G190*$H190*(1+$K190)^MAX(ROUNDUP(IFERROR(DATEDIF($I190-1,AG$15+1,"m"),)/12,)-1,)*Index!AC$23*(AG$15&lt;=$J190)*(1-AG$12)</f>
        <v>0</v>
      </c>
      <c r="AH190" s="747">
        <f>$G190*$H190*(1+$K190)^MAX(ROUNDUP(IFERROR(DATEDIF($I190-1,AH$15+1,"m"),)/12,)-1,)*Index!AD$23*(AH$15&lt;=$J190)*(1-AH$12)</f>
        <v>0</v>
      </c>
      <c r="AI190" s="747">
        <f>$G190*$H190*(1+$K190)^MAX(ROUNDUP(IFERROR(DATEDIF($I190-1,AI$15+1,"m"),)/12,)-1,)*Index!AE$23*(AI$15&lt;=$J190)*(1-AI$12)</f>
        <v>0</v>
      </c>
      <c r="AJ190" s="747">
        <f>$G190*$H190*(1+$K190)^MAX(ROUNDUP(IFERROR(DATEDIF($I190-1,AJ$15+1,"m"),)/12,)-1,)*Index!AF$23*(AJ$15&lt;=$J190)*(1-AJ$12)</f>
        <v>0</v>
      </c>
      <c r="AK190" s="747">
        <f>$G190*$H190*(1+$K190)^MAX(ROUNDUP(IFERROR(DATEDIF($I190-1,AK$15+1,"m"),)/12,)-1,)*Index!AG$23*(AK$15&lt;=$J190)*(1-AK$12)</f>
        <v>0</v>
      </c>
      <c r="AL190" s="747">
        <f>$G190*$H190*(1+$K190)^MAX(ROUNDUP(IFERROR(DATEDIF($I190-1,AL$15+1,"m"),)/12,)-1,)*Index!AH$23*(AL$15&lt;=$J190)*(1-AL$12)</f>
        <v>0</v>
      </c>
      <c r="AM190" s="747">
        <f>$G190*$H190*(1+$K190)^MAX(ROUNDUP(IFERROR(DATEDIF($I190-1,AM$15+1,"m"),)/12,)-1,)*Index!AI$23*(AM$15&lt;=$J190)*(1-AM$12)</f>
        <v>0</v>
      </c>
      <c r="AN190" s="747">
        <f>$G190*$H190*(1+$K190)^MAX(ROUNDUP(IFERROR(DATEDIF($I190-1,AN$15+1,"m"),)/12,)-1,)*Index!AJ$23*(AN$15&lt;=$J190)*(1-AN$12)</f>
        <v>0</v>
      </c>
      <c r="AO190" s="747">
        <f>$G190*$H190*(1+$K190)^MAX(ROUNDUP(IFERROR(DATEDIF($I190-1,AO$15+1,"m"),)/12,)-1,)*Index!AK$23*(AO$15&lt;=$J190)*(1-AO$12)</f>
        <v>0</v>
      </c>
      <c r="AP190" s="747">
        <f>$G190*$H190*(1+$K190)^MAX(ROUNDUP(IFERROR(DATEDIF($I190-1,AP$15+1,"m"),)/12,)-1,)*Index!AL$23*(AP$15&lt;=$J190)*(1-AP$12)</f>
        <v>0</v>
      </c>
      <c r="AQ190" s="747">
        <f>$G190*$H190*(1+$K190)^MAX(ROUNDUP(IFERROR(DATEDIF($I190-1,AQ$15+1,"m"),)/12,)-1,)*Index!AM$23*(AQ$15&lt;=$J190)*(1-AQ$12)</f>
        <v>0</v>
      </c>
      <c r="AR190" s="747">
        <f>$G190*$H190*(1+$K190)^MAX(ROUNDUP(IFERROR(DATEDIF($I190-1,AR$15+1,"m"),)/12,)-1,)*Index!AN$23*(AR$15&lt;=$J190)*(1-AR$12)</f>
        <v>0</v>
      </c>
      <c r="AS190" s="747">
        <f>$G190*$H190*(1+$K190)^MAX(ROUNDUP(IFERROR(DATEDIF($I190-1,AS$15+1,"m"),)/12,)-1,)*Index!AO$23*(AS$15&lt;=$J190)*(1-AS$12)</f>
        <v>0</v>
      </c>
      <c r="AT190" s="747">
        <f>$G190*$H190*(1+$K190)^MAX(ROUNDUP(IFERROR(DATEDIF($I190-1,AT$15+1,"m"),)/12,)-1,)*Index!AP$23*(AT$15&lt;=$J190)*(1-AT$12)</f>
        <v>0</v>
      </c>
      <c r="AU190" s="747">
        <f>$G190*$H190*(1+$K190)^MAX(ROUNDUP(IFERROR(DATEDIF($I190-1,AU$15+1,"m"),)/12,)-1,)*Index!AQ$23*(AU$15&lt;=$J190)*(1-AU$12)</f>
        <v>0</v>
      </c>
      <c r="AV190" s="747">
        <f>$G190*$H190*(1+$K190)^MAX(ROUNDUP(IFERROR(DATEDIF($I190-1,AV$15+1,"m"),)/12,)-1,)*Index!AR$23*(AV$15&lt;=$J190)*(1-AV$12)</f>
        <v>0</v>
      </c>
      <c r="AW190" s="747">
        <f>$G190*$H190*(1+$K190)^MAX(ROUNDUP(IFERROR(DATEDIF($I190-1,AW$15+1,"m"),)/12,)-1,)*Index!AS$23*(AW$15&lt;=$J190)*(1-AW$12)</f>
        <v>0</v>
      </c>
      <c r="AX190" s="747">
        <f>$G190*$H190*(1+$K190)^MAX(ROUNDUP(IFERROR(DATEDIF($I190-1,AX$15+1,"m"),)/12,)-1,)*Index!AT$23*(AX$15&lt;=$J190)*(1-AX$12)</f>
        <v>0</v>
      </c>
      <c r="AY190" s="747">
        <f>$G190*$H190*(1+$K190)^MAX(ROUNDUP(IFERROR(DATEDIF($I190-1,AY$15+1,"m"),)/12,)-1,)*Index!AU$23*(AY$15&lt;=$J190)*(1-AY$12)</f>
        <v>0</v>
      </c>
      <c r="AZ190" s="747">
        <f>$G190*$H190*(1+$K190)^MAX(ROUNDUP(IFERROR(DATEDIF($I190-1,AZ$15+1,"m"),)/12,)-1,)*Index!AV$23*(AZ$15&lt;=$J190)*(1-AZ$12)</f>
        <v>0</v>
      </c>
      <c r="BA190" s="747">
        <f>$G190*$H190*(1+$K190)^MAX(ROUNDUP(IFERROR(DATEDIF($I190-1,BA$15+1,"m"),)/12,)-1,)*Index!AW$23*(BA$15&lt;=$J190)*(1-BA$12)</f>
        <v>0</v>
      </c>
      <c r="BB190" s="747">
        <f>$G190*$H190*(1+$K190)^MAX(ROUNDUP(IFERROR(DATEDIF($I190-1,BB$15+1,"m"),)/12,)-1,)*Index!AX$23*(BB$15&lt;=$J190)*(1-BB$12)</f>
        <v>0</v>
      </c>
      <c r="BC190" s="747">
        <f>$G190*$H190*(1+$K190)^MAX(ROUNDUP(IFERROR(DATEDIF($I190-1,BC$15+1,"m"),)/12,)-1,)*Index!AY$23*(BC$15&lt;=$J190)*(1-BC$12)</f>
        <v>0</v>
      </c>
      <c r="BD190" s="747">
        <f>$G190*$H190*(1+$K190)^MAX(ROUNDUP(IFERROR(DATEDIF($I190-1,BD$15+1,"m"),)/12,)-1,)*Index!AZ$23*(BD$15&lt;=$J190)*(1-BD$12)</f>
        <v>0</v>
      </c>
      <c r="BE190" s="747">
        <f>$G190*$H190*(1+$K190)^MAX(ROUNDUP(IFERROR(DATEDIF($I190-1,BE$15+1,"m"),)/12,)-1,)*Index!BA$23*(BE$15&lt;=$J190)*(1-BE$12)</f>
        <v>0</v>
      </c>
      <c r="BF190" s="747">
        <f>$G190*$H190*(1+$K190)^MAX(ROUNDUP(IFERROR(DATEDIF($I190-1,BF$15+1,"m"),)/12,)-1,)*Index!BB$23*(BF$15&lt;=$J190)*(1-BF$12)</f>
        <v>0</v>
      </c>
      <c r="BG190" s="747">
        <f>$G190*$H190*(1+$K190)^MAX(ROUNDUP(IFERROR(DATEDIF($I190-1,BG$15+1,"m"),)/12,)-1,)*Index!BC$23*(BG$15&lt;=$J190)*(1-BG$12)</f>
        <v>0</v>
      </c>
      <c r="BH190" s="747">
        <f>$G190*$H190*(1+$K190)^MAX(ROUNDUP(IFERROR(DATEDIF($I190-1,BH$15+1,"m"),)/12,)-1,)*Index!BD$23*(BH$15&lt;=$J190)*(1-BH$12)</f>
        <v>0</v>
      </c>
      <c r="BI190" s="747">
        <f>$G190*$H190*(1+$K190)^MAX(ROUNDUP(IFERROR(DATEDIF($I190-1,BI$15+1,"m"),)/12,)-1,)*Index!BE$23*(BI$15&lt;=$J190)*(1-BI$12)</f>
        <v>0</v>
      </c>
      <c r="BJ190" s="747">
        <f>$G190*$H190*(1+$K190)^MAX(ROUNDUP(IFERROR(DATEDIF($I190-1,BJ$15+1,"m"),)/12,)-1,)*Index!BF$23*(BJ$15&lt;=$J190)*(1-BJ$12)</f>
        <v>0</v>
      </c>
      <c r="BK190" s="747">
        <f>$G190*$H190*(1+$K190)^MAX(ROUNDUP(IFERROR(DATEDIF($I190-1,BK$15+1,"m"),)/12,)-1,)*Index!BG$23*(BK$15&lt;=$J190)*(1-BK$12)</f>
        <v>0</v>
      </c>
      <c r="BL190" s="747">
        <f>$G190*$H190*(1+$K190)^MAX(ROUNDUP(IFERROR(DATEDIF($I190-1,BL$15+1,"m"),)/12,)-1,)*Index!BH$23*(BL$15&lt;=$J190)*(1-BL$12)</f>
        <v>0</v>
      </c>
      <c r="BM190" s="747">
        <f>$G190*$H190*(1+$K190)^MAX(ROUNDUP(IFERROR(DATEDIF($I190-1,BM$15+1,"m"),)/12,)-1,)*Index!BI$23*(BM$15&lt;=$J190)*(1-BM$12)</f>
        <v>0</v>
      </c>
      <c r="BN190" s="747">
        <f>$G190*$H190*(1+$K190)^MAX(ROUNDUP(IFERROR(DATEDIF($I190-1,BN$15+1,"m"),)/12,)-1,)*Index!BJ$23*(BN$15&lt;=$J190)*(1-BN$12)</f>
        <v>0</v>
      </c>
      <c r="BO190" s="747">
        <f>$G190*$H190*(1+$K190)^MAX(ROUNDUP(IFERROR(DATEDIF($I190-1,BO$15+1,"m"),)/12,)-1,)*Index!BK$23*(BO$15&lt;=$J190)*(1-BO$12)</f>
        <v>0</v>
      </c>
      <c r="BP190" s="747">
        <f>$G190*$H190*(1+$K190)^MAX(ROUNDUP(IFERROR(DATEDIF($I190-1,BP$15+1,"m"),)/12,)-1,)*Index!BL$23*(BP$15&lt;=$J190)*(1-BP$12)</f>
        <v>0</v>
      </c>
      <c r="BQ190" s="747">
        <f>$G190*$H190*(1+$K190)^MAX(ROUNDUP(IFERROR(DATEDIF($I190-1,BQ$15+1,"m"),)/12,)-1,)*Index!BM$23*(BQ$15&lt;=$J190)*(1-BQ$12)</f>
        <v>0</v>
      </c>
      <c r="BR190" s="747">
        <f>$G190*$H190*(1+$K190)^MAX(ROUNDUP(IFERROR(DATEDIF($I190-1,BR$15+1,"m"),)/12,)-1,)*Index!BN$23*(BR$15&lt;=$J190)*(1-BR$12)</f>
        <v>0</v>
      </c>
      <c r="BS190" s="747">
        <f>$G190*$H190*(1+$K190)^MAX(ROUNDUP(IFERROR(DATEDIF($I190-1,BS$15+1,"m"),)/12,)-1,)*Index!BO$23*(BS$15&lt;=$J190)*(1-BS$12)</f>
        <v>0</v>
      </c>
      <c r="BT190" s="747">
        <f>$G190*$H190*(1+$K190)^MAX(ROUNDUP(IFERROR(DATEDIF($I190-1,BT$15+1,"m"),)/12,)-1,)*Index!BP$23*(BT$15&lt;=$J190)*(1-BT$12)</f>
        <v>0</v>
      </c>
      <c r="BU190" s="747">
        <f>$G190*$H190*(1+$K190)^MAX(ROUNDUP(IFERROR(DATEDIF($I190-1,BU$15+1,"m"),)/12,)-1,)*Index!BQ$23*(BU$15&lt;=$J190)*(1-BU$12)</f>
        <v>0</v>
      </c>
      <c r="BV190" s="747">
        <f>$G190*$H190*(1+$K190)^MAX(ROUNDUP(IFERROR(DATEDIF($I190-1,BV$15+1,"m"),)/12,)-1,)*Index!BR$23*(BV$15&lt;=$J190)*(1-BV$12)</f>
        <v>0</v>
      </c>
      <c r="BW190" s="747">
        <f>$G190*$H190*(1+$K190)^MAX(ROUNDUP(IFERROR(DATEDIF($I190-1,BW$15+1,"m"),)/12,)-1,)*Index!BS$23*(BW$15&lt;=$J190)*(1-BW$12)</f>
        <v>0</v>
      </c>
      <c r="BX190" s="747">
        <f>$G190*$H190*(1+$K190)^MAX(ROUNDUP(IFERROR(DATEDIF($I190-1,BX$15+1,"m"),)/12,)-1,)*Index!BT$23*(BX$15&lt;=$J190)*(1-BX$12)</f>
        <v>0</v>
      </c>
      <c r="BY190" s="747">
        <f>$G190*$H190*(1+$K190)^MAX(ROUNDUP(IFERROR(DATEDIF($I190-1,BY$15+1,"m"),)/12,)-1,)*Index!BU$23*(BY$15&lt;=$J190)*(1-BY$12)</f>
        <v>0</v>
      </c>
      <c r="BZ190" s="747">
        <f>$G190*$H190*(1+$K190)^MAX(ROUNDUP(IFERROR(DATEDIF($I190-1,BZ$15+1,"m"),)/12,)-1,)*Index!BV$23*(BZ$15&lt;=$J190)*(1-BZ$12)</f>
        <v>0</v>
      </c>
      <c r="CA190" s="747">
        <f>$G190*$H190*(1+$K190)^MAX(ROUNDUP(IFERROR(DATEDIF($I190-1,CA$15+1,"m"),)/12,)-1,)*Index!BW$23*(CA$15&lt;=$J190)*(1-CA$12)</f>
        <v>0</v>
      </c>
      <c r="CB190" s="747">
        <f>$G190*$H190*(1+$K190)^MAX(ROUNDUP(IFERROR(DATEDIF($I190-1,CB$15+1,"m"),)/12,)-1,)*Index!BX$23*(CB$15&lt;=$J190)*(1-CB$12)</f>
        <v>0</v>
      </c>
      <c r="CC190" s="747">
        <f>$G190*$H190*(1+$K190)^MAX(ROUNDUP(IFERROR(DATEDIF($I190-1,CC$15+1,"m"),)/12,)-1,)*Index!BY$23*(CC$15&lt;=$J190)*(1-CC$12)</f>
        <v>0</v>
      </c>
      <c r="CD190" s="747">
        <f>$G190*$H190*(1+$K190)^MAX(ROUNDUP(IFERROR(DATEDIF($I190-1,CD$15+1,"m"),)/12,)-1,)*Index!BZ$23*(CD$15&lt;=$J190)*(1-CD$12)</f>
        <v>0</v>
      </c>
      <c r="CE190" s="747">
        <f>$G190*$H190*(1+$K190)^MAX(ROUNDUP(IFERROR(DATEDIF($I190-1,CE$15+1,"m"),)/12,)-1,)*Index!CA$23*(CE$15&lt;=$J190)*(1-CE$12)</f>
        <v>0</v>
      </c>
      <c r="CF190" s="747">
        <f>$G190*$H190*(1+$K190)^MAX(ROUNDUP(IFERROR(DATEDIF($I190-1,CF$15+1,"m"),)/12,)-1,)*Index!CB$23*(CF$15&lt;=$J190)*(1-CF$12)</f>
        <v>0</v>
      </c>
      <c r="CG190" s="747">
        <f>$G190*$H190*(1+$K190)^MAX(ROUNDUP(IFERROR(DATEDIF($I190-1,CG$15+1,"m"),)/12,)-1,)*Index!CC$23*(CG$15&lt;=$J190)*(1-CG$12)</f>
        <v>0</v>
      </c>
      <c r="CH190" s="747">
        <f>$G190*$H190*(1+$K190)^MAX(ROUNDUP(IFERROR(DATEDIF($I190-1,CH$15+1,"m"),)/12,)-1,)*Index!CD$23*(CH$15&lt;=$J190)*(1-CH$12)</f>
        <v>0</v>
      </c>
      <c r="CI190" s="747">
        <f>$G190*$H190*(1+$K190)^MAX(ROUNDUP(IFERROR(DATEDIF($I190-1,CI$15+1,"m"),)/12,)-1,)*Index!CE$23*(CI$15&lt;=$J190)*(1-CI$12)</f>
        <v>0</v>
      </c>
      <c r="CJ190" s="747">
        <f>$G190*$H190*(1+$K190)^MAX(ROUNDUP(IFERROR(DATEDIF($I190-1,CJ$15+1,"m"),)/12,)-1,)*Index!CF$23*(CJ$15&lt;=$J190)*(1-CJ$12)</f>
        <v>0</v>
      </c>
      <c r="CK190" s="747">
        <f>$G190*$H190*(1+$K190)^MAX(ROUNDUP(IFERROR(DATEDIF($I190-1,CK$15+1,"m"),)/12,)-1,)*Index!CG$23*(CK$15&lt;=$J190)*(1-CK$12)</f>
        <v>0</v>
      </c>
      <c r="CL190" s="747">
        <f>$G190*$H190*(1+$K190)^MAX(ROUNDUP(IFERROR(DATEDIF($I190-1,CL$15+1,"m"),)/12,)-1,)*Index!CH$23*(CL$15&lt;=$J190)*(1-CL$12)</f>
        <v>0</v>
      </c>
      <c r="CM190" s="747">
        <f>$G190*$H190*(1+$K190)^MAX(ROUNDUP(IFERROR(DATEDIF($I190-1,CM$15+1,"m"),)/12,)-1,)*Index!CI$23*(CM$15&lt;=$J190)*(1-CM$12)</f>
        <v>0</v>
      </c>
      <c r="CN190" s="747">
        <f>$G190*$H190*(1+$K190)^MAX(ROUNDUP(IFERROR(DATEDIF($I190-1,CN$15+1,"m"),)/12,)-1,)*Index!CJ$23*(CN$15&lt;=$J190)*(1-CN$12)</f>
        <v>0</v>
      </c>
      <c r="CO190" s="747">
        <f>$G190*$H190*(1+$K190)^MAX(ROUNDUP(IFERROR(DATEDIF($I190-1,CO$15+1,"m"),)/12,)-1,)*Index!CK$23*(CO$15&lt;=$J190)*(1-CO$12)</f>
        <v>0</v>
      </c>
      <c r="CP190" s="747">
        <f>$G190*$H190*(1+$K190)^MAX(ROUNDUP(IFERROR(DATEDIF($I190-1,CP$15+1,"m"),)/12,)-1,)*Index!CL$23*(CP$15&lt;=$J190)*(1-CP$12)</f>
        <v>0</v>
      </c>
      <c r="CQ190" s="747">
        <f>$G190*$H190*(1+$K190)^MAX(ROUNDUP(IFERROR(DATEDIF($I190-1,CQ$15+1,"m"),)/12,)-1,)*Index!CM$23*(CQ$15&lt;=$J190)*(1-CQ$12)</f>
        <v>0</v>
      </c>
      <c r="CR190" s="747">
        <f>$G190*$H190*(1+$K190)^MAX(ROUNDUP(IFERROR(DATEDIF($I190-1,CR$15+1,"m"),)/12,)-1,)*Index!CN$23*(CR$15&lt;=$J190)*(1-CR$12)</f>
        <v>0</v>
      </c>
      <c r="CS190" s="747">
        <f>$G190*$H190*(1+$K190)^MAX(ROUNDUP(IFERROR(DATEDIF($I190-1,CS$15+1,"m"),)/12,)-1,)*Index!CO$23*(CS$15&lt;=$J190)*(1-CS$12)</f>
        <v>0</v>
      </c>
      <c r="CT190" s="747">
        <f>$G190*$H190*(1+$K190)^MAX(ROUNDUP(IFERROR(DATEDIF($I190-1,CT$15+1,"m"),)/12,)-1,)*Index!CP$23*(CT$15&lt;=$J190)*(1-CT$12)</f>
        <v>0</v>
      </c>
      <c r="CU190" s="747">
        <f>$G190*$H190*(1+$K190)^MAX(ROUNDUP(IFERROR(DATEDIF($I190-1,CU$15+1,"m"),)/12,)-1,)*Index!CQ$23*(CU$15&lt;=$J190)*(1-CU$12)</f>
        <v>0</v>
      </c>
      <c r="CV190" s="747">
        <f>$G190*$H190*(1+$K190)^MAX(ROUNDUP(IFERROR(DATEDIF($I190-1,CV$15+1,"m"),)/12,)-1,)*Index!CR$23*(CV$15&lt;=$J190)*(1-CV$12)</f>
        <v>0</v>
      </c>
      <c r="CW190" s="747">
        <f>$G190*$H190*(1+$K190)^MAX(ROUNDUP(IFERROR(DATEDIF($I190-1,CW$15+1,"m"),)/12,)-1,)*Index!CS$23*(CW$15&lt;=$J190)*(1-CW$12)</f>
        <v>0</v>
      </c>
      <c r="CX190" s="747">
        <f>$G190*$H190*(1+$K190)^MAX(ROUNDUP(IFERROR(DATEDIF($I190-1,CX$15+1,"m"),)/12,)-1,)*Index!CT$23*(CX$15&lt;=$J190)*(1-CX$12)</f>
        <v>0</v>
      </c>
      <c r="CY190" s="747">
        <f>$G190*$H190*(1+$K190)^MAX(ROUNDUP(IFERROR(DATEDIF($I190-1,CY$15+1,"m"),)/12,)-1,)*Index!CU$23*(CY$15&lt;=$J190)*(1-CY$12)</f>
        <v>0</v>
      </c>
      <c r="CZ190" s="747">
        <f>$G190*$H190*(1+$K190)^MAX(ROUNDUP(IFERROR(DATEDIF($I190-1,CZ$15+1,"m"),)/12,)-1,)*Index!CV$23*(CZ$15&lt;=$J190)*(1-CZ$12)</f>
        <v>0</v>
      </c>
      <c r="DA190" s="747">
        <f>$G190*$H190*(1+$K190)^MAX(ROUNDUP(IFERROR(DATEDIF($I190-1,DA$15+1,"m"),)/12,)-1,)*Index!CW$23*(DA$15&lt;=$J190)*(1-DA$12)</f>
        <v>0</v>
      </c>
      <c r="DB190" s="747">
        <f>$G190*$H190*(1+$K190)^MAX(ROUNDUP(IFERROR(DATEDIF($I190-1,DB$15+1,"m"),)/12,)-1,)*Index!CX$23*(DB$15&lt;=$J190)*(1-DB$12)</f>
        <v>0</v>
      </c>
      <c r="DC190" s="747">
        <f>$G190*$H190*(1+$K190)^MAX(ROUNDUP(IFERROR(DATEDIF($I190-1,DC$15+1,"m"),)/12,)-1,)*Index!CY$23*(DC$15&lt;=$J190)*(1-DC$12)</f>
        <v>0</v>
      </c>
      <c r="DD190" s="747">
        <f>$G190*$H190*(1+$K190)^MAX(ROUNDUP(IFERROR(DATEDIF($I190-1,DD$15+1,"m"),)/12,)-1,)*Index!CZ$23*(DD$15&lt;=$J190)*(1-DD$12)</f>
        <v>0</v>
      </c>
      <c r="DE190" s="747">
        <f>$G190*$H190*(1+$K190)^MAX(ROUNDUP(IFERROR(DATEDIF($I190-1,DE$15+1,"m"),)/12,)-1,)*Index!DA$23*(DE$15&lt;=$J190)*(1-DE$12)</f>
        <v>0</v>
      </c>
      <c r="DF190" s="747">
        <f>$G190*$H190*(1+$K190)^MAX(ROUNDUP(IFERROR(DATEDIF($I190-1,DF$15+1,"m"),)/12,)-1,)*Index!DB$23*(DF$15&lt;=$J190)*(1-DF$12)</f>
        <v>0</v>
      </c>
      <c r="DG190" s="747">
        <f>$G190*$H190*(1+$K190)^MAX(ROUNDUP(IFERROR(DATEDIF($I190-1,DG$15+1,"m"),)/12,)-1,)*Index!DC$23*(DG$15&lt;=$J190)*(1-DG$12)</f>
        <v>0</v>
      </c>
      <c r="DH190" s="747">
        <f>$G190*$H190*(1+$K190)^MAX(ROUNDUP(IFERROR(DATEDIF($I190-1,DH$15+1,"m"),)/12,)-1,)*Index!DD$23*(DH$15&lt;=$J190)*(1-DH$12)</f>
        <v>0</v>
      </c>
      <c r="DI190" s="747">
        <f>$G190*$H190*(1+$K190)^MAX(ROUNDUP(IFERROR(DATEDIF($I190-1,DI$15+1,"m"),)/12,)-1,)*Index!DE$23*(DI$15&lt;=$J190)*(1-DI$12)</f>
        <v>0</v>
      </c>
      <c r="DJ190" s="747">
        <f>$G190*$H190*(1+$K190)^MAX(ROUNDUP(IFERROR(DATEDIF($I190-1,DJ$15+1,"m"),)/12,)-1,)*Index!DF$23*(DJ$15&lt;=$J190)*(1-DJ$12)</f>
        <v>0</v>
      </c>
      <c r="DK190" s="747">
        <f>$G190*$H190*(1+$K190)^MAX(ROUNDUP(IFERROR(DATEDIF($I190-1,DK$15+1,"m"),)/12,)-1,)*Index!DG$23*(DK$15&lt;=$J190)*(1-DK$12)</f>
        <v>0</v>
      </c>
      <c r="DL190" s="747">
        <f>$G190*$H190*(1+$K190)^MAX(ROUNDUP(IFERROR(DATEDIF($I190-1,DL$15+1,"m"),)/12,)-1,)*Index!DH$23*(DL$15&lt;=$J190)*(1-DL$12)</f>
        <v>0</v>
      </c>
      <c r="DM190" s="747">
        <f>$G190*$H190*(1+$K190)^MAX(ROUNDUP(IFERROR(DATEDIF($I190-1,DM$15+1,"m"),)/12,)-1,)*Index!DI$23*(DM$15&lt;=$J190)*(1-DM$12)</f>
        <v>0</v>
      </c>
      <c r="DN190" s="747">
        <f>$G190*$H190*(1+$K190)^MAX(ROUNDUP(IFERROR(DATEDIF($I190-1,DN$15+1,"m"),)/12,)-1,)*Index!DJ$23*(DN$15&lt;=$J190)*(1-DN$12)</f>
        <v>0</v>
      </c>
      <c r="DO190" s="747">
        <f>$G190*$H190*(1+$K190)^MAX(ROUNDUP(IFERROR(DATEDIF($I190-1,DO$15+1,"m"),)/12,)-1,)*Index!DK$23*(DO$15&lt;=$J190)*(1-DO$12)</f>
        <v>0</v>
      </c>
      <c r="DP190" s="747">
        <f>$G190*$H190*(1+$K190)^MAX(ROUNDUP(IFERROR(DATEDIF($I190-1,DP$15+1,"m"),)/12,)-1,)*Index!DL$23*(DP$15&lt;=$J190)*(1-DP$12)</f>
        <v>0</v>
      </c>
      <c r="DQ190" s="747">
        <f>$G190*$H190*(1+$K190)^MAX(ROUNDUP(IFERROR(DATEDIF($I190-1,DQ$15+1,"m"),)/12,)-1,)*Index!DM$23*(DQ$15&lt;=$J190)*(1-DQ$12)</f>
        <v>0</v>
      </c>
      <c r="DR190" s="747">
        <f>$G190*$H190*(1+$K190)^MAX(ROUNDUP(IFERROR(DATEDIF($I190-1,DR$15+1,"m"),)/12,)-1,)*Index!DN$23*(DR$15&lt;=$J190)*(1-DR$12)</f>
        <v>0</v>
      </c>
      <c r="DS190" s="747">
        <f>$G190*$H190*(1+$K190)^MAX(ROUNDUP(IFERROR(DATEDIF($I190-1,DS$15+1,"m"),)/12,)-1,)*Index!DO$23*(DS$15&lt;=$J190)*(1-DS$12)</f>
        <v>0</v>
      </c>
      <c r="DT190" s="747">
        <f>$G190*$H190*(1+$K190)^MAX(ROUNDUP(IFERROR(DATEDIF($I190-1,DT$15+1,"m"),)/12,)-1,)*Index!DP$23*(DT$15&lt;=$J190)*(1-DT$12)</f>
        <v>0</v>
      </c>
      <c r="DU190" s="747">
        <f>$G190*$H190*(1+$K190)^MAX(ROUNDUP(IFERROR(DATEDIF($I190-1,DU$15+1,"m"),)/12,)-1,)*Index!DQ$23*(DU$15&lt;=$J190)*(1-DU$12)</f>
        <v>0</v>
      </c>
      <c r="DV190" s="747">
        <f>$G190*$H190*(1+$K190)^MAX(ROUNDUP(IFERROR(DATEDIF($I190-1,DV$15+1,"m"),)/12,)-1,)*Index!DR$23*(DV$15&lt;=$J190)*(1-DV$12)</f>
        <v>0</v>
      </c>
      <c r="DW190" s="747">
        <f>$G190*$H190*(1+$K190)^MAX(ROUNDUP(IFERROR(DATEDIF($I190-1,DW$15+1,"m"),)/12,)-1,)*Index!DS$23*(DW$15&lt;=$J190)*(1-DW$12)</f>
        <v>0</v>
      </c>
      <c r="DX190" s="747">
        <f>$G190*$H190*(1+$K190)^MAX(ROUNDUP(IFERROR(DATEDIF($I190-1,DX$15+1,"m"),)/12,)-1,)*Index!DT$23*(DX$15&lt;=$J190)*(1-DX$12)</f>
        <v>0</v>
      </c>
      <c r="DY190" s="747">
        <f>$G190*$H190*(1+$K190)^MAX(ROUNDUP(IFERROR(DATEDIF($I190-1,DY$15+1,"m"),)/12,)-1,)*Index!DU$23*(DY$15&lt;=$J190)*(1-DY$12)</f>
        <v>0</v>
      </c>
      <c r="DZ190" s="747">
        <f>$G190*$H190*(1+$K190)^MAX(ROUNDUP(IFERROR(DATEDIF($I190-1,DZ$15+1,"m"),)/12,)-1,)*Index!DV$23*(DZ$15&lt;=$J190)*(1-DZ$12)</f>
        <v>0</v>
      </c>
      <c r="EA190" s="747">
        <f>$G190*$H190*(1+$K190)^MAX(ROUNDUP(IFERROR(DATEDIF($I190-1,EA$15+1,"m"),)/12,)-1,)*Index!DW$23*(EA$15&lt;=$J190)*(1-EA$12)</f>
        <v>0</v>
      </c>
      <c r="EB190" s="747">
        <f>$G190*$H190*(1+$K190)^MAX(ROUNDUP(IFERROR(DATEDIF($I190-1,EB$15+1,"m"),)/12,)-1,)*Index!DX$23*(EB$15&lt;=$J190)*(1-EB$12)</f>
        <v>0</v>
      </c>
      <c r="EC190" s="747">
        <f>$G190*$H190*(1+$K190)^MAX(ROUNDUP(IFERROR(DATEDIF($I190-1,EC$15+1,"m"),)/12,)-1,)*Index!DY$23*(EC$15&lt;=$J190)*(1-EC$12)</f>
        <v>0</v>
      </c>
      <c r="ED190" s="747">
        <f>$G190*$H190*(1+$K190)^MAX(ROUNDUP(IFERROR(DATEDIF($I190-1,ED$15+1,"m"),)/12,)-1,)*Index!DZ$23*(ED$15&lt;=$J190)*(1-ED$12)</f>
        <v>0</v>
      </c>
      <c r="EE190" s="747">
        <f>$G190*$H190*(1+$K190)^MAX(ROUNDUP(IFERROR(DATEDIF($I190-1,EE$15+1,"m"),)/12,)-1,)*Index!EA$23*(EE$15&lt;=$J190)*(1-EE$12)</f>
        <v>0</v>
      </c>
      <c r="EF190" s="747">
        <f>$G190*$H190*(1+$K190)^MAX(ROUNDUP(IFERROR(DATEDIF($I190-1,EF$15+1,"m"),)/12,)-1,)*Index!EB$23*(EF$15&lt;=$J190)*(1-EF$12)</f>
        <v>0</v>
      </c>
      <c r="EG190" s="747">
        <f>$G190*$H190*(1+$K190)^MAX(ROUNDUP(IFERROR(DATEDIF($I190-1,EG$15+1,"m"),)/12,)-1,)*Index!EC$23*(EG$15&lt;=$J190)*(1-EG$12)</f>
        <v>0</v>
      </c>
      <c r="EH190" s="747">
        <f>$G190*$H190*(1+$K190)^MAX(ROUNDUP(IFERROR(DATEDIF($I190-1,EH$15+1,"m"),)/12,)-1,)*Index!ED$23*(EH$15&lt;=$J190)*(1-EH$12)</f>
        <v>0</v>
      </c>
      <c r="EI190" s="747">
        <f>$G190*$H190*(1+$K190)^MAX(ROUNDUP(IFERROR(DATEDIF($I190-1,EI$15+1,"m"),)/12,)-1,)*Index!EE$23*(EI$15&lt;=$J190)*(1-EI$12)</f>
        <v>0</v>
      </c>
      <c r="EJ190" s="747">
        <f>$G190*$H190*(1+$K190)^MAX(ROUNDUP(IFERROR(DATEDIF($I190-1,EJ$15+1,"m"),)/12,)-1,)*Index!EF$23*(EJ$15&lt;=$J190)*(1-EJ$12)</f>
        <v>0</v>
      </c>
      <c r="EK190" s="747">
        <f>$G190*$H190*(1+$K190)^MAX(ROUNDUP(IFERROR(DATEDIF($I190-1,EK$15+1,"m"),)/12,)-1,)*Index!EG$23*(EK$15&lt;=$J190)*(1-EK$12)</f>
        <v>0</v>
      </c>
      <c r="EL190" s="747">
        <f>$G190*$H190*(1+$K190)^MAX(ROUNDUP(IFERROR(DATEDIF($I190-1,EL$15+1,"m"),)/12,)-1,)*Index!EH$23*(EL$15&lt;=$J190)*(1-EL$12)</f>
        <v>0</v>
      </c>
      <c r="EM190" s="747">
        <f>$G190*$H190*(1+$K190)^MAX(ROUNDUP(IFERROR(DATEDIF($I190-1,EM$15+1,"m"),)/12,)-1,)*Index!EI$23*(EM$15&lt;=$J190)*(1-EM$12)</f>
        <v>0</v>
      </c>
      <c r="EN190" s="747">
        <f>$G190*$H190*(1+$K190)^MAX(ROUNDUP(IFERROR(DATEDIF($I190-1,EN$15+1,"m"),)/12,)-1,)*Index!EJ$23*(EN$15&lt;=$J190)*(1-EN$12)</f>
        <v>0</v>
      </c>
      <c r="EO190" s="747">
        <f>$G190*$H190*(1+$K190)^MAX(ROUNDUP(IFERROR(DATEDIF($I190-1,EO$15+1,"m"),)/12,)-1,)*Index!EK$23*(EO$15&lt;=$J190)*(1-EO$12)</f>
        <v>0</v>
      </c>
      <c r="EP190" s="747">
        <f>$G190*$H190*(1+$K190)^MAX(ROUNDUP(IFERROR(DATEDIF($I190-1,EP$15+1,"m"),)/12,)-1,)*Index!EL$23*(EP$15&lt;=$J190)*(1-EP$12)</f>
        <v>0</v>
      </c>
      <c r="EQ190" s="747">
        <f>$G190*$H190*(1+$K190)^MAX(ROUNDUP(IFERROR(DATEDIF($I190-1,EQ$15+1,"m"),)/12,)-1,)*Index!EM$23*(EQ$15&lt;=$J190)*(1-EQ$12)</f>
        <v>0</v>
      </c>
      <c r="ER190" s="747">
        <f>$G190*$H190*(1+$K190)^MAX(ROUNDUP(IFERROR(DATEDIF($I190-1,ER$15+1,"m"),)/12,)-1,)*Index!EN$23*(ER$15&lt;=$J190)*(1-ER$12)</f>
        <v>0</v>
      </c>
      <c r="ES190" s="747">
        <f>$G190*$H190*(1+$K190)^MAX(ROUNDUP(IFERROR(DATEDIF($I190-1,ES$15+1,"m"),)/12,)-1,)*Index!EO$23*(ES$15&lt;=$J190)*(1-ES$12)</f>
        <v>0</v>
      </c>
      <c r="ET190" s="747">
        <f>$G190*$H190*(1+$K190)^MAX(ROUNDUP(IFERROR(DATEDIF($I190-1,ET$15+1,"m"),)/12,)-1,)*Index!EP$23*(ET$15&lt;=$J190)*(1-ET$12)</f>
        <v>0</v>
      </c>
      <c r="EU190" s="747">
        <f>$G190*$H190*(1+$K190)^MAX(ROUNDUP(IFERROR(DATEDIF($I190-1,EU$15+1,"m"),)/12,)-1,)*Index!EQ$23*(EU$15&lt;=$J190)*(1-EU$12)</f>
        <v>0</v>
      </c>
    </row>
    <row r="191" spans="3:151" ht="11.25" customHeight="1">
      <c r="C191" s="828"/>
      <c r="D191" s="743">
        <f t="shared" ref="D191:K191" si="263">D155</f>
        <v>1</v>
      </c>
      <c r="E191" s="704" t="str">
        <f t="shared" si="263"/>
        <v>용마로지스</v>
      </c>
      <c r="F191" s="704" t="str">
        <f t="shared" si="263"/>
        <v>상온창고</v>
      </c>
      <c r="G191" s="781">
        <f t="shared" si="263"/>
        <v>3</v>
      </c>
      <c r="H191" s="744">
        <f t="shared" si="263"/>
        <v>856.05</v>
      </c>
      <c r="I191" s="745">
        <f t="shared" si="263"/>
        <v>45612</v>
      </c>
      <c r="J191" s="745">
        <f t="shared" si="263"/>
        <v>47514</v>
      </c>
      <c r="K191" s="754">
        <f t="shared" si="263"/>
        <v>2.5000000000000001E-2</v>
      </c>
      <c r="L191" s="711"/>
      <c r="M191" s="722"/>
      <c r="N191" s="747">
        <f t="shared" si="252"/>
        <v>0</v>
      </c>
      <c r="O191" s="733"/>
      <c r="P191" s="747">
        <f>$G191*$H191*(1+$K191)^MAX(ROUNDUP(IFERROR(DATEDIF($I191-1,P$15+1,"m"),)/12,)-1,)*Index!L$23*(P$15&lt;=$J191)*(1-P$12)</f>
        <v>0</v>
      </c>
      <c r="Q191" s="747">
        <f>$G191*$H191*(1+$K191)^MAX(ROUNDUP(IFERROR(DATEDIF($I191-1,Q$15+1,"m"),)/12,)-1,)*Index!M$23*(Q$15&lt;=$J191)*(1-Q$12)</f>
        <v>0</v>
      </c>
      <c r="R191" s="747">
        <f>$G191*$H191*(1+$K191)^MAX(ROUNDUP(IFERROR(DATEDIF($I191-1,R$15+1,"m"),)/12,)-1,)*Index!N$23*(R$15&lt;=$J191)*(1-R$12)</f>
        <v>0</v>
      </c>
      <c r="S191" s="747">
        <f>$G191*$H191*(1+$K191)^MAX(ROUNDUP(IFERROR(DATEDIF($I191-1,S$15+1,"m"),)/12,)-1,)*Index!O$23*(S$15&lt;=$J191)*(1-S$12)</f>
        <v>0</v>
      </c>
      <c r="T191" s="747">
        <f>$G191*$H191*(1+$K191)^MAX(ROUNDUP(IFERROR(DATEDIF($I191-1,T$15+1,"m"),)/12,)-1,)*Index!P$23*(T$15&lt;=$J191)*(1-T$12)</f>
        <v>0</v>
      </c>
      <c r="U191" s="747">
        <f>$G191*$H191*(1+$K191)^MAX(ROUNDUP(IFERROR(DATEDIF($I191-1,U$15+1,"m"),)/12,)-1,)*Index!Q$23*(U$15&lt;=$J191)*(1-U$12)</f>
        <v>0</v>
      </c>
      <c r="V191" s="747">
        <f>$G191*$H191*(1+$K191)^MAX(ROUNDUP(IFERROR(DATEDIF($I191-1,V$15+1,"m"),)/12,)-1,)*Index!R$23*(V$15&lt;=$J191)*(1-V$12)</f>
        <v>0</v>
      </c>
      <c r="W191" s="747">
        <f>$G191*$H191*(1+$K191)^MAX(ROUNDUP(IFERROR(DATEDIF($I191-1,W$15+1,"m"),)/12,)-1,)*Index!S$23*(W$15&lt;=$J191)*(1-W$12)</f>
        <v>0</v>
      </c>
      <c r="X191" s="747">
        <f>$G191*$H191*(1+$K191)^MAX(ROUNDUP(IFERROR(DATEDIF($I191-1,X$15+1,"m"),)/12,)-1,)*Index!T$23*(X$15&lt;=$J191)*(1-X$12)</f>
        <v>0</v>
      </c>
      <c r="Y191" s="747">
        <f>$G191*$H191*(1+$K191)^MAX(ROUNDUP(IFERROR(DATEDIF($I191-1,Y$15+1,"m"),)/12,)-1,)*Index!U$23*(Y$15&lt;=$J191)*(1-Y$12)</f>
        <v>0</v>
      </c>
      <c r="Z191" s="747">
        <f>$G191*$H191*(1+$K191)^MAX(ROUNDUP(IFERROR(DATEDIF($I191-1,Z$15+1,"m"),)/12,)-1,)*Index!V$23*(Z$15&lt;=$J191)*(1-Z$12)</f>
        <v>0</v>
      </c>
      <c r="AA191" s="747">
        <f>$G191*$H191*(1+$K191)^MAX(ROUNDUP(IFERROR(DATEDIF($I191-1,AA$15+1,"m"),)/12,)-1,)*Index!W$23*(AA$15&lt;=$J191)*(1-AA$12)</f>
        <v>0</v>
      </c>
      <c r="AB191" s="747">
        <f>$G191*$H191*(1+$K191)^MAX(ROUNDUP(IFERROR(DATEDIF($I191-1,AB$15+1,"m"),)/12,)-1,)*Index!X$23*(AB$15&lt;=$J191)*(1-AB$12)</f>
        <v>0</v>
      </c>
      <c r="AC191" s="747">
        <f>$G191*$H191*(1+$K191)^MAX(ROUNDUP(IFERROR(DATEDIF($I191-1,AC$15+1,"m"),)/12,)-1,)*Index!Y$23*(AC$15&lt;=$J191)*(1-AC$12)</f>
        <v>0</v>
      </c>
      <c r="AD191" s="747">
        <f>$G191*$H191*(1+$K191)^MAX(ROUNDUP(IFERROR(DATEDIF($I191-1,AD$15+1,"m"),)/12,)-1,)*Index!Z$23*(AD$15&lt;=$J191)*(1-AD$12)</f>
        <v>0</v>
      </c>
      <c r="AE191" s="747">
        <f>$G191*$H191*(1+$K191)^MAX(ROUNDUP(IFERROR(DATEDIF($I191-1,AE$15+1,"m"),)/12,)-1,)*Index!AA$23*(AE$15&lt;=$J191)*(1-AE$12)</f>
        <v>0</v>
      </c>
      <c r="AF191" s="747">
        <f>$G191*$H191*(1+$K191)^MAX(ROUNDUP(IFERROR(DATEDIF($I191-1,AF$15+1,"m"),)/12,)-1,)*Index!AB$23*(AF$15&lt;=$J191)*(1-AF$12)</f>
        <v>0</v>
      </c>
      <c r="AG191" s="747">
        <f>$G191*$H191*(1+$K191)^MAX(ROUNDUP(IFERROR(DATEDIF($I191-1,AG$15+1,"m"),)/12,)-1,)*Index!AC$23*(AG$15&lt;=$J191)*(1-AG$12)</f>
        <v>0</v>
      </c>
      <c r="AH191" s="747">
        <f>$G191*$H191*(1+$K191)^MAX(ROUNDUP(IFERROR(DATEDIF($I191-1,AH$15+1,"m"),)/12,)-1,)*Index!AD$23*(AH$15&lt;=$J191)*(1-AH$12)</f>
        <v>0</v>
      </c>
      <c r="AI191" s="747">
        <f>$G191*$H191*(1+$K191)^MAX(ROUNDUP(IFERROR(DATEDIF($I191-1,AI$15+1,"m"),)/12,)-1,)*Index!AE$23*(AI$15&lt;=$J191)*(1-AI$12)</f>
        <v>0</v>
      </c>
      <c r="AJ191" s="747">
        <f>$G191*$H191*(1+$K191)^MAX(ROUNDUP(IFERROR(DATEDIF($I191-1,AJ$15+1,"m"),)/12,)-1,)*Index!AF$23*(AJ$15&lt;=$J191)*(1-AJ$12)</f>
        <v>0</v>
      </c>
      <c r="AK191" s="747">
        <f>$G191*$H191*(1+$K191)^MAX(ROUNDUP(IFERROR(DATEDIF($I191-1,AK$15+1,"m"),)/12,)-1,)*Index!AG$23*(AK$15&lt;=$J191)*(1-AK$12)</f>
        <v>0</v>
      </c>
      <c r="AL191" s="747">
        <f>$G191*$H191*(1+$K191)^MAX(ROUNDUP(IFERROR(DATEDIF($I191-1,AL$15+1,"m"),)/12,)-1,)*Index!AH$23*(AL$15&lt;=$J191)*(1-AL$12)</f>
        <v>0</v>
      </c>
      <c r="AM191" s="747">
        <f>$G191*$H191*(1+$K191)^MAX(ROUNDUP(IFERROR(DATEDIF($I191-1,AM$15+1,"m"),)/12,)-1,)*Index!AI$23*(AM$15&lt;=$J191)*(1-AM$12)</f>
        <v>0</v>
      </c>
      <c r="AN191" s="747">
        <f>$G191*$H191*(1+$K191)^MAX(ROUNDUP(IFERROR(DATEDIF($I191-1,AN$15+1,"m"),)/12,)-1,)*Index!AJ$23*(AN$15&lt;=$J191)*(1-AN$12)</f>
        <v>0</v>
      </c>
      <c r="AO191" s="747">
        <f>$G191*$H191*(1+$K191)^MAX(ROUNDUP(IFERROR(DATEDIF($I191-1,AO$15+1,"m"),)/12,)-1,)*Index!AK$23*(AO$15&lt;=$J191)*(1-AO$12)</f>
        <v>0</v>
      </c>
      <c r="AP191" s="747">
        <f>$G191*$H191*(1+$K191)^MAX(ROUNDUP(IFERROR(DATEDIF($I191-1,AP$15+1,"m"),)/12,)-1,)*Index!AL$23*(AP$15&lt;=$J191)*(1-AP$12)</f>
        <v>0</v>
      </c>
      <c r="AQ191" s="747">
        <f>$G191*$H191*(1+$K191)^MAX(ROUNDUP(IFERROR(DATEDIF($I191-1,AQ$15+1,"m"),)/12,)-1,)*Index!AM$23*(AQ$15&lt;=$J191)*(1-AQ$12)</f>
        <v>0</v>
      </c>
      <c r="AR191" s="747">
        <f>$G191*$H191*(1+$K191)^MAX(ROUNDUP(IFERROR(DATEDIF($I191-1,AR$15+1,"m"),)/12,)-1,)*Index!AN$23*(AR$15&lt;=$J191)*(1-AR$12)</f>
        <v>0</v>
      </c>
      <c r="AS191" s="747">
        <f>$G191*$H191*(1+$K191)^MAX(ROUNDUP(IFERROR(DATEDIF($I191-1,AS$15+1,"m"),)/12,)-1,)*Index!AO$23*(AS$15&lt;=$J191)*(1-AS$12)</f>
        <v>0</v>
      </c>
      <c r="AT191" s="747">
        <f>$G191*$H191*(1+$K191)^MAX(ROUNDUP(IFERROR(DATEDIF($I191-1,AT$15+1,"m"),)/12,)-1,)*Index!AP$23*(AT$15&lt;=$J191)*(1-AT$12)</f>
        <v>0</v>
      </c>
      <c r="AU191" s="747">
        <f>$G191*$H191*(1+$K191)^MAX(ROUNDUP(IFERROR(DATEDIF($I191-1,AU$15+1,"m"),)/12,)-1,)*Index!AQ$23*(AU$15&lt;=$J191)*(1-AU$12)</f>
        <v>0</v>
      </c>
      <c r="AV191" s="747">
        <f>$G191*$H191*(1+$K191)^MAX(ROUNDUP(IFERROR(DATEDIF($I191-1,AV$15+1,"m"),)/12,)-1,)*Index!AR$23*(AV$15&lt;=$J191)*(1-AV$12)</f>
        <v>0</v>
      </c>
      <c r="AW191" s="747">
        <f>$G191*$H191*(1+$K191)^MAX(ROUNDUP(IFERROR(DATEDIF($I191-1,AW$15+1,"m"),)/12,)-1,)*Index!AS$23*(AW$15&lt;=$J191)*(1-AW$12)</f>
        <v>0</v>
      </c>
      <c r="AX191" s="747">
        <f>$G191*$H191*(1+$K191)^MAX(ROUNDUP(IFERROR(DATEDIF($I191-1,AX$15+1,"m"),)/12,)-1,)*Index!AT$23*(AX$15&lt;=$J191)*(1-AX$12)</f>
        <v>0</v>
      </c>
      <c r="AY191" s="747">
        <f>$G191*$H191*(1+$K191)^MAX(ROUNDUP(IFERROR(DATEDIF($I191-1,AY$15+1,"m"),)/12,)-1,)*Index!AU$23*(AY$15&lt;=$J191)*(1-AY$12)</f>
        <v>0</v>
      </c>
      <c r="AZ191" s="747">
        <f>$G191*$H191*(1+$K191)^MAX(ROUNDUP(IFERROR(DATEDIF($I191-1,AZ$15+1,"m"),)/12,)-1,)*Index!AV$23*(AZ$15&lt;=$J191)*(1-AZ$12)</f>
        <v>0</v>
      </c>
      <c r="BA191" s="747">
        <f>$G191*$H191*(1+$K191)^MAX(ROUNDUP(IFERROR(DATEDIF($I191-1,BA$15+1,"m"),)/12,)-1,)*Index!AW$23*(BA$15&lt;=$J191)*(1-BA$12)</f>
        <v>0</v>
      </c>
      <c r="BB191" s="747">
        <f>$G191*$H191*(1+$K191)^MAX(ROUNDUP(IFERROR(DATEDIF($I191-1,BB$15+1,"m"),)/12,)-1,)*Index!AX$23*(BB$15&lt;=$J191)*(1-BB$12)</f>
        <v>0</v>
      </c>
      <c r="BC191" s="747">
        <f>$G191*$H191*(1+$K191)^MAX(ROUNDUP(IFERROR(DATEDIF($I191-1,BC$15+1,"m"),)/12,)-1,)*Index!AY$23*(BC$15&lt;=$J191)*(1-BC$12)</f>
        <v>0</v>
      </c>
      <c r="BD191" s="747">
        <f>$G191*$H191*(1+$K191)^MAX(ROUNDUP(IFERROR(DATEDIF($I191-1,BD$15+1,"m"),)/12,)-1,)*Index!AZ$23*(BD$15&lt;=$J191)*(1-BD$12)</f>
        <v>0</v>
      </c>
      <c r="BE191" s="747">
        <f>$G191*$H191*(1+$K191)^MAX(ROUNDUP(IFERROR(DATEDIF($I191-1,BE$15+1,"m"),)/12,)-1,)*Index!BA$23*(BE$15&lt;=$J191)*(1-BE$12)</f>
        <v>0</v>
      </c>
      <c r="BF191" s="747">
        <f>$G191*$H191*(1+$K191)^MAX(ROUNDUP(IFERROR(DATEDIF($I191-1,BF$15+1,"m"),)/12,)-1,)*Index!BB$23*(BF$15&lt;=$J191)*(1-BF$12)</f>
        <v>0</v>
      </c>
      <c r="BG191" s="747">
        <f>$G191*$H191*(1+$K191)^MAX(ROUNDUP(IFERROR(DATEDIF($I191-1,BG$15+1,"m"),)/12,)-1,)*Index!BC$23*(BG$15&lt;=$J191)*(1-BG$12)</f>
        <v>0</v>
      </c>
      <c r="BH191" s="747">
        <f>$G191*$H191*(1+$K191)^MAX(ROUNDUP(IFERROR(DATEDIF($I191-1,BH$15+1,"m"),)/12,)-1,)*Index!BD$23*(BH$15&lt;=$J191)*(1-BH$12)</f>
        <v>0</v>
      </c>
      <c r="BI191" s="747">
        <f>$G191*$H191*(1+$K191)^MAX(ROUNDUP(IFERROR(DATEDIF($I191-1,BI$15+1,"m"),)/12,)-1,)*Index!BE$23*(BI$15&lt;=$J191)*(1-BI$12)</f>
        <v>0</v>
      </c>
      <c r="BJ191" s="747">
        <f>$G191*$H191*(1+$K191)^MAX(ROUNDUP(IFERROR(DATEDIF($I191-1,BJ$15+1,"m"),)/12,)-1,)*Index!BF$23*(BJ$15&lt;=$J191)*(1-BJ$12)</f>
        <v>0</v>
      </c>
      <c r="BK191" s="747">
        <f>$G191*$H191*(1+$K191)^MAX(ROUNDUP(IFERROR(DATEDIF($I191-1,BK$15+1,"m"),)/12,)-1,)*Index!BG$23*(BK$15&lt;=$J191)*(1-BK$12)</f>
        <v>0</v>
      </c>
      <c r="BL191" s="747">
        <f>$G191*$H191*(1+$K191)^MAX(ROUNDUP(IFERROR(DATEDIF($I191-1,BL$15+1,"m"),)/12,)-1,)*Index!BH$23*(BL$15&lt;=$J191)*(1-BL$12)</f>
        <v>0</v>
      </c>
      <c r="BM191" s="747">
        <f>$G191*$H191*(1+$K191)^MAX(ROUNDUP(IFERROR(DATEDIF($I191-1,BM$15+1,"m"),)/12,)-1,)*Index!BI$23*(BM$15&lt;=$J191)*(1-BM$12)</f>
        <v>0</v>
      </c>
      <c r="BN191" s="747">
        <f>$G191*$H191*(1+$K191)^MAX(ROUNDUP(IFERROR(DATEDIF($I191-1,BN$15+1,"m"),)/12,)-1,)*Index!BJ$23*(BN$15&lt;=$J191)*(1-BN$12)</f>
        <v>0</v>
      </c>
      <c r="BO191" s="747">
        <f>$G191*$H191*(1+$K191)^MAX(ROUNDUP(IFERROR(DATEDIF($I191-1,BO$15+1,"m"),)/12,)-1,)*Index!BK$23*(BO$15&lt;=$J191)*(1-BO$12)</f>
        <v>0</v>
      </c>
      <c r="BP191" s="747">
        <f>$G191*$H191*(1+$K191)^MAX(ROUNDUP(IFERROR(DATEDIF($I191-1,BP$15+1,"m"),)/12,)-1,)*Index!BL$23*(BP$15&lt;=$J191)*(1-BP$12)</f>
        <v>0</v>
      </c>
      <c r="BQ191" s="747">
        <f>$G191*$H191*(1+$K191)^MAX(ROUNDUP(IFERROR(DATEDIF($I191-1,BQ$15+1,"m"),)/12,)-1,)*Index!BM$23*(BQ$15&lt;=$J191)*(1-BQ$12)</f>
        <v>0</v>
      </c>
      <c r="BR191" s="747">
        <f>$G191*$H191*(1+$K191)^MAX(ROUNDUP(IFERROR(DATEDIF($I191-1,BR$15+1,"m"),)/12,)-1,)*Index!BN$23*(BR$15&lt;=$J191)*(1-BR$12)</f>
        <v>0</v>
      </c>
      <c r="BS191" s="747">
        <f>$G191*$H191*(1+$K191)^MAX(ROUNDUP(IFERROR(DATEDIF($I191-1,BS$15+1,"m"),)/12,)-1,)*Index!BO$23*(BS$15&lt;=$J191)*(1-BS$12)</f>
        <v>0</v>
      </c>
      <c r="BT191" s="747">
        <f>$G191*$H191*(1+$K191)^MAX(ROUNDUP(IFERROR(DATEDIF($I191-1,BT$15+1,"m"),)/12,)-1,)*Index!BP$23*(BT$15&lt;=$J191)*(1-BT$12)</f>
        <v>0</v>
      </c>
      <c r="BU191" s="747">
        <f>$G191*$H191*(1+$K191)^MAX(ROUNDUP(IFERROR(DATEDIF($I191-1,BU$15+1,"m"),)/12,)-1,)*Index!BQ$23*(BU$15&lt;=$J191)*(1-BU$12)</f>
        <v>0</v>
      </c>
      <c r="BV191" s="747">
        <f>$G191*$H191*(1+$K191)^MAX(ROUNDUP(IFERROR(DATEDIF($I191-1,BV$15+1,"m"),)/12,)-1,)*Index!BR$23*(BV$15&lt;=$J191)*(1-BV$12)</f>
        <v>0</v>
      </c>
      <c r="BW191" s="747">
        <f>$G191*$H191*(1+$K191)^MAX(ROUNDUP(IFERROR(DATEDIF($I191-1,BW$15+1,"m"),)/12,)-1,)*Index!BS$23*(BW$15&lt;=$J191)*(1-BW$12)</f>
        <v>0</v>
      </c>
      <c r="BX191" s="747">
        <f>$G191*$H191*(1+$K191)^MAX(ROUNDUP(IFERROR(DATEDIF($I191-1,BX$15+1,"m"),)/12,)-1,)*Index!BT$23*(BX$15&lt;=$J191)*(1-BX$12)</f>
        <v>0</v>
      </c>
      <c r="BY191" s="747">
        <f>$G191*$H191*(1+$K191)^MAX(ROUNDUP(IFERROR(DATEDIF($I191-1,BY$15+1,"m"),)/12,)-1,)*Index!BU$23*(BY$15&lt;=$J191)*(1-BY$12)</f>
        <v>0</v>
      </c>
      <c r="BZ191" s="747">
        <f>$G191*$H191*(1+$K191)^MAX(ROUNDUP(IFERROR(DATEDIF($I191-1,BZ$15+1,"m"),)/12,)-1,)*Index!BV$23*(BZ$15&lt;=$J191)*(1-BZ$12)</f>
        <v>0</v>
      </c>
      <c r="CA191" s="747">
        <f>$G191*$H191*(1+$K191)^MAX(ROUNDUP(IFERROR(DATEDIF($I191-1,CA$15+1,"m"),)/12,)-1,)*Index!BW$23*(CA$15&lt;=$J191)*(1-CA$12)</f>
        <v>0</v>
      </c>
      <c r="CB191" s="747">
        <f>$G191*$H191*(1+$K191)^MAX(ROUNDUP(IFERROR(DATEDIF($I191-1,CB$15+1,"m"),)/12,)-1,)*Index!BX$23*(CB$15&lt;=$J191)*(1-CB$12)</f>
        <v>0</v>
      </c>
      <c r="CC191" s="747">
        <f>$G191*$H191*(1+$K191)^MAX(ROUNDUP(IFERROR(DATEDIF($I191-1,CC$15+1,"m"),)/12,)-1,)*Index!BY$23*(CC$15&lt;=$J191)*(1-CC$12)</f>
        <v>0</v>
      </c>
      <c r="CD191" s="747">
        <f>$G191*$H191*(1+$K191)^MAX(ROUNDUP(IFERROR(DATEDIF($I191-1,CD$15+1,"m"),)/12,)-1,)*Index!BZ$23*(CD$15&lt;=$J191)*(1-CD$12)</f>
        <v>0</v>
      </c>
      <c r="CE191" s="747">
        <f>$G191*$H191*(1+$K191)^MAX(ROUNDUP(IFERROR(DATEDIF($I191-1,CE$15+1,"m"),)/12,)-1,)*Index!CA$23*(CE$15&lt;=$J191)*(1-CE$12)</f>
        <v>0</v>
      </c>
      <c r="CF191" s="747">
        <f>$G191*$H191*(1+$K191)^MAX(ROUNDUP(IFERROR(DATEDIF($I191-1,CF$15+1,"m"),)/12,)-1,)*Index!CB$23*(CF$15&lt;=$J191)*(1-CF$12)</f>
        <v>0</v>
      </c>
      <c r="CG191" s="747">
        <f>$G191*$H191*(1+$K191)^MAX(ROUNDUP(IFERROR(DATEDIF($I191-1,CG$15+1,"m"),)/12,)-1,)*Index!CC$23*(CG$15&lt;=$J191)*(1-CG$12)</f>
        <v>0</v>
      </c>
      <c r="CH191" s="747">
        <f>$G191*$H191*(1+$K191)^MAX(ROUNDUP(IFERROR(DATEDIF($I191-1,CH$15+1,"m"),)/12,)-1,)*Index!CD$23*(CH$15&lt;=$J191)*(1-CH$12)</f>
        <v>0</v>
      </c>
      <c r="CI191" s="747">
        <f>$G191*$H191*(1+$K191)^MAX(ROUNDUP(IFERROR(DATEDIF($I191-1,CI$15+1,"m"),)/12,)-1,)*Index!CE$23*(CI$15&lt;=$J191)*(1-CI$12)</f>
        <v>0</v>
      </c>
      <c r="CJ191" s="747">
        <f>$G191*$H191*(1+$K191)^MAX(ROUNDUP(IFERROR(DATEDIF($I191-1,CJ$15+1,"m"),)/12,)-1,)*Index!CF$23*(CJ$15&lt;=$J191)*(1-CJ$12)</f>
        <v>0</v>
      </c>
      <c r="CK191" s="747">
        <f>$G191*$H191*(1+$K191)^MAX(ROUNDUP(IFERROR(DATEDIF($I191-1,CK$15+1,"m"),)/12,)-1,)*Index!CG$23*(CK$15&lt;=$J191)*(1-CK$12)</f>
        <v>0</v>
      </c>
      <c r="CL191" s="747">
        <f>$G191*$H191*(1+$K191)^MAX(ROUNDUP(IFERROR(DATEDIF($I191-1,CL$15+1,"m"),)/12,)-1,)*Index!CH$23*(CL$15&lt;=$J191)*(1-CL$12)</f>
        <v>0</v>
      </c>
      <c r="CM191" s="747">
        <f>$G191*$H191*(1+$K191)^MAX(ROUNDUP(IFERROR(DATEDIF($I191-1,CM$15+1,"m"),)/12,)-1,)*Index!CI$23*(CM$15&lt;=$J191)*(1-CM$12)</f>
        <v>0</v>
      </c>
      <c r="CN191" s="747">
        <f>$G191*$H191*(1+$K191)^MAX(ROUNDUP(IFERROR(DATEDIF($I191-1,CN$15+1,"m"),)/12,)-1,)*Index!CJ$23*(CN$15&lt;=$J191)*(1-CN$12)</f>
        <v>0</v>
      </c>
      <c r="CO191" s="747">
        <f>$G191*$H191*(1+$K191)^MAX(ROUNDUP(IFERROR(DATEDIF($I191-1,CO$15+1,"m"),)/12,)-1,)*Index!CK$23*(CO$15&lt;=$J191)*(1-CO$12)</f>
        <v>0</v>
      </c>
      <c r="CP191" s="747">
        <f>$G191*$H191*(1+$K191)^MAX(ROUNDUP(IFERROR(DATEDIF($I191-1,CP$15+1,"m"),)/12,)-1,)*Index!CL$23*(CP$15&lt;=$J191)*(1-CP$12)</f>
        <v>0</v>
      </c>
      <c r="CQ191" s="747">
        <f>$G191*$H191*(1+$K191)^MAX(ROUNDUP(IFERROR(DATEDIF($I191-1,CQ$15+1,"m"),)/12,)-1,)*Index!CM$23*(CQ$15&lt;=$J191)*(1-CQ$12)</f>
        <v>0</v>
      </c>
      <c r="CR191" s="747">
        <f>$G191*$H191*(1+$K191)^MAX(ROUNDUP(IFERROR(DATEDIF($I191-1,CR$15+1,"m"),)/12,)-1,)*Index!CN$23*(CR$15&lt;=$J191)*(1-CR$12)</f>
        <v>0</v>
      </c>
      <c r="CS191" s="747">
        <f>$G191*$H191*(1+$K191)^MAX(ROUNDUP(IFERROR(DATEDIF($I191-1,CS$15+1,"m"),)/12,)-1,)*Index!CO$23*(CS$15&lt;=$J191)*(1-CS$12)</f>
        <v>0</v>
      </c>
      <c r="CT191" s="747">
        <f>$G191*$H191*(1+$K191)^MAX(ROUNDUP(IFERROR(DATEDIF($I191-1,CT$15+1,"m"),)/12,)-1,)*Index!CP$23*(CT$15&lt;=$J191)*(1-CT$12)</f>
        <v>0</v>
      </c>
      <c r="CU191" s="747">
        <f>$G191*$H191*(1+$K191)^MAX(ROUNDUP(IFERROR(DATEDIF($I191-1,CU$15+1,"m"),)/12,)-1,)*Index!CQ$23*(CU$15&lt;=$J191)*(1-CU$12)</f>
        <v>0</v>
      </c>
      <c r="CV191" s="747">
        <f>$G191*$H191*(1+$K191)^MAX(ROUNDUP(IFERROR(DATEDIF($I191-1,CV$15+1,"m"),)/12,)-1,)*Index!CR$23*(CV$15&lt;=$J191)*(1-CV$12)</f>
        <v>0</v>
      </c>
      <c r="CW191" s="747">
        <f>$G191*$H191*(1+$K191)^MAX(ROUNDUP(IFERROR(DATEDIF($I191-1,CW$15+1,"m"),)/12,)-1,)*Index!CS$23*(CW$15&lt;=$J191)*(1-CW$12)</f>
        <v>0</v>
      </c>
      <c r="CX191" s="747">
        <f>$G191*$H191*(1+$K191)^MAX(ROUNDUP(IFERROR(DATEDIF($I191-1,CX$15+1,"m"),)/12,)-1,)*Index!CT$23*(CX$15&lt;=$J191)*(1-CX$12)</f>
        <v>0</v>
      </c>
      <c r="CY191" s="747">
        <f>$G191*$H191*(1+$K191)^MAX(ROUNDUP(IFERROR(DATEDIF($I191-1,CY$15+1,"m"),)/12,)-1,)*Index!CU$23*(CY$15&lt;=$J191)*(1-CY$12)</f>
        <v>0</v>
      </c>
      <c r="CZ191" s="747">
        <f>$G191*$H191*(1+$K191)^MAX(ROUNDUP(IFERROR(DATEDIF($I191-1,CZ$15+1,"m"),)/12,)-1,)*Index!CV$23*(CZ$15&lt;=$J191)*(1-CZ$12)</f>
        <v>0</v>
      </c>
      <c r="DA191" s="747">
        <f>$G191*$H191*(1+$K191)^MAX(ROUNDUP(IFERROR(DATEDIF($I191-1,DA$15+1,"m"),)/12,)-1,)*Index!CW$23*(DA$15&lt;=$J191)*(1-DA$12)</f>
        <v>0</v>
      </c>
      <c r="DB191" s="747">
        <f>$G191*$H191*(1+$K191)^MAX(ROUNDUP(IFERROR(DATEDIF($I191-1,DB$15+1,"m"),)/12,)-1,)*Index!CX$23*(DB$15&lt;=$J191)*(1-DB$12)</f>
        <v>0</v>
      </c>
      <c r="DC191" s="747">
        <f>$G191*$H191*(1+$K191)^MAX(ROUNDUP(IFERROR(DATEDIF($I191-1,DC$15+1,"m"),)/12,)-1,)*Index!CY$23*(DC$15&lt;=$J191)*(1-DC$12)</f>
        <v>0</v>
      </c>
      <c r="DD191" s="747">
        <f>$G191*$H191*(1+$K191)^MAX(ROUNDUP(IFERROR(DATEDIF($I191-1,DD$15+1,"m"),)/12,)-1,)*Index!CZ$23*(DD$15&lt;=$J191)*(1-DD$12)</f>
        <v>0</v>
      </c>
      <c r="DE191" s="747">
        <f>$G191*$H191*(1+$K191)^MAX(ROUNDUP(IFERROR(DATEDIF($I191-1,DE$15+1,"m"),)/12,)-1,)*Index!DA$23*(DE$15&lt;=$J191)*(1-DE$12)</f>
        <v>0</v>
      </c>
      <c r="DF191" s="747">
        <f>$G191*$H191*(1+$K191)^MAX(ROUNDUP(IFERROR(DATEDIF($I191-1,DF$15+1,"m"),)/12,)-1,)*Index!DB$23*(DF$15&lt;=$J191)*(1-DF$12)</f>
        <v>0</v>
      </c>
      <c r="DG191" s="747">
        <f>$G191*$H191*(1+$K191)^MAX(ROUNDUP(IFERROR(DATEDIF($I191-1,DG$15+1,"m"),)/12,)-1,)*Index!DC$23*(DG$15&lt;=$J191)*(1-DG$12)</f>
        <v>0</v>
      </c>
      <c r="DH191" s="747">
        <f>$G191*$H191*(1+$K191)^MAX(ROUNDUP(IFERROR(DATEDIF($I191-1,DH$15+1,"m"),)/12,)-1,)*Index!DD$23*(DH$15&lt;=$J191)*(1-DH$12)</f>
        <v>0</v>
      </c>
      <c r="DI191" s="747">
        <f>$G191*$H191*(1+$K191)^MAX(ROUNDUP(IFERROR(DATEDIF($I191-1,DI$15+1,"m"),)/12,)-1,)*Index!DE$23*(DI$15&lt;=$J191)*(1-DI$12)</f>
        <v>0</v>
      </c>
      <c r="DJ191" s="747">
        <f>$G191*$H191*(1+$K191)^MAX(ROUNDUP(IFERROR(DATEDIF($I191-1,DJ$15+1,"m"),)/12,)-1,)*Index!DF$23*(DJ$15&lt;=$J191)*(1-DJ$12)</f>
        <v>0</v>
      </c>
      <c r="DK191" s="747">
        <f>$G191*$H191*(1+$K191)^MAX(ROUNDUP(IFERROR(DATEDIF($I191-1,DK$15+1,"m"),)/12,)-1,)*Index!DG$23*(DK$15&lt;=$J191)*(1-DK$12)</f>
        <v>0</v>
      </c>
      <c r="DL191" s="747">
        <f>$G191*$H191*(1+$K191)^MAX(ROUNDUP(IFERROR(DATEDIF($I191-1,DL$15+1,"m"),)/12,)-1,)*Index!DH$23*(DL$15&lt;=$J191)*(1-DL$12)</f>
        <v>0</v>
      </c>
      <c r="DM191" s="747">
        <f>$G191*$H191*(1+$K191)^MAX(ROUNDUP(IFERROR(DATEDIF($I191-1,DM$15+1,"m"),)/12,)-1,)*Index!DI$23*(DM$15&lt;=$J191)*(1-DM$12)</f>
        <v>0</v>
      </c>
      <c r="DN191" s="747">
        <f>$G191*$H191*(1+$K191)^MAX(ROUNDUP(IFERROR(DATEDIF($I191-1,DN$15+1,"m"),)/12,)-1,)*Index!DJ$23*(DN$15&lt;=$J191)*(1-DN$12)</f>
        <v>0</v>
      </c>
      <c r="DO191" s="747">
        <f>$G191*$H191*(1+$K191)^MAX(ROUNDUP(IFERROR(DATEDIF($I191-1,DO$15+1,"m"),)/12,)-1,)*Index!DK$23*(DO$15&lt;=$J191)*(1-DO$12)</f>
        <v>0</v>
      </c>
      <c r="DP191" s="747">
        <f>$G191*$H191*(1+$K191)^MAX(ROUNDUP(IFERROR(DATEDIF($I191-1,DP$15+1,"m"),)/12,)-1,)*Index!DL$23*(DP$15&lt;=$J191)*(1-DP$12)</f>
        <v>0</v>
      </c>
      <c r="DQ191" s="747">
        <f>$G191*$H191*(1+$K191)^MAX(ROUNDUP(IFERROR(DATEDIF($I191-1,DQ$15+1,"m"),)/12,)-1,)*Index!DM$23*(DQ$15&lt;=$J191)*(1-DQ$12)</f>
        <v>0</v>
      </c>
      <c r="DR191" s="747">
        <f>$G191*$H191*(1+$K191)^MAX(ROUNDUP(IFERROR(DATEDIF($I191-1,DR$15+1,"m"),)/12,)-1,)*Index!DN$23*(DR$15&lt;=$J191)*(1-DR$12)</f>
        <v>0</v>
      </c>
      <c r="DS191" s="747">
        <f>$G191*$H191*(1+$K191)^MAX(ROUNDUP(IFERROR(DATEDIF($I191-1,DS$15+1,"m"),)/12,)-1,)*Index!DO$23*(DS$15&lt;=$J191)*(1-DS$12)</f>
        <v>0</v>
      </c>
      <c r="DT191" s="747">
        <f>$G191*$H191*(1+$K191)^MAX(ROUNDUP(IFERROR(DATEDIF($I191-1,DT$15+1,"m"),)/12,)-1,)*Index!DP$23*(DT$15&lt;=$J191)*(1-DT$12)</f>
        <v>0</v>
      </c>
      <c r="DU191" s="747">
        <f>$G191*$H191*(1+$K191)^MAX(ROUNDUP(IFERROR(DATEDIF($I191-1,DU$15+1,"m"),)/12,)-1,)*Index!DQ$23*(DU$15&lt;=$J191)*(1-DU$12)</f>
        <v>0</v>
      </c>
      <c r="DV191" s="747">
        <f>$G191*$H191*(1+$K191)^MAX(ROUNDUP(IFERROR(DATEDIF($I191-1,DV$15+1,"m"),)/12,)-1,)*Index!DR$23*(DV$15&lt;=$J191)*(1-DV$12)</f>
        <v>0</v>
      </c>
      <c r="DW191" s="747">
        <f>$G191*$H191*(1+$K191)^MAX(ROUNDUP(IFERROR(DATEDIF($I191-1,DW$15+1,"m"),)/12,)-1,)*Index!DS$23*(DW$15&lt;=$J191)*(1-DW$12)</f>
        <v>0</v>
      </c>
      <c r="DX191" s="747">
        <f>$G191*$H191*(1+$K191)^MAX(ROUNDUP(IFERROR(DATEDIF($I191-1,DX$15+1,"m"),)/12,)-1,)*Index!DT$23*(DX$15&lt;=$J191)*(1-DX$12)</f>
        <v>0</v>
      </c>
      <c r="DY191" s="747">
        <f>$G191*$H191*(1+$K191)^MAX(ROUNDUP(IFERROR(DATEDIF($I191-1,DY$15+1,"m"),)/12,)-1,)*Index!DU$23*(DY$15&lt;=$J191)*(1-DY$12)</f>
        <v>0</v>
      </c>
      <c r="DZ191" s="747">
        <f>$G191*$H191*(1+$K191)^MAX(ROUNDUP(IFERROR(DATEDIF($I191-1,DZ$15+1,"m"),)/12,)-1,)*Index!DV$23*(DZ$15&lt;=$J191)*(1-DZ$12)</f>
        <v>0</v>
      </c>
      <c r="EA191" s="747">
        <f>$G191*$H191*(1+$K191)^MAX(ROUNDUP(IFERROR(DATEDIF($I191-1,EA$15+1,"m"),)/12,)-1,)*Index!DW$23*(EA$15&lt;=$J191)*(1-EA$12)</f>
        <v>0</v>
      </c>
      <c r="EB191" s="747">
        <f>$G191*$H191*(1+$K191)^MAX(ROUNDUP(IFERROR(DATEDIF($I191-1,EB$15+1,"m"),)/12,)-1,)*Index!DX$23*(EB$15&lt;=$J191)*(1-EB$12)</f>
        <v>0</v>
      </c>
      <c r="EC191" s="747">
        <f>$G191*$H191*(1+$K191)^MAX(ROUNDUP(IFERROR(DATEDIF($I191-1,EC$15+1,"m"),)/12,)-1,)*Index!DY$23*(EC$15&lt;=$J191)*(1-EC$12)</f>
        <v>0</v>
      </c>
      <c r="ED191" s="747">
        <f>$G191*$H191*(1+$K191)^MAX(ROUNDUP(IFERROR(DATEDIF($I191-1,ED$15+1,"m"),)/12,)-1,)*Index!DZ$23*(ED$15&lt;=$J191)*(1-ED$12)</f>
        <v>0</v>
      </c>
      <c r="EE191" s="747">
        <f>$G191*$H191*(1+$K191)^MAX(ROUNDUP(IFERROR(DATEDIF($I191-1,EE$15+1,"m"),)/12,)-1,)*Index!EA$23*(EE$15&lt;=$J191)*(1-EE$12)</f>
        <v>0</v>
      </c>
      <c r="EF191" s="747">
        <f>$G191*$H191*(1+$K191)^MAX(ROUNDUP(IFERROR(DATEDIF($I191-1,EF$15+1,"m"),)/12,)-1,)*Index!EB$23*(EF$15&lt;=$J191)*(1-EF$12)</f>
        <v>0</v>
      </c>
      <c r="EG191" s="747">
        <f>$G191*$H191*(1+$K191)^MAX(ROUNDUP(IFERROR(DATEDIF($I191-1,EG$15+1,"m"),)/12,)-1,)*Index!EC$23*(EG$15&lt;=$J191)*(1-EG$12)</f>
        <v>0</v>
      </c>
      <c r="EH191" s="747">
        <f>$G191*$H191*(1+$K191)^MAX(ROUNDUP(IFERROR(DATEDIF($I191-1,EH$15+1,"m"),)/12,)-1,)*Index!ED$23*(EH$15&lt;=$J191)*(1-EH$12)</f>
        <v>0</v>
      </c>
      <c r="EI191" s="747">
        <f>$G191*$H191*(1+$K191)^MAX(ROUNDUP(IFERROR(DATEDIF($I191-1,EI$15+1,"m"),)/12,)-1,)*Index!EE$23*(EI$15&lt;=$J191)*(1-EI$12)</f>
        <v>0</v>
      </c>
      <c r="EJ191" s="747">
        <f>$G191*$H191*(1+$K191)^MAX(ROUNDUP(IFERROR(DATEDIF($I191-1,EJ$15+1,"m"),)/12,)-1,)*Index!EF$23*(EJ$15&lt;=$J191)*(1-EJ$12)</f>
        <v>0</v>
      </c>
      <c r="EK191" s="747">
        <f>$G191*$H191*(1+$K191)^MAX(ROUNDUP(IFERROR(DATEDIF($I191-1,EK$15+1,"m"),)/12,)-1,)*Index!EG$23*(EK$15&lt;=$J191)*(1-EK$12)</f>
        <v>0</v>
      </c>
      <c r="EL191" s="747">
        <f>$G191*$H191*(1+$K191)^MAX(ROUNDUP(IFERROR(DATEDIF($I191-1,EL$15+1,"m"),)/12,)-1,)*Index!EH$23*(EL$15&lt;=$J191)*(1-EL$12)</f>
        <v>0</v>
      </c>
      <c r="EM191" s="747">
        <f>$G191*$H191*(1+$K191)^MAX(ROUNDUP(IFERROR(DATEDIF($I191-1,EM$15+1,"m"),)/12,)-1,)*Index!EI$23*(EM$15&lt;=$J191)*(1-EM$12)</f>
        <v>0</v>
      </c>
      <c r="EN191" s="747">
        <f>$G191*$H191*(1+$K191)^MAX(ROUNDUP(IFERROR(DATEDIF($I191-1,EN$15+1,"m"),)/12,)-1,)*Index!EJ$23*(EN$15&lt;=$J191)*(1-EN$12)</f>
        <v>0</v>
      </c>
      <c r="EO191" s="747">
        <f>$G191*$H191*(1+$K191)^MAX(ROUNDUP(IFERROR(DATEDIF($I191-1,EO$15+1,"m"),)/12,)-1,)*Index!EK$23*(EO$15&lt;=$J191)*(1-EO$12)</f>
        <v>0</v>
      </c>
      <c r="EP191" s="747">
        <f>$G191*$H191*(1+$K191)^MAX(ROUNDUP(IFERROR(DATEDIF($I191-1,EP$15+1,"m"),)/12,)-1,)*Index!EL$23*(EP$15&lt;=$J191)*(1-EP$12)</f>
        <v>0</v>
      </c>
      <c r="EQ191" s="747">
        <f>$G191*$H191*(1+$K191)^MAX(ROUNDUP(IFERROR(DATEDIF($I191-1,EQ$15+1,"m"),)/12,)-1,)*Index!EM$23*(EQ$15&lt;=$J191)*(1-EQ$12)</f>
        <v>0</v>
      </c>
      <c r="ER191" s="747">
        <f>$G191*$H191*(1+$K191)^MAX(ROUNDUP(IFERROR(DATEDIF($I191-1,ER$15+1,"m"),)/12,)-1,)*Index!EN$23*(ER$15&lt;=$J191)*(1-ER$12)</f>
        <v>0</v>
      </c>
      <c r="ES191" s="747">
        <f>$G191*$H191*(1+$K191)^MAX(ROUNDUP(IFERROR(DATEDIF($I191-1,ES$15+1,"m"),)/12,)-1,)*Index!EO$23*(ES$15&lt;=$J191)*(1-ES$12)</f>
        <v>0</v>
      </c>
      <c r="ET191" s="747">
        <f>$G191*$H191*(1+$K191)^MAX(ROUNDUP(IFERROR(DATEDIF($I191-1,ET$15+1,"m"),)/12,)-1,)*Index!EP$23*(ET$15&lt;=$J191)*(1-ET$12)</f>
        <v>0</v>
      </c>
      <c r="EU191" s="747">
        <f>$G191*$H191*(1+$K191)^MAX(ROUNDUP(IFERROR(DATEDIF($I191-1,EU$15+1,"m"),)/12,)-1,)*Index!EQ$23*(EU$15&lt;=$J191)*(1-EU$12)</f>
        <v>0</v>
      </c>
    </row>
    <row r="192" spans="3:151" ht="11.25" customHeight="1">
      <c r="C192" s="828"/>
      <c r="D192" s="743" t="str">
        <f t="shared" ref="D192:K192" si="264">D156</f>
        <v>1F</v>
      </c>
      <c r="E192" s="704" t="str">
        <f t="shared" si="264"/>
        <v>아이팜</v>
      </c>
      <c r="F192" s="704" t="str">
        <f t="shared" si="264"/>
        <v>근린생활시설</v>
      </c>
      <c r="G192" s="781">
        <f t="shared" si="264"/>
        <v>3</v>
      </c>
      <c r="H192" s="744">
        <f t="shared" si="264"/>
        <v>17.29</v>
      </c>
      <c r="I192" s="745">
        <f t="shared" si="264"/>
        <v>45778</v>
      </c>
      <c r="J192" s="745">
        <f t="shared" si="264"/>
        <v>47603</v>
      </c>
      <c r="K192" s="754">
        <f t="shared" si="264"/>
        <v>2.5000000000000001E-2</v>
      </c>
      <c r="L192" s="748"/>
      <c r="M192" s="749"/>
      <c r="N192" s="747">
        <f t="shared" si="252"/>
        <v>0</v>
      </c>
      <c r="O192" s="733"/>
      <c r="P192" s="747">
        <f>$G192*$H192*(1+$K192)^MAX(ROUNDUP(IFERROR(DATEDIF($I192-1,P$15+1,"m"),)/12,)-1,)*Index!L$23*(P$15&lt;=$J192)*(1-P$12)</f>
        <v>0</v>
      </c>
      <c r="Q192" s="747">
        <f>$G192*$H192*(1+$K192)^MAX(ROUNDUP(IFERROR(DATEDIF($I192-1,Q$15+1,"m"),)/12,)-1,)*Index!M$23*(Q$15&lt;=$J192)*(1-Q$12)</f>
        <v>0</v>
      </c>
      <c r="R192" s="747">
        <f>$G192*$H192*(1+$K192)^MAX(ROUNDUP(IFERROR(DATEDIF($I192-1,R$15+1,"m"),)/12,)-1,)*Index!N$23*(R$15&lt;=$J192)*(1-R$12)</f>
        <v>0</v>
      </c>
      <c r="S192" s="747">
        <f>$G192*$H192*(1+$K192)^MAX(ROUNDUP(IFERROR(DATEDIF($I192-1,S$15+1,"m"),)/12,)-1,)*Index!O$23*(S$15&lt;=$J192)*(1-S$12)</f>
        <v>0</v>
      </c>
      <c r="T192" s="747">
        <f>$G192*$H192*(1+$K192)^MAX(ROUNDUP(IFERROR(DATEDIF($I192-1,T$15+1,"m"),)/12,)-1,)*Index!P$23*(T$15&lt;=$J192)*(1-T$12)</f>
        <v>0</v>
      </c>
      <c r="U192" s="747">
        <f>$G192*$H192*(1+$K192)^MAX(ROUNDUP(IFERROR(DATEDIF($I192-1,U$15+1,"m"),)/12,)-1,)*Index!Q$23*(U$15&lt;=$J192)*(1-U$12)</f>
        <v>0</v>
      </c>
      <c r="V192" s="747">
        <f>$G192*$H192*(1+$K192)^MAX(ROUNDUP(IFERROR(DATEDIF($I192-1,V$15+1,"m"),)/12,)-1,)*Index!R$23*(V$15&lt;=$J192)*(1-V$12)</f>
        <v>0</v>
      </c>
      <c r="W192" s="747">
        <f>$G192*$H192*(1+$K192)^MAX(ROUNDUP(IFERROR(DATEDIF($I192-1,W$15+1,"m"),)/12,)-1,)*Index!S$23*(W$15&lt;=$J192)*(1-W$12)</f>
        <v>0</v>
      </c>
      <c r="X192" s="747">
        <f>$G192*$H192*(1+$K192)^MAX(ROUNDUP(IFERROR(DATEDIF($I192-1,X$15+1,"m"),)/12,)-1,)*Index!T$23*(X$15&lt;=$J192)*(1-X$12)</f>
        <v>0</v>
      </c>
      <c r="Y192" s="747">
        <f>$G192*$H192*(1+$K192)^MAX(ROUNDUP(IFERROR(DATEDIF($I192-1,Y$15+1,"m"),)/12,)-1,)*Index!U$23*(Y$15&lt;=$J192)*(1-Y$12)</f>
        <v>0</v>
      </c>
      <c r="Z192" s="747">
        <f>$G192*$H192*(1+$K192)^MAX(ROUNDUP(IFERROR(DATEDIF($I192-1,Z$15+1,"m"),)/12,)-1,)*Index!V$23*(Z$15&lt;=$J192)*(1-Z$12)</f>
        <v>0</v>
      </c>
      <c r="AA192" s="747">
        <f>$G192*$H192*(1+$K192)^MAX(ROUNDUP(IFERROR(DATEDIF($I192-1,AA$15+1,"m"),)/12,)-1,)*Index!W$23*(AA$15&lt;=$J192)*(1-AA$12)</f>
        <v>0</v>
      </c>
      <c r="AB192" s="747">
        <f>$G192*$H192*(1+$K192)^MAX(ROUNDUP(IFERROR(DATEDIF($I192-1,AB$15+1,"m"),)/12,)-1,)*Index!X$23*(AB$15&lt;=$J192)*(1-AB$12)</f>
        <v>0</v>
      </c>
      <c r="AC192" s="747">
        <f>$G192*$H192*(1+$K192)^MAX(ROUNDUP(IFERROR(DATEDIF($I192-1,AC$15+1,"m"),)/12,)-1,)*Index!Y$23*(AC$15&lt;=$J192)*(1-AC$12)</f>
        <v>0</v>
      </c>
      <c r="AD192" s="747">
        <f>$G192*$H192*(1+$K192)^MAX(ROUNDUP(IFERROR(DATEDIF($I192-1,AD$15+1,"m"),)/12,)-1,)*Index!Z$23*(AD$15&lt;=$J192)*(1-AD$12)</f>
        <v>0</v>
      </c>
      <c r="AE192" s="747">
        <f>$G192*$H192*(1+$K192)^MAX(ROUNDUP(IFERROR(DATEDIF($I192-1,AE$15+1,"m"),)/12,)-1,)*Index!AA$23*(AE$15&lt;=$J192)*(1-AE$12)</f>
        <v>0</v>
      </c>
      <c r="AF192" s="747">
        <f>$G192*$H192*(1+$K192)^MAX(ROUNDUP(IFERROR(DATEDIF($I192-1,AF$15+1,"m"),)/12,)-1,)*Index!AB$23*(AF$15&lt;=$J192)*(1-AF$12)</f>
        <v>0</v>
      </c>
      <c r="AG192" s="747">
        <f>$G192*$H192*(1+$K192)^MAX(ROUNDUP(IFERROR(DATEDIF($I192-1,AG$15+1,"m"),)/12,)-1,)*Index!AC$23*(AG$15&lt;=$J192)*(1-AG$12)</f>
        <v>0</v>
      </c>
      <c r="AH192" s="747">
        <f>$G192*$H192*(1+$K192)^MAX(ROUNDUP(IFERROR(DATEDIF($I192-1,AH$15+1,"m"),)/12,)-1,)*Index!AD$23*(AH$15&lt;=$J192)*(1-AH$12)</f>
        <v>0</v>
      </c>
      <c r="AI192" s="747">
        <f>$G192*$H192*(1+$K192)^MAX(ROUNDUP(IFERROR(DATEDIF($I192-1,AI$15+1,"m"),)/12,)-1,)*Index!AE$23*(AI$15&lt;=$J192)*(1-AI$12)</f>
        <v>0</v>
      </c>
      <c r="AJ192" s="747">
        <f>$G192*$H192*(1+$K192)^MAX(ROUNDUP(IFERROR(DATEDIF($I192-1,AJ$15+1,"m"),)/12,)-1,)*Index!AF$23*(AJ$15&lt;=$J192)*(1-AJ$12)</f>
        <v>0</v>
      </c>
      <c r="AK192" s="747">
        <f>$G192*$H192*(1+$K192)^MAX(ROUNDUP(IFERROR(DATEDIF($I192-1,AK$15+1,"m"),)/12,)-1,)*Index!AG$23*(AK$15&lt;=$J192)*(1-AK$12)</f>
        <v>0</v>
      </c>
      <c r="AL192" s="747">
        <f>$G192*$H192*(1+$K192)^MAX(ROUNDUP(IFERROR(DATEDIF($I192-1,AL$15+1,"m"),)/12,)-1,)*Index!AH$23*(AL$15&lt;=$J192)*(1-AL$12)</f>
        <v>0</v>
      </c>
      <c r="AM192" s="747">
        <f>$G192*$H192*(1+$K192)^MAX(ROUNDUP(IFERROR(DATEDIF($I192-1,AM$15+1,"m"),)/12,)-1,)*Index!AI$23*(AM$15&lt;=$J192)*(1-AM$12)</f>
        <v>0</v>
      </c>
      <c r="AN192" s="747">
        <f>$G192*$H192*(1+$K192)^MAX(ROUNDUP(IFERROR(DATEDIF($I192-1,AN$15+1,"m"),)/12,)-1,)*Index!AJ$23*(AN$15&lt;=$J192)*(1-AN$12)</f>
        <v>0</v>
      </c>
      <c r="AO192" s="747">
        <f>$G192*$H192*(1+$K192)^MAX(ROUNDUP(IFERROR(DATEDIF($I192-1,AO$15+1,"m"),)/12,)-1,)*Index!AK$23*(AO$15&lt;=$J192)*(1-AO$12)</f>
        <v>0</v>
      </c>
      <c r="AP192" s="747">
        <f>$G192*$H192*(1+$K192)^MAX(ROUNDUP(IFERROR(DATEDIF($I192-1,AP$15+1,"m"),)/12,)-1,)*Index!AL$23*(AP$15&lt;=$J192)*(1-AP$12)</f>
        <v>0</v>
      </c>
      <c r="AQ192" s="747">
        <f>$G192*$H192*(1+$K192)^MAX(ROUNDUP(IFERROR(DATEDIF($I192-1,AQ$15+1,"m"),)/12,)-1,)*Index!AM$23*(AQ$15&lt;=$J192)*(1-AQ$12)</f>
        <v>0</v>
      </c>
      <c r="AR192" s="747">
        <f>$G192*$H192*(1+$K192)^MAX(ROUNDUP(IFERROR(DATEDIF($I192-1,AR$15+1,"m"),)/12,)-1,)*Index!AN$23*(AR$15&lt;=$J192)*(1-AR$12)</f>
        <v>0</v>
      </c>
      <c r="AS192" s="747">
        <f>$G192*$H192*(1+$K192)^MAX(ROUNDUP(IFERROR(DATEDIF($I192-1,AS$15+1,"m"),)/12,)-1,)*Index!AO$23*(AS$15&lt;=$J192)*(1-AS$12)</f>
        <v>0</v>
      </c>
      <c r="AT192" s="747">
        <f>$G192*$H192*(1+$K192)^MAX(ROUNDUP(IFERROR(DATEDIF($I192-1,AT$15+1,"m"),)/12,)-1,)*Index!AP$23*(AT$15&lt;=$J192)*(1-AT$12)</f>
        <v>0</v>
      </c>
      <c r="AU192" s="747">
        <f>$G192*$H192*(1+$K192)^MAX(ROUNDUP(IFERROR(DATEDIF($I192-1,AU$15+1,"m"),)/12,)-1,)*Index!AQ$23*(AU$15&lt;=$J192)*(1-AU$12)</f>
        <v>0</v>
      </c>
      <c r="AV192" s="747">
        <f>$G192*$H192*(1+$K192)^MAX(ROUNDUP(IFERROR(DATEDIF($I192-1,AV$15+1,"m"),)/12,)-1,)*Index!AR$23*(AV$15&lt;=$J192)*(1-AV$12)</f>
        <v>0</v>
      </c>
      <c r="AW192" s="747">
        <f>$G192*$H192*(1+$K192)^MAX(ROUNDUP(IFERROR(DATEDIF($I192-1,AW$15+1,"m"),)/12,)-1,)*Index!AS$23*(AW$15&lt;=$J192)*(1-AW$12)</f>
        <v>0</v>
      </c>
      <c r="AX192" s="747">
        <f>$G192*$H192*(1+$K192)^MAX(ROUNDUP(IFERROR(DATEDIF($I192-1,AX$15+1,"m"),)/12,)-1,)*Index!AT$23*(AX$15&lt;=$J192)*(1-AX$12)</f>
        <v>0</v>
      </c>
      <c r="AY192" s="747">
        <f>$G192*$H192*(1+$K192)^MAX(ROUNDUP(IFERROR(DATEDIF($I192-1,AY$15+1,"m"),)/12,)-1,)*Index!AU$23*(AY$15&lt;=$J192)*(1-AY$12)</f>
        <v>0</v>
      </c>
      <c r="AZ192" s="747">
        <f>$G192*$H192*(1+$K192)^MAX(ROUNDUP(IFERROR(DATEDIF($I192-1,AZ$15+1,"m"),)/12,)-1,)*Index!AV$23*(AZ$15&lt;=$J192)*(1-AZ$12)</f>
        <v>0</v>
      </c>
      <c r="BA192" s="747">
        <f>$G192*$H192*(1+$K192)^MAX(ROUNDUP(IFERROR(DATEDIF($I192-1,BA$15+1,"m"),)/12,)-1,)*Index!AW$23*(BA$15&lt;=$J192)*(1-BA$12)</f>
        <v>0</v>
      </c>
      <c r="BB192" s="747">
        <f>$G192*$H192*(1+$K192)^MAX(ROUNDUP(IFERROR(DATEDIF($I192-1,BB$15+1,"m"),)/12,)-1,)*Index!AX$23*(BB$15&lt;=$J192)*(1-BB$12)</f>
        <v>0</v>
      </c>
      <c r="BC192" s="747">
        <f>$G192*$H192*(1+$K192)^MAX(ROUNDUP(IFERROR(DATEDIF($I192-1,BC$15+1,"m"),)/12,)-1,)*Index!AY$23*(BC$15&lt;=$J192)*(1-BC$12)</f>
        <v>0</v>
      </c>
      <c r="BD192" s="747">
        <f>$G192*$H192*(1+$K192)^MAX(ROUNDUP(IFERROR(DATEDIF($I192-1,BD$15+1,"m"),)/12,)-1,)*Index!AZ$23*(BD$15&lt;=$J192)*(1-BD$12)</f>
        <v>0</v>
      </c>
      <c r="BE192" s="747">
        <f>$G192*$H192*(1+$K192)^MAX(ROUNDUP(IFERROR(DATEDIF($I192-1,BE$15+1,"m"),)/12,)-1,)*Index!BA$23*(BE$15&lt;=$J192)*(1-BE$12)</f>
        <v>0</v>
      </c>
      <c r="BF192" s="747">
        <f>$G192*$H192*(1+$K192)^MAX(ROUNDUP(IFERROR(DATEDIF($I192-1,BF$15+1,"m"),)/12,)-1,)*Index!BB$23*(BF$15&lt;=$J192)*(1-BF$12)</f>
        <v>0</v>
      </c>
      <c r="BG192" s="747">
        <f>$G192*$H192*(1+$K192)^MAX(ROUNDUP(IFERROR(DATEDIF($I192-1,BG$15+1,"m"),)/12,)-1,)*Index!BC$23*(BG$15&lt;=$J192)*(1-BG$12)</f>
        <v>0</v>
      </c>
      <c r="BH192" s="747">
        <f>$G192*$H192*(1+$K192)^MAX(ROUNDUP(IFERROR(DATEDIF($I192-1,BH$15+1,"m"),)/12,)-1,)*Index!BD$23*(BH$15&lt;=$J192)*(1-BH$12)</f>
        <v>0</v>
      </c>
      <c r="BI192" s="747">
        <f>$G192*$H192*(1+$K192)^MAX(ROUNDUP(IFERROR(DATEDIF($I192-1,BI$15+1,"m"),)/12,)-1,)*Index!BE$23*(BI$15&lt;=$J192)*(1-BI$12)</f>
        <v>0</v>
      </c>
      <c r="BJ192" s="747">
        <f>$G192*$H192*(1+$K192)^MAX(ROUNDUP(IFERROR(DATEDIF($I192-1,BJ$15+1,"m"),)/12,)-1,)*Index!BF$23*(BJ$15&lt;=$J192)*(1-BJ$12)</f>
        <v>0</v>
      </c>
      <c r="BK192" s="747">
        <f>$G192*$H192*(1+$K192)^MAX(ROUNDUP(IFERROR(DATEDIF($I192-1,BK$15+1,"m"),)/12,)-1,)*Index!BG$23*(BK$15&lt;=$J192)*(1-BK$12)</f>
        <v>0</v>
      </c>
      <c r="BL192" s="747">
        <f>$G192*$H192*(1+$K192)^MAX(ROUNDUP(IFERROR(DATEDIF($I192-1,BL$15+1,"m"),)/12,)-1,)*Index!BH$23*(BL$15&lt;=$J192)*(1-BL$12)</f>
        <v>0</v>
      </c>
      <c r="BM192" s="747">
        <f>$G192*$H192*(1+$K192)^MAX(ROUNDUP(IFERROR(DATEDIF($I192-1,BM$15+1,"m"),)/12,)-1,)*Index!BI$23*(BM$15&lt;=$J192)*(1-BM$12)</f>
        <v>0</v>
      </c>
      <c r="BN192" s="747">
        <f>$G192*$H192*(1+$K192)^MAX(ROUNDUP(IFERROR(DATEDIF($I192-1,BN$15+1,"m"),)/12,)-1,)*Index!BJ$23*(BN$15&lt;=$J192)*(1-BN$12)</f>
        <v>0</v>
      </c>
      <c r="BO192" s="747">
        <f>$G192*$H192*(1+$K192)^MAX(ROUNDUP(IFERROR(DATEDIF($I192-1,BO$15+1,"m"),)/12,)-1,)*Index!BK$23*(BO$15&lt;=$J192)*(1-BO$12)</f>
        <v>0</v>
      </c>
      <c r="BP192" s="747">
        <f>$G192*$H192*(1+$K192)^MAX(ROUNDUP(IFERROR(DATEDIF($I192-1,BP$15+1,"m"),)/12,)-1,)*Index!BL$23*(BP$15&lt;=$J192)*(1-BP$12)</f>
        <v>0</v>
      </c>
      <c r="BQ192" s="747">
        <f>$G192*$H192*(1+$K192)^MAX(ROUNDUP(IFERROR(DATEDIF($I192-1,BQ$15+1,"m"),)/12,)-1,)*Index!BM$23*(BQ$15&lt;=$J192)*(1-BQ$12)</f>
        <v>0</v>
      </c>
      <c r="BR192" s="747">
        <f>$G192*$H192*(1+$K192)^MAX(ROUNDUP(IFERROR(DATEDIF($I192-1,BR$15+1,"m"),)/12,)-1,)*Index!BN$23*(BR$15&lt;=$J192)*(1-BR$12)</f>
        <v>0</v>
      </c>
      <c r="BS192" s="747">
        <f>$G192*$H192*(1+$K192)^MAX(ROUNDUP(IFERROR(DATEDIF($I192-1,BS$15+1,"m"),)/12,)-1,)*Index!BO$23*(BS$15&lt;=$J192)*(1-BS$12)</f>
        <v>0</v>
      </c>
      <c r="BT192" s="747">
        <f>$G192*$H192*(1+$K192)^MAX(ROUNDUP(IFERROR(DATEDIF($I192-1,BT$15+1,"m"),)/12,)-1,)*Index!BP$23*(BT$15&lt;=$J192)*(1-BT$12)</f>
        <v>0</v>
      </c>
      <c r="BU192" s="747">
        <f>$G192*$H192*(1+$K192)^MAX(ROUNDUP(IFERROR(DATEDIF($I192-1,BU$15+1,"m"),)/12,)-1,)*Index!BQ$23*(BU$15&lt;=$J192)*(1-BU$12)</f>
        <v>0</v>
      </c>
      <c r="BV192" s="747">
        <f>$G192*$H192*(1+$K192)^MAX(ROUNDUP(IFERROR(DATEDIF($I192-1,BV$15+1,"m"),)/12,)-1,)*Index!BR$23*(BV$15&lt;=$J192)*(1-BV$12)</f>
        <v>0</v>
      </c>
      <c r="BW192" s="747">
        <f>$G192*$H192*(1+$K192)^MAX(ROUNDUP(IFERROR(DATEDIF($I192-1,BW$15+1,"m"),)/12,)-1,)*Index!BS$23*(BW$15&lt;=$J192)*(1-BW$12)</f>
        <v>0</v>
      </c>
      <c r="BX192" s="747">
        <f>$G192*$H192*(1+$K192)^MAX(ROUNDUP(IFERROR(DATEDIF($I192-1,BX$15+1,"m"),)/12,)-1,)*Index!BT$23*(BX$15&lt;=$J192)*(1-BX$12)</f>
        <v>0</v>
      </c>
      <c r="BY192" s="747">
        <f>$G192*$H192*(1+$K192)^MAX(ROUNDUP(IFERROR(DATEDIF($I192-1,BY$15+1,"m"),)/12,)-1,)*Index!BU$23*(BY$15&lt;=$J192)*(1-BY$12)</f>
        <v>0</v>
      </c>
      <c r="BZ192" s="747">
        <f>$G192*$H192*(1+$K192)^MAX(ROUNDUP(IFERROR(DATEDIF($I192-1,BZ$15+1,"m"),)/12,)-1,)*Index!BV$23*(BZ$15&lt;=$J192)*(1-BZ$12)</f>
        <v>0</v>
      </c>
      <c r="CA192" s="747">
        <f>$G192*$H192*(1+$K192)^MAX(ROUNDUP(IFERROR(DATEDIF($I192-1,CA$15+1,"m"),)/12,)-1,)*Index!BW$23*(CA$15&lt;=$J192)*(1-CA$12)</f>
        <v>0</v>
      </c>
      <c r="CB192" s="747">
        <f>$G192*$H192*(1+$K192)^MAX(ROUNDUP(IFERROR(DATEDIF($I192-1,CB$15+1,"m"),)/12,)-1,)*Index!BX$23*(CB$15&lt;=$J192)*(1-CB$12)</f>
        <v>0</v>
      </c>
      <c r="CC192" s="747">
        <f>$G192*$H192*(1+$K192)^MAX(ROUNDUP(IFERROR(DATEDIF($I192-1,CC$15+1,"m"),)/12,)-1,)*Index!BY$23*(CC$15&lt;=$J192)*(1-CC$12)</f>
        <v>0</v>
      </c>
      <c r="CD192" s="747">
        <f>$G192*$H192*(1+$K192)^MAX(ROUNDUP(IFERROR(DATEDIF($I192-1,CD$15+1,"m"),)/12,)-1,)*Index!BZ$23*(CD$15&lt;=$J192)*(1-CD$12)</f>
        <v>0</v>
      </c>
      <c r="CE192" s="747">
        <f>$G192*$H192*(1+$K192)^MAX(ROUNDUP(IFERROR(DATEDIF($I192-1,CE$15+1,"m"),)/12,)-1,)*Index!CA$23*(CE$15&lt;=$J192)*(1-CE$12)</f>
        <v>0</v>
      </c>
      <c r="CF192" s="747">
        <f>$G192*$H192*(1+$K192)^MAX(ROUNDUP(IFERROR(DATEDIF($I192-1,CF$15+1,"m"),)/12,)-1,)*Index!CB$23*(CF$15&lt;=$J192)*(1-CF$12)</f>
        <v>0</v>
      </c>
      <c r="CG192" s="747">
        <f>$G192*$H192*(1+$K192)^MAX(ROUNDUP(IFERROR(DATEDIF($I192-1,CG$15+1,"m"),)/12,)-1,)*Index!CC$23*(CG$15&lt;=$J192)*(1-CG$12)</f>
        <v>0</v>
      </c>
      <c r="CH192" s="747">
        <f>$G192*$H192*(1+$K192)^MAX(ROUNDUP(IFERROR(DATEDIF($I192-1,CH$15+1,"m"),)/12,)-1,)*Index!CD$23*(CH$15&lt;=$J192)*(1-CH$12)</f>
        <v>0</v>
      </c>
      <c r="CI192" s="747">
        <f>$G192*$H192*(1+$K192)^MAX(ROUNDUP(IFERROR(DATEDIF($I192-1,CI$15+1,"m"),)/12,)-1,)*Index!CE$23*(CI$15&lt;=$J192)*(1-CI$12)</f>
        <v>0</v>
      </c>
      <c r="CJ192" s="747">
        <f>$G192*$H192*(1+$K192)^MAX(ROUNDUP(IFERROR(DATEDIF($I192-1,CJ$15+1,"m"),)/12,)-1,)*Index!CF$23*(CJ$15&lt;=$J192)*(1-CJ$12)</f>
        <v>0</v>
      </c>
      <c r="CK192" s="747">
        <f>$G192*$H192*(1+$K192)^MAX(ROUNDUP(IFERROR(DATEDIF($I192-1,CK$15+1,"m"),)/12,)-1,)*Index!CG$23*(CK$15&lt;=$J192)*(1-CK$12)</f>
        <v>0</v>
      </c>
      <c r="CL192" s="747">
        <f>$G192*$H192*(1+$K192)^MAX(ROUNDUP(IFERROR(DATEDIF($I192-1,CL$15+1,"m"),)/12,)-1,)*Index!CH$23*(CL$15&lt;=$J192)*(1-CL$12)</f>
        <v>0</v>
      </c>
      <c r="CM192" s="747">
        <f>$G192*$H192*(1+$K192)^MAX(ROUNDUP(IFERROR(DATEDIF($I192-1,CM$15+1,"m"),)/12,)-1,)*Index!CI$23*(CM$15&lt;=$J192)*(1-CM$12)</f>
        <v>0</v>
      </c>
      <c r="CN192" s="747">
        <f>$G192*$H192*(1+$K192)^MAX(ROUNDUP(IFERROR(DATEDIF($I192-1,CN$15+1,"m"),)/12,)-1,)*Index!CJ$23*(CN$15&lt;=$J192)*(1-CN$12)</f>
        <v>0</v>
      </c>
      <c r="CO192" s="747">
        <f>$G192*$H192*(1+$K192)^MAX(ROUNDUP(IFERROR(DATEDIF($I192-1,CO$15+1,"m"),)/12,)-1,)*Index!CK$23*(CO$15&lt;=$J192)*(1-CO$12)</f>
        <v>0</v>
      </c>
      <c r="CP192" s="747">
        <f>$G192*$H192*(1+$K192)^MAX(ROUNDUP(IFERROR(DATEDIF($I192-1,CP$15+1,"m"),)/12,)-1,)*Index!CL$23*(CP$15&lt;=$J192)*(1-CP$12)</f>
        <v>0</v>
      </c>
      <c r="CQ192" s="747">
        <f>$G192*$H192*(1+$K192)^MAX(ROUNDUP(IFERROR(DATEDIF($I192-1,CQ$15+1,"m"),)/12,)-1,)*Index!CM$23*(CQ$15&lt;=$J192)*(1-CQ$12)</f>
        <v>0</v>
      </c>
      <c r="CR192" s="747">
        <f>$G192*$H192*(1+$K192)^MAX(ROUNDUP(IFERROR(DATEDIF($I192-1,CR$15+1,"m"),)/12,)-1,)*Index!CN$23*(CR$15&lt;=$J192)*(1-CR$12)</f>
        <v>0</v>
      </c>
      <c r="CS192" s="747">
        <f>$G192*$H192*(1+$K192)^MAX(ROUNDUP(IFERROR(DATEDIF($I192-1,CS$15+1,"m"),)/12,)-1,)*Index!CO$23*(CS$15&lt;=$J192)*(1-CS$12)</f>
        <v>0</v>
      </c>
      <c r="CT192" s="747">
        <f>$G192*$H192*(1+$K192)^MAX(ROUNDUP(IFERROR(DATEDIF($I192-1,CT$15+1,"m"),)/12,)-1,)*Index!CP$23*(CT$15&lt;=$J192)*(1-CT$12)</f>
        <v>0</v>
      </c>
      <c r="CU192" s="747">
        <f>$G192*$H192*(1+$K192)^MAX(ROUNDUP(IFERROR(DATEDIF($I192-1,CU$15+1,"m"),)/12,)-1,)*Index!CQ$23*(CU$15&lt;=$J192)*(1-CU$12)</f>
        <v>0</v>
      </c>
      <c r="CV192" s="747">
        <f>$G192*$H192*(1+$K192)^MAX(ROUNDUP(IFERROR(DATEDIF($I192-1,CV$15+1,"m"),)/12,)-1,)*Index!CR$23*(CV$15&lt;=$J192)*(1-CV$12)</f>
        <v>0</v>
      </c>
      <c r="CW192" s="747">
        <f>$G192*$H192*(1+$K192)^MAX(ROUNDUP(IFERROR(DATEDIF($I192-1,CW$15+1,"m"),)/12,)-1,)*Index!CS$23*(CW$15&lt;=$J192)*(1-CW$12)</f>
        <v>0</v>
      </c>
      <c r="CX192" s="747">
        <f>$G192*$H192*(1+$K192)^MAX(ROUNDUP(IFERROR(DATEDIF($I192-1,CX$15+1,"m"),)/12,)-1,)*Index!CT$23*(CX$15&lt;=$J192)*(1-CX$12)</f>
        <v>0</v>
      </c>
      <c r="CY192" s="747">
        <f>$G192*$H192*(1+$K192)^MAX(ROUNDUP(IFERROR(DATEDIF($I192-1,CY$15+1,"m"),)/12,)-1,)*Index!CU$23*(CY$15&lt;=$J192)*(1-CY$12)</f>
        <v>0</v>
      </c>
      <c r="CZ192" s="747">
        <f>$G192*$H192*(1+$K192)^MAX(ROUNDUP(IFERROR(DATEDIF($I192-1,CZ$15+1,"m"),)/12,)-1,)*Index!CV$23*(CZ$15&lt;=$J192)*(1-CZ$12)</f>
        <v>0</v>
      </c>
      <c r="DA192" s="747">
        <f>$G192*$H192*(1+$K192)^MAX(ROUNDUP(IFERROR(DATEDIF($I192-1,DA$15+1,"m"),)/12,)-1,)*Index!CW$23*(DA$15&lt;=$J192)*(1-DA$12)</f>
        <v>0</v>
      </c>
      <c r="DB192" s="747">
        <f>$G192*$H192*(1+$K192)^MAX(ROUNDUP(IFERROR(DATEDIF($I192-1,DB$15+1,"m"),)/12,)-1,)*Index!CX$23*(DB$15&lt;=$J192)*(1-DB$12)</f>
        <v>0</v>
      </c>
      <c r="DC192" s="747">
        <f>$G192*$H192*(1+$K192)^MAX(ROUNDUP(IFERROR(DATEDIF($I192-1,DC$15+1,"m"),)/12,)-1,)*Index!CY$23*(DC$15&lt;=$J192)*(1-DC$12)</f>
        <v>0</v>
      </c>
      <c r="DD192" s="747">
        <f>$G192*$H192*(1+$K192)^MAX(ROUNDUP(IFERROR(DATEDIF($I192-1,DD$15+1,"m"),)/12,)-1,)*Index!CZ$23*(DD$15&lt;=$J192)*(1-DD$12)</f>
        <v>0</v>
      </c>
      <c r="DE192" s="747">
        <f>$G192*$H192*(1+$K192)^MAX(ROUNDUP(IFERROR(DATEDIF($I192-1,DE$15+1,"m"),)/12,)-1,)*Index!DA$23*(DE$15&lt;=$J192)*(1-DE$12)</f>
        <v>0</v>
      </c>
      <c r="DF192" s="747">
        <f>$G192*$H192*(1+$K192)^MAX(ROUNDUP(IFERROR(DATEDIF($I192-1,DF$15+1,"m"),)/12,)-1,)*Index!DB$23*(DF$15&lt;=$J192)*(1-DF$12)</f>
        <v>0</v>
      </c>
      <c r="DG192" s="747">
        <f>$G192*$H192*(1+$K192)^MAX(ROUNDUP(IFERROR(DATEDIF($I192-1,DG$15+1,"m"),)/12,)-1,)*Index!DC$23*(DG$15&lt;=$J192)*(1-DG$12)</f>
        <v>0</v>
      </c>
      <c r="DH192" s="747">
        <f>$G192*$H192*(1+$K192)^MAX(ROUNDUP(IFERROR(DATEDIF($I192-1,DH$15+1,"m"),)/12,)-1,)*Index!DD$23*(DH$15&lt;=$J192)*(1-DH$12)</f>
        <v>0</v>
      </c>
      <c r="DI192" s="747">
        <f>$G192*$H192*(1+$K192)^MAX(ROUNDUP(IFERROR(DATEDIF($I192-1,DI$15+1,"m"),)/12,)-1,)*Index!DE$23*(DI$15&lt;=$J192)*(1-DI$12)</f>
        <v>0</v>
      </c>
      <c r="DJ192" s="747">
        <f>$G192*$H192*(1+$K192)^MAX(ROUNDUP(IFERROR(DATEDIF($I192-1,DJ$15+1,"m"),)/12,)-1,)*Index!DF$23*(DJ$15&lt;=$J192)*(1-DJ$12)</f>
        <v>0</v>
      </c>
      <c r="DK192" s="747">
        <f>$G192*$H192*(1+$K192)^MAX(ROUNDUP(IFERROR(DATEDIF($I192-1,DK$15+1,"m"),)/12,)-1,)*Index!DG$23*(DK$15&lt;=$J192)*(1-DK$12)</f>
        <v>0</v>
      </c>
      <c r="DL192" s="747">
        <f>$G192*$H192*(1+$K192)^MAX(ROUNDUP(IFERROR(DATEDIF($I192-1,DL$15+1,"m"),)/12,)-1,)*Index!DH$23*(DL$15&lt;=$J192)*(1-DL$12)</f>
        <v>0</v>
      </c>
      <c r="DM192" s="747">
        <f>$G192*$H192*(1+$K192)^MAX(ROUNDUP(IFERROR(DATEDIF($I192-1,DM$15+1,"m"),)/12,)-1,)*Index!DI$23*(DM$15&lt;=$J192)*(1-DM$12)</f>
        <v>0</v>
      </c>
      <c r="DN192" s="747">
        <f>$G192*$H192*(1+$K192)^MAX(ROUNDUP(IFERROR(DATEDIF($I192-1,DN$15+1,"m"),)/12,)-1,)*Index!DJ$23*(DN$15&lt;=$J192)*(1-DN$12)</f>
        <v>0</v>
      </c>
      <c r="DO192" s="747">
        <f>$G192*$H192*(1+$K192)^MAX(ROUNDUP(IFERROR(DATEDIF($I192-1,DO$15+1,"m"),)/12,)-1,)*Index!DK$23*(DO$15&lt;=$J192)*(1-DO$12)</f>
        <v>0</v>
      </c>
      <c r="DP192" s="747">
        <f>$G192*$H192*(1+$K192)^MAX(ROUNDUP(IFERROR(DATEDIF($I192-1,DP$15+1,"m"),)/12,)-1,)*Index!DL$23*(DP$15&lt;=$J192)*(1-DP$12)</f>
        <v>0</v>
      </c>
      <c r="DQ192" s="747">
        <f>$G192*$H192*(1+$K192)^MAX(ROUNDUP(IFERROR(DATEDIF($I192-1,DQ$15+1,"m"),)/12,)-1,)*Index!DM$23*(DQ$15&lt;=$J192)*(1-DQ$12)</f>
        <v>0</v>
      </c>
      <c r="DR192" s="747">
        <f>$G192*$H192*(1+$K192)^MAX(ROUNDUP(IFERROR(DATEDIF($I192-1,DR$15+1,"m"),)/12,)-1,)*Index!DN$23*(DR$15&lt;=$J192)*(1-DR$12)</f>
        <v>0</v>
      </c>
      <c r="DS192" s="747">
        <f>$G192*$H192*(1+$K192)^MAX(ROUNDUP(IFERROR(DATEDIF($I192-1,DS$15+1,"m"),)/12,)-1,)*Index!DO$23*(DS$15&lt;=$J192)*(1-DS$12)</f>
        <v>0</v>
      </c>
      <c r="DT192" s="747">
        <f>$G192*$H192*(1+$K192)^MAX(ROUNDUP(IFERROR(DATEDIF($I192-1,DT$15+1,"m"),)/12,)-1,)*Index!DP$23*(DT$15&lt;=$J192)*(1-DT$12)</f>
        <v>0</v>
      </c>
      <c r="DU192" s="747">
        <f>$G192*$H192*(1+$K192)^MAX(ROUNDUP(IFERROR(DATEDIF($I192-1,DU$15+1,"m"),)/12,)-1,)*Index!DQ$23*(DU$15&lt;=$J192)*(1-DU$12)</f>
        <v>0</v>
      </c>
      <c r="DV192" s="747">
        <f>$G192*$H192*(1+$K192)^MAX(ROUNDUP(IFERROR(DATEDIF($I192-1,DV$15+1,"m"),)/12,)-1,)*Index!DR$23*(DV$15&lt;=$J192)*(1-DV$12)</f>
        <v>0</v>
      </c>
      <c r="DW192" s="747">
        <f>$G192*$H192*(1+$K192)^MAX(ROUNDUP(IFERROR(DATEDIF($I192-1,DW$15+1,"m"),)/12,)-1,)*Index!DS$23*(DW$15&lt;=$J192)*(1-DW$12)</f>
        <v>0</v>
      </c>
      <c r="DX192" s="747">
        <f>$G192*$H192*(1+$K192)^MAX(ROUNDUP(IFERROR(DATEDIF($I192-1,DX$15+1,"m"),)/12,)-1,)*Index!DT$23*(DX$15&lt;=$J192)*(1-DX$12)</f>
        <v>0</v>
      </c>
      <c r="DY192" s="747">
        <f>$G192*$H192*(1+$K192)^MAX(ROUNDUP(IFERROR(DATEDIF($I192-1,DY$15+1,"m"),)/12,)-1,)*Index!DU$23*(DY$15&lt;=$J192)*(1-DY$12)</f>
        <v>0</v>
      </c>
      <c r="DZ192" s="747">
        <f>$G192*$H192*(1+$K192)^MAX(ROUNDUP(IFERROR(DATEDIF($I192-1,DZ$15+1,"m"),)/12,)-1,)*Index!DV$23*(DZ$15&lt;=$J192)*(1-DZ$12)</f>
        <v>0</v>
      </c>
      <c r="EA192" s="747">
        <f>$G192*$H192*(1+$K192)^MAX(ROUNDUP(IFERROR(DATEDIF($I192-1,EA$15+1,"m"),)/12,)-1,)*Index!DW$23*(EA$15&lt;=$J192)*(1-EA$12)</f>
        <v>0</v>
      </c>
      <c r="EB192" s="747">
        <f>$G192*$H192*(1+$K192)^MAX(ROUNDUP(IFERROR(DATEDIF($I192-1,EB$15+1,"m"),)/12,)-1,)*Index!DX$23*(EB$15&lt;=$J192)*(1-EB$12)</f>
        <v>0</v>
      </c>
      <c r="EC192" s="747">
        <f>$G192*$H192*(1+$K192)^MAX(ROUNDUP(IFERROR(DATEDIF($I192-1,EC$15+1,"m"),)/12,)-1,)*Index!DY$23*(EC$15&lt;=$J192)*(1-EC$12)</f>
        <v>0</v>
      </c>
      <c r="ED192" s="747">
        <f>$G192*$H192*(1+$K192)^MAX(ROUNDUP(IFERROR(DATEDIF($I192-1,ED$15+1,"m"),)/12,)-1,)*Index!DZ$23*(ED$15&lt;=$J192)*(1-ED$12)</f>
        <v>0</v>
      </c>
      <c r="EE192" s="747">
        <f>$G192*$H192*(1+$K192)^MAX(ROUNDUP(IFERROR(DATEDIF($I192-1,EE$15+1,"m"),)/12,)-1,)*Index!EA$23*(EE$15&lt;=$J192)*(1-EE$12)</f>
        <v>0</v>
      </c>
      <c r="EF192" s="747">
        <f>$G192*$H192*(1+$K192)^MAX(ROUNDUP(IFERROR(DATEDIF($I192-1,EF$15+1,"m"),)/12,)-1,)*Index!EB$23*(EF$15&lt;=$J192)*(1-EF$12)</f>
        <v>0</v>
      </c>
      <c r="EG192" s="747">
        <f>$G192*$H192*(1+$K192)^MAX(ROUNDUP(IFERROR(DATEDIF($I192-1,EG$15+1,"m"),)/12,)-1,)*Index!EC$23*(EG$15&lt;=$J192)*(1-EG$12)</f>
        <v>0</v>
      </c>
      <c r="EH192" s="747">
        <f>$G192*$H192*(1+$K192)^MAX(ROUNDUP(IFERROR(DATEDIF($I192-1,EH$15+1,"m"),)/12,)-1,)*Index!ED$23*(EH$15&lt;=$J192)*(1-EH$12)</f>
        <v>0</v>
      </c>
      <c r="EI192" s="747">
        <f>$G192*$H192*(1+$K192)^MAX(ROUNDUP(IFERROR(DATEDIF($I192-1,EI$15+1,"m"),)/12,)-1,)*Index!EE$23*(EI$15&lt;=$J192)*(1-EI$12)</f>
        <v>0</v>
      </c>
      <c r="EJ192" s="747">
        <f>$G192*$H192*(1+$K192)^MAX(ROUNDUP(IFERROR(DATEDIF($I192-1,EJ$15+1,"m"),)/12,)-1,)*Index!EF$23*(EJ$15&lt;=$J192)*(1-EJ$12)</f>
        <v>0</v>
      </c>
      <c r="EK192" s="747">
        <f>$G192*$H192*(1+$K192)^MAX(ROUNDUP(IFERROR(DATEDIF($I192-1,EK$15+1,"m"),)/12,)-1,)*Index!EG$23*(EK$15&lt;=$J192)*(1-EK$12)</f>
        <v>0</v>
      </c>
      <c r="EL192" s="747">
        <f>$G192*$H192*(1+$K192)^MAX(ROUNDUP(IFERROR(DATEDIF($I192-1,EL$15+1,"m"),)/12,)-1,)*Index!EH$23*(EL$15&lt;=$J192)*(1-EL$12)</f>
        <v>0</v>
      </c>
      <c r="EM192" s="747">
        <f>$G192*$H192*(1+$K192)^MAX(ROUNDUP(IFERROR(DATEDIF($I192-1,EM$15+1,"m"),)/12,)-1,)*Index!EI$23*(EM$15&lt;=$J192)*(1-EM$12)</f>
        <v>0</v>
      </c>
      <c r="EN192" s="747">
        <f>$G192*$H192*(1+$K192)^MAX(ROUNDUP(IFERROR(DATEDIF($I192-1,EN$15+1,"m"),)/12,)-1,)*Index!EJ$23*(EN$15&lt;=$J192)*(1-EN$12)</f>
        <v>0</v>
      </c>
      <c r="EO192" s="747">
        <f>$G192*$H192*(1+$K192)^MAX(ROUNDUP(IFERROR(DATEDIF($I192-1,EO$15+1,"m"),)/12,)-1,)*Index!EK$23*(EO$15&lt;=$J192)*(1-EO$12)</f>
        <v>0</v>
      </c>
      <c r="EP192" s="747">
        <f>$G192*$H192*(1+$K192)^MAX(ROUNDUP(IFERROR(DATEDIF($I192-1,EP$15+1,"m"),)/12,)-1,)*Index!EL$23*(EP$15&lt;=$J192)*(1-EP$12)</f>
        <v>0</v>
      </c>
      <c r="EQ192" s="747">
        <f>$G192*$H192*(1+$K192)^MAX(ROUNDUP(IFERROR(DATEDIF($I192-1,EQ$15+1,"m"),)/12,)-1,)*Index!EM$23*(EQ$15&lt;=$J192)*(1-EQ$12)</f>
        <v>0</v>
      </c>
      <c r="ER192" s="747">
        <f>$G192*$H192*(1+$K192)^MAX(ROUNDUP(IFERROR(DATEDIF($I192-1,ER$15+1,"m"),)/12,)-1,)*Index!EN$23*(ER$15&lt;=$J192)*(1-ER$12)</f>
        <v>0</v>
      </c>
      <c r="ES192" s="747">
        <f>$G192*$H192*(1+$K192)^MAX(ROUNDUP(IFERROR(DATEDIF($I192-1,ES$15+1,"m"),)/12,)-1,)*Index!EO$23*(ES$15&lt;=$J192)*(1-ES$12)</f>
        <v>0</v>
      </c>
      <c r="ET192" s="747">
        <f>$G192*$H192*(1+$K192)^MAX(ROUNDUP(IFERROR(DATEDIF($I192-1,ET$15+1,"m"),)/12,)-1,)*Index!EP$23*(ET$15&lt;=$J192)*(1-ET$12)</f>
        <v>0</v>
      </c>
      <c r="EU192" s="747">
        <f>$G192*$H192*(1+$K192)^MAX(ROUNDUP(IFERROR(DATEDIF($I192-1,EU$15+1,"m"),)/12,)-1,)*Index!EQ$23*(EU$15&lt;=$J192)*(1-EU$12)</f>
        <v>0</v>
      </c>
    </row>
    <row r="193" spans="3:151" ht="11.25" customHeight="1">
      <c r="C193" s="828"/>
      <c r="D193" s="743">
        <f t="shared" ref="D193:K193" si="265">D157</f>
        <v>1</v>
      </c>
      <c r="E193" s="704" t="str">
        <f t="shared" si="265"/>
        <v>공실</v>
      </c>
      <c r="F193" s="704" t="str">
        <f t="shared" si="265"/>
        <v>근린생활시설</v>
      </c>
      <c r="G193" s="781">
        <f t="shared" si="265"/>
        <v>0</v>
      </c>
      <c r="H193" s="744">
        <f t="shared" si="265"/>
        <v>141.01000000000002</v>
      </c>
      <c r="I193" s="745">
        <f t="shared" si="265"/>
        <v>46326</v>
      </c>
      <c r="J193" s="745">
        <f t="shared" si="265"/>
        <v>49979</v>
      </c>
      <c r="K193" s="754">
        <f t="shared" si="265"/>
        <v>2.5000000000000001E-2</v>
      </c>
      <c r="L193" s="748"/>
      <c r="M193" s="749"/>
      <c r="N193" s="747">
        <f t="shared" si="252"/>
        <v>0</v>
      </c>
      <c r="O193" s="733"/>
      <c r="P193" s="747">
        <f>$G193*$H193*(1+$K193)^MAX(ROUNDUP(IFERROR(DATEDIF($I193-1,P$15+1,"m"),)/12,)-1,)*Index!L$23*(P$15&lt;=$J193)*(1-P$12)</f>
        <v>0</v>
      </c>
      <c r="Q193" s="747">
        <f>$G193*$H193*(1+$K193)^MAX(ROUNDUP(IFERROR(DATEDIF($I193-1,Q$15+1,"m"),)/12,)-1,)*Index!M$23*(Q$15&lt;=$J193)*(1-Q$12)</f>
        <v>0</v>
      </c>
      <c r="R193" s="747">
        <f>$G193*$H193*(1+$K193)^MAX(ROUNDUP(IFERROR(DATEDIF($I193-1,R$15+1,"m"),)/12,)-1,)*Index!N$23*(R$15&lt;=$J193)*(1-R$12)</f>
        <v>0</v>
      </c>
      <c r="S193" s="747">
        <f>$G193*$H193*(1+$K193)^MAX(ROUNDUP(IFERROR(DATEDIF($I193-1,S$15+1,"m"),)/12,)-1,)*Index!O$23*(S$15&lt;=$J193)*(1-S$12)</f>
        <v>0</v>
      </c>
      <c r="T193" s="747">
        <f>$G193*$H193*(1+$K193)^MAX(ROUNDUP(IFERROR(DATEDIF($I193-1,T$15+1,"m"),)/12,)-1,)*Index!P$23*(T$15&lt;=$J193)*(1-T$12)</f>
        <v>0</v>
      </c>
      <c r="U193" s="747">
        <f>$G193*$H193*(1+$K193)^MAX(ROUNDUP(IFERROR(DATEDIF($I193-1,U$15+1,"m"),)/12,)-1,)*Index!Q$23*(U$15&lt;=$J193)*(1-U$12)</f>
        <v>0</v>
      </c>
      <c r="V193" s="747">
        <f>$G193*$H193*(1+$K193)^MAX(ROUNDUP(IFERROR(DATEDIF($I193-1,V$15+1,"m"),)/12,)-1,)*Index!R$23*(V$15&lt;=$J193)*(1-V$12)</f>
        <v>0</v>
      </c>
      <c r="W193" s="747">
        <f>$G193*$H193*(1+$K193)^MAX(ROUNDUP(IFERROR(DATEDIF($I193-1,W$15+1,"m"),)/12,)-1,)*Index!S$23*(W$15&lt;=$J193)*(1-W$12)</f>
        <v>0</v>
      </c>
      <c r="X193" s="747">
        <f>$G193*$H193*(1+$K193)^MAX(ROUNDUP(IFERROR(DATEDIF($I193-1,X$15+1,"m"),)/12,)-1,)*Index!T$23*(X$15&lt;=$J193)*(1-X$12)</f>
        <v>0</v>
      </c>
      <c r="Y193" s="747">
        <f>$G193*$H193*(1+$K193)^MAX(ROUNDUP(IFERROR(DATEDIF($I193-1,Y$15+1,"m"),)/12,)-1,)*Index!U$23*(Y$15&lt;=$J193)*(1-Y$12)</f>
        <v>0</v>
      </c>
      <c r="Z193" s="747">
        <f>$G193*$H193*(1+$K193)^MAX(ROUNDUP(IFERROR(DATEDIF($I193-1,Z$15+1,"m"),)/12,)-1,)*Index!V$23*(Z$15&lt;=$J193)*(1-Z$12)</f>
        <v>0</v>
      </c>
      <c r="AA193" s="747">
        <f>$G193*$H193*(1+$K193)^MAX(ROUNDUP(IFERROR(DATEDIF($I193-1,AA$15+1,"m"),)/12,)-1,)*Index!W$23*(AA$15&lt;=$J193)*(1-AA$12)</f>
        <v>0</v>
      </c>
      <c r="AB193" s="747">
        <f>$G193*$H193*(1+$K193)^MAX(ROUNDUP(IFERROR(DATEDIF($I193-1,AB$15+1,"m"),)/12,)-1,)*Index!X$23*(AB$15&lt;=$J193)*(1-AB$12)</f>
        <v>0</v>
      </c>
      <c r="AC193" s="747">
        <f>$G193*$H193*(1+$K193)^MAX(ROUNDUP(IFERROR(DATEDIF($I193-1,AC$15+1,"m"),)/12,)-1,)*Index!Y$23*(AC$15&lt;=$J193)*(1-AC$12)</f>
        <v>0</v>
      </c>
      <c r="AD193" s="747">
        <f>$G193*$H193*(1+$K193)^MAX(ROUNDUP(IFERROR(DATEDIF($I193-1,AD$15+1,"m"),)/12,)-1,)*Index!Z$23*(AD$15&lt;=$J193)*(1-AD$12)</f>
        <v>0</v>
      </c>
      <c r="AE193" s="747">
        <f>$G193*$H193*(1+$K193)^MAX(ROUNDUP(IFERROR(DATEDIF($I193-1,AE$15+1,"m"),)/12,)-1,)*Index!AA$23*(AE$15&lt;=$J193)*(1-AE$12)</f>
        <v>0</v>
      </c>
      <c r="AF193" s="747">
        <f>$G193*$H193*(1+$K193)^MAX(ROUNDUP(IFERROR(DATEDIF($I193-1,AF$15+1,"m"),)/12,)-1,)*Index!AB$23*(AF$15&lt;=$J193)*(1-AF$12)</f>
        <v>0</v>
      </c>
      <c r="AG193" s="747">
        <f>$G193*$H193*(1+$K193)^MAX(ROUNDUP(IFERROR(DATEDIF($I193-1,AG$15+1,"m"),)/12,)-1,)*Index!AC$23*(AG$15&lt;=$J193)*(1-AG$12)</f>
        <v>0</v>
      </c>
      <c r="AH193" s="747">
        <f>$G193*$H193*(1+$K193)^MAX(ROUNDUP(IFERROR(DATEDIF($I193-1,AH$15+1,"m"),)/12,)-1,)*Index!AD$23*(AH$15&lt;=$J193)*(1-AH$12)</f>
        <v>0</v>
      </c>
      <c r="AI193" s="747">
        <f>$G193*$H193*(1+$K193)^MAX(ROUNDUP(IFERROR(DATEDIF($I193-1,AI$15+1,"m"),)/12,)-1,)*Index!AE$23*(AI$15&lt;=$J193)*(1-AI$12)</f>
        <v>0</v>
      </c>
      <c r="AJ193" s="747">
        <f>$G193*$H193*(1+$K193)^MAX(ROUNDUP(IFERROR(DATEDIF($I193-1,AJ$15+1,"m"),)/12,)-1,)*Index!AF$23*(AJ$15&lt;=$J193)*(1-AJ$12)</f>
        <v>0</v>
      </c>
      <c r="AK193" s="747">
        <f>$G193*$H193*(1+$K193)^MAX(ROUNDUP(IFERROR(DATEDIF($I193-1,AK$15+1,"m"),)/12,)-1,)*Index!AG$23*(AK$15&lt;=$J193)*(1-AK$12)</f>
        <v>0</v>
      </c>
      <c r="AL193" s="747">
        <f>$G193*$H193*(1+$K193)^MAX(ROUNDUP(IFERROR(DATEDIF($I193-1,AL$15+1,"m"),)/12,)-1,)*Index!AH$23*(AL$15&lt;=$J193)*(1-AL$12)</f>
        <v>0</v>
      </c>
      <c r="AM193" s="747">
        <f>$G193*$H193*(1+$K193)^MAX(ROUNDUP(IFERROR(DATEDIF($I193-1,AM$15+1,"m"),)/12,)-1,)*Index!AI$23*(AM$15&lt;=$J193)*(1-AM$12)</f>
        <v>0</v>
      </c>
      <c r="AN193" s="747">
        <f>$G193*$H193*(1+$K193)^MAX(ROUNDUP(IFERROR(DATEDIF($I193-1,AN$15+1,"m"),)/12,)-1,)*Index!AJ$23*(AN$15&lt;=$J193)*(1-AN$12)</f>
        <v>0</v>
      </c>
      <c r="AO193" s="747">
        <f>$G193*$H193*(1+$K193)^MAX(ROUNDUP(IFERROR(DATEDIF($I193-1,AO$15+1,"m"),)/12,)-1,)*Index!AK$23*(AO$15&lt;=$J193)*(1-AO$12)</f>
        <v>0</v>
      </c>
      <c r="AP193" s="747">
        <f>$G193*$H193*(1+$K193)^MAX(ROUNDUP(IFERROR(DATEDIF($I193-1,AP$15+1,"m"),)/12,)-1,)*Index!AL$23*(AP$15&lt;=$J193)*(1-AP$12)</f>
        <v>0</v>
      </c>
      <c r="AQ193" s="747">
        <f>$G193*$H193*(1+$K193)^MAX(ROUNDUP(IFERROR(DATEDIF($I193-1,AQ$15+1,"m"),)/12,)-1,)*Index!AM$23*(AQ$15&lt;=$J193)*(1-AQ$12)</f>
        <v>0</v>
      </c>
      <c r="AR193" s="747">
        <f>$G193*$H193*(1+$K193)^MAX(ROUNDUP(IFERROR(DATEDIF($I193-1,AR$15+1,"m"),)/12,)-1,)*Index!AN$23*(AR$15&lt;=$J193)*(1-AR$12)</f>
        <v>0</v>
      </c>
      <c r="AS193" s="747">
        <f>$G193*$H193*(1+$K193)^MAX(ROUNDUP(IFERROR(DATEDIF($I193-1,AS$15+1,"m"),)/12,)-1,)*Index!AO$23*(AS$15&lt;=$J193)*(1-AS$12)</f>
        <v>0</v>
      </c>
      <c r="AT193" s="747">
        <f>$G193*$H193*(1+$K193)^MAX(ROUNDUP(IFERROR(DATEDIF($I193-1,AT$15+1,"m"),)/12,)-1,)*Index!AP$23*(AT$15&lt;=$J193)*(1-AT$12)</f>
        <v>0</v>
      </c>
      <c r="AU193" s="747">
        <f>$G193*$H193*(1+$K193)^MAX(ROUNDUP(IFERROR(DATEDIF($I193-1,AU$15+1,"m"),)/12,)-1,)*Index!AQ$23*(AU$15&lt;=$J193)*(1-AU$12)</f>
        <v>0</v>
      </c>
      <c r="AV193" s="747">
        <f>$G193*$H193*(1+$K193)^MAX(ROUNDUP(IFERROR(DATEDIF($I193-1,AV$15+1,"m"),)/12,)-1,)*Index!AR$23*(AV$15&lt;=$J193)*(1-AV$12)</f>
        <v>0</v>
      </c>
      <c r="AW193" s="747">
        <f>$G193*$H193*(1+$K193)^MAX(ROUNDUP(IFERROR(DATEDIF($I193-1,AW$15+1,"m"),)/12,)-1,)*Index!AS$23*(AW$15&lt;=$J193)*(1-AW$12)</f>
        <v>0</v>
      </c>
      <c r="AX193" s="747">
        <f>$G193*$H193*(1+$K193)^MAX(ROUNDUP(IFERROR(DATEDIF($I193-1,AX$15+1,"m"),)/12,)-1,)*Index!AT$23*(AX$15&lt;=$J193)*(1-AX$12)</f>
        <v>0</v>
      </c>
      <c r="AY193" s="747">
        <f>$G193*$H193*(1+$K193)^MAX(ROUNDUP(IFERROR(DATEDIF($I193-1,AY$15+1,"m"),)/12,)-1,)*Index!AU$23*(AY$15&lt;=$J193)*(1-AY$12)</f>
        <v>0</v>
      </c>
      <c r="AZ193" s="747">
        <f>$G193*$H193*(1+$K193)^MAX(ROUNDUP(IFERROR(DATEDIF($I193-1,AZ$15+1,"m"),)/12,)-1,)*Index!AV$23*(AZ$15&lt;=$J193)*(1-AZ$12)</f>
        <v>0</v>
      </c>
      <c r="BA193" s="747">
        <f>$G193*$H193*(1+$K193)^MAX(ROUNDUP(IFERROR(DATEDIF($I193-1,BA$15+1,"m"),)/12,)-1,)*Index!AW$23*(BA$15&lt;=$J193)*(1-BA$12)</f>
        <v>0</v>
      </c>
      <c r="BB193" s="747">
        <f>$G193*$H193*(1+$K193)^MAX(ROUNDUP(IFERROR(DATEDIF($I193-1,BB$15+1,"m"),)/12,)-1,)*Index!AX$23*(BB$15&lt;=$J193)*(1-BB$12)</f>
        <v>0</v>
      </c>
      <c r="BC193" s="747">
        <f>$G193*$H193*(1+$K193)^MAX(ROUNDUP(IFERROR(DATEDIF($I193-1,BC$15+1,"m"),)/12,)-1,)*Index!AY$23*(BC$15&lt;=$J193)*(1-BC$12)</f>
        <v>0</v>
      </c>
      <c r="BD193" s="747">
        <f>$G193*$H193*(1+$K193)^MAX(ROUNDUP(IFERROR(DATEDIF($I193-1,BD$15+1,"m"),)/12,)-1,)*Index!AZ$23*(BD$15&lt;=$J193)*(1-BD$12)</f>
        <v>0</v>
      </c>
      <c r="BE193" s="747">
        <f>$G193*$H193*(1+$K193)^MAX(ROUNDUP(IFERROR(DATEDIF($I193-1,BE$15+1,"m"),)/12,)-1,)*Index!BA$23*(BE$15&lt;=$J193)*(1-BE$12)</f>
        <v>0</v>
      </c>
      <c r="BF193" s="747">
        <f>$G193*$H193*(1+$K193)^MAX(ROUNDUP(IFERROR(DATEDIF($I193-1,BF$15+1,"m"),)/12,)-1,)*Index!BB$23*(BF$15&lt;=$J193)*(1-BF$12)</f>
        <v>0</v>
      </c>
      <c r="BG193" s="747">
        <f>$G193*$H193*(1+$K193)^MAX(ROUNDUP(IFERROR(DATEDIF($I193-1,BG$15+1,"m"),)/12,)-1,)*Index!BC$23*(BG$15&lt;=$J193)*(1-BG$12)</f>
        <v>0</v>
      </c>
      <c r="BH193" s="747">
        <f>$G193*$H193*(1+$K193)^MAX(ROUNDUP(IFERROR(DATEDIF($I193-1,BH$15+1,"m"),)/12,)-1,)*Index!BD$23*(BH$15&lt;=$J193)*(1-BH$12)</f>
        <v>0</v>
      </c>
      <c r="BI193" s="747">
        <f>$G193*$H193*(1+$K193)^MAX(ROUNDUP(IFERROR(DATEDIF($I193-1,BI$15+1,"m"),)/12,)-1,)*Index!BE$23*(BI$15&lt;=$J193)*(1-BI$12)</f>
        <v>0</v>
      </c>
      <c r="BJ193" s="747">
        <f>$G193*$H193*(1+$K193)^MAX(ROUNDUP(IFERROR(DATEDIF($I193-1,BJ$15+1,"m"),)/12,)-1,)*Index!BF$23*(BJ$15&lt;=$J193)*(1-BJ$12)</f>
        <v>0</v>
      </c>
      <c r="BK193" s="747">
        <f>$G193*$H193*(1+$K193)^MAX(ROUNDUP(IFERROR(DATEDIF($I193-1,BK$15+1,"m"),)/12,)-1,)*Index!BG$23*(BK$15&lt;=$J193)*(1-BK$12)</f>
        <v>0</v>
      </c>
      <c r="BL193" s="747">
        <f>$G193*$H193*(1+$K193)^MAX(ROUNDUP(IFERROR(DATEDIF($I193-1,BL$15+1,"m"),)/12,)-1,)*Index!BH$23*(BL$15&lt;=$J193)*(1-BL$12)</f>
        <v>0</v>
      </c>
      <c r="BM193" s="747">
        <f>$G193*$H193*(1+$K193)^MAX(ROUNDUP(IFERROR(DATEDIF($I193-1,BM$15+1,"m"),)/12,)-1,)*Index!BI$23*(BM$15&lt;=$J193)*(1-BM$12)</f>
        <v>0</v>
      </c>
      <c r="BN193" s="747">
        <f>$G193*$H193*(1+$K193)^MAX(ROUNDUP(IFERROR(DATEDIF($I193-1,BN$15+1,"m"),)/12,)-1,)*Index!BJ$23*(BN$15&lt;=$J193)*(1-BN$12)</f>
        <v>0</v>
      </c>
      <c r="BO193" s="747">
        <f>$G193*$H193*(1+$K193)^MAX(ROUNDUP(IFERROR(DATEDIF($I193-1,BO$15+1,"m"),)/12,)-1,)*Index!BK$23*(BO$15&lt;=$J193)*(1-BO$12)</f>
        <v>0</v>
      </c>
      <c r="BP193" s="747">
        <f>$G193*$H193*(1+$K193)^MAX(ROUNDUP(IFERROR(DATEDIF($I193-1,BP$15+1,"m"),)/12,)-1,)*Index!BL$23*(BP$15&lt;=$J193)*(1-BP$12)</f>
        <v>0</v>
      </c>
      <c r="BQ193" s="747">
        <f>$G193*$H193*(1+$K193)^MAX(ROUNDUP(IFERROR(DATEDIF($I193-1,BQ$15+1,"m"),)/12,)-1,)*Index!BM$23*(BQ$15&lt;=$J193)*(1-BQ$12)</f>
        <v>0</v>
      </c>
      <c r="BR193" s="747">
        <f>$G193*$H193*(1+$K193)^MAX(ROUNDUP(IFERROR(DATEDIF($I193-1,BR$15+1,"m"),)/12,)-1,)*Index!BN$23*(BR$15&lt;=$J193)*(1-BR$12)</f>
        <v>0</v>
      </c>
      <c r="BS193" s="747">
        <f>$G193*$H193*(1+$K193)^MAX(ROUNDUP(IFERROR(DATEDIF($I193-1,BS$15+1,"m"),)/12,)-1,)*Index!BO$23*(BS$15&lt;=$J193)*(1-BS$12)</f>
        <v>0</v>
      </c>
      <c r="BT193" s="747">
        <f>$G193*$H193*(1+$K193)^MAX(ROUNDUP(IFERROR(DATEDIF($I193-1,BT$15+1,"m"),)/12,)-1,)*Index!BP$23*(BT$15&lt;=$J193)*(1-BT$12)</f>
        <v>0</v>
      </c>
      <c r="BU193" s="747">
        <f>$G193*$H193*(1+$K193)^MAX(ROUNDUP(IFERROR(DATEDIF($I193-1,BU$15+1,"m"),)/12,)-1,)*Index!BQ$23*(BU$15&lt;=$J193)*(1-BU$12)</f>
        <v>0</v>
      </c>
      <c r="BV193" s="747">
        <f>$G193*$H193*(1+$K193)^MAX(ROUNDUP(IFERROR(DATEDIF($I193-1,BV$15+1,"m"),)/12,)-1,)*Index!BR$23*(BV$15&lt;=$J193)*(1-BV$12)</f>
        <v>0</v>
      </c>
      <c r="BW193" s="747">
        <f>$G193*$H193*(1+$K193)^MAX(ROUNDUP(IFERROR(DATEDIF($I193-1,BW$15+1,"m"),)/12,)-1,)*Index!BS$23*(BW$15&lt;=$J193)*(1-BW$12)</f>
        <v>0</v>
      </c>
      <c r="BX193" s="747">
        <f>$G193*$H193*(1+$K193)^MAX(ROUNDUP(IFERROR(DATEDIF($I193-1,BX$15+1,"m"),)/12,)-1,)*Index!BT$23*(BX$15&lt;=$J193)*(1-BX$12)</f>
        <v>0</v>
      </c>
      <c r="BY193" s="747">
        <f>$G193*$H193*(1+$K193)^MAX(ROUNDUP(IFERROR(DATEDIF($I193-1,BY$15+1,"m"),)/12,)-1,)*Index!BU$23*(BY$15&lt;=$J193)*(1-BY$12)</f>
        <v>0</v>
      </c>
      <c r="BZ193" s="747">
        <f>$G193*$H193*(1+$K193)^MAX(ROUNDUP(IFERROR(DATEDIF($I193-1,BZ$15+1,"m"),)/12,)-1,)*Index!BV$23*(BZ$15&lt;=$J193)*(1-BZ$12)</f>
        <v>0</v>
      </c>
      <c r="CA193" s="747">
        <f>$G193*$H193*(1+$K193)^MAX(ROUNDUP(IFERROR(DATEDIF($I193-1,CA$15+1,"m"),)/12,)-1,)*Index!BW$23*(CA$15&lt;=$J193)*(1-CA$12)</f>
        <v>0</v>
      </c>
      <c r="CB193" s="747">
        <f>$G193*$H193*(1+$K193)^MAX(ROUNDUP(IFERROR(DATEDIF($I193-1,CB$15+1,"m"),)/12,)-1,)*Index!BX$23*(CB$15&lt;=$J193)*(1-CB$12)</f>
        <v>0</v>
      </c>
      <c r="CC193" s="747">
        <f>$G193*$H193*(1+$K193)^MAX(ROUNDUP(IFERROR(DATEDIF($I193-1,CC$15+1,"m"),)/12,)-1,)*Index!BY$23*(CC$15&lt;=$J193)*(1-CC$12)</f>
        <v>0</v>
      </c>
      <c r="CD193" s="747">
        <f>$G193*$H193*(1+$K193)^MAX(ROUNDUP(IFERROR(DATEDIF($I193-1,CD$15+1,"m"),)/12,)-1,)*Index!BZ$23*(CD$15&lt;=$J193)*(1-CD$12)</f>
        <v>0</v>
      </c>
      <c r="CE193" s="747">
        <f>$G193*$H193*(1+$K193)^MAX(ROUNDUP(IFERROR(DATEDIF($I193-1,CE$15+1,"m"),)/12,)-1,)*Index!CA$23*(CE$15&lt;=$J193)*(1-CE$12)</f>
        <v>0</v>
      </c>
      <c r="CF193" s="747">
        <f>$G193*$H193*(1+$K193)^MAX(ROUNDUP(IFERROR(DATEDIF($I193-1,CF$15+1,"m"),)/12,)-1,)*Index!CB$23*(CF$15&lt;=$J193)*(1-CF$12)</f>
        <v>0</v>
      </c>
      <c r="CG193" s="747">
        <f>$G193*$H193*(1+$K193)^MAX(ROUNDUP(IFERROR(DATEDIF($I193-1,CG$15+1,"m"),)/12,)-1,)*Index!CC$23*(CG$15&lt;=$J193)*(1-CG$12)</f>
        <v>0</v>
      </c>
      <c r="CH193" s="747">
        <f>$G193*$H193*(1+$K193)^MAX(ROUNDUP(IFERROR(DATEDIF($I193-1,CH$15+1,"m"),)/12,)-1,)*Index!CD$23*(CH$15&lt;=$J193)*(1-CH$12)</f>
        <v>0</v>
      </c>
      <c r="CI193" s="747">
        <f>$G193*$H193*(1+$K193)^MAX(ROUNDUP(IFERROR(DATEDIF($I193-1,CI$15+1,"m"),)/12,)-1,)*Index!CE$23*(CI$15&lt;=$J193)*(1-CI$12)</f>
        <v>0</v>
      </c>
      <c r="CJ193" s="747">
        <f>$G193*$H193*(1+$K193)^MAX(ROUNDUP(IFERROR(DATEDIF($I193-1,CJ$15+1,"m"),)/12,)-1,)*Index!CF$23*(CJ$15&lt;=$J193)*(1-CJ$12)</f>
        <v>0</v>
      </c>
      <c r="CK193" s="747">
        <f>$G193*$H193*(1+$K193)^MAX(ROUNDUP(IFERROR(DATEDIF($I193-1,CK$15+1,"m"),)/12,)-1,)*Index!CG$23*(CK$15&lt;=$J193)*(1-CK$12)</f>
        <v>0</v>
      </c>
      <c r="CL193" s="747">
        <f>$G193*$H193*(1+$K193)^MAX(ROUNDUP(IFERROR(DATEDIF($I193-1,CL$15+1,"m"),)/12,)-1,)*Index!CH$23*(CL$15&lt;=$J193)*(1-CL$12)</f>
        <v>0</v>
      </c>
      <c r="CM193" s="747">
        <f>$G193*$H193*(1+$K193)^MAX(ROUNDUP(IFERROR(DATEDIF($I193-1,CM$15+1,"m"),)/12,)-1,)*Index!CI$23*(CM$15&lt;=$J193)*(1-CM$12)</f>
        <v>0</v>
      </c>
      <c r="CN193" s="747">
        <f>$G193*$H193*(1+$K193)^MAX(ROUNDUP(IFERROR(DATEDIF($I193-1,CN$15+1,"m"),)/12,)-1,)*Index!CJ$23*(CN$15&lt;=$J193)*(1-CN$12)</f>
        <v>0</v>
      </c>
      <c r="CO193" s="747">
        <f>$G193*$H193*(1+$K193)^MAX(ROUNDUP(IFERROR(DATEDIF($I193-1,CO$15+1,"m"),)/12,)-1,)*Index!CK$23*(CO$15&lt;=$J193)*(1-CO$12)</f>
        <v>0</v>
      </c>
      <c r="CP193" s="747">
        <f>$G193*$H193*(1+$K193)^MAX(ROUNDUP(IFERROR(DATEDIF($I193-1,CP$15+1,"m"),)/12,)-1,)*Index!CL$23*(CP$15&lt;=$J193)*(1-CP$12)</f>
        <v>0</v>
      </c>
      <c r="CQ193" s="747">
        <f>$G193*$H193*(1+$K193)^MAX(ROUNDUP(IFERROR(DATEDIF($I193-1,CQ$15+1,"m"),)/12,)-1,)*Index!CM$23*(CQ$15&lt;=$J193)*(1-CQ$12)</f>
        <v>0</v>
      </c>
      <c r="CR193" s="747">
        <f>$G193*$H193*(1+$K193)^MAX(ROUNDUP(IFERROR(DATEDIF($I193-1,CR$15+1,"m"),)/12,)-1,)*Index!CN$23*(CR$15&lt;=$J193)*(1-CR$12)</f>
        <v>0</v>
      </c>
      <c r="CS193" s="747">
        <f>$G193*$H193*(1+$K193)^MAX(ROUNDUP(IFERROR(DATEDIF($I193-1,CS$15+1,"m"),)/12,)-1,)*Index!CO$23*(CS$15&lt;=$J193)*(1-CS$12)</f>
        <v>0</v>
      </c>
      <c r="CT193" s="747">
        <f>$G193*$H193*(1+$K193)^MAX(ROUNDUP(IFERROR(DATEDIF($I193-1,CT$15+1,"m"),)/12,)-1,)*Index!CP$23*(CT$15&lt;=$J193)*(1-CT$12)</f>
        <v>0</v>
      </c>
      <c r="CU193" s="747">
        <f>$G193*$H193*(1+$K193)^MAX(ROUNDUP(IFERROR(DATEDIF($I193-1,CU$15+1,"m"),)/12,)-1,)*Index!CQ$23*(CU$15&lt;=$J193)*(1-CU$12)</f>
        <v>0</v>
      </c>
      <c r="CV193" s="747">
        <f>$G193*$H193*(1+$K193)^MAX(ROUNDUP(IFERROR(DATEDIF($I193-1,CV$15+1,"m"),)/12,)-1,)*Index!CR$23*(CV$15&lt;=$J193)*(1-CV$12)</f>
        <v>0</v>
      </c>
      <c r="CW193" s="747">
        <f>$G193*$H193*(1+$K193)^MAX(ROUNDUP(IFERROR(DATEDIF($I193-1,CW$15+1,"m"),)/12,)-1,)*Index!CS$23*(CW$15&lt;=$J193)*(1-CW$12)</f>
        <v>0</v>
      </c>
      <c r="CX193" s="747">
        <f>$G193*$H193*(1+$K193)^MAX(ROUNDUP(IFERROR(DATEDIF($I193-1,CX$15+1,"m"),)/12,)-1,)*Index!CT$23*(CX$15&lt;=$J193)*(1-CX$12)</f>
        <v>0</v>
      </c>
      <c r="CY193" s="747">
        <f>$G193*$H193*(1+$K193)^MAX(ROUNDUP(IFERROR(DATEDIF($I193-1,CY$15+1,"m"),)/12,)-1,)*Index!CU$23*(CY$15&lt;=$J193)*(1-CY$12)</f>
        <v>0</v>
      </c>
      <c r="CZ193" s="747">
        <f>$G193*$H193*(1+$K193)^MAX(ROUNDUP(IFERROR(DATEDIF($I193-1,CZ$15+1,"m"),)/12,)-1,)*Index!CV$23*(CZ$15&lt;=$J193)*(1-CZ$12)</f>
        <v>0</v>
      </c>
      <c r="DA193" s="747">
        <f>$G193*$H193*(1+$K193)^MAX(ROUNDUP(IFERROR(DATEDIF($I193-1,DA$15+1,"m"),)/12,)-1,)*Index!CW$23*(DA$15&lt;=$J193)*(1-DA$12)</f>
        <v>0</v>
      </c>
      <c r="DB193" s="747">
        <f>$G193*$H193*(1+$K193)^MAX(ROUNDUP(IFERROR(DATEDIF($I193-1,DB$15+1,"m"),)/12,)-1,)*Index!CX$23*(DB$15&lt;=$J193)*(1-DB$12)</f>
        <v>0</v>
      </c>
      <c r="DC193" s="747">
        <f>$G193*$H193*(1+$K193)^MAX(ROUNDUP(IFERROR(DATEDIF($I193-1,DC$15+1,"m"),)/12,)-1,)*Index!CY$23*(DC$15&lt;=$J193)*(1-DC$12)</f>
        <v>0</v>
      </c>
      <c r="DD193" s="747">
        <f>$G193*$H193*(1+$K193)^MAX(ROUNDUP(IFERROR(DATEDIF($I193-1,DD$15+1,"m"),)/12,)-1,)*Index!CZ$23*(DD$15&lt;=$J193)*(1-DD$12)</f>
        <v>0</v>
      </c>
      <c r="DE193" s="747">
        <f>$G193*$H193*(1+$K193)^MAX(ROUNDUP(IFERROR(DATEDIF($I193-1,DE$15+1,"m"),)/12,)-1,)*Index!DA$23*(DE$15&lt;=$J193)*(1-DE$12)</f>
        <v>0</v>
      </c>
      <c r="DF193" s="747">
        <f>$G193*$H193*(1+$K193)^MAX(ROUNDUP(IFERROR(DATEDIF($I193-1,DF$15+1,"m"),)/12,)-1,)*Index!DB$23*(DF$15&lt;=$J193)*(1-DF$12)</f>
        <v>0</v>
      </c>
      <c r="DG193" s="747">
        <f>$G193*$H193*(1+$K193)^MAX(ROUNDUP(IFERROR(DATEDIF($I193-1,DG$15+1,"m"),)/12,)-1,)*Index!DC$23*(DG$15&lt;=$J193)*(1-DG$12)</f>
        <v>0</v>
      </c>
      <c r="DH193" s="747">
        <f>$G193*$H193*(1+$K193)^MAX(ROUNDUP(IFERROR(DATEDIF($I193-1,DH$15+1,"m"),)/12,)-1,)*Index!DD$23*(DH$15&lt;=$J193)*(1-DH$12)</f>
        <v>0</v>
      </c>
      <c r="DI193" s="747">
        <f>$G193*$H193*(1+$K193)^MAX(ROUNDUP(IFERROR(DATEDIF($I193-1,DI$15+1,"m"),)/12,)-1,)*Index!DE$23*(DI$15&lt;=$J193)*(1-DI$12)</f>
        <v>0</v>
      </c>
      <c r="DJ193" s="747">
        <f>$G193*$H193*(1+$K193)^MAX(ROUNDUP(IFERROR(DATEDIF($I193-1,DJ$15+1,"m"),)/12,)-1,)*Index!DF$23*(DJ$15&lt;=$J193)*(1-DJ$12)</f>
        <v>0</v>
      </c>
      <c r="DK193" s="747">
        <f>$G193*$H193*(1+$K193)^MAX(ROUNDUP(IFERROR(DATEDIF($I193-1,DK$15+1,"m"),)/12,)-1,)*Index!DG$23*(DK$15&lt;=$J193)*(1-DK$12)</f>
        <v>0</v>
      </c>
      <c r="DL193" s="747">
        <f>$G193*$H193*(1+$K193)^MAX(ROUNDUP(IFERROR(DATEDIF($I193-1,DL$15+1,"m"),)/12,)-1,)*Index!DH$23*(DL$15&lt;=$J193)*(1-DL$12)</f>
        <v>0</v>
      </c>
      <c r="DM193" s="747">
        <f>$G193*$H193*(1+$K193)^MAX(ROUNDUP(IFERROR(DATEDIF($I193-1,DM$15+1,"m"),)/12,)-1,)*Index!DI$23*(DM$15&lt;=$J193)*(1-DM$12)</f>
        <v>0</v>
      </c>
      <c r="DN193" s="747">
        <f>$G193*$H193*(1+$K193)^MAX(ROUNDUP(IFERROR(DATEDIF($I193-1,DN$15+1,"m"),)/12,)-1,)*Index!DJ$23*(DN$15&lt;=$J193)*(1-DN$12)</f>
        <v>0</v>
      </c>
      <c r="DO193" s="747">
        <f>$G193*$H193*(1+$K193)^MAX(ROUNDUP(IFERROR(DATEDIF($I193-1,DO$15+1,"m"),)/12,)-1,)*Index!DK$23*(DO$15&lt;=$J193)*(1-DO$12)</f>
        <v>0</v>
      </c>
      <c r="DP193" s="747">
        <f>$G193*$H193*(1+$K193)^MAX(ROUNDUP(IFERROR(DATEDIF($I193-1,DP$15+1,"m"),)/12,)-1,)*Index!DL$23*(DP$15&lt;=$J193)*(1-DP$12)</f>
        <v>0</v>
      </c>
      <c r="DQ193" s="747">
        <f>$G193*$H193*(1+$K193)^MAX(ROUNDUP(IFERROR(DATEDIF($I193-1,DQ$15+1,"m"),)/12,)-1,)*Index!DM$23*(DQ$15&lt;=$J193)*(1-DQ$12)</f>
        <v>0</v>
      </c>
      <c r="DR193" s="747">
        <f>$G193*$H193*(1+$K193)^MAX(ROUNDUP(IFERROR(DATEDIF($I193-1,DR$15+1,"m"),)/12,)-1,)*Index!DN$23*(DR$15&lt;=$J193)*(1-DR$12)</f>
        <v>0</v>
      </c>
      <c r="DS193" s="747">
        <f>$G193*$H193*(1+$K193)^MAX(ROUNDUP(IFERROR(DATEDIF($I193-1,DS$15+1,"m"),)/12,)-1,)*Index!DO$23*(DS$15&lt;=$J193)*(1-DS$12)</f>
        <v>0</v>
      </c>
      <c r="DT193" s="747">
        <f>$G193*$H193*(1+$K193)^MAX(ROUNDUP(IFERROR(DATEDIF($I193-1,DT$15+1,"m"),)/12,)-1,)*Index!DP$23*(DT$15&lt;=$J193)*(1-DT$12)</f>
        <v>0</v>
      </c>
      <c r="DU193" s="747">
        <f>$G193*$H193*(1+$K193)^MAX(ROUNDUP(IFERROR(DATEDIF($I193-1,DU$15+1,"m"),)/12,)-1,)*Index!DQ$23*(DU$15&lt;=$J193)*(1-DU$12)</f>
        <v>0</v>
      </c>
      <c r="DV193" s="747">
        <f>$G193*$H193*(1+$K193)^MAX(ROUNDUP(IFERROR(DATEDIF($I193-1,DV$15+1,"m"),)/12,)-1,)*Index!DR$23*(DV$15&lt;=$J193)*(1-DV$12)</f>
        <v>0</v>
      </c>
      <c r="DW193" s="747">
        <f>$G193*$H193*(1+$K193)^MAX(ROUNDUP(IFERROR(DATEDIF($I193-1,DW$15+1,"m"),)/12,)-1,)*Index!DS$23*(DW$15&lt;=$J193)*(1-DW$12)</f>
        <v>0</v>
      </c>
      <c r="DX193" s="747">
        <f>$G193*$H193*(1+$K193)^MAX(ROUNDUP(IFERROR(DATEDIF($I193-1,DX$15+1,"m"),)/12,)-1,)*Index!DT$23*(DX$15&lt;=$J193)*(1-DX$12)</f>
        <v>0</v>
      </c>
      <c r="DY193" s="747">
        <f>$G193*$H193*(1+$K193)^MAX(ROUNDUP(IFERROR(DATEDIF($I193-1,DY$15+1,"m"),)/12,)-1,)*Index!DU$23*(DY$15&lt;=$J193)*(1-DY$12)</f>
        <v>0</v>
      </c>
      <c r="DZ193" s="747">
        <f>$G193*$H193*(1+$K193)^MAX(ROUNDUP(IFERROR(DATEDIF($I193-1,DZ$15+1,"m"),)/12,)-1,)*Index!DV$23*(DZ$15&lt;=$J193)*(1-DZ$12)</f>
        <v>0</v>
      </c>
      <c r="EA193" s="747">
        <f>$G193*$H193*(1+$K193)^MAX(ROUNDUP(IFERROR(DATEDIF($I193-1,EA$15+1,"m"),)/12,)-1,)*Index!DW$23*(EA$15&lt;=$J193)*(1-EA$12)</f>
        <v>0</v>
      </c>
      <c r="EB193" s="747">
        <f>$G193*$H193*(1+$K193)^MAX(ROUNDUP(IFERROR(DATEDIF($I193-1,EB$15+1,"m"),)/12,)-1,)*Index!DX$23*(EB$15&lt;=$J193)*(1-EB$12)</f>
        <v>0</v>
      </c>
      <c r="EC193" s="747">
        <f>$G193*$H193*(1+$K193)^MAX(ROUNDUP(IFERROR(DATEDIF($I193-1,EC$15+1,"m"),)/12,)-1,)*Index!DY$23*(EC$15&lt;=$J193)*(1-EC$12)</f>
        <v>0</v>
      </c>
      <c r="ED193" s="747">
        <f>$G193*$H193*(1+$K193)^MAX(ROUNDUP(IFERROR(DATEDIF($I193-1,ED$15+1,"m"),)/12,)-1,)*Index!DZ$23*(ED$15&lt;=$J193)*(1-ED$12)</f>
        <v>0</v>
      </c>
      <c r="EE193" s="747">
        <f>$G193*$H193*(1+$K193)^MAX(ROUNDUP(IFERROR(DATEDIF($I193-1,EE$15+1,"m"),)/12,)-1,)*Index!EA$23*(EE$15&lt;=$J193)*(1-EE$12)</f>
        <v>0</v>
      </c>
      <c r="EF193" s="747">
        <f>$G193*$H193*(1+$K193)^MAX(ROUNDUP(IFERROR(DATEDIF($I193-1,EF$15+1,"m"),)/12,)-1,)*Index!EB$23*(EF$15&lt;=$J193)*(1-EF$12)</f>
        <v>0</v>
      </c>
      <c r="EG193" s="747">
        <f>$G193*$H193*(1+$K193)^MAX(ROUNDUP(IFERROR(DATEDIF($I193-1,EG$15+1,"m"),)/12,)-1,)*Index!EC$23*(EG$15&lt;=$J193)*(1-EG$12)</f>
        <v>0</v>
      </c>
      <c r="EH193" s="747">
        <f>$G193*$H193*(1+$K193)^MAX(ROUNDUP(IFERROR(DATEDIF($I193-1,EH$15+1,"m"),)/12,)-1,)*Index!ED$23*(EH$15&lt;=$J193)*(1-EH$12)</f>
        <v>0</v>
      </c>
      <c r="EI193" s="747">
        <f>$G193*$H193*(1+$K193)^MAX(ROUNDUP(IFERROR(DATEDIF($I193-1,EI$15+1,"m"),)/12,)-1,)*Index!EE$23*(EI$15&lt;=$J193)*(1-EI$12)</f>
        <v>0</v>
      </c>
      <c r="EJ193" s="747">
        <f>$G193*$H193*(1+$K193)^MAX(ROUNDUP(IFERROR(DATEDIF($I193-1,EJ$15+1,"m"),)/12,)-1,)*Index!EF$23*(EJ$15&lt;=$J193)*(1-EJ$12)</f>
        <v>0</v>
      </c>
      <c r="EK193" s="747">
        <f>$G193*$H193*(1+$K193)^MAX(ROUNDUP(IFERROR(DATEDIF($I193-1,EK$15+1,"m"),)/12,)-1,)*Index!EG$23*(EK$15&lt;=$J193)*(1-EK$12)</f>
        <v>0</v>
      </c>
      <c r="EL193" s="747">
        <f>$G193*$H193*(1+$K193)^MAX(ROUNDUP(IFERROR(DATEDIF($I193-1,EL$15+1,"m"),)/12,)-1,)*Index!EH$23*(EL$15&lt;=$J193)*(1-EL$12)</f>
        <v>0</v>
      </c>
      <c r="EM193" s="747">
        <f>$G193*$H193*(1+$K193)^MAX(ROUNDUP(IFERROR(DATEDIF($I193-1,EM$15+1,"m"),)/12,)-1,)*Index!EI$23*(EM$15&lt;=$J193)*(1-EM$12)</f>
        <v>0</v>
      </c>
      <c r="EN193" s="747">
        <f>$G193*$H193*(1+$K193)^MAX(ROUNDUP(IFERROR(DATEDIF($I193-1,EN$15+1,"m"),)/12,)-1,)*Index!EJ$23*(EN$15&lt;=$J193)*(1-EN$12)</f>
        <v>0</v>
      </c>
      <c r="EO193" s="747">
        <f>$G193*$H193*(1+$K193)^MAX(ROUNDUP(IFERROR(DATEDIF($I193-1,EO$15+1,"m"),)/12,)-1,)*Index!EK$23*(EO$15&lt;=$J193)*(1-EO$12)</f>
        <v>0</v>
      </c>
      <c r="EP193" s="747">
        <f>$G193*$H193*(1+$K193)^MAX(ROUNDUP(IFERROR(DATEDIF($I193-1,EP$15+1,"m"),)/12,)-1,)*Index!EL$23*(EP$15&lt;=$J193)*(1-EP$12)</f>
        <v>0</v>
      </c>
      <c r="EQ193" s="747">
        <f>$G193*$H193*(1+$K193)^MAX(ROUNDUP(IFERROR(DATEDIF($I193-1,EQ$15+1,"m"),)/12,)-1,)*Index!EM$23*(EQ$15&lt;=$J193)*(1-EQ$12)</f>
        <v>0</v>
      </c>
      <c r="ER193" s="747">
        <f>$G193*$H193*(1+$K193)^MAX(ROUNDUP(IFERROR(DATEDIF($I193-1,ER$15+1,"m"),)/12,)-1,)*Index!EN$23*(ER$15&lt;=$J193)*(1-ER$12)</f>
        <v>0</v>
      </c>
      <c r="ES193" s="747">
        <f>$G193*$H193*(1+$K193)^MAX(ROUNDUP(IFERROR(DATEDIF($I193-1,ES$15+1,"m"),)/12,)-1,)*Index!EO$23*(ES$15&lt;=$J193)*(1-ES$12)</f>
        <v>0</v>
      </c>
      <c r="ET193" s="747">
        <f>$G193*$H193*(1+$K193)^MAX(ROUNDUP(IFERROR(DATEDIF($I193-1,ET$15+1,"m"),)/12,)-1,)*Index!EP$23*(ET$15&lt;=$J193)*(1-ET$12)</f>
        <v>0</v>
      </c>
      <c r="EU193" s="747">
        <f>$G193*$H193*(1+$K193)^MAX(ROUNDUP(IFERROR(DATEDIF($I193-1,EU$15+1,"m"),)/12,)-1,)*Index!EQ$23*(EU$15&lt;=$J193)*(1-EU$12)</f>
        <v>0</v>
      </c>
    </row>
    <row r="194" spans="3:151" ht="11.25" customHeight="1">
      <c r="C194" s="828"/>
      <c r="D194" s="743" t="str">
        <f t="shared" ref="D194:K194" si="266">D158</f>
        <v>B1</v>
      </c>
      <c r="E194" s="704" t="str">
        <f t="shared" si="266"/>
        <v>쿠팡</v>
      </c>
      <c r="F194" s="704" t="str">
        <f t="shared" si="266"/>
        <v>상온창고</v>
      </c>
      <c r="G194" s="781">
        <f t="shared" si="266"/>
        <v>3</v>
      </c>
      <c r="H194" s="744">
        <f t="shared" si="266"/>
        <v>2745.32</v>
      </c>
      <c r="I194" s="745">
        <f t="shared" si="266"/>
        <v>45748</v>
      </c>
      <c r="J194" s="745">
        <f t="shared" si="266"/>
        <v>49064</v>
      </c>
      <c r="K194" s="754">
        <f t="shared" si="266"/>
        <v>2.5000000000000001E-2</v>
      </c>
      <c r="L194" s="748"/>
      <c r="M194" s="749"/>
      <c r="N194" s="747">
        <f t="shared" si="252"/>
        <v>0</v>
      </c>
      <c r="O194" s="733"/>
      <c r="P194" s="747">
        <f>$G194*$H194*(1+$K194)^MAX(ROUNDUP(IFERROR(DATEDIF($I194-1,P$15+1,"m"),)/12,)-1,)*Index!L$23*(P$15&lt;=$J194)*(1-P$12)</f>
        <v>0</v>
      </c>
      <c r="Q194" s="747">
        <f>$G194*$H194*(1+$K194)^MAX(ROUNDUP(IFERROR(DATEDIF($I194-1,Q$15+1,"m"),)/12,)-1,)*Index!M$23*(Q$15&lt;=$J194)*(1-Q$12)</f>
        <v>0</v>
      </c>
      <c r="R194" s="747">
        <f>$G194*$H194*(1+$K194)^MAX(ROUNDUP(IFERROR(DATEDIF($I194-1,R$15+1,"m"),)/12,)-1,)*Index!N$23*(R$15&lt;=$J194)*(1-R$12)</f>
        <v>0</v>
      </c>
      <c r="S194" s="747">
        <f>$G194*$H194*(1+$K194)^MAX(ROUNDUP(IFERROR(DATEDIF($I194-1,S$15+1,"m"),)/12,)-1,)*Index!O$23*(S$15&lt;=$J194)*(1-S$12)</f>
        <v>0</v>
      </c>
      <c r="T194" s="747">
        <f>$G194*$H194*(1+$K194)^MAX(ROUNDUP(IFERROR(DATEDIF($I194-1,T$15+1,"m"),)/12,)-1,)*Index!P$23*(T$15&lt;=$J194)*(1-T$12)</f>
        <v>0</v>
      </c>
      <c r="U194" s="747">
        <f>$G194*$H194*(1+$K194)^MAX(ROUNDUP(IFERROR(DATEDIF($I194-1,U$15+1,"m"),)/12,)-1,)*Index!Q$23*(U$15&lt;=$J194)*(1-U$12)</f>
        <v>0</v>
      </c>
      <c r="V194" s="747">
        <f>$G194*$H194*(1+$K194)^MAX(ROUNDUP(IFERROR(DATEDIF($I194-1,V$15+1,"m"),)/12,)-1,)*Index!R$23*(V$15&lt;=$J194)*(1-V$12)</f>
        <v>0</v>
      </c>
      <c r="W194" s="747">
        <f>$G194*$H194*(1+$K194)^MAX(ROUNDUP(IFERROR(DATEDIF($I194-1,W$15+1,"m"),)/12,)-1,)*Index!S$23*(W$15&lt;=$J194)*(1-W$12)</f>
        <v>0</v>
      </c>
      <c r="X194" s="747">
        <f>$G194*$H194*(1+$K194)^MAX(ROUNDUP(IFERROR(DATEDIF($I194-1,X$15+1,"m"),)/12,)-1,)*Index!T$23*(X$15&lt;=$J194)*(1-X$12)</f>
        <v>0</v>
      </c>
      <c r="Y194" s="747">
        <f>$G194*$H194*(1+$K194)^MAX(ROUNDUP(IFERROR(DATEDIF($I194-1,Y$15+1,"m"),)/12,)-1,)*Index!U$23*(Y$15&lt;=$J194)*(1-Y$12)</f>
        <v>0</v>
      </c>
      <c r="Z194" s="747">
        <f>$G194*$H194*(1+$K194)^MAX(ROUNDUP(IFERROR(DATEDIF($I194-1,Z$15+1,"m"),)/12,)-1,)*Index!V$23*(Z$15&lt;=$J194)*(1-Z$12)</f>
        <v>0</v>
      </c>
      <c r="AA194" s="747">
        <f>$G194*$H194*(1+$K194)^MAX(ROUNDUP(IFERROR(DATEDIF($I194-1,AA$15+1,"m"),)/12,)-1,)*Index!W$23*(AA$15&lt;=$J194)*(1-AA$12)</f>
        <v>0</v>
      </c>
      <c r="AB194" s="747">
        <f>$G194*$H194*(1+$K194)^MAX(ROUNDUP(IFERROR(DATEDIF($I194-1,AB$15+1,"m"),)/12,)-1,)*Index!X$23*(AB$15&lt;=$J194)*(1-AB$12)</f>
        <v>0</v>
      </c>
      <c r="AC194" s="747">
        <f>$G194*$H194*(1+$K194)^MAX(ROUNDUP(IFERROR(DATEDIF($I194-1,AC$15+1,"m"),)/12,)-1,)*Index!Y$23*(AC$15&lt;=$J194)*(1-AC$12)</f>
        <v>0</v>
      </c>
      <c r="AD194" s="747">
        <f>$G194*$H194*(1+$K194)^MAX(ROUNDUP(IFERROR(DATEDIF($I194-1,AD$15+1,"m"),)/12,)-1,)*Index!Z$23*(AD$15&lt;=$J194)*(1-AD$12)</f>
        <v>0</v>
      </c>
      <c r="AE194" s="747">
        <f>$G194*$H194*(1+$K194)^MAX(ROUNDUP(IFERROR(DATEDIF($I194-1,AE$15+1,"m"),)/12,)-1,)*Index!AA$23*(AE$15&lt;=$J194)*(1-AE$12)</f>
        <v>0</v>
      </c>
      <c r="AF194" s="747">
        <f>$G194*$H194*(1+$K194)^MAX(ROUNDUP(IFERROR(DATEDIF($I194-1,AF$15+1,"m"),)/12,)-1,)*Index!AB$23*(AF$15&lt;=$J194)*(1-AF$12)</f>
        <v>0</v>
      </c>
      <c r="AG194" s="747">
        <f>$G194*$H194*(1+$K194)^MAX(ROUNDUP(IFERROR(DATEDIF($I194-1,AG$15+1,"m"),)/12,)-1,)*Index!AC$23*(AG$15&lt;=$J194)*(1-AG$12)</f>
        <v>0</v>
      </c>
      <c r="AH194" s="747">
        <f>$G194*$H194*(1+$K194)^MAX(ROUNDUP(IFERROR(DATEDIF($I194-1,AH$15+1,"m"),)/12,)-1,)*Index!AD$23*(AH$15&lt;=$J194)*(1-AH$12)</f>
        <v>0</v>
      </c>
      <c r="AI194" s="747">
        <f>$G194*$H194*(1+$K194)^MAX(ROUNDUP(IFERROR(DATEDIF($I194-1,AI$15+1,"m"),)/12,)-1,)*Index!AE$23*(AI$15&lt;=$J194)*(1-AI$12)</f>
        <v>0</v>
      </c>
      <c r="AJ194" s="747">
        <f>$G194*$H194*(1+$K194)^MAX(ROUNDUP(IFERROR(DATEDIF($I194-1,AJ$15+1,"m"),)/12,)-1,)*Index!AF$23*(AJ$15&lt;=$J194)*(1-AJ$12)</f>
        <v>0</v>
      </c>
      <c r="AK194" s="747">
        <f>$G194*$H194*(1+$K194)^MAX(ROUNDUP(IFERROR(DATEDIF($I194-1,AK$15+1,"m"),)/12,)-1,)*Index!AG$23*(AK$15&lt;=$J194)*(1-AK$12)</f>
        <v>0</v>
      </c>
      <c r="AL194" s="747">
        <f>$G194*$H194*(1+$K194)^MAX(ROUNDUP(IFERROR(DATEDIF($I194-1,AL$15+1,"m"),)/12,)-1,)*Index!AH$23*(AL$15&lt;=$J194)*(1-AL$12)</f>
        <v>0</v>
      </c>
      <c r="AM194" s="747">
        <f>$G194*$H194*(1+$K194)^MAX(ROUNDUP(IFERROR(DATEDIF($I194-1,AM$15+1,"m"),)/12,)-1,)*Index!AI$23*(AM$15&lt;=$J194)*(1-AM$12)</f>
        <v>0</v>
      </c>
      <c r="AN194" s="747">
        <f>$G194*$H194*(1+$K194)^MAX(ROUNDUP(IFERROR(DATEDIF($I194-1,AN$15+1,"m"),)/12,)-1,)*Index!AJ$23*(AN$15&lt;=$J194)*(1-AN$12)</f>
        <v>0</v>
      </c>
      <c r="AO194" s="747">
        <f>$G194*$H194*(1+$K194)^MAX(ROUNDUP(IFERROR(DATEDIF($I194-1,AO$15+1,"m"),)/12,)-1,)*Index!AK$23*(AO$15&lt;=$J194)*(1-AO$12)</f>
        <v>0</v>
      </c>
      <c r="AP194" s="747">
        <f>$G194*$H194*(1+$K194)^MAX(ROUNDUP(IFERROR(DATEDIF($I194-1,AP$15+1,"m"),)/12,)-1,)*Index!AL$23*(AP$15&lt;=$J194)*(1-AP$12)</f>
        <v>0</v>
      </c>
      <c r="AQ194" s="747">
        <f>$G194*$H194*(1+$K194)^MAX(ROUNDUP(IFERROR(DATEDIF($I194-1,AQ$15+1,"m"),)/12,)-1,)*Index!AM$23*(AQ$15&lt;=$J194)*(1-AQ$12)</f>
        <v>0</v>
      </c>
      <c r="AR194" s="747">
        <f>$G194*$H194*(1+$K194)^MAX(ROUNDUP(IFERROR(DATEDIF($I194-1,AR$15+1,"m"),)/12,)-1,)*Index!AN$23*(AR$15&lt;=$J194)*(1-AR$12)</f>
        <v>0</v>
      </c>
      <c r="AS194" s="747">
        <f>$G194*$H194*(1+$K194)^MAX(ROUNDUP(IFERROR(DATEDIF($I194-1,AS$15+1,"m"),)/12,)-1,)*Index!AO$23*(AS$15&lt;=$J194)*(1-AS$12)</f>
        <v>0</v>
      </c>
      <c r="AT194" s="747">
        <f>$G194*$H194*(1+$K194)^MAX(ROUNDUP(IFERROR(DATEDIF($I194-1,AT$15+1,"m"),)/12,)-1,)*Index!AP$23*(AT$15&lt;=$J194)*(1-AT$12)</f>
        <v>0</v>
      </c>
      <c r="AU194" s="747">
        <f>$G194*$H194*(1+$K194)^MAX(ROUNDUP(IFERROR(DATEDIF($I194-1,AU$15+1,"m"),)/12,)-1,)*Index!AQ$23*(AU$15&lt;=$J194)*(1-AU$12)</f>
        <v>0</v>
      </c>
      <c r="AV194" s="747">
        <f>$G194*$H194*(1+$K194)^MAX(ROUNDUP(IFERROR(DATEDIF($I194-1,AV$15+1,"m"),)/12,)-1,)*Index!AR$23*(AV$15&lt;=$J194)*(1-AV$12)</f>
        <v>0</v>
      </c>
      <c r="AW194" s="747">
        <f>$G194*$H194*(1+$K194)^MAX(ROUNDUP(IFERROR(DATEDIF($I194-1,AW$15+1,"m"),)/12,)-1,)*Index!AS$23*(AW$15&lt;=$J194)*(1-AW$12)</f>
        <v>0</v>
      </c>
      <c r="AX194" s="747">
        <f>$G194*$H194*(1+$K194)^MAX(ROUNDUP(IFERROR(DATEDIF($I194-1,AX$15+1,"m"),)/12,)-1,)*Index!AT$23*(AX$15&lt;=$J194)*(1-AX$12)</f>
        <v>0</v>
      </c>
      <c r="AY194" s="747">
        <f>$G194*$H194*(1+$K194)^MAX(ROUNDUP(IFERROR(DATEDIF($I194-1,AY$15+1,"m"),)/12,)-1,)*Index!AU$23*(AY$15&lt;=$J194)*(1-AY$12)</f>
        <v>0</v>
      </c>
      <c r="AZ194" s="747">
        <f>$G194*$H194*(1+$K194)^MAX(ROUNDUP(IFERROR(DATEDIF($I194-1,AZ$15+1,"m"),)/12,)-1,)*Index!AV$23*(AZ$15&lt;=$J194)*(1-AZ$12)</f>
        <v>0</v>
      </c>
      <c r="BA194" s="747">
        <f>$G194*$H194*(1+$K194)^MAX(ROUNDUP(IFERROR(DATEDIF($I194-1,BA$15+1,"m"),)/12,)-1,)*Index!AW$23*(BA$15&lt;=$J194)*(1-BA$12)</f>
        <v>0</v>
      </c>
      <c r="BB194" s="747">
        <f>$G194*$H194*(1+$K194)^MAX(ROUNDUP(IFERROR(DATEDIF($I194-1,BB$15+1,"m"),)/12,)-1,)*Index!AX$23*(BB$15&lt;=$J194)*(1-BB$12)</f>
        <v>0</v>
      </c>
      <c r="BC194" s="747">
        <f>$G194*$H194*(1+$K194)^MAX(ROUNDUP(IFERROR(DATEDIF($I194-1,BC$15+1,"m"),)/12,)-1,)*Index!AY$23*(BC$15&lt;=$J194)*(1-BC$12)</f>
        <v>0</v>
      </c>
      <c r="BD194" s="747">
        <f>$G194*$H194*(1+$K194)^MAX(ROUNDUP(IFERROR(DATEDIF($I194-1,BD$15+1,"m"),)/12,)-1,)*Index!AZ$23*(BD$15&lt;=$J194)*(1-BD$12)</f>
        <v>0</v>
      </c>
      <c r="BE194" s="747">
        <f>$G194*$H194*(1+$K194)^MAX(ROUNDUP(IFERROR(DATEDIF($I194-1,BE$15+1,"m"),)/12,)-1,)*Index!BA$23*(BE$15&lt;=$J194)*(1-BE$12)</f>
        <v>0</v>
      </c>
      <c r="BF194" s="747">
        <f>$G194*$H194*(1+$K194)^MAX(ROUNDUP(IFERROR(DATEDIF($I194-1,BF$15+1,"m"),)/12,)-1,)*Index!BB$23*(BF$15&lt;=$J194)*(1-BF$12)</f>
        <v>0</v>
      </c>
      <c r="BG194" s="747">
        <f>$G194*$H194*(1+$K194)^MAX(ROUNDUP(IFERROR(DATEDIF($I194-1,BG$15+1,"m"),)/12,)-1,)*Index!BC$23*(BG$15&lt;=$J194)*(1-BG$12)</f>
        <v>0</v>
      </c>
      <c r="BH194" s="747">
        <f>$G194*$H194*(1+$K194)^MAX(ROUNDUP(IFERROR(DATEDIF($I194-1,BH$15+1,"m"),)/12,)-1,)*Index!BD$23*(BH$15&lt;=$J194)*(1-BH$12)</f>
        <v>0</v>
      </c>
      <c r="BI194" s="747">
        <f>$G194*$H194*(1+$K194)^MAX(ROUNDUP(IFERROR(DATEDIF($I194-1,BI$15+1,"m"),)/12,)-1,)*Index!BE$23*(BI$15&lt;=$J194)*(1-BI$12)</f>
        <v>0</v>
      </c>
      <c r="BJ194" s="747">
        <f>$G194*$H194*(1+$K194)^MAX(ROUNDUP(IFERROR(DATEDIF($I194-1,BJ$15+1,"m"),)/12,)-1,)*Index!BF$23*(BJ$15&lt;=$J194)*(1-BJ$12)</f>
        <v>0</v>
      </c>
      <c r="BK194" s="747">
        <f>$G194*$H194*(1+$K194)^MAX(ROUNDUP(IFERROR(DATEDIF($I194-1,BK$15+1,"m"),)/12,)-1,)*Index!BG$23*(BK$15&lt;=$J194)*(1-BK$12)</f>
        <v>0</v>
      </c>
      <c r="BL194" s="747">
        <f>$G194*$H194*(1+$K194)^MAX(ROUNDUP(IFERROR(DATEDIF($I194-1,BL$15+1,"m"),)/12,)-1,)*Index!BH$23*(BL$15&lt;=$J194)*(1-BL$12)</f>
        <v>0</v>
      </c>
      <c r="BM194" s="747">
        <f>$G194*$H194*(1+$K194)^MAX(ROUNDUP(IFERROR(DATEDIF($I194-1,BM$15+1,"m"),)/12,)-1,)*Index!BI$23*(BM$15&lt;=$J194)*(1-BM$12)</f>
        <v>0</v>
      </c>
      <c r="BN194" s="747">
        <f>$G194*$H194*(1+$K194)^MAX(ROUNDUP(IFERROR(DATEDIF($I194-1,BN$15+1,"m"),)/12,)-1,)*Index!BJ$23*(BN$15&lt;=$J194)*(1-BN$12)</f>
        <v>0</v>
      </c>
      <c r="BO194" s="747">
        <f>$G194*$H194*(1+$K194)^MAX(ROUNDUP(IFERROR(DATEDIF($I194-1,BO$15+1,"m"),)/12,)-1,)*Index!BK$23*(BO$15&lt;=$J194)*(1-BO$12)</f>
        <v>0</v>
      </c>
      <c r="BP194" s="747">
        <f>$G194*$H194*(1+$K194)^MAX(ROUNDUP(IFERROR(DATEDIF($I194-1,BP$15+1,"m"),)/12,)-1,)*Index!BL$23*(BP$15&lt;=$J194)*(1-BP$12)</f>
        <v>0</v>
      </c>
      <c r="BQ194" s="747">
        <f>$G194*$H194*(1+$K194)^MAX(ROUNDUP(IFERROR(DATEDIF($I194-1,BQ$15+1,"m"),)/12,)-1,)*Index!BM$23*(BQ$15&lt;=$J194)*(1-BQ$12)</f>
        <v>0</v>
      </c>
      <c r="BR194" s="747">
        <f>$G194*$H194*(1+$K194)^MAX(ROUNDUP(IFERROR(DATEDIF($I194-1,BR$15+1,"m"),)/12,)-1,)*Index!BN$23*(BR$15&lt;=$J194)*(1-BR$12)</f>
        <v>0</v>
      </c>
      <c r="BS194" s="747">
        <f>$G194*$H194*(1+$K194)^MAX(ROUNDUP(IFERROR(DATEDIF($I194-1,BS$15+1,"m"),)/12,)-1,)*Index!BO$23*(BS$15&lt;=$J194)*(1-BS$12)</f>
        <v>0</v>
      </c>
      <c r="BT194" s="747">
        <f>$G194*$H194*(1+$K194)^MAX(ROUNDUP(IFERROR(DATEDIF($I194-1,BT$15+1,"m"),)/12,)-1,)*Index!BP$23*(BT$15&lt;=$J194)*(1-BT$12)</f>
        <v>0</v>
      </c>
      <c r="BU194" s="747">
        <f>$G194*$H194*(1+$K194)^MAX(ROUNDUP(IFERROR(DATEDIF($I194-1,BU$15+1,"m"),)/12,)-1,)*Index!BQ$23*(BU$15&lt;=$J194)*(1-BU$12)</f>
        <v>0</v>
      </c>
      <c r="BV194" s="747">
        <f>$G194*$H194*(1+$K194)^MAX(ROUNDUP(IFERROR(DATEDIF($I194-1,BV$15+1,"m"),)/12,)-1,)*Index!BR$23*(BV$15&lt;=$J194)*(1-BV$12)</f>
        <v>0</v>
      </c>
      <c r="BW194" s="747">
        <f>$G194*$H194*(1+$K194)^MAX(ROUNDUP(IFERROR(DATEDIF($I194-1,BW$15+1,"m"),)/12,)-1,)*Index!BS$23*(BW$15&lt;=$J194)*(1-BW$12)</f>
        <v>0</v>
      </c>
      <c r="BX194" s="747">
        <f>$G194*$H194*(1+$K194)^MAX(ROUNDUP(IFERROR(DATEDIF($I194-1,BX$15+1,"m"),)/12,)-1,)*Index!BT$23*(BX$15&lt;=$J194)*(1-BX$12)</f>
        <v>0</v>
      </c>
      <c r="BY194" s="747">
        <f>$G194*$H194*(1+$K194)^MAX(ROUNDUP(IFERROR(DATEDIF($I194-1,BY$15+1,"m"),)/12,)-1,)*Index!BU$23*(BY$15&lt;=$J194)*(1-BY$12)</f>
        <v>0</v>
      </c>
      <c r="BZ194" s="747">
        <f>$G194*$H194*(1+$K194)^MAX(ROUNDUP(IFERROR(DATEDIF($I194-1,BZ$15+1,"m"),)/12,)-1,)*Index!BV$23*(BZ$15&lt;=$J194)*(1-BZ$12)</f>
        <v>0</v>
      </c>
      <c r="CA194" s="747">
        <f>$G194*$H194*(1+$K194)^MAX(ROUNDUP(IFERROR(DATEDIF($I194-1,CA$15+1,"m"),)/12,)-1,)*Index!BW$23*(CA$15&lt;=$J194)*(1-CA$12)</f>
        <v>0</v>
      </c>
      <c r="CB194" s="747">
        <f>$G194*$H194*(1+$K194)^MAX(ROUNDUP(IFERROR(DATEDIF($I194-1,CB$15+1,"m"),)/12,)-1,)*Index!BX$23*(CB$15&lt;=$J194)*(1-CB$12)</f>
        <v>0</v>
      </c>
      <c r="CC194" s="747">
        <f>$G194*$H194*(1+$K194)^MAX(ROUNDUP(IFERROR(DATEDIF($I194-1,CC$15+1,"m"),)/12,)-1,)*Index!BY$23*(CC$15&lt;=$J194)*(1-CC$12)</f>
        <v>0</v>
      </c>
      <c r="CD194" s="747">
        <f>$G194*$H194*(1+$K194)^MAX(ROUNDUP(IFERROR(DATEDIF($I194-1,CD$15+1,"m"),)/12,)-1,)*Index!BZ$23*(CD$15&lt;=$J194)*(1-CD$12)</f>
        <v>0</v>
      </c>
      <c r="CE194" s="747">
        <f>$G194*$H194*(1+$K194)^MAX(ROUNDUP(IFERROR(DATEDIF($I194-1,CE$15+1,"m"),)/12,)-1,)*Index!CA$23*(CE$15&lt;=$J194)*(1-CE$12)</f>
        <v>0</v>
      </c>
      <c r="CF194" s="747">
        <f>$G194*$H194*(1+$K194)^MAX(ROUNDUP(IFERROR(DATEDIF($I194-1,CF$15+1,"m"),)/12,)-1,)*Index!CB$23*(CF$15&lt;=$J194)*(1-CF$12)</f>
        <v>0</v>
      </c>
      <c r="CG194" s="747">
        <f>$G194*$H194*(1+$K194)^MAX(ROUNDUP(IFERROR(DATEDIF($I194-1,CG$15+1,"m"),)/12,)-1,)*Index!CC$23*(CG$15&lt;=$J194)*(1-CG$12)</f>
        <v>0</v>
      </c>
      <c r="CH194" s="747">
        <f>$G194*$H194*(1+$K194)^MAX(ROUNDUP(IFERROR(DATEDIF($I194-1,CH$15+1,"m"),)/12,)-1,)*Index!CD$23*(CH$15&lt;=$J194)*(1-CH$12)</f>
        <v>0</v>
      </c>
      <c r="CI194" s="747">
        <f>$G194*$H194*(1+$K194)^MAX(ROUNDUP(IFERROR(DATEDIF($I194-1,CI$15+1,"m"),)/12,)-1,)*Index!CE$23*(CI$15&lt;=$J194)*(1-CI$12)</f>
        <v>0</v>
      </c>
      <c r="CJ194" s="747">
        <f>$G194*$H194*(1+$K194)^MAX(ROUNDUP(IFERROR(DATEDIF($I194-1,CJ$15+1,"m"),)/12,)-1,)*Index!CF$23*(CJ$15&lt;=$J194)*(1-CJ$12)</f>
        <v>0</v>
      </c>
      <c r="CK194" s="747">
        <f>$G194*$H194*(1+$K194)^MAX(ROUNDUP(IFERROR(DATEDIF($I194-1,CK$15+1,"m"),)/12,)-1,)*Index!CG$23*(CK$15&lt;=$J194)*(1-CK$12)</f>
        <v>0</v>
      </c>
      <c r="CL194" s="747">
        <f>$G194*$H194*(1+$K194)^MAX(ROUNDUP(IFERROR(DATEDIF($I194-1,CL$15+1,"m"),)/12,)-1,)*Index!CH$23*(CL$15&lt;=$J194)*(1-CL$12)</f>
        <v>0</v>
      </c>
      <c r="CM194" s="747">
        <f>$G194*$H194*(1+$K194)^MAX(ROUNDUP(IFERROR(DATEDIF($I194-1,CM$15+1,"m"),)/12,)-1,)*Index!CI$23*(CM$15&lt;=$J194)*(1-CM$12)</f>
        <v>0</v>
      </c>
      <c r="CN194" s="747">
        <f>$G194*$H194*(1+$K194)^MAX(ROUNDUP(IFERROR(DATEDIF($I194-1,CN$15+1,"m"),)/12,)-1,)*Index!CJ$23*(CN$15&lt;=$J194)*(1-CN$12)</f>
        <v>0</v>
      </c>
      <c r="CO194" s="747">
        <f>$G194*$H194*(1+$K194)^MAX(ROUNDUP(IFERROR(DATEDIF($I194-1,CO$15+1,"m"),)/12,)-1,)*Index!CK$23*(CO$15&lt;=$J194)*(1-CO$12)</f>
        <v>0</v>
      </c>
      <c r="CP194" s="747">
        <f>$G194*$H194*(1+$K194)^MAX(ROUNDUP(IFERROR(DATEDIF($I194-1,CP$15+1,"m"),)/12,)-1,)*Index!CL$23*(CP$15&lt;=$J194)*(1-CP$12)</f>
        <v>0</v>
      </c>
      <c r="CQ194" s="747">
        <f>$G194*$H194*(1+$K194)^MAX(ROUNDUP(IFERROR(DATEDIF($I194-1,CQ$15+1,"m"),)/12,)-1,)*Index!CM$23*(CQ$15&lt;=$J194)*(1-CQ$12)</f>
        <v>0</v>
      </c>
      <c r="CR194" s="747">
        <f>$G194*$H194*(1+$K194)^MAX(ROUNDUP(IFERROR(DATEDIF($I194-1,CR$15+1,"m"),)/12,)-1,)*Index!CN$23*(CR$15&lt;=$J194)*(1-CR$12)</f>
        <v>0</v>
      </c>
      <c r="CS194" s="747">
        <f>$G194*$H194*(1+$K194)^MAX(ROUNDUP(IFERROR(DATEDIF($I194-1,CS$15+1,"m"),)/12,)-1,)*Index!CO$23*(CS$15&lt;=$J194)*(1-CS$12)</f>
        <v>0</v>
      </c>
      <c r="CT194" s="747">
        <f>$G194*$H194*(1+$K194)^MAX(ROUNDUP(IFERROR(DATEDIF($I194-1,CT$15+1,"m"),)/12,)-1,)*Index!CP$23*(CT$15&lt;=$J194)*(1-CT$12)</f>
        <v>0</v>
      </c>
      <c r="CU194" s="747">
        <f>$G194*$H194*(1+$K194)^MAX(ROUNDUP(IFERROR(DATEDIF($I194-1,CU$15+1,"m"),)/12,)-1,)*Index!CQ$23*(CU$15&lt;=$J194)*(1-CU$12)</f>
        <v>0</v>
      </c>
      <c r="CV194" s="747">
        <f>$G194*$H194*(1+$K194)^MAX(ROUNDUP(IFERROR(DATEDIF($I194-1,CV$15+1,"m"),)/12,)-1,)*Index!CR$23*(CV$15&lt;=$J194)*(1-CV$12)</f>
        <v>0</v>
      </c>
      <c r="CW194" s="747">
        <f>$G194*$H194*(1+$K194)^MAX(ROUNDUP(IFERROR(DATEDIF($I194-1,CW$15+1,"m"),)/12,)-1,)*Index!CS$23*(CW$15&lt;=$J194)*(1-CW$12)</f>
        <v>0</v>
      </c>
      <c r="CX194" s="747">
        <f>$G194*$H194*(1+$K194)^MAX(ROUNDUP(IFERROR(DATEDIF($I194-1,CX$15+1,"m"),)/12,)-1,)*Index!CT$23*(CX$15&lt;=$J194)*(1-CX$12)</f>
        <v>0</v>
      </c>
      <c r="CY194" s="747">
        <f>$G194*$H194*(1+$K194)^MAX(ROUNDUP(IFERROR(DATEDIF($I194-1,CY$15+1,"m"),)/12,)-1,)*Index!CU$23*(CY$15&lt;=$J194)*(1-CY$12)</f>
        <v>0</v>
      </c>
      <c r="CZ194" s="747">
        <f>$G194*$H194*(1+$K194)^MAX(ROUNDUP(IFERROR(DATEDIF($I194-1,CZ$15+1,"m"),)/12,)-1,)*Index!CV$23*(CZ$15&lt;=$J194)*(1-CZ$12)</f>
        <v>0</v>
      </c>
      <c r="DA194" s="747">
        <f>$G194*$H194*(1+$K194)^MAX(ROUNDUP(IFERROR(DATEDIF($I194-1,DA$15+1,"m"),)/12,)-1,)*Index!CW$23*(DA$15&lt;=$J194)*(1-DA$12)</f>
        <v>0</v>
      </c>
      <c r="DB194" s="747">
        <f>$G194*$H194*(1+$K194)^MAX(ROUNDUP(IFERROR(DATEDIF($I194-1,DB$15+1,"m"),)/12,)-1,)*Index!CX$23*(DB$15&lt;=$J194)*(1-DB$12)</f>
        <v>0</v>
      </c>
      <c r="DC194" s="747">
        <f>$G194*$H194*(1+$K194)^MAX(ROUNDUP(IFERROR(DATEDIF($I194-1,DC$15+1,"m"),)/12,)-1,)*Index!CY$23*(DC$15&lt;=$J194)*(1-DC$12)</f>
        <v>0</v>
      </c>
      <c r="DD194" s="747">
        <f>$G194*$H194*(1+$K194)^MAX(ROUNDUP(IFERROR(DATEDIF($I194-1,DD$15+1,"m"),)/12,)-1,)*Index!CZ$23*(DD$15&lt;=$J194)*(1-DD$12)</f>
        <v>0</v>
      </c>
      <c r="DE194" s="747">
        <f>$G194*$H194*(1+$K194)^MAX(ROUNDUP(IFERROR(DATEDIF($I194-1,DE$15+1,"m"),)/12,)-1,)*Index!DA$23*(DE$15&lt;=$J194)*(1-DE$12)</f>
        <v>0</v>
      </c>
      <c r="DF194" s="747">
        <f>$G194*$H194*(1+$K194)^MAX(ROUNDUP(IFERROR(DATEDIF($I194-1,DF$15+1,"m"),)/12,)-1,)*Index!DB$23*(DF$15&lt;=$J194)*(1-DF$12)</f>
        <v>0</v>
      </c>
      <c r="DG194" s="747">
        <f>$G194*$H194*(1+$K194)^MAX(ROUNDUP(IFERROR(DATEDIF($I194-1,DG$15+1,"m"),)/12,)-1,)*Index!DC$23*(DG$15&lt;=$J194)*(1-DG$12)</f>
        <v>0</v>
      </c>
      <c r="DH194" s="747">
        <f>$G194*$H194*(1+$K194)^MAX(ROUNDUP(IFERROR(DATEDIF($I194-1,DH$15+1,"m"),)/12,)-1,)*Index!DD$23*(DH$15&lt;=$J194)*(1-DH$12)</f>
        <v>0</v>
      </c>
      <c r="DI194" s="747">
        <f>$G194*$H194*(1+$K194)^MAX(ROUNDUP(IFERROR(DATEDIF($I194-1,DI$15+1,"m"),)/12,)-1,)*Index!DE$23*(DI$15&lt;=$J194)*(1-DI$12)</f>
        <v>0</v>
      </c>
      <c r="DJ194" s="747">
        <f>$G194*$H194*(1+$K194)^MAX(ROUNDUP(IFERROR(DATEDIF($I194-1,DJ$15+1,"m"),)/12,)-1,)*Index!DF$23*(DJ$15&lt;=$J194)*(1-DJ$12)</f>
        <v>0</v>
      </c>
      <c r="DK194" s="747">
        <f>$G194*$H194*(1+$K194)^MAX(ROUNDUP(IFERROR(DATEDIF($I194-1,DK$15+1,"m"),)/12,)-1,)*Index!DG$23*(DK$15&lt;=$J194)*(1-DK$12)</f>
        <v>0</v>
      </c>
      <c r="DL194" s="747">
        <f>$G194*$H194*(1+$K194)^MAX(ROUNDUP(IFERROR(DATEDIF($I194-1,DL$15+1,"m"),)/12,)-1,)*Index!DH$23*(DL$15&lt;=$J194)*(1-DL$12)</f>
        <v>0</v>
      </c>
      <c r="DM194" s="747">
        <f>$G194*$H194*(1+$K194)^MAX(ROUNDUP(IFERROR(DATEDIF($I194-1,DM$15+1,"m"),)/12,)-1,)*Index!DI$23*(DM$15&lt;=$J194)*(1-DM$12)</f>
        <v>0</v>
      </c>
      <c r="DN194" s="747">
        <f>$G194*$H194*(1+$K194)^MAX(ROUNDUP(IFERROR(DATEDIF($I194-1,DN$15+1,"m"),)/12,)-1,)*Index!DJ$23*(DN$15&lt;=$J194)*(1-DN$12)</f>
        <v>0</v>
      </c>
      <c r="DO194" s="747">
        <f>$G194*$H194*(1+$K194)^MAX(ROUNDUP(IFERROR(DATEDIF($I194-1,DO$15+1,"m"),)/12,)-1,)*Index!DK$23*(DO$15&lt;=$J194)*(1-DO$12)</f>
        <v>0</v>
      </c>
      <c r="DP194" s="747">
        <f>$G194*$H194*(1+$K194)^MAX(ROUNDUP(IFERROR(DATEDIF($I194-1,DP$15+1,"m"),)/12,)-1,)*Index!DL$23*(DP$15&lt;=$J194)*(1-DP$12)</f>
        <v>0</v>
      </c>
      <c r="DQ194" s="747">
        <f>$G194*$H194*(1+$K194)^MAX(ROUNDUP(IFERROR(DATEDIF($I194-1,DQ$15+1,"m"),)/12,)-1,)*Index!DM$23*(DQ$15&lt;=$J194)*(1-DQ$12)</f>
        <v>0</v>
      </c>
      <c r="DR194" s="747">
        <f>$G194*$H194*(1+$K194)^MAX(ROUNDUP(IFERROR(DATEDIF($I194-1,DR$15+1,"m"),)/12,)-1,)*Index!DN$23*(DR$15&lt;=$J194)*(1-DR$12)</f>
        <v>0</v>
      </c>
      <c r="DS194" s="747">
        <f>$G194*$H194*(1+$K194)^MAX(ROUNDUP(IFERROR(DATEDIF($I194-1,DS$15+1,"m"),)/12,)-1,)*Index!DO$23*(DS$15&lt;=$J194)*(1-DS$12)</f>
        <v>0</v>
      </c>
      <c r="DT194" s="747">
        <f>$G194*$H194*(1+$K194)^MAX(ROUNDUP(IFERROR(DATEDIF($I194-1,DT$15+1,"m"),)/12,)-1,)*Index!DP$23*(DT$15&lt;=$J194)*(1-DT$12)</f>
        <v>0</v>
      </c>
      <c r="DU194" s="747">
        <f>$G194*$H194*(1+$K194)^MAX(ROUNDUP(IFERROR(DATEDIF($I194-1,DU$15+1,"m"),)/12,)-1,)*Index!DQ$23*(DU$15&lt;=$J194)*(1-DU$12)</f>
        <v>0</v>
      </c>
      <c r="DV194" s="747">
        <f>$G194*$H194*(1+$K194)^MAX(ROUNDUP(IFERROR(DATEDIF($I194-1,DV$15+1,"m"),)/12,)-1,)*Index!DR$23*(DV$15&lt;=$J194)*(1-DV$12)</f>
        <v>0</v>
      </c>
      <c r="DW194" s="747">
        <f>$G194*$H194*(1+$K194)^MAX(ROUNDUP(IFERROR(DATEDIF($I194-1,DW$15+1,"m"),)/12,)-1,)*Index!DS$23*(DW$15&lt;=$J194)*(1-DW$12)</f>
        <v>0</v>
      </c>
      <c r="DX194" s="747">
        <f>$G194*$H194*(1+$K194)^MAX(ROUNDUP(IFERROR(DATEDIF($I194-1,DX$15+1,"m"),)/12,)-1,)*Index!DT$23*(DX$15&lt;=$J194)*(1-DX$12)</f>
        <v>0</v>
      </c>
      <c r="DY194" s="747">
        <f>$G194*$H194*(1+$K194)^MAX(ROUNDUP(IFERROR(DATEDIF($I194-1,DY$15+1,"m"),)/12,)-1,)*Index!DU$23*(DY$15&lt;=$J194)*(1-DY$12)</f>
        <v>0</v>
      </c>
      <c r="DZ194" s="747">
        <f>$G194*$H194*(1+$K194)^MAX(ROUNDUP(IFERROR(DATEDIF($I194-1,DZ$15+1,"m"),)/12,)-1,)*Index!DV$23*(DZ$15&lt;=$J194)*(1-DZ$12)</f>
        <v>0</v>
      </c>
      <c r="EA194" s="747">
        <f>$G194*$H194*(1+$K194)^MAX(ROUNDUP(IFERROR(DATEDIF($I194-1,EA$15+1,"m"),)/12,)-1,)*Index!DW$23*(EA$15&lt;=$J194)*(1-EA$12)</f>
        <v>0</v>
      </c>
      <c r="EB194" s="747">
        <f>$G194*$H194*(1+$K194)^MAX(ROUNDUP(IFERROR(DATEDIF($I194-1,EB$15+1,"m"),)/12,)-1,)*Index!DX$23*(EB$15&lt;=$J194)*(1-EB$12)</f>
        <v>0</v>
      </c>
      <c r="EC194" s="747">
        <f>$G194*$H194*(1+$K194)^MAX(ROUNDUP(IFERROR(DATEDIF($I194-1,EC$15+1,"m"),)/12,)-1,)*Index!DY$23*(EC$15&lt;=$J194)*(1-EC$12)</f>
        <v>0</v>
      </c>
      <c r="ED194" s="747">
        <f>$G194*$H194*(1+$K194)^MAX(ROUNDUP(IFERROR(DATEDIF($I194-1,ED$15+1,"m"),)/12,)-1,)*Index!DZ$23*(ED$15&lt;=$J194)*(1-ED$12)</f>
        <v>0</v>
      </c>
      <c r="EE194" s="747">
        <f>$G194*$H194*(1+$K194)^MAX(ROUNDUP(IFERROR(DATEDIF($I194-1,EE$15+1,"m"),)/12,)-1,)*Index!EA$23*(EE$15&lt;=$J194)*(1-EE$12)</f>
        <v>0</v>
      </c>
      <c r="EF194" s="747">
        <f>$G194*$H194*(1+$K194)^MAX(ROUNDUP(IFERROR(DATEDIF($I194-1,EF$15+1,"m"),)/12,)-1,)*Index!EB$23*(EF$15&lt;=$J194)*(1-EF$12)</f>
        <v>0</v>
      </c>
      <c r="EG194" s="747">
        <f>$G194*$H194*(1+$K194)^MAX(ROUNDUP(IFERROR(DATEDIF($I194-1,EG$15+1,"m"),)/12,)-1,)*Index!EC$23*(EG$15&lt;=$J194)*(1-EG$12)</f>
        <v>0</v>
      </c>
      <c r="EH194" s="747">
        <f>$G194*$H194*(1+$K194)^MAX(ROUNDUP(IFERROR(DATEDIF($I194-1,EH$15+1,"m"),)/12,)-1,)*Index!ED$23*(EH$15&lt;=$J194)*(1-EH$12)</f>
        <v>0</v>
      </c>
      <c r="EI194" s="747">
        <f>$G194*$H194*(1+$K194)^MAX(ROUNDUP(IFERROR(DATEDIF($I194-1,EI$15+1,"m"),)/12,)-1,)*Index!EE$23*(EI$15&lt;=$J194)*(1-EI$12)</f>
        <v>0</v>
      </c>
      <c r="EJ194" s="747">
        <f>$G194*$H194*(1+$K194)^MAX(ROUNDUP(IFERROR(DATEDIF($I194-1,EJ$15+1,"m"),)/12,)-1,)*Index!EF$23*(EJ$15&lt;=$J194)*(1-EJ$12)</f>
        <v>0</v>
      </c>
      <c r="EK194" s="747">
        <f>$G194*$H194*(1+$K194)^MAX(ROUNDUP(IFERROR(DATEDIF($I194-1,EK$15+1,"m"),)/12,)-1,)*Index!EG$23*(EK$15&lt;=$J194)*(1-EK$12)</f>
        <v>0</v>
      </c>
      <c r="EL194" s="747">
        <f>$G194*$H194*(1+$K194)^MAX(ROUNDUP(IFERROR(DATEDIF($I194-1,EL$15+1,"m"),)/12,)-1,)*Index!EH$23*(EL$15&lt;=$J194)*(1-EL$12)</f>
        <v>0</v>
      </c>
      <c r="EM194" s="747">
        <f>$G194*$H194*(1+$K194)^MAX(ROUNDUP(IFERROR(DATEDIF($I194-1,EM$15+1,"m"),)/12,)-1,)*Index!EI$23*(EM$15&lt;=$J194)*(1-EM$12)</f>
        <v>0</v>
      </c>
      <c r="EN194" s="747">
        <f>$G194*$H194*(1+$K194)^MAX(ROUNDUP(IFERROR(DATEDIF($I194-1,EN$15+1,"m"),)/12,)-1,)*Index!EJ$23*(EN$15&lt;=$J194)*(1-EN$12)</f>
        <v>0</v>
      </c>
      <c r="EO194" s="747">
        <f>$G194*$H194*(1+$K194)^MAX(ROUNDUP(IFERROR(DATEDIF($I194-1,EO$15+1,"m"),)/12,)-1,)*Index!EK$23*(EO$15&lt;=$J194)*(1-EO$12)</f>
        <v>0</v>
      </c>
      <c r="EP194" s="747">
        <f>$G194*$H194*(1+$K194)^MAX(ROUNDUP(IFERROR(DATEDIF($I194-1,EP$15+1,"m"),)/12,)-1,)*Index!EL$23*(EP$15&lt;=$J194)*(1-EP$12)</f>
        <v>0</v>
      </c>
      <c r="EQ194" s="747">
        <f>$G194*$H194*(1+$K194)^MAX(ROUNDUP(IFERROR(DATEDIF($I194-1,EQ$15+1,"m"),)/12,)-1,)*Index!EM$23*(EQ$15&lt;=$J194)*(1-EQ$12)</f>
        <v>0</v>
      </c>
      <c r="ER194" s="747">
        <f>$G194*$H194*(1+$K194)^MAX(ROUNDUP(IFERROR(DATEDIF($I194-1,ER$15+1,"m"),)/12,)-1,)*Index!EN$23*(ER$15&lt;=$J194)*(1-ER$12)</f>
        <v>0</v>
      </c>
      <c r="ES194" s="747">
        <f>$G194*$H194*(1+$K194)^MAX(ROUNDUP(IFERROR(DATEDIF($I194-1,ES$15+1,"m"),)/12,)-1,)*Index!EO$23*(ES$15&lt;=$J194)*(1-ES$12)</f>
        <v>0</v>
      </c>
      <c r="ET194" s="747">
        <f>$G194*$H194*(1+$K194)^MAX(ROUNDUP(IFERROR(DATEDIF($I194-1,ET$15+1,"m"),)/12,)-1,)*Index!EP$23*(ET$15&lt;=$J194)*(1-ET$12)</f>
        <v>0</v>
      </c>
      <c r="EU194" s="747">
        <f>$G194*$H194*(1+$K194)^MAX(ROUNDUP(IFERROR(DATEDIF($I194-1,EU$15+1,"m"),)/12,)-1,)*Index!EQ$23*(EU$15&lt;=$J194)*(1-EU$12)</f>
        <v>0</v>
      </c>
    </row>
    <row r="195" spans="3:151" ht="11.25" customHeight="1">
      <c r="C195" s="828"/>
      <c r="D195" s="743" t="str">
        <f t="shared" ref="D195:K195" si="267">D159</f>
        <v>B2</v>
      </c>
      <c r="E195" s="704" t="str">
        <f t="shared" si="267"/>
        <v>쿠팡</v>
      </c>
      <c r="F195" s="704" t="str">
        <f t="shared" si="267"/>
        <v>상온창고</v>
      </c>
      <c r="G195" s="781">
        <f t="shared" si="267"/>
        <v>3</v>
      </c>
      <c r="H195" s="744">
        <f t="shared" si="267"/>
        <v>2728.21</v>
      </c>
      <c r="I195" s="745">
        <f t="shared" si="267"/>
        <v>45992</v>
      </c>
      <c r="J195" s="745">
        <f t="shared" si="267"/>
        <v>49064</v>
      </c>
      <c r="K195" s="754">
        <f t="shared" si="267"/>
        <v>2.5000000000000001E-2</v>
      </c>
      <c r="L195" s="711"/>
      <c r="M195" s="722"/>
      <c r="N195" s="747">
        <f t="shared" si="252"/>
        <v>0</v>
      </c>
      <c r="O195" s="733"/>
      <c r="P195" s="747">
        <f>$G195*$H195*(1+$K195)^MAX(ROUNDUP(IFERROR(DATEDIF($I195-1,P$15+1,"m"),)/12,)-1,)*Index!L$23*(P$15&lt;=$J195)*(1-P$12)</f>
        <v>0</v>
      </c>
      <c r="Q195" s="747">
        <f>$G195*$H195*(1+$K195)^MAX(ROUNDUP(IFERROR(DATEDIF($I195-1,Q$15+1,"m"),)/12,)-1,)*Index!M$23*(Q$15&lt;=$J195)*(1-Q$12)</f>
        <v>0</v>
      </c>
      <c r="R195" s="747">
        <f>$G195*$H195*(1+$K195)^MAX(ROUNDUP(IFERROR(DATEDIF($I195-1,R$15+1,"m"),)/12,)-1,)*Index!N$23*(R$15&lt;=$J195)*(1-R$12)</f>
        <v>0</v>
      </c>
      <c r="S195" s="747">
        <f>$G195*$H195*(1+$K195)^MAX(ROUNDUP(IFERROR(DATEDIF($I195-1,S$15+1,"m"),)/12,)-1,)*Index!O$23*(S$15&lt;=$J195)*(1-S$12)</f>
        <v>0</v>
      </c>
      <c r="T195" s="747">
        <f>$G195*$H195*(1+$K195)^MAX(ROUNDUP(IFERROR(DATEDIF($I195-1,T$15+1,"m"),)/12,)-1,)*Index!P$23*(T$15&lt;=$J195)*(1-T$12)</f>
        <v>0</v>
      </c>
      <c r="U195" s="747">
        <f>$G195*$H195*(1+$K195)^MAX(ROUNDUP(IFERROR(DATEDIF($I195-1,U$15+1,"m"),)/12,)-1,)*Index!Q$23*(U$15&lt;=$J195)*(1-U$12)</f>
        <v>0</v>
      </c>
      <c r="V195" s="747">
        <f>$G195*$H195*(1+$K195)^MAX(ROUNDUP(IFERROR(DATEDIF($I195-1,V$15+1,"m"),)/12,)-1,)*Index!R$23*(V$15&lt;=$J195)*(1-V$12)</f>
        <v>0</v>
      </c>
      <c r="W195" s="747">
        <f>$G195*$H195*(1+$K195)^MAX(ROUNDUP(IFERROR(DATEDIF($I195-1,W$15+1,"m"),)/12,)-1,)*Index!S$23*(W$15&lt;=$J195)*(1-W$12)</f>
        <v>0</v>
      </c>
      <c r="X195" s="747">
        <f>$G195*$H195*(1+$K195)^MAX(ROUNDUP(IFERROR(DATEDIF($I195-1,X$15+1,"m"),)/12,)-1,)*Index!T$23*(X$15&lt;=$J195)*(1-X$12)</f>
        <v>0</v>
      </c>
      <c r="Y195" s="747">
        <f>$G195*$H195*(1+$K195)^MAX(ROUNDUP(IFERROR(DATEDIF($I195-1,Y$15+1,"m"),)/12,)-1,)*Index!U$23*(Y$15&lt;=$J195)*(1-Y$12)</f>
        <v>0</v>
      </c>
      <c r="Z195" s="747">
        <f>$G195*$H195*(1+$K195)^MAX(ROUNDUP(IFERROR(DATEDIF($I195-1,Z$15+1,"m"),)/12,)-1,)*Index!V$23*(Z$15&lt;=$J195)*(1-Z$12)</f>
        <v>0</v>
      </c>
      <c r="AA195" s="747">
        <f>$G195*$H195*(1+$K195)^MAX(ROUNDUP(IFERROR(DATEDIF($I195-1,AA$15+1,"m"),)/12,)-1,)*Index!W$23*(AA$15&lt;=$J195)*(1-AA$12)</f>
        <v>0</v>
      </c>
      <c r="AB195" s="747">
        <f>$G195*$H195*(1+$K195)^MAX(ROUNDUP(IFERROR(DATEDIF($I195-1,AB$15+1,"m"),)/12,)-1,)*Index!X$23*(AB$15&lt;=$J195)*(1-AB$12)</f>
        <v>0</v>
      </c>
      <c r="AC195" s="747">
        <f>$G195*$H195*(1+$K195)^MAX(ROUNDUP(IFERROR(DATEDIF($I195-1,AC$15+1,"m"),)/12,)-1,)*Index!Y$23*(AC$15&lt;=$J195)*(1-AC$12)</f>
        <v>0</v>
      </c>
      <c r="AD195" s="747">
        <f>$G195*$H195*(1+$K195)^MAX(ROUNDUP(IFERROR(DATEDIF($I195-1,AD$15+1,"m"),)/12,)-1,)*Index!Z$23*(AD$15&lt;=$J195)*(1-AD$12)</f>
        <v>0</v>
      </c>
      <c r="AE195" s="747">
        <f>$G195*$H195*(1+$K195)^MAX(ROUNDUP(IFERROR(DATEDIF($I195-1,AE$15+1,"m"),)/12,)-1,)*Index!AA$23*(AE$15&lt;=$J195)*(1-AE$12)</f>
        <v>0</v>
      </c>
      <c r="AF195" s="747">
        <f>$G195*$H195*(1+$K195)^MAX(ROUNDUP(IFERROR(DATEDIF($I195-1,AF$15+1,"m"),)/12,)-1,)*Index!AB$23*(AF$15&lt;=$J195)*(1-AF$12)</f>
        <v>0</v>
      </c>
      <c r="AG195" s="747">
        <f>$G195*$H195*(1+$K195)^MAX(ROUNDUP(IFERROR(DATEDIF($I195-1,AG$15+1,"m"),)/12,)-1,)*Index!AC$23*(AG$15&lt;=$J195)*(1-AG$12)</f>
        <v>0</v>
      </c>
      <c r="AH195" s="747">
        <f>$G195*$H195*(1+$K195)^MAX(ROUNDUP(IFERROR(DATEDIF($I195-1,AH$15+1,"m"),)/12,)-1,)*Index!AD$23*(AH$15&lt;=$J195)*(1-AH$12)</f>
        <v>0</v>
      </c>
      <c r="AI195" s="747">
        <f>$G195*$H195*(1+$K195)^MAX(ROUNDUP(IFERROR(DATEDIF($I195-1,AI$15+1,"m"),)/12,)-1,)*Index!AE$23*(AI$15&lt;=$J195)*(1-AI$12)</f>
        <v>0</v>
      </c>
      <c r="AJ195" s="747">
        <f>$G195*$H195*(1+$K195)^MAX(ROUNDUP(IFERROR(DATEDIF($I195-1,AJ$15+1,"m"),)/12,)-1,)*Index!AF$23*(AJ$15&lt;=$J195)*(1-AJ$12)</f>
        <v>0</v>
      </c>
      <c r="AK195" s="747">
        <f>$G195*$H195*(1+$K195)^MAX(ROUNDUP(IFERROR(DATEDIF($I195-1,AK$15+1,"m"),)/12,)-1,)*Index!AG$23*(AK$15&lt;=$J195)*(1-AK$12)</f>
        <v>0</v>
      </c>
      <c r="AL195" s="747">
        <f>$G195*$H195*(1+$K195)^MAX(ROUNDUP(IFERROR(DATEDIF($I195-1,AL$15+1,"m"),)/12,)-1,)*Index!AH$23*(AL$15&lt;=$J195)*(1-AL$12)</f>
        <v>0</v>
      </c>
      <c r="AM195" s="747">
        <f>$G195*$H195*(1+$K195)^MAX(ROUNDUP(IFERROR(DATEDIF($I195-1,AM$15+1,"m"),)/12,)-1,)*Index!AI$23*(AM$15&lt;=$J195)*(1-AM$12)</f>
        <v>0</v>
      </c>
      <c r="AN195" s="747">
        <f>$G195*$H195*(1+$K195)^MAX(ROUNDUP(IFERROR(DATEDIF($I195-1,AN$15+1,"m"),)/12,)-1,)*Index!AJ$23*(AN$15&lt;=$J195)*(1-AN$12)</f>
        <v>0</v>
      </c>
      <c r="AO195" s="747">
        <f>$G195*$H195*(1+$K195)^MAX(ROUNDUP(IFERROR(DATEDIF($I195-1,AO$15+1,"m"),)/12,)-1,)*Index!AK$23*(AO$15&lt;=$J195)*(1-AO$12)</f>
        <v>0</v>
      </c>
      <c r="AP195" s="747">
        <f>$G195*$H195*(1+$K195)^MAX(ROUNDUP(IFERROR(DATEDIF($I195-1,AP$15+1,"m"),)/12,)-1,)*Index!AL$23*(AP$15&lt;=$J195)*(1-AP$12)</f>
        <v>0</v>
      </c>
      <c r="AQ195" s="747">
        <f>$G195*$H195*(1+$K195)^MAX(ROUNDUP(IFERROR(DATEDIF($I195-1,AQ$15+1,"m"),)/12,)-1,)*Index!AM$23*(AQ$15&lt;=$J195)*(1-AQ$12)</f>
        <v>0</v>
      </c>
      <c r="AR195" s="747">
        <f>$G195*$H195*(1+$K195)^MAX(ROUNDUP(IFERROR(DATEDIF($I195-1,AR$15+1,"m"),)/12,)-1,)*Index!AN$23*(AR$15&lt;=$J195)*(1-AR$12)</f>
        <v>0</v>
      </c>
      <c r="AS195" s="747">
        <f>$G195*$H195*(1+$K195)^MAX(ROUNDUP(IFERROR(DATEDIF($I195-1,AS$15+1,"m"),)/12,)-1,)*Index!AO$23*(AS$15&lt;=$J195)*(1-AS$12)</f>
        <v>0</v>
      </c>
      <c r="AT195" s="747">
        <f>$G195*$H195*(1+$K195)^MAX(ROUNDUP(IFERROR(DATEDIF($I195-1,AT$15+1,"m"),)/12,)-1,)*Index!AP$23*(AT$15&lt;=$J195)*(1-AT$12)</f>
        <v>0</v>
      </c>
      <c r="AU195" s="747">
        <f>$G195*$H195*(1+$K195)^MAX(ROUNDUP(IFERROR(DATEDIF($I195-1,AU$15+1,"m"),)/12,)-1,)*Index!AQ$23*(AU$15&lt;=$J195)*(1-AU$12)</f>
        <v>0</v>
      </c>
      <c r="AV195" s="747">
        <f>$G195*$H195*(1+$K195)^MAX(ROUNDUP(IFERROR(DATEDIF($I195-1,AV$15+1,"m"),)/12,)-1,)*Index!AR$23*(AV$15&lt;=$J195)*(1-AV$12)</f>
        <v>0</v>
      </c>
      <c r="AW195" s="747">
        <f>$G195*$H195*(1+$K195)^MAX(ROUNDUP(IFERROR(DATEDIF($I195-1,AW$15+1,"m"),)/12,)-1,)*Index!AS$23*(AW$15&lt;=$J195)*(1-AW$12)</f>
        <v>0</v>
      </c>
      <c r="AX195" s="747">
        <f>$G195*$H195*(1+$K195)^MAX(ROUNDUP(IFERROR(DATEDIF($I195-1,AX$15+1,"m"),)/12,)-1,)*Index!AT$23*(AX$15&lt;=$J195)*(1-AX$12)</f>
        <v>0</v>
      </c>
      <c r="AY195" s="747">
        <f>$G195*$H195*(1+$K195)^MAX(ROUNDUP(IFERROR(DATEDIF($I195-1,AY$15+1,"m"),)/12,)-1,)*Index!AU$23*(AY$15&lt;=$J195)*(1-AY$12)</f>
        <v>0</v>
      </c>
      <c r="AZ195" s="747">
        <f>$G195*$H195*(1+$K195)^MAX(ROUNDUP(IFERROR(DATEDIF($I195-1,AZ$15+1,"m"),)/12,)-1,)*Index!AV$23*(AZ$15&lt;=$J195)*(1-AZ$12)</f>
        <v>0</v>
      </c>
      <c r="BA195" s="747">
        <f>$G195*$H195*(1+$K195)^MAX(ROUNDUP(IFERROR(DATEDIF($I195-1,BA$15+1,"m"),)/12,)-1,)*Index!AW$23*(BA$15&lt;=$J195)*(1-BA$12)</f>
        <v>0</v>
      </c>
      <c r="BB195" s="747">
        <f>$G195*$H195*(1+$K195)^MAX(ROUNDUP(IFERROR(DATEDIF($I195-1,BB$15+1,"m"),)/12,)-1,)*Index!AX$23*(BB$15&lt;=$J195)*(1-BB$12)</f>
        <v>0</v>
      </c>
      <c r="BC195" s="747">
        <f>$G195*$H195*(1+$K195)^MAX(ROUNDUP(IFERROR(DATEDIF($I195-1,BC$15+1,"m"),)/12,)-1,)*Index!AY$23*(BC$15&lt;=$J195)*(1-BC$12)</f>
        <v>0</v>
      </c>
      <c r="BD195" s="747">
        <f>$G195*$H195*(1+$K195)^MAX(ROUNDUP(IFERROR(DATEDIF($I195-1,BD$15+1,"m"),)/12,)-1,)*Index!AZ$23*(BD$15&lt;=$J195)*(1-BD$12)</f>
        <v>0</v>
      </c>
      <c r="BE195" s="747">
        <f>$G195*$H195*(1+$K195)^MAX(ROUNDUP(IFERROR(DATEDIF($I195-1,BE$15+1,"m"),)/12,)-1,)*Index!BA$23*(BE$15&lt;=$J195)*(1-BE$12)</f>
        <v>0</v>
      </c>
      <c r="BF195" s="747">
        <f>$G195*$H195*(1+$K195)^MAX(ROUNDUP(IFERROR(DATEDIF($I195-1,BF$15+1,"m"),)/12,)-1,)*Index!BB$23*(BF$15&lt;=$J195)*(1-BF$12)</f>
        <v>0</v>
      </c>
      <c r="BG195" s="747">
        <f>$G195*$H195*(1+$K195)^MAX(ROUNDUP(IFERROR(DATEDIF($I195-1,BG$15+1,"m"),)/12,)-1,)*Index!BC$23*(BG$15&lt;=$J195)*(1-BG$12)</f>
        <v>0</v>
      </c>
      <c r="BH195" s="747">
        <f>$G195*$H195*(1+$K195)^MAX(ROUNDUP(IFERROR(DATEDIF($I195-1,BH$15+1,"m"),)/12,)-1,)*Index!BD$23*(BH$15&lt;=$J195)*(1-BH$12)</f>
        <v>0</v>
      </c>
      <c r="BI195" s="747">
        <f>$G195*$H195*(1+$K195)^MAX(ROUNDUP(IFERROR(DATEDIF($I195-1,BI$15+1,"m"),)/12,)-1,)*Index!BE$23*(BI$15&lt;=$J195)*(1-BI$12)</f>
        <v>0</v>
      </c>
      <c r="BJ195" s="747">
        <f>$G195*$H195*(1+$K195)^MAX(ROUNDUP(IFERROR(DATEDIF($I195-1,BJ$15+1,"m"),)/12,)-1,)*Index!BF$23*(BJ$15&lt;=$J195)*(1-BJ$12)</f>
        <v>0</v>
      </c>
      <c r="BK195" s="747">
        <f>$G195*$H195*(1+$K195)^MAX(ROUNDUP(IFERROR(DATEDIF($I195-1,BK$15+1,"m"),)/12,)-1,)*Index!BG$23*(BK$15&lt;=$J195)*(1-BK$12)</f>
        <v>0</v>
      </c>
      <c r="BL195" s="747">
        <f>$G195*$H195*(1+$K195)^MAX(ROUNDUP(IFERROR(DATEDIF($I195-1,BL$15+1,"m"),)/12,)-1,)*Index!BH$23*(BL$15&lt;=$J195)*(1-BL$12)</f>
        <v>0</v>
      </c>
      <c r="BM195" s="747">
        <f>$G195*$H195*(1+$K195)^MAX(ROUNDUP(IFERROR(DATEDIF($I195-1,BM$15+1,"m"),)/12,)-1,)*Index!BI$23*(BM$15&lt;=$J195)*(1-BM$12)</f>
        <v>0</v>
      </c>
      <c r="BN195" s="747">
        <f>$G195*$H195*(1+$K195)^MAX(ROUNDUP(IFERROR(DATEDIF($I195-1,BN$15+1,"m"),)/12,)-1,)*Index!BJ$23*(BN$15&lt;=$J195)*(1-BN$12)</f>
        <v>0</v>
      </c>
      <c r="BO195" s="747">
        <f>$G195*$H195*(1+$K195)^MAX(ROUNDUP(IFERROR(DATEDIF($I195-1,BO$15+1,"m"),)/12,)-1,)*Index!BK$23*(BO$15&lt;=$J195)*(1-BO$12)</f>
        <v>0</v>
      </c>
      <c r="BP195" s="747">
        <f>$G195*$H195*(1+$K195)^MAX(ROUNDUP(IFERROR(DATEDIF($I195-1,BP$15+1,"m"),)/12,)-1,)*Index!BL$23*(BP$15&lt;=$J195)*(1-BP$12)</f>
        <v>0</v>
      </c>
      <c r="BQ195" s="747">
        <f>$G195*$H195*(1+$K195)^MAX(ROUNDUP(IFERROR(DATEDIF($I195-1,BQ$15+1,"m"),)/12,)-1,)*Index!BM$23*(BQ$15&lt;=$J195)*(1-BQ$12)</f>
        <v>0</v>
      </c>
      <c r="BR195" s="747">
        <f>$G195*$H195*(1+$K195)^MAX(ROUNDUP(IFERROR(DATEDIF($I195-1,BR$15+1,"m"),)/12,)-1,)*Index!BN$23*(BR$15&lt;=$J195)*(1-BR$12)</f>
        <v>0</v>
      </c>
      <c r="BS195" s="747">
        <f>$G195*$H195*(1+$K195)^MAX(ROUNDUP(IFERROR(DATEDIF($I195-1,BS$15+1,"m"),)/12,)-1,)*Index!BO$23*(BS$15&lt;=$J195)*(1-BS$12)</f>
        <v>0</v>
      </c>
      <c r="BT195" s="747">
        <f>$G195*$H195*(1+$K195)^MAX(ROUNDUP(IFERROR(DATEDIF($I195-1,BT$15+1,"m"),)/12,)-1,)*Index!BP$23*(BT$15&lt;=$J195)*(1-BT$12)</f>
        <v>0</v>
      </c>
      <c r="BU195" s="747">
        <f>$G195*$H195*(1+$K195)^MAX(ROUNDUP(IFERROR(DATEDIF($I195-1,BU$15+1,"m"),)/12,)-1,)*Index!BQ$23*(BU$15&lt;=$J195)*(1-BU$12)</f>
        <v>0</v>
      </c>
      <c r="BV195" s="747">
        <f>$G195*$H195*(1+$K195)^MAX(ROUNDUP(IFERROR(DATEDIF($I195-1,BV$15+1,"m"),)/12,)-1,)*Index!BR$23*(BV$15&lt;=$J195)*(1-BV$12)</f>
        <v>0</v>
      </c>
      <c r="BW195" s="747">
        <f>$G195*$H195*(1+$K195)^MAX(ROUNDUP(IFERROR(DATEDIF($I195-1,BW$15+1,"m"),)/12,)-1,)*Index!BS$23*(BW$15&lt;=$J195)*(1-BW$12)</f>
        <v>0</v>
      </c>
      <c r="BX195" s="747">
        <f>$G195*$H195*(1+$K195)^MAX(ROUNDUP(IFERROR(DATEDIF($I195-1,BX$15+1,"m"),)/12,)-1,)*Index!BT$23*(BX$15&lt;=$J195)*(1-BX$12)</f>
        <v>0</v>
      </c>
      <c r="BY195" s="747">
        <f>$G195*$H195*(1+$K195)^MAX(ROUNDUP(IFERROR(DATEDIF($I195-1,BY$15+1,"m"),)/12,)-1,)*Index!BU$23*(BY$15&lt;=$J195)*(1-BY$12)</f>
        <v>0</v>
      </c>
      <c r="BZ195" s="747">
        <f>$G195*$H195*(1+$K195)^MAX(ROUNDUP(IFERROR(DATEDIF($I195-1,BZ$15+1,"m"),)/12,)-1,)*Index!BV$23*(BZ$15&lt;=$J195)*(1-BZ$12)</f>
        <v>0</v>
      </c>
      <c r="CA195" s="747">
        <f>$G195*$H195*(1+$K195)^MAX(ROUNDUP(IFERROR(DATEDIF($I195-1,CA$15+1,"m"),)/12,)-1,)*Index!BW$23*(CA$15&lt;=$J195)*(1-CA$12)</f>
        <v>0</v>
      </c>
      <c r="CB195" s="747">
        <f>$G195*$H195*(1+$K195)^MAX(ROUNDUP(IFERROR(DATEDIF($I195-1,CB$15+1,"m"),)/12,)-1,)*Index!BX$23*(CB$15&lt;=$J195)*(1-CB$12)</f>
        <v>0</v>
      </c>
      <c r="CC195" s="747">
        <f>$G195*$H195*(1+$K195)^MAX(ROUNDUP(IFERROR(DATEDIF($I195-1,CC$15+1,"m"),)/12,)-1,)*Index!BY$23*(CC$15&lt;=$J195)*(1-CC$12)</f>
        <v>0</v>
      </c>
      <c r="CD195" s="747">
        <f>$G195*$H195*(1+$K195)^MAX(ROUNDUP(IFERROR(DATEDIF($I195-1,CD$15+1,"m"),)/12,)-1,)*Index!BZ$23*(CD$15&lt;=$J195)*(1-CD$12)</f>
        <v>0</v>
      </c>
      <c r="CE195" s="747">
        <f>$G195*$H195*(1+$K195)^MAX(ROUNDUP(IFERROR(DATEDIF($I195-1,CE$15+1,"m"),)/12,)-1,)*Index!CA$23*(CE$15&lt;=$J195)*(1-CE$12)</f>
        <v>0</v>
      </c>
      <c r="CF195" s="747">
        <f>$G195*$H195*(1+$K195)^MAX(ROUNDUP(IFERROR(DATEDIF($I195-1,CF$15+1,"m"),)/12,)-1,)*Index!CB$23*(CF$15&lt;=$J195)*(1-CF$12)</f>
        <v>0</v>
      </c>
      <c r="CG195" s="747">
        <f>$G195*$H195*(1+$K195)^MAX(ROUNDUP(IFERROR(DATEDIF($I195-1,CG$15+1,"m"),)/12,)-1,)*Index!CC$23*(CG$15&lt;=$J195)*(1-CG$12)</f>
        <v>0</v>
      </c>
      <c r="CH195" s="747">
        <f>$G195*$H195*(1+$K195)^MAX(ROUNDUP(IFERROR(DATEDIF($I195-1,CH$15+1,"m"),)/12,)-1,)*Index!CD$23*(CH$15&lt;=$J195)*(1-CH$12)</f>
        <v>0</v>
      </c>
      <c r="CI195" s="747">
        <f>$G195*$H195*(1+$K195)^MAX(ROUNDUP(IFERROR(DATEDIF($I195-1,CI$15+1,"m"),)/12,)-1,)*Index!CE$23*(CI$15&lt;=$J195)*(1-CI$12)</f>
        <v>0</v>
      </c>
      <c r="CJ195" s="747">
        <f>$G195*$H195*(1+$K195)^MAX(ROUNDUP(IFERROR(DATEDIF($I195-1,CJ$15+1,"m"),)/12,)-1,)*Index!CF$23*(CJ$15&lt;=$J195)*(1-CJ$12)</f>
        <v>0</v>
      </c>
      <c r="CK195" s="747">
        <f>$G195*$H195*(1+$K195)^MAX(ROUNDUP(IFERROR(DATEDIF($I195-1,CK$15+1,"m"),)/12,)-1,)*Index!CG$23*(CK$15&lt;=$J195)*(1-CK$12)</f>
        <v>0</v>
      </c>
      <c r="CL195" s="747">
        <f>$G195*$H195*(1+$K195)^MAX(ROUNDUP(IFERROR(DATEDIF($I195-1,CL$15+1,"m"),)/12,)-1,)*Index!CH$23*(CL$15&lt;=$J195)*(1-CL$12)</f>
        <v>0</v>
      </c>
      <c r="CM195" s="747">
        <f>$G195*$H195*(1+$K195)^MAX(ROUNDUP(IFERROR(DATEDIF($I195-1,CM$15+1,"m"),)/12,)-1,)*Index!CI$23*(CM$15&lt;=$J195)*(1-CM$12)</f>
        <v>0</v>
      </c>
      <c r="CN195" s="747">
        <f>$G195*$H195*(1+$K195)^MAX(ROUNDUP(IFERROR(DATEDIF($I195-1,CN$15+1,"m"),)/12,)-1,)*Index!CJ$23*(CN$15&lt;=$J195)*(1-CN$12)</f>
        <v>0</v>
      </c>
      <c r="CO195" s="747">
        <f>$G195*$H195*(1+$K195)^MAX(ROUNDUP(IFERROR(DATEDIF($I195-1,CO$15+1,"m"),)/12,)-1,)*Index!CK$23*(CO$15&lt;=$J195)*(1-CO$12)</f>
        <v>0</v>
      </c>
      <c r="CP195" s="747">
        <f>$G195*$H195*(1+$K195)^MAX(ROUNDUP(IFERROR(DATEDIF($I195-1,CP$15+1,"m"),)/12,)-1,)*Index!CL$23*(CP$15&lt;=$J195)*(1-CP$12)</f>
        <v>0</v>
      </c>
      <c r="CQ195" s="747">
        <f>$G195*$H195*(1+$K195)^MAX(ROUNDUP(IFERROR(DATEDIF($I195-1,CQ$15+1,"m"),)/12,)-1,)*Index!CM$23*(CQ$15&lt;=$J195)*(1-CQ$12)</f>
        <v>0</v>
      </c>
      <c r="CR195" s="747">
        <f>$G195*$H195*(1+$K195)^MAX(ROUNDUP(IFERROR(DATEDIF($I195-1,CR$15+1,"m"),)/12,)-1,)*Index!CN$23*(CR$15&lt;=$J195)*(1-CR$12)</f>
        <v>0</v>
      </c>
      <c r="CS195" s="747">
        <f>$G195*$H195*(1+$K195)^MAX(ROUNDUP(IFERROR(DATEDIF($I195-1,CS$15+1,"m"),)/12,)-1,)*Index!CO$23*(CS$15&lt;=$J195)*(1-CS$12)</f>
        <v>0</v>
      </c>
      <c r="CT195" s="747">
        <f>$G195*$H195*(1+$K195)^MAX(ROUNDUP(IFERROR(DATEDIF($I195-1,CT$15+1,"m"),)/12,)-1,)*Index!CP$23*(CT$15&lt;=$J195)*(1-CT$12)</f>
        <v>0</v>
      </c>
      <c r="CU195" s="747">
        <f>$G195*$H195*(1+$K195)^MAX(ROUNDUP(IFERROR(DATEDIF($I195-1,CU$15+1,"m"),)/12,)-1,)*Index!CQ$23*(CU$15&lt;=$J195)*(1-CU$12)</f>
        <v>0</v>
      </c>
      <c r="CV195" s="747">
        <f>$G195*$H195*(1+$K195)^MAX(ROUNDUP(IFERROR(DATEDIF($I195-1,CV$15+1,"m"),)/12,)-1,)*Index!CR$23*(CV$15&lt;=$J195)*(1-CV$12)</f>
        <v>0</v>
      </c>
      <c r="CW195" s="747">
        <f>$G195*$H195*(1+$K195)^MAX(ROUNDUP(IFERROR(DATEDIF($I195-1,CW$15+1,"m"),)/12,)-1,)*Index!CS$23*(CW$15&lt;=$J195)*(1-CW$12)</f>
        <v>0</v>
      </c>
      <c r="CX195" s="747">
        <f>$G195*$H195*(1+$K195)^MAX(ROUNDUP(IFERROR(DATEDIF($I195-1,CX$15+1,"m"),)/12,)-1,)*Index!CT$23*(CX$15&lt;=$J195)*(1-CX$12)</f>
        <v>0</v>
      </c>
      <c r="CY195" s="747">
        <f>$G195*$H195*(1+$K195)^MAX(ROUNDUP(IFERROR(DATEDIF($I195-1,CY$15+1,"m"),)/12,)-1,)*Index!CU$23*(CY$15&lt;=$J195)*(1-CY$12)</f>
        <v>0</v>
      </c>
      <c r="CZ195" s="747">
        <f>$G195*$H195*(1+$K195)^MAX(ROUNDUP(IFERROR(DATEDIF($I195-1,CZ$15+1,"m"),)/12,)-1,)*Index!CV$23*(CZ$15&lt;=$J195)*(1-CZ$12)</f>
        <v>0</v>
      </c>
      <c r="DA195" s="747">
        <f>$G195*$H195*(1+$K195)^MAX(ROUNDUP(IFERROR(DATEDIF($I195-1,DA$15+1,"m"),)/12,)-1,)*Index!CW$23*(DA$15&lt;=$J195)*(1-DA$12)</f>
        <v>0</v>
      </c>
      <c r="DB195" s="747">
        <f>$G195*$H195*(1+$K195)^MAX(ROUNDUP(IFERROR(DATEDIF($I195-1,DB$15+1,"m"),)/12,)-1,)*Index!CX$23*(DB$15&lt;=$J195)*(1-DB$12)</f>
        <v>0</v>
      </c>
      <c r="DC195" s="747">
        <f>$G195*$H195*(1+$K195)^MAX(ROUNDUP(IFERROR(DATEDIF($I195-1,DC$15+1,"m"),)/12,)-1,)*Index!CY$23*(DC$15&lt;=$J195)*(1-DC$12)</f>
        <v>0</v>
      </c>
      <c r="DD195" s="747">
        <f>$G195*$H195*(1+$K195)^MAX(ROUNDUP(IFERROR(DATEDIF($I195-1,DD$15+1,"m"),)/12,)-1,)*Index!CZ$23*(DD$15&lt;=$J195)*(1-DD$12)</f>
        <v>0</v>
      </c>
      <c r="DE195" s="747">
        <f>$G195*$H195*(1+$K195)^MAX(ROUNDUP(IFERROR(DATEDIF($I195-1,DE$15+1,"m"),)/12,)-1,)*Index!DA$23*(DE$15&lt;=$J195)*(1-DE$12)</f>
        <v>0</v>
      </c>
      <c r="DF195" s="747">
        <f>$G195*$H195*(1+$K195)^MAX(ROUNDUP(IFERROR(DATEDIF($I195-1,DF$15+1,"m"),)/12,)-1,)*Index!DB$23*(DF$15&lt;=$J195)*(1-DF$12)</f>
        <v>0</v>
      </c>
      <c r="DG195" s="747">
        <f>$G195*$H195*(1+$K195)^MAX(ROUNDUP(IFERROR(DATEDIF($I195-1,DG$15+1,"m"),)/12,)-1,)*Index!DC$23*(DG$15&lt;=$J195)*(1-DG$12)</f>
        <v>0</v>
      </c>
      <c r="DH195" s="747">
        <f>$G195*$H195*(1+$K195)^MAX(ROUNDUP(IFERROR(DATEDIF($I195-1,DH$15+1,"m"),)/12,)-1,)*Index!DD$23*(DH$15&lt;=$J195)*(1-DH$12)</f>
        <v>0</v>
      </c>
      <c r="DI195" s="747">
        <f>$G195*$H195*(1+$K195)^MAX(ROUNDUP(IFERROR(DATEDIF($I195-1,DI$15+1,"m"),)/12,)-1,)*Index!DE$23*(DI$15&lt;=$J195)*(1-DI$12)</f>
        <v>0</v>
      </c>
      <c r="DJ195" s="747">
        <f>$G195*$H195*(1+$K195)^MAX(ROUNDUP(IFERROR(DATEDIF($I195-1,DJ$15+1,"m"),)/12,)-1,)*Index!DF$23*(DJ$15&lt;=$J195)*(1-DJ$12)</f>
        <v>0</v>
      </c>
      <c r="DK195" s="747">
        <f>$G195*$H195*(1+$K195)^MAX(ROUNDUP(IFERROR(DATEDIF($I195-1,DK$15+1,"m"),)/12,)-1,)*Index!DG$23*(DK$15&lt;=$J195)*(1-DK$12)</f>
        <v>0</v>
      </c>
      <c r="DL195" s="747">
        <f>$G195*$H195*(1+$K195)^MAX(ROUNDUP(IFERROR(DATEDIF($I195-1,DL$15+1,"m"),)/12,)-1,)*Index!DH$23*(DL$15&lt;=$J195)*(1-DL$12)</f>
        <v>0</v>
      </c>
      <c r="DM195" s="747">
        <f>$G195*$H195*(1+$K195)^MAX(ROUNDUP(IFERROR(DATEDIF($I195-1,DM$15+1,"m"),)/12,)-1,)*Index!DI$23*(DM$15&lt;=$J195)*(1-DM$12)</f>
        <v>0</v>
      </c>
      <c r="DN195" s="747">
        <f>$G195*$H195*(1+$K195)^MAX(ROUNDUP(IFERROR(DATEDIF($I195-1,DN$15+1,"m"),)/12,)-1,)*Index!DJ$23*(DN$15&lt;=$J195)*(1-DN$12)</f>
        <v>0</v>
      </c>
      <c r="DO195" s="747">
        <f>$G195*$H195*(1+$K195)^MAX(ROUNDUP(IFERROR(DATEDIF($I195-1,DO$15+1,"m"),)/12,)-1,)*Index!DK$23*(DO$15&lt;=$J195)*(1-DO$12)</f>
        <v>0</v>
      </c>
      <c r="DP195" s="747">
        <f>$G195*$H195*(1+$K195)^MAX(ROUNDUP(IFERROR(DATEDIF($I195-1,DP$15+1,"m"),)/12,)-1,)*Index!DL$23*(DP$15&lt;=$J195)*(1-DP$12)</f>
        <v>0</v>
      </c>
      <c r="DQ195" s="747">
        <f>$G195*$H195*(1+$K195)^MAX(ROUNDUP(IFERROR(DATEDIF($I195-1,DQ$15+1,"m"),)/12,)-1,)*Index!DM$23*(DQ$15&lt;=$J195)*(1-DQ$12)</f>
        <v>0</v>
      </c>
      <c r="DR195" s="747">
        <f>$G195*$H195*(1+$K195)^MAX(ROUNDUP(IFERROR(DATEDIF($I195-1,DR$15+1,"m"),)/12,)-1,)*Index!DN$23*(DR$15&lt;=$J195)*(1-DR$12)</f>
        <v>0</v>
      </c>
      <c r="DS195" s="747">
        <f>$G195*$H195*(1+$K195)^MAX(ROUNDUP(IFERROR(DATEDIF($I195-1,DS$15+1,"m"),)/12,)-1,)*Index!DO$23*(DS$15&lt;=$J195)*(1-DS$12)</f>
        <v>0</v>
      </c>
      <c r="DT195" s="747">
        <f>$G195*$H195*(1+$K195)^MAX(ROUNDUP(IFERROR(DATEDIF($I195-1,DT$15+1,"m"),)/12,)-1,)*Index!DP$23*(DT$15&lt;=$J195)*(1-DT$12)</f>
        <v>0</v>
      </c>
      <c r="DU195" s="747">
        <f>$G195*$H195*(1+$K195)^MAX(ROUNDUP(IFERROR(DATEDIF($I195-1,DU$15+1,"m"),)/12,)-1,)*Index!DQ$23*(DU$15&lt;=$J195)*(1-DU$12)</f>
        <v>0</v>
      </c>
      <c r="DV195" s="747">
        <f>$G195*$H195*(1+$K195)^MAX(ROUNDUP(IFERROR(DATEDIF($I195-1,DV$15+1,"m"),)/12,)-1,)*Index!DR$23*(DV$15&lt;=$J195)*(1-DV$12)</f>
        <v>0</v>
      </c>
      <c r="DW195" s="747">
        <f>$G195*$H195*(1+$K195)^MAX(ROUNDUP(IFERROR(DATEDIF($I195-1,DW$15+1,"m"),)/12,)-1,)*Index!DS$23*(DW$15&lt;=$J195)*(1-DW$12)</f>
        <v>0</v>
      </c>
      <c r="DX195" s="747">
        <f>$G195*$H195*(1+$K195)^MAX(ROUNDUP(IFERROR(DATEDIF($I195-1,DX$15+1,"m"),)/12,)-1,)*Index!DT$23*(DX$15&lt;=$J195)*(1-DX$12)</f>
        <v>0</v>
      </c>
      <c r="DY195" s="747">
        <f>$G195*$H195*(1+$K195)^MAX(ROUNDUP(IFERROR(DATEDIF($I195-1,DY$15+1,"m"),)/12,)-1,)*Index!DU$23*(DY$15&lt;=$J195)*(1-DY$12)</f>
        <v>0</v>
      </c>
      <c r="DZ195" s="747">
        <f>$G195*$H195*(1+$K195)^MAX(ROUNDUP(IFERROR(DATEDIF($I195-1,DZ$15+1,"m"),)/12,)-1,)*Index!DV$23*(DZ$15&lt;=$J195)*(1-DZ$12)</f>
        <v>0</v>
      </c>
      <c r="EA195" s="747">
        <f>$G195*$H195*(1+$K195)^MAX(ROUNDUP(IFERROR(DATEDIF($I195-1,EA$15+1,"m"),)/12,)-1,)*Index!DW$23*(EA$15&lt;=$J195)*(1-EA$12)</f>
        <v>0</v>
      </c>
      <c r="EB195" s="747">
        <f>$G195*$H195*(1+$K195)^MAX(ROUNDUP(IFERROR(DATEDIF($I195-1,EB$15+1,"m"),)/12,)-1,)*Index!DX$23*(EB$15&lt;=$J195)*(1-EB$12)</f>
        <v>0</v>
      </c>
      <c r="EC195" s="747">
        <f>$G195*$H195*(1+$K195)^MAX(ROUNDUP(IFERROR(DATEDIF($I195-1,EC$15+1,"m"),)/12,)-1,)*Index!DY$23*(EC$15&lt;=$J195)*(1-EC$12)</f>
        <v>0</v>
      </c>
      <c r="ED195" s="747">
        <f>$G195*$H195*(1+$K195)^MAX(ROUNDUP(IFERROR(DATEDIF($I195-1,ED$15+1,"m"),)/12,)-1,)*Index!DZ$23*(ED$15&lt;=$J195)*(1-ED$12)</f>
        <v>0</v>
      </c>
      <c r="EE195" s="747">
        <f>$G195*$H195*(1+$K195)^MAX(ROUNDUP(IFERROR(DATEDIF($I195-1,EE$15+1,"m"),)/12,)-1,)*Index!EA$23*(EE$15&lt;=$J195)*(1-EE$12)</f>
        <v>0</v>
      </c>
      <c r="EF195" s="747">
        <f>$G195*$H195*(1+$K195)^MAX(ROUNDUP(IFERROR(DATEDIF($I195-1,EF$15+1,"m"),)/12,)-1,)*Index!EB$23*(EF$15&lt;=$J195)*(1-EF$12)</f>
        <v>0</v>
      </c>
      <c r="EG195" s="747">
        <f>$G195*$H195*(1+$K195)^MAX(ROUNDUP(IFERROR(DATEDIF($I195-1,EG$15+1,"m"),)/12,)-1,)*Index!EC$23*(EG$15&lt;=$J195)*(1-EG$12)</f>
        <v>0</v>
      </c>
      <c r="EH195" s="747">
        <f>$G195*$H195*(1+$K195)^MAX(ROUNDUP(IFERROR(DATEDIF($I195-1,EH$15+1,"m"),)/12,)-1,)*Index!ED$23*(EH$15&lt;=$J195)*(1-EH$12)</f>
        <v>0</v>
      </c>
      <c r="EI195" s="747">
        <f>$G195*$H195*(1+$K195)^MAX(ROUNDUP(IFERROR(DATEDIF($I195-1,EI$15+1,"m"),)/12,)-1,)*Index!EE$23*(EI$15&lt;=$J195)*(1-EI$12)</f>
        <v>0</v>
      </c>
      <c r="EJ195" s="747">
        <f>$G195*$H195*(1+$K195)^MAX(ROUNDUP(IFERROR(DATEDIF($I195-1,EJ$15+1,"m"),)/12,)-1,)*Index!EF$23*(EJ$15&lt;=$J195)*(1-EJ$12)</f>
        <v>0</v>
      </c>
      <c r="EK195" s="747">
        <f>$G195*$H195*(1+$K195)^MAX(ROUNDUP(IFERROR(DATEDIF($I195-1,EK$15+1,"m"),)/12,)-1,)*Index!EG$23*(EK$15&lt;=$J195)*(1-EK$12)</f>
        <v>0</v>
      </c>
      <c r="EL195" s="747">
        <f>$G195*$H195*(1+$K195)^MAX(ROUNDUP(IFERROR(DATEDIF($I195-1,EL$15+1,"m"),)/12,)-1,)*Index!EH$23*(EL$15&lt;=$J195)*(1-EL$12)</f>
        <v>0</v>
      </c>
      <c r="EM195" s="747">
        <f>$G195*$H195*(1+$K195)^MAX(ROUNDUP(IFERROR(DATEDIF($I195-1,EM$15+1,"m"),)/12,)-1,)*Index!EI$23*(EM$15&lt;=$J195)*(1-EM$12)</f>
        <v>0</v>
      </c>
      <c r="EN195" s="747">
        <f>$G195*$H195*(1+$K195)^MAX(ROUNDUP(IFERROR(DATEDIF($I195-1,EN$15+1,"m"),)/12,)-1,)*Index!EJ$23*(EN$15&lt;=$J195)*(1-EN$12)</f>
        <v>0</v>
      </c>
      <c r="EO195" s="747">
        <f>$G195*$H195*(1+$K195)^MAX(ROUNDUP(IFERROR(DATEDIF($I195-1,EO$15+1,"m"),)/12,)-1,)*Index!EK$23*(EO$15&lt;=$J195)*(1-EO$12)</f>
        <v>0</v>
      </c>
      <c r="EP195" s="747">
        <f>$G195*$H195*(1+$K195)^MAX(ROUNDUP(IFERROR(DATEDIF($I195-1,EP$15+1,"m"),)/12,)-1,)*Index!EL$23*(EP$15&lt;=$J195)*(1-EP$12)</f>
        <v>0</v>
      </c>
      <c r="EQ195" s="747">
        <f>$G195*$H195*(1+$K195)^MAX(ROUNDUP(IFERROR(DATEDIF($I195-1,EQ$15+1,"m"),)/12,)-1,)*Index!EM$23*(EQ$15&lt;=$J195)*(1-EQ$12)</f>
        <v>0</v>
      </c>
      <c r="ER195" s="747">
        <f>$G195*$H195*(1+$K195)^MAX(ROUNDUP(IFERROR(DATEDIF($I195-1,ER$15+1,"m"),)/12,)-1,)*Index!EN$23*(ER$15&lt;=$J195)*(1-ER$12)</f>
        <v>0</v>
      </c>
      <c r="ES195" s="747">
        <f>$G195*$H195*(1+$K195)^MAX(ROUNDUP(IFERROR(DATEDIF($I195-1,ES$15+1,"m"),)/12,)-1,)*Index!EO$23*(ES$15&lt;=$J195)*(1-ES$12)</f>
        <v>0</v>
      </c>
      <c r="ET195" s="747">
        <f>$G195*$H195*(1+$K195)^MAX(ROUNDUP(IFERROR(DATEDIF($I195-1,ET$15+1,"m"),)/12,)-1,)*Index!EP$23*(ET$15&lt;=$J195)*(1-ET$12)</f>
        <v>0</v>
      </c>
      <c r="EU195" s="747">
        <f>$G195*$H195*(1+$K195)^MAX(ROUNDUP(IFERROR(DATEDIF($I195-1,EU$15+1,"m"),)/12,)-1,)*Index!EQ$23*(EU$15&lt;=$J195)*(1-EU$12)</f>
        <v>0</v>
      </c>
    </row>
    <row r="196" spans="3:151" ht="11.25" customHeight="1">
      <c r="C196" s="827" t="s">
        <v>508</v>
      </c>
      <c r="D196" s="829"/>
      <c r="E196" s="829"/>
      <c r="F196" s="829"/>
      <c r="G196" s="829"/>
      <c r="H196" s="829"/>
      <c r="I196" s="829"/>
      <c r="J196" s="829"/>
      <c r="K196" s="829"/>
      <c r="L196" s="830"/>
      <c r="M196" s="831"/>
      <c r="N196" s="832">
        <f>SUM(N197:N213)</f>
        <v>982073.90138546797</v>
      </c>
      <c r="O196" s="733"/>
      <c r="P196" s="833">
        <f>SUM(P197:P213)</f>
        <v>0</v>
      </c>
      <c r="Q196" s="833">
        <f t="shared" ref="Q196:CB196" si="268">SUM(Q197:Q213)</f>
        <v>0</v>
      </c>
      <c r="R196" s="833">
        <f t="shared" si="268"/>
        <v>0</v>
      </c>
      <c r="S196" s="833">
        <f t="shared" si="268"/>
        <v>0</v>
      </c>
      <c r="T196" s="833">
        <f t="shared" si="268"/>
        <v>0</v>
      </c>
      <c r="U196" s="833">
        <f t="shared" si="268"/>
        <v>0</v>
      </c>
      <c r="V196" s="833">
        <f t="shared" si="268"/>
        <v>0</v>
      </c>
      <c r="W196" s="833">
        <f t="shared" si="268"/>
        <v>0</v>
      </c>
      <c r="X196" s="833">
        <f t="shared" si="268"/>
        <v>0</v>
      </c>
      <c r="Y196" s="833">
        <f t="shared" si="268"/>
        <v>0</v>
      </c>
      <c r="Z196" s="833">
        <f t="shared" si="268"/>
        <v>0</v>
      </c>
      <c r="AA196" s="833">
        <f t="shared" si="268"/>
        <v>0</v>
      </c>
      <c r="AB196" s="833">
        <f t="shared" si="268"/>
        <v>0</v>
      </c>
      <c r="AC196" s="833">
        <f t="shared" si="268"/>
        <v>0</v>
      </c>
      <c r="AD196" s="833">
        <f t="shared" si="268"/>
        <v>0</v>
      </c>
      <c r="AE196" s="833">
        <f t="shared" si="268"/>
        <v>0</v>
      </c>
      <c r="AF196" s="833">
        <f t="shared" si="268"/>
        <v>0</v>
      </c>
      <c r="AG196" s="833">
        <f t="shared" si="268"/>
        <v>0</v>
      </c>
      <c r="AH196" s="833">
        <f t="shared" si="268"/>
        <v>0</v>
      </c>
      <c r="AI196" s="833">
        <f t="shared" si="268"/>
        <v>0</v>
      </c>
      <c r="AJ196" s="833">
        <f t="shared" si="268"/>
        <v>0</v>
      </c>
      <c r="AK196" s="833">
        <f t="shared" si="268"/>
        <v>0</v>
      </c>
      <c r="AL196" s="833">
        <f t="shared" si="268"/>
        <v>0</v>
      </c>
      <c r="AM196" s="833">
        <f t="shared" si="268"/>
        <v>0</v>
      </c>
      <c r="AN196" s="833">
        <f t="shared" si="268"/>
        <v>0</v>
      </c>
      <c r="AO196" s="833">
        <f t="shared" si="268"/>
        <v>0</v>
      </c>
      <c r="AP196" s="833">
        <f t="shared" si="268"/>
        <v>0</v>
      </c>
      <c r="AQ196" s="833">
        <f t="shared" si="268"/>
        <v>0</v>
      </c>
      <c r="AR196" s="833">
        <f t="shared" si="268"/>
        <v>0</v>
      </c>
      <c r="AS196" s="833">
        <f t="shared" si="268"/>
        <v>0</v>
      </c>
      <c r="AT196" s="833">
        <f t="shared" si="268"/>
        <v>0</v>
      </c>
      <c r="AU196" s="833">
        <f t="shared" si="268"/>
        <v>0</v>
      </c>
      <c r="AV196" s="833">
        <f t="shared" si="268"/>
        <v>0</v>
      </c>
      <c r="AW196" s="833">
        <f t="shared" si="268"/>
        <v>0</v>
      </c>
      <c r="AX196" s="833">
        <f t="shared" si="268"/>
        <v>0</v>
      </c>
      <c r="AY196" s="833">
        <f t="shared" si="268"/>
        <v>0</v>
      </c>
      <c r="AZ196" s="833">
        <f t="shared" si="268"/>
        <v>0</v>
      </c>
      <c r="BA196" s="833">
        <f t="shared" si="268"/>
        <v>0</v>
      </c>
      <c r="BB196" s="833">
        <f t="shared" si="268"/>
        <v>0</v>
      </c>
      <c r="BC196" s="833">
        <f t="shared" si="268"/>
        <v>0</v>
      </c>
      <c r="BD196" s="833">
        <f t="shared" si="268"/>
        <v>0</v>
      </c>
      <c r="BE196" s="833">
        <f t="shared" si="268"/>
        <v>0</v>
      </c>
      <c r="BF196" s="833">
        <f t="shared" si="268"/>
        <v>0</v>
      </c>
      <c r="BG196" s="833">
        <f t="shared" si="268"/>
        <v>0</v>
      </c>
      <c r="BH196" s="833">
        <f t="shared" si="268"/>
        <v>0</v>
      </c>
      <c r="BI196" s="833">
        <f t="shared" si="268"/>
        <v>0</v>
      </c>
      <c r="BJ196" s="833">
        <f t="shared" si="268"/>
        <v>0</v>
      </c>
      <c r="BK196" s="833">
        <f t="shared" si="268"/>
        <v>0</v>
      </c>
      <c r="BL196" s="833">
        <f t="shared" si="268"/>
        <v>0</v>
      </c>
      <c r="BM196" s="833">
        <f t="shared" si="268"/>
        <v>0</v>
      </c>
      <c r="BN196" s="833">
        <f t="shared" si="268"/>
        <v>0</v>
      </c>
      <c r="BO196" s="833">
        <f t="shared" si="268"/>
        <v>0</v>
      </c>
      <c r="BP196" s="833">
        <f t="shared" si="268"/>
        <v>0</v>
      </c>
      <c r="BQ196" s="833">
        <f t="shared" si="268"/>
        <v>0</v>
      </c>
      <c r="BR196" s="833">
        <f t="shared" si="268"/>
        <v>0</v>
      </c>
      <c r="BS196" s="833">
        <f t="shared" si="268"/>
        <v>0</v>
      </c>
      <c r="BT196" s="833">
        <f t="shared" si="268"/>
        <v>0</v>
      </c>
      <c r="BU196" s="833">
        <f t="shared" si="268"/>
        <v>0</v>
      </c>
      <c r="BV196" s="833">
        <f t="shared" si="268"/>
        <v>0</v>
      </c>
      <c r="BW196" s="833">
        <f t="shared" si="268"/>
        <v>0</v>
      </c>
      <c r="BX196" s="833">
        <f t="shared" si="268"/>
        <v>0</v>
      </c>
      <c r="BY196" s="833">
        <f t="shared" si="268"/>
        <v>0</v>
      </c>
      <c r="BZ196" s="833">
        <f t="shared" si="268"/>
        <v>0</v>
      </c>
      <c r="CA196" s="833">
        <f t="shared" si="268"/>
        <v>0</v>
      </c>
      <c r="CB196" s="833">
        <f t="shared" si="268"/>
        <v>0</v>
      </c>
      <c r="CC196" s="833">
        <f t="shared" ref="CC196:EN196" si="269">SUM(CC197:CC213)</f>
        <v>0</v>
      </c>
      <c r="CD196" s="833">
        <f t="shared" si="269"/>
        <v>0</v>
      </c>
      <c r="CE196" s="833">
        <f t="shared" si="269"/>
        <v>0</v>
      </c>
      <c r="CF196" s="833">
        <f t="shared" si="269"/>
        <v>0</v>
      </c>
      <c r="CG196" s="833">
        <f t="shared" si="269"/>
        <v>0</v>
      </c>
      <c r="CH196" s="833">
        <f t="shared" si="269"/>
        <v>0</v>
      </c>
      <c r="CI196" s="833">
        <f t="shared" si="269"/>
        <v>0</v>
      </c>
      <c r="CJ196" s="833">
        <f t="shared" si="269"/>
        <v>0</v>
      </c>
      <c r="CK196" s="833">
        <f t="shared" si="269"/>
        <v>0</v>
      </c>
      <c r="CL196" s="833">
        <f t="shared" si="269"/>
        <v>0</v>
      </c>
      <c r="CM196" s="833">
        <f t="shared" si="269"/>
        <v>0</v>
      </c>
      <c r="CN196" s="833">
        <f t="shared" si="269"/>
        <v>0</v>
      </c>
      <c r="CO196" s="833">
        <f t="shared" si="269"/>
        <v>0</v>
      </c>
      <c r="CP196" s="833">
        <f t="shared" si="269"/>
        <v>0</v>
      </c>
      <c r="CQ196" s="833">
        <f t="shared" si="269"/>
        <v>0</v>
      </c>
      <c r="CR196" s="833">
        <f t="shared" si="269"/>
        <v>0</v>
      </c>
      <c r="CS196" s="833">
        <f t="shared" si="269"/>
        <v>0</v>
      </c>
      <c r="CT196" s="833">
        <f t="shared" si="269"/>
        <v>0</v>
      </c>
      <c r="CU196" s="833">
        <f t="shared" si="269"/>
        <v>0</v>
      </c>
      <c r="CV196" s="833">
        <f t="shared" si="269"/>
        <v>0</v>
      </c>
      <c r="CW196" s="833">
        <f t="shared" si="269"/>
        <v>0</v>
      </c>
      <c r="CX196" s="833">
        <f t="shared" si="269"/>
        <v>0</v>
      </c>
      <c r="CY196" s="833">
        <f t="shared" si="269"/>
        <v>0</v>
      </c>
      <c r="CZ196" s="833">
        <f t="shared" si="269"/>
        <v>0</v>
      </c>
      <c r="DA196" s="833">
        <f t="shared" si="269"/>
        <v>0</v>
      </c>
      <c r="DB196" s="833">
        <f t="shared" si="269"/>
        <v>0</v>
      </c>
      <c r="DC196" s="833">
        <f t="shared" si="269"/>
        <v>0</v>
      </c>
      <c r="DD196" s="833">
        <f t="shared" si="269"/>
        <v>0</v>
      </c>
      <c r="DE196" s="833">
        <f t="shared" si="269"/>
        <v>0</v>
      </c>
      <c r="DF196" s="833">
        <f t="shared" si="269"/>
        <v>0</v>
      </c>
      <c r="DG196" s="833">
        <f t="shared" si="269"/>
        <v>0</v>
      </c>
      <c r="DH196" s="833">
        <f t="shared" si="269"/>
        <v>0</v>
      </c>
      <c r="DI196" s="833">
        <f t="shared" si="269"/>
        <v>0</v>
      </c>
      <c r="DJ196" s="833">
        <f t="shared" si="269"/>
        <v>0</v>
      </c>
      <c r="DK196" s="833">
        <f t="shared" si="269"/>
        <v>0</v>
      </c>
      <c r="DL196" s="833">
        <f t="shared" si="269"/>
        <v>0</v>
      </c>
      <c r="DM196" s="833">
        <f t="shared" si="269"/>
        <v>0</v>
      </c>
      <c r="DN196" s="833">
        <f t="shared" si="269"/>
        <v>0</v>
      </c>
      <c r="DO196" s="833">
        <f t="shared" si="269"/>
        <v>0</v>
      </c>
      <c r="DP196" s="833">
        <f t="shared" si="269"/>
        <v>0</v>
      </c>
      <c r="DQ196" s="833">
        <f t="shared" si="269"/>
        <v>0</v>
      </c>
      <c r="DR196" s="833">
        <f t="shared" si="269"/>
        <v>0</v>
      </c>
      <c r="DS196" s="833">
        <f t="shared" si="269"/>
        <v>0</v>
      </c>
      <c r="DT196" s="833">
        <f t="shared" si="269"/>
        <v>0</v>
      </c>
      <c r="DU196" s="833">
        <f t="shared" si="269"/>
        <v>0</v>
      </c>
      <c r="DV196" s="833">
        <f t="shared" si="269"/>
        <v>0</v>
      </c>
      <c r="DW196" s="833">
        <f t="shared" si="269"/>
        <v>0</v>
      </c>
      <c r="DX196" s="833">
        <f t="shared" si="269"/>
        <v>0</v>
      </c>
      <c r="DY196" s="833">
        <f t="shared" si="269"/>
        <v>0</v>
      </c>
      <c r="DZ196" s="833">
        <f t="shared" si="269"/>
        <v>0</v>
      </c>
      <c r="EA196" s="833">
        <f t="shared" si="269"/>
        <v>0</v>
      </c>
      <c r="EB196" s="833">
        <f t="shared" si="269"/>
        <v>0</v>
      </c>
      <c r="EC196" s="833">
        <f t="shared" si="269"/>
        <v>0</v>
      </c>
      <c r="ED196" s="833">
        <f t="shared" si="269"/>
        <v>0</v>
      </c>
      <c r="EE196" s="833">
        <f t="shared" si="269"/>
        <v>0</v>
      </c>
      <c r="EF196" s="833">
        <f t="shared" si="269"/>
        <v>0</v>
      </c>
      <c r="EG196" s="833">
        <f t="shared" si="269"/>
        <v>80499.504735549373</v>
      </c>
      <c r="EH196" s="833">
        <f t="shared" si="269"/>
        <v>80844.801777207598</v>
      </c>
      <c r="EI196" s="833">
        <f t="shared" si="269"/>
        <v>81106.335389397296</v>
      </c>
      <c r="EJ196" s="833">
        <f t="shared" si="269"/>
        <v>81809.423665047594</v>
      </c>
      <c r="EK196" s="833">
        <f t="shared" si="269"/>
        <v>81809.423665047594</v>
      </c>
      <c r="EL196" s="833">
        <f t="shared" si="269"/>
        <v>82078.684373973214</v>
      </c>
      <c r="EM196" s="833">
        <f t="shared" si="269"/>
        <v>82320.954629874221</v>
      </c>
      <c r="EN196" s="833">
        <f t="shared" si="269"/>
        <v>82320.954629874221</v>
      </c>
      <c r="EO196" s="833">
        <f t="shared" ref="EO196:EU196" si="270">SUM(EO197:EO213)</f>
        <v>82320.954629874221</v>
      </c>
      <c r="EP196" s="833">
        <f t="shared" si="270"/>
        <v>82320.954629874221</v>
      </c>
      <c r="EQ196" s="833">
        <f t="shared" si="270"/>
        <v>82320.954629874221</v>
      </c>
      <c r="ER196" s="833">
        <f t="shared" si="270"/>
        <v>82320.954629874221</v>
      </c>
      <c r="ES196" s="833">
        <f t="shared" si="270"/>
        <v>0</v>
      </c>
      <c r="ET196" s="833">
        <f t="shared" si="270"/>
        <v>0</v>
      </c>
      <c r="EU196" s="833">
        <f t="shared" si="270"/>
        <v>0</v>
      </c>
    </row>
    <row r="197" spans="3:151" ht="11.25" customHeight="1">
      <c r="C197" s="828"/>
      <c r="D197" s="736" t="str">
        <f>'A&amp;R'!V6</f>
        <v>옥상</v>
      </c>
      <c r="E197" s="737" t="s">
        <v>850</v>
      </c>
      <c r="F197" s="737" t="str">
        <f>'A&amp;R'!X6</f>
        <v>태양광시설</v>
      </c>
      <c r="G197" s="780">
        <f>'A&amp;R'!AD6/1000</f>
        <v>0</v>
      </c>
      <c r="H197" s="738">
        <f>'A&amp;R'!Y6</f>
        <v>0</v>
      </c>
      <c r="I197" s="739">
        <f>'A&amp;R'!AA6</f>
        <v>49979</v>
      </c>
      <c r="J197" s="739"/>
      <c r="K197" s="753">
        <f>'A&amp;R'!AF6</f>
        <v>2.5000000000000001E-2</v>
      </c>
      <c r="L197" s="740"/>
      <c r="M197" s="741"/>
      <c r="N197" s="742">
        <f>SUM(P197:EU197)</f>
        <v>0</v>
      </c>
      <c r="O197" s="733"/>
      <c r="P197" s="742">
        <f>$G197*$H197*(1+$K197)^MAX(ROUNDUP(IFERROR(DATEDIF($I179-1,P$15+1,"m"),)/12,)-1,)*Index!L$23*(P$15&gt;$I197)*(1-P$12)</f>
        <v>0</v>
      </c>
      <c r="Q197" s="742">
        <f>$G197*$H197*(1+$K197)^MAX(ROUNDUP(IFERROR(DATEDIF($I179-1,Q$15+1,"m"),)/12,)-1,)*Index!M$23*(Q$15&gt;$I197)*(1-Q$12)</f>
        <v>0</v>
      </c>
      <c r="R197" s="742">
        <f>$G197*$H197*(1+$K197)^MAX(ROUNDUP(IFERROR(DATEDIF($I179-1,R$15+1,"m"),)/12,)-1,)*Index!N$23*(R$15&gt;$I197)*(1-R$12)</f>
        <v>0</v>
      </c>
      <c r="S197" s="742">
        <f>$G197*$H197*(1+$K197)^MAX(ROUNDUP(IFERROR(DATEDIF($I179-1,S$15+1,"m"),)/12,)-1,)*Index!O$23*(S$15&gt;$I197)*(1-S$12)</f>
        <v>0</v>
      </c>
      <c r="T197" s="742">
        <f>$G197*$H197*(1+$K197)^MAX(ROUNDUP(IFERROR(DATEDIF($I179-1,T$15+1,"m"),)/12,)-1,)*Index!P$23*(T$15&gt;$I197)*(1-T$12)</f>
        <v>0</v>
      </c>
      <c r="U197" s="742">
        <f>$G197*$H197*(1+$K197)^MAX(ROUNDUP(IFERROR(DATEDIF($I179-1,U$15+1,"m"),)/12,)-1,)*Index!Q$23*(U$15&gt;$I197)*(1-U$12)</f>
        <v>0</v>
      </c>
      <c r="V197" s="742">
        <f>$G197*$H197*(1+$K197)^MAX(ROUNDUP(IFERROR(DATEDIF($I179-1,V$15+1,"m"),)/12,)-1,)*Index!R$23*(V$15&gt;$I197)*(1-V$12)</f>
        <v>0</v>
      </c>
      <c r="W197" s="742">
        <f>$G197*$H197*(1+$K197)^MAX(ROUNDUP(IFERROR(DATEDIF($I179-1,W$15+1,"m"),)/12,)-1,)*Index!S$23*(W$15&gt;$I197)*(1-W$12)</f>
        <v>0</v>
      </c>
      <c r="X197" s="742">
        <f>$G197*$H197*(1+$K197)^MAX(ROUNDUP(IFERROR(DATEDIF($I179-1,X$15+1,"m"),)/12,)-1,)*Index!T$23*(X$15&gt;$I197)*(1-X$12)</f>
        <v>0</v>
      </c>
      <c r="Y197" s="742">
        <f>$G197*$H197*(1+$K197)^MAX(ROUNDUP(IFERROR(DATEDIF($I179-1,Y$15+1,"m"),)/12,)-1,)*Index!U$23*(Y$15&gt;$I197)*(1-Y$12)</f>
        <v>0</v>
      </c>
      <c r="Z197" s="742">
        <f>$G197*$H197*(1+$K197)^MAX(ROUNDUP(IFERROR(DATEDIF($I179-1,Z$15+1,"m"),)/12,)-1,)*Index!V$23*(Z$15&gt;$I197)*(1-Z$12)</f>
        <v>0</v>
      </c>
      <c r="AA197" s="742">
        <f>$G197*$H197*(1+$K197)^MAX(ROUNDUP(IFERROR(DATEDIF($I179-1,AA$15+1,"m"),)/12,)-1,)*Index!W$23*(AA$15&gt;$I197)*(1-AA$12)</f>
        <v>0</v>
      </c>
      <c r="AB197" s="742">
        <f>$G197*$H197*(1+$K197)^MAX(ROUNDUP(IFERROR(DATEDIF($I179-1,AB$15+1,"m"),)/12,)-1,)*Index!X$23*(AB$15&gt;$I197)*(1-AB$12)</f>
        <v>0</v>
      </c>
      <c r="AC197" s="742">
        <f>$G197*$H197*(1+$K197)^MAX(ROUNDUP(IFERROR(DATEDIF($I179-1,AC$15+1,"m"),)/12,)-1,)*Index!Y$23*(AC$15&gt;$I197)*(1-AC$12)</f>
        <v>0</v>
      </c>
      <c r="AD197" s="742">
        <f>$G197*$H197*(1+$K197)^MAX(ROUNDUP(IFERROR(DATEDIF($I179-1,AD$15+1,"m"),)/12,)-1,)*Index!Z$23*(AD$15&gt;$I197)*(1-AD$12)</f>
        <v>0</v>
      </c>
      <c r="AE197" s="742">
        <f>$G197*$H197*(1+$K197)^MAX(ROUNDUP(IFERROR(DATEDIF($I179-1,AE$15+1,"m"),)/12,)-1,)*Index!AA$23*(AE$15&gt;$I197)*(1-AE$12)</f>
        <v>0</v>
      </c>
      <c r="AF197" s="742">
        <f>$G197*$H197*(1+$K197)^MAX(ROUNDUP(IFERROR(DATEDIF($I179-1,AF$15+1,"m"),)/12,)-1,)*Index!AB$23*(AF$15&gt;$I197)*(1-AF$12)</f>
        <v>0</v>
      </c>
      <c r="AG197" s="742">
        <f>$G197*$H197*(1+$K197)^MAX(ROUNDUP(IFERROR(DATEDIF($I179-1,AG$15+1,"m"),)/12,)-1,)*Index!AC$23*(AG$15&gt;$I197)*(1-AG$12)</f>
        <v>0</v>
      </c>
      <c r="AH197" s="742">
        <f>$G197*$H197*(1+$K197)^MAX(ROUNDUP(IFERROR(DATEDIF($I179-1,AH$15+1,"m"),)/12,)-1,)*Index!AD$23*(AH$15&gt;$I197)*(1-AH$12)</f>
        <v>0</v>
      </c>
      <c r="AI197" s="742">
        <f>$G197*$H197*(1+$K197)^MAX(ROUNDUP(IFERROR(DATEDIF($I179-1,AI$15+1,"m"),)/12,)-1,)*Index!AE$23*(AI$15&gt;$I197)*(1-AI$12)</f>
        <v>0</v>
      </c>
      <c r="AJ197" s="742">
        <f>$G197*$H197*(1+$K197)^MAX(ROUNDUP(IFERROR(DATEDIF($I179-1,AJ$15+1,"m"),)/12,)-1,)*Index!AF$23*(AJ$15&gt;$I197)*(1-AJ$12)</f>
        <v>0</v>
      </c>
      <c r="AK197" s="742">
        <f>$G197*$H197*(1+$K197)^MAX(ROUNDUP(IFERROR(DATEDIF($I179-1,AK$15+1,"m"),)/12,)-1,)*Index!AG$23*(AK$15&gt;$I197)*(1-AK$12)</f>
        <v>0</v>
      </c>
      <c r="AL197" s="742">
        <f>$G197*$H197*(1+$K197)^MAX(ROUNDUP(IFERROR(DATEDIF($I179-1,AL$15+1,"m"),)/12,)-1,)*Index!AH$23*(AL$15&gt;$I197)*(1-AL$12)</f>
        <v>0</v>
      </c>
      <c r="AM197" s="742">
        <f>$G197*$H197*(1+$K197)^MAX(ROUNDUP(IFERROR(DATEDIF($I179-1,AM$15+1,"m"),)/12,)-1,)*Index!AI$23*(AM$15&gt;$I197)*(1-AM$12)</f>
        <v>0</v>
      </c>
      <c r="AN197" s="742">
        <f>$G197*$H197*(1+$K197)^MAX(ROUNDUP(IFERROR(DATEDIF($I179-1,AN$15+1,"m"),)/12,)-1,)*Index!AJ$23*(AN$15&gt;$I197)*(1-AN$12)</f>
        <v>0</v>
      </c>
      <c r="AO197" s="742">
        <f>$G197*$H197*(1+$K197)^MAX(ROUNDUP(IFERROR(DATEDIF($I179-1,AO$15+1,"m"),)/12,)-1,)*Index!AK$23*(AO$15&gt;$I197)*(1-AO$12)</f>
        <v>0</v>
      </c>
      <c r="AP197" s="742">
        <f>$G197*$H197*(1+$K197)^MAX(ROUNDUP(IFERROR(DATEDIF($I179-1,AP$15+1,"m"),)/12,)-1,)*Index!AL$23*(AP$15&gt;$I197)*(1-AP$12)</f>
        <v>0</v>
      </c>
      <c r="AQ197" s="742">
        <f>$G197*$H197*(1+$K197)^MAX(ROUNDUP(IFERROR(DATEDIF($I179-1,AQ$15+1,"m"),)/12,)-1,)*Index!AM$23*(AQ$15&gt;$I197)*(1-AQ$12)</f>
        <v>0</v>
      </c>
      <c r="AR197" s="742">
        <f>$G197*$H197*(1+$K197)^MAX(ROUNDUP(IFERROR(DATEDIF($I179-1,AR$15+1,"m"),)/12,)-1,)*Index!AN$23*(AR$15&gt;$I197)*(1-AR$12)</f>
        <v>0</v>
      </c>
      <c r="AS197" s="742">
        <f>$G197*$H197*(1+$K197)^MAX(ROUNDUP(IFERROR(DATEDIF($I179-1,AS$15+1,"m"),)/12,)-1,)*Index!AO$23*(AS$15&gt;$I197)*(1-AS$12)</f>
        <v>0</v>
      </c>
      <c r="AT197" s="742">
        <f>$G197*$H197*(1+$K197)^MAX(ROUNDUP(IFERROR(DATEDIF($I179-1,AT$15+1,"m"),)/12,)-1,)*Index!AP$23*(AT$15&gt;$I197)*(1-AT$12)</f>
        <v>0</v>
      </c>
      <c r="AU197" s="742">
        <f>$G197*$H197*(1+$K197)^MAX(ROUNDUP(IFERROR(DATEDIF($I179-1,AU$15+1,"m"),)/12,)-1,)*Index!AQ$23*(AU$15&gt;$I197)*(1-AU$12)</f>
        <v>0</v>
      </c>
      <c r="AV197" s="742">
        <f>$G197*$H197*(1+$K197)^MAX(ROUNDUP(IFERROR(DATEDIF($I179-1,AV$15+1,"m"),)/12,)-1,)*Index!AR$23*(AV$15&gt;$I197)*(1-AV$12)</f>
        <v>0</v>
      </c>
      <c r="AW197" s="742">
        <f>$G197*$H197*(1+$K197)^MAX(ROUNDUP(IFERROR(DATEDIF($I179-1,AW$15+1,"m"),)/12,)-1,)*Index!AS$23*(AW$15&gt;$I197)*(1-AW$12)</f>
        <v>0</v>
      </c>
      <c r="AX197" s="742">
        <f>$G197*$H197*(1+$K197)^MAX(ROUNDUP(IFERROR(DATEDIF($I179-1,AX$15+1,"m"),)/12,)-1,)*Index!AT$23*(AX$15&gt;$I197)*(1-AX$12)</f>
        <v>0</v>
      </c>
      <c r="AY197" s="742">
        <f>$G197*$H197*(1+$K197)^MAX(ROUNDUP(IFERROR(DATEDIF($I179-1,AY$15+1,"m"),)/12,)-1,)*Index!AU$23*(AY$15&gt;$I197)*(1-AY$12)</f>
        <v>0</v>
      </c>
      <c r="AZ197" s="742">
        <f>$G197*$H197*(1+$K197)^MAX(ROUNDUP(IFERROR(DATEDIF($I179-1,AZ$15+1,"m"),)/12,)-1,)*Index!AV$23*(AZ$15&gt;$I197)*(1-AZ$12)</f>
        <v>0</v>
      </c>
      <c r="BA197" s="742">
        <f>$G197*$H197*(1+$K197)^MAX(ROUNDUP(IFERROR(DATEDIF($I179-1,BA$15+1,"m"),)/12,)-1,)*Index!AW$23*(BA$15&gt;$I197)*(1-BA$12)</f>
        <v>0</v>
      </c>
      <c r="BB197" s="742">
        <f>$G197*$H197*(1+$K197)^MAX(ROUNDUP(IFERROR(DATEDIF($I179-1,BB$15+1,"m"),)/12,)-1,)*Index!AX$23*(BB$15&gt;$I197)*(1-BB$12)</f>
        <v>0</v>
      </c>
      <c r="BC197" s="742">
        <f>$G197*$H197*(1+$K197)^MAX(ROUNDUP(IFERROR(DATEDIF($I179-1,BC$15+1,"m"),)/12,)-1,)*Index!AY$23*(BC$15&gt;$I197)*(1-BC$12)</f>
        <v>0</v>
      </c>
      <c r="BD197" s="742">
        <f>$G197*$H197*(1+$K197)^MAX(ROUNDUP(IFERROR(DATEDIF($I179-1,BD$15+1,"m"),)/12,)-1,)*Index!AZ$23*(BD$15&gt;$I197)*(1-BD$12)</f>
        <v>0</v>
      </c>
      <c r="BE197" s="742">
        <f>$G197*$H197*(1+$K197)^MAX(ROUNDUP(IFERROR(DATEDIF($I179-1,BE$15+1,"m"),)/12,)-1,)*Index!BA$23*(BE$15&gt;$I197)*(1-BE$12)</f>
        <v>0</v>
      </c>
      <c r="BF197" s="742">
        <f>$G197*$H197*(1+$K197)^MAX(ROUNDUP(IFERROR(DATEDIF($I179-1,BF$15+1,"m"),)/12,)-1,)*Index!BB$23*(BF$15&gt;$I197)*(1-BF$12)</f>
        <v>0</v>
      </c>
      <c r="BG197" s="742">
        <f>$G197*$H197*(1+$K197)^MAX(ROUNDUP(IFERROR(DATEDIF($I179-1,BG$15+1,"m"),)/12,)-1,)*Index!BC$23*(BG$15&gt;$I197)*(1-BG$12)</f>
        <v>0</v>
      </c>
      <c r="BH197" s="742">
        <f>$G197*$H197*(1+$K197)^MAX(ROUNDUP(IFERROR(DATEDIF($I179-1,BH$15+1,"m"),)/12,)-1,)*Index!BD$23*(BH$15&gt;$I197)*(1-BH$12)</f>
        <v>0</v>
      </c>
      <c r="BI197" s="742">
        <f>$G197*$H197*(1+$K197)^MAX(ROUNDUP(IFERROR(DATEDIF($I179-1,BI$15+1,"m"),)/12,)-1,)*Index!BE$23*(BI$15&gt;$I197)*(1-BI$12)</f>
        <v>0</v>
      </c>
      <c r="BJ197" s="742">
        <f>$G197*$H197*(1+$K197)^MAX(ROUNDUP(IFERROR(DATEDIF($I179-1,BJ$15+1,"m"),)/12,)-1,)*Index!BF$23*(BJ$15&gt;$I197)*(1-BJ$12)</f>
        <v>0</v>
      </c>
      <c r="BK197" s="742">
        <f>$G197*$H197*(1+$K197)^MAX(ROUNDUP(IFERROR(DATEDIF($I179-1,BK$15+1,"m"),)/12,)-1,)*Index!BG$23*(BK$15&gt;$I197)*(1-BK$12)</f>
        <v>0</v>
      </c>
      <c r="BL197" s="742">
        <f>$G197*$H197*(1+$K197)^MAX(ROUNDUP(IFERROR(DATEDIF($I179-1,BL$15+1,"m"),)/12,)-1,)*Index!BH$23*(BL$15&gt;$I197)*(1-BL$12)</f>
        <v>0</v>
      </c>
      <c r="BM197" s="742">
        <f>$G197*$H197*(1+$K197)^MAX(ROUNDUP(IFERROR(DATEDIF($I179-1,BM$15+1,"m"),)/12,)-1,)*Index!BI$23*(BM$15&gt;$I197)*(1-BM$12)</f>
        <v>0</v>
      </c>
      <c r="BN197" s="742">
        <f>$G197*$H197*(1+$K197)^MAX(ROUNDUP(IFERROR(DATEDIF($I179-1,BN$15+1,"m"),)/12,)-1,)*Index!BJ$23*(BN$15&gt;$I197)*(1-BN$12)</f>
        <v>0</v>
      </c>
      <c r="BO197" s="742">
        <f>$G197*$H197*(1+$K197)^MAX(ROUNDUP(IFERROR(DATEDIF($I179-1,BO$15+1,"m"),)/12,)-1,)*Index!BK$23*(BO$15&gt;$I197)*(1-BO$12)</f>
        <v>0</v>
      </c>
      <c r="BP197" s="742">
        <f>$G197*$H197*(1+$K197)^MAX(ROUNDUP(IFERROR(DATEDIF($I179-1,BP$15+1,"m"),)/12,)-1,)*Index!BL$23*(BP$15&gt;$I197)*(1-BP$12)</f>
        <v>0</v>
      </c>
      <c r="BQ197" s="742">
        <f>$G197*$H197*(1+$K197)^MAX(ROUNDUP(IFERROR(DATEDIF($I179-1,BQ$15+1,"m"),)/12,)-1,)*Index!BM$23*(BQ$15&gt;$I197)*(1-BQ$12)</f>
        <v>0</v>
      </c>
      <c r="BR197" s="742">
        <f>$G197*$H197*(1+$K197)^MAX(ROUNDUP(IFERROR(DATEDIF($I179-1,BR$15+1,"m"),)/12,)-1,)*Index!BN$23*(BR$15&gt;$I197)*(1-BR$12)</f>
        <v>0</v>
      </c>
      <c r="BS197" s="742">
        <f>$G197*$H197*(1+$K197)^MAX(ROUNDUP(IFERROR(DATEDIF($I179-1,BS$15+1,"m"),)/12,)-1,)*Index!BO$23*(BS$15&gt;$I197)*(1-BS$12)</f>
        <v>0</v>
      </c>
      <c r="BT197" s="742">
        <f>$G197*$H197*(1+$K197)^MAX(ROUNDUP(IFERROR(DATEDIF($I179-1,BT$15+1,"m"),)/12,)-1,)*Index!BP$23*(BT$15&gt;$I197)*(1-BT$12)</f>
        <v>0</v>
      </c>
      <c r="BU197" s="742">
        <f>$G197*$H197*(1+$K197)^MAX(ROUNDUP(IFERROR(DATEDIF($I179-1,BU$15+1,"m"),)/12,)-1,)*Index!BQ$23*(BU$15&gt;$I197)*(1-BU$12)</f>
        <v>0</v>
      </c>
      <c r="BV197" s="742">
        <f>$G197*$H197*(1+$K197)^MAX(ROUNDUP(IFERROR(DATEDIF($I179-1,BV$15+1,"m"),)/12,)-1,)*Index!BR$23*(BV$15&gt;$I197)*(1-BV$12)</f>
        <v>0</v>
      </c>
      <c r="BW197" s="742">
        <f>$G197*$H197*(1+$K197)^MAX(ROUNDUP(IFERROR(DATEDIF($I179-1,BW$15+1,"m"),)/12,)-1,)*Index!BS$23*(BW$15&gt;$I197)*(1-BW$12)</f>
        <v>0</v>
      </c>
      <c r="BX197" s="742">
        <f>$G197*$H197*(1+$K197)^MAX(ROUNDUP(IFERROR(DATEDIF($I179-1,BX$15+1,"m"),)/12,)-1,)*Index!BT$23*(BX$15&gt;$I197)*(1-BX$12)</f>
        <v>0</v>
      </c>
      <c r="BY197" s="742">
        <f>$G197*$H197*(1+$K197)^MAX(ROUNDUP(IFERROR(DATEDIF($I179-1,BY$15+1,"m"),)/12,)-1,)*Index!BU$23*(BY$15&gt;$I197)*(1-BY$12)</f>
        <v>0</v>
      </c>
      <c r="BZ197" s="742">
        <f>$G197*$H197*(1+$K197)^MAX(ROUNDUP(IFERROR(DATEDIF($I179-1,BZ$15+1,"m"),)/12,)-1,)*Index!BV$23*(BZ$15&gt;$I197)*(1-BZ$12)</f>
        <v>0</v>
      </c>
      <c r="CA197" s="742">
        <f>$G197*$H197*(1+$K197)^MAX(ROUNDUP(IFERROR(DATEDIF($I179-1,CA$15+1,"m"),)/12,)-1,)*Index!BW$23*(CA$15&gt;$I197)*(1-CA$12)</f>
        <v>0</v>
      </c>
      <c r="CB197" s="742">
        <f>$G197*$H197*(1+$K197)^MAX(ROUNDUP(IFERROR(DATEDIF($I179-1,CB$15+1,"m"),)/12,)-1,)*Index!BX$23*(CB$15&gt;$I197)*(1-CB$12)</f>
        <v>0</v>
      </c>
      <c r="CC197" s="742">
        <f>$G197*$H197*(1+$K197)^MAX(ROUNDUP(IFERROR(DATEDIF($I179-1,CC$15+1,"m"),)/12,)-1,)*Index!BY$23*(CC$15&gt;$I197)*(1-CC$12)</f>
        <v>0</v>
      </c>
      <c r="CD197" s="742">
        <f>$G197*$H197*(1+$K197)^MAX(ROUNDUP(IFERROR(DATEDIF($I179-1,CD$15+1,"m"),)/12,)-1,)*Index!BZ$23*(CD$15&gt;$I197)*(1-CD$12)</f>
        <v>0</v>
      </c>
      <c r="CE197" s="742">
        <f>$G197*$H197*(1+$K197)^MAX(ROUNDUP(IFERROR(DATEDIF($I179-1,CE$15+1,"m"),)/12,)-1,)*Index!CA$23*(CE$15&gt;$I197)*(1-CE$12)</f>
        <v>0</v>
      </c>
      <c r="CF197" s="742">
        <f>$G197*$H197*(1+$K197)^MAX(ROUNDUP(IFERROR(DATEDIF($I179-1,CF$15+1,"m"),)/12,)-1,)*Index!CB$23*(CF$15&gt;$I197)*(1-CF$12)</f>
        <v>0</v>
      </c>
      <c r="CG197" s="742">
        <f>$G197*$H197*(1+$K197)^MAX(ROUNDUP(IFERROR(DATEDIF($I179-1,CG$15+1,"m"),)/12,)-1,)*Index!CC$23*(CG$15&gt;$I197)*(1-CG$12)</f>
        <v>0</v>
      </c>
      <c r="CH197" s="742">
        <f>$G197*$H197*(1+$K197)^MAX(ROUNDUP(IFERROR(DATEDIF($I179-1,CH$15+1,"m"),)/12,)-1,)*Index!CD$23*(CH$15&gt;$I197)*(1-CH$12)</f>
        <v>0</v>
      </c>
      <c r="CI197" s="742">
        <f>$G197*$H197*(1+$K197)^MAX(ROUNDUP(IFERROR(DATEDIF($I179-1,CI$15+1,"m"),)/12,)-1,)*Index!CE$23*(CI$15&gt;$I197)*(1-CI$12)</f>
        <v>0</v>
      </c>
      <c r="CJ197" s="742">
        <f>$G197*$H197*(1+$K197)^MAX(ROUNDUP(IFERROR(DATEDIF($I179-1,CJ$15+1,"m"),)/12,)-1,)*Index!CF$23*(CJ$15&gt;$I197)*(1-CJ$12)</f>
        <v>0</v>
      </c>
      <c r="CK197" s="742">
        <f>$G197*$H197*(1+$K197)^MAX(ROUNDUP(IFERROR(DATEDIF($I179-1,CK$15+1,"m"),)/12,)-1,)*Index!CG$23*(CK$15&gt;$I197)*(1-CK$12)</f>
        <v>0</v>
      </c>
      <c r="CL197" s="742">
        <f>$G197*$H197*(1+$K197)^MAX(ROUNDUP(IFERROR(DATEDIF($I179-1,CL$15+1,"m"),)/12,)-1,)*Index!CH$23*(CL$15&gt;$I197)*(1-CL$12)</f>
        <v>0</v>
      </c>
      <c r="CM197" s="742">
        <f>$G197*$H197*(1+$K197)^MAX(ROUNDUP(IFERROR(DATEDIF($I179-1,CM$15+1,"m"),)/12,)-1,)*Index!CI$23*(CM$15&gt;$I197)*(1-CM$12)</f>
        <v>0</v>
      </c>
      <c r="CN197" s="742">
        <f>$G197*$H197*(1+$K197)^MAX(ROUNDUP(IFERROR(DATEDIF($I179-1,CN$15+1,"m"),)/12,)-1,)*Index!CJ$23*(CN$15&gt;$I197)*(1-CN$12)</f>
        <v>0</v>
      </c>
      <c r="CO197" s="742">
        <f>$G197*$H197*(1+$K197)^MAX(ROUNDUP(IFERROR(DATEDIF($I179-1,CO$15+1,"m"),)/12,)-1,)*Index!CK$23*(CO$15&gt;$I197)*(1-CO$12)</f>
        <v>0</v>
      </c>
      <c r="CP197" s="742">
        <f>$G197*$H197*(1+$K197)^MAX(ROUNDUP(IFERROR(DATEDIF($I179-1,CP$15+1,"m"),)/12,)-1,)*Index!CL$23*(CP$15&gt;$I197)*(1-CP$12)</f>
        <v>0</v>
      </c>
      <c r="CQ197" s="742">
        <f>$G197*$H197*(1+$K197)^MAX(ROUNDUP(IFERROR(DATEDIF($I179-1,CQ$15+1,"m"),)/12,)-1,)*Index!CM$23*(CQ$15&gt;$I197)*(1-CQ$12)</f>
        <v>0</v>
      </c>
      <c r="CR197" s="742">
        <f>$G197*$H197*(1+$K197)^MAX(ROUNDUP(IFERROR(DATEDIF($I179-1,CR$15+1,"m"),)/12,)-1,)*Index!CN$23*(CR$15&gt;$I197)*(1-CR$12)</f>
        <v>0</v>
      </c>
      <c r="CS197" s="742">
        <f>$G197*$H197*(1+$K197)^MAX(ROUNDUP(IFERROR(DATEDIF($I179-1,CS$15+1,"m"),)/12,)-1,)*Index!CO$23*(CS$15&gt;$I197)*(1-CS$12)</f>
        <v>0</v>
      </c>
      <c r="CT197" s="742">
        <f>$G197*$H197*(1+$K197)^MAX(ROUNDUP(IFERROR(DATEDIF($I179-1,CT$15+1,"m"),)/12,)-1,)*Index!CP$23*(CT$15&gt;$I197)*(1-CT$12)</f>
        <v>0</v>
      </c>
      <c r="CU197" s="742">
        <f>$G197*$H197*(1+$K197)^MAX(ROUNDUP(IFERROR(DATEDIF($I179-1,CU$15+1,"m"),)/12,)-1,)*Index!CQ$23*(CU$15&gt;$I197)*(1-CU$12)</f>
        <v>0</v>
      </c>
      <c r="CV197" s="742">
        <f>$G197*$H197*(1+$K197)^MAX(ROUNDUP(IFERROR(DATEDIF($I179-1,CV$15+1,"m"),)/12,)-1,)*Index!CR$23*(CV$15&gt;$I197)*(1-CV$12)</f>
        <v>0</v>
      </c>
      <c r="CW197" s="742">
        <f>$G197*$H197*(1+$K197)^MAX(ROUNDUP(IFERROR(DATEDIF($I179-1,CW$15+1,"m"),)/12,)-1,)*Index!CS$23*(CW$15&gt;$I197)*(1-CW$12)</f>
        <v>0</v>
      </c>
      <c r="CX197" s="742">
        <f>$G197*$H197*(1+$K197)^MAX(ROUNDUP(IFERROR(DATEDIF($I179-1,CX$15+1,"m"),)/12,)-1,)*Index!CT$23*(CX$15&gt;$I197)*(1-CX$12)</f>
        <v>0</v>
      </c>
      <c r="CY197" s="742">
        <f>$G197*$H197*(1+$K197)^MAX(ROUNDUP(IFERROR(DATEDIF($I179-1,CY$15+1,"m"),)/12,)-1,)*Index!CU$23*(CY$15&gt;$I197)*(1-CY$12)</f>
        <v>0</v>
      </c>
      <c r="CZ197" s="742">
        <f>$G197*$H197*(1+$K197)^MAX(ROUNDUP(IFERROR(DATEDIF($I179-1,CZ$15+1,"m"),)/12,)-1,)*Index!CV$23*(CZ$15&gt;$I197)*(1-CZ$12)</f>
        <v>0</v>
      </c>
      <c r="DA197" s="742">
        <f>$G197*$H197*(1+$K197)^MAX(ROUNDUP(IFERROR(DATEDIF($I179-1,DA$15+1,"m"),)/12,)-1,)*Index!CW$23*(DA$15&gt;$I197)*(1-DA$12)</f>
        <v>0</v>
      </c>
      <c r="DB197" s="742">
        <f>$G197*$H197*(1+$K197)^MAX(ROUNDUP(IFERROR(DATEDIF($I179-1,DB$15+1,"m"),)/12,)-1,)*Index!CX$23*(DB$15&gt;$I197)*(1-DB$12)</f>
        <v>0</v>
      </c>
      <c r="DC197" s="742">
        <f>$G197*$H197*(1+$K197)^MAX(ROUNDUP(IFERROR(DATEDIF($I179-1,DC$15+1,"m"),)/12,)-1,)*Index!CY$23*(DC$15&gt;$I197)*(1-DC$12)</f>
        <v>0</v>
      </c>
      <c r="DD197" s="742">
        <f>$G197*$H197*(1+$K197)^MAX(ROUNDUP(IFERROR(DATEDIF($I179-1,DD$15+1,"m"),)/12,)-1,)*Index!CZ$23*(DD$15&gt;$I197)*(1-DD$12)</f>
        <v>0</v>
      </c>
      <c r="DE197" s="742">
        <f>$G197*$H197*(1+$K197)^MAX(ROUNDUP(IFERROR(DATEDIF($I179-1,DE$15+1,"m"),)/12,)-1,)*Index!DA$23*(DE$15&gt;$I197)*(1-DE$12)</f>
        <v>0</v>
      </c>
      <c r="DF197" s="742">
        <f>$G197*$H197*(1+$K197)^MAX(ROUNDUP(IFERROR(DATEDIF($I179-1,DF$15+1,"m"),)/12,)-1,)*Index!DB$23*(DF$15&gt;$I197)*(1-DF$12)</f>
        <v>0</v>
      </c>
      <c r="DG197" s="742">
        <f>$G197*$H197*(1+$K197)^MAX(ROUNDUP(IFERROR(DATEDIF($I179-1,DG$15+1,"m"),)/12,)-1,)*Index!DC$23*(DG$15&gt;$I197)*(1-DG$12)</f>
        <v>0</v>
      </c>
      <c r="DH197" s="742">
        <f>$G197*$H197*(1+$K197)^MAX(ROUNDUP(IFERROR(DATEDIF($I179-1,DH$15+1,"m"),)/12,)-1,)*Index!DD$23*(DH$15&gt;$I197)*(1-DH$12)</f>
        <v>0</v>
      </c>
      <c r="DI197" s="742">
        <f>$G197*$H197*(1+$K197)^MAX(ROUNDUP(IFERROR(DATEDIF($I179-1,DI$15+1,"m"),)/12,)-1,)*Index!DE$23*(DI$15&gt;$I197)*(1-DI$12)</f>
        <v>0</v>
      </c>
      <c r="DJ197" s="742">
        <f>$G197*$H197*(1+$K197)^MAX(ROUNDUP(IFERROR(DATEDIF($I179-1,DJ$15+1,"m"),)/12,)-1,)*Index!DF$23*(DJ$15&gt;$I197)*(1-DJ$12)</f>
        <v>0</v>
      </c>
      <c r="DK197" s="742">
        <f>$G197*$H197*(1+$K197)^MAX(ROUNDUP(IFERROR(DATEDIF($I179-1,DK$15+1,"m"),)/12,)-1,)*Index!DG$23*(DK$15&gt;$I197)*(1-DK$12)</f>
        <v>0</v>
      </c>
      <c r="DL197" s="742">
        <f>$G197*$H197*(1+$K197)^MAX(ROUNDUP(IFERROR(DATEDIF($I179-1,DL$15+1,"m"),)/12,)-1,)*Index!DH$23*(DL$15&gt;$I197)*(1-DL$12)</f>
        <v>0</v>
      </c>
      <c r="DM197" s="742">
        <f>$G197*$H197*(1+$K197)^MAX(ROUNDUP(IFERROR(DATEDIF($I179-1,DM$15+1,"m"),)/12,)-1,)*Index!DI$23*(DM$15&gt;$I197)*(1-DM$12)</f>
        <v>0</v>
      </c>
      <c r="DN197" s="742">
        <f>$G197*$H197*(1+$K197)^MAX(ROUNDUP(IFERROR(DATEDIF($I179-1,DN$15+1,"m"),)/12,)-1,)*Index!DJ$23*(DN$15&gt;$I197)*(1-DN$12)</f>
        <v>0</v>
      </c>
      <c r="DO197" s="742">
        <f>$G197*$H197*(1+$K197)^MAX(ROUNDUP(IFERROR(DATEDIF($I179-1,DO$15+1,"m"),)/12,)-1,)*Index!DK$23*(DO$15&gt;$I197)*(1-DO$12)</f>
        <v>0</v>
      </c>
      <c r="DP197" s="742">
        <f>$G197*$H197*(1+$K197)^MAX(ROUNDUP(IFERROR(DATEDIF($I179-1,DP$15+1,"m"),)/12,)-1,)*Index!DL$23*(DP$15&gt;$I197)*(1-DP$12)</f>
        <v>0</v>
      </c>
      <c r="DQ197" s="742">
        <f>$G197*$H197*(1+$K197)^MAX(ROUNDUP(IFERROR(DATEDIF($I179-1,DQ$15+1,"m"),)/12,)-1,)*Index!DM$23*(DQ$15&gt;$I197)*(1-DQ$12)</f>
        <v>0</v>
      </c>
      <c r="DR197" s="742">
        <f>$G197*$H197*(1+$K197)^MAX(ROUNDUP(IFERROR(DATEDIF($I179-1,DR$15+1,"m"),)/12,)-1,)*Index!DN$23*(DR$15&gt;$I197)*(1-DR$12)</f>
        <v>0</v>
      </c>
      <c r="DS197" s="742">
        <f>$G197*$H197*(1+$K197)^MAX(ROUNDUP(IFERROR(DATEDIF($I179-1,DS$15+1,"m"),)/12,)-1,)*Index!DO$23*(DS$15&gt;$I197)*(1-DS$12)</f>
        <v>0</v>
      </c>
      <c r="DT197" s="742">
        <f>$G197*$H197*(1+$K197)^MAX(ROUNDUP(IFERROR(DATEDIF($I179-1,DT$15+1,"m"),)/12,)-1,)*Index!DP$23*(DT$15&gt;$I197)*(1-DT$12)</f>
        <v>0</v>
      </c>
      <c r="DU197" s="742">
        <f>$G197*$H197*(1+$K197)^MAX(ROUNDUP(IFERROR(DATEDIF($I179-1,DU$15+1,"m"),)/12,)-1,)*Index!DQ$23*(DU$15&gt;$I197)*(1-DU$12)</f>
        <v>0</v>
      </c>
      <c r="DV197" s="742">
        <f>$G197*$H197*(1+$K197)^MAX(ROUNDUP(IFERROR(DATEDIF($I179-1,DV$15+1,"m"),)/12,)-1,)*Index!DR$23*(DV$15&gt;$I197)*(1-DV$12)</f>
        <v>0</v>
      </c>
      <c r="DW197" s="742">
        <f>$G197*$H197*(1+$K197)^MAX(ROUNDUP(IFERROR(DATEDIF($I179-1,DW$15+1,"m"),)/12,)-1,)*Index!DS$23*(DW$15&gt;$I197)*(1-DW$12)</f>
        <v>0</v>
      </c>
      <c r="DX197" s="742">
        <f>$G197*$H197*(1+$K197)^MAX(ROUNDUP(IFERROR(DATEDIF($I179-1,DX$15+1,"m"),)/12,)-1,)*Index!DT$23*(DX$15&gt;$I197)*(1-DX$12)</f>
        <v>0</v>
      </c>
      <c r="DY197" s="742">
        <f>$G197*$H197*(1+$K197)^MAX(ROUNDUP(IFERROR(DATEDIF($I179-1,DY$15+1,"m"),)/12,)-1,)*Index!DU$23*(DY$15&gt;$I197)*(1-DY$12)</f>
        <v>0</v>
      </c>
      <c r="DZ197" s="742">
        <f>$G197*$H197*(1+$K197)^MAX(ROUNDUP(IFERROR(DATEDIF($I179-1,DZ$15+1,"m"),)/12,)-1,)*Index!DV$23*(DZ$15&gt;$I197)*(1-DZ$12)</f>
        <v>0</v>
      </c>
      <c r="EA197" s="742">
        <f>$G197*$H197*(1+$K197)^MAX(ROUNDUP(IFERROR(DATEDIF($I179-1,EA$15+1,"m"),)/12,)-1,)*Index!DW$23*(EA$15&gt;$I197)*(1-EA$12)</f>
        <v>0</v>
      </c>
      <c r="EB197" s="742">
        <f>$G197*$H197*(1+$K197)^MAX(ROUNDUP(IFERROR(DATEDIF($I179-1,EB$15+1,"m"),)/12,)-1,)*Index!DX$23*(EB$15&gt;$I197)*(1-EB$12)</f>
        <v>0</v>
      </c>
      <c r="EC197" s="742">
        <f>$G197*$H197*(1+$K197)^MAX(ROUNDUP(IFERROR(DATEDIF($I179-1,EC$15+1,"m"),)/12,)-1,)*Index!DY$23*(EC$15&gt;$I197)*(1-EC$12)</f>
        <v>0</v>
      </c>
      <c r="ED197" s="742">
        <f>$G197*$H197*(1+$K197)^MAX(ROUNDUP(IFERROR(DATEDIF($I179-1,ED$15+1,"m"),)/12,)-1,)*Index!DZ$23*(ED$15&gt;$I197)*(1-ED$12)</f>
        <v>0</v>
      </c>
      <c r="EE197" s="742">
        <f>$G197*$H197*(1+$K197)^MAX(ROUNDUP(IFERROR(DATEDIF($I179-1,EE$15+1,"m"),)/12,)-1,)*Index!EA$23*(EE$15&gt;$I197)*(1-EE$12)</f>
        <v>0</v>
      </c>
      <c r="EF197" s="742">
        <f>$G197*$H197*(1+$K197)^MAX(ROUNDUP(IFERROR(DATEDIF($I179-1,EF$15+1,"m"),)/12,)-1,)*Index!EB$23*(EF$15&gt;$I197)*(1-EF$12)</f>
        <v>0</v>
      </c>
      <c r="EG197" s="742">
        <f>$G197*$H197*(1+$K197)^MAX(ROUNDUP(IFERROR(DATEDIF($I179-1,EG$15+1,"m"),)/12,)-1,)*Index!EC$23*(EG$15&gt;$I197)*(1-EG$12)</f>
        <v>0</v>
      </c>
      <c r="EH197" s="742">
        <f>$G197*$H197*(1+$K197)^MAX(ROUNDUP(IFERROR(DATEDIF($I179-1,EH$15+1,"m"),)/12,)-1,)*Index!ED$23*(EH$15&gt;$I197)*(1-EH$12)</f>
        <v>0</v>
      </c>
      <c r="EI197" s="742">
        <f>$G197*$H197*(1+$K197)^MAX(ROUNDUP(IFERROR(DATEDIF($I179-1,EI$15+1,"m"),)/12,)-1,)*Index!EE$23*(EI$15&gt;$I197)*(1-EI$12)</f>
        <v>0</v>
      </c>
      <c r="EJ197" s="742">
        <f>$G197*$H197*(1+$K197)^MAX(ROUNDUP(IFERROR(DATEDIF($I179-1,EJ$15+1,"m"),)/12,)-1,)*Index!EF$23*(EJ$15&gt;$I197)*(1-EJ$12)</f>
        <v>0</v>
      </c>
      <c r="EK197" s="742">
        <f>$G197*$H197*(1+$K197)^MAX(ROUNDUP(IFERROR(DATEDIF($I179-1,EK$15+1,"m"),)/12,)-1,)*Index!EG$23*(EK$15&gt;$I197)*(1-EK$12)</f>
        <v>0</v>
      </c>
      <c r="EL197" s="742">
        <f>$G197*$H197*(1+$K197)^MAX(ROUNDUP(IFERROR(DATEDIF($I179-1,EL$15+1,"m"),)/12,)-1,)*Index!EH$23*(EL$15&gt;$I197)*(1-EL$12)</f>
        <v>0</v>
      </c>
      <c r="EM197" s="742">
        <f>$G197*$H197*(1+$K197)^MAX(ROUNDUP(IFERROR(DATEDIF($I179-1,EM$15+1,"m"),)/12,)-1,)*Index!EI$23*(EM$15&gt;$I197)*(1-EM$12)</f>
        <v>0</v>
      </c>
      <c r="EN197" s="742">
        <f>$G197*$H197*(1+$K197)^MAX(ROUNDUP(IFERROR(DATEDIF($I179-1,EN$15+1,"m"),)/12,)-1,)*Index!EJ$23*(EN$15&gt;$I197)*(1-EN$12)</f>
        <v>0</v>
      </c>
      <c r="EO197" s="742">
        <f>$G197*$H197*(1+$K197)^MAX(ROUNDUP(IFERROR(DATEDIF($I179-1,EO$15+1,"m"),)/12,)-1,)*Index!EK$23*(EO$15&gt;$I197)*(1-EO$12)</f>
        <v>0</v>
      </c>
      <c r="EP197" s="742">
        <f>$G197*$H197*(1+$K197)^MAX(ROUNDUP(IFERROR(DATEDIF($I179-1,EP$15+1,"m"),)/12,)-1,)*Index!EL$23*(EP$15&gt;$I197)*(1-EP$12)</f>
        <v>0</v>
      </c>
      <c r="EQ197" s="742">
        <f>$G197*$H197*(1+$K197)^MAX(ROUNDUP(IFERROR(DATEDIF($I179-1,EQ$15+1,"m"),)/12,)-1,)*Index!EM$23*(EQ$15&gt;$I197)*(1-EQ$12)</f>
        <v>0</v>
      </c>
      <c r="ER197" s="742">
        <f>$G197*$H197*(1+$K197)^MAX(ROUNDUP(IFERROR(DATEDIF($I179-1,ER$15+1,"m"),)/12,)-1,)*Index!EN$23*(ER$15&gt;$I197)*(1-ER$12)</f>
        <v>0</v>
      </c>
      <c r="ES197" s="742">
        <f>$G197*$H197*(1+$K197)^MAX(ROUNDUP(IFERROR(DATEDIF($I179-1,ES$15+1,"m"),)/12,)-1,)*Index!EO$23*(ES$15&gt;$I197)*(1-ES$12)</f>
        <v>0</v>
      </c>
      <c r="ET197" s="742">
        <f>$G197*$H197*(1+$K197)^MAX(ROUNDUP(IFERROR(DATEDIF($I179-1,ET$15+1,"m"),)/12,)-1,)*Index!EP$23*(ET$15&gt;$I197)*(1-ET$12)</f>
        <v>0</v>
      </c>
      <c r="EU197" s="742">
        <f>$G197*$H197*(1+$K197)^MAX(ROUNDUP(IFERROR(DATEDIF($I179-1,EU$15+1,"m"),)/12,)-1,)*Index!EQ$23*(EU$15&gt;$I197)*(1-EU$12)</f>
        <v>0</v>
      </c>
    </row>
    <row r="198" spans="3:151" ht="11.25" customHeight="1">
      <c r="C198" s="828"/>
      <c r="D198" s="743">
        <f t="shared" ref="D198:I198" si="271">D162</f>
        <v>8</v>
      </c>
      <c r="E198" s="704" t="str">
        <f t="shared" si="271"/>
        <v>쿠팡</v>
      </c>
      <c r="F198" s="704" t="str">
        <f t="shared" si="271"/>
        <v>근린생활시설</v>
      </c>
      <c r="G198" s="781">
        <f t="shared" si="271"/>
        <v>2.9900433370455741</v>
      </c>
      <c r="H198" s="744">
        <f t="shared" si="271"/>
        <v>78.09</v>
      </c>
      <c r="I198" s="745">
        <f t="shared" si="271"/>
        <v>49064</v>
      </c>
      <c r="J198" s="745"/>
      <c r="K198" s="754">
        <f t="shared" ref="K198:K213" si="272">K162</f>
        <v>2.5000000000000001E-2</v>
      </c>
      <c r="L198" s="746"/>
      <c r="M198" s="722"/>
      <c r="N198" s="747">
        <f t="shared" ref="N198:N213" si="273">SUM(P198:EU198)</f>
        <v>3586.6814423698688</v>
      </c>
      <c r="O198" s="733"/>
      <c r="P198" s="747">
        <f>$G198*$H198*(1+$K198)^MAX(ROUNDUP(IFERROR(DATEDIF($I180-1,P$15+1,"m"),)/12,)-1,)*Index!L$23*(P$15&gt;$I198)*(1-P$12)</f>
        <v>0</v>
      </c>
      <c r="Q198" s="747">
        <f>$G198*$H198*(1+$K198)^MAX(ROUNDUP(IFERROR(DATEDIF($I180-1,Q$15+1,"m"),)/12,)-1,)*Index!M$23*(Q$15&gt;$I198)*(1-Q$12)</f>
        <v>0</v>
      </c>
      <c r="R198" s="747">
        <f>$G198*$H198*(1+$K198)^MAX(ROUNDUP(IFERROR(DATEDIF($I180-1,R$15+1,"m"),)/12,)-1,)*Index!N$23*(R$15&gt;$I198)*(1-R$12)</f>
        <v>0</v>
      </c>
      <c r="S198" s="747">
        <f>$G198*$H198*(1+$K198)^MAX(ROUNDUP(IFERROR(DATEDIF($I180-1,S$15+1,"m"),)/12,)-1,)*Index!O$23*(S$15&gt;$I198)*(1-S$12)</f>
        <v>0</v>
      </c>
      <c r="T198" s="747">
        <f>$G198*$H198*(1+$K198)^MAX(ROUNDUP(IFERROR(DATEDIF($I180-1,T$15+1,"m"),)/12,)-1,)*Index!P$23*(T$15&gt;$I198)*(1-T$12)</f>
        <v>0</v>
      </c>
      <c r="U198" s="747">
        <f>$G198*$H198*(1+$K198)^MAX(ROUNDUP(IFERROR(DATEDIF($I180-1,U$15+1,"m"),)/12,)-1,)*Index!Q$23*(U$15&gt;$I198)*(1-U$12)</f>
        <v>0</v>
      </c>
      <c r="V198" s="747">
        <f>$G198*$H198*(1+$K198)^MAX(ROUNDUP(IFERROR(DATEDIF($I180-1,V$15+1,"m"),)/12,)-1,)*Index!R$23*(V$15&gt;$I198)*(1-V$12)</f>
        <v>0</v>
      </c>
      <c r="W198" s="747">
        <f>$G198*$H198*(1+$K198)^MAX(ROUNDUP(IFERROR(DATEDIF($I180-1,W$15+1,"m"),)/12,)-1,)*Index!S$23*(W$15&gt;$I198)*(1-W$12)</f>
        <v>0</v>
      </c>
      <c r="X198" s="747">
        <f>$G198*$H198*(1+$K198)^MAX(ROUNDUP(IFERROR(DATEDIF($I180-1,X$15+1,"m"),)/12,)-1,)*Index!T$23*(X$15&gt;$I198)*(1-X$12)</f>
        <v>0</v>
      </c>
      <c r="Y198" s="747">
        <f>$G198*$H198*(1+$K198)^MAX(ROUNDUP(IFERROR(DATEDIF($I180-1,Y$15+1,"m"),)/12,)-1,)*Index!U$23*(Y$15&gt;$I198)*(1-Y$12)</f>
        <v>0</v>
      </c>
      <c r="Z198" s="747">
        <f>$G198*$H198*(1+$K198)^MAX(ROUNDUP(IFERROR(DATEDIF($I180-1,Z$15+1,"m"),)/12,)-1,)*Index!V$23*(Z$15&gt;$I198)*(1-Z$12)</f>
        <v>0</v>
      </c>
      <c r="AA198" s="747">
        <f>$G198*$H198*(1+$K198)^MAX(ROUNDUP(IFERROR(DATEDIF($I180-1,AA$15+1,"m"),)/12,)-1,)*Index!W$23*(AA$15&gt;$I198)*(1-AA$12)</f>
        <v>0</v>
      </c>
      <c r="AB198" s="747">
        <f>$G198*$H198*(1+$K198)^MAX(ROUNDUP(IFERROR(DATEDIF($I180-1,AB$15+1,"m"),)/12,)-1,)*Index!X$23*(AB$15&gt;$I198)*(1-AB$12)</f>
        <v>0</v>
      </c>
      <c r="AC198" s="747">
        <f>$G198*$H198*(1+$K198)^MAX(ROUNDUP(IFERROR(DATEDIF($I180-1,AC$15+1,"m"),)/12,)-1,)*Index!Y$23*(AC$15&gt;$I198)*(1-AC$12)</f>
        <v>0</v>
      </c>
      <c r="AD198" s="747">
        <f>$G198*$H198*(1+$K198)^MAX(ROUNDUP(IFERROR(DATEDIF($I180-1,AD$15+1,"m"),)/12,)-1,)*Index!Z$23*(AD$15&gt;$I198)*(1-AD$12)</f>
        <v>0</v>
      </c>
      <c r="AE198" s="747">
        <f>$G198*$H198*(1+$K198)^MAX(ROUNDUP(IFERROR(DATEDIF($I180-1,AE$15+1,"m"),)/12,)-1,)*Index!AA$23*(AE$15&gt;$I198)*(1-AE$12)</f>
        <v>0</v>
      </c>
      <c r="AF198" s="747">
        <f>$G198*$H198*(1+$K198)^MAX(ROUNDUP(IFERROR(DATEDIF($I180-1,AF$15+1,"m"),)/12,)-1,)*Index!AB$23*(AF$15&gt;$I198)*(1-AF$12)</f>
        <v>0</v>
      </c>
      <c r="AG198" s="747">
        <f>$G198*$H198*(1+$K198)^MAX(ROUNDUP(IFERROR(DATEDIF($I180-1,AG$15+1,"m"),)/12,)-1,)*Index!AC$23*(AG$15&gt;$I198)*(1-AG$12)</f>
        <v>0</v>
      </c>
      <c r="AH198" s="747">
        <f>$G198*$H198*(1+$K198)^MAX(ROUNDUP(IFERROR(DATEDIF($I180-1,AH$15+1,"m"),)/12,)-1,)*Index!AD$23*(AH$15&gt;$I198)*(1-AH$12)</f>
        <v>0</v>
      </c>
      <c r="AI198" s="747">
        <f>$G198*$H198*(1+$K198)^MAX(ROUNDUP(IFERROR(DATEDIF($I180-1,AI$15+1,"m"),)/12,)-1,)*Index!AE$23*(AI$15&gt;$I198)*(1-AI$12)</f>
        <v>0</v>
      </c>
      <c r="AJ198" s="747">
        <f>$G198*$H198*(1+$K198)^MAX(ROUNDUP(IFERROR(DATEDIF($I180-1,AJ$15+1,"m"),)/12,)-1,)*Index!AF$23*(AJ$15&gt;$I198)*(1-AJ$12)</f>
        <v>0</v>
      </c>
      <c r="AK198" s="747">
        <f>$G198*$H198*(1+$K198)^MAX(ROUNDUP(IFERROR(DATEDIF($I180-1,AK$15+1,"m"),)/12,)-1,)*Index!AG$23*(AK$15&gt;$I198)*(1-AK$12)</f>
        <v>0</v>
      </c>
      <c r="AL198" s="747">
        <f>$G198*$H198*(1+$K198)^MAX(ROUNDUP(IFERROR(DATEDIF($I180-1,AL$15+1,"m"),)/12,)-1,)*Index!AH$23*(AL$15&gt;$I198)*(1-AL$12)</f>
        <v>0</v>
      </c>
      <c r="AM198" s="747">
        <f>$G198*$H198*(1+$K198)^MAX(ROUNDUP(IFERROR(DATEDIF($I180-1,AM$15+1,"m"),)/12,)-1,)*Index!AI$23*(AM$15&gt;$I198)*(1-AM$12)</f>
        <v>0</v>
      </c>
      <c r="AN198" s="747">
        <f>$G198*$H198*(1+$K198)^MAX(ROUNDUP(IFERROR(DATEDIF($I180-1,AN$15+1,"m"),)/12,)-1,)*Index!AJ$23*(AN$15&gt;$I198)*(1-AN$12)</f>
        <v>0</v>
      </c>
      <c r="AO198" s="747">
        <f>$G198*$H198*(1+$K198)^MAX(ROUNDUP(IFERROR(DATEDIF($I180-1,AO$15+1,"m"),)/12,)-1,)*Index!AK$23*(AO$15&gt;$I198)*(1-AO$12)</f>
        <v>0</v>
      </c>
      <c r="AP198" s="747">
        <f>$G198*$H198*(1+$K198)^MAX(ROUNDUP(IFERROR(DATEDIF($I180-1,AP$15+1,"m"),)/12,)-1,)*Index!AL$23*(AP$15&gt;$I198)*(1-AP$12)</f>
        <v>0</v>
      </c>
      <c r="AQ198" s="747">
        <f>$G198*$H198*(1+$K198)^MAX(ROUNDUP(IFERROR(DATEDIF($I180-1,AQ$15+1,"m"),)/12,)-1,)*Index!AM$23*(AQ$15&gt;$I198)*(1-AQ$12)</f>
        <v>0</v>
      </c>
      <c r="AR198" s="747">
        <f>$G198*$H198*(1+$K198)^MAX(ROUNDUP(IFERROR(DATEDIF($I180-1,AR$15+1,"m"),)/12,)-1,)*Index!AN$23*(AR$15&gt;$I198)*(1-AR$12)</f>
        <v>0</v>
      </c>
      <c r="AS198" s="747">
        <f>$G198*$H198*(1+$K198)^MAX(ROUNDUP(IFERROR(DATEDIF($I180-1,AS$15+1,"m"),)/12,)-1,)*Index!AO$23*(AS$15&gt;$I198)*(1-AS$12)</f>
        <v>0</v>
      </c>
      <c r="AT198" s="747">
        <f>$G198*$H198*(1+$K198)^MAX(ROUNDUP(IFERROR(DATEDIF($I180-1,AT$15+1,"m"),)/12,)-1,)*Index!AP$23*(AT$15&gt;$I198)*(1-AT$12)</f>
        <v>0</v>
      </c>
      <c r="AU198" s="747">
        <f>$G198*$H198*(1+$K198)^MAX(ROUNDUP(IFERROR(DATEDIF($I180-1,AU$15+1,"m"),)/12,)-1,)*Index!AQ$23*(AU$15&gt;$I198)*(1-AU$12)</f>
        <v>0</v>
      </c>
      <c r="AV198" s="747">
        <f>$G198*$H198*(1+$K198)^MAX(ROUNDUP(IFERROR(DATEDIF($I180-1,AV$15+1,"m"),)/12,)-1,)*Index!AR$23*(AV$15&gt;$I198)*(1-AV$12)</f>
        <v>0</v>
      </c>
      <c r="AW198" s="747">
        <f>$G198*$H198*(1+$K198)^MAX(ROUNDUP(IFERROR(DATEDIF($I180-1,AW$15+1,"m"),)/12,)-1,)*Index!AS$23*(AW$15&gt;$I198)*(1-AW$12)</f>
        <v>0</v>
      </c>
      <c r="AX198" s="747">
        <f>$G198*$H198*(1+$K198)^MAX(ROUNDUP(IFERROR(DATEDIF($I180-1,AX$15+1,"m"),)/12,)-1,)*Index!AT$23*(AX$15&gt;$I198)*(1-AX$12)</f>
        <v>0</v>
      </c>
      <c r="AY198" s="747">
        <f>$G198*$H198*(1+$K198)^MAX(ROUNDUP(IFERROR(DATEDIF($I180-1,AY$15+1,"m"),)/12,)-1,)*Index!AU$23*(AY$15&gt;$I198)*(1-AY$12)</f>
        <v>0</v>
      </c>
      <c r="AZ198" s="747">
        <f>$G198*$H198*(1+$K198)^MAX(ROUNDUP(IFERROR(DATEDIF($I180-1,AZ$15+1,"m"),)/12,)-1,)*Index!AV$23*(AZ$15&gt;$I198)*(1-AZ$12)</f>
        <v>0</v>
      </c>
      <c r="BA198" s="747">
        <f>$G198*$H198*(1+$K198)^MAX(ROUNDUP(IFERROR(DATEDIF($I180-1,BA$15+1,"m"),)/12,)-1,)*Index!AW$23*(BA$15&gt;$I198)*(1-BA$12)</f>
        <v>0</v>
      </c>
      <c r="BB198" s="747">
        <f>$G198*$H198*(1+$K198)^MAX(ROUNDUP(IFERROR(DATEDIF($I180-1,BB$15+1,"m"),)/12,)-1,)*Index!AX$23*(BB$15&gt;$I198)*(1-BB$12)</f>
        <v>0</v>
      </c>
      <c r="BC198" s="747">
        <f>$G198*$H198*(1+$K198)^MAX(ROUNDUP(IFERROR(DATEDIF($I180-1,BC$15+1,"m"),)/12,)-1,)*Index!AY$23*(BC$15&gt;$I198)*(1-BC$12)</f>
        <v>0</v>
      </c>
      <c r="BD198" s="747">
        <f>$G198*$H198*(1+$K198)^MAX(ROUNDUP(IFERROR(DATEDIF($I180-1,BD$15+1,"m"),)/12,)-1,)*Index!AZ$23*(BD$15&gt;$I198)*(1-BD$12)</f>
        <v>0</v>
      </c>
      <c r="BE198" s="747">
        <f>$G198*$H198*(1+$K198)^MAX(ROUNDUP(IFERROR(DATEDIF($I180-1,BE$15+1,"m"),)/12,)-1,)*Index!BA$23*(BE$15&gt;$I198)*(1-BE$12)</f>
        <v>0</v>
      </c>
      <c r="BF198" s="747">
        <f>$G198*$H198*(1+$K198)^MAX(ROUNDUP(IFERROR(DATEDIF($I180-1,BF$15+1,"m"),)/12,)-1,)*Index!BB$23*(BF$15&gt;$I198)*(1-BF$12)</f>
        <v>0</v>
      </c>
      <c r="BG198" s="747">
        <f>$G198*$H198*(1+$K198)^MAX(ROUNDUP(IFERROR(DATEDIF($I180-1,BG$15+1,"m"),)/12,)-1,)*Index!BC$23*(BG$15&gt;$I198)*(1-BG$12)</f>
        <v>0</v>
      </c>
      <c r="BH198" s="747">
        <f>$G198*$H198*(1+$K198)^MAX(ROUNDUP(IFERROR(DATEDIF($I180-1,BH$15+1,"m"),)/12,)-1,)*Index!BD$23*(BH$15&gt;$I198)*(1-BH$12)</f>
        <v>0</v>
      </c>
      <c r="BI198" s="747">
        <f>$G198*$H198*(1+$K198)^MAX(ROUNDUP(IFERROR(DATEDIF($I180-1,BI$15+1,"m"),)/12,)-1,)*Index!BE$23*(BI$15&gt;$I198)*(1-BI$12)</f>
        <v>0</v>
      </c>
      <c r="BJ198" s="747">
        <f>$G198*$H198*(1+$K198)^MAX(ROUNDUP(IFERROR(DATEDIF($I180-1,BJ$15+1,"m"),)/12,)-1,)*Index!BF$23*(BJ$15&gt;$I198)*(1-BJ$12)</f>
        <v>0</v>
      </c>
      <c r="BK198" s="747">
        <f>$G198*$H198*(1+$K198)^MAX(ROUNDUP(IFERROR(DATEDIF($I180-1,BK$15+1,"m"),)/12,)-1,)*Index!BG$23*(BK$15&gt;$I198)*(1-BK$12)</f>
        <v>0</v>
      </c>
      <c r="BL198" s="747">
        <f>$G198*$H198*(1+$K198)^MAX(ROUNDUP(IFERROR(DATEDIF($I180-1,BL$15+1,"m"),)/12,)-1,)*Index!BH$23*(BL$15&gt;$I198)*(1-BL$12)</f>
        <v>0</v>
      </c>
      <c r="BM198" s="747">
        <f>$G198*$H198*(1+$K198)^MAX(ROUNDUP(IFERROR(DATEDIF($I180-1,BM$15+1,"m"),)/12,)-1,)*Index!BI$23*(BM$15&gt;$I198)*(1-BM$12)</f>
        <v>0</v>
      </c>
      <c r="BN198" s="747">
        <f>$G198*$H198*(1+$K198)^MAX(ROUNDUP(IFERROR(DATEDIF($I180-1,BN$15+1,"m"),)/12,)-1,)*Index!BJ$23*(BN$15&gt;$I198)*(1-BN$12)</f>
        <v>0</v>
      </c>
      <c r="BO198" s="747">
        <f>$G198*$H198*(1+$K198)^MAX(ROUNDUP(IFERROR(DATEDIF($I180-1,BO$15+1,"m"),)/12,)-1,)*Index!BK$23*(BO$15&gt;$I198)*(1-BO$12)</f>
        <v>0</v>
      </c>
      <c r="BP198" s="747">
        <f>$G198*$H198*(1+$K198)^MAX(ROUNDUP(IFERROR(DATEDIF($I180-1,BP$15+1,"m"),)/12,)-1,)*Index!BL$23*(BP$15&gt;$I198)*(1-BP$12)</f>
        <v>0</v>
      </c>
      <c r="BQ198" s="747">
        <f>$G198*$H198*(1+$K198)^MAX(ROUNDUP(IFERROR(DATEDIF($I180-1,BQ$15+1,"m"),)/12,)-1,)*Index!BM$23*(BQ$15&gt;$I198)*(1-BQ$12)</f>
        <v>0</v>
      </c>
      <c r="BR198" s="747">
        <f>$G198*$H198*(1+$K198)^MAX(ROUNDUP(IFERROR(DATEDIF($I180-1,BR$15+1,"m"),)/12,)-1,)*Index!BN$23*(BR$15&gt;$I198)*(1-BR$12)</f>
        <v>0</v>
      </c>
      <c r="BS198" s="747">
        <f>$G198*$H198*(1+$K198)^MAX(ROUNDUP(IFERROR(DATEDIF($I180-1,BS$15+1,"m"),)/12,)-1,)*Index!BO$23*(BS$15&gt;$I198)*(1-BS$12)</f>
        <v>0</v>
      </c>
      <c r="BT198" s="747">
        <f>$G198*$H198*(1+$K198)^MAX(ROUNDUP(IFERROR(DATEDIF($I180-1,BT$15+1,"m"),)/12,)-1,)*Index!BP$23*(BT$15&gt;$I198)*(1-BT$12)</f>
        <v>0</v>
      </c>
      <c r="BU198" s="747">
        <f>$G198*$H198*(1+$K198)^MAX(ROUNDUP(IFERROR(DATEDIF($I180-1,BU$15+1,"m"),)/12,)-1,)*Index!BQ$23*(BU$15&gt;$I198)*(1-BU$12)</f>
        <v>0</v>
      </c>
      <c r="BV198" s="747">
        <f>$G198*$H198*(1+$K198)^MAX(ROUNDUP(IFERROR(DATEDIF($I180-1,BV$15+1,"m"),)/12,)-1,)*Index!BR$23*(BV$15&gt;$I198)*(1-BV$12)</f>
        <v>0</v>
      </c>
      <c r="BW198" s="747">
        <f>$G198*$H198*(1+$K198)^MAX(ROUNDUP(IFERROR(DATEDIF($I180-1,BW$15+1,"m"),)/12,)-1,)*Index!BS$23*(BW$15&gt;$I198)*(1-BW$12)</f>
        <v>0</v>
      </c>
      <c r="BX198" s="747">
        <f>$G198*$H198*(1+$K198)^MAX(ROUNDUP(IFERROR(DATEDIF($I180-1,BX$15+1,"m"),)/12,)-1,)*Index!BT$23*(BX$15&gt;$I198)*(1-BX$12)</f>
        <v>0</v>
      </c>
      <c r="BY198" s="747">
        <f>$G198*$H198*(1+$K198)^MAX(ROUNDUP(IFERROR(DATEDIF($I180-1,BY$15+1,"m"),)/12,)-1,)*Index!BU$23*(BY$15&gt;$I198)*(1-BY$12)</f>
        <v>0</v>
      </c>
      <c r="BZ198" s="747">
        <f>$G198*$H198*(1+$K198)^MAX(ROUNDUP(IFERROR(DATEDIF($I180-1,BZ$15+1,"m"),)/12,)-1,)*Index!BV$23*(BZ$15&gt;$I198)*(1-BZ$12)</f>
        <v>0</v>
      </c>
      <c r="CA198" s="747">
        <f>$G198*$H198*(1+$K198)^MAX(ROUNDUP(IFERROR(DATEDIF($I180-1,CA$15+1,"m"),)/12,)-1,)*Index!BW$23*(CA$15&gt;$I198)*(1-CA$12)</f>
        <v>0</v>
      </c>
      <c r="CB198" s="747">
        <f>$G198*$H198*(1+$K198)^MAX(ROUNDUP(IFERROR(DATEDIF($I180-1,CB$15+1,"m"),)/12,)-1,)*Index!BX$23*(CB$15&gt;$I198)*(1-CB$12)</f>
        <v>0</v>
      </c>
      <c r="CC198" s="747">
        <f>$G198*$H198*(1+$K198)^MAX(ROUNDUP(IFERROR(DATEDIF($I180-1,CC$15+1,"m"),)/12,)-1,)*Index!BY$23*(CC$15&gt;$I198)*(1-CC$12)</f>
        <v>0</v>
      </c>
      <c r="CD198" s="747">
        <f>$G198*$H198*(1+$K198)^MAX(ROUNDUP(IFERROR(DATEDIF($I180-1,CD$15+1,"m"),)/12,)-1,)*Index!BZ$23*(CD$15&gt;$I198)*(1-CD$12)</f>
        <v>0</v>
      </c>
      <c r="CE198" s="747">
        <f>$G198*$H198*(1+$K198)^MAX(ROUNDUP(IFERROR(DATEDIF($I180-1,CE$15+1,"m"),)/12,)-1,)*Index!CA$23*(CE$15&gt;$I198)*(1-CE$12)</f>
        <v>0</v>
      </c>
      <c r="CF198" s="747">
        <f>$G198*$H198*(1+$K198)^MAX(ROUNDUP(IFERROR(DATEDIF($I180-1,CF$15+1,"m"),)/12,)-1,)*Index!CB$23*(CF$15&gt;$I198)*(1-CF$12)</f>
        <v>0</v>
      </c>
      <c r="CG198" s="747">
        <f>$G198*$H198*(1+$K198)^MAX(ROUNDUP(IFERROR(DATEDIF($I180-1,CG$15+1,"m"),)/12,)-1,)*Index!CC$23*(CG$15&gt;$I198)*(1-CG$12)</f>
        <v>0</v>
      </c>
      <c r="CH198" s="747">
        <f>$G198*$H198*(1+$K198)^MAX(ROUNDUP(IFERROR(DATEDIF($I180-1,CH$15+1,"m"),)/12,)-1,)*Index!CD$23*(CH$15&gt;$I198)*(1-CH$12)</f>
        <v>0</v>
      </c>
      <c r="CI198" s="747">
        <f>$G198*$H198*(1+$K198)^MAX(ROUNDUP(IFERROR(DATEDIF($I180-1,CI$15+1,"m"),)/12,)-1,)*Index!CE$23*(CI$15&gt;$I198)*(1-CI$12)</f>
        <v>0</v>
      </c>
      <c r="CJ198" s="747">
        <f>$G198*$H198*(1+$K198)^MAX(ROUNDUP(IFERROR(DATEDIF($I180-1,CJ$15+1,"m"),)/12,)-1,)*Index!CF$23*(CJ$15&gt;$I198)*(1-CJ$12)</f>
        <v>0</v>
      </c>
      <c r="CK198" s="747">
        <f>$G198*$H198*(1+$K198)^MAX(ROUNDUP(IFERROR(DATEDIF($I180-1,CK$15+1,"m"),)/12,)-1,)*Index!CG$23*(CK$15&gt;$I198)*(1-CK$12)</f>
        <v>0</v>
      </c>
      <c r="CL198" s="747">
        <f>$G198*$H198*(1+$K198)^MAX(ROUNDUP(IFERROR(DATEDIF($I180-1,CL$15+1,"m"),)/12,)-1,)*Index!CH$23*(CL$15&gt;$I198)*(1-CL$12)</f>
        <v>0</v>
      </c>
      <c r="CM198" s="747">
        <f>$G198*$H198*(1+$K198)^MAX(ROUNDUP(IFERROR(DATEDIF($I180-1,CM$15+1,"m"),)/12,)-1,)*Index!CI$23*(CM$15&gt;$I198)*(1-CM$12)</f>
        <v>0</v>
      </c>
      <c r="CN198" s="747">
        <f>$G198*$H198*(1+$K198)^MAX(ROUNDUP(IFERROR(DATEDIF($I180-1,CN$15+1,"m"),)/12,)-1,)*Index!CJ$23*(CN$15&gt;$I198)*(1-CN$12)</f>
        <v>0</v>
      </c>
      <c r="CO198" s="747">
        <f>$G198*$H198*(1+$K198)^MAX(ROUNDUP(IFERROR(DATEDIF($I180-1,CO$15+1,"m"),)/12,)-1,)*Index!CK$23*(CO$15&gt;$I198)*(1-CO$12)</f>
        <v>0</v>
      </c>
      <c r="CP198" s="747">
        <f>$G198*$H198*(1+$K198)^MAX(ROUNDUP(IFERROR(DATEDIF($I180-1,CP$15+1,"m"),)/12,)-1,)*Index!CL$23*(CP$15&gt;$I198)*(1-CP$12)</f>
        <v>0</v>
      </c>
      <c r="CQ198" s="747">
        <f>$G198*$H198*(1+$K198)^MAX(ROUNDUP(IFERROR(DATEDIF($I180-1,CQ$15+1,"m"),)/12,)-1,)*Index!CM$23*(CQ$15&gt;$I198)*(1-CQ$12)</f>
        <v>0</v>
      </c>
      <c r="CR198" s="747">
        <f>$G198*$H198*(1+$K198)^MAX(ROUNDUP(IFERROR(DATEDIF($I180-1,CR$15+1,"m"),)/12,)-1,)*Index!CN$23*(CR$15&gt;$I198)*(1-CR$12)</f>
        <v>0</v>
      </c>
      <c r="CS198" s="747">
        <f>$G198*$H198*(1+$K198)^MAX(ROUNDUP(IFERROR(DATEDIF($I180-1,CS$15+1,"m"),)/12,)-1,)*Index!CO$23*(CS$15&gt;$I198)*(1-CS$12)</f>
        <v>0</v>
      </c>
      <c r="CT198" s="747">
        <f>$G198*$H198*(1+$K198)^MAX(ROUNDUP(IFERROR(DATEDIF($I180-1,CT$15+1,"m"),)/12,)-1,)*Index!CP$23*(CT$15&gt;$I198)*(1-CT$12)</f>
        <v>0</v>
      </c>
      <c r="CU198" s="747">
        <f>$G198*$H198*(1+$K198)^MAX(ROUNDUP(IFERROR(DATEDIF($I180-1,CU$15+1,"m"),)/12,)-1,)*Index!CQ$23*(CU$15&gt;$I198)*(1-CU$12)</f>
        <v>0</v>
      </c>
      <c r="CV198" s="747">
        <f>$G198*$H198*(1+$K198)^MAX(ROUNDUP(IFERROR(DATEDIF($I180-1,CV$15+1,"m"),)/12,)-1,)*Index!CR$23*(CV$15&gt;$I198)*(1-CV$12)</f>
        <v>0</v>
      </c>
      <c r="CW198" s="747">
        <f>$G198*$H198*(1+$K198)^MAX(ROUNDUP(IFERROR(DATEDIF($I180-1,CW$15+1,"m"),)/12,)-1,)*Index!CS$23*(CW$15&gt;$I198)*(1-CW$12)</f>
        <v>0</v>
      </c>
      <c r="CX198" s="747">
        <f>$G198*$H198*(1+$K198)^MAX(ROUNDUP(IFERROR(DATEDIF($I180-1,CX$15+1,"m"),)/12,)-1,)*Index!CT$23*(CX$15&gt;$I198)*(1-CX$12)</f>
        <v>0</v>
      </c>
      <c r="CY198" s="747">
        <f>$G198*$H198*(1+$K198)^MAX(ROUNDUP(IFERROR(DATEDIF($I180-1,CY$15+1,"m"),)/12,)-1,)*Index!CU$23*(CY$15&gt;$I198)*(1-CY$12)</f>
        <v>0</v>
      </c>
      <c r="CZ198" s="747">
        <f>$G198*$H198*(1+$K198)^MAX(ROUNDUP(IFERROR(DATEDIF($I180-1,CZ$15+1,"m"),)/12,)-1,)*Index!CV$23*(CZ$15&gt;$I198)*(1-CZ$12)</f>
        <v>0</v>
      </c>
      <c r="DA198" s="747">
        <f>$G198*$H198*(1+$K198)^MAX(ROUNDUP(IFERROR(DATEDIF($I180-1,DA$15+1,"m"),)/12,)-1,)*Index!CW$23*(DA$15&gt;$I198)*(1-DA$12)</f>
        <v>0</v>
      </c>
      <c r="DB198" s="747">
        <f>$G198*$H198*(1+$K198)^MAX(ROUNDUP(IFERROR(DATEDIF($I180-1,DB$15+1,"m"),)/12,)-1,)*Index!CX$23*(DB$15&gt;$I198)*(1-DB$12)</f>
        <v>0</v>
      </c>
      <c r="DC198" s="747">
        <f>$G198*$H198*(1+$K198)^MAX(ROUNDUP(IFERROR(DATEDIF($I180-1,DC$15+1,"m"),)/12,)-1,)*Index!CY$23*(DC$15&gt;$I198)*(1-DC$12)</f>
        <v>0</v>
      </c>
      <c r="DD198" s="747">
        <f>$G198*$H198*(1+$K198)^MAX(ROUNDUP(IFERROR(DATEDIF($I180-1,DD$15+1,"m"),)/12,)-1,)*Index!CZ$23*(DD$15&gt;$I198)*(1-DD$12)</f>
        <v>0</v>
      </c>
      <c r="DE198" s="747">
        <f>$G198*$H198*(1+$K198)^MAX(ROUNDUP(IFERROR(DATEDIF($I180-1,DE$15+1,"m"),)/12,)-1,)*Index!DA$23*(DE$15&gt;$I198)*(1-DE$12)</f>
        <v>0</v>
      </c>
      <c r="DF198" s="747">
        <f>$G198*$H198*(1+$K198)^MAX(ROUNDUP(IFERROR(DATEDIF($I180-1,DF$15+1,"m"),)/12,)-1,)*Index!DB$23*(DF$15&gt;$I198)*(1-DF$12)</f>
        <v>0</v>
      </c>
      <c r="DG198" s="747">
        <f>$G198*$H198*(1+$K198)^MAX(ROUNDUP(IFERROR(DATEDIF($I180-1,DG$15+1,"m"),)/12,)-1,)*Index!DC$23*(DG$15&gt;$I198)*(1-DG$12)</f>
        <v>0</v>
      </c>
      <c r="DH198" s="747">
        <f>$G198*$H198*(1+$K198)^MAX(ROUNDUP(IFERROR(DATEDIF($I180-1,DH$15+1,"m"),)/12,)-1,)*Index!DD$23*(DH$15&gt;$I198)*(1-DH$12)</f>
        <v>0</v>
      </c>
      <c r="DI198" s="747">
        <f>$G198*$H198*(1+$K198)^MAX(ROUNDUP(IFERROR(DATEDIF($I180-1,DI$15+1,"m"),)/12,)-1,)*Index!DE$23*(DI$15&gt;$I198)*(1-DI$12)</f>
        <v>0</v>
      </c>
      <c r="DJ198" s="747">
        <f>$G198*$H198*(1+$K198)^MAX(ROUNDUP(IFERROR(DATEDIF($I180-1,DJ$15+1,"m"),)/12,)-1,)*Index!DF$23*(DJ$15&gt;$I198)*(1-DJ$12)</f>
        <v>0</v>
      </c>
      <c r="DK198" s="747">
        <f>$G198*$H198*(1+$K198)^MAX(ROUNDUP(IFERROR(DATEDIF($I180-1,DK$15+1,"m"),)/12,)-1,)*Index!DG$23*(DK$15&gt;$I198)*(1-DK$12)</f>
        <v>0</v>
      </c>
      <c r="DL198" s="747">
        <f>$G198*$H198*(1+$K198)^MAX(ROUNDUP(IFERROR(DATEDIF($I180-1,DL$15+1,"m"),)/12,)-1,)*Index!DH$23*(DL$15&gt;$I198)*(1-DL$12)</f>
        <v>0</v>
      </c>
      <c r="DM198" s="747">
        <f>$G198*$H198*(1+$K198)^MAX(ROUNDUP(IFERROR(DATEDIF($I180-1,DM$15+1,"m"),)/12,)-1,)*Index!DI$23*(DM$15&gt;$I198)*(1-DM$12)</f>
        <v>0</v>
      </c>
      <c r="DN198" s="747">
        <f>$G198*$H198*(1+$K198)^MAX(ROUNDUP(IFERROR(DATEDIF($I180-1,DN$15+1,"m"),)/12,)-1,)*Index!DJ$23*(DN$15&gt;$I198)*(1-DN$12)</f>
        <v>0</v>
      </c>
      <c r="DO198" s="747">
        <f>$G198*$H198*(1+$K198)^MAX(ROUNDUP(IFERROR(DATEDIF($I180-1,DO$15+1,"m"),)/12,)-1,)*Index!DK$23*(DO$15&gt;$I198)*(1-DO$12)</f>
        <v>0</v>
      </c>
      <c r="DP198" s="747">
        <f>$G198*$H198*(1+$K198)^MAX(ROUNDUP(IFERROR(DATEDIF($I180-1,DP$15+1,"m"),)/12,)-1,)*Index!DL$23*(DP$15&gt;$I198)*(1-DP$12)</f>
        <v>0</v>
      </c>
      <c r="DQ198" s="747">
        <f>$G198*$H198*(1+$K198)^MAX(ROUNDUP(IFERROR(DATEDIF($I180-1,DQ$15+1,"m"),)/12,)-1,)*Index!DM$23*(DQ$15&gt;$I198)*(1-DQ$12)</f>
        <v>0</v>
      </c>
      <c r="DR198" s="747">
        <f>$G198*$H198*(1+$K198)^MAX(ROUNDUP(IFERROR(DATEDIF($I180-1,DR$15+1,"m"),)/12,)-1,)*Index!DN$23*(DR$15&gt;$I198)*(1-DR$12)</f>
        <v>0</v>
      </c>
      <c r="DS198" s="747">
        <f>$G198*$H198*(1+$K198)^MAX(ROUNDUP(IFERROR(DATEDIF($I180-1,DS$15+1,"m"),)/12,)-1,)*Index!DO$23*(DS$15&gt;$I198)*(1-DS$12)</f>
        <v>0</v>
      </c>
      <c r="DT198" s="747">
        <f>$G198*$H198*(1+$K198)^MAX(ROUNDUP(IFERROR(DATEDIF($I180-1,DT$15+1,"m"),)/12,)-1,)*Index!DP$23*(DT$15&gt;$I198)*(1-DT$12)</f>
        <v>0</v>
      </c>
      <c r="DU198" s="747">
        <f>$G198*$H198*(1+$K198)^MAX(ROUNDUP(IFERROR(DATEDIF($I180-1,DU$15+1,"m"),)/12,)-1,)*Index!DQ$23*(DU$15&gt;$I198)*(1-DU$12)</f>
        <v>0</v>
      </c>
      <c r="DV198" s="747">
        <f>$G198*$H198*(1+$K198)^MAX(ROUNDUP(IFERROR(DATEDIF($I180-1,DV$15+1,"m"),)/12,)-1,)*Index!DR$23*(DV$15&gt;$I198)*(1-DV$12)</f>
        <v>0</v>
      </c>
      <c r="DW198" s="747">
        <f>$G198*$H198*(1+$K198)^MAX(ROUNDUP(IFERROR(DATEDIF($I180-1,DW$15+1,"m"),)/12,)-1,)*Index!DS$23*(DW$15&gt;$I198)*(1-DW$12)</f>
        <v>0</v>
      </c>
      <c r="DX198" s="747">
        <f>$G198*$H198*(1+$K198)^MAX(ROUNDUP(IFERROR(DATEDIF($I180-1,DX$15+1,"m"),)/12,)-1,)*Index!DT$23*(DX$15&gt;$I198)*(1-DX$12)</f>
        <v>0</v>
      </c>
      <c r="DY198" s="747">
        <f>$G198*$H198*(1+$K198)^MAX(ROUNDUP(IFERROR(DATEDIF($I180-1,DY$15+1,"m"),)/12,)-1,)*Index!DU$23*(DY$15&gt;$I198)*(1-DY$12)</f>
        <v>0</v>
      </c>
      <c r="DZ198" s="747">
        <f>$G198*$H198*(1+$K198)^MAX(ROUNDUP(IFERROR(DATEDIF($I180-1,DZ$15+1,"m"),)/12,)-1,)*Index!DV$23*(DZ$15&gt;$I198)*(1-DZ$12)</f>
        <v>0</v>
      </c>
      <c r="EA198" s="747">
        <f>$G198*$H198*(1+$K198)^MAX(ROUNDUP(IFERROR(DATEDIF($I180-1,EA$15+1,"m"),)/12,)-1,)*Index!DW$23*(EA$15&gt;$I198)*(1-EA$12)</f>
        <v>0</v>
      </c>
      <c r="EB198" s="747">
        <f>$G198*$H198*(1+$K198)^MAX(ROUNDUP(IFERROR(DATEDIF($I180-1,EB$15+1,"m"),)/12,)-1,)*Index!DX$23*(EB$15&gt;$I198)*(1-EB$12)</f>
        <v>0</v>
      </c>
      <c r="EC198" s="747">
        <f>$G198*$H198*(1+$K198)^MAX(ROUNDUP(IFERROR(DATEDIF($I180-1,EC$15+1,"m"),)/12,)-1,)*Index!DY$23*(EC$15&gt;$I198)*(1-EC$12)</f>
        <v>0</v>
      </c>
      <c r="ED198" s="747">
        <f>$G198*$H198*(1+$K198)^MAX(ROUNDUP(IFERROR(DATEDIF($I180-1,ED$15+1,"m"),)/12,)-1,)*Index!DZ$23*(ED$15&gt;$I198)*(1-ED$12)</f>
        <v>0</v>
      </c>
      <c r="EE198" s="747">
        <f>$G198*$H198*(1+$K198)^MAX(ROUNDUP(IFERROR(DATEDIF($I180-1,EE$15+1,"m"),)/12,)-1,)*Index!EA$23*(EE$15&gt;$I198)*(1-EE$12)</f>
        <v>0</v>
      </c>
      <c r="EF198" s="747">
        <f>$G198*$H198*(1+$K198)^MAX(ROUNDUP(IFERROR(DATEDIF($I180-1,EF$15+1,"m"),)/12,)-1,)*Index!EB$23*(EF$15&gt;$I198)*(1-EF$12)</f>
        <v>0</v>
      </c>
      <c r="EG198" s="747">
        <f>$G198*$H198*(1+$K198)^MAX(ROUNDUP(IFERROR(DATEDIF($I180-1,EG$15+1,"m"),)/12,)-1,)*Index!EC$23*(EG$15&gt;$I198)*(1-EG$12)</f>
        <v>298.89012019748907</v>
      </c>
      <c r="EH198" s="747">
        <f>$G198*$H198*(1+$K198)^MAX(ROUNDUP(IFERROR(DATEDIF($I180-1,EH$15+1,"m"),)/12,)-1,)*Index!ED$23*(EH$15&gt;$I198)*(1-EH$12)</f>
        <v>298.89012019748907</v>
      </c>
      <c r="EI198" s="747">
        <f>$G198*$H198*(1+$K198)^MAX(ROUNDUP(IFERROR(DATEDIF($I180-1,EI$15+1,"m"),)/12,)-1,)*Index!EE$23*(EI$15&gt;$I198)*(1-EI$12)</f>
        <v>298.89012019748907</v>
      </c>
      <c r="EJ198" s="747">
        <f>$G198*$H198*(1+$K198)^MAX(ROUNDUP(IFERROR(DATEDIF($I180-1,EJ$15+1,"m"),)/12,)-1,)*Index!EF$23*(EJ$15&gt;$I198)*(1-EJ$12)</f>
        <v>298.89012019748907</v>
      </c>
      <c r="EK198" s="747">
        <f>$G198*$H198*(1+$K198)^MAX(ROUNDUP(IFERROR(DATEDIF($I180-1,EK$15+1,"m"),)/12,)-1,)*Index!EG$23*(EK$15&gt;$I198)*(1-EK$12)</f>
        <v>298.89012019748907</v>
      </c>
      <c r="EL198" s="747">
        <f>$G198*$H198*(1+$K198)^MAX(ROUNDUP(IFERROR(DATEDIF($I180-1,EL$15+1,"m"),)/12,)-1,)*Index!EH$23*(EL$15&gt;$I198)*(1-EL$12)</f>
        <v>298.89012019748907</v>
      </c>
      <c r="EM198" s="747">
        <f>$G198*$H198*(1+$K198)^MAX(ROUNDUP(IFERROR(DATEDIF($I180-1,EM$15+1,"m"),)/12,)-1,)*Index!EI$23*(EM$15&gt;$I198)*(1-EM$12)</f>
        <v>298.89012019748907</v>
      </c>
      <c r="EN198" s="747">
        <f>$G198*$H198*(1+$K198)^MAX(ROUNDUP(IFERROR(DATEDIF($I180-1,EN$15+1,"m"),)/12,)-1,)*Index!EJ$23*(EN$15&gt;$I198)*(1-EN$12)</f>
        <v>298.89012019748907</v>
      </c>
      <c r="EO198" s="747">
        <f>$G198*$H198*(1+$K198)^MAX(ROUNDUP(IFERROR(DATEDIF($I180-1,EO$15+1,"m"),)/12,)-1,)*Index!EK$23*(EO$15&gt;$I198)*(1-EO$12)</f>
        <v>298.89012019748907</v>
      </c>
      <c r="EP198" s="747">
        <f>$G198*$H198*(1+$K198)^MAX(ROUNDUP(IFERROR(DATEDIF($I180-1,EP$15+1,"m"),)/12,)-1,)*Index!EL$23*(EP$15&gt;$I198)*(1-EP$12)</f>
        <v>298.89012019748907</v>
      </c>
      <c r="EQ198" s="747">
        <f>$G198*$H198*(1+$K198)^MAX(ROUNDUP(IFERROR(DATEDIF($I180-1,EQ$15+1,"m"),)/12,)-1,)*Index!EM$23*(EQ$15&gt;$I198)*(1-EQ$12)</f>
        <v>298.89012019748907</v>
      </c>
      <c r="ER198" s="747">
        <f>$G198*$H198*(1+$K198)^MAX(ROUNDUP(IFERROR(DATEDIF($I180-1,ER$15+1,"m"),)/12,)-1,)*Index!EN$23*(ER$15&gt;$I198)*(1-ER$12)</f>
        <v>298.89012019748907</v>
      </c>
      <c r="ES198" s="747">
        <f>$G198*$H198*(1+$K198)^MAX(ROUNDUP(IFERROR(DATEDIF($I180-1,ES$15+1,"m"),)/12,)-1,)*Index!EO$23*(ES$15&gt;$I198)*(1-ES$12)</f>
        <v>0</v>
      </c>
      <c r="ET198" s="747">
        <f>$G198*$H198*(1+$K198)^MAX(ROUNDUP(IFERROR(DATEDIF($I180-1,ET$15+1,"m"),)/12,)-1,)*Index!EP$23*(ET$15&gt;$I198)*(1-ET$12)</f>
        <v>0</v>
      </c>
      <c r="EU198" s="747">
        <f>$G198*$H198*(1+$K198)^MAX(ROUNDUP(IFERROR(DATEDIF($I180-1,EU$15+1,"m"),)/12,)-1,)*Index!EQ$23*(EU$15&gt;$I198)*(1-EU$12)</f>
        <v>0</v>
      </c>
    </row>
    <row r="199" spans="3:151" ht="11.25" customHeight="1">
      <c r="C199" s="828"/>
      <c r="D199" s="743">
        <f t="shared" ref="D199:I199" si="274">D163</f>
        <v>8</v>
      </c>
      <c r="E199" s="704" t="str">
        <f t="shared" si="274"/>
        <v>쿠팡</v>
      </c>
      <c r="F199" s="704" t="str">
        <f t="shared" si="274"/>
        <v>상온창고</v>
      </c>
      <c r="G199" s="781">
        <f t="shared" si="274"/>
        <v>2.9900433370455741</v>
      </c>
      <c r="H199" s="744">
        <f t="shared" si="274"/>
        <v>63.86</v>
      </c>
      <c r="I199" s="745">
        <f t="shared" si="274"/>
        <v>49064</v>
      </c>
      <c r="J199" s="745"/>
      <c r="K199" s="754">
        <f t="shared" si="272"/>
        <v>2.5000000000000001E-2</v>
      </c>
      <c r="L199" s="746"/>
      <c r="M199" s="722"/>
      <c r="N199" s="747">
        <f t="shared" si="273"/>
        <v>2933.0961315115869</v>
      </c>
      <c r="O199" s="733"/>
      <c r="P199" s="747">
        <f>$G199*$H199*(1+$K199)^MAX(ROUNDUP(IFERROR(DATEDIF($I181-1,P$15+1,"m"),)/12,)-1,)*Index!L$23*(P$15&gt;$I199)*(1-P$12)</f>
        <v>0</v>
      </c>
      <c r="Q199" s="747">
        <f>$G199*$H199*(1+$K199)^MAX(ROUNDUP(IFERROR(DATEDIF($I181-1,Q$15+1,"m"),)/12,)-1,)*Index!M$23*(Q$15&gt;$I199)*(1-Q$12)</f>
        <v>0</v>
      </c>
      <c r="R199" s="747">
        <f>$G199*$H199*(1+$K199)^MAX(ROUNDUP(IFERROR(DATEDIF($I181-1,R$15+1,"m"),)/12,)-1,)*Index!N$23*(R$15&gt;$I199)*(1-R$12)</f>
        <v>0</v>
      </c>
      <c r="S199" s="747">
        <f>$G199*$H199*(1+$K199)^MAX(ROUNDUP(IFERROR(DATEDIF($I181-1,S$15+1,"m"),)/12,)-1,)*Index!O$23*(S$15&gt;$I199)*(1-S$12)</f>
        <v>0</v>
      </c>
      <c r="T199" s="747">
        <f>$G199*$H199*(1+$K199)^MAX(ROUNDUP(IFERROR(DATEDIF($I181-1,T$15+1,"m"),)/12,)-1,)*Index!P$23*(T$15&gt;$I199)*(1-T$12)</f>
        <v>0</v>
      </c>
      <c r="U199" s="747">
        <f>$G199*$H199*(1+$K199)^MAX(ROUNDUP(IFERROR(DATEDIF($I181-1,U$15+1,"m"),)/12,)-1,)*Index!Q$23*(U$15&gt;$I199)*(1-U$12)</f>
        <v>0</v>
      </c>
      <c r="V199" s="747">
        <f>$G199*$H199*(1+$K199)^MAX(ROUNDUP(IFERROR(DATEDIF($I181-1,V$15+1,"m"),)/12,)-1,)*Index!R$23*(V$15&gt;$I199)*(1-V$12)</f>
        <v>0</v>
      </c>
      <c r="W199" s="747">
        <f>$G199*$H199*(1+$K199)^MAX(ROUNDUP(IFERROR(DATEDIF($I181-1,W$15+1,"m"),)/12,)-1,)*Index!S$23*(W$15&gt;$I199)*(1-W$12)</f>
        <v>0</v>
      </c>
      <c r="X199" s="747">
        <f>$G199*$H199*(1+$K199)^MAX(ROUNDUP(IFERROR(DATEDIF($I181-1,X$15+1,"m"),)/12,)-1,)*Index!T$23*(X$15&gt;$I199)*(1-X$12)</f>
        <v>0</v>
      </c>
      <c r="Y199" s="747">
        <f>$G199*$H199*(1+$K199)^MAX(ROUNDUP(IFERROR(DATEDIF($I181-1,Y$15+1,"m"),)/12,)-1,)*Index!U$23*(Y$15&gt;$I199)*(1-Y$12)</f>
        <v>0</v>
      </c>
      <c r="Z199" s="747">
        <f>$G199*$H199*(1+$K199)^MAX(ROUNDUP(IFERROR(DATEDIF($I181-1,Z$15+1,"m"),)/12,)-1,)*Index!V$23*(Z$15&gt;$I199)*(1-Z$12)</f>
        <v>0</v>
      </c>
      <c r="AA199" s="747">
        <f>$G199*$H199*(1+$K199)^MAX(ROUNDUP(IFERROR(DATEDIF($I181-1,AA$15+1,"m"),)/12,)-1,)*Index!W$23*(AA$15&gt;$I199)*(1-AA$12)</f>
        <v>0</v>
      </c>
      <c r="AB199" s="747">
        <f>$G199*$H199*(1+$K199)^MAX(ROUNDUP(IFERROR(DATEDIF($I181-1,AB$15+1,"m"),)/12,)-1,)*Index!X$23*(AB$15&gt;$I199)*(1-AB$12)</f>
        <v>0</v>
      </c>
      <c r="AC199" s="747">
        <f>$G199*$H199*(1+$K199)^MAX(ROUNDUP(IFERROR(DATEDIF($I181-1,AC$15+1,"m"),)/12,)-1,)*Index!Y$23*(AC$15&gt;$I199)*(1-AC$12)</f>
        <v>0</v>
      </c>
      <c r="AD199" s="747">
        <f>$G199*$H199*(1+$K199)^MAX(ROUNDUP(IFERROR(DATEDIF($I181-1,AD$15+1,"m"),)/12,)-1,)*Index!Z$23*(AD$15&gt;$I199)*(1-AD$12)</f>
        <v>0</v>
      </c>
      <c r="AE199" s="747">
        <f>$G199*$H199*(1+$K199)^MAX(ROUNDUP(IFERROR(DATEDIF($I181-1,AE$15+1,"m"),)/12,)-1,)*Index!AA$23*(AE$15&gt;$I199)*(1-AE$12)</f>
        <v>0</v>
      </c>
      <c r="AF199" s="747">
        <f>$G199*$H199*(1+$K199)^MAX(ROUNDUP(IFERROR(DATEDIF($I181-1,AF$15+1,"m"),)/12,)-1,)*Index!AB$23*(AF$15&gt;$I199)*(1-AF$12)</f>
        <v>0</v>
      </c>
      <c r="AG199" s="747">
        <f>$G199*$H199*(1+$K199)^MAX(ROUNDUP(IFERROR(DATEDIF($I181-1,AG$15+1,"m"),)/12,)-1,)*Index!AC$23*(AG$15&gt;$I199)*(1-AG$12)</f>
        <v>0</v>
      </c>
      <c r="AH199" s="747">
        <f>$G199*$H199*(1+$K199)^MAX(ROUNDUP(IFERROR(DATEDIF($I181-1,AH$15+1,"m"),)/12,)-1,)*Index!AD$23*(AH$15&gt;$I199)*(1-AH$12)</f>
        <v>0</v>
      </c>
      <c r="AI199" s="747">
        <f>$G199*$H199*(1+$K199)^MAX(ROUNDUP(IFERROR(DATEDIF($I181-1,AI$15+1,"m"),)/12,)-1,)*Index!AE$23*(AI$15&gt;$I199)*(1-AI$12)</f>
        <v>0</v>
      </c>
      <c r="AJ199" s="747">
        <f>$G199*$H199*(1+$K199)^MAX(ROUNDUP(IFERROR(DATEDIF($I181-1,AJ$15+1,"m"),)/12,)-1,)*Index!AF$23*(AJ$15&gt;$I199)*(1-AJ$12)</f>
        <v>0</v>
      </c>
      <c r="AK199" s="747">
        <f>$G199*$H199*(1+$K199)^MAX(ROUNDUP(IFERROR(DATEDIF($I181-1,AK$15+1,"m"),)/12,)-1,)*Index!AG$23*(AK$15&gt;$I199)*(1-AK$12)</f>
        <v>0</v>
      </c>
      <c r="AL199" s="747">
        <f>$G199*$H199*(1+$K199)^MAX(ROUNDUP(IFERROR(DATEDIF($I181-1,AL$15+1,"m"),)/12,)-1,)*Index!AH$23*(AL$15&gt;$I199)*(1-AL$12)</f>
        <v>0</v>
      </c>
      <c r="AM199" s="747">
        <f>$G199*$H199*(1+$K199)^MAX(ROUNDUP(IFERROR(DATEDIF($I181-1,AM$15+1,"m"),)/12,)-1,)*Index!AI$23*(AM$15&gt;$I199)*(1-AM$12)</f>
        <v>0</v>
      </c>
      <c r="AN199" s="747">
        <f>$G199*$H199*(1+$K199)^MAX(ROUNDUP(IFERROR(DATEDIF($I181-1,AN$15+1,"m"),)/12,)-1,)*Index!AJ$23*(AN$15&gt;$I199)*(1-AN$12)</f>
        <v>0</v>
      </c>
      <c r="AO199" s="747">
        <f>$G199*$H199*(1+$K199)^MAX(ROUNDUP(IFERROR(DATEDIF($I181-1,AO$15+1,"m"),)/12,)-1,)*Index!AK$23*(AO$15&gt;$I199)*(1-AO$12)</f>
        <v>0</v>
      </c>
      <c r="AP199" s="747">
        <f>$G199*$H199*(1+$K199)^MAX(ROUNDUP(IFERROR(DATEDIF($I181-1,AP$15+1,"m"),)/12,)-1,)*Index!AL$23*(AP$15&gt;$I199)*(1-AP$12)</f>
        <v>0</v>
      </c>
      <c r="AQ199" s="747">
        <f>$G199*$H199*(1+$K199)^MAX(ROUNDUP(IFERROR(DATEDIF($I181-1,AQ$15+1,"m"),)/12,)-1,)*Index!AM$23*(AQ$15&gt;$I199)*(1-AQ$12)</f>
        <v>0</v>
      </c>
      <c r="AR199" s="747">
        <f>$G199*$H199*(1+$K199)^MAX(ROUNDUP(IFERROR(DATEDIF($I181-1,AR$15+1,"m"),)/12,)-1,)*Index!AN$23*(AR$15&gt;$I199)*(1-AR$12)</f>
        <v>0</v>
      </c>
      <c r="AS199" s="747">
        <f>$G199*$H199*(1+$K199)^MAX(ROUNDUP(IFERROR(DATEDIF($I181-1,AS$15+1,"m"),)/12,)-1,)*Index!AO$23*(AS$15&gt;$I199)*(1-AS$12)</f>
        <v>0</v>
      </c>
      <c r="AT199" s="747">
        <f>$G199*$H199*(1+$K199)^MAX(ROUNDUP(IFERROR(DATEDIF($I181-1,AT$15+1,"m"),)/12,)-1,)*Index!AP$23*(AT$15&gt;$I199)*(1-AT$12)</f>
        <v>0</v>
      </c>
      <c r="AU199" s="747">
        <f>$G199*$H199*(1+$K199)^MAX(ROUNDUP(IFERROR(DATEDIF($I181-1,AU$15+1,"m"),)/12,)-1,)*Index!AQ$23*(AU$15&gt;$I199)*(1-AU$12)</f>
        <v>0</v>
      </c>
      <c r="AV199" s="747">
        <f>$G199*$H199*(1+$K199)^MAX(ROUNDUP(IFERROR(DATEDIF($I181-1,AV$15+1,"m"),)/12,)-1,)*Index!AR$23*(AV$15&gt;$I199)*(1-AV$12)</f>
        <v>0</v>
      </c>
      <c r="AW199" s="747">
        <f>$G199*$H199*(1+$K199)^MAX(ROUNDUP(IFERROR(DATEDIF($I181-1,AW$15+1,"m"),)/12,)-1,)*Index!AS$23*(AW$15&gt;$I199)*(1-AW$12)</f>
        <v>0</v>
      </c>
      <c r="AX199" s="747">
        <f>$G199*$H199*(1+$K199)^MAX(ROUNDUP(IFERROR(DATEDIF($I181-1,AX$15+1,"m"),)/12,)-1,)*Index!AT$23*(AX$15&gt;$I199)*(1-AX$12)</f>
        <v>0</v>
      </c>
      <c r="AY199" s="747">
        <f>$G199*$H199*(1+$K199)^MAX(ROUNDUP(IFERROR(DATEDIF($I181-1,AY$15+1,"m"),)/12,)-1,)*Index!AU$23*(AY$15&gt;$I199)*(1-AY$12)</f>
        <v>0</v>
      </c>
      <c r="AZ199" s="747">
        <f>$G199*$H199*(1+$K199)^MAX(ROUNDUP(IFERROR(DATEDIF($I181-1,AZ$15+1,"m"),)/12,)-1,)*Index!AV$23*(AZ$15&gt;$I199)*(1-AZ$12)</f>
        <v>0</v>
      </c>
      <c r="BA199" s="747">
        <f>$G199*$H199*(1+$K199)^MAX(ROUNDUP(IFERROR(DATEDIF($I181-1,BA$15+1,"m"),)/12,)-1,)*Index!AW$23*(BA$15&gt;$I199)*(1-BA$12)</f>
        <v>0</v>
      </c>
      <c r="BB199" s="747">
        <f>$G199*$H199*(1+$K199)^MAX(ROUNDUP(IFERROR(DATEDIF($I181-1,BB$15+1,"m"),)/12,)-1,)*Index!AX$23*(BB$15&gt;$I199)*(1-BB$12)</f>
        <v>0</v>
      </c>
      <c r="BC199" s="747">
        <f>$G199*$H199*(1+$K199)^MAX(ROUNDUP(IFERROR(DATEDIF($I181-1,BC$15+1,"m"),)/12,)-1,)*Index!AY$23*(BC$15&gt;$I199)*(1-BC$12)</f>
        <v>0</v>
      </c>
      <c r="BD199" s="747">
        <f>$G199*$H199*(1+$K199)^MAX(ROUNDUP(IFERROR(DATEDIF($I181-1,BD$15+1,"m"),)/12,)-1,)*Index!AZ$23*(BD$15&gt;$I199)*(1-BD$12)</f>
        <v>0</v>
      </c>
      <c r="BE199" s="747">
        <f>$G199*$H199*(1+$K199)^MAX(ROUNDUP(IFERROR(DATEDIF($I181-1,BE$15+1,"m"),)/12,)-1,)*Index!BA$23*(BE$15&gt;$I199)*(1-BE$12)</f>
        <v>0</v>
      </c>
      <c r="BF199" s="747">
        <f>$G199*$H199*(1+$K199)^MAX(ROUNDUP(IFERROR(DATEDIF($I181-1,BF$15+1,"m"),)/12,)-1,)*Index!BB$23*(BF$15&gt;$I199)*(1-BF$12)</f>
        <v>0</v>
      </c>
      <c r="BG199" s="747">
        <f>$G199*$H199*(1+$K199)^MAX(ROUNDUP(IFERROR(DATEDIF($I181-1,BG$15+1,"m"),)/12,)-1,)*Index!BC$23*(BG$15&gt;$I199)*(1-BG$12)</f>
        <v>0</v>
      </c>
      <c r="BH199" s="747">
        <f>$G199*$H199*(1+$K199)^MAX(ROUNDUP(IFERROR(DATEDIF($I181-1,BH$15+1,"m"),)/12,)-1,)*Index!BD$23*(BH$15&gt;$I199)*(1-BH$12)</f>
        <v>0</v>
      </c>
      <c r="BI199" s="747">
        <f>$G199*$H199*(1+$K199)^MAX(ROUNDUP(IFERROR(DATEDIF($I181-1,BI$15+1,"m"),)/12,)-1,)*Index!BE$23*(BI$15&gt;$I199)*(1-BI$12)</f>
        <v>0</v>
      </c>
      <c r="BJ199" s="747">
        <f>$G199*$H199*(1+$K199)^MAX(ROUNDUP(IFERROR(DATEDIF($I181-1,BJ$15+1,"m"),)/12,)-1,)*Index!BF$23*(BJ$15&gt;$I199)*(1-BJ$12)</f>
        <v>0</v>
      </c>
      <c r="BK199" s="747">
        <f>$G199*$H199*(1+$K199)^MAX(ROUNDUP(IFERROR(DATEDIF($I181-1,BK$15+1,"m"),)/12,)-1,)*Index!BG$23*(BK$15&gt;$I199)*(1-BK$12)</f>
        <v>0</v>
      </c>
      <c r="BL199" s="747">
        <f>$G199*$H199*(1+$K199)^MAX(ROUNDUP(IFERROR(DATEDIF($I181-1,BL$15+1,"m"),)/12,)-1,)*Index!BH$23*(BL$15&gt;$I199)*(1-BL$12)</f>
        <v>0</v>
      </c>
      <c r="BM199" s="747">
        <f>$G199*$H199*(1+$K199)^MAX(ROUNDUP(IFERROR(DATEDIF($I181-1,BM$15+1,"m"),)/12,)-1,)*Index!BI$23*(BM$15&gt;$I199)*(1-BM$12)</f>
        <v>0</v>
      </c>
      <c r="BN199" s="747">
        <f>$G199*$H199*(1+$K199)^MAX(ROUNDUP(IFERROR(DATEDIF($I181-1,BN$15+1,"m"),)/12,)-1,)*Index!BJ$23*(BN$15&gt;$I199)*(1-BN$12)</f>
        <v>0</v>
      </c>
      <c r="BO199" s="747">
        <f>$G199*$H199*(1+$K199)^MAX(ROUNDUP(IFERROR(DATEDIF($I181-1,BO$15+1,"m"),)/12,)-1,)*Index!BK$23*(BO$15&gt;$I199)*(1-BO$12)</f>
        <v>0</v>
      </c>
      <c r="BP199" s="747">
        <f>$G199*$H199*(1+$K199)^MAX(ROUNDUP(IFERROR(DATEDIF($I181-1,BP$15+1,"m"),)/12,)-1,)*Index!BL$23*(BP$15&gt;$I199)*(1-BP$12)</f>
        <v>0</v>
      </c>
      <c r="BQ199" s="747">
        <f>$G199*$H199*(1+$K199)^MAX(ROUNDUP(IFERROR(DATEDIF($I181-1,BQ$15+1,"m"),)/12,)-1,)*Index!BM$23*(BQ$15&gt;$I199)*(1-BQ$12)</f>
        <v>0</v>
      </c>
      <c r="BR199" s="747">
        <f>$G199*$H199*(1+$K199)^MAX(ROUNDUP(IFERROR(DATEDIF($I181-1,BR$15+1,"m"),)/12,)-1,)*Index!BN$23*(BR$15&gt;$I199)*(1-BR$12)</f>
        <v>0</v>
      </c>
      <c r="BS199" s="747">
        <f>$G199*$H199*(1+$K199)^MAX(ROUNDUP(IFERROR(DATEDIF($I181-1,BS$15+1,"m"),)/12,)-1,)*Index!BO$23*(BS$15&gt;$I199)*(1-BS$12)</f>
        <v>0</v>
      </c>
      <c r="BT199" s="747">
        <f>$G199*$H199*(1+$K199)^MAX(ROUNDUP(IFERROR(DATEDIF($I181-1,BT$15+1,"m"),)/12,)-1,)*Index!BP$23*(BT$15&gt;$I199)*(1-BT$12)</f>
        <v>0</v>
      </c>
      <c r="BU199" s="747">
        <f>$G199*$H199*(1+$K199)^MAX(ROUNDUP(IFERROR(DATEDIF($I181-1,BU$15+1,"m"),)/12,)-1,)*Index!BQ$23*(BU$15&gt;$I199)*(1-BU$12)</f>
        <v>0</v>
      </c>
      <c r="BV199" s="747">
        <f>$G199*$H199*(1+$K199)^MAX(ROUNDUP(IFERROR(DATEDIF($I181-1,BV$15+1,"m"),)/12,)-1,)*Index!BR$23*(BV$15&gt;$I199)*(1-BV$12)</f>
        <v>0</v>
      </c>
      <c r="BW199" s="747">
        <f>$G199*$H199*(1+$K199)^MAX(ROUNDUP(IFERROR(DATEDIF($I181-1,BW$15+1,"m"),)/12,)-1,)*Index!BS$23*(BW$15&gt;$I199)*(1-BW$12)</f>
        <v>0</v>
      </c>
      <c r="BX199" s="747">
        <f>$G199*$H199*(1+$K199)^MAX(ROUNDUP(IFERROR(DATEDIF($I181-1,BX$15+1,"m"),)/12,)-1,)*Index!BT$23*(BX$15&gt;$I199)*(1-BX$12)</f>
        <v>0</v>
      </c>
      <c r="BY199" s="747">
        <f>$G199*$H199*(1+$K199)^MAX(ROUNDUP(IFERROR(DATEDIF($I181-1,BY$15+1,"m"),)/12,)-1,)*Index!BU$23*(BY$15&gt;$I199)*(1-BY$12)</f>
        <v>0</v>
      </c>
      <c r="BZ199" s="747">
        <f>$G199*$H199*(1+$K199)^MAX(ROUNDUP(IFERROR(DATEDIF($I181-1,BZ$15+1,"m"),)/12,)-1,)*Index!BV$23*(BZ$15&gt;$I199)*(1-BZ$12)</f>
        <v>0</v>
      </c>
      <c r="CA199" s="747">
        <f>$G199*$H199*(1+$K199)^MAX(ROUNDUP(IFERROR(DATEDIF($I181-1,CA$15+1,"m"),)/12,)-1,)*Index!BW$23*(CA$15&gt;$I199)*(1-CA$12)</f>
        <v>0</v>
      </c>
      <c r="CB199" s="747">
        <f>$G199*$H199*(1+$K199)^MAX(ROUNDUP(IFERROR(DATEDIF($I181-1,CB$15+1,"m"),)/12,)-1,)*Index!BX$23*(CB$15&gt;$I199)*(1-CB$12)</f>
        <v>0</v>
      </c>
      <c r="CC199" s="747">
        <f>$G199*$H199*(1+$K199)^MAX(ROUNDUP(IFERROR(DATEDIF($I181-1,CC$15+1,"m"),)/12,)-1,)*Index!BY$23*(CC$15&gt;$I199)*(1-CC$12)</f>
        <v>0</v>
      </c>
      <c r="CD199" s="747">
        <f>$G199*$H199*(1+$K199)^MAX(ROUNDUP(IFERROR(DATEDIF($I181-1,CD$15+1,"m"),)/12,)-1,)*Index!BZ$23*(CD$15&gt;$I199)*(1-CD$12)</f>
        <v>0</v>
      </c>
      <c r="CE199" s="747">
        <f>$G199*$H199*(1+$K199)^MAX(ROUNDUP(IFERROR(DATEDIF($I181-1,CE$15+1,"m"),)/12,)-1,)*Index!CA$23*(CE$15&gt;$I199)*(1-CE$12)</f>
        <v>0</v>
      </c>
      <c r="CF199" s="747">
        <f>$G199*$H199*(1+$K199)^MAX(ROUNDUP(IFERROR(DATEDIF($I181-1,CF$15+1,"m"),)/12,)-1,)*Index!CB$23*(CF$15&gt;$I199)*(1-CF$12)</f>
        <v>0</v>
      </c>
      <c r="CG199" s="747">
        <f>$G199*$H199*(1+$K199)^MAX(ROUNDUP(IFERROR(DATEDIF($I181-1,CG$15+1,"m"),)/12,)-1,)*Index!CC$23*(CG$15&gt;$I199)*(1-CG$12)</f>
        <v>0</v>
      </c>
      <c r="CH199" s="747">
        <f>$G199*$H199*(1+$K199)^MAX(ROUNDUP(IFERROR(DATEDIF($I181-1,CH$15+1,"m"),)/12,)-1,)*Index!CD$23*(CH$15&gt;$I199)*(1-CH$12)</f>
        <v>0</v>
      </c>
      <c r="CI199" s="747">
        <f>$G199*$H199*(1+$K199)^MAX(ROUNDUP(IFERROR(DATEDIF($I181-1,CI$15+1,"m"),)/12,)-1,)*Index!CE$23*(CI$15&gt;$I199)*(1-CI$12)</f>
        <v>0</v>
      </c>
      <c r="CJ199" s="747">
        <f>$G199*$H199*(1+$K199)^MAX(ROUNDUP(IFERROR(DATEDIF($I181-1,CJ$15+1,"m"),)/12,)-1,)*Index!CF$23*(CJ$15&gt;$I199)*(1-CJ$12)</f>
        <v>0</v>
      </c>
      <c r="CK199" s="747">
        <f>$G199*$H199*(1+$K199)^MAX(ROUNDUP(IFERROR(DATEDIF($I181-1,CK$15+1,"m"),)/12,)-1,)*Index!CG$23*(CK$15&gt;$I199)*(1-CK$12)</f>
        <v>0</v>
      </c>
      <c r="CL199" s="747">
        <f>$G199*$H199*(1+$K199)^MAX(ROUNDUP(IFERROR(DATEDIF($I181-1,CL$15+1,"m"),)/12,)-1,)*Index!CH$23*(CL$15&gt;$I199)*(1-CL$12)</f>
        <v>0</v>
      </c>
      <c r="CM199" s="747">
        <f>$G199*$H199*(1+$K199)^MAX(ROUNDUP(IFERROR(DATEDIF($I181-1,CM$15+1,"m"),)/12,)-1,)*Index!CI$23*(CM$15&gt;$I199)*(1-CM$12)</f>
        <v>0</v>
      </c>
      <c r="CN199" s="747">
        <f>$G199*$H199*(1+$K199)^MAX(ROUNDUP(IFERROR(DATEDIF($I181-1,CN$15+1,"m"),)/12,)-1,)*Index!CJ$23*(CN$15&gt;$I199)*(1-CN$12)</f>
        <v>0</v>
      </c>
      <c r="CO199" s="747">
        <f>$G199*$H199*(1+$K199)^MAX(ROUNDUP(IFERROR(DATEDIF($I181-1,CO$15+1,"m"),)/12,)-1,)*Index!CK$23*(CO$15&gt;$I199)*(1-CO$12)</f>
        <v>0</v>
      </c>
      <c r="CP199" s="747">
        <f>$G199*$H199*(1+$K199)^MAX(ROUNDUP(IFERROR(DATEDIF($I181-1,CP$15+1,"m"),)/12,)-1,)*Index!CL$23*(CP$15&gt;$I199)*(1-CP$12)</f>
        <v>0</v>
      </c>
      <c r="CQ199" s="747">
        <f>$G199*$H199*(1+$K199)^MAX(ROUNDUP(IFERROR(DATEDIF($I181-1,CQ$15+1,"m"),)/12,)-1,)*Index!CM$23*(CQ$15&gt;$I199)*(1-CQ$12)</f>
        <v>0</v>
      </c>
      <c r="CR199" s="747">
        <f>$G199*$H199*(1+$K199)^MAX(ROUNDUP(IFERROR(DATEDIF($I181-1,CR$15+1,"m"),)/12,)-1,)*Index!CN$23*(CR$15&gt;$I199)*(1-CR$12)</f>
        <v>0</v>
      </c>
      <c r="CS199" s="747">
        <f>$G199*$H199*(1+$K199)^MAX(ROUNDUP(IFERROR(DATEDIF($I181-1,CS$15+1,"m"),)/12,)-1,)*Index!CO$23*(CS$15&gt;$I199)*(1-CS$12)</f>
        <v>0</v>
      </c>
      <c r="CT199" s="747">
        <f>$G199*$H199*(1+$K199)^MAX(ROUNDUP(IFERROR(DATEDIF($I181-1,CT$15+1,"m"),)/12,)-1,)*Index!CP$23*(CT$15&gt;$I199)*(1-CT$12)</f>
        <v>0</v>
      </c>
      <c r="CU199" s="747">
        <f>$G199*$H199*(1+$K199)^MAX(ROUNDUP(IFERROR(DATEDIF($I181-1,CU$15+1,"m"),)/12,)-1,)*Index!CQ$23*(CU$15&gt;$I199)*(1-CU$12)</f>
        <v>0</v>
      </c>
      <c r="CV199" s="747">
        <f>$G199*$H199*(1+$K199)^MAX(ROUNDUP(IFERROR(DATEDIF($I181-1,CV$15+1,"m"),)/12,)-1,)*Index!CR$23*(CV$15&gt;$I199)*(1-CV$12)</f>
        <v>0</v>
      </c>
      <c r="CW199" s="747">
        <f>$G199*$H199*(1+$K199)^MAX(ROUNDUP(IFERROR(DATEDIF($I181-1,CW$15+1,"m"),)/12,)-1,)*Index!CS$23*(CW$15&gt;$I199)*(1-CW$12)</f>
        <v>0</v>
      </c>
      <c r="CX199" s="747">
        <f>$G199*$H199*(1+$K199)^MAX(ROUNDUP(IFERROR(DATEDIF($I181-1,CX$15+1,"m"),)/12,)-1,)*Index!CT$23*(CX$15&gt;$I199)*(1-CX$12)</f>
        <v>0</v>
      </c>
      <c r="CY199" s="747">
        <f>$G199*$H199*(1+$K199)^MAX(ROUNDUP(IFERROR(DATEDIF($I181-1,CY$15+1,"m"),)/12,)-1,)*Index!CU$23*(CY$15&gt;$I199)*(1-CY$12)</f>
        <v>0</v>
      </c>
      <c r="CZ199" s="747">
        <f>$G199*$H199*(1+$K199)^MAX(ROUNDUP(IFERROR(DATEDIF($I181-1,CZ$15+1,"m"),)/12,)-1,)*Index!CV$23*(CZ$15&gt;$I199)*(1-CZ$12)</f>
        <v>0</v>
      </c>
      <c r="DA199" s="747">
        <f>$G199*$H199*(1+$K199)^MAX(ROUNDUP(IFERROR(DATEDIF($I181-1,DA$15+1,"m"),)/12,)-1,)*Index!CW$23*(DA$15&gt;$I199)*(1-DA$12)</f>
        <v>0</v>
      </c>
      <c r="DB199" s="747">
        <f>$G199*$H199*(1+$K199)^MAX(ROUNDUP(IFERROR(DATEDIF($I181-1,DB$15+1,"m"),)/12,)-1,)*Index!CX$23*(DB$15&gt;$I199)*(1-DB$12)</f>
        <v>0</v>
      </c>
      <c r="DC199" s="747">
        <f>$G199*$H199*(1+$K199)^MAX(ROUNDUP(IFERROR(DATEDIF($I181-1,DC$15+1,"m"),)/12,)-1,)*Index!CY$23*(DC$15&gt;$I199)*(1-DC$12)</f>
        <v>0</v>
      </c>
      <c r="DD199" s="747">
        <f>$G199*$H199*(1+$K199)^MAX(ROUNDUP(IFERROR(DATEDIF($I181-1,DD$15+1,"m"),)/12,)-1,)*Index!CZ$23*(DD$15&gt;$I199)*(1-DD$12)</f>
        <v>0</v>
      </c>
      <c r="DE199" s="747">
        <f>$G199*$H199*(1+$K199)^MAX(ROUNDUP(IFERROR(DATEDIF($I181-1,DE$15+1,"m"),)/12,)-1,)*Index!DA$23*(DE$15&gt;$I199)*(1-DE$12)</f>
        <v>0</v>
      </c>
      <c r="DF199" s="747">
        <f>$G199*$H199*(1+$K199)^MAX(ROUNDUP(IFERROR(DATEDIF($I181-1,DF$15+1,"m"),)/12,)-1,)*Index!DB$23*(DF$15&gt;$I199)*(1-DF$12)</f>
        <v>0</v>
      </c>
      <c r="DG199" s="747">
        <f>$G199*$H199*(1+$K199)^MAX(ROUNDUP(IFERROR(DATEDIF($I181-1,DG$15+1,"m"),)/12,)-1,)*Index!DC$23*(DG$15&gt;$I199)*(1-DG$12)</f>
        <v>0</v>
      </c>
      <c r="DH199" s="747">
        <f>$G199*$H199*(1+$K199)^MAX(ROUNDUP(IFERROR(DATEDIF($I181-1,DH$15+1,"m"),)/12,)-1,)*Index!DD$23*(DH$15&gt;$I199)*(1-DH$12)</f>
        <v>0</v>
      </c>
      <c r="DI199" s="747">
        <f>$G199*$H199*(1+$K199)^MAX(ROUNDUP(IFERROR(DATEDIF($I181-1,DI$15+1,"m"),)/12,)-1,)*Index!DE$23*(DI$15&gt;$I199)*(1-DI$12)</f>
        <v>0</v>
      </c>
      <c r="DJ199" s="747">
        <f>$G199*$H199*(1+$K199)^MAX(ROUNDUP(IFERROR(DATEDIF($I181-1,DJ$15+1,"m"),)/12,)-1,)*Index!DF$23*(DJ$15&gt;$I199)*(1-DJ$12)</f>
        <v>0</v>
      </c>
      <c r="DK199" s="747">
        <f>$G199*$H199*(1+$K199)^MAX(ROUNDUP(IFERROR(DATEDIF($I181-1,DK$15+1,"m"),)/12,)-1,)*Index!DG$23*(DK$15&gt;$I199)*(1-DK$12)</f>
        <v>0</v>
      </c>
      <c r="DL199" s="747">
        <f>$G199*$H199*(1+$K199)^MAX(ROUNDUP(IFERROR(DATEDIF($I181-1,DL$15+1,"m"),)/12,)-1,)*Index!DH$23*(DL$15&gt;$I199)*(1-DL$12)</f>
        <v>0</v>
      </c>
      <c r="DM199" s="747">
        <f>$G199*$H199*(1+$K199)^MAX(ROUNDUP(IFERROR(DATEDIF($I181-1,DM$15+1,"m"),)/12,)-1,)*Index!DI$23*(DM$15&gt;$I199)*(1-DM$12)</f>
        <v>0</v>
      </c>
      <c r="DN199" s="747">
        <f>$G199*$H199*(1+$K199)^MAX(ROUNDUP(IFERROR(DATEDIF($I181-1,DN$15+1,"m"),)/12,)-1,)*Index!DJ$23*(DN$15&gt;$I199)*(1-DN$12)</f>
        <v>0</v>
      </c>
      <c r="DO199" s="747">
        <f>$G199*$H199*(1+$K199)^MAX(ROUNDUP(IFERROR(DATEDIF($I181-1,DO$15+1,"m"),)/12,)-1,)*Index!DK$23*(DO$15&gt;$I199)*(1-DO$12)</f>
        <v>0</v>
      </c>
      <c r="DP199" s="747">
        <f>$G199*$H199*(1+$K199)^MAX(ROUNDUP(IFERROR(DATEDIF($I181-1,DP$15+1,"m"),)/12,)-1,)*Index!DL$23*(DP$15&gt;$I199)*(1-DP$12)</f>
        <v>0</v>
      </c>
      <c r="DQ199" s="747">
        <f>$G199*$H199*(1+$K199)^MAX(ROUNDUP(IFERROR(DATEDIF($I181-1,DQ$15+1,"m"),)/12,)-1,)*Index!DM$23*(DQ$15&gt;$I199)*(1-DQ$12)</f>
        <v>0</v>
      </c>
      <c r="DR199" s="747">
        <f>$G199*$H199*(1+$K199)^MAX(ROUNDUP(IFERROR(DATEDIF($I181-1,DR$15+1,"m"),)/12,)-1,)*Index!DN$23*(DR$15&gt;$I199)*(1-DR$12)</f>
        <v>0</v>
      </c>
      <c r="DS199" s="747">
        <f>$G199*$H199*(1+$K199)^MAX(ROUNDUP(IFERROR(DATEDIF($I181-1,DS$15+1,"m"),)/12,)-1,)*Index!DO$23*(DS$15&gt;$I199)*(1-DS$12)</f>
        <v>0</v>
      </c>
      <c r="DT199" s="747">
        <f>$G199*$H199*(1+$K199)^MAX(ROUNDUP(IFERROR(DATEDIF($I181-1,DT$15+1,"m"),)/12,)-1,)*Index!DP$23*(DT$15&gt;$I199)*(1-DT$12)</f>
        <v>0</v>
      </c>
      <c r="DU199" s="747">
        <f>$G199*$H199*(1+$K199)^MAX(ROUNDUP(IFERROR(DATEDIF($I181-1,DU$15+1,"m"),)/12,)-1,)*Index!DQ$23*(DU$15&gt;$I199)*(1-DU$12)</f>
        <v>0</v>
      </c>
      <c r="DV199" s="747">
        <f>$G199*$H199*(1+$K199)^MAX(ROUNDUP(IFERROR(DATEDIF($I181-1,DV$15+1,"m"),)/12,)-1,)*Index!DR$23*(DV$15&gt;$I199)*(1-DV$12)</f>
        <v>0</v>
      </c>
      <c r="DW199" s="747">
        <f>$G199*$H199*(1+$K199)^MAX(ROUNDUP(IFERROR(DATEDIF($I181-1,DW$15+1,"m"),)/12,)-1,)*Index!DS$23*(DW$15&gt;$I199)*(1-DW$12)</f>
        <v>0</v>
      </c>
      <c r="DX199" s="747">
        <f>$G199*$H199*(1+$K199)^MAX(ROUNDUP(IFERROR(DATEDIF($I181-1,DX$15+1,"m"),)/12,)-1,)*Index!DT$23*(DX$15&gt;$I199)*(1-DX$12)</f>
        <v>0</v>
      </c>
      <c r="DY199" s="747">
        <f>$G199*$H199*(1+$K199)^MAX(ROUNDUP(IFERROR(DATEDIF($I181-1,DY$15+1,"m"),)/12,)-1,)*Index!DU$23*(DY$15&gt;$I199)*(1-DY$12)</f>
        <v>0</v>
      </c>
      <c r="DZ199" s="747">
        <f>$G199*$H199*(1+$K199)^MAX(ROUNDUP(IFERROR(DATEDIF($I181-1,DZ$15+1,"m"),)/12,)-1,)*Index!DV$23*(DZ$15&gt;$I199)*(1-DZ$12)</f>
        <v>0</v>
      </c>
      <c r="EA199" s="747">
        <f>$G199*$H199*(1+$K199)^MAX(ROUNDUP(IFERROR(DATEDIF($I181-1,EA$15+1,"m"),)/12,)-1,)*Index!DW$23*(EA$15&gt;$I199)*(1-EA$12)</f>
        <v>0</v>
      </c>
      <c r="EB199" s="747">
        <f>$G199*$H199*(1+$K199)^MAX(ROUNDUP(IFERROR(DATEDIF($I181-1,EB$15+1,"m"),)/12,)-1,)*Index!DX$23*(EB$15&gt;$I199)*(1-EB$12)</f>
        <v>0</v>
      </c>
      <c r="EC199" s="747">
        <f>$G199*$H199*(1+$K199)^MAX(ROUNDUP(IFERROR(DATEDIF($I181-1,EC$15+1,"m"),)/12,)-1,)*Index!DY$23*(EC$15&gt;$I199)*(1-EC$12)</f>
        <v>0</v>
      </c>
      <c r="ED199" s="747">
        <f>$G199*$H199*(1+$K199)^MAX(ROUNDUP(IFERROR(DATEDIF($I181-1,ED$15+1,"m"),)/12,)-1,)*Index!DZ$23*(ED$15&gt;$I199)*(1-ED$12)</f>
        <v>0</v>
      </c>
      <c r="EE199" s="747">
        <f>$G199*$H199*(1+$K199)^MAX(ROUNDUP(IFERROR(DATEDIF($I181-1,EE$15+1,"m"),)/12,)-1,)*Index!EA$23*(EE$15&gt;$I199)*(1-EE$12)</f>
        <v>0</v>
      </c>
      <c r="EF199" s="747">
        <f>$G199*$H199*(1+$K199)^MAX(ROUNDUP(IFERROR(DATEDIF($I181-1,EF$15+1,"m"),)/12,)-1,)*Index!EB$23*(EF$15&gt;$I199)*(1-EF$12)</f>
        <v>0</v>
      </c>
      <c r="EG199" s="747">
        <f>$G199*$H199*(1+$K199)^MAX(ROUNDUP(IFERROR(DATEDIF($I181-1,EG$15+1,"m"),)/12,)-1,)*Index!EC$23*(EG$15&gt;$I199)*(1-EG$12)</f>
        <v>244.42467762596556</v>
      </c>
      <c r="EH199" s="747">
        <f>$G199*$H199*(1+$K199)^MAX(ROUNDUP(IFERROR(DATEDIF($I181-1,EH$15+1,"m"),)/12,)-1,)*Index!ED$23*(EH$15&gt;$I199)*(1-EH$12)</f>
        <v>244.42467762596556</v>
      </c>
      <c r="EI199" s="747">
        <f>$G199*$H199*(1+$K199)^MAX(ROUNDUP(IFERROR(DATEDIF($I181-1,EI$15+1,"m"),)/12,)-1,)*Index!EE$23*(EI$15&gt;$I199)*(1-EI$12)</f>
        <v>244.42467762596556</v>
      </c>
      <c r="EJ199" s="747">
        <f>$G199*$H199*(1+$K199)^MAX(ROUNDUP(IFERROR(DATEDIF($I181-1,EJ$15+1,"m"),)/12,)-1,)*Index!EF$23*(EJ$15&gt;$I199)*(1-EJ$12)</f>
        <v>244.42467762596556</v>
      </c>
      <c r="EK199" s="747">
        <f>$G199*$H199*(1+$K199)^MAX(ROUNDUP(IFERROR(DATEDIF($I181-1,EK$15+1,"m"),)/12,)-1,)*Index!EG$23*(EK$15&gt;$I199)*(1-EK$12)</f>
        <v>244.42467762596556</v>
      </c>
      <c r="EL199" s="747">
        <f>$G199*$H199*(1+$K199)^MAX(ROUNDUP(IFERROR(DATEDIF($I181-1,EL$15+1,"m"),)/12,)-1,)*Index!EH$23*(EL$15&gt;$I199)*(1-EL$12)</f>
        <v>244.42467762596556</v>
      </c>
      <c r="EM199" s="747">
        <f>$G199*$H199*(1+$K199)^MAX(ROUNDUP(IFERROR(DATEDIF($I181-1,EM$15+1,"m"),)/12,)-1,)*Index!EI$23*(EM$15&gt;$I199)*(1-EM$12)</f>
        <v>244.42467762596556</v>
      </c>
      <c r="EN199" s="747">
        <f>$G199*$H199*(1+$K199)^MAX(ROUNDUP(IFERROR(DATEDIF($I181-1,EN$15+1,"m"),)/12,)-1,)*Index!EJ$23*(EN$15&gt;$I199)*(1-EN$12)</f>
        <v>244.42467762596556</v>
      </c>
      <c r="EO199" s="747">
        <f>$G199*$H199*(1+$K199)^MAX(ROUNDUP(IFERROR(DATEDIF($I181-1,EO$15+1,"m"),)/12,)-1,)*Index!EK$23*(EO$15&gt;$I199)*(1-EO$12)</f>
        <v>244.42467762596556</v>
      </c>
      <c r="EP199" s="747">
        <f>$G199*$H199*(1+$K199)^MAX(ROUNDUP(IFERROR(DATEDIF($I181-1,EP$15+1,"m"),)/12,)-1,)*Index!EL$23*(EP$15&gt;$I199)*(1-EP$12)</f>
        <v>244.42467762596556</v>
      </c>
      <c r="EQ199" s="747">
        <f>$G199*$H199*(1+$K199)^MAX(ROUNDUP(IFERROR(DATEDIF($I181-1,EQ$15+1,"m"),)/12,)-1,)*Index!EM$23*(EQ$15&gt;$I199)*(1-EQ$12)</f>
        <v>244.42467762596556</v>
      </c>
      <c r="ER199" s="747">
        <f>$G199*$H199*(1+$K199)^MAX(ROUNDUP(IFERROR(DATEDIF($I181-1,ER$15+1,"m"),)/12,)-1,)*Index!EN$23*(ER$15&gt;$I199)*(1-ER$12)</f>
        <v>244.42467762596556</v>
      </c>
      <c r="ES199" s="747">
        <f>$G199*$H199*(1+$K199)^MAX(ROUNDUP(IFERROR(DATEDIF($I181-1,ES$15+1,"m"),)/12,)-1,)*Index!EO$23*(ES$15&gt;$I199)*(1-ES$12)</f>
        <v>0</v>
      </c>
      <c r="ET199" s="747">
        <f>$G199*$H199*(1+$K199)^MAX(ROUNDUP(IFERROR(DATEDIF($I181-1,ET$15+1,"m"),)/12,)-1,)*Index!EP$23*(ET$15&gt;$I199)*(1-ET$12)</f>
        <v>0</v>
      </c>
      <c r="EU199" s="747">
        <f>$G199*$H199*(1+$K199)^MAX(ROUNDUP(IFERROR(DATEDIF($I181-1,EU$15+1,"m"),)/12,)-1,)*Index!EQ$23*(EU$15&gt;$I199)*(1-EU$12)</f>
        <v>0</v>
      </c>
    </row>
    <row r="200" spans="3:151" ht="11.25" customHeight="1">
      <c r="C200" s="828"/>
      <c r="D200" s="743">
        <f t="shared" ref="D200:I200" si="275">D164</f>
        <v>8</v>
      </c>
      <c r="E200" s="704" t="str">
        <f t="shared" si="275"/>
        <v>키즈밀</v>
      </c>
      <c r="F200" s="704" t="str">
        <f t="shared" si="275"/>
        <v>근린생활시설</v>
      </c>
      <c r="G200" s="781">
        <f t="shared" si="275"/>
        <v>3</v>
      </c>
      <c r="H200" s="744">
        <f t="shared" si="275"/>
        <v>479.38</v>
      </c>
      <c r="I200" s="745">
        <f t="shared" si="275"/>
        <v>47483</v>
      </c>
      <c r="J200" s="745"/>
      <c r="K200" s="754">
        <f t="shared" si="272"/>
        <v>2.5000000000000001E-2</v>
      </c>
      <c r="L200" s="746"/>
      <c r="M200" s="722"/>
      <c r="N200" s="747">
        <f t="shared" si="273"/>
        <v>23115.312749116325</v>
      </c>
      <c r="O200" s="733"/>
      <c r="P200" s="747">
        <f>$G200*$H200*(1+$K200)^MAX(ROUNDUP(IFERROR(DATEDIF($I182-1,P$15+1,"m"),)/12,)-1,)*Index!L$23*(P$15&gt;$I200)*(1-P$12)</f>
        <v>0</v>
      </c>
      <c r="Q200" s="747">
        <f>$G200*$H200*(1+$K200)^MAX(ROUNDUP(IFERROR(DATEDIF($I182-1,Q$15+1,"m"),)/12,)-1,)*Index!M$23*(Q$15&gt;$I200)*(1-Q$12)</f>
        <v>0</v>
      </c>
      <c r="R200" s="747">
        <f>$G200*$H200*(1+$K200)^MAX(ROUNDUP(IFERROR(DATEDIF($I182-1,R$15+1,"m"),)/12,)-1,)*Index!N$23*(R$15&gt;$I200)*(1-R$12)</f>
        <v>0</v>
      </c>
      <c r="S200" s="747">
        <f>$G200*$H200*(1+$K200)^MAX(ROUNDUP(IFERROR(DATEDIF($I182-1,S$15+1,"m"),)/12,)-1,)*Index!O$23*(S$15&gt;$I200)*(1-S$12)</f>
        <v>0</v>
      </c>
      <c r="T200" s="747">
        <f>$G200*$H200*(1+$K200)^MAX(ROUNDUP(IFERROR(DATEDIF($I182-1,T$15+1,"m"),)/12,)-1,)*Index!P$23*(T$15&gt;$I200)*(1-T$12)</f>
        <v>0</v>
      </c>
      <c r="U200" s="747">
        <f>$G200*$H200*(1+$K200)^MAX(ROUNDUP(IFERROR(DATEDIF($I182-1,U$15+1,"m"),)/12,)-1,)*Index!Q$23*(U$15&gt;$I200)*(1-U$12)</f>
        <v>0</v>
      </c>
      <c r="V200" s="747">
        <f>$G200*$H200*(1+$K200)^MAX(ROUNDUP(IFERROR(DATEDIF($I182-1,V$15+1,"m"),)/12,)-1,)*Index!R$23*(V$15&gt;$I200)*(1-V$12)</f>
        <v>0</v>
      </c>
      <c r="W200" s="747">
        <f>$G200*$H200*(1+$K200)^MAX(ROUNDUP(IFERROR(DATEDIF($I182-1,W$15+1,"m"),)/12,)-1,)*Index!S$23*(W$15&gt;$I200)*(1-W$12)</f>
        <v>0</v>
      </c>
      <c r="X200" s="747">
        <f>$G200*$H200*(1+$K200)^MAX(ROUNDUP(IFERROR(DATEDIF($I182-1,X$15+1,"m"),)/12,)-1,)*Index!T$23*(X$15&gt;$I200)*(1-X$12)</f>
        <v>0</v>
      </c>
      <c r="Y200" s="747">
        <f>$G200*$H200*(1+$K200)^MAX(ROUNDUP(IFERROR(DATEDIF($I182-1,Y$15+1,"m"),)/12,)-1,)*Index!U$23*(Y$15&gt;$I200)*(1-Y$12)</f>
        <v>0</v>
      </c>
      <c r="Z200" s="747">
        <f>$G200*$H200*(1+$K200)^MAX(ROUNDUP(IFERROR(DATEDIF($I182-1,Z$15+1,"m"),)/12,)-1,)*Index!V$23*(Z$15&gt;$I200)*(1-Z$12)</f>
        <v>0</v>
      </c>
      <c r="AA200" s="747">
        <f>$G200*$H200*(1+$K200)^MAX(ROUNDUP(IFERROR(DATEDIF($I182-1,AA$15+1,"m"),)/12,)-1,)*Index!W$23*(AA$15&gt;$I200)*(1-AA$12)</f>
        <v>0</v>
      </c>
      <c r="AB200" s="747">
        <f>$G200*$H200*(1+$K200)^MAX(ROUNDUP(IFERROR(DATEDIF($I182-1,AB$15+1,"m"),)/12,)-1,)*Index!X$23*(AB$15&gt;$I200)*(1-AB$12)</f>
        <v>0</v>
      </c>
      <c r="AC200" s="747">
        <f>$G200*$H200*(1+$K200)^MAX(ROUNDUP(IFERROR(DATEDIF($I182-1,AC$15+1,"m"),)/12,)-1,)*Index!Y$23*(AC$15&gt;$I200)*(1-AC$12)</f>
        <v>0</v>
      </c>
      <c r="AD200" s="747">
        <f>$G200*$H200*(1+$K200)^MAX(ROUNDUP(IFERROR(DATEDIF($I182-1,AD$15+1,"m"),)/12,)-1,)*Index!Z$23*(AD$15&gt;$I200)*(1-AD$12)</f>
        <v>0</v>
      </c>
      <c r="AE200" s="747">
        <f>$G200*$H200*(1+$K200)^MAX(ROUNDUP(IFERROR(DATEDIF($I182-1,AE$15+1,"m"),)/12,)-1,)*Index!AA$23*(AE$15&gt;$I200)*(1-AE$12)</f>
        <v>0</v>
      </c>
      <c r="AF200" s="747">
        <f>$G200*$H200*(1+$K200)^MAX(ROUNDUP(IFERROR(DATEDIF($I182-1,AF$15+1,"m"),)/12,)-1,)*Index!AB$23*(AF$15&gt;$I200)*(1-AF$12)</f>
        <v>0</v>
      </c>
      <c r="AG200" s="747">
        <f>$G200*$H200*(1+$K200)^MAX(ROUNDUP(IFERROR(DATEDIF($I182-1,AG$15+1,"m"),)/12,)-1,)*Index!AC$23*(AG$15&gt;$I200)*(1-AG$12)</f>
        <v>0</v>
      </c>
      <c r="AH200" s="747">
        <f>$G200*$H200*(1+$K200)^MAX(ROUNDUP(IFERROR(DATEDIF($I182-1,AH$15+1,"m"),)/12,)-1,)*Index!AD$23*(AH$15&gt;$I200)*(1-AH$12)</f>
        <v>0</v>
      </c>
      <c r="AI200" s="747">
        <f>$G200*$H200*(1+$K200)^MAX(ROUNDUP(IFERROR(DATEDIF($I182-1,AI$15+1,"m"),)/12,)-1,)*Index!AE$23*(AI$15&gt;$I200)*(1-AI$12)</f>
        <v>0</v>
      </c>
      <c r="AJ200" s="747">
        <f>$G200*$H200*(1+$K200)^MAX(ROUNDUP(IFERROR(DATEDIF($I182-1,AJ$15+1,"m"),)/12,)-1,)*Index!AF$23*(AJ$15&gt;$I200)*(1-AJ$12)</f>
        <v>0</v>
      </c>
      <c r="AK200" s="747">
        <f>$G200*$H200*(1+$K200)^MAX(ROUNDUP(IFERROR(DATEDIF($I182-1,AK$15+1,"m"),)/12,)-1,)*Index!AG$23*(AK$15&gt;$I200)*(1-AK$12)</f>
        <v>0</v>
      </c>
      <c r="AL200" s="747">
        <f>$G200*$H200*(1+$K200)^MAX(ROUNDUP(IFERROR(DATEDIF($I182-1,AL$15+1,"m"),)/12,)-1,)*Index!AH$23*(AL$15&gt;$I200)*(1-AL$12)</f>
        <v>0</v>
      </c>
      <c r="AM200" s="747">
        <f>$G200*$H200*(1+$K200)^MAX(ROUNDUP(IFERROR(DATEDIF($I182-1,AM$15+1,"m"),)/12,)-1,)*Index!AI$23*(AM$15&gt;$I200)*(1-AM$12)</f>
        <v>0</v>
      </c>
      <c r="AN200" s="747">
        <f>$G200*$H200*(1+$K200)^MAX(ROUNDUP(IFERROR(DATEDIF($I182-1,AN$15+1,"m"),)/12,)-1,)*Index!AJ$23*(AN$15&gt;$I200)*(1-AN$12)</f>
        <v>0</v>
      </c>
      <c r="AO200" s="747">
        <f>$G200*$H200*(1+$K200)^MAX(ROUNDUP(IFERROR(DATEDIF($I182-1,AO$15+1,"m"),)/12,)-1,)*Index!AK$23*(AO$15&gt;$I200)*(1-AO$12)</f>
        <v>0</v>
      </c>
      <c r="AP200" s="747">
        <f>$G200*$H200*(1+$K200)^MAX(ROUNDUP(IFERROR(DATEDIF($I182-1,AP$15+1,"m"),)/12,)-1,)*Index!AL$23*(AP$15&gt;$I200)*(1-AP$12)</f>
        <v>0</v>
      </c>
      <c r="AQ200" s="747">
        <f>$G200*$H200*(1+$K200)^MAX(ROUNDUP(IFERROR(DATEDIF($I182-1,AQ$15+1,"m"),)/12,)-1,)*Index!AM$23*(AQ$15&gt;$I200)*(1-AQ$12)</f>
        <v>0</v>
      </c>
      <c r="AR200" s="747">
        <f>$G200*$H200*(1+$K200)^MAX(ROUNDUP(IFERROR(DATEDIF($I182-1,AR$15+1,"m"),)/12,)-1,)*Index!AN$23*(AR$15&gt;$I200)*(1-AR$12)</f>
        <v>0</v>
      </c>
      <c r="AS200" s="747">
        <f>$G200*$H200*(1+$K200)^MAX(ROUNDUP(IFERROR(DATEDIF($I182-1,AS$15+1,"m"),)/12,)-1,)*Index!AO$23*(AS$15&gt;$I200)*(1-AS$12)</f>
        <v>0</v>
      </c>
      <c r="AT200" s="747">
        <f>$G200*$H200*(1+$K200)^MAX(ROUNDUP(IFERROR(DATEDIF($I182-1,AT$15+1,"m"),)/12,)-1,)*Index!AP$23*(AT$15&gt;$I200)*(1-AT$12)</f>
        <v>0</v>
      </c>
      <c r="AU200" s="747">
        <f>$G200*$H200*(1+$K200)^MAX(ROUNDUP(IFERROR(DATEDIF($I182-1,AU$15+1,"m"),)/12,)-1,)*Index!AQ$23*(AU$15&gt;$I200)*(1-AU$12)</f>
        <v>0</v>
      </c>
      <c r="AV200" s="747">
        <f>$G200*$H200*(1+$K200)^MAX(ROUNDUP(IFERROR(DATEDIF($I182-1,AV$15+1,"m"),)/12,)-1,)*Index!AR$23*(AV$15&gt;$I200)*(1-AV$12)</f>
        <v>0</v>
      </c>
      <c r="AW200" s="747">
        <f>$G200*$H200*(1+$K200)^MAX(ROUNDUP(IFERROR(DATEDIF($I182-1,AW$15+1,"m"),)/12,)-1,)*Index!AS$23*(AW$15&gt;$I200)*(1-AW$12)</f>
        <v>0</v>
      </c>
      <c r="AX200" s="747">
        <f>$G200*$H200*(1+$K200)^MAX(ROUNDUP(IFERROR(DATEDIF($I182-1,AX$15+1,"m"),)/12,)-1,)*Index!AT$23*(AX$15&gt;$I200)*(1-AX$12)</f>
        <v>0</v>
      </c>
      <c r="AY200" s="747">
        <f>$G200*$H200*(1+$K200)^MAX(ROUNDUP(IFERROR(DATEDIF($I182-1,AY$15+1,"m"),)/12,)-1,)*Index!AU$23*(AY$15&gt;$I200)*(1-AY$12)</f>
        <v>0</v>
      </c>
      <c r="AZ200" s="747">
        <f>$G200*$H200*(1+$K200)^MAX(ROUNDUP(IFERROR(DATEDIF($I182-1,AZ$15+1,"m"),)/12,)-1,)*Index!AV$23*(AZ$15&gt;$I200)*(1-AZ$12)</f>
        <v>0</v>
      </c>
      <c r="BA200" s="747">
        <f>$G200*$H200*(1+$K200)^MAX(ROUNDUP(IFERROR(DATEDIF($I182-1,BA$15+1,"m"),)/12,)-1,)*Index!AW$23*(BA$15&gt;$I200)*(1-BA$12)</f>
        <v>0</v>
      </c>
      <c r="BB200" s="747">
        <f>$G200*$H200*(1+$K200)^MAX(ROUNDUP(IFERROR(DATEDIF($I182-1,BB$15+1,"m"),)/12,)-1,)*Index!AX$23*(BB$15&gt;$I200)*(1-BB$12)</f>
        <v>0</v>
      </c>
      <c r="BC200" s="747">
        <f>$G200*$H200*(1+$K200)^MAX(ROUNDUP(IFERROR(DATEDIF($I182-1,BC$15+1,"m"),)/12,)-1,)*Index!AY$23*(BC$15&gt;$I200)*(1-BC$12)</f>
        <v>0</v>
      </c>
      <c r="BD200" s="747">
        <f>$G200*$H200*(1+$K200)^MAX(ROUNDUP(IFERROR(DATEDIF($I182-1,BD$15+1,"m"),)/12,)-1,)*Index!AZ$23*(BD$15&gt;$I200)*(1-BD$12)</f>
        <v>0</v>
      </c>
      <c r="BE200" s="747">
        <f>$G200*$H200*(1+$K200)^MAX(ROUNDUP(IFERROR(DATEDIF($I182-1,BE$15+1,"m"),)/12,)-1,)*Index!BA$23*(BE$15&gt;$I200)*(1-BE$12)</f>
        <v>0</v>
      </c>
      <c r="BF200" s="747">
        <f>$G200*$H200*(1+$K200)^MAX(ROUNDUP(IFERROR(DATEDIF($I182-1,BF$15+1,"m"),)/12,)-1,)*Index!BB$23*(BF$15&gt;$I200)*(1-BF$12)</f>
        <v>0</v>
      </c>
      <c r="BG200" s="747">
        <f>$G200*$H200*(1+$K200)^MAX(ROUNDUP(IFERROR(DATEDIF($I182-1,BG$15+1,"m"),)/12,)-1,)*Index!BC$23*(BG$15&gt;$I200)*(1-BG$12)</f>
        <v>0</v>
      </c>
      <c r="BH200" s="747">
        <f>$G200*$H200*(1+$K200)^MAX(ROUNDUP(IFERROR(DATEDIF($I182-1,BH$15+1,"m"),)/12,)-1,)*Index!BD$23*(BH$15&gt;$I200)*(1-BH$12)</f>
        <v>0</v>
      </c>
      <c r="BI200" s="747">
        <f>$G200*$H200*(1+$K200)^MAX(ROUNDUP(IFERROR(DATEDIF($I182-1,BI$15+1,"m"),)/12,)-1,)*Index!BE$23*(BI$15&gt;$I200)*(1-BI$12)</f>
        <v>0</v>
      </c>
      <c r="BJ200" s="747">
        <f>$G200*$H200*(1+$K200)^MAX(ROUNDUP(IFERROR(DATEDIF($I182-1,BJ$15+1,"m"),)/12,)-1,)*Index!BF$23*(BJ$15&gt;$I200)*(1-BJ$12)</f>
        <v>0</v>
      </c>
      <c r="BK200" s="747">
        <f>$G200*$H200*(1+$K200)^MAX(ROUNDUP(IFERROR(DATEDIF($I182-1,BK$15+1,"m"),)/12,)-1,)*Index!BG$23*(BK$15&gt;$I200)*(1-BK$12)</f>
        <v>0</v>
      </c>
      <c r="BL200" s="747">
        <f>$G200*$H200*(1+$K200)^MAX(ROUNDUP(IFERROR(DATEDIF($I182-1,BL$15+1,"m"),)/12,)-1,)*Index!BH$23*(BL$15&gt;$I200)*(1-BL$12)</f>
        <v>0</v>
      </c>
      <c r="BM200" s="747">
        <f>$G200*$H200*(1+$K200)^MAX(ROUNDUP(IFERROR(DATEDIF($I182-1,BM$15+1,"m"),)/12,)-1,)*Index!BI$23*(BM$15&gt;$I200)*(1-BM$12)</f>
        <v>0</v>
      </c>
      <c r="BN200" s="747">
        <f>$G200*$H200*(1+$K200)^MAX(ROUNDUP(IFERROR(DATEDIF($I182-1,BN$15+1,"m"),)/12,)-1,)*Index!BJ$23*(BN$15&gt;$I200)*(1-BN$12)</f>
        <v>0</v>
      </c>
      <c r="BO200" s="747">
        <f>$G200*$H200*(1+$K200)^MAX(ROUNDUP(IFERROR(DATEDIF($I182-1,BO$15+1,"m"),)/12,)-1,)*Index!BK$23*(BO$15&gt;$I200)*(1-BO$12)</f>
        <v>0</v>
      </c>
      <c r="BP200" s="747">
        <f>$G200*$H200*(1+$K200)^MAX(ROUNDUP(IFERROR(DATEDIF($I182-1,BP$15+1,"m"),)/12,)-1,)*Index!BL$23*(BP$15&gt;$I200)*(1-BP$12)</f>
        <v>0</v>
      </c>
      <c r="BQ200" s="747">
        <f>$G200*$H200*(1+$K200)^MAX(ROUNDUP(IFERROR(DATEDIF($I182-1,BQ$15+1,"m"),)/12,)-1,)*Index!BM$23*(BQ$15&gt;$I200)*(1-BQ$12)</f>
        <v>0</v>
      </c>
      <c r="BR200" s="747">
        <f>$G200*$H200*(1+$K200)^MAX(ROUNDUP(IFERROR(DATEDIF($I182-1,BR$15+1,"m"),)/12,)-1,)*Index!BN$23*(BR$15&gt;$I200)*(1-BR$12)</f>
        <v>0</v>
      </c>
      <c r="BS200" s="747">
        <f>$G200*$H200*(1+$K200)^MAX(ROUNDUP(IFERROR(DATEDIF($I182-1,BS$15+1,"m"),)/12,)-1,)*Index!BO$23*(BS$15&gt;$I200)*(1-BS$12)</f>
        <v>0</v>
      </c>
      <c r="BT200" s="747">
        <f>$G200*$H200*(1+$K200)^MAX(ROUNDUP(IFERROR(DATEDIF($I182-1,BT$15+1,"m"),)/12,)-1,)*Index!BP$23*(BT$15&gt;$I200)*(1-BT$12)</f>
        <v>0</v>
      </c>
      <c r="BU200" s="747">
        <f>$G200*$H200*(1+$K200)^MAX(ROUNDUP(IFERROR(DATEDIF($I182-1,BU$15+1,"m"),)/12,)-1,)*Index!BQ$23*(BU$15&gt;$I200)*(1-BU$12)</f>
        <v>0</v>
      </c>
      <c r="BV200" s="747">
        <f>$G200*$H200*(1+$K200)^MAX(ROUNDUP(IFERROR(DATEDIF($I182-1,BV$15+1,"m"),)/12,)-1,)*Index!BR$23*(BV$15&gt;$I200)*(1-BV$12)</f>
        <v>0</v>
      </c>
      <c r="BW200" s="747">
        <f>$G200*$H200*(1+$K200)^MAX(ROUNDUP(IFERROR(DATEDIF($I182-1,BW$15+1,"m"),)/12,)-1,)*Index!BS$23*(BW$15&gt;$I200)*(1-BW$12)</f>
        <v>0</v>
      </c>
      <c r="BX200" s="747">
        <f>$G200*$H200*(1+$K200)^MAX(ROUNDUP(IFERROR(DATEDIF($I182-1,BX$15+1,"m"),)/12,)-1,)*Index!BT$23*(BX$15&gt;$I200)*(1-BX$12)</f>
        <v>0</v>
      </c>
      <c r="BY200" s="747">
        <f>$G200*$H200*(1+$K200)^MAX(ROUNDUP(IFERROR(DATEDIF($I182-1,BY$15+1,"m"),)/12,)-1,)*Index!BU$23*(BY$15&gt;$I200)*(1-BY$12)</f>
        <v>0</v>
      </c>
      <c r="BZ200" s="747">
        <f>$G200*$H200*(1+$K200)^MAX(ROUNDUP(IFERROR(DATEDIF($I182-1,BZ$15+1,"m"),)/12,)-1,)*Index!BV$23*(BZ$15&gt;$I200)*(1-BZ$12)</f>
        <v>0</v>
      </c>
      <c r="CA200" s="747">
        <f>$G200*$H200*(1+$K200)^MAX(ROUNDUP(IFERROR(DATEDIF($I182-1,CA$15+1,"m"),)/12,)-1,)*Index!BW$23*(CA$15&gt;$I200)*(1-CA$12)</f>
        <v>0</v>
      </c>
      <c r="CB200" s="747">
        <f>$G200*$H200*(1+$K200)^MAX(ROUNDUP(IFERROR(DATEDIF($I182-1,CB$15+1,"m"),)/12,)-1,)*Index!BX$23*(CB$15&gt;$I200)*(1-CB$12)</f>
        <v>0</v>
      </c>
      <c r="CC200" s="747">
        <f>$G200*$H200*(1+$K200)^MAX(ROUNDUP(IFERROR(DATEDIF($I182-1,CC$15+1,"m"),)/12,)-1,)*Index!BY$23*(CC$15&gt;$I200)*(1-CC$12)</f>
        <v>0</v>
      </c>
      <c r="CD200" s="747">
        <f>$G200*$H200*(1+$K200)^MAX(ROUNDUP(IFERROR(DATEDIF($I182-1,CD$15+1,"m"),)/12,)-1,)*Index!BZ$23*(CD$15&gt;$I200)*(1-CD$12)</f>
        <v>0</v>
      </c>
      <c r="CE200" s="747">
        <f>$G200*$H200*(1+$K200)^MAX(ROUNDUP(IFERROR(DATEDIF($I182-1,CE$15+1,"m"),)/12,)-1,)*Index!CA$23*(CE$15&gt;$I200)*(1-CE$12)</f>
        <v>0</v>
      </c>
      <c r="CF200" s="747">
        <f>$G200*$H200*(1+$K200)^MAX(ROUNDUP(IFERROR(DATEDIF($I182-1,CF$15+1,"m"),)/12,)-1,)*Index!CB$23*(CF$15&gt;$I200)*(1-CF$12)</f>
        <v>0</v>
      </c>
      <c r="CG200" s="747">
        <f>$G200*$H200*(1+$K200)^MAX(ROUNDUP(IFERROR(DATEDIF($I182-1,CG$15+1,"m"),)/12,)-1,)*Index!CC$23*(CG$15&gt;$I200)*(1-CG$12)</f>
        <v>0</v>
      </c>
      <c r="CH200" s="747">
        <f>$G200*$H200*(1+$K200)^MAX(ROUNDUP(IFERROR(DATEDIF($I182-1,CH$15+1,"m"),)/12,)-1,)*Index!CD$23*(CH$15&gt;$I200)*(1-CH$12)</f>
        <v>0</v>
      </c>
      <c r="CI200" s="747">
        <f>$G200*$H200*(1+$K200)^MAX(ROUNDUP(IFERROR(DATEDIF($I182-1,CI$15+1,"m"),)/12,)-1,)*Index!CE$23*(CI$15&gt;$I200)*(1-CI$12)</f>
        <v>0</v>
      </c>
      <c r="CJ200" s="747">
        <f>$G200*$H200*(1+$K200)^MAX(ROUNDUP(IFERROR(DATEDIF($I182-1,CJ$15+1,"m"),)/12,)-1,)*Index!CF$23*(CJ$15&gt;$I200)*(1-CJ$12)</f>
        <v>0</v>
      </c>
      <c r="CK200" s="747">
        <f>$G200*$H200*(1+$K200)^MAX(ROUNDUP(IFERROR(DATEDIF($I182-1,CK$15+1,"m"),)/12,)-1,)*Index!CG$23*(CK$15&gt;$I200)*(1-CK$12)</f>
        <v>0</v>
      </c>
      <c r="CL200" s="747">
        <f>$G200*$H200*(1+$K200)^MAX(ROUNDUP(IFERROR(DATEDIF($I182-1,CL$15+1,"m"),)/12,)-1,)*Index!CH$23*(CL$15&gt;$I200)*(1-CL$12)</f>
        <v>0</v>
      </c>
      <c r="CM200" s="747">
        <f>$G200*$H200*(1+$K200)^MAX(ROUNDUP(IFERROR(DATEDIF($I182-1,CM$15+1,"m"),)/12,)-1,)*Index!CI$23*(CM$15&gt;$I200)*(1-CM$12)</f>
        <v>0</v>
      </c>
      <c r="CN200" s="747">
        <f>$G200*$H200*(1+$K200)^MAX(ROUNDUP(IFERROR(DATEDIF($I182-1,CN$15+1,"m"),)/12,)-1,)*Index!CJ$23*(CN$15&gt;$I200)*(1-CN$12)</f>
        <v>0</v>
      </c>
      <c r="CO200" s="747">
        <f>$G200*$H200*(1+$K200)^MAX(ROUNDUP(IFERROR(DATEDIF($I182-1,CO$15+1,"m"),)/12,)-1,)*Index!CK$23*(CO$15&gt;$I200)*(1-CO$12)</f>
        <v>0</v>
      </c>
      <c r="CP200" s="747">
        <f>$G200*$H200*(1+$K200)^MAX(ROUNDUP(IFERROR(DATEDIF($I182-1,CP$15+1,"m"),)/12,)-1,)*Index!CL$23*(CP$15&gt;$I200)*(1-CP$12)</f>
        <v>0</v>
      </c>
      <c r="CQ200" s="747">
        <f>$G200*$H200*(1+$K200)^MAX(ROUNDUP(IFERROR(DATEDIF($I182-1,CQ$15+1,"m"),)/12,)-1,)*Index!CM$23*(CQ$15&gt;$I200)*(1-CQ$12)</f>
        <v>0</v>
      </c>
      <c r="CR200" s="747">
        <f>$G200*$H200*(1+$K200)^MAX(ROUNDUP(IFERROR(DATEDIF($I182-1,CR$15+1,"m"),)/12,)-1,)*Index!CN$23*(CR$15&gt;$I200)*(1-CR$12)</f>
        <v>0</v>
      </c>
      <c r="CS200" s="747">
        <f>$G200*$H200*(1+$K200)^MAX(ROUNDUP(IFERROR(DATEDIF($I182-1,CS$15+1,"m"),)/12,)-1,)*Index!CO$23*(CS$15&gt;$I200)*(1-CS$12)</f>
        <v>0</v>
      </c>
      <c r="CT200" s="747">
        <f>$G200*$H200*(1+$K200)^MAX(ROUNDUP(IFERROR(DATEDIF($I182-1,CT$15+1,"m"),)/12,)-1,)*Index!CP$23*(CT$15&gt;$I200)*(1-CT$12)</f>
        <v>0</v>
      </c>
      <c r="CU200" s="747">
        <f>$G200*$H200*(1+$K200)^MAX(ROUNDUP(IFERROR(DATEDIF($I182-1,CU$15+1,"m"),)/12,)-1,)*Index!CQ$23*(CU$15&gt;$I200)*(1-CU$12)</f>
        <v>0</v>
      </c>
      <c r="CV200" s="747">
        <f>$G200*$H200*(1+$K200)^MAX(ROUNDUP(IFERROR(DATEDIF($I182-1,CV$15+1,"m"),)/12,)-1,)*Index!CR$23*(CV$15&gt;$I200)*(1-CV$12)</f>
        <v>0</v>
      </c>
      <c r="CW200" s="747">
        <f>$G200*$H200*(1+$K200)^MAX(ROUNDUP(IFERROR(DATEDIF($I182-1,CW$15+1,"m"),)/12,)-1,)*Index!CS$23*(CW$15&gt;$I200)*(1-CW$12)</f>
        <v>0</v>
      </c>
      <c r="CX200" s="747">
        <f>$G200*$H200*(1+$K200)^MAX(ROUNDUP(IFERROR(DATEDIF($I182-1,CX$15+1,"m"),)/12,)-1,)*Index!CT$23*(CX$15&gt;$I200)*(1-CX$12)</f>
        <v>0</v>
      </c>
      <c r="CY200" s="747">
        <f>$G200*$H200*(1+$K200)^MAX(ROUNDUP(IFERROR(DATEDIF($I182-1,CY$15+1,"m"),)/12,)-1,)*Index!CU$23*(CY$15&gt;$I200)*(1-CY$12)</f>
        <v>0</v>
      </c>
      <c r="CZ200" s="747">
        <f>$G200*$H200*(1+$K200)^MAX(ROUNDUP(IFERROR(DATEDIF($I182-1,CZ$15+1,"m"),)/12,)-1,)*Index!CV$23*(CZ$15&gt;$I200)*(1-CZ$12)</f>
        <v>0</v>
      </c>
      <c r="DA200" s="747">
        <f>$G200*$H200*(1+$K200)^MAX(ROUNDUP(IFERROR(DATEDIF($I182-1,DA$15+1,"m"),)/12,)-1,)*Index!CW$23*(DA$15&gt;$I200)*(1-DA$12)</f>
        <v>0</v>
      </c>
      <c r="DB200" s="747">
        <f>$G200*$H200*(1+$K200)^MAX(ROUNDUP(IFERROR(DATEDIF($I182-1,DB$15+1,"m"),)/12,)-1,)*Index!CX$23*(DB$15&gt;$I200)*(1-DB$12)</f>
        <v>0</v>
      </c>
      <c r="DC200" s="747">
        <f>$G200*$H200*(1+$K200)^MAX(ROUNDUP(IFERROR(DATEDIF($I182-1,DC$15+1,"m"),)/12,)-1,)*Index!CY$23*(DC$15&gt;$I200)*(1-DC$12)</f>
        <v>0</v>
      </c>
      <c r="DD200" s="747">
        <f>$G200*$H200*(1+$K200)^MAX(ROUNDUP(IFERROR(DATEDIF($I182-1,DD$15+1,"m"),)/12,)-1,)*Index!CZ$23*(DD$15&gt;$I200)*(1-DD$12)</f>
        <v>0</v>
      </c>
      <c r="DE200" s="747">
        <f>$G200*$H200*(1+$K200)^MAX(ROUNDUP(IFERROR(DATEDIF($I182-1,DE$15+1,"m"),)/12,)-1,)*Index!DA$23*(DE$15&gt;$I200)*(1-DE$12)</f>
        <v>0</v>
      </c>
      <c r="DF200" s="747">
        <f>$G200*$H200*(1+$K200)^MAX(ROUNDUP(IFERROR(DATEDIF($I182-1,DF$15+1,"m"),)/12,)-1,)*Index!DB$23*(DF$15&gt;$I200)*(1-DF$12)</f>
        <v>0</v>
      </c>
      <c r="DG200" s="747">
        <f>$G200*$H200*(1+$K200)^MAX(ROUNDUP(IFERROR(DATEDIF($I182-1,DG$15+1,"m"),)/12,)-1,)*Index!DC$23*(DG$15&gt;$I200)*(1-DG$12)</f>
        <v>0</v>
      </c>
      <c r="DH200" s="747">
        <f>$G200*$H200*(1+$K200)^MAX(ROUNDUP(IFERROR(DATEDIF($I182-1,DH$15+1,"m"),)/12,)-1,)*Index!DD$23*(DH$15&gt;$I200)*(1-DH$12)</f>
        <v>0</v>
      </c>
      <c r="DI200" s="747">
        <f>$G200*$H200*(1+$K200)^MAX(ROUNDUP(IFERROR(DATEDIF($I182-1,DI$15+1,"m"),)/12,)-1,)*Index!DE$23*(DI$15&gt;$I200)*(1-DI$12)</f>
        <v>0</v>
      </c>
      <c r="DJ200" s="747">
        <f>$G200*$H200*(1+$K200)^MAX(ROUNDUP(IFERROR(DATEDIF($I182-1,DJ$15+1,"m"),)/12,)-1,)*Index!DF$23*(DJ$15&gt;$I200)*(1-DJ$12)</f>
        <v>0</v>
      </c>
      <c r="DK200" s="747">
        <f>$G200*$H200*(1+$K200)^MAX(ROUNDUP(IFERROR(DATEDIF($I182-1,DK$15+1,"m"),)/12,)-1,)*Index!DG$23*(DK$15&gt;$I200)*(1-DK$12)</f>
        <v>0</v>
      </c>
      <c r="DL200" s="747">
        <f>$G200*$H200*(1+$K200)^MAX(ROUNDUP(IFERROR(DATEDIF($I182-1,DL$15+1,"m"),)/12,)-1,)*Index!DH$23*(DL$15&gt;$I200)*(1-DL$12)</f>
        <v>0</v>
      </c>
      <c r="DM200" s="747">
        <f>$G200*$H200*(1+$K200)^MAX(ROUNDUP(IFERROR(DATEDIF($I182-1,DM$15+1,"m"),)/12,)-1,)*Index!DI$23*(DM$15&gt;$I200)*(1-DM$12)</f>
        <v>0</v>
      </c>
      <c r="DN200" s="747">
        <f>$G200*$H200*(1+$K200)^MAX(ROUNDUP(IFERROR(DATEDIF($I182-1,DN$15+1,"m"),)/12,)-1,)*Index!DJ$23*(DN$15&gt;$I200)*(1-DN$12)</f>
        <v>0</v>
      </c>
      <c r="DO200" s="747">
        <f>$G200*$H200*(1+$K200)^MAX(ROUNDUP(IFERROR(DATEDIF($I182-1,DO$15+1,"m"),)/12,)-1,)*Index!DK$23*(DO$15&gt;$I200)*(1-DO$12)</f>
        <v>0</v>
      </c>
      <c r="DP200" s="747">
        <f>$G200*$H200*(1+$K200)^MAX(ROUNDUP(IFERROR(DATEDIF($I182-1,DP$15+1,"m"),)/12,)-1,)*Index!DL$23*(DP$15&gt;$I200)*(1-DP$12)</f>
        <v>0</v>
      </c>
      <c r="DQ200" s="747">
        <f>$G200*$H200*(1+$K200)^MAX(ROUNDUP(IFERROR(DATEDIF($I182-1,DQ$15+1,"m"),)/12,)-1,)*Index!DM$23*(DQ$15&gt;$I200)*(1-DQ$12)</f>
        <v>0</v>
      </c>
      <c r="DR200" s="747">
        <f>$G200*$H200*(1+$K200)^MAX(ROUNDUP(IFERROR(DATEDIF($I182-1,DR$15+1,"m"),)/12,)-1,)*Index!DN$23*(DR$15&gt;$I200)*(1-DR$12)</f>
        <v>0</v>
      </c>
      <c r="DS200" s="747">
        <f>$G200*$H200*(1+$K200)^MAX(ROUNDUP(IFERROR(DATEDIF($I182-1,DS$15+1,"m"),)/12,)-1,)*Index!DO$23*(DS$15&gt;$I200)*(1-DS$12)</f>
        <v>0</v>
      </c>
      <c r="DT200" s="747">
        <f>$G200*$H200*(1+$K200)^MAX(ROUNDUP(IFERROR(DATEDIF($I182-1,DT$15+1,"m"),)/12,)-1,)*Index!DP$23*(DT$15&gt;$I200)*(1-DT$12)</f>
        <v>0</v>
      </c>
      <c r="DU200" s="747">
        <f>$G200*$H200*(1+$K200)^MAX(ROUNDUP(IFERROR(DATEDIF($I182-1,DU$15+1,"m"),)/12,)-1,)*Index!DQ$23*(DU$15&gt;$I200)*(1-DU$12)</f>
        <v>0</v>
      </c>
      <c r="DV200" s="747">
        <f>$G200*$H200*(1+$K200)^MAX(ROUNDUP(IFERROR(DATEDIF($I182-1,DV$15+1,"m"),)/12,)-1,)*Index!DR$23*(DV$15&gt;$I200)*(1-DV$12)</f>
        <v>0</v>
      </c>
      <c r="DW200" s="747">
        <f>$G200*$H200*(1+$K200)^MAX(ROUNDUP(IFERROR(DATEDIF($I182-1,DW$15+1,"m"),)/12,)-1,)*Index!DS$23*(DW$15&gt;$I200)*(1-DW$12)</f>
        <v>0</v>
      </c>
      <c r="DX200" s="747">
        <f>$G200*$H200*(1+$K200)^MAX(ROUNDUP(IFERROR(DATEDIF($I182-1,DX$15+1,"m"),)/12,)-1,)*Index!DT$23*(DX$15&gt;$I200)*(1-DX$12)</f>
        <v>0</v>
      </c>
      <c r="DY200" s="747">
        <f>$G200*$H200*(1+$K200)^MAX(ROUNDUP(IFERROR(DATEDIF($I182-1,DY$15+1,"m"),)/12,)-1,)*Index!DU$23*(DY$15&gt;$I200)*(1-DY$12)</f>
        <v>0</v>
      </c>
      <c r="DZ200" s="747">
        <f>$G200*$H200*(1+$K200)^MAX(ROUNDUP(IFERROR(DATEDIF($I182-1,DZ$15+1,"m"),)/12,)-1,)*Index!DV$23*(DZ$15&gt;$I200)*(1-DZ$12)</f>
        <v>0</v>
      </c>
      <c r="EA200" s="747">
        <f>$G200*$H200*(1+$K200)^MAX(ROUNDUP(IFERROR(DATEDIF($I182-1,EA$15+1,"m"),)/12,)-1,)*Index!DW$23*(EA$15&gt;$I200)*(1-EA$12)</f>
        <v>0</v>
      </c>
      <c r="EB200" s="747">
        <f>$G200*$H200*(1+$K200)^MAX(ROUNDUP(IFERROR(DATEDIF($I182-1,EB$15+1,"m"),)/12,)-1,)*Index!DX$23*(EB$15&gt;$I200)*(1-EB$12)</f>
        <v>0</v>
      </c>
      <c r="EC200" s="747">
        <f>$G200*$H200*(1+$K200)^MAX(ROUNDUP(IFERROR(DATEDIF($I182-1,EC$15+1,"m"),)/12,)-1,)*Index!DY$23*(EC$15&gt;$I200)*(1-EC$12)</f>
        <v>0</v>
      </c>
      <c r="ED200" s="747">
        <f>$G200*$H200*(1+$K200)^MAX(ROUNDUP(IFERROR(DATEDIF($I182-1,ED$15+1,"m"),)/12,)-1,)*Index!DZ$23*(ED$15&gt;$I200)*(1-ED$12)</f>
        <v>0</v>
      </c>
      <c r="EE200" s="747">
        <f>$G200*$H200*(1+$K200)^MAX(ROUNDUP(IFERROR(DATEDIF($I182-1,EE$15+1,"m"),)/12,)-1,)*Index!EA$23*(EE$15&gt;$I200)*(1-EE$12)</f>
        <v>0</v>
      </c>
      <c r="EF200" s="747">
        <f>$G200*$H200*(1+$K200)^MAX(ROUNDUP(IFERROR(DATEDIF($I182-1,EF$15+1,"m"),)/12,)-1,)*Index!EB$23*(EF$15&gt;$I200)*(1-EF$12)</f>
        <v>0</v>
      </c>
      <c r="EG200" s="747">
        <f>$G200*$H200*(1+$K200)^MAX(ROUNDUP(IFERROR(DATEDIF($I182-1,EG$15+1,"m"),)/12,)-1,)*Index!EC$23*(EG$15&gt;$I200)*(1-EG$12)</f>
        <v>1886.9643060503124</v>
      </c>
      <c r="EH200" s="747">
        <f>$G200*$H200*(1+$K200)^MAX(ROUNDUP(IFERROR(DATEDIF($I182-1,EH$15+1,"m"),)/12,)-1,)*Index!ED$23*(EH$15&gt;$I200)*(1-EH$12)</f>
        <v>1886.9643060503124</v>
      </c>
      <c r="EI200" s="747">
        <f>$G200*$H200*(1+$K200)^MAX(ROUNDUP(IFERROR(DATEDIF($I182-1,EI$15+1,"m"),)/12,)-1,)*Index!EE$23*(EI$15&gt;$I200)*(1-EI$12)</f>
        <v>1934.1384137015702</v>
      </c>
      <c r="EJ200" s="747">
        <f>$G200*$H200*(1+$K200)^MAX(ROUNDUP(IFERROR(DATEDIF($I182-1,EJ$15+1,"m"),)/12,)-1,)*Index!EF$23*(EJ$15&gt;$I200)*(1-EJ$12)</f>
        <v>1934.1384137015702</v>
      </c>
      <c r="EK200" s="747">
        <f>$G200*$H200*(1+$K200)^MAX(ROUNDUP(IFERROR(DATEDIF($I182-1,EK$15+1,"m"),)/12,)-1,)*Index!EG$23*(EK$15&gt;$I200)*(1-EK$12)</f>
        <v>1934.1384137015702</v>
      </c>
      <c r="EL200" s="747">
        <f>$G200*$H200*(1+$K200)^MAX(ROUNDUP(IFERROR(DATEDIF($I182-1,EL$15+1,"m"),)/12,)-1,)*Index!EH$23*(EL$15&gt;$I200)*(1-EL$12)</f>
        <v>1934.1384137015702</v>
      </c>
      <c r="EM200" s="747">
        <f>$G200*$H200*(1+$K200)^MAX(ROUNDUP(IFERROR(DATEDIF($I182-1,EM$15+1,"m"),)/12,)-1,)*Index!EI$23*(EM$15&gt;$I200)*(1-EM$12)</f>
        <v>1934.1384137015702</v>
      </c>
      <c r="EN200" s="747">
        <f>$G200*$H200*(1+$K200)^MAX(ROUNDUP(IFERROR(DATEDIF($I182-1,EN$15+1,"m"),)/12,)-1,)*Index!EJ$23*(EN$15&gt;$I200)*(1-EN$12)</f>
        <v>1934.1384137015702</v>
      </c>
      <c r="EO200" s="747">
        <f>$G200*$H200*(1+$K200)^MAX(ROUNDUP(IFERROR(DATEDIF($I182-1,EO$15+1,"m"),)/12,)-1,)*Index!EK$23*(EO$15&gt;$I200)*(1-EO$12)</f>
        <v>1934.1384137015702</v>
      </c>
      <c r="EP200" s="747">
        <f>$G200*$H200*(1+$K200)^MAX(ROUNDUP(IFERROR(DATEDIF($I182-1,EP$15+1,"m"),)/12,)-1,)*Index!EL$23*(EP$15&gt;$I200)*(1-EP$12)</f>
        <v>1934.1384137015702</v>
      </c>
      <c r="EQ200" s="747">
        <f>$G200*$H200*(1+$K200)^MAX(ROUNDUP(IFERROR(DATEDIF($I182-1,EQ$15+1,"m"),)/12,)-1,)*Index!EM$23*(EQ$15&gt;$I200)*(1-EQ$12)</f>
        <v>1934.1384137015702</v>
      </c>
      <c r="ER200" s="747">
        <f>$G200*$H200*(1+$K200)^MAX(ROUNDUP(IFERROR(DATEDIF($I182-1,ER$15+1,"m"),)/12,)-1,)*Index!EN$23*(ER$15&gt;$I200)*(1-ER$12)</f>
        <v>1934.1384137015702</v>
      </c>
      <c r="ES200" s="747">
        <f>$G200*$H200*(1+$K200)^MAX(ROUNDUP(IFERROR(DATEDIF($I182-1,ES$15+1,"m"),)/12,)-1,)*Index!EO$23*(ES$15&gt;$I200)*(1-ES$12)</f>
        <v>0</v>
      </c>
      <c r="ET200" s="747">
        <f>$G200*$H200*(1+$K200)^MAX(ROUNDUP(IFERROR(DATEDIF($I182-1,ET$15+1,"m"),)/12,)-1,)*Index!EP$23*(ET$15&gt;$I200)*(1-ET$12)</f>
        <v>0</v>
      </c>
      <c r="EU200" s="747">
        <f>$G200*$H200*(1+$K200)^MAX(ROUNDUP(IFERROR(DATEDIF($I182-1,EU$15+1,"m"),)/12,)-1,)*Index!EQ$23*(EU$15&gt;$I200)*(1-EU$12)</f>
        <v>0</v>
      </c>
    </row>
    <row r="201" spans="3:151" ht="11.25" customHeight="1">
      <c r="C201" s="828"/>
      <c r="D201" s="743">
        <f t="shared" ref="D201:I201" si="276">D165</f>
        <v>8</v>
      </c>
      <c r="E201" s="704" t="str">
        <f t="shared" si="276"/>
        <v>쿠팡</v>
      </c>
      <c r="F201" s="704" t="str">
        <f t="shared" si="276"/>
        <v>상온창고</v>
      </c>
      <c r="G201" s="781">
        <f t="shared" si="276"/>
        <v>2.9900433370455741</v>
      </c>
      <c r="H201" s="744">
        <f t="shared" si="276"/>
        <v>207.4</v>
      </c>
      <c r="I201" s="745">
        <f t="shared" si="276"/>
        <v>49064</v>
      </c>
      <c r="J201" s="745"/>
      <c r="K201" s="754">
        <f t="shared" si="272"/>
        <v>2.5000000000000001E-2</v>
      </c>
      <c r="L201" s="746"/>
      <c r="M201" s="722"/>
      <c r="N201" s="747">
        <f t="shared" si="273"/>
        <v>10133.253272543718</v>
      </c>
      <c r="O201" s="733"/>
      <c r="P201" s="747">
        <f>$G201*$H201*(1+$K201)^MAX(ROUNDUP(IFERROR(DATEDIF($I183-1,P$15+1,"m"),)/12,)-1,)*Index!L$23*(P$15&gt;$I201)*(1-P$12)</f>
        <v>0</v>
      </c>
      <c r="Q201" s="747">
        <f>$G201*$H201*(1+$K201)^MAX(ROUNDUP(IFERROR(DATEDIF($I183-1,Q$15+1,"m"),)/12,)-1,)*Index!M$23*(Q$15&gt;$I201)*(1-Q$12)</f>
        <v>0</v>
      </c>
      <c r="R201" s="747">
        <f>$G201*$H201*(1+$K201)^MAX(ROUNDUP(IFERROR(DATEDIF($I183-1,R$15+1,"m"),)/12,)-1,)*Index!N$23*(R$15&gt;$I201)*(1-R$12)</f>
        <v>0</v>
      </c>
      <c r="S201" s="747">
        <f>$G201*$H201*(1+$K201)^MAX(ROUNDUP(IFERROR(DATEDIF($I183-1,S$15+1,"m"),)/12,)-1,)*Index!O$23*(S$15&gt;$I201)*(1-S$12)</f>
        <v>0</v>
      </c>
      <c r="T201" s="747">
        <f>$G201*$H201*(1+$K201)^MAX(ROUNDUP(IFERROR(DATEDIF($I183-1,T$15+1,"m"),)/12,)-1,)*Index!P$23*(T$15&gt;$I201)*(1-T$12)</f>
        <v>0</v>
      </c>
      <c r="U201" s="747">
        <f>$G201*$H201*(1+$K201)^MAX(ROUNDUP(IFERROR(DATEDIF($I183-1,U$15+1,"m"),)/12,)-1,)*Index!Q$23*(U$15&gt;$I201)*(1-U$12)</f>
        <v>0</v>
      </c>
      <c r="V201" s="747">
        <f>$G201*$H201*(1+$K201)^MAX(ROUNDUP(IFERROR(DATEDIF($I183-1,V$15+1,"m"),)/12,)-1,)*Index!R$23*(V$15&gt;$I201)*(1-V$12)</f>
        <v>0</v>
      </c>
      <c r="W201" s="747">
        <f>$G201*$H201*(1+$K201)^MAX(ROUNDUP(IFERROR(DATEDIF($I183-1,W$15+1,"m"),)/12,)-1,)*Index!S$23*(W$15&gt;$I201)*(1-W$12)</f>
        <v>0</v>
      </c>
      <c r="X201" s="747">
        <f>$G201*$H201*(1+$K201)^MAX(ROUNDUP(IFERROR(DATEDIF($I183-1,X$15+1,"m"),)/12,)-1,)*Index!T$23*(X$15&gt;$I201)*(1-X$12)</f>
        <v>0</v>
      </c>
      <c r="Y201" s="747">
        <f>$G201*$H201*(1+$K201)^MAX(ROUNDUP(IFERROR(DATEDIF($I183-1,Y$15+1,"m"),)/12,)-1,)*Index!U$23*(Y$15&gt;$I201)*(1-Y$12)</f>
        <v>0</v>
      </c>
      <c r="Z201" s="747">
        <f>$G201*$H201*(1+$K201)^MAX(ROUNDUP(IFERROR(DATEDIF($I183-1,Z$15+1,"m"),)/12,)-1,)*Index!V$23*(Z$15&gt;$I201)*(1-Z$12)</f>
        <v>0</v>
      </c>
      <c r="AA201" s="747">
        <f>$G201*$H201*(1+$K201)^MAX(ROUNDUP(IFERROR(DATEDIF($I183-1,AA$15+1,"m"),)/12,)-1,)*Index!W$23*(AA$15&gt;$I201)*(1-AA$12)</f>
        <v>0</v>
      </c>
      <c r="AB201" s="747">
        <f>$G201*$H201*(1+$K201)^MAX(ROUNDUP(IFERROR(DATEDIF($I183-1,AB$15+1,"m"),)/12,)-1,)*Index!X$23*(AB$15&gt;$I201)*(1-AB$12)</f>
        <v>0</v>
      </c>
      <c r="AC201" s="747">
        <f>$G201*$H201*(1+$K201)^MAX(ROUNDUP(IFERROR(DATEDIF($I183-1,AC$15+1,"m"),)/12,)-1,)*Index!Y$23*(AC$15&gt;$I201)*(1-AC$12)</f>
        <v>0</v>
      </c>
      <c r="AD201" s="747">
        <f>$G201*$H201*(1+$K201)^MAX(ROUNDUP(IFERROR(DATEDIF($I183-1,AD$15+1,"m"),)/12,)-1,)*Index!Z$23*(AD$15&gt;$I201)*(1-AD$12)</f>
        <v>0</v>
      </c>
      <c r="AE201" s="747">
        <f>$G201*$H201*(1+$K201)^MAX(ROUNDUP(IFERROR(DATEDIF($I183-1,AE$15+1,"m"),)/12,)-1,)*Index!AA$23*(AE$15&gt;$I201)*(1-AE$12)</f>
        <v>0</v>
      </c>
      <c r="AF201" s="747">
        <f>$G201*$H201*(1+$K201)^MAX(ROUNDUP(IFERROR(DATEDIF($I183-1,AF$15+1,"m"),)/12,)-1,)*Index!AB$23*(AF$15&gt;$I201)*(1-AF$12)</f>
        <v>0</v>
      </c>
      <c r="AG201" s="747">
        <f>$G201*$H201*(1+$K201)^MAX(ROUNDUP(IFERROR(DATEDIF($I183-1,AG$15+1,"m"),)/12,)-1,)*Index!AC$23*(AG$15&gt;$I201)*(1-AG$12)</f>
        <v>0</v>
      </c>
      <c r="AH201" s="747">
        <f>$G201*$H201*(1+$K201)^MAX(ROUNDUP(IFERROR(DATEDIF($I183-1,AH$15+1,"m"),)/12,)-1,)*Index!AD$23*(AH$15&gt;$I201)*(1-AH$12)</f>
        <v>0</v>
      </c>
      <c r="AI201" s="747">
        <f>$G201*$H201*(1+$K201)^MAX(ROUNDUP(IFERROR(DATEDIF($I183-1,AI$15+1,"m"),)/12,)-1,)*Index!AE$23*(AI$15&gt;$I201)*(1-AI$12)</f>
        <v>0</v>
      </c>
      <c r="AJ201" s="747">
        <f>$G201*$H201*(1+$K201)^MAX(ROUNDUP(IFERROR(DATEDIF($I183-1,AJ$15+1,"m"),)/12,)-1,)*Index!AF$23*(AJ$15&gt;$I201)*(1-AJ$12)</f>
        <v>0</v>
      </c>
      <c r="AK201" s="747">
        <f>$G201*$H201*(1+$K201)^MAX(ROUNDUP(IFERROR(DATEDIF($I183-1,AK$15+1,"m"),)/12,)-1,)*Index!AG$23*(AK$15&gt;$I201)*(1-AK$12)</f>
        <v>0</v>
      </c>
      <c r="AL201" s="747">
        <f>$G201*$H201*(1+$K201)^MAX(ROUNDUP(IFERROR(DATEDIF($I183-1,AL$15+1,"m"),)/12,)-1,)*Index!AH$23*(AL$15&gt;$I201)*(1-AL$12)</f>
        <v>0</v>
      </c>
      <c r="AM201" s="747">
        <f>$G201*$H201*(1+$K201)^MAX(ROUNDUP(IFERROR(DATEDIF($I183-1,AM$15+1,"m"),)/12,)-1,)*Index!AI$23*(AM$15&gt;$I201)*(1-AM$12)</f>
        <v>0</v>
      </c>
      <c r="AN201" s="747">
        <f>$G201*$H201*(1+$K201)^MAX(ROUNDUP(IFERROR(DATEDIF($I183-1,AN$15+1,"m"),)/12,)-1,)*Index!AJ$23*(AN$15&gt;$I201)*(1-AN$12)</f>
        <v>0</v>
      </c>
      <c r="AO201" s="747">
        <f>$G201*$H201*(1+$K201)^MAX(ROUNDUP(IFERROR(DATEDIF($I183-1,AO$15+1,"m"),)/12,)-1,)*Index!AK$23*(AO$15&gt;$I201)*(1-AO$12)</f>
        <v>0</v>
      </c>
      <c r="AP201" s="747">
        <f>$G201*$H201*(1+$K201)^MAX(ROUNDUP(IFERROR(DATEDIF($I183-1,AP$15+1,"m"),)/12,)-1,)*Index!AL$23*(AP$15&gt;$I201)*(1-AP$12)</f>
        <v>0</v>
      </c>
      <c r="AQ201" s="747">
        <f>$G201*$H201*(1+$K201)^MAX(ROUNDUP(IFERROR(DATEDIF($I183-1,AQ$15+1,"m"),)/12,)-1,)*Index!AM$23*(AQ$15&gt;$I201)*(1-AQ$12)</f>
        <v>0</v>
      </c>
      <c r="AR201" s="747">
        <f>$G201*$H201*(1+$K201)^MAX(ROUNDUP(IFERROR(DATEDIF($I183-1,AR$15+1,"m"),)/12,)-1,)*Index!AN$23*(AR$15&gt;$I201)*(1-AR$12)</f>
        <v>0</v>
      </c>
      <c r="AS201" s="747">
        <f>$G201*$H201*(1+$K201)^MAX(ROUNDUP(IFERROR(DATEDIF($I183-1,AS$15+1,"m"),)/12,)-1,)*Index!AO$23*(AS$15&gt;$I201)*(1-AS$12)</f>
        <v>0</v>
      </c>
      <c r="AT201" s="747">
        <f>$G201*$H201*(1+$K201)^MAX(ROUNDUP(IFERROR(DATEDIF($I183-1,AT$15+1,"m"),)/12,)-1,)*Index!AP$23*(AT$15&gt;$I201)*(1-AT$12)</f>
        <v>0</v>
      </c>
      <c r="AU201" s="747">
        <f>$G201*$H201*(1+$K201)^MAX(ROUNDUP(IFERROR(DATEDIF($I183-1,AU$15+1,"m"),)/12,)-1,)*Index!AQ$23*(AU$15&gt;$I201)*(1-AU$12)</f>
        <v>0</v>
      </c>
      <c r="AV201" s="747">
        <f>$G201*$H201*(1+$K201)^MAX(ROUNDUP(IFERROR(DATEDIF($I183-1,AV$15+1,"m"),)/12,)-1,)*Index!AR$23*(AV$15&gt;$I201)*(1-AV$12)</f>
        <v>0</v>
      </c>
      <c r="AW201" s="747">
        <f>$G201*$H201*(1+$K201)^MAX(ROUNDUP(IFERROR(DATEDIF($I183-1,AW$15+1,"m"),)/12,)-1,)*Index!AS$23*(AW$15&gt;$I201)*(1-AW$12)</f>
        <v>0</v>
      </c>
      <c r="AX201" s="747">
        <f>$G201*$H201*(1+$K201)^MAX(ROUNDUP(IFERROR(DATEDIF($I183-1,AX$15+1,"m"),)/12,)-1,)*Index!AT$23*(AX$15&gt;$I201)*(1-AX$12)</f>
        <v>0</v>
      </c>
      <c r="AY201" s="747">
        <f>$G201*$H201*(1+$K201)^MAX(ROUNDUP(IFERROR(DATEDIF($I183-1,AY$15+1,"m"),)/12,)-1,)*Index!AU$23*(AY$15&gt;$I201)*(1-AY$12)</f>
        <v>0</v>
      </c>
      <c r="AZ201" s="747">
        <f>$G201*$H201*(1+$K201)^MAX(ROUNDUP(IFERROR(DATEDIF($I183-1,AZ$15+1,"m"),)/12,)-1,)*Index!AV$23*(AZ$15&gt;$I201)*(1-AZ$12)</f>
        <v>0</v>
      </c>
      <c r="BA201" s="747">
        <f>$G201*$H201*(1+$K201)^MAX(ROUNDUP(IFERROR(DATEDIF($I183-1,BA$15+1,"m"),)/12,)-1,)*Index!AW$23*(BA$15&gt;$I201)*(1-BA$12)</f>
        <v>0</v>
      </c>
      <c r="BB201" s="747">
        <f>$G201*$H201*(1+$K201)^MAX(ROUNDUP(IFERROR(DATEDIF($I183-1,BB$15+1,"m"),)/12,)-1,)*Index!AX$23*(BB$15&gt;$I201)*(1-BB$12)</f>
        <v>0</v>
      </c>
      <c r="BC201" s="747">
        <f>$G201*$H201*(1+$K201)^MAX(ROUNDUP(IFERROR(DATEDIF($I183-1,BC$15+1,"m"),)/12,)-1,)*Index!AY$23*(BC$15&gt;$I201)*(1-BC$12)</f>
        <v>0</v>
      </c>
      <c r="BD201" s="747">
        <f>$G201*$H201*(1+$K201)^MAX(ROUNDUP(IFERROR(DATEDIF($I183-1,BD$15+1,"m"),)/12,)-1,)*Index!AZ$23*(BD$15&gt;$I201)*(1-BD$12)</f>
        <v>0</v>
      </c>
      <c r="BE201" s="747">
        <f>$G201*$H201*(1+$K201)^MAX(ROUNDUP(IFERROR(DATEDIF($I183-1,BE$15+1,"m"),)/12,)-1,)*Index!BA$23*(BE$15&gt;$I201)*(1-BE$12)</f>
        <v>0</v>
      </c>
      <c r="BF201" s="747">
        <f>$G201*$H201*(1+$K201)^MAX(ROUNDUP(IFERROR(DATEDIF($I183-1,BF$15+1,"m"),)/12,)-1,)*Index!BB$23*(BF$15&gt;$I201)*(1-BF$12)</f>
        <v>0</v>
      </c>
      <c r="BG201" s="747">
        <f>$G201*$H201*(1+$K201)^MAX(ROUNDUP(IFERROR(DATEDIF($I183-1,BG$15+1,"m"),)/12,)-1,)*Index!BC$23*(BG$15&gt;$I201)*(1-BG$12)</f>
        <v>0</v>
      </c>
      <c r="BH201" s="747">
        <f>$G201*$H201*(1+$K201)^MAX(ROUNDUP(IFERROR(DATEDIF($I183-1,BH$15+1,"m"),)/12,)-1,)*Index!BD$23*(BH$15&gt;$I201)*(1-BH$12)</f>
        <v>0</v>
      </c>
      <c r="BI201" s="747">
        <f>$G201*$H201*(1+$K201)^MAX(ROUNDUP(IFERROR(DATEDIF($I183-1,BI$15+1,"m"),)/12,)-1,)*Index!BE$23*(BI$15&gt;$I201)*(1-BI$12)</f>
        <v>0</v>
      </c>
      <c r="BJ201" s="747">
        <f>$G201*$H201*(1+$K201)^MAX(ROUNDUP(IFERROR(DATEDIF($I183-1,BJ$15+1,"m"),)/12,)-1,)*Index!BF$23*(BJ$15&gt;$I201)*(1-BJ$12)</f>
        <v>0</v>
      </c>
      <c r="BK201" s="747">
        <f>$G201*$H201*(1+$K201)^MAX(ROUNDUP(IFERROR(DATEDIF($I183-1,BK$15+1,"m"),)/12,)-1,)*Index!BG$23*(BK$15&gt;$I201)*(1-BK$12)</f>
        <v>0</v>
      </c>
      <c r="BL201" s="747">
        <f>$G201*$H201*(1+$K201)^MAX(ROUNDUP(IFERROR(DATEDIF($I183-1,BL$15+1,"m"),)/12,)-1,)*Index!BH$23*(BL$15&gt;$I201)*(1-BL$12)</f>
        <v>0</v>
      </c>
      <c r="BM201" s="747">
        <f>$G201*$H201*(1+$K201)^MAX(ROUNDUP(IFERROR(DATEDIF($I183-1,BM$15+1,"m"),)/12,)-1,)*Index!BI$23*(BM$15&gt;$I201)*(1-BM$12)</f>
        <v>0</v>
      </c>
      <c r="BN201" s="747">
        <f>$G201*$H201*(1+$K201)^MAX(ROUNDUP(IFERROR(DATEDIF($I183-1,BN$15+1,"m"),)/12,)-1,)*Index!BJ$23*(BN$15&gt;$I201)*(1-BN$12)</f>
        <v>0</v>
      </c>
      <c r="BO201" s="747">
        <f>$G201*$H201*(1+$K201)^MAX(ROUNDUP(IFERROR(DATEDIF($I183-1,BO$15+1,"m"),)/12,)-1,)*Index!BK$23*(BO$15&gt;$I201)*(1-BO$12)</f>
        <v>0</v>
      </c>
      <c r="BP201" s="747">
        <f>$G201*$H201*(1+$K201)^MAX(ROUNDUP(IFERROR(DATEDIF($I183-1,BP$15+1,"m"),)/12,)-1,)*Index!BL$23*(BP$15&gt;$I201)*(1-BP$12)</f>
        <v>0</v>
      </c>
      <c r="BQ201" s="747">
        <f>$G201*$H201*(1+$K201)^MAX(ROUNDUP(IFERROR(DATEDIF($I183-1,BQ$15+1,"m"),)/12,)-1,)*Index!BM$23*(BQ$15&gt;$I201)*(1-BQ$12)</f>
        <v>0</v>
      </c>
      <c r="BR201" s="747">
        <f>$G201*$H201*(1+$K201)^MAX(ROUNDUP(IFERROR(DATEDIF($I183-1,BR$15+1,"m"),)/12,)-1,)*Index!BN$23*(BR$15&gt;$I201)*(1-BR$12)</f>
        <v>0</v>
      </c>
      <c r="BS201" s="747">
        <f>$G201*$H201*(1+$K201)^MAX(ROUNDUP(IFERROR(DATEDIF($I183-1,BS$15+1,"m"),)/12,)-1,)*Index!BO$23*(BS$15&gt;$I201)*(1-BS$12)</f>
        <v>0</v>
      </c>
      <c r="BT201" s="747">
        <f>$G201*$H201*(1+$K201)^MAX(ROUNDUP(IFERROR(DATEDIF($I183-1,BT$15+1,"m"),)/12,)-1,)*Index!BP$23*(BT$15&gt;$I201)*(1-BT$12)</f>
        <v>0</v>
      </c>
      <c r="BU201" s="747">
        <f>$G201*$H201*(1+$K201)^MAX(ROUNDUP(IFERROR(DATEDIF($I183-1,BU$15+1,"m"),)/12,)-1,)*Index!BQ$23*(BU$15&gt;$I201)*(1-BU$12)</f>
        <v>0</v>
      </c>
      <c r="BV201" s="747">
        <f>$G201*$H201*(1+$K201)^MAX(ROUNDUP(IFERROR(DATEDIF($I183-1,BV$15+1,"m"),)/12,)-1,)*Index!BR$23*(BV$15&gt;$I201)*(1-BV$12)</f>
        <v>0</v>
      </c>
      <c r="BW201" s="747">
        <f>$G201*$H201*(1+$K201)^MAX(ROUNDUP(IFERROR(DATEDIF($I183-1,BW$15+1,"m"),)/12,)-1,)*Index!BS$23*(BW$15&gt;$I201)*(1-BW$12)</f>
        <v>0</v>
      </c>
      <c r="BX201" s="747">
        <f>$G201*$H201*(1+$K201)^MAX(ROUNDUP(IFERROR(DATEDIF($I183-1,BX$15+1,"m"),)/12,)-1,)*Index!BT$23*(BX$15&gt;$I201)*(1-BX$12)</f>
        <v>0</v>
      </c>
      <c r="BY201" s="747">
        <f>$G201*$H201*(1+$K201)^MAX(ROUNDUP(IFERROR(DATEDIF($I183-1,BY$15+1,"m"),)/12,)-1,)*Index!BU$23*(BY$15&gt;$I201)*(1-BY$12)</f>
        <v>0</v>
      </c>
      <c r="BZ201" s="747">
        <f>$G201*$H201*(1+$K201)^MAX(ROUNDUP(IFERROR(DATEDIF($I183-1,BZ$15+1,"m"),)/12,)-1,)*Index!BV$23*(BZ$15&gt;$I201)*(1-BZ$12)</f>
        <v>0</v>
      </c>
      <c r="CA201" s="747">
        <f>$G201*$H201*(1+$K201)^MAX(ROUNDUP(IFERROR(DATEDIF($I183-1,CA$15+1,"m"),)/12,)-1,)*Index!BW$23*(CA$15&gt;$I201)*(1-CA$12)</f>
        <v>0</v>
      </c>
      <c r="CB201" s="747">
        <f>$G201*$H201*(1+$K201)^MAX(ROUNDUP(IFERROR(DATEDIF($I183-1,CB$15+1,"m"),)/12,)-1,)*Index!BX$23*(CB$15&gt;$I201)*(1-CB$12)</f>
        <v>0</v>
      </c>
      <c r="CC201" s="747">
        <f>$G201*$H201*(1+$K201)^MAX(ROUNDUP(IFERROR(DATEDIF($I183-1,CC$15+1,"m"),)/12,)-1,)*Index!BY$23*(CC$15&gt;$I201)*(1-CC$12)</f>
        <v>0</v>
      </c>
      <c r="CD201" s="747">
        <f>$G201*$H201*(1+$K201)^MAX(ROUNDUP(IFERROR(DATEDIF($I183-1,CD$15+1,"m"),)/12,)-1,)*Index!BZ$23*(CD$15&gt;$I201)*(1-CD$12)</f>
        <v>0</v>
      </c>
      <c r="CE201" s="747">
        <f>$G201*$H201*(1+$K201)^MAX(ROUNDUP(IFERROR(DATEDIF($I183-1,CE$15+1,"m"),)/12,)-1,)*Index!CA$23*(CE$15&gt;$I201)*(1-CE$12)</f>
        <v>0</v>
      </c>
      <c r="CF201" s="747">
        <f>$G201*$H201*(1+$K201)^MAX(ROUNDUP(IFERROR(DATEDIF($I183-1,CF$15+1,"m"),)/12,)-1,)*Index!CB$23*(CF$15&gt;$I201)*(1-CF$12)</f>
        <v>0</v>
      </c>
      <c r="CG201" s="747">
        <f>$G201*$H201*(1+$K201)^MAX(ROUNDUP(IFERROR(DATEDIF($I183-1,CG$15+1,"m"),)/12,)-1,)*Index!CC$23*(CG$15&gt;$I201)*(1-CG$12)</f>
        <v>0</v>
      </c>
      <c r="CH201" s="747">
        <f>$G201*$H201*(1+$K201)^MAX(ROUNDUP(IFERROR(DATEDIF($I183-1,CH$15+1,"m"),)/12,)-1,)*Index!CD$23*(CH$15&gt;$I201)*(1-CH$12)</f>
        <v>0</v>
      </c>
      <c r="CI201" s="747">
        <f>$G201*$H201*(1+$K201)^MAX(ROUNDUP(IFERROR(DATEDIF($I183-1,CI$15+1,"m"),)/12,)-1,)*Index!CE$23*(CI$15&gt;$I201)*(1-CI$12)</f>
        <v>0</v>
      </c>
      <c r="CJ201" s="747">
        <f>$G201*$H201*(1+$K201)^MAX(ROUNDUP(IFERROR(DATEDIF($I183-1,CJ$15+1,"m"),)/12,)-1,)*Index!CF$23*(CJ$15&gt;$I201)*(1-CJ$12)</f>
        <v>0</v>
      </c>
      <c r="CK201" s="747">
        <f>$G201*$H201*(1+$K201)^MAX(ROUNDUP(IFERROR(DATEDIF($I183-1,CK$15+1,"m"),)/12,)-1,)*Index!CG$23*(CK$15&gt;$I201)*(1-CK$12)</f>
        <v>0</v>
      </c>
      <c r="CL201" s="747">
        <f>$G201*$H201*(1+$K201)^MAX(ROUNDUP(IFERROR(DATEDIF($I183-1,CL$15+1,"m"),)/12,)-1,)*Index!CH$23*(CL$15&gt;$I201)*(1-CL$12)</f>
        <v>0</v>
      </c>
      <c r="CM201" s="747">
        <f>$G201*$H201*(1+$K201)^MAX(ROUNDUP(IFERROR(DATEDIF($I183-1,CM$15+1,"m"),)/12,)-1,)*Index!CI$23*(CM$15&gt;$I201)*(1-CM$12)</f>
        <v>0</v>
      </c>
      <c r="CN201" s="747">
        <f>$G201*$H201*(1+$K201)^MAX(ROUNDUP(IFERROR(DATEDIF($I183-1,CN$15+1,"m"),)/12,)-1,)*Index!CJ$23*(CN$15&gt;$I201)*(1-CN$12)</f>
        <v>0</v>
      </c>
      <c r="CO201" s="747">
        <f>$G201*$H201*(1+$K201)^MAX(ROUNDUP(IFERROR(DATEDIF($I183-1,CO$15+1,"m"),)/12,)-1,)*Index!CK$23*(CO$15&gt;$I201)*(1-CO$12)</f>
        <v>0</v>
      </c>
      <c r="CP201" s="747">
        <f>$G201*$H201*(1+$K201)^MAX(ROUNDUP(IFERROR(DATEDIF($I183-1,CP$15+1,"m"),)/12,)-1,)*Index!CL$23*(CP$15&gt;$I201)*(1-CP$12)</f>
        <v>0</v>
      </c>
      <c r="CQ201" s="747">
        <f>$G201*$H201*(1+$K201)^MAX(ROUNDUP(IFERROR(DATEDIF($I183-1,CQ$15+1,"m"),)/12,)-1,)*Index!CM$23*(CQ$15&gt;$I201)*(1-CQ$12)</f>
        <v>0</v>
      </c>
      <c r="CR201" s="747">
        <f>$G201*$H201*(1+$K201)^MAX(ROUNDUP(IFERROR(DATEDIF($I183-1,CR$15+1,"m"),)/12,)-1,)*Index!CN$23*(CR$15&gt;$I201)*(1-CR$12)</f>
        <v>0</v>
      </c>
      <c r="CS201" s="747">
        <f>$G201*$H201*(1+$K201)^MAX(ROUNDUP(IFERROR(DATEDIF($I183-1,CS$15+1,"m"),)/12,)-1,)*Index!CO$23*(CS$15&gt;$I201)*(1-CS$12)</f>
        <v>0</v>
      </c>
      <c r="CT201" s="747">
        <f>$G201*$H201*(1+$K201)^MAX(ROUNDUP(IFERROR(DATEDIF($I183-1,CT$15+1,"m"),)/12,)-1,)*Index!CP$23*(CT$15&gt;$I201)*(1-CT$12)</f>
        <v>0</v>
      </c>
      <c r="CU201" s="747">
        <f>$G201*$H201*(1+$K201)^MAX(ROUNDUP(IFERROR(DATEDIF($I183-1,CU$15+1,"m"),)/12,)-1,)*Index!CQ$23*(CU$15&gt;$I201)*(1-CU$12)</f>
        <v>0</v>
      </c>
      <c r="CV201" s="747">
        <f>$G201*$H201*(1+$K201)^MAX(ROUNDUP(IFERROR(DATEDIF($I183-1,CV$15+1,"m"),)/12,)-1,)*Index!CR$23*(CV$15&gt;$I201)*(1-CV$12)</f>
        <v>0</v>
      </c>
      <c r="CW201" s="747">
        <f>$G201*$H201*(1+$K201)^MAX(ROUNDUP(IFERROR(DATEDIF($I183-1,CW$15+1,"m"),)/12,)-1,)*Index!CS$23*(CW$15&gt;$I201)*(1-CW$12)</f>
        <v>0</v>
      </c>
      <c r="CX201" s="747">
        <f>$G201*$H201*(1+$K201)^MAX(ROUNDUP(IFERROR(DATEDIF($I183-1,CX$15+1,"m"),)/12,)-1,)*Index!CT$23*(CX$15&gt;$I201)*(1-CX$12)</f>
        <v>0</v>
      </c>
      <c r="CY201" s="747">
        <f>$G201*$H201*(1+$K201)^MAX(ROUNDUP(IFERROR(DATEDIF($I183-1,CY$15+1,"m"),)/12,)-1,)*Index!CU$23*(CY$15&gt;$I201)*(1-CY$12)</f>
        <v>0</v>
      </c>
      <c r="CZ201" s="747">
        <f>$G201*$H201*(1+$K201)^MAX(ROUNDUP(IFERROR(DATEDIF($I183-1,CZ$15+1,"m"),)/12,)-1,)*Index!CV$23*(CZ$15&gt;$I201)*(1-CZ$12)</f>
        <v>0</v>
      </c>
      <c r="DA201" s="747">
        <f>$G201*$H201*(1+$K201)^MAX(ROUNDUP(IFERROR(DATEDIF($I183-1,DA$15+1,"m"),)/12,)-1,)*Index!CW$23*(DA$15&gt;$I201)*(1-DA$12)</f>
        <v>0</v>
      </c>
      <c r="DB201" s="747">
        <f>$G201*$H201*(1+$K201)^MAX(ROUNDUP(IFERROR(DATEDIF($I183-1,DB$15+1,"m"),)/12,)-1,)*Index!CX$23*(DB$15&gt;$I201)*(1-DB$12)</f>
        <v>0</v>
      </c>
      <c r="DC201" s="747">
        <f>$G201*$H201*(1+$K201)^MAX(ROUNDUP(IFERROR(DATEDIF($I183-1,DC$15+1,"m"),)/12,)-1,)*Index!CY$23*(DC$15&gt;$I201)*(1-DC$12)</f>
        <v>0</v>
      </c>
      <c r="DD201" s="747">
        <f>$G201*$H201*(1+$K201)^MAX(ROUNDUP(IFERROR(DATEDIF($I183-1,DD$15+1,"m"),)/12,)-1,)*Index!CZ$23*(DD$15&gt;$I201)*(1-DD$12)</f>
        <v>0</v>
      </c>
      <c r="DE201" s="747">
        <f>$G201*$H201*(1+$K201)^MAX(ROUNDUP(IFERROR(DATEDIF($I183-1,DE$15+1,"m"),)/12,)-1,)*Index!DA$23*(DE$15&gt;$I201)*(1-DE$12)</f>
        <v>0</v>
      </c>
      <c r="DF201" s="747">
        <f>$G201*$H201*(1+$K201)^MAX(ROUNDUP(IFERROR(DATEDIF($I183-1,DF$15+1,"m"),)/12,)-1,)*Index!DB$23*(DF$15&gt;$I201)*(1-DF$12)</f>
        <v>0</v>
      </c>
      <c r="DG201" s="747">
        <f>$G201*$H201*(1+$K201)^MAX(ROUNDUP(IFERROR(DATEDIF($I183-1,DG$15+1,"m"),)/12,)-1,)*Index!DC$23*(DG$15&gt;$I201)*(1-DG$12)</f>
        <v>0</v>
      </c>
      <c r="DH201" s="747">
        <f>$G201*$H201*(1+$K201)^MAX(ROUNDUP(IFERROR(DATEDIF($I183-1,DH$15+1,"m"),)/12,)-1,)*Index!DD$23*(DH$15&gt;$I201)*(1-DH$12)</f>
        <v>0</v>
      </c>
      <c r="DI201" s="747">
        <f>$G201*$H201*(1+$K201)^MAX(ROUNDUP(IFERROR(DATEDIF($I183-1,DI$15+1,"m"),)/12,)-1,)*Index!DE$23*(DI$15&gt;$I201)*(1-DI$12)</f>
        <v>0</v>
      </c>
      <c r="DJ201" s="747">
        <f>$G201*$H201*(1+$K201)^MAX(ROUNDUP(IFERROR(DATEDIF($I183-1,DJ$15+1,"m"),)/12,)-1,)*Index!DF$23*(DJ$15&gt;$I201)*(1-DJ$12)</f>
        <v>0</v>
      </c>
      <c r="DK201" s="747">
        <f>$G201*$H201*(1+$K201)^MAX(ROUNDUP(IFERROR(DATEDIF($I183-1,DK$15+1,"m"),)/12,)-1,)*Index!DG$23*(DK$15&gt;$I201)*(1-DK$12)</f>
        <v>0</v>
      </c>
      <c r="DL201" s="747">
        <f>$G201*$H201*(1+$K201)^MAX(ROUNDUP(IFERROR(DATEDIF($I183-1,DL$15+1,"m"),)/12,)-1,)*Index!DH$23*(DL$15&gt;$I201)*(1-DL$12)</f>
        <v>0</v>
      </c>
      <c r="DM201" s="747">
        <f>$G201*$H201*(1+$K201)^MAX(ROUNDUP(IFERROR(DATEDIF($I183-1,DM$15+1,"m"),)/12,)-1,)*Index!DI$23*(DM$15&gt;$I201)*(1-DM$12)</f>
        <v>0</v>
      </c>
      <c r="DN201" s="747">
        <f>$G201*$H201*(1+$K201)^MAX(ROUNDUP(IFERROR(DATEDIF($I183-1,DN$15+1,"m"),)/12,)-1,)*Index!DJ$23*(DN$15&gt;$I201)*(1-DN$12)</f>
        <v>0</v>
      </c>
      <c r="DO201" s="747">
        <f>$G201*$H201*(1+$K201)^MAX(ROUNDUP(IFERROR(DATEDIF($I183-1,DO$15+1,"m"),)/12,)-1,)*Index!DK$23*(DO$15&gt;$I201)*(1-DO$12)</f>
        <v>0</v>
      </c>
      <c r="DP201" s="747">
        <f>$G201*$H201*(1+$K201)^MAX(ROUNDUP(IFERROR(DATEDIF($I183-1,DP$15+1,"m"),)/12,)-1,)*Index!DL$23*(DP$15&gt;$I201)*(1-DP$12)</f>
        <v>0</v>
      </c>
      <c r="DQ201" s="747">
        <f>$G201*$H201*(1+$K201)^MAX(ROUNDUP(IFERROR(DATEDIF($I183-1,DQ$15+1,"m"),)/12,)-1,)*Index!DM$23*(DQ$15&gt;$I201)*(1-DQ$12)</f>
        <v>0</v>
      </c>
      <c r="DR201" s="747">
        <f>$G201*$H201*(1+$K201)^MAX(ROUNDUP(IFERROR(DATEDIF($I183-1,DR$15+1,"m"),)/12,)-1,)*Index!DN$23*(DR$15&gt;$I201)*(1-DR$12)</f>
        <v>0</v>
      </c>
      <c r="DS201" s="747">
        <f>$G201*$H201*(1+$K201)^MAX(ROUNDUP(IFERROR(DATEDIF($I183-1,DS$15+1,"m"),)/12,)-1,)*Index!DO$23*(DS$15&gt;$I201)*(1-DS$12)</f>
        <v>0</v>
      </c>
      <c r="DT201" s="747">
        <f>$G201*$H201*(1+$K201)^MAX(ROUNDUP(IFERROR(DATEDIF($I183-1,DT$15+1,"m"),)/12,)-1,)*Index!DP$23*(DT$15&gt;$I201)*(1-DT$12)</f>
        <v>0</v>
      </c>
      <c r="DU201" s="747">
        <f>$G201*$H201*(1+$K201)^MAX(ROUNDUP(IFERROR(DATEDIF($I183-1,DU$15+1,"m"),)/12,)-1,)*Index!DQ$23*(DU$15&gt;$I201)*(1-DU$12)</f>
        <v>0</v>
      </c>
      <c r="DV201" s="747">
        <f>$G201*$H201*(1+$K201)^MAX(ROUNDUP(IFERROR(DATEDIF($I183-1,DV$15+1,"m"),)/12,)-1,)*Index!DR$23*(DV$15&gt;$I201)*(1-DV$12)</f>
        <v>0</v>
      </c>
      <c r="DW201" s="747">
        <f>$G201*$H201*(1+$K201)^MAX(ROUNDUP(IFERROR(DATEDIF($I183-1,DW$15+1,"m"),)/12,)-1,)*Index!DS$23*(DW$15&gt;$I201)*(1-DW$12)</f>
        <v>0</v>
      </c>
      <c r="DX201" s="747">
        <f>$G201*$H201*(1+$K201)^MAX(ROUNDUP(IFERROR(DATEDIF($I183-1,DX$15+1,"m"),)/12,)-1,)*Index!DT$23*(DX$15&gt;$I201)*(1-DX$12)</f>
        <v>0</v>
      </c>
      <c r="DY201" s="747">
        <f>$G201*$H201*(1+$K201)^MAX(ROUNDUP(IFERROR(DATEDIF($I183-1,DY$15+1,"m"),)/12,)-1,)*Index!DU$23*(DY$15&gt;$I201)*(1-DY$12)</f>
        <v>0</v>
      </c>
      <c r="DZ201" s="747">
        <f>$G201*$H201*(1+$K201)^MAX(ROUNDUP(IFERROR(DATEDIF($I183-1,DZ$15+1,"m"),)/12,)-1,)*Index!DV$23*(DZ$15&gt;$I201)*(1-DZ$12)</f>
        <v>0</v>
      </c>
      <c r="EA201" s="747">
        <f>$G201*$H201*(1+$K201)^MAX(ROUNDUP(IFERROR(DATEDIF($I183-1,EA$15+1,"m"),)/12,)-1,)*Index!DW$23*(EA$15&gt;$I201)*(1-EA$12)</f>
        <v>0</v>
      </c>
      <c r="EB201" s="747">
        <f>$G201*$H201*(1+$K201)^MAX(ROUNDUP(IFERROR(DATEDIF($I183-1,EB$15+1,"m"),)/12,)-1,)*Index!DX$23*(EB$15&gt;$I201)*(1-EB$12)</f>
        <v>0</v>
      </c>
      <c r="EC201" s="747">
        <f>$G201*$H201*(1+$K201)^MAX(ROUNDUP(IFERROR(DATEDIF($I183-1,EC$15+1,"m"),)/12,)-1,)*Index!DY$23*(EC$15&gt;$I201)*(1-EC$12)</f>
        <v>0</v>
      </c>
      <c r="ED201" s="747">
        <f>$G201*$H201*(1+$K201)^MAX(ROUNDUP(IFERROR(DATEDIF($I183-1,ED$15+1,"m"),)/12,)-1,)*Index!DZ$23*(ED$15&gt;$I201)*(1-ED$12)</f>
        <v>0</v>
      </c>
      <c r="EE201" s="747">
        <f>$G201*$H201*(1+$K201)^MAX(ROUNDUP(IFERROR(DATEDIF($I183-1,EE$15+1,"m"),)/12,)-1,)*Index!EA$23*(EE$15&gt;$I201)*(1-EE$12)</f>
        <v>0</v>
      </c>
      <c r="EF201" s="747">
        <f>$G201*$H201*(1+$K201)^MAX(ROUNDUP(IFERROR(DATEDIF($I183-1,EF$15+1,"m"),)/12,)-1,)*Index!EB$23*(EF$15&gt;$I201)*(1-EF$12)</f>
        <v>0</v>
      </c>
      <c r="EG201" s="747">
        <f>$G201*$H201*(1+$K201)^MAX(ROUNDUP(IFERROR(DATEDIF($I183-1,EG$15+1,"m"),)/12,)-1,)*Index!EC$23*(EG$15&gt;$I201)*(1-EG$12)</f>
        <v>834.01261502417447</v>
      </c>
      <c r="EH201" s="747">
        <f>$G201*$H201*(1+$K201)^MAX(ROUNDUP(IFERROR(DATEDIF($I183-1,EH$15+1,"m"),)/12,)-1,)*Index!ED$23*(EH$15&gt;$I201)*(1-EH$12)</f>
        <v>834.01261502417447</v>
      </c>
      <c r="EI201" s="747">
        <f>$G201*$H201*(1+$K201)^MAX(ROUNDUP(IFERROR(DATEDIF($I183-1,EI$15+1,"m"),)/12,)-1,)*Index!EE$23*(EI$15&gt;$I201)*(1-EI$12)</f>
        <v>834.01261502417447</v>
      </c>
      <c r="EJ201" s="747">
        <f>$G201*$H201*(1+$K201)^MAX(ROUNDUP(IFERROR(DATEDIF($I183-1,EJ$15+1,"m"),)/12,)-1,)*Index!EF$23*(EJ$15&gt;$I201)*(1-EJ$12)</f>
        <v>834.01261502417447</v>
      </c>
      <c r="EK201" s="747">
        <f>$G201*$H201*(1+$K201)^MAX(ROUNDUP(IFERROR(DATEDIF($I183-1,EK$15+1,"m"),)/12,)-1,)*Index!EG$23*(EK$15&gt;$I201)*(1-EK$12)</f>
        <v>834.01261502417447</v>
      </c>
      <c r="EL201" s="747">
        <f>$G201*$H201*(1+$K201)^MAX(ROUNDUP(IFERROR(DATEDIF($I183-1,EL$15+1,"m"),)/12,)-1,)*Index!EH$23*(EL$15&gt;$I201)*(1-EL$12)</f>
        <v>834.01261502417447</v>
      </c>
      <c r="EM201" s="747">
        <f>$G201*$H201*(1+$K201)^MAX(ROUNDUP(IFERROR(DATEDIF($I183-1,EM$15+1,"m"),)/12,)-1,)*Index!EI$23*(EM$15&gt;$I201)*(1-EM$12)</f>
        <v>854.86293039977875</v>
      </c>
      <c r="EN201" s="747">
        <f>$G201*$H201*(1+$K201)^MAX(ROUNDUP(IFERROR(DATEDIF($I183-1,EN$15+1,"m"),)/12,)-1,)*Index!EJ$23*(EN$15&gt;$I201)*(1-EN$12)</f>
        <v>854.86293039977875</v>
      </c>
      <c r="EO201" s="747">
        <f>$G201*$H201*(1+$K201)^MAX(ROUNDUP(IFERROR(DATEDIF($I183-1,EO$15+1,"m"),)/12,)-1,)*Index!EK$23*(EO$15&gt;$I201)*(1-EO$12)</f>
        <v>854.86293039977875</v>
      </c>
      <c r="EP201" s="747">
        <f>$G201*$H201*(1+$K201)^MAX(ROUNDUP(IFERROR(DATEDIF($I183-1,EP$15+1,"m"),)/12,)-1,)*Index!EL$23*(EP$15&gt;$I201)*(1-EP$12)</f>
        <v>854.86293039977875</v>
      </c>
      <c r="EQ201" s="747">
        <f>$G201*$H201*(1+$K201)^MAX(ROUNDUP(IFERROR(DATEDIF($I183-1,EQ$15+1,"m"),)/12,)-1,)*Index!EM$23*(EQ$15&gt;$I201)*(1-EQ$12)</f>
        <v>854.86293039977875</v>
      </c>
      <c r="ER201" s="747">
        <f>$G201*$H201*(1+$K201)^MAX(ROUNDUP(IFERROR(DATEDIF($I183-1,ER$15+1,"m"),)/12,)-1,)*Index!EN$23*(ER$15&gt;$I201)*(1-ER$12)</f>
        <v>854.86293039977875</v>
      </c>
      <c r="ES201" s="747">
        <f>$G201*$H201*(1+$K201)^MAX(ROUNDUP(IFERROR(DATEDIF($I183-1,ES$15+1,"m"),)/12,)-1,)*Index!EO$23*(ES$15&gt;$I201)*(1-ES$12)</f>
        <v>0</v>
      </c>
      <c r="ET201" s="747">
        <f>$G201*$H201*(1+$K201)^MAX(ROUNDUP(IFERROR(DATEDIF($I183-1,ET$15+1,"m"),)/12,)-1,)*Index!EP$23*(ET$15&gt;$I201)*(1-ET$12)</f>
        <v>0</v>
      </c>
      <c r="EU201" s="747">
        <f>$G201*$H201*(1+$K201)^MAX(ROUNDUP(IFERROR(DATEDIF($I183-1,EU$15+1,"m"),)/12,)-1,)*Index!EQ$23*(EU$15&gt;$I201)*(1-EU$12)</f>
        <v>0</v>
      </c>
    </row>
    <row r="202" spans="3:151" ht="11.25" customHeight="1">
      <c r="C202" s="828"/>
      <c r="D202" s="743">
        <f t="shared" ref="D202:I202" si="277">D166</f>
        <v>7</v>
      </c>
      <c r="E202" s="704" t="str">
        <f t="shared" si="277"/>
        <v>쿠팡</v>
      </c>
      <c r="F202" s="704" t="str">
        <f t="shared" si="277"/>
        <v>상온창고</v>
      </c>
      <c r="G202" s="781">
        <f t="shared" si="277"/>
        <v>2.9900433370455741</v>
      </c>
      <c r="H202" s="744">
        <f t="shared" si="277"/>
        <v>1550.42</v>
      </c>
      <c r="I202" s="745">
        <f t="shared" si="277"/>
        <v>49064</v>
      </c>
      <c r="J202" s="745"/>
      <c r="K202" s="754">
        <f t="shared" si="272"/>
        <v>2.5000000000000001E-2</v>
      </c>
      <c r="L202" s="746"/>
      <c r="M202" s="722"/>
      <c r="N202" s="747">
        <f t="shared" si="273"/>
        <v>76218.798344798299</v>
      </c>
      <c r="O202" s="733"/>
      <c r="P202" s="747">
        <f>$G202*$H202*(1+$K202)^MAX(ROUNDUP(IFERROR(DATEDIF($I184-1,P$15+1,"m"),)/12,)-1,)*Index!L$23*(P$15&gt;$I202)*(1-P$12)</f>
        <v>0</v>
      </c>
      <c r="Q202" s="747">
        <f>$G202*$H202*(1+$K202)^MAX(ROUNDUP(IFERROR(DATEDIF($I184-1,Q$15+1,"m"),)/12,)-1,)*Index!M$23*(Q$15&gt;$I202)*(1-Q$12)</f>
        <v>0</v>
      </c>
      <c r="R202" s="747">
        <f>$G202*$H202*(1+$K202)^MAX(ROUNDUP(IFERROR(DATEDIF($I184-1,R$15+1,"m"),)/12,)-1,)*Index!N$23*(R$15&gt;$I202)*(1-R$12)</f>
        <v>0</v>
      </c>
      <c r="S202" s="747">
        <f>$G202*$H202*(1+$K202)^MAX(ROUNDUP(IFERROR(DATEDIF($I184-1,S$15+1,"m"),)/12,)-1,)*Index!O$23*(S$15&gt;$I202)*(1-S$12)</f>
        <v>0</v>
      </c>
      <c r="T202" s="747">
        <f>$G202*$H202*(1+$K202)^MAX(ROUNDUP(IFERROR(DATEDIF($I184-1,T$15+1,"m"),)/12,)-1,)*Index!P$23*(T$15&gt;$I202)*(1-T$12)</f>
        <v>0</v>
      </c>
      <c r="U202" s="747">
        <f>$G202*$H202*(1+$K202)^MAX(ROUNDUP(IFERROR(DATEDIF($I184-1,U$15+1,"m"),)/12,)-1,)*Index!Q$23*(U$15&gt;$I202)*(1-U$12)</f>
        <v>0</v>
      </c>
      <c r="V202" s="747">
        <f>$G202*$H202*(1+$K202)^MAX(ROUNDUP(IFERROR(DATEDIF($I184-1,V$15+1,"m"),)/12,)-1,)*Index!R$23*(V$15&gt;$I202)*(1-V$12)</f>
        <v>0</v>
      </c>
      <c r="W202" s="747">
        <f>$G202*$H202*(1+$K202)^MAX(ROUNDUP(IFERROR(DATEDIF($I184-1,W$15+1,"m"),)/12,)-1,)*Index!S$23*(W$15&gt;$I202)*(1-W$12)</f>
        <v>0</v>
      </c>
      <c r="X202" s="747">
        <f>$G202*$H202*(1+$K202)^MAX(ROUNDUP(IFERROR(DATEDIF($I184-1,X$15+1,"m"),)/12,)-1,)*Index!T$23*(X$15&gt;$I202)*(1-X$12)</f>
        <v>0</v>
      </c>
      <c r="Y202" s="747">
        <f>$G202*$H202*(1+$K202)^MAX(ROUNDUP(IFERROR(DATEDIF($I184-1,Y$15+1,"m"),)/12,)-1,)*Index!U$23*(Y$15&gt;$I202)*(1-Y$12)</f>
        <v>0</v>
      </c>
      <c r="Z202" s="747">
        <f>$G202*$H202*(1+$K202)^MAX(ROUNDUP(IFERROR(DATEDIF($I184-1,Z$15+1,"m"),)/12,)-1,)*Index!V$23*(Z$15&gt;$I202)*(1-Z$12)</f>
        <v>0</v>
      </c>
      <c r="AA202" s="747">
        <f>$G202*$H202*(1+$K202)^MAX(ROUNDUP(IFERROR(DATEDIF($I184-1,AA$15+1,"m"),)/12,)-1,)*Index!W$23*(AA$15&gt;$I202)*(1-AA$12)</f>
        <v>0</v>
      </c>
      <c r="AB202" s="747">
        <f>$G202*$H202*(1+$K202)^MAX(ROUNDUP(IFERROR(DATEDIF($I184-1,AB$15+1,"m"),)/12,)-1,)*Index!X$23*(AB$15&gt;$I202)*(1-AB$12)</f>
        <v>0</v>
      </c>
      <c r="AC202" s="747">
        <f>$G202*$H202*(1+$K202)^MAX(ROUNDUP(IFERROR(DATEDIF($I184-1,AC$15+1,"m"),)/12,)-1,)*Index!Y$23*(AC$15&gt;$I202)*(1-AC$12)</f>
        <v>0</v>
      </c>
      <c r="AD202" s="747">
        <f>$G202*$H202*(1+$K202)^MAX(ROUNDUP(IFERROR(DATEDIF($I184-1,AD$15+1,"m"),)/12,)-1,)*Index!Z$23*(AD$15&gt;$I202)*(1-AD$12)</f>
        <v>0</v>
      </c>
      <c r="AE202" s="747">
        <f>$G202*$H202*(1+$K202)^MAX(ROUNDUP(IFERROR(DATEDIF($I184-1,AE$15+1,"m"),)/12,)-1,)*Index!AA$23*(AE$15&gt;$I202)*(1-AE$12)</f>
        <v>0</v>
      </c>
      <c r="AF202" s="747">
        <f>$G202*$H202*(1+$K202)^MAX(ROUNDUP(IFERROR(DATEDIF($I184-1,AF$15+1,"m"),)/12,)-1,)*Index!AB$23*(AF$15&gt;$I202)*(1-AF$12)</f>
        <v>0</v>
      </c>
      <c r="AG202" s="747">
        <f>$G202*$H202*(1+$K202)^MAX(ROUNDUP(IFERROR(DATEDIF($I184-1,AG$15+1,"m"),)/12,)-1,)*Index!AC$23*(AG$15&gt;$I202)*(1-AG$12)</f>
        <v>0</v>
      </c>
      <c r="AH202" s="747">
        <f>$G202*$H202*(1+$K202)^MAX(ROUNDUP(IFERROR(DATEDIF($I184-1,AH$15+1,"m"),)/12,)-1,)*Index!AD$23*(AH$15&gt;$I202)*(1-AH$12)</f>
        <v>0</v>
      </c>
      <c r="AI202" s="747">
        <f>$G202*$H202*(1+$K202)^MAX(ROUNDUP(IFERROR(DATEDIF($I184-1,AI$15+1,"m"),)/12,)-1,)*Index!AE$23*(AI$15&gt;$I202)*(1-AI$12)</f>
        <v>0</v>
      </c>
      <c r="AJ202" s="747">
        <f>$G202*$H202*(1+$K202)^MAX(ROUNDUP(IFERROR(DATEDIF($I184-1,AJ$15+1,"m"),)/12,)-1,)*Index!AF$23*(AJ$15&gt;$I202)*(1-AJ$12)</f>
        <v>0</v>
      </c>
      <c r="AK202" s="747">
        <f>$G202*$H202*(1+$K202)^MAX(ROUNDUP(IFERROR(DATEDIF($I184-1,AK$15+1,"m"),)/12,)-1,)*Index!AG$23*(AK$15&gt;$I202)*(1-AK$12)</f>
        <v>0</v>
      </c>
      <c r="AL202" s="747">
        <f>$G202*$H202*(1+$K202)^MAX(ROUNDUP(IFERROR(DATEDIF($I184-1,AL$15+1,"m"),)/12,)-1,)*Index!AH$23*(AL$15&gt;$I202)*(1-AL$12)</f>
        <v>0</v>
      </c>
      <c r="AM202" s="747">
        <f>$G202*$H202*(1+$K202)^MAX(ROUNDUP(IFERROR(DATEDIF($I184-1,AM$15+1,"m"),)/12,)-1,)*Index!AI$23*(AM$15&gt;$I202)*(1-AM$12)</f>
        <v>0</v>
      </c>
      <c r="AN202" s="747">
        <f>$G202*$H202*(1+$K202)^MAX(ROUNDUP(IFERROR(DATEDIF($I184-1,AN$15+1,"m"),)/12,)-1,)*Index!AJ$23*(AN$15&gt;$I202)*(1-AN$12)</f>
        <v>0</v>
      </c>
      <c r="AO202" s="747">
        <f>$G202*$H202*(1+$K202)^MAX(ROUNDUP(IFERROR(DATEDIF($I184-1,AO$15+1,"m"),)/12,)-1,)*Index!AK$23*(AO$15&gt;$I202)*(1-AO$12)</f>
        <v>0</v>
      </c>
      <c r="AP202" s="747">
        <f>$G202*$H202*(1+$K202)^MAX(ROUNDUP(IFERROR(DATEDIF($I184-1,AP$15+1,"m"),)/12,)-1,)*Index!AL$23*(AP$15&gt;$I202)*(1-AP$12)</f>
        <v>0</v>
      </c>
      <c r="AQ202" s="747">
        <f>$G202*$H202*(1+$K202)^MAX(ROUNDUP(IFERROR(DATEDIF($I184-1,AQ$15+1,"m"),)/12,)-1,)*Index!AM$23*(AQ$15&gt;$I202)*(1-AQ$12)</f>
        <v>0</v>
      </c>
      <c r="AR202" s="747">
        <f>$G202*$H202*(1+$K202)^MAX(ROUNDUP(IFERROR(DATEDIF($I184-1,AR$15+1,"m"),)/12,)-1,)*Index!AN$23*(AR$15&gt;$I202)*(1-AR$12)</f>
        <v>0</v>
      </c>
      <c r="AS202" s="747">
        <f>$G202*$H202*(1+$K202)^MAX(ROUNDUP(IFERROR(DATEDIF($I184-1,AS$15+1,"m"),)/12,)-1,)*Index!AO$23*(AS$15&gt;$I202)*(1-AS$12)</f>
        <v>0</v>
      </c>
      <c r="AT202" s="747">
        <f>$G202*$H202*(1+$K202)^MAX(ROUNDUP(IFERROR(DATEDIF($I184-1,AT$15+1,"m"),)/12,)-1,)*Index!AP$23*(AT$15&gt;$I202)*(1-AT$12)</f>
        <v>0</v>
      </c>
      <c r="AU202" s="747">
        <f>$G202*$H202*(1+$K202)^MAX(ROUNDUP(IFERROR(DATEDIF($I184-1,AU$15+1,"m"),)/12,)-1,)*Index!AQ$23*(AU$15&gt;$I202)*(1-AU$12)</f>
        <v>0</v>
      </c>
      <c r="AV202" s="747">
        <f>$G202*$H202*(1+$K202)^MAX(ROUNDUP(IFERROR(DATEDIF($I184-1,AV$15+1,"m"),)/12,)-1,)*Index!AR$23*(AV$15&gt;$I202)*(1-AV$12)</f>
        <v>0</v>
      </c>
      <c r="AW202" s="747">
        <f>$G202*$H202*(1+$K202)^MAX(ROUNDUP(IFERROR(DATEDIF($I184-1,AW$15+1,"m"),)/12,)-1,)*Index!AS$23*(AW$15&gt;$I202)*(1-AW$12)</f>
        <v>0</v>
      </c>
      <c r="AX202" s="747">
        <f>$G202*$H202*(1+$K202)^MAX(ROUNDUP(IFERROR(DATEDIF($I184-1,AX$15+1,"m"),)/12,)-1,)*Index!AT$23*(AX$15&gt;$I202)*(1-AX$12)</f>
        <v>0</v>
      </c>
      <c r="AY202" s="747">
        <f>$G202*$H202*(1+$K202)^MAX(ROUNDUP(IFERROR(DATEDIF($I184-1,AY$15+1,"m"),)/12,)-1,)*Index!AU$23*(AY$15&gt;$I202)*(1-AY$12)</f>
        <v>0</v>
      </c>
      <c r="AZ202" s="747">
        <f>$G202*$H202*(1+$K202)^MAX(ROUNDUP(IFERROR(DATEDIF($I184-1,AZ$15+1,"m"),)/12,)-1,)*Index!AV$23*(AZ$15&gt;$I202)*(1-AZ$12)</f>
        <v>0</v>
      </c>
      <c r="BA202" s="747">
        <f>$G202*$H202*(1+$K202)^MAX(ROUNDUP(IFERROR(DATEDIF($I184-1,BA$15+1,"m"),)/12,)-1,)*Index!AW$23*(BA$15&gt;$I202)*(1-BA$12)</f>
        <v>0</v>
      </c>
      <c r="BB202" s="747">
        <f>$G202*$H202*(1+$K202)^MAX(ROUNDUP(IFERROR(DATEDIF($I184-1,BB$15+1,"m"),)/12,)-1,)*Index!AX$23*(BB$15&gt;$I202)*(1-BB$12)</f>
        <v>0</v>
      </c>
      <c r="BC202" s="747">
        <f>$G202*$H202*(1+$K202)^MAX(ROUNDUP(IFERROR(DATEDIF($I184-1,BC$15+1,"m"),)/12,)-1,)*Index!AY$23*(BC$15&gt;$I202)*(1-BC$12)</f>
        <v>0</v>
      </c>
      <c r="BD202" s="747">
        <f>$G202*$H202*(1+$K202)^MAX(ROUNDUP(IFERROR(DATEDIF($I184-1,BD$15+1,"m"),)/12,)-1,)*Index!AZ$23*(BD$15&gt;$I202)*(1-BD$12)</f>
        <v>0</v>
      </c>
      <c r="BE202" s="747">
        <f>$G202*$H202*(1+$K202)^MAX(ROUNDUP(IFERROR(DATEDIF($I184-1,BE$15+1,"m"),)/12,)-1,)*Index!BA$23*(BE$15&gt;$I202)*(1-BE$12)</f>
        <v>0</v>
      </c>
      <c r="BF202" s="747">
        <f>$G202*$H202*(1+$K202)^MAX(ROUNDUP(IFERROR(DATEDIF($I184-1,BF$15+1,"m"),)/12,)-1,)*Index!BB$23*(BF$15&gt;$I202)*(1-BF$12)</f>
        <v>0</v>
      </c>
      <c r="BG202" s="747">
        <f>$G202*$H202*(1+$K202)^MAX(ROUNDUP(IFERROR(DATEDIF($I184-1,BG$15+1,"m"),)/12,)-1,)*Index!BC$23*(BG$15&gt;$I202)*(1-BG$12)</f>
        <v>0</v>
      </c>
      <c r="BH202" s="747">
        <f>$G202*$H202*(1+$K202)^MAX(ROUNDUP(IFERROR(DATEDIF($I184-1,BH$15+1,"m"),)/12,)-1,)*Index!BD$23*(BH$15&gt;$I202)*(1-BH$12)</f>
        <v>0</v>
      </c>
      <c r="BI202" s="747">
        <f>$G202*$H202*(1+$K202)^MAX(ROUNDUP(IFERROR(DATEDIF($I184-1,BI$15+1,"m"),)/12,)-1,)*Index!BE$23*(BI$15&gt;$I202)*(1-BI$12)</f>
        <v>0</v>
      </c>
      <c r="BJ202" s="747">
        <f>$G202*$H202*(1+$K202)^MAX(ROUNDUP(IFERROR(DATEDIF($I184-1,BJ$15+1,"m"),)/12,)-1,)*Index!BF$23*(BJ$15&gt;$I202)*(1-BJ$12)</f>
        <v>0</v>
      </c>
      <c r="BK202" s="747">
        <f>$G202*$H202*(1+$K202)^MAX(ROUNDUP(IFERROR(DATEDIF($I184-1,BK$15+1,"m"),)/12,)-1,)*Index!BG$23*(BK$15&gt;$I202)*(1-BK$12)</f>
        <v>0</v>
      </c>
      <c r="BL202" s="747">
        <f>$G202*$H202*(1+$K202)^MAX(ROUNDUP(IFERROR(DATEDIF($I184-1,BL$15+1,"m"),)/12,)-1,)*Index!BH$23*(BL$15&gt;$I202)*(1-BL$12)</f>
        <v>0</v>
      </c>
      <c r="BM202" s="747">
        <f>$G202*$H202*(1+$K202)^MAX(ROUNDUP(IFERROR(DATEDIF($I184-1,BM$15+1,"m"),)/12,)-1,)*Index!BI$23*(BM$15&gt;$I202)*(1-BM$12)</f>
        <v>0</v>
      </c>
      <c r="BN202" s="747">
        <f>$G202*$H202*(1+$K202)^MAX(ROUNDUP(IFERROR(DATEDIF($I184-1,BN$15+1,"m"),)/12,)-1,)*Index!BJ$23*(BN$15&gt;$I202)*(1-BN$12)</f>
        <v>0</v>
      </c>
      <c r="BO202" s="747">
        <f>$G202*$H202*(1+$K202)^MAX(ROUNDUP(IFERROR(DATEDIF($I184-1,BO$15+1,"m"),)/12,)-1,)*Index!BK$23*(BO$15&gt;$I202)*(1-BO$12)</f>
        <v>0</v>
      </c>
      <c r="BP202" s="747">
        <f>$G202*$H202*(1+$K202)^MAX(ROUNDUP(IFERROR(DATEDIF($I184-1,BP$15+1,"m"),)/12,)-1,)*Index!BL$23*(BP$15&gt;$I202)*(1-BP$12)</f>
        <v>0</v>
      </c>
      <c r="BQ202" s="747">
        <f>$G202*$H202*(1+$K202)^MAX(ROUNDUP(IFERROR(DATEDIF($I184-1,BQ$15+1,"m"),)/12,)-1,)*Index!BM$23*(BQ$15&gt;$I202)*(1-BQ$12)</f>
        <v>0</v>
      </c>
      <c r="BR202" s="747">
        <f>$G202*$H202*(1+$K202)^MAX(ROUNDUP(IFERROR(DATEDIF($I184-1,BR$15+1,"m"),)/12,)-1,)*Index!BN$23*(BR$15&gt;$I202)*(1-BR$12)</f>
        <v>0</v>
      </c>
      <c r="BS202" s="747">
        <f>$G202*$H202*(1+$K202)^MAX(ROUNDUP(IFERROR(DATEDIF($I184-1,BS$15+1,"m"),)/12,)-1,)*Index!BO$23*(BS$15&gt;$I202)*(1-BS$12)</f>
        <v>0</v>
      </c>
      <c r="BT202" s="747">
        <f>$G202*$H202*(1+$K202)^MAX(ROUNDUP(IFERROR(DATEDIF($I184-1,BT$15+1,"m"),)/12,)-1,)*Index!BP$23*(BT$15&gt;$I202)*(1-BT$12)</f>
        <v>0</v>
      </c>
      <c r="BU202" s="747">
        <f>$G202*$H202*(1+$K202)^MAX(ROUNDUP(IFERROR(DATEDIF($I184-1,BU$15+1,"m"),)/12,)-1,)*Index!BQ$23*(BU$15&gt;$I202)*(1-BU$12)</f>
        <v>0</v>
      </c>
      <c r="BV202" s="747">
        <f>$G202*$H202*(1+$K202)^MAX(ROUNDUP(IFERROR(DATEDIF($I184-1,BV$15+1,"m"),)/12,)-1,)*Index!BR$23*(BV$15&gt;$I202)*(1-BV$12)</f>
        <v>0</v>
      </c>
      <c r="BW202" s="747">
        <f>$G202*$H202*(1+$K202)^MAX(ROUNDUP(IFERROR(DATEDIF($I184-1,BW$15+1,"m"),)/12,)-1,)*Index!BS$23*(BW$15&gt;$I202)*(1-BW$12)</f>
        <v>0</v>
      </c>
      <c r="BX202" s="747">
        <f>$G202*$H202*(1+$K202)^MAX(ROUNDUP(IFERROR(DATEDIF($I184-1,BX$15+1,"m"),)/12,)-1,)*Index!BT$23*(BX$15&gt;$I202)*(1-BX$12)</f>
        <v>0</v>
      </c>
      <c r="BY202" s="747">
        <f>$G202*$H202*(1+$K202)^MAX(ROUNDUP(IFERROR(DATEDIF($I184-1,BY$15+1,"m"),)/12,)-1,)*Index!BU$23*(BY$15&gt;$I202)*(1-BY$12)</f>
        <v>0</v>
      </c>
      <c r="BZ202" s="747">
        <f>$G202*$H202*(1+$K202)^MAX(ROUNDUP(IFERROR(DATEDIF($I184-1,BZ$15+1,"m"),)/12,)-1,)*Index!BV$23*(BZ$15&gt;$I202)*(1-BZ$12)</f>
        <v>0</v>
      </c>
      <c r="CA202" s="747">
        <f>$G202*$H202*(1+$K202)^MAX(ROUNDUP(IFERROR(DATEDIF($I184-1,CA$15+1,"m"),)/12,)-1,)*Index!BW$23*(CA$15&gt;$I202)*(1-CA$12)</f>
        <v>0</v>
      </c>
      <c r="CB202" s="747">
        <f>$G202*$H202*(1+$K202)^MAX(ROUNDUP(IFERROR(DATEDIF($I184-1,CB$15+1,"m"),)/12,)-1,)*Index!BX$23*(CB$15&gt;$I202)*(1-CB$12)</f>
        <v>0</v>
      </c>
      <c r="CC202" s="747">
        <f>$G202*$H202*(1+$K202)^MAX(ROUNDUP(IFERROR(DATEDIF($I184-1,CC$15+1,"m"),)/12,)-1,)*Index!BY$23*(CC$15&gt;$I202)*(1-CC$12)</f>
        <v>0</v>
      </c>
      <c r="CD202" s="747">
        <f>$G202*$H202*(1+$K202)^MAX(ROUNDUP(IFERROR(DATEDIF($I184-1,CD$15+1,"m"),)/12,)-1,)*Index!BZ$23*(CD$15&gt;$I202)*(1-CD$12)</f>
        <v>0</v>
      </c>
      <c r="CE202" s="747">
        <f>$G202*$H202*(1+$K202)^MAX(ROUNDUP(IFERROR(DATEDIF($I184-1,CE$15+1,"m"),)/12,)-1,)*Index!CA$23*(CE$15&gt;$I202)*(1-CE$12)</f>
        <v>0</v>
      </c>
      <c r="CF202" s="747">
        <f>$G202*$H202*(1+$K202)^MAX(ROUNDUP(IFERROR(DATEDIF($I184-1,CF$15+1,"m"),)/12,)-1,)*Index!CB$23*(CF$15&gt;$I202)*(1-CF$12)</f>
        <v>0</v>
      </c>
      <c r="CG202" s="747">
        <f>$G202*$H202*(1+$K202)^MAX(ROUNDUP(IFERROR(DATEDIF($I184-1,CG$15+1,"m"),)/12,)-1,)*Index!CC$23*(CG$15&gt;$I202)*(1-CG$12)</f>
        <v>0</v>
      </c>
      <c r="CH202" s="747">
        <f>$G202*$H202*(1+$K202)^MAX(ROUNDUP(IFERROR(DATEDIF($I184-1,CH$15+1,"m"),)/12,)-1,)*Index!CD$23*(CH$15&gt;$I202)*(1-CH$12)</f>
        <v>0</v>
      </c>
      <c r="CI202" s="747">
        <f>$G202*$H202*(1+$K202)^MAX(ROUNDUP(IFERROR(DATEDIF($I184-1,CI$15+1,"m"),)/12,)-1,)*Index!CE$23*(CI$15&gt;$I202)*(1-CI$12)</f>
        <v>0</v>
      </c>
      <c r="CJ202" s="747">
        <f>$G202*$H202*(1+$K202)^MAX(ROUNDUP(IFERROR(DATEDIF($I184-1,CJ$15+1,"m"),)/12,)-1,)*Index!CF$23*(CJ$15&gt;$I202)*(1-CJ$12)</f>
        <v>0</v>
      </c>
      <c r="CK202" s="747">
        <f>$G202*$H202*(1+$K202)^MAX(ROUNDUP(IFERROR(DATEDIF($I184-1,CK$15+1,"m"),)/12,)-1,)*Index!CG$23*(CK$15&gt;$I202)*(1-CK$12)</f>
        <v>0</v>
      </c>
      <c r="CL202" s="747">
        <f>$G202*$H202*(1+$K202)^MAX(ROUNDUP(IFERROR(DATEDIF($I184-1,CL$15+1,"m"),)/12,)-1,)*Index!CH$23*(CL$15&gt;$I202)*(1-CL$12)</f>
        <v>0</v>
      </c>
      <c r="CM202" s="747">
        <f>$G202*$H202*(1+$K202)^MAX(ROUNDUP(IFERROR(DATEDIF($I184-1,CM$15+1,"m"),)/12,)-1,)*Index!CI$23*(CM$15&gt;$I202)*(1-CM$12)</f>
        <v>0</v>
      </c>
      <c r="CN202" s="747">
        <f>$G202*$H202*(1+$K202)^MAX(ROUNDUP(IFERROR(DATEDIF($I184-1,CN$15+1,"m"),)/12,)-1,)*Index!CJ$23*(CN$15&gt;$I202)*(1-CN$12)</f>
        <v>0</v>
      </c>
      <c r="CO202" s="747">
        <f>$G202*$H202*(1+$K202)^MAX(ROUNDUP(IFERROR(DATEDIF($I184-1,CO$15+1,"m"),)/12,)-1,)*Index!CK$23*(CO$15&gt;$I202)*(1-CO$12)</f>
        <v>0</v>
      </c>
      <c r="CP202" s="747">
        <f>$G202*$H202*(1+$K202)^MAX(ROUNDUP(IFERROR(DATEDIF($I184-1,CP$15+1,"m"),)/12,)-1,)*Index!CL$23*(CP$15&gt;$I202)*(1-CP$12)</f>
        <v>0</v>
      </c>
      <c r="CQ202" s="747">
        <f>$G202*$H202*(1+$K202)^MAX(ROUNDUP(IFERROR(DATEDIF($I184-1,CQ$15+1,"m"),)/12,)-1,)*Index!CM$23*(CQ$15&gt;$I202)*(1-CQ$12)</f>
        <v>0</v>
      </c>
      <c r="CR202" s="747">
        <f>$G202*$H202*(1+$K202)^MAX(ROUNDUP(IFERROR(DATEDIF($I184-1,CR$15+1,"m"),)/12,)-1,)*Index!CN$23*(CR$15&gt;$I202)*(1-CR$12)</f>
        <v>0</v>
      </c>
      <c r="CS202" s="747">
        <f>$G202*$H202*(1+$K202)^MAX(ROUNDUP(IFERROR(DATEDIF($I184-1,CS$15+1,"m"),)/12,)-1,)*Index!CO$23*(CS$15&gt;$I202)*(1-CS$12)</f>
        <v>0</v>
      </c>
      <c r="CT202" s="747">
        <f>$G202*$H202*(1+$K202)^MAX(ROUNDUP(IFERROR(DATEDIF($I184-1,CT$15+1,"m"),)/12,)-1,)*Index!CP$23*(CT$15&gt;$I202)*(1-CT$12)</f>
        <v>0</v>
      </c>
      <c r="CU202" s="747">
        <f>$G202*$H202*(1+$K202)^MAX(ROUNDUP(IFERROR(DATEDIF($I184-1,CU$15+1,"m"),)/12,)-1,)*Index!CQ$23*(CU$15&gt;$I202)*(1-CU$12)</f>
        <v>0</v>
      </c>
      <c r="CV202" s="747">
        <f>$G202*$H202*(1+$K202)^MAX(ROUNDUP(IFERROR(DATEDIF($I184-1,CV$15+1,"m"),)/12,)-1,)*Index!CR$23*(CV$15&gt;$I202)*(1-CV$12)</f>
        <v>0</v>
      </c>
      <c r="CW202" s="747">
        <f>$G202*$H202*(1+$K202)^MAX(ROUNDUP(IFERROR(DATEDIF($I184-1,CW$15+1,"m"),)/12,)-1,)*Index!CS$23*(CW$15&gt;$I202)*(1-CW$12)</f>
        <v>0</v>
      </c>
      <c r="CX202" s="747">
        <f>$G202*$H202*(1+$K202)^MAX(ROUNDUP(IFERROR(DATEDIF($I184-1,CX$15+1,"m"),)/12,)-1,)*Index!CT$23*(CX$15&gt;$I202)*(1-CX$12)</f>
        <v>0</v>
      </c>
      <c r="CY202" s="747">
        <f>$G202*$H202*(1+$K202)^MAX(ROUNDUP(IFERROR(DATEDIF($I184-1,CY$15+1,"m"),)/12,)-1,)*Index!CU$23*(CY$15&gt;$I202)*(1-CY$12)</f>
        <v>0</v>
      </c>
      <c r="CZ202" s="747">
        <f>$G202*$H202*(1+$K202)^MAX(ROUNDUP(IFERROR(DATEDIF($I184-1,CZ$15+1,"m"),)/12,)-1,)*Index!CV$23*(CZ$15&gt;$I202)*(1-CZ$12)</f>
        <v>0</v>
      </c>
      <c r="DA202" s="747">
        <f>$G202*$H202*(1+$K202)^MAX(ROUNDUP(IFERROR(DATEDIF($I184-1,DA$15+1,"m"),)/12,)-1,)*Index!CW$23*(DA$15&gt;$I202)*(1-DA$12)</f>
        <v>0</v>
      </c>
      <c r="DB202" s="747">
        <f>$G202*$H202*(1+$K202)^MAX(ROUNDUP(IFERROR(DATEDIF($I184-1,DB$15+1,"m"),)/12,)-1,)*Index!CX$23*(DB$15&gt;$I202)*(1-DB$12)</f>
        <v>0</v>
      </c>
      <c r="DC202" s="747">
        <f>$G202*$H202*(1+$K202)^MAX(ROUNDUP(IFERROR(DATEDIF($I184-1,DC$15+1,"m"),)/12,)-1,)*Index!CY$23*(DC$15&gt;$I202)*(1-DC$12)</f>
        <v>0</v>
      </c>
      <c r="DD202" s="747">
        <f>$G202*$H202*(1+$K202)^MAX(ROUNDUP(IFERROR(DATEDIF($I184-1,DD$15+1,"m"),)/12,)-1,)*Index!CZ$23*(DD$15&gt;$I202)*(1-DD$12)</f>
        <v>0</v>
      </c>
      <c r="DE202" s="747">
        <f>$G202*$H202*(1+$K202)^MAX(ROUNDUP(IFERROR(DATEDIF($I184-1,DE$15+1,"m"),)/12,)-1,)*Index!DA$23*(DE$15&gt;$I202)*(1-DE$12)</f>
        <v>0</v>
      </c>
      <c r="DF202" s="747">
        <f>$G202*$H202*(1+$K202)^MAX(ROUNDUP(IFERROR(DATEDIF($I184-1,DF$15+1,"m"),)/12,)-1,)*Index!DB$23*(DF$15&gt;$I202)*(1-DF$12)</f>
        <v>0</v>
      </c>
      <c r="DG202" s="747">
        <f>$G202*$H202*(1+$K202)^MAX(ROUNDUP(IFERROR(DATEDIF($I184-1,DG$15+1,"m"),)/12,)-1,)*Index!DC$23*(DG$15&gt;$I202)*(1-DG$12)</f>
        <v>0</v>
      </c>
      <c r="DH202" s="747">
        <f>$G202*$H202*(1+$K202)^MAX(ROUNDUP(IFERROR(DATEDIF($I184-1,DH$15+1,"m"),)/12,)-1,)*Index!DD$23*(DH$15&gt;$I202)*(1-DH$12)</f>
        <v>0</v>
      </c>
      <c r="DI202" s="747">
        <f>$G202*$H202*(1+$K202)^MAX(ROUNDUP(IFERROR(DATEDIF($I184-1,DI$15+1,"m"),)/12,)-1,)*Index!DE$23*(DI$15&gt;$I202)*(1-DI$12)</f>
        <v>0</v>
      </c>
      <c r="DJ202" s="747">
        <f>$G202*$H202*(1+$K202)^MAX(ROUNDUP(IFERROR(DATEDIF($I184-1,DJ$15+1,"m"),)/12,)-1,)*Index!DF$23*(DJ$15&gt;$I202)*(1-DJ$12)</f>
        <v>0</v>
      </c>
      <c r="DK202" s="747">
        <f>$G202*$H202*(1+$K202)^MAX(ROUNDUP(IFERROR(DATEDIF($I184-1,DK$15+1,"m"),)/12,)-1,)*Index!DG$23*(DK$15&gt;$I202)*(1-DK$12)</f>
        <v>0</v>
      </c>
      <c r="DL202" s="747">
        <f>$G202*$H202*(1+$K202)^MAX(ROUNDUP(IFERROR(DATEDIF($I184-1,DL$15+1,"m"),)/12,)-1,)*Index!DH$23*(DL$15&gt;$I202)*(1-DL$12)</f>
        <v>0</v>
      </c>
      <c r="DM202" s="747">
        <f>$G202*$H202*(1+$K202)^MAX(ROUNDUP(IFERROR(DATEDIF($I184-1,DM$15+1,"m"),)/12,)-1,)*Index!DI$23*(DM$15&gt;$I202)*(1-DM$12)</f>
        <v>0</v>
      </c>
      <c r="DN202" s="747">
        <f>$G202*$H202*(1+$K202)^MAX(ROUNDUP(IFERROR(DATEDIF($I184-1,DN$15+1,"m"),)/12,)-1,)*Index!DJ$23*(DN$15&gt;$I202)*(1-DN$12)</f>
        <v>0</v>
      </c>
      <c r="DO202" s="747">
        <f>$G202*$H202*(1+$K202)^MAX(ROUNDUP(IFERROR(DATEDIF($I184-1,DO$15+1,"m"),)/12,)-1,)*Index!DK$23*(DO$15&gt;$I202)*(1-DO$12)</f>
        <v>0</v>
      </c>
      <c r="DP202" s="747">
        <f>$G202*$H202*(1+$K202)^MAX(ROUNDUP(IFERROR(DATEDIF($I184-1,DP$15+1,"m"),)/12,)-1,)*Index!DL$23*(DP$15&gt;$I202)*(1-DP$12)</f>
        <v>0</v>
      </c>
      <c r="DQ202" s="747">
        <f>$G202*$H202*(1+$K202)^MAX(ROUNDUP(IFERROR(DATEDIF($I184-1,DQ$15+1,"m"),)/12,)-1,)*Index!DM$23*(DQ$15&gt;$I202)*(1-DQ$12)</f>
        <v>0</v>
      </c>
      <c r="DR202" s="747">
        <f>$G202*$H202*(1+$K202)^MAX(ROUNDUP(IFERROR(DATEDIF($I184-1,DR$15+1,"m"),)/12,)-1,)*Index!DN$23*(DR$15&gt;$I202)*(1-DR$12)</f>
        <v>0</v>
      </c>
      <c r="DS202" s="747">
        <f>$G202*$H202*(1+$K202)^MAX(ROUNDUP(IFERROR(DATEDIF($I184-1,DS$15+1,"m"),)/12,)-1,)*Index!DO$23*(DS$15&gt;$I202)*(1-DS$12)</f>
        <v>0</v>
      </c>
      <c r="DT202" s="747">
        <f>$G202*$H202*(1+$K202)^MAX(ROUNDUP(IFERROR(DATEDIF($I184-1,DT$15+1,"m"),)/12,)-1,)*Index!DP$23*(DT$15&gt;$I202)*(1-DT$12)</f>
        <v>0</v>
      </c>
      <c r="DU202" s="747">
        <f>$G202*$H202*(1+$K202)^MAX(ROUNDUP(IFERROR(DATEDIF($I184-1,DU$15+1,"m"),)/12,)-1,)*Index!DQ$23*(DU$15&gt;$I202)*(1-DU$12)</f>
        <v>0</v>
      </c>
      <c r="DV202" s="747">
        <f>$G202*$H202*(1+$K202)^MAX(ROUNDUP(IFERROR(DATEDIF($I184-1,DV$15+1,"m"),)/12,)-1,)*Index!DR$23*(DV$15&gt;$I202)*(1-DV$12)</f>
        <v>0</v>
      </c>
      <c r="DW202" s="747">
        <f>$G202*$H202*(1+$K202)^MAX(ROUNDUP(IFERROR(DATEDIF($I184-1,DW$15+1,"m"),)/12,)-1,)*Index!DS$23*(DW$15&gt;$I202)*(1-DW$12)</f>
        <v>0</v>
      </c>
      <c r="DX202" s="747">
        <f>$G202*$H202*(1+$K202)^MAX(ROUNDUP(IFERROR(DATEDIF($I184-1,DX$15+1,"m"),)/12,)-1,)*Index!DT$23*(DX$15&gt;$I202)*(1-DX$12)</f>
        <v>0</v>
      </c>
      <c r="DY202" s="747">
        <f>$G202*$H202*(1+$K202)^MAX(ROUNDUP(IFERROR(DATEDIF($I184-1,DY$15+1,"m"),)/12,)-1,)*Index!DU$23*(DY$15&gt;$I202)*(1-DY$12)</f>
        <v>0</v>
      </c>
      <c r="DZ202" s="747">
        <f>$G202*$H202*(1+$K202)^MAX(ROUNDUP(IFERROR(DATEDIF($I184-1,DZ$15+1,"m"),)/12,)-1,)*Index!DV$23*(DZ$15&gt;$I202)*(1-DZ$12)</f>
        <v>0</v>
      </c>
      <c r="EA202" s="747">
        <f>$G202*$H202*(1+$K202)^MAX(ROUNDUP(IFERROR(DATEDIF($I184-1,EA$15+1,"m"),)/12,)-1,)*Index!DW$23*(EA$15&gt;$I202)*(1-EA$12)</f>
        <v>0</v>
      </c>
      <c r="EB202" s="747">
        <f>$G202*$H202*(1+$K202)^MAX(ROUNDUP(IFERROR(DATEDIF($I184-1,EB$15+1,"m"),)/12,)-1,)*Index!DX$23*(EB$15&gt;$I202)*(1-EB$12)</f>
        <v>0</v>
      </c>
      <c r="EC202" s="747">
        <f>$G202*$H202*(1+$K202)^MAX(ROUNDUP(IFERROR(DATEDIF($I184-1,EC$15+1,"m"),)/12,)-1,)*Index!DY$23*(EC$15&gt;$I202)*(1-EC$12)</f>
        <v>0</v>
      </c>
      <c r="ED202" s="747">
        <f>$G202*$H202*(1+$K202)^MAX(ROUNDUP(IFERROR(DATEDIF($I184-1,ED$15+1,"m"),)/12,)-1,)*Index!DZ$23*(ED$15&gt;$I202)*(1-ED$12)</f>
        <v>0</v>
      </c>
      <c r="EE202" s="747">
        <f>$G202*$H202*(1+$K202)^MAX(ROUNDUP(IFERROR(DATEDIF($I184-1,EE$15+1,"m"),)/12,)-1,)*Index!EA$23*(EE$15&gt;$I202)*(1-EE$12)</f>
        <v>0</v>
      </c>
      <c r="EF202" s="747">
        <f>$G202*$H202*(1+$K202)^MAX(ROUNDUP(IFERROR(DATEDIF($I184-1,EF$15+1,"m"),)/12,)-1,)*Index!EB$23*(EF$15&gt;$I202)*(1-EF$12)</f>
        <v>0</v>
      </c>
      <c r="EG202" s="747">
        <f>$G202*$H202*(1+$K202)^MAX(ROUNDUP(IFERROR(DATEDIF($I184-1,EG$15+1,"m"),)/12,)-1,)*Index!EC$23*(EG$15&gt;$I202)*(1-EG$12)</f>
        <v>6234.6665312718451</v>
      </c>
      <c r="EH202" s="747">
        <f>$G202*$H202*(1+$K202)^MAX(ROUNDUP(IFERROR(DATEDIF($I184-1,EH$15+1,"m"),)/12,)-1,)*Index!ED$23*(EH$15&gt;$I202)*(1-EH$12)</f>
        <v>6234.6665312718451</v>
      </c>
      <c r="EI202" s="747">
        <f>$G202*$H202*(1+$K202)^MAX(ROUNDUP(IFERROR(DATEDIF($I184-1,EI$15+1,"m"),)/12,)-1,)*Index!EE$23*(EI$15&gt;$I202)*(1-EI$12)</f>
        <v>6234.6665312718451</v>
      </c>
      <c r="EJ202" s="747">
        <f>$G202*$H202*(1+$K202)^MAX(ROUNDUP(IFERROR(DATEDIF($I184-1,EJ$15+1,"m"),)/12,)-1,)*Index!EF$23*(EJ$15&gt;$I202)*(1-EJ$12)</f>
        <v>6390.5331945536409</v>
      </c>
      <c r="EK202" s="747">
        <f>$G202*$H202*(1+$K202)^MAX(ROUNDUP(IFERROR(DATEDIF($I184-1,EK$15+1,"m"),)/12,)-1,)*Index!EG$23*(EK$15&gt;$I202)*(1-EK$12)</f>
        <v>6390.5331945536409</v>
      </c>
      <c r="EL202" s="747">
        <f>$G202*$H202*(1+$K202)^MAX(ROUNDUP(IFERROR(DATEDIF($I184-1,EL$15+1,"m"),)/12,)-1,)*Index!EH$23*(EL$15&gt;$I202)*(1-EL$12)</f>
        <v>6390.5331945536409</v>
      </c>
      <c r="EM202" s="747">
        <f>$G202*$H202*(1+$K202)^MAX(ROUNDUP(IFERROR(DATEDIF($I184-1,EM$15+1,"m"),)/12,)-1,)*Index!EI$23*(EM$15&gt;$I202)*(1-EM$12)</f>
        <v>6390.5331945536409</v>
      </c>
      <c r="EN202" s="747">
        <f>$G202*$H202*(1+$K202)^MAX(ROUNDUP(IFERROR(DATEDIF($I184-1,EN$15+1,"m"),)/12,)-1,)*Index!EJ$23*(EN$15&gt;$I202)*(1-EN$12)</f>
        <v>6390.5331945536409</v>
      </c>
      <c r="EO202" s="747">
        <f>$G202*$H202*(1+$K202)^MAX(ROUNDUP(IFERROR(DATEDIF($I184-1,EO$15+1,"m"),)/12,)-1,)*Index!EK$23*(EO$15&gt;$I202)*(1-EO$12)</f>
        <v>6390.5331945536409</v>
      </c>
      <c r="EP202" s="747">
        <f>$G202*$H202*(1+$K202)^MAX(ROUNDUP(IFERROR(DATEDIF($I184-1,EP$15+1,"m"),)/12,)-1,)*Index!EL$23*(EP$15&gt;$I202)*(1-EP$12)</f>
        <v>6390.5331945536409</v>
      </c>
      <c r="EQ202" s="747">
        <f>$G202*$H202*(1+$K202)^MAX(ROUNDUP(IFERROR(DATEDIF($I184-1,EQ$15+1,"m"),)/12,)-1,)*Index!EM$23*(EQ$15&gt;$I202)*(1-EQ$12)</f>
        <v>6390.5331945536409</v>
      </c>
      <c r="ER202" s="747">
        <f>$G202*$H202*(1+$K202)^MAX(ROUNDUP(IFERROR(DATEDIF($I184-1,ER$15+1,"m"),)/12,)-1,)*Index!EN$23*(ER$15&gt;$I202)*(1-ER$12)</f>
        <v>6390.5331945536409</v>
      </c>
      <c r="ES202" s="747">
        <f>$G202*$H202*(1+$K202)^MAX(ROUNDUP(IFERROR(DATEDIF($I184-1,ES$15+1,"m"),)/12,)-1,)*Index!EO$23*(ES$15&gt;$I202)*(1-ES$12)</f>
        <v>0</v>
      </c>
      <c r="ET202" s="747">
        <f>$G202*$H202*(1+$K202)^MAX(ROUNDUP(IFERROR(DATEDIF($I184-1,ET$15+1,"m"),)/12,)-1,)*Index!EP$23*(ET$15&gt;$I202)*(1-ET$12)</f>
        <v>0</v>
      </c>
      <c r="EU202" s="747">
        <f>$G202*$H202*(1+$K202)^MAX(ROUNDUP(IFERROR(DATEDIF($I184-1,EU$15+1,"m"),)/12,)-1,)*Index!EQ$23*(EU$15&gt;$I202)*(1-EU$12)</f>
        <v>0</v>
      </c>
    </row>
    <row r="203" spans="3:151" ht="11.25" customHeight="1">
      <c r="C203" s="828"/>
      <c r="D203" s="743">
        <f t="shared" ref="D203:I203" si="278">D167</f>
        <v>6</v>
      </c>
      <c r="E203" s="704" t="str">
        <f t="shared" si="278"/>
        <v>쿠팡</v>
      </c>
      <c r="F203" s="704" t="str">
        <f t="shared" si="278"/>
        <v>상온창고</v>
      </c>
      <c r="G203" s="781">
        <f t="shared" si="278"/>
        <v>2.9900433370455741</v>
      </c>
      <c r="H203" s="744">
        <f t="shared" si="278"/>
        <v>2187.87</v>
      </c>
      <c r="I203" s="745">
        <f t="shared" si="278"/>
        <v>49064</v>
      </c>
      <c r="J203" s="745"/>
      <c r="K203" s="754">
        <f t="shared" si="272"/>
        <v>2.5000000000000001E-2</v>
      </c>
      <c r="L203" s="746"/>
      <c r="M203" s="722"/>
      <c r="N203" s="747">
        <f t="shared" si="273"/>
        <v>107555.90248747681</v>
      </c>
      <c r="O203" s="733"/>
      <c r="P203" s="747">
        <f>$G203*$H203*(1+$K203)^MAX(ROUNDUP(IFERROR(DATEDIF($I185-1,P$15+1,"m"),)/12,)-1,)*Index!L$23*(P$15&gt;$I203)*(1-P$12)</f>
        <v>0</v>
      </c>
      <c r="Q203" s="747">
        <f>$G203*$H203*(1+$K203)^MAX(ROUNDUP(IFERROR(DATEDIF($I185-1,Q$15+1,"m"),)/12,)-1,)*Index!M$23*(Q$15&gt;$I203)*(1-Q$12)</f>
        <v>0</v>
      </c>
      <c r="R203" s="747">
        <f>$G203*$H203*(1+$K203)^MAX(ROUNDUP(IFERROR(DATEDIF($I185-1,R$15+1,"m"),)/12,)-1,)*Index!N$23*(R$15&gt;$I203)*(1-R$12)</f>
        <v>0</v>
      </c>
      <c r="S203" s="747">
        <f>$G203*$H203*(1+$K203)^MAX(ROUNDUP(IFERROR(DATEDIF($I185-1,S$15+1,"m"),)/12,)-1,)*Index!O$23*(S$15&gt;$I203)*(1-S$12)</f>
        <v>0</v>
      </c>
      <c r="T203" s="747">
        <f>$G203*$H203*(1+$K203)^MAX(ROUNDUP(IFERROR(DATEDIF($I185-1,T$15+1,"m"),)/12,)-1,)*Index!P$23*(T$15&gt;$I203)*(1-T$12)</f>
        <v>0</v>
      </c>
      <c r="U203" s="747">
        <f>$G203*$H203*(1+$K203)^MAX(ROUNDUP(IFERROR(DATEDIF($I185-1,U$15+1,"m"),)/12,)-1,)*Index!Q$23*(U$15&gt;$I203)*(1-U$12)</f>
        <v>0</v>
      </c>
      <c r="V203" s="747">
        <f>$G203*$H203*(1+$K203)^MAX(ROUNDUP(IFERROR(DATEDIF($I185-1,V$15+1,"m"),)/12,)-1,)*Index!R$23*(V$15&gt;$I203)*(1-V$12)</f>
        <v>0</v>
      </c>
      <c r="W203" s="747">
        <f>$G203*$H203*(1+$K203)^MAX(ROUNDUP(IFERROR(DATEDIF($I185-1,W$15+1,"m"),)/12,)-1,)*Index!S$23*(W$15&gt;$I203)*(1-W$12)</f>
        <v>0</v>
      </c>
      <c r="X203" s="747">
        <f>$G203*$H203*(1+$K203)^MAX(ROUNDUP(IFERROR(DATEDIF($I185-1,X$15+1,"m"),)/12,)-1,)*Index!T$23*(X$15&gt;$I203)*(1-X$12)</f>
        <v>0</v>
      </c>
      <c r="Y203" s="747">
        <f>$G203*$H203*(1+$K203)^MAX(ROUNDUP(IFERROR(DATEDIF($I185-1,Y$15+1,"m"),)/12,)-1,)*Index!U$23*(Y$15&gt;$I203)*(1-Y$12)</f>
        <v>0</v>
      </c>
      <c r="Z203" s="747">
        <f>$G203*$H203*(1+$K203)^MAX(ROUNDUP(IFERROR(DATEDIF($I185-1,Z$15+1,"m"),)/12,)-1,)*Index!V$23*(Z$15&gt;$I203)*(1-Z$12)</f>
        <v>0</v>
      </c>
      <c r="AA203" s="747">
        <f>$G203*$H203*(1+$K203)^MAX(ROUNDUP(IFERROR(DATEDIF($I185-1,AA$15+1,"m"),)/12,)-1,)*Index!W$23*(AA$15&gt;$I203)*(1-AA$12)</f>
        <v>0</v>
      </c>
      <c r="AB203" s="747">
        <f>$G203*$H203*(1+$K203)^MAX(ROUNDUP(IFERROR(DATEDIF($I185-1,AB$15+1,"m"),)/12,)-1,)*Index!X$23*(AB$15&gt;$I203)*(1-AB$12)</f>
        <v>0</v>
      </c>
      <c r="AC203" s="747">
        <f>$G203*$H203*(1+$K203)^MAX(ROUNDUP(IFERROR(DATEDIF($I185-1,AC$15+1,"m"),)/12,)-1,)*Index!Y$23*(AC$15&gt;$I203)*(1-AC$12)</f>
        <v>0</v>
      </c>
      <c r="AD203" s="747">
        <f>$G203*$H203*(1+$K203)^MAX(ROUNDUP(IFERROR(DATEDIF($I185-1,AD$15+1,"m"),)/12,)-1,)*Index!Z$23*(AD$15&gt;$I203)*(1-AD$12)</f>
        <v>0</v>
      </c>
      <c r="AE203" s="747">
        <f>$G203*$H203*(1+$K203)^MAX(ROUNDUP(IFERROR(DATEDIF($I185-1,AE$15+1,"m"),)/12,)-1,)*Index!AA$23*(AE$15&gt;$I203)*(1-AE$12)</f>
        <v>0</v>
      </c>
      <c r="AF203" s="747">
        <f>$G203*$H203*(1+$K203)^MAX(ROUNDUP(IFERROR(DATEDIF($I185-1,AF$15+1,"m"),)/12,)-1,)*Index!AB$23*(AF$15&gt;$I203)*(1-AF$12)</f>
        <v>0</v>
      </c>
      <c r="AG203" s="747">
        <f>$G203*$H203*(1+$K203)^MAX(ROUNDUP(IFERROR(DATEDIF($I185-1,AG$15+1,"m"),)/12,)-1,)*Index!AC$23*(AG$15&gt;$I203)*(1-AG$12)</f>
        <v>0</v>
      </c>
      <c r="AH203" s="747">
        <f>$G203*$H203*(1+$K203)^MAX(ROUNDUP(IFERROR(DATEDIF($I185-1,AH$15+1,"m"),)/12,)-1,)*Index!AD$23*(AH$15&gt;$I203)*(1-AH$12)</f>
        <v>0</v>
      </c>
      <c r="AI203" s="747">
        <f>$G203*$H203*(1+$K203)^MAX(ROUNDUP(IFERROR(DATEDIF($I185-1,AI$15+1,"m"),)/12,)-1,)*Index!AE$23*(AI$15&gt;$I203)*(1-AI$12)</f>
        <v>0</v>
      </c>
      <c r="AJ203" s="747">
        <f>$G203*$H203*(1+$K203)^MAX(ROUNDUP(IFERROR(DATEDIF($I185-1,AJ$15+1,"m"),)/12,)-1,)*Index!AF$23*(AJ$15&gt;$I203)*(1-AJ$12)</f>
        <v>0</v>
      </c>
      <c r="AK203" s="747">
        <f>$G203*$H203*(1+$K203)^MAX(ROUNDUP(IFERROR(DATEDIF($I185-1,AK$15+1,"m"),)/12,)-1,)*Index!AG$23*(AK$15&gt;$I203)*(1-AK$12)</f>
        <v>0</v>
      </c>
      <c r="AL203" s="747">
        <f>$G203*$H203*(1+$K203)^MAX(ROUNDUP(IFERROR(DATEDIF($I185-1,AL$15+1,"m"),)/12,)-1,)*Index!AH$23*(AL$15&gt;$I203)*(1-AL$12)</f>
        <v>0</v>
      </c>
      <c r="AM203" s="747">
        <f>$G203*$H203*(1+$K203)^MAX(ROUNDUP(IFERROR(DATEDIF($I185-1,AM$15+1,"m"),)/12,)-1,)*Index!AI$23*(AM$15&gt;$I203)*(1-AM$12)</f>
        <v>0</v>
      </c>
      <c r="AN203" s="747">
        <f>$G203*$H203*(1+$K203)^MAX(ROUNDUP(IFERROR(DATEDIF($I185-1,AN$15+1,"m"),)/12,)-1,)*Index!AJ$23*(AN$15&gt;$I203)*(1-AN$12)</f>
        <v>0</v>
      </c>
      <c r="AO203" s="747">
        <f>$G203*$H203*(1+$K203)^MAX(ROUNDUP(IFERROR(DATEDIF($I185-1,AO$15+1,"m"),)/12,)-1,)*Index!AK$23*(AO$15&gt;$I203)*(1-AO$12)</f>
        <v>0</v>
      </c>
      <c r="AP203" s="747">
        <f>$G203*$H203*(1+$K203)^MAX(ROUNDUP(IFERROR(DATEDIF($I185-1,AP$15+1,"m"),)/12,)-1,)*Index!AL$23*(AP$15&gt;$I203)*(1-AP$12)</f>
        <v>0</v>
      </c>
      <c r="AQ203" s="747">
        <f>$G203*$H203*(1+$K203)^MAX(ROUNDUP(IFERROR(DATEDIF($I185-1,AQ$15+1,"m"),)/12,)-1,)*Index!AM$23*(AQ$15&gt;$I203)*(1-AQ$12)</f>
        <v>0</v>
      </c>
      <c r="AR203" s="747">
        <f>$G203*$H203*(1+$K203)^MAX(ROUNDUP(IFERROR(DATEDIF($I185-1,AR$15+1,"m"),)/12,)-1,)*Index!AN$23*(AR$15&gt;$I203)*(1-AR$12)</f>
        <v>0</v>
      </c>
      <c r="AS203" s="747">
        <f>$G203*$H203*(1+$K203)^MAX(ROUNDUP(IFERROR(DATEDIF($I185-1,AS$15+1,"m"),)/12,)-1,)*Index!AO$23*(AS$15&gt;$I203)*(1-AS$12)</f>
        <v>0</v>
      </c>
      <c r="AT203" s="747">
        <f>$G203*$H203*(1+$K203)^MAX(ROUNDUP(IFERROR(DATEDIF($I185-1,AT$15+1,"m"),)/12,)-1,)*Index!AP$23*(AT$15&gt;$I203)*(1-AT$12)</f>
        <v>0</v>
      </c>
      <c r="AU203" s="747">
        <f>$G203*$H203*(1+$K203)^MAX(ROUNDUP(IFERROR(DATEDIF($I185-1,AU$15+1,"m"),)/12,)-1,)*Index!AQ$23*(AU$15&gt;$I203)*(1-AU$12)</f>
        <v>0</v>
      </c>
      <c r="AV203" s="747">
        <f>$G203*$H203*(1+$K203)^MAX(ROUNDUP(IFERROR(DATEDIF($I185-1,AV$15+1,"m"),)/12,)-1,)*Index!AR$23*(AV$15&gt;$I203)*(1-AV$12)</f>
        <v>0</v>
      </c>
      <c r="AW203" s="747">
        <f>$G203*$H203*(1+$K203)^MAX(ROUNDUP(IFERROR(DATEDIF($I185-1,AW$15+1,"m"),)/12,)-1,)*Index!AS$23*(AW$15&gt;$I203)*(1-AW$12)</f>
        <v>0</v>
      </c>
      <c r="AX203" s="747">
        <f>$G203*$H203*(1+$K203)^MAX(ROUNDUP(IFERROR(DATEDIF($I185-1,AX$15+1,"m"),)/12,)-1,)*Index!AT$23*(AX$15&gt;$I203)*(1-AX$12)</f>
        <v>0</v>
      </c>
      <c r="AY203" s="747">
        <f>$G203*$H203*(1+$K203)^MAX(ROUNDUP(IFERROR(DATEDIF($I185-1,AY$15+1,"m"),)/12,)-1,)*Index!AU$23*(AY$15&gt;$I203)*(1-AY$12)</f>
        <v>0</v>
      </c>
      <c r="AZ203" s="747">
        <f>$G203*$H203*(1+$K203)^MAX(ROUNDUP(IFERROR(DATEDIF($I185-1,AZ$15+1,"m"),)/12,)-1,)*Index!AV$23*(AZ$15&gt;$I203)*(1-AZ$12)</f>
        <v>0</v>
      </c>
      <c r="BA203" s="747">
        <f>$G203*$H203*(1+$K203)^MAX(ROUNDUP(IFERROR(DATEDIF($I185-1,BA$15+1,"m"),)/12,)-1,)*Index!AW$23*(BA$15&gt;$I203)*(1-BA$12)</f>
        <v>0</v>
      </c>
      <c r="BB203" s="747">
        <f>$G203*$H203*(1+$K203)^MAX(ROUNDUP(IFERROR(DATEDIF($I185-1,BB$15+1,"m"),)/12,)-1,)*Index!AX$23*(BB$15&gt;$I203)*(1-BB$12)</f>
        <v>0</v>
      </c>
      <c r="BC203" s="747">
        <f>$G203*$H203*(1+$K203)^MAX(ROUNDUP(IFERROR(DATEDIF($I185-1,BC$15+1,"m"),)/12,)-1,)*Index!AY$23*(BC$15&gt;$I203)*(1-BC$12)</f>
        <v>0</v>
      </c>
      <c r="BD203" s="747">
        <f>$G203*$H203*(1+$K203)^MAX(ROUNDUP(IFERROR(DATEDIF($I185-1,BD$15+1,"m"),)/12,)-1,)*Index!AZ$23*(BD$15&gt;$I203)*(1-BD$12)</f>
        <v>0</v>
      </c>
      <c r="BE203" s="747">
        <f>$G203*$H203*(1+$K203)^MAX(ROUNDUP(IFERROR(DATEDIF($I185-1,BE$15+1,"m"),)/12,)-1,)*Index!BA$23*(BE$15&gt;$I203)*(1-BE$12)</f>
        <v>0</v>
      </c>
      <c r="BF203" s="747">
        <f>$G203*$H203*(1+$K203)^MAX(ROUNDUP(IFERROR(DATEDIF($I185-1,BF$15+1,"m"),)/12,)-1,)*Index!BB$23*(BF$15&gt;$I203)*(1-BF$12)</f>
        <v>0</v>
      </c>
      <c r="BG203" s="747">
        <f>$G203*$H203*(1+$K203)^MAX(ROUNDUP(IFERROR(DATEDIF($I185-1,BG$15+1,"m"),)/12,)-1,)*Index!BC$23*(BG$15&gt;$I203)*(1-BG$12)</f>
        <v>0</v>
      </c>
      <c r="BH203" s="747">
        <f>$G203*$H203*(1+$K203)^MAX(ROUNDUP(IFERROR(DATEDIF($I185-1,BH$15+1,"m"),)/12,)-1,)*Index!BD$23*(BH$15&gt;$I203)*(1-BH$12)</f>
        <v>0</v>
      </c>
      <c r="BI203" s="747">
        <f>$G203*$H203*(1+$K203)^MAX(ROUNDUP(IFERROR(DATEDIF($I185-1,BI$15+1,"m"),)/12,)-1,)*Index!BE$23*(BI$15&gt;$I203)*(1-BI$12)</f>
        <v>0</v>
      </c>
      <c r="BJ203" s="747">
        <f>$G203*$H203*(1+$K203)^MAX(ROUNDUP(IFERROR(DATEDIF($I185-1,BJ$15+1,"m"),)/12,)-1,)*Index!BF$23*(BJ$15&gt;$I203)*(1-BJ$12)</f>
        <v>0</v>
      </c>
      <c r="BK203" s="747">
        <f>$G203*$H203*(1+$K203)^MAX(ROUNDUP(IFERROR(DATEDIF($I185-1,BK$15+1,"m"),)/12,)-1,)*Index!BG$23*(BK$15&gt;$I203)*(1-BK$12)</f>
        <v>0</v>
      </c>
      <c r="BL203" s="747">
        <f>$G203*$H203*(1+$K203)^MAX(ROUNDUP(IFERROR(DATEDIF($I185-1,BL$15+1,"m"),)/12,)-1,)*Index!BH$23*(BL$15&gt;$I203)*(1-BL$12)</f>
        <v>0</v>
      </c>
      <c r="BM203" s="747">
        <f>$G203*$H203*(1+$K203)^MAX(ROUNDUP(IFERROR(DATEDIF($I185-1,BM$15+1,"m"),)/12,)-1,)*Index!BI$23*(BM$15&gt;$I203)*(1-BM$12)</f>
        <v>0</v>
      </c>
      <c r="BN203" s="747">
        <f>$G203*$H203*(1+$K203)^MAX(ROUNDUP(IFERROR(DATEDIF($I185-1,BN$15+1,"m"),)/12,)-1,)*Index!BJ$23*(BN$15&gt;$I203)*(1-BN$12)</f>
        <v>0</v>
      </c>
      <c r="BO203" s="747">
        <f>$G203*$H203*(1+$K203)^MAX(ROUNDUP(IFERROR(DATEDIF($I185-1,BO$15+1,"m"),)/12,)-1,)*Index!BK$23*(BO$15&gt;$I203)*(1-BO$12)</f>
        <v>0</v>
      </c>
      <c r="BP203" s="747">
        <f>$G203*$H203*(1+$K203)^MAX(ROUNDUP(IFERROR(DATEDIF($I185-1,BP$15+1,"m"),)/12,)-1,)*Index!BL$23*(BP$15&gt;$I203)*(1-BP$12)</f>
        <v>0</v>
      </c>
      <c r="BQ203" s="747">
        <f>$G203*$H203*(1+$K203)^MAX(ROUNDUP(IFERROR(DATEDIF($I185-1,BQ$15+1,"m"),)/12,)-1,)*Index!BM$23*(BQ$15&gt;$I203)*(1-BQ$12)</f>
        <v>0</v>
      </c>
      <c r="BR203" s="747">
        <f>$G203*$H203*(1+$K203)^MAX(ROUNDUP(IFERROR(DATEDIF($I185-1,BR$15+1,"m"),)/12,)-1,)*Index!BN$23*(BR$15&gt;$I203)*(1-BR$12)</f>
        <v>0</v>
      </c>
      <c r="BS203" s="747">
        <f>$G203*$H203*(1+$K203)^MAX(ROUNDUP(IFERROR(DATEDIF($I185-1,BS$15+1,"m"),)/12,)-1,)*Index!BO$23*(BS$15&gt;$I203)*(1-BS$12)</f>
        <v>0</v>
      </c>
      <c r="BT203" s="747">
        <f>$G203*$H203*(1+$K203)^MAX(ROUNDUP(IFERROR(DATEDIF($I185-1,BT$15+1,"m"),)/12,)-1,)*Index!BP$23*(BT$15&gt;$I203)*(1-BT$12)</f>
        <v>0</v>
      </c>
      <c r="BU203" s="747">
        <f>$G203*$H203*(1+$K203)^MAX(ROUNDUP(IFERROR(DATEDIF($I185-1,BU$15+1,"m"),)/12,)-1,)*Index!BQ$23*(BU$15&gt;$I203)*(1-BU$12)</f>
        <v>0</v>
      </c>
      <c r="BV203" s="747">
        <f>$G203*$H203*(1+$K203)^MAX(ROUNDUP(IFERROR(DATEDIF($I185-1,BV$15+1,"m"),)/12,)-1,)*Index!BR$23*(BV$15&gt;$I203)*(1-BV$12)</f>
        <v>0</v>
      </c>
      <c r="BW203" s="747">
        <f>$G203*$H203*(1+$K203)^MAX(ROUNDUP(IFERROR(DATEDIF($I185-1,BW$15+1,"m"),)/12,)-1,)*Index!BS$23*(BW$15&gt;$I203)*(1-BW$12)</f>
        <v>0</v>
      </c>
      <c r="BX203" s="747">
        <f>$G203*$H203*(1+$K203)^MAX(ROUNDUP(IFERROR(DATEDIF($I185-1,BX$15+1,"m"),)/12,)-1,)*Index!BT$23*(BX$15&gt;$I203)*(1-BX$12)</f>
        <v>0</v>
      </c>
      <c r="BY203" s="747">
        <f>$G203*$H203*(1+$K203)^MAX(ROUNDUP(IFERROR(DATEDIF($I185-1,BY$15+1,"m"),)/12,)-1,)*Index!BU$23*(BY$15&gt;$I203)*(1-BY$12)</f>
        <v>0</v>
      </c>
      <c r="BZ203" s="747">
        <f>$G203*$H203*(1+$K203)^MAX(ROUNDUP(IFERROR(DATEDIF($I185-1,BZ$15+1,"m"),)/12,)-1,)*Index!BV$23*(BZ$15&gt;$I203)*(1-BZ$12)</f>
        <v>0</v>
      </c>
      <c r="CA203" s="747">
        <f>$G203*$H203*(1+$K203)^MAX(ROUNDUP(IFERROR(DATEDIF($I185-1,CA$15+1,"m"),)/12,)-1,)*Index!BW$23*(CA$15&gt;$I203)*(1-CA$12)</f>
        <v>0</v>
      </c>
      <c r="CB203" s="747">
        <f>$G203*$H203*(1+$K203)^MAX(ROUNDUP(IFERROR(DATEDIF($I185-1,CB$15+1,"m"),)/12,)-1,)*Index!BX$23*(CB$15&gt;$I203)*(1-CB$12)</f>
        <v>0</v>
      </c>
      <c r="CC203" s="747">
        <f>$G203*$H203*(1+$K203)^MAX(ROUNDUP(IFERROR(DATEDIF($I185-1,CC$15+1,"m"),)/12,)-1,)*Index!BY$23*(CC$15&gt;$I203)*(1-CC$12)</f>
        <v>0</v>
      </c>
      <c r="CD203" s="747">
        <f>$G203*$H203*(1+$K203)^MAX(ROUNDUP(IFERROR(DATEDIF($I185-1,CD$15+1,"m"),)/12,)-1,)*Index!BZ$23*(CD$15&gt;$I203)*(1-CD$12)</f>
        <v>0</v>
      </c>
      <c r="CE203" s="747">
        <f>$G203*$H203*(1+$K203)^MAX(ROUNDUP(IFERROR(DATEDIF($I185-1,CE$15+1,"m"),)/12,)-1,)*Index!CA$23*(CE$15&gt;$I203)*(1-CE$12)</f>
        <v>0</v>
      </c>
      <c r="CF203" s="747">
        <f>$G203*$H203*(1+$K203)^MAX(ROUNDUP(IFERROR(DATEDIF($I185-1,CF$15+1,"m"),)/12,)-1,)*Index!CB$23*(CF$15&gt;$I203)*(1-CF$12)</f>
        <v>0</v>
      </c>
      <c r="CG203" s="747">
        <f>$G203*$H203*(1+$K203)^MAX(ROUNDUP(IFERROR(DATEDIF($I185-1,CG$15+1,"m"),)/12,)-1,)*Index!CC$23*(CG$15&gt;$I203)*(1-CG$12)</f>
        <v>0</v>
      </c>
      <c r="CH203" s="747">
        <f>$G203*$H203*(1+$K203)^MAX(ROUNDUP(IFERROR(DATEDIF($I185-1,CH$15+1,"m"),)/12,)-1,)*Index!CD$23*(CH$15&gt;$I203)*(1-CH$12)</f>
        <v>0</v>
      </c>
      <c r="CI203" s="747">
        <f>$G203*$H203*(1+$K203)^MAX(ROUNDUP(IFERROR(DATEDIF($I185-1,CI$15+1,"m"),)/12,)-1,)*Index!CE$23*(CI$15&gt;$I203)*(1-CI$12)</f>
        <v>0</v>
      </c>
      <c r="CJ203" s="747">
        <f>$G203*$H203*(1+$K203)^MAX(ROUNDUP(IFERROR(DATEDIF($I185-1,CJ$15+1,"m"),)/12,)-1,)*Index!CF$23*(CJ$15&gt;$I203)*(1-CJ$12)</f>
        <v>0</v>
      </c>
      <c r="CK203" s="747">
        <f>$G203*$H203*(1+$K203)^MAX(ROUNDUP(IFERROR(DATEDIF($I185-1,CK$15+1,"m"),)/12,)-1,)*Index!CG$23*(CK$15&gt;$I203)*(1-CK$12)</f>
        <v>0</v>
      </c>
      <c r="CL203" s="747">
        <f>$G203*$H203*(1+$K203)^MAX(ROUNDUP(IFERROR(DATEDIF($I185-1,CL$15+1,"m"),)/12,)-1,)*Index!CH$23*(CL$15&gt;$I203)*(1-CL$12)</f>
        <v>0</v>
      </c>
      <c r="CM203" s="747">
        <f>$G203*$H203*(1+$K203)^MAX(ROUNDUP(IFERROR(DATEDIF($I185-1,CM$15+1,"m"),)/12,)-1,)*Index!CI$23*(CM$15&gt;$I203)*(1-CM$12)</f>
        <v>0</v>
      </c>
      <c r="CN203" s="747">
        <f>$G203*$H203*(1+$K203)^MAX(ROUNDUP(IFERROR(DATEDIF($I185-1,CN$15+1,"m"),)/12,)-1,)*Index!CJ$23*(CN$15&gt;$I203)*(1-CN$12)</f>
        <v>0</v>
      </c>
      <c r="CO203" s="747">
        <f>$G203*$H203*(1+$K203)^MAX(ROUNDUP(IFERROR(DATEDIF($I185-1,CO$15+1,"m"),)/12,)-1,)*Index!CK$23*(CO$15&gt;$I203)*(1-CO$12)</f>
        <v>0</v>
      </c>
      <c r="CP203" s="747">
        <f>$G203*$H203*(1+$K203)^MAX(ROUNDUP(IFERROR(DATEDIF($I185-1,CP$15+1,"m"),)/12,)-1,)*Index!CL$23*(CP$15&gt;$I203)*(1-CP$12)</f>
        <v>0</v>
      </c>
      <c r="CQ203" s="747">
        <f>$G203*$H203*(1+$K203)^MAX(ROUNDUP(IFERROR(DATEDIF($I185-1,CQ$15+1,"m"),)/12,)-1,)*Index!CM$23*(CQ$15&gt;$I203)*(1-CQ$12)</f>
        <v>0</v>
      </c>
      <c r="CR203" s="747">
        <f>$G203*$H203*(1+$K203)^MAX(ROUNDUP(IFERROR(DATEDIF($I185-1,CR$15+1,"m"),)/12,)-1,)*Index!CN$23*(CR$15&gt;$I203)*(1-CR$12)</f>
        <v>0</v>
      </c>
      <c r="CS203" s="747">
        <f>$G203*$H203*(1+$K203)^MAX(ROUNDUP(IFERROR(DATEDIF($I185-1,CS$15+1,"m"),)/12,)-1,)*Index!CO$23*(CS$15&gt;$I203)*(1-CS$12)</f>
        <v>0</v>
      </c>
      <c r="CT203" s="747">
        <f>$G203*$H203*(1+$K203)^MAX(ROUNDUP(IFERROR(DATEDIF($I185-1,CT$15+1,"m"),)/12,)-1,)*Index!CP$23*(CT$15&gt;$I203)*(1-CT$12)</f>
        <v>0</v>
      </c>
      <c r="CU203" s="747">
        <f>$G203*$H203*(1+$K203)^MAX(ROUNDUP(IFERROR(DATEDIF($I185-1,CU$15+1,"m"),)/12,)-1,)*Index!CQ$23*(CU$15&gt;$I203)*(1-CU$12)</f>
        <v>0</v>
      </c>
      <c r="CV203" s="747">
        <f>$G203*$H203*(1+$K203)^MAX(ROUNDUP(IFERROR(DATEDIF($I185-1,CV$15+1,"m"),)/12,)-1,)*Index!CR$23*(CV$15&gt;$I203)*(1-CV$12)</f>
        <v>0</v>
      </c>
      <c r="CW203" s="747">
        <f>$G203*$H203*(1+$K203)^MAX(ROUNDUP(IFERROR(DATEDIF($I185-1,CW$15+1,"m"),)/12,)-1,)*Index!CS$23*(CW$15&gt;$I203)*(1-CW$12)</f>
        <v>0</v>
      </c>
      <c r="CX203" s="747">
        <f>$G203*$H203*(1+$K203)^MAX(ROUNDUP(IFERROR(DATEDIF($I185-1,CX$15+1,"m"),)/12,)-1,)*Index!CT$23*(CX$15&gt;$I203)*(1-CX$12)</f>
        <v>0</v>
      </c>
      <c r="CY203" s="747">
        <f>$G203*$H203*(1+$K203)^MAX(ROUNDUP(IFERROR(DATEDIF($I185-1,CY$15+1,"m"),)/12,)-1,)*Index!CU$23*(CY$15&gt;$I203)*(1-CY$12)</f>
        <v>0</v>
      </c>
      <c r="CZ203" s="747">
        <f>$G203*$H203*(1+$K203)^MAX(ROUNDUP(IFERROR(DATEDIF($I185-1,CZ$15+1,"m"),)/12,)-1,)*Index!CV$23*(CZ$15&gt;$I203)*(1-CZ$12)</f>
        <v>0</v>
      </c>
      <c r="DA203" s="747">
        <f>$G203*$H203*(1+$K203)^MAX(ROUNDUP(IFERROR(DATEDIF($I185-1,DA$15+1,"m"),)/12,)-1,)*Index!CW$23*(DA$15&gt;$I203)*(1-DA$12)</f>
        <v>0</v>
      </c>
      <c r="DB203" s="747">
        <f>$G203*$H203*(1+$K203)^MAX(ROUNDUP(IFERROR(DATEDIF($I185-1,DB$15+1,"m"),)/12,)-1,)*Index!CX$23*(DB$15&gt;$I203)*(1-DB$12)</f>
        <v>0</v>
      </c>
      <c r="DC203" s="747">
        <f>$G203*$H203*(1+$K203)^MAX(ROUNDUP(IFERROR(DATEDIF($I185-1,DC$15+1,"m"),)/12,)-1,)*Index!CY$23*(DC$15&gt;$I203)*(1-DC$12)</f>
        <v>0</v>
      </c>
      <c r="DD203" s="747">
        <f>$G203*$H203*(1+$K203)^MAX(ROUNDUP(IFERROR(DATEDIF($I185-1,DD$15+1,"m"),)/12,)-1,)*Index!CZ$23*(DD$15&gt;$I203)*(1-DD$12)</f>
        <v>0</v>
      </c>
      <c r="DE203" s="747">
        <f>$G203*$H203*(1+$K203)^MAX(ROUNDUP(IFERROR(DATEDIF($I185-1,DE$15+1,"m"),)/12,)-1,)*Index!DA$23*(DE$15&gt;$I203)*(1-DE$12)</f>
        <v>0</v>
      </c>
      <c r="DF203" s="747">
        <f>$G203*$H203*(1+$K203)^MAX(ROUNDUP(IFERROR(DATEDIF($I185-1,DF$15+1,"m"),)/12,)-1,)*Index!DB$23*(DF$15&gt;$I203)*(1-DF$12)</f>
        <v>0</v>
      </c>
      <c r="DG203" s="747">
        <f>$G203*$H203*(1+$K203)^MAX(ROUNDUP(IFERROR(DATEDIF($I185-1,DG$15+1,"m"),)/12,)-1,)*Index!DC$23*(DG$15&gt;$I203)*(1-DG$12)</f>
        <v>0</v>
      </c>
      <c r="DH203" s="747">
        <f>$G203*$H203*(1+$K203)^MAX(ROUNDUP(IFERROR(DATEDIF($I185-1,DH$15+1,"m"),)/12,)-1,)*Index!DD$23*(DH$15&gt;$I203)*(1-DH$12)</f>
        <v>0</v>
      </c>
      <c r="DI203" s="747">
        <f>$G203*$H203*(1+$K203)^MAX(ROUNDUP(IFERROR(DATEDIF($I185-1,DI$15+1,"m"),)/12,)-1,)*Index!DE$23*(DI$15&gt;$I203)*(1-DI$12)</f>
        <v>0</v>
      </c>
      <c r="DJ203" s="747">
        <f>$G203*$H203*(1+$K203)^MAX(ROUNDUP(IFERROR(DATEDIF($I185-1,DJ$15+1,"m"),)/12,)-1,)*Index!DF$23*(DJ$15&gt;$I203)*(1-DJ$12)</f>
        <v>0</v>
      </c>
      <c r="DK203" s="747">
        <f>$G203*$H203*(1+$K203)^MAX(ROUNDUP(IFERROR(DATEDIF($I185-1,DK$15+1,"m"),)/12,)-1,)*Index!DG$23*(DK$15&gt;$I203)*(1-DK$12)</f>
        <v>0</v>
      </c>
      <c r="DL203" s="747">
        <f>$G203*$H203*(1+$K203)^MAX(ROUNDUP(IFERROR(DATEDIF($I185-1,DL$15+1,"m"),)/12,)-1,)*Index!DH$23*(DL$15&gt;$I203)*(1-DL$12)</f>
        <v>0</v>
      </c>
      <c r="DM203" s="747">
        <f>$G203*$H203*(1+$K203)^MAX(ROUNDUP(IFERROR(DATEDIF($I185-1,DM$15+1,"m"),)/12,)-1,)*Index!DI$23*(DM$15&gt;$I203)*(1-DM$12)</f>
        <v>0</v>
      </c>
      <c r="DN203" s="747">
        <f>$G203*$H203*(1+$K203)^MAX(ROUNDUP(IFERROR(DATEDIF($I185-1,DN$15+1,"m"),)/12,)-1,)*Index!DJ$23*(DN$15&gt;$I203)*(1-DN$12)</f>
        <v>0</v>
      </c>
      <c r="DO203" s="747">
        <f>$G203*$H203*(1+$K203)^MAX(ROUNDUP(IFERROR(DATEDIF($I185-1,DO$15+1,"m"),)/12,)-1,)*Index!DK$23*(DO$15&gt;$I203)*(1-DO$12)</f>
        <v>0</v>
      </c>
      <c r="DP203" s="747">
        <f>$G203*$H203*(1+$K203)^MAX(ROUNDUP(IFERROR(DATEDIF($I185-1,DP$15+1,"m"),)/12,)-1,)*Index!DL$23*(DP$15&gt;$I203)*(1-DP$12)</f>
        <v>0</v>
      </c>
      <c r="DQ203" s="747">
        <f>$G203*$H203*(1+$K203)^MAX(ROUNDUP(IFERROR(DATEDIF($I185-1,DQ$15+1,"m"),)/12,)-1,)*Index!DM$23*(DQ$15&gt;$I203)*(1-DQ$12)</f>
        <v>0</v>
      </c>
      <c r="DR203" s="747">
        <f>$G203*$H203*(1+$K203)^MAX(ROUNDUP(IFERROR(DATEDIF($I185-1,DR$15+1,"m"),)/12,)-1,)*Index!DN$23*(DR$15&gt;$I203)*(1-DR$12)</f>
        <v>0</v>
      </c>
      <c r="DS203" s="747">
        <f>$G203*$H203*(1+$K203)^MAX(ROUNDUP(IFERROR(DATEDIF($I185-1,DS$15+1,"m"),)/12,)-1,)*Index!DO$23*(DS$15&gt;$I203)*(1-DS$12)</f>
        <v>0</v>
      </c>
      <c r="DT203" s="747">
        <f>$G203*$H203*(1+$K203)^MAX(ROUNDUP(IFERROR(DATEDIF($I185-1,DT$15+1,"m"),)/12,)-1,)*Index!DP$23*(DT$15&gt;$I203)*(1-DT$12)</f>
        <v>0</v>
      </c>
      <c r="DU203" s="747">
        <f>$G203*$H203*(1+$K203)^MAX(ROUNDUP(IFERROR(DATEDIF($I185-1,DU$15+1,"m"),)/12,)-1,)*Index!DQ$23*(DU$15&gt;$I203)*(1-DU$12)</f>
        <v>0</v>
      </c>
      <c r="DV203" s="747">
        <f>$G203*$H203*(1+$K203)^MAX(ROUNDUP(IFERROR(DATEDIF($I185-1,DV$15+1,"m"),)/12,)-1,)*Index!DR$23*(DV$15&gt;$I203)*(1-DV$12)</f>
        <v>0</v>
      </c>
      <c r="DW203" s="747">
        <f>$G203*$H203*(1+$K203)^MAX(ROUNDUP(IFERROR(DATEDIF($I185-1,DW$15+1,"m"),)/12,)-1,)*Index!DS$23*(DW$15&gt;$I203)*(1-DW$12)</f>
        <v>0</v>
      </c>
      <c r="DX203" s="747">
        <f>$G203*$H203*(1+$K203)^MAX(ROUNDUP(IFERROR(DATEDIF($I185-1,DX$15+1,"m"),)/12,)-1,)*Index!DT$23*(DX$15&gt;$I203)*(1-DX$12)</f>
        <v>0</v>
      </c>
      <c r="DY203" s="747">
        <f>$G203*$H203*(1+$K203)^MAX(ROUNDUP(IFERROR(DATEDIF($I185-1,DY$15+1,"m"),)/12,)-1,)*Index!DU$23*(DY$15&gt;$I203)*(1-DY$12)</f>
        <v>0</v>
      </c>
      <c r="DZ203" s="747">
        <f>$G203*$H203*(1+$K203)^MAX(ROUNDUP(IFERROR(DATEDIF($I185-1,DZ$15+1,"m"),)/12,)-1,)*Index!DV$23*(DZ$15&gt;$I203)*(1-DZ$12)</f>
        <v>0</v>
      </c>
      <c r="EA203" s="747">
        <f>$G203*$H203*(1+$K203)^MAX(ROUNDUP(IFERROR(DATEDIF($I185-1,EA$15+1,"m"),)/12,)-1,)*Index!DW$23*(EA$15&gt;$I203)*(1-EA$12)</f>
        <v>0</v>
      </c>
      <c r="EB203" s="747">
        <f>$G203*$H203*(1+$K203)^MAX(ROUNDUP(IFERROR(DATEDIF($I185-1,EB$15+1,"m"),)/12,)-1,)*Index!DX$23*(EB$15&gt;$I203)*(1-EB$12)</f>
        <v>0</v>
      </c>
      <c r="EC203" s="747">
        <f>$G203*$H203*(1+$K203)^MAX(ROUNDUP(IFERROR(DATEDIF($I185-1,EC$15+1,"m"),)/12,)-1,)*Index!DY$23*(EC$15&gt;$I203)*(1-EC$12)</f>
        <v>0</v>
      </c>
      <c r="ED203" s="747">
        <f>$G203*$H203*(1+$K203)^MAX(ROUNDUP(IFERROR(DATEDIF($I185-1,ED$15+1,"m"),)/12,)-1,)*Index!DZ$23*(ED$15&gt;$I203)*(1-ED$12)</f>
        <v>0</v>
      </c>
      <c r="EE203" s="747">
        <f>$G203*$H203*(1+$K203)^MAX(ROUNDUP(IFERROR(DATEDIF($I185-1,EE$15+1,"m"),)/12,)-1,)*Index!EA$23*(EE$15&gt;$I203)*(1-EE$12)</f>
        <v>0</v>
      </c>
      <c r="EF203" s="747">
        <f>$G203*$H203*(1+$K203)^MAX(ROUNDUP(IFERROR(DATEDIF($I185-1,EF$15+1,"m"),)/12,)-1,)*Index!EB$23*(EF$15&gt;$I203)*(1-EF$12)</f>
        <v>0</v>
      </c>
      <c r="EG203" s="747">
        <f>$G203*$H203*(1+$K203)^MAX(ROUNDUP(IFERROR(DATEDIF($I185-1,EG$15+1,"m"),)/12,)-1,)*Index!EC$23*(EG$15&gt;$I203)*(1-EG$12)</f>
        <v>8798.0288333314384</v>
      </c>
      <c r="EH203" s="747">
        <f>$G203*$H203*(1+$K203)^MAX(ROUNDUP(IFERROR(DATEDIF($I185-1,EH$15+1,"m"),)/12,)-1,)*Index!ED$23*(EH$15&gt;$I203)*(1-EH$12)</f>
        <v>8798.0288333314384</v>
      </c>
      <c r="EI203" s="747">
        <f>$G203*$H203*(1+$K203)^MAX(ROUNDUP(IFERROR(DATEDIF($I185-1,EI$15+1,"m"),)/12,)-1,)*Index!EE$23*(EI$15&gt;$I203)*(1-EI$12)</f>
        <v>8798.0288333314384</v>
      </c>
      <c r="EJ203" s="747">
        <f>$G203*$H203*(1+$K203)^MAX(ROUNDUP(IFERROR(DATEDIF($I185-1,EJ$15+1,"m"),)/12,)-1,)*Index!EF$23*(EJ$15&gt;$I203)*(1-EJ$12)</f>
        <v>9017.9795541647236</v>
      </c>
      <c r="EK203" s="747">
        <f>$G203*$H203*(1+$K203)^MAX(ROUNDUP(IFERROR(DATEDIF($I185-1,EK$15+1,"m"),)/12,)-1,)*Index!EG$23*(EK$15&gt;$I203)*(1-EK$12)</f>
        <v>9017.9795541647236</v>
      </c>
      <c r="EL203" s="747">
        <f>$G203*$H203*(1+$K203)^MAX(ROUNDUP(IFERROR(DATEDIF($I185-1,EL$15+1,"m"),)/12,)-1,)*Index!EH$23*(EL$15&gt;$I203)*(1-EL$12)</f>
        <v>9017.9795541647236</v>
      </c>
      <c r="EM203" s="747">
        <f>$G203*$H203*(1+$K203)^MAX(ROUNDUP(IFERROR(DATEDIF($I185-1,EM$15+1,"m"),)/12,)-1,)*Index!EI$23*(EM$15&gt;$I203)*(1-EM$12)</f>
        <v>9017.9795541647236</v>
      </c>
      <c r="EN203" s="747">
        <f>$G203*$H203*(1+$K203)^MAX(ROUNDUP(IFERROR(DATEDIF($I185-1,EN$15+1,"m"),)/12,)-1,)*Index!EJ$23*(EN$15&gt;$I203)*(1-EN$12)</f>
        <v>9017.9795541647236</v>
      </c>
      <c r="EO203" s="747">
        <f>$G203*$H203*(1+$K203)^MAX(ROUNDUP(IFERROR(DATEDIF($I185-1,EO$15+1,"m"),)/12,)-1,)*Index!EK$23*(EO$15&gt;$I203)*(1-EO$12)</f>
        <v>9017.9795541647236</v>
      </c>
      <c r="EP203" s="747">
        <f>$G203*$H203*(1+$K203)^MAX(ROUNDUP(IFERROR(DATEDIF($I185-1,EP$15+1,"m"),)/12,)-1,)*Index!EL$23*(EP$15&gt;$I203)*(1-EP$12)</f>
        <v>9017.9795541647236</v>
      </c>
      <c r="EQ203" s="747">
        <f>$G203*$H203*(1+$K203)^MAX(ROUNDUP(IFERROR(DATEDIF($I185-1,EQ$15+1,"m"),)/12,)-1,)*Index!EM$23*(EQ$15&gt;$I203)*(1-EQ$12)</f>
        <v>9017.9795541647236</v>
      </c>
      <c r="ER203" s="747">
        <f>$G203*$H203*(1+$K203)^MAX(ROUNDUP(IFERROR(DATEDIF($I185-1,ER$15+1,"m"),)/12,)-1,)*Index!EN$23*(ER$15&gt;$I203)*(1-ER$12)</f>
        <v>9017.9795541647236</v>
      </c>
      <c r="ES203" s="747">
        <f>$G203*$H203*(1+$K203)^MAX(ROUNDUP(IFERROR(DATEDIF($I185-1,ES$15+1,"m"),)/12,)-1,)*Index!EO$23*(ES$15&gt;$I203)*(1-ES$12)</f>
        <v>0</v>
      </c>
      <c r="ET203" s="747">
        <f>$G203*$H203*(1+$K203)^MAX(ROUNDUP(IFERROR(DATEDIF($I185-1,ET$15+1,"m"),)/12,)-1,)*Index!EP$23*(ET$15&gt;$I203)*(1-ET$12)</f>
        <v>0</v>
      </c>
      <c r="EU203" s="747">
        <f>$G203*$H203*(1+$K203)^MAX(ROUNDUP(IFERROR(DATEDIF($I185-1,EU$15+1,"m"),)/12,)-1,)*Index!EQ$23*(EU$15&gt;$I203)*(1-EU$12)</f>
        <v>0</v>
      </c>
    </row>
    <row r="204" spans="3:151" ht="11.25" customHeight="1">
      <c r="C204" s="828"/>
      <c r="D204" s="743">
        <f t="shared" ref="D204:I204" si="279">D168</f>
        <v>5</v>
      </c>
      <c r="E204" s="704" t="str">
        <f t="shared" si="279"/>
        <v>쿠팡</v>
      </c>
      <c r="F204" s="704" t="str">
        <f t="shared" si="279"/>
        <v>상온창고</v>
      </c>
      <c r="G204" s="781">
        <f t="shared" si="279"/>
        <v>2.9900433370455741</v>
      </c>
      <c r="H204" s="744">
        <f t="shared" si="279"/>
        <v>2185.56</v>
      </c>
      <c r="I204" s="745">
        <f t="shared" si="279"/>
        <v>49064</v>
      </c>
      <c r="J204" s="745"/>
      <c r="K204" s="754">
        <f t="shared" si="272"/>
        <v>2.5000000000000001E-2</v>
      </c>
      <c r="L204" s="746"/>
      <c r="M204" s="722"/>
      <c r="N204" s="747">
        <f t="shared" si="273"/>
        <v>107442.34266228336</v>
      </c>
      <c r="O204" s="733"/>
      <c r="P204" s="747">
        <f>$G204*$H204*(1+$K204)^MAX(ROUNDUP(IFERROR(DATEDIF($I186-1,P$15+1,"m"),)/12,)-1,)*Index!L$23*(P$15&gt;$I204)*(1-P$12)</f>
        <v>0</v>
      </c>
      <c r="Q204" s="747">
        <f>$G204*$H204*(1+$K204)^MAX(ROUNDUP(IFERROR(DATEDIF($I186-1,Q$15+1,"m"),)/12,)-1,)*Index!M$23*(Q$15&gt;$I204)*(1-Q$12)</f>
        <v>0</v>
      </c>
      <c r="R204" s="747">
        <f>$G204*$H204*(1+$K204)^MAX(ROUNDUP(IFERROR(DATEDIF($I186-1,R$15+1,"m"),)/12,)-1,)*Index!N$23*(R$15&gt;$I204)*(1-R$12)</f>
        <v>0</v>
      </c>
      <c r="S204" s="747">
        <f>$G204*$H204*(1+$K204)^MAX(ROUNDUP(IFERROR(DATEDIF($I186-1,S$15+1,"m"),)/12,)-1,)*Index!O$23*(S$15&gt;$I204)*(1-S$12)</f>
        <v>0</v>
      </c>
      <c r="T204" s="747">
        <f>$G204*$H204*(1+$K204)^MAX(ROUNDUP(IFERROR(DATEDIF($I186-1,T$15+1,"m"),)/12,)-1,)*Index!P$23*(T$15&gt;$I204)*(1-T$12)</f>
        <v>0</v>
      </c>
      <c r="U204" s="747">
        <f>$G204*$H204*(1+$K204)^MAX(ROUNDUP(IFERROR(DATEDIF($I186-1,U$15+1,"m"),)/12,)-1,)*Index!Q$23*(U$15&gt;$I204)*(1-U$12)</f>
        <v>0</v>
      </c>
      <c r="V204" s="747">
        <f>$G204*$H204*(1+$K204)^MAX(ROUNDUP(IFERROR(DATEDIF($I186-1,V$15+1,"m"),)/12,)-1,)*Index!R$23*(V$15&gt;$I204)*(1-V$12)</f>
        <v>0</v>
      </c>
      <c r="W204" s="747">
        <f>$G204*$H204*(1+$K204)^MAX(ROUNDUP(IFERROR(DATEDIF($I186-1,W$15+1,"m"),)/12,)-1,)*Index!S$23*(W$15&gt;$I204)*(1-W$12)</f>
        <v>0</v>
      </c>
      <c r="X204" s="747">
        <f>$G204*$H204*(1+$K204)^MAX(ROUNDUP(IFERROR(DATEDIF($I186-1,X$15+1,"m"),)/12,)-1,)*Index!T$23*(X$15&gt;$I204)*(1-X$12)</f>
        <v>0</v>
      </c>
      <c r="Y204" s="747">
        <f>$G204*$H204*(1+$K204)^MAX(ROUNDUP(IFERROR(DATEDIF($I186-1,Y$15+1,"m"),)/12,)-1,)*Index!U$23*(Y$15&gt;$I204)*(1-Y$12)</f>
        <v>0</v>
      </c>
      <c r="Z204" s="747">
        <f>$G204*$H204*(1+$K204)^MAX(ROUNDUP(IFERROR(DATEDIF($I186-1,Z$15+1,"m"),)/12,)-1,)*Index!V$23*(Z$15&gt;$I204)*(1-Z$12)</f>
        <v>0</v>
      </c>
      <c r="AA204" s="747">
        <f>$G204*$H204*(1+$K204)^MAX(ROUNDUP(IFERROR(DATEDIF($I186-1,AA$15+1,"m"),)/12,)-1,)*Index!W$23*(AA$15&gt;$I204)*(1-AA$12)</f>
        <v>0</v>
      </c>
      <c r="AB204" s="747">
        <f>$G204*$H204*(1+$K204)^MAX(ROUNDUP(IFERROR(DATEDIF($I186-1,AB$15+1,"m"),)/12,)-1,)*Index!X$23*(AB$15&gt;$I204)*(1-AB$12)</f>
        <v>0</v>
      </c>
      <c r="AC204" s="747">
        <f>$G204*$H204*(1+$K204)^MAX(ROUNDUP(IFERROR(DATEDIF($I186-1,AC$15+1,"m"),)/12,)-1,)*Index!Y$23*(AC$15&gt;$I204)*(1-AC$12)</f>
        <v>0</v>
      </c>
      <c r="AD204" s="747">
        <f>$G204*$H204*(1+$K204)^MAX(ROUNDUP(IFERROR(DATEDIF($I186-1,AD$15+1,"m"),)/12,)-1,)*Index!Z$23*(AD$15&gt;$I204)*(1-AD$12)</f>
        <v>0</v>
      </c>
      <c r="AE204" s="747">
        <f>$G204*$H204*(1+$K204)^MAX(ROUNDUP(IFERROR(DATEDIF($I186-1,AE$15+1,"m"),)/12,)-1,)*Index!AA$23*(AE$15&gt;$I204)*(1-AE$12)</f>
        <v>0</v>
      </c>
      <c r="AF204" s="747">
        <f>$G204*$H204*(1+$K204)^MAX(ROUNDUP(IFERROR(DATEDIF($I186-1,AF$15+1,"m"),)/12,)-1,)*Index!AB$23*(AF$15&gt;$I204)*(1-AF$12)</f>
        <v>0</v>
      </c>
      <c r="AG204" s="747">
        <f>$G204*$H204*(1+$K204)^MAX(ROUNDUP(IFERROR(DATEDIF($I186-1,AG$15+1,"m"),)/12,)-1,)*Index!AC$23*(AG$15&gt;$I204)*(1-AG$12)</f>
        <v>0</v>
      </c>
      <c r="AH204" s="747">
        <f>$G204*$H204*(1+$K204)^MAX(ROUNDUP(IFERROR(DATEDIF($I186-1,AH$15+1,"m"),)/12,)-1,)*Index!AD$23*(AH$15&gt;$I204)*(1-AH$12)</f>
        <v>0</v>
      </c>
      <c r="AI204" s="747">
        <f>$G204*$H204*(1+$K204)^MAX(ROUNDUP(IFERROR(DATEDIF($I186-1,AI$15+1,"m"),)/12,)-1,)*Index!AE$23*(AI$15&gt;$I204)*(1-AI$12)</f>
        <v>0</v>
      </c>
      <c r="AJ204" s="747">
        <f>$G204*$H204*(1+$K204)^MAX(ROUNDUP(IFERROR(DATEDIF($I186-1,AJ$15+1,"m"),)/12,)-1,)*Index!AF$23*(AJ$15&gt;$I204)*(1-AJ$12)</f>
        <v>0</v>
      </c>
      <c r="AK204" s="747">
        <f>$G204*$H204*(1+$K204)^MAX(ROUNDUP(IFERROR(DATEDIF($I186-1,AK$15+1,"m"),)/12,)-1,)*Index!AG$23*(AK$15&gt;$I204)*(1-AK$12)</f>
        <v>0</v>
      </c>
      <c r="AL204" s="747">
        <f>$G204*$H204*(1+$K204)^MAX(ROUNDUP(IFERROR(DATEDIF($I186-1,AL$15+1,"m"),)/12,)-1,)*Index!AH$23*(AL$15&gt;$I204)*(1-AL$12)</f>
        <v>0</v>
      </c>
      <c r="AM204" s="747">
        <f>$G204*$H204*(1+$K204)^MAX(ROUNDUP(IFERROR(DATEDIF($I186-1,AM$15+1,"m"),)/12,)-1,)*Index!AI$23*(AM$15&gt;$I204)*(1-AM$12)</f>
        <v>0</v>
      </c>
      <c r="AN204" s="747">
        <f>$G204*$H204*(1+$K204)^MAX(ROUNDUP(IFERROR(DATEDIF($I186-1,AN$15+1,"m"),)/12,)-1,)*Index!AJ$23*(AN$15&gt;$I204)*(1-AN$12)</f>
        <v>0</v>
      </c>
      <c r="AO204" s="747">
        <f>$G204*$H204*(1+$K204)^MAX(ROUNDUP(IFERROR(DATEDIF($I186-1,AO$15+1,"m"),)/12,)-1,)*Index!AK$23*(AO$15&gt;$I204)*(1-AO$12)</f>
        <v>0</v>
      </c>
      <c r="AP204" s="747">
        <f>$G204*$H204*(1+$K204)^MAX(ROUNDUP(IFERROR(DATEDIF($I186-1,AP$15+1,"m"),)/12,)-1,)*Index!AL$23*(AP$15&gt;$I204)*(1-AP$12)</f>
        <v>0</v>
      </c>
      <c r="AQ204" s="747">
        <f>$G204*$H204*(1+$K204)^MAX(ROUNDUP(IFERROR(DATEDIF($I186-1,AQ$15+1,"m"),)/12,)-1,)*Index!AM$23*(AQ$15&gt;$I204)*(1-AQ$12)</f>
        <v>0</v>
      </c>
      <c r="AR204" s="747">
        <f>$G204*$H204*(1+$K204)^MAX(ROUNDUP(IFERROR(DATEDIF($I186-1,AR$15+1,"m"),)/12,)-1,)*Index!AN$23*(AR$15&gt;$I204)*(1-AR$12)</f>
        <v>0</v>
      </c>
      <c r="AS204" s="747">
        <f>$G204*$H204*(1+$K204)^MAX(ROUNDUP(IFERROR(DATEDIF($I186-1,AS$15+1,"m"),)/12,)-1,)*Index!AO$23*(AS$15&gt;$I204)*(1-AS$12)</f>
        <v>0</v>
      </c>
      <c r="AT204" s="747">
        <f>$G204*$H204*(1+$K204)^MAX(ROUNDUP(IFERROR(DATEDIF($I186-1,AT$15+1,"m"),)/12,)-1,)*Index!AP$23*(AT$15&gt;$I204)*(1-AT$12)</f>
        <v>0</v>
      </c>
      <c r="AU204" s="747">
        <f>$G204*$H204*(1+$K204)^MAX(ROUNDUP(IFERROR(DATEDIF($I186-1,AU$15+1,"m"),)/12,)-1,)*Index!AQ$23*(AU$15&gt;$I204)*(1-AU$12)</f>
        <v>0</v>
      </c>
      <c r="AV204" s="747">
        <f>$G204*$H204*(1+$K204)^MAX(ROUNDUP(IFERROR(DATEDIF($I186-1,AV$15+1,"m"),)/12,)-1,)*Index!AR$23*(AV$15&gt;$I204)*(1-AV$12)</f>
        <v>0</v>
      </c>
      <c r="AW204" s="747">
        <f>$G204*$H204*(1+$K204)^MAX(ROUNDUP(IFERROR(DATEDIF($I186-1,AW$15+1,"m"),)/12,)-1,)*Index!AS$23*(AW$15&gt;$I204)*(1-AW$12)</f>
        <v>0</v>
      </c>
      <c r="AX204" s="747">
        <f>$G204*$H204*(1+$K204)^MAX(ROUNDUP(IFERROR(DATEDIF($I186-1,AX$15+1,"m"),)/12,)-1,)*Index!AT$23*(AX$15&gt;$I204)*(1-AX$12)</f>
        <v>0</v>
      </c>
      <c r="AY204" s="747">
        <f>$G204*$H204*(1+$K204)^MAX(ROUNDUP(IFERROR(DATEDIF($I186-1,AY$15+1,"m"),)/12,)-1,)*Index!AU$23*(AY$15&gt;$I204)*(1-AY$12)</f>
        <v>0</v>
      </c>
      <c r="AZ204" s="747">
        <f>$G204*$H204*(1+$K204)^MAX(ROUNDUP(IFERROR(DATEDIF($I186-1,AZ$15+1,"m"),)/12,)-1,)*Index!AV$23*(AZ$15&gt;$I204)*(1-AZ$12)</f>
        <v>0</v>
      </c>
      <c r="BA204" s="747">
        <f>$G204*$H204*(1+$K204)^MAX(ROUNDUP(IFERROR(DATEDIF($I186-1,BA$15+1,"m"),)/12,)-1,)*Index!AW$23*(BA$15&gt;$I204)*(1-BA$12)</f>
        <v>0</v>
      </c>
      <c r="BB204" s="747">
        <f>$G204*$H204*(1+$K204)^MAX(ROUNDUP(IFERROR(DATEDIF($I186-1,BB$15+1,"m"),)/12,)-1,)*Index!AX$23*(BB$15&gt;$I204)*(1-BB$12)</f>
        <v>0</v>
      </c>
      <c r="BC204" s="747">
        <f>$G204*$H204*(1+$K204)^MAX(ROUNDUP(IFERROR(DATEDIF($I186-1,BC$15+1,"m"),)/12,)-1,)*Index!AY$23*(BC$15&gt;$I204)*(1-BC$12)</f>
        <v>0</v>
      </c>
      <c r="BD204" s="747">
        <f>$G204*$H204*(1+$K204)^MAX(ROUNDUP(IFERROR(DATEDIF($I186-1,BD$15+1,"m"),)/12,)-1,)*Index!AZ$23*(BD$15&gt;$I204)*(1-BD$12)</f>
        <v>0</v>
      </c>
      <c r="BE204" s="747">
        <f>$G204*$H204*(1+$K204)^MAX(ROUNDUP(IFERROR(DATEDIF($I186-1,BE$15+1,"m"),)/12,)-1,)*Index!BA$23*(BE$15&gt;$I204)*(1-BE$12)</f>
        <v>0</v>
      </c>
      <c r="BF204" s="747">
        <f>$G204*$H204*(1+$K204)^MAX(ROUNDUP(IFERROR(DATEDIF($I186-1,BF$15+1,"m"),)/12,)-1,)*Index!BB$23*(BF$15&gt;$I204)*(1-BF$12)</f>
        <v>0</v>
      </c>
      <c r="BG204" s="747">
        <f>$G204*$H204*(1+$K204)^MAX(ROUNDUP(IFERROR(DATEDIF($I186-1,BG$15+1,"m"),)/12,)-1,)*Index!BC$23*(BG$15&gt;$I204)*(1-BG$12)</f>
        <v>0</v>
      </c>
      <c r="BH204" s="747">
        <f>$G204*$H204*(1+$K204)^MAX(ROUNDUP(IFERROR(DATEDIF($I186-1,BH$15+1,"m"),)/12,)-1,)*Index!BD$23*(BH$15&gt;$I204)*(1-BH$12)</f>
        <v>0</v>
      </c>
      <c r="BI204" s="747">
        <f>$G204*$H204*(1+$K204)^MAX(ROUNDUP(IFERROR(DATEDIF($I186-1,BI$15+1,"m"),)/12,)-1,)*Index!BE$23*(BI$15&gt;$I204)*(1-BI$12)</f>
        <v>0</v>
      </c>
      <c r="BJ204" s="747">
        <f>$G204*$H204*(1+$K204)^MAX(ROUNDUP(IFERROR(DATEDIF($I186-1,BJ$15+1,"m"),)/12,)-1,)*Index!BF$23*(BJ$15&gt;$I204)*(1-BJ$12)</f>
        <v>0</v>
      </c>
      <c r="BK204" s="747">
        <f>$G204*$H204*(1+$K204)^MAX(ROUNDUP(IFERROR(DATEDIF($I186-1,BK$15+1,"m"),)/12,)-1,)*Index!BG$23*(BK$15&gt;$I204)*(1-BK$12)</f>
        <v>0</v>
      </c>
      <c r="BL204" s="747">
        <f>$G204*$H204*(1+$K204)^MAX(ROUNDUP(IFERROR(DATEDIF($I186-1,BL$15+1,"m"),)/12,)-1,)*Index!BH$23*(BL$15&gt;$I204)*(1-BL$12)</f>
        <v>0</v>
      </c>
      <c r="BM204" s="747">
        <f>$G204*$H204*(1+$K204)^MAX(ROUNDUP(IFERROR(DATEDIF($I186-1,BM$15+1,"m"),)/12,)-1,)*Index!BI$23*(BM$15&gt;$I204)*(1-BM$12)</f>
        <v>0</v>
      </c>
      <c r="BN204" s="747">
        <f>$G204*$H204*(1+$K204)^MAX(ROUNDUP(IFERROR(DATEDIF($I186-1,BN$15+1,"m"),)/12,)-1,)*Index!BJ$23*(BN$15&gt;$I204)*(1-BN$12)</f>
        <v>0</v>
      </c>
      <c r="BO204" s="747">
        <f>$G204*$H204*(1+$K204)^MAX(ROUNDUP(IFERROR(DATEDIF($I186-1,BO$15+1,"m"),)/12,)-1,)*Index!BK$23*(BO$15&gt;$I204)*(1-BO$12)</f>
        <v>0</v>
      </c>
      <c r="BP204" s="747">
        <f>$G204*$H204*(1+$K204)^MAX(ROUNDUP(IFERROR(DATEDIF($I186-1,BP$15+1,"m"),)/12,)-1,)*Index!BL$23*(BP$15&gt;$I204)*(1-BP$12)</f>
        <v>0</v>
      </c>
      <c r="BQ204" s="747">
        <f>$G204*$H204*(1+$K204)^MAX(ROUNDUP(IFERROR(DATEDIF($I186-1,BQ$15+1,"m"),)/12,)-1,)*Index!BM$23*(BQ$15&gt;$I204)*(1-BQ$12)</f>
        <v>0</v>
      </c>
      <c r="BR204" s="747">
        <f>$G204*$H204*(1+$K204)^MAX(ROUNDUP(IFERROR(DATEDIF($I186-1,BR$15+1,"m"),)/12,)-1,)*Index!BN$23*(BR$15&gt;$I204)*(1-BR$12)</f>
        <v>0</v>
      </c>
      <c r="BS204" s="747">
        <f>$G204*$H204*(1+$K204)^MAX(ROUNDUP(IFERROR(DATEDIF($I186-1,BS$15+1,"m"),)/12,)-1,)*Index!BO$23*(BS$15&gt;$I204)*(1-BS$12)</f>
        <v>0</v>
      </c>
      <c r="BT204" s="747">
        <f>$G204*$H204*(1+$K204)^MAX(ROUNDUP(IFERROR(DATEDIF($I186-1,BT$15+1,"m"),)/12,)-1,)*Index!BP$23*(BT$15&gt;$I204)*(1-BT$12)</f>
        <v>0</v>
      </c>
      <c r="BU204" s="747">
        <f>$G204*$H204*(1+$K204)^MAX(ROUNDUP(IFERROR(DATEDIF($I186-1,BU$15+1,"m"),)/12,)-1,)*Index!BQ$23*(BU$15&gt;$I204)*(1-BU$12)</f>
        <v>0</v>
      </c>
      <c r="BV204" s="747">
        <f>$G204*$H204*(1+$K204)^MAX(ROUNDUP(IFERROR(DATEDIF($I186-1,BV$15+1,"m"),)/12,)-1,)*Index!BR$23*(BV$15&gt;$I204)*(1-BV$12)</f>
        <v>0</v>
      </c>
      <c r="BW204" s="747">
        <f>$G204*$H204*(1+$K204)^MAX(ROUNDUP(IFERROR(DATEDIF($I186-1,BW$15+1,"m"),)/12,)-1,)*Index!BS$23*(BW$15&gt;$I204)*(1-BW$12)</f>
        <v>0</v>
      </c>
      <c r="BX204" s="747">
        <f>$G204*$H204*(1+$K204)^MAX(ROUNDUP(IFERROR(DATEDIF($I186-1,BX$15+1,"m"),)/12,)-1,)*Index!BT$23*(BX$15&gt;$I204)*(1-BX$12)</f>
        <v>0</v>
      </c>
      <c r="BY204" s="747">
        <f>$G204*$H204*(1+$K204)^MAX(ROUNDUP(IFERROR(DATEDIF($I186-1,BY$15+1,"m"),)/12,)-1,)*Index!BU$23*(BY$15&gt;$I204)*(1-BY$12)</f>
        <v>0</v>
      </c>
      <c r="BZ204" s="747">
        <f>$G204*$H204*(1+$K204)^MAX(ROUNDUP(IFERROR(DATEDIF($I186-1,BZ$15+1,"m"),)/12,)-1,)*Index!BV$23*(BZ$15&gt;$I204)*(1-BZ$12)</f>
        <v>0</v>
      </c>
      <c r="CA204" s="747">
        <f>$G204*$H204*(1+$K204)^MAX(ROUNDUP(IFERROR(DATEDIF($I186-1,CA$15+1,"m"),)/12,)-1,)*Index!BW$23*(CA$15&gt;$I204)*(1-CA$12)</f>
        <v>0</v>
      </c>
      <c r="CB204" s="747">
        <f>$G204*$H204*(1+$K204)^MAX(ROUNDUP(IFERROR(DATEDIF($I186-1,CB$15+1,"m"),)/12,)-1,)*Index!BX$23*(CB$15&gt;$I204)*(1-CB$12)</f>
        <v>0</v>
      </c>
      <c r="CC204" s="747">
        <f>$G204*$H204*(1+$K204)^MAX(ROUNDUP(IFERROR(DATEDIF($I186-1,CC$15+1,"m"),)/12,)-1,)*Index!BY$23*(CC$15&gt;$I204)*(1-CC$12)</f>
        <v>0</v>
      </c>
      <c r="CD204" s="747">
        <f>$G204*$H204*(1+$K204)^MAX(ROUNDUP(IFERROR(DATEDIF($I186-1,CD$15+1,"m"),)/12,)-1,)*Index!BZ$23*(CD$15&gt;$I204)*(1-CD$12)</f>
        <v>0</v>
      </c>
      <c r="CE204" s="747">
        <f>$G204*$H204*(1+$K204)^MAX(ROUNDUP(IFERROR(DATEDIF($I186-1,CE$15+1,"m"),)/12,)-1,)*Index!CA$23*(CE$15&gt;$I204)*(1-CE$12)</f>
        <v>0</v>
      </c>
      <c r="CF204" s="747">
        <f>$G204*$H204*(1+$K204)^MAX(ROUNDUP(IFERROR(DATEDIF($I186-1,CF$15+1,"m"),)/12,)-1,)*Index!CB$23*(CF$15&gt;$I204)*(1-CF$12)</f>
        <v>0</v>
      </c>
      <c r="CG204" s="747">
        <f>$G204*$H204*(1+$K204)^MAX(ROUNDUP(IFERROR(DATEDIF($I186-1,CG$15+1,"m"),)/12,)-1,)*Index!CC$23*(CG$15&gt;$I204)*(1-CG$12)</f>
        <v>0</v>
      </c>
      <c r="CH204" s="747">
        <f>$G204*$H204*(1+$K204)^MAX(ROUNDUP(IFERROR(DATEDIF($I186-1,CH$15+1,"m"),)/12,)-1,)*Index!CD$23*(CH$15&gt;$I204)*(1-CH$12)</f>
        <v>0</v>
      </c>
      <c r="CI204" s="747">
        <f>$G204*$H204*(1+$K204)^MAX(ROUNDUP(IFERROR(DATEDIF($I186-1,CI$15+1,"m"),)/12,)-1,)*Index!CE$23*(CI$15&gt;$I204)*(1-CI$12)</f>
        <v>0</v>
      </c>
      <c r="CJ204" s="747">
        <f>$G204*$H204*(1+$K204)^MAX(ROUNDUP(IFERROR(DATEDIF($I186-1,CJ$15+1,"m"),)/12,)-1,)*Index!CF$23*(CJ$15&gt;$I204)*(1-CJ$12)</f>
        <v>0</v>
      </c>
      <c r="CK204" s="747">
        <f>$G204*$H204*(1+$K204)^MAX(ROUNDUP(IFERROR(DATEDIF($I186-1,CK$15+1,"m"),)/12,)-1,)*Index!CG$23*(CK$15&gt;$I204)*(1-CK$12)</f>
        <v>0</v>
      </c>
      <c r="CL204" s="747">
        <f>$G204*$H204*(1+$K204)^MAX(ROUNDUP(IFERROR(DATEDIF($I186-1,CL$15+1,"m"),)/12,)-1,)*Index!CH$23*(CL$15&gt;$I204)*(1-CL$12)</f>
        <v>0</v>
      </c>
      <c r="CM204" s="747">
        <f>$G204*$H204*(1+$K204)^MAX(ROUNDUP(IFERROR(DATEDIF($I186-1,CM$15+1,"m"),)/12,)-1,)*Index!CI$23*(CM$15&gt;$I204)*(1-CM$12)</f>
        <v>0</v>
      </c>
      <c r="CN204" s="747">
        <f>$G204*$H204*(1+$K204)^MAX(ROUNDUP(IFERROR(DATEDIF($I186-1,CN$15+1,"m"),)/12,)-1,)*Index!CJ$23*(CN$15&gt;$I204)*(1-CN$12)</f>
        <v>0</v>
      </c>
      <c r="CO204" s="747">
        <f>$G204*$H204*(1+$K204)^MAX(ROUNDUP(IFERROR(DATEDIF($I186-1,CO$15+1,"m"),)/12,)-1,)*Index!CK$23*(CO$15&gt;$I204)*(1-CO$12)</f>
        <v>0</v>
      </c>
      <c r="CP204" s="747">
        <f>$G204*$H204*(1+$K204)^MAX(ROUNDUP(IFERROR(DATEDIF($I186-1,CP$15+1,"m"),)/12,)-1,)*Index!CL$23*(CP$15&gt;$I204)*(1-CP$12)</f>
        <v>0</v>
      </c>
      <c r="CQ204" s="747">
        <f>$G204*$H204*(1+$K204)^MAX(ROUNDUP(IFERROR(DATEDIF($I186-1,CQ$15+1,"m"),)/12,)-1,)*Index!CM$23*(CQ$15&gt;$I204)*(1-CQ$12)</f>
        <v>0</v>
      </c>
      <c r="CR204" s="747">
        <f>$G204*$H204*(1+$K204)^MAX(ROUNDUP(IFERROR(DATEDIF($I186-1,CR$15+1,"m"),)/12,)-1,)*Index!CN$23*(CR$15&gt;$I204)*(1-CR$12)</f>
        <v>0</v>
      </c>
      <c r="CS204" s="747">
        <f>$G204*$H204*(1+$K204)^MAX(ROUNDUP(IFERROR(DATEDIF($I186-1,CS$15+1,"m"),)/12,)-1,)*Index!CO$23*(CS$15&gt;$I204)*(1-CS$12)</f>
        <v>0</v>
      </c>
      <c r="CT204" s="747">
        <f>$G204*$H204*(1+$K204)^MAX(ROUNDUP(IFERROR(DATEDIF($I186-1,CT$15+1,"m"),)/12,)-1,)*Index!CP$23*(CT$15&gt;$I204)*(1-CT$12)</f>
        <v>0</v>
      </c>
      <c r="CU204" s="747">
        <f>$G204*$H204*(1+$K204)^MAX(ROUNDUP(IFERROR(DATEDIF($I186-1,CU$15+1,"m"),)/12,)-1,)*Index!CQ$23*(CU$15&gt;$I204)*(1-CU$12)</f>
        <v>0</v>
      </c>
      <c r="CV204" s="747">
        <f>$G204*$H204*(1+$K204)^MAX(ROUNDUP(IFERROR(DATEDIF($I186-1,CV$15+1,"m"),)/12,)-1,)*Index!CR$23*(CV$15&gt;$I204)*(1-CV$12)</f>
        <v>0</v>
      </c>
      <c r="CW204" s="747">
        <f>$G204*$H204*(1+$K204)^MAX(ROUNDUP(IFERROR(DATEDIF($I186-1,CW$15+1,"m"),)/12,)-1,)*Index!CS$23*(CW$15&gt;$I204)*(1-CW$12)</f>
        <v>0</v>
      </c>
      <c r="CX204" s="747">
        <f>$G204*$H204*(1+$K204)^MAX(ROUNDUP(IFERROR(DATEDIF($I186-1,CX$15+1,"m"),)/12,)-1,)*Index!CT$23*(CX$15&gt;$I204)*(1-CX$12)</f>
        <v>0</v>
      </c>
      <c r="CY204" s="747">
        <f>$G204*$H204*(1+$K204)^MAX(ROUNDUP(IFERROR(DATEDIF($I186-1,CY$15+1,"m"),)/12,)-1,)*Index!CU$23*(CY$15&gt;$I204)*(1-CY$12)</f>
        <v>0</v>
      </c>
      <c r="CZ204" s="747">
        <f>$G204*$H204*(1+$K204)^MAX(ROUNDUP(IFERROR(DATEDIF($I186-1,CZ$15+1,"m"),)/12,)-1,)*Index!CV$23*(CZ$15&gt;$I204)*(1-CZ$12)</f>
        <v>0</v>
      </c>
      <c r="DA204" s="747">
        <f>$G204*$H204*(1+$K204)^MAX(ROUNDUP(IFERROR(DATEDIF($I186-1,DA$15+1,"m"),)/12,)-1,)*Index!CW$23*(DA$15&gt;$I204)*(1-DA$12)</f>
        <v>0</v>
      </c>
      <c r="DB204" s="747">
        <f>$G204*$H204*(1+$K204)^MAX(ROUNDUP(IFERROR(DATEDIF($I186-1,DB$15+1,"m"),)/12,)-1,)*Index!CX$23*(DB$15&gt;$I204)*(1-DB$12)</f>
        <v>0</v>
      </c>
      <c r="DC204" s="747">
        <f>$G204*$H204*(1+$K204)^MAX(ROUNDUP(IFERROR(DATEDIF($I186-1,DC$15+1,"m"),)/12,)-1,)*Index!CY$23*(DC$15&gt;$I204)*(1-DC$12)</f>
        <v>0</v>
      </c>
      <c r="DD204" s="747">
        <f>$G204*$H204*(1+$K204)^MAX(ROUNDUP(IFERROR(DATEDIF($I186-1,DD$15+1,"m"),)/12,)-1,)*Index!CZ$23*(DD$15&gt;$I204)*(1-DD$12)</f>
        <v>0</v>
      </c>
      <c r="DE204" s="747">
        <f>$G204*$H204*(1+$K204)^MAX(ROUNDUP(IFERROR(DATEDIF($I186-1,DE$15+1,"m"),)/12,)-1,)*Index!DA$23*(DE$15&gt;$I204)*(1-DE$12)</f>
        <v>0</v>
      </c>
      <c r="DF204" s="747">
        <f>$G204*$H204*(1+$K204)^MAX(ROUNDUP(IFERROR(DATEDIF($I186-1,DF$15+1,"m"),)/12,)-1,)*Index!DB$23*(DF$15&gt;$I204)*(1-DF$12)</f>
        <v>0</v>
      </c>
      <c r="DG204" s="747">
        <f>$G204*$H204*(1+$K204)^MAX(ROUNDUP(IFERROR(DATEDIF($I186-1,DG$15+1,"m"),)/12,)-1,)*Index!DC$23*(DG$15&gt;$I204)*(1-DG$12)</f>
        <v>0</v>
      </c>
      <c r="DH204" s="747">
        <f>$G204*$H204*(1+$K204)^MAX(ROUNDUP(IFERROR(DATEDIF($I186-1,DH$15+1,"m"),)/12,)-1,)*Index!DD$23*(DH$15&gt;$I204)*(1-DH$12)</f>
        <v>0</v>
      </c>
      <c r="DI204" s="747">
        <f>$G204*$H204*(1+$K204)^MAX(ROUNDUP(IFERROR(DATEDIF($I186-1,DI$15+1,"m"),)/12,)-1,)*Index!DE$23*(DI$15&gt;$I204)*(1-DI$12)</f>
        <v>0</v>
      </c>
      <c r="DJ204" s="747">
        <f>$G204*$H204*(1+$K204)^MAX(ROUNDUP(IFERROR(DATEDIF($I186-1,DJ$15+1,"m"),)/12,)-1,)*Index!DF$23*(DJ$15&gt;$I204)*(1-DJ$12)</f>
        <v>0</v>
      </c>
      <c r="DK204" s="747">
        <f>$G204*$H204*(1+$K204)^MAX(ROUNDUP(IFERROR(DATEDIF($I186-1,DK$15+1,"m"),)/12,)-1,)*Index!DG$23*(DK$15&gt;$I204)*(1-DK$12)</f>
        <v>0</v>
      </c>
      <c r="DL204" s="747">
        <f>$G204*$H204*(1+$K204)^MAX(ROUNDUP(IFERROR(DATEDIF($I186-1,DL$15+1,"m"),)/12,)-1,)*Index!DH$23*(DL$15&gt;$I204)*(1-DL$12)</f>
        <v>0</v>
      </c>
      <c r="DM204" s="747">
        <f>$G204*$H204*(1+$K204)^MAX(ROUNDUP(IFERROR(DATEDIF($I186-1,DM$15+1,"m"),)/12,)-1,)*Index!DI$23*(DM$15&gt;$I204)*(1-DM$12)</f>
        <v>0</v>
      </c>
      <c r="DN204" s="747">
        <f>$G204*$H204*(1+$K204)^MAX(ROUNDUP(IFERROR(DATEDIF($I186-1,DN$15+1,"m"),)/12,)-1,)*Index!DJ$23*(DN$15&gt;$I204)*(1-DN$12)</f>
        <v>0</v>
      </c>
      <c r="DO204" s="747">
        <f>$G204*$H204*(1+$K204)^MAX(ROUNDUP(IFERROR(DATEDIF($I186-1,DO$15+1,"m"),)/12,)-1,)*Index!DK$23*(DO$15&gt;$I204)*(1-DO$12)</f>
        <v>0</v>
      </c>
      <c r="DP204" s="747">
        <f>$G204*$H204*(1+$K204)^MAX(ROUNDUP(IFERROR(DATEDIF($I186-1,DP$15+1,"m"),)/12,)-1,)*Index!DL$23*(DP$15&gt;$I204)*(1-DP$12)</f>
        <v>0</v>
      </c>
      <c r="DQ204" s="747">
        <f>$G204*$H204*(1+$K204)^MAX(ROUNDUP(IFERROR(DATEDIF($I186-1,DQ$15+1,"m"),)/12,)-1,)*Index!DM$23*(DQ$15&gt;$I204)*(1-DQ$12)</f>
        <v>0</v>
      </c>
      <c r="DR204" s="747">
        <f>$G204*$H204*(1+$K204)^MAX(ROUNDUP(IFERROR(DATEDIF($I186-1,DR$15+1,"m"),)/12,)-1,)*Index!DN$23*(DR$15&gt;$I204)*(1-DR$12)</f>
        <v>0</v>
      </c>
      <c r="DS204" s="747">
        <f>$G204*$H204*(1+$K204)^MAX(ROUNDUP(IFERROR(DATEDIF($I186-1,DS$15+1,"m"),)/12,)-1,)*Index!DO$23*(DS$15&gt;$I204)*(1-DS$12)</f>
        <v>0</v>
      </c>
      <c r="DT204" s="747">
        <f>$G204*$H204*(1+$K204)^MAX(ROUNDUP(IFERROR(DATEDIF($I186-1,DT$15+1,"m"),)/12,)-1,)*Index!DP$23*(DT$15&gt;$I204)*(1-DT$12)</f>
        <v>0</v>
      </c>
      <c r="DU204" s="747">
        <f>$G204*$H204*(1+$K204)^MAX(ROUNDUP(IFERROR(DATEDIF($I186-1,DU$15+1,"m"),)/12,)-1,)*Index!DQ$23*(DU$15&gt;$I204)*(1-DU$12)</f>
        <v>0</v>
      </c>
      <c r="DV204" s="747">
        <f>$G204*$H204*(1+$K204)^MAX(ROUNDUP(IFERROR(DATEDIF($I186-1,DV$15+1,"m"),)/12,)-1,)*Index!DR$23*(DV$15&gt;$I204)*(1-DV$12)</f>
        <v>0</v>
      </c>
      <c r="DW204" s="747">
        <f>$G204*$H204*(1+$K204)^MAX(ROUNDUP(IFERROR(DATEDIF($I186-1,DW$15+1,"m"),)/12,)-1,)*Index!DS$23*(DW$15&gt;$I204)*(1-DW$12)</f>
        <v>0</v>
      </c>
      <c r="DX204" s="747">
        <f>$G204*$H204*(1+$K204)^MAX(ROUNDUP(IFERROR(DATEDIF($I186-1,DX$15+1,"m"),)/12,)-1,)*Index!DT$23*(DX$15&gt;$I204)*(1-DX$12)</f>
        <v>0</v>
      </c>
      <c r="DY204" s="747">
        <f>$G204*$H204*(1+$K204)^MAX(ROUNDUP(IFERROR(DATEDIF($I186-1,DY$15+1,"m"),)/12,)-1,)*Index!DU$23*(DY$15&gt;$I204)*(1-DY$12)</f>
        <v>0</v>
      </c>
      <c r="DZ204" s="747">
        <f>$G204*$H204*(1+$K204)^MAX(ROUNDUP(IFERROR(DATEDIF($I186-1,DZ$15+1,"m"),)/12,)-1,)*Index!DV$23*(DZ$15&gt;$I204)*(1-DZ$12)</f>
        <v>0</v>
      </c>
      <c r="EA204" s="747">
        <f>$G204*$H204*(1+$K204)^MAX(ROUNDUP(IFERROR(DATEDIF($I186-1,EA$15+1,"m"),)/12,)-1,)*Index!DW$23*(EA$15&gt;$I204)*(1-EA$12)</f>
        <v>0</v>
      </c>
      <c r="EB204" s="747">
        <f>$G204*$H204*(1+$K204)^MAX(ROUNDUP(IFERROR(DATEDIF($I186-1,EB$15+1,"m"),)/12,)-1,)*Index!DX$23*(EB$15&gt;$I204)*(1-EB$12)</f>
        <v>0</v>
      </c>
      <c r="EC204" s="747">
        <f>$G204*$H204*(1+$K204)^MAX(ROUNDUP(IFERROR(DATEDIF($I186-1,EC$15+1,"m"),)/12,)-1,)*Index!DY$23*(EC$15&gt;$I204)*(1-EC$12)</f>
        <v>0</v>
      </c>
      <c r="ED204" s="747">
        <f>$G204*$H204*(1+$K204)^MAX(ROUNDUP(IFERROR(DATEDIF($I186-1,ED$15+1,"m"),)/12,)-1,)*Index!DZ$23*(ED$15&gt;$I204)*(1-ED$12)</f>
        <v>0</v>
      </c>
      <c r="EE204" s="747">
        <f>$G204*$H204*(1+$K204)^MAX(ROUNDUP(IFERROR(DATEDIF($I186-1,EE$15+1,"m"),)/12,)-1,)*Index!EA$23*(EE$15&gt;$I204)*(1-EE$12)</f>
        <v>0</v>
      </c>
      <c r="EF204" s="747">
        <f>$G204*$H204*(1+$K204)^MAX(ROUNDUP(IFERROR(DATEDIF($I186-1,EF$15+1,"m"),)/12,)-1,)*Index!EB$23*(EF$15&gt;$I204)*(1-EF$12)</f>
        <v>0</v>
      </c>
      <c r="EG204" s="747">
        <f>$G204*$H204*(1+$K204)^MAX(ROUNDUP(IFERROR(DATEDIF($I186-1,EG$15+1,"m"),)/12,)-1,)*Index!EC$23*(EG$15&gt;$I204)*(1-EG$12)</f>
        <v>8788.7396860763474</v>
      </c>
      <c r="EH204" s="747">
        <f>$G204*$H204*(1+$K204)^MAX(ROUNDUP(IFERROR(DATEDIF($I186-1,EH$15+1,"m"),)/12,)-1,)*Index!ED$23*(EH$15&gt;$I204)*(1-EH$12)</f>
        <v>8788.7396860763474</v>
      </c>
      <c r="EI204" s="747">
        <f>$G204*$H204*(1+$K204)^MAX(ROUNDUP(IFERROR(DATEDIF($I186-1,EI$15+1,"m"),)/12,)-1,)*Index!EE$23*(EI$15&gt;$I204)*(1-EI$12)</f>
        <v>8788.7396860763474</v>
      </c>
      <c r="EJ204" s="747">
        <f>$G204*$H204*(1+$K204)^MAX(ROUNDUP(IFERROR(DATEDIF($I186-1,EJ$15+1,"m"),)/12,)-1,)*Index!EF$23*(EJ$15&gt;$I204)*(1-EJ$12)</f>
        <v>9008.4581782282548</v>
      </c>
      <c r="EK204" s="747">
        <f>$G204*$H204*(1+$K204)^MAX(ROUNDUP(IFERROR(DATEDIF($I186-1,EK$15+1,"m"),)/12,)-1,)*Index!EG$23*(EK$15&gt;$I204)*(1-EK$12)</f>
        <v>9008.4581782282548</v>
      </c>
      <c r="EL204" s="747">
        <f>$G204*$H204*(1+$K204)^MAX(ROUNDUP(IFERROR(DATEDIF($I186-1,EL$15+1,"m"),)/12,)-1,)*Index!EH$23*(EL$15&gt;$I204)*(1-EL$12)</f>
        <v>9008.4581782282548</v>
      </c>
      <c r="EM204" s="747">
        <f>$G204*$H204*(1+$K204)^MAX(ROUNDUP(IFERROR(DATEDIF($I186-1,EM$15+1,"m"),)/12,)-1,)*Index!EI$23*(EM$15&gt;$I204)*(1-EM$12)</f>
        <v>9008.4581782282548</v>
      </c>
      <c r="EN204" s="747">
        <f>$G204*$H204*(1+$K204)^MAX(ROUNDUP(IFERROR(DATEDIF($I186-1,EN$15+1,"m"),)/12,)-1,)*Index!EJ$23*(EN$15&gt;$I204)*(1-EN$12)</f>
        <v>9008.4581782282548</v>
      </c>
      <c r="EO204" s="747">
        <f>$G204*$H204*(1+$K204)^MAX(ROUNDUP(IFERROR(DATEDIF($I186-1,EO$15+1,"m"),)/12,)-1,)*Index!EK$23*(EO$15&gt;$I204)*(1-EO$12)</f>
        <v>9008.4581782282548</v>
      </c>
      <c r="EP204" s="747">
        <f>$G204*$H204*(1+$K204)^MAX(ROUNDUP(IFERROR(DATEDIF($I186-1,EP$15+1,"m"),)/12,)-1,)*Index!EL$23*(EP$15&gt;$I204)*(1-EP$12)</f>
        <v>9008.4581782282548</v>
      </c>
      <c r="EQ204" s="747">
        <f>$G204*$H204*(1+$K204)^MAX(ROUNDUP(IFERROR(DATEDIF($I186-1,EQ$15+1,"m"),)/12,)-1,)*Index!EM$23*(EQ$15&gt;$I204)*(1-EQ$12)</f>
        <v>9008.4581782282548</v>
      </c>
      <c r="ER204" s="747">
        <f>$G204*$H204*(1+$K204)^MAX(ROUNDUP(IFERROR(DATEDIF($I186-1,ER$15+1,"m"),)/12,)-1,)*Index!EN$23*(ER$15&gt;$I204)*(1-ER$12)</f>
        <v>9008.4581782282548</v>
      </c>
      <c r="ES204" s="747">
        <f>$G204*$H204*(1+$K204)^MAX(ROUNDUP(IFERROR(DATEDIF($I186-1,ES$15+1,"m"),)/12,)-1,)*Index!EO$23*(ES$15&gt;$I204)*(1-ES$12)</f>
        <v>0</v>
      </c>
      <c r="ET204" s="747">
        <f>$G204*$H204*(1+$K204)^MAX(ROUNDUP(IFERROR(DATEDIF($I186-1,ET$15+1,"m"),)/12,)-1,)*Index!EP$23*(ET$15&gt;$I204)*(1-ET$12)</f>
        <v>0</v>
      </c>
      <c r="EU204" s="747">
        <f>$G204*$H204*(1+$K204)^MAX(ROUNDUP(IFERROR(DATEDIF($I186-1,EU$15+1,"m"),)/12,)-1,)*Index!EQ$23*(EU$15&gt;$I204)*(1-EU$12)</f>
        <v>0</v>
      </c>
    </row>
    <row r="205" spans="3:151" ht="11.25" customHeight="1">
      <c r="C205" s="828"/>
      <c r="D205" s="743">
        <f t="shared" ref="D205:I205" si="280">D169</f>
        <v>4</v>
      </c>
      <c r="E205" s="704" t="str">
        <f t="shared" si="280"/>
        <v>쿠팡</v>
      </c>
      <c r="F205" s="704" t="str">
        <f t="shared" si="280"/>
        <v>상온창고</v>
      </c>
      <c r="G205" s="781">
        <f t="shared" si="280"/>
        <v>2.9900433370455741</v>
      </c>
      <c r="H205" s="744">
        <f t="shared" si="280"/>
        <v>2185.56</v>
      </c>
      <c r="I205" s="745">
        <f t="shared" si="280"/>
        <v>49064</v>
      </c>
      <c r="J205" s="745"/>
      <c r="K205" s="754">
        <f t="shared" si="272"/>
        <v>2.5000000000000001E-2</v>
      </c>
      <c r="L205" s="746"/>
      <c r="M205" s="722"/>
      <c r="N205" s="747">
        <f t="shared" si="273"/>
        <v>106783.18718582764</v>
      </c>
      <c r="O205" s="733"/>
      <c r="P205" s="747">
        <f>$G205*$H205*(1+$K205)^MAX(ROUNDUP(IFERROR(DATEDIF($I187-1,P$15+1,"m"),)/12,)-1,)*Index!L$23*(P$15&gt;$I205)*(1-P$12)</f>
        <v>0</v>
      </c>
      <c r="Q205" s="747">
        <f>$G205*$H205*(1+$K205)^MAX(ROUNDUP(IFERROR(DATEDIF($I187-1,Q$15+1,"m"),)/12,)-1,)*Index!M$23*(Q$15&gt;$I205)*(1-Q$12)</f>
        <v>0</v>
      </c>
      <c r="R205" s="747">
        <f>$G205*$H205*(1+$K205)^MAX(ROUNDUP(IFERROR(DATEDIF($I187-1,R$15+1,"m"),)/12,)-1,)*Index!N$23*(R$15&gt;$I205)*(1-R$12)</f>
        <v>0</v>
      </c>
      <c r="S205" s="747">
        <f>$G205*$H205*(1+$K205)^MAX(ROUNDUP(IFERROR(DATEDIF($I187-1,S$15+1,"m"),)/12,)-1,)*Index!O$23*(S$15&gt;$I205)*(1-S$12)</f>
        <v>0</v>
      </c>
      <c r="T205" s="747">
        <f>$G205*$H205*(1+$K205)^MAX(ROUNDUP(IFERROR(DATEDIF($I187-1,T$15+1,"m"),)/12,)-1,)*Index!P$23*(T$15&gt;$I205)*(1-T$12)</f>
        <v>0</v>
      </c>
      <c r="U205" s="747">
        <f>$G205*$H205*(1+$K205)^MAX(ROUNDUP(IFERROR(DATEDIF($I187-1,U$15+1,"m"),)/12,)-1,)*Index!Q$23*(U$15&gt;$I205)*(1-U$12)</f>
        <v>0</v>
      </c>
      <c r="V205" s="747">
        <f>$G205*$H205*(1+$K205)^MAX(ROUNDUP(IFERROR(DATEDIF($I187-1,V$15+1,"m"),)/12,)-1,)*Index!R$23*(V$15&gt;$I205)*(1-V$12)</f>
        <v>0</v>
      </c>
      <c r="W205" s="747">
        <f>$G205*$H205*(1+$K205)^MAX(ROUNDUP(IFERROR(DATEDIF($I187-1,W$15+1,"m"),)/12,)-1,)*Index!S$23*(W$15&gt;$I205)*(1-W$12)</f>
        <v>0</v>
      </c>
      <c r="X205" s="747">
        <f>$G205*$H205*(1+$K205)^MAX(ROUNDUP(IFERROR(DATEDIF($I187-1,X$15+1,"m"),)/12,)-1,)*Index!T$23*(X$15&gt;$I205)*(1-X$12)</f>
        <v>0</v>
      </c>
      <c r="Y205" s="747">
        <f>$G205*$H205*(1+$K205)^MAX(ROUNDUP(IFERROR(DATEDIF($I187-1,Y$15+1,"m"),)/12,)-1,)*Index!U$23*(Y$15&gt;$I205)*(1-Y$12)</f>
        <v>0</v>
      </c>
      <c r="Z205" s="747">
        <f>$G205*$H205*(1+$K205)^MAX(ROUNDUP(IFERROR(DATEDIF($I187-1,Z$15+1,"m"),)/12,)-1,)*Index!V$23*(Z$15&gt;$I205)*(1-Z$12)</f>
        <v>0</v>
      </c>
      <c r="AA205" s="747">
        <f>$G205*$H205*(1+$K205)^MAX(ROUNDUP(IFERROR(DATEDIF($I187-1,AA$15+1,"m"),)/12,)-1,)*Index!W$23*(AA$15&gt;$I205)*(1-AA$12)</f>
        <v>0</v>
      </c>
      <c r="AB205" s="747">
        <f>$G205*$H205*(1+$K205)^MAX(ROUNDUP(IFERROR(DATEDIF($I187-1,AB$15+1,"m"),)/12,)-1,)*Index!X$23*(AB$15&gt;$I205)*(1-AB$12)</f>
        <v>0</v>
      </c>
      <c r="AC205" s="747">
        <f>$G205*$H205*(1+$K205)^MAX(ROUNDUP(IFERROR(DATEDIF($I187-1,AC$15+1,"m"),)/12,)-1,)*Index!Y$23*(AC$15&gt;$I205)*(1-AC$12)</f>
        <v>0</v>
      </c>
      <c r="AD205" s="747">
        <f>$G205*$H205*(1+$K205)^MAX(ROUNDUP(IFERROR(DATEDIF($I187-1,AD$15+1,"m"),)/12,)-1,)*Index!Z$23*(AD$15&gt;$I205)*(1-AD$12)</f>
        <v>0</v>
      </c>
      <c r="AE205" s="747">
        <f>$G205*$H205*(1+$K205)^MAX(ROUNDUP(IFERROR(DATEDIF($I187-1,AE$15+1,"m"),)/12,)-1,)*Index!AA$23*(AE$15&gt;$I205)*(1-AE$12)</f>
        <v>0</v>
      </c>
      <c r="AF205" s="747">
        <f>$G205*$H205*(1+$K205)^MAX(ROUNDUP(IFERROR(DATEDIF($I187-1,AF$15+1,"m"),)/12,)-1,)*Index!AB$23*(AF$15&gt;$I205)*(1-AF$12)</f>
        <v>0</v>
      </c>
      <c r="AG205" s="747">
        <f>$G205*$H205*(1+$K205)^MAX(ROUNDUP(IFERROR(DATEDIF($I187-1,AG$15+1,"m"),)/12,)-1,)*Index!AC$23*(AG$15&gt;$I205)*(1-AG$12)</f>
        <v>0</v>
      </c>
      <c r="AH205" s="747">
        <f>$G205*$H205*(1+$K205)^MAX(ROUNDUP(IFERROR(DATEDIF($I187-1,AH$15+1,"m"),)/12,)-1,)*Index!AD$23*(AH$15&gt;$I205)*(1-AH$12)</f>
        <v>0</v>
      </c>
      <c r="AI205" s="747">
        <f>$G205*$H205*(1+$K205)^MAX(ROUNDUP(IFERROR(DATEDIF($I187-1,AI$15+1,"m"),)/12,)-1,)*Index!AE$23*(AI$15&gt;$I205)*(1-AI$12)</f>
        <v>0</v>
      </c>
      <c r="AJ205" s="747">
        <f>$G205*$H205*(1+$K205)^MAX(ROUNDUP(IFERROR(DATEDIF($I187-1,AJ$15+1,"m"),)/12,)-1,)*Index!AF$23*(AJ$15&gt;$I205)*(1-AJ$12)</f>
        <v>0</v>
      </c>
      <c r="AK205" s="747">
        <f>$G205*$H205*(1+$K205)^MAX(ROUNDUP(IFERROR(DATEDIF($I187-1,AK$15+1,"m"),)/12,)-1,)*Index!AG$23*(AK$15&gt;$I205)*(1-AK$12)</f>
        <v>0</v>
      </c>
      <c r="AL205" s="747">
        <f>$G205*$H205*(1+$K205)^MAX(ROUNDUP(IFERROR(DATEDIF($I187-1,AL$15+1,"m"),)/12,)-1,)*Index!AH$23*(AL$15&gt;$I205)*(1-AL$12)</f>
        <v>0</v>
      </c>
      <c r="AM205" s="747">
        <f>$G205*$H205*(1+$K205)^MAX(ROUNDUP(IFERROR(DATEDIF($I187-1,AM$15+1,"m"),)/12,)-1,)*Index!AI$23*(AM$15&gt;$I205)*(1-AM$12)</f>
        <v>0</v>
      </c>
      <c r="AN205" s="747">
        <f>$G205*$H205*(1+$K205)^MAX(ROUNDUP(IFERROR(DATEDIF($I187-1,AN$15+1,"m"),)/12,)-1,)*Index!AJ$23*(AN$15&gt;$I205)*(1-AN$12)</f>
        <v>0</v>
      </c>
      <c r="AO205" s="747">
        <f>$G205*$H205*(1+$K205)^MAX(ROUNDUP(IFERROR(DATEDIF($I187-1,AO$15+1,"m"),)/12,)-1,)*Index!AK$23*(AO$15&gt;$I205)*(1-AO$12)</f>
        <v>0</v>
      </c>
      <c r="AP205" s="747">
        <f>$G205*$H205*(1+$K205)^MAX(ROUNDUP(IFERROR(DATEDIF($I187-1,AP$15+1,"m"),)/12,)-1,)*Index!AL$23*(AP$15&gt;$I205)*(1-AP$12)</f>
        <v>0</v>
      </c>
      <c r="AQ205" s="747">
        <f>$G205*$H205*(1+$K205)^MAX(ROUNDUP(IFERROR(DATEDIF($I187-1,AQ$15+1,"m"),)/12,)-1,)*Index!AM$23*(AQ$15&gt;$I205)*(1-AQ$12)</f>
        <v>0</v>
      </c>
      <c r="AR205" s="747">
        <f>$G205*$H205*(1+$K205)^MAX(ROUNDUP(IFERROR(DATEDIF($I187-1,AR$15+1,"m"),)/12,)-1,)*Index!AN$23*(AR$15&gt;$I205)*(1-AR$12)</f>
        <v>0</v>
      </c>
      <c r="AS205" s="747">
        <f>$G205*$H205*(1+$K205)^MAX(ROUNDUP(IFERROR(DATEDIF($I187-1,AS$15+1,"m"),)/12,)-1,)*Index!AO$23*(AS$15&gt;$I205)*(1-AS$12)</f>
        <v>0</v>
      </c>
      <c r="AT205" s="747">
        <f>$G205*$H205*(1+$K205)^MAX(ROUNDUP(IFERROR(DATEDIF($I187-1,AT$15+1,"m"),)/12,)-1,)*Index!AP$23*(AT$15&gt;$I205)*(1-AT$12)</f>
        <v>0</v>
      </c>
      <c r="AU205" s="747">
        <f>$G205*$H205*(1+$K205)^MAX(ROUNDUP(IFERROR(DATEDIF($I187-1,AU$15+1,"m"),)/12,)-1,)*Index!AQ$23*(AU$15&gt;$I205)*(1-AU$12)</f>
        <v>0</v>
      </c>
      <c r="AV205" s="747">
        <f>$G205*$H205*(1+$K205)^MAX(ROUNDUP(IFERROR(DATEDIF($I187-1,AV$15+1,"m"),)/12,)-1,)*Index!AR$23*(AV$15&gt;$I205)*(1-AV$12)</f>
        <v>0</v>
      </c>
      <c r="AW205" s="747">
        <f>$G205*$H205*(1+$K205)^MAX(ROUNDUP(IFERROR(DATEDIF($I187-1,AW$15+1,"m"),)/12,)-1,)*Index!AS$23*(AW$15&gt;$I205)*(1-AW$12)</f>
        <v>0</v>
      </c>
      <c r="AX205" s="747">
        <f>$G205*$H205*(1+$K205)^MAX(ROUNDUP(IFERROR(DATEDIF($I187-1,AX$15+1,"m"),)/12,)-1,)*Index!AT$23*(AX$15&gt;$I205)*(1-AX$12)</f>
        <v>0</v>
      </c>
      <c r="AY205" s="747">
        <f>$G205*$H205*(1+$K205)^MAX(ROUNDUP(IFERROR(DATEDIF($I187-1,AY$15+1,"m"),)/12,)-1,)*Index!AU$23*(AY$15&gt;$I205)*(1-AY$12)</f>
        <v>0</v>
      </c>
      <c r="AZ205" s="747">
        <f>$G205*$H205*(1+$K205)^MAX(ROUNDUP(IFERROR(DATEDIF($I187-1,AZ$15+1,"m"),)/12,)-1,)*Index!AV$23*(AZ$15&gt;$I205)*(1-AZ$12)</f>
        <v>0</v>
      </c>
      <c r="BA205" s="747">
        <f>$G205*$H205*(1+$K205)^MAX(ROUNDUP(IFERROR(DATEDIF($I187-1,BA$15+1,"m"),)/12,)-1,)*Index!AW$23*(BA$15&gt;$I205)*(1-BA$12)</f>
        <v>0</v>
      </c>
      <c r="BB205" s="747">
        <f>$G205*$H205*(1+$K205)^MAX(ROUNDUP(IFERROR(DATEDIF($I187-1,BB$15+1,"m"),)/12,)-1,)*Index!AX$23*(BB$15&gt;$I205)*(1-BB$12)</f>
        <v>0</v>
      </c>
      <c r="BC205" s="747">
        <f>$G205*$H205*(1+$K205)^MAX(ROUNDUP(IFERROR(DATEDIF($I187-1,BC$15+1,"m"),)/12,)-1,)*Index!AY$23*(BC$15&gt;$I205)*(1-BC$12)</f>
        <v>0</v>
      </c>
      <c r="BD205" s="747">
        <f>$G205*$H205*(1+$K205)^MAX(ROUNDUP(IFERROR(DATEDIF($I187-1,BD$15+1,"m"),)/12,)-1,)*Index!AZ$23*(BD$15&gt;$I205)*(1-BD$12)</f>
        <v>0</v>
      </c>
      <c r="BE205" s="747">
        <f>$G205*$H205*(1+$K205)^MAX(ROUNDUP(IFERROR(DATEDIF($I187-1,BE$15+1,"m"),)/12,)-1,)*Index!BA$23*(BE$15&gt;$I205)*(1-BE$12)</f>
        <v>0</v>
      </c>
      <c r="BF205" s="747">
        <f>$G205*$H205*(1+$K205)^MAX(ROUNDUP(IFERROR(DATEDIF($I187-1,BF$15+1,"m"),)/12,)-1,)*Index!BB$23*(BF$15&gt;$I205)*(1-BF$12)</f>
        <v>0</v>
      </c>
      <c r="BG205" s="747">
        <f>$G205*$H205*(1+$K205)^MAX(ROUNDUP(IFERROR(DATEDIF($I187-1,BG$15+1,"m"),)/12,)-1,)*Index!BC$23*(BG$15&gt;$I205)*(1-BG$12)</f>
        <v>0</v>
      </c>
      <c r="BH205" s="747">
        <f>$G205*$H205*(1+$K205)^MAX(ROUNDUP(IFERROR(DATEDIF($I187-1,BH$15+1,"m"),)/12,)-1,)*Index!BD$23*(BH$15&gt;$I205)*(1-BH$12)</f>
        <v>0</v>
      </c>
      <c r="BI205" s="747">
        <f>$G205*$H205*(1+$K205)^MAX(ROUNDUP(IFERROR(DATEDIF($I187-1,BI$15+1,"m"),)/12,)-1,)*Index!BE$23*(BI$15&gt;$I205)*(1-BI$12)</f>
        <v>0</v>
      </c>
      <c r="BJ205" s="747">
        <f>$G205*$H205*(1+$K205)^MAX(ROUNDUP(IFERROR(DATEDIF($I187-1,BJ$15+1,"m"),)/12,)-1,)*Index!BF$23*(BJ$15&gt;$I205)*(1-BJ$12)</f>
        <v>0</v>
      </c>
      <c r="BK205" s="747">
        <f>$G205*$H205*(1+$K205)^MAX(ROUNDUP(IFERROR(DATEDIF($I187-1,BK$15+1,"m"),)/12,)-1,)*Index!BG$23*(BK$15&gt;$I205)*(1-BK$12)</f>
        <v>0</v>
      </c>
      <c r="BL205" s="747">
        <f>$G205*$H205*(1+$K205)^MAX(ROUNDUP(IFERROR(DATEDIF($I187-1,BL$15+1,"m"),)/12,)-1,)*Index!BH$23*(BL$15&gt;$I205)*(1-BL$12)</f>
        <v>0</v>
      </c>
      <c r="BM205" s="747">
        <f>$G205*$H205*(1+$K205)^MAX(ROUNDUP(IFERROR(DATEDIF($I187-1,BM$15+1,"m"),)/12,)-1,)*Index!BI$23*(BM$15&gt;$I205)*(1-BM$12)</f>
        <v>0</v>
      </c>
      <c r="BN205" s="747">
        <f>$G205*$H205*(1+$K205)^MAX(ROUNDUP(IFERROR(DATEDIF($I187-1,BN$15+1,"m"),)/12,)-1,)*Index!BJ$23*(BN$15&gt;$I205)*(1-BN$12)</f>
        <v>0</v>
      </c>
      <c r="BO205" s="747">
        <f>$G205*$H205*(1+$K205)^MAX(ROUNDUP(IFERROR(DATEDIF($I187-1,BO$15+1,"m"),)/12,)-1,)*Index!BK$23*(BO$15&gt;$I205)*(1-BO$12)</f>
        <v>0</v>
      </c>
      <c r="BP205" s="747">
        <f>$G205*$H205*(1+$K205)^MAX(ROUNDUP(IFERROR(DATEDIF($I187-1,BP$15+1,"m"),)/12,)-1,)*Index!BL$23*(BP$15&gt;$I205)*(1-BP$12)</f>
        <v>0</v>
      </c>
      <c r="BQ205" s="747">
        <f>$G205*$H205*(1+$K205)^MAX(ROUNDUP(IFERROR(DATEDIF($I187-1,BQ$15+1,"m"),)/12,)-1,)*Index!BM$23*(BQ$15&gt;$I205)*(1-BQ$12)</f>
        <v>0</v>
      </c>
      <c r="BR205" s="747">
        <f>$G205*$H205*(1+$K205)^MAX(ROUNDUP(IFERROR(DATEDIF($I187-1,BR$15+1,"m"),)/12,)-1,)*Index!BN$23*(BR$15&gt;$I205)*(1-BR$12)</f>
        <v>0</v>
      </c>
      <c r="BS205" s="747">
        <f>$G205*$H205*(1+$K205)^MAX(ROUNDUP(IFERROR(DATEDIF($I187-1,BS$15+1,"m"),)/12,)-1,)*Index!BO$23*(BS$15&gt;$I205)*(1-BS$12)</f>
        <v>0</v>
      </c>
      <c r="BT205" s="747">
        <f>$G205*$H205*(1+$K205)^MAX(ROUNDUP(IFERROR(DATEDIF($I187-1,BT$15+1,"m"),)/12,)-1,)*Index!BP$23*(BT$15&gt;$I205)*(1-BT$12)</f>
        <v>0</v>
      </c>
      <c r="BU205" s="747">
        <f>$G205*$H205*(1+$K205)^MAX(ROUNDUP(IFERROR(DATEDIF($I187-1,BU$15+1,"m"),)/12,)-1,)*Index!BQ$23*(BU$15&gt;$I205)*(1-BU$12)</f>
        <v>0</v>
      </c>
      <c r="BV205" s="747">
        <f>$G205*$H205*(1+$K205)^MAX(ROUNDUP(IFERROR(DATEDIF($I187-1,BV$15+1,"m"),)/12,)-1,)*Index!BR$23*(BV$15&gt;$I205)*(1-BV$12)</f>
        <v>0</v>
      </c>
      <c r="BW205" s="747">
        <f>$G205*$H205*(1+$K205)^MAX(ROUNDUP(IFERROR(DATEDIF($I187-1,BW$15+1,"m"),)/12,)-1,)*Index!BS$23*(BW$15&gt;$I205)*(1-BW$12)</f>
        <v>0</v>
      </c>
      <c r="BX205" s="747">
        <f>$G205*$H205*(1+$K205)^MAX(ROUNDUP(IFERROR(DATEDIF($I187-1,BX$15+1,"m"),)/12,)-1,)*Index!BT$23*(BX$15&gt;$I205)*(1-BX$12)</f>
        <v>0</v>
      </c>
      <c r="BY205" s="747">
        <f>$G205*$H205*(1+$K205)^MAX(ROUNDUP(IFERROR(DATEDIF($I187-1,BY$15+1,"m"),)/12,)-1,)*Index!BU$23*(BY$15&gt;$I205)*(1-BY$12)</f>
        <v>0</v>
      </c>
      <c r="BZ205" s="747">
        <f>$G205*$H205*(1+$K205)^MAX(ROUNDUP(IFERROR(DATEDIF($I187-1,BZ$15+1,"m"),)/12,)-1,)*Index!BV$23*(BZ$15&gt;$I205)*(1-BZ$12)</f>
        <v>0</v>
      </c>
      <c r="CA205" s="747">
        <f>$G205*$H205*(1+$K205)^MAX(ROUNDUP(IFERROR(DATEDIF($I187-1,CA$15+1,"m"),)/12,)-1,)*Index!BW$23*(CA$15&gt;$I205)*(1-CA$12)</f>
        <v>0</v>
      </c>
      <c r="CB205" s="747">
        <f>$G205*$H205*(1+$K205)^MAX(ROUNDUP(IFERROR(DATEDIF($I187-1,CB$15+1,"m"),)/12,)-1,)*Index!BX$23*(CB$15&gt;$I205)*(1-CB$12)</f>
        <v>0</v>
      </c>
      <c r="CC205" s="747">
        <f>$G205*$H205*(1+$K205)^MAX(ROUNDUP(IFERROR(DATEDIF($I187-1,CC$15+1,"m"),)/12,)-1,)*Index!BY$23*(CC$15&gt;$I205)*(1-CC$12)</f>
        <v>0</v>
      </c>
      <c r="CD205" s="747">
        <f>$G205*$H205*(1+$K205)^MAX(ROUNDUP(IFERROR(DATEDIF($I187-1,CD$15+1,"m"),)/12,)-1,)*Index!BZ$23*(CD$15&gt;$I205)*(1-CD$12)</f>
        <v>0</v>
      </c>
      <c r="CE205" s="747">
        <f>$G205*$H205*(1+$K205)^MAX(ROUNDUP(IFERROR(DATEDIF($I187-1,CE$15+1,"m"),)/12,)-1,)*Index!CA$23*(CE$15&gt;$I205)*(1-CE$12)</f>
        <v>0</v>
      </c>
      <c r="CF205" s="747">
        <f>$G205*$H205*(1+$K205)^MAX(ROUNDUP(IFERROR(DATEDIF($I187-1,CF$15+1,"m"),)/12,)-1,)*Index!CB$23*(CF$15&gt;$I205)*(1-CF$12)</f>
        <v>0</v>
      </c>
      <c r="CG205" s="747">
        <f>$G205*$H205*(1+$K205)^MAX(ROUNDUP(IFERROR(DATEDIF($I187-1,CG$15+1,"m"),)/12,)-1,)*Index!CC$23*(CG$15&gt;$I205)*(1-CG$12)</f>
        <v>0</v>
      </c>
      <c r="CH205" s="747">
        <f>$G205*$H205*(1+$K205)^MAX(ROUNDUP(IFERROR(DATEDIF($I187-1,CH$15+1,"m"),)/12,)-1,)*Index!CD$23*(CH$15&gt;$I205)*(1-CH$12)</f>
        <v>0</v>
      </c>
      <c r="CI205" s="747">
        <f>$G205*$H205*(1+$K205)^MAX(ROUNDUP(IFERROR(DATEDIF($I187-1,CI$15+1,"m"),)/12,)-1,)*Index!CE$23*(CI$15&gt;$I205)*(1-CI$12)</f>
        <v>0</v>
      </c>
      <c r="CJ205" s="747">
        <f>$G205*$H205*(1+$K205)^MAX(ROUNDUP(IFERROR(DATEDIF($I187-1,CJ$15+1,"m"),)/12,)-1,)*Index!CF$23*(CJ$15&gt;$I205)*(1-CJ$12)</f>
        <v>0</v>
      </c>
      <c r="CK205" s="747">
        <f>$G205*$H205*(1+$K205)^MAX(ROUNDUP(IFERROR(DATEDIF($I187-1,CK$15+1,"m"),)/12,)-1,)*Index!CG$23*(CK$15&gt;$I205)*(1-CK$12)</f>
        <v>0</v>
      </c>
      <c r="CL205" s="747">
        <f>$G205*$H205*(1+$K205)^MAX(ROUNDUP(IFERROR(DATEDIF($I187-1,CL$15+1,"m"),)/12,)-1,)*Index!CH$23*(CL$15&gt;$I205)*(1-CL$12)</f>
        <v>0</v>
      </c>
      <c r="CM205" s="747">
        <f>$G205*$H205*(1+$K205)^MAX(ROUNDUP(IFERROR(DATEDIF($I187-1,CM$15+1,"m"),)/12,)-1,)*Index!CI$23*(CM$15&gt;$I205)*(1-CM$12)</f>
        <v>0</v>
      </c>
      <c r="CN205" s="747">
        <f>$G205*$H205*(1+$K205)^MAX(ROUNDUP(IFERROR(DATEDIF($I187-1,CN$15+1,"m"),)/12,)-1,)*Index!CJ$23*(CN$15&gt;$I205)*(1-CN$12)</f>
        <v>0</v>
      </c>
      <c r="CO205" s="747">
        <f>$G205*$H205*(1+$K205)^MAX(ROUNDUP(IFERROR(DATEDIF($I187-1,CO$15+1,"m"),)/12,)-1,)*Index!CK$23*(CO$15&gt;$I205)*(1-CO$12)</f>
        <v>0</v>
      </c>
      <c r="CP205" s="747">
        <f>$G205*$H205*(1+$K205)^MAX(ROUNDUP(IFERROR(DATEDIF($I187-1,CP$15+1,"m"),)/12,)-1,)*Index!CL$23*(CP$15&gt;$I205)*(1-CP$12)</f>
        <v>0</v>
      </c>
      <c r="CQ205" s="747">
        <f>$G205*$H205*(1+$K205)^MAX(ROUNDUP(IFERROR(DATEDIF($I187-1,CQ$15+1,"m"),)/12,)-1,)*Index!CM$23*(CQ$15&gt;$I205)*(1-CQ$12)</f>
        <v>0</v>
      </c>
      <c r="CR205" s="747">
        <f>$G205*$H205*(1+$K205)^MAX(ROUNDUP(IFERROR(DATEDIF($I187-1,CR$15+1,"m"),)/12,)-1,)*Index!CN$23*(CR$15&gt;$I205)*(1-CR$12)</f>
        <v>0</v>
      </c>
      <c r="CS205" s="747">
        <f>$G205*$H205*(1+$K205)^MAX(ROUNDUP(IFERROR(DATEDIF($I187-1,CS$15+1,"m"),)/12,)-1,)*Index!CO$23*(CS$15&gt;$I205)*(1-CS$12)</f>
        <v>0</v>
      </c>
      <c r="CT205" s="747">
        <f>$G205*$H205*(1+$K205)^MAX(ROUNDUP(IFERROR(DATEDIF($I187-1,CT$15+1,"m"),)/12,)-1,)*Index!CP$23*(CT$15&gt;$I205)*(1-CT$12)</f>
        <v>0</v>
      </c>
      <c r="CU205" s="747">
        <f>$G205*$H205*(1+$K205)^MAX(ROUNDUP(IFERROR(DATEDIF($I187-1,CU$15+1,"m"),)/12,)-1,)*Index!CQ$23*(CU$15&gt;$I205)*(1-CU$12)</f>
        <v>0</v>
      </c>
      <c r="CV205" s="747">
        <f>$G205*$H205*(1+$K205)^MAX(ROUNDUP(IFERROR(DATEDIF($I187-1,CV$15+1,"m"),)/12,)-1,)*Index!CR$23*(CV$15&gt;$I205)*(1-CV$12)</f>
        <v>0</v>
      </c>
      <c r="CW205" s="747">
        <f>$G205*$H205*(1+$K205)^MAX(ROUNDUP(IFERROR(DATEDIF($I187-1,CW$15+1,"m"),)/12,)-1,)*Index!CS$23*(CW$15&gt;$I205)*(1-CW$12)</f>
        <v>0</v>
      </c>
      <c r="CX205" s="747">
        <f>$G205*$H205*(1+$K205)^MAX(ROUNDUP(IFERROR(DATEDIF($I187-1,CX$15+1,"m"),)/12,)-1,)*Index!CT$23*(CX$15&gt;$I205)*(1-CX$12)</f>
        <v>0</v>
      </c>
      <c r="CY205" s="747">
        <f>$G205*$H205*(1+$K205)^MAX(ROUNDUP(IFERROR(DATEDIF($I187-1,CY$15+1,"m"),)/12,)-1,)*Index!CU$23*(CY$15&gt;$I205)*(1-CY$12)</f>
        <v>0</v>
      </c>
      <c r="CZ205" s="747">
        <f>$G205*$H205*(1+$K205)^MAX(ROUNDUP(IFERROR(DATEDIF($I187-1,CZ$15+1,"m"),)/12,)-1,)*Index!CV$23*(CZ$15&gt;$I205)*(1-CZ$12)</f>
        <v>0</v>
      </c>
      <c r="DA205" s="747">
        <f>$G205*$H205*(1+$K205)^MAX(ROUNDUP(IFERROR(DATEDIF($I187-1,DA$15+1,"m"),)/12,)-1,)*Index!CW$23*(DA$15&gt;$I205)*(1-DA$12)</f>
        <v>0</v>
      </c>
      <c r="DB205" s="747">
        <f>$G205*$H205*(1+$K205)^MAX(ROUNDUP(IFERROR(DATEDIF($I187-1,DB$15+1,"m"),)/12,)-1,)*Index!CX$23*(DB$15&gt;$I205)*(1-DB$12)</f>
        <v>0</v>
      </c>
      <c r="DC205" s="747">
        <f>$G205*$H205*(1+$K205)^MAX(ROUNDUP(IFERROR(DATEDIF($I187-1,DC$15+1,"m"),)/12,)-1,)*Index!CY$23*(DC$15&gt;$I205)*(1-DC$12)</f>
        <v>0</v>
      </c>
      <c r="DD205" s="747">
        <f>$G205*$H205*(1+$K205)^MAX(ROUNDUP(IFERROR(DATEDIF($I187-1,DD$15+1,"m"),)/12,)-1,)*Index!CZ$23*(DD$15&gt;$I205)*(1-DD$12)</f>
        <v>0</v>
      </c>
      <c r="DE205" s="747">
        <f>$G205*$H205*(1+$K205)^MAX(ROUNDUP(IFERROR(DATEDIF($I187-1,DE$15+1,"m"),)/12,)-1,)*Index!DA$23*(DE$15&gt;$I205)*(1-DE$12)</f>
        <v>0</v>
      </c>
      <c r="DF205" s="747">
        <f>$G205*$H205*(1+$K205)^MAX(ROUNDUP(IFERROR(DATEDIF($I187-1,DF$15+1,"m"),)/12,)-1,)*Index!DB$23*(DF$15&gt;$I205)*(1-DF$12)</f>
        <v>0</v>
      </c>
      <c r="DG205" s="747">
        <f>$G205*$H205*(1+$K205)^MAX(ROUNDUP(IFERROR(DATEDIF($I187-1,DG$15+1,"m"),)/12,)-1,)*Index!DC$23*(DG$15&gt;$I205)*(1-DG$12)</f>
        <v>0</v>
      </c>
      <c r="DH205" s="747">
        <f>$G205*$H205*(1+$K205)^MAX(ROUNDUP(IFERROR(DATEDIF($I187-1,DH$15+1,"m"),)/12,)-1,)*Index!DD$23*(DH$15&gt;$I205)*(1-DH$12)</f>
        <v>0</v>
      </c>
      <c r="DI205" s="747">
        <f>$G205*$H205*(1+$K205)^MAX(ROUNDUP(IFERROR(DATEDIF($I187-1,DI$15+1,"m"),)/12,)-1,)*Index!DE$23*(DI$15&gt;$I205)*(1-DI$12)</f>
        <v>0</v>
      </c>
      <c r="DJ205" s="747">
        <f>$G205*$H205*(1+$K205)^MAX(ROUNDUP(IFERROR(DATEDIF($I187-1,DJ$15+1,"m"),)/12,)-1,)*Index!DF$23*(DJ$15&gt;$I205)*(1-DJ$12)</f>
        <v>0</v>
      </c>
      <c r="DK205" s="747">
        <f>$G205*$H205*(1+$K205)^MAX(ROUNDUP(IFERROR(DATEDIF($I187-1,DK$15+1,"m"),)/12,)-1,)*Index!DG$23*(DK$15&gt;$I205)*(1-DK$12)</f>
        <v>0</v>
      </c>
      <c r="DL205" s="747">
        <f>$G205*$H205*(1+$K205)^MAX(ROUNDUP(IFERROR(DATEDIF($I187-1,DL$15+1,"m"),)/12,)-1,)*Index!DH$23*(DL$15&gt;$I205)*(1-DL$12)</f>
        <v>0</v>
      </c>
      <c r="DM205" s="747">
        <f>$G205*$H205*(1+$K205)^MAX(ROUNDUP(IFERROR(DATEDIF($I187-1,DM$15+1,"m"),)/12,)-1,)*Index!DI$23*(DM$15&gt;$I205)*(1-DM$12)</f>
        <v>0</v>
      </c>
      <c r="DN205" s="747">
        <f>$G205*$H205*(1+$K205)^MAX(ROUNDUP(IFERROR(DATEDIF($I187-1,DN$15+1,"m"),)/12,)-1,)*Index!DJ$23*(DN$15&gt;$I205)*(1-DN$12)</f>
        <v>0</v>
      </c>
      <c r="DO205" s="747">
        <f>$G205*$H205*(1+$K205)^MAX(ROUNDUP(IFERROR(DATEDIF($I187-1,DO$15+1,"m"),)/12,)-1,)*Index!DK$23*(DO$15&gt;$I205)*(1-DO$12)</f>
        <v>0</v>
      </c>
      <c r="DP205" s="747">
        <f>$G205*$H205*(1+$K205)^MAX(ROUNDUP(IFERROR(DATEDIF($I187-1,DP$15+1,"m"),)/12,)-1,)*Index!DL$23*(DP$15&gt;$I205)*(1-DP$12)</f>
        <v>0</v>
      </c>
      <c r="DQ205" s="747">
        <f>$G205*$H205*(1+$K205)^MAX(ROUNDUP(IFERROR(DATEDIF($I187-1,DQ$15+1,"m"),)/12,)-1,)*Index!DM$23*(DQ$15&gt;$I205)*(1-DQ$12)</f>
        <v>0</v>
      </c>
      <c r="DR205" s="747">
        <f>$G205*$H205*(1+$K205)^MAX(ROUNDUP(IFERROR(DATEDIF($I187-1,DR$15+1,"m"),)/12,)-1,)*Index!DN$23*(DR$15&gt;$I205)*(1-DR$12)</f>
        <v>0</v>
      </c>
      <c r="DS205" s="747">
        <f>$G205*$H205*(1+$K205)^MAX(ROUNDUP(IFERROR(DATEDIF($I187-1,DS$15+1,"m"),)/12,)-1,)*Index!DO$23*(DS$15&gt;$I205)*(1-DS$12)</f>
        <v>0</v>
      </c>
      <c r="DT205" s="747">
        <f>$G205*$H205*(1+$K205)^MAX(ROUNDUP(IFERROR(DATEDIF($I187-1,DT$15+1,"m"),)/12,)-1,)*Index!DP$23*(DT$15&gt;$I205)*(1-DT$12)</f>
        <v>0</v>
      </c>
      <c r="DU205" s="747">
        <f>$G205*$H205*(1+$K205)^MAX(ROUNDUP(IFERROR(DATEDIF($I187-1,DU$15+1,"m"),)/12,)-1,)*Index!DQ$23*(DU$15&gt;$I205)*(1-DU$12)</f>
        <v>0</v>
      </c>
      <c r="DV205" s="747">
        <f>$G205*$H205*(1+$K205)^MAX(ROUNDUP(IFERROR(DATEDIF($I187-1,DV$15+1,"m"),)/12,)-1,)*Index!DR$23*(DV$15&gt;$I205)*(1-DV$12)</f>
        <v>0</v>
      </c>
      <c r="DW205" s="747">
        <f>$G205*$H205*(1+$K205)^MAX(ROUNDUP(IFERROR(DATEDIF($I187-1,DW$15+1,"m"),)/12,)-1,)*Index!DS$23*(DW$15&gt;$I205)*(1-DW$12)</f>
        <v>0</v>
      </c>
      <c r="DX205" s="747">
        <f>$G205*$H205*(1+$K205)^MAX(ROUNDUP(IFERROR(DATEDIF($I187-1,DX$15+1,"m"),)/12,)-1,)*Index!DT$23*(DX$15&gt;$I205)*(1-DX$12)</f>
        <v>0</v>
      </c>
      <c r="DY205" s="747">
        <f>$G205*$H205*(1+$K205)^MAX(ROUNDUP(IFERROR(DATEDIF($I187-1,DY$15+1,"m"),)/12,)-1,)*Index!DU$23*(DY$15&gt;$I205)*(1-DY$12)</f>
        <v>0</v>
      </c>
      <c r="DZ205" s="747">
        <f>$G205*$H205*(1+$K205)^MAX(ROUNDUP(IFERROR(DATEDIF($I187-1,DZ$15+1,"m"),)/12,)-1,)*Index!DV$23*(DZ$15&gt;$I205)*(1-DZ$12)</f>
        <v>0</v>
      </c>
      <c r="EA205" s="747">
        <f>$G205*$H205*(1+$K205)^MAX(ROUNDUP(IFERROR(DATEDIF($I187-1,EA$15+1,"m"),)/12,)-1,)*Index!DW$23*(EA$15&gt;$I205)*(1-EA$12)</f>
        <v>0</v>
      </c>
      <c r="EB205" s="747">
        <f>$G205*$H205*(1+$K205)^MAX(ROUNDUP(IFERROR(DATEDIF($I187-1,EB$15+1,"m"),)/12,)-1,)*Index!DX$23*(EB$15&gt;$I205)*(1-EB$12)</f>
        <v>0</v>
      </c>
      <c r="EC205" s="747">
        <f>$G205*$H205*(1+$K205)^MAX(ROUNDUP(IFERROR(DATEDIF($I187-1,EC$15+1,"m"),)/12,)-1,)*Index!DY$23*(EC$15&gt;$I205)*(1-EC$12)</f>
        <v>0</v>
      </c>
      <c r="ED205" s="747">
        <f>$G205*$H205*(1+$K205)^MAX(ROUNDUP(IFERROR(DATEDIF($I187-1,ED$15+1,"m"),)/12,)-1,)*Index!DZ$23*(ED$15&gt;$I205)*(1-ED$12)</f>
        <v>0</v>
      </c>
      <c r="EE205" s="747">
        <f>$G205*$H205*(1+$K205)^MAX(ROUNDUP(IFERROR(DATEDIF($I187-1,EE$15+1,"m"),)/12,)-1,)*Index!EA$23*(EE$15&gt;$I205)*(1-EE$12)</f>
        <v>0</v>
      </c>
      <c r="EF205" s="747">
        <f>$G205*$H205*(1+$K205)^MAX(ROUNDUP(IFERROR(DATEDIF($I187-1,EF$15+1,"m"),)/12,)-1,)*Index!EB$23*(EF$15&gt;$I205)*(1-EF$12)</f>
        <v>0</v>
      </c>
      <c r="EG205" s="747">
        <f>$G205*$H205*(1+$K205)^MAX(ROUNDUP(IFERROR(DATEDIF($I187-1,EG$15+1,"m"),)/12,)-1,)*Index!EC$23*(EG$15&gt;$I205)*(1-EG$12)</f>
        <v>8788.7396860763474</v>
      </c>
      <c r="EH205" s="747">
        <f>$G205*$H205*(1+$K205)^MAX(ROUNDUP(IFERROR(DATEDIF($I187-1,EH$15+1,"m"),)/12,)-1,)*Index!ED$23*(EH$15&gt;$I205)*(1-EH$12)</f>
        <v>8788.7396860763474</v>
      </c>
      <c r="EI205" s="747">
        <f>$G205*$H205*(1+$K205)^MAX(ROUNDUP(IFERROR(DATEDIF($I187-1,EI$15+1,"m"),)/12,)-1,)*Index!EE$23*(EI$15&gt;$I205)*(1-EI$12)</f>
        <v>8788.7396860763474</v>
      </c>
      <c r="EJ205" s="747">
        <f>$G205*$H205*(1+$K205)^MAX(ROUNDUP(IFERROR(DATEDIF($I187-1,EJ$15+1,"m"),)/12,)-1,)*Index!EF$23*(EJ$15&gt;$I205)*(1-EJ$12)</f>
        <v>8788.7396860763474</v>
      </c>
      <c r="EK205" s="747">
        <f>$G205*$H205*(1+$K205)^MAX(ROUNDUP(IFERROR(DATEDIF($I187-1,EK$15+1,"m"),)/12,)-1,)*Index!EG$23*(EK$15&gt;$I205)*(1-EK$12)</f>
        <v>8788.7396860763474</v>
      </c>
      <c r="EL205" s="747">
        <f>$G205*$H205*(1+$K205)^MAX(ROUNDUP(IFERROR(DATEDIF($I187-1,EL$15+1,"m"),)/12,)-1,)*Index!EH$23*(EL$15&gt;$I205)*(1-EL$12)</f>
        <v>8788.7396860763474</v>
      </c>
      <c r="EM205" s="747">
        <f>$G205*$H205*(1+$K205)^MAX(ROUNDUP(IFERROR(DATEDIF($I187-1,EM$15+1,"m"),)/12,)-1,)*Index!EI$23*(EM$15&gt;$I205)*(1-EM$12)</f>
        <v>9008.4581782282548</v>
      </c>
      <c r="EN205" s="747">
        <f>$G205*$H205*(1+$K205)^MAX(ROUNDUP(IFERROR(DATEDIF($I187-1,EN$15+1,"m"),)/12,)-1,)*Index!EJ$23*(EN$15&gt;$I205)*(1-EN$12)</f>
        <v>9008.4581782282548</v>
      </c>
      <c r="EO205" s="747">
        <f>$G205*$H205*(1+$K205)^MAX(ROUNDUP(IFERROR(DATEDIF($I187-1,EO$15+1,"m"),)/12,)-1,)*Index!EK$23*(EO$15&gt;$I205)*(1-EO$12)</f>
        <v>9008.4581782282548</v>
      </c>
      <c r="EP205" s="747">
        <f>$G205*$H205*(1+$K205)^MAX(ROUNDUP(IFERROR(DATEDIF($I187-1,EP$15+1,"m"),)/12,)-1,)*Index!EL$23*(EP$15&gt;$I205)*(1-EP$12)</f>
        <v>9008.4581782282548</v>
      </c>
      <c r="EQ205" s="747">
        <f>$G205*$H205*(1+$K205)^MAX(ROUNDUP(IFERROR(DATEDIF($I187-1,EQ$15+1,"m"),)/12,)-1,)*Index!EM$23*(EQ$15&gt;$I205)*(1-EQ$12)</f>
        <v>9008.4581782282548</v>
      </c>
      <c r="ER205" s="747">
        <f>$G205*$H205*(1+$K205)^MAX(ROUNDUP(IFERROR(DATEDIF($I187-1,ER$15+1,"m"),)/12,)-1,)*Index!EN$23*(ER$15&gt;$I205)*(1-ER$12)</f>
        <v>9008.4581782282548</v>
      </c>
      <c r="ES205" s="747">
        <f>$G205*$H205*(1+$K205)^MAX(ROUNDUP(IFERROR(DATEDIF($I187-1,ES$15+1,"m"),)/12,)-1,)*Index!EO$23*(ES$15&gt;$I205)*(1-ES$12)</f>
        <v>0</v>
      </c>
      <c r="ET205" s="747">
        <f>$G205*$H205*(1+$K205)^MAX(ROUNDUP(IFERROR(DATEDIF($I187-1,ET$15+1,"m"),)/12,)-1,)*Index!EP$23*(ET$15&gt;$I205)*(1-ET$12)</f>
        <v>0</v>
      </c>
      <c r="EU205" s="747">
        <f>$G205*$H205*(1+$K205)^MAX(ROUNDUP(IFERROR(DATEDIF($I187-1,EU$15+1,"m"),)/12,)-1,)*Index!EQ$23*(EU$15&gt;$I205)*(1-EU$12)</f>
        <v>0</v>
      </c>
    </row>
    <row r="206" spans="3:151" ht="11.25" customHeight="1">
      <c r="C206" s="828"/>
      <c r="D206" s="743">
        <f t="shared" ref="D206:I206" si="281">D170</f>
        <v>3</v>
      </c>
      <c r="E206" s="704" t="str">
        <f t="shared" si="281"/>
        <v>농심</v>
      </c>
      <c r="F206" s="704" t="str">
        <f t="shared" si="281"/>
        <v>상온창고</v>
      </c>
      <c r="G206" s="781">
        <f t="shared" si="281"/>
        <v>3</v>
      </c>
      <c r="H206" s="744">
        <f t="shared" si="281"/>
        <v>2185.56</v>
      </c>
      <c r="I206" s="745">
        <f t="shared" si="281"/>
        <v>47328</v>
      </c>
      <c r="J206" s="745"/>
      <c r="K206" s="754">
        <f t="shared" si="272"/>
        <v>0</v>
      </c>
      <c r="L206" s="746"/>
      <c r="M206" s="722"/>
      <c r="N206" s="747">
        <f t="shared" si="273"/>
        <v>78680.160000000003</v>
      </c>
      <c r="O206" s="733"/>
      <c r="P206" s="747">
        <f>$G206*$H206*(1+$K206)^MAX(ROUNDUP(IFERROR(DATEDIF($I188-1,P$15+1,"m"),)/12,)-1,)*Index!L$23*(P$15&gt;$I206)*(1-P$12)</f>
        <v>0</v>
      </c>
      <c r="Q206" s="747">
        <f>$G206*$H206*(1+$K206)^MAX(ROUNDUP(IFERROR(DATEDIF($I188-1,Q$15+1,"m"),)/12,)-1,)*Index!M$23*(Q$15&gt;$I206)*(1-Q$12)</f>
        <v>0</v>
      </c>
      <c r="R206" s="747">
        <f>$G206*$H206*(1+$K206)^MAX(ROUNDUP(IFERROR(DATEDIF($I188-1,R$15+1,"m"),)/12,)-1,)*Index!N$23*(R$15&gt;$I206)*(1-R$12)</f>
        <v>0</v>
      </c>
      <c r="S206" s="747">
        <f>$G206*$H206*(1+$K206)^MAX(ROUNDUP(IFERROR(DATEDIF($I188-1,S$15+1,"m"),)/12,)-1,)*Index!O$23*(S$15&gt;$I206)*(1-S$12)</f>
        <v>0</v>
      </c>
      <c r="T206" s="747">
        <f>$G206*$H206*(1+$K206)^MAX(ROUNDUP(IFERROR(DATEDIF($I188-1,T$15+1,"m"),)/12,)-1,)*Index!P$23*(T$15&gt;$I206)*(1-T$12)</f>
        <v>0</v>
      </c>
      <c r="U206" s="747">
        <f>$G206*$H206*(1+$K206)^MAX(ROUNDUP(IFERROR(DATEDIF($I188-1,U$15+1,"m"),)/12,)-1,)*Index!Q$23*(U$15&gt;$I206)*(1-U$12)</f>
        <v>0</v>
      </c>
      <c r="V206" s="747">
        <f>$G206*$H206*(1+$K206)^MAX(ROUNDUP(IFERROR(DATEDIF($I188-1,V$15+1,"m"),)/12,)-1,)*Index!R$23*(V$15&gt;$I206)*(1-V$12)</f>
        <v>0</v>
      </c>
      <c r="W206" s="747">
        <f>$G206*$H206*(1+$K206)^MAX(ROUNDUP(IFERROR(DATEDIF($I188-1,W$15+1,"m"),)/12,)-1,)*Index!S$23*(W$15&gt;$I206)*(1-W$12)</f>
        <v>0</v>
      </c>
      <c r="X206" s="747">
        <f>$G206*$H206*(1+$K206)^MAX(ROUNDUP(IFERROR(DATEDIF($I188-1,X$15+1,"m"),)/12,)-1,)*Index!T$23*(X$15&gt;$I206)*(1-X$12)</f>
        <v>0</v>
      </c>
      <c r="Y206" s="747">
        <f>$G206*$H206*(1+$K206)^MAX(ROUNDUP(IFERROR(DATEDIF($I188-1,Y$15+1,"m"),)/12,)-1,)*Index!U$23*(Y$15&gt;$I206)*(1-Y$12)</f>
        <v>0</v>
      </c>
      <c r="Z206" s="747">
        <f>$G206*$H206*(1+$K206)^MAX(ROUNDUP(IFERROR(DATEDIF($I188-1,Z$15+1,"m"),)/12,)-1,)*Index!V$23*(Z$15&gt;$I206)*(1-Z$12)</f>
        <v>0</v>
      </c>
      <c r="AA206" s="747">
        <f>$G206*$H206*(1+$K206)^MAX(ROUNDUP(IFERROR(DATEDIF($I188-1,AA$15+1,"m"),)/12,)-1,)*Index!W$23*(AA$15&gt;$I206)*(1-AA$12)</f>
        <v>0</v>
      </c>
      <c r="AB206" s="747">
        <f>$G206*$H206*(1+$K206)^MAX(ROUNDUP(IFERROR(DATEDIF($I188-1,AB$15+1,"m"),)/12,)-1,)*Index!X$23*(AB$15&gt;$I206)*(1-AB$12)</f>
        <v>0</v>
      </c>
      <c r="AC206" s="747">
        <f>$G206*$H206*(1+$K206)^MAX(ROUNDUP(IFERROR(DATEDIF($I188-1,AC$15+1,"m"),)/12,)-1,)*Index!Y$23*(AC$15&gt;$I206)*(1-AC$12)</f>
        <v>0</v>
      </c>
      <c r="AD206" s="747">
        <f>$G206*$H206*(1+$K206)^MAX(ROUNDUP(IFERROR(DATEDIF($I188-1,AD$15+1,"m"),)/12,)-1,)*Index!Z$23*(AD$15&gt;$I206)*(1-AD$12)</f>
        <v>0</v>
      </c>
      <c r="AE206" s="747">
        <f>$G206*$H206*(1+$K206)^MAX(ROUNDUP(IFERROR(DATEDIF($I188-1,AE$15+1,"m"),)/12,)-1,)*Index!AA$23*(AE$15&gt;$I206)*(1-AE$12)</f>
        <v>0</v>
      </c>
      <c r="AF206" s="747">
        <f>$G206*$H206*(1+$K206)^MAX(ROUNDUP(IFERROR(DATEDIF($I188-1,AF$15+1,"m"),)/12,)-1,)*Index!AB$23*(AF$15&gt;$I206)*(1-AF$12)</f>
        <v>0</v>
      </c>
      <c r="AG206" s="747">
        <f>$G206*$H206*(1+$K206)^MAX(ROUNDUP(IFERROR(DATEDIF($I188-1,AG$15+1,"m"),)/12,)-1,)*Index!AC$23*(AG$15&gt;$I206)*(1-AG$12)</f>
        <v>0</v>
      </c>
      <c r="AH206" s="747">
        <f>$G206*$H206*(1+$K206)^MAX(ROUNDUP(IFERROR(DATEDIF($I188-1,AH$15+1,"m"),)/12,)-1,)*Index!AD$23*(AH$15&gt;$I206)*(1-AH$12)</f>
        <v>0</v>
      </c>
      <c r="AI206" s="747">
        <f>$G206*$H206*(1+$K206)^MAX(ROUNDUP(IFERROR(DATEDIF($I188-1,AI$15+1,"m"),)/12,)-1,)*Index!AE$23*(AI$15&gt;$I206)*(1-AI$12)</f>
        <v>0</v>
      </c>
      <c r="AJ206" s="747">
        <f>$G206*$H206*(1+$K206)^MAX(ROUNDUP(IFERROR(DATEDIF($I188-1,AJ$15+1,"m"),)/12,)-1,)*Index!AF$23*(AJ$15&gt;$I206)*(1-AJ$12)</f>
        <v>0</v>
      </c>
      <c r="AK206" s="747">
        <f>$G206*$H206*(1+$K206)^MAX(ROUNDUP(IFERROR(DATEDIF($I188-1,AK$15+1,"m"),)/12,)-1,)*Index!AG$23*(AK$15&gt;$I206)*(1-AK$12)</f>
        <v>0</v>
      </c>
      <c r="AL206" s="747">
        <f>$G206*$H206*(1+$K206)^MAX(ROUNDUP(IFERROR(DATEDIF($I188-1,AL$15+1,"m"),)/12,)-1,)*Index!AH$23*(AL$15&gt;$I206)*(1-AL$12)</f>
        <v>0</v>
      </c>
      <c r="AM206" s="747">
        <f>$G206*$H206*(1+$K206)^MAX(ROUNDUP(IFERROR(DATEDIF($I188-1,AM$15+1,"m"),)/12,)-1,)*Index!AI$23*(AM$15&gt;$I206)*(1-AM$12)</f>
        <v>0</v>
      </c>
      <c r="AN206" s="747">
        <f>$G206*$H206*(1+$K206)^MAX(ROUNDUP(IFERROR(DATEDIF($I188-1,AN$15+1,"m"),)/12,)-1,)*Index!AJ$23*(AN$15&gt;$I206)*(1-AN$12)</f>
        <v>0</v>
      </c>
      <c r="AO206" s="747">
        <f>$G206*$H206*(1+$K206)^MAX(ROUNDUP(IFERROR(DATEDIF($I188-1,AO$15+1,"m"),)/12,)-1,)*Index!AK$23*(AO$15&gt;$I206)*(1-AO$12)</f>
        <v>0</v>
      </c>
      <c r="AP206" s="747">
        <f>$G206*$H206*(1+$K206)^MAX(ROUNDUP(IFERROR(DATEDIF($I188-1,AP$15+1,"m"),)/12,)-1,)*Index!AL$23*(AP$15&gt;$I206)*(1-AP$12)</f>
        <v>0</v>
      </c>
      <c r="AQ206" s="747">
        <f>$G206*$H206*(1+$K206)^MAX(ROUNDUP(IFERROR(DATEDIF($I188-1,AQ$15+1,"m"),)/12,)-1,)*Index!AM$23*(AQ$15&gt;$I206)*(1-AQ$12)</f>
        <v>0</v>
      </c>
      <c r="AR206" s="747">
        <f>$G206*$H206*(1+$K206)^MAX(ROUNDUP(IFERROR(DATEDIF($I188-1,AR$15+1,"m"),)/12,)-1,)*Index!AN$23*(AR$15&gt;$I206)*(1-AR$12)</f>
        <v>0</v>
      </c>
      <c r="AS206" s="747">
        <f>$G206*$H206*(1+$K206)^MAX(ROUNDUP(IFERROR(DATEDIF($I188-1,AS$15+1,"m"),)/12,)-1,)*Index!AO$23*(AS$15&gt;$I206)*(1-AS$12)</f>
        <v>0</v>
      </c>
      <c r="AT206" s="747">
        <f>$G206*$H206*(1+$K206)^MAX(ROUNDUP(IFERROR(DATEDIF($I188-1,AT$15+1,"m"),)/12,)-1,)*Index!AP$23*(AT$15&gt;$I206)*(1-AT$12)</f>
        <v>0</v>
      </c>
      <c r="AU206" s="747">
        <f>$G206*$H206*(1+$K206)^MAX(ROUNDUP(IFERROR(DATEDIF($I188-1,AU$15+1,"m"),)/12,)-1,)*Index!AQ$23*(AU$15&gt;$I206)*(1-AU$12)</f>
        <v>0</v>
      </c>
      <c r="AV206" s="747">
        <f>$G206*$H206*(1+$K206)^MAX(ROUNDUP(IFERROR(DATEDIF($I188-1,AV$15+1,"m"),)/12,)-1,)*Index!AR$23*(AV$15&gt;$I206)*(1-AV$12)</f>
        <v>0</v>
      </c>
      <c r="AW206" s="747">
        <f>$G206*$H206*(1+$K206)^MAX(ROUNDUP(IFERROR(DATEDIF($I188-1,AW$15+1,"m"),)/12,)-1,)*Index!AS$23*(AW$15&gt;$I206)*(1-AW$12)</f>
        <v>0</v>
      </c>
      <c r="AX206" s="747">
        <f>$G206*$H206*(1+$K206)^MAX(ROUNDUP(IFERROR(DATEDIF($I188-1,AX$15+1,"m"),)/12,)-1,)*Index!AT$23*(AX$15&gt;$I206)*(1-AX$12)</f>
        <v>0</v>
      </c>
      <c r="AY206" s="747">
        <f>$G206*$H206*(1+$K206)^MAX(ROUNDUP(IFERROR(DATEDIF($I188-1,AY$15+1,"m"),)/12,)-1,)*Index!AU$23*(AY$15&gt;$I206)*(1-AY$12)</f>
        <v>0</v>
      </c>
      <c r="AZ206" s="747">
        <f>$G206*$H206*(1+$K206)^MAX(ROUNDUP(IFERROR(DATEDIF($I188-1,AZ$15+1,"m"),)/12,)-1,)*Index!AV$23*(AZ$15&gt;$I206)*(1-AZ$12)</f>
        <v>0</v>
      </c>
      <c r="BA206" s="747">
        <f>$G206*$H206*(1+$K206)^MAX(ROUNDUP(IFERROR(DATEDIF($I188-1,BA$15+1,"m"),)/12,)-1,)*Index!AW$23*(BA$15&gt;$I206)*(1-BA$12)</f>
        <v>0</v>
      </c>
      <c r="BB206" s="747">
        <f>$G206*$H206*(1+$K206)^MAX(ROUNDUP(IFERROR(DATEDIF($I188-1,BB$15+1,"m"),)/12,)-1,)*Index!AX$23*(BB$15&gt;$I206)*(1-BB$12)</f>
        <v>0</v>
      </c>
      <c r="BC206" s="747">
        <f>$G206*$H206*(1+$K206)^MAX(ROUNDUP(IFERROR(DATEDIF($I188-1,BC$15+1,"m"),)/12,)-1,)*Index!AY$23*(BC$15&gt;$I206)*(1-BC$12)</f>
        <v>0</v>
      </c>
      <c r="BD206" s="747">
        <f>$G206*$H206*(1+$K206)^MAX(ROUNDUP(IFERROR(DATEDIF($I188-1,BD$15+1,"m"),)/12,)-1,)*Index!AZ$23*(BD$15&gt;$I206)*(1-BD$12)</f>
        <v>0</v>
      </c>
      <c r="BE206" s="747">
        <f>$G206*$H206*(1+$K206)^MAX(ROUNDUP(IFERROR(DATEDIF($I188-1,BE$15+1,"m"),)/12,)-1,)*Index!BA$23*(BE$15&gt;$I206)*(1-BE$12)</f>
        <v>0</v>
      </c>
      <c r="BF206" s="747">
        <f>$G206*$H206*(1+$K206)^MAX(ROUNDUP(IFERROR(DATEDIF($I188-1,BF$15+1,"m"),)/12,)-1,)*Index!BB$23*(BF$15&gt;$I206)*(1-BF$12)</f>
        <v>0</v>
      </c>
      <c r="BG206" s="747">
        <f>$G206*$H206*(1+$K206)^MAX(ROUNDUP(IFERROR(DATEDIF($I188-1,BG$15+1,"m"),)/12,)-1,)*Index!BC$23*(BG$15&gt;$I206)*(1-BG$12)</f>
        <v>0</v>
      </c>
      <c r="BH206" s="747">
        <f>$G206*$H206*(1+$K206)^MAX(ROUNDUP(IFERROR(DATEDIF($I188-1,BH$15+1,"m"),)/12,)-1,)*Index!BD$23*(BH$15&gt;$I206)*(1-BH$12)</f>
        <v>0</v>
      </c>
      <c r="BI206" s="747">
        <f>$G206*$H206*(1+$K206)^MAX(ROUNDUP(IFERROR(DATEDIF($I188-1,BI$15+1,"m"),)/12,)-1,)*Index!BE$23*(BI$15&gt;$I206)*(1-BI$12)</f>
        <v>0</v>
      </c>
      <c r="BJ206" s="747">
        <f>$G206*$H206*(1+$K206)^MAX(ROUNDUP(IFERROR(DATEDIF($I188-1,BJ$15+1,"m"),)/12,)-1,)*Index!BF$23*(BJ$15&gt;$I206)*(1-BJ$12)</f>
        <v>0</v>
      </c>
      <c r="BK206" s="747">
        <f>$G206*$H206*(1+$K206)^MAX(ROUNDUP(IFERROR(DATEDIF($I188-1,BK$15+1,"m"),)/12,)-1,)*Index!BG$23*(BK$15&gt;$I206)*(1-BK$12)</f>
        <v>0</v>
      </c>
      <c r="BL206" s="747">
        <f>$G206*$H206*(1+$K206)^MAX(ROUNDUP(IFERROR(DATEDIF($I188-1,BL$15+1,"m"),)/12,)-1,)*Index!BH$23*(BL$15&gt;$I206)*(1-BL$12)</f>
        <v>0</v>
      </c>
      <c r="BM206" s="747">
        <f>$G206*$H206*(1+$K206)^MAX(ROUNDUP(IFERROR(DATEDIF($I188-1,BM$15+1,"m"),)/12,)-1,)*Index!BI$23*(BM$15&gt;$I206)*(1-BM$12)</f>
        <v>0</v>
      </c>
      <c r="BN206" s="747">
        <f>$G206*$H206*(1+$K206)^MAX(ROUNDUP(IFERROR(DATEDIF($I188-1,BN$15+1,"m"),)/12,)-1,)*Index!BJ$23*(BN$15&gt;$I206)*(1-BN$12)</f>
        <v>0</v>
      </c>
      <c r="BO206" s="747">
        <f>$G206*$H206*(1+$K206)^MAX(ROUNDUP(IFERROR(DATEDIF($I188-1,BO$15+1,"m"),)/12,)-1,)*Index!BK$23*(BO$15&gt;$I206)*(1-BO$12)</f>
        <v>0</v>
      </c>
      <c r="BP206" s="747">
        <f>$G206*$H206*(1+$K206)^MAX(ROUNDUP(IFERROR(DATEDIF($I188-1,BP$15+1,"m"),)/12,)-1,)*Index!BL$23*(BP$15&gt;$I206)*(1-BP$12)</f>
        <v>0</v>
      </c>
      <c r="BQ206" s="747">
        <f>$G206*$H206*(1+$K206)^MAX(ROUNDUP(IFERROR(DATEDIF($I188-1,BQ$15+1,"m"),)/12,)-1,)*Index!BM$23*(BQ$15&gt;$I206)*(1-BQ$12)</f>
        <v>0</v>
      </c>
      <c r="BR206" s="747">
        <f>$G206*$H206*(1+$K206)^MAX(ROUNDUP(IFERROR(DATEDIF($I188-1,BR$15+1,"m"),)/12,)-1,)*Index!BN$23*(BR$15&gt;$I206)*(1-BR$12)</f>
        <v>0</v>
      </c>
      <c r="BS206" s="747">
        <f>$G206*$H206*(1+$K206)^MAX(ROUNDUP(IFERROR(DATEDIF($I188-1,BS$15+1,"m"),)/12,)-1,)*Index!BO$23*(BS$15&gt;$I206)*(1-BS$12)</f>
        <v>0</v>
      </c>
      <c r="BT206" s="747">
        <f>$G206*$H206*(1+$K206)^MAX(ROUNDUP(IFERROR(DATEDIF($I188-1,BT$15+1,"m"),)/12,)-1,)*Index!BP$23*(BT$15&gt;$I206)*(1-BT$12)</f>
        <v>0</v>
      </c>
      <c r="BU206" s="747">
        <f>$G206*$H206*(1+$K206)^MAX(ROUNDUP(IFERROR(DATEDIF($I188-1,BU$15+1,"m"),)/12,)-1,)*Index!BQ$23*(BU$15&gt;$I206)*(1-BU$12)</f>
        <v>0</v>
      </c>
      <c r="BV206" s="747">
        <f>$G206*$H206*(1+$K206)^MAX(ROUNDUP(IFERROR(DATEDIF($I188-1,BV$15+1,"m"),)/12,)-1,)*Index!BR$23*(BV$15&gt;$I206)*(1-BV$12)</f>
        <v>0</v>
      </c>
      <c r="BW206" s="747">
        <f>$G206*$H206*(1+$K206)^MAX(ROUNDUP(IFERROR(DATEDIF($I188-1,BW$15+1,"m"),)/12,)-1,)*Index!BS$23*(BW$15&gt;$I206)*(1-BW$12)</f>
        <v>0</v>
      </c>
      <c r="BX206" s="747">
        <f>$G206*$H206*(1+$K206)^MAX(ROUNDUP(IFERROR(DATEDIF($I188-1,BX$15+1,"m"),)/12,)-1,)*Index!BT$23*(BX$15&gt;$I206)*(1-BX$12)</f>
        <v>0</v>
      </c>
      <c r="BY206" s="747">
        <f>$G206*$H206*(1+$K206)^MAX(ROUNDUP(IFERROR(DATEDIF($I188-1,BY$15+1,"m"),)/12,)-1,)*Index!BU$23*(BY$15&gt;$I206)*(1-BY$12)</f>
        <v>0</v>
      </c>
      <c r="BZ206" s="747">
        <f>$G206*$H206*(1+$K206)^MAX(ROUNDUP(IFERROR(DATEDIF($I188-1,BZ$15+1,"m"),)/12,)-1,)*Index!BV$23*(BZ$15&gt;$I206)*(1-BZ$12)</f>
        <v>0</v>
      </c>
      <c r="CA206" s="747">
        <f>$G206*$H206*(1+$K206)^MAX(ROUNDUP(IFERROR(DATEDIF($I188-1,CA$15+1,"m"),)/12,)-1,)*Index!BW$23*(CA$15&gt;$I206)*(1-CA$12)</f>
        <v>0</v>
      </c>
      <c r="CB206" s="747">
        <f>$G206*$H206*(1+$K206)^MAX(ROUNDUP(IFERROR(DATEDIF($I188-1,CB$15+1,"m"),)/12,)-1,)*Index!BX$23*(CB$15&gt;$I206)*(1-CB$12)</f>
        <v>0</v>
      </c>
      <c r="CC206" s="747">
        <f>$G206*$H206*(1+$K206)^MAX(ROUNDUP(IFERROR(DATEDIF($I188-1,CC$15+1,"m"),)/12,)-1,)*Index!BY$23*(CC$15&gt;$I206)*(1-CC$12)</f>
        <v>0</v>
      </c>
      <c r="CD206" s="747">
        <f>$G206*$H206*(1+$K206)^MAX(ROUNDUP(IFERROR(DATEDIF($I188-1,CD$15+1,"m"),)/12,)-1,)*Index!BZ$23*(CD$15&gt;$I206)*(1-CD$12)</f>
        <v>0</v>
      </c>
      <c r="CE206" s="747">
        <f>$G206*$H206*(1+$K206)^MAX(ROUNDUP(IFERROR(DATEDIF($I188-1,CE$15+1,"m"),)/12,)-1,)*Index!CA$23*(CE$15&gt;$I206)*(1-CE$12)</f>
        <v>0</v>
      </c>
      <c r="CF206" s="747">
        <f>$G206*$H206*(1+$K206)^MAX(ROUNDUP(IFERROR(DATEDIF($I188-1,CF$15+1,"m"),)/12,)-1,)*Index!CB$23*(CF$15&gt;$I206)*(1-CF$12)</f>
        <v>0</v>
      </c>
      <c r="CG206" s="747">
        <f>$G206*$H206*(1+$K206)^MAX(ROUNDUP(IFERROR(DATEDIF($I188-1,CG$15+1,"m"),)/12,)-1,)*Index!CC$23*(CG$15&gt;$I206)*(1-CG$12)</f>
        <v>0</v>
      </c>
      <c r="CH206" s="747">
        <f>$G206*$H206*(1+$K206)^MAX(ROUNDUP(IFERROR(DATEDIF($I188-1,CH$15+1,"m"),)/12,)-1,)*Index!CD$23*(CH$15&gt;$I206)*(1-CH$12)</f>
        <v>0</v>
      </c>
      <c r="CI206" s="747">
        <f>$G206*$H206*(1+$K206)^MAX(ROUNDUP(IFERROR(DATEDIF($I188-1,CI$15+1,"m"),)/12,)-1,)*Index!CE$23*(CI$15&gt;$I206)*(1-CI$12)</f>
        <v>0</v>
      </c>
      <c r="CJ206" s="747">
        <f>$G206*$H206*(1+$K206)^MAX(ROUNDUP(IFERROR(DATEDIF($I188-1,CJ$15+1,"m"),)/12,)-1,)*Index!CF$23*(CJ$15&gt;$I206)*(1-CJ$12)</f>
        <v>0</v>
      </c>
      <c r="CK206" s="747">
        <f>$G206*$H206*(1+$K206)^MAX(ROUNDUP(IFERROR(DATEDIF($I188-1,CK$15+1,"m"),)/12,)-1,)*Index!CG$23*(CK$15&gt;$I206)*(1-CK$12)</f>
        <v>0</v>
      </c>
      <c r="CL206" s="747">
        <f>$G206*$H206*(1+$K206)^MAX(ROUNDUP(IFERROR(DATEDIF($I188-1,CL$15+1,"m"),)/12,)-1,)*Index!CH$23*(CL$15&gt;$I206)*(1-CL$12)</f>
        <v>0</v>
      </c>
      <c r="CM206" s="747">
        <f>$G206*$H206*(1+$K206)^MAX(ROUNDUP(IFERROR(DATEDIF($I188-1,CM$15+1,"m"),)/12,)-1,)*Index!CI$23*(CM$15&gt;$I206)*(1-CM$12)</f>
        <v>0</v>
      </c>
      <c r="CN206" s="747">
        <f>$G206*$H206*(1+$K206)^MAX(ROUNDUP(IFERROR(DATEDIF($I188-1,CN$15+1,"m"),)/12,)-1,)*Index!CJ$23*(CN$15&gt;$I206)*(1-CN$12)</f>
        <v>0</v>
      </c>
      <c r="CO206" s="747">
        <f>$G206*$H206*(1+$K206)^MAX(ROUNDUP(IFERROR(DATEDIF($I188-1,CO$15+1,"m"),)/12,)-1,)*Index!CK$23*(CO$15&gt;$I206)*(1-CO$12)</f>
        <v>0</v>
      </c>
      <c r="CP206" s="747">
        <f>$G206*$H206*(1+$K206)^MAX(ROUNDUP(IFERROR(DATEDIF($I188-1,CP$15+1,"m"),)/12,)-1,)*Index!CL$23*(CP$15&gt;$I206)*(1-CP$12)</f>
        <v>0</v>
      </c>
      <c r="CQ206" s="747">
        <f>$G206*$H206*(1+$K206)^MAX(ROUNDUP(IFERROR(DATEDIF($I188-1,CQ$15+1,"m"),)/12,)-1,)*Index!CM$23*(CQ$15&gt;$I206)*(1-CQ$12)</f>
        <v>0</v>
      </c>
      <c r="CR206" s="747">
        <f>$G206*$H206*(1+$K206)^MAX(ROUNDUP(IFERROR(DATEDIF($I188-1,CR$15+1,"m"),)/12,)-1,)*Index!CN$23*(CR$15&gt;$I206)*(1-CR$12)</f>
        <v>0</v>
      </c>
      <c r="CS206" s="747">
        <f>$G206*$H206*(1+$K206)^MAX(ROUNDUP(IFERROR(DATEDIF($I188-1,CS$15+1,"m"),)/12,)-1,)*Index!CO$23*(CS$15&gt;$I206)*(1-CS$12)</f>
        <v>0</v>
      </c>
      <c r="CT206" s="747">
        <f>$G206*$H206*(1+$K206)^MAX(ROUNDUP(IFERROR(DATEDIF($I188-1,CT$15+1,"m"),)/12,)-1,)*Index!CP$23*(CT$15&gt;$I206)*(1-CT$12)</f>
        <v>0</v>
      </c>
      <c r="CU206" s="747">
        <f>$G206*$H206*(1+$K206)^MAX(ROUNDUP(IFERROR(DATEDIF($I188-1,CU$15+1,"m"),)/12,)-1,)*Index!CQ$23*(CU$15&gt;$I206)*(1-CU$12)</f>
        <v>0</v>
      </c>
      <c r="CV206" s="747">
        <f>$G206*$H206*(1+$K206)^MAX(ROUNDUP(IFERROR(DATEDIF($I188-1,CV$15+1,"m"),)/12,)-1,)*Index!CR$23*(CV$15&gt;$I206)*(1-CV$12)</f>
        <v>0</v>
      </c>
      <c r="CW206" s="747">
        <f>$G206*$H206*(1+$K206)^MAX(ROUNDUP(IFERROR(DATEDIF($I188-1,CW$15+1,"m"),)/12,)-1,)*Index!CS$23*(CW$15&gt;$I206)*(1-CW$12)</f>
        <v>0</v>
      </c>
      <c r="CX206" s="747">
        <f>$G206*$H206*(1+$K206)^MAX(ROUNDUP(IFERROR(DATEDIF($I188-1,CX$15+1,"m"),)/12,)-1,)*Index!CT$23*(CX$15&gt;$I206)*(1-CX$12)</f>
        <v>0</v>
      </c>
      <c r="CY206" s="747">
        <f>$G206*$H206*(1+$K206)^MAX(ROUNDUP(IFERROR(DATEDIF($I188-1,CY$15+1,"m"),)/12,)-1,)*Index!CU$23*(CY$15&gt;$I206)*(1-CY$12)</f>
        <v>0</v>
      </c>
      <c r="CZ206" s="747">
        <f>$G206*$H206*(1+$K206)^MAX(ROUNDUP(IFERROR(DATEDIF($I188-1,CZ$15+1,"m"),)/12,)-1,)*Index!CV$23*(CZ$15&gt;$I206)*(1-CZ$12)</f>
        <v>0</v>
      </c>
      <c r="DA206" s="747">
        <f>$G206*$H206*(1+$K206)^MAX(ROUNDUP(IFERROR(DATEDIF($I188-1,DA$15+1,"m"),)/12,)-1,)*Index!CW$23*(DA$15&gt;$I206)*(1-DA$12)</f>
        <v>0</v>
      </c>
      <c r="DB206" s="747">
        <f>$G206*$H206*(1+$K206)^MAX(ROUNDUP(IFERROR(DATEDIF($I188-1,DB$15+1,"m"),)/12,)-1,)*Index!CX$23*(DB$15&gt;$I206)*(1-DB$12)</f>
        <v>0</v>
      </c>
      <c r="DC206" s="747">
        <f>$G206*$H206*(1+$K206)^MAX(ROUNDUP(IFERROR(DATEDIF($I188-1,DC$15+1,"m"),)/12,)-1,)*Index!CY$23*(DC$15&gt;$I206)*(1-DC$12)</f>
        <v>0</v>
      </c>
      <c r="DD206" s="747">
        <f>$G206*$H206*(1+$K206)^MAX(ROUNDUP(IFERROR(DATEDIF($I188-1,DD$15+1,"m"),)/12,)-1,)*Index!CZ$23*(DD$15&gt;$I206)*(1-DD$12)</f>
        <v>0</v>
      </c>
      <c r="DE206" s="747">
        <f>$G206*$H206*(1+$K206)^MAX(ROUNDUP(IFERROR(DATEDIF($I188-1,DE$15+1,"m"),)/12,)-1,)*Index!DA$23*(DE$15&gt;$I206)*(1-DE$12)</f>
        <v>0</v>
      </c>
      <c r="DF206" s="747">
        <f>$G206*$H206*(1+$K206)^MAX(ROUNDUP(IFERROR(DATEDIF($I188-1,DF$15+1,"m"),)/12,)-1,)*Index!DB$23*(DF$15&gt;$I206)*(1-DF$12)</f>
        <v>0</v>
      </c>
      <c r="DG206" s="747">
        <f>$G206*$H206*(1+$K206)^MAX(ROUNDUP(IFERROR(DATEDIF($I188-1,DG$15+1,"m"),)/12,)-1,)*Index!DC$23*(DG$15&gt;$I206)*(1-DG$12)</f>
        <v>0</v>
      </c>
      <c r="DH206" s="747">
        <f>$G206*$H206*(1+$K206)^MAX(ROUNDUP(IFERROR(DATEDIF($I188-1,DH$15+1,"m"),)/12,)-1,)*Index!DD$23*(DH$15&gt;$I206)*(1-DH$12)</f>
        <v>0</v>
      </c>
      <c r="DI206" s="747">
        <f>$G206*$H206*(1+$K206)^MAX(ROUNDUP(IFERROR(DATEDIF($I188-1,DI$15+1,"m"),)/12,)-1,)*Index!DE$23*(DI$15&gt;$I206)*(1-DI$12)</f>
        <v>0</v>
      </c>
      <c r="DJ206" s="747">
        <f>$G206*$H206*(1+$K206)^MAX(ROUNDUP(IFERROR(DATEDIF($I188-1,DJ$15+1,"m"),)/12,)-1,)*Index!DF$23*(DJ$15&gt;$I206)*(1-DJ$12)</f>
        <v>0</v>
      </c>
      <c r="DK206" s="747">
        <f>$G206*$H206*(1+$K206)^MAX(ROUNDUP(IFERROR(DATEDIF($I188-1,DK$15+1,"m"),)/12,)-1,)*Index!DG$23*(DK$15&gt;$I206)*(1-DK$12)</f>
        <v>0</v>
      </c>
      <c r="DL206" s="747">
        <f>$G206*$H206*(1+$K206)^MAX(ROUNDUP(IFERROR(DATEDIF($I188-1,DL$15+1,"m"),)/12,)-1,)*Index!DH$23*(DL$15&gt;$I206)*(1-DL$12)</f>
        <v>0</v>
      </c>
      <c r="DM206" s="747">
        <f>$G206*$H206*(1+$K206)^MAX(ROUNDUP(IFERROR(DATEDIF($I188-1,DM$15+1,"m"),)/12,)-1,)*Index!DI$23*(DM$15&gt;$I206)*(1-DM$12)</f>
        <v>0</v>
      </c>
      <c r="DN206" s="747">
        <f>$G206*$H206*(1+$K206)^MAX(ROUNDUP(IFERROR(DATEDIF($I188-1,DN$15+1,"m"),)/12,)-1,)*Index!DJ$23*(DN$15&gt;$I206)*(1-DN$12)</f>
        <v>0</v>
      </c>
      <c r="DO206" s="747">
        <f>$G206*$H206*(1+$K206)^MAX(ROUNDUP(IFERROR(DATEDIF($I188-1,DO$15+1,"m"),)/12,)-1,)*Index!DK$23*(DO$15&gt;$I206)*(1-DO$12)</f>
        <v>0</v>
      </c>
      <c r="DP206" s="747">
        <f>$G206*$H206*(1+$K206)^MAX(ROUNDUP(IFERROR(DATEDIF($I188-1,DP$15+1,"m"),)/12,)-1,)*Index!DL$23*(DP$15&gt;$I206)*(1-DP$12)</f>
        <v>0</v>
      </c>
      <c r="DQ206" s="747">
        <f>$G206*$H206*(1+$K206)^MAX(ROUNDUP(IFERROR(DATEDIF($I188-1,DQ$15+1,"m"),)/12,)-1,)*Index!DM$23*(DQ$15&gt;$I206)*(1-DQ$12)</f>
        <v>0</v>
      </c>
      <c r="DR206" s="747">
        <f>$G206*$H206*(1+$K206)^MAX(ROUNDUP(IFERROR(DATEDIF($I188-1,DR$15+1,"m"),)/12,)-1,)*Index!DN$23*(DR$15&gt;$I206)*(1-DR$12)</f>
        <v>0</v>
      </c>
      <c r="DS206" s="747">
        <f>$G206*$H206*(1+$K206)^MAX(ROUNDUP(IFERROR(DATEDIF($I188-1,DS$15+1,"m"),)/12,)-1,)*Index!DO$23*(DS$15&gt;$I206)*(1-DS$12)</f>
        <v>0</v>
      </c>
      <c r="DT206" s="747">
        <f>$G206*$H206*(1+$K206)^MAX(ROUNDUP(IFERROR(DATEDIF($I188-1,DT$15+1,"m"),)/12,)-1,)*Index!DP$23*(DT$15&gt;$I206)*(1-DT$12)</f>
        <v>0</v>
      </c>
      <c r="DU206" s="747">
        <f>$G206*$H206*(1+$K206)^MAX(ROUNDUP(IFERROR(DATEDIF($I188-1,DU$15+1,"m"),)/12,)-1,)*Index!DQ$23*(DU$15&gt;$I206)*(1-DU$12)</f>
        <v>0</v>
      </c>
      <c r="DV206" s="747">
        <f>$G206*$H206*(1+$K206)^MAX(ROUNDUP(IFERROR(DATEDIF($I188-1,DV$15+1,"m"),)/12,)-1,)*Index!DR$23*(DV$15&gt;$I206)*(1-DV$12)</f>
        <v>0</v>
      </c>
      <c r="DW206" s="747">
        <f>$G206*$H206*(1+$K206)^MAX(ROUNDUP(IFERROR(DATEDIF($I188-1,DW$15+1,"m"),)/12,)-1,)*Index!DS$23*(DW$15&gt;$I206)*(1-DW$12)</f>
        <v>0</v>
      </c>
      <c r="DX206" s="747">
        <f>$G206*$H206*(1+$K206)^MAX(ROUNDUP(IFERROR(DATEDIF($I188-1,DX$15+1,"m"),)/12,)-1,)*Index!DT$23*(DX$15&gt;$I206)*(1-DX$12)</f>
        <v>0</v>
      </c>
      <c r="DY206" s="747">
        <f>$G206*$H206*(1+$K206)^MAX(ROUNDUP(IFERROR(DATEDIF($I188-1,DY$15+1,"m"),)/12,)-1,)*Index!DU$23*(DY$15&gt;$I206)*(1-DY$12)</f>
        <v>0</v>
      </c>
      <c r="DZ206" s="747">
        <f>$G206*$H206*(1+$K206)^MAX(ROUNDUP(IFERROR(DATEDIF($I188-1,DZ$15+1,"m"),)/12,)-1,)*Index!DV$23*(DZ$15&gt;$I206)*(1-DZ$12)</f>
        <v>0</v>
      </c>
      <c r="EA206" s="747">
        <f>$G206*$H206*(1+$K206)^MAX(ROUNDUP(IFERROR(DATEDIF($I188-1,EA$15+1,"m"),)/12,)-1,)*Index!DW$23*(EA$15&gt;$I206)*(1-EA$12)</f>
        <v>0</v>
      </c>
      <c r="EB206" s="747">
        <f>$G206*$H206*(1+$K206)^MAX(ROUNDUP(IFERROR(DATEDIF($I188-1,EB$15+1,"m"),)/12,)-1,)*Index!DX$23*(EB$15&gt;$I206)*(1-EB$12)</f>
        <v>0</v>
      </c>
      <c r="EC206" s="747">
        <f>$G206*$H206*(1+$K206)^MAX(ROUNDUP(IFERROR(DATEDIF($I188-1,EC$15+1,"m"),)/12,)-1,)*Index!DY$23*(EC$15&gt;$I206)*(1-EC$12)</f>
        <v>0</v>
      </c>
      <c r="ED206" s="747">
        <f>$G206*$H206*(1+$K206)^MAX(ROUNDUP(IFERROR(DATEDIF($I188-1,ED$15+1,"m"),)/12,)-1,)*Index!DZ$23*(ED$15&gt;$I206)*(1-ED$12)</f>
        <v>0</v>
      </c>
      <c r="EE206" s="747">
        <f>$G206*$H206*(1+$K206)^MAX(ROUNDUP(IFERROR(DATEDIF($I188-1,EE$15+1,"m"),)/12,)-1,)*Index!EA$23*(EE$15&gt;$I206)*(1-EE$12)</f>
        <v>0</v>
      </c>
      <c r="EF206" s="747">
        <f>$G206*$H206*(1+$K206)^MAX(ROUNDUP(IFERROR(DATEDIF($I188-1,EF$15+1,"m"),)/12,)-1,)*Index!EB$23*(EF$15&gt;$I206)*(1-EF$12)</f>
        <v>0</v>
      </c>
      <c r="EG206" s="747">
        <f>$G206*$H206*(1+$K206)^MAX(ROUNDUP(IFERROR(DATEDIF($I188-1,EG$15+1,"m"),)/12,)-1,)*Index!EC$23*(EG$15&gt;$I206)*(1-EG$12)</f>
        <v>6556.68</v>
      </c>
      <c r="EH206" s="747">
        <f>$G206*$H206*(1+$K206)^MAX(ROUNDUP(IFERROR(DATEDIF($I188-1,EH$15+1,"m"),)/12,)-1,)*Index!ED$23*(EH$15&gt;$I206)*(1-EH$12)</f>
        <v>6556.68</v>
      </c>
      <c r="EI206" s="747">
        <f>$G206*$H206*(1+$K206)^MAX(ROUNDUP(IFERROR(DATEDIF($I188-1,EI$15+1,"m"),)/12,)-1,)*Index!EE$23*(EI$15&gt;$I206)*(1-EI$12)</f>
        <v>6556.68</v>
      </c>
      <c r="EJ206" s="747">
        <f>$G206*$H206*(1+$K206)^MAX(ROUNDUP(IFERROR(DATEDIF($I188-1,EJ$15+1,"m"),)/12,)-1,)*Index!EF$23*(EJ$15&gt;$I206)*(1-EJ$12)</f>
        <v>6556.68</v>
      </c>
      <c r="EK206" s="747">
        <f>$G206*$H206*(1+$K206)^MAX(ROUNDUP(IFERROR(DATEDIF($I188-1,EK$15+1,"m"),)/12,)-1,)*Index!EG$23*(EK$15&gt;$I206)*(1-EK$12)</f>
        <v>6556.68</v>
      </c>
      <c r="EL206" s="747">
        <f>$G206*$H206*(1+$K206)^MAX(ROUNDUP(IFERROR(DATEDIF($I188-1,EL$15+1,"m"),)/12,)-1,)*Index!EH$23*(EL$15&gt;$I206)*(1-EL$12)</f>
        <v>6556.68</v>
      </c>
      <c r="EM206" s="747">
        <f>$G206*$H206*(1+$K206)^MAX(ROUNDUP(IFERROR(DATEDIF($I188-1,EM$15+1,"m"),)/12,)-1,)*Index!EI$23*(EM$15&gt;$I206)*(1-EM$12)</f>
        <v>6556.68</v>
      </c>
      <c r="EN206" s="747">
        <f>$G206*$H206*(1+$K206)^MAX(ROUNDUP(IFERROR(DATEDIF($I188-1,EN$15+1,"m"),)/12,)-1,)*Index!EJ$23*(EN$15&gt;$I206)*(1-EN$12)</f>
        <v>6556.68</v>
      </c>
      <c r="EO206" s="747">
        <f>$G206*$H206*(1+$K206)^MAX(ROUNDUP(IFERROR(DATEDIF($I188-1,EO$15+1,"m"),)/12,)-1,)*Index!EK$23*(EO$15&gt;$I206)*(1-EO$12)</f>
        <v>6556.68</v>
      </c>
      <c r="EP206" s="747">
        <f>$G206*$H206*(1+$K206)^MAX(ROUNDUP(IFERROR(DATEDIF($I188-1,EP$15+1,"m"),)/12,)-1,)*Index!EL$23*(EP$15&gt;$I206)*(1-EP$12)</f>
        <v>6556.68</v>
      </c>
      <c r="EQ206" s="747">
        <f>$G206*$H206*(1+$K206)^MAX(ROUNDUP(IFERROR(DATEDIF($I188-1,EQ$15+1,"m"),)/12,)-1,)*Index!EM$23*(EQ$15&gt;$I206)*(1-EQ$12)</f>
        <v>6556.68</v>
      </c>
      <c r="ER206" s="747">
        <f>$G206*$H206*(1+$K206)^MAX(ROUNDUP(IFERROR(DATEDIF($I188-1,ER$15+1,"m"),)/12,)-1,)*Index!EN$23*(ER$15&gt;$I206)*(1-ER$12)</f>
        <v>6556.68</v>
      </c>
      <c r="ES206" s="747">
        <f>$G206*$H206*(1+$K206)^MAX(ROUNDUP(IFERROR(DATEDIF($I188-1,ES$15+1,"m"),)/12,)-1,)*Index!EO$23*(ES$15&gt;$I206)*(1-ES$12)</f>
        <v>0</v>
      </c>
      <c r="ET206" s="747">
        <f>$G206*$H206*(1+$K206)^MAX(ROUNDUP(IFERROR(DATEDIF($I188-1,ET$15+1,"m"),)/12,)-1,)*Index!EP$23*(ET$15&gt;$I206)*(1-ET$12)</f>
        <v>0</v>
      </c>
      <c r="EU206" s="747">
        <f>$G206*$H206*(1+$K206)^MAX(ROUNDUP(IFERROR(DATEDIF($I188-1,EU$15+1,"m"),)/12,)-1,)*Index!EQ$23*(EU$15&gt;$I206)*(1-EU$12)</f>
        <v>0</v>
      </c>
    </row>
    <row r="207" spans="3:151" ht="11.25" customHeight="1">
      <c r="C207" s="828"/>
      <c r="D207" s="743">
        <f t="shared" ref="D207:I207" si="282">D171</f>
        <v>2</v>
      </c>
      <c r="E207" s="704" t="str">
        <f t="shared" si="282"/>
        <v>쿠팡</v>
      </c>
      <c r="F207" s="704" t="str">
        <f t="shared" si="282"/>
        <v>상온창고</v>
      </c>
      <c r="G207" s="781">
        <f t="shared" si="282"/>
        <v>2.9900433370455741</v>
      </c>
      <c r="H207" s="744">
        <f t="shared" si="282"/>
        <v>2185.56</v>
      </c>
      <c r="I207" s="745">
        <f t="shared" si="282"/>
        <v>49064</v>
      </c>
      <c r="J207" s="745"/>
      <c r="K207" s="754">
        <f t="shared" si="272"/>
        <v>2.5000000000000001E-2</v>
      </c>
      <c r="L207" s="746"/>
      <c r="M207" s="722"/>
      <c r="N207" s="747">
        <f t="shared" si="273"/>
        <v>105036.15722383931</v>
      </c>
      <c r="O207" s="733"/>
      <c r="P207" s="747">
        <f>$G207*$H207*(1+$K207)^MAX(ROUNDUP(IFERROR(DATEDIF($I189-1,P$15+1,"m"),)/12,)-1,)*Index!L$23*(P$15&gt;$I207)*(1-P$12)</f>
        <v>0</v>
      </c>
      <c r="Q207" s="747">
        <f>$G207*$H207*(1+$K207)^MAX(ROUNDUP(IFERROR(DATEDIF($I189-1,Q$15+1,"m"),)/12,)-1,)*Index!M$23*(Q$15&gt;$I207)*(1-Q$12)</f>
        <v>0</v>
      </c>
      <c r="R207" s="747">
        <f>$G207*$H207*(1+$K207)^MAX(ROUNDUP(IFERROR(DATEDIF($I189-1,R$15+1,"m"),)/12,)-1,)*Index!N$23*(R$15&gt;$I207)*(1-R$12)</f>
        <v>0</v>
      </c>
      <c r="S207" s="747">
        <f>$G207*$H207*(1+$K207)^MAX(ROUNDUP(IFERROR(DATEDIF($I189-1,S$15+1,"m"),)/12,)-1,)*Index!O$23*(S$15&gt;$I207)*(1-S$12)</f>
        <v>0</v>
      </c>
      <c r="T207" s="747">
        <f>$G207*$H207*(1+$K207)^MAX(ROUNDUP(IFERROR(DATEDIF($I189-1,T$15+1,"m"),)/12,)-1,)*Index!P$23*(T$15&gt;$I207)*(1-T$12)</f>
        <v>0</v>
      </c>
      <c r="U207" s="747">
        <f>$G207*$H207*(1+$K207)^MAX(ROUNDUP(IFERROR(DATEDIF($I189-1,U$15+1,"m"),)/12,)-1,)*Index!Q$23*(U$15&gt;$I207)*(1-U$12)</f>
        <v>0</v>
      </c>
      <c r="V207" s="747">
        <f>$G207*$H207*(1+$K207)^MAX(ROUNDUP(IFERROR(DATEDIF($I189-1,V$15+1,"m"),)/12,)-1,)*Index!R$23*(V$15&gt;$I207)*(1-V$12)</f>
        <v>0</v>
      </c>
      <c r="W207" s="747">
        <f>$G207*$H207*(1+$K207)^MAX(ROUNDUP(IFERROR(DATEDIF($I189-1,W$15+1,"m"),)/12,)-1,)*Index!S$23*(W$15&gt;$I207)*(1-W$12)</f>
        <v>0</v>
      </c>
      <c r="X207" s="747">
        <f>$G207*$H207*(1+$K207)^MAX(ROUNDUP(IFERROR(DATEDIF($I189-1,X$15+1,"m"),)/12,)-1,)*Index!T$23*(X$15&gt;$I207)*(1-X$12)</f>
        <v>0</v>
      </c>
      <c r="Y207" s="747">
        <f>$G207*$H207*(1+$K207)^MAX(ROUNDUP(IFERROR(DATEDIF($I189-1,Y$15+1,"m"),)/12,)-1,)*Index!U$23*(Y$15&gt;$I207)*(1-Y$12)</f>
        <v>0</v>
      </c>
      <c r="Z207" s="747">
        <f>$G207*$H207*(1+$K207)^MAX(ROUNDUP(IFERROR(DATEDIF($I189-1,Z$15+1,"m"),)/12,)-1,)*Index!V$23*(Z$15&gt;$I207)*(1-Z$12)</f>
        <v>0</v>
      </c>
      <c r="AA207" s="747">
        <f>$G207*$H207*(1+$K207)^MAX(ROUNDUP(IFERROR(DATEDIF($I189-1,AA$15+1,"m"),)/12,)-1,)*Index!W$23*(AA$15&gt;$I207)*(1-AA$12)</f>
        <v>0</v>
      </c>
      <c r="AB207" s="747">
        <f>$G207*$H207*(1+$K207)^MAX(ROUNDUP(IFERROR(DATEDIF($I189-1,AB$15+1,"m"),)/12,)-1,)*Index!X$23*(AB$15&gt;$I207)*(1-AB$12)</f>
        <v>0</v>
      </c>
      <c r="AC207" s="747">
        <f>$G207*$H207*(1+$K207)^MAX(ROUNDUP(IFERROR(DATEDIF($I189-1,AC$15+1,"m"),)/12,)-1,)*Index!Y$23*(AC$15&gt;$I207)*(1-AC$12)</f>
        <v>0</v>
      </c>
      <c r="AD207" s="747">
        <f>$G207*$H207*(1+$K207)^MAX(ROUNDUP(IFERROR(DATEDIF($I189-1,AD$15+1,"m"),)/12,)-1,)*Index!Z$23*(AD$15&gt;$I207)*(1-AD$12)</f>
        <v>0</v>
      </c>
      <c r="AE207" s="747">
        <f>$G207*$H207*(1+$K207)^MAX(ROUNDUP(IFERROR(DATEDIF($I189-1,AE$15+1,"m"),)/12,)-1,)*Index!AA$23*(AE$15&gt;$I207)*(1-AE$12)</f>
        <v>0</v>
      </c>
      <c r="AF207" s="747">
        <f>$G207*$H207*(1+$K207)^MAX(ROUNDUP(IFERROR(DATEDIF($I189-1,AF$15+1,"m"),)/12,)-1,)*Index!AB$23*(AF$15&gt;$I207)*(1-AF$12)</f>
        <v>0</v>
      </c>
      <c r="AG207" s="747">
        <f>$G207*$H207*(1+$K207)^MAX(ROUNDUP(IFERROR(DATEDIF($I189-1,AG$15+1,"m"),)/12,)-1,)*Index!AC$23*(AG$15&gt;$I207)*(1-AG$12)</f>
        <v>0</v>
      </c>
      <c r="AH207" s="747">
        <f>$G207*$H207*(1+$K207)^MAX(ROUNDUP(IFERROR(DATEDIF($I189-1,AH$15+1,"m"),)/12,)-1,)*Index!AD$23*(AH$15&gt;$I207)*(1-AH$12)</f>
        <v>0</v>
      </c>
      <c r="AI207" s="747">
        <f>$G207*$H207*(1+$K207)^MAX(ROUNDUP(IFERROR(DATEDIF($I189-1,AI$15+1,"m"),)/12,)-1,)*Index!AE$23*(AI$15&gt;$I207)*(1-AI$12)</f>
        <v>0</v>
      </c>
      <c r="AJ207" s="747">
        <f>$G207*$H207*(1+$K207)^MAX(ROUNDUP(IFERROR(DATEDIF($I189-1,AJ$15+1,"m"),)/12,)-1,)*Index!AF$23*(AJ$15&gt;$I207)*(1-AJ$12)</f>
        <v>0</v>
      </c>
      <c r="AK207" s="747">
        <f>$G207*$H207*(1+$K207)^MAX(ROUNDUP(IFERROR(DATEDIF($I189-1,AK$15+1,"m"),)/12,)-1,)*Index!AG$23*(AK$15&gt;$I207)*(1-AK$12)</f>
        <v>0</v>
      </c>
      <c r="AL207" s="747">
        <f>$G207*$H207*(1+$K207)^MAX(ROUNDUP(IFERROR(DATEDIF($I189-1,AL$15+1,"m"),)/12,)-1,)*Index!AH$23*(AL$15&gt;$I207)*(1-AL$12)</f>
        <v>0</v>
      </c>
      <c r="AM207" s="747">
        <f>$G207*$H207*(1+$K207)^MAX(ROUNDUP(IFERROR(DATEDIF($I189-1,AM$15+1,"m"),)/12,)-1,)*Index!AI$23*(AM$15&gt;$I207)*(1-AM$12)</f>
        <v>0</v>
      </c>
      <c r="AN207" s="747">
        <f>$G207*$H207*(1+$K207)^MAX(ROUNDUP(IFERROR(DATEDIF($I189-1,AN$15+1,"m"),)/12,)-1,)*Index!AJ$23*(AN$15&gt;$I207)*(1-AN$12)</f>
        <v>0</v>
      </c>
      <c r="AO207" s="747">
        <f>$G207*$H207*(1+$K207)^MAX(ROUNDUP(IFERROR(DATEDIF($I189-1,AO$15+1,"m"),)/12,)-1,)*Index!AK$23*(AO$15&gt;$I207)*(1-AO$12)</f>
        <v>0</v>
      </c>
      <c r="AP207" s="747">
        <f>$G207*$H207*(1+$K207)^MAX(ROUNDUP(IFERROR(DATEDIF($I189-1,AP$15+1,"m"),)/12,)-1,)*Index!AL$23*(AP$15&gt;$I207)*(1-AP$12)</f>
        <v>0</v>
      </c>
      <c r="AQ207" s="747">
        <f>$G207*$H207*(1+$K207)^MAX(ROUNDUP(IFERROR(DATEDIF($I189-1,AQ$15+1,"m"),)/12,)-1,)*Index!AM$23*(AQ$15&gt;$I207)*(1-AQ$12)</f>
        <v>0</v>
      </c>
      <c r="AR207" s="747">
        <f>$G207*$H207*(1+$K207)^MAX(ROUNDUP(IFERROR(DATEDIF($I189-1,AR$15+1,"m"),)/12,)-1,)*Index!AN$23*(AR$15&gt;$I207)*(1-AR$12)</f>
        <v>0</v>
      </c>
      <c r="AS207" s="747">
        <f>$G207*$H207*(1+$K207)^MAX(ROUNDUP(IFERROR(DATEDIF($I189-1,AS$15+1,"m"),)/12,)-1,)*Index!AO$23*(AS$15&gt;$I207)*(1-AS$12)</f>
        <v>0</v>
      </c>
      <c r="AT207" s="747">
        <f>$G207*$H207*(1+$K207)^MAX(ROUNDUP(IFERROR(DATEDIF($I189-1,AT$15+1,"m"),)/12,)-1,)*Index!AP$23*(AT$15&gt;$I207)*(1-AT$12)</f>
        <v>0</v>
      </c>
      <c r="AU207" s="747">
        <f>$G207*$H207*(1+$K207)^MAX(ROUNDUP(IFERROR(DATEDIF($I189-1,AU$15+1,"m"),)/12,)-1,)*Index!AQ$23*(AU$15&gt;$I207)*(1-AU$12)</f>
        <v>0</v>
      </c>
      <c r="AV207" s="747">
        <f>$G207*$H207*(1+$K207)^MAX(ROUNDUP(IFERROR(DATEDIF($I189-1,AV$15+1,"m"),)/12,)-1,)*Index!AR$23*(AV$15&gt;$I207)*(1-AV$12)</f>
        <v>0</v>
      </c>
      <c r="AW207" s="747">
        <f>$G207*$H207*(1+$K207)^MAX(ROUNDUP(IFERROR(DATEDIF($I189-1,AW$15+1,"m"),)/12,)-1,)*Index!AS$23*(AW$15&gt;$I207)*(1-AW$12)</f>
        <v>0</v>
      </c>
      <c r="AX207" s="747">
        <f>$G207*$H207*(1+$K207)^MAX(ROUNDUP(IFERROR(DATEDIF($I189-1,AX$15+1,"m"),)/12,)-1,)*Index!AT$23*(AX$15&gt;$I207)*(1-AX$12)</f>
        <v>0</v>
      </c>
      <c r="AY207" s="747">
        <f>$G207*$H207*(1+$K207)^MAX(ROUNDUP(IFERROR(DATEDIF($I189-1,AY$15+1,"m"),)/12,)-1,)*Index!AU$23*(AY$15&gt;$I207)*(1-AY$12)</f>
        <v>0</v>
      </c>
      <c r="AZ207" s="747">
        <f>$G207*$H207*(1+$K207)^MAX(ROUNDUP(IFERROR(DATEDIF($I189-1,AZ$15+1,"m"),)/12,)-1,)*Index!AV$23*(AZ$15&gt;$I207)*(1-AZ$12)</f>
        <v>0</v>
      </c>
      <c r="BA207" s="747">
        <f>$G207*$H207*(1+$K207)^MAX(ROUNDUP(IFERROR(DATEDIF($I189-1,BA$15+1,"m"),)/12,)-1,)*Index!AW$23*(BA$15&gt;$I207)*(1-BA$12)</f>
        <v>0</v>
      </c>
      <c r="BB207" s="747">
        <f>$G207*$H207*(1+$K207)^MAX(ROUNDUP(IFERROR(DATEDIF($I189-1,BB$15+1,"m"),)/12,)-1,)*Index!AX$23*(BB$15&gt;$I207)*(1-BB$12)</f>
        <v>0</v>
      </c>
      <c r="BC207" s="747">
        <f>$G207*$H207*(1+$K207)^MAX(ROUNDUP(IFERROR(DATEDIF($I189-1,BC$15+1,"m"),)/12,)-1,)*Index!AY$23*(BC$15&gt;$I207)*(1-BC$12)</f>
        <v>0</v>
      </c>
      <c r="BD207" s="747">
        <f>$G207*$H207*(1+$K207)^MAX(ROUNDUP(IFERROR(DATEDIF($I189-1,BD$15+1,"m"),)/12,)-1,)*Index!AZ$23*(BD$15&gt;$I207)*(1-BD$12)</f>
        <v>0</v>
      </c>
      <c r="BE207" s="747">
        <f>$G207*$H207*(1+$K207)^MAX(ROUNDUP(IFERROR(DATEDIF($I189-1,BE$15+1,"m"),)/12,)-1,)*Index!BA$23*(BE$15&gt;$I207)*(1-BE$12)</f>
        <v>0</v>
      </c>
      <c r="BF207" s="747">
        <f>$G207*$H207*(1+$K207)^MAX(ROUNDUP(IFERROR(DATEDIF($I189-1,BF$15+1,"m"),)/12,)-1,)*Index!BB$23*(BF$15&gt;$I207)*(1-BF$12)</f>
        <v>0</v>
      </c>
      <c r="BG207" s="747">
        <f>$G207*$H207*(1+$K207)^MAX(ROUNDUP(IFERROR(DATEDIF($I189-1,BG$15+1,"m"),)/12,)-1,)*Index!BC$23*(BG$15&gt;$I207)*(1-BG$12)</f>
        <v>0</v>
      </c>
      <c r="BH207" s="747">
        <f>$G207*$H207*(1+$K207)^MAX(ROUNDUP(IFERROR(DATEDIF($I189-1,BH$15+1,"m"),)/12,)-1,)*Index!BD$23*(BH$15&gt;$I207)*(1-BH$12)</f>
        <v>0</v>
      </c>
      <c r="BI207" s="747">
        <f>$G207*$H207*(1+$K207)^MAX(ROUNDUP(IFERROR(DATEDIF($I189-1,BI$15+1,"m"),)/12,)-1,)*Index!BE$23*(BI$15&gt;$I207)*(1-BI$12)</f>
        <v>0</v>
      </c>
      <c r="BJ207" s="747">
        <f>$G207*$H207*(1+$K207)^MAX(ROUNDUP(IFERROR(DATEDIF($I189-1,BJ$15+1,"m"),)/12,)-1,)*Index!BF$23*(BJ$15&gt;$I207)*(1-BJ$12)</f>
        <v>0</v>
      </c>
      <c r="BK207" s="747">
        <f>$G207*$H207*(1+$K207)^MAX(ROUNDUP(IFERROR(DATEDIF($I189-1,BK$15+1,"m"),)/12,)-1,)*Index!BG$23*(BK$15&gt;$I207)*(1-BK$12)</f>
        <v>0</v>
      </c>
      <c r="BL207" s="747">
        <f>$G207*$H207*(1+$K207)^MAX(ROUNDUP(IFERROR(DATEDIF($I189-1,BL$15+1,"m"),)/12,)-1,)*Index!BH$23*(BL$15&gt;$I207)*(1-BL$12)</f>
        <v>0</v>
      </c>
      <c r="BM207" s="747">
        <f>$G207*$H207*(1+$K207)^MAX(ROUNDUP(IFERROR(DATEDIF($I189-1,BM$15+1,"m"),)/12,)-1,)*Index!BI$23*(BM$15&gt;$I207)*(1-BM$12)</f>
        <v>0</v>
      </c>
      <c r="BN207" s="747">
        <f>$G207*$H207*(1+$K207)^MAX(ROUNDUP(IFERROR(DATEDIF($I189-1,BN$15+1,"m"),)/12,)-1,)*Index!BJ$23*(BN$15&gt;$I207)*(1-BN$12)</f>
        <v>0</v>
      </c>
      <c r="BO207" s="747">
        <f>$G207*$H207*(1+$K207)^MAX(ROUNDUP(IFERROR(DATEDIF($I189-1,BO$15+1,"m"),)/12,)-1,)*Index!BK$23*(BO$15&gt;$I207)*(1-BO$12)</f>
        <v>0</v>
      </c>
      <c r="BP207" s="747">
        <f>$G207*$H207*(1+$K207)^MAX(ROUNDUP(IFERROR(DATEDIF($I189-1,BP$15+1,"m"),)/12,)-1,)*Index!BL$23*(BP$15&gt;$I207)*(1-BP$12)</f>
        <v>0</v>
      </c>
      <c r="BQ207" s="747">
        <f>$G207*$H207*(1+$K207)^MAX(ROUNDUP(IFERROR(DATEDIF($I189-1,BQ$15+1,"m"),)/12,)-1,)*Index!BM$23*(BQ$15&gt;$I207)*(1-BQ$12)</f>
        <v>0</v>
      </c>
      <c r="BR207" s="747">
        <f>$G207*$H207*(1+$K207)^MAX(ROUNDUP(IFERROR(DATEDIF($I189-1,BR$15+1,"m"),)/12,)-1,)*Index!BN$23*(BR$15&gt;$I207)*(1-BR$12)</f>
        <v>0</v>
      </c>
      <c r="BS207" s="747">
        <f>$G207*$H207*(1+$K207)^MAX(ROUNDUP(IFERROR(DATEDIF($I189-1,BS$15+1,"m"),)/12,)-1,)*Index!BO$23*(BS$15&gt;$I207)*(1-BS$12)</f>
        <v>0</v>
      </c>
      <c r="BT207" s="747">
        <f>$G207*$H207*(1+$K207)^MAX(ROUNDUP(IFERROR(DATEDIF($I189-1,BT$15+1,"m"),)/12,)-1,)*Index!BP$23*(BT$15&gt;$I207)*(1-BT$12)</f>
        <v>0</v>
      </c>
      <c r="BU207" s="747">
        <f>$G207*$H207*(1+$K207)^MAX(ROUNDUP(IFERROR(DATEDIF($I189-1,BU$15+1,"m"),)/12,)-1,)*Index!BQ$23*(BU$15&gt;$I207)*(1-BU$12)</f>
        <v>0</v>
      </c>
      <c r="BV207" s="747">
        <f>$G207*$H207*(1+$K207)^MAX(ROUNDUP(IFERROR(DATEDIF($I189-1,BV$15+1,"m"),)/12,)-1,)*Index!BR$23*(BV$15&gt;$I207)*(1-BV$12)</f>
        <v>0</v>
      </c>
      <c r="BW207" s="747">
        <f>$G207*$H207*(1+$K207)^MAX(ROUNDUP(IFERROR(DATEDIF($I189-1,BW$15+1,"m"),)/12,)-1,)*Index!BS$23*(BW$15&gt;$I207)*(1-BW$12)</f>
        <v>0</v>
      </c>
      <c r="BX207" s="747">
        <f>$G207*$H207*(1+$K207)^MAX(ROUNDUP(IFERROR(DATEDIF($I189-1,BX$15+1,"m"),)/12,)-1,)*Index!BT$23*(BX$15&gt;$I207)*(1-BX$12)</f>
        <v>0</v>
      </c>
      <c r="BY207" s="747">
        <f>$G207*$H207*(1+$K207)^MAX(ROUNDUP(IFERROR(DATEDIF($I189-1,BY$15+1,"m"),)/12,)-1,)*Index!BU$23*(BY$15&gt;$I207)*(1-BY$12)</f>
        <v>0</v>
      </c>
      <c r="BZ207" s="747">
        <f>$G207*$H207*(1+$K207)^MAX(ROUNDUP(IFERROR(DATEDIF($I189-1,BZ$15+1,"m"),)/12,)-1,)*Index!BV$23*(BZ$15&gt;$I207)*(1-BZ$12)</f>
        <v>0</v>
      </c>
      <c r="CA207" s="747">
        <f>$G207*$H207*(1+$K207)^MAX(ROUNDUP(IFERROR(DATEDIF($I189-1,CA$15+1,"m"),)/12,)-1,)*Index!BW$23*(CA$15&gt;$I207)*(1-CA$12)</f>
        <v>0</v>
      </c>
      <c r="CB207" s="747">
        <f>$G207*$H207*(1+$K207)^MAX(ROUNDUP(IFERROR(DATEDIF($I189-1,CB$15+1,"m"),)/12,)-1,)*Index!BX$23*(CB$15&gt;$I207)*(1-CB$12)</f>
        <v>0</v>
      </c>
      <c r="CC207" s="747">
        <f>$G207*$H207*(1+$K207)^MAX(ROUNDUP(IFERROR(DATEDIF($I189-1,CC$15+1,"m"),)/12,)-1,)*Index!BY$23*(CC$15&gt;$I207)*(1-CC$12)</f>
        <v>0</v>
      </c>
      <c r="CD207" s="747">
        <f>$G207*$H207*(1+$K207)^MAX(ROUNDUP(IFERROR(DATEDIF($I189-1,CD$15+1,"m"),)/12,)-1,)*Index!BZ$23*(CD$15&gt;$I207)*(1-CD$12)</f>
        <v>0</v>
      </c>
      <c r="CE207" s="747">
        <f>$G207*$H207*(1+$K207)^MAX(ROUNDUP(IFERROR(DATEDIF($I189-1,CE$15+1,"m"),)/12,)-1,)*Index!CA$23*(CE$15&gt;$I207)*(1-CE$12)</f>
        <v>0</v>
      </c>
      <c r="CF207" s="747">
        <f>$G207*$H207*(1+$K207)^MAX(ROUNDUP(IFERROR(DATEDIF($I189-1,CF$15+1,"m"),)/12,)-1,)*Index!CB$23*(CF$15&gt;$I207)*(1-CF$12)</f>
        <v>0</v>
      </c>
      <c r="CG207" s="747">
        <f>$G207*$H207*(1+$K207)^MAX(ROUNDUP(IFERROR(DATEDIF($I189-1,CG$15+1,"m"),)/12,)-1,)*Index!CC$23*(CG$15&gt;$I207)*(1-CG$12)</f>
        <v>0</v>
      </c>
      <c r="CH207" s="747">
        <f>$G207*$H207*(1+$K207)^MAX(ROUNDUP(IFERROR(DATEDIF($I189-1,CH$15+1,"m"),)/12,)-1,)*Index!CD$23*(CH$15&gt;$I207)*(1-CH$12)</f>
        <v>0</v>
      </c>
      <c r="CI207" s="747">
        <f>$G207*$H207*(1+$K207)^MAX(ROUNDUP(IFERROR(DATEDIF($I189-1,CI$15+1,"m"),)/12,)-1,)*Index!CE$23*(CI$15&gt;$I207)*(1-CI$12)</f>
        <v>0</v>
      </c>
      <c r="CJ207" s="747">
        <f>$G207*$H207*(1+$K207)^MAX(ROUNDUP(IFERROR(DATEDIF($I189-1,CJ$15+1,"m"),)/12,)-1,)*Index!CF$23*(CJ$15&gt;$I207)*(1-CJ$12)</f>
        <v>0</v>
      </c>
      <c r="CK207" s="747">
        <f>$G207*$H207*(1+$K207)^MAX(ROUNDUP(IFERROR(DATEDIF($I189-1,CK$15+1,"m"),)/12,)-1,)*Index!CG$23*(CK$15&gt;$I207)*(1-CK$12)</f>
        <v>0</v>
      </c>
      <c r="CL207" s="747">
        <f>$G207*$H207*(1+$K207)^MAX(ROUNDUP(IFERROR(DATEDIF($I189-1,CL$15+1,"m"),)/12,)-1,)*Index!CH$23*(CL$15&gt;$I207)*(1-CL$12)</f>
        <v>0</v>
      </c>
      <c r="CM207" s="747">
        <f>$G207*$H207*(1+$K207)^MAX(ROUNDUP(IFERROR(DATEDIF($I189-1,CM$15+1,"m"),)/12,)-1,)*Index!CI$23*(CM$15&gt;$I207)*(1-CM$12)</f>
        <v>0</v>
      </c>
      <c r="CN207" s="747">
        <f>$G207*$H207*(1+$K207)^MAX(ROUNDUP(IFERROR(DATEDIF($I189-1,CN$15+1,"m"),)/12,)-1,)*Index!CJ$23*(CN$15&gt;$I207)*(1-CN$12)</f>
        <v>0</v>
      </c>
      <c r="CO207" s="747">
        <f>$G207*$H207*(1+$K207)^MAX(ROUNDUP(IFERROR(DATEDIF($I189-1,CO$15+1,"m"),)/12,)-1,)*Index!CK$23*(CO$15&gt;$I207)*(1-CO$12)</f>
        <v>0</v>
      </c>
      <c r="CP207" s="747">
        <f>$G207*$H207*(1+$K207)^MAX(ROUNDUP(IFERROR(DATEDIF($I189-1,CP$15+1,"m"),)/12,)-1,)*Index!CL$23*(CP$15&gt;$I207)*(1-CP$12)</f>
        <v>0</v>
      </c>
      <c r="CQ207" s="747">
        <f>$G207*$H207*(1+$K207)^MAX(ROUNDUP(IFERROR(DATEDIF($I189-1,CQ$15+1,"m"),)/12,)-1,)*Index!CM$23*(CQ$15&gt;$I207)*(1-CQ$12)</f>
        <v>0</v>
      </c>
      <c r="CR207" s="747">
        <f>$G207*$H207*(1+$K207)^MAX(ROUNDUP(IFERROR(DATEDIF($I189-1,CR$15+1,"m"),)/12,)-1,)*Index!CN$23*(CR$15&gt;$I207)*(1-CR$12)</f>
        <v>0</v>
      </c>
      <c r="CS207" s="747">
        <f>$G207*$H207*(1+$K207)^MAX(ROUNDUP(IFERROR(DATEDIF($I189-1,CS$15+1,"m"),)/12,)-1,)*Index!CO$23*(CS$15&gt;$I207)*(1-CS$12)</f>
        <v>0</v>
      </c>
      <c r="CT207" s="747">
        <f>$G207*$H207*(1+$K207)^MAX(ROUNDUP(IFERROR(DATEDIF($I189-1,CT$15+1,"m"),)/12,)-1,)*Index!CP$23*(CT$15&gt;$I207)*(1-CT$12)</f>
        <v>0</v>
      </c>
      <c r="CU207" s="747">
        <f>$G207*$H207*(1+$K207)^MAX(ROUNDUP(IFERROR(DATEDIF($I189-1,CU$15+1,"m"),)/12,)-1,)*Index!CQ$23*(CU$15&gt;$I207)*(1-CU$12)</f>
        <v>0</v>
      </c>
      <c r="CV207" s="747">
        <f>$G207*$H207*(1+$K207)^MAX(ROUNDUP(IFERROR(DATEDIF($I189-1,CV$15+1,"m"),)/12,)-1,)*Index!CR$23*(CV$15&gt;$I207)*(1-CV$12)</f>
        <v>0</v>
      </c>
      <c r="CW207" s="747">
        <f>$G207*$H207*(1+$K207)^MAX(ROUNDUP(IFERROR(DATEDIF($I189-1,CW$15+1,"m"),)/12,)-1,)*Index!CS$23*(CW$15&gt;$I207)*(1-CW$12)</f>
        <v>0</v>
      </c>
      <c r="CX207" s="747">
        <f>$G207*$H207*(1+$K207)^MAX(ROUNDUP(IFERROR(DATEDIF($I189-1,CX$15+1,"m"),)/12,)-1,)*Index!CT$23*(CX$15&gt;$I207)*(1-CX$12)</f>
        <v>0</v>
      </c>
      <c r="CY207" s="747">
        <f>$G207*$H207*(1+$K207)^MAX(ROUNDUP(IFERROR(DATEDIF($I189-1,CY$15+1,"m"),)/12,)-1,)*Index!CU$23*(CY$15&gt;$I207)*(1-CY$12)</f>
        <v>0</v>
      </c>
      <c r="CZ207" s="747">
        <f>$G207*$H207*(1+$K207)^MAX(ROUNDUP(IFERROR(DATEDIF($I189-1,CZ$15+1,"m"),)/12,)-1,)*Index!CV$23*(CZ$15&gt;$I207)*(1-CZ$12)</f>
        <v>0</v>
      </c>
      <c r="DA207" s="747">
        <f>$G207*$H207*(1+$K207)^MAX(ROUNDUP(IFERROR(DATEDIF($I189-1,DA$15+1,"m"),)/12,)-1,)*Index!CW$23*(DA$15&gt;$I207)*(1-DA$12)</f>
        <v>0</v>
      </c>
      <c r="DB207" s="747">
        <f>$G207*$H207*(1+$K207)^MAX(ROUNDUP(IFERROR(DATEDIF($I189-1,DB$15+1,"m"),)/12,)-1,)*Index!CX$23*(DB$15&gt;$I207)*(1-DB$12)</f>
        <v>0</v>
      </c>
      <c r="DC207" s="747">
        <f>$G207*$H207*(1+$K207)^MAX(ROUNDUP(IFERROR(DATEDIF($I189-1,DC$15+1,"m"),)/12,)-1,)*Index!CY$23*(DC$15&gt;$I207)*(1-DC$12)</f>
        <v>0</v>
      </c>
      <c r="DD207" s="747">
        <f>$G207*$H207*(1+$K207)^MAX(ROUNDUP(IFERROR(DATEDIF($I189-1,DD$15+1,"m"),)/12,)-1,)*Index!CZ$23*(DD$15&gt;$I207)*(1-DD$12)</f>
        <v>0</v>
      </c>
      <c r="DE207" s="747">
        <f>$G207*$H207*(1+$K207)^MAX(ROUNDUP(IFERROR(DATEDIF($I189-1,DE$15+1,"m"),)/12,)-1,)*Index!DA$23*(DE$15&gt;$I207)*(1-DE$12)</f>
        <v>0</v>
      </c>
      <c r="DF207" s="747">
        <f>$G207*$H207*(1+$K207)^MAX(ROUNDUP(IFERROR(DATEDIF($I189-1,DF$15+1,"m"),)/12,)-1,)*Index!DB$23*(DF$15&gt;$I207)*(1-DF$12)</f>
        <v>0</v>
      </c>
      <c r="DG207" s="747">
        <f>$G207*$H207*(1+$K207)^MAX(ROUNDUP(IFERROR(DATEDIF($I189-1,DG$15+1,"m"),)/12,)-1,)*Index!DC$23*(DG$15&gt;$I207)*(1-DG$12)</f>
        <v>0</v>
      </c>
      <c r="DH207" s="747">
        <f>$G207*$H207*(1+$K207)^MAX(ROUNDUP(IFERROR(DATEDIF($I189-1,DH$15+1,"m"),)/12,)-1,)*Index!DD$23*(DH$15&gt;$I207)*(1-DH$12)</f>
        <v>0</v>
      </c>
      <c r="DI207" s="747">
        <f>$G207*$H207*(1+$K207)^MAX(ROUNDUP(IFERROR(DATEDIF($I189-1,DI$15+1,"m"),)/12,)-1,)*Index!DE$23*(DI$15&gt;$I207)*(1-DI$12)</f>
        <v>0</v>
      </c>
      <c r="DJ207" s="747">
        <f>$G207*$H207*(1+$K207)^MAX(ROUNDUP(IFERROR(DATEDIF($I189-1,DJ$15+1,"m"),)/12,)-1,)*Index!DF$23*(DJ$15&gt;$I207)*(1-DJ$12)</f>
        <v>0</v>
      </c>
      <c r="DK207" s="747">
        <f>$G207*$H207*(1+$K207)^MAX(ROUNDUP(IFERROR(DATEDIF($I189-1,DK$15+1,"m"),)/12,)-1,)*Index!DG$23*(DK$15&gt;$I207)*(1-DK$12)</f>
        <v>0</v>
      </c>
      <c r="DL207" s="747">
        <f>$G207*$H207*(1+$K207)^MAX(ROUNDUP(IFERROR(DATEDIF($I189-1,DL$15+1,"m"),)/12,)-1,)*Index!DH$23*(DL$15&gt;$I207)*(1-DL$12)</f>
        <v>0</v>
      </c>
      <c r="DM207" s="747">
        <f>$G207*$H207*(1+$K207)^MAX(ROUNDUP(IFERROR(DATEDIF($I189-1,DM$15+1,"m"),)/12,)-1,)*Index!DI$23*(DM$15&gt;$I207)*(1-DM$12)</f>
        <v>0</v>
      </c>
      <c r="DN207" s="747">
        <f>$G207*$H207*(1+$K207)^MAX(ROUNDUP(IFERROR(DATEDIF($I189-1,DN$15+1,"m"),)/12,)-1,)*Index!DJ$23*(DN$15&gt;$I207)*(1-DN$12)</f>
        <v>0</v>
      </c>
      <c r="DO207" s="747">
        <f>$G207*$H207*(1+$K207)^MAX(ROUNDUP(IFERROR(DATEDIF($I189-1,DO$15+1,"m"),)/12,)-1,)*Index!DK$23*(DO$15&gt;$I207)*(1-DO$12)</f>
        <v>0</v>
      </c>
      <c r="DP207" s="747">
        <f>$G207*$H207*(1+$K207)^MAX(ROUNDUP(IFERROR(DATEDIF($I189-1,DP$15+1,"m"),)/12,)-1,)*Index!DL$23*(DP$15&gt;$I207)*(1-DP$12)</f>
        <v>0</v>
      </c>
      <c r="DQ207" s="747">
        <f>$G207*$H207*(1+$K207)^MAX(ROUNDUP(IFERROR(DATEDIF($I189-1,DQ$15+1,"m"),)/12,)-1,)*Index!DM$23*(DQ$15&gt;$I207)*(1-DQ$12)</f>
        <v>0</v>
      </c>
      <c r="DR207" s="747">
        <f>$G207*$H207*(1+$K207)^MAX(ROUNDUP(IFERROR(DATEDIF($I189-1,DR$15+1,"m"),)/12,)-1,)*Index!DN$23*(DR$15&gt;$I207)*(1-DR$12)</f>
        <v>0</v>
      </c>
      <c r="DS207" s="747">
        <f>$G207*$H207*(1+$K207)^MAX(ROUNDUP(IFERROR(DATEDIF($I189-1,DS$15+1,"m"),)/12,)-1,)*Index!DO$23*(DS$15&gt;$I207)*(1-DS$12)</f>
        <v>0</v>
      </c>
      <c r="DT207" s="747">
        <f>$G207*$H207*(1+$K207)^MAX(ROUNDUP(IFERROR(DATEDIF($I189-1,DT$15+1,"m"),)/12,)-1,)*Index!DP$23*(DT$15&gt;$I207)*(1-DT$12)</f>
        <v>0</v>
      </c>
      <c r="DU207" s="747">
        <f>$G207*$H207*(1+$K207)^MAX(ROUNDUP(IFERROR(DATEDIF($I189-1,DU$15+1,"m"),)/12,)-1,)*Index!DQ$23*(DU$15&gt;$I207)*(1-DU$12)</f>
        <v>0</v>
      </c>
      <c r="DV207" s="747">
        <f>$G207*$H207*(1+$K207)^MAX(ROUNDUP(IFERROR(DATEDIF($I189-1,DV$15+1,"m"),)/12,)-1,)*Index!DR$23*(DV$15&gt;$I207)*(1-DV$12)</f>
        <v>0</v>
      </c>
      <c r="DW207" s="747">
        <f>$G207*$H207*(1+$K207)^MAX(ROUNDUP(IFERROR(DATEDIF($I189-1,DW$15+1,"m"),)/12,)-1,)*Index!DS$23*(DW$15&gt;$I207)*(1-DW$12)</f>
        <v>0</v>
      </c>
      <c r="DX207" s="747">
        <f>$G207*$H207*(1+$K207)^MAX(ROUNDUP(IFERROR(DATEDIF($I189-1,DX$15+1,"m"),)/12,)-1,)*Index!DT$23*(DX$15&gt;$I207)*(1-DX$12)</f>
        <v>0</v>
      </c>
      <c r="DY207" s="747">
        <f>$G207*$H207*(1+$K207)^MAX(ROUNDUP(IFERROR(DATEDIF($I189-1,DY$15+1,"m"),)/12,)-1,)*Index!DU$23*(DY$15&gt;$I207)*(1-DY$12)</f>
        <v>0</v>
      </c>
      <c r="DZ207" s="747">
        <f>$G207*$H207*(1+$K207)^MAX(ROUNDUP(IFERROR(DATEDIF($I189-1,DZ$15+1,"m"),)/12,)-1,)*Index!DV$23*(DZ$15&gt;$I207)*(1-DZ$12)</f>
        <v>0</v>
      </c>
      <c r="EA207" s="747">
        <f>$G207*$H207*(1+$K207)^MAX(ROUNDUP(IFERROR(DATEDIF($I189-1,EA$15+1,"m"),)/12,)-1,)*Index!DW$23*(EA$15&gt;$I207)*(1-EA$12)</f>
        <v>0</v>
      </c>
      <c r="EB207" s="747">
        <f>$G207*$H207*(1+$K207)^MAX(ROUNDUP(IFERROR(DATEDIF($I189-1,EB$15+1,"m"),)/12,)-1,)*Index!DX$23*(EB$15&gt;$I207)*(1-EB$12)</f>
        <v>0</v>
      </c>
      <c r="EC207" s="747">
        <f>$G207*$H207*(1+$K207)^MAX(ROUNDUP(IFERROR(DATEDIF($I189-1,EC$15+1,"m"),)/12,)-1,)*Index!DY$23*(EC$15&gt;$I207)*(1-EC$12)</f>
        <v>0</v>
      </c>
      <c r="ED207" s="747">
        <f>$G207*$H207*(1+$K207)^MAX(ROUNDUP(IFERROR(DATEDIF($I189-1,ED$15+1,"m"),)/12,)-1,)*Index!DZ$23*(ED$15&gt;$I207)*(1-ED$12)</f>
        <v>0</v>
      </c>
      <c r="EE207" s="747">
        <f>$G207*$H207*(1+$K207)^MAX(ROUNDUP(IFERROR(DATEDIF($I189-1,EE$15+1,"m"),)/12,)-1,)*Index!EA$23*(EE$15&gt;$I207)*(1-EE$12)</f>
        <v>0</v>
      </c>
      <c r="EF207" s="747">
        <f>$G207*$H207*(1+$K207)^MAX(ROUNDUP(IFERROR(DATEDIF($I189-1,EF$15+1,"m"),)/12,)-1,)*Index!EB$23*(EF$15&gt;$I207)*(1-EF$12)</f>
        <v>0</v>
      </c>
      <c r="EG207" s="747">
        <f>$G207*$H207*(1+$K207)^MAX(ROUNDUP(IFERROR(DATEDIF($I189-1,EG$15+1,"m"),)/12,)-1,)*Index!EC$23*(EG$15&gt;$I207)*(1-EG$12)</f>
        <v>8574.3801815379011</v>
      </c>
      <c r="EH207" s="747">
        <f>$G207*$H207*(1+$K207)^MAX(ROUNDUP(IFERROR(DATEDIF($I189-1,EH$15+1,"m"),)/12,)-1,)*Index!ED$23*(EH$15&gt;$I207)*(1-EH$12)</f>
        <v>8574.3801815379011</v>
      </c>
      <c r="EI207" s="747">
        <f>$G207*$H207*(1+$K207)^MAX(ROUNDUP(IFERROR(DATEDIF($I189-1,EI$15+1,"m"),)/12,)-1,)*Index!EE$23*(EI$15&gt;$I207)*(1-EI$12)</f>
        <v>8788.7396860763474</v>
      </c>
      <c r="EJ207" s="747">
        <f>$G207*$H207*(1+$K207)^MAX(ROUNDUP(IFERROR(DATEDIF($I189-1,EJ$15+1,"m"),)/12,)-1,)*Index!EF$23*(EJ$15&gt;$I207)*(1-EJ$12)</f>
        <v>8788.7396860763474</v>
      </c>
      <c r="EK207" s="747">
        <f>$G207*$H207*(1+$K207)^MAX(ROUNDUP(IFERROR(DATEDIF($I189-1,EK$15+1,"m"),)/12,)-1,)*Index!EG$23*(EK$15&gt;$I207)*(1-EK$12)</f>
        <v>8788.7396860763474</v>
      </c>
      <c r="EL207" s="747">
        <f>$G207*$H207*(1+$K207)^MAX(ROUNDUP(IFERROR(DATEDIF($I189-1,EL$15+1,"m"),)/12,)-1,)*Index!EH$23*(EL$15&gt;$I207)*(1-EL$12)</f>
        <v>8788.7396860763474</v>
      </c>
      <c r="EM207" s="747">
        <f>$G207*$H207*(1+$K207)^MAX(ROUNDUP(IFERROR(DATEDIF($I189-1,EM$15+1,"m"),)/12,)-1,)*Index!EI$23*(EM$15&gt;$I207)*(1-EM$12)</f>
        <v>8788.7396860763474</v>
      </c>
      <c r="EN207" s="747">
        <f>$G207*$H207*(1+$K207)^MAX(ROUNDUP(IFERROR(DATEDIF($I189-1,EN$15+1,"m"),)/12,)-1,)*Index!EJ$23*(EN$15&gt;$I207)*(1-EN$12)</f>
        <v>8788.7396860763474</v>
      </c>
      <c r="EO207" s="747">
        <f>$G207*$H207*(1+$K207)^MAX(ROUNDUP(IFERROR(DATEDIF($I189-1,EO$15+1,"m"),)/12,)-1,)*Index!EK$23*(EO$15&gt;$I207)*(1-EO$12)</f>
        <v>8788.7396860763474</v>
      </c>
      <c r="EP207" s="747">
        <f>$G207*$H207*(1+$K207)^MAX(ROUNDUP(IFERROR(DATEDIF($I189-1,EP$15+1,"m"),)/12,)-1,)*Index!EL$23*(EP$15&gt;$I207)*(1-EP$12)</f>
        <v>8788.7396860763474</v>
      </c>
      <c r="EQ207" s="747">
        <f>$G207*$H207*(1+$K207)^MAX(ROUNDUP(IFERROR(DATEDIF($I189-1,EQ$15+1,"m"),)/12,)-1,)*Index!EM$23*(EQ$15&gt;$I207)*(1-EQ$12)</f>
        <v>8788.7396860763474</v>
      </c>
      <c r="ER207" s="747">
        <f>$G207*$H207*(1+$K207)^MAX(ROUNDUP(IFERROR(DATEDIF($I189-1,ER$15+1,"m"),)/12,)-1,)*Index!EN$23*(ER$15&gt;$I207)*(1-ER$12)</f>
        <v>8788.7396860763474</v>
      </c>
      <c r="ES207" s="747">
        <f>$G207*$H207*(1+$K207)^MAX(ROUNDUP(IFERROR(DATEDIF($I189-1,ES$15+1,"m"),)/12,)-1,)*Index!EO$23*(ES$15&gt;$I207)*(1-ES$12)</f>
        <v>0</v>
      </c>
      <c r="ET207" s="747">
        <f>$G207*$H207*(1+$K207)^MAX(ROUNDUP(IFERROR(DATEDIF($I189-1,ET$15+1,"m"),)/12,)-1,)*Index!EP$23*(ET$15&gt;$I207)*(1-ET$12)</f>
        <v>0</v>
      </c>
      <c r="EU207" s="747">
        <f>$G207*$H207*(1+$K207)^MAX(ROUNDUP(IFERROR(DATEDIF($I189-1,EU$15+1,"m"),)/12,)-1,)*Index!EQ$23*(EU$15&gt;$I207)*(1-EU$12)</f>
        <v>0</v>
      </c>
    </row>
    <row r="208" spans="3:151" ht="11.25" customHeight="1">
      <c r="C208" s="828"/>
      <c r="D208" s="743">
        <f t="shared" ref="D208:I208" si="283">D172</f>
        <v>1</v>
      </c>
      <c r="E208" s="704" t="str">
        <f t="shared" si="283"/>
        <v>지오영</v>
      </c>
      <c r="F208" s="704" t="str">
        <f t="shared" si="283"/>
        <v>상온창고</v>
      </c>
      <c r="G208" s="781">
        <f t="shared" si="283"/>
        <v>3</v>
      </c>
      <c r="H208" s="744">
        <f t="shared" si="283"/>
        <v>1092.94</v>
      </c>
      <c r="I208" s="745">
        <f t="shared" si="283"/>
        <v>49340</v>
      </c>
      <c r="J208" s="745"/>
      <c r="K208" s="754">
        <f t="shared" si="272"/>
        <v>2.5000000000000001E-2</v>
      </c>
      <c r="L208" s="711"/>
      <c r="M208" s="722"/>
      <c r="N208" s="747">
        <f t="shared" si="273"/>
        <v>52593.123298433049</v>
      </c>
      <c r="O208" s="733"/>
      <c r="P208" s="747">
        <f>$G208*$H208*(1+$K208)^MAX(ROUNDUP(IFERROR(DATEDIF($I190-1,P$15+1,"m"),)/12,)-1,)*Index!L$23*(P$15&gt;$I208)*(1-P$12)</f>
        <v>0</v>
      </c>
      <c r="Q208" s="747">
        <f>$G208*$H208*(1+$K208)^MAX(ROUNDUP(IFERROR(DATEDIF($I190-1,Q$15+1,"m"),)/12,)-1,)*Index!M$23*(Q$15&gt;$I208)*(1-Q$12)</f>
        <v>0</v>
      </c>
      <c r="R208" s="747">
        <f>$G208*$H208*(1+$K208)^MAX(ROUNDUP(IFERROR(DATEDIF($I190-1,R$15+1,"m"),)/12,)-1,)*Index!N$23*(R$15&gt;$I208)*(1-R$12)</f>
        <v>0</v>
      </c>
      <c r="S208" s="747">
        <f>$G208*$H208*(1+$K208)^MAX(ROUNDUP(IFERROR(DATEDIF($I190-1,S$15+1,"m"),)/12,)-1,)*Index!O$23*(S$15&gt;$I208)*(1-S$12)</f>
        <v>0</v>
      </c>
      <c r="T208" s="747">
        <f>$G208*$H208*(1+$K208)^MAX(ROUNDUP(IFERROR(DATEDIF($I190-1,T$15+1,"m"),)/12,)-1,)*Index!P$23*(T$15&gt;$I208)*(1-T$12)</f>
        <v>0</v>
      </c>
      <c r="U208" s="747">
        <f>$G208*$H208*(1+$K208)^MAX(ROUNDUP(IFERROR(DATEDIF($I190-1,U$15+1,"m"),)/12,)-1,)*Index!Q$23*(U$15&gt;$I208)*(1-U$12)</f>
        <v>0</v>
      </c>
      <c r="V208" s="747">
        <f>$G208*$H208*(1+$K208)^MAX(ROUNDUP(IFERROR(DATEDIF($I190-1,V$15+1,"m"),)/12,)-1,)*Index!R$23*(V$15&gt;$I208)*(1-V$12)</f>
        <v>0</v>
      </c>
      <c r="W208" s="747">
        <f>$G208*$H208*(1+$K208)^MAX(ROUNDUP(IFERROR(DATEDIF($I190-1,W$15+1,"m"),)/12,)-1,)*Index!S$23*(W$15&gt;$I208)*(1-W$12)</f>
        <v>0</v>
      </c>
      <c r="X208" s="747">
        <f>$G208*$H208*(1+$K208)^MAX(ROUNDUP(IFERROR(DATEDIF($I190-1,X$15+1,"m"),)/12,)-1,)*Index!T$23*(X$15&gt;$I208)*(1-X$12)</f>
        <v>0</v>
      </c>
      <c r="Y208" s="747">
        <f>$G208*$H208*(1+$K208)^MAX(ROUNDUP(IFERROR(DATEDIF($I190-1,Y$15+1,"m"),)/12,)-1,)*Index!U$23*(Y$15&gt;$I208)*(1-Y$12)</f>
        <v>0</v>
      </c>
      <c r="Z208" s="747">
        <f>$G208*$H208*(1+$K208)^MAX(ROUNDUP(IFERROR(DATEDIF($I190-1,Z$15+1,"m"),)/12,)-1,)*Index!V$23*(Z$15&gt;$I208)*(1-Z$12)</f>
        <v>0</v>
      </c>
      <c r="AA208" s="747">
        <f>$G208*$H208*(1+$K208)^MAX(ROUNDUP(IFERROR(DATEDIF($I190-1,AA$15+1,"m"),)/12,)-1,)*Index!W$23*(AA$15&gt;$I208)*(1-AA$12)</f>
        <v>0</v>
      </c>
      <c r="AB208" s="747">
        <f>$G208*$H208*(1+$K208)^MAX(ROUNDUP(IFERROR(DATEDIF($I190-1,AB$15+1,"m"),)/12,)-1,)*Index!X$23*(AB$15&gt;$I208)*(1-AB$12)</f>
        <v>0</v>
      </c>
      <c r="AC208" s="747">
        <f>$G208*$H208*(1+$K208)^MAX(ROUNDUP(IFERROR(DATEDIF($I190-1,AC$15+1,"m"),)/12,)-1,)*Index!Y$23*(AC$15&gt;$I208)*(1-AC$12)</f>
        <v>0</v>
      </c>
      <c r="AD208" s="747">
        <f>$G208*$H208*(1+$K208)^MAX(ROUNDUP(IFERROR(DATEDIF($I190-1,AD$15+1,"m"),)/12,)-1,)*Index!Z$23*(AD$15&gt;$I208)*(1-AD$12)</f>
        <v>0</v>
      </c>
      <c r="AE208" s="747">
        <f>$G208*$H208*(1+$K208)^MAX(ROUNDUP(IFERROR(DATEDIF($I190-1,AE$15+1,"m"),)/12,)-1,)*Index!AA$23*(AE$15&gt;$I208)*(1-AE$12)</f>
        <v>0</v>
      </c>
      <c r="AF208" s="747">
        <f>$G208*$H208*(1+$K208)^MAX(ROUNDUP(IFERROR(DATEDIF($I190-1,AF$15+1,"m"),)/12,)-1,)*Index!AB$23*(AF$15&gt;$I208)*(1-AF$12)</f>
        <v>0</v>
      </c>
      <c r="AG208" s="747">
        <f>$G208*$H208*(1+$K208)^MAX(ROUNDUP(IFERROR(DATEDIF($I190-1,AG$15+1,"m"),)/12,)-1,)*Index!AC$23*(AG$15&gt;$I208)*(1-AG$12)</f>
        <v>0</v>
      </c>
      <c r="AH208" s="747">
        <f>$G208*$H208*(1+$K208)^MAX(ROUNDUP(IFERROR(DATEDIF($I190-1,AH$15+1,"m"),)/12,)-1,)*Index!AD$23*(AH$15&gt;$I208)*(1-AH$12)</f>
        <v>0</v>
      </c>
      <c r="AI208" s="747">
        <f>$G208*$H208*(1+$K208)^MAX(ROUNDUP(IFERROR(DATEDIF($I190-1,AI$15+1,"m"),)/12,)-1,)*Index!AE$23*(AI$15&gt;$I208)*(1-AI$12)</f>
        <v>0</v>
      </c>
      <c r="AJ208" s="747">
        <f>$G208*$H208*(1+$K208)^MAX(ROUNDUP(IFERROR(DATEDIF($I190-1,AJ$15+1,"m"),)/12,)-1,)*Index!AF$23*(AJ$15&gt;$I208)*(1-AJ$12)</f>
        <v>0</v>
      </c>
      <c r="AK208" s="747">
        <f>$G208*$H208*(1+$K208)^MAX(ROUNDUP(IFERROR(DATEDIF($I190-1,AK$15+1,"m"),)/12,)-1,)*Index!AG$23*(AK$15&gt;$I208)*(1-AK$12)</f>
        <v>0</v>
      </c>
      <c r="AL208" s="747">
        <f>$G208*$H208*(1+$K208)^MAX(ROUNDUP(IFERROR(DATEDIF($I190-1,AL$15+1,"m"),)/12,)-1,)*Index!AH$23*(AL$15&gt;$I208)*(1-AL$12)</f>
        <v>0</v>
      </c>
      <c r="AM208" s="747">
        <f>$G208*$H208*(1+$K208)^MAX(ROUNDUP(IFERROR(DATEDIF($I190-1,AM$15+1,"m"),)/12,)-1,)*Index!AI$23*(AM$15&gt;$I208)*(1-AM$12)</f>
        <v>0</v>
      </c>
      <c r="AN208" s="747">
        <f>$G208*$H208*(1+$K208)^MAX(ROUNDUP(IFERROR(DATEDIF($I190-1,AN$15+1,"m"),)/12,)-1,)*Index!AJ$23*(AN$15&gt;$I208)*(1-AN$12)</f>
        <v>0</v>
      </c>
      <c r="AO208" s="747">
        <f>$G208*$H208*(1+$K208)^MAX(ROUNDUP(IFERROR(DATEDIF($I190-1,AO$15+1,"m"),)/12,)-1,)*Index!AK$23*(AO$15&gt;$I208)*(1-AO$12)</f>
        <v>0</v>
      </c>
      <c r="AP208" s="747">
        <f>$G208*$H208*(1+$K208)^MAX(ROUNDUP(IFERROR(DATEDIF($I190-1,AP$15+1,"m"),)/12,)-1,)*Index!AL$23*(AP$15&gt;$I208)*(1-AP$12)</f>
        <v>0</v>
      </c>
      <c r="AQ208" s="747">
        <f>$G208*$H208*(1+$K208)^MAX(ROUNDUP(IFERROR(DATEDIF($I190-1,AQ$15+1,"m"),)/12,)-1,)*Index!AM$23*(AQ$15&gt;$I208)*(1-AQ$12)</f>
        <v>0</v>
      </c>
      <c r="AR208" s="747">
        <f>$G208*$H208*(1+$K208)^MAX(ROUNDUP(IFERROR(DATEDIF($I190-1,AR$15+1,"m"),)/12,)-1,)*Index!AN$23*(AR$15&gt;$I208)*(1-AR$12)</f>
        <v>0</v>
      </c>
      <c r="AS208" s="747">
        <f>$G208*$H208*(1+$K208)^MAX(ROUNDUP(IFERROR(DATEDIF($I190-1,AS$15+1,"m"),)/12,)-1,)*Index!AO$23*(AS$15&gt;$I208)*(1-AS$12)</f>
        <v>0</v>
      </c>
      <c r="AT208" s="747">
        <f>$G208*$H208*(1+$K208)^MAX(ROUNDUP(IFERROR(DATEDIF($I190-1,AT$15+1,"m"),)/12,)-1,)*Index!AP$23*(AT$15&gt;$I208)*(1-AT$12)</f>
        <v>0</v>
      </c>
      <c r="AU208" s="747">
        <f>$G208*$H208*(1+$K208)^MAX(ROUNDUP(IFERROR(DATEDIF($I190-1,AU$15+1,"m"),)/12,)-1,)*Index!AQ$23*(AU$15&gt;$I208)*(1-AU$12)</f>
        <v>0</v>
      </c>
      <c r="AV208" s="747">
        <f>$G208*$H208*(1+$K208)^MAX(ROUNDUP(IFERROR(DATEDIF($I190-1,AV$15+1,"m"),)/12,)-1,)*Index!AR$23*(AV$15&gt;$I208)*(1-AV$12)</f>
        <v>0</v>
      </c>
      <c r="AW208" s="747">
        <f>$G208*$H208*(1+$K208)^MAX(ROUNDUP(IFERROR(DATEDIF($I190-1,AW$15+1,"m"),)/12,)-1,)*Index!AS$23*(AW$15&gt;$I208)*(1-AW$12)</f>
        <v>0</v>
      </c>
      <c r="AX208" s="747">
        <f>$G208*$H208*(1+$K208)^MAX(ROUNDUP(IFERROR(DATEDIF($I190-1,AX$15+1,"m"),)/12,)-1,)*Index!AT$23*(AX$15&gt;$I208)*(1-AX$12)</f>
        <v>0</v>
      </c>
      <c r="AY208" s="747">
        <f>$G208*$H208*(1+$K208)^MAX(ROUNDUP(IFERROR(DATEDIF($I190-1,AY$15+1,"m"),)/12,)-1,)*Index!AU$23*(AY$15&gt;$I208)*(1-AY$12)</f>
        <v>0</v>
      </c>
      <c r="AZ208" s="747">
        <f>$G208*$H208*(1+$K208)^MAX(ROUNDUP(IFERROR(DATEDIF($I190-1,AZ$15+1,"m"),)/12,)-1,)*Index!AV$23*(AZ$15&gt;$I208)*(1-AZ$12)</f>
        <v>0</v>
      </c>
      <c r="BA208" s="747">
        <f>$G208*$H208*(1+$K208)^MAX(ROUNDUP(IFERROR(DATEDIF($I190-1,BA$15+1,"m"),)/12,)-1,)*Index!AW$23*(BA$15&gt;$I208)*(1-BA$12)</f>
        <v>0</v>
      </c>
      <c r="BB208" s="747">
        <f>$G208*$H208*(1+$K208)^MAX(ROUNDUP(IFERROR(DATEDIF($I190-1,BB$15+1,"m"),)/12,)-1,)*Index!AX$23*(BB$15&gt;$I208)*(1-BB$12)</f>
        <v>0</v>
      </c>
      <c r="BC208" s="747">
        <f>$G208*$H208*(1+$K208)^MAX(ROUNDUP(IFERROR(DATEDIF($I190-1,BC$15+1,"m"),)/12,)-1,)*Index!AY$23*(BC$15&gt;$I208)*(1-BC$12)</f>
        <v>0</v>
      </c>
      <c r="BD208" s="747">
        <f>$G208*$H208*(1+$K208)^MAX(ROUNDUP(IFERROR(DATEDIF($I190-1,BD$15+1,"m"),)/12,)-1,)*Index!AZ$23*(BD$15&gt;$I208)*(1-BD$12)</f>
        <v>0</v>
      </c>
      <c r="BE208" s="747">
        <f>$G208*$H208*(1+$K208)^MAX(ROUNDUP(IFERROR(DATEDIF($I190-1,BE$15+1,"m"),)/12,)-1,)*Index!BA$23*(BE$15&gt;$I208)*(1-BE$12)</f>
        <v>0</v>
      </c>
      <c r="BF208" s="747">
        <f>$G208*$H208*(1+$K208)^MAX(ROUNDUP(IFERROR(DATEDIF($I190-1,BF$15+1,"m"),)/12,)-1,)*Index!BB$23*(BF$15&gt;$I208)*(1-BF$12)</f>
        <v>0</v>
      </c>
      <c r="BG208" s="747">
        <f>$G208*$H208*(1+$K208)^MAX(ROUNDUP(IFERROR(DATEDIF($I190-1,BG$15+1,"m"),)/12,)-1,)*Index!BC$23*(BG$15&gt;$I208)*(1-BG$12)</f>
        <v>0</v>
      </c>
      <c r="BH208" s="747">
        <f>$G208*$H208*(1+$K208)^MAX(ROUNDUP(IFERROR(DATEDIF($I190-1,BH$15+1,"m"),)/12,)-1,)*Index!BD$23*(BH$15&gt;$I208)*(1-BH$12)</f>
        <v>0</v>
      </c>
      <c r="BI208" s="747">
        <f>$G208*$H208*(1+$K208)^MAX(ROUNDUP(IFERROR(DATEDIF($I190-1,BI$15+1,"m"),)/12,)-1,)*Index!BE$23*(BI$15&gt;$I208)*(1-BI$12)</f>
        <v>0</v>
      </c>
      <c r="BJ208" s="747">
        <f>$G208*$H208*(1+$K208)^MAX(ROUNDUP(IFERROR(DATEDIF($I190-1,BJ$15+1,"m"),)/12,)-1,)*Index!BF$23*(BJ$15&gt;$I208)*(1-BJ$12)</f>
        <v>0</v>
      </c>
      <c r="BK208" s="747">
        <f>$G208*$H208*(1+$K208)^MAX(ROUNDUP(IFERROR(DATEDIF($I190-1,BK$15+1,"m"),)/12,)-1,)*Index!BG$23*(BK$15&gt;$I208)*(1-BK$12)</f>
        <v>0</v>
      </c>
      <c r="BL208" s="747">
        <f>$G208*$H208*(1+$K208)^MAX(ROUNDUP(IFERROR(DATEDIF($I190-1,BL$15+1,"m"),)/12,)-1,)*Index!BH$23*(BL$15&gt;$I208)*(1-BL$12)</f>
        <v>0</v>
      </c>
      <c r="BM208" s="747">
        <f>$G208*$H208*(1+$K208)^MAX(ROUNDUP(IFERROR(DATEDIF($I190-1,BM$15+1,"m"),)/12,)-1,)*Index!BI$23*(BM$15&gt;$I208)*(1-BM$12)</f>
        <v>0</v>
      </c>
      <c r="BN208" s="747">
        <f>$G208*$H208*(1+$K208)^MAX(ROUNDUP(IFERROR(DATEDIF($I190-1,BN$15+1,"m"),)/12,)-1,)*Index!BJ$23*(BN$15&gt;$I208)*(1-BN$12)</f>
        <v>0</v>
      </c>
      <c r="BO208" s="747">
        <f>$G208*$H208*(1+$K208)^MAX(ROUNDUP(IFERROR(DATEDIF($I190-1,BO$15+1,"m"),)/12,)-1,)*Index!BK$23*(BO$15&gt;$I208)*(1-BO$12)</f>
        <v>0</v>
      </c>
      <c r="BP208" s="747">
        <f>$G208*$H208*(1+$K208)^MAX(ROUNDUP(IFERROR(DATEDIF($I190-1,BP$15+1,"m"),)/12,)-1,)*Index!BL$23*(BP$15&gt;$I208)*(1-BP$12)</f>
        <v>0</v>
      </c>
      <c r="BQ208" s="747">
        <f>$G208*$H208*(1+$K208)^MAX(ROUNDUP(IFERROR(DATEDIF($I190-1,BQ$15+1,"m"),)/12,)-1,)*Index!BM$23*(BQ$15&gt;$I208)*(1-BQ$12)</f>
        <v>0</v>
      </c>
      <c r="BR208" s="747">
        <f>$G208*$H208*(1+$K208)^MAX(ROUNDUP(IFERROR(DATEDIF($I190-1,BR$15+1,"m"),)/12,)-1,)*Index!BN$23*(BR$15&gt;$I208)*(1-BR$12)</f>
        <v>0</v>
      </c>
      <c r="BS208" s="747">
        <f>$G208*$H208*(1+$K208)^MAX(ROUNDUP(IFERROR(DATEDIF($I190-1,BS$15+1,"m"),)/12,)-1,)*Index!BO$23*(BS$15&gt;$I208)*(1-BS$12)</f>
        <v>0</v>
      </c>
      <c r="BT208" s="747">
        <f>$G208*$H208*(1+$K208)^MAX(ROUNDUP(IFERROR(DATEDIF($I190-1,BT$15+1,"m"),)/12,)-1,)*Index!BP$23*(BT$15&gt;$I208)*(1-BT$12)</f>
        <v>0</v>
      </c>
      <c r="BU208" s="747">
        <f>$G208*$H208*(1+$K208)^MAX(ROUNDUP(IFERROR(DATEDIF($I190-1,BU$15+1,"m"),)/12,)-1,)*Index!BQ$23*(BU$15&gt;$I208)*(1-BU$12)</f>
        <v>0</v>
      </c>
      <c r="BV208" s="747">
        <f>$G208*$H208*(1+$K208)^MAX(ROUNDUP(IFERROR(DATEDIF($I190-1,BV$15+1,"m"),)/12,)-1,)*Index!BR$23*(BV$15&gt;$I208)*(1-BV$12)</f>
        <v>0</v>
      </c>
      <c r="BW208" s="747">
        <f>$G208*$H208*(1+$K208)^MAX(ROUNDUP(IFERROR(DATEDIF($I190-1,BW$15+1,"m"),)/12,)-1,)*Index!BS$23*(BW$15&gt;$I208)*(1-BW$12)</f>
        <v>0</v>
      </c>
      <c r="BX208" s="747">
        <f>$G208*$H208*(1+$K208)^MAX(ROUNDUP(IFERROR(DATEDIF($I190-1,BX$15+1,"m"),)/12,)-1,)*Index!BT$23*(BX$15&gt;$I208)*(1-BX$12)</f>
        <v>0</v>
      </c>
      <c r="BY208" s="747">
        <f>$G208*$H208*(1+$K208)^MAX(ROUNDUP(IFERROR(DATEDIF($I190-1,BY$15+1,"m"),)/12,)-1,)*Index!BU$23*(BY$15&gt;$I208)*(1-BY$12)</f>
        <v>0</v>
      </c>
      <c r="BZ208" s="747">
        <f>$G208*$H208*(1+$K208)^MAX(ROUNDUP(IFERROR(DATEDIF($I190-1,BZ$15+1,"m"),)/12,)-1,)*Index!BV$23*(BZ$15&gt;$I208)*(1-BZ$12)</f>
        <v>0</v>
      </c>
      <c r="CA208" s="747">
        <f>$G208*$H208*(1+$K208)^MAX(ROUNDUP(IFERROR(DATEDIF($I190-1,CA$15+1,"m"),)/12,)-1,)*Index!BW$23*(CA$15&gt;$I208)*(1-CA$12)</f>
        <v>0</v>
      </c>
      <c r="CB208" s="747">
        <f>$G208*$H208*(1+$K208)^MAX(ROUNDUP(IFERROR(DATEDIF($I190-1,CB$15+1,"m"),)/12,)-1,)*Index!BX$23*(CB$15&gt;$I208)*(1-CB$12)</f>
        <v>0</v>
      </c>
      <c r="CC208" s="747">
        <f>$G208*$H208*(1+$K208)^MAX(ROUNDUP(IFERROR(DATEDIF($I190-1,CC$15+1,"m"),)/12,)-1,)*Index!BY$23*(CC$15&gt;$I208)*(1-CC$12)</f>
        <v>0</v>
      </c>
      <c r="CD208" s="747">
        <f>$G208*$H208*(1+$K208)^MAX(ROUNDUP(IFERROR(DATEDIF($I190-1,CD$15+1,"m"),)/12,)-1,)*Index!BZ$23*(CD$15&gt;$I208)*(1-CD$12)</f>
        <v>0</v>
      </c>
      <c r="CE208" s="747">
        <f>$G208*$H208*(1+$K208)^MAX(ROUNDUP(IFERROR(DATEDIF($I190-1,CE$15+1,"m"),)/12,)-1,)*Index!CA$23*(CE$15&gt;$I208)*(1-CE$12)</f>
        <v>0</v>
      </c>
      <c r="CF208" s="747">
        <f>$G208*$H208*(1+$K208)^MAX(ROUNDUP(IFERROR(DATEDIF($I190-1,CF$15+1,"m"),)/12,)-1,)*Index!CB$23*(CF$15&gt;$I208)*(1-CF$12)</f>
        <v>0</v>
      </c>
      <c r="CG208" s="747">
        <f>$G208*$H208*(1+$K208)^MAX(ROUNDUP(IFERROR(DATEDIF($I190-1,CG$15+1,"m"),)/12,)-1,)*Index!CC$23*(CG$15&gt;$I208)*(1-CG$12)</f>
        <v>0</v>
      </c>
      <c r="CH208" s="747">
        <f>$G208*$H208*(1+$K208)^MAX(ROUNDUP(IFERROR(DATEDIF($I190-1,CH$15+1,"m"),)/12,)-1,)*Index!CD$23*(CH$15&gt;$I208)*(1-CH$12)</f>
        <v>0</v>
      </c>
      <c r="CI208" s="747">
        <f>$G208*$H208*(1+$K208)^MAX(ROUNDUP(IFERROR(DATEDIF($I190-1,CI$15+1,"m"),)/12,)-1,)*Index!CE$23*(CI$15&gt;$I208)*(1-CI$12)</f>
        <v>0</v>
      </c>
      <c r="CJ208" s="747">
        <f>$G208*$H208*(1+$K208)^MAX(ROUNDUP(IFERROR(DATEDIF($I190-1,CJ$15+1,"m"),)/12,)-1,)*Index!CF$23*(CJ$15&gt;$I208)*(1-CJ$12)</f>
        <v>0</v>
      </c>
      <c r="CK208" s="747">
        <f>$G208*$H208*(1+$K208)^MAX(ROUNDUP(IFERROR(DATEDIF($I190-1,CK$15+1,"m"),)/12,)-1,)*Index!CG$23*(CK$15&gt;$I208)*(1-CK$12)</f>
        <v>0</v>
      </c>
      <c r="CL208" s="747">
        <f>$G208*$H208*(1+$K208)^MAX(ROUNDUP(IFERROR(DATEDIF($I190-1,CL$15+1,"m"),)/12,)-1,)*Index!CH$23*(CL$15&gt;$I208)*(1-CL$12)</f>
        <v>0</v>
      </c>
      <c r="CM208" s="747">
        <f>$G208*$H208*(1+$K208)^MAX(ROUNDUP(IFERROR(DATEDIF($I190-1,CM$15+1,"m"),)/12,)-1,)*Index!CI$23*(CM$15&gt;$I208)*(1-CM$12)</f>
        <v>0</v>
      </c>
      <c r="CN208" s="747">
        <f>$G208*$H208*(1+$K208)^MAX(ROUNDUP(IFERROR(DATEDIF($I190-1,CN$15+1,"m"),)/12,)-1,)*Index!CJ$23*(CN$15&gt;$I208)*(1-CN$12)</f>
        <v>0</v>
      </c>
      <c r="CO208" s="747">
        <f>$G208*$H208*(1+$K208)^MAX(ROUNDUP(IFERROR(DATEDIF($I190-1,CO$15+1,"m"),)/12,)-1,)*Index!CK$23*(CO$15&gt;$I208)*(1-CO$12)</f>
        <v>0</v>
      </c>
      <c r="CP208" s="747">
        <f>$G208*$H208*(1+$K208)^MAX(ROUNDUP(IFERROR(DATEDIF($I190-1,CP$15+1,"m"),)/12,)-1,)*Index!CL$23*(CP$15&gt;$I208)*(1-CP$12)</f>
        <v>0</v>
      </c>
      <c r="CQ208" s="747">
        <f>$G208*$H208*(1+$K208)^MAX(ROUNDUP(IFERROR(DATEDIF($I190-1,CQ$15+1,"m"),)/12,)-1,)*Index!CM$23*(CQ$15&gt;$I208)*(1-CQ$12)</f>
        <v>0</v>
      </c>
      <c r="CR208" s="747">
        <f>$G208*$H208*(1+$K208)^MAX(ROUNDUP(IFERROR(DATEDIF($I190-1,CR$15+1,"m"),)/12,)-1,)*Index!CN$23*(CR$15&gt;$I208)*(1-CR$12)</f>
        <v>0</v>
      </c>
      <c r="CS208" s="747">
        <f>$G208*$H208*(1+$K208)^MAX(ROUNDUP(IFERROR(DATEDIF($I190-1,CS$15+1,"m"),)/12,)-1,)*Index!CO$23*(CS$15&gt;$I208)*(1-CS$12)</f>
        <v>0</v>
      </c>
      <c r="CT208" s="747">
        <f>$G208*$H208*(1+$K208)^MAX(ROUNDUP(IFERROR(DATEDIF($I190-1,CT$15+1,"m"),)/12,)-1,)*Index!CP$23*(CT$15&gt;$I208)*(1-CT$12)</f>
        <v>0</v>
      </c>
      <c r="CU208" s="747">
        <f>$G208*$H208*(1+$K208)^MAX(ROUNDUP(IFERROR(DATEDIF($I190-1,CU$15+1,"m"),)/12,)-1,)*Index!CQ$23*(CU$15&gt;$I208)*(1-CU$12)</f>
        <v>0</v>
      </c>
      <c r="CV208" s="747">
        <f>$G208*$H208*(1+$K208)^MAX(ROUNDUP(IFERROR(DATEDIF($I190-1,CV$15+1,"m"),)/12,)-1,)*Index!CR$23*(CV$15&gt;$I208)*(1-CV$12)</f>
        <v>0</v>
      </c>
      <c r="CW208" s="747">
        <f>$G208*$H208*(1+$K208)^MAX(ROUNDUP(IFERROR(DATEDIF($I190-1,CW$15+1,"m"),)/12,)-1,)*Index!CS$23*(CW$15&gt;$I208)*(1-CW$12)</f>
        <v>0</v>
      </c>
      <c r="CX208" s="747">
        <f>$G208*$H208*(1+$K208)^MAX(ROUNDUP(IFERROR(DATEDIF($I190-1,CX$15+1,"m"),)/12,)-1,)*Index!CT$23*(CX$15&gt;$I208)*(1-CX$12)</f>
        <v>0</v>
      </c>
      <c r="CY208" s="747">
        <f>$G208*$H208*(1+$K208)^MAX(ROUNDUP(IFERROR(DATEDIF($I190-1,CY$15+1,"m"),)/12,)-1,)*Index!CU$23*(CY$15&gt;$I208)*(1-CY$12)</f>
        <v>0</v>
      </c>
      <c r="CZ208" s="747">
        <f>$G208*$H208*(1+$K208)^MAX(ROUNDUP(IFERROR(DATEDIF($I190-1,CZ$15+1,"m"),)/12,)-1,)*Index!CV$23*(CZ$15&gt;$I208)*(1-CZ$12)</f>
        <v>0</v>
      </c>
      <c r="DA208" s="747">
        <f>$G208*$H208*(1+$K208)^MAX(ROUNDUP(IFERROR(DATEDIF($I190-1,DA$15+1,"m"),)/12,)-1,)*Index!CW$23*(DA$15&gt;$I208)*(1-DA$12)</f>
        <v>0</v>
      </c>
      <c r="DB208" s="747">
        <f>$G208*$H208*(1+$K208)^MAX(ROUNDUP(IFERROR(DATEDIF($I190-1,DB$15+1,"m"),)/12,)-1,)*Index!CX$23*(DB$15&gt;$I208)*(1-DB$12)</f>
        <v>0</v>
      </c>
      <c r="DC208" s="747">
        <f>$G208*$H208*(1+$K208)^MAX(ROUNDUP(IFERROR(DATEDIF($I190-1,DC$15+1,"m"),)/12,)-1,)*Index!CY$23*(DC$15&gt;$I208)*(1-DC$12)</f>
        <v>0</v>
      </c>
      <c r="DD208" s="747">
        <f>$G208*$H208*(1+$K208)^MAX(ROUNDUP(IFERROR(DATEDIF($I190-1,DD$15+1,"m"),)/12,)-1,)*Index!CZ$23*(DD$15&gt;$I208)*(1-DD$12)</f>
        <v>0</v>
      </c>
      <c r="DE208" s="747">
        <f>$G208*$H208*(1+$K208)^MAX(ROUNDUP(IFERROR(DATEDIF($I190-1,DE$15+1,"m"),)/12,)-1,)*Index!DA$23*(DE$15&gt;$I208)*(1-DE$12)</f>
        <v>0</v>
      </c>
      <c r="DF208" s="747">
        <f>$G208*$H208*(1+$K208)^MAX(ROUNDUP(IFERROR(DATEDIF($I190-1,DF$15+1,"m"),)/12,)-1,)*Index!DB$23*(DF$15&gt;$I208)*(1-DF$12)</f>
        <v>0</v>
      </c>
      <c r="DG208" s="747">
        <f>$G208*$H208*(1+$K208)^MAX(ROUNDUP(IFERROR(DATEDIF($I190-1,DG$15+1,"m"),)/12,)-1,)*Index!DC$23*(DG$15&gt;$I208)*(1-DG$12)</f>
        <v>0</v>
      </c>
      <c r="DH208" s="747">
        <f>$G208*$H208*(1+$K208)^MAX(ROUNDUP(IFERROR(DATEDIF($I190-1,DH$15+1,"m"),)/12,)-1,)*Index!DD$23*(DH$15&gt;$I208)*(1-DH$12)</f>
        <v>0</v>
      </c>
      <c r="DI208" s="747">
        <f>$G208*$H208*(1+$K208)^MAX(ROUNDUP(IFERROR(DATEDIF($I190-1,DI$15+1,"m"),)/12,)-1,)*Index!DE$23*(DI$15&gt;$I208)*(1-DI$12)</f>
        <v>0</v>
      </c>
      <c r="DJ208" s="747">
        <f>$G208*$H208*(1+$K208)^MAX(ROUNDUP(IFERROR(DATEDIF($I190-1,DJ$15+1,"m"),)/12,)-1,)*Index!DF$23*(DJ$15&gt;$I208)*(1-DJ$12)</f>
        <v>0</v>
      </c>
      <c r="DK208" s="747">
        <f>$G208*$H208*(1+$K208)^MAX(ROUNDUP(IFERROR(DATEDIF($I190-1,DK$15+1,"m"),)/12,)-1,)*Index!DG$23*(DK$15&gt;$I208)*(1-DK$12)</f>
        <v>0</v>
      </c>
      <c r="DL208" s="747">
        <f>$G208*$H208*(1+$K208)^MAX(ROUNDUP(IFERROR(DATEDIF($I190-1,DL$15+1,"m"),)/12,)-1,)*Index!DH$23*(DL$15&gt;$I208)*(1-DL$12)</f>
        <v>0</v>
      </c>
      <c r="DM208" s="747">
        <f>$G208*$H208*(1+$K208)^MAX(ROUNDUP(IFERROR(DATEDIF($I190-1,DM$15+1,"m"),)/12,)-1,)*Index!DI$23*(DM$15&gt;$I208)*(1-DM$12)</f>
        <v>0</v>
      </c>
      <c r="DN208" s="747">
        <f>$G208*$H208*(1+$K208)^MAX(ROUNDUP(IFERROR(DATEDIF($I190-1,DN$15+1,"m"),)/12,)-1,)*Index!DJ$23*(DN$15&gt;$I208)*(1-DN$12)</f>
        <v>0</v>
      </c>
      <c r="DO208" s="747">
        <f>$G208*$H208*(1+$K208)^MAX(ROUNDUP(IFERROR(DATEDIF($I190-1,DO$15+1,"m"),)/12,)-1,)*Index!DK$23*(DO$15&gt;$I208)*(1-DO$12)</f>
        <v>0</v>
      </c>
      <c r="DP208" s="747">
        <f>$G208*$H208*(1+$K208)^MAX(ROUNDUP(IFERROR(DATEDIF($I190-1,DP$15+1,"m"),)/12,)-1,)*Index!DL$23*(DP$15&gt;$I208)*(1-DP$12)</f>
        <v>0</v>
      </c>
      <c r="DQ208" s="747">
        <f>$G208*$H208*(1+$K208)^MAX(ROUNDUP(IFERROR(DATEDIF($I190-1,DQ$15+1,"m"),)/12,)-1,)*Index!DM$23*(DQ$15&gt;$I208)*(1-DQ$12)</f>
        <v>0</v>
      </c>
      <c r="DR208" s="747">
        <f>$G208*$H208*(1+$K208)^MAX(ROUNDUP(IFERROR(DATEDIF($I190-1,DR$15+1,"m"),)/12,)-1,)*Index!DN$23*(DR$15&gt;$I208)*(1-DR$12)</f>
        <v>0</v>
      </c>
      <c r="DS208" s="747">
        <f>$G208*$H208*(1+$K208)^MAX(ROUNDUP(IFERROR(DATEDIF($I190-1,DS$15+1,"m"),)/12,)-1,)*Index!DO$23*(DS$15&gt;$I208)*(1-DS$12)</f>
        <v>0</v>
      </c>
      <c r="DT208" s="747">
        <f>$G208*$H208*(1+$K208)^MAX(ROUNDUP(IFERROR(DATEDIF($I190-1,DT$15+1,"m"),)/12,)-1,)*Index!DP$23*(DT$15&gt;$I208)*(1-DT$12)</f>
        <v>0</v>
      </c>
      <c r="DU208" s="747">
        <f>$G208*$H208*(1+$K208)^MAX(ROUNDUP(IFERROR(DATEDIF($I190-1,DU$15+1,"m"),)/12,)-1,)*Index!DQ$23*(DU$15&gt;$I208)*(1-DU$12)</f>
        <v>0</v>
      </c>
      <c r="DV208" s="747">
        <f>$G208*$H208*(1+$K208)^MAX(ROUNDUP(IFERROR(DATEDIF($I190-1,DV$15+1,"m"),)/12,)-1,)*Index!DR$23*(DV$15&gt;$I208)*(1-DV$12)</f>
        <v>0</v>
      </c>
      <c r="DW208" s="747">
        <f>$G208*$H208*(1+$K208)^MAX(ROUNDUP(IFERROR(DATEDIF($I190-1,DW$15+1,"m"),)/12,)-1,)*Index!DS$23*(DW$15&gt;$I208)*(1-DW$12)</f>
        <v>0</v>
      </c>
      <c r="DX208" s="747">
        <f>$G208*$H208*(1+$K208)^MAX(ROUNDUP(IFERROR(DATEDIF($I190-1,DX$15+1,"m"),)/12,)-1,)*Index!DT$23*(DX$15&gt;$I208)*(1-DX$12)</f>
        <v>0</v>
      </c>
      <c r="DY208" s="747">
        <f>$G208*$H208*(1+$K208)^MAX(ROUNDUP(IFERROR(DATEDIF($I190-1,DY$15+1,"m"),)/12,)-1,)*Index!DU$23*(DY$15&gt;$I208)*(1-DY$12)</f>
        <v>0</v>
      </c>
      <c r="DZ208" s="747">
        <f>$G208*$H208*(1+$K208)^MAX(ROUNDUP(IFERROR(DATEDIF($I190-1,DZ$15+1,"m"),)/12,)-1,)*Index!DV$23*(DZ$15&gt;$I208)*(1-DZ$12)</f>
        <v>0</v>
      </c>
      <c r="EA208" s="747">
        <f>$G208*$H208*(1+$K208)^MAX(ROUNDUP(IFERROR(DATEDIF($I190-1,EA$15+1,"m"),)/12,)-1,)*Index!DW$23*(EA$15&gt;$I208)*(1-EA$12)</f>
        <v>0</v>
      </c>
      <c r="EB208" s="747">
        <f>$G208*$H208*(1+$K208)^MAX(ROUNDUP(IFERROR(DATEDIF($I190-1,EB$15+1,"m"),)/12,)-1,)*Index!DX$23*(EB$15&gt;$I208)*(1-EB$12)</f>
        <v>0</v>
      </c>
      <c r="EC208" s="747">
        <f>$G208*$H208*(1+$K208)^MAX(ROUNDUP(IFERROR(DATEDIF($I190-1,EC$15+1,"m"),)/12,)-1,)*Index!DY$23*(EC$15&gt;$I208)*(1-EC$12)</f>
        <v>0</v>
      </c>
      <c r="ED208" s="747">
        <f>$G208*$H208*(1+$K208)^MAX(ROUNDUP(IFERROR(DATEDIF($I190-1,ED$15+1,"m"),)/12,)-1,)*Index!DZ$23*(ED$15&gt;$I208)*(1-ED$12)</f>
        <v>0</v>
      </c>
      <c r="EE208" s="747">
        <f>$G208*$H208*(1+$K208)^MAX(ROUNDUP(IFERROR(DATEDIF($I190-1,EE$15+1,"m"),)/12,)-1,)*Index!EA$23*(EE$15&gt;$I208)*(1-EE$12)</f>
        <v>0</v>
      </c>
      <c r="EF208" s="747">
        <f>$G208*$H208*(1+$K208)^MAX(ROUNDUP(IFERROR(DATEDIF($I190-1,EF$15+1,"m"),)/12,)-1,)*Index!EB$23*(EF$15&gt;$I208)*(1-EF$12)</f>
        <v>0</v>
      </c>
      <c r="EG208" s="747">
        <f>$G208*$H208*(1+$K208)^MAX(ROUNDUP(IFERROR(DATEDIF($I190-1,EG$15+1,"m"),)/12,)-1,)*Index!EC$23*(EG$15&gt;$I208)*(1-EG$12)</f>
        <v>4302.0959753319476</v>
      </c>
      <c r="EH208" s="747">
        <f>$G208*$H208*(1+$K208)^MAX(ROUNDUP(IFERROR(DATEDIF($I190-1,EH$15+1,"m"),)/12,)-1,)*Index!ED$23*(EH$15&gt;$I208)*(1-EH$12)</f>
        <v>4302.0959753319476</v>
      </c>
      <c r="EI208" s="747">
        <f>$G208*$H208*(1+$K208)^MAX(ROUNDUP(IFERROR(DATEDIF($I190-1,EI$15+1,"m"),)/12,)-1,)*Index!EE$23*(EI$15&gt;$I208)*(1-EI$12)</f>
        <v>4302.0959753319476</v>
      </c>
      <c r="EJ208" s="747">
        <f>$G208*$H208*(1+$K208)^MAX(ROUNDUP(IFERROR(DATEDIF($I190-1,EJ$15+1,"m"),)/12,)-1,)*Index!EF$23*(EJ$15&gt;$I208)*(1-EJ$12)</f>
        <v>4409.6483747152452</v>
      </c>
      <c r="EK208" s="747">
        <f>$G208*$H208*(1+$K208)^MAX(ROUNDUP(IFERROR(DATEDIF($I190-1,EK$15+1,"m"),)/12,)-1,)*Index!EG$23*(EK$15&gt;$I208)*(1-EK$12)</f>
        <v>4409.6483747152452</v>
      </c>
      <c r="EL208" s="747">
        <f>$G208*$H208*(1+$K208)^MAX(ROUNDUP(IFERROR(DATEDIF($I190-1,EL$15+1,"m"),)/12,)-1,)*Index!EH$23*(EL$15&gt;$I208)*(1-EL$12)</f>
        <v>4409.6483747152452</v>
      </c>
      <c r="EM208" s="747">
        <f>$G208*$H208*(1+$K208)^MAX(ROUNDUP(IFERROR(DATEDIF($I190-1,EM$15+1,"m"),)/12,)-1,)*Index!EI$23*(EM$15&gt;$I208)*(1-EM$12)</f>
        <v>4409.6483747152452</v>
      </c>
      <c r="EN208" s="747">
        <f>$G208*$H208*(1+$K208)^MAX(ROUNDUP(IFERROR(DATEDIF($I190-1,EN$15+1,"m"),)/12,)-1,)*Index!EJ$23*(EN$15&gt;$I208)*(1-EN$12)</f>
        <v>4409.6483747152452</v>
      </c>
      <c r="EO208" s="747">
        <f>$G208*$H208*(1+$K208)^MAX(ROUNDUP(IFERROR(DATEDIF($I190-1,EO$15+1,"m"),)/12,)-1,)*Index!EK$23*(EO$15&gt;$I208)*(1-EO$12)</f>
        <v>4409.6483747152452</v>
      </c>
      <c r="EP208" s="747">
        <f>$G208*$H208*(1+$K208)^MAX(ROUNDUP(IFERROR(DATEDIF($I190-1,EP$15+1,"m"),)/12,)-1,)*Index!EL$23*(EP$15&gt;$I208)*(1-EP$12)</f>
        <v>4409.6483747152452</v>
      </c>
      <c r="EQ208" s="747">
        <f>$G208*$H208*(1+$K208)^MAX(ROUNDUP(IFERROR(DATEDIF($I190-1,EQ$15+1,"m"),)/12,)-1,)*Index!EM$23*(EQ$15&gt;$I208)*(1-EQ$12)</f>
        <v>4409.6483747152452</v>
      </c>
      <c r="ER208" s="747">
        <f>$G208*$H208*(1+$K208)^MAX(ROUNDUP(IFERROR(DATEDIF($I190-1,ER$15+1,"m"),)/12,)-1,)*Index!EN$23*(ER$15&gt;$I208)*(1-ER$12)</f>
        <v>4409.6483747152452</v>
      </c>
      <c r="ES208" s="747">
        <f>$G208*$H208*(1+$K208)^MAX(ROUNDUP(IFERROR(DATEDIF($I190-1,ES$15+1,"m"),)/12,)-1,)*Index!EO$23*(ES$15&gt;$I208)*(1-ES$12)</f>
        <v>0</v>
      </c>
      <c r="ET208" s="747">
        <f>$G208*$H208*(1+$K208)^MAX(ROUNDUP(IFERROR(DATEDIF($I190-1,ET$15+1,"m"),)/12,)-1,)*Index!EP$23*(ET$15&gt;$I208)*(1-ET$12)</f>
        <v>0</v>
      </c>
      <c r="EU208" s="747">
        <f>$G208*$H208*(1+$K208)^MAX(ROUNDUP(IFERROR(DATEDIF($I190-1,EU$15+1,"m"),)/12,)-1,)*Index!EQ$23*(EU$15&gt;$I208)*(1-EU$12)</f>
        <v>0</v>
      </c>
    </row>
    <row r="209" spans="3:151" ht="11.25" customHeight="1">
      <c r="C209" s="828"/>
      <c r="D209" s="743">
        <f t="shared" ref="D209:I209" si="284">D173</f>
        <v>1</v>
      </c>
      <c r="E209" s="704" t="str">
        <f t="shared" si="284"/>
        <v>용마로지스</v>
      </c>
      <c r="F209" s="704" t="str">
        <f t="shared" si="284"/>
        <v>상온창고</v>
      </c>
      <c r="G209" s="781">
        <f t="shared" si="284"/>
        <v>3</v>
      </c>
      <c r="H209" s="744">
        <f t="shared" si="284"/>
        <v>856.05</v>
      </c>
      <c r="I209" s="745">
        <f t="shared" si="284"/>
        <v>47514</v>
      </c>
      <c r="J209" s="745"/>
      <c r="K209" s="754">
        <f t="shared" si="272"/>
        <v>2.5000000000000001E-2</v>
      </c>
      <c r="L209" s="711"/>
      <c r="M209" s="722"/>
      <c r="N209" s="747">
        <f t="shared" si="273"/>
        <v>41362.273924101741</v>
      </c>
      <c r="O209" s="733"/>
      <c r="P209" s="747">
        <f>$G209*$H209*(1+$K209)^MAX(ROUNDUP(IFERROR(DATEDIF($I191-1,P$15+1,"m"),)/12,)-1,)*Index!L$23*(P$15&gt;$I209)*(1-P$12)</f>
        <v>0</v>
      </c>
      <c r="Q209" s="747">
        <f>$G209*$H209*(1+$K209)^MAX(ROUNDUP(IFERROR(DATEDIF($I191-1,Q$15+1,"m"),)/12,)-1,)*Index!M$23*(Q$15&gt;$I209)*(1-Q$12)</f>
        <v>0</v>
      </c>
      <c r="R209" s="747">
        <f>$G209*$H209*(1+$K209)^MAX(ROUNDUP(IFERROR(DATEDIF($I191-1,R$15+1,"m"),)/12,)-1,)*Index!N$23*(R$15&gt;$I209)*(1-R$12)</f>
        <v>0</v>
      </c>
      <c r="S209" s="747">
        <f>$G209*$H209*(1+$K209)^MAX(ROUNDUP(IFERROR(DATEDIF($I191-1,S$15+1,"m"),)/12,)-1,)*Index!O$23*(S$15&gt;$I209)*(1-S$12)</f>
        <v>0</v>
      </c>
      <c r="T209" s="747">
        <f>$G209*$H209*(1+$K209)^MAX(ROUNDUP(IFERROR(DATEDIF($I191-1,T$15+1,"m"),)/12,)-1,)*Index!P$23*(T$15&gt;$I209)*(1-T$12)</f>
        <v>0</v>
      </c>
      <c r="U209" s="747">
        <f>$G209*$H209*(1+$K209)^MAX(ROUNDUP(IFERROR(DATEDIF($I191-1,U$15+1,"m"),)/12,)-1,)*Index!Q$23*(U$15&gt;$I209)*(1-U$12)</f>
        <v>0</v>
      </c>
      <c r="V209" s="747">
        <f>$G209*$H209*(1+$K209)^MAX(ROUNDUP(IFERROR(DATEDIF($I191-1,V$15+1,"m"),)/12,)-1,)*Index!R$23*(V$15&gt;$I209)*(1-V$12)</f>
        <v>0</v>
      </c>
      <c r="W209" s="747">
        <f>$G209*$H209*(1+$K209)^MAX(ROUNDUP(IFERROR(DATEDIF($I191-1,W$15+1,"m"),)/12,)-1,)*Index!S$23*(W$15&gt;$I209)*(1-W$12)</f>
        <v>0</v>
      </c>
      <c r="X209" s="747">
        <f>$G209*$H209*(1+$K209)^MAX(ROUNDUP(IFERROR(DATEDIF($I191-1,X$15+1,"m"),)/12,)-1,)*Index!T$23*(X$15&gt;$I209)*(1-X$12)</f>
        <v>0</v>
      </c>
      <c r="Y209" s="747">
        <f>$G209*$H209*(1+$K209)^MAX(ROUNDUP(IFERROR(DATEDIF($I191-1,Y$15+1,"m"),)/12,)-1,)*Index!U$23*(Y$15&gt;$I209)*(1-Y$12)</f>
        <v>0</v>
      </c>
      <c r="Z209" s="747">
        <f>$G209*$H209*(1+$K209)^MAX(ROUNDUP(IFERROR(DATEDIF($I191-1,Z$15+1,"m"),)/12,)-1,)*Index!V$23*(Z$15&gt;$I209)*(1-Z$12)</f>
        <v>0</v>
      </c>
      <c r="AA209" s="747">
        <f>$G209*$H209*(1+$K209)^MAX(ROUNDUP(IFERROR(DATEDIF($I191-1,AA$15+1,"m"),)/12,)-1,)*Index!W$23*(AA$15&gt;$I209)*(1-AA$12)</f>
        <v>0</v>
      </c>
      <c r="AB209" s="747">
        <f>$G209*$H209*(1+$K209)^MAX(ROUNDUP(IFERROR(DATEDIF($I191-1,AB$15+1,"m"),)/12,)-1,)*Index!X$23*(AB$15&gt;$I209)*(1-AB$12)</f>
        <v>0</v>
      </c>
      <c r="AC209" s="747">
        <f>$G209*$H209*(1+$K209)^MAX(ROUNDUP(IFERROR(DATEDIF($I191-1,AC$15+1,"m"),)/12,)-1,)*Index!Y$23*(AC$15&gt;$I209)*(1-AC$12)</f>
        <v>0</v>
      </c>
      <c r="AD209" s="747">
        <f>$G209*$H209*(1+$K209)^MAX(ROUNDUP(IFERROR(DATEDIF($I191-1,AD$15+1,"m"),)/12,)-1,)*Index!Z$23*(AD$15&gt;$I209)*(1-AD$12)</f>
        <v>0</v>
      </c>
      <c r="AE209" s="747">
        <f>$G209*$H209*(1+$K209)^MAX(ROUNDUP(IFERROR(DATEDIF($I191-1,AE$15+1,"m"),)/12,)-1,)*Index!AA$23*(AE$15&gt;$I209)*(1-AE$12)</f>
        <v>0</v>
      </c>
      <c r="AF209" s="747">
        <f>$G209*$H209*(1+$K209)^MAX(ROUNDUP(IFERROR(DATEDIF($I191-1,AF$15+1,"m"),)/12,)-1,)*Index!AB$23*(AF$15&gt;$I209)*(1-AF$12)</f>
        <v>0</v>
      </c>
      <c r="AG209" s="747">
        <f>$G209*$H209*(1+$K209)^MAX(ROUNDUP(IFERROR(DATEDIF($I191-1,AG$15+1,"m"),)/12,)-1,)*Index!AC$23*(AG$15&gt;$I209)*(1-AG$12)</f>
        <v>0</v>
      </c>
      <c r="AH209" s="747">
        <f>$G209*$H209*(1+$K209)^MAX(ROUNDUP(IFERROR(DATEDIF($I191-1,AH$15+1,"m"),)/12,)-1,)*Index!AD$23*(AH$15&gt;$I209)*(1-AH$12)</f>
        <v>0</v>
      </c>
      <c r="AI209" s="747">
        <f>$G209*$H209*(1+$K209)^MAX(ROUNDUP(IFERROR(DATEDIF($I191-1,AI$15+1,"m"),)/12,)-1,)*Index!AE$23*(AI$15&gt;$I209)*(1-AI$12)</f>
        <v>0</v>
      </c>
      <c r="AJ209" s="747">
        <f>$G209*$H209*(1+$K209)^MAX(ROUNDUP(IFERROR(DATEDIF($I191-1,AJ$15+1,"m"),)/12,)-1,)*Index!AF$23*(AJ$15&gt;$I209)*(1-AJ$12)</f>
        <v>0</v>
      </c>
      <c r="AK209" s="747">
        <f>$G209*$H209*(1+$K209)^MAX(ROUNDUP(IFERROR(DATEDIF($I191-1,AK$15+1,"m"),)/12,)-1,)*Index!AG$23*(AK$15&gt;$I209)*(1-AK$12)</f>
        <v>0</v>
      </c>
      <c r="AL209" s="747">
        <f>$G209*$H209*(1+$K209)^MAX(ROUNDUP(IFERROR(DATEDIF($I191-1,AL$15+1,"m"),)/12,)-1,)*Index!AH$23*(AL$15&gt;$I209)*(1-AL$12)</f>
        <v>0</v>
      </c>
      <c r="AM209" s="747">
        <f>$G209*$H209*(1+$K209)^MAX(ROUNDUP(IFERROR(DATEDIF($I191-1,AM$15+1,"m"),)/12,)-1,)*Index!AI$23*(AM$15&gt;$I209)*(1-AM$12)</f>
        <v>0</v>
      </c>
      <c r="AN209" s="747">
        <f>$G209*$H209*(1+$K209)^MAX(ROUNDUP(IFERROR(DATEDIF($I191-1,AN$15+1,"m"),)/12,)-1,)*Index!AJ$23*(AN$15&gt;$I209)*(1-AN$12)</f>
        <v>0</v>
      </c>
      <c r="AO209" s="747">
        <f>$G209*$H209*(1+$K209)^MAX(ROUNDUP(IFERROR(DATEDIF($I191-1,AO$15+1,"m"),)/12,)-1,)*Index!AK$23*(AO$15&gt;$I209)*(1-AO$12)</f>
        <v>0</v>
      </c>
      <c r="AP209" s="747">
        <f>$G209*$H209*(1+$K209)^MAX(ROUNDUP(IFERROR(DATEDIF($I191-1,AP$15+1,"m"),)/12,)-1,)*Index!AL$23*(AP$15&gt;$I209)*(1-AP$12)</f>
        <v>0</v>
      </c>
      <c r="AQ209" s="747">
        <f>$G209*$H209*(1+$K209)^MAX(ROUNDUP(IFERROR(DATEDIF($I191-1,AQ$15+1,"m"),)/12,)-1,)*Index!AM$23*(AQ$15&gt;$I209)*(1-AQ$12)</f>
        <v>0</v>
      </c>
      <c r="AR209" s="747">
        <f>$G209*$H209*(1+$K209)^MAX(ROUNDUP(IFERROR(DATEDIF($I191-1,AR$15+1,"m"),)/12,)-1,)*Index!AN$23*(AR$15&gt;$I209)*(1-AR$12)</f>
        <v>0</v>
      </c>
      <c r="AS209" s="747">
        <f>$G209*$H209*(1+$K209)^MAX(ROUNDUP(IFERROR(DATEDIF($I191-1,AS$15+1,"m"),)/12,)-1,)*Index!AO$23*(AS$15&gt;$I209)*(1-AS$12)</f>
        <v>0</v>
      </c>
      <c r="AT209" s="747">
        <f>$G209*$H209*(1+$K209)^MAX(ROUNDUP(IFERROR(DATEDIF($I191-1,AT$15+1,"m"),)/12,)-1,)*Index!AP$23*(AT$15&gt;$I209)*(1-AT$12)</f>
        <v>0</v>
      </c>
      <c r="AU209" s="747">
        <f>$G209*$H209*(1+$K209)^MAX(ROUNDUP(IFERROR(DATEDIF($I191-1,AU$15+1,"m"),)/12,)-1,)*Index!AQ$23*(AU$15&gt;$I209)*(1-AU$12)</f>
        <v>0</v>
      </c>
      <c r="AV209" s="747">
        <f>$G209*$H209*(1+$K209)^MAX(ROUNDUP(IFERROR(DATEDIF($I191-1,AV$15+1,"m"),)/12,)-1,)*Index!AR$23*(AV$15&gt;$I209)*(1-AV$12)</f>
        <v>0</v>
      </c>
      <c r="AW209" s="747">
        <f>$G209*$H209*(1+$K209)^MAX(ROUNDUP(IFERROR(DATEDIF($I191-1,AW$15+1,"m"),)/12,)-1,)*Index!AS$23*(AW$15&gt;$I209)*(1-AW$12)</f>
        <v>0</v>
      </c>
      <c r="AX209" s="747">
        <f>$G209*$H209*(1+$K209)^MAX(ROUNDUP(IFERROR(DATEDIF($I191-1,AX$15+1,"m"),)/12,)-1,)*Index!AT$23*(AX$15&gt;$I209)*(1-AX$12)</f>
        <v>0</v>
      </c>
      <c r="AY209" s="747">
        <f>$G209*$H209*(1+$K209)^MAX(ROUNDUP(IFERROR(DATEDIF($I191-1,AY$15+1,"m"),)/12,)-1,)*Index!AU$23*(AY$15&gt;$I209)*(1-AY$12)</f>
        <v>0</v>
      </c>
      <c r="AZ209" s="747">
        <f>$G209*$H209*(1+$K209)^MAX(ROUNDUP(IFERROR(DATEDIF($I191-1,AZ$15+1,"m"),)/12,)-1,)*Index!AV$23*(AZ$15&gt;$I209)*(1-AZ$12)</f>
        <v>0</v>
      </c>
      <c r="BA209" s="747">
        <f>$G209*$H209*(1+$K209)^MAX(ROUNDUP(IFERROR(DATEDIF($I191-1,BA$15+1,"m"),)/12,)-1,)*Index!AW$23*(BA$15&gt;$I209)*(1-BA$12)</f>
        <v>0</v>
      </c>
      <c r="BB209" s="747">
        <f>$G209*$H209*(1+$K209)^MAX(ROUNDUP(IFERROR(DATEDIF($I191-1,BB$15+1,"m"),)/12,)-1,)*Index!AX$23*(BB$15&gt;$I209)*(1-BB$12)</f>
        <v>0</v>
      </c>
      <c r="BC209" s="747">
        <f>$G209*$H209*(1+$K209)^MAX(ROUNDUP(IFERROR(DATEDIF($I191-1,BC$15+1,"m"),)/12,)-1,)*Index!AY$23*(BC$15&gt;$I209)*(1-BC$12)</f>
        <v>0</v>
      </c>
      <c r="BD209" s="747">
        <f>$G209*$H209*(1+$K209)^MAX(ROUNDUP(IFERROR(DATEDIF($I191-1,BD$15+1,"m"),)/12,)-1,)*Index!AZ$23*(BD$15&gt;$I209)*(1-BD$12)</f>
        <v>0</v>
      </c>
      <c r="BE209" s="747">
        <f>$G209*$H209*(1+$K209)^MAX(ROUNDUP(IFERROR(DATEDIF($I191-1,BE$15+1,"m"),)/12,)-1,)*Index!BA$23*(BE$15&gt;$I209)*(1-BE$12)</f>
        <v>0</v>
      </c>
      <c r="BF209" s="747">
        <f>$G209*$H209*(1+$K209)^MAX(ROUNDUP(IFERROR(DATEDIF($I191-1,BF$15+1,"m"),)/12,)-1,)*Index!BB$23*(BF$15&gt;$I209)*(1-BF$12)</f>
        <v>0</v>
      </c>
      <c r="BG209" s="747">
        <f>$G209*$H209*(1+$K209)^MAX(ROUNDUP(IFERROR(DATEDIF($I191-1,BG$15+1,"m"),)/12,)-1,)*Index!BC$23*(BG$15&gt;$I209)*(1-BG$12)</f>
        <v>0</v>
      </c>
      <c r="BH209" s="747">
        <f>$G209*$H209*(1+$K209)^MAX(ROUNDUP(IFERROR(DATEDIF($I191-1,BH$15+1,"m"),)/12,)-1,)*Index!BD$23*(BH$15&gt;$I209)*(1-BH$12)</f>
        <v>0</v>
      </c>
      <c r="BI209" s="747">
        <f>$G209*$H209*(1+$K209)^MAX(ROUNDUP(IFERROR(DATEDIF($I191-1,BI$15+1,"m"),)/12,)-1,)*Index!BE$23*(BI$15&gt;$I209)*(1-BI$12)</f>
        <v>0</v>
      </c>
      <c r="BJ209" s="747">
        <f>$G209*$H209*(1+$K209)^MAX(ROUNDUP(IFERROR(DATEDIF($I191-1,BJ$15+1,"m"),)/12,)-1,)*Index!BF$23*(BJ$15&gt;$I209)*(1-BJ$12)</f>
        <v>0</v>
      </c>
      <c r="BK209" s="747">
        <f>$G209*$H209*(1+$K209)^MAX(ROUNDUP(IFERROR(DATEDIF($I191-1,BK$15+1,"m"),)/12,)-1,)*Index!BG$23*(BK$15&gt;$I209)*(1-BK$12)</f>
        <v>0</v>
      </c>
      <c r="BL209" s="747">
        <f>$G209*$H209*(1+$K209)^MAX(ROUNDUP(IFERROR(DATEDIF($I191-1,BL$15+1,"m"),)/12,)-1,)*Index!BH$23*(BL$15&gt;$I209)*(1-BL$12)</f>
        <v>0</v>
      </c>
      <c r="BM209" s="747">
        <f>$G209*$H209*(1+$K209)^MAX(ROUNDUP(IFERROR(DATEDIF($I191-1,BM$15+1,"m"),)/12,)-1,)*Index!BI$23*(BM$15&gt;$I209)*(1-BM$12)</f>
        <v>0</v>
      </c>
      <c r="BN209" s="747">
        <f>$G209*$H209*(1+$K209)^MAX(ROUNDUP(IFERROR(DATEDIF($I191-1,BN$15+1,"m"),)/12,)-1,)*Index!BJ$23*(BN$15&gt;$I209)*(1-BN$12)</f>
        <v>0</v>
      </c>
      <c r="BO209" s="747">
        <f>$G209*$H209*(1+$K209)^MAX(ROUNDUP(IFERROR(DATEDIF($I191-1,BO$15+1,"m"),)/12,)-1,)*Index!BK$23*(BO$15&gt;$I209)*(1-BO$12)</f>
        <v>0</v>
      </c>
      <c r="BP209" s="747">
        <f>$G209*$H209*(1+$K209)^MAX(ROUNDUP(IFERROR(DATEDIF($I191-1,BP$15+1,"m"),)/12,)-1,)*Index!BL$23*(BP$15&gt;$I209)*(1-BP$12)</f>
        <v>0</v>
      </c>
      <c r="BQ209" s="747">
        <f>$G209*$H209*(1+$K209)^MAX(ROUNDUP(IFERROR(DATEDIF($I191-1,BQ$15+1,"m"),)/12,)-1,)*Index!BM$23*(BQ$15&gt;$I209)*(1-BQ$12)</f>
        <v>0</v>
      </c>
      <c r="BR209" s="747">
        <f>$G209*$H209*(1+$K209)^MAX(ROUNDUP(IFERROR(DATEDIF($I191-1,BR$15+1,"m"),)/12,)-1,)*Index!BN$23*(BR$15&gt;$I209)*(1-BR$12)</f>
        <v>0</v>
      </c>
      <c r="BS209" s="747">
        <f>$G209*$H209*(1+$K209)^MAX(ROUNDUP(IFERROR(DATEDIF($I191-1,BS$15+1,"m"),)/12,)-1,)*Index!BO$23*(BS$15&gt;$I209)*(1-BS$12)</f>
        <v>0</v>
      </c>
      <c r="BT209" s="747">
        <f>$G209*$H209*(1+$K209)^MAX(ROUNDUP(IFERROR(DATEDIF($I191-1,BT$15+1,"m"),)/12,)-1,)*Index!BP$23*(BT$15&gt;$I209)*(1-BT$12)</f>
        <v>0</v>
      </c>
      <c r="BU209" s="747">
        <f>$G209*$H209*(1+$K209)^MAX(ROUNDUP(IFERROR(DATEDIF($I191-1,BU$15+1,"m"),)/12,)-1,)*Index!BQ$23*(BU$15&gt;$I209)*(1-BU$12)</f>
        <v>0</v>
      </c>
      <c r="BV209" s="747">
        <f>$G209*$H209*(1+$K209)^MAX(ROUNDUP(IFERROR(DATEDIF($I191-1,BV$15+1,"m"),)/12,)-1,)*Index!BR$23*(BV$15&gt;$I209)*(1-BV$12)</f>
        <v>0</v>
      </c>
      <c r="BW209" s="747">
        <f>$G209*$H209*(1+$K209)^MAX(ROUNDUP(IFERROR(DATEDIF($I191-1,BW$15+1,"m"),)/12,)-1,)*Index!BS$23*(BW$15&gt;$I209)*(1-BW$12)</f>
        <v>0</v>
      </c>
      <c r="BX209" s="747">
        <f>$G209*$H209*(1+$K209)^MAX(ROUNDUP(IFERROR(DATEDIF($I191-1,BX$15+1,"m"),)/12,)-1,)*Index!BT$23*(BX$15&gt;$I209)*(1-BX$12)</f>
        <v>0</v>
      </c>
      <c r="BY209" s="747">
        <f>$G209*$H209*(1+$K209)^MAX(ROUNDUP(IFERROR(DATEDIF($I191-1,BY$15+1,"m"),)/12,)-1,)*Index!BU$23*(BY$15&gt;$I209)*(1-BY$12)</f>
        <v>0</v>
      </c>
      <c r="BZ209" s="747">
        <f>$G209*$H209*(1+$K209)^MAX(ROUNDUP(IFERROR(DATEDIF($I191-1,BZ$15+1,"m"),)/12,)-1,)*Index!BV$23*(BZ$15&gt;$I209)*(1-BZ$12)</f>
        <v>0</v>
      </c>
      <c r="CA209" s="747">
        <f>$G209*$H209*(1+$K209)^MAX(ROUNDUP(IFERROR(DATEDIF($I191-1,CA$15+1,"m"),)/12,)-1,)*Index!BW$23*(CA$15&gt;$I209)*(1-CA$12)</f>
        <v>0</v>
      </c>
      <c r="CB209" s="747">
        <f>$G209*$H209*(1+$K209)^MAX(ROUNDUP(IFERROR(DATEDIF($I191-1,CB$15+1,"m"),)/12,)-1,)*Index!BX$23*(CB$15&gt;$I209)*(1-CB$12)</f>
        <v>0</v>
      </c>
      <c r="CC209" s="747">
        <f>$G209*$H209*(1+$K209)^MAX(ROUNDUP(IFERROR(DATEDIF($I191-1,CC$15+1,"m"),)/12,)-1,)*Index!BY$23*(CC$15&gt;$I209)*(1-CC$12)</f>
        <v>0</v>
      </c>
      <c r="CD209" s="747">
        <f>$G209*$H209*(1+$K209)^MAX(ROUNDUP(IFERROR(DATEDIF($I191-1,CD$15+1,"m"),)/12,)-1,)*Index!BZ$23*(CD$15&gt;$I209)*(1-CD$12)</f>
        <v>0</v>
      </c>
      <c r="CE209" s="747">
        <f>$G209*$H209*(1+$K209)^MAX(ROUNDUP(IFERROR(DATEDIF($I191-1,CE$15+1,"m"),)/12,)-1,)*Index!CA$23*(CE$15&gt;$I209)*(1-CE$12)</f>
        <v>0</v>
      </c>
      <c r="CF209" s="747">
        <f>$G209*$H209*(1+$K209)^MAX(ROUNDUP(IFERROR(DATEDIF($I191-1,CF$15+1,"m"),)/12,)-1,)*Index!CB$23*(CF$15&gt;$I209)*(1-CF$12)</f>
        <v>0</v>
      </c>
      <c r="CG209" s="747">
        <f>$G209*$H209*(1+$K209)^MAX(ROUNDUP(IFERROR(DATEDIF($I191-1,CG$15+1,"m"),)/12,)-1,)*Index!CC$23*(CG$15&gt;$I209)*(1-CG$12)</f>
        <v>0</v>
      </c>
      <c r="CH209" s="747">
        <f>$G209*$H209*(1+$K209)^MAX(ROUNDUP(IFERROR(DATEDIF($I191-1,CH$15+1,"m"),)/12,)-1,)*Index!CD$23*(CH$15&gt;$I209)*(1-CH$12)</f>
        <v>0</v>
      </c>
      <c r="CI209" s="747">
        <f>$G209*$H209*(1+$K209)^MAX(ROUNDUP(IFERROR(DATEDIF($I191-1,CI$15+1,"m"),)/12,)-1,)*Index!CE$23*(CI$15&gt;$I209)*(1-CI$12)</f>
        <v>0</v>
      </c>
      <c r="CJ209" s="747">
        <f>$G209*$H209*(1+$K209)^MAX(ROUNDUP(IFERROR(DATEDIF($I191-1,CJ$15+1,"m"),)/12,)-1,)*Index!CF$23*(CJ$15&gt;$I209)*(1-CJ$12)</f>
        <v>0</v>
      </c>
      <c r="CK209" s="747">
        <f>$G209*$H209*(1+$K209)^MAX(ROUNDUP(IFERROR(DATEDIF($I191-1,CK$15+1,"m"),)/12,)-1,)*Index!CG$23*(CK$15&gt;$I209)*(1-CK$12)</f>
        <v>0</v>
      </c>
      <c r="CL209" s="747">
        <f>$G209*$H209*(1+$K209)^MAX(ROUNDUP(IFERROR(DATEDIF($I191-1,CL$15+1,"m"),)/12,)-1,)*Index!CH$23*(CL$15&gt;$I209)*(1-CL$12)</f>
        <v>0</v>
      </c>
      <c r="CM209" s="747">
        <f>$G209*$H209*(1+$K209)^MAX(ROUNDUP(IFERROR(DATEDIF($I191-1,CM$15+1,"m"),)/12,)-1,)*Index!CI$23*(CM$15&gt;$I209)*(1-CM$12)</f>
        <v>0</v>
      </c>
      <c r="CN209" s="747">
        <f>$G209*$H209*(1+$K209)^MAX(ROUNDUP(IFERROR(DATEDIF($I191-1,CN$15+1,"m"),)/12,)-1,)*Index!CJ$23*(CN$15&gt;$I209)*(1-CN$12)</f>
        <v>0</v>
      </c>
      <c r="CO209" s="747">
        <f>$G209*$H209*(1+$K209)^MAX(ROUNDUP(IFERROR(DATEDIF($I191-1,CO$15+1,"m"),)/12,)-1,)*Index!CK$23*(CO$15&gt;$I209)*(1-CO$12)</f>
        <v>0</v>
      </c>
      <c r="CP209" s="747">
        <f>$G209*$H209*(1+$K209)^MAX(ROUNDUP(IFERROR(DATEDIF($I191-1,CP$15+1,"m"),)/12,)-1,)*Index!CL$23*(CP$15&gt;$I209)*(1-CP$12)</f>
        <v>0</v>
      </c>
      <c r="CQ209" s="747">
        <f>$G209*$H209*(1+$K209)^MAX(ROUNDUP(IFERROR(DATEDIF($I191-1,CQ$15+1,"m"),)/12,)-1,)*Index!CM$23*(CQ$15&gt;$I209)*(1-CQ$12)</f>
        <v>0</v>
      </c>
      <c r="CR209" s="747">
        <f>$G209*$H209*(1+$K209)^MAX(ROUNDUP(IFERROR(DATEDIF($I191-1,CR$15+1,"m"),)/12,)-1,)*Index!CN$23*(CR$15&gt;$I209)*(1-CR$12)</f>
        <v>0</v>
      </c>
      <c r="CS209" s="747">
        <f>$G209*$H209*(1+$K209)^MAX(ROUNDUP(IFERROR(DATEDIF($I191-1,CS$15+1,"m"),)/12,)-1,)*Index!CO$23*(CS$15&gt;$I209)*(1-CS$12)</f>
        <v>0</v>
      </c>
      <c r="CT209" s="747">
        <f>$G209*$H209*(1+$K209)^MAX(ROUNDUP(IFERROR(DATEDIF($I191-1,CT$15+1,"m"),)/12,)-1,)*Index!CP$23*(CT$15&gt;$I209)*(1-CT$12)</f>
        <v>0</v>
      </c>
      <c r="CU209" s="747">
        <f>$G209*$H209*(1+$K209)^MAX(ROUNDUP(IFERROR(DATEDIF($I191-1,CU$15+1,"m"),)/12,)-1,)*Index!CQ$23*(CU$15&gt;$I209)*(1-CU$12)</f>
        <v>0</v>
      </c>
      <c r="CV209" s="747">
        <f>$G209*$H209*(1+$K209)^MAX(ROUNDUP(IFERROR(DATEDIF($I191-1,CV$15+1,"m"),)/12,)-1,)*Index!CR$23*(CV$15&gt;$I209)*(1-CV$12)</f>
        <v>0</v>
      </c>
      <c r="CW209" s="747">
        <f>$G209*$H209*(1+$K209)^MAX(ROUNDUP(IFERROR(DATEDIF($I191-1,CW$15+1,"m"),)/12,)-1,)*Index!CS$23*(CW$15&gt;$I209)*(1-CW$12)</f>
        <v>0</v>
      </c>
      <c r="CX209" s="747">
        <f>$G209*$H209*(1+$K209)^MAX(ROUNDUP(IFERROR(DATEDIF($I191-1,CX$15+1,"m"),)/12,)-1,)*Index!CT$23*(CX$15&gt;$I209)*(1-CX$12)</f>
        <v>0</v>
      </c>
      <c r="CY209" s="747">
        <f>$G209*$H209*(1+$K209)^MAX(ROUNDUP(IFERROR(DATEDIF($I191-1,CY$15+1,"m"),)/12,)-1,)*Index!CU$23*(CY$15&gt;$I209)*(1-CY$12)</f>
        <v>0</v>
      </c>
      <c r="CZ209" s="747">
        <f>$G209*$H209*(1+$K209)^MAX(ROUNDUP(IFERROR(DATEDIF($I191-1,CZ$15+1,"m"),)/12,)-1,)*Index!CV$23*(CZ$15&gt;$I209)*(1-CZ$12)</f>
        <v>0</v>
      </c>
      <c r="DA209" s="747">
        <f>$G209*$H209*(1+$K209)^MAX(ROUNDUP(IFERROR(DATEDIF($I191-1,DA$15+1,"m"),)/12,)-1,)*Index!CW$23*(DA$15&gt;$I209)*(1-DA$12)</f>
        <v>0</v>
      </c>
      <c r="DB209" s="747">
        <f>$G209*$H209*(1+$K209)^MAX(ROUNDUP(IFERROR(DATEDIF($I191-1,DB$15+1,"m"),)/12,)-1,)*Index!CX$23*(DB$15&gt;$I209)*(1-DB$12)</f>
        <v>0</v>
      </c>
      <c r="DC209" s="747">
        <f>$G209*$H209*(1+$K209)^MAX(ROUNDUP(IFERROR(DATEDIF($I191-1,DC$15+1,"m"),)/12,)-1,)*Index!CY$23*(DC$15&gt;$I209)*(1-DC$12)</f>
        <v>0</v>
      </c>
      <c r="DD209" s="747">
        <f>$G209*$H209*(1+$K209)^MAX(ROUNDUP(IFERROR(DATEDIF($I191-1,DD$15+1,"m"),)/12,)-1,)*Index!CZ$23*(DD$15&gt;$I209)*(1-DD$12)</f>
        <v>0</v>
      </c>
      <c r="DE209" s="747">
        <f>$G209*$H209*(1+$K209)^MAX(ROUNDUP(IFERROR(DATEDIF($I191-1,DE$15+1,"m"),)/12,)-1,)*Index!DA$23*(DE$15&gt;$I209)*(1-DE$12)</f>
        <v>0</v>
      </c>
      <c r="DF209" s="747">
        <f>$G209*$H209*(1+$K209)^MAX(ROUNDUP(IFERROR(DATEDIF($I191-1,DF$15+1,"m"),)/12,)-1,)*Index!DB$23*(DF$15&gt;$I209)*(1-DF$12)</f>
        <v>0</v>
      </c>
      <c r="DG209" s="747">
        <f>$G209*$H209*(1+$K209)^MAX(ROUNDUP(IFERROR(DATEDIF($I191-1,DG$15+1,"m"),)/12,)-1,)*Index!DC$23*(DG$15&gt;$I209)*(1-DG$12)</f>
        <v>0</v>
      </c>
      <c r="DH209" s="747">
        <f>$G209*$H209*(1+$K209)^MAX(ROUNDUP(IFERROR(DATEDIF($I191-1,DH$15+1,"m"),)/12,)-1,)*Index!DD$23*(DH$15&gt;$I209)*(1-DH$12)</f>
        <v>0</v>
      </c>
      <c r="DI209" s="747">
        <f>$G209*$H209*(1+$K209)^MAX(ROUNDUP(IFERROR(DATEDIF($I191-1,DI$15+1,"m"),)/12,)-1,)*Index!DE$23*(DI$15&gt;$I209)*(1-DI$12)</f>
        <v>0</v>
      </c>
      <c r="DJ209" s="747">
        <f>$G209*$H209*(1+$K209)^MAX(ROUNDUP(IFERROR(DATEDIF($I191-1,DJ$15+1,"m"),)/12,)-1,)*Index!DF$23*(DJ$15&gt;$I209)*(1-DJ$12)</f>
        <v>0</v>
      </c>
      <c r="DK209" s="747">
        <f>$G209*$H209*(1+$K209)^MAX(ROUNDUP(IFERROR(DATEDIF($I191-1,DK$15+1,"m"),)/12,)-1,)*Index!DG$23*(DK$15&gt;$I209)*(1-DK$12)</f>
        <v>0</v>
      </c>
      <c r="DL209" s="747">
        <f>$G209*$H209*(1+$K209)^MAX(ROUNDUP(IFERROR(DATEDIF($I191-1,DL$15+1,"m"),)/12,)-1,)*Index!DH$23*(DL$15&gt;$I209)*(1-DL$12)</f>
        <v>0</v>
      </c>
      <c r="DM209" s="747">
        <f>$G209*$H209*(1+$K209)^MAX(ROUNDUP(IFERROR(DATEDIF($I191-1,DM$15+1,"m"),)/12,)-1,)*Index!DI$23*(DM$15&gt;$I209)*(1-DM$12)</f>
        <v>0</v>
      </c>
      <c r="DN209" s="747">
        <f>$G209*$H209*(1+$K209)^MAX(ROUNDUP(IFERROR(DATEDIF($I191-1,DN$15+1,"m"),)/12,)-1,)*Index!DJ$23*(DN$15&gt;$I209)*(1-DN$12)</f>
        <v>0</v>
      </c>
      <c r="DO209" s="747">
        <f>$G209*$H209*(1+$K209)^MAX(ROUNDUP(IFERROR(DATEDIF($I191-1,DO$15+1,"m"),)/12,)-1,)*Index!DK$23*(DO$15&gt;$I209)*(1-DO$12)</f>
        <v>0</v>
      </c>
      <c r="DP209" s="747">
        <f>$G209*$H209*(1+$K209)^MAX(ROUNDUP(IFERROR(DATEDIF($I191-1,DP$15+1,"m"),)/12,)-1,)*Index!DL$23*(DP$15&gt;$I209)*(1-DP$12)</f>
        <v>0</v>
      </c>
      <c r="DQ209" s="747">
        <f>$G209*$H209*(1+$K209)^MAX(ROUNDUP(IFERROR(DATEDIF($I191-1,DQ$15+1,"m"),)/12,)-1,)*Index!DM$23*(DQ$15&gt;$I209)*(1-DQ$12)</f>
        <v>0</v>
      </c>
      <c r="DR209" s="747">
        <f>$G209*$H209*(1+$K209)^MAX(ROUNDUP(IFERROR(DATEDIF($I191-1,DR$15+1,"m"),)/12,)-1,)*Index!DN$23*(DR$15&gt;$I209)*(1-DR$12)</f>
        <v>0</v>
      </c>
      <c r="DS209" s="747">
        <f>$G209*$H209*(1+$K209)^MAX(ROUNDUP(IFERROR(DATEDIF($I191-1,DS$15+1,"m"),)/12,)-1,)*Index!DO$23*(DS$15&gt;$I209)*(1-DS$12)</f>
        <v>0</v>
      </c>
      <c r="DT209" s="747">
        <f>$G209*$H209*(1+$K209)^MAX(ROUNDUP(IFERROR(DATEDIF($I191-1,DT$15+1,"m"),)/12,)-1,)*Index!DP$23*(DT$15&gt;$I209)*(1-DT$12)</f>
        <v>0</v>
      </c>
      <c r="DU209" s="747">
        <f>$G209*$H209*(1+$K209)^MAX(ROUNDUP(IFERROR(DATEDIF($I191-1,DU$15+1,"m"),)/12,)-1,)*Index!DQ$23*(DU$15&gt;$I209)*(1-DU$12)</f>
        <v>0</v>
      </c>
      <c r="DV209" s="747">
        <f>$G209*$H209*(1+$K209)^MAX(ROUNDUP(IFERROR(DATEDIF($I191-1,DV$15+1,"m"),)/12,)-1,)*Index!DR$23*(DV$15&gt;$I209)*(1-DV$12)</f>
        <v>0</v>
      </c>
      <c r="DW209" s="747">
        <f>$G209*$H209*(1+$K209)^MAX(ROUNDUP(IFERROR(DATEDIF($I191-1,DW$15+1,"m"),)/12,)-1,)*Index!DS$23*(DW$15&gt;$I209)*(1-DW$12)</f>
        <v>0</v>
      </c>
      <c r="DX209" s="747">
        <f>$G209*$H209*(1+$K209)^MAX(ROUNDUP(IFERROR(DATEDIF($I191-1,DX$15+1,"m"),)/12,)-1,)*Index!DT$23*(DX$15&gt;$I209)*(1-DX$12)</f>
        <v>0</v>
      </c>
      <c r="DY209" s="747">
        <f>$G209*$H209*(1+$K209)^MAX(ROUNDUP(IFERROR(DATEDIF($I191-1,DY$15+1,"m"),)/12,)-1,)*Index!DU$23*(DY$15&gt;$I209)*(1-DY$12)</f>
        <v>0</v>
      </c>
      <c r="DZ209" s="747">
        <f>$G209*$H209*(1+$K209)^MAX(ROUNDUP(IFERROR(DATEDIF($I191-1,DZ$15+1,"m"),)/12,)-1,)*Index!DV$23*(DZ$15&gt;$I209)*(1-DZ$12)</f>
        <v>0</v>
      </c>
      <c r="EA209" s="747">
        <f>$G209*$H209*(1+$K209)^MAX(ROUNDUP(IFERROR(DATEDIF($I191-1,EA$15+1,"m"),)/12,)-1,)*Index!DW$23*(EA$15&gt;$I209)*(1-EA$12)</f>
        <v>0</v>
      </c>
      <c r="EB209" s="747">
        <f>$G209*$H209*(1+$K209)^MAX(ROUNDUP(IFERROR(DATEDIF($I191-1,EB$15+1,"m"),)/12,)-1,)*Index!DX$23*(EB$15&gt;$I209)*(1-EB$12)</f>
        <v>0</v>
      </c>
      <c r="EC209" s="747">
        <f>$G209*$H209*(1+$K209)^MAX(ROUNDUP(IFERROR(DATEDIF($I191-1,EC$15+1,"m"),)/12,)-1,)*Index!DY$23*(EC$15&gt;$I209)*(1-EC$12)</f>
        <v>0</v>
      </c>
      <c r="ED209" s="747">
        <f>$G209*$H209*(1+$K209)^MAX(ROUNDUP(IFERROR(DATEDIF($I191-1,ED$15+1,"m"),)/12,)-1,)*Index!DZ$23*(ED$15&gt;$I209)*(1-ED$12)</f>
        <v>0</v>
      </c>
      <c r="EE209" s="747">
        <f>$G209*$H209*(1+$K209)^MAX(ROUNDUP(IFERROR(DATEDIF($I191-1,EE$15+1,"m"),)/12,)-1,)*Index!EA$23*(EE$15&gt;$I209)*(1-EE$12)</f>
        <v>0</v>
      </c>
      <c r="EF209" s="747">
        <f>$G209*$H209*(1+$K209)^MAX(ROUNDUP(IFERROR(DATEDIF($I191-1,EF$15+1,"m"),)/12,)-1,)*Index!EB$23*(EF$15&gt;$I209)*(1-EF$12)</f>
        <v>0</v>
      </c>
      <c r="EG209" s="747">
        <f>$G209*$H209*(1+$K209)^MAX(ROUNDUP(IFERROR(DATEDIF($I191-1,EG$15+1,"m"),)/12,)-1,)*Index!EC$23*(EG$15&gt;$I209)*(1-EG$12)</f>
        <v>3369.6353502323209</v>
      </c>
      <c r="EH209" s="747">
        <f>$G209*$H209*(1+$K209)^MAX(ROUNDUP(IFERROR(DATEDIF($I191-1,EH$15+1,"m"),)/12,)-1,)*Index!ED$23*(EH$15&gt;$I209)*(1-EH$12)</f>
        <v>3453.8762339881287</v>
      </c>
      <c r="EI209" s="747">
        <f>$G209*$H209*(1+$K209)^MAX(ROUNDUP(IFERROR(DATEDIF($I191-1,EI$15+1,"m"),)/12,)-1,)*Index!EE$23*(EI$15&gt;$I209)*(1-EI$12)</f>
        <v>3453.8762339881287</v>
      </c>
      <c r="EJ209" s="747">
        <f>$G209*$H209*(1+$K209)^MAX(ROUNDUP(IFERROR(DATEDIF($I191-1,EJ$15+1,"m"),)/12,)-1,)*Index!EF$23*(EJ$15&gt;$I209)*(1-EJ$12)</f>
        <v>3453.8762339881287</v>
      </c>
      <c r="EK209" s="747">
        <f>$G209*$H209*(1+$K209)^MAX(ROUNDUP(IFERROR(DATEDIF($I191-1,EK$15+1,"m"),)/12,)-1,)*Index!EG$23*(EK$15&gt;$I209)*(1-EK$12)</f>
        <v>3453.8762339881287</v>
      </c>
      <c r="EL209" s="747">
        <f>$G209*$H209*(1+$K209)^MAX(ROUNDUP(IFERROR(DATEDIF($I191-1,EL$15+1,"m"),)/12,)-1,)*Index!EH$23*(EL$15&gt;$I209)*(1-EL$12)</f>
        <v>3453.8762339881287</v>
      </c>
      <c r="EM209" s="747">
        <f>$G209*$H209*(1+$K209)^MAX(ROUNDUP(IFERROR(DATEDIF($I191-1,EM$15+1,"m"),)/12,)-1,)*Index!EI$23*(EM$15&gt;$I209)*(1-EM$12)</f>
        <v>3453.8762339881287</v>
      </c>
      <c r="EN209" s="747">
        <f>$G209*$H209*(1+$K209)^MAX(ROUNDUP(IFERROR(DATEDIF($I191-1,EN$15+1,"m"),)/12,)-1,)*Index!EJ$23*(EN$15&gt;$I209)*(1-EN$12)</f>
        <v>3453.8762339881287</v>
      </c>
      <c r="EO209" s="747">
        <f>$G209*$H209*(1+$K209)^MAX(ROUNDUP(IFERROR(DATEDIF($I191-1,EO$15+1,"m"),)/12,)-1,)*Index!EK$23*(EO$15&gt;$I209)*(1-EO$12)</f>
        <v>3453.8762339881287</v>
      </c>
      <c r="EP209" s="747">
        <f>$G209*$H209*(1+$K209)^MAX(ROUNDUP(IFERROR(DATEDIF($I191-1,EP$15+1,"m"),)/12,)-1,)*Index!EL$23*(EP$15&gt;$I209)*(1-EP$12)</f>
        <v>3453.8762339881287</v>
      </c>
      <c r="EQ209" s="747">
        <f>$G209*$H209*(1+$K209)^MAX(ROUNDUP(IFERROR(DATEDIF($I191-1,EQ$15+1,"m"),)/12,)-1,)*Index!EM$23*(EQ$15&gt;$I209)*(1-EQ$12)</f>
        <v>3453.8762339881287</v>
      </c>
      <c r="ER209" s="747">
        <f>$G209*$H209*(1+$K209)^MAX(ROUNDUP(IFERROR(DATEDIF($I191-1,ER$15+1,"m"),)/12,)-1,)*Index!EN$23*(ER$15&gt;$I209)*(1-ER$12)</f>
        <v>3453.8762339881287</v>
      </c>
      <c r="ES209" s="747">
        <f>$G209*$H209*(1+$K209)^MAX(ROUNDUP(IFERROR(DATEDIF($I191-1,ES$15+1,"m"),)/12,)-1,)*Index!EO$23*(ES$15&gt;$I209)*(1-ES$12)</f>
        <v>0</v>
      </c>
      <c r="ET209" s="747">
        <f>$G209*$H209*(1+$K209)^MAX(ROUNDUP(IFERROR(DATEDIF($I191-1,ET$15+1,"m"),)/12,)-1,)*Index!EP$23*(ET$15&gt;$I209)*(1-ET$12)</f>
        <v>0</v>
      </c>
      <c r="EU209" s="747">
        <f>$G209*$H209*(1+$K209)^MAX(ROUNDUP(IFERROR(DATEDIF($I191-1,EU$15+1,"m"),)/12,)-1,)*Index!EQ$23*(EU$15&gt;$I209)*(1-EU$12)</f>
        <v>0</v>
      </c>
    </row>
    <row r="210" spans="3:151" ht="11.25" customHeight="1">
      <c r="C210" s="828"/>
      <c r="D210" s="743" t="str">
        <f t="shared" ref="D210:I210" si="285">D174</f>
        <v>1F</v>
      </c>
      <c r="E210" s="704" t="str">
        <f t="shared" si="285"/>
        <v>아이팜</v>
      </c>
      <c r="F210" s="704" t="str">
        <f t="shared" si="285"/>
        <v>근린생활시설</v>
      </c>
      <c r="G210" s="781">
        <f t="shared" si="285"/>
        <v>3</v>
      </c>
      <c r="H210" s="744">
        <f t="shared" si="285"/>
        <v>17.29</v>
      </c>
      <c r="I210" s="745">
        <f t="shared" si="285"/>
        <v>47603</v>
      </c>
      <c r="J210" s="745"/>
      <c r="K210" s="754">
        <f t="shared" si="272"/>
        <v>2.5000000000000001E-2</v>
      </c>
      <c r="L210" s="748"/>
      <c r="M210" s="749"/>
      <c r="N210" s="747">
        <f t="shared" si="273"/>
        <v>826.9039095228427</v>
      </c>
      <c r="O210" s="733"/>
      <c r="P210" s="747">
        <f>$G210*$H210*(1+$K210)^MAX(ROUNDUP(IFERROR(DATEDIF($I192-1,P$15+1,"m"),)/12,)-1,)*Index!L$23*(P$15&gt;$I210)*(1-P$12)</f>
        <v>0</v>
      </c>
      <c r="Q210" s="747">
        <f>$G210*$H210*(1+$K210)^MAX(ROUNDUP(IFERROR(DATEDIF($I192-1,Q$15+1,"m"),)/12,)-1,)*Index!M$23*(Q$15&gt;$I210)*(1-Q$12)</f>
        <v>0</v>
      </c>
      <c r="R210" s="747">
        <f>$G210*$H210*(1+$K210)^MAX(ROUNDUP(IFERROR(DATEDIF($I192-1,R$15+1,"m"),)/12,)-1,)*Index!N$23*(R$15&gt;$I210)*(1-R$12)</f>
        <v>0</v>
      </c>
      <c r="S210" s="747">
        <f>$G210*$H210*(1+$K210)^MAX(ROUNDUP(IFERROR(DATEDIF($I192-1,S$15+1,"m"),)/12,)-1,)*Index!O$23*(S$15&gt;$I210)*(1-S$12)</f>
        <v>0</v>
      </c>
      <c r="T210" s="747">
        <f>$G210*$H210*(1+$K210)^MAX(ROUNDUP(IFERROR(DATEDIF($I192-1,T$15+1,"m"),)/12,)-1,)*Index!P$23*(T$15&gt;$I210)*(1-T$12)</f>
        <v>0</v>
      </c>
      <c r="U210" s="747">
        <f>$G210*$H210*(1+$K210)^MAX(ROUNDUP(IFERROR(DATEDIF($I192-1,U$15+1,"m"),)/12,)-1,)*Index!Q$23*(U$15&gt;$I210)*(1-U$12)</f>
        <v>0</v>
      </c>
      <c r="V210" s="747">
        <f>$G210*$H210*(1+$K210)^MAX(ROUNDUP(IFERROR(DATEDIF($I192-1,V$15+1,"m"),)/12,)-1,)*Index!R$23*(V$15&gt;$I210)*(1-V$12)</f>
        <v>0</v>
      </c>
      <c r="W210" s="747">
        <f>$G210*$H210*(1+$K210)^MAX(ROUNDUP(IFERROR(DATEDIF($I192-1,W$15+1,"m"),)/12,)-1,)*Index!S$23*(W$15&gt;$I210)*(1-W$12)</f>
        <v>0</v>
      </c>
      <c r="X210" s="747">
        <f>$G210*$H210*(1+$K210)^MAX(ROUNDUP(IFERROR(DATEDIF($I192-1,X$15+1,"m"),)/12,)-1,)*Index!T$23*(X$15&gt;$I210)*(1-X$12)</f>
        <v>0</v>
      </c>
      <c r="Y210" s="747">
        <f>$G210*$H210*(1+$K210)^MAX(ROUNDUP(IFERROR(DATEDIF($I192-1,Y$15+1,"m"),)/12,)-1,)*Index!U$23*(Y$15&gt;$I210)*(1-Y$12)</f>
        <v>0</v>
      </c>
      <c r="Z210" s="747">
        <f>$G210*$H210*(1+$K210)^MAX(ROUNDUP(IFERROR(DATEDIF($I192-1,Z$15+1,"m"),)/12,)-1,)*Index!V$23*(Z$15&gt;$I210)*(1-Z$12)</f>
        <v>0</v>
      </c>
      <c r="AA210" s="747">
        <f>$G210*$H210*(1+$K210)^MAX(ROUNDUP(IFERROR(DATEDIF($I192-1,AA$15+1,"m"),)/12,)-1,)*Index!W$23*(AA$15&gt;$I210)*(1-AA$12)</f>
        <v>0</v>
      </c>
      <c r="AB210" s="747">
        <f>$G210*$H210*(1+$K210)^MAX(ROUNDUP(IFERROR(DATEDIF($I192-1,AB$15+1,"m"),)/12,)-1,)*Index!X$23*(AB$15&gt;$I210)*(1-AB$12)</f>
        <v>0</v>
      </c>
      <c r="AC210" s="747">
        <f>$G210*$H210*(1+$K210)^MAX(ROUNDUP(IFERROR(DATEDIF($I192-1,AC$15+1,"m"),)/12,)-1,)*Index!Y$23*(AC$15&gt;$I210)*(1-AC$12)</f>
        <v>0</v>
      </c>
      <c r="AD210" s="747">
        <f>$G210*$H210*(1+$K210)^MAX(ROUNDUP(IFERROR(DATEDIF($I192-1,AD$15+1,"m"),)/12,)-1,)*Index!Z$23*(AD$15&gt;$I210)*(1-AD$12)</f>
        <v>0</v>
      </c>
      <c r="AE210" s="747">
        <f>$G210*$H210*(1+$K210)^MAX(ROUNDUP(IFERROR(DATEDIF($I192-1,AE$15+1,"m"),)/12,)-1,)*Index!AA$23*(AE$15&gt;$I210)*(1-AE$12)</f>
        <v>0</v>
      </c>
      <c r="AF210" s="747">
        <f>$G210*$H210*(1+$K210)^MAX(ROUNDUP(IFERROR(DATEDIF($I192-1,AF$15+1,"m"),)/12,)-1,)*Index!AB$23*(AF$15&gt;$I210)*(1-AF$12)</f>
        <v>0</v>
      </c>
      <c r="AG210" s="747">
        <f>$G210*$H210*(1+$K210)^MAX(ROUNDUP(IFERROR(DATEDIF($I192-1,AG$15+1,"m"),)/12,)-1,)*Index!AC$23*(AG$15&gt;$I210)*(1-AG$12)</f>
        <v>0</v>
      </c>
      <c r="AH210" s="747">
        <f>$G210*$H210*(1+$K210)^MAX(ROUNDUP(IFERROR(DATEDIF($I192-1,AH$15+1,"m"),)/12,)-1,)*Index!AD$23*(AH$15&gt;$I210)*(1-AH$12)</f>
        <v>0</v>
      </c>
      <c r="AI210" s="747">
        <f>$G210*$H210*(1+$K210)^MAX(ROUNDUP(IFERROR(DATEDIF($I192-1,AI$15+1,"m"),)/12,)-1,)*Index!AE$23*(AI$15&gt;$I210)*(1-AI$12)</f>
        <v>0</v>
      </c>
      <c r="AJ210" s="747">
        <f>$G210*$H210*(1+$K210)^MAX(ROUNDUP(IFERROR(DATEDIF($I192-1,AJ$15+1,"m"),)/12,)-1,)*Index!AF$23*(AJ$15&gt;$I210)*(1-AJ$12)</f>
        <v>0</v>
      </c>
      <c r="AK210" s="747">
        <f>$G210*$H210*(1+$K210)^MAX(ROUNDUP(IFERROR(DATEDIF($I192-1,AK$15+1,"m"),)/12,)-1,)*Index!AG$23*(AK$15&gt;$I210)*(1-AK$12)</f>
        <v>0</v>
      </c>
      <c r="AL210" s="747">
        <f>$G210*$H210*(1+$K210)^MAX(ROUNDUP(IFERROR(DATEDIF($I192-1,AL$15+1,"m"),)/12,)-1,)*Index!AH$23*(AL$15&gt;$I210)*(1-AL$12)</f>
        <v>0</v>
      </c>
      <c r="AM210" s="747">
        <f>$G210*$H210*(1+$K210)^MAX(ROUNDUP(IFERROR(DATEDIF($I192-1,AM$15+1,"m"),)/12,)-1,)*Index!AI$23*(AM$15&gt;$I210)*(1-AM$12)</f>
        <v>0</v>
      </c>
      <c r="AN210" s="747">
        <f>$G210*$H210*(1+$K210)^MAX(ROUNDUP(IFERROR(DATEDIF($I192-1,AN$15+1,"m"),)/12,)-1,)*Index!AJ$23*(AN$15&gt;$I210)*(1-AN$12)</f>
        <v>0</v>
      </c>
      <c r="AO210" s="747">
        <f>$G210*$H210*(1+$K210)^MAX(ROUNDUP(IFERROR(DATEDIF($I192-1,AO$15+1,"m"),)/12,)-1,)*Index!AK$23*(AO$15&gt;$I210)*(1-AO$12)</f>
        <v>0</v>
      </c>
      <c r="AP210" s="747">
        <f>$G210*$H210*(1+$K210)^MAX(ROUNDUP(IFERROR(DATEDIF($I192-1,AP$15+1,"m"),)/12,)-1,)*Index!AL$23*(AP$15&gt;$I210)*(1-AP$12)</f>
        <v>0</v>
      </c>
      <c r="AQ210" s="747">
        <f>$G210*$H210*(1+$K210)^MAX(ROUNDUP(IFERROR(DATEDIF($I192-1,AQ$15+1,"m"),)/12,)-1,)*Index!AM$23*(AQ$15&gt;$I210)*(1-AQ$12)</f>
        <v>0</v>
      </c>
      <c r="AR210" s="747">
        <f>$G210*$H210*(1+$K210)^MAX(ROUNDUP(IFERROR(DATEDIF($I192-1,AR$15+1,"m"),)/12,)-1,)*Index!AN$23*(AR$15&gt;$I210)*(1-AR$12)</f>
        <v>0</v>
      </c>
      <c r="AS210" s="747">
        <f>$G210*$H210*(1+$K210)^MAX(ROUNDUP(IFERROR(DATEDIF($I192-1,AS$15+1,"m"),)/12,)-1,)*Index!AO$23*(AS$15&gt;$I210)*(1-AS$12)</f>
        <v>0</v>
      </c>
      <c r="AT210" s="747">
        <f>$G210*$H210*(1+$K210)^MAX(ROUNDUP(IFERROR(DATEDIF($I192-1,AT$15+1,"m"),)/12,)-1,)*Index!AP$23*(AT$15&gt;$I210)*(1-AT$12)</f>
        <v>0</v>
      </c>
      <c r="AU210" s="747">
        <f>$G210*$H210*(1+$K210)^MAX(ROUNDUP(IFERROR(DATEDIF($I192-1,AU$15+1,"m"),)/12,)-1,)*Index!AQ$23*(AU$15&gt;$I210)*(1-AU$12)</f>
        <v>0</v>
      </c>
      <c r="AV210" s="747">
        <f>$G210*$H210*(1+$K210)^MAX(ROUNDUP(IFERROR(DATEDIF($I192-1,AV$15+1,"m"),)/12,)-1,)*Index!AR$23*(AV$15&gt;$I210)*(1-AV$12)</f>
        <v>0</v>
      </c>
      <c r="AW210" s="747">
        <f>$G210*$H210*(1+$K210)^MAX(ROUNDUP(IFERROR(DATEDIF($I192-1,AW$15+1,"m"),)/12,)-1,)*Index!AS$23*(AW$15&gt;$I210)*(1-AW$12)</f>
        <v>0</v>
      </c>
      <c r="AX210" s="747">
        <f>$G210*$H210*(1+$K210)^MAX(ROUNDUP(IFERROR(DATEDIF($I192-1,AX$15+1,"m"),)/12,)-1,)*Index!AT$23*(AX$15&gt;$I210)*(1-AX$12)</f>
        <v>0</v>
      </c>
      <c r="AY210" s="747">
        <f>$G210*$H210*(1+$K210)^MAX(ROUNDUP(IFERROR(DATEDIF($I192-1,AY$15+1,"m"),)/12,)-1,)*Index!AU$23*(AY$15&gt;$I210)*(1-AY$12)</f>
        <v>0</v>
      </c>
      <c r="AZ210" s="747">
        <f>$G210*$H210*(1+$K210)^MAX(ROUNDUP(IFERROR(DATEDIF($I192-1,AZ$15+1,"m"),)/12,)-1,)*Index!AV$23*(AZ$15&gt;$I210)*(1-AZ$12)</f>
        <v>0</v>
      </c>
      <c r="BA210" s="747">
        <f>$G210*$H210*(1+$K210)^MAX(ROUNDUP(IFERROR(DATEDIF($I192-1,BA$15+1,"m"),)/12,)-1,)*Index!AW$23*(BA$15&gt;$I210)*(1-BA$12)</f>
        <v>0</v>
      </c>
      <c r="BB210" s="747">
        <f>$G210*$H210*(1+$K210)^MAX(ROUNDUP(IFERROR(DATEDIF($I192-1,BB$15+1,"m"),)/12,)-1,)*Index!AX$23*(BB$15&gt;$I210)*(1-BB$12)</f>
        <v>0</v>
      </c>
      <c r="BC210" s="747">
        <f>$G210*$H210*(1+$K210)^MAX(ROUNDUP(IFERROR(DATEDIF($I192-1,BC$15+1,"m"),)/12,)-1,)*Index!AY$23*(BC$15&gt;$I210)*(1-BC$12)</f>
        <v>0</v>
      </c>
      <c r="BD210" s="747">
        <f>$G210*$H210*(1+$K210)^MAX(ROUNDUP(IFERROR(DATEDIF($I192-1,BD$15+1,"m"),)/12,)-1,)*Index!AZ$23*(BD$15&gt;$I210)*(1-BD$12)</f>
        <v>0</v>
      </c>
      <c r="BE210" s="747">
        <f>$G210*$H210*(1+$K210)^MAX(ROUNDUP(IFERROR(DATEDIF($I192-1,BE$15+1,"m"),)/12,)-1,)*Index!BA$23*(BE$15&gt;$I210)*(1-BE$12)</f>
        <v>0</v>
      </c>
      <c r="BF210" s="747">
        <f>$G210*$H210*(1+$K210)^MAX(ROUNDUP(IFERROR(DATEDIF($I192-1,BF$15+1,"m"),)/12,)-1,)*Index!BB$23*(BF$15&gt;$I210)*(1-BF$12)</f>
        <v>0</v>
      </c>
      <c r="BG210" s="747">
        <f>$G210*$H210*(1+$K210)^MAX(ROUNDUP(IFERROR(DATEDIF($I192-1,BG$15+1,"m"),)/12,)-1,)*Index!BC$23*(BG$15&gt;$I210)*(1-BG$12)</f>
        <v>0</v>
      </c>
      <c r="BH210" s="747">
        <f>$G210*$H210*(1+$K210)^MAX(ROUNDUP(IFERROR(DATEDIF($I192-1,BH$15+1,"m"),)/12,)-1,)*Index!BD$23*(BH$15&gt;$I210)*(1-BH$12)</f>
        <v>0</v>
      </c>
      <c r="BI210" s="747">
        <f>$G210*$H210*(1+$K210)^MAX(ROUNDUP(IFERROR(DATEDIF($I192-1,BI$15+1,"m"),)/12,)-1,)*Index!BE$23*(BI$15&gt;$I210)*(1-BI$12)</f>
        <v>0</v>
      </c>
      <c r="BJ210" s="747">
        <f>$G210*$H210*(1+$K210)^MAX(ROUNDUP(IFERROR(DATEDIF($I192-1,BJ$15+1,"m"),)/12,)-1,)*Index!BF$23*(BJ$15&gt;$I210)*(1-BJ$12)</f>
        <v>0</v>
      </c>
      <c r="BK210" s="747">
        <f>$G210*$H210*(1+$K210)^MAX(ROUNDUP(IFERROR(DATEDIF($I192-1,BK$15+1,"m"),)/12,)-1,)*Index!BG$23*(BK$15&gt;$I210)*(1-BK$12)</f>
        <v>0</v>
      </c>
      <c r="BL210" s="747">
        <f>$G210*$H210*(1+$K210)^MAX(ROUNDUP(IFERROR(DATEDIF($I192-1,BL$15+1,"m"),)/12,)-1,)*Index!BH$23*(BL$15&gt;$I210)*(1-BL$12)</f>
        <v>0</v>
      </c>
      <c r="BM210" s="747">
        <f>$G210*$H210*(1+$K210)^MAX(ROUNDUP(IFERROR(DATEDIF($I192-1,BM$15+1,"m"),)/12,)-1,)*Index!BI$23*(BM$15&gt;$I210)*(1-BM$12)</f>
        <v>0</v>
      </c>
      <c r="BN210" s="747">
        <f>$G210*$H210*(1+$K210)^MAX(ROUNDUP(IFERROR(DATEDIF($I192-1,BN$15+1,"m"),)/12,)-1,)*Index!BJ$23*(BN$15&gt;$I210)*(1-BN$12)</f>
        <v>0</v>
      </c>
      <c r="BO210" s="747">
        <f>$G210*$H210*(1+$K210)^MAX(ROUNDUP(IFERROR(DATEDIF($I192-1,BO$15+1,"m"),)/12,)-1,)*Index!BK$23*(BO$15&gt;$I210)*(1-BO$12)</f>
        <v>0</v>
      </c>
      <c r="BP210" s="747">
        <f>$G210*$H210*(1+$K210)^MAX(ROUNDUP(IFERROR(DATEDIF($I192-1,BP$15+1,"m"),)/12,)-1,)*Index!BL$23*(BP$15&gt;$I210)*(1-BP$12)</f>
        <v>0</v>
      </c>
      <c r="BQ210" s="747">
        <f>$G210*$H210*(1+$K210)^MAX(ROUNDUP(IFERROR(DATEDIF($I192-1,BQ$15+1,"m"),)/12,)-1,)*Index!BM$23*(BQ$15&gt;$I210)*(1-BQ$12)</f>
        <v>0</v>
      </c>
      <c r="BR210" s="747">
        <f>$G210*$H210*(1+$K210)^MAX(ROUNDUP(IFERROR(DATEDIF($I192-1,BR$15+1,"m"),)/12,)-1,)*Index!BN$23*(BR$15&gt;$I210)*(1-BR$12)</f>
        <v>0</v>
      </c>
      <c r="BS210" s="747">
        <f>$G210*$H210*(1+$K210)^MAX(ROUNDUP(IFERROR(DATEDIF($I192-1,BS$15+1,"m"),)/12,)-1,)*Index!BO$23*(BS$15&gt;$I210)*(1-BS$12)</f>
        <v>0</v>
      </c>
      <c r="BT210" s="747">
        <f>$G210*$H210*(1+$K210)^MAX(ROUNDUP(IFERROR(DATEDIF($I192-1,BT$15+1,"m"),)/12,)-1,)*Index!BP$23*(BT$15&gt;$I210)*(1-BT$12)</f>
        <v>0</v>
      </c>
      <c r="BU210" s="747">
        <f>$G210*$H210*(1+$K210)^MAX(ROUNDUP(IFERROR(DATEDIF($I192-1,BU$15+1,"m"),)/12,)-1,)*Index!BQ$23*(BU$15&gt;$I210)*(1-BU$12)</f>
        <v>0</v>
      </c>
      <c r="BV210" s="747">
        <f>$G210*$H210*(1+$K210)^MAX(ROUNDUP(IFERROR(DATEDIF($I192-1,BV$15+1,"m"),)/12,)-1,)*Index!BR$23*(BV$15&gt;$I210)*(1-BV$12)</f>
        <v>0</v>
      </c>
      <c r="BW210" s="747">
        <f>$G210*$H210*(1+$K210)^MAX(ROUNDUP(IFERROR(DATEDIF($I192-1,BW$15+1,"m"),)/12,)-1,)*Index!BS$23*(BW$15&gt;$I210)*(1-BW$12)</f>
        <v>0</v>
      </c>
      <c r="BX210" s="747">
        <f>$G210*$H210*(1+$K210)^MAX(ROUNDUP(IFERROR(DATEDIF($I192-1,BX$15+1,"m"),)/12,)-1,)*Index!BT$23*(BX$15&gt;$I210)*(1-BX$12)</f>
        <v>0</v>
      </c>
      <c r="BY210" s="747">
        <f>$G210*$H210*(1+$K210)^MAX(ROUNDUP(IFERROR(DATEDIF($I192-1,BY$15+1,"m"),)/12,)-1,)*Index!BU$23*(BY$15&gt;$I210)*(1-BY$12)</f>
        <v>0</v>
      </c>
      <c r="BZ210" s="747">
        <f>$G210*$H210*(1+$K210)^MAX(ROUNDUP(IFERROR(DATEDIF($I192-1,BZ$15+1,"m"),)/12,)-1,)*Index!BV$23*(BZ$15&gt;$I210)*(1-BZ$12)</f>
        <v>0</v>
      </c>
      <c r="CA210" s="747">
        <f>$G210*$H210*(1+$K210)^MAX(ROUNDUP(IFERROR(DATEDIF($I192-1,CA$15+1,"m"),)/12,)-1,)*Index!BW$23*(CA$15&gt;$I210)*(1-CA$12)</f>
        <v>0</v>
      </c>
      <c r="CB210" s="747">
        <f>$G210*$H210*(1+$K210)^MAX(ROUNDUP(IFERROR(DATEDIF($I192-1,CB$15+1,"m"),)/12,)-1,)*Index!BX$23*(CB$15&gt;$I210)*(1-CB$12)</f>
        <v>0</v>
      </c>
      <c r="CC210" s="747">
        <f>$G210*$H210*(1+$K210)^MAX(ROUNDUP(IFERROR(DATEDIF($I192-1,CC$15+1,"m"),)/12,)-1,)*Index!BY$23*(CC$15&gt;$I210)*(1-CC$12)</f>
        <v>0</v>
      </c>
      <c r="CD210" s="747">
        <f>$G210*$H210*(1+$K210)^MAX(ROUNDUP(IFERROR(DATEDIF($I192-1,CD$15+1,"m"),)/12,)-1,)*Index!BZ$23*(CD$15&gt;$I210)*(1-CD$12)</f>
        <v>0</v>
      </c>
      <c r="CE210" s="747">
        <f>$G210*$H210*(1+$K210)^MAX(ROUNDUP(IFERROR(DATEDIF($I192-1,CE$15+1,"m"),)/12,)-1,)*Index!CA$23*(CE$15&gt;$I210)*(1-CE$12)</f>
        <v>0</v>
      </c>
      <c r="CF210" s="747">
        <f>$G210*$H210*(1+$K210)^MAX(ROUNDUP(IFERROR(DATEDIF($I192-1,CF$15+1,"m"),)/12,)-1,)*Index!CB$23*(CF$15&gt;$I210)*(1-CF$12)</f>
        <v>0</v>
      </c>
      <c r="CG210" s="747">
        <f>$G210*$H210*(1+$K210)^MAX(ROUNDUP(IFERROR(DATEDIF($I192-1,CG$15+1,"m"),)/12,)-1,)*Index!CC$23*(CG$15&gt;$I210)*(1-CG$12)</f>
        <v>0</v>
      </c>
      <c r="CH210" s="747">
        <f>$G210*$H210*(1+$K210)^MAX(ROUNDUP(IFERROR(DATEDIF($I192-1,CH$15+1,"m"),)/12,)-1,)*Index!CD$23*(CH$15&gt;$I210)*(1-CH$12)</f>
        <v>0</v>
      </c>
      <c r="CI210" s="747">
        <f>$G210*$H210*(1+$K210)^MAX(ROUNDUP(IFERROR(DATEDIF($I192-1,CI$15+1,"m"),)/12,)-1,)*Index!CE$23*(CI$15&gt;$I210)*(1-CI$12)</f>
        <v>0</v>
      </c>
      <c r="CJ210" s="747">
        <f>$G210*$H210*(1+$K210)^MAX(ROUNDUP(IFERROR(DATEDIF($I192-1,CJ$15+1,"m"),)/12,)-1,)*Index!CF$23*(CJ$15&gt;$I210)*(1-CJ$12)</f>
        <v>0</v>
      </c>
      <c r="CK210" s="747">
        <f>$G210*$H210*(1+$K210)^MAX(ROUNDUP(IFERROR(DATEDIF($I192-1,CK$15+1,"m"),)/12,)-1,)*Index!CG$23*(CK$15&gt;$I210)*(1-CK$12)</f>
        <v>0</v>
      </c>
      <c r="CL210" s="747">
        <f>$G210*$H210*(1+$K210)^MAX(ROUNDUP(IFERROR(DATEDIF($I192-1,CL$15+1,"m"),)/12,)-1,)*Index!CH$23*(CL$15&gt;$I210)*(1-CL$12)</f>
        <v>0</v>
      </c>
      <c r="CM210" s="747">
        <f>$G210*$H210*(1+$K210)^MAX(ROUNDUP(IFERROR(DATEDIF($I192-1,CM$15+1,"m"),)/12,)-1,)*Index!CI$23*(CM$15&gt;$I210)*(1-CM$12)</f>
        <v>0</v>
      </c>
      <c r="CN210" s="747">
        <f>$G210*$H210*(1+$K210)^MAX(ROUNDUP(IFERROR(DATEDIF($I192-1,CN$15+1,"m"),)/12,)-1,)*Index!CJ$23*(CN$15&gt;$I210)*(1-CN$12)</f>
        <v>0</v>
      </c>
      <c r="CO210" s="747">
        <f>$G210*$H210*(1+$K210)^MAX(ROUNDUP(IFERROR(DATEDIF($I192-1,CO$15+1,"m"),)/12,)-1,)*Index!CK$23*(CO$15&gt;$I210)*(1-CO$12)</f>
        <v>0</v>
      </c>
      <c r="CP210" s="747">
        <f>$G210*$H210*(1+$K210)^MAX(ROUNDUP(IFERROR(DATEDIF($I192-1,CP$15+1,"m"),)/12,)-1,)*Index!CL$23*(CP$15&gt;$I210)*(1-CP$12)</f>
        <v>0</v>
      </c>
      <c r="CQ210" s="747">
        <f>$G210*$H210*(1+$K210)^MAX(ROUNDUP(IFERROR(DATEDIF($I192-1,CQ$15+1,"m"),)/12,)-1,)*Index!CM$23*(CQ$15&gt;$I210)*(1-CQ$12)</f>
        <v>0</v>
      </c>
      <c r="CR210" s="747">
        <f>$G210*$H210*(1+$K210)^MAX(ROUNDUP(IFERROR(DATEDIF($I192-1,CR$15+1,"m"),)/12,)-1,)*Index!CN$23*(CR$15&gt;$I210)*(1-CR$12)</f>
        <v>0</v>
      </c>
      <c r="CS210" s="747">
        <f>$G210*$H210*(1+$K210)^MAX(ROUNDUP(IFERROR(DATEDIF($I192-1,CS$15+1,"m"),)/12,)-1,)*Index!CO$23*(CS$15&gt;$I210)*(1-CS$12)</f>
        <v>0</v>
      </c>
      <c r="CT210" s="747">
        <f>$G210*$H210*(1+$K210)^MAX(ROUNDUP(IFERROR(DATEDIF($I192-1,CT$15+1,"m"),)/12,)-1,)*Index!CP$23*(CT$15&gt;$I210)*(1-CT$12)</f>
        <v>0</v>
      </c>
      <c r="CU210" s="747">
        <f>$G210*$H210*(1+$K210)^MAX(ROUNDUP(IFERROR(DATEDIF($I192-1,CU$15+1,"m"),)/12,)-1,)*Index!CQ$23*(CU$15&gt;$I210)*(1-CU$12)</f>
        <v>0</v>
      </c>
      <c r="CV210" s="747">
        <f>$G210*$H210*(1+$K210)^MAX(ROUNDUP(IFERROR(DATEDIF($I192-1,CV$15+1,"m"),)/12,)-1,)*Index!CR$23*(CV$15&gt;$I210)*(1-CV$12)</f>
        <v>0</v>
      </c>
      <c r="CW210" s="747">
        <f>$G210*$H210*(1+$K210)^MAX(ROUNDUP(IFERROR(DATEDIF($I192-1,CW$15+1,"m"),)/12,)-1,)*Index!CS$23*(CW$15&gt;$I210)*(1-CW$12)</f>
        <v>0</v>
      </c>
      <c r="CX210" s="747">
        <f>$G210*$H210*(1+$K210)^MAX(ROUNDUP(IFERROR(DATEDIF($I192-1,CX$15+1,"m"),)/12,)-1,)*Index!CT$23*(CX$15&gt;$I210)*(1-CX$12)</f>
        <v>0</v>
      </c>
      <c r="CY210" s="747">
        <f>$G210*$H210*(1+$K210)^MAX(ROUNDUP(IFERROR(DATEDIF($I192-1,CY$15+1,"m"),)/12,)-1,)*Index!CU$23*(CY$15&gt;$I210)*(1-CY$12)</f>
        <v>0</v>
      </c>
      <c r="CZ210" s="747">
        <f>$G210*$H210*(1+$K210)^MAX(ROUNDUP(IFERROR(DATEDIF($I192-1,CZ$15+1,"m"),)/12,)-1,)*Index!CV$23*(CZ$15&gt;$I210)*(1-CZ$12)</f>
        <v>0</v>
      </c>
      <c r="DA210" s="747">
        <f>$G210*$H210*(1+$K210)^MAX(ROUNDUP(IFERROR(DATEDIF($I192-1,DA$15+1,"m"),)/12,)-1,)*Index!CW$23*(DA$15&gt;$I210)*(1-DA$12)</f>
        <v>0</v>
      </c>
      <c r="DB210" s="747">
        <f>$G210*$H210*(1+$K210)^MAX(ROUNDUP(IFERROR(DATEDIF($I192-1,DB$15+1,"m"),)/12,)-1,)*Index!CX$23*(DB$15&gt;$I210)*(1-DB$12)</f>
        <v>0</v>
      </c>
      <c r="DC210" s="747">
        <f>$G210*$H210*(1+$K210)^MAX(ROUNDUP(IFERROR(DATEDIF($I192-1,DC$15+1,"m"),)/12,)-1,)*Index!CY$23*(DC$15&gt;$I210)*(1-DC$12)</f>
        <v>0</v>
      </c>
      <c r="DD210" s="747">
        <f>$G210*$H210*(1+$K210)^MAX(ROUNDUP(IFERROR(DATEDIF($I192-1,DD$15+1,"m"),)/12,)-1,)*Index!CZ$23*(DD$15&gt;$I210)*(1-DD$12)</f>
        <v>0</v>
      </c>
      <c r="DE210" s="747">
        <f>$G210*$H210*(1+$K210)^MAX(ROUNDUP(IFERROR(DATEDIF($I192-1,DE$15+1,"m"),)/12,)-1,)*Index!DA$23*(DE$15&gt;$I210)*(1-DE$12)</f>
        <v>0</v>
      </c>
      <c r="DF210" s="747">
        <f>$G210*$H210*(1+$K210)^MAX(ROUNDUP(IFERROR(DATEDIF($I192-1,DF$15+1,"m"),)/12,)-1,)*Index!DB$23*(DF$15&gt;$I210)*(1-DF$12)</f>
        <v>0</v>
      </c>
      <c r="DG210" s="747">
        <f>$G210*$H210*(1+$K210)^MAX(ROUNDUP(IFERROR(DATEDIF($I192-1,DG$15+1,"m"),)/12,)-1,)*Index!DC$23*(DG$15&gt;$I210)*(1-DG$12)</f>
        <v>0</v>
      </c>
      <c r="DH210" s="747">
        <f>$G210*$H210*(1+$K210)^MAX(ROUNDUP(IFERROR(DATEDIF($I192-1,DH$15+1,"m"),)/12,)-1,)*Index!DD$23*(DH$15&gt;$I210)*(1-DH$12)</f>
        <v>0</v>
      </c>
      <c r="DI210" s="747">
        <f>$G210*$H210*(1+$K210)^MAX(ROUNDUP(IFERROR(DATEDIF($I192-1,DI$15+1,"m"),)/12,)-1,)*Index!DE$23*(DI$15&gt;$I210)*(1-DI$12)</f>
        <v>0</v>
      </c>
      <c r="DJ210" s="747">
        <f>$G210*$H210*(1+$K210)^MAX(ROUNDUP(IFERROR(DATEDIF($I192-1,DJ$15+1,"m"),)/12,)-1,)*Index!DF$23*(DJ$15&gt;$I210)*(1-DJ$12)</f>
        <v>0</v>
      </c>
      <c r="DK210" s="747">
        <f>$G210*$H210*(1+$K210)^MAX(ROUNDUP(IFERROR(DATEDIF($I192-1,DK$15+1,"m"),)/12,)-1,)*Index!DG$23*(DK$15&gt;$I210)*(1-DK$12)</f>
        <v>0</v>
      </c>
      <c r="DL210" s="747">
        <f>$G210*$H210*(1+$K210)^MAX(ROUNDUP(IFERROR(DATEDIF($I192-1,DL$15+1,"m"),)/12,)-1,)*Index!DH$23*(DL$15&gt;$I210)*(1-DL$12)</f>
        <v>0</v>
      </c>
      <c r="DM210" s="747">
        <f>$G210*$H210*(1+$K210)^MAX(ROUNDUP(IFERROR(DATEDIF($I192-1,DM$15+1,"m"),)/12,)-1,)*Index!DI$23*(DM$15&gt;$I210)*(1-DM$12)</f>
        <v>0</v>
      </c>
      <c r="DN210" s="747">
        <f>$G210*$H210*(1+$K210)^MAX(ROUNDUP(IFERROR(DATEDIF($I192-1,DN$15+1,"m"),)/12,)-1,)*Index!DJ$23*(DN$15&gt;$I210)*(1-DN$12)</f>
        <v>0</v>
      </c>
      <c r="DO210" s="747">
        <f>$G210*$H210*(1+$K210)^MAX(ROUNDUP(IFERROR(DATEDIF($I192-1,DO$15+1,"m"),)/12,)-1,)*Index!DK$23*(DO$15&gt;$I210)*(1-DO$12)</f>
        <v>0</v>
      </c>
      <c r="DP210" s="747">
        <f>$G210*$H210*(1+$K210)^MAX(ROUNDUP(IFERROR(DATEDIF($I192-1,DP$15+1,"m"),)/12,)-1,)*Index!DL$23*(DP$15&gt;$I210)*(1-DP$12)</f>
        <v>0</v>
      </c>
      <c r="DQ210" s="747">
        <f>$G210*$H210*(1+$K210)^MAX(ROUNDUP(IFERROR(DATEDIF($I192-1,DQ$15+1,"m"),)/12,)-1,)*Index!DM$23*(DQ$15&gt;$I210)*(1-DQ$12)</f>
        <v>0</v>
      </c>
      <c r="DR210" s="747">
        <f>$G210*$H210*(1+$K210)^MAX(ROUNDUP(IFERROR(DATEDIF($I192-1,DR$15+1,"m"),)/12,)-1,)*Index!DN$23*(DR$15&gt;$I210)*(1-DR$12)</f>
        <v>0</v>
      </c>
      <c r="DS210" s="747">
        <f>$G210*$H210*(1+$K210)^MAX(ROUNDUP(IFERROR(DATEDIF($I192-1,DS$15+1,"m"),)/12,)-1,)*Index!DO$23*(DS$15&gt;$I210)*(1-DS$12)</f>
        <v>0</v>
      </c>
      <c r="DT210" s="747">
        <f>$G210*$H210*(1+$K210)^MAX(ROUNDUP(IFERROR(DATEDIF($I192-1,DT$15+1,"m"),)/12,)-1,)*Index!DP$23*(DT$15&gt;$I210)*(1-DT$12)</f>
        <v>0</v>
      </c>
      <c r="DU210" s="747">
        <f>$G210*$H210*(1+$K210)^MAX(ROUNDUP(IFERROR(DATEDIF($I192-1,DU$15+1,"m"),)/12,)-1,)*Index!DQ$23*(DU$15&gt;$I210)*(1-DU$12)</f>
        <v>0</v>
      </c>
      <c r="DV210" s="747">
        <f>$G210*$H210*(1+$K210)^MAX(ROUNDUP(IFERROR(DATEDIF($I192-1,DV$15+1,"m"),)/12,)-1,)*Index!DR$23*(DV$15&gt;$I210)*(1-DV$12)</f>
        <v>0</v>
      </c>
      <c r="DW210" s="747">
        <f>$G210*$H210*(1+$K210)^MAX(ROUNDUP(IFERROR(DATEDIF($I192-1,DW$15+1,"m"),)/12,)-1,)*Index!DS$23*(DW$15&gt;$I210)*(1-DW$12)</f>
        <v>0</v>
      </c>
      <c r="DX210" s="747">
        <f>$G210*$H210*(1+$K210)^MAX(ROUNDUP(IFERROR(DATEDIF($I192-1,DX$15+1,"m"),)/12,)-1,)*Index!DT$23*(DX$15&gt;$I210)*(1-DX$12)</f>
        <v>0</v>
      </c>
      <c r="DY210" s="747">
        <f>$G210*$H210*(1+$K210)^MAX(ROUNDUP(IFERROR(DATEDIF($I192-1,DY$15+1,"m"),)/12,)-1,)*Index!DU$23*(DY$15&gt;$I210)*(1-DY$12)</f>
        <v>0</v>
      </c>
      <c r="DZ210" s="747">
        <f>$G210*$H210*(1+$K210)^MAX(ROUNDUP(IFERROR(DATEDIF($I192-1,DZ$15+1,"m"),)/12,)-1,)*Index!DV$23*(DZ$15&gt;$I210)*(1-DZ$12)</f>
        <v>0</v>
      </c>
      <c r="EA210" s="747">
        <f>$G210*$H210*(1+$K210)^MAX(ROUNDUP(IFERROR(DATEDIF($I192-1,EA$15+1,"m"),)/12,)-1,)*Index!DW$23*(EA$15&gt;$I210)*(1-EA$12)</f>
        <v>0</v>
      </c>
      <c r="EB210" s="747">
        <f>$G210*$H210*(1+$K210)^MAX(ROUNDUP(IFERROR(DATEDIF($I192-1,EB$15+1,"m"),)/12,)-1,)*Index!DX$23*(EB$15&gt;$I210)*(1-EB$12)</f>
        <v>0</v>
      </c>
      <c r="EC210" s="747">
        <f>$G210*$H210*(1+$K210)^MAX(ROUNDUP(IFERROR(DATEDIF($I192-1,EC$15+1,"m"),)/12,)-1,)*Index!DY$23*(EC$15&gt;$I210)*(1-EC$12)</f>
        <v>0</v>
      </c>
      <c r="ED210" s="747">
        <f>$G210*$H210*(1+$K210)^MAX(ROUNDUP(IFERROR(DATEDIF($I192-1,ED$15+1,"m"),)/12,)-1,)*Index!DZ$23*(ED$15&gt;$I210)*(1-ED$12)</f>
        <v>0</v>
      </c>
      <c r="EE210" s="747">
        <f>$G210*$H210*(1+$K210)^MAX(ROUNDUP(IFERROR(DATEDIF($I192-1,EE$15+1,"m"),)/12,)-1,)*Index!EA$23*(EE$15&gt;$I210)*(1-EE$12)</f>
        <v>0</v>
      </c>
      <c r="EF210" s="747">
        <f>$G210*$H210*(1+$K210)^MAX(ROUNDUP(IFERROR(DATEDIF($I192-1,EF$15+1,"m"),)/12,)-1,)*Index!EB$23*(EF$15&gt;$I210)*(1-EF$12)</f>
        <v>0</v>
      </c>
      <c r="EG210" s="747">
        <f>$G210*$H210*(1+$K210)^MAX(ROUNDUP(IFERROR(DATEDIF($I192-1,EG$15+1,"m"),)/12,)-1,)*Index!EC$23*(EG$15&gt;$I210)*(1-EG$12)</f>
        <v>68.057934940151668</v>
      </c>
      <c r="EH210" s="747">
        <f>$G210*$H210*(1+$K210)^MAX(ROUNDUP(IFERROR(DATEDIF($I192-1,EH$15+1,"m"),)/12,)-1,)*Index!ED$23*(EH$15&gt;$I210)*(1-EH$12)</f>
        <v>68.057934940151668</v>
      </c>
      <c r="EI210" s="747">
        <f>$G210*$H210*(1+$K210)^MAX(ROUNDUP(IFERROR(DATEDIF($I192-1,EI$15+1,"m"),)/12,)-1,)*Index!EE$23*(EI$15&gt;$I210)*(1-EI$12)</f>
        <v>68.057934940151668</v>
      </c>
      <c r="EJ210" s="747">
        <f>$G210*$H210*(1+$K210)^MAX(ROUNDUP(IFERROR(DATEDIF($I192-1,EJ$15+1,"m"),)/12,)-1,)*Index!EF$23*(EJ$15&gt;$I210)*(1-EJ$12)</f>
        <v>68.057934940151668</v>
      </c>
      <c r="EK210" s="747">
        <f>$G210*$H210*(1+$K210)^MAX(ROUNDUP(IFERROR(DATEDIF($I192-1,EK$15+1,"m"),)/12,)-1,)*Index!EG$23*(EK$15&gt;$I210)*(1-EK$12)</f>
        <v>68.057934940151668</v>
      </c>
      <c r="EL210" s="747">
        <f>$G210*$H210*(1+$K210)^MAX(ROUNDUP(IFERROR(DATEDIF($I192-1,EL$15+1,"m"),)/12,)-1,)*Index!EH$23*(EL$15&gt;$I210)*(1-EL$12)</f>
        <v>68.057934940151668</v>
      </c>
      <c r="EM210" s="747">
        <f>$G210*$H210*(1+$K210)^MAX(ROUNDUP(IFERROR(DATEDIF($I192-1,EM$15+1,"m"),)/12,)-1,)*Index!EI$23*(EM$15&gt;$I210)*(1-EM$12)</f>
        <v>69.759383313655448</v>
      </c>
      <c r="EN210" s="747">
        <f>$G210*$H210*(1+$K210)^MAX(ROUNDUP(IFERROR(DATEDIF($I192-1,EN$15+1,"m"),)/12,)-1,)*Index!EJ$23*(EN$15&gt;$I210)*(1-EN$12)</f>
        <v>69.759383313655448</v>
      </c>
      <c r="EO210" s="747">
        <f>$G210*$H210*(1+$K210)^MAX(ROUNDUP(IFERROR(DATEDIF($I192-1,EO$15+1,"m"),)/12,)-1,)*Index!EK$23*(EO$15&gt;$I210)*(1-EO$12)</f>
        <v>69.759383313655448</v>
      </c>
      <c r="EP210" s="747">
        <f>$G210*$H210*(1+$K210)^MAX(ROUNDUP(IFERROR(DATEDIF($I192-1,EP$15+1,"m"),)/12,)-1,)*Index!EL$23*(EP$15&gt;$I210)*(1-EP$12)</f>
        <v>69.759383313655448</v>
      </c>
      <c r="EQ210" s="747">
        <f>$G210*$H210*(1+$K210)^MAX(ROUNDUP(IFERROR(DATEDIF($I192-1,EQ$15+1,"m"),)/12,)-1,)*Index!EM$23*(EQ$15&gt;$I210)*(1-EQ$12)</f>
        <v>69.759383313655448</v>
      </c>
      <c r="ER210" s="747">
        <f>$G210*$H210*(1+$K210)^MAX(ROUNDUP(IFERROR(DATEDIF($I192-1,ER$15+1,"m"),)/12,)-1,)*Index!EN$23*(ER$15&gt;$I210)*(1-ER$12)</f>
        <v>69.759383313655448</v>
      </c>
      <c r="ES210" s="747">
        <f>$G210*$H210*(1+$K210)^MAX(ROUNDUP(IFERROR(DATEDIF($I192-1,ES$15+1,"m"),)/12,)-1,)*Index!EO$23*(ES$15&gt;$I210)*(1-ES$12)</f>
        <v>0</v>
      </c>
      <c r="ET210" s="747">
        <f>$G210*$H210*(1+$K210)^MAX(ROUNDUP(IFERROR(DATEDIF($I192-1,ET$15+1,"m"),)/12,)-1,)*Index!EP$23*(ET$15&gt;$I210)*(1-ET$12)</f>
        <v>0</v>
      </c>
      <c r="EU210" s="747">
        <f>$G210*$H210*(1+$K210)^MAX(ROUNDUP(IFERROR(DATEDIF($I192-1,EU$15+1,"m"),)/12,)-1,)*Index!EQ$23*(EU$15&gt;$I210)*(1-EU$12)</f>
        <v>0</v>
      </c>
    </row>
    <row r="211" spans="3:151" ht="11.25" customHeight="1">
      <c r="C211" s="828"/>
      <c r="D211" s="743">
        <f t="shared" ref="D211:I211" si="286">D175</f>
        <v>1</v>
      </c>
      <c r="E211" s="704" t="str">
        <f t="shared" si="286"/>
        <v>공실</v>
      </c>
      <c r="F211" s="704" t="str">
        <f t="shared" si="286"/>
        <v>근린생활시설</v>
      </c>
      <c r="G211" s="781">
        <f t="shared" si="286"/>
        <v>3</v>
      </c>
      <c r="H211" s="744">
        <f t="shared" si="286"/>
        <v>141.01000000000002</v>
      </c>
      <c r="I211" s="745">
        <f t="shared" si="286"/>
        <v>49979</v>
      </c>
      <c r="J211" s="745"/>
      <c r="K211" s="754">
        <f t="shared" si="272"/>
        <v>2.5000000000000001E-2</v>
      </c>
      <c r="L211" s="748"/>
      <c r="M211" s="749"/>
      <c r="N211" s="747">
        <f t="shared" si="273"/>
        <v>6498.1699767766195</v>
      </c>
      <c r="O211" s="733"/>
      <c r="P211" s="747">
        <f>$G211*$H211*(1+$K211)^MAX(ROUNDUP(IFERROR(DATEDIF($I193-1,P$15+1,"m"),)/12,)-1,)*Index!L$23*(P$15&gt;$I211)*(1-P$12)</f>
        <v>0</v>
      </c>
      <c r="Q211" s="747">
        <f>$G211*$H211*(1+$K211)^MAX(ROUNDUP(IFERROR(DATEDIF($I193-1,Q$15+1,"m"),)/12,)-1,)*Index!M$23*(Q$15&gt;$I211)*(1-Q$12)</f>
        <v>0</v>
      </c>
      <c r="R211" s="747">
        <f>$G211*$H211*(1+$K211)^MAX(ROUNDUP(IFERROR(DATEDIF($I193-1,R$15+1,"m"),)/12,)-1,)*Index!N$23*(R$15&gt;$I211)*(1-R$12)</f>
        <v>0</v>
      </c>
      <c r="S211" s="747">
        <f>$G211*$H211*(1+$K211)^MAX(ROUNDUP(IFERROR(DATEDIF($I193-1,S$15+1,"m"),)/12,)-1,)*Index!O$23*(S$15&gt;$I211)*(1-S$12)</f>
        <v>0</v>
      </c>
      <c r="T211" s="747">
        <f>$G211*$H211*(1+$K211)^MAX(ROUNDUP(IFERROR(DATEDIF($I193-1,T$15+1,"m"),)/12,)-1,)*Index!P$23*(T$15&gt;$I211)*(1-T$12)</f>
        <v>0</v>
      </c>
      <c r="U211" s="747">
        <f>$G211*$H211*(1+$K211)^MAX(ROUNDUP(IFERROR(DATEDIF($I193-1,U$15+1,"m"),)/12,)-1,)*Index!Q$23*(U$15&gt;$I211)*(1-U$12)</f>
        <v>0</v>
      </c>
      <c r="V211" s="747">
        <f>$G211*$H211*(1+$K211)^MAX(ROUNDUP(IFERROR(DATEDIF($I193-1,V$15+1,"m"),)/12,)-1,)*Index!R$23*(V$15&gt;$I211)*(1-V$12)</f>
        <v>0</v>
      </c>
      <c r="W211" s="747">
        <f>$G211*$H211*(1+$K211)^MAX(ROUNDUP(IFERROR(DATEDIF($I193-1,W$15+1,"m"),)/12,)-1,)*Index!S$23*(W$15&gt;$I211)*(1-W$12)</f>
        <v>0</v>
      </c>
      <c r="X211" s="747">
        <f>$G211*$H211*(1+$K211)^MAX(ROUNDUP(IFERROR(DATEDIF($I193-1,X$15+1,"m"),)/12,)-1,)*Index!T$23*(X$15&gt;$I211)*(1-X$12)</f>
        <v>0</v>
      </c>
      <c r="Y211" s="747">
        <f>$G211*$H211*(1+$K211)^MAX(ROUNDUP(IFERROR(DATEDIF($I193-1,Y$15+1,"m"),)/12,)-1,)*Index!U$23*(Y$15&gt;$I211)*(1-Y$12)</f>
        <v>0</v>
      </c>
      <c r="Z211" s="747">
        <f>$G211*$H211*(1+$K211)^MAX(ROUNDUP(IFERROR(DATEDIF($I193-1,Z$15+1,"m"),)/12,)-1,)*Index!V$23*(Z$15&gt;$I211)*(1-Z$12)</f>
        <v>0</v>
      </c>
      <c r="AA211" s="747">
        <f>$G211*$H211*(1+$K211)^MAX(ROUNDUP(IFERROR(DATEDIF($I193-1,AA$15+1,"m"),)/12,)-1,)*Index!W$23*(AA$15&gt;$I211)*(1-AA$12)</f>
        <v>0</v>
      </c>
      <c r="AB211" s="747">
        <f>$G211*$H211*(1+$K211)^MAX(ROUNDUP(IFERROR(DATEDIF($I193-1,AB$15+1,"m"),)/12,)-1,)*Index!X$23*(AB$15&gt;$I211)*(1-AB$12)</f>
        <v>0</v>
      </c>
      <c r="AC211" s="747">
        <f>$G211*$H211*(1+$K211)^MAX(ROUNDUP(IFERROR(DATEDIF($I193-1,AC$15+1,"m"),)/12,)-1,)*Index!Y$23*(AC$15&gt;$I211)*(1-AC$12)</f>
        <v>0</v>
      </c>
      <c r="AD211" s="747">
        <f>$G211*$H211*(1+$K211)^MAX(ROUNDUP(IFERROR(DATEDIF($I193-1,AD$15+1,"m"),)/12,)-1,)*Index!Z$23*(AD$15&gt;$I211)*(1-AD$12)</f>
        <v>0</v>
      </c>
      <c r="AE211" s="747">
        <f>$G211*$H211*(1+$K211)^MAX(ROUNDUP(IFERROR(DATEDIF($I193-1,AE$15+1,"m"),)/12,)-1,)*Index!AA$23*(AE$15&gt;$I211)*(1-AE$12)</f>
        <v>0</v>
      </c>
      <c r="AF211" s="747">
        <f>$G211*$H211*(1+$K211)^MAX(ROUNDUP(IFERROR(DATEDIF($I193-1,AF$15+1,"m"),)/12,)-1,)*Index!AB$23*(AF$15&gt;$I211)*(1-AF$12)</f>
        <v>0</v>
      </c>
      <c r="AG211" s="747">
        <f>$G211*$H211*(1+$K211)^MAX(ROUNDUP(IFERROR(DATEDIF($I193-1,AG$15+1,"m"),)/12,)-1,)*Index!AC$23*(AG$15&gt;$I211)*(1-AG$12)</f>
        <v>0</v>
      </c>
      <c r="AH211" s="747">
        <f>$G211*$H211*(1+$K211)^MAX(ROUNDUP(IFERROR(DATEDIF($I193-1,AH$15+1,"m"),)/12,)-1,)*Index!AD$23*(AH$15&gt;$I211)*(1-AH$12)</f>
        <v>0</v>
      </c>
      <c r="AI211" s="747">
        <f>$G211*$H211*(1+$K211)^MAX(ROUNDUP(IFERROR(DATEDIF($I193-1,AI$15+1,"m"),)/12,)-1,)*Index!AE$23*(AI$15&gt;$I211)*(1-AI$12)</f>
        <v>0</v>
      </c>
      <c r="AJ211" s="747">
        <f>$G211*$H211*(1+$K211)^MAX(ROUNDUP(IFERROR(DATEDIF($I193-1,AJ$15+1,"m"),)/12,)-1,)*Index!AF$23*(AJ$15&gt;$I211)*(1-AJ$12)</f>
        <v>0</v>
      </c>
      <c r="AK211" s="747">
        <f>$G211*$H211*(1+$K211)^MAX(ROUNDUP(IFERROR(DATEDIF($I193-1,AK$15+1,"m"),)/12,)-1,)*Index!AG$23*(AK$15&gt;$I211)*(1-AK$12)</f>
        <v>0</v>
      </c>
      <c r="AL211" s="747">
        <f>$G211*$H211*(1+$K211)^MAX(ROUNDUP(IFERROR(DATEDIF($I193-1,AL$15+1,"m"),)/12,)-1,)*Index!AH$23*(AL$15&gt;$I211)*(1-AL$12)</f>
        <v>0</v>
      </c>
      <c r="AM211" s="747">
        <f>$G211*$H211*(1+$K211)^MAX(ROUNDUP(IFERROR(DATEDIF($I193-1,AM$15+1,"m"),)/12,)-1,)*Index!AI$23*(AM$15&gt;$I211)*(1-AM$12)</f>
        <v>0</v>
      </c>
      <c r="AN211" s="747">
        <f>$G211*$H211*(1+$K211)^MAX(ROUNDUP(IFERROR(DATEDIF($I193-1,AN$15+1,"m"),)/12,)-1,)*Index!AJ$23*(AN$15&gt;$I211)*(1-AN$12)</f>
        <v>0</v>
      </c>
      <c r="AO211" s="747">
        <f>$G211*$H211*(1+$K211)^MAX(ROUNDUP(IFERROR(DATEDIF($I193-1,AO$15+1,"m"),)/12,)-1,)*Index!AK$23*(AO$15&gt;$I211)*(1-AO$12)</f>
        <v>0</v>
      </c>
      <c r="AP211" s="747">
        <f>$G211*$H211*(1+$K211)^MAX(ROUNDUP(IFERROR(DATEDIF($I193-1,AP$15+1,"m"),)/12,)-1,)*Index!AL$23*(AP$15&gt;$I211)*(1-AP$12)</f>
        <v>0</v>
      </c>
      <c r="AQ211" s="747">
        <f>$G211*$H211*(1+$K211)^MAX(ROUNDUP(IFERROR(DATEDIF($I193-1,AQ$15+1,"m"),)/12,)-1,)*Index!AM$23*(AQ$15&gt;$I211)*(1-AQ$12)</f>
        <v>0</v>
      </c>
      <c r="AR211" s="747">
        <f>$G211*$H211*(1+$K211)^MAX(ROUNDUP(IFERROR(DATEDIF($I193-1,AR$15+1,"m"),)/12,)-1,)*Index!AN$23*(AR$15&gt;$I211)*(1-AR$12)</f>
        <v>0</v>
      </c>
      <c r="AS211" s="747">
        <f>$G211*$H211*(1+$K211)^MAX(ROUNDUP(IFERROR(DATEDIF($I193-1,AS$15+1,"m"),)/12,)-1,)*Index!AO$23*(AS$15&gt;$I211)*(1-AS$12)</f>
        <v>0</v>
      </c>
      <c r="AT211" s="747">
        <f>$G211*$H211*(1+$K211)^MAX(ROUNDUP(IFERROR(DATEDIF($I193-1,AT$15+1,"m"),)/12,)-1,)*Index!AP$23*(AT$15&gt;$I211)*(1-AT$12)</f>
        <v>0</v>
      </c>
      <c r="AU211" s="747">
        <f>$G211*$H211*(1+$K211)^MAX(ROUNDUP(IFERROR(DATEDIF($I193-1,AU$15+1,"m"),)/12,)-1,)*Index!AQ$23*(AU$15&gt;$I211)*(1-AU$12)</f>
        <v>0</v>
      </c>
      <c r="AV211" s="747">
        <f>$G211*$H211*(1+$K211)^MAX(ROUNDUP(IFERROR(DATEDIF($I193-1,AV$15+1,"m"),)/12,)-1,)*Index!AR$23*(AV$15&gt;$I211)*(1-AV$12)</f>
        <v>0</v>
      </c>
      <c r="AW211" s="747">
        <f>$G211*$H211*(1+$K211)^MAX(ROUNDUP(IFERROR(DATEDIF($I193-1,AW$15+1,"m"),)/12,)-1,)*Index!AS$23*(AW$15&gt;$I211)*(1-AW$12)</f>
        <v>0</v>
      </c>
      <c r="AX211" s="747">
        <f>$G211*$H211*(1+$K211)^MAX(ROUNDUP(IFERROR(DATEDIF($I193-1,AX$15+1,"m"),)/12,)-1,)*Index!AT$23*(AX$15&gt;$I211)*(1-AX$12)</f>
        <v>0</v>
      </c>
      <c r="AY211" s="747">
        <f>$G211*$H211*(1+$K211)^MAX(ROUNDUP(IFERROR(DATEDIF($I193-1,AY$15+1,"m"),)/12,)-1,)*Index!AU$23*(AY$15&gt;$I211)*(1-AY$12)</f>
        <v>0</v>
      </c>
      <c r="AZ211" s="747">
        <f>$G211*$H211*(1+$K211)^MAX(ROUNDUP(IFERROR(DATEDIF($I193-1,AZ$15+1,"m"),)/12,)-1,)*Index!AV$23*(AZ$15&gt;$I211)*(1-AZ$12)</f>
        <v>0</v>
      </c>
      <c r="BA211" s="747">
        <f>$G211*$H211*(1+$K211)^MAX(ROUNDUP(IFERROR(DATEDIF($I193-1,BA$15+1,"m"),)/12,)-1,)*Index!AW$23*(BA$15&gt;$I211)*(1-BA$12)</f>
        <v>0</v>
      </c>
      <c r="BB211" s="747">
        <f>$G211*$H211*(1+$K211)^MAX(ROUNDUP(IFERROR(DATEDIF($I193-1,BB$15+1,"m"),)/12,)-1,)*Index!AX$23*(BB$15&gt;$I211)*(1-BB$12)</f>
        <v>0</v>
      </c>
      <c r="BC211" s="747">
        <f>$G211*$H211*(1+$K211)^MAX(ROUNDUP(IFERROR(DATEDIF($I193-1,BC$15+1,"m"),)/12,)-1,)*Index!AY$23*(BC$15&gt;$I211)*(1-BC$12)</f>
        <v>0</v>
      </c>
      <c r="BD211" s="747">
        <f>$G211*$H211*(1+$K211)^MAX(ROUNDUP(IFERROR(DATEDIF($I193-1,BD$15+1,"m"),)/12,)-1,)*Index!AZ$23*(BD$15&gt;$I211)*(1-BD$12)</f>
        <v>0</v>
      </c>
      <c r="BE211" s="747">
        <f>$G211*$H211*(1+$K211)^MAX(ROUNDUP(IFERROR(DATEDIF($I193-1,BE$15+1,"m"),)/12,)-1,)*Index!BA$23*(BE$15&gt;$I211)*(1-BE$12)</f>
        <v>0</v>
      </c>
      <c r="BF211" s="747">
        <f>$G211*$H211*(1+$K211)^MAX(ROUNDUP(IFERROR(DATEDIF($I193-1,BF$15+1,"m"),)/12,)-1,)*Index!BB$23*(BF$15&gt;$I211)*(1-BF$12)</f>
        <v>0</v>
      </c>
      <c r="BG211" s="747">
        <f>$G211*$H211*(1+$K211)^MAX(ROUNDUP(IFERROR(DATEDIF($I193-1,BG$15+1,"m"),)/12,)-1,)*Index!BC$23*(BG$15&gt;$I211)*(1-BG$12)</f>
        <v>0</v>
      </c>
      <c r="BH211" s="747">
        <f>$G211*$H211*(1+$K211)^MAX(ROUNDUP(IFERROR(DATEDIF($I193-1,BH$15+1,"m"),)/12,)-1,)*Index!BD$23*(BH$15&gt;$I211)*(1-BH$12)</f>
        <v>0</v>
      </c>
      <c r="BI211" s="747">
        <f>$G211*$H211*(1+$K211)^MAX(ROUNDUP(IFERROR(DATEDIF($I193-1,BI$15+1,"m"),)/12,)-1,)*Index!BE$23*(BI$15&gt;$I211)*(1-BI$12)</f>
        <v>0</v>
      </c>
      <c r="BJ211" s="747">
        <f>$G211*$H211*(1+$K211)^MAX(ROUNDUP(IFERROR(DATEDIF($I193-1,BJ$15+1,"m"),)/12,)-1,)*Index!BF$23*(BJ$15&gt;$I211)*(1-BJ$12)</f>
        <v>0</v>
      </c>
      <c r="BK211" s="747">
        <f>$G211*$H211*(1+$K211)^MAX(ROUNDUP(IFERROR(DATEDIF($I193-1,BK$15+1,"m"),)/12,)-1,)*Index!BG$23*(BK$15&gt;$I211)*(1-BK$12)</f>
        <v>0</v>
      </c>
      <c r="BL211" s="747">
        <f>$G211*$H211*(1+$K211)^MAX(ROUNDUP(IFERROR(DATEDIF($I193-1,BL$15+1,"m"),)/12,)-1,)*Index!BH$23*(BL$15&gt;$I211)*(1-BL$12)</f>
        <v>0</v>
      </c>
      <c r="BM211" s="747">
        <f>$G211*$H211*(1+$K211)^MAX(ROUNDUP(IFERROR(DATEDIF($I193-1,BM$15+1,"m"),)/12,)-1,)*Index!BI$23*(BM$15&gt;$I211)*(1-BM$12)</f>
        <v>0</v>
      </c>
      <c r="BN211" s="747">
        <f>$G211*$H211*(1+$K211)^MAX(ROUNDUP(IFERROR(DATEDIF($I193-1,BN$15+1,"m"),)/12,)-1,)*Index!BJ$23*(BN$15&gt;$I211)*(1-BN$12)</f>
        <v>0</v>
      </c>
      <c r="BO211" s="747">
        <f>$G211*$H211*(1+$K211)^MAX(ROUNDUP(IFERROR(DATEDIF($I193-1,BO$15+1,"m"),)/12,)-1,)*Index!BK$23*(BO$15&gt;$I211)*(1-BO$12)</f>
        <v>0</v>
      </c>
      <c r="BP211" s="747">
        <f>$G211*$H211*(1+$K211)^MAX(ROUNDUP(IFERROR(DATEDIF($I193-1,BP$15+1,"m"),)/12,)-1,)*Index!BL$23*(BP$15&gt;$I211)*(1-BP$12)</f>
        <v>0</v>
      </c>
      <c r="BQ211" s="747">
        <f>$G211*$H211*(1+$K211)^MAX(ROUNDUP(IFERROR(DATEDIF($I193-1,BQ$15+1,"m"),)/12,)-1,)*Index!BM$23*(BQ$15&gt;$I211)*(1-BQ$12)</f>
        <v>0</v>
      </c>
      <c r="BR211" s="747">
        <f>$G211*$H211*(1+$K211)^MAX(ROUNDUP(IFERROR(DATEDIF($I193-1,BR$15+1,"m"),)/12,)-1,)*Index!BN$23*(BR$15&gt;$I211)*(1-BR$12)</f>
        <v>0</v>
      </c>
      <c r="BS211" s="747">
        <f>$G211*$H211*(1+$K211)^MAX(ROUNDUP(IFERROR(DATEDIF($I193-1,BS$15+1,"m"),)/12,)-1,)*Index!BO$23*(BS$15&gt;$I211)*(1-BS$12)</f>
        <v>0</v>
      </c>
      <c r="BT211" s="747">
        <f>$G211*$H211*(1+$K211)^MAX(ROUNDUP(IFERROR(DATEDIF($I193-1,BT$15+1,"m"),)/12,)-1,)*Index!BP$23*(BT$15&gt;$I211)*(1-BT$12)</f>
        <v>0</v>
      </c>
      <c r="BU211" s="747">
        <f>$G211*$H211*(1+$K211)^MAX(ROUNDUP(IFERROR(DATEDIF($I193-1,BU$15+1,"m"),)/12,)-1,)*Index!BQ$23*(BU$15&gt;$I211)*(1-BU$12)</f>
        <v>0</v>
      </c>
      <c r="BV211" s="747">
        <f>$G211*$H211*(1+$K211)^MAX(ROUNDUP(IFERROR(DATEDIF($I193-1,BV$15+1,"m"),)/12,)-1,)*Index!BR$23*(BV$15&gt;$I211)*(1-BV$12)</f>
        <v>0</v>
      </c>
      <c r="BW211" s="747">
        <f>$G211*$H211*(1+$K211)^MAX(ROUNDUP(IFERROR(DATEDIF($I193-1,BW$15+1,"m"),)/12,)-1,)*Index!BS$23*(BW$15&gt;$I211)*(1-BW$12)</f>
        <v>0</v>
      </c>
      <c r="BX211" s="747">
        <f>$G211*$H211*(1+$K211)^MAX(ROUNDUP(IFERROR(DATEDIF($I193-1,BX$15+1,"m"),)/12,)-1,)*Index!BT$23*(BX$15&gt;$I211)*(1-BX$12)</f>
        <v>0</v>
      </c>
      <c r="BY211" s="747">
        <f>$G211*$H211*(1+$K211)^MAX(ROUNDUP(IFERROR(DATEDIF($I193-1,BY$15+1,"m"),)/12,)-1,)*Index!BU$23*(BY$15&gt;$I211)*(1-BY$12)</f>
        <v>0</v>
      </c>
      <c r="BZ211" s="747">
        <f>$G211*$H211*(1+$K211)^MAX(ROUNDUP(IFERROR(DATEDIF($I193-1,BZ$15+1,"m"),)/12,)-1,)*Index!BV$23*(BZ$15&gt;$I211)*(1-BZ$12)</f>
        <v>0</v>
      </c>
      <c r="CA211" s="747">
        <f>$G211*$H211*(1+$K211)^MAX(ROUNDUP(IFERROR(DATEDIF($I193-1,CA$15+1,"m"),)/12,)-1,)*Index!BW$23*(CA$15&gt;$I211)*(1-CA$12)</f>
        <v>0</v>
      </c>
      <c r="CB211" s="747">
        <f>$G211*$H211*(1+$K211)^MAX(ROUNDUP(IFERROR(DATEDIF($I193-1,CB$15+1,"m"),)/12,)-1,)*Index!BX$23*(CB$15&gt;$I211)*(1-CB$12)</f>
        <v>0</v>
      </c>
      <c r="CC211" s="747">
        <f>$G211*$H211*(1+$K211)^MAX(ROUNDUP(IFERROR(DATEDIF($I193-1,CC$15+1,"m"),)/12,)-1,)*Index!BY$23*(CC$15&gt;$I211)*(1-CC$12)</f>
        <v>0</v>
      </c>
      <c r="CD211" s="747">
        <f>$G211*$H211*(1+$K211)^MAX(ROUNDUP(IFERROR(DATEDIF($I193-1,CD$15+1,"m"),)/12,)-1,)*Index!BZ$23*(CD$15&gt;$I211)*(1-CD$12)</f>
        <v>0</v>
      </c>
      <c r="CE211" s="747">
        <f>$G211*$H211*(1+$K211)^MAX(ROUNDUP(IFERROR(DATEDIF($I193-1,CE$15+1,"m"),)/12,)-1,)*Index!CA$23*(CE$15&gt;$I211)*(1-CE$12)</f>
        <v>0</v>
      </c>
      <c r="CF211" s="747">
        <f>$G211*$H211*(1+$K211)^MAX(ROUNDUP(IFERROR(DATEDIF($I193-1,CF$15+1,"m"),)/12,)-1,)*Index!CB$23*(CF$15&gt;$I211)*(1-CF$12)</f>
        <v>0</v>
      </c>
      <c r="CG211" s="747">
        <f>$G211*$H211*(1+$K211)^MAX(ROUNDUP(IFERROR(DATEDIF($I193-1,CG$15+1,"m"),)/12,)-1,)*Index!CC$23*(CG$15&gt;$I211)*(1-CG$12)</f>
        <v>0</v>
      </c>
      <c r="CH211" s="747">
        <f>$G211*$H211*(1+$K211)^MAX(ROUNDUP(IFERROR(DATEDIF($I193-1,CH$15+1,"m"),)/12,)-1,)*Index!CD$23*(CH$15&gt;$I211)*(1-CH$12)</f>
        <v>0</v>
      </c>
      <c r="CI211" s="747">
        <f>$G211*$H211*(1+$K211)^MAX(ROUNDUP(IFERROR(DATEDIF($I193-1,CI$15+1,"m"),)/12,)-1,)*Index!CE$23*(CI$15&gt;$I211)*(1-CI$12)</f>
        <v>0</v>
      </c>
      <c r="CJ211" s="747">
        <f>$G211*$H211*(1+$K211)^MAX(ROUNDUP(IFERROR(DATEDIF($I193-1,CJ$15+1,"m"),)/12,)-1,)*Index!CF$23*(CJ$15&gt;$I211)*(1-CJ$12)</f>
        <v>0</v>
      </c>
      <c r="CK211" s="747">
        <f>$G211*$H211*(1+$K211)^MAX(ROUNDUP(IFERROR(DATEDIF($I193-1,CK$15+1,"m"),)/12,)-1,)*Index!CG$23*(CK$15&gt;$I211)*(1-CK$12)</f>
        <v>0</v>
      </c>
      <c r="CL211" s="747">
        <f>$G211*$H211*(1+$K211)^MAX(ROUNDUP(IFERROR(DATEDIF($I193-1,CL$15+1,"m"),)/12,)-1,)*Index!CH$23*(CL$15&gt;$I211)*(1-CL$12)</f>
        <v>0</v>
      </c>
      <c r="CM211" s="747">
        <f>$G211*$H211*(1+$K211)^MAX(ROUNDUP(IFERROR(DATEDIF($I193-1,CM$15+1,"m"),)/12,)-1,)*Index!CI$23*(CM$15&gt;$I211)*(1-CM$12)</f>
        <v>0</v>
      </c>
      <c r="CN211" s="747">
        <f>$G211*$H211*(1+$K211)^MAX(ROUNDUP(IFERROR(DATEDIF($I193-1,CN$15+1,"m"),)/12,)-1,)*Index!CJ$23*(CN$15&gt;$I211)*(1-CN$12)</f>
        <v>0</v>
      </c>
      <c r="CO211" s="747">
        <f>$G211*$H211*(1+$K211)^MAX(ROUNDUP(IFERROR(DATEDIF($I193-1,CO$15+1,"m"),)/12,)-1,)*Index!CK$23*(CO$15&gt;$I211)*(1-CO$12)</f>
        <v>0</v>
      </c>
      <c r="CP211" s="747">
        <f>$G211*$H211*(1+$K211)^MAX(ROUNDUP(IFERROR(DATEDIF($I193-1,CP$15+1,"m"),)/12,)-1,)*Index!CL$23*(CP$15&gt;$I211)*(1-CP$12)</f>
        <v>0</v>
      </c>
      <c r="CQ211" s="747">
        <f>$G211*$H211*(1+$K211)^MAX(ROUNDUP(IFERROR(DATEDIF($I193-1,CQ$15+1,"m"),)/12,)-1,)*Index!CM$23*(CQ$15&gt;$I211)*(1-CQ$12)</f>
        <v>0</v>
      </c>
      <c r="CR211" s="747">
        <f>$G211*$H211*(1+$K211)^MAX(ROUNDUP(IFERROR(DATEDIF($I193-1,CR$15+1,"m"),)/12,)-1,)*Index!CN$23*(CR$15&gt;$I211)*(1-CR$12)</f>
        <v>0</v>
      </c>
      <c r="CS211" s="747">
        <f>$G211*$H211*(1+$K211)^MAX(ROUNDUP(IFERROR(DATEDIF($I193-1,CS$15+1,"m"),)/12,)-1,)*Index!CO$23*(CS$15&gt;$I211)*(1-CS$12)</f>
        <v>0</v>
      </c>
      <c r="CT211" s="747">
        <f>$G211*$H211*(1+$K211)^MAX(ROUNDUP(IFERROR(DATEDIF($I193-1,CT$15+1,"m"),)/12,)-1,)*Index!CP$23*(CT$15&gt;$I211)*(1-CT$12)</f>
        <v>0</v>
      </c>
      <c r="CU211" s="747">
        <f>$G211*$H211*(1+$K211)^MAX(ROUNDUP(IFERROR(DATEDIF($I193-1,CU$15+1,"m"),)/12,)-1,)*Index!CQ$23*(CU$15&gt;$I211)*(1-CU$12)</f>
        <v>0</v>
      </c>
      <c r="CV211" s="747">
        <f>$G211*$H211*(1+$K211)^MAX(ROUNDUP(IFERROR(DATEDIF($I193-1,CV$15+1,"m"),)/12,)-1,)*Index!CR$23*(CV$15&gt;$I211)*(1-CV$12)</f>
        <v>0</v>
      </c>
      <c r="CW211" s="747">
        <f>$G211*$H211*(1+$K211)^MAX(ROUNDUP(IFERROR(DATEDIF($I193-1,CW$15+1,"m"),)/12,)-1,)*Index!CS$23*(CW$15&gt;$I211)*(1-CW$12)</f>
        <v>0</v>
      </c>
      <c r="CX211" s="747">
        <f>$G211*$H211*(1+$K211)^MAX(ROUNDUP(IFERROR(DATEDIF($I193-1,CX$15+1,"m"),)/12,)-1,)*Index!CT$23*(CX$15&gt;$I211)*(1-CX$12)</f>
        <v>0</v>
      </c>
      <c r="CY211" s="747">
        <f>$G211*$H211*(1+$K211)^MAX(ROUNDUP(IFERROR(DATEDIF($I193-1,CY$15+1,"m"),)/12,)-1,)*Index!CU$23*(CY$15&gt;$I211)*(1-CY$12)</f>
        <v>0</v>
      </c>
      <c r="CZ211" s="747">
        <f>$G211*$H211*(1+$K211)^MAX(ROUNDUP(IFERROR(DATEDIF($I193-1,CZ$15+1,"m"),)/12,)-1,)*Index!CV$23*(CZ$15&gt;$I211)*(1-CZ$12)</f>
        <v>0</v>
      </c>
      <c r="DA211" s="747">
        <f>$G211*$H211*(1+$K211)^MAX(ROUNDUP(IFERROR(DATEDIF($I193-1,DA$15+1,"m"),)/12,)-1,)*Index!CW$23*(DA$15&gt;$I211)*(1-DA$12)</f>
        <v>0</v>
      </c>
      <c r="DB211" s="747">
        <f>$G211*$H211*(1+$K211)^MAX(ROUNDUP(IFERROR(DATEDIF($I193-1,DB$15+1,"m"),)/12,)-1,)*Index!CX$23*(DB$15&gt;$I211)*(1-DB$12)</f>
        <v>0</v>
      </c>
      <c r="DC211" s="747">
        <f>$G211*$H211*(1+$K211)^MAX(ROUNDUP(IFERROR(DATEDIF($I193-1,DC$15+1,"m"),)/12,)-1,)*Index!CY$23*(DC$15&gt;$I211)*(1-DC$12)</f>
        <v>0</v>
      </c>
      <c r="DD211" s="747">
        <f>$G211*$H211*(1+$K211)^MAX(ROUNDUP(IFERROR(DATEDIF($I193-1,DD$15+1,"m"),)/12,)-1,)*Index!CZ$23*(DD$15&gt;$I211)*(1-DD$12)</f>
        <v>0</v>
      </c>
      <c r="DE211" s="747">
        <f>$G211*$H211*(1+$K211)^MAX(ROUNDUP(IFERROR(DATEDIF($I193-1,DE$15+1,"m"),)/12,)-1,)*Index!DA$23*(DE$15&gt;$I211)*(1-DE$12)</f>
        <v>0</v>
      </c>
      <c r="DF211" s="747">
        <f>$G211*$H211*(1+$K211)^MAX(ROUNDUP(IFERROR(DATEDIF($I193-1,DF$15+1,"m"),)/12,)-1,)*Index!DB$23*(DF$15&gt;$I211)*(1-DF$12)</f>
        <v>0</v>
      </c>
      <c r="DG211" s="747">
        <f>$G211*$H211*(1+$K211)^MAX(ROUNDUP(IFERROR(DATEDIF($I193-1,DG$15+1,"m"),)/12,)-1,)*Index!DC$23*(DG$15&gt;$I211)*(1-DG$12)</f>
        <v>0</v>
      </c>
      <c r="DH211" s="747">
        <f>$G211*$H211*(1+$K211)^MAX(ROUNDUP(IFERROR(DATEDIF($I193-1,DH$15+1,"m"),)/12,)-1,)*Index!DD$23*(DH$15&gt;$I211)*(1-DH$12)</f>
        <v>0</v>
      </c>
      <c r="DI211" s="747">
        <f>$G211*$H211*(1+$K211)^MAX(ROUNDUP(IFERROR(DATEDIF($I193-1,DI$15+1,"m"),)/12,)-1,)*Index!DE$23*(DI$15&gt;$I211)*(1-DI$12)</f>
        <v>0</v>
      </c>
      <c r="DJ211" s="747">
        <f>$G211*$H211*(1+$K211)^MAX(ROUNDUP(IFERROR(DATEDIF($I193-1,DJ$15+1,"m"),)/12,)-1,)*Index!DF$23*(DJ$15&gt;$I211)*(1-DJ$12)</f>
        <v>0</v>
      </c>
      <c r="DK211" s="747">
        <f>$G211*$H211*(1+$K211)^MAX(ROUNDUP(IFERROR(DATEDIF($I193-1,DK$15+1,"m"),)/12,)-1,)*Index!DG$23*(DK$15&gt;$I211)*(1-DK$12)</f>
        <v>0</v>
      </c>
      <c r="DL211" s="747">
        <f>$G211*$H211*(1+$K211)^MAX(ROUNDUP(IFERROR(DATEDIF($I193-1,DL$15+1,"m"),)/12,)-1,)*Index!DH$23*(DL$15&gt;$I211)*(1-DL$12)</f>
        <v>0</v>
      </c>
      <c r="DM211" s="747">
        <f>$G211*$H211*(1+$K211)^MAX(ROUNDUP(IFERROR(DATEDIF($I193-1,DM$15+1,"m"),)/12,)-1,)*Index!DI$23*(DM$15&gt;$I211)*(1-DM$12)</f>
        <v>0</v>
      </c>
      <c r="DN211" s="747">
        <f>$G211*$H211*(1+$K211)^MAX(ROUNDUP(IFERROR(DATEDIF($I193-1,DN$15+1,"m"),)/12,)-1,)*Index!DJ$23*(DN$15&gt;$I211)*(1-DN$12)</f>
        <v>0</v>
      </c>
      <c r="DO211" s="747">
        <f>$G211*$H211*(1+$K211)^MAX(ROUNDUP(IFERROR(DATEDIF($I193-1,DO$15+1,"m"),)/12,)-1,)*Index!DK$23*(DO$15&gt;$I211)*(1-DO$12)</f>
        <v>0</v>
      </c>
      <c r="DP211" s="747">
        <f>$G211*$H211*(1+$K211)^MAX(ROUNDUP(IFERROR(DATEDIF($I193-1,DP$15+1,"m"),)/12,)-1,)*Index!DL$23*(DP$15&gt;$I211)*(1-DP$12)</f>
        <v>0</v>
      </c>
      <c r="DQ211" s="747">
        <f>$G211*$H211*(1+$K211)^MAX(ROUNDUP(IFERROR(DATEDIF($I193-1,DQ$15+1,"m"),)/12,)-1,)*Index!DM$23*(DQ$15&gt;$I211)*(1-DQ$12)</f>
        <v>0</v>
      </c>
      <c r="DR211" s="747">
        <f>$G211*$H211*(1+$K211)^MAX(ROUNDUP(IFERROR(DATEDIF($I193-1,DR$15+1,"m"),)/12,)-1,)*Index!DN$23*(DR$15&gt;$I211)*(1-DR$12)</f>
        <v>0</v>
      </c>
      <c r="DS211" s="747">
        <f>$G211*$H211*(1+$K211)^MAX(ROUNDUP(IFERROR(DATEDIF($I193-1,DS$15+1,"m"),)/12,)-1,)*Index!DO$23*(DS$15&gt;$I211)*(1-DS$12)</f>
        <v>0</v>
      </c>
      <c r="DT211" s="747">
        <f>$G211*$H211*(1+$K211)^MAX(ROUNDUP(IFERROR(DATEDIF($I193-1,DT$15+1,"m"),)/12,)-1,)*Index!DP$23*(DT$15&gt;$I211)*(1-DT$12)</f>
        <v>0</v>
      </c>
      <c r="DU211" s="747">
        <f>$G211*$H211*(1+$K211)^MAX(ROUNDUP(IFERROR(DATEDIF($I193-1,DU$15+1,"m"),)/12,)-1,)*Index!DQ$23*(DU$15&gt;$I211)*(1-DU$12)</f>
        <v>0</v>
      </c>
      <c r="DV211" s="747">
        <f>$G211*$H211*(1+$K211)^MAX(ROUNDUP(IFERROR(DATEDIF($I193-1,DV$15+1,"m"),)/12,)-1,)*Index!DR$23*(DV$15&gt;$I211)*(1-DV$12)</f>
        <v>0</v>
      </c>
      <c r="DW211" s="747">
        <f>$G211*$H211*(1+$K211)^MAX(ROUNDUP(IFERROR(DATEDIF($I193-1,DW$15+1,"m"),)/12,)-1,)*Index!DS$23*(DW$15&gt;$I211)*(1-DW$12)</f>
        <v>0</v>
      </c>
      <c r="DX211" s="747">
        <f>$G211*$H211*(1+$K211)^MAX(ROUNDUP(IFERROR(DATEDIF($I193-1,DX$15+1,"m"),)/12,)-1,)*Index!DT$23*(DX$15&gt;$I211)*(1-DX$12)</f>
        <v>0</v>
      </c>
      <c r="DY211" s="747">
        <f>$G211*$H211*(1+$K211)^MAX(ROUNDUP(IFERROR(DATEDIF($I193-1,DY$15+1,"m"),)/12,)-1,)*Index!DU$23*(DY$15&gt;$I211)*(1-DY$12)</f>
        <v>0</v>
      </c>
      <c r="DZ211" s="747">
        <f>$G211*$H211*(1+$K211)^MAX(ROUNDUP(IFERROR(DATEDIF($I193-1,DZ$15+1,"m"),)/12,)-1,)*Index!DV$23*(DZ$15&gt;$I211)*(1-DZ$12)</f>
        <v>0</v>
      </c>
      <c r="EA211" s="747">
        <f>$G211*$H211*(1+$K211)^MAX(ROUNDUP(IFERROR(DATEDIF($I193-1,EA$15+1,"m"),)/12,)-1,)*Index!DW$23*(EA$15&gt;$I211)*(1-EA$12)</f>
        <v>0</v>
      </c>
      <c r="EB211" s="747">
        <f>$G211*$H211*(1+$K211)^MAX(ROUNDUP(IFERROR(DATEDIF($I193-1,EB$15+1,"m"),)/12,)-1,)*Index!DX$23*(EB$15&gt;$I211)*(1-EB$12)</f>
        <v>0</v>
      </c>
      <c r="EC211" s="747">
        <f>$G211*$H211*(1+$K211)^MAX(ROUNDUP(IFERROR(DATEDIF($I193-1,EC$15+1,"m"),)/12,)-1,)*Index!DY$23*(EC$15&gt;$I211)*(1-EC$12)</f>
        <v>0</v>
      </c>
      <c r="ED211" s="747">
        <f>$G211*$H211*(1+$K211)^MAX(ROUNDUP(IFERROR(DATEDIF($I193-1,ED$15+1,"m"),)/12,)-1,)*Index!DZ$23*(ED$15&gt;$I211)*(1-ED$12)</f>
        <v>0</v>
      </c>
      <c r="EE211" s="747">
        <f>$G211*$H211*(1+$K211)^MAX(ROUNDUP(IFERROR(DATEDIF($I193-1,EE$15+1,"m"),)/12,)-1,)*Index!EA$23*(EE$15&gt;$I211)*(1-EE$12)</f>
        <v>0</v>
      </c>
      <c r="EF211" s="747">
        <f>$G211*$H211*(1+$K211)^MAX(ROUNDUP(IFERROR(DATEDIF($I193-1,EF$15+1,"m"),)/12,)-1,)*Index!EB$23*(EF$15&gt;$I211)*(1-EF$12)</f>
        <v>0</v>
      </c>
      <c r="EG211" s="747">
        <f>$G211*$H211*(1+$K211)^MAX(ROUNDUP(IFERROR(DATEDIF($I193-1,EG$15+1,"m"),)/12,)-1,)*Index!EC$23*(EG$15&gt;$I211)*(1-EG$12)</f>
        <v>541.51416473138499</v>
      </c>
      <c r="EH211" s="747">
        <f>$G211*$H211*(1+$K211)^MAX(ROUNDUP(IFERROR(DATEDIF($I193-1,EH$15+1,"m"),)/12,)-1,)*Index!ED$23*(EH$15&gt;$I211)*(1-EH$12)</f>
        <v>541.51416473138499</v>
      </c>
      <c r="EI211" s="747">
        <f>$G211*$H211*(1+$K211)^MAX(ROUNDUP(IFERROR(DATEDIF($I193-1,EI$15+1,"m"),)/12,)-1,)*Index!EE$23*(EI$15&gt;$I211)*(1-EI$12)</f>
        <v>541.51416473138499</v>
      </c>
      <c r="EJ211" s="747">
        <f>$G211*$H211*(1+$K211)^MAX(ROUNDUP(IFERROR(DATEDIF($I193-1,EJ$15+1,"m"),)/12,)-1,)*Index!EF$23*(EJ$15&gt;$I211)*(1-EJ$12)</f>
        <v>541.51416473138499</v>
      </c>
      <c r="EK211" s="747">
        <f>$G211*$H211*(1+$K211)^MAX(ROUNDUP(IFERROR(DATEDIF($I193-1,EK$15+1,"m"),)/12,)-1,)*Index!EG$23*(EK$15&gt;$I211)*(1-EK$12)</f>
        <v>541.51416473138499</v>
      </c>
      <c r="EL211" s="747">
        <f>$G211*$H211*(1+$K211)^MAX(ROUNDUP(IFERROR(DATEDIF($I193-1,EL$15+1,"m"),)/12,)-1,)*Index!EH$23*(EL$15&gt;$I211)*(1-EL$12)</f>
        <v>541.51416473138499</v>
      </c>
      <c r="EM211" s="747">
        <f>$G211*$H211*(1+$K211)^MAX(ROUNDUP(IFERROR(DATEDIF($I193-1,EM$15+1,"m"),)/12,)-1,)*Index!EI$23*(EM$15&gt;$I211)*(1-EM$12)</f>
        <v>541.51416473138499</v>
      </c>
      <c r="EN211" s="747">
        <f>$G211*$H211*(1+$K211)^MAX(ROUNDUP(IFERROR(DATEDIF($I193-1,EN$15+1,"m"),)/12,)-1,)*Index!EJ$23*(EN$15&gt;$I211)*(1-EN$12)</f>
        <v>541.51416473138499</v>
      </c>
      <c r="EO211" s="747">
        <f>$G211*$H211*(1+$K211)^MAX(ROUNDUP(IFERROR(DATEDIF($I193-1,EO$15+1,"m"),)/12,)-1,)*Index!EK$23*(EO$15&gt;$I211)*(1-EO$12)</f>
        <v>541.51416473138499</v>
      </c>
      <c r="EP211" s="747">
        <f>$G211*$H211*(1+$K211)^MAX(ROUNDUP(IFERROR(DATEDIF($I193-1,EP$15+1,"m"),)/12,)-1,)*Index!EL$23*(EP$15&gt;$I211)*(1-EP$12)</f>
        <v>541.51416473138499</v>
      </c>
      <c r="EQ211" s="747">
        <f>$G211*$H211*(1+$K211)^MAX(ROUNDUP(IFERROR(DATEDIF($I193-1,EQ$15+1,"m"),)/12,)-1,)*Index!EM$23*(EQ$15&gt;$I211)*(1-EQ$12)</f>
        <v>541.51416473138499</v>
      </c>
      <c r="ER211" s="747">
        <f>$G211*$H211*(1+$K211)^MAX(ROUNDUP(IFERROR(DATEDIF($I193-1,ER$15+1,"m"),)/12,)-1,)*Index!EN$23*(ER$15&gt;$I211)*(1-ER$12)</f>
        <v>541.51416473138499</v>
      </c>
      <c r="ES211" s="747">
        <f>$G211*$H211*(1+$K211)^MAX(ROUNDUP(IFERROR(DATEDIF($I193-1,ES$15+1,"m"),)/12,)-1,)*Index!EO$23*(ES$15&gt;$I211)*(1-ES$12)</f>
        <v>0</v>
      </c>
      <c r="ET211" s="747">
        <f>$G211*$H211*(1+$K211)^MAX(ROUNDUP(IFERROR(DATEDIF($I193-1,ET$15+1,"m"),)/12,)-1,)*Index!EP$23*(ET$15&gt;$I211)*(1-ET$12)</f>
        <v>0</v>
      </c>
      <c r="EU211" s="747">
        <f>$G211*$H211*(1+$K211)^MAX(ROUNDUP(IFERROR(DATEDIF($I193-1,EU$15+1,"m"),)/12,)-1,)*Index!EQ$23*(EU$15&gt;$I211)*(1-EU$12)</f>
        <v>0</v>
      </c>
    </row>
    <row r="212" spans="3:151" ht="11.25" customHeight="1">
      <c r="C212" s="828"/>
      <c r="D212" s="743" t="str">
        <f t="shared" ref="D212:I212" si="287">D176</f>
        <v>B1</v>
      </c>
      <c r="E212" s="704" t="str">
        <f t="shared" si="287"/>
        <v>쿠팡</v>
      </c>
      <c r="F212" s="704" t="str">
        <f t="shared" si="287"/>
        <v>상온창고</v>
      </c>
      <c r="G212" s="781">
        <f t="shared" si="287"/>
        <v>2.9900433370455741</v>
      </c>
      <c r="H212" s="744">
        <f t="shared" si="287"/>
        <v>2745.32</v>
      </c>
      <c r="I212" s="745">
        <f t="shared" si="287"/>
        <v>49064</v>
      </c>
      <c r="J212" s="745"/>
      <c r="K212" s="754">
        <f t="shared" si="272"/>
        <v>2.5000000000000001E-2</v>
      </c>
      <c r="L212" s="748"/>
      <c r="M212" s="749"/>
      <c r="N212" s="747">
        <f t="shared" si="273"/>
        <v>131129.96524677979</v>
      </c>
      <c r="O212" s="733"/>
      <c r="P212" s="747">
        <f>$G212*$H212*(1+$K212)^MAX(ROUNDUP(IFERROR(DATEDIF($I194-1,P$15+1,"m"),)/12,)-1,)*Index!L$23*(P$15&gt;$I212)*(1-P$12)</f>
        <v>0</v>
      </c>
      <c r="Q212" s="747">
        <f>$G212*$H212*(1+$K212)^MAX(ROUNDUP(IFERROR(DATEDIF($I194-1,Q$15+1,"m"),)/12,)-1,)*Index!M$23*(Q$15&gt;$I212)*(1-Q$12)</f>
        <v>0</v>
      </c>
      <c r="R212" s="747">
        <f>$G212*$H212*(1+$K212)^MAX(ROUNDUP(IFERROR(DATEDIF($I194-1,R$15+1,"m"),)/12,)-1,)*Index!N$23*(R$15&gt;$I212)*(1-R$12)</f>
        <v>0</v>
      </c>
      <c r="S212" s="747">
        <f>$G212*$H212*(1+$K212)^MAX(ROUNDUP(IFERROR(DATEDIF($I194-1,S$15+1,"m"),)/12,)-1,)*Index!O$23*(S$15&gt;$I212)*(1-S$12)</f>
        <v>0</v>
      </c>
      <c r="T212" s="747">
        <f>$G212*$H212*(1+$K212)^MAX(ROUNDUP(IFERROR(DATEDIF($I194-1,T$15+1,"m"),)/12,)-1,)*Index!P$23*(T$15&gt;$I212)*(1-T$12)</f>
        <v>0</v>
      </c>
      <c r="U212" s="747">
        <f>$G212*$H212*(1+$K212)^MAX(ROUNDUP(IFERROR(DATEDIF($I194-1,U$15+1,"m"),)/12,)-1,)*Index!Q$23*(U$15&gt;$I212)*(1-U$12)</f>
        <v>0</v>
      </c>
      <c r="V212" s="747">
        <f>$G212*$H212*(1+$K212)^MAX(ROUNDUP(IFERROR(DATEDIF($I194-1,V$15+1,"m"),)/12,)-1,)*Index!R$23*(V$15&gt;$I212)*(1-V$12)</f>
        <v>0</v>
      </c>
      <c r="W212" s="747">
        <f>$G212*$H212*(1+$K212)^MAX(ROUNDUP(IFERROR(DATEDIF($I194-1,W$15+1,"m"),)/12,)-1,)*Index!S$23*(W$15&gt;$I212)*(1-W$12)</f>
        <v>0</v>
      </c>
      <c r="X212" s="747">
        <f>$G212*$H212*(1+$K212)^MAX(ROUNDUP(IFERROR(DATEDIF($I194-1,X$15+1,"m"),)/12,)-1,)*Index!T$23*(X$15&gt;$I212)*(1-X$12)</f>
        <v>0</v>
      </c>
      <c r="Y212" s="747">
        <f>$G212*$H212*(1+$K212)^MAX(ROUNDUP(IFERROR(DATEDIF($I194-1,Y$15+1,"m"),)/12,)-1,)*Index!U$23*(Y$15&gt;$I212)*(1-Y$12)</f>
        <v>0</v>
      </c>
      <c r="Z212" s="747">
        <f>$G212*$H212*(1+$K212)^MAX(ROUNDUP(IFERROR(DATEDIF($I194-1,Z$15+1,"m"),)/12,)-1,)*Index!V$23*(Z$15&gt;$I212)*(1-Z$12)</f>
        <v>0</v>
      </c>
      <c r="AA212" s="747">
        <f>$G212*$H212*(1+$K212)^MAX(ROUNDUP(IFERROR(DATEDIF($I194-1,AA$15+1,"m"),)/12,)-1,)*Index!W$23*(AA$15&gt;$I212)*(1-AA$12)</f>
        <v>0</v>
      </c>
      <c r="AB212" s="747">
        <f>$G212*$H212*(1+$K212)^MAX(ROUNDUP(IFERROR(DATEDIF($I194-1,AB$15+1,"m"),)/12,)-1,)*Index!X$23*(AB$15&gt;$I212)*(1-AB$12)</f>
        <v>0</v>
      </c>
      <c r="AC212" s="747">
        <f>$G212*$H212*(1+$K212)^MAX(ROUNDUP(IFERROR(DATEDIF($I194-1,AC$15+1,"m"),)/12,)-1,)*Index!Y$23*(AC$15&gt;$I212)*(1-AC$12)</f>
        <v>0</v>
      </c>
      <c r="AD212" s="747">
        <f>$G212*$H212*(1+$K212)^MAX(ROUNDUP(IFERROR(DATEDIF($I194-1,AD$15+1,"m"),)/12,)-1,)*Index!Z$23*(AD$15&gt;$I212)*(1-AD$12)</f>
        <v>0</v>
      </c>
      <c r="AE212" s="747">
        <f>$G212*$H212*(1+$K212)^MAX(ROUNDUP(IFERROR(DATEDIF($I194-1,AE$15+1,"m"),)/12,)-1,)*Index!AA$23*(AE$15&gt;$I212)*(1-AE$12)</f>
        <v>0</v>
      </c>
      <c r="AF212" s="747">
        <f>$G212*$H212*(1+$K212)^MAX(ROUNDUP(IFERROR(DATEDIF($I194-1,AF$15+1,"m"),)/12,)-1,)*Index!AB$23*(AF$15&gt;$I212)*(1-AF$12)</f>
        <v>0</v>
      </c>
      <c r="AG212" s="747">
        <f>$G212*$H212*(1+$K212)^MAX(ROUNDUP(IFERROR(DATEDIF($I194-1,AG$15+1,"m"),)/12,)-1,)*Index!AC$23*(AG$15&gt;$I212)*(1-AG$12)</f>
        <v>0</v>
      </c>
      <c r="AH212" s="747">
        <f>$G212*$H212*(1+$K212)^MAX(ROUNDUP(IFERROR(DATEDIF($I194-1,AH$15+1,"m"),)/12,)-1,)*Index!AD$23*(AH$15&gt;$I212)*(1-AH$12)</f>
        <v>0</v>
      </c>
      <c r="AI212" s="747">
        <f>$G212*$H212*(1+$K212)^MAX(ROUNDUP(IFERROR(DATEDIF($I194-1,AI$15+1,"m"),)/12,)-1,)*Index!AE$23*(AI$15&gt;$I212)*(1-AI$12)</f>
        <v>0</v>
      </c>
      <c r="AJ212" s="747">
        <f>$G212*$H212*(1+$K212)^MAX(ROUNDUP(IFERROR(DATEDIF($I194-1,AJ$15+1,"m"),)/12,)-1,)*Index!AF$23*(AJ$15&gt;$I212)*(1-AJ$12)</f>
        <v>0</v>
      </c>
      <c r="AK212" s="747">
        <f>$G212*$H212*(1+$K212)^MAX(ROUNDUP(IFERROR(DATEDIF($I194-1,AK$15+1,"m"),)/12,)-1,)*Index!AG$23*(AK$15&gt;$I212)*(1-AK$12)</f>
        <v>0</v>
      </c>
      <c r="AL212" s="747">
        <f>$G212*$H212*(1+$K212)^MAX(ROUNDUP(IFERROR(DATEDIF($I194-1,AL$15+1,"m"),)/12,)-1,)*Index!AH$23*(AL$15&gt;$I212)*(1-AL$12)</f>
        <v>0</v>
      </c>
      <c r="AM212" s="747">
        <f>$G212*$H212*(1+$K212)^MAX(ROUNDUP(IFERROR(DATEDIF($I194-1,AM$15+1,"m"),)/12,)-1,)*Index!AI$23*(AM$15&gt;$I212)*(1-AM$12)</f>
        <v>0</v>
      </c>
      <c r="AN212" s="747">
        <f>$G212*$H212*(1+$K212)^MAX(ROUNDUP(IFERROR(DATEDIF($I194-1,AN$15+1,"m"),)/12,)-1,)*Index!AJ$23*(AN$15&gt;$I212)*(1-AN$12)</f>
        <v>0</v>
      </c>
      <c r="AO212" s="747">
        <f>$G212*$H212*(1+$K212)^MAX(ROUNDUP(IFERROR(DATEDIF($I194-1,AO$15+1,"m"),)/12,)-1,)*Index!AK$23*(AO$15&gt;$I212)*(1-AO$12)</f>
        <v>0</v>
      </c>
      <c r="AP212" s="747">
        <f>$G212*$H212*(1+$K212)^MAX(ROUNDUP(IFERROR(DATEDIF($I194-1,AP$15+1,"m"),)/12,)-1,)*Index!AL$23*(AP$15&gt;$I212)*(1-AP$12)</f>
        <v>0</v>
      </c>
      <c r="AQ212" s="747">
        <f>$G212*$H212*(1+$K212)^MAX(ROUNDUP(IFERROR(DATEDIF($I194-1,AQ$15+1,"m"),)/12,)-1,)*Index!AM$23*(AQ$15&gt;$I212)*(1-AQ$12)</f>
        <v>0</v>
      </c>
      <c r="AR212" s="747">
        <f>$G212*$H212*(1+$K212)^MAX(ROUNDUP(IFERROR(DATEDIF($I194-1,AR$15+1,"m"),)/12,)-1,)*Index!AN$23*(AR$15&gt;$I212)*(1-AR$12)</f>
        <v>0</v>
      </c>
      <c r="AS212" s="747">
        <f>$G212*$H212*(1+$K212)^MAX(ROUNDUP(IFERROR(DATEDIF($I194-1,AS$15+1,"m"),)/12,)-1,)*Index!AO$23*(AS$15&gt;$I212)*(1-AS$12)</f>
        <v>0</v>
      </c>
      <c r="AT212" s="747">
        <f>$G212*$H212*(1+$K212)^MAX(ROUNDUP(IFERROR(DATEDIF($I194-1,AT$15+1,"m"),)/12,)-1,)*Index!AP$23*(AT$15&gt;$I212)*(1-AT$12)</f>
        <v>0</v>
      </c>
      <c r="AU212" s="747">
        <f>$G212*$H212*(1+$K212)^MAX(ROUNDUP(IFERROR(DATEDIF($I194-1,AU$15+1,"m"),)/12,)-1,)*Index!AQ$23*(AU$15&gt;$I212)*(1-AU$12)</f>
        <v>0</v>
      </c>
      <c r="AV212" s="747">
        <f>$G212*$H212*(1+$K212)^MAX(ROUNDUP(IFERROR(DATEDIF($I194-1,AV$15+1,"m"),)/12,)-1,)*Index!AR$23*(AV$15&gt;$I212)*(1-AV$12)</f>
        <v>0</v>
      </c>
      <c r="AW212" s="747">
        <f>$G212*$H212*(1+$K212)^MAX(ROUNDUP(IFERROR(DATEDIF($I194-1,AW$15+1,"m"),)/12,)-1,)*Index!AS$23*(AW$15&gt;$I212)*(1-AW$12)</f>
        <v>0</v>
      </c>
      <c r="AX212" s="747">
        <f>$G212*$H212*(1+$K212)^MAX(ROUNDUP(IFERROR(DATEDIF($I194-1,AX$15+1,"m"),)/12,)-1,)*Index!AT$23*(AX$15&gt;$I212)*(1-AX$12)</f>
        <v>0</v>
      </c>
      <c r="AY212" s="747">
        <f>$G212*$H212*(1+$K212)^MAX(ROUNDUP(IFERROR(DATEDIF($I194-1,AY$15+1,"m"),)/12,)-1,)*Index!AU$23*(AY$15&gt;$I212)*(1-AY$12)</f>
        <v>0</v>
      </c>
      <c r="AZ212" s="747">
        <f>$G212*$H212*(1+$K212)^MAX(ROUNDUP(IFERROR(DATEDIF($I194-1,AZ$15+1,"m"),)/12,)-1,)*Index!AV$23*(AZ$15&gt;$I212)*(1-AZ$12)</f>
        <v>0</v>
      </c>
      <c r="BA212" s="747">
        <f>$G212*$H212*(1+$K212)^MAX(ROUNDUP(IFERROR(DATEDIF($I194-1,BA$15+1,"m"),)/12,)-1,)*Index!AW$23*(BA$15&gt;$I212)*(1-BA$12)</f>
        <v>0</v>
      </c>
      <c r="BB212" s="747">
        <f>$G212*$H212*(1+$K212)^MAX(ROUNDUP(IFERROR(DATEDIF($I194-1,BB$15+1,"m"),)/12,)-1,)*Index!AX$23*(BB$15&gt;$I212)*(1-BB$12)</f>
        <v>0</v>
      </c>
      <c r="BC212" s="747">
        <f>$G212*$H212*(1+$K212)^MAX(ROUNDUP(IFERROR(DATEDIF($I194-1,BC$15+1,"m"),)/12,)-1,)*Index!AY$23*(BC$15&gt;$I212)*(1-BC$12)</f>
        <v>0</v>
      </c>
      <c r="BD212" s="747">
        <f>$G212*$H212*(1+$K212)^MAX(ROUNDUP(IFERROR(DATEDIF($I194-1,BD$15+1,"m"),)/12,)-1,)*Index!AZ$23*(BD$15&gt;$I212)*(1-BD$12)</f>
        <v>0</v>
      </c>
      <c r="BE212" s="747">
        <f>$G212*$H212*(1+$K212)^MAX(ROUNDUP(IFERROR(DATEDIF($I194-1,BE$15+1,"m"),)/12,)-1,)*Index!BA$23*(BE$15&gt;$I212)*(1-BE$12)</f>
        <v>0</v>
      </c>
      <c r="BF212" s="747">
        <f>$G212*$H212*(1+$K212)^MAX(ROUNDUP(IFERROR(DATEDIF($I194-1,BF$15+1,"m"),)/12,)-1,)*Index!BB$23*(BF$15&gt;$I212)*(1-BF$12)</f>
        <v>0</v>
      </c>
      <c r="BG212" s="747">
        <f>$G212*$H212*(1+$K212)^MAX(ROUNDUP(IFERROR(DATEDIF($I194-1,BG$15+1,"m"),)/12,)-1,)*Index!BC$23*(BG$15&gt;$I212)*(1-BG$12)</f>
        <v>0</v>
      </c>
      <c r="BH212" s="747">
        <f>$G212*$H212*(1+$K212)^MAX(ROUNDUP(IFERROR(DATEDIF($I194-1,BH$15+1,"m"),)/12,)-1,)*Index!BD$23*(BH$15&gt;$I212)*(1-BH$12)</f>
        <v>0</v>
      </c>
      <c r="BI212" s="747">
        <f>$G212*$H212*(1+$K212)^MAX(ROUNDUP(IFERROR(DATEDIF($I194-1,BI$15+1,"m"),)/12,)-1,)*Index!BE$23*(BI$15&gt;$I212)*(1-BI$12)</f>
        <v>0</v>
      </c>
      <c r="BJ212" s="747">
        <f>$G212*$H212*(1+$K212)^MAX(ROUNDUP(IFERROR(DATEDIF($I194-1,BJ$15+1,"m"),)/12,)-1,)*Index!BF$23*(BJ$15&gt;$I212)*(1-BJ$12)</f>
        <v>0</v>
      </c>
      <c r="BK212" s="747">
        <f>$G212*$H212*(1+$K212)^MAX(ROUNDUP(IFERROR(DATEDIF($I194-1,BK$15+1,"m"),)/12,)-1,)*Index!BG$23*(BK$15&gt;$I212)*(1-BK$12)</f>
        <v>0</v>
      </c>
      <c r="BL212" s="747">
        <f>$G212*$H212*(1+$K212)^MAX(ROUNDUP(IFERROR(DATEDIF($I194-1,BL$15+1,"m"),)/12,)-1,)*Index!BH$23*(BL$15&gt;$I212)*(1-BL$12)</f>
        <v>0</v>
      </c>
      <c r="BM212" s="747">
        <f>$G212*$H212*(1+$K212)^MAX(ROUNDUP(IFERROR(DATEDIF($I194-1,BM$15+1,"m"),)/12,)-1,)*Index!BI$23*(BM$15&gt;$I212)*(1-BM$12)</f>
        <v>0</v>
      </c>
      <c r="BN212" s="747">
        <f>$G212*$H212*(1+$K212)^MAX(ROUNDUP(IFERROR(DATEDIF($I194-1,BN$15+1,"m"),)/12,)-1,)*Index!BJ$23*(BN$15&gt;$I212)*(1-BN$12)</f>
        <v>0</v>
      </c>
      <c r="BO212" s="747">
        <f>$G212*$H212*(1+$K212)^MAX(ROUNDUP(IFERROR(DATEDIF($I194-1,BO$15+1,"m"),)/12,)-1,)*Index!BK$23*(BO$15&gt;$I212)*(1-BO$12)</f>
        <v>0</v>
      </c>
      <c r="BP212" s="747">
        <f>$G212*$H212*(1+$K212)^MAX(ROUNDUP(IFERROR(DATEDIF($I194-1,BP$15+1,"m"),)/12,)-1,)*Index!BL$23*(BP$15&gt;$I212)*(1-BP$12)</f>
        <v>0</v>
      </c>
      <c r="BQ212" s="747">
        <f>$G212*$H212*(1+$K212)^MAX(ROUNDUP(IFERROR(DATEDIF($I194-1,BQ$15+1,"m"),)/12,)-1,)*Index!BM$23*(BQ$15&gt;$I212)*(1-BQ$12)</f>
        <v>0</v>
      </c>
      <c r="BR212" s="747">
        <f>$G212*$H212*(1+$K212)^MAX(ROUNDUP(IFERROR(DATEDIF($I194-1,BR$15+1,"m"),)/12,)-1,)*Index!BN$23*(BR$15&gt;$I212)*(1-BR$12)</f>
        <v>0</v>
      </c>
      <c r="BS212" s="747">
        <f>$G212*$H212*(1+$K212)^MAX(ROUNDUP(IFERROR(DATEDIF($I194-1,BS$15+1,"m"),)/12,)-1,)*Index!BO$23*(BS$15&gt;$I212)*(1-BS$12)</f>
        <v>0</v>
      </c>
      <c r="BT212" s="747">
        <f>$G212*$H212*(1+$K212)^MAX(ROUNDUP(IFERROR(DATEDIF($I194-1,BT$15+1,"m"),)/12,)-1,)*Index!BP$23*(BT$15&gt;$I212)*(1-BT$12)</f>
        <v>0</v>
      </c>
      <c r="BU212" s="747">
        <f>$G212*$H212*(1+$K212)^MAX(ROUNDUP(IFERROR(DATEDIF($I194-1,BU$15+1,"m"),)/12,)-1,)*Index!BQ$23*(BU$15&gt;$I212)*(1-BU$12)</f>
        <v>0</v>
      </c>
      <c r="BV212" s="747">
        <f>$G212*$H212*(1+$K212)^MAX(ROUNDUP(IFERROR(DATEDIF($I194-1,BV$15+1,"m"),)/12,)-1,)*Index!BR$23*(BV$15&gt;$I212)*(1-BV$12)</f>
        <v>0</v>
      </c>
      <c r="BW212" s="747">
        <f>$G212*$H212*(1+$K212)^MAX(ROUNDUP(IFERROR(DATEDIF($I194-1,BW$15+1,"m"),)/12,)-1,)*Index!BS$23*(BW$15&gt;$I212)*(1-BW$12)</f>
        <v>0</v>
      </c>
      <c r="BX212" s="747">
        <f>$G212*$H212*(1+$K212)^MAX(ROUNDUP(IFERROR(DATEDIF($I194-1,BX$15+1,"m"),)/12,)-1,)*Index!BT$23*(BX$15&gt;$I212)*(1-BX$12)</f>
        <v>0</v>
      </c>
      <c r="BY212" s="747">
        <f>$G212*$H212*(1+$K212)^MAX(ROUNDUP(IFERROR(DATEDIF($I194-1,BY$15+1,"m"),)/12,)-1,)*Index!BU$23*(BY$15&gt;$I212)*(1-BY$12)</f>
        <v>0</v>
      </c>
      <c r="BZ212" s="747">
        <f>$G212*$H212*(1+$K212)^MAX(ROUNDUP(IFERROR(DATEDIF($I194-1,BZ$15+1,"m"),)/12,)-1,)*Index!BV$23*(BZ$15&gt;$I212)*(1-BZ$12)</f>
        <v>0</v>
      </c>
      <c r="CA212" s="747">
        <f>$G212*$H212*(1+$K212)^MAX(ROUNDUP(IFERROR(DATEDIF($I194-1,CA$15+1,"m"),)/12,)-1,)*Index!BW$23*(CA$15&gt;$I212)*(1-CA$12)</f>
        <v>0</v>
      </c>
      <c r="CB212" s="747">
        <f>$G212*$H212*(1+$K212)^MAX(ROUNDUP(IFERROR(DATEDIF($I194-1,CB$15+1,"m"),)/12,)-1,)*Index!BX$23*(CB$15&gt;$I212)*(1-CB$12)</f>
        <v>0</v>
      </c>
      <c r="CC212" s="747">
        <f>$G212*$H212*(1+$K212)^MAX(ROUNDUP(IFERROR(DATEDIF($I194-1,CC$15+1,"m"),)/12,)-1,)*Index!BY$23*(CC$15&gt;$I212)*(1-CC$12)</f>
        <v>0</v>
      </c>
      <c r="CD212" s="747">
        <f>$G212*$H212*(1+$K212)^MAX(ROUNDUP(IFERROR(DATEDIF($I194-1,CD$15+1,"m"),)/12,)-1,)*Index!BZ$23*(CD$15&gt;$I212)*(1-CD$12)</f>
        <v>0</v>
      </c>
      <c r="CE212" s="747">
        <f>$G212*$H212*(1+$K212)^MAX(ROUNDUP(IFERROR(DATEDIF($I194-1,CE$15+1,"m"),)/12,)-1,)*Index!CA$23*(CE$15&gt;$I212)*(1-CE$12)</f>
        <v>0</v>
      </c>
      <c r="CF212" s="747">
        <f>$G212*$H212*(1+$K212)^MAX(ROUNDUP(IFERROR(DATEDIF($I194-1,CF$15+1,"m"),)/12,)-1,)*Index!CB$23*(CF$15&gt;$I212)*(1-CF$12)</f>
        <v>0</v>
      </c>
      <c r="CG212" s="747">
        <f>$G212*$H212*(1+$K212)^MAX(ROUNDUP(IFERROR(DATEDIF($I194-1,CG$15+1,"m"),)/12,)-1,)*Index!CC$23*(CG$15&gt;$I212)*(1-CG$12)</f>
        <v>0</v>
      </c>
      <c r="CH212" s="747">
        <f>$G212*$H212*(1+$K212)^MAX(ROUNDUP(IFERROR(DATEDIF($I194-1,CH$15+1,"m"),)/12,)-1,)*Index!CD$23*(CH$15&gt;$I212)*(1-CH$12)</f>
        <v>0</v>
      </c>
      <c r="CI212" s="747">
        <f>$G212*$H212*(1+$K212)^MAX(ROUNDUP(IFERROR(DATEDIF($I194-1,CI$15+1,"m"),)/12,)-1,)*Index!CE$23*(CI$15&gt;$I212)*(1-CI$12)</f>
        <v>0</v>
      </c>
      <c r="CJ212" s="747">
        <f>$G212*$H212*(1+$K212)^MAX(ROUNDUP(IFERROR(DATEDIF($I194-1,CJ$15+1,"m"),)/12,)-1,)*Index!CF$23*(CJ$15&gt;$I212)*(1-CJ$12)</f>
        <v>0</v>
      </c>
      <c r="CK212" s="747">
        <f>$G212*$H212*(1+$K212)^MAX(ROUNDUP(IFERROR(DATEDIF($I194-1,CK$15+1,"m"),)/12,)-1,)*Index!CG$23*(CK$15&gt;$I212)*(1-CK$12)</f>
        <v>0</v>
      </c>
      <c r="CL212" s="747">
        <f>$G212*$H212*(1+$K212)^MAX(ROUNDUP(IFERROR(DATEDIF($I194-1,CL$15+1,"m"),)/12,)-1,)*Index!CH$23*(CL$15&gt;$I212)*(1-CL$12)</f>
        <v>0</v>
      </c>
      <c r="CM212" s="747">
        <f>$G212*$H212*(1+$K212)^MAX(ROUNDUP(IFERROR(DATEDIF($I194-1,CM$15+1,"m"),)/12,)-1,)*Index!CI$23*(CM$15&gt;$I212)*(1-CM$12)</f>
        <v>0</v>
      </c>
      <c r="CN212" s="747">
        <f>$G212*$H212*(1+$K212)^MAX(ROUNDUP(IFERROR(DATEDIF($I194-1,CN$15+1,"m"),)/12,)-1,)*Index!CJ$23*(CN$15&gt;$I212)*(1-CN$12)</f>
        <v>0</v>
      </c>
      <c r="CO212" s="747">
        <f>$G212*$H212*(1+$K212)^MAX(ROUNDUP(IFERROR(DATEDIF($I194-1,CO$15+1,"m"),)/12,)-1,)*Index!CK$23*(CO$15&gt;$I212)*(1-CO$12)</f>
        <v>0</v>
      </c>
      <c r="CP212" s="747">
        <f>$G212*$H212*(1+$K212)^MAX(ROUNDUP(IFERROR(DATEDIF($I194-1,CP$15+1,"m"),)/12,)-1,)*Index!CL$23*(CP$15&gt;$I212)*(1-CP$12)</f>
        <v>0</v>
      </c>
      <c r="CQ212" s="747">
        <f>$G212*$H212*(1+$K212)^MAX(ROUNDUP(IFERROR(DATEDIF($I194-1,CQ$15+1,"m"),)/12,)-1,)*Index!CM$23*(CQ$15&gt;$I212)*(1-CQ$12)</f>
        <v>0</v>
      </c>
      <c r="CR212" s="747">
        <f>$G212*$H212*(1+$K212)^MAX(ROUNDUP(IFERROR(DATEDIF($I194-1,CR$15+1,"m"),)/12,)-1,)*Index!CN$23*(CR$15&gt;$I212)*(1-CR$12)</f>
        <v>0</v>
      </c>
      <c r="CS212" s="747">
        <f>$G212*$H212*(1+$K212)^MAX(ROUNDUP(IFERROR(DATEDIF($I194-1,CS$15+1,"m"),)/12,)-1,)*Index!CO$23*(CS$15&gt;$I212)*(1-CS$12)</f>
        <v>0</v>
      </c>
      <c r="CT212" s="747">
        <f>$G212*$H212*(1+$K212)^MAX(ROUNDUP(IFERROR(DATEDIF($I194-1,CT$15+1,"m"),)/12,)-1,)*Index!CP$23*(CT$15&gt;$I212)*(1-CT$12)</f>
        <v>0</v>
      </c>
      <c r="CU212" s="747">
        <f>$G212*$H212*(1+$K212)^MAX(ROUNDUP(IFERROR(DATEDIF($I194-1,CU$15+1,"m"),)/12,)-1,)*Index!CQ$23*(CU$15&gt;$I212)*(1-CU$12)</f>
        <v>0</v>
      </c>
      <c r="CV212" s="747">
        <f>$G212*$H212*(1+$K212)^MAX(ROUNDUP(IFERROR(DATEDIF($I194-1,CV$15+1,"m"),)/12,)-1,)*Index!CR$23*(CV$15&gt;$I212)*(1-CV$12)</f>
        <v>0</v>
      </c>
      <c r="CW212" s="747">
        <f>$G212*$H212*(1+$K212)^MAX(ROUNDUP(IFERROR(DATEDIF($I194-1,CW$15+1,"m"),)/12,)-1,)*Index!CS$23*(CW$15&gt;$I212)*(1-CW$12)</f>
        <v>0</v>
      </c>
      <c r="CX212" s="747">
        <f>$G212*$H212*(1+$K212)^MAX(ROUNDUP(IFERROR(DATEDIF($I194-1,CX$15+1,"m"),)/12,)-1,)*Index!CT$23*(CX$15&gt;$I212)*(1-CX$12)</f>
        <v>0</v>
      </c>
      <c r="CY212" s="747">
        <f>$G212*$H212*(1+$K212)^MAX(ROUNDUP(IFERROR(DATEDIF($I194-1,CY$15+1,"m"),)/12,)-1,)*Index!CU$23*(CY$15&gt;$I212)*(1-CY$12)</f>
        <v>0</v>
      </c>
      <c r="CZ212" s="747">
        <f>$G212*$H212*(1+$K212)^MAX(ROUNDUP(IFERROR(DATEDIF($I194-1,CZ$15+1,"m"),)/12,)-1,)*Index!CV$23*(CZ$15&gt;$I212)*(1-CZ$12)</f>
        <v>0</v>
      </c>
      <c r="DA212" s="747">
        <f>$G212*$H212*(1+$K212)^MAX(ROUNDUP(IFERROR(DATEDIF($I194-1,DA$15+1,"m"),)/12,)-1,)*Index!CW$23*(DA$15&gt;$I212)*(1-DA$12)</f>
        <v>0</v>
      </c>
      <c r="DB212" s="747">
        <f>$G212*$H212*(1+$K212)^MAX(ROUNDUP(IFERROR(DATEDIF($I194-1,DB$15+1,"m"),)/12,)-1,)*Index!CX$23*(DB$15&gt;$I212)*(1-DB$12)</f>
        <v>0</v>
      </c>
      <c r="DC212" s="747">
        <f>$G212*$H212*(1+$K212)^MAX(ROUNDUP(IFERROR(DATEDIF($I194-1,DC$15+1,"m"),)/12,)-1,)*Index!CY$23*(DC$15&gt;$I212)*(1-DC$12)</f>
        <v>0</v>
      </c>
      <c r="DD212" s="747">
        <f>$G212*$H212*(1+$K212)^MAX(ROUNDUP(IFERROR(DATEDIF($I194-1,DD$15+1,"m"),)/12,)-1,)*Index!CZ$23*(DD$15&gt;$I212)*(1-DD$12)</f>
        <v>0</v>
      </c>
      <c r="DE212" s="747">
        <f>$G212*$H212*(1+$K212)^MAX(ROUNDUP(IFERROR(DATEDIF($I194-1,DE$15+1,"m"),)/12,)-1,)*Index!DA$23*(DE$15&gt;$I212)*(1-DE$12)</f>
        <v>0</v>
      </c>
      <c r="DF212" s="747">
        <f>$G212*$H212*(1+$K212)^MAX(ROUNDUP(IFERROR(DATEDIF($I194-1,DF$15+1,"m"),)/12,)-1,)*Index!DB$23*(DF$15&gt;$I212)*(1-DF$12)</f>
        <v>0</v>
      </c>
      <c r="DG212" s="747">
        <f>$G212*$H212*(1+$K212)^MAX(ROUNDUP(IFERROR(DATEDIF($I194-1,DG$15+1,"m"),)/12,)-1,)*Index!DC$23*(DG$15&gt;$I212)*(1-DG$12)</f>
        <v>0</v>
      </c>
      <c r="DH212" s="747">
        <f>$G212*$H212*(1+$K212)^MAX(ROUNDUP(IFERROR(DATEDIF($I194-1,DH$15+1,"m"),)/12,)-1,)*Index!DD$23*(DH$15&gt;$I212)*(1-DH$12)</f>
        <v>0</v>
      </c>
      <c r="DI212" s="747">
        <f>$G212*$H212*(1+$K212)^MAX(ROUNDUP(IFERROR(DATEDIF($I194-1,DI$15+1,"m"),)/12,)-1,)*Index!DE$23*(DI$15&gt;$I212)*(1-DI$12)</f>
        <v>0</v>
      </c>
      <c r="DJ212" s="747">
        <f>$G212*$H212*(1+$K212)^MAX(ROUNDUP(IFERROR(DATEDIF($I194-1,DJ$15+1,"m"),)/12,)-1,)*Index!DF$23*(DJ$15&gt;$I212)*(1-DJ$12)</f>
        <v>0</v>
      </c>
      <c r="DK212" s="747">
        <f>$G212*$H212*(1+$K212)^MAX(ROUNDUP(IFERROR(DATEDIF($I194-1,DK$15+1,"m"),)/12,)-1,)*Index!DG$23*(DK$15&gt;$I212)*(1-DK$12)</f>
        <v>0</v>
      </c>
      <c r="DL212" s="747">
        <f>$G212*$H212*(1+$K212)^MAX(ROUNDUP(IFERROR(DATEDIF($I194-1,DL$15+1,"m"),)/12,)-1,)*Index!DH$23*(DL$15&gt;$I212)*(1-DL$12)</f>
        <v>0</v>
      </c>
      <c r="DM212" s="747">
        <f>$G212*$H212*(1+$K212)^MAX(ROUNDUP(IFERROR(DATEDIF($I194-1,DM$15+1,"m"),)/12,)-1,)*Index!DI$23*(DM$15&gt;$I212)*(1-DM$12)</f>
        <v>0</v>
      </c>
      <c r="DN212" s="747">
        <f>$G212*$H212*(1+$K212)^MAX(ROUNDUP(IFERROR(DATEDIF($I194-1,DN$15+1,"m"),)/12,)-1,)*Index!DJ$23*(DN$15&gt;$I212)*(1-DN$12)</f>
        <v>0</v>
      </c>
      <c r="DO212" s="747">
        <f>$G212*$H212*(1+$K212)^MAX(ROUNDUP(IFERROR(DATEDIF($I194-1,DO$15+1,"m"),)/12,)-1,)*Index!DK$23*(DO$15&gt;$I212)*(1-DO$12)</f>
        <v>0</v>
      </c>
      <c r="DP212" s="747">
        <f>$G212*$H212*(1+$K212)^MAX(ROUNDUP(IFERROR(DATEDIF($I194-1,DP$15+1,"m"),)/12,)-1,)*Index!DL$23*(DP$15&gt;$I212)*(1-DP$12)</f>
        <v>0</v>
      </c>
      <c r="DQ212" s="747">
        <f>$G212*$H212*(1+$K212)^MAX(ROUNDUP(IFERROR(DATEDIF($I194-1,DQ$15+1,"m"),)/12,)-1,)*Index!DM$23*(DQ$15&gt;$I212)*(1-DQ$12)</f>
        <v>0</v>
      </c>
      <c r="DR212" s="747">
        <f>$G212*$H212*(1+$K212)^MAX(ROUNDUP(IFERROR(DATEDIF($I194-1,DR$15+1,"m"),)/12,)-1,)*Index!DN$23*(DR$15&gt;$I212)*(1-DR$12)</f>
        <v>0</v>
      </c>
      <c r="DS212" s="747">
        <f>$G212*$H212*(1+$K212)^MAX(ROUNDUP(IFERROR(DATEDIF($I194-1,DS$15+1,"m"),)/12,)-1,)*Index!DO$23*(DS$15&gt;$I212)*(1-DS$12)</f>
        <v>0</v>
      </c>
      <c r="DT212" s="747">
        <f>$G212*$H212*(1+$K212)^MAX(ROUNDUP(IFERROR(DATEDIF($I194-1,DT$15+1,"m"),)/12,)-1,)*Index!DP$23*(DT$15&gt;$I212)*(1-DT$12)</f>
        <v>0</v>
      </c>
      <c r="DU212" s="747">
        <f>$G212*$H212*(1+$K212)^MAX(ROUNDUP(IFERROR(DATEDIF($I194-1,DU$15+1,"m"),)/12,)-1,)*Index!DQ$23*(DU$15&gt;$I212)*(1-DU$12)</f>
        <v>0</v>
      </c>
      <c r="DV212" s="747">
        <f>$G212*$H212*(1+$K212)^MAX(ROUNDUP(IFERROR(DATEDIF($I194-1,DV$15+1,"m"),)/12,)-1,)*Index!DR$23*(DV$15&gt;$I212)*(1-DV$12)</f>
        <v>0</v>
      </c>
      <c r="DW212" s="747">
        <f>$G212*$H212*(1+$K212)^MAX(ROUNDUP(IFERROR(DATEDIF($I194-1,DW$15+1,"m"),)/12,)-1,)*Index!DS$23*(DW$15&gt;$I212)*(1-DW$12)</f>
        <v>0</v>
      </c>
      <c r="DX212" s="747">
        <f>$G212*$H212*(1+$K212)^MAX(ROUNDUP(IFERROR(DATEDIF($I194-1,DX$15+1,"m"),)/12,)-1,)*Index!DT$23*(DX$15&gt;$I212)*(1-DX$12)</f>
        <v>0</v>
      </c>
      <c r="DY212" s="747">
        <f>$G212*$H212*(1+$K212)^MAX(ROUNDUP(IFERROR(DATEDIF($I194-1,DY$15+1,"m"),)/12,)-1,)*Index!DU$23*(DY$15&gt;$I212)*(1-DY$12)</f>
        <v>0</v>
      </c>
      <c r="DZ212" s="747">
        <f>$G212*$H212*(1+$K212)^MAX(ROUNDUP(IFERROR(DATEDIF($I194-1,DZ$15+1,"m"),)/12,)-1,)*Index!DV$23*(DZ$15&gt;$I212)*(1-DZ$12)</f>
        <v>0</v>
      </c>
      <c r="EA212" s="747">
        <f>$G212*$H212*(1+$K212)^MAX(ROUNDUP(IFERROR(DATEDIF($I194-1,EA$15+1,"m"),)/12,)-1,)*Index!DW$23*(EA$15&gt;$I212)*(1-EA$12)</f>
        <v>0</v>
      </c>
      <c r="EB212" s="747">
        <f>$G212*$H212*(1+$K212)^MAX(ROUNDUP(IFERROR(DATEDIF($I194-1,EB$15+1,"m"),)/12,)-1,)*Index!DX$23*(EB$15&gt;$I212)*(1-EB$12)</f>
        <v>0</v>
      </c>
      <c r="EC212" s="747">
        <f>$G212*$H212*(1+$K212)^MAX(ROUNDUP(IFERROR(DATEDIF($I194-1,EC$15+1,"m"),)/12,)-1,)*Index!DY$23*(EC$15&gt;$I212)*(1-EC$12)</f>
        <v>0</v>
      </c>
      <c r="ED212" s="747">
        <f>$G212*$H212*(1+$K212)^MAX(ROUNDUP(IFERROR(DATEDIF($I194-1,ED$15+1,"m"),)/12,)-1,)*Index!DZ$23*(ED$15&gt;$I212)*(1-ED$12)</f>
        <v>0</v>
      </c>
      <c r="EE212" s="747">
        <f>$G212*$H212*(1+$K212)^MAX(ROUNDUP(IFERROR(DATEDIF($I194-1,EE$15+1,"m"),)/12,)-1,)*Index!EA$23*(EE$15&gt;$I212)*(1-EE$12)</f>
        <v>0</v>
      </c>
      <c r="EF212" s="747">
        <f>$G212*$H212*(1+$K212)^MAX(ROUNDUP(IFERROR(DATEDIF($I194-1,EF$15+1,"m"),)/12,)-1,)*Index!EB$23*(EF$15&gt;$I212)*(1-EF$12)</f>
        <v>0</v>
      </c>
      <c r="EG212" s="747">
        <f>$G212*$H212*(1+$K212)^MAX(ROUNDUP(IFERROR(DATEDIF($I194-1,EG$15+1,"m"),)/12,)-1,)*Index!EC$23*(EG$15&gt;$I212)*(1-EG$12)</f>
        <v>10770.428357025034</v>
      </c>
      <c r="EH212" s="747">
        <f>$G212*$H212*(1+$K212)^MAX(ROUNDUP(IFERROR(DATEDIF($I194-1,EH$15+1,"m"),)/12,)-1,)*Index!ED$23*(EH$15&gt;$I212)*(1-EH$12)</f>
        <v>10770.428357025034</v>
      </c>
      <c r="EI212" s="747">
        <f>$G212*$H212*(1+$K212)^MAX(ROUNDUP(IFERROR(DATEDIF($I194-1,EI$15+1,"m"),)/12,)-1,)*Index!EE$23*(EI$15&gt;$I212)*(1-EI$12)</f>
        <v>10770.428357025034</v>
      </c>
      <c r="EJ212" s="747">
        <f>$G212*$H212*(1+$K212)^MAX(ROUNDUP(IFERROR(DATEDIF($I194-1,EJ$15+1,"m"),)/12,)-1,)*Index!EF$23*(EJ$15&gt;$I212)*(1-EJ$12)</f>
        <v>10770.428357025034</v>
      </c>
      <c r="EK212" s="747">
        <f>$G212*$H212*(1+$K212)^MAX(ROUNDUP(IFERROR(DATEDIF($I194-1,EK$15+1,"m"),)/12,)-1,)*Index!EG$23*(EK$15&gt;$I212)*(1-EK$12)</f>
        <v>10770.428357025034</v>
      </c>
      <c r="EL212" s="747">
        <f>$G212*$H212*(1+$K212)^MAX(ROUNDUP(IFERROR(DATEDIF($I194-1,EL$15+1,"m"),)/12,)-1,)*Index!EH$23*(EL$15&gt;$I212)*(1-EL$12)</f>
        <v>11039.689065950659</v>
      </c>
      <c r="EM212" s="747">
        <f>$G212*$H212*(1+$K212)^MAX(ROUNDUP(IFERROR(DATEDIF($I194-1,EM$15+1,"m"),)/12,)-1,)*Index!EI$23*(EM$15&gt;$I212)*(1-EM$12)</f>
        <v>11039.689065950659</v>
      </c>
      <c r="EN212" s="747">
        <f>$G212*$H212*(1+$K212)^MAX(ROUNDUP(IFERROR(DATEDIF($I194-1,EN$15+1,"m"),)/12,)-1,)*Index!EJ$23*(EN$15&gt;$I212)*(1-EN$12)</f>
        <v>11039.689065950659</v>
      </c>
      <c r="EO212" s="747">
        <f>$G212*$H212*(1+$K212)^MAX(ROUNDUP(IFERROR(DATEDIF($I194-1,EO$15+1,"m"),)/12,)-1,)*Index!EK$23*(EO$15&gt;$I212)*(1-EO$12)</f>
        <v>11039.689065950659</v>
      </c>
      <c r="EP212" s="747">
        <f>$G212*$H212*(1+$K212)^MAX(ROUNDUP(IFERROR(DATEDIF($I194-1,EP$15+1,"m"),)/12,)-1,)*Index!EL$23*(EP$15&gt;$I212)*(1-EP$12)</f>
        <v>11039.689065950659</v>
      </c>
      <c r="EQ212" s="747">
        <f>$G212*$H212*(1+$K212)^MAX(ROUNDUP(IFERROR(DATEDIF($I194-1,EQ$15+1,"m"),)/12,)-1,)*Index!EM$23*(EQ$15&gt;$I212)*(1-EQ$12)</f>
        <v>11039.689065950659</v>
      </c>
      <c r="ER212" s="747">
        <f>$G212*$H212*(1+$K212)^MAX(ROUNDUP(IFERROR(DATEDIF($I194-1,ER$15+1,"m"),)/12,)-1,)*Index!EN$23*(ER$15&gt;$I212)*(1-ER$12)</f>
        <v>11039.689065950659</v>
      </c>
      <c r="ES212" s="747">
        <f>$G212*$H212*(1+$K212)^MAX(ROUNDUP(IFERROR(DATEDIF($I194-1,ES$15+1,"m"),)/12,)-1,)*Index!EO$23*(ES$15&gt;$I212)*(1-ES$12)</f>
        <v>0</v>
      </c>
      <c r="ET212" s="747">
        <f>$G212*$H212*(1+$K212)^MAX(ROUNDUP(IFERROR(DATEDIF($I194-1,ET$15+1,"m"),)/12,)-1,)*Index!EP$23*(ET$15&gt;$I212)*(1-ET$12)</f>
        <v>0</v>
      </c>
      <c r="EU212" s="747">
        <f>$G212*$H212*(1+$K212)^MAX(ROUNDUP(IFERROR(DATEDIF($I194-1,EU$15+1,"m"),)/12,)-1,)*Index!EQ$23*(EU$15&gt;$I212)*(1-EU$12)</f>
        <v>0</v>
      </c>
    </row>
    <row r="213" spans="3:151" ht="11.25" customHeight="1">
      <c r="C213" s="834"/>
      <c r="D213" s="764" t="str">
        <f t="shared" ref="D213:I213" si="288">D177</f>
        <v>B2</v>
      </c>
      <c r="E213" s="774" t="str">
        <f t="shared" si="288"/>
        <v>쿠팡</v>
      </c>
      <c r="F213" s="774" t="str">
        <f t="shared" si="288"/>
        <v>상온창고</v>
      </c>
      <c r="G213" s="782">
        <f t="shared" si="288"/>
        <v>2.9900433370455741</v>
      </c>
      <c r="H213" s="776">
        <f t="shared" si="288"/>
        <v>2728.21</v>
      </c>
      <c r="I213" s="777">
        <f t="shared" si="288"/>
        <v>49064</v>
      </c>
      <c r="J213" s="777"/>
      <c r="K213" s="778">
        <f t="shared" si="272"/>
        <v>2.5000000000000001E-2</v>
      </c>
      <c r="L213" s="766"/>
      <c r="M213" s="765"/>
      <c r="N213" s="767">
        <f t="shared" si="273"/>
        <v>128178.57353008704</v>
      </c>
      <c r="O213" s="733"/>
      <c r="P213" s="767">
        <f>$G213*$H213*(1+$K213)^MAX(ROUNDUP(IFERROR(DATEDIF($I195-1,P$15+1,"m"),)/12,)-1,)*Index!L$23*(P$15&gt;$I213)*(1-P$12)</f>
        <v>0</v>
      </c>
      <c r="Q213" s="767">
        <f>$G213*$H213*(1+$K213)^MAX(ROUNDUP(IFERROR(DATEDIF($I195-1,Q$15+1,"m"),)/12,)-1,)*Index!M$23*(Q$15&gt;$I213)*(1-Q$12)</f>
        <v>0</v>
      </c>
      <c r="R213" s="767">
        <f>$G213*$H213*(1+$K213)^MAX(ROUNDUP(IFERROR(DATEDIF($I195-1,R$15+1,"m"),)/12,)-1,)*Index!N$23*(R$15&gt;$I213)*(1-R$12)</f>
        <v>0</v>
      </c>
      <c r="S213" s="767">
        <f>$G213*$H213*(1+$K213)^MAX(ROUNDUP(IFERROR(DATEDIF($I195-1,S$15+1,"m"),)/12,)-1,)*Index!O$23*(S$15&gt;$I213)*(1-S$12)</f>
        <v>0</v>
      </c>
      <c r="T213" s="767">
        <f>$G213*$H213*(1+$K213)^MAX(ROUNDUP(IFERROR(DATEDIF($I195-1,T$15+1,"m"),)/12,)-1,)*Index!P$23*(T$15&gt;$I213)*(1-T$12)</f>
        <v>0</v>
      </c>
      <c r="U213" s="767">
        <f>$G213*$H213*(1+$K213)^MAX(ROUNDUP(IFERROR(DATEDIF($I195-1,U$15+1,"m"),)/12,)-1,)*Index!Q$23*(U$15&gt;$I213)*(1-U$12)</f>
        <v>0</v>
      </c>
      <c r="V213" s="767">
        <f>$G213*$H213*(1+$K213)^MAX(ROUNDUP(IFERROR(DATEDIF($I195-1,V$15+1,"m"),)/12,)-1,)*Index!R$23*(V$15&gt;$I213)*(1-V$12)</f>
        <v>0</v>
      </c>
      <c r="W213" s="767">
        <f>$G213*$H213*(1+$K213)^MAX(ROUNDUP(IFERROR(DATEDIF($I195-1,W$15+1,"m"),)/12,)-1,)*Index!S$23*(W$15&gt;$I213)*(1-W$12)</f>
        <v>0</v>
      </c>
      <c r="X213" s="767">
        <f>$G213*$H213*(1+$K213)^MAX(ROUNDUP(IFERROR(DATEDIF($I195-1,X$15+1,"m"),)/12,)-1,)*Index!T$23*(X$15&gt;$I213)*(1-X$12)</f>
        <v>0</v>
      </c>
      <c r="Y213" s="767">
        <f>$G213*$H213*(1+$K213)^MAX(ROUNDUP(IFERROR(DATEDIF($I195-1,Y$15+1,"m"),)/12,)-1,)*Index!U$23*(Y$15&gt;$I213)*(1-Y$12)</f>
        <v>0</v>
      </c>
      <c r="Z213" s="767">
        <f>$G213*$H213*(1+$K213)^MAX(ROUNDUP(IFERROR(DATEDIF($I195-1,Z$15+1,"m"),)/12,)-1,)*Index!V$23*(Z$15&gt;$I213)*(1-Z$12)</f>
        <v>0</v>
      </c>
      <c r="AA213" s="767">
        <f>$G213*$H213*(1+$K213)^MAX(ROUNDUP(IFERROR(DATEDIF($I195-1,AA$15+1,"m"),)/12,)-1,)*Index!W$23*(AA$15&gt;$I213)*(1-AA$12)</f>
        <v>0</v>
      </c>
      <c r="AB213" s="767">
        <f>$G213*$H213*(1+$K213)^MAX(ROUNDUP(IFERROR(DATEDIF($I195-1,AB$15+1,"m"),)/12,)-1,)*Index!X$23*(AB$15&gt;$I213)*(1-AB$12)</f>
        <v>0</v>
      </c>
      <c r="AC213" s="767">
        <f>$G213*$H213*(1+$K213)^MAX(ROUNDUP(IFERROR(DATEDIF($I195-1,AC$15+1,"m"),)/12,)-1,)*Index!Y$23*(AC$15&gt;$I213)*(1-AC$12)</f>
        <v>0</v>
      </c>
      <c r="AD213" s="767">
        <f>$G213*$H213*(1+$K213)^MAX(ROUNDUP(IFERROR(DATEDIF($I195-1,AD$15+1,"m"),)/12,)-1,)*Index!Z$23*(AD$15&gt;$I213)*(1-AD$12)</f>
        <v>0</v>
      </c>
      <c r="AE213" s="767">
        <f>$G213*$H213*(1+$K213)^MAX(ROUNDUP(IFERROR(DATEDIF($I195-1,AE$15+1,"m"),)/12,)-1,)*Index!AA$23*(AE$15&gt;$I213)*(1-AE$12)</f>
        <v>0</v>
      </c>
      <c r="AF213" s="767">
        <f>$G213*$H213*(1+$K213)^MAX(ROUNDUP(IFERROR(DATEDIF($I195-1,AF$15+1,"m"),)/12,)-1,)*Index!AB$23*(AF$15&gt;$I213)*(1-AF$12)</f>
        <v>0</v>
      </c>
      <c r="AG213" s="767">
        <f>$G213*$H213*(1+$K213)^MAX(ROUNDUP(IFERROR(DATEDIF($I195-1,AG$15+1,"m"),)/12,)-1,)*Index!AC$23*(AG$15&gt;$I213)*(1-AG$12)</f>
        <v>0</v>
      </c>
      <c r="AH213" s="767">
        <f>$G213*$H213*(1+$K213)^MAX(ROUNDUP(IFERROR(DATEDIF($I195-1,AH$15+1,"m"),)/12,)-1,)*Index!AD$23*(AH$15&gt;$I213)*(1-AH$12)</f>
        <v>0</v>
      </c>
      <c r="AI213" s="767">
        <f>$G213*$H213*(1+$K213)^MAX(ROUNDUP(IFERROR(DATEDIF($I195-1,AI$15+1,"m"),)/12,)-1,)*Index!AE$23*(AI$15&gt;$I213)*(1-AI$12)</f>
        <v>0</v>
      </c>
      <c r="AJ213" s="767">
        <f>$G213*$H213*(1+$K213)^MAX(ROUNDUP(IFERROR(DATEDIF($I195-1,AJ$15+1,"m"),)/12,)-1,)*Index!AF$23*(AJ$15&gt;$I213)*(1-AJ$12)</f>
        <v>0</v>
      </c>
      <c r="AK213" s="767">
        <f>$G213*$H213*(1+$K213)^MAX(ROUNDUP(IFERROR(DATEDIF($I195-1,AK$15+1,"m"),)/12,)-1,)*Index!AG$23*(AK$15&gt;$I213)*(1-AK$12)</f>
        <v>0</v>
      </c>
      <c r="AL213" s="767">
        <f>$G213*$H213*(1+$K213)^MAX(ROUNDUP(IFERROR(DATEDIF($I195-1,AL$15+1,"m"),)/12,)-1,)*Index!AH$23*(AL$15&gt;$I213)*(1-AL$12)</f>
        <v>0</v>
      </c>
      <c r="AM213" s="767">
        <f>$G213*$H213*(1+$K213)^MAX(ROUNDUP(IFERROR(DATEDIF($I195-1,AM$15+1,"m"),)/12,)-1,)*Index!AI$23*(AM$15&gt;$I213)*(1-AM$12)</f>
        <v>0</v>
      </c>
      <c r="AN213" s="767">
        <f>$G213*$H213*(1+$K213)^MAX(ROUNDUP(IFERROR(DATEDIF($I195-1,AN$15+1,"m"),)/12,)-1,)*Index!AJ$23*(AN$15&gt;$I213)*(1-AN$12)</f>
        <v>0</v>
      </c>
      <c r="AO213" s="767">
        <f>$G213*$H213*(1+$K213)^MAX(ROUNDUP(IFERROR(DATEDIF($I195-1,AO$15+1,"m"),)/12,)-1,)*Index!AK$23*(AO$15&gt;$I213)*(1-AO$12)</f>
        <v>0</v>
      </c>
      <c r="AP213" s="767">
        <f>$G213*$H213*(1+$K213)^MAX(ROUNDUP(IFERROR(DATEDIF($I195-1,AP$15+1,"m"),)/12,)-1,)*Index!AL$23*(AP$15&gt;$I213)*(1-AP$12)</f>
        <v>0</v>
      </c>
      <c r="AQ213" s="767">
        <f>$G213*$H213*(1+$K213)^MAX(ROUNDUP(IFERROR(DATEDIF($I195-1,AQ$15+1,"m"),)/12,)-1,)*Index!AM$23*(AQ$15&gt;$I213)*(1-AQ$12)</f>
        <v>0</v>
      </c>
      <c r="AR213" s="767">
        <f>$G213*$H213*(1+$K213)^MAX(ROUNDUP(IFERROR(DATEDIF($I195-1,AR$15+1,"m"),)/12,)-1,)*Index!AN$23*(AR$15&gt;$I213)*(1-AR$12)</f>
        <v>0</v>
      </c>
      <c r="AS213" s="767">
        <f>$G213*$H213*(1+$K213)^MAX(ROUNDUP(IFERROR(DATEDIF($I195-1,AS$15+1,"m"),)/12,)-1,)*Index!AO$23*(AS$15&gt;$I213)*(1-AS$12)</f>
        <v>0</v>
      </c>
      <c r="AT213" s="767">
        <f>$G213*$H213*(1+$K213)^MAX(ROUNDUP(IFERROR(DATEDIF($I195-1,AT$15+1,"m"),)/12,)-1,)*Index!AP$23*(AT$15&gt;$I213)*(1-AT$12)</f>
        <v>0</v>
      </c>
      <c r="AU213" s="767">
        <f>$G213*$H213*(1+$K213)^MAX(ROUNDUP(IFERROR(DATEDIF($I195-1,AU$15+1,"m"),)/12,)-1,)*Index!AQ$23*(AU$15&gt;$I213)*(1-AU$12)</f>
        <v>0</v>
      </c>
      <c r="AV213" s="767">
        <f>$G213*$H213*(1+$K213)^MAX(ROUNDUP(IFERROR(DATEDIF($I195-1,AV$15+1,"m"),)/12,)-1,)*Index!AR$23*(AV$15&gt;$I213)*(1-AV$12)</f>
        <v>0</v>
      </c>
      <c r="AW213" s="767">
        <f>$G213*$H213*(1+$K213)^MAX(ROUNDUP(IFERROR(DATEDIF($I195-1,AW$15+1,"m"),)/12,)-1,)*Index!AS$23*(AW$15&gt;$I213)*(1-AW$12)</f>
        <v>0</v>
      </c>
      <c r="AX213" s="767">
        <f>$G213*$H213*(1+$K213)^MAX(ROUNDUP(IFERROR(DATEDIF($I195-1,AX$15+1,"m"),)/12,)-1,)*Index!AT$23*(AX$15&gt;$I213)*(1-AX$12)</f>
        <v>0</v>
      </c>
      <c r="AY213" s="767">
        <f>$G213*$H213*(1+$K213)^MAX(ROUNDUP(IFERROR(DATEDIF($I195-1,AY$15+1,"m"),)/12,)-1,)*Index!AU$23*(AY$15&gt;$I213)*(1-AY$12)</f>
        <v>0</v>
      </c>
      <c r="AZ213" s="767">
        <f>$G213*$H213*(1+$K213)^MAX(ROUNDUP(IFERROR(DATEDIF($I195-1,AZ$15+1,"m"),)/12,)-1,)*Index!AV$23*(AZ$15&gt;$I213)*(1-AZ$12)</f>
        <v>0</v>
      </c>
      <c r="BA213" s="767">
        <f>$G213*$H213*(1+$K213)^MAX(ROUNDUP(IFERROR(DATEDIF($I195-1,BA$15+1,"m"),)/12,)-1,)*Index!AW$23*(BA$15&gt;$I213)*(1-BA$12)</f>
        <v>0</v>
      </c>
      <c r="BB213" s="767">
        <f>$G213*$H213*(1+$K213)^MAX(ROUNDUP(IFERROR(DATEDIF($I195-1,BB$15+1,"m"),)/12,)-1,)*Index!AX$23*(BB$15&gt;$I213)*(1-BB$12)</f>
        <v>0</v>
      </c>
      <c r="BC213" s="767">
        <f>$G213*$H213*(1+$K213)^MAX(ROUNDUP(IFERROR(DATEDIF($I195-1,BC$15+1,"m"),)/12,)-1,)*Index!AY$23*(BC$15&gt;$I213)*(1-BC$12)</f>
        <v>0</v>
      </c>
      <c r="BD213" s="767">
        <f>$G213*$H213*(1+$K213)^MAX(ROUNDUP(IFERROR(DATEDIF($I195-1,BD$15+1,"m"),)/12,)-1,)*Index!AZ$23*(BD$15&gt;$I213)*(1-BD$12)</f>
        <v>0</v>
      </c>
      <c r="BE213" s="767">
        <f>$G213*$H213*(1+$K213)^MAX(ROUNDUP(IFERROR(DATEDIF($I195-1,BE$15+1,"m"),)/12,)-1,)*Index!BA$23*(BE$15&gt;$I213)*(1-BE$12)</f>
        <v>0</v>
      </c>
      <c r="BF213" s="767">
        <f>$G213*$H213*(1+$K213)^MAX(ROUNDUP(IFERROR(DATEDIF($I195-1,BF$15+1,"m"),)/12,)-1,)*Index!BB$23*(BF$15&gt;$I213)*(1-BF$12)</f>
        <v>0</v>
      </c>
      <c r="BG213" s="767">
        <f>$G213*$H213*(1+$K213)^MAX(ROUNDUP(IFERROR(DATEDIF($I195-1,BG$15+1,"m"),)/12,)-1,)*Index!BC$23*(BG$15&gt;$I213)*(1-BG$12)</f>
        <v>0</v>
      </c>
      <c r="BH213" s="767">
        <f>$G213*$H213*(1+$K213)^MAX(ROUNDUP(IFERROR(DATEDIF($I195-1,BH$15+1,"m"),)/12,)-1,)*Index!BD$23*(BH$15&gt;$I213)*(1-BH$12)</f>
        <v>0</v>
      </c>
      <c r="BI213" s="767">
        <f>$G213*$H213*(1+$K213)^MAX(ROUNDUP(IFERROR(DATEDIF($I195-1,BI$15+1,"m"),)/12,)-1,)*Index!BE$23*(BI$15&gt;$I213)*(1-BI$12)</f>
        <v>0</v>
      </c>
      <c r="BJ213" s="767">
        <f>$G213*$H213*(1+$K213)^MAX(ROUNDUP(IFERROR(DATEDIF($I195-1,BJ$15+1,"m"),)/12,)-1,)*Index!BF$23*(BJ$15&gt;$I213)*(1-BJ$12)</f>
        <v>0</v>
      </c>
      <c r="BK213" s="767">
        <f>$G213*$H213*(1+$K213)^MAX(ROUNDUP(IFERROR(DATEDIF($I195-1,BK$15+1,"m"),)/12,)-1,)*Index!BG$23*(BK$15&gt;$I213)*(1-BK$12)</f>
        <v>0</v>
      </c>
      <c r="BL213" s="767">
        <f>$G213*$H213*(1+$K213)^MAX(ROUNDUP(IFERROR(DATEDIF($I195-1,BL$15+1,"m"),)/12,)-1,)*Index!BH$23*(BL$15&gt;$I213)*(1-BL$12)</f>
        <v>0</v>
      </c>
      <c r="BM213" s="767">
        <f>$G213*$H213*(1+$K213)^MAX(ROUNDUP(IFERROR(DATEDIF($I195-1,BM$15+1,"m"),)/12,)-1,)*Index!BI$23*(BM$15&gt;$I213)*(1-BM$12)</f>
        <v>0</v>
      </c>
      <c r="BN213" s="767">
        <f>$G213*$H213*(1+$K213)^MAX(ROUNDUP(IFERROR(DATEDIF($I195-1,BN$15+1,"m"),)/12,)-1,)*Index!BJ$23*(BN$15&gt;$I213)*(1-BN$12)</f>
        <v>0</v>
      </c>
      <c r="BO213" s="767">
        <f>$G213*$H213*(1+$K213)^MAX(ROUNDUP(IFERROR(DATEDIF($I195-1,BO$15+1,"m"),)/12,)-1,)*Index!BK$23*(BO$15&gt;$I213)*(1-BO$12)</f>
        <v>0</v>
      </c>
      <c r="BP213" s="767">
        <f>$G213*$H213*(1+$K213)^MAX(ROUNDUP(IFERROR(DATEDIF($I195-1,BP$15+1,"m"),)/12,)-1,)*Index!BL$23*(BP$15&gt;$I213)*(1-BP$12)</f>
        <v>0</v>
      </c>
      <c r="BQ213" s="767">
        <f>$G213*$H213*(1+$K213)^MAX(ROUNDUP(IFERROR(DATEDIF($I195-1,BQ$15+1,"m"),)/12,)-1,)*Index!BM$23*(BQ$15&gt;$I213)*(1-BQ$12)</f>
        <v>0</v>
      </c>
      <c r="BR213" s="767">
        <f>$G213*$H213*(1+$K213)^MAX(ROUNDUP(IFERROR(DATEDIF($I195-1,BR$15+1,"m"),)/12,)-1,)*Index!BN$23*(BR$15&gt;$I213)*(1-BR$12)</f>
        <v>0</v>
      </c>
      <c r="BS213" s="767">
        <f>$G213*$H213*(1+$K213)^MAX(ROUNDUP(IFERROR(DATEDIF($I195-1,BS$15+1,"m"),)/12,)-1,)*Index!BO$23*(BS$15&gt;$I213)*(1-BS$12)</f>
        <v>0</v>
      </c>
      <c r="BT213" s="767">
        <f>$G213*$H213*(1+$K213)^MAX(ROUNDUP(IFERROR(DATEDIF($I195-1,BT$15+1,"m"),)/12,)-1,)*Index!BP$23*(BT$15&gt;$I213)*(1-BT$12)</f>
        <v>0</v>
      </c>
      <c r="BU213" s="767">
        <f>$G213*$H213*(1+$K213)^MAX(ROUNDUP(IFERROR(DATEDIF($I195-1,BU$15+1,"m"),)/12,)-1,)*Index!BQ$23*(BU$15&gt;$I213)*(1-BU$12)</f>
        <v>0</v>
      </c>
      <c r="BV213" s="767">
        <f>$G213*$H213*(1+$K213)^MAX(ROUNDUP(IFERROR(DATEDIF($I195-1,BV$15+1,"m"),)/12,)-1,)*Index!BR$23*(BV$15&gt;$I213)*(1-BV$12)</f>
        <v>0</v>
      </c>
      <c r="BW213" s="767">
        <f>$G213*$H213*(1+$K213)^MAX(ROUNDUP(IFERROR(DATEDIF($I195-1,BW$15+1,"m"),)/12,)-1,)*Index!BS$23*(BW$15&gt;$I213)*(1-BW$12)</f>
        <v>0</v>
      </c>
      <c r="BX213" s="767">
        <f>$G213*$H213*(1+$K213)^MAX(ROUNDUP(IFERROR(DATEDIF($I195-1,BX$15+1,"m"),)/12,)-1,)*Index!BT$23*(BX$15&gt;$I213)*(1-BX$12)</f>
        <v>0</v>
      </c>
      <c r="BY213" s="767">
        <f>$G213*$H213*(1+$K213)^MAX(ROUNDUP(IFERROR(DATEDIF($I195-1,BY$15+1,"m"),)/12,)-1,)*Index!BU$23*(BY$15&gt;$I213)*(1-BY$12)</f>
        <v>0</v>
      </c>
      <c r="BZ213" s="767">
        <f>$G213*$H213*(1+$K213)^MAX(ROUNDUP(IFERROR(DATEDIF($I195-1,BZ$15+1,"m"),)/12,)-1,)*Index!BV$23*(BZ$15&gt;$I213)*(1-BZ$12)</f>
        <v>0</v>
      </c>
      <c r="CA213" s="767">
        <f>$G213*$H213*(1+$K213)^MAX(ROUNDUP(IFERROR(DATEDIF($I195-1,CA$15+1,"m"),)/12,)-1,)*Index!BW$23*(CA$15&gt;$I213)*(1-CA$12)</f>
        <v>0</v>
      </c>
      <c r="CB213" s="767">
        <f>$G213*$H213*(1+$K213)^MAX(ROUNDUP(IFERROR(DATEDIF($I195-1,CB$15+1,"m"),)/12,)-1,)*Index!BX$23*(CB$15&gt;$I213)*(1-CB$12)</f>
        <v>0</v>
      </c>
      <c r="CC213" s="767">
        <f>$G213*$H213*(1+$K213)^MAX(ROUNDUP(IFERROR(DATEDIF($I195-1,CC$15+1,"m"),)/12,)-1,)*Index!BY$23*(CC$15&gt;$I213)*(1-CC$12)</f>
        <v>0</v>
      </c>
      <c r="CD213" s="767">
        <f>$G213*$H213*(1+$K213)^MAX(ROUNDUP(IFERROR(DATEDIF($I195-1,CD$15+1,"m"),)/12,)-1,)*Index!BZ$23*(CD$15&gt;$I213)*(1-CD$12)</f>
        <v>0</v>
      </c>
      <c r="CE213" s="767">
        <f>$G213*$H213*(1+$K213)^MAX(ROUNDUP(IFERROR(DATEDIF($I195-1,CE$15+1,"m"),)/12,)-1,)*Index!CA$23*(CE$15&gt;$I213)*(1-CE$12)</f>
        <v>0</v>
      </c>
      <c r="CF213" s="767">
        <f>$G213*$H213*(1+$K213)^MAX(ROUNDUP(IFERROR(DATEDIF($I195-1,CF$15+1,"m"),)/12,)-1,)*Index!CB$23*(CF$15&gt;$I213)*(1-CF$12)</f>
        <v>0</v>
      </c>
      <c r="CG213" s="767">
        <f>$G213*$H213*(1+$K213)^MAX(ROUNDUP(IFERROR(DATEDIF($I195-1,CG$15+1,"m"),)/12,)-1,)*Index!CC$23*(CG$15&gt;$I213)*(1-CG$12)</f>
        <v>0</v>
      </c>
      <c r="CH213" s="767">
        <f>$G213*$H213*(1+$K213)^MAX(ROUNDUP(IFERROR(DATEDIF($I195-1,CH$15+1,"m"),)/12,)-1,)*Index!CD$23*(CH$15&gt;$I213)*(1-CH$12)</f>
        <v>0</v>
      </c>
      <c r="CI213" s="767">
        <f>$G213*$H213*(1+$K213)^MAX(ROUNDUP(IFERROR(DATEDIF($I195-1,CI$15+1,"m"),)/12,)-1,)*Index!CE$23*(CI$15&gt;$I213)*(1-CI$12)</f>
        <v>0</v>
      </c>
      <c r="CJ213" s="767">
        <f>$G213*$H213*(1+$K213)^MAX(ROUNDUP(IFERROR(DATEDIF($I195-1,CJ$15+1,"m"),)/12,)-1,)*Index!CF$23*(CJ$15&gt;$I213)*(1-CJ$12)</f>
        <v>0</v>
      </c>
      <c r="CK213" s="767">
        <f>$G213*$H213*(1+$K213)^MAX(ROUNDUP(IFERROR(DATEDIF($I195-1,CK$15+1,"m"),)/12,)-1,)*Index!CG$23*(CK$15&gt;$I213)*(1-CK$12)</f>
        <v>0</v>
      </c>
      <c r="CL213" s="767">
        <f>$G213*$H213*(1+$K213)^MAX(ROUNDUP(IFERROR(DATEDIF($I195-1,CL$15+1,"m"),)/12,)-1,)*Index!CH$23*(CL$15&gt;$I213)*(1-CL$12)</f>
        <v>0</v>
      </c>
      <c r="CM213" s="767">
        <f>$G213*$H213*(1+$K213)^MAX(ROUNDUP(IFERROR(DATEDIF($I195-1,CM$15+1,"m"),)/12,)-1,)*Index!CI$23*(CM$15&gt;$I213)*(1-CM$12)</f>
        <v>0</v>
      </c>
      <c r="CN213" s="767">
        <f>$G213*$H213*(1+$K213)^MAX(ROUNDUP(IFERROR(DATEDIF($I195-1,CN$15+1,"m"),)/12,)-1,)*Index!CJ$23*(CN$15&gt;$I213)*(1-CN$12)</f>
        <v>0</v>
      </c>
      <c r="CO213" s="767">
        <f>$G213*$H213*(1+$K213)^MAX(ROUNDUP(IFERROR(DATEDIF($I195-1,CO$15+1,"m"),)/12,)-1,)*Index!CK$23*(CO$15&gt;$I213)*(1-CO$12)</f>
        <v>0</v>
      </c>
      <c r="CP213" s="767">
        <f>$G213*$H213*(1+$K213)^MAX(ROUNDUP(IFERROR(DATEDIF($I195-1,CP$15+1,"m"),)/12,)-1,)*Index!CL$23*(CP$15&gt;$I213)*(1-CP$12)</f>
        <v>0</v>
      </c>
      <c r="CQ213" s="767">
        <f>$G213*$H213*(1+$K213)^MAX(ROUNDUP(IFERROR(DATEDIF($I195-1,CQ$15+1,"m"),)/12,)-1,)*Index!CM$23*(CQ$15&gt;$I213)*(1-CQ$12)</f>
        <v>0</v>
      </c>
      <c r="CR213" s="767">
        <f>$G213*$H213*(1+$K213)^MAX(ROUNDUP(IFERROR(DATEDIF($I195-1,CR$15+1,"m"),)/12,)-1,)*Index!CN$23*(CR$15&gt;$I213)*(1-CR$12)</f>
        <v>0</v>
      </c>
      <c r="CS213" s="767">
        <f>$G213*$H213*(1+$K213)^MAX(ROUNDUP(IFERROR(DATEDIF($I195-1,CS$15+1,"m"),)/12,)-1,)*Index!CO$23*(CS$15&gt;$I213)*(1-CS$12)</f>
        <v>0</v>
      </c>
      <c r="CT213" s="767">
        <f>$G213*$H213*(1+$K213)^MAX(ROUNDUP(IFERROR(DATEDIF($I195-1,CT$15+1,"m"),)/12,)-1,)*Index!CP$23*(CT$15&gt;$I213)*(1-CT$12)</f>
        <v>0</v>
      </c>
      <c r="CU213" s="767">
        <f>$G213*$H213*(1+$K213)^MAX(ROUNDUP(IFERROR(DATEDIF($I195-1,CU$15+1,"m"),)/12,)-1,)*Index!CQ$23*(CU$15&gt;$I213)*(1-CU$12)</f>
        <v>0</v>
      </c>
      <c r="CV213" s="767">
        <f>$G213*$H213*(1+$K213)^MAX(ROUNDUP(IFERROR(DATEDIF($I195-1,CV$15+1,"m"),)/12,)-1,)*Index!CR$23*(CV$15&gt;$I213)*(1-CV$12)</f>
        <v>0</v>
      </c>
      <c r="CW213" s="767">
        <f>$G213*$H213*(1+$K213)^MAX(ROUNDUP(IFERROR(DATEDIF($I195-1,CW$15+1,"m"),)/12,)-1,)*Index!CS$23*(CW$15&gt;$I213)*(1-CW$12)</f>
        <v>0</v>
      </c>
      <c r="CX213" s="767">
        <f>$G213*$H213*(1+$K213)^MAX(ROUNDUP(IFERROR(DATEDIF($I195-1,CX$15+1,"m"),)/12,)-1,)*Index!CT$23*(CX$15&gt;$I213)*(1-CX$12)</f>
        <v>0</v>
      </c>
      <c r="CY213" s="767">
        <f>$G213*$H213*(1+$K213)^MAX(ROUNDUP(IFERROR(DATEDIF($I195-1,CY$15+1,"m"),)/12,)-1,)*Index!CU$23*(CY$15&gt;$I213)*(1-CY$12)</f>
        <v>0</v>
      </c>
      <c r="CZ213" s="767">
        <f>$G213*$H213*(1+$K213)^MAX(ROUNDUP(IFERROR(DATEDIF($I195-1,CZ$15+1,"m"),)/12,)-1,)*Index!CV$23*(CZ$15&gt;$I213)*(1-CZ$12)</f>
        <v>0</v>
      </c>
      <c r="DA213" s="767">
        <f>$G213*$H213*(1+$K213)^MAX(ROUNDUP(IFERROR(DATEDIF($I195-1,DA$15+1,"m"),)/12,)-1,)*Index!CW$23*(DA$15&gt;$I213)*(1-DA$12)</f>
        <v>0</v>
      </c>
      <c r="DB213" s="767">
        <f>$G213*$H213*(1+$K213)^MAX(ROUNDUP(IFERROR(DATEDIF($I195-1,DB$15+1,"m"),)/12,)-1,)*Index!CX$23*(DB$15&gt;$I213)*(1-DB$12)</f>
        <v>0</v>
      </c>
      <c r="DC213" s="767">
        <f>$G213*$H213*(1+$K213)^MAX(ROUNDUP(IFERROR(DATEDIF($I195-1,DC$15+1,"m"),)/12,)-1,)*Index!CY$23*(DC$15&gt;$I213)*(1-DC$12)</f>
        <v>0</v>
      </c>
      <c r="DD213" s="767">
        <f>$G213*$H213*(1+$K213)^MAX(ROUNDUP(IFERROR(DATEDIF($I195-1,DD$15+1,"m"),)/12,)-1,)*Index!CZ$23*(DD$15&gt;$I213)*(1-DD$12)</f>
        <v>0</v>
      </c>
      <c r="DE213" s="767">
        <f>$G213*$H213*(1+$K213)^MAX(ROUNDUP(IFERROR(DATEDIF($I195-1,DE$15+1,"m"),)/12,)-1,)*Index!DA$23*(DE$15&gt;$I213)*(1-DE$12)</f>
        <v>0</v>
      </c>
      <c r="DF213" s="767">
        <f>$G213*$H213*(1+$K213)^MAX(ROUNDUP(IFERROR(DATEDIF($I195-1,DF$15+1,"m"),)/12,)-1,)*Index!DB$23*(DF$15&gt;$I213)*(1-DF$12)</f>
        <v>0</v>
      </c>
      <c r="DG213" s="767">
        <f>$G213*$H213*(1+$K213)^MAX(ROUNDUP(IFERROR(DATEDIF($I195-1,DG$15+1,"m"),)/12,)-1,)*Index!DC$23*(DG$15&gt;$I213)*(1-DG$12)</f>
        <v>0</v>
      </c>
      <c r="DH213" s="767">
        <f>$G213*$H213*(1+$K213)^MAX(ROUNDUP(IFERROR(DATEDIF($I195-1,DH$15+1,"m"),)/12,)-1,)*Index!DD$23*(DH$15&gt;$I213)*(1-DH$12)</f>
        <v>0</v>
      </c>
      <c r="DI213" s="767">
        <f>$G213*$H213*(1+$K213)^MAX(ROUNDUP(IFERROR(DATEDIF($I195-1,DI$15+1,"m"),)/12,)-1,)*Index!DE$23*(DI$15&gt;$I213)*(1-DI$12)</f>
        <v>0</v>
      </c>
      <c r="DJ213" s="767">
        <f>$G213*$H213*(1+$K213)^MAX(ROUNDUP(IFERROR(DATEDIF($I195-1,DJ$15+1,"m"),)/12,)-1,)*Index!DF$23*(DJ$15&gt;$I213)*(1-DJ$12)</f>
        <v>0</v>
      </c>
      <c r="DK213" s="767">
        <f>$G213*$H213*(1+$K213)^MAX(ROUNDUP(IFERROR(DATEDIF($I195-1,DK$15+1,"m"),)/12,)-1,)*Index!DG$23*(DK$15&gt;$I213)*(1-DK$12)</f>
        <v>0</v>
      </c>
      <c r="DL213" s="767">
        <f>$G213*$H213*(1+$K213)^MAX(ROUNDUP(IFERROR(DATEDIF($I195-1,DL$15+1,"m"),)/12,)-1,)*Index!DH$23*(DL$15&gt;$I213)*(1-DL$12)</f>
        <v>0</v>
      </c>
      <c r="DM213" s="767">
        <f>$G213*$H213*(1+$K213)^MAX(ROUNDUP(IFERROR(DATEDIF($I195-1,DM$15+1,"m"),)/12,)-1,)*Index!DI$23*(DM$15&gt;$I213)*(1-DM$12)</f>
        <v>0</v>
      </c>
      <c r="DN213" s="767">
        <f>$G213*$H213*(1+$K213)^MAX(ROUNDUP(IFERROR(DATEDIF($I195-1,DN$15+1,"m"),)/12,)-1,)*Index!DJ$23*(DN$15&gt;$I213)*(1-DN$12)</f>
        <v>0</v>
      </c>
      <c r="DO213" s="767">
        <f>$G213*$H213*(1+$K213)^MAX(ROUNDUP(IFERROR(DATEDIF($I195-1,DO$15+1,"m"),)/12,)-1,)*Index!DK$23*(DO$15&gt;$I213)*(1-DO$12)</f>
        <v>0</v>
      </c>
      <c r="DP213" s="767">
        <f>$G213*$H213*(1+$K213)^MAX(ROUNDUP(IFERROR(DATEDIF($I195-1,DP$15+1,"m"),)/12,)-1,)*Index!DL$23*(DP$15&gt;$I213)*(1-DP$12)</f>
        <v>0</v>
      </c>
      <c r="DQ213" s="767">
        <f>$G213*$H213*(1+$K213)^MAX(ROUNDUP(IFERROR(DATEDIF($I195-1,DQ$15+1,"m"),)/12,)-1,)*Index!DM$23*(DQ$15&gt;$I213)*(1-DQ$12)</f>
        <v>0</v>
      </c>
      <c r="DR213" s="767">
        <f>$G213*$H213*(1+$K213)^MAX(ROUNDUP(IFERROR(DATEDIF($I195-1,DR$15+1,"m"),)/12,)-1,)*Index!DN$23*(DR$15&gt;$I213)*(1-DR$12)</f>
        <v>0</v>
      </c>
      <c r="DS213" s="767">
        <f>$G213*$H213*(1+$K213)^MAX(ROUNDUP(IFERROR(DATEDIF($I195-1,DS$15+1,"m"),)/12,)-1,)*Index!DO$23*(DS$15&gt;$I213)*(1-DS$12)</f>
        <v>0</v>
      </c>
      <c r="DT213" s="767">
        <f>$G213*$H213*(1+$K213)^MAX(ROUNDUP(IFERROR(DATEDIF($I195-1,DT$15+1,"m"),)/12,)-1,)*Index!DP$23*(DT$15&gt;$I213)*(1-DT$12)</f>
        <v>0</v>
      </c>
      <c r="DU213" s="767">
        <f>$G213*$H213*(1+$K213)^MAX(ROUNDUP(IFERROR(DATEDIF($I195-1,DU$15+1,"m"),)/12,)-1,)*Index!DQ$23*(DU$15&gt;$I213)*(1-DU$12)</f>
        <v>0</v>
      </c>
      <c r="DV213" s="767">
        <f>$G213*$H213*(1+$K213)^MAX(ROUNDUP(IFERROR(DATEDIF($I195-1,DV$15+1,"m"),)/12,)-1,)*Index!DR$23*(DV$15&gt;$I213)*(1-DV$12)</f>
        <v>0</v>
      </c>
      <c r="DW213" s="767">
        <f>$G213*$H213*(1+$K213)^MAX(ROUNDUP(IFERROR(DATEDIF($I195-1,DW$15+1,"m"),)/12,)-1,)*Index!DS$23*(DW$15&gt;$I213)*(1-DW$12)</f>
        <v>0</v>
      </c>
      <c r="DX213" s="767">
        <f>$G213*$H213*(1+$K213)^MAX(ROUNDUP(IFERROR(DATEDIF($I195-1,DX$15+1,"m"),)/12,)-1,)*Index!DT$23*(DX$15&gt;$I213)*(1-DX$12)</f>
        <v>0</v>
      </c>
      <c r="DY213" s="767">
        <f>$G213*$H213*(1+$K213)^MAX(ROUNDUP(IFERROR(DATEDIF($I195-1,DY$15+1,"m"),)/12,)-1,)*Index!DU$23*(DY$15&gt;$I213)*(1-DY$12)</f>
        <v>0</v>
      </c>
      <c r="DZ213" s="767">
        <f>$G213*$H213*(1+$K213)^MAX(ROUNDUP(IFERROR(DATEDIF($I195-1,DZ$15+1,"m"),)/12,)-1,)*Index!DV$23*(DZ$15&gt;$I213)*(1-DZ$12)</f>
        <v>0</v>
      </c>
      <c r="EA213" s="767">
        <f>$G213*$H213*(1+$K213)^MAX(ROUNDUP(IFERROR(DATEDIF($I195-1,EA$15+1,"m"),)/12,)-1,)*Index!DW$23*(EA$15&gt;$I213)*(1-EA$12)</f>
        <v>0</v>
      </c>
      <c r="EB213" s="767">
        <f>$G213*$H213*(1+$K213)^MAX(ROUNDUP(IFERROR(DATEDIF($I195-1,EB$15+1,"m"),)/12,)-1,)*Index!DX$23*(EB$15&gt;$I213)*(1-EB$12)</f>
        <v>0</v>
      </c>
      <c r="EC213" s="767">
        <f>$G213*$H213*(1+$K213)^MAX(ROUNDUP(IFERROR(DATEDIF($I195-1,EC$15+1,"m"),)/12,)-1,)*Index!DY$23*(EC$15&gt;$I213)*(1-EC$12)</f>
        <v>0</v>
      </c>
      <c r="ED213" s="767">
        <f>$G213*$H213*(1+$K213)^MAX(ROUNDUP(IFERROR(DATEDIF($I195-1,ED$15+1,"m"),)/12,)-1,)*Index!DZ$23*(ED$15&gt;$I213)*(1-ED$12)</f>
        <v>0</v>
      </c>
      <c r="EE213" s="767">
        <f>$G213*$H213*(1+$K213)^MAX(ROUNDUP(IFERROR(DATEDIF($I195-1,EE$15+1,"m"),)/12,)-1,)*Index!EA$23*(EE$15&gt;$I213)*(1-EE$12)</f>
        <v>0</v>
      </c>
      <c r="EF213" s="767">
        <f>$G213*$H213*(1+$K213)^MAX(ROUNDUP(IFERROR(DATEDIF($I195-1,EF$15+1,"m"),)/12,)-1,)*Index!EB$23*(EF$15&gt;$I213)*(1-EF$12)</f>
        <v>0</v>
      </c>
      <c r="EG213" s="767">
        <f>$G213*$H213*(1+$K213)^MAX(ROUNDUP(IFERROR(DATEDIF($I195-1,EG$15+1,"m"),)/12,)-1,)*Index!EC$23*(EG$15&gt;$I213)*(1-EG$12)</f>
        <v>10442.246316096704</v>
      </c>
      <c r="EH213" s="767">
        <f>$G213*$H213*(1+$K213)^MAX(ROUNDUP(IFERROR(DATEDIF($I195-1,EH$15+1,"m"),)/12,)-1,)*Index!ED$23*(EH$15&gt;$I213)*(1-EH$12)</f>
        <v>10703.30247399912</v>
      </c>
      <c r="EI213" s="767">
        <f>$G213*$H213*(1+$K213)^MAX(ROUNDUP(IFERROR(DATEDIF($I195-1,EI$15+1,"m"),)/12,)-1,)*Index!EE$23*(EI$15&gt;$I213)*(1-EI$12)</f>
        <v>10703.30247399912</v>
      </c>
      <c r="EJ213" s="767">
        <f>$G213*$H213*(1+$K213)^MAX(ROUNDUP(IFERROR(DATEDIF($I195-1,EJ$15+1,"m"),)/12,)-1,)*Index!EF$23*(EJ$15&gt;$I213)*(1-EJ$12)</f>
        <v>10703.30247399912</v>
      </c>
      <c r="EK213" s="767">
        <f>$G213*$H213*(1+$K213)^MAX(ROUNDUP(IFERROR(DATEDIF($I195-1,EK$15+1,"m"),)/12,)-1,)*Index!EG$23*(EK$15&gt;$I213)*(1-EK$12)</f>
        <v>10703.30247399912</v>
      </c>
      <c r="EL213" s="767">
        <f>$G213*$H213*(1+$K213)^MAX(ROUNDUP(IFERROR(DATEDIF($I195-1,EL$15+1,"m"),)/12,)-1,)*Index!EH$23*(EL$15&gt;$I213)*(1-EL$12)</f>
        <v>10703.30247399912</v>
      </c>
      <c r="EM213" s="767">
        <f>$G213*$H213*(1+$K213)^MAX(ROUNDUP(IFERROR(DATEDIF($I195-1,EM$15+1,"m"),)/12,)-1,)*Index!EI$23*(EM$15&gt;$I213)*(1-EM$12)</f>
        <v>10703.30247399912</v>
      </c>
      <c r="EN213" s="767">
        <f>$G213*$H213*(1+$K213)^MAX(ROUNDUP(IFERROR(DATEDIF($I195-1,EN$15+1,"m"),)/12,)-1,)*Index!EJ$23*(EN$15&gt;$I213)*(1-EN$12)</f>
        <v>10703.30247399912</v>
      </c>
      <c r="EO213" s="767">
        <f>$G213*$H213*(1+$K213)^MAX(ROUNDUP(IFERROR(DATEDIF($I195-1,EO$15+1,"m"),)/12,)-1,)*Index!EK$23*(EO$15&gt;$I213)*(1-EO$12)</f>
        <v>10703.30247399912</v>
      </c>
      <c r="EP213" s="767">
        <f>$G213*$H213*(1+$K213)^MAX(ROUNDUP(IFERROR(DATEDIF($I195-1,EP$15+1,"m"),)/12,)-1,)*Index!EL$23*(EP$15&gt;$I213)*(1-EP$12)</f>
        <v>10703.30247399912</v>
      </c>
      <c r="EQ213" s="767">
        <f>$G213*$H213*(1+$K213)^MAX(ROUNDUP(IFERROR(DATEDIF($I195-1,EQ$15+1,"m"),)/12,)-1,)*Index!EM$23*(EQ$15&gt;$I213)*(1-EQ$12)</f>
        <v>10703.30247399912</v>
      </c>
      <c r="ER213" s="767">
        <f>$G213*$H213*(1+$K213)^MAX(ROUNDUP(IFERROR(DATEDIF($I195-1,ER$15+1,"m"),)/12,)-1,)*Index!EN$23*(ER$15&gt;$I213)*(1-ER$12)</f>
        <v>10703.30247399912</v>
      </c>
      <c r="ES213" s="767">
        <f>$G213*$H213*(1+$K213)^MAX(ROUNDUP(IFERROR(DATEDIF($I195-1,ES$15+1,"m"),)/12,)-1,)*Index!EO$23*(ES$15&gt;$I213)*(1-ES$12)</f>
        <v>0</v>
      </c>
      <c r="ET213" s="767">
        <f>$G213*$H213*(1+$K213)^MAX(ROUNDUP(IFERROR(DATEDIF($I195-1,ET$15+1,"m"),)/12,)-1,)*Index!EP$23*(ET$15&gt;$I213)*(1-ET$12)</f>
        <v>0</v>
      </c>
      <c r="EU213" s="767">
        <f>$G213*$H213*(1+$K213)^MAX(ROUNDUP(IFERROR(DATEDIF($I195-1,EU$15+1,"m"),)/12,)-1,)*Index!EQ$23*(EU$15&gt;$I213)*(1-EU$12)</f>
        <v>0</v>
      </c>
    </row>
    <row r="214" spans="3:151" ht="11.25" customHeight="1">
      <c r="C214" s="728" t="s">
        <v>799</v>
      </c>
      <c r="D214" s="729"/>
      <c r="E214" s="729"/>
      <c r="F214" s="729"/>
      <c r="G214" s="729"/>
      <c r="H214" s="729"/>
      <c r="I214" s="1259" t="s">
        <v>800</v>
      </c>
      <c r="J214" s="1259"/>
      <c r="K214" s="1259" t="s">
        <v>801</v>
      </c>
      <c r="L214" s="730"/>
      <c r="M214" s="731"/>
      <c r="N214" s="732">
        <f>SUM(N215:N231)</f>
        <v>892287.86244979384</v>
      </c>
      <c r="O214" s="733"/>
      <c r="P214" s="734">
        <f>SUM(P215:P231)</f>
        <v>0</v>
      </c>
      <c r="Q214" s="734">
        <f t="shared" ref="Q214:CB214" si="289">SUM(Q215:Q231)</f>
        <v>10873.369999999999</v>
      </c>
      <c r="R214" s="734">
        <f t="shared" si="289"/>
        <v>0</v>
      </c>
      <c r="S214" s="734">
        <f t="shared" si="289"/>
        <v>0</v>
      </c>
      <c r="T214" s="734">
        <f t="shared" si="289"/>
        <v>0</v>
      </c>
      <c r="U214" s="734">
        <f t="shared" si="289"/>
        <v>0</v>
      </c>
      <c r="V214" s="734">
        <f t="shared" si="289"/>
        <v>0</v>
      </c>
      <c r="W214" s="734">
        <f t="shared" si="289"/>
        <v>0</v>
      </c>
      <c r="X214" s="734">
        <f t="shared" si="289"/>
        <v>0</v>
      </c>
      <c r="Y214" s="734">
        <f t="shared" si="289"/>
        <v>0</v>
      </c>
      <c r="Z214" s="734">
        <f t="shared" si="289"/>
        <v>0</v>
      </c>
      <c r="AA214" s="734">
        <f t="shared" si="289"/>
        <v>0</v>
      </c>
      <c r="AB214" s="734">
        <f t="shared" si="289"/>
        <v>0</v>
      </c>
      <c r="AC214" s="734">
        <f t="shared" si="289"/>
        <v>0</v>
      </c>
      <c r="AD214" s="734">
        <f t="shared" si="289"/>
        <v>0</v>
      </c>
      <c r="AE214" s="734">
        <f t="shared" si="289"/>
        <v>0</v>
      </c>
      <c r="AF214" s="734">
        <f t="shared" si="289"/>
        <v>0</v>
      </c>
      <c r="AG214" s="734">
        <f t="shared" si="289"/>
        <v>0</v>
      </c>
      <c r="AH214" s="734">
        <f t="shared" si="289"/>
        <v>0</v>
      </c>
      <c r="AI214" s="734">
        <f t="shared" si="289"/>
        <v>0</v>
      </c>
      <c r="AJ214" s="734">
        <f t="shared" si="289"/>
        <v>0</v>
      </c>
      <c r="AK214" s="734">
        <f t="shared" si="289"/>
        <v>0</v>
      </c>
      <c r="AL214" s="734">
        <f t="shared" si="289"/>
        <v>0</v>
      </c>
      <c r="AM214" s="734">
        <f t="shared" si="289"/>
        <v>0</v>
      </c>
      <c r="AN214" s="734">
        <f t="shared" si="289"/>
        <v>0</v>
      </c>
      <c r="AO214" s="734">
        <f t="shared" si="289"/>
        <v>0</v>
      </c>
      <c r="AP214" s="734">
        <f t="shared" si="289"/>
        <v>0</v>
      </c>
      <c r="AQ214" s="734">
        <f t="shared" si="289"/>
        <v>0</v>
      </c>
      <c r="AR214" s="734">
        <f t="shared" si="289"/>
        <v>0</v>
      </c>
      <c r="AS214" s="734">
        <f t="shared" si="289"/>
        <v>0</v>
      </c>
      <c r="AT214" s="734">
        <f t="shared" si="289"/>
        <v>0</v>
      </c>
      <c r="AU214" s="734">
        <f t="shared" si="289"/>
        <v>0</v>
      </c>
      <c r="AV214" s="734">
        <f t="shared" si="289"/>
        <v>0</v>
      </c>
      <c r="AW214" s="734">
        <f t="shared" si="289"/>
        <v>0</v>
      </c>
      <c r="AX214" s="734">
        <f t="shared" si="289"/>
        <v>68398.392522169117</v>
      </c>
      <c r="AY214" s="734">
        <f t="shared" si="289"/>
        <v>0</v>
      </c>
      <c r="AZ214" s="734">
        <f t="shared" si="289"/>
        <v>0</v>
      </c>
      <c r="BA214" s="734">
        <f t="shared" si="289"/>
        <v>0</v>
      </c>
      <c r="BB214" s="734">
        <f t="shared" si="289"/>
        <v>0</v>
      </c>
      <c r="BC214" s="734">
        <f t="shared" si="289"/>
        <v>15542.138131523938</v>
      </c>
      <c r="BD214" s="734">
        <f t="shared" si="289"/>
        <v>27654.803543305239</v>
      </c>
      <c r="BE214" s="734">
        <f t="shared" si="289"/>
        <v>0</v>
      </c>
      <c r="BF214" s="734">
        <f t="shared" si="289"/>
        <v>0</v>
      </c>
      <c r="BG214" s="734">
        <f t="shared" si="289"/>
        <v>558.55563724519311</v>
      </c>
      <c r="BH214" s="734">
        <f t="shared" si="289"/>
        <v>0</v>
      </c>
      <c r="BI214" s="734">
        <f t="shared" si="289"/>
        <v>0</v>
      </c>
      <c r="BJ214" s="734">
        <f t="shared" si="289"/>
        <v>0</v>
      </c>
      <c r="BK214" s="734">
        <f t="shared" si="289"/>
        <v>0</v>
      </c>
      <c r="BL214" s="734">
        <f t="shared" si="289"/>
        <v>0</v>
      </c>
      <c r="BM214" s="734">
        <f t="shared" si="289"/>
        <v>0</v>
      </c>
      <c r="BN214" s="734">
        <f t="shared" si="289"/>
        <v>0</v>
      </c>
      <c r="BO214" s="734">
        <f t="shared" si="289"/>
        <v>0</v>
      </c>
      <c r="BP214" s="734">
        <f t="shared" si="289"/>
        <v>0</v>
      </c>
      <c r="BQ214" s="734">
        <f t="shared" si="289"/>
        <v>0</v>
      </c>
      <c r="BR214" s="734">
        <f t="shared" si="289"/>
        <v>0</v>
      </c>
      <c r="BS214" s="734">
        <f t="shared" si="289"/>
        <v>0</v>
      </c>
      <c r="BT214" s="734">
        <f t="shared" si="289"/>
        <v>0</v>
      </c>
      <c r="BU214" s="734">
        <f t="shared" si="289"/>
        <v>0</v>
      </c>
      <c r="BV214" s="734">
        <f t="shared" si="289"/>
        <v>0</v>
      </c>
      <c r="BW214" s="734">
        <f t="shared" si="289"/>
        <v>0</v>
      </c>
      <c r="BX214" s="734">
        <f t="shared" si="289"/>
        <v>0</v>
      </c>
      <c r="BY214" s="734">
        <f t="shared" si="289"/>
        <v>0</v>
      </c>
      <c r="BZ214" s="734">
        <f t="shared" si="289"/>
        <v>0</v>
      </c>
      <c r="CA214" s="734">
        <f t="shared" si="289"/>
        <v>0</v>
      </c>
      <c r="CB214" s="734">
        <f t="shared" si="289"/>
        <v>0</v>
      </c>
      <c r="CC214" s="734">
        <f t="shared" ref="CC214:EN214" si="290">SUM(CC215:CC231)</f>
        <v>0</v>
      </c>
      <c r="CD214" s="734">
        <f t="shared" si="290"/>
        <v>0</v>
      </c>
      <c r="CE214" s="734">
        <f t="shared" si="290"/>
        <v>0</v>
      </c>
      <c r="CF214" s="734">
        <f t="shared" si="290"/>
        <v>0</v>
      </c>
      <c r="CG214" s="734">
        <f t="shared" si="290"/>
        <v>0</v>
      </c>
      <c r="CH214" s="734">
        <f t="shared" si="290"/>
        <v>0</v>
      </c>
      <c r="CI214" s="734">
        <f t="shared" si="290"/>
        <v>0</v>
      </c>
      <c r="CJ214" s="734">
        <f t="shared" si="290"/>
        <v>0</v>
      </c>
      <c r="CK214" s="734">
        <f t="shared" si="290"/>
        <v>0</v>
      </c>
      <c r="CL214" s="734">
        <f t="shared" si="290"/>
        <v>0</v>
      </c>
      <c r="CM214" s="734">
        <f t="shared" si="290"/>
        <v>0</v>
      </c>
      <c r="CN214" s="734">
        <f t="shared" si="290"/>
        <v>0</v>
      </c>
      <c r="CO214" s="734">
        <f t="shared" si="290"/>
        <v>0</v>
      </c>
      <c r="CP214" s="734">
        <f t="shared" si="290"/>
        <v>0</v>
      </c>
      <c r="CQ214" s="734">
        <f t="shared" si="290"/>
        <v>0</v>
      </c>
      <c r="CR214" s="734">
        <f t="shared" si="290"/>
        <v>0</v>
      </c>
      <c r="CS214" s="734">
        <f t="shared" si="290"/>
        <v>0</v>
      </c>
      <c r="CT214" s="734">
        <f t="shared" si="290"/>
        <v>0</v>
      </c>
      <c r="CU214" s="734">
        <f t="shared" si="290"/>
        <v>0</v>
      </c>
      <c r="CV214" s="734">
        <f t="shared" si="290"/>
        <v>0</v>
      </c>
      <c r="CW214" s="734">
        <f t="shared" si="290"/>
        <v>0</v>
      </c>
      <c r="CX214" s="734">
        <f t="shared" si="290"/>
        <v>0</v>
      </c>
      <c r="CY214" s="734">
        <f t="shared" si="290"/>
        <v>0</v>
      </c>
      <c r="CZ214" s="734">
        <f t="shared" si="290"/>
        <v>0</v>
      </c>
      <c r="DA214" s="734">
        <f t="shared" si="290"/>
        <v>0</v>
      </c>
      <c r="DB214" s="734">
        <f t="shared" si="290"/>
        <v>0</v>
      </c>
      <c r="DC214" s="734">
        <f t="shared" si="290"/>
        <v>600151.77038404613</v>
      </c>
      <c r="DD214" s="734">
        <f t="shared" si="290"/>
        <v>0</v>
      </c>
      <c r="DE214" s="734">
        <f t="shared" si="290"/>
        <v>0</v>
      </c>
      <c r="DF214" s="734">
        <f t="shared" si="290"/>
        <v>77386.503048098835</v>
      </c>
      <c r="DG214" s="734">
        <f t="shared" si="290"/>
        <v>0</v>
      </c>
      <c r="DH214" s="734">
        <f t="shared" si="290"/>
        <v>0</v>
      </c>
      <c r="DI214" s="734">
        <f t="shared" si="290"/>
        <v>0</v>
      </c>
      <c r="DJ214" s="734">
        <f t="shared" si="290"/>
        <v>0</v>
      </c>
      <c r="DK214" s="734">
        <f t="shared" si="290"/>
        <v>17584.502727886731</v>
      </c>
      <c r="DL214" s="734">
        <f t="shared" si="290"/>
        <v>42217.000165410893</v>
      </c>
      <c r="DM214" s="734">
        <f t="shared" si="290"/>
        <v>0</v>
      </c>
      <c r="DN214" s="734">
        <f t="shared" si="290"/>
        <v>31288.871854772297</v>
      </c>
      <c r="DO214" s="734">
        <f t="shared" si="290"/>
        <v>631.95443533556806</v>
      </c>
      <c r="DP214" s="734">
        <f t="shared" si="290"/>
        <v>0</v>
      </c>
      <c r="DQ214" s="734">
        <f t="shared" si="290"/>
        <v>0</v>
      </c>
      <c r="DR214" s="734">
        <f t="shared" si="290"/>
        <v>0</v>
      </c>
      <c r="DS214" s="734">
        <f t="shared" si="290"/>
        <v>0</v>
      </c>
      <c r="DT214" s="734">
        <f t="shared" si="290"/>
        <v>0</v>
      </c>
      <c r="DU214" s="734">
        <f t="shared" si="290"/>
        <v>0</v>
      </c>
      <c r="DV214" s="734">
        <f t="shared" si="290"/>
        <v>0</v>
      </c>
      <c r="DW214" s="734">
        <f t="shared" si="290"/>
        <v>0</v>
      </c>
      <c r="DX214" s="734">
        <f t="shared" si="290"/>
        <v>0</v>
      </c>
      <c r="DY214" s="734">
        <f t="shared" si="290"/>
        <v>0</v>
      </c>
      <c r="DZ214" s="734">
        <f t="shared" si="290"/>
        <v>0</v>
      </c>
      <c r="EA214" s="734">
        <f t="shared" si="290"/>
        <v>0</v>
      </c>
      <c r="EB214" s="734">
        <f t="shared" si="290"/>
        <v>0</v>
      </c>
      <c r="EC214" s="734">
        <f t="shared" si="290"/>
        <v>0</v>
      </c>
      <c r="ED214" s="734">
        <f t="shared" si="290"/>
        <v>0</v>
      </c>
      <c r="EE214" s="734">
        <f t="shared" si="290"/>
        <v>0</v>
      </c>
      <c r="EF214" s="734">
        <f t="shared" si="290"/>
        <v>0</v>
      </c>
      <c r="EG214" s="734">
        <f t="shared" si="290"/>
        <v>0</v>
      </c>
      <c r="EH214" s="734">
        <f t="shared" si="290"/>
        <v>0</v>
      </c>
      <c r="EI214" s="734">
        <f t="shared" si="290"/>
        <v>0</v>
      </c>
      <c r="EJ214" s="734">
        <f t="shared" si="290"/>
        <v>0</v>
      </c>
      <c r="EK214" s="734">
        <f t="shared" si="290"/>
        <v>0</v>
      </c>
      <c r="EL214" s="734">
        <f t="shared" si="290"/>
        <v>0</v>
      </c>
      <c r="EM214" s="734">
        <f t="shared" si="290"/>
        <v>0</v>
      </c>
      <c r="EN214" s="734">
        <f t="shared" si="290"/>
        <v>0</v>
      </c>
      <c r="EO214" s="734">
        <f t="shared" ref="EO214:EU214" si="291">SUM(EO215:EO231)</f>
        <v>0</v>
      </c>
      <c r="EP214" s="734">
        <f t="shared" si="291"/>
        <v>0</v>
      </c>
      <c r="EQ214" s="734">
        <f t="shared" si="291"/>
        <v>0</v>
      </c>
      <c r="ER214" s="734">
        <f t="shared" si="291"/>
        <v>0</v>
      </c>
      <c r="ES214" s="734">
        <f t="shared" si="291"/>
        <v>0</v>
      </c>
      <c r="ET214" s="734">
        <f t="shared" si="291"/>
        <v>0</v>
      </c>
      <c r="EU214" s="734">
        <f t="shared" si="291"/>
        <v>0</v>
      </c>
    </row>
    <row r="215" spans="3:151" ht="11.25" customHeight="1">
      <c r="C215" s="735"/>
      <c r="D215" s="736" t="str">
        <f>'A&amp;R'!V6</f>
        <v>옥상</v>
      </c>
      <c r="E215" s="737" t="s">
        <v>850</v>
      </c>
      <c r="F215" s="737" t="str">
        <f>'A&amp;R'!X6</f>
        <v>태양광시설</v>
      </c>
      <c r="G215" s="751"/>
      <c r="H215" s="1260">
        <f>'A&amp;R'!AB6</f>
        <v>120</v>
      </c>
      <c r="I215" s="1262">
        <v>0</v>
      </c>
      <c r="J215" s="739"/>
      <c r="K215" s="753">
        <v>0</v>
      </c>
      <c r="L215" s="740"/>
      <c r="M215" s="741"/>
      <c r="N215" s="742">
        <f>SUM(P215:EU215)</f>
        <v>0</v>
      </c>
      <c r="O215" s="733"/>
      <c r="P215" s="742">
        <f>(MOD(IFERROR(DATEDIF($I17-1,P$15+1,"m"),),$H215)=1)*1*$K215*SUM(P17,P35)</f>
        <v>0</v>
      </c>
      <c r="Q215" s="742">
        <f t="shared" ref="Q215:CB215" si="292">(MOD(IFERROR(DATEDIF($I17-1,Q$15+1,"m"),),$H215)=1)*1*$K215*SUM(Q17,Q35)</f>
        <v>0</v>
      </c>
      <c r="R215" s="742">
        <f t="shared" si="292"/>
        <v>0</v>
      </c>
      <c r="S215" s="742">
        <f t="shared" si="292"/>
        <v>0</v>
      </c>
      <c r="T215" s="742">
        <f t="shared" si="292"/>
        <v>0</v>
      </c>
      <c r="U215" s="742">
        <f t="shared" si="292"/>
        <v>0</v>
      </c>
      <c r="V215" s="742">
        <f t="shared" si="292"/>
        <v>0</v>
      </c>
      <c r="W215" s="742">
        <f t="shared" si="292"/>
        <v>0</v>
      </c>
      <c r="X215" s="742">
        <f t="shared" si="292"/>
        <v>0</v>
      </c>
      <c r="Y215" s="742">
        <f t="shared" si="292"/>
        <v>0</v>
      </c>
      <c r="Z215" s="742">
        <f t="shared" si="292"/>
        <v>0</v>
      </c>
      <c r="AA215" s="742">
        <f t="shared" si="292"/>
        <v>0</v>
      </c>
      <c r="AB215" s="742">
        <f t="shared" si="292"/>
        <v>0</v>
      </c>
      <c r="AC215" s="742">
        <f t="shared" si="292"/>
        <v>0</v>
      </c>
      <c r="AD215" s="742">
        <f t="shared" si="292"/>
        <v>0</v>
      </c>
      <c r="AE215" s="742">
        <f t="shared" si="292"/>
        <v>0</v>
      </c>
      <c r="AF215" s="742">
        <f t="shared" si="292"/>
        <v>0</v>
      </c>
      <c r="AG215" s="742">
        <f t="shared" si="292"/>
        <v>0</v>
      </c>
      <c r="AH215" s="742">
        <f t="shared" si="292"/>
        <v>0</v>
      </c>
      <c r="AI215" s="742">
        <f t="shared" si="292"/>
        <v>0</v>
      </c>
      <c r="AJ215" s="742">
        <f t="shared" si="292"/>
        <v>0</v>
      </c>
      <c r="AK215" s="742">
        <f t="shared" si="292"/>
        <v>0</v>
      </c>
      <c r="AL215" s="742">
        <f t="shared" si="292"/>
        <v>0</v>
      </c>
      <c r="AM215" s="742">
        <f t="shared" si="292"/>
        <v>0</v>
      </c>
      <c r="AN215" s="742">
        <f t="shared" si="292"/>
        <v>0</v>
      </c>
      <c r="AO215" s="742">
        <f t="shared" si="292"/>
        <v>0</v>
      </c>
      <c r="AP215" s="742">
        <f t="shared" si="292"/>
        <v>0</v>
      </c>
      <c r="AQ215" s="742">
        <f t="shared" si="292"/>
        <v>0</v>
      </c>
      <c r="AR215" s="742">
        <f t="shared" si="292"/>
        <v>0</v>
      </c>
      <c r="AS215" s="742">
        <f t="shared" si="292"/>
        <v>0</v>
      </c>
      <c r="AT215" s="742">
        <f t="shared" si="292"/>
        <v>0</v>
      </c>
      <c r="AU215" s="742">
        <f t="shared" si="292"/>
        <v>0</v>
      </c>
      <c r="AV215" s="742">
        <f t="shared" si="292"/>
        <v>0</v>
      </c>
      <c r="AW215" s="742">
        <f t="shared" si="292"/>
        <v>0</v>
      </c>
      <c r="AX215" s="742">
        <f t="shared" si="292"/>
        <v>0</v>
      </c>
      <c r="AY215" s="742">
        <f t="shared" si="292"/>
        <v>0</v>
      </c>
      <c r="AZ215" s="742">
        <f t="shared" si="292"/>
        <v>0</v>
      </c>
      <c r="BA215" s="742">
        <f t="shared" si="292"/>
        <v>0</v>
      </c>
      <c r="BB215" s="742">
        <f t="shared" si="292"/>
        <v>0</v>
      </c>
      <c r="BC215" s="742">
        <f t="shared" si="292"/>
        <v>0</v>
      </c>
      <c r="BD215" s="742">
        <f t="shared" si="292"/>
        <v>0</v>
      </c>
      <c r="BE215" s="742">
        <f t="shared" si="292"/>
        <v>0</v>
      </c>
      <c r="BF215" s="742">
        <f t="shared" si="292"/>
        <v>0</v>
      </c>
      <c r="BG215" s="742">
        <f t="shared" si="292"/>
        <v>0</v>
      </c>
      <c r="BH215" s="742">
        <f t="shared" si="292"/>
        <v>0</v>
      </c>
      <c r="BI215" s="742">
        <f t="shared" si="292"/>
        <v>0</v>
      </c>
      <c r="BJ215" s="742">
        <f t="shared" si="292"/>
        <v>0</v>
      </c>
      <c r="BK215" s="742">
        <f t="shared" si="292"/>
        <v>0</v>
      </c>
      <c r="BL215" s="742">
        <f t="shared" si="292"/>
        <v>0</v>
      </c>
      <c r="BM215" s="742">
        <f t="shared" si="292"/>
        <v>0</v>
      </c>
      <c r="BN215" s="742">
        <f t="shared" si="292"/>
        <v>0</v>
      </c>
      <c r="BO215" s="742">
        <f t="shared" si="292"/>
        <v>0</v>
      </c>
      <c r="BP215" s="742">
        <f t="shared" si="292"/>
        <v>0</v>
      </c>
      <c r="BQ215" s="742">
        <f t="shared" si="292"/>
        <v>0</v>
      </c>
      <c r="BR215" s="742">
        <f t="shared" si="292"/>
        <v>0</v>
      </c>
      <c r="BS215" s="742">
        <f t="shared" si="292"/>
        <v>0</v>
      </c>
      <c r="BT215" s="742">
        <f t="shared" si="292"/>
        <v>0</v>
      </c>
      <c r="BU215" s="742">
        <f t="shared" si="292"/>
        <v>0</v>
      </c>
      <c r="BV215" s="742">
        <f t="shared" si="292"/>
        <v>0</v>
      </c>
      <c r="BW215" s="742">
        <f t="shared" si="292"/>
        <v>0</v>
      </c>
      <c r="BX215" s="742">
        <f t="shared" si="292"/>
        <v>0</v>
      </c>
      <c r="BY215" s="742">
        <f t="shared" si="292"/>
        <v>0</v>
      </c>
      <c r="BZ215" s="742">
        <f t="shared" si="292"/>
        <v>0</v>
      </c>
      <c r="CA215" s="742">
        <f t="shared" si="292"/>
        <v>0</v>
      </c>
      <c r="CB215" s="742">
        <f t="shared" si="292"/>
        <v>0</v>
      </c>
      <c r="CC215" s="742">
        <f t="shared" ref="CC215:EN215" si="293">(MOD(IFERROR(DATEDIF($I17-1,CC$15+1,"m"),),$H215)=1)*1*$K215*SUM(CC17,CC35)</f>
        <v>0</v>
      </c>
      <c r="CD215" s="742">
        <f t="shared" si="293"/>
        <v>0</v>
      </c>
      <c r="CE215" s="742">
        <f t="shared" si="293"/>
        <v>0</v>
      </c>
      <c r="CF215" s="742">
        <f t="shared" si="293"/>
        <v>0</v>
      </c>
      <c r="CG215" s="742">
        <f t="shared" si="293"/>
        <v>0</v>
      </c>
      <c r="CH215" s="742">
        <f t="shared" si="293"/>
        <v>0</v>
      </c>
      <c r="CI215" s="742">
        <f t="shared" si="293"/>
        <v>0</v>
      </c>
      <c r="CJ215" s="742">
        <f t="shared" si="293"/>
        <v>0</v>
      </c>
      <c r="CK215" s="742">
        <f t="shared" si="293"/>
        <v>0</v>
      </c>
      <c r="CL215" s="742">
        <f t="shared" si="293"/>
        <v>0</v>
      </c>
      <c r="CM215" s="742">
        <f t="shared" si="293"/>
        <v>0</v>
      </c>
      <c r="CN215" s="742">
        <f t="shared" si="293"/>
        <v>0</v>
      </c>
      <c r="CO215" s="742">
        <f t="shared" si="293"/>
        <v>0</v>
      </c>
      <c r="CP215" s="742">
        <f t="shared" si="293"/>
        <v>0</v>
      </c>
      <c r="CQ215" s="742">
        <f t="shared" si="293"/>
        <v>0</v>
      </c>
      <c r="CR215" s="742">
        <f t="shared" si="293"/>
        <v>0</v>
      </c>
      <c r="CS215" s="742">
        <f t="shared" si="293"/>
        <v>0</v>
      </c>
      <c r="CT215" s="742">
        <f t="shared" si="293"/>
        <v>0</v>
      </c>
      <c r="CU215" s="742">
        <f t="shared" si="293"/>
        <v>0</v>
      </c>
      <c r="CV215" s="742">
        <f t="shared" si="293"/>
        <v>0</v>
      </c>
      <c r="CW215" s="742">
        <f t="shared" si="293"/>
        <v>0</v>
      </c>
      <c r="CX215" s="742">
        <f t="shared" si="293"/>
        <v>0</v>
      </c>
      <c r="CY215" s="742">
        <f t="shared" si="293"/>
        <v>0</v>
      </c>
      <c r="CZ215" s="742">
        <f t="shared" si="293"/>
        <v>0</v>
      </c>
      <c r="DA215" s="742">
        <f t="shared" si="293"/>
        <v>0</v>
      </c>
      <c r="DB215" s="742">
        <f t="shared" si="293"/>
        <v>0</v>
      </c>
      <c r="DC215" s="742">
        <f t="shared" si="293"/>
        <v>0</v>
      </c>
      <c r="DD215" s="742">
        <f t="shared" si="293"/>
        <v>0</v>
      </c>
      <c r="DE215" s="742">
        <f t="shared" si="293"/>
        <v>0</v>
      </c>
      <c r="DF215" s="742">
        <f t="shared" si="293"/>
        <v>0</v>
      </c>
      <c r="DG215" s="742">
        <f t="shared" si="293"/>
        <v>0</v>
      </c>
      <c r="DH215" s="742">
        <f t="shared" si="293"/>
        <v>0</v>
      </c>
      <c r="DI215" s="742">
        <f t="shared" si="293"/>
        <v>0</v>
      </c>
      <c r="DJ215" s="742">
        <f t="shared" si="293"/>
        <v>0</v>
      </c>
      <c r="DK215" s="742">
        <f t="shared" si="293"/>
        <v>0</v>
      </c>
      <c r="DL215" s="742">
        <f t="shared" si="293"/>
        <v>0</v>
      </c>
      <c r="DM215" s="742">
        <f t="shared" si="293"/>
        <v>0</v>
      </c>
      <c r="DN215" s="742">
        <f t="shared" si="293"/>
        <v>0</v>
      </c>
      <c r="DO215" s="742">
        <f t="shared" si="293"/>
        <v>0</v>
      </c>
      <c r="DP215" s="742">
        <f t="shared" si="293"/>
        <v>0</v>
      </c>
      <c r="DQ215" s="742">
        <f t="shared" si="293"/>
        <v>0</v>
      </c>
      <c r="DR215" s="742">
        <f t="shared" si="293"/>
        <v>0</v>
      </c>
      <c r="DS215" s="742">
        <f t="shared" si="293"/>
        <v>0</v>
      </c>
      <c r="DT215" s="742">
        <f t="shared" si="293"/>
        <v>0</v>
      </c>
      <c r="DU215" s="742">
        <f t="shared" si="293"/>
        <v>0</v>
      </c>
      <c r="DV215" s="742">
        <f t="shared" si="293"/>
        <v>0</v>
      </c>
      <c r="DW215" s="742">
        <f t="shared" si="293"/>
        <v>0</v>
      </c>
      <c r="DX215" s="742">
        <f t="shared" si="293"/>
        <v>0</v>
      </c>
      <c r="DY215" s="742">
        <f t="shared" si="293"/>
        <v>0</v>
      </c>
      <c r="DZ215" s="742">
        <f t="shared" si="293"/>
        <v>0</v>
      </c>
      <c r="EA215" s="742">
        <f t="shared" si="293"/>
        <v>0</v>
      </c>
      <c r="EB215" s="742">
        <f t="shared" si="293"/>
        <v>0</v>
      </c>
      <c r="EC215" s="742">
        <f t="shared" si="293"/>
        <v>0</v>
      </c>
      <c r="ED215" s="742">
        <f t="shared" si="293"/>
        <v>0</v>
      </c>
      <c r="EE215" s="742">
        <f t="shared" si="293"/>
        <v>0</v>
      </c>
      <c r="EF215" s="742">
        <f t="shared" si="293"/>
        <v>0</v>
      </c>
      <c r="EG215" s="742">
        <f t="shared" si="293"/>
        <v>0</v>
      </c>
      <c r="EH215" s="742">
        <f t="shared" si="293"/>
        <v>0</v>
      </c>
      <c r="EI215" s="742">
        <f t="shared" si="293"/>
        <v>0</v>
      </c>
      <c r="EJ215" s="742">
        <f t="shared" si="293"/>
        <v>0</v>
      </c>
      <c r="EK215" s="742">
        <f t="shared" si="293"/>
        <v>0</v>
      </c>
      <c r="EL215" s="742">
        <f t="shared" si="293"/>
        <v>0</v>
      </c>
      <c r="EM215" s="742">
        <f t="shared" si="293"/>
        <v>0</v>
      </c>
      <c r="EN215" s="742">
        <f t="shared" si="293"/>
        <v>0</v>
      </c>
      <c r="EO215" s="742">
        <f t="shared" ref="EO215:EU215" si="294">(MOD(IFERROR(DATEDIF($I17-1,EO$15+1,"m"),),$H215)=1)*1*$K215*SUM(EO17,EO35)</f>
        <v>0</v>
      </c>
      <c r="EP215" s="742">
        <f t="shared" si="294"/>
        <v>0</v>
      </c>
      <c r="EQ215" s="742">
        <f t="shared" si="294"/>
        <v>0</v>
      </c>
      <c r="ER215" s="742">
        <f t="shared" si="294"/>
        <v>0</v>
      </c>
      <c r="ES215" s="742">
        <f t="shared" si="294"/>
        <v>0</v>
      </c>
      <c r="ET215" s="742">
        <f t="shared" si="294"/>
        <v>0</v>
      </c>
      <c r="EU215" s="742">
        <f t="shared" si="294"/>
        <v>0</v>
      </c>
    </row>
    <row r="216" spans="3:151" ht="11.25" customHeight="1">
      <c r="C216" s="735"/>
      <c r="D216" s="743">
        <f t="shared" ref="D216:F231" si="295">D18</f>
        <v>8</v>
      </c>
      <c r="E216" s="704" t="str">
        <f t="shared" si="295"/>
        <v>쿠팡</v>
      </c>
      <c r="F216" s="704" t="str">
        <f t="shared" si="295"/>
        <v>근린생활시설</v>
      </c>
      <c r="G216" s="752"/>
      <c r="H216" s="1261">
        <f>'A&amp;R'!AB7</f>
        <v>90</v>
      </c>
      <c r="I216" s="1263">
        <v>1</v>
      </c>
      <c r="J216" s="745"/>
      <c r="K216" s="754">
        <f>'A&amp;R'!$U$69</f>
        <v>2</v>
      </c>
      <c r="L216" s="746"/>
      <c r="M216" s="722"/>
      <c r="N216" s="747">
        <f t="shared" ref="N216:N231" si="296">SUM(P216:EU216)</f>
        <v>16693.266943681567</v>
      </c>
      <c r="O216" s="733"/>
      <c r="P216" s="747">
        <f>(MOD(IFERROR(DATEDIF($I18-1,P$15+1,"m"),),$H216)=1)*1*$K216*SUM(P18,P36)</f>
        <v>0</v>
      </c>
      <c r="Q216" s="747">
        <f t="shared" ref="Q216:CB216" si="297">(MOD(IFERROR(DATEDIF($I18-1,Q$15+1,"m"),),$H216)=1)*1*$K216*SUM(Q18,Q36)</f>
        <v>5981.6939999999995</v>
      </c>
      <c r="R216" s="747">
        <f t="shared" si="297"/>
        <v>0</v>
      </c>
      <c r="S216" s="747">
        <f t="shared" si="297"/>
        <v>0</v>
      </c>
      <c r="T216" s="747">
        <f t="shared" si="297"/>
        <v>0</v>
      </c>
      <c r="U216" s="747">
        <f t="shared" si="297"/>
        <v>0</v>
      </c>
      <c r="V216" s="747">
        <f t="shared" si="297"/>
        <v>0</v>
      </c>
      <c r="W216" s="747">
        <f t="shared" si="297"/>
        <v>0</v>
      </c>
      <c r="X216" s="747">
        <f t="shared" si="297"/>
        <v>0</v>
      </c>
      <c r="Y216" s="747">
        <f t="shared" si="297"/>
        <v>0</v>
      </c>
      <c r="Z216" s="747">
        <f t="shared" si="297"/>
        <v>0</v>
      </c>
      <c r="AA216" s="747">
        <f t="shared" si="297"/>
        <v>0</v>
      </c>
      <c r="AB216" s="747">
        <f t="shared" si="297"/>
        <v>0</v>
      </c>
      <c r="AC216" s="747">
        <f t="shared" si="297"/>
        <v>0</v>
      </c>
      <c r="AD216" s="747">
        <f t="shared" si="297"/>
        <v>0</v>
      </c>
      <c r="AE216" s="747">
        <f t="shared" si="297"/>
        <v>0</v>
      </c>
      <c r="AF216" s="747">
        <f t="shared" si="297"/>
        <v>0</v>
      </c>
      <c r="AG216" s="747">
        <f t="shared" si="297"/>
        <v>0</v>
      </c>
      <c r="AH216" s="747">
        <f t="shared" si="297"/>
        <v>0</v>
      </c>
      <c r="AI216" s="747">
        <f t="shared" si="297"/>
        <v>0</v>
      </c>
      <c r="AJ216" s="747">
        <f t="shared" si="297"/>
        <v>0</v>
      </c>
      <c r="AK216" s="747">
        <f t="shared" si="297"/>
        <v>0</v>
      </c>
      <c r="AL216" s="747">
        <f t="shared" si="297"/>
        <v>0</v>
      </c>
      <c r="AM216" s="747">
        <f t="shared" si="297"/>
        <v>0</v>
      </c>
      <c r="AN216" s="747">
        <f t="shared" si="297"/>
        <v>0</v>
      </c>
      <c r="AO216" s="747">
        <f t="shared" si="297"/>
        <v>0</v>
      </c>
      <c r="AP216" s="747">
        <f t="shared" si="297"/>
        <v>0</v>
      </c>
      <c r="AQ216" s="747">
        <f t="shared" si="297"/>
        <v>0</v>
      </c>
      <c r="AR216" s="747">
        <f t="shared" si="297"/>
        <v>0</v>
      </c>
      <c r="AS216" s="747">
        <f t="shared" si="297"/>
        <v>0</v>
      </c>
      <c r="AT216" s="747">
        <f t="shared" si="297"/>
        <v>0</v>
      </c>
      <c r="AU216" s="747">
        <f t="shared" si="297"/>
        <v>0</v>
      </c>
      <c r="AV216" s="747">
        <f t="shared" si="297"/>
        <v>0</v>
      </c>
      <c r="AW216" s="747">
        <f t="shared" si="297"/>
        <v>0</v>
      </c>
      <c r="AX216" s="747">
        <f t="shared" si="297"/>
        <v>0</v>
      </c>
      <c r="AY216" s="747">
        <f t="shared" si="297"/>
        <v>0</v>
      </c>
      <c r="AZ216" s="747">
        <f t="shared" si="297"/>
        <v>0</v>
      </c>
      <c r="BA216" s="747">
        <f t="shared" si="297"/>
        <v>0</v>
      </c>
      <c r="BB216" s="747">
        <f t="shared" si="297"/>
        <v>0</v>
      </c>
      <c r="BC216" s="747">
        <f t="shared" si="297"/>
        <v>0</v>
      </c>
      <c r="BD216" s="747">
        <f t="shared" si="297"/>
        <v>0</v>
      </c>
      <c r="BE216" s="747">
        <f t="shared" si="297"/>
        <v>0</v>
      </c>
      <c r="BF216" s="747">
        <f t="shared" si="297"/>
        <v>0</v>
      </c>
      <c r="BG216" s="747">
        <f t="shared" si="297"/>
        <v>0</v>
      </c>
      <c r="BH216" s="747">
        <f t="shared" si="297"/>
        <v>0</v>
      </c>
      <c r="BI216" s="747">
        <f t="shared" si="297"/>
        <v>0</v>
      </c>
      <c r="BJ216" s="747">
        <f t="shared" si="297"/>
        <v>0</v>
      </c>
      <c r="BK216" s="747">
        <f t="shared" si="297"/>
        <v>0</v>
      </c>
      <c r="BL216" s="747">
        <f t="shared" si="297"/>
        <v>0</v>
      </c>
      <c r="BM216" s="747">
        <f t="shared" si="297"/>
        <v>0</v>
      </c>
      <c r="BN216" s="747">
        <f t="shared" si="297"/>
        <v>0</v>
      </c>
      <c r="BO216" s="747">
        <f t="shared" si="297"/>
        <v>0</v>
      </c>
      <c r="BP216" s="747">
        <f t="shared" si="297"/>
        <v>0</v>
      </c>
      <c r="BQ216" s="747">
        <f t="shared" si="297"/>
        <v>0</v>
      </c>
      <c r="BR216" s="747">
        <f t="shared" si="297"/>
        <v>0</v>
      </c>
      <c r="BS216" s="747">
        <f t="shared" si="297"/>
        <v>0</v>
      </c>
      <c r="BT216" s="747">
        <f t="shared" si="297"/>
        <v>0</v>
      </c>
      <c r="BU216" s="747">
        <f t="shared" si="297"/>
        <v>0</v>
      </c>
      <c r="BV216" s="747">
        <f t="shared" si="297"/>
        <v>0</v>
      </c>
      <c r="BW216" s="747">
        <f t="shared" si="297"/>
        <v>0</v>
      </c>
      <c r="BX216" s="747">
        <f t="shared" si="297"/>
        <v>0</v>
      </c>
      <c r="BY216" s="747">
        <f t="shared" si="297"/>
        <v>0</v>
      </c>
      <c r="BZ216" s="747">
        <f t="shared" si="297"/>
        <v>0</v>
      </c>
      <c r="CA216" s="747">
        <f t="shared" si="297"/>
        <v>0</v>
      </c>
      <c r="CB216" s="747">
        <f t="shared" si="297"/>
        <v>0</v>
      </c>
      <c r="CC216" s="747">
        <f t="shared" ref="CC216:EN216" si="298">(MOD(IFERROR(DATEDIF($I18-1,CC$15+1,"m"),),$H216)=1)*1*$K216*SUM(CC18,CC36)</f>
        <v>0</v>
      </c>
      <c r="CD216" s="747">
        <f t="shared" si="298"/>
        <v>0</v>
      </c>
      <c r="CE216" s="747">
        <f t="shared" si="298"/>
        <v>0</v>
      </c>
      <c r="CF216" s="747">
        <f t="shared" si="298"/>
        <v>0</v>
      </c>
      <c r="CG216" s="747">
        <f t="shared" si="298"/>
        <v>0</v>
      </c>
      <c r="CH216" s="747">
        <f t="shared" si="298"/>
        <v>0</v>
      </c>
      <c r="CI216" s="747">
        <f t="shared" si="298"/>
        <v>0</v>
      </c>
      <c r="CJ216" s="747">
        <f t="shared" si="298"/>
        <v>0</v>
      </c>
      <c r="CK216" s="747">
        <f t="shared" si="298"/>
        <v>0</v>
      </c>
      <c r="CL216" s="747">
        <f t="shared" si="298"/>
        <v>0</v>
      </c>
      <c r="CM216" s="747">
        <f t="shared" si="298"/>
        <v>0</v>
      </c>
      <c r="CN216" s="747">
        <f t="shared" si="298"/>
        <v>0</v>
      </c>
      <c r="CO216" s="747">
        <f t="shared" si="298"/>
        <v>0</v>
      </c>
      <c r="CP216" s="747">
        <f t="shared" si="298"/>
        <v>0</v>
      </c>
      <c r="CQ216" s="747">
        <f t="shared" si="298"/>
        <v>0</v>
      </c>
      <c r="CR216" s="747">
        <f t="shared" si="298"/>
        <v>0</v>
      </c>
      <c r="CS216" s="747">
        <f t="shared" si="298"/>
        <v>0</v>
      </c>
      <c r="CT216" s="747">
        <f t="shared" si="298"/>
        <v>0</v>
      </c>
      <c r="CU216" s="747">
        <f t="shared" si="298"/>
        <v>0</v>
      </c>
      <c r="CV216" s="747">
        <f t="shared" si="298"/>
        <v>0</v>
      </c>
      <c r="CW216" s="747">
        <f t="shared" si="298"/>
        <v>0</v>
      </c>
      <c r="CX216" s="747">
        <f t="shared" si="298"/>
        <v>0</v>
      </c>
      <c r="CY216" s="747">
        <f t="shared" si="298"/>
        <v>0</v>
      </c>
      <c r="CZ216" s="747">
        <f t="shared" si="298"/>
        <v>0</v>
      </c>
      <c r="DA216" s="747">
        <f t="shared" si="298"/>
        <v>0</v>
      </c>
      <c r="DB216" s="747">
        <f t="shared" si="298"/>
        <v>0</v>
      </c>
      <c r="DC216" s="747">
        <f t="shared" si="298"/>
        <v>10711.572943681567</v>
      </c>
      <c r="DD216" s="747">
        <f t="shared" si="298"/>
        <v>0</v>
      </c>
      <c r="DE216" s="747">
        <f t="shared" si="298"/>
        <v>0</v>
      </c>
      <c r="DF216" s="747">
        <f t="shared" si="298"/>
        <v>0</v>
      </c>
      <c r="DG216" s="747">
        <f t="shared" si="298"/>
        <v>0</v>
      </c>
      <c r="DH216" s="747">
        <f t="shared" si="298"/>
        <v>0</v>
      </c>
      <c r="DI216" s="747">
        <f t="shared" si="298"/>
        <v>0</v>
      </c>
      <c r="DJ216" s="747">
        <f t="shared" si="298"/>
        <v>0</v>
      </c>
      <c r="DK216" s="747">
        <f t="shared" si="298"/>
        <v>0</v>
      </c>
      <c r="DL216" s="747">
        <f t="shared" si="298"/>
        <v>0</v>
      </c>
      <c r="DM216" s="747">
        <f t="shared" si="298"/>
        <v>0</v>
      </c>
      <c r="DN216" s="747">
        <f t="shared" si="298"/>
        <v>0</v>
      </c>
      <c r="DO216" s="747">
        <f t="shared" si="298"/>
        <v>0</v>
      </c>
      <c r="DP216" s="747">
        <f t="shared" si="298"/>
        <v>0</v>
      </c>
      <c r="DQ216" s="747">
        <f t="shared" si="298"/>
        <v>0</v>
      </c>
      <c r="DR216" s="747">
        <f t="shared" si="298"/>
        <v>0</v>
      </c>
      <c r="DS216" s="747">
        <f t="shared" si="298"/>
        <v>0</v>
      </c>
      <c r="DT216" s="747">
        <f t="shared" si="298"/>
        <v>0</v>
      </c>
      <c r="DU216" s="747">
        <f t="shared" si="298"/>
        <v>0</v>
      </c>
      <c r="DV216" s="747">
        <f t="shared" si="298"/>
        <v>0</v>
      </c>
      <c r="DW216" s="747">
        <f t="shared" si="298"/>
        <v>0</v>
      </c>
      <c r="DX216" s="747">
        <f t="shared" si="298"/>
        <v>0</v>
      </c>
      <c r="DY216" s="747">
        <f t="shared" si="298"/>
        <v>0</v>
      </c>
      <c r="DZ216" s="747">
        <f t="shared" si="298"/>
        <v>0</v>
      </c>
      <c r="EA216" s="747">
        <f t="shared" si="298"/>
        <v>0</v>
      </c>
      <c r="EB216" s="747">
        <f t="shared" si="298"/>
        <v>0</v>
      </c>
      <c r="EC216" s="747">
        <f t="shared" si="298"/>
        <v>0</v>
      </c>
      <c r="ED216" s="747">
        <f t="shared" si="298"/>
        <v>0</v>
      </c>
      <c r="EE216" s="747">
        <f t="shared" si="298"/>
        <v>0</v>
      </c>
      <c r="EF216" s="747">
        <f t="shared" si="298"/>
        <v>0</v>
      </c>
      <c r="EG216" s="747">
        <f t="shared" si="298"/>
        <v>0</v>
      </c>
      <c r="EH216" s="747">
        <f t="shared" si="298"/>
        <v>0</v>
      </c>
      <c r="EI216" s="747">
        <f t="shared" si="298"/>
        <v>0</v>
      </c>
      <c r="EJ216" s="747">
        <f t="shared" si="298"/>
        <v>0</v>
      </c>
      <c r="EK216" s="747">
        <f t="shared" si="298"/>
        <v>0</v>
      </c>
      <c r="EL216" s="747">
        <f t="shared" si="298"/>
        <v>0</v>
      </c>
      <c r="EM216" s="747">
        <f t="shared" si="298"/>
        <v>0</v>
      </c>
      <c r="EN216" s="747">
        <f t="shared" si="298"/>
        <v>0</v>
      </c>
      <c r="EO216" s="747">
        <f t="shared" ref="EO216:EU216" si="299">(MOD(IFERROR(DATEDIF($I18-1,EO$15+1,"m"),),$H216)=1)*1*$K216*SUM(EO18,EO36)</f>
        <v>0</v>
      </c>
      <c r="EP216" s="747">
        <f t="shared" si="299"/>
        <v>0</v>
      </c>
      <c r="EQ216" s="747">
        <f t="shared" si="299"/>
        <v>0</v>
      </c>
      <c r="ER216" s="747">
        <f t="shared" si="299"/>
        <v>0</v>
      </c>
      <c r="ES216" s="747">
        <f t="shared" si="299"/>
        <v>0</v>
      </c>
      <c r="ET216" s="747">
        <f t="shared" si="299"/>
        <v>0</v>
      </c>
      <c r="EU216" s="747">
        <f t="shared" si="299"/>
        <v>0</v>
      </c>
    </row>
    <row r="217" spans="3:151" ht="11.25" customHeight="1">
      <c r="C217" s="735"/>
      <c r="D217" s="743">
        <f t="shared" si="295"/>
        <v>8</v>
      </c>
      <c r="E217" s="704" t="str">
        <f t="shared" si="295"/>
        <v>쿠팡</v>
      </c>
      <c r="F217" s="704" t="str">
        <f t="shared" si="295"/>
        <v>상온창고</v>
      </c>
      <c r="G217" s="752"/>
      <c r="H217" s="1261">
        <f>'A&amp;R'!AB8</f>
        <v>90</v>
      </c>
      <c r="I217" s="1263">
        <v>1</v>
      </c>
      <c r="J217" s="745"/>
      <c r="K217" s="754">
        <f>'A&amp;R'!$U$69</f>
        <v>2</v>
      </c>
      <c r="L217" s="746"/>
      <c r="M217" s="722"/>
      <c r="N217" s="747">
        <f t="shared" si="296"/>
        <v>13651.325739832308</v>
      </c>
      <c r="O217" s="733"/>
      <c r="P217" s="747">
        <f t="shared" ref="P217:CA217" si="300">(MOD(IFERROR(DATEDIF($I19-1,P$15+1,"m"),),$H217)=1)*1*$K217*SUM(P19,P37)</f>
        <v>0</v>
      </c>
      <c r="Q217" s="747">
        <f t="shared" si="300"/>
        <v>4891.6759999999995</v>
      </c>
      <c r="R217" s="747">
        <f t="shared" si="300"/>
        <v>0</v>
      </c>
      <c r="S217" s="747">
        <f t="shared" si="300"/>
        <v>0</v>
      </c>
      <c r="T217" s="747">
        <f t="shared" si="300"/>
        <v>0</v>
      </c>
      <c r="U217" s="747">
        <f t="shared" si="300"/>
        <v>0</v>
      </c>
      <c r="V217" s="747">
        <f t="shared" si="300"/>
        <v>0</v>
      </c>
      <c r="W217" s="747">
        <f t="shared" si="300"/>
        <v>0</v>
      </c>
      <c r="X217" s="747">
        <f t="shared" si="300"/>
        <v>0</v>
      </c>
      <c r="Y217" s="747">
        <f t="shared" si="300"/>
        <v>0</v>
      </c>
      <c r="Z217" s="747">
        <f t="shared" si="300"/>
        <v>0</v>
      </c>
      <c r="AA217" s="747">
        <f t="shared" si="300"/>
        <v>0</v>
      </c>
      <c r="AB217" s="747">
        <f t="shared" si="300"/>
        <v>0</v>
      </c>
      <c r="AC217" s="747">
        <f t="shared" si="300"/>
        <v>0</v>
      </c>
      <c r="AD217" s="747">
        <f t="shared" si="300"/>
        <v>0</v>
      </c>
      <c r="AE217" s="747">
        <f t="shared" si="300"/>
        <v>0</v>
      </c>
      <c r="AF217" s="747">
        <f t="shared" si="300"/>
        <v>0</v>
      </c>
      <c r="AG217" s="747">
        <f t="shared" si="300"/>
        <v>0</v>
      </c>
      <c r="AH217" s="747">
        <f t="shared" si="300"/>
        <v>0</v>
      </c>
      <c r="AI217" s="747">
        <f t="shared" si="300"/>
        <v>0</v>
      </c>
      <c r="AJ217" s="747">
        <f t="shared" si="300"/>
        <v>0</v>
      </c>
      <c r="AK217" s="747">
        <f t="shared" si="300"/>
        <v>0</v>
      </c>
      <c r="AL217" s="747">
        <f t="shared" si="300"/>
        <v>0</v>
      </c>
      <c r="AM217" s="747">
        <f t="shared" si="300"/>
        <v>0</v>
      </c>
      <c r="AN217" s="747">
        <f t="shared" si="300"/>
        <v>0</v>
      </c>
      <c r="AO217" s="747">
        <f t="shared" si="300"/>
        <v>0</v>
      </c>
      <c r="AP217" s="747">
        <f t="shared" si="300"/>
        <v>0</v>
      </c>
      <c r="AQ217" s="747">
        <f t="shared" si="300"/>
        <v>0</v>
      </c>
      <c r="AR217" s="747">
        <f t="shared" si="300"/>
        <v>0</v>
      </c>
      <c r="AS217" s="747">
        <f t="shared" si="300"/>
        <v>0</v>
      </c>
      <c r="AT217" s="747">
        <f t="shared" si="300"/>
        <v>0</v>
      </c>
      <c r="AU217" s="747">
        <f t="shared" si="300"/>
        <v>0</v>
      </c>
      <c r="AV217" s="747">
        <f t="shared" si="300"/>
        <v>0</v>
      </c>
      <c r="AW217" s="747">
        <f t="shared" si="300"/>
        <v>0</v>
      </c>
      <c r="AX217" s="747">
        <f t="shared" si="300"/>
        <v>0</v>
      </c>
      <c r="AY217" s="747">
        <f t="shared" si="300"/>
        <v>0</v>
      </c>
      <c r="AZ217" s="747">
        <f t="shared" si="300"/>
        <v>0</v>
      </c>
      <c r="BA217" s="747">
        <f t="shared" si="300"/>
        <v>0</v>
      </c>
      <c r="BB217" s="747">
        <f t="shared" si="300"/>
        <v>0</v>
      </c>
      <c r="BC217" s="747">
        <f t="shared" si="300"/>
        <v>0</v>
      </c>
      <c r="BD217" s="747">
        <f t="shared" si="300"/>
        <v>0</v>
      </c>
      <c r="BE217" s="747">
        <f t="shared" si="300"/>
        <v>0</v>
      </c>
      <c r="BF217" s="747">
        <f t="shared" si="300"/>
        <v>0</v>
      </c>
      <c r="BG217" s="747">
        <f t="shared" si="300"/>
        <v>0</v>
      </c>
      <c r="BH217" s="747">
        <f t="shared" si="300"/>
        <v>0</v>
      </c>
      <c r="BI217" s="747">
        <f t="shared" si="300"/>
        <v>0</v>
      </c>
      <c r="BJ217" s="747">
        <f t="shared" si="300"/>
        <v>0</v>
      </c>
      <c r="BK217" s="747">
        <f t="shared" si="300"/>
        <v>0</v>
      </c>
      <c r="BL217" s="747">
        <f t="shared" si="300"/>
        <v>0</v>
      </c>
      <c r="BM217" s="747">
        <f t="shared" si="300"/>
        <v>0</v>
      </c>
      <c r="BN217" s="747">
        <f t="shared" si="300"/>
        <v>0</v>
      </c>
      <c r="BO217" s="747">
        <f t="shared" si="300"/>
        <v>0</v>
      </c>
      <c r="BP217" s="747">
        <f t="shared" si="300"/>
        <v>0</v>
      </c>
      <c r="BQ217" s="747">
        <f t="shared" si="300"/>
        <v>0</v>
      </c>
      <c r="BR217" s="747">
        <f t="shared" si="300"/>
        <v>0</v>
      </c>
      <c r="BS217" s="747">
        <f t="shared" si="300"/>
        <v>0</v>
      </c>
      <c r="BT217" s="747">
        <f t="shared" si="300"/>
        <v>0</v>
      </c>
      <c r="BU217" s="747">
        <f t="shared" si="300"/>
        <v>0</v>
      </c>
      <c r="BV217" s="747">
        <f t="shared" si="300"/>
        <v>0</v>
      </c>
      <c r="BW217" s="747">
        <f t="shared" si="300"/>
        <v>0</v>
      </c>
      <c r="BX217" s="747">
        <f t="shared" si="300"/>
        <v>0</v>
      </c>
      <c r="BY217" s="747">
        <f t="shared" si="300"/>
        <v>0</v>
      </c>
      <c r="BZ217" s="747">
        <f t="shared" si="300"/>
        <v>0</v>
      </c>
      <c r="CA217" s="747">
        <f t="shared" si="300"/>
        <v>0</v>
      </c>
      <c r="CB217" s="747">
        <f t="shared" ref="CB217:EM217" si="301">(MOD(IFERROR(DATEDIF($I19-1,CB$15+1,"m"),),$H217)=1)*1*$K217*SUM(CB19,CB37)</f>
        <v>0</v>
      </c>
      <c r="CC217" s="747">
        <f t="shared" si="301"/>
        <v>0</v>
      </c>
      <c r="CD217" s="747">
        <f t="shared" si="301"/>
        <v>0</v>
      </c>
      <c r="CE217" s="747">
        <f t="shared" si="301"/>
        <v>0</v>
      </c>
      <c r="CF217" s="747">
        <f t="shared" si="301"/>
        <v>0</v>
      </c>
      <c r="CG217" s="747">
        <f t="shared" si="301"/>
        <v>0</v>
      </c>
      <c r="CH217" s="747">
        <f t="shared" si="301"/>
        <v>0</v>
      </c>
      <c r="CI217" s="747">
        <f t="shared" si="301"/>
        <v>0</v>
      </c>
      <c r="CJ217" s="747">
        <f t="shared" si="301"/>
        <v>0</v>
      </c>
      <c r="CK217" s="747">
        <f t="shared" si="301"/>
        <v>0</v>
      </c>
      <c r="CL217" s="747">
        <f t="shared" si="301"/>
        <v>0</v>
      </c>
      <c r="CM217" s="747">
        <f t="shared" si="301"/>
        <v>0</v>
      </c>
      <c r="CN217" s="747">
        <f t="shared" si="301"/>
        <v>0</v>
      </c>
      <c r="CO217" s="747">
        <f t="shared" si="301"/>
        <v>0</v>
      </c>
      <c r="CP217" s="747">
        <f t="shared" si="301"/>
        <v>0</v>
      </c>
      <c r="CQ217" s="747">
        <f t="shared" si="301"/>
        <v>0</v>
      </c>
      <c r="CR217" s="747">
        <f t="shared" si="301"/>
        <v>0</v>
      </c>
      <c r="CS217" s="747">
        <f t="shared" si="301"/>
        <v>0</v>
      </c>
      <c r="CT217" s="747">
        <f t="shared" si="301"/>
        <v>0</v>
      </c>
      <c r="CU217" s="747">
        <f t="shared" si="301"/>
        <v>0</v>
      </c>
      <c r="CV217" s="747">
        <f t="shared" si="301"/>
        <v>0</v>
      </c>
      <c r="CW217" s="747">
        <f t="shared" si="301"/>
        <v>0</v>
      </c>
      <c r="CX217" s="747">
        <f t="shared" si="301"/>
        <v>0</v>
      </c>
      <c r="CY217" s="747">
        <f t="shared" si="301"/>
        <v>0</v>
      </c>
      <c r="CZ217" s="747">
        <f t="shared" si="301"/>
        <v>0</v>
      </c>
      <c r="DA217" s="747">
        <f t="shared" si="301"/>
        <v>0</v>
      </c>
      <c r="DB217" s="747">
        <f t="shared" si="301"/>
        <v>0</v>
      </c>
      <c r="DC217" s="747">
        <f t="shared" si="301"/>
        <v>8759.6497398323081</v>
      </c>
      <c r="DD217" s="747">
        <f t="shared" si="301"/>
        <v>0</v>
      </c>
      <c r="DE217" s="747">
        <f t="shared" si="301"/>
        <v>0</v>
      </c>
      <c r="DF217" s="747">
        <f t="shared" si="301"/>
        <v>0</v>
      </c>
      <c r="DG217" s="747">
        <f t="shared" si="301"/>
        <v>0</v>
      </c>
      <c r="DH217" s="747">
        <f t="shared" si="301"/>
        <v>0</v>
      </c>
      <c r="DI217" s="747">
        <f t="shared" si="301"/>
        <v>0</v>
      </c>
      <c r="DJ217" s="747">
        <f t="shared" si="301"/>
        <v>0</v>
      </c>
      <c r="DK217" s="747">
        <f t="shared" si="301"/>
        <v>0</v>
      </c>
      <c r="DL217" s="747">
        <f t="shared" si="301"/>
        <v>0</v>
      </c>
      <c r="DM217" s="747">
        <f t="shared" si="301"/>
        <v>0</v>
      </c>
      <c r="DN217" s="747">
        <f t="shared" si="301"/>
        <v>0</v>
      </c>
      <c r="DO217" s="747">
        <f t="shared" si="301"/>
        <v>0</v>
      </c>
      <c r="DP217" s="747">
        <f t="shared" si="301"/>
        <v>0</v>
      </c>
      <c r="DQ217" s="747">
        <f t="shared" si="301"/>
        <v>0</v>
      </c>
      <c r="DR217" s="747">
        <f t="shared" si="301"/>
        <v>0</v>
      </c>
      <c r="DS217" s="747">
        <f t="shared" si="301"/>
        <v>0</v>
      </c>
      <c r="DT217" s="747">
        <f t="shared" si="301"/>
        <v>0</v>
      </c>
      <c r="DU217" s="747">
        <f t="shared" si="301"/>
        <v>0</v>
      </c>
      <c r="DV217" s="747">
        <f t="shared" si="301"/>
        <v>0</v>
      </c>
      <c r="DW217" s="747">
        <f t="shared" si="301"/>
        <v>0</v>
      </c>
      <c r="DX217" s="747">
        <f t="shared" si="301"/>
        <v>0</v>
      </c>
      <c r="DY217" s="747">
        <f t="shared" si="301"/>
        <v>0</v>
      </c>
      <c r="DZ217" s="747">
        <f t="shared" si="301"/>
        <v>0</v>
      </c>
      <c r="EA217" s="747">
        <f t="shared" si="301"/>
        <v>0</v>
      </c>
      <c r="EB217" s="747">
        <f t="shared" si="301"/>
        <v>0</v>
      </c>
      <c r="EC217" s="747">
        <f t="shared" si="301"/>
        <v>0</v>
      </c>
      <c r="ED217" s="747">
        <f t="shared" si="301"/>
        <v>0</v>
      </c>
      <c r="EE217" s="747">
        <f t="shared" si="301"/>
        <v>0</v>
      </c>
      <c r="EF217" s="747">
        <f t="shared" si="301"/>
        <v>0</v>
      </c>
      <c r="EG217" s="747">
        <f t="shared" si="301"/>
        <v>0</v>
      </c>
      <c r="EH217" s="747">
        <f t="shared" si="301"/>
        <v>0</v>
      </c>
      <c r="EI217" s="747">
        <f t="shared" si="301"/>
        <v>0</v>
      </c>
      <c r="EJ217" s="747">
        <f t="shared" si="301"/>
        <v>0</v>
      </c>
      <c r="EK217" s="747">
        <f t="shared" si="301"/>
        <v>0</v>
      </c>
      <c r="EL217" s="747">
        <f t="shared" si="301"/>
        <v>0</v>
      </c>
      <c r="EM217" s="747">
        <f t="shared" si="301"/>
        <v>0</v>
      </c>
      <c r="EN217" s="747">
        <f t="shared" ref="EN217:EU217" si="302">(MOD(IFERROR(DATEDIF($I19-1,EN$15+1,"m"),),$H217)=1)*1*$K217*SUM(EN19,EN37)</f>
        <v>0</v>
      </c>
      <c r="EO217" s="747">
        <f t="shared" si="302"/>
        <v>0</v>
      </c>
      <c r="EP217" s="747">
        <f t="shared" si="302"/>
        <v>0</v>
      </c>
      <c r="EQ217" s="747">
        <f t="shared" si="302"/>
        <v>0</v>
      </c>
      <c r="ER217" s="747">
        <f t="shared" si="302"/>
        <v>0</v>
      </c>
      <c r="ES217" s="747">
        <f t="shared" si="302"/>
        <v>0</v>
      </c>
      <c r="ET217" s="747">
        <f t="shared" si="302"/>
        <v>0</v>
      </c>
      <c r="EU217" s="747">
        <f t="shared" si="302"/>
        <v>0</v>
      </c>
    </row>
    <row r="218" spans="3:151" ht="11.25" customHeight="1">
      <c r="C218" s="735"/>
      <c r="D218" s="743">
        <f t="shared" si="295"/>
        <v>8</v>
      </c>
      <c r="E218" s="704" t="str">
        <f t="shared" si="295"/>
        <v>키즈밀</v>
      </c>
      <c r="F218" s="704" t="str">
        <f t="shared" si="295"/>
        <v>근린생활시설</v>
      </c>
      <c r="G218" s="752"/>
      <c r="H218" s="1261">
        <f>'A&amp;R'!AB9</f>
        <v>60</v>
      </c>
      <c r="I218" s="1263">
        <v>0</v>
      </c>
      <c r="J218" s="745"/>
      <c r="K218" s="754">
        <f>'A&amp;R'!$U$68</f>
        <v>0.5</v>
      </c>
      <c r="L218" s="746"/>
      <c r="M218" s="722"/>
      <c r="N218" s="747">
        <f t="shared" si="296"/>
        <v>33126.640859410669</v>
      </c>
      <c r="O218" s="733"/>
      <c r="P218" s="747">
        <f t="shared" ref="P218:CA218" si="303">(MOD(IFERROR(DATEDIF($I20-1,P$15+1,"m"),),$H218)=1)*1*$K218*SUM(P20,P38)</f>
        <v>0</v>
      </c>
      <c r="Q218" s="747">
        <f t="shared" si="303"/>
        <v>0</v>
      </c>
      <c r="R218" s="747">
        <f t="shared" si="303"/>
        <v>0</v>
      </c>
      <c r="S218" s="747">
        <f t="shared" si="303"/>
        <v>0</v>
      </c>
      <c r="T218" s="747">
        <f t="shared" si="303"/>
        <v>0</v>
      </c>
      <c r="U218" s="747">
        <f t="shared" si="303"/>
        <v>0</v>
      </c>
      <c r="V218" s="747">
        <f t="shared" si="303"/>
        <v>0</v>
      </c>
      <c r="W218" s="747">
        <f t="shared" si="303"/>
        <v>0</v>
      </c>
      <c r="X218" s="747">
        <f t="shared" si="303"/>
        <v>0</v>
      </c>
      <c r="Y218" s="747">
        <f t="shared" si="303"/>
        <v>0</v>
      </c>
      <c r="Z218" s="747">
        <f t="shared" si="303"/>
        <v>0</v>
      </c>
      <c r="AA218" s="747">
        <f t="shared" si="303"/>
        <v>0</v>
      </c>
      <c r="AB218" s="747">
        <f t="shared" si="303"/>
        <v>0</v>
      </c>
      <c r="AC218" s="747">
        <f t="shared" si="303"/>
        <v>0</v>
      </c>
      <c r="AD218" s="747">
        <f t="shared" si="303"/>
        <v>0</v>
      </c>
      <c r="AE218" s="747">
        <f t="shared" si="303"/>
        <v>0</v>
      </c>
      <c r="AF218" s="747">
        <f t="shared" si="303"/>
        <v>0</v>
      </c>
      <c r="AG218" s="747">
        <f t="shared" si="303"/>
        <v>0</v>
      </c>
      <c r="AH218" s="747">
        <f t="shared" si="303"/>
        <v>0</v>
      </c>
      <c r="AI218" s="747">
        <f t="shared" si="303"/>
        <v>0</v>
      </c>
      <c r="AJ218" s="747">
        <f t="shared" si="303"/>
        <v>0</v>
      </c>
      <c r="AK218" s="747">
        <f t="shared" si="303"/>
        <v>0</v>
      </c>
      <c r="AL218" s="747">
        <f t="shared" si="303"/>
        <v>0</v>
      </c>
      <c r="AM218" s="747">
        <f t="shared" si="303"/>
        <v>0</v>
      </c>
      <c r="AN218" s="747">
        <f t="shared" si="303"/>
        <v>0</v>
      </c>
      <c r="AO218" s="747">
        <f t="shared" si="303"/>
        <v>0</v>
      </c>
      <c r="AP218" s="747">
        <f t="shared" si="303"/>
        <v>0</v>
      </c>
      <c r="AQ218" s="747">
        <f t="shared" si="303"/>
        <v>0</v>
      </c>
      <c r="AR218" s="747">
        <f t="shared" si="303"/>
        <v>0</v>
      </c>
      <c r="AS218" s="747">
        <f t="shared" si="303"/>
        <v>0</v>
      </c>
      <c r="AT218" s="747">
        <f t="shared" si="303"/>
        <v>0</v>
      </c>
      <c r="AU218" s="747">
        <f t="shared" si="303"/>
        <v>0</v>
      </c>
      <c r="AV218" s="747">
        <f t="shared" si="303"/>
        <v>0</v>
      </c>
      <c r="AW218" s="747">
        <f t="shared" si="303"/>
        <v>0</v>
      </c>
      <c r="AX218" s="747">
        <f t="shared" si="303"/>
        <v>0</v>
      </c>
      <c r="AY218" s="747">
        <f t="shared" si="303"/>
        <v>0</v>
      </c>
      <c r="AZ218" s="747">
        <f t="shared" si="303"/>
        <v>0</v>
      </c>
      <c r="BA218" s="747">
        <f t="shared" si="303"/>
        <v>0</v>
      </c>
      <c r="BB218" s="747">
        <f t="shared" si="303"/>
        <v>0</v>
      </c>
      <c r="BC218" s="747">
        <f t="shared" si="303"/>
        <v>15542.138131523938</v>
      </c>
      <c r="BD218" s="747">
        <f t="shared" si="303"/>
        <v>0</v>
      </c>
      <c r="BE218" s="747">
        <f t="shared" si="303"/>
        <v>0</v>
      </c>
      <c r="BF218" s="747">
        <f t="shared" si="303"/>
        <v>0</v>
      </c>
      <c r="BG218" s="747">
        <f t="shared" si="303"/>
        <v>0</v>
      </c>
      <c r="BH218" s="747">
        <f t="shared" si="303"/>
        <v>0</v>
      </c>
      <c r="BI218" s="747">
        <f t="shared" si="303"/>
        <v>0</v>
      </c>
      <c r="BJ218" s="747">
        <f t="shared" si="303"/>
        <v>0</v>
      </c>
      <c r="BK218" s="747">
        <f t="shared" si="303"/>
        <v>0</v>
      </c>
      <c r="BL218" s="747">
        <f t="shared" si="303"/>
        <v>0</v>
      </c>
      <c r="BM218" s="747">
        <f t="shared" si="303"/>
        <v>0</v>
      </c>
      <c r="BN218" s="747">
        <f t="shared" si="303"/>
        <v>0</v>
      </c>
      <c r="BO218" s="747">
        <f t="shared" si="303"/>
        <v>0</v>
      </c>
      <c r="BP218" s="747">
        <f t="shared" si="303"/>
        <v>0</v>
      </c>
      <c r="BQ218" s="747">
        <f t="shared" si="303"/>
        <v>0</v>
      </c>
      <c r="BR218" s="747">
        <f t="shared" si="303"/>
        <v>0</v>
      </c>
      <c r="BS218" s="747">
        <f t="shared" si="303"/>
        <v>0</v>
      </c>
      <c r="BT218" s="747">
        <f t="shared" si="303"/>
        <v>0</v>
      </c>
      <c r="BU218" s="747">
        <f t="shared" si="303"/>
        <v>0</v>
      </c>
      <c r="BV218" s="747">
        <f t="shared" si="303"/>
        <v>0</v>
      </c>
      <c r="BW218" s="747">
        <f t="shared" si="303"/>
        <v>0</v>
      </c>
      <c r="BX218" s="747">
        <f t="shared" si="303"/>
        <v>0</v>
      </c>
      <c r="BY218" s="747">
        <f t="shared" si="303"/>
        <v>0</v>
      </c>
      <c r="BZ218" s="747">
        <f t="shared" si="303"/>
        <v>0</v>
      </c>
      <c r="CA218" s="747">
        <f t="shared" si="303"/>
        <v>0</v>
      </c>
      <c r="CB218" s="747">
        <f t="shared" ref="CB218:EM218" si="304">(MOD(IFERROR(DATEDIF($I20-1,CB$15+1,"m"),),$H218)=1)*1*$K218*SUM(CB20,CB38)</f>
        <v>0</v>
      </c>
      <c r="CC218" s="747">
        <f t="shared" si="304"/>
        <v>0</v>
      </c>
      <c r="CD218" s="747">
        <f t="shared" si="304"/>
        <v>0</v>
      </c>
      <c r="CE218" s="747">
        <f t="shared" si="304"/>
        <v>0</v>
      </c>
      <c r="CF218" s="747">
        <f t="shared" si="304"/>
        <v>0</v>
      </c>
      <c r="CG218" s="747">
        <f t="shared" si="304"/>
        <v>0</v>
      </c>
      <c r="CH218" s="747">
        <f t="shared" si="304"/>
        <v>0</v>
      </c>
      <c r="CI218" s="747">
        <f t="shared" si="304"/>
        <v>0</v>
      </c>
      <c r="CJ218" s="747">
        <f t="shared" si="304"/>
        <v>0</v>
      </c>
      <c r="CK218" s="747">
        <f t="shared" si="304"/>
        <v>0</v>
      </c>
      <c r="CL218" s="747">
        <f t="shared" si="304"/>
        <v>0</v>
      </c>
      <c r="CM218" s="747">
        <f t="shared" si="304"/>
        <v>0</v>
      </c>
      <c r="CN218" s="747">
        <f t="shared" si="304"/>
        <v>0</v>
      </c>
      <c r="CO218" s="747">
        <f t="shared" si="304"/>
        <v>0</v>
      </c>
      <c r="CP218" s="747">
        <f t="shared" si="304"/>
        <v>0</v>
      </c>
      <c r="CQ218" s="747">
        <f t="shared" si="304"/>
        <v>0</v>
      </c>
      <c r="CR218" s="747">
        <f t="shared" si="304"/>
        <v>0</v>
      </c>
      <c r="CS218" s="747">
        <f t="shared" si="304"/>
        <v>0</v>
      </c>
      <c r="CT218" s="747">
        <f t="shared" si="304"/>
        <v>0</v>
      </c>
      <c r="CU218" s="747">
        <f t="shared" si="304"/>
        <v>0</v>
      </c>
      <c r="CV218" s="747">
        <f t="shared" si="304"/>
        <v>0</v>
      </c>
      <c r="CW218" s="747">
        <f t="shared" si="304"/>
        <v>0</v>
      </c>
      <c r="CX218" s="747">
        <f t="shared" si="304"/>
        <v>0</v>
      </c>
      <c r="CY218" s="747">
        <f t="shared" si="304"/>
        <v>0</v>
      </c>
      <c r="CZ218" s="747">
        <f t="shared" si="304"/>
        <v>0</v>
      </c>
      <c r="DA218" s="747">
        <f t="shared" si="304"/>
        <v>0</v>
      </c>
      <c r="DB218" s="747">
        <f t="shared" si="304"/>
        <v>0</v>
      </c>
      <c r="DC218" s="747">
        <f t="shared" si="304"/>
        <v>0</v>
      </c>
      <c r="DD218" s="747">
        <f t="shared" si="304"/>
        <v>0</v>
      </c>
      <c r="DE218" s="747">
        <f t="shared" si="304"/>
        <v>0</v>
      </c>
      <c r="DF218" s="747">
        <f t="shared" si="304"/>
        <v>0</v>
      </c>
      <c r="DG218" s="747">
        <f t="shared" si="304"/>
        <v>0</v>
      </c>
      <c r="DH218" s="747">
        <f t="shared" si="304"/>
        <v>0</v>
      </c>
      <c r="DI218" s="747">
        <f t="shared" si="304"/>
        <v>0</v>
      </c>
      <c r="DJ218" s="747">
        <f t="shared" si="304"/>
        <v>0</v>
      </c>
      <c r="DK218" s="747">
        <f t="shared" si="304"/>
        <v>17584.502727886731</v>
      </c>
      <c r="DL218" s="747">
        <f t="shared" si="304"/>
        <v>0</v>
      </c>
      <c r="DM218" s="747">
        <f t="shared" si="304"/>
        <v>0</v>
      </c>
      <c r="DN218" s="747">
        <f t="shared" si="304"/>
        <v>0</v>
      </c>
      <c r="DO218" s="747">
        <f t="shared" si="304"/>
        <v>0</v>
      </c>
      <c r="DP218" s="747">
        <f t="shared" si="304"/>
        <v>0</v>
      </c>
      <c r="DQ218" s="747">
        <f t="shared" si="304"/>
        <v>0</v>
      </c>
      <c r="DR218" s="747">
        <f t="shared" si="304"/>
        <v>0</v>
      </c>
      <c r="DS218" s="747">
        <f t="shared" si="304"/>
        <v>0</v>
      </c>
      <c r="DT218" s="747">
        <f t="shared" si="304"/>
        <v>0</v>
      </c>
      <c r="DU218" s="747">
        <f t="shared" si="304"/>
        <v>0</v>
      </c>
      <c r="DV218" s="747">
        <f t="shared" si="304"/>
        <v>0</v>
      </c>
      <c r="DW218" s="747">
        <f t="shared" si="304"/>
        <v>0</v>
      </c>
      <c r="DX218" s="747">
        <f t="shared" si="304"/>
        <v>0</v>
      </c>
      <c r="DY218" s="747">
        <f t="shared" si="304"/>
        <v>0</v>
      </c>
      <c r="DZ218" s="747">
        <f t="shared" si="304"/>
        <v>0</v>
      </c>
      <c r="EA218" s="747">
        <f t="shared" si="304"/>
        <v>0</v>
      </c>
      <c r="EB218" s="747">
        <f t="shared" si="304"/>
        <v>0</v>
      </c>
      <c r="EC218" s="747">
        <f t="shared" si="304"/>
        <v>0</v>
      </c>
      <c r="ED218" s="747">
        <f t="shared" si="304"/>
        <v>0</v>
      </c>
      <c r="EE218" s="747">
        <f t="shared" si="304"/>
        <v>0</v>
      </c>
      <c r="EF218" s="747">
        <f t="shared" si="304"/>
        <v>0</v>
      </c>
      <c r="EG218" s="747">
        <f t="shared" si="304"/>
        <v>0</v>
      </c>
      <c r="EH218" s="747">
        <f t="shared" si="304"/>
        <v>0</v>
      </c>
      <c r="EI218" s="747">
        <f t="shared" si="304"/>
        <v>0</v>
      </c>
      <c r="EJ218" s="747">
        <f t="shared" si="304"/>
        <v>0</v>
      </c>
      <c r="EK218" s="747">
        <f t="shared" si="304"/>
        <v>0</v>
      </c>
      <c r="EL218" s="747">
        <f t="shared" si="304"/>
        <v>0</v>
      </c>
      <c r="EM218" s="747">
        <f t="shared" si="304"/>
        <v>0</v>
      </c>
      <c r="EN218" s="747">
        <f t="shared" ref="EN218:EU218" si="305">(MOD(IFERROR(DATEDIF($I20-1,EN$15+1,"m"),),$H218)=1)*1*$K218*SUM(EN20,EN38)</f>
        <v>0</v>
      </c>
      <c r="EO218" s="747">
        <f t="shared" si="305"/>
        <v>0</v>
      </c>
      <c r="EP218" s="747">
        <f t="shared" si="305"/>
        <v>0</v>
      </c>
      <c r="EQ218" s="747">
        <f t="shared" si="305"/>
        <v>0</v>
      </c>
      <c r="ER218" s="747">
        <f t="shared" si="305"/>
        <v>0</v>
      </c>
      <c r="ES218" s="747">
        <f t="shared" si="305"/>
        <v>0</v>
      </c>
      <c r="ET218" s="747">
        <f t="shared" si="305"/>
        <v>0</v>
      </c>
      <c r="EU218" s="747">
        <f t="shared" si="305"/>
        <v>0</v>
      </c>
    </row>
    <row r="219" spans="3:151" ht="11.25" customHeight="1">
      <c r="C219" s="735"/>
      <c r="D219" s="743">
        <f t="shared" si="295"/>
        <v>8</v>
      </c>
      <c r="E219" s="704" t="str">
        <f t="shared" si="295"/>
        <v>쿠팡</v>
      </c>
      <c r="F219" s="704" t="str">
        <f t="shared" si="295"/>
        <v>상온창고</v>
      </c>
      <c r="G219" s="752"/>
      <c r="H219" s="1261">
        <f>'A&amp;R'!AB10</f>
        <v>120</v>
      </c>
      <c r="I219" s="1263">
        <v>0</v>
      </c>
      <c r="J219" s="745"/>
      <c r="K219" s="754">
        <f>'A&amp;R'!$U$68</f>
        <v>0.5</v>
      </c>
      <c r="L219" s="746"/>
      <c r="M219" s="722"/>
      <c r="N219" s="747">
        <f t="shared" si="296"/>
        <v>7659.107826796223</v>
      </c>
      <c r="O219" s="733"/>
      <c r="P219" s="747">
        <f t="shared" ref="P219:CA219" si="306">(MOD(IFERROR(DATEDIF($I21-1,P$15+1,"m"),),$H219)=1)*1*$K219*SUM(P21,P39)</f>
        <v>0</v>
      </c>
      <c r="Q219" s="747">
        <f t="shared" si="306"/>
        <v>0</v>
      </c>
      <c r="R219" s="747">
        <f t="shared" si="306"/>
        <v>0</v>
      </c>
      <c r="S219" s="747">
        <f t="shared" si="306"/>
        <v>0</v>
      </c>
      <c r="T219" s="747">
        <f t="shared" si="306"/>
        <v>0</v>
      </c>
      <c r="U219" s="747">
        <f t="shared" si="306"/>
        <v>0</v>
      </c>
      <c r="V219" s="747">
        <f t="shared" si="306"/>
        <v>0</v>
      </c>
      <c r="W219" s="747">
        <f t="shared" si="306"/>
        <v>0</v>
      </c>
      <c r="X219" s="747">
        <f t="shared" si="306"/>
        <v>0</v>
      </c>
      <c r="Y219" s="747">
        <f t="shared" si="306"/>
        <v>0</v>
      </c>
      <c r="Z219" s="747">
        <f t="shared" si="306"/>
        <v>0</v>
      </c>
      <c r="AA219" s="747">
        <f t="shared" si="306"/>
        <v>0</v>
      </c>
      <c r="AB219" s="747">
        <f t="shared" si="306"/>
        <v>0</v>
      </c>
      <c r="AC219" s="747">
        <f t="shared" si="306"/>
        <v>0</v>
      </c>
      <c r="AD219" s="747">
        <f t="shared" si="306"/>
        <v>0</v>
      </c>
      <c r="AE219" s="747">
        <f t="shared" si="306"/>
        <v>0</v>
      </c>
      <c r="AF219" s="747">
        <f t="shared" si="306"/>
        <v>0</v>
      </c>
      <c r="AG219" s="747">
        <f t="shared" si="306"/>
        <v>0</v>
      </c>
      <c r="AH219" s="747">
        <f t="shared" si="306"/>
        <v>0</v>
      </c>
      <c r="AI219" s="747">
        <f t="shared" si="306"/>
        <v>0</v>
      </c>
      <c r="AJ219" s="747">
        <f t="shared" si="306"/>
        <v>0</v>
      </c>
      <c r="AK219" s="747">
        <f t="shared" si="306"/>
        <v>0</v>
      </c>
      <c r="AL219" s="747">
        <f t="shared" si="306"/>
        <v>0</v>
      </c>
      <c r="AM219" s="747">
        <f t="shared" si="306"/>
        <v>0</v>
      </c>
      <c r="AN219" s="747">
        <f t="shared" si="306"/>
        <v>0</v>
      </c>
      <c r="AO219" s="747">
        <f t="shared" si="306"/>
        <v>0</v>
      </c>
      <c r="AP219" s="747">
        <f t="shared" si="306"/>
        <v>0</v>
      </c>
      <c r="AQ219" s="747">
        <f t="shared" si="306"/>
        <v>0</v>
      </c>
      <c r="AR219" s="747">
        <f t="shared" si="306"/>
        <v>0</v>
      </c>
      <c r="AS219" s="747">
        <f t="shared" si="306"/>
        <v>0</v>
      </c>
      <c r="AT219" s="747">
        <f t="shared" si="306"/>
        <v>0</v>
      </c>
      <c r="AU219" s="747">
        <f t="shared" si="306"/>
        <v>0</v>
      </c>
      <c r="AV219" s="747">
        <f t="shared" si="306"/>
        <v>0</v>
      </c>
      <c r="AW219" s="747">
        <f t="shared" si="306"/>
        <v>0</v>
      </c>
      <c r="AX219" s="747">
        <f t="shared" si="306"/>
        <v>0</v>
      </c>
      <c r="AY219" s="747">
        <f t="shared" si="306"/>
        <v>0</v>
      </c>
      <c r="AZ219" s="747">
        <f t="shared" si="306"/>
        <v>0</v>
      </c>
      <c r="BA219" s="747">
        <f t="shared" si="306"/>
        <v>0</v>
      </c>
      <c r="BB219" s="747">
        <f t="shared" si="306"/>
        <v>0</v>
      </c>
      <c r="BC219" s="747">
        <f t="shared" si="306"/>
        <v>0</v>
      </c>
      <c r="BD219" s="747">
        <f t="shared" si="306"/>
        <v>0</v>
      </c>
      <c r="BE219" s="747">
        <f t="shared" si="306"/>
        <v>0</v>
      </c>
      <c r="BF219" s="747">
        <f t="shared" si="306"/>
        <v>0</v>
      </c>
      <c r="BG219" s="747">
        <f t="shared" si="306"/>
        <v>0</v>
      </c>
      <c r="BH219" s="747">
        <f t="shared" si="306"/>
        <v>0</v>
      </c>
      <c r="BI219" s="747">
        <f t="shared" si="306"/>
        <v>0</v>
      </c>
      <c r="BJ219" s="747">
        <f t="shared" si="306"/>
        <v>0</v>
      </c>
      <c r="BK219" s="747">
        <f t="shared" si="306"/>
        <v>0</v>
      </c>
      <c r="BL219" s="747">
        <f t="shared" si="306"/>
        <v>0</v>
      </c>
      <c r="BM219" s="747">
        <f t="shared" si="306"/>
        <v>0</v>
      </c>
      <c r="BN219" s="747">
        <f t="shared" si="306"/>
        <v>0</v>
      </c>
      <c r="BO219" s="747">
        <f t="shared" si="306"/>
        <v>0</v>
      </c>
      <c r="BP219" s="747">
        <f t="shared" si="306"/>
        <v>0</v>
      </c>
      <c r="BQ219" s="747">
        <f t="shared" si="306"/>
        <v>0</v>
      </c>
      <c r="BR219" s="747">
        <f t="shared" si="306"/>
        <v>0</v>
      </c>
      <c r="BS219" s="747">
        <f t="shared" si="306"/>
        <v>0</v>
      </c>
      <c r="BT219" s="747">
        <f t="shared" si="306"/>
        <v>0</v>
      </c>
      <c r="BU219" s="747">
        <f t="shared" si="306"/>
        <v>0</v>
      </c>
      <c r="BV219" s="747">
        <f t="shared" si="306"/>
        <v>0</v>
      </c>
      <c r="BW219" s="747">
        <f t="shared" si="306"/>
        <v>0</v>
      </c>
      <c r="BX219" s="747">
        <f t="shared" si="306"/>
        <v>0</v>
      </c>
      <c r="BY219" s="747">
        <f t="shared" si="306"/>
        <v>0</v>
      </c>
      <c r="BZ219" s="747">
        <f t="shared" si="306"/>
        <v>0</v>
      </c>
      <c r="CA219" s="747">
        <f t="shared" si="306"/>
        <v>0</v>
      </c>
      <c r="CB219" s="747">
        <f t="shared" ref="CB219:EM219" si="307">(MOD(IFERROR(DATEDIF($I21-1,CB$15+1,"m"),),$H219)=1)*1*$K219*SUM(CB21,CB39)</f>
        <v>0</v>
      </c>
      <c r="CC219" s="747">
        <f t="shared" si="307"/>
        <v>0</v>
      </c>
      <c r="CD219" s="747">
        <f t="shared" si="307"/>
        <v>0</v>
      </c>
      <c r="CE219" s="747">
        <f t="shared" si="307"/>
        <v>0</v>
      </c>
      <c r="CF219" s="747">
        <f t="shared" si="307"/>
        <v>0</v>
      </c>
      <c r="CG219" s="747">
        <f t="shared" si="307"/>
        <v>0</v>
      </c>
      <c r="CH219" s="747">
        <f t="shared" si="307"/>
        <v>0</v>
      </c>
      <c r="CI219" s="747">
        <f t="shared" si="307"/>
        <v>0</v>
      </c>
      <c r="CJ219" s="747">
        <f t="shared" si="307"/>
        <v>0</v>
      </c>
      <c r="CK219" s="747">
        <f t="shared" si="307"/>
        <v>0</v>
      </c>
      <c r="CL219" s="747">
        <f t="shared" si="307"/>
        <v>0</v>
      </c>
      <c r="CM219" s="747">
        <f t="shared" si="307"/>
        <v>0</v>
      </c>
      <c r="CN219" s="747">
        <f t="shared" si="307"/>
        <v>0</v>
      </c>
      <c r="CO219" s="747">
        <f t="shared" si="307"/>
        <v>0</v>
      </c>
      <c r="CP219" s="747">
        <f t="shared" si="307"/>
        <v>0</v>
      </c>
      <c r="CQ219" s="747">
        <f t="shared" si="307"/>
        <v>0</v>
      </c>
      <c r="CR219" s="747">
        <f t="shared" si="307"/>
        <v>0</v>
      </c>
      <c r="CS219" s="747">
        <f t="shared" si="307"/>
        <v>0</v>
      </c>
      <c r="CT219" s="747">
        <f t="shared" si="307"/>
        <v>0</v>
      </c>
      <c r="CU219" s="747">
        <f t="shared" si="307"/>
        <v>0</v>
      </c>
      <c r="CV219" s="747">
        <f t="shared" si="307"/>
        <v>0</v>
      </c>
      <c r="CW219" s="747">
        <f t="shared" si="307"/>
        <v>0</v>
      </c>
      <c r="CX219" s="747">
        <f t="shared" si="307"/>
        <v>0</v>
      </c>
      <c r="CY219" s="747">
        <f t="shared" si="307"/>
        <v>0</v>
      </c>
      <c r="CZ219" s="747">
        <f t="shared" si="307"/>
        <v>0</v>
      </c>
      <c r="DA219" s="747">
        <f t="shared" si="307"/>
        <v>0</v>
      </c>
      <c r="DB219" s="747">
        <f t="shared" si="307"/>
        <v>0</v>
      </c>
      <c r="DC219" s="747">
        <f t="shared" si="307"/>
        <v>7659.107826796223</v>
      </c>
      <c r="DD219" s="747">
        <f t="shared" si="307"/>
        <v>0</v>
      </c>
      <c r="DE219" s="747">
        <f t="shared" si="307"/>
        <v>0</v>
      </c>
      <c r="DF219" s="747">
        <f t="shared" si="307"/>
        <v>0</v>
      </c>
      <c r="DG219" s="747">
        <f t="shared" si="307"/>
        <v>0</v>
      </c>
      <c r="DH219" s="747">
        <f t="shared" si="307"/>
        <v>0</v>
      </c>
      <c r="DI219" s="747">
        <f t="shared" si="307"/>
        <v>0</v>
      </c>
      <c r="DJ219" s="747">
        <f t="shared" si="307"/>
        <v>0</v>
      </c>
      <c r="DK219" s="747">
        <f t="shared" si="307"/>
        <v>0</v>
      </c>
      <c r="DL219" s="747">
        <f t="shared" si="307"/>
        <v>0</v>
      </c>
      <c r="DM219" s="747">
        <f t="shared" si="307"/>
        <v>0</v>
      </c>
      <c r="DN219" s="747">
        <f t="shared" si="307"/>
        <v>0</v>
      </c>
      <c r="DO219" s="747">
        <f t="shared" si="307"/>
        <v>0</v>
      </c>
      <c r="DP219" s="747">
        <f t="shared" si="307"/>
        <v>0</v>
      </c>
      <c r="DQ219" s="747">
        <f t="shared" si="307"/>
        <v>0</v>
      </c>
      <c r="DR219" s="747">
        <f t="shared" si="307"/>
        <v>0</v>
      </c>
      <c r="DS219" s="747">
        <f t="shared" si="307"/>
        <v>0</v>
      </c>
      <c r="DT219" s="747">
        <f t="shared" si="307"/>
        <v>0</v>
      </c>
      <c r="DU219" s="747">
        <f t="shared" si="307"/>
        <v>0</v>
      </c>
      <c r="DV219" s="747">
        <f t="shared" si="307"/>
        <v>0</v>
      </c>
      <c r="DW219" s="747">
        <f t="shared" si="307"/>
        <v>0</v>
      </c>
      <c r="DX219" s="747">
        <f t="shared" si="307"/>
        <v>0</v>
      </c>
      <c r="DY219" s="747">
        <f t="shared" si="307"/>
        <v>0</v>
      </c>
      <c r="DZ219" s="747">
        <f t="shared" si="307"/>
        <v>0</v>
      </c>
      <c r="EA219" s="747">
        <f t="shared" si="307"/>
        <v>0</v>
      </c>
      <c r="EB219" s="747">
        <f t="shared" si="307"/>
        <v>0</v>
      </c>
      <c r="EC219" s="747">
        <f t="shared" si="307"/>
        <v>0</v>
      </c>
      <c r="ED219" s="747">
        <f t="shared" si="307"/>
        <v>0</v>
      </c>
      <c r="EE219" s="747">
        <f t="shared" si="307"/>
        <v>0</v>
      </c>
      <c r="EF219" s="747">
        <f t="shared" si="307"/>
        <v>0</v>
      </c>
      <c r="EG219" s="747">
        <f t="shared" si="307"/>
        <v>0</v>
      </c>
      <c r="EH219" s="747">
        <f t="shared" si="307"/>
        <v>0</v>
      </c>
      <c r="EI219" s="747">
        <f t="shared" si="307"/>
        <v>0</v>
      </c>
      <c r="EJ219" s="747">
        <f t="shared" si="307"/>
        <v>0</v>
      </c>
      <c r="EK219" s="747">
        <f t="shared" si="307"/>
        <v>0</v>
      </c>
      <c r="EL219" s="747">
        <f t="shared" si="307"/>
        <v>0</v>
      </c>
      <c r="EM219" s="747">
        <f t="shared" si="307"/>
        <v>0</v>
      </c>
      <c r="EN219" s="747">
        <f t="shared" ref="EN219:EU219" si="308">(MOD(IFERROR(DATEDIF($I21-1,EN$15+1,"m"),),$H219)=1)*1*$K219*SUM(EN21,EN39)</f>
        <v>0</v>
      </c>
      <c r="EO219" s="747">
        <f t="shared" si="308"/>
        <v>0</v>
      </c>
      <c r="EP219" s="747">
        <f t="shared" si="308"/>
        <v>0</v>
      </c>
      <c r="EQ219" s="747">
        <f t="shared" si="308"/>
        <v>0</v>
      </c>
      <c r="ER219" s="747">
        <f t="shared" si="308"/>
        <v>0</v>
      </c>
      <c r="ES219" s="747">
        <f t="shared" si="308"/>
        <v>0</v>
      </c>
      <c r="ET219" s="747">
        <f t="shared" si="308"/>
        <v>0</v>
      </c>
      <c r="EU219" s="747">
        <f t="shared" si="308"/>
        <v>0</v>
      </c>
    </row>
    <row r="220" spans="3:151" ht="11.25" customHeight="1">
      <c r="C220" s="735"/>
      <c r="D220" s="743">
        <f t="shared" si="295"/>
        <v>7</v>
      </c>
      <c r="E220" s="704" t="str">
        <f t="shared" si="295"/>
        <v>쿠팡</v>
      </c>
      <c r="F220" s="704" t="str">
        <f t="shared" si="295"/>
        <v>상온창고</v>
      </c>
      <c r="G220" s="752"/>
      <c r="H220" s="1261">
        <f>'A&amp;R'!AB11</f>
        <v>123</v>
      </c>
      <c r="I220" s="1263">
        <v>0</v>
      </c>
      <c r="J220" s="745"/>
      <c r="K220" s="754">
        <f>'A&amp;R'!$U$68</f>
        <v>0.5</v>
      </c>
      <c r="L220" s="746"/>
      <c r="M220" s="722"/>
      <c r="N220" s="747">
        <f t="shared" si="296"/>
        <v>57255.708567123438</v>
      </c>
      <c r="O220" s="733"/>
      <c r="P220" s="747">
        <f t="shared" ref="P220:CA220" si="309">(MOD(IFERROR(DATEDIF($I22-1,P$15+1,"m"),),$H220)=1)*1*$K220*SUM(P22,P40)</f>
        <v>0</v>
      </c>
      <c r="Q220" s="747">
        <f t="shared" si="309"/>
        <v>0</v>
      </c>
      <c r="R220" s="747">
        <f t="shared" si="309"/>
        <v>0</v>
      </c>
      <c r="S220" s="747">
        <f t="shared" si="309"/>
        <v>0</v>
      </c>
      <c r="T220" s="747">
        <f t="shared" si="309"/>
        <v>0</v>
      </c>
      <c r="U220" s="747">
        <f t="shared" si="309"/>
        <v>0</v>
      </c>
      <c r="V220" s="747">
        <f t="shared" si="309"/>
        <v>0</v>
      </c>
      <c r="W220" s="747">
        <f t="shared" si="309"/>
        <v>0</v>
      </c>
      <c r="X220" s="747">
        <f t="shared" si="309"/>
        <v>0</v>
      </c>
      <c r="Y220" s="747">
        <f t="shared" si="309"/>
        <v>0</v>
      </c>
      <c r="Z220" s="747">
        <f t="shared" si="309"/>
        <v>0</v>
      </c>
      <c r="AA220" s="747">
        <f t="shared" si="309"/>
        <v>0</v>
      </c>
      <c r="AB220" s="747">
        <f t="shared" si="309"/>
        <v>0</v>
      </c>
      <c r="AC220" s="747">
        <f t="shared" si="309"/>
        <v>0</v>
      </c>
      <c r="AD220" s="747">
        <f t="shared" si="309"/>
        <v>0</v>
      </c>
      <c r="AE220" s="747">
        <f t="shared" si="309"/>
        <v>0</v>
      </c>
      <c r="AF220" s="747">
        <f t="shared" si="309"/>
        <v>0</v>
      </c>
      <c r="AG220" s="747">
        <f t="shared" si="309"/>
        <v>0</v>
      </c>
      <c r="AH220" s="747">
        <f t="shared" si="309"/>
        <v>0</v>
      </c>
      <c r="AI220" s="747">
        <f t="shared" si="309"/>
        <v>0</v>
      </c>
      <c r="AJ220" s="747">
        <f t="shared" si="309"/>
        <v>0</v>
      </c>
      <c r="AK220" s="747">
        <f t="shared" si="309"/>
        <v>0</v>
      </c>
      <c r="AL220" s="747">
        <f t="shared" si="309"/>
        <v>0</v>
      </c>
      <c r="AM220" s="747">
        <f t="shared" si="309"/>
        <v>0</v>
      </c>
      <c r="AN220" s="747">
        <f t="shared" si="309"/>
        <v>0</v>
      </c>
      <c r="AO220" s="747">
        <f t="shared" si="309"/>
        <v>0</v>
      </c>
      <c r="AP220" s="747">
        <f t="shared" si="309"/>
        <v>0</v>
      </c>
      <c r="AQ220" s="747">
        <f t="shared" si="309"/>
        <v>0</v>
      </c>
      <c r="AR220" s="747">
        <f t="shared" si="309"/>
        <v>0</v>
      </c>
      <c r="AS220" s="747">
        <f t="shared" si="309"/>
        <v>0</v>
      </c>
      <c r="AT220" s="747">
        <f t="shared" si="309"/>
        <v>0</v>
      </c>
      <c r="AU220" s="747">
        <f t="shared" si="309"/>
        <v>0</v>
      </c>
      <c r="AV220" s="747">
        <f t="shared" si="309"/>
        <v>0</v>
      </c>
      <c r="AW220" s="747">
        <f t="shared" si="309"/>
        <v>0</v>
      </c>
      <c r="AX220" s="747">
        <f t="shared" si="309"/>
        <v>0</v>
      </c>
      <c r="AY220" s="747">
        <f t="shared" si="309"/>
        <v>0</v>
      </c>
      <c r="AZ220" s="747">
        <f t="shared" si="309"/>
        <v>0</v>
      </c>
      <c r="BA220" s="747">
        <f t="shared" si="309"/>
        <v>0</v>
      </c>
      <c r="BB220" s="747">
        <f t="shared" si="309"/>
        <v>0</v>
      </c>
      <c r="BC220" s="747">
        <f t="shared" si="309"/>
        <v>0</v>
      </c>
      <c r="BD220" s="747">
        <f t="shared" si="309"/>
        <v>0</v>
      </c>
      <c r="BE220" s="747">
        <f t="shared" si="309"/>
        <v>0</v>
      </c>
      <c r="BF220" s="747">
        <f t="shared" si="309"/>
        <v>0</v>
      </c>
      <c r="BG220" s="747">
        <f t="shared" si="309"/>
        <v>0</v>
      </c>
      <c r="BH220" s="747">
        <f t="shared" si="309"/>
        <v>0</v>
      </c>
      <c r="BI220" s="747">
        <f t="shared" si="309"/>
        <v>0</v>
      </c>
      <c r="BJ220" s="747">
        <f t="shared" si="309"/>
        <v>0</v>
      </c>
      <c r="BK220" s="747">
        <f t="shared" si="309"/>
        <v>0</v>
      </c>
      <c r="BL220" s="747">
        <f t="shared" si="309"/>
        <v>0</v>
      </c>
      <c r="BM220" s="747">
        <f t="shared" si="309"/>
        <v>0</v>
      </c>
      <c r="BN220" s="747">
        <f t="shared" si="309"/>
        <v>0</v>
      </c>
      <c r="BO220" s="747">
        <f t="shared" si="309"/>
        <v>0</v>
      </c>
      <c r="BP220" s="747">
        <f t="shared" si="309"/>
        <v>0</v>
      </c>
      <c r="BQ220" s="747">
        <f t="shared" si="309"/>
        <v>0</v>
      </c>
      <c r="BR220" s="747">
        <f t="shared" si="309"/>
        <v>0</v>
      </c>
      <c r="BS220" s="747">
        <f t="shared" si="309"/>
        <v>0</v>
      </c>
      <c r="BT220" s="747">
        <f t="shared" si="309"/>
        <v>0</v>
      </c>
      <c r="BU220" s="747">
        <f t="shared" si="309"/>
        <v>0</v>
      </c>
      <c r="BV220" s="747">
        <f t="shared" si="309"/>
        <v>0</v>
      </c>
      <c r="BW220" s="747">
        <f t="shared" si="309"/>
        <v>0</v>
      </c>
      <c r="BX220" s="747">
        <f t="shared" si="309"/>
        <v>0</v>
      </c>
      <c r="BY220" s="747">
        <f t="shared" si="309"/>
        <v>0</v>
      </c>
      <c r="BZ220" s="747">
        <f t="shared" si="309"/>
        <v>0</v>
      </c>
      <c r="CA220" s="747">
        <f t="shared" si="309"/>
        <v>0</v>
      </c>
      <c r="CB220" s="747">
        <f t="shared" ref="CB220:EM220" si="310">(MOD(IFERROR(DATEDIF($I22-1,CB$15+1,"m"),),$H220)=1)*1*$K220*SUM(CB22,CB40)</f>
        <v>0</v>
      </c>
      <c r="CC220" s="747">
        <f t="shared" si="310"/>
        <v>0</v>
      </c>
      <c r="CD220" s="747">
        <f t="shared" si="310"/>
        <v>0</v>
      </c>
      <c r="CE220" s="747">
        <f t="shared" si="310"/>
        <v>0</v>
      </c>
      <c r="CF220" s="747">
        <f t="shared" si="310"/>
        <v>0</v>
      </c>
      <c r="CG220" s="747">
        <f t="shared" si="310"/>
        <v>0</v>
      </c>
      <c r="CH220" s="747">
        <f t="shared" si="310"/>
        <v>0</v>
      </c>
      <c r="CI220" s="747">
        <f t="shared" si="310"/>
        <v>0</v>
      </c>
      <c r="CJ220" s="747">
        <f t="shared" si="310"/>
        <v>0</v>
      </c>
      <c r="CK220" s="747">
        <f t="shared" si="310"/>
        <v>0</v>
      </c>
      <c r="CL220" s="747">
        <f t="shared" si="310"/>
        <v>0</v>
      </c>
      <c r="CM220" s="747">
        <f t="shared" si="310"/>
        <v>0</v>
      </c>
      <c r="CN220" s="747">
        <f t="shared" si="310"/>
        <v>0</v>
      </c>
      <c r="CO220" s="747">
        <f t="shared" si="310"/>
        <v>0</v>
      </c>
      <c r="CP220" s="747">
        <f t="shared" si="310"/>
        <v>0</v>
      </c>
      <c r="CQ220" s="747">
        <f t="shared" si="310"/>
        <v>0</v>
      </c>
      <c r="CR220" s="747">
        <f t="shared" si="310"/>
        <v>0</v>
      </c>
      <c r="CS220" s="747">
        <f t="shared" si="310"/>
        <v>0</v>
      </c>
      <c r="CT220" s="747">
        <f t="shared" si="310"/>
        <v>0</v>
      </c>
      <c r="CU220" s="747">
        <f t="shared" si="310"/>
        <v>0</v>
      </c>
      <c r="CV220" s="747">
        <f t="shared" si="310"/>
        <v>0</v>
      </c>
      <c r="CW220" s="747">
        <f t="shared" si="310"/>
        <v>0</v>
      </c>
      <c r="CX220" s="747">
        <f t="shared" si="310"/>
        <v>0</v>
      </c>
      <c r="CY220" s="747">
        <f t="shared" si="310"/>
        <v>0</v>
      </c>
      <c r="CZ220" s="747">
        <f t="shared" si="310"/>
        <v>0</v>
      </c>
      <c r="DA220" s="747">
        <f t="shared" si="310"/>
        <v>0</v>
      </c>
      <c r="DB220" s="747">
        <f t="shared" si="310"/>
        <v>0</v>
      </c>
      <c r="DC220" s="747">
        <f t="shared" si="310"/>
        <v>57255.708567123438</v>
      </c>
      <c r="DD220" s="747">
        <f t="shared" si="310"/>
        <v>0</v>
      </c>
      <c r="DE220" s="747">
        <f t="shared" si="310"/>
        <v>0</v>
      </c>
      <c r="DF220" s="747">
        <f t="shared" si="310"/>
        <v>0</v>
      </c>
      <c r="DG220" s="747">
        <f t="shared" si="310"/>
        <v>0</v>
      </c>
      <c r="DH220" s="747">
        <f t="shared" si="310"/>
        <v>0</v>
      </c>
      <c r="DI220" s="747">
        <f t="shared" si="310"/>
        <v>0</v>
      </c>
      <c r="DJ220" s="747">
        <f t="shared" si="310"/>
        <v>0</v>
      </c>
      <c r="DK220" s="747">
        <f t="shared" si="310"/>
        <v>0</v>
      </c>
      <c r="DL220" s="747">
        <f t="shared" si="310"/>
        <v>0</v>
      </c>
      <c r="DM220" s="747">
        <f t="shared" si="310"/>
        <v>0</v>
      </c>
      <c r="DN220" s="747">
        <f t="shared" si="310"/>
        <v>0</v>
      </c>
      <c r="DO220" s="747">
        <f t="shared" si="310"/>
        <v>0</v>
      </c>
      <c r="DP220" s="747">
        <f t="shared" si="310"/>
        <v>0</v>
      </c>
      <c r="DQ220" s="747">
        <f t="shared" si="310"/>
        <v>0</v>
      </c>
      <c r="DR220" s="747">
        <f t="shared" si="310"/>
        <v>0</v>
      </c>
      <c r="DS220" s="747">
        <f t="shared" si="310"/>
        <v>0</v>
      </c>
      <c r="DT220" s="747">
        <f t="shared" si="310"/>
        <v>0</v>
      </c>
      <c r="DU220" s="747">
        <f t="shared" si="310"/>
        <v>0</v>
      </c>
      <c r="DV220" s="747">
        <f t="shared" si="310"/>
        <v>0</v>
      </c>
      <c r="DW220" s="747">
        <f t="shared" si="310"/>
        <v>0</v>
      </c>
      <c r="DX220" s="747">
        <f t="shared" si="310"/>
        <v>0</v>
      </c>
      <c r="DY220" s="747">
        <f t="shared" si="310"/>
        <v>0</v>
      </c>
      <c r="DZ220" s="747">
        <f t="shared" si="310"/>
        <v>0</v>
      </c>
      <c r="EA220" s="747">
        <f t="shared" si="310"/>
        <v>0</v>
      </c>
      <c r="EB220" s="747">
        <f t="shared" si="310"/>
        <v>0</v>
      </c>
      <c r="EC220" s="747">
        <f t="shared" si="310"/>
        <v>0</v>
      </c>
      <c r="ED220" s="747">
        <f t="shared" si="310"/>
        <v>0</v>
      </c>
      <c r="EE220" s="747">
        <f t="shared" si="310"/>
        <v>0</v>
      </c>
      <c r="EF220" s="747">
        <f t="shared" si="310"/>
        <v>0</v>
      </c>
      <c r="EG220" s="747">
        <f t="shared" si="310"/>
        <v>0</v>
      </c>
      <c r="EH220" s="747">
        <f t="shared" si="310"/>
        <v>0</v>
      </c>
      <c r="EI220" s="747">
        <f t="shared" si="310"/>
        <v>0</v>
      </c>
      <c r="EJ220" s="747">
        <f t="shared" si="310"/>
        <v>0</v>
      </c>
      <c r="EK220" s="747">
        <f t="shared" si="310"/>
        <v>0</v>
      </c>
      <c r="EL220" s="747">
        <f t="shared" si="310"/>
        <v>0</v>
      </c>
      <c r="EM220" s="747">
        <f t="shared" si="310"/>
        <v>0</v>
      </c>
      <c r="EN220" s="747">
        <f t="shared" ref="EN220:EU220" si="311">(MOD(IFERROR(DATEDIF($I22-1,EN$15+1,"m"),),$H220)=1)*1*$K220*SUM(EN22,EN40)</f>
        <v>0</v>
      </c>
      <c r="EO220" s="747">
        <f t="shared" si="311"/>
        <v>0</v>
      </c>
      <c r="EP220" s="747">
        <f t="shared" si="311"/>
        <v>0</v>
      </c>
      <c r="EQ220" s="747">
        <f t="shared" si="311"/>
        <v>0</v>
      </c>
      <c r="ER220" s="747">
        <f t="shared" si="311"/>
        <v>0</v>
      </c>
      <c r="ES220" s="747">
        <f t="shared" si="311"/>
        <v>0</v>
      </c>
      <c r="ET220" s="747">
        <f t="shared" si="311"/>
        <v>0</v>
      </c>
      <c r="EU220" s="747">
        <f t="shared" si="311"/>
        <v>0</v>
      </c>
    </row>
    <row r="221" spans="3:151" ht="11.25" customHeight="1">
      <c r="C221" s="735"/>
      <c r="D221" s="743">
        <f t="shared" si="295"/>
        <v>6</v>
      </c>
      <c r="E221" s="704" t="str">
        <f t="shared" si="295"/>
        <v>쿠팡</v>
      </c>
      <c r="F221" s="704" t="str">
        <f t="shared" si="295"/>
        <v>상온창고</v>
      </c>
      <c r="G221" s="752"/>
      <c r="H221" s="1261">
        <f>'A&amp;R'!AB12</f>
        <v>123</v>
      </c>
      <c r="I221" s="1263">
        <v>0</v>
      </c>
      <c r="J221" s="745"/>
      <c r="K221" s="754">
        <f>'A&amp;R'!$U$68</f>
        <v>0.5</v>
      </c>
      <c r="L221" s="746"/>
      <c r="M221" s="722"/>
      <c r="N221" s="747">
        <f t="shared" si="296"/>
        <v>80796.201740658886</v>
      </c>
      <c r="O221" s="733"/>
      <c r="P221" s="747">
        <f t="shared" ref="P221:CA221" si="312">(MOD(IFERROR(DATEDIF($I23-1,P$15+1,"m"),),$H221)=1)*1*$K221*SUM(P23,P41)</f>
        <v>0</v>
      </c>
      <c r="Q221" s="747">
        <f t="shared" si="312"/>
        <v>0</v>
      </c>
      <c r="R221" s="747">
        <f t="shared" si="312"/>
        <v>0</v>
      </c>
      <c r="S221" s="747">
        <f t="shared" si="312"/>
        <v>0</v>
      </c>
      <c r="T221" s="747">
        <f t="shared" si="312"/>
        <v>0</v>
      </c>
      <c r="U221" s="747">
        <f t="shared" si="312"/>
        <v>0</v>
      </c>
      <c r="V221" s="747">
        <f t="shared" si="312"/>
        <v>0</v>
      </c>
      <c r="W221" s="747">
        <f t="shared" si="312"/>
        <v>0</v>
      </c>
      <c r="X221" s="747">
        <f t="shared" si="312"/>
        <v>0</v>
      </c>
      <c r="Y221" s="747">
        <f t="shared" si="312"/>
        <v>0</v>
      </c>
      <c r="Z221" s="747">
        <f t="shared" si="312"/>
        <v>0</v>
      </c>
      <c r="AA221" s="747">
        <f t="shared" si="312"/>
        <v>0</v>
      </c>
      <c r="AB221" s="747">
        <f t="shared" si="312"/>
        <v>0</v>
      </c>
      <c r="AC221" s="747">
        <f t="shared" si="312"/>
        <v>0</v>
      </c>
      <c r="AD221" s="747">
        <f t="shared" si="312"/>
        <v>0</v>
      </c>
      <c r="AE221" s="747">
        <f t="shared" si="312"/>
        <v>0</v>
      </c>
      <c r="AF221" s="747">
        <f t="shared" si="312"/>
        <v>0</v>
      </c>
      <c r="AG221" s="747">
        <f t="shared" si="312"/>
        <v>0</v>
      </c>
      <c r="AH221" s="747">
        <f t="shared" si="312"/>
        <v>0</v>
      </c>
      <c r="AI221" s="747">
        <f t="shared" si="312"/>
        <v>0</v>
      </c>
      <c r="AJ221" s="747">
        <f t="shared" si="312"/>
        <v>0</v>
      </c>
      <c r="AK221" s="747">
        <f t="shared" si="312"/>
        <v>0</v>
      </c>
      <c r="AL221" s="747">
        <f t="shared" si="312"/>
        <v>0</v>
      </c>
      <c r="AM221" s="747">
        <f t="shared" si="312"/>
        <v>0</v>
      </c>
      <c r="AN221" s="747">
        <f t="shared" si="312"/>
        <v>0</v>
      </c>
      <c r="AO221" s="747">
        <f t="shared" si="312"/>
        <v>0</v>
      </c>
      <c r="AP221" s="747">
        <f t="shared" si="312"/>
        <v>0</v>
      </c>
      <c r="AQ221" s="747">
        <f t="shared" si="312"/>
        <v>0</v>
      </c>
      <c r="AR221" s="747">
        <f t="shared" si="312"/>
        <v>0</v>
      </c>
      <c r="AS221" s="747">
        <f t="shared" si="312"/>
        <v>0</v>
      </c>
      <c r="AT221" s="747">
        <f t="shared" si="312"/>
        <v>0</v>
      </c>
      <c r="AU221" s="747">
        <f t="shared" si="312"/>
        <v>0</v>
      </c>
      <c r="AV221" s="747">
        <f t="shared" si="312"/>
        <v>0</v>
      </c>
      <c r="AW221" s="747">
        <f t="shared" si="312"/>
        <v>0</v>
      </c>
      <c r="AX221" s="747">
        <f t="shared" si="312"/>
        <v>0</v>
      </c>
      <c r="AY221" s="747">
        <f t="shared" si="312"/>
        <v>0</v>
      </c>
      <c r="AZ221" s="747">
        <f t="shared" si="312"/>
        <v>0</v>
      </c>
      <c r="BA221" s="747">
        <f t="shared" si="312"/>
        <v>0</v>
      </c>
      <c r="BB221" s="747">
        <f t="shared" si="312"/>
        <v>0</v>
      </c>
      <c r="BC221" s="747">
        <f t="shared" si="312"/>
        <v>0</v>
      </c>
      <c r="BD221" s="747">
        <f t="shared" si="312"/>
        <v>0</v>
      </c>
      <c r="BE221" s="747">
        <f t="shared" si="312"/>
        <v>0</v>
      </c>
      <c r="BF221" s="747">
        <f t="shared" si="312"/>
        <v>0</v>
      </c>
      <c r="BG221" s="747">
        <f t="shared" si="312"/>
        <v>0</v>
      </c>
      <c r="BH221" s="747">
        <f t="shared" si="312"/>
        <v>0</v>
      </c>
      <c r="BI221" s="747">
        <f t="shared" si="312"/>
        <v>0</v>
      </c>
      <c r="BJ221" s="747">
        <f t="shared" si="312"/>
        <v>0</v>
      </c>
      <c r="BK221" s="747">
        <f t="shared" si="312"/>
        <v>0</v>
      </c>
      <c r="BL221" s="747">
        <f t="shared" si="312"/>
        <v>0</v>
      </c>
      <c r="BM221" s="747">
        <f t="shared" si="312"/>
        <v>0</v>
      </c>
      <c r="BN221" s="747">
        <f t="shared" si="312"/>
        <v>0</v>
      </c>
      <c r="BO221" s="747">
        <f t="shared" si="312"/>
        <v>0</v>
      </c>
      <c r="BP221" s="747">
        <f t="shared" si="312"/>
        <v>0</v>
      </c>
      <c r="BQ221" s="747">
        <f t="shared" si="312"/>
        <v>0</v>
      </c>
      <c r="BR221" s="747">
        <f t="shared" si="312"/>
        <v>0</v>
      </c>
      <c r="BS221" s="747">
        <f t="shared" si="312"/>
        <v>0</v>
      </c>
      <c r="BT221" s="747">
        <f t="shared" si="312"/>
        <v>0</v>
      </c>
      <c r="BU221" s="747">
        <f t="shared" si="312"/>
        <v>0</v>
      </c>
      <c r="BV221" s="747">
        <f t="shared" si="312"/>
        <v>0</v>
      </c>
      <c r="BW221" s="747">
        <f t="shared" si="312"/>
        <v>0</v>
      </c>
      <c r="BX221" s="747">
        <f t="shared" si="312"/>
        <v>0</v>
      </c>
      <c r="BY221" s="747">
        <f t="shared" si="312"/>
        <v>0</v>
      </c>
      <c r="BZ221" s="747">
        <f t="shared" si="312"/>
        <v>0</v>
      </c>
      <c r="CA221" s="747">
        <f t="shared" si="312"/>
        <v>0</v>
      </c>
      <c r="CB221" s="747">
        <f t="shared" ref="CB221:EM221" si="313">(MOD(IFERROR(DATEDIF($I23-1,CB$15+1,"m"),),$H221)=1)*1*$K221*SUM(CB23,CB41)</f>
        <v>0</v>
      </c>
      <c r="CC221" s="747">
        <f t="shared" si="313"/>
        <v>0</v>
      </c>
      <c r="CD221" s="747">
        <f t="shared" si="313"/>
        <v>0</v>
      </c>
      <c r="CE221" s="747">
        <f t="shared" si="313"/>
        <v>0</v>
      </c>
      <c r="CF221" s="747">
        <f t="shared" si="313"/>
        <v>0</v>
      </c>
      <c r="CG221" s="747">
        <f t="shared" si="313"/>
        <v>0</v>
      </c>
      <c r="CH221" s="747">
        <f t="shared" si="313"/>
        <v>0</v>
      </c>
      <c r="CI221" s="747">
        <f t="shared" si="313"/>
        <v>0</v>
      </c>
      <c r="CJ221" s="747">
        <f t="shared" si="313"/>
        <v>0</v>
      </c>
      <c r="CK221" s="747">
        <f t="shared" si="313"/>
        <v>0</v>
      </c>
      <c r="CL221" s="747">
        <f t="shared" si="313"/>
        <v>0</v>
      </c>
      <c r="CM221" s="747">
        <f t="shared" si="313"/>
        <v>0</v>
      </c>
      <c r="CN221" s="747">
        <f t="shared" si="313"/>
        <v>0</v>
      </c>
      <c r="CO221" s="747">
        <f t="shared" si="313"/>
        <v>0</v>
      </c>
      <c r="CP221" s="747">
        <f t="shared" si="313"/>
        <v>0</v>
      </c>
      <c r="CQ221" s="747">
        <f t="shared" si="313"/>
        <v>0</v>
      </c>
      <c r="CR221" s="747">
        <f t="shared" si="313"/>
        <v>0</v>
      </c>
      <c r="CS221" s="747">
        <f t="shared" si="313"/>
        <v>0</v>
      </c>
      <c r="CT221" s="747">
        <f t="shared" si="313"/>
        <v>0</v>
      </c>
      <c r="CU221" s="747">
        <f t="shared" si="313"/>
        <v>0</v>
      </c>
      <c r="CV221" s="747">
        <f t="shared" si="313"/>
        <v>0</v>
      </c>
      <c r="CW221" s="747">
        <f t="shared" si="313"/>
        <v>0</v>
      </c>
      <c r="CX221" s="747">
        <f t="shared" si="313"/>
        <v>0</v>
      </c>
      <c r="CY221" s="747">
        <f t="shared" si="313"/>
        <v>0</v>
      </c>
      <c r="CZ221" s="747">
        <f t="shared" si="313"/>
        <v>0</v>
      </c>
      <c r="DA221" s="747">
        <f t="shared" si="313"/>
        <v>0</v>
      </c>
      <c r="DB221" s="747">
        <f t="shared" si="313"/>
        <v>0</v>
      </c>
      <c r="DC221" s="747">
        <f t="shared" si="313"/>
        <v>80796.201740658886</v>
      </c>
      <c r="DD221" s="747">
        <f t="shared" si="313"/>
        <v>0</v>
      </c>
      <c r="DE221" s="747">
        <f t="shared" si="313"/>
        <v>0</v>
      </c>
      <c r="DF221" s="747">
        <f t="shared" si="313"/>
        <v>0</v>
      </c>
      <c r="DG221" s="747">
        <f t="shared" si="313"/>
        <v>0</v>
      </c>
      <c r="DH221" s="747">
        <f t="shared" si="313"/>
        <v>0</v>
      </c>
      <c r="DI221" s="747">
        <f t="shared" si="313"/>
        <v>0</v>
      </c>
      <c r="DJ221" s="747">
        <f t="shared" si="313"/>
        <v>0</v>
      </c>
      <c r="DK221" s="747">
        <f t="shared" si="313"/>
        <v>0</v>
      </c>
      <c r="DL221" s="747">
        <f t="shared" si="313"/>
        <v>0</v>
      </c>
      <c r="DM221" s="747">
        <f t="shared" si="313"/>
        <v>0</v>
      </c>
      <c r="DN221" s="747">
        <f t="shared" si="313"/>
        <v>0</v>
      </c>
      <c r="DO221" s="747">
        <f t="shared" si="313"/>
        <v>0</v>
      </c>
      <c r="DP221" s="747">
        <f t="shared" si="313"/>
        <v>0</v>
      </c>
      <c r="DQ221" s="747">
        <f t="shared" si="313"/>
        <v>0</v>
      </c>
      <c r="DR221" s="747">
        <f t="shared" si="313"/>
        <v>0</v>
      </c>
      <c r="DS221" s="747">
        <f t="shared" si="313"/>
        <v>0</v>
      </c>
      <c r="DT221" s="747">
        <f t="shared" si="313"/>
        <v>0</v>
      </c>
      <c r="DU221" s="747">
        <f t="shared" si="313"/>
        <v>0</v>
      </c>
      <c r="DV221" s="747">
        <f t="shared" si="313"/>
        <v>0</v>
      </c>
      <c r="DW221" s="747">
        <f t="shared" si="313"/>
        <v>0</v>
      </c>
      <c r="DX221" s="747">
        <f t="shared" si="313"/>
        <v>0</v>
      </c>
      <c r="DY221" s="747">
        <f t="shared" si="313"/>
        <v>0</v>
      </c>
      <c r="DZ221" s="747">
        <f t="shared" si="313"/>
        <v>0</v>
      </c>
      <c r="EA221" s="747">
        <f t="shared" si="313"/>
        <v>0</v>
      </c>
      <c r="EB221" s="747">
        <f t="shared" si="313"/>
        <v>0</v>
      </c>
      <c r="EC221" s="747">
        <f t="shared" si="313"/>
        <v>0</v>
      </c>
      <c r="ED221" s="747">
        <f t="shared" si="313"/>
        <v>0</v>
      </c>
      <c r="EE221" s="747">
        <f t="shared" si="313"/>
        <v>0</v>
      </c>
      <c r="EF221" s="747">
        <f t="shared" si="313"/>
        <v>0</v>
      </c>
      <c r="EG221" s="747">
        <f t="shared" si="313"/>
        <v>0</v>
      </c>
      <c r="EH221" s="747">
        <f t="shared" si="313"/>
        <v>0</v>
      </c>
      <c r="EI221" s="747">
        <f t="shared" si="313"/>
        <v>0</v>
      </c>
      <c r="EJ221" s="747">
        <f t="shared" si="313"/>
        <v>0</v>
      </c>
      <c r="EK221" s="747">
        <f t="shared" si="313"/>
        <v>0</v>
      </c>
      <c r="EL221" s="747">
        <f t="shared" si="313"/>
        <v>0</v>
      </c>
      <c r="EM221" s="747">
        <f t="shared" si="313"/>
        <v>0</v>
      </c>
      <c r="EN221" s="747">
        <f t="shared" ref="EN221:EU221" si="314">(MOD(IFERROR(DATEDIF($I23-1,EN$15+1,"m"),),$H221)=1)*1*$K221*SUM(EN23,EN41)</f>
        <v>0</v>
      </c>
      <c r="EO221" s="747">
        <f t="shared" si="314"/>
        <v>0</v>
      </c>
      <c r="EP221" s="747">
        <f t="shared" si="314"/>
        <v>0</v>
      </c>
      <c r="EQ221" s="747">
        <f t="shared" si="314"/>
        <v>0</v>
      </c>
      <c r="ER221" s="747">
        <f t="shared" si="314"/>
        <v>0</v>
      </c>
      <c r="ES221" s="747">
        <f t="shared" si="314"/>
        <v>0</v>
      </c>
      <c r="ET221" s="747">
        <f t="shared" si="314"/>
        <v>0</v>
      </c>
      <c r="EU221" s="747">
        <f t="shared" si="314"/>
        <v>0</v>
      </c>
    </row>
    <row r="222" spans="3:151" ht="11.25" customHeight="1">
      <c r="C222" s="735"/>
      <c r="D222" s="743">
        <f t="shared" si="295"/>
        <v>5</v>
      </c>
      <c r="E222" s="704" t="str">
        <f t="shared" si="295"/>
        <v>쿠팡</v>
      </c>
      <c r="F222" s="704" t="str">
        <f t="shared" si="295"/>
        <v>상온창고</v>
      </c>
      <c r="G222" s="752"/>
      <c r="H222" s="1261">
        <f>'A&amp;R'!AB13</f>
        <v>123</v>
      </c>
      <c r="I222" s="1263">
        <v>0</v>
      </c>
      <c r="J222" s="745"/>
      <c r="K222" s="754">
        <f>'A&amp;R'!$U$68</f>
        <v>0.5</v>
      </c>
      <c r="L222" s="746"/>
      <c r="M222" s="722"/>
      <c r="N222" s="747">
        <f t="shared" si="296"/>
        <v>80710.895380582224</v>
      </c>
      <c r="O222" s="733"/>
      <c r="P222" s="747">
        <f t="shared" ref="P222:CA222" si="315">(MOD(IFERROR(DATEDIF($I24-1,P$15+1,"m"),),$H222)=1)*1*$K222*SUM(P24,P42)</f>
        <v>0</v>
      </c>
      <c r="Q222" s="747">
        <f t="shared" si="315"/>
        <v>0</v>
      </c>
      <c r="R222" s="747">
        <f t="shared" si="315"/>
        <v>0</v>
      </c>
      <c r="S222" s="747">
        <f t="shared" si="315"/>
        <v>0</v>
      </c>
      <c r="T222" s="747">
        <f t="shared" si="315"/>
        <v>0</v>
      </c>
      <c r="U222" s="747">
        <f t="shared" si="315"/>
        <v>0</v>
      </c>
      <c r="V222" s="747">
        <f t="shared" si="315"/>
        <v>0</v>
      </c>
      <c r="W222" s="747">
        <f t="shared" si="315"/>
        <v>0</v>
      </c>
      <c r="X222" s="747">
        <f t="shared" si="315"/>
        <v>0</v>
      </c>
      <c r="Y222" s="747">
        <f t="shared" si="315"/>
        <v>0</v>
      </c>
      <c r="Z222" s="747">
        <f t="shared" si="315"/>
        <v>0</v>
      </c>
      <c r="AA222" s="747">
        <f t="shared" si="315"/>
        <v>0</v>
      </c>
      <c r="AB222" s="747">
        <f t="shared" si="315"/>
        <v>0</v>
      </c>
      <c r="AC222" s="747">
        <f t="shared" si="315"/>
        <v>0</v>
      </c>
      <c r="AD222" s="747">
        <f t="shared" si="315"/>
        <v>0</v>
      </c>
      <c r="AE222" s="747">
        <f t="shared" si="315"/>
        <v>0</v>
      </c>
      <c r="AF222" s="747">
        <f t="shared" si="315"/>
        <v>0</v>
      </c>
      <c r="AG222" s="747">
        <f t="shared" si="315"/>
        <v>0</v>
      </c>
      <c r="AH222" s="747">
        <f t="shared" si="315"/>
        <v>0</v>
      </c>
      <c r="AI222" s="747">
        <f t="shared" si="315"/>
        <v>0</v>
      </c>
      <c r="AJ222" s="747">
        <f t="shared" si="315"/>
        <v>0</v>
      </c>
      <c r="AK222" s="747">
        <f t="shared" si="315"/>
        <v>0</v>
      </c>
      <c r="AL222" s="747">
        <f t="shared" si="315"/>
        <v>0</v>
      </c>
      <c r="AM222" s="747">
        <f t="shared" si="315"/>
        <v>0</v>
      </c>
      <c r="AN222" s="747">
        <f t="shared" si="315"/>
        <v>0</v>
      </c>
      <c r="AO222" s="747">
        <f t="shared" si="315"/>
        <v>0</v>
      </c>
      <c r="AP222" s="747">
        <f t="shared" si="315"/>
        <v>0</v>
      </c>
      <c r="AQ222" s="747">
        <f t="shared" si="315"/>
        <v>0</v>
      </c>
      <c r="AR222" s="747">
        <f t="shared" si="315"/>
        <v>0</v>
      </c>
      <c r="AS222" s="747">
        <f t="shared" si="315"/>
        <v>0</v>
      </c>
      <c r="AT222" s="747">
        <f t="shared" si="315"/>
        <v>0</v>
      </c>
      <c r="AU222" s="747">
        <f t="shared" si="315"/>
        <v>0</v>
      </c>
      <c r="AV222" s="747">
        <f t="shared" si="315"/>
        <v>0</v>
      </c>
      <c r="AW222" s="747">
        <f t="shared" si="315"/>
        <v>0</v>
      </c>
      <c r="AX222" s="747">
        <f t="shared" si="315"/>
        <v>0</v>
      </c>
      <c r="AY222" s="747">
        <f t="shared" si="315"/>
        <v>0</v>
      </c>
      <c r="AZ222" s="747">
        <f t="shared" si="315"/>
        <v>0</v>
      </c>
      <c r="BA222" s="747">
        <f t="shared" si="315"/>
        <v>0</v>
      </c>
      <c r="BB222" s="747">
        <f t="shared" si="315"/>
        <v>0</v>
      </c>
      <c r="BC222" s="747">
        <f t="shared" si="315"/>
        <v>0</v>
      </c>
      <c r="BD222" s="747">
        <f t="shared" si="315"/>
        <v>0</v>
      </c>
      <c r="BE222" s="747">
        <f t="shared" si="315"/>
        <v>0</v>
      </c>
      <c r="BF222" s="747">
        <f t="shared" si="315"/>
        <v>0</v>
      </c>
      <c r="BG222" s="747">
        <f t="shared" si="315"/>
        <v>0</v>
      </c>
      <c r="BH222" s="747">
        <f t="shared" si="315"/>
        <v>0</v>
      </c>
      <c r="BI222" s="747">
        <f t="shared" si="315"/>
        <v>0</v>
      </c>
      <c r="BJ222" s="747">
        <f t="shared" si="315"/>
        <v>0</v>
      </c>
      <c r="BK222" s="747">
        <f t="shared" si="315"/>
        <v>0</v>
      </c>
      <c r="BL222" s="747">
        <f t="shared" si="315"/>
        <v>0</v>
      </c>
      <c r="BM222" s="747">
        <f t="shared" si="315"/>
        <v>0</v>
      </c>
      <c r="BN222" s="747">
        <f t="shared" si="315"/>
        <v>0</v>
      </c>
      <c r="BO222" s="747">
        <f t="shared" si="315"/>
        <v>0</v>
      </c>
      <c r="BP222" s="747">
        <f t="shared" si="315"/>
        <v>0</v>
      </c>
      <c r="BQ222" s="747">
        <f t="shared" si="315"/>
        <v>0</v>
      </c>
      <c r="BR222" s="747">
        <f t="shared" si="315"/>
        <v>0</v>
      </c>
      <c r="BS222" s="747">
        <f t="shared" si="315"/>
        <v>0</v>
      </c>
      <c r="BT222" s="747">
        <f t="shared" si="315"/>
        <v>0</v>
      </c>
      <c r="BU222" s="747">
        <f t="shared" si="315"/>
        <v>0</v>
      </c>
      <c r="BV222" s="747">
        <f t="shared" si="315"/>
        <v>0</v>
      </c>
      <c r="BW222" s="747">
        <f t="shared" si="315"/>
        <v>0</v>
      </c>
      <c r="BX222" s="747">
        <f t="shared" si="315"/>
        <v>0</v>
      </c>
      <c r="BY222" s="747">
        <f t="shared" si="315"/>
        <v>0</v>
      </c>
      <c r="BZ222" s="747">
        <f t="shared" si="315"/>
        <v>0</v>
      </c>
      <c r="CA222" s="747">
        <f t="shared" si="315"/>
        <v>0</v>
      </c>
      <c r="CB222" s="747">
        <f t="shared" ref="CB222:EM222" si="316">(MOD(IFERROR(DATEDIF($I24-1,CB$15+1,"m"),),$H222)=1)*1*$K222*SUM(CB24,CB42)</f>
        <v>0</v>
      </c>
      <c r="CC222" s="747">
        <f t="shared" si="316"/>
        <v>0</v>
      </c>
      <c r="CD222" s="747">
        <f t="shared" si="316"/>
        <v>0</v>
      </c>
      <c r="CE222" s="747">
        <f t="shared" si="316"/>
        <v>0</v>
      </c>
      <c r="CF222" s="747">
        <f t="shared" si="316"/>
        <v>0</v>
      </c>
      <c r="CG222" s="747">
        <f t="shared" si="316"/>
        <v>0</v>
      </c>
      <c r="CH222" s="747">
        <f t="shared" si="316"/>
        <v>0</v>
      </c>
      <c r="CI222" s="747">
        <f t="shared" si="316"/>
        <v>0</v>
      </c>
      <c r="CJ222" s="747">
        <f t="shared" si="316"/>
        <v>0</v>
      </c>
      <c r="CK222" s="747">
        <f t="shared" si="316"/>
        <v>0</v>
      </c>
      <c r="CL222" s="747">
        <f t="shared" si="316"/>
        <v>0</v>
      </c>
      <c r="CM222" s="747">
        <f t="shared" si="316"/>
        <v>0</v>
      </c>
      <c r="CN222" s="747">
        <f t="shared" si="316"/>
        <v>0</v>
      </c>
      <c r="CO222" s="747">
        <f t="shared" si="316"/>
        <v>0</v>
      </c>
      <c r="CP222" s="747">
        <f t="shared" si="316"/>
        <v>0</v>
      </c>
      <c r="CQ222" s="747">
        <f t="shared" si="316"/>
        <v>0</v>
      </c>
      <c r="CR222" s="747">
        <f t="shared" si="316"/>
        <v>0</v>
      </c>
      <c r="CS222" s="747">
        <f t="shared" si="316"/>
        <v>0</v>
      </c>
      <c r="CT222" s="747">
        <f t="shared" si="316"/>
        <v>0</v>
      </c>
      <c r="CU222" s="747">
        <f t="shared" si="316"/>
        <v>0</v>
      </c>
      <c r="CV222" s="747">
        <f t="shared" si="316"/>
        <v>0</v>
      </c>
      <c r="CW222" s="747">
        <f t="shared" si="316"/>
        <v>0</v>
      </c>
      <c r="CX222" s="747">
        <f t="shared" si="316"/>
        <v>0</v>
      </c>
      <c r="CY222" s="747">
        <f t="shared" si="316"/>
        <v>0</v>
      </c>
      <c r="CZ222" s="747">
        <f t="shared" si="316"/>
        <v>0</v>
      </c>
      <c r="DA222" s="747">
        <f t="shared" si="316"/>
        <v>0</v>
      </c>
      <c r="DB222" s="747">
        <f t="shared" si="316"/>
        <v>0</v>
      </c>
      <c r="DC222" s="747">
        <f t="shared" si="316"/>
        <v>80710.895380582224</v>
      </c>
      <c r="DD222" s="747">
        <f t="shared" si="316"/>
        <v>0</v>
      </c>
      <c r="DE222" s="747">
        <f t="shared" si="316"/>
        <v>0</v>
      </c>
      <c r="DF222" s="747">
        <f t="shared" si="316"/>
        <v>0</v>
      </c>
      <c r="DG222" s="747">
        <f t="shared" si="316"/>
        <v>0</v>
      </c>
      <c r="DH222" s="747">
        <f t="shared" si="316"/>
        <v>0</v>
      </c>
      <c r="DI222" s="747">
        <f t="shared" si="316"/>
        <v>0</v>
      </c>
      <c r="DJ222" s="747">
        <f t="shared" si="316"/>
        <v>0</v>
      </c>
      <c r="DK222" s="747">
        <f t="shared" si="316"/>
        <v>0</v>
      </c>
      <c r="DL222" s="747">
        <f t="shared" si="316"/>
        <v>0</v>
      </c>
      <c r="DM222" s="747">
        <f t="shared" si="316"/>
        <v>0</v>
      </c>
      <c r="DN222" s="747">
        <f t="shared" si="316"/>
        <v>0</v>
      </c>
      <c r="DO222" s="747">
        <f t="shared" si="316"/>
        <v>0</v>
      </c>
      <c r="DP222" s="747">
        <f t="shared" si="316"/>
        <v>0</v>
      </c>
      <c r="DQ222" s="747">
        <f t="shared" si="316"/>
        <v>0</v>
      </c>
      <c r="DR222" s="747">
        <f t="shared" si="316"/>
        <v>0</v>
      </c>
      <c r="DS222" s="747">
        <f t="shared" si="316"/>
        <v>0</v>
      </c>
      <c r="DT222" s="747">
        <f t="shared" si="316"/>
        <v>0</v>
      </c>
      <c r="DU222" s="747">
        <f t="shared" si="316"/>
        <v>0</v>
      </c>
      <c r="DV222" s="747">
        <f t="shared" si="316"/>
        <v>0</v>
      </c>
      <c r="DW222" s="747">
        <f t="shared" si="316"/>
        <v>0</v>
      </c>
      <c r="DX222" s="747">
        <f t="shared" si="316"/>
        <v>0</v>
      </c>
      <c r="DY222" s="747">
        <f t="shared" si="316"/>
        <v>0</v>
      </c>
      <c r="DZ222" s="747">
        <f t="shared" si="316"/>
        <v>0</v>
      </c>
      <c r="EA222" s="747">
        <f t="shared" si="316"/>
        <v>0</v>
      </c>
      <c r="EB222" s="747">
        <f t="shared" si="316"/>
        <v>0</v>
      </c>
      <c r="EC222" s="747">
        <f t="shared" si="316"/>
        <v>0</v>
      </c>
      <c r="ED222" s="747">
        <f t="shared" si="316"/>
        <v>0</v>
      </c>
      <c r="EE222" s="747">
        <f t="shared" si="316"/>
        <v>0</v>
      </c>
      <c r="EF222" s="747">
        <f t="shared" si="316"/>
        <v>0</v>
      </c>
      <c r="EG222" s="747">
        <f t="shared" si="316"/>
        <v>0</v>
      </c>
      <c r="EH222" s="747">
        <f t="shared" si="316"/>
        <v>0</v>
      </c>
      <c r="EI222" s="747">
        <f t="shared" si="316"/>
        <v>0</v>
      </c>
      <c r="EJ222" s="747">
        <f t="shared" si="316"/>
        <v>0</v>
      </c>
      <c r="EK222" s="747">
        <f t="shared" si="316"/>
        <v>0</v>
      </c>
      <c r="EL222" s="747">
        <f t="shared" si="316"/>
        <v>0</v>
      </c>
      <c r="EM222" s="747">
        <f t="shared" si="316"/>
        <v>0</v>
      </c>
      <c r="EN222" s="747">
        <f t="shared" ref="EN222:EU222" si="317">(MOD(IFERROR(DATEDIF($I24-1,EN$15+1,"m"),),$H222)=1)*1*$K222*SUM(EN24,EN42)</f>
        <v>0</v>
      </c>
      <c r="EO222" s="747">
        <f t="shared" si="317"/>
        <v>0</v>
      </c>
      <c r="EP222" s="747">
        <f t="shared" si="317"/>
        <v>0</v>
      </c>
      <c r="EQ222" s="747">
        <f t="shared" si="317"/>
        <v>0</v>
      </c>
      <c r="ER222" s="747">
        <f t="shared" si="317"/>
        <v>0</v>
      </c>
      <c r="ES222" s="747">
        <f t="shared" si="317"/>
        <v>0</v>
      </c>
      <c r="ET222" s="747">
        <f t="shared" si="317"/>
        <v>0</v>
      </c>
      <c r="EU222" s="747">
        <f t="shared" si="317"/>
        <v>0</v>
      </c>
    </row>
    <row r="223" spans="3:151" ht="11.25" customHeight="1">
      <c r="C223" s="735"/>
      <c r="D223" s="743">
        <f t="shared" si="295"/>
        <v>4</v>
      </c>
      <c r="E223" s="704" t="str">
        <f t="shared" si="295"/>
        <v>쿠팡</v>
      </c>
      <c r="F223" s="704" t="str">
        <f t="shared" si="295"/>
        <v>상온창고</v>
      </c>
      <c r="G223" s="752"/>
      <c r="H223" s="1261">
        <f>'A&amp;R'!AB14</f>
        <v>120</v>
      </c>
      <c r="I223" s="1263">
        <v>0</v>
      </c>
      <c r="J223" s="745"/>
      <c r="K223" s="754">
        <f>'A&amp;R'!$U$68</f>
        <v>0.5</v>
      </c>
      <c r="L223" s="746"/>
      <c r="M223" s="722"/>
      <c r="N223" s="747">
        <f t="shared" si="296"/>
        <v>80710.895380582224</v>
      </c>
      <c r="O223" s="733"/>
      <c r="P223" s="747">
        <f t="shared" ref="P223:CA223" si="318">(MOD(IFERROR(DATEDIF($I25-1,P$15+1,"m"),),$H223)=1)*1*$K223*SUM(P25,P43)</f>
        <v>0</v>
      </c>
      <c r="Q223" s="747">
        <f t="shared" si="318"/>
        <v>0</v>
      </c>
      <c r="R223" s="747">
        <f t="shared" si="318"/>
        <v>0</v>
      </c>
      <c r="S223" s="747">
        <f t="shared" si="318"/>
        <v>0</v>
      </c>
      <c r="T223" s="747">
        <f t="shared" si="318"/>
        <v>0</v>
      </c>
      <c r="U223" s="747">
        <f t="shared" si="318"/>
        <v>0</v>
      </c>
      <c r="V223" s="747">
        <f t="shared" si="318"/>
        <v>0</v>
      </c>
      <c r="W223" s="747">
        <f t="shared" si="318"/>
        <v>0</v>
      </c>
      <c r="X223" s="747">
        <f t="shared" si="318"/>
        <v>0</v>
      </c>
      <c r="Y223" s="747">
        <f t="shared" si="318"/>
        <v>0</v>
      </c>
      <c r="Z223" s="747">
        <f t="shared" si="318"/>
        <v>0</v>
      </c>
      <c r="AA223" s="747">
        <f t="shared" si="318"/>
        <v>0</v>
      </c>
      <c r="AB223" s="747">
        <f t="shared" si="318"/>
        <v>0</v>
      </c>
      <c r="AC223" s="747">
        <f t="shared" si="318"/>
        <v>0</v>
      </c>
      <c r="AD223" s="747">
        <f t="shared" si="318"/>
        <v>0</v>
      </c>
      <c r="AE223" s="747">
        <f t="shared" si="318"/>
        <v>0</v>
      </c>
      <c r="AF223" s="747">
        <f t="shared" si="318"/>
        <v>0</v>
      </c>
      <c r="AG223" s="747">
        <f t="shared" si="318"/>
        <v>0</v>
      </c>
      <c r="AH223" s="747">
        <f t="shared" si="318"/>
        <v>0</v>
      </c>
      <c r="AI223" s="747">
        <f t="shared" si="318"/>
        <v>0</v>
      </c>
      <c r="AJ223" s="747">
        <f t="shared" si="318"/>
        <v>0</v>
      </c>
      <c r="AK223" s="747">
        <f t="shared" si="318"/>
        <v>0</v>
      </c>
      <c r="AL223" s="747">
        <f t="shared" si="318"/>
        <v>0</v>
      </c>
      <c r="AM223" s="747">
        <f t="shared" si="318"/>
        <v>0</v>
      </c>
      <c r="AN223" s="747">
        <f t="shared" si="318"/>
        <v>0</v>
      </c>
      <c r="AO223" s="747">
        <f t="shared" si="318"/>
        <v>0</v>
      </c>
      <c r="AP223" s="747">
        <f t="shared" si="318"/>
        <v>0</v>
      </c>
      <c r="AQ223" s="747">
        <f t="shared" si="318"/>
        <v>0</v>
      </c>
      <c r="AR223" s="747">
        <f t="shared" si="318"/>
        <v>0</v>
      </c>
      <c r="AS223" s="747">
        <f t="shared" si="318"/>
        <v>0</v>
      </c>
      <c r="AT223" s="747">
        <f t="shared" si="318"/>
        <v>0</v>
      </c>
      <c r="AU223" s="747">
        <f t="shared" si="318"/>
        <v>0</v>
      </c>
      <c r="AV223" s="747">
        <f t="shared" si="318"/>
        <v>0</v>
      </c>
      <c r="AW223" s="747">
        <f t="shared" si="318"/>
        <v>0</v>
      </c>
      <c r="AX223" s="747">
        <f t="shared" si="318"/>
        <v>0</v>
      </c>
      <c r="AY223" s="747">
        <f t="shared" si="318"/>
        <v>0</v>
      </c>
      <c r="AZ223" s="747">
        <f t="shared" si="318"/>
        <v>0</v>
      </c>
      <c r="BA223" s="747">
        <f t="shared" si="318"/>
        <v>0</v>
      </c>
      <c r="BB223" s="747">
        <f t="shared" si="318"/>
        <v>0</v>
      </c>
      <c r="BC223" s="747">
        <f t="shared" si="318"/>
        <v>0</v>
      </c>
      <c r="BD223" s="747">
        <f t="shared" si="318"/>
        <v>0</v>
      </c>
      <c r="BE223" s="747">
        <f t="shared" si="318"/>
        <v>0</v>
      </c>
      <c r="BF223" s="747">
        <f t="shared" si="318"/>
        <v>0</v>
      </c>
      <c r="BG223" s="747">
        <f t="shared" si="318"/>
        <v>0</v>
      </c>
      <c r="BH223" s="747">
        <f t="shared" si="318"/>
        <v>0</v>
      </c>
      <c r="BI223" s="747">
        <f t="shared" si="318"/>
        <v>0</v>
      </c>
      <c r="BJ223" s="747">
        <f t="shared" si="318"/>
        <v>0</v>
      </c>
      <c r="BK223" s="747">
        <f t="shared" si="318"/>
        <v>0</v>
      </c>
      <c r="BL223" s="747">
        <f t="shared" si="318"/>
        <v>0</v>
      </c>
      <c r="BM223" s="747">
        <f t="shared" si="318"/>
        <v>0</v>
      </c>
      <c r="BN223" s="747">
        <f t="shared" si="318"/>
        <v>0</v>
      </c>
      <c r="BO223" s="747">
        <f t="shared" si="318"/>
        <v>0</v>
      </c>
      <c r="BP223" s="747">
        <f t="shared" si="318"/>
        <v>0</v>
      </c>
      <c r="BQ223" s="747">
        <f t="shared" si="318"/>
        <v>0</v>
      </c>
      <c r="BR223" s="747">
        <f t="shared" si="318"/>
        <v>0</v>
      </c>
      <c r="BS223" s="747">
        <f t="shared" si="318"/>
        <v>0</v>
      </c>
      <c r="BT223" s="747">
        <f t="shared" si="318"/>
        <v>0</v>
      </c>
      <c r="BU223" s="747">
        <f t="shared" si="318"/>
        <v>0</v>
      </c>
      <c r="BV223" s="747">
        <f t="shared" si="318"/>
        <v>0</v>
      </c>
      <c r="BW223" s="747">
        <f t="shared" si="318"/>
        <v>0</v>
      </c>
      <c r="BX223" s="747">
        <f t="shared" si="318"/>
        <v>0</v>
      </c>
      <c r="BY223" s="747">
        <f t="shared" si="318"/>
        <v>0</v>
      </c>
      <c r="BZ223" s="747">
        <f t="shared" si="318"/>
        <v>0</v>
      </c>
      <c r="CA223" s="747">
        <f t="shared" si="318"/>
        <v>0</v>
      </c>
      <c r="CB223" s="747">
        <f t="shared" ref="CB223:EM223" si="319">(MOD(IFERROR(DATEDIF($I25-1,CB$15+1,"m"),),$H223)=1)*1*$K223*SUM(CB25,CB43)</f>
        <v>0</v>
      </c>
      <c r="CC223" s="747">
        <f t="shared" si="319"/>
        <v>0</v>
      </c>
      <c r="CD223" s="747">
        <f t="shared" si="319"/>
        <v>0</v>
      </c>
      <c r="CE223" s="747">
        <f t="shared" si="319"/>
        <v>0</v>
      </c>
      <c r="CF223" s="747">
        <f t="shared" si="319"/>
        <v>0</v>
      </c>
      <c r="CG223" s="747">
        <f t="shared" si="319"/>
        <v>0</v>
      </c>
      <c r="CH223" s="747">
        <f t="shared" si="319"/>
        <v>0</v>
      </c>
      <c r="CI223" s="747">
        <f t="shared" si="319"/>
        <v>0</v>
      </c>
      <c r="CJ223" s="747">
        <f t="shared" si="319"/>
        <v>0</v>
      </c>
      <c r="CK223" s="747">
        <f t="shared" si="319"/>
        <v>0</v>
      </c>
      <c r="CL223" s="747">
        <f t="shared" si="319"/>
        <v>0</v>
      </c>
      <c r="CM223" s="747">
        <f t="shared" si="319"/>
        <v>0</v>
      </c>
      <c r="CN223" s="747">
        <f t="shared" si="319"/>
        <v>0</v>
      </c>
      <c r="CO223" s="747">
        <f t="shared" si="319"/>
        <v>0</v>
      </c>
      <c r="CP223" s="747">
        <f t="shared" si="319"/>
        <v>0</v>
      </c>
      <c r="CQ223" s="747">
        <f t="shared" si="319"/>
        <v>0</v>
      </c>
      <c r="CR223" s="747">
        <f t="shared" si="319"/>
        <v>0</v>
      </c>
      <c r="CS223" s="747">
        <f t="shared" si="319"/>
        <v>0</v>
      </c>
      <c r="CT223" s="747">
        <f t="shared" si="319"/>
        <v>0</v>
      </c>
      <c r="CU223" s="747">
        <f t="shared" si="319"/>
        <v>0</v>
      </c>
      <c r="CV223" s="747">
        <f t="shared" si="319"/>
        <v>0</v>
      </c>
      <c r="CW223" s="747">
        <f t="shared" si="319"/>
        <v>0</v>
      </c>
      <c r="CX223" s="747">
        <f t="shared" si="319"/>
        <v>0</v>
      </c>
      <c r="CY223" s="747">
        <f t="shared" si="319"/>
        <v>0</v>
      </c>
      <c r="CZ223" s="747">
        <f t="shared" si="319"/>
        <v>0</v>
      </c>
      <c r="DA223" s="747">
        <f t="shared" si="319"/>
        <v>0</v>
      </c>
      <c r="DB223" s="747">
        <f t="shared" si="319"/>
        <v>0</v>
      </c>
      <c r="DC223" s="747">
        <f t="shared" si="319"/>
        <v>80710.895380582224</v>
      </c>
      <c r="DD223" s="747">
        <f t="shared" si="319"/>
        <v>0</v>
      </c>
      <c r="DE223" s="747">
        <f t="shared" si="319"/>
        <v>0</v>
      </c>
      <c r="DF223" s="747">
        <f t="shared" si="319"/>
        <v>0</v>
      </c>
      <c r="DG223" s="747">
        <f t="shared" si="319"/>
        <v>0</v>
      </c>
      <c r="DH223" s="747">
        <f t="shared" si="319"/>
        <v>0</v>
      </c>
      <c r="DI223" s="747">
        <f t="shared" si="319"/>
        <v>0</v>
      </c>
      <c r="DJ223" s="747">
        <f t="shared" si="319"/>
        <v>0</v>
      </c>
      <c r="DK223" s="747">
        <f t="shared" si="319"/>
        <v>0</v>
      </c>
      <c r="DL223" s="747">
        <f t="shared" si="319"/>
        <v>0</v>
      </c>
      <c r="DM223" s="747">
        <f t="shared" si="319"/>
        <v>0</v>
      </c>
      <c r="DN223" s="747">
        <f t="shared" si="319"/>
        <v>0</v>
      </c>
      <c r="DO223" s="747">
        <f t="shared" si="319"/>
        <v>0</v>
      </c>
      <c r="DP223" s="747">
        <f t="shared" si="319"/>
        <v>0</v>
      </c>
      <c r="DQ223" s="747">
        <f t="shared" si="319"/>
        <v>0</v>
      </c>
      <c r="DR223" s="747">
        <f t="shared" si="319"/>
        <v>0</v>
      </c>
      <c r="DS223" s="747">
        <f t="shared" si="319"/>
        <v>0</v>
      </c>
      <c r="DT223" s="747">
        <f t="shared" si="319"/>
        <v>0</v>
      </c>
      <c r="DU223" s="747">
        <f t="shared" si="319"/>
        <v>0</v>
      </c>
      <c r="DV223" s="747">
        <f t="shared" si="319"/>
        <v>0</v>
      </c>
      <c r="DW223" s="747">
        <f t="shared" si="319"/>
        <v>0</v>
      </c>
      <c r="DX223" s="747">
        <f t="shared" si="319"/>
        <v>0</v>
      </c>
      <c r="DY223" s="747">
        <f t="shared" si="319"/>
        <v>0</v>
      </c>
      <c r="DZ223" s="747">
        <f t="shared" si="319"/>
        <v>0</v>
      </c>
      <c r="EA223" s="747">
        <f t="shared" si="319"/>
        <v>0</v>
      </c>
      <c r="EB223" s="747">
        <f t="shared" si="319"/>
        <v>0</v>
      </c>
      <c r="EC223" s="747">
        <f t="shared" si="319"/>
        <v>0</v>
      </c>
      <c r="ED223" s="747">
        <f t="shared" si="319"/>
        <v>0</v>
      </c>
      <c r="EE223" s="747">
        <f t="shared" si="319"/>
        <v>0</v>
      </c>
      <c r="EF223" s="747">
        <f t="shared" si="319"/>
        <v>0</v>
      </c>
      <c r="EG223" s="747">
        <f t="shared" si="319"/>
        <v>0</v>
      </c>
      <c r="EH223" s="747">
        <f t="shared" si="319"/>
        <v>0</v>
      </c>
      <c r="EI223" s="747">
        <f t="shared" si="319"/>
        <v>0</v>
      </c>
      <c r="EJ223" s="747">
        <f t="shared" si="319"/>
        <v>0</v>
      </c>
      <c r="EK223" s="747">
        <f t="shared" si="319"/>
        <v>0</v>
      </c>
      <c r="EL223" s="747">
        <f t="shared" si="319"/>
        <v>0</v>
      </c>
      <c r="EM223" s="747">
        <f t="shared" si="319"/>
        <v>0</v>
      </c>
      <c r="EN223" s="747">
        <f t="shared" ref="EN223:EU223" si="320">(MOD(IFERROR(DATEDIF($I25-1,EN$15+1,"m"),),$H223)=1)*1*$K223*SUM(EN25,EN43)</f>
        <v>0</v>
      </c>
      <c r="EO223" s="747">
        <f t="shared" si="320"/>
        <v>0</v>
      </c>
      <c r="EP223" s="747">
        <f t="shared" si="320"/>
        <v>0</v>
      </c>
      <c r="EQ223" s="747">
        <f t="shared" si="320"/>
        <v>0</v>
      </c>
      <c r="ER223" s="747">
        <f t="shared" si="320"/>
        <v>0</v>
      </c>
      <c r="ES223" s="747">
        <f t="shared" si="320"/>
        <v>0</v>
      </c>
      <c r="ET223" s="747">
        <f t="shared" si="320"/>
        <v>0</v>
      </c>
      <c r="EU223" s="747">
        <f t="shared" si="320"/>
        <v>0</v>
      </c>
    </row>
    <row r="224" spans="3:151" ht="11.25" customHeight="1">
      <c r="C224" s="735"/>
      <c r="D224" s="743">
        <f t="shared" si="295"/>
        <v>3</v>
      </c>
      <c r="E224" s="704" t="str">
        <f t="shared" si="295"/>
        <v>농심</v>
      </c>
      <c r="F224" s="704" t="str">
        <f t="shared" si="295"/>
        <v>상온창고</v>
      </c>
      <c r="G224" s="752"/>
      <c r="H224" s="1261">
        <f>'A&amp;R'!AB15</f>
        <v>60</v>
      </c>
      <c r="I224" s="1263">
        <v>0</v>
      </c>
      <c r="J224" s="745"/>
      <c r="K224" s="754">
        <f>'A&amp;R'!$U$68</f>
        <v>0.5</v>
      </c>
      <c r="L224" s="746"/>
      <c r="M224" s="722"/>
      <c r="N224" s="747">
        <f t="shared" si="296"/>
        <v>145784.89557026795</v>
      </c>
      <c r="O224" s="733"/>
      <c r="P224" s="747">
        <f t="shared" ref="P224:CA224" si="321">(MOD(IFERROR(DATEDIF($I26-1,P$15+1,"m"),),$H224)=1)*1*$K224*SUM(P26,P44)</f>
        <v>0</v>
      </c>
      <c r="Q224" s="747">
        <f t="shared" si="321"/>
        <v>0</v>
      </c>
      <c r="R224" s="747">
        <f t="shared" si="321"/>
        <v>0</v>
      </c>
      <c r="S224" s="747">
        <f t="shared" si="321"/>
        <v>0</v>
      </c>
      <c r="T224" s="747">
        <f t="shared" si="321"/>
        <v>0</v>
      </c>
      <c r="U224" s="747">
        <f t="shared" si="321"/>
        <v>0</v>
      </c>
      <c r="V224" s="747">
        <f t="shared" si="321"/>
        <v>0</v>
      </c>
      <c r="W224" s="747">
        <f t="shared" si="321"/>
        <v>0</v>
      </c>
      <c r="X224" s="747">
        <f t="shared" si="321"/>
        <v>0</v>
      </c>
      <c r="Y224" s="747">
        <f t="shared" si="321"/>
        <v>0</v>
      </c>
      <c r="Z224" s="747">
        <f t="shared" si="321"/>
        <v>0</v>
      </c>
      <c r="AA224" s="747">
        <f t="shared" si="321"/>
        <v>0</v>
      </c>
      <c r="AB224" s="747">
        <f t="shared" si="321"/>
        <v>0</v>
      </c>
      <c r="AC224" s="747">
        <f t="shared" si="321"/>
        <v>0</v>
      </c>
      <c r="AD224" s="747">
        <f t="shared" si="321"/>
        <v>0</v>
      </c>
      <c r="AE224" s="747">
        <f t="shared" si="321"/>
        <v>0</v>
      </c>
      <c r="AF224" s="747">
        <f t="shared" si="321"/>
        <v>0</v>
      </c>
      <c r="AG224" s="747">
        <f t="shared" si="321"/>
        <v>0</v>
      </c>
      <c r="AH224" s="747">
        <f t="shared" si="321"/>
        <v>0</v>
      </c>
      <c r="AI224" s="747">
        <f t="shared" si="321"/>
        <v>0</v>
      </c>
      <c r="AJ224" s="747">
        <f t="shared" si="321"/>
        <v>0</v>
      </c>
      <c r="AK224" s="747">
        <f t="shared" si="321"/>
        <v>0</v>
      </c>
      <c r="AL224" s="747">
        <f t="shared" si="321"/>
        <v>0</v>
      </c>
      <c r="AM224" s="747">
        <f t="shared" si="321"/>
        <v>0</v>
      </c>
      <c r="AN224" s="747">
        <f t="shared" si="321"/>
        <v>0</v>
      </c>
      <c r="AO224" s="747">
        <f t="shared" si="321"/>
        <v>0</v>
      </c>
      <c r="AP224" s="747">
        <f t="shared" si="321"/>
        <v>0</v>
      </c>
      <c r="AQ224" s="747">
        <f t="shared" si="321"/>
        <v>0</v>
      </c>
      <c r="AR224" s="747">
        <f t="shared" si="321"/>
        <v>0</v>
      </c>
      <c r="AS224" s="747">
        <f t="shared" si="321"/>
        <v>0</v>
      </c>
      <c r="AT224" s="747">
        <f t="shared" si="321"/>
        <v>0</v>
      </c>
      <c r="AU224" s="747">
        <f t="shared" si="321"/>
        <v>0</v>
      </c>
      <c r="AV224" s="747">
        <f t="shared" si="321"/>
        <v>0</v>
      </c>
      <c r="AW224" s="747">
        <f t="shared" si="321"/>
        <v>0</v>
      </c>
      <c r="AX224" s="747">
        <f t="shared" si="321"/>
        <v>68398.392522169117</v>
      </c>
      <c r="AY224" s="747">
        <f t="shared" si="321"/>
        <v>0</v>
      </c>
      <c r="AZ224" s="747">
        <f t="shared" si="321"/>
        <v>0</v>
      </c>
      <c r="BA224" s="747">
        <f t="shared" si="321"/>
        <v>0</v>
      </c>
      <c r="BB224" s="747">
        <f t="shared" si="321"/>
        <v>0</v>
      </c>
      <c r="BC224" s="747">
        <f t="shared" si="321"/>
        <v>0</v>
      </c>
      <c r="BD224" s="747">
        <f t="shared" si="321"/>
        <v>0</v>
      </c>
      <c r="BE224" s="747">
        <f t="shared" si="321"/>
        <v>0</v>
      </c>
      <c r="BF224" s="747">
        <f t="shared" si="321"/>
        <v>0</v>
      </c>
      <c r="BG224" s="747">
        <f t="shared" si="321"/>
        <v>0</v>
      </c>
      <c r="BH224" s="747">
        <f t="shared" si="321"/>
        <v>0</v>
      </c>
      <c r="BI224" s="747">
        <f t="shared" si="321"/>
        <v>0</v>
      </c>
      <c r="BJ224" s="747">
        <f t="shared" si="321"/>
        <v>0</v>
      </c>
      <c r="BK224" s="747">
        <f t="shared" si="321"/>
        <v>0</v>
      </c>
      <c r="BL224" s="747">
        <f t="shared" si="321"/>
        <v>0</v>
      </c>
      <c r="BM224" s="747">
        <f t="shared" si="321"/>
        <v>0</v>
      </c>
      <c r="BN224" s="747">
        <f t="shared" si="321"/>
        <v>0</v>
      </c>
      <c r="BO224" s="747">
        <f t="shared" si="321"/>
        <v>0</v>
      </c>
      <c r="BP224" s="747">
        <f t="shared" si="321"/>
        <v>0</v>
      </c>
      <c r="BQ224" s="747">
        <f t="shared" si="321"/>
        <v>0</v>
      </c>
      <c r="BR224" s="747">
        <f t="shared" si="321"/>
        <v>0</v>
      </c>
      <c r="BS224" s="747">
        <f t="shared" si="321"/>
        <v>0</v>
      </c>
      <c r="BT224" s="747">
        <f t="shared" si="321"/>
        <v>0</v>
      </c>
      <c r="BU224" s="747">
        <f t="shared" si="321"/>
        <v>0</v>
      </c>
      <c r="BV224" s="747">
        <f t="shared" si="321"/>
        <v>0</v>
      </c>
      <c r="BW224" s="747">
        <f t="shared" si="321"/>
        <v>0</v>
      </c>
      <c r="BX224" s="747">
        <f t="shared" si="321"/>
        <v>0</v>
      </c>
      <c r="BY224" s="747">
        <f t="shared" si="321"/>
        <v>0</v>
      </c>
      <c r="BZ224" s="747">
        <f t="shared" si="321"/>
        <v>0</v>
      </c>
      <c r="CA224" s="747">
        <f t="shared" si="321"/>
        <v>0</v>
      </c>
      <c r="CB224" s="747">
        <f t="shared" ref="CB224:EM224" si="322">(MOD(IFERROR(DATEDIF($I26-1,CB$15+1,"m"),),$H224)=1)*1*$K224*SUM(CB26,CB44)</f>
        <v>0</v>
      </c>
      <c r="CC224" s="747">
        <f t="shared" si="322"/>
        <v>0</v>
      </c>
      <c r="CD224" s="747">
        <f t="shared" si="322"/>
        <v>0</v>
      </c>
      <c r="CE224" s="747">
        <f t="shared" si="322"/>
        <v>0</v>
      </c>
      <c r="CF224" s="747">
        <f t="shared" si="322"/>
        <v>0</v>
      </c>
      <c r="CG224" s="747">
        <f t="shared" si="322"/>
        <v>0</v>
      </c>
      <c r="CH224" s="747">
        <f t="shared" si="322"/>
        <v>0</v>
      </c>
      <c r="CI224" s="747">
        <f t="shared" si="322"/>
        <v>0</v>
      </c>
      <c r="CJ224" s="747">
        <f t="shared" si="322"/>
        <v>0</v>
      </c>
      <c r="CK224" s="747">
        <f t="shared" si="322"/>
        <v>0</v>
      </c>
      <c r="CL224" s="747">
        <f t="shared" si="322"/>
        <v>0</v>
      </c>
      <c r="CM224" s="747">
        <f t="shared" si="322"/>
        <v>0</v>
      </c>
      <c r="CN224" s="747">
        <f t="shared" si="322"/>
        <v>0</v>
      </c>
      <c r="CO224" s="747">
        <f t="shared" si="322"/>
        <v>0</v>
      </c>
      <c r="CP224" s="747">
        <f t="shared" si="322"/>
        <v>0</v>
      </c>
      <c r="CQ224" s="747">
        <f t="shared" si="322"/>
        <v>0</v>
      </c>
      <c r="CR224" s="747">
        <f t="shared" si="322"/>
        <v>0</v>
      </c>
      <c r="CS224" s="747">
        <f t="shared" si="322"/>
        <v>0</v>
      </c>
      <c r="CT224" s="747">
        <f t="shared" si="322"/>
        <v>0</v>
      </c>
      <c r="CU224" s="747">
        <f t="shared" si="322"/>
        <v>0</v>
      </c>
      <c r="CV224" s="747">
        <f t="shared" si="322"/>
        <v>0</v>
      </c>
      <c r="CW224" s="747">
        <f t="shared" si="322"/>
        <v>0</v>
      </c>
      <c r="CX224" s="747">
        <f t="shared" si="322"/>
        <v>0</v>
      </c>
      <c r="CY224" s="747">
        <f t="shared" si="322"/>
        <v>0</v>
      </c>
      <c r="CZ224" s="747">
        <f t="shared" si="322"/>
        <v>0</v>
      </c>
      <c r="DA224" s="747">
        <f t="shared" si="322"/>
        <v>0</v>
      </c>
      <c r="DB224" s="747">
        <f t="shared" si="322"/>
        <v>0</v>
      </c>
      <c r="DC224" s="747">
        <f t="shared" si="322"/>
        <v>0</v>
      </c>
      <c r="DD224" s="747">
        <f t="shared" si="322"/>
        <v>0</v>
      </c>
      <c r="DE224" s="747">
        <f t="shared" si="322"/>
        <v>0</v>
      </c>
      <c r="DF224" s="747">
        <f t="shared" si="322"/>
        <v>77386.503048098835</v>
      </c>
      <c r="DG224" s="747">
        <f t="shared" si="322"/>
        <v>0</v>
      </c>
      <c r="DH224" s="747">
        <f t="shared" si="322"/>
        <v>0</v>
      </c>
      <c r="DI224" s="747">
        <f t="shared" si="322"/>
        <v>0</v>
      </c>
      <c r="DJ224" s="747">
        <f t="shared" si="322"/>
        <v>0</v>
      </c>
      <c r="DK224" s="747">
        <f t="shared" si="322"/>
        <v>0</v>
      </c>
      <c r="DL224" s="747">
        <f t="shared" si="322"/>
        <v>0</v>
      </c>
      <c r="DM224" s="747">
        <f t="shared" si="322"/>
        <v>0</v>
      </c>
      <c r="DN224" s="747">
        <f t="shared" si="322"/>
        <v>0</v>
      </c>
      <c r="DO224" s="747">
        <f t="shared" si="322"/>
        <v>0</v>
      </c>
      <c r="DP224" s="747">
        <f t="shared" si="322"/>
        <v>0</v>
      </c>
      <c r="DQ224" s="747">
        <f t="shared" si="322"/>
        <v>0</v>
      </c>
      <c r="DR224" s="747">
        <f t="shared" si="322"/>
        <v>0</v>
      </c>
      <c r="DS224" s="747">
        <f t="shared" si="322"/>
        <v>0</v>
      </c>
      <c r="DT224" s="747">
        <f t="shared" si="322"/>
        <v>0</v>
      </c>
      <c r="DU224" s="747">
        <f t="shared" si="322"/>
        <v>0</v>
      </c>
      <c r="DV224" s="747">
        <f t="shared" si="322"/>
        <v>0</v>
      </c>
      <c r="DW224" s="747">
        <f t="shared" si="322"/>
        <v>0</v>
      </c>
      <c r="DX224" s="747">
        <f t="shared" si="322"/>
        <v>0</v>
      </c>
      <c r="DY224" s="747">
        <f t="shared" si="322"/>
        <v>0</v>
      </c>
      <c r="DZ224" s="747">
        <f t="shared" si="322"/>
        <v>0</v>
      </c>
      <c r="EA224" s="747">
        <f t="shared" si="322"/>
        <v>0</v>
      </c>
      <c r="EB224" s="747">
        <f t="shared" si="322"/>
        <v>0</v>
      </c>
      <c r="EC224" s="747">
        <f t="shared" si="322"/>
        <v>0</v>
      </c>
      <c r="ED224" s="747">
        <f t="shared" si="322"/>
        <v>0</v>
      </c>
      <c r="EE224" s="747">
        <f t="shared" si="322"/>
        <v>0</v>
      </c>
      <c r="EF224" s="747">
        <f t="shared" si="322"/>
        <v>0</v>
      </c>
      <c r="EG224" s="747">
        <f t="shared" si="322"/>
        <v>0</v>
      </c>
      <c r="EH224" s="747">
        <f t="shared" si="322"/>
        <v>0</v>
      </c>
      <c r="EI224" s="747">
        <f t="shared" si="322"/>
        <v>0</v>
      </c>
      <c r="EJ224" s="747">
        <f t="shared" si="322"/>
        <v>0</v>
      </c>
      <c r="EK224" s="747">
        <f t="shared" si="322"/>
        <v>0</v>
      </c>
      <c r="EL224" s="747">
        <f t="shared" si="322"/>
        <v>0</v>
      </c>
      <c r="EM224" s="747">
        <f t="shared" si="322"/>
        <v>0</v>
      </c>
      <c r="EN224" s="747">
        <f t="shared" ref="EN224:EU224" si="323">(MOD(IFERROR(DATEDIF($I26-1,EN$15+1,"m"),),$H224)=1)*1*$K224*SUM(EN26,EN44)</f>
        <v>0</v>
      </c>
      <c r="EO224" s="747">
        <f t="shared" si="323"/>
        <v>0</v>
      </c>
      <c r="EP224" s="747">
        <f t="shared" si="323"/>
        <v>0</v>
      </c>
      <c r="EQ224" s="747">
        <f t="shared" si="323"/>
        <v>0</v>
      </c>
      <c r="ER224" s="747">
        <f t="shared" si="323"/>
        <v>0</v>
      </c>
      <c r="ES224" s="747">
        <f t="shared" si="323"/>
        <v>0</v>
      </c>
      <c r="ET224" s="747">
        <f t="shared" si="323"/>
        <v>0</v>
      </c>
      <c r="EU224" s="747">
        <f t="shared" si="323"/>
        <v>0</v>
      </c>
    </row>
    <row r="225" spans="3:151" ht="11.25" customHeight="1">
      <c r="C225" s="735"/>
      <c r="D225" s="743">
        <f t="shared" si="295"/>
        <v>2</v>
      </c>
      <c r="E225" s="704" t="str">
        <f t="shared" si="295"/>
        <v>쿠팡</v>
      </c>
      <c r="F225" s="704" t="str">
        <f t="shared" si="295"/>
        <v>상온창고</v>
      </c>
      <c r="G225" s="752"/>
      <c r="H225" s="1261">
        <f>'A&amp;R'!AB16</f>
        <v>112</v>
      </c>
      <c r="I225" s="1263">
        <v>0</v>
      </c>
      <c r="J225" s="745"/>
      <c r="K225" s="754">
        <f>'A&amp;R'!$U$68</f>
        <v>0.5</v>
      </c>
      <c r="L225" s="746"/>
      <c r="M225" s="722"/>
      <c r="N225" s="747">
        <f t="shared" si="296"/>
        <v>78742.336956665589</v>
      </c>
      <c r="O225" s="733"/>
      <c r="P225" s="747">
        <f t="shared" ref="P225:CA225" si="324">(MOD(IFERROR(DATEDIF($I27-1,P$15+1,"m"),),$H225)=1)*1*$K225*SUM(P27,P45)</f>
        <v>0</v>
      </c>
      <c r="Q225" s="747">
        <f t="shared" si="324"/>
        <v>0</v>
      </c>
      <c r="R225" s="747">
        <f t="shared" si="324"/>
        <v>0</v>
      </c>
      <c r="S225" s="747">
        <f t="shared" si="324"/>
        <v>0</v>
      </c>
      <c r="T225" s="747">
        <f t="shared" si="324"/>
        <v>0</v>
      </c>
      <c r="U225" s="747">
        <f t="shared" si="324"/>
        <v>0</v>
      </c>
      <c r="V225" s="747">
        <f t="shared" si="324"/>
        <v>0</v>
      </c>
      <c r="W225" s="747">
        <f t="shared" si="324"/>
        <v>0</v>
      </c>
      <c r="X225" s="747">
        <f t="shared" si="324"/>
        <v>0</v>
      </c>
      <c r="Y225" s="747">
        <f t="shared" si="324"/>
        <v>0</v>
      </c>
      <c r="Z225" s="747">
        <f t="shared" si="324"/>
        <v>0</v>
      </c>
      <c r="AA225" s="747">
        <f t="shared" si="324"/>
        <v>0</v>
      </c>
      <c r="AB225" s="747">
        <f t="shared" si="324"/>
        <v>0</v>
      </c>
      <c r="AC225" s="747">
        <f t="shared" si="324"/>
        <v>0</v>
      </c>
      <c r="AD225" s="747">
        <f t="shared" si="324"/>
        <v>0</v>
      </c>
      <c r="AE225" s="747">
        <f t="shared" si="324"/>
        <v>0</v>
      </c>
      <c r="AF225" s="747">
        <f t="shared" si="324"/>
        <v>0</v>
      </c>
      <c r="AG225" s="747">
        <f t="shared" si="324"/>
        <v>0</v>
      </c>
      <c r="AH225" s="747">
        <f t="shared" si="324"/>
        <v>0</v>
      </c>
      <c r="AI225" s="747">
        <f t="shared" si="324"/>
        <v>0</v>
      </c>
      <c r="AJ225" s="747">
        <f t="shared" si="324"/>
        <v>0</v>
      </c>
      <c r="AK225" s="747">
        <f t="shared" si="324"/>
        <v>0</v>
      </c>
      <c r="AL225" s="747">
        <f t="shared" si="324"/>
        <v>0</v>
      </c>
      <c r="AM225" s="747">
        <f t="shared" si="324"/>
        <v>0</v>
      </c>
      <c r="AN225" s="747">
        <f t="shared" si="324"/>
        <v>0</v>
      </c>
      <c r="AO225" s="747">
        <f t="shared" si="324"/>
        <v>0</v>
      </c>
      <c r="AP225" s="747">
        <f t="shared" si="324"/>
        <v>0</v>
      </c>
      <c r="AQ225" s="747">
        <f t="shared" si="324"/>
        <v>0</v>
      </c>
      <c r="AR225" s="747">
        <f t="shared" si="324"/>
        <v>0</v>
      </c>
      <c r="AS225" s="747">
        <f t="shared" si="324"/>
        <v>0</v>
      </c>
      <c r="AT225" s="747">
        <f t="shared" si="324"/>
        <v>0</v>
      </c>
      <c r="AU225" s="747">
        <f t="shared" si="324"/>
        <v>0</v>
      </c>
      <c r="AV225" s="747">
        <f t="shared" si="324"/>
        <v>0</v>
      </c>
      <c r="AW225" s="747">
        <f t="shared" si="324"/>
        <v>0</v>
      </c>
      <c r="AX225" s="747">
        <f t="shared" si="324"/>
        <v>0</v>
      </c>
      <c r="AY225" s="747">
        <f t="shared" si="324"/>
        <v>0</v>
      </c>
      <c r="AZ225" s="747">
        <f t="shared" si="324"/>
        <v>0</v>
      </c>
      <c r="BA225" s="747">
        <f t="shared" si="324"/>
        <v>0</v>
      </c>
      <c r="BB225" s="747">
        <f t="shared" si="324"/>
        <v>0</v>
      </c>
      <c r="BC225" s="747">
        <f t="shared" si="324"/>
        <v>0</v>
      </c>
      <c r="BD225" s="747">
        <f t="shared" si="324"/>
        <v>0</v>
      </c>
      <c r="BE225" s="747">
        <f t="shared" si="324"/>
        <v>0</v>
      </c>
      <c r="BF225" s="747">
        <f t="shared" si="324"/>
        <v>0</v>
      </c>
      <c r="BG225" s="747">
        <f t="shared" si="324"/>
        <v>0</v>
      </c>
      <c r="BH225" s="747">
        <f t="shared" si="324"/>
        <v>0</v>
      </c>
      <c r="BI225" s="747">
        <f t="shared" si="324"/>
        <v>0</v>
      </c>
      <c r="BJ225" s="747">
        <f t="shared" si="324"/>
        <v>0</v>
      </c>
      <c r="BK225" s="747">
        <f t="shared" si="324"/>
        <v>0</v>
      </c>
      <c r="BL225" s="747">
        <f t="shared" si="324"/>
        <v>0</v>
      </c>
      <c r="BM225" s="747">
        <f t="shared" si="324"/>
        <v>0</v>
      </c>
      <c r="BN225" s="747">
        <f t="shared" si="324"/>
        <v>0</v>
      </c>
      <c r="BO225" s="747">
        <f t="shared" si="324"/>
        <v>0</v>
      </c>
      <c r="BP225" s="747">
        <f t="shared" si="324"/>
        <v>0</v>
      </c>
      <c r="BQ225" s="747">
        <f t="shared" si="324"/>
        <v>0</v>
      </c>
      <c r="BR225" s="747">
        <f t="shared" si="324"/>
        <v>0</v>
      </c>
      <c r="BS225" s="747">
        <f t="shared" si="324"/>
        <v>0</v>
      </c>
      <c r="BT225" s="747">
        <f t="shared" si="324"/>
        <v>0</v>
      </c>
      <c r="BU225" s="747">
        <f t="shared" si="324"/>
        <v>0</v>
      </c>
      <c r="BV225" s="747">
        <f t="shared" si="324"/>
        <v>0</v>
      </c>
      <c r="BW225" s="747">
        <f t="shared" si="324"/>
        <v>0</v>
      </c>
      <c r="BX225" s="747">
        <f t="shared" si="324"/>
        <v>0</v>
      </c>
      <c r="BY225" s="747">
        <f t="shared" si="324"/>
        <v>0</v>
      </c>
      <c r="BZ225" s="747">
        <f t="shared" si="324"/>
        <v>0</v>
      </c>
      <c r="CA225" s="747">
        <f t="shared" si="324"/>
        <v>0</v>
      </c>
      <c r="CB225" s="747">
        <f t="shared" ref="CB225:EM225" si="325">(MOD(IFERROR(DATEDIF($I27-1,CB$15+1,"m"),),$H225)=1)*1*$K225*SUM(CB27,CB45)</f>
        <v>0</v>
      </c>
      <c r="CC225" s="747">
        <f t="shared" si="325"/>
        <v>0</v>
      </c>
      <c r="CD225" s="747">
        <f t="shared" si="325"/>
        <v>0</v>
      </c>
      <c r="CE225" s="747">
        <f t="shared" si="325"/>
        <v>0</v>
      </c>
      <c r="CF225" s="747">
        <f t="shared" si="325"/>
        <v>0</v>
      </c>
      <c r="CG225" s="747">
        <f t="shared" si="325"/>
        <v>0</v>
      </c>
      <c r="CH225" s="747">
        <f t="shared" si="325"/>
        <v>0</v>
      </c>
      <c r="CI225" s="747">
        <f t="shared" si="325"/>
        <v>0</v>
      </c>
      <c r="CJ225" s="747">
        <f t="shared" si="325"/>
        <v>0</v>
      </c>
      <c r="CK225" s="747">
        <f t="shared" si="325"/>
        <v>0</v>
      </c>
      <c r="CL225" s="747">
        <f t="shared" si="325"/>
        <v>0</v>
      </c>
      <c r="CM225" s="747">
        <f t="shared" si="325"/>
        <v>0</v>
      </c>
      <c r="CN225" s="747">
        <f t="shared" si="325"/>
        <v>0</v>
      </c>
      <c r="CO225" s="747">
        <f t="shared" si="325"/>
        <v>0</v>
      </c>
      <c r="CP225" s="747">
        <f t="shared" si="325"/>
        <v>0</v>
      </c>
      <c r="CQ225" s="747">
        <f t="shared" si="325"/>
        <v>0</v>
      </c>
      <c r="CR225" s="747">
        <f t="shared" si="325"/>
        <v>0</v>
      </c>
      <c r="CS225" s="747">
        <f t="shared" si="325"/>
        <v>0</v>
      </c>
      <c r="CT225" s="747">
        <f t="shared" si="325"/>
        <v>0</v>
      </c>
      <c r="CU225" s="747">
        <f t="shared" si="325"/>
        <v>0</v>
      </c>
      <c r="CV225" s="747">
        <f t="shared" si="325"/>
        <v>0</v>
      </c>
      <c r="CW225" s="747">
        <f t="shared" si="325"/>
        <v>0</v>
      </c>
      <c r="CX225" s="747">
        <f t="shared" si="325"/>
        <v>0</v>
      </c>
      <c r="CY225" s="747">
        <f t="shared" si="325"/>
        <v>0</v>
      </c>
      <c r="CZ225" s="747">
        <f t="shared" si="325"/>
        <v>0</v>
      </c>
      <c r="DA225" s="747">
        <f t="shared" si="325"/>
        <v>0</v>
      </c>
      <c r="DB225" s="747">
        <f t="shared" si="325"/>
        <v>0</v>
      </c>
      <c r="DC225" s="747">
        <f t="shared" si="325"/>
        <v>78742.336956665589</v>
      </c>
      <c r="DD225" s="747">
        <f t="shared" si="325"/>
        <v>0</v>
      </c>
      <c r="DE225" s="747">
        <f t="shared" si="325"/>
        <v>0</v>
      </c>
      <c r="DF225" s="747">
        <f t="shared" si="325"/>
        <v>0</v>
      </c>
      <c r="DG225" s="747">
        <f t="shared" si="325"/>
        <v>0</v>
      </c>
      <c r="DH225" s="747">
        <f t="shared" si="325"/>
        <v>0</v>
      </c>
      <c r="DI225" s="747">
        <f t="shared" si="325"/>
        <v>0</v>
      </c>
      <c r="DJ225" s="747">
        <f t="shared" si="325"/>
        <v>0</v>
      </c>
      <c r="DK225" s="747">
        <f t="shared" si="325"/>
        <v>0</v>
      </c>
      <c r="DL225" s="747">
        <f t="shared" si="325"/>
        <v>0</v>
      </c>
      <c r="DM225" s="747">
        <f t="shared" si="325"/>
        <v>0</v>
      </c>
      <c r="DN225" s="747">
        <f t="shared" si="325"/>
        <v>0</v>
      </c>
      <c r="DO225" s="747">
        <f t="shared" si="325"/>
        <v>0</v>
      </c>
      <c r="DP225" s="747">
        <f t="shared" si="325"/>
        <v>0</v>
      </c>
      <c r="DQ225" s="747">
        <f t="shared" si="325"/>
        <v>0</v>
      </c>
      <c r="DR225" s="747">
        <f t="shared" si="325"/>
        <v>0</v>
      </c>
      <c r="DS225" s="747">
        <f t="shared" si="325"/>
        <v>0</v>
      </c>
      <c r="DT225" s="747">
        <f t="shared" si="325"/>
        <v>0</v>
      </c>
      <c r="DU225" s="747">
        <f t="shared" si="325"/>
        <v>0</v>
      </c>
      <c r="DV225" s="747">
        <f t="shared" si="325"/>
        <v>0</v>
      </c>
      <c r="DW225" s="747">
        <f t="shared" si="325"/>
        <v>0</v>
      </c>
      <c r="DX225" s="747">
        <f t="shared" si="325"/>
        <v>0</v>
      </c>
      <c r="DY225" s="747">
        <f t="shared" si="325"/>
        <v>0</v>
      </c>
      <c r="DZ225" s="747">
        <f t="shared" si="325"/>
        <v>0</v>
      </c>
      <c r="EA225" s="747">
        <f t="shared" si="325"/>
        <v>0</v>
      </c>
      <c r="EB225" s="747">
        <f t="shared" si="325"/>
        <v>0</v>
      </c>
      <c r="EC225" s="747">
        <f t="shared" si="325"/>
        <v>0</v>
      </c>
      <c r="ED225" s="747">
        <f t="shared" si="325"/>
        <v>0</v>
      </c>
      <c r="EE225" s="747">
        <f t="shared" si="325"/>
        <v>0</v>
      </c>
      <c r="EF225" s="747">
        <f t="shared" si="325"/>
        <v>0</v>
      </c>
      <c r="EG225" s="747">
        <f t="shared" si="325"/>
        <v>0</v>
      </c>
      <c r="EH225" s="747">
        <f t="shared" si="325"/>
        <v>0</v>
      </c>
      <c r="EI225" s="747">
        <f t="shared" si="325"/>
        <v>0</v>
      </c>
      <c r="EJ225" s="747">
        <f t="shared" si="325"/>
        <v>0</v>
      </c>
      <c r="EK225" s="747">
        <f t="shared" si="325"/>
        <v>0</v>
      </c>
      <c r="EL225" s="747">
        <f t="shared" si="325"/>
        <v>0</v>
      </c>
      <c r="EM225" s="747">
        <f t="shared" si="325"/>
        <v>0</v>
      </c>
      <c r="EN225" s="747">
        <f t="shared" ref="EN225:EU225" si="326">(MOD(IFERROR(DATEDIF($I27-1,EN$15+1,"m"),),$H225)=1)*1*$K225*SUM(EN27,EN45)</f>
        <v>0</v>
      </c>
      <c r="EO225" s="747">
        <f t="shared" si="326"/>
        <v>0</v>
      </c>
      <c r="EP225" s="747">
        <f t="shared" si="326"/>
        <v>0</v>
      </c>
      <c r="EQ225" s="747">
        <f t="shared" si="326"/>
        <v>0</v>
      </c>
      <c r="ER225" s="747">
        <f t="shared" si="326"/>
        <v>0</v>
      </c>
      <c r="ES225" s="747">
        <f t="shared" si="326"/>
        <v>0</v>
      </c>
      <c r="ET225" s="747">
        <f t="shared" si="326"/>
        <v>0</v>
      </c>
      <c r="EU225" s="747">
        <f t="shared" si="326"/>
        <v>0</v>
      </c>
    </row>
    <row r="226" spans="3:151" ht="11.25" customHeight="1">
      <c r="C226" s="735"/>
      <c r="D226" s="743">
        <f t="shared" si="295"/>
        <v>1</v>
      </c>
      <c r="E226" s="704" t="str">
        <f t="shared" si="295"/>
        <v>지오영</v>
      </c>
      <c r="F226" s="704" t="str">
        <f t="shared" si="295"/>
        <v>상온창고</v>
      </c>
      <c r="G226" s="752"/>
      <c r="H226" s="1261">
        <f>'A&amp;R'!AB17</f>
        <v>120</v>
      </c>
      <c r="I226" s="1263">
        <v>0</v>
      </c>
      <c r="J226" s="745"/>
      <c r="K226" s="754">
        <f>'A&amp;R'!$U$68</f>
        <v>0.5</v>
      </c>
      <c r="L226" s="711"/>
      <c r="M226" s="722"/>
      <c r="N226" s="747">
        <f t="shared" si="296"/>
        <v>42217.000165410893</v>
      </c>
      <c r="O226" s="733"/>
      <c r="P226" s="747">
        <f t="shared" ref="P226:CA226" si="327">(MOD(IFERROR(DATEDIF($I28-1,P$15+1,"m"),),$H226)=1)*1*$K226*SUM(P28,P46)</f>
        <v>0</v>
      </c>
      <c r="Q226" s="747">
        <f t="shared" si="327"/>
        <v>0</v>
      </c>
      <c r="R226" s="747">
        <f t="shared" si="327"/>
        <v>0</v>
      </c>
      <c r="S226" s="747">
        <f t="shared" si="327"/>
        <v>0</v>
      </c>
      <c r="T226" s="747">
        <f t="shared" si="327"/>
        <v>0</v>
      </c>
      <c r="U226" s="747">
        <f t="shared" si="327"/>
        <v>0</v>
      </c>
      <c r="V226" s="747">
        <f t="shared" si="327"/>
        <v>0</v>
      </c>
      <c r="W226" s="747">
        <f t="shared" si="327"/>
        <v>0</v>
      </c>
      <c r="X226" s="747">
        <f t="shared" si="327"/>
        <v>0</v>
      </c>
      <c r="Y226" s="747">
        <f t="shared" si="327"/>
        <v>0</v>
      </c>
      <c r="Z226" s="747">
        <f t="shared" si="327"/>
        <v>0</v>
      </c>
      <c r="AA226" s="747">
        <f t="shared" si="327"/>
        <v>0</v>
      </c>
      <c r="AB226" s="747">
        <f t="shared" si="327"/>
        <v>0</v>
      </c>
      <c r="AC226" s="747">
        <f t="shared" si="327"/>
        <v>0</v>
      </c>
      <c r="AD226" s="747">
        <f t="shared" si="327"/>
        <v>0</v>
      </c>
      <c r="AE226" s="747">
        <f t="shared" si="327"/>
        <v>0</v>
      </c>
      <c r="AF226" s="747">
        <f t="shared" si="327"/>
        <v>0</v>
      </c>
      <c r="AG226" s="747">
        <f t="shared" si="327"/>
        <v>0</v>
      </c>
      <c r="AH226" s="747">
        <f t="shared" si="327"/>
        <v>0</v>
      </c>
      <c r="AI226" s="747">
        <f t="shared" si="327"/>
        <v>0</v>
      </c>
      <c r="AJ226" s="747">
        <f t="shared" si="327"/>
        <v>0</v>
      </c>
      <c r="AK226" s="747">
        <f t="shared" si="327"/>
        <v>0</v>
      </c>
      <c r="AL226" s="747">
        <f t="shared" si="327"/>
        <v>0</v>
      </c>
      <c r="AM226" s="747">
        <f t="shared" si="327"/>
        <v>0</v>
      </c>
      <c r="AN226" s="747">
        <f t="shared" si="327"/>
        <v>0</v>
      </c>
      <c r="AO226" s="747">
        <f t="shared" si="327"/>
        <v>0</v>
      </c>
      <c r="AP226" s="747">
        <f t="shared" si="327"/>
        <v>0</v>
      </c>
      <c r="AQ226" s="747">
        <f t="shared" si="327"/>
        <v>0</v>
      </c>
      <c r="AR226" s="747">
        <f t="shared" si="327"/>
        <v>0</v>
      </c>
      <c r="AS226" s="747">
        <f t="shared" si="327"/>
        <v>0</v>
      </c>
      <c r="AT226" s="747">
        <f t="shared" si="327"/>
        <v>0</v>
      </c>
      <c r="AU226" s="747">
        <f t="shared" si="327"/>
        <v>0</v>
      </c>
      <c r="AV226" s="747">
        <f t="shared" si="327"/>
        <v>0</v>
      </c>
      <c r="AW226" s="747">
        <f t="shared" si="327"/>
        <v>0</v>
      </c>
      <c r="AX226" s="747">
        <f t="shared" si="327"/>
        <v>0</v>
      </c>
      <c r="AY226" s="747">
        <f t="shared" si="327"/>
        <v>0</v>
      </c>
      <c r="AZ226" s="747">
        <f t="shared" si="327"/>
        <v>0</v>
      </c>
      <c r="BA226" s="747">
        <f t="shared" si="327"/>
        <v>0</v>
      </c>
      <c r="BB226" s="747">
        <f t="shared" si="327"/>
        <v>0</v>
      </c>
      <c r="BC226" s="747">
        <f t="shared" si="327"/>
        <v>0</v>
      </c>
      <c r="BD226" s="747">
        <f t="shared" si="327"/>
        <v>0</v>
      </c>
      <c r="BE226" s="747">
        <f t="shared" si="327"/>
        <v>0</v>
      </c>
      <c r="BF226" s="747">
        <f t="shared" si="327"/>
        <v>0</v>
      </c>
      <c r="BG226" s="747">
        <f t="shared" si="327"/>
        <v>0</v>
      </c>
      <c r="BH226" s="747">
        <f t="shared" si="327"/>
        <v>0</v>
      </c>
      <c r="BI226" s="747">
        <f t="shared" si="327"/>
        <v>0</v>
      </c>
      <c r="BJ226" s="747">
        <f t="shared" si="327"/>
        <v>0</v>
      </c>
      <c r="BK226" s="747">
        <f t="shared" si="327"/>
        <v>0</v>
      </c>
      <c r="BL226" s="747">
        <f t="shared" si="327"/>
        <v>0</v>
      </c>
      <c r="BM226" s="747">
        <f t="shared" si="327"/>
        <v>0</v>
      </c>
      <c r="BN226" s="747">
        <f t="shared" si="327"/>
        <v>0</v>
      </c>
      <c r="BO226" s="747">
        <f t="shared" si="327"/>
        <v>0</v>
      </c>
      <c r="BP226" s="747">
        <f t="shared" si="327"/>
        <v>0</v>
      </c>
      <c r="BQ226" s="747">
        <f t="shared" si="327"/>
        <v>0</v>
      </c>
      <c r="BR226" s="747">
        <f t="shared" si="327"/>
        <v>0</v>
      </c>
      <c r="BS226" s="747">
        <f t="shared" si="327"/>
        <v>0</v>
      </c>
      <c r="BT226" s="747">
        <f t="shared" si="327"/>
        <v>0</v>
      </c>
      <c r="BU226" s="747">
        <f t="shared" si="327"/>
        <v>0</v>
      </c>
      <c r="BV226" s="747">
        <f t="shared" si="327"/>
        <v>0</v>
      </c>
      <c r="BW226" s="747">
        <f t="shared" si="327"/>
        <v>0</v>
      </c>
      <c r="BX226" s="747">
        <f t="shared" si="327"/>
        <v>0</v>
      </c>
      <c r="BY226" s="747">
        <f t="shared" si="327"/>
        <v>0</v>
      </c>
      <c r="BZ226" s="747">
        <f t="shared" si="327"/>
        <v>0</v>
      </c>
      <c r="CA226" s="747">
        <f t="shared" si="327"/>
        <v>0</v>
      </c>
      <c r="CB226" s="747">
        <f t="shared" ref="CB226:EM226" si="328">(MOD(IFERROR(DATEDIF($I28-1,CB$15+1,"m"),),$H226)=1)*1*$K226*SUM(CB28,CB46)</f>
        <v>0</v>
      </c>
      <c r="CC226" s="747">
        <f t="shared" si="328"/>
        <v>0</v>
      </c>
      <c r="CD226" s="747">
        <f t="shared" si="328"/>
        <v>0</v>
      </c>
      <c r="CE226" s="747">
        <f t="shared" si="328"/>
        <v>0</v>
      </c>
      <c r="CF226" s="747">
        <f t="shared" si="328"/>
        <v>0</v>
      </c>
      <c r="CG226" s="747">
        <f t="shared" si="328"/>
        <v>0</v>
      </c>
      <c r="CH226" s="747">
        <f t="shared" si="328"/>
        <v>0</v>
      </c>
      <c r="CI226" s="747">
        <f t="shared" si="328"/>
        <v>0</v>
      </c>
      <c r="CJ226" s="747">
        <f t="shared" si="328"/>
        <v>0</v>
      </c>
      <c r="CK226" s="747">
        <f t="shared" si="328"/>
        <v>0</v>
      </c>
      <c r="CL226" s="747">
        <f t="shared" si="328"/>
        <v>0</v>
      </c>
      <c r="CM226" s="747">
        <f t="shared" si="328"/>
        <v>0</v>
      </c>
      <c r="CN226" s="747">
        <f t="shared" si="328"/>
        <v>0</v>
      </c>
      <c r="CO226" s="747">
        <f t="shared" si="328"/>
        <v>0</v>
      </c>
      <c r="CP226" s="747">
        <f t="shared" si="328"/>
        <v>0</v>
      </c>
      <c r="CQ226" s="747">
        <f t="shared" si="328"/>
        <v>0</v>
      </c>
      <c r="CR226" s="747">
        <f t="shared" si="328"/>
        <v>0</v>
      </c>
      <c r="CS226" s="747">
        <f t="shared" si="328"/>
        <v>0</v>
      </c>
      <c r="CT226" s="747">
        <f t="shared" si="328"/>
        <v>0</v>
      </c>
      <c r="CU226" s="747">
        <f t="shared" si="328"/>
        <v>0</v>
      </c>
      <c r="CV226" s="747">
        <f t="shared" si="328"/>
        <v>0</v>
      </c>
      <c r="CW226" s="747">
        <f t="shared" si="328"/>
        <v>0</v>
      </c>
      <c r="CX226" s="747">
        <f t="shared" si="328"/>
        <v>0</v>
      </c>
      <c r="CY226" s="747">
        <f t="shared" si="328"/>
        <v>0</v>
      </c>
      <c r="CZ226" s="747">
        <f t="shared" si="328"/>
        <v>0</v>
      </c>
      <c r="DA226" s="747">
        <f t="shared" si="328"/>
        <v>0</v>
      </c>
      <c r="DB226" s="747">
        <f t="shared" si="328"/>
        <v>0</v>
      </c>
      <c r="DC226" s="747">
        <f t="shared" si="328"/>
        <v>0</v>
      </c>
      <c r="DD226" s="747">
        <f t="shared" si="328"/>
        <v>0</v>
      </c>
      <c r="DE226" s="747">
        <f t="shared" si="328"/>
        <v>0</v>
      </c>
      <c r="DF226" s="747">
        <f t="shared" si="328"/>
        <v>0</v>
      </c>
      <c r="DG226" s="747">
        <f t="shared" si="328"/>
        <v>0</v>
      </c>
      <c r="DH226" s="747">
        <f t="shared" si="328"/>
        <v>0</v>
      </c>
      <c r="DI226" s="747">
        <f t="shared" si="328"/>
        <v>0</v>
      </c>
      <c r="DJ226" s="747">
        <f t="shared" si="328"/>
        <v>0</v>
      </c>
      <c r="DK226" s="747">
        <f t="shared" si="328"/>
        <v>0</v>
      </c>
      <c r="DL226" s="747">
        <f t="shared" si="328"/>
        <v>42217.000165410893</v>
      </c>
      <c r="DM226" s="747">
        <f t="shared" si="328"/>
        <v>0</v>
      </c>
      <c r="DN226" s="747">
        <f t="shared" si="328"/>
        <v>0</v>
      </c>
      <c r="DO226" s="747">
        <f t="shared" si="328"/>
        <v>0</v>
      </c>
      <c r="DP226" s="747">
        <f t="shared" si="328"/>
        <v>0</v>
      </c>
      <c r="DQ226" s="747">
        <f t="shared" si="328"/>
        <v>0</v>
      </c>
      <c r="DR226" s="747">
        <f t="shared" si="328"/>
        <v>0</v>
      </c>
      <c r="DS226" s="747">
        <f t="shared" si="328"/>
        <v>0</v>
      </c>
      <c r="DT226" s="747">
        <f t="shared" si="328"/>
        <v>0</v>
      </c>
      <c r="DU226" s="747">
        <f t="shared" si="328"/>
        <v>0</v>
      </c>
      <c r="DV226" s="747">
        <f t="shared" si="328"/>
        <v>0</v>
      </c>
      <c r="DW226" s="747">
        <f t="shared" si="328"/>
        <v>0</v>
      </c>
      <c r="DX226" s="747">
        <f t="shared" si="328"/>
        <v>0</v>
      </c>
      <c r="DY226" s="747">
        <f t="shared" si="328"/>
        <v>0</v>
      </c>
      <c r="DZ226" s="747">
        <f t="shared" si="328"/>
        <v>0</v>
      </c>
      <c r="EA226" s="747">
        <f t="shared" si="328"/>
        <v>0</v>
      </c>
      <c r="EB226" s="747">
        <f t="shared" si="328"/>
        <v>0</v>
      </c>
      <c r="EC226" s="747">
        <f t="shared" si="328"/>
        <v>0</v>
      </c>
      <c r="ED226" s="747">
        <f t="shared" si="328"/>
        <v>0</v>
      </c>
      <c r="EE226" s="747">
        <f t="shared" si="328"/>
        <v>0</v>
      </c>
      <c r="EF226" s="747">
        <f t="shared" si="328"/>
        <v>0</v>
      </c>
      <c r="EG226" s="747">
        <f t="shared" si="328"/>
        <v>0</v>
      </c>
      <c r="EH226" s="747">
        <f t="shared" si="328"/>
        <v>0</v>
      </c>
      <c r="EI226" s="747">
        <f t="shared" si="328"/>
        <v>0</v>
      </c>
      <c r="EJ226" s="747">
        <f t="shared" si="328"/>
        <v>0</v>
      </c>
      <c r="EK226" s="747">
        <f t="shared" si="328"/>
        <v>0</v>
      </c>
      <c r="EL226" s="747">
        <f t="shared" si="328"/>
        <v>0</v>
      </c>
      <c r="EM226" s="747">
        <f t="shared" si="328"/>
        <v>0</v>
      </c>
      <c r="EN226" s="747">
        <f t="shared" ref="EN226:EU226" si="329">(MOD(IFERROR(DATEDIF($I28-1,EN$15+1,"m"),),$H226)=1)*1*$K226*SUM(EN28,EN46)</f>
        <v>0</v>
      </c>
      <c r="EO226" s="747">
        <f t="shared" si="329"/>
        <v>0</v>
      </c>
      <c r="EP226" s="747">
        <f t="shared" si="329"/>
        <v>0</v>
      </c>
      <c r="EQ226" s="747">
        <f t="shared" si="329"/>
        <v>0</v>
      </c>
      <c r="ER226" s="747">
        <f t="shared" si="329"/>
        <v>0</v>
      </c>
      <c r="ES226" s="747">
        <f t="shared" si="329"/>
        <v>0</v>
      </c>
      <c r="ET226" s="747">
        <f t="shared" si="329"/>
        <v>0</v>
      </c>
      <c r="EU226" s="747">
        <f t="shared" si="329"/>
        <v>0</v>
      </c>
    </row>
    <row r="227" spans="3:151" ht="11.25" customHeight="1">
      <c r="C227" s="735"/>
      <c r="D227" s="743">
        <f t="shared" si="295"/>
        <v>1</v>
      </c>
      <c r="E227" s="704" t="str">
        <f t="shared" si="295"/>
        <v>용마로지스</v>
      </c>
      <c r="F227" s="704" t="str">
        <f t="shared" si="295"/>
        <v>상온창고</v>
      </c>
      <c r="G227" s="752"/>
      <c r="H227" s="1261">
        <f>'A&amp;R'!AB18</f>
        <v>62</v>
      </c>
      <c r="I227" s="1263">
        <v>0</v>
      </c>
      <c r="J227" s="745"/>
      <c r="K227" s="754">
        <f>'A&amp;R'!$U$68</f>
        <v>0.5</v>
      </c>
      <c r="L227" s="711"/>
      <c r="M227" s="722"/>
      <c r="N227" s="747">
        <f t="shared" si="296"/>
        <v>58943.675398077539</v>
      </c>
      <c r="O227" s="733"/>
      <c r="P227" s="747">
        <f t="shared" ref="P227:CA227" si="330">(MOD(IFERROR(DATEDIF($I29-1,P$15+1,"m"),),$H227)=1)*1*$K227*SUM(P29,P47)</f>
        <v>0</v>
      </c>
      <c r="Q227" s="747">
        <f t="shared" si="330"/>
        <v>0</v>
      </c>
      <c r="R227" s="747">
        <f t="shared" si="330"/>
        <v>0</v>
      </c>
      <c r="S227" s="747">
        <f t="shared" si="330"/>
        <v>0</v>
      </c>
      <c r="T227" s="747">
        <f t="shared" si="330"/>
        <v>0</v>
      </c>
      <c r="U227" s="747">
        <f t="shared" si="330"/>
        <v>0</v>
      </c>
      <c r="V227" s="747">
        <f t="shared" si="330"/>
        <v>0</v>
      </c>
      <c r="W227" s="747">
        <f t="shared" si="330"/>
        <v>0</v>
      </c>
      <c r="X227" s="747">
        <f t="shared" si="330"/>
        <v>0</v>
      </c>
      <c r="Y227" s="747">
        <f t="shared" si="330"/>
        <v>0</v>
      </c>
      <c r="Z227" s="747">
        <f t="shared" si="330"/>
        <v>0</v>
      </c>
      <c r="AA227" s="747">
        <f t="shared" si="330"/>
        <v>0</v>
      </c>
      <c r="AB227" s="747">
        <f t="shared" si="330"/>
        <v>0</v>
      </c>
      <c r="AC227" s="747">
        <f t="shared" si="330"/>
        <v>0</v>
      </c>
      <c r="AD227" s="747">
        <f t="shared" si="330"/>
        <v>0</v>
      </c>
      <c r="AE227" s="747">
        <f t="shared" si="330"/>
        <v>0</v>
      </c>
      <c r="AF227" s="747">
        <f t="shared" si="330"/>
        <v>0</v>
      </c>
      <c r="AG227" s="747">
        <f t="shared" si="330"/>
        <v>0</v>
      </c>
      <c r="AH227" s="747">
        <f t="shared" si="330"/>
        <v>0</v>
      </c>
      <c r="AI227" s="747">
        <f t="shared" si="330"/>
        <v>0</v>
      </c>
      <c r="AJ227" s="747">
        <f t="shared" si="330"/>
        <v>0</v>
      </c>
      <c r="AK227" s="747">
        <f t="shared" si="330"/>
        <v>0</v>
      </c>
      <c r="AL227" s="747">
        <f t="shared" si="330"/>
        <v>0</v>
      </c>
      <c r="AM227" s="747">
        <f t="shared" si="330"/>
        <v>0</v>
      </c>
      <c r="AN227" s="747">
        <f t="shared" si="330"/>
        <v>0</v>
      </c>
      <c r="AO227" s="747">
        <f t="shared" si="330"/>
        <v>0</v>
      </c>
      <c r="AP227" s="747">
        <f t="shared" si="330"/>
        <v>0</v>
      </c>
      <c r="AQ227" s="747">
        <f t="shared" si="330"/>
        <v>0</v>
      </c>
      <c r="AR227" s="747">
        <f t="shared" si="330"/>
        <v>0</v>
      </c>
      <c r="AS227" s="747">
        <f t="shared" si="330"/>
        <v>0</v>
      </c>
      <c r="AT227" s="747">
        <f t="shared" si="330"/>
        <v>0</v>
      </c>
      <c r="AU227" s="747">
        <f t="shared" si="330"/>
        <v>0</v>
      </c>
      <c r="AV227" s="747">
        <f t="shared" si="330"/>
        <v>0</v>
      </c>
      <c r="AW227" s="747">
        <f t="shared" si="330"/>
        <v>0</v>
      </c>
      <c r="AX227" s="747">
        <f t="shared" si="330"/>
        <v>0</v>
      </c>
      <c r="AY227" s="747">
        <f t="shared" si="330"/>
        <v>0</v>
      </c>
      <c r="AZ227" s="747">
        <f t="shared" si="330"/>
        <v>0</v>
      </c>
      <c r="BA227" s="747">
        <f t="shared" si="330"/>
        <v>0</v>
      </c>
      <c r="BB227" s="747">
        <f t="shared" si="330"/>
        <v>0</v>
      </c>
      <c r="BC227" s="747">
        <f t="shared" si="330"/>
        <v>0</v>
      </c>
      <c r="BD227" s="747">
        <f t="shared" si="330"/>
        <v>27654.803543305239</v>
      </c>
      <c r="BE227" s="747">
        <f t="shared" si="330"/>
        <v>0</v>
      </c>
      <c r="BF227" s="747">
        <f t="shared" si="330"/>
        <v>0</v>
      </c>
      <c r="BG227" s="747">
        <f t="shared" si="330"/>
        <v>0</v>
      </c>
      <c r="BH227" s="747">
        <f t="shared" si="330"/>
        <v>0</v>
      </c>
      <c r="BI227" s="747">
        <f t="shared" si="330"/>
        <v>0</v>
      </c>
      <c r="BJ227" s="747">
        <f t="shared" si="330"/>
        <v>0</v>
      </c>
      <c r="BK227" s="747">
        <f t="shared" si="330"/>
        <v>0</v>
      </c>
      <c r="BL227" s="747">
        <f t="shared" si="330"/>
        <v>0</v>
      </c>
      <c r="BM227" s="747">
        <f t="shared" si="330"/>
        <v>0</v>
      </c>
      <c r="BN227" s="747">
        <f t="shared" si="330"/>
        <v>0</v>
      </c>
      <c r="BO227" s="747">
        <f t="shared" si="330"/>
        <v>0</v>
      </c>
      <c r="BP227" s="747">
        <f t="shared" si="330"/>
        <v>0</v>
      </c>
      <c r="BQ227" s="747">
        <f t="shared" si="330"/>
        <v>0</v>
      </c>
      <c r="BR227" s="747">
        <f t="shared" si="330"/>
        <v>0</v>
      </c>
      <c r="BS227" s="747">
        <f t="shared" si="330"/>
        <v>0</v>
      </c>
      <c r="BT227" s="747">
        <f t="shared" si="330"/>
        <v>0</v>
      </c>
      <c r="BU227" s="747">
        <f t="shared" si="330"/>
        <v>0</v>
      </c>
      <c r="BV227" s="747">
        <f t="shared" si="330"/>
        <v>0</v>
      </c>
      <c r="BW227" s="747">
        <f t="shared" si="330"/>
        <v>0</v>
      </c>
      <c r="BX227" s="747">
        <f t="shared" si="330"/>
        <v>0</v>
      </c>
      <c r="BY227" s="747">
        <f t="shared" si="330"/>
        <v>0</v>
      </c>
      <c r="BZ227" s="747">
        <f t="shared" si="330"/>
        <v>0</v>
      </c>
      <c r="CA227" s="747">
        <f t="shared" si="330"/>
        <v>0</v>
      </c>
      <c r="CB227" s="747">
        <f t="shared" ref="CB227:EM227" si="331">(MOD(IFERROR(DATEDIF($I29-1,CB$15+1,"m"),),$H227)=1)*1*$K227*SUM(CB29,CB47)</f>
        <v>0</v>
      </c>
      <c r="CC227" s="747">
        <f t="shared" si="331"/>
        <v>0</v>
      </c>
      <c r="CD227" s="747">
        <f t="shared" si="331"/>
        <v>0</v>
      </c>
      <c r="CE227" s="747">
        <f t="shared" si="331"/>
        <v>0</v>
      </c>
      <c r="CF227" s="747">
        <f t="shared" si="331"/>
        <v>0</v>
      </c>
      <c r="CG227" s="747">
        <f t="shared" si="331"/>
        <v>0</v>
      </c>
      <c r="CH227" s="747">
        <f t="shared" si="331"/>
        <v>0</v>
      </c>
      <c r="CI227" s="747">
        <f t="shared" si="331"/>
        <v>0</v>
      </c>
      <c r="CJ227" s="747">
        <f t="shared" si="331"/>
        <v>0</v>
      </c>
      <c r="CK227" s="747">
        <f t="shared" si="331"/>
        <v>0</v>
      </c>
      <c r="CL227" s="747">
        <f t="shared" si="331"/>
        <v>0</v>
      </c>
      <c r="CM227" s="747">
        <f t="shared" si="331"/>
        <v>0</v>
      </c>
      <c r="CN227" s="747">
        <f t="shared" si="331"/>
        <v>0</v>
      </c>
      <c r="CO227" s="747">
        <f t="shared" si="331"/>
        <v>0</v>
      </c>
      <c r="CP227" s="747">
        <f t="shared" si="331"/>
        <v>0</v>
      </c>
      <c r="CQ227" s="747">
        <f t="shared" si="331"/>
        <v>0</v>
      </c>
      <c r="CR227" s="747">
        <f t="shared" si="331"/>
        <v>0</v>
      </c>
      <c r="CS227" s="747">
        <f t="shared" si="331"/>
        <v>0</v>
      </c>
      <c r="CT227" s="747">
        <f t="shared" si="331"/>
        <v>0</v>
      </c>
      <c r="CU227" s="747">
        <f t="shared" si="331"/>
        <v>0</v>
      </c>
      <c r="CV227" s="747">
        <f t="shared" si="331"/>
        <v>0</v>
      </c>
      <c r="CW227" s="747">
        <f t="shared" si="331"/>
        <v>0</v>
      </c>
      <c r="CX227" s="747">
        <f t="shared" si="331"/>
        <v>0</v>
      </c>
      <c r="CY227" s="747">
        <f t="shared" si="331"/>
        <v>0</v>
      </c>
      <c r="CZ227" s="747">
        <f t="shared" si="331"/>
        <v>0</v>
      </c>
      <c r="DA227" s="747">
        <f t="shared" si="331"/>
        <v>0</v>
      </c>
      <c r="DB227" s="747">
        <f t="shared" si="331"/>
        <v>0</v>
      </c>
      <c r="DC227" s="747">
        <f t="shared" si="331"/>
        <v>0</v>
      </c>
      <c r="DD227" s="747">
        <f t="shared" si="331"/>
        <v>0</v>
      </c>
      <c r="DE227" s="747">
        <f t="shared" si="331"/>
        <v>0</v>
      </c>
      <c r="DF227" s="747">
        <f t="shared" si="331"/>
        <v>0</v>
      </c>
      <c r="DG227" s="747">
        <f t="shared" si="331"/>
        <v>0</v>
      </c>
      <c r="DH227" s="747">
        <f t="shared" si="331"/>
        <v>0</v>
      </c>
      <c r="DI227" s="747">
        <f t="shared" si="331"/>
        <v>0</v>
      </c>
      <c r="DJ227" s="747">
        <f t="shared" si="331"/>
        <v>0</v>
      </c>
      <c r="DK227" s="747">
        <f t="shared" si="331"/>
        <v>0</v>
      </c>
      <c r="DL227" s="747">
        <f t="shared" si="331"/>
        <v>0</v>
      </c>
      <c r="DM227" s="747">
        <f t="shared" si="331"/>
        <v>0</v>
      </c>
      <c r="DN227" s="747">
        <f t="shared" si="331"/>
        <v>31288.871854772297</v>
      </c>
      <c r="DO227" s="747">
        <f t="shared" si="331"/>
        <v>0</v>
      </c>
      <c r="DP227" s="747">
        <f t="shared" si="331"/>
        <v>0</v>
      </c>
      <c r="DQ227" s="747">
        <f t="shared" si="331"/>
        <v>0</v>
      </c>
      <c r="DR227" s="747">
        <f t="shared" si="331"/>
        <v>0</v>
      </c>
      <c r="DS227" s="747">
        <f t="shared" si="331"/>
        <v>0</v>
      </c>
      <c r="DT227" s="747">
        <f t="shared" si="331"/>
        <v>0</v>
      </c>
      <c r="DU227" s="747">
        <f t="shared" si="331"/>
        <v>0</v>
      </c>
      <c r="DV227" s="747">
        <f t="shared" si="331"/>
        <v>0</v>
      </c>
      <c r="DW227" s="747">
        <f t="shared" si="331"/>
        <v>0</v>
      </c>
      <c r="DX227" s="747">
        <f t="shared" si="331"/>
        <v>0</v>
      </c>
      <c r="DY227" s="747">
        <f t="shared" si="331"/>
        <v>0</v>
      </c>
      <c r="DZ227" s="747">
        <f t="shared" si="331"/>
        <v>0</v>
      </c>
      <c r="EA227" s="747">
        <f t="shared" si="331"/>
        <v>0</v>
      </c>
      <c r="EB227" s="747">
        <f t="shared" si="331"/>
        <v>0</v>
      </c>
      <c r="EC227" s="747">
        <f t="shared" si="331"/>
        <v>0</v>
      </c>
      <c r="ED227" s="747">
        <f t="shared" si="331"/>
        <v>0</v>
      </c>
      <c r="EE227" s="747">
        <f t="shared" si="331"/>
        <v>0</v>
      </c>
      <c r="EF227" s="747">
        <f t="shared" si="331"/>
        <v>0</v>
      </c>
      <c r="EG227" s="747">
        <f t="shared" si="331"/>
        <v>0</v>
      </c>
      <c r="EH227" s="747">
        <f t="shared" si="331"/>
        <v>0</v>
      </c>
      <c r="EI227" s="747">
        <f t="shared" si="331"/>
        <v>0</v>
      </c>
      <c r="EJ227" s="747">
        <f t="shared" si="331"/>
        <v>0</v>
      </c>
      <c r="EK227" s="747">
        <f t="shared" si="331"/>
        <v>0</v>
      </c>
      <c r="EL227" s="747">
        <f t="shared" si="331"/>
        <v>0</v>
      </c>
      <c r="EM227" s="747">
        <f t="shared" si="331"/>
        <v>0</v>
      </c>
      <c r="EN227" s="747">
        <f t="shared" ref="EN227:EU227" si="332">(MOD(IFERROR(DATEDIF($I29-1,EN$15+1,"m"),),$H227)=1)*1*$K227*SUM(EN29,EN47)</f>
        <v>0</v>
      </c>
      <c r="EO227" s="747">
        <f t="shared" si="332"/>
        <v>0</v>
      </c>
      <c r="EP227" s="747">
        <f t="shared" si="332"/>
        <v>0</v>
      </c>
      <c r="EQ227" s="747">
        <f t="shared" si="332"/>
        <v>0</v>
      </c>
      <c r="ER227" s="747">
        <f t="shared" si="332"/>
        <v>0</v>
      </c>
      <c r="ES227" s="747">
        <f t="shared" si="332"/>
        <v>0</v>
      </c>
      <c r="ET227" s="747">
        <f t="shared" si="332"/>
        <v>0</v>
      </c>
      <c r="EU227" s="747">
        <f t="shared" si="332"/>
        <v>0</v>
      </c>
    </row>
    <row r="228" spans="3:151" ht="11.25" customHeight="1">
      <c r="C228" s="735"/>
      <c r="D228" s="743" t="str">
        <f t="shared" si="295"/>
        <v>1F</v>
      </c>
      <c r="E228" s="704" t="str">
        <f t="shared" si="295"/>
        <v>아이팜</v>
      </c>
      <c r="F228" s="704" t="str">
        <f t="shared" si="295"/>
        <v>근린생활시설</v>
      </c>
      <c r="G228" s="752"/>
      <c r="H228" s="1261">
        <f>'A&amp;R'!AB19</f>
        <v>60</v>
      </c>
      <c r="I228" s="1263">
        <v>0</v>
      </c>
      <c r="J228" s="745"/>
      <c r="K228" s="754">
        <f>'A&amp;R'!$U$68</f>
        <v>0.5</v>
      </c>
      <c r="L228" s="748"/>
      <c r="M228" s="749"/>
      <c r="N228" s="747">
        <f t="shared" si="296"/>
        <v>1190.5100725807611</v>
      </c>
      <c r="O228" s="733"/>
      <c r="P228" s="747">
        <f t="shared" ref="P228:CA228" si="333">(MOD(IFERROR(DATEDIF($I30-1,P$15+1,"m"),),$H228)=1)*1*$K228*SUM(P30,P48)</f>
        <v>0</v>
      </c>
      <c r="Q228" s="747">
        <f t="shared" si="333"/>
        <v>0</v>
      </c>
      <c r="R228" s="747">
        <f t="shared" si="333"/>
        <v>0</v>
      </c>
      <c r="S228" s="747">
        <f t="shared" si="333"/>
        <v>0</v>
      </c>
      <c r="T228" s="747">
        <f t="shared" si="333"/>
        <v>0</v>
      </c>
      <c r="U228" s="747">
        <f t="shared" si="333"/>
        <v>0</v>
      </c>
      <c r="V228" s="747">
        <f t="shared" si="333"/>
        <v>0</v>
      </c>
      <c r="W228" s="747">
        <f t="shared" si="333"/>
        <v>0</v>
      </c>
      <c r="X228" s="747">
        <f t="shared" si="333"/>
        <v>0</v>
      </c>
      <c r="Y228" s="747">
        <f t="shared" si="333"/>
        <v>0</v>
      </c>
      <c r="Z228" s="747">
        <f t="shared" si="333"/>
        <v>0</v>
      </c>
      <c r="AA228" s="747">
        <f t="shared" si="333"/>
        <v>0</v>
      </c>
      <c r="AB228" s="747">
        <f t="shared" si="333"/>
        <v>0</v>
      </c>
      <c r="AC228" s="747">
        <f t="shared" si="333"/>
        <v>0</v>
      </c>
      <c r="AD228" s="747">
        <f t="shared" si="333"/>
        <v>0</v>
      </c>
      <c r="AE228" s="747">
        <f t="shared" si="333"/>
        <v>0</v>
      </c>
      <c r="AF228" s="747">
        <f t="shared" si="333"/>
        <v>0</v>
      </c>
      <c r="AG228" s="747">
        <f t="shared" si="333"/>
        <v>0</v>
      </c>
      <c r="AH228" s="747">
        <f t="shared" si="333"/>
        <v>0</v>
      </c>
      <c r="AI228" s="747">
        <f t="shared" si="333"/>
        <v>0</v>
      </c>
      <c r="AJ228" s="747">
        <f t="shared" si="333"/>
        <v>0</v>
      </c>
      <c r="AK228" s="747">
        <f t="shared" si="333"/>
        <v>0</v>
      </c>
      <c r="AL228" s="747">
        <f t="shared" si="333"/>
        <v>0</v>
      </c>
      <c r="AM228" s="747">
        <f t="shared" si="333"/>
        <v>0</v>
      </c>
      <c r="AN228" s="747">
        <f t="shared" si="333"/>
        <v>0</v>
      </c>
      <c r="AO228" s="747">
        <f t="shared" si="333"/>
        <v>0</v>
      </c>
      <c r="AP228" s="747">
        <f t="shared" si="333"/>
        <v>0</v>
      </c>
      <c r="AQ228" s="747">
        <f t="shared" si="333"/>
        <v>0</v>
      </c>
      <c r="AR228" s="747">
        <f t="shared" si="333"/>
        <v>0</v>
      </c>
      <c r="AS228" s="747">
        <f t="shared" si="333"/>
        <v>0</v>
      </c>
      <c r="AT228" s="747">
        <f t="shared" si="333"/>
        <v>0</v>
      </c>
      <c r="AU228" s="747">
        <f t="shared" si="333"/>
        <v>0</v>
      </c>
      <c r="AV228" s="747">
        <f t="shared" si="333"/>
        <v>0</v>
      </c>
      <c r="AW228" s="747">
        <f t="shared" si="333"/>
        <v>0</v>
      </c>
      <c r="AX228" s="747">
        <f t="shared" si="333"/>
        <v>0</v>
      </c>
      <c r="AY228" s="747">
        <f t="shared" si="333"/>
        <v>0</v>
      </c>
      <c r="AZ228" s="747">
        <f t="shared" si="333"/>
        <v>0</v>
      </c>
      <c r="BA228" s="747">
        <f t="shared" si="333"/>
        <v>0</v>
      </c>
      <c r="BB228" s="747">
        <f t="shared" si="333"/>
        <v>0</v>
      </c>
      <c r="BC228" s="747">
        <f t="shared" si="333"/>
        <v>0</v>
      </c>
      <c r="BD228" s="747">
        <f t="shared" si="333"/>
        <v>0</v>
      </c>
      <c r="BE228" s="747">
        <f t="shared" si="333"/>
        <v>0</v>
      </c>
      <c r="BF228" s="747">
        <f t="shared" si="333"/>
        <v>0</v>
      </c>
      <c r="BG228" s="747">
        <f t="shared" si="333"/>
        <v>558.55563724519311</v>
      </c>
      <c r="BH228" s="747">
        <f t="shared" si="333"/>
        <v>0</v>
      </c>
      <c r="BI228" s="747">
        <f t="shared" si="333"/>
        <v>0</v>
      </c>
      <c r="BJ228" s="747">
        <f t="shared" si="333"/>
        <v>0</v>
      </c>
      <c r="BK228" s="747">
        <f t="shared" si="333"/>
        <v>0</v>
      </c>
      <c r="BL228" s="747">
        <f t="shared" si="333"/>
        <v>0</v>
      </c>
      <c r="BM228" s="747">
        <f t="shared" si="333"/>
        <v>0</v>
      </c>
      <c r="BN228" s="747">
        <f t="shared" si="333"/>
        <v>0</v>
      </c>
      <c r="BO228" s="747">
        <f t="shared" si="333"/>
        <v>0</v>
      </c>
      <c r="BP228" s="747">
        <f t="shared" si="333"/>
        <v>0</v>
      </c>
      <c r="BQ228" s="747">
        <f t="shared" si="333"/>
        <v>0</v>
      </c>
      <c r="BR228" s="747">
        <f t="shared" si="333"/>
        <v>0</v>
      </c>
      <c r="BS228" s="747">
        <f t="shared" si="333"/>
        <v>0</v>
      </c>
      <c r="BT228" s="747">
        <f t="shared" si="333"/>
        <v>0</v>
      </c>
      <c r="BU228" s="747">
        <f t="shared" si="333"/>
        <v>0</v>
      </c>
      <c r="BV228" s="747">
        <f t="shared" si="333"/>
        <v>0</v>
      </c>
      <c r="BW228" s="747">
        <f t="shared" si="333"/>
        <v>0</v>
      </c>
      <c r="BX228" s="747">
        <f t="shared" si="333"/>
        <v>0</v>
      </c>
      <c r="BY228" s="747">
        <f t="shared" si="333"/>
        <v>0</v>
      </c>
      <c r="BZ228" s="747">
        <f t="shared" si="333"/>
        <v>0</v>
      </c>
      <c r="CA228" s="747">
        <f t="shared" si="333"/>
        <v>0</v>
      </c>
      <c r="CB228" s="747">
        <f t="shared" ref="CB228:EM228" si="334">(MOD(IFERROR(DATEDIF($I30-1,CB$15+1,"m"),),$H228)=1)*1*$K228*SUM(CB30,CB48)</f>
        <v>0</v>
      </c>
      <c r="CC228" s="747">
        <f t="shared" si="334"/>
        <v>0</v>
      </c>
      <c r="CD228" s="747">
        <f t="shared" si="334"/>
        <v>0</v>
      </c>
      <c r="CE228" s="747">
        <f t="shared" si="334"/>
        <v>0</v>
      </c>
      <c r="CF228" s="747">
        <f t="shared" si="334"/>
        <v>0</v>
      </c>
      <c r="CG228" s="747">
        <f t="shared" si="334"/>
        <v>0</v>
      </c>
      <c r="CH228" s="747">
        <f t="shared" si="334"/>
        <v>0</v>
      </c>
      <c r="CI228" s="747">
        <f t="shared" si="334"/>
        <v>0</v>
      </c>
      <c r="CJ228" s="747">
        <f t="shared" si="334"/>
        <v>0</v>
      </c>
      <c r="CK228" s="747">
        <f t="shared" si="334"/>
        <v>0</v>
      </c>
      <c r="CL228" s="747">
        <f t="shared" si="334"/>
        <v>0</v>
      </c>
      <c r="CM228" s="747">
        <f t="shared" si="334"/>
        <v>0</v>
      </c>
      <c r="CN228" s="747">
        <f t="shared" si="334"/>
        <v>0</v>
      </c>
      <c r="CO228" s="747">
        <f t="shared" si="334"/>
        <v>0</v>
      </c>
      <c r="CP228" s="747">
        <f t="shared" si="334"/>
        <v>0</v>
      </c>
      <c r="CQ228" s="747">
        <f t="shared" si="334"/>
        <v>0</v>
      </c>
      <c r="CR228" s="747">
        <f t="shared" si="334"/>
        <v>0</v>
      </c>
      <c r="CS228" s="747">
        <f t="shared" si="334"/>
        <v>0</v>
      </c>
      <c r="CT228" s="747">
        <f t="shared" si="334"/>
        <v>0</v>
      </c>
      <c r="CU228" s="747">
        <f t="shared" si="334"/>
        <v>0</v>
      </c>
      <c r="CV228" s="747">
        <f t="shared" si="334"/>
        <v>0</v>
      </c>
      <c r="CW228" s="747">
        <f t="shared" si="334"/>
        <v>0</v>
      </c>
      <c r="CX228" s="747">
        <f t="shared" si="334"/>
        <v>0</v>
      </c>
      <c r="CY228" s="747">
        <f t="shared" si="334"/>
        <v>0</v>
      </c>
      <c r="CZ228" s="747">
        <f t="shared" si="334"/>
        <v>0</v>
      </c>
      <c r="DA228" s="747">
        <f t="shared" si="334"/>
        <v>0</v>
      </c>
      <c r="DB228" s="747">
        <f t="shared" si="334"/>
        <v>0</v>
      </c>
      <c r="DC228" s="747">
        <f t="shared" si="334"/>
        <v>0</v>
      </c>
      <c r="DD228" s="747">
        <f t="shared" si="334"/>
        <v>0</v>
      </c>
      <c r="DE228" s="747">
        <f t="shared" si="334"/>
        <v>0</v>
      </c>
      <c r="DF228" s="747">
        <f t="shared" si="334"/>
        <v>0</v>
      </c>
      <c r="DG228" s="747">
        <f t="shared" si="334"/>
        <v>0</v>
      </c>
      <c r="DH228" s="747">
        <f t="shared" si="334"/>
        <v>0</v>
      </c>
      <c r="DI228" s="747">
        <f t="shared" si="334"/>
        <v>0</v>
      </c>
      <c r="DJ228" s="747">
        <f t="shared" si="334"/>
        <v>0</v>
      </c>
      <c r="DK228" s="747">
        <f t="shared" si="334"/>
        <v>0</v>
      </c>
      <c r="DL228" s="747">
        <f t="shared" si="334"/>
        <v>0</v>
      </c>
      <c r="DM228" s="747">
        <f t="shared" si="334"/>
        <v>0</v>
      </c>
      <c r="DN228" s="747">
        <f t="shared" si="334"/>
        <v>0</v>
      </c>
      <c r="DO228" s="747">
        <f t="shared" si="334"/>
        <v>631.95443533556806</v>
      </c>
      <c r="DP228" s="747">
        <f t="shared" si="334"/>
        <v>0</v>
      </c>
      <c r="DQ228" s="747">
        <f t="shared" si="334"/>
        <v>0</v>
      </c>
      <c r="DR228" s="747">
        <f t="shared" si="334"/>
        <v>0</v>
      </c>
      <c r="DS228" s="747">
        <f t="shared" si="334"/>
        <v>0</v>
      </c>
      <c r="DT228" s="747">
        <f t="shared" si="334"/>
        <v>0</v>
      </c>
      <c r="DU228" s="747">
        <f t="shared" si="334"/>
        <v>0</v>
      </c>
      <c r="DV228" s="747">
        <f t="shared" si="334"/>
        <v>0</v>
      </c>
      <c r="DW228" s="747">
        <f t="shared" si="334"/>
        <v>0</v>
      </c>
      <c r="DX228" s="747">
        <f t="shared" si="334"/>
        <v>0</v>
      </c>
      <c r="DY228" s="747">
        <f t="shared" si="334"/>
        <v>0</v>
      </c>
      <c r="DZ228" s="747">
        <f t="shared" si="334"/>
        <v>0</v>
      </c>
      <c r="EA228" s="747">
        <f t="shared" si="334"/>
        <v>0</v>
      </c>
      <c r="EB228" s="747">
        <f t="shared" si="334"/>
        <v>0</v>
      </c>
      <c r="EC228" s="747">
        <f t="shared" si="334"/>
        <v>0</v>
      </c>
      <c r="ED228" s="747">
        <f t="shared" si="334"/>
        <v>0</v>
      </c>
      <c r="EE228" s="747">
        <f t="shared" si="334"/>
        <v>0</v>
      </c>
      <c r="EF228" s="747">
        <f t="shared" si="334"/>
        <v>0</v>
      </c>
      <c r="EG228" s="747">
        <f t="shared" si="334"/>
        <v>0</v>
      </c>
      <c r="EH228" s="747">
        <f t="shared" si="334"/>
        <v>0</v>
      </c>
      <c r="EI228" s="747">
        <f t="shared" si="334"/>
        <v>0</v>
      </c>
      <c r="EJ228" s="747">
        <f t="shared" si="334"/>
        <v>0</v>
      </c>
      <c r="EK228" s="747">
        <f t="shared" si="334"/>
        <v>0</v>
      </c>
      <c r="EL228" s="747">
        <f t="shared" si="334"/>
        <v>0</v>
      </c>
      <c r="EM228" s="747">
        <f t="shared" si="334"/>
        <v>0</v>
      </c>
      <c r="EN228" s="747">
        <f t="shared" ref="EN228:EU228" si="335">(MOD(IFERROR(DATEDIF($I30-1,EN$15+1,"m"),),$H228)=1)*1*$K228*SUM(EN30,EN48)</f>
        <v>0</v>
      </c>
      <c r="EO228" s="747">
        <f t="shared" si="335"/>
        <v>0</v>
      </c>
      <c r="EP228" s="747">
        <f t="shared" si="335"/>
        <v>0</v>
      </c>
      <c r="EQ228" s="747">
        <f t="shared" si="335"/>
        <v>0</v>
      </c>
      <c r="ER228" s="747">
        <f t="shared" si="335"/>
        <v>0</v>
      </c>
      <c r="ES228" s="747">
        <f t="shared" si="335"/>
        <v>0</v>
      </c>
      <c r="ET228" s="747">
        <f t="shared" si="335"/>
        <v>0</v>
      </c>
      <c r="EU228" s="747">
        <f t="shared" si="335"/>
        <v>0</v>
      </c>
    </row>
    <row r="229" spans="3:151" ht="11.25" customHeight="1">
      <c r="C229" s="735"/>
      <c r="D229" s="743">
        <f t="shared" si="295"/>
        <v>1</v>
      </c>
      <c r="E229" s="704" t="str">
        <f t="shared" si="295"/>
        <v>공실</v>
      </c>
      <c r="F229" s="704" t="str">
        <f t="shared" si="295"/>
        <v>근린생활시설</v>
      </c>
      <c r="G229" s="752"/>
      <c r="H229" s="1261">
        <f>'A&amp;R'!AB20</f>
        <v>120</v>
      </c>
      <c r="I229" s="1263">
        <v>1</v>
      </c>
      <c r="J229" s="745"/>
      <c r="K229" s="754">
        <f>'A&amp;R'!$U$69</f>
        <v>2</v>
      </c>
      <c r="L229" s="748"/>
      <c r="M229" s="749"/>
      <c r="N229" s="747">
        <f t="shared" si="296"/>
        <v>0</v>
      </c>
      <c r="O229" s="733"/>
      <c r="P229" s="747">
        <f t="shared" ref="P229:CA229" si="336">(MOD(IFERROR(DATEDIF($I31-1,P$15+1,"m"),),$H229)=1)*1*$K229*SUM(P31,P49)</f>
        <v>0</v>
      </c>
      <c r="Q229" s="747">
        <f t="shared" si="336"/>
        <v>0</v>
      </c>
      <c r="R229" s="747">
        <f t="shared" si="336"/>
        <v>0</v>
      </c>
      <c r="S229" s="747">
        <f t="shared" si="336"/>
        <v>0</v>
      </c>
      <c r="T229" s="747">
        <f t="shared" si="336"/>
        <v>0</v>
      </c>
      <c r="U229" s="747">
        <f t="shared" si="336"/>
        <v>0</v>
      </c>
      <c r="V229" s="747">
        <f t="shared" si="336"/>
        <v>0</v>
      </c>
      <c r="W229" s="747">
        <f t="shared" si="336"/>
        <v>0</v>
      </c>
      <c r="X229" s="747">
        <f t="shared" si="336"/>
        <v>0</v>
      </c>
      <c r="Y229" s="747">
        <f t="shared" si="336"/>
        <v>0</v>
      </c>
      <c r="Z229" s="747">
        <f t="shared" si="336"/>
        <v>0</v>
      </c>
      <c r="AA229" s="747">
        <f t="shared" si="336"/>
        <v>0</v>
      </c>
      <c r="AB229" s="747">
        <f t="shared" si="336"/>
        <v>0</v>
      </c>
      <c r="AC229" s="747">
        <f t="shared" si="336"/>
        <v>0</v>
      </c>
      <c r="AD229" s="747">
        <f t="shared" si="336"/>
        <v>0</v>
      </c>
      <c r="AE229" s="747">
        <f t="shared" si="336"/>
        <v>0</v>
      </c>
      <c r="AF229" s="747">
        <f t="shared" si="336"/>
        <v>0</v>
      </c>
      <c r="AG229" s="747">
        <f t="shared" si="336"/>
        <v>0</v>
      </c>
      <c r="AH229" s="747">
        <f t="shared" si="336"/>
        <v>0</v>
      </c>
      <c r="AI229" s="747">
        <f t="shared" si="336"/>
        <v>0</v>
      </c>
      <c r="AJ229" s="747">
        <f t="shared" si="336"/>
        <v>0</v>
      </c>
      <c r="AK229" s="747">
        <f t="shared" si="336"/>
        <v>0</v>
      </c>
      <c r="AL229" s="747">
        <f t="shared" si="336"/>
        <v>0</v>
      </c>
      <c r="AM229" s="747">
        <f t="shared" si="336"/>
        <v>0</v>
      </c>
      <c r="AN229" s="747">
        <f t="shared" si="336"/>
        <v>0</v>
      </c>
      <c r="AO229" s="747">
        <f t="shared" si="336"/>
        <v>0</v>
      </c>
      <c r="AP229" s="747">
        <f t="shared" si="336"/>
        <v>0</v>
      </c>
      <c r="AQ229" s="747">
        <f t="shared" si="336"/>
        <v>0</v>
      </c>
      <c r="AR229" s="747">
        <f t="shared" si="336"/>
        <v>0</v>
      </c>
      <c r="AS229" s="747">
        <f t="shared" si="336"/>
        <v>0</v>
      </c>
      <c r="AT229" s="747">
        <f t="shared" si="336"/>
        <v>0</v>
      </c>
      <c r="AU229" s="747">
        <f t="shared" si="336"/>
        <v>0</v>
      </c>
      <c r="AV229" s="747">
        <f t="shared" si="336"/>
        <v>0</v>
      </c>
      <c r="AW229" s="747">
        <f t="shared" si="336"/>
        <v>0</v>
      </c>
      <c r="AX229" s="747">
        <f t="shared" si="336"/>
        <v>0</v>
      </c>
      <c r="AY229" s="747">
        <f t="shared" si="336"/>
        <v>0</v>
      </c>
      <c r="AZ229" s="747">
        <f t="shared" si="336"/>
        <v>0</v>
      </c>
      <c r="BA229" s="747">
        <f t="shared" si="336"/>
        <v>0</v>
      </c>
      <c r="BB229" s="747">
        <f t="shared" si="336"/>
        <v>0</v>
      </c>
      <c r="BC229" s="747">
        <f t="shared" si="336"/>
        <v>0</v>
      </c>
      <c r="BD229" s="747">
        <f t="shared" si="336"/>
        <v>0</v>
      </c>
      <c r="BE229" s="747">
        <f t="shared" si="336"/>
        <v>0</v>
      </c>
      <c r="BF229" s="747">
        <f t="shared" si="336"/>
        <v>0</v>
      </c>
      <c r="BG229" s="747">
        <f t="shared" si="336"/>
        <v>0</v>
      </c>
      <c r="BH229" s="747">
        <f t="shared" si="336"/>
        <v>0</v>
      </c>
      <c r="BI229" s="747">
        <f t="shared" si="336"/>
        <v>0</v>
      </c>
      <c r="BJ229" s="747">
        <f t="shared" si="336"/>
        <v>0</v>
      </c>
      <c r="BK229" s="747">
        <f t="shared" si="336"/>
        <v>0</v>
      </c>
      <c r="BL229" s="747">
        <f t="shared" si="336"/>
        <v>0</v>
      </c>
      <c r="BM229" s="747">
        <f t="shared" si="336"/>
        <v>0</v>
      </c>
      <c r="BN229" s="747">
        <f t="shared" si="336"/>
        <v>0</v>
      </c>
      <c r="BO229" s="747">
        <f t="shared" si="336"/>
        <v>0</v>
      </c>
      <c r="BP229" s="747">
        <f t="shared" si="336"/>
        <v>0</v>
      </c>
      <c r="BQ229" s="747">
        <f t="shared" si="336"/>
        <v>0</v>
      </c>
      <c r="BR229" s="747">
        <f t="shared" si="336"/>
        <v>0</v>
      </c>
      <c r="BS229" s="747">
        <f t="shared" si="336"/>
        <v>0</v>
      </c>
      <c r="BT229" s="747">
        <f t="shared" si="336"/>
        <v>0</v>
      </c>
      <c r="BU229" s="747">
        <f t="shared" si="336"/>
        <v>0</v>
      </c>
      <c r="BV229" s="747">
        <f t="shared" si="336"/>
        <v>0</v>
      </c>
      <c r="BW229" s="747">
        <f t="shared" si="336"/>
        <v>0</v>
      </c>
      <c r="BX229" s="747">
        <f t="shared" si="336"/>
        <v>0</v>
      </c>
      <c r="BY229" s="747">
        <f t="shared" si="336"/>
        <v>0</v>
      </c>
      <c r="BZ229" s="747">
        <f t="shared" si="336"/>
        <v>0</v>
      </c>
      <c r="CA229" s="747">
        <f t="shared" si="336"/>
        <v>0</v>
      </c>
      <c r="CB229" s="747">
        <f t="shared" ref="CB229:EM229" si="337">(MOD(IFERROR(DATEDIF($I31-1,CB$15+1,"m"),),$H229)=1)*1*$K229*SUM(CB31,CB49)</f>
        <v>0</v>
      </c>
      <c r="CC229" s="747">
        <f t="shared" si="337"/>
        <v>0</v>
      </c>
      <c r="CD229" s="747">
        <f t="shared" si="337"/>
        <v>0</v>
      </c>
      <c r="CE229" s="747">
        <f t="shared" si="337"/>
        <v>0</v>
      </c>
      <c r="CF229" s="747">
        <f t="shared" si="337"/>
        <v>0</v>
      </c>
      <c r="CG229" s="747">
        <f t="shared" si="337"/>
        <v>0</v>
      </c>
      <c r="CH229" s="747">
        <f t="shared" si="337"/>
        <v>0</v>
      </c>
      <c r="CI229" s="747">
        <f t="shared" si="337"/>
        <v>0</v>
      </c>
      <c r="CJ229" s="747">
        <f t="shared" si="337"/>
        <v>0</v>
      </c>
      <c r="CK229" s="747">
        <f t="shared" si="337"/>
        <v>0</v>
      </c>
      <c r="CL229" s="747">
        <f t="shared" si="337"/>
        <v>0</v>
      </c>
      <c r="CM229" s="747">
        <f t="shared" si="337"/>
        <v>0</v>
      </c>
      <c r="CN229" s="747">
        <f t="shared" si="337"/>
        <v>0</v>
      </c>
      <c r="CO229" s="747">
        <f t="shared" si="337"/>
        <v>0</v>
      </c>
      <c r="CP229" s="747">
        <f t="shared" si="337"/>
        <v>0</v>
      </c>
      <c r="CQ229" s="747">
        <f t="shared" si="337"/>
        <v>0</v>
      </c>
      <c r="CR229" s="747">
        <f t="shared" si="337"/>
        <v>0</v>
      </c>
      <c r="CS229" s="747">
        <f t="shared" si="337"/>
        <v>0</v>
      </c>
      <c r="CT229" s="747">
        <f t="shared" si="337"/>
        <v>0</v>
      </c>
      <c r="CU229" s="747">
        <f t="shared" si="337"/>
        <v>0</v>
      </c>
      <c r="CV229" s="747">
        <f t="shared" si="337"/>
        <v>0</v>
      </c>
      <c r="CW229" s="747">
        <f t="shared" si="337"/>
        <v>0</v>
      </c>
      <c r="CX229" s="747">
        <f t="shared" si="337"/>
        <v>0</v>
      </c>
      <c r="CY229" s="747">
        <f t="shared" si="337"/>
        <v>0</v>
      </c>
      <c r="CZ229" s="747">
        <f t="shared" si="337"/>
        <v>0</v>
      </c>
      <c r="DA229" s="747">
        <f t="shared" si="337"/>
        <v>0</v>
      </c>
      <c r="DB229" s="747">
        <f t="shared" si="337"/>
        <v>0</v>
      </c>
      <c r="DC229" s="747">
        <f t="shared" si="337"/>
        <v>0</v>
      </c>
      <c r="DD229" s="747">
        <f t="shared" si="337"/>
        <v>0</v>
      </c>
      <c r="DE229" s="747">
        <f t="shared" si="337"/>
        <v>0</v>
      </c>
      <c r="DF229" s="747">
        <f t="shared" si="337"/>
        <v>0</v>
      </c>
      <c r="DG229" s="747">
        <f t="shared" si="337"/>
        <v>0</v>
      </c>
      <c r="DH229" s="747">
        <f t="shared" si="337"/>
        <v>0</v>
      </c>
      <c r="DI229" s="747">
        <f t="shared" si="337"/>
        <v>0</v>
      </c>
      <c r="DJ229" s="747">
        <f t="shared" si="337"/>
        <v>0</v>
      </c>
      <c r="DK229" s="747">
        <f t="shared" si="337"/>
        <v>0</v>
      </c>
      <c r="DL229" s="747">
        <f t="shared" si="337"/>
        <v>0</v>
      </c>
      <c r="DM229" s="747">
        <f t="shared" si="337"/>
        <v>0</v>
      </c>
      <c r="DN229" s="747">
        <f t="shared" si="337"/>
        <v>0</v>
      </c>
      <c r="DO229" s="747">
        <f t="shared" si="337"/>
        <v>0</v>
      </c>
      <c r="DP229" s="747">
        <f t="shared" si="337"/>
        <v>0</v>
      </c>
      <c r="DQ229" s="747">
        <f t="shared" si="337"/>
        <v>0</v>
      </c>
      <c r="DR229" s="747">
        <f t="shared" si="337"/>
        <v>0</v>
      </c>
      <c r="DS229" s="747">
        <f t="shared" si="337"/>
        <v>0</v>
      </c>
      <c r="DT229" s="747">
        <f t="shared" si="337"/>
        <v>0</v>
      </c>
      <c r="DU229" s="747">
        <f t="shared" si="337"/>
        <v>0</v>
      </c>
      <c r="DV229" s="747">
        <f t="shared" si="337"/>
        <v>0</v>
      </c>
      <c r="DW229" s="747">
        <f t="shared" si="337"/>
        <v>0</v>
      </c>
      <c r="DX229" s="747">
        <f t="shared" si="337"/>
        <v>0</v>
      </c>
      <c r="DY229" s="747">
        <f t="shared" si="337"/>
        <v>0</v>
      </c>
      <c r="DZ229" s="747">
        <f t="shared" si="337"/>
        <v>0</v>
      </c>
      <c r="EA229" s="747">
        <f t="shared" si="337"/>
        <v>0</v>
      </c>
      <c r="EB229" s="747">
        <f t="shared" si="337"/>
        <v>0</v>
      </c>
      <c r="EC229" s="747">
        <f t="shared" si="337"/>
        <v>0</v>
      </c>
      <c r="ED229" s="747">
        <f t="shared" si="337"/>
        <v>0</v>
      </c>
      <c r="EE229" s="747">
        <f t="shared" si="337"/>
        <v>0</v>
      </c>
      <c r="EF229" s="747">
        <f t="shared" si="337"/>
        <v>0</v>
      </c>
      <c r="EG229" s="747">
        <f t="shared" si="337"/>
        <v>0</v>
      </c>
      <c r="EH229" s="747">
        <f t="shared" si="337"/>
        <v>0</v>
      </c>
      <c r="EI229" s="747">
        <f t="shared" si="337"/>
        <v>0</v>
      </c>
      <c r="EJ229" s="747">
        <f t="shared" si="337"/>
        <v>0</v>
      </c>
      <c r="EK229" s="747">
        <f t="shared" si="337"/>
        <v>0</v>
      </c>
      <c r="EL229" s="747">
        <f t="shared" si="337"/>
        <v>0</v>
      </c>
      <c r="EM229" s="747">
        <f t="shared" si="337"/>
        <v>0</v>
      </c>
      <c r="EN229" s="747">
        <f t="shared" ref="EN229:EU229" si="338">(MOD(IFERROR(DATEDIF($I31-1,EN$15+1,"m"),),$H229)=1)*1*$K229*SUM(EN31,EN49)</f>
        <v>0</v>
      </c>
      <c r="EO229" s="747">
        <f t="shared" si="338"/>
        <v>0</v>
      </c>
      <c r="EP229" s="747">
        <f t="shared" si="338"/>
        <v>0</v>
      </c>
      <c r="EQ229" s="747">
        <f t="shared" si="338"/>
        <v>0</v>
      </c>
      <c r="ER229" s="747">
        <f t="shared" si="338"/>
        <v>0</v>
      </c>
      <c r="ES229" s="747">
        <f t="shared" si="338"/>
        <v>0</v>
      </c>
      <c r="ET229" s="747">
        <f t="shared" si="338"/>
        <v>0</v>
      </c>
      <c r="EU229" s="747">
        <f t="shared" si="338"/>
        <v>0</v>
      </c>
    </row>
    <row r="230" spans="3:151" ht="11.25" customHeight="1">
      <c r="C230" s="735"/>
      <c r="D230" s="743" t="str">
        <f t="shared" si="295"/>
        <v>B1</v>
      </c>
      <c r="E230" s="704" t="str">
        <f t="shared" si="295"/>
        <v>쿠팡</v>
      </c>
      <c r="F230" s="704" t="str">
        <f t="shared" si="295"/>
        <v>상온창고</v>
      </c>
      <c r="G230" s="752"/>
      <c r="H230" s="1261">
        <f>'A&amp;R'!AB21</f>
        <v>109</v>
      </c>
      <c r="I230" s="1263">
        <v>0</v>
      </c>
      <c r="J230" s="745"/>
      <c r="K230" s="754">
        <f>'A&amp;R'!$U$68</f>
        <v>0.5</v>
      </c>
      <c r="L230" s="748"/>
      <c r="M230" s="749"/>
      <c r="N230" s="747">
        <f t="shared" si="296"/>
        <v>98909.62155871866</v>
      </c>
      <c r="O230" s="733"/>
      <c r="P230" s="747">
        <f t="shared" ref="P230:CA230" si="339">(MOD(IFERROR(DATEDIF($I32-1,P$15+1,"m"),),$H230)=1)*1*$K230*SUM(P32,P50)</f>
        <v>0</v>
      </c>
      <c r="Q230" s="747">
        <f t="shared" si="339"/>
        <v>0</v>
      </c>
      <c r="R230" s="747">
        <f t="shared" si="339"/>
        <v>0</v>
      </c>
      <c r="S230" s="747">
        <f t="shared" si="339"/>
        <v>0</v>
      </c>
      <c r="T230" s="747">
        <f t="shared" si="339"/>
        <v>0</v>
      </c>
      <c r="U230" s="747">
        <f t="shared" si="339"/>
        <v>0</v>
      </c>
      <c r="V230" s="747">
        <f t="shared" si="339"/>
        <v>0</v>
      </c>
      <c r="W230" s="747">
        <f t="shared" si="339"/>
        <v>0</v>
      </c>
      <c r="X230" s="747">
        <f t="shared" si="339"/>
        <v>0</v>
      </c>
      <c r="Y230" s="747">
        <f t="shared" si="339"/>
        <v>0</v>
      </c>
      <c r="Z230" s="747">
        <f t="shared" si="339"/>
        <v>0</v>
      </c>
      <c r="AA230" s="747">
        <f t="shared" si="339"/>
        <v>0</v>
      </c>
      <c r="AB230" s="747">
        <f t="shared" si="339"/>
        <v>0</v>
      </c>
      <c r="AC230" s="747">
        <f t="shared" si="339"/>
        <v>0</v>
      </c>
      <c r="AD230" s="747">
        <f t="shared" si="339"/>
        <v>0</v>
      </c>
      <c r="AE230" s="747">
        <f t="shared" si="339"/>
        <v>0</v>
      </c>
      <c r="AF230" s="747">
        <f t="shared" si="339"/>
        <v>0</v>
      </c>
      <c r="AG230" s="747">
        <f t="shared" si="339"/>
        <v>0</v>
      </c>
      <c r="AH230" s="747">
        <f t="shared" si="339"/>
        <v>0</v>
      </c>
      <c r="AI230" s="747">
        <f t="shared" si="339"/>
        <v>0</v>
      </c>
      <c r="AJ230" s="747">
        <f t="shared" si="339"/>
        <v>0</v>
      </c>
      <c r="AK230" s="747">
        <f t="shared" si="339"/>
        <v>0</v>
      </c>
      <c r="AL230" s="747">
        <f t="shared" si="339"/>
        <v>0</v>
      </c>
      <c r="AM230" s="747">
        <f t="shared" si="339"/>
        <v>0</v>
      </c>
      <c r="AN230" s="747">
        <f t="shared" si="339"/>
        <v>0</v>
      </c>
      <c r="AO230" s="747">
        <f t="shared" si="339"/>
        <v>0</v>
      </c>
      <c r="AP230" s="747">
        <f t="shared" si="339"/>
        <v>0</v>
      </c>
      <c r="AQ230" s="747">
        <f t="shared" si="339"/>
        <v>0</v>
      </c>
      <c r="AR230" s="747">
        <f t="shared" si="339"/>
        <v>0</v>
      </c>
      <c r="AS230" s="747">
        <f t="shared" si="339"/>
        <v>0</v>
      </c>
      <c r="AT230" s="747">
        <f t="shared" si="339"/>
        <v>0</v>
      </c>
      <c r="AU230" s="747">
        <f t="shared" si="339"/>
        <v>0</v>
      </c>
      <c r="AV230" s="747">
        <f t="shared" si="339"/>
        <v>0</v>
      </c>
      <c r="AW230" s="747">
        <f t="shared" si="339"/>
        <v>0</v>
      </c>
      <c r="AX230" s="747">
        <f t="shared" si="339"/>
        <v>0</v>
      </c>
      <c r="AY230" s="747">
        <f t="shared" si="339"/>
        <v>0</v>
      </c>
      <c r="AZ230" s="747">
        <f t="shared" si="339"/>
        <v>0</v>
      </c>
      <c r="BA230" s="747">
        <f t="shared" si="339"/>
        <v>0</v>
      </c>
      <c r="BB230" s="747">
        <f t="shared" si="339"/>
        <v>0</v>
      </c>
      <c r="BC230" s="747">
        <f t="shared" si="339"/>
        <v>0</v>
      </c>
      <c r="BD230" s="747">
        <f t="shared" si="339"/>
        <v>0</v>
      </c>
      <c r="BE230" s="747">
        <f t="shared" si="339"/>
        <v>0</v>
      </c>
      <c r="BF230" s="747">
        <f t="shared" si="339"/>
        <v>0</v>
      </c>
      <c r="BG230" s="747">
        <f t="shared" si="339"/>
        <v>0</v>
      </c>
      <c r="BH230" s="747">
        <f t="shared" si="339"/>
        <v>0</v>
      </c>
      <c r="BI230" s="747">
        <f t="shared" si="339"/>
        <v>0</v>
      </c>
      <c r="BJ230" s="747">
        <f t="shared" si="339"/>
        <v>0</v>
      </c>
      <c r="BK230" s="747">
        <f t="shared" si="339"/>
        <v>0</v>
      </c>
      <c r="BL230" s="747">
        <f t="shared" si="339"/>
        <v>0</v>
      </c>
      <c r="BM230" s="747">
        <f t="shared" si="339"/>
        <v>0</v>
      </c>
      <c r="BN230" s="747">
        <f t="shared" si="339"/>
        <v>0</v>
      </c>
      <c r="BO230" s="747">
        <f t="shared" si="339"/>
        <v>0</v>
      </c>
      <c r="BP230" s="747">
        <f t="shared" si="339"/>
        <v>0</v>
      </c>
      <c r="BQ230" s="747">
        <f t="shared" si="339"/>
        <v>0</v>
      </c>
      <c r="BR230" s="747">
        <f t="shared" si="339"/>
        <v>0</v>
      </c>
      <c r="BS230" s="747">
        <f t="shared" si="339"/>
        <v>0</v>
      </c>
      <c r="BT230" s="747">
        <f t="shared" si="339"/>
        <v>0</v>
      </c>
      <c r="BU230" s="747">
        <f t="shared" si="339"/>
        <v>0</v>
      </c>
      <c r="BV230" s="747">
        <f t="shared" si="339"/>
        <v>0</v>
      </c>
      <c r="BW230" s="747">
        <f t="shared" si="339"/>
        <v>0</v>
      </c>
      <c r="BX230" s="747">
        <f t="shared" si="339"/>
        <v>0</v>
      </c>
      <c r="BY230" s="747">
        <f t="shared" si="339"/>
        <v>0</v>
      </c>
      <c r="BZ230" s="747">
        <f t="shared" si="339"/>
        <v>0</v>
      </c>
      <c r="CA230" s="747">
        <f t="shared" si="339"/>
        <v>0</v>
      </c>
      <c r="CB230" s="747">
        <f t="shared" ref="CB230:EM230" si="340">(MOD(IFERROR(DATEDIF($I32-1,CB$15+1,"m"),),$H230)=1)*1*$K230*SUM(CB32,CB50)</f>
        <v>0</v>
      </c>
      <c r="CC230" s="747">
        <f t="shared" si="340"/>
        <v>0</v>
      </c>
      <c r="CD230" s="747">
        <f t="shared" si="340"/>
        <v>0</v>
      </c>
      <c r="CE230" s="747">
        <f t="shared" si="340"/>
        <v>0</v>
      </c>
      <c r="CF230" s="747">
        <f t="shared" si="340"/>
        <v>0</v>
      </c>
      <c r="CG230" s="747">
        <f t="shared" si="340"/>
        <v>0</v>
      </c>
      <c r="CH230" s="747">
        <f t="shared" si="340"/>
        <v>0</v>
      </c>
      <c r="CI230" s="747">
        <f t="shared" si="340"/>
        <v>0</v>
      </c>
      <c r="CJ230" s="747">
        <f t="shared" si="340"/>
        <v>0</v>
      </c>
      <c r="CK230" s="747">
        <f t="shared" si="340"/>
        <v>0</v>
      </c>
      <c r="CL230" s="747">
        <f t="shared" si="340"/>
        <v>0</v>
      </c>
      <c r="CM230" s="747">
        <f t="shared" si="340"/>
        <v>0</v>
      </c>
      <c r="CN230" s="747">
        <f t="shared" si="340"/>
        <v>0</v>
      </c>
      <c r="CO230" s="747">
        <f t="shared" si="340"/>
        <v>0</v>
      </c>
      <c r="CP230" s="747">
        <f t="shared" si="340"/>
        <v>0</v>
      </c>
      <c r="CQ230" s="747">
        <f t="shared" si="340"/>
        <v>0</v>
      </c>
      <c r="CR230" s="747">
        <f t="shared" si="340"/>
        <v>0</v>
      </c>
      <c r="CS230" s="747">
        <f t="shared" si="340"/>
        <v>0</v>
      </c>
      <c r="CT230" s="747">
        <f t="shared" si="340"/>
        <v>0</v>
      </c>
      <c r="CU230" s="747">
        <f t="shared" si="340"/>
        <v>0</v>
      </c>
      <c r="CV230" s="747">
        <f t="shared" si="340"/>
        <v>0</v>
      </c>
      <c r="CW230" s="747">
        <f t="shared" si="340"/>
        <v>0</v>
      </c>
      <c r="CX230" s="747">
        <f t="shared" si="340"/>
        <v>0</v>
      </c>
      <c r="CY230" s="747">
        <f t="shared" si="340"/>
        <v>0</v>
      </c>
      <c r="CZ230" s="747">
        <f t="shared" si="340"/>
        <v>0</v>
      </c>
      <c r="DA230" s="747">
        <f t="shared" si="340"/>
        <v>0</v>
      </c>
      <c r="DB230" s="747">
        <f t="shared" si="340"/>
        <v>0</v>
      </c>
      <c r="DC230" s="747">
        <f t="shared" si="340"/>
        <v>98909.62155871866</v>
      </c>
      <c r="DD230" s="747">
        <f t="shared" si="340"/>
        <v>0</v>
      </c>
      <c r="DE230" s="747">
        <f t="shared" si="340"/>
        <v>0</v>
      </c>
      <c r="DF230" s="747">
        <f t="shared" si="340"/>
        <v>0</v>
      </c>
      <c r="DG230" s="747">
        <f t="shared" si="340"/>
        <v>0</v>
      </c>
      <c r="DH230" s="747">
        <f t="shared" si="340"/>
        <v>0</v>
      </c>
      <c r="DI230" s="747">
        <f t="shared" si="340"/>
        <v>0</v>
      </c>
      <c r="DJ230" s="747">
        <f t="shared" si="340"/>
        <v>0</v>
      </c>
      <c r="DK230" s="747">
        <f t="shared" si="340"/>
        <v>0</v>
      </c>
      <c r="DL230" s="747">
        <f t="shared" si="340"/>
        <v>0</v>
      </c>
      <c r="DM230" s="747">
        <f t="shared" si="340"/>
        <v>0</v>
      </c>
      <c r="DN230" s="747">
        <f t="shared" si="340"/>
        <v>0</v>
      </c>
      <c r="DO230" s="747">
        <f t="shared" si="340"/>
        <v>0</v>
      </c>
      <c r="DP230" s="747">
        <f t="shared" si="340"/>
        <v>0</v>
      </c>
      <c r="DQ230" s="747">
        <f t="shared" si="340"/>
        <v>0</v>
      </c>
      <c r="DR230" s="747">
        <f t="shared" si="340"/>
        <v>0</v>
      </c>
      <c r="DS230" s="747">
        <f t="shared" si="340"/>
        <v>0</v>
      </c>
      <c r="DT230" s="747">
        <f t="shared" si="340"/>
        <v>0</v>
      </c>
      <c r="DU230" s="747">
        <f t="shared" si="340"/>
        <v>0</v>
      </c>
      <c r="DV230" s="747">
        <f t="shared" si="340"/>
        <v>0</v>
      </c>
      <c r="DW230" s="747">
        <f t="shared" si="340"/>
        <v>0</v>
      </c>
      <c r="DX230" s="747">
        <f t="shared" si="340"/>
        <v>0</v>
      </c>
      <c r="DY230" s="747">
        <f t="shared" si="340"/>
        <v>0</v>
      </c>
      <c r="DZ230" s="747">
        <f t="shared" si="340"/>
        <v>0</v>
      </c>
      <c r="EA230" s="747">
        <f t="shared" si="340"/>
        <v>0</v>
      </c>
      <c r="EB230" s="747">
        <f t="shared" si="340"/>
        <v>0</v>
      </c>
      <c r="EC230" s="747">
        <f t="shared" si="340"/>
        <v>0</v>
      </c>
      <c r="ED230" s="747">
        <f t="shared" si="340"/>
        <v>0</v>
      </c>
      <c r="EE230" s="747">
        <f t="shared" si="340"/>
        <v>0</v>
      </c>
      <c r="EF230" s="747">
        <f t="shared" si="340"/>
        <v>0</v>
      </c>
      <c r="EG230" s="747">
        <f t="shared" si="340"/>
        <v>0</v>
      </c>
      <c r="EH230" s="747">
        <f t="shared" si="340"/>
        <v>0</v>
      </c>
      <c r="EI230" s="747">
        <f t="shared" si="340"/>
        <v>0</v>
      </c>
      <c r="EJ230" s="747">
        <f t="shared" si="340"/>
        <v>0</v>
      </c>
      <c r="EK230" s="747">
        <f t="shared" si="340"/>
        <v>0</v>
      </c>
      <c r="EL230" s="747">
        <f t="shared" si="340"/>
        <v>0</v>
      </c>
      <c r="EM230" s="747">
        <f t="shared" si="340"/>
        <v>0</v>
      </c>
      <c r="EN230" s="747">
        <f t="shared" ref="EN230:EU230" si="341">(MOD(IFERROR(DATEDIF($I32-1,EN$15+1,"m"),),$H230)=1)*1*$K230*SUM(EN32,EN50)</f>
        <v>0</v>
      </c>
      <c r="EO230" s="747">
        <f t="shared" si="341"/>
        <v>0</v>
      </c>
      <c r="EP230" s="747">
        <f t="shared" si="341"/>
        <v>0</v>
      </c>
      <c r="EQ230" s="747">
        <f t="shared" si="341"/>
        <v>0</v>
      </c>
      <c r="ER230" s="747">
        <f t="shared" si="341"/>
        <v>0</v>
      </c>
      <c r="ES230" s="747">
        <f t="shared" si="341"/>
        <v>0</v>
      </c>
      <c r="ET230" s="747">
        <f t="shared" si="341"/>
        <v>0</v>
      </c>
      <c r="EU230" s="747">
        <f t="shared" si="341"/>
        <v>0</v>
      </c>
    </row>
    <row r="231" spans="3:151" ht="11.25" customHeight="1">
      <c r="C231" s="763"/>
      <c r="D231" s="764" t="str">
        <f t="shared" si="295"/>
        <v>B2</v>
      </c>
      <c r="E231" s="774" t="str">
        <f t="shared" si="295"/>
        <v>쿠팡</v>
      </c>
      <c r="F231" s="774" t="str">
        <f t="shared" si="295"/>
        <v>상온창고</v>
      </c>
      <c r="G231" s="775"/>
      <c r="H231" s="1265">
        <f>'A&amp;R'!AB22</f>
        <v>101</v>
      </c>
      <c r="I231" s="1264">
        <v>0</v>
      </c>
      <c r="J231" s="777"/>
      <c r="K231" s="778">
        <f>'A&amp;R'!$U$68</f>
        <v>0.5</v>
      </c>
      <c r="L231" s="766"/>
      <c r="M231" s="765"/>
      <c r="N231" s="767">
        <f t="shared" si="296"/>
        <v>95895.780289404953</v>
      </c>
      <c r="O231" s="733"/>
      <c r="P231" s="767">
        <f t="shared" ref="P231:CA231" si="342">(MOD(IFERROR(DATEDIF($I33-1,P$15+1,"m"),),$H231)=1)*1*$K231*SUM(P33,P51)</f>
        <v>0</v>
      </c>
      <c r="Q231" s="767">
        <f t="shared" si="342"/>
        <v>0</v>
      </c>
      <c r="R231" s="767">
        <f t="shared" si="342"/>
        <v>0</v>
      </c>
      <c r="S231" s="767">
        <f t="shared" si="342"/>
        <v>0</v>
      </c>
      <c r="T231" s="767">
        <f t="shared" si="342"/>
        <v>0</v>
      </c>
      <c r="U231" s="767">
        <f t="shared" si="342"/>
        <v>0</v>
      </c>
      <c r="V231" s="767">
        <f t="shared" si="342"/>
        <v>0</v>
      </c>
      <c r="W231" s="767">
        <f t="shared" si="342"/>
        <v>0</v>
      </c>
      <c r="X231" s="767">
        <f t="shared" si="342"/>
        <v>0</v>
      </c>
      <c r="Y231" s="767">
        <f t="shared" si="342"/>
        <v>0</v>
      </c>
      <c r="Z231" s="767">
        <f t="shared" si="342"/>
        <v>0</v>
      </c>
      <c r="AA231" s="767">
        <f t="shared" si="342"/>
        <v>0</v>
      </c>
      <c r="AB231" s="767">
        <f t="shared" si="342"/>
        <v>0</v>
      </c>
      <c r="AC231" s="767">
        <f t="shared" si="342"/>
        <v>0</v>
      </c>
      <c r="AD231" s="767">
        <f t="shared" si="342"/>
        <v>0</v>
      </c>
      <c r="AE231" s="767">
        <f t="shared" si="342"/>
        <v>0</v>
      </c>
      <c r="AF231" s="767">
        <f t="shared" si="342"/>
        <v>0</v>
      </c>
      <c r="AG231" s="767">
        <f t="shared" si="342"/>
        <v>0</v>
      </c>
      <c r="AH231" s="767">
        <f t="shared" si="342"/>
        <v>0</v>
      </c>
      <c r="AI231" s="767">
        <f t="shared" si="342"/>
        <v>0</v>
      </c>
      <c r="AJ231" s="767">
        <f t="shared" si="342"/>
        <v>0</v>
      </c>
      <c r="AK231" s="767">
        <f t="shared" si="342"/>
        <v>0</v>
      </c>
      <c r="AL231" s="767">
        <f t="shared" si="342"/>
        <v>0</v>
      </c>
      <c r="AM231" s="767">
        <f t="shared" si="342"/>
        <v>0</v>
      </c>
      <c r="AN231" s="767">
        <f t="shared" si="342"/>
        <v>0</v>
      </c>
      <c r="AO231" s="767">
        <f t="shared" si="342"/>
        <v>0</v>
      </c>
      <c r="AP231" s="767">
        <f t="shared" si="342"/>
        <v>0</v>
      </c>
      <c r="AQ231" s="767">
        <f t="shared" si="342"/>
        <v>0</v>
      </c>
      <c r="AR231" s="767">
        <f t="shared" si="342"/>
        <v>0</v>
      </c>
      <c r="AS231" s="767">
        <f t="shared" si="342"/>
        <v>0</v>
      </c>
      <c r="AT231" s="767">
        <f t="shared" si="342"/>
        <v>0</v>
      </c>
      <c r="AU231" s="767">
        <f t="shared" si="342"/>
        <v>0</v>
      </c>
      <c r="AV231" s="767">
        <f t="shared" si="342"/>
        <v>0</v>
      </c>
      <c r="AW231" s="767">
        <f t="shared" si="342"/>
        <v>0</v>
      </c>
      <c r="AX231" s="767">
        <f t="shared" si="342"/>
        <v>0</v>
      </c>
      <c r="AY231" s="767">
        <f t="shared" si="342"/>
        <v>0</v>
      </c>
      <c r="AZ231" s="767">
        <f t="shared" si="342"/>
        <v>0</v>
      </c>
      <c r="BA231" s="767">
        <f t="shared" si="342"/>
        <v>0</v>
      </c>
      <c r="BB231" s="767">
        <f t="shared" si="342"/>
        <v>0</v>
      </c>
      <c r="BC231" s="767">
        <f t="shared" si="342"/>
        <v>0</v>
      </c>
      <c r="BD231" s="767">
        <f t="shared" si="342"/>
        <v>0</v>
      </c>
      <c r="BE231" s="767">
        <f t="shared" si="342"/>
        <v>0</v>
      </c>
      <c r="BF231" s="767">
        <f t="shared" si="342"/>
        <v>0</v>
      </c>
      <c r="BG231" s="767">
        <f t="shared" si="342"/>
        <v>0</v>
      </c>
      <c r="BH231" s="767">
        <f t="shared" si="342"/>
        <v>0</v>
      </c>
      <c r="BI231" s="767">
        <f t="shared" si="342"/>
        <v>0</v>
      </c>
      <c r="BJ231" s="767">
        <f t="shared" si="342"/>
        <v>0</v>
      </c>
      <c r="BK231" s="767">
        <f t="shared" si="342"/>
        <v>0</v>
      </c>
      <c r="BL231" s="767">
        <f t="shared" si="342"/>
        <v>0</v>
      </c>
      <c r="BM231" s="767">
        <f t="shared" si="342"/>
        <v>0</v>
      </c>
      <c r="BN231" s="767">
        <f t="shared" si="342"/>
        <v>0</v>
      </c>
      <c r="BO231" s="767">
        <f t="shared" si="342"/>
        <v>0</v>
      </c>
      <c r="BP231" s="767">
        <f t="shared" si="342"/>
        <v>0</v>
      </c>
      <c r="BQ231" s="767">
        <f t="shared" si="342"/>
        <v>0</v>
      </c>
      <c r="BR231" s="767">
        <f t="shared" si="342"/>
        <v>0</v>
      </c>
      <c r="BS231" s="767">
        <f t="shared" si="342"/>
        <v>0</v>
      </c>
      <c r="BT231" s="767">
        <f t="shared" si="342"/>
        <v>0</v>
      </c>
      <c r="BU231" s="767">
        <f t="shared" si="342"/>
        <v>0</v>
      </c>
      <c r="BV231" s="767">
        <f t="shared" si="342"/>
        <v>0</v>
      </c>
      <c r="BW231" s="767">
        <f t="shared" si="342"/>
        <v>0</v>
      </c>
      <c r="BX231" s="767">
        <f t="shared" si="342"/>
        <v>0</v>
      </c>
      <c r="BY231" s="767">
        <f t="shared" si="342"/>
        <v>0</v>
      </c>
      <c r="BZ231" s="767">
        <f t="shared" si="342"/>
        <v>0</v>
      </c>
      <c r="CA231" s="767">
        <f t="shared" si="342"/>
        <v>0</v>
      </c>
      <c r="CB231" s="767">
        <f t="shared" ref="CB231:EM231" si="343">(MOD(IFERROR(DATEDIF($I33-1,CB$15+1,"m"),),$H231)=1)*1*$K231*SUM(CB33,CB51)</f>
        <v>0</v>
      </c>
      <c r="CC231" s="767">
        <f t="shared" si="343"/>
        <v>0</v>
      </c>
      <c r="CD231" s="767">
        <f t="shared" si="343"/>
        <v>0</v>
      </c>
      <c r="CE231" s="767">
        <f t="shared" si="343"/>
        <v>0</v>
      </c>
      <c r="CF231" s="767">
        <f t="shared" si="343"/>
        <v>0</v>
      </c>
      <c r="CG231" s="767">
        <f t="shared" si="343"/>
        <v>0</v>
      </c>
      <c r="CH231" s="767">
        <f t="shared" si="343"/>
        <v>0</v>
      </c>
      <c r="CI231" s="767">
        <f t="shared" si="343"/>
        <v>0</v>
      </c>
      <c r="CJ231" s="767">
        <f t="shared" si="343"/>
        <v>0</v>
      </c>
      <c r="CK231" s="767">
        <f t="shared" si="343"/>
        <v>0</v>
      </c>
      <c r="CL231" s="767">
        <f t="shared" si="343"/>
        <v>0</v>
      </c>
      <c r="CM231" s="767">
        <f t="shared" si="343"/>
        <v>0</v>
      </c>
      <c r="CN231" s="767">
        <f t="shared" si="343"/>
        <v>0</v>
      </c>
      <c r="CO231" s="767">
        <f t="shared" si="343"/>
        <v>0</v>
      </c>
      <c r="CP231" s="767">
        <f t="shared" si="343"/>
        <v>0</v>
      </c>
      <c r="CQ231" s="767">
        <f t="shared" si="343"/>
        <v>0</v>
      </c>
      <c r="CR231" s="767">
        <f t="shared" si="343"/>
        <v>0</v>
      </c>
      <c r="CS231" s="767">
        <f t="shared" si="343"/>
        <v>0</v>
      </c>
      <c r="CT231" s="767">
        <f t="shared" si="343"/>
        <v>0</v>
      </c>
      <c r="CU231" s="767">
        <f t="shared" si="343"/>
        <v>0</v>
      </c>
      <c r="CV231" s="767">
        <f t="shared" si="343"/>
        <v>0</v>
      </c>
      <c r="CW231" s="767">
        <f t="shared" si="343"/>
        <v>0</v>
      </c>
      <c r="CX231" s="767">
        <f t="shared" si="343"/>
        <v>0</v>
      </c>
      <c r="CY231" s="767">
        <f t="shared" si="343"/>
        <v>0</v>
      </c>
      <c r="CZ231" s="767">
        <f t="shared" si="343"/>
        <v>0</v>
      </c>
      <c r="DA231" s="767">
        <f t="shared" si="343"/>
        <v>0</v>
      </c>
      <c r="DB231" s="767">
        <f t="shared" si="343"/>
        <v>0</v>
      </c>
      <c r="DC231" s="767">
        <f t="shared" si="343"/>
        <v>95895.780289404953</v>
      </c>
      <c r="DD231" s="767">
        <f t="shared" si="343"/>
        <v>0</v>
      </c>
      <c r="DE231" s="767">
        <f t="shared" si="343"/>
        <v>0</v>
      </c>
      <c r="DF231" s="767">
        <f t="shared" si="343"/>
        <v>0</v>
      </c>
      <c r="DG231" s="767">
        <f t="shared" si="343"/>
        <v>0</v>
      </c>
      <c r="DH231" s="767">
        <f t="shared" si="343"/>
        <v>0</v>
      </c>
      <c r="DI231" s="767">
        <f t="shared" si="343"/>
        <v>0</v>
      </c>
      <c r="DJ231" s="767">
        <f t="shared" si="343"/>
        <v>0</v>
      </c>
      <c r="DK231" s="767">
        <f t="shared" si="343"/>
        <v>0</v>
      </c>
      <c r="DL231" s="767">
        <f t="shared" si="343"/>
        <v>0</v>
      </c>
      <c r="DM231" s="767">
        <f t="shared" si="343"/>
        <v>0</v>
      </c>
      <c r="DN231" s="767">
        <f t="shared" si="343"/>
        <v>0</v>
      </c>
      <c r="DO231" s="767">
        <f t="shared" si="343"/>
        <v>0</v>
      </c>
      <c r="DP231" s="767">
        <f t="shared" si="343"/>
        <v>0</v>
      </c>
      <c r="DQ231" s="767">
        <f t="shared" si="343"/>
        <v>0</v>
      </c>
      <c r="DR231" s="767">
        <f t="shared" si="343"/>
        <v>0</v>
      </c>
      <c r="DS231" s="767">
        <f t="shared" si="343"/>
        <v>0</v>
      </c>
      <c r="DT231" s="767">
        <f t="shared" si="343"/>
        <v>0</v>
      </c>
      <c r="DU231" s="767">
        <f t="shared" si="343"/>
        <v>0</v>
      </c>
      <c r="DV231" s="767">
        <f t="shared" si="343"/>
        <v>0</v>
      </c>
      <c r="DW231" s="767">
        <f t="shared" si="343"/>
        <v>0</v>
      </c>
      <c r="DX231" s="767">
        <f t="shared" si="343"/>
        <v>0</v>
      </c>
      <c r="DY231" s="767">
        <f t="shared" si="343"/>
        <v>0</v>
      </c>
      <c r="DZ231" s="767">
        <f t="shared" si="343"/>
        <v>0</v>
      </c>
      <c r="EA231" s="767">
        <f t="shared" si="343"/>
        <v>0</v>
      </c>
      <c r="EB231" s="767">
        <f t="shared" si="343"/>
        <v>0</v>
      </c>
      <c r="EC231" s="767">
        <f t="shared" si="343"/>
        <v>0</v>
      </c>
      <c r="ED231" s="767">
        <f t="shared" si="343"/>
        <v>0</v>
      </c>
      <c r="EE231" s="767">
        <f t="shared" si="343"/>
        <v>0</v>
      </c>
      <c r="EF231" s="767">
        <f t="shared" si="343"/>
        <v>0</v>
      </c>
      <c r="EG231" s="767">
        <f t="shared" si="343"/>
        <v>0</v>
      </c>
      <c r="EH231" s="767">
        <f t="shared" si="343"/>
        <v>0</v>
      </c>
      <c r="EI231" s="767">
        <f t="shared" si="343"/>
        <v>0</v>
      </c>
      <c r="EJ231" s="767">
        <f t="shared" si="343"/>
        <v>0</v>
      </c>
      <c r="EK231" s="767">
        <f t="shared" si="343"/>
        <v>0</v>
      </c>
      <c r="EL231" s="767">
        <f t="shared" si="343"/>
        <v>0</v>
      </c>
      <c r="EM231" s="767">
        <f t="shared" si="343"/>
        <v>0</v>
      </c>
      <c r="EN231" s="767">
        <f t="shared" ref="EN231:EU231" si="344">(MOD(IFERROR(DATEDIF($I33-1,EN$15+1,"m"),),$H231)=1)*1*$K231*SUM(EN33,EN51)</f>
        <v>0</v>
      </c>
      <c r="EO231" s="767">
        <f t="shared" si="344"/>
        <v>0</v>
      </c>
      <c r="EP231" s="767">
        <f t="shared" si="344"/>
        <v>0</v>
      </c>
      <c r="EQ231" s="767">
        <f t="shared" si="344"/>
        <v>0</v>
      </c>
      <c r="ER231" s="767">
        <f t="shared" si="344"/>
        <v>0</v>
      </c>
      <c r="ES231" s="767">
        <f t="shared" si="344"/>
        <v>0</v>
      </c>
      <c r="ET231" s="767">
        <f t="shared" si="344"/>
        <v>0</v>
      </c>
      <c r="EU231" s="767">
        <f t="shared" si="344"/>
        <v>0</v>
      </c>
    </row>
  </sheetData>
  <phoneticPr fontId="2"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4E2A3-1607-4EA9-A4C0-8A7E936F9E11}">
  <sheetPr codeName="Sheet5">
    <tabColor theme="7" tint="-0.499984740745262"/>
  </sheetPr>
  <dimension ref="A1:EV112"/>
  <sheetViews>
    <sheetView showGridLines="0" zoomScaleNormal="100" workbookViewId="0">
      <pane xSplit="11" ySplit="15" topLeftCell="L68" activePane="bottomRight" state="frozen"/>
      <selection activeCell="M268" sqref="M268"/>
      <selection pane="topRight" activeCell="M268" sqref="M268"/>
      <selection pane="bottomLeft" activeCell="M268" sqref="M268"/>
      <selection pane="bottomRight" activeCell="M75" sqref="M75"/>
    </sheetView>
  </sheetViews>
  <sheetFormatPr defaultColWidth="9" defaultRowHeight="11.25" customHeight="1"/>
  <cols>
    <col min="1" max="4" width="2.125" style="5" customWidth="1"/>
    <col min="5" max="8" width="9.625" style="5" customWidth="1"/>
    <col min="9" max="11" width="10.375" style="5" customWidth="1"/>
    <col min="12" max="12" width="2.125" style="5" customWidth="1"/>
    <col min="13" max="148" width="11" style="5" customWidth="1"/>
    <col min="149" max="178" width="10.25" style="5" customWidth="1"/>
    <col min="179" max="179" width="2.125" style="5" customWidth="1"/>
    <col min="180" max="16384" width="9" style="5"/>
  </cols>
  <sheetData>
    <row r="1" spans="1:152" s="3" customFormat="1" ht="11.25" customHeight="1">
      <c r="A1" s="2" t="s">
        <v>250</v>
      </c>
    </row>
    <row r="2" spans="1:152" s="4" customFormat="1" ht="11.25" customHeight="1">
      <c r="A2" s="4" t="s">
        <v>257</v>
      </c>
    </row>
    <row r="5" spans="1:152" ht="11.25" customHeight="1">
      <c r="B5" s="187" t="s">
        <v>0</v>
      </c>
      <c r="C5" s="143"/>
      <c r="D5" s="143"/>
      <c r="E5" s="143"/>
      <c r="F5" s="143"/>
      <c r="G5" s="143"/>
      <c r="H5" s="143"/>
      <c r="I5" s="208"/>
      <c r="J5" s="188"/>
      <c r="K5" s="144"/>
      <c r="M5" s="145">
        <f>Index!L4</f>
        <v>46326</v>
      </c>
      <c r="N5" s="145">
        <f>Index!M4</f>
        <v>46327</v>
      </c>
      <c r="O5" s="145">
        <f>Index!N4</f>
        <v>46357</v>
      </c>
      <c r="P5" s="145">
        <f>Index!O4</f>
        <v>46388</v>
      </c>
      <c r="Q5" s="145">
        <f>Index!P4</f>
        <v>46419</v>
      </c>
      <c r="R5" s="145">
        <f>Index!Q4</f>
        <v>46447</v>
      </c>
      <c r="S5" s="145">
        <f>Index!R4</f>
        <v>46478</v>
      </c>
      <c r="T5" s="145">
        <f>Index!S4</f>
        <v>46508</v>
      </c>
      <c r="U5" s="145">
        <f>Index!T4</f>
        <v>46539</v>
      </c>
      <c r="V5" s="145">
        <f>Index!U4</f>
        <v>46569</v>
      </c>
      <c r="W5" s="145">
        <f>Index!V4</f>
        <v>46600</v>
      </c>
      <c r="X5" s="145">
        <f>Index!W4</f>
        <v>46631</v>
      </c>
      <c r="Y5" s="145">
        <f>Index!X4</f>
        <v>46661</v>
      </c>
      <c r="Z5" s="145">
        <f>Index!Y4</f>
        <v>46692</v>
      </c>
      <c r="AA5" s="145">
        <f>Index!Z4</f>
        <v>46722</v>
      </c>
      <c r="AB5" s="145">
        <f>Index!AA4</f>
        <v>46753</v>
      </c>
      <c r="AC5" s="145">
        <f>Index!AB4</f>
        <v>46784</v>
      </c>
      <c r="AD5" s="145">
        <f>Index!AC4</f>
        <v>46813</v>
      </c>
      <c r="AE5" s="145">
        <f>Index!AD4</f>
        <v>46844</v>
      </c>
      <c r="AF5" s="145">
        <f>Index!AE4</f>
        <v>46874</v>
      </c>
      <c r="AG5" s="145">
        <f>Index!AF4</f>
        <v>46905</v>
      </c>
      <c r="AH5" s="145">
        <f>Index!AG4</f>
        <v>46935</v>
      </c>
      <c r="AI5" s="145">
        <f>Index!AH4</f>
        <v>46966</v>
      </c>
      <c r="AJ5" s="145">
        <f>Index!AI4</f>
        <v>46997</v>
      </c>
      <c r="AK5" s="145">
        <f>Index!AJ4</f>
        <v>47027</v>
      </c>
      <c r="AL5" s="145">
        <f>Index!AK4</f>
        <v>47058</v>
      </c>
      <c r="AM5" s="145">
        <f>Index!AL4</f>
        <v>47088</v>
      </c>
      <c r="AN5" s="145">
        <f>Index!AM4</f>
        <v>47119</v>
      </c>
      <c r="AO5" s="145">
        <f>Index!AN4</f>
        <v>47150</v>
      </c>
      <c r="AP5" s="145">
        <f>Index!AO4</f>
        <v>47178</v>
      </c>
      <c r="AQ5" s="145">
        <f>Index!AP4</f>
        <v>47209</v>
      </c>
      <c r="AR5" s="145">
        <f>Index!AQ4</f>
        <v>47239</v>
      </c>
      <c r="AS5" s="145">
        <f>Index!AR4</f>
        <v>47270</v>
      </c>
      <c r="AT5" s="145">
        <f>Index!AS4</f>
        <v>47300</v>
      </c>
      <c r="AU5" s="145">
        <f>Index!AT4</f>
        <v>47331</v>
      </c>
      <c r="AV5" s="145">
        <f>Index!AU4</f>
        <v>47362</v>
      </c>
      <c r="AW5" s="145">
        <f>Index!AV4</f>
        <v>47392</v>
      </c>
      <c r="AX5" s="145">
        <f>Index!AW4</f>
        <v>47423</v>
      </c>
      <c r="AY5" s="145">
        <f>Index!AX4</f>
        <v>47453</v>
      </c>
      <c r="AZ5" s="145">
        <f>Index!AY4</f>
        <v>47484</v>
      </c>
      <c r="BA5" s="145">
        <f>Index!AZ4</f>
        <v>47515</v>
      </c>
      <c r="BB5" s="145">
        <f>Index!BA4</f>
        <v>47543</v>
      </c>
      <c r="BC5" s="145">
        <f>Index!BB4</f>
        <v>47574</v>
      </c>
      <c r="BD5" s="145">
        <f>Index!BC4</f>
        <v>47604</v>
      </c>
      <c r="BE5" s="145">
        <f>Index!BD4</f>
        <v>47635</v>
      </c>
      <c r="BF5" s="145">
        <f>Index!BE4</f>
        <v>47665</v>
      </c>
      <c r="BG5" s="145">
        <f>Index!BF4</f>
        <v>47696</v>
      </c>
      <c r="BH5" s="145">
        <f>Index!BG4</f>
        <v>47727</v>
      </c>
      <c r="BI5" s="145">
        <f>Index!BH4</f>
        <v>47757</v>
      </c>
      <c r="BJ5" s="145">
        <f>Index!BI4</f>
        <v>47788</v>
      </c>
      <c r="BK5" s="145">
        <f>Index!BJ4</f>
        <v>47818</v>
      </c>
      <c r="BL5" s="145">
        <f>Index!BK4</f>
        <v>47849</v>
      </c>
      <c r="BM5" s="145">
        <f>Index!BL4</f>
        <v>47880</v>
      </c>
      <c r="BN5" s="145">
        <f>Index!BM4</f>
        <v>47908</v>
      </c>
      <c r="BO5" s="145">
        <f>Index!BN4</f>
        <v>47939</v>
      </c>
      <c r="BP5" s="145">
        <f>Index!BO4</f>
        <v>47969</v>
      </c>
      <c r="BQ5" s="145">
        <f>Index!BP4</f>
        <v>48000</v>
      </c>
      <c r="BR5" s="145">
        <f>Index!BQ4</f>
        <v>48030</v>
      </c>
      <c r="BS5" s="145">
        <f>Index!BR4</f>
        <v>48061</v>
      </c>
      <c r="BT5" s="145">
        <f>Index!BS4</f>
        <v>48092</v>
      </c>
      <c r="BU5" s="145">
        <f>Index!BT4</f>
        <v>48122</v>
      </c>
      <c r="BV5" s="145">
        <f>Index!BU4</f>
        <v>48153</v>
      </c>
      <c r="BW5" s="145">
        <f>Index!BV4</f>
        <v>48183</v>
      </c>
      <c r="BX5" s="145">
        <f>Index!BW4</f>
        <v>48214</v>
      </c>
      <c r="BY5" s="145">
        <f>Index!BX4</f>
        <v>48245</v>
      </c>
      <c r="BZ5" s="145">
        <f>Index!BY4</f>
        <v>48274</v>
      </c>
      <c r="CA5" s="145">
        <f>Index!BZ4</f>
        <v>48305</v>
      </c>
      <c r="CB5" s="145">
        <f>Index!CA4</f>
        <v>48335</v>
      </c>
      <c r="CC5" s="145">
        <f>Index!CB4</f>
        <v>48366</v>
      </c>
      <c r="CD5" s="145">
        <f>Index!CC4</f>
        <v>48396</v>
      </c>
      <c r="CE5" s="145">
        <f>Index!CD4</f>
        <v>48427</v>
      </c>
      <c r="CF5" s="145">
        <f>Index!CE4</f>
        <v>48458</v>
      </c>
      <c r="CG5" s="145">
        <f>Index!CF4</f>
        <v>48488</v>
      </c>
      <c r="CH5" s="145">
        <f>Index!CG4</f>
        <v>48519</v>
      </c>
      <c r="CI5" s="145">
        <f>Index!CH4</f>
        <v>48549</v>
      </c>
      <c r="CJ5" s="145">
        <f>Index!CI4</f>
        <v>48580</v>
      </c>
      <c r="CK5" s="145">
        <f>Index!CJ4</f>
        <v>48611</v>
      </c>
      <c r="CL5" s="145">
        <f>Index!CK4</f>
        <v>48639</v>
      </c>
      <c r="CM5" s="145">
        <f>Index!CL4</f>
        <v>48670</v>
      </c>
      <c r="CN5" s="145">
        <f>Index!CM4</f>
        <v>48700</v>
      </c>
      <c r="CO5" s="145">
        <f>Index!CN4</f>
        <v>48731</v>
      </c>
      <c r="CP5" s="145">
        <f>Index!CO4</f>
        <v>48761</v>
      </c>
      <c r="CQ5" s="145">
        <f>Index!CP4</f>
        <v>48792</v>
      </c>
      <c r="CR5" s="145">
        <f>Index!CQ4</f>
        <v>48823</v>
      </c>
      <c r="CS5" s="145">
        <f>Index!CR4</f>
        <v>48853</v>
      </c>
      <c r="CT5" s="145">
        <f>Index!CS4</f>
        <v>48884</v>
      </c>
      <c r="CU5" s="145">
        <f>Index!CT4</f>
        <v>48914</v>
      </c>
      <c r="CV5" s="145">
        <f>Index!CU4</f>
        <v>48945</v>
      </c>
      <c r="CW5" s="145">
        <f>Index!CV4</f>
        <v>48976</v>
      </c>
      <c r="CX5" s="145">
        <f>Index!CW4</f>
        <v>49004</v>
      </c>
      <c r="CY5" s="145">
        <f>Index!CX4</f>
        <v>49035</v>
      </c>
      <c r="CZ5" s="145">
        <f>Index!CY4</f>
        <v>49065</v>
      </c>
      <c r="DA5" s="145">
        <f>Index!CZ4</f>
        <v>49096</v>
      </c>
      <c r="DB5" s="145">
        <f>Index!DA4</f>
        <v>49126</v>
      </c>
      <c r="DC5" s="145">
        <f>Index!DB4</f>
        <v>49157</v>
      </c>
      <c r="DD5" s="145">
        <f>Index!DC4</f>
        <v>49188</v>
      </c>
      <c r="DE5" s="145">
        <f>Index!DD4</f>
        <v>49218</v>
      </c>
      <c r="DF5" s="145">
        <f>Index!DE4</f>
        <v>49249</v>
      </c>
      <c r="DG5" s="145">
        <f>Index!DF4</f>
        <v>49279</v>
      </c>
      <c r="DH5" s="145">
        <f>Index!DG4</f>
        <v>49310</v>
      </c>
      <c r="DI5" s="145">
        <f>Index!DH4</f>
        <v>49341</v>
      </c>
      <c r="DJ5" s="145">
        <f>Index!DI4</f>
        <v>49369</v>
      </c>
      <c r="DK5" s="145">
        <f>Index!DJ4</f>
        <v>49400</v>
      </c>
      <c r="DL5" s="145">
        <f>Index!DK4</f>
        <v>49430</v>
      </c>
      <c r="DM5" s="145">
        <f>Index!DL4</f>
        <v>49461</v>
      </c>
      <c r="DN5" s="145">
        <f>Index!DM4</f>
        <v>49491</v>
      </c>
      <c r="DO5" s="145">
        <f>Index!DN4</f>
        <v>49522</v>
      </c>
      <c r="DP5" s="145">
        <f>Index!DO4</f>
        <v>49553</v>
      </c>
      <c r="DQ5" s="145">
        <f>Index!DP4</f>
        <v>49583</v>
      </c>
      <c r="DR5" s="145">
        <f>Index!DQ4</f>
        <v>49614</v>
      </c>
      <c r="DS5" s="145">
        <f>Index!DR4</f>
        <v>49644</v>
      </c>
      <c r="DT5" s="145">
        <f>Index!DS4</f>
        <v>49675</v>
      </c>
      <c r="DU5" s="145">
        <f>Index!DT4</f>
        <v>49706</v>
      </c>
      <c r="DV5" s="145">
        <f>Index!DU4</f>
        <v>49735</v>
      </c>
      <c r="DW5" s="145">
        <f>Index!DV4</f>
        <v>49766</v>
      </c>
      <c r="DX5" s="145">
        <f>Index!DW4</f>
        <v>49796</v>
      </c>
      <c r="DY5" s="145">
        <f>Index!DX4</f>
        <v>49827</v>
      </c>
      <c r="DZ5" s="145">
        <f>Index!DY4</f>
        <v>49857</v>
      </c>
      <c r="EA5" s="145">
        <f>Index!DZ4</f>
        <v>49888</v>
      </c>
      <c r="EB5" s="145">
        <f>Index!EA4</f>
        <v>49919</v>
      </c>
      <c r="EC5" s="145">
        <f>Index!EB4</f>
        <v>49949</v>
      </c>
      <c r="ED5" s="145">
        <f>Index!EC4</f>
        <v>49980</v>
      </c>
      <c r="EE5" s="145">
        <f>Index!ED4</f>
        <v>50010</v>
      </c>
      <c r="EF5" s="145">
        <f>Index!EE4</f>
        <v>50041</v>
      </c>
      <c r="EG5" s="145">
        <f>Index!EF4</f>
        <v>50072</v>
      </c>
      <c r="EH5" s="145">
        <f>Index!EG4</f>
        <v>50100</v>
      </c>
      <c r="EI5" s="145">
        <f>Index!EH4</f>
        <v>50131</v>
      </c>
      <c r="EJ5" s="145">
        <f>Index!EI4</f>
        <v>50161</v>
      </c>
      <c r="EK5" s="145">
        <f>Index!EJ4</f>
        <v>50192</v>
      </c>
      <c r="EL5" s="145">
        <f>Index!EK4</f>
        <v>50222</v>
      </c>
      <c r="EM5" s="145">
        <f>Index!EL4</f>
        <v>50253</v>
      </c>
      <c r="EN5" s="145">
        <f>Index!EM4</f>
        <v>50284</v>
      </c>
      <c r="EO5" s="145">
        <f>Index!EN4</f>
        <v>50314</v>
      </c>
      <c r="EP5" s="145">
        <f>Index!EO4</f>
        <v>50345</v>
      </c>
      <c r="EQ5" s="145">
        <f>Index!EP4</f>
        <v>50375</v>
      </c>
      <c r="ER5" s="145">
        <f>Index!EQ4</f>
        <v>50406</v>
      </c>
      <c r="ES5" s="146"/>
      <c r="ET5" s="146"/>
      <c r="EU5" s="146"/>
      <c r="EV5" s="146"/>
    </row>
    <row r="6" spans="1:152" ht="11.25" customHeight="1">
      <c r="B6" s="187" t="s">
        <v>1</v>
      </c>
      <c r="C6" s="143"/>
      <c r="D6" s="143"/>
      <c r="E6" s="143"/>
      <c r="F6" s="143"/>
      <c r="G6" s="143"/>
      <c r="H6" s="143"/>
      <c r="I6" s="208"/>
      <c r="J6" s="188"/>
      <c r="K6" s="143"/>
      <c r="M6" s="145">
        <f>Index!L5</f>
        <v>46326</v>
      </c>
      <c r="N6" s="145">
        <f>Index!M5</f>
        <v>46356</v>
      </c>
      <c r="O6" s="145">
        <f>Index!N5</f>
        <v>46387</v>
      </c>
      <c r="P6" s="145">
        <f>Index!O5</f>
        <v>46418</v>
      </c>
      <c r="Q6" s="145">
        <f>Index!P5</f>
        <v>46446</v>
      </c>
      <c r="R6" s="145">
        <f>Index!Q5</f>
        <v>46477</v>
      </c>
      <c r="S6" s="145">
        <f>Index!R5</f>
        <v>46507</v>
      </c>
      <c r="T6" s="145">
        <f>Index!S5</f>
        <v>46538</v>
      </c>
      <c r="U6" s="145">
        <f>Index!T5</f>
        <v>46568</v>
      </c>
      <c r="V6" s="145">
        <f>Index!U5</f>
        <v>46599</v>
      </c>
      <c r="W6" s="145">
        <f>Index!V5</f>
        <v>46630</v>
      </c>
      <c r="X6" s="145">
        <f>Index!W5</f>
        <v>46660</v>
      </c>
      <c r="Y6" s="145">
        <f>Index!X5</f>
        <v>46691</v>
      </c>
      <c r="Z6" s="145">
        <f>Index!Y5</f>
        <v>46721</v>
      </c>
      <c r="AA6" s="145">
        <f>Index!Z5</f>
        <v>46752</v>
      </c>
      <c r="AB6" s="145">
        <f>Index!AA5</f>
        <v>46783</v>
      </c>
      <c r="AC6" s="145">
        <f>Index!AB5</f>
        <v>46812</v>
      </c>
      <c r="AD6" s="145">
        <f>Index!AC5</f>
        <v>46843</v>
      </c>
      <c r="AE6" s="145">
        <f>Index!AD5</f>
        <v>46873</v>
      </c>
      <c r="AF6" s="145">
        <f>Index!AE5</f>
        <v>46904</v>
      </c>
      <c r="AG6" s="145">
        <f>Index!AF5</f>
        <v>46934</v>
      </c>
      <c r="AH6" s="145">
        <f>Index!AG5</f>
        <v>46965</v>
      </c>
      <c r="AI6" s="145">
        <f>Index!AH5</f>
        <v>46996</v>
      </c>
      <c r="AJ6" s="145">
        <f>Index!AI5</f>
        <v>47026</v>
      </c>
      <c r="AK6" s="145">
        <f>Index!AJ5</f>
        <v>47057</v>
      </c>
      <c r="AL6" s="145">
        <f>Index!AK5</f>
        <v>47087</v>
      </c>
      <c r="AM6" s="145">
        <f>Index!AL5</f>
        <v>47118</v>
      </c>
      <c r="AN6" s="145">
        <f>Index!AM5</f>
        <v>47149</v>
      </c>
      <c r="AO6" s="145">
        <f>Index!AN5</f>
        <v>47177</v>
      </c>
      <c r="AP6" s="145">
        <f>Index!AO5</f>
        <v>47208</v>
      </c>
      <c r="AQ6" s="145">
        <f>Index!AP5</f>
        <v>47238</v>
      </c>
      <c r="AR6" s="145">
        <f>Index!AQ5</f>
        <v>47269</v>
      </c>
      <c r="AS6" s="145">
        <f>Index!AR5</f>
        <v>47299</v>
      </c>
      <c r="AT6" s="145">
        <f>Index!AS5</f>
        <v>47330</v>
      </c>
      <c r="AU6" s="145">
        <f>Index!AT5</f>
        <v>47361</v>
      </c>
      <c r="AV6" s="145">
        <f>Index!AU5</f>
        <v>47391</v>
      </c>
      <c r="AW6" s="145">
        <f>Index!AV5</f>
        <v>47422</v>
      </c>
      <c r="AX6" s="145">
        <f>Index!AW5</f>
        <v>47452</v>
      </c>
      <c r="AY6" s="145">
        <f>Index!AX5</f>
        <v>47483</v>
      </c>
      <c r="AZ6" s="145">
        <f>Index!AY5</f>
        <v>47514</v>
      </c>
      <c r="BA6" s="145">
        <f>Index!AZ5</f>
        <v>47542</v>
      </c>
      <c r="BB6" s="145">
        <f>Index!BA5</f>
        <v>47573</v>
      </c>
      <c r="BC6" s="145">
        <f>Index!BB5</f>
        <v>47603</v>
      </c>
      <c r="BD6" s="145">
        <f>Index!BC5</f>
        <v>47634</v>
      </c>
      <c r="BE6" s="145">
        <f>Index!BD5</f>
        <v>47664</v>
      </c>
      <c r="BF6" s="145">
        <f>Index!BE5</f>
        <v>47695</v>
      </c>
      <c r="BG6" s="145">
        <f>Index!BF5</f>
        <v>47726</v>
      </c>
      <c r="BH6" s="145">
        <f>Index!BG5</f>
        <v>47756</v>
      </c>
      <c r="BI6" s="145">
        <f>Index!BH5</f>
        <v>47787</v>
      </c>
      <c r="BJ6" s="145">
        <f>Index!BI5</f>
        <v>47817</v>
      </c>
      <c r="BK6" s="145">
        <f>Index!BJ5</f>
        <v>47848</v>
      </c>
      <c r="BL6" s="145">
        <f>Index!BK5</f>
        <v>47879</v>
      </c>
      <c r="BM6" s="145">
        <f>Index!BL5</f>
        <v>47907</v>
      </c>
      <c r="BN6" s="145">
        <f>Index!BM5</f>
        <v>47938</v>
      </c>
      <c r="BO6" s="145">
        <f>Index!BN5</f>
        <v>47968</v>
      </c>
      <c r="BP6" s="145">
        <f>Index!BO5</f>
        <v>47999</v>
      </c>
      <c r="BQ6" s="145">
        <f>Index!BP5</f>
        <v>48029</v>
      </c>
      <c r="BR6" s="145">
        <f>Index!BQ5</f>
        <v>48060</v>
      </c>
      <c r="BS6" s="145">
        <f>Index!BR5</f>
        <v>48091</v>
      </c>
      <c r="BT6" s="145">
        <f>Index!BS5</f>
        <v>48121</v>
      </c>
      <c r="BU6" s="145">
        <f>Index!BT5</f>
        <v>48152</v>
      </c>
      <c r="BV6" s="145">
        <f>Index!BU5</f>
        <v>48182</v>
      </c>
      <c r="BW6" s="145">
        <f>Index!BV5</f>
        <v>48213</v>
      </c>
      <c r="BX6" s="145">
        <f>Index!BW5</f>
        <v>48244</v>
      </c>
      <c r="BY6" s="145">
        <f>Index!BX5</f>
        <v>48273</v>
      </c>
      <c r="BZ6" s="145">
        <f>Index!BY5</f>
        <v>48304</v>
      </c>
      <c r="CA6" s="145">
        <f>Index!BZ5</f>
        <v>48334</v>
      </c>
      <c r="CB6" s="145">
        <f>Index!CA5</f>
        <v>48365</v>
      </c>
      <c r="CC6" s="145">
        <f>Index!CB5</f>
        <v>48395</v>
      </c>
      <c r="CD6" s="145">
        <f>Index!CC5</f>
        <v>48426</v>
      </c>
      <c r="CE6" s="145">
        <f>Index!CD5</f>
        <v>48457</v>
      </c>
      <c r="CF6" s="145">
        <f>Index!CE5</f>
        <v>48487</v>
      </c>
      <c r="CG6" s="145">
        <f>Index!CF5</f>
        <v>48518</v>
      </c>
      <c r="CH6" s="145">
        <f>Index!CG5</f>
        <v>48548</v>
      </c>
      <c r="CI6" s="145">
        <f>Index!CH5</f>
        <v>48579</v>
      </c>
      <c r="CJ6" s="145">
        <f>Index!CI5</f>
        <v>48610</v>
      </c>
      <c r="CK6" s="145">
        <f>Index!CJ5</f>
        <v>48638</v>
      </c>
      <c r="CL6" s="145">
        <f>Index!CK5</f>
        <v>48669</v>
      </c>
      <c r="CM6" s="145">
        <f>Index!CL5</f>
        <v>48699</v>
      </c>
      <c r="CN6" s="145">
        <f>Index!CM5</f>
        <v>48730</v>
      </c>
      <c r="CO6" s="145">
        <f>Index!CN5</f>
        <v>48760</v>
      </c>
      <c r="CP6" s="145">
        <f>Index!CO5</f>
        <v>48791</v>
      </c>
      <c r="CQ6" s="145">
        <f>Index!CP5</f>
        <v>48822</v>
      </c>
      <c r="CR6" s="145">
        <f>Index!CQ5</f>
        <v>48852</v>
      </c>
      <c r="CS6" s="145">
        <f>Index!CR5</f>
        <v>48883</v>
      </c>
      <c r="CT6" s="145">
        <f>Index!CS5</f>
        <v>48913</v>
      </c>
      <c r="CU6" s="145">
        <f>Index!CT5</f>
        <v>48944</v>
      </c>
      <c r="CV6" s="145">
        <f>Index!CU5</f>
        <v>48975</v>
      </c>
      <c r="CW6" s="145">
        <f>Index!CV5</f>
        <v>49003</v>
      </c>
      <c r="CX6" s="145">
        <f>Index!CW5</f>
        <v>49034</v>
      </c>
      <c r="CY6" s="145">
        <f>Index!CX5</f>
        <v>49064</v>
      </c>
      <c r="CZ6" s="145">
        <f>Index!CY5</f>
        <v>49095</v>
      </c>
      <c r="DA6" s="145">
        <f>Index!CZ5</f>
        <v>49125</v>
      </c>
      <c r="DB6" s="145">
        <f>Index!DA5</f>
        <v>49156</v>
      </c>
      <c r="DC6" s="145">
        <f>Index!DB5</f>
        <v>49187</v>
      </c>
      <c r="DD6" s="145">
        <f>Index!DC5</f>
        <v>49217</v>
      </c>
      <c r="DE6" s="145">
        <f>Index!DD5</f>
        <v>49248</v>
      </c>
      <c r="DF6" s="145">
        <f>Index!DE5</f>
        <v>49278</v>
      </c>
      <c r="DG6" s="145">
        <f>Index!DF5</f>
        <v>49309</v>
      </c>
      <c r="DH6" s="145">
        <f>Index!DG5</f>
        <v>49340</v>
      </c>
      <c r="DI6" s="145">
        <f>Index!DH5</f>
        <v>49368</v>
      </c>
      <c r="DJ6" s="145">
        <f>Index!DI5</f>
        <v>49399</v>
      </c>
      <c r="DK6" s="145">
        <f>Index!DJ5</f>
        <v>49429</v>
      </c>
      <c r="DL6" s="145">
        <f>Index!DK5</f>
        <v>49460</v>
      </c>
      <c r="DM6" s="145">
        <f>Index!DL5</f>
        <v>49490</v>
      </c>
      <c r="DN6" s="145">
        <f>Index!DM5</f>
        <v>49521</v>
      </c>
      <c r="DO6" s="145">
        <f>Index!DN5</f>
        <v>49552</v>
      </c>
      <c r="DP6" s="145">
        <f>Index!DO5</f>
        <v>49582</v>
      </c>
      <c r="DQ6" s="145">
        <f>Index!DP5</f>
        <v>49613</v>
      </c>
      <c r="DR6" s="145">
        <f>Index!DQ5</f>
        <v>49643</v>
      </c>
      <c r="DS6" s="145">
        <f>Index!DR5</f>
        <v>49674</v>
      </c>
      <c r="DT6" s="145">
        <f>Index!DS5</f>
        <v>49705</v>
      </c>
      <c r="DU6" s="145">
        <f>Index!DT5</f>
        <v>49734</v>
      </c>
      <c r="DV6" s="145">
        <f>Index!DU5</f>
        <v>49765</v>
      </c>
      <c r="DW6" s="145">
        <f>Index!DV5</f>
        <v>49795</v>
      </c>
      <c r="DX6" s="145">
        <f>Index!DW5</f>
        <v>49826</v>
      </c>
      <c r="DY6" s="145">
        <f>Index!DX5</f>
        <v>49856</v>
      </c>
      <c r="DZ6" s="145">
        <f>Index!DY5</f>
        <v>49887</v>
      </c>
      <c r="EA6" s="145">
        <f>Index!DZ5</f>
        <v>49918</v>
      </c>
      <c r="EB6" s="145">
        <f>Index!EA5</f>
        <v>49948</v>
      </c>
      <c r="EC6" s="145">
        <f>Index!EB5</f>
        <v>49979</v>
      </c>
      <c r="ED6" s="145">
        <f>Index!EC5</f>
        <v>50009</v>
      </c>
      <c r="EE6" s="145">
        <f>Index!ED5</f>
        <v>50040</v>
      </c>
      <c r="EF6" s="145">
        <f>Index!EE5</f>
        <v>50071</v>
      </c>
      <c r="EG6" s="145">
        <f>Index!EF5</f>
        <v>50099</v>
      </c>
      <c r="EH6" s="145">
        <f>Index!EG5</f>
        <v>50130</v>
      </c>
      <c r="EI6" s="145">
        <f>Index!EH5</f>
        <v>50160</v>
      </c>
      <c r="EJ6" s="145">
        <f>Index!EI5</f>
        <v>50191</v>
      </c>
      <c r="EK6" s="145">
        <f>Index!EJ5</f>
        <v>50221</v>
      </c>
      <c r="EL6" s="145">
        <f>Index!EK5</f>
        <v>50252</v>
      </c>
      <c r="EM6" s="145">
        <f>Index!EL5</f>
        <v>50283</v>
      </c>
      <c r="EN6" s="145">
        <f>Index!EM5</f>
        <v>50313</v>
      </c>
      <c r="EO6" s="145">
        <f>Index!EN5</f>
        <v>50344</v>
      </c>
      <c r="EP6" s="145">
        <f>Index!EO5</f>
        <v>50374</v>
      </c>
      <c r="EQ6" s="145">
        <f>Index!EP5</f>
        <v>50405</v>
      </c>
      <c r="ER6" s="145">
        <f>Index!EQ5</f>
        <v>50436</v>
      </c>
      <c r="ES6" s="146"/>
      <c r="ET6" s="146"/>
      <c r="EU6" s="146"/>
      <c r="EV6" s="146"/>
    </row>
    <row r="7" spans="1:152" ht="11.25" customHeight="1">
      <c r="B7" s="189" t="s">
        <v>2</v>
      </c>
      <c r="C7" s="148"/>
      <c r="D7" s="148"/>
      <c r="E7" s="148"/>
      <c r="F7" s="148"/>
      <c r="G7" s="148"/>
      <c r="H7" s="148"/>
      <c r="I7" s="209"/>
      <c r="J7" s="190"/>
      <c r="K7" s="148"/>
      <c r="M7" s="149">
        <f>Index!L6</f>
        <v>2026</v>
      </c>
      <c r="N7" s="149">
        <f>Index!M6</f>
        <v>2026</v>
      </c>
      <c r="O7" s="149">
        <f>Index!N6</f>
        <v>2026</v>
      </c>
      <c r="P7" s="149">
        <f>Index!O6</f>
        <v>2027</v>
      </c>
      <c r="Q7" s="149">
        <f>Index!P6</f>
        <v>2027</v>
      </c>
      <c r="R7" s="149">
        <f>Index!Q6</f>
        <v>2027</v>
      </c>
      <c r="S7" s="149">
        <f>Index!R6</f>
        <v>2027</v>
      </c>
      <c r="T7" s="149">
        <f>Index!S6</f>
        <v>2027</v>
      </c>
      <c r="U7" s="149">
        <f>Index!T6</f>
        <v>2027</v>
      </c>
      <c r="V7" s="149">
        <f>Index!U6</f>
        <v>2027</v>
      </c>
      <c r="W7" s="149">
        <f>Index!V6</f>
        <v>2027</v>
      </c>
      <c r="X7" s="149">
        <f>Index!W6</f>
        <v>2027</v>
      </c>
      <c r="Y7" s="149">
        <f>Index!X6</f>
        <v>2027</v>
      </c>
      <c r="Z7" s="149">
        <f>Index!Y6</f>
        <v>2027</v>
      </c>
      <c r="AA7" s="149">
        <f>Index!Z6</f>
        <v>2027</v>
      </c>
      <c r="AB7" s="149">
        <f>Index!AA6</f>
        <v>2028</v>
      </c>
      <c r="AC7" s="149">
        <f>Index!AB6</f>
        <v>2028</v>
      </c>
      <c r="AD7" s="149">
        <f>Index!AC6</f>
        <v>2028</v>
      </c>
      <c r="AE7" s="149">
        <f>Index!AD6</f>
        <v>2028</v>
      </c>
      <c r="AF7" s="149">
        <f>Index!AE6</f>
        <v>2028</v>
      </c>
      <c r="AG7" s="149">
        <f>Index!AF6</f>
        <v>2028</v>
      </c>
      <c r="AH7" s="149">
        <f>Index!AG6</f>
        <v>2028</v>
      </c>
      <c r="AI7" s="149">
        <f>Index!AH6</f>
        <v>2028</v>
      </c>
      <c r="AJ7" s="149">
        <f>Index!AI6</f>
        <v>2028</v>
      </c>
      <c r="AK7" s="149">
        <f>Index!AJ6</f>
        <v>2028</v>
      </c>
      <c r="AL7" s="149">
        <f>Index!AK6</f>
        <v>2028</v>
      </c>
      <c r="AM7" s="149">
        <f>Index!AL6</f>
        <v>2028</v>
      </c>
      <c r="AN7" s="149">
        <f>Index!AM6</f>
        <v>2029</v>
      </c>
      <c r="AO7" s="149">
        <f>Index!AN6</f>
        <v>2029</v>
      </c>
      <c r="AP7" s="149">
        <f>Index!AO6</f>
        <v>2029</v>
      </c>
      <c r="AQ7" s="149">
        <f>Index!AP6</f>
        <v>2029</v>
      </c>
      <c r="AR7" s="149">
        <f>Index!AQ6</f>
        <v>2029</v>
      </c>
      <c r="AS7" s="149">
        <f>Index!AR6</f>
        <v>2029</v>
      </c>
      <c r="AT7" s="149">
        <f>Index!AS6</f>
        <v>2029</v>
      </c>
      <c r="AU7" s="149">
        <f>Index!AT6</f>
        <v>2029</v>
      </c>
      <c r="AV7" s="149">
        <f>Index!AU6</f>
        <v>2029</v>
      </c>
      <c r="AW7" s="149">
        <f>Index!AV6</f>
        <v>2029</v>
      </c>
      <c r="AX7" s="149">
        <f>Index!AW6</f>
        <v>2029</v>
      </c>
      <c r="AY7" s="149">
        <f>Index!AX6</f>
        <v>2029</v>
      </c>
      <c r="AZ7" s="149">
        <f>Index!AY6</f>
        <v>2030</v>
      </c>
      <c r="BA7" s="149">
        <f>Index!AZ6</f>
        <v>2030</v>
      </c>
      <c r="BB7" s="149">
        <f>Index!BA6</f>
        <v>2030</v>
      </c>
      <c r="BC7" s="149">
        <f>Index!BB6</f>
        <v>2030</v>
      </c>
      <c r="BD7" s="149">
        <f>Index!BC6</f>
        <v>2030</v>
      </c>
      <c r="BE7" s="149">
        <f>Index!BD6</f>
        <v>2030</v>
      </c>
      <c r="BF7" s="149">
        <f>Index!BE6</f>
        <v>2030</v>
      </c>
      <c r="BG7" s="149">
        <f>Index!BF6</f>
        <v>2030</v>
      </c>
      <c r="BH7" s="149">
        <f>Index!BG6</f>
        <v>2030</v>
      </c>
      <c r="BI7" s="149">
        <f>Index!BH6</f>
        <v>2030</v>
      </c>
      <c r="BJ7" s="149">
        <f>Index!BI6</f>
        <v>2030</v>
      </c>
      <c r="BK7" s="149">
        <f>Index!BJ6</f>
        <v>2030</v>
      </c>
      <c r="BL7" s="149">
        <f>Index!BK6</f>
        <v>2031</v>
      </c>
      <c r="BM7" s="149">
        <f>Index!BL6</f>
        <v>2031</v>
      </c>
      <c r="BN7" s="149">
        <f>Index!BM6</f>
        <v>2031</v>
      </c>
      <c r="BO7" s="149">
        <f>Index!BN6</f>
        <v>2031</v>
      </c>
      <c r="BP7" s="149">
        <f>Index!BO6</f>
        <v>2031</v>
      </c>
      <c r="BQ7" s="149">
        <f>Index!BP6</f>
        <v>2031</v>
      </c>
      <c r="BR7" s="149">
        <f>Index!BQ6</f>
        <v>2031</v>
      </c>
      <c r="BS7" s="149">
        <f>Index!BR6</f>
        <v>2031</v>
      </c>
      <c r="BT7" s="149">
        <f>Index!BS6</f>
        <v>2031</v>
      </c>
      <c r="BU7" s="149">
        <f>Index!BT6</f>
        <v>2031</v>
      </c>
      <c r="BV7" s="149">
        <f>Index!BU6</f>
        <v>2031</v>
      </c>
      <c r="BW7" s="149">
        <f>Index!BV6</f>
        <v>2031</v>
      </c>
      <c r="BX7" s="149">
        <f>Index!BW6</f>
        <v>2032</v>
      </c>
      <c r="BY7" s="149">
        <f>Index!BX6</f>
        <v>2032</v>
      </c>
      <c r="BZ7" s="149">
        <f>Index!BY6</f>
        <v>2032</v>
      </c>
      <c r="CA7" s="149">
        <f>Index!BZ6</f>
        <v>2032</v>
      </c>
      <c r="CB7" s="149">
        <f>Index!CA6</f>
        <v>2032</v>
      </c>
      <c r="CC7" s="149">
        <f>Index!CB6</f>
        <v>2032</v>
      </c>
      <c r="CD7" s="149">
        <f>Index!CC6</f>
        <v>2032</v>
      </c>
      <c r="CE7" s="149">
        <f>Index!CD6</f>
        <v>2032</v>
      </c>
      <c r="CF7" s="149">
        <f>Index!CE6</f>
        <v>2032</v>
      </c>
      <c r="CG7" s="149">
        <f>Index!CF6</f>
        <v>2032</v>
      </c>
      <c r="CH7" s="149">
        <f>Index!CG6</f>
        <v>2032</v>
      </c>
      <c r="CI7" s="149">
        <f>Index!CH6</f>
        <v>2032</v>
      </c>
      <c r="CJ7" s="149">
        <f>Index!CI6</f>
        <v>2033</v>
      </c>
      <c r="CK7" s="149">
        <f>Index!CJ6</f>
        <v>2033</v>
      </c>
      <c r="CL7" s="149">
        <f>Index!CK6</f>
        <v>2033</v>
      </c>
      <c r="CM7" s="149">
        <f>Index!CL6</f>
        <v>2033</v>
      </c>
      <c r="CN7" s="149">
        <f>Index!CM6</f>
        <v>2033</v>
      </c>
      <c r="CO7" s="149">
        <f>Index!CN6</f>
        <v>2033</v>
      </c>
      <c r="CP7" s="149">
        <f>Index!CO6</f>
        <v>2033</v>
      </c>
      <c r="CQ7" s="149">
        <f>Index!CP6</f>
        <v>2033</v>
      </c>
      <c r="CR7" s="149">
        <f>Index!CQ6</f>
        <v>2033</v>
      </c>
      <c r="CS7" s="149">
        <f>Index!CR6</f>
        <v>2033</v>
      </c>
      <c r="CT7" s="149">
        <f>Index!CS6</f>
        <v>2033</v>
      </c>
      <c r="CU7" s="149">
        <f>Index!CT6</f>
        <v>2033</v>
      </c>
      <c r="CV7" s="149">
        <f>Index!CU6</f>
        <v>2034</v>
      </c>
      <c r="CW7" s="149">
        <f>Index!CV6</f>
        <v>2034</v>
      </c>
      <c r="CX7" s="149">
        <f>Index!CW6</f>
        <v>2034</v>
      </c>
      <c r="CY7" s="149">
        <f>Index!CX6</f>
        <v>2034</v>
      </c>
      <c r="CZ7" s="149">
        <f>Index!CY6</f>
        <v>2034</v>
      </c>
      <c r="DA7" s="149">
        <f>Index!CZ6</f>
        <v>2034</v>
      </c>
      <c r="DB7" s="149">
        <f>Index!DA6</f>
        <v>2034</v>
      </c>
      <c r="DC7" s="149">
        <f>Index!DB6</f>
        <v>2034</v>
      </c>
      <c r="DD7" s="149">
        <f>Index!DC6</f>
        <v>2034</v>
      </c>
      <c r="DE7" s="149">
        <f>Index!DD6</f>
        <v>2034</v>
      </c>
      <c r="DF7" s="149">
        <f>Index!DE6</f>
        <v>2034</v>
      </c>
      <c r="DG7" s="149">
        <f>Index!DF6</f>
        <v>2034</v>
      </c>
      <c r="DH7" s="149">
        <f>Index!DG6</f>
        <v>2035</v>
      </c>
      <c r="DI7" s="149">
        <f>Index!DH6</f>
        <v>2035</v>
      </c>
      <c r="DJ7" s="149">
        <f>Index!DI6</f>
        <v>2035</v>
      </c>
      <c r="DK7" s="149">
        <f>Index!DJ6</f>
        <v>2035</v>
      </c>
      <c r="DL7" s="149">
        <f>Index!DK6</f>
        <v>2035</v>
      </c>
      <c r="DM7" s="149">
        <f>Index!DL6</f>
        <v>2035</v>
      </c>
      <c r="DN7" s="149">
        <f>Index!DM6</f>
        <v>2035</v>
      </c>
      <c r="DO7" s="149">
        <f>Index!DN6</f>
        <v>2035</v>
      </c>
      <c r="DP7" s="149">
        <f>Index!DO6</f>
        <v>2035</v>
      </c>
      <c r="DQ7" s="149">
        <f>Index!DP6</f>
        <v>2035</v>
      </c>
      <c r="DR7" s="149">
        <f>Index!DQ6</f>
        <v>2035</v>
      </c>
      <c r="DS7" s="149">
        <f>Index!DR6</f>
        <v>2035</v>
      </c>
      <c r="DT7" s="149">
        <f>Index!DS6</f>
        <v>2036</v>
      </c>
      <c r="DU7" s="149">
        <f>Index!DT6</f>
        <v>2036</v>
      </c>
      <c r="DV7" s="149">
        <f>Index!DU6</f>
        <v>2036</v>
      </c>
      <c r="DW7" s="149">
        <f>Index!DV6</f>
        <v>2036</v>
      </c>
      <c r="DX7" s="149">
        <f>Index!DW6</f>
        <v>2036</v>
      </c>
      <c r="DY7" s="149">
        <f>Index!DX6</f>
        <v>2036</v>
      </c>
      <c r="DZ7" s="149">
        <f>Index!DY6</f>
        <v>2036</v>
      </c>
      <c r="EA7" s="149">
        <f>Index!DZ6</f>
        <v>2036</v>
      </c>
      <c r="EB7" s="149">
        <f>Index!EA6</f>
        <v>2036</v>
      </c>
      <c r="EC7" s="149">
        <f>Index!EB6</f>
        <v>2036</v>
      </c>
      <c r="ED7" s="149">
        <f>Index!EC6</f>
        <v>2036</v>
      </c>
      <c r="EE7" s="149">
        <f>Index!ED6</f>
        <v>2036</v>
      </c>
      <c r="EF7" s="149">
        <f>Index!EE6</f>
        <v>2037</v>
      </c>
      <c r="EG7" s="149">
        <f>Index!EF6</f>
        <v>2037</v>
      </c>
      <c r="EH7" s="149">
        <f>Index!EG6</f>
        <v>2037</v>
      </c>
      <c r="EI7" s="149">
        <f>Index!EH6</f>
        <v>2037</v>
      </c>
      <c r="EJ7" s="149">
        <f>Index!EI6</f>
        <v>2037</v>
      </c>
      <c r="EK7" s="149">
        <f>Index!EJ6</f>
        <v>2037</v>
      </c>
      <c r="EL7" s="149">
        <f>Index!EK6</f>
        <v>2037</v>
      </c>
      <c r="EM7" s="149">
        <f>Index!EL6</f>
        <v>2037</v>
      </c>
      <c r="EN7" s="149">
        <f>Index!EM6</f>
        <v>2037</v>
      </c>
      <c r="EO7" s="149">
        <f>Index!EN6</f>
        <v>2037</v>
      </c>
      <c r="EP7" s="149">
        <f>Index!EO6</f>
        <v>2037</v>
      </c>
      <c r="EQ7" s="149">
        <f>Index!EP6</f>
        <v>2037</v>
      </c>
      <c r="ER7" s="149">
        <f>Index!EQ6</f>
        <v>2038</v>
      </c>
      <c r="ES7" s="146"/>
      <c r="ET7" s="146"/>
      <c r="EU7" s="146"/>
      <c r="EV7" s="146"/>
    </row>
    <row r="8" spans="1:152" ht="11.25" customHeight="1">
      <c r="B8" s="189" t="s">
        <v>3</v>
      </c>
      <c r="C8" s="148"/>
      <c r="D8" s="148"/>
      <c r="E8" s="148"/>
      <c r="F8" s="148"/>
      <c r="G8" s="148"/>
      <c r="H8" s="148"/>
      <c r="I8" s="209"/>
      <c r="J8" s="190"/>
      <c r="K8" s="148"/>
      <c r="M8" s="149">
        <f>Index!L7</f>
        <v>10</v>
      </c>
      <c r="N8" s="149">
        <f>Index!M7</f>
        <v>11</v>
      </c>
      <c r="O8" s="149">
        <f>Index!N7</f>
        <v>12</v>
      </c>
      <c r="P8" s="149">
        <f>Index!O7</f>
        <v>1</v>
      </c>
      <c r="Q8" s="149">
        <f>Index!P7</f>
        <v>2</v>
      </c>
      <c r="R8" s="149">
        <f>Index!Q7</f>
        <v>3</v>
      </c>
      <c r="S8" s="149">
        <f>Index!R7</f>
        <v>4</v>
      </c>
      <c r="T8" s="149">
        <f>Index!S7</f>
        <v>5</v>
      </c>
      <c r="U8" s="149">
        <f>Index!T7</f>
        <v>6</v>
      </c>
      <c r="V8" s="149">
        <f>Index!U7</f>
        <v>7</v>
      </c>
      <c r="W8" s="149">
        <f>Index!V7</f>
        <v>8</v>
      </c>
      <c r="X8" s="149">
        <f>Index!W7</f>
        <v>9</v>
      </c>
      <c r="Y8" s="149">
        <f>Index!X7</f>
        <v>10</v>
      </c>
      <c r="Z8" s="149">
        <f>Index!Y7</f>
        <v>11</v>
      </c>
      <c r="AA8" s="149">
        <f>Index!Z7</f>
        <v>12</v>
      </c>
      <c r="AB8" s="149">
        <f>Index!AA7</f>
        <v>1</v>
      </c>
      <c r="AC8" s="149">
        <f>Index!AB7</f>
        <v>2</v>
      </c>
      <c r="AD8" s="149">
        <f>Index!AC7</f>
        <v>3</v>
      </c>
      <c r="AE8" s="149">
        <f>Index!AD7</f>
        <v>4</v>
      </c>
      <c r="AF8" s="149">
        <f>Index!AE7</f>
        <v>5</v>
      </c>
      <c r="AG8" s="149">
        <f>Index!AF7</f>
        <v>6</v>
      </c>
      <c r="AH8" s="149">
        <f>Index!AG7</f>
        <v>7</v>
      </c>
      <c r="AI8" s="149">
        <f>Index!AH7</f>
        <v>8</v>
      </c>
      <c r="AJ8" s="149">
        <f>Index!AI7</f>
        <v>9</v>
      </c>
      <c r="AK8" s="149">
        <f>Index!AJ7</f>
        <v>10</v>
      </c>
      <c r="AL8" s="149">
        <f>Index!AK7</f>
        <v>11</v>
      </c>
      <c r="AM8" s="149">
        <f>Index!AL7</f>
        <v>12</v>
      </c>
      <c r="AN8" s="149">
        <f>Index!AM7</f>
        <v>1</v>
      </c>
      <c r="AO8" s="149">
        <f>Index!AN7</f>
        <v>2</v>
      </c>
      <c r="AP8" s="149">
        <f>Index!AO7</f>
        <v>3</v>
      </c>
      <c r="AQ8" s="149">
        <f>Index!AP7</f>
        <v>4</v>
      </c>
      <c r="AR8" s="149">
        <f>Index!AQ7</f>
        <v>5</v>
      </c>
      <c r="AS8" s="149">
        <f>Index!AR7</f>
        <v>6</v>
      </c>
      <c r="AT8" s="149">
        <f>Index!AS7</f>
        <v>7</v>
      </c>
      <c r="AU8" s="149">
        <f>Index!AT7</f>
        <v>8</v>
      </c>
      <c r="AV8" s="149">
        <f>Index!AU7</f>
        <v>9</v>
      </c>
      <c r="AW8" s="149">
        <f>Index!AV7</f>
        <v>10</v>
      </c>
      <c r="AX8" s="149">
        <f>Index!AW7</f>
        <v>11</v>
      </c>
      <c r="AY8" s="149">
        <f>Index!AX7</f>
        <v>12</v>
      </c>
      <c r="AZ8" s="149">
        <f>Index!AY7</f>
        <v>1</v>
      </c>
      <c r="BA8" s="149">
        <f>Index!AZ7</f>
        <v>2</v>
      </c>
      <c r="BB8" s="149">
        <f>Index!BA7</f>
        <v>3</v>
      </c>
      <c r="BC8" s="149">
        <f>Index!BB7</f>
        <v>4</v>
      </c>
      <c r="BD8" s="149">
        <f>Index!BC7</f>
        <v>5</v>
      </c>
      <c r="BE8" s="149">
        <f>Index!BD7</f>
        <v>6</v>
      </c>
      <c r="BF8" s="149">
        <f>Index!BE7</f>
        <v>7</v>
      </c>
      <c r="BG8" s="149">
        <f>Index!BF7</f>
        <v>8</v>
      </c>
      <c r="BH8" s="149">
        <f>Index!BG7</f>
        <v>9</v>
      </c>
      <c r="BI8" s="149">
        <f>Index!BH7</f>
        <v>10</v>
      </c>
      <c r="BJ8" s="149">
        <f>Index!BI7</f>
        <v>11</v>
      </c>
      <c r="BK8" s="149">
        <f>Index!BJ7</f>
        <v>12</v>
      </c>
      <c r="BL8" s="149">
        <f>Index!BK7</f>
        <v>1</v>
      </c>
      <c r="BM8" s="149">
        <f>Index!BL7</f>
        <v>2</v>
      </c>
      <c r="BN8" s="149">
        <f>Index!BM7</f>
        <v>3</v>
      </c>
      <c r="BO8" s="149">
        <f>Index!BN7</f>
        <v>4</v>
      </c>
      <c r="BP8" s="149">
        <f>Index!BO7</f>
        <v>5</v>
      </c>
      <c r="BQ8" s="149">
        <f>Index!BP7</f>
        <v>6</v>
      </c>
      <c r="BR8" s="149">
        <f>Index!BQ7</f>
        <v>7</v>
      </c>
      <c r="BS8" s="149">
        <f>Index!BR7</f>
        <v>8</v>
      </c>
      <c r="BT8" s="149">
        <f>Index!BS7</f>
        <v>9</v>
      </c>
      <c r="BU8" s="149">
        <f>Index!BT7</f>
        <v>10</v>
      </c>
      <c r="BV8" s="149">
        <f>Index!BU7</f>
        <v>11</v>
      </c>
      <c r="BW8" s="149">
        <f>Index!BV7</f>
        <v>12</v>
      </c>
      <c r="BX8" s="149">
        <f>Index!BW7</f>
        <v>1</v>
      </c>
      <c r="BY8" s="149">
        <f>Index!BX7</f>
        <v>2</v>
      </c>
      <c r="BZ8" s="149">
        <f>Index!BY7</f>
        <v>3</v>
      </c>
      <c r="CA8" s="149">
        <f>Index!BZ7</f>
        <v>4</v>
      </c>
      <c r="CB8" s="149">
        <f>Index!CA7</f>
        <v>5</v>
      </c>
      <c r="CC8" s="149">
        <f>Index!CB7</f>
        <v>6</v>
      </c>
      <c r="CD8" s="149">
        <f>Index!CC7</f>
        <v>7</v>
      </c>
      <c r="CE8" s="149">
        <f>Index!CD7</f>
        <v>8</v>
      </c>
      <c r="CF8" s="149">
        <f>Index!CE7</f>
        <v>9</v>
      </c>
      <c r="CG8" s="149">
        <f>Index!CF7</f>
        <v>10</v>
      </c>
      <c r="CH8" s="149">
        <f>Index!CG7</f>
        <v>11</v>
      </c>
      <c r="CI8" s="149">
        <f>Index!CH7</f>
        <v>12</v>
      </c>
      <c r="CJ8" s="149">
        <f>Index!CI7</f>
        <v>1</v>
      </c>
      <c r="CK8" s="149">
        <f>Index!CJ7</f>
        <v>2</v>
      </c>
      <c r="CL8" s="149">
        <f>Index!CK7</f>
        <v>3</v>
      </c>
      <c r="CM8" s="149">
        <f>Index!CL7</f>
        <v>4</v>
      </c>
      <c r="CN8" s="149">
        <f>Index!CM7</f>
        <v>5</v>
      </c>
      <c r="CO8" s="149">
        <f>Index!CN7</f>
        <v>6</v>
      </c>
      <c r="CP8" s="149">
        <f>Index!CO7</f>
        <v>7</v>
      </c>
      <c r="CQ8" s="149">
        <f>Index!CP7</f>
        <v>8</v>
      </c>
      <c r="CR8" s="149">
        <f>Index!CQ7</f>
        <v>9</v>
      </c>
      <c r="CS8" s="149">
        <f>Index!CR7</f>
        <v>10</v>
      </c>
      <c r="CT8" s="149">
        <f>Index!CS7</f>
        <v>11</v>
      </c>
      <c r="CU8" s="149">
        <f>Index!CT7</f>
        <v>12</v>
      </c>
      <c r="CV8" s="149">
        <f>Index!CU7</f>
        <v>1</v>
      </c>
      <c r="CW8" s="149">
        <f>Index!CV7</f>
        <v>2</v>
      </c>
      <c r="CX8" s="149">
        <f>Index!CW7</f>
        <v>3</v>
      </c>
      <c r="CY8" s="149">
        <f>Index!CX7</f>
        <v>4</v>
      </c>
      <c r="CZ8" s="149">
        <f>Index!CY7</f>
        <v>5</v>
      </c>
      <c r="DA8" s="149">
        <f>Index!CZ7</f>
        <v>6</v>
      </c>
      <c r="DB8" s="149">
        <f>Index!DA7</f>
        <v>7</v>
      </c>
      <c r="DC8" s="149">
        <f>Index!DB7</f>
        <v>8</v>
      </c>
      <c r="DD8" s="149">
        <f>Index!DC7</f>
        <v>9</v>
      </c>
      <c r="DE8" s="149">
        <f>Index!DD7</f>
        <v>10</v>
      </c>
      <c r="DF8" s="149">
        <f>Index!DE7</f>
        <v>11</v>
      </c>
      <c r="DG8" s="149">
        <f>Index!DF7</f>
        <v>12</v>
      </c>
      <c r="DH8" s="149">
        <f>Index!DG7</f>
        <v>1</v>
      </c>
      <c r="DI8" s="149">
        <f>Index!DH7</f>
        <v>2</v>
      </c>
      <c r="DJ8" s="149">
        <f>Index!DI7</f>
        <v>3</v>
      </c>
      <c r="DK8" s="149">
        <f>Index!DJ7</f>
        <v>4</v>
      </c>
      <c r="DL8" s="149">
        <f>Index!DK7</f>
        <v>5</v>
      </c>
      <c r="DM8" s="149">
        <f>Index!DL7</f>
        <v>6</v>
      </c>
      <c r="DN8" s="149">
        <f>Index!DM7</f>
        <v>7</v>
      </c>
      <c r="DO8" s="149">
        <f>Index!DN7</f>
        <v>8</v>
      </c>
      <c r="DP8" s="149">
        <f>Index!DO7</f>
        <v>9</v>
      </c>
      <c r="DQ8" s="149">
        <f>Index!DP7</f>
        <v>10</v>
      </c>
      <c r="DR8" s="149">
        <f>Index!DQ7</f>
        <v>11</v>
      </c>
      <c r="DS8" s="149">
        <f>Index!DR7</f>
        <v>12</v>
      </c>
      <c r="DT8" s="149">
        <f>Index!DS7</f>
        <v>1</v>
      </c>
      <c r="DU8" s="149">
        <f>Index!DT7</f>
        <v>2</v>
      </c>
      <c r="DV8" s="149">
        <f>Index!DU7</f>
        <v>3</v>
      </c>
      <c r="DW8" s="149">
        <f>Index!DV7</f>
        <v>4</v>
      </c>
      <c r="DX8" s="149">
        <f>Index!DW7</f>
        <v>5</v>
      </c>
      <c r="DY8" s="149">
        <f>Index!DX7</f>
        <v>6</v>
      </c>
      <c r="DZ8" s="149">
        <f>Index!DY7</f>
        <v>7</v>
      </c>
      <c r="EA8" s="149">
        <f>Index!DZ7</f>
        <v>8</v>
      </c>
      <c r="EB8" s="149">
        <f>Index!EA7</f>
        <v>9</v>
      </c>
      <c r="EC8" s="149">
        <f>Index!EB7</f>
        <v>10</v>
      </c>
      <c r="ED8" s="149">
        <f>Index!EC7</f>
        <v>11</v>
      </c>
      <c r="EE8" s="149">
        <f>Index!ED7</f>
        <v>12</v>
      </c>
      <c r="EF8" s="149">
        <f>Index!EE7</f>
        <v>1</v>
      </c>
      <c r="EG8" s="149">
        <f>Index!EF7</f>
        <v>2</v>
      </c>
      <c r="EH8" s="149">
        <f>Index!EG7</f>
        <v>3</v>
      </c>
      <c r="EI8" s="149">
        <f>Index!EH7</f>
        <v>4</v>
      </c>
      <c r="EJ8" s="149">
        <f>Index!EI7</f>
        <v>5</v>
      </c>
      <c r="EK8" s="149">
        <f>Index!EJ7</f>
        <v>6</v>
      </c>
      <c r="EL8" s="149">
        <f>Index!EK7</f>
        <v>7</v>
      </c>
      <c r="EM8" s="149">
        <f>Index!EL7</f>
        <v>8</v>
      </c>
      <c r="EN8" s="149">
        <f>Index!EM7</f>
        <v>9</v>
      </c>
      <c r="EO8" s="149">
        <f>Index!EN7</f>
        <v>10</v>
      </c>
      <c r="EP8" s="149">
        <f>Index!EO7</f>
        <v>11</v>
      </c>
      <c r="EQ8" s="149">
        <f>Index!EP7</f>
        <v>12</v>
      </c>
      <c r="ER8" s="149">
        <f>Index!EQ7</f>
        <v>1</v>
      </c>
      <c r="ES8" s="146"/>
      <c r="ET8" s="146"/>
      <c r="EU8" s="146"/>
      <c r="EV8" s="146"/>
    </row>
    <row r="9" spans="1:152" ht="11.25" customHeight="1">
      <c r="B9" s="189" t="s">
        <v>153</v>
      </c>
      <c r="C9" s="148"/>
      <c r="D9" s="148"/>
      <c r="E9" s="148"/>
      <c r="F9" s="148"/>
      <c r="G9" s="148"/>
      <c r="H9" s="148"/>
      <c r="I9" s="209"/>
      <c r="J9" s="190"/>
      <c r="K9" s="148"/>
      <c r="M9" s="150">
        <f>Index!L8</f>
        <v>0</v>
      </c>
      <c r="N9" s="150">
        <f>Index!M8</f>
        <v>1</v>
      </c>
      <c r="O9" s="150">
        <f>Index!N8</f>
        <v>2</v>
      </c>
      <c r="P9" s="150">
        <f>Index!O8</f>
        <v>3</v>
      </c>
      <c r="Q9" s="150">
        <f>Index!P8</f>
        <v>4</v>
      </c>
      <c r="R9" s="150">
        <f>Index!Q8</f>
        <v>5</v>
      </c>
      <c r="S9" s="150">
        <f>Index!R8</f>
        <v>6</v>
      </c>
      <c r="T9" s="150">
        <f>Index!S8</f>
        <v>7</v>
      </c>
      <c r="U9" s="150">
        <f>Index!T8</f>
        <v>8</v>
      </c>
      <c r="V9" s="150">
        <f>Index!U8</f>
        <v>9</v>
      </c>
      <c r="W9" s="150">
        <f>Index!V8</f>
        <v>10</v>
      </c>
      <c r="X9" s="150">
        <f>Index!W8</f>
        <v>11</v>
      </c>
      <c r="Y9" s="150">
        <f>Index!X8</f>
        <v>12</v>
      </c>
      <c r="Z9" s="150">
        <f>Index!Y8</f>
        <v>13</v>
      </c>
      <c r="AA9" s="150">
        <f>Index!Z8</f>
        <v>14</v>
      </c>
      <c r="AB9" s="150">
        <f>Index!AA8</f>
        <v>15</v>
      </c>
      <c r="AC9" s="150">
        <f>Index!AB8</f>
        <v>16</v>
      </c>
      <c r="AD9" s="150">
        <f>Index!AC8</f>
        <v>17</v>
      </c>
      <c r="AE9" s="150">
        <f>Index!AD8</f>
        <v>18</v>
      </c>
      <c r="AF9" s="150">
        <f>Index!AE8</f>
        <v>19</v>
      </c>
      <c r="AG9" s="150">
        <f>Index!AF8</f>
        <v>20</v>
      </c>
      <c r="AH9" s="150">
        <f>Index!AG8</f>
        <v>21</v>
      </c>
      <c r="AI9" s="150">
        <f>Index!AH8</f>
        <v>22</v>
      </c>
      <c r="AJ9" s="150">
        <f>Index!AI8</f>
        <v>23</v>
      </c>
      <c r="AK9" s="150">
        <f>Index!AJ8</f>
        <v>24</v>
      </c>
      <c r="AL9" s="150">
        <f>Index!AK8</f>
        <v>25</v>
      </c>
      <c r="AM9" s="150">
        <f>Index!AL8</f>
        <v>26</v>
      </c>
      <c r="AN9" s="150">
        <f>Index!AM8</f>
        <v>27</v>
      </c>
      <c r="AO9" s="150">
        <f>Index!AN8</f>
        <v>28</v>
      </c>
      <c r="AP9" s="150">
        <f>Index!AO8</f>
        <v>29</v>
      </c>
      <c r="AQ9" s="150">
        <f>Index!AP8</f>
        <v>30</v>
      </c>
      <c r="AR9" s="150">
        <f>Index!AQ8</f>
        <v>31</v>
      </c>
      <c r="AS9" s="150">
        <f>Index!AR8</f>
        <v>32</v>
      </c>
      <c r="AT9" s="150">
        <f>Index!AS8</f>
        <v>33</v>
      </c>
      <c r="AU9" s="150">
        <f>Index!AT8</f>
        <v>34</v>
      </c>
      <c r="AV9" s="150">
        <f>Index!AU8</f>
        <v>35</v>
      </c>
      <c r="AW9" s="150">
        <f>Index!AV8</f>
        <v>36</v>
      </c>
      <c r="AX9" s="150">
        <f>Index!AW8</f>
        <v>37</v>
      </c>
      <c r="AY9" s="150">
        <f>Index!AX8</f>
        <v>38</v>
      </c>
      <c r="AZ9" s="150">
        <f>Index!AY8</f>
        <v>39</v>
      </c>
      <c r="BA9" s="150">
        <f>Index!AZ8</f>
        <v>40</v>
      </c>
      <c r="BB9" s="150">
        <f>Index!BA8</f>
        <v>41</v>
      </c>
      <c r="BC9" s="150">
        <f>Index!BB8</f>
        <v>42</v>
      </c>
      <c r="BD9" s="150">
        <f>Index!BC8</f>
        <v>43</v>
      </c>
      <c r="BE9" s="150">
        <f>Index!BD8</f>
        <v>44</v>
      </c>
      <c r="BF9" s="150">
        <f>Index!BE8</f>
        <v>45</v>
      </c>
      <c r="BG9" s="150">
        <f>Index!BF8</f>
        <v>46</v>
      </c>
      <c r="BH9" s="150">
        <f>Index!BG8</f>
        <v>47</v>
      </c>
      <c r="BI9" s="150">
        <f>Index!BH8</f>
        <v>48</v>
      </c>
      <c r="BJ9" s="150">
        <f>Index!BI8</f>
        <v>49</v>
      </c>
      <c r="BK9" s="150">
        <f>Index!BJ8</f>
        <v>50</v>
      </c>
      <c r="BL9" s="150">
        <f>Index!BK8</f>
        <v>51</v>
      </c>
      <c r="BM9" s="150">
        <f>Index!BL8</f>
        <v>52</v>
      </c>
      <c r="BN9" s="150">
        <f>Index!BM8</f>
        <v>53</v>
      </c>
      <c r="BO9" s="150">
        <f>Index!BN8</f>
        <v>54</v>
      </c>
      <c r="BP9" s="150">
        <f>Index!BO8</f>
        <v>55</v>
      </c>
      <c r="BQ9" s="150">
        <f>Index!BP8</f>
        <v>56</v>
      </c>
      <c r="BR9" s="150">
        <f>Index!BQ8</f>
        <v>57</v>
      </c>
      <c r="BS9" s="150">
        <f>Index!BR8</f>
        <v>58</v>
      </c>
      <c r="BT9" s="150">
        <f>Index!BS8</f>
        <v>59</v>
      </c>
      <c r="BU9" s="150">
        <f>Index!BT8</f>
        <v>60</v>
      </c>
      <c r="BV9" s="150">
        <f>Index!BU8</f>
        <v>61</v>
      </c>
      <c r="BW9" s="150">
        <f>Index!BV8</f>
        <v>62</v>
      </c>
      <c r="BX9" s="150">
        <f>Index!BW8</f>
        <v>63</v>
      </c>
      <c r="BY9" s="150">
        <f>Index!BX8</f>
        <v>64</v>
      </c>
      <c r="BZ9" s="150">
        <f>Index!BY8</f>
        <v>65</v>
      </c>
      <c r="CA9" s="150">
        <f>Index!BZ8</f>
        <v>66</v>
      </c>
      <c r="CB9" s="150">
        <f>Index!CA8</f>
        <v>67</v>
      </c>
      <c r="CC9" s="150">
        <f>Index!CB8</f>
        <v>68</v>
      </c>
      <c r="CD9" s="150">
        <f>Index!CC8</f>
        <v>69</v>
      </c>
      <c r="CE9" s="150">
        <f>Index!CD8</f>
        <v>70</v>
      </c>
      <c r="CF9" s="150">
        <f>Index!CE8</f>
        <v>71</v>
      </c>
      <c r="CG9" s="150">
        <f>Index!CF8</f>
        <v>72</v>
      </c>
      <c r="CH9" s="150">
        <f>Index!CG8</f>
        <v>73</v>
      </c>
      <c r="CI9" s="150">
        <f>Index!CH8</f>
        <v>74</v>
      </c>
      <c r="CJ9" s="150">
        <f>Index!CI8</f>
        <v>75</v>
      </c>
      <c r="CK9" s="150">
        <f>Index!CJ8</f>
        <v>76</v>
      </c>
      <c r="CL9" s="150">
        <f>Index!CK8</f>
        <v>77</v>
      </c>
      <c r="CM9" s="150">
        <f>Index!CL8</f>
        <v>78</v>
      </c>
      <c r="CN9" s="150">
        <f>Index!CM8</f>
        <v>79</v>
      </c>
      <c r="CO9" s="150">
        <f>Index!CN8</f>
        <v>80</v>
      </c>
      <c r="CP9" s="150">
        <f>Index!CO8</f>
        <v>81</v>
      </c>
      <c r="CQ9" s="150">
        <f>Index!CP8</f>
        <v>82</v>
      </c>
      <c r="CR9" s="150">
        <f>Index!CQ8</f>
        <v>83</v>
      </c>
      <c r="CS9" s="150">
        <f>Index!CR8</f>
        <v>84</v>
      </c>
      <c r="CT9" s="150">
        <f>Index!CS8</f>
        <v>85</v>
      </c>
      <c r="CU9" s="150">
        <f>Index!CT8</f>
        <v>86</v>
      </c>
      <c r="CV9" s="150">
        <f>Index!CU8</f>
        <v>87</v>
      </c>
      <c r="CW9" s="150">
        <f>Index!CV8</f>
        <v>88</v>
      </c>
      <c r="CX9" s="150">
        <f>Index!CW8</f>
        <v>89</v>
      </c>
      <c r="CY9" s="150">
        <f>Index!CX8</f>
        <v>90</v>
      </c>
      <c r="CZ9" s="150">
        <f>Index!CY8</f>
        <v>91</v>
      </c>
      <c r="DA9" s="150">
        <f>Index!CZ8</f>
        <v>92</v>
      </c>
      <c r="DB9" s="150">
        <f>Index!DA8</f>
        <v>93</v>
      </c>
      <c r="DC9" s="150">
        <f>Index!DB8</f>
        <v>94</v>
      </c>
      <c r="DD9" s="150">
        <f>Index!DC8</f>
        <v>95</v>
      </c>
      <c r="DE9" s="150">
        <f>Index!DD8</f>
        <v>96</v>
      </c>
      <c r="DF9" s="150">
        <f>Index!DE8</f>
        <v>97</v>
      </c>
      <c r="DG9" s="150">
        <f>Index!DF8</f>
        <v>98</v>
      </c>
      <c r="DH9" s="150">
        <f>Index!DG8</f>
        <v>99</v>
      </c>
      <c r="DI9" s="150">
        <f>Index!DH8</f>
        <v>100</v>
      </c>
      <c r="DJ9" s="150">
        <f>Index!DI8</f>
        <v>101</v>
      </c>
      <c r="DK9" s="150">
        <f>Index!DJ8</f>
        <v>102</v>
      </c>
      <c r="DL9" s="150">
        <f>Index!DK8</f>
        <v>103</v>
      </c>
      <c r="DM9" s="150">
        <f>Index!DL8</f>
        <v>104</v>
      </c>
      <c r="DN9" s="150">
        <f>Index!DM8</f>
        <v>105</v>
      </c>
      <c r="DO9" s="150">
        <f>Index!DN8</f>
        <v>106</v>
      </c>
      <c r="DP9" s="150">
        <f>Index!DO8</f>
        <v>107</v>
      </c>
      <c r="DQ9" s="150">
        <f>Index!DP8</f>
        <v>108</v>
      </c>
      <c r="DR9" s="150">
        <f>Index!DQ8</f>
        <v>109</v>
      </c>
      <c r="DS9" s="150">
        <f>Index!DR8</f>
        <v>110</v>
      </c>
      <c r="DT9" s="150">
        <f>Index!DS8</f>
        <v>111</v>
      </c>
      <c r="DU9" s="150">
        <f>Index!DT8</f>
        <v>112</v>
      </c>
      <c r="DV9" s="150">
        <f>Index!DU8</f>
        <v>113</v>
      </c>
      <c r="DW9" s="150">
        <f>Index!DV8</f>
        <v>114</v>
      </c>
      <c r="DX9" s="150">
        <f>Index!DW8</f>
        <v>115</v>
      </c>
      <c r="DY9" s="150">
        <f>Index!DX8</f>
        <v>116</v>
      </c>
      <c r="DZ9" s="150">
        <f>Index!DY8</f>
        <v>117</v>
      </c>
      <c r="EA9" s="150">
        <f>Index!DZ8</f>
        <v>118</v>
      </c>
      <c r="EB9" s="150">
        <f>Index!EA8</f>
        <v>119</v>
      </c>
      <c r="EC9" s="150">
        <f>Index!EB8</f>
        <v>120</v>
      </c>
      <c r="ED9" s="150">
        <f>Index!EC8</f>
        <v>121</v>
      </c>
      <c r="EE9" s="150">
        <f>Index!ED8</f>
        <v>122</v>
      </c>
      <c r="EF9" s="150">
        <f>Index!EE8</f>
        <v>123</v>
      </c>
      <c r="EG9" s="150">
        <f>Index!EF8</f>
        <v>124</v>
      </c>
      <c r="EH9" s="150">
        <f>Index!EG8</f>
        <v>125</v>
      </c>
      <c r="EI9" s="150">
        <f>Index!EH8</f>
        <v>126</v>
      </c>
      <c r="EJ9" s="150">
        <f>Index!EI8</f>
        <v>127</v>
      </c>
      <c r="EK9" s="150">
        <f>Index!EJ8</f>
        <v>128</v>
      </c>
      <c r="EL9" s="150">
        <f>Index!EK8</f>
        <v>129</v>
      </c>
      <c r="EM9" s="150">
        <f>Index!EL8</f>
        <v>130</v>
      </c>
      <c r="EN9" s="150">
        <f>Index!EM8</f>
        <v>131</v>
      </c>
      <c r="EO9" s="150">
        <f>Index!EN8</f>
        <v>132</v>
      </c>
      <c r="EP9" s="150">
        <f>Index!EO8</f>
        <v>133</v>
      </c>
      <c r="EQ9" s="150">
        <f>Index!EP8</f>
        <v>134</v>
      </c>
      <c r="ER9" s="150">
        <f>Index!EQ8</f>
        <v>135</v>
      </c>
    </row>
    <row r="10" spans="1:152" ht="11.25" customHeight="1">
      <c r="B10" s="189" t="s">
        <v>154</v>
      </c>
      <c r="C10" s="148"/>
      <c r="D10" s="148"/>
      <c r="E10" s="148"/>
      <c r="F10" s="148"/>
      <c r="G10" s="148"/>
      <c r="H10" s="148"/>
      <c r="I10" s="209"/>
      <c r="J10" s="190"/>
      <c r="K10" s="148"/>
      <c r="M10" s="151">
        <f>Index!L9</f>
        <v>0</v>
      </c>
      <c r="N10" s="151">
        <f>Index!M9</f>
        <v>1</v>
      </c>
      <c r="O10" s="151">
        <f>Index!N9</f>
        <v>1</v>
      </c>
      <c r="P10" s="151">
        <f>Index!O9</f>
        <v>1</v>
      </c>
      <c r="Q10" s="151">
        <f>Index!P9</f>
        <v>2</v>
      </c>
      <c r="R10" s="151">
        <f>Index!Q9</f>
        <v>2</v>
      </c>
      <c r="S10" s="151">
        <f>Index!R9</f>
        <v>2</v>
      </c>
      <c r="T10" s="151">
        <f>Index!S9</f>
        <v>3</v>
      </c>
      <c r="U10" s="151">
        <f>Index!T9</f>
        <v>3</v>
      </c>
      <c r="V10" s="151">
        <f>Index!U9</f>
        <v>3</v>
      </c>
      <c r="W10" s="151">
        <f>Index!V9</f>
        <v>4</v>
      </c>
      <c r="X10" s="151">
        <f>Index!W9</f>
        <v>4</v>
      </c>
      <c r="Y10" s="151">
        <f>Index!X9</f>
        <v>4</v>
      </c>
      <c r="Z10" s="151">
        <f>Index!Y9</f>
        <v>5</v>
      </c>
      <c r="AA10" s="151">
        <f>Index!Z9</f>
        <v>5</v>
      </c>
      <c r="AB10" s="151">
        <f>Index!AA9</f>
        <v>5</v>
      </c>
      <c r="AC10" s="151">
        <f>Index!AB9</f>
        <v>6</v>
      </c>
      <c r="AD10" s="151">
        <f>Index!AC9</f>
        <v>6</v>
      </c>
      <c r="AE10" s="151">
        <f>Index!AD9</f>
        <v>6</v>
      </c>
      <c r="AF10" s="151">
        <f>Index!AE9</f>
        <v>7</v>
      </c>
      <c r="AG10" s="151">
        <f>Index!AF9</f>
        <v>7</v>
      </c>
      <c r="AH10" s="151">
        <f>Index!AG9</f>
        <v>7</v>
      </c>
      <c r="AI10" s="151">
        <f>Index!AH9</f>
        <v>8</v>
      </c>
      <c r="AJ10" s="151">
        <f>Index!AI9</f>
        <v>8</v>
      </c>
      <c r="AK10" s="151">
        <f>Index!AJ9</f>
        <v>8</v>
      </c>
      <c r="AL10" s="151">
        <f>Index!AK9</f>
        <v>9</v>
      </c>
      <c r="AM10" s="151">
        <f>Index!AL9</f>
        <v>9</v>
      </c>
      <c r="AN10" s="151">
        <f>Index!AM9</f>
        <v>9</v>
      </c>
      <c r="AO10" s="151">
        <f>Index!AN9</f>
        <v>10</v>
      </c>
      <c r="AP10" s="151">
        <f>Index!AO9</f>
        <v>10</v>
      </c>
      <c r="AQ10" s="151">
        <f>Index!AP9</f>
        <v>10</v>
      </c>
      <c r="AR10" s="151">
        <f>Index!AQ9</f>
        <v>11</v>
      </c>
      <c r="AS10" s="151">
        <f>Index!AR9</f>
        <v>11</v>
      </c>
      <c r="AT10" s="151">
        <f>Index!AS9</f>
        <v>11</v>
      </c>
      <c r="AU10" s="151">
        <f>Index!AT9</f>
        <v>12</v>
      </c>
      <c r="AV10" s="151">
        <f>Index!AU9</f>
        <v>12</v>
      </c>
      <c r="AW10" s="151">
        <f>Index!AV9</f>
        <v>12</v>
      </c>
      <c r="AX10" s="151">
        <f>Index!AW9</f>
        <v>13</v>
      </c>
      <c r="AY10" s="151">
        <f>Index!AX9</f>
        <v>13</v>
      </c>
      <c r="AZ10" s="151">
        <f>Index!AY9</f>
        <v>13</v>
      </c>
      <c r="BA10" s="151">
        <f>Index!AZ9</f>
        <v>14</v>
      </c>
      <c r="BB10" s="151">
        <f>Index!BA9</f>
        <v>14</v>
      </c>
      <c r="BC10" s="151">
        <f>Index!BB9</f>
        <v>14</v>
      </c>
      <c r="BD10" s="151">
        <f>Index!BC9</f>
        <v>15</v>
      </c>
      <c r="BE10" s="151">
        <f>Index!BD9</f>
        <v>15</v>
      </c>
      <c r="BF10" s="151">
        <f>Index!BE9</f>
        <v>15</v>
      </c>
      <c r="BG10" s="151">
        <f>Index!BF9</f>
        <v>16</v>
      </c>
      <c r="BH10" s="151">
        <f>Index!BG9</f>
        <v>16</v>
      </c>
      <c r="BI10" s="151">
        <f>Index!BH9</f>
        <v>16</v>
      </c>
      <c r="BJ10" s="151">
        <f>Index!BI9</f>
        <v>17</v>
      </c>
      <c r="BK10" s="151">
        <f>Index!BJ9</f>
        <v>17</v>
      </c>
      <c r="BL10" s="151">
        <f>Index!BK9</f>
        <v>17</v>
      </c>
      <c r="BM10" s="151">
        <f>Index!BL9</f>
        <v>18</v>
      </c>
      <c r="BN10" s="151">
        <f>Index!BM9</f>
        <v>18</v>
      </c>
      <c r="BO10" s="151">
        <f>Index!BN9</f>
        <v>18</v>
      </c>
      <c r="BP10" s="151">
        <f>Index!BO9</f>
        <v>19</v>
      </c>
      <c r="BQ10" s="151">
        <f>Index!BP9</f>
        <v>19</v>
      </c>
      <c r="BR10" s="151">
        <f>Index!BQ9</f>
        <v>19</v>
      </c>
      <c r="BS10" s="151">
        <f>Index!BR9</f>
        <v>20</v>
      </c>
      <c r="BT10" s="151">
        <f>Index!BS9</f>
        <v>20</v>
      </c>
      <c r="BU10" s="151">
        <f>Index!BT9</f>
        <v>20</v>
      </c>
      <c r="BV10" s="151">
        <f>Index!BU9</f>
        <v>21</v>
      </c>
      <c r="BW10" s="151">
        <f>Index!BV9</f>
        <v>21</v>
      </c>
      <c r="BX10" s="151">
        <f>Index!BW9</f>
        <v>21</v>
      </c>
      <c r="BY10" s="151">
        <f>Index!BX9</f>
        <v>22</v>
      </c>
      <c r="BZ10" s="151">
        <f>Index!BY9</f>
        <v>22</v>
      </c>
      <c r="CA10" s="151">
        <f>Index!BZ9</f>
        <v>22</v>
      </c>
      <c r="CB10" s="151">
        <f>Index!CA9</f>
        <v>23</v>
      </c>
      <c r="CC10" s="151">
        <f>Index!CB9</f>
        <v>23</v>
      </c>
      <c r="CD10" s="151">
        <f>Index!CC9</f>
        <v>23</v>
      </c>
      <c r="CE10" s="151">
        <f>Index!CD9</f>
        <v>24</v>
      </c>
      <c r="CF10" s="151">
        <f>Index!CE9</f>
        <v>24</v>
      </c>
      <c r="CG10" s="151">
        <f>Index!CF9</f>
        <v>24</v>
      </c>
      <c r="CH10" s="151">
        <f>Index!CG9</f>
        <v>25</v>
      </c>
      <c r="CI10" s="151">
        <f>Index!CH9</f>
        <v>25</v>
      </c>
      <c r="CJ10" s="151">
        <f>Index!CI9</f>
        <v>25</v>
      </c>
      <c r="CK10" s="151">
        <f>Index!CJ9</f>
        <v>26</v>
      </c>
      <c r="CL10" s="151">
        <f>Index!CK9</f>
        <v>26</v>
      </c>
      <c r="CM10" s="151">
        <f>Index!CL9</f>
        <v>26</v>
      </c>
      <c r="CN10" s="151">
        <f>Index!CM9</f>
        <v>27</v>
      </c>
      <c r="CO10" s="151">
        <f>Index!CN9</f>
        <v>27</v>
      </c>
      <c r="CP10" s="151">
        <f>Index!CO9</f>
        <v>27</v>
      </c>
      <c r="CQ10" s="151">
        <f>Index!CP9</f>
        <v>28</v>
      </c>
      <c r="CR10" s="151">
        <f>Index!CQ9</f>
        <v>28</v>
      </c>
      <c r="CS10" s="151">
        <f>Index!CR9</f>
        <v>28</v>
      </c>
      <c r="CT10" s="151">
        <f>Index!CS9</f>
        <v>29</v>
      </c>
      <c r="CU10" s="151">
        <f>Index!CT9</f>
        <v>29</v>
      </c>
      <c r="CV10" s="151">
        <f>Index!CU9</f>
        <v>29</v>
      </c>
      <c r="CW10" s="151">
        <f>Index!CV9</f>
        <v>30</v>
      </c>
      <c r="CX10" s="151">
        <f>Index!CW9</f>
        <v>30</v>
      </c>
      <c r="CY10" s="151">
        <f>Index!CX9</f>
        <v>30</v>
      </c>
      <c r="CZ10" s="151">
        <f>Index!CY9</f>
        <v>31</v>
      </c>
      <c r="DA10" s="151">
        <f>Index!CZ9</f>
        <v>31</v>
      </c>
      <c r="DB10" s="151">
        <f>Index!DA9</f>
        <v>31</v>
      </c>
      <c r="DC10" s="151">
        <f>Index!DB9</f>
        <v>32</v>
      </c>
      <c r="DD10" s="151">
        <f>Index!DC9</f>
        <v>32</v>
      </c>
      <c r="DE10" s="151">
        <f>Index!DD9</f>
        <v>32</v>
      </c>
      <c r="DF10" s="151">
        <f>Index!DE9</f>
        <v>33</v>
      </c>
      <c r="DG10" s="151">
        <f>Index!DF9</f>
        <v>33</v>
      </c>
      <c r="DH10" s="151">
        <f>Index!DG9</f>
        <v>33</v>
      </c>
      <c r="DI10" s="151">
        <f>Index!DH9</f>
        <v>34</v>
      </c>
      <c r="DJ10" s="151">
        <f>Index!DI9</f>
        <v>34</v>
      </c>
      <c r="DK10" s="151">
        <f>Index!DJ9</f>
        <v>34</v>
      </c>
      <c r="DL10" s="151">
        <f>Index!DK9</f>
        <v>35</v>
      </c>
      <c r="DM10" s="151">
        <f>Index!DL9</f>
        <v>35</v>
      </c>
      <c r="DN10" s="151">
        <f>Index!DM9</f>
        <v>35</v>
      </c>
      <c r="DO10" s="151">
        <f>Index!DN9</f>
        <v>36</v>
      </c>
      <c r="DP10" s="151">
        <f>Index!DO9</f>
        <v>36</v>
      </c>
      <c r="DQ10" s="151">
        <f>Index!DP9</f>
        <v>36</v>
      </c>
      <c r="DR10" s="151">
        <f>Index!DQ9</f>
        <v>37</v>
      </c>
      <c r="DS10" s="151">
        <f>Index!DR9</f>
        <v>37</v>
      </c>
      <c r="DT10" s="151">
        <f>Index!DS9</f>
        <v>37</v>
      </c>
      <c r="DU10" s="151">
        <f>Index!DT9</f>
        <v>38</v>
      </c>
      <c r="DV10" s="151">
        <f>Index!DU9</f>
        <v>38</v>
      </c>
      <c r="DW10" s="151">
        <f>Index!DV9</f>
        <v>38</v>
      </c>
      <c r="DX10" s="151">
        <f>Index!DW9</f>
        <v>39</v>
      </c>
      <c r="DY10" s="151">
        <f>Index!DX9</f>
        <v>39</v>
      </c>
      <c r="DZ10" s="151">
        <f>Index!DY9</f>
        <v>39</v>
      </c>
      <c r="EA10" s="151">
        <f>Index!DZ9</f>
        <v>40</v>
      </c>
      <c r="EB10" s="151">
        <f>Index!EA9</f>
        <v>40</v>
      </c>
      <c r="EC10" s="151">
        <f>Index!EB9</f>
        <v>40</v>
      </c>
      <c r="ED10" s="151">
        <f>Index!EC9</f>
        <v>41</v>
      </c>
      <c r="EE10" s="151">
        <f>Index!ED9</f>
        <v>41</v>
      </c>
      <c r="EF10" s="151">
        <f>Index!EE9</f>
        <v>41</v>
      </c>
      <c r="EG10" s="151">
        <f>Index!EF9</f>
        <v>42</v>
      </c>
      <c r="EH10" s="151">
        <f>Index!EG9</f>
        <v>42</v>
      </c>
      <c r="EI10" s="151">
        <f>Index!EH9</f>
        <v>42</v>
      </c>
      <c r="EJ10" s="151">
        <f>Index!EI9</f>
        <v>43</v>
      </c>
      <c r="EK10" s="151">
        <f>Index!EJ9</f>
        <v>43</v>
      </c>
      <c r="EL10" s="151">
        <f>Index!EK9</f>
        <v>43</v>
      </c>
      <c r="EM10" s="151">
        <f>Index!EL9</f>
        <v>44</v>
      </c>
      <c r="EN10" s="151">
        <f>Index!EM9</f>
        <v>44</v>
      </c>
      <c r="EO10" s="151">
        <f>Index!EN9</f>
        <v>44</v>
      </c>
      <c r="EP10" s="151">
        <f>Index!EO9</f>
        <v>45</v>
      </c>
      <c r="EQ10" s="151">
        <f>Index!EP9</f>
        <v>45</v>
      </c>
      <c r="ER10" s="151">
        <f>Index!EQ9</f>
        <v>45</v>
      </c>
    </row>
    <row r="11" spans="1:152" ht="11.25" customHeight="1">
      <c r="B11" s="189" t="s">
        <v>155</v>
      </c>
      <c r="C11" s="148"/>
      <c r="D11" s="148"/>
      <c r="E11" s="148"/>
      <c r="F11" s="148"/>
      <c r="G11" s="148"/>
      <c r="H11" s="148"/>
      <c r="I11" s="209"/>
      <c r="J11" s="190"/>
      <c r="K11" s="148"/>
      <c r="M11" s="152">
        <f>Index!L10</f>
        <v>0</v>
      </c>
      <c r="N11" s="152">
        <f>Index!M10</f>
        <v>1</v>
      </c>
      <c r="O11" s="152">
        <f>Index!N10</f>
        <v>1</v>
      </c>
      <c r="P11" s="152">
        <f>Index!O10</f>
        <v>1</v>
      </c>
      <c r="Q11" s="152">
        <f>Index!P10</f>
        <v>1</v>
      </c>
      <c r="R11" s="152">
        <f>Index!Q10</f>
        <v>1</v>
      </c>
      <c r="S11" s="152">
        <f>Index!R10</f>
        <v>1</v>
      </c>
      <c r="T11" s="152">
        <f>Index!S10</f>
        <v>2</v>
      </c>
      <c r="U11" s="152">
        <f>Index!T10</f>
        <v>2</v>
      </c>
      <c r="V11" s="152">
        <f>Index!U10</f>
        <v>2</v>
      </c>
      <c r="W11" s="152">
        <f>Index!V10</f>
        <v>2</v>
      </c>
      <c r="X11" s="152">
        <f>Index!W10</f>
        <v>2</v>
      </c>
      <c r="Y11" s="152">
        <f>Index!X10</f>
        <v>2</v>
      </c>
      <c r="Z11" s="152">
        <f>Index!Y10</f>
        <v>3</v>
      </c>
      <c r="AA11" s="152">
        <f>Index!Z10</f>
        <v>3</v>
      </c>
      <c r="AB11" s="152">
        <f>Index!AA10</f>
        <v>3</v>
      </c>
      <c r="AC11" s="152">
        <f>Index!AB10</f>
        <v>3</v>
      </c>
      <c r="AD11" s="152">
        <f>Index!AC10</f>
        <v>3</v>
      </c>
      <c r="AE11" s="152">
        <f>Index!AD10</f>
        <v>3</v>
      </c>
      <c r="AF11" s="152">
        <f>Index!AE10</f>
        <v>4</v>
      </c>
      <c r="AG11" s="152">
        <f>Index!AF10</f>
        <v>4</v>
      </c>
      <c r="AH11" s="152">
        <f>Index!AG10</f>
        <v>4</v>
      </c>
      <c r="AI11" s="152">
        <f>Index!AH10</f>
        <v>4</v>
      </c>
      <c r="AJ11" s="152">
        <f>Index!AI10</f>
        <v>4</v>
      </c>
      <c r="AK11" s="152">
        <f>Index!AJ10</f>
        <v>4</v>
      </c>
      <c r="AL11" s="152">
        <f>Index!AK10</f>
        <v>5</v>
      </c>
      <c r="AM11" s="152">
        <f>Index!AL10</f>
        <v>5</v>
      </c>
      <c r="AN11" s="152">
        <f>Index!AM10</f>
        <v>5</v>
      </c>
      <c r="AO11" s="152">
        <f>Index!AN10</f>
        <v>5</v>
      </c>
      <c r="AP11" s="152">
        <f>Index!AO10</f>
        <v>5</v>
      </c>
      <c r="AQ11" s="152">
        <f>Index!AP10</f>
        <v>5</v>
      </c>
      <c r="AR11" s="152">
        <f>Index!AQ10</f>
        <v>6</v>
      </c>
      <c r="AS11" s="152">
        <f>Index!AR10</f>
        <v>6</v>
      </c>
      <c r="AT11" s="152">
        <f>Index!AS10</f>
        <v>6</v>
      </c>
      <c r="AU11" s="152">
        <f>Index!AT10</f>
        <v>6</v>
      </c>
      <c r="AV11" s="152">
        <f>Index!AU10</f>
        <v>6</v>
      </c>
      <c r="AW11" s="152">
        <f>Index!AV10</f>
        <v>6</v>
      </c>
      <c r="AX11" s="152">
        <f>Index!AW10</f>
        <v>7</v>
      </c>
      <c r="AY11" s="152">
        <f>Index!AX10</f>
        <v>7</v>
      </c>
      <c r="AZ11" s="152">
        <f>Index!AY10</f>
        <v>7</v>
      </c>
      <c r="BA11" s="152">
        <f>Index!AZ10</f>
        <v>7</v>
      </c>
      <c r="BB11" s="152">
        <f>Index!BA10</f>
        <v>7</v>
      </c>
      <c r="BC11" s="152">
        <f>Index!BB10</f>
        <v>7</v>
      </c>
      <c r="BD11" s="152">
        <f>Index!BC10</f>
        <v>8</v>
      </c>
      <c r="BE11" s="152">
        <f>Index!BD10</f>
        <v>8</v>
      </c>
      <c r="BF11" s="152">
        <f>Index!BE10</f>
        <v>8</v>
      </c>
      <c r="BG11" s="152">
        <f>Index!BF10</f>
        <v>8</v>
      </c>
      <c r="BH11" s="152">
        <f>Index!BG10</f>
        <v>8</v>
      </c>
      <c r="BI11" s="152">
        <f>Index!BH10</f>
        <v>8</v>
      </c>
      <c r="BJ11" s="152">
        <f>Index!BI10</f>
        <v>9</v>
      </c>
      <c r="BK11" s="152">
        <f>Index!BJ10</f>
        <v>9</v>
      </c>
      <c r="BL11" s="152">
        <f>Index!BK10</f>
        <v>9</v>
      </c>
      <c r="BM11" s="152">
        <f>Index!BL10</f>
        <v>9</v>
      </c>
      <c r="BN11" s="152">
        <f>Index!BM10</f>
        <v>9</v>
      </c>
      <c r="BO11" s="152">
        <f>Index!BN10</f>
        <v>9</v>
      </c>
      <c r="BP11" s="152">
        <f>Index!BO10</f>
        <v>10</v>
      </c>
      <c r="BQ11" s="152">
        <f>Index!BP10</f>
        <v>10</v>
      </c>
      <c r="BR11" s="152">
        <f>Index!BQ10</f>
        <v>10</v>
      </c>
      <c r="BS11" s="152">
        <f>Index!BR10</f>
        <v>10</v>
      </c>
      <c r="BT11" s="152">
        <f>Index!BS10</f>
        <v>10</v>
      </c>
      <c r="BU11" s="152">
        <f>Index!BT10</f>
        <v>10</v>
      </c>
      <c r="BV11" s="152">
        <f>Index!BU10</f>
        <v>11</v>
      </c>
      <c r="BW11" s="152">
        <f>Index!BV10</f>
        <v>11</v>
      </c>
      <c r="BX11" s="152">
        <f>Index!BW10</f>
        <v>11</v>
      </c>
      <c r="BY11" s="152">
        <f>Index!BX10</f>
        <v>11</v>
      </c>
      <c r="BZ11" s="152">
        <f>Index!BY10</f>
        <v>11</v>
      </c>
      <c r="CA11" s="152">
        <f>Index!BZ10</f>
        <v>11</v>
      </c>
      <c r="CB11" s="152">
        <f>Index!CA10</f>
        <v>12</v>
      </c>
      <c r="CC11" s="152">
        <f>Index!CB10</f>
        <v>12</v>
      </c>
      <c r="CD11" s="152">
        <f>Index!CC10</f>
        <v>12</v>
      </c>
      <c r="CE11" s="152">
        <f>Index!CD10</f>
        <v>12</v>
      </c>
      <c r="CF11" s="152">
        <f>Index!CE10</f>
        <v>12</v>
      </c>
      <c r="CG11" s="152">
        <f>Index!CF10</f>
        <v>12</v>
      </c>
      <c r="CH11" s="152">
        <f>Index!CG10</f>
        <v>13</v>
      </c>
      <c r="CI11" s="152">
        <f>Index!CH10</f>
        <v>13</v>
      </c>
      <c r="CJ11" s="152">
        <f>Index!CI10</f>
        <v>13</v>
      </c>
      <c r="CK11" s="152">
        <f>Index!CJ10</f>
        <v>13</v>
      </c>
      <c r="CL11" s="152">
        <f>Index!CK10</f>
        <v>13</v>
      </c>
      <c r="CM11" s="152">
        <f>Index!CL10</f>
        <v>13</v>
      </c>
      <c r="CN11" s="152">
        <f>Index!CM10</f>
        <v>14</v>
      </c>
      <c r="CO11" s="152">
        <f>Index!CN10</f>
        <v>14</v>
      </c>
      <c r="CP11" s="152">
        <f>Index!CO10</f>
        <v>14</v>
      </c>
      <c r="CQ11" s="152">
        <f>Index!CP10</f>
        <v>14</v>
      </c>
      <c r="CR11" s="152">
        <f>Index!CQ10</f>
        <v>14</v>
      </c>
      <c r="CS11" s="152">
        <f>Index!CR10</f>
        <v>14</v>
      </c>
      <c r="CT11" s="152">
        <f>Index!CS10</f>
        <v>15</v>
      </c>
      <c r="CU11" s="152">
        <f>Index!CT10</f>
        <v>15</v>
      </c>
      <c r="CV11" s="152">
        <f>Index!CU10</f>
        <v>15</v>
      </c>
      <c r="CW11" s="152">
        <f>Index!CV10</f>
        <v>15</v>
      </c>
      <c r="CX11" s="152">
        <f>Index!CW10</f>
        <v>15</v>
      </c>
      <c r="CY11" s="152">
        <f>Index!CX10</f>
        <v>15</v>
      </c>
      <c r="CZ11" s="152">
        <f>Index!CY10</f>
        <v>16</v>
      </c>
      <c r="DA11" s="152">
        <f>Index!CZ10</f>
        <v>16</v>
      </c>
      <c r="DB11" s="152">
        <f>Index!DA10</f>
        <v>16</v>
      </c>
      <c r="DC11" s="152">
        <f>Index!DB10</f>
        <v>16</v>
      </c>
      <c r="DD11" s="152">
        <f>Index!DC10</f>
        <v>16</v>
      </c>
      <c r="DE11" s="152">
        <f>Index!DD10</f>
        <v>16</v>
      </c>
      <c r="DF11" s="152">
        <f>Index!DE10</f>
        <v>17</v>
      </c>
      <c r="DG11" s="152">
        <f>Index!DF10</f>
        <v>17</v>
      </c>
      <c r="DH11" s="152">
        <f>Index!DG10</f>
        <v>17</v>
      </c>
      <c r="DI11" s="152">
        <f>Index!DH10</f>
        <v>17</v>
      </c>
      <c r="DJ11" s="152">
        <f>Index!DI10</f>
        <v>17</v>
      </c>
      <c r="DK11" s="152">
        <f>Index!DJ10</f>
        <v>17</v>
      </c>
      <c r="DL11" s="152">
        <f>Index!DK10</f>
        <v>18</v>
      </c>
      <c r="DM11" s="152">
        <f>Index!DL10</f>
        <v>18</v>
      </c>
      <c r="DN11" s="152">
        <f>Index!DM10</f>
        <v>18</v>
      </c>
      <c r="DO11" s="152">
        <f>Index!DN10</f>
        <v>18</v>
      </c>
      <c r="DP11" s="152">
        <f>Index!DO10</f>
        <v>18</v>
      </c>
      <c r="DQ11" s="152">
        <f>Index!DP10</f>
        <v>18</v>
      </c>
      <c r="DR11" s="152">
        <f>Index!DQ10</f>
        <v>19</v>
      </c>
      <c r="DS11" s="152">
        <f>Index!DR10</f>
        <v>19</v>
      </c>
      <c r="DT11" s="152">
        <f>Index!DS10</f>
        <v>19</v>
      </c>
      <c r="DU11" s="152">
        <f>Index!DT10</f>
        <v>19</v>
      </c>
      <c r="DV11" s="152">
        <f>Index!DU10</f>
        <v>19</v>
      </c>
      <c r="DW11" s="152">
        <f>Index!DV10</f>
        <v>19</v>
      </c>
      <c r="DX11" s="152">
        <f>Index!DW10</f>
        <v>20</v>
      </c>
      <c r="DY11" s="152">
        <f>Index!DX10</f>
        <v>20</v>
      </c>
      <c r="DZ11" s="152">
        <f>Index!DY10</f>
        <v>20</v>
      </c>
      <c r="EA11" s="152">
        <f>Index!DZ10</f>
        <v>20</v>
      </c>
      <c r="EB11" s="152">
        <f>Index!EA10</f>
        <v>20</v>
      </c>
      <c r="EC11" s="152">
        <f>Index!EB10</f>
        <v>20</v>
      </c>
      <c r="ED11" s="152">
        <f>Index!EC10</f>
        <v>21</v>
      </c>
      <c r="EE11" s="152">
        <f>Index!ED10</f>
        <v>21</v>
      </c>
      <c r="EF11" s="152">
        <f>Index!EE10</f>
        <v>21</v>
      </c>
      <c r="EG11" s="152">
        <f>Index!EF10</f>
        <v>21</v>
      </c>
      <c r="EH11" s="152">
        <f>Index!EG10</f>
        <v>21</v>
      </c>
      <c r="EI11" s="152">
        <f>Index!EH10</f>
        <v>21</v>
      </c>
      <c r="EJ11" s="152">
        <f>Index!EI10</f>
        <v>22</v>
      </c>
      <c r="EK11" s="152">
        <f>Index!EJ10</f>
        <v>22</v>
      </c>
      <c r="EL11" s="152">
        <f>Index!EK10</f>
        <v>22</v>
      </c>
      <c r="EM11" s="152">
        <f>Index!EL10</f>
        <v>22</v>
      </c>
      <c r="EN11" s="152">
        <f>Index!EM10</f>
        <v>22</v>
      </c>
      <c r="EO11" s="152">
        <f>Index!EN10</f>
        <v>22</v>
      </c>
      <c r="EP11" s="152">
        <f>Index!EO10</f>
        <v>23</v>
      </c>
      <c r="EQ11" s="152">
        <f>Index!EP10</f>
        <v>23</v>
      </c>
      <c r="ER11" s="152">
        <f>Index!EQ10</f>
        <v>23</v>
      </c>
    </row>
    <row r="12" spans="1:152" ht="11.25" customHeight="1">
      <c r="B12" s="189" t="s">
        <v>156</v>
      </c>
      <c r="C12" s="148"/>
      <c r="D12" s="148"/>
      <c r="E12" s="148"/>
      <c r="F12" s="148"/>
      <c r="G12" s="148"/>
      <c r="H12" s="148"/>
      <c r="I12" s="209"/>
      <c r="J12" s="190"/>
      <c r="K12" s="148"/>
      <c r="M12" s="153">
        <f>Index!L11</f>
        <v>0</v>
      </c>
      <c r="N12" s="153">
        <f>Index!M11</f>
        <v>1</v>
      </c>
      <c r="O12" s="153">
        <f>Index!N11</f>
        <v>1</v>
      </c>
      <c r="P12" s="153">
        <f>Index!O11</f>
        <v>1</v>
      </c>
      <c r="Q12" s="153">
        <f>Index!P11</f>
        <v>1</v>
      </c>
      <c r="R12" s="153">
        <f>Index!Q11</f>
        <v>1</v>
      </c>
      <c r="S12" s="153">
        <f>Index!R11</f>
        <v>1</v>
      </c>
      <c r="T12" s="153">
        <f>Index!S11</f>
        <v>1</v>
      </c>
      <c r="U12" s="153">
        <f>Index!T11</f>
        <v>1</v>
      </c>
      <c r="V12" s="153">
        <f>Index!U11</f>
        <v>1</v>
      </c>
      <c r="W12" s="153">
        <f>Index!V11</f>
        <v>1</v>
      </c>
      <c r="X12" s="153">
        <f>Index!W11</f>
        <v>1</v>
      </c>
      <c r="Y12" s="153">
        <f>Index!X11</f>
        <v>1</v>
      </c>
      <c r="Z12" s="153">
        <f>Index!Y11</f>
        <v>2</v>
      </c>
      <c r="AA12" s="153">
        <f>Index!Z11</f>
        <v>2</v>
      </c>
      <c r="AB12" s="153">
        <f>Index!AA11</f>
        <v>2</v>
      </c>
      <c r="AC12" s="153">
        <f>Index!AB11</f>
        <v>2</v>
      </c>
      <c r="AD12" s="153">
        <f>Index!AC11</f>
        <v>2</v>
      </c>
      <c r="AE12" s="153">
        <f>Index!AD11</f>
        <v>2</v>
      </c>
      <c r="AF12" s="153">
        <f>Index!AE11</f>
        <v>2</v>
      </c>
      <c r="AG12" s="153">
        <f>Index!AF11</f>
        <v>2</v>
      </c>
      <c r="AH12" s="153">
        <f>Index!AG11</f>
        <v>2</v>
      </c>
      <c r="AI12" s="153">
        <f>Index!AH11</f>
        <v>2</v>
      </c>
      <c r="AJ12" s="153">
        <f>Index!AI11</f>
        <v>2</v>
      </c>
      <c r="AK12" s="153">
        <f>Index!AJ11</f>
        <v>2</v>
      </c>
      <c r="AL12" s="153">
        <f>Index!AK11</f>
        <v>3</v>
      </c>
      <c r="AM12" s="153">
        <f>Index!AL11</f>
        <v>3</v>
      </c>
      <c r="AN12" s="153">
        <f>Index!AM11</f>
        <v>3</v>
      </c>
      <c r="AO12" s="153">
        <f>Index!AN11</f>
        <v>3</v>
      </c>
      <c r="AP12" s="153">
        <f>Index!AO11</f>
        <v>3</v>
      </c>
      <c r="AQ12" s="153">
        <f>Index!AP11</f>
        <v>3</v>
      </c>
      <c r="AR12" s="153">
        <f>Index!AQ11</f>
        <v>3</v>
      </c>
      <c r="AS12" s="153">
        <f>Index!AR11</f>
        <v>3</v>
      </c>
      <c r="AT12" s="153">
        <f>Index!AS11</f>
        <v>3</v>
      </c>
      <c r="AU12" s="153">
        <f>Index!AT11</f>
        <v>3</v>
      </c>
      <c r="AV12" s="153">
        <f>Index!AU11</f>
        <v>3</v>
      </c>
      <c r="AW12" s="153">
        <f>Index!AV11</f>
        <v>3</v>
      </c>
      <c r="AX12" s="153">
        <f>Index!AW11</f>
        <v>4</v>
      </c>
      <c r="AY12" s="153">
        <f>Index!AX11</f>
        <v>4</v>
      </c>
      <c r="AZ12" s="153">
        <f>Index!AY11</f>
        <v>4</v>
      </c>
      <c r="BA12" s="153">
        <f>Index!AZ11</f>
        <v>4</v>
      </c>
      <c r="BB12" s="153">
        <f>Index!BA11</f>
        <v>4</v>
      </c>
      <c r="BC12" s="153">
        <f>Index!BB11</f>
        <v>4</v>
      </c>
      <c r="BD12" s="153">
        <f>Index!BC11</f>
        <v>4</v>
      </c>
      <c r="BE12" s="153">
        <f>Index!BD11</f>
        <v>4</v>
      </c>
      <c r="BF12" s="153">
        <f>Index!BE11</f>
        <v>4</v>
      </c>
      <c r="BG12" s="153">
        <f>Index!BF11</f>
        <v>4</v>
      </c>
      <c r="BH12" s="153">
        <f>Index!BG11</f>
        <v>4</v>
      </c>
      <c r="BI12" s="153">
        <f>Index!BH11</f>
        <v>4</v>
      </c>
      <c r="BJ12" s="153">
        <f>Index!BI11</f>
        <v>5</v>
      </c>
      <c r="BK12" s="153">
        <f>Index!BJ11</f>
        <v>5</v>
      </c>
      <c r="BL12" s="153">
        <f>Index!BK11</f>
        <v>5</v>
      </c>
      <c r="BM12" s="153">
        <f>Index!BL11</f>
        <v>5</v>
      </c>
      <c r="BN12" s="153">
        <f>Index!BM11</f>
        <v>5</v>
      </c>
      <c r="BO12" s="153">
        <f>Index!BN11</f>
        <v>5</v>
      </c>
      <c r="BP12" s="153">
        <f>Index!BO11</f>
        <v>5</v>
      </c>
      <c r="BQ12" s="153">
        <f>Index!BP11</f>
        <v>5</v>
      </c>
      <c r="BR12" s="153">
        <f>Index!BQ11</f>
        <v>5</v>
      </c>
      <c r="BS12" s="153">
        <f>Index!BR11</f>
        <v>5</v>
      </c>
      <c r="BT12" s="153">
        <f>Index!BS11</f>
        <v>5</v>
      </c>
      <c r="BU12" s="153">
        <f>Index!BT11</f>
        <v>5</v>
      </c>
      <c r="BV12" s="153">
        <f>Index!BU11</f>
        <v>6</v>
      </c>
      <c r="BW12" s="153">
        <f>Index!BV11</f>
        <v>6</v>
      </c>
      <c r="BX12" s="153">
        <f>Index!BW11</f>
        <v>6</v>
      </c>
      <c r="BY12" s="153">
        <f>Index!BX11</f>
        <v>6</v>
      </c>
      <c r="BZ12" s="153">
        <f>Index!BY11</f>
        <v>6</v>
      </c>
      <c r="CA12" s="153">
        <f>Index!BZ11</f>
        <v>6</v>
      </c>
      <c r="CB12" s="153">
        <f>Index!CA11</f>
        <v>6</v>
      </c>
      <c r="CC12" s="153">
        <f>Index!CB11</f>
        <v>6</v>
      </c>
      <c r="CD12" s="153">
        <f>Index!CC11</f>
        <v>6</v>
      </c>
      <c r="CE12" s="153">
        <f>Index!CD11</f>
        <v>6</v>
      </c>
      <c r="CF12" s="153">
        <f>Index!CE11</f>
        <v>6</v>
      </c>
      <c r="CG12" s="153">
        <f>Index!CF11</f>
        <v>6</v>
      </c>
      <c r="CH12" s="153">
        <f>Index!CG11</f>
        <v>7</v>
      </c>
      <c r="CI12" s="153">
        <f>Index!CH11</f>
        <v>7</v>
      </c>
      <c r="CJ12" s="153">
        <f>Index!CI11</f>
        <v>7</v>
      </c>
      <c r="CK12" s="153">
        <f>Index!CJ11</f>
        <v>7</v>
      </c>
      <c r="CL12" s="153">
        <f>Index!CK11</f>
        <v>7</v>
      </c>
      <c r="CM12" s="153">
        <f>Index!CL11</f>
        <v>7</v>
      </c>
      <c r="CN12" s="153">
        <f>Index!CM11</f>
        <v>7</v>
      </c>
      <c r="CO12" s="153">
        <f>Index!CN11</f>
        <v>7</v>
      </c>
      <c r="CP12" s="153">
        <f>Index!CO11</f>
        <v>7</v>
      </c>
      <c r="CQ12" s="153">
        <f>Index!CP11</f>
        <v>7</v>
      </c>
      <c r="CR12" s="153">
        <f>Index!CQ11</f>
        <v>7</v>
      </c>
      <c r="CS12" s="153">
        <f>Index!CR11</f>
        <v>7</v>
      </c>
      <c r="CT12" s="153">
        <f>Index!CS11</f>
        <v>8</v>
      </c>
      <c r="CU12" s="153">
        <f>Index!CT11</f>
        <v>8</v>
      </c>
      <c r="CV12" s="153">
        <f>Index!CU11</f>
        <v>8</v>
      </c>
      <c r="CW12" s="153">
        <f>Index!CV11</f>
        <v>8</v>
      </c>
      <c r="CX12" s="153">
        <f>Index!CW11</f>
        <v>8</v>
      </c>
      <c r="CY12" s="153">
        <f>Index!CX11</f>
        <v>8</v>
      </c>
      <c r="CZ12" s="153">
        <f>Index!CY11</f>
        <v>8</v>
      </c>
      <c r="DA12" s="153">
        <f>Index!CZ11</f>
        <v>8</v>
      </c>
      <c r="DB12" s="153">
        <f>Index!DA11</f>
        <v>8</v>
      </c>
      <c r="DC12" s="153">
        <f>Index!DB11</f>
        <v>8</v>
      </c>
      <c r="DD12" s="153">
        <f>Index!DC11</f>
        <v>8</v>
      </c>
      <c r="DE12" s="153">
        <f>Index!DD11</f>
        <v>8</v>
      </c>
      <c r="DF12" s="153">
        <f>Index!DE11</f>
        <v>9</v>
      </c>
      <c r="DG12" s="153">
        <f>Index!DF11</f>
        <v>9</v>
      </c>
      <c r="DH12" s="153">
        <f>Index!DG11</f>
        <v>9</v>
      </c>
      <c r="DI12" s="153">
        <f>Index!DH11</f>
        <v>9</v>
      </c>
      <c r="DJ12" s="153">
        <f>Index!DI11</f>
        <v>9</v>
      </c>
      <c r="DK12" s="153">
        <f>Index!DJ11</f>
        <v>9</v>
      </c>
      <c r="DL12" s="153">
        <f>Index!DK11</f>
        <v>9</v>
      </c>
      <c r="DM12" s="153">
        <f>Index!DL11</f>
        <v>9</v>
      </c>
      <c r="DN12" s="153">
        <f>Index!DM11</f>
        <v>9</v>
      </c>
      <c r="DO12" s="153">
        <f>Index!DN11</f>
        <v>9</v>
      </c>
      <c r="DP12" s="153">
        <f>Index!DO11</f>
        <v>9</v>
      </c>
      <c r="DQ12" s="153">
        <f>Index!DP11</f>
        <v>9</v>
      </c>
      <c r="DR12" s="153">
        <f>Index!DQ11</f>
        <v>10</v>
      </c>
      <c r="DS12" s="153">
        <f>Index!DR11</f>
        <v>10</v>
      </c>
      <c r="DT12" s="153">
        <f>Index!DS11</f>
        <v>10</v>
      </c>
      <c r="DU12" s="153">
        <f>Index!DT11</f>
        <v>10</v>
      </c>
      <c r="DV12" s="153">
        <f>Index!DU11</f>
        <v>10</v>
      </c>
      <c r="DW12" s="153">
        <f>Index!DV11</f>
        <v>10</v>
      </c>
      <c r="DX12" s="153">
        <f>Index!DW11</f>
        <v>10</v>
      </c>
      <c r="DY12" s="153">
        <f>Index!DX11</f>
        <v>10</v>
      </c>
      <c r="DZ12" s="153">
        <f>Index!DY11</f>
        <v>10</v>
      </c>
      <c r="EA12" s="153">
        <f>Index!DZ11</f>
        <v>10</v>
      </c>
      <c r="EB12" s="153">
        <f>Index!EA11</f>
        <v>10</v>
      </c>
      <c r="EC12" s="153">
        <f>Index!EB11</f>
        <v>10</v>
      </c>
      <c r="ED12" s="153">
        <f>Index!EC11</f>
        <v>11</v>
      </c>
      <c r="EE12" s="153">
        <f>Index!ED11</f>
        <v>11</v>
      </c>
      <c r="EF12" s="153">
        <f>Index!EE11</f>
        <v>11</v>
      </c>
      <c r="EG12" s="153">
        <f>Index!EF11</f>
        <v>11</v>
      </c>
      <c r="EH12" s="153">
        <f>Index!EG11</f>
        <v>11</v>
      </c>
      <c r="EI12" s="153">
        <f>Index!EH11</f>
        <v>11</v>
      </c>
      <c r="EJ12" s="153">
        <f>Index!EI11</f>
        <v>11</v>
      </c>
      <c r="EK12" s="153">
        <f>Index!EJ11</f>
        <v>11</v>
      </c>
      <c r="EL12" s="153">
        <f>Index!EK11</f>
        <v>11</v>
      </c>
      <c r="EM12" s="153">
        <f>Index!EL11</f>
        <v>11</v>
      </c>
      <c r="EN12" s="153">
        <f>Index!EM11</f>
        <v>11</v>
      </c>
      <c r="EO12" s="153">
        <f>Index!EN11</f>
        <v>11</v>
      </c>
      <c r="EP12" s="153">
        <f>Index!EO11</f>
        <v>12</v>
      </c>
      <c r="EQ12" s="153">
        <f>Index!EP11</f>
        <v>12</v>
      </c>
      <c r="ER12" s="153">
        <f>Index!EQ11</f>
        <v>12</v>
      </c>
    </row>
    <row r="13" spans="1:152" ht="11.25" customHeight="1">
      <c r="B13" s="189" t="s">
        <v>1228</v>
      </c>
      <c r="C13" s="148"/>
      <c r="D13" s="148"/>
      <c r="E13" s="148"/>
      <c r="F13" s="148"/>
      <c r="G13" s="148"/>
      <c r="H13" s="148">
        <f>'DSCR(선,중)'!$E$1</f>
        <v>3</v>
      </c>
      <c r="I13" s="209">
        <f>'A&amp;R'!M32</f>
        <v>46326</v>
      </c>
      <c r="J13" s="209">
        <f>EOMONTH(I13-1,'A&amp;R'!O32)</f>
        <v>47057</v>
      </c>
      <c r="K13" s="148"/>
      <c r="M13" s="2097">
        <f>ROUNDUP(DATEDIF($I13-1,M$6+1,"m")/$H13,)*(M$6&lt;=$J$13)</f>
        <v>0</v>
      </c>
      <c r="N13" s="2097">
        <f t="shared" ref="N13:BY13" si="0">ROUNDUP(DATEDIF($I13-1,N$6+1,"m")/$H13,)*(N$6&lt;=$J$13)</f>
        <v>1</v>
      </c>
      <c r="O13" s="2097">
        <f t="shared" si="0"/>
        <v>1</v>
      </c>
      <c r="P13" s="2097">
        <f t="shared" si="0"/>
        <v>1</v>
      </c>
      <c r="Q13" s="2097">
        <f t="shared" si="0"/>
        <v>2</v>
      </c>
      <c r="R13" s="2097">
        <f t="shared" si="0"/>
        <v>2</v>
      </c>
      <c r="S13" s="2097">
        <f t="shared" si="0"/>
        <v>2</v>
      </c>
      <c r="T13" s="2097">
        <f t="shared" si="0"/>
        <v>3</v>
      </c>
      <c r="U13" s="2097">
        <f t="shared" si="0"/>
        <v>3</v>
      </c>
      <c r="V13" s="2097">
        <f t="shared" si="0"/>
        <v>3</v>
      </c>
      <c r="W13" s="2097">
        <f t="shared" si="0"/>
        <v>4</v>
      </c>
      <c r="X13" s="2097">
        <f t="shared" si="0"/>
        <v>4</v>
      </c>
      <c r="Y13" s="2097">
        <f t="shared" si="0"/>
        <v>4</v>
      </c>
      <c r="Z13" s="2097">
        <f t="shared" si="0"/>
        <v>5</v>
      </c>
      <c r="AA13" s="2097">
        <f t="shared" si="0"/>
        <v>5</v>
      </c>
      <c r="AB13" s="2097">
        <f t="shared" si="0"/>
        <v>5</v>
      </c>
      <c r="AC13" s="2097">
        <f t="shared" si="0"/>
        <v>6</v>
      </c>
      <c r="AD13" s="2097">
        <f t="shared" si="0"/>
        <v>6</v>
      </c>
      <c r="AE13" s="2097">
        <f t="shared" si="0"/>
        <v>6</v>
      </c>
      <c r="AF13" s="2097">
        <f t="shared" si="0"/>
        <v>7</v>
      </c>
      <c r="AG13" s="2097">
        <f t="shared" si="0"/>
        <v>7</v>
      </c>
      <c r="AH13" s="2097">
        <f t="shared" si="0"/>
        <v>7</v>
      </c>
      <c r="AI13" s="2097">
        <f t="shared" si="0"/>
        <v>8</v>
      </c>
      <c r="AJ13" s="2097">
        <f t="shared" si="0"/>
        <v>8</v>
      </c>
      <c r="AK13" s="2097">
        <f t="shared" si="0"/>
        <v>8</v>
      </c>
      <c r="AL13" s="2097">
        <f t="shared" si="0"/>
        <v>0</v>
      </c>
      <c r="AM13" s="2097">
        <f t="shared" si="0"/>
        <v>0</v>
      </c>
      <c r="AN13" s="2097">
        <f t="shared" si="0"/>
        <v>0</v>
      </c>
      <c r="AO13" s="2097">
        <f t="shared" si="0"/>
        <v>0</v>
      </c>
      <c r="AP13" s="2097">
        <f t="shared" si="0"/>
        <v>0</v>
      </c>
      <c r="AQ13" s="2097">
        <f t="shared" si="0"/>
        <v>0</v>
      </c>
      <c r="AR13" s="2097">
        <f t="shared" si="0"/>
        <v>0</v>
      </c>
      <c r="AS13" s="2097">
        <f t="shared" si="0"/>
        <v>0</v>
      </c>
      <c r="AT13" s="2097">
        <f t="shared" si="0"/>
        <v>0</v>
      </c>
      <c r="AU13" s="2097">
        <f t="shared" si="0"/>
        <v>0</v>
      </c>
      <c r="AV13" s="2097">
        <f t="shared" si="0"/>
        <v>0</v>
      </c>
      <c r="AW13" s="2097">
        <f t="shared" si="0"/>
        <v>0</v>
      </c>
      <c r="AX13" s="2097">
        <f t="shared" si="0"/>
        <v>0</v>
      </c>
      <c r="AY13" s="2097">
        <f t="shared" si="0"/>
        <v>0</v>
      </c>
      <c r="AZ13" s="2097">
        <f t="shared" si="0"/>
        <v>0</v>
      </c>
      <c r="BA13" s="2097">
        <f t="shared" si="0"/>
        <v>0</v>
      </c>
      <c r="BB13" s="2097">
        <f t="shared" si="0"/>
        <v>0</v>
      </c>
      <c r="BC13" s="2097">
        <f t="shared" si="0"/>
        <v>0</v>
      </c>
      <c r="BD13" s="2097">
        <f t="shared" si="0"/>
        <v>0</v>
      </c>
      <c r="BE13" s="2097">
        <f t="shared" si="0"/>
        <v>0</v>
      </c>
      <c r="BF13" s="2097">
        <f t="shared" si="0"/>
        <v>0</v>
      </c>
      <c r="BG13" s="2097">
        <f t="shared" si="0"/>
        <v>0</v>
      </c>
      <c r="BH13" s="2097">
        <f t="shared" si="0"/>
        <v>0</v>
      </c>
      <c r="BI13" s="2097">
        <f t="shared" si="0"/>
        <v>0</v>
      </c>
      <c r="BJ13" s="2097">
        <f t="shared" si="0"/>
        <v>0</v>
      </c>
      <c r="BK13" s="2097">
        <f t="shared" si="0"/>
        <v>0</v>
      </c>
      <c r="BL13" s="2097">
        <f t="shared" si="0"/>
        <v>0</v>
      </c>
      <c r="BM13" s="2097">
        <f t="shared" si="0"/>
        <v>0</v>
      </c>
      <c r="BN13" s="2097">
        <f t="shared" si="0"/>
        <v>0</v>
      </c>
      <c r="BO13" s="2097">
        <f t="shared" si="0"/>
        <v>0</v>
      </c>
      <c r="BP13" s="2097">
        <f t="shared" si="0"/>
        <v>0</v>
      </c>
      <c r="BQ13" s="2097">
        <f t="shared" si="0"/>
        <v>0</v>
      </c>
      <c r="BR13" s="2097">
        <f t="shared" si="0"/>
        <v>0</v>
      </c>
      <c r="BS13" s="2097">
        <f t="shared" si="0"/>
        <v>0</v>
      </c>
      <c r="BT13" s="2097">
        <f t="shared" si="0"/>
        <v>0</v>
      </c>
      <c r="BU13" s="2097">
        <f t="shared" si="0"/>
        <v>0</v>
      </c>
      <c r="BV13" s="2097">
        <f t="shared" si="0"/>
        <v>0</v>
      </c>
      <c r="BW13" s="2097">
        <f t="shared" si="0"/>
        <v>0</v>
      </c>
      <c r="BX13" s="2097">
        <f t="shared" si="0"/>
        <v>0</v>
      </c>
      <c r="BY13" s="2097">
        <f t="shared" si="0"/>
        <v>0</v>
      </c>
      <c r="BZ13" s="2097">
        <f t="shared" ref="BZ13:EK13" si="1">ROUNDUP(DATEDIF($I13-1,BZ$6+1,"m")/$H13,)*(BZ$6&lt;=$J$13)</f>
        <v>0</v>
      </c>
      <c r="CA13" s="2097">
        <f t="shared" si="1"/>
        <v>0</v>
      </c>
      <c r="CB13" s="2097">
        <f t="shared" si="1"/>
        <v>0</v>
      </c>
      <c r="CC13" s="2097">
        <f t="shared" si="1"/>
        <v>0</v>
      </c>
      <c r="CD13" s="2097">
        <f t="shared" si="1"/>
        <v>0</v>
      </c>
      <c r="CE13" s="2097">
        <f t="shared" si="1"/>
        <v>0</v>
      </c>
      <c r="CF13" s="2097">
        <f t="shared" si="1"/>
        <v>0</v>
      </c>
      <c r="CG13" s="2097">
        <f t="shared" si="1"/>
        <v>0</v>
      </c>
      <c r="CH13" s="2097">
        <f t="shared" si="1"/>
        <v>0</v>
      </c>
      <c r="CI13" s="2097">
        <f t="shared" si="1"/>
        <v>0</v>
      </c>
      <c r="CJ13" s="2097">
        <f t="shared" si="1"/>
        <v>0</v>
      </c>
      <c r="CK13" s="2097">
        <f t="shared" si="1"/>
        <v>0</v>
      </c>
      <c r="CL13" s="2097">
        <f t="shared" si="1"/>
        <v>0</v>
      </c>
      <c r="CM13" s="2097">
        <f t="shared" si="1"/>
        <v>0</v>
      </c>
      <c r="CN13" s="2097">
        <f t="shared" si="1"/>
        <v>0</v>
      </c>
      <c r="CO13" s="2097">
        <f t="shared" si="1"/>
        <v>0</v>
      </c>
      <c r="CP13" s="2097">
        <f t="shared" si="1"/>
        <v>0</v>
      </c>
      <c r="CQ13" s="2097">
        <f t="shared" si="1"/>
        <v>0</v>
      </c>
      <c r="CR13" s="2097">
        <f t="shared" si="1"/>
        <v>0</v>
      </c>
      <c r="CS13" s="2097">
        <f t="shared" si="1"/>
        <v>0</v>
      </c>
      <c r="CT13" s="2097">
        <f t="shared" si="1"/>
        <v>0</v>
      </c>
      <c r="CU13" s="2097">
        <f t="shared" si="1"/>
        <v>0</v>
      </c>
      <c r="CV13" s="2097">
        <f t="shared" si="1"/>
        <v>0</v>
      </c>
      <c r="CW13" s="2097">
        <f t="shared" si="1"/>
        <v>0</v>
      </c>
      <c r="CX13" s="2097">
        <f t="shared" si="1"/>
        <v>0</v>
      </c>
      <c r="CY13" s="2097">
        <f t="shared" si="1"/>
        <v>0</v>
      </c>
      <c r="CZ13" s="2097">
        <f t="shared" si="1"/>
        <v>0</v>
      </c>
      <c r="DA13" s="2097">
        <f t="shared" si="1"/>
        <v>0</v>
      </c>
      <c r="DB13" s="2097">
        <f t="shared" si="1"/>
        <v>0</v>
      </c>
      <c r="DC13" s="2097">
        <f t="shared" si="1"/>
        <v>0</v>
      </c>
      <c r="DD13" s="2097">
        <f t="shared" si="1"/>
        <v>0</v>
      </c>
      <c r="DE13" s="2097">
        <f t="shared" si="1"/>
        <v>0</v>
      </c>
      <c r="DF13" s="2097">
        <f t="shared" si="1"/>
        <v>0</v>
      </c>
      <c r="DG13" s="2097">
        <f t="shared" si="1"/>
        <v>0</v>
      </c>
      <c r="DH13" s="2097">
        <f t="shared" si="1"/>
        <v>0</v>
      </c>
      <c r="DI13" s="2097">
        <f t="shared" si="1"/>
        <v>0</v>
      </c>
      <c r="DJ13" s="2097">
        <f t="shared" si="1"/>
        <v>0</v>
      </c>
      <c r="DK13" s="2097">
        <f t="shared" si="1"/>
        <v>0</v>
      </c>
      <c r="DL13" s="2097">
        <f t="shared" si="1"/>
        <v>0</v>
      </c>
      <c r="DM13" s="2097">
        <f t="shared" si="1"/>
        <v>0</v>
      </c>
      <c r="DN13" s="2097">
        <f t="shared" si="1"/>
        <v>0</v>
      </c>
      <c r="DO13" s="2097">
        <f t="shared" si="1"/>
        <v>0</v>
      </c>
      <c r="DP13" s="2097">
        <f t="shared" si="1"/>
        <v>0</v>
      </c>
      <c r="DQ13" s="2097">
        <f t="shared" si="1"/>
        <v>0</v>
      </c>
      <c r="DR13" s="2097">
        <f t="shared" si="1"/>
        <v>0</v>
      </c>
      <c r="DS13" s="2097">
        <f t="shared" si="1"/>
        <v>0</v>
      </c>
      <c r="DT13" s="2097">
        <f t="shared" si="1"/>
        <v>0</v>
      </c>
      <c r="DU13" s="2097">
        <f t="shared" si="1"/>
        <v>0</v>
      </c>
      <c r="DV13" s="2097">
        <f t="shared" si="1"/>
        <v>0</v>
      </c>
      <c r="DW13" s="2097">
        <f t="shared" si="1"/>
        <v>0</v>
      </c>
      <c r="DX13" s="2097">
        <f t="shared" si="1"/>
        <v>0</v>
      </c>
      <c r="DY13" s="2097">
        <f t="shared" si="1"/>
        <v>0</v>
      </c>
      <c r="DZ13" s="2097">
        <f t="shared" si="1"/>
        <v>0</v>
      </c>
      <c r="EA13" s="2097">
        <f t="shared" si="1"/>
        <v>0</v>
      </c>
      <c r="EB13" s="2097">
        <f t="shared" si="1"/>
        <v>0</v>
      </c>
      <c r="EC13" s="2097">
        <f t="shared" si="1"/>
        <v>0</v>
      </c>
      <c r="ED13" s="2097">
        <f t="shared" si="1"/>
        <v>0</v>
      </c>
      <c r="EE13" s="2097">
        <f t="shared" si="1"/>
        <v>0</v>
      </c>
      <c r="EF13" s="2097">
        <f t="shared" si="1"/>
        <v>0</v>
      </c>
      <c r="EG13" s="2097">
        <f t="shared" si="1"/>
        <v>0</v>
      </c>
      <c r="EH13" s="2097">
        <f t="shared" si="1"/>
        <v>0</v>
      </c>
      <c r="EI13" s="2097">
        <f t="shared" si="1"/>
        <v>0</v>
      </c>
      <c r="EJ13" s="2097">
        <f t="shared" si="1"/>
        <v>0</v>
      </c>
      <c r="EK13" s="2097">
        <f t="shared" si="1"/>
        <v>0</v>
      </c>
      <c r="EL13" s="2097">
        <f t="shared" ref="EL13:ER13" si="2">ROUNDUP(DATEDIF($I13-1,EL$6+1,"m")/$H13,)*(EL$6&lt;=$J$13)</f>
        <v>0</v>
      </c>
      <c r="EM13" s="2097">
        <f t="shared" si="2"/>
        <v>0</v>
      </c>
      <c r="EN13" s="2097">
        <f t="shared" si="2"/>
        <v>0</v>
      </c>
      <c r="EO13" s="2097">
        <f t="shared" si="2"/>
        <v>0</v>
      </c>
      <c r="EP13" s="2097">
        <f t="shared" si="2"/>
        <v>0</v>
      </c>
      <c r="EQ13" s="2097">
        <f t="shared" si="2"/>
        <v>0</v>
      </c>
      <c r="ER13" s="2097">
        <f t="shared" si="2"/>
        <v>0</v>
      </c>
    </row>
    <row r="16" spans="1:152" ht="11.25" customHeight="1">
      <c r="B16" s="155" t="s">
        <v>458</v>
      </c>
      <c r="C16" s="155"/>
      <c r="D16" s="155"/>
      <c r="E16" s="155"/>
      <c r="F16" s="155"/>
      <c r="G16" s="155"/>
      <c r="H16" s="155"/>
      <c r="I16" s="191"/>
      <c r="J16" s="192"/>
      <c r="K16" s="156" t="s">
        <v>59</v>
      </c>
      <c r="M16" s="210">
        <f>M6</f>
        <v>46326</v>
      </c>
      <c r="N16" s="210">
        <f t="shared" ref="N16:BY16" si="3">N6</f>
        <v>46356</v>
      </c>
      <c r="O16" s="210">
        <f t="shared" si="3"/>
        <v>46387</v>
      </c>
      <c r="P16" s="210">
        <f t="shared" si="3"/>
        <v>46418</v>
      </c>
      <c r="Q16" s="210">
        <f t="shared" si="3"/>
        <v>46446</v>
      </c>
      <c r="R16" s="210">
        <f t="shared" si="3"/>
        <v>46477</v>
      </c>
      <c r="S16" s="210">
        <f t="shared" si="3"/>
        <v>46507</v>
      </c>
      <c r="T16" s="210">
        <f t="shared" si="3"/>
        <v>46538</v>
      </c>
      <c r="U16" s="210">
        <f t="shared" si="3"/>
        <v>46568</v>
      </c>
      <c r="V16" s="210">
        <f t="shared" si="3"/>
        <v>46599</v>
      </c>
      <c r="W16" s="210">
        <f t="shared" si="3"/>
        <v>46630</v>
      </c>
      <c r="X16" s="210">
        <f t="shared" si="3"/>
        <v>46660</v>
      </c>
      <c r="Y16" s="210">
        <f t="shared" si="3"/>
        <v>46691</v>
      </c>
      <c r="Z16" s="210">
        <f t="shared" si="3"/>
        <v>46721</v>
      </c>
      <c r="AA16" s="210">
        <f t="shared" si="3"/>
        <v>46752</v>
      </c>
      <c r="AB16" s="210">
        <f t="shared" si="3"/>
        <v>46783</v>
      </c>
      <c r="AC16" s="210">
        <f t="shared" si="3"/>
        <v>46812</v>
      </c>
      <c r="AD16" s="210">
        <f t="shared" si="3"/>
        <v>46843</v>
      </c>
      <c r="AE16" s="210">
        <f t="shared" si="3"/>
        <v>46873</v>
      </c>
      <c r="AF16" s="210">
        <f t="shared" si="3"/>
        <v>46904</v>
      </c>
      <c r="AG16" s="210">
        <f t="shared" si="3"/>
        <v>46934</v>
      </c>
      <c r="AH16" s="210">
        <f t="shared" si="3"/>
        <v>46965</v>
      </c>
      <c r="AI16" s="210">
        <f t="shared" si="3"/>
        <v>46996</v>
      </c>
      <c r="AJ16" s="210">
        <f t="shared" si="3"/>
        <v>47026</v>
      </c>
      <c r="AK16" s="210">
        <f t="shared" si="3"/>
        <v>47057</v>
      </c>
      <c r="AL16" s="210">
        <f t="shared" si="3"/>
        <v>47087</v>
      </c>
      <c r="AM16" s="210">
        <f t="shared" si="3"/>
        <v>47118</v>
      </c>
      <c r="AN16" s="210">
        <f t="shared" si="3"/>
        <v>47149</v>
      </c>
      <c r="AO16" s="210">
        <f t="shared" si="3"/>
        <v>47177</v>
      </c>
      <c r="AP16" s="210">
        <f t="shared" si="3"/>
        <v>47208</v>
      </c>
      <c r="AQ16" s="210">
        <f t="shared" si="3"/>
        <v>47238</v>
      </c>
      <c r="AR16" s="210">
        <f t="shared" si="3"/>
        <v>47269</v>
      </c>
      <c r="AS16" s="210">
        <f t="shared" si="3"/>
        <v>47299</v>
      </c>
      <c r="AT16" s="210">
        <f t="shared" si="3"/>
        <v>47330</v>
      </c>
      <c r="AU16" s="210">
        <f t="shared" si="3"/>
        <v>47361</v>
      </c>
      <c r="AV16" s="210">
        <f t="shared" si="3"/>
        <v>47391</v>
      </c>
      <c r="AW16" s="210">
        <f t="shared" si="3"/>
        <v>47422</v>
      </c>
      <c r="AX16" s="210">
        <f t="shared" si="3"/>
        <v>47452</v>
      </c>
      <c r="AY16" s="210">
        <f t="shared" si="3"/>
        <v>47483</v>
      </c>
      <c r="AZ16" s="210">
        <f t="shared" si="3"/>
        <v>47514</v>
      </c>
      <c r="BA16" s="210">
        <f t="shared" si="3"/>
        <v>47542</v>
      </c>
      <c r="BB16" s="210">
        <f t="shared" si="3"/>
        <v>47573</v>
      </c>
      <c r="BC16" s="210">
        <f t="shared" si="3"/>
        <v>47603</v>
      </c>
      <c r="BD16" s="210">
        <f t="shared" si="3"/>
        <v>47634</v>
      </c>
      <c r="BE16" s="210">
        <f t="shared" si="3"/>
        <v>47664</v>
      </c>
      <c r="BF16" s="210">
        <f t="shared" si="3"/>
        <v>47695</v>
      </c>
      <c r="BG16" s="210">
        <f t="shared" si="3"/>
        <v>47726</v>
      </c>
      <c r="BH16" s="210">
        <f t="shared" si="3"/>
        <v>47756</v>
      </c>
      <c r="BI16" s="210">
        <f t="shared" si="3"/>
        <v>47787</v>
      </c>
      <c r="BJ16" s="210">
        <f t="shared" si="3"/>
        <v>47817</v>
      </c>
      <c r="BK16" s="210">
        <f t="shared" si="3"/>
        <v>47848</v>
      </c>
      <c r="BL16" s="210">
        <f t="shared" si="3"/>
        <v>47879</v>
      </c>
      <c r="BM16" s="210">
        <f t="shared" si="3"/>
        <v>47907</v>
      </c>
      <c r="BN16" s="210">
        <f t="shared" si="3"/>
        <v>47938</v>
      </c>
      <c r="BO16" s="210">
        <f t="shared" si="3"/>
        <v>47968</v>
      </c>
      <c r="BP16" s="210">
        <f t="shared" si="3"/>
        <v>47999</v>
      </c>
      <c r="BQ16" s="210">
        <f t="shared" si="3"/>
        <v>48029</v>
      </c>
      <c r="BR16" s="210">
        <f t="shared" si="3"/>
        <v>48060</v>
      </c>
      <c r="BS16" s="210">
        <f t="shared" si="3"/>
        <v>48091</v>
      </c>
      <c r="BT16" s="210">
        <f t="shared" si="3"/>
        <v>48121</v>
      </c>
      <c r="BU16" s="210">
        <f t="shared" si="3"/>
        <v>48152</v>
      </c>
      <c r="BV16" s="210">
        <f t="shared" si="3"/>
        <v>48182</v>
      </c>
      <c r="BW16" s="210">
        <f t="shared" si="3"/>
        <v>48213</v>
      </c>
      <c r="BX16" s="210">
        <f t="shared" si="3"/>
        <v>48244</v>
      </c>
      <c r="BY16" s="210">
        <f t="shared" si="3"/>
        <v>48273</v>
      </c>
      <c r="BZ16" s="210">
        <f t="shared" ref="BZ16:DT16" si="4">BZ6</f>
        <v>48304</v>
      </c>
      <c r="CA16" s="210">
        <f t="shared" si="4"/>
        <v>48334</v>
      </c>
      <c r="CB16" s="210">
        <f t="shared" si="4"/>
        <v>48365</v>
      </c>
      <c r="CC16" s="210">
        <f t="shared" si="4"/>
        <v>48395</v>
      </c>
      <c r="CD16" s="210">
        <f t="shared" si="4"/>
        <v>48426</v>
      </c>
      <c r="CE16" s="210">
        <f t="shared" si="4"/>
        <v>48457</v>
      </c>
      <c r="CF16" s="210">
        <f t="shared" si="4"/>
        <v>48487</v>
      </c>
      <c r="CG16" s="210">
        <f t="shared" si="4"/>
        <v>48518</v>
      </c>
      <c r="CH16" s="210">
        <f t="shared" si="4"/>
        <v>48548</v>
      </c>
      <c r="CI16" s="210">
        <f t="shared" si="4"/>
        <v>48579</v>
      </c>
      <c r="CJ16" s="210">
        <f t="shared" si="4"/>
        <v>48610</v>
      </c>
      <c r="CK16" s="210">
        <f t="shared" si="4"/>
        <v>48638</v>
      </c>
      <c r="CL16" s="210">
        <f t="shared" si="4"/>
        <v>48669</v>
      </c>
      <c r="CM16" s="210">
        <f t="shared" si="4"/>
        <v>48699</v>
      </c>
      <c r="CN16" s="210">
        <f t="shared" si="4"/>
        <v>48730</v>
      </c>
      <c r="CO16" s="210">
        <f t="shared" si="4"/>
        <v>48760</v>
      </c>
      <c r="CP16" s="210">
        <f t="shared" si="4"/>
        <v>48791</v>
      </c>
      <c r="CQ16" s="210">
        <f t="shared" si="4"/>
        <v>48822</v>
      </c>
      <c r="CR16" s="210">
        <f t="shared" si="4"/>
        <v>48852</v>
      </c>
      <c r="CS16" s="210">
        <f t="shared" si="4"/>
        <v>48883</v>
      </c>
      <c r="CT16" s="210">
        <f t="shared" si="4"/>
        <v>48913</v>
      </c>
      <c r="CU16" s="210">
        <f t="shared" si="4"/>
        <v>48944</v>
      </c>
      <c r="CV16" s="210">
        <f t="shared" si="4"/>
        <v>48975</v>
      </c>
      <c r="CW16" s="210">
        <f t="shared" si="4"/>
        <v>49003</v>
      </c>
      <c r="CX16" s="210">
        <f t="shared" si="4"/>
        <v>49034</v>
      </c>
      <c r="CY16" s="210">
        <f t="shared" si="4"/>
        <v>49064</v>
      </c>
      <c r="CZ16" s="210">
        <f t="shared" si="4"/>
        <v>49095</v>
      </c>
      <c r="DA16" s="210">
        <f t="shared" si="4"/>
        <v>49125</v>
      </c>
      <c r="DB16" s="210">
        <f t="shared" si="4"/>
        <v>49156</v>
      </c>
      <c r="DC16" s="210">
        <f t="shared" si="4"/>
        <v>49187</v>
      </c>
      <c r="DD16" s="210">
        <f t="shared" si="4"/>
        <v>49217</v>
      </c>
      <c r="DE16" s="210">
        <f t="shared" si="4"/>
        <v>49248</v>
      </c>
      <c r="DF16" s="210">
        <f t="shared" si="4"/>
        <v>49278</v>
      </c>
      <c r="DG16" s="210">
        <f t="shared" si="4"/>
        <v>49309</v>
      </c>
      <c r="DH16" s="210">
        <f t="shared" si="4"/>
        <v>49340</v>
      </c>
      <c r="DI16" s="210">
        <f t="shared" si="4"/>
        <v>49368</v>
      </c>
      <c r="DJ16" s="210">
        <f t="shared" si="4"/>
        <v>49399</v>
      </c>
      <c r="DK16" s="210">
        <f t="shared" si="4"/>
        <v>49429</v>
      </c>
      <c r="DL16" s="210">
        <f t="shared" si="4"/>
        <v>49460</v>
      </c>
      <c r="DM16" s="210">
        <f t="shared" si="4"/>
        <v>49490</v>
      </c>
      <c r="DN16" s="210">
        <f t="shared" si="4"/>
        <v>49521</v>
      </c>
      <c r="DO16" s="210">
        <f t="shared" si="4"/>
        <v>49552</v>
      </c>
      <c r="DP16" s="210">
        <f t="shared" si="4"/>
        <v>49582</v>
      </c>
      <c r="DQ16" s="210">
        <f t="shared" si="4"/>
        <v>49613</v>
      </c>
      <c r="DR16" s="210">
        <f t="shared" si="4"/>
        <v>49643</v>
      </c>
      <c r="DS16" s="210">
        <f t="shared" si="4"/>
        <v>49674</v>
      </c>
      <c r="DT16" s="210">
        <f t="shared" si="4"/>
        <v>49705</v>
      </c>
      <c r="DU16" s="210">
        <f t="shared" ref="DU16:ER16" si="5">DU6</f>
        <v>49734</v>
      </c>
      <c r="DV16" s="210">
        <f t="shared" si="5"/>
        <v>49765</v>
      </c>
      <c r="DW16" s="210">
        <f t="shared" si="5"/>
        <v>49795</v>
      </c>
      <c r="DX16" s="210">
        <f t="shared" si="5"/>
        <v>49826</v>
      </c>
      <c r="DY16" s="210">
        <f t="shared" si="5"/>
        <v>49856</v>
      </c>
      <c r="DZ16" s="210">
        <f t="shared" si="5"/>
        <v>49887</v>
      </c>
      <c r="EA16" s="210">
        <f t="shared" si="5"/>
        <v>49918</v>
      </c>
      <c r="EB16" s="210">
        <f t="shared" si="5"/>
        <v>49948</v>
      </c>
      <c r="EC16" s="210">
        <f t="shared" si="5"/>
        <v>49979</v>
      </c>
      <c r="ED16" s="210">
        <f t="shared" si="5"/>
        <v>50009</v>
      </c>
      <c r="EE16" s="210">
        <f t="shared" si="5"/>
        <v>50040</v>
      </c>
      <c r="EF16" s="210">
        <f t="shared" si="5"/>
        <v>50071</v>
      </c>
      <c r="EG16" s="210">
        <f t="shared" si="5"/>
        <v>50099</v>
      </c>
      <c r="EH16" s="210">
        <f t="shared" si="5"/>
        <v>50130</v>
      </c>
      <c r="EI16" s="210">
        <f t="shared" si="5"/>
        <v>50160</v>
      </c>
      <c r="EJ16" s="210">
        <f t="shared" si="5"/>
        <v>50191</v>
      </c>
      <c r="EK16" s="210">
        <f t="shared" si="5"/>
        <v>50221</v>
      </c>
      <c r="EL16" s="210">
        <f t="shared" si="5"/>
        <v>50252</v>
      </c>
      <c r="EM16" s="210">
        <f t="shared" si="5"/>
        <v>50283</v>
      </c>
      <c r="EN16" s="210">
        <f t="shared" si="5"/>
        <v>50313</v>
      </c>
      <c r="EO16" s="210">
        <f t="shared" si="5"/>
        <v>50344</v>
      </c>
      <c r="EP16" s="210">
        <f t="shared" si="5"/>
        <v>50374</v>
      </c>
      <c r="EQ16" s="210">
        <f t="shared" si="5"/>
        <v>50405</v>
      </c>
      <c r="ER16" s="210">
        <f t="shared" si="5"/>
        <v>50436</v>
      </c>
    </row>
    <row r="17" spans="2:148" ht="11.25" customHeight="1">
      <c r="B17" s="211" t="s">
        <v>484</v>
      </c>
      <c r="C17" s="212"/>
      <c r="D17" s="212"/>
      <c r="E17" s="212"/>
      <c r="F17" s="212"/>
      <c r="G17" s="212"/>
      <c r="H17" s="212"/>
      <c r="I17" s="213"/>
      <c r="J17" s="696"/>
      <c r="K17" s="215">
        <f>K18-K22-K24</f>
        <v>107931006.17586073</v>
      </c>
      <c r="M17" s="235">
        <f>M18-M22-M24</f>
        <v>0</v>
      </c>
      <c r="N17" s="235">
        <f t="shared" ref="N17:BY17" si="6">N18-N22-N24</f>
        <v>747889.50926901447</v>
      </c>
      <c r="O17" s="235">
        <f t="shared" si="6"/>
        <v>757114.74980026472</v>
      </c>
      <c r="P17" s="235">
        <f t="shared" si="6"/>
        <v>566404.73912526492</v>
      </c>
      <c r="Q17" s="235">
        <f t="shared" si="6"/>
        <v>661947.48074010841</v>
      </c>
      <c r="R17" s="235">
        <f t="shared" si="6"/>
        <v>730823.51399010851</v>
      </c>
      <c r="S17" s="235">
        <f t="shared" si="6"/>
        <v>769703.5925901084</v>
      </c>
      <c r="T17" s="235">
        <f t="shared" si="6"/>
        <v>634950.47165385855</v>
      </c>
      <c r="U17" s="235">
        <f t="shared" si="6"/>
        <v>806918.66277885868</v>
      </c>
      <c r="V17" s="235">
        <f t="shared" si="6"/>
        <v>807463.62196635862</v>
      </c>
      <c r="W17" s="235">
        <f t="shared" si="6"/>
        <v>808008.58115385857</v>
      </c>
      <c r="X17" s="235">
        <f t="shared" si="6"/>
        <v>808008.58115385857</v>
      </c>
      <c r="Y17" s="235">
        <f t="shared" si="6"/>
        <v>787862.63665385859</v>
      </c>
      <c r="Z17" s="235">
        <f t="shared" si="6"/>
        <v>787830.18427959573</v>
      </c>
      <c r="AA17" s="235">
        <f t="shared" si="6"/>
        <v>786140.85157412686</v>
      </c>
      <c r="AB17" s="235">
        <f t="shared" si="6"/>
        <v>590663.09063225193</v>
      </c>
      <c r="AC17" s="235">
        <f t="shared" si="6"/>
        <v>688594.40078746714</v>
      </c>
      <c r="AD17" s="235">
        <f t="shared" si="6"/>
        <v>759192.33486871701</v>
      </c>
      <c r="AE17" s="235">
        <f t="shared" si="6"/>
        <v>799044.41543371696</v>
      </c>
      <c r="AF17" s="235">
        <f t="shared" si="6"/>
        <v>660922.46647406067</v>
      </c>
      <c r="AG17" s="235">
        <f t="shared" si="6"/>
        <v>837189.86237718561</v>
      </c>
      <c r="AH17" s="235">
        <f t="shared" si="6"/>
        <v>837748.44554437324</v>
      </c>
      <c r="AI17" s="235">
        <f t="shared" si="6"/>
        <v>838307.02871156065</v>
      </c>
      <c r="AJ17" s="235">
        <f t="shared" si="6"/>
        <v>838307.02871156065</v>
      </c>
      <c r="AK17" s="235">
        <f t="shared" si="6"/>
        <v>817657.43559906073</v>
      </c>
      <c r="AL17" s="235">
        <f t="shared" si="6"/>
        <v>838208.296365396</v>
      </c>
      <c r="AM17" s="235">
        <f t="shared" si="6"/>
        <v>815827.13722979056</v>
      </c>
      <c r="AN17" s="235">
        <f t="shared" si="6"/>
        <v>791741.45858624356</v>
      </c>
      <c r="AO17" s="235">
        <f t="shared" si="6"/>
        <v>860588.98324752634</v>
      </c>
      <c r="AP17" s="235">
        <f t="shared" si="6"/>
        <v>788204.90760674502</v>
      </c>
      <c r="AQ17" s="235">
        <f t="shared" si="6"/>
        <v>829053.29018587002</v>
      </c>
      <c r="AR17" s="235">
        <f t="shared" si="6"/>
        <v>869297.4687956596</v>
      </c>
      <c r="AS17" s="235">
        <f t="shared" si="6"/>
        <v>-193760.84524069447</v>
      </c>
      <c r="AT17" s="235">
        <f t="shared" si="6"/>
        <v>-166820.45940228994</v>
      </c>
      <c r="AU17" s="235">
        <f t="shared" si="6"/>
        <v>-231309.79722579091</v>
      </c>
      <c r="AV17" s="235">
        <f t="shared" si="6"/>
        <v>-162911.40470362175</v>
      </c>
      <c r="AW17" s="235">
        <f t="shared" si="6"/>
        <v>-184077.23764393432</v>
      </c>
      <c r="AX17" s="235">
        <f t="shared" si="6"/>
        <v>898836.74809336814</v>
      </c>
      <c r="AY17" s="235">
        <f t="shared" si="6"/>
        <v>904952.31999872311</v>
      </c>
      <c r="AZ17" s="235">
        <f t="shared" si="6"/>
        <v>903167.9187761416</v>
      </c>
      <c r="BA17" s="235">
        <f t="shared" si="6"/>
        <v>900708.5331513834</v>
      </c>
      <c r="BB17" s="235">
        <f t="shared" si="6"/>
        <v>854169.65916288795</v>
      </c>
      <c r="BC17" s="235">
        <f t="shared" si="6"/>
        <v>896039.25130649109</v>
      </c>
      <c r="BD17" s="235">
        <f t="shared" si="6"/>
        <v>936674.36713871779</v>
      </c>
      <c r="BE17" s="235">
        <f t="shared" si="6"/>
        <v>937232.92277596297</v>
      </c>
      <c r="BF17" s="235">
        <f t="shared" si="6"/>
        <v>937232.92277596297</v>
      </c>
      <c r="BG17" s="235">
        <f t="shared" si="6"/>
        <v>940652.84240207158</v>
      </c>
      <c r="BH17" s="235">
        <f t="shared" si="6"/>
        <v>940652.84240207158</v>
      </c>
      <c r="BI17" s="235">
        <f t="shared" si="6"/>
        <v>940652.84240207158</v>
      </c>
      <c r="BJ17" s="235">
        <f t="shared" si="6"/>
        <v>940421.36562118342</v>
      </c>
      <c r="BK17" s="235">
        <f t="shared" si="6"/>
        <v>946619.75400036981</v>
      </c>
      <c r="BL17" s="235">
        <f t="shared" si="6"/>
        <v>951332.13683280803</v>
      </c>
      <c r="BM17" s="235">
        <f t="shared" si="6"/>
        <v>964099.73439039977</v>
      </c>
      <c r="BN17" s="235">
        <f t="shared" si="6"/>
        <v>888051.2149203039</v>
      </c>
      <c r="BO17" s="235">
        <f t="shared" si="6"/>
        <v>930967.54686749715</v>
      </c>
      <c r="BP17" s="235">
        <f t="shared" si="6"/>
        <v>973247.67172926839</v>
      </c>
      <c r="BQ17" s="235">
        <f t="shared" si="6"/>
        <v>973247.67172926839</v>
      </c>
      <c r="BR17" s="235">
        <f t="shared" si="6"/>
        <v>973247.67172926839</v>
      </c>
      <c r="BS17" s="235">
        <f t="shared" si="6"/>
        <v>976753.08934602968</v>
      </c>
      <c r="BT17" s="235">
        <f t="shared" si="6"/>
        <v>976753.08934602968</v>
      </c>
      <c r="BU17" s="235">
        <f t="shared" si="6"/>
        <v>976753.08934602968</v>
      </c>
      <c r="BV17" s="235">
        <f t="shared" si="6"/>
        <v>976455.09967445058</v>
      </c>
      <c r="BW17" s="235">
        <f t="shared" si="6"/>
        <v>982808.44776311691</v>
      </c>
      <c r="BX17" s="235">
        <f t="shared" si="6"/>
        <v>987638.64016636636</v>
      </c>
      <c r="BY17" s="235">
        <f t="shared" si="6"/>
        <v>1000725.4276628975</v>
      </c>
      <c r="BZ17" s="235">
        <f t="shared" ref="BZ17:DT17" si="7">BZ18-BZ22-BZ24</f>
        <v>922775.69520604925</v>
      </c>
      <c r="CA17" s="235">
        <f t="shared" si="7"/>
        <v>966764.93545192259</v>
      </c>
      <c r="CB17" s="235">
        <f t="shared" si="7"/>
        <v>1010102.0634352382</v>
      </c>
      <c r="CC17" s="235">
        <f t="shared" si="7"/>
        <v>1010102.0634352382</v>
      </c>
      <c r="CD17" s="235">
        <f t="shared" si="7"/>
        <v>1010102.0634352382</v>
      </c>
      <c r="CE17" s="235">
        <f t="shared" si="7"/>
        <v>1013695.1164924185</v>
      </c>
      <c r="CF17" s="235">
        <f t="shared" si="7"/>
        <v>1013695.1164924185</v>
      </c>
      <c r="CG17" s="235">
        <f t="shared" si="7"/>
        <v>1013695.1164924185</v>
      </c>
      <c r="CH17" s="235">
        <f t="shared" si="7"/>
        <v>1013330.4878248324</v>
      </c>
      <c r="CI17" s="235">
        <f t="shared" si="7"/>
        <v>1019842.6696157152</v>
      </c>
      <c r="CJ17" s="235">
        <f t="shared" si="7"/>
        <v>1024793.6168290459</v>
      </c>
      <c r="CK17" s="235">
        <f t="shared" si="7"/>
        <v>1038207.5740129905</v>
      </c>
      <c r="CL17" s="235">
        <f t="shared" si="7"/>
        <v>958309.09824472119</v>
      </c>
      <c r="CM17" s="235">
        <f t="shared" si="7"/>
        <v>1003398.0694967412</v>
      </c>
      <c r="CN17" s="235">
        <f t="shared" si="7"/>
        <v>1047818.6256796395</v>
      </c>
      <c r="CO17" s="235">
        <f t="shared" si="7"/>
        <v>1047818.6256796395</v>
      </c>
      <c r="CP17" s="235">
        <f t="shared" si="7"/>
        <v>1047818.6256796395</v>
      </c>
      <c r="CQ17" s="235">
        <f t="shared" si="7"/>
        <v>1051501.5050632493</v>
      </c>
      <c r="CR17" s="235">
        <f t="shared" si="7"/>
        <v>1051501.5050632493</v>
      </c>
      <c r="CS17" s="235">
        <f t="shared" si="7"/>
        <v>1051501.5050632493</v>
      </c>
      <c r="CT17" s="235">
        <f t="shared" si="7"/>
        <v>1051070.0870103748</v>
      </c>
      <c r="CU17" s="235">
        <f t="shared" si="7"/>
        <v>1057745.07334603</v>
      </c>
      <c r="CV17" s="235">
        <f t="shared" si="7"/>
        <v>1062819.7942396938</v>
      </c>
      <c r="CW17" s="235">
        <f t="shared" si="7"/>
        <v>1076569.1003532368</v>
      </c>
      <c r="CX17" s="235">
        <f t="shared" si="7"/>
        <v>994673.16269076068</v>
      </c>
      <c r="CY17" s="235">
        <f t="shared" si="7"/>
        <v>1040889.358224081</v>
      </c>
      <c r="CZ17" s="235">
        <f t="shared" si="7"/>
        <v>449443.66571998061</v>
      </c>
      <c r="DA17" s="235">
        <f t="shared" si="7"/>
        <v>1049595.4361040266</v>
      </c>
      <c r="DB17" s="235">
        <f t="shared" si="7"/>
        <v>1049595.4361040266</v>
      </c>
      <c r="DC17" s="235">
        <f t="shared" si="7"/>
        <v>975983.88442412729</v>
      </c>
      <c r="DD17" s="235">
        <f t="shared" si="7"/>
        <v>1053370.3874722263</v>
      </c>
      <c r="DE17" s="235">
        <f t="shared" si="7"/>
        <v>1053370.3874722263</v>
      </c>
      <c r="DF17" s="235">
        <f t="shared" si="7"/>
        <v>1052955.4781890316</v>
      </c>
      <c r="DG17" s="235">
        <f t="shared" si="7"/>
        <v>1059605.2123306552</v>
      </c>
      <c r="DH17" s="235">
        <f t="shared" si="7"/>
        <v>1047064.5385286446</v>
      </c>
      <c r="DI17" s="235">
        <f t="shared" si="7"/>
        <v>1036577.4535864425</v>
      </c>
      <c r="DJ17" s="235">
        <f t="shared" si="7"/>
        <v>1078794.4537518534</v>
      </c>
      <c r="DK17" s="235">
        <f t="shared" si="7"/>
        <v>1052707.3491941015</v>
      </c>
      <c r="DL17" s="235">
        <f t="shared" si="7"/>
        <v>1088044.1901368694</v>
      </c>
      <c r="DM17" s="235">
        <f t="shared" si="7"/>
        <v>1088676.1445722049</v>
      </c>
      <c r="DN17" s="235">
        <f t="shared" si="7"/>
        <v>1088676.1445722049</v>
      </c>
      <c r="DO17" s="235">
        <f t="shared" si="7"/>
        <v>1092545.4697246097</v>
      </c>
      <c r="DP17" s="235">
        <f t="shared" si="7"/>
        <v>1092545.4697246097</v>
      </c>
      <c r="DQ17" s="235">
        <f t="shared" si="7"/>
        <v>1092545.4697246097</v>
      </c>
      <c r="DR17" s="235">
        <f t="shared" si="7"/>
        <v>1092065.4840629715</v>
      </c>
      <c r="DS17" s="235">
        <f t="shared" si="7"/>
        <v>1098881.4615581357</v>
      </c>
      <c r="DT17" s="235">
        <f t="shared" si="7"/>
        <v>1104051.3862071589</v>
      </c>
      <c r="DU17" s="235">
        <f t="shared" ref="DU17:ER17" si="8">DU18-DU22-DU24</f>
        <v>1118059.7697880801</v>
      </c>
      <c r="DV17" s="235">
        <f t="shared" si="8"/>
        <v>1118059.7697880801</v>
      </c>
      <c r="DW17" s="235">
        <f t="shared" si="8"/>
        <v>1123391.5812675261</v>
      </c>
      <c r="DX17" s="235">
        <f t="shared" si="8"/>
        <v>1128188.5028789402</v>
      </c>
      <c r="DY17" s="235">
        <f t="shared" si="8"/>
        <v>1128188.5028789402</v>
      </c>
      <c r="DZ17" s="235">
        <f t="shared" si="8"/>
        <v>1128188.5028789402</v>
      </c>
      <c r="EA17" s="235">
        <f t="shared" si="8"/>
        <v>1132154.5611601553</v>
      </c>
      <c r="EB17" s="235">
        <f t="shared" si="8"/>
        <v>1132154.5611601553</v>
      </c>
      <c r="EC17" s="235">
        <f t="shared" si="8"/>
        <v>1132154.5611601553</v>
      </c>
      <c r="ED17" s="235">
        <f t="shared" si="8"/>
        <v>0</v>
      </c>
      <c r="EE17" s="235">
        <f t="shared" si="8"/>
        <v>0</v>
      </c>
      <c r="EF17" s="235">
        <f t="shared" si="8"/>
        <v>0</v>
      </c>
      <c r="EG17" s="235">
        <f t="shared" si="8"/>
        <v>0</v>
      </c>
      <c r="EH17" s="235">
        <f t="shared" si="8"/>
        <v>0</v>
      </c>
      <c r="EI17" s="235">
        <f t="shared" si="8"/>
        <v>0</v>
      </c>
      <c r="EJ17" s="235">
        <f t="shared" si="8"/>
        <v>0</v>
      </c>
      <c r="EK17" s="235">
        <f t="shared" si="8"/>
        <v>0</v>
      </c>
      <c r="EL17" s="235">
        <f t="shared" si="8"/>
        <v>0</v>
      </c>
      <c r="EM17" s="235">
        <f t="shared" si="8"/>
        <v>0</v>
      </c>
      <c r="EN17" s="235">
        <f t="shared" si="8"/>
        <v>0</v>
      </c>
      <c r="EO17" s="235">
        <f t="shared" si="8"/>
        <v>0</v>
      </c>
      <c r="EP17" s="235">
        <f t="shared" si="8"/>
        <v>0</v>
      </c>
      <c r="EQ17" s="235">
        <f t="shared" si="8"/>
        <v>0</v>
      </c>
      <c r="ER17" s="235">
        <f t="shared" si="8"/>
        <v>0</v>
      </c>
    </row>
    <row r="18" spans="2:148" ht="11.25" customHeight="1">
      <c r="B18" s="218"/>
      <c r="C18" s="158" t="s">
        <v>459</v>
      </c>
      <c r="D18" s="159"/>
      <c r="E18" s="159"/>
      <c r="F18" s="159"/>
      <c r="G18" s="159"/>
      <c r="H18" s="159"/>
      <c r="I18" s="160"/>
      <c r="J18" s="219"/>
      <c r="K18" s="220">
        <f>SUM(K19:K21)</f>
        <v>173411614.93373632</v>
      </c>
      <c r="L18" s="98"/>
      <c r="M18" s="162">
        <f t="shared" ref="M18:AR18" si="9">SUM(M19:M21)</f>
        <v>0</v>
      </c>
      <c r="N18" s="162">
        <f t="shared" si="9"/>
        <v>1295357.1049690829</v>
      </c>
      <c r="O18" s="162">
        <f t="shared" si="9"/>
        <v>1293708.9755003331</v>
      </c>
      <c r="P18" s="162">
        <f t="shared" si="9"/>
        <v>1102998.9648253333</v>
      </c>
      <c r="Q18" s="162">
        <f t="shared" si="9"/>
        <v>1198541.7064401768</v>
      </c>
      <c r="R18" s="162">
        <f t="shared" si="9"/>
        <v>1267417.7396901769</v>
      </c>
      <c r="S18" s="162">
        <f t="shared" si="9"/>
        <v>1306297.8182901768</v>
      </c>
      <c r="T18" s="162">
        <f t="shared" si="9"/>
        <v>1171544.697353927</v>
      </c>
      <c r="U18" s="162">
        <f t="shared" si="9"/>
        <v>1343512.8884789271</v>
      </c>
      <c r="V18" s="162">
        <f t="shared" si="9"/>
        <v>1344057.847666427</v>
      </c>
      <c r="W18" s="162">
        <f t="shared" si="9"/>
        <v>1344602.806853927</v>
      </c>
      <c r="X18" s="162">
        <f t="shared" si="9"/>
        <v>1344602.806853927</v>
      </c>
      <c r="Y18" s="162">
        <f t="shared" si="9"/>
        <v>1324456.862353927</v>
      </c>
      <c r="Z18" s="162">
        <f t="shared" si="9"/>
        <v>1324602.0062289268</v>
      </c>
      <c r="AA18" s="162">
        <f t="shared" si="9"/>
        <v>1322912.673523458</v>
      </c>
      <c r="AB18" s="162">
        <f t="shared" si="9"/>
        <v>1127434.912581583</v>
      </c>
      <c r="AC18" s="162">
        <f t="shared" si="9"/>
        <v>1225366.2227367982</v>
      </c>
      <c r="AD18" s="162">
        <f t="shared" si="9"/>
        <v>1295964.1568180481</v>
      </c>
      <c r="AE18" s="162">
        <f t="shared" si="9"/>
        <v>1335816.2373830481</v>
      </c>
      <c r="AF18" s="162">
        <f t="shared" si="9"/>
        <v>1197694.2884233918</v>
      </c>
      <c r="AG18" s="162">
        <f t="shared" si="9"/>
        <v>1373961.6843265167</v>
      </c>
      <c r="AH18" s="162">
        <f t="shared" si="9"/>
        <v>1374520.2674937043</v>
      </c>
      <c r="AI18" s="162">
        <f t="shared" si="9"/>
        <v>1375078.8506608917</v>
      </c>
      <c r="AJ18" s="162">
        <f t="shared" si="9"/>
        <v>1375078.8506608917</v>
      </c>
      <c r="AK18" s="162">
        <f t="shared" si="9"/>
        <v>1354429.2575483918</v>
      </c>
      <c r="AL18" s="162">
        <f t="shared" si="9"/>
        <v>1375227.6231327667</v>
      </c>
      <c r="AM18" s="162">
        <f t="shared" si="9"/>
        <v>1352846.4639971612</v>
      </c>
      <c r="AN18" s="162">
        <f t="shared" si="9"/>
        <v>1328760.7853536143</v>
      </c>
      <c r="AO18" s="162">
        <f t="shared" si="9"/>
        <v>1397608.310014897</v>
      </c>
      <c r="AP18" s="162">
        <f t="shared" si="9"/>
        <v>1325224.2343741157</v>
      </c>
      <c r="AQ18" s="162">
        <f t="shared" si="9"/>
        <v>1366072.6169532407</v>
      </c>
      <c r="AR18" s="162">
        <f t="shared" si="9"/>
        <v>1406316.7955630303</v>
      </c>
      <c r="AS18" s="162">
        <f t="shared" ref="AS18:BX18" si="10">SUM(AS19:AS21)</f>
        <v>343258.48152667622</v>
      </c>
      <c r="AT18" s="162">
        <f t="shared" si="10"/>
        <v>370198.86736508075</v>
      </c>
      <c r="AU18" s="162">
        <f t="shared" si="10"/>
        <v>374107.92206374893</v>
      </c>
      <c r="AV18" s="162">
        <f t="shared" si="10"/>
        <v>374107.92206374893</v>
      </c>
      <c r="AW18" s="162">
        <f t="shared" si="10"/>
        <v>352942.08912343637</v>
      </c>
      <c r="AX18" s="162">
        <f t="shared" si="10"/>
        <v>1436173.6323910407</v>
      </c>
      <c r="AY18" s="162">
        <f t="shared" si="10"/>
        <v>1442289.2042963956</v>
      </c>
      <c r="AZ18" s="162">
        <f t="shared" si="10"/>
        <v>1456046.9412053381</v>
      </c>
      <c r="BA18" s="162">
        <f t="shared" si="10"/>
        <v>1465700.2209923612</v>
      </c>
      <c r="BB18" s="162">
        <f t="shared" si="10"/>
        <v>1391506.5434605605</v>
      </c>
      <c r="BC18" s="162">
        <f t="shared" si="10"/>
        <v>1433376.1356041636</v>
      </c>
      <c r="BD18" s="162">
        <f t="shared" si="10"/>
        <v>1474569.8070736355</v>
      </c>
      <c r="BE18" s="162">
        <f t="shared" si="10"/>
        <v>1474569.8070736355</v>
      </c>
      <c r="BF18" s="162">
        <f t="shared" si="10"/>
        <v>1474569.8070736355</v>
      </c>
      <c r="BG18" s="162">
        <f t="shared" si="10"/>
        <v>1477989.7266997441</v>
      </c>
      <c r="BH18" s="162">
        <f t="shared" si="10"/>
        <v>1477989.7266997441</v>
      </c>
      <c r="BI18" s="162">
        <f t="shared" si="10"/>
        <v>1477989.7266997441</v>
      </c>
      <c r="BJ18" s="162">
        <f t="shared" si="10"/>
        <v>1478146.030778008</v>
      </c>
      <c r="BK18" s="162">
        <f t="shared" si="10"/>
        <v>1484344.4191571944</v>
      </c>
      <c r="BL18" s="162">
        <f t="shared" si="10"/>
        <v>1489056.8019896327</v>
      </c>
      <c r="BM18" s="162">
        <f t="shared" si="10"/>
        <v>1501824.3995472244</v>
      </c>
      <c r="BN18" s="162">
        <f t="shared" si="10"/>
        <v>1425775.8800771285</v>
      </c>
      <c r="BO18" s="162">
        <f t="shared" si="10"/>
        <v>1468692.2120243218</v>
      </c>
      <c r="BP18" s="162">
        <f t="shared" si="10"/>
        <v>1510972.336886093</v>
      </c>
      <c r="BQ18" s="162">
        <f t="shared" si="10"/>
        <v>1510972.336886093</v>
      </c>
      <c r="BR18" s="162">
        <f t="shared" si="10"/>
        <v>1510972.336886093</v>
      </c>
      <c r="BS18" s="162">
        <f t="shared" si="10"/>
        <v>1514477.7545028543</v>
      </c>
      <c r="BT18" s="162">
        <f t="shared" si="10"/>
        <v>1514477.7545028543</v>
      </c>
      <c r="BU18" s="162">
        <f t="shared" si="10"/>
        <v>1514477.7545028543</v>
      </c>
      <c r="BV18" s="162">
        <f t="shared" si="10"/>
        <v>1514637.9661830745</v>
      </c>
      <c r="BW18" s="162">
        <f t="shared" si="10"/>
        <v>1520991.3142717408</v>
      </c>
      <c r="BX18" s="162">
        <f t="shared" si="10"/>
        <v>1525821.5066749903</v>
      </c>
      <c r="BY18" s="162">
        <f t="shared" ref="BY18:DD18" si="11">SUM(BY19:BY21)</f>
        <v>1538908.2941715214</v>
      </c>
      <c r="BZ18" s="162">
        <f t="shared" si="11"/>
        <v>1460958.5617146732</v>
      </c>
      <c r="CA18" s="162">
        <f t="shared" si="11"/>
        <v>1504947.8019605465</v>
      </c>
      <c r="CB18" s="162">
        <f t="shared" si="11"/>
        <v>1548284.9299438621</v>
      </c>
      <c r="CC18" s="162">
        <f t="shared" si="11"/>
        <v>1548284.9299438621</v>
      </c>
      <c r="CD18" s="162">
        <f t="shared" si="11"/>
        <v>1548284.9299438621</v>
      </c>
      <c r="CE18" s="162">
        <f t="shared" si="11"/>
        <v>1551877.9830010424</v>
      </c>
      <c r="CF18" s="162">
        <f t="shared" si="11"/>
        <v>1551877.9830010424</v>
      </c>
      <c r="CG18" s="162">
        <f t="shared" si="11"/>
        <v>1551877.9830010424</v>
      </c>
      <c r="CH18" s="162">
        <f t="shared" si="11"/>
        <v>1552042.1999732682</v>
      </c>
      <c r="CI18" s="162">
        <f t="shared" si="11"/>
        <v>1558554.3817641509</v>
      </c>
      <c r="CJ18" s="162">
        <f t="shared" si="11"/>
        <v>1563505.3289774817</v>
      </c>
      <c r="CK18" s="162">
        <f t="shared" si="11"/>
        <v>1576919.2861614262</v>
      </c>
      <c r="CL18" s="162">
        <f t="shared" si="11"/>
        <v>1497020.8103931569</v>
      </c>
      <c r="CM18" s="162">
        <f t="shared" si="11"/>
        <v>1542109.7816451769</v>
      </c>
      <c r="CN18" s="162">
        <f t="shared" si="11"/>
        <v>1586530.3378280753</v>
      </c>
      <c r="CO18" s="162">
        <f t="shared" si="11"/>
        <v>1586530.3378280753</v>
      </c>
      <c r="CP18" s="162">
        <f t="shared" si="11"/>
        <v>1586530.3378280753</v>
      </c>
      <c r="CQ18" s="162">
        <f t="shared" si="11"/>
        <v>1590213.2172116851</v>
      </c>
      <c r="CR18" s="162">
        <f t="shared" si="11"/>
        <v>1590213.2172116851</v>
      </c>
      <c r="CS18" s="162">
        <f t="shared" si="11"/>
        <v>1590213.2172116851</v>
      </c>
      <c r="CT18" s="162">
        <f t="shared" si="11"/>
        <v>1590381.5396082164</v>
      </c>
      <c r="CU18" s="162">
        <f t="shared" si="11"/>
        <v>1597056.5259438714</v>
      </c>
      <c r="CV18" s="162">
        <f t="shared" si="11"/>
        <v>1602131.2468375354</v>
      </c>
      <c r="CW18" s="162">
        <f t="shared" si="11"/>
        <v>1615880.5529510784</v>
      </c>
      <c r="CX18" s="162">
        <f t="shared" si="11"/>
        <v>1533984.6152886022</v>
      </c>
      <c r="CY18" s="162">
        <f t="shared" si="11"/>
        <v>1580200.8108219225</v>
      </c>
      <c r="CZ18" s="162">
        <f t="shared" si="11"/>
        <v>1588906.888701868</v>
      </c>
      <c r="DA18" s="162">
        <f t="shared" si="11"/>
        <v>1588906.888701868</v>
      </c>
      <c r="DB18" s="162">
        <f t="shared" si="11"/>
        <v>1588906.888701868</v>
      </c>
      <c r="DC18" s="162">
        <f t="shared" si="11"/>
        <v>1592681.8400700677</v>
      </c>
      <c r="DD18" s="162">
        <f t="shared" si="11"/>
        <v>1592681.8400700677</v>
      </c>
      <c r="DE18" s="162">
        <f t="shared" ref="DE18:DT18" si="12">SUM(DE19:DE21)</f>
        <v>1592681.8400700677</v>
      </c>
      <c r="DF18" s="162">
        <f t="shared" si="12"/>
        <v>1592937.8433986418</v>
      </c>
      <c r="DG18" s="162">
        <f t="shared" si="12"/>
        <v>1599587.5775402654</v>
      </c>
      <c r="DH18" s="162">
        <f t="shared" si="12"/>
        <v>1604631.4064661416</v>
      </c>
      <c r="DI18" s="162">
        <f t="shared" si="12"/>
        <v>1618776.8189614636</v>
      </c>
      <c r="DJ18" s="162">
        <f t="shared" si="12"/>
        <v>1618776.8189614636</v>
      </c>
      <c r="DK18" s="162">
        <f t="shared" si="12"/>
        <v>1623978.5862584841</v>
      </c>
      <c r="DL18" s="162">
        <f t="shared" si="12"/>
        <v>1628658.5097818151</v>
      </c>
      <c r="DM18" s="162">
        <f t="shared" si="12"/>
        <v>1628658.5097818151</v>
      </c>
      <c r="DN18" s="162">
        <f t="shared" si="12"/>
        <v>1628658.5097818151</v>
      </c>
      <c r="DO18" s="162">
        <f t="shared" si="12"/>
        <v>1632527.83493422</v>
      </c>
      <c r="DP18" s="162">
        <f t="shared" si="12"/>
        <v>1632527.83493422</v>
      </c>
      <c r="DQ18" s="162">
        <f t="shared" si="12"/>
        <v>1632527.83493422</v>
      </c>
      <c r="DR18" s="162">
        <f t="shared" si="12"/>
        <v>1632790.2383460081</v>
      </c>
      <c r="DS18" s="162">
        <f t="shared" si="12"/>
        <v>1639606.2158411723</v>
      </c>
      <c r="DT18" s="162">
        <f t="shared" si="12"/>
        <v>1644776.1404901955</v>
      </c>
      <c r="DU18" s="162">
        <f t="shared" ref="DU18:ER18" si="13">SUM(DU19:DU21)</f>
        <v>1658784.5240711167</v>
      </c>
      <c r="DV18" s="162">
        <f t="shared" si="13"/>
        <v>1658784.5240711167</v>
      </c>
      <c r="DW18" s="162">
        <f t="shared" si="13"/>
        <v>1664116.3355505627</v>
      </c>
      <c r="DX18" s="162">
        <f t="shared" si="13"/>
        <v>1668913.2571619768</v>
      </c>
      <c r="DY18" s="162">
        <f t="shared" si="13"/>
        <v>1668913.2571619768</v>
      </c>
      <c r="DZ18" s="162">
        <f t="shared" si="13"/>
        <v>1668913.2571619768</v>
      </c>
      <c r="EA18" s="162">
        <f t="shared" si="13"/>
        <v>1672879.3154431919</v>
      </c>
      <c r="EB18" s="162">
        <f t="shared" si="13"/>
        <v>1672879.3154431919</v>
      </c>
      <c r="EC18" s="162">
        <f t="shared" si="13"/>
        <v>1672879.3154431919</v>
      </c>
      <c r="ED18" s="162">
        <f t="shared" si="13"/>
        <v>0</v>
      </c>
      <c r="EE18" s="162">
        <f t="shared" si="13"/>
        <v>0</v>
      </c>
      <c r="EF18" s="162">
        <f t="shared" si="13"/>
        <v>0</v>
      </c>
      <c r="EG18" s="162">
        <f t="shared" si="13"/>
        <v>0</v>
      </c>
      <c r="EH18" s="162">
        <f t="shared" si="13"/>
        <v>0</v>
      </c>
      <c r="EI18" s="162">
        <f t="shared" si="13"/>
        <v>0</v>
      </c>
      <c r="EJ18" s="162">
        <f t="shared" si="13"/>
        <v>0</v>
      </c>
      <c r="EK18" s="162">
        <f t="shared" si="13"/>
        <v>0</v>
      </c>
      <c r="EL18" s="162">
        <f t="shared" si="13"/>
        <v>0</v>
      </c>
      <c r="EM18" s="162">
        <f t="shared" si="13"/>
        <v>0</v>
      </c>
      <c r="EN18" s="162">
        <f t="shared" si="13"/>
        <v>0</v>
      </c>
      <c r="EO18" s="162">
        <f t="shared" si="13"/>
        <v>0</v>
      </c>
      <c r="EP18" s="162">
        <f t="shared" si="13"/>
        <v>0</v>
      </c>
      <c r="EQ18" s="162">
        <f t="shared" si="13"/>
        <v>0</v>
      </c>
      <c r="ER18" s="162">
        <f t="shared" si="13"/>
        <v>0</v>
      </c>
    </row>
    <row r="19" spans="2:148" ht="11.25" customHeight="1">
      <c r="B19" s="218"/>
      <c r="C19" s="163"/>
      <c r="D19" s="164" t="s">
        <v>269</v>
      </c>
      <c r="E19" s="165"/>
      <c r="F19" s="165"/>
      <c r="G19" s="165"/>
      <c r="H19" s="165"/>
      <c r="I19" s="166"/>
      <c r="J19" s="221"/>
      <c r="K19" s="168">
        <f>SUM(M19:ER19)</f>
        <v>163345518.48045686</v>
      </c>
      <c r="L19" s="98"/>
      <c r="M19" s="168">
        <f>'NOI(M)'!M16+'NOI(M)'!M17</f>
        <v>0</v>
      </c>
      <c r="N19" s="168">
        <f>'NOI(M)'!N16+'NOI(M)'!N17</f>
        <v>1219547.3341874997</v>
      </c>
      <c r="O19" s="168">
        <f>'NOI(M)'!O16+'NOI(M)'!O17</f>
        <v>1217628.7801249998</v>
      </c>
      <c r="P19" s="168">
        <f>'NOI(M)'!P16+'NOI(M)'!P17</f>
        <v>1026713.9021875</v>
      </c>
      <c r="Q19" s="168">
        <f>'NOI(M)'!Q16+'NOI(M)'!Q17</f>
        <v>1121705.8431718748</v>
      </c>
      <c r="R19" s="168">
        <f>'NOI(M)'!R16+'NOI(M)'!R17</f>
        <v>1190581.8764218749</v>
      </c>
      <c r="S19" s="168">
        <f>'NOI(M)'!S16+'NOI(M)'!S17</f>
        <v>1229250.9085468748</v>
      </c>
      <c r="T19" s="168">
        <f>'NOI(M)'!T16+'NOI(M)'!T17</f>
        <v>1094310.6244171874</v>
      </c>
      <c r="U19" s="168">
        <f>'NOI(M)'!U16+'NOI(M)'!U17</f>
        <v>1266278.8155421875</v>
      </c>
      <c r="V19" s="168">
        <f>'NOI(M)'!V16+'NOI(M)'!V17</f>
        <v>1266823.7747296875</v>
      </c>
      <c r="W19" s="168">
        <f>'NOI(M)'!W16+'NOI(M)'!W17</f>
        <v>1267368.7339171874</v>
      </c>
      <c r="X19" s="168">
        <f>'NOI(M)'!X16+'NOI(M)'!X17</f>
        <v>1267368.7339171874</v>
      </c>
      <c r="Y19" s="168">
        <f>'NOI(M)'!Y16+'NOI(M)'!Y17</f>
        <v>1247222.7894171875</v>
      </c>
      <c r="Z19" s="168">
        <f>'NOI(M)'!Z16+'NOI(M)'!Z17</f>
        <v>1247358.7065421874</v>
      </c>
      <c r="AA19" s="168">
        <f>'NOI(M)'!AA16+'NOI(M)'!AA17</f>
        <v>1245392.1886281248</v>
      </c>
      <c r="AB19" s="168">
        <f>'NOI(M)'!AB16+'NOI(M)'!AB17</f>
        <v>1049704.4387421873</v>
      </c>
      <c r="AC19" s="168">
        <f>'NOI(M)'!AC16+'NOI(M)'!AC17</f>
        <v>1147071.178251172</v>
      </c>
      <c r="AD19" s="168">
        <f>'NOI(M)'!AD16+'NOI(M)'!AD17</f>
        <v>1217669.1123324218</v>
      </c>
      <c r="AE19" s="168">
        <f>'NOI(M)'!AE16+'NOI(M)'!AE17</f>
        <v>1257304.8702605469</v>
      </c>
      <c r="AF19" s="168">
        <f>'NOI(M)'!AF16+'NOI(M)'!AF17</f>
        <v>1118991.0790276171</v>
      </c>
      <c r="AG19" s="168">
        <f>'NOI(M)'!AG16+'NOI(M)'!AG17</f>
        <v>1295258.4749307421</v>
      </c>
      <c r="AH19" s="168">
        <f>'NOI(M)'!AH16+'NOI(M)'!AH17</f>
        <v>1295817.0580979297</v>
      </c>
      <c r="AI19" s="168">
        <f>'NOI(M)'!AI16+'NOI(M)'!AI17</f>
        <v>1296375.6412651171</v>
      </c>
      <c r="AJ19" s="168">
        <f>'NOI(M)'!AJ16+'NOI(M)'!AJ17</f>
        <v>1296375.6412651171</v>
      </c>
      <c r="AK19" s="168">
        <f>'NOI(M)'!AK16+'NOI(M)'!AK17</f>
        <v>1275726.0481526172</v>
      </c>
      <c r="AL19" s="168">
        <f>'NOI(M)'!AL16+'NOI(M)'!AL17</f>
        <v>1296514.956318242</v>
      </c>
      <c r="AM19" s="168">
        <f>'NOI(M)'!AM16+'NOI(M)'!AM17</f>
        <v>1273849.682343828</v>
      </c>
      <c r="AN19" s="168">
        <f>'NOI(M)'!AN16+'NOI(M)'!AN17</f>
        <v>1249548.7650326169</v>
      </c>
      <c r="AO19" s="168">
        <f>'NOI(M)'!AO16+'NOI(M)'!AO17</f>
        <v>1317817.6047815136</v>
      </c>
      <c r="AP19" s="168">
        <f>'NOI(M)'!AP16+'NOI(M)'!AP17</f>
        <v>1245433.5291407323</v>
      </c>
      <c r="AQ19" s="168">
        <f>'NOI(M)'!AQ16+'NOI(M)'!AQ17</f>
        <v>1286060.1810170603</v>
      </c>
      <c r="AR19" s="168">
        <f>'NOI(M)'!AR16+'NOI(M)'!AR17</f>
        <v>1326107.7212967447</v>
      </c>
      <c r="AS19" s="168">
        <f>'NOI(M)'!AS16+'NOI(M)'!AS17</f>
        <v>263049.40726039046</v>
      </c>
      <c r="AT19" s="168">
        <f>'NOI(M)'!AT16+'NOI(M)'!AT17</f>
        <v>289989.79309879499</v>
      </c>
      <c r="AU19" s="168">
        <f>'NOI(M)'!AU16+'NOI(M)'!AU17</f>
        <v>293898.84779746318</v>
      </c>
      <c r="AV19" s="168">
        <f>'NOI(M)'!AV16+'NOI(M)'!AV17</f>
        <v>293898.84779746318</v>
      </c>
      <c r="AW19" s="168">
        <f>'NOI(M)'!AW16+'NOI(M)'!AW17</f>
        <v>272733.01485715061</v>
      </c>
      <c r="AX19" s="168">
        <f>'NOI(M)'!AX16+'NOI(M)'!AX17</f>
        <v>1355954.8642705362</v>
      </c>
      <c r="AY19" s="168">
        <f>'NOI(M)'!AY16+'NOI(M)'!AY17</f>
        <v>1361779.2184661124</v>
      </c>
      <c r="AZ19" s="168">
        <f>'NOI(M)'!AZ16+'NOI(M)'!AZ17</f>
        <v>1375316.3357406992</v>
      </c>
      <c r="BA19" s="168">
        <f>'NOI(M)'!BA16+'NOI(M)'!BA17</f>
        <v>1384376.4634925264</v>
      </c>
      <c r="BB19" s="168">
        <f>'NOI(M)'!BB16+'NOI(M)'!BB17</f>
        <v>1310182.7859607257</v>
      </c>
      <c r="BC19" s="168">
        <f>'NOI(M)'!BC16+'NOI(M)'!BC17</f>
        <v>1351825.104133962</v>
      </c>
      <c r="BD19" s="168">
        <f>'NOI(M)'!BD16+'NOI(M)'!BD17</f>
        <v>1392817.2213150761</v>
      </c>
      <c r="BE19" s="168">
        <f>'NOI(M)'!BE16+'NOI(M)'!BE17</f>
        <v>1392817.2213150761</v>
      </c>
      <c r="BF19" s="168">
        <f>'NOI(M)'!BF16+'NOI(M)'!BF17</f>
        <v>1392817.2213150761</v>
      </c>
      <c r="BG19" s="168">
        <f>'NOI(M)'!BG16+'NOI(M)'!BG17</f>
        <v>1396237.1409411847</v>
      </c>
      <c r="BH19" s="168">
        <f>'NOI(M)'!BH16+'NOI(M)'!BH17</f>
        <v>1396237.1409411847</v>
      </c>
      <c r="BI19" s="168">
        <f>'NOI(M)'!BI16+'NOI(M)'!BI17</f>
        <v>1396237.1409411847</v>
      </c>
      <c r="BJ19" s="168">
        <f>'NOI(M)'!BJ16+'NOI(M)'!BJ17</f>
        <v>1396383.5088188744</v>
      </c>
      <c r="BK19" s="168">
        <f>'NOI(M)'!BK16+'NOI(M)'!BK17</f>
        <v>1402283.3990455375</v>
      </c>
      <c r="BL19" s="168">
        <f>'NOI(M)'!BL16+'NOI(M)'!BL17</f>
        <v>1406769.6467527612</v>
      </c>
      <c r="BM19" s="168">
        <f>'NOI(M)'!BM16+'NOI(M)'!BM17</f>
        <v>1418929.263474277</v>
      </c>
      <c r="BN19" s="168">
        <f>'NOI(M)'!BN16+'NOI(M)'!BN17</f>
        <v>1342880.7440041811</v>
      </c>
      <c r="BO19" s="168">
        <f>'NOI(M)'!BO16+'NOI(M)'!BO17</f>
        <v>1385564.1201317485</v>
      </c>
      <c r="BP19" s="168">
        <f>'NOI(M)'!BP16+'NOI(M)'!BP17</f>
        <v>1427637.651847953</v>
      </c>
      <c r="BQ19" s="168">
        <f>'NOI(M)'!BQ16+'NOI(M)'!BQ17</f>
        <v>1427637.651847953</v>
      </c>
      <c r="BR19" s="168">
        <f>'NOI(M)'!BR16+'NOI(M)'!BR17</f>
        <v>1427637.651847953</v>
      </c>
      <c r="BS19" s="168">
        <f>'NOI(M)'!BS16+'NOI(M)'!BS17</f>
        <v>1431143.069464714</v>
      </c>
      <c r="BT19" s="168">
        <f>'NOI(M)'!BT16+'NOI(M)'!BT17</f>
        <v>1431143.069464714</v>
      </c>
      <c r="BU19" s="168">
        <f>'NOI(M)'!BU16+'NOI(M)'!BU17</f>
        <v>1431143.069464714</v>
      </c>
      <c r="BV19" s="168">
        <f>'NOI(M)'!BV16+'NOI(M)'!BV17</f>
        <v>1431293.0965393458</v>
      </c>
      <c r="BW19" s="168">
        <f>'NOI(M)'!BW16+'NOI(M)'!BW17</f>
        <v>1437340.4840216758</v>
      </c>
      <c r="BX19" s="168">
        <f>'NOI(M)'!BX16+'NOI(M)'!BX17</f>
        <v>1441938.8879215803</v>
      </c>
      <c r="BY19" s="168">
        <f>'NOI(M)'!BY16+'NOI(M)'!BY17</f>
        <v>1454402.4950611338</v>
      </c>
      <c r="BZ19" s="168">
        <f>'NOI(M)'!BZ16+'NOI(M)'!BZ17</f>
        <v>1376452.7626042855</v>
      </c>
      <c r="CA19" s="168">
        <f>'NOI(M)'!CA16+'NOI(M)'!CA17</f>
        <v>1420203.2231350422</v>
      </c>
      <c r="CB19" s="168">
        <f>'NOI(M)'!CB16+'NOI(M)'!CB17</f>
        <v>1463328.5931441518</v>
      </c>
      <c r="CC19" s="168">
        <f>'NOI(M)'!CC16+'NOI(M)'!CC17</f>
        <v>1463328.5931441518</v>
      </c>
      <c r="CD19" s="168">
        <f>'NOI(M)'!CD16+'NOI(M)'!CD17</f>
        <v>1463328.5931441518</v>
      </c>
      <c r="CE19" s="168">
        <f>'NOI(M)'!CE16+'NOI(M)'!CE17</f>
        <v>1466921.6462013321</v>
      </c>
      <c r="CF19" s="168">
        <f>'NOI(M)'!CF16+'NOI(M)'!CF17</f>
        <v>1466921.6462013321</v>
      </c>
      <c r="CG19" s="168">
        <f>'NOI(M)'!CG16+'NOI(M)'!CG17</f>
        <v>1466921.6462013321</v>
      </c>
      <c r="CH19" s="168">
        <f>'NOI(M)'!CH16+'NOI(M)'!CH17</f>
        <v>1467075.4239528296</v>
      </c>
      <c r="CI19" s="168">
        <f>'NOI(M)'!CI16+'NOI(M)'!CI17</f>
        <v>1473273.9961222175</v>
      </c>
      <c r="CJ19" s="168">
        <f>'NOI(M)'!CJ16+'NOI(M)'!CJ17</f>
        <v>1477987.3601196199</v>
      </c>
      <c r="CK19" s="168">
        <f>'NOI(M)'!CK16+'NOI(M)'!CK17</f>
        <v>1490762.5574376623</v>
      </c>
      <c r="CL19" s="168">
        <f>'NOI(M)'!CL16+'NOI(M)'!CL17</f>
        <v>1410864.081669393</v>
      </c>
      <c r="CM19" s="168">
        <f>'NOI(M)'!CM16+'NOI(M)'!CM17</f>
        <v>1455708.3037134183</v>
      </c>
      <c r="CN19" s="168">
        <f>'NOI(M)'!CN16+'NOI(M)'!CN17</f>
        <v>1499911.8079727555</v>
      </c>
      <c r="CO19" s="168">
        <f>'NOI(M)'!CO16+'NOI(M)'!CO17</f>
        <v>1499911.8079727555</v>
      </c>
      <c r="CP19" s="168">
        <f>'NOI(M)'!CP16+'NOI(M)'!CP17</f>
        <v>1499911.8079727555</v>
      </c>
      <c r="CQ19" s="168">
        <f>'NOI(M)'!CQ16+'NOI(M)'!CQ17</f>
        <v>1503594.6873563654</v>
      </c>
      <c r="CR19" s="168">
        <f>'NOI(M)'!CR16+'NOI(M)'!CR17</f>
        <v>1503594.6873563654</v>
      </c>
      <c r="CS19" s="168">
        <f>'NOI(M)'!CS16+'NOI(M)'!CS17</f>
        <v>1503594.6873563654</v>
      </c>
      <c r="CT19" s="168">
        <f>'NOI(M)'!CT16+'NOI(M)'!CT17</f>
        <v>1503752.3095516502</v>
      </c>
      <c r="CU19" s="168">
        <f>'NOI(M)'!CU16+'NOI(M)'!CU17</f>
        <v>1510105.846025273</v>
      </c>
      <c r="CV19" s="168">
        <f>'NOI(M)'!CV16+'NOI(M)'!CV17</f>
        <v>1514937.0441226102</v>
      </c>
      <c r="CW19" s="168">
        <f>'NOI(M)'!CW16+'NOI(M)'!CW17</f>
        <v>1528031.6213736036</v>
      </c>
      <c r="CX19" s="168">
        <f>'NOI(M)'!CX16+'NOI(M)'!CX17</f>
        <v>1446135.6837111274</v>
      </c>
      <c r="CY19" s="168">
        <f>'NOI(M)'!CY16+'NOI(M)'!CY17</f>
        <v>1492101.0113062533</v>
      </c>
      <c r="CZ19" s="168">
        <f>'NOI(M)'!CZ16+'NOI(M)'!CZ17</f>
        <v>1500586.4630708457</v>
      </c>
      <c r="DA19" s="168">
        <f>'NOI(M)'!DA16+'NOI(M)'!DA17</f>
        <v>1500586.4630708457</v>
      </c>
      <c r="DB19" s="168">
        <f>'NOI(M)'!DB16+'NOI(M)'!DB17</f>
        <v>1500586.4630708457</v>
      </c>
      <c r="DC19" s="168">
        <f>'NOI(M)'!DC16+'NOI(M)'!DC17</f>
        <v>1504361.4144390454</v>
      </c>
      <c r="DD19" s="168">
        <f>'NOI(M)'!DD16+'NOI(M)'!DD17</f>
        <v>1504361.4144390454</v>
      </c>
      <c r="DE19" s="168">
        <f>'NOI(M)'!DE16+'NOI(M)'!DE17</f>
        <v>1504361.4144390454</v>
      </c>
      <c r="DF19" s="168">
        <f>'NOI(M)'!DF16+'NOI(M)'!DF17</f>
        <v>1504604.8047225894</v>
      </c>
      <c r="DG19" s="168">
        <f>'NOI(M)'!DG16+'NOI(M)'!DG17</f>
        <v>1510925.880169</v>
      </c>
      <c r="DH19" s="168">
        <f>'NOI(M)'!DH16+'NOI(M)'!DH17</f>
        <v>1515720.7776377057</v>
      </c>
      <c r="DI19" s="168">
        <f>'NOI(M)'!DI16+'NOI(M)'!DI17</f>
        <v>1529196.9805904694</v>
      </c>
      <c r="DJ19" s="168">
        <f>'NOI(M)'!DJ16+'NOI(M)'!DJ17</f>
        <v>1529196.9805904694</v>
      </c>
      <c r="DK19" s="168">
        <f>'NOI(M)'!DK16+'NOI(M)'!DK17</f>
        <v>1534142.4616684054</v>
      </c>
      <c r="DL19" s="168">
        <f>'NOI(M)'!DL16+'NOI(M)'!DL17</f>
        <v>1538591.7888744005</v>
      </c>
      <c r="DM19" s="168">
        <f>'NOI(M)'!DM16+'NOI(M)'!DM17</f>
        <v>1538591.7888744005</v>
      </c>
      <c r="DN19" s="168">
        <f>'NOI(M)'!DN16+'NOI(M)'!DN17</f>
        <v>1538591.7888744005</v>
      </c>
      <c r="DO19" s="168">
        <f>'NOI(M)'!DO16+'NOI(M)'!DO17</f>
        <v>1542461.1140268054</v>
      </c>
      <c r="DP19" s="168">
        <f>'NOI(M)'!DP16+'NOI(M)'!DP17</f>
        <v>1542461.1140268054</v>
      </c>
      <c r="DQ19" s="168">
        <f>'NOI(M)'!DQ16+'NOI(M)'!DQ17</f>
        <v>1542461.1140268054</v>
      </c>
      <c r="DR19" s="168">
        <f>'NOI(M)'!DR16+'NOI(M)'!DR17</f>
        <v>1542710.5890674379</v>
      </c>
      <c r="DS19" s="168">
        <f>'NOI(M)'!DS16+'NOI(M)'!DS17</f>
        <v>1549189.6914000085</v>
      </c>
      <c r="DT19" s="168">
        <f>'NOI(M)'!DT16+'NOI(M)'!DT17</f>
        <v>1554104.461305432</v>
      </c>
      <c r="DU19" s="168">
        <f>'NOI(M)'!DU16+'NOI(M)'!DU17</f>
        <v>1567426.9051052311</v>
      </c>
      <c r="DV19" s="168">
        <f>'NOI(M)'!DV16+'NOI(M)'!DV17</f>
        <v>1567426.9051052311</v>
      </c>
      <c r="DW19" s="168">
        <f>'NOI(M)'!DW16+'NOI(M)'!DW17</f>
        <v>1572496.0232101155</v>
      </c>
      <c r="DX19" s="168">
        <f>'NOI(M)'!DX16+'NOI(M)'!DX17</f>
        <v>1577056.5835962603</v>
      </c>
      <c r="DY19" s="168">
        <f>'NOI(M)'!DY16+'NOI(M)'!DY17</f>
        <v>1577056.5835962603</v>
      </c>
      <c r="DZ19" s="168">
        <f>'NOI(M)'!DZ16+'NOI(M)'!DZ17</f>
        <v>1577056.5835962603</v>
      </c>
      <c r="EA19" s="168">
        <f>'NOI(M)'!EA16+'NOI(M)'!EA17</f>
        <v>1581022.6418774754</v>
      </c>
      <c r="EB19" s="168">
        <f>'NOI(M)'!EB16+'NOI(M)'!EB17</f>
        <v>1581022.6418774754</v>
      </c>
      <c r="EC19" s="168">
        <f>'NOI(M)'!EC16+'NOI(M)'!EC17</f>
        <v>1581022.6418774754</v>
      </c>
      <c r="ED19" s="168">
        <f>'NOI(M)'!ED16+'NOI(M)'!ED17</f>
        <v>0</v>
      </c>
      <c r="EE19" s="168">
        <f>'NOI(M)'!EE16+'NOI(M)'!EE17</f>
        <v>0</v>
      </c>
      <c r="EF19" s="168">
        <f>'NOI(M)'!EF16+'NOI(M)'!EF17</f>
        <v>0</v>
      </c>
      <c r="EG19" s="168">
        <f>'NOI(M)'!EG16+'NOI(M)'!EG17</f>
        <v>0</v>
      </c>
      <c r="EH19" s="168">
        <f>'NOI(M)'!EH16+'NOI(M)'!EH17</f>
        <v>0</v>
      </c>
      <c r="EI19" s="168">
        <f>'NOI(M)'!EI16+'NOI(M)'!EI17</f>
        <v>0</v>
      </c>
      <c r="EJ19" s="168">
        <f>'NOI(M)'!EJ16+'NOI(M)'!EJ17</f>
        <v>0</v>
      </c>
      <c r="EK19" s="168">
        <f>'NOI(M)'!EK16+'NOI(M)'!EK17</f>
        <v>0</v>
      </c>
      <c r="EL19" s="168">
        <f>'NOI(M)'!EL16+'NOI(M)'!EL17</f>
        <v>0</v>
      </c>
      <c r="EM19" s="168">
        <f>'NOI(M)'!EM16+'NOI(M)'!EM17</f>
        <v>0</v>
      </c>
      <c r="EN19" s="168">
        <f>'NOI(M)'!EN16+'NOI(M)'!EN17</f>
        <v>0</v>
      </c>
      <c r="EO19" s="168">
        <f>'NOI(M)'!EO16+'NOI(M)'!EO17</f>
        <v>0</v>
      </c>
      <c r="EP19" s="168">
        <f>'NOI(M)'!EP16+'NOI(M)'!EP17</f>
        <v>0</v>
      </c>
      <c r="EQ19" s="168">
        <f>'NOI(M)'!EQ16+'NOI(M)'!EQ17</f>
        <v>0</v>
      </c>
      <c r="ER19" s="168">
        <f>'NOI(M)'!ER16+'NOI(M)'!ER17</f>
        <v>0</v>
      </c>
    </row>
    <row r="20" spans="2:148" ht="11.25" customHeight="1">
      <c r="B20" s="218"/>
      <c r="C20" s="163"/>
      <c r="D20" s="169" t="s">
        <v>461</v>
      </c>
      <c r="I20" s="146"/>
      <c r="J20" s="13"/>
      <c r="K20" s="171">
        <f>SUM(M20:ER20)</f>
        <v>8636664.3042394556</v>
      </c>
      <c r="L20" s="98"/>
      <c r="M20" s="171">
        <f>'NOI(M)'!M18</f>
        <v>0</v>
      </c>
      <c r="N20" s="171">
        <f>'NOI(M)'!N18</f>
        <v>63897.836206250002</v>
      </c>
      <c r="O20" s="171">
        <f>'NOI(M)'!O18</f>
        <v>64168.260800000004</v>
      </c>
      <c r="P20" s="171">
        <f>'NOI(M)'!P18</f>
        <v>64373.128062500007</v>
      </c>
      <c r="Q20" s="171">
        <f>'NOI(M)'!Q18</f>
        <v>64923.928692968751</v>
      </c>
      <c r="R20" s="171">
        <f>'NOI(M)'!R18</f>
        <v>64923.928692968751</v>
      </c>
      <c r="S20" s="171">
        <f>'NOI(M)'!S18</f>
        <v>65134.975167968747</v>
      </c>
      <c r="T20" s="171">
        <f>'NOI(M)'!T18</f>
        <v>65322.138361406251</v>
      </c>
      <c r="U20" s="171">
        <f>'NOI(M)'!U18</f>
        <v>65322.138361406251</v>
      </c>
      <c r="V20" s="171">
        <f>'NOI(M)'!V18</f>
        <v>65322.138361406251</v>
      </c>
      <c r="W20" s="171">
        <f>'NOI(M)'!W18</f>
        <v>65322.138361406251</v>
      </c>
      <c r="X20" s="171">
        <f>'NOI(M)'!X18</f>
        <v>65322.138361406251</v>
      </c>
      <c r="Y20" s="171">
        <f>'NOI(M)'!Y18</f>
        <v>65322.138361406251</v>
      </c>
      <c r="Z20" s="171">
        <f>'NOI(M)'!Z18</f>
        <v>65331.365111406252</v>
      </c>
      <c r="AA20" s="171">
        <f>'NOI(M)'!AA18</f>
        <v>65608.550319999995</v>
      </c>
      <c r="AB20" s="171">
        <f>'NOI(M)'!AB18</f>
        <v>65818.539264062492</v>
      </c>
      <c r="AC20" s="171">
        <f>'NOI(M)'!AC18</f>
        <v>66383.109910292958</v>
      </c>
      <c r="AD20" s="171">
        <f>'NOI(M)'!AD18</f>
        <v>66383.109910292958</v>
      </c>
      <c r="AE20" s="171">
        <f>'NOI(M)'!AE18</f>
        <v>66599.432547167962</v>
      </c>
      <c r="AF20" s="171">
        <f>'NOI(M)'!AF18</f>
        <v>66791.274820441409</v>
      </c>
      <c r="AG20" s="171">
        <f>'NOI(M)'!AG18</f>
        <v>66791.274820441409</v>
      </c>
      <c r="AH20" s="171">
        <f>'NOI(M)'!AH18</f>
        <v>66791.274820441409</v>
      </c>
      <c r="AI20" s="171">
        <f>'NOI(M)'!AI18</f>
        <v>66791.274820441409</v>
      </c>
      <c r="AJ20" s="171">
        <f>'NOI(M)'!AJ18</f>
        <v>66791.274820441409</v>
      </c>
      <c r="AK20" s="171">
        <f>'NOI(M)'!AK18</f>
        <v>66791.274820441409</v>
      </c>
      <c r="AL20" s="171">
        <f>'NOI(M)'!AL18</f>
        <v>66800.732239191406</v>
      </c>
      <c r="AM20" s="171">
        <f>'NOI(M)'!AM18</f>
        <v>67084.847078000006</v>
      </c>
      <c r="AN20" s="171">
        <f>'NOI(M)'!AN18</f>
        <v>67300.085745664052</v>
      </c>
      <c r="AO20" s="171">
        <f>'NOI(M)'!AO18</f>
        <v>67878.770658050285</v>
      </c>
      <c r="AP20" s="171">
        <f>'NOI(M)'!AP18</f>
        <v>67878.770658050285</v>
      </c>
      <c r="AQ20" s="171">
        <f>'NOI(M)'!AQ18</f>
        <v>68100.501360847149</v>
      </c>
      <c r="AR20" s="171">
        <f>'NOI(M)'!AR18</f>
        <v>68297.139690952434</v>
      </c>
      <c r="AS20" s="171">
        <f>'NOI(M)'!AS18</f>
        <v>68297.139690952434</v>
      </c>
      <c r="AT20" s="171">
        <f>'NOI(M)'!AT18</f>
        <v>68297.139690952434</v>
      </c>
      <c r="AU20" s="171">
        <f>'NOI(M)'!AU18</f>
        <v>68297.139690952434</v>
      </c>
      <c r="AV20" s="171">
        <f>'NOI(M)'!AV18</f>
        <v>68297.139690952434</v>
      </c>
      <c r="AW20" s="171">
        <f>'NOI(M)'!AW18</f>
        <v>68297.139690952434</v>
      </c>
      <c r="AX20" s="171">
        <f>'NOI(M)'!AX18</f>
        <v>68306.83354517119</v>
      </c>
      <c r="AY20" s="171">
        <f>'NOI(M)'!AY18</f>
        <v>68598.051254949998</v>
      </c>
      <c r="AZ20" s="171">
        <f>'NOI(M)'!AZ18</f>
        <v>68818.670889305649</v>
      </c>
      <c r="BA20" s="171">
        <f>'NOI(M)'!BA18</f>
        <v>69411.822924501539</v>
      </c>
      <c r="BB20" s="171">
        <f>'NOI(M)'!BB18</f>
        <v>69411.822924501539</v>
      </c>
      <c r="BC20" s="171">
        <f>'NOI(M)'!BC18</f>
        <v>69639.096894868329</v>
      </c>
      <c r="BD20" s="171">
        <f>'NOI(M)'!BD18</f>
        <v>69840.651183226233</v>
      </c>
      <c r="BE20" s="171">
        <f>'NOI(M)'!BE18</f>
        <v>69840.651183226233</v>
      </c>
      <c r="BF20" s="171">
        <f>'NOI(M)'!BF18</f>
        <v>69840.651183226233</v>
      </c>
      <c r="BG20" s="171">
        <f>'NOI(M)'!BG18</f>
        <v>69840.651183226233</v>
      </c>
      <c r="BH20" s="171">
        <f>'NOI(M)'!BH18</f>
        <v>69840.651183226233</v>
      </c>
      <c r="BI20" s="171">
        <f>'NOI(M)'!BI18</f>
        <v>69840.651183226233</v>
      </c>
      <c r="BJ20" s="171">
        <f>'NOI(M)'!BJ18</f>
        <v>69850.587383800463</v>
      </c>
      <c r="BK20" s="171">
        <f>'NOI(M)'!BK18</f>
        <v>70149.085536323735</v>
      </c>
      <c r="BL20" s="171">
        <f>'NOI(M)'!BL18</f>
        <v>70375.220661538289</v>
      </c>
      <c r="BM20" s="171">
        <f>'NOI(M)'!BM18</f>
        <v>70983.201497614064</v>
      </c>
      <c r="BN20" s="171">
        <f>'NOI(M)'!BN18</f>
        <v>70983.201497614064</v>
      </c>
      <c r="BO20" s="171">
        <f>'NOI(M)'!BO18</f>
        <v>71216.157317240039</v>
      </c>
      <c r="BP20" s="171">
        <f>'NOI(M)'!BP18</f>
        <v>71422.7504628069</v>
      </c>
      <c r="BQ20" s="171">
        <f>'NOI(M)'!BQ18</f>
        <v>71422.7504628069</v>
      </c>
      <c r="BR20" s="171">
        <f>'NOI(M)'!BR18</f>
        <v>71422.7504628069</v>
      </c>
      <c r="BS20" s="171">
        <f>'NOI(M)'!BS18</f>
        <v>71422.7504628069</v>
      </c>
      <c r="BT20" s="171">
        <f>'NOI(M)'!BT18</f>
        <v>71422.7504628069</v>
      </c>
      <c r="BU20" s="171">
        <f>'NOI(M)'!BU18</f>
        <v>71422.7504628069</v>
      </c>
      <c r="BV20" s="171">
        <f>'NOI(M)'!BV18</f>
        <v>71432.935068395469</v>
      </c>
      <c r="BW20" s="171">
        <f>'NOI(M)'!BW18</f>
        <v>71738.89567473183</v>
      </c>
      <c r="BX20" s="171">
        <f>'NOI(M)'!BX18</f>
        <v>71970.684178076743</v>
      </c>
      <c r="BY20" s="171">
        <f>'NOI(M)'!BY18</f>
        <v>72593.864535054425</v>
      </c>
      <c r="BZ20" s="171">
        <f>'NOI(M)'!BZ18</f>
        <v>72593.864535054425</v>
      </c>
      <c r="CA20" s="171">
        <f>'NOI(M)'!CA18</f>
        <v>72832.644250171041</v>
      </c>
      <c r="CB20" s="171">
        <f>'NOI(M)'!CB18</f>
        <v>73044.40222437706</v>
      </c>
      <c r="CC20" s="171">
        <f>'NOI(M)'!CC18</f>
        <v>73044.40222437706</v>
      </c>
      <c r="CD20" s="171">
        <f>'NOI(M)'!CD18</f>
        <v>73044.40222437706</v>
      </c>
      <c r="CE20" s="171">
        <f>'NOI(M)'!CE18</f>
        <v>73044.40222437706</v>
      </c>
      <c r="CF20" s="171">
        <f>'NOI(M)'!CF18</f>
        <v>73044.40222437706</v>
      </c>
      <c r="CG20" s="171">
        <f>'NOI(M)'!CG18</f>
        <v>73044.40222437706</v>
      </c>
      <c r="CH20" s="171">
        <f>'NOI(M)'!CH18</f>
        <v>73054.84144510534</v>
      </c>
      <c r="CI20" s="171">
        <f>'NOI(M)'!CI18</f>
        <v>73368.451066600101</v>
      </c>
      <c r="CJ20" s="171">
        <f>'NOI(M)'!CJ18</f>
        <v>73606.03428252865</v>
      </c>
      <c r="CK20" s="171">
        <f>'NOI(M)'!CK18</f>
        <v>74244.794148430767</v>
      </c>
      <c r="CL20" s="171">
        <f>'NOI(M)'!CL18</f>
        <v>74244.794148430767</v>
      </c>
      <c r="CM20" s="171">
        <f>'NOI(M)'!CM18</f>
        <v>74489.543356425304</v>
      </c>
      <c r="CN20" s="171">
        <f>'NOI(M)'!CN18</f>
        <v>74706.595279986475</v>
      </c>
      <c r="CO20" s="171">
        <f>'NOI(M)'!CO18</f>
        <v>74706.595279986475</v>
      </c>
      <c r="CP20" s="171">
        <f>'NOI(M)'!CP18</f>
        <v>74706.595279986475</v>
      </c>
      <c r="CQ20" s="171">
        <f>'NOI(M)'!CQ18</f>
        <v>74706.595279986475</v>
      </c>
      <c r="CR20" s="171">
        <f>'NOI(M)'!CR18</f>
        <v>74706.595279986475</v>
      </c>
      <c r="CS20" s="171">
        <f>'NOI(M)'!CS18</f>
        <v>74706.595279986475</v>
      </c>
      <c r="CT20" s="171">
        <f>'NOI(M)'!CT18</f>
        <v>74717.29548123297</v>
      </c>
      <c r="CU20" s="171">
        <f>'NOI(M)'!CU18</f>
        <v>75038.745343265109</v>
      </c>
      <c r="CV20" s="171">
        <f>'NOI(M)'!CV18</f>
        <v>75282.268139591877</v>
      </c>
      <c r="CW20" s="171">
        <f>'NOI(M)'!CW18</f>
        <v>75936.997002141536</v>
      </c>
      <c r="CX20" s="171">
        <f>'NOI(M)'!CX18</f>
        <v>75936.997002141536</v>
      </c>
      <c r="CY20" s="171">
        <f>'NOI(M)'!CY18</f>
        <v>76187.86494033593</v>
      </c>
      <c r="CZ20" s="171">
        <f>'NOI(M)'!CZ18</f>
        <v>76408.491055689025</v>
      </c>
      <c r="DA20" s="171">
        <f>'NOI(M)'!DA18</f>
        <v>76408.491055689025</v>
      </c>
      <c r="DB20" s="171">
        <f>'NOI(M)'!DB18</f>
        <v>76408.491055689025</v>
      </c>
      <c r="DC20" s="171">
        <f>'NOI(M)'!DC18</f>
        <v>76408.491055689025</v>
      </c>
      <c r="DD20" s="171">
        <f>'NOI(M)'!DD18</f>
        <v>76408.491055689025</v>
      </c>
      <c r="DE20" s="171">
        <f>'NOI(M)'!DE18</f>
        <v>76408.491055689025</v>
      </c>
      <c r="DF20" s="171">
        <f>'NOI(M)'!DF18</f>
        <v>76421.104100719094</v>
      </c>
      <c r="DG20" s="171">
        <f>'NOI(M)'!DG18</f>
        <v>76749.762795932154</v>
      </c>
      <c r="DH20" s="171">
        <f>'NOI(M)'!DH18</f>
        <v>76998.6942531026</v>
      </c>
      <c r="DI20" s="171">
        <f>'NOI(M)'!DI18</f>
        <v>77667.903795660881</v>
      </c>
      <c r="DJ20" s="171">
        <f>'NOI(M)'!DJ18</f>
        <v>77667.903795660881</v>
      </c>
      <c r="DK20" s="171">
        <f>'NOI(M)'!DK18</f>
        <v>77924.190014745342</v>
      </c>
      <c r="DL20" s="171">
        <f>'NOI(M)'!DL18</f>
        <v>78154.786332081218</v>
      </c>
      <c r="DM20" s="171">
        <f>'NOI(M)'!DM18</f>
        <v>78154.786332081218</v>
      </c>
      <c r="DN20" s="171">
        <f>'NOI(M)'!DN18</f>
        <v>78154.786332081218</v>
      </c>
      <c r="DO20" s="171">
        <f>'NOI(M)'!DO18</f>
        <v>78154.786332081218</v>
      </c>
      <c r="DP20" s="171">
        <f>'NOI(M)'!DP18</f>
        <v>78154.786332081218</v>
      </c>
      <c r="DQ20" s="171">
        <f>'NOI(M)'!DQ18</f>
        <v>78154.786332081218</v>
      </c>
      <c r="DR20" s="171">
        <f>'NOI(M)'!DR18</f>
        <v>78167.714703237056</v>
      </c>
      <c r="DS20" s="171">
        <f>'NOI(M)'!DS18</f>
        <v>78504.589865830436</v>
      </c>
      <c r="DT20" s="171">
        <f>'NOI(M)'!DT18</f>
        <v>78759.744609430156</v>
      </c>
      <c r="DU20" s="171">
        <f>'NOI(M)'!DU18</f>
        <v>79445.684390552386</v>
      </c>
      <c r="DV20" s="171">
        <f>'NOI(M)'!DV18</f>
        <v>79445.684390552386</v>
      </c>
      <c r="DW20" s="171">
        <f>'NOI(M)'!DW18</f>
        <v>79708.377765113968</v>
      </c>
      <c r="DX20" s="171">
        <f>'NOI(M)'!DX18</f>
        <v>79944.738990383266</v>
      </c>
      <c r="DY20" s="171">
        <f>'NOI(M)'!DY18</f>
        <v>79944.738990383266</v>
      </c>
      <c r="DZ20" s="171">
        <f>'NOI(M)'!DZ18</f>
        <v>79944.738990383266</v>
      </c>
      <c r="EA20" s="171">
        <f>'NOI(M)'!EA18</f>
        <v>79944.738990383266</v>
      </c>
      <c r="EB20" s="171">
        <f>'NOI(M)'!EB18</f>
        <v>79944.738990383266</v>
      </c>
      <c r="EC20" s="171">
        <f>'NOI(M)'!EC18</f>
        <v>79944.738990383266</v>
      </c>
      <c r="ED20" s="171">
        <f>'NOI(M)'!ED18</f>
        <v>0</v>
      </c>
      <c r="EE20" s="171">
        <f>'NOI(M)'!EE18</f>
        <v>0</v>
      </c>
      <c r="EF20" s="171">
        <f>'NOI(M)'!EF18</f>
        <v>0</v>
      </c>
      <c r="EG20" s="171">
        <f>'NOI(M)'!EG18</f>
        <v>0</v>
      </c>
      <c r="EH20" s="171">
        <f>'NOI(M)'!EH18</f>
        <v>0</v>
      </c>
      <c r="EI20" s="171">
        <f>'NOI(M)'!EI18</f>
        <v>0</v>
      </c>
      <c r="EJ20" s="171">
        <f>'NOI(M)'!EJ18</f>
        <v>0</v>
      </c>
      <c r="EK20" s="171">
        <f>'NOI(M)'!EK18</f>
        <v>0</v>
      </c>
      <c r="EL20" s="171">
        <f>'NOI(M)'!EL18</f>
        <v>0</v>
      </c>
      <c r="EM20" s="171">
        <f>'NOI(M)'!EM18</f>
        <v>0</v>
      </c>
      <c r="EN20" s="171">
        <f>'NOI(M)'!EN18</f>
        <v>0</v>
      </c>
      <c r="EO20" s="171">
        <f>'NOI(M)'!EO18</f>
        <v>0</v>
      </c>
      <c r="EP20" s="171">
        <f>'NOI(M)'!EP18</f>
        <v>0</v>
      </c>
      <c r="EQ20" s="171">
        <f>'NOI(M)'!EQ18</f>
        <v>0</v>
      </c>
      <c r="ER20" s="171">
        <f>'NOI(M)'!ER18</f>
        <v>0</v>
      </c>
    </row>
    <row r="21" spans="2:148" ht="11.25" customHeight="1">
      <c r="B21" s="218"/>
      <c r="C21" s="163"/>
      <c r="D21" s="169" t="s">
        <v>1670</v>
      </c>
      <c r="G21" s="2489">
        <f>'A&amp;R'!AE23/1000-'A&amp;R'!AE33/1000</f>
        <v>5105114.818</v>
      </c>
      <c r="H21" s="2489">
        <f>G21*2.8%/12</f>
        <v>11911.934575333333</v>
      </c>
      <c r="I21" s="146"/>
      <c r="J21" s="13"/>
      <c r="K21" s="171">
        <f>SUM(M21:ER21)</f>
        <v>1429432.1490399991</v>
      </c>
      <c r="L21" s="98"/>
      <c r="M21" s="171"/>
      <c r="N21" s="171">
        <f>$H21*Index!M$22</f>
        <v>11911.934575333333</v>
      </c>
      <c r="O21" s="171">
        <f>$H21*Index!N$22</f>
        <v>11911.934575333333</v>
      </c>
      <c r="P21" s="171">
        <f>$H21*Index!O$22</f>
        <v>11911.934575333333</v>
      </c>
      <c r="Q21" s="171">
        <f>$H21*Index!P$22</f>
        <v>11911.934575333333</v>
      </c>
      <c r="R21" s="171">
        <f>$H21*Index!Q$22</f>
        <v>11911.934575333333</v>
      </c>
      <c r="S21" s="171">
        <f>$H21*Index!R$22</f>
        <v>11911.934575333333</v>
      </c>
      <c r="T21" s="171">
        <f>$H21*Index!S$22</f>
        <v>11911.934575333333</v>
      </c>
      <c r="U21" s="171">
        <f>$H21*Index!T$22</f>
        <v>11911.934575333333</v>
      </c>
      <c r="V21" s="171">
        <f>$H21*Index!U$22</f>
        <v>11911.934575333333</v>
      </c>
      <c r="W21" s="171">
        <f>$H21*Index!V$22</f>
        <v>11911.934575333333</v>
      </c>
      <c r="X21" s="171">
        <f>$H21*Index!W$22</f>
        <v>11911.934575333333</v>
      </c>
      <c r="Y21" s="171">
        <f>$H21*Index!X$22</f>
        <v>11911.934575333333</v>
      </c>
      <c r="Z21" s="171">
        <f>$H21*Index!Y$22</f>
        <v>11911.934575333333</v>
      </c>
      <c r="AA21" s="171">
        <f>$H21*Index!Z$22</f>
        <v>11911.934575333333</v>
      </c>
      <c r="AB21" s="171">
        <f>$H21*Index!AA$22</f>
        <v>11911.934575333333</v>
      </c>
      <c r="AC21" s="171">
        <f>$H21*Index!AB$22</f>
        <v>11911.934575333333</v>
      </c>
      <c r="AD21" s="171">
        <f>$H21*Index!AC$22</f>
        <v>11911.934575333333</v>
      </c>
      <c r="AE21" s="171">
        <f>$H21*Index!AD$22</f>
        <v>11911.934575333333</v>
      </c>
      <c r="AF21" s="171">
        <f>$H21*Index!AE$22</f>
        <v>11911.934575333333</v>
      </c>
      <c r="AG21" s="171">
        <f>$H21*Index!AF$22</f>
        <v>11911.934575333333</v>
      </c>
      <c r="AH21" s="171">
        <f>$H21*Index!AG$22</f>
        <v>11911.934575333333</v>
      </c>
      <c r="AI21" s="171">
        <f>$H21*Index!AH$22</f>
        <v>11911.934575333333</v>
      </c>
      <c r="AJ21" s="171">
        <f>$H21*Index!AI$22</f>
        <v>11911.934575333333</v>
      </c>
      <c r="AK21" s="171">
        <f>$H21*Index!AJ$22</f>
        <v>11911.934575333333</v>
      </c>
      <c r="AL21" s="171">
        <f>$H21*Index!AK$22</f>
        <v>11911.934575333333</v>
      </c>
      <c r="AM21" s="171">
        <f>$H21*Index!AL$22</f>
        <v>11911.934575333333</v>
      </c>
      <c r="AN21" s="171">
        <f>$H21*Index!AM$22</f>
        <v>11911.934575333333</v>
      </c>
      <c r="AO21" s="171">
        <f>$H21*Index!AN$22</f>
        <v>11911.934575333333</v>
      </c>
      <c r="AP21" s="171">
        <f>$H21*Index!AO$22</f>
        <v>11911.934575333333</v>
      </c>
      <c r="AQ21" s="171">
        <f>$H21*Index!AP$22</f>
        <v>11911.934575333333</v>
      </c>
      <c r="AR21" s="171">
        <f>$H21*Index!AQ$22</f>
        <v>11911.934575333333</v>
      </c>
      <c r="AS21" s="171">
        <f>$H21*Index!AR$22</f>
        <v>11911.934575333333</v>
      </c>
      <c r="AT21" s="171">
        <f>$H21*Index!AS$22</f>
        <v>11911.934575333333</v>
      </c>
      <c r="AU21" s="171">
        <f>$H21*Index!AT$22</f>
        <v>11911.934575333333</v>
      </c>
      <c r="AV21" s="171">
        <f>$H21*Index!AU$22</f>
        <v>11911.934575333333</v>
      </c>
      <c r="AW21" s="171">
        <f>$H21*Index!AV$22</f>
        <v>11911.934575333333</v>
      </c>
      <c r="AX21" s="171">
        <f>$H21*Index!AW$22</f>
        <v>11911.934575333333</v>
      </c>
      <c r="AY21" s="171">
        <f>$H21*Index!AX$22</f>
        <v>11911.934575333333</v>
      </c>
      <c r="AZ21" s="171">
        <f>$H21*Index!AY$22</f>
        <v>11911.934575333333</v>
      </c>
      <c r="BA21" s="171">
        <f>$H21*Index!AZ$22</f>
        <v>11911.934575333333</v>
      </c>
      <c r="BB21" s="171">
        <f>$H21*Index!BA$22</f>
        <v>11911.934575333333</v>
      </c>
      <c r="BC21" s="171">
        <f>$H21*Index!BB$22</f>
        <v>11911.934575333333</v>
      </c>
      <c r="BD21" s="171">
        <f>$H21*Index!BC$22</f>
        <v>11911.934575333333</v>
      </c>
      <c r="BE21" s="171">
        <f>$H21*Index!BD$22</f>
        <v>11911.934575333333</v>
      </c>
      <c r="BF21" s="171">
        <f>$H21*Index!BE$22</f>
        <v>11911.934575333333</v>
      </c>
      <c r="BG21" s="171">
        <f>$H21*Index!BF$22</f>
        <v>11911.934575333333</v>
      </c>
      <c r="BH21" s="171">
        <f>$H21*Index!BG$22</f>
        <v>11911.934575333333</v>
      </c>
      <c r="BI21" s="171">
        <f>$H21*Index!BH$22</f>
        <v>11911.934575333333</v>
      </c>
      <c r="BJ21" s="171">
        <f>$H21*Index!BI$22</f>
        <v>11911.934575333333</v>
      </c>
      <c r="BK21" s="171">
        <f>$H21*Index!BJ$22</f>
        <v>11911.934575333333</v>
      </c>
      <c r="BL21" s="171">
        <f>$H21*Index!BK$22</f>
        <v>11911.934575333333</v>
      </c>
      <c r="BM21" s="171">
        <f>$H21*Index!BL$22</f>
        <v>11911.934575333333</v>
      </c>
      <c r="BN21" s="171">
        <f>$H21*Index!BM$22</f>
        <v>11911.934575333333</v>
      </c>
      <c r="BO21" s="171">
        <f>$H21*Index!BN$22</f>
        <v>11911.934575333333</v>
      </c>
      <c r="BP21" s="171">
        <f>$H21*Index!BO$22</f>
        <v>11911.934575333333</v>
      </c>
      <c r="BQ21" s="171">
        <f>$H21*Index!BP$22</f>
        <v>11911.934575333333</v>
      </c>
      <c r="BR21" s="171">
        <f>$H21*Index!BQ$22</f>
        <v>11911.934575333333</v>
      </c>
      <c r="BS21" s="171">
        <f>$H21*Index!BR$22</f>
        <v>11911.934575333333</v>
      </c>
      <c r="BT21" s="171">
        <f>$H21*Index!BS$22</f>
        <v>11911.934575333333</v>
      </c>
      <c r="BU21" s="171">
        <f>$H21*Index!BT$22</f>
        <v>11911.934575333333</v>
      </c>
      <c r="BV21" s="171">
        <f>$H21*Index!BU$22</f>
        <v>11911.934575333333</v>
      </c>
      <c r="BW21" s="171">
        <f>$H21*Index!BV$22</f>
        <v>11911.934575333333</v>
      </c>
      <c r="BX21" s="171">
        <f>$H21*Index!BW$22</f>
        <v>11911.934575333333</v>
      </c>
      <c r="BY21" s="171">
        <f>$H21*Index!BX$22</f>
        <v>11911.934575333333</v>
      </c>
      <c r="BZ21" s="171">
        <f>$H21*Index!BY$22</f>
        <v>11911.934575333333</v>
      </c>
      <c r="CA21" s="171">
        <f>$H21*Index!BZ$22</f>
        <v>11911.934575333333</v>
      </c>
      <c r="CB21" s="171">
        <f>$H21*Index!CA$22</f>
        <v>11911.934575333333</v>
      </c>
      <c r="CC21" s="171">
        <f>$H21*Index!CB$22</f>
        <v>11911.934575333333</v>
      </c>
      <c r="CD21" s="171">
        <f>$H21*Index!CC$22</f>
        <v>11911.934575333333</v>
      </c>
      <c r="CE21" s="171">
        <f>$H21*Index!CD$22</f>
        <v>11911.934575333333</v>
      </c>
      <c r="CF21" s="171">
        <f>$H21*Index!CE$22</f>
        <v>11911.934575333333</v>
      </c>
      <c r="CG21" s="171">
        <f>$H21*Index!CF$22</f>
        <v>11911.934575333333</v>
      </c>
      <c r="CH21" s="171">
        <f>$H21*Index!CG$22</f>
        <v>11911.934575333333</v>
      </c>
      <c r="CI21" s="171">
        <f>$H21*Index!CH$22</f>
        <v>11911.934575333333</v>
      </c>
      <c r="CJ21" s="171">
        <f>$H21*Index!CI$22</f>
        <v>11911.934575333333</v>
      </c>
      <c r="CK21" s="171">
        <f>$H21*Index!CJ$22</f>
        <v>11911.934575333333</v>
      </c>
      <c r="CL21" s="171">
        <f>$H21*Index!CK$22</f>
        <v>11911.934575333333</v>
      </c>
      <c r="CM21" s="171">
        <f>$H21*Index!CL$22</f>
        <v>11911.934575333333</v>
      </c>
      <c r="CN21" s="171">
        <f>$H21*Index!CM$22</f>
        <v>11911.934575333333</v>
      </c>
      <c r="CO21" s="171">
        <f>$H21*Index!CN$22</f>
        <v>11911.934575333333</v>
      </c>
      <c r="CP21" s="171">
        <f>$H21*Index!CO$22</f>
        <v>11911.934575333333</v>
      </c>
      <c r="CQ21" s="171">
        <f>$H21*Index!CP$22</f>
        <v>11911.934575333333</v>
      </c>
      <c r="CR21" s="171">
        <f>$H21*Index!CQ$22</f>
        <v>11911.934575333333</v>
      </c>
      <c r="CS21" s="171">
        <f>$H21*Index!CR$22</f>
        <v>11911.934575333333</v>
      </c>
      <c r="CT21" s="171">
        <f>$H21*Index!CS$22</f>
        <v>11911.934575333333</v>
      </c>
      <c r="CU21" s="171">
        <f>$H21*Index!CT$22</f>
        <v>11911.934575333333</v>
      </c>
      <c r="CV21" s="171">
        <f>$H21*Index!CU$22</f>
        <v>11911.934575333333</v>
      </c>
      <c r="CW21" s="171">
        <f>$H21*Index!CV$22</f>
        <v>11911.934575333333</v>
      </c>
      <c r="CX21" s="171">
        <f>$H21*Index!CW$22</f>
        <v>11911.934575333333</v>
      </c>
      <c r="CY21" s="171">
        <f>$H21*Index!CX$22</f>
        <v>11911.934575333333</v>
      </c>
      <c r="CZ21" s="171">
        <f>$H21*Index!CY$22</f>
        <v>11911.934575333333</v>
      </c>
      <c r="DA21" s="171">
        <f>$H21*Index!CZ$22</f>
        <v>11911.934575333333</v>
      </c>
      <c r="DB21" s="171">
        <f>$H21*Index!DA$22</f>
        <v>11911.934575333333</v>
      </c>
      <c r="DC21" s="171">
        <f>$H21*Index!DB$22</f>
        <v>11911.934575333333</v>
      </c>
      <c r="DD21" s="171">
        <f>$H21*Index!DC$22</f>
        <v>11911.934575333333</v>
      </c>
      <c r="DE21" s="171">
        <f>$H21*Index!DD$22</f>
        <v>11911.934575333333</v>
      </c>
      <c r="DF21" s="171">
        <f>$H21*Index!DE$22</f>
        <v>11911.934575333333</v>
      </c>
      <c r="DG21" s="171">
        <f>$H21*Index!DF$22</f>
        <v>11911.934575333333</v>
      </c>
      <c r="DH21" s="171">
        <f>$H21*Index!DG$22</f>
        <v>11911.934575333333</v>
      </c>
      <c r="DI21" s="171">
        <f>$H21*Index!DH$22</f>
        <v>11911.934575333333</v>
      </c>
      <c r="DJ21" s="171">
        <f>$H21*Index!DI$22</f>
        <v>11911.934575333333</v>
      </c>
      <c r="DK21" s="171">
        <f>$H21*Index!DJ$22</f>
        <v>11911.934575333333</v>
      </c>
      <c r="DL21" s="171">
        <f>$H21*Index!DK$22</f>
        <v>11911.934575333333</v>
      </c>
      <c r="DM21" s="171">
        <f>$H21*Index!DL$22</f>
        <v>11911.934575333333</v>
      </c>
      <c r="DN21" s="171">
        <f>$H21*Index!DM$22</f>
        <v>11911.934575333333</v>
      </c>
      <c r="DO21" s="171">
        <f>$H21*Index!DN$22</f>
        <v>11911.934575333333</v>
      </c>
      <c r="DP21" s="171">
        <f>$H21*Index!DO$22</f>
        <v>11911.934575333333</v>
      </c>
      <c r="DQ21" s="171">
        <f>$H21*Index!DP$22</f>
        <v>11911.934575333333</v>
      </c>
      <c r="DR21" s="171">
        <f>$H21*Index!DQ$22</f>
        <v>11911.934575333333</v>
      </c>
      <c r="DS21" s="171">
        <f>$H21*Index!DR$22</f>
        <v>11911.934575333333</v>
      </c>
      <c r="DT21" s="171">
        <f>$H21*Index!DS$22</f>
        <v>11911.934575333333</v>
      </c>
      <c r="DU21" s="171">
        <f>$H21*Index!DT$22</f>
        <v>11911.934575333333</v>
      </c>
      <c r="DV21" s="171">
        <f>$H21*Index!DU$22</f>
        <v>11911.934575333333</v>
      </c>
      <c r="DW21" s="171">
        <f>$H21*Index!DV$22</f>
        <v>11911.934575333333</v>
      </c>
      <c r="DX21" s="171">
        <f>$H21*Index!DW$22</f>
        <v>11911.934575333333</v>
      </c>
      <c r="DY21" s="171">
        <f>$H21*Index!DX$22</f>
        <v>11911.934575333333</v>
      </c>
      <c r="DZ21" s="171">
        <f>$H21*Index!DY$22</f>
        <v>11911.934575333333</v>
      </c>
      <c r="EA21" s="171">
        <f>$H21*Index!DZ$22</f>
        <v>11911.934575333333</v>
      </c>
      <c r="EB21" s="171">
        <f>$H21*Index!EA$22</f>
        <v>11911.934575333333</v>
      </c>
      <c r="EC21" s="171">
        <f>$H21*Index!EB$22</f>
        <v>11911.934575333333</v>
      </c>
      <c r="ED21" s="171">
        <f>$H21*Index!EC$22</f>
        <v>0</v>
      </c>
      <c r="EE21" s="171">
        <f>$H21*Index!ED$22</f>
        <v>0</v>
      </c>
      <c r="EF21" s="171">
        <f>$H21*Index!EE$22</f>
        <v>0</v>
      </c>
      <c r="EG21" s="171">
        <f>$H21*Index!EF$22</f>
        <v>0</v>
      </c>
      <c r="EH21" s="171">
        <f>$H21*Index!EG$22</f>
        <v>0</v>
      </c>
      <c r="EI21" s="171">
        <f>$H21*Index!EH$22</f>
        <v>0</v>
      </c>
      <c r="EJ21" s="171">
        <f>$H21*Index!EI$22</f>
        <v>0</v>
      </c>
      <c r="EK21" s="171">
        <f>$H21*Index!EJ$22</f>
        <v>0</v>
      </c>
      <c r="EL21" s="171">
        <f>$H21*Index!EK$22</f>
        <v>0</v>
      </c>
      <c r="EM21" s="171">
        <f>$H21*Index!EL$22</f>
        <v>0</v>
      </c>
      <c r="EN21" s="171">
        <f>$H21*Index!EM$22</f>
        <v>0</v>
      </c>
      <c r="EO21" s="171">
        <f>$H21*Index!EN$22</f>
        <v>0</v>
      </c>
      <c r="EP21" s="171">
        <f>$H21*Index!EO$22</f>
        <v>0</v>
      </c>
      <c r="EQ21" s="171">
        <f>$H21*Index!EP$22</f>
        <v>0</v>
      </c>
      <c r="ER21" s="171">
        <f>$H21*Index!EQ$22</f>
        <v>0</v>
      </c>
    </row>
    <row r="22" spans="2:148" ht="11.25" customHeight="1">
      <c r="B22" s="218"/>
      <c r="C22" s="158" t="s">
        <v>462</v>
      </c>
      <c r="D22" s="159"/>
      <c r="E22" s="159"/>
      <c r="F22" s="159"/>
      <c r="G22" s="159"/>
      <c r="H22" s="159"/>
      <c r="I22" s="160"/>
      <c r="J22" s="219"/>
      <c r="K22" s="220">
        <f>K23</f>
        <v>0</v>
      </c>
      <c r="L22" s="98"/>
      <c r="M22" s="162">
        <f>M23</f>
        <v>0</v>
      </c>
      <c r="N22" s="162">
        <f t="shared" ref="N22:BY22" si="14">N23</f>
        <v>0</v>
      </c>
      <c r="O22" s="162">
        <f t="shared" si="14"/>
        <v>0</v>
      </c>
      <c r="P22" s="162">
        <f t="shared" si="14"/>
        <v>0</v>
      </c>
      <c r="Q22" s="162">
        <f t="shared" si="14"/>
        <v>0</v>
      </c>
      <c r="R22" s="162">
        <f t="shared" si="14"/>
        <v>0</v>
      </c>
      <c r="S22" s="162">
        <f t="shared" si="14"/>
        <v>0</v>
      </c>
      <c r="T22" s="162">
        <f t="shared" si="14"/>
        <v>0</v>
      </c>
      <c r="U22" s="162">
        <f t="shared" si="14"/>
        <v>0</v>
      </c>
      <c r="V22" s="162">
        <f t="shared" si="14"/>
        <v>0</v>
      </c>
      <c r="W22" s="162">
        <f t="shared" si="14"/>
        <v>0</v>
      </c>
      <c r="X22" s="162">
        <f t="shared" si="14"/>
        <v>0</v>
      </c>
      <c r="Y22" s="162">
        <f t="shared" si="14"/>
        <v>0</v>
      </c>
      <c r="Z22" s="162">
        <f t="shared" si="14"/>
        <v>0</v>
      </c>
      <c r="AA22" s="162">
        <f t="shared" si="14"/>
        <v>0</v>
      </c>
      <c r="AB22" s="162">
        <f t="shared" si="14"/>
        <v>0</v>
      </c>
      <c r="AC22" s="162">
        <f t="shared" si="14"/>
        <v>0</v>
      </c>
      <c r="AD22" s="162">
        <f t="shared" si="14"/>
        <v>0</v>
      </c>
      <c r="AE22" s="162">
        <f t="shared" si="14"/>
        <v>0</v>
      </c>
      <c r="AF22" s="162">
        <f t="shared" si="14"/>
        <v>0</v>
      </c>
      <c r="AG22" s="162">
        <f t="shared" si="14"/>
        <v>0</v>
      </c>
      <c r="AH22" s="162">
        <f t="shared" si="14"/>
        <v>0</v>
      </c>
      <c r="AI22" s="162">
        <f t="shared" si="14"/>
        <v>0</v>
      </c>
      <c r="AJ22" s="162">
        <f t="shared" si="14"/>
        <v>0</v>
      </c>
      <c r="AK22" s="162">
        <f t="shared" si="14"/>
        <v>0</v>
      </c>
      <c r="AL22" s="162">
        <f t="shared" si="14"/>
        <v>0</v>
      </c>
      <c r="AM22" s="162">
        <f t="shared" si="14"/>
        <v>0</v>
      </c>
      <c r="AN22" s="162">
        <f t="shared" si="14"/>
        <v>0</v>
      </c>
      <c r="AO22" s="162">
        <f t="shared" si="14"/>
        <v>0</v>
      </c>
      <c r="AP22" s="162">
        <f t="shared" si="14"/>
        <v>0</v>
      </c>
      <c r="AQ22" s="162">
        <f t="shared" si="14"/>
        <v>0</v>
      </c>
      <c r="AR22" s="162">
        <f t="shared" si="14"/>
        <v>0</v>
      </c>
      <c r="AS22" s="162">
        <f t="shared" si="14"/>
        <v>0</v>
      </c>
      <c r="AT22" s="162">
        <f t="shared" si="14"/>
        <v>0</v>
      </c>
      <c r="AU22" s="162">
        <f t="shared" si="14"/>
        <v>0</v>
      </c>
      <c r="AV22" s="162">
        <f t="shared" si="14"/>
        <v>0</v>
      </c>
      <c r="AW22" s="162">
        <f t="shared" si="14"/>
        <v>0</v>
      </c>
      <c r="AX22" s="162">
        <f t="shared" si="14"/>
        <v>0</v>
      </c>
      <c r="AY22" s="162">
        <f t="shared" si="14"/>
        <v>0</v>
      </c>
      <c r="AZ22" s="162">
        <f t="shared" si="14"/>
        <v>0</v>
      </c>
      <c r="BA22" s="162">
        <f t="shared" si="14"/>
        <v>0</v>
      </c>
      <c r="BB22" s="162">
        <f t="shared" si="14"/>
        <v>0</v>
      </c>
      <c r="BC22" s="162">
        <f t="shared" si="14"/>
        <v>0</v>
      </c>
      <c r="BD22" s="162">
        <f t="shared" si="14"/>
        <v>0</v>
      </c>
      <c r="BE22" s="162">
        <f t="shared" si="14"/>
        <v>0</v>
      </c>
      <c r="BF22" s="162">
        <f t="shared" si="14"/>
        <v>0</v>
      </c>
      <c r="BG22" s="162">
        <f t="shared" si="14"/>
        <v>0</v>
      </c>
      <c r="BH22" s="162">
        <f t="shared" si="14"/>
        <v>0</v>
      </c>
      <c r="BI22" s="162">
        <f t="shared" si="14"/>
        <v>0</v>
      </c>
      <c r="BJ22" s="162">
        <f t="shared" si="14"/>
        <v>0</v>
      </c>
      <c r="BK22" s="162">
        <f t="shared" si="14"/>
        <v>0</v>
      </c>
      <c r="BL22" s="162">
        <f t="shared" si="14"/>
        <v>0</v>
      </c>
      <c r="BM22" s="162">
        <f t="shared" si="14"/>
        <v>0</v>
      </c>
      <c r="BN22" s="162">
        <f t="shared" si="14"/>
        <v>0</v>
      </c>
      <c r="BO22" s="162">
        <f t="shared" si="14"/>
        <v>0</v>
      </c>
      <c r="BP22" s="162">
        <f t="shared" si="14"/>
        <v>0</v>
      </c>
      <c r="BQ22" s="162">
        <f t="shared" si="14"/>
        <v>0</v>
      </c>
      <c r="BR22" s="162">
        <f t="shared" si="14"/>
        <v>0</v>
      </c>
      <c r="BS22" s="162">
        <f t="shared" si="14"/>
        <v>0</v>
      </c>
      <c r="BT22" s="162">
        <f t="shared" si="14"/>
        <v>0</v>
      </c>
      <c r="BU22" s="162">
        <f t="shared" si="14"/>
        <v>0</v>
      </c>
      <c r="BV22" s="162">
        <f t="shared" si="14"/>
        <v>0</v>
      </c>
      <c r="BW22" s="162">
        <f t="shared" si="14"/>
        <v>0</v>
      </c>
      <c r="BX22" s="162">
        <f t="shared" si="14"/>
        <v>0</v>
      </c>
      <c r="BY22" s="162">
        <f t="shared" si="14"/>
        <v>0</v>
      </c>
      <c r="BZ22" s="162">
        <f t="shared" ref="BZ22:ER22" si="15">BZ23</f>
        <v>0</v>
      </c>
      <c r="CA22" s="162">
        <f t="shared" si="15"/>
        <v>0</v>
      </c>
      <c r="CB22" s="162">
        <f t="shared" si="15"/>
        <v>0</v>
      </c>
      <c r="CC22" s="162">
        <f t="shared" si="15"/>
        <v>0</v>
      </c>
      <c r="CD22" s="162">
        <f t="shared" si="15"/>
        <v>0</v>
      </c>
      <c r="CE22" s="162">
        <f t="shared" si="15"/>
        <v>0</v>
      </c>
      <c r="CF22" s="162">
        <f t="shared" si="15"/>
        <v>0</v>
      </c>
      <c r="CG22" s="162">
        <f t="shared" si="15"/>
        <v>0</v>
      </c>
      <c r="CH22" s="162">
        <f t="shared" si="15"/>
        <v>0</v>
      </c>
      <c r="CI22" s="162">
        <f t="shared" si="15"/>
        <v>0</v>
      </c>
      <c r="CJ22" s="162">
        <f t="shared" si="15"/>
        <v>0</v>
      </c>
      <c r="CK22" s="162">
        <f t="shared" si="15"/>
        <v>0</v>
      </c>
      <c r="CL22" s="162">
        <f t="shared" si="15"/>
        <v>0</v>
      </c>
      <c r="CM22" s="162">
        <f t="shared" si="15"/>
        <v>0</v>
      </c>
      <c r="CN22" s="162">
        <f t="shared" si="15"/>
        <v>0</v>
      </c>
      <c r="CO22" s="162">
        <f t="shared" si="15"/>
        <v>0</v>
      </c>
      <c r="CP22" s="162">
        <f t="shared" si="15"/>
        <v>0</v>
      </c>
      <c r="CQ22" s="162">
        <f t="shared" si="15"/>
        <v>0</v>
      </c>
      <c r="CR22" s="162">
        <f t="shared" si="15"/>
        <v>0</v>
      </c>
      <c r="CS22" s="162">
        <f t="shared" si="15"/>
        <v>0</v>
      </c>
      <c r="CT22" s="162">
        <f t="shared" si="15"/>
        <v>0</v>
      </c>
      <c r="CU22" s="162">
        <f t="shared" si="15"/>
        <v>0</v>
      </c>
      <c r="CV22" s="162">
        <f t="shared" si="15"/>
        <v>0</v>
      </c>
      <c r="CW22" s="162">
        <f t="shared" si="15"/>
        <v>0</v>
      </c>
      <c r="CX22" s="162">
        <f t="shared" si="15"/>
        <v>0</v>
      </c>
      <c r="CY22" s="162">
        <f t="shared" si="15"/>
        <v>0</v>
      </c>
      <c r="CZ22" s="162">
        <f t="shared" si="15"/>
        <v>0</v>
      </c>
      <c r="DA22" s="162">
        <f t="shared" si="15"/>
        <v>0</v>
      </c>
      <c r="DB22" s="162">
        <f t="shared" si="15"/>
        <v>0</v>
      </c>
      <c r="DC22" s="162">
        <f t="shared" si="15"/>
        <v>0</v>
      </c>
      <c r="DD22" s="162">
        <f t="shared" si="15"/>
        <v>0</v>
      </c>
      <c r="DE22" s="162">
        <f t="shared" si="15"/>
        <v>0</v>
      </c>
      <c r="DF22" s="162">
        <f t="shared" si="15"/>
        <v>0</v>
      </c>
      <c r="DG22" s="162">
        <f t="shared" si="15"/>
        <v>0</v>
      </c>
      <c r="DH22" s="162">
        <f t="shared" si="15"/>
        <v>0</v>
      </c>
      <c r="DI22" s="162">
        <f t="shared" si="15"/>
        <v>0</v>
      </c>
      <c r="DJ22" s="162">
        <f t="shared" si="15"/>
        <v>0</v>
      </c>
      <c r="DK22" s="162">
        <f t="shared" si="15"/>
        <v>0</v>
      </c>
      <c r="DL22" s="162">
        <f t="shared" si="15"/>
        <v>0</v>
      </c>
      <c r="DM22" s="162">
        <f t="shared" si="15"/>
        <v>0</v>
      </c>
      <c r="DN22" s="162">
        <f t="shared" si="15"/>
        <v>0</v>
      </c>
      <c r="DO22" s="162">
        <f t="shared" si="15"/>
        <v>0</v>
      </c>
      <c r="DP22" s="162">
        <f t="shared" si="15"/>
        <v>0</v>
      </c>
      <c r="DQ22" s="162">
        <f t="shared" si="15"/>
        <v>0</v>
      </c>
      <c r="DR22" s="162">
        <f t="shared" si="15"/>
        <v>0</v>
      </c>
      <c r="DS22" s="162">
        <f t="shared" si="15"/>
        <v>0</v>
      </c>
      <c r="DT22" s="162">
        <f t="shared" si="15"/>
        <v>0</v>
      </c>
      <c r="DU22" s="162">
        <f t="shared" si="15"/>
        <v>0</v>
      </c>
      <c r="DV22" s="162">
        <f t="shared" si="15"/>
        <v>0</v>
      </c>
      <c r="DW22" s="162">
        <f t="shared" si="15"/>
        <v>0</v>
      </c>
      <c r="DX22" s="162">
        <f t="shared" si="15"/>
        <v>0</v>
      </c>
      <c r="DY22" s="162">
        <f t="shared" si="15"/>
        <v>0</v>
      </c>
      <c r="DZ22" s="162">
        <f t="shared" si="15"/>
        <v>0</v>
      </c>
      <c r="EA22" s="162">
        <f t="shared" si="15"/>
        <v>0</v>
      </c>
      <c r="EB22" s="162">
        <f t="shared" si="15"/>
        <v>0</v>
      </c>
      <c r="EC22" s="162">
        <f t="shared" si="15"/>
        <v>0</v>
      </c>
      <c r="ED22" s="162">
        <f t="shared" si="15"/>
        <v>0</v>
      </c>
      <c r="EE22" s="162">
        <f t="shared" si="15"/>
        <v>0</v>
      </c>
      <c r="EF22" s="162">
        <f t="shared" si="15"/>
        <v>0</v>
      </c>
      <c r="EG22" s="162">
        <f t="shared" si="15"/>
        <v>0</v>
      </c>
      <c r="EH22" s="162">
        <f t="shared" si="15"/>
        <v>0</v>
      </c>
      <c r="EI22" s="162">
        <f t="shared" si="15"/>
        <v>0</v>
      </c>
      <c r="EJ22" s="162">
        <f t="shared" si="15"/>
        <v>0</v>
      </c>
      <c r="EK22" s="162">
        <f t="shared" si="15"/>
        <v>0</v>
      </c>
      <c r="EL22" s="162">
        <f t="shared" si="15"/>
        <v>0</v>
      </c>
      <c r="EM22" s="162">
        <f t="shared" si="15"/>
        <v>0</v>
      </c>
      <c r="EN22" s="162">
        <f t="shared" si="15"/>
        <v>0</v>
      </c>
      <c r="EO22" s="162">
        <f t="shared" si="15"/>
        <v>0</v>
      </c>
      <c r="EP22" s="162">
        <f t="shared" si="15"/>
        <v>0</v>
      </c>
      <c r="EQ22" s="162">
        <f t="shared" si="15"/>
        <v>0</v>
      </c>
      <c r="ER22" s="162">
        <f t="shared" si="15"/>
        <v>0</v>
      </c>
    </row>
    <row r="23" spans="2:148" ht="11.25" customHeight="1">
      <c r="B23" s="218"/>
      <c r="C23" s="163"/>
      <c r="D23" s="164" t="s">
        <v>462</v>
      </c>
      <c r="E23" s="165"/>
      <c r="F23" s="165"/>
      <c r="G23" s="165"/>
      <c r="H23" s="165"/>
      <c r="I23" s="166"/>
      <c r="J23" s="221"/>
      <c r="K23" s="168">
        <f>SUM(M23:ER23)</f>
        <v>0</v>
      </c>
      <c r="L23" s="98"/>
      <c r="M23" s="168">
        <v>0</v>
      </c>
      <c r="N23" s="168">
        <v>0</v>
      </c>
      <c r="O23" s="168">
        <v>0</v>
      </c>
      <c r="P23" s="168">
        <v>0</v>
      </c>
      <c r="Q23" s="168">
        <v>0</v>
      </c>
      <c r="R23" s="168">
        <v>0</v>
      </c>
      <c r="S23" s="168">
        <v>0</v>
      </c>
      <c r="T23" s="168">
        <v>0</v>
      </c>
      <c r="U23" s="168">
        <v>0</v>
      </c>
      <c r="V23" s="168">
        <v>0</v>
      </c>
      <c r="W23" s="168">
        <v>0</v>
      </c>
      <c r="X23" s="168">
        <v>0</v>
      </c>
      <c r="Y23" s="168">
        <v>0</v>
      </c>
      <c r="Z23" s="168">
        <v>0</v>
      </c>
      <c r="AA23" s="168">
        <v>0</v>
      </c>
      <c r="AB23" s="168">
        <v>0</v>
      </c>
      <c r="AC23" s="168">
        <v>0</v>
      </c>
      <c r="AD23" s="168">
        <v>0</v>
      </c>
      <c r="AE23" s="168">
        <v>0</v>
      </c>
      <c r="AF23" s="168">
        <v>0</v>
      </c>
      <c r="AG23" s="168">
        <v>0</v>
      </c>
      <c r="AH23" s="168">
        <v>0</v>
      </c>
      <c r="AI23" s="168">
        <v>0</v>
      </c>
      <c r="AJ23" s="168">
        <v>0</v>
      </c>
      <c r="AK23" s="168">
        <v>0</v>
      </c>
      <c r="AL23" s="168">
        <v>0</v>
      </c>
      <c r="AM23" s="168">
        <v>0</v>
      </c>
      <c r="AN23" s="168">
        <v>0</v>
      </c>
      <c r="AO23" s="168">
        <v>0</v>
      </c>
      <c r="AP23" s="168">
        <v>0</v>
      </c>
      <c r="AQ23" s="168">
        <v>0</v>
      </c>
      <c r="AR23" s="168">
        <v>0</v>
      </c>
      <c r="AS23" s="168">
        <v>0</v>
      </c>
      <c r="AT23" s="168">
        <v>0</v>
      </c>
      <c r="AU23" s="168">
        <v>0</v>
      </c>
      <c r="AV23" s="168">
        <v>0</v>
      </c>
      <c r="AW23" s="168">
        <v>0</v>
      </c>
      <c r="AX23" s="168">
        <v>0</v>
      </c>
      <c r="AY23" s="168">
        <v>0</v>
      </c>
      <c r="AZ23" s="168">
        <v>0</v>
      </c>
      <c r="BA23" s="168">
        <v>0</v>
      </c>
      <c r="BB23" s="168">
        <v>0</v>
      </c>
      <c r="BC23" s="168">
        <v>0</v>
      </c>
      <c r="BD23" s="168">
        <v>0</v>
      </c>
      <c r="BE23" s="168">
        <v>0</v>
      </c>
      <c r="BF23" s="168">
        <v>0</v>
      </c>
      <c r="BG23" s="168">
        <v>0</v>
      </c>
      <c r="BH23" s="168">
        <v>0</v>
      </c>
      <c r="BI23" s="168">
        <v>0</v>
      </c>
      <c r="BJ23" s="168">
        <v>0</v>
      </c>
      <c r="BK23" s="168">
        <v>0</v>
      </c>
      <c r="BL23" s="168">
        <v>0</v>
      </c>
      <c r="BM23" s="168">
        <v>0</v>
      </c>
      <c r="BN23" s="168">
        <v>0</v>
      </c>
      <c r="BO23" s="168">
        <v>0</v>
      </c>
      <c r="BP23" s="168">
        <v>0</v>
      </c>
      <c r="BQ23" s="168">
        <v>0</v>
      </c>
      <c r="BR23" s="168">
        <v>0</v>
      </c>
      <c r="BS23" s="168">
        <v>0</v>
      </c>
      <c r="BT23" s="168">
        <v>0</v>
      </c>
      <c r="BU23" s="168">
        <v>0</v>
      </c>
      <c r="BV23" s="168">
        <v>0</v>
      </c>
      <c r="BW23" s="168">
        <v>0</v>
      </c>
      <c r="BX23" s="168">
        <v>0</v>
      </c>
      <c r="BY23" s="168">
        <v>0</v>
      </c>
      <c r="BZ23" s="168">
        <v>0</v>
      </c>
      <c r="CA23" s="168">
        <v>0</v>
      </c>
      <c r="CB23" s="168">
        <v>0</v>
      </c>
      <c r="CC23" s="168">
        <v>0</v>
      </c>
      <c r="CD23" s="168">
        <v>0</v>
      </c>
      <c r="CE23" s="168">
        <v>0</v>
      </c>
      <c r="CF23" s="168">
        <v>0</v>
      </c>
      <c r="CG23" s="168">
        <v>0</v>
      </c>
      <c r="CH23" s="168">
        <v>0</v>
      </c>
      <c r="CI23" s="168">
        <v>0</v>
      </c>
      <c r="CJ23" s="168">
        <v>0</v>
      </c>
      <c r="CK23" s="168">
        <v>0</v>
      </c>
      <c r="CL23" s="168">
        <v>0</v>
      </c>
      <c r="CM23" s="168">
        <v>0</v>
      </c>
      <c r="CN23" s="168">
        <v>0</v>
      </c>
      <c r="CO23" s="168">
        <v>0</v>
      </c>
      <c r="CP23" s="168">
        <v>0</v>
      </c>
      <c r="CQ23" s="168">
        <v>0</v>
      </c>
      <c r="CR23" s="168">
        <v>0</v>
      </c>
      <c r="CS23" s="168">
        <v>0</v>
      </c>
      <c r="CT23" s="168">
        <v>0</v>
      </c>
      <c r="CU23" s="168">
        <v>0</v>
      </c>
      <c r="CV23" s="168">
        <v>0</v>
      </c>
      <c r="CW23" s="168">
        <v>0</v>
      </c>
      <c r="CX23" s="168">
        <v>0</v>
      </c>
      <c r="CY23" s="168">
        <v>0</v>
      </c>
      <c r="CZ23" s="168">
        <v>0</v>
      </c>
      <c r="DA23" s="168">
        <v>0</v>
      </c>
      <c r="DB23" s="168">
        <v>0</v>
      </c>
      <c r="DC23" s="168">
        <v>0</v>
      </c>
      <c r="DD23" s="168">
        <v>0</v>
      </c>
      <c r="DE23" s="168">
        <v>0</v>
      </c>
      <c r="DF23" s="168">
        <v>0</v>
      </c>
      <c r="DG23" s="168">
        <v>0</v>
      </c>
      <c r="DH23" s="168">
        <v>0</v>
      </c>
      <c r="DI23" s="168">
        <v>0</v>
      </c>
      <c r="DJ23" s="168">
        <v>0</v>
      </c>
      <c r="DK23" s="168">
        <v>0</v>
      </c>
      <c r="DL23" s="168">
        <v>0</v>
      </c>
      <c r="DM23" s="168">
        <v>0</v>
      </c>
      <c r="DN23" s="168">
        <v>0</v>
      </c>
      <c r="DO23" s="168">
        <v>0</v>
      </c>
      <c r="DP23" s="168">
        <v>0</v>
      </c>
      <c r="DQ23" s="168">
        <v>0</v>
      </c>
      <c r="DR23" s="168">
        <v>0</v>
      </c>
      <c r="DS23" s="168">
        <v>0</v>
      </c>
      <c r="DT23" s="168">
        <v>0</v>
      </c>
      <c r="DU23" s="168">
        <v>0</v>
      </c>
      <c r="DV23" s="168">
        <v>0</v>
      </c>
      <c r="DW23" s="168">
        <v>0</v>
      </c>
      <c r="DX23" s="168">
        <v>0</v>
      </c>
      <c r="DY23" s="168">
        <v>0</v>
      </c>
      <c r="DZ23" s="168">
        <v>0</v>
      </c>
      <c r="EA23" s="168">
        <v>0</v>
      </c>
      <c r="EB23" s="168">
        <v>0</v>
      </c>
      <c r="EC23" s="168">
        <v>0</v>
      </c>
      <c r="ED23" s="168">
        <v>0</v>
      </c>
      <c r="EE23" s="168">
        <v>0</v>
      </c>
      <c r="EF23" s="168">
        <v>0</v>
      </c>
      <c r="EG23" s="168">
        <v>0</v>
      </c>
      <c r="EH23" s="168">
        <v>0</v>
      </c>
      <c r="EI23" s="168">
        <v>0</v>
      </c>
      <c r="EJ23" s="168">
        <v>0</v>
      </c>
      <c r="EK23" s="168">
        <v>0</v>
      </c>
      <c r="EL23" s="168">
        <v>0</v>
      </c>
      <c r="EM23" s="168">
        <v>0</v>
      </c>
      <c r="EN23" s="168">
        <v>0</v>
      </c>
      <c r="EO23" s="168">
        <v>0</v>
      </c>
      <c r="EP23" s="168">
        <v>0</v>
      </c>
      <c r="EQ23" s="168">
        <v>0</v>
      </c>
      <c r="ER23" s="168">
        <v>0</v>
      </c>
    </row>
    <row r="24" spans="2:148" ht="11.25" customHeight="1">
      <c r="B24" s="218"/>
      <c r="C24" s="158" t="s">
        <v>460</v>
      </c>
      <c r="D24" s="159"/>
      <c r="E24" s="159"/>
      <c r="F24" s="159"/>
      <c r="G24" s="159"/>
      <c r="H24" s="159"/>
      <c r="I24" s="160"/>
      <c r="J24" s="219"/>
      <c r="K24" s="220">
        <f>SUM(K25:K41)</f>
        <v>65480608.757875584</v>
      </c>
      <c r="L24" s="98"/>
      <c r="M24" s="162">
        <f>SUM(M25:M41)</f>
        <v>0</v>
      </c>
      <c r="N24" s="162">
        <f t="shared" ref="N24:BY24" si="16">SUM(N25:N41)</f>
        <v>547467.5957000684</v>
      </c>
      <c r="O24" s="162">
        <f t="shared" si="16"/>
        <v>536594.2257000684</v>
      </c>
      <c r="P24" s="162">
        <f t="shared" si="16"/>
        <v>536594.2257000684</v>
      </c>
      <c r="Q24" s="162">
        <f t="shared" si="16"/>
        <v>536594.2257000684</v>
      </c>
      <c r="R24" s="162">
        <f t="shared" si="16"/>
        <v>536594.2257000684</v>
      </c>
      <c r="S24" s="162">
        <f t="shared" si="16"/>
        <v>536594.2257000684</v>
      </c>
      <c r="T24" s="162">
        <f t="shared" si="16"/>
        <v>536594.2257000684</v>
      </c>
      <c r="U24" s="162">
        <f t="shared" si="16"/>
        <v>536594.2257000684</v>
      </c>
      <c r="V24" s="162">
        <f t="shared" si="16"/>
        <v>536594.2257000684</v>
      </c>
      <c r="W24" s="162">
        <f t="shared" si="16"/>
        <v>536594.2257000684</v>
      </c>
      <c r="X24" s="162">
        <f t="shared" si="16"/>
        <v>536594.2257000684</v>
      </c>
      <c r="Y24" s="162">
        <f t="shared" si="16"/>
        <v>536594.2257000684</v>
      </c>
      <c r="Z24" s="162">
        <f t="shared" si="16"/>
        <v>536771.82194933109</v>
      </c>
      <c r="AA24" s="162">
        <f t="shared" si="16"/>
        <v>536771.82194933109</v>
      </c>
      <c r="AB24" s="162">
        <f t="shared" si="16"/>
        <v>536771.82194933109</v>
      </c>
      <c r="AC24" s="162">
        <f t="shared" si="16"/>
        <v>536771.82194933109</v>
      </c>
      <c r="AD24" s="162">
        <f t="shared" si="16"/>
        <v>536771.82194933109</v>
      </c>
      <c r="AE24" s="162">
        <f t="shared" si="16"/>
        <v>536771.82194933109</v>
      </c>
      <c r="AF24" s="162">
        <f t="shared" si="16"/>
        <v>536771.82194933109</v>
      </c>
      <c r="AG24" s="162">
        <f t="shared" si="16"/>
        <v>536771.82194933109</v>
      </c>
      <c r="AH24" s="162">
        <f t="shared" si="16"/>
        <v>536771.82194933109</v>
      </c>
      <c r="AI24" s="162">
        <f t="shared" si="16"/>
        <v>536771.82194933109</v>
      </c>
      <c r="AJ24" s="162">
        <f t="shared" si="16"/>
        <v>536771.82194933109</v>
      </c>
      <c r="AK24" s="162">
        <f t="shared" si="16"/>
        <v>536771.82194933109</v>
      </c>
      <c r="AL24" s="162">
        <f t="shared" si="16"/>
        <v>537019.32676737069</v>
      </c>
      <c r="AM24" s="162">
        <f t="shared" si="16"/>
        <v>537019.32676737069</v>
      </c>
      <c r="AN24" s="162">
        <f t="shared" si="16"/>
        <v>537019.32676737069</v>
      </c>
      <c r="AO24" s="162">
        <f t="shared" si="16"/>
        <v>537019.32676737069</v>
      </c>
      <c r="AP24" s="162">
        <f t="shared" si="16"/>
        <v>537019.32676737069</v>
      </c>
      <c r="AQ24" s="162">
        <f t="shared" si="16"/>
        <v>537019.32676737069</v>
      </c>
      <c r="AR24" s="162">
        <f t="shared" si="16"/>
        <v>537019.32676737069</v>
      </c>
      <c r="AS24" s="162">
        <f t="shared" si="16"/>
        <v>537019.32676737069</v>
      </c>
      <c r="AT24" s="162">
        <f t="shared" si="16"/>
        <v>537019.32676737069</v>
      </c>
      <c r="AU24" s="162">
        <f t="shared" si="16"/>
        <v>605417.71928953985</v>
      </c>
      <c r="AV24" s="162">
        <f t="shared" si="16"/>
        <v>537019.32676737069</v>
      </c>
      <c r="AW24" s="162">
        <f t="shared" si="16"/>
        <v>537019.32676737069</v>
      </c>
      <c r="AX24" s="162">
        <f t="shared" si="16"/>
        <v>537336.88429767254</v>
      </c>
      <c r="AY24" s="162">
        <f t="shared" si="16"/>
        <v>537336.88429767254</v>
      </c>
      <c r="AZ24" s="162">
        <f t="shared" si="16"/>
        <v>552879.02242919651</v>
      </c>
      <c r="BA24" s="162">
        <f t="shared" si="16"/>
        <v>564991.6878409778</v>
      </c>
      <c r="BB24" s="162">
        <f t="shared" si="16"/>
        <v>537336.88429767254</v>
      </c>
      <c r="BC24" s="162">
        <f t="shared" si="16"/>
        <v>537336.88429767254</v>
      </c>
      <c r="BD24" s="162">
        <f t="shared" si="16"/>
        <v>537895.43993491773</v>
      </c>
      <c r="BE24" s="162">
        <f t="shared" si="16"/>
        <v>537336.88429767254</v>
      </c>
      <c r="BF24" s="162">
        <f t="shared" si="16"/>
        <v>537336.88429767254</v>
      </c>
      <c r="BG24" s="162">
        <f t="shared" si="16"/>
        <v>537336.88429767254</v>
      </c>
      <c r="BH24" s="162">
        <f t="shared" si="16"/>
        <v>537336.88429767254</v>
      </c>
      <c r="BI24" s="162">
        <f t="shared" si="16"/>
        <v>537336.88429767254</v>
      </c>
      <c r="BJ24" s="162">
        <f t="shared" si="16"/>
        <v>537724.66515682463</v>
      </c>
      <c r="BK24" s="162">
        <f t="shared" si="16"/>
        <v>537724.66515682463</v>
      </c>
      <c r="BL24" s="162">
        <f t="shared" si="16"/>
        <v>537724.66515682463</v>
      </c>
      <c r="BM24" s="162">
        <f t="shared" si="16"/>
        <v>537724.66515682463</v>
      </c>
      <c r="BN24" s="162">
        <f t="shared" si="16"/>
        <v>537724.66515682463</v>
      </c>
      <c r="BO24" s="162">
        <f t="shared" si="16"/>
        <v>537724.66515682463</v>
      </c>
      <c r="BP24" s="162">
        <f t="shared" si="16"/>
        <v>537724.66515682463</v>
      </c>
      <c r="BQ24" s="162">
        <f t="shared" si="16"/>
        <v>537724.66515682463</v>
      </c>
      <c r="BR24" s="162">
        <f t="shared" si="16"/>
        <v>537724.66515682463</v>
      </c>
      <c r="BS24" s="162">
        <f t="shared" si="16"/>
        <v>537724.66515682463</v>
      </c>
      <c r="BT24" s="162">
        <f t="shared" si="16"/>
        <v>537724.66515682463</v>
      </c>
      <c r="BU24" s="162">
        <f t="shared" si="16"/>
        <v>537724.66515682463</v>
      </c>
      <c r="BV24" s="162">
        <f t="shared" si="16"/>
        <v>538182.86650862393</v>
      </c>
      <c r="BW24" s="162">
        <f t="shared" si="16"/>
        <v>538182.86650862393</v>
      </c>
      <c r="BX24" s="162">
        <f t="shared" si="16"/>
        <v>538182.86650862393</v>
      </c>
      <c r="BY24" s="162">
        <f t="shared" si="16"/>
        <v>538182.86650862393</v>
      </c>
      <c r="BZ24" s="162">
        <f t="shared" ref="BZ24:DT24" si="17">SUM(BZ25:BZ41)</f>
        <v>538182.86650862393</v>
      </c>
      <c r="CA24" s="162">
        <f t="shared" si="17"/>
        <v>538182.86650862393</v>
      </c>
      <c r="CB24" s="162">
        <f t="shared" si="17"/>
        <v>538182.86650862393</v>
      </c>
      <c r="CC24" s="162">
        <f t="shared" si="17"/>
        <v>538182.86650862393</v>
      </c>
      <c r="CD24" s="162">
        <f t="shared" si="17"/>
        <v>538182.86650862393</v>
      </c>
      <c r="CE24" s="162">
        <f t="shared" si="17"/>
        <v>538182.86650862393</v>
      </c>
      <c r="CF24" s="162">
        <f t="shared" si="17"/>
        <v>538182.86650862393</v>
      </c>
      <c r="CG24" s="162">
        <f t="shared" si="17"/>
        <v>538182.86650862393</v>
      </c>
      <c r="CH24" s="162">
        <f t="shared" si="17"/>
        <v>538711.71214843576</v>
      </c>
      <c r="CI24" s="162">
        <f t="shared" si="17"/>
        <v>538711.71214843576</v>
      </c>
      <c r="CJ24" s="162">
        <f t="shared" si="17"/>
        <v>538711.71214843576</v>
      </c>
      <c r="CK24" s="162">
        <f t="shared" si="17"/>
        <v>538711.71214843576</v>
      </c>
      <c r="CL24" s="162">
        <f t="shared" si="17"/>
        <v>538711.71214843576</v>
      </c>
      <c r="CM24" s="162">
        <f t="shared" si="17"/>
        <v>538711.71214843576</v>
      </c>
      <c r="CN24" s="162">
        <f t="shared" si="17"/>
        <v>538711.71214843576</v>
      </c>
      <c r="CO24" s="162">
        <f t="shared" si="17"/>
        <v>538711.71214843576</v>
      </c>
      <c r="CP24" s="162">
        <f t="shared" si="17"/>
        <v>538711.71214843576</v>
      </c>
      <c r="CQ24" s="162">
        <f t="shared" si="17"/>
        <v>538711.71214843576</v>
      </c>
      <c r="CR24" s="162">
        <f t="shared" si="17"/>
        <v>538711.71214843576</v>
      </c>
      <c r="CS24" s="162">
        <f t="shared" si="17"/>
        <v>538711.71214843576</v>
      </c>
      <c r="CT24" s="162">
        <f t="shared" si="17"/>
        <v>539311.4525978415</v>
      </c>
      <c r="CU24" s="162">
        <f t="shared" si="17"/>
        <v>539311.4525978415</v>
      </c>
      <c r="CV24" s="162">
        <f t="shared" si="17"/>
        <v>539311.4525978415</v>
      </c>
      <c r="CW24" s="162">
        <f t="shared" si="17"/>
        <v>539311.4525978415</v>
      </c>
      <c r="CX24" s="162">
        <f t="shared" si="17"/>
        <v>539311.4525978415</v>
      </c>
      <c r="CY24" s="162">
        <f t="shared" si="17"/>
        <v>539311.4525978415</v>
      </c>
      <c r="CZ24" s="162">
        <f t="shared" si="17"/>
        <v>1139463.2229818874</v>
      </c>
      <c r="DA24" s="162">
        <f t="shared" si="17"/>
        <v>539311.4525978415</v>
      </c>
      <c r="DB24" s="162">
        <f t="shared" si="17"/>
        <v>539311.4525978415</v>
      </c>
      <c r="DC24" s="162">
        <f t="shared" si="17"/>
        <v>616697.95564594038</v>
      </c>
      <c r="DD24" s="162">
        <f t="shared" si="17"/>
        <v>539311.4525978415</v>
      </c>
      <c r="DE24" s="162">
        <f t="shared" si="17"/>
        <v>539311.4525978415</v>
      </c>
      <c r="DF24" s="162">
        <f t="shared" si="17"/>
        <v>539982.3652096102</v>
      </c>
      <c r="DG24" s="162">
        <f t="shared" si="17"/>
        <v>539982.3652096102</v>
      </c>
      <c r="DH24" s="162">
        <f t="shared" si="17"/>
        <v>557566.86793749698</v>
      </c>
      <c r="DI24" s="162">
        <f t="shared" si="17"/>
        <v>582199.36537502112</v>
      </c>
      <c r="DJ24" s="162">
        <f t="shared" si="17"/>
        <v>539982.3652096102</v>
      </c>
      <c r="DK24" s="162">
        <f t="shared" si="17"/>
        <v>571271.23706438253</v>
      </c>
      <c r="DL24" s="162">
        <f t="shared" si="17"/>
        <v>540614.31964494579</v>
      </c>
      <c r="DM24" s="162">
        <f t="shared" si="17"/>
        <v>539982.3652096102</v>
      </c>
      <c r="DN24" s="162">
        <f t="shared" si="17"/>
        <v>539982.3652096102</v>
      </c>
      <c r="DO24" s="162">
        <f t="shared" si="17"/>
        <v>539982.3652096102</v>
      </c>
      <c r="DP24" s="162">
        <f t="shared" si="17"/>
        <v>539982.3652096102</v>
      </c>
      <c r="DQ24" s="162">
        <f t="shared" si="17"/>
        <v>539982.3652096102</v>
      </c>
      <c r="DR24" s="162">
        <f t="shared" si="17"/>
        <v>540724.75428303657</v>
      </c>
      <c r="DS24" s="162">
        <f t="shared" si="17"/>
        <v>540724.75428303657</v>
      </c>
      <c r="DT24" s="162">
        <f t="shared" si="17"/>
        <v>540724.75428303657</v>
      </c>
      <c r="DU24" s="162">
        <f t="shared" ref="DU24:ER24" si="18">SUM(DU25:DU41)</f>
        <v>540724.75428303657</v>
      </c>
      <c r="DV24" s="162">
        <f t="shared" si="18"/>
        <v>540724.75428303657</v>
      </c>
      <c r="DW24" s="162">
        <f t="shared" si="18"/>
        <v>540724.75428303657</v>
      </c>
      <c r="DX24" s="162">
        <f t="shared" si="18"/>
        <v>540724.75428303657</v>
      </c>
      <c r="DY24" s="162">
        <f t="shared" si="18"/>
        <v>540724.75428303657</v>
      </c>
      <c r="DZ24" s="162">
        <f t="shared" si="18"/>
        <v>540724.75428303657</v>
      </c>
      <c r="EA24" s="162">
        <f t="shared" si="18"/>
        <v>540724.75428303657</v>
      </c>
      <c r="EB24" s="162">
        <f t="shared" si="18"/>
        <v>540724.75428303657</v>
      </c>
      <c r="EC24" s="162">
        <f t="shared" si="18"/>
        <v>540724.75428303657</v>
      </c>
      <c r="ED24" s="162">
        <f t="shared" si="18"/>
        <v>0</v>
      </c>
      <c r="EE24" s="162">
        <f t="shared" si="18"/>
        <v>0</v>
      </c>
      <c r="EF24" s="162">
        <f t="shared" si="18"/>
        <v>0</v>
      </c>
      <c r="EG24" s="162">
        <f t="shared" si="18"/>
        <v>0</v>
      </c>
      <c r="EH24" s="162">
        <f t="shared" si="18"/>
        <v>0</v>
      </c>
      <c r="EI24" s="162">
        <f t="shared" si="18"/>
        <v>0</v>
      </c>
      <c r="EJ24" s="162">
        <f t="shared" si="18"/>
        <v>0</v>
      </c>
      <c r="EK24" s="162">
        <f t="shared" si="18"/>
        <v>0</v>
      </c>
      <c r="EL24" s="162">
        <f t="shared" si="18"/>
        <v>0</v>
      </c>
      <c r="EM24" s="162">
        <f t="shared" si="18"/>
        <v>0</v>
      </c>
      <c r="EN24" s="162">
        <f t="shared" si="18"/>
        <v>0</v>
      </c>
      <c r="EO24" s="162">
        <f t="shared" si="18"/>
        <v>0</v>
      </c>
      <c r="EP24" s="162">
        <f t="shared" si="18"/>
        <v>0</v>
      </c>
      <c r="EQ24" s="162">
        <f t="shared" si="18"/>
        <v>0</v>
      </c>
      <c r="ER24" s="162">
        <f t="shared" si="18"/>
        <v>0</v>
      </c>
    </row>
    <row r="25" spans="2:148" ht="11.25" customHeight="1">
      <c r="B25" s="218"/>
      <c r="C25" s="163"/>
      <c r="D25" s="2099" t="s">
        <v>463</v>
      </c>
      <c r="E25" s="165"/>
      <c r="F25" s="165"/>
      <c r="G25" s="802">
        <f>'A&amp;R'!Q80</f>
        <v>2000</v>
      </c>
      <c r="H25" s="803">
        <f>'A&amp;R'!R71</f>
        <v>46691</v>
      </c>
      <c r="I25" s="804">
        <f>'A&amp;R'!Q71</f>
        <v>0.02</v>
      </c>
      <c r="J25" s="221"/>
      <c r="K25" s="168">
        <f t="shared" ref="K25:K41" si="19">SUM(M25:ER25)</f>
        <v>262793.30399370828</v>
      </c>
      <c r="L25" s="98"/>
      <c r="M25" s="168">
        <f>$G25*(1+$I25)^ROUNDUP(IFERROR(DATEDIF($H25-1,M$16+1,"m"),)/12,)*Index!L$22</f>
        <v>0</v>
      </c>
      <c r="N25" s="168">
        <f>$G25*(1+$I25)^ROUNDUP(IFERROR(DATEDIF($H25-1,N$16+1,"m"),)/12,)*Index!M$22</f>
        <v>2000</v>
      </c>
      <c r="O25" s="168">
        <f>$G25*(1+$I25)^ROUNDUP(IFERROR(DATEDIF($H25-1,O$16+1,"m"),)/12,)*Index!N$22</f>
        <v>2000</v>
      </c>
      <c r="P25" s="168">
        <f>$G25*(1+$I25)^ROUNDUP(IFERROR(DATEDIF($H25-1,P$16+1,"m"),)/12,)*Index!O$22</f>
        <v>2000</v>
      </c>
      <c r="Q25" s="168">
        <f>$G25*(1+$I25)^ROUNDUP(IFERROR(DATEDIF($H25-1,Q$16+1,"m"),)/12,)*Index!P$22</f>
        <v>2000</v>
      </c>
      <c r="R25" s="168">
        <f>$G25*(1+$I25)^ROUNDUP(IFERROR(DATEDIF($H25-1,R$16+1,"m"),)/12,)*Index!Q$22</f>
        <v>2000</v>
      </c>
      <c r="S25" s="168">
        <f>$G25*(1+$I25)^ROUNDUP(IFERROR(DATEDIF($H25-1,S$16+1,"m"),)/12,)*Index!R$22</f>
        <v>2000</v>
      </c>
      <c r="T25" s="168">
        <f>$G25*(1+$I25)^ROUNDUP(IFERROR(DATEDIF($H25-1,T$16+1,"m"),)/12,)*Index!S$22</f>
        <v>2000</v>
      </c>
      <c r="U25" s="168">
        <f>$G25*(1+$I25)^ROUNDUP(IFERROR(DATEDIF($H25-1,U$16+1,"m"),)/12,)*Index!T$22</f>
        <v>2000</v>
      </c>
      <c r="V25" s="168">
        <f>$G25*(1+$I25)^ROUNDUP(IFERROR(DATEDIF($H25-1,V$16+1,"m"),)/12,)*Index!U$22</f>
        <v>2000</v>
      </c>
      <c r="W25" s="168">
        <f>$G25*(1+$I25)^ROUNDUP(IFERROR(DATEDIF($H25-1,W$16+1,"m"),)/12,)*Index!V$22</f>
        <v>2000</v>
      </c>
      <c r="X25" s="168">
        <f>$G25*(1+$I25)^ROUNDUP(IFERROR(DATEDIF($H25-1,X$16+1,"m"),)/12,)*Index!W$22</f>
        <v>2000</v>
      </c>
      <c r="Y25" s="168">
        <f>$G25*(1+$I25)^ROUNDUP(IFERROR(DATEDIF($H25-1,Y$16+1,"m"),)/12,)*Index!X$22</f>
        <v>2000</v>
      </c>
      <c r="Z25" s="168">
        <f>$G25*(1+$I25)^ROUNDUP(IFERROR(DATEDIF($H25-1,Z$16+1,"m"),)/12,)*Index!Y$22</f>
        <v>2040</v>
      </c>
      <c r="AA25" s="168">
        <f>$G25*(1+$I25)^ROUNDUP(IFERROR(DATEDIF($H25-1,AA$16+1,"m"),)/12,)*Index!Z$22</f>
        <v>2040</v>
      </c>
      <c r="AB25" s="168">
        <f>$G25*(1+$I25)^ROUNDUP(IFERROR(DATEDIF($H25-1,AB$16+1,"m"),)/12,)*Index!AA$22</f>
        <v>2040</v>
      </c>
      <c r="AC25" s="168">
        <f>$G25*(1+$I25)^ROUNDUP(IFERROR(DATEDIF($H25-1,AC$16+1,"m"),)/12,)*Index!AB$22</f>
        <v>2040</v>
      </c>
      <c r="AD25" s="168">
        <f>$G25*(1+$I25)^ROUNDUP(IFERROR(DATEDIF($H25-1,AD$16+1,"m"),)/12,)*Index!AC$22</f>
        <v>2040</v>
      </c>
      <c r="AE25" s="168">
        <f>$G25*(1+$I25)^ROUNDUP(IFERROR(DATEDIF($H25-1,AE$16+1,"m"),)/12,)*Index!AD$22</f>
        <v>2040</v>
      </c>
      <c r="AF25" s="168">
        <f>$G25*(1+$I25)^ROUNDUP(IFERROR(DATEDIF($H25-1,AF$16+1,"m"),)/12,)*Index!AE$22</f>
        <v>2040</v>
      </c>
      <c r="AG25" s="168">
        <f>$G25*(1+$I25)^ROUNDUP(IFERROR(DATEDIF($H25-1,AG$16+1,"m"),)/12,)*Index!AF$22</f>
        <v>2040</v>
      </c>
      <c r="AH25" s="168">
        <f>$G25*(1+$I25)^ROUNDUP(IFERROR(DATEDIF($H25-1,AH$16+1,"m"),)/12,)*Index!AG$22</f>
        <v>2040</v>
      </c>
      <c r="AI25" s="168">
        <f>$G25*(1+$I25)^ROUNDUP(IFERROR(DATEDIF($H25-1,AI$16+1,"m"),)/12,)*Index!AH$22</f>
        <v>2040</v>
      </c>
      <c r="AJ25" s="168">
        <f>$G25*(1+$I25)^ROUNDUP(IFERROR(DATEDIF($H25-1,AJ$16+1,"m"),)/12,)*Index!AI$22</f>
        <v>2040</v>
      </c>
      <c r="AK25" s="168">
        <f>$G25*(1+$I25)^ROUNDUP(IFERROR(DATEDIF($H25-1,AK$16+1,"m"),)/12,)*Index!AJ$22</f>
        <v>2040</v>
      </c>
      <c r="AL25" s="168">
        <f>$G25*(1+$I25)^ROUNDUP(IFERROR(DATEDIF($H25-1,AL$16+1,"m"),)/12,)*Index!AK$22</f>
        <v>2080.8000000000002</v>
      </c>
      <c r="AM25" s="168">
        <f>$G25*(1+$I25)^ROUNDUP(IFERROR(DATEDIF($H25-1,AM$16+1,"m"),)/12,)*Index!AL$22</f>
        <v>2080.8000000000002</v>
      </c>
      <c r="AN25" s="168">
        <f>$G25*(1+$I25)^ROUNDUP(IFERROR(DATEDIF($H25-1,AN$16+1,"m"),)/12,)*Index!AM$22</f>
        <v>2080.8000000000002</v>
      </c>
      <c r="AO25" s="168">
        <f>$G25*(1+$I25)^ROUNDUP(IFERROR(DATEDIF($H25-1,AO$16+1,"m"),)/12,)*Index!AN$22</f>
        <v>2080.8000000000002</v>
      </c>
      <c r="AP25" s="168">
        <f>$G25*(1+$I25)^ROUNDUP(IFERROR(DATEDIF($H25-1,AP$16+1,"m"),)/12,)*Index!AO$22</f>
        <v>2080.8000000000002</v>
      </c>
      <c r="AQ25" s="168">
        <f>$G25*(1+$I25)^ROUNDUP(IFERROR(DATEDIF($H25-1,AQ$16+1,"m"),)/12,)*Index!AP$22</f>
        <v>2080.8000000000002</v>
      </c>
      <c r="AR25" s="168">
        <f>$G25*(1+$I25)^ROUNDUP(IFERROR(DATEDIF($H25-1,AR$16+1,"m"),)/12,)*Index!AQ$22</f>
        <v>2080.8000000000002</v>
      </c>
      <c r="AS25" s="168">
        <f>$G25*(1+$I25)^ROUNDUP(IFERROR(DATEDIF($H25-1,AS$16+1,"m"),)/12,)*Index!AR$22</f>
        <v>2080.8000000000002</v>
      </c>
      <c r="AT25" s="168">
        <f>$G25*(1+$I25)^ROUNDUP(IFERROR(DATEDIF($H25-1,AT$16+1,"m"),)/12,)*Index!AS$22</f>
        <v>2080.8000000000002</v>
      </c>
      <c r="AU25" s="168">
        <f>$G25*(1+$I25)^ROUNDUP(IFERROR(DATEDIF($H25-1,AU$16+1,"m"),)/12,)*Index!AT$22</f>
        <v>2080.8000000000002</v>
      </c>
      <c r="AV25" s="168">
        <f>$G25*(1+$I25)^ROUNDUP(IFERROR(DATEDIF($H25-1,AV$16+1,"m"),)/12,)*Index!AU$22</f>
        <v>2080.8000000000002</v>
      </c>
      <c r="AW25" s="168">
        <f>$G25*(1+$I25)^ROUNDUP(IFERROR(DATEDIF($H25-1,AW$16+1,"m"),)/12,)*Index!AV$22</f>
        <v>2080.8000000000002</v>
      </c>
      <c r="AX25" s="168">
        <f>$G25*(1+$I25)^ROUNDUP(IFERROR(DATEDIF($H25-1,AX$16+1,"m"),)/12,)*Index!AW$22</f>
        <v>2122.4159999999997</v>
      </c>
      <c r="AY25" s="168">
        <f>$G25*(1+$I25)^ROUNDUP(IFERROR(DATEDIF($H25-1,AY$16+1,"m"),)/12,)*Index!AX$22</f>
        <v>2122.4159999999997</v>
      </c>
      <c r="AZ25" s="168">
        <f>$G25*(1+$I25)^ROUNDUP(IFERROR(DATEDIF($H25-1,AZ$16+1,"m"),)/12,)*Index!AY$22</f>
        <v>2122.4159999999997</v>
      </c>
      <c r="BA25" s="168">
        <f>$G25*(1+$I25)^ROUNDUP(IFERROR(DATEDIF($H25-1,BA$16+1,"m"),)/12,)*Index!AZ$22</f>
        <v>2122.4159999999997</v>
      </c>
      <c r="BB25" s="168">
        <f>$G25*(1+$I25)^ROUNDUP(IFERROR(DATEDIF($H25-1,BB$16+1,"m"),)/12,)*Index!BA$22</f>
        <v>2122.4159999999997</v>
      </c>
      <c r="BC25" s="168">
        <f>$G25*(1+$I25)^ROUNDUP(IFERROR(DATEDIF($H25-1,BC$16+1,"m"),)/12,)*Index!BB$22</f>
        <v>2122.4159999999997</v>
      </c>
      <c r="BD25" s="168">
        <f>$G25*(1+$I25)^ROUNDUP(IFERROR(DATEDIF($H25-1,BD$16+1,"m"),)/12,)*Index!BC$22</f>
        <v>2122.4159999999997</v>
      </c>
      <c r="BE25" s="168">
        <f>$G25*(1+$I25)^ROUNDUP(IFERROR(DATEDIF($H25-1,BE$16+1,"m"),)/12,)*Index!BD$22</f>
        <v>2122.4159999999997</v>
      </c>
      <c r="BF25" s="168">
        <f>$G25*(1+$I25)^ROUNDUP(IFERROR(DATEDIF($H25-1,BF$16+1,"m"),)/12,)*Index!BE$22</f>
        <v>2122.4159999999997</v>
      </c>
      <c r="BG25" s="168">
        <f>$G25*(1+$I25)^ROUNDUP(IFERROR(DATEDIF($H25-1,BG$16+1,"m"),)/12,)*Index!BF$22</f>
        <v>2122.4159999999997</v>
      </c>
      <c r="BH25" s="168">
        <f>$G25*(1+$I25)^ROUNDUP(IFERROR(DATEDIF($H25-1,BH$16+1,"m"),)/12,)*Index!BG$22</f>
        <v>2122.4159999999997</v>
      </c>
      <c r="BI25" s="168">
        <f>$G25*(1+$I25)^ROUNDUP(IFERROR(DATEDIF($H25-1,BI$16+1,"m"),)/12,)*Index!BH$22</f>
        <v>2122.4159999999997</v>
      </c>
      <c r="BJ25" s="168">
        <f>$G25*(1+$I25)^ROUNDUP(IFERROR(DATEDIF($H25-1,BJ$16+1,"m"),)/12,)*Index!BI$22</f>
        <v>2164.8643200000001</v>
      </c>
      <c r="BK25" s="168">
        <f>$G25*(1+$I25)^ROUNDUP(IFERROR(DATEDIF($H25-1,BK$16+1,"m"),)/12,)*Index!BJ$22</f>
        <v>2164.8643200000001</v>
      </c>
      <c r="BL25" s="168">
        <f>$G25*(1+$I25)^ROUNDUP(IFERROR(DATEDIF($H25-1,BL$16+1,"m"),)/12,)*Index!BK$22</f>
        <v>2164.8643200000001</v>
      </c>
      <c r="BM25" s="168">
        <f>$G25*(1+$I25)^ROUNDUP(IFERROR(DATEDIF($H25-1,BM$16+1,"m"),)/12,)*Index!BL$22</f>
        <v>2164.8643200000001</v>
      </c>
      <c r="BN25" s="168">
        <f>$G25*(1+$I25)^ROUNDUP(IFERROR(DATEDIF($H25-1,BN$16+1,"m"),)/12,)*Index!BM$22</f>
        <v>2164.8643200000001</v>
      </c>
      <c r="BO25" s="168">
        <f>$G25*(1+$I25)^ROUNDUP(IFERROR(DATEDIF($H25-1,BO$16+1,"m"),)/12,)*Index!BN$22</f>
        <v>2164.8643200000001</v>
      </c>
      <c r="BP25" s="168">
        <f>$G25*(1+$I25)^ROUNDUP(IFERROR(DATEDIF($H25-1,BP$16+1,"m"),)/12,)*Index!BO$22</f>
        <v>2164.8643200000001</v>
      </c>
      <c r="BQ25" s="168">
        <f>$G25*(1+$I25)^ROUNDUP(IFERROR(DATEDIF($H25-1,BQ$16+1,"m"),)/12,)*Index!BP$22</f>
        <v>2164.8643200000001</v>
      </c>
      <c r="BR25" s="168">
        <f>$G25*(1+$I25)^ROUNDUP(IFERROR(DATEDIF($H25-1,BR$16+1,"m"),)/12,)*Index!BQ$22</f>
        <v>2164.8643200000001</v>
      </c>
      <c r="BS25" s="168">
        <f>$G25*(1+$I25)^ROUNDUP(IFERROR(DATEDIF($H25-1,BS$16+1,"m"),)/12,)*Index!BR$22</f>
        <v>2164.8643200000001</v>
      </c>
      <c r="BT25" s="168">
        <f>$G25*(1+$I25)^ROUNDUP(IFERROR(DATEDIF($H25-1,BT$16+1,"m"),)/12,)*Index!BS$22</f>
        <v>2164.8643200000001</v>
      </c>
      <c r="BU25" s="168">
        <f>$G25*(1+$I25)^ROUNDUP(IFERROR(DATEDIF($H25-1,BU$16+1,"m"),)/12,)*Index!BT$22</f>
        <v>2164.8643200000001</v>
      </c>
      <c r="BV25" s="168">
        <f>$G25*(1+$I25)^ROUNDUP(IFERROR(DATEDIF($H25-1,BV$16+1,"m"),)/12,)*Index!BU$22</f>
        <v>2208.1616064</v>
      </c>
      <c r="BW25" s="168">
        <f>$G25*(1+$I25)^ROUNDUP(IFERROR(DATEDIF($H25-1,BW$16+1,"m"),)/12,)*Index!BV$22</f>
        <v>2208.1616064</v>
      </c>
      <c r="BX25" s="168">
        <f>$G25*(1+$I25)^ROUNDUP(IFERROR(DATEDIF($H25-1,BX$16+1,"m"),)/12,)*Index!BW$22</f>
        <v>2208.1616064</v>
      </c>
      <c r="BY25" s="168">
        <f>$G25*(1+$I25)^ROUNDUP(IFERROR(DATEDIF($H25-1,BY$16+1,"m"),)/12,)*Index!BX$22</f>
        <v>2208.1616064</v>
      </c>
      <c r="BZ25" s="168">
        <f>$G25*(1+$I25)^ROUNDUP(IFERROR(DATEDIF($H25-1,BZ$16+1,"m"),)/12,)*Index!BY$22</f>
        <v>2208.1616064</v>
      </c>
      <c r="CA25" s="168">
        <f>$G25*(1+$I25)^ROUNDUP(IFERROR(DATEDIF($H25-1,CA$16+1,"m"),)/12,)*Index!BZ$22</f>
        <v>2208.1616064</v>
      </c>
      <c r="CB25" s="168">
        <f>$G25*(1+$I25)^ROUNDUP(IFERROR(DATEDIF($H25-1,CB$16+1,"m"),)/12,)*Index!CA$22</f>
        <v>2208.1616064</v>
      </c>
      <c r="CC25" s="168">
        <f>$G25*(1+$I25)^ROUNDUP(IFERROR(DATEDIF($H25-1,CC$16+1,"m"),)/12,)*Index!CB$22</f>
        <v>2208.1616064</v>
      </c>
      <c r="CD25" s="168">
        <f>$G25*(1+$I25)^ROUNDUP(IFERROR(DATEDIF($H25-1,CD$16+1,"m"),)/12,)*Index!CC$22</f>
        <v>2208.1616064</v>
      </c>
      <c r="CE25" s="168">
        <f>$G25*(1+$I25)^ROUNDUP(IFERROR(DATEDIF($H25-1,CE$16+1,"m"),)/12,)*Index!CD$22</f>
        <v>2208.1616064</v>
      </c>
      <c r="CF25" s="168">
        <f>$G25*(1+$I25)^ROUNDUP(IFERROR(DATEDIF($H25-1,CF$16+1,"m"),)/12,)*Index!CE$22</f>
        <v>2208.1616064</v>
      </c>
      <c r="CG25" s="168">
        <f>$G25*(1+$I25)^ROUNDUP(IFERROR(DATEDIF($H25-1,CG$16+1,"m"),)/12,)*Index!CF$22</f>
        <v>2208.1616064</v>
      </c>
      <c r="CH25" s="168">
        <f>$G25*(1+$I25)^ROUNDUP(IFERROR(DATEDIF($H25-1,CH$16+1,"m"),)/12,)*Index!CG$22</f>
        <v>2252.3248385280003</v>
      </c>
      <c r="CI25" s="168">
        <f>$G25*(1+$I25)^ROUNDUP(IFERROR(DATEDIF($H25-1,CI$16+1,"m"),)/12,)*Index!CH$22</f>
        <v>2252.3248385280003</v>
      </c>
      <c r="CJ25" s="168">
        <f>$G25*(1+$I25)^ROUNDUP(IFERROR(DATEDIF($H25-1,CJ$16+1,"m"),)/12,)*Index!CI$22</f>
        <v>2252.3248385280003</v>
      </c>
      <c r="CK25" s="168">
        <f>$G25*(1+$I25)^ROUNDUP(IFERROR(DATEDIF($H25-1,CK$16+1,"m"),)/12,)*Index!CJ$22</f>
        <v>2252.3248385280003</v>
      </c>
      <c r="CL25" s="168">
        <f>$G25*(1+$I25)^ROUNDUP(IFERROR(DATEDIF($H25-1,CL$16+1,"m"),)/12,)*Index!CK$22</f>
        <v>2252.3248385280003</v>
      </c>
      <c r="CM25" s="168">
        <f>$G25*(1+$I25)^ROUNDUP(IFERROR(DATEDIF($H25-1,CM$16+1,"m"),)/12,)*Index!CL$22</f>
        <v>2252.3248385280003</v>
      </c>
      <c r="CN25" s="168">
        <f>$G25*(1+$I25)^ROUNDUP(IFERROR(DATEDIF($H25-1,CN$16+1,"m"),)/12,)*Index!CM$22</f>
        <v>2252.3248385280003</v>
      </c>
      <c r="CO25" s="168">
        <f>$G25*(1+$I25)^ROUNDUP(IFERROR(DATEDIF($H25-1,CO$16+1,"m"),)/12,)*Index!CN$22</f>
        <v>2252.3248385280003</v>
      </c>
      <c r="CP25" s="168">
        <f>$G25*(1+$I25)^ROUNDUP(IFERROR(DATEDIF($H25-1,CP$16+1,"m"),)/12,)*Index!CO$22</f>
        <v>2252.3248385280003</v>
      </c>
      <c r="CQ25" s="168">
        <f>$G25*(1+$I25)^ROUNDUP(IFERROR(DATEDIF($H25-1,CQ$16+1,"m"),)/12,)*Index!CP$22</f>
        <v>2252.3248385280003</v>
      </c>
      <c r="CR25" s="168">
        <f>$G25*(1+$I25)^ROUNDUP(IFERROR(DATEDIF($H25-1,CR$16+1,"m"),)/12,)*Index!CQ$22</f>
        <v>2252.3248385280003</v>
      </c>
      <c r="CS25" s="168">
        <f>$G25*(1+$I25)^ROUNDUP(IFERROR(DATEDIF($H25-1,CS$16+1,"m"),)/12,)*Index!CR$22</f>
        <v>2252.3248385280003</v>
      </c>
      <c r="CT25" s="168">
        <f>$G25*(1+$I25)^ROUNDUP(IFERROR(DATEDIF($H25-1,CT$16+1,"m"),)/12,)*Index!CS$22</f>
        <v>2297.3713352985596</v>
      </c>
      <c r="CU25" s="168">
        <f>$G25*(1+$I25)^ROUNDUP(IFERROR(DATEDIF($H25-1,CU$16+1,"m"),)/12,)*Index!CT$22</f>
        <v>2297.3713352985596</v>
      </c>
      <c r="CV25" s="168">
        <f>$G25*(1+$I25)^ROUNDUP(IFERROR(DATEDIF($H25-1,CV$16+1,"m"),)/12,)*Index!CU$22</f>
        <v>2297.3713352985596</v>
      </c>
      <c r="CW25" s="168">
        <f>$G25*(1+$I25)^ROUNDUP(IFERROR(DATEDIF($H25-1,CW$16+1,"m"),)/12,)*Index!CV$22</f>
        <v>2297.3713352985596</v>
      </c>
      <c r="CX25" s="168">
        <f>$G25*(1+$I25)^ROUNDUP(IFERROR(DATEDIF($H25-1,CX$16+1,"m"),)/12,)*Index!CW$22</f>
        <v>2297.3713352985596</v>
      </c>
      <c r="CY25" s="168">
        <f>$G25*(1+$I25)^ROUNDUP(IFERROR(DATEDIF($H25-1,CY$16+1,"m"),)/12,)*Index!CX$22</f>
        <v>2297.3713352985596</v>
      </c>
      <c r="CZ25" s="168">
        <f>$G25*(1+$I25)^ROUNDUP(IFERROR(DATEDIF($H25-1,CZ$16+1,"m"),)/12,)*Index!CY$22</f>
        <v>2297.3713352985596</v>
      </c>
      <c r="DA25" s="168">
        <f>$G25*(1+$I25)^ROUNDUP(IFERROR(DATEDIF($H25-1,DA$16+1,"m"),)/12,)*Index!CZ$22</f>
        <v>2297.3713352985596</v>
      </c>
      <c r="DB25" s="168">
        <f>$G25*(1+$I25)^ROUNDUP(IFERROR(DATEDIF($H25-1,DB$16+1,"m"),)/12,)*Index!DA$22</f>
        <v>2297.3713352985596</v>
      </c>
      <c r="DC25" s="168">
        <f>$G25*(1+$I25)^ROUNDUP(IFERROR(DATEDIF($H25-1,DC$16+1,"m"),)/12,)*Index!DB$22</f>
        <v>2297.3713352985596</v>
      </c>
      <c r="DD25" s="168">
        <f>$G25*(1+$I25)^ROUNDUP(IFERROR(DATEDIF($H25-1,DD$16+1,"m"),)/12,)*Index!DC$22</f>
        <v>2297.3713352985596</v>
      </c>
      <c r="DE25" s="168">
        <f>$G25*(1+$I25)^ROUNDUP(IFERROR(DATEDIF($H25-1,DE$16+1,"m"),)/12,)*Index!DD$22</f>
        <v>2297.3713352985596</v>
      </c>
      <c r="DF25" s="168">
        <f>$G25*(1+$I25)^ROUNDUP(IFERROR(DATEDIF($H25-1,DF$16+1,"m"),)/12,)*Index!DE$22</f>
        <v>2343.318762004531</v>
      </c>
      <c r="DG25" s="168">
        <f>$G25*(1+$I25)^ROUNDUP(IFERROR(DATEDIF($H25-1,DG$16+1,"m"),)/12,)*Index!DF$22</f>
        <v>2343.318762004531</v>
      </c>
      <c r="DH25" s="168">
        <f>$G25*(1+$I25)^ROUNDUP(IFERROR(DATEDIF($H25-1,DH$16+1,"m"),)/12,)*Index!DG$22</f>
        <v>2343.318762004531</v>
      </c>
      <c r="DI25" s="168">
        <f>$G25*(1+$I25)^ROUNDUP(IFERROR(DATEDIF($H25-1,DI$16+1,"m"),)/12,)*Index!DH$22</f>
        <v>2343.318762004531</v>
      </c>
      <c r="DJ25" s="168">
        <f>$G25*(1+$I25)^ROUNDUP(IFERROR(DATEDIF($H25-1,DJ$16+1,"m"),)/12,)*Index!DI$22</f>
        <v>2343.318762004531</v>
      </c>
      <c r="DK25" s="168">
        <f>$G25*(1+$I25)^ROUNDUP(IFERROR(DATEDIF($H25-1,DK$16+1,"m"),)/12,)*Index!DJ$22</f>
        <v>2343.318762004531</v>
      </c>
      <c r="DL25" s="168">
        <f>$G25*(1+$I25)^ROUNDUP(IFERROR(DATEDIF($H25-1,DL$16+1,"m"),)/12,)*Index!DK$22</f>
        <v>2343.318762004531</v>
      </c>
      <c r="DM25" s="168">
        <f>$G25*(1+$I25)^ROUNDUP(IFERROR(DATEDIF($H25-1,DM$16+1,"m"),)/12,)*Index!DL$22</f>
        <v>2343.318762004531</v>
      </c>
      <c r="DN25" s="168">
        <f>$G25*(1+$I25)^ROUNDUP(IFERROR(DATEDIF($H25-1,DN$16+1,"m"),)/12,)*Index!DM$22</f>
        <v>2343.318762004531</v>
      </c>
      <c r="DO25" s="168">
        <f>$G25*(1+$I25)^ROUNDUP(IFERROR(DATEDIF($H25-1,DO$16+1,"m"),)/12,)*Index!DN$22</f>
        <v>2343.318762004531</v>
      </c>
      <c r="DP25" s="168">
        <f>$G25*(1+$I25)^ROUNDUP(IFERROR(DATEDIF($H25-1,DP$16+1,"m"),)/12,)*Index!DO$22</f>
        <v>2343.318762004531</v>
      </c>
      <c r="DQ25" s="168">
        <f>$G25*(1+$I25)^ROUNDUP(IFERROR(DATEDIF($H25-1,DQ$16+1,"m"),)/12,)*Index!DP$22</f>
        <v>2343.318762004531</v>
      </c>
      <c r="DR25" s="168">
        <f>$G25*(1+$I25)^ROUNDUP(IFERROR(DATEDIF($H25-1,DR$16+1,"m"),)/12,)*Index!DQ$22</f>
        <v>2390.1851372446217</v>
      </c>
      <c r="DS25" s="168">
        <f>$G25*(1+$I25)^ROUNDUP(IFERROR(DATEDIF($H25-1,DS$16+1,"m"),)/12,)*Index!DR$22</f>
        <v>2390.1851372446217</v>
      </c>
      <c r="DT25" s="168">
        <f>$G25*(1+$I25)^ROUNDUP(IFERROR(DATEDIF($H25-1,DT$16+1,"m"),)/12,)*Index!DS$22</f>
        <v>2390.1851372446217</v>
      </c>
      <c r="DU25" s="168">
        <f>$G25*(1+$I25)^ROUNDUP(IFERROR(DATEDIF($H25-1,DU$16+1,"m"),)/12,)*Index!DT$22</f>
        <v>2390.1851372446217</v>
      </c>
      <c r="DV25" s="168">
        <f>$G25*(1+$I25)^ROUNDUP(IFERROR(DATEDIF($H25-1,DV$16+1,"m"),)/12,)*Index!DU$22</f>
        <v>2390.1851372446217</v>
      </c>
      <c r="DW25" s="168">
        <f>$G25*(1+$I25)^ROUNDUP(IFERROR(DATEDIF($H25-1,DW$16+1,"m"),)/12,)*Index!DV$22</f>
        <v>2390.1851372446217</v>
      </c>
      <c r="DX25" s="168">
        <f>$G25*(1+$I25)^ROUNDUP(IFERROR(DATEDIF($H25-1,DX$16+1,"m"),)/12,)*Index!DW$22</f>
        <v>2390.1851372446217</v>
      </c>
      <c r="DY25" s="168">
        <f>$G25*(1+$I25)^ROUNDUP(IFERROR(DATEDIF($H25-1,DY$16+1,"m"),)/12,)*Index!DX$22</f>
        <v>2390.1851372446217</v>
      </c>
      <c r="DZ25" s="168">
        <f>$G25*(1+$I25)^ROUNDUP(IFERROR(DATEDIF($H25-1,DZ$16+1,"m"),)/12,)*Index!DY$22</f>
        <v>2390.1851372446217</v>
      </c>
      <c r="EA25" s="168">
        <f>$G25*(1+$I25)^ROUNDUP(IFERROR(DATEDIF($H25-1,EA$16+1,"m"),)/12,)*Index!DZ$22</f>
        <v>2390.1851372446217</v>
      </c>
      <c r="EB25" s="168">
        <f>$G25*(1+$I25)^ROUNDUP(IFERROR(DATEDIF($H25-1,EB$16+1,"m"),)/12,)*Index!EA$22</f>
        <v>2390.1851372446217</v>
      </c>
      <c r="EC25" s="168">
        <f>$G25*(1+$I25)^ROUNDUP(IFERROR(DATEDIF($H25-1,EC$16+1,"m"),)/12,)*Index!EB$22</f>
        <v>2390.1851372446217</v>
      </c>
      <c r="ED25" s="168">
        <f>$G25*(1+$I25)^ROUNDUP(IFERROR(DATEDIF($H25-1,ED$16+1,"m"),)/12,)*Index!EC$22</f>
        <v>0</v>
      </c>
      <c r="EE25" s="168">
        <f>$G25*(1+$I25)^ROUNDUP(IFERROR(DATEDIF($H25-1,EE$16+1,"m"),)/12,)*Index!ED$22</f>
        <v>0</v>
      </c>
      <c r="EF25" s="168">
        <f>$G25*(1+$I25)^ROUNDUP(IFERROR(DATEDIF($H25-1,EF$16+1,"m"),)/12,)*Index!EE$22</f>
        <v>0</v>
      </c>
      <c r="EG25" s="168">
        <f>$G25*(1+$I25)^ROUNDUP(IFERROR(DATEDIF($H25-1,EG$16+1,"m"),)/12,)*Index!EF$22</f>
        <v>0</v>
      </c>
      <c r="EH25" s="168">
        <f>$G25*(1+$I25)^ROUNDUP(IFERROR(DATEDIF($H25-1,EH$16+1,"m"),)/12,)*Index!EG$22</f>
        <v>0</v>
      </c>
      <c r="EI25" s="168">
        <f>$G25*(1+$I25)^ROUNDUP(IFERROR(DATEDIF($H25-1,EI$16+1,"m"),)/12,)*Index!EH$22</f>
        <v>0</v>
      </c>
      <c r="EJ25" s="168">
        <f>$G25*(1+$I25)^ROUNDUP(IFERROR(DATEDIF($H25-1,EJ$16+1,"m"),)/12,)*Index!EI$22</f>
        <v>0</v>
      </c>
      <c r="EK25" s="168">
        <f>$G25*(1+$I25)^ROUNDUP(IFERROR(DATEDIF($H25-1,EK$16+1,"m"),)/12,)*Index!EJ$22</f>
        <v>0</v>
      </c>
      <c r="EL25" s="168">
        <f>$G25*(1+$I25)^ROUNDUP(IFERROR(DATEDIF($H25-1,EL$16+1,"m"),)/12,)*Index!EK$22</f>
        <v>0</v>
      </c>
      <c r="EM25" s="168">
        <f>$G25*(1+$I25)^ROUNDUP(IFERROR(DATEDIF($H25-1,EM$16+1,"m"),)/12,)*Index!EL$22</f>
        <v>0</v>
      </c>
      <c r="EN25" s="168">
        <f>$G25*(1+$I25)^ROUNDUP(IFERROR(DATEDIF($H25-1,EN$16+1,"m"),)/12,)*Index!EM$22</f>
        <v>0</v>
      </c>
      <c r="EO25" s="168">
        <f>$G25*(1+$I25)^ROUNDUP(IFERROR(DATEDIF($H25-1,EO$16+1,"m"),)/12,)*Index!EN$22</f>
        <v>0</v>
      </c>
      <c r="EP25" s="168">
        <f>$G25*(1+$I25)^ROUNDUP(IFERROR(DATEDIF($H25-1,EP$16+1,"m"),)/12,)*Index!EO$22</f>
        <v>0</v>
      </c>
      <c r="EQ25" s="168">
        <f>$G25*(1+$I25)^ROUNDUP(IFERROR(DATEDIF($H25-1,EQ$16+1,"m"),)/12,)*Index!EP$22</f>
        <v>0</v>
      </c>
      <c r="ER25" s="168">
        <f>$G25*(1+$I25)^ROUNDUP(IFERROR(DATEDIF($H25-1,ER$16+1,"m"),)/12,)*Index!EQ$22</f>
        <v>0</v>
      </c>
    </row>
    <row r="26" spans="2:148" ht="11.25" customHeight="1">
      <c r="B26" s="218"/>
      <c r="C26" s="163"/>
      <c r="D26" s="2100" t="s">
        <v>464</v>
      </c>
      <c r="I26" s="146"/>
      <c r="J26" s="13"/>
      <c r="K26" s="171">
        <f t="shared" si="19"/>
        <v>34176870</v>
      </c>
      <c r="L26" s="98"/>
      <c r="M26" s="171">
        <f>'FS_Detail(M)'!L227</f>
        <v>0</v>
      </c>
      <c r="N26" s="171">
        <f>'FS_Detail(M)'!M227</f>
        <v>284807.25</v>
      </c>
      <c r="O26" s="171">
        <f>'FS_Detail(M)'!N227</f>
        <v>284807.25</v>
      </c>
      <c r="P26" s="171">
        <f>'FS_Detail(M)'!O227</f>
        <v>284807.25</v>
      </c>
      <c r="Q26" s="171">
        <f>'FS_Detail(M)'!P227</f>
        <v>284807.25</v>
      </c>
      <c r="R26" s="171">
        <f>'FS_Detail(M)'!Q227</f>
        <v>284807.25</v>
      </c>
      <c r="S26" s="171">
        <f>'FS_Detail(M)'!R227</f>
        <v>284807.25</v>
      </c>
      <c r="T26" s="171">
        <f>'FS_Detail(M)'!S227</f>
        <v>284807.25</v>
      </c>
      <c r="U26" s="171">
        <f>'FS_Detail(M)'!T227</f>
        <v>284807.25</v>
      </c>
      <c r="V26" s="171">
        <f>'FS_Detail(M)'!U227</f>
        <v>284807.25</v>
      </c>
      <c r="W26" s="171">
        <f>'FS_Detail(M)'!V227</f>
        <v>284807.25</v>
      </c>
      <c r="X26" s="171">
        <f>'FS_Detail(M)'!W227</f>
        <v>284807.25</v>
      </c>
      <c r="Y26" s="171">
        <f>'FS_Detail(M)'!X227</f>
        <v>284807.25</v>
      </c>
      <c r="Z26" s="171">
        <f>'FS_Detail(M)'!Y227</f>
        <v>284807.25</v>
      </c>
      <c r="AA26" s="171">
        <f>'FS_Detail(M)'!Z227</f>
        <v>284807.25</v>
      </c>
      <c r="AB26" s="171">
        <f>'FS_Detail(M)'!AA227</f>
        <v>284807.25</v>
      </c>
      <c r="AC26" s="171">
        <f>'FS_Detail(M)'!AB227</f>
        <v>284807.25</v>
      </c>
      <c r="AD26" s="171">
        <f>'FS_Detail(M)'!AC227</f>
        <v>284807.25</v>
      </c>
      <c r="AE26" s="171">
        <f>'FS_Detail(M)'!AD227</f>
        <v>284807.25</v>
      </c>
      <c r="AF26" s="171">
        <f>'FS_Detail(M)'!AE227</f>
        <v>284807.25</v>
      </c>
      <c r="AG26" s="171">
        <f>'FS_Detail(M)'!AF227</f>
        <v>284807.25</v>
      </c>
      <c r="AH26" s="171">
        <f>'FS_Detail(M)'!AG227</f>
        <v>284807.25</v>
      </c>
      <c r="AI26" s="171">
        <f>'FS_Detail(M)'!AH227</f>
        <v>284807.25</v>
      </c>
      <c r="AJ26" s="171">
        <f>'FS_Detail(M)'!AI227</f>
        <v>284807.25</v>
      </c>
      <c r="AK26" s="171">
        <f>'FS_Detail(M)'!AJ227</f>
        <v>284807.25</v>
      </c>
      <c r="AL26" s="171">
        <f>'FS_Detail(M)'!AK227</f>
        <v>284807.25</v>
      </c>
      <c r="AM26" s="171">
        <f>'FS_Detail(M)'!AL227</f>
        <v>284807.25</v>
      </c>
      <c r="AN26" s="171">
        <f>'FS_Detail(M)'!AM227</f>
        <v>284807.25</v>
      </c>
      <c r="AO26" s="171">
        <f>'FS_Detail(M)'!AN227</f>
        <v>284807.25</v>
      </c>
      <c r="AP26" s="171">
        <f>'FS_Detail(M)'!AO227</f>
        <v>284807.25</v>
      </c>
      <c r="AQ26" s="171">
        <f>'FS_Detail(M)'!AP227</f>
        <v>284807.25</v>
      </c>
      <c r="AR26" s="171">
        <f>'FS_Detail(M)'!AQ227</f>
        <v>284807.25</v>
      </c>
      <c r="AS26" s="171">
        <f>'FS_Detail(M)'!AR227</f>
        <v>284807.25</v>
      </c>
      <c r="AT26" s="171">
        <f>'FS_Detail(M)'!AS227</f>
        <v>284807.25</v>
      </c>
      <c r="AU26" s="171">
        <f>'FS_Detail(M)'!AT227</f>
        <v>284807.25</v>
      </c>
      <c r="AV26" s="171">
        <f>'FS_Detail(M)'!AU227</f>
        <v>284807.25</v>
      </c>
      <c r="AW26" s="171">
        <f>'FS_Detail(M)'!AV227</f>
        <v>284807.25</v>
      </c>
      <c r="AX26" s="171">
        <f>'FS_Detail(M)'!AW227</f>
        <v>284807.25</v>
      </c>
      <c r="AY26" s="171">
        <f>'FS_Detail(M)'!AX227</f>
        <v>284807.25</v>
      </c>
      <c r="AZ26" s="171">
        <f>'FS_Detail(M)'!AY227</f>
        <v>284807.25</v>
      </c>
      <c r="BA26" s="171">
        <f>'FS_Detail(M)'!AZ227</f>
        <v>284807.25</v>
      </c>
      <c r="BB26" s="171">
        <f>'FS_Detail(M)'!BA227</f>
        <v>284807.25</v>
      </c>
      <c r="BC26" s="171">
        <f>'FS_Detail(M)'!BB227</f>
        <v>284807.25</v>
      </c>
      <c r="BD26" s="171">
        <f>'FS_Detail(M)'!BC227</f>
        <v>284807.25</v>
      </c>
      <c r="BE26" s="171">
        <f>'FS_Detail(M)'!BD227</f>
        <v>284807.25</v>
      </c>
      <c r="BF26" s="171">
        <f>'FS_Detail(M)'!BE227</f>
        <v>284807.25</v>
      </c>
      <c r="BG26" s="171">
        <f>'FS_Detail(M)'!BF227</f>
        <v>284807.25</v>
      </c>
      <c r="BH26" s="171">
        <f>'FS_Detail(M)'!BG227</f>
        <v>284807.25</v>
      </c>
      <c r="BI26" s="171">
        <f>'FS_Detail(M)'!BH227</f>
        <v>284807.25</v>
      </c>
      <c r="BJ26" s="171">
        <f>'FS_Detail(M)'!BI227</f>
        <v>284807.25</v>
      </c>
      <c r="BK26" s="171">
        <f>'FS_Detail(M)'!BJ227</f>
        <v>284807.25</v>
      </c>
      <c r="BL26" s="171">
        <f>'FS_Detail(M)'!BK227</f>
        <v>284807.25</v>
      </c>
      <c r="BM26" s="171">
        <f>'FS_Detail(M)'!BL227</f>
        <v>284807.25</v>
      </c>
      <c r="BN26" s="171">
        <f>'FS_Detail(M)'!BM227</f>
        <v>284807.25</v>
      </c>
      <c r="BO26" s="171">
        <f>'FS_Detail(M)'!BN227</f>
        <v>284807.25</v>
      </c>
      <c r="BP26" s="171">
        <f>'FS_Detail(M)'!BO227</f>
        <v>284807.25</v>
      </c>
      <c r="BQ26" s="171">
        <f>'FS_Detail(M)'!BP227</f>
        <v>284807.25</v>
      </c>
      <c r="BR26" s="171">
        <f>'FS_Detail(M)'!BQ227</f>
        <v>284807.25</v>
      </c>
      <c r="BS26" s="171">
        <f>'FS_Detail(M)'!BR227</f>
        <v>284807.25</v>
      </c>
      <c r="BT26" s="171">
        <f>'FS_Detail(M)'!BS227</f>
        <v>284807.25</v>
      </c>
      <c r="BU26" s="171">
        <f>'FS_Detail(M)'!BT227</f>
        <v>284807.25</v>
      </c>
      <c r="BV26" s="171">
        <f>'FS_Detail(M)'!BU227</f>
        <v>284807.25</v>
      </c>
      <c r="BW26" s="171">
        <f>'FS_Detail(M)'!BV227</f>
        <v>284807.25</v>
      </c>
      <c r="BX26" s="171">
        <f>'FS_Detail(M)'!BW227</f>
        <v>284807.25</v>
      </c>
      <c r="BY26" s="171">
        <f>'FS_Detail(M)'!BX227</f>
        <v>284807.25</v>
      </c>
      <c r="BZ26" s="171">
        <f>'FS_Detail(M)'!BY227</f>
        <v>284807.25</v>
      </c>
      <c r="CA26" s="171">
        <f>'FS_Detail(M)'!BZ227</f>
        <v>284807.25</v>
      </c>
      <c r="CB26" s="171">
        <f>'FS_Detail(M)'!CA227</f>
        <v>284807.25</v>
      </c>
      <c r="CC26" s="171">
        <f>'FS_Detail(M)'!CB227</f>
        <v>284807.25</v>
      </c>
      <c r="CD26" s="171">
        <f>'FS_Detail(M)'!CC227</f>
        <v>284807.25</v>
      </c>
      <c r="CE26" s="171">
        <f>'FS_Detail(M)'!CD227</f>
        <v>284807.25</v>
      </c>
      <c r="CF26" s="171">
        <f>'FS_Detail(M)'!CE227</f>
        <v>284807.25</v>
      </c>
      <c r="CG26" s="171">
        <f>'FS_Detail(M)'!CF227</f>
        <v>284807.25</v>
      </c>
      <c r="CH26" s="171">
        <f>'FS_Detail(M)'!CG227</f>
        <v>284807.25</v>
      </c>
      <c r="CI26" s="171">
        <f>'FS_Detail(M)'!CH227</f>
        <v>284807.25</v>
      </c>
      <c r="CJ26" s="171">
        <f>'FS_Detail(M)'!CI227</f>
        <v>284807.25</v>
      </c>
      <c r="CK26" s="171">
        <f>'FS_Detail(M)'!CJ227</f>
        <v>284807.25</v>
      </c>
      <c r="CL26" s="171">
        <f>'FS_Detail(M)'!CK227</f>
        <v>284807.25</v>
      </c>
      <c r="CM26" s="171">
        <f>'FS_Detail(M)'!CL227</f>
        <v>284807.25</v>
      </c>
      <c r="CN26" s="171">
        <f>'FS_Detail(M)'!CM227</f>
        <v>284807.25</v>
      </c>
      <c r="CO26" s="171">
        <f>'FS_Detail(M)'!CN227</f>
        <v>284807.25</v>
      </c>
      <c r="CP26" s="171">
        <f>'FS_Detail(M)'!CO227</f>
        <v>284807.25</v>
      </c>
      <c r="CQ26" s="171">
        <f>'FS_Detail(M)'!CP227</f>
        <v>284807.25</v>
      </c>
      <c r="CR26" s="171">
        <f>'FS_Detail(M)'!CQ227</f>
        <v>284807.25</v>
      </c>
      <c r="CS26" s="171">
        <f>'FS_Detail(M)'!CR227</f>
        <v>284807.25</v>
      </c>
      <c r="CT26" s="171">
        <f>'FS_Detail(M)'!CS227</f>
        <v>284807.25</v>
      </c>
      <c r="CU26" s="171">
        <f>'FS_Detail(M)'!CT227</f>
        <v>284807.25</v>
      </c>
      <c r="CV26" s="171">
        <f>'FS_Detail(M)'!CU227</f>
        <v>284807.25</v>
      </c>
      <c r="CW26" s="171">
        <f>'FS_Detail(M)'!CV227</f>
        <v>284807.25</v>
      </c>
      <c r="CX26" s="171">
        <f>'FS_Detail(M)'!CW227</f>
        <v>284807.25</v>
      </c>
      <c r="CY26" s="171">
        <f>'FS_Detail(M)'!CX227</f>
        <v>284807.25</v>
      </c>
      <c r="CZ26" s="171">
        <f>'FS_Detail(M)'!CY227</f>
        <v>284807.25</v>
      </c>
      <c r="DA26" s="171">
        <f>'FS_Detail(M)'!CZ227</f>
        <v>284807.25</v>
      </c>
      <c r="DB26" s="171">
        <f>'FS_Detail(M)'!DA227</f>
        <v>284807.25</v>
      </c>
      <c r="DC26" s="171">
        <f>'FS_Detail(M)'!DB227</f>
        <v>284807.25</v>
      </c>
      <c r="DD26" s="171">
        <f>'FS_Detail(M)'!DC227</f>
        <v>284807.25</v>
      </c>
      <c r="DE26" s="171">
        <f>'FS_Detail(M)'!DD227</f>
        <v>284807.25</v>
      </c>
      <c r="DF26" s="171">
        <f>'FS_Detail(M)'!DE227</f>
        <v>284807.25</v>
      </c>
      <c r="DG26" s="171">
        <f>'FS_Detail(M)'!DF227</f>
        <v>284807.25</v>
      </c>
      <c r="DH26" s="171">
        <f>'FS_Detail(M)'!DG227</f>
        <v>284807.25</v>
      </c>
      <c r="DI26" s="171">
        <f>'FS_Detail(M)'!DH227</f>
        <v>284807.25</v>
      </c>
      <c r="DJ26" s="171">
        <f>'FS_Detail(M)'!DI227</f>
        <v>284807.25</v>
      </c>
      <c r="DK26" s="171">
        <f>'FS_Detail(M)'!DJ227</f>
        <v>284807.25</v>
      </c>
      <c r="DL26" s="171">
        <f>'FS_Detail(M)'!DK227</f>
        <v>284807.25</v>
      </c>
      <c r="DM26" s="171">
        <f>'FS_Detail(M)'!DL227</f>
        <v>284807.25</v>
      </c>
      <c r="DN26" s="171">
        <f>'FS_Detail(M)'!DM227</f>
        <v>284807.25</v>
      </c>
      <c r="DO26" s="171">
        <f>'FS_Detail(M)'!DN227</f>
        <v>284807.25</v>
      </c>
      <c r="DP26" s="171">
        <f>'FS_Detail(M)'!DO227</f>
        <v>284807.25</v>
      </c>
      <c r="DQ26" s="171">
        <f>'FS_Detail(M)'!DP227</f>
        <v>284807.25</v>
      </c>
      <c r="DR26" s="171">
        <f>'FS_Detail(M)'!DQ227</f>
        <v>284807.25</v>
      </c>
      <c r="DS26" s="171">
        <f>'FS_Detail(M)'!DR227</f>
        <v>284807.25</v>
      </c>
      <c r="DT26" s="171">
        <f>'FS_Detail(M)'!DS227</f>
        <v>284807.25</v>
      </c>
      <c r="DU26" s="171">
        <f>'FS_Detail(M)'!DT227</f>
        <v>284807.25</v>
      </c>
      <c r="DV26" s="171">
        <f>'FS_Detail(M)'!DU227</f>
        <v>284807.25</v>
      </c>
      <c r="DW26" s="171">
        <f>'FS_Detail(M)'!DV227</f>
        <v>284807.25</v>
      </c>
      <c r="DX26" s="171">
        <f>'FS_Detail(M)'!DW227</f>
        <v>284807.25</v>
      </c>
      <c r="DY26" s="171">
        <f>'FS_Detail(M)'!DX227</f>
        <v>284807.25</v>
      </c>
      <c r="DZ26" s="171">
        <f>'FS_Detail(M)'!DY227</f>
        <v>284807.25</v>
      </c>
      <c r="EA26" s="171">
        <f>'FS_Detail(M)'!DZ227</f>
        <v>284807.25</v>
      </c>
      <c r="EB26" s="171">
        <f>'FS_Detail(M)'!EA227</f>
        <v>284807.25</v>
      </c>
      <c r="EC26" s="171">
        <f>'FS_Detail(M)'!EB227</f>
        <v>284807.25</v>
      </c>
      <c r="ED26" s="171">
        <f>'FS_Detail(M)'!EC227</f>
        <v>0</v>
      </c>
      <c r="EE26" s="171">
        <f>'FS_Detail(M)'!ED227</f>
        <v>0</v>
      </c>
      <c r="EF26" s="171">
        <f>'FS_Detail(M)'!EE227</f>
        <v>0</v>
      </c>
      <c r="EG26" s="171">
        <f>'FS_Detail(M)'!EF227</f>
        <v>0</v>
      </c>
      <c r="EH26" s="171">
        <f>'FS_Detail(M)'!EG227</f>
        <v>0</v>
      </c>
      <c r="EI26" s="171">
        <f>'FS_Detail(M)'!EH227</f>
        <v>0</v>
      </c>
      <c r="EJ26" s="171">
        <f>'FS_Detail(M)'!EI227</f>
        <v>0</v>
      </c>
      <c r="EK26" s="171">
        <f>'FS_Detail(M)'!EJ227</f>
        <v>0</v>
      </c>
      <c r="EL26" s="171">
        <f>'FS_Detail(M)'!EK227</f>
        <v>0</v>
      </c>
      <c r="EM26" s="171">
        <f>'FS_Detail(M)'!EL227</f>
        <v>0</v>
      </c>
      <c r="EN26" s="171">
        <f>'FS_Detail(M)'!EM227</f>
        <v>0</v>
      </c>
      <c r="EO26" s="171">
        <f>'FS_Detail(M)'!EN227</f>
        <v>0</v>
      </c>
      <c r="EP26" s="171">
        <f>'FS_Detail(M)'!EO227</f>
        <v>0</v>
      </c>
      <c r="EQ26" s="171">
        <f>'FS_Detail(M)'!EP227</f>
        <v>0</v>
      </c>
      <c r="ER26" s="171">
        <f>'FS_Detail(M)'!EQ227</f>
        <v>0</v>
      </c>
    </row>
    <row r="27" spans="2:148" ht="11.25" customHeight="1">
      <c r="B27" s="218"/>
      <c r="C27" s="163"/>
      <c r="D27" s="2621" t="s">
        <v>73</v>
      </c>
      <c r="E27" s="2617"/>
      <c r="F27" s="2617"/>
      <c r="G27" s="2617"/>
      <c r="H27" s="2617"/>
      <c r="I27" s="2624"/>
      <c r="J27" s="2625"/>
      <c r="K27" s="2626">
        <f t="shared" si="19"/>
        <v>642163.30010060011</v>
      </c>
      <c r="L27" s="98"/>
      <c r="M27" s="171">
        <f>'NOI(M)'!M22</f>
        <v>0</v>
      </c>
      <c r="N27" s="171">
        <f>'NOI(M)'!N22</f>
        <v>5000</v>
      </c>
      <c r="O27" s="171">
        <f>'NOI(M)'!O22</f>
        <v>5000</v>
      </c>
      <c r="P27" s="171">
        <f>'NOI(M)'!P22</f>
        <v>5000</v>
      </c>
      <c r="Q27" s="171">
        <f>'NOI(M)'!Q22</f>
        <v>5000</v>
      </c>
      <c r="R27" s="171">
        <f>'NOI(M)'!R22</f>
        <v>5000</v>
      </c>
      <c r="S27" s="171">
        <f>'NOI(M)'!S22</f>
        <v>5000</v>
      </c>
      <c r="T27" s="171">
        <f>'NOI(M)'!T22</f>
        <v>5000</v>
      </c>
      <c r="U27" s="171">
        <f>'NOI(M)'!U22</f>
        <v>5000</v>
      </c>
      <c r="V27" s="171">
        <f>'NOI(M)'!V22</f>
        <v>5000</v>
      </c>
      <c r="W27" s="171">
        <f>'NOI(M)'!W22</f>
        <v>5000</v>
      </c>
      <c r="X27" s="171">
        <f>'NOI(M)'!X22</f>
        <v>5000</v>
      </c>
      <c r="Y27" s="171">
        <f>'NOI(M)'!Y22</f>
        <v>5000</v>
      </c>
      <c r="Z27" s="171">
        <f>'NOI(M)'!Z22</f>
        <v>5074.9999999999991</v>
      </c>
      <c r="AA27" s="171">
        <f>'NOI(M)'!AA22</f>
        <v>5074.9999999999991</v>
      </c>
      <c r="AB27" s="171">
        <f>'NOI(M)'!AB22</f>
        <v>5074.9999999999991</v>
      </c>
      <c r="AC27" s="171">
        <f>'NOI(M)'!AC22</f>
        <v>5074.9999999999991</v>
      </c>
      <c r="AD27" s="171">
        <f>'NOI(M)'!AD22</f>
        <v>5074.9999999999991</v>
      </c>
      <c r="AE27" s="171">
        <f>'NOI(M)'!AE22</f>
        <v>5074.9999999999991</v>
      </c>
      <c r="AF27" s="171">
        <f>'NOI(M)'!AF22</f>
        <v>5074.9999999999991</v>
      </c>
      <c r="AG27" s="171">
        <f>'NOI(M)'!AG22</f>
        <v>5074.9999999999991</v>
      </c>
      <c r="AH27" s="171">
        <f>'NOI(M)'!AH22</f>
        <v>5074.9999999999991</v>
      </c>
      <c r="AI27" s="171">
        <f>'NOI(M)'!AI22</f>
        <v>5074.9999999999991</v>
      </c>
      <c r="AJ27" s="171">
        <f>'NOI(M)'!AJ22</f>
        <v>5074.9999999999991</v>
      </c>
      <c r="AK27" s="171">
        <f>'NOI(M)'!AK22</f>
        <v>5074.9999999999991</v>
      </c>
      <c r="AL27" s="171">
        <f>'NOI(M)'!AL22</f>
        <v>5151.1249999999982</v>
      </c>
      <c r="AM27" s="171">
        <f>'NOI(M)'!AM22</f>
        <v>5151.1249999999982</v>
      </c>
      <c r="AN27" s="171">
        <f>'NOI(M)'!AN22</f>
        <v>5151.1249999999982</v>
      </c>
      <c r="AO27" s="171">
        <f>'NOI(M)'!AO22</f>
        <v>5151.1249999999982</v>
      </c>
      <c r="AP27" s="171">
        <f>'NOI(M)'!AP22</f>
        <v>5151.1249999999982</v>
      </c>
      <c r="AQ27" s="171">
        <f>'NOI(M)'!AQ22</f>
        <v>5151.1249999999982</v>
      </c>
      <c r="AR27" s="171">
        <f>'NOI(M)'!AR22</f>
        <v>5151.1249999999982</v>
      </c>
      <c r="AS27" s="171">
        <f>'NOI(M)'!AS22</f>
        <v>5151.1249999999982</v>
      </c>
      <c r="AT27" s="171">
        <f>'NOI(M)'!AT22</f>
        <v>5151.1249999999982</v>
      </c>
      <c r="AU27" s="171">
        <f>'NOI(M)'!AU22</f>
        <v>5151.1249999999982</v>
      </c>
      <c r="AV27" s="171">
        <f>'NOI(M)'!AV22</f>
        <v>5151.1249999999982</v>
      </c>
      <c r="AW27" s="171">
        <f>'NOI(M)'!AW22</f>
        <v>5151.1249999999982</v>
      </c>
      <c r="AX27" s="171">
        <f>'NOI(M)'!AX22</f>
        <v>5228.3918749999984</v>
      </c>
      <c r="AY27" s="171">
        <f>'NOI(M)'!AY22</f>
        <v>5228.3918749999984</v>
      </c>
      <c r="AZ27" s="171">
        <f>'NOI(M)'!AZ22</f>
        <v>5228.3918749999984</v>
      </c>
      <c r="BA27" s="171">
        <f>'NOI(M)'!BA22</f>
        <v>5228.3918749999984</v>
      </c>
      <c r="BB27" s="171">
        <f>'NOI(M)'!BB22</f>
        <v>5228.3918749999984</v>
      </c>
      <c r="BC27" s="171">
        <f>'NOI(M)'!BC22</f>
        <v>5228.3918749999984</v>
      </c>
      <c r="BD27" s="171">
        <f>'NOI(M)'!BD22</f>
        <v>5228.3918749999984</v>
      </c>
      <c r="BE27" s="171">
        <f>'NOI(M)'!BE22</f>
        <v>5228.3918749999984</v>
      </c>
      <c r="BF27" s="171">
        <f>'NOI(M)'!BF22</f>
        <v>5228.3918749999984</v>
      </c>
      <c r="BG27" s="171">
        <f>'NOI(M)'!BG22</f>
        <v>5228.3918749999984</v>
      </c>
      <c r="BH27" s="171">
        <f>'NOI(M)'!BH22</f>
        <v>5228.3918749999984</v>
      </c>
      <c r="BI27" s="171">
        <f>'NOI(M)'!BI22</f>
        <v>5228.3918749999984</v>
      </c>
      <c r="BJ27" s="171">
        <f>'NOI(M)'!BJ22</f>
        <v>5306.8177531249976</v>
      </c>
      <c r="BK27" s="171">
        <f>'NOI(M)'!BK22</f>
        <v>5306.8177531249976</v>
      </c>
      <c r="BL27" s="171">
        <f>'NOI(M)'!BL22</f>
        <v>5306.8177531249976</v>
      </c>
      <c r="BM27" s="171">
        <f>'NOI(M)'!BM22</f>
        <v>5306.8177531249976</v>
      </c>
      <c r="BN27" s="171">
        <f>'NOI(M)'!BN22</f>
        <v>5306.8177531249976</v>
      </c>
      <c r="BO27" s="171">
        <f>'NOI(M)'!BO22</f>
        <v>5306.8177531249976</v>
      </c>
      <c r="BP27" s="171">
        <f>'NOI(M)'!BP22</f>
        <v>5306.8177531249976</v>
      </c>
      <c r="BQ27" s="171">
        <f>'NOI(M)'!BQ22</f>
        <v>5306.8177531249976</v>
      </c>
      <c r="BR27" s="171">
        <f>'NOI(M)'!BR22</f>
        <v>5306.8177531249976</v>
      </c>
      <c r="BS27" s="171">
        <f>'NOI(M)'!BS22</f>
        <v>5306.8177531249976</v>
      </c>
      <c r="BT27" s="171">
        <f>'NOI(M)'!BT22</f>
        <v>5306.8177531249976</v>
      </c>
      <c r="BU27" s="171">
        <f>'NOI(M)'!BU22</f>
        <v>5306.8177531249976</v>
      </c>
      <c r="BV27" s="171">
        <f>'NOI(M)'!BV22</f>
        <v>5386.4200194218711</v>
      </c>
      <c r="BW27" s="171">
        <f>'NOI(M)'!BW22</f>
        <v>5386.4200194218711</v>
      </c>
      <c r="BX27" s="171">
        <f>'NOI(M)'!BX22</f>
        <v>5386.4200194218711</v>
      </c>
      <c r="BY27" s="171">
        <f>'NOI(M)'!BY22</f>
        <v>5386.4200194218711</v>
      </c>
      <c r="BZ27" s="171">
        <f>'NOI(M)'!BZ22</f>
        <v>5386.4200194218711</v>
      </c>
      <c r="CA27" s="171">
        <f>'NOI(M)'!CA22</f>
        <v>5386.4200194218711</v>
      </c>
      <c r="CB27" s="171">
        <f>'NOI(M)'!CB22</f>
        <v>5386.4200194218711</v>
      </c>
      <c r="CC27" s="171">
        <f>'NOI(M)'!CC22</f>
        <v>5386.4200194218711</v>
      </c>
      <c r="CD27" s="171">
        <f>'NOI(M)'!CD22</f>
        <v>5386.4200194218711</v>
      </c>
      <c r="CE27" s="171">
        <f>'NOI(M)'!CE22</f>
        <v>5386.4200194218711</v>
      </c>
      <c r="CF27" s="171">
        <f>'NOI(M)'!CF22</f>
        <v>5386.4200194218711</v>
      </c>
      <c r="CG27" s="171">
        <f>'NOI(M)'!CG22</f>
        <v>5386.4200194218711</v>
      </c>
      <c r="CH27" s="171">
        <f>'NOI(M)'!CH22</f>
        <v>5467.2163197131986</v>
      </c>
      <c r="CI27" s="171">
        <f>'NOI(M)'!CI22</f>
        <v>5467.2163197131986</v>
      </c>
      <c r="CJ27" s="171">
        <f>'NOI(M)'!CJ22</f>
        <v>5467.2163197131986</v>
      </c>
      <c r="CK27" s="171">
        <f>'NOI(M)'!CK22</f>
        <v>5467.2163197131986</v>
      </c>
      <c r="CL27" s="171">
        <f>'NOI(M)'!CL22</f>
        <v>5467.2163197131986</v>
      </c>
      <c r="CM27" s="171">
        <f>'NOI(M)'!CM22</f>
        <v>5467.2163197131986</v>
      </c>
      <c r="CN27" s="171">
        <f>'NOI(M)'!CN22</f>
        <v>5467.2163197131986</v>
      </c>
      <c r="CO27" s="171">
        <f>'NOI(M)'!CO22</f>
        <v>5467.2163197131986</v>
      </c>
      <c r="CP27" s="171">
        <f>'NOI(M)'!CP22</f>
        <v>5467.2163197131986</v>
      </c>
      <c r="CQ27" s="171">
        <f>'NOI(M)'!CQ22</f>
        <v>5467.2163197131986</v>
      </c>
      <c r="CR27" s="171">
        <f>'NOI(M)'!CR22</f>
        <v>5467.2163197131986</v>
      </c>
      <c r="CS27" s="171">
        <f>'NOI(M)'!CS22</f>
        <v>5467.2163197131986</v>
      </c>
      <c r="CT27" s="171">
        <f>'NOI(M)'!CT22</f>
        <v>5549.2245645088951</v>
      </c>
      <c r="CU27" s="171">
        <f>'NOI(M)'!CU22</f>
        <v>5549.2245645088951</v>
      </c>
      <c r="CV27" s="171">
        <f>'NOI(M)'!CV22</f>
        <v>5549.2245645088951</v>
      </c>
      <c r="CW27" s="171">
        <f>'NOI(M)'!CW22</f>
        <v>5549.2245645088951</v>
      </c>
      <c r="CX27" s="171">
        <f>'NOI(M)'!CX22</f>
        <v>5549.2245645088951</v>
      </c>
      <c r="CY27" s="171">
        <f>'NOI(M)'!CY22</f>
        <v>5549.2245645088951</v>
      </c>
      <c r="CZ27" s="171">
        <f>'NOI(M)'!CZ22</f>
        <v>5549.2245645088951</v>
      </c>
      <c r="DA27" s="171">
        <f>'NOI(M)'!DA22</f>
        <v>5549.2245645088951</v>
      </c>
      <c r="DB27" s="171">
        <f>'NOI(M)'!DB22</f>
        <v>5549.2245645088951</v>
      </c>
      <c r="DC27" s="171">
        <f>'NOI(M)'!DC22</f>
        <v>5549.2245645088951</v>
      </c>
      <c r="DD27" s="171">
        <f>'NOI(M)'!DD22</f>
        <v>5549.2245645088951</v>
      </c>
      <c r="DE27" s="171">
        <f>'NOI(M)'!DE22</f>
        <v>5549.2245645088951</v>
      </c>
      <c r="DF27" s="171">
        <f>'NOI(M)'!DF22</f>
        <v>5632.4629329765285</v>
      </c>
      <c r="DG27" s="171">
        <f>'NOI(M)'!DG22</f>
        <v>5632.4629329765285</v>
      </c>
      <c r="DH27" s="171">
        <f>'NOI(M)'!DH22</f>
        <v>5632.4629329765285</v>
      </c>
      <c r="DI27" s="171">
        <f>'NOI(M)'!DI22</f>
        <v>5632.4629329765285</v>
      </c>
      <c r="DJ27" s="171">
        <f>'NOI(M)'!DJ22</f>
        <v>5632.4629329765285</v>
      </c>
      <c r="DK27" s="171">
        <f>'NOI(M)'!DK22</f>
        <v>5632.4629329765285</v>
      </c>
      <c r="DL27" s="171">
        <f>'NOI(M)'!DL22</f>
        <v>5632.4629329765285</v>
      </c>
      <c r="DM27" s="171">
        <f>'NOI(M)'!DM22</f>
        <v>5632.4629329765285</v>
      </c>
      <c r="DN27" s="171">
        <f>'NOI(M)'!DN22</f>
        <v>5632.4629329765285</v>
      </c>
      <c r="DO27" s="171">
        <f>'NOI(M)'!DO22</f>
        <v>5632.4629329765285</v>
      </c>
      <c r="DP27" s="171">
        <f>'NOI(M)'!DP22</f>
        <v>5632.4629329765285</v>
      </c>
      <c r="DQ27" s="171">
        <f>'NOI(M)'!DQ22</f>
        <v>5632.4629329765285</v>
      </c>
      <c r="DR27" s="171">
        <f>'NOI(M)'!DR22</f>
        <v>5716.9498769711754</v>
      </c>
      <c r="DS27" s="171">
        <f>'NOI(M)'!DS22</f>
        <v>5716.9498769711754</v>
      </c>
      <c r="DT27" s="171">
        <f>'NOI(M)'!DT22</f>
        <v>5716.9498769711754</v>
      </c>
      <c r="DU27" s="171">
        <f>'NOI(M)'!DU22</f>
        <v>5716.9498769711754</v>
      </c>
      <c r="DV27" s="171">
        <f>'NOI(M)'!DV22</f>
        <v>5716.9498769711754</v>
      </c>
      <c r="DW27" s="171">
        <f>'NOI(M)'!DW22</f>
        <v>5716.9498769711754</v>
      </c>
      <c r="DX27" s="171">
        <f>'NOI(M)'!DX22</f>
        <v>5716.9498769711754</v>
      </c>
      <c r="DY27" s="171">
        <f>'NOI(M)'!DY22</f>
        <v>5716.9498769711754</v>
      </c>
      <c r="DZ27" s="171">
        <f>'NOI(M)'!DZ22</f>
        <v>5716.9498769711754</v>
      </c>
      <c r="EA27" s="171">
        <f>'NOI(M)'!EA22</f>
        <v>5716.9498769711754</v>
      </c>
      <c r="EB27" s="171">
        <f>'NOI(M)'!EB22</f>
        <v>5716.9498769711754</v>
      </c>
      <c r="EC27" s="171">
        <f>'NOI(M)'!EC22</f>
        <v>5716.9498769711754</v>
      </c>
      <c r="ED27" s="171">
        <f>'NOI(M)'!ED22</f>
        <v>0</v>
      </c>
      <c r="EE27" s="171">
        <f>'NOI(M)'!EE22</f>
        <v>0</v>
      </c>
      <c r="EF27" s="171">
        <f>'NOI(M)'!EF22</f>
        <v>0</v>
      </c>
      <c r="EG27" s="171">
        <f>'NOI(M)'!EG22</f>
        <v>0</v>
      </c>
      <c r="EH27" s="171">
        <f>'NOI(M)'!EH22</f>
        <v>0</v>
      </c>
      <c r="EI27" s="171">
        <f>'NOI(M)'!EI22</f>
        <v>0</v>
      </c>
      <c r="EJ27" s="171">
        <f>'NOI(M)'!EJ22</f>
        <v>0</v>
      </c>
      <c r="EK27" s="171">
        <f>'NOI(M)'!EK22</f>
        <v>0</v>
      </c>
      <c r="EL27" s="171">
        <f>'NOI(M)'!EL22</f>
        <v>0</v>
      </c>
      <c r="EM27" s="171">
        <f>'NOI(M)'!EM22</f>
        <v>0</v>
      </c>
      <c r="EN27" s="171">
        <f>'NOI(M)'!EN22</f>
        <v>0</v>
      </c>
      <c r="EO27" s="171">
        <f>'NOI(M)'!EO22</f>
        <v>0</v>
      </c>
      <c r="EP27" s="171">
        <f>'NOI(M)'!EP22</f>
        <v>0</v>
      </c>
      <c r="EQ27" s="171">
        <f>'NOI(M)'!EQ22</f>
        <v>0</v>
      </c>
      <c r="ER27" s="171">
        <f>'NOI(M)'!ER22</f>
        <v>0</v>
      </c>
    </row>
    <row r="28" spans="2:148" ht="11.25" customHeight="1">
      <c r="B28" s="218"/>
      <c r="C28" s="163"/>
      <c r="D28" s="2621" t="s">
        <v>75</v>
      </c>
      <c r="E28" s="2617"/>
      <c r="F28" s="2617"/>
      <c r="G28" s="2617"/>
      <c r="H28" s="2617"/>
      <c r="I28" s="2624"/>
      <c r="J28" s="2625"/>
      <c r="K28" s="2626">
        <f t="shared" si="19"/>
        <v>6974980.3358780285</v>
      </c>
      <c r="L28" s="98"/>
      <c r="M28" s="171">
        <f>'NOI(M)'!M23</f>
        <v>0</v>
      </c>
      <c r="N28" s="171">
        <f>'NOI(M)'!N23</f>
        <v>53083.394667049994</v>
      </c>
      <c r="O28" s="171">
        <f>'NOI(M)'!O23</f>
        <v>53083.394667049994</v>
      </c>
      <c r="P28" s="171">
        <f>'NOI(M)'!P23</f>
        <v>53083.394667049994</v>
      </c>
      <c r="Q28" s="171">
        <f>'NOI(M)'!Q23</f>
        <v>53083.394667049994</v>
      </c>
      <c r="R28" s="171">
        <f>'NOI(M)'!R23</f>
        <v>53083.394667049994</v>
      </c>
      <c r="S28" s="171">
        <f>'NOI(M)'!S23</f>
        <v>53083.394667049994</v>
      </c>
      <c r="T28" s="171">
        <f>'NOI(M)'!T23</f>
        <v>53083.394667049994</v>
      </c>
      <c r="U28" s="171">
        <f>'NOI(M)'!U23</f>
        <v>53083.394667049994</v>
      </c>
      <c r="V28" s="171">
        <f>'NOI(M)'!V23</f>
        <v>53083.394667049994</v>
      </c>
      <c r="W28" s="171">
        <f>'NOI(M)'!W23</f>
        <v>53083.394667049994</v>
      </c>
      <c r="X28" s="171">
        <f>'NOI(M)'!X23</f>
        <v>53083.394667049994</v>
      </c>
      <c r="Y28" s="171">
        <f>'NOI(M)'!Y23</f>
        <v>53083.394667049994</v>
      </c>
      <c r="Z28" s="171">
        <f>'NOI(M)'!Z23</f>
        <v>54145.062560390994</v>
      </c>
      <c r="AA28" s="171">
        <f>'NOI(M)'!AA23</f>
        <v>54145.062560390994</v>
      </c>
      <c r="AB28" s="171">
        <f>'NOI(M)'!AB23</f>
        <v>54145.062560390994</v>
      </c>
      <c r="AC28" s="171">
        <f>'NOI(M)'!AC23</f>
        <v>54145.062560390994</v>
      </c>
      <c r="AD28" s="171">
        <f>'NOI(M)'!AD23</f>
        <v>54145.062560390994</v>
      </c>
      <c r="AE28" s="171">
        <f>'NOI(M)'!AE23</f>
        <v>54145.062560390994</v>
      </c>
      <c r="AF28" s="171">
        <f>'NOI(M)'!AF23</f>
        <v>54145.062560390994</v>
      </c>
      <c r="AG28" s="171">
        <f>'NOI(M)'!AG23</f>
        <v>54145.062560390994</v>
      </c>
      <c r="AH28" s="171">
        <f>'NOI(M)'!AH23</f>
        <v>54145.062560390994</v>
      </c>
      <c r="AI28" s="171">
        <f>'NOI(M)'!AI23</f>
        <v>54145.062560390994</v>
      </c>
      <c r="AJ28" s="171">
        <f>'NOI(M)'!AJ23</f>
        <v>54145.062560390994</v>
      </c>
      <c r="AK28" s="171">
        <f>'NOI(M)'!AK23</f>
        <v>54145.062560390994</v>
      </c>
      <c r="AL28" s="171">
        <f>'NOI(M)'!AL23</f>
        <v>55227.963811598813</v>
      </c>
      <c r="AM28" s="171">
        <f>'NOI(M)'!AM23</f>
        <v>55227.963811598813</v>
      </c>
      <c r="AN28" s="171">
        <f>'NOI(M)'!AN23</f>
        <v>55227.963811598813</v>
      </c>
      <c r="AO28" s="171">
        <f>'NOI(M)'!AO23</f>
        <v>55227.963811598813</v>
      </c>
      <c r="AP28" s="171">
        <f>'NOI(M)'!AP23</f>
        <v>55227.963811598813</v>
      </c>
      <c r="AQ28" s="171">
        <f>'NOI(M)'!AQ23</f>
        <v>55227.963811598813</v>
      </c>
      <c r="AR28" s="171">
        <f>'NOI(M)'!AR23</f>
        <v>55227.963811598813</v>
      </c>
      <c r="AS28" s="171">
        <f>'NOI(M)'!AS23</f>
        <v>55227.963811598813</v>
      </c>
      <c r="AT28" s="171">
        <f>'NOI(M)'!AT23</f>
        <v>55227.963811598813</v>
      </c>
      <c r="AU28" s="171">
        <f>'NOI(M)'!AU23</f>
        <v>55227.963811598813</v>
      </c>
      <c r="AV28" s="171">
        <f>'NOI(M)'!AV23</f>
        <v>55227.963811598813</v>
      </c>
      <c r="AW28" s="171">
        <f>'NOI(M)'!AW23</f>
        <v>55227.963811598813</v>
      </c>
      <c r="AX28" s="171">
        <f>'NOI(M)'!AX23</f>
        <v>56332.523087830785</v>
      </c>
      <c r="AY28" s="171">
        <f>'NOI(M)'!AY23</f>
        <v>56332.523087830785</v>
      </c>
      <c r="AZ28" s="171">
        <f>'NOI(M)'!AZ23</f>
        <v>56332.523087830785</v>
      </c>
      <c r="BA28" s="171">
        <f>'NOI(M)'!BA23</f>
        <v>56332.523087830785</v>
      </c>
      <c r="BB28" s="171">
        <f>'NOI(M)'!BB23</f>
        <v>56332.523087830785</v>
      </c>
      <c r="BC28" s="171">
        <f>'NOI(M)'!BC23</f>
        <v>56332.523087830785</v>
      </c>
      <c r="BD28" s="171">
        <f>'NOI(M)'!BD23</f>
        <v>56332.523087830785</v>
      </c>
      <c r="BE28" s="171">
        <f>'NOI(M)'!BE23</f>
        <v>56332.523087830785</v>
      </c>
      <c r="BF28" s="171">
        <f>'NOI(M)'!BF23</f>
        <v>56332.523087830785</v>
      </c>
      <c r="BG28" s="171">
        <f>'NOI(M)'!BG23</f>
        <v>56332.523087830785</v>
      </c>
      <c r="BH28" s="171">
        <f>'NOI(M)'!BH23</f>
        <v>56332.523087830785</v>
      </c>
      <c r="BI28" s="171">
        <f>'NOI(M)'!BI23</f>
        <v>56332.523087830785</v>
      </c>
      <c r="BJ28" s="171">
        <f>'NOI(M)'!BJ23</f>
        <v>57459.173549587402</v>
      </c>
      <c r="BK28" s="171">
        <f>'NOI(M)'!BK23</f>
        <v>57459.173549587402</v>
      </c>
      <c r="BL28" s="171">
        <f>'NOI(M)'!BL23</f>
        <v>57459.173549587402</v>
      </c>
      <c r="BM28" s="171">
        <f>'NOI(M)'!BM23</f>
        <v>57459.173549587402</v>
      </c>
      <c r="BN28" s="171">
        <f>'NOI(M)'!BN23</f>
        <v>57459.173549587402</v>
      </c>
      <c r="BO28" s="171">
        <f>'NOI(M)'!BO23</f>
        <v>57459.173549587402</v>
      </c>
      <c r="BP28" s="171">
        <f>'NOI(M)'!BP23</f>
        <v>57459.173549587402</v>
      </c>
      <c r="BQ28" s="171">
        <f>'NOI(M)'!BQ23</f>
        <v>57459.173549587402</v>
      </c>
      <c r="BR28" s="171">
        <f>'NOI(M)'!BR23</f>
        <v>57459.173549587402</v>
      </c>
      <c r="BS28" s="171">
        <f>'NOI(M)'!BS23</f>
        <v>57459.173549587402</v>
      </c>
      <c r="BT28" s="171">
        <f>'NOI(M)'!BT23</f>
        <v>57459.173549587402</v>
      </c>
      <c r="BU28" s="171">
        <f>'NOI(M)'!BU23</f>
        <v>57459.173549587402</v>
      </c>
      <c r="BV28" s="171">
        <f>'NOI(M)'!BV23</f>
        <v>58608.357020579155</v>
      </c>
      <c r="BW28" s="171">
        <f>'NOI(M)'!BW23</f>
        <v>58608.357020579155</v>
      </c>
      <c r="BX28" s="171">
        <f>'NOI(M)'!BX23</f>
        <v>58608.357020579155</v>
      </c>
      <c r="BY28" s="171">
        <f>'NOI(M)'!BY23</f>
        <v>58608.357020579155</v>
      </c>
      <c r="BZ28" s="171">
        <f>'NOI(M)'!BZ23</f>
        <v>58608.357020579155</v>
      </c>
      <c r="CA28" s="171">
        <f>'NOI(M)'!CA23</f>
        <v>58608.357020579155</v>
      </c>
      <c r="CB28" s="171">
        <f>'NOI(M)'!CB23</f>
        <v>58608.357020579155</v>
      </c>
      <c r="CC28" s="171">
        <f>'NOI(M)'!CC23</f>
        <v>58608.357020579155</v>
      </c>
      <c r="CD28" s="171">
        <f>'NOI(M)'!CD23</f>
        <v>58608.357020579155</v>
      </c>
      <c r="CE28" s="171">
        <f>'NOI(M)'!CE23</f>
        <v>58608.357020579155</v>
      </c>
      <c r="CF28" s="171">
        <f>'NOI(M)'!CF23</f>
        <v>58608.357020579155</v>
      </c>
      <c r="CG28" s="171">
        <f>'NOI(M)'!CG23</f>
        <v>58608.357020579155</v>
      </c>
      <c r="CH28" s="171">
        <f>'NOI(M)'!CH23</f>
        <v>59780.524160990739</v>
      </c>
      <c r="CI28" s="171">
        <f>'NOI(M)'!CI23</f>
        <v>59780.524160990739</v>
      </c>
      <c r="CJ28" s="171">
        <f>'NOI(M)'!CJ23</f>
        <v>59780.524160990739</v>
      </c>
      <c r="CK28" s="171">
        <f>'NOI(M)'!CK23</f>
        <v>59780.524160990739</v>
      </c>
      <c r="CL28" s="171">
        <f>'NOI(M)'!CL23</f>
        <v>59780.524160990739</v>
      </c>
      <c r="CM28" s="171">
        <f>'NOI(M)'!CM23</f>
        <v>59780.524160990739</v>
      </c>
      <c r="CN28" s="171">
        <f>'NOI(M)'!CN23</f>
        <v>59780.524160990739</v>
      </c>
      <c r="CO28" s="171">
        <f>'NOI(M)'!CO23</f>
        <v>59780.524160990739</v>
      </c>
      <c r="CP28" s="171">
        <f>'NOI(M)'!CP23</f>
        <v>59780.524160990739</v>
      </c>
      <c r="CQ28" s="171">
        <f>'NOI(M)'!CQ23</f>
        <v>59780.524160990739</v>
      </c>
      <c r="CR28" s="171">
        <f>'NOI(M)'!CR23</f>
        <v>59780.524160990739</v>
      </c>
      <c r="CS28" s="171">
        <f>'NOI(M)'!CS23</f>
        <v>59780.524160990739</v>
      </c>
      <c r="CT28" s="171">
        <f>'NOI(M)'!CT23</f>
        <v>60976.134644210542</v>
      </c>
      <c r="CU28" s="171">
        <f>'NOI(M)'!CU23</f>
        <v>60976.134644210542</v>
      </c>
      <c r="CV28" s="171">
        <f>'NOI(M)'!CV23</f>
        <v>60976.134644210542</v>
      </c>
      <c r="CW28" s="171">
        <f>'NOI(M)'!CW23</f>
        <v>60976.134644210542</v>
      </c>
      <c r="CX28" s="171">
        <f>'NOI(M)'!CX23</f>
        <v>60976.134644210542</v>
      </c>
      <c r="CY28" s="171">
        <f>'NOI(M)'!CY23</f>
        <v>60976.134644210542</v>
      </c>
      <c r="CZ28" s="171">
        <f>'NOI(M)'!CZ23</f>
        <v>60976.134644210542</v>
      </c>
      <c r="DA28" s="171">
        <f>'NOI(M)'!DA23</f>
        <v>60976.134644210542</v>
      </c>
      <c r="DB28" s="171">
        <f>'NOI(M)'!DB23</f>
        <v>60976.134644210542</v>
      </c>
      <c r="DC28" s="171">
        <f>'NOI(M)'!DC23</f>
        <v>60976.134644210542</v>
      </c>
      <c r="DD28" s="171">
        <f>'NOI(M)'!DD23</f>
        <v>60976.134644210542</v>
      </c>
      <c r="DE28" s="171">
        <f>'NOI(M)'!DE23</f>
        <v>60976.134644210542</v>
      </c>
      <c r="DF28" s="171">
        <f>'NOI(M)'!DF23</f>
        <v>62195.657337094759</v>
      </c>
      <c r="DG28" s="171">
        <f>'NOI(M)'!DG23</f>
        <v>62195.657337094759</v>
      </c>
      <c r="DH28" s="171">
        <f>'NOI(M)'!DH23</f>
        <v>62195.657337094759</v>
      </c>
      <c r="DI28" s="171">
        <f>'NOI(M)'!DI23</f>
        <v>62195.657337094759</v>
      </c>
      <c r="DJ28" s="171">
        <f>'NOI(M)'!DJ23</f>
        <v>62195.657337094759</v>
      </c>
      <c r="DK28" s="171">
        <f>'NOI(M)'!DK23</f>
        <v>62195.657337094759</v>
      </c>
      <c r="DL28" s="171">
        <f>'NOI(M)'!DL23</f>
        <v>62195.657337094759</v>
      </c>
      <c r="DM28" s="171">
        <f>'NOI(M)'!DM23</f>
        <v>62195.657337094759</v>
      </c>
      <c r="DN28" s="171">
        <f>'NOI(M)'!DN23</f>
        <v>62195.657337094759</v>
      </c>
      <c r="DO28" s="171">
        <f>'NOI(M)'!DO23</f>
        <v>62195.657337094759</v>
      </c>
      <c r="DP28" s="171">
        <f>'NOI(M)'!DP23</f>
        <v>62195.657337094759</v>
      </c>
      <c r="DQ28" s="171">
        <f>'NOI(M)'!DQ23</f>
        <v>62195.657337094759</v>
      </c>
      <c r="DR28" s="171">
        <f>'NOI(M)'!DR23</f>
        <v>63439.570483836651</v>
      </c>
      <c r="DS28" s="171">
        <f>'NOI(M)'!DS23</f>
        <v>63439.570483836651</v>
      </c>
      <c r="DT28" s="171">
        <f>'NOI(M)'!DT23</f>
        <v>63439.570483836651</v>
      </c>
      <c r="DU28" s="171">
        <f>'NOI(M)'!DU23</f>
        <v>63439.570483836651</v>
      </c>
      <c r="DV28" s="171">
        <f>'NOI(M)'!DV23</f>
        <v>63439.570483836651</v>
      </c>
      <c r="DW28" s="171">
        <f>'NOI(M)'!DW23</f>
        <v>63439.570483836651</v>
      </c>
      <c r="DX28" s="171">
        <f>'NOI(M)'!DX23</f>
        <v>63439.570483836651</v>
      </c>
      <c r="DY28" s="171">
        <f>'NOI(M)'!DY23</f>
        <v>63439.570483836651</v>
      </c>
      <c r="DZ28" s="171">
        <f>'NOI(M)'!DZ23</f>
        <v>63439.570483836651</v>
      </c>
      <c r="EA28" s="171">
        <f>'NOI(M)'!EA23</f>
        <v>63439.570483836651</v>
      </c>
      <c r="EB28" s="171">
        <f>'NOI(M)'!EB23</f>
        <v>63439.570483836651</v>
      </c>
      <c r="EC28" s="171">
        <f>'NOI(M)'!EC23</f>
        <v>63439.570483836651</v>
      </c>
      <c r="ED28" s="171">
        <f>'NOI(M)'!ED23</f>
        <v>0</v>
      </c>
      <c r="EE28" s="171">
        <f>'NOI(M)'!EE23</f>
        <v>0</v>
      </c>
      <c r="EF28" s="171">
        <f>'NOI(M)'!EF23</f>
        <v>0</v>
      </c>
      <c r="EG28" s="171">
        <f>'NOI(M)'!EG23</f>
        <v>0</v>
      </c>
      <c r="EH28" s="171">
        <f>'NOI(M)'!EH23</f>
        <v>0</v>
      </c>
      <c r="EI28" s="171">
        <f>'NOI(M)'!EI23</f>
        <v>0</v>
      </c>
      <c r="EJ28" s="171">
        <f>'NOI(M)'!EJ23</f>
        <v>0</v>
      </c>
      <c r="EK28" s="171">
        <f>'NOI(M)'!EK23</f>
        <v>0</v>
      </c>
      <c r="EL28" s="171">
        <f>'NOI(M)'!EL23</f>
        <v>0</v>
      </c>
      <c r="EM28" s="171">
        <f>'NOI(M)'!EM23</f>
        <v>0</v>
      </c>
      <c r="EN28" s="171">
        <f>'NOI(M)'!EN23</f>
        <v>0</v>
      </c>
      <c r="EO28" s="171">
        <f>'NOI(M)'!EO23</f>
        <v>0</v>
      </c>
      <c r="EP28" s="171">
        <f>'NOI(M)'!EP23</f>
        <v>0</v>
      </c>
      <c r="EQ28" s="171">
        <f>'NOI(M)'!EQ23</f>
        <v>0</v>
      </c>
      <c r="ER28" s="171">
        <f>'NOI(M)'!ER23</f>
        <v>0</v>
      </c>
    </row>
    <row r="29" spans="2:148" ht="11.25" customHeight="1">
      <c r="B29" s="218"/>
      <c r="C29" s="163"/>
      <c r="D29" s="2621" t="s">
        <v>78</v>
      </c>
      <c r="E29" s="2617"/>
      <c r="F29" s="2617"/>
      <c r="G29" s="2617"/>
      <c r="H29" s="2617"/>
      <c r="I29" s="2624"/>
      <c r="J29" s="2625"/>
      <c r="K29" s="2626">
        <f t="shared" si="19"/>
        <v>341538.75420512666</v>
      </c>
      <c r="L29" s="98"/>
      <c r="M29" s="171">
        <f>'NOI(M)'!M24</f>
        <v>0</v>
      </c>
      <c r="N29" s="171">
        <f>'NOI(M)'!N24</f>
        <v>2599.2957127499999</v>
      </c>
      <c r="O29" s="171">
        <f>'NOI(M)'!O24</f>
        <v>2599.2957127499999</v>
      </c>
      <c r="P29" s="171">
        <f>'NOI(M)'!P24</f>
        <v>2599.2957127499999</v>
      </c>
      <c r="Q29" s="171">
        <f>'NOI(M)'!Q24</f>
        <v>2599.2957127499999</v>
      </c>
      <c r="R29" s="171">
        <f>'NOI(M)'!R24</f>
        <v>2599.2957127499999</v>
      </c>
      <c r="S29" s="171">
        <f>'NOI(M)'!S24</f>
        <v>2599.2957127499999</v>
      </c>
      <c r="T29" s="171">
        <f>'NOI(M)'!T24</f>
        <v>2599.2957127499999</v>
      </c>
      <c r="U29" s="171">
        <f>'NOI(M)'!U24</f>
        <v>2599.2957127499999</v>
      </c>
      <c r="V29" s="171">
        <f>'NOI(M)'!V24</f>
        <v>2599.2957127499999</v>
      </c>
      <c r="W29" s="171">
        <f>'NOI(M)'!W24</f>
        <v>2599.2957127499999</v>
      </c>
      <c r="X29" s="171">
        <f>'NOI(M)'!X24</f>
        <v>2599.2957127499999</v>
      </c>
      <c r="Y29" s="171">
        <f>'NOI(M)'!Y24</f>
        <v>2599.2957127499999</v>
      </c>
      <c r="Z29" s="171">
        <f>'NOI(M)'!Z24</f>
        <v>2651.2816270049998</v>
      </c>
      <c r="AA29" s="171">
        <f>'NOI(M)'!AA24</f>
        <v>2651.2816270049998</v>
      </c>
      <c r="AB29" s="171">
        <f>'NOI(M)'!AB24</f>
        <v>2651.2816270049998</v>
      </c>
      <c r="AC29" s="171">
        <f>'NOI(M)'!AC24</f>
        <v>2651.2816270049998</v>
      </c>
      <c r="AD29" s="171">
        <f>'NOI(M)'!AD24</f>
        <v>2651.2816270049998</v>
      </c>
      <c r="AE29" s="171">
        <f>'NOI(M)'!AE24</f>
        <v>2651.2816270049998</v>
      </c>
      <c r="AF29" s="171">
        <f>'NOI(M)'!AF24</f>
        <v>2651.2816270049998</v>
      </c>
      <c r="AG29" s="171">
        <f>'NOI(M)'!AG24</f>
        <v>2651.2816270049998</v>
      </c>
      <c r="AH29" s="171">
        <f>'NOI(M)'!AH24</f>
        <v>2651.2816270049998</v>
      </c>
      <c r="AI29" s="171">
        <f>'NOI(M)'!AI24</f>
        <v>2651.2816270049998</v>
      </c>
      <c r="AJ29" s="171">
        <f>'NOI(M)'!AJ24</f>
        <v>2651.2816270049998</v>
      </c>
      <c r="AK29" s="171">
        <f>'NOI(M)'!AK24</f>
        <v>2651.2816270049998</v>
      </c>
      <c r="AL29" s="171">
        <f>'NOI(M)'!AL24</f>
        <v>2704.3072595450999</v>
      </c>
      <c r="AM29" s="171">
        <f>'NOI(M)'!AM24</f>
        <v>2704.3072595450999</v>
      </c>
      <c r="AN29" s="171">
        <f>'NOI(M)'!AN24</f>
        <v>2704.3072595450999</v>
      </c>
      <c r="AO29" s="171">
        <f>'NOI(M)'!AO24</f>
        <v>2704.3072595450999</v>
      </c>
      <c r="AP29" s="171">
        <f>'NOI(M)'!AP24</f>
        <v>2704.3072595450999</v>
      </c>
      <c r="AQ29" s="171">
        <f>'NOI(M)'!AQ24</f>
        <v>2704.3072595450999</v>
      </c>
      <c r="AR29" s="171">
        <f>'NOI(M)'!AR24</f>
        <v>2704.3072595450999</v>
      </c>
      <c r="AS29" s="171">
        <f>'NOI(M)'!AS24</f>
        <v>2704.3072595450999</v>
      </c>
      <c r="AT29" s="171">
        <f>'NOI(M)'!AT24</f>
        <v>2704.3072595450999</v>
      </c>
      <c r="AU29" s="171">
        <f>'NOI(M)'!AU24</f>
        <v>2704.3072595450999</v>
      </c>
      <c r="AV29" s="171">
        <f>'NOI(M)'!AV24</f>
        <v>2704.3072595450999</v>
      </c>
      <c r="AW29" s="171">
        <f>'NOI(M)'!AW24</f>
        <v>2704.3072595450999</v>
      </c>
      <c r="AX29" s="171">
        <f>'NOI(M)'!AX24</f>
        <v>2758.3934047360017</v>
      </c>
      <c r="AY29" s="171">
        <f>'NOI(M)'!AY24</f>
        <v>2758.3934047360017</v>
      </c>
      <c r="AZ29" s="171">
        <f>'NOI(M)'!AZ24</f>
        <v>2758.3934047360017</v>
      </c>
      <c r="BA29" s="171">
        <f>'NOI(M)'!BA24</f>
        <v>2758.3934047360017</v>
      </c>
      <c r="BB29" s="171">
        <f>'NOI(M)'!BB24</f>
        <v>2758.3934047360017</v>
      </c>
      <c r="BC29" s="171">
        <f>'NOI(M)'!BC24</f>
        <v>2758.3934047360017</v>
      </c>
      <c r="BD29" s="171">
        <f>'NOI(M)'!BD24</f>
        <v>2758.3934047360017</v>
      </c>
      <c r="BE29" s="171">
        <f>'NOI(M)'!BE24</f>
        <v>2758.3934047360017</v>
      </c>
      <c r="BF29" s="171">
        <f>'NOI(M)'!BF24</f>
        <v>2758.3934047360017</v>
      </c>
      <c r="BG29" s="171">
        <f>'NOI(M)'!BG24</f>
        <v>2758.3934047360017</v>
      </c>
      <c r="BH29" s="171">
        <f>'NOI(M)'!BH24</f>
        <v>2758.3934047360017</v>
      </c>
      <c r="BI29" s="171">
        <f>'NOI(M)'!BI24</f>
        <v>2758.3934047360017</v>
      </c>
      <c r="BJ29" s="171">
        <f>'NOI(M)'!BJ24</f>
        <v>2813.5612728307219</v>
      </c>
      <c r="BK29" s="171">
        <f>'NOI(M)'!BK24</f>
        <v>2813.5612728307219</v>
      </c>
      <c r="BL29" s="171">
        <f>'NOI(M)'!BL24</f>
        <v>2813.5612728307219</v>
      </c>
      <c r="BM29" s="171">
        <f>'NOI(M)'!BM24</f>
        <v>2813.5612728307219</v>
      </c>
      <c r="BN29" s="171">
        <f>'NOI(M)'!BN24</f>
        <v>2813.5612728307219</v>
      </c>
      <c r="BO29" s="171">
        <f>'NOI(M)'!BO24</f>
        <v>2813.5612728307219</v>
      </c>
      <c r="BP29" s="171">
        <f>'NOI(M)'!BP24</f>
        <v>2813.5612728307219</v>
      </c>
      <c r="BQ29" s="171">
        <f>'NOI(M)'!BQ24</f>
        <v>2813.5612728307219</v>
      </c>
      <c r="BR29" s="171">
        <f>'NOI(M)'!BR24</f>
        <v>2813.5612728307219</v>
      </c>
      <c r="BS29" s="171">
        <f>'NOI(M)'!BS24</f>
        <v>2813.5612728307219</v>
      </c>
      <c r="BT29" s="171">
        <f>'NOI(M)'!BT24</f>
        <v>2813.5612728307219</v>
      </c>
      <c r="BU29" s="171">
        <f>'NOI(M)'!BU24</f>
        <v>2813.5612728307219</v>
      </c>
      <c r="BV29" s="171">
        <f>'NOI(M)'!BV24</f>
        <v>2869.8324982873364</v>
      </c>
      <c r="BW29" s="171">
        <f>'NOI(M)'!BW24</f>
        <v>2869.8324982873364</v>
      </c>
      <c r="BX29" s="171">
        <f>'NOI(M)'!BX24</f>
        <v>2869.8324982873364</v>
      </c>
      <c r="BY29" s="171">
        <f>'NOI(M)'!BY24</f>
        <v>2869.8324982873364</v>
      </c>
      <c r="BZ29" s="171">
        <f>'NOI(M)'!BZ24</f>
        <v>2869.8324982873364</v>
      </c>
      <c r="CA29" s="171">
        <f>'NOI(M)'!CA24</f>
        <v>2869.8324982873364</v>
      </c>
      <c r="CB29" s="171">
        <f>'NOI(M)'!CB24</f>
        <v>2869.8324982873364</v>
      </c>
      <c r="CC29" s="171">
        <f>'NOI(M)'!CC24</f>
        <v>2869.8324982873364</v>
      </c>
      <c r="CD29" s="171">
        <f>'NOI(M)'!CD24</f>
        <v>2869.8324982873364</v>
      </c>
      <c r="CE29" s="171">
        <f>'NOI(M)'!CE24</f>
        <v>2869.8324982873364</v>
      </c>
      <c r="CF29" s="171">
        <f>'NOI(M)'!CF24</f>
        <v>2869.8324982873364</v>
      </c>
      <c r="CG29" s="171">
        <f>'NOI(M)'!CG24</f>
        <v>2869.8324982873364</v>
      </c>
      <c r="CH29" s="171">
        <f>'NOI(M)'!CH24</f>
        <v>2927.2291482530832</v>
      </c>
      <c r="CI29" s="171">
        <f>'NOI(M)'!CI24</f>
        <v>2927.2291482530832</v>
      </c>
      <c r="CJ29" s="171">
        <f>'NOI(M)'!CJ24</f>
        <v>2927.2291482530832</v>
      </c>
      <c r="CK29" s="171">
        <f>'NOI(M)'!CK24</f>
        <v>2927.2291482530832</v>
      </c>
      <c r="CL29" s="171">
        <f>'NOI(M)'!CL24</f>
        <v>2927.2291482530832</v>
      </c>
      <c r="CM29" s="171">
        <f>'NOI(M)'!CM24</f>
        <v>2927.2291482530832</v>
      </c>
      <c r="CN29" s="171">
        <f>'NOI(M)'!CN24</f>
        <v>2927.2291482530832</v>
      </c>
      <c r="CO29" s="171">
        <f>'NOI(M)'!CO24</f>
        <v>2927.2291482530832</v>
      </c>
      <c r="CP29" s="171">
        <f>'NOI(M)'!CP24</f>
        <v>2927.2291482530832</v>
      </c>
      <c r="CQ29" s="171">
        <f>'NOI(M)'!CQ24</f>
        <v>2927.2291482530832</v>
      </c>
      <c r="CR29" s="171">
        <f>'NOI(M)'!CR24</f>
        <v>2927.2291482530832</v>
      </c>
      <c r="CS29" s="171">
        <f>'NOI(M)'!CS24</f>
        <v>2927.2291482530832</v>
      </c>
      <c r="CT29" s="171">
        <f>'NOI(M)'!CT24</f>
        <v>2985.7737312181443</v>
      </c>
      <c r="CU29" s="171">
        <f>'NOI(M)'!CU24</f>
        <v>2985.7737312181443</v>
      </c>
      <c r="CV29" s="171">
        <f>'NOI(M)'!CV24</f>
        <v>2985.7737312181443</v>
      </c>
      <c r="CW29" s="171">
        <f>'NOI(M)'!CW24</f>
        <v>2985.7737312181443</v>
      </c>
      <c r="CX29" s="171">
        <f>'NOI(M)'!CX24</f>
        <v>2985.7737312181443</v>
      </c>
      <c r="CY29" s="171">
        <f>'NOI(M)'!CY24</f>
        <v>2985.7737312181443</v>
      </c>
      <c r="CZ29" s="171">
        <f>'NOI(M)'!CZ24</f>
        <v>2985.7737312181443</v>
      </c>
      <c r="DA29" s="171">
        <f>'NOI(M)'!DA24</f>
        <v>2985.7737312181443</v>
      </c>
      <c r="DB29" s="171">
        <f>'NOI(M)'!DB24</f>
        <v>2985.7737312181443</v>
      </c>
      <c r="DC29" s="171">
        <f>'NOI(M)'!DC24</f>
        <v>2985.7737312181443</v>
      </c>
      <c r="DD29" s="171">
        <f>'NOI(M)'!DD24</f>
        <v>2985.7737312181443</v>
      </c>
      <c r="DE29" s="171">
        <f>'NOI(M)'!DE24</f>
        <v>2985.7737312181443</v>
      </c>
      <c r="DF29" s="171">
        <f>'NOI(M)'!DF24</f>
        <v>3045.4892058425075</v>
      </c>
      <c r="DG29" s="171">
        <f>'NOI(M)'!DG24</f>
        <v>3045.4892058425075</v>
      </c>
      <c r="DH29" s="171">
        <f>'NOI(M)'!DH24</f>
        <v>3045.4892058425075</v>
      </c>
      <c r="DI29" s="171">
        <f>'NOI(M)'!DI24</f>
        <v>3045.4892058425075</v>
      </c>
      <c r="DJ29" s="171">
        <f>'NOI(M)'!DJ24</f>
        <v>3045.4892058425075</v>
      </c>
      <c r="DK29" s="171">
        <f>'NOI(M)'!DK24</f>
        <v>3045.4892058425075</v>
      </c>
      <c r="DL29" s="171">
        <f>'NOI(M)'!DL24</f>
        <v>3045.4892058425075</v>
      </c>
      <c r="DM29" s="171">
        <f>'NOI(M)'!DM24</f>
        <v>3045.4892058425075</v>
      </c>
      <c r="DN29" s="171">
        <f>'NOI(M)'!DN24</f>
        <v>3045.4892058425075</v>
      </c>
      <c r="DO29" s="171">
        <f>'NOI(M)'!DO24</f>
        <v>3045.4892058425075</v>
      </c>
      <c r="DP29" s="171">
        <f>'NOI(M)'!DP24</f>
        <v>3045.4892058425075</v>
      </c>
      <c r="DQ29" s="171">
        <f>'NOI(M)'!DQ24</f>
        <v>3045.4892058425075</v>
      </c>
      <c r="DR29" s="171">
        <f>'NOI(M)'!DR24</f>
        <v>3106.3989899593576</v>
      </c>
      <c r="DS29" s="171">
        <f>'NOI(M)'!DS24</f>
        <v>3106.3989899593576</v>
      </c>
      <c r="DT29" s="171">
        <f>'NOI(M)'!DT24</f>
        <v>3106.3989899593576</v>
      </c>
      <c r="DU29" s="171">
        <f>'NOI(M)'!DU24</f>
        <v>3106.3989899593576</v>
      </c>
      <c r="DV29" s="171">
        <f>'NOI(M)'!DV24</f>
        <v>3106.3989899593576</v>
      </c>
      <c r="DW29" s="171">
        <f>'NOI(M)'!DW24</f>
        <v>3106.3989899593576</v>
      </c>
      <c r="DX29" s="171">
        <f>'NOI(M)'!DX24</f>
        <v>3106.3989899593576</v>
      </c>
      <c r="DY29" s="171">
        <f>'NOI(M)'!DY24</f>
        <v>3106.3989899593576</v>
      </c>
      <c r="DZ29" s="171">
        <f>'NOI(M)'!DZ24</f>
        <v>3106.3989899593576</v>
      </c>
      <c r="EA29" s="171">
        <f>'NOI(M)'!EA24</f>
        <v>3106.3989899593576</v>
      </c>
      <c r="EB29" s="171">
        <f>'NOI(M)'!EB24</f>
        <v>3106.3989899593576</v>
      </c>
      <c r="EC29" s="171">
        <f>'NOI(M)'!EC24</f>
        <v>3106.3989899593576</v>
      </c>
      <c r="ED29" s="171">
        <f>'NOI(M)'!ED24</f>
        <v>0</v>
      </c>
      <c r="EE29" s="171">
        <f>'NOI(M)'!EE24</f>
        <v>0</v>
      </c>
      <c r="EF29" s="171">
        <f>'NOI(M)'!EF24</f>
        <v>0</v>
      </c>
      <c r="EG29" s="171">
        <f>'NOI(M)'!EG24</f>
        <v>0</v>
      </c>
      <c r="EH29" s="171">
        <f>'NOI(M)'!EH24</f>
        <v>0</v>
      </c>
      <c r="EI29" s="171">
        <f>'NOI(M)'!EI24</f>
        <v>0</v>
      </c>
      <c r="EJ29" s="171">
        <f>'NOI(M)'!EJ24</f>
        <v>0</v>
      </c>
      <c r="EK29" s="171">
        <f>'NOI(M)'!EK24</f>
        <v>0</v>
      </c>
      <c r="EL29" s="171">
        <f>'NOI(M)'!EL24</f>
        <v>0</v>
      </c>
      <c r="EM29" s="171">
        <f>'NOI(M)'!EM24</f>
        <v>0</v>
      </c>
      <c r="EN29" s="171">
        <f>'NOI(M)'!EN24</f>
        <v>0</v>
      </c>
      <c r="EO29" s="171">
        <f>'NOI(M)'!EO24</f>
        <v>0</v>
      </c>
      <c r="EP29" s="171">
        <f>'NOI(M)'!EP24</f>
        <v>0</v>
      </c>
      <c r="EQ29" s="171">
        <f>'NOI(M)'!EQ24</f>
        <v>0</v>
      </c>
      <c r="ER29" s="171">
        <f>'NOI(M)'!ER24</f>
        <v>0</v>
      </c>
    </row>
    <row r="30" spans="2:148" ht="11.25" customHeight="1">
      <c r="B30" s="218"/>
      <c r="C30" s="163"/>
      <c r="D30" s="2100" t="s">
        <v>80</v>
      </c>
      <c r="I30" s="146"/>
      <c r="J30" s="13"/>
      <c r="K30" s="171">
        <f t="shared" si="19"/>
        <v>0</v>
      </c>
      <c r="L30" s="98"/>
      <c r="M30" s="171">
        <f>'NOI(M)'!M25</f>
        <v>0</v>
      </c>
      <c r="N30" s="171">
        <f>'NOI(M)'!N25</f>
        <v>0</v>
      </c>
      <c r="O30" s="171">
        <f>'NOI(M)'!O25</f>
        <v>0</v>
      </c>
      <c r="P30" s="171">
        <f>'NOI(M)'!P25</f>
        <v>0</v>
      </c>
      <c r="Q30" s="171">
        <f>'NOI(M)'!Q25</f>
        <v>0</v>
      </c>
      <c r="R30" s="171">
        <f>'NOI(M)'!R25</f>
        <v>0</v>
      </c>
      <c r="S30" s="171">
        <f>'NOI(M)'!S25</f>
        <v>0</v>
      </c>
      <c r="T30" s="171">
        <f>'NOI(M)'!T25</f>
        <v>0</v>
      </c>
      <c r="U30" s="171">
        <f>'NOI(M)'!U25</f>
        <v>0</v>
      </c>
      <c r="V30" s="171">
        <f>'NOI(M)'!V25</f>
        <v>0</v>
      </c>
      <c r="W30" s="171">
        <f>'NOI(M)'!W25</f>
        <v>0</v>
      </c>
      <c r="X30" s="171">
        <f>'NOI(M)'!X25</f>
        <v>0</v>
      </c>
      <c r="Y30" s="171">
        <f>'NOI(M)'!Y25</f>
        <v>0</v>
      </c>
      <c r="Z30" s="171">
        <f>'NOI(M)'!Z25</f>
        <v>0</v>
      </c>
      <c r="AA30" s="171">
        <f>'NOI(M)'!AA25</f>
        <v>0</v>
      </c>
      <c r="AB30" s="171">
        <f>'NOI(M)'!AB25</f>
        <v>0</v>
      </c>
      <c r="AC30" s="171">
        <f>'NOI(M)'!AC25</f>
        <v>0</v>
      </c>
      <c r="AD30" s="171">
        <f>'NOI(M)'!AD25</f>
        <v>0</v>
      </c>
      <c r="AE30" s="171">
        <f>'NOI(M)'!AE25</f>
        <v>0</v>
      </c>
      <c r="AF30" s="171">
        <f>'NOI(M)'!AF25</f>
        <v>0</v>
      </c>
      <c r="AG30" s="171">
        <f>'NOI(M)'!AG25</f>
        <v>0</v>
      </c>
      <c r="AH30" s="171">
        <f>'NOI(M)'!AH25</f>
        <v>0</v>
      </c>
      <c r="AI30" s="171">
        <f>'NOI(M)'!AI25</f>
        <v>0</v>
      </c>
      <c r="AJ30" s="171">
        <f>'NOI(M)'!AJ25</f>
        <v>0</v>
      </c>
      <c r="AK30" s="171">
        <f>'NOI(M)'!AK25</f>
        <v>0</v>
      </c>
      <c r="AL30" s="171">
        <f>'NOI(M)'!AL25</f>
        <v>0</v>
      </c>
      <c r="AM30" s="171">
        <f>'NOI(M)'!AM25</f>
        <v>0</v>
      </c>
      <c r="AN30" s="171">
        <f>'NOI(M)'!AN25</f>
        <v>0</v>
      </c>
      <c r="AO30" s="171">
        <f>'NOI(M)'!AO25</f>
        <v>0</v>
      </c>
      <c r="AP30" s="171">
        <f>'NOI(M)'!AP25</f>
        <v>0</v>
      </c>
      <c r="AQ30" s="171">
        <f>'NOI(M)'!AQ25</f>
        <v>0</v>
      </c>
      <c r="AR30" s="171">
        <f>'NOI(M)'!AR25</f>
        <v>0</v>
      </c>
      <c r="AS30" s="171">
        <f>'NOI(M)'!AS25</f>
        <v>0</v>
      </c>
      <c r="AT30" s="171">
        <f>'NOI(M)'!AT25</f>
        <v>0</v>
      </c>
      <c r="AU30" s="171">
        <f>'NOI(M)'!AU25</f>
        <v>0</v>
      </c>
      <c r="AV30" s="171">
        <f>'NOI(M)'!AV25</f>
        <v>0</v>
      </c>
      <c r="AW30" s="171">
        <f>'NOI(M)'!AW25</f>
        <v>0</v>
      </c>
      <c r="AX30" s="171">
        <f>'NOI(M)'!AX25</f>
        <v>0</v>
      </c>
      <c r="AY30" s="171">
        <f>'NOI(M)'!AY25</f>
        <v>0</v>
      </c>
      <c r="AZ30" s="171">
        <f>'NOI(M)'!AZ25</f>
        <v>0</v>
      </c>
      <c r="BA30" s="171">
        <f>'NOI(M)'!BA25</f>
        <v>0</v>
      </c>
      <c r="BB30" s="171">
        <f>'NOI(M)'!BB25</f>
        <v>0</v>
      </c>
      <c r="BC30" s="171">
        <f>'NOI(M)'!BC25</f>
        <v>0</v>
      </c>
      <c r="BD30" s="171">
        <f>'NOI(M)'!BD25</f>
        <v>0</v>
      </c>
      <c r="BE30" s="171">
        <f>'NOI(M)'!BE25</f>
        <v>0</v>
      </c>
      <c r="BF30" s="171">
        <f>'NOI(M)'!BF25</f>
        <v>0</v>
      </c>
      <c r="BG30" s="171">
        <f>'NOI(M)'!BG25</f>
        <v>0</v>
      </c>
      <c r="BH30" s="171">
        <f>'NOI(M)'!BH25</f>
        <v>0</v>
      </c>
      <c r="BI30" s="171">
        <f>'NOI(M)'!BI25</f>
        <v>0</v>
      </c>
      <c r="BJ30" s="171">
        <f>'NOI(M)'!BJ25</f>
        <v>0</v>
      </c>
      <c r="BK30" s="171">
        <f>'NOI(M)'!BK25</f>
        <v>0</v>
      </c>
      <c r="BL30" s="171">
        <f>'NOI(M)'!BL25</f>
        <v>0</v>
      </c>
      <c r="BM30" s="171">
        <f>'NOI(M)'!BM25</f>
        <v>0</v>
      </c>
      <c r="BN30" s="171">
        <f>'NOI(M)'!BN25</f>
        <v>0</v>
      </c>
      <c r="BO30" s="171">
        <f>'NOI(M)'!BO25</f>
        <v>0</v>
      </c>
      <c r="BP30" s="171">
        <f>'NOI(M)'!BP25</f>
        <v>0</v>
      </c>
      <c r="BQ30" s="171">
        <f>'NOI(M)'!BQ25</f>
        <v>0</v>
      </c>
      <c r="BR30" s="171">
        <f>'NOI(M)'!BR25</f>
        <v>0</v>
      </c>
      <c r="BS30" s="171">
        <f>'NOI(M)'!BS25</f>
        <v>0</v>
      </c>
      <c r="BT30" s="171">
        <f>'NOI(M)'!BT25</f>
        <v>0</v>
      </c>
      <c r="BU30" s="171">
        <f>'NOI(M)'!BU25</f>
        <v>0</v>
      </c>
      <c r="BV30" s="171">
        <f>'NOI(M)'!BV25</f>
        <v>0</v>
      </c>
      <c r="BW30" s="171">
        <f>'NOI(M)'!BW25</f>
        <v>0</v>
      </c>
      <c r="BX30" s="171">
        <f>'NOI(M)'!BX25</f>
        <v>0</v>
      </c>
      <c r="BY30" s="171">
        <f>'NOI(M)'!BY25</f>
        <v>0</v>
      </c>
      <c r="BZ30" s="171">
        <f>'NOI(M)'!BZ25</f>
        <v>0</v>
      </c>
      <c r="CA30" s="171">
        <f>'NOI(M)'!CA25</f>
        <v>0</v>
      </c>
      <c r="CB30" s="171">
        <f>'NOI(M)'!CB25</f>
        <v>0</v>
      </c>
      <c r="CC30" s="171">
        <f>'NOI(M)'!CC25</f>
        <v>0</v>
      </c>
      <c r="CD30" s="171">
        <f>'NOI(M)'!CD25</f>
        <v>0</v>
      </c>
      <c r="CE30" s="171">
        <f>'NOI(M)'!CE25</f>
        <v>0</v>
      </c>
      <c r="CF30" s="171">
        <f>'NOI(M)'!CF25</f>
        <v>0</v>
      </c>
      <c r="CG30" s="171">
        <f>'NOI(M)'!CG25</f>
        <v>0</v>
      </c>
      <c r="CH30" s="171">
        <f>'NOI(M)'!CH25</f>
        <v>0</v>
      </c>
      <c r="CI30" s="171">
        <f>'NOI(M)'!CI25</f>
        <v>0</v>
      </c>
      <c r="CJ30" s="171">
        <f>'NOI(M)'!CJ25</f>
        <v>0</v>
      </c>
      <c r="CK30" s="171">
        <f>'NOI(M)'!CK25</f>
        <v>0</v>
      </c>
      <c r="CL30" s="171">
        <f>'NOI(M)'!CL25</f>
        <v>0</v>
      </c>
      <c r="CM30" s="171">
        <f>'NOI(M)'!CM25</f>
        <v>0</v>
      </c>
      <c r="CN30" s="171">
        <f>'NOI(M)'!CN25</f>
        <v>0</v>
      </c>
      <c r="CO30" s="171">
        <f>'NOI(M)'!CO25</f>
        <v>0</v>
      </c>
      <c r="CP30" s="171">
        <f>'NOI(M)'!CP25</f>
        <v>0</v>
      </c>
      <c r="CQ30" s="171">
        <f>'NOI(M)'!CQ25</f>
        <v>0</v>
      </c>
      <c r="CR30" s="171">
        <f>'NOI(M)'!CR25</f>
        <v>0</v>
      </c>
      <c r="CS30" s="171">
        <f>'NOI(M)'!CS25</f>
        <v>0</v>
      </c>
      <c r="CT30" s="171">
        <f>'NOI(M)'!CT25</f>
        <v>0</v>
      </c>
      <c r="CU30" s="171">
        <f>'NOI(M)'!CU25</f>
        <v>0</v>
      </c>
      <c r="CV30" s="171">
        <f>'NOI(M)'!CV25</f>
        <v>0</v>
      </c>
      <c r="CW30" s="171">
        <f>'NOI(M)'!CW25</f>
        <v>0</v>
      </c>
      <c r="CX30" s="171">
        <f>'NOI(M)'!CX25</f>
        <v>0</v>
      </c>
      <c r="CY30" s="171">
        <f>'NOI(M)'!CY25</f>
        <v>0</v>
      </c>
      <c r="CZ30" s="171">
        <f>'NOI(M)'!CZ25</f>
        <v>0</v>
      </c>
      <c r="DA30" s="171">
        <f>'NOI(M)'!DA25</f>
        <v>0</v>
      </c>
      <c r="DB30" s="171">
        <f>'NOI(M)'!DB25</f>
        <v>0</v>
      </c>
      <c r="DC30" s="171">
        <f>'NOI(M)'!DC25</f>
        <v>0</v>
      </c>
      <c r="DD30" s="171">
        <f>'NOI(M)'!DD25</f>
        <v>0</v>
      </c>
      <c r="DE30" s="171">
        <f>'NOI(M)'!DE25</f>
        <v>0</v>
      </c>
      <c r="DF30" s="171">
        <f>'NOI(M)'!DF25</f>
        <v>0</v>
      </c>
      <c r="DG30" s="171">
        <f>'NOI(M)'!DG25</f>
        <v>0</v>
      </c>
      <c r="DH30" s="171">
        <f>'NOI(M)'!DH25</f>
        <v>0</v>
      </c>
      <c r="DI30" s="171">
        <f>'NOI(M)'!DI25</f>
        <v>0</v>
      </c>
      <c r="DJ30" s="171">
        <f>'NOI(M)'!DJ25</f>
        <v>0</v>
      </c>
      <c r="DK30" s="171">
        <f>'NOI(M)'!DK25</f>
        <v>0</v>
      </c>
      <c r="DL30" s="171">
        <f>'NOI(M)'!DL25</f>
        <v>0</v>
      </c>
      <c r="DM30" s="171">
        <f>'NOI(M)'!DM25</f>
        <v>0</v>
      </c>
      <c r="DN30" s="171">
        <f>'NOI(M)'!DN25</f>
        <v>0</v>
      </c>
      <c r="DO30" s="171">
        <f>'NOI(M)'!DO25</f>
        <v>0</v>
      </c>
      <c r="DP30" s="171">
        <f>'NOI(M)'!DP25</f>
        <v>0</v>
      </c>
      <c r="DQ30" s="171">
        <f>'NOI(M)'!DQ25</f>
        <v>0</v>
      </c>
      <c r="DR30" s="171">
        <f>'NOI(M)'!DR25</f>
        <v>0</v>
      </c>
      <c r="DS30" s="171">
        <f>'NOI(M)'!DS25</f>
        <v>0</v>
      </c>
      <c r="DT30" s="171">
        <f>'NOI(M)'!DT25</f>
        <v>0</v>
      </c>
      <c r="DU30" s="171">
        <f>'NOI(M)'!DU25</f>
        <v>0</v>
      </c>
      <c r="DV30" s="171">
        <f>'NOI(M)'!DV25</f>
        <v>0</v>
      </c>
      <c r="DW30" s="171">
        <f>'NOI(M)'!DW25</f>
        <v>0</v>
      </c>
      <c r="DX30" s="171">
        <f>'NOI(M)'!DX25</f>
        <v>0</v>
      </c>
      <c r="DY30" s="171">
        <f>'NOI(M)'!DY25</f>
        <v>0</v>
      </c>
      <c r="DZ30" s="171">
        <f>'NOI(M)'!DZ25</f>
        <v>0</v>
      </c>
      <c r="EA30" s="171">
        <f>'NOI(M)'!EA25</f>
        <v>0</v>
      </c>
      <c r="EB30" s="171">
        <f>'NOI(M)'!EB25</f>
        <v>0</v>
      </c>
      <c r="EC30" s="171">
        <f>'NOI(M)'!EC25</f>
        <v>0</v>
      </c>
      <c r="ED30" s="171">
        <f>'NOI(M)'!ED25</f>
        <v>0</v>
      </c>
      <c r="EE30" s="171">
        <f>'NOI(M)'!EE25</f>
        <v>0</v>
      </c>
      <c r="EF30" s="171">
        <f>'NOI(M)'!EF25</f>
        <v>0</v>
      </c>
      <c r="EG30" s="171">
        <f>'NOI(M)'!EG25</f>
        <v>0</v>
      </c>
      <c r="EH30" s="171">
        <f>'NOI(M)'!EH25</f>
        <v>0</v>
      </c>
      <c r="EI30" s="171">
        <f>'NOI(M)'!EI25</f>
        <v>0</v>
      </c>
      <c r="EJ30" s="171">
        <f>'NOI(M)'!EJ25</f>
        <v>0</v>
      </c>
      <c r="EK30" s="171">
        <f>'NOI(M)'!EK25</f>
        <v>0</v>
      </c>
      <c r="EL30" s="171">
        <f>'NOI(M)'!EL25</f>
        <v>0</v>
      </c>
      <c r="EM30" s="171">
        <f>'NOI(M)'!EM25</f>
        <v>0</v>
      </c>
      <c r="EN30" s="171">
        <f>'NOI(M)'!EN25</f>
        <v>0</v>
      </c>
      <c r="EO30" s="171">
        <f>'NOI(M)'!EO25</f>
        <v>0</v>
      </c>
      <c r="EP30" s="171">
        <f>'NOI(M)'!EP25</f>
        <v>0</v>
      </c>
      <c r="EQ30" s="171">
        <f>'NOI(M)'!EQ25</f>
        <v>0</v>
      </c>
      <c r="ER30" s="171">
        <f>'NOI(M)'!ER25</f>
        <v>0</v>
      </c>
    </row>
    <row r="31" spans="2:148" ht="11.25" customHeight="1">
      <c r="B31" s="218"/>
      <c r="C31" s="163"/>
      <c r="D31" s="2621" t="s">
        <v>83</v>
      </c>
      <c r="E31" s="2617"/>
      <c r="F31" s="2617"/>
      <c r="G31" s="2617"/>
      <c r="H31" s="2617"/>
      <c r="I31" s="2624"/>
      <c r="J31" s="2625"/>
      <c r="K31" s="2626">
        <f t="shared" si="19"/>
        <v>6789202.8330659764</v>
      </c>
      <c r="L31" s="98"/>
      <c r="M31" s="171">
        <f>'NOI(M)'!M26</f>
        <v>0</v>
      </c>
      <c r="N31" s="171">
        <f>'NOI(M)'!N26</f>
        <v>61857.058333333342</v>
      </c>
      <c r="O31" s="171">
        <f>'NOI(M)'!O26</f>
        <v>61857.058333333342</v>
      </c>
      <c r="P31" s="171">
        <f>'NOI(M)'!P26</f>
        <v>61857.058333333342</v>
      </c>
      <c r="Q31" s="171">
        <f>'NOI(M)'!Q26</f>
        <v>61857.058333333342</v>
      </c>
      <c r="R31" s="171">
        <f>'NOI(M)'!R26</f>
        <v>61857.058333333342</v>
      </c>
      <c r="S31" s="171">
        <f>'NOI(M)'!S26</f>
        <v>61857.058333333342</v>
      </c>
      <c r="T31" s="171">
        <f>'NOI(M)'!T26</f>
        <v>61857.058333333342</v>
      </c>
      <c r="U31" s="171">
        <f>'NOI(M)'!U26</f>
        <v>61857.058333333342</v>
      </c>
      <c r="V31" s="171">
        <f>'NOI(M)'!V26</f>
        <v>61857.058333333342</v>
      </c>
      <c r="W31" s="171">
        <f>'NOI(M)'!W26</f>
        <v>61857.058333333342</v>
      </c>
      <c r="X31" s="171">
        <f>'NOI(M)'!X26</f>
        <v>61857.058333333342</v>
      </c>
      <c r="Y31" s="171">
        <f>'NOI(M)'!Y26</f>
        <v>61857.058333333342</v>
      </c>
      <c r="Z31" s="171">
        <f>'NOI(M)'!Z26</f>
        <v>60619.917166666673</v>
      </c>
      <c r="AA31" s="171">
        <f>'NOI(M)'!AA26</f>
        <v>60619.917166666673</v>
      </c>
      <c r="AB31" s="171">
        <f>'NOI(M)'!AB26</f>
        <v>60619.917166666673</v>
      </c>
      <c r="AC31" s="171">
        <f>'NOI(M)'!AC26</f>
        <v>60619.917166666673</v>
      </c>
      <c r="AD31" s="171">
        <f>'NOI(M)'!AD26</f>
        <v>60619.917166666673</v>
      </c>
      <c r="AE31" s="171">
        <f>'NOI(M)'!AE26</f>
        <v>60619.917166666673</v>
      </c>
      <c r="AF31" s="171">
        <f>'NOI(M)'!AF26</f>
        <v>60619.917166666673</v>
      </c>
      <c r="AG31" s="171">
        <f>'NOI(M)'!AG26</f>
        <v>60619.917166666673</v>
      </c>
      <c r="AH31" s="171">
        <f>'NOI(M)'!AH26</f>
        <v>60619.917166666673</v>
      </c>
      <c r="AI31" s="171">
        <f>'NOI(M)'!AI26</f>
        <v>60619.917166666673</v>
      </c>
      <c r="AJ31" s="171">
        <f>'NOI(M)'!AJ26</f>
        <v>60619.917166666673</v>
      </c>
      <c r="AK31" s="171">
        <f>'NOI(M)'!AK26</f>
        <v>60619.917166666673</v>
      </c>
      <c r="AL31" s="171">
        <f>'NOI(M)'!AL26</f>
        <v>59407.518823333339</v>
      </c>
      <c r="AM31" s="171">
        <f>'NOI(M)'!AM26</f>
        <v>59407.518823333339</v>
      </c>
      <c r="AN31" s="171">
        <f>'NOI(M)'!AN26</f>
        <v>59407.518823333339</v>
      </c>
      <c r="AO31" s="171">
        <f>'NOI(M)'!AO26</f>
        <v>59407.518823333339</v>
      </c>
      <c r="AP31" s="171">
        <f>'NOI(M)'!AP26</f>
        <v>59407.518823333339</v>
      </c>
      <c r="AQ31" s="171">
        <f>'NOI(M)'!AQ26</f>
        <v>59407.518823333339</v>
      </c>
      <c r="AR31" s="171">
        <f>'NOI(M)'!AR26</f>
        <v>59407.518823333339</v>
      </c>
      <c r="AS31" s="171">
        <f>'NOI(M)'!AS26</f>
        <v>59407.518823333339</v>
      </c>
      <c r="AT31" s="171">
        <f>'NOI(M)'!AT26</f>
        <v>59407.518823333339</v>
      </c>
      <c r="AU31" s="171">
        <f>'NOI(M)'!AU26</f>
        <v>59407.518823333339</v>
      </c>
      <c r="AV31" s="171">
        <f>'NOI(M)'!AV26</f>
        <v>59407.518823333339</v>
      </c>
      <c r="AW31" s="171">
        <f>'NOI(M)'!AW26</f>
        <v>59407.518823333339</v>
      </c>
      <c r="AX31" s="171">
        <f>'NOI(M)'!AX26</f>
        <v>58219.368446866669</v>
      </c>
      <c r="AY31" s="171">
        <f>'NOI(M)'!AY26</f>
        <v>58219.368446866669</v>
      </c>
      <c r="AZ31" s="171">
        <f>'NOI(M)'!AZ26</f>
        <v>58219.368446866669</v>
      </c>
      <c r="BA31" s="171">
        <f>'NOI(M)'!BA26</f>
        <v>58219.368446866669</v>
      </c>
      <c r="BB31" s="171">
        <f>'NOI(M)'!BB26</f>
        <v>58219.368446866669</v>
      </c>
      <c r="BC31" s="171">
        <f>'NOI(M)'!BC26</f>
        <v>58219.368446866669</v>
      </c>
      <c r="BD31" s="171">
        <f>'NOI(M)'!BD26</f>
        <v>58219.368446866669</v>
      </c>
      <c r="BE31" s="171">
        <f>'NOI(M)'!BE26</f>
        <v>58219.368446866669</v>
      </c>
      <c r="BF31" s="171">
        <f>'NOI(M)'!BF26</f>
        <v>58219.368446866669</v>
      </c>
      <c r="BG31" s="171">
        <f>'NOI(M)'!BG26</f>
        <v>58219.368446866669</v>
      </c>
      <c r="BH31" s="171">
        <f>'NOI(M)'!BH26</f>
        <v>58219.368446866669</v>
      </c>
      <c r="BI31" s="171">
        <f>'NOI(M)'!BI26</f>
        <v>58219.368446866669</v>
      </c>
      <c r="BJ31" s="171">
        <f>'NOI(M)'!BJ26</f>
        <v>57054.981077929333</v>
      </c>
      <c r="BK31" s="171">
        <f>'NOI(M)'!BK26</f>
        <v>57054.981077929333</v>
      </c>
      <c r="BL31" s="171">
        <f>'NOI(M)'!BL26</f>
        <v>57054.981077929333</v>
      </c>
      <c r="BM31" s="171">
        <f>'NOI(M)'!BM26</f>
        <v>57054.981077929333</v>
      </c>
      <c r="BN31" s="171">
        <f>'NOI(M)'!BN26</f>
        <v>57054.981077929333</v>
      </c>
      <c r="BO31" s="171">
        <f>'NOI(M)'!BO26</f>
        <v>57054.981077929333</v>
      </c>
      <c r="BP31" s="171">
        <f>'NOI(M)'!BP26</f>
        <v>57054.981077929333</v>
      </c>
      <c r="BQ31" s="171">
        <f>'NOI(M)'!BQ26</f>
        <v>57054.981077929333</v>
      </c>
      <c r="BR31" s="171">
        <f>'NOI(M)'!BR26</f>
        <v>57054.981077929333</v>
      </c>
      <c r="BS31" s="171">
        <f>'NOI(M)'!BS26</f>
        <v>57054.981077929333</v>
      </c>
      <c r="BT31" s="171">
        <f>'NOI(M)'!BT26</f>
        <v>57054.981077929333</v>
      </c>
      <c r="BU31" s="171">
        <f>'NOI(M)'!BU26</f>
        <v>57054.981077929333</v>
      </c>
      <c r="BV31" s="171">
        <f>'NOI(M)'!BV26</f>
        <v>55913.881456370742</v>
      </c>
      <c r="BW31" s="171">
        <f>'NOI(M)'!BW26</f>
        <v>55913.881456370742</v>
      </c>
      <c r="BX31" s="171">
        <f>'NOI(M)'!BX26</f>
        <v>55913.881456370742</v>
      </c>
      <c r="BY31" s="171">
        <f>'NOI(M)'!BY26</f>
        <v>55913.881456370742</v>
      </c>
      <c r="BZ31" s="171">
        <f>'NOI(M)'!BZ26</f>
        <v>55913.881456370742</v>
      </c>
      <c r="CA31" s="171">
        <f>'NOI(M)'!CA26</f>
        <v>55913.881456370742</v>
      </c>
      <c r="CB31" s="171">
        <f>'NOI(M)'!CB26</f>
        <v>55913.881456370742</v>
      </c>
      <c r="CC31" s="171">
        <f>'NOI(M)'!CC26</f>
        <v>55913.881456370742</v>
      </c>
      <c r="CD31" s="171">
        <f>'NOI(M)'!CD26</f>
        <v>55913.881456370742</v>
      </c>
      <c r="CE31" s="171">
        <f>'NOI(M)'!CE26</f>
        <v>55913.881456370742</v>
      </c>
      <c r="CF31" s="171">
        <f>'NOI(M)'!CF26</f>
        <v>55913.881456370742</v>
      </c>
      <c r="CG31" s="171">
        <f>'NOI(M)'!CG26</f>
        <v>55913.881456370742</v>
      </c>
      <c r="CH31" s="171">
        <f>'NOI(M)'!CH26</f>
        <v>54795.603827243329</v>
      </c>
      <c r="CI31" s="171">
        <f>'NOI(M)'!CI26</f>
        <v>54795.603827243329</v>
      </c>
      <c r="CJ31" s="171">
        <f>'NOI(M)'!CJ26</f>
        <v>54795.603827243329</v>
      </c>
      <c r="CK31" s="171">
        <f>'NOI(M)'!CK26</f>
        <v>54795.603827243329</v>
      </c>
      <c r="CL31" s="171">
        <f>'NOI(M)'!CL26</f>
        <v>54795.603827243329</v>
      </c>
      <c r="CM31" s="171">
        <f>'NOI(M)'!CM26</f>
        <v>54795.603827243329</v>
      </c>
      <c r="CN31" s="171">
        <f>'NOI(M)'!CN26</f>
        <v>54795.603827243329</v>
      </c>
      <c r="CO31" s="171">
        <f>'NOI(M)'!CO26</f>
        <v>54795.603827243329</v>
      </c>
      <c r="CP31" s="171">
        <f>'NOI(M)'!CP26</f>
        <v>54795.603827243329</v>
      </c>
      <c r="CQ31" s="171">
        <f>'NOI(M)'!CQ26</f>
        <v>54795.603827243329</v>
      </c>
      <c r="CR31" s="171">
        <f>'NOI(M)'!CR26</f>
        <v>54795.603827243329</v>
      </c>
      <c r="CS31" s="171">
        <f>'NOI(M)'!CS26</f>
        <v>54795.603827243329</v>
      </c>
      <c r="CT31" s="171">
        <f>'NOI(M)'!CT26</f>
        <v>53699.691750698461</v>
      </c>
      <c r="CU31" s="171">
        <f>'NOI(M)'!CU26</f>
        <v>53699.691750698461</v>
      </c>
      <c r="CV31" s="171">
        <f>'NOI(M)'!CV26</f>
        <v>53699.691750698461</v>
      </c>
      <c r="CW31" s="171">
        <f>'NOI(M)'!CW26</f>
        <v>53699.691750698461</v>
      </c>
      <c r="CX31" s="171">
        <f>'NOI(M)'!CX26</f>
        <v>53699.691750698461</v>
      </c>
      <c r="CY31" s="171">
        <f>'NOI(M)'!CY26</f>
        <v>53699.691750698461</v>
      </c>
      <c r="CZ31" s="171">
        <f>'NOI(M)'!CZ26</f>
        <v>53699.691750698461</v>
      </c>
      <c r="DA31" s="171">
        <f>'NOI(M)'!DA26</f>
        <v>53699.691750698461</v>
      </c>
      <c r="DB31" s="171">
        <f>'NOI(M)'!DB26</f>
        <v>53699.691750698461</v>
      </c>
      <c r="DC31" s="171">
        <f>'NOI(M)'!DC26</f>
        <v>53699.691750698461</v>
      </c>
      <c r="DD31" s="171">
        <f>'NOI(M)'!DD26</f>
        <v>53699.691750698461</v>
      </c>
      <c r="DE31" s="171">
        <f>'NOI(M)'!DE26</f>
        <v>53699.691750698461</v>
      </c>
      <c r="DF31" s="171">
        <f>'NOI(M)'!DF26</f>
        <v>52625.69791568449</v>
      </c>
      <c r="DG31" s="171">
        <f>'NOI(M)'!DG26</f>
        <v>52625.69791568449</v>
      </c>
      <c r="DH31" s="171">
        <f>'NOI(M)'!DH26</f>
        <v>52625.69791568449</v>
      </c>
      <c r="DI31" s="171">
        <f>'NOI(M)'!DI26</f>
        <v>52625.69791568449</v>
      </c>
      <c r="DJ31" s="171">
        <f>'NOI(M)'!DJ26</f>
        <v>52625.69791568449</v>
      </c>
      <c r="DK31" s="171">
        <f>'NOI(M)'!DK26</f>
        <v>52625.69791568449</v>
      </c>
      <c r="DL31" s="171">
        <f>'NOI(M)'!DL26</f>
        <v>52625.69791568449</v>
      </c>
      <c r="DM31" s="171">
        <f>'NOI(M)'!DM26</f>
        <v>52625.69791568449</v>
      </c>
      <c r="DN31" s="171">
        <f>'NOI(M)'!DN26</f>
        <v>52625.69791568449</v>
      </c>
      <c r="DO31" s="171">
        <f>'NOI(M)'!DO26</f>
        <v>52625.69791568449</v>
      </c>
      <c r="DP31" s="171">
        <f>'NOI(M)'!DP26</f>
        <v>52625.69791568449</v>
      </c>
      <c r="DQ31" s="171">
        <f>'NOI(M)'!DQ26</f>
        <v>52625.69791568449</v>
      </c>
      <c r="DR31" s="171">
        <f>'NOI(M)'!DR26</f>
        <v>51573.183957370798</v>
      </c>
      <c r="DS31" s="171">
        <f>'NOI(M)'!DS26</f>
        <v>51573.183957370798</v>
      </c>
      <c r="DT31" s="171">
        <f>'NOI(M)'!DT26</f>
        <v>51573.183957370798</v>
      </c>
      <c r="DU31" s="171">
        <f>'NOI(M)'!DU26</f>
        <v>51573.183957370798</v>
      </c>
      <c r="DV31" s="171">
        <f>'NOI(M)'!DV26</f>
        <v>51573.183957370798</v>
      </c>
      <c r="DW31" s="171">
        <f>'NOI(M)'!DW26</f>
        <v>51573.183957370798</v>
      </c>
      <c r="DX31" s="171">
        <f>'NOI(M)'!DX26</f>
        <v>51573.183957370798</v>
      </c>
      <c r="DY31" s="171">
        <f>'NOI(M)'!DY26</f>
        <v>51573.183957370798</v>
      </c>
      <c r="DZ31" s="171">
        <f>'NOI(M)'!DZ26</f>
        <v>51573.183957370798</v>
      </c>
      <c r="EA31" s="171">
        <f>'NOI(M)'!EA26</f>
        <v>51573.183957370798</v>
      </c>
      <c r="EB31" s="171">
        <f>'NOI(M)'!EB26</f>
        <v>51573.183957370798</v>
      </c>
      <c r="EC31" s="171">
        <f>'NOI(M)'!EC26</f>
        <v>51573.183957370798</v>
      </c>
      <c r="ED31" s="171">
        <f>'NOI(M)'!ED26</f>
        <v>0</v>
      </c>
      <c r="EE31" s="171">
        <f>'NOI(M)'!EE26</f>
        <v>0</v>
      </c>
      <c r="EF31" s="171">
        <f>'NOI(M)'!EF26</f>
        <v>0</v>
      </c>
      <c r="EG31" s="171">
        <f>'NOI(M)'!EG26</f>
        <v>0</v>
      </c>
      <c r="EH31" s="171">
        <f>'NOI(M)'!EH26</f>
        <v>0</v>
      </c>
      <c r="EI31" s="171">
        <f>'NOI(M)'!EI26</f>
        <v>0</v>
      </c>
      <c r="EJ31" s="171">
        <f>'NOI(M)'!EJ26</f>
        <v>0</v>
      </c>
      <c r="EK31" s="171">
        <f>'NOI(M)'!EK26</f>
        <v>0</v>
      </c>
      <c r="EL31" s="171">
        <f>'NOI(M)'!EL26</f>
        <v>0</v>
      </c>
      <c r="EM31" s="171">
        <f>'NOI(M)'!EM26</f>
        <v>0</v>
      </c>
      <c r="EN31" s="171">
        <f>'NOI(M)'!EN26</f>
        <v>0</v>
      </c>
      <c r="EO31" s="171">
        <f>'NOI(M)'!EO26</f>
        <v>0</v>
      </c>
      <c r="EP31" s="171">
        <f>'NOI(M)'!EP26</f>
        <v>0</v>
      </c>
      <c r="EQ31" s="171">
        <f>'NOI(M)'!EQ26</f>
        <v>0</v>
      </c>
      <c r="ER31" s="171">
        <f>'NOI(M)'!ER26</f>
        <v>0</v>
      </c>
    </row>
    <row r="32" spans="2:148" ht="11.25" customHeight="1">
      <c r="B32" s="218"/>
      <c r="C32" s="163"/>
      <c r="D32" s="2100" t="s">
        <v>86</v>
      </c>
      <c r="I32" s="146"/>
      <c r="J32" s="13"/>
      <c r="K32" s="171">
        <f t="shared" si="19"/>
        <v>2258398.7897160519</v>
      </c>
      <c r="L32" s="98"/>
      <c r="M32" s="171">
        <f>'NOI(M)'!M27</f>
        <v>0</v>
      </c>
      <c r="N32" s="171">
        <f>'NOI(M)'!N27</f>
        <v>17187.643333333333</v>
      </c>
      <c r="O32" s="171">
        <f>'NOI(M)'!O27</f>
        <v>17187.643333333333</v>
      </c>
      <c r="P32" s="171">
        <f>'NOI(M)'!P27</f>
        <v>17187.643333333333</v>
      </c>
      <c r="Q32" s="171">
        <f>'NOI(M)'!Q27</f>
        <v>17187.643333333333</v>
      </c>
      <c r="R32" s="171">
        <f>'NOI(M)'!R27</f>
        <v>17187.643333333333</v>
      </c>
      <c r="S32" s="171">
        <f>'NOI(M)'!S27</f>
        <v>17187.643333333333</v>
      </c>
      <c r="T32" s="171">
        <f>'NOI(M)'!T27</f>
        <v>17187.643333333333</v>
      </c>
      <c r="U32" s="171">
        <f>'NOI(M)'!U27</f>
        <v>17187.643333333333</v>
      </c>
      <c r="V32" s="171">
        <f>'NOI(M)'!V27</f>
        <v>17187.643333333333</v>
      </c>
      <c r="W32" s="171">
        <f>'NOI(M)'!W27</f>
        <v>17187.643333333333</v>
      </c>
      <c r="X32" s="171">
        <f>'NOI(M)'!X27</f>
        <v>17187.643333333333</v>
      </c>
      <c r="Y32" s="171">
        <f>'NOI(M)'!Y27</f>
        <v>17187.643333333333</v>
      </c>
      <c r="Z32" s="171">
        <f>'NOI(M)'!Z27</f>
        <v>17531.396199999999</v>
      </c>
      <c r="AA32" s="171">
        <f>'NOI(M)'!AA27</f>
        <v>17531.396199999999</v>
      </c>
      <c r="AB32" s="171">
        <f>'NOI(M)'!AB27</f>
        <v>17531.396199999999</v>
      </c>
      <c r="AC32" s="171">
        <f>'NOI(M)'!AC27</f>
        <v>17531.396199999999</v>
      </c>
      <c r="AD32" s="171">
        <f>'NOI(M)'!AD27</f>
        <v>17531.396199999999</v>
      </c>
      <c r="AE32" s="171">
        <f>'NOI(M)'!AE27</f>
        <v>17531.396199999999</v>
      </c>
      <c r="AF32" s="171">
        <f>'NOI(M)'!AF27</f>
        <v>17531.396199999999</v>
      </c>
      <c r="AG32" s="171">
        <f>'NOI(M)'!AG27</f>
        <v>17531.396199999999</v>
      </c>
      <c r="AH32" s="171">
        <f>'NOI(M)'!AH27</f>
        <v>17531.396199999999</v>
      </c>
      <c r="AI32" s="171">
        <f>'NOI(M)'!AI27</f>
        <v>17531.396199999999</v>
      </c>
      <c r="AJ32" s="171">
        <f>'NOI(M)'!AJ27</f>
        <v>17531.396199999999</v>
      </c>
      <c r="AK32" s="171">
        <f>'NOI(M)'!AK27</f>
        <v>17531.396199999999</v>
      </c>
      <c r="AL32" s="171">
        <f>'NOI(M)'!AL27</f>
        <v>17882.024124</v>
      </c>
      <c r="AM32" s="171">
        <f>'NOI(M)'!AM27</f>
        <v>17882.024124</v>
      </c>
      <c r="AN32" s="171">
        <f>'NOI(M)'!AN27</f>
        <v>17882.024124</v>
      </c>
      <c r="AO32" s="171">
        <f>'NOI(M)'!AO27</f>
        <v>17882.024124</v>
      </c>
      <c r="AP32" s="171">
        <f>'NOI(M)'!AP27</f>
        <v>17882.024124</v>
      </c>
      <c r="AQ32" s="171">
        <f>'NOI(M)'!AQ27</f>
        <v>17882.024124</v>
      </c>
      <c r="AR32" s="171">
        <f>'NOI(M)'!AR27</f>
        <v>17882.024124</v>
      </c>
      <c r="AS32" s="171">
        <f>'NOI(M)'!AS27</f>
        <v>17882.024124</v>
      </c>
      <c r="AT32" s="171">
        <f>'NOI(M)'!AT27</f>
        <v>17882.024124</v>
      </c>
      <c r="AU32" s="171">
        <f>'NOI(M)'!AU27</f>
        <v>17882.024124</v>
      </c>
      <c r="AV32" s="171">
        <f>'NOI(M)'!AV27</f>
        <v>17882.024124</v>
      </c>
      <c r="AW32" s="171">
        <f>'NOI(M)'!AW27</f>
        <v>17882.024124</v>
      </c>
      <c r="AX32" s="171">
        <f>'NOI(M)'!AX27</f>
        <v>18239.664606480001</v>
      </c>
      <c r="AY32" s="171">
        <f>'NOI(M)'!AY27</f>
        <v>18239.664606480001</v>
      </c>
      <c r="AZ32" s="171">
        <f>'NOI(M)'!AZ27</f>
        <v>18239.664606480001</v>
      </c>
      <c r="BA32" s="171">
        <f>'NOI(M)'!BA27</f>
        <v>18239.664606480001</v>
      </c>
      <c r="BB32" s="171">
        <f>'NOI(M)'!BB27</f>
        <v>18239.664606480001</v>
      </c>
      <c r="BC32" s="171">
        <f>'NOI(M)'!BC27</f>
        <v>18239.664606480001</v>
      </c>
      <c r="BD32" s="171">
        <f>'NOI(M)'!BD27</f>
        <v>18239.664606480001</v>
      </c>
      <c r="BE32" s="171">
        <f>'NOI(M)'!BE27</f>
        <v>18239.664606480001</v>
      </c>
      <c r="BF32" s="171">
        <f>'NOI(M)'!BF27</f>
        <v>18239.664606480001</v>
      </c>
      <c r="BG32" s="171">
        <f>'NOI(M)'!BG27</f>
        <v>18239.664606480001</v>
      </c>
      <c r="BH32" s="171">
        <f>'NOI(M)'!BH27</f>
        <v>18239.664606480001</v>
      </c>
      <c r="BI32" s="171">
        <f>'NOI(M)'!BI27</f>
        <v>18239.664606480001</v>
      </c>
      <c r="BJ32" s="171">
        <f>'NOI(M)'!BJ27</f>
        <v>18604.457898609598</v>
      </c>
      <c r="BK32" s="171">
        <f>'NOI(M)'!BK27</f>
        <v>18604.457898609598</v>
      </c>
      <c r="BL32" s="171">
        <f>'NOI(M)'!BL27</f>
        <v>18604.457898609598</v>
      </c>
      <c r="BM32" s="171">
        <f>'NOI(M)'!BM27</f>
        <v>18604.457898609598</v>
      </c>
      <c r="BN32" s="171">
        <f>'NOI(M)'!BN27</f>
        <v>18604.457898609598</v>
      </c>
      <c r="BO32" s="171">
        <f>'NOI(M)'!BO27</f>
        <v>18604.457898609598</v>
      </c>
      <c r="BP32" s="171">
        <f>'NOI(M)'!BP27</f>
        <v>18604.457898609598</v>
      </c>
      <c r="BQ32" s="171">
        <f>'NOI(M)'!BQ27</f>
        <v>18604.457898609598</v>
      </c>
      <c r="BR32" s="171">
        <f>'NOI(M)'!BR27</f>
        <v>18604.457898609598</v>
      </c>
      <c r="BS32" s="171">
        <f>'NOI(M)'!BS27</f>
        <v>18604.457898609598</v>
      </c>
      <c r="BT32" s="171">
        <f>'NOI(M)'!BT27</f>
        <v>18604.457898609598</v>
      </c>
      <c r="BU32" s="171">
        <f>'NOI(M)'!BU27</f>
        <v>18604.457898609598</v>
      </c>
      <c r="BV32" s="171">
        <f>'NOI(M)'!BV27</f>
        <v>18976.547056581792</v>
      </c>
      <c r="BW32" s="171">
        <f>'NOI(M)'!BW27</f>
        <v>18976.547056581792</v>
      </c>
      <c r="BX32" s="171">
        <f>'NOI(M)'!BX27</f>
        <v>18976.547056581792</v>
      </c>
      <c r="BY32" s="171">
        <f>'NOI(M)'!BY27</f>
        <v>18976.547056581792</v>
      </c>
      <c r="BZ32" s="171">
        <f>'NOI(M)'!BZ27</f>
        <v>18976.547056581792</v>
      </c>
      <c r="CA32" s="171">
        <f>'NOI(M)'!CA27</f>
        <v>18976.547056581792</v>
      </c>
      <c r="CB32" s="171">
        <f>'NOI(M)'!CB27</f>
        <v>18976.547056581792</v>
      </c>
      <c r="CC32" s="171">
        <f>'NOI(M)'!CC27</f>
        <v>18976.547056581792</v>
      </c>
      <c r="CD32" s="171">
        <f>'NOI(M)'!CD27</f>
        <v>18976.547056581792</v>
      </c>
      <c r="CE32" s="171">
        <f>'NOI(M)'!CE27</f>
        <v>18976.547056581792</v>
      </c>
      <c r="CF32" s="171">
        <f>'NOI(M)'!CF27</f>
        <v>18976.547056581792</v>
      </c>
      <c r="CG32" s="171">
        <f>'NOI(M)'!CG27</f>
        <v>18976.547056581792</v>
      </c>
      <c r="CH32" s="171">
        <f>'NOI(M)'!CH27</f>
        <v>19356.07799771343</v>
      </c>
      <c r="CI32" s="171">
        <f>'NOI(M)'!CI27</f>
        <v>19356.07799771343</v>
      </c>
      <c r="CJ32" s="171">
        <f>'NOI(M)'!CJ27</f>
        <v>19356.07799771343</v>
      </c>
      <c r="CK32" s="171">
        <f>'NOI(M)'!CK27</f>
        <v>19356.07799771343</v>
      </c>
      <c r="CL32" s="171">
        <f>'NOI(M)'!CL27</f>
        <v>19356.07799771343</v>
      </c>
      <c r="CM32" s="171">
        <f>'NOI(M)'!CM27</f>
        <v>19356.07799771343</v>
      </c>
      <c r="CN32" s="171">
        <f>'NOI(M)'!CN27</f>
        <v>19356.07799771343</v>
      </c>
      <c r="CO32" s="171">
        <f>'NOI(M)'!CO27</f>
        <v>19356.07799771343</v>
      </c>
      <c r="CP32" s="171">
        <f>'NOI(M)'!CP27</f>
        <v>19356.07799771343</v>
      </c>
      <c r="CQ32" s="171">
        <f>'NOI(M)'!CQ27</f>
        <v>19356.07799771343</v>
      </c>
      <c r="CR32" s="171">
        <f>'NOI(M)'!CR27</f>
        <v>19356.07799771343</v>
      </c>
      <c r="CS32" s="171">
        <f>'NOI(M)'!CS27</f>
        <v>19356.07799771343</v>
      </c>
      <c r="CT32" s="171">
        <f>'NOI(M)'!CT27</f>
        <v>19743.199557667693</v>
      </c>
      <c r="CU32" s="171">
        <f>'NOI(M)'!CU27</f>
        <v>19743.199557667693</v>
      </c>
      <c r="CV32" s="171">
        <f>'NOI(M)'!CV27</f>
        <v>19743.199557667693</v>
      </c>
      <c r="CW32" s="171">
        <f>'NOI(M)'!CW27</f>
        <v>19743.199557667693</v>
      </c>
      <c r="CX32" s="171">
        <f>'NOI(M)'!CX27</f>
        <v>19743.199557667693</v>
      </c>
      <c r="CY32" s="171">
        <f>'NOI(M)'!CY27</f>
        <v>19743.199557667693</v>
      </c>
      <c r="CZ32" s="171">
        <f>'NOI(M)'!CZ27</f>
        <v>19743.199557667693</v>
      </c>
      <c r="DA32" s="171">
        <f>'NOI(M)'!DA27</f>
        <v>19743.199557667693</v>
      </c>
      <c r="DB32" s="171">
        <f>'NOI(M)'!DB27</f>
        <v>19743.199557667693</v>
      </c>
      <c r="DC32" s="171">
        <f>'NOI(M)'!DC27</f>
        <v>19743.199557667693</v>
      </c>
      <c r="DD32" s="171">
        <f>'NOI(M)'!DD27</f>
        <v>19743.199557667693</v>
      </c>
      <c r="DE32" s="171">
        <f>'NOI(M)'!DE27</f>
        <v>19743.199557667693</v>
      </c>
      <c r="DF32" s="171">
        <f>'NOI(M)'!DF27</f>
        <v>20138.06354882105</v>
      </c>
      <c r="DG32" s="171">
        <f>'NOI(M)'!DG27</f>
        <v>20138.06354882105</v>
      </c>
      <c r="DH32" s="171">
        <f>'NOI(M)'!DH27</f>
        <v>20138.06354882105</v>
      </c>
      <c r="DI32" s="171">
        <f>'NOI(M)'!DI27</f>
        <v>20138.06354882105</v>
      </c>
      <c r="DJ32" s="171">
        <f>'NOI(M)'!DJ27</f>
        <v>20138.06354882105</v>
      </c>
      <c r="DK32" s="171">
        <f>'NOI(M)'!DK27</f>
        <v>20138.06354882105</v>
      </c>
      <c r="DL32" s="171">
        <f>'NOI(M)'!DL27</f>
        <v>20138.06354882105</v>
      </c>
      <c r="DM32" s="171">
        <f>'NOI(M)'!DM27</f>
        <v>20138.06354882105</v>
      </c>
      <c r="DN32" s="171">
        <f>'NOI(M)'!DN27</f>
        <v>20138.06354882105</v>
      </c>
      <c r="DO32" s="171">
        <f>'NOI(M)'!DO27</f>
        <v>20138.06354882105</v>
      </c>
      <c r="DP32" s="171">
        <f>'NOI(M)'!DP27</f>
        <v>20138.06354882105</v>
      </c>
      <c r="DQ32" s="171">
        <f>'NOI(M)'!DQ27</f>
        <v>20138.06354882105</v>
      </c>
      <c r="DR32" s="171">
        <f>'NOI(M)'!DR27</f>
        <v>20540.824819797472</v>
      </c>
      <c r="DS32" s="171">
        <f>'NOI(M)'!DS27</f>
        <v>20540.824819797472</v>
      </c>
      <c r="DT32" s="171">
        <f>'NOI(M)'!DT27</f>
        <v>20540.824819797472</v>
      </c>
      <c r="DU32" s="171">
        <f>'NOI(M)'!DU27</f>
        <v>20540.824819797472</v>
      </c>
      <c r="DV32" s="171">
        <f>'NOI(M)'!DV27</f>
        <v>20540.824819797472</v>
      </c>
      <c r="DW32" s="171">
        <f>'NOI(M)'!DW27</f>
        <v>20540.824819797472</v>
      </c>
      <c r="DX32" s="171">
        <f>'NOI(M)'!DX27</f>
        <v>20540.824819797472</v>
      </c>
      <c r="DY32" s="171">
        <f>'NOI(M)'!DY27</f>
        <v>20540.824819797472</v>
      </c>
      <c r="DZ32" s="171">
        <f>'NOI(M)'!DZ27</f>
        <v>20540.824819797472</v>
      </c>
      <c r="EA32" s="171">
        <f>'NOI(M)'!EA27</f>
        <v>20540.824819797472</v>
      </c>
      <c r="EB32" s="171">
        <f>'NOI(M)'!EB27</f>
        <v>20540.824819797472</v>
      </c>
      <c r="EC32" s="171">
        <f>'NOI(M)'!EC27</f>
        <v>20540.824819797472</v>
      </c>
      <c r="ED32" s="171">
        <f>'NOI(M)'!ED27</f>
        <v>0</v>
      </c>
      <c r="EE32" s="171">
        <f>'NOI(M)'!EE27</f>
        <v>0</v>
      </c>
      <c r="EF32" s="171">
        <f>'NOI(M)'!EF27</f>
        <v>0</v>
      </c>
      <c r="EG32" s="171">
        <f>'NOI(M)'!EG27</f>
        <v>0</v>
      </c>
      <c r="EH32" s="171">
        <f>'NOI(M)'!EH27</f>
        <v>0</v>
      </c>
      <c r="EI32" s="171">
        <f>'NOI(M)'!EI27</f>
        <v>0</v>
      </c>
      <c r="EJ32" s="171">
        <f>'NOI(M)'!EJ27</f>
        <v>0</v>
      </c>
      <c r="EK32" s="171">
        <f>'NOI(M)'!EK27</f>
        <v>0</v>
      </c>
      <c r="EL32" s="171">
        <f>'NOI(M)'!EL27</f>
        <v>0</v>
      </c>
      <c r="EM32" s="171">
        <f>'NOI(M)'!EM27</f>
        <v>0</v>
      </c>
      <c r="EN32" s="171">
        <f>'NOI(M)'!EN27</f>
        <v>0</v>
      </c>
      <c r="EO32" s="171">
        <f>'NOI(M)'!EO27</f>
        <v>0</v>
      </c>
      <c r="EP32" s="171">
        <f>'NOI(M)'!EP27</f>
        <v>0</v>
      </c>
      <c r="EQ32" s="171">
        <f>'NOI(M)'!EQ27</f>
        <v>0</v>
      </c>
      <c r="ER32" s="171">
        <f>'NOI(M)'!ER27</f>
        <v>0</v>
      </c>
    </row>
    <row r="33" spans="2:148" ht="11.25" customHeight="1">
      <c r="B33" s="218"/>
      <c r="C33" s="163"/>
      <c r="D33" s="2100" t="s">
        <v>138</v>
      </c>
      <c r="I33" s="146"/>
      <c r="J33" s="13"/>
      <c r="K33" s="171">
        <f t="shared" si="19"/>
        <v>1412997.001159481</v>
      </c>
      <c r="L33" s="98"/>
      <c r="M33" s="171">
        <f>'NOI(M)'!M28</f>
        <v>0</v>
      </c>
      <c r="N33" s="171">
        <f>'NOI(M)'!N28</f>
        <v>10753.675833333333</v>
      </c>
      <c r="O33" s="171">
        <f>'NOI(M)'!O28</f>
        <v>10753.675833333333</v>
      </c>
      <c r="P33" s="171">
        <f>'NOI(M)'!P28</f>
        <v>10753.675833333333</v>
      </c>
      <c r="Q33" s="171">
        <f>'NOI(M)'!Q28</f>
        <v>10753.675833333333</v>
      </c>
      <c r="R33" s="171">
        <f>'NOI(M)'!R28</f>
        <v>10753.675833333333</v>
      </c>
      <c r="S33" s="171">
        <f>'NOI(M)'!S28</f>
        <v>10753.675833333333</v>
      </c>
      <c r="T33" s="171">
        <f>'NOI(M)'!T28</f>
        <v>10753.675833333333</v>
      </c>
      <c r="U33" s="171">
        <f>'NOI(M)'!U28</f>
        <v>10753.675833333333</v>
      </c>
      <c r="V33" s="171">
        <f>'NOI(M)'!V28</f>
        <v>10753.675833333333</v>
      </c>
      <c r="W33" s="171">
        <f>'NOI(M)'!W28</f>
        <v>10753.675833333333</v>
      </c>
      <c r="X33" s="171">
        <f>'NOI(M)'!X28</f>
        <v>10753.675833333333</v>
      </c>
      <c r="Y33" s="171">
        <f>'NOI(M)'!Y28</f>
        <v>10753.675833333333</v>
      </c>
      <c r="Z33" s="171">
        <f>'NOI(M)'!Z28</f>
        <v>10968.74935</v>
      </c>
      <c r="AA33" s="171">
        <f>'NOI(M)'!AA28</f>
        <v>10968.74935</v>
      </c>
      <c r="AB33" s="171">
        <f>'NOI(M)'!AB28</f>
        <v>10968.74935</v>
      </c>
      <c r="AC33" s="171">
        <f>'NOI(M)'!AC28</f>
        <v>10968.74935</v>
      </c>
      <c r="AD33" s="171">
        <f>'NOI(M)'!AD28</f>
        <v>10968.74935</v>
      </c>
      <c r="AE33" s="171">
        <f>'NOI(M)'!AE28</f>
        <v>10968.74935</v>
      </c>
      <c r="AF33" s="171">
        <f>'NOI(M)'!AF28</f>
        <v>10968.74935</v>
      </c>
      <c r="AG33" s="171">
        <f>'NOI(M)'!AG28</f>
        <v>10968.74935</v>
      </c>
      <c r="AH33" s="171">
        <f>'NOI(M)'!AH28</f>
        <v>10968.74935</v>
      </c>
      <c r="AI33" s="171">
        <f>'NOI(M)'!AI28</f>
        <v>10968.74935</v>
      </c>
      <c r="AJ33" s="171">
        <f>'NOI(M)'!AJ28</f>
        <v>10968.74935</v>
      </c>
      <c r="AK33" s="171">
        <f>'NOI(M)'!AK28</f>
        <v>10968.74935</v>
      </c>
      <c r="AL33" s="171">
        <f>'NOI(M)'!AL28</f>
        <v>11188.124336999999</v>
      </c>
      <c r="AM33" s="171">
        <f>'NOI(M)'!AM28</f>
        <v>11188.124336999999</v>
      </c>
      <c r="AN33" s="171">
        <f>'NOI(M)'!AN28</f>
        <v>11188.124336999999</v>
      </c>
      <c r="AO33" s="171">
        <f>'NOI(M)'!AO28</f>
        <v>11188.124336999999</v>
      </c>
      <c r="AP33" s="171">
        <f>'NOI(M)'!AP28</f>
        <v>11188.124336999999</v>
      </c>
      <c r="AQ33" s="171">
        <f>'NOI(M)'!AQ28</f>
        <v>11188.124336999999</v>
      </c>
      <c r="AR33" s="171">
        <f>'NOI(M)'!AR28</f>
        <v>11188.124336999999</v>
      </c>
      <c r="AS33" s="171">
        <f>'NOI(M)'!AS28</f>
        <v>11188.124336999999</v>
      </c>
      <c r="AT33" s="171">
        <f>'NOI(M)'!AT28</f>
        <v>11188.124336999999</v>
      </c>
      <c r="AU33" s="171">
        <f>'NOI(M)'!AU28</f>
        <v>11188.124336999999</v>
      </c>
      <c r="AV33" s="171">
        <f>'NOI(M)'!AV28</f>
        <v>11188.124336999999</v>
      </c>
      <c r="AW33" s="171">
        <f>'NOI(M)'!AW28</f>
        <v>11188.124336999999</v>
      </c>
      <c r="AX33" s="171">
        <f>'NOI(M)'!AX28</f>
        <v>11411.886823739998</v>
      </c>
      <c r="AY33" s="171">
        <f>'NOI(M)'!AY28</f>
        <v>11411.886823739998</v>
      </c>
      <c r="AZ33" s="171">
        <f>'NOI(M)'!AZ28</f>
        <v>11411.886823739998</v>
      </c>
      <c r="BA33" s="171">
        <f>'NOI(M)'!BA28</f>
        <v>11411.886823739998</v>
      </c>
      <c r="BB33" s="171">
        <f>'NOI(M)'!BB28</f>
        <v>11411.886823739998</v>
      </c>
      <c r="BC33" s="171">
        <f>'NOI(M)'!BC28</f>
        <v>11411.886823739998</v>
      </c>
      <c r="BD33" s="171">
        <f>'NOI(M)'!BD28</f>
        <v>11411.886823739998</v>
      </c>
      <c r="BE33" s="171">
        <f>'NOI(M)'!BE28</f>
        <v>11411.886823739998</v>
      </c>
      <c r="BF33" s="171">
        <f>'NOI(M)'!BF28</f>
        <v>11411.886823739998</v>
      </c>
      <c r="BG33" s="171">
        <f>'NOI(M)'!BG28</f>
        <v>11411.886823739998</v>
      </c>
      <c r="BH33" s="171">
        <f>'NOI(M)'!BH28</f>
        <v>11411.886823739998</v>
      </c>
      <c r="BI33" s="171">
        <f>'NOI(M)'!BI28</f>
        <v>11411.886823739998</v>
      </c>
      <c r="BJ33" s="171">
        <f>'NOI(M)'!BJ28</f>
        <v>11640.124560214799</v>
      </c>
      <c r="BK33" s="171">
        <f>'NOI(M)'!BK28</f>
        <v>11640.124560214799</v>
      </c>
      <c r="BL33" s="171">
        <f>'NOI(M)'!BL28</f>
        <v>11640.124560214799</v>
      </c>
      <c r="BM33" s="171">
        <f>'NOI(M)'!BM28</f>
        <v>11640.124560214799</v>
      </c>
      <c r="BN33" s="171">
        <f>'NOI(M)'!BN28</f>
        <v>11640.124560214799</v>
      </c>
      <c r="BO33" s="171">
        <f>'NOI(M)'!BO28</f>
        <v>11640.124560214799</v>
      </c>
      <c r="BP33" s="171">
        <f>'NOI(M)'!BP28</f>
        <v>11640.124560214799</v>
      </c>
      <c r="BQ33" s="171">
        <f>'NOI(M)'!BQ28</f>
        <v>11640.124560214799</v>
      </c>
      <c r="BR33" s="171">
        <f>'NOI(M)'!BR28</f>
        <v>11640.124560214799</v>
      </c>
      <c r="BS33" s="171">
        <f>'NOI(M)'!BS28</f>
        <v>11640.124560214799</v>
      </c>
      <c r="BT33" s="171">
        <f>'NOI(M)'!BT28</f>
        <v>11640.124560214799</v>
      </c>
      <c r="BU33" s="171">
        <f>'NOI(M)'!BU28</f>
        <v>11640.124560214799</v>
      </c>
      <c r="BV33" s="171">
        <f>'NOI(M)'!BV28</f>
        <v>11872.927051419096</v>
      </c>
      <c r="BW33" s="171">
        <f>'NOI(M)'!BW28</f>
        <v>11872.927051419096</v>
      </c>
      <c r="BX33" s="171">
        <f>'NOI(M)'!BX28</f>
        <v>11872.927051419096</v>
      </c>
      <c r="BY33" s="171">
        <f>'NOI(M)'!BY28</f>
        <v>11872.927051419096</v>
      </c>
      <c r="BZ33" s="171">
        <f>'NOI(M)'!BZ28</f>
        <v>11872.927051419096</v>
      </c>
      <c r="CA33" s="171">
        <f>'NOI(M)'!CA28</f>
        <v>11872.927051419096</v>
      </c>
      <c r="CB33" s="171">
        <f>'NOI(M)'!CB28</f>
        <v>11872.927051419096</v>
      </c>
      <c r="CC33" s="171">
        <f>'NOI(M)'!CC28</f>
        <v>11872.927051419096</v>
      </c>
      <c r="CD33" s="171">
        <f>'NOI(M)'!CD28</f>
        <v>11872.927051419096</v>
      </c>
      <c r="CE33" s="171">
        <f>'NOI(M)'!CE28</f>
        <v>11872.927051419096</v>
      </c>
      <c r="CF33" s="171">
        <f>'NOI(M)'!CF28</f>
        <v>11872.927051419096</v>
      </c>
      <c r="CG33" s="171">
        <f>'NOI(M)'!CG28</f>
        <v>11872.927051419096</v>
      </c>
      <c r="CH33" s="171">
        <f>'NOI(M)'!CH28</f>
        <v>12110.385592447477</v>
      </c>
      <c r="CI33" s="171">
        <f>'NOI(M)'!CI28</f>
        <v>12110.385592447477</v>
      </c>
      <c r="CJ33" s="171">
        <f>'NOI(M)'!CJ28</f>
        <v>12110.385592447477</v>
      </c>
      <c r="CK33" s="171">
        <f>'NOI(M)'!CK28</f>
        <v>12110.385592447477</v>
      </c>
      <c r="CL33" s="171">
        <f>'NOI(M)'!CL28</f>
        <v>12110.385592447477</v>
      </c>
      <c r="CM33" s="171">
        <f>'NOI(M)'!CM28</f>
        <v>12110.385592447477</v>
      </c>
      <c r="CN33" s="171">
        <f>'NOI(M)'!CN28</f>
        <v>12110.385592447477</v>
      </c>
      <c r="CO33" s="171">
        <f>'NOI(M)'!CO28</f>
        <v>12110.385592447477</v>
      </c>
      <c r="CP33" s="171">
        <f>'NOI(M)'!CP28</f>
        <v>12110.385592447477</v>
      </c>
      <c r="CQ33" s="171">
        <f>'NOI(M)'!CQ28</f>
        <v>12110.385592447477</v>
      </c>
      <c r="CR33" s="171">
        <f>'NOI(M)'!CR28</f>
        <v>12110.385592447477</v>
      </c>
      <c r="CS33" s="171">
        <f>'NOI(M)'!CS28</f>
        <v>12110.385592447477</v>
      </c>
      <c r="CT33" s="171">
        <f>'NOI(M)'!CT28</f>
        <v>12352.593304296424</v>
      </c>
      <c r="CU33" s="171">
        <f>'NOI(M)'!CU28</f>
        <v>12352.593304296424</v>
      </c>
      <c r="CV33" s="171">
        <f>'NOI(M)'!CV28</f>
        <v>12352.593304296424</v>
      </c>
      <c r="CW33" s="171">
        <f>'NOI(M)'!CW28</f>
        <v>12352.593304296424</v>
      </c>
      <c r="CX33" s="171">
        <f>'NOI(M)'!CX28</f>
        <v>12352.593304296424</v>
      </c>
      <c r="CY33" s="171">
        <f>'NOI(M)'!CY28</f>
        <v>12352.593304296424</v>
      </c>
      <c r="CZ33" s="171">
        <f>'NOI(M)'!CZ28</f>
        <v>12352.593304296424</v>
      </c>
      <c r="DA33" s="171">
        <f>'NOI(M)'!DA28</f>
        <v>12352.593304296424</v>
      </c>
      <c r="DB33" s="171">
        <f>'NOI(M)'!DB28</f>
        <v>12352.593304296424</v>
      </c>
      <c r="DC33" s="171">
        <f>'NOI(M)'!DC28</f>
        <v>12352.593304296424</v>
      </c>
      <c r="DD33" s="171">
        <f>'NOI(M)'!DD28</f>
        <v>12352.593304296424</v>
      </c>
      <c r="DE33" s="171">
        <f>'NOI(M)'!DE28</f>
        <v>12352.593304296424</v>
      </c>
      <c r="DF33" s="171">
        <f>'NOI(M)'!DF28</f>
        <v>12599.645170382355</v>
      </c>
      <c r="DG33" s="171">
        <f>'NOI(M)'!DG28</f>
        <v>12599.645170382355</v>
      </c>
      <c r="DH33" s="171">
        <f>'NOI(M)'!DH28</f>
        <v>12599.645170382355</v>
      </c>
      <c r="DI33" s="171">
        <f>'NOI(M)'!DI28</f>
        <v>12599.645170382355</v>
      </c>
      <c r="DJ33" s="171">
        <f>'NOI(M)'!DJ28</f>
        <v>12599.645170382355</v>
      </c>
      <c r="DK33" s="171">
        <f>'NOI(M)'!DK28</f>
        <v>12599.645170382355</v>
      </c>
      <c r="DL33" s="171">
        <f>'NOI(M)'!DL28</f>
        <v>12599.645170382355</v>
      </c>
      <c r="DM33" s="171">
        <f>'NOI(M)'!DM28</f>
        <v>12599.645170382355</v>
      </c>
      <c r="DN33" s="171">
        <f>'NOI(M)'!DN28</f>
        <v>12599.645170382355</v>
      </c>
      <c r="DO33" s="171">
        <f>'NOI(M)'!DO28</f>
        <v>12599.645170382355</v>
      </c>
      <c r="DP33" s="171">
        <f>'NOI(M)'!DP28</f>
        <v>12599.645170382355</v>
      </c>
      <c r="DQ33" s="171">
        <f>'NOI(M)'!DQ28</f>
        <v>12599.645170382355</v>
      </c>
      <c r="DR33" s="171">
        <f>'NOI(M)'!DR28</f>
        <v>12851.638073790002</v>
      </c>
      <c r="DS33" s="171">
        <f>'NOI(M)'!DS28</f>
        <v>12851.638073790002</v>
      </c>
      <c r="DT33" s="171">
        <f>'NOI(M)'!DT28</f>
        <v>12851.638073790002</v>
      </c>
      <c r="DU33" s="171">
        <f>'NOI(M)'!DU28</f>
        <v>12851.638073790002</v>
      </c>
      <c r="DV33" s="171">
        <f>'NOI(M)'!DV28</f>
        <v>12851.638073790002</v>
      </c>
      <c r="DW33" s="171">
        <f>'NOI(M)'!DW28</f>
        <v>12851.638073790002</v>
      </c>
      <c r="DX33" s="171">
        <f>'NOI(M)'!DX28</f>
        <v>12851.638073790002</v>
      </c>
      <c r="DY33" s="171">
        <f>'NOI(M)'!DY28</f>
        <v>12851.638073790002</v>
      </c>
      <c r="DZ33" s="171">
        <f>'NOI(M)'!DZ28</f>
        <v>12851.638073790002</v>
      </c>
      <c r="EA33" s="171">
        <f>'NOI(M)'!EA28</f>
        <v>12851.638073790002</v>
      </c>
      <c r="EB33" s="171">
        <f>'NOI(M)'!EB28</f>
        <v>12851.638073790002</v>
      </c>
      <c r="EC33" s="171">
        <f>'NOI(M)'!EC28</f>
        <v>12851.638073790002</v>
      </c>
      <c r="ED33" s="171">
        <f>'NOI(M)'!ED28</f>
        <v>0</v>
      </c>
      <c r="EE33" s="171">
        <f>'NOI(M)'!EE28</f>
        <v>0</v>
      </c>
      <c r="EF33" s="171">
        <f>'NOI(M)'!EF28</f>
        <v>0</v>
      </c>
      <c r="EG33" s="171">
        <f>'NOI(M)'!EG28</f>
        <v>0</v>
      </c>
      <c r="EH33" s="171">
        <f>'NOI(M)'!EH28</f>
        <v>0</v>
      </c>
      <c r="EI33" s="171">
        <f>'NOI(M)'!EI28</f>
        <v>0</v>
      </c>
      <c r="EJ33" s="171">
        <f>'NOI(M)'!EJ28</f>
        <v>0</v>
      </c>
      <c r="EK33" s="171">
        <f>'NOI(M)'!EK28</f>
        <v>0</v>
      </c>
      <c r="EL33" s="171">
        <f>'NOI(M)'!EL28</f>
        <v>0</v>
      </c>
      <c r="EM33" s="171">
        <f>'NOI(M)'!EM28</f>
        <v>0</v>
      </c>
      <c r="EN33" s="171">
        <f>'NOI(M)'!EN28</f>
        <v>0</v>
      </c>
      <c r="EO33" s="171">
        <f>'NOI(M)'!EO28</f>
        <v>0</v>
      </c>
      <c r="EP33" s="171">
        <f>'NOI(M)'!EP28</f>
        <v>0</v>
      </c>
      <c r="EQ33" s="171">
        <f>'NOI(M)'!EQ28</f>
        <v>0</v>
      </c>
      <c r="ER33" s="171">
        <f>'NOI(M)'!ER28</f>
        <v>0</v>
      </c>
    </row>
    <row r="34" spans="2:148" ht="11.25" customHeight="1">
      <c r="B34" s="218"/>
      <c r="C34" s="163"/>
      <c r="D34" s="2100" t="s">
        <v>92</v>
      </c>
      <c r="I34" s="146"/>
      <c r="J34" s="13"/>
      <c r="K34" s="171">
        <f t="shared" si="19"/>
        <v>3686229.9268934671</v>
      </c>
      <c r="L34" s="98"/>
      <c r="M34" s="171">
        <f>'NOI(M)'!M29</f>
        <v>0</v>
      </c>
      <c r="N34" s="171">
        <f>'NOI(M)'!N29</f>
        <v>32849.518333333333</v>
      </c>
      <c r="O34" s="171">
        <f>'NOI(M)'!O29</f>
        <v>32849.518333333333</v>
      </c>
      <c r="P34" s="171">
        <f>'NOI(M)'!P29</f>
        <v>32849.518333333333</v>
      </c>
      <c r="Q34" s="171">
        <f>'NOI(M)'!Q29</f>
        <v>32849.518333333333</v>
      </c>
      <c r="R34" s="171">
        <f>'NOI(M)'!R29</f>
        <v>32849.518333333333</v>
      </c>
      <c r="S34" s="171">
        <f>'NOI(M)'!S29</f>
        <v>32849.518333333333</v>
      </c>
      <c r="T34" s="171">
        <f>'NOI(M)'!T29</f>
        <v>32849.518333333333</v>
      </c>
      <c r="U34" s="171">
        <f>'NOI(M)'!U29</f>
        <v>32849.518333333333</v>
      </c>
      <c r="V34" s="171">
        <f>'NOI(M)'!V29</f>
        <v>32849.518333333333</v>
      </c>
      <c r="W34" s="171">
        <f>'NOI(M)'!W29</f>
        <v>32849.518333333333</v>
      </c>
      <c r="X34" s="171">
        <f>'NOI(M)'!X29</f>
        <v>32849.518333333333</v>
      </c>
      <c r="Y34" s="171">
        <f>'NOI(M)'!Y29</f>
        <v>32849.518333333333</v>
      </c>
      <c r="Z34" s="171">
        <f>'NOI(M)'!Z29</f>
        <v>32356.775558333335</v>
      </c>
      <c r="AA34" s="171">
        <f>'NOI(M)'!AA29</f>
        <v>32356.775558333335</v>
      </c>
      <c r="AB34" s="171">
        <f>'NOI(M)'!AB29</f>
        <v>32356.775558333335</v>
      </c>
      <c r="AC34" s="171">
        <f>'NOI(M)'!AC29</f>
        <v>32356.775558333335</v>
      </c>
      <c r="AD34" s="171">
        <f>'NOI(M)'!AD29</f>
        <v>32356.775558333335</v>
      </c>
      <c r="AE34" s="171">
        <f>'NOI(M)'!AE29</f>
        <v>32356.775558333335</v>
      </c>
      <c r="AF34" s="171">
        <f>'NOI(M)'!AF29</f>
        <v>32356.775558333335</v>
      </c>
      <c r="AG34" s="171">
        <f>'NOI(M)'!AG29</f>
        <v>32356.775558333335</v>
      </c>
      <c r="AH34" s="171">
        <f>'NOI(M)'!AH29</f>
        <v>32356.775558333335</v>
      </c>
      <c r="AI34" s="171">
        <f>'NOI(M)'!AI29</f>
        <v>32356.775558333335</v>
      </c>
      <c r="AJ34" s="171">
        <f>'NOI(M)'!AJ29</f>
        <v>32356.775558333335</v>
      </c>
      <c r="AK34" s="171">
        <f>'NOI(M)'!AK29</f>
        <v>32356.775558333335</v>
      </c>
      <c r="AL34" s="171">
        <f>'NOI(M)'!AL29</f>
        <v>31871.423924958333</v>
      </c>
      <c r="AM34" s="171">
        <f>'NOI(M)'!AM29</f>
        <v>31871.423924958333</v>
      </c>
      <c r="AN34" s="171">
        <f>'NOI(M)'!AN29</f>
        <v>31871.423924958333</v>
      </c>
      <c r="AO34" s="171">
        <f>'NOI(M)'!AO29</f>
        <v>31871.423924958333</v>
      </c>
      <c r="AP34" s="171">
        <f>'NOI(M)'!AP29</f>
        <v>31871.423924958333</v>
      </c>
      <c r="AQ34" s="171">
        <f>'NOI(M)'!AQ29</f>
        <v>31871.423924958333</v>
      </c>
      <c r="AR34" s="171">
        <f>'NOI(M)'!AR29</f>
        <v>31871.423924958333</v>
      </c>
      <c r="AS34" s="171">
        <f>'NOI(M)'!AS29</f>
        <v>31871.423924958333</v>
      </c>
      <c r="AT34" s="171">
        <f>'NOI(M)'!AT29</f>
        <v>31871.423924958333</v>
      </c>
      <c r="AU34" s="171">
        <f>'NOI(M)'!AU29</f>
        <v>31871.423924958333</v>
      </c>
      <c r="AV34" s="171">
        <f>'NOI(M)'!AV29</f>
        <v>31871.423924958333</v>
      </c>
      <c r="AW34" s="171">
        <f>'NOI(M)'!AW29</f>
        <v>31871.423924958333</v>
      </c>
      <c r="AX34" s="171">
        <f>'NOI(M)'!AX29</f>
        <v>31393.352566083959</v>
      </c>
      <c r="AY34" s="171">
        <f>'NOI(M)'!AY29</f>
        <v>31393.352566083959</v>
      </c>
      <c r="AZ34" s="171">
        <f>'NOI(M)'!AZ29</f>
        <v>31393.352566083959</v>
      </c>
      <c r="BA34" s="171">
        <f>'NOI(M)'!BA29</f>
        <v>31393.352566083959</v>
      </c>
      <c r="BB34" s="171">
        <f>'NOI(M)'!BB29</f>
        <v>31393.352566083959</v>
      </c>
      <c r="BC34" s="171">
        <f>'NOI(M)'!BC29</f>
        <v>31393.352566083959</v>
      </c>
      <c r="BD34" s="171">
        <f>'NOI(M)'!BD29</f>
        <v>31393.352566083959</v>
      </c>
      <c r="BE34" s="171">
        <f>'NOI(M)'!BE29</f>
        <v>31393.352566083959</v>
      </c>
      <c r="BF34" s="171">
        <f>'NOI(M)'!BF29</f>
        <v>31393.352566083959</v>
      </c>
      <c r="BG34" s="171">
        <f>'NOI(M)'!BG29</f>
        <v>31393.352566083959</v>
      </c>
      <c r="BH34" s="171">
        <f>'NOI(M)'!BH29</f>
        <v>31393.352566083959</v>
      </c>
      <c r="BI34" s="171">
        <f>'NOI(M)'!BI29</f>
        <v>31393.352566083959</v>
      </c>
      <c r="BJ34" s="171">
        <f>'NOI(M)'!BJ29</f>
        <v>30922.4522775927</v>
      </c>
      <c r="BK34" s="171">
        <f>'NOI(M)'!BK29</f>
        <v>30922.4522775927</v>
      </c>
      <c r="BL34" s="171">
        <f>'NOI(M)'!BL29</f>
        <v>30922.4522775927</v>
      </c>
      <c r="BM34" s="171">
        <f>'NOI(M)'!BM29</f>
        <v>30922.4522775927</v>
      </c>
      <c r="BN34" s="171">
        <f>'NOI(M)'!BN29</f>
        <v>30922.4522775927</v>
      </c>
      <c r="BO34" s="171">
        <f>'NOI(M)'!BO29</f>
        <v>30922.4522775927</v>
      </c>
      <c r="BP34" s="171">
        <f>'NOI(M)'!BP29</f>
        <v>30922.4522775927</v>
      </c>
      <c r="BQ34" s="171">
        <f>'NOI(M)'!BQ29</f>
        <v>30922.4522775927</v>
      </c>
      <c r="BR34" s="171">
        <f>'NOI(M)'!BR29</f>
        <v>30922.4522775927</v>
      </c>
      <c r="BS34" s="171">
        <f>'NOI(M)'!BS29</f>
        <v>30922.4522775927</v>
      </c>
      <c r="BT34" s="171">
        <f>'NOI(M)'!BT29</f>
        <v>30922.4522775927</v>
      </c>
      <c r="BU34" s="171">
        <f>'NOI(M)'!BU29</f>
        <v>30922.4522775927</v>
      </c>
      <c r="BV34" s="171">
        <f>'NOI(M)'!BV29</f>
        <v>30458.61549342881</v>
      </c>
      <c r="BW34" s="171">
        <f>'NOI(M)'!BW29</f>
        <v>30458.61549342881</v>
      </c>
      <c r="BX34" s="171">
        <f>'NOI(M)'!BX29</f>
        <v>30458.61549342881</v>
      </c>
      <c r="BY34" s="171">
        <f>'NOI(M)'!BY29</f>
        <v>30458.61549342881</v>
      </c>
      <c r="BZ34" s="171">
        <f>'NOI(M)'!BZ29</f>
        <v>30458.61549342881</v>
      </c>
      <c r="CA34" s="171">
        <f>'NOI(M)'!CA29</f>
        <v>30458.61549342881</v>
      </c>
      <c r="CB34" s="171">
        <f>'NOI(M)'!CB29</f>
        <v>30458.61549342881</v>
      </c>
      <c r="CC34" s="171">
        <f>'NOI(M)'!CC29</f>
        <v>30458.61549342881</v>
      </c>
      <c r="CD34" s="171">
        <f>'NOI(M)'!CD29</f>
        <v>30458.61549342881</v>
      </c>
      <c r="CE34" s="171">
        <f>'NOI(M)'!CE29</f>
        <v>30458.61549342881</v>
      </c>
      <c r="CF34" s="171">
        <f>'NOI(M)'!CF29</f>
        <v>30458.61549342881</v>
      </c>
      <c r="CG34" s="171">
        <f>'NOI(M)'!CG29</f>
        <v>30458.61549342881</v>
      </c>
      <c r="CH34" s="171">
        <f>'NOI(M)'!CH29</f>
        <v>30001.736261027378</v>
      </c>
      <c r="CI34" s="171">
        <f>'NOI(M)'!CI29</f>
        <v>30001.736261027378</v>
      </c>
      <c r="CJ34" s="171">
        <f>'NOI(M)'!CJ29</f>
        <v>30001.736261027378</v>
      </c>
      <c r="CK34" s="171">
        <f>'NOI(M)'!CK29</f>
        <v>30001.736261027378</v>
      </c>
      <c r="CL34" s="171">
        <f>'NOI(M)'!CL29</f>
        <v>30001.736261027378</v>
      </c>
      <c r="CM34" s="171">
        <f>'NOI(M)'!CM29</f>
        <v>30001.736261027378</v>
      </c>
      <c r="CN34" s="171">
        <f>'NOI(M)'!CN29</f>
        <v>30001.736261027378</v>
      </c>
      <c r="CO34" s="171">
        <f>'NOI(M)'!CO29</f>
        <v>30001.736261027378</v>
      </c>
      <c r="CP34" s="171">
        <f>'NOI(M)'!CP29</f>
        <v>30001.736261027378</v>
      </c>
      <c r="CQ34" s="171">
        <f>'NOI(M)'!CQ29</f>
        <v>30001.736261027378</v>
      </c>
      <c r="CR34" s="171">
        <f>'NOI(M)'!CR29</f>
        <v>30001.736261027378</v>
      </c>
      <c r="CS34" s="171">
        <f>'NOI(M)'!CS29</f>
        <v>30001.736261027378</v>
      </c>
      <c r="CT34" s="171">
        <f>'NOI(M)'!CT29</f>
        <v>29551.710217111966</v>
      </c>
      <c r="CU34" s="171">
        <f>'NOI(M)'!CU29</f>
        <v>29551.710217111966</v>
      </c>
      <c r="CV34" s="171">
        <f>'NOI(M)'!CV29</f>
        <v>29551.710217111966</v>
      </c>
      <c r="CW34" s="171">
        <f>'NOI(M)'!CW29</f>
        <v>29551.710217111966</v>
      </c>
      <c r="CX34" s="171">
        <f>'NOI(M)'!CX29</f>
        <v>29551.710217111966</v>
      </c>
      <c r="CY34" s="171">
        <f>'NOI(M)'!CY29</f>
        <v>29551.710217111966</v>
      </c>
      <c r="CZ34" s="171">
        <f>'NOI(M)'!CZ29</f>
        <v>29551.710217111966</v>
      </c>
      <c r="DA34" s="171">
        <f>'NOI(M)'!DA29</f>
        <v>29551.710217111966</v>
      </c>
      <c r="DB34" s="171">
        <f>'NOI(M)'!DB29</f>
        <v>29551.710217111966</v>
      </c>
      <c r="DC34" s="171">
        <f>'NOI(M)'!DC29</f>
        <v>29551.710217111966</v>
      </c>
      <c r="DD34" s="171">
        <f>'NOI(M)'!DD29</f>
        <v>29551.710217111966</v>
      </c>
      <c r="DE34" s="171">
        <f>'NOI(M)'!DE29</f>
        <v>29551.710217111966</v>
      </c>
      <c r="DF34" s="171">
        <f>'NOI(M)'!DF29</f>
        <v>29108.434563855288</v>
      </c>
      <c r="DG34" s="171">
        <f>'NOI(M)'!DG29</f>
        <v>29108.434563855288</v>
      </c>
      <c r="DH34" s="171">
        <f>'NOI(M)'!DH29</f>
        <v>29108.434563855288</v>
      </c>
      <c r="DI34" s="171">
        <f>'NOI(M)'!DI29</f>
        <v>29108.434563855288</v>
      </c>
      <c r="DJ34" s="171">
        <f>'NOI(M)'!DJ29</f>
        <v>29108.434563855288</v>
      </c>
      <c r="DK34" s="171">
        <f>'NOI(M)'!DK29</f>
        <v>29108.434563855288</v>
      </c>
      <c r="DL34" s="171">
        <f>'NOI(M)'!DL29</f>
        <v>29108.434563855288</v>
      </c>
      <c r="DM34" s="171">
        <f>'NOI(M)'!DM29</f>
        <v>29108.434563855288</v>
      </c>
      <c r="DN34" s="171">
        <f>'NOI(M)'!DN29</f>
        <v>29108.434563855288</v>
      </c>
      <c r="DO34" s="171">
        <f>'NOI(M)'!DO29</f>
        <v>29108.434563855288</v>
      </c>
      <c r="DP34" s="171">
        <f>'NOI(M)'!DP29</f>
        <v>29108.434563855288</v>
      </c>
      <c r="DQ34" s="171">
        <f>'NOI(M)'!DQ29</f>
        <v>29108.434563855288</v>
      </c>
      <c r="DR34" s="171">
        <f>'NOI(M)'!DR29</f>
        <v>28671.808045397458</v>
      </c>
      <c r="DS34" s="171">
        <f>'NOI(M)'!DS29</f>
        <v>28671.808045397458</v>
      </c>
      <c r="DT34" s="171">
        <f>'NOI(M)'!DT29</f>
        <v>28671.808045397458</v>
      </c>
      <c r="DU34" s="171">
        <f>'NOI(M)'!DU29</f>
        <v>28671.808045397458</v>
      </c>
      <c r="DV34" s="171">
        <f>'NOI(M)'!DV29</f>
        <v>28671.808045397458</v>
      </c>
      <c r="DW34" s="171">
        <f>'NOI(M)'!DW29</f>
        <v>28671.808045397458</v>
      </c>
      <c r="DX34" s="171">
        <f>'NOI(M)'!DX29</f>
        <v>28671.808045397458</v>
      </c>
      <c r="DY34" s="171">
        <f>'NOI(M)'!DY29</f>
        <v>28671.808045397458</v>
      </c>
      <c r="DZ34" s="171">
        <f>'NOI(M)'!DZ29</f>
        <v>28671.808045397458</v>
      </c>
      <c r="EA34" s="171">
        <f>'NOI(M)'!EA29</f>
        <v>28671.808045397458</v>
      </c>
      <c r="EB34" s="171">
        <f>'NOI(M)'!EB29</f>
        <v>28671.808045397458</v>
      </c>
      <c r="EC34" s="171">
        <f>'NOI(M)'!EC29</f>
        <v>28671.808045397458</v>
      </c>
      <c r="ED34" s="171">
        <f>'NOI(M)'!ED29</f>
        <v>0</v>
      </c>
      <c r="EE34" s="171">
        <f>'NOI(M)'!EE29</f>
        <v>0</v>
      </c>
      <c r="EF34" s="171">
        <f>'NOI(M)'!EF29</f>
        <v>0</v>
      </c>
      <c r="EG34" s="171">
        <f>'NOI(M)'!EG29</f>
        <v>0</v>
      </c>
      <c r="EH34" s="171">
        <f>'NOI(M)'!EH29</f>
        <v>0</v>
      </c>
      <c r="EI34" s="171">
        <f>'NOI(M)'!EI29</f>
        <v>0</v>
      </c>
      <c r="EJ34" s="171">
        <f>'NOI(M)'!EJ29</f>
        <v>0</v>
      </c>
      <c r="EK34" s="171">
        <f>'NOI(M)'!EK29</f>
        <v>0</v>
      </c>
      <c r="EL34" s="171">
        <f>'NOI(M)'!EL29</f>
        <v>0</v>
      </c>
      <c r="EM34" s="171">
        <f>'NOI(M)'!EM29</f>
        <v>0</v>
      </c>
      <c r="EN34" s="171">
        <f>'NOI(M)'!EN29</f>
        <v>0</v>
      </c>
      <c r="EO34" s="171">
        <f>'NOI(M)'!EO29</f>
        <v>0</v>
      </c>
      <c r="EP34" s="171">
        <f>'NOI(M)'!EP29</f>
        <v>0</v>
      </c>
      <c r="EQ34" s="171">
        <f>'NOI(M)'!EQ29</f>
        <v>0</v>
      </c>
      <c r="ER34" s="171">
        <f>'NOI(M)'!ER29</f>
        <v>0</v>
      </c>
    </row>
    <row r="35" spans="2:148" ht="11.25" customHeight="1">
      <c r="B35" s="218"/>
      <c r="C35" s="163"/>
      <c r="D35" s="2100" t="s">
        <v>93</v>
      </c>
      <c r="I35" s="146"/>
      <c r="J35" s="13"/>
      <c r="K35" s="171">
        <f t="shared" si="19"/>
        <v>0</v>
      </c>
      <c r="L35" s="98"/>
      <c r="M35" s="171">
        <f>'NOI(M)'!M30</f>
        <v>0</v>
      </c>
      <c r="N35" s="171">
        <f>'NOI(M)'!N30</f>
        <v>0</v>
      </c>
      <c r="O35" s="171">
        <f>'NOI(M)'!O30</f>
        <v>0</v>
      </c>
      <c r="P35" s="171">
        <f>'NOI(M)'!P30</f>
        <v>0</v>
      </c>
      <c r="Q35" s="171">
        <f>'NOI(M)'!Q30</f>
        <v>0</v>
      </c>
      <c r="R35" s="171">
        <f>'NOI(M)'!R30</f>
        <v>0</v>
      </c>
      <c r="S35" s="171">
        <f>'NOI(M)'!S30</f>
        <v>0</v>
      </c>
      <c r="T35" s="171">
        <f>'NOI(M)'!T30</f>
        <v>0</v>
      </c>
      <c r="U35" s="171">
        <f>'NOI(M)'!U30</f>
        <v>0</v>
      </c>
      <c r="V35" s="171">
        <f>'NOI(M)'!V30</f>
        <v>0</v>
      </c>
      <c r="W35" s="171">
        <f>'NOI(M)'!W30</f>
        <v>0</v>
      </c>
      <c r="X35" s="171">
        <f>'NOI(M)'!X30</f>
        <v>0</v>
      </c>
      <c r="Y35" s="171">
        <f>'NOI(M)'!Y30</f>
        <v>0</v>
      </c>
      <c r="Z35" s="171">
        <f>'NOI(M)'!Z30</f>
        <v>0</v>
      </c>
      <c r="AA35" s="171">
        <f>'NOI(M)'!AA30</f>
        <v>0</v>
      </c>
      <c r="AB35" s="171">
        <f>'NOI(M)'!AB30</f>
        <v>0</v>
      </c>
      <c r="AC35" s="171">
        <f>'NOI(M)'!AC30</f>
        <v>0</v>
      </c>
      <c r="AD35" s="171">
        <f>'NOI(M)'!AD30</f>
        <v>0</v>
      </c>
      <c r="AE35" s="171">
        <f>'NOI(M)'!AE30</f>
        <v>0</v>
      </c>
      <c r="AF35" s="171">
        <f>'NOI(M)'!AF30</f>
        <v>0</v>
      </c>
      <c r="AG35" s="171">
        <f>'NOI(M)'!AG30</f>
        <v>0</v>
      </c>
      <c r="AH35" s="171">
        <f>'NOI(M)'!AH30</f>
        <v>0</v>
      </c>
      <c r="AI35" s="171">
        <f>'NOI(M)'!AI30</f>
        <v>0</v>
      </c>
      <c r="AJ35" s="171">
        <f>'NOI(M)'!AJ30</f>
        <v>0</v>
      </c>
      <c r="AK35" s="171">
        <f>'NOI(M)'!AK30</f>
        <v>0</v>
      </c>
      <c r="AL35" s="171">
        <f>'NOI(M)'!AL30</f>
        <v>0</v>
      </c>
      <c r="AM35" s="171">
        <f>'NOI(M)'!AM30</f>
        <v>0</v>
      </c>
      <c r="AN35" s="171">
        <f>'NOI(M)'!AN30</f>
        <v>0</v>
      </c>
      <c r="AO35" s="171">
        <f>'NOI(M)'!AO30</f>
        <v>0</v>
      </c>
      <c r="AP35" s="171">
        <f>'NOI(M)'!AP30</f>
        <v>0</v>
      </c>
      <c r="AQ35" s="171">
        <f>'NOI(M)'!AQ30</f>
        <v>0</v>
      </c>
      <c r="AR35" s="171">
        <f>'NOI(M)'!AR30</f>
        <v>0</v>
      </c>
      <c r="AS35" s="171">
        <f>'NOI(M)'!AS30</f>
        <v>0</v>
      </c>
      <c r="AT35" s="171">
        <f>'NOI(M)'!AT30</f>
        <v>0</v>
      </c>
      <c r="AU35" s="171">
        <f>'NOI(M)'!AU30</f>
        <v>0</v>
      </c>
      <c r="AV35" s="171">
        <f>'NOI(M)'!AV30</f>
        <v>0</v>
      </c>
      <c r="AW35" s="171">
        <f>'NOI(M)'!AW30</f>
        <v>0</v>
      </c>
      <c r="AX35" s="171">
        <f>'NOI(M)'!AX30</f>
        <v>0</v>
      </c>
      <c r="AY35" s="171">
        <f>'NOI(M)'!AY30</f>
        <v>0</v>
      </c>
      <c r="AZ35" s="171">
        <f>'NOI(M)'!AZ30</f>
        <v>0</v>
      </c>
      <c r="BA35" s="171">
        <f>'NOI(M)'!BA30</f>
        <v>0</v>
      </c>
      <c r="BB35" s="171">
        <f>'NOI(M)'!BB30</f>
        <v>0</v>
      </c>
      <c r="BC35" s="171">
        <f>'NOI(M)'!BC30</f>
        <v>0</v>
      </c>
      <c r="BD35" s="171">
        <f>'NOI(M)'!BD30</f>
        <v>0</v>
      </c>
      <c r="BE35" s="171">
        <f>'NOI(M)'!BE30</f>
        <v>0</v>
      </c>
      <c r="BF35" s="171">
        <f>'NOI(M)'!BF30</f>
        <v>0</v>
      </c>
      <c r="BG35" s="171">
        <f>'NOI(M)'!BG30</f>
        <v>0</v>
      </c>
      <c r="BH35" s="171">
        <f>'NOI(M)'!BH30</f>
        <v>0</v>
      </c>
      <c r="BI35" s="171">
        <f>'NOI(M)'!BI30</f>
        <v>0</v>
      </c>
      <c r="BJ35" s="171">
        <f>'NOI(M)'!BJ30</f>
        <v>0</v>
      </c>
      <c r="BK35" s="171">
        <f>'NOI(M)'!BK30</f>
        <v>0</v>
      </c>
      <c r="BL35" s="171">
        <f>'NOI(M)'!BL30</f>
        <v>0</v>
      </c>
      <c r="BM35" s="171">
        <f>'NOI(M)'!BM30</f>
        <v>0</v>
      </c>
      <c r="BN35" s="171">
        <f>'NOI(M)'!BN30</f>
        <v>0</v>
      </c>
      <c r="BO35" s="171">
        <f>'NOI(M)'!BO30</f>
        <v>0</v>
      </c>
      <c r="BP35" s="171">
        <f>'NOI(M)'!BP30</f>
        <v>0</v>
      </c>
      <c r="BQ35" s="171">
        <f>'NOI(M)'!BQ30</f>
        <v>0</v>
      </c>
      <c r="BR35" s="171">
        <f>'NOI(M)'!BR30</f>
        <v>0</v>
      </c>
      <c r="BS35" s="171">
        <f>'NOI(M)'!BS30</f>
        <v>0</v>
      </c>
      <c r="BT35" s="171">
        <f>'NOI(M)'!BT30</f>
        <v>0</v>
      </c>
      <c r="BU35" s="171">
        <f>'NOI(M)'!BU30</f>
        <v>0</v>
      </c>
      <c r="BV35" s="171">
        <f>'NOI(M)'!BV30</f>
        <v>0</v>
      </c>
      <c r="BW35" s="171">
        <f>'NOI(M)'!BW30</f>
        <v>0</v>
      </c>
      <c r="BX35" s="171">
        <f>'NOI(M)'!BX30</f>
        <v>0</v>
      </c>
      <c r="BY35" s="171">
        <f>'NOI(M)'!BY30</f>
        <v>0</v>
      </c>
      <c r="BZ35" s="171">
        <f>'NOI(M)'!BZ30</f>
        <v>0</v>
      </c>
      <c r="CA35" s="171">
        <f>'NOI(M)'!CA30</f>
        <v>0</v>
      </c>
      <c r="CB35" s="171">
        <f>'NOI(M)'!CB30</f>
        <v>0</v>
      </c>
      <c r="CC35" s="171">
        <f>'NOI(M)'!CC30</f>
        <v>0</v>
      </c>
      <c r="CD35" s="171">
        <f>'NOI(M)'!CD30</f>
        <v>0</v>
      </c>
      <c r="CE35" s="171">
        <f>'NOI(M)'!CE30</f>
        <v>0</v>
      </c>
      <c r="CF35" s="171">
        <f>'NOI(M)'!CF30</f>
        <v>0</v>
      </c>
      <c r="CG35" s="171">
        <f>'NOI(M)'!CG30</f>
        <v>0</v>
      </c>
      <c r="CH35" s="171">
        <f>'NOI(M)'!CH30</f>
        <v>0</v>
      </c>
      <c r="CI35" s="171">
        <f>'NOI(M)'!CI30</f>
        <v>0</v>
      </c>
      <c r="CJ35" s="171">
        <f>'NOI(M)'!CJ30</f>
        <v>0</v>
      </c>
      <c r="CK35" s="171">
        <f>'NOI(M)'!CK30</f>
        <v>0</v>
      </c>
      <c r="CL35" s="171">
        <f>'NOI(M)'!CL30</f>
        <v>0</v>
      </c>
      <c r="CM35" s="171">
        <f>'NOI(M)'!CM30</f>
        <v>0</v>
      </c>
      <c r="CN35" s="171">
        <f>'NOI(M)'!CN30</f>
        <v>0</v>
      </c>
      <c r="CO35" s="171">
        <f>'NOI(M)'!CO30</f>
        <v>0</v>
      </c>
      <c r="CP35" s="171">
        <f>'NOI(M)'!CP30</f>
        <v>0</v>
      </c>
      <c r="CQ35" s="171">
        <f>'NOI(M)'!CQ30</f>
        <v>0</v>
      </c>
      <c r="CR35" s="171">
        <f>'NOI(M)'!CR30</f>
        <v>0</v>
      </c>
      <c r="CS35" s="171">
        <f>'NOI(M)'!CS30</f>
        <v>0</v>
      </c>
      <c r="CT35" s="171">
        <f>'NOI(M)'!CT30</f>
        <v>0</v>
      </c>
      <c r="CU35" s="171">
        <f>'NOI(M)'!CU30</f>
        <v>0</v>
      </c>
      <c r="CV35" s="171">
        <f>'NOI(M)'!CV30</f>
        <v>0</v>
      </c>
      <c r="CW35" s="171">
        <f>'NOI(M)'!CW30</f>
        <v>0</v>
      </c>
      <c r="CX35" s="171">
        <f>'NOI(M)'!CX30</f>
        <v>0</v>
      </c>
      <c r="CY35" s="171">
        <f>'NOI(M)'!CY30</f>
        <v>0</v>
      </c>
      <c r="CZ35" s="171">
        <f>'NOI(M)'!CZ30</f>
        <v>0</v>
      </c>
      <c r="DA35" s="171">
        <f>'NOI(M)'!DA30</f>
        <v>0</v>
      </c>
      <c r="DB35" s="171">
        <f>'NOI(M)'!DB30</f>
        <v>0</v>
      </c>
      <c r="DC35" s="171">
        <f>'NOI(M)'!DC30</f>
        <v>0</v>
      </c>
      <c r="DD35" s="171">
        <f>'NOI(M)'!DD30</f>
        <v>0</v>
      </c>
      <c r="DE35" s="171">
        <f>'NOI(M)'!DE30</f>
        <v>0</v>
      </c>
      <c r="DF35" s="171">
        <f>'NOI(M)'!DF30</f>
        <v>0</v>
      </c>
      <c r="DG35" s="171">
        <f>'NOI(M)'!DG30</f>
        <v>0</v>
      </c>
      <c r="DH35" s="171">
        <f>'NOI(M)'!DH30</f>
        <v>0</v>
      </c>
      <c r="DI35" s="171">
        <f>'NOI(M)'!DI30</f>
        <v>0</v>
      </c>
      <c r="DJ35" s="171">
        <f>'NOI(M)'!DJ30</f>
        <v>0</v>
      </c>
      <c r="DK35" s="171">
        <f>'NOI(M)'!DK30</f>
        <v>0</v>
      </c>
      <c r="DL35" s="171">
        <f>'NOI(M)'!DL30</f>
        <v>0</v>
      </c>
      <c r="DM35" s="171">
        <f>'NOI(M)'!DM30</f>
        <v>0</v>
      </c>
      <c r="DN35" s="171">
        <f>'NOI(M)'!DN30</f>
        <v>0</v>
      </c>
      <c r="DO35" s="171">
        <f>'NOI(M)'!DO30</f>
        <v>0</v>
      </c>
      <c r="DP35" s="171">
        <f>'NOI(M)'!DP30</f>
        <v>0</v>
      </c>
      <c r="DQ35" s="171">
        <f>'NOI(M)'!DQ30</f>
        <v>0</v>
      </c>
      <c r="DR35" s="171">
        <f>'NOI(M)'!DR30</f>
        <v>0</v>
      </c>
      <c r="DS35" s="171">
        <f>'NOI(M)'!DS30</f>
        <v>0</v>
      </c>
      <c r="DT35" s="171">
        <f>'NOI(M)'!DT30</f>
        <v>0</v>
      </c>
      <c r="DU35" s="171">
        <f>'NOI(M)'!DU30</f>
        <v>0</v>
      </c>
      <c r="DV35" s="171">
        <f>'NOI(M)'!DV30</f>
        <v>0</v>
      </c>
      <c r="DW35" s="171">
        <f>'NOI(M)'!DW30</f>
        <v>0</v>
      </c>
      <c r="DX35" s="171">
        <f>'NOI(M)'!DX30</f>
        <v>0</v>
      </c>
      <c r="DY35" s="171">
        <f>'NOI(M)'!DY30</f>
        <v>0</v>
      </c>
      <c r="DZ35" s="171">
        <f>'NOI(M)'!DZ30</f>
        <v>0</v>
      </c>
      <c r="EA35" s="171">
        <f>'NOI(M)'!EA30</f>
        <v>0</v>
      </c>
      <c r="EB35" s="171">
        <f>'NOI(M)'!EB30</f>
        <v>0</v>
      </c>
      <c r="EC35" s="171">
        <f>'NOI(M)'!EC30</f>
        <v>0</v>
      </c>
      <c r="ED35" s="171">
        <f>'NOI(M)'!ED30</f>
        <v>0</v>
      </c>
      <c r="EE35" s="171">
        <f>'NOI(M)'!EE30</f>
        <v>0</v>
      </c>
      <c r="EF35" s="171">
        <f>'NOI(M)'!EF30</f>
        <v>0</v>
      </c>
      <c r="EG35" s="171">
        <f>'NOI(M)'!EG30</f>
        <v>0</v>
      </c>
      <c r="EH35" s="171">
        <f>'NOI(M)'!EH30</f>
        <v>0</v>
      </c>
      <c r="EI35" s="171">
        <f>'NOI(M)'!EI30</f>
        <v>0</v>
      </c>
      <c r="EJ35" s="171">
        <f>'NOI(M)'!EJ30</f>
        <v>0</v>
      </c>
      <c r="EK35" s="171">
        <f>'NOI(M)'!EK30</f>
        <v>0</v>
      </c>
      <c r="EL35" s="171">
        <f>'NOI(M)'!EL30</f>
        <v>0</v>
      </c>
      <c r="EM35" s="171">
        <f>'NOI(M)'!EM30</f>
        <v>0</v>
      </c>
      <c r="EN35" s="171">
        <f>'NOI(M)'!EN30</f>
        <v>0</v>
      </c>
      <c r="EO35" s="171">
        <f>'NOI(M)'!EO30</f>
        <v>0</v>
      </c>
      <c r="EP35" s="171">
        <f>'NOI(M)'!EP30</f>
        <v>0</v>
      </c>
      <c r="EQ35" s="171">
        <f>'NOI(M)'!EQ30</f>
        <v>0</v>
      </c>
      <c r="ER35" s="171">
        <f>'NOI(M)'!ER30</f>
        <v>0</v>
      </c>
    </row>
    <row r="36" spans="2:148" ht="11.25" customHeight="1">
      <c r="B36" s="218"/>
      <c r="C36" s="163"/>
      <c r="D36" s="2100" t="s">
        <v>99</v>
      </c>
      <c r="I36" s="146"/>
      <c r="J36" s="13"/>
      <c r="K36" s="171">
        <f t="shared" si="19"/>
        <v>208948.32972199976</v>
      </c>
      <c r="L36" s="98"/>
      <c r="M36" s="171">
        <f>'NOI(M)'!M31</f>
        <v>0</v>
      </c>
      <c r="N36" s="171">
        <f>'NOI(M)'!N31</f>
        <v>1741.2360810166667</v>
      </c>
      <c r="O36" s="171">
        <f>'NOI(M)'!O31</f>
        <v>1741.2360810166667</v>
      </c>
      <c r="P36" s="171">
        <f>'NOI(M)'!P31</f>
        <v>1741.2360810166667</v>
      </c>
      <c r="Q36" s="171">
        <f>'NOI(M)'!Q31</f>
        <v>1741.2360810166667</v>
      </c>
      <c r="R36" s="171">
        <f>'NOI(M)'!R31</f>
        <v>1741.2360810166667</v>
      </c>
      <c r="S36" s="171">
        <f>'NOI(M)'!S31</f>
        <v>1741.2360810166667</v>
      </c>
      <c r="T36" s="171">
        <f>'NOI(M)'!T31</f>
        <v>1741.2360810166667</v>
      </c>
      <c r="U36" s="171">
        <f>'NOI(M)'!U31</f>
        <v>1741.2360810166667</v>
      </c>
      <c r="V36" s="171">
        <f>'NOI(M)'!V31</f>
        <v>1741.2360810166667</v>
      </c>
      <c r="W36" s="171">
        <f>'NOI(M)'!W31</f>
        <v>1741.2360810166667</v>
      </c>
      <c r="X36" s="171">
        <f>'NOI(M)'!X31</f>
        <v>1741.2360810166667</v>
      </c>
      <c r="Y36" s="171">
        <f>'NOI(M)'!Y31</f>
        <v>1741.2360810166667</v>
      </c>
      <c r="Z36" s="171">
        <f>'NOI(M)'!Z31</f>
        <v>1741.2360810166667</v>
      </c>
      <c r="AA36" s="171">
        <f>'NOI(M)'!AA31</f>
        <v>1741.2360810166667</v>
      </c>
      <c r="AB36" s="171">
        <f>'NOI(M)'!AB31</f>
        <v>1741.2360810166667</v>
      </c>
      <c r="AC36" s="171">
        <f>'NOI(M)'!AC31</f>
        <v>1741.2360810166667</v>
      </c>
      <c r="AD36" s="171">
        <f>'NOI(M)'!AD31</f>
        <v>1741.2360810166667</v>
      </c>
      <c r="AE36" s="171">
        <f>'NOI(M)'!AE31</f>
        <v>1741.2360810166667</v>
      </c>
      <c r="AF36" s="171">
        <f>'NOI(M)'!AF31</f>
        <v>1741.2360810166667</v>
      </c>
      <c r="AG36" s="171">
        <f>'NOI(M)'!AG31</f>
        <v>1741.2360810166667</v>
      </c>
      <c r="AH36" s="171">
        <f>'NOI(M)'!AH31</f>
        <v>1741.2360810166667</v>
      </c>
      <c r="AI36" s="171">
        <f>'NOI(M)'!AI31</f>
        <v>1741.2360810166667</v>
      </c>
      <c r="AJ36" s="171">
        <f>'NOI(M)'!AJ31</f>
        <v>1741.2360810166667</v>
      </c>
      <c r="AK36" s="171">
        <f>'NOI(M)'!AK31</f>
        <v>1741.2360810166667</v>
      </c>
      <c r="AL36" s="171">
        <f>'NOI(M)'!AL31</f>
        <v>1741.2360810166667</v>
      </c>
      <c r="AM36" s="171">
        <f>'NOI(M)'!AM31</f>
        <v>1741.2360810166667</v>
      </c>
      <c r="AN36" s="171">
        <f>'NOI(M)'!AN31</f>
        <v>1741.2360810166667</v>
      </c>
      <c r="AO36" s="171">
        <f>'NOI(M)'!AO31</f>
        <v>1741.2360810166667</v>
      </c>
      <c r="AP36" s="171">
        <f>'NOI(M)'!AP31</f>
        <v>1741.2360810166667</v>
      </c>
      <c r="AQ36" s="171">
        <f>'NOI(M)'!AQ31</f>
        <v>1741.2360810166667</v>
      </c>
      <c r="AR36" s="171">
        <f>'NOI(M)'!AR31</f>
        <v>1741.2360810166667</v>
      </c>
      <c r="AS36" s="171">
        <f>'NOI(M)'!AS31</f>
        <v>1741.2360810166667</v>
      </c>
      <c r="AT36" s="171">
        <f>'NOI(M)'!AT31</f>
        <v>1741.2360810166667</v>
      </c>
      <c r="AU36" s="171">
        <f>'NOI(M)'!AU31</f>
        <v>1741.2360810166667</v>
      </c>
      <c r="AV36" s="171">
        <f>'NOI(M)'!AV31</f>
        <v>1741.2360810166667</v>
      </c>
      <c r="AW36" s="171">
        <f>'NOI(M)'!AW31</f>
        <v>1741.2360810166667</v>
      </c>
      <c r="AX36" s="171">
        <f>'NOI(M)'!AX31</f>
        <v>1741.2360810166667</v>
      </c>
      <c r="AY36" s="171">
        <f>'NOI(M)'!AY31</f>
        <v>1741.2360810166667</v>
      </c>
      <c r="AZ36" s="171">
        <f>'NOI(M)'!AZ31</f>
        <v>1741.2360810166667</v>
      </c>
      <c r="BA36" s="171">
        <f>'NOI(M)'!BA31</f>
        <v>1741.2360810166667</v>
      </c>
      <c r="BB36" s="171">
        <f>'NOI(M)'!BB31</f>
        <v>1741.2360810166667</v>
      </c>
      <c r="BC36" s="171">
        <f>'NOI(M)'!BC31</f>
        <v>1741.2360810166667</v>
      </c>
      <c r="BD36" s="171">
        <f>'NOI(M)'!BD31</f>
        <v>1741.2360810166667</v>
      </c>
      <c r="BE36" s="171">
        <f>'NOI(M)'!BE31</f>
        <v>1741.2360810166667</v>
      </c>
      <c r="BF36" s="171">
        <f>'NOI(M)'!BF31</f>
        <v>1741.2360810166667</v>
      </c>
      <c r="BG36" s="171">
        <f>'NOI(M)'!BG31</f>
        <v>1741.2360810166667</v>
      </c>
      <c r="BH36" s="171">
        <f>'NOI(M)'!BH31</f>
        <v>1741.2360810166667</v>
      </c>
      <c r="BI36" s="171">
        <f>'NOI(M)'!BI31</f>
        <v>1741.2360810166667</v>
      </c>
      <c r="BJ36" s="171">
        <f>'NOI(M)'!BJ31</f>
        <v>1741.2360810166667</v>
      </c>
      <c r="BK36" s="171">
        <f>'NOI(M)'!BK31</f>
        <v>1741.2360810166667</v>
      </c>
      <c r="BL36" s="171">
        <f>'NOI(M)'!BL31</f>
        <v>1741.2360810166667</v>
      </c>
      <c r="BM36" s="171">
        <f>'NOI(M)'!BM31</f>
        <v>1741.2360810166667</v>
      </c>
      <c r="BN36" s="171">
        <f>'NOI(M)'!BN31</f>
        <v>1741.2360810166667</v>
      </c>
      <c r="BO36" s="171">
        <f>'NOI(M)'!BO31</f>
        <v>1741.2360810166667</v>
      </c>
      <c r="BP36" s="171">
        <f>'NOI(M)'!BP31</f>
        <v>1741.2360810166667</v>
      </c>
      <c r="BQ36" s="171">
        <f>'NOI(M)'!BQ31</f>
        <v>1741.2360810166667</v>
      </c>
      <c r="BR36" s="171">
        <f>'NOI(M)'!BR31</f>
        <v>1741.2360810166667</v>
      </c>
      <c r="BS36" s="171">
        <f>'NOI(M)'!BS31</f>
        <v>1741.2360810166667</v>
      </c>
      <c r="BT36" s="171">
        <f>'NOI(M)'!BT31</f>
        <v>1741.2360810166667</v>
      </c>
      <c r="BU36" s="171">
        <f>'NOI(M)'!BU31</f>
        <v>1741.2360810166667</v>
      </c>
      <c r="BV36" s="171">
        <f>'NOI(M)'!BV31</f>
        <v>1741.2360810166667</v>
      </c>
      <c r="BW36" s="171">
        <f>'NOI(M)'!BW31</f>
        <v>1741.2360810166667</v>
      </c>
      <c r="BX36" s="171">
        <f>'NOI(M)'!BX31</f>
        <v>1741.2360810166667</v>
      </c>
      <c r="BY36" s="171">
        <f>'NOI(M)'!BY31</f>
        <v>1741.2360810166667</v>
      </c>
      <c r="BZ36" s="171">
        <f>'NOI(M)'!BZ31</f>
        <v>1741.2360810166667</v>
      </c>
      <c r="CA36" s="171">
        <f>'NOI(M)'!CA31</f>
        <v>1741.2360810166667</v>
      </c>
      <c r="CB36" s="171">
        <f>'NOI(M)'!CB31</f>
        <v>1741.2360810166667</v>
      </c>
      <c r="CC36" s="171">
        <f>'NOI(M)'!CC31</f>
        <v>1741.2360810166667</v>
      </c>
      <c r="CD36" s="171">
        <f>'NOI(M)'!CD31</f>
        <v>1741.2360810166667</v>
      </c>
      <c r="CE36" s="171">
        <f>'NOI(M)'!CE31</f>
        <v>1741.2360810166667</v>
      </c>
      <c r="CF36" s="171">
        <f>'NOI(M)'!CF31</f>
        <v>1741.2360810166667</v>
      </c>
      <c r="CG36" s="171">
        <f>'NOI(M)'!CG31</f>
        <v>1741.2360810166667</v>
      </c>
      <c r="CH36" s="171">
        <f>'NOI(M)'!CH31</f>
        <v>1741.2360810166667</v>
      </c>
      <c r="CI36" s="171">
        <f>'NOI(M)'!CI31</f>
        <v>1741.2360810166667</v>
      </c>
      <c r="CJ36" s="171">
        <f>'NOI(M)'!CJ31</f>
        <v>1741.2360810166667</v>
      </c>
      <c r="CK36" s="171">
        <f>'NOI(M)'!CK31</f>
        <v>1741.2360810166667</v>
      </c>
      <c r="CL36" s="171">
        <f>'NOI(M)'!CL31</f>
        <v>1741.2360810166667</v>
      </c>
      <c r="CM36" s="171">
        <f>'NOI(M)'!CM31</f>
        <v>1741.2360810166667</v>
      </c>
      <c r="CN36" s="171">
        <f>'NOI(M)'!CN31</f>
        <v>1741.2360810166667</v>
      </c>
      <c r="CO36" s="171">
        <f>'NOI(M)'!CO31</f>
        <v>1741.2360810166667</v>
      </c>
      <c r="CP36" s="171">
        <f>'NOI(M)'!CP31</f>
        <v>1741.2360810166667</v>
      </c>
      <c r="CQ36" s="171">
        <f>'NOI(M)'!CQ31</f>
        <v>1741.2360810166667</v>
      </c>
      <c r="CR36" s="171">
        <f>'NOI(M)'!CR31</f>
        <v>1741.2360810166667</v>
      </c>
      <c r="CS36" s="171">
        <f>'NOI(M)'!CS31</f>
        <v>1741.2360810166667</v>
      </c>
      <c r="CT36" s="171">
        <f>'NOI(M)'!CT31</f>
        <v>1741.2360810166667</v>
      </c>
      <c r="CU36" s="171">
        <f>'NOI(M)'!CU31</f>
        <v>1741.2360810166667</v>
      </c>
      <c r="CV36" s="171">
        <f>'NOI(M)'!CV31</f>
        <v>1741.2360810166667</v>
      </c>
      <c r="CW36" s="171">
        <f>'NOI(M)'!CW31</f>
        <v>1741.2360810166667</v>
      </c>
      <c r="CX36" s="171">
        <f>'NOI(M)'!CX31</f>
        <v>1741.2360810166667</v>
      </c>
      <c r="CY36" s="171">
        <f>'NOI(M)'!CY31</f>
        <v>1741.2360810166667</v>
      </c>
      <c r="CZ36" s="171">
        <f>'NOI(M)'!CZ31</f>
        <v>1741.2360810166667</v>
      </c>
      <c r="DA36" s="171">
        <f>'NOI(M)'!DA31</f>
        <v>1741.2360810166667</v>
      </c>
      <c r="DB36" s="171">
        <f>'NOI(M)'!DB31</f>
        <v>1741.2360810166667</v>
      </c>
      <c r="DC36" s="171">
        <f>'NOI(M)'!DC31</f>
        <v>1741.2360810166667</v>
      </c>
      <c r="DD36" s="171">
        <f>'NOI(M)'!DD31</f>
        <v>1741.2360810166667</v>
      </c>
      <c r="DE36" s="171">
        <f>'NOI(M)'!DE31</f>
        <v>1741.2360810166667</v>
      </c>
      <c r="DF36" s="171">
        <f>'NOI(M)'!DF31</f>
        <v>1741.2360810166667</v>
      </c>
      <c r="DG36" s="171">
        <f>'NOI(M)'!DG31</f>
        <v>1741.2360810166667</v>
      </c>
      <c r="DH36" s="171">
        <f>'NOI(M)'!DH31</f>
        <v>1741.2360810166667</v>
      </c>
      <c r="DI36" s="171">
        <f>'NOI(M)'!DI31</f>
        <v>1741.2360810166667</v>
      </c>
      <c r="DJ36" s="171">
        <f>'NOI(M)'!DJ31</f>
        <v>1741.2360810166667</v>
      </c>
      <c r="DK36" s="171">
        <f>'NOI(M)'!DK31</f>
        <v>1741.2360810166667</v>
      </c>
      <c r="DL36" s="171">
        <f>'NOI(M)'!DL31</f>
        <v>1741.2360810166667</v>
      </c>
      <c r="DM36" s="171">
        <f>'NOI(M)'!DM31</f>
        <v>1741.2360810166667</v>
      </c>
      <c r="DN36" s="171">
        <f>'NOI(M)'!DN31</f>
        <v>1741.2360810166667</v>
      </c>
      <c r="DO36" s="171">
        <f>'NOI(M)'!DO31</f>
        <v>1741.2360810166667</v>
      </c>
      <c r="DP36" s="171">
        <f>'NOI(M)'!DP31</f>
        <v>1741.2360810166667</v>
      </c>
      <c r="DQ36" s="171">
        <f>'NOI(M)'!DQ31</f>
        <v>1741.2360810166667</v>
      </c>
      <c r="DR36" s="171">
        <f>'NOI(M)'!DR31</f>
        <v>1741.2360810166667</v>
      </c>
      <c r="DS36" s="171">
        <f>'NOI(M)'!DS31</f>
        <v>1741.2360810166667</v>
      </c>
      <c r="DT36" s="171">
        <f>'NOI(M)'!DT31</f>
        <v>1741.2360810166667</v>
      </c>
      <c r="DU36" s="171">
        <f>'NOI(M)'!DU31</f>
        <v>1741.2360810166667</v>
      </c>
      <c r="DV36" s="171">
        <f>'NOI(M)'!DV31</f>
        <v>1741.2360810166667</v>
      </c>
      <c r="DW36" s="171">
        <f>'NOI(M)'!DW31</f>
        <v>1741.2360810166667</v>
      </c>
      <c r="DX36" s="171">
        <f>'NOI(M)'!DX31</f>
        <v>1741.2360810166667</v>
      </c>
      <c r="DY36" s="171">
        <f>'NOI(M)'!DY31</f>
        <v>1741.2360810166667</v>
      </c>
      <c r="DZ36" s="171">
        <f>'NOI(M)'!DZ31</f>
        <v>1741.2360810166667</v>
      </c>
      <c r="EA36" s="171">
        <f>'NOI(M)'!EA31</f>
        <v>1741.2360810166667</v>
      </c>
      <c r="EB36" s="171">
        <f>'NOI(M)'!EB31</f>
        <v>1741.2360810166667</v>
      </c>
      <c r="EC36" s="171">
        <f>'NOI(M)'!EC31</f>
        <v>1741.2360810166667</v>
      </c>
      <c r="ED36" s="171">
        <f>'NOI(M)'!ED31</f>
        <v>0</v>
      </c>
      <c r="EE36" s="171">
        <f>'NOI(M)'!EE31</f>
        <v>0</v>
      </c>
      <c r="EF36" s="171">
        <f>'NOI(M)'!EF31</f>
        <v>0</v>
      </c>
      <c r="EG36" s="171">
        <f>'NOI(M)'!EG31</f>
        <v>0</v>
      </c>
      <c r="EH36" s="171">
        <f>'NOI(M)'!EH31</f>
        <v>0</v>
      </c>
      <c r="EI36" s="171">
        <f>'NOI(M)'!EI31</f>
        <v>0</v>
      </c>
      <c r="EJ36" s="171">
        <f>'NOI(M)'!EJ31</f>
        <v>0</v>
      </c>
      <c r="EK36" s="171">
        <f>'NOI(M)'!EK31</f>
        <v>0</v>
      </c>
      <c r="EL36" s="171">
        <f>'NOI(M)'!EL31</f>
        <v>0</v>
      </c>
      <c r="EM36" s="171">
        <f>'NOI(M)'!EM31</f>
        <v>0</v>
      </c>
      <c r="EN36" s="171">
        <f>'NOI(M)'!EN31</f>
        <v>0</v>
      </c>
      <c r="EO36" s="171">
        <f>'NOI(M)'!EO31</f>
        <v>0</v>
      </c>
      <c r="EP36" s="171">
        <f>'NOI(M)'!EP31</f>
        <v>0</v>
      </c>
      <c r="EQ36" s="171">
        <f>'NOI(M)'!EQ31</f>
        <v>0</v>
      </c>
      <c r="ER36" s="171">
        <f>'NOI(M)'!ER31</f>
        <v>0</v>
      </c>
    </row>
    <row r="37" spans="2:148" ht="11.25" customHeight="1">
      <c r="B37" s="218"/>
      <c r="C37" s="163"/>
      <c r="D37" s="2100" t="s">
        <v>468</v>
      </c>
      <c r="I37" s="146"/>
      <c r="J37" s="13"/>
      <c r="K37" s="171">
        <f t="shared" si="19"/>
        <v>892287.86244979408</v>
      </c>
      <c r="L37" s="98"/>
      <c r="M37" s="171">
        <f>'NOI(M)'!M32</f>
        <v>0</v>
      </c>
      <c r="N37" s="171">
        <f>'NOI(M)'!N32</f>
        <v>10873.369999999999</v>
      </c>
      <c r="O37" s="171">
        <f>'NOI(M)'!O32</f>
        <v>0</v>
      </c>
      <c r="P37" s="171">
        <f>'NOI(M)'!P32</f>
        <v>0</v>
      </c>
      <c r="Q37" s="171">
        <f>'NOI(M)'!Q32</f>
        <v>0</v>
      </c>
      <c r="R37" s="171">
        <f>'NOI(M)'!R32</f>
        <v>0</v>
      </c>
      <c r="S37" s="171">
        <f>'NOI(M)'!S32</f>
        <v>0</v>
      </c>
      <c r="T37" s="171">
        <f>'NOI(M)'!T32</f>
        <v>0</v>
      </c>
      <c r="U37" s="171">
        <f>'NOI(M)'!U32</f>
        <v>0</v>
      </c>
      <c r="V37" s="171">
        <f>'NOI(M)'!V32</f>
        <v>0</v>
      </c>
      <c r="W37" s="171">
        <f>'NOI(M)'!W32</f>
        <v>0</v>
      </c>
      <c r="X37" s="171">
        <f>'NOI(M)'!X32</f>
        <v>0</v>
      </c>
      <c r="Y37" s="171">
        <f>'NOI(M)'!Y32</f>
        <v>0</v>
      </c>
      <c r="Z37" s="171">
        <f>'NOI(M)'!Z32</f>
        <v>0</v>
      </c>
      <c r="AA37" s="171">
        <f>'NOI(M)'!AA32</f>
        <v>0</v>
      </c>
      <c r="AB37" s="171">
        <f>'NOI(M)'!AB32</f>
        <v>0</v>
      </c>
      <c r="AC37" s="171">
        <f>'NOI(M)'!AC32</f>
        <v>0</v>
      </c>
      <c r="AD37" s="171">
        <f>'NOI(M)'!AD32</f>
        <v>0</v>
      </c>
      <c r="AE37" s="171">
        <f>'NOI(M)'!AE32</f>
        <v>0</v>
      </c>
      <c r="AF37" s="171">
        <f>'NOI(M)'!AF32</f>
        <v>0</v>
      </c>
      <c r="AG37" s="171">
        <f>'NOI(M)'!AG32</f>
        <v>0</v>
      </c>
      <c r="AH37" s="171">
        <f>'NOI(M)'!AH32</f>
        <v>0</v>
      </c>
      <c r="AI37" s="171">
        <f>'NOI(M)'!AI32</f>
        <v>0</v>
      </c>
      <c r="AJ37" s="171">
        <f>'NOI(M)'!AJ32</f>
        <v>0</v>
      </c>
      <c r="AK37" s="171">
        <f>'NOI(M)'!AK32</f>
        <v>0</v>
      </c>
      <c r="AL37" s="171">
        <f>'NOI(M)'!AL32</f>
        <v>0</v>
      </c>
      <c r="AM37" s="171">
        <f>'NOI(M)'!AM32</f>
        <v>0</v>
      </c>
      <c r="AN37" s="171">
        <f>'NOI(M)'!AN32</f>
        <v>0</v>
      </c>
      <c r="AO37" s="171">
        <f>'NOI(M)'!AO32</f>
        <v>0</v>
      </c>
      <c r="AP37" s="171">
        <f>'NOI(M)'!AP32</f>
        <v>0</v>
      </c>
      <c r="AQ37" s="171">
        <f>'NOI(M)'!AQ32</f>
        <v>0</v>
      </c>
      <c r="AR37" s="171">
        <f>'NOI(M)'!AR32</f>
        <v>0</v>
      </c>
      <c r="AS37" s="171">
        <f>'NOI(M)'!AS32</f>
        <v>0</v>
      </c>
      <c r="AT37" s="171">
        <f>'NOI(M)'!AT32</f>
        <v>0</v>
      </c>
      <c r="AU37" s="171">
        <f>'NOI(M)'!AU32</f>
        <v>68398.392522169117</v>
      </c>
      <c r="AV37" s="171">
        <f>'NOI(M)'!AV32</f>
        <v>0</v>
      </c>
      <c r="AW37" s="171">
        <f>'NOI(M)'!AW32</f>
        <v>0</v>
      </c>
      <c r="AX37" s="171">
        <f>'NOI(M)'!AX32</f>
        <v>0</v>
      </c>
      <c r="AY37" s="171">
        <f>'NOI(M)'!AY32</f>
        <v>0</v>
      </c>
      <c r="AZ37" s="171">
        <f>'NOI(M)'!AZ32</f>
        <v>15542.138131523938</v>
      </c>
      <c r="BA37" s="171">
        <f>'NOI(M)'!BA32</f>
        <v>27654.803543305239</v>
      </c>
      <c r="BB37" s="171">
        <f>'NOI(M)'!BB32</f>
        <v>0</v>
      </c>
      <c r="BC37" s="171">
        <f>'NOI(M)'!BC32</f>
        <v>0</v>
      </c>
      <c r="BD37" s="171">
        <f>'NOI(M)'!BD32</f>
        <v>558.55563724519311</v>
      </c>
      <c r="BE37" s="171">
        <f>'NOI(M)'!BE32</f>
        <v>0</v>
      </c>
      <c r="BF37" s="171">
        <f>'NOI(M)'!BF32</f>
        <v>0</v>
      </c>
      <c r="BG37" s="171">
        <f>'NOI(M)'!BG32</f>
        <v>0</v>
      </c>
      <c r="BH37" s="171">
        <f>'NOI(M)'!BH32</f>
        <v>0</v>
      </c>
      <c r="BI37" s="171">
        <f>'NOI(M)'!BI32</f>
        <v>0</v>
      </c>
      <c r="BJ37" s="171">
        <f>'NOI(M)'!BJ32</f>
        <v>0</v>
      </c>
      <c r="BK37" s="171">
        <f>'NOI(M)'!BK32</f>
        <v>0</v>
      </c>
      <c r="BL37" s="171">
        <f>'NOI(M)'!BL32</f>
        <v>0</v>
      </c>
      <c r="BM37" s="171">
        <f>'NOI(M)'!BM32</f>
        <v>0</v>
      </c>
      <c r="BN37" s="171">
        <f>'NOI(M)'!BN32</f>
        <v>0</v>
      </c>
      <c r="BO37" s="171">
        <f>'NOI(M)'!BO32</f>
        <v>0</v>
      </c>
      <c r="BP37" s="171">
        <f>'NOI(M)'!BP32</f>
        <v>0</v>
      </c>
      <c r="BQ37" s="171">
        <f>'NOI(M)'!BQ32</f>
        <v>0</v>
      </c>
      <c r="BR37" s="171">
        <f>'NOI(M)'!BR32</f>
        <v>0</v>
      </c>
      <c r="BS37" s="171">
        <f>'NOI(M)'!BS32</f>
        <v>0</v>
      </c>
      <c r="BT37" s="171">
        <f>'NOI(M)'!BT32</f>
        <v>0</v>
      </c>
      <c r="BU37" s="171">
        <f>'NOI(M)'!BU32</f>
        <v>0</v>
      </c>
      <c r="BV37" s="171">
        <f>'NOI(M)'!BV32</f>
        <v>0</v>
      </c>
      <c r="BW37" s="171">
        <f>'NOI(M)'!BW32</f>
        <v>0</v>
      </c>
      <c r="BX37" s="171">
        <f>'NOI(M)'!BX32</f>
        <v>0</v>
      </c>
      <c r="BY37" s="171">
        <f>'NOI(M)'!BY32</f>
        <v>0</v>
      </c>
      <c r="BZ37" s="171">
        <f>'NOI(M)'!BZ32</f>
        <v>0</v>
      </c>
      <c r="CA37" s="171">
        <f>'NOI(M)'!CA32</f>
        <v>0</v>
      </c>
      <c r="CB37" s="171">
        <f>'NOI(M)'!CB32</f>
        <v>0</v>
      </c>
      <c r="CC37" s="171">
        <f>'NOI(M)'!CC32</f>
        <v>0</v>
      </c>
      <c r="CD37" s="171">
        <f>'NOI(M)'!CD32</f>
        <v>0</v>
      </c>
      <c r="CE37" s="171">
        <f>'NOI(M)'!CE32</f>
        <v>0</v>
      </c>
      <c r="CF37" s="171">
        <f>'NOI(M)'!CF32</f>
        <v>0</v>
      </c>
      <c r="CG37" s="171">
        <f>'NOI(M)'!CG32</f>
        <v>0</v>
      </c>
      <c r="CH37" s="171">
        <f>'NOI(M)'!CH32</f>
        <v>0</v>
      </c>
      <c r="CI37" s="171">
        <f>'NOI(M)'!CI32</f>
        <v>0</v>
      </c>
      <c r="CJ37" s="171">
        <f>'NOI(M)'!CJ32</f>
        <v>0</v>
      </c>
      <c r="CK37" s="171">
        <f>'NOI(M)'!CK32</f>
        <v>0</v>
      </c>
      <c r="CL37" s="171">
        <f>'NOI(M)'!CL32</f>
        <v>0</v>
      </c>
      <c r="CM37" s="171">
        <f>'NOI(M)'!CM32</f>
        <v>0</v>
      </c>
      <c r="CN37" s="171">
        <f>'NOI(M)'!CN32</f>
        <v>0</v>
      </c>
      <c r="CO37" s="171">
        <f>'NOI(M)'!CO32</f>
        <v>0</v>
      </c>
      <c r="CP37" s="171">
        <f>'NOI(M)'!CP32</f>
        <v>0</v>
      </c>
      <c r="CQ37" s="171">
        <f>'NOI(M)'!CQ32</f>
        <v>0</v>
      </c>
      <c r="CR37" s="171">
        <f>'NOI(M)'!CR32</f>
        <v>0</v>
      </c>
      <c r="CS37" s="171">
        <f>'NOI(M)'!CS32</f>
        <v>0</v>
      </c>
      <c r="CT37" s="171">
        <f>'NOI(M)'!CT32</f>
        <v>0</v>
      </c>
      <c r="CU37" s="171">
        <f>'NOI(M)'!CU32</f>
        <v>0</v>
      </c>
      <c r="CV37" s="171">
        <f>'NOI(M)'!CV32</f>
        <v>0</v>
      </c>
      <c r="CW37" s="171">
        <f>'NOI(M)'!CW32</f>
        <v>0</v>
      </c>
      <c r="CX37" s="171">
        <f>'NOI(M)'!CX32</f>
        <v>0</v>
      </c>
      <c r="CY37" s="171">
        <f>'NOI(M)'!CY32</f>
        <v>0</v>
      </c>
      <c r="CZ37" s="171">
        <f>'NOI(M)'!CZ32</f>
        <v>600151.77038404613</v>
      </c>
      <c r="DA37" s="171">
        <f>'NOI(M)'!DA32</f>
        <v>0</v>
      </c>
      <c r="DB37" s="171">
        <f>'NOI(M)'!DB32</f>
        <v>0</v>
      </c>
      <c r="DC37" s="171">
        <f>'NOI(M)'!DC32</f>
        <v>77386.503048098835</v>
      </c>
      <c r="DD37" s="171">
        <f>'NOI(M)'!DD32</f>
        <v>0</v>
      </c>
      <c r="DE37" s="171">
        <f>'NOI(M)'!DE32</f>
        <v>0</v>
      </c>
      <c r="DF37" s="171">
        <f>'NOI(M)'!DF32</f>
        <v>0</v>
      </c>
      <c r="DG37" s="171">
        <f>'NOI(M)'!DG32</f>
        <v>0</v>
      </c>
      <c r="DH37" s="171">
        <f>'NOI(M)'!DH32</f>
        <v>17584.502727886731</v>
      </c>
      <c r="DI37" s="171">
        <f>'NOI(M)'!DI32</f>
        <v>42217.000165410893</v>
      </c>
      <c r="DJ37" s="171">
        <f>'NOI(M)'!DJ32</f>
        <v>0</v>
      </c>
      <c r="DK37" s="171">
        <f>'NOI(M)'!DK32</f>
        <v>31288.871854772297</v>
      </c>
      <c r="DL37" s="171">
        <f>'NOI(M)'!DL32</f>
        <v>631.95443533556806</v>
      </c>
      <c r="DM37" s="171">
        <f>'NOI(M)'!DM32</f>
        <v>0</v>
      </c>
      <c r="DN37" s="171">
        <f>'NOI(M)'!DN32</f>
        <v>0</v>
      </c>
      <c r="DO37" s="171">
        <f>'NOI(M)'!DO32</f>
        <v>0</v>
      </c>
      <c r="DP37" s="171">
        <f>'NOI(M)'!DP32</f>
        <v>0</v>
      </c>
      <c r="DQ37" s="171">
        <f>'NOI(M)'!DQ32</f>
        <v>0</v>
      </c>
      <c r="DR37" s="171">
        <f>'NOI(M)'!DR32</f>
        <v>0</v>
      </c>
      <c r="DS37" s="171">
        <f>'NOI(M)'!DS32</f>
        <v>0</v>
      </c>
      <c r="DT37" s="171">
        <f>'NOI(M)'!DT32</f>
        <v>0</v>
      </c>
      <c r="DU37" s="171">
        <f>'NOI(M)'!DU32</f>
        <v>0</v>
      </c>
      <c r="DV37" s="171">
        <f>'NOI(M)'!DV32</f>
        <v>0</v>
      </c>
      <c r="DW37" s="171">
        <f>'NOI(M)'!DW32</f>
        <v>0</v>
      </c>
      <c r="DX37" s="171">
        <f>'NOI(M)'!DX32</f>
        <v>0</v>
      </c>
      <c r="DY37" s="171">
        <f>'NOI(M)'!DY32</f>
        <v>0</v>
      </c>
      <c r="DZ37" s="171">
        <f>'NOI(M)'!DZ32</f>
        <v>0</v>
      </c>
      <c r="EA37" s="171">
        <f>'NOI(M)'!EA32</f>
        <v>0</v>
      </c>
      <c r="EB37" s="171">
        <f>'NOI(M)'!EB32</f>
        <v>0</v>
      </c>
      <c r="EC37" s="171">
        <f>'NOI(M)'!EC32</f>
        <v>0</v>
      </c>
      <c r="ED37" s="171">
        <f>'NOI(M)'!ED32</f>
        <v>0</v>
      </c>
      <c r="EE37" s="171">
        <f>'NOI(M)'!EE32</f>
        <v>0</v>
      </c>
      <c r="EF37" s="171">
        <f>'NOI(M)'!EF32</f>
        <v>0</v>
      </c>
      <c r="EG37" s="171">
        <f>'NOI(M)'!EG32</f>
        <v>0</v>
      </c>
      <c r="EH37" s="171">
        <f>'NOI(M)'!EH32</f>
        <v>0</v>
      </c>
      <c r="EI37" s="171">
        <f>'NOI(M)'!EI32</f>
        <v>0</v>
      </c>
      <c r="EJ37" s="171">
        <f>'NOI(M)'!EJ32</f>
        <v>0</v>
      </c>
      <c r="EK37" s="171">
        <f>'NOI(M)'!EK32</f>
        <v>0</v>
      </c>
      <c r="EL37" s="171">
        <f>'NOI(M)'!EL32</f>
        <v>0</v>
      </c>
      <c r="EM37" s="171">
        <f>'NOI(M)'!EM32</f>
        <v>0</v>
      </c>
      <c r="EN37" s="171">
        <f>'NOI(M)'!EN32</f>
        <v>0</v>
      </c>
      <c r="EO37" s="171">
        <f>'NOI(M)'!EO32</f>
        <v>0</v>
      </c>
      <c r="EP37" s="171">
        <f>'NOI(M)'!EP32</f>
        <v>0</v>
      </c>
      <c r="EQ37" s="171">
        <f>'NOI(M)'!EQ32</f>
        <v>0</v>
      </c>
      <c r="ER37" s="171">
        <f>'NOI(M)'!ER32</f>
        <v>0</v>
      </c>
    </row>
    <row r="38" spans="2:148" ht="11.25" customHeight="1">
      <c r="B38" s="218"/>
      <c r="C38" s="163"/>
      <c r="D38" s="2619" t="s">
        <v>190</v>
      </c>
      <c r="E38" s="2620"/>
      <c r="F38" s="886"/>
      <c r="G38" s="892">
        <f>'A&amp;R'!Q82</f>
        <v>55545.583333333343</v>
      </c>
      <c r="H38" s="893">
        <f>'A&amp;R'!U82</f>
        <v>46691</v>
      </c>
      <c r="I38" s="894">
        <f>'A&amp;R'!T82</f>
        <v>0</v>
      </c>
      <c r="J38" s="887"/>
      <c r="K38" s="888">
        <f t="shared" si="19"/>
        <v>6665469.9999999916</v>
      </c>
      <c r="L38" s="98"/>
      <c r="M38" s="888">
        <f>$G38*(1+$I38)^ROUNDUP(IFERROR(DATEDIF($H38-1,M$16+1,"m"),)/12,)*Index!L$22</f>
        <v>0</v>
      </c>
      <c r="N38" s="888">
        <f>$G38*(1+$I38)^ROUNDUP(IFERROR(DATEDIF($H38-1,N$16+1,"m"),)/12,)*Index!M$22</f>
        <v>55545.583333333343</v>
      </c>
      <c r="O38" s="888">
        <f>$G38*(1+$I38)^ROUNDUP(IFERROR(DATEDIF($H38-1,O$16+1,"m"),)/12,)*Index!N$22</f>
        <v>55545.583333333343</v>
      </c>
      <c r="P38" s="888">
        <f>$G38*(1+$I38)^ROUNDUP(IFERROR(DATEDIF($H38-1,P$16+1,"m"),)/12,)*Index!O$22</f>
        <v>55545.583333333343</v>
      </c>
      <c r="Q38" s="888">
        <f>$G38*(1+$I38)^ROUNDUP(IFERROR(DATEDIF($H38-1,Q$16+1,"m"),)/12,)*Index!P$22</f>
        <v>55545.583333333343</v>
      </c>
      <c r="R38" s="888">
        <f>$G38*(1+$I38)^ROUNDUP(IFERROR(DATEDIF($H38-1,R$16+1,"m"),)/12,)*Index!Q$22</f>
        <v>55545.583333333343</v>
      </c>
      <c r="S38" s="888">
        <f>$G38*(1+$I38)^ROUNDUP(IFERROR(DATEDIF($H38-1,S$16+1,"m"),)/12,)*Index!R$22</f>
        <v>55545.583333333343</v>
      </c>
      <c r="T38" s="888">
        <f>$G38*(1+$I38)^ROUNDUP(IFERROR(DATEDIF($H38-1,T$16+1,"m"),)/12,)*Index!S$22</f>
        <v>55545.583333333343</v>
      </c>
      <c r="U38" s="888">
        <f>$G38*(1+$I38)^ROUNDUP(IFERROR(DATEDIF($H38-1,U$16+1,"m"),)/12,)*Index!T$22</f>
        <v>55545.583333333343</v>
      </c>
      <c r="V38" s="888">
        <f>$G38*(1+$I38)^ROUNDUP(IFERROR(DATEDIF($H38-1,V$16+1,"m"),)/12,)*Index!U$22</f>
        <v>55545.583333333343</v>
      </c>
      <c r="W38" s="888">
        <f>$G38*(1+$I38)^ROUNDUP(IFERROR(DATEDIF($H38-1,W$16+1,"m"),)/12,)*Index!V$22</f>
        <v>55545.583333333343</v>
      </c>
      <c r="X38" s="888">
        <f>$G38*(1+$I38)^ROUNDUP(IFERROR(DATEDIF($H38-1,X$16+1,"m"),)/12,)*Index!W$22</f>
        <v>55545.583333333343</v>
      </c>
      <c r="Y38" s="888">
        <f>$G38*(1+$I38)^ROUNDUP(IFERROR(DATEDIF($H38-1,Y$16+1,"m"),)/12,)*Index!X$22</f>
        <v>55545.583333333343</v>
      </c>
      <c r="Z38" s="888">
        <f>$G38*(1+$I38)^ROUNDUP(IFERROR(DATEDIF($H38-1,Z$16+1,"m"),)/12,)*Index!Y$22</f>
        <v>55545.583333333343</v>
      </c>
      <c r="AA38" s="888">
        <f>$G38*(1+$I38)^ROUNDUP(IFERROR(DATEDIF($H38-1,AA$16+1,"m"),)/12,)*Index!Z$22</f>
        <v>55545.583333333343</v>
      </c>
      <c r="AB38" s="888">
        <f>$G38*(1+$I38)^ROUNDUP(IFERROR(DATEDIF($H38-1,AB$16+1,"m"),)/12,)*Index!AA$22</f>
        <v>55545.583333333343</v>
      </c>
      <c r="AC38" s="888">
        <f>$G38*(1+$I38)^ROUNDUP(IFERROR(DATEDIF($H38-1,AC$16+1,"m"),)/12,)*Index!AB$22</f>
        <v>55545.583333333343</v>
      </c>
      <c r="AD38" s="888">
        <f>$G38*(1+$I38)^ROUNDUP(IFERROR(DATEDIF($H38-1,AD$16+1,"m"),)/12,)*Index!AC$22</f>
        <v>55545.583333333343</v>
      </c>
      <c r="AE38" s="888">
        <f>$G38*(1+$I38)^ROUNDUP(IFERROR(DATEDIF($H38-1,AE$16+1,"m"),)/12,)*Index!AD$22</f>
        <v>55545.583333333343</v>
      </c>
      <c r="AF38" s="888">
        <f>$G38*(1+$I38)^ROUNDUP(IFERROR(DATEDIF($H38-1,AF$16+1,"m"),)/12,)*Index!AE$22</f>
        <v>55545.583333333343</v>
      </c>
      <c r="AG38" s="888">
        <f>$G38*(1+$I38)^ROUNDUP(IFERROR(DATEDIF($H38-1,AG$16+1,"m"),)/12,)*Index!AF$22</f>
        <v>55545.583333333343</v>
      </c>
      <c r="AH38" s="888">
        <f>$G38*(1+$I38)^ROUNDUP(IFERROR(DATEDIF($H38-1,AH$16+1,"m"),)/12,)*Index!AG$22</f>
        <v>55545.583333333343</v>
      </c>
      <c r="AI38" s="888">
        <f>$G38*(1+$I38)^ROUNDUP(IFERROR(DATEDIF($H38-1,AI$16+1,"m"),)/12,)*Index!AH$22</f>
        <v>55545.583333333343</v>
      </c>
      <c r="AJ38" s="888">
        <f>$G38*(1+$I38)^ROUNDUP(IFERROR(DATEDIF($H38-1,AJ$16+1,"m"),)/12,)*Index!AI$22</f>
        <v>55545.583333333343</v>
      </c>
      <c r="AK38" s="888">
        <f>$G38*(1+$I38)^ROUNDUP(IFERROR(DATEDIF($H38-1,AK$16+1,"m"),)/12,)*Index!AJ$22</f>
        <v>55545.583333333343</v>
      </c>
      <c r="AL38" s="888">
        <f>$G38*(1+$I38)^ROUNDUP(IFERROR(DATEDIF($H38-1,AL$16+1,"m"),)/12,)*Index!AK$22</f>
        <v>55545.583333333343</v>
      </c>
      <c r="AM38" s="888">
        <f>$G38*(1+$I38)^ROUNDUP(IFERROR(DATEDIF($H38-1,AM$16+1,"m"),)/12,)*Index!AL$22</f>
        <v>55545.583333333343</v>
      </c>
      <c r="AN38" s="888">
        <f>$G38*(1+$I38)^ROUNDUP(IFERROR(DATEDIF($H38-1,AN$16+1,"m"),)/12,)*Index!AM$22</f>
        <v>55545.583333333343</v>
      </c>
      <c r="AO38" s="888">
        <f>$G38*(1+$I38)^ROUNDUP(IFERROR(DATEDIF($H38-1,AO$16+1,"m"),)/12,)*Index!AN$22</f>
        <v>55545.583333333343</v>
      </c>
      <c r="AP38" s="888">
        <f>$G38*(1+$I38)^ROUNDUP(IFERROR(DATEDIF($H38-1,AP$16+1,"m"),)/12,)*Index!AO$22</f>
        <v>55545.583333333343</v>
      </c>
      <c r="AQ38" s="888">
        <f>$G38*(1+$I38)^ROUNDUP(IFERROR(DATEDIF($H38-1,AQ$16+1,"m"),)/12,)*Index!AP$22</f>
        <v>55545.583333333343</v>
      </c>
      <c r="AR38" s="888">
        <f>$G38*(1+$I38)^ROUNDUP(IFERROR(DATEDIF($H38-1,AR$16+1,"m"),)/12,)*Index!AQ$22</f>
        <v>55545.583333333343</v>
      </c>
      <c r="AS38" s="888">
        <f>$G38*(1+$I38)^ROUNDUP(IFERROR(DATEDIF($H38-1,AS$16+1,"m"),)/12,)*Index!AR$22</f>
        <v>55545.583333333343</v>
      </c>
      <c r="AT38" s="888">
        <f>$G38*(1+$I38)^ROUNDUP(IFERROR(DATEDIF($H38-1,AT$16+1,"m"),)/12,)*Index!AS$22</f>
        <v>55545.583333333343</v>
      </c>
      <c r="AU38" s="888">
        <f>$G38*(1+$I38)^ROUNDUP(IFERROR(DATEDIF($H38-1,AU$16+1,"m"),)/12,)*Index!AT$22</f>
        <v>55545.583333333343</v>
      </c>
      <c r="AV38" s="888">
        <f>$G38*(1+$I38)^ROUNDUP(IFERROR(DATEDIF($H38-1,AV$16+1,"m"),)/12,)*Index!AU$22</f>
        <v>55545.583333333343</v>
      </c>
      <c r="AW38" s="888">
        <f>$G38*(1+$I38)^ROUNDUP(IFERROR(DATEDIF($H38-1,AW$16+1,"m"),)/12,)*Index!AV$22</f>
        <v>55545.583333333343</v>
      </c>
      <c r="AX38" s="888">
        <f>$G38*(1+$I38)^ROUNDUP(IFERROR(DATEDIF($H38-1,AX$16+1,"m"),)/12,)*Index!AW$22</f>
        <v>55545.583333333343</v>
      </c>
      <c r="AY38" s="888">
        <f>$G38*(1+$I38)^ROUNDUP(IFERROR(DATEDIF($H38-1,AY$16+1,"m"),)/12,)*Index!AX$22</f>
        <v>55545.583333333343</v>
      </c>
      <c r="AZ38" s="888">
        <f>$G38*(1+$I38)^ROUNDUP(IFERROR(DATEDIF($H38-1,AZ$16+1,"m"),)/12,)*Index!AY$22</f>
        <v>55545.583333333343</v>
      </c>
      <c r="BA38" s="888">
        <f>$G38*(1+$I38)^ROUNDUP(IFERROR(DATEDIF($H38-1,BA$16+1,"m"),)/12,)*Index!AZ$22</f>
        <v>55545.583333333343</v>
      </c>
      <c r="BB38" s="888">
        <f>$G38*(1+$I38)^ROUNDUP(IFERROR(DATEDIF($H38-1,BB$16+1,"m"),)/12,)*Index!BA$22</f>
        <v>55545.583333333343</v>
      </c>
      <c r="BC38" s="888">
        <f>$G38*(1+$I38)^ROUNDUP(IFERROR(DATEDIF($H38-1,BC$16+1,"m"),)/12,)*Index!BB$22</f>
        <v>55545.583333333343</v>
      </c>
      <c r="BD38" s="888">
        <f>$G38*(1+$I38)^ROUNDUP(IFERROR(DATEDIF($H38-1,BD$16+1,"m"),)/12,)*Index!BC$22</f>
        <v>55545.583333333343</v>
      </c>
      <c r="BE38" s="888">
        <f>$G38*(1+$I38)^ROUNDUP(IFERROR(DATEDIF($H38-1,BE$16+1,"m"),)/12,)*Index!BD$22</f>
        <v>55545.583333333343</v>
      </c>
      <c r="BF38" s="888">
        <f>$G38*(1+$I38)^ROUNDUP(IFERROR(DATEDIF($H38-1,BF$16+1,"m"),)/12,)*Index!BE$22</f>
        <v>55545.583333333343</v>
      </c>
      <c r="BG38" s="888">
        <f>$G38*(1+$I38)^ROUNDUP(IFERROR(DATEDIF($H38-1,BG$16+1,"m"),)/12,)*Index!BF$22</f>
        <v>55545.583333333343</v>
      </c>
      <c r="BH38" s="888">
        <f>$G38*(1+$I38)^ROUNDUP(IFERROR(DATEDIF($H38-1,BH$16+1,"m"),)/12,)*Index!BG$22</f>
        <v>55545.583333333343</v>
      </c>
      <c r="BI38" s="888">
        <f>$G38*(1+$I38)^ROUNDUP(IFERROR(DATEDIF($H38-1,BI$16+1,"m"),)/12,)*Index!BH$22</f>
        <v>55545.583333333343</v>
      </c>
      <c r="BJ38" s="888">
        <f>$G38*(1+$I38)^ROUNDUP(IFERROR(DATEDIF($H38-1,BJ$16+1,"m"),)/12,)*Index!BI$22</f>
        <v>55545.583333333343</v>
      </c>
      <c r="BK38" s="888">
        <f>$G38*(1+$I38)^ROUNDUP(IFERROR(DATEDIF($H38-1,BK$16+1,"m"),)/12,)*Index!BJ$22</f>
        <v>55545.583333333343</v>
      </c>
      <c r="BL38" s="888">
        <f>$G38*(1+$I38)^ROUNDUP(IFERROR(DATEDIF($H38-1,BL$16+1,"m"),)/12,)*Index!BK$22</f>
        <v>55545.583333333343</v>
      </c>
      <c r="BM38" s="888">
        <f>$G38*(1+$I38)^ROUNDUP(IFERROR(DATEDIF($H38-1,BM$16+1,"m"),)/12,)*Index!BL$22</f>
        <v>55545.583333333343</v>
      </c>
      <c r="BN38" s="888">
        <f>$G38*(1+$I38)^ROUNDUP(IFERROR(DATEDIF($H38-1,BN$16+1,"m"),)/12,)*Index!BM$22</f>
        <v>55545.583333333343</v>
      </c>
      <c r="BO38" s="888">
        <f>$G38*(1+$I38)^ROUNDUP(IFERROR(DATEDIF($H38-1,BO$16+1,"m"),)/12,)*Index!BN$22</f>
        <v>55545.583333333343</v>
      </c>
      <c r="BP38" s="888">
        <f>$G38*(1+$I38)^ROUNDUP(IFERROR(DATEDIF($H38-1,BP$16+1,"m"),)/12,)*Index!BO$22</f>
        <v>55545.583333333343</v>
      </c>
      <c r="BQ38" s="888">
        <f>$G38*(1+$I38)^ROUNDUP(IFERROR(DATEDIF($H38-1,BQ$16+1,"m"),)/12,)*Index!BP$22</f>
        <v>55545.583333333343</v>
      </c>
      <c r="BR38" s="888">
        <f>$G38*(1+$I38)^ROUNDUP(IFERROR(DATEDIF($H38-1,BR$16+1,"m"),)/12,)*Index!BQ$22</f>
        <v>55545.583333333343</v>
      </c>
      <c r="BS38" s="888">
        <f>$G38*(1+$I38)^ROUNDUP(IFERROR(DATEDIF($H38-1,BS$16+1,"m"),)/12,)*Index!BR$22</f>
        <v>55545.583333333343</v>
      </c>
      <c r="BT38" s="888">
        <f>$G38*(1+$I38)^ROUNDUP(IFERROR(DATEDIF($H38-1,BT$16+1,"m"),)/12,)*Index!BS$22</f>
        <v>55545.583333333343</v>
      </c>
      <c r="BU38" s="888">
        <f>$G38*(1+$I38)^ROUNDUP(IFERROR(DATEDIF($H38-1,BU$16+1,"m"),)/12,)*Index!BT$22</f>
        <v>55545.583333333343</v>
      </c>
      <c r="BV38" s="888">
        <f>$G38*(1+$I38)^ROUNDUP(IFERROR(DATEDIF($H38-1,BV$16+1,"m"),)/12,)*Index!BU$22</f>
        <v>55545.583333333343</v>
      </c>
      <c r="BW38" s="888">
        <f>$G38*(1+$I38)^ROUNDUP(IFERROR(DATEDIF($H38-1,BW$16+1,"m"),)/12,)*Index!BV$22</f>
        <v>55545.583333333343</v>
      </c>
      <c r="BX38" s="888">
        <f>$G38*(1+$I38)^ROUNDUP(IFERROR(DATEDIF($H38-1,BX$16+1,"m"),)/12,)*Index!BW$22</f>
        <v>55545.583333333343</v>
      </c>
      <c r="BY38" s="888">
        <f>$G38*(1+$I38)^ROUNDUP(IFERROR(DATEDIF($H38-1,BY$16+1,"m"),)/12,)*Index!BX$22</f>
        <v>55545.583333333343</v>
      </c>
      <c r="BZ38" s="888">
        <f>$G38*(1+$I38)^ROUNDUP(IFERROR(DATEDIF($H38-1,BZ$16+1,"m"),)/12,)*Index!BY$22</f>
        <v>55545.583333333343</v>
      </c>
      <c r="CA38" s="888">
        <f>$G38*(1+$I38)^ROUNDUP(IFERROR(DATEDIF($H38-1,CA$16+1,"m"),)/12,)*Index!BZ$22</f>
        <v>55545.583333333343</v>
      </c>
      <c r="CB38" s="888">
        <f>$G38*(1+$I38)^ROUNDUP(IFERROR(DATEDIF($H38-1,CB$16+1,"m"),)/12,)*Index!CA$22</f>
        <v>55545.583333333343</v>
      </c>
      <c r="CC38" s="888">
        <f>$G38*(1+$I38)^ROUNDUP(IFERROR(DATEDIF($H38-1,CC$16+1,"m"),)/12,)*Index!CB$22</f>
        <v>55545.583333333343</v>
      </c>
      <c r="CD38" s="888">
        <f>$G38*(1+$I38)^ROUNDUP(IFERROR(DATEDIF($H38-1,CD$16+1,"m"),)/12,)*Index!CC$22</f>
        <v>55545.583333333343</v>
      </c>
      <c r="CE38" s="888">
        <f>$G38*(1+$I38)^ROUNDUP(IFERROR(DATEDIF($H38-1,CE$16+1,"m"),)/12,)*Index!CD$22</f>
        <v>55545.583333333343</v>
      </c>
      <c r="CF38" s="888">
        <f>$G38*(1+$I38)^ROUNDUP(IFERROR(DATEDIF($H38-1,CF$16+1,"m"),)/12,)*Index!CE$22</f>
        <v>55545.583333333343</v>
      </c>
      <c r="CG38" s="888">
        <f>$G38*(1+$I38)^ROUNDUP(IFERROR(DATEDIF($H38-1,CG$16+1,"m"),)/12,)*Index!CF$22</f>
        <v>55545.583333333343</v>
      </c>
      <c r="CH38" s="888">
        <f>$G38*(1+$I38)^ROUNDUP(IFERROR(DATEDIF($H38-1,CH$16+1,"m"),)/12,)*Index!CG$22</f>
        <v>55545.583333333343</v>
      </c>
      <c r="CI38" s="888">
        <f>$G38*(1+$I38)^ROUNDUP(IFERROR(DATEDIF($H38-1,CI$16+1,"m"),)/12,)*Index!CH$22</f>
        <v>55545.583333333343</v>
      </c>
      <c r="CJ38" s="888">
        <f>$G38*(1+$I38)^ROUNDUP(IFERROR(DATEDIF($H38-1,CJ$16+1,"m"),)/12,)*Index!CI$22</f>
        <v>55545.583333333343</v>
      </c>
      <c r="CK38" s="888">
        <f>$G38*(1+$I38)^ROUNDUP(IFERROR(DATEDIF($H38-1,CK$16+1,"m"),)/12,)*Index!CJ$22</f>
        <v>55545.583333333343</v>
      </c>
      <c r="CL38" s="888">
        <f>$G38*(1+$I38)^ROUNDUP(IFERROR(DATEDIF($H38-1,CL$16+1,"m"),)/12,)*Index!CK$22</f>
        <v>55545.583333333343</v>
      </c>
      <c r="CM38" s="888">
        <f>$G38*(1+$I38)^ROUNDUP(IFERROR(DATEDIF($H38-1,CM$16+1,"m"),)/12,)*Index!CL$22</f>
        <v>55545.583333333343</v>
      </c>
      <c r="CN38" s="888">
        <f>$G38*(1+$I38)^ROUNDUP(IFERROR(DATEDIF($H38-1,CN$16+1,"m"),)/12,)*Index!CM$22</f>
        <v>55545.583333333343</v>
      </c>
      <c r="CO38" s="888">
        <f>$G38*(1+$I38)^ROUNDUP(IFERROR(DATEDIF($H38-1,CO$16+1,"m"),)/12,)*Index!CN$22</f>
        <v>55545.583333333343</v>
      </c>
      <c r="CP38" s="888">
        <f>$G38*(1+$I38)^ROUNDUP(IFERROR(DATEDIF($H38-1,CP$16+1,"m"),)/12,)*Index!CO$22</f>
        <v>55545.583333333343</v>
      </c>
      <c r="CQ38" s="888">
        <f>$G38*(1+$I38)^ROUNDUP(IFERROR(DATEDIF($H38-1,CQ$16+1,"m"),)/12,)*Index!CP$22</f>
        <v>55545.583333333343</v>
      </c>
      <c r="CR38" s="888">
        <f>$G38*(1+$I38)^ROUNDUP(IFERROR(DATEDIF($H38-1,CR$16+1,"m"),)/12,)*Index!CQ$22</f>
        <v>55545.583333333343</v>
      </c>
      <c r="CS38" s="888">
        <f>$G38*(1+$I38)^ROUNDUP(IFERROR(DATEDIF($H38-1,CS$16+1,"m"),)/12,)*Index!CR$22</f>
        <v>55545.583333333343</v>
      </c>
      <c r="CT38" s="888">
        <f>$G38*(1+$I38)^ROUNDUP(IFERROR(DATEDIF($H38-1,CT$16+1,"m"),)/12,)*Index!CS$22</f>
        <v>55545.583333333343</v>
      </c>
      <c r="CU38" s="888">
        <f>$G38*(1+$I38)^ROUNDUP(IFERROR(DATEDIF($H38-1,CU$16+1,"m"),)/12,)*Index!CT$22</f>
        <v>55545.583333333343</v>
      </c>
      <c r="CV38" s="888">
        <f>$G38*(1+$I38)^ROUNDUP(IFERROR(DATEDIF($H38-1,CV$16+1,"m"),)/12,)*Index!CU$22</f>
        <v>55545.583333333343</v>
      </c>
      <c r="CW38" s="888">
        <f>$G38*(1+$I38)^ROUNDUP(IFERROR(DATEDIF($H38-1,CW$16+1,"m"),)/12,)*Index!CV$22</f>
        <v>55545.583333333343</v>
      </c>
      <c r="CX38" s="888">
        <f>$G38*(1+$I38)^ROUNDUP(IFERROR(DATEDIF($H38-1,CX$16+1,"m"),)/12,)*Index!CW$22</f>
        <v>55545.583333333343</v>
      </c>
      <c r="CY38" s="888">
        <f>$G38*(1+$I38)^ROUNDUP(IFERROR(DATEDIF($H38-1,CY$16+1,"m"),)/12,)*Index!CX$22</f>
        <v>55545.583333333343</v>
      </c>
      <c r="CZ38" s="888">
        <f>$G38*(1+$I38)^ROUNDUP(IFERROR(DATEDIF($H38-1,CZ$16+1,"m"),)/12,)*Index!CY$22</f>
        <v>55545.583333333343</v>
      </c>
      <c r="DA38" s="888">
        <f>$G38*(1+$I38)^ROUNDUP(IFERROR(DATEDIF($H38-1,DA$16+1,"m"),)/12,)*Index!CZ$22</f>
        <v>55545.583333333343</v>
      </c>
      <c r="DB38" s="888">
        <f>$G38*(1+$I38)^ROUNDUP(IFERROR(DATEDIF($H38-1,DB$16+1,"m"),)/12,)*Index!DA$22</f>
        <v>55545.583333333343</v>
      </c>
      <c r="DC38" s="888">
        <f>$G38*(1+$I38)^ROUNDUP(IFERROR(DATEDIF($H38-1,DC$16+1,"m"),)/12,)*Index!DB$22</f>
        <v>55545.583333333343</v>
      </c>
      <c r="DD38" s="888">
        <f>$G38*(1+$I38)^ROUNDUP(IFERROR(DATEDIF($H38-1,DD$16+1,"m"),)/12,)*Index!DC$22</f>
        <v>55545.583333333343</v>
      </c>
      <c r="DE38" s="888">
        <f>$G38*(1+$I38)^ROUNDUP(IFERROR(DATEDIF($H38-1,DE$16+1,"m"),)/12,)*Index!DD$22</f>
        <v>55545.583333333343</v>
      </c>
      <c r="DF38" s="888">
        <f>$G38*(1+$I38)^ROUNDUP(IFERROR(DATEDIF($H38-1,DF$16+1,"m"),)/12,)*Index!DE$22</f>
        <v>55545.583333333343</v>
      </c>
      <c r="DG38" s="888">
        <f>$G38*(1+$I38)^ROUNDUP(IFERROR(DATEDIF($H38-1,DG$16+1,"m"),)/12,)*Index!DF$22</f>
        <v>55545.583333333343</v>
      </c>
      <c r="DH38" s="888">
        <f>$G38*(1+$I38)^ROUNDUP(IFERROR(DATEDIF($H38-1,DH$16+1,"m"),)/12,)*Index!DG$22</f>
        <v>55545.583333333343</v>
      </c>
      <c r="DI38" s="888">
        <f>$G38*(1+$I38)^ROUNDUP(IFERROR(DATEDIF($H38-1,DI$16+1,"m"),)/12,)*Index!DH$22</f>
        <v>55545.583333333343</v>
      </c>
      <c r="DJ38" s="888">
        <f>$G38*(1+$I38)^ROUNDUP(IFERROR(DATEDIF($H38-1,DJ$16+1,"m"),)/12,)*Index!DI$22</f>
        <v>55545.583333333343</v>
      </c>
      <c r="DK38" s="888">
        <f>$G38*(1+$I38)^ROUNDUP(IFERROR(DATEDIF($H38-1,DK$16+1,"m"),)/12,)*Index!DJ$22</f>
        <v>55545.583333333343</v>
      </c>
      <c r="DL38" s="888">
        <f>$G38*(1+$I38)^ROUNDUP(IFERROR(DATEDIF($H38-1,DL$16+1,"m"),)/12,)*Index!DK$22</f>
        <v>55545.583333333343</v>
      </c>
      <c r="DM38" s="888">
        <f>$G38*(1+$I38)^ROUNDUP(IFERROR(DATEDIF($H38-1,DM$16+1,"m"),)/12,)*Index!DL$22</f>
        <v>55545.583333333343</v>
      </c>
      <c r="DN38" s="888">
        <f>$G38*(1+$I38)^ROUNDUP(IFERROR(DATEDIF($H38-1,DN$16+1,"m"),)/12,)*Index!DM$22</f>
        <v>55545.583333333343</v>
      </c>
      <c r="DO38" s="888">
        <f>$G38*(1+$I38)^ROUNDUP(IFERROR(DATEDIF($H38-1,DO$16+1,"m"),)/12,)*Index!DN$22</f>
        <v>55545.583333333343</v>
      </c>
      <c r="DP38" s="888">
        <f>$G38*(1+$I38)^ROUNDUP(IFERROR(DATEDIF($H38-1,DP$16+1,"m"),)/12,)*Index!DO$22</f>
        <v>55545.583333333343</v>
      </c>
      <c r="DQ38" s="888">
        <f>$G38*(1+$I38)^ROUNDUP(IFERROR(DATEDIF($H38-1,DQ$16+1,"m"),)/12,)*Index!DP$22</f>
        <v>55545.583333333343</v>
      </c>
      <c r="DR38" s="888">
        <f>$G38*(1+$I38)^ROUNDUP(IFERROR(DATEDIF($H38-1,DR$16+1,"m"),)/12,)*Index!DQ$22</f>
        <v>55545.583333333343</v>
      </c>
      <c r="DS38" s="888">
        <f>$G38*(1+$I38)^ROUNDUP(IFERROR(DATEDIF($H38-1,DS$16+1,"m"),)/12,)*Index!DR$22</f>
        <v>55545.583333333343</v>
      </c>
      <c r="DT38" s="888">
        <f>$G38*(1+$I38)^ROUNDUP(IFERROR(DATEDIF($H38-1,DT$16+1,"m"),)/12,)*Index!DS$22</f>
        <v>55545.583333333343</v>
      </c>
      <c r="DU38" s="888">
        <f>$G38*(1+$I38)^ROUNDUP(IFERROR(DATEDIF($H38-1,DU$16+1,"m"),)/12,)*Index!DT$22</f>
        <v>55545.583333333343</v>
      </c>
      <c r="DV38" s="888">
        <f>$G38*(1+$I38)^ROUNDUP(IFERROR(DATEDIF($H38-1,DV$16+1,"m"),)/12,)*Index!DU$22</f>
        <v>55545.583333333343</v>
      </c>
      <c r="DW38" s="888">
        <f>$G38*(1+$I38)^ROUNDUP(IFERROR(DATEDIF($H38-1,DW$16+1,"m"),)/12,)*Index!DV$22</f>
        <v>55545.583333333343</v>
      </c>
      <c r="DX38" s="888">
        <f>$G38*(1+$I38)^ROUNDUP(IFERROR(DATEDIF($H38-1,DX$16+1,"m"),)/12,)*Index!DW$22</f>
        <v>55545.583333333343</v>
      </c>
      <c r="DY38" s="888">
        <f>$G38*(1+$I38)^ROUNDUP(IFERROR(DATEDIF($H38-1,DY$16+1,"m"),)/12,)*Index!DX$22</f>
        <v>55545.583333333343</v>
      </c>
      <c r="DZ38" s="888">
        <f>$G38*(1+$I38)^ROUNDUP(IFERROR(DATEDIF($H38-1,DZ$16+1,"m"),)/12,)*Index!DY$22</f>
        <v>55545.583333333343</v>
      </c>
      <c r="EA38" s="888">
        <f>$G38*(1+$I38)^ROUNDUP(IFERROR(DATEDIF($H38-1,EA$16+1,"m"),)/12,)*Index!DZ$22</f>
        <v>55545.583333333343</v>
      </c>
      <c r="EB38" s="888">
        <f>$G38*(1+$I38)^ROUNDUP(IFERROR(DATEDIF($H38-1,EB$16+1,"m"),)/12,)*Index!EA$22</f>
        <v>55545.583333333343</v>
      </c>
      <c r="EC38" s="888">
        <f>$G38*(1+$I38)^ROUNDUP(IFERROR(DATEDIF($H38-1,EC$16+1,"m"),)/12,)*Index!EB$22</f>
        <v>55545.583333333343</v>
      </c>
      <c r="ED38" s="888">
        <f>$G38*(1+$I38)^ROUNDUP(IFERROR(DATEDIF($H38-1,ED$16+1,"m"),)/12,)*Index!EC$22</f>
        <v>0</v>
      </c>
      <c r="EE38" s="888">
        <f>$G38*(1+$I38)^ROUNDUP(IFERROR(DATEDIF($H38-1,EE$16+1,"m"),)/12,)*Index!ED$22</f>
        <v>0</v>
      </c>
      <c r="EF38" s="888">
        <f>$G38*(1+$I38)^ROUNDUP(IFERROR(DATEDIF($H38-1,EF$16+1,"m"),)/12,)*Index!EE$22</f>
        <v>0</v>
      </c>
      <c r="EG38" s="888">
        <f>$G38*(1+$I38)^ROUNDUP(IFERROR(DATEDIF($H38-1,EG$16+1,"m"),)/12,)*Index!EF$22</f>
        <v>0</v>
      </c>
      <c r="EH38" s="888">
        <f>$G38*(1+$I38)^ROUNDUP(IFERROR(DATEDIF($H38-1,EH$16+1,"m"),)/12,)*Index!EG$22</f>
        <v>0</v>
      </c>
      <c r="EI38" s="888">
        <f>$G38*(1+$I38)^ROUNDUP(IFERROR(DATEDIF($H38-1,EI$16+1,"m"),)/12,)*Index!EH$22</f>
        <v>0</v>
      </c>
      <c r="EJ38" s="888">
        <f>$G38*(1+$I38)^ROUNDUP(IFERROR(DATEDIF($H38-1,EJ$16+1,"m"),)/12,)*Index!EI$22</f>
        <v>0</v>
      </c>
      <c r="EK38" s="888">
        <f>$G38*(1+$I38)^ROUNDUP(IFERROR(DATEDIF($H38-1,EK$16+1,"m"),)/12,)*Index!EJ$22</f>
        <v>0</v>
      </c>
      <c r="EL38" s="888">
        <f>$G38*(1+$I38)^ROUNDUP(IFERROR(DATEDIF($H38-1,EL$16+1,"m"),)/12,)*Index!EK$22</f>
        <v>0</v>
      </c>
      <c r="EM38" s="888">
        <f>$G38*(1+$I38)^ROUNDUP(IFERROR(DATEDIF($H38-1,EM$16+1,"m"),)/12,)*Index!EL$22</f>
        <v>0</v>
      </c>
      <c r="EN38" s="888">
        <f>$G38*(1+$I38)^ROUNDUP(IFERROR(DATEDIF($H38-1,EN$16+1,"m"),)/12,)*Index!EM$22</f>
        <v>0</v>
      </c>
      <c r="EO38" s="888">
        <f>$G38*(1+$I38)^ROUNDUP(IFERROR(DATEDIF($H38-1,EO$16+1,"m"),)/12,)*Index!EN$22</f>
        <v>0</v>
      </c>
      <c r="EP38" s="888">
        <f>$G38*(1+$I38)^ROUNDUP(IFERROR(DATEDIF($H38-1,EP$16+1,"m"),)/12,)*Index!EO$22</f>
        <v>0</v>
      </c>
      <c r="EQ38" s="888">
        <f>$G38*(1+$I38)^ROUNDUP(IFERROR(DATEDIF($H38-1,EQ$16+1,"m"),)/12,)*Index!EP$22</f>
        <v>0</v>
      </c>
      <c r="ER38" s="888">
        <f>$G38*(1+$I38)^ROUNDUP(IFERROR(DATEDIF($H38-1,ER$16+1,"m"),)/12,)*Index!EQ$22</f>
        <v>0</v>
      </c>
    </row>
    <row r="39" spans="2:148" ht="11.25" customHeight="1">
      <c r="B39" s="218"/>
      <c r="C39" s="163"/>
      <c r="D39" s="2621" t="s">
        <v>191</v>
      </c>
      <c r="E39" s="2617"/>
      <c r="G39" s="805">
        <f>'A&amp;R'!Q83</f>
        <v>1000</v>
      </c>
      <c r="H39" s="806">
        <f>'A&amp;R'!U83</f>
        <v>46691</v>
      </c>
      <c r="I39" s="807">
        <f>'A&amp;R'!T83</f>
        <v>0</v>
      </c>
      <c r="J39" s="222"/>
      <c r="K39" s="171">
        <f t="shared" si="19"/>
        <v>120000</v>
      </c>
      <c r="L39" s="98"/>
      <c r="M39" s="171">
        <f>$G39*(1+$I39)^ROUNDUP(IFERROR(DATEDIF($H39-1,M$16+1,"m"),)/12,)*Index!L$22</f>
        <v>0</v>
      </c>
      <c r="N39" s="171">
        <f>$G39*(1+$I39)^ROUNDUP(IFERROR(DATEDIF($H39-1,N$16+1,"m"),)/12,)*Index!M$22</f>
        <v>1000</v>
      </c>
      <c r="O39" s="171">
        <f>$G39*(1+$I39)^ROUNDUP(IFERROR(DATEDIF($H39-1,O$16+1,"m"),)/12,)*Index!N$22</f>
        <v>1000</v>
      </c>
      <c r="P39" s="171">
        <f>$G39*(1+$I39)^ROUNDUP(IFERROR(DATEDIF($H39-1,P$16+1,"m"),)/12,)*Index!O$22</f>
        <v>1000</v>
      </c>
      <c r="Q39" s="171">
        <f>$G39*(1+$I39)^ROUNDUP(IFERROR(DATEDIF($H39-1,Q$16+1,"m"),)/12,)*Index!P$22</f>
        <v>1000</v>
      </c>
      <c r="R39" s="171">
        <f>$G39*(1+$I39)^ROUNDUP(IFERROR(DATEDIF($H39-1,R$16+1,"m"),)/12,)*Index!Q$22</f>
        <v>1000</v>
      </c>
      <c r="S39" s="171">
        <f>$G39*(1+$I39)^ROUNDUP(IFERROR(DATEDIF($H39-1,S$16+1,"m"),)/12,)*Index!R$22</f>
        <v>1000</v>
      </c>
      <c r="T39" s="171">
        <f>$G39*(1+$I39)^ROUNDUP(IFERROR(DATEDIF($H39-1,T$16+1,"m"),)/12,)*Index!S$22</f>
        <v>1000</v>
      </c>
      <c r="U39" s="171">
        <f>$G39*(1+$I39)^ROUNDUP(IFERROR(DATEDIF($H39-1,U$16+1,"m"),)/12,)*Index!T$22</f>
        <v>1000</v>
      </c>
      <c r="V39" s="171">
        <f>$G39*(1+$I39)^ROUNDUP(IFERROR(DATEDIF($H39-1,V$16+1,"m"),)/12,)*Index!U$22</f>
        <v>1000</v>
      </c>
      <c r="W39" s="171">
        <f>$G39*(1+$I39)^ROUNDUP(IFERROR(DATEDIF($H39-1,W$16+1,"m"),)/12,)*Index!V$22</f>
        <v>1000</v>
      </c>
      <c r="X39" s="171">
        <f>$G39*(1+$I39)^ROUNDUP(IFERROR(DATEDIF($H39-1,X$16+1,"m"),)/12,)*Index!W$22</f>
        <v>1000</v>
      </c>
      <c r="Y39" s="171">
        <f>$G39*(1+$I39)^ROUNDUP(IFERROR(DATEDIF($H39-1,Y$16+1,"m"),)/12,)*Index!X$22</f>
        <v>1000</v>
      </c>
      <c r="Z39" s="171">
        <f>$G39*(1+$I39)^ROUNDUP(IFERROR(DATEDIF($H39-1,Z$16+1,"m"),)/12,)*Index!Y$22</f>
        <v>1000</v>
      </c>
      <c r="AA39" s="171">
        <f>$G39*(1+$I39)^ROUNDUP(IFERROR(DATEDIF($H39-1,AA$16+1,"m"),)/12,)*Index!Z$22</f>
        <v>1000</v>
      </c>
      <c r="AB39" s="171">
        <f>$G39*(1+$I39)^ROUNDUP(IFERROR(DATEDIF($H39-1,AB$16+1,"m"),)/12,)*Index!AA$22</f>
        <v>1000</v>
      </c>
      <c r="AC39" s="171">
        <f>$G39*(1+$I39)^ROUNDUP(IFERROR(DATEDIF($H39-1,AC$16+1,"m"),)/12,)*Index!AB$22</f>
        <v>1000</v>
      </c>
      <c r="AD39" s="171">
        <f>$G39*(1+$I39)^ROUNDUP(IFERROR(DATEDIF($H39-1,AD$16+1,"m"),)/12,)*Index!AC$22</f>
        <v>1000</v>
      </c>
      <c r="AE39" s="171">
        <f>$G39*(1+$I39)^ROUNDUP(IFERROR(DATEDIF($H39-1,AE$16+1,"m"),)/12,)*Index!AD$22</f>
        <v>1000</v>
      </c>
      <c r="AF39" s="171">
        <f>$G39*(1+$I39)^ROUNDUP(IFERROR(DATEDIF($H39-1,AF$16+1,"m"),)/12,)*Index!AE$22</f>
        <v>1000</v>
      </c>
      <c r="AG39" s="171">
        <f>$G39*(1+$I39)^ROUNDUP(IFERROR(DATEDIF($H39-1,AG$16+1,"m"),)/12,)*Index!AF$22</f>
        <v>1000</v>
      </c>
      <c r="AH39" s="171">
        <f>$G39*(1+$I39)^ROUNDUP(IFERROR(DATEDIF($H39-1,AH$16+1,"m"),)/12,)*Index!AG$22</f>
        <v>1000</v>
      </c>
      <c r="AI39" s="171">
        <f>$G39*(1+$I39)^ROUNDUP(IFERROR(DATEDIF($H39-1,AI$16+1,"m"),)/12,)*Index!AH$22</f>
        <v>1000</v>
      </c>
      <c r="AJ39" s="171">
        <f>$G39*(1+$I39)^ROUNDUP(IFERROR(DATEDIF($H39-1,AJ$16+1,"m"),)/12,)*Index!AI$22</f>
        <v>1000</v>
      </c>
      <c r="AK39" s="171">
        <f>$G39*(1+$I39)^ROUNDUP(IFERROR(DATEDIF($H39-1,AK$16+1,"m"),)/12,)*Index!AJ$22</f>
        <v>1000</v>
      </c>
      <c r="AL39" s="171">
        <f>$G39*(1+$I39)^ROUNDUP(IFERROR(DATEDIF($H39-1,AL$16+1,"m"),)/12,)*Index!AK$22</f>
        <v>1000</v>
      </c>
      <c r="AM39" s="171">
        <f>$G39*(1+$I39)^ROUNDUP(IFERROR(DATEDIF($H39-1,AM$16+1,"m"),)/12,)*Index!AL$22</f>
        <v>1000</v>
      </c>
      <c r="AN39" s="171">
        <f>$G39*(1+$I39)^ROUNDUP(IFERROR(DATEDIF($H39-1,AN$16+1,"m"),)/12,)*Index!AM$22</f>
        <v>1000</v>
      </c>
      <c r="AO39" s="171">
        <f>$G39*(1+$I39)^ROUNDUP(IFERROR(DATEDIF($H39-1,AO$16+1,"m"),)/12,)*Index!AN$22</f>
        <v>1000</v>
      </c>
      <c r="AP39" s="171">
        <f>$G39*(1+$I39)^ROUNDUP(IFERROR(DATEDIF($H39-1,AP$16+1,"m"),)/12,)*Index!AO$22</f>
        <v>1000</v>
      </c>
      <c r="AQ39" s="171">
        <f>$G39*(1+$I39)^ROUNDUP(IFERROR(DATEDIF($H39-1,AQ$16+1,"m"),)/12,)*Index!AP$22</f>
        <v>1000</v>
      </c>
      <c r="AR39" s="171">
        <f>$G39*(1+$I39)^ROUNDUP(IFERROR(DATEDIF($H39-1,AR$16+1,"m"),)/12,)*Index!AQ$22</f>
        <v>1000</v>
      </c>
      <c r="AS39" s="171">
        <f>$G39*(1+$I39)^ROUNDUP(IFERROR(DATEDIF($H39-1,AS$16+1,"m"),)/12,)*Index!AR$22</f>
        <v>1000</v>
      </c>
      <c r="AT39" s="171">
        <f>$G39*(1+$I39)^ROUNDUP(IFERROR(DATEDIF($H39-1,AT$16+1,"m"),)/12,)*Index!AS$22</f>
        <v>1000</v>
      </c>
      <c r="AU39" s="171">
        <f>$G39*(1+$I39)^ROUNDUP(IFERROR(DATEDIF($H39-1,AU$16+1,"m"),)/12,)*Index!AT$22</f>
        <v>1000</v>
      </c>
      <c r="AV39" s="171">
        <f>$G39*(1+$I39)^ROUNDUP(IFERROR(DATEDIF($H39-1,AV$16+1,"m"),)/12,)*Index!AU$22</f>
        <v>1000</v>
      </c>
      <c r="AW39" s="171">
        <f>$G39*(1+$I39)^ROUNDUP(IFERROR(DATEDIF($H39-1,AW$16+1,"m"),)/12,)*Index!AV$22</f>
        <v>1000</v>
      </c>
      <c r="AX39" s="171">
        <f>$G39*(1+$I39)^ROUNDUP(IFERROR(DATEDIF($H39-1,AX$16+1,"m"),)/12,)*Index!AW$22</f>
        <v>1000</v>
      </c>
      <c r="AY39" s="171">
        <f>$G39*(1+$I39)^ROUNDUP(IFERROR(DATEDIF($H39-1,AY$16+1,"m"),)/12,)*Index!AX$22</f>
        <v>1000</v>
      </c>
      <c r="AZ39" s="171">
        <f>$G39*(1+$I39)^ROUNDUP(IFERROR(DATEDIF($H39-1,AZ$16+1,"m"),)/12,)*Index!AY$22</f>
        <v>1000</v>
      </c>
      <c r="BA39" s="171">
        <f>$G39*(1+$I39)^ROUNDUP(IFERROR(DATEDIF($H39-1,BA$16+1,"m"),)/12,)*Index!AZ$22</f>
        <v>1000</v>
      </c>
      <c r="BB39" s="171">
        <f>$G39*(1+$I39)^ROUNDUP(IFERROR(DATEDIF($H39-1,BB$16+1,"m"),)/12,)*Index!BA$22</f>
        <v>1000</v>
      </c>
      <c r="BC39" s="171">
        <f>$G39*(1+$I39)^ROUNDUP(IFERROR(DATEDIF($H39-1,BC$16+1,"m"),)/12,)*Index!BB$22</f>
        <v>1000</v>
      </c>
      <c r="BD39" s="171">
        <f>$G39*(1+$I39)^ROUNDUP(IFERROR(DATEDIF($H39-1,BD$16+1,"m"),)/12,)*Index!BC$22</f>
        <v>1000</v>
      </c>
      <c r="BE39" s="171">
        <f>$G39*(1+$I39)^ROUNDUP(IFERROR(DATEDIF($H39-1,BE$16+1,"m"),)/12,)*Index!BD$22</f>
        <v>1000</v>
      </c>
      <c r="BF39" s="171">
        <f>$G39*(1+$I39)^ROUNDUP(IFERROR(DATEDIF($H39-1,BF$16+1,"m"),)/12,)*Index!BE$22</f>
        <v>1000</v>
      </c>
      <c r="BG39" s="171">
        <f>$G39*(1+$I39)^ROUNDUP(IFERROR(DATEDIF($H39-1,BG$16+1,"m"),)/12,)*Index!BF$22</f>
        <v>1000</v>
      </c>
      <c r="BH39" s="171">
        <f>$G39*(1+$I39)^ROUNDUP(IFERROR(DATEDIF($H39-1,BH$16+1,"m"),)/12,)*Index!BG$22</f>
        <v>1000</v>
      </c>
      <c r="BI39" s="171">
        <f>$G39*(1+$I39)^ROUNDUP(IFERROR(DATEDIF($H39-1,BI$16+1,"m"),)/12,)*Index!BH$22</f>
        <v>1000</v>
      </c>
      <c r="BJ39" s="171">
        <f>$G39*(1+$I39)^ROUNDUP(IFERROR(DATEDIF($H39-1,BJ$16+1,"m"),)/12,)*Index!BI$22</f>
        <v>1000</v>
      </c>
      <c r="BK39" s="171">
        <f>$G39*(1+$I39)^ROUNDUP(IFERROR(DATEDIF($H39-1,BK$16+1,"m"),)/12,)*Index!BJ$22</f>
        <v>1000</v>
      </c>
      <c r="BL39" s="171">
        <f>$G39*(1+$I39)^ROUNDUP(IFERROR(DATEDIF($H39-1,BL$16+1,"m"),)/12,)*Index!BK$22</f>
        <v>1000</v>
      </c>
      <c r="BM39" s="171">
        <f>$G39*(1+$I39)^ROUNDUP(IFERROR(DATEDIF($H39-1,BM$16+1,"m"),)/12,)*Index!BL$22</f>
        <v>1000</v>
      </c>
      <c r="BN39" s="171">
        <f>$G39*(1+$I39)^ROUNDUP(IFERROR(DATEDIF($H39-1,BN$16+1,"m"),)/12,)*Index!BM$22</f>
        <v>1000</v>
      </c>
      <c r="BO39" s="171">
        <f>$G39*(1+$I39)^ROUNDUP(IFERROR(DATEDIF($H39-1,BO$16+1,"m"),)/12,)*Index!BN$22</f>
        <v>1000</v>
      </c>
      <c r="BP39" s="171">
        <f>$G39*(1+$I39)^ROUNDUP(IFERROR(DATEDIF($H39-1,BP$16+1,"m"),)/12,)*Index!BO$22</f>
        <v>1000</v>
      </c>
      <c r="BQ39" s="171">
        <f>$G39*(1+$I39)^ROUNDUP(IFERROR(DATEDIF($H39-1,BQ$16+1,"m"),)/12,)*Index!BP$22</f>
        <v>1000</v>
      </c>
      <c r="BR39" s="171">
        <f>$G39*(1+$I39)^ROUNDUP(IFERROR(DATEDIF($H39-1,BR$16+1,"m"),)/12,)*Index!BQ$22</f>
        <v>1000</v>
      </c>
      <c r="BS39" s="171">
        <f>$G39*(1+$I39)^ROUNDUP(IFERROR(DATEDIF($H39-1,BS$16+1,"m"),)/12,)*Index!BR$22</f>
        <v>1000</v>
      </c>
      <c r="BT39" s="171">
        <f>$G39*(1+$I39)^ROUNDUP(IFERROR(DATEDIF($H39-1,BT$16+1,"m"),)/12,)*Index!BS$22</f>
        <v>1000</v>
      </c>
      <c r="BU39" s="171">
        <f>$G39*(1+$I39)^ROUNDUP(IFERROR(DATEDIF($H39-1,BU$16+1,"m"),)/12,)*Index!BT$22</f>
        <v>1000</v>
      </c>
      <c r="BV39" s="171">
        <f>$G39*(1+$I39)^ROUNDUP(IFERROR(DATEDIF($H39-1,BV$16+1,"m"),)/12,)*Index!BU$22</f>
        <v>1000</v>
      </c>
      <c r="BW39" s="171">
        <f>$G39*(1+$I39)^ROUNDUP(IFERROR(DATEDIF($H39-1,BW$16+1,"m"),)/12,)*Index!BV$22</f>
        <v>1000</v>
      </c>
      <c r="BX39" s="171">
        <f>$G39*(1+$I39)^ROUNDUP(IFERROR(DATEDIF($H39-1,BX$16+1,"m"),)/12,)*Index!BW$22</f>
        <v>1000</v>
      </c>
      <c r="BY39" s="171">
        <f>$G39*(1+$I39)^ROUNDUP(IFERROR(DATEDIF($H39-1,BY$16+1,"m"),)/12,)*Index!BX$22</f>
        <v>1000</v>
      </c>
      <c r="BZ39" s="171">
        <f>$G39*(1+$I39)^ROUNDUP(IFERROR(DATEDIF($H39-1,BZ$16+1,"m"),)/12,)*Index!BY$22</f>
        <v>1000</v>
      </c>
      <c r="CA39" s="171">
        <f>$G39*(1+$I39)^ROUNDUP(IFERROR(DATEDIF($H39-1,CA$16+1,"m"),)/12,)*Index!BZ$22</f>
        <v>1000</v>
      </c>
      <c r="CB39" s="171">
        <f>$G39*(1+$I39)^ROUNDUP(IFERROR(DATEDIF($H39-1,CB$16+1,"m"),)/12,)*Index!CA$22</f>
        <v>1000</v>
      </c>
      <c r="CC39" s="171">
        <f>$G39*(1+$I39)^ROUNDUP(IFERROR(DATEDIF($H39-1,CC$16+1,"m"),)/12,)*Index!CB$22</f>
        <v>1000</v>
      </c>
      <c r="CD39" s="171">
        <f>$G39*(1+$I39)^ROUNDUP(IFERROR(DATEDIF($H39-1,CD$16+1,"m"),)/12,)*Index!CC$22</f>
        <v>1000</v>
      </c>
      <c r="CE39" s="171">
        <f>$G39*(1+$I39)^ROUNDUP(IFERROR(DATEDIF($H39-1,CE$16+1,"m"),)/12,)*Index!CD$22</f>
        <v>1000</v>
      </c>
      <c r="CF39" s="171">
        <f>$G39*(1+$I39)^ROUNDUP(IFERROR(DATEDIF($H39-1,CF$16+1,"m"),)/12,)*Index!CE$22</f>
        <v>1000</v>
      </c>
      <c r="CG39" s="171">
        <f>$G39*(1+$I39)^ROUNDUP(IFERROR(DATEDIF($H39-1,CG$16+1,"m"),)/12,)*Index!CF$22</f>
        <v>1000</v>
      </c>
      <c r="CH39" s="171">
        <f>$G39*(1+$I39)^ROUNDUP(IFERROR(DATEDIF($H39-1,CH$16+1,"m"),)/12,)*Index!CG$22</f>
        <v>1000</v>
      </c>
      <c r="CI39" s="171">
        <f>$G39*(1+$I39)^ROUNDUP(IFERROR(DATEDIF($H39-1,CI$16+1,"m"),)/12,)*Index!CH$22</f>
        <v>1000</v>
      </c>
      <c r="CJ39" s="171">
        <f>$G39*(1+$I39)^ROUNDUP(IFERROR(DATEDIF($H39-1,CJ$16+1,"m"),)/12,)*Index!CI$22</f>
        <v>1000</v>
      </c>
      <c r="CK39" s="171">
        <f>$G39*(1+$I39)^ROUNDUP(IFERROR(DATEDIF($H39-1,CK$16+1,"m"),)/12,)*Index!CJ$22</f>
        <v>1000</v>
      </c>
      <c r="CL39" s="171">
        <f>$G39*(1+$I39)^ROUNDUP(IFERROR(DATEDIF($H39-1,CL$16+1,"m"),)/12,)*Index!CK$22</f>
        <v>1000</v>
      </c>
      <c r="CM39" s="171">
        <f>$G39*(1+$I39)^ROUNDUP(IFERROR(DATEDIF($H39-1,CM$16+1,"m"),)/12,)*Index!CL$22</f>
        <v>1000</v>
      </c>
      <c r="CN39" s="171">
        <f>$G39*(1+$I39)^ROUNDUP(IFERROR(DATEDIF($H39-1,CN$16+1,"m"),)/12,)*Index!CM$22</f>
        <v>1000</v>
      </c>
      <c r="CO39" s="171">
        <f>$G39*(1+$I39)^ROUNDUP(IFERROR(DATEDIF($H39-1,CO$16+1,"m"),)/12,)*Index!CN$22</f>
        <v>1000</v>
      </c>
      <c r="CP39" s="171">
        <f>$G39*(1+$I39)^ROUNDUP(IFERROR(DATEDIF($H39-1,CP$16+1,"m"),)/12,)*Index!CO$22</f>
        <v>1000</v>
      </c>
      <c r="CQ39" s="171">
        <f>$G39*(1+$I39)^ROUNDUP(IFERROR(DATEDIF($H39-1,CQ$16+1,"m"),)/12,)*Index!CP$22</f>
        <v>1000</v>
      </c>
      <c r="CR39" s="171">
        <f>$G39*(1+$I39)^ROUNDUP(IFERROR(DATEDIF($H39-1,CR$16+1,"m"),)/12,)*Index!CQ$22</f>
        <v>1000</v>
      </c>
      <c r="CS39" s="171">
        <f>$G39*(1+$I39)^ROUNDUP(IFERROR(DATEDIF($H39-1,CS$16+1,"m"),)/12,)*Index!CR$22</f>
        <v>1000</v>
      </c>
      <c r="CT39" s="171">
        <f>$G39*(1+$I39)^ROUNDUP(IFERROR(DATEDIF($H39-1,CT$16+1,"m"),)/12,)*Index!CS$22</f>
        <v>1000</v>
      </c>
      <c r="CU39" s="171">
        <f>$G39*(1+$I39)^ROUNDUP(IFERROR(DATEDIF($H39-1,CU$16+1,"m"),)/12,)*Index!CT$22</f>
        <v>1000</v>
      </c>
      <c r="CV39" s="171">
        <f>$G39*(1+$I39)^ROUNDUP(IFERROR(DATEDIF($H39-1,CV$16+1,"m"),)/12,)*Index!CU$22</f>
        <v>1000</v>
      </c>
      <c r="CW39" s="171">
        <f>$G39*(1+$I39)^ROUNDUP(IFERROR(DATEDIF($H39-1,CW$16+1,"m"),)/12,)*Index!CV$22</f>
        <v>1000</v>
      </c>
      <c r="CX39" s="171">
        <f>$G39*(1+$I39)^ROUNDUP(IFERROR(DATEDIF($H39-1,CX$16+1,"m"),)/12,)*Index!CW$22</f>
        <v>1000</v>
      </c>
      <c r="CY39" s="171">
        <f>$G39*(1+$I39)^ROUNDUP(IFERROR(DATEDIF($H39-1,CY$16+1,"m"),)/12,)*Index!CX$22</f>
        <v>1000</v>
      </c>
      <c r="CZ39" s="171">
        <f>$G39*(1+$I39)^ROUNDUP(IFERROR(DATEDIF($H39-1,CZ$16+1,"m"),)/12,)*Index!CY$22</f>
        <v>1000</v>
      </c>
      <c r="DA39" s="171">
        <f>$G39*(1+$I39)^ROUNDUP(IFERROR(DATEDIF($H39-1,DA$16+1,"m"),)/12,)*Index!CZ$22</f>
        <v>1000</v>
      </c>
      <c r="DB39" s="171">
        <f>$G39*(1+$I39)^ROUNDUP(IFERROR(DATEDIF($H39-1,DB$16+1,"m"),)/12,)*Index!DA$22</f>
        <v>1000</v>
      </c>
      <c r="DC39" s="171">
        <f>$G39*(1+$I39)^ROUNDUP(IFERROR(DATEDIF($H39-1,DC$16+1,"m"),)/12,)*Index!DB$22</f>
        <v>1000</v>
      </c>
      <c r="DD39" s="171">
        <f>$G39*(1+$I39)^ROUNDUP(IFERROR(DATEDIF($H39-1,DD$16+1,"m"),)/12,)*Index!DC$22</f>
        <v>1000</v>
      </c>
      <c r="DE39" s="171">
        <f>$G39*(1+$I39)^ROUNDUP(IFERROR(DATEDIF($H39-1,DE$16+1,"m"),)/12,)*Index!DD$22</f>
        <v>1000</v>
      </c>
      <c r="DF39" s="171">
        <f>$G39*(1+$I39)^ROUNDUP(IFERROR(DATEDIF($H39-1,DF$16+1,"m"),)/12,)*Index!DE$22</f>
        <v>1000</v>
      </c>
      <c r="DG39" s="171">
        <f>$G39*(1+$I39)^ROUNDUP(IFERROR(DATEDIF($H39-1,DG$16+1,"m"),)/12,)*Index!DF$22</f>
        <v>1000</v>
      </c>
      <c r="DH39" s="171">
        <f>$G39*(1+$I39)^ROUNDUP(IFERROR(DATEDIF($H39-1,DH$16+1,"m"),)/12,)*Index!DG$22</f>
        <v>1000</v>
      </c>
      <c r="DI39" s="171">
        <f>$G39*(1+$I39)^ROUNDUP(IFERROR(DATEDIF($H39-1,DI$16+1,"m"),)/12,)*Index!DH$22</f>
        <v>1000</v>
      </c>
      <c r="DJ39" s="171">
        <f>$G39*(1+$I39)^ROUNDUP(IFERROR(DATEDIF($H39-1,DJ$16+1,"m"),)/12,)*Index!DI$22</f>
        <v>1000</v>
      </c>
      <c r="DK39" s="171">
        <f>$G39*(1+$I39)^ROUNDUP(IFERROR(DATEDIF($H39-1,DK$16+1,"m"),)/12,)*Index!DJ$22</f>
        <v>1000</v>
      </c>
      <c r="DL39" s="171">
        <f>$G39*(1+$I39)^ROUNDUP(IFERROR(DATEDIF($H39-1,DL$16+1,"m"),)/12,)*Index!DK$22</f>
        <v>1000</v>
      </c>
      <c r="DM39" s="171">
        <f>$G39*(1+$I39)^ROUNDUP(IFERROR(DATEDIF($H39-1,DM$16+1,"m"),)/12,)*Index!DL$22</f>
        <v>1000</v>
      </c>
      <c r="DN39" s="171">
        <f>$G39*(1+$I39)^ROUNDUP(IFERROR(DATEDIF($H39-1,DN$16+1,"m"),)/12,)*Index!DM$22</f>
        <v>1000</v>
      </c>
      <c r="DO39" s="171">
        <f>$G39*(1+$I39)^ROUNDUP(IFERROR(DATEDIF($H39-1,DO$16+1,"m"),)/12,)*Index!DN$22</f>
        <v>1000</v>
      </c>
      <c r="DP39" s="171">
        <f>$G39*(1+$I39)^ROUNDUP(IFERROR(DATEDIF($H39-1,DP$16+1,"m"),)/12,)*Index!DO$22</f>
        <v>1000</v>
      </c>
      <c r="DQ39" s="171">
        <f>$G39*(1+$I39)^ROUNDUP(IFERROR(DATEDIF($H39-1,DQ$16+1,"m"),)/12,)*Index!DP$22</f>
        <v>1000</v>
      </c>
      <c r="DR39" s="171">
        <f>$G39*(1+$I39)^ROUNDUP(IFERROR(DATEDIF($H39-1,DR$16+1,"m"),)/12,)*Index!DQ$22</f>
        <v>1000</v>
      </c>
      <c r="DS39" s="171">
        <f>$G39*(1+$I39)^ROUNDUP(IFERROR(DATEDIF($H39-1,DS$16+1,"m"),)/12,)*Index!DR$22</f>
        <v>1000</v>
      </c>
      <c r="DT39" s="171">
        <f>$G39*(1+$I39)^ROUNDUP(IFERROR(DATEDIF($H39-1,DT$16+1,"m"),)/12,)*Index!DS$22</f>
        <v>1000</v>
      </c>
      <c r="DU39" s="171">
        <f>$G39*(1+$I39)^ROUNDUP(IFERROR(DATEDIF($H39-1,DU$16+1,"m"),)/12,)*Index!DT$22</f>
        <v>1000</v>
      </c>
      <c r="DV39" s="171">
        <f>$G39*(1+$I39)^ROUNDUP(IFERROR(DATEDIF($H39-1,DV$16+1,"m"),)/12,)*Index!DU$22</f>
        <v>1000</v>
      </c>
      <c r="DW39" s="171">
        <f>$G39*(1+$I39)^ROUNDUP(IFERROR(DATEDIF($H39-1,DW$16+1,"m"),)/12,)*Index!DV$22</f>
        <v>1000</v>
      </c>
      <c r="DX39" s="171">
        <f>$G39*(1+$I39)^ROUNDUP(IFERROR(DATEDIF($H39-1,DX$16+1,"m"),)/12,)*Index!DW$22</f>
        <v>1000</v>
      </c>
      <c r="DY39" s="171">
        <f>$G39*(1+$I39)^ROUNDUP(IFERROR(DATEDIF($H39-1,DY$16+1,"m"),)/12,)*Index!DX$22</f>
        <v>1000</v>
      </c>
      <c r="DZ39" s="171">
        <f>$G39*(1+$I39)^ROUNDUP(IFERROR(DATEDIF($H39-1,DZ$16+1,"m"),)/12,)*Index!DY$22</f>
        <v>1000</v>
      </c>
      <c r="EA39" s="171">
        <f>$G39*(1+$I39)^ROUNDUP(IFERROR(DATEDIF($H39-1,EA$16+1,"m"),)/12,)*Index!DZ$22</f>
        <v>1000</v>
      </c>
      <c r="EB39" s="171">
        <f>$G39*(1+$I39)^ROUNDUP(IFERROR(DATEDIF($H39-1,EB$16+1,"m"),)/12,)*Index!EA$22</f>
        <v>1000</v>
      </c>
      <c r="EC39" s="171">
        <f>$G39*(1+$I39)^ROUNDUP(IFERROR(DATEDIF($H39-1,EC$16+1,"m"),)/12,)*Index!EB$22</f>
        <v>1000</v>
      </c>
      <c r="ED39" s="171">
        <f>$G39*(1+$I39)^ROUNDUP(IFERROR(DATEDIF($H39-1,ED$16+1,"m"),)/12,)*Index!EC$22</f>
        <v>0</v>
      </c>
      <c r="EE39" s="171">
        <f>$G39*(1+$I39)^ROUNDUP(IFERROR(DATEDIF($H39-1,EE$16+1,"m"),)/12,)*Index!ED$22</f>
        <v>0</v>
      </c>
      <c r="EF39" s="171">
        <f>$G39*(1+$I39)^ROUNDUP(IFERROR(DATEDIF($H39-1,EF$16+1,"m"),)/12,)*Index!EE$22</f>
        <v>0</v>
      </c>
      <c r="EG39" s="171">
        <f>$G39*(1+$I39)^ROUNDUP(IFERROR(DATEDIF($H39-1,EG$16+1,"m"),)/12,)*Index!EF$22</f>
        <v>0</v>
      </c>
      <c r="EH39" s="171">
        <f>$G39*(1+$I39)^ROUNDUP(IFERROR(DATEDIF($H39-1,EH$16+1,"m"),)/12,)*Index!EG$22</f>
        <v>0</v>
      </c>
      <c r="EI39" s="171">
        <f>$G39*(1+$I39)^ROUNDUP(IFERROR(DATEDIF($H39-1,EI$16+1,"m"),)/12,)*Index!EH$22</f>
        <v>0</v>
      </c>
      <c r="EJ39" s="171">
        <f>$G39*(1+$I39)^ROUNDUP(IFERROR(DATEDIF($H39-1,EJ$16+1,"m"),)/12,)*Index!EI$22</f>
        <v>0</v>
      </c>
      <c r="EK39" s="171">
        <f>$G39*(1+$I39)^ROUNDUP(IFERROR(DATEDIF($H39-1,EK$16+1,"m"),)/12,)*Index!EJ$22</f>
        <v>0</v>
      </c>
      <c r="EL39" s="171">
        <f>$G39*(1+$I39)^ROUNDUP(IFERROR(DATEDIF($H39-1,EL$16+1,"m"),)/12,)*Index!EK$22</f>
        <v>0</v>
      </c>
      <c r="EM39" s="171">
        <f>$G39*(1+$I39)^ROUNDUP(IFERROR(DATEDIF($H39-1,EM$16+1,"m"),)/12,)*Index!EL$22</f>
        <v>0</v>
      </c>
      <c r="EN39" s="171">
        <f>$G39*(1+$I39)^ROUNDUP(IFERROR(DATEDIF($H39-1,EN$16+1,"m"),)/12,)*Index!EM$22</f>
        <v>0</v>
      </c>
      <c r="EO39" s="171">
        <f>$G39*(1+$I39)^ROUNDUP(IFERROR(DATEDIF($H39-1,EO$16+1,"m"),)/12,)*Index!EN$22</f>
        <v>0</v>
      </c>
      <c r="EP39" s="171">
        <f>$G39*(1+$I39)^ROUNDUP(IFERROR(DATEDIF($H39-1,EP$16+1,"m"),)/12,)*Index!EO$22</f>
        <v>0</v>
      </c>
      <c r="EQ39" s="171">
        <f>$G39*(1+$I39)^ROUNDUP(IFERROR(DATEDIF($H39-1,EQ$16+1,"m"),)/12,)*Index!EP$22</f>
        <v>0</v>
      </c>
      <c r="ER39" s="171">
        <f>$G39*(1+$I39)^ROUNDUP(IFERROR(DATEDIF($H39-1,ER$16+1,"m"),)/12,)*Index!EQ$22</f>
        <v>0</v>
      </c>
    </row>
    <row r="40" spans="2:148" ht="11.25" customHeight="1">
      <c r="B40" s="218"/>
      <c r="C40" s="163"/>
      <c r="D40" s="2621" t="s">
        <v>192</v>
      </c>
      <c r="E40" s="2617"/>
      <c r="G40" s="805">
        <f>'A&amp;R'!Q84</f>
        <v>2169.570072585148</v>
      </c>
      <c r="H40" s="806">
        <f>'A&amp;R'!U84</f>
        <v>46691</v>
      </c>
      <c r="I40" s="807">
        <f>'A&amp;R'!T84</f>
        <v>0</v>
      </c>
      <c r="J40" s="13"/>
      <c r="K40" s="171">
        <f t="shared" si="19"/>
        <v>260348.40871021705</v>
      </c>
      <c r="L40" s="98"/>
      <c r="M40" s="171">
        <f>$G40*(1+$I40)^ROUNDUP(IFERROR(DATEDIF($H40-1,M$16+1,"m"),)/12,)*Index!L$22</f>
        <v>0</v>
      </c>
      <c r="N40" s="171">
        <f>$G40*(1+$I40)^ROUNDUP(IFERROR(DATEDIF($H40-1,N$16+1,"m"),)/12,)*Index!M$22</f>
        <v>2169.570072585148</v>
      </c>
      <c r="O40" s="171">
        <f>$G40*(1+$I40)^ROUNDUP(IFERROR(DATEDIF($H40-1,O$16+1,"m"),)/12,)*Index!N$22</f>
        <v>2169.570072585148</v>
      </c>
      <c r="P40" s="171">
        <f>$G40*(1+$I40)^ROUNDUP(IFERROR(DATEDIF($H40-1,P$16+1,"m"),)/12,)*Index!O$22</f>
        <v>2169.570072585148</v>
      </c>
      <c r="Q40" s="171">
        <f>$G40*(1+$I40)^ROUNDUP(IFERROR(DATEDIF($H40-1,Q$16+1,"m"),)/12,)*Index!P$22</f>
        <v>2169.570072585148</v>
      </c>
      <c r="R40" s="171">
        <f>$G40*(1+$I40)^ROUNDUP(IFERROR(DATEDIF($H40-1,R$16+1,"m"),)/12,)*Index!Q$22</f>
        <v>2169.570072585148</v>
      </c>
      <c r="S40" s="171">
        <f>$G40*(1+$I40)^ROUNDUP(IFERROR(DATEDIF($H40-1,S$16+1,"m"),)/12,)*Index!R$22</f>
        <v>2169.570072585148</v>
      </c>
      <c r="T40" s="171">
        <f>$G40*(1+$I40)^ROUNDUP(IFERROR(DATEDIF($H40-1,T$16+1,"m"),)/12,)*Index!S$22</f>
        <v>2169.570072585148</v>
      </c>
      <c r="U40" s="171">
        <f>$G40*(1+$I40)^ROUNDUP(IFERROR(DATEDIF($H40-1,U$16+1,"m"),)/12,)*Index!T$22</f>
        <v>2169.570072585148</v>
      </c>
      <c r="V40" s="171">
        <f>$G40*(1+$I40)^ROUNDUP(IFERROR(DATEDIF($H40-1,V$16+1,"m"),)/12,)*Index!U$22</f>
        <v>2169.570072585148</v>
      </c>
      <c r="W40" s="171">
        <f>$G40*(1+$I40)^ROUNDUP(IFERROR(DATEDIF($H40-1,W$16+1,"m"),)/12,)*Index!V$22</f>
        <v>2169.570072585148</v>
      </c>
      <c r="X40" s="171">
        <f>$G40*(1+$I40)^ROUNDUP(IFERROR(DATEDIF($H40-1,X$16+1,"m"),)/12,)*Index!W$22</f>
        <v>2169.570072585148</v>
      </c>
      <c r="Y40" s="171">
        <f>$G40*(1+$I40)^ROUNDUP(IFERROR(DATEDIF($H40-1,Y$16+1,"m"),)/12,)*Index!X$22</f>
        <v>2169.570072585148</v>
      </c>
      <c r="Z40" s="171">
        <f>$G40*(1+$I40)^ROUNDUP(IFERROR(DATEDIF($H40-1,Z$16+1,"m"),)/12,)*Index!Y$22</f>
        <v>2169.570072585148</v>
      </c>
      <c r="AA40" s="171">
        <f>$G40*(1+$I40)^ROUNDUP(IFERROR(DATEDIF($H40-1,AA$16+1,"m"),)/12,)*Index!Z$22</f>
        <v>2169.570072585148</v>
      </c>
      <c r="AB40" s="171">
        <f>$G40*(1+$I40)^ROUNDUP(IFERROR(DATEDIF($H40-1,AB$16+1,"m"),)/12,)*Index!AA$22</f>
        <v>2169.570072585148</v>
      </c>
      <c r="AC40" s="171">
        <f>$G40*(1+$I40)^ROUNDUP(IFERROR(DATEDIF($H40-1,AC$16+1,"m"),)/12,)*Index!AB$22</f>
        <v>2169.570072585148</v>
      </c>
      <c r="AD40" s="171">
        <f>$G40*(1+$I40)^ROUNDUP(IFERROR(DATEDIF($H40-1,AD$16+1,"m"),)/12,)*Index!AC$22</f>
        <v>2169.570072585148</v>
      </c>
      <c r="AE40" s="171">
        <f>$G40*(1+$I40)^ROUNDUP(IFERROR(DATEDIF($H40-1,AE$16+1,"m"),)/12,)*Index!AD$22</f>
        <v>2169.570072585148</v>
      </c>
      <c r="AF40" s="171">
        <f>$G40*(1+$I40)^ROUNDUP(IFERROR(DATEDIF($H40-1,AF$16+1,"m"),)/12,)*Index!AE$22</f>
        <v>2169.570072585148</v>
      </c>
      <c r="AG40" s="171">
        <f>$G40*(1+$I40)^ROUNDUP(IFERROR(DATEDIF($H40-1,AG$16+1,"m"),)/12,)*Index!AF$22</f>
        <v>2169.570072585148</v>
      </c>
      <c r="AH40" s="171">
        <f>$G40*(1+$I40)^ROUNDUP(IFERROR(DATEDIF($H40-1,AH$16+1,"m"),)/12,)*Index!AG$22</f>
        <v>2169.570072585148</v>
      </c>
      <c r="AI40" s="171">
        <f>$G40*(1+$I40)^ROUNDUP(IFERROR(DATEDIF($H40-1,AI$16+1,"m"),)/12,)*Index!AH$22</f>
        <v>2169.570072585148</v>
      </c>
      <c r="AJ40" s="171">
        <f>$G40*(1+$I40)^ROUNDUP(IFERROR(DATEDIF($H40-1,AJ$16+1,"m"),)/12,)*Index!AI$22</f>
        <v>2169.570072585148</v>
      </c>
      <c r="AK40" s="171">
        <f>$G40*(1+$I40)^ROUNDUP(IFERROR(DATEDIF($H40-1,AK$16+1,"m"),)/12,)*Index!AJ$22</f>
        <v>2169.570072585148</v>
      </c>
      <c r="AL40" s="171">
        <f>$G40*(1+$I40)^ROUNDUP(IFERROR(DATEDIF($H40-1,AL$16+1,"m"),)/12,)*Index!AK$22</f>
        <v>2169.570072585148</v>
      </c>
      <c r="AM40" s="171">
        <f>$G40*(1+$I40)^ROUNDUP(IFERROR(DATEDIF($H40-1,AM$16+1,"m"),)/12,)*Index!AL$22</f>
        <v>2169.570072585148</v>
      </c>
      <c r="AN40" s="171">
        <f>$G40*(1+$I40)^ROUNDUP(IFERROR(DATEDIF($H40-1,AN$16+1,"m"),)/12,)*Index!AM$22</f>
        <v>2169.570072585148</v>
      </c>
      <c r="AO40" s="171">
        <f>$G40*(1+$I40)^ROUNDUP(IFERROR(DATEDIF($H40-1,AO$16+1,"m"),)/12,)*Index!AN$22</f>
        <v>2169.570072585148</v>
      </c>
      <c r="AP40" s="171">
        <f>$G40*(1+$I40)^ROUNDUP(IFERROR(DATEDIF($H40-1,AP$16+1,"m"),)/12,)*Index!AO$22</f>
        <v>2169.570072585148</v>
      </c>
      <c r="AQ40" s="171">
        <f>$G40*(1+$I40)^ROUNDUP(IFERROR(DATEDIF($H40-1,AQ$16+1,"m"),)/12,)*Index!AP$22</f>
        <v>2169.570072585148</v>
      </c>
      <c r="AR40" s="171">
        <f>$G40*(1+$I40)^ROUNDUP(IFERROR(DATEDIF($H40-1,AR$16+1,"m"),)/12,)*Index!AQ$22</f>
        <v>2169.570072585148</v>
      </c>
      <c r="AS40" s="171">
        <f>$G40*(1+$I40)^ROUNDUP(IFERROR(DATEDIF($H40-1,AS$16+1,"m"),)/12,)*Index!AR$22</f>
        <v>2169.570072585148</v>
      </c>
      <c r="AT40" s="171">
        <f>$G40*(1+$I40)^ROUNDUP(IFERROR(DATEDIF($H40-1,AT$16+1,"m"),)/12,)*Index!AS$22</f>
        <v>2169.570072585148</v>
      </c>
      <c r="AU40" s="171">
        <f>$G40*(1+$I40)^ROUNDUP(IFERROR(DATEDIF($H40-1,AU$16+1,"m"),)/12,)*Index!AT$22</f>
        <v>2169.570072585148</v>
      </c>
      <c r="AV40" s="171">
        <f>$G40*(1+$I40)^ROUNDUP(IFERROR(DATEDIF($H40-1,AV$16+1,"m"),)/12,)*Index!AU$22</f>
        <v>2169.570072585148</v>
      </c>
      <c r="AW40" s="171">
        <f>$G40*(1+$I40)^ROUNDUP(IFERROR(DATEDIF($H40-1,AW$16+1,"m"),)/12,)*Index!AV$22</f>
        <v>2169.570072585148</v>
      </c>
      <c r="AX40" s="171">
        <f>$G40*(1+$I40)^ROUNDUP(IFERROR(DATEDIF($H40-1,AX$16+1,"m"),)/12,)*Index!AW$22</f>
        <v>2169.570072585148</v>
      </c>
      <c r="AY40" s="171">
        <f>$G40*(1+$I40)^ROUNDUP(IFERROR(DATEDIF($H40-1,AY$16+1,"m"),)/12,)*Index!AX$22</f>
        <v>2169.570072585148</v>
      </c>
      <c r="AZ40" s="171">
        <f>$G40*(1+$I40)^ROUNDUP(IFERROR(DATEDIF($H40-1,AZ$16+1,"m"),)/12,)*Index!AY$22</f>
        <v>2169.570072585148</v>
      </c>
      <c r="BA40" s="171">
        <f>$G40*(1+$I40)^ROUNDUP(IFERROR(DATEDIF($H40-1,BA$16+1,"m"),)/12,)*Index!AZ$22</f>
        <v>2169.570072585148</v>
      </c>
      <c r="BB40" s="171">
        <f>$G40*(1+$I40)^ROUNDUP(IFERROR(DATEDIF($H40-1,BB$16+1,"m"),)/12,)*Index!BA$22</f>
        <v>2169.570072585148</v>
      </c>
      <c r="BC40" s="171">
        <f>$G40*(1+$I40)^ROUNDUP(IFERROR(DATEDIF($H40-1,BC$16+1,"m"),)/12,)*Index!BB$22</f>
        <v>2169.570072585148</v>
      </c>
      <c r="BD40" s="171">
        <f>$G40*(1+$I40)^ROUNDUP(IFERROR(DATEDIF($H40-1,BD$16+1,"m"),)/12,)*Index!BC$22</f>
        <v>2169.570072585148</v>
      </c>
      <c r="BE40" s="171">
        <f>$G40*(1+$I40)^ROUNDUP(IFERROR(DATEDIF($H40-1,BE$16+1,"m"),)/12,)*Index!BD$22</f>
        <v>2169.570072585148</v>
      </c>
      <c r="BF40" s="171">
        <f>$G40*(1+$I40)^ROUNDUP(IFERROR(DATEDIF($H40-1,BF$16+1,"m"),)/12,)*Index!BE$22</f>
        <v>2169.570072585148</v>
      </c>
      <c r="BG40" s="171">
        <f>$G40*(1+$I40)^ROUNDUP(IFERROR(DATEDIF($H40-1,BG$16+1,"m"),)/12,)*Index!BF$22</f>
        <v>2169.570072585148</v>
      </c>
      <c r="BH40" s="171">
        <f>$G40*(1+$I40)^ROUNDUP(IFERROR(DATEDIF($H40-1,BH$16+1,"m"),)/12,)*Index!BG$22</f>
        <v>2169.570072585148</v>
      </c>
      <c r="BI40" s="171">
        <f>$G40*(1+$I40)^ROUNDUP(IFERROR(DATEDIF($H40-1,BI$16+1,"m"),)/12,)*Index!BH$22</f>
        <v>2169.570072585148</v>
      </c>
      <c r="BJ40" s="171">
        <f>$G40*(1+$I40)^ROUNDUP(IFERROR(DATEDIF($H40-1,BJ$16+1,"m"),)/12,)*Index!BI$22</f>
        <v>2169.570072585148</v>
      </c>
      <c r="BK40" s="171">
        <f>$G40*(1+$I40)^ROUNDUP(IFERROR(DATEDIF($H40-1,BK$16+1,"m"),)/12,)*Index!BJ$22</f>
        <v>2169.570072585148</v>
      </c>
      <c r="BL40" s="171">
        <f>$G40*(1+$I40)^ROUNDUP(IFERROR(DATEDIF($H40-1,BL$16+1,"m"),)/12,)*Index!BK$22</f>
        <v>2169.570072585148</v>
      </c>
      <c r="BM40" s="171">
        <f>$G40*(1+$I40)^ROUNDUP(IFERROR(DATEDIF($H40-1,BM$16+1,"m"),)/12,)*Index!BL$22</f>
        <v>2169.570072585148</v>
      </c>
      <c r="BN40" s="171">
        <f>$G40*(1+$I40)^ROUNDUP(IFERROR(DATEDIF($H40-1,BN$16+1,"m"),)/12,)*Index!BM$22</f>
        <v>2169.570072585148</v>
      </c>
      <c r="BO40" s="171">
        <f>$G40*(1+$I40)^ROUNDUP(IFERROR(DATEDIF($H40-1,BO$16+1,"m"),)/12,)*Index!BN$22</f>
        <v>2169.570072585148</v>
      </c>
      <c r="BP40" s="171">
        <f>$G40*(1+$I40)^ROUNDUP(IFERROR(DATEDIF($H40-1,BP$16+1,"m"),)/12,)*Index!BO$22</f>
        <v>2169.570072585148</v>
      </c>
      <c r="BQ40" s="171">
        <f>$G40*(1+$I40)^ROUNDUP(IFERROR(DATEDIF($H40-1,BQ$16+1,"m"),)/12,)*Index!BP$22</f>
        <v>2169.570072585148</v>
      </c>
      <c r="BR40" s="171">
        <f>$G40*(1+$I40)^ROUNDUP(IFERROR(DATEDIF($H40-1,BR$16+1,"m"),)/12,)*Index!BQ$22</f>
        <v>2169.570072585148</v>
      </c>
      <c r="BS40" s="171">
        <f>$G40*(1+$I40)^ROUNDUP(IFERROR(DATEDIF($H40-1,BS$16+1,"m"),)/12,)*Index!BR$22</f>
        <v>2169.570072585148</v>
      </c>
      <c r="BT40" s="171">
        <f>$G40*(1+$I40)^ROUNDUP(IFERROR(DATEDIF($H40-1,BT$16+1,"m"),)/12,)*Index!BS$22</f>
        <v>2169.570072585148</v>
      </c>
      <c r="BU40" s="171">
        <f>$G40*(1+$I40)^ROUNDUP(IFERROR(DATEDIF($H40-1,BU$16+1,"m"),)/12,)*Index!BT$22</f>
        <v>2169.570072585148</v>
      </c>
      <c r="BV40" s="171">
        <f>$G40*(1+$I40)^ROUNDUP(IFERROR(DATEDIF($H40-1,BV$16+1,"m"),)/12,)*Index!BU$22</f>
        <v>2169.570072585148</v>
      </c>
      <c r="BW40" s="171">
        <f>$G40*(1+$I40)^ROUNDUP(IFERROR(DATEDIF($H40-1,BW$16+1,"m"),)/12,)*Index!BV$22</f>
        <v>2169.570072585148</v>
      </c>
      <c r="BX40" s="171">
        <f>$G40*(1+$I40)^ROUNDUP(IFERROR(DATEDIF($H40-1,BX$16+1,"m"),)/12,)*Index!BW$22</f>
        <v>2169.570072585148</v>
      </c>
      <c r="BY40" s="171">
        <f>$G40*(1+$I40)^ROUNDUP(IFERROR(DATEDIF($H40-1,BY$16+1,"m"),)/12,)*Index!BX$22</f>
        <v>2169.570072585148</v>
      </c>
      <c r="BZ40" s="171">
        <f>$G40*(1+$I40)^ROUNDUP(IFERROR(DATEDIF($H40-1,BZ$16+1,"m"),)/12,)*Index!BY$22</f>
        <v>2169.570072585148</v>
      </c>
      <c r="CA40" s="171">
        <f>$G40*(1+$I40)^ROUNDUP(IFERROR(DATEDIF($H40-1,CA$16+1,"m"),)/12,)*Index!BZ$22</f>
        <v>2169.570072585148</v>
      </c>
      <c r="CB40" s="171">
        <f>$G40*(1+$I40)^ROUNDUP(IFERROR(DATEDIF($H40-1,CB$16+1,"m"),)/12,)*Index!CA$22</f>
        <v>2169.570072585148</v>
      </c>
      <c r="CC40" s="171">
        <f>$G40*(1+$I40)^ROUNDUP(IFERROR(DATEDIF($H40-1,CC$16+1,"m"),)/12,)*Index!CB$22</f>
        <v>2169.570072585148</v>
      </c>
      <c r="CD40" s="171">
        <f>$G40*(1+$I40)^ROUNDUP(IFERROR(DATEDIF($H40-1,CD$16+1,"m"),)/12,)*Index!CC$22</f>
        <v>2169.570072585148</v>
      </c>
      <c r="CE40" s="171">
        <f>$G40*(1+$I40)^ROUNDUP(IFERROR(DATEDIF($H40-1,CE$16+1,"m"),)/12,)*Index!CD$22</f>
        <v>2169.570072585148</v>
      </c>
      <c r="CF40" s="171">
        <f>$G40*(1+$I40)^ROUNDUP(IFERROR(DATEDIF($H40-1,CF$16+1,"m"),)/12,)*Index!CE$22</f>
        <v>2169.570072585148</v>
      </c>
      <c r="CG40" s="171">
        <f>$G40*(1+$I40)^ROUNDUP(IFERROR(DATEDIF($H40-1,CG$16+1,"m"),)/12,)*Index!CF$22</f>
        <v>2169.570072585148</v>
      </c>
      <c r="CH40" s="171">
        <f>$G40*(1+$I40)^ROUNDUP(IFERROR(DATEDIF($H40-1,CH$16+1,"m"),)/12,)*Index!CG$22</f>
        <v>2169.570072585148</v>
      </c>
      <c r="CI40" s="171">
        <f>$G40*(1+$I40)^ROUNDUP(IFERROR(DATEDIF($H40-1,CI$16+1,"m"),)/12,)*Index!CH$22</f>
        <v>2169.570072585148</v>
      </c>
      <c r="CJ40" s="171">
        <f>$G40*(1+$I40)^ROUNDUP(IFERROR(DATEDIF($H40-1,CJ$16+1,"m"),)/12,)*Index!CI$22</f>
        <v>2169.570072585148</v>
      </c>
      <c r="CK40" s="171">
        <f>$G40*(1+$I40)^ROUNDUP(IFERROR(DATEDIF($H40-1,CK$16+1,"m"),)/12,)*Index!CJ$22</f>
        <v>2169.570072585148</v>
      </c>
      <c r="CL40" s="171">
        <f>$G40*(1+$I40)^ROUNDUP(IFERROR(DATEDIF($H40-1,CL$16+1,"m"),)/12,)*Index!CK$22</f>
        <v>2169.570072585148</v>
      </c>
      <c r="CM40" s="171">
        <f>$G40*(1+$I40)^ROUNDUP(IFERROR(DATEDIF($H40-1,CM$16+1,"m"),)/12,)*Index!CL$22</f>
        <v>2169.570072585148</v>
      </c>
      <c r="CN40" s="171">
        <f>$G40*(1+$I40)^ROUNDUP(IFERROR(DATEDIF($H40-1,CN$16+1,"m"),)/12,)*Index!CM$22</f>
        <v>2169.570072585148</v>
      </c>
      <c r="CO40" s="171">
        <f>$G40*(1+$I40)^ROUNDUP(IFERROR(DATEDIF($H40-1,CO$16+1,"m"),)/12,)*Index!CN$22</f>
        <v>2169.570072585148</v>
      </c>
      <c r="CP40" s="171">
        <f>$G40*(1+$I40)^ROUNDUP(IFERROR(DATEDIF($H40-1,CP$16+1,"m"),)/12,)*Index!CO$22</f>
        <v>2169.570072585148</v>
      </c>
      <c r="CQ40" s="171">
        <f>$G40*(1+$I40)^ROUNDUP(IFERROR(DATEDIF($H40-1,CQ$16+1,"m"),)/12,)*Index!CP$22</f>
        <v>2169.570072585148</v>
      </c>
      <c r="CR40" s="171">
        <f>$G40*(1+$I40)^ROUNDUP(IFERROR(DATEDIF($H40-1,CR$16+1,"m"),)/12,)*Index!CQ$22</f>
        <v>2169.570072585148</v>
      </c>
      <c r="CS40" s="171">
        <f>$G40*(1+$I40)^ROUNDUP(IFERROR(DATEDIF($H40-1,CS$16+1,"m"),)/12,)*Index!CR$22</f>
        <v>2169.570072585148</v>
      </c>
      <c r="CT40" s="171">
        <f>$G40*(1+$I40)^ROUNDUP(IFERROR(DATEDIF($H40-1,CT$16+1,"m"),)/12,)*Index!CS$22</f>
        <v>2169.570072585148</v>
      </c>
      <c r="CU40" s="171">
        <f>$G40*(1+$I40)^ROUNDUP(IFERROR(DATEDIF($H40-1,CU$16+1,"m"),)/12,)*Index!CT$22</f>
        <v>2169.570072585148</v>
      </c>
      <c r="CV40" s="171">
        <f>$G40*(1+$I40)^ROUNDUP(IFERROR(DATEDIF($H40-1,CV$16+1,"m"),)/12,)*Index!CU$22</f>
        <v>2169.570072585148</v>
      </c>
      <c r="CW40" s="171">
        <f>$G40*(1+$I40)^ROUNDUP(IFERROR(DATEDIF($H40-1,CW$16+1,"m"),)/12,)*Index!CV$22</f>
        <v>2169.570072585148</v>
      </c>
      <c r="CX40" s="171">
        <f>$G40*(1+$I40)^ROUNDUP(IFERROR(DATEDIF($H40-1,CX$16+1,"m"),)/12,)*Index!CW$22</f>
        <v>2169.570072585148</v>
      </c>
      <c r="CY40" s="171">
        <f>$G40*(1+$I40)^ROUNDUP(IFERROR(DATEDIF($H40-1,CY$16+1,"m"),)/12,)*Index!CX$22</f>
        <v>2169.570072585148</v>
      </c>
      <c r="CZ40" s="171">
        <f>$G40*(1+$I40)^ROUNDUP(IFERROR(DATEDIF($H40-1,CZ$16+1,"m"),)/12,)*Index!CY$22</f>
        <v>2169.570072585148</v>
      </c>
      <c r="DA40" s="171">
        <f>$G40*(1+$I40)^ROUNDUP(IFERROR(DATEDIF($H40-1,DA$16+1,"m"),)/12,)*Index!CZ$22</f>
        <v>2169.570072585148</v>
      </c>
      <c r="DB40" s="171">
        <f>$G40*(1+$I40)^ROUNDUP(IFERROR(DATEDIF($H40-1,DB$16+1,"m"),)/12,)*Index!DA$22</f>
        <v>2169.570072585148</v>
      </c>
      <c r="DC40" s="171">
        <f>$G40*(1+$I40)^ROUNDUP(IFERROR(DATEDIF($H40-1,DC$16+1,"m"),)/12,)*Index!DB$22</f>
        <v>2169.570072585148</v>
      </c>
      <c r="DD40" s="171">
        <f>$G40*(1+$I40)^ROUNDUP(IFERROR(DATEDIF($H40-1,DD$16+1,"m"),)/12,)*Index!DC$22</f>
        <v>2169.570072585148</v>
      </c>
      <c r="DE40" s="171">
        <f>$G40*(1+$I40)^ROUNDUP(IFERROR(DATEDIF($H40-1,DE$16+1,"m"),)/12,)*Index!DD$22</f>
        <v>2169.570072585148</v>
      </c>
      <c r="DF40" s="171">
        <f>$G40*(1+$I40)^ROUNDUP(IFERROR(DATEDIF($H40-1,DF$16+1,"m"),)/12,)*Index!DE$22</f>
        <v>2169.570072585148</v>
      </c>
      <c r="DG40" s="171">
        <f>$G40*(1+$I40)^ROUNDUP(IFERROR(DATEDIF($H40-1,DG$16+1,"m"),)/12,)*Index!DF$22</f>
        <v>2169.570072585148</v>
      </c>
      <c r="DH40" s="171">
        <f>$G40*(1+$I40)^ROUNDUP(IFERROR(DATEDIF($H40-1,DH$16+1,"m"),)/12,)*Index!DG$22</f>
        <v>2169.570072585148</v>
      </c>
      <c r="DI40" s="171">
        <f>$G40*(1+$I40)^ROUNDUP(IFERROR(DATEDIF($H40-1,DI$16+1,"m"),)/12,)*Index!DH$22</f>
        <v>2169.570072585148</v>
      </c>
      <c r="DJ40" s="171">
        <f>$G40*(1+$I40)^ROUNDUP(IFERROR(DATEDIF($H40-1,DJ$16+1,"m"),)/12,)*Index!DI$22</f>
        <v>2169.570072585148</v>
      </c>
      <c r="DK40" s="171">
        <f>$G40*(1+$I40)^ROUNDUP(IFERROR(DATEDIF($H40-1,DK$16+1,"m"),)/12,)*Index!DJ$22</f>
        <v>2169.570072585148</v>
      </c>
      <c r="DL40" s="171">
        <f>$G40*(1+$I40)^ROUNDUP(IFERROR(DATEDIF($H40-1,DL$16+1,"m"),)/12,)*Index!DK$22</f>
        <v>2169.570072585148</v>
      </c>
      <c r="DM40" s="171">
        <f>$G40*(1+$I40)^ROUNDUP(IFERROR(DATEDIF($H40-1,DM$16+1,"m"),)/12,)*Index!DL$22</f>
        <v>2169.570072585148</v>
      </c>
      <c r="DN40" s="171">
        <f>$G40*(1+$I40)^ROUNDUP(IFERROR(DATEDIF($H40-1,DN$16+1,"m"),)/12,)*Index!DM$22</f>
        <v>2169.570072585148</v>
      </c>
      <c r="DO40" s="171">
        <f>$G40*(1+$I40)^ROUNDUP(IFERROR(DATEDIF($H40-1,DO$16+1,"m"),)/12,)*Index!DN$22</f>
        <v>2169.570072585148</v>
      </c>
      <c r="DP40" s="171">
        <f>$G40*(1+$I40)^ROUNDUP(IFERROR(DATEDIF($H40-1,DP$16+1,"m"),)/12,)*Index!DO$22</f>
        <v>2169.570072585148</v>
      </c>
      <c r="DQ40" s="171">
        <f>$G40*(1+$I40)^ROUNDUP(IFERROR(DATEDIF($H40-1,DQ$16+1,"m"),)/12,)*Index!DP$22</f>
        <v>2169.570072585148</v>
      </c>
      <c r="DR40" s="171">
        <f>$G40*(1+$I40)^ROUNDUP(IFERROR(DATEDIF($H40-1,DR$16+1,"m"),)/12,)*Index!DQ$22</f>
        <v>2169.570072585148</v>
      </c>
      <c r="DS40" s="171">
        <f>$G40*(1+$I40)^ROUNDUP(IFERROR(DATEDIF($H40-1,DS$16+1,"m"),)/12,)*Index!DR$22</f>
        <v>2169.570072585148</v>
      </c>
      <c r="DT40" s="171">
        <f>$G40*(1+$I40)^ROUNDUP(IFERROR(DATEDIF($H40-1,DT$16+1,"m"),)/12,)*Index!DS$22</f>
        <v>2169.570072585148</v>
      </c>
      <c r="DU40" s="171">
        <f>$G40*(1+$I40)^ROUNDUP(IFERROR(DATEDIF($H40-1,DU$16+1,"m"),)/12,)*Index!DT$22</f>
        <v>2169.570072585148</v>
      </c>
      <c r="DV40" s="171">
        <f>$G40*(1+$I40)^ROUNDUP(IFERROR(DATEDIF($H40-1,DV$16+1,"m"),)/12,)*Index!DU$22</f>
        <v>2169.570072585148</v>
      </c>
      <c r="DW40" s="171">
        <f>$G40*(1+$I40)^ROUNDUP(IFERROR(DATEDIF($H40-1,DW$16+1,"m"),)/12,)*Index!DV$22</f>
        <v>2169.570072585148</v>
      </c>
      <c r="DX40" s="171">
        <f>$G40*(1+$I40)^ROUNDUP(IFERROR(DATEDIF($H40-1,DX$16+1,"m"),)/12,)*Index!DW$22</f>
        <v>2169.570072585148</v>
      </c>
      <c r="DY40" s="171">
        <f>$G40*(1+$I40)^ROUNDUP(IFERROR(DATEDIF($H40-1,DY$16+1,"m"),)/12,)*Index!DX$22</f>
        <v>2169.570072585148</v>
      </c>
      <c r="DZ40" s="171">
        <f>$G40*(1+$I40)^ROUNDUP(IFERROR(DATEDIF($H40-1,DZ$16+1,"m"),)/12,)*Index!DY$22</f>
        <v>2169.570072585148</v>
      </c>
      <c r="EA40" s="171">
        <f>$G40*(1+$I40)^ROUNDUP(IFERROR(DATEDIF($H40-1,EA$16+1,"m"),)/12,)*Index!DZ$22</f>
        <v>2169.570072585148</v>
      </c>
      <c r="EB40" s="171">
        <f>$G40*(1+$I40)^ROUNDUP(IFERROR(DATEDIF($H40-1,EB$16+1,"m"),)/12,)*Index!EA$22</f>
        <v>2169.570072585148</v>
      </c>
      <c r="EC40" s="171">
        <f>$G40*(1+$I40)^ROUNDUP(IFERROR(DATEDIF($H40-1,EC$16+1,"m"),)/12,)*Index!EB$22</f>
        <v>2169.570072585148</v>
      </c>
      <c r="ED40" s="171">
        <f>$G40*(1+$I40)^ROUNDUP(IFERROR(DATEDIF($H40-1,ED$16+1,"m"),)/12,)*Index!EC$22</f>
        <v>0</v>
      </c>
      <c r="EE40" s="171">
        <f>$G40*(1+$I40)^ROUNDUP(IFERROR(DATEDIF($H40-1,EE$16+1,"m"),)/12,)*Index!ED$22</f>
        <v>0</v>
      </c>
      <c r="EF40" s="171">
        <f>$G40*(1+$I40)^ROUNDUP(IFERROR(DATEDIF($H40-1,EF$16+1,"m"),)/12,)*Index!EE$22</f>
        <v>0</v>
      </c>
      <c r="EG40" s="171">
        <f>$G40*(1+$I40)^ROUNDUP(IFERROR(DATEDIF($H40-1,EG$16+1,"m"),)/12,)*Index!EF$22</f>
        <v>0</v>
      </c>
      <c r="EH40" s="171">
        <f>$G40*(1+$I40)^ROUNDUP(IFERROR(DATEDIF($H40-1,EH$16+1,"m"),)/12,)*Index!EG$22</f>
        <v>0</v>
      </c>
      <c r="EI40" s="171">
        <f>$G40*(1+$I40)^ROUNDUP(IFERROR(DATEDIF($H40-1,EI$16+1,"m"),)/12,)*Index!EH$22</f>
        <v>0</v>
      </c>
      <c r="EJ40" s="171">
        <f>$G40*(1+$I40)^ROUNDUP(IFERROR(DATEDIF($H40-1,EJ$16+1,"m"),)/12,)*Index!EI$22</f>
        <v>0</v>
      </c>
      <c r="EK40" s="171">
        <f>$G40*(1+$I40)^ROUNDUP(IFERROR(DATEDIF($H40-1,EK$16+1,"m"),)/12,)*Index!EJ$22</f>
        <v>0</v>
      </c>
      <c r="EL40" s="171">
        <f>$G40*(1+$I40)^ROUNDUP(IFERROR(DATEDIF($H40-1,EL$16+1,"m"),)/12,)*Index!EK$22</f>
        <v>0</v>
      </c>
      <c r="EM40" s="171">
        <f>$G40*(1+$I40)^ROUNDUP(IFERROR(DATEDIF($H40-1,EM$16+1,"m"),)/12,)*Index!EL$22</f>
        <v>0</v>
      </c>
      <c r="EN40" s="171">
        <f>$G40*(1+$I40)^ROUNDUP(IFERROR(DATEDIF($H40-1,EN$16+1,"m"),)/12,)*Index!EM$22</f>
        <v>0</v>
      </c>
      <c r="EO40" s="171">
        <f>$G40*(1+$I40)^ROUNDUP(IFERROR(DATEDIF($H40-1,EO$16+1,"m"),)/12,)*Index!EN$22</f>
        <v>0</v>
      </c>
      <c r="EP40" s="171">
        <f>$G40*(1+$I40)^ROUNDUP(IFERROR(DATEDIF($H40-1,EP$16+1,"m"),)/12,)*Index!EO$22</f>
        <v>0</v>
      </c>
      <c r="EQ40" s="171">
        <f>$G40*(1+$I40)^ROUNDUP(IFERROR(DATEDIF($H40-1,EQ$16+1,"m"),)/12,)*Index!EP$22</f>
        <v>0</v>
      </c>
      <c r="ER40" s="171">
        <f>$G40*(1+$I40)^ROUNDUP(IFERROR(DATEDIF($H40-1,ER$16+1,"m"),)/12,)*Index!EQ$22</f>
        <v>0</v>
      </c>
    </row>
    <row r="41" spans="2:148" ht="11.25" customHeight="1">
      <c r="B41" s="218"/>
      <c r="C41" s="163"/>
      <c r="D41" s="2622" t="s">
        <v>533</v>
      </c>
      <c r="E41" s="2623"/>
      <c r="F41" s="180"/>
      <c r="G41" s="889">
        <f>'A&amp;R'!Q81</f>
        <v>6000</v>
      </c>
      <c r="H41" s="890">
        <f>'A&amp;R'!U81</f>
        <v>46691</v>
      </c>
      <c r="I41" s="891">
        <f>'A&amp;R'!T81</f>
        <v>0.02</v>
      </c>
      <c r="J41" s="860"/>
      <c r="K41" s="184">
        <f t="shared" si="19"/>
        <v>788379.91198112618</v>
      </c>
      <c r="L41" s="98"/>
      <c r="M41" s="184">
        <f>$G41*(1+$I41)^ROUNDUP(IFERROR(DATEDIF($H41-1,M$16+1,"m"),)/12,)*Index!L$22</f>
        <v>0</v>
      </c>
      <c r="N41" s="184">
        <f>$G41*(1+$I41)^ROUNDUP(IFERROR(DATEDIF($H41-1,N$16+1,"m"),)/12,)*Index!M$22</f>
        <v>6000</v>
      </c>
      <c r="O41" s="184">
        <f>$G41*(1+$I41)^ROUNDUP(IFERROR(DATEDIF($H41-1,O$16+1,"m"),)/12,)*Index!N$22</f>
        <v>6000</v>
      </c>
      <c r="P41" s="184">
        <f>$G41*(1+$I41)^ROUNDUP(IFERROR(DATEDIF($H41-1,P$16+1,"m"),)/12,)*Index!O$22</f>
        <v>6000</v>
      </c>
      <c r="Q41" s="184">
        <f>$G41*(1+$I41)^ROUNDUP(IFERROR(DATEDIF($H41-1,Q$16+1,"m"),)/12,)*Index!P$22</f>
        <v>6000</v>
      </c>
      <c r="R41" s="184">
        <f>$G41*(1+$I41)^ROUNDUP(IFERROR(DATEDIF($H41-1,R$16+1,"m"),)/12,)*Index!Q$22</f>
        <v>6000</v>
      </c>
      <c r="S41" s="184">
        <f>$G41*(1+$I41)^ROUNDUP(IFERROR(DATEDIF($H41-1,S$16+1,"m"),)/12,)*Index!R$22</f>
        <v>6000</v>
      </c>
      <c r="T41" s="184">
        <f>$G41*(1+$I41)^ROUNDUP(IFERROR(DATEDIF($H41-1,T$16+1,"m"),)/12,)*Index!S$22</f>
        <v>6000</v>
      </c>
      <c r="U41" s="184">
        <f>$G41*(1+$I41)^ROUNDUP(IFERROR(DATEDIF($H41-1,U$16+1,"m"),)/12,)*Index!T$22</f>
        <v>6000</v>
      </c>
      <c r="V41" s="184">
        <f>$G41*(1+$I41)^ROUNDUP(IFERROR(DATEDIF($H41-1,V$16+1,"m"),)/12,)*Index!U$22</f>
        <v>6000</v>
      </c>
      <c r="W41" s="184">
        <f>$G41*(1+$I41)^ROUNDUP(IFERROR(DATEDIF($H41-1,W$16+1,"m"),)/12,)*Index!V$22</f>
        <v>6000</v>
      </c>
      <c r="X41" s="184">
        <f>$G41*(1+$I41)^ROUNDUP(IFERROR(DATEDIF($H41-1,X$16+1,"m"),)/12,)*Index!W$22</f>
        <v>6000</v>
      </c>
      <c r="Y41" s="184">
        <f>$G41*(1+$I41)^ROUNDUP(IFERROR(DATEDIF($H41-1,Y$16+1,"m"),)/12,)*Index!X$22</f>
        <v>6000</v>
      </c>
      <c r="Z41" s="184">
        <f>$G41*(1+$I41)^ROUNDUP(IFERROR(DATEDIF($H41-1,Z$16+1,"m"),)/12,)*Index!Y$22</f>
        <v>6120</v>
      </c>
      <c r="AA41" s="184">
        <f>$G41*(1+$I41)^ROUNDUP(IFERROR(DATEDIF($H41-1,AA$16+1,"m"),)/12,)*Index!Z$22</f>
        <v>6120</v>
      </c>
      <c r="AB41" s="184">
        <f>$G41*(1+$I41)^ROUNDUP(IFERROR(DATEDIF($H41-1,AB$16+1,"m"),)/12,)*Index!AA$22</f>
        <v>6120</v>
      </c>
      <c r="AC41" s="184">
        <f>$G41*(1+$I41)^ROUNDUP(IFERROR(DATEDIF($H41-1,AC$16+1,"m"),)/12,)*Index!AB$22</f>
        <v>6120</v>
      </c>
      <c r="AD41" s="184">
        <f>$G41*(1+$I41)^ROUNDUP(IFERROR(DATEDIF($H41-1,AD$16+1,"m"),)/12,)*Index!AC$22</f>
        <v>6120</v>
      </c>
      <c r="AE41" s="184">
        <f>$G41*(1+$I41)^ROUNDUP(IFERROR(DATEDIF($H41-1,AE$16+1,"m"),)/12,)*Index!AD$22</f>
        <v>6120</v>
      </c>
      <c r="AF41" s="184">
        <f>$G41*(1+$I41)^ROUNDUP(IFERROR(DATEDIF($H41-1,AF$16+1,"m"),)/12,)*Index!AE$22</f>
        <v>6120</v>
      </c>
      <c r="AG41" s="184">
        <f>$G41*(1+$I41)^ROUNDUP(IFERROR(DATEDIF($H41-1,AG$16+1,"m"),)/12,)*Index!AF$22</f>
        <v>6120</v>
      </c>
      <c r="AH41" s="184">
        <f>$G41*(1+$I41)^ROUNDUP(IFERROR(DATEDIF($H41-1,AH$16+1,"m"),)/12,)*Index!AG$22</f>
        <v>6120</v>
      </c>
      <c r="AI41" s="184">
        <f>$G41*(1+$I41)^ROUNDUP(IFERROR(DATEDIF($H41-1,AI$16+1,"m"),)/12,)*Index!AH$22</f>
        <v>6120</v>
      </c>
      <c r="AJ41" s="184">
        <f>$G41*(1+$I41)^ROUNDUP(IFERROR(DATEDIF($H41-1,AJ$16+1,"m"),)/12,)*Index!AI$22</f>
        <v>6120</v>
      </c>
      <c r="AK41" s="184">
        <f>$G41*(1+$I41)^ROUNDUP(IFERROR(DATEDIF($H41-1,AK$16+1,"m"),)/12,)*Index!AJ$22</f>
        <v>6120</v>
      </c>
      <c r="AL41" s="184">
        <f>$G41*(1+$I41)^ROUNDUP(IFERROR(DATEDIF($H41-1,AL$16+1,"m"),)/12,)*Index!AK$22</f>
        <v>6242.4</v>
      </c>
      <c r="AM41" s="184">
        <f>$G41*(1+$I41)^ROUNDUP(IFERROR(DATEDIF($H41-1,AM$16+1,"m"),)/12,)*Index!AL$22</f>
        <v>6242.4</v>
      </c>
      <c r="AN41" s="184">
        <f>$G41*(1+$I41)^ROUNDUP(IFERROR(DATEDIF($H41-1,AN$16+1,"m"),)/12,)*Index!AM$22</f>
        <v>6242.4</v>
      </c>
      <c r="AO41" s="184">
        <f>$G41*(1+$I41)^ROUNDUP(IFERROR(DATEDIF($H41-1,AO$16+1,"m"),)/12,)*Index!AN$22</f>
        <v>6242.4</v>
      </c>
      <c r="AP41" s="184">
        <f>$G41*(1+$I41)^ROUNDUP(IFERROR(DATEDIF($H41-1,AP$16+1,"m"),)/12,)*Index!AO$22</f>
        <v>6242.4</v>
      </c>
      <c r="AQ41" s="184">
        <f>$G41*(1+$I41)^ROUNDUP(IFERROR(DATEDIF($H41-1,AQ$16+1,"m"),)/12,)*Index!AP$22</f>
        <v>6242.4</v>
      </c>
      <c r="AR41" s="184">
        <f>$G41*(1+$I41)^ROUNDUP(IFERROR(DATEDIF($H41-1,AR$16+1,"m"),)/12,)*Index!AQ$22</f>
        <v>6242.4</v>
      </c>
      <c r="AS41" s="184">
        <f>$G41*(1+$I41)^ROUNDUP(IFERROR(DATEDIF($H41-1,AS$16+1,"m"),)/12,)*Index!AR$22</f>
        <v>6242.4</v>
      </c>
      <c r="AT41" s="184">
        <f>$G41*(1+$I41)^ROUNDUP(IFERROR(DATEDIF($H41-1,AT$16+1,"m"),)/12,)*Index!AS$22</f>
        <v>6242.4</v>
      </c>
      <c r="AU41" s="184">
        <f>$G41*(1+$I41)^ROUNDUP(IFERROR(DATEDIF($H41-1,AU$16+1,"m"),)/12,)*Index!AT$22</f>
        <v>6242.4</v>
      </c>
      <c r="AV41" s="184">
        <f>$G41*(1+$I41)^ROUNDUP(IFERROR(DATEDIF($H41-1,AV$16+1,"m"),)/12,)*Index!AU$22</f>
        <v>6242.4</v>
      </c>
      <c r="AW41" s="184">
        <f>$G41*(1+$I41)^ROUNDUP(IFERROR(DATEDIF($H41-1,AW$16+1,"m"),)/12,)*Index!AV$22</f>
        <v>6242.4</v>
      </c>
      <c r="AX41" s="184">
        <f>$G41*(1+$I41)^ROUNDUP(IFERROR(DATEDIF($H41-1,AX$16+1,"m"),)/12,)*Index!AW$22</f>
        <v>6367.2479999999996</v>
      </c>
      <c r="AY41" s="184">
        <f>$G41*(1+$I41)^ROUNDUP(IFERROR(DATEDIF($H41-1,AY$16+1,"m"),)/12,)*Index!AX$22</f>
        <v>6367.2479999999996</v>
      </c>
      <c r="AZ41" s="184">
        <f>$G41*(1+$I41)^ROUNDUP(IFERROR(DATEDIF($H41-1,AZ$16+1,"m"),)/12,)*Index!AY$22</f>
        <v>6367.2479999999996</v>
      </c>
      <c r="BA41" s="184">
        <f>$G41*(1+$I41)^ROUNDUP(IFERROR(DATEDIF($H41-1,BA$16+1,"m"),)/12,)*Index!AZ$22</f>
        <v>6367.2479999999996</v>
      </c>
      <c r="BB41" s="184">
        <f>$G41*(1+$I41)^ROUNDUP(IFERROR(DATEDIF($H41-1,BB$16+1,"m"),)/12,)*Index!BA$22</f>
        <v>6367.2479999999996</v>
      </c>
      <c r="BC41" s="184">
        <f>$G41*(1+$I41)^ROUNDUP(IFERROR(DATEDIF($H41-1,BC$16+1,"m"),)/12,)*Index!BB$22</f>
        <v>6367.2479999999996</v>
      </c>
      <c r="BD41" s="184">
        <f>$G41*(1+$I41)^ROUNDUP(IFERROR(DATEDIF($H41-1,BD$16+1,"m"),)/12,)*Index!BC$22</f>
        <v>6367.2479999999996</v>
      </c>
      <c r="BE41" s="184">
        <f>$G41*(1+$I41)^ROUNDUP(IFERROR(DATEDIF($H41-1,BE$16+1,"m"),)/12,)*Index!BD$22</f>
        <v>6367.2479999999996</v>
      </c>
      <c r="BF41" s="184">
        <f>$G41*(1+$I41)^ROUNDUP(IFERROR(DATEDIF($H41-1,BF$16+1,"m"),)/12,)*Index!BE$22</f>
        <v>6367.2479999999996</v>
      </c>
      <c r="BG41" s="184">
        <f>$G41*(1+$I41)^ROUNDUP(IFERROR(DATEDIF($H41-1,BG$16+1,"m"),)/12,)*Index!BF$22</f>
        <v>6367.2479999999996</v>
      </c>
      <c r="BH41" s="184">
        <f>$G41*(1+$I41)^ROUNDUP(IFERROR(DATEDIF($H41-1,BH$16+1,"m"),)/12,)*Index!BG$22</f>
        <v>6367.2479999999996</v>
      </c>
      <c r="BI41" s="184">
        <f>$G41*(1+$I41)^ROUNDUP(IFERROR(DATEDIF($H41-1,BI$16+1,"m"),)/12,)*Index!BH$22</f>
        <v>6367.2479999999996</v>
      </c>
      <c r="BJ41" s="184">
        <f>$G41*(1+$I41)^ROUNDUP(IFERROR(DATEDIF($H41-1,BJ$16+1,"m"),)/12,)*Index!BI$22</f>
        <v>6494.5929599999999</v>
      </c>
      <c r="BK41" s="184">
        <f>$G41*(1+$I41)^ROUNDUP(IFERROR(DATEDIF($H41-1,BK$16+1,"m"),)/12,)*Index!BJ$22</f>
        <v>6494.5929599999999</v>
      </c>
      <c r="BL41" s="184">
        <f>$G41*(1+$I41)^ROUNDUP(IFERROR(DATEDIF($H41-1,BL$16+1,"m"),)/12,)*Index!BK$22</f>
        <v>6494.5929599999999</v>
      </c>
      <c r="BM41" s="184">
        <f>$G41*(1+$I41)^ROUNDUP(IFERROR(DATEDIF($H41-1,BM$16+1,"m"),)/12,)*Index!BL$22</f>
        <v>6494.5929599999999</v>
      </c>
      <c r="BN41" s="184">
        <f>$G41*(1+$I41)^ROUNDUP(IFERROR(DATEDIF($H41-1,BN$16+1,"m"),)/12,)*Index!BM$22</f>
        <v>6494.5929599999999</v>
      </c>
      <c r="BO41" s="184">
        <f>$G41*(1+$I41)^ROUNDUP(IFERROR(DATEDIF($H41-1,BO$16+1,"m"),)/12,)*Index!BN$22</f>
        <v>6494.5929599999999</v>
      </c>
      <c r="BP41" s="184">
        <f>$G41*(1+$I41)^ROUNDUP(IFERROR(DATEDIF($H41-1,BP$16+1,"m"),)/12,)*Index!BO$22</f>
        <v>6494.5929599999999</v>
      </c>
      <c r="BQ41" s="184">
        <f>$G41*(1+$I41)^ROUNDUP(IFERROR(DATEDIF($H41-1,BQ$16+1,"m"),)/12,)*Index!BP$22</f>
        <v>6494.5929599999999</v>
      </c>
      <c r="BR41" s="184">
        <f>$G41*(1+$I41)^ROUNDUP(IFERROR(DATEDIF($H41-1,BR$16+1,"m"),)/12,)*Index!BQ$22</f>
        <v>6494.5929599999999</v>
      </c>
      <c r="BS41" s="184">
        <f>$G41*(1+$I41)^ROUNDUP(IFERROR(DATEDIF($H41-1,BS$16+1,"m"),)/12,)*Index!BR$22</f>
        <v>6494.5929599999999</v>
      </c>
      <c r="BT41" s="184">
        <f>$G41*(1+$I41)^ROUNDUP(IFERROR(DATEDIF($H41-1,BT$16+1,"m"),)/12,)*Index!BS$22</f>
        <v>6494.5929599999999</v>
      </c>
      <c r="BU41" s="184">
        <f>$G41*(1+$I41)^ROUNDUP(IFERROR(DATEDIF($H41-1,BU$16+1,"m"),)/12,)*Index!BT$22</f>
        <v>6494.5929599999999</v>
      </c>
      <c r="BV41" s="184">
        <f>$G41*(1+$I41)^ROUNDUP(IFERROR(DATEDIF($H41-1,BV$16+1,"m"),)/12,)*Index!BU$22</f>
        <v>6624.4848191999999</v>
      </c>
      <c r="BW41" s="184">
        <f>$G41*(1+$I41)^ROUNDUP(IFERROR(DATEDIF($H41-1,BW$16+1,"m"),)/12,)*Index!BV$22</f>
        <v>6624.4848191999999</v>
      </c>
      <c r="BX41" s="184">
        <f>$G41*(1+$I41)^ROUNDUP(IFERROR(DATEDIF($H41-1,BX$16+1,"m"),)/12,)*Index!BW$22</f>
        <v>6624.4848191999999</v>
      </c>
      <c r="BY41" s="184">
        <f>$G41*(1+$I41)^ROUNDUP(IFERROR(DATEDIF($H41-1,BY$16+1,"m"),)/12,)*Index!BX$22</f>
        <v>6624.4848191999999</v>
      </c>
      <c r="BZ41" s="184">
        <f>$G41*(1+$I41)^ROUNDUP(IFERROR(DATEDIF($H41-1,BZ$16+1,"m"),)/12,)*Index!BY$22</f>
        <v>6624.4848191999999</v>
      </c>
      <c r="CA41" s="184">
        <f>$G41*(1+$I41)^ROUNDUP(IFERROR(DATEDIF($H41-1,CA$16+1,"m"),)/12,)*Index!BZ$22</f>
        <v>6624.4848191999999</v>
      </c>
      <c r="CB41" s="184">
        <f>$G41*(1+$I41)^ROUNDUP(IFERROR(DATEDIF($H41-1,CB$16+1,"m"),)/12,)*Index!CA$22</f>
        <v>6624.4848191999999</v>
      </c>
      <c r="CC41" s="184">
        <f>$G41*(1+$I41)^ROUNDUP(IFERROR(DATEDIF($H41-1,CC$16+1,"m"),)/12,)*Index!CB$22</f>
        <v>6624.4848191999999</v>
      </c>
      <c r="CD41" s="184">
        <f>$G41*(1+$I41)^ROUNDUP(IFERROR(DATEDIF($H41-1,CD$16+1,"m"),)/12,)*Index!CC$22</f>
        <v>6624.4848191999999</v>
      </c>
      <c r="CE41" s="184">
        <f>$G41*(1+$I41)^ROUNDUP(IFERROR(DATEDIF($H41-1,CE$16+1,"m"),)/12,)*Index!CD$22</f>
        <v>6624.4848191999999</v>
      </c>
      <c r="CF41" s="184">
        <f>$G41*(1+$I41)^ROUNDUP(IFERROR(DATEDIF($H41-1,CF$16+1,"m"),)/12,)*Index!CE$22</f>
        <v>6624.4848191999999</v>
      </c>
      <c r="CG41" s="184">
        <f>$G41*(1+$I41)^ROUNDUP(IFERROR(DATEDIF($H41-1,CG$16+1,"m"),)/12,)*Index!CF$22</f>
        <v>6624.4848191999999</v>
      </c>
      <c r="CH41" s="184">
        <f>$G41*(1+$I41)^ROUNDUP(IFERROR(DATEDIF($H41-1,CH$16+1,"m"),)/12,)*Index!CG$22</f>
        <v>6756.9745155840001</v>
      </c>
      <c r="CI41" s="184">
        <f>$G41*(1+$I41)^ROUNDUP(IFERROR(DATEDIF($H41-1,CI$16+1,"m"),)/12,)*Index!CH$22</f>
        <v>6756.9745155840001</v>
      </c>
      <c r="CJ41" s="184">
        <f>$G41*(1+$I41)^ROUNDUP(IFERROR(DATEDIF($H41-1,CJ$16+1,"m"),)/12,)*Index!CI$22</f>
        <v>6756.9745155840001</v>
      </c>
      <c r="CK41" s="184">
        <f>$G41*(1+$I41)^ROUNDUP(IFERROR(DATEDIF($H41-1,CK$16+1,"m"),)/12,)*Index!CJ$22</f>
        <v>6756.9745155840001</v>
      </c>
      <c r="CL41" s="184">
        <f>$G41*(1+$I41)^ROUNDUP(IFERROR(DATEDIF($H41-1,CL$16+1,"m"),)/12,)*Index!CK$22</f>
        <v>6756.9745155840001</v>
      </c>
      <c r="CM41" s="184">
        <f>$G41*(1+$I41)^ROUNDUP(IFERROR(DATEDIF($H41-1,CM$16+1,"m"),)/12,)*Index!CL$22</f>
        <v>6756.9745155840001</v>
      </c>
      <c r="CN41" s="184">
        <f>$G41*(1+$I41)^ROUNDUP(IFERROR(DATEDIF($H41-1,CN$16+1,"m"),)/12,)*Index!CM$22</f>
        <v>6756.9745155840001</v>
      </c>
      <c r="CO41" s="184">
        <f>$G41*(1+$I41)^ROUNDUP(IFERROR(DATEDIF($H41-1,CO$16+1,"m"),)/12,)*Index!CN$22</f>
        <v>6756.9745155840001</v>
      </c>
      <c r="CP41" s="184">
        <f>$G41*(1+$I41)^ROUNDUP(IFERROR(DATEDIF($H41-1,CP$16+1,"m"),)/12,)*Index!CO$22</f>
        <v>6756.9745155840001</v>
      </c>
      <c r="CQ41" s="184">
        <f>$G41*(1+$I41)^ROUNDUP(IFERROR(DATEDIF($H41-1,CQ$16+1,"m"),)/12,)*Index!CP$22</f>
        <v>6756.9745155840001</v>
      </c>
      <c r="CR41" s="184">
        <f>$G41*(1+$I41)^ROUNDUP(IFERROR(DATEDIF($H41-1,CR$16+1,"m"),)/12,)*Index!CQ$22</f>
        <v>6756.9745155840001</v>
      </c>
      <c r="CS41" s="184">
        <f>$G41*(1+$I41)^ROUNDUP(IFERROR(DATEDIF($H41-1,CS$16+1,"m"),)/12,)*Index!CR$22</f>
        <v>6756.9745155840001</v>
      </c>
      <c r="CT41" s="184">
        <f>$G41*(1+$I41)^ROUNDUP(IFERROR(DATEDIF($H41-1,CT$16+1,"m"),)/12,)*Index!CS$22</f>
        <v>6892.1140058956789</v>
      </c>
      <c r="CU41" s="184">
        <f>$G41*(1+$I41)^ROUNDUP(IFERROR(DATEDIF($H41-1,CU$16+1,"m"),)/12,)*Index!CT$22</f>
        <v>6892.1140058956789</v>
      </c>
      <c r="CV41" s="184">
        <f>$G41*(1+$I41)^ROUNDUP(IFERROR(DATEDIF($H41-1,CV$16+1,"m"),)/12,)*Index!CU$22</f>
        <v>6892.1140058956789</v>
      </c>
      <c r="CW41" s="184">
        <f>$G41*(1+$I41)^ROUNDUP(IFERROR(DATEDIF($H41-1,CW$16+1,"m"),)/12,)*Index!CV$22</f>
        <v>6892.1140058956789</v>
      </c>
      <c r="CX41" s="184">
        <f>$G41*(1+$I41)^ROUNDUP(IFERROR(DATEDIF($H41-1,CX$16+1,"m"),)/12,)*Index!CW$22</f>
        <v>6892.1140058956789</v>
      </c>
      <c r="CY41" s="184">
        <f>$G41*(1+$I41)^ROUNDUP(IFERROR(DATEDIF($H41-1,CY$16+1,"m"),)/12,)*Index!CX$22</f>
        <v>6892.1140058956789</v>
      </c>
      <c r="CZ41" s="184">
        <f>$G41*(1+$I41)^ROUNDUP(IFERROR(DATEDIF($H41-1,CZ$16+1,"m"),)/12,)*Index!CY$22</f>
        <v>6892.1140058956789</v>
      </c>
      <c r="DA41" s="184">
        <f>$G41*(1+$I41)^ROUNDUP(IFERROR(DATEDIF($H41-1,DA$16+1,"m"),)/12,)*Index!CZ$22</f>
        <v>6892.1140058956789</v>
      </c>
      <c r="DB41" s="184">
        <f>$G41*(1+$I41)^ROUNDUP(IFERROR(DATEDIF($H41-1,DB$16+1,"m"),)/12,)*Index!DA$22</f>
        <v>6892.1140058956789</v>
      </c>
      <c r="DC41" s="184">
        <f>$G41*(1+$I41)^ROUNDUP(IFERROR(DATEDIF($H41-1,DC$16+1,"m"),)/12,)*Index!DB$22</f>
        <v>6892.1140058956789</v>
      </c>
      <c r="DD41" s="184">
        <f>$G41*(1+$I41)^ROUNDUP(IFERROR(DATEDIF($H41-1,DD$16+1,"m"),)/12,)*Index!DC$22</f>
        <v>6892.1140058956789</v>
      </c>
      <c r="DE41" s="184">
        <f>$G41*(1+$I41)^ROUNDUP(IFERROR(DATEDIF($H41-1,DE$16+1,"m"),)/12,)*Index!DD$22</f>
        <v>6892.1140058956789</v>
      </c>
      <c r="DF41" s="184">
        <f>$G41*(1+$I41)^ROUNDUP(IFERROR(DATEDIF($H41-1,DF$16+1,"m"),)/12,)*Index!DE$22</f>
        <v>7029.9562860135929</v>
      </c>
      <c r="DG41" s="184">
        <f>$G41*(1+$I41)^ROUNDUP(IFERROR(DATEDIF($H41-1,DG$16+1,"m"),)/12,)*Index!DF$22</f>
        <v>7029.9562860135929</v>
      </c>
      <c r="DH41" s="184">
        <f>$G41*(1+$I41)^ROUNDUP(IFERROR(DATEDIF($H41-1,DH$16+1,"m"),)/12,)*Index!DG$22</f>
        <v>7029.9562860135929</v>
      </c>
      <c r="DI41" s="184">
        <f>$G41*(1+$I41)^ROUNDUP(IFERROR(DATEDIF($H41-1,DI$16+1,"m"),)/12,)*Index!DH$22</f>
        <v>7029.9562860135929</v>
      </c>
      <c r="DJ41" s="184">
        <f>$G41*(1+$I41)^ROUNDUP(IFERROR(DATEDIF($H41-1,DJ$16+1,"m"),)/12,)*Index!DI$22</f>
        <v>7029.9562860135929</v>
      </c>
      <c r="DK41" s="184">
        <f>$G41*(1+$I41)^ROUNDUP(IFERROR(DATEDIF($H41-1,DK$16+1,"m"),)/12,)*Index!DJ$22</f>
        <v>7029.9562860135929</v>
      </c>
      <c r="DL41" s="184">
        <f>$G41*(1+$I41)^ROUNDUP(IFERROR(DATEDIF($H41-1,DL$16+1,"m"),)/12,)*Index!DK$22</f>
        <v>7029.9562860135929</v>
      </c>
      <c r="DM41" s="184">
        <f>$G41*(1+$I41)^ROUNDUP(IFERROR(DATEDIF($H41-1,DM$16+1,"m"),)/12,)*Index!DL$22</f>
        <v>7029.9562860135929</v>
      </c>
      <c r="DN41" s="184">
        <f>$G41*(1+$I41)^ROUNDUP(IFERROR(DATEDIF($H41-1,DN$16+1,"m"),)/12,)*Index!DM$22</f>
        <v>7029.9562860135929</v>
      </c>
      <c r="DO41" s="184">
        <f>$G41*(1+$I41)^ROUNDUP(IFERROR(DATEDIF($H41-1,DO$16+1,"m"),)/12,)*Index!DN$22</f>
        <v>7029.9562860135929</v>
      </c>
      <c r="DP41" s="184">
        <f>$G41*(1+$I41)^ROUNDUP(IFERROR(DATEDIF($H41-1,DP$16+1,"m"),)/12,)*Index!DO$22</f>
        <v>7029.9562860135929</v>
      </c>
      <c r="DQ41" s="184">
        <f>$G41*(1+$I41)^ROUNDUP(IFERROR(DATEDIF($H41-1,DQ$16+1,"m"),)/12,)*Index!DP$22</f>
        <v>7029.9562860135929</v>
      </c>
      <c r="DR41" s="184">
        <f>$G41*(1+$I41)^ROUNDUP(IFERROR(DATEDIF($H41-1,DR$16+1,"m"),)/12,)*Index!DQ$22</f>
        <v>7170.5554117338652</v>
      </c>
      <c r="DS41" s="184">
        <f>$G41*(1+$I41)^ROUNDUP(IFERROR(DATEDIF($H41-1,DS$16+1,"m"),)/12,)*Index!DR$22</f>
        <v>7170.5554117338652</v>
      </c>
      <c r="DT41" s="184">
        <f>$G41*(1+$I41)^ROUNDUP(IFERROR(DATEDIF($H41-1,DT$16+1,"m"),)/12,)*Index!DS$22</f>
        <v>7170.5554117338652</v>
      </c>
      <c r="DU41" s="184">
        <f>$G41*(1+$I41)^ROUNDUP(IFERROR(DATEDIF($H41-1,DU$16+1,"m"),)/12,)*Index!DT$22</f>
        <v>7170.5554117338652</v>
      </c>
      <c r="DV41" s="184">
        <f>$G41*(1+$I41)^ROUNDUP(IFERROR(DATEDIF($H41-1,DV$16+1,"m"),)/12,)*Index!DU$22</f>
        <v>7170.5554117338652</v>
      </c>
      <c r="DW41" s="184">
        <f>$G41*(1+$I41)^ROUNDUP(IFERROR(DATEDIF($H41-1,DW$16+1,"m"),)/12,)*Index!DV$22</f>
        <v>7170.5554117338652</v>
      </c>
      <c r="DX41" s="184">
        <f>$G41*(1+$I41)^ROUNDUP(IFERROR(DATEDIF($H41-1,DX$16+1,"m"),)/12,)*Index!DW$22</f>
        <v>7170.5554117338652</v>
      </c>
      <c r="DY41" s="184">
        <f>$G41*(1+$I41)^ROUNDUP(IFERROR(DATEDIF($H41-1,DY$16+1,"m"),)/12,)*Index!DX$22</f>
        <v>7170.5554117338652</v>
      </c>
      <c r="DZ41" s="184">
        <f>$G41*(1+$I41)^ROUNDUP(IFERROR(DATEDIF($H41-1,DZ$16+1,"m"),)/12,)*Index!DY$22</f>
        <v>7170.5554117338652</v>
      </c>
      <c r="EA41" s="184">
        <f>$G41*(1+$I41)^ROUNDUP(IFERROR(DATEDIF($H41-1,EA$16+1,"m"),)/12,)*Index!DZ$22</f>
        <v>7170.5554117338652</v>
      </c>
      <c r="EB41" s="184">
        <f>$G41*(1+$I41)^ROUNDUP(IFERROR(DATEDIF($H41-1,EB$16+1,"m"),)/12,)*Index!EA$22</f>
        <v>7170.5554117338652</v>
      </c>
      <c r="EC41" s="184">
        <f>$G41*(1+$I41)^ROUNDUP(IFERROR(DATEDIF($H41-1,EC$16+1,"m"),)/12,)*Index!EB$22</f>
        <v>7170.5554117338652</v>
      </c>
      <c r="ED41" s="184">
        <f>$G41*(1+$I41)^ROUNDUP(IFERROR(DATEDIF($H41-1,ED$16+1,"m"),)/12,)*Index!EC$22</f>
        <v>0</v>
      </c>
      <c r="EE41" s="184">
        <f>$G41*(1+$I41)^ROUNDUP(IFERROR(DATEDIF($H41-1,EE$16+1,"m"),)/12,)*Index!ED$22</f>
        <v>0</v>
      </c>
      <c r="EF41" s="184">
        <f>$G41*(1+$I41)^ROUNDUP(IFERROR(DATEDIF($H41-1,EF$16+1,"m"),)/12,)*Index!EE$22</f>
        <v>0</v>
      </c>
      <c r="EG41" s="184">
        <f>$G41*(1+$I41)^ROUNDUP(IFERROR(DATEDIF($H41-1,EG$16+1,"m"),)/12,)*Index!EF$22</f>
        <v>0</v>
      </c>
      <c r="EH41" s="184">
        <f>$G41*(1+$I41)^ROUNDUP(IFERROR(DATEDIF($H41-1,EH$16+1,"m"),)/12,)*Index!EG$22</f>
        <v>0</v>
      </c>
      <c r="EI41" s="184">
        <f>$G41*(1+$I41)^ROUNDUP(IFERROR(DATEDIF($H41-1,EI$16+1,"m"),)/12,)*Index!EH$22</f>
        <v>0</v>
      </c>
      <c r="EJ41" s="184">
        <f>$G41*(1+$I41)^ROUNDUP(IFERROR(DATEDIF($H41-1,EJ$16+1,"m"),)/12,)*Index!EI$22</f>
        <v>0</v>
      </c>
      <c r="EK41" s="184">
        <f>$G41*(1+$I41)^ROUNDUP(IFERROR(DATEDIF($H41-1,EK$16+1,"m"),)/12,)*Index!EJ$22</f>
        <v>0</v>
      </c>
      <c r="EL41" s="184">
        <f>$G41*(1+$I41)^ROUNDUP(IFERROR(DATEDIF($H41-1,EL$16+1,"m"),)/12,)*Index!EK$22</f>
        <v>0</v>
      </c>
      <c r="EM41" s="184">
        <f>$G41*(1+$I41)^ROUNDUP(IFERROR(DATEDIF($H41-1,EM$16+1,"m"),)/12,)*Index!EL$22</f>
        <v>0</v>
      </c>
      <c r="EN41" s="184">
        <f>$G41*(1+$I41)^ROUNDUP(IFERROR(DATEDIF($H41-1,EN$16+1,"m"),)/12,)*Index!EM$22</f>
        <v>0</v>
      </c>
      <c r="EO41" s="184">
        <f>$G41*(1+$I41)^ROUNDUP(IFERROR(DATEDIF($H41-1,EO$16+1,"m"),)/12,)*Index!EN$22</f>
        <v>0</v>
      </c>
      <c r="EP41" s="184">
        <f>$G41*(1+$I41)^ROUNDUP(IFERROR(DATEDIF($H41-1,EP$16+1,"m"),)/12,)*Index!EO$22</f>
        <v>0</v>
      </c>
      <c r="EQ41" s="184">
        <f>$G41*(1+$I41)^ROUNDUP(IFERROR(DATEDIF($H41-1,EQ$16+1,"m"),)/12,)*Index!EP$22</f>
        <v>0</v>
      </c>
      <c r="ER41" s="184">
        <f>$G41*(1+$I41)^ROUNDUP(IFERROR(DATEDIF($H41-1,ER$16+1,"m"),)/12,)*Index!EQ$22</f>
        <v>0</v>
      </c>
    </row>
    <row r="42" spans="2:148" ht="11.25" customHeight="1">
      <c r="B42" s="875" t="s">
        <v>513</v>
      </c>
      <c r="C42" s="876"/>
      <c r="D42" s="876"/>
      <c r="E42" s="876"/>
      <c r="F42" s="876"/>
      <c r="G42" s="876"/>
      <c r="H42" s="876"/>
      <c r="I42" s="877"/>
      <c r="J42" s="878"/>
      <c r="K42" s="897">
        <f ca="1">SUM(K43,-K46)</f>
        <v>6317060.5119738728</v>
      </c>
      <c r="M42" s="897">
        <f>SUM(M43,-M46)</f>
        <v>0</v>
      </c>
      <c r="N42" s="897">
        <f t="shared" ref="N42:BY42" ca="1" si="20">SUM(N43,-N46)</f>
        <v>-874879.17778116162</v>
      </c>
      <c r="O42" s="897">
        <f t="shared" ca="1" si="20"/>
        <v>-874879.17778116162</v>
      </c>
      <c r="P42" s="897">
        <f t="shared" ca="1" si="20"/>
        <v>-874879.17778116162</v>
      </c>
      <c r="Q42" s="897">
        <f t="shared" ca="1" si="20"/>
        <v>-826666.66666666663</v>
      </c>
      <c r="R42" s="897">
        <f t="shared" ca="1" si="20"/>
        <v>-826666.66666666663</v>
      </c>
      <c r="S42" s="897">
        <f t="shared" ca="1" si="20"/>
        <v>-826666.66666666663</v>
      </c>
      <c r="T42" s="897">
        <f t="shared" ca="1" si="20"/>
        <v>-826666.66666666663</v>
      </c>
      <c r="U42" s="897">
        <f t="shared" ca="1" si="20"/>
        <v>-826666.66666666663</v>
      </c>
      <c r="V42" s="897">
        <f t="shared" ca="1" si="20"/>
        <v>-826666.66666666663</v>
      </c>
      <c r="W42" s="897">
        <f t="shared" ca="1" si="20"/>
        <v>-826666.66666666663</v>
      </c>
      <c r="X42" s="897">
        <f t="shared" ca="1" si="20"/>
        <v>-826666.66666666663</v>
      </c>
      <c r="Y42" s="897">
        <f t="shared" ca="1" si="20"/>
        <v>-826666.66666666663</v>
      </c>
      <c r="Z42" s="897">
        <f t="shared" ca="1" si="20"/>
        <v>-826666.66666666663</v>
      </c>
      <c r="AA42" s="897">
        <f t="shared" ca="1" si="20"/>
        <v>-826666.66666666663</v>
      </c>
      <c r="AB42" s="897">
        <f t="shared" ca="1" si="20"/>
        <v>-826666.66666666663</v>
      </c>
      <c r="AC42" s="897">
        <f t="shared" ca="1" si="20"/>
        <v>-826666.66666666663</v>
      </c>
      <c r="AD42" s="897">
        <f t="shared" ca="1" si="20"/>
        <v>-826666.66666666663</v>
      </c>
      <c r="AE42" s="897">
        <f t="shared" ca="1" si="20"/>
        <v>-826666.66666666663</v>
      </c>
      <c r="AF42" s="897">
        <f t="shared" ca="1" si="20"/>
        <v>-826666.66666666663</v>
      </c>
      <c r="AG42" s="897">
        <f t="shared" ca="1" si="20"/>
        <v>-826666.66666666663</v>
      </c>
      <c r="AH42" s="897">
        <f t="shared" ca="1" si="20"/>
        <v>-826666.66666666663</v>
      </c>
      <c r="AI42" s="897">
        <f t="shared" ca="1" si="20"/>
        <v>-826666.66666666663</v>
      </c>
      <c r="AJ42" s="897">
        <f t="shared" ca="1" si="20"/>
        <v>-826666.66666666663</v>
      </c>
      <c r="AK42" s="897">
        <f t="shared" ca="1" si="20"/>
        <v>-826666.66666666663</v>
      </c>
      <c r="AL42" s="897">
        <f t="shared" ca="1" si="20"/>
        <v>-852000</v>
      </c>
      <c r="AM42" s="897">
        <f t="shared" ca="1" si="20"/>
        <v>-852000</v>
      </c>
      <c r="AN42" s="897">
        <f t="shared" ca="1" si="20"/>
        <v>-852000</v>
      </c>
      <c r="AO42" s="897">
        <f t="shared" ca="1" si="20"/>
        <v>-852000</v>
      </c>
      <c r="AP42" s="897">
        <f t="shared" ca="1" si="20"/>
        <v>-852000</v>
      </c>
      <c r="AQ42" s="897">
        <f t="shared" ca="1" si="20"/>
        <v>-852000</v>
      </c>
      <c r="AR42" s="897">
        <f t="shared" ca="1" si="20"/>
        <v>-852000</v>
      </c>
      <c r="AS42" s="897">
        <f t="shared" ca="1" si="20"/>
        <v>-852000</v>
      </c>
      <c r="AT42" s="897">
        <f t="shared" ca="1" si="20"/>
        <v>-852000</v>
      </c>
      <c r="AU42" s="897">
        <f t="shared" ca="1" si="20"/>
        <v>-852000</v>
      </c>
      <c r="AV42" s="897">
        <f t="shared" ca="1" si="20"/>
        <v>-852000</v>
      </c>
      <c r="AW42" s="897">
        <f t="shared" ca="1" si="20"/>
        <v>-852000</v>
      </c>
      <c r="AX42" s="897">
        <f t="shared" ca="1" si="20"/>
        <v>-852000</v>
      </c>
      <c r="AY42" s="897">
        <f t="shared" ca="1" si="20"/>
        <v>-852000</v>
      </c>
      <c r="AZ42" s="897">
        <f t="shared" ca="1" si="20"/>
        <v>-852000</v>
      </c>
      <c r="BA42" s="897">
        <f t="shared" ca="1" si="20"/>
        <v>-852000</v>
      </c>
      <c r="BB42" s="897">
        <f t="shared" ca="1" si="20"/>
        <v>-852000</v>
      </c>
      <c r="BC42" s="897">
        <f t="shared" ca="1" si="20"/>
        <v>-852000</v>
      </c>
      <c r="BD42" s="897">
        <f t="shared" ca="1" si="20"/>
        <v>-852000</v>
      </c>
      <c r="BE42" s="897">
        <f t="shared" ca="1" si="20"/>
        <v>-852000</v>
      </c>
      <c r="BF42" s="897">
        <f t="shared" ca="1" si="20"/>
        <v>-852000</v>
      </c>
      <c r="BG42" s="897">
        <f t="shared" ca="1" si="20"/>
        <v>-852000</v>
      </c>
      <c r="BH42" s="897">
        <f t="shared" ca="1" si="20"/>
        <v>-852000</v>
      </c>
      <c r="BI42" s="897">
        <f t="shared" ca="1" si="20"/>
        <v>-852000</v>
      </c>
      <c r="BJ42" s="897">
        <f t="shared" ca="1" si="20"/>
        <v>-852000</v>
      </c>
      <c r="BK42" s="897">
        <f t="shared" ca="1" si="20"/>
        <v>-852000</v>
      </c>
      <c r="BL42" s="897">
        <f t="shared" ca="1" si="20"/>
        <v>-852000</v>
      </c>
      <c r="BM42" s="897">
        <f t="shared" ca="1" si="20"/>
        <v>-852000</v>
      </c>
      <c r="BN42" s="897">
        <f t="shared" ca="1" si="20"/>
        <v>-852000</v>
      </c>
      <c r="BO42" s="897">
        <f t="shared" ca="1" si="20"/>
        <v>-852000</v>
      </c>
      <c r="BP42" s="897">
        <f t="shared" ca="1" si="20"/>
        <v>-852000</v>
      </c>
      <c r="BQ42" s="897">
        <f t="shared" ca="1" si="20"/>
        <v>-852000</v>
      </c>
      <c r="BR42" s="897">
        <f t="shared" ca="1" si="20"/>
        <v>-852000</v>
      </c>
      <c r="BS42" s="897">
        <f t="shared" ca="1" si="20"/>
        <v>-852000</v>
      </c>
      <c r="BT42" s="897">
        <f t="shared" ca="1" si="20"/>
        <v>-852000</v>
      </c>
      <c r="BU42" s="897">
        <f t="shared" ca="1" si="20"/>
        <v>-852000</v>
      </c>
      <c r="BV42" s="897">
        <f t="shared" ca="1" si="20"/>
        <v>-798750</v>
      </c>
      <c r="BW42" s="897">
        <f t="shared" ca="1" si="20"/>
        <v>-798750</v>
      </c>
      <c r="BX42" s="897">
        <f t="shared" ca="1" si="20"/>
        <v>-798750</v>
      </c>
      <c r="BY42" s="897">
        <f t="shared" ca="1" si="20"/>
        <v>-798750</v>
      </c>
      <c r="BZ42" s="897">
        <f t="shared" ref="BZ42:DT42" ca="1" si="21">SUM(BZ43,-BZ46)</f>
        <v>-798750</v>
      </c>
      <c r="CA42" s="897">
        <f t="shared" ca="1" si="21"/>
        <v>-798750</v>
      </c>
      <c r="CB42" s="897">
        <f t="shared" ca="1" si="21"/>
        <v>-798750</v>
      </c>
      <c r="CC42" s="897">
        <f t="shared" ca="1" si="21"/>
        <v>-798750</v>
      </c>
      <c r="CD42" s="897">
        <f t="shared" ca="1" si="21"/>
        <v>-798750</v>
      </c>
      <c r="CE42" s="897">
        <f t="shared" ca="1" si="21"/>
        <v>-798750</v>
      </c>
      <c r="CF42" s="897">
        <f t="shared" ca="1" si="21"/>
        <v>-798750</v>
      </c>
      <c r="CG42" s="897">
        <f t="shared" ca="1" si="21"/>
        <v>-798750</v>
      </c>
      <c r="CH42" s="897">
        <f t="shared" ca="1" si="21"/>
        <v>-798750</v>
      </c>
      <c r="CI42" s="897">
        <f t="shared" ca="1" si="21"/>
        <v>-798750</v>
      </c>
      <c r="CJ42" s="897">
        <f t="shared" ca="1" si="21"/>
        <v>-798750</v>
      </c>
      <c r="CK42" s="897">
        <f t="shared" ca="1" si="21"/>
        <v>-798750</v>
      </c>
      <c r="CL42" s="897">
        <f t="shared" ca="1" si="21"/>
        <v>-798750</v>
      </c>
      <c r="CM42" s="897">
        <f t="shared" ca="1" si="21"/>
        <v>-798750</v>
      </c>
      <c r="CN42" s="897">
        <f t="shared" ca="1" si="21"/>
        <v>-798750</v>
      </c>
      <c r="CO42" s="897">
        <f t="shared" ca="1" si="21"/>
        <v>-798750</v>
      </c>
      <c r="CP42" s="897">
        <f t="shared" ca="1" si="21"/>
        <v>-798750</v>
      </c>
      <c r="CQ42" s="897">
        <f t="shared" ca="1" si="21"/>
        <v>-798750</v>
      </c>
      <c r="CR42" s="897">
        <f t="shared" ca="1" si="21"/>
        <v>-798750</v>
      </c>
      <c r="CS42" s="897">
        <f t="shared" ca="1" si="21"/>
        <v>-798750</v>
      </c>
      <c r="CT42" s="897">
        <f t="shared" ca="1" si="21"/>
        <v>-798750</v>
      </c>
      <c r="CU42" s="897">
        <f t="shared" ca="1" si="21"/>
        <v>-798750</v>
      </c>
      <c r="CV42" s="897">
        <f t="shared" ca="1" si="21"/>
        <v>-798750</v>
      </c>
      <c r="CW42" s="897">
        <f t="shared" ca="1" si="21"/>
        <v>-798750</v>
      </c>
      <c r="CX42" s="897">
        <f t="shared" ca="1" si="21"/>
        <v>-798750</v>
      </c>
      <c r="CY42" s="897">
        <f t="shared" ca="1" si="21"/>
        <v>-798750</v>
      </c>
      <c r="CZ42" s="897">
        <f t="shared" ca="1" si="21"/>
        <v>-798750</v>
      </c>
      <c r="DA42" s="897">
        <f t="shared" ca="1" si="21"/>
        <v>-798750</v>
      </c>
      <c r="DB42" s="897">
        <f t="shared" ca="1" si="21"/>
        <v>-798750</v>
      </c>
      <c r="DC42" s="897">
        <f t="shared" ca="1" si="21"/>
        <v>-798750</v>
      </c>
      <c r="DD42" s="897">
        <f t="shared" ca="1" si="21"/>
        <v>-798750</v>
      </c>
      <c r="DE42" s="897">
        <f t="shared" ca="1" si="21"/>
        <v>-798750</v>
      </c>
      <c r="DF42" s="897">
        <f t="shared" ca="1" si="21"/>
        <v>-798750</v>
      </c>
      <c r="DG42" s="897">
        <f t="shared" ca="1" si="21"/>
        <v>-798750</v>
      </c>
      <c r="DH42" s="897">
        <f t="shared" ca="1" si="21"/>
        <v>-798750</v>
      </c>
      <c r="DI42" s="897">
        <f t="shared" ca="1" si="21"/>
        <v>-798750</v>
      </c>
      <c r="DJ42" s="897">
        <f t="shared" ca="1" si="21"/>
        <v>-798750</v>
      </c>
      <c r="DK42" s="897">
        <f t="shared" ca="1" si="21"/>
        <v>-798750</v>
      </c>
      <c r="DL42" s="897">
        <f t="shared" ca="1" si="21"/>
        <v>-798750</v>
      </c>
      <c r="DM42" s="897">
        <f t="shared" ca="1" si="21"/>
        <v>-798750</v>
      </c>
      <c r="DN42" s="897">
        <f t="shared" ca="1" si="21"/>
        <v>-798750</v>
      </c>
      <c r="DO42" s="897">
        <f t="shared" ca="1" si="21"/>
        <v>-798750</v>
      </c>
      <c r="DP42" s="897">
        <f t="shared" ca="1" si="21"/>
        <v>-798750</v>
      </c>
      <c r="DQ42" s="897">
        <f t="shared" ca="1" si="21"/>
        <v>-798750</v>
      </c>
      <c r="DR42" s="897">
        <f t="shared" ca="1" si="21"/>
        <v>-798750</v>
      </c>
      <c r="DS42" s="897">
        <f t="shared" ca="1" si="21"/>
        <v>-798750</v>
      </c>
      <c r="DT42" s="897">
        <f t="shared" ca="1" si="21"/>
        <v>-798750</v>
      </c>
      <c r="DU42" s="897">
        <f t="shared" ref="DU42:ER42" ca="1" si="22">SUM(DU43,-DU46)</f>
        <v>-798750</v>
      </c>
      <c r="DV42" s="897">
        <f t="shared" ca="1" si="22"/>
        <v>-798750</v>
      </c>
      <c r="DW42" s="897">
        <f t="shared" ca="1" si="22"/>
        <v>-798750</v>
      </c>
      <c r="DX42" s="897">
        <f t="shared" ca="1" si="22"/>
        <v>-798750</v>
      </c>
      <c r="DY42" s="897">
        <f t="shared" ca="1" si="22"/>
        <v>-798750</v>
      </c>
      <c r="DZ42" s="897">
        <f t="shared" ca="1" si="22"/>
        <v>-798750</v>
      </c>
      <c r="EA42" s="897">
        <f t="shared" ca="1" si="22"/>
        <v>-798750</v>
      </c>
      <c r="EB42" s="897">
        <f t="shared" ca="1" si="22"/>
        <v>-798750</v>
      </c>
      <c r="EC42" s="897">
        <f t="shared" ca="1" si="22"/>
        <v>104099948.04531735</v>
      </c>
      <c r="ED42" s="897">
        <f t="shared" ca="1" si="22"/>
        <v>0</v>
      </c>
      <c r="EE42" s="897">
        <f t="shared" ca="1" si="22"/>
        <v>0</v>
      </c>
      <c r="EF42" s="897">
        <f t="shared" ca="1" si="22"/>
        <v>0</v>
      </c>
      <c r="EG42" s="897">
        <f t="shared" ca="1" si="22"/>
        <v>0</v>
      </c>
      <c r="EH42" s="897">
        <f t="shared" ca="1" si="22"/>
        <v>0</v>
      </c>
      <c r="EI42" s="897">
        <f t="shared" ca="1" si="22"/>
        <v>0</v>
      </c>
      <c r="EJ42" s="897">
        <f t="shared" ca="1" si="22"/>
        <v>0</v>
      </c>
      <c r="EK42" s="897">
        <f t="shared" ca="1" si="22"/>
        <v>0</v>
      </c>
      <c r="EL42" s="897">
        <f t="shared" ca="1" si="22"/>
        <v>0</v>
      </c>
      <c r="EM42" s="897">
        <f t="shared" ca="1" si="22"/>
        <v>0</v>
      </c>
      <c r="EN42" s="897">
        <f t="shared" ca="1" si="22"/>
        <v>0</v>
      </c>
      <c r="EO42" s="897">
        <f t="shared" ca="1" si="22"/>
        <v>0</v>
      </c>
      <c r="EP42" s="897">
        <f t="shared" ca="1" si="22"/>
        <v>0</v>
      </c>
      <c r="EQ42" s="897">
        <f t="shared" ca="1" si="22"/>
        <v>0</v>
      </c>
      <c r="ER42" s="897">
        <f t="shared" ca="1" si="22"/>
        <v>0</v>
      </c>
    </row>
    <row r="43" spans="2:148" ht="11.25" customHeight="1">
      <c r="B43" s="218"/>
      <c r="C43" s="158" t="s">
        <v>514</v>
      </c>
      <c r="D43" s="159"/>
      <c r="E43" s="159"/>
      <c r="F43" s="159"/>
      <c r="G43" s="159"/>
      <c r="H43" s="159"/>
      <c r="I43" s="160"/>
      <c r="J43" s="219"/>
      <c r="K43" s="220">
        <f ca="1">SUM(K44:K45)</f>
        <v>104898698.04531735</v>
      </c>
      <c r="L43" s="98"/>
      <c r="M43" s="162">
        <f t="shared" ref="M43:AR43" si="23">SUM(M44:M45)</f>
        <v>0</v>
      </c>
      <c r="N43" s="162">
        <f t="shared" ca="1" si="23"/>
        <v>0</v>
      </c>
      <c r="O43" s="162">
        <f t="shared" ca="1" si="23"/>
        <v>0</v>
      </c>
      <c r="P43" s="162">
        <f t="shared" ca="1" si="23"/>
        <v>0</v>
      </c>
      <c r="Q43" s="162">
        <f t="shared" ca="1" si="23"/>
        <v>0</v>
      </c>
      <c r="R43" s="162">
        <f t="shared" ca="1" si="23"/>
        <v>0</v>
      </c>
      <c r="S43" s="162">
        <f t="shared" ca="1" si="23"/>
        <v>0</v>
      </c>
      <c r="T43" s="162">
        <f t="shared" ca="1" si="23"/>
        <v>0</v>
      </c>
      <c r="U43" s="162">
        <f t="shared" ca="1" si="23"/>
        <v>0</v>
      </c>
      <c r="V43" s="162">
        <f t="shared" ca="1" si="23"/>
        <v>0</v>
      </c>
      <c r="W43" s="162">
        <f t="shared" ca="1" si="23"/>
        <v>0</v>
      </c>
      <c r="X43" s="162">
        <f t="shared" ca="1" si="23"/>
        <v>0</v>
      </c>
      <c r="Y43" s="162">
        <f t="shared" ca="1" si="23"/>
        <v>0</v>
      </c>
      <c r="Z43" s="162">
        <f t="shared" ca="1" si="23"/>
        <v>0</v>
      </c>
      <c r="AA43" s="162">
        <f t="shared" ca="1" si="23"/>
        <v>0</v>
      </c>
      <c r="AB43" s="162">
        <f t="shared" ca="1" si="23"/>
        <v>0</v>
      </c>
      <c r="AC43" s="162">
        <f t="shared" ca="1" si="23"/>
        <v>0</v>
      </c>
      <c r="AD43" s="162">
        <f t="shared" ca="1" si="23"/>
        <v>0</v>
      </c>
      <c r="AE43" s="162">
        <f t="shared" ca="1" si="23"/>
        <v>0</v>
      </c>
      <c r="AF43" s="162">
        <f t="shared" ca="1" si="23"/>
        <v>0</v>
      </c>
      <c r="AG43" s="162">
        <f t="shared" ca="1" si="23"/>
        <v>0</v>
      </c>
      <c r="AH43" s="162">
        <f t="shared" ca="1" si="23"/>
        <v>0</v>
      </c>
      <c r="AI43" s="162">
        <f t="shared" ca="1" si="23"/>
        <v>0</v>
      </c>
      <c r="AJ43" s="162">
        <f t="shared" ca="1" si="23"/>
        <v>0</v>
      </c>
      <c r="AK43" s="162">
        <f t="shared" ca="1" si="23"/>
        <v>0</v>
      </c>
      <c r="AL43" s="162">
        <f t="shared" ca="1" si="23"/>
        <v>0</v>
      </c>
      <c r="AM43" s="162">
        <f t="shared" ca="1" si="23"/>
        <v>0</v>
      </c>
      <c r="AN43" s="162">
        <f t="shared" ca="1" si="23"/>
        <v>0</v>
      </c>
      <c r="AO43" s="162">
        <f t="shared" ca="1" si="23"/>
        <v>0</v>
      </c>
      <c r="AP43" s="162">
        <f t="shared" ca="1" si="23"/>
        <v>0</v>
      </c>
      <c r="AQ43" s="162">
        <f t="shared" ca="1" si="23"/>
        <v>0</v>
      </c>
      <c r="AR43" s="162">
        <f t="shared" ca="1" si="23"/>
        <v>0</v>
      </c>
      <c r="AS43" s="162">
        <f t="shared" ref="AS43:BX43" ca="1" si="24">SUM(AS44:AS45)</f>
        <v>0</v>
      </c>
      <c r="AT43" s="162">
        <f t="shared" ca="1" si="24"/>
        <v>0</v>
      </c>
      <c r="AU43" s="162">
        <f t="shared" ca="1" si="24"/>
        <v>0</v>
      </c>
      <c r="AV43" s="162">
        <f t="shared" ca="1" si="24"/>
        <v>0</v>
      </c>
      <c r="AW43" s="162">
        <f t="shared" ca="1" si="24"/>
        <v>0</v>
      </c>
      <c r="AX43" s="162">
        <f t="shared" ca="1" si="24"/>
        <v>0</v>
      </c>
      <c r="AY43" s="162">
        <f t="shared" ca="1" si="24"/>
        <v>0</v>
      </c>
      <c r="AZ43" s="162">
        <f t="shared" ca="1" si="24"/>
        <v>0</v>
      </c>
      <c r="BA43" s="162">
        <f t="shared" ca="1" si="24"/>
        <v>0</v>
      </c>
      <c r="BB43" s="162">
        <f t="shared" ca="1" si="24"/>
        <v>0</v>
      </c>
      <c r="BC43" s="162">
        <f t="shared" ca="1" si="24"/>
        <v>0</v>
      </c>
      <c r="BD43" s="162">
        <f t="shared" ca="1" si="24"/>
        <v>0</v>
      </c>
      <c r="BE43" s="162">
        <f t="shared" ca="1" si="24"/>
        <v>0</v>
      </c>
      <c r="BF43" s="162">
        <f t="shared" ca="1" si="24"/>
        <v>0</v>
      </c>
      <c r="BG43" s="162">
        <f t="shared" ca="1" si="24"/>
        <v>0</v>
      </c>
      <c r="BH43" s="162">
        <f t="shared" ca="1" si="24"/>
        <v>0</v>
      </c>
      <c r="BI43" s="162">
        <f t="shared" ca="1" si="24"/>
        <v>0</v>
      </c>
      <c r="BJ43" s="162">
        <f t="shared" ca="1" si="24"/>
        <v>0</v>
      </c>
      <c r="BK43" s="162">
        <f t="shared" ca="1" si="24"/>
        <v>0</v>
      </c>
      <c r="BL43" s="162">
        <f t="shared" ca="1" si="24"/>
        <v>0</v>
      </c>
      <c r="BM43" s="162">
        <f t="shared" ca="1" si="24"/>
        <v>0</v>
      </c>
      <c r="BN43" s="162">
        <f t="shared" ca="1" si="24"/>
        <v>0</v>
      </c>
      <c r="BO43" s="162">
        <f t="shared" ca="1" si="24"/>
        <v>0</v>
      </c>
      <c r="BP43" s="162">
        <f t="shared" ca="1" si="24"/>
        <v>0</v>
      </c>
      <c r="BQ43" s="162">
        <f t="shared" ca="1" si="24"/>
        <v>0</v>
      </c>
      <c r="BR43" s="162">
        <f t="shared" ca="1" si="24"/>
        <v>0</v>
      </c>
      <c r="BS43" s="162">
        <f t="shared" ca="1" si="24"/>
        <v>0</v>
      </c>
      <c r="BT43" s="162">
        <f t="shared" ca="1" si="24"/>
        <v>0</v>
      </c>
      <c r="BU43" s="162">
        <f t="shared" ca="1" si="24"/>
        <v>0</v>
      </c>
      <c r="BV43" s="162">
        <f t="shared" ca="1" si="24"/>
        <v>0</v>
      </c>
      <c r="BW43" s="162">
        <f t="shared" ca="1" si="24"/>
        <v>0</v>
      </c>
      <c r="BX43" s="162">
        <f t="shared" ca="1" si="24"/>
        <v>0</v>
      </c>
      <c r="BY43" s="162">
        <f t="shared" ref="BY43:DD43" ca="1" si="25">SUM(BY44:BY45)</f>
        <v>0</v>
      </c>
      <c r="BZ43" s="162">
        <f t="shared" ca="1" si="25"/>
        <v>0</v>
      </c>
      <c r="CA43" s="162">
        <f t="shared" ca="1" si="25"/>
        <v>0</v>
      </c>
      <c r="CB43" s="162">
        <f t="shared" ca="1" si="25"/>
        <v>0</v>
      </c>
      <c r="CC43" s="162">
        <f t="shared" ca="1" si="25"/>
        <v>0</v>
      </c>
      <c r="CD43" s="162">
        <f t="shared" ca="1" si="25"/>
        <v>0</v>
      </c>
      <c r="CE43" s="162">
        <f t="shared" ca="1" si="25"/>
        <v>0</v>
      </c>
      <c r="CF43" s="162">
        <f t="shared" ca="1" si="25"/>
        <v>0</v>
      </c>
      <c r="CG43" s="162">
        <f t="shared" ca="1" si="25"/>
        <v>0</v>
      </c>
      <c r="CH43" s="162">
        <f t="shared" ca="1" si="25"/>
        <v>0</v>
      </c>
      <c r="CI43" s="162">
        <f t="shared" ca="1" si="25"/>
        <v>0</v>
      </c>
      <c r="CJ43" s="162">
        <f t="shared" ca="1" si="25"/>
        <v>0</v>
      </c>
      <c r="CK43" s="162">
        <f t="shared" ca="1" si="25"/>
        <v>0</v>
      </c>
      <c r="CL43" s="162">
        <f t="shared" ca="1" si="25"/>
        <v>0</v>
      </c>
      <c r="CM43" s="162">
        <f t="shared" ca="1" si="25"/>
        <v>0</v>
      </c>
      <c r="CN43" s="162">
        <f t="shared" ca="1" si="25"/>
        <v>0</v>
      </c>
      <c r="CO43" s="162">
        <f t="shared" ca="1" si="25"/>
        <v>0</v>
      </c>
      <c r="CP43" s="162">
        <f t="shared" ca="1" si="25"/>
        <v>0</v>
      </c>
      <c r="CQ43" s="162">
        <f t="shared" ca="1" si="25"/>
        <v>0</v>
      </c>
      <c r="CR43" s="162">
        <f t="shared" ca="1" si="25"/>
        <v>0</v>
      </c>
      <c r="CS43" s="162">
        <f t="shared" ca="1" si="25"/>
        <v>0</v>
      </c>
      <c r="CT43" s="162">
        <f t="shared" ca="1" si="25"/>
        <v>0</v>
      </c>
      <c r="CU43" s="162">
        <f t="shared" ca="1" si="25"/>
        <v>0</v>
      </c>
      <c r="CV43" s="162">
        <f t="shared" ca="1" si="25"/>
        <v>0</v>
      </c>
      <c r="CW43" s="162">
        <f t="shared" ca="1" si="25"/>
        <v>0</v>
      </c>
      <c r="CX43" s="162">
        <f t="shared" ca="1" si="25"/>
        <v>0</v>
      </c>
      <c r="CY43" s="162">
        <f t="shared" ca="1" si="25"/>
        <v>0</v>
      </c>
      <c r="CZ43" s="162">
        <f t="shared" ca="1" si="25"/>
        <v>0</v>
      </c>
      <c r="DA43" s="162">
        <f t="shared" ca="1" si="25"/>
        <v>0</v>
      </c>
      <c r="DB43" s="162">
        <f t="shared" ca="1" si="25"/>
        <v>0</v>
      </c>
      <c r="DC43" s="162">
        <f t="shared" ca="1" si="25"/>
        <v>0</v>
      </c>
      <c r="DD43" s="162">
        <f t="shared" ca="1" si="25"/>
        <v>0</v>
      </c>
      <c r="DE43" s="162">
        <f t="shared" ref="DE43:DT43" ca="1" si="26">SUM(DE44:DE45)</f>
        <v>0</v>
      </c>
      <c r="DF43" s="162">
        <f t="shared" ca="1" si="26"/>
        <v>0</v>
      </c>
      <c r="DG43" s="162">
        <f t="shared" ca="1" si="26"/>
        <v>0</v>
      </c>
      <c r="DH43" s="162">
        <f t="shared" ca="1" si="26"/>
        <v>0</v>
      </c>
      <c r="DI43" s="162">
        <f t="shared" ca="1" si="26"/>
        <v>0</v>
      </c>
      <c r="DJ43" s="162">
        <f t="shared" ca="1" si="26"/>
        <v>0</v>
      </c>
      <c r="DK43" s="162">
        <f t="shared" ca="1" si="26"/>
        <v>0</v>
      </c>
      <c r="DL43" s="162">
        <f t="shared" ca="1" si="26"/>
        <v>0</v>
      </c>
      <c r="DM43" s="162">
        <f t="shared" ca="1" si="26"/>
        <v>0</v>
      </c>
      <c r="DN43" s="162">
        <f t="shared" ca="1" si="26"/>
        <v>0</v>
      </c>
      <c r="DO43" s="162">
        <f t="shared" ca="1" si="26"/>
        <v>0</v>
      </c>
      <c r="DP43" s="162">
        <f t="shared" ca="1" si="26"/>
        <v>0</v>
      </c>
      <c r="DQ43" s="162">
        <f t="shared" ca="1" si="26"/>
        <v>0</v>
      </c>
      <c r="DR43" s="162">
        <f t="shared" ca="1" si="26"/>
        <v>0</v>
      </c>
      <c r="DS43" s="162">
        <f t="shared" ca="1" si="26"/>
        <v>0</v>
      </c>
      <c r="DT43" s="162">
        <f t="shared" ca="1" si="26"/>
        <v>0</v>
      </c>
      <c r="DU43" s="162">
        <f t="shared" ref="DU43:ER43" ca="1" si="27">SUM(DU44:DU45)</f>
        <v>0</v>
      </c>
      <c r="DV43" s="162">
        <f t="shared" ca="1" si="27"/>
        <v>0</v>
      </c>
      <c r="DW43" s="162">
        <f t="shared" ca="1" si="27"/>
        <v>0</v>
      </c>
      <c r="DX43" s="162">
        <f t="shared" ca="1" si="27"/>
        <v>0</v>
      </c>
      <c r="DY43" s="162">
        <f t="shared" ca="1" si="27"/>
        <v>0</v>
      </c>
      <c r="DZ43" s="162">
        <f t="shared" ca="1" si="27"/>
        <v>0</v>
      </c>
      <c r="EA43" s="162">
        <f t="shared" ca="1" si="27"/>
        <v>0</v>
      </c>
      <c r="EB43" s="162">
        <f t="shared" ca="1" si="27"/>
        <v>0</v>
      </c>
      <c r="EC43" s="162">
        <f t="shared" ca="1" si="27"/>
        <v>104898698.04531735</v>
      </c>
      <c r="ED43" s="162">
        <f t="shared" ca="1" si="27"/>
        <v>0</v>
      </c>
      <c r="EE43" s="162">
        <f t="shared" ca="1" si="27"/>
        <v>0</v>
      </c>
      <c r="EF43" s="162">
        <f t="shared" ca="1" si="27"/>
        <v>0</v>
      </c>
      <c r="EG43" s="162">
        <f t="shared" ca="1" si="27"/>
        <v>0</v>
      </c>
      <c r="EH43" s="162">
        <f t="shared" ca="1" si="27"/>
        <v>0</v>
      </c>
      <c r="EI43" s="162">
        <f t="shared" ca="1" si="27"/>
        <v>0</v>
      </c>
      <c r="EJ43" s="162">
        <f t="shared" ca="1" si="27"/>
        <v>0</v>
      </c>
      <c r="EK43" s="162">
        <f t="shared" ca="1" si="27"/>
        <v>0</v>
      </c>
      <c r="EL43" s="162">
        <f t="shared" ca="1" si="27"/>
        <v>0</v>
      </c>
      <c r="EM43" s="162">
        <f t="shared" ca="1" si="27"/>
        <v>0</v>
      </c>
      <c r="EN43" s="162">
        <f t="shared" ca="1" si="27"/>
        <v>0</v>
      </c>
      <c r="EO43" s="162">
        <f t="shared" ca="1" si="27"/>
        <v>0</v>
      </c>
      <c r="EP43" s="162">
        <f t="shared" ca="1" si="27"/>
        <v>0</v>
      </c>
      <c r="EQ43" s="162">
        <f t="shared" ca="1" si="27"/>
        <v>0</v>
      </c>
      <c r="ER43" s="162">
        <f t="shared" ca="1" si="27"/>
        <v>0</v>
      </c>
    </row>
    <row r="44" spans="2:148" ht="11.25" customHeight="1">
      <c r="B44" s="218"/>
      <c r="C44" s="163"/>
      <c r="D44" s="164" t="s">
        <v>239</v>
      </c>
      <c r="E44" s="165"/>
      <c r="F44" s="165"/>
      <c r="G44" s="185"/>
      <c r="H44" s="185"/>
      <c r="I44" s="194"/>
      <c r="J44" s="1253">
        <v>0</v>
      </c>
      <c r="K44" s="168">
        <f ca="1">SUM(M44:ER44)</f>
        <v>0</v>
      </c>
      <c r="L44" s="98"/>
      <c r="M44" s="908">
        <f>'CF(M)'!K122*'IS(M)'!$J44/12*Index!L$22</f>
        <v>0</v>
      </c>
      <c r="N44" s="908">
        <f ca="1">'CF(M)'!L122*'IS(M)'!$J44/12*Index!M$22</f>
        <v>0</v>
      </c>
      <c r="O44" s="908">
        <f ca="1">'CF(M)'!M122*'IS(M)'!$J44/12*Index!N$22</f>
        <v>0</v>
      </c>
      <c r="P44" s="908">
        <f ca="1">'CF(M)'!N122*'IS(M)'!$J44/12*Index!O$22</f>
        <v>0</v>
      </c>
      <c r="Q44" s="908">
        <f ca="1">'CF(M)'!O122*'IS(M)'!$J44/12*Index!P$22</f>
        <v>0</v>
      </c>
      <c r="R44" s="908">
        <f ca="1">'CF(M)'!P122*'IS(M)'!$J44/12*Index!Q$22</f>
        <v>0</v>
      </c>
      <c r="S44" s="908">
        <f ca="1">'CF(M)'!Q122*'IS(M)'!$J44/12*Index!R$22</f>
        <v>0</v>
      </c>
      <c r="T44" s="908">
        <f ca="1">'CF(M)'!R122*'IS(M)'!$J44/12*Index!S$22</f>
        <v>0</v>
      </c>
      <c r="U44" s="908">
        <f ca="1">'CF(M)'!S122*'IS(M)'!$J44/12*Index!T$22</f>
        <v>0</v>
      </c>
      <c r="V44" s="908">
        <f ca="1">'CF(M)'!T122*'IS(M)'!$J44/12*Index!U$22</f>
        <v>0</v>
      </c>
      <c r="W44" s="908">
        <f ca="1">'CF(M)'!U122*'IS(M)'!$J44/12*Index!V$22</f>
        <v>0</v>
      </c>
      <c r="X44" s="908">
        <f ca="1">'CF(M)'!V122*'IS(M)'!$J44/12*Index!W$22</f>
        <v>0</v>
      </c>
      <c r="Y44" s="908">
        <f ca="1">'CF(M)'!W122*'IS(M)'!$J44/12*Index!X$22</f>
        <v>0</v>
      </c>
      <c r="Z44" s="908">
        <f ca="1">'CF(M)'!X122*'IS(M)'!$J44/12*Index!Y$22</f>
        <v>0</v>
      </c>
      <c r="AA44" s="908">
        <f ca="1">'CF(M)'!Y122*'IS(M)'!$J44/12*Index!Z$22</f>
        <v>0</v>
      </c>
      <c r="AB44" s="908">
        <f ca="1">'CF(M)'!Z122*'IS(M)'!$J44/12*Index!AA$22</f>
        <v>0</v>
      </c>
      <c r="AC44" s="908">
        <f ca="1">'CF(M)'!AA122*'IS(M)'!$J44/12*Index!AB$22</f>
        <v>0</v>
      </c>
      <c r="AD44" s="908">
        <f ca="1">'CF(M)'!AB122*'IS(M)'!$J44/12*Index!AC$22</f>
        <v>0</v>
      </c>
      <c r="AE44" s="908">
        <f ca="1">'CF(M)'!AC122*'IS(M)'!$J44/12*Index!AD$22</f>
        <v>0</v>
      </c>
      <c r="AF44" s="908">
        <f ca="1">'CF(M)'!AD122*'IS(M)'!$J44/12*Index!AE$22</f>
        <v>0</v>
      </c>
      <c r="AG44" s="908">
        <f ca="1">'CF(M)'!AE122*'IS(M)'!$J44/12*Index!AF$22</f>
        <v>0</v>
      </c>
      <c r="AH44" s="908">
        <f ca="1">'CF(M)'!AF122*'IS(M)'!$J44/12*Index!AG$22</f>
        <v>0</v>
      </c>
      <c r="AI44" s="908">
        <f ca="1">'CF(M)'!AG122*'IS(M)'!$J44/12*Index!AH$22</f>
        <v>0</v>
      </c>
      <c r="AJ44" s="908">
        <f ca="1">'CF(M)'!AH122*'IS(M)'!$J44/12*Index!AI$22</f>
        <v>0</v>
      </c>
      <c r="AK44" s="908">
        <f ca="1">'CF(M)'!AI122*'IS(M)'!$J44/12*Index!AJ$22</f>
        <v>0</v>
      </c>
      <c r="AL44" s="908">
        <f ca="1">'CF(M)'!AJ122*'IS(M)'!$J44/12*Index!AK$22</f>
        <v>0</v>
      </c>
      <c r="AM44" s="908">
        <f ca="1">'CF(M)'!AK122*'IS(M)'!$J44/12*Index!AL$22</f>
        <v>0</v>
      </c>
      <c r="AN44" s="908">
        <f ca="1">'CF(M)'!AL122*'IS(M)'!$J44/12*Index!AM$22</f>
        <v>0</v>
      </c>
      <c r="AO44" s="908">
        <f ca="1">'CF(M)'!AM122*'IS(M)'!$J44/12*Index!AN$22</f>
        <v>0</v>
      </c>
      <c r="AP44" s="908">
        <f ca="1">'CF(M)'!AN122*'IS(M)'!$J44/12*Index!AO$22</f>
        <v>0</v>
      </c>
      <c r="AQ44" s="908">
        <f ca="1">'CF(M)'!AO122*'IS(M)'!$J44/12*Index!AP$22</f>
        <v>0</v>
      </c>
      <c r="AR44" s="908">
        <f ca="1">'CF(M)'!AP122*'IS(M)'!$J44/12*Index!AQ$22</f>
        <v>0</v>
      </c>
      <c r="AS44" s="908">
        <f ca="1">'CF(M)'!AQ122*'IS(M)'!$J44/12*Index!AR$22</f>
        <v>0</v>
      </c>
      <c r="AT44" s="908">
        <f ca="1">'CF(M)'!AR122*'IS(M)'!$J44/12*Index!AS$22</f>
        <v>0</v>
      </c>
      <c r="AU44" s="908">
        <f ca="1">'CF(M)'!AS122*'IS(M)'!$J44/12*Index!AT$22</f>
        <v>0</v>
      </c>
      <c r="AV44" s="908">
        <f ca="1">'CF(M)'!AT122*'IS(M)'!$J44/12*Index!AU$22</f>
        <v>0</v>
      </c>
      <c r="AW44" s="908">
        <f ca="1">'CF(M)'!AU122*'IS(M)'!$J44/12*Index!AV$22</f>
        <v>0</v>
      </c>
      <c r="AX44" s="908">
        <f ca="1">'CF(M)'!AV122*'IS(M)'!$J44/12*Index!AW$22</f>
        <v>0</v>
      </c>
      <c r="AY44" s="908">
        <f ca="1">'CF(M)'!AW122*'IS(M)'!$J44/12*Index!AX$22</f>
        <v>0</v>
      </c>
      <c r="AZ44" s="908">
        <f ca="1">'CF(M)'!AX122*'IS(M)'!$J44/12*Index!AY$22</f>
        <v>0</v>
      </c>
      <c r="BA44" s="908">
        <f ca="1">'CF(M)'!AY122*'IS(M)'!$J44/12*Index!AZ$22</f>
        <v>0</v>
      </c>
      <c r="BB44" s="908">
        <f ca="1">'CF(M)'!AZ122*'IS(M)'!$J44/12*Index!BA$22</f>
        <v>0</v>
      </c>
      <c r="BC44" s="908">
        <f ca="1">'CF(M)'!BA122*'IS(M)'!$J44/12*Index!BB$22</f>
        <v>0</v>
      </c>
      <c r="BD44" s="908">
        <f ca="1">'CF(M)'!BB122*'IS(M)'!$J44/12*Index!BC$22</f>
        <v>0</v>
      </c>
      <c r="BE44" s="908">
        <f ca="1">'CF(M)'!BC122*'IS(M)'!$J44/12*Index!BD$22</f>
        <v>0</v>
      </c>
      <c r="BF44" s="908">
        <f ca="1">'CF(M)'!BD122*'IS(M)'!$J44/12*Index!BE$22</f>
        <v>0</v>
      </c>
      <c r="BG44" s="908">
        <f ca="1">'CF(M)'!BE122*'IS(M)'!$J44/12*Index!BF$22</f>
        <v>0</v>
      </c>
      <c r="BH44" s="908">
        <f ca="1">'CF(M)'!BF122*'IS(M)'!$J44/12*Index!BG$22</f>
        <v>0</v>
      </c>
      <c r="BI44" s="908">
        <f ca="1">'CF(M)'!BG122*'IS(M)'!$J44/12*Index!BH$22</f>
        <v>0</v>
      </c>
      <c r="BJ44" s="908">
        <f ca="1">'CF(M)'!BH122*'IS(M)'!$J44/12*Index!BI$22</f>
        <v>0</v>
      </c>
      <c r="BK44" s="908">
        <f ca="1">'CF(M)'!BI122*'IS(M)'!$J44/12*Index!BJ$22</f>
        <v>0</v>
      </c>
      <c r="BL44" s="908">
        <f ca="1">'CF(M)'!BJ122*'IS(M)'!$J44/12*Index!BK$22</f>
        <v>0</v>
      </c>
      <c r="BM44" s="908">
        <f ca="1">'CF(M)'!BK122*'IS(M)'!$J44/12*Index!BL$22</f>
        <v>0</v>
      </c>
      <c r="BN44" s="908">
        <f ca="1">'CF(M)'!BL122*'IS(M)'!$J44/12*Index!BM$22</f>
        <v>0</v>
      </c>
      <c r="BO44" s="908">
        <f ca="1">'CF(M)'!BM122*'IS(M)'!$J44/12*Index!BN$22</f>
        <v>0</v>
      </c>
      <c r="BP44" s="908">
        <f ca="1">'CF(M)'!BN122*'IS(M)'!$J44/12*Index!BO$22</f>
        <v>0</v>
      </c>
      <c r="BQ44" s="908">
        <f ca="1">'CF(M)'!BO122*'IS(M)'!$J44/12*Index!BP$22</f>
        <v>0</v>
      </c>
      <c r="BR44" s="908">
        <f ca="1">'CF(M)'!BP122*'IS(M)'!$J44/12*Index!BQ$22</f>
        <v>0</v>
      </c>
      <c r="BS44" s="908">
        <f ca="1">'CF(M)'!BQ122*'IS(M)'!$J44/12*Index!BR$22</f>
        <v>0</v>
      </c>
      <c r="BT44" s="908">
        <f ca="1">'CF(M)'!BR122*'IS(M)'!$J44/12*Index!BS$22</f>
        <v>0</v>
      </c>
      <c r="BU44" s="908">
        <f ca="1">'CF(M)'!BS122*'IS(M)'!$J44/12*Index!BT$22</f>
        <v>0</v>
      </c>
      <c r="BV44" s="908">
        <f ca="1">'CF(M)'!BT122*'IS(M)'!$J44/12*Index!BU$22</f>
        <v>0</v>
      </c>
      <c r="BW44" s="908">
        <f ca="1">'CF(M)'!BU122*'IS(M)'!$J44/12*Index!BV$22</f>
        <v>0</v>
      </c>
      <c r="BX44" s="908">
        <f ca="1">'CF(M)'!BV122*'IS(M)'!$J44/12*Index!BW$22</f>
        <v>0</v>
      </c>
      <c r="BY44" s="908">
        <f ca="1">'CF(M)'!BW122*'IS(M)'!$J44/12*Index!BX$22</f>
        <v>0</v>
      </c>
      <c r="BZ44" s="908">
        <f ca="1">'CF(M)'!BX122*'IS(M)'!$J44/12*Index!BY$22</f>
        <v>0</v>
      </c>
      <c r="CA44" s="908">
        <f ca="1">'CF(M)'!BY122*'IS(M)'!$J44/12*Index!BZ$22</f>
        <v>0</v>
      </c>
      <c r="CB44" s="908">
        <f ca="1">'CF(M)'!BZ122*'IS(M)'!$J44/12*Index!CA$22</f>
        <v>0</v>
      </c>
      <c r="CC44" s="908">
        <f ca="1">'CF(M)'!CA122*'IS(M)'!$J44/12*Index!CB$22</f>
        <v>0</v>
      </c>
      <c r="CD44" s="908">
        <f ca="1">'CF(M)'!CB122*'IS(M)'!$J44/12*Index!CC$22</f>
        <v>0</v>
      </c>
      <c r="CE44" s="908">
        <f ca="1">'CF(M)'!CC122*'IS(M)'!$J44/12*Index!CD$22</f>
        <v>0</v>
      </c>
      <c r="CF44" s="908">
        <f ca="1">'CF(M)'!CD122*'IS(M)'!$J44/12*Index!CE$22</f>
        <v>0</v>
      </c>
      <c r="CG44" s="908">
        <f ca="1">'CF(M)'!CE122*'IS(M)'!$J44/12*Index!CF$22</f>
        <v>0</v>
      </c>
      <c r="CH44" s="908">
        <f ca="1">'CF(M)'!CF122*'IS(M)'!$J44/12*Index!CG$22</f>
        <v>0</v>
      </c>
      <c r="CI44" s="908">
        <f ca="1">'CF(M)'!CG122*'IS(M)'!$J44/12*Index!CH$22</f>
        <v>0</v>
      </c>
      <c r="CJ44" s="908">
        <f ca="1">'CF(M)'!CH122*'IS(M)'!$J44/12*Index!CI$22</f>
        <v>0</v>
      </c>
      <c r="CK44" s="908">
        <f ca="1">'CF(M)'!CI122*'IS(M)'!$J44/12*Index!CJ$22</f>
        <v>0</v>
      </c>
      <c r="CL44" s="908">
        <f ca="1">'CF(M)'!CJ122*'IS(M)'!$J44/12*Index!CK$22</f>
        <v>0</v>
      </c>
      <c r="CM44" s="908">
        <f ca="1">'CF(M)'!CK122*'IS(M)'!$J44/12*Index!CL$22</f>
        <v>0</v>
      </c>
      <c r="CN44" s="908">
        <f ca="1">'CF(M)'!CL122*'IS(M)'!$J44/12*Index!CM$22</f>
        <v>0</v>
      </c>
      <c r="CO44" s="908">
        <f ca="1">'CF(M)'!CM122*'IS(M)'!$J44/12*Index!CN$22</f>
        <v>0</v>
      </c>
      <c r="CP44" s="908">
        <f ca="1">'CF(M)'!CN122*'IS(M)'!$J44/12*Index!CO$22</f>
        <v>0</v>
      </c>
      <c r="CQ44" s="908">
        <f ca="1">'CF(M)'!CO122*'IS(M)'!$J44/12*Index!CP$22</f>
        <v>0</v>
      </c>
      <c r="CR44" s="908">
        <f ca="1">'CF(M)'!CP122*'IS(M)'!$J44/12*Index!CQ$22</f>
        <v>0</v>
      </c>
      <c r="CS44" s="908">
        <f ca="1">'CF(M)'!CQ122*'IS(M)'!$J44/12*Index!CR$22</f>
        <v>0</v>
      </c>
      <c r="CT44" s="908">
        <f ca="1">'CF(M)'!CR122*'IS(M)'!$J44/12*Index!CS$22</f>
        <v>0</v>
      </c>
      <c r="CU44" s="908">
        <f ca="1">'CF(M)'!CS122*'IS(M)'!$J44/12*Index!CT$22</f>
        <v>0</v>
      </c>
      <c r="CV44" s="908">
        <f ca="1">'CF(M)'!CT122*'IS(M)'!$J44/12*Index!CU$22</f>
        <v>0</v>
      </c>
      <c r="CW44" s="908">
        <f ca="1">'CF(M)'!CU122*'IS(M)'!$J44/12*Index!CV$22</f>
        <v>0</v>
      </c>
      <c r="CX44" s="908">
        <f ca="1">'CF(M)'!CV122*'IS(M)'!$J44/12*Index!CW$22</f>
        <v>0</v>
      </c>
      <c r="CY44" s="908">
        <f ca="1">'CF(M)'!CW122*'IS(M)'!$J44/12*Index!CX$22</f>
        <v>0</v>
      </c>
      <c r="CZ44" s="908">
        <f ca="1">'CF(M)'!CX122*'IS(M)'!$J44/12*Index!CY$22</f>
        <v>0</v>
      </c>
      <c r="DA44" s="908">
        <f ca="1">'CF(M)'!CY122*'IS(M)'!$J44/12*Index!CZ$22</f>
        <v>0</v>
      </c>
      <c r="DB44" s="908">
        <f ca="1">'CF(M)'!CZ122*'IS(M)'!$J44/12*Index!DA$22</f>
        <v>0</v>
      </c>
      <c r="DC44" s="908">
        <f ca="1">'CF(M)'!DA122*'IS(M)'!$J44/12*Index!DB$22</f>
        <v>0</v>
      </c>
      <c r="DD44" s="908">
        <f ca="1">'CF(M)'!DB122*'IS(M)'!$J44/12*Index!DC$22</f>
        <v>0</v>
      </c>
      <c r="DE44" s="908">
        <f ca="1">'CF(M)'!DC122*'IS(M)'!$J44/12*Index!DD$22</f>
        <v>0</v>
      </c>
      <c r="DF44" s="908">
        <f ca="1">'CF(M)'!DD122*'IS(M)'!$J44/12*Index!DE$22</f>
        <v>0</v>
      </c>
      <c r="DG44" s="908">
        <f ca="1">'CF(M)'!DE122*'IS(M)'!$J44/12*Index!DF$22</f>
        <v>0</v>
      </c>
      <c r="DH44" s="908">
        <f ca="1">'CF(M)'!DF122*'IS(M)'!$J44/12*Index!DG$22</f>
        <v>0</v>
      </c>
      <c r="DI44" s="908">
        <f ca="1">'CF(M)'!DG122*'IS(M)'!$J44/12*Index!DH$22</f>
        <v>0</v>
      </c>
      <c r="DJ44" s="908">
        <f ca="1">'CF(M)'!DH122*'IS(M)'!$J44/12*Index!DI$22</f>
        <v>0</v>
      </c>
      <c r="DK44" s="908">
        <f ca="1">'CF(M)'!DI122*'IS(M)'!$J44/12*Index!DJ$22</f>
        <v>0</v>
      </c>
      <c r="DL44" s="908">
        <f ca="1">'CF(M)'!DJ122*'IS(M)'!$J44/12*Index!DK$22</f>
        <v>0</v>
      </c>
      <c r="DM44" s="908">
        <f ca="1">'CF(M)'!DK122*'IS(M)'!$J44/12*Index!DL$22</f>
        <v>0</v>
      </c>
      <c r="DN44" s="908">
        <f ca="1">'CF(M)'!DL122*'IS(M)'!$J44/12*Index!DM$22</f>
        <v>0</v>
      </c>
      <c r="DO44" s="908">
        <f ca="1">'CF(M)'!DM122*'IS(M)'!$J44/12*Index!DN$22</f>
        <v>0</v>
      </c>
      <c r="DP44" s="908">
        <f ca="1">'CF(M)'!DN122*'IS(M)'!$J44/12*Index!DO$22</f>
        <v>0</v>
      </c>
      <c r="DQ44" s="908">
        <f ca="1">'CF(M)'!DO122*'IS(M)'!$J44/12*Index!DP$22</f>
        <v>0</v>
      </c>
      <c r="DR44" s="908">
        <f ca="1">'CF(M)'!DP122*'IS(M)'!$J44/12*Index!DQ$22</f>
        <v>0</v>
      </c>
      <c r="DS44" s="908">
        <f ca="1">'CF(M)'!DQ122*'IS(M)'!$J44/12*Index!DR$22</f>
        <v>0</v>
      </c>
      <c r="DT44" s="908">
        <f ca="1">'CF(M)'!DR122*'IS(M)'!$J44/12*Index!DS$22</f>
        <v>0</v>
      </c>
      <c r="DU44" s="908">
        <f ca="1">'CF(M)'!DS122*'IS(M)'!$J44/12*Index!DT$22</f>
        <v>0</v>
      </c>
      <c r="DV44" s="908">
        <f ca="1">'CF(M)'!DT122*'IS(M)'!$J44/12*Index!DU$22</f>
        <v>0</v>
      </c>
      <c r="DW44" s="908">
        <f ca="1">'CF(M)'!DU122*'IS(M)'!$J44/12*Index!DV$22</f>
        <v>0</v>
      </c>
      <c r="DX44" s="908">
        <f ca="1">'CF(M)'!DV122*'IS(M)'!$J44/12*Index!DW$22</f>
        <v>0</v>
      </c>
      <c r="DY44" s="908">
        <f ca="1">'CF(M)'!DW122*'IS(M)'!$J44/12*Index!DX$22</f>
        <v>0</v>
      </c>
      <c r="DZ44" s="908">
        <f ca="1">'CF(M)'!DX122*'IS(M)'!$J44/12*Index!DY$22</f>
        <v>0</v>
      </c>
      <c r="EA44" s="908">
        <f ca="1">'CF(M)'!DY122*'IS(M)'!$J44/12*Index!DZ$22</f>
        <v>0</v>
      </c>
      <c r="EB44" s="908">
        <f ca="1">'CF(M)'!DZ122*'IS(M)'!$J44/12*Index!EA$22</f>
        <v>0</v>
      </c>
      <c r="EC44" s="908">
        <f ca="1">'CF(M)'!EA122*'IS(M)'!$J44/12*Index!EB$22</f>
        <v>0</v>
      </c>
      <c r="ED44" s="908">
        <f ca="1">'CF(M)'!EB122*'IS(M)'!$J44/12*Index!EC$22</f>
        <v>0</v>
      </c>
      <c r="EE44" s="908">
        <f ca="1">'CF(M)'!EC122*'IS(M)'!$J44/12*Index!ED$22</f>
        <v>0</v>
      </c>
      <c r="EF44" s="908">
        <f ca="1">'CF(M)'!ED122*'IS(M)'!$J44/12*Index!EE$22</f>
        <v>0</v>
      </c>
      <c r="EG44" s="908">
        <f ca="1">'CF(M)'!EE122*'IS(M)'!$J44/12*Index!EF$22</f>
        <v>0</v>
      </c>
      <c r="EH44" s="908">
        <f ca="1">'CF(M)'!EF122*'IS(M)'!$J44/12*Index!EG$22</f>
        <v>0</v>
      </c>
      <c r="EI44" s="908">
        <f ca="1">'CF(M)'!EG122*'IS(M)'!$J44/12*Index!EH$22</f>
        <v>0</v>
      </c>
      <c r="EJ44" s="908">
        <f ca="1">'CF(M)'!EH122*'IS(M)'!$J44/12*Index!EI$22</f>
        <v>0</v>
      </c>
      <c r="EK44" s="908">
        <f ca="1">'CF(M)'!EI122*'IS(M)'!$J44/12*Index!EJ$22</f>
        <v>0</v>
      </c>
      <c r="EL44" s="908">
        <f ca="1">'CF(M)'!EJ122*'IS(M)'!$J44/12*Index!EK$22</f>
        <v>0</v>
      </c>
      <c r="EM44" s="908">
        <f ca="1">'CF(M)'!EK122*'IS(M)'!$J44/12*Index!EL$22</f>
        <v>0</v>
      </c>
      <c r="EN44" s="908">
        <f ca="1">'CF(M)'!EL122*'IS(M)'!$J44/12*Index!EM$22</f>
        <v>0</v>
      </c>
      <c r="EO44" s="908">
        <f ca="1">'CF(M)'!EM122*'IS(M)'!$J44/12*Index!EN$22</f>
        <v>0</v>
      </c>
      <c r="EP44" s="908">
        <f ca="1">'CF(M)'!EN122*'IS(M)'!$J44/12*Index!EO$22</f>
        <v>0</v>
      </c>
      <c r="EQ44" s="908">
        <f ca="1">'CF(M)'!EO122*'IS(M)'!$J44/12*Index!EP$22</f>
        <v>0</v>
      </c>
      <c r="ER44" s="908">
        <f ca="1">'CF(M)'!EP122*'IS(M)'!$J44/12*Index!EQ$22</f>
        <v>0</v>
      </c>
    </row>
    <row r="45" spans="2:148" ht="11.25" customHeight="1">
      <c r="B45" s="218"/>
      <c r="C45" s="163"/>
      <c r="D45" s="169" t="s">
        <v>535</v>
      </c>
      <c r="G45" s="90">
        <f>'CF(M)'!J54+K26</f>
        <v>104898698.04531735</v>
      </c>
      <c r="H45" s="146">
        <f>'A&amp;R'!E37</f>
        <v>49979</v>
      </c>
      <c r="I45" s="146"/>
      <c r="J45" s="13">
        <f ca="1">'CF(M)'!L122*'IS(M)'!$J44/12*Index!M$22</f>
        <v>0</v>
      </c>
      <c r="K45" s="171">
        <f>SUM(M45:ER45)</f>
        <v>104898698.04531735</v>
      </c>
      <c r="L45" s="98"/>
      <c r="M45" s="171">
        <f>$G45*(M$16=$H$45)</f>
        <v>0</v>
      </c>
      <c r="N45" s="171">
        <f t="shared" ref="N45:BY45" si="28">$G45*(N$16=$H$45)</f>
        <v>0</v>
      </c>
      <c r="O45" s="171">
        <f t="shared" si="28"/>
        <v>0</v>
      </c>
      <c r="P45" s="171">
        <f t="shared" si="28"/>
        <v>0</v>
      </c>
      <c r="Q45" s="171">
        <f t="shared" si="28"/>
        <v>0</v>
      </c>
      <c r="R45" s="171">
        <f t="shared" si="28"/>
        <v>0</v>
      </c>
      <c r="S45" s="171">
        <f t="shared" si="28"/>
        <v>0</v>
      </c>
      <c r="T45" s="171">
        <f t="shared" si="28"/>
        <v>0</v>
      </c>
      <c r="U45" s="171">
        <f t="shared" si="28"/>
        <v>0</v>
      </c>
      <c r="V45" s="171">
        <f t="shared" si="28"/>
        <v>0</v>
      </c>
      <c r="W45" s="171">
        <f t="shared" si="28"/>
        <v>0</v>
      </c>
      <c r="X45" s="171">
        <f t="shared" si="28"/>
        <v>0</v>
      </c>
      <c r="Y45" s="171">
        <f t="shared" si="28"/>
        <v>0</v>
      </c>
      <c r="Z45" s="171">
        <f t="shared" si="28"/>
        <v>0</v>
      </c>
      <c r="AA45" s="171">
        <f t="shared" si="28"/>
        <v>0</v>
      </c>
      <c r="AB45" s="171">
        <f t="shared" si="28"/>
        <v>0</v>
      </c>
      <c r="AC45" s="171">
        <f t="shared" si="28"/>
        <v>0</v>
      </c>
      <c r="AD45" s="171">
        <f t="shared" si="28"/>
        <v>0</v>
      </c>
      <c r="AE45" s="171">
        <f t="shared" si="28"/>
        <v>0</v>
      </c>
      <c r="AF45" s="171">
        <f t="shared" si="28"/>
        <v>0</v>
      </c>
      <c r="AG45" s="171">
        <f t="shared" si="28"/>
        <v>0</v>
      </c>
      <c r="AH45" s="171">
        <f t="shared" si="28"/>
        <v>0</v>
      </c>
      <c r="AI45" s="171">
        <f t="shared" si="28"/>
        <v>0</v>
      </c>
      <c r="AJ45" s="171">
        <f t="shared" si="28"/>
        <v>0</v>
      </c>
      <c r="AK45" s="171">
        <f t="shared" si="28"/>
        <v>0</v>
      </c>
      <c r="AL45" s="171">
        <f t="shared" si="28"/>
        <v>0</v>
      </c>
      <c r="AM45" s="171">
        <f t="shared" si="28"/>
        <v>0</v>
      </c>
      <c r="AN45" s="171">
        <f t="shared" si="28"/>
        <v>0</v>
      </c>
      <c r="AO45" s="171">
        <f t="shared" si="28"/>
        <v>0</v>
      </c>
      <c r="AP45" s="171">
        <f t="shared" si="28"/>
        <v>0</v>
      </c>
      <c r="AQ45" s="171">
        <f t="shared" si="28"/>
        <v>0</v>
      </c>
      <c r="AR45" s="171">
        <f t="shared" si="28"/>
        <v>0</v>
      </c>
      <c r="AS45" s="171">
        <f t="shared" si="28"/>
        <v>0</v>
      </c>
      <c r="AT45" s="171">
        <f t="shared" si="28"/>
        <v>0</v>
      </c>
      <c r="AU45" s="171">
        <f t="shared" si="28"/>
        <v>0</v>
      </c>
      <c r="AV45" s="171">
        <f t="shared" si="28"/>
        <v>0</v>
      </c>
      <c r="AW45" s="171">
        <f t="shared" si="28"/>
        <v>0</v>
      </c>
      <c r="AX45" s="171">
        <f t="shared" si="28"/>
        <v>0</v>
      </c>
      <c r="AY45" s="171">
        <f t="shared" si="28"/>
        <v>0</v>
      </c>
      <c r="AZ45" s="171">
        <f t="shared" si="28"/>
        <v>0</v>
      </c>
      <c r="BA45" s="171">
        <f t="shared" si="28"/>
        <v>0</v>
      </c>
      <c r="BB45" s="171">
        <f t="shared" si="28"/>
        <v>0</v>
      </c>
      <c r="BC45" s="171">
        <f t="shared" si="28"/>
        <v>0</v>
      </c>
      <c r="BD45" s="171">
        <f t="shared" si="28"/>
        <v>0</v>
      </c>
      <c r="BE45" s="171">
        <f t="shared" si="28"/>
        <v>0</v>
      </c>
      <c r="BF45" s="171">
        <f t="shared" si="28"/>
        <v>0</v>
      </c>
      <c r="BG45" s="171">
        <f t="shared" si="28"/>
        <v>0</v>
      </c>
      <c r="BH45" s="171">
        <f t="shared" si="28"/>
        <v>0</v>
      </c>
      <c r="BI45" s="171">
        <f t="shared" si="28"/>
        <v>0</v>
      </c>
      <c r="BJ45" s="171">
        <f t="shared" si="28"/>
        <v>0</v>
      </c>
      <c r="BK45" s="171">
        <f t="shared" si="28"/>
        <v>0</v>
      </c>
      <c r="BL45" s="171">
        <f t="shared" si="28"/>
        <v>0</v>
      </c>
      <c r="BM45" s="171">
        <f t="shared" si="28"/>
        <v>0</v>
      </c>
      <c r="BN45" s="171">
        <f t="shared" si="28"/>
        <v>0</v>
      </c>
      <c r="BO45" s="171">
        <f t="shared" si="28"/>
        <v>0</v>
      </c>
      <c r="BP45" s="171">
        <f t="shared" si="28"/>
        <v>0</v>
      </c>
      <c r="BQ45" s="171">
        <f t="shared" si="28"/>
        <v>0</v>
      </c>
      <c r="BR45" s="171">
        <f t="shared" si="28"/>
        <v>0</v>
      </c>
      <c r="BS45" s="171">
        <f t="shared" si="28"/>
        <v>0</v>
      </c>
      <c r="BT45" s="171">
        <f t="shared" si="28"/>
        <v>0</v>
      </c>
      <c r="BU45" s="171">
        <f t="shared" si="28"/>
        <v>0</v>
      </c>
      <c r="BV45" s="171">
        <f t="shared" si="28"/>
        <v>0</v>
      </c>
      <c r="BW45" s="171">
        <f t="shared" si="28"/>
        <v>0</v>
      </c>
      <c r="BX45" s="171">
        <f t="shared" si="28"/>
        <v>0</v>
      </c>
      <c r="BY45" s="171">
        <f t="shared" si="28"/>
        <v>0</v>
      </c>
      <c r="BZ45" s="171">
        <f t="shared" ref="BZ45:ER45" si="29">$G45*(BZ$16=$H$45)</f>
        <v>0</v>
      </c>
      <c r="CA45" s="171">
        <f t="shared" si="29"/>
        <v>0</v>
      </c>
      <c r="CB45" s="171">
        <f t="shared" si="29"/>
        <v>0</v>
      </c>
      <c r="CC45" s="171">
        <f t="shared" si="29"/>
        <v>0</v>
      </c>
      <c r="CD45" s="171">
        <f t="shared" si="29"/>
        <v>0</v>
      </c>
      <c r="CE45" s="171">
        <f t="shared" si="29"/>
        <v>0</v>
      </c>
      <c r="CF45" s="171">
        <f t="shared" si="29"/>
        <v>0</v>
      </c>
      <c r="CG45" s="171">
        <f t="shared" si="29"/>
        <v>0</v>
      </c>
      <c r="CH45" s="171">
        <f t="shared" si="29"/>
        <v>0</v>
      </c>
      <c r="CI45" s="171">
        <f t="shared" si="29"/>
        <v>0</v>
      </c>
      <c r="CJ45" s="171">
        <f t="shared" si="29"/>
        <v>0</v>
      </c>
      <c r="CK45" s="171">
        <f t="shared" si="29"/>
        <v>0</v>
      </c>
      <c r="CL45" s="171">
        <f t="shared" si="29"/>
        <v>0</v>
      </c>
      <c r="CM45" s="171">
        <f t="shared" si="29"/>
        <v>0</v>
      </c>
      <c r="CN45" s="171">
        <f t="shared" si="29"/>
        <v>0</v>
      </c>
      <c r="CO45" s="171">
        <f t="shared" si="29"/>
        <v>0</v>
      </c>
      <c r="CP45" s="171">
        <f t="shared" si="29"/>
        <v>0</v>
      </c>
      <c r="CQ45" s="171">
        <f t="shared" si="29"/>
        <v>0</v>
      </c>
      <c r="CR45" s="171">
        <f t="shared" si="29"/>
        <v>0</v>
      </c>
      <c r="CS45" s="171">
        <f t="shared" si="29"/>
        <v>0</v>
      </c>
      <c r="CT45" s="171">
        <f t="shared" si="29"/>
        <v>0</v>
      </c>
      <c r="CU45" s="171">
        <f t="shared" si="29"/>
        <v>0</v>
      </c>
      <c r="CV45" s="171">
        <f t="shared" si="29"/>
        <v>0</v>
      </c>
      <c r="CW45" s="171">
        <f t="shared" si="29"/>
        <v>0</v>
      </c>
      <c r="CX45" s="171">
        <f t="shared" si="29"/>
        <v>0</v>
      </c>
      <c r="CY45" s="171">
        <f t="shared" si="29"/>
        <v>0</v>
      </c>
      <c r="CZ45" s="171">
        <f t="shared" si="29"/>
        <v>0</v>
      </c>
      <c r="DA45" s="171">
        <f t="shared" si="29"/>
        <v>0</v>
      </c>
      <c r="DB45" s="171">
        <f t="shared" si="29"/>
        <v>0</v>
      </c>
      <c r="DC45" s="171">
        <f t="shared" si="29"/>
        <v>0</v>
      </c>
      <c r="DD45" s="171">
        <f t="shared" si="29"/>
        <v>0</v>
      </c>
      <c r="DE45" s="171">
        <f t="shared" si="29"/>
        <v>0</v>
      </c>
      <c r="DF45" s="171">
        <f t="shared" si="29"/>
        <v>0</v>
      </c>
      <c r="DG45" s="171">
        <f t="shared" si="29"/>
        <v>0</v>
      </c>
      <c r="DH45" s="171">
        <f t="shared" si="29"/>
        <v>0</v>
      </c>
      <c r="DI45" s="171">
        <f t="shared" si="29"/>
        <v>0</v>
      </c>
      <c r="DJ45" s="171">
        <f t="shared" si="29"/>
        <v>0</v>
      </c>
      <c r="DK45" s="171">
        <f t="shared" si="29"/>
        <v>0</v>
      </c>
      <c r="DL45" s="171">
        <f t="shared" si="29"/>
        <v>0</v>
      </c>
      <c r="DM45" s="171">
        <f t="shared" si="29"/>
        <v>0</v>
      </c>
      <c r="DN45" s="171">
        <f t="shared" si="29"/>
        <v>0</v>
      </c>
      <c r="DO45" s="171">
        <f t="shared" si="29"/>
        <v>0</v>
      </c>
      <c r="DP45" s="171">
        <f t="shared" si="29"/>
        <v>0</v>
      </c>
      <c r="DQ45" s="171">
        <f t="shared" si="29"/>
        <v>0</v>
      </c>
      <c r="DR45" s="171">
        <f t="shared" si="29"/>
        <v>0</v>
      </c>
      <c r="DS45" s="171">
        <f t="shared" si="29"/>
        <v>0</v>
      </c>
      <c r="DT45" s="171">
        <f t="shared" si="29"/>
        <v>0</v>
      </c>
      <c r="DU45" s="171">
        <f t="shared" si="29"/>
        <v>0</v>
      </c>
      <c r="DV45" s="171">
        <f t="shared" si="29"/>
        <v>0</v>
      </c>
      <c r="DW45" s="171">
        <f t="shared" si="29"/>
        <v>0</v>
      </c>
      <c r="DX45" s="171">
        <f t="shared" si="29"/>
        <v>0</v>
      </c>
      <c r="DY45" s="171">
        <f t="shared" si="29"/>
        <v>0</v>
      </c>
      <c r="DZ45" s="171">
        <f t="shared" si="29"/>
        <v>0</v>
      </c>
      <c r="EA45" s="171">
        <f t="shared" si="29"/>
        <v>0</v>
      </c>
      <c r="EB45" s="171">
        <f t="shared" si="29"/>
        <v>0</v>
      </c>
      <c r="EC45" s="171">
        <f t="shared" si="29"/>
        <v>104898698.04531735</v>
      </c>
      <c r="ED45" s="171">
        <f t="shared" si="29"/>
        <v>0</v>
      </c>
      <c r="EE45" s="171">
        <f t="shared" si="29"/>
        <v>0</v>
      </c>
      <c r="EF45" s="171">
        <f t="shared" si="29"/>
        <v>0</v>
      </c>
      <c r="EG45" s="171">
        <f t="shared" si="29"/>
        <v>0</v>
      </c>
      <c r="EH45" s="171">
        <f t="shared" si="29"/>
        <v>0</v>
      </c>
      <c r="EI45" s="171">
        <f t="shared" si="29"/>
        <v>0</v>
      </c>
      <c r="EJ45" s="171">
        <f t="shared" si="29"/>
        <v>0</v>
      </c>
      <c r="EK45" s="171">
        <f t="shared" si="29"/>
        <v>0</v>
      </c>
      <c r="EL45" s="171">
        <f t="shared" si="29"/>
        <v>0</v>
      </c>
      <c r="EM45" s="171">
        <f t="shared" si="29"/>
        <v>0</v>
      </c>
      <c r="EN45" s="171">
        <f t="shared" si="29"/>
        <v>0</v>
      </c>
      <c r="EO45" s="171">
        <f t="shared" si="29"/>
        <v>0</v>
      </c>
      <c r="EP45" s="171">
        <f t="shared" si="29"/>
        <v>0</v>
      </c>
      <c r="EQ45" s="171">
        <f t="shared" si="29"/>
        <v>0</v>
      </c>
      <c r="ER45" s="171">
        <f t="shared" si="29"/>
        <v>0</v>
      </c>
    </row>
    <row r="46" spans="2:148" ht="11.25" customHeight="1">
      <c r="B46" s="218"/>
      <c r="C46" s="158" t="s">
        <v>515</v>
      </c>
      <c r="D46" s="159"/>
      <c r="E46" s="159"/>
      <c r="F46" s="159"/>
      <c r="G46" s="159"/>
      <c r="H46" s="159"/>
      <c r="I46" s="160"/>
      <c r="J46" s="219"/>
      <c r="K46" s="220">
        <f>SUM(K47:K54)</f>
        <v>98581637.533343479</v>
      </c>
      <c r="L46" s="98"/>
      <c r="M46" s="162">
        <f t="shared" ref="M46:AR46" si="30">SUM(M47:M54)</f>
        <v>0</v>
      </c>
      <c r="N46" s="162">
        <f t="shared" si="30"/>
        <v>874879.17778116162</v>
      </c>
      <c r="O46" s="162">
        <f t="shared" si="30"/>
        <v>874879.17778116162</v>
      </c>
      <c r="P46" s="162">
        <f t="shared" si="30"/>
        <v>874879.17778116162</v>
      </c>
      <c r="Q46" s="162">
        <f t="shared" si="30"/>
        <v>826666.66666666663</v>
      </c>
      <c r="R46" s="162">
        <f t="shared" si="30"/>
        <v>826666.66666666663</v>
      </c>
      <c r="S46" s="162">
        <f t="shared" si="30"/>
        <v>826666.66666666663</v>
      </c>
      <c r="T46" s="162">
        <f t="shared" si="30"/>
        <v>826666.66666666663</v>
      </c>
      <c r="U46" s="162">
        <f t="shared" si="30"/>
        <v>826666.66666666663</v>
      </c>
      <c r="V46" s="162">
        <f t="shared" si="30"/>
        <v>826666.66666666663</v>
      </c>
      <c r="W46" s="162">
        <f t="shared" si="30"/>
        <v>826666.66666666663</v>
      </c>
      <c r="X46" s="162">
        <f t="shared" si="30"/>
        <v>826666.66666666663</v>
      </c>
      <c r="Y46" s="162">
        <f t="shared" si="30"/>
        <v>826666.66666666663</v>
      </c>
      <c r="Z46" s="162">
        <f t="shared" si="30"/>
        <v>826666.66666666663</v>
      </c>
      <c r="AA46" s="162">
        <f t="shared" si="30"/>
        <v>826666.66666666663</v>
      </c>
      <c r="AB46" s="162">
        <f t="shared" si="30"/>
        <v>826666.66666666663</v>
      </c>
      <c r="AC46" s="162">
        <f t="shared" si="30"/>
        <v>826666.66666666663</v>
      </c>
      <c r="AD46" s="162">
        <f t="shared" si="30"/>
        <v>826666.66666666663</v>
      </c>
      <c r="AE46" s="162">
        <f t="shared" si="30"/>
        <v>826666.66666666663</v>
      </c>
      <c r="AF46" s="162">
        <f t="shared" si="30"/>
        <v>826666.66666666663</v>
      </c>
      <c r="AG46" s="162">
        <f t="shared" si="30"/>
        <v>826666.66666666663</v>
      </c>
      <c r="AH46" s="162">
        <f t="shared" si="30"/>
        <v>826666.66666666663</v>
      </c>
      <c r="AI46" s="162">
        <f t="shared" si="30"/>
        <v>826666.66666666663</v>
      </c>
      <c r="AJ46" s="162">
        <f t="shared" si="30"/>
        <v>826666.66666666663</v>
      </c>
      <c r="AK46" s="162">
        <f t="shared" si="30"/>
        <v>826666.66666666663</v>
      </c>
      <c r="AL46" s="162">
        <f t="shared" si="30"/>
        <v>852000</v>
      </c>
      <c r="AM46" s="162">
        <f t="shared" si="30"/>
        <v>852000</v>
      </c>
      <c r="AN46" s="162">
        <f t="shared" si="30"/>
        <v>852000</v>
      </c>
      <c r="AO46" s="162">
        <f t="shared" si="30"/>
        <v>852000</v>
      </c>
      <c r="AP46" s="162">
        <f t="shared" si="30"/>
        <v>852000</v>
      </c>
      <c r="AQ46" s="162">
        <f t="shared" si="30"/>
        <v>852000</v>
      </c>
      <c r="AR46" s="162">
        <f t="shared" si="30"/>
        <v>852000</v>
      </c>
      <c r="AS46" s="162">
        <f t="shared" ref="AS46:BX46" si="31">SUM(AS47:AS54)</f>
        <v>852000</v>
      </c>
      <c r="AT46" s="162">
        <f t="shared" si="31"/>
        <v>852000</v>
      </c>
      <c r="AU46" s="162">
        <f t="shared" si="31"/>
        <v>852000</v>
      </c>
      <c r="AV46" s="162">
        <f t="shared" si="31"/>
        <v>852000</v>
      </c>
      <c r="AW46" s="162">
        <f t="shared" si="31"/>
        <v>852000</v>
      </c>
      <c r="AX46" s="162">
        <f t="shared" si="31"/>
        <v>852000</v>
      </c>
      <c r="AY46" s="162">
        <f t="shared" si="31"/>
        <v>852000</v>
      </c>
      <c r="AZ46" s="162">
        <f t="shared" si="31"/>
        <v>852000</v>
      </c>
      <c r="BA46" s="162">
        <f t="shared" si="31"/>
        <v>852000</v>
      </c>
      <c r="BB46" s="162">
        <f t="shared" si="31"/>
        <v>852000</v>
      </c>
      <c r="BC46" s="162">
        <f t="shared" si="31"/>
        <v>852000</v>
      </c>
      <c r="BD46" s="162">
        <f t="shared" si="31"/>
        <v>852000</v>
      </c>
      <c r="BE46" s="162">
        <f t="shared" si="31"/>
        <v>852000</v>
      </c>
      <c r="BF46" s="162">
        <f t="shared" si="31"/>
        <v>852000</v>
      </c>
      <c r="BG46" s="162">
        <f t="shared" si="31"/>
        <v>852000</v>
      </c>
      <c r="BH46" s="162">
        <f t="shared" si="31"/>
        <v>852000</v>
      </c>
      <c r="BI46" s="162">
        <f t="shared" si="31"/>
        <v>852000</v>
      </c>
      <c r="BJ46" s="162">
        <f t="shared" si="31"/>
        <v>852000</v>
      </c>
      <c r="BK46" s="162">
        <f t="shared" si="31"/>
        <v>852000</v>
      </c>
      <c r="BL46" s="162">
        <f t="shared" si="31"/>
        <v>852000</v>
      </c>
      <c r="BM46" s="162">
        <f t="shared" si="31"/>
        <v>852000</v>
      </c>
      <c r="BN46" s="162">
        <f t="shared" si="31"/>
        <v>852000</v>
      </c>
      <c r="BO46" s="162">
        <f t="shared" si="31"/>
        <v>852000</v>
      </c>
      <c r="BP46" s="162">
        <f t="shared" si="31"/>
        <v>852000</v>
      </c>
      <c r="BQ46" s="162">
        <f t="shared" si="31"/>
        <v>852000</v>
      </c>
      <c r="BR46" s="162">
        <f t="shared" si="31"/>
        <v>852000</v>
      </c>
      <c r="BS46" s="162">
        <f t="shared" si="31"/>
        <v>852000</v>
      </c>
      <c r="BT46" s="162">
        <f t="shared" si="31"/>
        <v>852000</v>
      </c>
      <c r="BU46" s="162">
        <f t="shared" si="31"/>
        <v>852000</v>
      </c>
      <c r="BV46" s="162">
        <f t="shared" si="31"/>
        <v>798750</v>
      </c>
      <c r="BW46" s="162">
        <f t="shared" si="31"/>
        <v>798750</v>
      </c>
      <c r="BX46" s="162">
        <f t="shared" si="31"/>
        <v>798750</v>
      </c>
      <c r="BY46" s="162">
        <f t="shared" ref="BY46:DD46" si="32">SUM(BY47:BY54)</f>
        <v>798750</v>
      </c>
      <c r="BZ46" s="162">
        <f t="shared" si="32"/>
        <v>798750</v>
      </c>
      <c r="CA46" s="162">
        <f t="shared" si="32"/>
        <v>798750</v>
      </c>
      <c r="CB46" s="162">
        <f t="shared" si="32"/>
        <v>798750</v>
      </c>
      <c r="CC46" s="162">
        <f t="shared" si="32"/>
        <v>798750</v>
      </c>
      <c r="CD46" s="162">
        <f t="shared" si="32"/>
        <v>798750</v>
      </c>
      <c r="CE46" s="162">
        <f t="shared" si="32"/>
        <v>798750</v>
      </c>
      <c r="CF46" s="162">
        <f t="shared" si="32"/>
        <v>798750</v>
      </c>
      <c r="CG46" s="162">
        <f t="shared" si="32"/>
        <v>798750</v>
      </c>
      <c r="CH46" s="162">
        <f t="shared" si="32"/>
        <v>798750</v>
      </c>
      <c r="CI46" s="162">
        <f t="shared" si="32"/>
        <v>798750</v>
      </c>
      <c r="CJ46" s="162">
        <f t="shared" si="32"/>
        <v>798750</v>
      </c>
      <c r="CK46" s="162">
        <f t="shared" si="32"/>
        <v>798750</v>
      </c>
      <c r="CL46" s="162">
        <f t="shared" si="32"/>
        <v>798750</v>
      </c>
      <c r="CM46" s="162">
        <f t="shared" si="32"/>
        <v>798750</v>
      </c>
      <c r="CN46" s="162">
        <f t="shared" si="32"/>
        <v>798750</v>
      </c>
      <c r="CO46" s="162">
        <f t="shared" si="32"/>
        <v>798750</v>
      </c>
      <c r="CP46" s="162">
        <f t="shared" si="32"/>
        <v>798750</v>
      </c>
      <c r="CQ46" s="162">
        <f t="shared" si="32"/>
        <v>798750</v>
      </c>
      <c r="CR46" s="162">
        <f t="shared" si="32"/>
        <v>798750</v>
      </c>
      <c r="CS46" s="162">
        <f t="shared" si="32"/>
        <v>798750</v>
      </c>
      <c r="CT46" s="162">
        <f t="shared" si="32"/>
        <v>798750</v>
      </c>
      <c r="CU46" s="162">
        <f t="shared" si="32"/>
        <v>798750</v>
      </c>
      <c r="CV46" s="162">
        <f t="shared" si="32"/>
        <v>798750</v>
      </c>
      <c r="CW46" s="162">
        <f t="shared" si="32"/>
        <v>798750</v>
      </c>
      <c r="CX46" s="162">
        <f t="shared" si="32"/>
        <v>798750</v>
      </c>
      <c r="CY46" s="162">
        <f t="shared" si="32"/>
        <v>798750</v>
      </c>
      <c r="CZ46" s="162">
        <f t="shared" si="32"/>
        <v>798750</v>
      </c>
      <c r="DA46" s="162">
        <f t="shared" si="32"/>
        <v>798750</v>
      </c>
      <c r="DB46" s="162">
        <f t="shared" si="32"/>
        <v>798750</v>
      </c>
      <c r="DC46" s="162">
        <f t="shared" si="32"/>
        <v>798750</v>
      </c>
      <c r="DD46" s="162">
        <f t="shared" si="32"/>
        <v>798750</v>
      </c>
      <c r="DE46" s="162">
        <f t="shared" ref="DE46:DT46" si="33">SUM(DE47:DE54)</f>
        <v>798750</v>
      </c>
      <c r="DF46" s="162">
        <f t="shared" si="33"/>
        <v>798750</v>
      </c>
      <c r="DG46" s="162">
        <f t="shared" si="33"/>
        <v>798750</v>
      </c>
      <c r="DH46" s="162">
        <f t="shared" si="33"/>
        <v>798750</v>
      </c>
      <c r="DI46" s="162">
        <f t="shared" si="33"/>
        <v>798750</v>
      </c>
      <c r="DJ46" s="162">
        <f t="shared" si="33"/>
        <v>798750</v>
      </c>
      <c r="DK46" s="162">
        <f t="shared" si="33"/>
        <v>798750</v>
      </c>
      <c r="DL46" s="162">
        <f t="shared" si="33"/>
        <v>798750</v>
      </c>
      <c r="DM46" s="162">
        <f t="shared" si="33"/>
        <v>798750</v>
      </c>
      <c r="DN46" s="162">
        <f t="shared" si="33"/>
        <v>798750</v>
      </c>
      <c r="DO46" s="162">
        <f t="shared" si="33"/>
        <v>798750</v>
      </c>
      <c r="DP46" s="162">
        <f t="shared" si="33"/>
        <v>798750</v>
      </c>
      <c r="DQ46" s="162">
        <f t="shared" si="33"/>
        <v>798750</v>
      </c>
      <c r="DR46" s="162">
        <f t="shared" si="33"/>
        <v>798750</v>
      </c>
      <c r="DS46" s="162">
        <f t="shared" si="33"/>
        <v>798750</v>
      </c>
      <c r="DT46" s="162">
        <f t="shared" si="33"/>
        <v>798750</v>
      </c>
      <c r="DU46" s="162">
        <f t="shared" ref="DU46:ER46" si="34">SUM(DU47:DU54)</f>
        <v>798750</v>
      </c>
      <c r="DV46" s="162">
        <f t="shared" si="34"/>
        <v>798750</v>
      </c>
      <c r="DW46" s="162">
        <f t="shared" si="34"/>
        <v>798750</v>
      </c>
      <c r="DX46" s="162">
        <f t="shared" si="34"/>
        <v>798750</v>
      </c>
      <c r="DY46" s="162">
        <f t="shared" si="34"/>
        <v>798750</v>
      </c>
      <c r="DZ46" s="162">
        <f t="shared" si="34"/>
        <v>798750</v>
      </c>
      <c r="EA46" s="162">
        <f t="shared" si="34"/>
        <v>798750</v>
      </c>
      <c r="EB46" s="162">
        <f t="shared" si="34"/>
        <v>798750</v>
      </c>
      <c r="EC46" s="162">
        <f t="shared" si="34"/>
        <v>798750</v>
      </c>
      <c r="ED46" s="162">
        <f t="shared" si="34"/>
        <v>0</v>
      </c>
      <c r="EE46" s="162">
        <f t="shared" si="34"/>
        <v>0</v>
      </c>
      <c r="EF46" s="162">
        <f t="shared" si="34"/>
        <v>0</v>
      </c>
      <c r="EG46" s="162">
        <f t="shared" si="34"/>
        <v>0</v>
      </c>
      <c r="EH46" s="162">
        <f t="shared" si="34"/>
        <v>0</v>
      </c>
      <c r="EI46" s="162">
        <f t="shared" si="34"/>
        <v>0</v>
      </c>
      <c r="EJ46" s="162">
        <f t="shared" si="34"/>
        <v>0</v>
      </c>
      <c r="EK46" s="162">
        <f t="shared" si="34"/>
        <v>0</v>
      </c>
      <c r="EL46" s="162">
        <f t="shared" si="34"/>
        <v>0</v>
      </c>
      <c r="EM46" s="162">
        <f t="shared" si="34"/>
        <v>0</v>
      </c>
      <c r="EN46" s="162">
        <f t="shared" si="34"/>
        <v>0</v>
      </c>
      <c r="EO46" s="162">
        <f t="shared" si="34"/>
        <v>0</v>
      </c>
      <c r="EP46" s="162">
        <f t="shared" si="34"/>
        <v>0</v>
      </c>
      <c r="EQ46" s="162">
        <f t="shared" si="34"/>
        <v>0</v>
      </c>
      <c r="ER46" s="162">
        <f t="shared" si="34"/>
        <v>0</v>
      </c>
    </row>
    <row r="47" spans="2:148" ht="11.25" customHeight="1">
      <c r="B47" s="218"/>
      <c r="C47" s="163"/>
      <c r="D47" s="164" t="str">
        <f>'CF(M)'!D41</f>
        <v>담보대출 이자비용</v>
      </c>
      <c r="E47" s="165"/>
      <c r="F47" s="165"/>
      <c r="G47" s="165"/>
      <c r="H47" s="165"/>
      <c r="I47" s="166"/>
      <c r="J47" s="221"/>
      <c r="K47" s="168">
        <f t="shared" ref="K47:K54" si="35">SUM(M47:ER47)</f>
        <v>15279999.999999994</v>
      </c>
      <c r="L47" s="98"/>
      <c r="M47" s="168">
        <f>'FS_Detail(M)'!L100</f>
        <v>0</v>
      </c>
      <c r="N47" s="168">
        <f>'FS_Detail(M)'!M100</f>
        <v>636666.66666666663</v>
      </c>
      <c r="O47" s="168">
        <f>'FS_Detail(M)'!N100</f>
        <v>636666.66666666663</v>
      </c>
      <c r="P47" s="168">
        <f>'FS_Detail(M)'!O100</f>
        <v>636666.66666666663</v>
      </c>
      <c r="Q47" s="168">
        <f>'FS_Detail(M)'!P100</f>
        <v>636666.66666666663</v>
      </c>
      <c r="R47" s="168">
        <f>'FS_Detail(M)'!Q100</f>
        <v>636666.66666666663</v>
      </c>
      <c r="S47" s="168">
        <f>'FS_Detail(M)'!R100</f>
        <v>636666.66666666663</v>
      </c>
      <c r="T47" s="168">
        <f>'FS_Detail(M)'!S100</f>
        <v>636666.66666666663</v>
      </c>
      <c r="U47" s="168">
        <f>'FS_Detail(M)'!T100</f>
        <v>636666.66666666663</v>
      </c>
      <c r="V47" s="168">
        <f>'FS_Detail(M)'!U100</f>
        <v>636666.66666666663</v>
      </c>
      <c r="W47" s="168">
        <f>'FS_Detail(M)'!V100</f>
        <v>636666.66666666663</v>
      </c>
      <c r="X47" s="168">
        <f>'FS_Detail(M)'!W100</f>
        <v>636666.66666666663</v>
      </c>
      <c r="Y47" s="168">
        <f>'FS_Detail(M)'!X100</f>
        <v>636666.66666666663</v>
      </c>
      <c r="Z47" s="168">
        <f>'FS_Detail(M)'!Y100</f>
        <v>636666.66666666663</v>
      </c>
      <c r="AA47" s="168">
        <f>'FS_Detail(M)'!Z100</f>
        <v>636666.66666666663</v>
      </c>
      <c r="AB47" s="168">
        <f>'FS_Detail(M)'!AA100</f>
        <v>636666.66666666663</v>
      </c>
      <c r="AC47" s="168">
        <f>'FS_Detail(M)'!AB100</f>
        <v>636666.66666666663</v>
      </c>
      <c r="AD47" s="168">
        <f>'FS_Detail(M)'!AC100</f>
        <v>636666.66666666663</v>
      </c>
      <c r="AE47" s="168">
        <f>'FS_Detail(M)'!AD100</f>
        <v>636666.66666666663</v>
      </c>
      <c r="AF47" s="168">
        <f>'FS_Detail(M)'!AE100</f>
        <v>636666.66666666663</v>
      </c>
      <c r="AG47" s="168">
        <f>'FS_Detail(M)'!AF100</f>
        <v>636666.66666666663</v>
      </c>
      <c r="AH47" s="168">
        <f>'FS_Detail(M)'!AG100</f>
        <v>636666.66666666663</v>
      </c>
      <c r="AI47" s="168">
        <f>'FS_Detail(M)'!AH100</f>
        <v>636666.66666666663</v>
      </c>
      <c r="AJ47" s="168">
        <f>'FS_Detail(M)'!AI100</f>
        <v>636666.66666666663</v>
      </c>
      <c r="AK47" s="168">
        <f>'FS_Detail(M)'!AJ100</f>
        <v>636666.66666666663</v>
      </c>
      <c r="AL47" s="168">
        <f>'FS_Detail(M)'!AK100</f>
        <v>0</v>
      </c>
      <c r="AM47" s="168">
        <f>'FS_Detail(M)'!AL100</f>
        <v>0</v>
      </c>
      <c r="AN47" s="168">
        <f>'FS_Detail(M)'!AM100</f>
        <v>0</v>
      </c>
      <c r="AO47" s="168">
        <f>'FS_Detail(M)'!AN100</f>
        <v>0</v>
      </c>
      <c r="AP47" s="168">
        <f>'FS_Detail(M)'!AO100</f>
        <v>0</v>
      </c>
      <c r="AQ47" s="168">
        <f>'FS_Detail(M)'!AP100</f>
        <v>0</v>
      </c>
      <c r="AR47" s="168">
        <f>'FS_Detail(M)'!AQ100</f>
        <v>0</v>
      </c>
      <c r="AS47" s="168">
        <f>'FS_Detail(M)'!AR100</f>
        <v>0</v>
      </c>
      <c r="AT47" s="168">
        <f>'FS_Detail(M)'!AS100</f>
        <v>0</v>
      </c>
      <c r="AU47" s="168">
        <f>'FS_Detail(M)'!AT100</f>
        <v>0</v>
      </c>
      <c r="AV47" s="168">
        <f>'FS_Detail(M)'!AU100</f>
        <v>0</v>
      </c>
      <c r="AW47" s="168">
        <f>'FS_Detail(M)'!AV100</f>
        <v>0</v>
      </c>
      <c r="AX47" s="168">
        <f>'FS_Detail(M)'!AW100</f>
        <v>0</v>
      </c>
      <c r="AY47" s="168">
        <f>'FS_Detail(M)'!AX100</f>
        <v>0</v>
      </c>
      <c r="AZ47" s="168">
        <f>'FS_Detail(M)'!AY100</f>
        <v>0</v>
      </c>
      <c r="BA47" s="168">
        <f>'FS_Detail(M)'!AZ100</f>
        <v>0</v>
      </c>
      <c r="BB47" s="168">
        <f>'FS_Detail(M)'!BA100</f>
        <v>0</v>
      </c>
      <c r="BC47" s="168">
        <f>'FS_Detail(M)'!BB100</f>
        <v>0</v>
      </c>
      <c r="BD47" s="168">
        <f>'FS_Detail(M)'!BC100</f>
        <v>0</v>
      </c>
      <c r="BE47" s="168">
        <f>'FS_Detail(M)'!BD100</f>
        <v>0</v>
      </c>
      <c r="BF47" s="168">
        <f>'FS_Detail(M)'!BE100</f>
        <v>0</v>
      </c>
      <c r="BG47" s="168">
        <f>'FS_Detail(M)'!BF100</f>
        <v>0</v>
      </c>
      <c r="BH47" s="168">
        <f>'FS_Detail(M)'!BG100</f>
        <v>0</v>
      </c>
      <c r="BI47" s="168">
        <f>'FS_Detail(M)'!BH100</f>
        <v>0</v>
      </c>
      <c r="BJ47" s="168">
        <f>'FS_Detail(M)'!BI100</f>
        <v>0</v>
      </c>
      <c r="BK47" s="168">
        <f>'FS_Detail(M)'!BJ100</f>
        <v>0</v>
      </c>
      <c r="BL47" s="168">
        <f>'FS_Detail(M)'!BK100</f>
        <v>0</v>
      </c>
      <c r="BM47" s="168">
        <f>'FS_Detail(M)'!BL100</f>
        <v>0</v>
      </c>
      <c r="BN47" s="168">
        <f>'FS_Detail(M)'!BM100</f>
        <v>0</v>
      </c>
      <c r="BO47" s="168">
        <f>'FS_Detail(M)'!BN100</f>
        <v>0</v>
      </c>
      <c r="BP47" s="168">
        <f>'FS_Detail(M)'!BO100</f>
        <v>0</v>
      </c>
      <c r="BQ47" s="168">
        <f>'FS_Detail(M)'!BP100</f>
        <v>0</v>
      </c>
      <c r="BR47" s="168">
        <f>'FS_Detail(M)'!BQ100</f>
        <v>0</v>
      </c>
      <c r="BS47" s="168">
        <f>'FS_Detail(M)'!BR100</f>
        <v>0</v>
      </c>
      <c r="BT47" s="168">
        <f>'FS_Detail(M)'!BS100</f>
        <v>0</v>
      </c>
      <c r="BU47" s="168">
        <f>'FS_Detail(M)'!BT100</f>
        <v>0</v>
      </c>
      <c r="BV47" s="168">
        <f>'FS_Detail(M)'!BU100</f>
        <v>0</v>
      </c>
      <c r="BW47" s="168">
        <f>'FS_Detail(M)'!BV100</f>
        <v>0</v>
      </c>
      <c r="BX47" s="168">
        <f>'FS_Detail(M)'!BW100</f>
        <v>0</v>
      </c>
      <c r="BY47" s="168">
        <f>'FS_Detail(M)'!BX100</f>
        <v>0</v>
      </c>
      <c r="BZ47" s="168">
        <f>'FS_Detail(M)'!BY100</f>
        <v>0</v>
      </c>
      <c r="CA47" s="168">
        <f>'FS_Detail(M)'!BZ100</f>
        <v>0</v>
      </c>
      <c r="CB47" s="168">
        <f>'FS_Detail(M)'!CA100</f>
        <v>0</v>
      </c>
      <c r="CC47" s="168">
        <f>'FS_Detail(M)'!CB100</f>
        <v>0</v>
      </c>
      <c r="CD47" s="168">
        <f>'FS_Detail(M)'!CC100</f>
        <v>0</v>
      </c>
      <c r="CE47" s="168">
        <f>'FS_Detail(M)'!CD100</f>
        <v>0</v>
      </c>
      <c r="CF47" s="168">
        <f>'FS_Detail(M)'!CE100</f>
        <v>0</v>
      </c>
      <c r="CG47" s="168">
        <f>'FS_Detail(M)'!CF100</f>
        <v>0</v>
      </c>
      <c r="CH47" s="168">
        <f>'FS_Detail(M)'!CG100</f>
        <v>0</v>
      </c>
      <c r="CI47" s="168">
        <f>'FS_Detail(M)'!CH100</f>
        <v>0</v>
      </c>
      <c r="CJ47" s="168">
        <f>'FS_Detail(M)'!CI100</f>
        <v>0</v>
      </c>
      <c r="CK47" s="168">
        <f>'FS_Detail(M)'!CJ100</f>
        <v>0</v>
      </c>
      <c r="CL47" s="168">
        <f>'FS_Detail(M)'!CK100</f>
        <v>0</v>
      </c>
      <c r="CM47" s="168">
        <f>'FS_Detail(M)'!CL100</f>
        <v>0</v>
      </c>
      <c r="CN47" s="168">
        <f>'FS_Detail(M)'!CM100</f>
        <v>0</v>
      </c>
      <c r="CO47" s="168">
        <f>'FS_Detail(M)'!CN100</f>
        <v>0</v>
      </c>
      <c r="CP47" s="168">
        <f>'FS_Detail(M)'!CO100</f>
        <v>0</v>
      </c>
      <c r="CQ47" s="168">
        <f>'FS_Detail(M)'!CP100</f>
        <v>0</v>
      </c>
      <c r="CR47" s="168">
        <f>'FS_Detail(M)'!CQ100</f>
        <v>0</v>
      </c>
      <c r="CS47" s="168">
        <f>'FS_Detail(M)'!CR100</f>
        <v>0</v>
      </c>
      <c r="CT47" s="168">
        <f>'FS_Detail(M)'!CS100</f>
        <v>0</v>
      </c>
      <c r="CU47" s="168">
        <f>'FS_Detail(M)'!CT100</f>
        <v>0</v>
      </c>
      <c r="CV47" s="168">
        <f>'FS_Detail(M)'!CU100</f>
        <v>0</v>
      </c>
      <c r="CW47" s="168">
        <f>'FS_Detail(M)'!CV100</f>
        <v>0</v>
      </c>
      <c r="CX47" s="168">
        <f>'FS_Detail(M)'!CW100</f>
        <v>0</v>
      </c>
      <c r="CY47" s="168">
        <f>'FS_Detail(M)'!CX100</f>
        <v>0</v>
      </c>
      <c r="CZ47" s="168">
        <f>'FS_Detail(M)'!CY100</f>
        <v>0</v>
      </c>
      <c r="DA47" s="168">
        <f>'FS_Detail(M)'!CZ100</f>
        <v>0</v>
      </c>
      <c r="DB47" s="168">
        <f>'FS_Detail(M)'!DA100</f>
        <v>0</v>
      </c>
      <c r="DC47" s="168">
        <f>'FS_Detail(M)'!DB100</f>
        <v>0</v>
      </c>
      <c r="DD47" s="168">
        <f>'FS_Detail(M)'!DC100</f>
        <v>0</v>
      </c>
      <c r="DE47" s="168">
        <f>'FS_Detail(M)'!DD100</f>
        <v>0</v>
      </c>
      <c r="DF47" s="168">
        <f>'FS_Detail(M)'!DE100</f>
        <v>0</v>
      </c>
      <c r="DG47" s="168">
        <f>'FS_Detail(M)'!DF100</f>
        <v>0</v>
      </c>
      <c r="DH47" s="168">
        <f>'FS_Detail(M)'!DG100</f>
        <v>0</v>
      </c>
      <c r="DI47" s="168">
        <f>'FS_Detail(M)'!DH100</f>
        <v>0</v>
      </c>
      <c r="DJ47" s="168">
        <f>'FS_Detail(M)'!DI100</f>
        <v>0</v>
      </c>
      <c r="DK47" s="168">
        <f>'FS_Detail(M)'!DJ100</f>
        <v>0</v>
      </c>
      <c r="DL47" s="168">
        <f>'FS_Detail(M)'!DK100</f>
        <v>0</v>
      </c>
      <c r="DM47" s="168">
        <f>'FS_Detail(M)'!DL100</f>
        <v>0</v>
      </c>
      <c r="DN47" s="168">
        <f>'FS_Detail(M)'!DM100</f>
        <v>0</v>
      </c>
      <c r="DO47" s="168">
        <f>'FS_Detail(M)'!DN100</f>
        <v>0</v>
      </c>
      <c r="DP47" s="168">
        <f>'FS_Detail(M)'!DO100</f>
        <v>0</v>
      </c>
      <c r="DQ47" s="168">
        <f>'FS_Detail(M)'!DP100</f>
        <v>0</v>
      </c>
      <c r="DR47" s="168">
        <f>'FS_Detail(M)'!DQ100</f>
        <v>0</v>
      </c>
      <c r="DS47" s="168">
        <f>'FS_Detail(M)'!DR100</f>
        <v>0</v>
      </c>
      <c r="DT47" s="168">
        <f>'FS_Detail(M)'!DS100</f>
        <v>0</v>
      </c>
      <c r="DU47" s="168">
        <f>'FS_Detail(M)'!DT100</f>
        <v>0</v>
      </c>
      <c r="DV47" s="168">
        <f>'FS_Detail(M)'!DU100</f>
        <v>0</v>
      </c>
      <c r="DW47" s="168">
        <f>'FS_Detail(M)'!DV100</f>
        <v>0</v>
      </c>
      <c r="DX47" s="168">
        <f>'FS_Detail(M)'!DW100</f>
        <v>0</v>
      </c>
      <c r="DY47" s="168">
        <f>'FS_Detail(M)'!DX100</f>
        <v>0</v>
      </c>
      <c r="DZ47" s="168">
        <f>'FS_Detail(M)'!DY100</f>
        <v>0</v>
      </c>
      <c r="EA47" s="168">
        <f>'FS_Detail(M)'!DZ100</f>
        <v>0</v>
      </c>
      <c r="EB47" s="168">
        <f>'FS_Detail(M)'!EA100</f>
        <v>0</v>
      </c>
      <c r="EC47" s="168">
        <f>'FS_Detail(M)'!EB100</f>
        <v>0</v>
      </c>
      <c r="ED47" s="168">
        <f>'FS_Detail(M)'!EC100</f>
        <v>0</v>
      </c>
      <c r="EE47" s="168">
        <f>'FS_Detail(M)'!ED100</f>
        <v>0</v>
      </c>
      <c r="EF47" s="168">
        <f>'FS_Detail(M)'!EE100</f>
        <v>0</v>
      </c>
      <c r="EG47" s="168">
        <f>'FS_Detail(M)'!EF100</f>
        <v>0</v>
      </c>
      <c r="EH47" s="168">
        <f>'FS_Detail(M)'!EG100</f>
        <v>0</v>
      </c>
      <c r="EI47" s="168">
        <f>'FS_Detail(M)'!EH100</f>
        <v>0</v>
      </c>
      <c r="EJ47" s="168">
        <f>'FS_Detail(M)'!EI100</f>
        <v>0</v>
      </c>
      <c r="EK47" s="168">
        <f>'FS_Detail(M)'!EJ100</f>
        <v>0</v>
      </c>
      <c r="EL47" s="168">
        <f>'FS_Detail(M)'!EK100</f>
        <v>0</v>
      </c>
      <c r="EM47" s="168">
        <f>'FS_Detail(M)'!EL100</f>
        <v>0</v>
      </c>
      <c r="EN47" s="168">
        <f>'FS_Detail(M)'!EM100</f>
        <v>0</v>
      </c>
      <c r="EO47" s="168">
        <f>'FS_Detail(M)'!EN100</f>
        <v>0</v>
      </c>
      <c r="EP47" s="168">
        <f>'FS_Detail(M)'!EO100</f>
        <v>0</v>
      </c>
      <c r="EQ47" s="168">
        <f>'FS_Detail(M)'!EP100</f>
        <v>0</v>
      </c>
      <c r="ER47" s="168">
        <f>'FS_Detail(M)'!EQ100</f>
        <v>0</v>
      </c>
    </row>
    <row r="48" spans="2:148" ht="11.25" customHeight="1">
      <c r="B48" s="218"/>
      <c r="C48" s="163"/>
      <c r="D48" s="169" t="str">
        <f>'CF(M)'!D42</f>
        <v>담보대출(2nd) 이자비용</v>
      </c>
      <c r="I48" s="146"/>
      <c r="J48" s="13"/>
      <c r="K48" s="171">
        <f t="shared" si="35"/>
        <v>30672000</v>
      </c>
      <c r="L48" s="98"/>
      <c r="M48" s="171">
        <f>'FS_Detail(M)'!L105</f>
        <v>0</v>
      </c>
      <c r="N48" s="171">
        <f>'FS_Detail(M)'!M105</f>
        <v>0</v>
      </c>
      <c r="O48" s="171">
        <f>'FS_Detail(M)'!N105</f>
        <v>0</v>
      </c>
      <c r="P48" s="171">
        <f>'FS_Detail(M)'!O105</f>
        <v>0</v>
      </c>
      <c r="Q48" s="171">
        <f>'FS_Detail(M)'!P105</f>
        <v>0</v>
      </c>
      <c r="R48" s="171">
        <f>'FS_Detail(M)'!Q105</f>
        <v>0</v>
      </c>
      <c r="S48" s="171">
        <f>'FS_Detail(M)'!R105</f>
        <v>0</v>
      </c>
      <c r="T48" s="171">
        <f>'FS_Detail(M)'!S105</f>
        <v>0</v>
      </c>
      <c r="U48" s="171">
        <f>'FS_Detail(M)'!T105</f>
        <v>0</v>
      </c>
      <c r="V48" s="171">
        <f>'FS_Detail(M)'!U105</f>
        <v>0</v>
      </c>
      <c r="W48" s="171">
        <f>'FS_Detail(M)'!V105</f>
        <v>0</v>
      </c>
      <c r="X48" s="171">
        <f>'FS_Detail(M)'!W105</f>
        <v>0</v>
      </c>
      <c r="Y48" s="171">
        <f>'FS_Detail(M)'!X105</f>
        <v>0</v>
      </c>
      <c r="Z48" s="171">
        <f>'FS_Detail(M)'!Y105</f>
        <v>0</v>
      </c>
      <c r="AA48" s="171">
        <f>'FS_Detail(M)'!Z105</f>
        <v>0</v>
      </c>
      <c r="AB48" s="171">
        <f>'FS_Detail(M)'!AA105</f>
        <v>0</v>
      </c>
      <c r="AC48" s="171">
        <f>'FS_Detail(M)'!AB105</f>
        <v>0</v>
      </c>
      <c r="AD48" s="171">
        <f>'FS_Detail(M)'!AC105</f>
        <v>0</v>
      </c>
      <c r="AE48" s="171">
        <f>'FS_Detail(M)'!AD105</f>
        <v>0</v>
      </c>
      <c r="AF48" s="171">
        <f>'FS_Detail(M)'!AE105</f>
        <v>0</v>
      </c>
      <c r="AG48" s="171">
        <f>'FS_Detail(M)'!AF105</f>
        <v>0</v>
      </c>
      <c r="AH48" s="171">
        <f>'FS_Detail(M)'!AG105</f>
        <v>0</v>
      </c>
      <c r="AI48" s="171">
        <f>'FS_Detail(M)'!AH105</f>
        <v>0</v>
      </c>
      <c r="AJ48" s="171">
        <f>'FS_Detail(M)'!AI105</f>
        <v>0</v>
      </c>
      <c r="AK48" s="171">
        <f>'FS_Detail(M)'!AJ105</f>
        <v>0</v>
      </c>
      <c r="AL48" s="171">
        <f>'FS_Detail(M)'!AK105</f>
        <v>852000</v>
      </c>
      <c r="AM48" s="171">
        <f>'FS_Detail(M)'!AL105</f>
        <v>852000</v>
      </c>
      <c r="AN48" s="171">
        <f>'FS_Detail(M)'!AM105</f>
        <v>852000</v>
      </c>
      <c r="AO48" s="171">
        <f>'FS_Detail(M)'!AN105</f>
        <v>852000</v>
      </c>
      <c r="AP48" s="171">
        <f>'FS_Detail(M)'!AO105</f>
        <v>852000</v>
      </c>
      <c r="AQ48" s="171">
        <f>'FS_Detail(M)'!AP105</f>
        <v>852000</v>
      </c>
      <c r="AR48" s="171">
        <f>'FS_Detail(M)'!AQ105</f>
        <v>852000</v>
      </c>
      <c r="AS48" s="171">
        <f>'FS_Detail(M)'!AR105</f>
        <v>852000</v>
      </c>
      <c r="AT48" s="171">
        <f>'FS_Detail(M)'!AS105</f>
        <v>852000</v>
      </c>
      <c r="AU48" s="171">
        <f>'FS_Detail(M)'!AT105</f>
        <v>852000</v>
      </c>
      <c r="AV48" s="171">
        <f>'FS_Detail(M)'!AU105</f>
        <v>852000</v>
      </c>
      <c r="AW48" s="171">
        <f>'FS_Detail(M)'!AV105</f>
        <v>852000</v>
      </c>
      <c r="AX48" s="171">
        <f>'FS_Detail(M)'!AW105</f>
        <v>852000</v>
      </c>
      <c r="AY48" s="171">
        <f>'FS_Detail(M)'!AX105</f>
        <v>852000</v>
      </c>
      <c r="AZ48" s="171">
        <f>'FS_Detail(M)'!AY105</f>
        <v>852000</v>
      </c>
      <c r="BA48" s="171">
        <f>'FS_Detail(M)'!AZ105</f>
        <v>852000</v>
      </c>
      <c r="BB48" s="171">
        <f>'FS_Detail(M)'!BA105</f>
        <v>852000</v>
      </c>
      <c r="BC48" s="171">
        <f>'FS_Detail(M)'!BB105</f>
        <v>852000</v>
      </c>
      <c r="BD48" s="171">
        <f>'FS_Detail(M)'!BC105</f>
        <v>852000</v>
      </c>
      <c r="BE48" s="171">
        <f>'FS_Detail(M)'!BD105</f>
        <v>852000</v>
      </c>
      <c r="BF48" s="171">
        <f>'FS_Detail(M)'!BE105</f>
        <v>852000</v>
      </c>
      <c r="BG48" s="171">
        <f>'FS_Detail(M)'!BF105</f>
        <v>852000</v>
      </c>
      <c r="BH48" s="171">
        <f>'FS_Detail(M)'!BG105</f>
        <v>852000</v>
      </c>
      <c r="BI48" s="171">
        <f>'FS_Detail(M)'!BH105</f>
        <v>852000</v>
      </c>
      <c r="BJ48" s="171">
        <f>'FS_Detail(M)'!BI105</f>
        <v>852000</v>
      </c>
      <c r="BK48" s="171">
        <f>'FS_Detail(M)'!BJ105</f>
        <v>852000</v>
      </c>
      <c r="BL48" s="171">
        <f>'FS_Detail(M)'!BK105</f>
        <v>852000</v>
      </c>
      <c r="BM48" s="171">
        <f>'FS_Detail(M)'!BL105</f>
        <v>852000</v>
      </c>
      <c r="BN48" s="171">
        <f>'FS_Detail(M)'!BM105</f>
        <v>852000</v>
      </c>
      <c r="BO48" s="171">
        <f>'FS_Detail(M)'!BN105</f>
        <v>852000</v>
      </c>
      <c r="BP48" s="171">
        <f>'FS_Detail(M)'!BO105</f>
        <v>852000</v>
      </c>
      <c r="BQ48" s="171">
        <f>'FS_Detail(M)'!BP105</f>
        <v>852000</v>
      </c>
      <c r="BR48" s="171">
        <f>'FS_Detail(M)'!BQ105</f>
        <v>852000</v>
      </c>
      <c r="BS48" s="171">
        <f>'FS_Detail(M)'!BR105</f>
        <v>852000</v>
      </c>
      <c r="BT48" s="171">
        <f>'FS_Detail(M)'!BS105</f>
        <v>852000</v>
      </c>
      <c r="BU48" s="171">
        <f>'FS_Detail(M)'!BT105</f>
        <v>852000</v>
      </c>
      <c r="BV48" s="171">
        <f>'FS_Detail(M)'!BU105</f>
        <v>0</v>
      </c>
      <c r="BW48" s="171">
        <f>'FS_Detail(M)'!BV105</f>
        <v>0</v>
      </c>
      <c r="BX48" s="171">
        <f>'FS_Detail(M)'!BW105</f>
        <v>0</v>
      </c>
      <c r="BY48" s="171">
        <f>'FS_Detail(M)'!BX105</f>
        <v>0</v>
      </c>
      <c r="BZ48" s="171">
        <f>'FS_Detail(M)'!BY105</f>
        <v>0</v>
      </c>
      <c r="CA48" s="171">
        <f>'FS_Detail(M)'!BZ105</f>
        <v>0</v>
      </c>
      <c r="CB48" s="171">
        <f>'FS_Detail(M)'!CA105</f>
        <v>0</v>
      </c>
      <c r="CC48" s="171">
        <f>'FS_Detail(M)'!CB105</f>
        <v>0</v>
      </c>
      <c r="CD48" s="171">
        <f>'FS_Detail(M)'!CC105</f>
        <v>0</v>
      </c>
      <c r="CE48" s="171">
        <f>'FS_Detail(M)'!CD105</f>
        <v>0</v>
      </c>
      <c r="CF48" s="171">
        <f>'FS_Detail(M)'!CE105</f>
        <v>0</v>
      </c>
      <c r="CG48" s="171">
        <f>'FS_Detail(M)'!CF105</f>
        <v>0</v>
      </c>
      <c r="CH48" s="171">
        <f>'FS_Detail(M)'!CG105</f>
        <v>0</v>
      </c>
      <c r="CI48" s="171">
        <f>'FS_Detail(M)'!CH105</f>
        <v>0</v>
      </c>
      <c r="CJ48" s="171">
        <f>'FS_Detail(M)'!CI105</f>
        <v>0</v>
      </c>
      <c r="CK48" s="171">
        <f>'FS_Detail(M)'!CJ105</f>
        <v>0</v>
      </c>
      <c r="CL48" s="171">
        <f>'FS_Detail(M)'!CK105</f>
        <v>0</v>
      </c>
      <c r="CM48" s="171">
        <f>'FS_Detail(M)'!CL105</f>
        <v>0</v>
      </c>
      <c r="CN48" s="171">
        <f>'FS_Detail(M)'!CM105</f>
        <v>0</v>
      </c>
      <c r="CO48" s="171">
        <f>'FS_Detail(M)'!CN105</f>
        <v>0</v>
      </c>
      <c r="CP48" s="171">
        <f>'FS_Detail(M)'!CO105</f>
        <v>0</v>
      </c>
      <c r="CQ48" s="171">
        <f>'FS_Detail(M)'!CP105</f>
        <v>0</v>
      </c>
      <c r="CR48" s="171">
        <f>'FS_Detail(M)'!CQ105</f>
        <v>0</v>
      </c>
      <c r="CS48" s="171">
        <f>'FS_Detail(M)'!CR105</f>
        <v>0</v>
      </c>
      <c r="CT48" s="171">
        <f>'FS_Detail(M)'!CS105</f>
        <v>0</v>
      </c>
      <c r="CU48" s="171">
        <f>'FS_Detail(M)'!CT105</f>
        <v>0</v>
      </c>
      <c r="CV48" s="171">
        <f>'FS_Detail(M)'!CU105</f>
        <v>0</v>
      </c>
      <c r="CW48" s="171">
        <f>'FS_Detail(M)'!CV105</f>
        <v>0</v>
      </c>
      <c r="CX48" s="171">
        <f>'FS_Detail(M)'!CW105</f>
        <v>0</v>
      </c>
      <c r="CY48" s="171">
        <f>'FS_Detail(M)'!CX105</f>
        <v>0</v>
      </c>
      <c r="CZ48" s="171">
        <f>'FS_Detail(M)'!CY105</f>
        <v>0</v>
      </c>
      <c r="DA48" s="171">
        <f>'FS_Detail(M)'!CZ105</f>
        <v>0</v>
      </c>
      <c r="DB48" s="171">
        <f>'FS_Detail(M)'!DA105</f>
        <v>0</v>
      </c>
      <c r="DC48" s="171">
        <f>'FS_Detail(M)'!DB105</f>
        <v>0</v>
      </c>
      <c r="DD48" s="171">
        <f>'FS_Detail(M)'!DC105</f>
        <v>0</v>
      </c>
      <c r="DE48" s="171">
        <f>'FS_Detail(M)'!DD105</f>
        <v>0</v>
      </c>
      <c r="DF48" s="171">
        <f>'FS_Detail(M)'!DE105</f>
        <v>0</v>
      </c>
      <c r="DG48" s="171">
        <f>'FS_Detail(M)'!DF105</f>
        <v>0</v>
      </c>
      <c r="DH48" s="171">
        <f>'FS_Detail(M)'!DG105</f>
        <v>0</v>
      </c>
      <c r="DI48" s="171">
        <f>'FS_Detail(M)'!DH105</f>
        <v>0</v>
      </c>
      <c r="DJ48" s="171">
        <f>'FS_Detail(M)'!DI105</f>
        <v>0</v>
      </c>
      <c r="DK48" s="171">
        <f>'FS_Detail(M)'!DJ105</f>
        <v>0</v>
      </c>
      <c r="DL48" s="171">
        <f>'FS_Detail(M)'!DK105</f>
        <v>0</v>
      </c>
      <c r="DM48" s="171">
        <f>'FS_Detail(M)'!DL105</f>
        <v>0</v>
      </c>
      <c r="DN48" s="171">
        <f>'FS_Detail(M)'!DM105</f>
        <v>0</v>
      </c>
      <c r="DO48" s="171">
        <f>'FS_Detail(M)'!DN105</f>
        <v>0</v>
      </c>
      <c r="DP48" s="171">
        <f>'FS_Detail(M)'!DO105</f>
        <v>0</v>
      </c>
      <c r="DQ48" s="171">
        <f>'FS_Detail(M)'!DP105</f>
        <v>0</v>
      </c>
      <c r="DR48" s="171">
        <f>'FS_Detail(M)'!DQ105</f>
        <v>0</v>
      </c>
      <c r="DS48" s="171">
        <f>'FS_Detail(M)'!DR105</f>
        <v>0</v>
      </c>
      <c r="DT48" s="171">
        <f>'FS_Detail(M)'!DS105</f>
        <v>0</v>
      </c>
      <c r="DU48" s="171">
        <f>'FS_Detail(M)'!DT105</f>
        <v>0</v>
      </c>
      <c r="DV48" s="171">
        <f>'FS_Detail(M)'!DU105</f>
        <v>0</v>
      </c>
      <c r="DW48" s="171">
        <f>'FS_Detail(M)'!DV105</f>
        <v>0</v>
      </c>
      <c r="DX48" s="171">
        <f>'FS_Detail(M)'!DW105</f>
        <v>0</v>
      </c>
      <c r="DY48" s="171">
        <f>'FS_Detail(M)'!DX105</f>
        <v>0</v>
      </c>
      <c r="DZ48" s="171">
        <f>'FS_Detail(M)'!DY105</f>
        <v>0</v>
      </c>
      <c r="EA48" s="171">
        <f>'FS_Detail(M)'!DZ105</f>
        <v>0</v>
      </c>
      <c r="EB48" s="171">
        <f>'FS_Detail(M)'!EA105</f>
        <v>0</v>
      </c>
      <c r="EC48" s="171">
        <f>'FS_Detail(M)'!EB105</f>
        <v>0</v>
      </c>
      <c r="ED48" s="171">
        <f>'FS_Detail(M)'!EC105</f>
        <v>0</v>
      </c>
      <c r="EE48" s="171">
        <f>'FS_Detail(M)'!ED105</f>
        <v>0</v>
      </c>
      <c r="EF48" s="171">
        <f>'FS_Detail(M)'!EE105</f>
        <v>0</v>
      </c>
      <c r="EG48" s="171">
        <f>'FS_Detail(M)'!EF105</f>
        <v>0</v>
      </c>
      <c r="EH48" s="171">
        <f>'FS_Detail(M)'!EG105</f>
        <v>0</v>
      </c>
      <c r="EI48" s="171">
        <f>'FS_Detail(M)'!EH105</f>
        <v>0</v>
      </c>
      <c r="EJ48" s="171">
        <f>'FS_Detail(M)'!EI105</f>
        <v>0</v>
      </c>
      <c r="EK48" s="171">
        <f>'FS_Detail(M)'!EJ105</f>
        <v>0</v>
      </c>
      <c r="EL48" s="171">
        <f>'FS_Detail(M)'!EK105</f>
        <v>0</v>
      </c>
      <c r="EM48" s="171">
        <f>'FS_Detail(M)'!EL105</f>
        <v>0</v>
      </c>
      <c r="EN48" s="171">
        <f>'FS_Detail(M)'!EM105</f>
        <v>0</v>
      </c>
      <c r="EO48" s="171">
        <f>'FS_Detail(M)'!EN105</f>
        <v>0</v>
      </c>
      <c r="EP48" s="171">
        <f>'FS_Detail(M)'!EO105</f>
        <v>0</v>
      </c>
      <c r="EQ48" s="171">
        <f>'FS_Detail(M)'!EP105</f>
        <v>0</v>
      </c>
      <c r="ER48" s="171">
        <f>'FS_Detail(M)'!EQ105</f>
        <v>0</v>
      </c>
    </row>
    <row r="49" spans="2:148" ht="11.25" customHeight="1">
      <c r="B49" s="218"/>
      <c r="C49" s="163"/>
      <c r="D49" s="169" t="str">
        <f>'CF(M)'!D43</f>
        <v>담보대출(3rd) 이자비용</v>
      </c>
      <c r="I49" s="146"/>
      <c r="J49" s="13"/>
      <c r="K49" s="171">
        <f t="shared" si="35"/>
        <v>47925000</v>
      </c>
      <c r="L49" s="98"/>
      <c r="M49" s="171">
        <f>'FS_Detail(M)'!L110</f>
        <v>0</v>
      </c>
      <c r="N49" s="171">
        <f>'FS_Detail(M)'!M110</f>
        <v>0</v>
      </c>
      <c r="O49" s="171">
        <f>'FS_Detail(M)'!N110</f>
        <v>0</v>
      </c>
      <c r="P49" s="171">
        <f>'FS_Detail(M)'!O110</f>
        <v>0</v>
      </c>
      <c r="Q49" s="171">
        <f>'FS_Detail(M)'!P110</f>
        <v>0</v>
      </c>
      <c r="R49" s="171">
        <f>'FS_Detail(M)'!Q110</f>
        <v>0</v>
      </c>
      <c r="S49" s="171">
        <f>'FS_Detail(M)'!R110</f>
        <v>0</v>
      </c>
      <c r="T49" s="171">
        <f>'FS_Detail(M)'!S110</f>
        <v>0</v>
      </c>
      <c r="U49" s="171">
        <f>'FS_Detail(M)'!T110</f>
        <v>0</v>
      </c>
      <c r="V49" s="171">
        <f>'FS_Detail(M)'!U110</f>
        <v>0</v>
      </c>
      <c r="W49" s="171">
        <f>'FS_Detail(M)'!V110</f>
        <v>0</v>
      </c>
      <c r="X49" s="171">
        <f>'FS_Detail(M)'!W110</f>
        <v>0</v>
      </c>
      <c r="Y49" s="171">
        <f>'FS_Detail(M)'!X110</f>
        <v>0</v>
      </c>
      <c r="Z49" s="171">
        <f>'FS_Detail(M)'!Y110</f>
        <v>0</v>
      </c>
      <c r="AA49" s="171">
        <f>'FS_Detail(M)'!Z110</f>
        <v>0</v>
      </c>
      <c r="AB49" s="171">
        <f>'FS_Detail(M)'!AA110</f>
        <v>0</v>
      </c>
      <c r="AC49" s="171">
        <f>'FS_Detail(M)'!AB110</f>
        <v>0</v>
      </c>
      <c r="AD49" s="171">
        <f>'FS_Detail(M)'!AC110</f>
        <v>0</v>
      </c>
      <c r="AE49" s="171">
        <f>'FS_Detail(M)'!AD110</f>
        <v>0</v>
      </c>
      <c r="AF49" s="171">
        <f>'FS_Detail(M)'!AE110</f>
        <v>0</v>
      </c>
      <c r="AG49" s="171">
        <f>'FS_Detail(M)'!AF110</f>
        <v>0</v>
      </c>
      <c r="AH49" s="171">
        <f>'FS_Detail(M)'!AG110</f>
        <v>0</v>
      </c>
      <c r="AI49" s="171">
        <f>'FS_Detail(M)'!AH110</f>
        <v>0</v>
      </c>
      <c r="AJ49" s="171">
        <f>'FS_Detail(M)'!AI110</f>
        <v>0</v>
      </c>
      <c r="AK49" s="171">
        <f>'FS_Detail(M)'!AJ110</f>
        <v>0</v>
      </c>
      <c r="AL49" s="171">
        <f>'FS_Detail(M)'!AK110</f>
        <v>0</v>
      </c>
      <c r="AM49" s="171">
        <f>'FS_Detail(M)'!AL110</f>
        <v>0</v>
      </c>
      <c r="AN49" s="171">
        <f>'FS_Detail(M)'!AM110</f>
        <v>0</v>
      </c>
      <c r="AO49" s="171">
        <f>'FS_Detail(M)'!AN110</f>
        <v>0</v>
      </c>
      <c r="AP49" s="171">
        <f>'FS_Detail(M)'!AO110</f>
        <v>0</v>
      </c>
      <c r="AQ49" s="171">
        <f>'FS_Detail(M)'!AP110</f>
        <v>0</v>
      </c>
      <c r="AR49" s="171">
        <f>'FS_Detail(M)'!AQ110</f>
        <v>0</v>
      </c>
      <c r="AS49" s="171">
        <f>'FS_Detail(M)'!AR110</f>
        <v>0</v>
      </c>
      <c r="AT49" s="171">
        <f>'FS_Detail(M)'!AS110</f>
        <v>0</v>
      </c>
      <c r="AU49" s="171">
        <f>'FS_Detail(M)'!AT110</f>
        <v>0</v>
      </c>
      <c r="AV49" s="171">
        <f>'FS_Detail(M)'!AU110</f>
        <v>0</v>
      </c>
      <c r="AW49" s="171">
        <f>'FS_Detail(M)'!AV110</f>
        <v>0</v>
      </c>
      <c r="AX49" s="171">
        <f>'FS_Detail(M)'!AW110</f>
        <v>0</v>
      </c>
      <c r="AY49" s="171">
        <f>'FS_Detail(M)'!AX110</f>
        <v>0</v>
      </c>
      <c r="AZ49" s="171">
        <f>'FS_Detail(M)'!AY110</f>
        <v>0</v>
      </c>
      <c r="BA49" s="171">
        <f>'FS_Detail(M)'!AZ110</f>
        <v>0</v>
      </c>
      <c r="BB49" s="171">
        <f>'FS_Detail(M)'!BA110</f>
        <v>0</v>
      </c>
      <c r="BC49" s="171">
        <f>'FS_Detail(M)'!BB110</f>
        <v>0</v>
      </c>
      <c r="BD49" s="171">
        <f>'FS_Detail(M)'!BC110</f>
        <v>0</v>
      </c>
      <c r="BE49" s="171">
        <f>'FS_Detail(M)'!BD110</f>
        <v>0</v>
      </c>
      <c r="BF49" s="171">
        <f>'FS_Detail(M)'!BE110</f>
        <v>0</v>
      </c>
      <c r="BG49" s="171">
        <f>'FS_Detail(M)'!BF110</f>
        <v>0</v>
      </c>
      <c r="BH49" s="171">
        <f>'FS_Detail(M)'!BG110</f>
        <v>0</v>
      </c>
      <c r="BI49" s="171">
        <f>'FS_Detail(M)'!BH110</f>
        <v>0</v>
      </c>
      <c r="BJ49" s="171">
        <f>'FS_Detail(M)'!BI110</f>
        <v>0</v>
      </c>
      <c r="BK49" s="171">
        <f>'FS_Detail(M)'!BJ110</f>
        <v>0</v>
      </c>
      <c r="BL49" s="171">
        <f>'FS_Detail(M)'!BK110</f>
        <v>0</v>
      </c>
      <c r="BM49" s="171">
        <f>'FS_Detail(M)'!BL110</f>
        <v>0</v>
      </c>
      <c r="BN49" s="171">
        <f>'FS_Detail(M)'!BM110</f>
        <v>0</v>
      </c>
      <c r="BO49" s="171">
        <f>'FS_Detail(M)'!BN110</f>
        <v>0</v>
      </c>
      <c r="BP49" s="171">
        <f>'FS_Detail(M)'!BO110</f>
        <v>0</v>
      </c>
      <c r="BQ49" s="171">
        <f>'FS_Detail(M)'!BP110</f>
        <v>0</v>
      </c>
      <c r="BR49" s="171">
        <f>'FS_Detail(M)'!BQ110</f>
        <v>0</v>
      </c>
      <c r="BS49" s="171">
        <f>'FS_Detail(M)'!BR110</f>
        <v>0</v>
      </c>
      <c r="BT49" s="171">
        <f>'FS_Detail(M)'!BS110</f>
        <v>0</v>
      </c>
      <c r="BU49" s="171">
        <f>'FS_Detail(M)'!BT110</f>
        <v>0</v>
      </c>
      <c r="BV49" s="171">
        <f>'FS_Detail(M)'!BU110</f>
        <v>798750</v>
      </c>
      <c r="BW49" s="171">
        <f>'FS_Detail(M)'!BV110</f>
        <v>798750</v>
      </c>
      <c r="BX49" s="171">
        <f>'FS_Detail(M)'!BW110</f>
        <v>798750</v>
      </c>
      <c r="BY49" s="171">
        <f>'FS_Detail(M)'!BX110</f>
        <v>798750</v>
      </c>
      <c r="BZ49" s="171">
        <f>'FS_Detail(M)'!BY110</f>
        <v>798750</v>
      </c>
      <c r="CA49" s="171">
        <f>'FS_Detail(M)'!BZ110</f>
        <v>798750</v>
      </c>
      <c r="CB49" s="171">
        <f>'FS_Detail(M)'!CA110</f>
        <v>798750</v>
      </c>
      <c r="CC49" s="171">
        <f>'FS_Detail(M)'!CB110</f>
        <v>798750</v>
      </c>
      <c r="CD49" s="171">
        <f>'FS_Detail(M)'!CC110</f>
        <v>798750</v>
      </c>
      <c r="CE49" s="171">
        <f>'FS_Detail(M)'!CD110</f>
        <v>798750</v>
      </c>
      <c r="CF49" s="171">
        <f>'FS_Detail(M)'!CE110</f>
        <v>798750</v>
      </c>
      <c r="CG49" s="171">
        <f>'FS_Detail(M)'!CF110</f>
        <v>798750</v>
      </c>
      <c r="CH49" s="171">
        <f>'FS_Detail(M)'!CG110</f>
        <v>798750</v>
      </c>
      <c r="CI49" s="171">
        <f>'FS_Detail(M)'!CH110</f>
        <v>798750</v>
      </c>
      <c r="CJ49" s="171">
        <f>'FS_Detail(M)'!CI110</f>
        <v>798750</v>
      </c>
      <c r="CK49" s="171">
        <f>'FS_Detail(M)'!CJ110</f>
        <v>798750</v>
      </c>
      <c r="CL49" s="171">
        <f>'FS_Detail(M)'!CK110</f>
        <v>798750</v>
      </c>
      <c r="CM49" s="171">
        <f>'FS_Detail(M)'!CL110</f>
        <v>798750</v>
      </c>
      <c r="CN49" s="171">
        <f>'FS_Detail(M)'!CM110</f>
        <v>798750</v>
      </c>
      <c r="CO49" s="171">
        <f>'FS_Detail(M)'!CN110</f>
        <v>798750</v>
      </c>
      <c r="CP49" s="171">
        <f>'FS_Detail(M)'!CO110</f>
        <v>798750</v>
      </c>
      <c r="CQ49" s="171">
        <f>'FS_Detail(M)'!CP110</f>
        <v>798750</v>
      </c>
      <c r="CR49" s="171">
        <f>'FS_Detail(M)'!CQ110</f>
        <v>798750</v>
      </c>
      <c r="CS49" s="171">
        <f>'FS_Detail(M)'!CR110</f>
        <v>798750</v>
      </c>
      <c r="CT49" s="171">
        <f>'FS_Detail(M)'!CS110</f>
        <v>798750</v>
      </c>
      <c r="CU49" s="171">
        <f>'FS_Detail(M)'!CT110</f>
        <v>798750</v>
      </c>
      <c r="CV49" s="171">
        <f>'FS_Detail(M)'!CU110</f>
        <v>798750</v>
      </c>
      <c r="CW49" s="171">
        <f>'FS_Detail(M)'!CV110</f>
        <v>798750</v>
      </c>
      <c r="CX49" s="171">
        <f>'FS_Detail(M)'!CW110</f>
        <v>798750</v>
      </c>
      <c r="CY49" s="171">
        <f>'FS_Detail(M)'!CX110</f>
        <v>798750</v>
      </c>
      <c r="CZ49" s="171">
        <f>'FS_Detail(M)'!CY110</f>
        <v>798750</v>
      </c>
      <c r="DA49" s="171">
        <f>'FS_Detail(M)'!CZ110</f>
        <v>798750</v>
      </c>
      <c r="DB49" s="171">
        <f>'FS_Detail(M)'!DA110</f>
        <v>798750</v>
      </c>
      <c r="DC49" s="171">
        <f>'FS_Detail(M)'!DB110</f>
        <v>798750</v>
      </c>
      <c r="DD49" s="171">
        <f>'FS_Detail(M)'!DC110</f>
        <v>798750</v>
      </c>
      <c r="DE49" s="171">
        <f>'FS_Detail(M)'!DD110</f>
        <v>798750</v>
      </c>
      <c r="DF49" s="171">
        <f>'FS_Detail(M)'!DE110</f>
        <v>798750</v>
      </c>
      <c r="DG49" s="171">
        <f>'FS_Detail(M)'!DF110</f>
        <v>798750</v>
      </c>
      <c r="DH49" s="171">
        <f>'FS_Detail(M)'!DG110</f>
        <v>798750</v>
      </c>
      <c r="DI49" s="171">
        <f>'FS_Detail(M)'!DH110</f>
        <v>798750</v>
      </c>
      <c r="DJ49" s="171">
        <f>'FS_Detail(M)'!DI110</f>
        <v>798750</v>
      </c>
      <c r="DK49" s="171">
        <f>'FS_Detail(M)'!DJ110</f>
        <v>798750</v>
      </c>
      <c r="DL49" s="171">
        <f>'FS_Detail(M)'!DK110</f>
        <v>798750</v>
      </c>
      <c r="DM49" s="171">
        <f>'FS_Detail(M)'!DL110</f>
        <v>798750</v>
      </c>
      <c r="DN49" s="171">
        <f>'FS_Detail(M)'!DM110</f>
        <v>798750</v>
      </c>
      <c r="DO49" s="171">
        <f>'FS_Detail(M)'!DN110</f>
        <v>798750</v>
      </c>
      <c r="DP49" s="171">
        <f>'FS_Detail(M)'!DO110</f>
        <v>798750</v>
      </c>
      <c r="DQ49" s="171">
        <f>'FS_Detail(M)'!DP110</f>
        <v>798750</v>
      </c>
      <c r="DR49" s="171">
        <f>'FS_Detail(M)'!DQ110</f>
        <v>798750</v>
      </c>
      <c r="DS49" s="171">
        <f>'FS_Detail(M)'!DR110</f>
        <v>798750</v>
      </c>
      <c r="DT49" s="171">
        <f>'FS_Detail(M)'!DS110</f>
        <v>798750</v>
      </c>
      <c r="DU49" s="171">
        <f>'FS_Detail(M)'!DT110</f>
        <v>798750</v>
      </c>
      <c r="DV49" s="171">
        <f>'FS_Detail(M)'!DU110</f>
        <v>798750</v>
      </c>
      <c r="DW49" s="171">
        <f>'FS_Detail(M)'!DV110</f>
        <v>798750</v>
      </c>
      <c r="DX49" s="171">
        <f>'FS_Detail(M)'!DW110</f>
        <v>798750</v>
      </c>
      <c r="DY49" s="171">
        <f>'FS_Detail(M)'!DX110</f>
        <v>798750</v>
      </c>
      <c r="DZ49" s="171">
        <f>'FS_Detail(M)'!DY110</f>
        <v>798750</v>
      </c>
      <c r="EA49" s="171">
        <f>'FS_Detail(M)'!DZ110</f>
        <v>798750</v>
      </c>
      <c r="EB49" s="171">
        <f>'FS_Detail(M)'!EA110</f>
        <v>798750</v>
      </c>
      <c r="EC49" s="171">
        <f>'FS_Detail(M)'!EB110</f>
        <v>798750</v>
      </c>
      <c r="ED49" s="171">
        <f>'FS_Detail(M)'!EC110</f>
        <v>0</v>
      </c>
      <c r="EE49" s="171">
        <f>'FS_Detail(M)'!ED110</f>
        <v>0</v>
      </c>
      <c r="EF49" s="171">
        <f>'FS_Detail(M)'!EE110</f>
        <v>0</v>
      </c>
      <c r="EG49" s="171">
        <f>'FS_Detail(M)'!EF110</f>
        <v>0</v>
      </c>
      <c r="EH49" s="171">
        <f>'FS_Detail(M)'!EG110</f>
        <v>0</v>
      </c>
      <c r="EI49" s="171">
        <f>'FS_Detail(M)'!EH110</f>
        <v>0</v>
      </c>
      <c r="EJ49" s="171">
        <f>'FS_Detail(M)'!EI110</f>
        <v>0</v>
      </c>
      <c r="EK49" s="171">
        <f>'FS_Detail(M)'!EJ110</f>
        <v>0</v>
      </c>
      <c r="EL49" s="171">
        <f>'FS_Detail(M)'!EK110</f>
        <v>0</v>
      </c>
      <c r="EM49" s="171">
        <f>'FS_Detail(M)'!EL110</f>
        <v>0</v>
      </c>
      <c r="EN49" s="171">
        <f>'FS_Detail(M)'!EM110</f>
        <v>0</v>
      </c>
      <c r="EO49" s="171">
        <f>'FS_Detail(M)'!EN110</f>
        <v>0</v>
      </c>
      <c r="EP49" s="171">
        <f>'FS_Detail(M)'!EO110</f>
        <v>0</v>
      </c>
      <c r="EQ49" s="171">
        <f>'FS_Detail(M)'!EP110</f>
        <v>0</v>
      </c>
      <c r="ER49" s="171">
        <f>'FS_Detail(M)'!EQ110</f>
        <v>0</v>
      </c>
    </row>
    <row r="50" spans="2:148" ht="11.25" customHeight="1">
      <c r="B50" s="218"/>
      <c r="C50" s="163"/>
      <c r="D50" s="885" t="str">
        <f>'CF(M)'!D44</f>
        <v>중순위대출 이자비용</v>
      </c>
      <c r="E50" s="886"/>
      <c r="F50" s="886"/>
      <c r="G50" s="886"/>
      <c r="H50" s="886"/>
      <c r="I50" s="1647"/>
      <c r="J50" s="887"/>
      <c r="K50" s="888">
        <f t="shared" si="35"/>
        <v>4560000</v>
      </c>
      <c r="L50" s="98"/>
      <c r="M50" s="888">
        <f>'FS_Detail(M)'!L115</f>
        <v>0</v>
      </c>
      <c r="N50" s="888">
        <f>'FS_Detail(M)'!M115</f>
        <v>190000</v>
      </c>
      <c r="O50" s="888">
        <f>'FS_Detail(M)'!N115</f>
        <v>190000</v>
      </c>
      <c r="P50" s="888">
        <f>'FS_Detail(M)'!O115</f>
        <v>190000</v>
      </c>
      <c r="Q50" s="888">
        <f>'FS_Detail(M)'!P115</f>
        <v>190000</v>
      </c>
      <c r="R50" s="888">
        <f>'FS_Detail(M)'!Q115</f>
        <v>190000</v>
      </c>
      <c r="S50" s="888">
        <f>'FS_Detail(M)'!R115</f>
        <v>190000</v>
      </c>
      <c r="T50" s="888">
        <f>'FS_Detail(M)'!S115</f>
        <v>190000</v>
      </c>
      <c r="U50" s="888">
        <f>'FS_Detail(M)'!T115</f>
        <v>190000</v>
      </c>
      <c r="V50" s="888">
        <f>'FS_Detail(M)'!U115</f>
        <v>190000</v>
      </c>
      <c r="W50" s="888">
        <f>'FS_Detail(M)'!V115</f>
        <v>190000</v>
      </c>
      <c r="X50" s="888">
        <f>'FS_Detail(M)'!W115</f>
        <v>190000</v>
      </c>
      <c r="Y50" s="888">
        <f>'FS_Detail(M)'!X115</f>
        <v>190000</v>
      </c>
      <c r="Z50" s="888">
        <f>'FS_Detail(M)'!Y115</f>
        <v>190000</v>
      </c>
      <c r="AA50" s="888">
        <f>'FS_Detail(M)'!Z115</f>
        <v>190000</v>
      </c>
      <c r="AB50" s="888">
        <f>'FS_Detail(M)'!AA115</f>
        <v>190000</v>
      </c>
      <c r="AC50" s="888">
        <f>'FS_Detail(M)'!AB115</f>
        <v>190000</v>
      </c>
      <c r="AD50" s="888">
        <f>'FS_Detail(M)'!AC115</f>
        <v>190000</v>
      </c>
      <c r="AE50" s="888">
        <f>'FS_Detail(M)'!AD115</f>
        <v>190000</v>
      </c>
      <c r="AF50" s="888">
        <f>'FS_Detail(M)'!AE115</f>
        <v>190000</v>
      </c>
      <c r="AG50" s="888">
        <f>'FS_Detail(M)'!AF115</f>
        <v>190000</v>
      </c>
      <c r="AH50" s="888">
        <f>'FS_Detail(M)'!AG115</f>
        <v>190000</v>
      </c>
      <c r="AI50" s="888">
        <f>'FS_Detail(M)'!AH115</f>
        <v>190000</v>
      </c>
      <c r="AJ50" s="888">
        <f>'FS_Detail(M)'!AI115</f>
        <v>190000</v>
      </c>
      <c r="AK50" s="888">
        <f>'FS_Detail(M)'!AJ115</f>
        <v>190000</v>
      </c>
      <c r="AL50" s="888">
        <f>'FS_Detail(M)'!AK115</f>
        <v>0</v>
      </c>
      <c r="AM50" s="888">
        <f>'FS_Detail(M)'!AL115</f>
        <v>0</v>
      </c>
      <c r="AN50" s="888">
        <f>'FS_Detail(M)'!AM115</f>
        <v>0</v>
      </c>
      <c r="AO50" s="888">
        <f>'FS_Detail(M)'!AN115</f>
        <v>0</v>
      </c>
      <c r="AP50" s="888">
        <f>'FS_Detail(M)'!AO115</f>
        <v>0</v>
      </c>
      <c r="AQ50" s="888">
        <f>'FS_Detail(M)'!AP115</f>
        <v>0</v>
      </c>
      <c r="AR50" s="888">
        <f>'FS_Detail(M)'!AQ115</f>
        <v>0</v>
      </c>
      <c r="AS50" s="888">
        <f>'FS_Detail(M)'!AR115</f>
        <v>0</v>
      </c>
      <c r="AT50" s="888">
        <f>'FS_Detail(M)'!AS115</f>
        <v>0</v>
      </c>
      <c r="AU50" s="888">
        <f>'FS_Detail(M)'!AT115</f>
        <v>0</v>
      </c>
      <c r="AV50" s="888">
        <f>'FS_Detail(M)'!AU115</f>
        <v>0</v>
      </c>
      <c r="AW50" s="888">
        <f>'FS_Detail(M)'!AV115</f>
        <v>0</v>
      </c>
      <c r="AX50" s="888">
        <f>'FS_Detail(M)'!AW115</f>
        <v>0</v>
      </c>
      <c r="AY50" s="888">
        <f>'FS_Detail(M)'!AX115</f>
        <v>0</v>
      </c>
      <c r="AZ50" s="888">
        <f>'FS_Detail(M)'!AY115</f>
        <v>0</v>
      </c>
      <c r="BA50" s="888">
        <f>'FS_Detail(M)'!AZ115</f>
        <v>0</v>
      </c>
      <c r="BB50" s="888">
        <f>'FS_Detail(M)'!BA115</f>
        <v>0</v>
      </c>
      <c r="BC50" s="888">
        <f>'FS_Detail(M)'!BB115</f>
        <v>0</v>
      </c>
      <c r="BD50" s="888">
        <f>'FS_Detail(M)'!BC115</f>
        <v>0</v>
      </c>
      <c r="BE50" s="888">
        <f>'FS_Detail(M)'!BD115</f>
        <v>0</v>
      </c>
      <c r="BF50" s="888">
        <f>'FS_Detail(M)'!BE115</f>
        <v>0</v>
      </c>
      <c r="BG50" s="888">
        <f>'FS_Detail(M)'!BF115</f>
        <v>0</v>
      </c>
      <c r="BH50" s="888">
        <f>'FS_Detail(M)'!BG115</f>
        <v>0</v>
      </c>
      <c r="BI50" s="888">
        <f>'FS_Detail(M)'!BH115</f>
        <v>0</v>
      </c>
      <c r="BJ50" s="888">
        <f>'FS_Detail(M)'!BI115</f>
        <v>0</v>
      </c>
      <c r="BK50" s="888">
        <f>'FS_Detail(M)'!BJ115</f>
        <v>0</v>
      </c>
      <c r="BL50" s="888">
        <f>'FS_Detail(M)'!BK115</f>
        <v>0</v>
      </c>
      <c r="BM50" s="888">
        <f>'FS_Detail(M)'!BL115</f>
        <v>0</v>
      </c>
      <c r="BN50" s="888">
        <f>'FS_Detail(M)'!BM115</f>
        <v>0</v>
      </c>
      <c r="BO50" s="888">
        <f>'FS_Detail(M)'!BN115</f>
        <v>0</v>
      </c>
      <c r="BP50" s="888">
        <f>'FS_Detail(M)'!BO115</f>
        <v>0</v>
      </c>
      <c r="BQ50" s="888">
        <f>'FS_Detail(M)'!BP115</f>
        <v>0</v>
      </c>
      <c r="BR50" s="888">
        <f>'FS_Detail(M)'!BQ115</f>
        <v>0</v>
      </c>
      <c r="BS50" s="888">
        <f>'FS_Detail(M)'!BR115</f>
        <v>0</v>
      </c>
      <c r="BT50" s="888">
        <f>'FS_Detail(M)'!BS115</f>
        <v>0</v>
      </c>
      <c r="BU50" s="888">
        <f>'FS_Detail(M)'!BT115</f>
        <v>0</v>
      </c>
      <c r="BV50" s="888">
        <f>'FS_Detail(M)'!BU115</f>
        <v>0</v>
      </c>
      <c r="BW50" s="888">
        <f>'FS_Detail(M)'!BV115</f>
        <v>0</v>
      </c>
      <c r="BX50" s="888">
        <f>'FS_Detail(M)'!BW115</f>
        <v>0</v>
      </c>
      <c r="BY50" s="888">
        <f>'FS_Detail(M)'!BX115</f>
        <v>0</v>
      </c>
      <c r="BZ50" s="888">
        <f>'FS_Detail(M)'!BY115</f>
        <v>0</v>
      </c>
      <c r="CA50" s="888">
        <f>'FS_Detail(M)'!BZ115</f>
        <v>0</v>
      </c>
      <c r="CB50" s="888">
        <f>'FS_Detail(M)'!CA115</f>
        <v>0</v>
      </c>
      <c r="CC50" s="888">
        <f>'FS_Detail(M)'!CB115</f>
        <v>0</v>
      </c>
      <c r="CD50" s="888">
        <f>'FS_Detail(M)'!CC115</f>
        <v>0</v>
      </c>
      <c r="CE50" s="888">
        <f>'FS_Detail(M)'!CD115</f>
        <v>0</v>
      </c>
      <c r="CF50" s="888">
        <f>'FS_Detail(M)'!CE115</f>
        <v>0</v>
      </c>
      <c r="CG50" s="888">
        <f>'FS_Detail(M)'!CF115</f>
        <v>0</v>
      </c>
      <c r="CH50" s="888">
        <f>'FS_Detail(M)'!CG115</f>
        <v>0</v>
      </c>
      <c r="CI50" s="888">
        <f>'FS_Detail(M)'!CH115</f>
        <v>0</v>
      </c>
      <c r="CJ50" s="888">
        <f>'FS_Detail(M)'!CI115</f>
        <v>0</v>
      </c>
      <c r="CK50" s="888">
        <f>'FS_Detail(M)'!CJ115</f>
        <v>0</v>
      </c>
      <c r="CL50" s="888">
        <f>'FS_Detail(M)'!CK115</f>
        <v>0</v>
      </c>
      <c r="CM50" s="888">
        <f>'FS_Detail(M)'!CL115</f>
        <v>0</v>
      </c>
      <c r="CN50" s="888">
        <f>'FS_Detail(M)'!CM115</f>
        <v>0</v>
      </c>
      <c r="CO50" s="888">
        <f>'FS_Detail(M)'!CN115</f>
        <v>0</v>
      </c>
      <c r="CP50" s="888">
        <f>'FS_Detail(M)'!CO115</f>
        <v>0</v>
      </c>
      <c r="CQ50" s="888">
        <f>'FS_Detail(M)'!CP115</f>
        <v>0</v>
      </c>
      <c r="CR50" s="888">
        <f>'FS_Detail(M)'!CQ115</f>
        <v>0</v>
      </c>
      <c r="CS50" s="888">
        <f>'FS_Detail(M)'!CR115</f>
        <v>0</v>
      </c>
      <c r="CT50" s="888">
        <f>'FS_Detail(M)'!CS115</f>
        <v>0</v>
      </c>
      <c r="CU50" s="888">
        <f>'FS_Detail(M)'!CT115</f>
        <v>0</v>
      </c>
      <c r="CV50" s="888">
        <f>'FS_Detail(M)'!CU115</f>
        <v>0</v>
      </c>
      <c r="CW50" s="888">
        <f>'FS_Detail(M)'!CV115</f>
        <v>0</v>
      </c>
      <c r="CX50" s="888">
        <f>'FS_Detail(M)'!CW115</f>
        <v>0</v>
      </c>
      <c r="CY50" s="888">
        <f>'FS_Detail(M)'!CX115</f>
        <v>0</v>
      </c>
      <c r="CZ50" s="888">
        <f>'FS_Detail(M)'!CY115</f>
        <v>0</v>
      </c>
      <c r="DA50" s="888">
        <f>'FS_Detail(M)'!CZ115</f>
        <v>0</v>
      </c>
      <c r="DB50" s="888">
        <f>'FS_Detail(M)'!DA115</f>
        <v>0</v>
      </c>
      <c r="DC50" s="888">
        <f>'FS_Detail(M)'!DB115</f>
        <v>0</v>
      </c>
      <c r="DD50" s="888">
        <f>'FS_Detail(M)'!DC115</f>
        <v>0</v>
      </c>
      <c r="DE50" s="888">
        <f>'FS_Detail(M)'!DD115</f>
        <v>0</v>
      </c>
      <c r="DF50" s="888">
        <f>'FS_Detail(M)'!DE115</f>
        <v>0</v>
      </c>
      <c r="DG50" s="888">
        <f>'FS_Detail(M)'!DF115</f>
        <v>0</v>
      </c>
      <c r="DH50" s="888">
        <f>'FS_Detail(M)'!DG115</f>
        <v>0</v>
      </c>
      <c r="DI50" s="888">
        <f>'FS_Detail(M)'!DH115</f>
        <v>0</v>
      </c>
      <c r="DJ50" s="888">
        <f>'FS_Detail(M)'!DI115</f>
        <v>0</v>
      </c>
      <c r="DK50" s="888">
        <f>'FS_Detail(M)'!DJ115</f>
        <v>0</v>
      </c>
      <c r="DL50" s="888">
        <f>'FS_Detail(M)'!DK115</f>
        <v>0</v>
      </c>
      <c r="DM50" s="888">
        <f>'FS_Detail(M)'!DL115</f>
        <v>0</v>
      </c>
      <c r="DN50" s="888">
        <f>'FS_Detail(M)'!DM115</f>
        <v>0</v>
      </c>
      <c r="DO50" s="888">
        <f>'FS_Detail(M)'!DN115</f>
        <v>0</v>
      </c>
      <c r="DP50" s="888">
        <f>'FS_Detail(M)'!DO115</f>
        <v>0</v>
      </c>
      <c r="DQ50" s="888">
        <f>'FS_Detail(M)'!DP115</f>
        <v>0</v>
      </c>
      <c r="DR50" s="888">
        <f>'FS_Detail(M)'!DQ115</f>
        <v>0</v>
      </c>
      <c r="DS50" s="888">
        <f>'FS_Detail(M)'!DR115</f>
        <v>0</v>
      </c>
      <c r="DT50" s="888">
        <f>'FS_Detail(M)'!DS115</f>
        <v>0</v>
      </c>
      <c r="DU50" s="888">
        <f>'FS_Detail(M)'!DT115</f>
        <v>0</v>
      </c>
      <c r="DV50" s="888">
        <f>'FS_Detail(M)'!DU115</f>
        <v>0</v>
      </c>
      <c r="DW50" s="888">
        <f>'FS_Detail(M)'!DV115</f>
        <v>0</v>
      </c>
      <c r="DX50" s="888">
        <f>'FS_Detail(M)'!DW115</f>
        <v>0</v>
      </c>
      <c r="DY50" s="888">
        <f>'FS_Detail(M)'!DX115</f>
        <v>0</v>
      </c>
      <c r="DZ50" s="888">
        <f>'FS_Detail(M)'!DY115</f>
        <v>0</v>
      </c>
      <c r="EA50" s="888">
        <f>'FS_Detail(M)'!DZ115</f>
        <v>0</v>
      </c>
      <c r="EB50" s="888">
        <f>'FS_Detail(M)'!EA115</f>
        <v>0</v>
      </c>
      <c r="EC50" s="888">
        <f>'FS_Detail(M)'!EB115</f>
        <v>0</v>
      </c>
      <c r="ED50" s="888">
        <f>'FS_Detail(M)'!EC115</f>
        <v>0</v>
      </c>
      <c r="EE50" s="888">
        <f>'FS_Detail(M)'!ED115</f>
        <v>0</v>
      </c>
      <c r="EF50" s="888">
        <f>'FS_Detail(M)'!EE115</f>
        <v>0</v>
      </c>
      <c r="EG50" s="888">
        <f>'FS_Detail(M)'!EF115</f>
        <v>0</v>
      </c>
      <c r="EH50" s="888">
        <f>'FS_Detail(M)'!EG115</f>
        <v>0</v>
      </c>
      <c r="EI50" s="888">
        <f>'FS_Detail(M)'!EH115</f>
        <v>0</v>
      </c>
      <c r="EJ50" s="888">
        <f>'FS_Detail(M)'!EI115</f>
        <v>0</v>
      </c>
      <c r="EK50" s="888">
        <f>'FS_Detail(M)'!EJ115</f>
        <v>0</v>
      </c>
      <c r="EL50" s="888">
        <f>'FS_Detail(M)'!EK115</f>
        <v>0</v>
      </c>
      <c r="EM50" s="888">
        <f>'FS_Detail(M)'!EL115</f>
        <v>0</v>
      </c>
      <c r="EN50" s="888">
        <f>'FS_Detail(M)'!EM115</f>
        <v>0</v>
      </c>
      <c r="EO50" s="888">
        <f>'FS_Detail(M)'!EN115</f>
        <v>0</v>
      </c>
      <c r="EP50" s="888">
        <f>'FS_Detail(M)'!EO115</f>
        <v>0</v>
      </c>
      <c r="EQ50" s="888">
        <f>'FS_Detail(M)'!EP115</f>
        <v>0</v>
      </c>
      <c r="ER50" s="888">
        <f>'FS_Detail(M)'!EQ115</f>
        <v>0</v>
      </c>
    </row>
    <row r="51" spans="2:148" ht="11.25" customHeight="1">
      <c r="B51" s="218"/>
      <c r="C51" s="163"/>
      <c r="D51" s="169" t="str">
        <f>'CF(M)'!D45</f>
        <v>중순위대출(2nd) 이자비용</v>
      </c>
      <c r="I51" s="146"/>
      <c r="J51" s="13"/>
      <c r="K51" s="171">
        <f t="shared" si="35"/>
        <v>0</v>
      </c>
      <c r="L51" s="98"/>
      <c r="M51" s="171">
        <f>'FS_Detail(M)'!L120</f>
        <v>0</v>
      </c>
      <c r="N51" s="171">
        <f>'FS_Detail(M)'!M120</f>
        <v>0</v>
      </c>
      <c r="O51" s="171">
        <f>'FS_Detail(M)'!N120</f>
        <v>0</v>
      </c>
      <c r="P51" s="171">
        <f>'FS_Detail(M)'!O120</f>
        <v>0</v>
      </c>
      <c r="Q51" s="171">
        <f>'FS_Detail(M)'!P120</f>
        <v>0</v>
      </c>
      <c r="R51" s="171">
        <f>'FS_Detail(M)'!Q120</f>
        <v>0</v>
      </c>
      <c r="S51" s="171">
        <f>'FS_Detail(M)'!R120</f>
        <v>0</v>
      </c>
      <c r="T51" s="171">
        <f>'FS_Detail(M)'!S120</f>
        <v>0</v>
      </c>
      <c r="U51" s="171">
        <f>'FS_Detail(M)'!T120</f>
        <v>0</v>
      </c>
      <c r="V51" s="171">
        <f>'FS_Detail(M)'!U120</f>
        <v>0</v>
      </c>
      <c r="W51" s="171">
        <f>'FS_Detail(M)'!V120</f>
        <v>0</v>
      </c>
      <c r="X51" s="171">
        <f>'FS_Detail(M)'!W120</f>
        <v>0</v>
      </c>
      <c r="Y51" s="171">
        <f>'FS_Detail(M)'!X120</f>
        <v>0</v>
      </c>
      <c r="Z51" s="171">
        <f>'FS_Detail(M)'!Y120</f>
        <v>0</v>
      </c>
      <c r="AA51" s="171">
        <f>'FS_Detail(M)'!Z120</f>
        <v>0</v>
      </c>
      <c r="AB51" s="171">
        <f>'FS_Detail(M)'!AA120</f>
        <v>0</v>
      </c>
      <c r="AC51" s="171">
        <f>'FS_Detail(M)'!AB120</f>
        <v>0</v>
      </c>
      <c r="AD51" s="171">
        <f>'FS_Detail(M)'!AC120</f>
        <v>0</v>
      </c>
      <c r="AE51" s="171">
        <f>'FS_Detail(M)'!AD120</f>
        <v>0</v>
      </c>
      <c r="AF51" s="171">
        <f>'FS_Detail(M)'!AE120</f>
        <v>0</v>
      </c>
      <c r="AG51" s="171">
        <f>'FS_Detail(M)'!AF120</f>
        <v>0</v>
      </c>
      <c r="AH51" s="171">
        <f>'FS_Detail(M)'!AG120</f>
        <v>0</v>
      </c>
      <c r="AI51" s="171">
        <f>'FS_Detail(M)'!AH120</f>
        <v>0</v>
      </c>
      <c r="AJ51" s="171">
        <f>'FS_Detail(M)'!AI120</f>
        <v>0</v>
      </c>
      <c r="AK51" s="171">
        <f>'FS_Detail(M)'!AJ120</f>
        <v>0</v>
      </c>
      <c r="AL51" s="171">
        <f>'FS_Detail(M)'!AK120</f>
        <v>0</v>
      </c>
      <c r="AM51" s="171">
        <f>'FS_Detail(M)'!AL120</f>
        <v>0</v>
      </c>
      <c r="AN51" s="171">
        <f>'FS_Detail(M)'!AM120</f>
        <v>0</v>
      </c>
      <c r="AO51" s="171">
        <f>'FS_Detail(M)'!AN120</f>
        <v>0</v>
      </c>
      <c r="AP51" s="171">
        <f>'FS_Detail(M)'!AO120</f>
        <v>0</v>
      </c>
      <c r="AQ51" s="171">
        <f>'FS_Detail(M)'!AP120</f>
        <v>0</v>
      </c>
      <c r="AR51" s="171">
        <f>'FS_Detail(M)'!AQ120</f>
        <v>0</v>
      </c>
      <c r="AS51" s="171">
        <f>'FS_Detail(M)'!AR120</f>
        <v>0</v>
      </c>
      <c r="AT51" s="171">
        <f>'FS_Detail(M)'!AS120</f>
        <v>0</v>
      </c>
      <c r="AU51" s="171">
        <f>'FS_Detail(M)'!AT120</f>
        <v>0</v>
      </c>
      <c r="AV51" s="171">
        <f>'FS_Detail(M)'!AU120</f>
        <v>0</v>
      </c>
      <c r="AW51" s="171">
        <f>'FS_Detail(M)'!AV120</f>
        <v>0</v>
      </c>
      <c r="AX51" s="171">
        <f>'FS_Detail(M)'!AW120</f>
        <v>0</v>
      </c>
      <c r="AY51" s="171">
        <f>'FS_Detail(M)'!AX120</f>
        <v>0</v>
      </c>
      <c r="AZ51" s="171">
        <f>'FS_Detail(M)'!AY120</f>
        <v>0</v>
      </c>
      <c r="BA51" s="171">
        <f>'FS_Detail(M)'!AZ120</f>
        <v>0</v>
      </c>
      <c r="BB51" s="171">
        <f>'FS_Detail(M)'!BA120</f>
        <v>0</v>
      </c>
      <c r="BC51" s="171">
        <f>'FS_Detail(M)'!BB120</f>
        <v>0</v>
      </c>
      <c r="BD51" s="171">
        <f>'FS_Detail(M)'!BC120</f>
        <v>0</v>
      </c>
      <c r="BE51" s="171">
        <f>'FS_Detail(M)'!BD120</f>
        <v>0</v>
      </c>
      <c r="BF51" s="171">
        <f>'FS_Detail(M)'!BE120</f>
        <v>0</v>
      </c>
      <c r="BG51" s="171">
        <f>'FS_Detail(M)'!BF120</f>
        <v>0</v>
      </c>
      <c r="BH51" s="171">
        <f>'FS_Detail(M)'!BG120</f>
        <v>0</v>
      </c>
      <c r="BI51" s="171">
        <f>'FS_Detail(M)'!BH120</f>
        <v>0</v>
      </c>
      <c r="BJ51" s="171">
        <f>'FS_Detail(M)'!BI120</f>
        <v>0</v>
      </c>
      <c r="BK51" s="171">
        <f>'FS_Detail(M)'!BJ120</f>
        <v>0</v>
      </c>
      <c r="BL51" s="171">
        <f>'FS_Detail(M)'!BK120</f>
        <v>0</v>
      </c>
      <c r="BM51" s="171">
        <f>'FS_Detail(M)'!BL120</f>
        <v>0</v>
      </c>
      <c r="BN51" s="171">
        <f>'FS_Detail(M)'!BM120</f>
        <v>0</v>
      </c>
      <c r="BO51" s="171">
        <f>'FS_Detail(M)'!BN120</f>
        <v>0</v>
      </c>
      <c r="BP51" s="171">
        <f>'FS_Detail(M)'!BO120</f>
        <v>0</v>
      </c>
      <c r="BQ51" s="171">
        <f>'FS_Detail(M)'!BP120</f>
        <v>0</v>
      </c>
      <c r="BR51" s="171">
        <f>'FS_Detail(M)'!BQ120</f>
        <v>0</v>
      </c>
      <c r="BS51" s="171">
        <f>'FS_Detail(M)'!BR120</f>
        <v>0</v>
      </c>
      <c r="BT51" s="171">
        <f>'FS_Detail(M)'!BS120</f>
        <v>0</v>
      </c>
      <c r="BU51" s="171">
        <f>'FS_Detail(M)'!BT120</f>
        <v>0</v>
      </c>
      <c r="BV51" s="171">
        <f>'FS_Detail(M)'!BU120</f>
        <v>0</v>
      </c>
      <c r="BW51" s="171">
        <f>'FS_Detail(M)'!BV120</f>
        <v>0</v>
      </c>
      <c r="BX51" s="171">
        <f>'FS_Detail(M)'!BW120</f>
        <v>0</v>
      </c>
      <c r="BY51" s="171">
        <f>'FS_Detail(M)'!BX120</f>
        <v>0</v>
      </c>
      <c r="BZ51" s="171">
        <f>'FS_Detail(M)'!BY120</f>
        <v>0</v>
      </c>
      <c r="CA51" s="171">
        <f>'FS_Detail(M)'!BZ120</f>
        <v>0</v>
      </c>
      <c r="CB51" s="171">
        <f>'FS_Detail(M)'!CA120</f>
        <v>0</v>
      </c>
      <c r="CC51" s="171">
        <f>'FS_Detail(M)'!CB120</f>
        <v>0</v>
      </c>
      <c r="CD51" s="171">
        <f>'FS_Detail(M)'!CC120</f>
        <v>0</v>
      </c>
      <c r="CE51" s="171">
        <f>'FS_Detail(M)'!CD120</f>
        <v>0</v>
      </c>
      <c r="CF51" s="171">
        <f>'FS_Detail(M)'!CE120</f>
        <v>0</v>
      </c>
      <c r="CG51" s="171">
        <f>'FS_Detail(M)'!CF120</f>
        <v>0</v>
      </c>
      <c r="CH51" s="171">
        <f>'FS_Detail(M)'!CG120</f>
        <v>0</v>
      </c>
      <c r="CI51" s="171">
        <f>'FS_Detail(M)'!CH120</f>
        <v>0</v>
      </c>
      <c r="CJ51" s="171">
        <f>'FS_Detail(M)'!CI120</f>
        <v>0</v>
      </c>
      <c r="CK51" s="171">
        <f>'FS_Detail(M)'!CJ120</f>
        <v>0</v>
      </c>
      <c r="CL51" s="171">
        <f>'FS_Detail(M)'!CK120</f>
        <v>0</v>
      </c>
      <c r="CM51" s="171">
        <f>'FS_Detail(M)'!CL120</f>
        <v>0</v>
      </c>
      <c r="CN51" s="171">
        <f>'FS_Detail(M)'!CM120</f>
        <v>0</v>
      </c>
      <c r="CO51" s="171">
        <f>'FS_Detail(M)'!CN120</f>
        <v>0</v>
      </c>
      <c r="CP51" s="171">
        <f>'FS_Detail(M)'!CO120</f>
        <v>0</v>
      </c>
      <c r="CQ51" s="171">
        <f>'FS_Detail(M)'!CP120</f>
        <v>0</v>
      </c>
      <c r="CR51" s="171">
        <f>'FS_Detail(M)'!CQ120</f>
        <v>0</v>
      </c>
      <c r="CS51" s="171">
        <f>'FS_Detail(M)'!CR120</f>
        <v>0</v>
      </c>
      <c r="CT51" s="171">
        <f>'FS_Detail(M)'!CS120</f>
        <v>0</v>
      </c>
      <c r="CU51" s="171">
        <f>'FS_Detail(M)'!CT120</f>
        <v>0</v>
      </c>
      <c r="CV51" s="171">
        <f>'FS_Detail(M)'!CU120</f>
        <v>0</v>
      </c>
      <c r="CW51" s="171">
        <f>'FS_Detail(M)'!CV120</f>
        <v>0</v>
      </c>
      <c r="CX51" s="171">
        <f>'FS_Detail(M)'!CW120</f>
        <v>0</v>
      </c>
      <c r="CY51" s="171">
        <f>'FS_Detail(M)'!CX120</f>
        <v>0</v>
      </c>
      <c r="CZ51" s="171">
        <f>'FS_Detail(M)'!CY120</f>
        <v>0</v>
      </c>
      <c r="DA51" s="171">
        <f>'FS_Detail(M)'!CZ120</f>
        <v>0</v>
      </c>
      <c r="DB51" s="171">
        <f>'FS_Detail(M)'!DA120</f>
        <v>0</v>
      </c>
      <c r="DC51" s="171">
        <f>'FS_Detail(M)'!DB120</f>
        <v>0</v>
      </c>
      <c r="DD51" s="171">
        <f>'FS_Detail(M)'!DC120</f>
        <v>0</v>
      </c>
      <c r="DE51" s="171">
        <f>'FS_Detail(M)'!DD120</f>
        <v>0</v>
      </c>
      <c r="DF51" s="171">
        <f>'FS_Detail(M)'!DE120</f>
        <v>0</v>
      </c>
      <c r="DG51" s="171">
        <f>'FS_Detail(M)'!DF120</f>
        <v>0</v>
      </c>
      <c r="DH51" s="171">
        <f>'FS_Detail(M)'!DG120</f>
        <v>0</v>
      </c>
      <c r="DI51" s="171">
        <f>'FS_Detail(M)'!DH120</f>
        <v>0</v>
      </c>
      <c r="DJ51" s="171">
        <f>'FS_Detail(M)'!DI120</f>
        <v>0</v>
      </c>
      <c r="DK51" s="171">
        <f>'FS_Detail(M)'!DJ120</f>
        <v>0</v>
      </c>
      <c r="DL51" s="171">
        <f>'FS_Detail(M)'!DK120</f>
        <v>0</v>
      </c>
      <c r="DM51" s="171">
        <f>'FS_Detail(M)'!DL120</f>
        <v>0</v>
      </c>
      <c r="DN51" s="171">
        <f>'FS_Detail(M)'!DM120</f>
        <v>0</v>
      </c>
      <c r="DO51" s="171">
        <f>'FS_Detail(M)'!DN120</f>
        <v>0</v>
      </c>
      <c r="DP51" s="171">
        <f>'FS_Detail(M)'!DO120</f>
        <v>0</v>
      </c>
      <c r="DQ51" s="171">
        <f>'FS_Detail(M)'!DP120</f>
        <v>0</v>
      </c>
      <c r="DR51" s="171">
        <f>'FS_Detail(M)'!DQ120</f>
        <v>0</v>
      </c>
      <c r="DS51" s="171">
        <f>'FS_Detail(M)'!DR120</f>
        <v>0</v>
      </c>
      <c r="DT51" s="171">
        <f>'FS_Detail(M)'!DS120</f>
        <v>0</v>
      </c>
      <c r="DU51" s="171">
        <f>'FS_Detail(M)'!DT120</f>
        <v>0</v>
      </c>
      <c r="DV51" s="171">
        <f>'FS_Detail(M)'!DU120</f>
        <v>0</v>
      </c>
      <c r="DW51" s="171">
        <f>'FS_Detail(M)'!DV120</f>
        <v>0</v>
      </c>
      <c r="DX51" s="171">
        <f>'FS_Detail(M)'!DW120</f>
        <v>0</v>
      </c>
      <c r="DY51" s="171">
        <f>'FS_Detail(M)'!DX120</f>
        <v>0</v>
      </c>
      <c r="DZ51" s="171">
        <f>'FS_Detail(M)'!DY120</f>
        <v>0</v>
      </c>
      <c r="EA51" s="171">
        <f>'FS_Detail(M)'!DZ120</f>
        <v>0</v>
      </c>
      <c r="EB51" s="171">
        <f>'FS_Detail(M)'!EA120</f>
        <v>0</v>
      </c>
      <c r="EC51" s="171">
        <f>'FS_Detail(M)'!EB120</f>
        <v>0</v>
      </c>
      <c r="ED51" s="171">
        <f>'FS_Detail(M)'!EC120</f>
        <v>0</v>
      </c>
      <c r="EE51" s="171">
        <f>'FS_Detail(M)'!ED120</f>
        <v>0</v>
      </c>
      <c r="EF51" s="171">
        <f>'FS_Detail(M)'!EE120</f>
        <v>0</v>
      </c>
      <c r="EG51" s="171">
        <f>'FS_Detail(M)'!EF120</f>
        <v>0</v>
      </c>
      <c r="EH51" s="171">
        <f>'FS_Detail(M)'!EG120</f>
        <v>0</v>
      </c>
      <c r="EI51" s="171">
        <f>'FS_Detail(M)'!EH120</f>
        <v>0</v>
      </c>
      <c r="EJ51" s="171">
        <f>'FS_Detail(M)'!EI120</f>
        <v>0</v>
      </c>
      <c r="EK51" s="171">
        <f>'FS_Detail(M)'!EJ120</f>
        <v>0</v>
      </c>
      <c r="EL51" s="171">
        <f>'FS_Detail(M)'!EK120</f>
        <v>0</v>
      </c>
      <c r="EM51" s="171">
        <f>'FS_Detail(M)'!EL120</f>
        <v>0</v>
      </c>
      <c r="EN51" s="171">
        <f>'FS_Detail(M)'!EM120</f>
        <v>0</v>
      </c>
      <c r="EO51" s="171">
        <f>'FS_Detail(M)'!EN120</f>
        <v>0</v>
      </c>
      <c r="EP51" s="171">
        <f>'FS_Detail(M)'!EO120</f>
        <v>0</v>
      </c>
      <c r="EQ51" s="171">
        <f>'FS_Detail(M)'!EP120</f>
        <v>0</v>
      </c>
      <c r="ER51" s="171">
        <f>'FS_Detail(M)'!EQ120</f>
        <v>0</v>
      </c>
    </row>
    <row r="52" spans="2:148" ht="11.25" customHeight="1">
      <c r="B52" s="218"/>
      <c r="C52" s="163"/>
      <c r="D52" s="1017" t="str">
        <f>'CF(M)'!D46</f>
        <v>중순위대출(3rd) 이자비용</v>
      </c>
      <c r="E52" s="1018"/>
      <c r="F52" s="1018"/>
      <c r="G52" s="1018"/>
      <c r="H52" s="1018"/>
      <c r="I52" s="1020"/>
      <c r="J52" s="1648"/>
      <c r="K52" s="997">
        <f t="shared" si="35"/>
        <v>0</v>
      </c>
      <c r="L52" s="98"/>
      <c r="M52" s="997">
        <f>'FS_Detail(M)'!L125</f>
        <v>0</v>
      </c>
      <c r="N52" s="997">
        <f>'FS_Detail(M)'!M125</f>
        <v>0</v>
      </c>
      <c r="O52" s="997">
        <f>'FS_Detail(M)'!N125</f>
        <v>0</v>
      </c>
      <c r="P52" s="997">
        <f>'FS_Detail(M)'!O125</f>
        <v>0</v>
      </c>
      <c r="Q52" s="997">
        <f>'FS_Detail(M)'!P125</f>
        <v>0</v>
      </c>
      <c r="R52" s="997">
        <f>'FS_Detail(M)'!Q125</f>
        <v>0</v>
      </c>
      <c r="S52" s="997">
        <f>'FS_Detail(M)'!R125</f>
        <v>0</v>
      </c>
      <c r="T52" s="997">
        <f>'FS_Detail(M)'!S125</f>
        <v>0</v>
      </c>
      <c r="U52" s="997">
        <f>'FS_Detail(M)'!T125</f>
        <v>0</v>
      </c>
      <c r="V52" s="997">
        <f>'FS_Detail(M)'!U125</f>
        <v>0</v>
      </c>
      <c r="W52" s="997">
        <f>'FS_Detail(M)'!V125</f>
        <v>0</v>
      </c>
      <c r="X52" s="997">
        <f>'FS_Detail(M)'!W125</f>
        <v>0</v>
      </c>
      <c r="Y52" s="997">
        <f>'FS_Detail(M)'!X125</f>
        <v>0</v>
      </c>
      <c r="Z52" s="997">
        <f>'FS_Detail(M)'!Y125</f>
        <v>0</v>
      </c>
      <c r="AA52" s="997">
        <f>'FS_Detail(M)'!Z125</f>
        <v>0</v>
      </c>
      <c r="AB52" s="997">
        <f>'FS_Detail(M)'!AA125</f>
        <v>0</v>
      </c>
      <c r="AC52" s="997">
        <f>'FS_Detail(M)'!AB125</f>
        <v>0</v>
      </c>
      <c r="AD52" s="997">
        <f>'FS_Detail(M)'!AC125</f>
        <v>0</v>
      </c>
      <c r="AE52" s="997">
        <f>'FS_Detail(M)'!AD125</f>
        <v>0</v>
      </c>
      <c r="AF52" s="997">
        <f>'FS_Detail(M)'!AE125</f>
        <v>0</v>
      </c>
      <c r="AG52" s="997">
        <f>'FS_Detail(M)'!AF125</f>
        <v>0</v>
      </c>
      <c r="AH52" s="997">
        <f>'FS_Detail(M)'!AG125</f>
        <v>0</v>
      </c>
      <c r="AI52" s="997">
        <f>'FS_Detail(M)'!AH125</f>
        <v>0</v>
      </c>
      <c r="AJ52" s="997">
        <f>'FS_Detail(M)'!AI125</f>
        <v>0</v>
      </c>
      <c r="AK52" s="997">
        <f>'FS_Detail(M)'!AJ125</f>
        <v>0</v>
      </c>
      <c r="AL52" s="997">
        <f>'FS_Detail(M)'!AK125</f>
        <v>0</v>
      </c>
      <c r="AM52" s="997">
        <f>'FS_Detail(M)'!AL125</f>
        <v>0</v>
      </c>
      <c r="AN52" s="997">
        <f>'FS_Detail(M)'!AM125</f>
        <v>0</v>
      </c>
      <c r="AO52" s="997">
        <f>'FS_Detail(M)'!AN125</f>
        <v>0</v>
      </c>
      <c r="AP52" s="997">
        <f>'FS_Detail(M)'!AO125</f>
        <v>0</v>
      </c>
      <c r="AQ52" s="997">
        <f>'FS_Detail(M)'!AP125</f>
        <v>0</v>
      </c>
      <c r="AR52" s="997">
        <f>'FS_Detail(M)'!AQ125</f>
        <v>0</v>
      </c>
      <c r="AS52" s="997">
        <f>'FS_Detail(M)'!AR125</f>
        <v>0</v>
      </c>
      <c r="AT52" s="997">
        <f>'FS_Detail(M)'!AS125</f>
        <v>0</v>
      </c>
      <c r="AU52" s="997">
        <f>'FS_Detail(M)'!AT125</f>
        <v>0</v>
      </c>
      <c r="AV52" s="997">
        <f>'FS_Detail(M)'!AU125</f>
        <v>0</v>
      </c>
      <c r="AW52" s="997">
        <f>'FS_Detail(M)'!AV125</f>
        <v>0</v>
      </c>
      <c r="AX52" s="997">
        <f>'FS_Detail(M)'!AW125</f>
        <v>0</v>
      </c>
      <c r="AY52" s="997">
        <f>'FS_Detail(M)'!AX125</f>
        <v>0</v>
      </c>
      <c r="AZ52" s="997">
        <f>'FS_Detail(M)'!AY125</f>
        <v>0</v>
      </c>
      <c r="BA52" s="997">
        <f>'FS_Detail(M)'!AZ125</f>
        <v>0</v>
      </c>
      <c r="BB52" s="997">
        <f>'FS_Detail(M)'!BA125</f>
        <v>0</v>
      </c>
      <c r="BC52" s="997">
        <f>'FS_Detail(M)'!BB125</f>
        <v>0</v>
      </c>
      <c r="BD52" s="997">
        <f>'FS_Detail(M)'!BC125</f>
        <v>0</v>
      </c>
      <c r="BE52" s="997">
        <f>'FS_Detail(M)'!BD125</f>
        <v>0</v>
      </c>
      <c r="BF52" s="997">
        <f>'FS_Detail(M)'!BE125</f>
        <v>0</v>
      </c>
      <c r="BG52" s="997">
        <f>'FS_Detail(M)'!BF125</f>
        <v>0</v>
      </c>
      <c r="BH52" s="997">
        <f>'FS_Detail(M)'!BG125</f>
        <v>0</v>
      </c>
      <c r="BI52" s="997">
        <f>'FS_Detail(M)'!BH125</f>
        <v>0</v>
      </c>
      <c r="BJ52" s="997">
        <f>'FS_Detail(M)'!BI125</f>
        <v>0</v>
      </c>
      <c r="BK52" s="997">
        <f>'FS_Detail(M)'!BJ125</f>
        <v>0</v>
      </c>
      <c r="BL52" s="997">
        <f>'FS_Detail(M)'!BK125</f>
        <v>0</v>
      </c>
      <c r="BM52" s="997">
        <f>'FS_Detail(M)'!BL125</f>
        <v>0</v>
      </c>
      <c r="BN52" s="997">
        <f>'FS_Detail(M)'!BM125</f>
        <v>0</v>
      </c>
      <c r="BO52" s="997">
        <f>'FS_Detail(M)'!BN125</f>
        <v>0</v>
      </c>
      <c r="BP52" s="997">
        <f>'FS_Detail(M)'!BO125</f>
        <v>0</v>
      </c>
      <c r="BQ52" s="997">
        <f>'FS_Detail(M)'!BP125</f>
        <v>0</v>
      </c>
      <c r="BR52" s="997">
        <f>'FS_Detail(M)'!BQ125</f>
        <v>0</v>
      </c>
      <c r="BS52" s="997">
        <f>'FS_Detail(M)'!BR125</f>
        <v>0</v>
      </c>
      <c r="BT52" s="997">
        <f>'FS_Detail(M)'!BS125</f>
        <v>0</v>
      </c>
      <c r="BU52" s="997">
        <f>'FS_Detail(M)'!BT125</f>
        <v>0</v>
      </c>
      <c r="BV52" s="997">
        <f>'FS_Detail(M)'!BU125</f>
        <v>0</v>
      </c>
      <c r="BW52" s="997">
        <f>'FS_Detail(M)'!BV125</f>
        <v>0</v>
      </c>
      <c r="BX52" s="997">
        <f>'FS_Detail(M)'!BW125</f>
        <v>0</v>
      </c>
      <c r="BY52" s="997">
        <f>'FS_Detail(M)'!BX125</f>
        <v>0</v>
      </c>
      <c r="BZ52" s="997">
        <f>'FS_Detail(M)'!BY125</f>
        <v>0</v>
      </c>
      <c r="CA52" s="997">
        <f>'FS_Detail(M)'!BZ125</f>
        <v>0</v>
      </c>
      <c r="CB52" s="997">
        <f>'FS_Detail(M)'!CA125</f>
        <v>0</v>
      </c>
      <c r="CC52" s="997">
        <f>'FS_Detail(M)'!CB125</f>
        <v>0</v>
      </c>
      <c r="CD52" s="997">
        <f>'FS_Detail(M)'!CC125</f>
        <v>0</v>
      </c>
      <c r="CE52" s="997">
        <f>'FS_Detail(M)'!CD125</f>
        <v>0</v>
      </c>
      <c r="CF52" s="997">
        <f>'FS_Detail(M)'!CE125</f>
        <v>0</v>
      </c>
      <c r="CG52" s="997">
        <f>'FS_Detail(M)'!CF125</f>
        <v>0</v>
      </c>
      <c r="CH52" s="997">
        <f>'FS_Detail(M)'!CG125</f>
        <v>0</v>
      </c>
      <c r="CI52" s="997">
        <f>'FS_Detail(M)'!CH125</f>
        <v>0</v>
      </c>
      <c r="CJ52" s="997">
        <f>'FS_Detail(M)'!CI125</f>
        <v>0</v>
      </c>
      <c r="CK52" s="997">
        <f>'FS_Detail(M)'!CJ125</f>
        <v>0</v>
      </c>
      <c r="CL52" s="997">
        <f>'FS_Detail(M)'!CK125</f>
        <v>0</v>
      </c>
      <c r="CM52" s="997">
        <f>'FS_Detail(M)'!CL125</f>
        <v>0</v>
      </c>
      <c r="CN52" s="997">
        <f>'FS_Detail(M)'!CM125</f>
        <v>0</v>
      </c>
      <c r="CO52" s="997">
        <f>'FS_Detail(M)'!CN125</f>
        <v>0</v>
      </c>
      <c r="CP52" s="997">
        <f>'FS_Detail(M)'!CO125</f>
        <v>0</v>
      </c>
      <c r="CQ52" s="997">
        <f>'FS_Detail(M)'!CP125</f>
        <v>0</v>
      </c>
      <c r="CR52" s="997">
        <f>'FS_Detail(M)'!CQ125</f>
        <v>0</v>
      </c>
      <c r="CS52" s="997">
        <f>'FS_Detail(M)'!CR125</f>
        <v>0</v>
      </c>
      <c r="CT52" s="997">
        <f>'FS_Detail(M)'!CS125</f>
        <v>0</v>
      </c>
      <c r="CU52" s="997">
        <f>'FS_Detail(M)'!CT125</f>
        <v>0</v>
      </c>
      <c r="CV52" s="997">
        <f>'FS_Detail(M)'!CU125</f>
        <v>0</v>
      </c>
      <c r="CW52" s="997">
        <f>'FS_Detail(M)'!CV125</f>
        <v>0</v>
      </c>
      <c r="CX52" s="997">
        <f>'FS_Detail(M)'!CW125</f>
        <v>0</v>
      </c>
      <c r="CY52" s="997">
        <f>'FS_Detail(M)'!CX125</f>
        <v>0</v>
      </c>
      <c r="CZ52" s="997">
        <f>'FS_Detail(M)'!CY125</f>
        <v>0</v>
      </c>
      <c r="DA52" s="997">
        <f>'FS_Detail(M)'!CZ125</f>
        <v>0</v>
      </c>
      <c r="DB52" s="997">
        <f>'FS_Detail(M)'!DA125</f>
        <v>0</v>
      </c>
      <c r="DC52" s="997">
        <f>'FS_Detail(M)'!DB125</f>
        <v>0</v>
      </c>
      <c r="DD52" s="997">
        <f>'FS_Detail(M)'!DC125</f>
        <v>0</v>
      </c>
      <c r="DE52" s="997">
        <f>'FS_Detail(M)'!DD125</f>
        <v>0</v>
      </c>
      <c r="DF52" s="997">
        <f>'FS_Detail(M)'!DE125</f>
        <v>0</v>
      </c>
      <c r="DG52" s="997">
        <f>'FS_Detail(M)'!DF125</f>
        <v>0</v>
      </c>
      <c r="DH52" s="997">
        <f>'FS_Detail(M)'!DG125</f>
        <v>0</v>
      </c>
      <c r="DI52" s="997">
        <f>'FS_Detail(M)'!DH125</f>
        <v>0</v>
      </c>
      <c r="DJ52" s="997">
        <f>'FS_Detail(M)'!DI125</f>
        <v>0</v>
      </c>
      <c r="DK52" s="997">
        <f>'FS_Detail(M)'!DJ125</f>
        <v>0</v>
      </c>
      <c r="DL52" s="997">
        <f>'FS_Detail(M)'!DK125</f>
        <v>0</v>
      </c>
      <c r="DM52" s="997">
        <f>'FS_Detail(M)'!DL125</f>
        <v>0</v>
      </c>
      <c r="DN52" s="997">
        <f>'FS_Detail(M)'!DM125</f>
        <v>0</v>
      </c>
      <c r="DO52" s="997">
        <f>'FS_Detail(M)'!DN125</f>
        <v>0</v>
      </c>
      <c r="DP52" s="997">
        <f>'FS_Detail(M)'!DO125</f>
        <v>0</v>
      </c>
      <c r="DQ52" s="997">
        <f>'FS_Detail(M)'!DP125</f>
        <v>0</v>
      </c>
      <c r="DR52" s="997">
        <f>'FS_Detail(M)'!DQ125</f>
        <v>0</v>
      </c>
      <c r="DS52" s="997">
        <f>'FS_Detail(M)'!DR125</f>
        <v>0</v>
      </c>
      <c r="DT52" s="997">
        <f>'FS_Detail(M)'!DS125</f>
        <v>0</v>
      </c>
      <c r="DU52" s="997">
        <f>'FS_Detail(M)'!DT125</f>
        <v>0</v>
      </c>
      <c r="DV52" s="997">
        <f>'FS_Detail(M)'!DU125</f>
        <v>0</v>
      </c>
      <c r="DW52" s="997">
        <f>'FS_Detail(M)'!DV125</f>
        <v>0</v>
      </c>
      <c r="DX52" s="997">
        <f>'FS_Detail(M)'!DW125</f>
        <v>0</v>
      </c>
      <c r="DY52" s="997">
        <f>'FS_Detail(M)'!DX125</f>
        <v>0</v>
      </c>
      <c r="DZ52" s="997">
        <f>'FS_Detail(M)'!DY125</f>
        <v>0</v>
      </c>
      <c r="EA52" s="997">
        <f>'FS_Detail(M)'!DZ125</f>
        <v>0</v>
      </c>
      <c r="EB52" s="997">
        <f>'FS_Detail(M)'!EA125</f>
        <v>0</v>
      </c>
      <c r="EC52" s="997">
        <f>'FS_Detail(M)'!EB125</f>
        <v>0</v>
      </c>
      <c r="ED52" s="997">
        <f>'FS_Detail(M)'!EC125</f>
        <v>0</v>
      </c>
      <c r="EE52" s="997">
        <f>'FS_Detail(M)'!ED125</f>
        <v>0</v>
      </c>
      <c r="EF52" s="997">
        <f>'FS_Detail(M)'!EE125</f>
        <v>0</v>
      </c>
      <c r="EG52" s="997">
        <f>'FS_Detail(M)'!EF125</f>
        <v>0</v>
      </c>
      <c r="EH52" s="997">
        <f>'FS_Detail(M)'!EG125</f>
        <v>0</v>
      </c>
      <c r="EI52" s="997">
        <f>'FS_Detail(M)'!EH125</f>
        <v>0</v>
      </c>
      <c r="EJ52" s="997">
        <f>'FS_Detail(M)'!EI125</f>
        <v>0</v>
      </c>
      <c r="EK52" s="997">
        <f>'FS_Detail(M)'!EJ125</f>
        <v>0</v>
      </c>
      <c r="EL52" s="997">
        <f>'FS_Detail(M)'!EK125</f>
        <v>0</v>
      </c>
      <c r="EM52" s="997">
        <f>'FS_Detail(M)'!EL125</f>
        <v>0</v>
      </c>
      <c r="EN52" s="997">
        <f>'FS_Detail(M)'!EM125</f>
        <v>0</v>
      </c>
      <c r="EO52" s="997">
        <f>'FS_Detail(M)'!EN125</f>
        <v>0</v>
      </c>
      <c r="EP52" s="997">
        <f>'FS_Detail(M)'!EO125</f>
        <v>0</v>
      </c>
      <c r="EQ52" s="997">
        <f>'FS_Detail(M)'!EP125</f>
        <v>0</v>
      </c>
      <c r="ER52" s="997">
        <f>'FS_Detail(M)'!EQ125</f>
        <v>0</v>
      </c>
    </row>
    <row r="53" spans="2:148" ht="11.25" customHeight="1">
      <c r="B53" s="218"/>
      <c r="C53" s="163"/>
      <c r="D53" s="169" t="str">
        <f>'CF(M)'!D47</f>
        <v>V.A.T대출 이자비용</v>
      </c>
      <c r="I53" s="146"/>
      <c r="J53" s="13"/>
      <c r="K53" s="171">
        <f t="shared" si="35"/>
        <v>144637.53334348497</v>
      </c>
      <c r="L53" s="98"/>
      <c r="M53" s="171">
        <f>'FS_Detail(M)'!L130</f>
        <v>0</v>
      </c>
      <c r="N53" s="171">
        <f>'FS_Detail(M)'!M130</f>
        <v>48212.511114494991</v>
      </c>
      <c r="O53" s="171">
        <f>'FS_Detail(M)'!N130</f>
        <v>48212.511114494991</v>
      </c>
      <c r="P53" s="171">
        <f>'FS_Detail(M)'!O130</f>
        <v>48212.511114494991</v>
      </c>
      <c r="Q53" s="171">
        <f>'FS_Detail(M)'!P130</f>
        <v>0</v>
      </c>
      <c r="R53" s="171">
        <f>'FS_Detail(M)'!Q130</f>
        <v>0</v>
      </c>
      <c r="S53" s="171">
        <f>'FS_Detail(M)'!R130</f>
        <v>0</v>
      </c>
      <c r="T53" s="171">
        <f>'FS_Detail(M)'!S130</f>
        <v>0</v>
      </c>
      <c r="U53" s="171">
        <f>'FS_Detail(M)'!T130</f>
        <v>0</v>
      </c>
      <c r="V53" s="171">
        <f>'FS_Detail(M)'!U130</f>
        <v>0</v>
      </c>
      <c r="W53" s="171">
        <f>'FS_Detail(M)'!V130</f>
        <v>0</v>
      </c>
      <c r="X53" s="171">
        <f>'FS_Detail(M)'!W130</f>
        <v>0</v>
      </c>
      <c r="Y53" s="171">
        <f>'FS_Detail(M)'!X130</f>
        <v>0</v>
      </c>
      <c r="Z53" s="171">
        <f>'FS_Detail(M)'!Y130</f>
        <v>0</v>
      </c>
      <c r="AA53" s="171">
        <f>'FS_Detail(M)'!Z130</f>
        <v>0</v>
      </c>
      <c r="AB53" s="171">
        <f>'FS_Detail(M)'!AA130</f>
        <v>0</v>
      </c>
      <c r="AC53" s="171">
        <f>'FS_Detail(M)'!AB130</f>
        <v>0</v>
      </c>
      <c r="AD53" s="171">
        <f>'FS_Detail(M)'!AC130</f>
        <v>0</v>
      </c>
      <c r="AE53" s="171">
        <f>'FS_Detail(M)'!AD130</f>
        <v>0</v>
      </c>
      <c r="AF53" s="171">
        <f>'FS_Detail(M)'!AE130</f>
        <v>0</v>
      </c>
      <c r="AG53" s="171">
        <f>'FS_Detail(M)'!AF130</f>
        <v>0</v>
      </c>
      <c r="AH53" s="171">
        <f>'FS_Detail(M)'!AG130</f>
        <v>0</v>
      </c>
      <c r="AI53" s="171">
        <f>'FS_Detail(M)'!AH130</f>
        <v>0</v>
      </c>
      <c r="AJ53" s="171">
        <f>'FS_Detail(M)'!AI130</f>
        <v>0</v>
      </c>
      <c r="AK53" s="171">
        <f>'FS_Detail(M)'!AJ130</f>
        <v>0</v>
      </c>
      <c r="AL53" s="171">
        <f>'FS_Detail(M)'!AK130</f>
        <v>0</v>
      </c>
      <c r="AM53" s="171">
        <f>'FS_Detail(M)'!AL130</f>
        <v>0</v>
      </c>
      <c r="AN53" s="171">
        <f>'FS_Detail(M)'!AM130</f>
        <v>0</v>
      </c>
      <c r="AO53" s="171">
        <f>'FS_Detail(M)'!AN130</f>
        <v>0</v>
      </c>
      <c r="AP53" s="171">
        <f>'FS_Detail(M)'!AO130</f>
        <v>0</v>
      </c>
      <c r="AQ53" s="171">
        <f>'FS_Detail(M)'!AP130</f>
        <v>0</v>
      </c>
      <c r="AR53" s="171">
        <f>'FS_Detail(M)'!AQ130</f>
        <v>0</v>
      </c>
      <c r="AS53" s="171">
        <f>'FS_Detail(M)'!AR130</f>
        <v>0</v>
      </c>
      <c r="AT53" s="171">
        <f>'FS_Detail(M)'!AS130</f>
        <v>0</v>
      </c>
      <c r="AU53" s="171">
        <f>'FS_Detail(M)'!AT130</f>
        <v>0</v>
      </c>
      <c r="AV53" s="171">
        <f>'FS_Detail(M)'!AU130</f>
        <v>0</v>
      </c>
      <c r="AW53" s="171">
        <f>'FS_Detail(M)'!AV130</f>
        <v>0</v>
      </c>
      <c r="AX53" s="171">
        <f>'FS_Detail(M)'!AW130</f>
        <v>0</v>
      </c>
      <c r="AY53" s="171">
        <f>'FS_Detail(M)'!AX130</f>
        <v>0</v>
      </c>
      <c r="AZ53" s="171">
        <f>'FS_Detail(M)'!AY130</f>
        <v>0</v>
      </c>
      <c r="BA53" s="171">
        <f>'FS_Detail(M)'!AZ130</f>
        <v>0</v>
      </c>
      <c r="BB53" s="171">
        <f>'FS_Detail(M)'!BA130</f>
        <v>0</v>
      </c>
      <c r="BC53" s="171">
        <f>'FS_Detail(M)'!BB130</f>
        <v>0</v>
      </c>
      <c r="BD53" s="171">
        <f>'FS_Detail(M)'!BC130</f>
        <v>0</v>
      </c>
      <c r="BE53" s="171">
        <f>'FS_Detail(M)'!BD130</f>
        <v>0</v>
      </c>
      <c r="BF53" s="171">
        <f>'FS_Detail(M)'!BE130</f>
        <v>0</v>
      </c>
      <c r="BG53" s="171">
        <f>'FS_Detail(M)'!BF130</f>
        <v>0</v>
      </c>
      <c r="BH53" s="171">
        <f>'FS_Detail(M)'!BG130</f>
        <v>0</v>
      </c>
      <c r="BI53" s="171">
        <f>'FS_Detail(M)'!BH130</f>
        <v>0</v>
      </c>
      <c r="BJ53" s="171">
        <f>'FS_Detail(M)'!BI130</f>
        <v>0</v>
      </c>
      <c r="BK53" s="171">
        <f>'FS_Detail(M)'!BJ130</f>
        <v>0</v>
      </c>
      <c r="BL53" s="171">
        <f>'FS_Detail(M)'!BK130</f>
        <v>0</v>
      </c>
      <c r="BM53" s="171">
        <f>'FS_Detail(M)'!BL130</f>
        <v>0</v>
      </c>
      <c r="BN53" s="171">
        <f>'FS_Detail(M)'!BM130</f>
        <v>0</v>
      </c>
      <c r="BO53" s="171">
        <f>'FS_Detail(M)'!BN130</f>
        <v>0</v>
      </c>
      <c r="BP53" s="171">
        <f>'FS_Detail(M)'!BO130</f>
        <v>0</v>
      </c>
      <c r="BQ53" s="171">
        <f>'FS_Detail(M)'!BP130</f>
        <v>0</v>
      </c>
      <c r="BR53" s="171">
        <f>'FS_Detail(M)'!BQ130</f>
        <v>0</v>
      </c>
      <c r="BS53" s="171">
        <f>'FS_Detail(M)'!BR130</f>
        <v>0</v>
      </c>
      <c r="BT53" s="171">
        <f>'FS_Detail(M)'!BS130</f>
        <v>0</v>
      </c>
      <c r="BU53" s="171">
        <f>'FS_Detail(M)'!BT130</f>
        <v>0</v>
      </c>
      <c r="BV53" s="171">
        <f>'FS_Detail(M)'!BU130</f>
        <v>0</v>
      </c>
      <c r="BW53" s="171">
        <f>'FS_Detail(M)'!BV130</f>
        <v>0</v>
      </c>
      <c r="BX53" s="171">
        <f>'FS_Detail(M)'!BW130</f>
        <v>0</v>
      </c>
      <c r="BY53" s="171">
        <f>'FS_Detail(M)'!BX130</f>
        <v>0</v>
      </c>
      <c r="BZ53" s="171">
        <f>'FS_Detail(M)'!BY130</f>
        <v>0</v>
      </c>
      <c r="CA53" s="171">
        <f>'FS_Detail(M)'!BZ130</f>
        <v>0</v>
      </c>
      <c r="CB53" s="171">
        <f>'FS_Detail(M)'!CA130</f>
        <v>0</v>
      </c>
      <c r="CC53" s="171">
        <f>'FS_Detail(M)'!CB130</f>
        <v>0</v>
      </c>
      <c r="CD53" s="171">
        <f>'FS_Detail(M)'!CC130</f>
        <v>0</v>
      </c>
      <c r="CE53" s="171">
        <f>'FS_Detail(M)'!CD130</f>
        <v>0</v>
      </c>
      <c r="CF53" s="171">
        <f>'FS_Detail(M)'!CE130</f>
        <v>0</v>
      </c>
      <c r="CG53" s="171">
        <f>'FS_Detail(M)'!CF130</f>
        <v>0</v>
      </c>
      <c r="CH53" s="171">
        <f>'FS_Detail(M)'!CG130</f>
        <v>0</v>
      </c>
      <c r="CI53" s="171">
        <f>'FS_Detail(M)'!CH130</f>
        <v>0</v>
      </c>
      <c r="CJ53" s="171">
        <f>'FS_Detail(M)'!CI130</f>
        <v>0</v>
      </c>
      <c r="CK53" s="171">
        <f>'FS_Detail(M)'!CJ130</f>
        <v>0</v>
      </c>
      <c r="CL53" s="171">
        <f>'FS_Detail(M)'!CK130</f>
        <v>0</v>
      </c>
      <c r="CM53" s="171">
        <f>'FS_Detail(M)'!CL130</f>
        <v>0</v>
      </c>
      <c r="CN53" s="171">
        <f>'FS_Detail(M)'!CM130</f>
        <v>0</v>
      </c>
      <c r="CO53" s="171">
        <f>'FS_Detail(M)'!CN130</f>
        <v>0</v>
      </c>
      <c r="CP53" s="171">
        <f>'FS_Detail(M)'!CO130</f>
        <v>0</v>
      </c>
      <c r="CQ53" s="171">
        <f>'FS_Detail(M)'!CP130</f>
        <v>0</v>
      </c>
      <c r="CR53" s="171">
        <f>'FS_Detail(M)'!CQ130</f>
        <v>0</v>
      </c>
      <c r="CS53" s="171">
        <f>'FS_Detail(M)'!CR130</f>
        <v>0</v>
      </c>
      <c r="CT53" s="171">
        <f>'FS_Detail(M)'!CS130</f>
        <v>0</v>
      </c>
      <c r="CU53" s="171">
        <f>'FS_Detail(M)'!CT130</f>
        <v>0</v>
      </c>
      <c r="CV53" s="171">
        <f>'FS_Detail(M)'!CU130</f>
        <v>0</v>
      </c>
      <c r="CW53" s="171">
        <f>'FS_Detail(M)'!CV130</f>
        <v>0</v>
      </c>
      <c r="CX53" s="171">
        <f>'FS_Detail(M)'!CW130</f>
        <v>0</v>
      </c>
      <c r="CY53" s="171">
        <f>'FS_Detail(M)'!CX130</f>
        <v>0</v>
      </c>
      <c r="CZ53" s="171">
        <f>'FS_Detail(M)'!CY130</f>
        <v>0</v>
      </c>
      <c r="DA53" s="171">
        <f>'FS_Detail(M)'!CZ130</f>
        <v>0</v>
      </c>
      <c r="DB53" s="171">
        <f>'FS_Detail(M)'!DA130</f>
        <v>0</v>
      </c>
      <c r="DC53" s="171">
        <f>'FS_Detail(M)'!DB130</f>
        <v>0</v>
      </c>
      <c r="DD53" s="171">
        <f>'FS_Detail(M)'!DC130</f>
        <v>0</v>
      </c>
      <c r="DE53" s="171">
        <f>'FS_Detail(M)'!DD130</f>
        <v>0</v>
      </c>
      <c r="DF53" s="171">
        <f>'FS_Detail(M)'!DE130</f>
        <v>0</v>
      </c>
      <c r="DG53" s="171">
        <f>'FS_Detail(M)'!DF130</f>
        <v>0</v>
      </c>
      <c r="DH53" s="171">
        <f>'FS_Detail(M)'!DG130</f>
        <v>0</v>
      </c>
      <c r="DI53" s="171">
        <f>'FS_Detail(M)'!DH130</f>
        <v>0</v>
      </c>
      <c r="DJ53" s="171">
        <f>'FS_Detail(M)'!DI130</f>
        <v>0</v>
      </c>
      <c r="DK53" s="171">
        <f>'FS_Detail(M)'!DJ130</f>
        <v>0</v>
      </c>
      <c r="DL53" s="171">
        <f>'FS_Detail(M)'!DK130</f>
        <v>0</v>
      </c>
      <c r="DM53" s="171">
        <f>'FS_Detail(M)'!DL130</f>
        <v>0</v>
      </c>
      <c r="DN53" s="171">
        <f>'FS_Detail(M)'!DM130</f>
        <v>0</v>
      </c>
      <c r="DO53" s="171">
        <f>'FS_Detail(M)'!DN130</f>
        <v>0</v>
      </c>
      <c r="DP53" s="171">
        <f>'FS_Detail(M)'!DO130</f>
        <v>0</v>
      </c>
      <c r="DQ53" s="171">
        <f>'FS_Detail(M)'!DP130</f>
        <v>0</v>
      </c>
      <c r="DR53" s="171">
        <f>'FS_Detail(M)'!DQ130</f>
        <v>0</v>
      </c>
      <c r="DS53" s="171">
        <f>'FS_Detail(M)'!DR130</f>
        <v>0</v>
      </c>
      <c r="DT53" s="171">
        <f>'FS_Detail(M)'!DS130</f>
        <v>0</v>
      </c>
      <c r="DU53" s="171">
        <f>'FS_Detail(M)'!DT130</f>
        <v>0</v>
      </c>
      <c r="DV53" s="171">
        <f>'FS_Detail(M)'!DU130</f>
        <v>0</v>
      </c>
      <c r="DW53" s="171">
        <f>'FS_Detail(M)'!DV130</f>
        <v>0</v>
      </c>
      <c r="DX53" s="171">
        <f>'FS_Detail(M)'!DW130</f>
        <v>0</v>
      </c>
      <c r="DY53" s="171">
        <f>'FS_Detail(M)'!DX130</f>
        <v>0</v>
      </c>
      <c r="DZ53" s="171">
        <f>'FS_Detail(M)'!DY130</f>
        <v>0</v>
      </c>
      <c r="EA53" s="171">
        <f>'FS_Detail(M)'!DZ130</f>
        <v>0</v>
      </c>
      <c r="EB53" s="171">
        <f>'FS_Detail(M)'!EA130</f>
        <v>0</v>
      </c>
      <c r="EC53" s="171">
        <f>'FS_Detail(M)'!EB130</f>
        <v>0</v>
      </c>
      <c r="ED53" s="171">
        <f>'FS_Detail(M)'!EC130</f>
        <v>0</v>
      </c>
      <c r="EE53" s="171">
        <f>'FS_Detail(M)'!ED130</f>
        <v>0</v>
      </c>
      <c r="EF53" s="171">
        <f>'FS_Detail(M)'!EE130</f>
        <v>0</v>
      </c>
      <c r="EG53" s="171">
        <f>'FS_Detail(M)'!EF130</f>
        <v>0</v>
      </c>
      <c r="EH53" s="171">
        <f>'FS_Detail(M)'!EG130</f>
        <v>0</v>
      </c>
      <c r="EI53" s="171">
        <f>'FS_Detail(M)'!EH130</f>
        <v>0</v>
      </c>
      <c r="EJ53" s="171">
        <f>'FS_Detail(M)'!EI130</f>
        <v>0</v>
      </c>
      <c r="EK53" s="171">
        <f>'FS_Detail(M)'!EJ130</f>
        <v>0</v>
      </c>
      <c r="EL53" s="171">
        <f>'FS_Detail(M)'!EK130</f>
        <v>0</v>
      </c>
      <c r="EM53" s="171">
        <f>'FS_Detail(M)'!EL130</f>
        <v>0</v>
      </c>
      <c r="EN53" s="171">
        <f>'FS_Detail(M)'!EM130</f>
        <v>0</v>
      </c>
      <c r="EO53" s="171">
        <f>'FS_Detail(M)'!EN130</f>
        <v>0</v>
      </c>
      <c r="EP53" s="171">
        <f>'FS_Detail(M)'!EO130</f>
        <v>0</v>
      </c>
      <c r="EQ53" s="171">
        <f>'FS_Detail(M)'!EP130</f>
        <v>0</v>
      </c>
      <c r="ER53" s="171">
        <f>'FS_Detail(M)'!EQ130</f>
        <v>0</v>
      </c>
    </row>
    <row r="54" spans="2:148" ht="11.25" customHeight="1">
      <c r="B54" s="218"/>
      <c r="C54" s="163"/>
      <c r="D54" s="169" t="s">
        <v>616</v>
      </c>
      <c r="I54" s="146"/>
      <c r="J54" s="13"/>
      <c r="K54" s="171">
        <f t="shared" si="35"/>
        <v>0</v>
      </c>
      <c r="L54" s="98"/>
      <c r="M54" s="171">
        <f>SUM('FS_Detail(M)'!L135,'FS_Detail(M)'!L140)</f>
        <v>0</v>
      </c>
      <c r="N54" s="171">
        <f>SUM('FS_Detail(M)'!M135,'FS_Detail(M)'!M140)</f>
        <v>0</v>
      </c>
      <c r="O54" s="171">
        <f>SUM('FS_Detail(M)'!N135,'FS_Detail(M)'!N140)</f>
        <v>0</v>
      </c>
      <c r="P54" s="171">
        <f>SUM('FS_Detail(M)'!O135,'FS_Detail(M)'!O140)</f>
        <v>0</v>
      </c>
      <c r="Q54" s="171">
        <f>SUM('FS_Detail(M)'!P135,'FS_Detail(M)'!P140)</f>
        <v>0</v>
      </c>
      <c r="R54" s="171">
        <f>SUM('FS_Detail(M)'!Q135,'FS_Detail(M)'!Q140)</f>
        <v>0</v>
      </c>
      <c r="S54" s="171">
        <f>SUM('FS_Detail(M)'!R135,'FS_Detail(M)'!R140)</f>
        <v>0</v>
      </c>
      <c r="T54" s="171">
        <f>SUM('FS_Detail(M)'!S135,'FS_Detail(M)'!S140)</f>
        <v>0</v>
      </c>
      <c r="U54" s="171">
        <f>SUM('FS_Detail(M)'!T135,'FS_Detail(M)'!T140)</f>
        <v>0</v>
      </c>
      <c r="V54" s="171">
        <f>SUM('FS_Detail(M)'!U135,'FS_Detail(M)'!U140)</f>
        <v>0</v>
      </c>
      <c r="W54" s="171">
        <f>SUM('FS_Detail(M)'!V135,'FS_Detail(M)'!V140)</f>
        <v>0</v>
      </c>
      <c r="X54" s="171">
        <f>SUM('FS_Detail(M)'!W135,'FS_Detail(M)'!W140)</f>
        <v>0</v>
      </c>
      <c r="Y54" s="171">
        <f>SUM('FS_Detail(M)'!X135,'FS_Detail(M)'!X140)</f>
        <v>0</v>
      </c>
      <c r="Z54" s="171">
        <f>SUM('FS_Detail(M)'!Y135,'FS_Detail(M)'!Y140)</f>
        <v>0</v>
      </c>
      <c r="AA54" s="171">
        <f>SUM('FS_Detail(M)'!Z135,'FS_Detail(M)'!Z140)</f>
        <v>0</v>
      </c>
      <c r="AB54" s="171">
        <f>SUM('FS_Detail(M)'!AA135,'FS_Detail(M)'!AA140)</f>
        <v>0</v>
      </c>
      <c r="AC54" s="171">
        <f>SUM('FS_Detail(M)'!AB135,'FS_Detail(M)'!AB140)</f>
        <v>0</v>
      </c>
      <c r="AD54" s="171">
        <f>SUM('FS_Detail(M)'!AC135,'FS_Detail(M)'!AC140)</f>
        <v>0</v>
      </c>
      <c r="AE54" s="171">
        <f>SUM('FS_Detail(M)'!AD135,'FS_Detail(M)'!AD140)</f>
        <v>0</v>
      </c>
      <c r="AF54" s="171">
        <f>SUM('FS_Detail(M)'!AE135,'FS_Detail(M)'!AE140)</f>
        <v>0</v>
      </c>
      <c r="AG54" s="171">
        <f>SUM('FS_Detail(M)'!AF135,'FS_Detail(M)'!AF140)</f>
        <v>0</v>
      </c>
      <c r="AH54" s="171">
        <f>SUM('FS_Detail(M)'!AG135,'FS_Detail(M)'!AG140)</f>
        <v>0</v>
      </c>
      <c r="AI54" s="171">
        <f>SUM('FS_Detail(M)'!AH135,'FS_Detail(M)'!AH140)</f>
        <v>0</v>
      </c>
      <c r="AJ54" s="171">
        <f>SUM('FS_Detail(M)'!AI135,'FS_Detail(M)'!AI140)</f>
        <v>0</v>
      </c>
      <c r="AK54" s="171">
        <f>SUM('FS_Detail(M)'!AJ135,'FS_Detail(M)'!AJ140)</f>
        <v>0</v>
      </c>
      <c r="AL54" s="171">
        <f>SUM('FS_Detail(M)'!AK135,'FS_Detail(M)'!AK140)</f>
        <v>0</v>
      </c>
      <c r="AM54" s="171">
        <f>SUM('FS_Detail(M)'!AL135,'FS_Detail(M)'!AL140)</f>
        <v>0</v>
      </c>
      <c r="AN54" s="171">
        <f>SUM('FS_Detail(M)'!AM135,'FS_Detail(M)'!AM140)</f>
        <v>0</v>
      </c>
      <c r="AO54" s="171">
        <f>SUM('FS_Detail(M)'!AN135,'FS_Detail(M)'!AN140)</f>
        <v>0</v>
      </c>
      <c r="AP54" s="171">
        <f>SUM('FS_Detail(M)'!AO135,'FS_Detail(M)'!AO140)</f>
        <v>0</v>
      </c>
      <c r="AQ54" s="171">
        <f>SUM('FS_Detail(M)'!AP135,'FS_Detail(M)'!AP140)</f>
        <v>0</v>
      </c>
      <c r="AR54" s="171">
        <f>SUM('FS_Detail(M)'!AQ135,'FS_Detail(M)'!AQ140)</f>
        <v>0</v>
      </c>
      <c r="AS54" s="171">
        <f>SUM('FS_Detail(M)'!AR135,'FS_Detail(M)'!AR140)</f>
        <v>0</v>
      </c>
      <c r="AT54" s="171">
        <f>SUM('FS_Detail(M)'!AS135,'FS_Detail(M)'!AS140)</f>
        <v>0</v>
      </c>
      <c r="AU54" s="171">
        <f>SUM('FS_Detail(M)'!AT135,'FS_Detail(M)'!AT140)</f>
        <v>0</v>
      </c>
      <c r="AV54" s="171">
        <f>SUM('FS_Detail(M)'!AU135,'FS_Detail(M)'!AU140)</f>
        <v>0</v>
      </c>
      <c r="AW54" s="171">
        <f>SUM('FS_Detail(M)'!AV135,'FS_Detail(M)'!AV140)</f>
        <v>0</v>
      </c>
      <c r="AX54" s="171">
        <f>SUM('FS_Detail(M)'!AW135,'FS_Detail(M)'!AW140)</f>
        <v>0</v>
      </c>
      <c r="AY54" s="171">
        <f>SUM('FS_Detail(M)'!AX135,'FS_Detail(M)'!AX140)</f>
        <v>0</v>
      </c>
      <c r="AZ54" s="171">
        <f>SUM('FS_Detail(M)'!AY135,'FS_Detail(M)'!AY140)</f>
        <v>0</v>
      </c>
      <c r="BA54" s="171">
        <f>SUM('FS_Detail(M)'!AZ135,'FS_Detail(M)'!AZ140)</f>
        <v>0</v>
      </c>
      <c r="BB54" s="171">
        <f>SUM('FS_Detail(M)'!BA135,'FS_Detail(M)'!BA140)</f>
        <v>0</v>
      </c>
      <c r="BC54" s="171">
        <f>SUM('FS_Detail(M)'!BB135,'FS_Detail(M)'!BB140)</f>
        <v>0</v>
      </c>
      <c r="BD54" s="171">
        <f>SUM('FS_Detail(M)'!BC135,'FS_Detail(M)'!BC140)</f>
        <v>0</v>
      </c>
      <c r="BE54" s="171">
        <f>SUM('FS_Detail(M)'!BD135,'FS_Detail(M)'!BD140)</f>
        <v>0</v>
      </c>
      <c r="BF54" s="171">
        <f>SUM('FS_Detail(M)'!BE135,'FS_Detail(M)'!BE140)</f>
        <v>0</v>
      </c>
      <c r="BG54" s="171">
        <f>SUM('FS_Detail(M)'!BF135,'FS_Detail(M)'!BF140)</f>
        <v>0</v>
      </c>
      <c r="BH54" s="171">
        <f>SUM('FS_Detail(M)'!BG135,'FS_Detail(M)'!BG140)</f>
        <v>0</v>
      </c>
      <c r="BI54" s="171">
        <f>SUM('FS_Detail(M)'!BH135,'FS_Detail(M)'!BH140)</f>
        <v>0</v>
      </c>
      <c r="BJ54" s="171">
        <f>SUM('FS_Detail(M)'!BI135,'FS_Detail(M)'!BI140)</f>
        <v>0</v>
      </c>
      <c r="BK54" s="171">
        <f>SUM('FS_Detail(M)'!BJ135,'FS_Detail(M)'!BJ140)</f>
        <v>0</v>
      </c>
      <c r="BL54" s="171">
        <f>SUM('FS_Detail(M)'!BK135,'FS_Detail(M)'!BK140)</f>
        <v>0</v>
      </c>
      <c r="BM54" s="171">
        <f>SUM('FS_Detail(M)'!BL135,'FS_Detail(M)'!BL140)</f>
        <v>0</v>
      </c>
      <c r="BN54" s="171">
        <f>SUM('FS_Detail(M)'!BM135,'FS_Detail(M)'!BM140)</f>
        <v>0</v>
      </c>
      <c r="BO54" s="171">
        <f>SUM('FS_Detail(M)'!BN135,'FS_Detail(M)'!BN140)</f>
        <v>0</v>
      </c>
      <c r="BP54" s="171">
        <f>SUM('FS_Detail(M)'!BO135,'FS_Detail(M)'!BO140)</f>
        <v>0</v>
      </c>
      <c r="BQ54" s="171">
        <f>SUM('FS_Detail(M)'!BP135,'FS_Detail(M)'!BP140)</f>
        <v>0</v>
      </c>
      <c r="BR54" s="171">
        <f>SUM('FS_Detail(M)'!BQ135,'FS_Detail(M)'!BQ140)</f>
        <v>0</v>
      </c>
      <c r="BS54" s="171">
        <f>SUM('FS_Detail(M)'!BR135,'FS_Detail(M)'!BR140)</f>
        <v>0</v>
      </c>
      <c r="BT54" s="171">
        <f>SUM('FS_Detail(M)'!BS135,'FS_Detail(M)'!BS140)</f>
        <v>0</v>
      </c>
      <c r="BU54" s="171">
        <f>SUM('FS_Detail(M)'!BT135,'FS_Detail(M)'!BT140)</f>
        <v>0</v>
      </c>
      <c r="BV54" s="171">
        <f>SUM('FS_Detail(M)'!BU135,'FS_Detail(M)'!BU140)</f>
        <v>0</v>
      </c>
      <c r="BW54" s="171">
        <f>SUM('FS_Detail(M)'!BV135,'FS_Detail(M)'!BV140)</f>
        <v>0</v>
      </c>
      <c r="BX54" s="171">
        <f>SUM('FS_Detail(M)'!BW135,'FS_Detail(M)'!BW140)</f>
        <v>0</v>
      </c>
      <c r="BY54" s="171">
        <f>SUM('FS_Detail(M)'!BX135,'FS_Detail(M)'!BX140)</f>
        <v>0</v>
      </c>
      <c r="BZ54" s="171">
        <f>SUM('FS_Detail(M)'!BY135,'FS_Detail(M)'!BY140)</f>
        <v>0</v>
      </c>
      <c r="CA54" s="171">
        <f>SUM('FS_Detail(M)'!BZ135,'FS_Detail(M)'!BZ140)</f>
        <v>0</v>
      </c>
      <c r="CB54" s="171">
        <f>SUM('FS_Detail(M)'!CA135,'FS_Detail(M)'!CA140)</f>
        <v>0</v>
      </c>
      <c r="CC54" s="171">
        <f>SUM('FS_Detail(M)'!CB135,'FS_Detail(M)'!CB140)</f>
        <v>0</v>
      </c>
      <c r="CD54" s="171">
        <f>SUM('FS_Detail(M)'!CC135,'FS_Detail(M)'!CC140)</f>
        <v>0</v>
      </c>
      <c r="CE54" s="171">
        <f>SUM('FS_Detail(M)'!CD135,'FS_Detail(M)'!CD140)</f>
        <v>0</v>
      </c>
      <c r="CF54" s="171">
        <f>SUM('FS_Detail(M)'!CE135,'FS_Detail(M)'!CE140)</f>
        <v>0</v>
      </c>
      <c r="CG54" s="171">
        <f>SUM('FS_Detail(M)'!CF135,'FS_Detail(M)'!CF140)</f>
        <v>0</v>
      </c>
      <c r="CH54" s="171">
        <f>SUM('FS_Detail(M)'!CG135,'FS_Detail(M)'!CG140)</f>
        <v>0</v>
      </c>
      <c r="CI54" s="171">
        <f>SUM('FS_Detail(M)'!CH135,'FS_Detail(M)'!CH140)</f>
        <v>0</v>
      </c>
      <c r="CJ54" s="171">
        <f>SUM('FS_Detail(M)'!CI135,'FS_Detail(M)'!CI140)</f>
        <v>0</v>
      </c>
      <c r="CK54" s="171">
        <f>SUM('FS_Detail(M)'!CJ135,'FS_Detail(M)'!CJ140)</f>
        <v>0</v>
      </c>
      <c r="CL54" s="171">
        <f>SUM('FS_Detail(M)'!CK135,'FS_Detail(M)'!CK140)</f>
        <v>0</v>
      </c>
      <c r="CM54" s="171">
        <f>SUM('FS_Detail(M)'!CL135,'FS_Detail(M)'!CL140)</f>
        <v>0</v>
      </c>
      <c r="CN54" s="171">
        <f>SUM('FS_Detail(M)'!CM135,'FS_Detail(M)'!CM140)</f>
        <v>0</v>
      </c>
      <c r="CO54" s="171">
        <f>SUM('FS_Detail(M)'!CN135,'FS_Detail(M)'!CN140)</f>
        <v>0</v>
      </c>
      <c r="CP54" s="171">
        <f>SUM('FS_Detail(M)'!CO135,'FS_Detail(M)'!CO140)</f>
        <v>0</v>
      </c>
      <c r="CQ54" s="171">
        <f>SUM('FS_Detail(M)'!CP135,'FS_Detail(M)'!CP140)</f>
        <v>0</v>
      </c>
      <c r="CR54" s="171">
        <f>SUM('FS_Detail(M)'!CQ135,'FS_Detail(M)'!CQ140)</f>
        <v>0</v>
      </c>
      <c r="CS54" s="171">
        <f>SUM('FS_Detail(M)'!CR135,'FS_Detail(M)'!CR140)</f>
        <v>0</v>
      </c>
      <c r="CT54" s="171">
        <f>SUM('FS_Detail(M)'!CS135,'FS_Detail(M)'!CS140)</f>
        <v>0</v>
      </c>
      <c r="CU54" s="171">
        <f>SUM('FS_Detail(M)'!CT135,'FS_Detail(M)'!CT140)</f>
        <v>0</v>
      </c>
      <c r="CV54" s="171">
        <f>SUM('FS_Detail(M)'!CU135,'FS_Detail(M)'!CU140)</f>
        <v>0</v>
      </c>
      <c r="CW54" s="171">
        <f>SUM('FS_Detail(M)'!CV135,'FS_Detail(M)'!CV140)</f>
        <v>0</v>
      </c>
      <c r="CX54" s="171">
        <f>SUM('FS_Detail(M)'!CW135,'FS_Detail(M)'!CW140)</f>
        <v>0</v>
      </c>
      <c r="CY54" s="171">
        <f>SUM('FS_Detail(M)'!CX135,'FS_Detail(M)'!CX140)</f>
        <v>0</v>
      </c>
      <c r="CZ54" s="171">
        <f>SUM('FS_Detail(M)'!CY135,'FS_Detail(M)'!CY140)</f>
        <v>0</v>
      </c>
      <c r="DA54" s="171">
        <f>SUM('FS_Detail(M)'!CZ135,'FS_Detail(M)'!CZ140)</f>
        <v>0</v>
      </c>
      <c r="DB54" s="171">
        <f>SUM('FS_Detail(M)'!DA135,'FS_Detail(M)'!DA140)</f>
        <v>0</v>
      </c>
      <c r="DC54" s="171">
        <f>SUM('FS_Detail(M)'!DB135,'FS_Detail(M)'!DB140)</f>
        <v>0</v>
      </c>
      <c r="DD54" s="171">
        <f>SUM('FS_Detail(M)'!DC135,'FS_Detail(M)'!DC140)</f>
        <v>0</v>
      </c>
      <c r="DE54" s="171">
        <f>SUM('FS_Detail(M)'!DD135,'FS_Detail(M)'!DD140)</f>
        <v>0</v>
      </c>
      <c r="DF54" s="171">
        <f>SUM('FS_Detail(M)'!DE135,'FS_Detail(M)'!DE140)</f>
        <v>0</v>
      </c>
      <c r="DG54" s="171">
        <f>SUM('FS_Detail(M)'!DF135,'FS_Detail(M)'!DF140)</f>
        <v>0</v>
      </c>
      <c r="DH54" s="171">
        <f>SUM('FS_Detail(M)'!DG135,'FS_Detail(M)'!DG140)</f>
        <v>0</v>
      </c>
      <c r="DI54" s="171">
        <f>SUM('FS_Detail(M)'!DH135,'FS_Detail(M)'!DH140)</f>
        <v>0</v>
      </c>
      <c r="DJ54" s="171">
        <f>SUM('FS_Detail(M)'!DI135,'FS_Detail(M)'!DI140)</f>
        <v>0</v>
      </c>
      <c r="DK54" s="171">
        <f>SUM('FS_Detail(M)'!DJ135,'FS_Detail(M)'!DJ140)</f>
        <v>0</v>
      </c>
      <c r="DL54" s="171">
        <f>SUM('FS_Detail(M)'!DK135,'FS_Detail(M)'!DK140)</f>
        <v>0</v>
      </c>
      <c r="DM54" s="171">
        <f>SUM('FS_Detail(M)'!DL135,'FS_Detail(M)'!DL140)</f>
        <v>0</v>
      </c>
      <c r="DN54" s="171">
        <f>SUM('FS_Detail(M)'!DM135,'FS_Detail(M)'!DM140)</f>
        <v>0</v>
      </c>
      <c r="DO54" s="171">
        <f>SUM('FS_Detail(M)'!DN135,'FS_Detail(M)'!DN140)</f>
        <v>0</v>
      </c>
      <c r="DP54" s="171">
        <f>SUM('FS_Detail(M)'!DO135,'FS_Detail(M)'!DO140)</f>
        <v>0</v>
      </c>
      <c r="DQ54" s="171">
        <f>SUM('FS_Detail(M)'!DP135,'FS_Detail(M)'!DP140)</f>
        <v>0</v>
      </c>
      <c r="DR54" s="171">
        <f>SUM('FS_Detail(M)'!DQ135,'FS_Detail(M)'!DQ140)</f>
        <v>0</v>
      </c>
      <c r="DS54" s="171">
        <f>SUM('FS_Detail(M)'!DR135,'FS_Detail(M)'!DR140)</f>
        <v>0</v>
      </c>
      <c r="DT54" s="171">
        <f>SUM('FS_Detail(M)'!DS135,'FS_Detail(M)'!DS140)</f>
        <v>0</v>
      </c>
      <c r="DU54" s="171">
        <f>SUM('FS_Detail(M)'!DT135,'FS_Detail(M)'!DT140)</f>
        <v>0</v>
      </c>
      <c r="DV54" s="171">
        <f>SUM('FS_Detail(M)'!DU135,'FS_Detail(M)'!DU140)</f>
        <v>0</v>
      </c>
      <c r="DW54" s="171">
        <f>SUM('FS_Detail(M)'!DV135,'FS_Detail(M)'!DV140)</f>
        <v>0</v>
      </c>
      <c r="DX54" s="171">
        <f>SUM('FS_Detail(M)'!DW135,'FS_Detail(M)'!DW140)</f>
        <v>0</v>
      </c>
      <c r="DY54" s="171">
        <f>SUM('FS_Detail(M)'!DX135,'FS_Detail(M)'!DX140)</f>
        <v>0</v>
      </c>
      <c r="DZ54" s="171">
        <f>SUM('FS_Detail(M)'!DY135,'FS_Detail(M)'!DY140)</f>
        <v>0</v>
      </c>
      <c r="EA54" s="171">
        <f>SUM('FS_Detail(M)'!DZ135,'FS_Detail(M)'!DZ140)</f>
        <v>0</v>
      </c>
      <c r="EB54" s="171">
        <f>SUM('FS_Detail(M)'!EA135,'FS_Detail(M)'!EA140)</f>
        <v>0</v>
      </c>
      <c r="EC54" s="171">
        <f>SUM('FS_Detail(M)'!EB135,'FS_Detail(M)'!EB140)</f>
        <v>0</v>
      </c>
      <c r="ED54" s="171">
        <f>SUM('FS_Detail(M)'!EC135,'FS_Detail(M)'!EC140)</f>
        <v>0</v>
      </c>
      <c r="EE54" s="171">
        <f>SUM('FS_Detail(M)'!ED135,'FS_Detail(M)'!ED140)</f>
        <v>0</v>
      </c>
      <c r="EF54" s="171">
        <f>SUM('FS_Detail(M)'!EE135,'FS_Detail(M)'!EE140)</f>
        <v>0</v>
      </c>
      <c r="EG54" s="171">
        <f>SUM('FS_Detail(M)'!EF135,'FS_Detail(M)'!EF140)</f>
        <v>0</v>
      </c>
      <c r="EH54" s="171">
        <f>SUM('FS_Detail(M)'!EG135,'FS_Detail(M)'!EG140)</f>
        <v>0</v>
      </c>
      <c r="EI54" s="171">
        <f>SUM('FS_Detail(M)'!EH135,'FS_Detail(M)'!EH140)</f>
        <v>0</v>
      </c>
      <c r="EJ54" s="171">
        <f>SUM('FS_Detail(M)'!EI135,'FS_Detail(M)'!EI140)</f>
        <v>0</v>
      </c>
      <c r="EK54" s="171">
        <f>SUM('FS_Detail(M)'!EJ135,'FS_Detail(M)'!EJ140)</f>
        <v>0</v>
      </c>
      <c r="EL54" s="171">
        <f>SUM('FS_Detail(M)'!EK135,'FS_Detail(M)'!EK140)</f>
        <v>0</v>
      </c>
      <c r="EM54" s="171">
        <f>SUM('FS_Detail(M)'!EL135,'FS_Detail(M)'!EL140)</f>
        <v>0</v>
      </c>
      <c r="EN54" s="171">
        <f>SUM('FS_Detail(M)'!EM135,'FS_Detail(M)'!EM140)</f>
        <v>0</v>
      </c>
      <c r="EO54" s="171">
        <f>SUM('FS_Detail(M)'!EN135,'FS_Detail(M)'!EN140)</f>
        <v>0</v>
      </c>
      <c r="EP54" s="171">
        <f>SUM('FS_Detail(M)'!EO135,'FS_Detail(M)'!EO140)</f>
        <v>0</v>
      </c>
      <c r="EQ54" s="171">
        <f>SUM('FS_Detail(M)'!EP135,'FS_Detail(M)'!EP140)</f>
        <v>0</v>
      </c>
      <c r="ER54" s="171">
        <f>SUM('FS_Detail(M)'!EQ135,'FS_Detail(M)'!EQ140)</f>
        <v>0</v>
      </c>
    </row>
    <row r="55" spans="2:148" ht="11.25" customHeight="1">
      <c r="B55" s="875" t="s">
        <v>536</v>
      </c>
      <c r="C55" s="876"/>
      <c r="D55" s="876"/>
      <c r="E55" s="876"/>
      <c r="F55" s="876"/>
      <c r="G55" s="876"/>
      <c r="H55" s="876"/>
      <c r="I55" s="877"/>
      <c r="J55" s="878"/>
      <c r="K55" s="897">
        <f ca="1">K17+K42</f>
        <v>114248066.68783461</v>
      </c>
      <c r="M55" s="897">
        <f t="shared" ref="M55:AR55" si="36">M17+M42</f>
        <v>0</v>
      </c>
      <c r="N55" s="897">
        <f t="shared" ca="1" si="36"/>
        <v>-126989.66851214715</v>
      </c>
      <c r="O55" s="897">
        <f t="shared" ca="1" si="36"/>
        <v>-117764.4279808969</v>
      </c>
      <c r="P55" s="897">
        <f t="shared" ca="1" si="36"/>
        <v>-308474.43865589669</v>
      </c>
      <c r="Q55" s="897">
        <f t="shared" ca="1" si="36"/>
        <v>-164719.18592655822</v>
      </c>
      <c r="R55" s="897">
        <f t="shared" ca="1" si="36"/>
        <v>-95843.152676558122</v>
      </c>
      <c r="S55" s="897">
        <f t="shared" ca="1" si="36"/>
        <v>-56963.07407655823</v>
      </c>
      <c r="T55" s="897">
        <f t="shared" ca="1" si="36"/>
        <v>-191716.19501280808</v>
      </c>
      <c r="U55" s="897">
        <f t="shared" ca="1" si="36"/>
        <v>-19748.00388780795</v>
      </c>
      <c r="V55" s="897">
        <f t="shared" ca="1" si="36"/>
        <v>-19203.044700308004</v>
      </c>
      <c r="W55" s="897">
        <f t="shared" ca="1" si="36"/>
        <v>-18658.085512808058</v>
      </c>
      <c r="X55" s="897">
        <f t="shared" ca="1" si="36"/>
        <v>-18658.085512808058</v>
      </c>
      <c r="Y55" s="897">
        <f t="shared" ca="1" si="36"/>
        <v>-38804.030012808042</v>
      </c>
      <c r="Z55" s="897">
        <f t="shared" ca="1" si="36"/>
        <v>-38836.482387070893</v>
      </c>
      <c r="AA55" s="897">
        <f t="shared" ca="1" si="36"/>
        <v>-40525.815092539764</v>
      </c>
      <c r="AB55" s="897">
        <f t="shared" ca="1" si="36"/>
        <v>-236003.5760344147</v>
      </c>
      <c r="AC55" s="897">
        <f t="shared" ca="1" si="36"/>
        <v>-138072.26587919949</v>
      </c>
      <c r="AD55" s="897">
        <f t="shared" ca="1" si="36"/>
        <v>-67474.331797949621</v>
      </c>
      <c r="AE55" s="897">
        <f t="shared" ca="1" si="36"/>
        <v>-27622.251232949668</v>
      </c>
      <c r="AF55" s="897">
        <f t="shared" ca="1" si="36"/>
        <v>-165744.20019260596</v>
      </c>
      <c r="AG55" s="897">
        <f t="shared" ca="1" si="36"/>
        <v>10523.195710518979</v>
      </c>
      <c r="AH55" s="897">
        <f t="shared" ca="1" si="36"/>
        <v>11081.778877706616</v>
      </c>
      <c r="AI55" s="897">
        <f t="shared" ca="1" si="36"/>
        <v>11640.36204489402</v>
      </c>
      <c r="AJ55" s="897">
        <f t="shared" ca="1" si="36"/>
        <v>11640.36204489402</v>
      </c>
      <c r="AK55" s="897">
        <f t="shared" ca="1" si="36"/>
        <v>-9009.2310676058987</v>
      </c>
      <c r="AL55" s="897">
        <f t="shared" ca="1" si="36"/>
        <v>-13791.703634603997</v>
      </c>
      <c r="AM55" s="897">
        <f t="shared" ca="1" si="36"/>
        <v>-36172.862770209438</v>
      </c>
      <c r="AN55" s="897">
        <f t="shared" ca="1" si="36"/>
        <v>-60258.541413756437</v>
      </c>
      <c r="AO55" s="897">
        <f t="shared" ca="1" si="36"/>
        <v>8588.9832475263393</v>
      </c>
      <c r="AP55" s="897">
        <f t="shared" ca="1" si="36"/>
        <v>-63795.092393254978</v>
      </c>
      <c r="AQ55" s="897">
        <f t="shared" ca="1" si="36"/>
        <v>-22946.709814129979</v>
      </c>
      <c r="AR55" s="897">
        <f t="shared" ca="1" si="36"/>
        <v>17297.468795659603</v>
      </c>
      <c r="AS55" s="897">
        <f t="shared" ref="AS55:BX55" ca="1" si="37">AS17+AS42</f>
        <v>-1045760.8452406945</v>
      </c>
      <c r="AT55" s="897">
        <f t="shared" ca="1" si="37"/>
        <v>-1018820.4594022899</v>
      </c>
      <c r="AU55" s="897">
        <f t="shared" ca="1" si="37"/>
        <v>-1083309.797225791</v>
      </c>
      <c r="AV55" s="897">
        <f t="shared" ca="1" si="37"/>
        <v>-1014911.4047036218</v>
      </c>
      <c r="AW55" s="897">
        <f t="shared" ca="1" si="37"/>
        <v>-1036077.2376439343</v>
      </c>
      <c r="AX55" s="897">
        <f t="shared" ca="1" si="37"/>
        <v>46836.748093368136</v>
      </c>
      <c r="AY55" s="897">
        <f t="shared" ca="1" si="37"/>
        <v>52952.319998723106</v>
      </c>
      <c r="AZ55" s="897">
        <f t="shared" ca="1" si="37"/>
        <v>51167.918776141596</v>
      </c>
      <c r="BA55" s="897">
        <f t="shared" ca="1" si="37"/>
        <v>48708.533151383395</v>
      </c>
      <c r="BB55" s="897">
        <f t="shared" ca="1" si="37"/>
        <v>2169.6591628879542</v>
      </c>
      <c r="BC55" s="897">
        <f t="shared" ca="1" si="37"/>
        <v>44039.251306491089</v>
      </c>
      <c r="BD55" s="897">
        <f t="shared" ca="1" si="37"/>
        <v>84674.367138717789</v>
      </c>
      <c r="BE55" s="897">
        <f t="shared" ca="1" si="37"/>
        <v>85232.922775962972</v>
      </c>
      <c r="BF55" s="897">
        <f t="shared" ca="1" si="37"/>
        <v>85232.922775962972</v>
      </c>
      <c r="BG55" s="897">
        <f t="shared" ca="1" si="37"/>
        <v>88652.842402071576</v>
      </c>
      <c r="BH55" s="897">
        <f t="shared" ca="1" si="37"/>
        <v>88652.842402071576</v>
      </c>
      <c r="BI55" s="897">
        <f t="shared" ca="1" si="37"/>
        <v>88652.842402071576</v>
      </c>
      <c r="BJ55" s="897">
        <f t="shared" ca="1" si="37"/>
        <v>88421.365621183417</v>
      </c>
      <c r="BK55" s="897">
        <f t="shared" ca="1" si="37"/>
        <v>94619.754000369809</v>
      </c>
      <c r="BL55" s="897">
        <f t="shared" ca="1" si="37"/>
        <v>99332.136832808028</v>
      </c>
      <c r="BM55" s="897">
        <f t="shared" ca="1" si="37"/>
        <v>112099.73439039977</v>
      </c>
      <c r="BN55" s="897">
        <f t="shared" ca="1" si="37"/>
        <v>36051.214920303901</v>
      </c>
      <c r="BO55" s="897">
        <f t="shared" ca="1" si="37"/>
        <v>78967.546867497149</v>
      </c>
      <c r="BP55" s="897">
        <f t="shared" ca="1" si="37"/>
        <v>121247.67172926839</v>
      </c>
      <c r="BQ55" s="897">
        <f t="shared" ca="1" si="37"/>
        <v>121247.67172926839</v>
      </c>
      <c r="BR55" s="897">
        <f t="shared" ca="1" si="37"/>
        <v>121247.67172926839</v>
      </c>
      <c r="BS55" s="897">
        <f t="shared" ca="1" si="37"/>
        <v>124753.08934602968</v>
      </c>
      <c r="BT55" s="897">
        <f t="shared" ca="1" si="37"/>
        <v>124753.08934602968</v>
      </c>
      <c r="BU55" s="897">
        <f t="shared" ca="1" si="37"/>
        <v>124753.08934602968</v>
      </c>
      <c r="BV55" s="897">
        <f t="shared" ca="1" si="37"/>
        <v>177705.09967445058</v>
      </c>
      <c r="BW55" s="897">
        <f t="shared" ca="1" si="37"/>
        <v>184058.44776311691</v>
      </c>
      <c r="BX55" s="897">
        <f t="shared" ca="1" si="37"/>
        <v>188888.64016636636</v>
      </c>
      <c r="BY55" s="897">
        <f t="shared" ref="BY55:DD55" ca="1" si="38">BY17+BY42</f>
        <v>201975.42766289751</v>
      </c>
      <c r="BZ55" s="897">
        <f t="shared" ca="1" si="38"/>
        <v>124025.69520604925</v>
      </c>
      <c r="CA55" s="897">
        <f t="shared" ca="1" si="38"/>
        <v>168014.93545192259</v>
      </c>
      <c r="CB55" s="897">
        <f t="shared" ca="1" si="38"/>
        <v>211352.0634352382</v>
      </c>
      <c r="CC55" s="897">
        <f t="shared" ca="1" si="38"/>
        <v>211352.0634352382</v>
      </c>
      <c r="CD55" s="897">
        <f t="shared" ca="1" si="38"/>
        <v>211352.0634352382</v>
      </c>
      <c r="CE55" s="897">
        <f t="shared" ca="1" si="38"/>
        <v>214945.11649241846</v>
      </c>
      <c r="CF55" s="897">
        <f t="shared" ca="1" si="38"/>
        <v>214945.11649241846</v>
      </c>
      <c r="CG55" s="897">
        <f t="shared" ca="1" si="38"/>
        <v>214945.11649241846</v>
      </c>
      <c r="CH55" s="897">
        <f t="shared" ca="1" si="38"/>
        <v>214580.48782483244</v>
      </c>
      <c r="CI55" s="897">
        <f t="shared" ca="1" si="38"/>
        <v>221092.66961571516</v>
      </c>
      <c r="CJ55" s="897">
        <f t="shared" ca="1" si="38"/>
        <v>226043.61682904593</v>
      </c>
      <c r="CK55" s="897">
        <f t="shared" ca="1" si="38"/>
        <v>239457.57401299046</v>
      </c>
      <c r="CL55" s="897">
        <f t="shared" ca="1" si="38"/>
        <v>159559.09824472119</v>
      </c>
      <c r="CM55" s="897">
        <f t="shared" ca="1" si="38"/>
        <v>204648.06949674117</v>
      </c>
      <c r="CN55" s="897">
        <f t="shared" ca="1" si="38"/>
        <v>249068.62567963952</v>
      </c>
      <c r="CO55" s="897">
        <f t="shared" ca="1" si="38"/>
        <v>249068.62567963952</v>
      </c>
      <c r="CP55" s="897">
        <f t="shared" ca="1" si="38"/>
        <v>249068.62567963952</v>
      </c>
      <c r="CQ55" s="897">
        <f t="shared" ca="1" si="38"/>
        <v>252751.50506324926</v>
      </c>
      <c r="CR55" s="897">
        <f t="shared" ca="1" si="38"/>
        <v>252751.50506324926</v>
      </c>
      <c r="CS55" s="897">
        <f t="shared" ca="1" si="38"/>
        <v>252751.50506324926</v>
      </c>
      <c r="CT55" s="897">
        <f t="shared" ca="1" si="38"/>
        <v>252320.08701037476</v>
      </c>
      <c r="CU55" s="897">
        <f t="shared" ca="1" si="38"/>
        <v>258995.07334602997</v>
      </c>
      <c r="CV55" s="897">
        <f t="shared" ca="1" si="38"/>
        <v>264069.79423969379</v>
      </c>
      <c r="CW55" s="897">
        <f t="shared" ca="1" si="38"/>
        <v>277819.10035323678</v>
      </c>
      <c r="CX55" s="897">
        <f t="shared" ca="1" si="38"/>
        <v>195923.16269076068</v>
      </c>
      <c r="CY55" s="897">
        <f t="shared" ca="1" si="38"/>
        <v>242139.35822408099</v>
      </c>
      <c r="CZ55" s="897">
        <f t="shared" ca="1" si="38"/>
        <v>-349306.33428001939</v>
      </c>
      <c r="DA55" s="897">
        <f t="shared" ca="1" si="38"/>
        <v>250845.43610402662</v>
      </c>
      <c r="DB55" s="897">
        <f t="shared" ca="1" si="38"/>
        <v>250845.43610402662</v>
      </c>
      <c r="DC55" s="897">
        <f t="shared" ca="1" si="38"/>
        <v>177233.88442412729</v>
      </c>
      <c r="DD55" s="897">
        <f t="shared" ca="1" si="38"/>
        <v>254620.38747222628</v>
      </c>
      <c r="DE55" s="897">
        <f t="shared" ref="DE55:DT55" ca="1" si="39">DE17+DE42</f>
        <v>254620.38747222628</v>
      </c>
      <c r="DF55" s="897">
        <f t="shared" ca="1" si="39"/>
        <v>254205.47818903159</v>
      </c>
      <c r="DG55" s="897">
        <f t="shared" ca="1" si="39"/>
        <v>260855.21233065519</v>
      </c>
      <c r="DH55" s="897">
        <f t="shared" ca="1" si="39"/>
        <v>248314.5385286446</v>
      </c>
      <c r="DI55" s="897">
        <f t="shared" ca="1" si="39"/>
        <v>237827.45358644251</v>
      </c>
      <c r="DJ55" s="897">
        <f t="shared" ca="1" si="39"/>
        <v>280044.45375185343</v>
      </c>
      <c r="DK55" s="897">
        <f t="shared" ca="1" si="39"/>
        <v>253957.34919410152</v>
      </c>
      <c r="DL55" s="897">
        <f t="shared" ca="1" si="39"/>
        <v>289294.19013686944</v>
      </c>
      <c r="DM55" s="897">
        <f t="shared" ca="1" si="39"/>
        <v>289926.14457220491</v>
      </c>
      <c r="DN55" s="897">
        <f t="shared" ca="1" si="39"/>
        <v>289926.14457220491</v>
      </c>
      <c r="DO55" s="897">
        <f t="shared" ca="1" si="39"/>
        <v>293795.46972460975</v>
      </c>
      <c r="DP55" s="897">
        <f t="shared" ca="1" si="39"/>
        <v>293795.46972460975</v>
      </c>
      <c r="DQ55" s="897">
        <f t="shared" ca="1" si="39"/>
        <v>293795.46972460975</v>
      </c>
      <c r="DR55" s="897">
        <f t="shared" ca="1" si="39"/>
        <v>293315.48406297155</v>
      </c>
      <c r="DS55" s="897">
        <f t="shared" ca="1" si="39"/>
        <v>300131.46155813569</v>
      </c>
      <c r="DT55" s="897">
        <f t="shared" ca="1" si="39"/>
        <v>305301.38620715891</v>
      </c>
      <c r="DU55" s="897">
        <f t="shared" ref="DU55:ER55" ca="1" si="40">DU17+DU42</f>
        <v>319309.76978808013</v>
      </c>
      <c r="DV55" s="897">
        <f t="shared" ca="1" si="40"/>
        <v>319309.76978808013</v>
      </c>
      <c r="DW55" s="897">
        <f t="shared" ca="1" si="40"/>
        <v>324641.58126752614</v>
      </c>
      <c r="DX55" s="897">
        <f t="shared" ca="1" si="40"/>
        <v>329438.5028789402</v>
      </c>
      <c r="DY55" s="897">
        <f t="shared" ca="1" si="40"/>
        <v>329438.5028789402</v>
      </c>
      <c r="DZ55" s="897">
        <f t="shared" ca="1" si="40"/>
        <v>329438.5028789402</v>
      </c>
      <c r="EA55" s="897">
        <f t="shared" ca="1" si="40"/>
        <v>333404.56116015534</v>
      </c>
      <c r="EB55" s="897">
        <f t="shared" ca="1" si="40"/>
        <v>333404.56116015534</v>
      </c>
      <c r="EC55" s="897">
        <f t="shared" ca="1" si="40"/>
        <v>105232102.60647751</v>
      </c>
      <c r="ED55" s="897">
        <f t="shared" ca="1" si="40"/>
        <v>0</v>
      </c>
      <c r="EE55" s="897">
        <f t="shared" ca="1" si="40"/>
        <v>0</v>
      </c>
      <c r="EF55" s="897">
        <f t="shared" ca="1" si="40"/>
        <v>0</v>
      </c>
      <c r="EG55" s="897">
        <f t="shared" ca="1" si="40"/>
        <v>0</v>
      </c>
      <c r="EH55" s="897">
        <f t="shared" ca="1" si="40"/>
        <v>0</v>
      </c>
      <c r="EI55" s="897">
        <f t="shared" ca="1" si="40"/>
        <v>0</v>
      </c>
      <c r="EJ55" s="897">
        <f t="shared" ca="1" si="40"/>
        <v>0</v>
      </c>
      <c r="EK55" s="897">
        <f t="shared" ca="1" si="40"/>
        <v>0</v>
      </c>
      <c r="EL55" s="897">
        <f t="shared" ca="1" si="40"/>
        <v>0</v>
      </c>
      <c r="EM55" s="897">
        <f t="shared" ca="1" si="40"/>
        <v>0</v>
      </c>
      <c r="EN55" s="897">
        <f t="shared" ca="1" si="40"/>
        <v>0</v>
      </c>
      <c r="EO55" s="897">
        <f t="shared" ca="1" si="40"/>
        <v>0</v>
      </c>
      <c r="EP55" s="897">
        <f t="shared" ca="1" si="40"/>
        <v>0</v>
      </c>
      <c r="EQ55" s="897">
        <f t="shared" ca="1" si="40"/>
        <v>0</v>
      </c>
      <c r="ER55" s="897">
        <f t="shared" ca="1" si="40"/>
        <v>0</v>
      </c>
    </row>
    <row r="56" spans="2:148" ht="11.25" customHeight="1">
      <c r="B56" s="218"/>
      <c r="C56" s="904" t="s">
        <v>537</v>
      </c>
      <c r="D56" s="905"/>
      <c r="E56" s="905"/>
      <c r="F56" s="905"/>
      <c r="G56" s="905"/>
      <c r="H56" s="905"/>
      <c r="I56" s="906"/>
      <c r="J56" s="907"/>
      <c r="K56" s="908">
        <f>SUM(M56:ER56)</f>
        <v>0</v>
      </c>
      <c r="L56" s="909"/>
      <c r="M56" s="910">
        <v>0</v>
      </c>
      <c r="N56" s="910">
        <v>0</v>
      </c>
      <c r="O56" s="910">
        <v>0</v>
      </c>
      <c r="P56" s="910">
        <v>0</v>
      </c>
      <c r="Q56" s="910">
        <v>0</v>
      </c>
      <c r="R56" s="910">
        <v>0</v>
      </c>
      <c r="S56" s="910">
        <v>0</v>
      </c>
      <c r="T56" s="910">
        <v>0</v>
      </c>
      <c r="U56" s="910">
        <v>0</v>
      </c>
      <c r="V56" s="910">
        <v>0</v>
      </c>
      <c r="W56" s="910">
        <v>0</v>
      </c>
      <c r="X56" s="910">
        <v>0</v>
      </c>
      <c r="Y56" s="910">
        <v>0</v>
      </c>
      <c r="Z56" s="910">
        <v>0</v>
      </c>
      <c r="AA56" s="910">
        <v>0</v>
      </c>
      <c r="AB56" s="910">
        <v>0</v>
      </c>
      <c r="AC56" s="910">
        <v>0</v>
      </c>
      <c r="AD56" s="910">
        <v>0</v>
      </c>
      <c r="AE56" s="910">
        <v>0</v>
      </c>
      <c r="AF56" s="910">
        <v>0</v>
      </c>
      <c r="AG56" s="910">
        <v>0</v>
      </c>
      <c r="AH56" s="910">
        <v>0</v>
      </c>
      <c r="AI56" s="910">
        <v>0</v>
      </c>
      <c r="AJ56" s="910">
        <v>0</v>
      </c>
      <c r="AK56" s="910">
        <v>0</v>
      </c>
      <c r="AL56" s="910">
        <v>0</v>
      </c>
      <c r="AM56" s="910">
        <v>0</v>
      </c>
      <c r="AN56" s="910">
        <v>0</v>
      </c>
      <c r="AO56" s="910">
        <v>0</v>
      </c>
      <c r="AP56" s="910">
        <v>0</v>
      </c>
      <c r="AQ56" s="910">
        <v>0</v>
      </c>
      <c r="AR56" s="910">
        <v>0</v>
      </c>
      <c r="AS56" s="910">
        <v>0</v>
      </c>
      <c r="AT56" s="910">
        <v>0</v>
      </c>
      <c r="AU56" s="910">
        <v>0</v>
      </c>
      <c r="AV56" s="910">
        <v>0</v>
      </c>
      <c r="AW56" s="910">
        <v>0</v>
      </c>
      <c r="AX56" s="910">
        <v>0</v>
      </c>
      <c r="AY56" s="910">
        <v>0</v>
      </c>
      <c r="AZ56" s="910">
        <v>0</v>
      </c>
      <c r="BA56" s="910">
        <v>0</v>
      </c>
      <c r="BB56" s="910">
        <v>0</v>
      </c>
      <c r="BC56" s="910">
        <v>0</v>
      </c>
      <c r="BD56" s="910">
        <v>0</v>
      </c>
      <c r="BE56" s="910">
        <v>0</v>
      </c>
      <c r="BF56" s="910">
        <v>0</v>
      </c>
      <c r="BG56" s="910">
        <v>0</v>
      </c>
      <c r="BH56" s="910">
        <v>0</v>
      </c>
      <c r="BI56" s="910">
        <v>0</v>
      </c>
      <c r="BJ56" s="910">
        <v>0</v>
      </c>
      <c r="BK56" s="910">
        <v>0</v>
      </c>
      <c r="BL56" s="910">
        <v>0</v>
      </c>
      <c r="BM56" s="910">
        <v>0</v>
      </c>
      <c r="BN56" s="910">
        <v>0</v>
      </c>
      <c r="BO56" s="910">
        <v>0</v>
      </c>
      <c r="BP56" s="910">
        <v>0</v>
      </c>
      <c r="BQ56" s="910">
        <v>0</v>
      </c>
      <c r="BR56" s="910">
        <v>0</v>
      </c>
      <c r="BS56" s="910">
        <v>0</v>
      </c>
      <c r="BT56" s="910">
        <v>0</v>
      </c>
      <c r="BU56" s="910">
        <v>0</v>
      </c>
      <c r="BV56" s="910">
        <v>0</v>
      </c>
      <c r="BW56" s="910">
        <v>0</v>
      </c>
      <c r="BX56" s="910">
        <v>0</v>
      </c>
      <c r="BY56" s="910">
        <v>0</v>
      </c>
      <c r="BZ56" s="910">
        <v>0</v>
      </c>
      <c r="CA56" s="910">
        <v>0</v>
      </c>
      <c r="CB56" s="910">
        <v>0</v>
      </c>
      <c r="CC56" s="910">
        <v>0</v>
      </c>
      <c r="CD56" s="910">
        <v>0</v>
      </c>
      <c r="CE56" s="910">
        <v>0</v>
      </c>
      <c r="CF56" s="910">
        <v>0</v>
      </c>
      <c r="CG56" s="910">
        <v>0</v>
      </c>
      <c r="CH56" s="910">
        <v>0</v>
      </c>
      <c r="CI56" s="910">
        <v>0</v>
      </c>
      <c r="CJ56" s="910">
        <v>0</v>
      </c>
      <c r="CK56" s="910">
        <v>0</v>
      </c>
      <c r="CL56" s="910">
        <v>0</v>
      </c>
      <c r="CM56" s="910">
        <v>0</v>
      </c>
      <c r="CN56" s="910">
        <v>0</v>
      </c>
      <c r="CO56" s="910">
        <v>0</v>
      </c>
      <c r="CP56" s="910">
        <v>0</v>
      </c>
      <c r="CQ56" s="910">
        <v>0</v>
      </c>
      <c r="CR56" s="910">
        <v>0</v>
      </c>
      <c r="CS56" s="910">
        <v>0</v>
      </c>
      <c r="CT56" s="910">
        <v>0</v>
      </c>
      <c r="CU56" s="910">
        <v>0</v>
      </c>
      <c r="CV56" s="910">
        <v>0</v>
      </c>
      <c r="CW56" s="910">
        <v>0</v>
      </c>
      <c r="CX56" s="910">
        <v>0</v>
      </c>
      <c r="CY56" s="910">
        <v>0</v>
      </c>
      <c r="CZ56" s="910">
        <v>0</v>
      </c>
      <c r="DA56" s="910">
        <v>0</v>
      </c>
      <c r="DB56" s="910">
        <v>0</v>
      </c>
      <c r="DC56" s="910">
        <v>0</v>
      </c>
      <c r="DD56" s="910">
        <v>0</v>
      </c>
      <c r="DE56" s="910">
        <v>0</v>
      </c>
      <c r="DF56" s="910">
        <v>0</v>
      </c>
      <c r="DG56" s="910">
        <v>0</v>
      </c>
      <c r="DH56" s="910">
        <v>0</v>
      </c>
      <c r="DI56" s="910">
        <v>0</v>
      </c>
      <c r="DJ56" s="910">
        <v>0</v>
      </c>
      <c r="DK56" s="910">
        <v>0</v>
      </c>
      <c r="DL56" s="910">
        <v>0</v>
      </c>
      <c r="DM56" s="910">
        <v>0</v>
      </c>
      <c r="DN56" s="910">
        <v>0</v>
      </c>
      <c r="DO56" s="910">
        <v>0</v>
      </c>
      <c r="DP56" s="910">
        <v>0</v>
      </c>
      <c r="DQ56" s="910">
        <v>0</v>
      </c>
      <c r="DR56" s="910">
        <v>0</v>
      </c>
      <c r="DS56" s="910">
        <v>0</v>
      </c>
      <c r="DT56" s="910">
        <v>0</v>
      </c>
      <c r="DU56" s="910">
        <v>0</v>
      </c>
      <c r="DV56" s="910">
        <v>0</v>
      </c>
      <c r="DW56" s="910">
        <v>0</v>
      </c>
      <c r="DX56" s="910">
        <v>0</v>
      </c>
      <c r="DY56" s="910">
        <v>0</v>
      </c>
      <c r="DZ56" s="910">
        <v>0</v>
      </c>
      <c r="EA56" s="910">
        <v>0</v>
      </c>
      <c r="EB56" s="910">
        <v>0</v>
      </c>
      <c r="EC56" s="910">
        <v>0</v>
      </c>
      <c r="ED56" s="910">
        <v>0</v>
      </c>
      <c r="EE56" s="910">
        <v>0</v>
      </c>
      <c r="EF56" s="910">
        <v>0</v>
      </c>
      <c r="EG56" s="910">
        <v>0</v>
      </c>
      <c r="EH56" s="910">
        <v>0</v>
      </c>
      <c r="EI56" s="910">
        <v>0</v>
      </c>
      <c r="EJ56" s="910">
        <v>0</v>
      </c>
      <c r="EK56" s="910">
        <v>0</v>
      </c>
      <c r="EL56" s="910">
        <v>0</v>
      </c>
      <c r="EM56" s="910">
        <v>0</v>
      </c>
      <c r="EN56" s="910">
        <v>0</v>
      </c>
      <c r="EO56" s="910">
        <v>0</v>
      </c>
      <c r="EP56" s="910">
        <v>0</v>
      </c>
      <c r="EQ56" s="910">
        <v>0</v>
      </c>
      <c r="ER56" s="910">
        <v>0</v>
      </c>
    </row>
    <row r="57" spans="2:148" ht="11.25" customHeight="1">
      <c r="B57" s="901" t="s">
        <v>538</v>
      </c>
      <c r="C57" s="898"/>
      <c r="D57" s="898"/>
      <c r="E57" s="898"/>
      <c r="F57" s="898"/>
      <c r="G57" s="898"/>
      <c r="H57" s="898"/>
      <c r="I57" s="899"/>
      <c r="J57" s="900"/>
      <c r="K57" s="902">
        <f ca="1">K55-K56</f>
        <v>114248066.68783461</v>
      </c>
      <c r="M57" s="903">
        <f>M55-M56</f>
        <v>0</v>
      </c>
      <c r="N57" s="903">
        <f t="shared" ref="N57:BY57" ca="1" si="41">N55-N56</f>
        <v>-126989.66851214715</v>
      </c>
      <c r="O57" s="903">
        <f t="shared" ca="1" si="41"/>
        <v>-117764.4279808969</v>
      </c>
      <c r="P57" s="903">
        <f t="shared" ca="1" si="41"/>
        <v>-308474.43865589669</v>
      </c>
      <c r="Q57" s="903">
        <f t="shared" ca="1" si="41"/>
        <v>-164719.18592655822</v>
      </c>
      <c r="R57" s="903">
        <f t="shared" ca="1" si="41"/>
        <v>-95843.152676558122</v>
      </c>
      <c r="S57" s="903">
        <f t="shared" ca="1" si="41"/>
        <v>-56963.07407655823</v>
      </c>
      <c r="T57" s="903">
        <f t="shared" ca="1" si="41"/>
        <v>-191716.19501280808</v>
      </c>
      <c r="U57" s="903">
        <f t="shared" ca="1" si="41"/>
        <v>-19748.00388780795</v>
      </c>
      <c r="V57" s="903">
        <f t="shared" ca="1" si="41"/>
        <v>-19203.044700308004</v>
      </c>
      <c r="W57" s="903">
        <f t="shared" ca="1" si="41"/>
        <v>-18658.085512808058</v>
      </c>
      <c r="X57" s="903">
        <f t="shared" ca="1" si="41"/>
        <v>-18658.085512808058</v>
      </c>
      <c r="Y57" s="903">
        <f t="shared" ca="1" si="41"/>
        <v>-38804.030012808042</v>
      </c>
      <c r="Z57" s="903">
        <f t="shared" ca="1" si="41"/>
        <v>-38836.482387070893</v>
      </c>
      <c r="AA57" s="903">
        <f t="shared" ca="1" si="41"/>
        <v>-40525.815092539764</v>
      </c>
      <c r="AB57" s="903">
        <f t="shared" ca="1" si="41"/>
        <v>-236003.5760344147</v>
      </c>
      <c r="AC57" s="903">
        <f t="shared" ca="1" si="41"/>
        <v>-138072.26587919949</v>
      </c>
      <c r="AD57" s="903">
        <f t="shared" ca="1" si="41"/>
        <v>-67474.331797949621</v>
      </c>
      <c r="AE57" s="903">
        <f t="shared" ca="1" si="41"/>
        <v>-27622.251232949668</v>
      </c>
      <c r="AF57" s="903">
        <f t="shared" ca="1" si="41"/>
        <v>-165744.20019260596</v>
      </c>
      <c r="AG57" s="903">
        <f t="shared" ca="1" si="41"/>
        <v>10523.195710518979</v>
      </c>
      <c r="AH57" s="903">
        <f t="shared" ca="1" si="41"/>
        <v>11081.778877706616</v>
      </c>
      <c r="AI57" s="903">
        <f t="shared" ca="1" si="41"/>
        <v>11640.36204489402</v>
      </c>
      <c r="AJ57" s="903">
        <f t="shared" ca="1" si="41"/>
        <v>11640.36204489402</v>
      </c>
      <c r="AK57" s="903">
        <f t="shared" ca="1" si="41"/>
        <v>-9009.2310676058987</v>
      </c>
      <c r="AL57" s="903">
        <f t="shared" ca="1" si="41"/>
        <v>-13791.703634603997</v>
      </c>
      <c r="AM57" s="903">
        <f t="shared" ca="1" si="41"/>
        <v>-36172.862770209438</v>
      </c>
      <c r="AN57" s="903">
        <f t="shared" ca="1" si="41"/>
        <v>-60258.541413756437</v>
      </c>
      <c r="AO57" s="903">
        <f t="shared" ca="1" si="41"/>
        <v>8588.9832475263393</v>
      </c>
      <c r="AP57" s="903">
        <f t="shared" ca="1" si="41"/>
        <v>-63795.092393254978</v>
      </c>
      <c r="AQ57" s="903">
        <f t="shared" ca="1" si="41"/>
        <v>-22946.709814129979</v>
      </c>
      <c r="AR57" s="903">
        <f t="shared" ca="1" si="41"/>
        <v>17297.468795659603</v>
      </c>
      <c r="AS57" s="903">
        <f t="shared" ca="1" si="41"/>
        <v>-1045760.8452406945</v>
      </c>
      <c r="AT57" s="903">
        <f t="shared" ca="1" si="41"/>
        <v>-1018820.4594022899</v>
      </c>
      <c r="AU57" s="903">
        <f t="shared" ca="1" si="41"/>
        <v>-1083309.797225791</v>
      </c>
      <c r="AV57" s="903">
        <f t="shared" ca="1" si="41"/>
        <v>-1014911.4047036218</v>
      </c>
      <c r="AW57" s="903">
        <f t="shared" ca="1" si="41"/>
        <v>-1036077.2376439343</v>
      </c>
      <c r="AX57" s="903">
        <f t="shared" ca="1" si="41"/>
        <v>46836.748093368136</v>
      </c>
      <c r="AY57" s="903">
        <f t="shared" ca="1" si="41"/>
        <v>52952.319998723106</v>
      </c>
      <c r="AZ57" s="903">
        <f t="shared" ca="1" si="41"/>
        <v>51167.918776141596</v>
      </c>
      <c r="BA57" s="903">
        <f t="shared" ca="1" si="41"/>
        <v>48708.533151383395</v>
      </c>
      <c r="BB57" s="903">
        <f t="shared" ca="1" si="41"/>
        <v>2169.6591628879542</v>
      </c>
      <c r="BC57" s="903">
        <f t="shared" ca="1" si="41"/>
        <v>44039.251306491089</v>
      </c>
      <c r="BD57" s="903">
        <f t="shared" ca="1" si="41"/>
        <v>84674.367138717789</v>
      </c>
      <c r="BE57" s="903">
        <f t="shared" ca="1" si="41"/>
        <v>85232.922775962972</v>
      </c>
      <c r="BF57" s="903">
        <f t="shared" ca="1" si="41"/>
        <v>85232.922775962972</v>
      </c>
      <c r="BG57" s="903">
        <f t="shared" ca="1" si="41"/>
        <v>88652.842402071576</v>
      </c>
      <c r="BH57" s="903">
        <f t="shared" ca="1" si="41"/>
        <v>88652.842402071576</v>
      </c>
      <c r="BI57" s="903">
        <f t="shared" ca="1" si="41"/>
        <v>88652.842402071576</v>
      </c>
      <c r="BJ57" s="903">
        <f t="shared" ca="1" si="41"/>
        <v>88421.365621183417</v>
      </c>
      <c r="BK57" s="903">
        <f t="shared" ca="1" si="41"/>
        <v>94619.754000369809</v>
      </c>
      <c r="BL57" s="903">
        <f t="shared" ca="1" si="41"/>
        <v>99332.136832808028</v>
      </c>
      <c r="BM57" s="903">
        <f t="shared" ca="1" si="41"/>
        <v>112099.73439039977</v>
      </c>
      <c r="BN57" s="903">
        <f t="shared" ca="1" si="41"/>
        <v>36051.214920303901</v>
      </c>
      <c r="BO57" s="903">
        <f t="shared" ca="1" si="41"/>
        <v>78967.546867497149</v>
      </c>
      <c r="BP57" s="903">
        <f t="shared" ca="1" si="41"/>
        <v>121247.67172926839</v>
      </c>
      <c r="BQ57" s="903">
        <f t="shared" ca="1" si="41"/>
        <v>121247.67172926839</v>
      </c>
      <c r="BR57" s="903">
        <f t="shared" ca="1" si="41"/>
        <v>121247.67172926839</v>
      </c>
      <c r="BS57" s="903">
        <f t="shared" ca="1" si="41"/>
        <v>124753.08934602968</v>
      </c>
      <c r="BT57" s="903">
        <f t="shared" ca="1" si="41"/>
        <v>124753.08934602968</v>
      </c>
      <c r="BU57" s="903">
        <f t="shared" ca="1" si="41"/>
        <v>124753.08934602968</v>
      </c>
      <c r="BV57" s="903">
        <f t="shared" ca="1" si="41"/>
        <v>177705.09967445058</v>
      </c>
      <c r="BW57" s="903">
        <f t="shared" ca="1" si="41"/>
        <v>184058.44776311691</v>
      </c>
      <c r="BX57" s="903">
        <f t="shared" ca="1" si="41"/>
        <v>188888.64016636636</v>
      </c>
      <c r="BY57" s="903">
        <f t="shared" ca="1" si="41"/>
        <v>201975.42766289751</v>
      </c>
      <c r="BZ57" s="903">
        <f t="shared" ref="BZ57:DT57" ca="1" si="42">BZ55-BZ56</f>
        <v>124025.69520604925</v>
      </c>
      <c r="CA57" s="903">
        <f t="shared" ca="1" si="42"/>
        <v>168014.93545192259</v>
      </c>
      <c r="CB57" s="903">
        <f t="shared" ca="1" si="42"/>
        <v>211352.0634352382</v>
      </c>
      <c r="CC57" s="903">
        <f t="shared" ca="1" si="42"/>
        <v>211352.0634352382</v>
      </c>
      <c r="CD57" s="903">
        <f t="shared" ca="1" si="42"/>
        <v>211352.0634352382</v>
      </c>
      <c r="CE57" s="903">
        <f t="shared" ca="1" si="42"/>
        <v>214945.11649241846</v>
      </c>
      <c r="CF57" s="903">
        <f t="shared" ca="1" si="42"/>
        <v>214945.11649241846</v>
      </c>
      <c r="CG57" s="903">
        <f t="shared" ca="1" si="42"/>
        <v>214945.11649241846</v>
      </c>
      <c r="CH57" s="903">
        <f t="shared" ca="1" si="42"/>
        <v>214580.48782483244</v>
      </c>
      <c r="CI57" s="903">
        <f t="shared" ca="1" si="42"/>
        <v>221092.66961571516</v>
      </c>
      <c r="CJ57" s="903">
        <f t="shared" ca="1" si="42"/>
        <v>226043.61682904593</v>
      </c>
      <c r="CK57" s="903">
        <f t="shared" ca="1" si="42"/>
        <v>239457.57401299046</v>
      </c>
      <c r="CL57" s="903">
        <f t="shared" ca="1" si="42"/>
        <v>159559.09824472119</v>
      </c>
      <c r="CM57" s="903">
        <f t="shared" ca="1" si="42"/>
        <v>204648.06949674117</v>
      </c>
      <c r="CN57" s="903">
        <f t="shared" ca="1" si="42"/>
        <v>249068.62567963952</v>
      </c>
      <c r="CO57" s="903">
        <f t="shared" ca="1" si="42"/>
        <v>249068.62567963952</v>
      </c>
      <c r="CP57" s="903">
        <f t="shared" ca="1" si="42"/>
        <v>249068.62567963952</v>
      </c>
      <c r="CQ57" s="903">
        <f t="shared" ca="1" si="42"/>
        <v>252751.50506324926</v>
      </c>
      <c r="CR57" s="903">
        <f t="shared" ca="1" si="42"/>
        <v>252751.50506324926</v>
      </c>
      <c r="CS57" s="903">
        <f t="shared" ca="1" si="42"/>
        <v>252751.50506324926</v>
      </c>
      <c r="CT57" s="903">
        <f t="shared" ca="1" si="42"/>
        <v>252320.08701037476</v>
      </c>
      <c r="CU57" s="903">
        <f t="shared" ca="1" si="42"/>
        <v>258995.07334602997</v>
      </c>
      <c r="CV57" s="903">
        <f t="shared" ca="1" si="42"/>
        <v>264069.79423969379</v>
      </c>
      <c r="CW57" s="903">
        <f t="shared" ca="1" si="42"/>
        <v>277819.10035323678</v>
      </c>
      <c r="CX57" s="903">
        <f t="shared" ca="1" si="42"/>
        <v>195923.16269076068</v>
      </c>
      <c r="CY57" s="903">
        <f t="shared" ca="1" si="42"/>
        <v>242139.35822408099</v>
      </c>
      <c r="CZ57" s="903">
        <f t="shared" ca="1" si="42"/>
        <v>-349306.33428001939</v>
      </c>
      <c r="DA57" s="903">
        <f t="shared" ca="1" si="42"/>
        <v>250845.43610402662</v>
      </c>
      <c r="DB57" s="903">
        <f t="shared" ca="1" si="42"/>
        <v>250845.43610402662</v>
      </c>
      <c r="DC57" s="903">
        <f t="shared" ca="1" si="42"/>
        <v>177233.88442412729</v>
      </c>
      <c r="DD57" s="903">
        <f t="shared" ca="1" si="42"/>
        <v>254620.38747222628</v>
      </c>
      <c r="DE57" s="903">
        <f t="shared" ca="1" si="42"/>
        <v>254620.38747222628</v>
      </c>
      <c r="DF57" s="903">
        <f t="shared" ca="1" si="42"/>
        <v>254205.47818903159</v>
      </c>
      <c r="DG57" s="903">
        <f t="shared" ca="1" si="42"/>
        <v>260855.21233065519</v>
      </c>
      <c r="DH57" s="903">
        <f t="shared" ca="1" si="42"/>
        <v>248314.5385286446</v>
      </c>
      <c r="DI57" s="903">
        <f t="shared" ca="1" si="42"/>
        <v>237827.45358644251</v>
      </c>
      <c r="DJ57" s="903">
        <f t="shared" ca="1" si="42"/>
        <v>280044.45375185343</v>
      </c>
      <c r="DK57" s="903">
        <f t="shared" ca="1" si="42"/>
        <v>253957.34919410152</v>
      </c>
      <c r="DL57" s="903">
        <f t="shared" ca="1" si="42"/>
        <v>289294.19013686944</v>
      </c>
      <c r="DM57" s="903">
        <f t="shared" ca="1" si="42"/>
        <v>289926.14457220491</v>
      </c>
      <c r="DN57" s="903">
        <f t="shared" ca="1" si="42"/>
        <v>289926.14457220491</v>
      </c>
      <c r="DO57" s="903">
        <f t="shared" ca="1" si="42"/>
        <v>293795.46972460975</v>
      </c>
      <c r="DP57" s="903">
        <f t="shared" ca="1" si="42"/>
        <v>293795.46972460975</v>
      </c>
      <c r="DQ57" s="903">
        <f t="shared" ca="1" si="42"/>
        <v>293795.46972460975</v>
      </c>
      <c r="DR57" s="903">
        <f t="shared" ca="1" si="42"/>
        <v>293315.48406297155</v>
      </c>
      <c r="DS57" s="903">
        <f t="shared" ca="1" si="42"/>
        <v>300131.46155813569</v>
      </c>
      <c r="DT57" s="903">
        <f t="shared" ca="1" si="42"/>
        <v>305301.38620715891</v>
      </c>
      <c r="DU57" s="903">
        <f t="shared" ref="DU57:ER57" ca="1" si="43">DU55-DU56</f>
        <v>319309.76978808013</v>
      </c>
      <c r="DV57" s="903">
        <f t="shared" ca="1" si="43"/>
        <v>319309.76978808013</v>
      </c>
      <c r="DW57" s="903">
        <f t="shared" ca="1" si="43"/>
        <v>324641.58126752614</v>
      </c>
      <c r="DX57" s="903">
        <f t="shared" ca="1" si="43"/>
        <v>329438.5028789402</v>
      </c>
      <c r="DY57" s="903">
        <f t="shared" ca="1" si="43"/>
        <v>329438.5028789402</v>
      </c>
      <c r="DZ57" s="903">
        <f t="shared" ca="1" si="43"/>
        <v>329438.5028789402</v>
      </c>
      <c r="EA57" s="903">
        <f t="shared" ca="1" si="43"/>
        <v>333404.56116015534</v>
      </c>
      <c r="EB57" s="903">
        <f t="shared" ca="1" si="43"/>
        <v>333404.56116015534</v>
      </c>
      <c r="EC57" s="903">
        <f t="shared" ca="1" si="43"/>
        <v>105232102.60647751</v>
      </c>
      <c r="ED57" s="903">
        <f t="shared" ca="1" si="43"/>
        <v>0</v>
      </c>
      <c r="EE57" s="903">
        <f t="shared" ca="1" si="43"/>
        <v>0</v>
      </c>
      <c r="EF57" s="903">
        <f t="shared" ca="1" si="43"/>
        <v>0</v>
      </c>
      <c r="EG57" s="903">
        <f t="shared" ca="1" si="43"/>
        <v>0</v>
      </c>
      <c r="EH57" s="903">
        <f t="shared" ca="1" si="43"/>
        <v>0</v>
      </c>
      <c r="EI57" s="903">
        <f t="shared" ca="1" si="43"/>
        <v>0</v>
      </c>
      <c r="EJ57" s="903">
        <f t="shared" ca="1" si="43"/>
        <v>0</v>
      </c>
      <c r="EK57" s="903">
        <f t="shared" ca="1" si="43"/>
        <v>0</v>
      </c>
      <c r="EL57" s="903">
        <f t="shared" ca="1" si="43"/>
        <v>0</v>
      </c>
      <c r="EM57" s="903">
        <f t="shared" ca="1" si="43"/>
        <v>0</v>
      </c>
      <c r="EN57" s="903">
        <f t="shared" ca="1" si="43"/>
        <v>0</v>
      </c>
      <c r="EO57" s="903">
        <f t="shared" ca="1" si="43"/>
        <v>0</v>
      </c>
      <c r="EP57" s="903">
        <f t="shared" ca="1" si="43"/>
        <v>0</v>
      </c>
      <c r="EQ57" s="903">
        <f t="shared" ca="1" si="43"/>
        <v>0</v>
      </c>
      <c r="ER57" s="903">
        <f t="shared" ca="1" si="43"/>
        <v>0</v>
      </c>
    </row>
    <row r="60" spans="2:148" ht="11.25" customHeight="1">
      <c r="B60" s="155" t="s">
        <v>242</v>
      </c>
      <c r="C60" s="155"/>
      <c r="D60" s="155"/>
      <c r="E60" s="155"/>
      <c r="F60" s="155"/>
      <c r="G60" s="155"/>
      <c r="H60" s="155"/>
      <c r="I60" s="191"/>
      <c r="J60" s="192"/>
      <c r="K60" s="915"/>
      <c r="M60" s="210">
        <f t="shared" ref="M60:AR60" si="44">M16</f>
        <v>46326</v>
      </c>
      <c r="N60" s="210">
        <f t="shared" si="44"/>
        <v>46356</v>
      </c>
      <c r="O60" s="210">
        <f t="shared" si="44"/>
        <v>46387</v>
      </c>
      <c r="P60" s="210">
        <f t="shared" si="44"/>
        <v>46418</v>
      </c>
      <c r="Q60" s="210">
        <f t="shared" si="44"/>
        <v>46446</v>
      </c>
      <c r="R60" s="210">
        <f t="shared" si="44"/>
        <v>46477</v>
      </c>
      <c r="S60" s="210">
        <f t="shared" si="44"/>
        <v>46507</v>
      </c>
      <c r="T60" s="210">
        <f t="shared" si="44"/>
        <v>46538</v>
      </c>
      <c r="U60" s="210">
        <f t="shared" si="44"/>
        <v>46568</v>
      </c>
      <c r="V60" s="210">
        <f t="shared" si="44"/>
        <v>46599</v>
      </c>
      <c r="W60" s="210">
        <f t="shared" si="44"/>
        <v>46630</v>
      </c>
      <c r="X60" s="210">
        <f t="shared" si="44"/>
        <v>46660</v>
      </c>
      <c r="Y60" s="210">
        <f t="shared" si="44"/>
        <v>46691</v>
      </c>
      <c r="Z60" s="210">
        <f t="shared" si="44"/>
        <v>46721</v>
      </c>
      <c r="AA60" s="210">
        <f t="shared" si="44"/>
        <v>46752</v>
      </c>
      <c r="AB60" s="210">
        <f t="shared" si="44"/>
        <v>46783</v>
      </c>
      <c r="AC60" s="210">
        <f t="shared" si="44"/>
        <v>46812</v>
      </c>
      <c r="AD60" s="210">
        <f t="shared" si="44"/>
        <v>46843</v>
      </c>
      <c r="AE60" s="210">
        <f t="shared" si="44"/>
        <v>46873</v>
      </c>
      <c r="AF60" s="210">
        <f t="shared" si="44"/>
        <v>46904</v>
      </c>
      <c r="AG60" s="210">
        <f t="shared" si="44"/>
        <v>46934</v>
      </c>
      <c r="AH60" s="210">
        <f t="shared" si="44"/>
        <v>46965</v>
      </c>
      <c r="AI60" s="210">
        <f t="shared" si="44"/>
        <v>46996</v>
      </c>
      <c r="AJ60" s="210">
        <f t="shared" si="44"/>
        <v>47026</v>
      </c>
      <c r="AK60" s="210">
        <f t="shared" si="44"/>
        <v>47057</v>
      </c>
      <c r="AL60" s="210">
        <f t="shared" si="44"/>
        <v>47087</v>
      </c>
      <c r="AM60" s="210">
        <f t="shared" si="44"/>
        <v>47118</v>
      </c>
      <c r="AN60" s="210">
        <f t="shared" si="44"/>
        <v>47149</v>
      </c>
      <c r="AO60" s="210">
        <f t="shared" si="44"/>
        <v>47177</v>
      </c>
      <c r="AP60" s="210">
        <f t="shared" si="44"/>
        <v>47208</v>
      </c>
      <c r="AQ60" s="210">
        <f t="shared" si="44"/>
        <v>47238</v>
      </c>
      <c r="AR60" s="210">
        <f t="shared" si="44"/>
        <v>47269</v>
      </c>
      <c r="AS60" s="210">
        <f t="shared" ref="AS60:BX60" si="45">AS16</f>
        <v>47299</v>
      </c>
      <c r="AT60" s="210">
        <f t="shared" si="45"/>
        <v>47330</v>
      </c>
      <c r="AU60" s="210">
        <f t="shared" si="45"/>
        <v>47361</v>
      </c>
      <c r="AV60" s="210">
        <f t="shared" si="45"/>
        <v>47391</v>
      </c>
      <c r="AW60" s="210">
        <f t="shared" si="45"/>
        <v>47422</v>
      </c>
      <c r="AX60" s="210">
        <f t="shared" si="45"/>
        <v>47452</v>
      </c>
      <c r="AY60" s="210">
        <f t="shared" si="45"/>
        <v>47483</v>
      </c>
      <c r="AZ60" s="210">
        <f t="shared" si="45"/>
        <v>47514</v>
      </c>
      <c r="BA60" s="210">
        <f t="shared" si="45"/>
        <v>47542</v>
      </c>
      <c r="BB60" s="210">
        <f t="shared" si="45"/>
        <v>47573</v>
      </c>
      <c r="BC60" s="210">
        <f t="shared" si="45"/>
        <v>47603</v>
      </c>
      <c r="BD60" s="210">
        <f t="shared" si="45"/>
        <v>47634</v>
      </c>
      <c r="BE60" s="210">
        <f t="shared" si="45"/>
        <v>47664</v>
      </c>
      <c r="BF60" s="210">
        <f t="shared" si="45"/>
        <v>47695</v>
      </c>
      <c r="BG60" s="210">
        <f t="shared" si="45"/>
        <v>47726</v>
      </c>
      <c r="BH60" s="210">
        <f t="shared" si="45"/>
        <v>47756</v>
      </c>
      <c r="BI60" s="210">
        <f t="shared" si="45"/>
        <v>47787</v>
      </c>
      <c r="BJ60" s="210">
        <f t="shared" si="45"/>
        <v>47817</v>
      </c>
      <c r="BK60" s="210">
        <f t="shared" si="45"/>
        <v>47848</v>
      </c>
      <c r="BL60" s="210">
        <f t="shared" si="45"/>
        <v>47879</v>
      </c>
      <c r="BM60" s="210">
        <f t="shared" si="45"/>
        <v>47907</v>
      </c>
      <c r="BN60" s="210">
        <f t="shared" si="45"/>
        <v>47938</v>
      </c>
      <c r="BO60" s="210">
        <f t="shared" si="45"/>
        <v>47968</v>
      </c>
      <c r="BP60" s="210">
        <f t="shared" si="45"/>
        <v>47999</v>
      </c>
      <c r="BQ60" s="210">
        <f t="shared" si="45"/>
        <v>48029</v>
      </c>
      <c r="BR60" s="210">
        <f t="shared" si="45"/>
        <v>48060</v>
      </c>
      <c r="BS60" s="210">
        <f t="shared" si="45"/>
        <v>48091</v>
      </c>
      <c r="BT60" s="210">
        <f t="shared" si="45"/>
        <v>48121</v>
      </c>
      <c r="BU60" s="210">
        <f t="shared" si="45"/>
        <v>48152</v>
      </c>
      <c r="BV60" s="210">
        <f t="shared" si="45"/>
        <v>48182</v>
      </c>
      <c r="BW60" s="210">
        <f t="shared" si="45"/>
        <v>48213</v>
      </c>
      <c r="BX60" s="210">
        <f t="shared" si="45"/>
        <v>48244</v>
      </c>
      <c r="BY60" s="210">
        <f t="shared" ref="BY60:DD60" si="46">BY16</f>
        <v>48273</v>
      </c>
      <c r="BZ60" s="210">
        <f t="shared" si="46"/>
        <v>48304</v>
      </c>
      <c r="CA60" s="210">
        <f t="shared" si="46"/>
        <v>48334</v>
      </c>
      <c r="CB60" s="210">
        <f t="shared" si="46"/>
        <v>48365</v>
      </c>
      <c r="CC60" s="210">
        <f t="shared" si="46"/>
        <v>48395</v>
      </c>
      <c r="CD60" s="210">
        <f t="shared" si="46"/>
        <v>48426</v>
      </c>
      <c r="CE60" s="210">
        <f t="shared" si="46"/>
        <v>48457</v>
      </c>
      <c r="CF60" s="210">
        <f t="shared" si="46"/>
        <v>48487</v>
      </c>
      <c r="CG60" s="210">
        <f t="shared" si="46"/>
        <v>48518</v>
      </c>
      <c r="CH60" s="210">
        <f t="shared" si="46"/>
        <v>48548</v>
      </c>
      <c r="CI60" s="210">
        <f t="shared" si="46"/>
        <v>48579</v>
      </c>
      <c r="CJ60" s="210">
        <f t="shared" si="46"/>
        <v>48610</v>
      </c>
      <c r="CK60" s="210">
        <f t="shared" si="46"/>
        <v>48638</v>
      </c>
      <c r="CL60" s="210">
        <f t="shared" si="46"/>
        <v>48669</v>
      </c>
      <c r="CM60" s="210">
        <f t="shared" si="46"/>
        <v>48699</v>
      </c>
      <c r="CN60" s="210">
        <f t="shared" si="46"/>
        <v>48730</v>
      </c>
      <c r="CO60" s="210">
        <f t="shared" si="46"/>
        <v>48760</v>
      </c>
      <c r="CP60" s="210">
        <f t="shared" si="46"/>
        <v>48791</v>
      </c>
      <c r="CQ60" s="210">
        <f t="shared" si="46"/>
        <v>48822</v>
      </c>
      <c r="CR60" s="210">
        <f t="shared" si="46"/>
        <v>48852</v>
      </c>
      <c r="CS60" s="210">
        <f t="shared" si="46"/>
        <v>48883</v>
      </c>
      <c r="CT60" s="210">
        <f t="shared" si="46"/>
        <v>48913</v>
      </c>
      <c r="CU60" s="210">
        <f t="shared" si="46"/>
        <v>48944</v>
      </c>
      <c r="CV60" s="210">
        <f t="shared" si="46"/>
        <v>48975</v>
      </c>
      <c r="CW60" s="210">
        <f t="shared" si="46"/>
        <v>49003</v>
      </c>
      <c r="CX60" s="210">
        <f t="shared" si="46"/>
        <v>49034</v>
      </c>
      <c r="CY60" s="210">
        <f t="shared" si="46"/>
        <v>49064</v>
      </c>
      <c r="CZ60" s="210">
        <f t="shared" si="46"/>
        <v>49095</v>
      </c>
      <c r="DA60" s="210">
        <f t="shared" si="46"/>
        <v>49125</v>
      </c>
      <c r="DB60" s="210">
        <f t="shared" si="46"/>
        <v>49156</v>
      </c>
      <c r="DC60" s="210">
        <f t="shared" si="46"/>
        <v>49187</v>
      </c>
      <c r="DD60" s="210">
        <f t="shared" si="46"/>
        <v>49217</v>
      </c>
      <c r="DE60" s="210">
        <f t="shared" ref="DE60:DT60" si="47">DE16</f>
        <v>49248</v>
      </c>
      <c r="DF60" s="210">
        <f t="shared" si="47"/>
        <v>49278</v>
      </c>
      <c r="DG60" s="210">
        <f t="shared" si="47"/>
        <v>49309</v>
      </c>
      <c r="DH60" s="210">
        <f t="shared" si="47"/>
        <v>49340</v>
      </c>
      <c r="DI60" s="210">
        <f t="shared" si="47"/>
        <v>49368</v>
      </c>
      <c r="DJ60" s="210">
        <f t="shared" si="47"/>
        <v>49399</v>
      </c>
      <c r="DK60" s="210">
        <f t="shared" si="47"/>
        <v>49429</v>
      </c>
      <c r="DL60" s="210">
        <f t="shared" si="47"/>
        <v>49460</v>
      </c>
      <c r="DM60" s="210">
        <f t="shared" si="47"/>
        <v>49490</v>
      </c>
      <c r="DN60" s="210">
        <f t="shared" si="47"/>
        <v>49521</v>
      </c>
      <c r="DO60" s="210">
        <f t="shared" si="47"/>
        <v>49552</v>
      </c>
      <c r="DP60" s="210">
        <f t="shared" si="47"/>
        <v>49582</v>
      </c>
      <c r="DQ60" s="210">
        <f t="shared" si="47"/>
        <v>49613</v>
      </c>
      <c r="DR60" s="210">
        <f t="shared" si="47"/>
        <v>49643</v>
      </c>
      <c r="DS60" s="210">
        <f t="shared" si="47"/>
        <v>49674</v>
      </c>
      <c r="DT60" s="210">
        <f t="shared" si="47"/>
        <v>49705</v>
      </c>
      <c r="DU60" s="210">
        <f t="shared" ref="DU60:ER60" si="48">DU16</f>
        <v>49734</v>
      </c>
      <c r="DV60" s="210">
        <f t="shared" si="48"/>
        <v>49765</v>
      </c>
      <c r="DW60" s="210">
        <f t="shared" si="48"/>
        <v>49795</v>
      </c>
      <c r="DX60" s="210">
        <f t="shared" si="48"/>
        <v>49826</v>
      </c>
      <c r="DY60" s="210">
        <f t="shared" si="48"/>
        <v>49856</v>
      </c>
      <c r="DZ60" s="210">
        <f t="shared" si="48"/>
        <v>49887</v>
      </c>
      <c r="EA60" s="210">
        <f t="shared" si="48"/>
        <v>49918</v>
      </c>
      <c r="EB60" s="210">
        <f t="shared" si="48"/>
        <v>49948</v>
      </c>
      <c r="EC60" s="210">
        <f t="shared" si="48"/>
        <v>49979</v>
      </c>
      <c r="ED60" s="210">
        <f t="shared" si="48"/>
        <v>50009</v>
      </c>
      <c r="EE60" s="210">
        <f t="shared" si="48"/>
        <v>50040</v>
      </c>
      <c r="EF60" s="210">
        <f t="shared" si="48"/>
        <v>50071</v>
      </c>
      <c r="EG60" s="210">
        <f t="shared" si="48"/>
        <v>50099</v>
      </c>
      <c r="EH60" s="210">
        <f t="shared" si="48"/>
        <v>50130</v>
      </c>
      <c r="EI60" s="210">
        <f t="shared" si="48"/>
        <v>50160</v>
      </c>
      <c r="EJ60" s="210">
        <f t="shared" si="48"/>
        <v>50191</v>
      </c>
      <c r="EK60" s="210">
        <f t="shared" si="48"/>
        <v>50221</v>
      </c>
      <c r="EL60" s="210">
        <f t="shared" si="48"/>
        <v>50252</v>
      </c>
      <c r="EM60" s="210">
        <f t="shared" si="48"/>
        <v>50283</v>
      </c>
      <c r="EN60" s="210">
        <f t="shared" si="48"/>
        <v>50313</v>
      </c>
      <c r="EO60" s="210">
        <f t="shared" si="48"/>
        <v>50344</v>
      </c>
      <c r="EP60" s="210">
        <f t="shared" si="48"/>
        <v>50374</v>
      </c>
      <c r="EQ60" s="210">
        <f t="shared" si="48"/>
        <v>50405</v>
      </c>
      <c r="ER60" s="210">
        <f t="shared" si="48"/>
        <v>50436</v>
      </c>
    </row>
    <row r="61" spans="2:148" ht="11.25" customHeight="1">
      <c r="B61" s="211" t="s">
        <v>548</v>
      </c>
      <c r="C61" s="212"/>
      <c r="D61" s="212"/>
      <c r="E61" s="212"/>
      <c r="F61" s="212"/>
      <c r="G61" s="212"/>
      <c r="H61" s="212"/>
      <c r="I61" s="213"/>
      <c r="J61" s="696"/>
      <c r="K61" s="916"/>
      <c r="M61" s="235"/>
      <c r="N61" s="235"/>
      <c r="O61" s="235"/>
      <c r="P61" s="235"/>
      <c r="Q61" s="235"/>
      <c r="R61" s="235"/>
      <c r="S61" s="235"/>
      <c r="T61" s="235"/>
      <c r="U61" s="235"/>
      <c r="V61" s="235"/>
      <c r="W61" s="235"/>
      <c r="X61" s="235"/>
      <c r="Y61" s="235"/>
      <c r="Z61" s="235"/>
      <c r="AA61" s="235"/>
      <c r="AB61" s="235"/>
      <c r="AC61" s="235"/>
      <c r="AD61" s="235"/>
      <c r="AE61" s="235"/>
      <c r="AF61" s="235"/>
      <c r="AG61" s="235"/>
      <c r="AH61" s="235"/>
      <c r="AI61" s="235"/>
      <c r="AJ61" s="235"/>
      <c r="AK61" s="235"/>
      <c r="AL61" s="235"/>
      <c r="AM61" s="235"/>
      <c r="AN61" s="235"/>
      <c r="AO61" s="235"/>
      <c r="AP61" s="235"/>
      <c r="AQ61" s="235"/>
      <c r="AR61" s="235"/>
      <c r="AS61" s="235"/>
      <c r="AT61" s="235"/>
      <c r="AU61" s="235"/>
      <c r="AV61" s="235"/>
      <c r="AW61" s="235"/>
      <c r="AX61" s="235"/>
      <c r="AY61" s="235"/>
      <c r="AZ61" s="235"/>
      <c r="BA61" s="235"/>
      <c r="BB61" s="235"/>
      <c r="BC61" s="235"/>
      <c r="BD61" s="235"/>
      <c r="BE61" s="235"/>
      <c r="BF61" s="235"/>
      <c r="BG61" s="235"/>
      <c r="BH61" s="235"/>
      <c r="BI61" s="235"/>
      <c r="BJ61" s="235"/>
      <c r="BK61" s="235"/>
      <c r="BL61" s="235"/>
      <c r="BM61" s="235"/>
      <c r="BN61" s="235"/>
      <c r="BO61" s="235"/>
      <c r="BP61" s="235"/>
      <c r="BQ61" s="235"/>
      <c r="BR61" s="235"/>
      <c r="BS61" s="235"/>
      <c r="BT61" s="235"/>
      <c r="BU61" s="235"/>
      <c r="BV61" s="235"/>
      <c r="BW61" s="235"/>
      <c r="BX61" s="235"/>
      <c r="BY61" s="235"/>
      <c r="BZ61" s="235"/>
      <c r="CA61" s="235"/>
      <c r="CB61" s="235"/>
      <c r="CC61" s="235"/>
      <c r="CD61" s="235"/>
      <c r="CE61" s="235"/>
      <c r="CF61" s="235"/>
      <c r="CG61" s="235"/>
      <c r="CH61" s="235"/>
      <c r="CI61" s="235"/>
      <c r="CJ61" s="235"/>
      <c r="CK61" s="235"/>
      <c r="CL61" s="235"/>
      <c r="CM61" s="235"/>
      <c r="CN61" s="235"/>
      <c r="CO61" s="235"/>
      <c r="CP61" s="235"/>
      <c r="CQ61" s="235"/>
      <c r="CR61" s="235"/>
      <c r="CS61" s="235"/>
      <c r="CT61" s="235"/>
      <c r="CU61" s="235"/>
      <c r="CV61" s="235"/>
      <c r="CW61" s="235"/>
      <c r="CX61" s="235"/>
      <c r="CY61" s="235"/>
      <c r="CZ61" s="235"/>
      <c r="DA61" s="235"/>
      <c r="DB61" s="235"/>
      <c r="DC61" s="235"/>
      <c r="DD61" s="235"/>
      <c r="DE61" s="235"/>
      <c r="DF61" s="235"/>
      <c r="DG61" s="235"/>
      <c r="DH61" s="235"/>
      <c r="DI61" s="235"/>
      <c r="DJ61" s="235"/>
      <c r="DK61" s="235"/>
      <c r="DL61" s="235"/>
      <c r="DM61" s="235"/>
      <c r="DN61" s="235"/>
      <c r="DO61" s="235"/>
      <c r="DP61" s="235"/>
      <c r="DQ61" s="235"/>
      <c r="DR61" s="235"/>
      <c r="DS61" s="235"/>
      <c r="DT61" s="235"/>
      <c r="DU61" s="235"/>
      <c r="DV61" s="235"/>
      <c r="DW61" s="235"/>
      <c r="DX61" s="235"/>
      <c r="DY61" s="235"/>
      <c r="DZ61" s="235"/>
      <c r="EA61" s="235"/>
      <c r="EB61" s="235"/>
      <c r="EC61" s="235"/>
      <c r="ED61" s="235"/>
      <c r="EE61" s="235"/>
      <c r="EF61" s="235"/>
      <c r="EG61" s="235"/>
      <c r="EH61" s="235"/>
      <c r="EI61" s="235"/>
      <c r="EJ61" s="235"/>
      <c r="EK61" s="235"/>
      <c r="EL61" s="235"/>
      <c r="EM61" s="235"/>
      <c r="EN61" s="235"/>
      <c r="EO61" s="235"/>
      <c r="EP61" s="235"/>
      <c r="EQ61" s="235"/>
      <c r="ER61" s="235"/>
    </row>
    <row r="62" spans="2:148" ht="11.25" customHeight="1">
      <c r="B62" s="218"/>
      <c r="C62" s="904" t="s">
        <v>538</v>
      </c>
      <c r="D62" s="905"/>
      <c r="E62" s="905"/>
      <c r="F62" s="905"/>
      <c r="G62" s="905"/>
      <c r="H62" s="905"/>
      <c r="I62" s="906"/>
      <c r="J62" s="907"/>
      <c r="K62" s="917">
        <f ca="1">SUM(M62:ER62)</f>
        <v>9349368.6425172817</v>
      </c>
      <c r="L62" s="98"/>
      <c r="M62" s="908">
        <f t="shared" ref="M62:AR62" si="49">M57-M45</f>
        <v>0</v>
      </c>
      <c r="N62" s="908">
        <f t="shared" ca="1" si="49"/>
        <v>-126989.66851214715</v>
      </c>
      <c r="O62" s="908">
        <f t="shared" ca="1" si="49"/>
        <v>-117764.4279808969</v>
      </c>
      <c r="P62" s="908">
        <f t="shared" ca="1" si="49"/>
        <v>-308474.43865589669</v>
      </c>
      <c r="Q62" s="908">
        <f t="shared" ca="1" si="49"/>
        <v>-164719.18592655822</v>
      </c>
      <c r="R62" s="908">
        <f t="shared" ca="1" si="49"/>
        <v>-95843.152676558122</v>
      </c>
      <c r="S62" s="908">
        <f t="shared" ca="1" si="49"/>
        <v>-56963.07407655823</v>
      </c>
      <c r="T62" s="908">
        <f t="shared" ca="1" si="49"/>
        <v>-191716.19501280808</v>
      </c>
      <c r="U62" s="908">
        <f t="shared" ca="1" si="49"/>
        <v>-19748.00388780795</v>
      </c>
      <c r="V62" s="908">
        <f t="shared" ca="1" si="49"/>
        <v>-19203.044700308004</v>
      </c>
      <c r="W62" s="908">
        <f t="shared" ca="1" si="49"/>
        <v>-18658.085512808058</v>
      </c>
      <c r="X62" s="908">
        <f t="shared" ca="1" si="49"/>
        <v>-18658.085512808058</v>
      </c>
      <c r="Y62" s="908">
        <f t="shared" ca="1" si="49"/>
        <v>-38804.030012808042</v>
      </c>
      <c r="Z62" s="908">
        <f t="shared" ca="1" si="49"/>
        <v>-38836.482387070893</v>
      </c>
      <c r="AA62" s="908">
        <f t="shared" ca="1" si="49"/>
        <v>-40525.815092539764</v>
      </c>
      <c r="AB62" s="908">
        <f t="shared" ca="1" si="49"/>
        <v>-236003.5760344147</v>
      </c>
      <c r="AC62" s="908">
        <f t="shared" ca="1" si="49"/>
        <v>-138072.26587919949</v>
      </c>
      <c r="AD62" s="908">
        <f t="shared" ca="1" si="49"/>
        <v>-67474.331797949621</v>
      </c>
      <c r="AE62" s="908">
        <f t="shared" ca="1" si="49"/>
        <v>-27622.251232949668</v>
      </c>
      <c r="AF62" s="908">
        <f t="shared" ca="1" si="49"/>
        <v>-165744.20019260596</v>
      </c>
      <c r="AG62" s="908">
        <f t="shared" ca="1" si="49"/>
        <v>10523.195710518979</v>
      </c>
      <c r="AH62" s="908">
        <f t="shared" ca="1" si="49"/>
        <v>11081.778877706616</v>
      </c>
      <c r="AI62" s="908">
        <f t="shared" ca="1" si="49"/>
        <v>11640.36204489402</v>
      </c>
      <c r="AJ62" s="908">
        <f t="shared" ca="1" si="49"/>
        <v>11640.36204489402</v>
      </c>
      <c r="AK62" s="908">
        <f t="shared" ca="1" si="49"/>
        <v>-9009.2310676058987</v>
      </c>
      <c r="AL62" s="908">
        <f t="shared" ca="1" si="49"/>
        <v>-13791.703634603997</v>
      </c>
      <c r="AM62" s="908">
        <f t="shared" ca="1" si="49"/>
        <v>-36172.862770209438</v>
      </c>
      <c r="AN62" s="908">
        <f t="shared" ca="1" si="49"/>
        <v>-60258.541413756437</v>
      </c>
      <c r="AO62" s="908">
        <f t="shared" ca="1" si="49"/>
        <v>8588.9832475263393</v>
      </c>
      <c r="AP62" s="908">
        <f t="shared" ca="1" si="49"/>
        <v>-63795.092393254978</v>
      </c>
      <c r="AQ62" s="908">
        <f t="shared" ca="1" si="49"/>
        <v>-22946.709814129979</v>
      </c>
      <c r="AR62" s="908">
        <f t="shared" ca="1" si="49"/>
        <v>17297.468795659603</v>
      </c>
      <c r="AS62" s="908">
        <f t="shared" ref="AS62:BX62" ca="1" si="50">AS57-AS45</f>
        <v>-1045760.8452406945</v>
      </c>
      <c r="AT62" s="908">
        <f t="shared" ca="1" si="50"/>
        <v>-1018820.4594022899</v>
      </c>
      <c r="AU62" s="908">
        <f t="shared" ca="1" si="50"/>
        <v>-1083309.797225791</v>
      </c>
      <c r="AV62" s="908">
        <f t="shared" ca="1" si="50"/>
        <v>-1014911.4047036218</v>
      </c>
      <c r="AW62" s="908">
        <f t="shared" ca="1" si="50"/>
        <v>-1036077.2376439343</v>
      </c>
      <c r="AX62" s="908">
        <f t="shared" ca="1" si="50"/>
        <v>46836.748093368136</v>
      </c>
      <c r="AY62" s="908">
        <f t="shared" ca="1" si="50"/>
        <v>52952.319998723106</v>
      </c>
      <c r="AZ62" s="908">
        <f t="shared" ca="1" si="50"/>
        <v>51167.918776141596</v>
      </c>
      <c r="BA62" s="908">
        <f t="shared" ca="1" si="50"/>
        <v>48708.533151383395</v>
      </c>
      <c r="BB62" s="908">
        <f t="shared" ca="1" si="50"/>
        <v>2169.6591628879542</v>
      </c>
      <c r="BC62" s="908">
        <f t="shared" ca="1" si="50"/>
        <v>44039.251306491089</v>
      </c>
      <c r="BD62" s="908">
        <f t="shared" ca="1" si="50"/>
        <v>84674.367138717789</v>
      </c>
      <c r="BE62" s="908">
        <f t="shared" ca="1" si="50"/>
        <v>85232.922775962972</v>
      </c>
      <c r="BF62" s="908">
        <f t="shared" ca="1" si="50"/>
        <v>85232.922775962972</v>
      </c>
      <c r="BG62" s="908">
        <f t="shared" ca="1" si="50"/>
        <v>88652.842402071576</v>
      </c>
      <c r="BH62" s="908">
        <f t="shared" ca="1" si="50"/>
        <v>88652.842402071576</v>
      </c>
      <c r="BI62" s="908">
        <f t="shared" ca="1" si="50"/>
        <v>88652.842402071576</v>
      </c>
      <c r="BJ62" s="908">
        <f t="shared" ca="1" si="50"/>
        <v>88421.365621183417</v>
      </c>
      <c r="BK62" s="908">
        <f t="shared" ca="1" si="50"/>
        <v>94619.754000369809</v>
      </c>
      <c r="BL62" s="908">
        <f t="shared" ca="1" si="50"/>
        <v>99332.136832808028</v>
      </c>
      <c r="BM62" s="908">
        <f t="shared" ca="1" si="50"/>
        <v>112099.73439039977</v>
      </c>
      <c r="BN62" s="908">
        <f t="shared" ca="1" si="50"/>
        <v>36051.214920303901</v>
      </c>
      <c r="BO62" s="908">
        <f t="shared" ca="1" si="50"/>
        <v>78967.546867497149</v>
      </c>
      <c r="BP62" s="908">
        <f t="shared" ca="1" si="50"/>
        <v>121247.67172926839</v>
      </c>
      <c r="BQ62" s="908">
        <f t="shared" ca="1" si="50"/>
        <v>121247.67172926839</v>
      </c>
      <c r="BR62" s="908">
        <f t="shared" ca="1" si="50"/>
        <v>121247.67172926839</v>
      </c>
      <c r="BS62" s="908">
        <f t="shared" ca="1" si="50"/>
        <v>124753.08934602968</v>
      </c>
      <c r="BT62" s="908">
        <f t="shared" ca="1" si="50"/>
        <v>124753.08934602968</v>
      </c>
      <c r="BU62" s="908">
        <f t="shared" ca="1" si="50"/>
        <v>124753.08934602968</v>
      </c>
      <c r="BV62" s="908">
        <f t="shared" ca="1" si="50"/>
        <v>177705.09967445058</v>
      </c>
      <c r="BW62" s="908">
        <f t="shared" ca="1" si="50"/>
        <v>184058.44776311691</v>
      </c>
      <c r="BX62" s="908">
        <f t="shared" ca="1" si="50"/>
        <v>188888.64016636636</v>
      </c>
      <c r="BY62" s="908">
        <f t="shared" ref="BY62:DD62" ca="1" si="51">BY57-BY45</f>
        <v>201975.42766289751</v>
      </c>
      <c r="BZ62" s="908">
        <f t="shared" ca="1" si="51"/>
        <v>124025.69520604925</v>
      </c>
      <c r="CA62" s="908">
        <f t="shared" ca="1" si="51"/>
        <v>168014.93545192259</v>
      </c>
      <c r="CB62" s="908">
        <f t="shared" ca="1" si="51"/>
        <v>211352.0634352382</v>
      </c>
      <c r="CC62" s="908">
        <f t="shared" ca="1" si="51"/>
        <v>211352.0634352382</v>
      </c>
      <c r="CD62" s="908">
        <f t="shared" ca="1" si="51"/>
        <v>211352.0634352382</v>
      </c>
      <c r="CE62" s="908">
        <f t="shared" ca="1" si="51"/>
        <v>214945.11649241846</v>
      </c>
      <c r="CF62" s="908">
        <f t="shared" ca="1" si="51"/>
        <v>214945.11649241846</v>
      </c>
      <c r="CG62" s="908">
        <f t="shared" ca="1" si="51"/>
        <v>214945.11649241846</v>
      </c>
      <c r="CH62" s="908">
        <f t="shared" ca="1" si="51"/>
        <v>214580.48782483244</v>
      </c>
      <c r="CI62" s="908">
        <f t="shared" ca="1" si="51"/>
        <v>221092.66961571516</v>
      </c>
      <c r="CJ62" s="908">
        <f t="shared" ca="1" si="51"/>
        <v>226043.61682904593</v>
      </c>
      <c r="CK62" s="908">
        <f t="shared" ca="1" si="51"/>
        <v>239457.57401299046</v>
      </c>
      <c r="CL62" s="908">
        <f t="shared" ca="1" si="51"/>
        <v>159559.09824472119</v>
      </c>
      <c r="CM62" s="908">
        <f t="shared" ca="1" si="51"/>
        <v>204648.06949674117</v>
      </c>
      <c r="CN62" s="908">
        <f t="shared" ca="1" si="51"/>
        <v>249068.62567963952</v>
      </c>
      <c r="CO62" s="908">
        <f t="shared" ca="1" si="51"/>
        <v>249068.62567963952</v>
      </c>
      <c r="CP62" s="908">
        <f t="shared" ca="1" si="51"/>
        <v>249068.62567963952</v>
      </c>
      <c r="CQ62" s="908">
        <f t="shared" ca="1" si="51"/>
        <v>252751.50506324926</v>
      </c>
      <c r="CR62" s="908">
        <f t="shared" ca="1" si="51"/>
        <v>252751.50506324926</v>
      </c>
      <c r="CS62" s="908">
        <f t="shared" ca="1" si="51"/>
        <v>252751.50506324926</v>
      </c>
      <c r="CT62" s="908">
        <f t="shared" ca="1" si="51"/>
        <v>252320.08701037476</v>
      </c>
      <c r="CU62" s="908">
        <f t="shared" ca="1" si="51"/>
        <v>258995.07334602997</v>
      </c>
      <c r="CV62" s="908">
        <f t="shared" ca="1" si="51"/>
        <v>264069.79423969379</v>
      </c>
      <c r="CW62" s="908">
        <f t="shared" ca="1" si="51"/>
        <v>277819.10035323678</v>
      </c>
      <c r="CX62" s="908">
        <f t="shared" ca="1" si="51"/>
        <v>195923.16269076068</v>
      </c>
      <c r="CY62" s="908">
        <f t="shared" ca="1" si="51"/>
        <v>242139.35822408099</v>
      </c>
      <c r="CZ62" s="908">
        <f t="shared" ca="1" si="51"/>
        <v>-349306.33428001939</v>
      </c>
      <c r="DA62" s="908">
        <f t="shared" ca="1" si="51"/>
        <v>250845.43610402662</v>
      </c>
      <c r="DB62" s="908">
        <f t="shared" ca="1" si="51"/>
        <v>250845.43610402662</v>
      </c>
      <c r="DC62" s="908">
        <f t="shared" ca="1" si="51"/>
        <v>177233.88442412729</v>
      </c>
      <c r="DD62" s="908">
        <f t="shared" ca="1" si="51"/>
        <v>254620.38747222628</v>
      </c>
      <c r="DE62" s="908">
        <f t="shared" ref="DE62:DT62" ca="1" si="52">DE57-DE45</f>
        <v>254620.38747222628</v>
      </c>
      <c r="DF62" s="908">
        <f t="shared" ca="1" si="52"/>
        <v>254205.47818903159</v>
      </c>
      <c r="DG62" s="908">
        <f t="shared" ca="1" si="52"/>
        <v>260855.21233065519</v>
      </c>
      <c r="DH62" s="908">
        <f t="shared" ca="1" si="52"/>
        <v>248314.5385286446</v>
      </c>
      <c r="DI62" s="908">
        <f t="shared" ca="1" si="52"/>
        <v>237827.45358644251</v>
      </c>
      <c r="DJ62" s="908">
        <f t="shared" ca="1" si="52"/>
        <v>280044.45375185343</v>
      </c>
      <c r="DK62" s="908">
        <f t="shared" ca="1" si="52"/>
        <v>253957.34919410152</v>
      </c>
      <c r="DL62" s="908">
        <f t="shared" ca="1" si="52"/>
        <v>289294.19013686944</v>
      </c>
      <c r="DM62" s="908">
        <f t="shared" ca="1" si="52"/>
        <v>289926.14457220491</v>
      </c>
      <c r="DN62" s="908">
        <f t="shared" ca="1" si="52"/>
        <v>289926.14457220491</v>
      </c>
      <c r="DO62" s="908">
        <f t="shared" ca="1" si="52"/>
        <v>293795.46972460975</v>
      </c>
      <c r="DP62" s="908">
        <f t="shared" ca="1" si="52"/>
        <v>293795.46972460975</v>
      </c>
      <c r="DQ62" s="908">
        <f t="shared" ca="1" si="52"/>
        <v>293795.46972460975</v>
      </c>
      <c r="DR62" s="908">
        <f t="shared" ca="1" si="52"/>
        <v>293315.48406297155</v>
      </c>
      <c r="DS62" s="908">
        <f t="shared" ca="1" si="52"/>
        <v>300131.46155813569</v>
      </c>
      <c r="DT62" s="908">
        <f t="shared" ca="1" si="52"/>
        <v>305301.38620715891</v>
      </c>
      <c r="DU62" s="908">
        <f t="shared" ref="DU62:ER62" ca="1" si="53">DU57-DU45</f>
        <v>319309.76978808013</v>
      </c>
      <c r="DV62" s="908">
        <f t="shared" ca="1" si="53"/>
        <v>319309.76978808013</v>
      </c>
      <c r="DW62" s="908">
        <f t="shared" ca="1" si="53"/>
        <v>324641.58126752614</v>
      </c>
      <c r="DX62" s="908">
        <f t="shared" ca="1" si="53"/>
        <v>329438.5028789402</v>
      </c>
      <c r="DY62" s="908">
        <f t="shared" ca="1" si="53"/>
        <v>329438.5028789402</v>
      </c>
      <c r="DZ62" s="908">
        <f t="shared" ca="1" si="53"/>
        <v>329438.5028789402</v>
      </c>
      <c r="EA62" s="908">
        <f t="shared" ca="1" si="53"/>
        <v>333404.56116015534</v>
      </c>
      <c r="EB62" s="908">
        <f t="shared" ca="1" si="53"/>
        <v>333404.56116015534</v>
      </c>
      <c r="EC62" s="908">
        <f t="shared" ca="1" si="53"/>
        <v>333404.56116016209</v>
      </c>
      <c r="ED62" s="908">
        <f t="shared" ca="1" si="53"/>
        <v>0</v>
      </c>
      <c r="EE62" s="908">
        <f t="shared" ca="1" si="53"/>
        <v>0</v>
      </c>
      <c r="EF62" s="908">
        <f t="shared" ca="1" si="53"/>
        <v>0</v>
      </c>
      <c r="EG62" s="908">
        <f t="shared" ca="1" si="53"/>
        <v>0</v>
      </c>
      <c r="EH62" s="908">
        <f t="shared" ca="1" si="53"/>
        <v>0</v>
      </c>
      <c r="EI62" s="908">
        <f t="shared" ca="1" si="53"/>
        <v>0</v>
      </c>
      <c r="EJ62" s="908">
        <f t="shared" ca="1" si="53"/>
        <v>0</v>
      </c>
      <c r="EK62" s="908">
        <f t="shared" ca="1" si="53"/>
        <v>0</v>
      </c>
      <c r="EL62" s="908">
        <f t="shared" ca="1" si="53"/>
        <v>0</v>
      </c>
      <c r="EM62" s="908">
        <f t="shared" ca="1" si="53"/>
        <v>0</v>
      </c>
      <c r="EN62" s="908">
        <f t="shared" ca="1" si="53"/>
        <v>0</v>
      </c>
      <c r="EO62" s="908">
        <f t="shared" ca="1" si="53"/>
        <v>0</v>
      </c>
      <c r="EP62" s="908">
        <f t="shared" ca="1" si="53"/>
        <v>0</v>
      </c>
      <c r="EQ62" s="908">
        <f t="shared" ca="1" si="53"/>
        <v>0</v>
      </c>
      <c r="ER62" s="908">
        <f t="shared" ca="1" si="53"/>
        <v>0</v>
      </c>
    </row>
    <row r="63" spans="2:148" ht="11.25" customHeight="1">
      <c r="B63" s="218"/>
      <c r="C63" s="911" t="s">
        <v>549</v>
      </c>
      <c r="D63" s="912"/>
      <c r="E63" s="912"/>
      <c r="F63" s="912"/>
      <c r="G63" s="912"/>
      <c r="H63" s="912"/>
      <c r="I63" s="913"/>
      <c r="J63" s="914"/>
      <c r="K63" s="918">
        <f>SUM(M63:ER63)</f>
        <v>34176870</v>
      </c>
      <c r="L63" s="98"/>
      <c r="M63" s="184">
        <f t="shared" ref="M63:AR63" si="54">M26</f>
        <v>0</v>
      </c>
      <c r="N63" s="184">
        <f t="shared" si="54"/>
        <v>284807.25</v>
      </c>
      <c r="O63" s="184">
        <f t="shared" si="54"/>
        <v>284807.25</v>
      </c>
      <c r="P63" s="184">
        <f t="shared" si="54"/>
        <v>284807.25</v>
      </c>
      <c r="Q63" s="184">
        <f t="shared" si="54"/>
        <v>284807.25</v>
      </c>
      <c r="R63" s="184">
        <f t="shared" si="54"/>
        <v>284807.25</v>
      </c>
      <c r="S63" s="184">
        <f t="shared" si="54"/>
        <v>284807.25</v>
      </c>
      <c r="T63" s="184">
        <f t="shared" si="54"/>
        <v>284807.25</v>
      </c>
      <c r="U63" s="184">
        <f t="shared" si="54"/>
        <v>284807.25</v>
      </c>
      <c r="V63" s="184">
        <f t="shared" si="54"/>
        <v>284807.25</v>
      </c>
      <c r="W63" s="184">
        <f t="shared" si="54"/>
        <v>284807.25</v>
      </c>
      <c r="X63" s="184">
        <f t="shared" si="54"/>
        <v>284807.25</v>
      </c>
      <c r="Y63" s="184">
        <f t="shared" si="54"/>
        <v>284807.25</v>
      </c>
      <c r="Z63" s="184">
        <f t="shared" si="54"/>
        <v>284807.25</v>
      </c>
      <c r="AA63" s="184">
        <f t="shared" si="54"/>
        <v>284807.25</v>
      </c>
      <c r="AB63" s="184">
        <f t="shared" si="54"/>
        <v>284807.25</v>
      </c>
      <c r="AC63" s="184">
        <f t="shared" si="54"/>
        <v>284807.25</v>
      </c>
      <c r="AD63" s="184">
        <f t="shared" si="54"/>
        <v>284807.25</v>
      </c>
      <c r="AE63" s="184">
        <f t="shared" si="54"/>
        <v>284807.25</v>
      </c>
      <c r="AF63" s="184">
        <f t="shared" si="54"/>
        <v>284807.25</v>
      </c>
      <c r="AG63" s="184">
        <f t="shared" si="54"/>
        <v>284807.25</v>
      </c>
      <c r="AH63" s="184">
        <f t="shared" si="54"/>
        <v>284807.25</v>
      </c>
      <c r="AI63" s="184">
        <f t="shared" si="54"/>
        <v>284807.25</v>
      </c>
      <c r="AJ63" s="184">
        <f t="shared" si="54"/>
        <v>284807.25</v>
      </c>
      <c r="AK63" s="184">
        <f t="shared" si="54"/>
        <v>284807.25</v>
      </c>
      <c r="AL63" s="184">
        <f t="shared" si="54"/>
        <v>284807.25</v>
      </c>
      <c r="AM63" s="184">
        <f t="shared" si="54"/>
        <v>284807.25</v>
      </c>
      <c r="AN63" s="184">
        <f t="shared" si="54"/>
        <v>284807.25</v>
      </c>
      <c r="AO63" s="184">
        <f t="shared" si="54"/>
        <v>284807.25</v>
      </c>
      <c r="AP63" s="184">
        <f t="shared" si="54"/>
        <v>284807.25</v>
      </c>
      <c r="AQ63" s="184">
        <f t="shared" si="54"/>
        <v>284807.25</v>
      </c>
      <c r="AR63" s="184">
        <f t="shared" si="54"/>
        <v>284807.25</v>
      </c>
      <c r="AS63" s="184">
        <f t="shared" ref="AS63:BX63" si="55">AS26</f>
        <v>284807.25</v>
      </c>
      <c r="AT63" s="184">
        <f t="shared" si="55"/>
        <v>284807.25</v>
      </c>
      <c r="AU63" s="184">
        <f t="shared" si="55"/>
        <v>284807.25</v>
      </c>
      <c r="AV63" s="184">
        <f t="shared" si="55"/>
        <v>284807.25</v>
      </c>
      <c r="AW63" s="184">
        <f t="shared" si="55"/>
        <v>284807.25</v>
      </c>
      <c r="AX63" s="184">
        <f t="shared" si="55"/>
        <v>284807.25</v>
      </c>
      <c r="AY63" s="184">
        <f t="shared" si="55"/>
        <v>284807.25</v>
      </c>
      <c r="AZ63" s="184">
        <f t="shared" si="55"/>
        <v>284807.25</v>
      </c>
      <c r="BA63" s="184">
        <f t="shared" si="55"/>
        <v>284807.25</v>
      </c>
      <c r="BB63" s="184">
        <f t="shared" si="55"/>
        <v>284807.25</v>
      </c>
      <c r="BC63" s="184">
        <f t="shared" si="55"/>
        <v>284807.25</v>
      </c>
      <c r="BD63" s="184">
        <f t="shared" si="55"/>
        <v>284807.25</v>
      </c>
      <c r="BE63" s="184">
        <f t="shared" si="55"/>
        <v>284807.25</v>
      </c>
      <c r="BF63" s="184">
        <f t="shared" si="55"/>
        <v>284807.25</v>
      </c>
      <c r="BG63" s="184">
        <f t="shared" si="55"/>
        <v>284807.25</v>
      </c>
      <c r="BH63" s="184">
        <f t="shared" si="55"/>
        <v>284807.25</v>
      </c>
      <c r="BI63" s="184">
        <f t="shared" si="55"/>
        <v>284807.25</v>
      </c>
      <c r="BJ63" s="184">
        <f t="shared" si="55"/>
        <v>284807.25</v>
      </c>
      <c r="BK63" s="184">
        <f t="shared" si="55"/>
        <v>284807.25</v>
      </c>
      <c r="BL63" s="184">
        <f t="shared" si="55"/>
        <v>284807.25</v>
      </c>
      <c r="BM63" s="184">
        <f t="shared" si="55"/>
        <v>284807.25</v>
      </c>
      <c r="BN63" s="184">
        <f t="shared" si="55"/>
        <v>284807.25</v>
      </c>
      <c r="BO63" s="184">
        <f t="shared" si="55"/>
        <v>284807.25</v>
      </c>
      <c r="BP63" s="184">
        <f t="shared" si="55"/>
        <v>284807.25</v>
      </c>
      <c r="BQ63" s="184">
        <f t="shared" si="55"/>
        <v>284807.25</v>
      </c>
      <c r="BR63" s="184">
        <f t="shared" si="55"/>
        <v>284807.25</v>
      </c>
      <c r="BS63" s="184">
        <f t="shared" si="55"/>
        <v>284807.25</v>
      </c>
      <c r="BT63" s="184">
        <f t="shared" si="55"/>
        <v>284807.25</v>
      </c>
      <c r="BU63" s="184">
        <f t="shared" si="55"/>
        <v>284807.25</v>
      </c>
      <c r="BV63" s="184">
        <f t="shared" si="55"/>
        <v>284807.25</v>
      </c>
      <c r="BW63" s="184">
        <f t="shared" si="55"/>
        <v>284807.25</v>
      </c>
      <c r="BX63" s="184">
        <f t="shared" si="55"/>
        <v>284807.25</v>
      </c>
      <c r="BY63" s="184">
        <f t="shared" ref="BY63:DD63" si="56">BY26</f>
        <v>284807.25</v>
      </c>
      <c r="BZ63" s="184">
        <f t="shared" si="56"/>
        <v>284807.25</v>
      </c>
      <c r="CA63" s="184">
        <f t="shared" si="56"/>
        <v>284807.25</v>
      </c>
      <c r="CB63" s="184">
        <f t="shared" si="56"/>
        <v>284807.25</v>
      </c>
      <c r="CC63" s="184">
        <f t="shared" si="56"/>
        <v>284807.25</v>
      </c>
      <c r="CD63" s="184">
        <f t="shared" si="56"/>
        <v>284807.25</v>
      </c>
      <c r="CE63" s="184">
        <f t="shared" si="56"/>
        <v>284807.25</v>
      </c>
      <c r="CF63" s="184">
        <f t="shared" si="56"/>
        <v>284807.25</v>
      </c>
      <c r="CG63" s="184">
        <f t="shared" si="56"/>
        <v>284807.25</v>
      </c>
      <c r="CH63" s="184">
        <f t="shared" si="56"/>
        <v>284807.25</v>
      </c>
      <c r="CI63" s="184">
        <f t="shared" si="56"/>
        <v>284807.25</v>
      </c>
      <c r="CJ63" s="184">
        <f t="shared" si="56"/>
        <v>284807.25</v>
      </c>
      <c r="CK63" s="184">
        <f t="shared" si="56"/>
        <v>284807.25</v>
      </c>
      <c r="CL63" s="184">
        <f t="shared" si="56"/>
        <v>284807.25</v>
      </c>
      <c r="CM63" s="184">
        <f t="shared" si="56"/>
        <v>284807.25</v>
      </c>
      <c r="CN63" s="184">
        <f t="shared" si="56"/>
        <v>284807.25</v>
      </c>
      <c r="CO63" s="184">
        <f t="shared" si="56"/>
        <v>284807.25</v>
      </c>
      <c r="CP63" s="184">
        <f t="shared" si="56"/>
        <v>284807.25</v>
      </c>
      <c r="CQ63" s="184">
        <f t="shared" si="56"/>
        <v>284807.25</v>
      </c>
      <c r="CR63" s="184">
        <f t="shared" si="56"/>
        <v>284807.25</v>
      </c>
      <c r="CS63" s="184">
        <f t="shared" si="56"/>
        <v>284807.25</v>
      </c>
      <c r="CT63" s="184">
        <f t="shared" si="56"/>
        <v>284807.25</v>
      </c>
      <c r="CU63" s="184">
        <f t="shared" si="56"/>
        <v>284807.25</v>
      </c>
      <c r="CV63" s="184">
        <f t="shared" si="56"/>
        <v>284807.25</v>
      </c>
      <c r="CW63" s="184">
        <f t="shared" si="56"/>
        <v>284807.25</v>
      </c>
      <c r="CX63" s="184">
        <f t="shared" si="56"/>
        <v>284807.25</v>
      </c>
      <c r="CY63" s="184">
        <f t="shared" si="56"/>
        <v>284807.25</v>
      </c>
      <c r="CZ63" s="184">
        <f t="shared" si="56"/>
        <v>284807.25</v>
      </c>
      <c r="DA63" s="184">
        <f t="shared" si="56"/>
        <v>284807.25</v>
      </c>
      <c r="DB63" s="184">
        <f t="shared" si="56"/>
        <v>284807.25</v>
      </c>
      <c r="DC63" s="184">
        <f t="shared" si="56"/>
        <v>284807.25</v>
      </c>
      <c r="DD63" s="184">
        <f t="shared" si="56"/>
        <v>284807.25</v>
      </c>
      <c r="DE63" s="184">
        <f t="shared" ref="DE63:DT63" si="57">DE26</f>
        <v>284807.25</v>
      </c>
      <c r="DF63" s="184">
        <f t="shared" si="57"/>
        <v>284807.25</v>
      </c>
      <c r="DG63" s="184">
        <f t="shared" si="57"/>
        <v>284807.25</v>
      </c>
      <c r="DH63" s="184">
        <f t="shared" si="57"/>
        <v>284807.25</v>
      </c>
      <c r="DI63" s="184">
        <f t="shared" si="57"/>
        <v>284807.25</v>
      </c>
      <c r="DJ63" s="184">
        <f t="shared" si="57"/>
        <v>284807.25</v>
      </c>
      <c r="DK63" s="184">
        <f t="shared" si="57"/>
        <v>284807.25</v>
      </c>
      <c r="DL63" s="184">
        <f t="shared" si="57"/>
        <v>284807.25</v>
      </c>
      <c r="DM63" s="184">
        <f t="shared" si="57"/>
        <v>284807.25</v>
      </c>
      <c r="DN63" s="184">
        <f t="shared" si="57"/>
        <v>284807.25</v>
      </c>
      <c r="DO63" s="184">
        <f t="shared" si="57"/>
        <v>284807.25</v>
      </c>
      <c r="DP63" s="184">
        <f t="shared" si="57"/>
        <v>284807.25</v>
      </c>
      <c r="DQ63" s="184">
        <f t="shared" si="57"/>
        <v>284807.25</v>
      </c>
      <c r="DR63" s="184">
        <f t="shared" si="57"/>
        <v>284807.25</v>
      </c>
      <c r="DS63" s="184">
        <f t="shared" si="57"/>
        <v>284807.25</v>
      </c>
      <c r="DT63" s="184">
        <f t="shared" si="57"/>
        <v>284807.25</v>
      </c>
      <c r="DU63" s="184">
        <f t="shared" ref="DU63:ER63" si="58">DU26</f>
        <v>284807.25</v>
      </c>
      <c r="DV63" s="184">
        <f t="shared" si="58"/>
        <v>284807.25</v>
      </c>
      <c r="DW63" s="184">
        <f t="shared" si="58"/>
        <v>284807.25</v>
      </c>
      <c r="DX63" s="184">
        <f t="shared" si="58"/>
        <v>284807.25</v>
      </c>
      <c r="DY63" s="184">
        <f t="shared" si="58"/>
        <v>284807.25</v>
      </c>
      <c r="DZ63" s="184">
        <f t="shared" si="58"/>
        <v>284807.25</v>
      </c>
      <c r="EA63" s="184">
        <f t="shared" si="58"/>
        <v>284807.25</v>
      </c>
      <c r="EB63" s="184">
        <f t="shared" si="58"/>
        <v>284807.25</v>
      </c>
      <c r="EC63" s="184">
        <f t="shared" si="58"/>
        <v>284807.25</v>
      </c>
      <c r="ED63" s="184">
        <f t="shared" si="58"/>
        <v>0</v>
      </c>
      <c r="EE63" s="184">
        <f t="shared" si="58"/>
        <v>0</v>
      </c>
      <c r="EF63" s="184">
        <f t="shared" si="58"/>
        <v>0</v>
      </c>
      <c r="EG63" s="184">
        <f t="shared" si="58"/>
        <v>0</v>
      </c>
      <c r="EH63" s="184">
        <f t="shared" si="58"/>
        <v>0</v>
      </c>
      <c r="EI63" s="184">
        <f t="shared" si="58"/>
        <v>0</v>
      </c>
      <c r="EJ63" s="184">
        <f t="shared" si="58"/>
        <v>0</v>
      </c>
      <c r="EK63" s="184">
        <f t="shared" si="58"/>
        <v>0</v>
      </c>
      <c r="EL63" s="184">
        <f t="shared" si="58"/>
        <v>0</v>
      </c>
      <c r="EM63" s="184">
        <f t="shared" si="58"/>
        <v>0</v>
      </c>
      <c r="EN63" s="184">
        <f t="shared" si="58"/>
        <v>0</v>
      </c>
      <c r="EO63" s="184">
        <f t="shared" si="58"/>
        <v>0</v>
      </c>
      <c r="EP63" s="184">
        <f t="shared" si="58"/>
        <v>0</v>
      </c>
      <c r="EQ63" s="184">
        <f t="shared" si="58"/>
        <v>0</v>
      </c>
      <c r="ER63" s="184">
        <f t="shared" si="58"/>
        <v>0</v>
      </c>
    </row>
    <row r="64" spans="2:148" ht="11.25" customHeight="1">
      <c r="B64" s="218"/>
      <c r="C64" s="992" t="s">
        <v>1074</v>
      </c>
      <c r="D64" s="993"/>
      <c r="E64" s="993"/>
      <c r="F64" s="993"/>
      <c r="G64" s="993"/>
      <c r="H64" s="993"/>
      <c r="I64" s="994"/>
      <c r="J64" s="995"/>
      <c r="K64" s="996">
        <f ca="1">SUM(K62:K63)</f>
        <v>43526238.642517284</v>
      </c>
      <c r="L64" s="98"/>
      <c r="M64" s="171">
        <f>SUM(M62:M63)</f>
        <v>0</v>
      </c>
      <c r="N64" s="171">
        <f t="shared" ref="N64:BY64" ca="1" si="59">SUM(N62:N63)</f>
        <v>157817.58148785285</v>
      </c>
      <c r="O64" s="171">
        <f t="shared" ca="1" si="59"/>
        <v>167042.8220191031</v>
      </c>
      <c r="P64" s="171">
        <f t="shared" ca="1" si="59"/>
        <v>-23667.188655896694</v>
      </c>
      <c r="Q64" s="171">
        <f t="shared" ca="1" si="59"/>
        <v>120088.06407344178</v>
      </c>
      <c r="R64" s="171">
        <f t="shared" ca="1" si="59"/>
        <v>188964.09732344188</v>
      </c>
      <c r="S64" s="171">
        <f t="shared" ca="1" si="59"/>
        <v>227844.17592344177</v>
      </c>
      <c r="T64" s="171">
        <f t="shared" ca="1" si="59"/>
        <v>93091.054987191921</v>
      </c>
      <c r="U64" s="171">
        <f t="shared" ca="1" si="59"/>
        <v>265059.24611219205</v>
      </c>
      <c r="V64" s="171">
        <f t="shared" ca="1" si="59"/>
        <v>265604.205299692</v>
      </c>
      <c r="W64" s="171">
        <f t="shared" ca="1" si="59"/>
        <v>266149.16448719194</v>
      </c>
      <c r="X64" s="171">
        <f t="shared" ca="1" si="59"/>
        <v>266149.16448719194</v>
      </c>
      <c r="Y64" s="171">
        <f t="shared" ca="1" si="59"/>
        <v>246003.21998719196</v>
      </c>
      <c r="Z64" s="171">
        <f t="shared" ca="1" si="59"/>
        <v>245970.76761292911</v>
      </c>
      <c r="AA64" s="171">
        <f t="shared" ca="1" si="59"/>
        <v>244281.43490746024</v>
      </c>
      <c r="AB64" s="171">
        <f t="shared" ca="1" si="59"/>
        <v>48803.673965585302</v>
      </c>
      <c r="AC64" s="171">
        <f t="shared" ca="1" si="59"/>
        <v>146734.98412080051</v>
      </c>
      <c r="AD64" s="171">
        <f t="shared" ca="1" si="59"/>
        <v>217332.91820205038</v>
      </c>
      <c r="AE64" s="171">
        <f t="shared" ca="1" si="59"/>
        <v>257184.99876705033</v>
      </c>
      <c r="AF64" s="171">
        <f t="shared" ca="1" si="59"/>
        <v>119063.04980739404</v>
      </c>
      <c r="AG64" s="171">
        <f t="shared" ca="1" si="59"/>
        <v>295330.44571051898</v>
      </c>
      <c r="AH64" s="171">
        <f t="shared" ca="1" si="59"/>
        <v>295889.02887770662</v>
      </c>
      <c r="AI64" s="171">
        <f t="shared" ca="1" si="59"/>
        <v>296447.61204489402</v>
      </c>
      <c r="AJ64" s="171">
        <f t="shared" ca="1" si="59"/>
        <v>296447.61204489402</v>
      </c>
      <c r="AK64" s="171">
        <f t="shared" ca="1" si="59"/>
        <v>275798.0189323941</v>
      </c>
      <c r="AL64" s="171">
        <f t="shared" ca="1" si="59"/>
        <v>271015.546365396</v>
      </c>
      <c r="AM64" s="171">
        <f t="shared" ca="1" si="59"/>
        <v>248634.38722979056</v>
      </c>
      <c r="AN64" s="171">
        <f t="shared" ca="1" si="59"/>
        <v>224548.70858624356</v>
      </c>
      <c r="AO64" s="171">
        <f t="shared" ca="1" si="59"/>
        <v>293396.23324752634</v>
      </c>
      <c r="AP64" s="171">
        <f t="shared" ca="1" si="59"/>
        <v>221012.15760674502</v>
      </c>
      <c r="AQ64" s="171">
        <f t="shared" ca="1" si="59"/>
        <v>261860.54018587002</v>
      </c>
      <c r="AR64" s="171">
        <f t="shared" ca="1" si="59"/>
        <v>302104.7187956596</v>
      </c>
      <c r="AS64" s="171">
        <f t="shared" ca="1" si="59"/>
        <v>-760953.59524069447</v>
      </c>
      <c r="AT64" s="171">
        <f t="shared" ca="1" si="59"/>
        <v>-734013.20940228994</v>
      </c>
      <c r="AU64" s="171">
        <f t="shared" ca="1" si="59"/>
        <v>-798502.54722579103</v>
      </c>
      <c r="AV64" s="171">
        <f t="shared" ca="1" si="59"/>
        <v>-730104.15470362175</v>
      </c>
      <c r="AW64" s="171">
        <f t="shared" ca="1" si="59"/>
        <v>-751269.98764393432</v>
      </c>
      <c r="AX64" s="171">
        <f t="shared" ca="1" si="59"/>
        <v>331643.99809336814</v>
      </c>
      <c r="AY64" s="171">
        <f t="shared" ca="1" si="59"/>
        <v>337759.56999872311</v>
      </c>
      <c r="AZ64" s="171">
        <f t="shared" ca="1" si="59"/>
        <v>335975.1687761416</v>
      </c>
      <c r="BA64" s="171">
        <f t="shared" ca="1" si="59"/>
        <v>333515.7831513834</v>
      </c>
      <c r="BB64" s="171">
        <f t="shared" ca="1" si="59"/>
        <v>286976.90916288795</v>
      </c>
      <c r="BC64" s="171">
        <f t="shared" ca="1" si="59"/>
        <v>328846.50130649109</v>
      </c>
      <c r="BD64" s="171">
        <f t="shared" ca="1" si="59"/>
        <v>369481.61713871779</v>
      </c>
      <c r="BE64" s="171">
        <f t="shared" ca="1" si="59"/>
        <v>370040.17277596297</v>
      </c>
      <c r="BF64" s="171">
        <f t="shared" ca="1" si="59"/>
        <v>370040.17277596297</v>
      </c>
      <c r="BG64" s="171">
        <f t="shared" ca="1" si="59"/>
        <v>373460.09240207158</v>
      </c>
      <c r="BH64" s="171">
        <f t="shared" ca="1" si="59"/>
        <v>373460.09240207158</v>
      </c>
      <c r="BI64" s="171">
        <f t="shared" ca="1" si="59"/>
        <v>373460.09240207158</v>
      </c>
      <c r="BJ64" s="171">
        <f t="shared" ca="1" si="59"/>
        <v>373228.61562118342</v>
      </c>
      <c r="BK64" s="171">
        <f t="shared" ca="1" si="59"/>
        <v>379427.00400036981</v>
      </c>
      <c r="BL64" s="171">
        <f t="shared" ca="1" si="59"/>
        <v>384139.38683280803</v>
      </c>
      <c r="BM64" s="171">
        <f t="shared" ca="1" si="59"/>
        <v>396906.98439039977</v>
      </c>
      <c r="BN64" s="171">
        <f t="shared" ca="1" si="59"/>
        <v>320858.4649203039</v>
      </c>
      <c r="BO64" s="171">
        <f t="shared" ca="1" si="59"/>
        <v>363774.79686749715</v>
      </c>
      <c r="BP64" s="171">
        <f t="shared" ca="1" si="59"/>
        <v>406054.92172926839</v>
      </c>
      <c r="BQ64" s="171">
        <f t="shared" ca="1" si="59"/>
        <v>406054.92172926839</v>
      </c>
      <c r="BR64" s="171">
        <f t="shared" ca="1" si="59"/>
        <v>406054.92172926839</v>
      </c>
      <c r="BS64" s="171">
        <f t="shared" ca="1" si="59"/>
        <v>409560.33934602968</v>
      </c>
      <c r="BT64" s="171">
        <f t="shared" ca="1" si="59"/>
        <v>409560.33934602968</v>
      </c>
      <c r="BU64" s="171">
        <f t="shared" ca="1" si="59"/>
        <v>409560.33934602968</v>
      </c>
      <c r="BV64" s="171">
        <f t="shared" ca="1" si="59"/>
        <v>462512.34967445058</v>
      </c>
      <c r="BW64" s="171">
        <f t="shared" ca="1" si="59"/>
        <v>468865.69776311691</v>
      </c>
      <c r="BX64" s="171">
        <f t="shared" ca="1" si="59"/>
        <v>473695.89016636636</v>
      </c>
      <c r="BY64" s="171">
        <f t="shared" ca="1" si="59"/>
        <v>486782.67766289751</v>
      </c>
      <c r="BZ64" s="171">
        <f t="shared" ref="BZ64:EK64" ca="1" si="60">SUM(BZ62:BZ63)</f>
        <v>408832.94520604925</v>
      </c>
      <c r="CA64" s="171">
        <f t="shared" ca="1" si="60"/>
        <v>452822.18545192259</v>
      </c>
      <c r="CB64" s="171">
        <f t="shared" ca="1" si="60"/>
        <v>496159.3134352382</v>
      </c>
      <c r="CC64" s="171">
        <f t="shared" ca="1" si="60"/>
        <v>496159.3134352382</v>
      </c>
      <c r="CD64" s="171">
        <f t="shared" ca="1" si="60"/>
        <v>496159.3134352382</v>
      </c>
      <c r="CE64" s="171">
        <f t="shared" ca="1" si="60"/>
        <v>499752.36649241846</v>
      </c>
      <c r="CF64" s="171">
        <f t="shared" ca="1" si="60"/>
        <v>499752.36649241846</v>
      </c>
      <c r="CG64" s="171">
        <f t="shared" ca="1" si="60"/>
        <v>499752.36649241846</v>
      </c>
      <c r="CH64" s="171">
        <f t="shared" ca="1" si="60"/>
        <v>499387.73782483244</v>
      </c>
      <c r="CI64" s="171">
        <f t="shared" ca="1" si="60"/>
        <v>505899.91961571516</v>
      </c>
      <c r="CJ64" s="171">
        <f t="shared" ca="1" si="60"/>
        <v>510850.86682904593</v>
      </c>
      <c r="CK64" s="171">
        <f t="shared" ca="1" si="60"/>
        <v>524264.82401299046</v>
      </c>
      <c r="CL64" s="171">
        <f t="shared" ca="1" si="60"/>
        <v>444366.34824472119</v>
      </c>
      <c r="CM64" s="171">
        <f t="shared" ca="1" si="60"/>
        <v>489455.31949674117</v>
      </c>
      <c r="CN64" s="171">
        <f t="shared" ca="1" si="60"/>
        <v>533875.87567963952</v>
      </c>
      <c r="CO64" s="171">
        <f t="shared" ca="1" si="60"/>
        <v>533875.87567963952</v>
      </c>
      <c r="CP64" s="171">
        <f t="shared" ca="1" si="60"/>
        <v>533875.87567963952</v>
      </c>
      <c r="CQ64" s="171">
        <f t="shared" ca="1" si="60"/>
        <v>537558.75506324926</v>
      </c>
      <c r="CR64" s="171">
        <f t="shared" ca="1" si="60"/>
        <v>537558.75506324926</v>
      </c>
      <c r="CS64" s="171">
        <f t="shared" ca="1" si="60"/>
        <v>537558.75506324926</v>
      </c>
      <c r="CT64" s="171">
        <f t="shared" ca="1" si="60"/>
        <v>537127.33701037476</v>
      </c>
      <c r="CU64" s="171">
        <f t="shared" ca="1" si="60"/>
        <v>543802.32334602997</v>
      </c>
      <c r="CV64" s="171">
        <f t="shared" ca="1" si="60"/>
        <v>548877.04423969379</v>
      </c>
      <c r="CW64" s="171">
        <f t="shared" ca="1" si="60"/>
        <v>562626.35035323678</v>
      </c>
      <c r="CX64" s="171">
        <f t="shared" ca="1" si="60"/>
        <v>480730.41269076068</v>
      </c>
      <c r="CY64" s="171">
        <f t="shared" ca="1" si="60"/>
        <v>526946.60822408099</v>
      </c>
      <c r="CZ64" s="171">
        <f t="shared" ca="1" si="60"/>
        <v>-64499.084280019393</v>
      </c>
      <c r="DA64" s="171">
        <f t="shared" ca="1" si="60"/>
        <v>535652.68610402662</v>
      </c>
      <c r="DB64" s="171">
        <f t="shared" ca="1" si="60"/>
        <v>535652.68610402662</v>
      </c>
      <c r="DC64" s="171">
        <f t="shared" ca="1" si="60"/>
        <v>462041.13442412729</v>
      </c>
      <c r="DD64" s="171">
        <f t="shared" ca="1" si="60"/>
        <v>539427.63747222628</v>
      </c>
      <c r="DE64" s="171">
        <f t="shared" ca="1" si="60"/>
        <v>539427.63747222628</v>
      </c>
      <c r="DF64" s="171">
        <f t="shared" ca="1" si="60"/>
        <v>539012.72818903159</v>
      </c>
      <c r="DG64" s="171">
        <f t="shared" ca="1" si="60"/>
        <v>545662.46233065519</v>
      </c>
      <c r="DH64" s="171">
        <f t="shared" ca="1" si="60"/>
        <v>533121.7885286446</v>
      </c>
      <c r="DI64" s="171">
        <f t="shared" ca="1" si="60"/>
        <v>522634.70358644251</v>
      </c>
      <c r="DJ64" s="171">
        <f t="shared" ca="1" si="60"/>
        <v>564851.70375185343</v>
      </c>
      <c r="DK64" s="171">
        <f t="shared" ca="1" si="60"/>
        <v>538764.59919410152</v>
      </c>
      <c r="DL64" s="171">
        <f t="shared" ca="1" si="60"/>
        <v>574101.44013686944</v>
      </c>
      <c r="DM64" s="171">
        <f t="shared" ca="1" si="60"/>
        <v>574733.39457220491</v>
      </c>
      <c r="DN64" s="171">
        <f t="shared" ca="1" si="60"/>
        <v>574733.39457220491</v>
      </c>
      <c r="DO64" s="171">
        <f t="shared" ca="1" si="60"/>
        <v>578602.71972460975</v>
      </c>
      <c r="DP64" s="171">
        <f t="shared" ca="1" si="60"/>
        <v>578602.71972460975</v>
      </c>
      <c r="DQ64" s="171">
        <f t="shared" ca="1" si="60"/>
        <v>578602.71972460975</v>
      </c>
      <c r="DR64" s="171">
        <f t="shared" ca="1" si="60"/>
        <v>578122.73406297155</v>
      </c>
      <c r="DS64" s="171">
        <f t="shared" ca="1" si="60"/>
        <v>584938.71155813569</v>
      </c>
      <c r="DT64" s="171">
        <f t="shared" ca="1" si="60"/>
        <v>590108.63620715891</v>
      </c>
      <c r="DU64" s="171">
        <f t="shared" ca="1" si="60"/>
        <v>604117.01978808013</v>
      </c>
      <c r="DV64" s="171">
        <f t="shared" ca="1" si="60"/>
        <v>604117.01978808013</v>
      </c>
      <c r="DW64" s="171">
        <f t="shared" ca="1" si="60"/>
        <v>609448.83126752614</v>
      </c>
      <c r="DX64" s="171">
        <f t="shared" ca="1" si="60"/>
        <v>614245.7528789402</v>
      </c>
      <c r="DY64" s="171">
        <f t="shared" ca="1" si="60"/>
        <v>614245.7528789402</v>
      </c>
      <c r="DZ64" s="171">
        <f t="shared" ca="1" si="60"/>
        <v>614245.7528789402</v>
      </c>
      <c r="EA64" s="171">
        <f t="shared" ca="1" si="60"/>
        <v>618211.81116015534</v>
      </c>
      <c r="EB64" s="171">
        <f t="shared" ca="1" si="60"/>
        <v>618211.81116015534</v>
      </c>
      <c r="EC64" s="171">
        <f t="shared" ca="1" si="60"/>
        <v>618211.81116016209</v>
      </c>
      <c r="ED64" s="171">
        <f t="shared" ca="1" si="60"/>
        <v>0</v>
      </c>
      <c r="EE64" s="171">
        <f t="shared" ca="1" si="60"/>
        <v>0</v>
      </c>
      <c r="EF64" s="171">
        <f t="shared" ca="1" si="60"/>
        <v>0</v>
      </c>
      <c r="EG64" s="171">
        <f t="shared" ca="1" si="60"/>
        <v>0</v>
      </c>
      <c r="EH64" s="171">
        <f t="shared" ca="1" si="60"/>
        <v>0</v>
      </c>
      <c r="EI64" s="171">
        <f t="shared" ca="1" si="60"/>
        <v>0</v>
      </c>
      <c r="EJ64" s="171">
        <f t="shared" ca="1" si="60"/>
        <v>0</v>
      </c>
      <c r="EK64" s="171">
        <f t="shared" ca="1" si="60"/>
        <v>0</v>
      </c>
      <c r="EL64" s="171">
        <f t="shared" ref="EL64:ER64" ca="1" si="61">SUM(EL62:EL63)</f>
        <v>0</v>
      </c>
      <c r="EM64" s="171">
        <f t="shared" ca="1" si="61"/>
        <v>0</v>
      </c>
      <c r="EN64" s="171">
        <f t="shared" ca="1" si="61"/>
        <v>0</v>
      </c>
      <c r="EO64" s="171">
        <f t="shared" ca="1" si="61"/>
        <v>0</v>
      </c>
      <c r="EP64" s="171">
        <f t="shared" ca="1" si="61"/>
        <v>0</v>
      </c>
      <c r="EQ64" s="171">
        <f t="shared" ca="1" si="61"/>
        <v>0</v>
      </c>
      <c r="ER64" s="171">
        <f t="shared" ca="1" si="61"/>
        <v>0</v>
      </c>
    </row>
    <row r="65" spans="2:148" ht="11.25" customHeight="1">
      <c r="B65" s="218"/>
      <c r="C65" s="1749" t="s">
        <v>572</v>
      </c>
      <c r="D65" s="1750"/>
      <c r="E65" s="1750"/>
      <c r="F65" s="1750"/>
      <c r="G65" s="1750"/>
      <c r="H65" s="1750"/>
      <c r="I65" s="1751"/>
      <c r="J65" s="1752"/>
      <c r="K65" s="1753">
        <f>SUM(M65:ER65)</f>
        <v>4299854.3924679644</v>
      </c>
      <c r="L65" s="98"/>
      <c r="M65" s="1759">
        <f>SUMIF('IS(FY)'!$M$54:$DW$54,M$60,'IS(FY)'!$M$83:$DW$83)*'A&amp;R'!$F$104</f>
        <v>0</v>
      </c>
      <c r="N65" s="1759">
        <f>SUMIF('IS(FY)'!$M$54:$DW$54,N$60,'IS(FY)'!$M$83:$DW$83)*'A&amp;R'!$F$104</f>
        <v>0</v>
      </c>
      <c r="O65" s="1759">
        <f>SUMIF('IS(FY)'!$M$54:$DW$54,O$60,'IS(FY)'!$M$83:$DW$83)*'A&amp;R'!$F$104</f>
        <v>0</v>
      </c>
      <c r="P65" s="1759">
        <f>SUMIF('IS(FY)'!$M$54:$DW$54,P$60,'IS(FY)'!$M$83:$DW$83)*'A&amp;R'!$F$104</f>
        <v>0</v>
      </c>
      <c r="Q65" s="1759">
        <f>SUMIF('IS(FY)'!$M$54:$DW$54,Q$60,'IS(FY)'!$M$83:$DW$83)*'A&amp;R'!$F$104</f>
        <v>0</v>
      </c>
      <c r="R65" s="1759">
        <f>SUMIF('IS(FY)'!$M$54:$DW$54,R$60,'IS(FY)'!$M$83:$DW$83)*'A&amp;R'!$F$104</f>
        <v>0</v>
      </c>
      <c r="S65" s="1759">
        <f>SUMIF('IS(FY)'!$M$54:$DW$54,S$60,'IS(FY)'!$M$83:$DW$83)*'A&amp;R'!$F$104</f>
        <v>2431910.4478286155</v>
      </c>
      <c r="T65" s="1759">
        <f>SUMIF('IS(FY)'!$M$54:$DW$54,T$60,'IS(FY)'!$M$83:$DW$83)*'A&amp;R'!$F$104</f>
        <v>0</v>
      </c>
      <c r="U65" s="1759">
        <f>SUMIF('IS(FY)'!$M$54:$DW$54,U$60,'IS(FY)'!$M$83:$DW$83)*'A&amp;R'!$F$104</f>
        <v>0</v>
      </c>
      <c r="V65" s="1759">
        <f>SUMIF('IS(FY)'!$M$54:$DW$54,V$60,'IS(FY)'!$M$83:$DW$83)*'A&amp;R'!$F$104</f>
        <v>0</v>
      </c>
      <c r="W65" s="1759">
        <f>SUMIF('IS(FY)'!$M$54:$DW$54,W$60,'IS(FY)'!$M$83:$DW$83)*'A&amp;R'!$F$104</f>
        <v>0</v>
      </c>
      <c r="X65" s="1759">
        <f>SUMIF('IS(FY)'!$M$54:$DW$54,X$60,'IS(FY)'!$M$83:$DW$83)*'A&amp;R'!$F$104</f>
        <v>0</v>
      </c>
      <c r="Y65" s="1759">
        <f>SUMIF('IS(FY)'!$M$54:$DW$54,Y$60,'IS(FY)'!$M$83:$DW$83)*'A&amp;R'!$F$104</f>
        <v>1867943.9446393484</v>
      </c>
      <c r="Z65" s="1759">
        <f>SUMIF('IS(FY)'!$M$54:$DW$54,Z$60,'IS(FY)'!$M$83:$DW$83)*'A&amp;R'!$F$104</f>
        <v>0</v>
      </c>
      <c r="AA65" s="1759">
        <f>SUMIF('IS(FY)'!$M$54:$DW$54,AA$60,'IS(FY)'!$M$83:$DW$83)*'A&amp;R'!$F$104</f>
        <v>0</v>
      </c>
      <c r="AB65" s="1759">
        <f>SUMIF('IS(FY)'!$M$54:$DW$54,AB$60,'IS(FY)'!$M$83:$DW$83)*'A&amp;R'!$F$104</f>
        <v>0</v>
      </c>
      <c r="AC65" s="1759">
        <f>SUMIF('IS(FY)'!$M$54:$DW$54,AC$60,'IS(FY)'!$M$83:$DW$83)*'A&amp;R'!$F$104</f>
        <v>0</v>
      </c>
      <c r="AD65" s="1759">
        <f>SUMIF('IS(FY)'!$M$54:$DW$54,AD$60,'IS(FY)'!$M$83:$DW$83)*'A&amp;R'!$F$104</f>
        <v>0</v>
      </c>
      <c r="AE65" s="1759">
        <f>SUMIF('IS(FY)'!$M$54:$DW$54,AE$60,'IS(FY)'!$M$83:$DW$83)*'A&amp;R'!$F$104</f>
        <v>0</v>
      </c>
      <c r="AF65" s="1759">
        <f>SUMIF('IS(FY)'!$M$54:$DW$54,AF$60,'IS(FY)'!$M$83:$DW$83)*'A&amp;R'!$F$104</f>
        <v>0</v>
      </c>
      <c r="AG65" s="1759">
        <f>SUMIF('IS(FY)'!$M$54:$DW$54,AG$60,'IS(FY)'!$M$83:$DW$83)*'A&amp;R'!$F$104</f>
        <v>0</v>
      </c>
      <c r="AH65" s="1759">
        <f>SUMIF('IS(FY)'!$M$54:$DW$54,AH$60,'IS(FY)'!$M$83:$DW$83)*'A&amp;R'!$F$104</f>
        <v>0</v>
      </c>
      <c r="AI65" s="1759">
        <f>SUMIF('IS(FY)'!$M$54:$DW$54,AI$60,'IS(FY)'!$M$83:$DW$83)*'A&amp;R'!$F$104</f>
        <v>0</v>
      </c>
      <c r="AJ65" s="1759">
        <f>SUMIF('IS(FY)'!$M$54:$DW$54,AJ$60,'IS(FY)'!$M$83:$DW$83)*'A&amp;R'!$F$104</f>
        <v>0</v>
      </c>
      <c r="AK65" s="1759">
        <f>SUMIF('IS(FY)'!$M$54:$DW$54,AK$60,'IS(FY)'!$M$83:$DW$83)*'A&amp;R'!$F$104</f>
        <v>0</v>
      </c>
      <c r="AL65" s="1759">
        <f>SUMIF('IS(FY)'!$M$54:$DW$54,AL$60,'IS(FY)'!$M$83:$DW$83)*'A&amp;R'!$F$104</f>
        <v>0</v>
      </c>
      <c r="AM65" s="1759">
        <f>SUMIF('IS(FY)'!$M$54:$DW$54,AM$60,'IS(FY)'!$M$83:$DW$83)*'A&amp;R'!$F$104</f>
        <v>0</v>
      </c>
      <c r="AN65" s="1759">
        <f>SUMIF('IS(FY)'!$M$54:$DW$54,AN$60,'IS(FY)'!$M$83:$DW$83)*'A&amp;R'!$F$104</f>
        <v>0</v>
      </c>
      <c r="AO65" s="1759">
        <f>SUMIF('IS(FY)'!$M$54:$DW$54,AO$60,'IS(FY)'!$M$83:$DW$83)*'A&amp;R'!$F$104</f>
        <v>0</v>
      </c>
      <c r="AP65" s="1759">
        <f>SUMIF('IS(FY)'!$M$54:$DW$54,AP$60,'IS(FY)'!$M$83:$DW$83)*'A&amp;R'!$F$104</f>
        <v>0</v>
      </c>
      <c r="AQ65" s="1759">
        <f>SUMIF('IS(FY)'!$M$54:$DW$54,AQ$60,'IS(FY)'!$M$83:$DW$83)*'A&amp;R'!$F$104</f>
        <v>0</v>
      </c>
      <c r="AR65" s="1759">
        <f>SUMIF('IS(FY)'!$M$54:$DW$54,AR$60,'IS(FY)'!$M$83:$DW$83)*'A&amp;R'!$F$104</f>
        <v>0</v>
      </c>
      <c r="AS65" s="1759">
        <f>SUMIF('IS(FY)'!$M$54:$DW$54,AS$60,'IS(FY)'!$M$83:$DW$83)*'A&amp;R'!$F$104</f>
        <v>0</v>
      </c>
      <c r="AT65" s="1759">
        <f>SUMIF('IS(FY)'!$M$54:$DW$54,AT$60,'IS(FY)'!$M$83:$DW$83)*'A&amp;R'!$F$104</f>
        <v>0</v>
      </c>
      <c r="AU65" s="1759">
        <f>SUMIF('IS(FY)'!$M$54:$DW$54,AU$60,'IS(FY)'!$M$83:$DW$83)*'A&amp;R'!$F$104</f>
        <v>0</v>
      </c>
      <c r="AV65" s="1759">
        <f>SUMIF('IS(FY)'!$M$54:$DW$54,AV$60,'IS(FY)'!$M$83:$DW$83)*'A&amp;R'!$F$104</f>
        <v>0</v>
      </c>
      <c r="AW65" s="1759">
        <f>SUMIF('IS(FY)'!$M$54:$DW$54,AW$60,'IS(FY)'!$M$83:$DW$83)*'A&amp;R'!$F$104</f>
        <v>0</v>
      </c>
      <c r="AX65" s="1759">
        <f>SUMIF('IS(FY)'!$M$54:$DW$54,AX$60,'IS(FY)'!$M$83:$DW$83)*'A&amp;R'!$F$104</f>
        <v>0</v>
      </c>
      <c r="AY65" s="1759">
        <f>SUMIF('IS(FY)'!$M$54:$DW$54,AY$60,'IS(FY)'!$M$83:$DW$83)*'A&amp;R'!$F$104</f>
        <v>0</v>
      </c>
      <c r="AZ65" s="1759">
        <f>SUMIF('IS(FY)'!$M$54:$DW$54,AZ$60,'IS(FY)'!$M$83:$DW$83)*'A&amp;R'!$F$104</f>
        <v>0</v>
      </c>
      <c r="BA65" s="1759">
        <f>SUMIF('IS(FY)'!$M$54:$DW$54,BA$60,'IS(FY)'!$M$83:$DW$83)*'A&amp;R'!$F$104</f>
        <v>0</v>
      </c>
      <c r="BB65" s="1759">
        <f>SUMIF('IS(FY)'!$M$54:$DW$54,BB$60,'IS(FY)'!$M$83:$DW$83)*'A&amp;R'!$F$104</f>
        <v>0</v>
      </c>
      <c r="BC65" s="1759">
        <f>SUMIF('IS(FY)'!$M$54:$DW$54,BC$60,'IS(FY)'!$M$83:$DW$83)*'A&amp;R'!$F$104</f>
        <v>0</v>
      </c>
      <c r="BD65" s="1759">
        <f>SUMIF('IS(FY)'!$M$54:$DW$54,BD$60,'IS(FY)'!$M$83:$DW$83)*'A&amp;R'!$F$104</f>
        <v>0</v>
      </c>
      <c r="BE65" s="1759">
        <f>SUMIF('IS(FY)'!$M$54:$DW$54,BE$60,'IS(FY)'!$M$83:$DW$83)*'A&amp;R'!$F$104</f>
        <v>0</v>
      </c>
      <c r="BF65" s="1759">
        <f>SUMIF('IS(FY)'!$M$54:$DW$54,BF$60,'IS(FY)'!$M$83:$DW$83)*'A&amp;R'!$F$104</f>
        <v>0</v>
      </c>
      <c r="BG65" s="1759">
        <f>SUMIF('IS(FY)'!$M$54:$DW$54,BG$60,'IS(FY)'!$M$83:$DW$83)*'A&amp;R'!$F$104</f>
        <v>0</v>
      </c>
      <c r="BH65" s="1759">
        <f>SUMIF('IS(FY)'!$M$54:$DW$54,BH$60,'IS(FY)'!$M$83:$DW$83)*'A&amp;R'!$F$104</f>
        <v>0</v>
      </c>
      <c r="BI65" s="1759">
        <f>SUMIF('IS(FY)'!$M$54:$DW$54,BI$60,'IS(FY)'!$M$83:$DW$83)*'A&amp;R'!$F$104</f>
        <v>0</v>
      </c>
      <c r="BJ65" s="1759">
        <f>SUMIF('IS(FY)'!$M$54:$DW$54,BJ$60,'IS(FY)'!$M$83:$DW$83)*'A&amp;R'!$F$104</f>
        <v>0</v>
      </c>
      <c r="BK65" s="1759">
        <f>SUMIF('IS(FY)'!$M$54:$DW$54,BK$60,'IS(FY)'!$M$83:$DW$83)*'A&amp;R'!$F$104</f>
        <v>0</v>
      </c>
      <c r="BL65" s="1759">
        <f>SUMIF('IS(FY)'!$M$54:$DW$54,BL$60,'IS(FY)'!$M$83:$DW$83)*'A&amp;R'!$F$104</f>
        <v>0</v>
      </c>
      <c r="BM65" s="1759">
        <f>SUMIF('IS(FY)'!$M$54:$DW$54,BM$60,'IS(FY)'!$M$83:$DW$83)*'A&amp;R'!$F$104</f>
        <v>0</v>
      </c>
      <c r="BN65" s="1759">
        <f>SUMIF('IS(FY)'!$M$54:$DW$54,BN$60,'IS(FY)'!$M$83:$DW$83)*'A&amp;R'!$F$104</f>
        <v>0</v>
      </c>
      <c r="BO65" s="1759">
        <f>SUMIF('IS(FY)'!$M$54:$DW$54,BO$60,'IS(FY)'!$M$83:$DW$83)*'A&amp;R'!$F$104</f>
        <v>0</v>
      </c>
      <c r="BP65" s="1759">
        <f>SUMIF('IS(FY)'!$M$54:$DW$54,BP$60,'IS(FY)'!$M$83:$DW$83)*'A&amp;R'!$F$104</f>
        <v>0</v>
      </c>
      <c r="BQ65" s="1759">
        <f>SUMIF('IS(FY)'!$M$54:$DW$54,BQ$60,'IS(FY)'!$M$83:$DW$83)*'A&amp;R'!$F$104</f>
        <v>0</v>
      </c>
      <c r="BR65" s="1759">
        <f>SUMIF('IS(FY)'!$M$54:$DW$54,BR$60,'IS(FY)'!$M$83:$DW$83)*'A&amp;R'!$F$104</f>
        <v>0</v>
      </c>
      <c r="BS65" s="1759">
        <f>SUMIF('IS(FY)'!$M$54:$DW$54,BS$60,'IS(FY)'!$M$83:$DW$83)*'A&amp;R'!$F$104</f>
        <v>0</v>
      </c>
      <c r="BT65" s="1759">
        <f>SUMIF('IS(FY)'!$M$54:$DW$54,BT$60,'IS(FY)'!$M$83:$DW$83)*'A&amp;R'!$F$104</f>
        <v>0</v>
      </c>
      <c r="BU65" s="1759">
        <f>SUMIF('IS(FY)'!$M$54:$DW$54,BU$60,'IS(FY)'!$M$83:$DW$83)*'A&amp;R'!$F$104</f>
        <v>0</v>
      </c>
      <c r="BV65" s="1759">
        <f>SUMIF('IS(FY)'!$M$54:$DW$54,BV$60,'IS(FY)'!$M$83:$DW$83)*'A&amp;R'!$F$104</f>
        <v>0</v>
      </c>
      <c r="BW65" s="1759">
        <f>SUMIF('IS(FY)'!$M$54:$DW$54,BW$60,'IS(FY)'!$M$83:$DW$83)*'A&amp;R'!$F$104</f>
        <v>0</v>
      </c>
      <c r="BX65" s="1759">
        <f>SUMIF('IS(FY)'!$M$54:$DW$54,BX$60,'IS(FY)'!$M$83:$DW$83)*'A&amp;R'!$F$104</f>
        <v>0</v>
      </c>
      <c r="BY65" s="1759">
        <f>SUMIF('IS(FY)'!$M$54:$DW$54,BY$60,'IS(FY)'!$M$83:$DW$83)*'A&amp;R'!$F$104</f>
        <v>0</v>
      </c>
      <c r="BZ65" s="1759">
        <f>SUMIF('IS(FY)'!$M$54:$DW$54,BZ$60,'IS(FY)'!$M$83:$DW$83)*'A&amp;R'!$F$104</f>
        <v>0</v>
      </c>
      <c r="CA65" s="1759">
        <f>SUMIF('IS(FY)'!$M$54:$DW$54,CA$60,'IS(FY)'!$M$83:$DW$83)*'A&amp;R'!$F$104</f>
        <v>0</v>
      </c>
      <c r="CB65" s="1759">
        <f>SUMIF('IS(FY)'!$M$54:$DW$54,CB$60,'IS(FY)'!$M$83:$DW$83)*'A&amp;R'!$F$104</f>
        <v>0</v>
      </c>
      <c r="CC65" s="1759">
        <f>SUMIF('IS(FY)'!$M$54:$DW$54,CC$60,'IS(FY)'!$M$83:$DW$83)*'A&amp;R'!$F$104</f>
        <v>0</v>
      </c>
      <c r="CD65" s="1759">
        <f>SUMIF('IS(FY)'!$M$54:$DW$54,CD$60,'IS(FY)'!$M$83:$DW$83)*'A&amp;R'!$F$104</f>
        <v>0</v>
      </c>
      <c r="CE65" s="1759">
        <f>SUMIF('IS(FY)'!$M$54:$DW$54,CE$60,'IS(FY)'!$M$83:$DW$83)*'A&amp;R'!$F$104</f>
        <v>0</v>
      </c>
      <c r="CF65" s="1759">
        <f>SUMIF('IS(FY)'!$M$54:$DW$54,CF$60,'IS(FY)'!$M$83:$DW$83)*'A&amp;R'!$F$104</f>
        <v>0</v>
      </c>
      <c r="CG65" s="1759">
        <f>SUMIF('IS(FY)'!$M$54:$DW$54,CG$60,'IS(FY)'!$M$83:$DW$83)*'A&amp;R'!$F$104</f>
        <v>0</v>
      </c>
      <c r="CH65" s="1759">
        <f>SUMIF('IS(FY)'!$M$54:$DW$54,CH$60,'IS(FY)'!$M$83:$DW$83)*'A&amp;R'!$F$104</f>
        <v>0</v>
      </c>
      <c r="CI65" s="1759">
        <f>SUMIF('IS(FY)'!$M$54:$DW$54,CI$60,'IS(FY)'!$M$83:$DW$83)*'A&amp;R'!$F$104</f>
        <v>0</v>
      </c>
      <c r="CJ65" s="1759">
        <f>SUMIF('IS(FY)'!$M$54:$DW$54,CJ$60,'IS(FY)'!$M$83:$DW$83)*'A&amp;R'!$F$104</f>
        <v>0</v>
      </c>
      <c r="CK65" s="1759">
        <f>SUMIF('IS(FY)'!$M$54:$DW$54,CK$60,'IS(FY)'!$M$83:$DW$83)*'A&amp;R'!$F$104</f>
        <v>0</v>
      </c>
      <c r="CL65" s="1759">
        <f>SUMIF('IS(FY)'!$M$54:$DW$54,CL$60,'IS(FY)'!$M$83:$DW$83)*'A&amp;R'!$F$104</f>
        <v>0</v>
      </c>
      <c r="CM65" s="1759">
        <f>SUMIF('IS(FY)'!$M$54:$DW$54,CM$60,'IS(FY)'!$M$83:$DW$83)*'A&amp;R'!$F$104</f>
        <v>0</v>
      </c>
      <c r="CN65" s="1759">
        <f>SUMIF('IS(FY)'!$M$54:$DW$54,CN$60,'IS(FY)'!$M$83:$DW$83)*'A&amp;R'!$F$104</f>
        <v>0</v>
      </c>
      <c r="CO65" s="1759">
        <f>SUMIF('IS(FY)'!$M$54:$DW$54,CO$60,'IS(FY)'!$M$83:$DW$83)*'A&amp;R'!$F$104</f>
        <v>0</v>
      </c>
      <c r="CP65" s="1759">
        <f>SUMIF('IS(FY)'!$M$54:$DW$54,CP$60,'IS(FY)'!$M$83:$DW$83)*'A&amp;R'!$F$104</f>
        <v>0</v>
      </c>
      <c r="CQ65" s="1759">
        <f>SUMIF('IS(FY)'!$M$54:$DW$54,CQ$60,'IS(FY)'!$M$83:$DW$83)*'A&amp;R'!$F$104</f>
        <v>0</v>
      </c>
      <c r="CR65" s="1759">
        <f>SUMIF('IS(FY)'!$M$54:$DW$54,CR$60,'IS(FY)'!$M$83:$DW$83)*'A&amp;R'!$F$104</f>
        <v>0</v>
      </c>
      <c r="CS65" s="1759">
        <f>SUMIF('IS(FY)'!$M$54:$DW$54,CS$60,'IS(FY)'!$M$83:$DW$83)*'A&amp;R'!$F$104</f>
        <v>0</v>
      </c>
      <c r="CT65" s="1759">
        <f>SUMIF('IS(FY)'!$M$54:$DW$54,CT$60,'IS(FY)'!$M$83:$DW$83)*'A&amp;R'!$F$104</f>
        <v>0</v>
      </c>
      <c r="CU65" s="1759">
        <f>SUMIF('IS(FY)'!$M$54:$DW$54,CU$60,'IS(FY)'!$M$83:$DW$83)*'A&amp;R'!$F$104</f>
        <v>0</v>
      </c>
      <c r="CV65" s="1759">
        <f>SUMIF('IS(FY)'!$M$54:$DW$54,CV$60,'IS(FY)'!$M$83:$DW$83)*'A&amp;R'!$F$104</f>
        <v>0</v>
      </c>
      <c r="CW65" s="1759">
        <f>SUMIF('IS(FY)'!$M$54:$DW$54,CW$60,'IS(FY)'!$M$83:$DW$83)*'A&amp;R'!$F$104</f>
        <v>0</v>
      </c>
      <c r="CX65" s="1759">
        <f>SUMIF('IS(FY)'!$M$54:$DW$54,CX$60,'IS(FY)'!$M$83:$DW$83)*'A&amp;R'!$F$104</f>
        <v>0</v>
      </c>
      <c r="CY65" s="1759">
        <f>SUMIF('IS(FY)'!$M$54:$DW$54,CY$60,'IS(FY)'!$M$83:$DW$83)*'A&amp;R'!$F$104</f>
        <v>0</v>
      </c>
      <c r="CZ65" s="1759">
        <f>SUMIF('IS(FY)'!$M$54:$DW$54,CZ$60,'IS(FY)'!$M$83:$DW$83)*'A&amp;R'!$F$104</f>
        <v>0</v>
      </c>
      <c r="DA65" s="1759">
        <f>SUMIF('IS(FY)'!$M$54:$DW$54,DA$60,'IS(FY)'!$M$83:$DW$83)*'A&amp;R'!$F$104</f>
        <v>0</v>
      </c>
      <c r="DB65" s="1759">
        <f>SUMIF('IS(FY)'!$M$54:$DW$54,DB$60,'IS(FY)'!$M$83:$DW$83)*'A&amp;R'!$F$104</f>
        <v>0</v>
      </c>
      <c r="DC65" s="1759">
        <f>SUMIF('IS(FY)'!$M$54:$DW$54,DC$60,'IS(FY)'!$M$83:$DW$83)*'A&amp;R'!$F$104</f>
        <v>0</v>
      </c>
      <c r="DD65" s="1759">
        <f>SUMIF('IS(FY)'!$M$54:$DW$54,DD$60,'IS(FY)'!$M$83:$DW$83)*'A&amp;R'!$F$104</f>
        <v>0</v>
      </c>
      <c r="DE65" s="1759">
        <f>SUMIF('IS(FY)'!$M$54:$DW$54,DE$60,'IS(FY)'!$M$83:$DW$83)*'A&amp;R'!$F$104</f>
        <v>0</v>
      </c>
      <c r="DF65" s="1759">
        <f>SUMIF('IS(FY)'!$M$54:$DW$54,DF$60,'IS(FY)'!$M$83:$DW$83)*'A&amp;R'!$F$104</f>
        <v>0</v>
      </c>
      <c r="DG65" s="1759">
        <f>SUMIF('IS(FY)'!$M$54:$DW$54,DG$60,'IS(FY)'!$M$83:$DW$83)*'A&amp;R'!$F$104</f>
        <v>0</v>
      </c>
      <c r="DH65" s="1759">
        <f>SUMIF('IS(FY)'!$M$54:$DW$54,DH$60,'IS(FY)'!$M$83:$DW$83)*'A&amp;R'!$F$104</f>
        <v>0</v>
      </c>
      <c r="DI65" s="1759">
        <f>SUMIF('IS(FY)'!$M$54:$DW$54,DI$60,'IS(FY)'!$M$83:$DW$83)*'A&amp;R'!$F$104</f>
        <v>0</v>
      </c>
      <c r="DJ65" s="1759">
        <f>SUMIF('IS(FY)'!$M$54:$DW$54,DJ$60,'IS(FY)'!$M$83:$DW$83)*'A&amp;R'!$F$104</f>
        <v>0</v>
      </c>
      <c r="DK65" s="1759">
        <f>SUMIF('IS(FY)'!$M$54:$DW$54,DK$60,'IS(FY)'!$M$83:$DW$83)*'A&amp;R'!$F$104</f>
        <v>0</v>
      </c>
      <c r="DL65" s="1759">
        <f>SUMIF('IS(FY)'!$M$54:$DW$54,DL$60,'IS(FY)'!$M$83:$DW$83)*'A&amp;R'!$F$104</f>
        <v>0</v>
      </c>
      <c r="DM65" s="1759">
        <f>SUMIF('IS(FY)'!$M$54:$DW$54,DM$60,'IS(FY)'!$M$83:$DW$83)*'A&amp;R'!$F$104</f>
        <v>0</v>
      </c>
      <c r="DN65" s="1759">
        <f>SUMIF('IS(FY)'!$M$54:$DW$54,DN$60,'IS(FY)'!$M$83:$DW$83)*'A&amp;R'!$F$104</f>
        <v>0</v>
      </c>
      <c r="DO65" s="1759">
        <f>SUMIF('IS(FY)'!$M$54:$DW$54,DO$60,'IS(FY)'!$M$83:$DW$83)*'A&amp;R'!$F$104</f>
        <v>0</v>
      </c>
      <c r="DP65" s="1759">
        <f>SUMIF('IS(FY)'!$M$54:$DW$54,DP$60,'IS(FY)'!$M$83:$DW$83)*'A&amp;R'!$F$104</f>
        <v>0</v>
      </c>
      <c r="DQ65" s="1759">
        <f>SUMIF('IS(FY)'!$M$54:$DW$54,DQ$60,'IS(FY)'!$M$83:$DW$83)*'A&amp;R'!$F$104</f>
        <v>0</v>
      </c>
      <c r="DR65" s="1759">
        <f>SUMIF('IS(FY)'!$M$54:$DW$54,DR$60,'IS(FY)'!$M$83:$DW$83)*'A&amp;R'!$F$104</f>
        <v>0</v>
      </c>
      <c r="DS65" s="1759">
        <f>SUMIF('IS(FY)'!$M$54:$DW$54,DS$60,'IS(FY)'!$M$83:$DW$83)*'A&amp;R'!$F$104</f>
        <v>0</v>
      </c>
      <c r="DT65" s="1759">
        <f>SUMIF('IS(FY)'!$M$54:$DW$54,DT$60,'IS(FY)'!$M$83:$DW$83)*'A&amp;R'!$F$104</f>
        <v>0</v>
      </c>
      <c r="DU65" s="1759">
        <f>SUMIF('IS(FY)'!$M$54:$DW$54,DU$60,'IS(FY)'!$M$83:$DW$83)*'A&amp;R'!$F$104</f>
        <v>0</v>
      </c>
      <c r="DV65" s="1759">
        <f>SUMIF('IS(FY)'!$M$54:$DW$54,DV$60,'IS(FY)'!$M$83:$DW$83)*'A&amp;R'!$F$104</f>
        <v>0</v>
      </c>
      <c r="DW65" s="1759">
        <f>SUMIF('IS(FY)'!$M$54:$DW$54,DW$60,'IS(FY)'!$M$83:$DW$83)*'A&amp;R'!$F$104</f>
        <v>0</v>
      </c>
      <c r="DX65" s="1759">
        <f>SUMIF('IS(FY)'!$M$54:$DW$54,DX$60,'IS(FY)'!$M$83:$DW$83)*'A&amp;R'!$F$104</f>
        <v>0</v>
      </c>
      <c r="DY65" s="1759">
        <f>SUMIF('IS(FY)'!$M$54:$DW$54,DY$60,'IS(FY)'!$M$83:$DW$83)*'A&amp;R'!$F$104</f>
        <v>0</v>
      </c>
      <c r="DZ65" s="1759">
        <f>SUMIF('IS(FY)'!$M$54:$DW$54,DZ$60,'IS(FY)'!$M$83:$DW$83)*'A&amp;R'!$F$104</f>
        <v>0</v>
      </c>
      <c r="EA65" s="1759">
        <f>SUMIF('IS(FY)'!$M$54:$DW$54,EA$60,'IS(FY)'!$M$83:$DW$83)*'A&amp;R'!$F$104</f>
        <v>0</v>
      </c>
      <c r="EB65" s="1759">
        <f>SUMIF('IS(FY)'!$M$54:$DW$54,EB$60,'IS(FY)'!$M$83:$DW$83)*'A&amp;R'!$F$104</f>
        <v>0</v>
      </c>
      <c r="EC65" s="1759">
        <f>SUMIF('IS(FY)'!$M$54:$DW$54,EC$60,'IS(FY)'!$M$83:$DW$83)*'A&amp;R'!$F$104</f>
        <v>0</v>
      </c>
      <c r="ED65" s="1759">
        <f>SUMIF('IS(FY)'!$M$54:$DW$54,ED$60,'IS(FY)'!$M$83:$DW$83)*'A&amp;R'!$F$104</f>
        <v>0</v>
      </c>
      <c r="EE65" s="1759">
        <f>SUMIF('IS(FY)'!$M$54:$DW$54,EE$60,'IS(FY)'!$M$83:$DW$83)*'A&amp;R'!$F$104</f>
        <v>0</v>
      </c>
      <c r="EF65" s="1759">
        <f>SUMIF('IS(FY)'!$M$54:$DW$54,EF$60,'IS(FY)'!$M$83:$DW$83)*'A&amp;R'!$F$104</f>
        <v>0</v>
      </c>
      <c r="EG65" s="1759">
        <f>SUMIF('IS(FY)'!$M$54:$DW$54,EG$60,'IS(FY)'!$M$83:$DW$83)*'A&amp;R'!$F$104</f>
        <v>0</v>
      </c>
      <c r="EH65" s="1759">
        <f>SUMIF('IS(FY)'!$M$54:$DW$54,EH$60,'IS(FY)'!$M$83:$DW$83)*'A&amp;R'!$F$104</f>
        <v>0</v>
      </c>
      <c r="EI65" s="1759">
        <f>SUMIF('IS(FY)'!$M$54:$DW$54,EI$60,'IS(FY)'!$M$83:$DW$83)*'A&amp;R'!$F$104</f>
        <v>0</v>
      </c>
      <c r="EJ65" s="1759">
        <f>SUMIF('IS(FY)'!$M$54:$DW$54,EJ$60,'IS(FY)'!$M$83:$DW$83)*'A&amp;R'!$F$104</f>
        <v>0</v>
      </c>
      <c r="EK65" s="1759">
        <f>SUMIF('IS(FY)'!$M$54:$DW$54,EK$60,'IS(FY)'!$M$83:$DW$83)*'A&amp;R'!$F$104</f>
        <v>0</v>
      </c>
      <c r="EL65" s="1759">
        <f>SUMIF('IS(FY)'!$M$54:$DW$54,EL$60,'IS(FY)'!$M$83:$DW$83)*'A&amp;R'!$F$104</f>
        <v>0</v>
      </c>
      <c r="EM65" s="1759">
        <f>SUMIF('IS(FY)'!$M$54:$DW$54,EM$60,'IS(FY)'!$M$83:$DW$83)*'A&amp;R'!$F$104</f>
        <v>0</v>
      </c>
      <c r="EN65" s="1759">
        <f>SUMIF('IS(FY)'!$M$54:$DW$54,EN$60,'IS(FY)'!$M$83:$DW$83)*'A&amp;R'!$F$104</f>
        <v>0</v>
      </c>
      <c r="EO65" s="1759">
        <f>SUMIF('IS(FY)'!$M$54:$DW$54,EO$60,'IS(FY)'!$M$83:$DW$83)*'A&amp;R'!$F$104</f>
        <v>0</v>
      </c>
      <c r="EP65" s="1759">
        <f>SUMIF('IS(FY)'!$M$54:$DW$54,EP$60,'IS(FY)'!$M$83:$DW$83)*'A&amp;R'!$F$104</f>
        <v>0</v>
      </c>
      <c r="EQ65" s="1759">
        <f>SUMIF('IS(FY)'!$M$54:$DW$54,EQ$60,'IS(FY)'!$M$83:$DW$83)*'A&amp;R'!$F$104</f>
        <v>0</v>
      </c>
      <c r="ER65" s="1759">
        <f>SUMIF('IS(FY)'!$M$54:$DW$54,ER$60,'IS(FY)'!$M$83:$DW$83)*'A&amp;R'!$F$104</f>
        <v>0</v>
      </c>
    </row>
    <row r="66" spans="2:148" ht="11.25" customHeight="1">
      <c r="B66" s="218"/>
      <c r="C66" s="1754" t="s">
        <v>1072</v>
      </c>
      <c r="D66" s="1755"/>
      <c r="E66" s="1755"/>
      <c r="F66" s="1755"/>
      <c r="G66" s="1755"/>
      <c r="H66" s="1755"/>
      <c r="I66" s="1756"/>
      <c r="J66" s="1757"/>
      <c r="K66" s="1758"/>
      <c r="L66" s="98"/>
      <c r="M66" s="184">
        <f ca="1">'CF(M)'!L121+'CF(M)'!L14+'CF(M)'!L54+'CF(M)'!L68+'CF(M)'!L71+'CF(M)'!L74+'CF(M)'!L77+'CF(M)'!L80+'CF(M)'!L83+'CF(M)'!L86+'CF(M)'!L89+'CF(M)'!L92+'CF(M)'!L115+'CF(M)'!L96+'CF(M)'!L111+'CF(M)'!L101+'CF(M)'!L106</f>
        <v>9999999.9999999702</v>
      </c>
      <c r="N66" s="184">
        <f ca="1">'CF(M)'!M121+'CF(M)'!M14+'CF(M)'!M54+'CF(M)'!M68+'CF(M)'!M71+'CF(M)'!M74+'CF(M)'!M77+'CF(M)'!M80+'CF(M)'!M83+'CF(M)'!M86+'CF(M)'!M89+'CF(M)'!M92+'CF(M)'!M115+'CF(M)'!M96+'CF(M)'!M111+'CF(M)'!M101+'CF(M)'!M106</f>
        <v>10588048.034416752</v>
      </c>
      <c r="O66" s="184">
        <f ca="1">'CF(M)'!N121+'CF(M)'!N14+'CF(M)'!N54+'CF(M)'!N68+'CF(M)'!N71+'CF(M)'!N74+'CF(M)'!N77+'CF(M)'!N80+'CF(M)'!N83+'CF(M)'!N86+'CF(M)'!N89+'CF(M)'!N92+'CF(M)'!N115+'CF(M)'!N96+'CF(M)'!N111+'CF(M)'!N101+'CF(M)'!N106</f>
        <v>11907021.181751214</v>
      </c>
      <c r="P66" s="184">
        <f ca="1">'CF(M)'!O121+'CF(M)'!O14+'CF(M)'!O54+'CF(M)'!O68+'CF(M)'!O71+'CF(M)'!O74+'CF(M)'!O77+'CF(M)'!O80+'CF(M)'!O83+'CF(M)'!O86+'CF(M)'!O89+'CF(M)'!O92+'CF(M)'!O115+'CF(M)'!O96+'CF(M)'!O111+'CF(M)'!O101+'CF(M)'!O106</f>
        <v>9932853.5609021466</v>
      </c>
      <c r="Q66" s="184">
        <f ca="1">'CF(M)'!P121+'CF(M)'!P14+'CF(M)'!P54+'CF(M)'!P68+'CF(M)'!P71+'CF(M)'!P74+'CF(M)'!P77+'CF(M)'!P80+'CF(M)'!P83+'CF(M)'!P86+'CF(M)'!P89+'CF(M)'!P92+'CF(M)'!P115+'CF(M)'!P96+'CF(M)'!P111+'CF(M)'!P101+'CF(M)'!P106</f>
        <v>11168650.063937105</v>
      </c>
      <c r="R66" s="184">
        <f ca="1">'CF(M)'!Q121+'CF(M)'!Q14+'CF(M)'!Q54+'CF(M)'!Q68+'CF(M)'!Q71+'CF(M)'!Q74+'CF(M)'!Q77+'CF(M)'!Q80+'CF(M)'!Q83+'CF(M)'!Q86+'CF(M)'!Q89+'CF(M)'!Q92+'CF(M)'!Q115+'CF(M)'!Q96+'CF(M)'!Q111+'CF(M)'!Q101+'CF(M)'!Q106</f>
        <v>12480210.20354706</v>
      </c>
      <c r="S66" s="184">
        <f ca="1">'CF(M)'!R121+'CF(M)'!R14+'CF(M)'!R54+'CF(M)'!R68+'CF(M)'!R71+'CF(M)'!R74+'CF(M)'!R77+'CF(M)'!R80+'CF(M)'!R83+'CF(M)'!R86+'CF(M)'!R89+'CF(M)'!R92+'CF(M)'!R115+'CF(M)'!R96+'CF(M)'!R111+'CF(M)'!R101+'CF(M)'!R106</f>
        <v>10754008.404869001</v>
      </c>
      <c r="T66" s="184">
        <f ca="1">'CF(M)'!S121+'CF(M)'!S14+'CF(M)'!S54+'CF(M)'!S68+'CF(M)'!S71+'CF(M)'!S74+'CF(M)'!S77+'CF(M)'!S80+'CF(M)'!S83+'CF(M)'!S86+'CF(M)'!S89+'CF(M)'!S92+'CF(M)'!S115+'CF(M)'!S96+'CF(M)'!S111+'CF(M)'!S101+'CF(M)'!S106</f>
        <v>8690108.1979090832</v>
      </c>
      <c r="U66" s="184">
        <f ca="1">'CF(M)'!T121+'CF(M)'!T14+'CF(M)'!T54+'CF(M)'!T68+'CF(M)'!T71+'CF(M)'!T74+'CF(M)'!T77+'CF(M)'!T80+'CF(M)'!T83+'CF(M)'!T86+'CF(M)'!T89+'CF(M)'!T92+'CF(M)'!T115+'CF(M)'!T96+'CF(M)'!T111+'CF(M)'!T101+'CF(M)'!T106</f>
        <v>10085373.001186665</v>
      </c>
      <c r="V66" s="184">
        <f ca="1">'CF(M)'!U121+'CF(M)'!U14+'CF(M)'!U54+'CF(M)'!U68+'CF(M)'!U71+'CF(M)'!U74+'CF(M)'!U77+'CF(M)'!U80+'CF(M)'!U83+'CF(M)'!U86+'CF(M)'!U89+'CF(M)'!U92+'CF(M)'!U115+'CF(M)'!U96+'CF(M)'!U111+'CF(M)'!U101+'CF(M)'!U106</f>
        <v>8404702.9896215498</v>
      </c>
      <c r="W66" s="184">
        <f ca="1">'CF(M)'!V121+'CF(M)'!V14+'CF(M)'!V54+'CF(M)'!V68+'CF(M)'!V71+'CF(M)'!V74+'CF(M)'!V77+'CF(M)'!V80+'CF(M)'!V83+'CF(M)'!V86+'CF(M)'!V89+'CF(M)'!V92+'CF(M)'!V115+'CF(M)'!V96+'CF(M)'!V111+'CF(M)'!V101+'CF(M)'!V106</f>
        <v>9801166.7031116299</v>
      </c>
      <c r="X66" s="184">
        <f ca="1">'CF(M)'!W121+'CF(M)'!W14+'CF(M)'!W54+'CF(M)'!W68+'CF(M)'!W71+'CF(M)'!W74+'CF(M)'!W77+'CF(M)'!W80+'CF(M)'!W83+'CF(M)'!W86+'CF(M)'!W89+'CF(M)'!W92+'CF(M)'!W115+'CF(M)'!W96+'CF(M)'!W111+'CF(M)'!W101+'CF(M)'!W106</f>
        <v>10836285.714935044</v>
      </c>
      <c r="Y66" s="184">
        <f ca="1">'CF(M)'!X121+'CF(M)'!X14+'CF(M)'!X54+'CF(M)'!X68+'CF(M)'!X71+'CF(M)'!X74+'CF(M)'!X77+'CF(M)'!X80+'CF(M)'!X83+'CF(M)'!X86+'CF(M)'!X89+'CF(M)'!X92+'CF(M)'!X115+'CF(M)'!X96+'CF(M)'!X111+'CF(M)'!X101+'CF(M)'!X106</f>
        <v>9105918.3435629867</v>
      </c>
      <c r="Z66" s="184">
        <f ca="1">'CF(M)'!Y121+'CF(M)'!Y14+'CF(M)'!Y54+'CF(M)'!Y68+'CF(M)'!Y71+'CF(M)'!Y74+'CF(M)'!Y77+'CF(M)'!Y80+'CF(M)'!Y83+'CF(M)'!Y86+'CF(M)'!Y89+'CF(M)'!Y92+'CF(M)'!Y115+'CF(M)'!Y96+'CF(M)'!Y111+'CF(M)'!Y101+'CF(M)'!Y106</f>
        <v>6481706.3652938772</v>
      </c>
      <c r="AA66" s="184">
        <f ca="1">'CF(M)'!Z121+'CF(M)'!Z14+'CF(M)'!Z54+'CF(M)'!Z68+'CF(M)'!Z71+'CF(M)'!Z74+'CF(M)'!Z77+'CF(M)'!Z80+'CF(M)'!Z83+'CF(M)'!Z86+'CF(M)'!Z89+'CF(M)'!Z92+'CF(M)'!Z115+'CF(M)'!Z96+'CF(M)'!Z111+'CF(M)'!Z101+'CF(M)'!Z106</f>
        <v>7723600.87001542</v>
      </c>
      <c r="AB66" s="184">
        <f ca="1">'CF(M)'!AA121+'CF(M)'!AA14+'CF(M)'!AA54+'CF(M)'!AA68+'CF(M)'!AA71+'CF(M)'!AA74+'CF(M)'!AA77+'CF(M)'!AA80+'CF(M)'!AA83+'CF(M)'!AA86+'CF(M)'!AA89+'CF(M)'!AA92+'CF(M)'!AA115+'CF(M)'!AA96+'CF(M)'!AA111+'CF(M)'!AA101+'CF(M)'!AA106</f>
        <v>5966536.6526940968</v>
      </c>
      <c r="AC66" s="184">
        <f ca="1">'CF(M)'!AB121+'CF(M)'!AB14+'CF(M)'!AB54+'CF(M)'!AB68+'CF(M)'!AB71+'CF(M)'!AB74+'CF(M)'!AB77+'CF(M)'!AB80+'CF(M)'!AB83+'CF(M)'!AB86+'CF(M)'!AB89+'CF(M)'!AB92+'CF(M)'!AB115+'CF(M)'!AB96+'CF(M)'!AB111+'CF(M)'!AB101+'CF(M)'!AB106</f>
        <v>7230604.3185836468</v>
      </c>
      <c r="AD66" s="184">
        <f ca="1">'CF(M)'!AC121+'CF(M)'!AC14+'CF(M)'!AC54+'CF(M)'!AC68+'CF(M)'!AC71+'CF(M)'!AC74+'CF(M)'!AC77+'CF(M)'!AC80+'CF(M)'!AC83+'CF(M)'!AC86+'CF(M)'!AC89+'CF(M)'!AC92+'CF(M)'!AC115+'CF(M)'!AC96+'CF(M)'!AC111+'CF(M)'!AC101+'CF(M)'!AC106</f>
        <v>8572329.7119625714</v>
      </c>
      <c r="AE66" s="184">
        <f ca="1">'CF(M)'!AD121+'CF(M)'!AD14+'CF(M)'!AD54+'CF(M)'!AD68+'CF(M)'!AD71+'CF(M)'!AD74+'CF(M)'!AD77+'CF(M)'!AD80+'CF(M)'!AD83+'CF(M)'!AD86+'CF(M)'!AD89+'CF(M)'!AD92+'CF(M)'!AD115+'CF(M)'!AD96+'CF(M)'!AD111+'CF(M)'!AD101+'CF(M)'!AD106</f>
        <v>6868153.4339632466</v>
      </c>
      <c r="AF66" s="184">
        <f ca="1">'CF(M)'!AE121+'CF(M)'!AE14+'CF(M)'!AE54+'CF(M)'!AE68+'CF(M)'!AE71+'CF(M)'!AE74+'CF(M)'!AE77+'CF(M)'!AE80+'CF(M)'!AE83+'CF(M)'!AE86+'CF(M)'!AE89+'CF(M)'!AE92+'CF(M)'!AE115+'CF(M)'!AE96+'CF(M)'!AE111+'CF(M)'!AE101+'CF(M)'!AE106</f>
        <v>5386781.9721080502</v>
      </c>
      <c r="AG66" s="184">
        <f ca="1">'CF(M)'!AF121+'CF(M)'!AF14+'CF(M)'!AF54+'CF(M)'!AF68+'CF(M)'!AF71+'CF(M)'!AF74+'CF(M)'!AF77+'CF(M)'!AF80+'CF(M)'!AF83+'CF(M)'!AF86+'CF(M)'!AF89+'CF(M)'!AF92+'CF(M)'!AF115+'CF(M)'!AF96+'CF(M)'!AF111+'CF(M)'!AF101+'CF(M)'!AF106</f>
        <v>6814304.6457462916</v>
      </c>
      <c r="AH66" s="184">
        <f ca="1">'CF(M)'!AG121+'CF(M)'!AG14+'CF(M)'!AG54+'CF(M)'!AG68+'CF(M)'!AG71+'CF(M)'!AG74+'CF(M)'!AG77+'CF(M)'!AG80+'CF(M)'!AG83+'CF(M)'!AG86+'CF(M)'!AG89+'CF(M)'!AG92+'CF(M)'!AG115+'CF(M)'!AG96+'CF(M)'!AG111+'CF(M)'!AG101+'CF(M)'!AG106</f>
        <v>5102587.6120296158</v>
      </c>
      <c r="AI66" s="184">
        <f ca="1">'CF(M)'!AH121+'CF(M)'!AH14+'CF(M)'!AH54+'CF(M)'!AH68+'CF(M)'!AH71+'CF(M)'!AH74+'CF(M)'!AH77+'CF(M)'!AH80+'CF(M)'!AH83+'CF(M)'!AH86+'CF(M)'!AH89+'CF(M)'!AH92+'CF(M)'!AH115+'CF(M)'!AH96+'CF(M)'!AH111+'CF(M)'!AH101+'CF(M)'!AH106</f>
        <v>6531339.1686356692</v>
      </c>
      <c r="AJ66" s="184">
        <f ca="1">'CF(M)'!AI121+'CF(M)'!AI14+'CF(M)'!AI54+'CF(M)'!AI68+'CF(M)'!AI71+'CF(M)'!AI74+'CF(M)'!AI77+'CF(M)'!AI80+'CF(M)'!AI83+'CF(M)'!AI86+'CF(M)'!AI89+'CF(M)'!AI92+'CF(M)'!AI115+'CF(M)'!AI96+'CF(M)'!AI111+'CF(M)'!AI101+'CF(M)'!AI106</f>
        <v>7571316.6757667232</v>
      </c>
      <c r="AK66" s="184">
        <f ca="1">'CF(M)'!AJ121+'CF(M)'!AJ14+'CF(M)'!AJ54+'CF(M)'!AJ68+'CF(M)'!AJ71+'CF(M)'!AJ74+'CF(M)'!AJ77+'CF(M)'!AJ80+'CF(M)'!AJ83+'CF(M)'!AJ86+'CF(M)'!AJ89+'CF(M)'!AJ92+'CF(M)'!AJ115+'CF(M)'!AJ96+'CF(M)'!AJ111+'CF(M)'!AJ101+'CF(M)'!AJ106</f>
        <v>20862870.685756058</v>
      </c>
      <c r="AL66" s="184">
        <f ca="1">'CF(M)'!AK121+'CF(M)'!AK14+'CF(M)'!AK54+'CF(M)'!AK68+'CF(M)'!AK71+'CF(M)'!AK74+'CF(M)'!AK77+'CF(M)'!AK80+'CF(M)'!AK83+'CF(M)'!AK86+'CF(M)'!AK89+'CF(M)'!AK92+'CF(M)'!AK115+'CF(M)'!AK96+'CF(M)'!AK111+'CF(M)'!AK101+'CF(M)'!AK106</f>
        <v>8862630.608963374</v>
      </c>
      <c r="AM66" s="184">
        <f ca="1">'CF(M)'!AL121+'CF(M)'!AL14+'CF(M)'!AL54+'CF(M)'!AL68+'CF(M)'!AL71+'CF(M)'!AL74+'CF(M)'!AL77+'CF(M)'!AL80+'CF(M)'!AL83+'CF(M)'!AL86+'CF(M)'!AL89+'CF(M)'!AL92+'CF(M)'!AL115+'CF(M)'!AL96+'CF(M)'!AL111+'CF(M)'!AL101+'CF(M)'!AL106</f>
        <v>10133597.740827534</v>
      </c>
      <c r="AN66" s="184">
        <f ca="1">'CF(M)'!AM121+'CF(M)'!AM14+'CF(M)'!AM54+'CF(M)'!AM68+'CF(M)'!AM71+'CF(M)'!AM74+'CF(M)'!AM77+'CF(M)'!AM80+'CF(M)'!AM83+'CF(M)'!AM86+'CF(M)'!AM89+'CF(M)'!AM92+'CF(M)'!AM115+'CF(M)'!AM96+'CF(M)'!AM111+'CF(M)'!AM101+'CF(M)'!AM106</f>
        <v>8492596.4681571014</v>
      </c>
      <c r="AO66" s="184">
        <f ca="1">'CF(M)'!AN121+'CF(M)'!AN14+'CF(M)'!AN54+'CF(M)'!AN68+'CF(M)'!AN71+'CF(M)'!AN74+'CF(M)'!AN77+'CF(M)'!AN80+'CF(M)'!AN83+'CF(M)'!AN86+'CF(M)'!AN89+'CF(M)'!AN92+'CF(M)'!AN115+'CF(M)'!AN96+'CF(M)'!AN111+'CF(M)'!AN101+'CF(M)'!AN106</f>
        <v>9944865.3728147708</v>
      </c>
      <c r="AP66" s="184">
        <f ca="1">'CF(M)'!AO121+'CF(M)'!AO14+'CF(M)'!AO54+'CF(M)'!AO68+'CF(M)'!AO71+'CF(M)'!AO74+'CF(M)'!AO77+'CF(M)'!AO80+'CF(M)'!AO83+'CF(M)'!AO86+'CF(M)'!AO89+'CF(M)'!AO92+'CF(M)'!AO115+'CF(M)'!AO96+'CF(M)'!AO111+'CF(M)'!AO101+'CF(M)'!AO106</f>
        <v>11317511.794267582</v>
      </c>
      <c r="AQ66" s="184">
        <f ca="1">'CF(M)'!AP121+'CF(M)'!AP14+'CF(M)'!AP54+'CF(M)'!AP68+'CF(M)'!AP71+'CF(M)'!AP74+'CF(M)'!AP77+'CF(M)'!AP80+'CF(M)'!AP83+'CF(M)'!AP86+'CF(M)'!AP89+'CF(M)'!AP92+'CF(M)'!AP115+'CF(M)'!AP96+'CF(M)'!AP111+'CF(M)'!AP101+'CF(M)'!AP106</f>
        <v>9545442.2221172433</v>
      </c>
      <c r="AR66" s="184">
        <f ca="1">'CF(M)'!AQ121+'CF(M)'!AQ14+'CF(M)'!AQ54+'CF(M)'!AQ68+'CF(M)'!AQ71+'CF(M)'!AQ74+'CF(M)'!AQ77+'CF(M)'!AQ80+'CF(M)'!AQ83+'CF(M)'!AQ86+'CF(M)'!AQ89+'CF(M)'!AQ92+'CF(M)'!AQ115+'CF(M)'!AQ96+'CF(M)'!AQ111+'CF(M)'!AQ101+'CF(M)'!AQ106</f>
        <v>8292290.46087786</v>
      </c>
      <c r="AS66" s="184">
        <f ca="1">'CF(M)'!AR121+'CF(M)'!AR14+'CF(M)'!AR54+'CF(M)'!AR68+'CF(M)'!AR71+'CF(M)'!AR74+'CF(M)'!AR77+'CF(M)'!AR80+'CF(M)'!AR83+'CF(M)'!AR86+'CF(M)'!AR89+'CF(M)'!AR92+'CF(M)'!AR115+'CF(M)'!AR96+'CF(M)'!AR111+'CF(M)'!AR101+'CF(M)'!AR106</f>
        <v>8584774.5541984867</v>
      </c>
      <c r="AT66" s="184">
        <f ca="1">'CF(M)'!AS121+'CF(M)'!AS14+'CF(M)'!AS54+'CF(M)'!AS68+'CF(M)'!AS71+'CF(M)'!AS74+'CF(M)'!AS77+'CF(M)'!AS80+'CF(M)'!AS83+'CF(M)'!AS86+'CF(M)'!AS89+'CF(M)'!AS92+'CF(M)'!AS115+'CF(M)'!AS96+'CF(M)'!AS111+'CF(M)'!AS101+'CF(M)'!AS106</f>
        <v>5869565.4548896682</v>
      </c>
      <c r="AU66" s="184">
        <f ca="1">'CF(M)'!AT121+'CF(M)'!AT14+'CF(M)'!AT54+'CF(M)'!AT68+'CF(M)'!AT71+'CF(M)'!AT74+'CF(M)'!AT77+'CF(M)'!AT80+'CF(M)'!AT83+'CF(M)'!AT86+'CF(M)'!AT89+'CF(M)'!AT92+'CF(M)'!AT115+'CF(M)'!AT96+'CF(M)'!AT111+'CF(M)'!AT101+'CF(M)'!AT106</f>
        <v>6120745.7010266893</v>
      </c>
      <c r="AV66" s="184">
        <f ca="1">'CF(M)'!AU121+'CF(M)'!AU14+'CF(M)'!AU54+'CF(M)'!AU68+'CF(M)'!AU71+'CF(M)'!AU74+'CF(M)'!AU77+'CF(M)'!AU80+'CF(M)'!AU83+'CF(M)'!AU86+'CF(M)'!AU89+'CF(M)'!AU92+'CF(M)'!AU115+'CF(M)'!AU96+'CF(M)'!AU111+'CF(M)'!AU101+'CF(M)'!AU106</f>
        <v>6064221.7402052209</v>
      </c>
      <c r="AW66" s="184">
        <f ca="1">'CF(M)'!AV121+'CF(M)'!AV14+'CF(M)'!AV54+'CF(M)'!AV68+'CF(M)'!AV71+'CF(M)'!AV74+'CF(M)'!AV77+'CF(M)'!AV80+'CF(M)'!AV83+'CF(M)'!AV86+'CF(M)'!AV89+'CF(M)'!AV92+'CF(M)'!AV115+'CF(M)'!AV96+'CF(M)'!AV111+'CF(M)'!AV101+'CF(M)'!AV106</f>
        <v>3476483.3102512294</v>
      </c>
      <c r="AX66" s="184">
        <f ca="1">'CF(M)'!AW121+'CF(M)'!AW14+'CF(M)'!AW54+'CF(M)'!AW68+'CF(M)'!AW71+'CF(M)'!AW74+'CF(M)'!AW77+'CF(M)'!AW80+'CF(M)'!AW83+'CF(M)'!AW86+'CF(M)'!AW89+'CF(M)'!AW92+'CF(M)'!AW115+'CF(M)'!AW96+'CF(M)'!AW111+'CF(M)'!AW101+'CF(M)'!AW106</f>
        <v>1556246.858871839</v>
      </c>
      <c r="AY66" s="184">
        <f ca="1">'CF(M)'!AX121+'CF(M)'!AX14+'CF(M)'!AX54+'CF(M)'!AX68+'CF(M)'!AX71+'CF(M)'!AX74+'CF(M)'!AX77+'CF(M)'!AX80+'CF(M)'!AX83+'CF(M)'!AX86+'CF(M)'!AX89+'CF(M)'!AX92+'CF(M)'!AX115+'CF(M)'!AX96+'CF(M)'!AX111+'CF(M)'!AX101+'CF(M)'!AX106</f>
        <v>2921664.9409332592</v>
      </c>
      <c r="AZ66" s="184">
        <f ca="1">'CF(M)'!AY121+'CF(M)'!AY14+'CF(M)'!AY54+'CF(M)'!AY68+'CF(M)'!AY71+'CF(M)'!AY74+'CF(M)'!AY77+'CF(M)'!AY80+'CF(M)'!AY83+'CF(M)'!AY86+'CF(M)'!AY89+'CF(M)'!AY92+'CF(M)'!AY115+'CF(M)'!AY96+'CF(M)'!AY111+'CF(M)'!AY101+'CF(M)'!AY106</f>
        <v>1383002.2600291856</v>
      </c>
      <c r="BA66" s="184">
        <f ca="1">'CF(M)'!AZ121+'CF(M)'!AZ14+'CF(M)'!AZ54+'CF(M)'!AZ68+'CF(M)'!AZ71+'CF(M)'!AZ74+'CF(M)'!AZ77+'CF(M)'!AZ80+'CF(M)'!AZ83+'CF(M)'!AZ86+'CF(M)'!AZ89+'CF(M)'!AZ92+'CF(M)'!AZ115+'CF(M)'!AZ96+'CF(M)'!AZ111+'CF(M)'!AZ101+'CF(M)'!AZ106</f>
        <v>2878457.1935760118</v>
      </c>
      <c r="BB66" s="184">
        <f ca="1">'CF(M)'!BA121+'CF(M)'!BA14+'CF(M)'!BA54+'CF(M)'!BA68+'CF(M)'!BA71+'CF(M)'!BA74+'CF(M)'!BA77+'CF(M)'!BA80+'CF(M)'!BA83+'CF(M)'!BA86+'CF(M)'!BA89+'CF(M)'!BA92+'CF(M)'!BA115+'CF(M)'!BA96+'CF(M)'!BA111+'CF(M)'!BA101+'CF(M)'!BA106</f>
        <v>4322719.3657354936</v>
      </c>
      <c r="BC66" s="184">
        <f ca="1">'CF(M)'!BB121+'CF(M)'!BB14+'CF(M)'!BB54+'CF(M)'!BB68+'CF(M)'!BB71+'CF(M)'!BB74+'CF(M)'!BB77+'CF(M)'!BB80+'CF(M)'!BB83+'CF(M)'!BB86+'CF(M)'!BB89+'CF(M)'!BB92+'CF(M)'!BB115+'CF(M)'!BB96+'CF(M)'!BB111+'CF(M)'!BB101+'CF(M)'!BB106</f>
        <v>2602472.0129412687</v>
      </c>
      <c r="BD66" s="184">
        <f ca="1">'CF(M)'!BC121+'CF(M)'!BC14+'CF(M)'!BC54+'CF(M)'!BC68+'CF(M)'!BC71+'CF(M)'!BC74+'CF(M)'!BC77+'CF(M)'!BC80+'CF(M)'!BC83+'CF(M)'!BC86+'CF(M)'!BC89+'CF(M)'!BC92+'CF(M)'!BC115+'CF(M)'!BC96+'CF(M)'!BC111+'CF(M)'!BC101+'CF(M)'!BC106</f>
        <v>1535017.350932894</v>
      </c>
      <c r="BE66" s="184">
        <f ca="1">'CF(M)'!BD121+'CF(M)'!BD14+'CF(M)'!BD54+'CF(M)'!BD68+'CF(M)'!BD71+'CF(M)'!BD74+'CF(M)'!BD77+'CF(M)'!BD80+'CF(M)'!BD83+'CF(M)'!BD86+'CF(M)'!BD89+'CF(M)'!BD92+'CF(M)'!BD115+'CF(M)'!BD96+'CF(M)'!BD111+'CF(M)'!BD101+'CF(M)'!BD106</f>
        <v>3070649.113066758</v>
      </c>
      <c r="BF66" s="184">
        <f ca="1">'CF(M)'!BE121+'CF(M)'!BE14+'CF(M)'!BE54+'CF(M)'!BE68+'CF(M)'!BE71+'CF(M)'!BE74+'CF(M)'!BE77+'CF(M)'!BE80+'CF(M)'!BE83+'CF(M)'!BE86+'CF(M)'!BE89+'CF(M)'!BE92+'CF(M)'!BE115+'CF(M)'!BE96+'CF(M)'!BE111+'CF(M)'!BE101+'CF(M)'!BE106</f>
        <v>1337213.9842280273</v>
      </c>
      <c r="BG66" s="184">
        <f ca="1">'CF(M)'!BF121+'CF(M)'!BF14+'CF(M)'!BF54+'CF(M)'!BF68+'CF(M)'!BF71+'CF(M)'!BF74+'CF(M)'!BF77+'CF(M)'!BF80+'CF(M)'!BF83+'CF(M)'!BF86+'CF(M)'!BF89+'CF(M)'!BF92+'CF(M)'!BF115+'CF(M)'!BF96+'CF(M)'!BF111+'CF(M)'!BF101+'CF(M)'!BF106</f>
        <v>2876607.6579506104</v>
      </c>
      <c r="BH66" s="184">
        <f ca="1">'CF(M)'!BG121+'CF(M)'!BG14+'CF(M)'!BG54+'CF(M)'!BG68+'CF(M)'!BG71+'CF(M)'!BG74+'CF(M)'!BG77+'CF(M)'!BG80+'CF(M)'!BG83+'CF(M)'!BG86+'CF(M)'!BG89+'CF(M)'!BG92+'CF(M)'!BG115+'CF(M)'!BG96+'CF(M)'!BG111+'CF(M)'!BG101+'CF(M)'!BG106</f>
        <v>4038803.0295213116</v>
      </c>
      <c r="BI66" s="184">
        <f ca="1">'CF(M)'!BH121+'CF(M)'!BH14+'CF(M)'!BH54+'CF(M)'!BH68+'CF(M)'!BH71+'CF(M)'!BH74+'CF(M)'!BH77+'CF(M)'!BH80+'CF(M)'!BH83+'CF(M)'!BH86+'CF(M)'!BH89+'CF(M)'!BH92+'CF(M)'!BH115+'CF(M)'!BH96+'CF(M)'!BH111+'CF(M)'!BH101+'CF(M)'!BH106</f>
        <v>2353291.9989280105</v>
      </c>
      <c r="BJ66" s="184">
        <f ca="1">'CF(M)'!BI121+'CF(M)'!BI14+'CF(M)'!BI54+'CF(M)'!BI68+'CF(M)'!BI71+'CF(M)'!BI74+'CF(M)'!BI77+'CF(M)'!BI80+'CF(M)'!BI83+'CF(M)'!BI86+'CF(M)'!BI89+'CF(M)'!BI92+'CF(M)'!BI115+'CF(M)'!BI96+'CF(M)'!BI111+'CF(M)'!BI101+'CF(M)'!BI106</f>
        <v>853580.82256564125</v>
      </c>
      <c r="BK66" s="184">
        <f ca="1">'CF(M)'!BJ121+'CF(M)'!BJ14+'CF(M)'!BJ54+'CF(M)'!BJ68+'CF(M)'!BJ71+'CF(M)'!BJ74+'CF(M)'!BJ77+'CF(M)'!BJ80+'CF(M)'!BJ83+'CF(M)'!BJ86+'CF(M)'!BJ89+'CF(M)'!BJ92+'CF(M)'!BJ115+'CF(M)'!BJ96+'CF(M)'!BJ111+'CF(M)'!BJ101+'CF(M)'!BJ106</f>
        <v>2261240.5279257102</v>
      </c>
      <c r="BL66" s="184">
        <f ca="1">'CF(M)'!BK121+'CF(M)'!BK14+'CF(M)'!BK54+'CF(M)'!BK68+'CF(M)'!BK71+'CF(M)'!BK74+'CF(M)'!BK77+'CF(M)'!BK80+'CF(M)'!BK83+'CF(M)'!BK86+'CF(M)'!BK89+'CF(M)'!BK92+'CF(M)'!BK115+'CF(M)'!BK96+'CF(M)'!BK111+'CF(M)'!BK101+'CF(M)'!BK106</f>
        <v>754680.97616828</v>
      </c>
      <c r="BM66" s="184">
        <f ca="1">'CF(M)'!BL121+'CF(M)'!BL14+'CF(M)'!BL54+'CF(M)'!BL68+'CF(M)'!BL71+'CF(M)'!BL74+'CF(M)'!BL77+'CF(M)'!BL80+'CF(M)'!BL83+'CF(M)'!BL86+'CF(M)'!BL89+'CF(M)'!BL92+'CF(M)'!BL115+'CF(M)'!BL96+'CF(M)'!BL111+'CF(M)'!BL101+'CF(M)'!BL106</f>
        <v>2318967.7773152115</v>
      </c>
      <c r="BN66" s="184">
        <f ca="1">'CF(M)'!BM121+'CF(M)'!BM14+'CF(M)'!BM54+'CF(M)'!BM68+'CF(M)'!BM71+'CF(M)'!BM74+'CF(M)'!BM77+'CF(M)'!BM80+'CF(M)'!BM83+'CF(M)'!BM86+'CF(M)'!BM89+'CF(M)'!BM92+'CF(M)'!BM115+'CF(M)'!BM96+'CF(M)'!BM111+'CF(M)'!BM101+'CF(M)'!BM106</f>
        <v>3799601.2070450373</v>
      </c>
      <c r="BO66" s="184">
        <f ca="1">'CF(M)'!BN121+'CF(M)'!BN14+'CF(M)'!BN54+'CF(M)'!BN68+'CF(M)'!BN71+'CF(M)'!BN74+'CF(M)'!BN77+'CF(M)'!BN80+'CF(M)'!BN83+'CF(M)'!BN86+'CF(M)'!BN89+'CF(M)'!BN92+'CF(M)'!BN115+'CF(M)'!BN96+'CF(M)'!BN111+'CF(M)'!BN101+'CF(M)'!BN106</f>
        <v>2105541.4966859473</v>
      </c>
      <c r="BP66" s="184">
        <f ca="1">'CF(M)'!BO121+'CF(M)'!BO14+'CF(M)'!BO54+'CF(M)'!BO68+'CF(M)'!BO71+'CF(M)'!BO74+'CF(M)'!BO77+'CF(M)'!BO80+'CF(M)'!BO83+'CF(M)'!BO86+'CF(M)'!BO89+'CF(M)'!BO92+'CF(M)'!BO115+'CF(M)'!BO96+'CF(M)'!BO111+'CF(M)'!BO101+'CF(M)'!BO106</f>
        <v>1574349.532219687</v>
      </c>
      <c r="BQ66" s="184">
        <f ca="1">'CF(M)'!BP121+'CF(M)'!BP14+'CF(M)'!BP54+'CF(M)'!BP68+'CF(M)'!BP71+'CF(M)'!BP74+'CF(M)'!BP77+'CF(M)'!BP80+'CF(M)'!BP83+'CF(M)'!BP86+'CF(M)'!BP89+'CF(M)'!BP92+'CF(M)'!BP115+'CF(M)'!BP96+'CF(M)'!BP111+'CF(M)'!BP101+'CF(M)'!BP106</f>
        <v>3148699.064439374</v>
      </c>
      <c r="BR66" s="184">
        <f ca="1">'CF(M)'!BQ121+'CF(M)'!BQ14+'CF(M)'!BQ54+'CF(M)'!BQ68+'CF(M)'!BQ71+'CF(M)'!BQ74+'CF(M)'!BQ77+'CF(M)'!BQ80+'CF(M)'!BQ83+'CF(M)'!BQ86+'CF(M)'!BQ89+'CF(M)'!BQ92+'CF(M)'!BQ115+'CF(M)'!BQ96+'CF(M)'!BQ111+'CF(M)'!BQ101+'CF(M)'!BQ106</f>
        <v>1436017.4708274913</v>
      </c>
      <c r="BS66" s="184">
        <f ca="1">'CF(M)'!BR121+'CF(M)'!BR14+'CF(M)'!BR54+'CF(M)'!BR68+'CF(M)'!BR71+'CF(M)'!BR74+'CF(M)'!BR77+'CF(M)'!BR80+'CF(M)'!BR83+'CF(M)'!BR86+'CF(M)'!BR89+'CF(M)'!BR92+'CF(M)'!BR115+'CF(M)'!BR96+'CF(M)'!BR111+'CF(M)'!BR101+'CF(M)'!BR106</f>
        <v>3014222.9624256156</v>
      </c>
      <c r="BT66" s="184">
        <f ca="1">'CF(M)'!BS121+'CF(M)'!BS14+'CF(M)'!BS54+'CF(M)'!BS68+'CF(M)'!BS71+'CF(M)'!BS74+'CF(M)'!BS77+'CF(M)'!BS80+'CF(M)'!BS83+'CF(M)'!BS86+'CF(M)'!BS89+'CF(M)'!BS92+'CF(M)'!BS115+'CF(M)'!BS96+'CF(M)'!BS111+'CF(M)'!BS101+'CF(M)'!BS106</f>
        <v>4220888.1264041364</v>
      </c>
      <c r="BU66" s="184">
        <f ca="1">'CF(M)'!BT121+'CF(M)'!BT14+'CF(M)'!BT54+'CF(M)'!BT68+'CF(M)'!BT71+'CF(M)'!BT74+'CF(M)'!BT77+'CF(M)'!BT80+'CF(M)'!BT83+'CF(M)'!BT86+'CF(M)'!BT89+'CF(M)'!BT92+'CF(M)'!BT115+'CF(M)'!BT96+'CF(M)'!BT111+'CF(M)'!BT101+'CF(M)'!BT106</f>
        <v>2562478.4355854392</v>
      </c>
      <c r="BV66" s="184">
        <f ca="1">'CF(M)'!BU121+'CF(M)'!BU14+'CF(M)'!BU54+'CF(M)'!BU68+'CF(M)'!BU71+'CF(M)'!BU74+'CF(M)'!BU77+'CF(M)'!BU80+'CF(M)'!BU83+'CF(M)'!BU86+'CF(M)'!BU89+'CF(M)'!BU92+'CF(M)'!BU115+'CF(M)'!BU96+'CF(M)'!BU111+'CF(M)'!BU101+'CF(M)'!BU106</f>
        <v>906059.40780073369</v>
      </c>
      <c r="BW66" s="184">
        <f ca="1">'CF(M)'!BV121+'CF(M)'!BV14+'CF(M)'!BV54+'CF(M)'!BV68+'CF(M)'!BV71+'CF(M)'!BV74+'CF(M)'!BV77+'CF(M)'!BV80+'CF(M)'!BV83+'CF(M)'!BV86+'CF(M)'!BV89+'CF(M)'!BV92+'CF(M)'!BV115+'CF(M)'!BV96+'CF(M)'!BV111+'CF(M)'!BV101+'CF(M)'!BV106</f>
        <v>2349926.9762704629</v>
      </c>
      <c r="BX66" s="184">
        <f ca="1">'CF(M)'!BW121+'CF(M)'!BW14+'CF(M)'!BW54+'CF(M)'!BW68+'CF(M)'!BW71+'CF(M)'!BW74+'CF(M)'!BW77+'CF(M)'!BW80+'CF(M)'!BW83+'CF(M)'!BW86+'CF(M)'!BW89+'CF(M)'!BW92+'CF(M)'!BW115+'CF(M)'!BW96+'CF(M)'!BW111+'CF(M)'!BW101+'CF(M)'!BW106</f>
        <v>1031361.6222770726</v>
      </c>
      <c r="BY66" s="184">
        <f ca="1">'CF(M)'!BX121+'CF(M)'!BX14+'CF(M)'!BX54+'CF(M)'!BX68+'CF(M)'!BX71+'CF(M)'!BX74+'CF(M)'!BX77+'CF(M)'!BX80+'CF(M)'!BX83+'CF(M)'!BX86+'CF(M)'!BX89+'CF(M)'!BX92+'CF(M)'!BX115+'CF(M)'!BX96+'CF(M)'!BX111+'CF(M)'!BX101+'CF(M)'!BX106</f>
        <v>2635084.9683415471</v>
      </c>
      <c r="BZ66" s="184">
        <f ca="1">'CF(M)'!BY121+'CF(M)'!BY14+'CF(M)'!BY54+'CF(M)'!BY68+'CF(M)'!BY71+'CF(M)'!BY74+'CF(M)'!BY77+'CF(M)'!BY80+'CF(M)'!BY83+'CF(M)'!BY86+'CF(M)'!BY89+'CF(M)'!BY92+'CF(M)'!BY115+'CF(M)'!BY96+'CF(M)'!BY111+'CF(M)'!BY101+'CF(M)'!BY106</f>
        <v>4153063.608703488</v>
      </c>
      <c r="CA66" s="184">
        <f ca="1">'CF(M)'!BZ121+'CF(M)'!BZ14+'CF(M)'!BZ54+'CF(M)'!BZ68+'CF(M)'!BZ71+'CF(M)'!BZ74+'CF(M)'!BZ77+'CF(M)'!BZ80+'CF(M)'!BZ83+'CF(M)'!BZ86+'CF(M)'!BZ89+'CF(M)'!BZ92+'CF(M)'!BZ115+'CF(M)'!BZ96+'CF(M)'!BZ111+'CF(M)'!BZ101+'CF(M)'!BZ106</f>
        <v>2645647.7403300544</v>
      </c>
      <c r="CB66" s="184">
        <f ca="1">'CF(M)'!CA121+'CF(M)'!CA14+'CF(M)'!CA54+'CF(M)'!CA68+'CF(M)'!CA71+'CF(M)'!CA74+'CF(M)'!CA77+'CF(M)'!CA80+'CF(M)'!CA83+'CF(M)'!CA86+'CF(M)'!CA89+'CF(M)'!CA92+'CF(M)'!CA115+'CF(M)'!CA96+'CF(M)'!CA111+'CF(M)'!CA101+'CF(M)'!CA106</f>
        <v>1614037.6454140488</v>
      </c>
      <c r="CC66" s="184">
        <f ca="1">'CF(M)'!CB121+'CF(M)'!CB14+'CF(M)'!CB54+'CF(M)'!CB68+'CF(M)'!CB71+'CF(M)'!CB74+'CF(M)'!CB77+'CF(M)'!CB80+'CF(M)'!CB83+'CF(M)'!CB86+'CF(M)'!CB89+'CF(M)'!CB92+'CF(M)'!CB115+'CF(M)'!CB96+'CF(M)'!CB111+'CF(M)'!CB101+'CF(M)'!CB106</f>
        <v>3228075.2908280976</v>
      </c>
      <c r="CD66" s="184">
        <f ca="1">'CF(M)'!CC121+'CF(M)'!CC14+'CF(M)'!CC54+'CF(M)'!CC68+'CF(M)'!CC71+'CF(M)'!CC74+'CF(M)'!CC77+'CF(M)'!CC80+'CF(M)'!CC83+'CF(M)'!CC86+'CF(M)'!CC89+'CF(M)'!CC92+'CF(M)'!CC115+'CF(M)'!CC96+'CF(M)'!CC111+'CF(M)'!CC101+'CF(M)'!CC106</f>
        <v>1699359.1597153395</v>
      </c>
      <c r="CE66" s="184">
        <f ca="1">'CF(M)'!CD121+'CF(M)'!CD14+'CF(M)'!CD54+'CF(M)'!CD68+'CF(M)'!CD71+'CF(M)'!CD74+'CF(M)'!CD77+'CF(M)'!CD80+'CF(M)'!CD83+'CF(M)'!CD86+'CF(M)'!CD89+'CF(M)'!CD92+'CF(M)'!CD115+'CF(M)'!CD96+'CF(M)'!CD111+'CF(M)'!CD101+'CF(M)'!CD106</f>
        <v>3317349.1634922866</v>
      </c>
      <c r="CF66" s="184">
        <f ca="1">'CF(M)'!CE121+'CF(M)'!CE14+'CF(M)'!CE54+'CF(M)'!CE68+'CF(M)'!CE71+'CF(M)'!CE74+'CF(M)'!CE77+'CF(M)'!CE80+'CF(M)'!CE83+'CF(M)'!CE86+'CF(M)'!CE89+'CF(M)'!CE92+'CF(M)'!CE115+'CF(M)'!CE96+'CF(M)'!CE111+'CF(M)'!CE101+'CF(M)'!CE106</f>
        <v>4569371.9445639243</v>
      </c>
      <c r="CG66" s="184">
        <f ca="1">'CF(M)'!CF121+'CF(M)'!CF14+'CF(M)'!CF54+'CF(M)'!CF68+'CF(M)'!CF71+'CF(M)'!CF74+'CF(M)'!CF77+'CF(M)'!CF80+'CF(M)'!CF83+'CF(M)'!CF86+'CF(M)'!CF89+'CF(M)'!CF92+'CF(M)'!CF115+'CF(M)'!CF96+'CF(M)'!CF111+'CF(M)'!CF101+'CF(M)'!CF106</f>
        <v>3098497.3462193981</v>
      </c>
      <c r="CH66" s="184">
        <f ca="1">'CF(M)'!CG121+'CF(M)'!CG14+'CF(M)'!CG54+'CF(M)'!CG68+'CF(M)'!CG71+'CF(M)'!CG74+'CF(M)'!CG77+'CF(M)'!CG80+'CF(M)'!CG83+'CF(M)'!CG86+'CF(M)'!CG89+'CF(M)'!CG92+'CF(M)'!CG115+'CF(M)'!CG96+'CF(M)'!CG111+'CF(M)'!CG101+'CF(M)'!CG106</f>
        <v>959236.41598088655</v>
      </c>
      <c r="CI66" s="184">
        <f ca="1">'CF(M)'!CH121+'CF(M)'!CH14+'CF(M)'!CH54+'CF(M)'!CH68+'CF(M)'!CH71+'CF(M)'!CH74+'CF(M)'!CH77+'CF(M)'!CH80+'CF(M)'!CH83+'CF(M)'!CH86+'CF(M)'!CH89+'CF(M)'!CH92+'CF(M)'!CH115+'CF(M)'!CH96+'CF(M)'!CH111+'CF(M)'!CH101+'CF(M)'!CH106</f>
        <v>2440233.4361595782</v>
      </c>
      <c r="CJ66" s="184">
        <f ca="1">'CF(M)'!CI121+'CF(M)'!CI14+'CF(M)'!CI54+'CF(M)'!CI68+'CF(M)'!CI71+'CF(M)'!CI74+'CF(M)'!CI77+'CF(M)'!CI80+'CF(M)'!CI83+'CF(M)'!CI86+'CF(M)'!CI89+'CF(M)'!CI92+'CF(M)'!CI115+'CF(M)'!CI96+'CF(M)'!CI111+'CF(M)'!CI101+'CF(M)'!CI106</f>
        <v>1150647.7202093233</v>
      </c>
      <c r="CK66" s="184">
        <f ca="1">'CF(M)'!CJ121+'CF(M)'!CJ14+'CF(M)'!CJ54+'CF(M)'!CJ68+'CF(M)'!CJ71+'CF(M)'!CJ74+'CF(M)'!CJ77+'CF(M)'!CJ80+'CF(M)'!CJ83+'CF(M)'!CJ86+'CF(M)'!CJ89+'CF(M)'!CJ92+'CF(M)'!CJ115+'CF(M)'!CJ96+'CF(M)'!CJ111+'CF(M)'!CJ101+'CF(M)'!CJ106</f>
        <v>2794796.1769241039</v>
      </c>
      <c r="CL66" s="184">
        <f ca="1">'CF(M)'!CK121+'CF(M)'!CK14+'CF(M)'!CK54+'CF(M)'!CK68+'CF(M)'!CK71+'CF(M)'!CK74+'CF(M)'!CK77+'CF(M)'!CK80+'CF(M)'!CK83+'CF(M)'!CK86+'CF(M)'!CK89+'CF(M)'!CK92+'CF(M)'!CK115+'CF(M)'!CK96+'CF(M)'!CK111+'CF(M)'!CK101+'CF(M)'!CK106</f>
        <v>4351056.3102937881</v>
      </c>
      <c r="CM66" s="184">
        <f ca="1">'CF(M)'!CL121+'CF(M)'!CL14+'CF(M)'!CL54+'CF(M)'!CL68+'CF(M)'!CL71+'CF(M)'!CL74+'CF(M)'!CL77+'CF(M)'!CL80+'CF(M)'!CL83+'CF(M)'!CL86+'CF(M)'!CL89+'CF(M)'!CL92+'CF(M)'!CL115+'CF(M)'!CL96+'CF(M)'!CL111+'CF(M)'!CL101+'CF(M)'!CL106</f>
        <v>2871213.1788212531</v>
      </c>
      <c r="CN66" s="184">
        <f ca="1">'CF(M)'!CM121+'CF(M)'!CM14+'CF(M)'!CM54+'CF(M)'!CM68+'CF(M)'!CM71+'CF(M)'!CM74+'CF(M)'!CM77+'CF(M)'!CM80+'CF(M)'!CM83+'CF(M)'!CM86+'CF(M)'!CM89+'CF(M)'!CM92+'CF(M)'!CM115+'CF(M)'!CM96+'CF(M)'!CM111+'CF(M)'!CM101+'CF(M)'!CM106</f>
        <v>1654720.6135480942</v>
      </c>
      <c r="CO66" s="184">
        <f ca="1">'CF(M)'!CN121+'CF(M)'!CN14+'CF(M)'!CN54+'CF(M)'!CN68+'CF(M)'!CN71+'CF(M)'!CN74+'CF(M)'!CN77+'CF(M)'!CN80+'CF(M)'!CN83+'CF(M)'!CN86+'CF(M)'!CN89+'CF(M)'!CN92+'CF(M)'!CN115+'CF(M)'!CN96+'CF(M)'!CN111+'CF(M)'!CN101+'CF(M)'!CN106</f>
        <v>3309441.2270961883</v>
      </c>
      <c r="CP66" s="184">
        <f ca="1">'CF(M)'!CO121+'CF(M)'!CO14+'CF(M)'!CO54+'CF(M)'!CO68+'CF(M)'!CO71+'CF(M)'!CO74+'CF(M)'!CO77+'CF(M)'!CO80+'CF(M)'!CO83+'CF(M)'!CO86+'CF(M)'!CO89+'CF(M)'!CO92+'CF(M)'!CO115+'CF(M)'!CO96+'CF(M)'!CO111+'CF(M)'!CO101+'CF(M)'!CO106</f>
        <v>1805597.1391028652</v>
      </c>
      <c r="CQ66" s="184">
        <f ca="1">'CF(M)'!CP121+'CF(M)'!CP14+'CF(M)'!CP54+'CF(M)'!CP68+'CF(M)'!CP71+'CF(M)'!CP74+'CF(M)'!CP77+'CF(M)'!CP80+'CF(M)'!CP83+'CF(M)'!CP86+'CF(M)'!CP89+'CF(M)'!CP92+'CF(M)'!CP115+'CF(M)'!CP96+'CF(M)'!CP111+'CF(M)'!CP101+'CF(M)'!CP106</f>
        <v>3464368.9199729301</v>
      </c>
      <c r="CR66" s="184">
        <f ca="1">'CF(M)'!CQ121+'CF(M)'!CQ14+'CF(M)'!CQ54+'CF(M)'!CQ68+'CF(M)'!CQ71+'CF(M)'!CQ74+'CF(M)'!CQ77+'CF(M)'!CQ80+'CF(M)'!CQ83+'CF(M)'!CQ86+'CF(M)'!CQ89+'CF(M)'!CQ92+'CF(M)'!CQ115+'CF(M)'!CQ96+'CF(M)'!CQ111+'CF(M)'!CQ101+'CF(M)'!CQ106</f>
        <v>4762662.9864782654</v>
      </c>
      <c r="CS66" s="184">
        <f ca="1">'CF(M)'!CR121+'CF(M)'!CR14+'CF(M)'!CR54+'CF(M)'!CR68+'CF(M)'!CR71+'CF(M)'!CR74+'CF(M)'!CR77+'CF(M)'!CR80+'CF(M)'!CR83+'CF(M)'!CR86+'CF(M)'!CR89+'CF(M)'!CR92+'CF(M)'!CR115+'CF(M)'!CR96+'CF(M)'!CR111+'CF(M)'!CR101+'CF(M)'!CR106</f>
        <v>3320274.6567853596</v>
      </c>
      <c r="CT66" s="184">
        <f ca="1">'CF(M)'!CS121+'CF(M)'!CS14+'CF(M)'!CS54+'CF(M)'!CS68+'CF(M)'!CS71+'CF(M)'!CS74+'CF(M)'!CS77+'CF(M)'!CS80+'CF(M)'!CS83+'CF(M)'!CS86+'CF(M)'!CS89+'CF(M)'!CS92+'CF(M)'!CS115+'CF(M)'!CS96+'CF(M)'!CS111+'CF(M)'!CS101+'CF(M)'!CS106</f>
        <v>1013141.8856176417</v>
      </c>
      <c r="CU66" s="184">
        <f ca="1">'CF(M)'!CT121+'CF(M)'!CT14+'CF(M)'!CT54+'CF(M)'!CT68+'CF(M)'!CT71+'CF(M)'!CT74+'CF(M)'!CT77+'CF(M)'!CT80+'CF(M)'!CT83+'CF(M)'!CT86+'CF(M)'!CT89+'CF(M)'!CT92+'CF(M)'!CT115+'CF(M)'!CT96+'CF(M)'!CT111+'CF(M)'!CT101+'CF(M)'!CT106</f>
        <v>2532213.5146798179</v>
      </c>
      <c r="CV66" s="184">
        <f ca="1">'CF(M)'!CU121+'CF(M)'!CU14+'CF(M)'!CU54+'CF(M)'!CU68+'CF(M)'!CU71+'CF(M)'!CU74+'CF(M)'!CU77+'CF(M)'!CU80+'CF(M)'!CU83+'CF(M)'!CU86+'CF(M)'!CU89+'CF(M)'!CU92+'CF(M)'!CU115+'CF(M)'!CU96+'CF(M)'!CU111+'CF(M)'!CU101+'CF(M)'!CU106</f>
        <v>1272360.808192726</v>
      </c>
      <c r="CW66" s="184">
        <f ca="1">'CF(M)'!CV121+'CF(M)'!CV14+'CF(M)'!CV54+'CF(M)'!CV68+'CF(M)'!CV71+'CF(M)'!CV74+'CF(M)'!CV77+'CF(M)'!CV80+'CF(M)'!CV83+'CF(M)'!CV86+'CF(M)'!CV89+'CF(M)'!CV92+'CF(M)'!CV115+'CF(M)'!CV96+'CF(M)'!CV111+'CF(M)'!CV101+'CF(M)'!CV106</f>
        <v>2957947.9094958976</v>
      </c>
      <c r="CX66" s="184">
        <f ca="1">'CF(M)'!CW121+'CF(M)'!CW14+'CF(M)'!CW54+'CF(M)'!CW68+'CF(M)'!CW71+'CF(M)'!CW74+'CF(M)'!CW77+'CF(M)'!CW80+'CF(M)'!CW83+'CF(M)'!CW86+'CF(M)'!CW89+'CF(M)'!CW92+'CF(M)'!CW115+'CF(M)'!CW96+'CF(M)'!CW111+'CF(M)'!CW101+'CF(M)'!CW106</f>
        <v>4553449.4793703454</v>
      </c>
      <c r="CY66" s="184">
        <f ca="1">'CF(M)'!CX121+'CF(M)'!CX14+'CF(M)'!CX54+'CF(M)'!CX68+'CF(M)'!CX71+'CF(M)'!CX74+'CF(M)'!CX77+'CF(M)'!CX80+'CF(M)'!CX83+'CF(M)'!CX86+'CF(M)'!CX89+'CF(M)'!CX92+'CF(M)'!CX115+'CF(M)'!CX96+'CF(M)'!CX111+'CF(M)'!CX101+'CF(M)'!CX106</f>
        <v>3101875.2840839503</v>
      </c>
      <c r="CZ66" s="184">
        <f ca="1">'CF(M)'!CY121+'CF(M)'!CY14+'CF(M)'!CY54+'CF(M)'!CY68+'CF(M)'!CY71+'CF(M)'!CY74+'CF(M)'!CY77+'CF(M)'!CY80+'CF(M)'!CY83+'CF(M)'!CY86+'CF(M)'!CY89+'CF(M)'!CY92+'CF(M)'!CY115+'CF(M)'!CY96+'CF(M)'!CY111+'CF(M)'!CY101+'CF(M)'!CY106</f>
        <v>1222041.2735872709</v>
      </c>
      <c r="DA66" s="184">
        <f ca="1">'CF(M)'!CZ121+'CF(M)'!CZ14+'CF(M)'!CZ54+'CF(M)'!CZ68+'CF(M)'!CZ71+'CF(M)'!CZ74+'CF(M)'!CZ77+'CF(M)'!CZ80+'CF(M)'!CZ83+'CF(M)'!CZ86+'CF(M)'!CZ89+'CF(M)'!CZ92+'CF(M)'!CZ115+'CF(M)'!CZ96+'CF(M)'!CZ111+'CF(M)'!CZ101+'CF(M)'!CZ106</f>
        <v>2877957.3442163114</v>
      </c>
      <c r="DB66" s="184">
        <f ca="1">'CF(M)'!DA121+'CF(M)'!DA14+'CF(M)'!DA54+'CF(M)'!DA68+'CF(M)'!DA71+'CF(M)'!DA74+'CF(M)'!DA77+'CF(M)'!DA80+'CF(M)'!DA83+'CF(M)'!DA86+'CF(M)'!DA89+'CF(M)'!DA92+'CF(M)'!DA115+'CF(M)'!DA96+'CF(M)'!DA111+'CF(M)'!DA101+'CF(M)'!DA106</f>
        <v>1430213.4726520665</v>
      </c>
      <c r="DC66" s="184">
        <f ca="1">'CF(M)'!DB121+'CF(M)'!DB14+'CF(M)'!DB54+'CF(M)'!DB68+'CF(M)'!DB71+'CF(M)'!DB74+'CF(M)'!DB77+'CF(M)'!DB80+'CF(M)'!DB83+'CF(M)'!DB86+'CF(M)'!DB89+'CF(M)'!DB92+'CF(M)'!DB115+'CF(M)'!DB96+'CF(M)'!DB111+'CF(M)'!DB101+'CF(M)'!DB106</f>
        <v>3005156.8364332179</v>
      </c>
      <c r="DD66" s="184">
        <f ca="1">'CF(M)'!DC121+'CF(M)'!DC14+'CF(M)'!DC54+'CF(M)'!DC68+'CF(M)'!DC71+'CF(M)'!DC74+'CF(M)'!DC77+'CF(M)'!DC80+'CF(M)'!DC83+'CF(M)'!DC86+'CF(M)'!DC89+'CF(M)'!DC92+'CF(M)'!DC115+'CF(M)'!DC96+'CF(M)'!DC111+'CF(M)'!DC101+'CF(M)'!DC106</f>
        <v>4310154.8049180191</v>
      </c>
      <c r="DE66" s="184">
        <f ca="1">'CF(M)'!DD121+'CF(M)'!DD14+'CF(M)'!DD54+'CF(M)'!DD68+'CF(M)'!DD71+'CF(M)'!DD74+'CF(M)'!DD77+'CF(M)'!DD80+'CF(M)'!DD83+'CF(M)'!DD86+'CF(M)'!DD89+'CF(M)'!DD92+'CF(M)'!DD115+'CF(M)'!DD96+'CF(M)'!DD111+'CF(M)'!DD101+'CF(M)'!DD106</f>
        <v>2867511.7876897235</v>
      </c>
      <c r="DF66" s="184">
        <f ca="1">'CF(M)'!DE121+'CF(M)'!DE14+'CF(M)'!DE54+'CF(M)'!DE68+'CF(M)'!DE71+'CF(M)'!DE74+'CF(M)'!DE77+'CF(M)'!DE80+'CF(M)'!DE83+'CF(M)'!DE86+'CF(M)'!DE89+'CF(M)'!DE92+'CF(M)'!DE115+'CF(M)'!DE96+'CF(M)'!DE111+'CF(M)'!DE101+'CF(M)'!DE106</f>
        <v>1179902.4770362109</v>
      </c>
      <c r="DG66" s="184">
        <f ca="1">'CF(M)'!DF121+'CF(M)'!DF14+'CF(M)'!DF54+'CF(M)'!DF68+'CF(M)'!DF71+'CF(M)'!DF74+'CF(M)'!DF77+'CF(M)'!DF80+'CF(M)'!DF83+'CF(M)'!DF86+'CF(M)'!DF89+'CF(M)'!DF92+'CF(M)'!DF115+'CF(M)'!DF96+'CF(M)'!DF111+'CF(M)'!DF101+'CF(M)'!DF106</f>
        <v>2697391.0255429689</v>
      </c>
      <c r="DH66" s="184">
        <f ca="1">'CF(M)'!DG121+'CF(M)'!DG14+'CF(M)'!DG54+'CF(M)'!DG68+'CF(M)'!DG71+'CF(M)'!DG74+'CF(M)'!DG77+'CF(M)'!DG80+'CF(M)'!DG83+'CF(M)'!DG86+'CF(M)'!DG89+'CF(M)'!DG92+'CF(M)'!DG115+'CF(M)'!DG96+'CF(M)'!DG111+'CF(M)'!DG101+'CF(M)'!DG106</f>
        <v>1428473.3489736822</v>
      </c>
      <c r="DI66" s="184">
        <f ca="1">'CF(M)'!DH121+'CF(M)'!DH14+'CF(M)'!DH54+'CF(M)'!DH68+'CF(M)'!DH71+'CF(M)'!DH74+'CF(M)'!DH77+'CF(M)'!DH80+'CF(M)'!DH83+'CF(M)'!DH86+'CF(M)'!DH89+'CF(M)'!DH92+'CF(M)'!DH115+'CF(M)'!DH96+'CF(M)'!DH111+'CF(M)'!DH101+'CF(M)'!DH106</f>
        <v>3069356.5862455354</v>
      </c>
      <c r="DJ66" s="184">
        <f ca="1">'CF(M)'!DI121+'CF(M)'!DI14+'CF(M)'!DI54+'CF(M)'!DI68+'CF(M)'!DI71+'CF(M)'!DI74+'CF(M)'!DI77+'CF(M)'!DI80+'CF(M)'!DI83+'CF(M)'!DI86+'CF(M)'!DI89+'CF(M)'!DI92+'CF(M)'!DI115+'CF(M)'!DI96+'CF(M)'!DI111+'CF(M)'!DI101+'CF(M)'!DI106</f>
        <v>4756678.5236993413</v>
      </c>
      <c r="DK66" s="184">
        <f ca="1">'CF(M)'!DJ121+'CF(M)'!DJ14+'CF(M)'!DJ54+'CF(M)'!DJ68+'CF(M)'!DJ71+'CF(M)'!DJ74+'CF(M)'!DJ77+'CF(M)'!DJ80+'CF(M)'!DJ83+'CF(M)'!DJ86+'CF(M)'!DJ89+'CF(M)'!DJ92+'CF(M)'!DJ115+'CF(M)'!DJ96+'CF(M)'!DJ111+'CF(M)'!DJ101+'CF(M)'!DJ106</f>
        <v>3303417.3876994359</v>
      </c>
      <c r="DL66" s="184">
        <f ca="1">'CF(M)'!DK121+'CF(M)'!DK14+'CF(M)'!DK54+'CF(M)'!DK68+'CF(M)'!DK71+'CF(M)'!DK74+'CF(M)'!DK77+'CF(M)'!DK80+'CF(M)'!DK83+'CF(M)'!DK86+'CF(M)'!DK89+'CF(M)'!DK92+'CF(M)'!DK115+'CF(M)'!DK96+'CF(M)'!DK111+'CF(M)'!DK101+'CF(M)'!DK106</f>
        <v>2285914.0351767587</v>
      </c>
      <c r="DM66" s="184">
        <f ca="1">'CF(M)'!DL121+'CF(M)'!DL14+'CF(M)'!DL54+'CF(M)'!DL68+'CF(M)'!DL71+'CF(M)'!DL74+'CF(M)'!DL77+'CF(M)'!DL80+'CF(M)'!DL83+'CF(M)'!DL86+'CF(M)'!DL89+'CF(M)'!DL92+'CF(M)'!DL115+'CF(M)'!DL96+'CF(M)'!DL111+'CF(M)'!DL101+'CF(M)'!DL106</f>
        <v>3984105.8325329507</v>
      </c>
      <c r="DN66" s="184">
        <f ca="1">'CF(M)'!DM121+'CF(M)'!DM14+'CF(M)'!DM54+'CF(M)'!DM68+'CF(M)'!DM71+'CF(M)'!DM74+'CF(M)'!DM77+'CF(M)'!DM80+'CF(M)'!DM83+'CF(M)'!DM86+'CF(M)'!DM89+'CF(M)'!DM92+'CF(M)'!DM115+'CF(M)'!DM96+'CF(M)'!DM111+'CF(M)'!DM101+'CF(M)'!DM106</f>
        <v>2509651.4613674255</v>
      </c>
      <c r="DO66" s="184">
        <f ca="1">'CF(M)'!DN121+'CF(M)'!DN14+'CF(M)'!DN54+'CF(M)'!DN68+'CF(M)'!DN71+'CF(M)'!DN74+'CF(M)'!DN77+'CF(M)'!DN80+'CF(M)'!DN83+'CF(M)'!DN86+'CF(M)'!DN89+'CF(M)'!DN92+'CF(M)'!DN115+'CF(M)'!DN96+'CF(M)'!DN111+'CF(M)'!DN101+'CF(M)'!DN106</f>
        <v>4212099.5163912624</v>
      </c>
      <c r="DP66" s="184">
        <f ca="1">'CF(M)'!DO121+'CF(M)'!DO14+'CF(M)'!DO54+'CF(M)'!DO68+'CF(M)'!DO71+'CF(M)'!DO74+'CF(M)'!DO77+'CF(M)'!DO80+'CF(M)'!DO83+'CF(M)'!DO86+'CF(M)'!DO89+'CF(M)'!DO92+'CF(M)'!DO115+'CF(M)'!DO96+'CF(M)'!DO111+'CF(M)'!DO101+'CF(M)'!DO106</f>
        <v>5564803.0809955793</v>
      </c>
      <c r="DQ66" s="184">
        <f ca="1">'CF(M)'!DP121+'CF(M)'!DP14+'CF(M)'!DP54+'CF(M)'!DP68+'CF(M)'!DP71+'CF(M)'!DP74+'CF(M)'!DP77+'CF(M)'!DP80+'CF(M)'!DP83+'CF(M)'!DP86+'CF(M)'!DP89+'CF(M)'!DP92+'CF(M)'!DP115+'CF(M)'!DP96+'CF(M)'!DP111+'CF(M)'!DP101+'CF(M)'!DP106</f>
        <v>4151758.7495171083</v>
      </c>
      <c r="DR66" s="184">
        <f ca="1">'CF(M)'!DQ121+'CF(M)'!DQ14+'CF(M)'!DQ54+'CF(M)'!DQ68+'CF(M)'!DQ71+'CF(M)'!DQ74+'CF(M)'!DQ77+'CF(M)'!DQ80+'CF(M)'!DQ83+'CF(M)'!DQ86+'CF(M)'!DQ89+'CF(M)'!DQ92+'CF(M)'!DQ115+'CF(M)'!DQ96+'CF(M)'!DQ111+'CF(M)'!DQ101+'CF(M)'!DQ106</f>
        <v>2519133.3250511438</v>
      </c>
      <c r="DS66" s="184">
        <f ca="1">'CF(M)'!DR121+'CF(M)'!DR14+'CF(M)'!DR54+'CF(M)'!DR68+'CF(M)'!DR71+'CF(M)'!DR74+'CF(M)'!DR77+'CF(M)'!DR80+'CF(M)'!DR83+'CF(M)'!DR86+'CF(M)'!DR89+'CF(M)'!DR92+'CF(M)'!DR115+'CF(M)'!DR96+'CF(M)'!DR111+'CF(M)'!DR101+'CF(M)'!DR106</f>
        <v>4076183.9554669056</v>
      </c>
      <c r="DT66" s="184">
        <f ca="1">'CF(M)'!DS121+'CF(M)'!DS14+'CF(M)'!DS54+'CF(M)'!DS68+'CF(M)'!DS71+'CF(M)'!DS74+'CF(M)'!DS77+'CF(M)'!DS80+'CF(M)'!DS83+'CF(M)'!DS86+'CF(M)'!DS89+'CF(M)'!DS92+'CF(M)'!DS115+'CF(M)'!DS96+'CF(M)'!DS111+'CF(M)'!DS101+'CF(M)'!DS106</f>
        <v>2848056.9622726049</v>
      </c>
      <c r="DU66" s="184">
        <f ca="1">'CF(M)'!DT121+'CF(M)'!DT14+'CF(M)'!DT54+'CF(M)'!DT68+'CF(M)'!DT71+'CF(M)'!DT74+'CF(M)'!DT77+'CF(M)'!DT80+'CF(M)'!DT83+'CF(M)'!DT86+'CF(M)'!DT89+'CF(M)'!DT92+'CF(M)'!DT115+'CF(M)'!DT96+'CF(M)'!DT111+'CF(M)'!DT101+'CF(M)'!DT106</f>
        <v>4577903.4595927093</v>
      </c>
      <c r="DV66" s="184">
        <f ca="1">'CF(M)'!DU121+'CF(M)'!DU14+'CF(M)'!DU54+'CF(M)'!DU68+'CF(M)'!DU71+'CF(M)'!DU74+'CF(M)'!DU77+'CF(M)'!DU80+'CF(M)'!DU83+'CF(M)'!DU86+'CF(M)'!DU89+'CF(M)'!DU92+'CF(M)'!DU115+'CF(M)'!DU96+'CF(M)'!DU111+'CF(M)'!DU101+'CF(M)'!DU106</f>
        <v>6307749.9569128137</v>
      </c>
      <c r="DW66" s="184">
        <f ca="1">'CF(M)'!DV121+'CF(M)'!DV14+'CF(M)'!DV54+'CF(M)'!DV68+'CF(M)'!DV71+'CF(M)'!DV74+'CF(M)'!DV77+'CF(M)'!DV80+'CF(M)'!DV83+'CF(M)'!DV86+'CF(M)'!DV89+'CF(M)'!DV92+'CF(M)'!DV115+'CF(M)'!DV96+'CF(M)'!DV111+'CF(M)'!DV101+'CF(M)'!DV106</f>
        <v>4918715.2777146641</v>
      </c>
      <c r="DX66" s="184">
        <f ca="1">'CF(M)'!DW121+'CF(M)'!DW14+'CF(M)'!DW54+'CF(M)'!DW68+'CF(M)'!DW71+'CF(M)'!DW74+'CF(M)'!DW77+'CF(M)'!DW80+'CF(M)'!DW83+'CF(M)'!DW86+'CF(M)'!DW89+'CF(M)'!DW92+'CF(M)'!DW115+'CF(M)'!DW96+'CF(M)'!DW111+'CF(M)'!DW101+'CF(M)'!DW106</f>
        <v>3944703.3814347144</v>
      </c>
      <c r="DY66" s="184">
        <f ca="1">'CF(M)'!DX121+'CF(M)'!DX14+'CF(M)'!DX54+'CF(M)'!DX68+'CF(M)'!DX71+'CF(M)'!DX74+'CF(M)'!DX77+'CF(M)'!DX80+'CF(M)'!DX83+'CF(M)'!DX86+'CF(M)'!DX89+'CF(M)'!DX92+'CF(M)'!DX115+'CF(M)'!DX96+'CF(M)'!DX111+'CF(M)'!DX101+'CF(M)'!DX106</f>
        <v>5685691.4851547647</v>
      </c>
      <c r="DZ66" s="184">
        <f ca="1">'CF(M)'!DY121+'CF(M)'!DY14+'CF(M)'!DY54+'CF(M)'!DY68+'CF(M)'!DY71+'CF(M)'!DY74+'CF(M)'!DY77+'CF(M)'!DY80+'CF(M)'!DY83+'CF(M)'!DY86+'CF(M)'!DY89+'CF(M)'!DY92+'CF(M)'!DY115+'CF(M)'!DY96+'CF(M)'!DY111+'CF(M)'!DY101+'CF(M)'!DY106</f>
        <v>4230020.2071066061</v>
      </c>
      <c r="EA66" s="184">
        <f ca="1">'CF(M)'!DZ121+'CF(M)'!DZ14+'CF(M)'!DZ54+'CF(M)'!DZ68+'CF(M)'!DZ71+'CF(M)'!DZ74+'CF(M)'!DZ77+'CF(M)'!DZ80+'CF(M)'!DZ83+'CF(M)'!DZ86+'CF(M)'!DZ89+'CF(M)'!DZ92+'CF(M)'!DZ115+'CF(M)'!DZ96+'CF(M)'!DZ111+'CF(M)'!DZ101+'CF(M)'!DZ106</f>
        <v>5975370.9749359926</v>
      </c>
      <c r="EB66" s="184">
        <f ca="1">'CF(M)'!EA121+'CF(M)'!EA14+'CF(M)'!EA54+'CF(M)'!EA68+'CF(M)'!EA71+'CF(M)'!EA74+'CF(M)'!EA77+'CF(M)'!EA80+'CF(M)'!EA83+'CF(M)'!EA86+'CF(M)'!EA89+'CF(M)'!EA92+'CF(M)'!EA115+'CF(M)'!EA96+'CF(M)'!EA111+'CF(M)'!EA101+'CF(M)'!EA106</f>
        <v>7376223.4197021518</v>
      </c>
      <c r="EC66" s="184">
        <f ca="1">'CF(M)'!EB121+'CF(M)'!EB14+'CF(M)'!EB54+'CF(M)'!EB68+'CF(M)'!EB71+'CF(M)'!EB74+'CF(M)'!EB77+'CF(M)'!EB80+'CF(M)'!EB83+'CF(M)'!EB86+'CF(M)'!EB89+'CF(M)'!EB92+'CF(M)'!EB115+'CF(M)'!EB96+'CF(M)'!EB111+'CF(M)'!EB101+'CF(M)'!EB106</f>
        <v>150353066.68783462</v>
      </c>
      <c r="ED66" s="184">
        <f ca="1">'CF(M)'!EC121+'CF(M)'!EC14+'CF(M)'!EC54+'CF(M)'!EC68+'CF(M)'!EC71+'CF(M)'!EC74+'CF(M)'!EC77+'CF(M)'!EC80+'CF(M)'!EC83+'CF(M)'!EC86+'CF(M)'!EC89+'CF(M)'!EC92+'CF(M)'!EC115+'CF(M)'!EC96+'CF(M)'!EC111+'CF(M)'!EC101+'CF(M)'!EC106</f>
        <v>-8.0093741416931152E-8</v>
      </c>
      <c r="EE66" s="184">
        <f ca="1">'CF(M)'!ED121+'CF(M)'!ED14+'CF(M)'!ED54+'CF(M)'!ED68+'CF(M)'!ED71+'CF(M)'!ED74+'CF(M)'!ED77+'CF(M)'!ED80+'CF(M)'!ED83+'CF(M)'!ED86+'CF(M)'!ED89+'CF(M)'!ED92+'CF(M)'!ED115+'CF(M)'!ED96+'CF(M)'!ED111+'CF(M)'!ED101+'CF(M)'!ED106</f>
        <v>-8.0093741416931152E-8</v>
      </c>
      <c r="EF66" s="184">
        <f ca="1">'CF(M)'!EE121+'CF(M)'!EE14+'CF(M)'!EE54+'CF(M)'!EE68+'CF(M)'!EE71+'CF(M)'!EE74+'CF(M)'!EE77+'CF(M)'!EE80+'CF(M)'!EE83+'CF(M)'!EE86+'CF(M)'!EE89+'CF(M)'!EE92+'CF(M)'!EE115+'CF(M)'!EE96+'CF(M)'!EE111+'CF(M)'!EE101+'CF(M)'!EE106</f>
        <v>-8.0093741416931152E-8</v>
      </c>
      <c r="EG66" s="184">
        <f ca="1">'CF(M)'!EF121+'CF(M)'!EF14+'CF(M)'!EF54+'CF(M)'!EF68+'CF(M)'!EF71+'CF(M)'!EF74+'CF(M)'!EF77+'CF(M)'!EF80+'CF(M)'!EF83+'CF(M)'!EF86+'CF(M)'!EF89+'CF(M)'!EF92+'CF(M)'!EF115+'CF(M)'!EF96+'CF(M)'!EF111+'CF(M)'!EF101+'CF(M)'!EF106</f>
        <v>-8.0093741416931152E-8</v>
      </c>
      <c r="EH66" s="184">
        <f ca="1">'CF(M)'!EG121+'CF(M)'!EG14+'CF(M)'!EG54+'CF(M)'!EG68+'CF(M)'!EG71+'CF(M)'!EG74+'CF(M)'!EG77+'CF(M)'!EG80+'CF(M)'!EG83+'CF(M)'!EG86+'CF(M)'!EG89+'CF(M)'!EG92+'CF(M)'!EG115+'CF(M)'!EG96+'CF(M)'!EG111+'CF(M)'!EG101+'CF(M)'!EG106</f>
        <v>-8.0093741416931152E-8</v>
      </c>
      <c r="EI66" s="184">
        <f ca="1">'CF(M)'!EH121+'CF(M)'!EH14+'CF(M)'!EH54+'CF(M)'!EH68+'CF(M)'!EH71+'CF(M)'!EH74+'CF(M)'!EH77+'CF(M)'!EH80+'CF(M)'!EH83+'CF(M)'!EH86+'CF(M)'!EH89+'CF(M)'!EH92+'CF(M)'!EH115+'CF(M)'!EH96+'CF(M)'!EH111+'CF(M)'!EH101+'CF(M)'!EH106</f>
        <v>-8.0093741416931152E-8</v>
      </c>
      <c r="EJ66" s="184">
        <f ca="1">'CF(M)'!EI121+'CF(M)'!EI14+'CF(M)'!EI54+'CF(M)'!EI68+'CF(M)'!EI71+'CF(M)'!EI74+'CF(M)'!EI77+'CF(M)'!EI80+'CF(M)'!EI83+'CF(M)'!EI86+'CF(M)'!EI89+'CF(M)'!EI92+'CF(M)'!EI115+'CF(M)'!EI96+'CF(M)'!EI111+'CF(M)'!EI101+'CF(M)'!EI106</f>
        <v>-8.0093741416931152E-8</v>
      </c>
      <c r="EK66" s="184">
        <f ca="1">'CF(M)'!EJ121+'CF(M)'!EJ14+'CF(M)'!EJ54+'CF(M)'!EJ68+'CF(M)'!EJ71+'CF(M)'!EJ74+'CF(M)'!EJ77+'CF(M)'!EJ80+'CF(M)'!EJ83+'CF(M)'!EJ86+'CF(M)'!EJ89+'CF(M)'!EJ92+'CF(M)'!EJ115+'CF(M)'!EJ96+'CF(M)'!EJ111+'CF(M)'!EJ101+'CF(M)'!EJ106</f>
        <v>-8.0093741416931152E-8</v>
      </c>
      <c r="EL66" s="184">
        <f ca="1">'CF(M)'!EK121+'CF(M)'!EK14+'CF(M)'!EK54+'CF(M)'!EK68+'CF(M)'!EK71+'CF(M)'!EK74+'CF(M)'!EK77+'CF(M)'!EK80+'CF(M)'!EK83+'CF(M)'!EK86+'CF(M)'!EK89+'CF(M)'!EK92+'CF(M)'!EK115+'CF(M)'!EK96+'CF(M)'!EK111+'CF(M)'!EK101+'CF(M)'!EK106</f>
        <v>-8.0093741416931152E-8</v>
      </c>
      <c r="EM66" s="184">
        <f ca="1">'CF(M)'!EL121+'CF(M)'!EL14+'CF(M)'!EL54+'CF(M)'!EL68+'CF(M)'!EL71+'CF(M)'!EL74+'CF(M)'!EL77+'CF(M)'!EL80+'CF(M)'!EL83+'CF(M)'!EL86+'CF(M)'!EL89+'CF(M)'!EL92+'CF(M)'!EL115+'CF(M)'!EL96+'CF(M)'!EL111+'CF(M)'!EL101+'CF(M)'!EL106</f>
        <v>-8.0093741416931152E-8</v>
      </c>
      <c r="EN66" s="184">
        <f ca="1">'CF(M)'!EM121+'CF(M)'!EM14+'CF(M)'!EM54+'CF(M)'!EM68+'CF(M)'!EM71+'CF(M)'!EM74+'CF(M)'!EM77+'CF(M)'!EM80+'CF(M)'!EM83+'CF(M)'!EM86+'CF(M)'!EM89+'CF(M)'!EM92+'CF(M)'!EM115+'CF(M)'!EM96+'CF(M)'!EM111+'CF(M)'!EM101+'CF(M)'!EM106</f>
        <v>-8.0093741416931152E-8</v>
      </c>
      <c r="EO66" s="184">
        <f ca="1">'CF(M)'!EN121+'CF(M)'!EN14+'CF(M)'!EN54+'CF(M)'!EN68+'CF(M)'!EN71+'CF(M)'!EN74+'CF(M)'!EN77+'CF(M)'!EN80+'CF(M)'!EN83+'CF(M)'!EN86+'CF(M)'!EN89+'CF(M)'!EN92+'CF(M)'!EN115+'CF(M)'!EN96+'CF(M)'!EN111+'CF(M)'!EN101+'CF(M)'!EN106</f>
        <v>-8.0093741416931152E-8</v>
      </c>
      <c r="EP66" s="184">
        <f ca="1">'CF(M)'!EO121+'CF(M)'!EO14+'CF(M)'!EO54+'CF(M)'!EO68+'CF(M)'!EO71+'CF(M)'!EO74+'CF(M)'!EO77+'CF(M)'!EO80+'CF(M)'!EO83+'CF(M)'!EO86+'CF(M)'!EO89+'CF(M)'!EO92+'CF(M)'!EO115+'CF(M)'!EO96+'CF(M)'!EO111+'CF(M)'!EO101+'CF(M)'!EO106</f>
        <v>-8.0093741416931152E-8</v>
      </c>
      <c r="EQ66" s="184">
        <f ca="1">'CF(M)'!EP121+'CF(M)'!EP14+'CF(M)'!EP54+'CF(M)'!EP68+'CF(M)'!EP71+'CF(M)'!EP74+'CF(M)'!EP77+'CF(M)'!EP80+'CF(M)'!EP83+'CF(M)'!EP86+'CF(M)'!EP89+'CF(M)'!EP92+'CF(M)'!EP115+'CF(M)'!EP96+'CF(M)'!EP111+'CF(M)'!EP101+'CF(M)'!EP106</f>
        <v>-8.0093741416931152E-8</v>
      </c>
      <c r="ER66" s="184">
        <f ca="1">'CF(M)'!EQ121+'CF(M)'!EQ14+'CF(M)'!EQ54+'CF(M)'!EQ68+'CF(M)'!EQ71+'CF(M)'!EQ74+'CF(M)'!EQ77+'CF(M)'!EQ80+'CF(M)'!EQ83+'CF(M)'!EQ86+'CF(M)'!EQ89+'CF(M)'!EQ92+'CF(M)'!EQ115+'CF(M)'!EQ96+'CF(M)'!EQ111+'CF(M)'!EQ101+'CF(M)'!EQ106</f>
        <v>-8.0093741416931152E-8</v>
      </c>
    </row>
    <row r="67" spans="2:148" ht="11.25" customHeight="1">
      <c r="B67" s="875" t="s">
        <v>547</v>
      </c>
      <c r="C67" s="876"/>
      <c r="D67" s="876"/>
      <c r="E67" s="876"/>
      <c r="F67" s="876"/>
      <c r="G67" s="876"/>
      <c r="H67" s="876"/>
      <c r="I67" s="877"/>
      <c r="J67" s="878"/>
      <c r="K67" s="919"/>
      <c r="M67" s="897"/>
      <c r="N67" s="897"/>
      <c r="O67" s="897"/>
      <c r="P67" s="897"/>
      <c r="Q67" s="897"/>
      <c r="R67" s="897"/>
      <c r="S67" s="897"/>
      <c r="T67" s="897"/>
      <c r="U67" s="897"/>
      <c r="V67" s="897"/>
      <c r="W67" s="897"/>
      <c r="X67" s="897"/>
      <c r="Y67" s="897"/>
      <c r="Z67" s="897"/>
      <c r="AA67" s="897"/>
      <c r="AB67" s="897"/>
      <c r="AC67" s="897"/>
      <c r="AD67" s="897"/>
      <c r="AE67" s="897"/>
      <c r="AF67" s="897"/>
      <c r="AG67" s="897"/>
      <c r="AH67" s="897"/>
      <c r="AI67" s="897"/>
      <c r="AJ67" s="897"/>
      <c r="AK67" s="897"/>
      <c r="AL67" s="897"/>
      <c r="AM67" s="897"/>
      <c r="AN67" s="897"/>
      <c r="AO67" s="897"/>
      <c r="AP67" s="897"/>
      <c r="AQ67" s="897"/>
      <c r="AR67" s="897"/>
      <c r="AS67" s="897"/>
      <c r="AT67" s="897"/>
      <c r="AU67" s="897"/>
      <c r="AV67" s="897"/>
      <c r="AW67" s="897"/>
      <c r="AX67" s="897"/>
      <c r="AY67" s="897"/>
      <c r="AZ67" s="897"/>
      <c r="BA67" s="897"/>
      <c r="BB67" s="897"/>
      <c r="BC67" s="897"/>
      <c r="BD67" s="897"/>
      <c r="BE67" s="897"/>
      <c r="BF67" s="897"/>
      <c r="BG67" s="897"/>
      <c r="BH67" s="897"/>
      <c r="BI67" s="897"/>
      <c r="BJ67" s="897"/>
      <c r="BK67" s="897"/>
      <c r="BL67" s="897"/>
      <c r="BM67" s="897"/>
      <c r="BN67" s="897"/>
      <c r="BO67" s="897"/>
      <c r="BP67" s="897"/>
      <c r="BQ67" s="897"/>
      <c r="BR67" s="897"/>
      <c r="BS67" s="897"/>
      <c r="BT67" s="897"/>
      <c r="BU67" s="897"/>
      <c r="BV67" s="897"/>
      <c r="BW67" s="897"/>
      <c r="BX67" s="897"/>
      <c r="BY67" s="897"/>
      <c r="BZ67" s="897"/>
      <c r="CA67" s="897"/>
      <c r="CB67" s="897"/>
      <c r="CC67" s="897"/>
      <c r="CD67" s="897"/>
      <c r="CE67" s="897"/>
      <c r="CF67" s="897"/>
      <c r="CG67" s="897"/>
      <c r="CH67" s="897"/>
      <c r="CI67" s="897"/>
      <c r="CJ67" s="897"/>
      <c r="CK67" s="897"/>
      <c r="CL67" s="897"/>
      <c r="CM67" s="897"/>
      <c r="CN67" s="897"/>
      <c r="CO67" s="897"/>
      <c r="CP67" s="897"/>
      <c r="CQ67" s="897"/>
      <c r="CR67" s="897"/>
      <c r="CS67" s="897"/>
      <c r="CT67" s="897"/>
      <c r="CU67" s="897"/>
      <c r="CV67" s="897"/>
      <c r="CW67" s="897"/>
      <c r="CX67" s="897"/>
      <c r="CY67" s="897"/>
      <c r="CZ67" s="897"/>
      <c r="DA67" s="897"/>
      <c r="DB67" s="897"/>
      <c r="DC67" s="897"/>
      <c r="DD67" s="897"/>
      <c r="DE67" s="897"/>
      <c r="DF67" s="897"/>
      <c r="DG67" s="897"/>
      <c r="DH67" s="897"/>
      <c r="DI67" s="897"/>
      <c r="DJ67" s="897"/>
      <c r="DK67" s="897"/>
      <c r="DL67" s="897"/>
      <c r="DM67" s="897"/>
      <c r="DN67" s="897"/>
      <c r="DO67" s="897"/>
      <c r="DP67" s="897"/>
      <c r="DQ67" s="897"/>
      <c r="DR67" s="897"/>
      <c r="DS67" s="897"/>
      <c r="DT67" s="897"/>
      <c r="DU67" s="897"/>
      <c r="DV67" s="897"/>
      <c r="DW67" s="897"/>
      <c r="DX67" s="897"/>
      <c r="DY67" s="897"/>
      <c r="DZ67" s="897"/>
      <c r="EA67" s="897"/>
      <c r="EB67" s="897"/>
      <c r="EC67" s="897"/>
      <c r="ED67" s="897"/>
      <c r="EE67" s="897"/>
      <c r="EF67" s="897"/>
      <c r="EG67" s="897"/>
      <c r="EH67" s="897"/>
      <c r="EI67" s="897"/>
      <c r="EJ67" s="897"/>
      <c r="EK67" s="897"/>
      <c r="EL67" s="897"/>
      <c r="EM67" s="897"/>
      <c r="EN67" s="897"/>
      <c r="EO67" s="897"/>
      <c r="EP67" s="897"/>
      <c r="EQ67" s="897"/>
      <c r="ER67" s="897"/>
    </row>
    <row r="68" spans="2:148" ht="11.25" customHeight="1">
      <c r="B68" s="218"/>
      <c r="C68" s="904" t="s">
        <v>217</v>
      </c>
      <c r="D68" s="905"/>
      <c r="E68" s="905"/>
      <c r="F68" s="905"/>
      <c r="G68" s="905"/>
      <c r="H68" s="905"/>
      <c r="I68" s="906"/>
      <c r="J68" s="907"/>
      <c r="K68" s="917"/>
      <c r="L68" s="98"/>
      <c r="M68" s="908">
        <f>L71</f>
        <v>0</v>
      </c>
      <c r="N68" s="908">
        <f t="shared" ref="N68:BY68" si="62">M71</f>
        <v>0</v>
      </c>
      <c r="O68" s="908">
        <f t="shared" ca="1" si="62"/>
        <v>157817.58148785285</v>
      </c>
      <c r="P68" s="908">
        <f t="shared" ca="1" si="62"/>
        <v>324860.40350695595</v>
      </c>
      <c r="Q68" s="908">
        <f t="shared" ca="1" si="62"/>
        <v>301193.21485105925</v>
      </c>
      <c r="R68" s="908">
        <f t="shared" ca="1" si="62"/>
        <v>421281.27892450104</v>
      </c>
      <c r="S68" s="908">
        <f t="shared" ca="1" si="62"/>
        <v>610245.37624794291</v>
      </c>
      <c r="T68" s="908">
        <f t="shared" ca="1" si="62"/>
        <v>0</v>
      </c>
      <c r="U68" s="908">
        <f t="shared" ca="1" si="62"/>
        <v>93091.054987191921</v>
      </c>
      <c r="V68" s="908">
        <f t="shared" ca="1" si="62"/>
        <v>358150.30109938397</v>
      </c>
      <c r="W68" s="908">
        <f t="shared" ca="1" si="62"/>
        <v>623754.50639907597</v>
      </c>
      <c r="X68" s="908">
        <f t="shared" ca="1" si="62"/>
        <v>889903.67088626791</v>
      </c>
      <c r="Y68" s="908">
        <f t="shared" ca="1" si="62"/>
        <v>1156052.8353734598</v>
      </c>
      <c r="Z68" s="908">
        <f t="shared" ca="1" si="62"/>
        <v>0</v>
      </c>
      <c r="AA68" s="908">
        <f t="shared" ca="1" si="62"/>
        <v>245970.76761292911</v>
      </c>
      <c r="AB68" s="908">
        <f t="shared" ca="1" si="62"/>
        <v>490252.20252038934</v>
      </c>
      <c r="AC68" s="908">
        <f t="shared" ca="1" si="62"/>
        <v>539055.87648597464</v>
      </c>
      <c r="AD68" s="908">
        <f t="shared" ca="1" si="62"/>
        <v>685790.86060677515</v>
      </c>
      <c r="AE68" s="908">
        <f t="shared" ca="1" si="62"/>
        <v>903123.77880882553</v>
      </c>
      <c r="AF68" s="908">
        <f t="shared" ca="1" si="62"/>
        <v>0</v>
      </c>
      <c r="AG68" s="908">
        <f t="shared" ca="1" si="62"/>
        <v>119063.04980739404</v>
      </c>
      <c r="AH68" s="908">
        <f t="shared" ca="1" si="62"/>
        <v>414393.49551791302</v>
      </c>
      <c r="AI68" s="908">
        <f t="shared" ca="1" si="62"/>
        <v>710282.52439561964</v>
      </c>
      <c r="AJ68" s="908">
        <f t="shared" ca="1" si="62"/>
        <v>1006730.1364405137</v>
      </c>
      <c r="AK68" s="908">
        <f t="shared" ca="1" si="62"/>
        <v>1303177.7484854078</v>
      </c>
      <c r="AL68" s="908">
        <f t="shared" ca="1" si="62"/>
        <v>0</v>
      </c>
      <c r="AM68" s="908">
        <f t="shared" ca="1" si="62"/>
        <v>271015.546365396</v>
      </c>
      <c r="AN68" s="908">
        <f t="shared" ca="1" si="62"/>
        <v>519649.93359518657</v>
      </c>
      <c r="AO68" s="908">
        <f t="shared" ca="1" si="62"/>
        <v>744198.64218143013</v>
      </c>
      <c r="AP68" s="908">
        <f t="shared" ca="1" si="62"/>
        <v>1037594.8754289565</v>
      </c>
      <c r="AQ68" s="908">
        <f t="shared" ca="1" si="62"/>
        <v>1258607.0330357016</v>
      </c>
      <c r="AR68" s="908">
        <f t="shared" ca="1" si="62"/>
        <v>0</v>
      </c>
      <c r="AS68" s="908">
        <f t="shared" ca="1" si="62"/>
        <v>302104.7187956596</v>
      </c>
      <c r="AT68" s="908">
        <f t="shared" ca="1" si="62"/>
        <v>-458848.87644503487</v>
      </c>
      <c r="AU68" s="908">
        <f t="shared" ca="1" si="62"/>
        <v>-1192862.0858473247</v>
      </c>
      <c r="AV68" s="908">
        <f t="shared" ca="1" si="62"/>
        <v>-1991364.6330731157</v>
      </c>
      <c r="AW68" s="908">
        <f t="shared" ca="1" si="62"/>
        <v>-2721468.7877767375</v>
      </c>
      <c r="AX68" s="908">
        <f t="shared" ca="1" si="62"/>
        <v>-3472738.7754206718</v>
      </c>
      <c r="AY68" s="908">
        <f t="shared" ca="1" si="62"/>
        <v>-3141094.7773273038</v>
      </c>
      <c r="AZ68" s="908">
        <f t="shared" ca="1" si="62"/>
        <v>-2803335.2073285808</v>
      </c>
      <c r="BA68" s="908">
        <f t="shared" ca="1" si="62"/>
        <v>-2467360.0385524393</v>
      </c>
      <c r="BB68" s="908">
        <f t="shared" ca="1" si="62"/>
        <v>-2133844.2554010558</v>
      </c>
      <c r="BC68" s="908">
        <f t="shared" ca="1" si="62"/>
        <v>-1846867.346238168</v>
      </c>
      <c r="BD68" s="908">
        <f t="shared" ca="1" si="62"/>
        <v>-1518020.844931677</v>
      </c>
      <c r="BE68" s="908">
        <f t="shared" ca="1" si="62"/>
        <v>-1148539.2277929592</v>
      </c>
      <c r="BF68" s="908">
        <f t="shared" ca="1" si="62"/>
        <v>-778499.05501699622</v>
      </c>
      <c r="BG68" s="908">
        <f t="shared" ca="1" si="62"/>
        <v>-408458.88224103325</v>
      </c>
      <c r="BH68" s="908">
        <f t="shared" ca="1" si="62"/>
        <v>-34998.789838961675</v>
      </c>
      <c r="BI68" s="908">
        <f t="shared" ca="1" si="62"/>
        <v>338461.3025631099</v>
      </c>
      <c r="BJ68" s="908">
        <f t="shared" ca="1" si="62"/>
        <v>0</v>
      </c>
      <c r="BK68" s="908">
        <f t="shared" ca="1" si="62"/>
        <v>373228.61562118342</v>
      </c>
      <c r="BL68" s="908">
        <f t="shared" ca="1" si="62"/>
        <v>752655.61962155323</v>
      </c>
      <c r="BM68" s="908">
        <f t="shared" ca="1" si="62"/>
        <v>1136795.0064543611</v>
      </c>
      <c r="BN68" s="908">
        <f t="shared" ca="1" si="62"/>
        <v>1533701.990844761</v>
      </c>
      <c r="BO68" s="908">
        <f t="shared" ca="1" si="62"/>
        <v>1854560.4557650648</v>
      </c>
      <c r="BP68" s="908">
        <f t="shared" ca="1" si="62"/>
        <v>0</v>
      </c>
      <c r="BQ68" s="908">
        <f t="shared" ca="1" si="62"/>
        <v>406054.92172926839</v>
      </c>
      <c r="BR68" s="908">
        <f t="shared" ca="1" si="62"/>
        <v>812109.84345853678</v>
      </c>
      <c r="BS68" s="908">
        <f t="shared" ca="1" si="62"/>
        <v>1218164.7651878051</v>
      </c>
      <c r="BT68" s="908">
        <f t="shared" ca="1" si="62"/>
        <v>1627725.1045338348</v>
      </c>
      <c r="BU68" s="908">
        <f t="shared" ca="1" si="62"/>
        <v>2037285.4438798646</v>
      </c>
      <c r="BV68" s="908">
        <f t="shared" ca="1" si="62"/>
        <v>0</v>
      </c>
      <c r="BW68" s="908">
        <f t="shared" ca="1" si="62"/>
        <v>462512.34967445058</v>
      </c>
      <c r="BX68" s="908">
        <f t="shared" ca="1" si="62"/>
        <v>931378.0474375675</v>
      </c>
      <c r="BY68" s="908">
        <f t="shared" ca="1" si="62"/>
        <v>1405073.9376039337</v>
      </c>
      <c r="BZ68" s="908">
        <f t="shared" ref="BZ68:DT68" ca="1" si="63">BY71</f>
        <v>1891856.6152668311</v>
      </c>
      <c r="CA68" s="908">
        <f t="shared" ca="1" si="63"/>
        <v>2300689.5604728805</v>
      </c>
      <c r="CB68" s="908">
        <f t="shared" ca="1" si="63"/>
        <v>0</v>
      </c>
      <c r="CC68" s="908">
        <f t="shared" ca="1" si="63"/>
        <v>496159.3134352382</v>
      </c>
      <c r="CD68" s="908">
        <f t="shared" ca="1" si="63"/>
        <v>992318.62687047641</v>
      </c>
      <c r="CE68" s="908">
        <f t="shared" ca="1" si="63"/>
        <v>1488477.9403057145</v>
      </c>
      <c r="CF68" s="908">
        <f t="shared" ca="1" si="63"/>
        <v>1988230.3067981331</v>
      </c>
      <c r="CG68" s="908">
        <f t="shared" ca="1" si="63"/>
        <v>2487982.6732905516</v>
      </c>
      <c r="CH68" s="908">
        <f t="shared" ca="1" si="63"/>
        <v>0</v>
      </c>
      <c r="CI68" s="908">
        <f t="shared" ca="1" si="63"/>
        <v>499387.73782483244</v>
      </c>
      <c r="CJ68" s="908">
        <f t="shared" ca="1" si="63"/>
        <v>1005287.6574405476</v>
      </c>
      <c r="CK68" s="908">
        <f t="shared" ca="1" si="63"/>
        <v>1516138.5242695934</v>
      </c>
      <c r="CL68" s="908">
        <f t="shared" ca="1" si="63"/>
        <v>2040403.348282584</v>
      </c>
      <c r="CM68" s="908">
        <f t="shared" ca="1" si="63"/>
        <v>2484769.6965273051</v>
      </c>
      <c r="CN68" s="908">
        <f t="shared" ca="1" si="63"/>
        <v>0</v>
      </c>
      <c r="CO68" s="908">
        <f t="shared" ca="1" si="63"/>
        <v>533875.87567963952</v>
      </c>
      <c r="CP68" s="908">
        <f t="shared" ca="1" si="63"/>
        <v>1067751.751359279</v>
      </c>
      <c r="CQ68" s="908">
        <f t="shared" ca="1" si="63"/>
        <v>1601627.6270389184</v>
      </c>
      <c r="CR68" s="908">
        <f t="shared" ca="1" si="63"/>
        <v>2139186.3821021677</v>
      </c>
      <c r="CS68" s="908">
        <f t="shared" ca="1" si="63"/>
        <v>2676745.137165417</v>
      </c>
      <c r="CT68" s="908">
        <f t="shared" ca="1" si="63"/>
        <v>0</v>
      </c>
      <c r="CU68" s="908">
        <f t="shared" ca="1" si="63"/>
        <v>537127.33701037476</v>
      </c>
      <c r="CV68" s="908">
        <f t="shared" ca="1" si="63"/>
        <v>1080929.6603564047</v>
      </c>
      <c r="CW68" s="908">
        <f t="shared" ca="1" si="63"/>
        <v>1629806.7045960985</v>
      </c>
      <c r="CX68" s="908">
        <f t="shared" ca="1" si="63"/>
        <v>2192433.0549493353</v>
      </c>
      <c r="CY68" s="908">
        <f t="shared" ca="1" si="63"/>
        <v>2673163.4676400959</v>
      </c>
      <c r="CZ68" s="908">
        <f t="shared" ca="1" si="63"/>
        <v>0</v>
      </c>
      <c r="DA68" s="908">
        <f t="shared" ca="1" si="63"/>
        <v>-64499.084280019393</v>
      </c>
      <c r="DB68" s="908">
        <f t="shared" ca="1" si="63"/>
        <v>471153.60182400723</v>
      </c>
      <c r="DC68" s="908">
        <f t="shared" ca="1" si="63"/>
        <v>1006806.2879280339</v>
      </c>
      <c r="DD68" s="908">
        <f t="shared" ca="1" si="63"/>
        <v>1468847.4223521613</v>
      </c>
      <c r="DE68" s="908">
        <f t="shared" ca="1" si="63"/>
        <v>2008275.0598243875</v>
      </c>
      <c r="DF68" s="908">
        <f t="shared" ca="1" si="63"/>
        <v>0</v>
      </c>
      <c r="DG68" s="908">
        <f t="shared" ca="1" si="63"/>
        <v>539012.72818903159</v>
      </c>
      <c r="DH68" s="908">
        <f t="shared" ca="1" si="63"/>
        <v>1084675.1905196868</v>
      </c>
      <c r="DI68" s="908">
        <f t="shared" ca="1" si="63"/>
        <v>1617796.9790483313</v>
      </c>
      <c r="DJ68" s="908">
        <f t="shared" ca="1" si="63"/>
        <v>2140431.6826347737</v>
      </c>
      <c r="DK68" s="908">
        <f t="shared" ca="1" si="63"/>
        <v>2705283.3863866273</v>
      </c>
      <c r="DL68" s="908">
        <f t="shared" ca="1" si="63"/>
        <v>0</v>
      </c>
      <c r="DM68" s="908">
        <f t="shared" ca="1" si="63"/>
        <v>574101.44013686944</v>
      </c>
      <c r="DN68" s="908">
        <f t="shared" ca="1" si="63"/>
        <v>1148834.8347090743</v>
      </c>
      <c r="DO68" s="908">
        <f t="shared" ca="1" si="63"/>
        <v>1723568.2292812793</v>
      </c>
      <c r="DP68" s="908">
        <f t="shared" ca="1" si="63"/>
        <v>2302170.9490058888</v>
      </c>
      <c r="DQ68" s="908">
        <f t="shared" ca="1" si="63"/>
        <v>2880773.6687304983</v>
      </c>
      <c r="DR68" s="908">
        <f t="shared" ca="1" si="63"/>
        <v>0</v>
      </c>
      <c r="DS68" s="908">
        <f t="shared" ca="1" si="63"/>
        <v>578122.73406297155</v>
      </c>
      <c r="DT68" s="908">
        <f t="shared" ca="1" si="63"/>
        <v>1163061.4456211072</v>
      </c>
      <c r="DU68" s="908">
        <f t="shared" ref="DU68:ER68" ca="1" si="64">DT71</f>
        <v>1753170.0818282661</v>
      </c>
      <c r="DV68" s="908">
        <f t="shared" ca="1" si="64"/>
        <v>2357287.1016163463</v>
      </c>
      <c r="DW68" s="908">
        <f t="shared" ca="1" si="64"/>
        <v>2961404.1214044262</v>
      </c>
      <c r="DX68" s="908">
        <f t="shared" ca="1" si="64"/>
        <v>0</v>
      </c>
      <c r="DY68" s="908">
        <f t="shared" ca="1" si="64"/>
        <v>614245.7528789402</v>
      </c>
      <c r="DZ68" s="908">
        <f t="shared" ca="1" si="64"/>
        <v>1228491.5057578804</v>
      </c>
      <c r="EA68" s="908">
        <f t="shared" ca="1" si="64"/>
        <v>1842737.2586368206</v>
      </c>
      <c r="EB68" s="908">
        <f t="shared" ca="1" si="64"/>
        <v>2460949.0697969757</v>
      </c>
      <c r="EC68" s="908">
        <f t="shared" ca="1" si="64"/>
        <v>3079160.8809571313</v>
      </c>
      <c r="ED68" s="908">
        <f t="shared" ca="1" si="64"/>
        <v>0</v>
      </c>
      <c r="EE68" s="908">
        <f t="shared" ca="1" si="64"/>
        <v>0</v>
      </c>
      <c r="EF68" s="908">
        <f t="shared" ca="1" si="64"/>
        <v>0</v>
      </c>
      <c r="EG68" s="908">
        <f t="shared" ca="1" si="64"/>
        <v>0</v>
      </c>
      <c r="EH68" s="908">
        <f t="shared" ca="1" si="64"/>
        <v>0</v>
      </c>
      <c r="EI68" s="908">
        <f t="shared" ca="1" si="64"/>
        <v>0</v>
      </c>
      <c r="EJ68" s="908">
        <f t="shared" ca="1" si="64"/>
        <v>0</v>
      </c>
      <c r="EK68" s="908">
        <f t="shared" ca="1" si="64"/>
        <v>0</v>
      </c>
      <c r="EL68" s="908">
        <f t="shared" ca="1" si="64"/>
        <v>0</v>
      </c>
      <c r="EM68" s="908">
        <f t="shared" ca="1" si="64"/>
        <v>0</v>
      </c>
      <c r="EN68" s="908">
        <f t="shared" ca="1" si="64"/>
        <v>0</v>
      </c>
      <c r="EO68" s="908">
        <f t="shared" ca="1" si="64"/>
        <v>0</v>
      </c>
      <c r="EP68" s="908">
        <f t="shared" ca="1" si="64"/>
        <v>0</v>
      </c>
      <c r="EQ68" s="908">
        <f t="shared" ca="1" si="64"/>
        <v>0</v>
      </c>
      <c r="ER68" s="908">
        <f t="shared" ca="1" si="64"/>
        <v>0</v>
      </c>
    </row>
    <row r="69" spans="2:148" ht="11.25" customHeight="1">
      <c r="B69" s="218"/>
      <c r="C69" s="911" t="s">
        <v>218</v>
      </c>
      <c r="D69" s="912"/>
      <c r="E69" s="912"/>
      <c r="F69" s="912"/>
      <c r="G69" s="912"/>
      <c r="H69" s="912"/>
      <c r="I69" s="913"/>
      <c r="J69" s="914"/>
      <c r="K69" s="918">
        <f ca="1">SUM(M69:ER69)</f>
        <v>43526238.642517284</v>
      </c>
      <c r="L69" s="98"/>
      <c r="M69" s="920">
        <f>SUM(M62:M63)+M65</f>
        <v>0</v>
      </c>
      <c r="N69" s="920">
        <f t="shared" ref="N69:AS69" ca="1" si="65">SUM(N62:N63)</f>
        <v>157817.58148785285</v>
      </c>
      <c r="O69" s="920">
        <f t="shared" ca="1" si="65"/>
        <v>167042.8220191031</v>
      </c>
      <c r="P69" s="920">
        <f t="shared" ca="1" si="65"/>
        <v>-23667.188655896694</v>
      </c>
      <c r="Q69" s="920">
        <f t="shared" ca="1" si="65"/>
        <v>120088.06407344178</v>
      </c>
      <c r="R69" s="920">
        <f t="shared" ca="1" si="65"/>
        <v>188964.09732344188</v>
      </c>
      <c r="S69" s="920">
        <f t="shared" ca="1" si="65"/>
        <v>227844.17592344177</v>
      </c>
      <c r="T69" s="920">
        <f t="shared" ca="1" si="65"/>
        <v>93091.054987191921</v>
      </c>
      <c r="U69" s="920">
        <f t="shared" ca="1" si="65"/>
        <v>265059.24611219205</v>
      </c>
      <c r="V69" s="920">
        <f t="shared" ca="1" si="65"/>
        <v>265604.205299692</v>
      </c>
      <c r="W69" s="920">
        <f t="shared" ca="1" si="65"/>
        <v>266149.16448719194</v>
      </c>
      <c r="X69" s="920">
        <f t="shared" ca="1" si="65"/>
        <v>266149.16448719194</v>
      </c>
      <c r="Y69" s="920">
        <f t="shared" ca="1" si="65"/>
        <v>246003.21998719196</v>
      </c>
      <c r="Z69" s="920">
        <f t="shared" ca="1" si="65"/>
        <v>245970.76761292911</v>
      </c>
      <c r="AA69" s="920">
        <f t="shared" ca="1" si="65"/>
        <v>244281.43490746024</v>
      </c>
      <c r="AB69" s="920">
        <f t="shared" ca="1" si="65"/>
        <v>48803.673965585302</v>
      </c>
      <c r="AC69" s="920">
        <f t="shared" ca="1" si="65"/>
        <v>146734.98412080051</v>
      </c>
      <c r="AD69" s="920">
        <f t="shared" ca="1" si="65"/>
        <v>217332.91820205038</v>
      </c>
      <c r="AE69" s="920">
        <f t="shared" ca="1" si="65"/>
        <v>257184.99876705033</v>
      </c>
      <c r="AF69" s="920">
        <f t="shared" ca="1" si="65"/>
        <v>119063.04980739404</v>
      </c>
      <c r="AG69" s="920">
        <f t="shared" ca="1" si="65"/>
        <v>295330.44571051898</v>
      </c>
      <c r="AH69" s="920">
        <f t="shared" ca="1" si="65"/>
        <v>295889.02887770662</v>
      </c>
      <c r="AI69" s="920">
        <f t="shared" ca="1" si="65"/>
        <v>296447.61204489402</v>
      </c>
      <c r="AJ69" s="920">
        <f t="shared" ca="1" si="65"/>
        <v>296447.61204489402</v>
      </c>
      <c r="AK69" s="920">
        <f t="shared" ca="1" si="65"/>
        <v>275798.0189323941</v>
      </c>
      <c r="AL69" s="920">
        <f t="shared" ca="1" si="65"/>
        <v>271015.546365396</v>
      </c>
      <c r="AM69" s="920">
        <f t="shared" ca="1" si="65"/>
        <v>248634.38722979056</v>
      </c>
      <c r="AN69" s="920">
        <f t="shared" ca="1" si="65"/>
        <v>224548.70858624356</v>
      </c>
      <c r="AO69" s="920">
        <f t="shared" ca="1" si="65"/>
        <v>293396.23324752634</v>
      </c>
      <c r="AP69" s="920">
        <f t="shared" ca="1" si="65"/>
        <v>221012.15760674502</v>
      </c>
      <c r="AQ69" s="920">
        <f t="shared" ca="1" si="65"/>
        <v>261860.54018587002</v>
      </c>
      <c r="AR69" s="920">
        <f t="shared" ca="1" si="65"/>
        <v>302104.7187956596</v>
      </c>
      <c r="AS69" s="920">
        <f t="shared" ca="1" si="65"/>
        <v>-760953.59524069447</v>
      </c>
      <c r="AT69" s="920">
        <f t="shared" ref="AT69:BY69" ca="1" si="66">SUM(AT62:AT63)</f>
        <v>-734013.20940228994</v>
      </c>
      <c r="AU69" s="920">
        <f t="shared" ca="1" si="66"/>
        <v>-798502.54722579103</v>
      </c>
      <c r="AV69" s="920">
        <f t="shared" ca="1" si="66"/>
        <v>-730104.15470362175</v>
      </c>
      <c r="AW69" s="920">
        <f t="shared" ca="1" si="66"/>
        <v>-751269.98764393432</v>
      </c>
      <c r="AX69" s="920">
        <f t="shared" ca="1" si="66"/>
        <v>331643.99809336814</v>
      </c>
      <c r="AY69" s="920">
        <f t="shared" ca="1" si="66"/>
        <v>337759.56999872311</v>
      </c>
      <c r="AZ69" s="920">
        <f t="shared" ca="1" si="66"/>
        <v>335975.1687761416</v>
      </c>
      <c r="BA69" s="920">
        <f t="shared" ca="1" si="66"/>
        <v>333515.7831513834</v>
      </c>
      <c r="BB69" s="920">
        <f t="shared" ca="1" si="66"/>
        <v>286976.90916288795</v>
      </c>
      <c r="BC69" s="920">
        <f t="shared" ca="1" si="66"/>
        <v>328846.50130649109</v>
      </c>
      <c r="BD69" s="920">
        <f t="shared" ca="1" si="66"/>
        <v>369481.61713871779</v>
      </c>
      <c r="BE69" s="920">
        <f t="shared" ca="1" si="66"/>
        <v>370040.17277596297</v>
      </c>
      <c r="BF69" s="920">
        <f t="shared" ca="1" si="66"/>
        <v>370040.17277596297</v>
      </c>
      <c r="BG69" s="920">
        <f t="shared" ca="1" si="66"/>
        <v>373460.09240207158</v>
      </c>
      <c r="BH69" s="920">
        <f t="shared" ca="1" si="66"/>
        <v>373460.09240207158</v>
      </c>
      <c r="BI69" s="920">
        <f t="shared" ca="1" si="66"/>
        <v>373460.09240207158</v>
      </c>
      <c r="BJ69" s="920">
        <f t="shared" ca="1" si="66"/>
        <v>373228.61562118342</v>
      </c>
      <c r="BK69" s="920">
        <f t="shared" ca="1" si="66"/>
        <v>379427.00400036981</v>
      </c>
      <c r="BL69" s="920">
        <f t="shared" ca="1" si="66"/>
        <v>384139.38683280803</v>
      </c>
      <c r="BM69" s="920">
        <f t="shared" ca="1" si="66"/>
        <v>396906.98439039977</v>
      </c>
      <c r="BN69" s="920">
        <f t="shared" ca="1" si="66"/>
        <v>320858.4649203039</v>
      </c>
      <c r="BO69" s="920">
        <f t="shared" ca="1" si="66"/>
        <v>363774.79686749715</v>
      </c>
      <c r="BP69" s="920">
        <f t="shared" ca="1" si="66"/>
        <v>406054.92172926839</v>
      </c>
      <c r="BQ69" s="920">
        <f t="shared" ca="1" si="66"/>
        <v>406054.92172926839</v>
      </c>
      <c r="BR69" s="920">
        <f t="shared" ca="1" si="66"/>
        <v>406054.92172926839</v>
      </c>
      <c r="BS69" s="920">
        <f t="shared" ca="1" si="66"/>
        <v>409560.33934602968</v>
      </c>
      <c r="BT69" s="920">
        <f t="shared" ca="1" si="66"/>
        <v>409560.33934602968</v>
      </c>
      <c r="BU69" s="920">
        <f t="shared" ca="1" si="66"/>
        <v>409560.33934602968</v>
      </c>
      <c r="BV69" s="920">
        <f t="shared" ca="1" si="66"/>
        <v>462512.34967445058</v>
      </c>
      <c r="BW69" s="920">
        <f t="shared" ca="1" si="66"/>
        <v>468865.69776311691</v>
      </c>
      <c r="BX69" s="920">
        <f t="shared" ca="1" si="66"/>
        <v>473695.89016636636</v>
      </c>
      <c r="BY69" s="920">
        <f t="shared" ca="1" si="66"/>
        <v>486782.67766289751</v>
      </c>
      <c r="BZ69" s="920">
        <f t="shared" ref="BZ69:DE69" ca="1" si="67">SUM(BZ62:BZ63)</f>
        <v>408832.94520604925</v>
      </c>
      <c r="CA69" s="920">
        <f t="shared" ca="1" si="67"/>
        <v>452822.18545192259</v>
      </c>
      <c r="CB69" s="920">
        <f t="shared" ca="1" si="67"/>
        <v>496159.3134352382</v>
      </c>
      <c r="CC69" s="920">
        <f t="shared" ca="1" si="67"/>
        <v>496159.3134352382</v>
      </c>
      <c r="CD69" s="920">
        <f t="shared" ca="1" si="67"/>
        <v>496159.3134352382</v>
      </c>
      <c r="CE69" s="920">
        <f t="shared" ca="1" si="67"/>
        <v>499752.36649241846</v>
      </c>
      <c r="CF69" s="920">
        <f t="shared" ca="1" si="67"/>
        <v>499752.36649241846</v>
      </c>
      <c r="CG69" s="920">
        <f t="shared" ca="1" si="67"/>
        <v>499752.36649241846</v>
      </c>
      <c r="CH69" s="920">
        <f t="shared" ca="1" si="67"/>
        <v>499387.73782483244</v>
      </c>
      <c r="CI69" s="920">
        <f t="shared" ca="1" si="67"/>
        <v>505899.91961571516</v>
      </c>
      <c r="CJ69" s="920">
        <f t="shared" ca="1" si="67"/>
        <v>510850.86682904593</v>
      </c>
      <c r="CK69" s="920">
        <f t="shared" ca="1" si="67"/>
        <v>524264.82401299046</v>
      </c>
      <c r="CL69" s="920">
        <f t="shared" ca="1" si="67"/>
        <v>444366.34824472119</v>
      </c>
      <c r="CM69" s="920">
        <f t="shared" ca="1" si="67"/>
        <v>489455.31949674117</v>
      </c>
      <c r="CN69" s="920">
        <f t="shared" ca="1" si="67"/>
        <v>533875.87567963952</v>
      </c>
      <c r="CO69" s="920">
        <f t="shared" ca="1" si="67"/>
        <v>533875.87567963952</v>
      </c>
      <c r="CP69" s="920">
        <f t="shared" ca="1" si="67"/>
        <v>533875.87567963952</v>
      </c>
      <c r="CQ69" s="920">
        <f t="shared" ca="1" si="67"/>
        <v>537558.75506324926</v>
      </c>
      <c r="CR69" s="920">
        <f t="shared" ca="1" si="67"/>
        <v>537558.75506324926</v>
      </c>
      <c r="CS69" s="920">
        <f t="shared" ca="1" si="67"/>
        <v>537558.75506324926</v>
      </c>
      <c r="CT69" s="920">
        <f t="shared" ca="1" si="67"/>
        <v>537127.33701037476</v>
      </c>
      <c r="CU69" s="920">
        <f t="shared" ca="1" si="67"/>
        <v>543802.32334602997</v>
      </c>
      <c r="CV69" s="920">
        <f t="shared" ca="1" si="67"/>
        <v>548877.04423969379</v>
      </c>
      <c r="CW69" s="920">
        <f t="shared" ca="1" si="67"/>
        <v>562626.35035323678</v>
      </c>
      <c r="CX69" s="920">
        <f t="shared" ca="1" si="67"/>
        <v>480730.41269076068</v>
      </c>
      <c r="CY69" s="920">
        <f t="shared" ca="1" si="67"/>
        <v>526946.60822408099</v>
      </c>
      <c r="CZ69" s="920">
        <f t="shared" ca="1" si="67"/>
        <v>-64499.084280019393</v>
      </c>
      <c r="DA69" s="920">
        <f t="shared" ca="1" si="67"/>
        <v>535652.68610402662</v>
      </c>
      <c r="DB69" s="920">
        <f t="shared" ca="1" si="67"/>
        <v>535652.68610402662</v>
      </c>
      <c r="DC69" s="920">
        <f t="shared" ca="1" si="67"/>
        <v>462041.13442412729</v>
      </c>
      <c r="DD69" s="920">
        <f t="shared" ca="1" si="67"/>
        <v>539427.63747222628</v>
      </c>
      <c r="DE69" s="920">
        <f t="shared" ca="1" si="67"/>
        <v>539427.63747222628</v>
      </c>
      <c r="DF69" s="920">
        <f t="shared" ref="DF69:DT69" ca="1" si="68">SUM(DF62:DF63)</f>
        <v>539012.72818903159</v>
      </c>
      <c r="DG69" s="920">
        <f t="shared" ca="1" si="68"/>
        <v>545662.46233065519</v>
      </c>
      <c r="DH69" s="920">
        <f t="shared" ca="1" si="68"/>
        <v>533121.7885286446</v>
      </c>
      <c r="DI69" s="920">
        <f t="shared" ca="1" si="68"/>
        <v>522634.70358644251</v>
      </c>
      <c r="DJ69" s="920">
        <f t="shared" ca="1" si="68"/>
        <v>564851.70375185343</v>
      </c>
      <c r="DK69" s="920">
        <f t="shared" ca="1" si="68"/>
        <v>538764.59919410152</v>
      </c>
      <c r="DL69" s="920">
        <f t="shared" ca="1" si="68"/>
        <v>574101.44013686944</v>
      </c>
      <c r="DM69" s="920">
        <f t="shared" ca="1" si="68"/>
        <v>574733.39457220491</v>
      </c>
      <c r="DN69" s="920">
        <f t="shared" ca="1" si="68"/>
        <v>574733.39457220491</v>
      </c>
      <c r="DO69" s="920">
        <f t="shared" ca="1" si="68"/>
        <v>578602.71972460975</v>
      </c>
      <c r="DP69" s="920">
        <f t="shared" ca="1" si="68"/>
        <v>578602.71972460975</v>
      </c>
      <c r="DQ69" s="920">
        <f t="shared" ca="1" si="68"/>
        <v>578602.71972460975</v>
      </c>
      <c r="DR69" s="920">
        <f t="shared" ca="1" si="68"/>
        <v>578122.73406297155</v>
      </c>
      <c r="DS69" s="920">
        <f t="shared" ca="1" si="68"/>
        <v>584938.71155813569</v>
      </c>
      <c r="DT69" s="920">
        <f t="shared" ca="1" si="68"/>
        <v>590108.63620715891</v>
      </c>
      <c r="DU69" s="920">
        <f t="shared" ref="DU69:ER69" ca="1" si="69">SUM(DU62:DU63)</f>
        <v>604117.01978808013</v>
      </c>
      <c r="DV69" s="920">
        <f t="shared" ca="1" si="69"/>
        <v>604117.01978808013</v>
      </c>
      <c r="DW69" s="920">
        <f t="shared" ca="1" si="69"/>
        <v>609448.83126752614</v>
      </c>
      <c r="DX69" s="920">
        <f t="shared" ca="1" si="69"/>
        <v>614245.7528789402</v>
      </c>
      <c r="DY69" s="920">
        <f t="shared" ca="1" si="69"/>
        <v>614245.7528789402</v>
      </c>
      <c r="DZ69" s="920">
        <f t="shared" ca="1" si="69"/>
        <v>614245.7528789402</v>
      </c>
      <c r="EA69" s="920">
        <f t="shared" ca="1" si="69"/>
        <v>618211.81116015534</v>
      </c>
      <c r="EB69" s="920">
        <f t="shared" ca="1" si="69"/>
        <v>618211.81116015534</v>
      </c>
      <c r="EC69" s="920">
        <f t="shared" ca="1" si="69"/>
        <v>618211.81116016209</v>
      </c>
      <c r="ED69" s="920">
        <f t="shared" ca="1" si="69"/>
        <v>0</v>
      </c>
      <c r="EE69" s="920">
        <f t="shared" ca="1" si="69"/>
        <v>0</v>
      </c>
      <c r="EF69" s="920">
        <f t="shared" ca="1" si="69"/>
        <v>0</v>
      </c>
      <c r="EG69" s="920">
        <f t="shared" ca="1" si="69"/>
        <v>0</v>
      </c>
      <c r="EH69" s="920">
        <f t="shared" ca="1" si="69"/>
        <v>0</v>
      </c>
      <c r="EI69" s="920">
        <f t="shared" ca="1" si="69"/>
        <v>0</v>
      </c>
      <c r="EJ69" s="920">
        <f t="shared" ca="1" si="69"/>
        <v>0</v>
      </c>
      <c r="EK69" s="920">
        <f t="shared" ca="1" si="69"/>
        <v>0</v>
      </c>
      <c r="EL69" s="920">
        <f t="shared" ca="1" si="69"/>
        <v>0</v>
      </c>
      <c r="EM69" s="920">
        <f t="shared" ca="1" si="69"/>
        <v>0</v>
      </c>
      <c r="EN69" s="920">
        <f t="shared" ca="1" si="69"/>
        <v>0</v>
      </c>
      <c r="EO69" s="920">
        <f t="shared" ca="1" si="69"/>
        <v>0</v>
      </c>
      <c r="EP69" s="920">
        <f t="shared" ca="1" si="69"/>
        <v>0</v>
      </c>
      <c r="EQ69" s="920">
        <f t="shared" ca="1" si="69"/>
        <v>0</v>
      </c>
      <c r="ER69" s="920">
        <f t="shared" ca="1" si="69"/>
        <v>0</v>
      </c>
    </row>
    <row r="70" spans="2:148" ht="11.25" customHeight="1">
      <c r="B70" s="218"/>
      <c r="C70" s="911" t="s">
        <v>219</v>
      </c>
      <c r="D70" s="912"/>
      <c r="E70" s="912"/>
      <c r="F70" s="912"/>
      <c r="G70" s="912"/>
      <c r="H70" s="912"/>
      <c r="I70" s="913"/>
      <c r="J70" s="914"/>
      <c r="K70" s="918">
        <f ca="1">SUM(M70:ER70)</f>
        <v>43526238.642517284</v>
      </c>
      <c r="L70" s="98"/>
      <c r="M70" s="920">
        <f>MAX(SUM(M68:M69),)*Index!L$48</f>
        <v>0</v>
      </c>
      <c r="N70" s="920">
        <f ca="1">MAX(SUM(N68:N69),)*Index!M$48</f>
        <v>0</v>
      </c>
      <c r="O70" s="920">
        <f ca="1">MAX(SUM(O68:O69),)*Index!N$48</f>
        <v>0</v>
      </c>
      <c r="P70" s="920">
        <f ca="1">MAX(SUM(P68:P69),)*Index!O$48</f>
        <v>0</v>
      </c>
      <c r="Q70" s="920">
        <f ca="1">MAX(SUM(Q68:Q69),)*Index!P$48</f>
        <v>0</v>
      </c>
      <c r="R70" s="920">
        <f ca="1">MAX(SUM(R68:R69),)*Index!Q$48</f>
        <v>0</v>
      </c>
      <c r="S70" s="920">
        <f ca="1">MAX(SUM(S68:S69),)*Index!R$48</f>
        <v>838089.55217138468</v>
      </c>
      <c r="T70" s="920">
        <f ca="1">MAX(SUM(T68:T69),)*Index!S$48</f>
        <v>0</v>
      </c>
      <c r="U70" s="920">
        <f ca="1">MAX(SUM(U68:U69),)*Index!T$48</f>
        <v>0</v>
      </c>
      <c r="V70" s="920">
        <f ca="1">MAX(SUM(V68:V69),)*Index!U$48</f>
        <v>0</v>
      </c>
      <c r="W70" s="920">
        <f ca="1">MAX(SUM(W68:W69),)*Index!V$48</f>
        <v>0</v>
      </c>
      <c r="X70" s="920">
        <f ca="1">MAX(SUM(X68:X69),)*Index!W$48</f>
        <v>0</v>
      </c>
      <c r="Y70" s="920">
        <f ca="1">MAX(SUM(Y68:Y69),)*Index!X$48</f>
        <v>1402056.0553606518</v>
      </c>
      <c r="Z70" s="920">
        <f ca="1">MAX(SUM(Z68:Z69),)*Index!Y$48</f>
        <v>0</v>
      </c>
      <c r="AA70" s="920">
        <f ca="1">MAX(SUM(AA68:AA69),)*Index!Z$48</f>
        <v>0</v>
      </c>
      <c r="AB70" s="920">
        <f ca="1">MAX(SUM(AB68:AB69),)*Index!AA$48</f>
        <v>0</v>
      </c>
      <c r="AC70" s="920">
        <f ca="1">MAX(SUM(AC68:AC69),)*Index!AB$48</f>
        <v>0</v>
      </c>
      <c r="AD70" s="920">
        <f ca="1">MAX(SUM(AD68:AD69),)*Index!AC$48</f>
        <v>0</v>
      </c>
      <c r="AE70" s="920">
        <f ca="1">MAX(SUM(AE68:AE69),)*Index!AD$48</f>
        <v>1160308.7775758759</v>
      </c>
      <c r="AF70" s="920">
        <f ca="1">MAX(SUM(AF68:AF69),)*Index!AE$48</f>
        <v>0</v>
      </c>
      <c r="AG70" s="920">
        <f ca="1">MAX(SUM(AG68:AG69),)*Index!AF$48</f>
        <v>0</v>
      </c>
      <c r="AH70" s="920">
        <f ca="1">MAX(SUM(AH68:AH69),)*Index!AG$48</f>
        <v>0</v>
      </c>
      <c r="AI70" s="920">
        <f ca="1">MAX(SUM(AI68:AI69),)*Index!AH$48</f>
        <v>0</v>
      </c>
      <c r="AJ70" s="920">
        <f ca="1">MAX(SUM(AJ68:AJ69),)*Index!AI$48</f>
        <v>0</v>
      </c>
      <c r="AK70" s="920">
        <f ca="1">MAX(SUM(AK68:AK69),)*Index!AJ$48</f>
        <v>1578975.767417802</v>
      </c>
      <c r="AL70" s="920">
        <f ca="1">MAX(SUM(AL68:AL69),)*Index!AK$48</f>
        <v>0</v>
      </c>
      <c r="AM70" s="920">
        <f ca="1">MAX(SUM(AM68:AM69),)*Index!AL$48</f>
        <v>0</v>
      </c>
      <c r="AN70" s="920">
        <f ca="1">MAX(SUM(AN68:AN69),)*Index!AM$48</f>
        <v>0</v>
      </c>
      <c r="AO70" s="920">
        <f ca="1">MAX(SUM(AO68:AO69),)*Index!AN$48</f>
        <v>0</v>
      </c>
      <c r="AP70" s="920">
        <f ca="1">MAX(SUM(AP68:AP69),)*Index!AO$48</f>
        <v>0</v>
      </c>
      <c r="AQ70" s="920">
        <f ca="1">MAX(SUM(AQ68:AQ69),)*Index!AP$48</f>
        <v>1520467.5732215717</v>
      </c>
      <c r="AR70" s="920">
        <f ca="1">MAX(SUM(AR68:AR69),)*Index!AQ$48</f>
        <v>0</v>
      </c>
      <c r="AS70" s="920">
        <f ca="1">MAX(SUM(AS68:AS69),)*Index!AR$48</f>
        <v>0</v>
      </c>
      <c r="AT70" s="920">
        <f ca="1">MAX(SUM(AT68:AT69),)*Index!AS$48</f>
        <v>0</v>
      </c>
      <c r="AU70" s="920">
        <f ca="1">MAX(SUM(AU68:AU69),)*Index!AT$48</f>
        <v>0</v>
      </c>
      <c r="AV70" s="920">
        <f ca="1">MAX(SUM(AV68:AV69),)*Index!AU$48</f>
        <v>0</v>
      </c>
      <c r="AW70" s="920">
        <f ca="1">MAX(SUM(AW68:AW69),)*Index!AV$48</f>
        <v>0</v>
      </c>
      <c r="AX70" s="920">
        <f ca="1">MAX(SUM(AX68:AX69),)*Index!AW$48</f>
        <v>0</v>
      </c>
      <c r="AY70" s="920">
        <f ca="1">MAX(SUM(AY68:AY69),)*Index!AX$48</f>
        <v>0</v>
      </c>
      <c r="AZ70" s="920">
        <f ca="1">MAX(SUM(AZ68:AZ69),)*Index!AY$48</f>
        <v>0</v>
      </c>
      <c r="BA70" s="920">
        <f ca="1">MAX(SUM(BA68:BA69),)*Index!AZ$48</f>
        <v>0</v>
      </c>
      <c r="BB70" s="920">
        <f ca="1">MAX(SUM(BB68:BB69),)*Index!BA$48</f>
        <v>0</v>
      </c>
      <c r="BC70" s="920">
        <f ca="1">MAX(SUM(BC68:BC69),)*Index!BB$48</f>
        <v>0</v>
      </c>
      <c r="BD70" s="920">
        <f ca="1">MAX(SUM(BD68:BD69),)*Index!BC$48</f>
        <v>0</v>
      </c>
      <c r="BE70" s="920">
        <f ca="1">MAX(SUM(BE68:BE69),)*Index!BD$48</f>
        <v>0</v>
      </c>
      <c r="BF70" s="920">
        <f ca="1">MAX(SUM(BF68:BF69),)*Index!BE$48</f>
        <v>0</v>
      </c>
      <c r="BG70" s="920">
        <f ca="1">MAX(SUM(BG68:BG69),)*Index!BF$48</f>
        <v>0</v>
      </c>
      <c r="BH70" s="920">
        <f ca="1">MAX(SUM(BH68:BH69),)*Index!BG$48</f>
        <v>0</v>
      </c>
      <c r="BI70" s="920">
        <f ca="1">MAX(SUM(BI68:BI69),)*Index!BH$48</f>
        <v>711921.39496518148</v>
      </c>
      <c r="BJ70" s="920">
        <f ca="1">MAX(SUM(BJ68:BJ69),)*Index!BI$48</f>
        <v>0</v>
      </c>
      <c r="BK70" s="920">
        <f ca="1">MAX(SUM(BK68:BK69),)*Index!BJ$48</f>
        <v>0</v>
      </c>
      <c r="BL70" s="920">
        <f ca="1">MAX(SUM(BL68:BL69),)*Index!BK$48</f>
        <v>0</v>
      </c>
      <c r="BM70" s="920">
        <f ca="1">MAX(SUM(BM68:BM69),)*Index!BL$48</f>
        <v>0</v>
      </c>
      <c r="BN70" s="920">
        <f ca="1">MAX(SUM(BN68:BN69),)*Index!BM$48</f>
        <v>0</v>
      </c>
      <c r="BO70" s="920">
        <f ca="1">MAX(SUM(BO68:BO69),)*Index!BN$48</f>
        <v>2218335.2526325621</v>
      </c>
      <c r="BP70" s="920">
        <f ca="1">MAX(SUM(BP68:BP69),)*Index!BO$48</f>
        <v>0</v>
      </c>
      <c r="BQ70" s="920">
        <f ca="1">MAX(SUM(BQ68:BQ69),)*Index!BP$48</f>
        <v>0</v>
      </c>
      <c r="BR70" s="920">
        <f ca="1">MAX(SUM(BR68:BR69),)*Index!BQ$48</f>
        <v>0</v>
      </c>
      <c r="BS70" s="920">
        <f ca="1">MAX(SUM(BS68:BS69),)*Index!BR$48</f>
        <v>0</v>
      </c>
      <c r="BT70" s="920">
        <f ca="1">MAX(SUM(BT68:BT69),)*Index!BS$48</f>
        <v>0</v>
      </c>
      <c r="BU70" s="920">
        <f ca="1">MAX(SUM(BU68:BU69),)*Index!BT$48</f>
        <v>2446845.7832258944</v>
      </c>
      <c r="BV70" s="920">
        <f ca="1">MAX(SUM(BV68:BV69),)*Index!BU$48</f>
        <v>0</v>
      </c>
      <c r="BW70" s="920">
        <f ca="1">MAX(SUM(BW68:BW69),)*Index!BV$48</f>
        <v>0</v>
      </c>
      <c r="BX70" s="920">
        <f ca="1">MAX(SUM(BX68:BX69),)*Index!BW$48</f>
        <v>0</v>
      </c>
      <c r="BY70" s="920">
        <f ca="1">MAX(SUM(BY68:BY69),)*Index!BX$48</f>
        <v>0</v>
      </c>
      <c r="BZ70" s="920">
        <f ca="1">MAX(SUM(BZ68:BZ69),)*Index!BY$48</f>
        <v>0</v>
      </c>
      <c r="CA70" s="920">
        <f ca="1">MAX(SUM(CA68:CA69),)*Index!BZ$48</f>
        <v>2753511.745924803</v>
      </c>
      <c r="CB70" s="920">
        <f ca="1">MAX(SUM(CB68:CB69),)*Index!CA$48</f>
        <v>0</v>
      </c>
      <c r="CC70" s="920">
        <f ca="1">MAX(SUM(CC68:CC69),)*Index!CB$48</f>
        <v>0</v>
      </c>
      <c r="CD70" s="920">
        <f ca="1">MAX(SUM(CD68:CD69),)*Index!CC$48</f>
        <v>0</v>
      </c>
      <c r="CE70" s="920">
        <f ca="1">MAX(SUM(CE68:CE69),)*Index!CD$48</f>
        <v>0</v>
      </c>
      <c r="CF70" s="920">
        <f ca="1">MAX(SUM(CF68:CF69),)*Index!CE$48</f>
        <v>0</v>
      </c>
      <c r="CG70" s="920">
        <f ca="1">MAX(SUM(CG68:CG69),)*Index!CF$48</f>
        <v>2987735.0397829702</v>
      </c>
      <c r="CH70" s="920">
        <f ca="1">MAX(SUM(CH68:CH69),)*Index!CG$48</f>
        <v>0</v>
      </c>
      <c r="CI70" s="920">
        <f ca="1">MAX(SUM(CI68:CI69),)*Index!CH$48</f>
        <v>0</v>
      </c>
      <c r="CJ70" s="920">
        <f ca="1">MAX(SUM(CJ68:CJ69),)*Index!CI$48</f>
        <v>0</v>
      </c>
      <c r="CK70" s="920">
        <f ca="1">MAX(SUM(CK68:CK69),)*Index!CJ$48</f>
        <v>0</v>
      </c>
      <c r="CL70" s="920">
        <f ca="1">MAX(SUM(CL68:CL69),)*Index!CK$48</f>
        <v>0</v>
      </c>
      <c r="CM70" s="920">
        <f ca="1">MAX(SUM(CM68:CM69),)*Index!CL$48</f>
        <v>2974225.0160240461</v>
      </c>
      <c r="CN70" s="920">
        <f ca="1">MAX(SUM(CN68:CN69),)*Index!CM$48</f>
        <v>0</v>
      </c>
      <c r="CO70" s="920">
        <f ca="1">MAX(SUM(CO68:CO69),)*Index!CN$48</f>
        <v>0</v>
      </c>
      <c r="CP70" s="920">
        <f ca="1">MAX(SUM(CP68:CP69),)*Index!CO$48</f>
        <v>0</v>
      </c>
      <c r="CQ70" s="920">
        <f ca="1">MAX(SUM(CQ68:CQ69),)*Index!CP$48</f>
        <v>0</v>
      </c>
      <c r="CR70" s="920">
        <f ca="1">MAX(SUM(CR68:CR69),)*Index!CQ$48</f>
        <v>0</v>
      </c>
      <c r="CS70" s="920">
        <f ca="1">MAX(SUM(CS68:CS69),)*Index!CR$48</f>
        <v>3214303.8922286662</v>
      </c>
      <c r="CT70" s="920">
        <f ca="1">MAX(SUM(CT68:CT69),)*Index!CS$48</f>
        <v>0</v>
      </c>
      <c r="CU70" s="920">
        <f ca="1">MAX(SUM(CU68:CU69),)*Index!CT$48</f>
        <v>0</v>
      </c>
      <c r="CV70" s="920">
        <f ca="1">MAX(SUM(CV68:CV69),)*Index!CU$48</f>
        <v>0</v>
      </c>
      <c r="CW70" s="920">
        <f ca="1">MAX(SUM(CW68:CW69),)*Index!CV$48</f>
        <v>0</v>
      </c>
      <c r="CX70" s="920">
        <f ca="1">MAX(SUM(CX68:CX69),)*Index!CW$48</f>
        <v>0</v>
      </c>
      <c r="CY70" s="920">
        <f ca="1">MAX(SUM(CY68:CY69),)*Index!CX$48</f>
        <v>3200110.0758641767</v>
      </c>
      <c r="CZ70" s="920">
        <f ca="1">MAX(SUM(CZ68:CZ69),)*Index!CY$48</f>
        <v>0</v>
      </c>
      <c r="DA70" s="920">
        <f ca="1">MAX(SUM(DA68:DA69),)*Index!CZ$48</f>
        <v>0</v>
      </c>
      <c r="DB70" s="920">
        <f ca="1">MAX(SUM(DB68:DB69),)*Index!DA$48</f>
        <v>0</v>
      </c>
      <c r="DC70" s="920">
        <f ca="1">MAX(SUM(DC68:DC69),)*Index!DB$48</f>
        <v>0</v>
      </c>
      <c r="DD70" s="920">
        <f ca="1">MAX(SUM(DD68:DD69),)*Index!DC$48</f>
        <v>0</v>
      </c>
      <c r="DE70" s="920">
        <f ca="1">MAX(SUM(DE68:DE69),)*Index!DD$48</f>
        <v>2547702.6972966138</v>
      </c>
      <c r="DF70" s="920">
        <f ca="1">MAX(SUM(DF68:DF69),)*Index!DE$48</f>
        <v>0</v>
      </c>
      <c r="DG70" s="920">
        <f ca="1">MAX(SUM(DG68:DG69),)*Index!DF$48</f>
        <v>0</v>
      </c>
      <c r="DH70" s="920">
        <f ca="1">MAX(SUM(DH68:DH69),)*Index!DG$48</f>
        <v>0</v>
      </c>
      <c r="DI70" s="920">
        <f ca="1">MAX(SUM(DI68:DI69),)*Index!DH$48</f>
        <v>0</v>
      </c>
      <c r="DJ70" s="920">
        <f ca="1">MAX(SUM(DJ68:DJ69),)*Index!DI$48</f>
        <v>0</v>
      </c>
      <c r="DK70" s="920">
        <f ca="1">MAX(SUM(DK68:DK69),)*Index!DJ$48</f>
        <v>3244047.9855807289</v>
      </c>
      <c r="DL70" s="920">
        <f ca="1">MAX(SUM(DL68:DL69),)*Index!DK$48</f>
        <v>0</v>
      </c>
      <c r="DM70" s="920">
        <f ca="1">MAX(SUM(DM68:DM69),)*Index!DL$48</f>
        <v>0</v>
      </c>
      <c r="DN70" s="920">
        <f ca="1">MAX(SUM(DN68:DN69),)*Index!DM$48</f>
        <v>0</v>
      </c>
      <c r="DO70" s="920">
        <f ca="1">MAX(SUM(DO68:DO69),)*Index!DN$48</f>
        <v>0</v>
      </c>
      <c r="DP70" s="920">
        <f ca="1">MAX(SUM(DP68:DP69),)*Index!DO$48</f>
        <v>0</v>
      </c>
      <c r="DQ70" s="920">
        <f ca="1">MAX(SUM(DQ68:DQ69),)*Index!DP$48</f>
        <v>3459376.3884551078</v>
      </c>
      <c r="DR70" s="920">
        <f ca="1">MAX(SUM(DR68:DR69),)*Index!DQ$48</f>
        <v>0</v>
      </c>
      <c r="DS70" s="920">
        <f ca="1">MAX(SUM(DS68:DS69),)*Index!DR$48</f>
        <v>0</v>
      </c>
      <c r="DT70" s="920">
        <f ca="1">MAX(SUM(DT68:DT69),)*Index!DS$48</f>
        <v>0</v>
      </c>
      <c r="DU70" s="920">
        <f ca="1">MAX(SUM(DU68:DU69),)*Index!DT$48</f>
        <v>0</v>
      </c>
      <c r="DV70" s="920">
        <f ca="1">MAX(SUM(DV68:DV69),)*Index!DU$48</f>
        <v>0</v>
      </c>
      <c r="DW70" s="920">
        <f ca="1">MAX(SUM(DW68:DW69),)*Index!DV$48</f>
        <v>3570852.9526719525</v>
      </c>
      <c r="DX70" s="920">
        <f ca="1">MAX(SUM(DX68:DX69),)*Index!DW$48</f>
        <v>0</v>
      </c>
      <c r="DY70" s="920">
        <f ca="1">MAX(SUM(DY68:DY69),)*Index!DX$48</f>
        <v>0</v>
      </c>
      <c r="DZ70" s="920">
        <f ca="1">MAX(SUM(DZ68:DZ69),)*Index!DY$48</f>
        <v>0</v>
      </c>
      <c r="EA70" s="920">
        <f ca="1">MAX(SUM(EA68:EA69),)*Index!DZ$48</f>
        <v>0</v>
      </c>
      <c r="EB70" s="920">
        <f ca="1">MAX(SUM(EB68:EB69),)*Index!EA$48</f>
        <v>0</v>
      </c>
      <c r="EC70" s="920">
        <f ca="1">MAX(SUM(EC68:EC69),)*Index!EB$48</f>
        <v>3697372.6921172934</v>
      </c>
      <c r="ED70" s="920">
        <f ca="1">MAX(SUM(ED68:ED69),)*Index!EC$48</f>
        <v>0</v>
      </c>
      <c r="EE70" s="920">
        <f ca="1">MAX(SUM(EE68:EE69),)*Index!ED$48</f>
        <v>0</v>
      </c>
      <c r="EF70" s="920">
        <f ca="1">MAX(SUM(EF68:EF69),)*Index!EE$48</f>
        <v>0</v>
      </c>
      <c r="EG70" s="920">
        <f ca="1">MAX(SUM(EG68:EG69),)*Index!EF$48</f>
        <v>0</v>
      </c>
      <c r="EH70" s="920">
        <f ca="1">MAX(SUM(EH68:EH69),)*Index!EG$48</f>
        <v>0</v>
      </c>
      <c r="EI70" s="920">
        <f ca="1">MAX(SUM(EI68:EI69),)*Index!EH$48</f>
        <v>0</v>
      </c>
      <c r="EJ70" s="920">
        <f ca="1">MAX(SUM(EJ68:EJ69),)*Index!EI$48</f>
        <v>0</v>
      </c>
      <c r="EK70" s="920">
        <f ca="1">MAX(SUM(EK68:EK69),)*Index!EJ$48</f>
        <v>0</v>
      </c>
      <c r="EL70" s="920">
        <f ca="1">MAX(SUM(EL68:EL69),)*Index!EK$48</f>
        <v>0</v>
      </c>
      <c r="EM70" s="920">
        <f ca="1">MAX(SUM(EM68:EM69),)*Index!EL$48</f>
        <v>0</v>
      </c>
      <c r="EN70" s="920">
        <f ca="1">MAX(SUM(EN68:EN69),)*Index!EM$48</f>
        <v>0</v>
      </c>
      <c r="EO70" s="920">
        <f ca="1">MAX(SUM(EO68:EO69),)*Index!EN$48</f>
        <v>0</v>
      </c>
      <c r="EP70" s="920">
        <f ca="1">MAX(SUM(EP68:EP69),)*Index!EO$48</f>
        <v>0</v>
      </c>
      <c r="EQ70" s="920">
        <f ca="1">MAX(SUM(EQ68:EQ69),)*Index!EP$48</f>
        <v>0</v>
      </c>
      <c r="ER70" s="920">
        <f ca="1">MAX(SUM(ER68:ER69),)*Index!EQ$48</f>
        <v>0</v>
      </c>
    </row>
    <row r="71" spans="2:148" ht="11.25" customHeight="1">
      <c r="B71" s="218"/>
      <c r="C71" s="911" t="s">
        <v>220</v>
      </c>
      <c r="D71" s="912"/>
      <c r="E71" s="912"/>
      <c r="F71" s="912"/>
      <c r="G71" s="912"/>
      <c r="H71" s="912"/>
      <c r="I71" s="913"/>
      <c r="J71" s="914"/>
      <c r="K71" s="918"/>
      <c r="L71" s="98"/>
      <c r="M71" s="171">
        <f>M68+M69-M70</f>
        <v>0</v>
      </c>
      <c r="N71" s="171">
        <f t="shared" ref="N71:BY71" ca="1" si="70">N68+N69-N70</f>
        <v>157817.58148785285</v>
      </c>
      <c r="O71" s="171">
        <f t="shared" ca="1" si="70"/>
        <v>324860.40350695595</v>
      </c>
      <c r="P71" s="171">
        <f t="shared" ca="1" si="70"/>
        <v>301193.21485105925</v>
      </c>
      <c r="Q71" s="171">
        <f t="shared" ca="1" si="70"/>
        <v>421281.27892450104</v>
      </c>
      <c r="R71" s="171">
        <f t="shared" ca="1" si="70"/>
        <v>610245.37624794291</v>
      </c>
      <c r="S71" s="171">
        <f t="shared" ca="1" si="70"/>
        <v>0</v>
      </c>
      <c r="T71" s="171">
        <f t="shared" ca="1" si="70"/>
        <v>93091.054987191921</v>
      </c>
      <c r="U71" s="171">
        <f t="shared" ca="1" si="70"/>
        <v>358150.30109938397</v>
      </c>
      <c r="V71" s="171">
        <f t="shared" ca="1" si="70"/>
        <v>623754.50639907597</v>
      </c>
      <c r="W71" s="171">
        <f t="shared" ca="1" si="70"/>
        <v>889903.67088626791</v>
      </c>
      <c r="X71" s="171">
        <f t="shared" ca="1" si="70"/>
        <v>1156052.8353734598</v>
      </c>
      <c r="Y71" s="171">
        <f t="shared" ca="1" si="70"/>
        <v>0</v>
      </c>
      <c r="Z71" s="171">
        <f t="shared" ca="1" si="70"/>
        <v>245970.76761292911</v>
      </c>
      <c r="AA71" s="171">
        <f t="shared" ca="1" si="70"/>
        <v>490252.20252038934</v>
      </c>
      <c r="AB71" s="171">
        <f t="shared" ca="1" si="70"/>
        <v>539055.87648597464</v>
      </c>
      <c r="AC71" s="171">
        <f t="shared" ca="1" si="70"/>
        <v>685790.86060677515</v>
      </c>
      <c r="AD71" s="171">
        <f t="shared" ca="1" si="70"/>
        <v>903123.77880882553</v>
      </c>
      <c r="AE71" s="171">
        <f t="shared" ca="1" si="70"/>
        <v>0</v>
      </c>
      <c r="AF71" s="171">
        <f t="shared" ca="1" si="70"/>
        <v>119063.04980739404</v>
      </c>
      <c r="AG71" s="171">
        <f t="shared" ca="1" si="70"/>
        <v>414393.49551791302</v>
      </c>
      <c r="AH71" s="171">
        <f t="shared" ca="1" si="70"/>
        <v>710282.52439561964</v>
      </c>
      <c r="AI71" s="171">
        <f t="shared" ca="1" si="70"/>
        <v>1006730.1364405137</v>
      </c>
      <c r="AJ71" s="171">
        <f t="shared" ca="1" si="70"/>
        <v>1303177.7484854078</v>
      </c>
      <c r="AK71" s="171">
        <f t="shared" ca="1" si="70"/>
        <v>0</v>
      </c>
      <c r="AL71" s="171">
        <f t="shared" ca="1" si="70"/>
        <v>271015.546365396</v>
      </c>
      <c r="AM71" s="171">
        <f t="shared" ca="1" si="70"/>
        <v>519649.93359518657</v>
      </c>
      <c r="AN71" s="171">
        <f t="shared" ca="1" si="70"/>
        <v>744198.64218143013</v>
      </c>
      <c r="AO71" s="171">
        <f t="shared" ca="1" si="70"/>
        <v>1037594.8754289565</v>
      </c>
      <c r="AP71" s="171">
        <f t="shared" ca="1" si="70"/>
        <v>1258607.0330357016</v>
      </c>
      <c r="AQ71" s="171">
        <f t="shared" ca="1" si="70"/>
        <v>0</v>
      </c>
      <c r="AR71" s="171">
        <f t="shared" ca="1" si="70"/>
        <v>302104.7187956596</v>
      </c>
      <c r="AS71" s="171">
        <f t="shared" ca="1" si="70"/>
        <v>-458848.87644503487</v>
      </c>
      <c r="AT71" s="171">
        <f t="shared" ca="1" si="70"/>
        <v>-1192862.0858473247</v>
      </c>
      <c r="AU71" s="171">
        <f t="shared" ca="1" si="70"/>
        <v>-1991364.6330731157</v>
      </c>
      <c r="AV71" s="171">
        <f t="shared" ca="1" si="70"/>
        <v>-2721468.7877767375</v>
      </c>
      <c r="AW71" s="171">
        <f t="shared" ca="1" si="70"/>
        <v>-3472738.7754206718</v>
      </c>
      <c r="AX71" s="171">
        <f t="shared" ca="1" si="70"/>
        <v>-3141094.7773273038</v>
      </c>
      <c r="AY71" s="171">
        <f t="shared" ca="1" si="70"/>
        <v>-2803335.2073285808</v>
      </c>
      <c r="AZ71" s="171">
        <f t="shared" ca="1" si="70"/>
        <v>-2467360.0385524393</v>
      </c>
      <c r="BA71" s="171">
        <f t="shared" ca="1" si="70"/>
        <v>-2133844.2554010558</v>
      </c>
      <c r="BB71" s="171">
        <f t="shared" ca="1" si="70"/>
        <v>-1846867.346238168</v>
      </c>
      <c r="BC71" s="171">
        <f t="shared" ca="1" si="70"/>
        <v>-1518020.844931677</v>
      </c>
      <c r="BD71" s="171">
        <f t="shared" ca="1" si="70"/>
        <v>-1148539.2277929592</v>
      </c>
      <c r="BE71" s="171">
        <f t="shared" ca="1" si="70"/>
        <v>-778499.05501699622</v>
      </c>
      <c r="BF71" s="171">
        <f t="shared" ca="1" si="70"/>
        <v>-408458.88224103325</v>
      </c>
      <c r="BG71" s="171">
        <f t="shared" ca="1" si="70"/>
        <v>-34998.789838961675</v>
      </c>
      <c r="BH71" s="171">
        <f t="shared" ca="1" si="70"/>
        <v>338461.3025631099</v>
      </c>
      <c r="BI71" s="171">
        <f t="shared" ca="1" si="70"/>
        <v>0</v>
      </c>
      <c r="BJ71" s="171">
        <f t="shared" ca="1" si="70"/>
        <v>373228.61562118342</v>
      </c>
      <c r="BK71" s="171">
        <f t="shared" ca="1" si="70"/>
        <v>752655.61962155323</v>
      </c>
      <c r="BL71" s="171">
        <f t="shared" ca="1" si="70"/>
        <v>1136795.0064543611</v>
      </c>
      <c r="BM71" s="171">
        <f t="shared" ca="1" si="70"/>
        <v>1533701.990844761</v>
      </c>
      <c r="BN71" s="171">
        <f t="shared" ca="1" si="70"/>
        <v>1854560.4557650648</v>
      </c>
      <c r="BO71" s="171">
        <f t="shared" ca="1" si="70"/>
        <v>0</v>
      </c>
      <c r="BP71" s="171">
        <f t="shared" ca="1" si="70"/>
        <v>406054.92172926839</v>
      </c>
      <c r="BQ71" s="171">
        <f t="shared" ca="1" si="70"/>
        <v>812109.84345853678</v>
      </c>
      <c r="BR71" s="171">
        <f t="shared" ca="1" si="70"/>
        <v>1218164.7651878051</v>
      </c>
      <c r="BS71" s="171">
        <f t="shared" ca="1" si="70"/>
        <v>1627725.1045338348</v>
      </c>
      <c r="BT71" s="171">
        <f t="shared" ca="1" si="70"/>
        <v>2037285.4438798646</v>
      </c>
      <c r="BU71" s="171">
        <f t="shared" ca="1" si="70"/>
        <v>0</v>
      </c>
      <c r="BV71" s="171">
        <f t="shared" ca="1" si="70"/>
        <v>462512.34967445058</v>
      </c>
      <c r="BW71" s="171">
        <f t="shared" ca="1" si="70"/>
        <v>931378.0474375675</v>
      </c>
      <c r="BX71" s="171">
        <f t="shared" ca="1" si="70"/>
        <v>1405073.9376039337</v>
      </c>
      <c r="BY71" s="171">
        <f t="shared" ca="1" si="70"/>
        <v>1891856.6152668311</v>
      </c>
      <c r="BZ71" s="171">
        <f t="shared" ref="BZ71:DT71" ca="1" si="71">BZ68+BZ69-BZ70</f>
        <v>2300689.5604728805</v>
      </c>
      <c r="CA71" s="171">
        <f t="shared" ca="1" si="71"/>
        <v>0</v>
      </c>
      <c r="CB71" s="171">
        <f t="shared" ca="1" si="71"/>
        <v>496159.3134352382</v>
      </c>
      <c r="CC71" s="171">
        <f t="shared" ca="1" si="71"/>
        <v>992318.62687047641</v>
      </c>
      <c r="CD71" s="171">
        <f t="shared" ca="1" si="71"/>
        <v>1488477.9403057145</v>
      </c>
      <c r="CE71" s="171">
        <f t="shared" ca="1" si="71"/>
        <v>1988230.3067981331</v>
      </c>
      <c r="CF71" s="171">
        <f t="shared" ca="1" si="71"/>
        <v>2487982.6732905516</v>
      </c>
      <c r="CG71" s="171">
        <f t="shared" ca="1" si="71"/>
        <v>0</v>
      </c>
      <c r="CH71" s="171">
        <f t="shared" ca="1" si="71"/>
        <v>499387.73782483244</v>
      </c>
      <c r="CI71" s="171">
        <f t="shared" ca="1" si="71"/>
        <v>1005287.6574405476</v>
      </c>
      <c r="CJ71" s="171">
        <f t="shared" ca="1" si="71"/>
        <v>1516138.5242695934</v>
      </c>
      <c r="CK71" s="171">
        <f t="shared" ca="1" si="71"/>
        <v>2040403.348282584</v>
      </c>
      <c r="CL71" s="171">
        <f t="shared" ca="1" si="71"/>
        <v>2484769.6965273051</v>
      </c>
      <c r="CM71" s="171">
        <f t="shared" ca="1" si="71"/>
        <v>0</v>
      </c>
      <c r="CN71" s="171">
        <f t="shared" ca="1" si="71"/>
        <v>533875.87567963952</v>
      </c>
      <c r="CO71" s="171">
        <f t="shared" ca="1" si="71"/>
        <v>1067751.751359279</v>
      </c>
      <c r="CP71" s="171">
        <f t="shared" ca="1" si="71"/>
        <v>1601627.6270389184</v>
      </c>
      <c r="CQ71" s="171">
        <f t="shared" ca="1" si="71"/>
        <v>2139186.3821021677</v>
      </c>
      <c r="CR71" s="171">
        <f t="shared" ca="1" si="71"/>
        <v>2676745.137165417</v>
      </c>
      <c r="CS71" s="171">
        <f t="shared" ca="1" si="71"/>
        <v>0</v>
      </c>
      <c r="CT71" s="171">
        <f t="shared" ca="1" si="71"/>
        <v>537127.33701037476</v>
      </c>
      <c r="CU71" s="171">
        <f t="shared" ca="1" si="71"/>
        <v>1080929.6603564047</v>
      </c>
      <c r="CV71" s="171">
        <f t="shared" ca="1" si="71"/>
        <v>1629806.7045960985</v>
      </c>
      <c r="CW71" s="171">
        <f t="shared" ca="1" si="71"/>
        <v>2192433.0549493353</v>
      </c>
      <c r="CX71" s="171">
        <f t="shared" ca="1" si="71"/>
        <v>2673163.4676400959</v>
      </c>
      <c r="CY71" s="171">
        <f t="shared" ca="1" si="71"/>
        <v>0</v>
      </c>
      <c r="CZ71" s="171">
        <f t="shared" ca="1" si="71"/>
        <v>-64499.084280019393</v>
      </c>
      <c r="DA71" s="171">
        <f t="shared" ca="1" si="71"/>
        <v>471153.60182400723</v>
      </c>
      <c r="DB71" s="171">
        <f t="shared" ca="1" si="71"/>
        <v>1006806.2879280339</v>
      </c>
      <c r="DC71" s="171">
        <f t="shared" ca="1" si="71"/>
        <v>1468847.4223521613</v>
      </c>
      <c r="DD71" s="171">
        <f t="shared" ca="1" si="71"/>
        <v>2008275.0598243875</v>
      </c>
      <c r="DE71" s="171">
        <f t="shared" ca="1" si="71"/>
        <v>0</v>
      </c>
      <c r="DF71" s="171">
        <f t="shared" ca="1" si="71"/>
        <v>539012.72818903159</v>
      </c>
      <c r="DG71" s="171">
        <f t="shared" ca="1" si="71"/>
        <v>1084675.1905196868</v>
      </c>
      <c r="DH71" s="171">
        <f t="shared" ca="1" si="71"/>
        <v>1617796.9790483313</v>
      </c>
      <c r="DI71" s="171">
        <f t="shared" ca="1" si="71"/>
        <v>2140431.6826347737</v>
      </c>
      <c r="DJ71" s="171">
        <f t="shared" ca="1" si="71"/>
        <v>2705283.3863866273</v>
      </c>
      <c r="DK71" s="171">
        <f t="shared" ca="1" si="71"/>
        <v>0</v>
      </c>
      <c r="DL71" s="171">
        <f t="shared" ca="1" si="71"/>
        <v>574101.44013686944</v>
      </c>
      <c r="DM71" s="171">
        <f t="shared" ca="1" si="71"/>
        <v>1148834.8347090743</v>
      </c>
      <c r="DN71" s="171">
        <f t="shared" ca="1" si="71"/>
        <v>1723568.2292812793</v>
      </c>
      <c r="DO71" s="171">
        <f t="shared" ca="1" si="71"/>
        <v>2302170.9490058888</v>
      </c>
      <c r="DP71" s="171">
        <f t="shared" ca="1" si="71"/>
        <v>2880773.6687304983</v>
      </c>
      <c r="DQ71" s="171">
        <f t="shared" ca="1" si="71"/>
        <v>0</v>
      </c>
      <c r="DR71" s="171">
        <f t="shared" ca="1" si="71"/>
        <v>578122.73406297155</v>
      </c>
      <c r="DS71" s="171">
        <f t="shared" ca="1" si="71"/>
        <v>1163061.4456211072</v>
      </c>
      <c r="DT71" s="171">
        <f t="shared" ca="1" si="71"/>
        <v>1753170.0818282661</v>
      </c>
      <c r="DU71" s="171">
        <f t="shared" ref="DU71:ER71" ca="1" si="72">DU68+DU69-DU70</f>
        <v>2357287.1016163463</v>
      </c>
      <c r="DV71" s="171">
        <f t="shared" ca="1" si="72"/>
        <v>2961404.1214044262</v>
      </c>
      <c r="DW71" s="171">
        <f t="shared" ca="1" si="72"/>
        <v>0</v>
      </c>
      <c r="DX71" s="171">
        <f t="shared" ca="1" si="72"/>
        <v>614245.7528789402</v>
      </c>
      <c r="DY71" s="171">
        <f t="shared" ca="1" si="72"/>
        <v>1228491.5057578804</v>
      </c>
      <c r="DZ71" s="171">
        <f t="shared" ca="1" si="72"/>
        <v>1842737.2586368206</v>
      </c>
      <c r="EA71" s="171">
        <f t="shared" ca="1" si="72"/>
        <v>2460949.0697969757</v>
      </c>
      <c r="EB71" s="171">
        <f t="shared" ca="1" si="72"/>
        <v>3079160.8809571313</v>
      </c>
      <c r="EC71" s="171">
        <f t="shared" ca="1" si="72"/>
        <v>0</v>
      </c>
      <c r="ED71" s="171">
        <f t="shared" ca="1" si="72"/>
        <v>0</v>
      </c>
      <c r="EE71" s="171">
        <f t="shared" ca="1" si="72"/>
        <v>0</v>
      </c>
      <c r="EF71" s="171">
        <f t="shared" ca="1" si="72"/>
        <v>0</v>
      </c>
      <c r="EG71" s="171">
        <f t="shared" ca="1" si="72"/>
        <v>0</v>
      </c>
      <c r="EH71" s="171">
        <f t="shared" ca="1" si="72"/>
        <v>0</v>
      </c>
      <c r="EI71" s="171">
        <f t="shared" ca="1" si="72"/>
        <v>0</v>
      </c>
      <c r="EJ71" s="171">
        <f t="shared" ca="1" si="72"/>
        <v>0</v>
      </c>
      <c r="EK71" s="171">
        <f t="shared" ca="1" si="72"/>
        <v>0</v>
      </c>
      <c r="EL71" s="171">
        <f t="shared" ca="1" si="72"/>
        <v>0</v>
      </c>
      <c r="EM71" s="171">
        <f t="shared" ca="1" si="72"/>
        <v>0</v>
      </c>
      <c r="EN71" s="171">
        <f t="shared" ca="1" si="72"/>
        <v>0</v>
      </c>
      <c r="EO71" s="171">
        <f t="shared" ca="1" si="72"/>
        <v>0</v>
      </c>
      <c r="EP71" s="171">
        <f t="shared" ca="1" si="72"/>
        <v>0</v>
      </c>
      <c r="EQ71" s="171">
        <f t="shared" ca="1" si="72"/>
        <v>0</v>
      </c>
      <c r="ER71" s="171">
        <f t="shared" ca="1" si="72"/>
        <v>0</v>
      </c>
    </row>
    <row r="72" spans="2:148" ht="11.25" customHeight="1">
      <c r="B72" s="875" t="s">
        <v>1093</v>
      </c>
      <c r="C72" s="876"/>
      <c r="D72" s="876"/>
      <c r="E72" s="876"/>
      <c r="F72" s="876"/>
      <c r="G72" s="876"/>
      <c r="H72" s="876"/>
      <c r="I72" s="877"/>
      <c r="J72" s="878"/>
      <c r="K72" s="919"/>
      <c r="M72" s="897"/>
      <c r="N72" s="897"/>
      <c r="O72" s="897"/>
      <c r="P72" s="897"/>
      <c r="Q72" s="897"/>
      <c r="R72" s="897"/>
      <c r="S72" s="897"/>
      <c r="T72" s="897"/>
      <c r="U72" s="897"/>
      <c r="V72" s="897"/>
      <c r="W72" s="897"/>
      <c r="X72" s="897"/>
      <c r="Y72" s="897"/>
      <c r="Z72" s="897"/>
      <c r="AA72" s="897"/>
      <c r="AB72" s="897"/>
      <c r="AC72" s="897"/>
      <c r="AD72" s="897"/>
      <c r="AE72" s="897"/>
      <c r="AF72" s="897"/>
      <c r="AG72" s="897"/>
      <c r="AH72" s="897"/>
      <c r="AI72" s="897"/>
      <c r="AJ72" s="897"/>
      <c r="AK72" s="897"/>
      <c r="AL72" s="897"/>
      <c r="AM72" s="897"/>
      <c r="AN72" s="897"/>
      <c r="AO72" s="897"/>
      <c r="AP72" s="897"/>
      <c r="AQ72" s="897"/>
      <c r="AR72" s="897"/>
      <c r="AS72" s="897"/>
      <c r="AT72" s="897"/>
      <c r="AU72" s="897"/>
      <c r="AV72" s="897"/>
      <c r="AW72" s="897"/>
      <c r="AX72" s="897"/>
      <c r="AY72" s="897"/>
      <c r="AZ72" s="897"/>
      <c r="BA72" s="897"/>
      <c r="BB72" s="897"/>
      <c r="BC72" s="897"/>
      <c r="BD72" s="897"/>
      <c r="BE72" s="897"/>
      <c r="BF72" s="897"/>
      <c r="BG72" s="897"/>
      <c r="BH72" s="897"/>
      <c r="BI72" s="897"/>
      <c r="BJ72" s="897"/>
      <c r="BK72" s="897"/>
      <c r="BL72" s="897"/>
      <c r="BM72" s="897"/>
      <c r="BN72" s="897"/>
      <c r="BO72" s="897"/>
      <c r="BP72" s="897"/>
      <c r="BQ72" s="897"/>
      <c r="BR72" s="897"/>
      <c r="BS72" s="897"/>
      <c r="BT72" s="897"/>
      <c r="BU72" s="897"/>
      <c r="BV72" s="897"/>
      <c r="BW72" s="897"/>
      <c r="BX72" s="897"/>
      <c r="BY72" s="897"/>
      <c r="BZ72" s="897"/>
      <c r="CA72" s="897"/>
      <c r="CB72" s="897"/>
      <c r="CC72" s="897"/>
      <c r="CD72" s="897"/>
      <c r="CE72" s="897"/>
      <c r="CF72" s="897"/>
      <c r="CG72" s="897"/>
      <c r="CH72" s="897"/>
      <c r="CI72" s="897"/>
      <c r="CJ72" s="897"/>
      <c r="CK72" s="897"/>
      <c r="CL72" s="897"/>
      <c r="CM72" s="897"/>
      <c r="CN72" s="897"/>
      <c r="CO72" s="897"/>
      <c r="CP72" s="897"/>
      <c r="CQ72" s="897"/>
      <c r="CR72" s="897"/>
      <c r="CS72" s="897"/>
      <c r="CT72" s="897"/>
      <c r="CU72" s="897"/>
      <c r="CV72" s="897"/>
      <c r="CW72" s="897"/>
      <c r="CX72" s="897"/>
      <c r="CY72" s="897"/>
      <c r="CZ72" s="897"/>
      <c r="DA72" s="897"/>
      <c r="DB72" s="897"/>
      <c r="DC72" s="897"/>
      <c r="DD72" s="897"/>
      <c r="DE72" s="897"/>
      <c r="DF72" s="897"/>
      <c r="DG72" s="897"/>
      <c r="DH72" s="897"/>
      <c r="DI72" s="897"/>
      <c r="DJ72" s="897"/>
      <c r="DK72" s="897"/>
      <c r="DL72" s="897"/>
      <c r="DM72" s="897"/>
      <c r="DN72" s="897"/>
      <c r="DO72" s="897"/>
      <c r="DP72" s="897"/>
      <c r="DQ72" s="897"/>
      <c r="DR72" s="897"/>
      <c r="DS72" s="897"/>
      <c r="DT72" s="897"/>
      <c r="DU72" s="897"/>
      <c r="DV72" s="897"/>
      <c r="DW72" s="897"/>
      <c r="DX72" s="897"/>
      <c r="DY72" s="897"/>
      <c r="DZ72" s="897"/>
      <c r="EA72" s="897"/>
      <c r="EB72" s="897"/>
      <c r="EC72" s="897"/>
      <c r="ED72" s="897"/>
      <c r="EE72" s="897"/>
      <c r="EF72" s="897"/>
      <c r="EG72" s="897"/>
      <c r="EH72" s="897"/>
      <c r="EI72" s="897"/>
      <c r="EJ72" s="897"/>
      <c r="EK72" s="897"/>
      <c r="EL72" s="897"/>
      <c r="EM72" s="897"/>
      <c r="EN72" s="897"/>
      <c r="EO72" s="897"/>
      <c r="EP72" s="897"/>
      <c r="EQ72" s="897"/>
      <c r="ER72" s="897"/>
    </row>
    <row r="73" spans="2:148" ht="11.25" customHeight="1">
      <c r="B73" s="218"/>
      <c r="C73" s="904" t="s">
        <v>230</v>
      </c>
      <c r="D73" s="905"/>
      <c r="E73" s="905"/>
      <c r="F73" s="905"/>
      <c r="G73" s="905"/>
      <c r="H73" s="905"/>
      <c r="I73" s="906"/>
      <c r="J73" s="907"/>
      <c r="K73" s="917"/>
      <c r="L73" s="98"/>
      <c r="M73" s="908">
        <f>L76</f>
        <v>0</v>
      </c>
      <c r="N73" s="908">
        <f t="shared" ref="N73:BY73" ca="1" si="73">M76</f>
        <v>0</v>
      </c>
      <c r="O73" s="908">
        <f t="shared" ca="1" si="73"/>
        <v>140000.00000000003</v>
      </c>
      <c r="P73" s="908">
        <f t="shared" ca="1" si="73"/>
        <v>280000.00000000006</v>
      </c>
      <c r="Q73" s="908">
        <f t="shared" ca="1" si="73"/>
        <v>420000.00000000012</v>
      </c>
      <c r="R73" s="908">
        <f t="shared" ca="1" si="73"/>
        <v>560000.00000000012</v>
      </c>
      <c r="S73" s="908">
        <f t="shared" ca="1" si="73"/>
        <v>700000.00000000012</v>
      </c>
      <c r="T73" s="908">
        <f t="shared" ca="1" si="73"/>
        <v>0</v>
      </c>
      <c r="U73" s="908">
        <f t="shared" ca="1" si="73"/>
        <v>140000.00000000003</v>
      </c>
      <c r="V73" s="908">
        <f t="shared" ca="1" si="73"/>
        <v>280000.00000000006</v>
      </c>
      <c r="W73" s="908">
        <f t="shared" ca="1" si="73"/>
        <v>420000.00000000012</v>
      </c>
      <c r="X73" s="908">
        <f t="shared" ca="1" si="73"/>
        <v>560000.00000000012</v>
      </c>
      <c r="Y73" s="908">
        <f t="shared" ca="1" si="73"/>
        <v>700000.00000000012</v>
      </c>
      <c r="Z73" s="908">
        <f t="shared" ca="1" si="73"/>
        <v>0</v>
      </c>
      <c r="AA73" s="908">
        <f t="shared" ca="1" si="73"/>
        <v>140000.00000000003</v>
      </c>
      <c r="AB73" s="908">
        <f t="shared" ca="1" si="73"/>
        <v>280000.00000000006</v>
      </c>
      <c r="AC73" s="908">
        <f t="shared" ca="1" si="73"/>
        <v>420000.00000000012</v>
      </c>
      <c r="AD73" s="908">
        <f t="shared" ca="1" si="73"/>
        <v>560000.00000000012</v>
      </c>
      <c r="AE73" s="908">
        <f t="shared" ca="1" si="73"/>
        <v>700000.00000000012</v>
      </c>
      <c r="AF73" s="908">
        <f t="shared" ca="1" si="73"/>
        <v>0</v>
      </c>
      <c r="AG73" s="908">
        <f t="shared" ca="1" si="73"/>
        <v>140000.00000000003</v>
      </c>
      <c r="AH73" s="908">
        <f t="shared" ca="1" si="73"/>
        <v>280000.00000000006</v>
      </c>
      <c r="AI73" s="908">
        <f t="shared" ca="1" si="73"/>
        <v>420000.00000000012</v>
      </c>
      <c r="AJ73" s="908">
        <f t="shared" ca="1" si="73"/>
        <v>560000.00000000012</v>
      </c>
      <c r="AK73" s="908">
        <f t="shared" ca="1" si="73"/>
        <v>700000.00000000012</v>
      </c>
      <c r="AL73" s="908">
        <f t="shared" ca="1" si="73"/>
        <v>0</v>
      </c>
      <c r="AM73" s="908">
        <f t="shared" ca="1" si="73"/>
        <v>140000.00000000003</v>
      </c>
      <c r="AN73" s="908">
        <f t="shared" ca="1" si="73"/>
        <v>280000.00000000006</v>
      </c>
      <c r="AO73" s="908">
        <f t="shared" ca="1" si="73"/>
        <v>420000.00000000012</v>
      </c>
      <c r="AP73" s="908">
        <f t="shared" ca="1" si="73"/>
        <v>560000.00000000012</v>
      </c>
      <c r="AQ73" s="908">
        <f t="shared" ca="1" si="73"/>
        <v>700000.00000000012</v>
      </c>
      <c r="AR73" s="908">
        <f t="shared" ca="1" si="73"/>
        <v>0</v>
      </c>
      <c r="AS73" s="908">
        <f t="shared" ca="1" si="73"/>
        <v>140000.00000000003</v>
      </c>
      <c r="AT73" s="908">
        <f t="shared" ca="1" si="73"/>
        <v>280000.00000000006</v>
      </c>
      <c r="AU73" s="908">
        <f t="shared" ca="1" si="73"/>
        <v>420000.00000000012</v>
      </c>
      <c r="AV73" s="908">
        <f t="shared" ca="1" si="73"/>
        <v>560000.00000000012</v>
      </c>
      <c r="AW73" s="908">
        <f t="shared" ca="1" si="73"/>
        <v>700000.00000000012</v>
      </c>
      <c r="AX73" s="908">
        <f t="shared" ca="1" si="73"/>
        <v>0</v>
      </c>
      <c r="AY73" s="908">
        <f t="shared" ca="1" si="73"/>
        <v>140000.00000000003</v>
      </c>
      <c r="AZ73" s="908">
        <f t="shared" ca="1" si="73"/>
        <v>280000.00000000006</v>
      </c>
      <c r="BA73" s="908">
        <f t="shared" ca="1" si="73"/>
        <v>420000.00000000012</v>
      </c>
      <c r="BB73" s="908">
        <f t="shared" ca="1" si="73"/>
        <v>560000.00000000012</v>
      </c>
      <c r="BC73" s="908">
        <f t="shared" ca="1" si="73"/>
        <v>700000.00000000012</v>
      </c>
      <c r="BD73" s="908">
        <f t="shared" ca="1" si="73"/>
        <v>0</v>
      </c>
      <c r="BE73" s="908">
        <f t="shared" ca="1" si="73"/>
        <v>140000.00000000003</v>
      </c>
      <c r="BF73" s="908">
        <f t="shared" ca="1" si="73"/>
        <v>280000.00000000006</v>
      </c>
      <c r="BG73" s="908">
        <f t="shared" ca="1" si="73"/>
        <v>420000.00000000012</v>
      </c>
      <c r="BH73" s="908">
        <f t="shared" ca="1" si="73"/>
        <v>560000.00000000012</v>
      </c>
      <c r="BI73" s="908">
        <f t="shared" ca="1" si="73"/>
        <v>700000.00000000012</v>
      </c>
      <c r="BJ73" s="908">
        <f t="shared" ca="1" si="73"/>
        <v>0</v>
      </c>
      <c r="BK73" s="908">
        <f t="shared" ca="1" si="73"/>
        <v>140000.00000000003</v>
      </c>
      <c r="BL73" s="908">
        <f t="shared" ca="1" si="73"/>
        <v>280000.00000000006</v>
      </c>
      <c r="BM73" s="908">
        <f t="shared" ca="1" si="73"/>
        <v>420000.00000000012</v>
      </c>
      <c r="BN73" s="908">
        <f t="shared" ca="1" si="73"/>
        <v>560000.00000000012</v>
      </c>
      <c r="BO73" s="908">
        <f t="shared" ca="1" si="73"/>
        <v>700000.00000000012</v>
      </c>
      <c r="BP73" s="908">
        <f t="shared" ca="1" si="73"/>
        <v>0</v>
      </c>
      <c r="BQ73" s="908">
        <f t="shared" ca="1" si="73"/>
        <v>140000.00000000003</v>
      </c>
      <c r="BR73" s="908">
        <f t="shared" ca="1" si="73"/>
        <v>280000.00000000006</v>
      </c>
      <c r="BS73" s="908">
        <f t="shared" ca="1" si="73"/>
        <v>420000.00000000012</v>
      </c>
      <c r="BT73" s="908">
        <f t="shared" ca="1" si="73"/>
        <v>560000.00000000012</v>
      </c>
      <c r="BU73" s="908">
        <f t="shared" ca="1" si="73"/>
        <v>700000.00000000012</v>
      </c>
      <c r="BV73" s="908">
        <f t="shared" ca="1" si="73"/>
        <v>0</v>
      </c>
      <c r="BW73" s="908">
        <f t="shared" ca="1" si="73"/>
        <v>140000.00000000003</v>
      </c>
      <c r="BX73" s="908">
        <f t="shared" ca="1" si="73"/>
        <v>280000.00000000006</v>
      </c>
      <c r="BY73" s="908">
        <f t="shared" ca="1" si="73"/>
        <v>420000.00000000012</v>
      </c>
      <c r="BZ73" s="908">
        <f t="shared" ref="BZ73:DT73" ca="1" si="74">BY76</f>
        <v>560000.00000000012</v>
      </c>
      <c r="CA73" s="908">
        <f t="shared" ca="1" si="74"/>
        <v>700000.00000000012</v>
      </c>
      <c r="CB73" s="908">
        <f t="shared" ca="1" si="74"/>
        <v>0</v>
      </c>
      <c r="CC73" s="908">
        <f t="shared" ca="1" si="74"/>
        <v>140000.00000000003</v>
      </c>
      <c r="CD73" s="908">
        <f t="shared" ca="1" si="74"/>
        <v>280000.00000000006</v>
      </c>
      <c r="CE73" s="908">
        <f t="shared" ca="1" si="74"/>
        <v>420000.00000000012</v>
      </c>
      <c r="CF73" s="908">
        <f t="shared" ca="1" si="74"/>
        <v>560000.00000000012</v>
      </c>
      <c r="CG73" s="908">
        <f t="shared" ca="1" si="74"/>
        <v>700000.00000000012</v>
      </c>
      <c r="CH73" s="908">
        <f t="shared" ca="1" si="74"/>
        <v>0</v>
      </c>
      <c r="CI73" s="908">
        <f t="shared" ca="1" si="74"/>
        <v>140000.00000000003</v>
      </c>
      <c r="CJ73" s="908">
        <f t="shared" ca="1" si="74"/>
        <v>280000.00000000006</v>
      </c>
      <c r="CK73" s="908">
        <f t="shared" ca="1" si="74"/>
        <v>420000.00000000012</v>
      </c>
      <c r="CL73" s="908">
        <f t="shared" ca="1" si="74"/>
        <v>560000.00000000012</v>
      </c>
      <c r="CM73" s="908">
        <f t="shared" ca="1" si="74"/>
        <v>700000.00000000012</v>
      </c>
      <c r="CN73" s="908">
        <f t="shared" ca="1" si="74"/>
        <v>0</v>
      </c>
      <c r="CO73" s="908">
        <f t="shared" ca="1" si="74"/>
        <v>140000.00000000003</v>
      </c>
      <c r="CP73" s="908">
        <f t="shared" ca="1" si="74"/>
        <v>280000.00000000006</v>
      </c>
      <c r="CQ73" s="908">
        <f t="shared" ca="1" si="74"/>
        <v>420000.00000000012</v>
      </c>
      <c r="CR73" s="908">
        <f t="shared" ca="1" si="74"/>
        <v>560000.00000000012</v>
      </c>
      <c r="CS73" s="908">
        <f t="shared" ca="1" si="74"/>
        <v>700000.00000000012</v>
      </c>
      <c r="CT73" s="908">
        <f t="shared" ca="1" si="74"/>
        <v>0</v>
      </c>
      <c r="CU73" s="908">
        <f t="shared" ca="1" si="74"/>
        <v>140000.00000000003</v>
      </c>
      <c r="CV73" s="908">
        <f t="shared" ca="1" si="74"/>
        <v>280000.00000000006</v>
      </c>
      <c r="CW73" s="908">
        <f t="shared" ca="1" si="74"/>
        <v>420000.00000000012</v>
      </c>
      <c r="CX73" s="908">
        <f t="shared" ca="1" si="74"/>
        <v>560000.00000000012</v>
      </c>
      <c r="CY73" s="908">
        <f t="shared" ca="1" si="74"/>
        <v>700000.00000000012</v>
      </c>
      <c r="CZ73" s="908">
        <f t="shared" ca="1" si="74"/>
        <v>0</v>
      </c>
      <c r="DA73" s="908">
        <f t="shared" ca="1" si="74"/>
        <v>140000.00000000003</v>
      </c>
      <c r="DB73" s="908">
        <f t="shared" ca="1" si="74"/>
        <v>280000.00000000006</v>
      </c>
      <c r="DC73" s="908">
        <f t="shared" ca="1" si="74"/>
        <v>420000.00000000012</v>
      </c>
      <c r="DD73" s="908">
        <f t="shared" ca="1" si="74"/>
        <v>560000.00000000012</v>
      </c>
      <c r="DE73" s="908">
        <f t="shared" ca="1" si="74"/>
        <v>700000.00000000012</v>
      </c>
      <c r="DF73" s="908">
        <f t="shared" ca="1" si="74"/>
        <v>0</v>
      </c>
      <c r="DG73" s="908">
        <f t="shared" ca="1" si="74"/>
        <v>140000.00000000003</v>
      </c>
      <c r="DH73" s="908">
        <f t="shared" ca="1" si="74"/>
        <v>280000.00000000006</v>
      </c>
      <c r="DI73" s="908">
        <f t="shared" ca="1" si="74"/>
        <v>420000.00000000012</v>
      </c>
      <c r="DJ73" s="908">
        <f t="shared" ca="1" si="74"/>
        <v>560000.00000000012</v>
      </c>
      <c r="DK73" s="908">
        <f t="shared" ca="1" si="74"/>
        <v>700000.00000000012</v>
      </c>
      <c r="DL73" s="908">
        <f t="shared" ca="1" si="74"/>
        <v>0</v>
      </c>
      <c r="DM73" s="908">
        <f t="shared" ca="1" si="74"/>
        <v>140000.00000000003</v>
      </c>
      <c r="DN73" s="908">
        <f t="shared" ca="1" si="74"/>
        <v>280000.00000000006</v>
      </c>
      <c r="DO73" s="908">
        <f t="shared" ca="1" si="74"/>
        <v>420000.00000000012</v>
      </c>
      <c r="DP73" s="908">
        <f t="shared" ca="1" si="74"/>
        <v>560000.00000000012</v>
      </c>
      <c r="DQ73" s="908">
        <f t="shared" ca="1" si="74"/>
        <v>700000.00000000012</v>
      </c>
      <c r="DR73" s="908">
        <f t="shared" ca="1" si="74"/>
        <v>0</v>
      </c>
      <c r="DS73" s="908">
        <f t="shared" ca="1" si="74"/>
        <v>140000.00000000003</v>
      </c>
      <c r="DT73" s="908">
        <f t="shared" ca="1" si="74"/>
        <v>280000.00000000006</v>
      </c>
      <c r="DU73" s="908">
        <f t="shared" ref="DU73:ER73" ca="1" si="75">DT76</f>
        <v>420000.00000000012</v>
      </c>
      <c r="DV73" s="908">
        <f t="shared" ca="1" si="75"/>
        <v>560000.00000000012</v>
      </c>
      <c r="DW73" s="908">
        <f t="shared" ca="1" si="75"/>
        <v>700000.00000000012</v>
      </c>
      <c r="DX73" s="908">
        <f t="shared" ca="1" si="75"/>
        <v>0</v>
      </c>
      <c r="DY73" s="908">
        <f t="shared" ca="1" si="75"/>
        <v>140000.00000000003</v>
      </c>
      <c r="DZ73" s="908">
        <f t="shared" ca="1" si="75"/>
        <v>280000.00000000006</v>
      </c>
      <c r="EA73" s="908">
        <f t="shared" ca="1" si="75"/>
        <v>420000.00000000012</v>
      </c>
      <c r="EB73" s="908">
        <f t="shared" ca="1" si="75"/>
        <v>560000.00000000012</v>
      </c>
      <c r="EC73" s="908">
        <f t="shared" ca="1" si="75"/>
        <v>700000.00000000012</v>
      </c>
      <c r="ED73" s="908">
        <f t="shared" ca="1" si="75"/>
        <v>0</v>
      </c>
      <c r="EE73" s="908">
        <f t="shared" ca="1" si="75"/>
        <v>0</v>
      </c>
      <c r="EF73" s="908">
        <f t="shared" ca="1" si="75"/>
        <v>0</v>
      </c>
      <c r="EG73" s="908">
        <f t="shared" ca="1" si="75"/>
        <v>0</v>
      </c>
      <c r="EH73" s="908">
        <f t="shared" ca="1" si="75"/>
        <v>0</v>
      </c>
      <c r="EI73" s="908">
        <f t="shared" ca="1" si="75"/>
        <v>0</v>
      </c>
      <c r="EJ73" s="908">
        <f t="shared" ca="1" si="75"/>
        <v>0</v>
      </c>
      <c r="EK73" s="908">
        <f t="shared" ca="1" si="75"/>
        <v>0</v>
      </c>
      <c r="EL73" s="908">
        <f t="shared" ca="1" si="75"/>
        <v>0</v>
      </c>
      <c r="EM73" s="908">
        <f t="shared" ca="1" si="75"/>
        <v>0</v>
      </c>
      <c r="EN73" s="908">
        <f t="shared" ca="1" si="75"/>
        <v>0</v>
      </c>
      <c r="EO73" s="908">
        <f t="shared" ca="1" si="75"/>
        <v>0</v>
      </c>
      <c r="EP73" s="908">
        <f t="shared" ca="1" si="75"/>
        <v>0</v>
      </c>
      <c r="EQ73" s="908">
        <f t="shared" ca="1" si="75"/>
        <v>0</v>
      </c>
      <c r="ER73" s="908">
        <f t="shared" ca="1" si="75"/>
        <v>0</v>
      </c>
    </row>
    <row r="74" spans="2:148" ht="11.25" customHeight="1">
      <c r="B74" s="218"/>
      <c r="C74" s="911" t="s">
        <v>231</v>
      </c>
      <c r="D74" s="912"/>
      <c r="E74" s="912"/>
      <c r="F74" s="912"/>
      <c r="G74" s="1812">
        <f>'A&amp;R'!H113</f>
        <v>7.0000000000000007E-2</v>
      </c>
      <c r="H74" s="913">
        <f>'A&amp;R'!G113</f>
        <v>47057</v>
      </c>
      <c r="I74" s="921">
        <f>'A&amp;R'!S41</f>
        <v>7.0000000000000007E-2</v>
      </c>
      <c r="J74" s="914"/>
      <c r="K74" s="918">
        <f>SUM(M74:ER74)</f>
        <v>16800000.000000004</v>
      </c>
      <c r="L74" s="98"/>
      <c r="M74" s="920">
        <f>'FS_Detail(M)'!L61*'IS(M)'!$I74/12*Index!L$22*(M$60&gt;$H$74)+(M$60&lt;=$H$74)*'FS_Detail(M)'!L61*'IS(M)'!$G74/12*Index!L$22</f>
        <v>0</v>
      </c>
      <c r="N74" s="920">
        <f>'FS_Detail(M)'!M61*'IS(M)'!$I74/12*Index!M$22*(N$60&gt;$H$74)+(N$60&lt;=$H$74)*'FS_Detail(M)'!M61*'IS(M)'!$G74/12*Index!M$22</f>
        <v>140000.00000000003</v>
      </c>
      <c r="O74" s="920">
        <f>'FS_Detail(M)'!N61*'IS(M)'!$I74/12*Index!N$22*(O$60&gt;$H$74)+(O$60&lt;=$H$74)*'FS_Detail(M)'!N61*'IS(M)'!$G74/12*Index!N$22</f>
        <v>140000.00000000003</v>
      </c>
      <c r="P74" s="920">
        <f>'FS_Detail(M)'!O61*'IS(M)'!$I74/12*Index!O$22*(P$60&gt;$H$74)+(P$60&lt;=$H$74)*'FS_Detail(M)'!O61*'IS(M)'!$G74/12*Index!O$22</f>
        <v>140000.00000000003</v>
      </c>
      <c r="Q74" s="920">
        <f>'FS_Detail(M)'!P61*'IS(M)'!$I74/12*Index!P$22*(Q$60&gt;$H$74)+(Q$60&lt;=$H$74)*'FS_Detail(M)'!P61*'IS(M)'!$G74/12*Index!P$22</f>
        <v>140000.00000000003</v>
      </c>
      <c r="R74" s="920">
        <f>'FS_Detail(M)'!Q61*'IS(M)'!$I74/12*Index!Q$22*(R$60&gt;$H$74)+(R$60&lt;=$H$74)*'FS_Detail(M)'!Q61*'IS(M)'!$G74/12*Index!Q$22</f>
        <v>140000.00000000003</v>
      </c>
      <c r="S74" s="920">
        <f>'FS_Detail(M)'!R61*'IS(M)'!$I74/12*Index!R$22*(S$60&gt;$H$74)+(S$60&lt;=$H$74)*'FS_Detail(M)'!R61*'IS(M)'!$G74/12*Index!R$22</f>
        <v>140000.00000000003</v>
      </c>
      <c r="T74" s="920">
        <f>'FS_Detail(M)'!S61*'IS(M)'!$I74/12*Index!S$22*(T$60&gt;$H$74)+(T$60&lt;=$H$74)*'FS_Detail(M)'!S61*'IS(M)'!$G74/12*Index!S$22</f>
        <v>140000.00000000003</v>
      </c>
      <c r="U74" s="920">
        <f>'FS_Detail(M)'!T61*'IS(M)'!$I74/12*Index!T$22*(U$60&gt;$H$74)+(U$60&lt;=$H$74)*'FS_Detail(M)'!T61*'IS(M)'!$G74/12*Index!T$22</f>
        <v>140000.00000000003</v>
      </c>
      <c r="V74" s="920">
        <f>'FS_Detail(M)'!U61*'IS(M)'!$I74/12*Index!U$22*(V$60&gt;$H$74)+(V$60&lt;=$H$74)*'FS_Detail(M)'!U61*'IS(M)'!$G74/12*Index!U$22</f>
        <v>140000.00000000003</v>
      </c>
      <c r="W74" s="920">
        <f>'FS_Detail(M)'!V61*'IS(M)'!$I74/12*Index!V$22*(W$60&gt;$H$74)+(W$60&lt;=$H$74)*'FS_Detail(M)'!V61*'IS(M)'!$G74/12*Index!V$22</f>
        <v>140000.00000000003</v>
      </c>
      <c r="X74" s="920">
        <f>'FS_Detail(M)'!W61*'IS(M)'!$I74/12*Index!W$22*(X$60&gt;$H$74)+(X$60&lt;=$H$74)*'FS_Detail(M)'!W61*'IS(M)'!$G74/12*Index!W$22</f>
        <v>140000.00000000003</v>
      </c>
      <c r="Y74" s="920">
        <f>'FS_Detail(M)'!X61*'IS(M)'!$I74/12*Index!X$22*(Y$60&gt;$H$74)+(Y$60&lt;=$H$74)*'FS_Detail(M)'!X61*'IS(M)'!$G74/12*Index!X$22</f>
        <v>140000.00000000003</v>
      </c>
      <c r="Z74" s="920">
        <f>'FS_Detail(M)'!Y61*'IS(M)'!$I74/12*Index!Y$22*(Z$60&gt;$H$74)+(Z$60&lt;=$H$74)*'FS_Detail(M)'!Y61*'IS(M)'!$G74/12*Index!Y$22</f>
        <v>140000.00000000003</v>
      </c>
      <c r="AA74" s="920">
        <f>'FS_Detail(M)'!Z61*'IS(M)'!$I74/12*Index!Z$22*(AA$60&gt;$H$74)+(AA$60&lt;=$H$74)*'FS_Detail(M)'!Z61*'IS(M)'!$G74/12*Index!Z$22</f>
        <v>140000.00000000003</v>
      </c>
      <c r="AB74" s="920">
        <f>'FS_Detail(M)'!AA61*'IS(M)'!$I74/12*Index!AA$22*(AB$60&gt;$H$74)+(AB$60&lt;=$H$74)*'FS_Detail(M)'!AA61*'IS(M)'!$G74/12*Index!AA$22</f>
        <v>140000.00000000003</v>
      </c>
      <c r="AC74" s="920">
        <f>'FS_Detail(M)'!AB61*'IS(M)'!$I74/12*Index!AB$22*(AC$60&gt;$H$74)+(AC$60&lt;=$H$74)*'FS_Detail(M)'!AB61*'IS(M)'!$G74/12*Index!AB$22</f>
        <v>140000.00000000003</v>
      </c>
      <c r="AD74" s="920">
        <f>'FS_Detail(M)'!AC61*'IS(M)'!$I74/12*Index!AC$22*(AD$60&gt;$H$74)+(AD$60&lt;=$H$74)*'FS_Detail(M)'!AC61*'IS(M)'!$G74/12*Index!AC$22</f>
        <v>140000.00000000003</v>
      </c>
      <c r="AE74" s="920">
        <f>'FS_Detail(M)'!AD61*'IS(M)'!$I74/12*Index!AD$22*(AE$60&gt;$H$74)+(AE$60&lt;=$H$74)*'FS_Detail(M)'!AD61*'IS(M)'!$G74/12*Index!AD$22</f>
        <v>140000.00000000003</v>
      </c>
      <c r="AF74" s="920">
        <f>'FS_Detail(M)'!AE61*'IS(M)'!$I74/12*Index!AE$22*(AF$60&gt;$H$74)+(AF$60&lt;=$H$74)*'FS_Detail(M)'!AE61*'IS(M)'!$G74/12*Index!AE$22</f>
        <v>140000.00000000003</v>
      </c>
      <c r="AG74" s="920">
        <f>'FS_Detail(M)'!AF61*'IS(M)'!$I74/12*Index!AF$22*(AG$60&gt;$H$74)+(AG$60&lt;=$H$74)*'FS_Detail(M)'!AF61*'IS(M)'!$G74/12*Index!AF$22</f>
        <v>140000.00000000003</v>
      </c>
      <c r="AH74" s="920">
        <f>'FS_Detail(M)'!AG61*'IS(M)'!$I74/12*Index!AG$22*(AH$60&gt;$H$74)+(AH$60&lt;=$H$74)*'FS_Detail(M)'!AG61*'IS(M)'!$G74/12*Index!AG$22</f>
        <v>140000.00000000003</v>
      </c>
      <c r="AI74" s="920">
        <f>'FS_Detail(M)'!AH61*'IS(M)'!$I74/12*Index!AH$22*(AI$60&gt;$H$74)+(AI$60&lt;=$H$74)*'FS_Detail(M)'!AH61*'IS(M)'!$G74/12*Index!AH$22</f>
        <v>140000.00000000003</v>
      </c>
      <c r="AJ74" s="920">
        <f>'FS_Detail(M)'!AI61*'IS(M)'!$I74/12*Index!AI$22*(AJ$60&gt;$H$74)+(AJ$60&lt;=$H$74)*'FS_Detail(M)'!AI61*'IS(M)'!$G74/12*Index!AI$22</f>
        <v>140000.00000000003</v>
      </c>
      <c r="AK74" s="920">
        <f>'FS_Detail(M)'!AJ61*'IS(M)'!$I74/12*Index!AJ$22*(AK$60&gt;$H$74)+(AK$60&lt;=$H$74)*'FS_Detail(M)'!AJ61*'IS(M)'!$G74/12*Index!AJ$22</f>
        <v>140000.00000000003</v>
      </c>
      <c r="AL74" s="920">
        <f>'FS_Detail(M)'!AK61*'IS(M)'!$I74/12*Index!AK$22*(AL$60&gt;$H$74)+(AL$60&lt;=$H$74)*'FS_Detail(M)'!AK61*'IS(M)'!$G74/12*Index!AK$22</f>
        <v>140000.00000000003</v>
      </c>
      <c r="AM74" s="920">
        <f>'FS_Detail(M)'!AL61*'IS(M)'!$I74/12*Index!AL$22*(AM$60&gt;$H$74)+(AM$60&lt;=$H$74)*'FS_Detail(M)'!AL61*'IS(M)'!$G74/12*Index!AL$22</f>
        <v>140000.00000000003</v>
      </c>
      <c r="AN74" s="920">
        <f>'FS_Detail(M)'!AM61*'IS(M)'!$I74/12*Index!AM$22*(AN$60&gt;$H$74)+(AN$60&lt;=$H$74)*'FS_Detail(M)'!AM61*'IS(M)'!$G74/12*Index!AM$22</f>
        <v>140000.00000000003</v>
      </c>
      <c r="AO74" s="920">
        <f>'FS_Detail(M)'!AN61*'IS(M)'!$I74/12*Index!AN$22*(AO$60&gt;$H$74)+(AO$60&lt;=$H$74)*'FS_Detail(M)'!AN61*'IS(M)'!$G74/12*Index!AN$22</f>
        <v>140000.00000000003</v>
      </c>
      <c r="AP74" s="920">
        <f>'FS_Detail(M)'!AO61*'IS(M)'!$I74/12*Index!AO$22*(AP$60&gt;$H$74)+(AP$60&lt;=$H$74)*'FS_Detail(M)'!AO61*'IS(M)'!$G74/12*Index!AO$22</f>
        <v>140000.00000000003</v>
      </c>
      <c r="AQ74" s="920">
        <f>'FS_Detail(M)'!AP61*'IS(M)'!$I74/12*Index!AP$22*(AQ$60&gt;$H$74)+(AQ$60&lt;=$H$74)*'FS_Detail(M)'!AP61*'IS(M)'!$G74/12*Index!AP$22</f>
        <v>140000.00000000003</v>
      </c>
      <c r="AR74" s="920">
        <f>'FS_Detail(M)'!AQ61*'IS(M)'!$I74/12*Index!AQ$22*(AR$60&gt;$H$74)+(AR$60&lt;=$H$74)*'FS_Detail(M)'!AQ61*'IS(M)'!$G74/12*Index!AQ$22</f>
        <v>140000.00000000003</v>
      </c>
      <c r="AS74" s="920">
        <f>'FS_Detail(M)'!AR61*'IS(M)'!$I74/12*Index!AR$22*(AS$60&gt;$H$74)+(AS$60&lt;=$H$74)*'FS_Detail(M)'!AR61*'IS(M)'!$G74/12*Index!AR$22</f>
        <v>140000.00000000003</v>
      </c>
      <c r="AT74" s="920">
        <f>'FS_Detail(M)'!AS61*'IS(M)'!$I74/12*Index!AS$22*(AT$60&gt;$H$74)+(AT$60&lt;=$H$74)*'FS_Detail(M)'!AS61*'IS(M)'!$G74/12*Index!AS$22</f>
        <v>140000.00000000003</v>
      </c>
      <c r="AU74" s="920">
        <f>'FS_Detail(M)'!AT61*'IS(M)'!$I74/12*Index!AT$22*(AU$60&gt;$H$74)+(AU$60&lt;=$H$74)*'FS_Detail(M)'!AT61*'IS(M)'!$G74/12*Index!AT$22</f>
        <v>140000.00000000003</v>
      </c>
      <c r="AV74" s="920">
        <f>'FS_Detail(M)'!AU61*'IS(M)'!$I74/12*Index!AU$22*(AV$60&gt;$H$74)+(AV$60&lt;=$H$74)*'FS_Detail(M)'!AU61*'IS(M)'!$G74/12*Index!AU$22</f>
        <v>140000.00000000003</v>
      </c>
      <c r="AW74" s="920">
        <f>'FS_Detail(M)'!AV61*'IS(M)'!$I74/12*Index!AV$22*(AW$60&gt;$H$74)+(AW$60&lt;=$H$74)*'FS_Detail(M)'!AV61*'IS(M)'!$G74/12*Index!AV$22</f>
        <v>140000.00000000003</v>
      </c>
      <c r="AX74" s="920">
        <f>'FS_Detail(M)'!AW61*'IS(M)'!$I74/12*Index!AW$22*(AX$60&gt;$H$74)+(AX$60&lt;=$H$74)*'FS_Detail(M)'!AW61*'IS(M)'!$G74/12*Index!AW$22</f>
        <v>140000.00000000003</v>
      </c>
      <c r="AY74" s="920">
        <f>'FS_Detail(M)'!AX61*'IS(M)'!$I74/12*Index!AX$22*(AY$60&gt;$H$74)+(AY$60&lt;=$H$74)*'FS_Detail(M)'!AX61*'IS(M)'!$G74/12*Index!AX$22</f>
        <v>140000.00000000003</v>
      </c>
      <c r="AZ74" s="920">
        <f>'FS_Detail(M)'!AY61*'IS(M)'!$I74/12*Index!AY$22*(AZ$60&gt;$H$74)+(AZ$60&lt;=$H$74)*'FS_Detail(M)'!AY61*'IS(M)'!$G74/12*Index!AY$22</f>
        <v>140000.00000000003</v>
      </c>
      <c r="BA74" s="920">
        <f>'FS_Detail(M)'!AZ61*'IS(M)'!$I74/12*Index!AZ$22*(BA$60&gt;$H$74)+(BA$60&lt;=$H$74)*'FS_Detail(M)'!AZ61*'IS(M)'!$G74/12*Index!AZ$22</f>
        <v>140000.00000000003</v>
      </c>
      <c r="BB74" s="920">
        <f>'FS_Detail(M)'!BA61*'IS(M)'!$I74/12*Index!BA$22*(BB$60&gt;$H$74)+(BB$60&lt;=$H$74)*'FS_Detail(M)'!BA61*'IS(M)'!$G74/12*Index!BA$22</f>
        <v>140000.00000000003</v>
      </c>
      <c r="BC74" s="920">
        <f>'FS_Detail(M)'!BB61*'IS(M)'!$I74/12*Index!BB$22*(BC$60&gt;$H$74)+(BC$60&lt;=$H$74)*'FS_Detail(M)'!BB61*'IS(M)'!$G74/12*Index!BB$22</f>
        <v>140000.00000000003</v>
      </c>
      <c r="BD74" s="920">
        <f>'FS_Detail(M)'!BC61*'IS(M)'!$I74/12*Index!BC$22*(BD$60&gt;$H$74)+(BD$60&lt;=$H$74)*'FS_Detail(M)'!BC61*'IS(M)'!$G74/12*Index!BC$22</f>
        <v>140000.00000000003</v>
      </c>
      <c r="BE74" s="920">
        <f>'FS_Detail(M)'!BD61*'IS(M)'!$I74/12*Index!BD$22*(BE$60&gt;$H$74)+(BE$60&lt;=$H$74)*'FS_Detail(M)'!BD61*'IS(M)'!$G74/12*Index!BD$22</f>
        <v>140000.00000000003</v>
      </c>
      <c r="BF74" s="920">
        <f>'FS_Detail(M)'!BE61*'IS(M)'!$I74/12*Index!BE$22*(BF$60&gt;$H$74)+(BF$60&lt;=$H$74)*'FS_Detail(M)'!BE61*'IS(M)'!$G74/12*Index!BE$22</f>
        <v>140000.00000000003</v>
      </c>
      <c r="BG74" s="920">
        <f>'FS_Detail(M)'!BF61*'IS(M)'!$I74/12*Index!BF$22*(BG$60&gt;$H$74)+(BG$60&lt;=$H$74)*'FS_Detail(M)'!BF61*'IS(M)'!$G74/12*Index!BF$22</f>
        <v>140000.00000000003</v>
      </c>
      <c r="BH74" s="920">
        <f>'FS_Detail(M)'!BG61*'IS(M)'!$I74/12*Index!BG$22*(BH$60&gt;$H$74)+(BH$60&lt;=$H$74)*'FS_Detail(M)'!BG61*'IS(M)'!$G74/12*Index!BG$22</f>
        <v>140000.00000000003</v>
      </c>
      <c r="BI74" s="920">
        <f>'FS_Detail(M)'!BH61*'IS(M)'!$I74/12*Index!BH$22*(BI$60&gt;$H$74)+(BI$60&lt;=$H$74)*'FS_Detail(M)'!BH61*'IS(M)'!$G74/12*Index!BH$22</f>
        <v>140000.00000000003</v>
      </c>
      <c r="BJ74" s="920">
        <f>'FS_Detail(M)'!BI61*'IS(M)'!$I74/12*Index!BI$22*(BJ$60&gt;$H$74)+(BJ$60&lt;=$H$74)*'FS_Detail(M)'!BI61*'IS(M)'!$G74/12*Index!BI$22</f>
        <v>140000.00000000003</v>
      </c>
      <c r="BK74" s="920">
        <f>'FS_Detail(M)'!BJ61*'IS(M)'!$I74/12*Index!BJ$22*(BK$60&gt;$H$74)+(BK$60&lt;=$H$74)*'FS_Detail(M)'!BJ61*'IS(M)'!$G74/12*Index!BJ$22</f>
        <v>140000.00000000003</v>
      </c>
      <c r="BL74" s="920">
        <f>'FS_Detail(M)'!BK61*'IS(M)'!$I74/12*Index!BK$22*(BL$60&gt;$H$74)+(BL$60&lt;=$H$74)*'FS_Detail(M)'!BK61*'IS(M)'!$G74/12*Index!BK$22</f>
        <v>140000.00000000003</v>
      </c>
      <c r="BM74" s="920">
        <f>'FS_Detail(M)'!BL61*'IS(M)'!$I74/12*Index!BL$22*(BM$60&gt;$H$74)+(BM$60&lt;=$H$74)*'FS_Detail(M)'!BL61*'IS(M)'!$G74/12*Index!BL$22</f>
        <v>140000.00000000003</v>
      </c>
      <c r="BN74" s="920">
        <f>'FS_Detail(M)'!BM61*'IS(M)'!$I74/12*Index!BM$22*(BN$60&gt;$H$74)+(BN$60&lt;=$H$74)*'FS_Detail(M)'!BM61*'IS(M)'!$G74/12*Index!BM$22</f>
        <v>140000.00000000003</v>
      </c>
      <c r="BO74" s="920">
        <f>'FS_Detail(M)'!BN61*'IS(M)'!$I74/12*Index!BN$22*(BO$60&gt;$H$74)+(BO$60&lt;=$H$74)*'FS_Detail(M)'!BN61*'IS(M)'!$G74/12*Index!BN$22</f>
        <v>140000.00000000003</v>
      </c>
      <c r="BP74" s="920">
        <f>'FS_Detail(M)'!BO61*'IS(M)'!$I74/12*Index!BO$22*(BP$60&gt;$H$74)+(BP$60&lt;=$H$74)*'FS_Detail(M)'!BO61*'IS(M)'!$G74/12*Index!BO$22</f>
        <v>140000.00000000003</v>
      </c>
      <c r="BQ74" s="920">
        <f>'FS_Detail(M)'!BP61*'IS(M)'!$I74/12*Index!BP$22*(BQ$60&gt;$H$74)+(BQ$60&lt;=$H$74)*'FS_Detail(M)'!BP61*'IS(M)'!$G74/12*Index!BP$22</f>
        <v>140000.00000000003</v>
      </c>
      <c r="BR74" s="920">
        <f>'FS_Detail(M)'!BQ61*'IS(M)'!$I74/12*Index!BQ$22*(BR$60&gt;$H$74)+(BR$60&lt;=$H$74)*'FS_Detail(M)'!BQ61*'IS(M)'!$G74/12*Index!BQ$22</f>
        <v>140000.00000000003</v>
      </c>
      <c r="BS74" s="920">
        <f>'FS_Detail(M)'!BR61*'IS(M)'!$I74/12*Index!BR$22*(BS$60&gt;$H$74)+(BS$60&lt;=$H$74)*'FS_Detail(M)'!BR61*'IS(M)'!$G74/12*Index!BR$22</f>
        <v>140000.00000000003</v>
      </c>
      <c r="BT74" s="920">
        <f>'FS_Detail(M)'!BS61*'IS(M)'!$I74/12*Index!BS$22*(BT$60&gt;$H$74)+(BT$60&lt;=$H$74)*'FS_Detail(M)'!BS61*'IS(M)'!$G74/12*Index!BS$22</f>
        <v>140000.00000000003</v>
      </c>
      <c r="BU74" s="920">
        <f>'FS_Detail(M)'!BT61*'IS(M)'!$I74/12*Index!BT$22*(BU$60&gt;$H$74)+(BU$60&lt;=$H$74)*'FS_Detail(M)'!BT61*'IS(M)'!$G74/12*Index!BT$22</f>
        <v>140000.00000000003</v>
      </c>
      <c r="BV74" s="920">
        <f>'FS_Detail(M)'!BU61*'IS(M)'!$I74/12*Index!BU$22*(BV$60&gt;$H$74)+(BV$60&lt;=$H$74)*'FS_Detail(M)'!BU61*'IS(M)'!$G74/12*Index!BU$22</f>
        <v>140000.00000000003</v>
      </c>
      <c r="BW74" s="920">
        <f>'FS_Detail(M)'!BV61*'IS(M)'!$I74/12*Index!BV$22*(BW$60&gt;$H$74)+(BW$60&lt;=$H$74)*'FS_Detail(M)'!BV61*'IS(M)'!$G74/12*Index!BV$22</f>
        <v>140000.00000000003</v>
      </c>
      <c r="BX74" s="920">
        <f>'FS_Detail(M)'!BW61*'IS(M)'!$I74/12*Index!BW$22*(BX$60&gt;$H$74)+(BX$60&lt;=$H$74)*'FS_Detail(M)'!BW61*'IS(M)'!$G74/12*Index!BW$22</f>
        <v>140000.00000000003</v>
      </c>
      <c r="BY74" s="920">
        <f>'FS_Detail(M)'!BX61*'IS(M)'!$I74/12*Index!BX$22*(BY$60&gt;$H$74)+(BY$60&lt;=$H$74)*'FS_Detail(M)'!BX61*'IS(M)'!$G74/12*Index!BX$22</f>
        <v>140000.00000000003</v>
      </c>
      <c r="BZ74" s="920">
        <f>'FS_Detail(M)'!BY61*'IS(M)'!$I74/12*Index!BY$22*(BZ$60&gt;$H$74)+(BZ$60&lt;=$H$74)*'FS_Detail(M)'!BY61*'IS(M)'!$G74/12*Index!BY$22</f>
        <v>140000.00000000003</v>
      </c>
      <c r="CA74" s="920">
        <f>'FS_Detail(M)'!BZ61*'IS(M)'!$I74/12*Index!BZ$22*(CA$60&gt;$H$74)+(CA$60&lt;=$H$74)*'FS_Detail(M)'!BZ61*'IS(M)'!$G74/12*Index!BZ$22</f>
        <v>140000.00000000003</v>
      </c>
      <c r="CB74" s="920">
        <f>'FS_Detail(M)'!CA61*'IS(M)'!$I74/12*Index!CA$22*(CB$60&gt;$H$74)+(CB$60&lt;=$H$74)*'FS_Detail(M)'!CA61*'IS(M)'!$G74/12*Index!CA$22</f>
        <v>140000.00000000003</v>
      </c>
      <c r="CC74" s="920">
        <f>'FS_Detail(M)'!CB61*'IS(M)'!$I74/12*Index!CB$22*(CC$60&gt;$H$74)+(CC$60&lt;=$H$74)*'FS_Detail(M)'!CB61*'IS(M)'!$G74/12*Index!CB$22</f>
        <v>140000.00000000003</v>
      </c>
      <c r="CD74" s="920">
        <f>'FS_Detail(M)'!CC61*'IS(M)'!$I74/12*Index!CC$22*(CD$60&gt;$H$74)+(CD$60&lt;=$H$74)*'FS_Detail(M)'!CC61*'IS(M)'!$G74/12*Index!CC$22</f>
        <v>140000.00000000003</v>
      </c>
      <c r="CE74" s="920">
        <f>'FS_Detail(M)'!CD61*'IS(M)'!$I74/12*Index!CD$22*(CE$60&gt;$H$74)+(CE$60&lt;=$H$74)*'FS_Detail(M)'!CD61*'IS(M)'!$G74/12*Index!CD$22</f>
        <v>140000.00000000003</v>
      </c>
      <c r="CF74" s="920">
        <f>'FS_Detail(M)'!CE61*'IS(M)'!$I74/12*Index!CE$22*(CF$60&gt;$H$74)+(CF$60&lt;=$H$74)*'FS_Detail(M)'!CE61*'IS(M)'!$G74/12*Index!CE$22</f>
        <v>140000.00000000003</v>
      </c>
      <c r="CG74" s="920">
        <f>'FS_Detail(M)'!CF61*'IS(M)'!$I74/12*Index!CF$22*(CG$60&gt;$H$74)+(CG$60&lt;=$H$74)*'FS_Detail(M)'!CF61*'IS(M)'!$G74/12*Index!CF$22</f>
        <v>140000.00000000003</v>
      </c>
      <c r="CH74" s="920">
        <f>'FS_Detail(M)'!CG61*'IS(M)'!$I74/12*Index!CG$22*(CH$60&gt;$H$74)+(CH$60&lt;=$H$74)*'FS_Detail(M)'!CG61*'IS(M)'!$G74/12*Index!CG$22</f>
        <v>140000.00000000003</v>
      </c>
      <c r="CI74" s="920">
        <f>'FS_Detail(M)'!CH61*'IS(M)'!$I74/12*Index!CH$22*(CI$60&gt;$H$74)+(CI$60&lt;=$H$74)*'FS_Detail(M)'!CH61*'IS(M)'!$G74/12*Index!CH$22</f>
        <v>140000.00000000003</v>
      </c>
      <c r="CJ74" s="920">
        <f>'FS_Detail(M)'!CI61*'IS(M)'!$I74/12*Index!CI$22*(CJ$60&gt;$H$74)+(CJ$60&lt;=$H$74)*'FS_Detail(M)'!CI61*'IS(M)'!$G74/12*Index!CI$22</f>
        <v>140000.00000000003</v>
      </c>
      <c r="CK74" s="920">
        <f>'FS_Detail(M)'!CJ61*'IS(M)'!$I74/12*Index!CJ$22*(CK$60&gt;$H$74)+(CK$60&lt;=$H$74)*'FS_Detail(M)'!CJ61*'IS(M)'!$G74/12*Index!CJ$22</f>
        <v>140000.00000000003</v>
      </c>
      <c r="CL74" s="920">
        <f>'FS_Detail(M)'!CK61*'IS(M)'!$I74/12*Index!CK$22*(CL$60&gt;$H$74)+(CL$60&lt;=$H$74)*'FS_Detail(M)'!CK61*'IS(M)'!$G74/12*Index!CK$22</f>
        <v>140000.00000000003</v>
      </c>
      <c r="CM74" s="920">
        <f>'FS_Detail(M)'!CL61*'IS(M)'!$I74/12*Index!CL$22*(CM$60&gt;$H$74)+(CM$60&lt;=$H$74)*'FS_Detail(M)'!CL61*'IS(M)'!$G74/12*Index!CL$22</f>
        <v>140000.00000000003</v>
      </c>
      <c r="CN74" s="920">
        <f>'FS_Detail(M)'!CM61*'IS(M)'!$I74/12*Index!CM$22*(CN$60&gt;$H$74)+(CN$60&lt;=$H$74)*'FS_Detail(M)'!CM61*'IS(M)'!$G74/12*Index!CM$22</f>
        <v>140000.00000000003</v>
      </c>
      <c r="CO74" s="920">
        <f>'FS_Detail(M)'!CN61*'IS(M)'!$I74/12*Index!CN$22*(CO$60&gt;$H$74)+(CO$60&lt;=$H$74)*'FS_Detail(M)'!CN61*'IS(M)'!$G74/12*Index!CN$22</f>
        <v>140000.00000000003</v>
      </c>
      <c r="CP74" s="920">
        <f>'FS_Detail(M)'!CO61*'IS(M)'!$I74/12*Index!CO$22*(CP$60&gt;$H$74)+(CP$60&lt;=$H$74)*'FS_Detail(M)'!CO61*'IS(M)'!$G74/12*Index!CO$22</f>
        <v>140000.00000000003</v>
      </c>
      <c r="CQ74" s="920">
        <f>'FS_Detail(M)'!CP61*'IS(M)'!$I74/12*Index!CP$22*(CQ$60&gt;$H$74)+(CQ$60&lt;=$H$74)*'FS_Detail(M)'!CP61*'IS(M)'!$G74/12*Index!CP$22</f>
        <v>140000.00000000003</v>
      </c>
      <c r="CR74" s="920">
        <f>'FS_Detail(M)'!CQ61*'IS(M)'!$I74/12*Index!CQ$22*(CR$60&gt;$H$74)+(CR$60&lt;=$H$74)*'FS_Detail(M)'!CQ61*'IS(M)'!$G74/12*Index!CQ$22</f>
        <v>140000.00000000003</v>
      </c>
      <c r="CS74" s="920">
        <f>'FS_Detail(M)'!CR61*'IS(M)'!$I74/12*Index!CR$22*(CS$60&gt;$H$74)+(CS$60&lt;=$H$74)*'FS_Detail(M)'!CR61*'IS(M)'!$G74/12*Index!CR$22</f>
        <v>140000.00000000003</v>
      </c>
      <c r="CT74" s="920">
        <f>'FS_Detail(M)'!CS61*'IS(M)'!$I74/12*Index!CS$22*(CT$60&gt;$H$74)+(CT$60&lt;=$H$74)*'FS_Detail(M)'!CS61*'IS(M)'!$G74/12*Index!CS$22</f>
        <v>140000.00000000003</v>
      </c>
      <c r="CU74" s="920">
        <f>'FS_Detail(M)'!CT61*'IS(M)'!$I74/12*Index!CT$22*(CU$60&gt;$H$74)+(CU$60&lt;=$H$74)*'FS_Detail(M)'!CT61*'IS(M)'!$G74/12*Index!CT$22</f>
        <v>140000.00000000003</v>
      </c>
      <c r="CV74" s="920">
        <f>'FS_Detail(M)'!CU61*'IS(M)'!$I74/12*Index!CU$22*(CV$60&gt;$H$74)+(CV$60&lt;=$H$74)*'FS_Detail(M)'!CU61*'IS(M)'!$G74/12*Index!CU$22</f>
        <v>140000.00000000003</v>
      </c>
      <c r="CW74" s="920">
        <f>'FS_Detail(M)'!CV61*'IS(M)'!$I74/12*Index!CV$22*(CW$60&gt;$H$74)+(CW$60&lt;=$H$74)*'FS_Detail(M)'!CV61*'IS(M)'!$G74/12*Index!CV$22</f>
        <v>140000.00000000003</v>
      </c>
      <c r="CX74" s="920">
        <f>'FS_Detail(M)'!CW61*'IS(M)'!$I74/12*Index!CW$22*(CX$60&gt;$H$74)+(CX$60&lt;=$H$74)*'FS_Detail(M)'!CW61*'IS(M)'!$G74/12*Index!CW$22</f>
        <v>140000.00000000003</v>
      </c>
      <c r="CY74" s="920">
        <f>'FS_Detail(M)'!CX61*'IS(M)'!$I74/12*Index!CX$22*(CY$60&gt;$H$74)+(CY$60&lt;=$H$74)*'FS_Detail(M)'!CX61*'IS(M)'!$G74/12*Index!CX$22</f>
        <v>140000.00000000003</v>
      </c>
      <c r="CZ74" s="920">
        <f>'FS_Detail(M)'!CY61*'IS(M)'!$I74/12*Index!CY$22*(CZ$60&gt;$H$74)+(CZ$60&lt;=$H$74)*'FS_Detail(M)'!CY61*'IS(M)'!$G74/12*Index!CY$22</f>
        <v>140000.00000000003</v>
      </c>
      <c r="DA74" s="920">
        <f>'FS_Detail(M)'!CZ61*'IS(M)'!$I74/12*Index!CZ$22*(DA$60&gt;$H$74)+(DA$60&lt;=$H$74)*'FS_Detail(M)'!CZ61*'IS(M)'!$G74/12*Index!CZ$22</f>
        <v>140000.00000000003</v>
      </c>
      <c r="DB74" s="920">
        <f>'FS_Detail(M)'!DA61*'IS(M)'!$I74/12*Index!DA$22*(DB$60&gt;$H$74)+(DB$60&lt;=$H$74)*'FS_Detail(M)'!DA61*'IS(M)'!$G74/12*Index!DA$22</f>
        <v>140000.00000000003</v>
      </c>
      <c r="DC74" s="920">
        <f>'FS_Detail(M)'!DB61*'IS(M)'!$I74/12*Index!DB$22*(DC$60&gt;$H$74)+(DC$60&lt;=$H$74)*'FS_Detail(M)'!DB61*'IS(M)'!$G74/12*Index!DB$22</f>
        <v>140000.00000000003</v>
      </c>
      <c r="DD74" s="920">
        <f>'FS_Detail(M)'!DC61*'IS(M)'!$I74/12*Index!DC$22*(DD$60&gt;$H$74)+(DD$60&lt;=$H$74)*'FS_Detail(M)'!DC61*'IS(M)'!$G74/12*Index!DC$22</f>
        <v>140000.00000000003</v>
      </c>
      <c r="DE74" s="920">
        <f>'FS_Detail(M)'!DD61*'IS(M)'!$I74/12*Index!DD$22*(DE$60&gt;$H$74)+(DE$60&lt;=$H$74)*'FS_Detail(M)'!DD61*'IS(M)'!$G74/12*Index!DD$22</f>
        <v>140000.00000000003</v>
      </c>
      <c r="DF74" s="920">
        <f>'FS_Detail(M)'!DE61*'IS(M)'!$I74/12*Index!DE$22*(DF$60&gt;$H$74)+(DF$60&lt;=$H$74)*'FS_Detail(M)'!DE61*'IS(M)'!$G74/12*Index!DE$22</f>
        <v>140000.00000000003</v>
      </c>
      <c r="DG74" s="920">
        <f>'FS_Detail(M)'!DF61*'IS(M)'!$I74/12*Index!DF$22*(DG$60&gt;$H$74)+(DG$60&lt;=$H$74)*'FS_Detail(M)'!DF61*'IS(M)'!$G74/12*Index!DF$22</f>
        <v>140000.00000000003</v>
      </c>
      <c r="DH74" s="920">
        <f>'FS_Detail(M)'!DG61*'IS(M)'!$I74/12*Index!DG$22*(DH$60&gt;$H$74)+(DH$60&lt;=$H$74)*'FS_Detail(M)'!DG61*'IS(M)'!$G74/12*Index!DG$22</f>
        <v>140000.00000000003</v>
      </c>
      <c r="DI74" s="920">
        <f>'FS_Detail(M)'!DH61*'IS(M)'!$I74/12*Index!DH$22*(DI$60&gt;$H$74)+(DI$60&lt;=$H$74)*'FS_Detail(M)'!DH61*'IS(M)'!$G74/12*Index!DH$22</f>
        <v>140000.00000000003</v>
      </c>
      <c r="DJ74" s="920">
        <f>'FS_Detail(M)'!DI61*'IS(M)'!$I74/12*Index!DI$22*(DJ$60&gt;$H$74)+(DJ$60&lt;=$H$74)*'FS_Detail(M)'!DI61*'IS(M)'!$G74/12*Index!DI$22</f>
        <v>140000.00000000003</v>
      </c>
      <c r="DK74" s="920">
        <f>'FS_Detail(M)'!DJ61*'IS(M)'!$I74/12*Index!DJ$22*(DK$60&gt;$H$74)+(DK$60&lt;=$H$74)*'FS_Detail(M)'!DJ61*'IS(M)'!$G74/12*Index!DJ$22</f>
        <v>140000.00000000003</v>
      </c>
      <c r="DL74" s="920">
        <f>'FS_Detail(M)'!DK61*'IS(M)'!$I74/12*Index!DK$22*(DL$60&gt;$H$74)+(DL$60&lt;=$H$74)*'FS_Detail(M)'!DK61*'IS(M)'!$G74/12*Index!DK$22</f>
        <v>140000.00000000003</v>
      </c>
      <c r="DM74" s="920">
        <f>'FS_Detail(M)'!DL61*'IS(M)'!$I74/12*Index!DL$22*(DM$60&gt;$H$74)+(DM$60&lt;=$H$74)*'FS_Detail(M)'!DL61*'IS(M)'!$G74/12*Index!DL$22</f>
        <v>140000.00000000003</v>
      </c>
      <c r="DN74" s="920">
        <f>'FS_Detail(M)'!DM61*'IS(M)'!$I74/12*Index!DM$22*(DN$60&gt;$H$74)+(DN$60&lt;=$H$74)*'FS_Detail(M)'!DM61*'IS(M)'!$G74/12*Index!DM$22</f>
        <v>140000.00000000003</v>
      </c>
      <c r="DO74" s="920">
        <f>'FS_Detail(M)'!DN61*'IS(M)'!$I74/12*Index!DN$22*(DO$60&gt;$H$74)+(DO$60&lt;=$H$74)*'FS_Detail(M)'!DN61*'IS(M)'!$G74/12*Index!DN$22</f>
        <v>140000.00000000003</v>
      </c>
      <c r="DP74" s="920">
        <f>'FS_Detail(M)'!DO61*'IS(M)'!$I74/12*Index!DO$22*(DP$60&gt;$H$74)+(DP$60&lt;=$H$74)*'FS_Detail(M)'!DO61*'IS(M)'!$G74/12*Index!DO$22</f>
        <v>140000.00000000003</v>
      </c>
      <c r="DQ74" s="920">
        <f>'FS_Detail(M)'!DP61*'IS(M)'!$I74/12*Index!DP$22*(DQ$60&gt;$H$74)+(DQ$60&lt;=$H$74)*'FS_Detail(M)'!DP61*'IS(M)'!$G74/12*Index!DP$22</f>
        <v>140000.00000000003</v>
      </c>
      <c r="DR74" s="920">
        <f>'FS_Detail(M)'!DQ61*'IS(M)'!$I74/12*Index!DQ$22*(DR$60&gt;$H$74)+(DR$60&lt;=$H$74)*'FS_Detail(M)'!DQ61*'IS(M)'!$G74/12*Index!DQ$22</f>
        <v>140000.00000000003</v>
      </c>
      <c r="DS74" s="920">
        <f>'FS_Detail(M)'!DR61*'IS(M)'!$I74/12*Index!DR$22*(DS$60&gt;$H$74)+(DS$60&lt;=$H$74)*'FS_Detail(M)'!DR61*'IS(M)'!$G74/12*Index!DR$22</f>
        <v>140000.00000000003</v>
      </c>
      <c r="DT74" s="920">
        <f>'FS_Detail(M)'!DS61*'IS(M)'!$I74/12*Index!DS$22*(DT$60&gt;$H$74)+(DT$60&lt;=$H$74)*'FS_Detail(M)'!DS61*'IS(M)'!$G74/12*Index!DS$22</f>
        <v>140000.00000000003</v>
      </c>
      <c r="DU74" s="920">
        <f>'FS_Detail(M)'!DT61*'IS(M)'!$I74/12*Index!DT$22*(DU$60&gt;$H$74)+(DU$60&lt;=$H$74)*'FS_Detail(M)'!DT61*'IS(M)'!$G74/12*Index!DT$22</f>
        <v>140000.00000000003</v>
      </c>
      <c r="DV74" s="920">
        <f>'FS_Detail(M)'!DU61*'IS(M)'!$I74/12*Index!DU$22*(DV$60&gt;$H$74)+(DV$60&lt;=$H$74)*'FS_Detail(M)'!DU61*'IS(M)'!$G74/12*Index!DU$22</f>
        <v>140000.00000000003</v>
      </c>
      <c r="DW74" s="920">
        <f>'FS_Detail(M)'!DV61*'IS(M)'!$I74/12*Index!DV$22*(DW$60&gt;$H$74)+(DW$60&lt;=$H$74)*'FS_Detail(M)'!DV61*'IS(M)'!$G74/12*Index!DV$22</f>
        <v>140000.00000000003</v>
      </c>
      <c r="DX74" s="920">
        <f>'FS_Detail(M)'!DW61*'IS(M)'!$I74/12*Index!DW$22*(DX$60&gt;$H$74)+(DX$60&lt;=$H$74)*'FS_Detail(M)'!DW61*'IS(M)'!$G74/12*Index!DW$22</f>
        <v>140000.00000000003</v>
      </c>
      <c r="DY74" s="920">
        <f>'FS_Detail(M)'!DX61*'IS(M)'!$I74/12*Index!DX$22*(DY$60&gt;$H$74)+(DY$60&lt;=$H$74)*'FS_Detail(M)'!DX61*'IS(M)'!$G74/12*Index!DX$22</f>
        <v>140000.00000000003</v>
      </c>
      <c r="DZ74" s="920">
        <f>'FS_Detail(M)'!DY61*'IS(M)'!$I74/12*Index!DY$22*(DZ$60&gt;$H$74)+(DZ$60&lt;=$H$74)*'FS_Detail(M)'!DY61*'IS(M)'!$G74/12*Index!DY$22</f>
        <v>140000.00000000003</v>
      </c>
      <c r="EA74" s="920">
        <f>'FS_Detail(M)'!DZ61*'IS(M)'!$I74/12*Index!DZ$22*(EA$60&gt;$H$74)+(EA$60&lt;=$H$74)*'FS_Detail(M)'!DZ61*'IS(M)'!$G74/12*Index!DZ$22</f>
        <v>140000.00000000003</v>
      </c>
      <c r="EB74" s="920">
        <f>'FS_Detail(M)'!EA61*'IS(M)'!$I74/12*Index!EA$22*(EB$60&gt;$H$74)+(EB$60&lt;=$H$74)*'FS_Detail(M)'!EA61*'IS(M)'!$G74/12*Index!EA$22</f>
        <v>140000.00000000003</v>
      </c>
      <c r="EC74" s="920">
        <f>'FS_Detail(M)'!EB61*'IS(M)'!$I74/12*Index!EB$22*(EC$60&gt;$H$74)+(EC$60&lt;=$H$74)*'FS_Detail(M)'!EB61*'IS(M)'!$G74/12*Index!EB$22</f>
        <v>140000.00000000003</v>
      </c>
      <c r="ED74" s="920">
        <f>'FS_Detail(M)'!EC61*'IS(M)'!$I74/12*Index!EC$22*(ED$60&gt;$H$74)+(ED$60&lt;=$H$74)*'FS_Detail(M)'!EC61*'IS(M)'!$G74/12*Index!EC$22</f>
        <v>0</v>
      </c>
      <c r="EE74" s="920">
        <f>'FS_Detail(M)'!ED61*'IS(M)'!$I74/12*Index!ED$22*(EE$60&gt;$H$74)+(EE$60&lt;=$H$74)*'FS_Detail(M)'!ED61*'IS(M)'!$G74/12*Index!ED$22</f>
        <v>0</v>
      </c>
      <c r="EF74" s="920">
        <f>'FS_Detail(M)'!EE61*'IS(M)'!$I74/12*Index!EE$22*(EF$60&gt;$H$74)+(EF$60&lt;=$H$74)*'FS_Detail(M)'!EE61*'IS(M)'!$G74/12*Index!EE$22</f>
        <v>0</v>
      </c>
      <c r="EG74" s="920">
        <f>'FS_Detail(M)'!EF61*'IS(M)'!$I74/12*Index!EF$22*(EG$60&gt;$H$74)+(EG$60&lt;=$H$74)*'FS_Detail(M)'!EF61*'IS(M)'!$G74/12*Index!EF$22</f>
        <v>0</v>
      </c>
      <c r="EH74" s="920">
        <f>'FS_Detail(M)'!EG61*'IS(M)'!$I74/12*Index!EG$22*(EH$60&gt;$H$74)+(EH$60&lt;=$H$74)*'FS_Detail(M)'!EG61*'IS(M)'!$G74/12*Index!EG$22</f>
        <v>0</v>
      </c>
      <c r="EI74" s="920">
        <f>'FS_Detail(M)'!EH61*'IS(M)'!$I74/12*Index!EH$22*(EI$60&gt;$H$74)+(EI$60&lt;=$H$74)*'FS_Detail(M)'!EH61*'IS(M)'!$G74/12*Index!EH$22</f>
        <v>0</v>
      </c>
      <c r="EJ74" s="920">
        <f>'FS_Detail(M)'!EI61*'IS(M)'!$I74/12*Index!EI$22*(EJ$60&gt;$H$74)+(EJ$60&lt;=$H$74)*'FS_Detail(M)'!EI61*'IS(M)'!$G74/12*Index!EI$22</f>
        <v>0</v>
      </c>
      <c r="EK74" s="920">
        <f>'FS_Detail(M)'!EJ61*'IS(M)'!$I74/12*Index!EJ$22*(EK$60&gt;$H$74)+(EK$60&lt;=$H$74)*'FS_Detail(M)'!EJ61*'IS(M)'!$G74/12*Index!EJ$22</f>
        <v>0</v>
      </c>
      <c r="EL74" s="920">
        <f>'FS_Detail(M)'!EK61*'IS(M)'!$I74/12*Index!EK$22*(EL$60&gt;$H$74)+(EL$60&lt;=$H$74)*'FS_Detail(M)'!EK61*'IS(M)'!$G74/12*Index!EK$22</f>
        <v>0</v>
      </c>
      <c r="EM74" s="920">
        <f>'FS_Detail(M)'!EL61*'IS(M)'!$I74/12*Index!EL$22*(EM$60&gt;$H$74)+(EM$60&lt;=$H$74)*'FS_Detail(M)'!EL61*'IS(M)'!$G74/12*Index!EL$22</f>
        <v>0</v>
      </c>
      <c r="EN74" s="920">
        <f>'FS_Detail(M)'!EM61*'IS(M)'!$I74/12*Index!EM$22*(EN$60&gt;$H$74)+(EN$60&lt;=$H$74)*'FS_Detail(M)'!EM61*'IS(M)'!$G74/12*Index!EM$22</f>
        <v>0</v>
      </c>
      <c r="EO74" s="920">
        <f>'FS_Detail(M)'!EN61*'IS(M)'!$I74/12*Index!EN$22*(EO$60&gt;$H$74)+(EO$60&lt;=$H$74)*'FS_Detail(M)'!EN61*'IS(M)'!$G74/12*Index!EN$22</f>
        <v>0</v>
      </c>
      <c r="EP74" s="920">
        <f>'FS_Detail(M)'!EO61*'IS(M)'!$I74/12*Index!EO$22*(EP$60&gt;$H$74)+(EP$60&lt;=$H$74)*'FS_Detail(M)'!EO61*'IS(M)'!$G74/12*Index!EO$22</f>
        <v>0</v>
      </c>
      <c r="EQ74" s="920">
        <f>'FS_Detail(M)'!EP61*'IS(M)'!$I74/12*Index!EP$22*(EQ$60&gt;$H$74)+(EQ$60&lt;=$H$74)*'FS_Detail(M)'!EP61*'IS(M)'!$G74/12*Index!EP$22</f>
        <v>0</v>
      </c>
      <c r="ER74" s="920">
        <f>'FS_Detail(M)'!EQ61*'IS(M)'!$I74/12*Index!EQ$22*(ER$60&gt;$H$74)+(ER$60&lt;=$H$74)*'FS_Detail(M)'!EQ61*'IS(M)'!$G74/12*Index!EQ$22</f>
        <v>0</v>
      </c>
    </row>
    <row r="75" spans="2:148" ht="11.25" customHeight="1">
      <c r="B75" s="218"/>
      <c r="C75" s="911" t="s">
        <v>232</v>
      </c>
      <c r="D75" s="912"/>
      <c r="E75" s="912"/>
      <c r="F75" s="912"/>
      <c r="G75" s="912"/>
      <c r="H75" s="913">
        <f>'A&amp;R'!E39</f>
        <v>49979</v>
      </c>
      <c r="I75" s="913"/>
      <c r="J75" s="914"/>
      <c r="K75" s="918">
        <f ca="1">SUM(M75:ER75)</f>
        <v>16800000.000000004</v>
      </c>
      <c r="L75" s="98"/>
      <c r="M75" s="920">
        <f ca="1">MIN(SUM(M73:M74),MAX(M$66,))*Index!L$48*(M$6&lt;$H75)+(M$6=$H75)*SUM(M73:M74)</f>
        <v>0</v>
      </c>
      <c r="N75" s="920">
        <f ca="1">MIN(SUM(N73:N74),MAX(N$66,))*Index!M$48*(N$6&lt;$H75)+(N$6=$H75)*SUM(N73:N74)</f>
        <v>0</v>
      </c>
      <c r="O75" s="920">
        <f ca="1">MIN(SUM(O73:O74),MAX(O$66,))*Index!N$48*(O$6&lt;$H75)+(O$6=$H75)*SUM(O73:O74)</f>
        <v>0</v>
      </c>
      <c r="P75" s="920">
        <f ca="1">MIN(SUM(P73:P74),MAX(P$66,))*Index!O$48*(P$6&lt;$H75)+(P$6=$H75)*SUM(P73:P74)</f>
        <v>0</v>
      </c>
      <c r="Q75" s="920">
        <f ca="1">MIN(SUM(Q73:Q74),MAX(Q$66,))*Index!P$48*(Q$6&lt;$H75)+(Q$6=$H75)*SUM(Q73:Q74)</f>
        <v>0</v>
      </c>
      <c r="R75" s="920">
        <f ca="1">MIN(SUM(R73:R74),MAX(R$66,))*Index!Q$48*(R$6&lt;$H75)+(R$6=$H75)*SUM(R73:R74)</f>
        <v>0</v>
      </c>
      <c r="S75" s="920">
        <f ca="1">MIN(SUM(S73:S74),MAX(S$66,))*Index!R$48*(S$6&lt;$H75)+(S$6=$H75)*SUM(S73:S74)</f>
        <v>840000.00000000012</v>
      </c>
      <c r="T75" s="920">
        <f ca="1">MIN(SUM(T73:T74),MAX(T$66,))*Index!S$48*(T$6&lt;$H75)+(T$6=$H75)*SUM(T73:T74)</f>
        <v>0</v>
      </c>
      <c r="U75" s="920">
        <f ca="1">MIN(SUM(U73:U74),MAX(U$66,))*Index!T$48*(U$6&lt;$H75)+(U$6=$H75)*SUM(U73:U74)</f>
        <v>0</v>
      </c>
      <c r="V75" s="920">
        <f ca="1">MIN(SUM(V73:V74),MAX(V$66,))*Index!U$48*(V$6&lt;$H75)+(V$6=$H75)*SUM(V73:V74)</f>
        <v>0</v>
      </c>
      <c r="W75" s="920">
        <f ca="1">MIN(SUM(W73:W74),MAX(W$66,))*Index!V$48*(W$6&lt;$H75)+(W$6=$H75)*SUM(W73:W74)</f>
        <v>0</v>
      </c>
      <c r="X75" s="920">
        <f ca="1">MIN(SUM(X73:X74),MAX(X$66,))*Index!W$48*(X$6&lt;$H75)+(X$6=$H75)*SUM(X73:X74)</f>
        <v>0</v>
      </c>
      <c r="Y75" s="920">
        <f ca="1">MIN(SUM(Y73:Y74),MAX(Y$66,))*Index!X$48*(Y$6&lt;$H75)+(Y$6=$H75)*SUM(Y73:Y74)</f>
        <v>840000.00000000012</v>
      </c>
      <c r="Z75" s="920">
        <f ca="1">MIN(SUM(Z73:Z74),MAX(Z$66,))*Index!Y$48*(Z$6&lt;$H75)+(Z$6=$H75)*SUM(Z73:Z74)</f>
        <v>0</v>
      </c>
      <c r="AA75" s="920">
        <f ca="1">MIN(SUM(AA73:AA74),MAX(AA$66,))*Index!Z$48*(AA$6&lt;$H75)+(AA$6=$H75)*SUM(AA73:AA74)</f>
        <v>0</v>
      </c>
      <c r="AB75" s="920">
        <f ca="1">MIN(SUM(AB73:AB74),MAX(AB$66,))*Index!AA$48*(AB$6&lt;$H75)+(AB$6=$H75)*SUM(AB73:AB74)</f>
        <v>0</v>
      </c>
      <c r="AC75" s="920">
        <f ca="1">MIN(SUM(AC73:AC74),MAX(AC$66,))*Index!AB$48*(AC$6&lt;$H75)+(AC$6=$H75)*SUM(AC73:AC74)</f>
        <v>0</v>
      </c>
      <c r="AD75" s="920">
        <f ca="1">MIN(SUM(AD73:AD74),MAX(AD$66,))*Index!AC$48*(AD$6&lt;$H75)+(AD$6=$H75)*SUM(AD73:AD74)</f>
        <v>0</v>
      </c>
      <c r="AE75" s="920">
        <f ca="1">MIN(SUM(AE73:AE74),MAX(AE$66,))*Index!AD$48*(AE$6&lt;$H75)+(AE$6=$H75)*SUM(AE73:AE74)</f>
        <v>840000.00000000012</v>
      </c>
      <c r="AF75" s="920">
        <f ca="1">MIN(SUM(AF73:AF74),MAX(AF$66,))*Index!AE$48*(AF$6&lt;$H75)+(AF$6=$H75)*SUM(AF73:AF74)</f>
        <v>0</v>
      </c>
      <c r="AG75" s="920">
        <f ca="1">MIN(SUM(AG73:AG74),MAX(AG$66,))*Index!AF$48*(AG$6&lt;$H75)+(AG$6=$H75)*SUM(AG73:AG74)</f>
        <v>0</v>
      </c>
      <c r="AH75" s="920">
        <f ca="1">MIN(SUM(AH73:AH74),MAX(AH$66,))*Index!AG$48*(AH$6&lt;$H75)+(AH$6=$H75)*SUM(AH73:AH74)</f>
        <v>0</v>
      </c>
      <c r="AI75" s="920">
        <f ca="1">MIN(SUM(AI73:AI74),MAX(AI$66,))*Index!AH$48*(AI$6&lt;$H75)+(AI$6=$H75)*SUM(AI73:AI74)</f>
        <v>0</v>
      </c>
      <c r="AJ75" s="920">
        <f ca="1">MIN(SUM(AJ73:AJ74),MAX(AJ$66,))*Index!AI$48*(AJ$6&lt;$H75)+(AJ$6=$H75)*SUM(AJ73:AJ74)</f>
        <v>0</v>
      </c>
      <c r="AK75" s="920">
        <f ca="1">MIN(SUM(AK73:AK74),MAX(AK$66,))*Index!AJ$48*(AK$6&lt;$H75)+(AK$6=$H75)*SUM(AK73:AK74)</f>
        <v>840000.00000000012</v>
      </c>
      <c r="AL75" s="920">
        <f ca="1">MIN(SUM(AL73:AL74),MAX(AL$66,))*Index!AK$48*(AL$6&lt;$H75)+(AL$6=$H75)*SUM(AL73:AL74)</f>
        <v>0</v>
      </c>
      <c r="AM75" s="920">
        <f ca="1">MIN(SUM(AM73:AM74),MAX(AM$66,))*Index!AL$48*(AM$6&lt;$H75)+(AM$6=$H75)*SUM(AM73:AM74)</f>
        <v>0</v>
      </c>
      <c r="AN75" s="920">
        <f ca="1">MIN(SUM(AN73:AN74),MAX(AN$66,))*Index!AM$48*(AN$6&lt;$H75)+(AN$6=$H75)*SUM(AN73:AN74)</f>
        <v>0</v>
      </c>
      <c r="AO75" s="920">
        <f ca="1">MIN(SUM(AO73:AO74),MAX(AO$66,))*Index!AN$48*(AO$6&lt;$H75)+(AO$6=$H75)*SUM(AO73:AO74)</f>
        <v>0</v>
      </c>
      <c r="AP75" s="920">
        <f ca="1">MIN(SUM(AP73:AP74),MAX(AP$66,))*Index!AO$48*(AP$6&lt;$H75)+(AP$6=$H75)*SUM(AP73:AP74)</f>
        <v>0</v>
      </c>
      <c r="AQ75" s="920">
        <f ca="1">MIN(SUM(AQ73:AQ74),MAX(AQ$66,))*Index!AP$48*(AQ$6&lt;$H75)+(AQ$6=$H75)*SUM(AQ73:AQ74)</f>
        <v>840000.00000000012</v>
      </c>
      <c r="AR75" s="920">
        <f ca="1">MIN(SUM(AR73:AR74),MAX(AR$66,))*Index!AQ$48*(AR$6&lt;$H75)+(AR$6=$H75)*SUM(AR73:AR74)</f>
        <v>0</v>
      </c>
      <c r="AS75" s="920">
        <f ca="1">MIN(SUM(AS73:AS74),MAX(AS$66,))*Index!AR$48*(AS$6&lt;$H75)+(AS$6=$H75)*SUM(AS73:AS74)</f>
        <v>0</v>
      </c>
      <c r="AT75" s="920">
        <f ca="1">MIN(SUM(AT73:AT74),MAX(AT$66,))*Index!AS$48*(AT$6&lt;$H75)+(AT$6=$H75)*SUM(AT73:AT74)</f>
        <v>0</v>
      </c>
      <c r="AU75" s="920">
        <f ca="1">MIN(SUM(AU73:AU74),MAX(AU$66,))*Index!AT$48*(AU$6&lt;$H75)+(AU$6=$H75)*SUM(AU73:AU74)</f>
        <v>0</v>
      </c>
      <c r="AV75" s="920">
        <f ca="1">MIN(SUM(AV73:AV74),MAX(AV$66,))*Index!AU$48*(AV$6&lt;$H75)+(AV$6=$H75)*SUM(AV73:AV74)</f>
        <v>0</v>
      </c>
      <c r="AW75" s="920">
        <f ca="1">MIN(SUM(AW73:AW74),MAX(AW$66,))*Index!AV$48*(AW$6&lt;$H75)+(AW$6=$H75)*SUM(AW73:AW74)</f>
        <v>840000.00000000012</v>
      </c>
      <c r="AX75" s="920">
        <f ca="1">MIN(SUM(AX73:AX74),MAX(AX$66,))*Index!AW$48*(AX$6&lt;$H75)+(AX$6=$H75)*SUM(AX73:AX74)</f>
        <v>0</v>
      </c>
      <c r="AY75" s="920">
        <f ca="1">MIN(SUM(AY73:AY74),MAX(AY$66,))*Index!AX$48*(AY$6&lt;$H75)+(AY$6=$H75)*SUM(AY73:AY74)</f>
        <v>0</v>
      </c>
      <c r="AZ75" s="920">
        <f ca="1">MIN(SUM(AZ73:AZ74),MAX(AZ$66,))*Index!AY$48*(AZ$6&lt;$H75)+(AZ$6=$H75)*SUM(AZ73:AZ74)</f>
        <v>0</v>
      </c>
      <c r="BA75" s="920">
        <f ca="1">MIN(SUM(BA73:BA74),MAX(BA$66,))*Index!AZ$48*(BA$6&lt;$H75)+(BA$6=$H75)*SUM(BA73:BA74)</f>
        <v>0</v>
      </c>
      <c r="BB75" s="920">
        <f ca="1">MIN(SUM(BB73:BB74),MAX(BB$66,))*Index!BA$48*(BB$6&lt;$H75)+(BB$6=$H75)*SUM(BB73:BB74)</f>
        <v>0</v>
      </c>
      <c r="BC75" s="920">
        <f ca="1">MIN(SUM(BC73:BC74),MAX(BC$66,))*Index!BB$48*(BC$6&lt;$H75)+(BC$6=$H75)*SUM(BC73:BC74)</f>
        <v>840000.00000000012</v>
      </c>
      <c r="BD75" s="920">
        <f ca="1">MIN(SUM(BD73:BD74),MAX(BD$66,))*Index!BC$48*(BD$6&lt;$H75)+(BD$6=$H75)*SUM(BD73:BD74)</f>
        <v>0</v>
      </c>
      <c r="BE75" s="920">
        <f ca="1">MIN(SUM(BE73:BE74),MAX(BE$66,))*Index!BD$48*(BE$6&lt;$H75)+(BE$6=$H75)*SUM(BE73:BE74)</f>
        <v>0</v>
      </c>
      <c r="BF75" s="920">
        <f ca="1">MIN(SUM(BF73:BF74),MAX(BF$66,))*Index!BE$48*(BF$6&lt;$H75)+(BF$6=$H75)*SUM(BF73:BF74)</f>
        <v>0</v>
      </c>
      <c r="BG75" s="920">
        <f ca="1">MIN(SUM(BG73:BG74),MAX(BG$66,))*Index!BF$48*(BG$6&lt;$H75)+(BG$6=$H75)*SUM(BG73:BG74)</f>
        <v>0</v>
      </c>
      <c r="BH75" s="920">
        <f ca="1">MIN(SUM(BH73:BH74),MAX(BH$66,))*Index!BG$48*(BH$6&lt;$H75)+(BH$6=$H75)*SUM(BH73:BH74)</f>
        <v>0</v>
      </c>
      <c r="BI75" s="920">
        <f ca="1">MIN(SUM(BI73:BI74),MAX(BI$66,))*Index!BH$48*(BI$6&lt;$H75)+(BI$6=$H75)*SUM(BI73:BI74)</f>
        <v>840000.00000000012</v>
      </c>
      <c r="BJ75" s="920">
        <f ca="1">MIN(SUM(BJ73:BJ74),MAX(BJ$66,))*Index!BI$48*(BJ$6&lt;$H75)+(BJ$6=$H75)*SUM(BJ73:BJ74)</f>
        <v>0</v>
      </c>
      <c r="BK75" s="920">
        <f ca="1">MIN(SUM(BK73:BK74),MAX(BK$66,))*Index!BJ$48*(BK$6&lt;$H75)+(BK$6=$H75)*SUM(BK73:BK74)</f>
        <v>0</v>
      </c>
      <c r="BL75" s="920">
        <f ca="1">MIN(SUM(BL73:BL74),MAX(BL$66,))*Index!BK$48*(BL$6&lt;$H75)+(BL$6=$H75)*SUM(BL73:BL74)</f>
        <v>0</v>
      </c>
      <c r="BM75" s="920">
        <f ca="1">MIN(SUM(BM73:BM74),MAX(BM$66,))*Index!BL$48*(BM$6&lt;$H75)+(BM$6=$H75)*SUM(BM73:BM74)</f>
        <v>0</v>
      </c>
      <c r="BN75" s="920">
        <f ca="1">MIN(SUM(BN73:BN74),MAX(BN$66,))*Index!BM$48*(BN$6&lt;$H75)+(BN$6=$H75)*SUM(BN73:BN74)</f>
        <v>0</v>
      </c>
      <c r="BO75" s="920">
        <f ca="1">MIN(SUM(BO73:BO74),MAX(BO$66,))*Index!BN$48*(BO$6&lt;$H75)+(BO$6=$H75)*SUM(BO73:BO74)</f>
        <v>840000.00000000012</v>
      </c>
      <c r="BP75" s="920">
        <f ca="1">MIN(SUM(BP73:BP74),MAX(BP$66,))*Index!BO$48*(BP$6&lt;$H75)+(BP$6=$H75)*SUM(BP73:BP74)</f>
        <v>0</v>
      </c>
      <c r="BQ75" s="920">
        <f ca="1">MIN(SUM(BQ73:BQ74),MAX(BQ$66,))*Index!BP$48*(BQ$6&lt;$H75)+(BQ$6=$H75)*SUM(BQ73:BQ74)</f>
        <v>0</v>
      </c>
      <c r="BR75" s="920">
        <f ca="1">MIN(SUM(BR73:BR74),MAX(BR$66,))*Index!BQ$48*(BR$6&lt;$H75)+(BR$6=$H75)*SUM(BR73:BR74)</f>
        <v>0</v>
      </c>
      <c r="BS75" s="920">
        <f ca="1">MIN(SUM(BS73:BS74),MAX(BS$66,))*Index!BR$48*(BS$6&lt;$H75)+(BS$6=$H75)*SUM(BS73:BS74)</f>
        <v>0</v>
      </c>
      <c r="BT75" s="920">
        <f ca="1">MIN(SUM(BT73:BT74),MAX(BT$66,))*Index!BS$48*(BT$6&lt;$H75)+(BT$6=$H75)*SUM(BT73:BT74)</f>
        <v>0</v>
      </c>
      <c r="BU75" s="920">
        <f ca="1">MIN(SUM(BU73:BU74),MAX(BU$66,))*Index!BT$48*(BU$6&lt;$H75)+(BU$6=$H75)*SUM(BU73:BU74)</f>
        <v>840000.00000000012</v>
      </c>
      <c r="BV75" s="920">
        <f ca="1">MIN(SUM(BV73:BV74),MAX(BV$66,))*Index!BU$48*(BV$6&lt;$H75)+(BV$6=$H75)*SUM(BV73:BV74)</f>
        <v>0</v>
      </c>
      <c r="BW75" s="920">
        <f ca="1">MIN(SUM(BW73:BW74),MAX(BW$66,))*Index!BV$48*(BW$6&lt;$H75)+(BW$6=$H75)*SUM(BW73:BW74)</f>
        <v>0</v>
      </c>
      <c r="BX75" s="920">
        <f ca="1">MIN(SUM(BX73:BX74),MAX(BX$66,))*Index!BW$48*(BX$6&lt;$H75)+(BX$6=$H75)*SUM(BX73:BX74)</f>
        <v>0</v>
      </c>
      <c r="BY75" s="920">
        <f ca="1">MIN(SUM(BY73:BY74),MAX(BY$66,))*Index!BX$48*(BY$6&lt;$H75)+(BY$6=$H75)*SUM(BY73:BY74)</f>
        <v>0</v>
      </c>
      <c r="BZ75" s="920">
        <f ca="1">MIN(SUM(BZ73:BZ74),MAX(BZ$66,))*Index!BY$48*(BZ$6&lt;$H75)+(BZ$6=$H75)*SUM(BZ73:BZ74)</f>
        <v>0</v>
      </c>
      <c r="CA75" s="920">
        <f ca="1">MIN(SUM(CA73:CA74),MAX(CA$66,))*Index!BZ$48*(CA$6&lt;$H75)+(CA$6=$H75)*SUM(CA73:CA74)</f>
        <v>840000.00000000012</v>
      </c>
      <c r="CB75" s="920">
        <f ca="1">MIN(SUM(CB73:CB74),MAX(CB$66,))*Index!CA$48*(CB$6&lt;$H75)+(CB$6=$H75)*SUM(CB73:CB74)</f>
        <v>0</v>
      </c>
      <c r="CC75" s="920">
        <f ca="1">MIN(SUM(CC73:CC74),MAX(CC$66,))*Index!CB$48*(CC$6&lt;$H75)+(CC$6=$H75)*SUM(CC73:CC74)</f>
        <v>0</v>
      </c>
      <c r="CD75" s="920">
        <f ca="1">MIN(SUM(CD73:CD74),MAX(CD$66,))*Index!CC$48*(CD$6&lt;$H75)+(CD$6=$H75)*SUM(CD73:CD74)</f>
        <v>0</v>
      </c>
      <c r="CE75" s="920">
        <f ca="1">MIN(SUM(CE73:CE74),MAX(CE$66,))*Index!CD$48*(CE$6&lt;$H75)+(CE$6=$H75)*SUM(CE73:CE74)</f>
        <v>0</v>
      </c>
      <c r="CF75" s="920">
        <f ca="1">MIN(SUM(CF73:CF74),MAX(CF$66,))*Index!CE$48*(CF$6&lt;$H75)+(CF$6=$H75)*SUM(CF73:CF74)</f>
        <v>0</v>
      </c>
      <c r="CG75" s="920">
        <f ca="1">MIN(SUM(CG73:CG74),MAX(CG$66,))*Index!CF$48*(CG$6&lt;$H75)+(CG$6=$H75)*SUM(CG73:CG74)</f>
        <v>840000.00000000012</v>
      </c>
      <c r="CH75" s="920">
        <f ca="1">MIN(SUM(CH73:CH74),MAX(CH$66,))*Index!CG$48*(CH$6&lt;$H75)+(CH$6=$H75)*SUM(CH73:CH74)</f>
        <v>0</v>
      </c>
      <c r="CI75" s="920">
        <f ca="1">MIN(SUM(CI73:CI74),MAX(CI$66,))*Index!CH$48*(CI$6&lt;$H75)+(CI$6=$H75)*SUM(CI73:CI74)</f>
        <v>0</v>
      </c>
      <c r="CJ75" s="920">
        <f ca="1">MIN(SUM(CJ73:CJ74),MAX(CJ$66,))*Index!CI$48*(CJ$6&lt;$H75)+(CJ$6=$H75)*SUM(CJ73:CJ74)</f>
        <v>0</v>
      </c>
      <c r="CK75" s="920">
        <f ca="1">MIN(SUM(CK73:CK74),MAX(CK$66,))*Index!CJ$48*(CK$6&lt;$H75)+(CK$6=$H75)*SUM(CK73:CK74)</f>
        <v>0</v>
      </c>
      <c r="CL75" s="920">
        <f ca="1">MIN(SUM(CL73:CL74),MAX(CL$66,))*Index!CK$48*(CL$6&lt;$H75)+(CL$6=$H75)*SUM(CL73:CL74)</f>
        <v>0</v>
      </c>
      <c r="CM75" s="920">
        <f ca="1">MIN(SUM(CM73:CM74),MAX(CM$66,))*Index!CL$48*(CM$6&lt;$H75)+(CM$6=$H75)*SUM(CM73:CM74)</f>
        <v>840000.00000000012</v>
      </c>
      <c r="CN75" s="920">
        <f ca="1">MIN(SUM(CN73:CN74),MAX(CN$66,))*Index!CM$48*(CN$6&lt;$H75)+(CN$6=$H75)*SUM(CN73:CN74)</f>
        <v>0</v>
      </c>
      <c r="CO75" s="920">
        <f ca="1">MIN(SUM(CO73:CO74),MAX(CO$66,))*Index!CN$48*(CO$6&lt;$H75)+(CO$6=$H75)*SUM(CO73:CO74)</f>
        <v>0</v>
      </c>
      <c r="CP75" s="920">
        <f ca="1">MIN(SUM(CP73:CP74),MAX(CP$66,))*Index!CO$48*(CP$6&lt;$H75)+(CP$6=$H75)*SUM(CP73:CP74)</f>
        <v>0</v>
      </c>
      <c r="CQ75" s="920">
        <f ca="1">MIN(SUM(CQ73:CQ74),MAX(CQ$66,))*Index!CP$48*(CQ$6&lt;$H75)+(CQ$6=$H75)*SUM(CQ73:CQ74)</f>
        <v>0</v>
      </c>
      <c r="CR75" s="920">
        <f ca="1">MIN(SUM(CR73:CR74),MAX(CR$66,))*Index!CQ$48*(CR$6&lt;$H75)+(CR$6=$H75)*SUM(CR73:CR74)</f>
        <v>0</v>
      </c>
      <c r="CS75" s="920">
        <f ca="1">MIN(SUM(CS73:CS74),MAX(CS$66,))*Index!CR$48*(CS$6&lt;$H75)+(CS$6=$H75)*SUM(CS73:CS74)</f>
        <v>840000.00000000012</v>
      </c>
      <c r="CT75" s="920">
        <f ca="1">MIN(SUM(CT73:CT74),MAX(CT$66,))*Index!CS$48*(CT$6&lt;$H75)+(CT$6=$H75)*SUM(CT73:CT74)</f>
        <v>0</v>
      </c>
      <c r="CU75" s="920">
        <f ca="1">MIN(SUM(CU73:CU74),MAX(CU$66,))*Index!CT$48*(CU$6&lt;$H75)+(CU$6=$H75)*SUM(CU73:CU74)</f>
        <v>0</v>
      </c>
      <c r="CV75" s="920">
        <f ca="1">MIN(SUM(CV73:CV74),MAX(CV$66,))*Index!CU$48*(CV$6&lt;$H75)+(CV$6=$H75)*SUM(CV73:CV74)</f>
        <v>0</v>
      </c>
      <c r="CW75" s="920">
        <f ca="1">MIN(SUM(CW73:CW74),MAX(CW$66,))*Index!CV$48*(CW$6&lt;$H75)+(CW$6=$H75)*SUM(CW73:CW74)</f>
        <v>0</v>
      </c>
      <c r="CX75" s="920">
        <f ca="1">MIN(SUM(CX73:CX74),MAX(CX$66,))*Index!CW$48*(CX$6&lt;$H75)+(CX$6=$H75)*SUM(CX73:CX74)</f>
        <v>0</v>
      </c>
      <c r="CY75" s="920">
        <f ca="1">MIN(SUM(CY73:CY74),MAX(CY$66,))*Index!CX$48*(CY$6&lt;$H75)+(CY$6=$H75)*SUM(CY73:CY74)</f>
        <v>840000.00000000012</v>
      </c>
      <c r="CZ75" s="920">
        <f ca="1">MIN(SUM(CZ73:CZ74),MAX(CZ$66,))*Index!CY$48*(CZ$6&lt;$H75)+(CZ$6=$H75)*SUM(CZ73:CZ74)</f>
        <v>0</v>
      </c>
      <c r="DA75" s="920">
        <f ca="1">MIN(SUM(DA73:DA74),MAX(DA$66,))*Index!CZ$48*(DA$6&lt;$H75)+(DA$6=$H75)*SUM(DA73:DA74)</f>
        <v>0</v>
      </c>
      <c r="DB75" s="920">
        <f ca="1">MIN(SUM(DB73:DB74),MAX(DB$66,))*Index!DA$48*(DB$6&lt;$H75)+(DB$6=$H75)*SUM(DB73:DB74)</f>
        <v>0</v>
      </c>
      <c r="DC75" s="920">
        <f ca="1">MIN(SUM(DC73:DC74),MAX(DC$66,))*Index!DB$48*(DC$6&lt;$H75)+(DC$6=$H75)*SUM(DC73:DC74)</f>
        <v>0</v>
      </c>
      <c r="DD75" s="920">
        <f ca="1">MIN(SUM(DD73:DD74),MAX(DD$66,))*Index!DC$48*(DD$6&lt;$H75)+(DD$6=$H75)*SUM(DD73:DD74)</f>
        <v>0</v>
      </c>
      <c r="DE75" s="920">
        <f ca="1">MIN(SUM(DE73:DE74),MAX(DE$66,))*Index!DD$48*(DE$6&lt;$H75)+(DE$6=$H75)*SUM(DE73:DE74)</f>
        <v>840000.00000000012</v>
      </c>
      <c r="DF75" s="920">
        <f ca="1">MIN(SUM(DF73:DF74),MAX(DF$66,))*Index!DE$48*(DF$6&lt;$H75)+(DF$6=$H75)*SUM(DF73:DF74)</f>
        <v>0</v>
      </c>
      <c r="DG75" s="920">
        <f ca="1">MIN(SUM(DG73:DG74),MAX(DG$66,))*Index!DF$48*(DG$6&lt;$H75)+(DG$6=$H75)*SUM(DG73:DG74)</f>
        <v>0</v>
      </c>
      <c r="DH75" s="920">
        <f ca="1">MIN(SUM(DH73:DH74),MAX(DH$66,))*Index!DG$48*(DH$6&lt;$H75)+(DH$6=$H75)*SUM(DH73:DH74)</f>
        <v>0</v>
      </c>
      <c r="DI75" s="920">
        <f ca="1">MIN(SUM(DI73:DI74),MAX(DI$66,))*Index!DH$48*(DI$6&lt;$H75)+(DI$6=$H75)*SUM(DI73:DI74)</f>
        <v>0</v>
      </c>
      <c r="DJ75" s="920">
        <f ca="1">MIN(SUM(DJ73:DJ74),MAX(DJ$66,))*Index!DI$48*(DJ$6&lt;$H75)+(DJ$6=$H75)*SUM(DJ73:DJ74)</f>
        <v>0</v>
      </c>
      <c r="DK75" s="920">
        <f ca="1">MIN(SUM(DK73:DK74),MAX(DK$66,))*Index!DJ$48*(DK$6&lt;$H75)+(DK$6=$H75)*SUM(DK73:DK74)</f>
        <v>840000.00000000012</v>
      </c>
      <c r="DL75" s="920">
        <f ca="1">MIN(SUM(DL73:DL74),MAX(DL$66,))*Index!DK$48*(DL$6&lt;$H75)+(DL$6=$H75)*SUM(DL73:DL74)</f>
        <v>0</v>
      </c>
      <c r="DM75" s="920">
        <f ca="1">MIN(SUM(DM73:DM74),MAX(DM$66,))*Index!DL$48*(DM$6&lt;$H75)+(DM$6=$H75)*SUM(DM73:DM74)</f>
        <v>0</v>
      </c>
      <c r="DN75" s="920">
        <f ca="1">MIN(SUM(DN73:DN74),MAX(DN$66,))*Index!DM$48*(DN$6&lt;$H75)+(DN$6=$H75)*SUM(DN73:DN74)</f>
        <v>0</v>
      </c>
      <c r="DO75" s="920">
        <f ca="1">MIN(SUM(DO73:DO74),MAX(DO$66,))*Index!DN$48*(DO$6&lt;$H75)+(DO$6=$H75)*SUM(DO73:DO74)</f>
        <v>0</v>
      </c>
      <c r="DP75" s="920">
        <f ca="1">MIN(SUM(DP73:DP74),MAX(DP$66,))*Index!DO$48*(DP$6&lt;$H75)+(DP$6=$H75)*SUM(DP73:DP74)</f>
        <v>0</v>
      </c>
      <c r="DQ75" s="920">
        <f ca="1">MIN(SUM(DQ73:DQ74),MAX(DQ$66,))*Index!DP$48*(DQ$6&lt;$H75)+(DQ$6=$H75)*SUM(DQ73:DQ74)</f>
        <v>840000.00000000012</v>
      </c>
      <c r="DR75" s="920">
        <f ca="1">MIN(SUM(DR73:DR74),MAX(DR$66,))*Index!DQ$48*(DR$6&lt;$H75)+(DR$6=$H75)*SUM(DR73:DR74)</f>
        <v>0</v>
      </c>
      <c r="DS75" s="920">
        <f ca="1">MIN(SUM(DS73:DS74),MAX(DS$66,))*Index!DR$48*(DS$6&lt;$H75)+(DS$6=$H75)*SUM(DS73:DS74)</f>
        <v>0</v>
      </c>
      <c r="DT75" s="920">
        <f ca="1">MIN(SUM(DT73:DT74),MAX(DT$66,))*Index!DS$48*(DT$6&lt;$H75)+(DT$6=$H75)*SUM(DT73:DT74)</f>
        <v>0</v>
      </c>
      <c r="DU75" s="920">
        <f ca="1">MIN(SUM(DU73:DU74),MAX(DU$66,))*Index!DT$48*(DU$6&lt;$H75)+(DU$6=$H75)*SUM(DU73:DU74)</f>
        <v>0</v>
      </c>
      <c r="DV75" s="920">
        <f ca="1">MIN(SUM(DV73:DV74),MAX(DV$66,))*Index!DU$48*(DV$6&lt;$H75)+(DV$6=$H75)*SUM(DV73:DV74)</f>
        <v>0</v>
      </c>
      <c r="DW75" s="920">
        <f ca="1">MIN(SUM(DW73:DW74),MAX(DW$66,))*Index!DV$48*(DW$6&lt;$H75)+(DW$6=$H75)*SUM(DW73:DW74)</f>
        <v>840000.00000000012</v>
      </c>
      <c r="DX75" s="920">
        <f ca="1">MIN(SUM(DX73:DX74),MAX(DX$66,))*Index!DW$48*(DX$6&lt;$H75)+(DX$6=$H75)*SUM(DX73:DX74)</f>
        <v>0</v>
      </c>
      <c r="DY75" s="920">
        <f ca="1">MIN(SUM(DY73:DY74),MAX(DY$66,))*Index!DX$48*(DY$6&lt;$H75)+(DY$6=$H75)*SUM(DY73:DY74)</f>
        <v>0</v>
      </c>
      <c r="DZ75" s="920">
        <f ca="1">MIN(SUM(DZ73:DZ74),MAX(DZ$66,))*Index!DY$48*(DZ$6&lt;$H75)+(DZ$6=$H75)*SUM(DZ73:DZ74)</f>
        <v>0</v>
      </c>
      <c r="EA75" s="920">
        <f ca="1">MIN(SUM(EA73:EA74),MAX(EA$66,))*Index!DZ$48*(EA$6&lt;$H75)+(EA$6=$H75)*SUM(EA73:EA74)</f>
        <v>0</v>
      </c>
      <c r="EB75" s="920">
        <f ca="1">MIN(SUM(EB73:EB74),MAX(EB$66,))*Index!EA$48*(EB$6&lt;$H75)+(EB$6=$H75)*SUM(EB73:EB74)</f>
        <v>0</v>
      </c>
      <c r="EC75" s="920">
        <f ca="1">MIN(SUM(EC73:EC74),MAX(EC$66,))*Index!EB$48*(EC$6&lt;$H75)+(EC$6=$H75)*SUM(EC73:EC74)</f>
        <v>840000.00000000012</v>
      </c>
      <c r="ED75" s="920">
        <f ca="1">MIN(SUM(ED73:ED74),MAX(ED$66,))*Index!EC$48*(ED$6&lt;$H75)+(ED$6=$H75)*SUM(ED73:ED74)</f>
        <v>0</v>
      </c>
      <c r="EE75" s="920">
        <f ca="1">MIN(SUM(EE73:EE74),MAX(EE$66,))*Index!ED$48*(EE$6&lt;$H75)+(EE$6=$H75)*SUM(EE73:EE74)</f>
        <v>0</v>
      </c>
      <c r="EF75" s="920">
        <f ca="1">MIN(SUM(EF73:EF74),MAX(EF$66,))*Index!EE$48*(EF$6&lt;$H75)+(EF$6=$H75)*SUM(EF73:EF74)</f>
        <v>0</v>
      </c>
      <c r="EG75" s="920">
        <f ca="1">MIN(SUM(EG73:EG74),MAX(EG$66,))*Index!EF$48*(EG$6&lt;$H75)+(EG$6=$H75)*SUM(EG73:EG74)</f>
        <v>0</v>
      </c>
      <c r="EH75" s="920">
        <f ca="1">MIN(SUM(EH73:EH74),MAX(EH$66,))*Index!EG$48*(EH$6&lt;$H75)+(EH$6=$H75)*SUM(EH73:EH74)</f>
        <v>0</v>
      </c>
      <c r="EI75" s="920">
        <f ca="1">MIN(SUM(EI73:EI74),MAX(EI$66,))*Index!EH$48*(EI$6&lt;$H75)+(EI$6=$H75)*SUM(EI73:EI74)</f>
        <v>0</v>
      </c>
      <c r="EJ75" s="920">
        <f ca="1">MIN(SUM(EJ73:EJ74),MAX(EJ$66,))*Index!EI$48*(EJ$6&lt;$H75)+(EJ$6=$H75)*SUM(EJ73:EJ74)</f>
        <v>0</v>
      </c>
      <c r="EK75" s="920">
        <f ca="1">MIN(SUM(EK73:EK74),MAX(EK$66,))*Index!EJ$48*(EK$6&lt;$H75)+(EK$6=$H75)*SUM(EK73:EK74)</f>
        <v>0</v>
      </c>
      <c r="EL75" s="920">
        <f ca="1">MIN(SUM(EL73:EL74),MAX(EL$66,))*Index!EK$48*(EL$6&lt;$H75)+(EL$6=$H75)*SUM(EL73:EL74)</f>
        <v>0</v>
      </c>
      <c r="EM75" s="920">
        <f ca="1">MIN(SUM(EM73:EM74),MAX(EM$66,))*Index!EL$48*(EM$6&lt;$H75)+(EM$6=$H75)*SUM(EM73:EM74)</f>
        <v>0</v>
      </c>
      <c r="EN75" s="920">
        <f ca="1">MIN(SUM(EN73:EN74),MAX(EN$66,))*Index!EM$48*(EN$6&lt;$H75)+(EN$6=$H75)*SUM(EN73:EN74)</f>
        <v>0</v>
      </c>
      <c r="EO75" s="920">
        <f ca="1">MIN(SUM(EO73:EO74),MAX(EO$66,))*Index!EN$48*(EO$6&lt;$H75)+(EO$6=$H75)*SUM(EO73:EO74)</f>
        <v>0</v>
      </c>
      <c r="EP75" s="920">
        <f ca="1">MIN(SUM(EP73:EP74),MAX(EP$66,))*Index!EO$48*(EP$6&lt;$H75)+(EP$6=$H75)*SUM(EP73:EP74)</f>
        <v>0</v>
      </c>
      <c r="EQ75" s="920">
        <f ca="1">MIN(SUM(EQ73:EQ74),MAX(EQ$66,))*Index!EP$48*(EQ$6&lt;$H75)+(EQ$6=$H75)*SUM(EQ73:EQ74)</f>
        <v>0</v>
      </c>
      <c r="ER75" s="920">
        <f ca="1">MIN(SUM(ER73:ER74),MAX(ER$66,))*Index!EQ$48*(ER$6&lt;$H75)+(ER$6=$H75)*SUM(ER73:ER74)</f>
        <v>0</v>
      </c>
    </row>
    <row r="76" spans="2:148" ht="11.25" customHeight="1">
      <c r="B76" s="218"/>
      <c r="C76" s="911" t="s">
        <v>233</v>
      </c>
      <c r="D76" s="912"/>
      <c r="E76" s="912"/>
      <c r="F76" s="912"/>
      <c r="G76" s="912"/>
      <c r="H76" s="912"/>
      <c r="I76" s="913"/>
      <c r="J76" s="914"/>
      <c r="K76" s="918"/>
      <c r="L76" s="98"/>
      <c r="M76" s="171">
        <f ca="1">M73+M74-M75</f>
        <v>0</v>
      </c>
      <c r="N76" s="171">
        <f t="shared" ref="N76:BY76" ca="1" si="76">N73+N74-N75</f>
        <v>140000.00000000003</v>
      </c>
      <c r="O76" s="171">
        <f t="shared" ca="1" si="76"/>
        <v>280000.00000000006</v>
      </c>
      <c r="P76" s="171">
        <f t="shared" ca="1" si="76"/>
        <v>420000.00000000012</v>
      </c>
      <c r="Q76" s="171">
        <f t="shared" ca="1" si="76"/>
        <v>560000.00000000012</v>
      </c>
      <c r="R76" s="171">
        <f t="shared" ca="1" si="76"/>
        <v>700000.00000000012</v>
      </c>
      <c r="S76" s="171">
        <f t="shared" ca="1" si="76"/>
        <v>0</v>
      </c>
      <c r="T76" s="171">
        <f t="shared" ca="1" si="76"/>
        <v>140000.00000000003</v>
      </c>
      <c r="U76" s="171">
        <f t="shared" ca="1" si="76"/>
        <v>280000.00000000006</v>
      </c>
      <c r="V76" s="171">
        <f t="shared" ca="1" si="76"/>
        <v>420000.00000000012</v>
      </c>
      <c r="W76" s="171">
        <f t="shared" ca="1" si="76"/>
        <v>560000.00000000012</v>
      </c>
      <c r="X76" s="171">
        <f t="shared" ca="1" si="76"/>
        <v>700000.00000000012</v>
      </c>
      <c r="Y76" s="171">
        <f t="shared" ca="1" si="76"/>
        <v>0</v>
      </c>
      <c r="Z76" s="171">
        <f t="shared" ca="1" si="76"/>
        <v>140000.00000000003</v>
      </c>
      <c r="AA76" s="171">
        <f t="shared" ca="1" si="76"/>
        <v>280000.00000000006</v>
      </c>
      <c r="AB76" s="171">
        <f t="shared" ca="1" si="76"/>
        <v>420000.00000000012</v>
      </c>
      <c r="AC76" s="171">
        <f t="shared" ca="1" si="76"/>
        <v>560000.00000000012</v>
      </c>
      <c r="AD76" s="171">
        <f t="shared" ca="1" si="76"/>
        <v>700000.00000000012</v>
      </c>
      <c r="AE76" s="171">
        <f t="shared" ca="1" si="76"/>
        <v>0</v>
      </c>
      <c r="AF76" s="171">
        <f t="shared" ca="1" si="76"/>
        <v>140000.00000000003</v>
      </c>
      <c r="AG76" s="171">
        <f t="shared" ca="1" si="76"/>
        <v>280000.00000000006</v>
      </c>
      <c r="AH76" s="171">
        <f t="shared" ca="1" si="76"/>
        <v>420000.00000000012</v>
      </c>
      <c r="AI76" s="171">
        <f t="shared" ca="1" si="76"/>
        <v>560000.00000000012</v>
      </c>
      <c r="AJ76" s="171">
        <f t="shared" ca="1" si="76"/>
        <v>700000.00000000012</v>
      </c>
      <c r="AK76" s="171">
        <f t="shared" ca="1" si="76"/>
        <v>0</v>
      </c>
      <c r="AL76" s="171">
        <f t="shared" ca="1" si="76"/>
        <v>140000.00000000003</v>
      </c>
      <c r="AM76" s="171">
        <f t="shared" ca="1" si="76"/>
        <v>280000.00000000006</v>
      </c>
      <c r="AN76" s="171">
        <f t="shared" ca="1" si="76"/>
        <v>420000.00000000012</v>
      </c>
      <c r="AO76" s="171">
        <f t="shared" ca="1" si="76"/>
        <v>560000.00000000012</v>
      </c>
      <c r="AP76" s="171">
        <f t="shared" ca="1" si="76"/>
        <v>700000.00000000012</v>
      </c>
      <c r="AQ76" s="171">
        <f t="shared" ca="1" si="76"/>
        <v>0</v>
      </c>
      <c r="AR76" s="171">
        <f t="shared" ca="1" si="76"/>
        <v>140000.00000000003</v>
      </c>
      <c r="AS76" s="171">
        <f t="shared" ca="1" si="76"/>
        <v>280000.00000000006</v>
      </c>
      <c r="AT76" s="171">
        <f t="shared" ca="1" si="76"/>
        <v>420000.00000000012</v>
      </c>
      <c r="AU76" s="171">
        <f t="shared" ca="1" si="76"/>
        <v>560000.00000000012</v>
      </c>
      <c r="AV76" s="171">
        <f t="shared" ca="1" si="76"/>
        <v>700000.00000000012</v>
      </c>
      <c r="AW76" s="171">
        <f t="shared" ca="1" si="76"/>
        <v>0</v>
      </c>
      <c r="AX76" s="171">
        <f t="shared" ca="1" si="76"/>
        <v>140000.00000000003</v>
      </c>
      <c r="AY76" s="171">
        <f t="shared" ca="1" si="76"/>
        <v>280000.00000000006</v>
      </c>
      <c r="AZ76" s="171">
        <f t="shared" ca="1" si="76"/>
        <v>420000.00000000012</v>
      </c>
      <c r="BA76" s="171">
        <f t="shared" ca="1" si="76"/>
        <v>560000.00000000012</v>
      </c>
      <c r="BB76" s="171">
        <f t="shared" ca="1" si="76"/>
        <v>700000.00000000012</v>
      </c>
      <c r="BC76" s="171">
        <f t="shared" ca="1" si="76"/>
        <v>0</v>
      </c>
      <c r="BD76" s="171">
        <f t="shared" ca="1" si="76"/>
        <v>140000.00000000003</v>
      </c>
      <c r="BE76" s="171">
        <f t="shared" ca="1" si="76"/>
        <v>280000.00000000006</v>
      </c>
      <c r="BF76" s="171">
        <f t="shared" ca="1" si="76"/>
        <v>420000.00000000012</v>
      </c>
      <c r="BG76" s="171">
        <f t="shared" ca="1" si="76"/>
        <v>560000.00000000012</v>
      </c>
      <c r="BH76" s="171">
        <f t="shared" ca="1" si="76"/>
        <v>700000.00000000012</v>
      </c>
      <c r="BI76" s="171">
        <f t="shared" ca="1" si="76"/>
        <v>0</v>
      </c>
      <c r="BJ76" s="171">
        <f t="shared" ca="1" si="76"/>
        <v>140000.00000000003</v>
      </c>
      <c r="BK76" s="171">
        <f t="shared" ca="1" si="76"/>
        <v>280000.00000000006</v>
      </c>
      <c r="BL76" s="171">
        <f t="shared" ca="1" si="76"/>
        <v>420000.00000000012</v>
      </c>
      <c r="BM76" s="171">
        <f t="shared" ca="1" si="76"/>
        <v>560000.00000000012</v>
      </c>
      <c r="BN76" s="171">
        <f t="shared" ca="1" si="76"/>
        <v>700000.00000000012</v>
      </c>
      <c r="BO76" s="171">
        <f t="shared" ca="1" si="76"/>
        <v>0</v>
      </c>
      <c r="BP76" s="171">
        <f t="shared" ca="1" si="76"/>
        <v>140000.00000000003</v>
      </c>
      <c r="BQ76" s="171">
        <f t="shared" ca="1" si="76"/>
        <v>280000.00000000006</v>
      </c>
      <c r="BR76" s="171">
        <f t="shared" ca="1" si="76"/>
        <v>420000.00000000012</v>
      </c>
      <c r="BS76" s="171">
        <f t="shared" ca="1" si="76"/>
        <v>560000.00000000012</v>
      </c>
      <c r="BT76" s="171">
        <f t="shared" ca="1" si="76"/>
        <v>700000.00000000012</v>
      </c>
      <c r="BU76" s="171">
        <f t="shared" ca="1" si="76"/>
        <v>0</v>
      </c>
      <c r="BV76" s="171">
        <f t="shared" ca="1" si="76"/>
        <v>140000.00000000003</v>
      </c>
      <c r="BW76" s="171">
        <f t="shared" ca="1" si="76"/>
        <v>280000.00000000006</v>
      </c>
      <c r="BX76" s="171">
        <f t="shared" ca="1" si="76"/>
        <v>420000.00000000012</v>
      </c>
      <c r="BY76" s="171">
        <f t="shared" ca="1" si="76"/>
        <v>560000.00000000012</v>
      </c>
      <c r="BZ76" s="171">
        <f t="shared" ref="BZ76:DT76" ca="1" si="77">BZ73+BZ74-BZ75</f>
        <v>700000.00000000012</v>
      </c>
      <c r="CA76" s="171">
        <f t="shared" ca="1" si="77"/>
        <v>0</v>
      </c>
      <c r="CB76" s="171">
        <f t="shared" ca="1" si="77"/>
        <v>140000.00000000003</v>
      </c>
      <c r="CC76" s="171">
        <f t="shared" ca="1" si="77"/>
        <v>280000.00000000006</v>
      </c>
      <c r="CD76" s="171">
        <f t="shared" ca="1" si="77"/>
        <v>420000.00000000012</v>
      </c>
      <c r="CE76" s="171">
        <f t="shared" ca="1" si="77"/>
        <v>560000.00000000012</v>
      </c>
      <c r="CF76" s="171">
        <f t="shared" ca="1" si="77"/>
        <v>700000.00000000012</v>
      </c>
      <c r="CG76" s="171">
        <f t="shared" ca="1" si="77"/>
        <v>0</v>
      </c>
      <c r="CH76" s="171">
        <f t="shared" ca="1" si="77"/>
        <v>140000.00000000003</v>
      </c>
      <c r="CI76" s="171">
        <f t="shared" ca="1" si="77"/>
        <v>280000.00000000006</v>
      </c>
      <c r="CJ76" s="171">
        <f t="shared" ca="1" si="77"/>
        <v>420000.00000000012</v>
      </c>
      <c r="CK76" s="171">
        <f t="shared" ca="1" si="77"/>
        <v>560000.00000000012</v>
      </c>
      <c r="CL76" s="171">
        <f t="shared" ca="1" si="77"/>
        <v>700000.00000000012</v>
      </c>
      <c r="CM76" s="171">
        <f t="shared" ca="1" si="77"/>
        <v>0</v>
      </c>
      <c r="CN76" s="171">
        <f t="shared" ca="1" si="77"/>
        <v>140000.00000000003</v>
      </c>
      <c r="CO76" s="171">
        <f t="shared" ca="1" si="77"/>
        <v>280000.00000000006</v>
      </c>
      <c r="CP76" s="171">
        <f t="shared" ca="1" si="77"/>
        <v>420000.00000000012</v>
      </c>
      <c r="CQ76" s="171">
        <f t="shared" ca="1" si="77"/>
        <v>560000.00000000012</v>
      </c>
      <c r="CR76" s="171">
        <f t="shared" ca="1" si="77"/>
        <v>700000.00000000012</v>
      </c>
      <c r="CS76" s="171">
        <f t="shared" ca="1" si="77"/>
        <v>0</v>
      </c>
      <c r="CT76" s="171">
        <f t="shared" ca="1" si="77"/>
        <v>140000.00000000003</v>
      </c>
      <c r="CU76" s="171">
        <f t="shared" ca="1" si="77"/>
        <v>280000.00000000006</v>
      </c>
      <c r="CV76" s="171">
        <f t="shared" ca="1" si="77"/>
        <v>420000.00000000012</v>
      </c>
      <c r="CW76" s="171">
        <f t="shared" ca="1" si="77"/>
        <v>560000.00000000012</v>
      </c>
      <c r="CX76" s="171">
        <f t="shared" ca="1" si="77"/>
        <v>700000.00000000012</v>
      </c>
      <c r="CY76" s="171">
        <f t="shared" ca="1" si="77"/>
        <v>0</v>
      </c>
      <c r="CZ76" s="171">
        <f t="shared" ca="1" si="77"/>
        <v>140000.00000000003</v>
      </c>
      <c r="DA76" s="171">
        <f t="shared" ca="1" si="77"/>
        <v>280000.00000000006</v>
      </c>
      <c r="DB76" s="171">
        <f t="shared" ca="1" si="77"/>
        <v>420000.00000000012</v>
      </c>
      <c r="DC76" s="171">
        <f t="shared" ca="1" si="77"/>
        <v>560000.00000000012</v>
      </c>
      <c r="DD76" s="171">
        <f t="shared" ca="1" si="77"/>
        <v>700000.00000000012</v>
      </c>
      <c r="DE76" s="171">
        <f t="shared" ca="1" si="77"/>
        <v>0</v>
      </c>
      <c r="DF76" s="171">
        <f t="shared" ca="1" si="77"/>
        <v>140000.00000000003</v>
      </c>
      <c r="DG76" s="171">
        <f t="shared" ca="1" si="77"/>
        <v>280000.00000000006</v>
      </c>
      <c r="DH76" s="171">
        <f t="shared" ca="1" si="77"/>
        <v>420000.00000000012</v>
      </c>
      <c r="DI76" s="171">
        <f t="shared" ca="1" si="77"/>
        <v>560000.00000000012</v>
      </c>
      <c r="DJ76" s="171">
        <f t="shared" ca="1" si="77"/>
        <v>700000.00000000012</v>
      </c>
      <c r="DK76" s="171">
        <f t="shared" ca="1" si="77"/>
        <v>0</v>
      </c>
      <c r="DL76" s="171">
        <f t="shared" ca="1" si="77"/>
        <v>140000.00000000003</v>
      </c>
      <c r="DM76" s="171">
        <f t="shared" ca="1" si="77"/>
        <v>280000.00000000006</v>
      </c>
      <c r="DN76" s="171">
        <f t="shared" ca="1" si="77"/>
        <v>420000.00000000012</v>
      </c>
      <c r="DO76" s="171">
        <f t="shared" ca="1" si="77"/>
        <v>560000.00000000012</v>
      </c>
      <c r="DP76" s="171">
        <f t="shared" ca="1" si="77"/>
        <v>700000.00000000012</v>
      </c>
      <c r="DQ76" s="171">
        <f t="shared" ca="1" si="77"/>
        <v>0</v>
      </c>
      <c r="DR76" s="171">
        <f t="shared" ca="1" si="77"/>
        <v>140000.00000000003</v>
      </c>
      <c r="DS76" s="171">
        <f t="shared" ca="1" si="77"/>
        <v>280000.00000000006</v>
      </c>
      <c r="DT76" s="171">
        <f t="shared" ca="1" si="77"/>
        <v>420000.00000000012</v>
      </c>
      <c r="DU76" s="171">
        <f t="shared" ref="DU76:ER76" ca="1" si="78">DU73+DU74-DU75</f>
        <v>560000.00000000012</v>
      </c>
      <c r="DV76" s="171">
        <f t="shared" ca="1" si="78"/>
        <v>700000.00000000012</v>
      </c>
      <c r="DW76" s="171">
        <f t="shared" ca="1" si="78"/>
        <v>0</v>
      </c>
      <c r="DX76" s="171">
        <f t="shared" ca="1" si="78"/>
        <v>140000.00000000003</v>
      </c>
      <c r="DY76" s="171">
        <f t="shared" ca="1" si="78"/>
        <v>280000.00000000006</v>
      </c>
      <c r="DZ76" s="171">
        <f t="shared" ca="1" si="78"/>
        <v>420000.00000000012</v>
      </c>
      <c r="EA76" s="171">
        <f t="shared" ca="1" si="78"/>
        <v>560000.00000000012</v>
      </c>
      <c r="EB76" s="171">
        <f t="shared" ca="1" si="78"/>
        <v>700000.00000000012</v>
      </c>
      <c r="EC76" s="171">
        <f t="shared" ca="1" si="78"/>
        <v>0</v>
      </c>
      <c r="ED76" s="171">
        <f t="shared" ca="1" si="78"/>
        <v>0</v>
      </c>
      <c r="EE76" s="171">
        <f t="shared" ca="1" si="78"/>
        <v>0</v>
      </c>
      <c r="EF76" s="171">
        <f t="shared" ca="1" si="78"/>
        <v>0</v>
      </c>
      <c r="EG76" s="171">
        <f t="shared" ca="1" si="78"/>
        <v>0</v>
      </c>
      <c r="EH76" s="171">
        <f t="shared" ca="1" si="78"/>
        <v>0</v>
      </c>
      <c r="EI76" s="171">
        <f t="shared" ca="1" si="78"/>
        <v>0</v>
      </c>
      <c r="EJ76" s="171">
        <f t="shared" ca="1" si="78"/>
        <v>0</v>
      </c>
      <c r="EK76" s="171">
        <f t="shared" ca="1" si="78"/>
        <v>0</v>
      </c>
      <c r="EL76" s="171">
        <f t="shared" ca="1" si="78"/>
        <v>0</v>
      </c>
      <c r="EM76" s="171">
        <f t="shared" ca="1" si="78"/>
        <v>0</v>
      </c>
      <c r="EN76" s="171">
        <f t="shared" ca="1" si="78"/>
        <v>0</v>
      </c>
      <c r="EO76" s="171">
        <f t="shared" ca="1" si="78"/>
        <v>0</v>
      </c>
      <c r="EP76" s="171">
        <f t="shared" ca="1" si="78"/>
        <v>0</v>
      </c>
      <c r="EQ76" s="171">
        <f t="shared" ca="1" si="78"/>
        <v>0</v>
      </c>
      <c r="ER76" s="171">
        <f t="shared" ca="1" si="78"/>
        <v>0</v>
      </c>
    </row>
    <row r="77" spans="2:148" ht="11.25" customHeight="1">
      <c r="B77" s="875" t="s">
        <v>1094</v>
      </c>
      <c r="C77" s="876"/>
      <c r="D77" s="876"/>
      <c r="E77" s="876"/>
      <c r="F77" s="876"/>
      <c r="G77" s="876"/>
      <c r="H77" s="876"/>
      <c r="I77" s="877"/>
      <c r="J77" s="878"/>
      <c r="K77" s="919"/>
      <c r="M77" s="897"/>
      <c r="N77" s="897"/>
      <c r="O77" s="897"/>
      <c r="P77" s="897"/>
      <c r="Q77" s="897"/>
      <c r="R77" s="897"/>
      <c r="S77" s="897"/>
      <c r="T77" s="897"/>
      <c r="U77" s="897"/>
      <c r="V77" s="897"/>
      <c r="W77" s="897"/>
      <c r="X77" s="897"/>
      <c r="Y77" s="897"/>
      <c r="Z77" s="897"/>
      <c r="AA77" s="897"/>
      <c r="AB77" s="897"/>
      <c r="AC77" s="897"/>
      <c r="AD77" s="897"/>
      <c r="AE77" s="897"/>
      <c r="AF77" s="897"/>
      <c r="AG77" s="897"/>
      <c r="AH77" s="897"/>
      <c r="AI77" s="897"/>
      <c r="AJ77" s="897"/>
      <c r="AK77" s="897"/>
      <c r="AL77" s="897"/>
      <c r="AM77" s="897"/>
      <c r="AN77" s="897"/>
      <c r="AO77" s="897"/>
      <c r="AP77" s="897"/>
      <c r="AQ77" s="897"/>
      <c r="AR77" s="897"/>
      <c r="AS77" s="897"/>
      <c r="AT77" s="897"/>
      <c r="AU77" s="897"/>
      <c r="AV77" s="897"/>
      <c r="AW77" s="897"/>
      <c r="AX77" s="897"/>
      <c r="AY77" s="897"/>
      <c r="AZ77" s="897"/>
      <c r="BA77" s="897"/>
      <c r="BB77" s="897"/>
      <c r="BC77" s="897"/>
      <c r="BD77" s="897"/>
      <c r="BE77" s="897"/>
      <c r="BF77" s="897"/>
      <c r="BG77" s="897"/>
      <c r="BH77" s="897"/>
      <c r="BI77" s="897"/>
      <c r="BJ77" s="897"/>
      <c r="BK77" s="897"/>
      <c r="BL77" s="897"/>
      <c r="BM77" s="897"/>
      <c r="BN77" s="897"/>
      <c r="BO77" s="897"/>
      <c r="BP77" s="897"/>
      <c r="BQ77" s="897"/>
      <c r="BR77" s="897"/>
      <c r="BS77" s="897"/>
      <c r="BT77" s="897"/>
      <c r="BU77" s="897"/>
      <c r="BV77" s="897"/>
      <c r="BW77" s="897"/>
      <c r="BX77" s="897"/>
      <c r="BY77" s="897"/>
      <c r="BZ77" s="897"/>
      <c r="CA77" s="897"/>
      <c r="CB77" s="897"/>
      <c r="CC77" s="897"/>
      <c r="CD77" s="897"/>
      <c r="CE77" s="897"/>
      <c r="CF77" s="897"/>
      <c r="CG77" s="897"/>
      <c r="CH77" s="897"/>
      <c r="CI77" s="897"/>
      <c r="CJ77" s="897"/>
      <c r="CK77" s="897"/>
      <c r="CL77" s="897"/>
      <c r="CM77" s="897"/>
      <c r="CN77" s="897"/>
      <c r="CO77" s="897"/>
      <c r="CP77" s="897"/>
      <c r="CQ77" s="897"/>
      <c r="CR77" s="897"/>
      <c r="CS77" s="897"/>
      <c r="CT77" s="897"/>
      <c r="CU77" s="897"/>
      <c r="CV77" s="897"/>
      <c r="CW77" s="897"/>
      <c r="CX77" s="897"/>
      <c r="CY77" s="897"/>
      <c r="CZ77" s="897"/>
      <c r="DA77" s="897"/>
      <c r="DB77" s="897"/>
      <c r="DC77" s="897"/>
      <c r="DD77" s="897"/>
      <c r="DE77" s="897"/>
      <c r="DF77" s="897"/>
      <c r="DG77" s="897"/>
      <c r="DH77" s="897"/>
      <c r="DI77" s="897"/>
      <c r="DJ77" s="897"/>
      <c r="DK77" s="897"/>
      <c r="DL77" s="897"/>
      <c r="DM77" s="897"/>
      <c r="DN77" s="897"/>
      <c r="DO77" s="897"/>
      <c r="DP77" s="897"/>
      <c r="DQ77" s="897"/>
      <c r="DR77" s="897"/>
      <c r="DS77" s="897"/>
      <c r="DT77" s="897"/>
      <c r="DU77" s="897"/>
      <c r="DV77" s="897"/>
      <c r="DW77" s="897"/>
      <c r="DX77" s="897"/>
      <c r="DY77" s="897"/>
      <c r="DZ77" s="897"/>
      <c r="EA77" s="897"/>
      <c r="EB77" s="897"/>
      <c r="EC77" s="897"/>
      <c r="ED77" s="897"/>
      <c r="EE77" s="897"/>
      <c r="EF77" s="897"/>
      <c r="EG77" s="897"/>
      <c r="EH77" s="897"/>
      <c r="EI77" s="897"/>
      <c r="EJ77" s="897"/>
      <c r="EK77" s="897"/>
      <c r="EL77" s="897"/>
      <c r="EM77" s="897"/>
      <c r="EN77" s="897"/>
      <c r="EO77" s="897"/>
      <c r="EP77" s="897"/>
      <c r="EQ77" s="897"/>
      <c r="ER77" s="897"/>
    </row>
    <row r="78" spans="2:148" ht="11.25" customHeight="1">
      <c r="B78" s="218"/>
      <c r="C78" s="904" t="s">
        <v>230</v>
      </c>
      <c r="D78" s="905"/>
      <c r="E78" s="905"/>
      <c r="F78" s="905"/>
      <c r="G78" s="905"/>
      <c r="H78" s="905"/>
      <c r="I78" s="906"/>
      <c r="J78" s="907"/>
      <c r="K78" s="917"/>
      <c r="L78" s="98"/>
      <c r="M78" s="908">
        <f t="shared" ref="M78:AR78" si="79">L81</f>
        <v>0</v>
      </c>
      <c r="N78" s="908">
        <f t="shared" ca="1" si="79"/>
        <v>0</v>
      </c>
      <c r="O78" s="908">
        <f t="shared" ca="1" si="79"/>
        <v>312500</v>
      </c>
      <c r="P78" s="908">
        <f t="shared" ca="1" si="79"/>
        <v>625000</v>
      </c>
      <c r="Q78" s="908">
        <f t="shared" ca="1" si="79"/>
        <v>937500</v>
      </c>
      <c r="R78" s="908">
        <f t="shared" ca="1" si="79"/>
        <v>1250000</v>
      </c>
      <c r="S78" s="908">
        <f t="shared" ca="1" si="79"/>
        <v>1562500</v>
      </c>
      <c r="T78" s="908">
        <f t="shared" ca="1" si="79"/>
        <v>0</v>
      </c>
      <c r="U78" s="908">
        <f t="shared" ca="1" si="79"/>
        <v>312500</v>
      </c>
      <c r="V78" s="908">
        <f t="shared" ca="1" si="79"/>
        <v>625000</v>
      </c>
      <c r="W78" s="908">
        <f t="shared" ca="1" si="79"/>
        <v>937500</v>
      </c>
      <c r="X78" s="908">
        <f t="shared" ca="1" si="79"/>
        <v>1250000</v>
      </c>
      <c r="Y78" s="908">
        <f t="shared" ca="1" si="79"/>
        <v>1562500</v>
      </c>
      <c r="Z78" s="908">
        <f t="shared" ca="1" si="79"/>
        <v>0</v>
      </c>
      <c r="AA78" s="908">
        <f t="shared" ca="1" si="79"/>
        <v>312500</v>
      </c>
      <c r="AB78" s="908">
        <f t="shared" ca="1" si="79"/>
        <v>625000</v>
      </c>
      <c r="AC78" s="908">
        <f t="shared" ca="1" si="79"/>
        <v>937500</v>
      </c>
      <c r="AD78" s="908">
        <f t="shared" ca="1" si="79"/>
        <v>1250000</v>
      </c>
      <c r="AE78" s="908">
        <f t="shared" ca="1" si="79"/>
        <v>1562500</v>
      </c>
      <c r="AF78" s="908">
        <f t="shared" ca="1" si="79"/>
        <v>0</v>
      </c>
      <c r="AG78" s="908">
        <f t="shared" ca="1" si="79"/>
        <v>312500</v>
      </c>
      <c r="AH78" s="908">
        <f t="shared" ca="1" si="79"/>
        <v>625000</v>
      </c>
      <c r="AI78" s="908">
        <f t="shared" ca="1" si="79"/>
        <v>937500</v>
      </c>
      <c r="AJ78" s="908">
        <f t="shared" ca="1" si="79"/>
        <v>1250000</v>
      </c>
      <c r="AK78" s="908">
        <f t="shared" ca="1" si="79"/>
        <v>1562500</v>
      </c>
      <c r="AL78" s="908">
        <f t="shared" ca="1" si="79"/>
        <v>0</v>
      </c>
      <c r="AM78" s="908">
        <f t="shared" ca="1" si="79"/>
        <v>312500</v>
      </c>
      <c r="AN78" s="908">
        <f t="shared" ca="1" si="79"/>
        <v>625000</v>
      </c>
      <c r="AO78" s="908">
        <f t="shared" ca="1" si="79"/>
        <v>937500</v>
      </c>
      <c r="AP78" s="908">
        <f t="shared" ca="1" si="79"/>
        <v>1250000</v>
      </c>
      <c r="AQ78" s="908">
        <f t="shared" ca="1" si="79"/>
        <v>1562500</v>
      </c>
      <c r="AR78" s="908">
        <f t="shared" ca="1" si="79"/>
        <v>0</v>
      </c>
      <c r="AS78" s="908">
        <f t="shared" ref="AS78:BX78" ca="1" si="80">AR81</f>
        <v>312500</v>
      </c>
      <c r="AT78" s="908">
        <f t="shared" ca="1" si="80"/>
        <v>625000</v>
      </c>
      <c r="AU78" s="908">
        <f t="shared" ca="1" si="80"/>
        <v>937500</v>
      </c>
      <c r="AV78" s="908">
        <f t="shared" ca="1" si="80"/>
        <v>1250000</v>
      </c>
      <c r="AW78" s="908">
        <f t="shared" ca="1" si="80"/>
        <v>1562500</v>
      </c>
      <c r="AX78" s="908">
        <f t="shared" ca="1" si="80"/>
        <v>0</v>
      </c>
      <c r="AY78" s="908">
        <f t="shared" ca="1" si="80"/>
        <v>312500</v>
      </c>
      <c r="AZ78" s="908">
        <f t="shared" ca="1" si="80"/>
        <v>625000</v>
      </c>
      <c r="BA78" s="908">
        <f t="shared" ca="1" si="80"/>
        <v>937500</v>
      </c>
      <c r="BB78" s="908">
        <f t="shared" ca="1" si="80"/>
        <v>1250000</v>
      </c>
      <c r="BC78" s="908">
        <f t="shared" ca="1" si="80"/>
        <v>1562500</v>
      </c>
      <c r="BD78" s="908">
        <f t="shared" ca="1" si="80"/>
        <v>112527.98705873126</v>
      </c>
      <c r="BE78" s="908">
        <f t="shared" ca="1" si="80"/>
        <v>425027.98705873126</v>
      </c>
      <c r="BF78" s="908">
        <f t="shared" ca="1" si="80"/>
        <v>737527.98705873126</v>
      </c>
      <c r="BG78" s="908">
        <f t="shared" ca="1" si="80"/>
        <v>1050027.9870587313</v>
      </c>
      <c r="BH78" s="908">
        <f t="shared" ca="1" si="80"/>
        <v>1362527.9870587313</v>
      </c>
      <c r="BI78" s="908">
        <f t="shared" ca="1" si="80"/>
        <v>1675027.9870587313</v>
      </c>
      <c r="BJ78" s="908">
        <f t="shared" ca="1" si="80"/>
        <v>474235.9881307208</v>
      </c>
      <c r="BK78" s="908">
        <f t="shared" ca="1" si="80"/>
        <v>786735.9881307208</v>
      </c>
      <c r="BL78" s="908">
        <f t="shared" ca="1" si="80"/>
        <v>1099235.9881307208</v>
      </c>
      <c r="BM78" s="908">
        <f t="shared" ca="1" si="80"/>
        <v>1411735.9881307208</v>
      </c>
      <c r="BN78" s="908">
        <f t="shared" ca="1" si="80"/>
        <v>1724235.9881307208</v>
      </c>
      <c r="BO78" s="908">
        <f t="shared" ca="1" si="80"/>
        <v>2036735.9881307208</v>
      </c>
      <c r="BP78" s="908">
        <f t="shared" ca="1" si="80"/>
        <v>1083694.4914447735</v>
      </c>
      <c r="BQ78" s="908">
        <f t="shared" ca="1" si="80"/>
        <v>1396194.4914447735</v>
      </c>
      <c r="BR78" s="908">
        <f t="shared" ca="1" si="80"/>
        <v>1708694.4914447735</v>
      </c>
      <c r="BS78" s="908">
        <f t="shared" ca="1" si="80"/>
        <v>2021194.4914447735</v>
      </c>
      <c r="BT78" s="908">
        <f t="shared" ca="1" si="80"/>
        <v>2333694.4914447735</v>
      </c>
      <c r="BU78" s="908">
        <f t="shared" ca="1" si="80"/>
        <v>2646194.4914447735</v>
      </c>
      <c r="BV78" s="908">
        <f t="shared" ca="1" si="80"/>
        <v>1236216.0558593343</v>
      </c>
      <c r="BW78" s="908">
        <f t="shared" ca="1" si="80"/>
        <v>1548716.0558593343</v>
      </c>
      <c r="BX78" s="908">
        <f t="shared" ca="1" si="80"/>
        <v>1861216.0558593343</v>
      </c>
      <c r="BY78" s="908">
        <f t="shared" ref="BY78:DD78" ca="1" si="81">BX81</f>
        <v>2173716.0558593343</v>
      </c>
      <c r="BZ78" s="908">
        <f t="shared" ca="1" si="81"/>
        <v>2486216.0558593343</v>
      </c>
      <c r="CA78" s="908">
        <f t="shared" ca="1" si="81"/>
        <v>2798716.0558593343</v>
      </c>
      <c r="CB78" s="908">
        <f t="shared" ca="1" si="81"/>
        <v>1305568.3155292799</v>
      </c>
      <c r="CC78" s="908">
        <f t="shared" ca="1" si="81"/>
        <v>1618068.3155292799</v>
      </c>
      <c r="CD78" s="908">
        <f t="shared" ca="1" si="81"/>
        <v>1930568.3155292799</v>
      </c>
      <c r="CE78" s="908">
        <f t="shared" ca="1" si="81"/>
        <v>2243068.3155292799</v>
      </c>
      <c r="CF78" s="908">
        <f t="shared" ca="1" si="81"/>
        <v>2555568.3155292799</v>
      </c>
      <c r="CG78" s="908">
        <f t="shared" ca="1" si="81"/>
        <v>2868068.3155292799</v>
      </c>
      <c r="CH78" s="908">
        <f t="shared" ca="1" si="81"/>
        <v>922070.9693098818</v>
      </c>
      <c r="CI78" s="908">
        <f t="shared" ca="1" si="81"/>
        <v>1234570.9693098818</v>
      </c>
      <c r="CJ78" s="908">
        <f t="shared" ca="1" si="81"/>
        <v>1547070.9693098818</v>
      </c>
      <c r="CK78" s="908">
        <f t="shared" ca="1" si="81"/>
        <v>1859570.9693098818</v>
      </c>
      <c r="CL78" s="908">
        <f t="shared" ca="1" si="81"/>
        <v>2172070.9693098818</v>
      </c>
      <c r="CM78" s="908">
        <f t="shared" ca="1" si="81"/>
        <v>2484570.9693098818</v>
      </c>
      <c r="CN78" s="908">
        <f t="shared" ca="1" si="81"/>
        <v>765857.79048862867</v>
      </c>
      <c r="CO78" s="908">
        <f t="shared" ca="1" si="81"/>
        <v>1078357.7904886287</v>
      </c>
      <c r="CP78" s="908">
        <f t="shared" ca="1" si="81"/>
        <v>1390857.7904886287</v>
      </c>
      <c r="CQ78" s="908">
        <f t="shared" ca="1" si="81"/>
        <v>1703357.7904886287</v>
      </c>
      <c r="CR78" s="908">
        <f t="shared" ca="1" si="81"/>
        <v>2015857.7904886287</v>
      </c>
      <c r="CS78" s="908">
        <f t="shared" ca="1" si="81"/>
        <v>2328357.7904886287</v>
      </c>
      <c r="CT78" s="908">
        <f t="shared" ca="1" si="81"/>
        <v>160583.13370326906</v>
      </c>
      <c r="CU78" s="908">
        <f t="shared" ca="1" si="81"/>
        <v>473083.13370326906</v>
      </c>
      <c r="CV78" s="908">
        <f t="shared" ca="1" si="81"/>
        <v>785583.13370326906</v>
      </c>
      <c r="CW78" s="908">
        <f t="shared" ca="1" si="81"/>
        <v>1098083.1337032691</v>
      </c>
      <c r="CX78" s="908">
        <f t="shared" ca="1" si="81"/>
        <v>1410583.1337032691</v>
      </c>
      <c r="CY78" s="908">
        <f t="shared" ca="1" si="81"/>
        <v>1723083.1337032691</v>
      </c>
      <c r="CZ78" s="908">
        <f t="shared" ca="1" si="81"/>
        <v>0</v>
      </c>
      <c r="DA78" s="908">
        <f t="shared" ca="1" si="81"/>
        <v>312500</v>
      </c>
      <c r="DB78" s="908">
        <f t="shared" ca="1" si="81"/>
        <v>625000</v>
      </c>
      <c r="DC78" s="908">
        <f t="shared" ca="1" si="81"/>
        <v>937500</v>
      </c>
      <c r="DD78" s="908">
        <f t="shared" ca="1" si="81"/>
        <v>1250000</v>
      </c>
      <c r="DE78" s="908">
        <f t="shared" ref="DE78:EJ78" ca="1" si="82">DD81</f>
        <v>1562500</v>
      </c>
      <c r="DF78" s="908">
        <f t="shared" ca="1" si="82"/>
        <v>0</v>
      </c>
      <c r="DG78" s="908">
        <f t="shared" ca="1" si="82"/>
        <v>312500</v>
      </c>
      <c r="DH78" s="908">
        <f t="shared" ca="1" si="82"/>
        <v>625000</v>
      </c>
      <c r="DI78" s="908">
        <f t="shared" ca="1" si="82"/>
        <v>937500</v>
      </c>
      <c r="DJ78" s="908">
        <f t="shared" ca="1" si="82"/>
        <v>1250000</v>
      </c>
      <c r="DK78" s="908">
        <f t="shared" ca="1" si="82"/>
        <v>1562500</v>
      </c>
      <c r="DL78" s="908">
        <f t="shared" ca="1" si="82"/>
        <v>0</v>
      </c>
      <c r="DM78" s="908">
        <f t="shared" ca="1" si="82"/>
        <v>312500</v>
      </c>
      <c r="DN78" s="908">
        <f t="shared" ca="1" si="82"/>
        <v>625000</v>
      </c>
      <c r="DO78" s="908">
        <f t="shared" ca="1" si="82"/>
        <v>937500</v>
      </c>
      <c r="DP78" s="908">
        <f t="shared" ca="1" si="82"/>
        <v>1250000</v>
      </c>
      <c r="DQ78" s="908">
        <f t="shared" ca="1" si="82"/>
        <v>1562500</v>
      </c>
      <c r="DR78" s="908">
        <f t="shared" ca="1" si="82"/>
        <v>0</v>
      </c>
      <c r="DS78" s="908">
        <f t="shared" ca="1" si="82"/>
        <v>312500</v>
      </c>
      <c r="DT78" s="908">
        <f t="shared" ca="1" si="82"/>
        <v>625000</v>
      </c>
      <c r="DU78" s="908">
        <f t="shared" ca="1" si="82"/>
        <v>937500</v>
      </c>
      <c r="DV78" s="908">
        <f t="shared" ca="1" si="82"/>
        <v>1250000</v>
      </c>
      <c r="DW78" s="908">
        <f t="shared" ca="1" si="82"/>
        <v>1562500</v>
      </c>
      <c r="DX78" s="908">
        <f t="shared" ca="1" si="82"/>
        <v>0</v>
      </c>
      <c r="DY78" s="908">
        <f t="shared" ca="1" si="82"/>
        <v>312500</v>
      </c>
      <c r="DZ78" s="908">
        <f t="shared" ca="1" si="82"/>
        <v>625000</v>
      </c>
      <c r="EA78" s="908">
        <f t="shared" ca="1" si="82"/>
        <v>937500</v>
      </c>
      <c r="EB78" s="908">
        <f t="shared" ca="1" si="82"/>
        <v>1250000</v>
      </c>
      <c r="EC78" s="908">
        <f t="shared" ca="1" si="82"/>
        <v>1562500</v>
      </c>
      <c r="ED78" s="908">
        <f t="shared" ca="1" si="82"/>
        <v>0</v>
      </c>
      <c r="EE78" s="908">
        <f t="shared" ca="1" si="82"/>
        <v>0</v>
      </c>
      <c r="EF78" s="908">
        <f t="shared" ca="1" si="82"/>
        <v>0</v>
      </c>
      <c r="EG78" s="908">
        <f t="shared" ca="1" si="82"/>
        <v>0</v>
      </c>
      <c r="EH78" s="908">
        <f t="shared" ca="1" si="82"/>
        <v>0</v>
      </c>
      <c r="EI78" s="908">
        <f t="shared" ca="1" si="82"/>
        <v>0</v>
      </c>
      <c r="EJ78" s="908">
        <f t="shared" ca="1" si="82"/>
        <v>0</v>
      </c>
      <c r="EK78" s="908">
        <f t="shared" ref="EK78:ER78" ca="1" si="83">EJ81</f>
        <v>0</v>
      </c>
      <c r="EL78" s="908">
        <f t="shared" ca="1" si="83"/>
        <v>0</v>
      </c>
      <c r="EM78" s="908">
        <f t="shared" ca="1" si="83"/>
        <v>0</v>
      </c>
      <c r="EN78" s="908">
        <f t="shared" ca="1" si="83"/>
        <v>0</v>
      </c>
      <c r="EO78" s="908">
        <f t="shared" ca="1" si="83"/>
        <v>0</v>
      </c>
      <c r="EP78" s="908">
        <f t="shared" ca="1" si="83"/>
        <v>0</v>
      </c>
      <c r="EQ78" s="908">
        <f t="shared" ca="1" si="83"/>
        <v>0</v>
      </c>
      <c r="ER78" s="908">
        <f t="shared" ca="1" si="83"/>
        <v>0</v>
      </c>
    </row>
    <row r="79" spans="2:148" ht="11.25" customHeight="1">
      <c r="B79" s="218"/>
      <c r="C79" s="911" t="s">
        <v>231</v>
      </c>
      <c r="D79" s="912"/>
      <c r="E79" s="912"/>
      <c r="F79" s="912"/>
      <c r="G79" s="1824">
        <f>'A&amp;R'!H114</f>
        <v>7.4999999999999997E-2</v>
      </c>
      <c r="H79" s="913">
        <f>'A&amp;R'!G114</f>
        <v>46691</v>
      </c>
      <c r="I79" s="921">
        <f>'A&amp;R'!S42</f>
        <v>7.4999999999999997E-2</v>
      </c>
      <c r="J79" s="914">
        <f ca="1">K69-K74</f>
        <v>26726238.64251728</v>
      </c>
      <c r="K79" s="918">
        <f>SUM(M79:ER79)</f>
        <v>37500000</v>
      </c>
      <c r="L79" s="98"/>
      <c r="M79" s="920">
        <f>'FS_Detail(M)'!L66*'IS(M)'!$I79/12*Index!L$22*(M$60&gt;$H$79)+(M$60&lt;=$H$79)*'FS_Detail(M)'!L66*'IS(M)'!$G79/12*Index!L$22</f>
        <v>0</v>
      </c>
      <c r="N79" s="920">
        <f>'FS_Detail(M)'!M66*'IS(M)'!$I79/12*Index!M$22*(N$60&gt;$H$79)+(N$60&lt;=$H$79)*'FS_Detail(M)'!M66*'IS(M)'!$G79/12*Index!M$22</f>
        <v>312500</v>
      </c>
      <c r="O79" s="920">
        <f>'FS_Detail(M)'!N66*'IS(M)'!$I79/12*Index!N$22*(O$60&gt;$H$79)+(O$60&lt;=$H$79)*'FS_Detail(M)'!N66*'IS(M)'!$G79/12*Index!N$22</f>
        <v>312500</v>
      </c>
      <c r="P79" s="920">
        <f>'FS_Detail(M)'!O66*'IS(M)'!$I79/12*Index!O$22*(P$60&gt;$H$79)+(P$60&lt;=$H$79)*'FS_Detail(M)'!O66*'IS(M)'!$G79/12*Index!O$22</f>
        <v>312500</v>
      </c>
      <c r="Q79" s="920">
        <f>'FS_Detail(M)'!P66*'IS(M)'!$I79/12*Index!P$22*(Q$60&gt;$H$79)+(Q$60&lt;=$H$79)*'FS_Detail(M)'!P66*'IS(M)'!$G79/12*Index!P$22</f>
        <v>312500</v>
      </c>
      <c r="R79" s="920">
        <f>'FS_Detail(M)'!Q66*'IS(M)'!$I79/12*Index!Q$22*(R$60&gt;$H$79)+(R$60&lt;=$H$79)*'FS_Detail(M)'!Q66*'IS(M)'!$G79/12*Index!Q$22</f>
        <v>312500</v>
      </c>
      <c r="S79" s="920">
        <f>'FS_Detail(M)'!R66*'IS(M)'!$I79/12*Index!R$22*(S$60&gt;$H$79)+(S$60&lt;=$H$79)*'FS_Detail(M)'!R66*'IS(M)'!$G79/12*Index!R$22</f>
        <v>312500</v>
      </c>
      <c r="T79" s="920">
        <f>'FS_Detail(M)'!S66*'IS(M)'!$I79/12*Index!S$22*(T$60&gt;$H$79)+(T$60&lt;=$H$79)*'FS_Detail(M)'!S66*'IS(M)'!$G79/12*Index!S$22</f>
        <v>312500</v>
      </c>
      <c r="U79" s="920">
        <f>'FS_Detail(M)'!T66*'IS(M)'!$I79/12*Index!T$22*(U$60&gt;$H$79)+(U$60&lt;=$H$79)*'FS_Detail(M)'!T66*'IS(M)'!$G79/12*Index!T$22</f>
        <v>312500</v>
      </c>
      <c r="V79" s="920">
        <f>'FS_Detail(M)'!U66*'IS(M)'!$I79/12*Index!U$22*(V$60&gt;$H$79)+(V$60&lt;=$H$79)*'FS_Detail(M)'!U66*'IS(M)'!$G79/12*Index!U$22</f>
        <v>312500</v>
      </c>
      <c r="W79" s="920">
        <f>'FS_Detail(M)'!V66*'IS(M)'!$I79/12*Index!V$22*(W$60&gt;$H$79)+(W$60&lt;=$H$79)*'FS_Detail(M)'!V66*'IS(M)'!$G79/12*Index!V$22</f>
        <v>312500</v>
      </c>
      <c r="X79" s="920">
        <f>'FS_Detail(M)'!W66*'IS(M)'!$I79/12*Index!W$22*(X$60&gt;$H$79)+(X$60&lt;=$H$79)*'FS_Detail(M)'!W66*'IS(M)'!$G79/12*Index!W$22</f>
        <v>312500</v>
      </c>
      <c r="Y79" s="920">
        <f>'FS_Detail(M)'!X66*'IS(M)'!$I79/12*Index!X$22*(Y$60&gt;$H$79)+(Y$60&lt;=$H$79)*'FS_Detail(M)'!X66*'IS(M)'!$G79/12*Index!X$22</f>
        <v>312500</v>
      </c>
      <c r="Z79" s="920">
        <f>'FS_Detail(M)'!Y66*'IS(M)'!$I79/12*Index!Y$22*(Z$60&gt;$H$79)+(Z$60&lt;=$H$79)*'FS_Detail(M)'!Y66*'IS(M)'!$G79/12*Index!Y$22</f>
        <v>312500</v>
      </c>
      <c r="AA79" s="920">
        <f>'FS_Detail(M)'!Z66*'IS(M)'!$I79/12*Index!Z$22*(AA$60&gt;$H$79)+(AA$60&lt;=$H$79)*'FS_Detail(M)'!Z66*'IS(M)'!$G79/12*Index!Z$22</f>
        <v>312500</v>
      </c>
      <c r="AB79" s="920">
        <f>'FS_Detail(M)'!AA66*'IS(M)'!$I79/12*Index!AA$22*(AB$60&gt;$H$79)+(AB$60&lt;=$H$79)*'FS_Detail(M)'!AA66*'IS(M)'!$G79/12*Index!AA$22</f>
        <v>312500</v>
      </c>
      <c r="AC79" s="920">
        <f>'FS_Detail(M)'!AB66*'IS(M)'!$I79/12*Index!AB$22*(AC$60&gt;$H$79)+(AC$60&lt;=$H$79)*'FS_Detail(M)'!AB66*'IS(M)'!$G79/12*Index!AB$22</f>
        <v>312500</v>
      </c>
      <c r="AD79" s="920">
        <f>'FS_Detail(M)'!AC66*'IS(M)'!$I79/12*Index!AC$22*(AD$60&gt;$H$79)+(AD$60&lt;=$H$79)*'FS_Detail(M)'!AC66*'IS(M)'!$G79/12*Index!AC$22</f>
        <v>312500</v>
      </c>
      <c r="AE79" s="920">
        <f>'FS_Detail(M)'!AD66*'IS(M)'!$I79/12*Index!AD$22*(AE$60&gt;$H$79)+(AE$60&lt;=$H$79)*'FS_Detail(M)'!AD66*'IS(M)'!$G79/12*Index!AD$22</f>
        <v>312500</v>
      </c>
      <c r="AF79" s="920">
        <f>'FS_Detail(M)'!AE66*'IS(M)'!$I79/12*Index!AE$22*(AF$60&gt;$H$79)+(AF$60&lt;=$H$79)*'FS_Detail(M)'!AE66*'IS(M)'!$G79/12*Index!AE$22</f>
        <v>312500</v>
      </c>
      <c r="AG79" s="920">
        <f>'FS_Detail(M)'!AF66*'IS(M)'!$I79/12*Index!AF$22*(AG$60&gt;$H$79)+(AG$60&lt;=$H$79)*'FS_Detail(M)'!AF66*'IS(M)'!$G79/12*Index!AF$22</f>
        <v>312500</v>
      </c>
      <c r="AH79" s="920">
        <f>'FS_Detail(M)'!AG66*'IS(M)'!$I79/12*Index!AG$22*(AH$60&gt;$H$79)+(AH$60&lt;=$H$79)*'FS_Detail(M)'!AG66*'IS(M)'!$G79/12*Index!AG$22</f>
        <v>312500</v>
      </c>
      <c r="AI79" s="920">
        <f>'FS_Detail(M)'!AH66*'IS(M)'!$I79/12*Index!AH$22*(AI$60&gt;$H$79)+(AI$60&lt;=$H$79)*'FS_Detail(M)'!AH66*'IS(M)'!$G79/12*Index!AH$22</f>
        <v>312500</v>
      </c>
      <c r="AJ79" s="920">
        <f>'FS_Detail(M)'!AI66*'IS(M)'!$I79/12*Index!AI$22*(AJ$60&gt;$H$79)+(AJ$60&lt;=$H$79)*'FS_Detail(M)'!AI66*'IS(M)'!$G79/12*Index!AI$22</f>
        <v>312500</v>
      </c>
      <c r="AK79" s="920">
        <f>'FS_Detail(M)'!AJ66*'IS(M)'!$I79/12*Index!AJ$22*(AK$60&gt;$H$79)+(AK$60&lt;=$H$79)*'FS_Detail(M)'!AJ66*'IS(M)'!$G79/12*Index!AJ$22</f>
        <v>312500</v>
      </c>
      <c r="AL79" s="920">
        <f>'FS_Detail(M)'!AK66*'IS(M)'!$I79/12*Index!AK$22*(AL$60&gt;$H$79)+(AL$60&lt;=$H$79)*'FS_Detail(M)'!AK66*'IS(M)'!$G79/12*Index!AK$22</f>
        <v>312500</v>
      </c>
      <c r="AM79" s="920">
        <f>'FS_Detail(M)'!AL66*'IS(M)'!$I79/12*Index!AL$22*(AM$60&gt;$H$79)+(AM$60&lt;=$H$79)*'FS_Detail(M)'!AL66*'IS(M)'!$G79/12*Index!AL$22</f>
        <v>312500</v>
      </c>
      <c r="AN79" s="920">
        <f>'FS_Detail(M)'!AM66*'IS(M)'!$I79/12*Index!AM$22*(AN$60&gt;$H$79)+(AN$60&lt;=$H$79)*'FS_Detail(M)'!AM66*'IS(M)'!$G79/12*Index!AM$22</f>
        <v>312500</v>
      </c>
      <c r="AO79" s="920">
        <f>'FS_Detail(M)'!AN66*'IS(M)'!$I79/12*Index!AN$22*(AO$60&gt;$H$79)+(AO$60&lt;=$H$79)*'FS_Detail(M)'!AN66*'IS(M)'!$G79/12*Index!AN$22</f>
        <v>312500</v>
      </c>
      <c r="AP79" s="920">
        <f>'FS_Detail(M)'!AO66*'IS(M)'!$I79/12*Index!AO$22*(AP$60&gt;$H$79)+(AP$60&lt;=$H$79)*'FS_Detail(M)'!AO66*'IS(M)'!$G79/12*Index!AO$22</f>
        <v>312500</v>
      </c>
      <c r="AQ79" s="920">
        <f>'FS_Detail(M)'!AP66*'IS(M)'!$I79/12*Index!AP$22*(AQ$60&gt;$H$79)+(AQ$60&lt;=$H$79)*'FS_Detail(M)'!AP66*'IS(M)'!$G79/12*Index!AP$22</f>
        <v>312500</v>
      </c>
      <c r="AR79" s="920">
        <f>'FS_Detail(M)'!AQ66*'IS(M)'!$I79/12*Index!AQ$22*(AR$60&gt;$H$79)+(AR$60&lt;=$H$79)*'FS_Detail(M)'!AQ66*'IS(M)'!$G79/12*Index!AQ$22</f>
        <v>312500</v>
      </c>
      <c r="AS79" s="920">
        <f>'FS_Detail(M)'!AR66*'IS(M)'!$I79/12*Index!AR$22*(AS$60&gt;$H$79)+(AS$60&lt;=$H$79)*'FS_Detail(M)'!AR66*'IS(M)'!$G79/12*Index!AR$22</f>
        <v>312500</v>
      </c>
      <c r="AT79" s="920">
        <f>'FS_Detail(M)'!AS66*'IS(M)'!$I79/12*Index!AS$22*(AT$60&gt;$H$79)+(AT$60&lt;=$H$79)*'FS_Detail(M)'!AS66*'IS(M)'!$G79/12*Index!AS$22</f>
        <v>312500</v>
      </c>
      <c r="AU79" s="920">
        <f>'FS_Detail(M)'!AT66*'IS(M)'!$I79/12*Index!AT$22*(AU$60&gt;$H$79)+(AU$60&lt;=$H$79)*'FS_Detail(M)'!AT66*'IS(M)'!$G79/12*Index!AT$22</f>
        <v>312500</v>
      </c>
      <c r="AV79" s="920">
        <f>'FS_Detail(M)'!AU66*'IS(M)'!$I79/12*Index!AU$22*(AV$60&gt;$H$79)+(AV$60&lt;=$H$79)*'FS_Detail(M)'!AU66*'IS(M)'!$G79/12*Index!AU$22</f>
        <v>312500</v>
      </c>
      <c r="AW79" s="920">
        <f>'FS_Detail(M)'!AV66*'IS(M)'!$I79/12*Index!AV$22*(AW$60&gt;$H$79)+(AW$60&lt;=$H$79)*'FS_Detail(M)'!AV66*'IS(M)'!$G79/12*Index!AV$22</f>
        <v>312500</v>
      </c>
      <c r="AX79" s="920">
        <f>'FS_Detail(M)'!AW66*'IS(M)'!$I79/12*Index!AW$22*(AX$60&gt;$H$79)+(AX$60&lt;=$H$79)*'FS_Detail(M)'!AW66*'IS(M)'!$G79/12*Index!AW$22</f>
        <v>312500</v>
      </c>
      <c r="AY79" s="920">
        <f>'FS_Detail(M)'!AX66*'IS(M)'!$I79/12*Index!AX$22*(AY$60&gt;$H$79)+(AY$60&lt;=$H$79)*'FS_Detail(M)'!AX66*'IS(M)'!$G79/12*Index!AX$22</f>
        <v>312500</v>
      </c>
      <c r="AZ79" s="920">
        <f>'FS_Detail(M)'!AY66*'IS(M)'!$I79/12*Index!AY$22*(AZ$60&gt;$H$79)+(AZ$60&lt;=$H$79)*'FS_Detail(M)'!AY66*'IS(M)'!$G79/12*Index!AY$22</f>
        <v>312500</v>
      </c>
      <c r="BA79" s="920">
        <f>'FS_Detail(M)'!AZ66*'IS(M)'!$I79/12*Index!AZ$22*(BA$60&gt;$H$79)+(BA$60&lt;=$H$79)*'FS_Detail(M)'!AZ66*'IS(M)'!$G79/12*Index!AZ$22</f>
        <v>312500</v>
      </c>
      <c r="BB79" s="920">
        <f>'FS_Detail(M)'!BA66*'IS(M)'!$I79/12*Index!BA$22*(BB$60&gt;$H$79)+(BB$60&lt;=$H$79)*'FS_Detail(M)'!BA66*'IS(M)'!$G79/12*Index!BA$22</f>
        <v>312500</v>
      </c>
      <c r="BC79" s="920">
        <f>'FS_Detail(M)'!BB66*'IS(M)'!$I79/12*Index!BB$22*(BC$60&gt;$H$79)+(BC$60&lt;=$H$79)*'FS_Detail(M)'!BB66*'IS(M)'!$G79/12*Index!BB$22</f>
        <v>312500</v>
      </c>
      <c r="BD79" s="920">
        <f>'FS_Detail(M)'!BC66*'IS(M)'!$I79/12*Index!BC$22*(BD$60&gt;$H$79)+(BD$60&lt;=$H$79)*'FS_Detail(M)'!BC66*'IS(M)'!$G79/12*Index!BC$22</f>
        <v>312500</v>
      </c>
      <c r="BE79" s="920">
        <f>'FS_Detail(M)'!BD66*'IS(M)'!$I79/12*Index!BD$22*(BE$60&gt;$H$79)+(BE$60&lt;=$H$79)*'FS_Detail(M)'!BD66*'IS(M)'!$G79/12*Index!BD$22</f>
        <v>312500</v>
      </c>
      <c r="BF79" s="920">
        <f>'FS_Detail(M)'!BE66*'IS(M)'!$I79/12*Index!BE$22*(BF$60&gt;$H$79)+(BF$60&lt;=$H$79)*'FS_Detail(M)'!BE66*'IS(M)'!$G79/12*Index!BE$22</f>
        <v>312500</v>
      </c>
      <c r="BG79" s="920">
        <f>'FS_Detail(M)'!BF66*'IS(M)'!$I79/12*Index!BF$22*(BG$60&gt;$H$79)+(BG$60&lt;=$H$79)*'FS_Detail(M)'!BF66*'IS(M)'!$G79/12*Index!BF$22</f>
        <v>312500</v>
      </c>
      <c r="BH79" s="920">
        <f>'FS_Detail(M)'!BG66*'IS(M)'!$I79/12*Index!BG$22*(BH$60&gt;$H$79)+(BH$60&lt;=$H$79)*'FS_Detail(M)'!BG66*'IS(M)'!$G79/12*Index!BG$22</f>
        <v>312500</v>
      </c>
      <c r="BI79" s="920">
        <f>'FS_Detail(M)'!BH66*'IS(M)'!$I79/12*Index!BH$22*(BI$60&gt;$H$79)+(BI$60&lt;=$H$79)*'FS_Detail(M)'!BH66*'IS(M)'!$G79/12*Index!BH$22</f>
        <v>312500</v>
      </c>
      <c r="BJ79" s="920">
        <f>'FS_Detail(M)'!BI66*'IS(M)'!$I79/12*Index!BI$22*(BJ$60&gt;$H$79)+(BJ$60&lt;=$H$79)*'FS_Detail(M)'!BI66*'IS(M)'!$G79/12*Index!BI$22</f>
        <v>312500</v>
      </c>
      <c r="BK79" s="920">
        <f>'FS_Detail(M)'!BJ66*'IS(M)'!$I79/12*Index!BJ$22*(BK$60&gt;$H$79)+(BK$60&lt;=$H$79)*'FS_Detail(M)'!BJ66*'IS(M)'!$G79/12*Index!BJ$22</f>
        <v>312500</v>
      </c>
      <c r="BL79" s="920">
        <f>'FS_Detail(M)'!BK66*'IS(M)'!$I79/12*Index!BK$22*(BL$60&gt;$H$79)+(BL$60&lt;=$H$79)*'FS_Detail(M)'!BK66*'IS(M)'!$G79/12*Index!BK$22</f>
        <v>312500</v>
      </c>
      <c r="BM79" s="920">
        <f>'FS_Detail(M)'!BL66*'IS(M)'!$I79/12*Index!BL$22*(BM$60&gt;$H$79)+(BM$60&lt;=$H$79)*'FS_Detail(M)'!BL66*'IS(M)'!$G79/12*Index!BL$22</f>
        <v>312500</v>
      </c>
      <c r="BN79" s="920">
        <f>'FS_Detail(M)'!BM66*'IS(M)'!$I79/12*Index!BM$22*(BN$60&gt;$H$79)+(BN$60&lt;=$H$79)*'FS_Detail(M)'!BM66*'IS(M)'!$G79/12*Index!BM$22</f>
        <v>312500</v>
      </c>
      <c r="BO79" s="920">
        <f>'FS_Detail(M)'!BN66*'IS(M)'!$I79/12*Index!BN$22*(BO$60&gt;$H$79)+(BO$60&lt;=$H$79)*'FS_Detail(M)'!BN66*'IS(M)'!$G79/12*Index!BN$22</f>
        <v>312500</v>
      </c>
      <c r="BP79" s="920">
        <f>'FS_Detail(M)'!BO66*'IS(M)'!$I79/12*Index!BO$22*(BP$60&gt;$H$79)+(BP$60&lt;=$H$79)*'FS_Detail(M)'!BO66*'IS(M)'!$G79/12*Index!BO$22</f>
        <v>312500</v>
      </c>
      <c r="BQ79" s="920">
        <f>'FS_Detail(M)'!BP66*'IS(M)'!$I79/12*Index!BP$22*(BQ$60&gt;$H$79)+(BQ$60&lt;=$H$79)*'FS_Detail(M)'!BP66*'IS(M)'!$G79/12*Index!BP$22</f>
        <v>312500</v>
      </c>
      <c r="BR79" s="920">
        <f>'FS_Detail(M)'!BQ66*'IS(M)'!$I79/12*Index!BQ$22*(BR$60&gt;$H$79)+(BR$60&lt;=$H$79)*'FS_Detail(M)'!BQ66*'IS(M)'!$G79/12*Index!BQ$22</f>
        <v>312500</v>
      </c>
      <c r="BS79" s="920">
        <f>'FS_Detail(M)'!BR66*'IS(M)'!$I79/12*Index!BR$22*(BS$60&gt;$H$79)+(BS$60&lt;=$H$79)*'FS_Detail(M)'!BR66*'IS(M)'!$G79/12*Index!BR$22</f>
        <v>312500</v>
      </c>
      <c r="BT79" s="920">
        <f>'FS_Detail(M)'!BS66*'IS(M)'!$I79/12*Index!BS$22*(BT$60&gt;$H$79)+(BT$60&lt;=$H$79)*'FS_Detail(M)'!BS66*'IS(M)'!$G79/12*Index!BS$22</f>
        <v>312500</v>
      </c>
      <c r="BU79" s="920">
        <f>'FS_Detail(M)'!BT66*'IS(M)'!$I79/12*Index!BT$22*(BU$60&gt;$H$79)+(BU$60&lt;=$H$79)*'FS_Detail(M)'!BT66*'IS(M)'!$G79/12*Index!BT$22</f>
        <v>312500</v>
      </c>
      <c r="BV79" s="920">
        <f>'FS_Detail(M)'!BU66*'IS(M)'!$I79/12*Index!BU$22*(BV$60&gt;$H$79)+(BV$60&lt;=$H$79)*'FS_Detail(M)'!BU66*'IS(M)'!$G79/12*Index!BU$22</f>
        <v>312500</v>
      </c>
      <c r="BW79" s="920">
        <f>'FS_Detail(M)'!BV66*'IS(M)'!$I79/12*Index!BV$22*(BW$60&gt;$H$79)+(BW$60&lt;=$H$79)*'FS_Detail(M)'!BV66*'IS(M)'!$G79/12*Index!BV$22</f>
        <v>312500</v>
      </c>
      <c r="BX79" s="920">
        <f>'FS_Detail(M)'!BW66*'IS(M)'!$I79/12*Index!BW$22*(BX$60&gt;$H$79)+(BX$60&lt;=$H$79)*'FS_Detail(M)'!BW66*'IS(M)'!$G79/12*Index!BW$22</f>
        <v>312500</v>
      </c>
      <c r="BY79" s="920">
        <f>'FS_Detail(M)'!BX66*'IS(M)'!$I79/12*Index!BX$22*(BY$60&gt;$H$79)+(BY$60&lt;=$H$79)*'FS_Detail(M)'!BX66*'IS(M)'!$G79/12*Index!BX$22</f>
        <v>312500</v>
      </c>
      <c r="BZ79" s="920">
        <f>'FS_Detail(M)'!BY66*'IS(M)'!$I79/12*Index!BY$22*(BZ$60&gt;$H$79)+(BZ$60&lt;=$H$79)*'FS_Detail(M)'!BY66*'IS(M)'!$G79/12*Index!BY$22</f>
        <v>312500</v>
      </c>
      <c r="CA79" s="920">
        <f>'FS_Detail(M)'!BZ66*'IS(M)'!$I79/12*Index!BZ$22*(CA$60&gt;$H$79)+(CA$60&lt;=$H$79)*'FS_Detail(M)'!BZ66*'IS(M)'!$G79/12*Index!BZ$22</f>
        <v>312500</v>
      </c>
      <c r="CB79" s="920">
        <f>'FS_Detail(M)'!CA66*'IS(M)'!$I79/12*Index!CA$22*(CB$60&gt;$H$79)+(CB$60&lt;=$H$79)*'FS_Detail(M)'!CA66*'IS(M)'!$G79/12*Index!CA$22</f>
        <v>312500</v>
      </c>
      <c r="CC79" s="920">
        <f>'FS_Detail(M)'!CB66*'IS(M)'!$I79/12*Index!CB$22*(CC$60&gt;$H$79)+(CC$60&lt;=$H$79)*'FS_Detail(M)'!CB66*'IS(M)'!$G79/12*Index!CB$22</f>
        <v>312500</v>
      </c>
      <c r="CD79" s="920">
        <f>'FS_Detail(M)'!CC66*'IS(M)'!$I79/12*Index!CC$22*(CD$60&gt;$H$79)+(CD$60&lt;=$H$79)*'FS_Detail(M)'!CC66*'IS(M)'!$G79/12*Index!CC$22</f>
        <v>312500</v>
      </c>
      <c r="CE79" s="920">
        <f>'FS_Detail(M)'!CD66*'IS(M)'!$I79/12*Index!CD$22*(CE$60&gt;$H$79)+(CE$60&lt;=$H$79)*'FS_Detail(M)'!CD66*'IS(M)'!$G79/12*Index!CD$22</f>
        <v>312500</v>
      </c>
      <c r="CF79" s="920">
        <f>'FS_Detail(M)'!CE66*'IS(M)'!$I79/12*Index!CE$22*(CF$60&gt;$H$79)+(CF$60&lt;=$H$79)*'FS_Detail(M)'!CE66*'IS(M)'!$G79/12*Index!CE$22</f>
        <v>312500</v>
      </c>
      <c r="CG79" s="920">
        <f>'FS_Detail(M)'!CF66*'IS(M)'!$I79/12*Index!CF$22*(CG$60&gt;$H$79)+(CG$60&lt;=$H$79)*'FS_Detail(M)'!CF66*'IS(M)'!$G79/12*Index!CF$22</f>
        <v>312500</v>
      </c>
      <c r="CH79" s="920">
        <f>'FS_Detail(M)'!CG66*'IS(M)'!$I79/12*Index!CG$22*(CH$60&gt;$H$79)+(CH$60&lt;=$H$79)*'FS_Detail(M)'!CG66*'IS(M)'!$G79/12*Index!CG$22</f>
        <v>312500</v>
      </c>
      <c r="CI79" s="920">
        <f>'FS_Detail(M)'!CH66*'IS(M)'!$I79/12*Index!CH$22*(CI$60&gt;$H$79)+(CI$60&lt;=$H$79)*'FS_Detail(M)'!CH66*'IS(M)'!$G79/12*Index!CH$22</f>
        <v>312500</v>
      </c>
      <c r="CJ79" s="920">
        <f>'FS_Detail(M)'!CI66*'IS(M)'!$I79/12*Index!CI$22*(CJ$60&gt;$H$79)+(CJ$60&lt;=$H$79)*'FS_Detail(M)'!CI66*'IS(M)'!$G79/12*Index!CI$22</f>
        <v>312500</v>
      </c>
      <c r="CK79" s="920">
        <f>'FS_Detail(M)'!CJ66*'IS(M)'!$I79/12*Index!CJ$22*(CK$60&gt;$H$79)+(CK$60&lt;=$H$79)*'FS_Detail(M)'!CJ66*'IS(M)'!$G79/12*Index!CJ$22</f>
        <v>312500</v>
      </c>
      <c r="CL79" s="920">
        <f>'FS_Detail(M)'!CK66*'IS(M)'!$I79/12*Index!CK$22*(CL$60&gt;$H$79)+(CL$60&lt;=$H$79)*'FS_Detail(M)'!CK66*'IS(M)'!$G79/12*Index!CK$22</f>
        <v>312500</v>
      </c>
      <c r="CM79" s="920">
        <f>'FS_Detail(M)'!CL66*'IS(M)'!$I79/12*Index!CL$22*(CM$60&gt;$H$79)+(CM$60&lt;=$H$79)*'FS_Detail(M)'!CL66*'IS(M)'!$G79/12*Index!CL$22</f>
        <v>312500</v>
      </c>
      <c r="CN79" s="920">
        <f>'FS_Detail(M)'!CM66*'IS(M)'!$I79/12*Index!CM$22*(CN$60&gt;$H$79)+(CN$60&lt;=$H$79)*'FS_Detail(M)'!CM66*'IS(M)'!$G79/12*Index!CM$22</f>
        <v>312500</v>
      </c>
      <c r="CO79" s="920">
        <f>'FS_Detail(M)'!CN66*'IS(M)'!$I79/12*Index!CN$22*(CO$60&gt;$H$79)+(CO$60&lt;=$H$79)*'FS_Detail(M)'!CN66*'IS(M)'!$G79/12*Index!CN$22</f>
        <v>312500</v>
      </c>
      <c r="CP79" s="920">
        <f>'FS_Detail(M)'!CO66*'IS(M)'!$I79/12*Index!CO$22*(CP$60&gt;$H$79)+(CP$60&lt;=$H$79)*'FS_Detail(M)'!CO66*'IS(M)'!$G79/12*Index!CO$22</f>
        <v>312500</v>
      </c>
      <c r="CQ79" s="920">
        <f>'FS_Detail(M)'!CP66*'IS(M)'!$I79/12*Index!CP$22*(CQ$60&gt;$H$79)+(CQ$60&lt;=$H$79)*'FS_Detail(M)'!CP66*'IS(M)'!$G79/12*Index!CP$22</f>
        <v>312500</v>
      </c>
      <c r="CR79" s="920">
        <f>'FS_Detail(M)'!CQ66*'IS(M)'!$I79/12*Index!CQ$22*(CR$60&gt;$H$79)+(CR$60&lt;=$H$79)*'FS_Detail(M)'!CQ66*'IS(M)'!$G79/12*Index!CQ$22</f>
        <v>312500</v>
      </c>
      <c r="CS79" s="920">
        <f>'FS_Detail(M)'!CR66*'IS(M)'!$I79/12*Index!CR$22*(CS$60&gt;$H$79)+(CS$60&lt;=$H$79)*'FS_Detail(M)'!CR66*'IS(M)'!$G79/12*Index!CR$22</f>
        <v>312500</v>
      </c>
      <c r="CT79" s="920">
        <f>'FS_Detail(M)'!CS66*'IS(M)'!$I79/12*Index!CS$22*(CT$60&gt;$H$79)+(CT$60&lt;=$H$79)*'FS_Detail(M)'!CS66*'IS(M)'!$G79/12*Index!CS$22</f>
        <v>312500</v>
      </c>
      <c r="CU79" s="920">
        <f>'FS_Detail(M)'!CT66*'IS(M)'!$I79/12*Index!CT$22*(CU$60&gt;$H$79)+(CU$60&lt;=$H$79)*'FS_Detail(M)'!CT66*'IS(M)'!$G79/12*Index!CT$22</f>
        <v>312500</v>
      </c>
      <c r="CV79" s="920">
        <f>'FS_Detail(M)'!CU66*'IS(M)'!$I79/12*Index!CU$22*(CV$60&gt;$H$79)+(CV$60&lt;=$H$79)*'FS_Detail(M)'!CU66*'IS(M)'!$G79/12*Index!CU$22</f>
        <v>312500</v>
      </c>
      <c r="CW79" s="920">
        <f>'FS_Detail(M)'!CV66*'IS(M)'!$I79/12*Index!CV$22*(CW$60&gt;$H$79)+(CW$60&lt;=$H$79)*'FS_Detail(M)'!CV66*'IS(M)'!$G79/12*Index!CV$22</f>
        <v>312500</v>
      </c>
      <c r="CX79" s="920">
        <f>'FS_Detail(M)'!CW66*'IS(M)'!$I79/12*Index!CW$22*(CX$60&gt;$H$79)+(CX$60&lt;=$H$79)*'FS_Detail(M)'!CW66*'IS(M)'!$G79/12*Index!CW$22</f>
        <v>312500</v>
      </c>
      <c r="CY79" s="920">
        <f>'FS_Detail(M)'!CX66*'IS(M)'!$I79/12*Index!CX$22*(CY$60&gt;$H$79)+(CY$60&lt;=$H$79)*'FS_Detail(M)'!CX66*'IS(M)'!$G79/12*Index!CX$22</f>
        <v>312500</v>
      </c>
      <c r="CZ79" s="920">
        <f>'FS_Detail(M)'!CY66*'IS(M)'!$I79/12*Index!CY$22*(CZ$60&gt;$H$79)+(CZ$60&lt;=$H$79)*'FS_Detail(M)'!CY66*'IS(M)'!$G79/12*Index!CY$22</f>
        <v>312500</v>
      </c>
      <c r="DA79" s="920">
        <f>'FS_Detail(M)'!CZ66*'IS(M)'!$I79/12*Index!CZ$22*(DA$60&gt;$H$79)+(DA$60&lt;=$H$79)*'FS_Detail(M)'!CZ66*'IS(M)'!$G79/12*Index!CZ$22</f>
        <v>312500</v>
      </c>
      <c r="DB79" s="920">
        <f>'FS_Detail(M)'!DA66*'IS(M)'!$I79/12*Index!DA$22*(DB$60&gt;$H$79)+(DB$60&lt;=$H$79)*'FS_Detail(M)'!DA66*'IS(M)'!$G79/12*Index!DA$22</f>
        <v>312500</v>
      </c>
      <c r="DC79" s="920">
        <f>'FS_Detail(M)'!DB66*'IS(M)'!$I79/12*Index!DB$22*(DC$60&gt;$H$79)+(DC$60&lt;=$H$79)*'FS_Detail(M)'!DB66*'IS(M)'!$G79/12*Index!DB$22</f>
        <v>312500</v>
      </c>
      <c r="DD79" s="920">
        <f>'FS_Detail(M)'!DC66*'IS(M)'!$I79/12*Index!DC$22*(DD$60&gt;$H$79)+(DD$60&lt;=$H$79)*'FS_Detail(M)'!DC66*'IS(M)'!$G79/12*Index!DC$22</f>
        <v>312500</v>
      </c>
      <c r="DE79" s="920">
        <f>'FS_Detail(M)'!DD66*'IS(M)'!$I79/12*Index!DD$22*(DE$60&gt;$H$79)+(DE$60&lt;=$H$79)*'FS_Detail(M)'!DD66*'IS(M)'!$G79/12*Index!DD$22</f>
        <v>312500</v>
      </c>
      <c r="DF79" s="920">
        <f>'FS_Detail(M)'!DE66*'IS(M)'!$I79/12*Index!DE$22*(DF$60&gt;$H$79)+(DF$60&lt;=$H$79)*'FS_Detail(M)'!DE66*'IS(M)'!$G79/12*Index!DE$22</f>
        <v>312500</v>
      </c>
      <c r="DG79" s="920">
        <f>'FS_Detail(M)'!DF66*'IS(M)'!$I79/12*Index!DF$22*(DG$60&gt;$H$79)+(DG$60&lt;=$H$79)*'FS_Detail(M)'!DF66*'IS(M)'!$G79/12*Index!DF$22</f>
        <v>312500</v>
      </c>
      <c r="DH79" s="920">
        <f>'FS_Detail(M)'!DG66*'IS(M)'!$I79/12*Index!DG$22*(DH$60&gt;$H$79)+(DH$60&lt;=$H$79)*'FS_Detail(M)'!DG66*'IS(M)'!$G79/12*Index!DG$22</f>
        <v>312500</v>
      </c>
      <c r="DI79" s="920">
        <f>'FS_Detail(M)'!DH66*'IS(M)'!$I79/12*Index!DH$22*(DI$60&gt;$H$79)+(DI$60&lt;=$H$79)*'FS_Detail(M)'!DH66*'IS(M)'!$G79/12*Index!DH$22</f>
        <v>312500</v>
      </c>
      <c r="DJ79" s="920">
        <f>'FS_Detail(M)'!DI66*'IS(M)'!$I79/12*Index!DI$22*(DJ$60&gt;$H$79)+(DJ$60&lt;=$H$79)*'FS_Detail(M)'!DI66*'IS(M)'!$G79/12*Index!DI$22</f>
        <v>312500</v>
      </c>
      <c r="DK79" s="920">
        <f>'FS_Detail(M)'!DJ66*'IS(M)'!$I79/12*Index!DJ$22*(DK$60&gt;$H$79)+(DK$60&lt;=$H$79)*'FS_Detail(M)'!DJ66*'IS(M)'!$G79/12*Index!DJ$22</f>
        <v>312500</v>
      </c>
      <c r="DL79" s="920">
        <f>'FS_Detail(M)'!DK66*'IS(M)'!$I79/12*Index!DK$22*(DL$60&gt;$H$79)+(DL$60&lt;=$H$79)*'FS_Detail(M)'!DK66*'IS(M)'!$G79/12*Index!DK$22</f>
        <v>312500</v>
      </c>
      <c r="DM79" s="920">
        <f>'FS_Detail(M)'!DL66*'IS(M)'!$I79/12*Index!DL$22*(DM$60&gt;$H$79)+(DM$60&lt;=$H$79)*'FS_Detail(M)'!DL66*'IS(M)'!$G79/12*Index!DL$22</f>
        <v>312500</v>
      </c>
      <c r="DN79" s="920">
        <f>'FS_Detail(M)'!DM66*'IS(M)'!$I79/12*Index!DM$22*(DN$60&gt;$H$79)+(DN$60&lt;=$H$79)*'FS_Detail(M)'!DM66*'IS(M)'!$G79/12*Index!DM$22</f>
        <v>312500</v>
      </c>
      <c r="DO79" s="920">
        <f>'FS_Detail(M)'!DN66*'IS(M)'!$I79/12*Index!DN$22*(DO$60&gt;$H$79)+(DO$60&lt;=$H$79)*'FS_Detail(M)'!DN66*'IS(M)'!$G79/12*Index!DN$22</f>
        <v>312500</v>
      </c>
      <c r="DP79" s="920">
        <f>'FS_Detail(M)'!DO66*'IS(M)'!$I79/12*Index!DO$22*(DP$60&gt;$H$79)+(DP$60&lt;=$H$79)*'FS_Detail(M)'!DO66*'IS(M)'!$G79/12*Index!DO$22</f>
        <v>312500</v>
      </c>
      <c r="DQ79" s="920">
        <f>'FS_Detail(M)'!DP66*'IS(M)'!$I79/12*Index!DP$22*(DQ$60&gt;$H$79)+(DQ$60&lt;=$H$79)*'FS_Detail(M)'!DP66*'IS(M)'!$G79/12*Index!DP$22</f>
        <v>312500</v>
      </c>
      <c r="DR79" s="920">
        <f>'FS_Detail(M)'!DQ66*'IS(M)'!$I79/12*Index!DQ$22*(DR$60&gt;$H$79)+(DR$60&lt;=$H$79)*'FS_Detail(M)'!DQ66*'IS(M)'!$G79/12*Index!DQ$22</f>
        <v>312500</v>
      </c>
      <c r="DS79" s="920">
        <f>'FS_Detail(M)'!DR66*'IS(M)'!$I79/12*Index!DR$22*(DS$60&gt;$H$79)+(DS$60&lt;=$H$79)*'FS_Detail(M)'!DR66*'IS(M)'!$G79/12*Index!DR$22</f>
        <v>312500</v>
      </c>
      <c r="DT79" s="920">
        <f>'FS_Detail(M)'!DS66*'IS(M)'!$I79/12*Index!DS$22*(DT$60&gt;$H$79)+(DT$60&lt;=$H$79)*'FS_Detail(M)'!DS66*'IS(M)'!$G79/12*Index!DS$22</f>
        <v>312500</v>
      </c>
      <c r="DU79" s="920">
        <f>'FS_Detail(M)'!DT66*'IS(M)'!$I79/12*Index!DT$22*(DU$60&gt;$H$79)+(DU$60&lt;=$H$79)*'FS_Detail(M)'!DT66*'IS(M)'!$G79/12*Index!DT$22</f>
        <v>312500</v>
      </c>
      <c r="DV79" s="920">
        <f>'FS_Detail(M)'!DU66*'IS(M)'!$I79/12*Index!DU$22*(DV$60&gt;$H$79)+(DV$60&lt;=$H$79)*'FS_Detail(M)'!DU66*'IS(M)'!$G79/12*Index!DU$22</f>
        <v>312500</v>
      </c>
      <c r="DW79" s="920">
        <f>'FS_Detail(M)'!DV66*'IS(M)'!$I79/12*Index!DV$22*(DW$60&gt;$H$79)+(DW$60&lt;=$H$79)*'FS_Detail(M)'!DV66*'IS(M)'!$G79/12*Index!DV$22</f>
        <v>312500</v>
      </c>
      <c r="DX79" s="920">
        <f>'FS_Detail(M)'!DW66*'IS(M)'!$I79/12*Index!DW$22*(DX$60&gt;$H$79)+(DX$60&lt;=$H$79)*'FS_Detail(M)'!DW66*'IS(M)'!$G79/12*Index!DW$22</f>
        <v>312500</v>
      </c>
      <c r="DY79" s="920">
        <f>'FS_Detail(M)'!DX66*'IS(M)'!$I79/12*Index!DX$22*(DY$60&gt;$H$79)+(DY$60&lt;=$H$79)*'FS_Detail(M)'!DX66*'IS(M)'!$G79/12*Index!DX$22</f>
        <v>312500</v>
      </c>
      <c r="DZ79" s="920">
        <f>'FS_Detail(M)'!DY66*'IS(M)'!$I79/12*Index!DY$22*(DZ$60&gt;$H$79)+(DZ$60&lt;=$H$79)*'FS_Detail(M)'!DY66*'IS(M)'!$G79/12*Index!DY$22</f>
        <v>312500</v>
      </c>
      <c r="EA79" s="920">
        <f>'FS_Detail(M)'!DZ66*'IS(M)'!$I79/12*Index!DZ$22*(EA$60&gt;$H$79)+(EA$60&lt;=$H$79)*'FS_Detail(M)'!DZ66*'IS(M)'!$G79/12*Index!DZ$22</f>
        <v>312500</v>
      </c>
      <c r="EB79" s="920">
        <f>'FS_Detail(M)'!EA66*'IS(M)'!$I79/12*Index!EA$22*(EB$60&gt;$H$79)+(EB$60&lt;=$H$79)*'FS_Detail(M)'!EA66*'IS(M)'!$G79/12*Index!EA$22</f>
        <v>312500</v>
      </c>
      <c r="EC79" s="920">
        <f>'FS_Detail(M)'!EB66*'IS(M)'!$I79/12*Index!EB$22*(EC$60&gt;$H$79)+(EC$60&lt;=$H$79)*'FS_Detail(M)'!EB66*'IS(M)'!$G79/12*Index!EB$22</f>
        <v>312500</v>
      </c>
      <c r="ED79" s="920">
        <f>'FS_Detail(M)'!EC66*'IS(M)'!$I79/12*Index!EC$22*(ED$60&gt;$H$79)+(ED$60&lt;=$H$79)*'FS_Detail(M)'!EC66*'IS(M)'!$G79/12*Index!EC$22</f>
        <v>0</v>
      </c>
      <c r="EE79" s="920">
        <f>'FS_Detail(M)'!ED66*'IS(M)'!$I79/12*Index!ED$22*(EE$60&gt;$H$79)+(EE$60&lt;=$H$79)*'FS_Detail(M)'!ED66*'IS(M)'!$G79/12*Index!ED$22</f>
        <v>0</v>
      </c>
      <c r="EF79" s="920">
        <f>'FS_Detail(M)'!EE66*'IS(M)'!$I79/12*Index!EE$22*(EF$60&gt;$H$79)+(EF$60&lt;=$H$79)*'FS_Detail(M)'!EE66*'IS(M)'!$G79/12*Index!EE$22</f>
        <v>0</v>
      </c>
      <c r="EG79" s="920">
        <f>'FS_Detail(M)'!EF66*'IS(M)'!$I79/12*Index!EF$22*(EG$60&gt;$H$79)+(EG$60&lt;=$H$79)*'FS_Detail(M)'!EF66*'IS(M)'!$G79/12*Index!EF$22</f>
        <v>0</v>
      </c>
      <c r="EH79" s="920">
        <f>'FS_Detail(M)'!EG66*'IS(M)'!$I79/12*Index!EG$22*(EH$60&gt;$H$79)+(EH$60&lt;=$H$79)*'FS_Detail(M)'!EG66*'IS(M)'!$G79/12*Index!EG$22</f>
        <v>0</v>
      </c>
      <c r="EI79" s="920">
        <f>'FS_Detail(M)'!EH66*'IS(M)'!$I79/12*Index!EH$22*(EI$60&gt;$H$79)+(EI$60&lt;=$H$79)*'FS_Detail(M)'!EH66*'IS(M)'!$G79/12*Index!EH$22</f>
        <v>0</v>
      </c>
      <c r="EJ79" s="920">
        <f>'FS_Detail(M)'!EI66*'IS(M)'!$I79/12*Index!EI$22*(EJ$60&gt;$H$79)+(EJ$60&lt;=$H$79)*'FS_Detail(M)'!EI66*'IS(M)'!$G79/12*Index!EI$22</f>
        <v>0</v>
      </c>
      <c r="EK79" s="920">
        <f>'FS_Detail(M)'!EJ66*'IS(M)'!$I79/12*Index!EJ$22*(EK$60&gt;$H$79)+(EK$60&lt;=$H$79)*'FS_Detail(M)'!EJ66*'IS(M)'!$G79/12*Index!EJ$22</f>
        <v>0</v>
      </c>
      <c r="EL79" s="920">
        <f>'FS_Detail(M)'!EK66*'IS(M)'!$I79/12*Index!EK$22*(EL$60&gt;$H$79)+(EL$60&lt;=$H$79)*'FS_Detail(M)'!EK66*'IS(M)'!$G79/12*Index!EK$22</f>
        <v>0</v>
      </c>
      <c r="EM79" s="920">
        <f>'FS_Detail(M)'!EL66*'IS(M)'!$I79/12*Index!EL$22*(EM$60&gt;$H$79)+(EM$60&lt;=$H$79)*'FS_Detail(M)'!EL66*'IS(M)'!$G79/12*Index!EL$22</f>
        <v>0</v>
      </c>
      <c r="EN79" s="920">
        <f>'FS_Detail(M)'!EM66*'IS(M)'!$I79/12*Index!EM$22*(EN$60&gt;$H$79)+(EN$60&lt;=$H$79)*'FS_Detail(M)'!EM66*'IS(M)'!$G79/12*Index!EM$22</f>
        <v>0</v>
      </c>
      <c r="EO79" s="920">
        <f>'FS_Detail(M)'!EN66*'IS(M)'!$I79/12*Index!EN$22*(EO$60&gt;$H$79)+(EO$60&lt;=$H$79)*'FS_Detail(M)'!EN66*'IS(M)'!$G79/12*Index!EN$22</f>
        <v>0</v>
      </c>
      <c r="EP79" s="920">
        <f>'FS_Detail(M)'!EO66*'IS(M)'!$I79/12*Index!EO$22*(EP$60&gt;$H$79)+(EP$60&lt;=$H$79)*'FS_Detail(M)'!EO66*'IS(M)'!$G79/12*Index!EO$22</f>
        <v>0</v>
      </c>
      <c r="EQ79" s="920">
        <f>'FS_Detail(M)'!EP66*'IS(M)'!$I79/12*Index!EP$22*(EQ$60&gt;$H$79)+(EQ$60&lt;=$H$79)*'FS_Detail(M)'!EP66*'IS(M)'!$G79/12*Index!EP$22</f>
        <v>0</v>
      </c>
      <c r="ER79" s="920">
        <f>'FS_Detail(M)'!EQ66*'IS(M)'!$I79/12*Index!EQ$22*(ER$60&gt;$H$79)+(ER$60&lt;=$H$79)*'FS_Detail(M)'!EQ66*'IS(M)'!$G79/12*Index!EQ$22</f>
        <v>0</v>
      </c>
    </row>
    <row r="80" spans="2:148" ht="11.25" customHeight="1">
      <c r="B80" s="218"/>
      <c r="C80" s="911" t="s">
        <v>232</v>
      </c>
      <c r="D80" s="912"/>
      <c r="E80" s="912"/>
      <c r="F80" s="912"/>
      <c r="G80" s="912"/>
      <c r="H80" s="913">
        <f>'A&amp;R'!N42</f>
        <v>49979</v>
      </c>
      <c r="I80" s="913"/>
      <c r="J80" s="914"/>
      <c r="K80" s="918">
        <f ca="1">SUM(M80:ER80)</f>
        <v>37500000</v>
      </c>
      <c r="L80" s="98"/>
      <c r="M80" s="920">
        <f ca="1">MIN(SUM(M78:M79),MAX(M$66-M75,))*Index!L$48*(M$60&lt;$H$80)+(M$60=$H$80)*SUM(M78:M79)</f>
        <v>0</v>
      </c>
      <c r="N80" s="920">
        <f ca="1">MIN(SUM(N78:N79),MAX(N$66-N75,))*Index!M$48*(N$60&lt;$H$80)+(N$60=$H$80)*SUM(N78:N79)</f>
        <v>0</v>
      </c>
      <c r="O80" s="920">
        <f ca="1">MIN(SUM(O78:O79),MAX(O$66-O75,))*Index!N$48*(O$60&lt;$H$80)+(O$60=$H$80)*SUM(O78:O79)</f>
        <v>0</v>
      </c>
      <c r="P80" s="920">
        <f ca="1">MIN(SUM(P78:P79),MAX(P$66-P75,))*Index!O$48*(P$60&lt;$H$80)+(P$60=$H$80)*SUM(P78:P79)</f>
        <v>0</v>
      </c>
      <c r="Q80" s="920">
        <f ca="1">MIN(SUM(Q78:Q79),MAX(Q$66-Q75,))*Index!P$48*(Q$60&lt;$H$80)+(Q$60=$H$80)*SUM(Q78:Q79)</f>
        <v>0</v>
      </c>
      <c r="R80" s="920">
        <f ca="1">MIN(SUM(R78:R79),MAX(R$66-R75,))*Index!Q$48*(R$60&lt;$H$80)+(R$60=$H$80)*SUM(R78:R79)</f>
        <v>0</v>
      </c>
      <c r="S80" s="920">
        <f ca="1">MIN(SUM(S78:S79),MAX(S$66-S75,))*Index!R$48*(S$60&lt;$H$80)+(S$60=$H$80)*SUM(S78:S79)</f>
        <v>1875000</v>
      </c>
      <c r="T80" s="920">
        <f ca="1">MIN(SUM(T78:T79),MAX(T$66-T75,))*Index!S$48*(T$60&lt;$H$80)+(T$60=$H$80)*SUM(T78:T79)</f>
        <v>0</v>
      </c>
      <c r="U80" s="920">
        <f ca="1">MIN(SUM(U78:U79),MAX(U$66-U75,))*Index!T$48*(U$60&lt;$H$80)+(U$60=$H$80)*SUM(U78:U79)</f>
        <v>0</v>
      </c>
      <c r="V80" s="920">
        <f ca="1">MIN(SUM(V78:V79),MAX(V$66-V75,))*Index!U$48*(V$60&lt;$H$80)+(V$60=$H$80)*SUM(V78:V79)</f>
        <v>0</v>
      </c>
      <c r="W80" s="920">
        <f ca="1">MIN(SUM(W78:W79),MAX(W$66-W75,))*Index!V$48*(W$60&lt;$H$80)+(W$60=$H$80)*SUM(W78:W79)</f>
        <v>0</v>
      </c>
      <c r="X80" s="920">
        <f ca="1">MIN(SUM(X78:X79),MAX(X$66-X75,))*Index!W$48*(X$60&lt;$H$80)+(X$60=$H$80)*SUM(X78:X79)</f>
        <v>0</v>
      </c>
      <c r="Y80" s="920">
        <f ca="1">MIN(SUM(Y78:Y79),MAX(Y$66-Y75,))*Index!X$48*(Y$60&lt;$H$80)+(Y$60=$H$80)*SUM(Y78:Y79)</f>
        <v>1875000</v>
      </c>
      <c r="Z80" s="920">
        <f ca="1">MIN(SUM(Z78:Z79),MAX(Z$66-Z75,))*Index!Y$48*(Z$60&lt;$H$80)+(Z$60=$H$80)*SUM(Z78:Z79)</f>
        <v>0</v>
      </c>
      <c r="AA80" s="920">
        <f ca="1">MIN(SUM(AA78:AA79),MAX(AA$66-AA75,))*Index!Z$48*(AA$60&lt;$H$80)+(AA$60=$H$80)*SUM(AA78:AA79)</f>
        <v>0</v>
      </c>
      <c r="AB80" s="920">
        <f ca="1">MIN(SUM(AB78:AB79),MAX(AB$66-AB75,))*Index!AA$48*(AB$60&lt;$H$80)+(AB$60=$H$80)*SUM(AB78:AB79)</f>
        <v>0</v>
      </c>
      <c r="AC80" s="920">
        <f ca="1">MIN(SUM(AC78:AC79),MAX(AC$66-AC75,))*Index!AB$48*(AC$60&lt;$H$80)+(AC$60=$H$80)*SUM(AC78:AC79)</f>
        <v>0</v>
      </c>
      <c r="AD80" s="920">
        <f ca="1">MIN(SUM(AD78:AD79),MAX(AD$66-AD75,))*Index!AC$48*(AD$60&lt;$H$80)+(AD$60=$H$80)*SUM(AD78:AD79)</f>
        <v>0</v>
      </c>
      <c r="AE80" s="920">
        <f ca="1">MIN(SUM(AE78:AE79),MAX(AE$66-AE75,))*Index!AD$48*(AE$60&lt;$H$80)+(AE$60=$H$80)*SUM(AE78:AE79)</f>
        <v>1875000</v>
      </c>
      <c r="AF80" s="920">
        <f ca="1">MIN(SUM(AF78:AF79),MAX(AF$66-AF75,))*Index!AE$48*(AF$60&lt;$H$80)+(AF$60=$H$80)*SUM(AF78:AF79)</f>
        <v>0</v>
      </c>
      <c r="AG80" s="920">
        <f ca="1">MIN(SUM(AG78:AG79),MAX(AG$66-AG75,))*Index!AF$48*(AG$60&lt;$H$80)+(AG$60=$H$80)*SUM(AG78:AG79)</f>
        <v>0</v>
      </c>
      <c r="AH80" s="920">
        <f ca="1">MIN(SUM(AH78:AH79),MAX(AH$66-AH75,))*Index!AG$48*(AH$60&lt;$H$80)+(AH$60=$H$80)*SUM(AH78:AH79)</f>
        <v>0</v>
      </c>
      <c r="AI80" s="920">
        <f ca="1">MIN(SUM(AI78:AI79),MAX(AI$66-AI75,))*Index!AH$48*(AI$60&lt;$H$80)+(AI$60=$H$80)*SUM(AI78:AI79)</f>
        <v>0</v>
      </c>
      <c r="AJ80" s="920">
        <f ca="1">MIN(SUM(AJ78:AJ79),MAX(AJ$66-AJ75,))*Index!AI$48*(AJ$60&lt;$H$80)+(AJ$60=$H$80)*SUM(AJ78:AJ79)</f>
        <v>0</v>
      </c>
      <c r="AK80" s="920">
        <f ca="1">MIN(SUM(AK78:AK79),MAX(AK$66-AK75,))*Index!AJ$48*(AK$60&lt;$H$80)+(AK$60=$H$80)*SUM(AK78:AK79)</f>
        <v>1875000</v>
      </c>
      <c r="AL80" s="920">
        <f ca="1">MIN(SUM(AL78:AL79),MAX(AL$66-AL75,))*Index!AK$48*(AL$60&lt;$H$80)+(AL$60=$H$80)*SUM(AL78:AL79)</f>
        <v>0</v>
      </c>
      <c r="AM80" s="920">
        <f ca="1">MIN(SUM(AM78:AM79),MAX(AM$66-AM75,))*Index!AL$48*(AM$60&lt;$H$80)+(AM$60=$H$80)*SUM(AM78:AM79)</f>
        <v>0</v>
      </c>
      <c r="AN80" s="920">
        <f ca="1">MIN(SUM(AN78:AN79),MAX(AN$66-AN75,))*Index!AM$48*(AN$60&lt;$H$80)+(AN$60=$H$80)*SUM(AN78:AN79)</f>
        <v>0</v>
      </c>
      <c r="AO80" s="920">
        <f ca="1">MIN(SUM(AO78:AO79),MAX(AO$66-AO75,))*Index!AN$48*(AO$60&lt;$H$80)+(AO$60=$H$80)*SUM(AO78:AO79)</f>
        <v>0</v>
      </c>
      <c r="AP80" s="920">
        <f ca="1">MIN(SUM(AP78:AP79),MAX(AP$66-AP75,))*Index!AO$48*(AP$60&lt;$H$80)+(AP$60=$H$80)*SUM(AP78:AP79)</f>
        <v>0</v>
      </c>
      <c r="AQ80" s="920">
        <f ca="1">MIN(SUM(AQ78:AQ79),MAX(AQ$66-AQ75,))*Index!AP$48*(AQ$60&lt;$H$80)+(AQ$60=$H$80)*SUM(AQ78:AQ79)</f>
        <v>1875000</v>
      </c>
      <c r="AR80" s="920">
        <f ca="1">MIN(SUM(AR78:AR79),MAX(AR$66-AR75,))*Index!AQ$48*(AR$60&lt;$H$80)+(AR$60=$H$80)*SUM(AR78:AR79)</f>
        <v>0</v>
      </c>
      <c r="AS80" s="920">
        <f ca="1">MIN(SUM(AS78:AS79),MAX(AS$66-AS75,))*Index!AR$48*(AS$60&lt;$H$80)+(AS$60=$H$80)*SUM(AS78:AS79)</f>
        <v>0</v>
      </c>
      <c r="AT80" s="920">
        <f ca="1">MIN(SUM(AT78:AT79),MAX(AT$66-AT75,))*Index!AS$48*(AT$60&lt;$H$80)+(AT$60=$H$80)*SUM(AT78:AT79)</f>
        <v>0</v>
      </c>
      <c r="AU80" s="920">
        <f ca="1">MIN(SUM(AU78:AU79),MAX(AU$66-AU75,))*Index!AT$48*(AU$60&lt;$H$80)+(AU$60=$H$80)*SUM(AU78:AU79)</f>
        <v>0</v>
      </c>
      <c r="AV80" s="920">
        <f ca="1">MIN(SUM(AV78:AV79),MAX(AV$66-AV75,))*Index!AU$48*(AV$60&lt;$H$80)+(AV$60=$H$80)*SUM(AV78:AV79)</f>
        <v>0</v>
      </c>
      <c r="AW80" s="920">
        <f ca="1">MIN(SUM(AW78:AW79),MAX(AW$66-AW75,))*Index!AV$48*(AW$60&lt;$H$80)+(AW$60=$H$80)*SUM(AW78:AW79)</f>
        <v>1875000</v>
      </c>
      <c r="AX80" s="920">
        <f ca="1">MIN(SUM(AX78:AX79),MAX(AX$66-AX75,))*Index!AW$48*(AX$60&lt;$H$80)+(AX$60=$H$80)*SUM(AX78:AX79)</f>
        <v>0</v>
      </c>
      <c r="AY80" s="920">
        <f ca="1">MIN(SUM(AY78:AY79),MAX(AY$66-AY75,))*Index!AX$48*(AY$60&lt;$H$80)+(AY$60=$H$80)*SUM(AY78:AY79)</f>
        <v>0</v>
      </c>
      <c r="AZ80" s="920">
        <f ca="1">MIN(SUM(AZ78:AZ79),MAX(AZ$66-AZ75,))*Index!AY$48*(AZ$60&lt;$H$80)+(AZ$60=$H$80)*SUM(AZ78:AZ79)</f>
        <v>0</v>
      </c>
      <c r="BA80" s="920">
        <f ca="1">MIN(SUM(BA78:BA79),MAX(BA$66-BA75,))*Index!AZ$48*(BA$60&lt;$H$80)+(BA$60=$H$80)*SUM(BA78:BA79)</f>
        <v>0</v>
      </c>
      <c r="BB80" s="920">
        <f ca="1">MIN(SUM(BB78:BB79),MAX(BB$66-BB75,))*Index!BA$48*(BB$60&lt;$H$80)+(BB$60=$H$80)*SUM(BB78:BB79)</f>
        <v>0</v>
      </c>
      <c r="BC80" s="920">
        <f ca="1">MIN(SUM(BC78:BC79),MAX(BC$66-BC75,))*Index!BB$48*(BC$60&lt;$H$80)+(BC$60=$H$80)*SUM(BC78:BC79)</f>
        <v>1762472.0129412687</v>
      </c>
      <c r="BD80" s="920">
        <f ca="1">MIN(SUM(BD78:BD79),MAX(BD$66-BD75,))*Index!BC$48*(BD$60&lt;$H$80)+(BD$60=$H$80)*SUM(BD78:BD79)</f>
        <v>0</v>
      </c>
      <c r="BE80" s="920">
        <f ca="1">MIN(SUM(BE78:BE79),MAX(BE$66-BE75,))*Index!BD$48*(BE$60&lt;$H$80)+(BE$60=$H$80)*SUM(BE78:BE79)</f>
        <v>0</v>
      </c>
      <c r="BF80" s="920">
        <f ca="1">MIN(SUM(BF78:BF79),MAX(BF$66-BF75,))*Index!BE$48*(BF$60&lt;$H$80)+(BF$60=$H$80)*SUM(BF78:BF79)</f>
        <v>0</v>
      </c>
      <c r="BG80" s="920">
        <f ca="1">MIN(SUM(BG78:BG79),MAX(BG$66-BG75,))*Index!BF$48*(BG$60&lt;$H$80)+(BG$60=$H$80)*SUM(BG78:BG79)</f>
        <v>0</v>
      </c>
      <c r="BH80" s="920">
        <f ca="1">MIN(SUM(BH78:BH79),MAX(BH$66-BH75,))*Index!BG$48*(BH$60&lt;$H$80)+(BH$60=$H$80)*SUM(BH78:BH79)</f>
        <v>0</v>
      </c>
      <c r="BI80" s="920">
        <f ca="1">MIN(SUM(BI78:BI79),MAX(BI$66-BI75,))*Index!BH$48*(BI$60&lt;$H$80)+(BI$60=$H$80)*SUM(BI78:BI79)</f>
        <v>1513291.9989280105</v>
      </c>
      <c r="BJ80" s="920">
        <f ca="1">MIN(SUM(BJ78:BJ79),MAX(BJ$66-BJ75,))*Index!BI$48*(BJ$60&lt;$H$80)+(BJ$60=$H$80)*SUM(BJ78:BJ79)</f>
        <v>0</v>
      </c>
      <c r="BK80" s="920">
        <f ca="1">MIN(SUM(BK78:BK79),MAX(BK$66-BK75,))*Index!BJ$48*(BK$60&lt;$H$80)+(BK$60=$H$80)*SUM(BK78:BK79)</f>
        <v>0</v>
      </c>
      <c r="BL80" s="920">
        <f ca="1">MIN(SUM(BL78:BL79),MAX(BL$66-BL75,))*Index!BK$48*(BL$60&lt;$H$80)+(BL$60=$H$80)*SUM(BL78:BL79)</f>
        <v>0</v>
      </c>
      <c r="BM80" s="920">
        <f ca="1">MIN(SUM(BM78:BM79),MAX(BM$66-BM75,))*Index!BL$48*(BM$60&lt;$H$80)+(BM$60=$H$80)*SUM(BM78:BM79)</f>
        <v>0</v>
      </c>
      <c r="BN80" s="920">
        <f ca="1">MIN(SUM(BN78:BN79),MAX(BN$66-BN75,))*Index!BM$48*(BN$60&lt;$H$80)+(BN$60=$H$80)*SUM(BN78:BN79)</f>
        <v>0</v>
      </c>
      <c r="BO80" s="920">
        <f ca="1">MIN(SUM(BO78:BO79),MAX(BO$66-BO75,))*Index!BN$48*(BO$60&lt;$H$80)+(BO$60=$H$80)*SUM(BO78:BO79)</f>
        <v>1265541.4966859473</v>
      </c>
      <c r="BP80" s="920">
        <f ca="1">MIN(SUM(BP78:BP79),MAX(BP$66-BP75,))*Index!BO$48*(BP$60&lt;$H$80)+(BP$60=$H$80)*SUM(BP78:BP79)</f>
        <v>0</v>
      </c>
      <c r="BQ80" s="920">
        <f ca="1">MIN(SUM(BQ78:BQ79),MAX(BQ$66-BQ75,))*Index!BP$48*(BQ$60&lt;$H$80)+(BQ$60=$H$80)*SUM(BQ78:BQ79)</f>
        <v>0</v>
      </c>
      <c r="BR80" s="920">
        <f ca="1">MIN(SUM(BR78:BR79),MAX(BR$66-BR75,))*Index!BQ$48*(BR$60&lt;$H$80)+(BR$60=$H$80)*SUM(BR78:BR79)</f>
        <v>0</v>
      </c>
      <c r="BS80" s="920">
        <f ca="1">MIN(SUM(BS78:BS79),MAX(BS$66-BS75,))*Index!BR$48*(BS$60&lt;$H$80)+(BS$60=$H$80)*SUM(BS78:BS79)</f>
        <v>0</v>
      </c>
      <c r="BT80" s="920">
        <f ca="1">MIN(SUM(BT78:BT79),MAX(BT$66-BT75,))*Index!BS$48*(BT$60&lt;$H$80)+(BT$60=$H$80)*SUM(BT78:BT79)</f>
        <v>0</v>
      </c>
      <c r="BU80" s="920">
        <f ca="1">MIN(SUM(BU78:BU79),MAX(BU$66-BU75,))*Index!BT$48*(BU$60&lt;$H$80)+(BU$60=$H$80)*SUM(BU78:BU79)</f>
        <v>1722478.4355854392</v>
      </c>
      <c r="BV80" s="920">
        <f ca="1">MIN(SUM(BV78:BV79),MAX(BV$66-BV75,))*Index!BU$48*(BV$60&lt;$H$80)+(BV$60=$H$80)*SUM(BV78:BV79)</f>
        <v>0</v>
      </c>
      <c r="BW80" s="920">
        <f ca="1">MIN(SUM(BW78:BW79),MAX(BW$66-BW75,))*Index!BV$48*(BW$60&lt;$H$80)+(BW$60=$H$80)*SUM(BW78:BW79)</f>
        <v>0</v>
      </c>
      <c r="BX80" s="920">
        <f ca="1">MIN(SUM(BX78:BX79),MAX(BX$66-BX75,))*Index!BW$48*(BX$60&lt;$H$80)+(BX$60=$H$80)*SUM(BX78:BX79)</f>
        <v>0</v>
      </c>
      <c r="BY80" s="920">
        <f ca="1">MIN(SUM(BY78:BY79),MAX(BY$66-BY75,))*Index!BX$48*(BY$60&lt;$H$80)+(BY$60=$H$80)*SUM(BY78:BY79)</f>
        <v>0</v>
      </c>
      <c r="BZ80" s="920">
        <f ca="1">MIN(SUM(BZ78:BZ79),MAX(BZ$66-BZ75,))*Index!BY$48*(BZ$60&lt;$H$80)+(BZ$60=$H$80)*SUM(BZ78:BZ79)</f>
        <v>0</v>
      </c>
      <c r="CA80" s="920">
        <f ca="1">MIN(SUM(CA78:CA79),MAX(CA$66-CA75,))*Index!BZ$48*(CA$60&lt;$H$80)+(CA$60=$H$80)*SUM(CA78:CA79)</f>
        <v>1805647.7403300544</v>
      </c>
      <c r="CB80" s="920">
        <f ca="1">MIN(SUM(CB78:CB79),MAX(CB$66-CB75,))*Index!CA$48*(CB$60&lt;$H$80)+(CB$60=$H$80)*SUM(CB78:CB79)</f>
        <v>0</v>
      </c>
      <c r="CC80" s="920">
        <f ca="1">MIN(SUM(CC78:CC79),MAX(CC$66-CC75,))*Index!CB$48*(CC$60&lt;$H$80)+(CC$60=$H$80)*SUM(CC78:CC79)</f>
        <v>0</v>
      </c>
      <c r="CD80" s="920">
        <f ca="1">MIN(SUM(CD78:CD79),MAX(CD$66-CD75,))*Index!CC$48*(CD$60&lt;$H$80)+(CD$60=$H$80)*SUM(CD78:CD79)</f>
        <v>0</v>
      </c>
      <c r="CE80" s="920">
        <f ca="1">MIN(SUM(CE78:CE79),MAX(CE$66-CE75,))*Index!CD$48*(CE$60&lt;$H$80)+(CE$60=$H$80)*SUM(CE78:CE79)</f>
        <v>0</v>
      </c>
      <c r="CF80" s="920">
        <f ca="1">MIN(SUM(CF78:CF79),MAX(CF$66-CF75,))*Index!CE$48*(CF$60&lt;$H$80)+(CF$60=$H$80)*SUM(CF78:CF79)</f>
        <v>0</v>
      </c>
      <c r="CG80" s="920">
        <f ca="1">MIN(SUM(CG78:CG79),MAX(CG$66-CG75,))*Index!CF$48*(CG$60&lt;$H$80)+(CG$60=$H$80)*SUM(CG78:CG79)</f>
        <v>2258497.3462193981</v>
      </c>
      <c r="CH80" s="920">
        <f ca="1">MIN(SUM(CH78:CH79),MAX(CH$66-CH75,))*Index!CG$48*(CH$60&lt;$H$80)+(CH$60=$H$80)*SUM(CH78:CH79)</f>
        <v>0</v>
      </c>
      <c r="CI80" s="920">
        <f ca="1">MIN(SUM(CI78:CI79),MAX(CI$66-CI75,))*Index!CH$48*(CI$60&lt;$H$80)+(CI$60=$H$80)*SUM(CI78:CI79)</f>
        <v>0</v>
      </c>
      <c r="CJ80" s="920">
        <f ca="1">MIN(SUM(CJ78:CJ79),MAX(CJ$66-CJ75,))*Index!CI$48*(CJ$60&lt;$H$80)+(CJ$60=$H$80)*SUM(CJ78:CJ79)</f>
        <v>0</v>
      </c>
      <c r="CK80" s="920">
        <f ca="1">MIN(SUM(CK78:CK79),MAX(CK$66-CK75,))*Index!CJ$48*(CK$60&lt;$H$80)+(CK$60=$H$80)*SUM(CK78:CK79)</f>
        <v>0</v>
      </c>
      <c r="CL80" s="920">
        <f ca="1">MIN(SUM(CL78:CL79),MAX(CL$66-CL75,))*Index!CK$48*(CL$60&lt;$H$80)+(CL$60=$H$80)*SUM(CL78:CL79)</f>
        <v>0</v>
      </c>
      <c r="CM80" s="920">
        <f ca="1">MIN(SUM(CM78:CM79),MAX(CM$66-CM75,))*Index!CL$48*(CM$60&lt;$H$80)+(CM$60=$H$80)*SUM(CM78:CM79)</f>
        <v>2031213.1788212531</v>
      </c>
      <c r="CN80" s="920">
        <f ca="1">MIN(SUM(CN78:CN79),MAX(CN$66-CN75,))*Index!CM$48*(CN$60&lt;$H$80)+(CN$60=$H$80)*SUM(CN78:CN79)</f>
        <v>0</v>
      </c>
      <c r="CO80" s="920">
        <f ca="1">MIN(SUM(CO78:CO79),MAX(CO$66-CO75,))*Index!CN$48*(CO$60&lt;$H$80)+(CO$60=$H$80)*SUM(CO78:CO79)</f>
        <v>0</v>
      </c>
      <c r="CP80" s="920">
        <f ca="1">MIN(SUM(CP78:CP79),MAX(CP$66-CP75,))*Index!CO$48*(CP$60&lt;$H$80)+(CP$60=$H$80)*SUM(CP78:CP79)</f>
        <v>0</v>
      </c>
      <c r="CQ80" s="920">
        <f ca="1">MIN(SUM(CQ78:CQ79),MAX(CQ$66-CQ75,))*Index!CP$48*(CQ$60&lt;$H$80)+(CQ$60=$H$80)*SUM(CQ78:CQ79)</f>
        <v>0</v>
      </c>
      <c r="CR80" s="920">
        <f ca="1">MIN(SUM(CR78:CR79),MAX(CR$66-CR75,))*Index!CQ$48*(CR$60&lt;$H$80)+(CR$60=$H$80)*SUM(CR78:CR79)</f>
        <v>0</v>
      </c>
      <c r="CS80" s="920">
        <f ca="1">MIN(SUM(CS78:CS79),MAX(CS$66-CS75,))*Index!CR$48*(CS$60&lt;$H$80)+(CS$60=$H$80)*SUM(CS78:CS79)</f>
        <v>2480274.6567853596</v>
      </c>
      <c r="CT80" s="920">
        <f ca="1">MIN(SUM(CT78:CT79),MAX(CT$66-CT75,))*Index!CS$48*(CT$60&lt;$H$80)+(CT$60=$H$80)*SUM(CT78:CT79)</f>
        <v>0</v>
      </c>
      <c r="CU80" s="920">
        <f ca="1">MIN(SUM(CU78:CU79),MAX(CU$66-CU75,))*Index!CT$48*(CU$60&lt;$H$80)+(CU$60=$H$80)*SUM(CU78:CU79)</f>
        <v>0</v>
      </c>
      <c r="CV80" s="920">
        <f ca="1">MIN(SUM(CV78:CV79),MAX(CV$66-CV75,))*Index!CU$48*(CV$60&lt;$H$80)+(CV$60=$H$80)*SUM(CV78:CV79)</f>
        <v>0</v>
      </c>
      <c r="CW80" s="920">
        <f ca="1">MIN(SUM(CW78:CW79),MAX(CW$66-CW75,))*Index!CV$48*(CW$60&lt;$H$80)+(CW$60=$H$80)*SUM(CW78:CW79)</f>
        <v>0</v>
      </c>
      <c r="CX80" s="920">
        <f ca="1">MIN(SUM(CX78:CX79),MAX(CX$66-CX75,))*Index!CW$48*(CX$60&lt;$H$80)+(CX$60=$H$80)*SUM(CX78:CX79)</f>
        <v>0</v>
      </c>
      <c r="CY80" s="920">
        <f ca="1">MIN(SUM(CY78:CY79),MAX(CY$66-CY75,))*Index!CX$48*(CY$60&lt;$H$80)+(CY$60=$H$80)*SUM(CY78:CY79)</f>
        <v>2035583.1337032691</v>
      </c>
      <c r="CZ80" s="920">
        <f ca="1">MIN(SUM(CZ78:CZ79),MAX(CZ$66-CZ75,))*Index!CY$48*(CZ$60&lt;$H$80)+(CZ$60=$H$80)*SUM(CZ78:CZ79)</f>
        <v>0</v>
      </c>
      <c r="DA80" s="920">
        <f ca="1">MIN(SUM(DA78:DA79),MAX(DA$66-DA75,))*Index!CZ$48*(DA$60&lt;$H$80)+(DA$60=$H$80)*SUM(DA78:DA79)</f>
        <v>0</v>
      </c>
      <c r="DB80" s="920">
        <f ca="1">MIN(SUM(DB78:DB79),MAX(DB$66-DB75,))*Index!DA$48*(DB$60&lt;$H$80)+(DB$60=$H$80)*SUM(DB78:DB79)</f>
        <v>0</v>
      </c>
      <c r="DC80" s="920">
        <f ca="1">MIN(SUM(DC78:DC79),MAX(DC$66-DC75,))*Index!DB$48*(DC$60&lt;$H$80)+(DC$60=$H$80)*SUM(DC78:DC79)</f>
        <v>0</v>
      </c>
      <c r="DD80" s="920">
        <f ca="1">MIN(SUM(DD78:DD79),MAX(DD$66-DD75,))*Index!DC$48*(DD$60&lt;$H$80)+(DD$60=$H$80)*SUM(DD78:DD79)</f>
        <v>0</v>
      </c>
      <c r="DE80" s="920">
        <f ca="1">MIN(SUM(DE78:DE79),MAX(DE$66-DE75,))*Index!DD$48*(DE$60&lt;$H$80)+(DE$60=$H$80)*SUM(DE78:DE79)</f>
        <v>1875000</v>
      </c>
      <c r="DF80" s="920">
        <f ca="1">MIN(SUM(DF78:DF79),MAX(DF$66-DF75,))*Index!DE$48*(DF$60&lt;$H$80)+(DF$60=$H$80)*SUM(DF78:DF79)</f>
        <v>0</v>
      </c>
      <c r="DG80" s="920">
        <f ca="1">MIN(SUM(DG78:DG79),MAX(DG$66-DG75,))*Index!DF$48*(DG$60&lt;$H$80)+(DG$60=$H$80)*SUM(DG78:DG79)</f>
        <v>0</v>
      </c>
      <c r="DH80" s="920">
        <f ca="1">MIN(SUM(DH78:DH79),MAX(DH$66-DH75,))*Index!DG$48*(DH$60&lt;$H$80)+(DH$60=$H$80)*SUM(DH78:DH79)</f>
        <v>0</v>
      </c>
      <c r="DI80" s="920">
        <f ca="1">MIN(SUM(DI78:DI79),MAX(DI$66-DI75,))*Index!DH$48*(DI$60&lt;$H$80)+(DI$60=$H$80)*SUM(DI78:DI79)</f>
        <v>0</v>
      </c>
      <c r="DJ80" s="920">
        <f ca="1">MIN(SUM(DJ78:DJ79),MAX(DJ$66-DJ75,))*Index!DI$48*(DJ$60&lt;$H$80)+(DJ$60=$H$80)*SUM(DJ78:DJ79)</f>
        <v>0</v>
      </c>
      <c r="DK80" s="920">
        <f ca="1">MIN(SUM(DK78:DK79),MAX(DK$66-DK75,))*Index!DJ$48*(DK$60&lt;$H$80)+(DK$60=$H$80)*SUM(DK78:DK79)</f>
        <v>1875000</v>
      </c>
      <c r="DL80" s="920">
        <f ca="1">MIN(SUM(DL78:DL79),MAX(DL$66-DL75,))*Index!DK$48*(DL$60&lt;$H$80)+(DL$60=$H$80)*SUM(DL78:DL79)</f>
        <v>0</v>
      </c>
      <c r="DM80" s="920">
        <f ca="1">MIN(SUM(DM78:DM79),MAX(DM$66-DM75,))*Index!DL$48*(DM$60&lt;$H$80)+(DM$60=$H$80)*SUM(DM78:DM79)</f>
        <v>0</v>
      </c>
      <c r="DN80" s="920">
        <f ca="1">MIN(SUM(DN78:DN79),MAX(DN$66-DN75,))*Index!DM$48*(DN$60&lt;$H$80)+(DN$60=$H$80)*SUM(DN78:DN79)</f>
        <v>0</v>
      </c>
      <c r="DO80" s="920">
        <f ca="1">MIN(SUM(DO78:DO79),MAX(DO$66-DO75,))*Index!DN$48*(DO$60&lt;$H$80)+(DO$60=$H$80)*SUM(DO78:DO79)</f>
        <v>0</v>
      </c>
      <c r="DP80" s="920">
        <f ca="1">MIN(SUM(DP78:DP79),MAX(DP$66-DP75,))*Index!DO$48*(DP$60&lt;$H$80)+(DP$60=$H$80)*SUM(DP78:DP79)</f>
        <v>0</v>
      </c>
      <c r="DQ80" s="920">
        <f ca="1">MIN(SUM(DQ78:DQ79),MAX(DQ$66-DQ75,))*Index!DP$48*(DQ$60&lt;$H$80)+(DQ$60=$H$80)*SUM(DQ78:DQ79)</f>
        <v>1875000</v>
      </c>
      <c r="DR80" s="920">
        <f ca="1">MIN(SUM(DR78:DR79),MAX(DR$66-DR75,))*Index!DQ$48*(DR$60&lt;$H$80)+(DR$60=$H$80)*SUM(DR78:DR79)</f>
        <v>0</v>
      </c>
      <c r="DS80" s="920">
        <f ca="1">MIN(SUM(DS78:DS79),MAX(DS$66-DS75,))*Index!DR$48*(DS$60&lt;$H$80)+(DS$60=$H$80)*SUM(DS78:DS79)</f>
        <v>0</v>
      </c>
      <c r="DT80" s="920">
        <f ca="1">MIN(SUM(DT78:DT79),MAX(DT$66-DT75,))*Index!DS$48*(DT$60&lt;$H$80)+(DT$60=$H$80)*SUM(DT78:DT79)</f>
        <v>0</v>
      </c>
      <c r="DU80" s="920">
        <f ca="1">MIN(SUM(DU78:DU79),MAX(DU$66-DU75,))*Index!DT$48*(DU$60&lt;$H$80)+(DU$60=$H$80)*SUM(DU78:DU79)</f>
        <v>0</v>
      </c>
      <c r="DV80" s="920">
        <f ca="1">MIN(SUM(DV78:DV79),MAX(DV$66-DV75,))*Index!DU$48*(DV$60&lt;$H$80)+(DV$60=$H$80)*SUM(DV78:DV79)</f>
        <v>0</v>
      </c>
      <c r="DW80" s="920">
        <f ca="1">MIN(SUM(DW78:DW79),MAX(DW$66-DW75,))*Index!DV$48*(DW$60&lt;$H$80)+(DW$60=$H$80)*SUM(DW78:DW79)</f>
        <v>1875000</v>
      </c>
      <c r="DX80" s="920">
        <f ca="1">MIN(SUM(DX78:DX79),MAX(DX$66-DX75,))*Index!DW$48*(DX$60&lt;$H$80)+(DX$60=$H$80)*SUM(DX78:DX79)</f>
        <v>0</v>
      </c>
      <c r="DY80" s="920">
        <f ca="1">MIN(SUM(DY78:DY79),MAX(DY$66-DY75,))*Index!DX$48*(DY$60&lt;$H$80)+(DY$60=$H$80)*SUM(DY78:DY79)</f>
        <v>0</v>
      </c>
      <c r="DZ80" s="920">
        <f ca="1">MIN(SUM(DZ78:DZ79),MAX(DZ$66-DZ75,))*Index!DY$48*(DZ$60&lt;$H$80)+(DZ$60=$H$80)*SUM(DZ78:DZ79)</f>
        <v>0</v>
      </c>
      <c r="EA80" s="920">
        <f ca="1">MIN(SUM(EA78:EA79),MAX(EA$66-EA75,))*Index!DZ$48*(EA$60&lt;$H$80)+(EA$60=$H$80)*SUM(EA78:EA79)</f>
        <v>0</v>
      </c>
      <c r="EB80" s="920">
        <f ca="1">MIN(SUM(EB78:EB79),MAX(EB$66-EB75,))*Index!EA$48*(EB$60&lt;$H$80)+(EB$60=$H$80)*SUM(EB78:EB79)</f>
        <v>0</v>
      </c>
      <c r="EC80" s="920">
        <f ca="1">MIN(SUM(EC78:EC79),MAX(EC$66-EC75,))*Index!EB$48*(EC$60&lt;$H$80)+(EC$60=$H$80)*SUM(EC78:EC79)</f>
        <v>1875000</v>
      </c>
      <c r="ED80" s="920">
        <f ca="1">MIN(SUM(ED78:ED79),MAX(ED$66-ED75,))*Index!EC$48*(ED$60&lt;$H$80)+(ED$60=$H$80)*SUM(ED78:ED79)</f>
        <v>0</v>
      </c>
      <c r="EE80" s="920">
        <f ca="1">MIN(SUM(EE78:EE79),MAX(EE$66-EE75,))*Index!ED$48*(EE$60&lt;$H$80)+(EE$60=$H$80)*SUM(EE78:EE79)</f>
        <v>0</v>
      </c>
      <c r="EF80" s="920">
        <f ca="1">MIN(SUM(EF78:EF79),MAX(EF$66-EF75,))*Index!EE$48*(EF$60&lt;$H$80)+(EF$60=$H$80)*SUM(EF78:EF79)</f>
        <v>0</v>
      </c>
      <c r="EG80" s="920">
        <f ca="1">MIN(SUM(EG78:EG79),MAX(EG$66-EG75,))*Index!EF$48*(EG$60&lt;$H$80)+(EG$60=$H$80)*SUM(EG78:EG79)</f>
        <v>0</v>
      </c>
      <c r="EH80" s="920">
        <f ca="1">MIN(SUM(EH78:EH79),MAX(EH$66-EH75,))*Index!EG$48*(EH$60&lt;$H$80)+(EH$60=$H$80)*SUM(EH78:EH79)</f>
        <v>0</v>
      </c>
      <c r="EI80" s="920">
        <f ca="1">MIN(SUM(EI78:EI79),MAX(EI$66-EI75,))*Index!EH$48*(EI$60&lt;$H$80)+(EI$60=$H$80)*SUM(EI78:EI79)</f>
        <v>0</v>
      </c>
      <c r="EJ80" s="920">
        <f ca="1">MIN(SUM(EJ78:EJ79),MAX(EJ$66-EJ75,))*Index!EI$48*(EJ$60&lt;$H$80)+(EJ$60=$H$80)*SUM(EJ78:EJ79)</f>
        <v>0</v>
      </c>
      <c r="EK80" s="920">
        <f ca="1">MIN(SUM(EK78:EK79),MAX(EK$66-EK75,))*Index!EJ$48*(EK$60&lt;$H$80)+(EK$60=$H$80)*SUM(EK78:EK79)</f>
        <v>0</v>
      </c>
      <c r="EL80" s="920">
        <f ca="1">MIN(SUM(EL78:EL79),MAX(EL$66-EL75,))*Index!EK$48*(EL$60&lt;$H$80)+(EL$60=$H$80)*SUM(EL78:EL79)</f>
        <v>0</v>
      </c>
      <c r="EM80" s="920">
        <f ca="1">MIN(SUM(EM78:EM79),MAX(EM$66-EM75,))*Index!EL$48*(EM$60&lt;$H$80)+(EM$60=$H$80)*SUM(EM78:EM79)</f>
        <v>0</v>
      </c>
      <c r="EN80" s="920">
        <f ca="1">MIN(SUM(EN78:EN79),MAX(EN$66-EN75,))*Index!EM$48*(EN$60&lt;$H$80)+(EN$60=$H$80)*SUM(EN78:EN79)</f>
        <v>0</v>
      </c>
      <c r="EO80" s="920">
        <f ca="1">MIN(SUM(EO78:EO79),MAX(EO$66-EO75,))*Index!EN$48*(EO$60&lt;$H$80)+(EO$60=$H$80)*SUM(EO78:EO79)</f>
        <v>0</v>
      </c>
      <c r="EP80" s="920">
        <f ca="1">MIN(SUM(EP78:EP79),MAX(EP$66-EP75,))*Index!EO$48*(EP$60&lt;$H$80)+(EP$60=$H$80)*SUM(EP78:EP79)</f>
        <v>0</v>
      </c>
      <c r="EQ80" s="920">
        <f ca="1">MIN(SUM(EQ78:EQ79),MAX(EQ$66-EQ75,))*Index!EP$48*(EQ$60&lt;$H$80)+(EQ$60=$H$80)*SUM(EQ78:EQ79)</f>
        <v>0</v>
      </c>
      <c r="ER80" s="920">
        <f ca="1">MIN(SUM(ER78:ER79),MAX(ER$66-ER75,))*Index!EQ$48*(ER$60&lt;$H$80)+(ER$60=$H$80)*SUM(ER78:ER79)</f>
        <v>0</v>
      </c>
    </row>
    <row r="81" spans="2:148" ht="11.25" customHeight="1">
      <c r="B81" s="218"/>
      <c r="C81" s="911" t="s">
        <v>233</v>
      </c>
      <c r="D81" s="912"/>
      <c r="E81" s="912"/>
      <c r="F81" s="912"/>
      <c r="G81" s="912"/>
      <c r="H81" s="912"/>
      <c r="I81" s="913"/>
      <c r="J81" s="914"/>
      <c r="K81" s="918"/>
      <c r="L81" s="98"/>
      <c r="M81" s="171">
        <f ca="1">M78+M79-M80</f>
        <v>0</v>
      </c>
      <c r="N81" s="171">
        <f t="shared" ref="N81:BY81" ca="1" si="84">N78+N79-N80</f>
        <v>312500</v>
      </c>
      <c r="O81" s="171">
        <f t="shared" ca="1" si="84"/>
        <v>625000</v>
      </c>
      <c r="P81" s="171">
        <f t="shared" ca="1" si="84"/>
        <v>937500</v>
      </c>
      <c r="Q81" s="171">
        <f t="shared" ca="1" si="84"/>
        <v>1250000</v>
      </c>
      <c r="R81" s="171">
        <f t="shared" ca="1" si="84"/>
        <v>1562500</v>
      </c>
      <c r="S81" s="171">
        <f t="shared" ca="1" si="84"/>
        <v>0</v>
      </c>
      <c r="T81" s="171">
        <f t="shared" ca="1" si="84"/>
        <v>312500</v>
      </c>
      <c r="U81" s="171">
        <f t="shared" ca="1" si="84"/>
        <v>625000</v>
      </c>
      <c r="V81" s="171">
        <f t="shared" ca="1" si="84"/>
        <v>937500</v>
      </c>
      <c r="W81" s="171">
        <f t="shared" ca="1" si="84"/>
        <v>1250000</v>
      </c>
      <c r="X81" s="171">
        <f t="shared" ca="1" si="84"/>
        <v>1562500</v>
      </c>
      <c r="Y81" s="171">
        <f t="shared" ca="1" si="84"/>
        <v>0</v>
      </c>
      <c r="Z81" s="171">
        <f t="shared" ca="1" si="84"/>
        <v>312500</v>
      </c>
      <c r="AA81" s="171">
        <f t="shared" ca="1" si="84"/>
        <v>625000</v>
      </c>
      <c r="AB81" s="171">
        <f t="shared" ca="1" si="84"/>
        <v>937500</v>
      </c>
      <c r="AC81" s="171">
        <f t="shared" ca="1" si="84"/>
        <v>1250000</v>
      </c>
      <c r="AD81" s="171">
        <f t="shared" ca="1" si="84"/>
        <v>1562500</v>
      </c>
      <c r="AE81" s="171">
        <f t="shared" ca="1" si="84"/>
        <v>0</v>
      </c>
      <c r="AF81" s="171">
        <f t="shared" ca="1" si="84"/>
        <v>312500</v>
      </c>
      <c r="AG81" s="171">
        <f t="shared" ca="1" si="84"/>
        <v>625000</v>
      </c>
      <c r="AH81" s="171">
        <f t="shared" ca="1" si="84"/>
        <v>937500</v>
      </c>
      <c r="AI81" s="171">
        <f t="shared" ca="1" si="84"/>
        <v>1250000</v>
      </c>
      <c r="AJ81" s="171">
        <f t="shared" ca="1" si="84"/>
        <v>1562500</v>
      </c>
      <c r="AK81" s="171">
        <f t="shared" ca="1" si="84"/>
        <v>0</v>
      </c>
      <c r="AL81" s="171">
        <f t="shared" ca="1" si="84"/>
        <v>312500</v>
      </c>
      <c r="AM81" s="171">
        <f t="shared" ca="1" si="84"/>
        <v>625000</v>
      </c>
      <c r="AN81" s="171">
        <f t="shared" ca="1" si="84"/>
        <v>937500</v>
      </c>
      <c r="AO81" s="171">
        <f t="shared" ca="1" si="84"/>
        <v>1250000</v>
      </c>
      <c r="AP81" s="171">
        <f t="shared" ca="1" si="84"/>
        <v>1562500</v>
      </c>
      <c r="AQ81" s="171">
        <f t="shared" ca="1" si="84"/>
        <v>0</v>
      </c>
      <c r="AR81" s="171">
        <f t="shared" ca="1" si="84"/>
        <v>312500</v>
      </c>
      <c r="AS81" s="171">
        <f t="shared" ca="1" si="84"/>
        <v>625000</v>
      </c>
      <c r="AT81" s="171">
        <f t="shared" ca="1" si="84"/>
        <v>937500</v>
      </c>
      <c r="AU81" s="171">
        <f t="shared" ca="1" si="84"/>
        <v>1250000</v>
      </c>
      <c r="AV81" s="171">
        <f t="shared" ca="1" si="84"/>
        <v>1562500</v>
      </c>
      <c r="AW81" s="171">
        <f t="shared" ca="1" si="84"/>
        <v>0</v>
      </c>
      <c r="AX81" s="171">
        <f t="shared" ca="1" si="84"/>
        <v>312500</v>
      </c>
      <c r="AY81" s="171">
        <f t="shared" ca="1" si="84"/>
        <v>625000</v>
      </c>
      <c r="AZ81" s="171">
        <f t="shared" ca="1" si="84"/>
        <v>937500</v>
      </c>
      <c r="BA81" s="171">
        <f t="shared" ca="1" si="84"/>
        <v>1250000</v>
      </c>
      <c r="BB81" s="171">
        <f t="shared" ca="1" si="84"/>
        <v>1562500</v>
      </c>
      <c r="BC81" s="171">
        <f t="shared" ca="1" si="84"/>
        <v>112527.98705873126</v>
      </c>
      <c r="BD81" s="171">
        <f t="shared" ca="1" si="84"/>
        <v>425027.98705873126</v>
      </c>
      <c r="BE81" s="171">
        <f t="shared" ca="1" si="84"/>
        <v>737527.98705873126</v>
      </c>
      <c r="BF81" s="171">
        <f t="shared" ca="1" si="84"/>
        <v>1050027.9870587313</v>
      </c>
      <c r="BG81" s="171">
        <f t="shared" ca="1" si="84"/>
        <v>1362527.9870587313</v>
      </c>
      <c r="BH81" s="171">
        <f t="shared" ca="1" si="84"/>
        <v>1675027.9870587313</v>
      </c>
      <c r="BI81" s="171">
        <f t="shared" ca="1" si="84"/>
        <v>474235.9881307208</v>
      </c>
      <c r="BJ81" s="171">
        <f t="shared" ca="1" si="84"/>
        <v>786735.9881307208</v>
      </c>
      <c r="BK81" s="171">
        <f t="shared" ca="1" si="84"/>
        <v>1099235.9881307208</v>
      </c>
      <c r="BL81" s="171">
        <f t="shared" ca="1" si="84"/>
        <v>1411735.9881307208</v>
      </c>
      <c r="BM81" s="171">
        <f t="shared" ca="1" si="84"/>
        <v>1724235.9881307208</v>
      </c>
      <c r="BN81" s="171">
        <f t="shared" ca="1" si="84"/>
        <v>2036735.9881307208</v>
      </c>
      <c r="BO81" s="171">
        <f t="shared" ca="1" si="84"/>
        <v>1083694.4914447735</v>
      </c>
      <c r="BP81" s="171">
        <f t="shared" ca="1" si="84"/>
        <v>1396194.4914447735</v>
      </c>
      <c r="BQ81" s="171">
        <f t="shared" ca="1" si="84"/>
        <v>1708694.4914447735</v>
      </c>
      <c r="BR81" s="171">
        <f t="shared" ca="1" si="84"/>
        <v>2021194.4914447735</v>
      </c>
      <c r="BS81" s="171">
        <f t="shared" ca="1" si="84"/>
        <v>2333694.4914447735</v>
      </c>
      <c r="BT81" s="171">
        <f t="shared" ca="1" si="84"/>
        <v>2646194.4914447735</v>
      </c>
      <c r="BU81" s="171">
        <f t="shared" ca="1" si="84"/>
        <v>1236216.0558593343</v>
      </c>
      <c r="BV81" s="171">
        <f t="shared" ca="1" si="84"/>
        <v>1548716.0558593343</v>
      </c>
      <c r="BW81" s="171">
        <f t="shared" ca="1" si="84"/>
        <v>1861216.0558593343</v>
      </c>
      <c r="BX81" s="171">
        <f t="shared" ca="1" si="84"/>
        <v>2173716.0558593343</v>
      </c>
      <c r="BY81" s="171">
        <f t="shared" ca="1" si="84"/>
        <v>2486216.0558593343</v>
      </c>
      <c r="BZ81" s="171">
        <f t="shared" ref="BZ81:EK81" ca="1" si="85">BZ78+BZ79-BZ80</f>
        <v>2798716.0558593343</v>
      </c>
      <c r="CA81" s="171">
        <f t="shared" ca="1" si="85"/>
        <v>1305568.3155292799</v>
      </c>
      <c r="CB81" s="171">
        <f t="shared" ca="1" si="85"/>
        <v>1618068.3155292799</v>
      </c>
      <c r="CC81" s="171">
        <f t="shared" ca="1" si="85"/>
        <v>1930568.3155292799</v>
      </c>
      <c r="CD81" s="171">
        <f t="shared" ca="1" si="85"/>
        <v>2243068.3155292799</v>
      </c>
      <c r="CE81" s="171">
        <f t="shared" ca="1" si="85"/>
        <v>2555568.3155292799</v>
      </c>
      <c r="CF81" s="171">
        <f t="shared" ca="1" si="85"/>
        <v>2868068.3155292799</v>
      </c>
      <c r="CG81" s="171">
        <f t="shared" ca="1" si="85"/>
        <v>922070.9693098818</v>
      </c>
      <c r="CH81" s="171">
        <f t="shared" ca="1" si="85"/>
        <v>1234570.9693098818</v>
      </c>
      <c r="CI81" s="171">
        <f t="shared" ca="1" si="85"/>
        <v>1547070.9693098818</v>
      </c>
      <c r="CJ81" s="171">
        <f t="shared" ca="1" si="85"/>
        <v>1859570.9693098818</v>
      </c>
      <c r="CK81" s="171">
        <f t="shared" ca="1" si="85"/>
        <v>2172070.9693098818</v>
      </c>
      <c r="CL81" s="171">
        <f t="shared" ca="1" si="85"/>
        <v>2484570.9693098818</v>
      </c>
      <c r="CM81" s="171">
        <f t="shared" ca="1" si="85"/>
        <v>765857.79048862867</v>
      </c>
      <c r="CN81" s="171">
        <f t="shared" ca="1" si="85"/>
        <v>1078357.7904886287</v>
      </c>
      <c r="CO81" s="171">
        <f t="shared" ca="1" si="85"/>
        <v>1390857.7904886287</v>
      </c>
      <c r="CP81" s="171">
        <f t="shared" ca="1" si="85"/>
        <v>1703357.7904886287</v>
      </c>
      <c r="CQ81" s="171">
        <f t="shared" ca="1" si="85"/>
        <v>2015857.7904886287</v>
      </c>
      <c r="CR81" s="171">
        <f t="shared" ca="1" si="85"/>
        <v>2328357.7904886287</v>
      </c>
      <c r="CS81" s="171">
        <f t="shared" ca="1" si="85"/>
        <v>160583.13370326906</v>
      </c>
      <c r="CT81" s="171">
        <f t="shared" ca="1" si="85"/>
        <v>473083.13370326906</v>
      </c>
      <c r="CU81" s="171">
        <f t="shared" ca="1" si="85"/>
        <v>785583.13370326906</v>
      </c>
      <c r="CV81" s="171">
        <f t="shared" ca="1" si="85"/>
        <v>1098083.1337032691</v>
      </c>
      <c r="CW81" s="171">
        <f t="shared" ca="1" si="85"/>
        <v>1410583.1337032691</v>
      </c>
      <c r="CX81" s="171">
        <f t="shared" ca="1" si="85"/>
        <v>1723083.1337032691</v>
      </c>
      <c r="CY81" s="171">
        <f t="shared" ca="1" si="85"/>
        <v>0</v>
      </c>
      <c r="CZ81" s="171">
        <f t="shared" ca="1" si="85"/>
        <v>312500</v>
      </c>
      <c r="DA81" s="171">
        <f t="shared" ca="1" si="85"/>
        <v>625000</v>
      </c>
      <c r="DB81" s="171">
        <f t="shared" ca="1" si="85"/>
        <v>937500</v>
      </c>
      <c r="DC81" s="171">
        <f t="shared" ca="1" si="85"/>
        <v>1250000</v>
      </c>
      <c r="DD81" s="171">
        <f t="shared" ca="1" si="85"/>
        <v>1562500</v>
      </c>
      <c r="DE81" s="171">
        <f t="shared" ca="1" si="85"/>
        <v>0</v>
      </c>
      <c r="DF81" s="171">
        <f t="shared" ca="1" si="85"/>
        <v>312500</v>
      </c>
      <c r="DG81" s="171">
        <f t="shared" ca="1" si="85"/>
        <v>625000</v>
      </c>
      <c r="DH81" s="171">
        <f t="shared" ca="1" si="85"/>
        <v>937500</v>
      </c>
      <c r="DI81" s="171">
        <f t="shared" ca="1" si="85"/>
        <v>1250000</v>
      </c>
      <c r="DJ81" s="171">
        <f t="shared" ca="1" si="85"/>
        <v>1562500</v>
      </c>
      <c r="DK81" s="171">
        <f t="shared" ca="1" si="85"/>
        <v>0</v>
      </c>
      <c r="DL81" s="171">
        <f t="shared" ca="1" si="85"/>
        <v>312500</v>
      </c>
      <c r="DM81" s="171">
        <f t="shared" ca="1" si="85"/>
        <v>625000</v>
      </c>
      <c r="DN81" s="171">
        <f t="shared" ca="1" si="85"/>
        <v>937500</v>
      </c>
      <c r="DO81" s="171">
        <f t="shared" ca="1" si="85"/>
        <v>1250000</v>
      </c>
      <c r="DP81" s="171">
        <f t="shared" ca="1" si="85"/>
        <v>1562500</v>
      </c>
      <c r="DQ81" s="171">
        <f t="shared" ca="1" si="85"/>
        <v>0</v>
      </c>
      <c r="DR81" s="171">
        <f t="shared" ca="1" si="85"/>
        <v>312500</v>
      </c>
      <c r="DS81" s="171">
        <f t="shared" ca="1" si="85"/>
        <v>625000</v>
      </c>
      <c r="DT81" s="171">
        <f t="shared" ca="1" si="85"/>
        <v>937500</v>
      </c>
      <c r="DU81" s="171">
        <f t="shared" ca="1" si="85"/>
        <v>1250000</v>
      </c>
      <c r="DV81" s="171">
        <f t="shared" ca="1" si="85"/>
        <v>1562500</v>
      </c>
      <c r="DW81" s="171">
        <f t="shared" ca="1" si="85"/>
        <v>0</v>
      </c>
      <c r="DX81" s="171">
        <f t="shared" ca="1" si="85"/>
        <v>312500</v>
      </c>
      <c r="DY81" s="171">
        <f t="shared" ca="1" si="85"/>
        <v>625000</v>
      </c>
      <c r="DZ81" s="171">
        <f t="shared" ca="1" si="85"/>
        <v>937500</v>
      </c>
      <c r="EA81" s="171">
        <f t="shared" ca="1" si="85"/>
        <v>1250000</v>
      </c>
      <c r="EB81" s="171">
        <f t="shared" ca="1" si="85"/>
        <v>1562500</v>
      </c>
      <c r="EC81" s="171">
        <f t="shared" ca="1" si="85"/>
        <v>0</v>
      </c>
      <c r="ED81" s="171">
        <f t="shared" ca="1" si="85"/>
        <v>0</v>
      </c>
      <c r="EE81" s="171">
        <f t="shared" ca="1" si="85"/>
        <v>0</v>
      </c>
      <c r="EF81" s="171">
        <f t="shared" ca="1" si="85"/>
        <v>0</v>
      </c>
      <c r="EG81" s="171">
        <f t="shared" ca="1" si="85"/>
        <v>0</v>
      </c>
      <c r="EH81" s="171">
        <f t="shared" ca="1" si="85"/>
        <v>0</v>
      </c>
      <c r="EI81" s="171">
        <f t="shared" ca="1" si="85"/>
        <v>0</v>
      </c>
      <c r="EJ81" s="171">
        <f t="shared" ca="1" si="85"/>
        <v>0</v>
      </c>
      <c r="EK81" s="171">
        <f t="shared" ca="1" si="85"/>
        <v>0</v>
      </c>
      <c r="EL81" s="171">
        <f t="shared" ref="EL81:ER81" ca="1" si="86">EL78+EL79-EL80</f>
        <v>0</v>
      </c>
      <c r="EM81" s="171">
        <f t="shared" ca="1" si="86"/>
        <v>0</v>
      </c>
      <c r="EN81" s="171">
        <f t="shared" ca="1" si="86"/>
        <v>0</v>
      </c>
      <c r="EO81" s="171">
        <f t="shared" ca="1" si="86"/>
        <v>0</v>
      </c>
      <c r="EP81" s="171">
        <f t="shared" ca="1" si="86"/>
        <v>0</v>
      </c>
      <c r="EQ81" s="171">
        <f t="shared" ca="1" si="86"/>
        <v>0</v>
      </c>
      <c r="ER81" s="171">
        <f t="shared" ca="1" si="86"/>
        <v>0</v>
      </c>
    </row>
    <row r="82" spans="2:148" ht="11.25" customHeight="1">
      <c r="B82" s="875" t="s">
        <v>1095</v>
      </c>
      <c r="C82" s="876"/>
      <c r="D82" s="876"/>
      <c r="E82" s="876"/>
      <c r="F82" s="876"/>
      <c r="G82" s="876"/>
      <c r="H82" s="876"/>
      <c r="I82" s="877"/>
      <c r="J82" s="878"/>
      <c r="K82" s="919"/>
      <c r="M82" s="897"/>
      <c r="N82" s="897"/>
      <c r="O82" s="897"/>
      <c r="P82" s="897"/>
      <c r="Q82" s="897"/>
      <c r="R82" s="897"/>
      <c r="S82" s="897"/>
      <c r="T82" s="897"/>
      <c r="U82" s="897"/>
      <c r="V82" s="897"/>
      <c r="W82" s="897"/>
      <c r="X82" s="897"/>
      <c r="Y82" s="897"/>
      <c r="Z82" s="897"/>
      <c r="AA82" s="897"/>
      <c r="AB82" s="897"/>
      <c r="AC82" s="897"/>
      <c r="AD82" s="897"/>
      <c r="AE82" s="897"/>
      <c r="AF82" s="897"/>
      <c r="AG82" s="897"/>
      <c r="AH82" s="897"/>
      <c r="AI82" s="897"/>
      <c r="AJ82" s="897"/>
      <c r="AK82" s="897"/>
      <c r="AL82" s="897"/>
      <c r="AM82" s="897"/>
      <c r="AN82" s="897"/>
      <c r="AO82" s="897"/>
      <c r="AP82" s="897"/>
      <c r="AQ82" s="897"/>
      <c r="AR82" s="897"/>
      <c r="AS82" s="897"/>
      <c r="AT82" s="897"/>
      <c r="AU82" s="897"/>
      <c r="AV82" s="897"/>
      <c r="AW82" s="897"/>
      <c r="AX82" s="897"/>
      <c r="AY82" s="897"/>
      <c r="AZ82" s="897"/>
      <c r="BA82" s="897"/>
      <c r="BB82" s="897"/>
      <c r="BC82" s="897"/>
      <c r="BD82" s="897"/>
      <c r="BE82" s="897"/>
      <c r="BF82" s="897"/>
      <c r="BG82" s="897"/>
      <c r="BH82" s="897"/>
      <c r="BI82" s="897"/>
      <c r="BJ82" s="897"/>
      <c r="BK82" s="897"/>
      <c r="BL82" s="897"/>
      <c r="BM82" s="897"/>
      <c r="BN82" s="897"/>
      <c r="BO82" s="897"/>
      <c r="BP82" s="897"/>
      <c r="BQ82" s="897"/>
      <c r="BR82" s="897"/>
      <c r="BS82" s="897"/>
      <c r="BT82" s="897"/>
      <c r="BU82" s="897"/>
      <c r="BV82" s="897"/>
      <c r="BW82" s="897"/>
      <c r="BX82" s="897"/>
      <c r="BY82" s="897"/>
      <c r="BZ82" s="897"/>
      <c r="CA82" s="897"/>
      <c r="CB82" s="897"/>
      <c r="CC82" s="897"/>
      <c r="CD82" s="897"/>
      <c r="CE82" s="897"/>
      <c r="CF82" s="897"/>
      <c r="CG82" s="897"/>
      <c r="CH82" s="897"/>
      <c r="CI82" s="897"/>
      <c r="CJ82" s="897"/>
      <c r="CK82" s="897"/>
      <c r="CL82" s="897"/>
      <c r="CM82" s="897"/>
      <c r="CN82" s="897"/>
      <c r="CO82" s="897"/>
      <c r="CP82" s="897"/>
      <c r="CQ82" s="897"/>
      <c r="CR82" s="897"/>
      <c r="CS82" s="897"/>
      <c r="CT82" s="897"/>
      <c r="CU82" s="897"/>
      <c r="CV82" s="897"/>
      <c r="CW82" s="897"/>
      <c r="CX82" s="897"/>
      <c r="CY82" s="897"/>
      <c r="CZ82" s="897"/>
      <c r="DA82" s="897"/>
      <c r="DB82" s="897"/>
      <c r="DC82" s="897"/>
      <c r="DD82" s="897"/>
      <c r="DE82" s="897"/>
      <c r="DF82" s="897"/>
      <c r="DG82" s="897"/>
      <c r="DH82" s="897"/>
      <c r="DI82" s="897"/>
      <c r="DJ82" s="897"/>
      <c r="DK82" s="897"/>
      <c r="DL82" s="897"/>
      <c r="DM82" s="897"/>
      <c r="DN82" s="897"/>
      <c r="DO82" s="897"/>
      <c r="DP82" s="897"/>
      <c r="DQ82" s="897"/>
      <c r="DR82" s="897"/>
      <c r="DS82" s="897"/>
      <c r="DT82" s="897"/>
      <c r="DU82" s="897"/>
      <c r="DV82" s="897"/>
      <c r="DW82" s="897"/>
      <c r="DX82" s="897"/>
      <c r="DY82" s="897"/>
      <c r="DZ82" s="897"/>
      <c r="EA82" s="897"/>
      <c r="EB82" s="897"/>
      <c r="EC82" s="897"/>
      <c r="ED82" s="897"/>
      <c r="EE82" s="897"/>
      <c r="EF82" s="897"/>
      <c r="EG82" s="897"/>
      <c r="EH82" s="897"/>
      <c r="EI82" s="897"/>
      <c r="EJ82" s="897"/>
      <c r="EK82" s="897"/>
      <c r="EL82" s="897"/>
      <c r="EM82" s="897"/>
      <c r="EN82" s="897"/>
      <c r="EO82" s="897"/>
      <c r="EP82" s="897"/>
      <c r="EQ82" s="897"/>
      <c r="ER82" s="897"/>
    </row>
    <row r="83" spans="2:148" ht="11.25" customHeight="1">
      <c r="B83" s="218"/>
      <c r="C83" s="904" t="s">
        <v>230</v>
      </c>
      <c r="D83" s="905"/>
      <c r="E83" s="905"/>
      <c r="F83" s="905"/>
      <c r="G83" s="905"/>
      <c r="H83" s="905"/>
      <c r="I83" s="906"/>
      <c r="J83" s="907"/>
      <c r="K83" s="917"/>
      <c r="L83" s="98"/>
      <c r="M83" s="908">
        <f t="shared" ref="M83:AR83" si="87">L86</f>
        <v>0</v>
      </c>
      <c r="N83" s="908">
        <f t="shared" si="87"/>
        <v>0</v>
      </c>
      <c r="O83" s="908">
        <f t="shared" si="87"/>
        <v>0</v>
      </c>
      <c r="P83" s="908">
        <f t="shared" si="87"/>
        <v>0</v>
      </c>
      <c r="Q83" s="908">
        <f t="shared" si="87"/>
        <v>0</v>
      </c>
      <c r="R83" s="908">
        <f t="shared" si="87"/>
        <v>0</v>
      </c>
      <c r="S83" s="908">
        <f t="shared" si="87"/>
        <v>0</v>
      </c>
      <c r="T83" s="908">
        <f t="shared" si="87"/>
        <v>0</v>
      </c>
      <c r="U83" s="908">
        <f t="shared" si="87"/>
        <v>0</v>
      </c>
      <c r="V83" s="908">
        <f t="shared" si="87"/>
        <v>0</v>
      </c>
      <c r="W83" s="908">
        <f t="shared" si="87"/>
        <v>0</v>
      </c>
      <c r="X83" s="908">
        <f t="shared" si="87"/>
        <v>0</v>
      </c>
      <c r="Y83" s="908">
        <f t="shared" si="87"/>
        <v>0</v>
      </c>
      <c r="Z83" s="908">
        <f t="shared" si="87"/>
        <v>0</v>
      </c>
      <c r="AA83" s="908">
        <f t="shared" si="87"/>
        <v>0</v>
      </c>
      <c r="AB83" s="908">
        <f t="shared" si="87"/>
        <v>0</v>
      </c>
      <c r="AC83" s="908">
        <f t="shared" si="87"/>
        <v>0</v>
      </c>
      <c r="AD83" s="908">
        <f t="shared" si="87"/>
        <v>0</v>
      </c>
      <c r="AE83" s="908">
        <f t="shared" si="87"/>
        <v>0</v>
      </c>
      <c r="AF83" s="908">
        <f t="shared" si="87"/>
        <v>0</v>
      </c>
      <c r="AG83" s="908">
        <f t="shared" si="87"/>
        <v>0</v>
      </c>
      <c r="AH83" s="908">
        <f t="shared" si="87"/>
        <v>0</v>
      </c>
      <c r="AI83" s="908">
        <f t="shared" si="87"/>
        <v>0</v>
      </c>
      <c r="AJ83" s="908">
        <f t="shared" si="87"/>
        <v>0</v>
      </c>
      <c r="AK83" s="908">
        <f t="shared" si="87"/>
        <v>0</v>
      </c>
      <c r="AL83" s="908">
        <f t="shared" si="87"/>
        <v>0</v>
      </c>
      <c r="AM83" s="908">
        <f t="shared" si="87"/>
        <v>0</v>
      </c>
      <c r="AN83" s="908">
        <f t="shared" si="87"/>
        <v>0</v>
      </c>
      <c r="AO83" s="908">
        <f t="shared" si="87"/>
        <v>0</v>
      </c>
      <c r="AP83" s="908">
        <f t="shared" si="87"/>
        <v>0</v>
      </c>
      <c r="AQ83" s="908">
        <f t="shared" si="87"/>
        <v>0</v>
      </c>
      <c r="AR83" s="908">
        <f t="shared" si="87"/>
        <v>0</v>
      </c>
      <c r="AS83" s="908">
        <f t="shared" ref="AS83:BX83" si="88">AR86</f>
        <v>0</v>
      </c>
      <c r="AT83" s="908">
        <f t="shared" si="88"/>
        <v>0</v>
      </c>
      <c r="AU83" s="908">
        <f t="shared" si="88"/>
        <v>0</v>
      </c>
      <c r="AV83" s="908">
        <f t="shared" si="88"/>
        <v>0</v>
      </c>
      <c r="AW83" s="908">
        <f t="shared" si="88"/>
        <v>0</v>
      </c>
      <c r="AX83" s="908">
        <f t="shared" si="88"/>
        <v>0</v>
      </c>
      <c r="AY83" s="908">
        <f t="shared" si="88"/>
        <v>0</v>
      </c>
      <c r="AZ83" s="908">
        <f t="shared" si="88"/>
        <v>0</v>
      </c>
      <c r="BA83" s="908">
        <f t="shared" si="88"/>
        <v>0</v>
      </c>
      <c r="BB83" s="908">
        <f t="shared" si="88"/>
        <v>0</v>
      </c>
      <c r="BC83" s="908">
        <f t="shared" si="88"/>
        <v>0</v>
      </c>
      <c r="BD83" s="908">
        <f t="shared" si="88"/>
        <v>0</v>
      </c>
      <c r="BE83" s="908">
        <f t="shared" si="88"/>
        <v>0</v>
      </c>
      <c r="BF83" s="908">
        <f t="shared" si="88"/>
        <v>0</v>
      </c>
      <c r="BG83" s="908">
        <f t="shared" si="88"/>
        <v>0</v>
      </c>
      <c r="BH83" s="908">
        <f t="shared" si="88"/>
        <v>0</v>
      </c>
      <c r="BI83" s="908">
        <f t="shared" si="88"/>
        <v>0</v>
      </c>
      <c r="BJ83" s="908">
        <f t="shared" si="88"/>
        <v>0</v>
      </c>
      <c r="BK83" s="908">
        <f t="shared" si="88"/>
        <v>0</v>
      </c>
      <c r="BL83" s="908">
        <f t="shared" si="88"/>
        <v>0</v>
      </c>
      <c r="BM83" s="908">
        <f t="shared" si="88"/>
        <v>0</v>
      </c>
      <c r="BN83" s="908">
        <f t="shared" si="88"/>
        <v>0</v>
      </c>
      <c r="BO83" s="908">
        <f t="shared" si="88"/>
        <v>0</v>
      </c>
      <c r="BP83" s="908">
        <f t="shared" si="88"/>
        <v>0</v>
      </c>
      <c r="BQ83" s="908">
        <f t="shared" si="88"/>
        <v>0</v>
      </c>
      <c r="BR83" s="908">
        <f t="shared" si="88"/>
        <v>0</v>
      </c>
      <c r="BS83" s="908">
        <f t="shared" si="88"/>
        <v>0</v>
      </c>
      <c r="BT83" s="908">
        <f t="shared" si="88"/>
        <v>0</v>
      </c>
      <c r="BU83" s="908">
        <f t="shared" si="88"/>
        <v>0</v>
      </c>
      <c r="BV83" s="908">
        <f t="shared" si="88"/>
        <v>0</v>
      </c>
      <c r="BW83" s="908">
        <f t="shared" si="88"/>
        <v>0</v>
      </c>
      <c r="BX83" s="908">
        <f t="shared" si="88"/>
        <v>0</v>
      </c>
      <c r="BY83" s="908">
        <f t="shared" ref="BY83:DD83" si="89">BX86</f>
        <v>0</v>
      </c>
      <c r="BZ83" s="908">
        <f t="shared" si="89"/>
        <v>0</v>
      </c>
      <c r="CA83" s="908">
        <f t="shared" si="89"/>
        <v>0</v>
      </c>
      <c r="CB83" s="908">
        <f t="shared" si="89"/>
        <v>0</v>
      </c>
      <c r="CC83" s="908">
        <f t="shared" si="89"/>
        <v>0</v>
      </c>
      <c r="CD83" s="908">
        <f t="shared" si="89"/>
        <v>0</v>
      </c>
      <c r="CE83" s="908">
        <f t="shared" si="89"/>
        <v>0</v>
      </c>
      <c r="CF83" s="908">
        <f t="shared" si="89"/>
        <v>0</v>
      </c>
      <c r="CG83" s="908">
        <f t="shared" si="89"/>
        <v>0</v>
      </c>
      <c r="CH83" s="908">
        <f t="shared" si="89"/>
        <v>0</v>
      </c>
      <c r="CI83" s="908">
        <f t="shared" si="89"/>
        <v>0</v>
      </c>
      <c r="CJ83" s="908">
        <f t="shared" si="89"/>
        <v>0</v>
      </c>
      <c r="CK83" s="908">
        <f t="shared" si="89"/>
        <v>0</v>
      </c>
      <c r="CL83" s="908">
        <f t="shared" si="89"/>
        <v>0</v>
      </c>
      <c r="CM83" s="908">
        <f t="shared" si="89"/>
        <v>0</v>
      </c>
      <c r="CN83" s="908">
        <f t="shared" si="89"/>
        <v>0</v>
      </c>
      <c r="CO83" s="908">
        <f t="shared" si="89"/>
        <v>0</v>
      </c>
      <c r="CP83" s="908">
        <f t="shared" si="89"/>
        <v>0</v>
      </c>
      <c r="CQ83" s="908">
        <f t="shared" si="89"/>
        <v>0</v>
      </c>
      <c r="CR83" s="908">
        <f t="shared" si="89"/>
        <v>0</v>
      </c>
      <c r="CS83" s="908">
        <f t="shared" si="89"/>
        <v>0</v>
      </c>
      <c r="CT83" s="908">
        <f t="shared" si="89"/>
        <v>0</v>
      </c>
      <c r="CU83" s="908">
        <f t="shared" si="89"/>
        <v>0</v>
      </c>
      <c r="CV83" s="908">
        <f t="shared" si="89"/>
        <v>0</v>
      </c>
      <c r="CW83" s="908">
        <f t="shared" si="89"/>
        <v>0</v>
      </c>
      <c r="CX83" s="908">
        <f t="shared" si="89"/>
        <v>0</v>
      </c>
      <c r="CY83" s="908">
        <f t="shared" si="89"/>
        <v>0</v>
      </c>
      <c r="CZ83" s="908">
        <f t="shared" si="89"/>
        <v>0</v>
      </c>
      <c r="DA83" s="908">
        <f t="shared" si="89"/>
        <v>0</v>
      </c>
      <c r="DB83" s="908">
        <f t="shared" si="89"/>
        <v>0</v>
      </c>
      <c r="DC83" s="908">
        <f t="shared" si="89"/>
        <v>0</v>
      </c>
      <c r="DD83" s="908">
        <f t="shared" si="89"/>
        <v>0</v>
      </c>
      <c r="DE83" s="908">
        <f t="shared" ref="DE83:EJ83" si="90">DD86</f>
        <v>0</v>
      </c>
      <c r="DF83" s="908">
        <f t="shared" si="90"/>
        <v>0</v>
      </c>
      <c r="DG83" s="908">
        <f t="shared" si="90"/>
        <v>0</v>
      </c>
      <c r="DH83" s="908">
        <f t="shared" si="90"/>
        <v>0</v>
      </c>
      <c r="DI83" s="908">
        <f t="shared" si="90"/>
        <v>0</v>
      </c>
      <c r="DJ83" s="908">
        <f t="shared" si="90"/>
        <v>0</v>
      </c>
      <c r="DK83" s="908">
        <f t="shared" si="90"/>
        <v>0</v>
      </c>
      <c r="DL83" s="908">
        <f t="shared" si="90"/>
        <v>0</v>
      </c>
      <c r="DM83" s="908">
        <f t="shared" si="90"/>
        <v>0</v>
      </c>
      <c r="DN83" s="908">
        <f t="shared" si="90"/>
        <v>0</v>
      </c>
      <c r="DO83" s="908">
        <f t="shared" si="90"/>
        <v>0</v>
      </c>
      <c r="DP83" s="908">
        <f t="shared" si="90"/>
        <v>0</v>
      </c>
      <c r="DQ83" s="908">
        <f t="shared" si="90"/>
        <v>0</v>
      </c>
      <c r="DR83" s="908">
        <f t="shared" si="90"/>
        <v>0</v>
      </c>
      <c r="DS83" s="908">
        <f t="shared" si="90"/>
        <v>0</v>
      </c>
      <c r="DT83" s="908">
        <f t="shared" si="90"/>
        <v>0</v>
      </c>
      <c r="DU83" s="908">
        <f t="shared" si="90"/>
        <v>0</v>
      </c>
      <c r="DV83" s="908">
        <f t="shared" si="90"/>
        <v>0</v>
      </c>
      <c r="DW83" s="908">
        <f t="shared" si="90"/>
        <v>0</v>
      </c>
      <c r="DX83" s="908">
        <f t="shared" si="90"/>
        <v>0</v>
      </c>
      <c r="DY83" s="908">
        <f t="shared" si="90"/>
        <v>0</v>
      </c>
      <c r="DZ83" s="908">
        <f t="shared" si="90"/>
        <v>0</v>
      </c>
      <c r="EA83" s="908">
        <f t="shared" si="90"/>
        <v>0</v>
      </c>
      <c r="EB83" s="908">
        <f t="shared" si="90"/>
        <v>0</v>
      </c>
      <c r="EC83" s="908">
        <f t="shared" si="90"/>
        <v>0</v>
      </c>
      <c r="ED83" s="908">
        <f t="shared" si="90"/>
        <v>0</v>
      </c>
      <c r="EE83" s="908">
        <f t="shared" si="90"/>
        <v>0</v>
      </c>
      <c r="EF83" s="908">
        <f t="shared" si="90"/>
        <v>0</v>
      </c>
      <c r="EG83" s="908">
        <f t="shared" si="90"/>
        <v>0</v>
      </c>
      <c r="EH83" s="908">
        <f t="shared" si="90"/>
        <v>0</v>
      </c>
      <c r="EI83" s="908">
        <f t="shared" si="90"/>
        <v>0</v>
      </c>
      <c r="EJ83" s="908">
        <f t="shared" si="90"/>
        <v>0</v>
      </c>
      <c r="EK83" s="908">
        <f t="shared" ref="EK83:ER83" si="91">EJ86</f>
        <v>0</v>
      </c>
      <c r="EL83" s="908">
        <f t="shared" si="91"/>
        <v>0</v>
      </c>
      <c r="EM83" s="908">
        <f t="shared" si="91"/>
        <v>0</v>
      </c>
      <c r="EN83" s="908">
        <f t="shared" si="91"/>
        <v>0</v>
      </c>
      <c r="EO83" s="908">
        <f t="shared" si="91"/>
        <v>0</v>
      </c>
      <c r="EP83" s="908">
        <f t="shared" si="91"/>
        <v>0</v>
      </c>
      <c r="EQ83" s="908">
        <f t="shared" si="91"/>
        <v>0</v>
      </c>
      <c r="ER83" s="908">
        <f t="shared" si="91"/>
        <v>0</v>
      </c>
    </row>
    <row r="84" spans="2:148" ht="11.25" customHeight="1">
      <c r="B84" s="218"/>
      <c r="C84" s="911" t="s">
        <v>231</v>
      </c>
      <c r="D84" s="912"/>
      <c r="E84" s="912"/>
      <c r="F84" s="912"/>
      <c r="G84" s="929"/>
      <c r="H84" s="921"/>
      <c r="I84" s="921">
        <f>'A&amp;R'!S43</f>
        <v>0</v>
      </c>
      <c r="J84" s="914"/>
      <c r="K84" s="918">
        <f>SUM(M84:ER84)</f>
        <v>0</v>
      </c>
      <c r="L84" s="98"/>
      <c r="M84" s="920">
        <f>'FS_Detail(M)'!L71*'IS(M)'!$I84/12*Index!L$22</f>
        <v>0</v>
      </c>
      <c r="N84" s="920">
        <f>'FS_Detail(M)'!M71*'IS(M)'!$I84/12*Index!M$22</f>
        <v>0</v>
      </c>
      <c r="O84" s="920">
        <f>'FS_Detail(M)'!N71*'IS(M)'!$I84/12*Index!N$22</f>
        <v>0</v>
      </c>
      <c r="P84" s="920">
        <f>'FS_Detail(M)'!O71*'IS(M)'!$I84/12*Index!O$22</f>
        <v>0</v>
      </c>
      <c r="Q84" s="920">
        <f>'FS_Detail(M)'!P71*'IS(M)'!$I84/12*Index!P$22</f>
        <v>0</v>
      </c>
      <c r="R84" s="920">
        <f>'FS_Detail(M)'!Q71*'IS(M)'!$I84/12*Index!Q$22</f>
        <v>0</v>
      </c>
      <c r="S84" s="920">
        <f>'FS_Detail(M)'!R71*'IS(M)'!$I84/12*Index!R$22</f>
        <v>0</v>
      </c>
      <c r="T84" s="920">
        <f>'FS_Detail(M)'!S71*'IS(M)'!$I84/12*Index!S$22</f>
        <v>0</v>
      </c>
      <c r="U84" s="920">
        <f>'FS_Detail(M)'!T71*'IS(M)'!$I84/12*Index!T$22</f>
        <v>0</v>
      </c>
      <c r="V84" s="920">
        <f>'FS_Detail(M)'!U71*'IS(M)'!$I84/12*Index!U$22</f>
        <v>0</v>
      </c>
      <c r="W84" s="920">
        <f>'FS_Detail(M)'!V71*'IS(M)'!$I84/12*Index!V$22</f>
        <v>0</v>
      </c>
      <c r="X84" s="920">
        <f>'FS_Detail(M)'!W71*'IS(M)'!$I84/12*Index!W$22</f>
        <v>0</v>
      </c>
      <c r="Y84" s="920">
        <f>'FS_Detail(M)'!X71*'IS(M)'!$I84/12*Index!X$22</f>
        <v>0</v>
      </c>
      <c r="Z84" s="920">
        <f>'FS_Detail(M)'!Y71*'IS(M)'!$I84/12*Index!Y$22</f>
        <v>0</v>
      </c>
      <c r="AA84" s="920">
        <f>'FS_Detail(M)'!Z71*'IS(M)'!$I84/12*Index!Z$22</f>
        <v>0</v>
      </c>
      <c r="AB84" s="920">
        <f>'FS_Detail(M)'!AA71*'IS(M)'!$I84/12*Index!AA$22</f>
        <v>0</v>
      </c>
      <c r="AC84" s="920">
        <f>'FS_Detail(M)'!AB71*'IS(M)'!$I84/12*Index!AB$22</f>
        <v>0</v>
      </c>
      <c r="AD84" s="920">
        <f>'FS_Detail(M)'!AC71*'IS(M)'!$I84/12*Index!AC$22</f>
        <v>0</v>
      </c>
      <c r="AE84" s="920">
        <f>'FS_Detail(M)'!AD71*'IS(M)'!$I84/12*Index!AD$22</f>
        <v>0</v>
      </c>
      <c r="AF84" s="920">
        <f>'FS_Detail(M)'!AE71*'IS(M)'!$I84/12*Index!AE$22</f>
        <v>0</v>
      </c>
      <c r="AG84" s="920">
        <f>'FS_Detail(M)'!AF71*'IS(M)'!$I84/12*Index!AF$22</f>
        <v>0</v>
      </c>
      <c r="AH84" s="920">
        <f>'FS_Detail(M)'!AG71*'IS(M)'!$I84/12*Index!AG$22</f>
        <v>0</v>
      </c>
      <c r="AI84" s="920">
        <f>'FS_Detail(M)'!AH71*'IS(M)'!$I84/12*Index!AH$22</f>
        <v>0</v>
      </c>
      <c r="AJ84" s="920">
        <f>'FS_Detail(M)'!AI71*'IS(M)'!$I84/12*Index!AI$22</f>
        <v>0</v>
      </c>
      <c r="AK84" s="920">
        <f>'FS_Detail(M)'!AJ71*'IS(M)'!$I84/12*Index!AJ$22</f>
        <v>0</v>
      </c>
      <c r="AL84" s="920">
        <f>'FS_Detail(M)'!AK71*'IS(M)'!$I84/12*Index!AK$22</f>
        <v>0</v>
      </c>
      <c r="AM84" s="920">
        <f>'FS_Detail(M)'!AL71*'IS(M)'!$I84/12*Index!AL$22</f>
        <v>0</v>
      </c>
      <c r="AN84" s="920">
        <f>'FS_Detail(M)'!AM71*'IS(M)'!$I84/12*Index!AM$22</f>
        <v>0</v>
      </c>
      <c r="AO84" s="920">
        <f>'FS_Detail(M)'!AN71*'IS(M)'!$I84/12*Index!AN$22</f>
        <v>0</v>
      </c>
      <c r="AP84" s="920">
        <f>'FS_Detail(M)'!AO71*'IS(M)'!$I84/12*Index!AO$22</f>
        <v>0</v>
      </c>
      <c r="AQ84" s="920">
        <f>'FS_Detail(M)'!AP71*'IS(M)'!$I84/12*Index!AP$22</f>
        <v>0</v>
      </c>
      <c r="AR84" s="920">
        <f>'FS_Detail(M)'!AQ71*'IS(M)'!$I84/12*Index!AQ$22</f>
        <v>0</v>
      </c>
      <c r="AS84" s="920">
        <f>'FS_Detail(M)'!AR71*'IS(M)'!$I84/12*Index!AR$22</f>
        <v>0</v>
      </c>
      <c r="AT84" s="920">
        <f>'FS_Detail(M)'!AS71*'IS(M)'!$I84/12*Index!AS$22</f>
        <v>0</v>
      </c>
      <c r="AU84" s="920">
        <f>'FS_Detail(M)'!AT71*'IS(M)'!$I84/12*Index!AT$22</f>
        <v>0</v>
      </c>
      <c r="AV84" s="920">
        <f>'FS_Detail(M)'!AU71*'IS(M)'!$I84/12*Index!AU$22</f>
        <v>0</v>
      </c>
      <c r="AW84" s="920">
        <f>'FS_Detail(M)'!AV71*'IS(M)'!$I84/12*Index!AV$22</f>
        <v>0</v>
      </c>
      <c r="AX84" s="920">
        <f>'FS_Detail(M)'!AW71*'IS(M)'!$I84/12*Index!AW$22</f>
        <v>0</v>
      </c>
      <c r="AY84" s="920">
        <f>'FS_Detail(M)'!AX71*'IS(M)'!$I84/12*Index!AX$22</f>
        <v>0</v>
      </c>
      <c r="AZ84" s="920">
        <f>'FS_Detail(M)'!AY71*'IS(M)'!$I84/12*Index!AY$22</f>
        <v>0</v>
      </c>
      <c r="BA84" s="920">
        <f>'FS_Detail(M)'!AZ71*'IS(M)'!$I84/12*Index!AZ$22</f>
        <v>0</v>
      </c>
      <c r="BB84" s="920">
        <f>'FS_Detail(M)'!BA71*'IS(M)'!$I84/12*Index!BA$22</f>
        <v>0</v>
      </c>
      <c r="BC84" s="920">
        <f>'FS_Detail(M)'!BB71*'IS(M)'!$I84/12*Index!BB$22</f>
        <v>0</v>
      </c>
      <c r="BD84" s="920">
        <f>'FS_Detail(M)'!BC71*'IS(M)'!$I84/12*Index!BC$22</f>
        <v>0</v>
      </c>
      <c r="BE84" s="920">
        <f>'FS_Detail(M)'!BD71*'IS(M)'!$I84/12*Index!BD$22</f>
        <v>0</v>
      </c>
      <c r="BF84" s="920">
        <f>'FS_Detail(M)'!BE71*'IS(M)'!$I84/12*Index!BE$22</f>
        <v>0</v>
      </c>
      <c r="BG84" s="920">
        <f>'FS_Detail(M)'!BF71*'IS(M)'!$I84/12*Index!BF$22</f>
        <v>0</v>
      </c>
      <c r="BH84" s="920">
        <f>'FS_Detail(M)'!BG71*'IS(M)'!$I84/12*Index!BG$22</f>
        <v>0</v>
      </c>
      <c r="BI84" s="920">
        <f>'FS_Detail(M)'!BH71*'IS(M)'!$I84/12*Index!BH$22</f>
        <v>0</v>
      </c>
      <c r="BJ84" s="920">
        <f>'FS_Detail(M)'!BI71*'IS(M)'!$I84/12*Index!BI$22</f>
        <v>0</v>
      </c>
      <c r="BK84" s="920">
        <f>'FS_Detail(M)'!BJ71*'IS(M)'!$I84/12*Index!BJ$22</f>
        <v>0</v>
      </c>
      <c r="BL84" s="920">
        <f>'FS_Detail(M)'!BK71*'IS(M)'!$I84/12*Index!BK$22</f>
        <v>0</v>
      </c>
      <c r="BM84" s="920">
        <f>'FS_Detail(M)'!BL71*'IS(M)'!$I84/12*Index!BL$22</f>
        <v>0</v>
      </c>
      <c r="BN84" s="920">
        <f>'FS_Detail(M)'!BM71*'IS(M)'!$I84/12*Index!BM$22</f>
        <v>0</v>
      </c>
      <c r="BO84" s="920">
        <f>'FS_Detail(M)'!BN71*'IS(M)'!$I84/12*Index!BN$22</f>
        <v>0</v>
      </c>
      <c r="BP84" s="920">
        <f>'FS_Detail(M)'!BO71*'IS(M)'!$I84/12*Index!BO$22</f>
        <v>0</v>
      </c>
      <c r="BQ84" s="920">
        <f>'FS_Detail(M)'!BP71*'IS(M)'!$I84/12*Index!BP$22</f>
        <v>0</v>
      </c>
      <c r="BR84" s="920">
        <f>'FS_Detail(M)'!BQ71*'IS(M)'!$I84/12*Index!BQ$22</f>
        <v>0</v>
      </c>
      <c r="BS84" s="920">
        <f>'FS_Detail(M)'!BR71*'IS(M)'!$I84/12*Index!BR$22</f>
        <v>0</v>
      </c>
      <c r="BT84" s="920">
        <f>'FS_Detail(M)'!BS71*'IS(M)'!$I84/12*Index!BS$22</f>
        <v>0</v>
      </c>
      <c r="BU84" s="920">
        <f>'FS_Detail(M)'!BT71*'IS(M)'!$I84/12*Index!BT$22</f>
        <v>0</v>
      </c>
      <c r="BV84" s="920">
        <f>'FS_Detail(M)'!BU71*'IS(M)'!$I84/12*Index!BU$22</f>
        <v>0</v>
      </c>
      <c r="BW84" s="920">
        <f>'FS_Detail(M)'!BV71*'IS(M)'!$I84/12*Index!BV$22</f>
        <v>0</v>
      </c>
      <c r="BX84" s="920">
        <f>'FS_Detail(M)'!BW71*'IS(M)'!$I84/12*Index!BW$22</f>
        <v>0</v>
      </c>
      <c r="BY84" s="920">
        <f>'FS_Detail(M)'!BX71*'IS(M)'!$I84/12*Index!BX$22</f>
        <v>0</v>
      </c>
      <c r="BZ84" s="920">
        <f>'FS_Detail(M)'!BY71*'IS(M)'!$I84/12*Index!BY$22</f>
        <v>0</v>
      </c>
      <c r="CA84" s="920">
        <f>'FS_Detail(M)'!BZ71*'IS(M)'!$I84/12*Index!BZ$22</f>
        <v>0</v>
      </c>
      <c r="CB84" s="920">
        <f>'FS_Detail(M)'!CA71*'IS(M)'!$I84/12*Index!CA$22</f>
        <v>0</v>
      </c>
      <c r="CC84" s="920">
        <f>'FS_Detail(M)'!CB71*'IS(M)'!$I84/12*Index!CB$22</f>
        <v>0</v>
      </c>
      <c r="CD84" s="920">
        <f>'FS_Detail(M)'!CC71*'IS(M)'!$I84/12*Index!CC$22</f>
        <v>0</v>
      </c>
      <c r="CE84" s="920">
        <f>'FS_Detail(M)'!CD71*'IS(M)'!$I84/12*Index!CD$22</f>
        <v>0</v>
      </c>
      <c r="CF84" s="920">
        <f>'FS_Detail(M)'!CE71*'IS(M)'!$I84/12*Index!CE$22</f>
        <v>0</v>
      </c>
      <c r="CG84" s="920">
        <f>'FS_Detail(M)'!CF71*'IS(M)'!$I84/12*Index!CF$22</f>
        <v>0</v>
      </c>
      <c r="CH84" s="920">
        <f>'FS_Detail(M)'!CG71*'IS(M)'!$I84/12*Index!CG$22</f>
        <v>0</v>
      </c>
      <c r="CI84" s="920">
        <f>'FS_Detail(M)'!CH71*'IS(M)'!$I84/12*Index!CH$22</f>
        <v>0</v>
      </c>
      <c r="CJ84" s="920">
        <f>'FS_Detail(M)'!CI71*'IS(M)'!$I84/12*Index!CI$22</f>
        <v>0</v>
      </c>
      <c r="CK84" s="920">
        <f>'FS_Detail(M)'!CJ71*'IS(M)'!$I84/12*Index!CJ$22</f>
        <v>0</v>
      </c>
      <c r="CL84" s="920">
        <f>'FS_Detail(M)'!CK71*'IS(M)'!$I84/12*Index!CK$22</f>
        <v>0</v>
      </c>
      <c r="CM84" s="920">
        <f>'FS_Detail(M)'!CL71*'IS(M)'!$I84/12*Index!CL$22</f>
        <v>0</v>
      </c>
      <c r="CN84" s="920">
        <f>'FS_Detail(M)'!CM71*'IS(M)'!$I84/12*Index!CM$22</f>
        <v>0</v>
      </c>
      <c r="CO84" s="920">
        <f>'FS_Detail(M)'!CN71*'IS(M)'!$I84/12*Index!CN$22</f>
        <v>0</v>
      </c>
      <c r="CP84" s="920">
        <f>'FS_Detail(M)'!CO71*'IS(M)'!$I84/12*Index!CO$22</f>
        <v>0</v>
      </c>
      <c r="CQ84" s="920">
        <f>'FS_Detail(M)'!CP71*'IS(M)'!$I84/12*Index!CP$22</f>
        <v>0</v>
      </c>
      <c r="CR84" s="920">
        <f>'FS_Detail(M)'!CQ71*'IS(M)'!$I84/12*Index!CQ$22</f>
        <v>0</v>
      </c>
      <c r="CS84" s="920">
        <f>'FS_Detail(M)'!CR71*'IS(M)'!$I84/12*Index!CR$22</f>
        <v>0</v>
      </c>
      <c r="CT84" s="920">
        <f>'FS_Detail(M)'!CS71*'IS(M)'!$I84/12*Index!CS$22</f>
        <v>0</v>
      </c>
      <c r="CU84" s="920">
        <f>'FS_Detail(M)'!CT71*'IS(M)'!$I84/12*Index!CT$22</f>
        <v>0</v>
      </c>
      <c r="CV84" s="920">
        <f>'FS_Detail(M)'!CU71*'IS(M)'!$I84/12*Index!CU$22</f>
        <v>0</v>
      </c>
      <c r="CW84" s="920">
        <f>'FS_Detail(M)'!CV71*'IS(M)'!$I84/12*Index!CV$22</f>
        <v>0</v>
      </c>
      <c r="CX84" s="920">
        <f>'FS_Detail(M)'!CW71*'IS(M)'!$I84/12*Index!CW$22</f>
        <v>0</v>
      </c>
      <c r="CY84" s="920">
        <f>'FS_Detail(M)'!CX71*'IS(M)'!$I84/12*Index!CX$22</f>
        <v>0</v>
      </c>
      <c r="CZ84" s="920">
        <f>'FS_Detail(M)'!CY71*'IS(M)'!$I84/12*Index!CY$22</f>
        <v>0</v>
      </c>
      <c r="DA84" s="920">
        <f>'FS_Detail(M)'!CZ71*'IS(M)'!$I84/12*Index!CZ$22</f>
        <v>0</v>
      </c>
      <c r="DB84" s="920">
        <f>'FS_Detail(M)'!DA71*'IS(M)'!$I84/12*Index!DA$22</f>
        <v>0</v>
      </c>
      <c r="DC84" s="920">
        <f>'FS_Detail(M)'!DB71*'IS(M)'!$I84/12*Index!DB$22</f>
        <v>0</v>
      </c>
      <c r="DD84" s="920">
        <f>'FS_Detail(M)'!DC71*'IS(M)'!$I84/12*Index!DC$22</f>
        <v>0</v>
      </c>
      <c r="DE84" s="920">
        <f>'FS_Detail(M)'!DD71*'IS(M)'!$I84/12*Index!DD$22</f>
        <v>0</v>
      </c>
      <c r="DF84" s="920">
        <f>'FS_Detail(M)'!DE71*'IS(M)'!$I84/12*Index!DE$22</f>
        <v>0</v>
      </c>
      <c r="DG84" s="920">
        <f>'FS_Detail(M)'!DF71*'IS(M)'!$I84/12*Index!DF$22</f>
        <v>0</v>
      </c>
      <c r="DH84" s="920">
        <f>'FS_Detail(M)'!DG71*'IS(M)'!$I84/12*Index!DG$22</f>
        <v>0</v>
      </c>
      <c r="DI84" s="920">
        <f>'FS_Detail(M)'!DH71*'IS(M)'!$I84/12*Index!DH$22</f>
        <v>0</v>
      </c>
      <c r="DJ84" s="920">
        <f>'FS_Detail(M)'!DI71*'IS(M)'!$I84/12*Index!DI$22</f>
        <v>0</v>
      </c>
      <c r="DK84" s="920">
        <f>'FS_Detail(M)'!DJ71*'IS(M)'!$I84/12*Index!DJ$22</f>
        <v>0</v>
      </c>
      <c r="DL84" s="920">
        <f>'FS_Detail(M)'!DK71*'IS(M)'!$I84/12*Index!DK$22</f>
        <v>0</v>
      </c>
      <c r="DM84" s="920">
        <f>'FS_Detail(M)'!DL71*'IS(M)'!$I84/12*Index!DL$22</f>
        <v>0</v>
      </c>
      <c r="DN84" s="920">
        <f>'FS_Detail(M)'!DM71*'IS(M)'!$I84/12*Index!DM$22</f>
        <v>0</v>
      </c>
      <c r="DO84" s="920">
        <f>'FS_Detail(M)'!DN71*'IS(M)'!$I84/12*Index!DN$22</f>
        <v>0</v>
      </c>
      <c r="DP84" s="920">
        <f>'FS_Detail(M)'!DO71*'IS(M)'!$I84/12*Index!DO$22</f>
        <v>0</v>
      </c>
      <c r="DQ84" s="920">
        <f>'FS_Detail(M)'!DP71*'IS(M)'!$I84/12*Index!DP$22</f>
        <v>0</v>
      </c>
      <c r="DR84" s="920">
        <f>'FS_Detail(M)'!DQ71*'IS(M)'!$I84/12*Index!DQ$22</f>
        <v>0</v>
      </c>
      <c r="DS84" s="920">
        <f>'FS_Detail(M)'!DR71*'IS(M)'!$I84/12*Index!DR$22</f>
        <v>0</v>
      </c>
      <c r="DT84" s="920">
        <f>'FS_Detail(M)'!DS71*'IS(M)'!$I84/12*Index!DS$22</f>
        <v>0</v>
      </c>
      <c r="DU84" s="920">
        <f>'FS_Detail(M)'!DT71*'IS(M)'!$I84/12*Index!DT$22</f>
        <v>0</v>
      </c>
      <c r="DV84" s="920">
        <f>'FS_Detail(M)'!DU71*'IS(M)'!$I84/12*Index!DU$22</f>
        <v>0</v>
      </c>
      <c r="DW84" s="920">
        <f>'FS_Detail(M)'!DV71*'IS(M)'!$I84/12*Index!DV$22</f>
        <v>0</v>
      </c>
      <c r="DX84" s="920">
        <f>'FS_Detail(M)'!DW71*'IS(M)'!$I84/12*Index!DW$22</f>
        <v>0</v>
      </c>
      <c r="DY84" s="920">
        <f>'FS_Detail(M)'!DX71*'IS(M)'!$I84/12*Index!DX$22</f>
        <v>0</v>
      </c>
      <c r="DZ84" s="920">
        <f>'FS_Detail(M)'!DY71*'IS(M)'!$I84/12*Index!DY$22</f>
        <v>0</v>
      </c>
      <c r="EA84" s="920">
        <f>'FS_Detail(M)'!DZ71*'IS(M)'!$I84/12*Index!DZ$22</f>
        <v>0</v>
      </c>
      <c r="EB84" s="920">
        <f>'FS_Detail(M)'!EA71*'IS(M)'!$I84/12*Index!EA$22</f>
        <v>0</v>
      </c>
      <c r="EC84" s="920">
        <f>'FS_Detail(M)'!EB71*'IS(M)'!$I84/12*Index!EB$22</f>
        <v>0</v>
      </c>
      <c r="ED84" s="920">
        <f>'FS_Detail(M)'!EC71*'IS(M)'!$I84/12*Index!EC$22</f>
        <v>0</v>
      </c>
      <c r="EE84" s="920">
        <f>'FS_Detail(M)'!ED71*'IS(M)'!$I84/12*Index!ED$22</f>
        <v>0</v>
      </c>
      <c r="EF84" s="920">
        <f>'FS_Detail(M)'!EE71*'IS(M)'!$I84/12*Index!EE$22</f>
        <v>0</v>
      </c>
      <c r="EG84" s="920">
        <f>'FS_Detail(M)'!EF71*'IS(M)'!$I84/12*Index!EF$22</f>
        <v>0</v>
      </c>
      <c r="EH84" s="920">
        <f>'FS_Detail(M)'!EG71*'IS(M)'!$I84/12*Index!EG$22</f>
        <v>0</v>
      </c>
      <c r="EI84" s="920">
        <f>'FS_Detail(M)'!EH71*'IS(M)'!$I84/12*Index!EH$22</f>
        <v>0</v>
      </c>
      <c r="EJ84" s="920">
        <f>'FS_Detail(M)'!EI71*'IS(M)'!$I84/12*Index!EI$22</f>
        <v>0</v>
      </c>
      <c r="EK84" s="920">
        <f>'FS_Detail(M)'!EJ71*'IS(M)'!$I84/12*Index!EJ$22</f>
        <v>0</v>
      </c>
      <c r="EL84" s="920">
        <f>'FS_Detail(M)'!EK71*'IS(M)'!$I84/12*Index!EK$22</f>
        <v>0</v>
      </c>
      <c r="EM84" s="920">
        <f>'FS_Detail(M)'!EL71*'IS(M)'!$I84/12*Index!EL$22</f>
        <v>0</v>
      </c>
      <c r="EN84" s="920">
        <f>'FS_Detail(M)'!EM71*'IS(M)'!$I84/12*Index!EM$22</f>
        <v>0</v>
      </c>
      <c r="EO84" s="920">
        <f>'FS_Detail(M)'!EN71*'IS(M)'!$I84/12*Index!EN$22</f>
        <v>0</v>
      </c>
      <c r="EP84" s="920">
        <f>'FS_Detail(M)'!EO71*'IS(M)'!$I84/12*Index!EO$22</f>
        <v>0</v>
      </c>
      <c r="EQ84" s="920">
        <f>'FS_Detail(M)'!EP71*'IS(M)'!$I84/12*Index!EP$22</f>
        <v>0</v>
      </c>
      <c r="ER84" s="920">
        <f>'FS_Detail(M)'!EQ71*'IS(M)'!$I84/12*Index!EQ$22</f>
        <v>0</v>
      </c>
    </row>
    <row r="85" spans="2:148" ht="11.25" customHeight="1">
      <c r="B85" s="218"/>
      <c r="C85" s="911" t="s">
        <v>232</v>
      </c>
      <c r="D85" s="912"/>
      <c r="E85" s="912"/>
      <c r="F85" s="912"/>
      <c r="G85" s="912"/>
      <c r="H85" s="913"/>
      <c r="I85" s="913"/>
      <c r="J85" s="914"/>
      <c r="K85" s="918">
        <f>SUM(M85:ER85)</f>
        <v>0</v>
      </c>
      <c r="L85" s="98"/>
      <c r="M85" s="920">
        <f>SUM(M83:M84)*Index!L$48</f>
        <v>0</v>
      </c>
      <c r="N85" s="920">
        <f>SUM(N83:N84)*Index!M$48</f>
        <v>0</v>
      </c>
      <c r="O85" s="920">
        <f>SUM(O83:O84)*Index!N$48</f>
        <v>0</v>
      </c>
      <c r="P85" s="920">
        <f>SUM(P83:P84)*Index!O$48</f>
        <v>0</v>
      </c>
      <c r="Q85" s="920">
        <f>SUM(Q83:Q84)*Index!P$48</f>
        <v>0</v>
      </c>
      <c r="R85" s="920">
        <f>SUM(R83:R84)*Index!Q$48</f>
        <v>0</v>
      </c>
      <c r="S85" s="920">
        <f>SUM(S83:S84)*Index!R$48</f>
        <v>0</v>
      </c>
      <c r="T85" s="920">
        <f>SUM(T83:T84)*Index!S$48</f>
        <v>0</v>
      </c>
      <c r="U85" s="920">
        <f>SUM(U83:U84)*Index!T$48</f>
        <v>0</v>
      </c>
      <c r="V85" s="920">
        <f>SUM(V83:V84)*Index!U$48</f>
        <v>0</v>
      </c>
      <c r="W85" s="920">
        <f>SUM(W83:W84)*Index!V$48</f>
        <v>0</v>
      </c>
      <c r="X85" s="920">
        <f>SUM(X83:X84)*Index!W$48</f>
        <v>0</v>
      </c>
      <c r="Y85" s="920">
        <f>SUM(Y83:Y84)*Index!X$48</f>
        <v>0</v>
      </c>
      <c r="Z85" s="920">
        <f>SUM(Z83:Z84)*Index!Y$48</f>
        <v>0</v>
      </c>
      <c r="AA85" s="920">
        <f>SUM(AA83:AA84)*Index!Z$48</f>
        <v>0</v>
      </c>
      <c r="AB85" s="920">
        <f>SUM(AB83:AB84)*Index!AA$48</f>
        <v>0</v>
      </c>
      <c r="AC85" s="920">
        <f>SUM(AC83:AC84)*Index!AB$48</f>
        <v>0</v>
      </c>
      <c r="AD85" s="920">
        <f>SUM(AD83:AD84)*Index!AC$48</f>
        <v>0</v>
      </c>
      <c r="AE85" s="920">
        <f>SUM(AE83:AE84)*Index!AD$48</f>
        <v>0</v>
      </c>
      <c r="AF85" s="920">
        <f>SUM(AF83:AF84)*Index!AE$48</f>
        <v>0</v>
      </c>
      <c r="AG85" s="920">
        <f>SUM(AG83:AG84)*Index!AF$48</f>
        <v>0</v>
      </c>
      <c r="AH85" s="920">
        <f>SUM(AH83:AH84)*Index!AG$48</f>
        <v>0</v>
      </c>
      <c r="AI85" s="920">
        <f>SUM(AI83:AI84)*Index!AH$48</f>
        <v>0</v>
      </c>
      <c r="AJ85" s="920">
        <f>SUM(AJ83:AJ84)*Index!AI$48</f>
        <v>0</v>
      </c>
      <c r="AK85" s="920">
        <f>SUM(AK83:AK84)*Index!AJ$48</f>
        <v>0</v>
      </c>
      <c r="AL85" s="920">
        <f>SUM(AL83:AL84)*Index!AK$48</f>
        <v>0</v>
      </c>
      <c r="AM85" s="920">
        <f>SUM(AM83:AM84)*Index!AL$48</f>
        <v>0</v>
      </c>
      <c r="AN85" s="920">
        <f>SUM(AN83:AN84)*Index!AM$48</f>
        <v>0</v>
      </c>
      <c r="AO85" s="920">
        <f>SUM(AO83:AO84)*Index!AN$48</f>
        <v>0</v>
      </c>
      <c r="AP85" s="920">
        <f>SUM(AP83:AP84)*Index!AO$48</f>
        <v>0</v>
      </c>
      <c r="AQ85" s="920">
        <f>SUM(AQ83:AQ84)*Index!AP$48</f>
        <v>0</v>
      </c>
      <c r="AR85" s="920">
        <f>SUM(AR83:AR84)*Index!AQ$48</f>
        <v>0</v>
      </c>
      <c r="AS85" s="920">
        <f>SUM(AS83:AS84)*Index!AR$48</f>
        <v>0</v>
      </c>
      <c r="AT85" s="920">
        <f>SUM(AT83:AT84)*Index!AS$48</f>
        <v>0</v>
      </c>
      <c r="AU85" s="920">
        <f>SUM(AU83:AU84)*Index!AT$48</f>
        <v>0</v>
      </c>
      <c r="AV85" s="920">
        <f>SUM(AV83:AV84)*Index!AU$48</f>
        <v>0</v>
      </c>
      <c r="AW85" s="920">
        <f>SUM(AW83:AW84)*Index!AV$48</f>
        <v>0</v>
      </c>
      <c r="AX85" s="920">
        <f>SUM(AX83:AX84)*Index!AW$48</f>
        <v>0</v>
      </c>
      <c r="AY85" s="920">
        <f>SUM(AY83:AY84)*Index!AX$48</f>
        <v>0</v>
      </c>
      <c r="AZ85" s="920">
        <f>SUM(AZ83:AZ84)*Index!AY$48</f>
        <v>0</v>
      </c>
      <c r="BA85" s="920">
        <f>SUM(BA83:BA84)*Index!AZ$48</f>
        <v>0</v>
      </c>
      <c r="BB85" s="920">
        <f>SUM(BB83:BB84)*Index!BA$48</f>
        <v>0</v>
      </c>
      <c r="BC85" s="920">
        <f>SUM(BC83:BC84)*Index!BB$48</f>
        <v>0</v>
      </c>
      <c r="BD85" s="920">
        <f>SUM(BD83:BD84)*Index!BC$48</f>
        <v>0</v>
      </c>
      <c r="BE85" s="920">
        <f>SUM(BE83:BE84)*Index!BD$48</f>
        <v>0</v>
      </c>
      <c r="BF85" s="920">
        <f>SUM(BF83:BF84)*Index!BE$48</f>
        <v>0</v>
      </c>
      <c r="BG85" s="920">
        <f>SUM(BG83:BG84)*Index!BF$48</f>
        <v>0</v>
      </c>
      <c r="BH85" s="920">
        <f>SUM(BH83:BH84)*Index!BG$48</f>
        <v>0</v>
      </c>
      <c r="BI85" s="920">
        <f>SUM(BI83:BI84)*Index!BH$48</f>
        <v>0</v>
      </c>
      <c r="BJ85" s="920">
        <f>SUM(BJ83:BJ84)*Index!BI$48</f>
        <v>0</v>
      </c>
      <c r="BK85" s="920">
        <f>SUM(BK83:BK84)*Index!BJ$48</f>
        <v>0</v>
      </c>
      <c r="BL85" s="920">
        <f>SUM(BL83:BL84)*Index!BK$48</f>
        <v>0</v>
      </c>
      <c r="BM85" s="920">
        <f>SUM(BM83:BM84)*Index!BL$48</f>
        <v>0</v>
      </c>
      <c r="BN85" s="920">
        <f>SUM(BN83:BN84)*Index!BM$48</f>
        <v>0</v>
      </c>
      <c r="BO85" s="920">
        <f>SUM(BO83:BO84)*Index!BN$48</f>
        <v>0</v>
      </c>
      <c r="BP85" s="920">
        <f>SUM(BP83:BP84)*Index!BO$48</f>
        <v>0</v>
      </c>
      <c r="BQ85" s="920">
        <f>SUM(BQ83:BQ84)*Index!BP$48</f>
        <v>0</v>
      </c>
      <c r="BR85" s="920">
        <f>SUM(BR83:BR84)*Index!BQ$48</f>
        <v>0</v>
      </c>
      <c r="BS85" s="920">
        <f>SUM(BS83:BS84)*Index!BR$48</f>
        <v>0</v>
      </c>
      <c r="BT85" s="920">
        <f>SUM(BT83:BT84)*Index!BS$48</f>
        <v>0</v>
      </c>
      <c r="BU85" s="920">
        <f>SUM(BU83:BU84)*Index!BT$48</f>
        <v>0</v>
      </c>
      <c r="BV85" s="920">
        <f>SUM(BV83:BV84)*Index!BU$48</f>
        <v>0</v>
      </c>
      <c r="BW85" s="920">
        <f>SUM(BW83:BW84)*Index!BV$48</f>
        <v>0</v>
      </c>
      <c r="BX85" s="920">
        <f>SUM(BX83:BX84)*Index!BW$48</f>
        <v>0</v>
      </c>
      <c r="BY85" s="920">
        <f>SUM(BY83:BY84)*Index!BX$48</f>
        <v>0</v>
      </c>
      <c r="BZ85" s="920">
        <f>SUM(BZ83:BZ84)*Index!BY$48</f>
        <v>0</v>
      </c>
      <c r="CA85" s="920">
        <f>SUM(CA83:CA84)*Index!BZ$48</f>
        <v>0</v>
      </c>
      <c r="CB85" s="920">
        <f>SUM(CB83:CB84)*Index!CA$48</f>
        <v>0</v>
      </c>
      <c r="CC85" s="920">
        <f>SUM(CC83:CC84)*Index!CB$48</f>
        <v>0</v>
      </c>
      <c r="CD85" s="920">
        <f>SUM(CD83:CD84)*Index!CC$48</f>
        <v>0</v>
      </c>
      <c r="CE85" s="920">
        <f>SUM(CE83:CE84)*Index!CD$48</f>
        <v>0</v>
      </c>
      <c r="CF85" s="920">
        <f>SUM(CF83:CF84)*Index!CE$48</f>
        <v>0</v>
      </c>
      <c r="CG85" s="920">
        <f>SUM(CG83:CG84)*Index!CF$48</f>
        <v>0</v>
      </c>
      <c r="CH85" s="920">
        <f>SUM(CH83:CH84)*Index!CG$48</f>
        <v>0</v>
      </c>
      <c r="CI85" s="920">
        <f>SUM(CI83:CI84)*Index!CH$48</f>
        <v>0</v>
      </c>
      <c r="CJ85" s="920">
        <f>SUM(CJ83:CJ84)*Index!CI$48</f>
        <v>0</v>
      </c>
      <c r="CK85" s="920">
        <f>SUM(CK83:CK84)*Index!CJ$48</f>
        <v>0</v>
      </c>
      <c r="CL85" s="920">
        <f>SUM(CL83:CL84)*Index!CK$48</f>
        <v>0</v>
      </c>
      <c r="CM85" s="920">
        <f>SUM(CM83:CM84)*Index!CL$48</f>
        <v>0</v>
      </c>
      <c r="CN85" s="920">
        <f>SUM(CN83:CN84)*Index!CM$48</f>
        <v>0</v>
      </c>
      <c r="CO85" s="920">
        <f>SUM(CO83:CO84)*Index!CN$48</f>
        <v>0</v>
      </c>
      <c r="CP85" s="920">
        <f>SUM(CP83:CP84)*Index!CO$48</f>
        <v>0</v>
      </c>
      <c r="CQ85" s="920">
        <f>SUM(CQ83:CQ84)*Index!CP$48</f>
        <v>0</v>
      </c>
      <c r="CR85" s="920">
        <f>SUM(CR83:CR84)*Index!CQ$48</f>
        <v>0</v>
      </c>
      <c r="CS85" s="920">
        <f>SUM(CS83:CS84)*Index!CR$48</f>
        <v>0</v>
      </c>
      <c r="CT85" s="920">
        <f>SUM(CT83:CT84)*Index!CS$48</f>
        <v>0</v>
      </c>
      <c r="CU85" s="920">
        <f>SUM(CU83:CU84)*Index!CT$48</f>
        <v>0</v>
      </c>
      <c r="CV85" s="920">
        <f>SUM(CV83:CV84)*Index!CU$48</f>
        <v>0</v>
      </c>
      <c r="CW85" s="920">
        <f>SUM(CW83:CW84)*Index!CV$48</f>
        <v>0</v>
      </c>
      <c r="CX85" s="920">
        <f>SUM(CX83:CX84)*Index!CW$48</f>
        <v>0</v>
      </c>
      <c r="CY85" s="920">
        <f>SUM(CY83:CY84)*Index!CX$48</f>
        <v>0</v>
      </c>
      <c r="CZ85" s="920">
        <f>SUM(CZ83:CZ84)*Index!CY$48</f>
        <v>0</v>
      </c>
      <c r="DA85" s="920">
        <f>SUM(DA83:DA84)*Index!CZ$48</f>
        <v>0</v>
      </c>
      <c r="DB85" s="920">
        <f>SUM(DB83:DB84)*Index!DA$48</f>
        <v>0</v>
      </c>
      <c r="DC85" s="920">
        <f>SUM(DC83:DC84)*Index!DB$48</f>
        <v>0</v>
      </c>
      <c r="DD85" s="920">
        <f>SUM(DD83:DD84)*Index!DC$48</f>
        <v>0</v>
      </c>
      <c r="DE85" s="920">
        <f>SUM(DE83:DE84)*Index!DD$48</f>
        <v>0</v>
      </c>
      <c r="DF85" s="920">
        <f>SUM(DF83:DF84)*Index!DE$48</f>
        <v>0</v>
      </c>
      <c r="DG85" s="920">
        <f>SUM(DG83:DG84)*Index!DF$48</f>
        <v>0</v>
      </c>
      <c r="DH85" s="920">
        <f>SUM(DH83:DH84)*Index!DG$48</f>
        <v>0</v>
      </c>
      <c r="DI85" s="920">
        <f>SUM(DI83:DI84)*Index!DH$48</f>
        <v>0</v>
      </c>
      <c r="DJ85" s="920">
        <f>SUM(DJ83:DJ84)*Index!DI$48</f>
        <v>0</v>
      </c>
      <c r="DK85" s="920">
        <f>SUM(DK83:DK84)*Index!DJ$48</f>
        <v>0</v>
      </c>
      <c r="DL85" s="920">
        <f>SUM(DL83:DL84)*Index!DK$48</f>
        <v>0</v>
      </c>
      <c r="DM85" s="920">
        <f>SUM(DM83:DM84)*Index!DL$48</f>
        <v>0</v>
      </c>
      <c r="DN85" s="920">
        <f>SUM(DN83:DN84)*Index!DM$48</f>
        <v>0</v>
      </c>
      <c r="DO85" s="920">
        <f>SUM(DO83:DO84)*Index!DN$48</f>
        <v>0</v>
      </c>
      <c r="DP85" s="920">
        <f>SUM(DP83:DP84)*Index!DO$48</f>
        <v>0</v>
      </c>
      <c r="DQ85" s="920">
        <f>SUM(DQ83:DQ84)*Index!DP$48</f>
        <v>0</v>
      </c>
      <c r="DR85" s="920">
        <f>SUM(DR83:DR84)*Index!DQ$48</f>
        <v>0</v>
      </c>
      <c r="DS85" s="920">
        <f>SUM(DS83:DS84)*Index!DR$48</f>
        <v>0</v>
      </c>
      <c r="DT85" s="920">
        <f>SUM(DT83:DT84)*Index!DS$48</f>
        <v>0</v>
      </c>
      <c r="DU85" s="920">
        <f>SUM(DU83:DU84)*Index!DT$48</f>
        <v>0</v>
      </c>
      <c r="DV85" s="920">
        <f>SUM(DV83:DV84)*Index!DU$48</f>
        <v>0</v>
      </c>
      <c r="DW85" s="920">
        <f>SUM(DW83:DW84)*Index!DV$48</f>
        <v>0</v>
      </c>
      <c r="DX85" s="920">
        <f>SUM(DX83:DX84)*Index!DW$48</f>
        <v>0</v>
      </c>
      <c r="DY85" s="920">
        <f>SUM(DY83:DY84)*Index!DX$48</f>
        <v>0</v>
      </c>
      <c r="DZ85" s="920">
        <f>SUM(DZ83:DZ84)*Index!DY$48</f>
        <v>0</v>
      </c>
      <c r="EA85" s="920">
        <f>SUM(EA83:EA84)*Index!DZ$48</f>
        <v>0</v>
      </c>
      <c r="EB85" s="920">
        <f>SUM(EB83:EB84)*Index!EA$48</f>
        <v>0</v>
      </c>
      <c r="EC85" s="920">
        <f>SUM(EC83:EC84)*Index!EB$48</f>
        <v>0</v>
      </c>
      <c r="ED85" s="920">
        <f>SUM(ED83:ED84)*Index!EC$48</f>
        <v>0</v>
      </c>
      <c r="EE85" s="920">
        <f>SUM(EE83:EE84)*Index!ED$48</f>
        <v>0</v>
      </c>
      <c r="EF85" s="920">
        <f>SUM(EF83:EF84)*Index!EE$48</f>
        <v>0</v>
      </c>
      <c r="EG85" s="920">
        <f>SUM(EG83:EG84)*Index!EF$48</f>
        <v>0</v>
      </c>
      <c r="EH85" s="920">
        <f>SUM(EH83:EH84)*Index!EG$48</f>
        <v>0</v>
      </c>
      <c r="EI85" s="920">
        <f>SUM(EI83:EI84)*Index!EH$48</f>
        <v>0</v>
      </c>
      <c r="EJ85" s="920">
        <f>SUM(EJ83:EJ84)*Index!EI$48</f>
        <v>0</v>
      </c>
      <c r="EK85" s="920">
        <f>SUM(EK83:EK84)*Index!EJ$48</f>
        <v>0</v>
      </c>
      <c r="EL85" s="920">
        <f>SUM(EL83:EL84)*Index!EK$48</f>
        <v>0</v>
      </c>
      <c r="EM85" s="920">
        <f>SUM(EM83:EM84)*Index!EL$48</f>
        <v>0</v>
      </c>
      <c r="EN85" s="920">
        <f>SUM(EN83:EN84)*Index!EM$48</f>
        <v>0</v>
      </c>
      <c r="EO85" s="920">
        <f>SUM(EO83:EO84)*Index!EN$48</f>
        <v>0</v>
      </c>
      <c r="EP85" s="920">
        <f>SUM(EP83:EP84)*Index!EO$48</f>
        <v>0</v>
      </c>
      <c r="EQ85" s="920">
        <f>SUM(EQ83:EQ84)*Index!EP$48</f>
        <v>0</v>
      </c>
      <c r="ER85" s="920">
        <f>SUM(ER83:ER84)*Index!EQ$48</f>
        <v>0</v>
      </c>
    </row>
    <row r="86" spans="2:148" ht="11.25" customHeight="1">
      <c r="B86" s="218"/>
      <c r="C86" s="911" t="s">
        <v>233</v>
      </c>
      <c r="D86" s="912"/>
      <c r="E86" s="912"/>
      <c r="F86" s="912"/>
      <c r="G86" s="912"/>
      <c r="H86" s="912"/>
      <c r="I86" s="913"/>
      <c r="J86" s="914"/>
      <c r="K86" s="918"/>
      <c r="L86" s="98"/>
      <c r="M86" s="171">
        <f>M83+M84-M85</f>
        <v>0</v>
      </c>
      <c r="N86" s="171">
        <f t="shared" ref="N86:BY86" si="92">N83+N84-N85</f>
        <v>0</v>
      </c>
      <c r="O86" s="171">
        <f t="shared" si="92"/>
        <v>0</v>
      </c>
      <c r="P86" s="171">
        <f t="shared" si="92"/>
        <v>0</v>
      </c>
      <c r="Q86" s="171">
        <f t="shared" si="92"/>
        <v>0</v>
      </c>
      <c r="R86" s="171">
        <f t="shared" si="92"/>
        <v>0</v>
      </c>
      <c r="S86" s="171">
        <f t="shared" si="92"/>
        <v>0</v>
      </c>
      <c r="T86" s="171">
        <f t="shared" si="92"/>
        <v>0</v>
      </c>
      <c r="U86" s="171">
        <f t="shared" si="92"/>
        <v>0</v>
      </c>
      <c r="V86" s="171">
        <f t="shared" si="92"/>
        <v>0</v>
      </c>
      <c r="W86" s="171">
        <f t="shared" si="92"/>
        <v>0</v>
      </c>
      <c r="X86" s="171">
        <f t="shared" si="92"/>
        <v>0</v>
      </c>
      <c r="Y86" s="171">
        <f t="shared" si="92"/>
        <v>0</v>
      </c>
      <c r="Z86" s="171">
        <f t="shared" si="92"/>
        <v>0</v>
      </c>
      <c r="AA86" s="171">
        <f t="shared" si="92"/>
        <v>0</v>
      </c>
      <c r="AB86" s="171">
        <f t="shared" si="92"/>
        <v>0</v>
      </c>
      <c r="AC86" s="171">
        <f t="shared" si="92"/>
        <v>0</v>
      </c>
      <c r="AD86" s="171">
        <f t="shared" si="92"/>
        <v>0</v>
      </c>
      <c r="AE86" s="171">
        <f t="shared" si="92"/>
        <v>0</v>
      </c>
      <c r="AF86" s="171">
        <f t="shared" si="92"/>
        <v>0</v>
      </c>
      <c r="AG86" s="171">
        <f t="shared" si="92"/>
        <v>0</v>
      </c>
      <c r="AH86" s="171">
        <f t="shared" si="92"/>
        <v>0</v>
      </c>
      <c r="AI86" s="171">
        <f t="shared" si="92"/>
        <v>0</v>
      </c>
      <c r="AJ86" s="171">
        <f t="shared" si="92"/>
        <v>0</v>
      </c>
      <c r="AK86" s="171">
        <f t="shared" si="92"/>
        <v>0</v>
      </c>
      <c r="AL86" s="171">
        <f t="shared" si="92"/>
        <v>0</v>
      </c>
      <c r="AM86" s="171">
        <f t="shared" si="92"/>
        <v>0</v>
      </c>
      <c r="AN86" s="171">
        <f t="shared" si="92"/>
        <v>0</v>
      </c>
      <c r="AO86" s="171">
        <f t="shared" si="92"/>
        <v>0</v>
      </c>
      <c r="AP86" s="171">
        <f t="shared" si="92"/>
        <v>0</v>
      </c>
      <c r="AQ86" s="171">
        <f t="shared" si="92"/>
        <v>0</v>
      </c>
      <c r="AR86" s="171">
        <f t="shared" si="92"/>
        <v>0</v>
      </c>
      <c r="AS86" s="171">
        <f t="shared" si="92"/>
        <v>0</v>
      </c>
      <c r="AT86" s="171">
        <f t="shared" si="92"/>
        <v>0</v>
      </c>
      <c r="AU86" s="171">
        <f t="shared" si="92"/>
        <v>0</v>
      </c>
      <c r="AV86" s="171">
        <f t="shared" si="92"/>
        <v>0</v>
      </c>
      <c r="AW86" s="171">
        <f t="shared" si="92"/>
        <v>0</v>
      </c>
      <c r="AX86" s="171">
        <f t="shared" si="92"/>
        <v>0</v>
      </c>
      <c r="AY86" s="171">
        <f t="shared" si="92"/>
        <v>0</v>
      </c>
      <c r="AZ86" s="171">
        <f t="shared" si="92"/>
        <v>0</v>
      </c>
      <c r="BA86" s="171">
        <f t="shared" si="92"/>
        <v>0</v>
      </c>
      <c r="BB86" s="171">
        <f t="shared" si="92"/>
        <v>0</v>
      </c>
      <c r="BC86" s="171">
        <f t="shared" si="92"/>
        <v>0</v>
      </c>
      <c r="BD86" s="171">
        <f t="shared" si="92"/>
        <v>0</v>
      </c>
      <c r="BE86" s="171">
        <f t="shared" si="92"/>
        <v>0</v>
      </c>
      <c r="BF86" s="171">
        <f t="shared" si="92"/>
        <v>0</v>
      </c>
      <c r="BG86" s="171">
        <f t="shared" si="92"/>
        <v>0</v>
      </c>
      <c r="BH86" s="171">
        <f t="shared" si="92"/>
        <v>0</v>
      </c>
      <c r="BI86" s="171">
        <f t="shared" si="92"/>
        <v>0</v>
      </c>
      <c r="BJ86" s="171">
        <f t="shared" si="92"/>
        <v>0</v>
      </c>
      <c r="BK86" s="171">
        <f t="shared" si="92"/>
        <v>0</v>
      </c>
      <c r="BL86" s="171">
        <f t="shared" si="92"/>
        <v>0</v>
      </c>
      <c r="BM86" s="171">
        <f t="shared" si="92"/>
        <v>0</v>
      </c>
      <c r="BN86" s="171">
        <f t="shared" si="92"/>
        <v>0</v>
      </c>
      <c r="BO86" s="171">
        <f t="shared" si="92"/>
        <v>0</v>
      </c>
      <c r="BP86" s="171">
        <f t="shared" si="92"/>
        <v>0</v>
      </c>
      <c r="BQ86" s="171">
        <f t="shared" si="92"/>
        <v>0</v>
      </c>
      <c r="BR86" s="171">
        <f t="shared" si="92"/>
        <v>0</v>
      </c>
      <c r="BS86" s="171">
        <f t="shared" si="92"/>
        <v>0</v>
      </c>
      <c r="BT86" s="171">
        <f t="shared" si="92"/>
        <v>0</v>
      </c>
      <c r="BU86" s="171">
        <f t="shared" si="92"/>
        <v>0</v>
      </c>
      <c r="BV86" s="171">
        <f t="shared" si="92"/>
        <v>0</v>
      </c>
      <c r="BW86" s="171">
        <f t="shared" si="92"/>
        <v>0</v>
      </c>
      <c r="BX86" s="171">
        <f t="shared" si="92"/>
        <v>0</v>
      </c>
      <c r="BY86" s="171">
        <f t="shared" si="92"/>
        <v>0</v>
      </c>
      <c r="BZ86" s="171">
        <f t="shared" ref="BZ86:EK86" si="93">BZ83+BZ84-BZ85</f>
        <v>0</v>
      </c>
      <c r="CA86" s="171">
        <f t="shared" si="93"/>
        <v>0</v>
      </c>
      <c r="CB86" s="171">
        <f t="shared" si="93"/>
        <v>0</v>
      </c>
      <c r="CC86" s="171">
        <f t="shared" si="93"/>
        <v>0</v>
      </c>
      <c r="CD86" s="171">
        <f t="shared" si="93"/>
        <v>0</v>
      </c>
      <c r="CE86" s="171">
        <f t="shared" si="93"/>
        <v>0</v>
      </c>
      <c r="CF86" s="171">
        <f t="shared" si="93"/>
        <v>0</v>
      </c>
      <c r="CG86" s="171">
        <f t="shared" si="93"/>
        <v>0</v>
      </c>
      <c r="CH86" s="171">
        <f t="shared" si="93"/>
        <v>0</v>
      </c>
      <c r="CI86" s="171">
        <f t="shared" si="93"/>
        <v>0</v>
      </c>
      <c r="CJ86" s="171">
        <f t="shared" si="93"/>
        <v>0</v>
      </c>
      <c r="CK86" s="171">
        <f t="shared" si="93"/>
        <v>0</v>
      </c>
      <c r="CL86" s="171">
        <f t="shared" si="93"/>
        <v>0</v>
      </c>
      <c r="CM86" s="171">
        <f t="shared" si="93"/>
        <v>0</v>
      </c>
      <c r="CN86" s="171">
        <f t="shared" si="93"/>
        <v>0</v>
      </c>
      <c r="CO86" s="171">
        <f t="shared" si="93"/>
        <v>0</v>
      </c>
      <c r="CP86" s="171">
        <f t="shared" si="93"/>
        <v>0</v>
      </c>
      <c r="CQ86" s="171">
        <f t="shared" si="93"/>
        <v>0</v>
      </c>
      <c r="CR86" s="171">
        <f t="shared" si="93"/>
        <v>0</v>
      </c>
      <c r="CS86" s="171">
        <f t="shared" si="93"/>
        <v>0</v>
      </c>
      <c r="CT86" s="171">
        <f t="shared" si="93"/>
        <v>0</v>
      </c>
      <c r="CU86" s="171">
        <f t="shared" si="93"/>
        <v>0</v>
      </c>
      <c r="CV86" s="171">
        <f t="shared" si="93"/>
        <v>0</v>
      </c>
      <c r="CW86" s="171">
        <f t="shared" si="93"/>
        <v>0</v>
      </c>
      <c r="CX86" s="171">
        <f t="shared" si="93"/>
        <v>0</v>
      </c>
      <c r="CY86" s="171">
        <f t="shared" si="93"/>
        <v>0</v>
      </c>
      <c r="CZ86" s="171">
        <f t="shared" si="93"/>
        <v>0</v>
      </c>
      <c r="DA86" s="171">
        <f t="shared" si="93"/>
        <v>0</v>
      </c>
      <c r="DB86" s="171">
        <f t="shared" si="93"/>
        <v>0</v>
      </c>
      <c r="DC86" s="171">
        <f t="shared" si="93"/>
        <v>0</v>
      </c>
      <c r="DD86" s="171">
        <f t="shared" si="93"/>
        <v>0</v>
      </c>
      <c r="DE86" s="171">
        <f t="shared" si="93"/>
        <v>0</v>
      </c>
      <c r="DF86" s="171">
        <f t="shared" si="93"/>
        <v>0</v>
      </c>
      <c r="DG86" s="171">
        <f t="shared" si="93"/>
        <v>0</v>
      </c>
      <c r="DH86" s="171">
        <f t="shared" si="93"/>
        <v>0</v>
      </c>
      <c r="DI86" s="171">
        <f t="shared" si="93"/>
        <v>0</v>
      </c>
      <c r="DJ86" s="171">
        <f t="shared" si="93"/>
        <v>0</v>
      </c>
      <c r="DK86" s="171">
        <f t="shared" si="93"/>
        <v>0</v>
      </c>
      <c r="DL86" s="171">
        <f t="shared" si="93"/>
        <v>0</v>
      </c>
      <c r="DM86" s="171">
        <f t="shared" si="93"/>
        <v>0</v>
      </c>
      <c r="DN86" s="171">
        <f t="shared" si="93"/>
        <v>0</v>
      </c>
      <c r="DO86" s="171">
        <f t="shared" si="93"/>
        <v>0</v>
      </c>
      <c r="DP86" s="171">
        <f t="shared" si="93"/>
        <v>0</v>
      </c>
      <c r="DQ86" s="171">
        <f t="shared" si="93"/>
        <v>0</v>
      </c>
      <c r="DR86" s="171">
        <f t="shared" si="93"/>
        <v>0</v>
      </c>
      <c r="DS86" s="171">
        <f t="shared" si="93"/>
        <v>0</v>
      </c>
      <c r="DT86" s="171">
        <f t="shared" si="93"/>
        <v>0</v>
      </c>
      <c r="DU86" s="171">
        <f t="shared" si="93"/>
        <v>0</v>
      </c>
      <c r="DV86" s="171">
        <f t="shared" si="93"/>
        <v>0</v>
      </c>
      <c r="DW86" s="171">
        <f t="shared" si="93"/>
        <v>0</v>
      </c>
      <c r="DX86" s="171">
        <f t="shared" si="93"/>
        <v>0</v>
      </c>
      <c r="DY86" s="171">
        <f t="shared" si="93"/>
        <v>0</v>
      </c>
      <c r="DZ86" s="171">
        <f t="shared" si="93"/>
        <v>0</v>
      </c>
      <c r="EA86" s="171">
        <f t="shared" si="93"/>
        <v>0</v>
      </c>
      <c r="EB86" s="171">
        <f t="shared" si="93"/>
        <v>0</v>
      </c>
      <c r="EC86" s="171">
        <f t="shared" si="93"/>
        <v>0</v>
      </c>
      <c r="ED86" s="171">
        <f t="shared" si="93"/>
        <v>0</v>
      </c>
      <c r="EE86" s="171">
        <f t="shared" si="93"/>
        <v>0</v>
      </c>
      <c r="EF86" s="171">
        <f t="shared" si="93"/>
        <v>0</v>
      </c>
      <c r="EG86" s="171">
        <f t="shared" si="93"/>
        <v>0</v>
      </c>
      <c r="EH86" s="171">
        <f t="shared" si="93"/>
        <v>0</v>
      </c>
      <c r="EI86" s="171">
        <f t="shared" si="93"/>
        <v>0</v>
      </c>
      <c r="EJ86" s="171">
        <f t="shared" si="93"/>
        <v>0</v>
      </c>
      <c r="EK86" s="171">
        <f t="shared" si="93"/>
        <v>0</v>
      </c>
      <c r="EL86" s="171">
        <f t="shared" ref="EL86:ER86" si="94">EL83+EL84-EL85</f>
        <v>0</v>
      </c>
      <c r="EM86" s="171">
        <f t="shared" si="94"/>
        <v>0</v>
      </c>
      <c r="EN86" s="171">
        <f t="shared" si="94"/>
        <v>0</v>
      </c>
      <c r="EO86" s="171">
        <f t="shared" si="94"/>
        <v>0</v>
      </c>
      <c r="EP86" s="171">
        <f t="shared" si="94"/>
        <v>0</v>
      </c>
      <c r="EQ86" s="171">
        <f t="shared" si="94"/>
        <v>0</v>
      </c>
      <c r="ER86" s="171">
        <f t="shared" si="94"/>
        <v>0</v>
      </c>
    </row>
    <row r="87" spans="2:148" ht="11.25" customHeight="1">
      <c r="B87" s="875" t="s">
        <v>550</v>
      </c>
      <c r="C87" s="876"/>
      <c r="D87" s="876"/>
      <c r="E87" s="876"/>
      <c r="F87" s="876"/>
      <c r="G87" s="876"/>
      <c r="H87" s="876"/>
      <c r="I87" s="877"/>
      <c r="J87" s="878"/>
      <c r="K87" s="919"/>
      <c r="M87" s="897"/>
      <c r="N87" s="897"/>
      <c r="O87" s="897"/>
      <c r="P87" s="897"/>
      <c r="Q87" s="897"/>
      <c r="R87" s="897"/>
      <c r="S87" s="897"/>
      <c r="T87" s="897"/>
      <c r="U87" s="897"/>
      <c r="V87" s="897"/>
      <c r="W87" s="897"/>
      <c r="X87" s="897"/>
      <c r="Y87" s="897"/>
      <c r="Z87" s="897"/>
      <c r="AA87" s="897"/>
      <c r="AB87" s="897"/>
      <c r="AC87" s="897"/>
      <c r="AD87" s="897"/>
      <c r="AE87" s="897"/>
      <c r="AF87" s="897"/>
      <c r="AG87" s="897"/>
      <c r="AH87" s="897"/>
      <c r="AI87" s="897"/>
      <c r="AJ87" s="897"/>
      <c r="AK87" s="897"/>
      <c r="AL87" s="897"/>
      <c r="AM87" s="897"/>
      <c r="AN87" s="897"/>
      <c r="AO87" s="897"/>
      <c r="AP87" s="897"/>
      <c r="AQ87" s="897"/>
      <c r="AR87" s="897"/>
      <c r="AS87" s="897"/>
      <c r="AT87" s="897"/>
      <c r="AU87" s="897"/>
      <c r="AV87" s="897"/>
      <c r="AW87" s="897"/>
      <c r="AX87" s="897"/>
      <c r="AY87" s="897"/>
      <c r="AZ87" s="897"/>
      <c r="BA87" s="897"/>
      <c r="BB87" s="897"/>
      <c r="BC87" s="897"/>
      <c r="BD87" s="897"/>
      <c r="BE87" s="897"/>
      <c r="BF87" s="897"/>
      <c r="BG87" s="897"/>
      <c r="BH87" s="897"/>
      <c r="BI87" s="897"/>
      <c r="BJ87" s="897"/>
      <c r="BK87" s="897"/>
      <c r="BL87" s="897"/>
      <c r="BM87" s="897"/>
      <c r="BN87" s="897"/>
      <c r="BO87" s="897"/>
      <c r="BP87" s="897"/>
      <c r="BQ87" s="897"/>
      <c r="BR87" s="897"/>
      <c r="BS87" s="897"/>
      <c r="BT87" s="897"/>
      <c r="BU87" s="897"/>
      <c r="BV87" s="897"/>
      <c r="BW87" s="897"/>
      <c r="BX87" s="897"/>
      <c r="BY87" s="897"/>
      <c r="BZ87" s="897"/>
      <c r="CA87" s="897"/>
      <c r="CB87" s="897"/>
      <c r="CC87" s="897"/>
      <c r="CD87" s="897"/>
      <c r="CE87" s="897"/>
      <c r="CF87" s="897"/>
      <c r="CG87" s="897"/>
      <c r="CH87" s="897"/>
      <c r="CI87" s="897"/>
      <c r="CJ87" s="897"/>
      <c r="CK87" s="897"/>
      <c r="CL87" s="897"/>
      <c r="CM87" s="897"/>
      <c r="CN87" s="897"/>
      <c r="CO87" s="897"/>
      <c r="CP87" s="897"/>
      <c r="CQ87" s="897"/>
      <c r="CR87" s="897"/>
      <c r="CS87" s="897"/>
      <c r="CT87" s="897"/>
      <c r="CU87" s="897"/>
      <c r="CV87" s="897"/>
      <c r="CW87" s="897"/>
      <c r="CX87" s="897"/>
      <c r="CY87" s="897"/>
      <c r="CZ87" s="897"/>
      <c r="DA87" s="897"/>
      <c r="DB87" s="897"/>
      <c r="DC87" s="897"/>
      <c r="DD87" s="897"/>
      <c r="DE87" s="897"/>
      <c r="DF87" s="897"/>
      <c r="DG87" s="897"/>
      <c r="DH87" s="897"/>
      <c r="DI87" s="897"/>
      <c r="DJ87" s="897"/>
      <c r="DK87" s="897"/>
      <c r="DL87" s="897"/>
      <c r="DM87" s="897"/>
      <c r="DN87" s="897"/>
      <c r="DO87" s="897"/>
      <c r="DP87" s="897"/>
      <c r="DQ87" s="897"/>
      <c r="DR87" s="897"/>
      <c r="DS87" s="897"/>
      <c r="DT87" s="897"/>
      <c r="DU87" s="897"/>
      <c r="DV87" s="897"/>
      <c r="DW87" s="897"/>
      <c r="DX87" s="897"/>
      <c r="DY87" s="897"/>
      <c r="DZ87" s="897"/>
      <c r="EA87" s="897"/>
      <c r="EB87" s="897"/>
      <c r="EC87" s="897"/>
      <c r="ED87" s="897"/>
      <c r="EE87" s="897"/>
      <c r="EF87" s="897"/>
      <c r="EG87" s="897"/>
      <c r="EH87" s="897"/>
      <c r="EI87" s="897"/>
      <c r="EJ87" s="897"/>
      <c r="EK87" s="897"/>
      <c r="EL87" s="897"/>
      <c r="EM87" s="897"/>
      <c r="EN87" s="897"/>
      <c r="EO87" s="897"/>
      <c r="EP87" s="897"/>
      <c r="EQ87" s="897"/>
      <c r="ER87" s="897"/>
    </row>
    <row r="88" spans="2:148" ht="11.25" customHeight="1">
      <c r="B88" s="218"/>
      <c r="C88" s="904" t="s">
        <v>230</v>
      </c>
      <c r="D88" s="905"/>
      <c r="E88" s="905"/>
      <c r="F88" s="905"/>
      <c r="G88" s="905"/>
      <c r="H88" s="905"/>
      <c r="I88" s="906"/>
      <c r="J88" s="907"/>
      <c r="K88" s="917"/>
      <c r="L88" s="98"/>
      <c r="M88" s="908">
        <f>L91</f>
        <v>0</v>
      </c>
      <c r="N88" s="908">
        <f t="shared" ref="N88:BY88" ca="1" si="95">M91</f>
        <v>0</v>
      </c>
      <c r="O88" s="908">
        <f t="shared" ca="1" si="95"/>
        <v>0</v>
      </c>
      <c r="P88" s="908">
        <f t="shared" ca="1" si="95"/>
        <v>0</v>
      </c>
      <c r="Q88" s="908">
        <f t="shared" ca="1" si="95"/>
        <v>0</v>
      </c>
      <c r="R88" s="908">
        <f t="shared" ca="1" si="95"/>
        <v>0</v>
      </c>
      <c r="S88" s="908">
        <f t="shared" ca="1" si="95"/>
        <v>0</v>
      </c>
      <c r="T88" s="908">
        <f t="shared" ca="1" si="95"/>
        <v>0</v>
      </c>
      <c r="U88" s="908">
        <f t="shared" ca="1" si="95"/>
        <v>0</v>
      </c>
      <c r="V88" s="908">
        <f t="shared" ca="1" si="95"/>
        <v>0</v>
      </c>
      <c r="W88" s="908">
        <f t="shared" ca="1" si="95"/>
        <v>0</v>
      </c>
      <c r="X88" s="908">
        <f t="shared" ca="1" si="95"/>
        <v>0</v>
      </c>
      <c r="Y88" s="908">
        <f t="shared" ca="1" si="95"/>
        <v>0</v>
      </c>
      <c r="Z88" s="908">
        <f t="shared" ca="1" si="95"/>
        <v>0</v>
      </c>
      <c r="AA88" s="908">
        <f t="shared" ca="1" si="95"/>
        <v>0</v>
      </c>
      <c r="AB88" s="908">
        <f t="shared" ca="1" si="95"/>
        <v>0</v>
      </c>
      <c r="AC88" s="908">
        <f t="shared" ca="1" si="95"/>
        <v>0</v>
      </c>
      <c r="AD88" s="908">
        <f t="shared" ca="1" si="95"/>
        <v>0</v>
      </c>
      <c r="AE88" s="908">
        <f t="shared" ca="1" si="95"/>
        <v>0</v>
      </c>
      <c r="AF88" s="908">
        <f t="shared" ca="1" si="95"/>
        <v>-1554691.2224241244</v>
      </c>
      <c r="AG88" s="908">
        <f t="shared" ca="1" si="95"/>
        <v>-1554691.2224241244</v>
      </c>
      <c r="AH88" s="908">
        <f t="shared" ca="1" si="95"/>
        <v>-1554691.2224241244</v>
      </c>
      <c r="AI88" s="908">
        <f t="shared" ca="1" si="95"/>
        <v>-1554691.2224241244</v>
      </c>
      <c r="AJ88" s="908">
        <f t="shared" ca="1" si="95"/>
        <v>-1554691.2224241244</v>
      </c>
      <c r="AK88" s="908">
        <f t="shared" ca="1" si="95"/>
        <v>-1554691.2224241244</v>
      </c>
      <c r="AL88" s="908">
        <f t="shared" ca="1" si="95"/>
        <v>-2690715.4550063224</v>
      </c>
      <c r="AM88" s="908">
        <f t="shared" ca="1" si="95"/>
        <v>-2690715.4550063224</v>
      </c>
      <c r="AN88" s="908">
        <f t="shared" ca="1" si="95"/>
        <v>-2690715.4550063224</v>
      </c>
      <c r="AO88" s="908">
        <f t="shared" ca="1" si="95"/>
        <v>-2690715.4550063224</v>
      </c>
      <c r="AP88" s="908">
        <f t="shared" ca="1" si="95"/>
        <v>-2690715.4550063224</v>
      </c>
      <c r="AQ88" s="908">
        <f t="shared" ca="1" si="95"/>
        <v>-2690715.4550063224</v>
      </c>
      <c r="AR88" s="908">
        <f t="shared" ca="1" si="95"/>
        <v>-3885247.8817847506</v>
      </c>
      <c r="AS88" s="908">
        <f t="shared" ca="1" si="95"/>
        <v>-3885247.8817847506</v>
      </c>
      <c r="AT88" s="908">
        <f t="shared" ca="1" si="95"/>
        <v>-3885247.8817847506</v>
      </c>
      <c r="AU88" s="908">
        <f t="shared" ca="1" si="95"/>
        <v>-3885247.8817847506</v>
      </c>
      <c r="AV88" s="908">
        <f t="shared" ca="1" si="95"/>
        <v>-3885247.8817847506</v>
      </c>
      <c r="AW88" s="908">
        <f t="shared" ca="1" si="95"/>
        <v>-3885247.8817847506</v>
      </c>
      <c r="AX88" s="908">
        <f t="shared" ca="1" si="95"/>
        <v>-6600247.8817847501</v>
      </c>
      <c r="AY88" s="908">
        <f t="shared" ca="1" si="95"/>
        <v>-6600247.8817847501</v>
      </c>
      <c r="AZ88" s="908">
        <f t="shared" ca="1" si="95"/>
        <v>-6600247.8817847501</v>
      </c>
      <c r="BA88" s="908">
        <f t="shared" ca="1" si="95"/>
        <v>-6600247.8817847501</v>
      </c>
      <c r="BB88" s="908">
        <f t="shared" ca="1" si="95"/>
        <v>-6600247.8817847501</v>
      </c>
      <c r="BC88" s="908">
        <f t="shared" ca="1" si="95"/>
        <v>-6600247.8817847501</v>
      </c>
      <c r="BD88" s="908">
        <f t="shared" ca="1" si="95"/>
        <v>-9202719.8947260194</v>
      </c>
      <c r="BE88" s="908">
        <f t="shared" ca="1" si="95"/>
        <v>-9202719.8947260194</v>
      </c>
      <c r="BF88" s="908">
        <f t="shared" ca="1" si="95"/>
        <v>-9202719.8947260194</v>
      </c>
      <c r="BG88" s="908">
        <f t="shared" ca="1" si="95"/>
        <v>-9202719.8947260194</v>
      </c>
      <c r="BH88" s="908">
        <f t="shared" ca="1" si="95"/>
        <v>-9202719.8947260194</v>
      </c>
      <c r="BI88" s="908">
        <f t="shared" ca="1" si="95"/>
        <v>-9202719.8947260194</v>
      </c>
      <c r="BJ88" s="908">
        <f t="shared" ca="1" si="95"/>
        <v>-10844090.498688849</v>
      </c>
      <c r="BK88" s="908">
        <f t="shared" ca="1" si="95"/>
        <v>-10844090.498688849</v>
      </c>
      <c r="BL88" s="908">
        <f t="shared" ca="1" si="95"/>
        <v>-10844090.498688849</v>
      </c>
      <c r="BM88" s="908">
        <f t="shared" ca="1" si="95"/>
        <v>-10844090.498688849</v>
      </c>
      <c r="BN88" s="908">
        <f t="shared" ca="1" si="95"/>
        <v>-10844090.498688849</v>
      </c>
      <c r="BO88" s="908">
        <f t="shared" ca="1" si="95"/>
        <v>-10844090.498688849</v>
      </c>
      <c r="BP88" s="908">
        <f t="shared" ca="1" si="95"/>
        <v>-10731296.742742233</v>
      </c>
      <c r="BQ88" s="908">
        <f t="shared" ca="1" si="95"/>
        <v>-10731296.742742233</v>
      </c>
      <c r="BR88" s="908">
        <f t="shared" ca="1" si="95"/>
        <v>-10731296.742742233</v>
      </c>
      <c r="BS88" s="908">
        <f t="shared" ca="1" si="95"/>
        <v>-10731296.742742233</v>
      </c>
      <c r="BT88" s="908">
        <f t="shared" ca="1" si="95"/>
        <v>-10731296.742742233</v>
      </c>
      <c r="BU88" s="908">
        <f t="shared" ca="1" si="95"/>
        <v>-10731296.742742233</v>
      </c>
      <c r="BV88" s="908">
        <f t="shared" ca="1" si="95"/>
        <v>-10846929.395101778</v>
      </c>
      <c r="BW88" s="908">
        <f t="shared" ca="1" si="95"/>
        <v>-10846929.395101778</v>
      </c>
      <c r="BX88" s="908">
        <f t="shared" ca="1" si="95"/>
        <v>-10846929.395101778</v>
      </c>
      <c r="BY88" s="908">
        <f t="shared" ca="1" si="95"/>
        <v>-10846929.395101778</v>
      </c>
      <c r="BZ88" s="908">
        <f t="shared" ref="BZ88:DT88" ca="1" si="96">BY91</f>
        <v>-10846929.395101778</v>
      </c>
      <c r="CA88" s="908">
        <f t="shared" ca="1" si="96"/>
        <v>-10846929.395101778</v>
      </c>
      <c r="CB88" s="908">
        <f t="shared" ca="1" si="96"/>
        <v>-10739065.389507029</v>
      </c>
      <c r="CC88" s="908">
        <f t="shared" ca="1" si="96"/>
        <v>-10739065.389507029</v>
      </c>
      <c r="CD88" s="908">
        <f t="shared" ca="1" si="96"/>
        <v>-10739065.389507029</v>
      </c>
      <c r="CE88" s="908">
        <f t="shared" ca="1" si="96"/>
        <v>-10739065.389507029</v>
      </c>
      <c r="CF88" s="908">
        <f t="shared" ca="1" si="96"/>
        <v>-10739065.389507029</v>
      </c>
      <c r="CG88" s="908">
        <f t="shared" ca="1" si="96"/>
        <v>-10739065.389507029</v>
      </c>
      <c r="CH88" s="908">
        <f t="shared" ca="1" si="96"/>
        <v>-10849827.695943456</v>
      </c>
      <c r="CI88" s="908">
        <f t="shared" ca="1" si="96"/>
        <v>-10849827.695943456</v>
      </c>
      <c r="CJ88" s="908">
        <f t="shared" ca="1" si="96"/>
        <v>-10849827.695943456</v>
      </c>
      <c r="CK88" s="908">
        <f t="shared" ca="1" si="96"/>
        <v>-10849827.695943456</v>
      </c>
      <c r="CL88" s="908">
        <f t="shared" ca="1" si="96"/>
        <v>-10849827.695943456</v>
      </c>
      <c r="CM88" s="908">
        <f t="shared" ca="1" si="96"/>
        <v>-10849827.695943456</v>
      </c>
      <c r="CN88" s="908">
        <f t="shared" ca="1" si="96"/>
        <v>-10746815.858740663</v>
      </c>
      <c r="CO88" s="908">
        <f t="shared" ca="1" si="96"/>
        <v>-10746815.858740663</v>
      </c>
      <c r="CP88" s="908">
        <f t="shared" ca="1" si="96"/>
        <v>-10746815.858740663</v>
      </c>
      <c r="CQ88" s="908">
        <f t="shared" ca="1" si="96"/>
        <v>-10746815.858740663</v>
      </c>
      <c r="CR88" s="908">
        <f t="shared" ca="1" si="96"/>
        <v>-10746815.858740663</v>
      </c>
      <c r="CS88" s="908">
        <f t="shared" ca="1" si="96"/>
        <v>-10746815.858740663</v>
      </c>
      <c r="CT88" s="908">
        <f t="shared" ca="1" si="96"/>
        <v>-10852786.623297356</v>
      </c>
      <c r="CU88" s="908">
        <f t="shared" ca="1" si="96"/>
        <v>-10852786.623297356</v>
      </c>
      <c r="CV88" s="908">
        <f t="shared" ca="1" si="96"/>
        <v>-10852786.623297356</v>
      </c>
      <c r="CW88" s="908">
        <f t="shared" ca="1" si="96"/>
        <v>-10852786.623297356</v>
      </c>
      <c r="CX88" s="908">
        <f t="shared" ca="1" si="96"/>
        <v>-10852786.623297356</v>
      </c>
      <c r="CY88" s="908">
        <f t="shared" ca="1" si="96"/>
        <v>-10852786.623297356</v>
      </c>
      <c r="CZ88" s="908">
        <f t="shared" ca="1" si="96"/>
        <v>-10528259.681136448</v>
      </c>
      <c r="DA88" s="908">
        <f t="shared" ca="1" si="96"/>
        <v>-10528259.681136448</v>
      </c>
      <c r="DB88" s="908">
        <f t="shared" ca="1" si="96"/>
        <v>-10528259.681136448</v>
      </c>
      <c r="DC88" s="908">
        <f t="shared" ca="1" si="96"/>
        <v>-10528259.681136448</v>
      </c>
      <c r="DD88" s="908">
        <f t="shared" ca="1" si="96"/>
        <v>-10528259.681136448</v>
      </c>
      <c r="DE88" s="908">
        <f t="shared" ca="1" si="96"/>
        <v>-10528259.681136448</v>
      </c>
      <c r="DF88" s="908">
        <f t="shared" ca="1" si="96"/>
        <v>-10695556.983839834</v>
      </c>
      <c r="DG88" s="908">
        <f t="shared" ca="1" si="96"/>
        <v>-10695556.983839834</v>
      </c>
      <c r="DH88" s="908">
        <f t="shared" ca="1" si="96"/>
        <v>-10695556.983839834</v>
      </c>
      <c r="DI88" s="908">
        <f t="shared" ca="1" si="96"/>
        <v>-10695556.983839834</v>
      </c>
      <c r="DJ88" s="908">
        <f t="shared" ca="1" si="96"/>
        <v>-10695556.983839834</v>
      </c>
      <c r="DK88" s="908">
        <f t="shared" ca="1" si="96"/>
        <v>-10695556.983839834</v>
      </c>
      <c r="DL88" s="908">
        <f t="shared" ca="1" si="96"/>
        <v>-10166508.998259105</v>
      </c>
      <c r="DM88" s="908">
        <f t="shared" ca="1" si="96"/>
        <v>-10166508.998259105</v>
      </c>
      <c r="DN88" s="908">
        <f t="shared" ca="1" si="96"/>
        <v>-10166508.998259105</v>
      </c>
      <c r="DO88" s="908">
        <f t="shared" ca="1" si="96"/>
        <v>-10166508.998259105</v>
      </c>
      <c r="DP88" s="908">
        <f t="shared" ca="1" si="96"/>
        <v>-10166508.998259105</v>
      </c>
      <c r="DQ88" s="908">
        <f t="shared" ca="1" si="96"/>
        <v>-10166508.998259105</v>
      </c>
      <c r="DR88" s="908">
        <f t="shared" ca="1" si="96"/>
        <v>-9422132.609803997</v>
      </c>
      <c r="DS88" s="908">
        <f t="shared" ca="1" si="96"/>
        <v>-9422132.609803997</v>
      </c>
      <c r="DT88" s="908">
        <f t="shared" ca="1" si="96"/>
        <v>-9422132.609803997</v>
      </c>
      <c r="DU88" s="908">
        <f t="shared" ref="DU88:ER88" ca="1" si="97">DT91</f>
        <v>-9422132.609803997</v>
      </c>
      <c r="DV88" s="908">
        <f t="shared" ca="1" si="97"/>
        <v>-9422132.609803997</v>
      </c>
      <c r="DW88" s="908">
        <f t="shared" ca="1" si="97"/>
        <v>-9422132.609803997</v>
      </c>
      <c r="DX88" s="908">
        <f t="shared" ca="1" si="97"/>
        <v>-8566279.6571320444</v>
      </c>
      <c r="DY88" s="908">
        <f t="shared" ca="1" si="97"/>
        <v>-8566279.6571320444</v>
      </c>
      <c r="DZ88" s="908">
        <f t="shared" ca="1" si="97"/>
        <v>-8566279.6571320444</v>
      </c>
      <c r="EA88" s="908">
        <f t="shared" ca="1" si="97"/>
        <v>-8566279.6571320444</v>
      </c>
      <c r="EB88" s="908">
        <f t="shared" ca="1" si="97"/>
        <v>-8566279.6571320444</v>
      </c>
      <c r="EC88" s="908">
        <f t="shared" ca="1" si="97"/>
        <v>-8566279.6571320444</v>
      </c>
      <c r="ED88" s="908">
        <f t="shared" ca="1" si="97"/>
        <v>-7583906.9650147511</v>
      </c>
      <c r="EE88" s="908">
        <f t="shared" ca="1" si="97"/>
        <v>-7583906.9650147511</v>
      </c>
      <c r="EF88" s="908">
        <f t="shared" ca="1" si="97"/>
        <v>-7583906.9650147511</v>
      </c>
      <c r="EG88" s="908">
        <f t="shared" ca="1" si="97"/>
        <v>-7583906.9650147511</v>
      </c>
      <c r="EH88" s="908">
        <f t="shared" ca="1" si="97"/>
        <v>-7583906.9650147511</v>
      </c>
      <c r="EI88" s="908">
        <f t="shared" ca="1" si="97"/>
        <v>-7583906.9650147511</v>
      </c>
      <c r="EJ88" s="908">
        <f t="shared" ca="1" si="97"/>
        <v>-7583906.9650147511</v>
      </c>
      <c r="EK88" s="908">
        <f t="shared" ca="1" si="97"/>
        <v>-7583906.9650147511</v>
      </c>
      <c r="EL88" s="908">
        <f t="shared" ca="1" si="97"/>
        <v>-7583906.9650147511</v>
      </c>
      <c r="EM88" s="908">
        <f t="shared" ca="1" si="97"/>
        <v>-7583906.9650147511</v>
      </c>
      <c r="EN88" s="908">
        <f t="shared" ca="1" si="97"/>
        <v>-7583906.9650147511</v>
      </c>
      <c r="EO88" s="908">
        <f t="shared" ca="1" si="97"/>
        <v>-7583906.9650147511</v>
      </c>
      <c r="EP88" s="908">
        <f t="shared" ca="1" si="97"/>
        <v>-7583906.9650147511</v>
      </c>
      <c r="EQ88" s="908">
        <f t="shared" ca="1" si="97"/>
        <v>-7583906.9650147511</v>
      </c>
      <c r="ER88" s="908">
        <f t="shared" ca="1" si="97"/>
        <v>-7583906.9650147511</v>
      </c>
    </row>
    <row r="89" spans="2:148" ht="11.25" customHeight="1">
      <c r="B89" s="218"/>
      <c r="C89" s="911" t="s">
        <v>231</v>
      </c>
      <c r="D89" s="912"/>
      <c r="E89" s="912"/>
      <c r="F89" s="912"/>
      <c r="G89" s="912"/>
      <c r="H89" s="912"/>
      <c r="I89" s="913"/>
      <c r="J89" s="914"/>
      <c r="K89" s="918">
        <f ca="1">SUM(M89:ER89)</f>
        <v>-6473906.9650147511</v>
      </c>
      <c r="L89" s="98"/>
      <c r="M89" s="920">
        <f ca="1">M70-M75+M65-M80-M85</f>
        <v>0</v>
      </c>
      <c r="N89" s="920">
        <f t="shared" ref="N89:BY89" ca="1" si="98">N70-N75+N65-N80-N85</f>
        <v>0</v>
      </c>
      <c r="O89" s="920">
        <f t="shared" ca="1" si="98"/>
        <v>0</v>
      </c>
      <c r="P89" s="920">
        <f t="shared" ca="1" si="98"/>
        <v>0</v>
      </c>
      <c r="Q89" s="920">
        <f t="shared" ca="1" si="98"/>
        <v>0</v>
      </c>
      <c r="R89" s="920">
        <f t="shared" ca="1" si="98"/>
        <v>0</v>
      </c>
      <c r="S89" s="920">
        <f ca="1">S70-S75+S65-S80-S85</f>
        <v>555000</v>
      </c>
      <c r="T89" s="920">
        <f t="shared" ca="1" si="98"/>
        <v>0</v>
      </c>
      <c r="U89" s="920">
        <f t="shared" ca="1" si="98"/>
        <v>0</v>
      </c>
      <c r="V89" s="920">
        <f t="shared" ca="1" si="98"/>
        <v>0</v>
      </c>
      <c r="W89" s="920">
        <f t="shared" ca="1" si="98"/>
        <v>0</v>
      </c>
      <c r="X89" s="920">
        <f t="shared" ca="1" si="98"/>
        <v>0</v>
      </c>
      <c r="Y89" s="920">
        <f t="shared" ca="1" si="98"/>
        <v>555000</v>
      </c>
      <c r="Z89" s="920">
        <f t="shared" ca="1" si="98"/>
        <v>0</v>
      </c>
      <c r="AA89" s="920">
        <f t="shared" ca="1" si="98"/>
        <v>0</v>
      </c>
      <c r="AB89" s="920">
        <f t="shared" ca="1" si="98"/>
        <v>0</v>
      </c>
      <c r="AC89" s="920">
        <f t="shared" ca="1" si="98"/>
        <v>0</v>
      </c>
      <c r="AD89" s="920">
        <f t="shared" ca="1" si="98"/>
        <v>0</v>
      </c>
      <c r="AE89" s="920">
        <f t="shared" ca="1" si="98"/>
        <v>-1554691.2224241244</v>
      </c>
      <c r="AF89" s="920">
        <f t="shared" ca="1" si="98"/>
        <v>0</v>
      </c>
      <c r="AG89" s="920">
        <f t="shared" ca="1" si="98"/>
        <v>0</v>
      </c>
      <c r="AH89" s="920">
        <f t="shared" ca="1" si="98"/>
        <v>0</v>
      </c>
      <c r="AI89" s="920">
        <f t="shared" ca="1" si="98"/>
        <v>0</v>
      </c>
      <c r="AJ89" s="920">
        <f t="shared" ca="1" si="98"/>
        <v>0</v>
      </c>
      <c r="AK89" s="920">
        <f t="shared" ca="1" si="98"/>
        <v>-1136024.232582198</v>
      </c>
      <c r="AL89" s="920">
        <f t="shared" ca="1" si="98"/>
        <v>0</v>
      </c>
      <c r="AM89" s="920">
        <f t="shared" ca="1" si="98"/>
        <v>0</v>
      </c>
      <c r="AN89" s="920">
        <f t="shared" ca="1" si="98"/>
        <v>0</v>
      </c>
      <c r="AO89" s="920">
        <f t="shared" ca="1" si="98"/>
        <v>0</v>
      </c>
      <c r="AP89" s="920">
        <f t="shared" ca="1" si="98"/>
        <v>0</v>
      </c>
      <c r="AQ89" s="920">
        <f t="shared" ca="1" si="98"/>
        <v>-1194532.4267784283</v>
      </c>
      <c r="AR89" s="920">
        <f t="shared" ca="1" si="98"/>
        <v>0</v>
      </c>
      <c r="AS89" s="920">
        <f t="shared" ca="1" si="98"/>
        <v>0</v>
      </c>
      <c r="AT89" s="920">
        <f t="shared" ca="1" si="98"/>
        <v>0</v>
      </c>
      <c r="AU89" s="920">
        <f t="shared" ca="1" si="98"/>
        <v>0</v>
      </c>
      <c r="AV89" s="920">
        <f t="shared" ca="1" si="98"/>
        <v>0</v>
      </c>
      <c r="AW89" s="920">
        <f t="shared" ca="1" si="98"/>
        <v>-2715000</v>
      </c>
      <c r="AX89" s="920">
        <f t="shared" ca="1" si="98"/>
        <v>0</v>
      </c>
      <c r="AY89" s="920">
        <f t="shared" ca="1" si="98"/>
        <v>0</v>
      </c>
      <c r="AZ89" s="920">
        <f t="shared" ca="1" si="98"/>
        <v>0</v>
      </c>
      <c r="BA89" s="920">
        <f t="shared" ca="1" si="98"/>
        <v>0</v>
      </c>
      <c r="BB89" s="920">
        <f t="shared" ca="1" si="98"/>
        <v>0</v>
      </c>
      <c r="BC89" s="920">
        <f t="shared" ca="1" si="98"/>
        <v>-2602472.0129412687</v>
      </c>
      <c r="BD89" s="920">
        <f t="shared" ca="1" si="98"/>
        <v>0</v>
      </c>
      <c r="BE89" s="920">
        <f t="shared" ca="1" si="98"/>
        <v>0</v>
      </c>
      <c r="BF89" s="920">
        <f t="shared" ca="1" si="98"/>
        <v>0</v>
      </c>
      <c r="BG89" s="920">
        <f t="shared" ca="1" si="98"/>
        <v>0</v>
      </c>
      <c r="BH89" s="920">
        <f t="shared" ca="1" si="98"/>
        <v>0</v>
      </c>
      <c r="BI89" s="920">
        <f t="shared" ca="1" si="98"/>
        <v>-1641370.6039628291</v>
      </c>
      <c r="BJ89" s="920">
        <f t="shared" ca="1" si="98"/>
        <v>0</v>
      </c>
      <c r="BK89" s="920">
        <f t="shared" ca="1" si="98"/>
        <v>0</v>
      </c>
      <c r="BL89" s="920">
        <f t="shared" ca="1" si="98"/>
        <v>0</v>
      </c>
      <c r="BM89" s="920">
        <f t="shared" ca="1" si="98"/>
        <v>0</v>
      </c>
      <c r="BN89" s="920">
        <f t="shared" ca="1" si="98"/>
        <v>0</v>
      </c>
      <c r="BO89" s="920">
        <f t="shared" ca="1" si="98"/>
        <v>112793.75594661478</v>
      </c>
      <c r="BP89" s="920">
        <f t="shared" ca="1" si="98"/>
        <v>0</v>
      </c>
      <c r="BQ89" s="920">
        <f t="shared" ca="1" si="98"/>
        <v>0</v>
      </c>
      <c r="BR89" s="920">
        <f t="shared" ca="1" si="98"/>
        <v>0</v>
      </c>
      <c r="BS89" s="920">
        <f t="shared" ca="1" si="98"/>
        <v>0</v>
      </c>
      <c r="BT89" s="920">
        <f t="shared" ca="1" si="98"/>
        <v>0</v>
      </c>
      <c r="BU89" s="920">
        <f t="shared" ca="1" si="98"/>
        <v>-115632.65235954477</v>
      </c>
      <c r="BV89" s="920">
        <f t="shared" ca="1" si="98"/>
        <v>0</v>
      </c>
      <c r="BW89" s="920">
        <f t="shared" ca="1" si="98"/>
        <v>0</v>
      </c>
      <c r="BX89" s="920">
        <f t="shared" ca="1" si="98"/>
        <v>0</v>
      </c>
      <c r="BY89" s="920">
        <f t="shared" ca="1" si="98"/>
        <v>0</v>
      </c>
      <c r="BZ89" s="920">
        <f t="shared" ref="BZ89:EK89" ca="1" si="99">BZ70-BZ75+BZ65-BZ80-BZ85</f>
        <v>0</v>
      </c>
      <c r="CA89" s="920">
        <f t="shared" ca="1" si="99"/>
        <v>107864.00559474854</v>
      </c>
      <c r="CB89" s="920">
        <f t="shared" ca="1" si="99"/>
        <v>0</v>
      </c>
      <c r="CC89" s="920">
        <f t="shared" ca="1" si="99"/>
        <v>0</v>
      </c>
      <c r="CD89" s="920">
        <f t="shared" ca="1" si="99"/>
        <v>0</v>
      </c>
      <c r="CE89" s="920">
        <f t="shared" ca="1" si="99"/>
        <v>0</v>
      </c>
      <c r="CF89" s="920">
        <f t="shared" ca="1" si="99"/>
        <v>0</v>
      </c>
      <c r="CG89" s="920">
        <f t="shared" ca="1" si="99"/>
        <v>-110762.30643642787</v>
      </c>
      <c r="CH89" s="920">
        <f t="shared" ca="1" si="99"/>
        <v>0</v>
      </c>
      <c r="CI89" s="920">
        <f t="shared" ca="1" si="99"/>
        <v>0</v>
      </c>
      <c r="CJ89" s="920">
        <f t="shared" ca="1" si="99"/>
        <v>0</v>
      </c>
      <c r="CK89" s="920">
        <f t="shared" ca="1" si="99"/>
        <v>0</v>
      </c>
      <c r="CL89" s="920">
        <f t="shared" ca="1" si="99"/>
        <v>0</v>
      </c>
      <c r="CM89" s="920">
        <f t="shared" ca="1" si="99"/>
        <v>103011.83720279299</v>
      </c>
      <c r="CN89" s="920">
        <f t="shared" ca="1" si="99"/>
        <v>0</v>
      </c>
      <c r="CO89" s="920">
        <f t="shared" ca="1" si="99"/>
        <v>0</v>
      </c>
      <c r="CP89" s="920">
        <f t="shared" ca="1" si="99"/>
        <v>0</v>
      </c>
      <c r="CQ89" s="920">
        <f t="shared" ca="1" si="99"/>
        <v>0</v>
      </c>
      <c r="CR89" s="920">
        <f t="shared" ca="1" si="99"/>
        <v>0</v>
      </c>
      <c r="CS89" s="920">
        <f t="shared" ca="1" si="99"/>
        <v>-105970.76455669338</v>
      </c>
      <c r="CT89" s="920">
        <f t="shared" ca="1" si="99"/>
        <v>0</v>
      </c>
      <c r="CU89" s="920">
        <f t="shared" ca="1" si="99"/>
        <v>0</v>
      </c>
      <c r="CV89" s="920">
        <f t="shared" ca="1" si="99"/>
        <v>0</v>
      </c>
      <c r="CW89" s="920">
        <f t="shared" ca="1" si="99"/>
        <v>0</v>
      </c>
      <c r="CX89" s="920">
        <f t="shared" ca="1" si="99"/>
        <v>0</v>
      </c>
      <c r="CY89" s="920">
        <f t="shared" ca="1" si="99"/>
        <v>324526.94216090767</v>
      </c>
      <c r="CZ89" s="920">
        <f t="shared" ca="1" si="99"/>
        <v>0</v>
      </c>
      <c r="DA89" s="920">
        <f t="shared" ca="1" si="99"/>
        <v>0</v>
      </c>
      <c r="DB89" s="920">
        <f t="shared" ca="1" si="99"/>
        <v>0</v>
      </c>
      <c r="DC89" s="920">
        <f t="shared" ca="1" si="99"/>
        <v>0</v>
      </c>
      <c r="DD89" s="920">
        <f t="shared" ca="1" si="99"/>
        <v>0</v>
      </c>
      <c r="DE89" s="920">
        <f t="shared" ca="1" si="99"/>
        <v>-167297.30270338617</v>
      </c>
      <c r="DF89" s="920">
        <f t="shared" ca="1" si="99"/>
        <v>0</v>
      </c>
      <c r="DG89" s="920">
        <f t="shared" ca="1" si="99"/>
        <v>0</v>
      </c>
      <c r="DH89" s="920">
        <f t="shared" ca="1" si="99"/>
        <v>0</v>
      </c>
      <c r="DI89" s="920">
        <f t="shared" ca="1" si="99"/>
        <v>0</v>
      </c>
      <c r="DJ89" s="920">
        <f t="shared" ca="1" si="99"/>
        <v>0</v>
      </c>
      <c r="DK89" s="920">
        <f t="shared" ca="1" si="99"/>
        <v>529047.98558072885</v>
      </c>
      <c r="DL89" s="920">
        <f t="shared" ca="1" si="99"/>
        <v>0</v>
      </c>
      <c r="DM89" s="920">
        <f t="shared" ca="1" si="99"/>
        <v>0</v>
      </c>
      <c r="DN89" s="920">
        <f t="shared" ca="1" si="99"/>
        <v>0</v>
      </c>
      <c r="DO89" s="920">
        <f t="shared" ca="1" si="99"/>
        <v>0</v>
      </c>
      <c r="DP89" s="920">
        <f t="shared" ca="1" si="99"/>
        <v>0</v>
      </c>
      <c r="DQ89" s="920">
        <f t="shared" ca="1" si="99"/>
        <v>744376.38845510781</v>
      </c>
      <c r="DR89" s="920">
        <f t="shared" ca="1" si="99"/>
        <v>0</v>
      </c>
      <c r="DS89" s="920">
        <f t="shared" ca="1" si="99"/>
        <v>0</v>
      </c>
      <c r="DT89" s="920">
        <f t="shared" ca="1" si="99"/>
        <v>0</v>
      </c>
      <c r="DU89" s="920">
        <f t="shared" ca="1" si="99"/>
        <v>0</v>
      </c>
      <c r="DV89" s="920">
        <f t="shared" ca="1" si="99"/>
        <v>0</v>
      </c>
      <c r="DW89" s="920">
        <f t="shared" ca="1" si="99"/>
        <v>855852.95267195255</v>
      </c>
      <c r="DX89" s="920">
        <f t="shared" ca="1" si="99"/>
        <v>0</v>
      </c>
      <c r="DY89" s="920">
        <f t="shared" ca="1" si="99"/>
        <v>0</v>
      </c>
      <c r="DZ89" s="920">
        <f t="shared" ca="1" si="99"/>
        <v>0</v>
      </c>
      <c r="EA89" s="920">
        <f t="shared" ca="1" si="99"/>
        <v>0</v>
      </c>
      <c r="EB89" s="920">
        <f t="shared" ca="1" si="99"/>
        <v>0</v>
      </c>
      <c r="EC89" s="920">
        <f t="shared" ca="1" si="99"/>
        <v>982372.69211729337</v>
      </c>
      <c r="ED89" s="920">
        <f t="shared" ca="1" si="99"/>
        <v>0</v>
      </c>
      <c r="EE89" s="920">
        <f t="shared" ca="1" si="99"/>
        <v>0</v>
      </c>
      <c r="EF89" s="920">
        <f t="shared" ca="1" si="99"/>
        <v>0</v>
      </c>
      <c r="EG89" s="920">
        <f t="shared" ca="1" si="99"/>
        <v>0</v>
      </c>
      <c r="EH89" s="920">
        <f t="shared" ca="1" si="99"/>
        <v>0</v>
      </c>
      <c r="EI89" s="920">
        <f t="shared" ca="1" si="99"/>
        <v>0</v>
      </c>
      <c r="EJ89" s="920">
        <f t="shared" ca="1" si="99"/>
        <v>0</v>
      </c>
      <c r="EK89" s="920">
        <f t="shared" ca="1" si="99"/>
        <v>0</v>
      </c>
      <c r="EL89" s="920">
        <f t="shared" ref="EL89:ER89" ca="1" si="100">EL70-EL75+EL65-EL80-EL85</f>
        <v>0</v>
      </c>
      <c r="EM89" s="920">
        <f t="shared" ca="1" si="100"/>
        <v>0</v>
      </c>
      <c r="EN89" s="920">
        <f t="shared" ca="1" si="100"/>
        <v>0</v>
      </c>
      <c r="EO89" s="920">
        <f t="shared" ca="1" si="100"/>
        <v>0</v>
      </c>
      <c r="EP89" s="920">
        <f t="shared" ca="1" si="100"/>
        <v>0</v>
      </c>
      <c r="EQ89" s="920">
        <f t="shared" ca="1" si="100"/>
        <v>0</v>
      </c>
      <c r="ER89" s="920">
        <f t="shared" ca="1" si="100"/>
        <v>0</v>
      </c>
    </row>
    <row r="90" spans="2:148" ht="11.25" customHeight="1">
      <c r="B90" s="218"/>
      <c r="C90" s="911" t="s">
        <v>232</v>
      </c>
      <c r="D90" s="912"/>
      <c r="E90" s="912"/>
      <c r="F90" s="912"/>
      <c r="G90" s="912"/>
      <c r="H90" s="912"/>
      <c r="I90" s="913"/>
      <c r="J90" s="914"/>
      <c r="K90" s="918">
        <f ca="1">SUM(M90:ER90)</f>
        <v>1110000</v>
      </c>
      <c r="L90" s="98"/>
      <c r="M90" s="920">
        <f ca="1">MAX(MIN(SUM(M88:M89),M66-M75-M80-M85),)*Index!L$48</f>
        <v>0</v>
      </c>
      <c r="N90" s="920">
        <f ca="1">MAX(MIN(SUM(N88:N89),N66-N75-N80-N85),)*Index!M$48</f>
        <v>0</v>
      </c>
      <c r="O90" s="920">
        <f ca="1">MAX(MIN(SUM(O88:O89),O66-O75-O80-O85),)*Index!N$48</f>
        <v>0</v>
      </c>
      <c r="P90" s="920">
        <f ca="1">MAX(MIN(SUM(P88:P89),P66-P75-P80-P85),)*Index!O$48</f>
        <v>0</v>
      </c>
      <c r="Q90" s="920">
        <f ca="1">MAX(MIN(SUM(Q88:Q89),Q66-Q75-Q80-Q85),)*Index!P$48</f>
        <v>0</v>
      </c>
      <c r="R90" s="920">
        <f ca="1">MAX(MIN(SUM(R88:R89),R66-R75-R80-R85),)*Index!Q$48</f>
        <v>0</v>
      </c>
      <c r="S90" s="920">
        <f ca="1">MAX(MIN(SUM(S88:S89),S66-S75-S80-S85),)*Index!R$48</f>
        <v>555000</v>
      </c>
      <c r="T90" s="920">
        <f ca="1">MAX(MIN(SUM(T88:T89),T66-T75-T80-T85),)*Index!S$48</f>
        <v>0</v>
      </c>
      <c r="U90" s="920">
        <f ca="1">MAX(MIN(SUM(U88:U89),U66-U75-U80-U85),)*Index!T$48</f>
        <v>0</v>
      </c>
      <c r="V90" s="920">
        <f ca="1">MAX(MIN(SUM(V88:V89),V66-V75-V80-V85),)*Index!U$48</f>
        <v>0</v>
      </c>
      <c r="W90" s="920">
        <f ca="1">MAX(MIN(SUM(W88:W89),W66-W75-W80-W85),)*Index!V$48</f>
        <v>0</v>
      </c>
      <c r="X90" s="920">
        <f ca="1">MAX(MIN(SUM(X88:X89),X66-X75-X80-X85),)*Index!W$48</f>
        <v>0</v>
      </c>
      <c r="Y90" s="920">
        <f ca="1">MAX(MIN(SUM(Y88:Y89),Y66-Y75-Y80-Y85),)*Index!X$48</f>
        <v>555000</v>
      </c>
      <c r="Z90" s="920">
        <f ca="1">MAX(MIN(SUM(Z88:Z89),Z66-Z75-Z80-Z85),)*Index!Y$48</f>
        <v>0</v>
      </c>
      <c r="AA90" s="920">
        <f ca="1">MAX(MIN(SUM(AA88:AA89),AA66-AA75-AA80-AA85),)*Index!Z$48</f>
        <v>0</v>
      </c>
      <c r="AB90" s="920">
        <f ca="1">MAX(MIN(SUM(AB88:AB89),AB66-AB75-AB80-AB85),)*Index!AA$48</f>
        <v>0</v>
      </c>
      <c r="AC90" s="920">
        <f ca="1">MAX(MIN(SUM(AC88:AC89),AC66-AC75-AC80-AC85),)*Index!AB$48</f>
        <v>0</v>
      </c>
      <c r="AD90" s="920">
        <f ca="1">MAX(MIN(SUM(AD88:AD89),AD66-AD75-AD80-AD85),)*Index!AC$48</f>
        <v>0</v>
      </c>
      <c r="AE90" s="920">
        <f ca="1">MAX(MIN(SUM(AE88:AE89),AE66-AE75-AE80-AE85),)*Index!AD$48</f>
        <v>0</v>
      </c>
      <c r="AF90" s="920">
        <f ca="1">MAX(MIN(SUM(AF88:AF89),AF66-AF75-AF80-AF85),)*Index!AE$48</f>
        <v>0</v>
      </c>
      <c r="AG90" s="920">
        <f ca="1">MAX(MIN(SUM(AG88:AG89),AG66-AG75-AG80-AG85),)*Index!AF$48</f>
        <v>0</v>
      </c>
      <c r="AH90" s="920">
        <f ca="1">MAX(MIN(SUM(AH88:AH89),AH66-AH75-AH80-AH85),)*Index!AG$48</f>
        <v>0</v>
      </c>
      <c r="AI90" s="920">
        <f ca="1">MAX(MIN(SUM(AI88:AI89),AI66-AI75-AI80-AI85),)*Index!AH$48</f>
        <v>0</v>
      </c>
      <c r="AJ90" s="920">
        <f ca="1">MAX(MIN(SUM(AJ88:AJ89),AJ66-AJ75-AJ80-AJ85),)*Index!AI$48</f>
        <v>0</v>
      </c>
      <c r="AK90" s="920">
        <f ca="1">MAX(MIN(SUM(AK88:AK89),AK66-AK75-AK80-AK85),)*Index!AJ$48</f>
        <v>0</v>
      </c>
      <c r="AL90" s="920">
        <f ca="1">MAX(MIN(SUM(AL88:AL89),AL66-AL75-AL80-AL85),)*Index!AK$48</f>
        <v>0</v>
      </c>
      <c r="AM90" s="920">
        <f ca="1">MAX(MIN(SUM(AM88:AM89),AM66-AM75-AM80-AM85),)*Index!AL$48</f>
        <v>0</v>
      </c>
      <c r="AN90" s="920">
        <f ca="1">MAX(MIN(SUM(AN88:AN89),AN66-AN75-AN80-AN85),)*Index!AM$48</f>
        <v>0</v>
      </c>
      <c r="AO90" s="920">
        <f ca="1">MAX(MIN(SUM(AO88:AO89),AO66-AO75-AO80-AO85),)*Index!AN$48</f>
        <v>0</v>
      </c>
      <c r="AP90" s="920">
        <f ca="1">MAX(MIN(SUM(AP88:AP89),AP66-AP75-AP80-AP85),)*Index!AO$48</f>
        <v>0</v>
      </c>
      <c r="AQ90" s="920">
        <f ca="1">MAX(MIN(SUM(AQ88:AQ89),AQ66-AQ75-AQ80-AQ85),)*Index!AP$48</f>
        <v>0</v>
      </c>
      <c r="AR90" s="920">
        <f ca="1">MAX(MIN(SUM(AR88:AR89),AR66-AR75-AR80-AR85),)*Index!AQ$48</f>
        <v>0</v>
      </c>
      <c r="AS90" s="920">
        <f ca="1">MAX(MIN(SUM(AS88:AS89),AS66-AS75-AS80-AS85),)*Index!AR$48</f>
        <v>0</v>
      </c>
      <c r="AT90" s="920">
        <f ca="1">MAX(MIN(SUM(AT88:AT89),AT66-AT75-AT80-AT85),)*Index!AS$48</f>
        <v>0</v>
      </c>
      <c r="AU90" s="920">
        <f ca="1">MAX(MIN(SUM(AU88:AU89),AU66-AU75-AU80-AU85),)*Index!AT$48</f>
        <v>0</v>
      </c>
      <c r="AV90" s="920">
        <f ca="1">MAX(MIN(SUM(AV88:AV89),AV66-AV75-AV80-AV85),)*Index!AU$48</f>
        <v>0</v>
      </c>
      <c r="AW90" s="920">
        <f ca="1">MAX(MIN(SUM(AW88:AW89),AW66-AW75-AW80-AW85),)*Index!AV$48</f>
        <v>0</v>
      </c>
      <c r="AX90" s="920">
        <f ca="1">MAX(MIN(SUM(AX88:AX89),AX66-AX75-AX80-AX85),)*Index!AW$48</f>
        <v>0</v>
      </c>
      <c r="AY90" s="920">
        <f ca="1">MAX(MIN(SUM(AY88:AY89),AY66-AY75-AY80-AY85),)*Index!AX$48</f>
        <v>0</v>
      </c>
      <c r="AZ90" s="920">
        <f ca="1">MAX(MIN(SUM(AZ88:AZ89),AZ66-AZ75-AZ80-AZ85),)*Index!AY$48</f>
        <v>0</v>
      </c>
      <c r="BA90" s="920">
        <f ca="1">MAX(MIN(SUM(BA88:BA89),BA66-BA75-BA80-BA85),)*Index!AZ$48</f>
        <v>0</v>
      </c>
      <c r="BB90" s="920">
        <f ca="1">MAX(MIN(SUM(BB88:BB89),BB66-BB75-BB80-BB85),)*Index!BA$48</f>
        <v>0</v>
      </c>
      <c r="BC90" s="920">
        <f ca="1">MAX(MIN(SUM(BC88:BC89),BC66-BC75-BC80-BC85),)*Index!BB$48</f>
        <v>0</v>
      </c>
      <c r="BD90" s="920">
        <f ca="1">MAX(MIN(SUM(BD88:BD89),BD66-BD75-BD80-BD85),)*Index!BC$48</f>
        <v>0</v>
      </c>
      <c r="BE90" s="920">
        <f ca="1">MAX(MIN(SUM(BE88:BE89),BE66-BE75-BE80-BE85),)*Index!BD$48</f>
        <v>0</v>
      </c>
      <c r="BF90" s="920">
        <f ca="1">MAX(MIN(SUM(BF88:BF89),BF66-BF75-BF80-BF85),)*Index!BE$48</f>
        <v>0</v>
      </c>
      <c r="BG90" s="920">
        <f ca="1">MAX(MIN(SUM(BG88:BG89),BG66-BG75-BG80-BG85),)*Index!BF$48</f>
        <v>0</v>
      </c>
      <c r="BH90" s="920">
        <f ca="1">MAX(MIN(SUM(BH88:BH89),BH66-BH75-BH80-BH85),)*Index!BG$48</f>
        <v>0</v>
      </c>
      <c r="BI90" s="920">
        <f ca="1">MAX(MIN(SUM(BI88:BI89),BI66-BI75-BI80-BI85),)*Index!BH$48</f>
        <v>0</v>
      </c>
      <c r="BJ90" s="920">
        <f ca="1">MAX(MIN(SUM(BJ88:BJ89),BJ66-BJ75-BJ80-BJ85),)*Index!BI$48</f>
        <v>0</v>
      </c>
      <c r="BK90" s="920">
        <f ca="1">MAX(MIN(SUM(BK88:BK89),BK66-BK75-BK80-BK85),)*Index!BJ$48</f>
        <v>0</v>
      </c>
      <c r="BL90" s="920">
        <f ca="1">MAX(MIN(SUM(BL88:BL89),BL66-BL75-BL80-BL85),)*Index!BK$48</f>
        <v>0</v>
      </c>
      <c r="BM90" s="920">
        <f ca="1">MAX(MIN(SUM(BM88:BM89),BM66-BM75-BM80-BM85),)*Index!BL$48</f>
        <v>0</v>
      </c>
      <c r="BN90" s="920">
        <f ca="1">MAX(MIN(SUM(BN88:BN89),BN66-BN75-BN80-BN85),)*Index!BM$48</f>
        <v>0</v>
      </c>
      <c r="BO90" s="920">
        <f ca="1">MAX(MIN(SUM(BO88:BO89),BO66-BO75-BO80-BO85),)*Index!BN$48</f>
        <v>0</v>
      </c>
      <c r="BP90" s="920">
        <f ca="1">MAX(MIN(SUM(BP88:BP89),BP66-BP75-BP80-BP85),)*Index!BO$48</f>
        <v>0</v>
      </c>
      <c r="BQ90" s="920">
        <f ca="1">MAX(MIN(SUM(BQ88:BQ89),BQ66-BQ75-BQ80-BQ85),)*Index!BP$48</f>
        <v>0</v>
      </c>
      <c r="BR90" s="920">
        <f ca="1">MAX(MIN(SUM(BR88:BR89),BR66-BR75-BR80-BR85),)*Index!BQ$48</f>
        <v>0</v>
      </c>
      <c r="BS90" s="920">
        <f ca="1">MAX(MIN(SUM(BS88:BS89),BS66-BS75-BS80-BS85),)*Index!BR$48</f>
        <v>0</v>
      </c>
      <c r="BT90" s="920">
        <f ca="1">MAX(MIN(SUM(BT88:BT89),BT66-BT75-BT80-BT85),)*Index!BS$48</f>
        <v>0</v>
      </c>
      <c r="BU90" s="920">
        <f ca="1">MAX(MIN(SUM(BU88:BU89),BU66-BU75-BU80-BU85),)*Index!BT$48</f>
        <v>0</v>
      </c>
      <c r="BV90" s="920">
        <f ca="1">MAX(MIN(SUM(BV88:BV89),BV66-BV75-BV80-BV85),)*Index!BU$48</f>
        <v>0</v>
      </c>
      <c r="BW90" s="920">
        <f ca="1">MAX(MIN(SUM(BW88:BW89),BW66-BW75-BW80-BW85),)*Index!BV$48</f>
        <v>0</v>
      </c>
      <c r="BX90" s="920">
        <f ca="1">MAX(MIN(SUM(BX88:BX89),BX66-BX75-BX80-BX85),)*Index!BW$48</f>
        <v>0</v>
      </c>
      <c r="BY90" s="920">
        <f ca="1">MAX(MIN(SUM(BY88:BY89),BY66-BY75-BY80-BY85),)*Index!BX$48</f>
        <v>0</v>
      </c>
      <c r="BZ90" s="920">
        <f ca="1">MAX(MIN(SUM(BZ88:BZ89),BZ66-BZ75-BZ80-BZ85),)*Index!BY$48</f>
        <v>0</v>
      </c>
      <c r="CA90" s="920">
        <f ca="1">MAX(MIN(SUM(CA88:CA89),CA66-CA75-CA80-CA85),)*Index!BZ$48</f>
        <v>0</v>
      </c>
      <c r="CB90" s="920">
        <f ca="1">MAX(MIN(SUM(CB88:CB89),CB66-CB75-CB80-CB85),)*Index!CA$48</f>
        <v>0</v>
      </c>
      <c r="CC90" s="920">
        <f ca="1">MAX(MIN(SUM(CC88:CC89),CC66-CC75-CC80-CC85),)*Index!CB$48</f>
        <v>0</v>
      </c>
      <c r="CD90" s="920">
        <f ca="1">MAX(MIN(SUM(CD88:CD89),CD66-CD75-CD80-CD85),)*Index!CC$48</f>
        <v>0</v>
      </c>
      <c r="CE90" s="920">
        <f ca="1">MAX(MIN(SUM(CE88:CE89),CE66-CE75-CE80-CE85),)*Index!CD$48</f>
        <v>0</v>
      </c>
      <c r="CF90" s="920">
        <f ca="1">MAX(MIN(SUM(CF88:CF89),CF66-CF75-CF80-CF85),)*Index!CE$48</f>
        <v>0</v>
      </c>
      <c r="CG90" s="920">
        <f ca="1">MAX(MIN(SUM(CG88:CG89),CG66-CG75-CG80-CG85),)*Index!CF$48</f>
        <v>0</v>
      </c>
      <c r="CH90" s="920">
        <f ca="1">MAX(MIN(SUM(CH88:CH89),CH66-CH75-CH80-CH85),)*Index!CG$48</f>
        <v>0</v>
      </c>
      <c r="CI90" s="920">
        <f ca="1">MAX(MIN(SUM(CI88:CI89),CI66-CI75-CI80-CI85),)*Index!CH$48</f>
        <v>0</v>
      </c>
      <c r="CJ90" s="920">
        <f ca="1">MAX(MIN(SUM(CJ88:CJ89),CJ66-CJ75-CJ80-CJ85),)*Index!CI$48</f>
        <v>0</v>
      </c>
      <c r="CK90" s="920">
        <f ca="1">MAX(MIN(SUM(CK88:CK89),CK66-CK75-CK80-CK85),)*Index!CJ$48</f>
        <v>0</v>
      </c>
      <c r="CL90" s="920">
        <f ca="1">MAX(MIN(SUM(CL88:CL89),CL66-CL75-CL80-CL85),)*Index!CK$48</f>
        <v>0</v>
      </c>
      <c r="CM90" s="920">
        <f ca="1">MAX(MIN(SUM(CM88:CM89),CM66-CM75-CM80-CM85),)*Index!CL$48</f>
        <v>0</v>
      </c>
      <c r="CN90" s="920">
        <f ca="1">MAX(MIN(SUM(CN88:CN89),CN66-CN75-CN80-CN85),)*Index!CM$48</f>
        <v>0</v>
      </c>
      <c r="CO90" s="920">
        <f ca="1">MAX(MIN(SUM(CO88:CO89),CO66-CO75-CO80-CO85),)*Index!CN$48</f>
        <v>0</v>
      </c>
      <c r="CP90" s="920">
        <f ca="1">MAX(MIN(SUM(CP88:CP89),CP66-CP75-CP80-CP85),)*Index!CO$48</f>
        <v>0</v>
      </c>
      <c r="CQ90" s="920">
        <f ca="1">MAX(MIN(SUM(CQ88:CQ89),CQ66-CQ75-CQ80-CQ85),)*Index!CP$48</f>
        <v>0</v>
      </c>
      <c r="CR90" s="920">
        <f ca="1">MAX(MIN(SUM(CR88:CR89),CR66-CR75-CR80-CR85),)*Index!CQ$48</f>
        <v>0</v>
      </c>
      <c r="CS90" s="920">
        <f ca="1">MAX(MIN(SUM(CS88:CS89),CS66-CS75-CS80-CS85),)*Index!CR$48</f>
        <v>0</v>
      </c>
      <c r="CT90" s="920">
        <f ca="1">MAX(MIN(SUM(CT88:CT89),CT66-CT75-CT80-CT85),)*Index!CS$48</f>
        <v>0</v>
      </c>
      <c r="CU90" s="920">
        <f ca="1">MAX(MIN(SUM(CU88:CU89),CU66-CU75-CU80-CU85),)*Index!CT$48</f>
        <v>0</v>
      </c>
      <c r="CV90" s="920">
        <f ca="1">MAX(MIN(SUM(CV88:CV89),CV66-CV75-CV80-CV85),)*Index!CU$48</f>
        <v>0</v>
      </c>
      <c r="CW90" s="920">
        <f ca="1">MAX(MIN(SUM(CW88:CW89),CW66-CW75-CW80-CW85),)*Index!CV$48</f>
        <v>0</v>
      </c>
      <c r="CX90" s="920">
        <f ca="1">MAX(MIN(SUM(CX88:CX89),CX66-CX75-CX80-CX85),)*Index!CW$48</f>
        <v>0</v>
      </c>
      <c r="CY90" s="920">
        <f ca="1">MAX(MIN(SUM(CY88:CY89),CY66-CY75-CY80-CY85),)*Index!CX$48</f>
        <v>0</v>
      </c>
      <c r="CZ90" s="920">
        <f ca="1">MAX(MIN(SUM(CZ88:CZ89),CZ66-CZ75-CZ80-CZ85),)*Index!CY$48</f>
        <v>0</v>
      </c>
      <c r="DA90" s="920">
        <f ca="1">MAX(MIN(SUM(DA88:DA89),DA66-DA75-DA80-DA85),)*Index!CZ$48</f>
        <v>0</v>
      </c>
      <c r="DB90" s="920">
        <f ca="1">MAX(MIN(SUM(DB88:DB89),DB66-DB75-DB80-DB85),)*Index!DA$48</f>
        <v>0</v>
      </c>
      <c r="DC90" s="920">
        <f ca="1">MAX(MIN(SUM(DC88:DC89),DC66-DC75-DC80-DC85),)*Index!DB$48</f>
        <v>0</v>
      </c>
      <c r="DD90" s="920">
        <f ca="1">MAX(MIN(SUM(DD88:DD89),DD66-DD75-DD80-DD85),)*Index!DC$48</f>
        <v>0</v>
      </c>
      <c r="DE90" s="920">
        <f ca="1">MAX(MIN(SUM(DE88:DE89),DE66-DE75-DE80-DE85),)*Index!DD$48</f>
        <v>0</v>
      </c>
      <c r="DF90" s="920">
        <f ca="1">MAX(MIN(SUM(DF88:DF89),DF66-DF75-DF80-DF85),)*Index!DE$48</f>
        <v>0</v>
      </c>
      <c r="DG90" s="920">
        <f ca="1">MAX(MIN(SUM(DG88:DG89),DG66-DG75-DG80-DG85),)*Index!DF$48</f>
        <v>0</v>
      </c>
      <c r="DH90" s="920">
        <f ca="1">MAX(MIN(SUM(DH88:DH89),DH66-DH75-DH80-DH85),)*Index!DG$48</f>
        <v>0</v>
      </c>
      <c r="DI90" s="920">
        <f ca="1">MAX(MIN(SUM(DI88:DI89),DI66-DI75-DI80-DI85),)*Index!DH$48</f>
        <v>0</v>
      </c>
      <c r="DJ90" s="920">
        <f ca="1">MAX(MIN(SUM(DJ88:DJ89),DJ66-DJ75-DJ80-DJ85),)*Index!DI$48</f>
        <v>0</v>
      </c>
      <c r="DK90" s="920">
        <f ca="1">MAX(MIN(SUM(DK88:DK89),DK66-DK75-DK80-DK85),)*Index!DJ$48</f>
        <v>0</v>
      </c>
      <c r="DL90" s="920">
        <f ca="1">MAX(MIN(SUM(DL88:DL89),DL66-DL75-DL80-DL85),)*Index!DK$48</f>
        <v>0</v>
      </c>
      <c r="DM90" s="920">
        <f ca="1">MAX(MIN(SUM(DM88:DM89),DM66-DM75-DM80-DM85),)*Index!DL$48</f>
        <v>0</v>
      </c>
      <c r="DN90" s="920">
        <f ca="1">MAX(MIN(SUM(DN88:DN89),DN66-DN75-DN80-DN85),)*Index!DM$48</f>
        <v>0</v>
      </c>
      <c r="DO90" s="920">
        <f ca="1">MAX(MIN(SUM(DO88:DO89),DO66-DO75-DO80-DO85),)*Index!DN$48</f>
        <v>0</v>
      </c>
      <c r="DP90" s="920">
        <f ca="1">MAX(MIN(SUM(DP88:DP89),DP66-DP75-DP80-DP85),)*Index!DO$48</f>
        <v>0</v>
      </c>
      <c r="DQ90" s="920">
        <f ca="1">MAX(MIN(SUM(DQ88:DQ89),DQ66-DQ75-DQ80-DQ85),)*Index!DP$48</f>
        <v>0</v>
      </c>
      <c r="DR90" s="920">
        <f ca="1">MAX(MIN(SUM(DR88:DR89),DR66-DR75-DR80-DR85),)*Index!DQ$48</f>
        <v>0</v>
      </c>
      <c r="DS90" s="920">
        <f ca="1">MAX(MIN(SUM(DS88:DS89),DS66-DS75-DS80-DS85),)*Index!DR$48</f>
        <v>0</v>
      </c>
      <c r="DT90" s="920">
        <f ca="1">MAX(MIN(SUM(DT88:DT89),DT66-DT75-DT80-DT85),)*Index!DS$48</f>
        <v>0</v>
      </c>
      <c r="DU90" s="920">
        <f ca="1">MAX(MIN(SUM(DU88:DU89),DU66-DU75-DU80-DU85),)*Index!DT$48</f>
        <v>0</v>
      </c>
      <c r="DV90" s="920">
        <f ca="1">MAX(MIN(SUM(DV88:DV89),DV66-DV75-DV80-DV85),)*Index!DU$48</f>
        <v>0</v>
      </c>
      <c r="DW90" s="920">
        <f ca="1">MAX(MIN(SUM(DW88:DW89),DW66-DW75-DW80-DW85),)*Index!DV$48</f>
        <v>0</v>
      </c>
      <c r="DX90" s="920">
        <f ca="1">MAX(MIN(SUM(DX88:DX89),DX66-DX75-DX80-DX85),)*Index!DW$48</f>
        <v>0</v>
      </c>
      <c r="DY90" s="920">
        <f ca="1">MAX(MIN(SUM(DY88:DY89),DY66-DY75-DY80-DY85),)*Index!DX$48</f>
        <v>0</v>
      </c>
      <c r="DZ90" s="920">
        <f ca="1">MAX(MIN(SUM(DZ88:DZ89),DZ66-DZ75-DZ80-DZ85),)*Index!DY$48</f>
        <v>0</v>
      </c>
      <c r="EA90" s="920">
        <f ca="1">MAX(MIN(SUM(EA88:EA89),EA66-EA75-EA80-EA85),)*Index!DZ$48</f>
        <v>0</v>
      </c>
      <c r="EB90" s="920">
        <f ca="1">MAX(MIN(SUM(EB88:EB89),EB66-EB75-EB80-EB85),)*Index!EA$48</f>
        <v>0</v>
      </c>
      <c r="EC90" s="920">
        <f ca="1">MAX(MIN(SUM(EC88:EC89),EC66-EC75-EC80-EC85),)*Index!EB$48</f>
        <v>0</v>
      </c>
      <c r="ED90" s="920">
        <f ca="1">MAX(MIN(SUM(ED88:ED89),ED66-ED75-ED80-ED85),)*Index!EC$48</f>
        <v>0</v>
      </c>
      <c r="EE90" s="920">
        <f ca="1">MAX(MIN(SUM(EE88:EE89),EE66-EE75-EE80-EE85),)*Index!ED$48</f>
        <v>0</v>
      </c>
      <c r="EF90" s="920">
        <f ca="1">MAX(MIN(SUM(EF88:EF89),EF66-EF75-EF80-EF85),)*Index!EE$48</f>
        <v>0</v>
      </c>
      <c r="EG90" s="920">
        <f ca="1">MAX(MIN(SUM(EG88:EG89),EG66-EG75-EG80-EG85),)*Index!EF$48</f>
        <v>0</v>
      </c>
      <c r="EH90" s="920">
        <f ca="1">MAX(MIN(SUM(EH88:EH89),EH66-EH75-EH80-EH85),)*Index!EG$48</f>
        <v>0</v>
      </c>
      <c r="EI90" s="920">
        <f ca="1">MAX(MIN(SUM(EI88:EI89),EI66-EI75-EI80-EI85),)*Index!EH$48</f>
        <v>0</v>
      </c>
      <c r="EJ90" s="920">
        <f ca="1">MAX(MIN(SUM(EJ88:EJ89),EJ66-EJ75-EJ80-EJ85),)*Index!EI$48</f>
        <v>0</v>
      </c>
      <c r="EK90" s="920">
        <f ca="1">MAX(MIN(SUM(EK88:EK89),EK66-EK75-EK80-EK85),)*Index!EJ$48</f>
        <v>0</v>
      </c>
      <c r="EL90" s="920">
        <f ca="1">MAX(MIN(SUM(EL88:EL89),EL66-EL75-EL80-EL85),)*Index!EK$48</f>
        <v>0</v>
      </c>
      <c r="EM90" s="920">
        <f ca="1">MAX(MIN(SUM(EM88:EM89),EM66-EM75-EM80-EM85),)*Index!EL$48</f>
        <v>0</v>
      </c>
      <c r="EN90" s="920">
        <f ca="1">MAX(MIN(SUM(EN88:EN89),EN66-EN75-EN80-EN85),)*Index!EM$48</f>
        <v>0</v>
      </c>
      <c r="EO90" s="920">
        <f ca="1">MAX(MIN(SUM(EO88:EO89),EO66-EO75-EO80-EO85),)*Index!EN$48</f>
        <v>0</v>
      </c>
      <c r="EP90" s="920">
        <f ca="1">MAX(MIN(SUM(EP88:EP89),EP66-EP75-EP80-EP85),)*Index!EO$48</f>
        <v>0</v>
      </c>
      <c r="EQ90" s="920">
        <f ca="1">MAX(MIN(SUM(EQ88:EQ89),EQ66-EQ75-EQ80-EQ85),)*Index!EP$48</f>
        <v>0</v>
      </c>
      <c r="ER90" s="920">
        <f ca="1">MAX(MIN(SUM(ER88:ER89),ER66-ER75-ER80-ER85),)*Index!EQ$48</f>
        <v>0</v>
      </c>
    </row>
    <row r="91" spans="2:148" ht="11.25" customHeight="1" thickBot="1">
      <c r="B91" s="923"/>
      <c r="C91" s="924" t="s">
        <v>233</v>
      </c>
      <c r="D91" s="925"/>
      <c r="E91" s="925"/>
      <c r="F91" s="925"/>
      <c r="G91" s="925"/>
      <c r="H91" s="925"/>
      <c r="I91" s="926"/>
      <c r="J91" s="927"/>
      <c r="K91" s="928"/>
      <c r="L91" s="98"/>
      <c r="M91" s="922">
        <f ca="1">M88+M89-M90</f>
        <v>0</v>
      </c>
      <c r="N91" s="922">
        <f t="shared" ref="N91:BY91" ca="1" si="101">N88+N89-N90</f>
        <v>0</v>
      </c>
      <c r="O91" s="922">
        <f t="shared" ca="1" si="101"/>
        <v>0</v>
      </c>
      <c r="P91" s="922">
        <f t="shared" ca="1" si="101"/>
        <v>0</v>
      </c>
      <c r="Q91" s="922">
        <f t="shared" ca="1" si="101"/>
        <v>0</v>
      </c>
      <c r="R91" s="922">
        <f t="shared" ca="1" si="101"/>
        <v>0</v>
      </c>
      <c r="S91" s="922">
        <f t="shared" ca="1" si="101"/>
        <v>0</v>
      </c>
      <c r="T91" s="922">
        <f t="shared" ca="1" si="101"/>
        <v>0</v>
      </c>
      <c r="U91" s="922">
        <f t="shared" ca="1" si="101"/>
        <v>0</v>
      </c>
      <c r="V91" s="922">
        <f t="shared" ca="1" si="101"/>
        <v>0</v>
      </c>
      <c r="W91" s="922">
        <f t="shared" ca="1" si="101"/>
        <v>0</v>
      </c>
      <c r="X91" s="922">
        <f t="shared" ca="1" si="101"/>
        <v>0</v>
      </c>
      <c r="Y91" s="922">
        <f t="shared" ca="1" si="101"/>
        <v>0</v>
      </c>
      <c r="Z91" s="922">
        <f t="shared" ca="1" si="101"/>
        <v>0</v>
      </c>
      <c r="AA91" s="922">
        <f t="shared" ca="1" si="101"/>
        <v>0</v>
      </c>
      <c r="AB91" s="922">
        <f t="shared" ca="1" si="101"/>
        <v>0</v>
      </c>
      <c r="AC91" s="922">
        <f t="shared" ca="1" si="101"/>
        <v>0</v>
      </c>
      <c r="AD91" s="922">
        <f t="shared" ca="1" si="101"/>
        <v>0</v>
      </c>
      <c r="AE91" s="922">
        <f t="shared" ca="1" si="101"/>
        <v>-1554691.2224241244</v>
      </c>
      <c r="AF91" s="922">
        <f t="shared" ca="1" si="101"/>
        <v>-1554691.2224241244</v>
      </c>
      <c r="AG91" s="922">
        <f t="shared" ca="1" si="101"/>
        <v>-1554691.2224241244</v>
      </c>
      <c r="AH91" s="922">
        <f t="shared" ca="1" si="101"/>
        <v>-1554691.2224241244</v>
      </c>
      <c r="AI91" s="922">
        <f t="shared" ca="1" si="101"/>
        <v>-1554691.2224241244</v>
      </c>
      <c r="AJ91" s="922">
        <f t="shared" ca="1" si="101"/>
        <v>-1554691.2224241244</v>
      </c>
      <c r="AK91" s="922">
        <f t="shared" ca="1" si="101"/>
        <v>-2690715.4550063224</v>
      </c>
      <c r="AL91" s="922">
        <f t="shared" ca="1" si="101"/>
        <v>-2690715.4550063224</v>
      </c>
      <c r="AM91" s="922">
        <f t="shared" ca="1" si="101"/>
        <v>-2690715.4550063224</v>
      </c>
      <c r="AN91" s="922">
        <f t="shared" ca="1" si="101"/>
        <v>-2690715.4550063224</v>
      </c>
      <c r="AO91" s="922">
        <f t="shared" ca="1" si="101"/>
        <v>-2690715.4550063224</v>
      </c>
      <c r="AP91" s="922">
        <f t="shared" ca="1" si="101"/>
        <v>-2690715.4550063224</v>
      </c>
      <c r="AQ91" s="922">
        <f t="shared" ca="1" si="101"/>
        <v>-3885247.8817847506</v>
      </c>
      <c r="AR91" s="922">
        <f t="shared" ca="1" si="101"/>
        <v>-3885247.8817847506</v>
      </c>
      <c r="AS91" s="922">
        <f t="shared" ca="1" si="101"/>
        <v>-3885247.8817847506</v>
      </c>
      <c r="AT91" s="922">
        <f t="shared" ca="1" si="101"/>
        <v>-3885247.8817847506</v>
      </c>
      <c r="AU91" s="922">
        <f t="shared" ca="1" si="101"/>
        <v>-3885247.8817847506</v>
      </c>
      <c r="AV91" s="922">
        <f t="shared" ca="1" si="101"/>
        <v>-3885247.8817847506</v>
      </c>
      <c r="AW91" s="922">
        <f t="shared" ca="1" si="101"/>
        <v>-6600247.8817847501</v>
      </c>
      <c r="AX91" s="922">
        <f t="shared" ca="1" si="101"/>
        <v>-6600247.8817847501</v>
      </c>
      <c r="AY91" s="922">
        <f t="shared" ca="1" si="101"/>
        <v>-6600247.8817847501</v>
      </c>
      <c r="AZ91" s="922">
        <f t="shared" ca="1" si="101"/>
        <v>-6600247.8817847501</v>
      </c>
      <c r="BA91" s="922">
        <f t="shared" ca="1" si="101"/>
        <v>-6600247.8817847501</v>
      </c>
      <c r="BB91" s="922">
        <f t="shared" ca="1" si="101"/>
        <v>-6600247.8817847501</v>
      </c>
      <c r="BC91" s="922">
        <f t="shared" ca="1" si="101"/>
        <v>-9202719.8947260194</v>
      </c>
      <c r="BD91" s="922">
        <f t="shared" ca="1" si="101"/>
        <v>-9202719.8947260194</v>
      </c>
      <c r="BE91" s="922">
        <f t="shared" ca="1" si="101"/>
        <v>-9202719.8947260194</v>
      </c>
      <c r="BF91" s="922">
        <f t="shared" ca="1" si="101"/>
        <v>-9202719.8947260194</v>
      </c>
      <c r="BG91" s="922">
        <f t="shared" ca="1" si="101"/>
        <v>-9202719.8947260194</v>
      </c>
      <c r="BH91" s="922">
        <f t="shared" ca="1" si="101"/>
        <v>-9202719.8947260194</v>
      </c>
      <c r="BI91" s="922">
        <f t="shared" ca="1" si="101"/>
        <v>-10844090.498688849</v>
      </c>
      <c r="BJ91" s="922">
        <f t="shared" ca="1" si="101"/>
        <v>-10844090.498688849</v>
      </c>
      <c r="BK91" s="922">
        <f t="shared" ca="1" si="101"/>
        <v>-10844090.498688849</v>
      </c>
      <c r="BL91" s="922">
        <f t="shared" ca="1" si="101"/>
        <v>-10844090.498688849</v>
      </c>
      <c r="BM91" s="922">
        <f t="shared" ca="1" si="101"/>
        <v>-10844090.498688849</v>
      </c>
      <c r="BN91" s="922">
        <f t="shared" ca="1" si="101"/>
        <v>-10844090.498688849</v>
      </c>
      <c r="BO91" s="922">
        <f t="shared" ca="1" si="101"/>
        <v>-10731296.742742233</v>
      </c>
      <c r="BP91" s="922">
        <f t="shared" ca="1" si="101"/>
        <v>-10731296.742742233</v>
      </c>
      <c r="BQ91" s="922">
        <f t="shared" ca="1" si="101"/>
        <v>-10731296.742742233</v>
      </c>
      <c r="BR91" s="922">
        <f t="shared" ca="1" si="101"/>
        <v>-10731296.742742233</v>
      </c>
      <c r="BS91" s="922">
        <f t="shared" ca="1" si="101"/>
        <v>-10731296.742742233</v>
      </c>
      <c r="BT91" s="922">
        <f t="shared" ca="1" si="101"/>
        <v>-10731296.742742233</v>
      </c>
      <c r="BU91" s="922">
        <f t="shared" ca="1" si="101"/>
        <v>-10846929.395101778</v>
      </c>
      <c r="BV91" s="922">
        <f t="shared" ca="1" si="101"/>
        <v>-10846929.395101778</v>
      </c>
      <c r="BW91" s="922">
        <f t="shared" ca="1" si="101"/>
        <v>-10846929.395101778</v>
      </c>
      <c r="BX91" s="922">
        <f t="shared" ca="1" si="101"/>
        <v>-10846929.395101778</v>
      </c>
      <c r="BY91" s="922">
        <f t="shared" ca="1" si="101"/>
        <v>-10846929.395101778</v>
      </c>
      <c r="BZ91" s="922">
        <f t="shared" ref="BZ91:DT91" ca="1" si="102">BZ88+BZ89-BZ90</f>
        <v>-10846929.395101778</v>
      </c>
      <c r="CA91" s="922">
        <f t="shared" ca="1" si="102"/>
        <v>-10739065.389507029</v>
      </c>
      <c r="CB91" s="922">
        <f t="shared" ca="1" si="102"/>
        <v>-10739065.389507029</v>
      </c>
      <c r="CC91" s="922">
        <f t="shared" ca="1" si="102"/>
        <v>-10739065.389507029</v>
      </c>
      <c r="CD91" s="922">
        <f t="shared" ca="1" si="102"/>
        <v>-10739065.389507029</v>
      </c>
      <c r="CE91" s="922">
        <f t="shared" ca="1" si="102"/>
        <v>-10739065.389507029</v>
      </c>
      <c r="CF91" s="922">
        <f t="shared" ca="1" si="102"/>
        <v>-10739065.389507029</v>
      </c>
      <c r="CG91" s="922">
        <f t="shared" ca="1" si="102"/>
        <v>-10849827.695943456</v>
      </c>
      <c r="CH91" s="922">
        <f t="shared" ca="1" si="102"/>
        <v>-10849827.695943456</v>
      </c>
      <c r="CI91" s="922">
        <f t="shared" ca="1" si="102"/>
        <v>-10849827.695943456</v>
      </c>
      <c r="CJ91" s="922">
        <f t="shared" ca="1" si="102"/>
        <v>-10849827.695943456</v>
      </c>
      <c r="CK91" s="922">
        <f t="shared" ca="1" si="102"/>
        <v>-10849827.695943456</v>
      </c>
      <c r="CL91" s="922">
        <f t="shared" ca="1" si="102"/>
        <v>-10849827.695943456</v>
      </c>
      <c r="CM91" s="922">
        <f t="shared" ca="1" si="102"/>
        <v>-10746815.858740663</v>
      </c>
      <c r="CN91" s="922">
        <f t="shared" ca="1" si="102"/>
        <v>-10746815.858740663</v>
      </c>
      <c r="CO91" s="922">
        <f t="shared" ca="1" si="102"/>
        <v>-10746815.858740663</v>
      </c>
      <c r="CP91" s="922">
        <f t="shared" ca="1" si="102"/>
        <v>-10746815.858740663</v>
      </c>
      <c r="CQ91" s="922">
        <f t="shared" ca="1" si="102"/>
        <v>-10746815.858740663</v>
      </c>
      <c r="CR91" s="922">
        <f t="shared" ca="1" si="102"/>
        <v>-10746815.858740663</v>
      </c>
      <c r="CS91" s="922">
        <f t="shared" ca="1" si="102"/>
        <v>-10852786.623297356</v>
      </c>
      <c r="CT91" s="922">
        <f t="shared" ca="1" si="102"/>
        <v>-10852786.623297356</v>
      </c>
      <c r="CU91" s="922">
        <f t="shared" ca="1" si="102"/>
        <v>-10852786.623297356</v>
      </c>
      <c r="CV91" s="922">
        <f t="shared" ca="1" si="102"/>
        <v>-10852786.623297356</v>
      </c>
      <c r="CW91" s="922">
        <f t="shared" ca="1" si="102"/>
        <v>-10852786.623297356</v>
      </c>
      <c r="CX91" s="922">
        <f t="shared" ca="1" si="102"/>
        <v>-10852786.623297356</v>
      </c>
      <c r="CY91" s="922">
        <f t="shared" ca="1" si="102"/>
        <v>-10528259.681136448</v>
      </c>
      <c r="CZ91" s="922">
        <f t="shared" ca="1" si="102"/>
        <v>-10528259.681136448</v>
      </c>
      <c r="DA91" s="922">
        <f t="shared" ca="1" si="102"/>
        <v>-10528259.681136448</v>
      </c>
      <c r="DB91" s="922">
        <f t="shared" ca="1" si="102"/>
        <v>-10528259.681136448</v>
      </c>
      <c r="DC91" s="922">
        <f t="shared" ca="1" si="102"/>
        <v>-10528259.681136448</v>
      </c>
      <c r="DD91" s="922">
        <f t="shared" ca="1" si="102"/>
        <v>-10528259.681136448</v>
      </c>
      <c r="DE91" s="922">
        <f t="shared" ca="1" si="102"/>
        <v>-10695556.983839834</v>
      </c>
      <c r="DF91" s="922">
        <f t="shared" ca="1" si="102"/>
        <v>-10695556.983839834</v>
      </c>
      <c r="DG91" s="922">
        <f t="shared" ca="1" si="102"/>
        <v>-10695556.983839834</v>
      </c>
      <c r="DH91" s="922">
        <f t="shared" ca="1" si="102"/>
        <v>-10695556.983839834</v>
      </c>
      <c r="DI91" s="922">
        <f t="shared" ca="1" si="102"/>
        <v>-10695556.983839834</v>
      </c>
      <c r="DJ91" s="922">
        <f t="shared" ca="1" si="102"/>
        <v>-10695556.983839834</v>
      </c>
      <c r="DK91" s="922">
        <f t="shared" ca="1" si="102"/>
        <v>-10166508.998259105</v>
      </c>
      <c r="DL91" s="922">
        <f t="shared" ca="1" si="102"/>
        <v>-10166508.998259105</v>
      </c>
      <c r="DM91" s="922">
        <f t="shared" ca="1" si="102"/>
        <v>-10166508.998259105</v>
      </c>
      <c r="DN91" s="922">
        <f t="shared" ca="1" si="102"/>
        <v>-10166508.998259105</v>
      </c>
      <c r="DO91" s="922">
        <f t="shared" ca="1" si="102"/>
        <v>-10166508.998259105</v>
      </c>
      <c r="DP91" s="922">
        <f t="shared" ca="1" si="102"/>
        <v>-10166508.998259105</v>
      </c>
      <c r="DQ91" s="922">
        <f t="shared" ca="1" si="102"/>
        <v>-9422132.609803997</v>
      </c>
      <c r="DR91" s="922">
        <f t="shared" ca="1" si="102"/>
        <v>-9422132.609803997</v>
      </c>
      <c r="DS91" s="922">
        <f t="shared" ca="1" si="102"/>
        <v>-9422132.609803997</v>
      </c>
      <c r="DT91" s="922">
        <f t="shared" ca="1" si="102"/>
        <v>-9422132.609803997</v>
      </c>
      <c r="DU91" s="922">
        <f t="shared" ref="DU91:ER91" ca="1" si="103">DU88+DU89-DU90</f>
        <v>-9422132.609803997</v>
      </c>
      <c r="DV91" s="922">
        <f t="shared" ca="1" si="103"/>
        <v>-9422132.609803997</v>
      </c>
      <c r="DW91" s="922">
        <f t="shared" ca="1" si="103"/>
        <v>-8566279.6571320444</v>
      </c>
      <c r="DX91" s="922">
        <f t="shared" ca="1" si="103"/>
        <v>-8566279.6571320444</v>
      </c>
      <c r="DY91" s="922">
        <f t="shared" ca="1" si="103"/>
        <v>-8566279.6571320444</v>
      </c>
      <c r="DZ91" s="922">
        <f t="shared" ca="1" si="103"/>
        <v>-8566279.6571320444</v>
      </c>
      <c r="EA91" s="922">
        <f t="shared" ca="1" si="103"/>
        <v>-8566279.6571320444</v>
      </c>
      <c r="EB91" s="922">
        <f t="shared" ca="1" si="103"/>
        <v>-8566279.6571320444</v>
      </c>
      <c r="EC91" s="922">
        <f t="shared" ca="1" si="103"/>
        <v>-7583906.9650147511</v>
      </c>
      <c r="ED91" s="922">
        <f t="shared" ca="1" si="103"/>
        <v>-7583906.9650147511</v>
      </c>
      <c r="EE91" s="922">
        <f t="shared" ca="1" si="103"/>
        <v>-7583906.9650147511</v>
      </c>
      <c r="EF91" s="922">
        <f t="shared" ca="1" si="103"/>
        <v>-7583906.9650147511</v>
      </c>
      <c r="EG91" s="922">
        <f t="shared" ca="1" si="103"/>
        <v>-7583906.9650147511</v>
      </c>
      <c r="EH91" s="922">
        <f t="shared" ca="1" si="103"/>
        <v>-7583906.9650147511</v>
      </c>
      <c r="EI91" s="922">
        <f t="shared" ca="1" si="103"/>
        <v>-7583906.9650147511</v>
      </c>
      <c r="EJ91" s="922">
        <f t="shared" ca="1" si="103"/>
        <v>-7583906.9650147511</v>
      </c>
      <c r="EK91" s="922">
        <f t="shared" ca="1" si="103"/>
        <v>-7583906.9650147511</v>
      </c>
      <c r="EL91" s="922">
        <f t="shared" ca="1" si="103"/>
        <v>-7583906.9650147511</v>
      </c>
      <c r="EM91" s="922">
        <f t="shared" ca="1" si="103"/>
        <v>-7583906.9650147511</v>
      </c>
      <c r="EN91" s="922">
        <f t="shared" ca="1" si="103"/>
        <v>-7583906.9650147511</v>
      </c>
      <c r="EO91" s="922">
        <f t="shared" ca="1" si="103"/>
        <v>-7583906.9650147511</v>
      </c>
      <c r="EP91" s="922">
        <f t="shared" ca="1" si="103"/>
        <v>-7583906.9650147511</v>
      </c>
      <c r="EQ91" s="922">
        <f t="shared" ca="1" si="103"/>
        <v>-7583906.9650147511</v>
      </c>
      <c r="ER91" s="922">
        <f t="shared" ca="1" si="103"/>
        <v>-7583906.9650147511</v>
      </c>
    </row>
    <row r="92" spans="2:148" ht="11.25" customHeight="1" thickTop="1">
      <c r="B92" s="875" t="s">
        <v>620</v>
      </c>
      <c r="C92" s="876"/>
      <c r="D92" s="876"/>
      <c r="E92" s="876"/>
      <c r="F92" s="876"/>
      <c r="G92" s="876"/>
      <c r="H92" s="876"/>
      <c r="I92" s="877"/>
      <c r="J92" s="878"/>
      <c r="K92" s="919"/>
      <c r="M92" s="897"/>
      <c r="N92" s="897"/>
      <c r="O92" s="897"/>
      <c r="P92" s="897"/>
      <c r="Q92" s="897"/>
      <c r="R92" s="897"/>
      <c r="S92" s="897"/>
      <c r="T92" s="897"/>
      <c r="U92" s="897"/>
      <c r="V92" s="897"/>
      <c r="W92" s="897"/>
      <c r="X92" s="897"/>
      <c r="Y92" s="897"/>
      <c r="Z92" s="897"/>
      <c r="AA92" s="897"/>
      <c r="AB92" s="897"/>
      <c r="AC92" s="897"/>
      <c r="AD92" s="897"/>
      <c r="AE92" s="897"/>
      <c r="AF92" s="897"/>
      <c r="AG92" s="897"/>
      <c r="AH92" s="897"/>
      <c r="AI92" s="897"/>
      <c r="AJ92" s="897"/>
      <c r="AK92" s="897"/>
      <c r="AL92" s="897"/>
      <c r="AM92" s="897"/>
      <c r="AN92" s="897"/>
      <c r="AO92" s="897"/>
      <c r="AP92" s="897"/>
      <c r="AQ92" s="897"/>
      <c r="AR92" s="897"/>
      <c r="AS92" s="897"/>
      <c r="AT92" s="897"/>
      <c r="AU92" s="897"/>
      <c r="AV92" s="897"/>
      <c r="AW92" s="897"/>
      <c r="AX92" s="897"/>
      <c r="AY92" s="897"/>
      <c r="AZ92" s="897"/>
      <c r="BA92" s="897"/>
      <c r="BB92" s="897"/>
      <c r="BC92" s="897"/>
      <c r="BD92" s="897"/>
      <c r="BE92" s="897"/>
      <c r="BF92" s="897"/>
      <c r="BG92" s="897"/>
      <c r="BH92" s="897"/>
      <c r="BI92" s="897"/>
      <c r="BJ92" s="897"/>
      <c r="BK92" s="897"/>
      <c r="BL92" s="897"/>
      <c r="BM92" s="897"/>
      <c r="BN92" s="897"/>
      <c r="BO92" s="897"/>
      <c r="BP92" s="897"/>
      <c r="BQ92" s="897"/>
      <c r="BR92" s="897"/>
      <c r="BS92" s="897"/>
      <c r="BT92" s="897"/>
      <c r="BU92" s="897"/>
      <c r="BV92" s="897"/>
      <c r="BW92" s="897"/>
      <c r="BX92" s="897"/>
      <c r="BY92" s="897"/>
      <c r="BZ92" s="897"/>
      <c r="CA92" s="897"/>
      <c r="CB92" s="897"/>
      <c r="CC92" s="897"/>
      <c r="CD92" s="897"/>
      <c r="CE92" s="897"/>
      <c r="CF92" s="897"/>
      <c r="CG92" s="897"/>
      <c r="CH92" s="897"/>
      <c r="CI92" s="897"/>
      <c r="CJ92" s="897"/>
      <c r="CK92" s="897"/>
      <c r="CL92" s="897"/>
      <c r="CM92" s="897"/>
      <c r="CN92" s="897"/>
      <c r="CO92" s="897"/>
      <c r="CP92" s="897"/>
      <c r="CQ92" s="897"/>
      <c r="CR92" s="897"/>
      <c r="CS92" s="897"/>
      <c r="CT92" s="897"/>
      <c r="CU92" s="897"/>
      <c r="CV92" s="897"/>
      <c r="CW92" s="897"/>
      <c r="CX92" s="897"/>
      <c r="CY92" s="897"/>
      <c r="CZ92" s="897"/>
      <c r="DA92" s="897"/>
      <c r="DB92" s="897"/>
      <c r="DC92" s="897"/>
      <c r="DD92" s="897"/>
      <c r="DE92" s="897"/>
      <c r="DF92" s="897"/>
      <c r="DG92" s="897"/>
      <c r="DH92" s="897"/>
      <c r="DI92" s="897"/>
      <c r="DJ92" s="897"/>
      <c r="DK92" s="897"/>
      <c r="DL92" s="897"/>
      <c r="DM92" s="897"/>
      <c r="DN92" s="897"/>
      <c r="DO92" s="897"/>
      <c r="DP92" s="897"/>
      <c r="DQ92" s="897"/>
      <c r="DR92" s="897"/>
      <c r="DS92" s="897"/>
      <c r="DT92" s="897"/>
      <c r="DU92" s="897"/>
      <c r="DV92" s="897"/>
      <c r="DW92" s="897"/>
      <c r="DX92" s="897"/>
      <c r="DY92" s="897"/>
      <c r="DZ92" s="897"/>
      <c r="EA92" s="897"/>
      <c r="EB92" s="897"/>
      <c r="EC92" s="897"/>
      <c r="ED92" s="897"/>
      <c r="EE92" s="897"/>
      <c r="EF92" s="897"/>
      <c r="EG92" s="897"/>
      <c r="EH92" s="897"/>
      <c r="EI92" s="897"/>
      <c r="EJ92" s="897"/>
      <c r="EK92" s="897"/>
      <c r="EL92" s="897"/>
      <c r="EM92" s="897"/>
      <c r="EN92" s="897"/>
      <c r="EO92" s="897"/>
      <c r="EP92" s="897"/>
      <c r="EQ92" s="897"/>
      <c r="ER92" s="897"/>
    </row>
    <row r="93" spans="2:148" ht="11.25" customHeight="1">
      <c r="B93" s="218"/>
      <c r="C93" s="904" t="s">
        <v>230</v>
      </c>
      <c r="D93" s="905"/>
      <c r="E93" s="905"/>
      <c r="F93" s="905"/>
      <c r="G93" s="905"/>
      <c r="H93" s="905"/>
      <c r="I93" s="906"/>
      <c r="J93" s="907"/>
      <c r="K93" s="917"/>
      <c r="L93" s="98"/>
      <c r="M93" s="908">
        <f>L96</f>
        <v>0</v>
      </c>
      <c r="N93" s="908">
        <f t="shared" ref="N93:BY93" ca="1" si="104">M96</f>
        <v>0</v>
      </c>
      <c r="O93" s="908">
        <f t="shared" ca="1" si="104"/>
        <v>0</v>
      </c>
      <c r="P93" s="908">
        <f t="shared" ca="1" si="104"/>
        <v>0</v>
      </c>
      <c r="Q93" s="908">
        <f t="shared" ca="1" si="104"/>
        <v>0</v>
      </c>
      <c r="R93" s="908">
        <f t="shared" ca="1" si="104"/>
        <v>0</v>
      </c>
      <c r="S93" s="908">
        <f t="shared" ca="1" si="104"/>
        <v>0</v>
      </c>
      <c r="T93" s="908">
        <f t="shared" ca="1" si="104"/>
        <v>0</v>
      </c>
      <c r="U93" s="908">
        <f t="shared" ca="1" si="104"/>
        <v>0</v>
      </c>
      <c r="V93" s="908">
        <f t="shared" ca="1" si="104"/>
        <v>0</v>
      </c>
      <c r="W93" s="908">
        <f t="shared" ca="1" si="104"/>
        <v>0</v>
      </c>
      <c r="X93" s="908">
        <f t="shared" ca="1" si="104"/>
        <v>0</v>
      </c>
      <c r="Y93" s="908">
        <f t="shared" ca="1" si="104"/>
        <v>0</v>
      </c>
      <c r="Z93" s="908">
        <f t="shared" ca="1" si="104"/>
        <v>0</v>
      </c>
      <c r="AA93" s="908">
        <f t="shared" ca="1" si="104"/>
        <v>0</v>
      </c>
      <c r="AB93" s="908">
        <f t="shared" ca="1" si="104"/>
        <v>0</v>
      </c>
      <c r="AC93" s="908">
        <f t="shared" ca="1" si="104"/>
        <v>0</v>
      </c>
      <c r="AD93" s="908">
        <f t="shared" ca="1" si="104"/>
        <v>0</v>
      </c>
      <c r="AE93" s="908">
        <f t="shared" ca="1" si="104"/>
        <v>0</v>
      </c>
      <c r="AF93" s="908">
        <f t="shared" ca="1" si="104"/>
        <v>-1554691.2224241244</v>
      </c>
      <c r="AG93" s="908">
        <f t="shared" ca="1" si="104"/>
        <v>-1554691.2224241244</v>
      </c>
      <c r="AH93" s="908">
        <f t="shared" ca="1" si="104"/>
        <v>-1554691.2224241244</v>
      </c>
      <c r="AI93" s="908">
        <f t="shared" ca="1" si="104"/>
        <v>-1554691.2224241244</v>
      </c>
      <c r="AJ93" s="908">
        <f t="shared" ca="1" si="104"/>
        <v>-1554691.2224241244</v>
      </c>
      <c r="AK93" s="908">
        <f t="shared" ca="1" si="104"/>
        <v>-1554691.2224241244</v>
      </c>
      <c r="AL93" s="908">
        <f t="shared" ca="1" si="104"/>
        <v>-2690715.4550063224</v>
      </c>
      <c r="AM93" s="908">
        <f t="shared" ca="1" si="104"/>
        <v>-2690715.4550063224</v>
      </c>
      <c r="AN93" s="908">
        <f t="shared" ca="1" si="104"/>
        <v>-2690715.4550063224</v>
      </c>
      <c r="AO93" s="908">
        <f t="shared" ca="1" si="104"/>
        <v>-2690715.4550063224</v>
      </c>
      <c r="AP93" s="908">
        <f t="shared" ca="1" si="104"/>
        <v>-2690715.4550063224</v>
      </c>
      <c r="AQ93" s="908">
        <f t="shared" ca="1" si="104"/>
        <v>-2690715.4550063224</v>
      </c>
      <c r="AR93" s="908">
        <f t="shared" ca="1" si="104"/>
        <v>-3885247.8817847506</v>
      </c>
      <c r="AS93" s="908">
        <f t="shared" ca="1" si="104"/>
        <v>-3885247.8817847506</v>
      </c>
      <c r="AT93" s="908">
        <f t="shared" ca="1" si="104"/>
        <v>-3885247.8817847506</v>
      </c>
      <c r="AU93" s="908">
        <f t="shared" ca="1" si="104"/>
        <v>-3885247.8817847506</v>
      </c>
      <c r="AV93" s="908">
        <f t="shared" ca="1" si="104"/>
        <v>-3885247.8817847506</v>
      </c>
      <c r="AW93" s="908">
        <f t="shared" ca="1" si="104"/>
        <v>-3885247.8817847506</v>
      </c>
      <c r="AX93" s="908">
        <f t="shared" ca="1" si="104"/>
        <v>-6600247.8817847501</v>
      </c>
      <c r="AY93" s="908">
        <f t="shared" ca="1" si="104"/>
        <v>-6600247.8817847501</v>
      </c>
      <c r="AZ93" s="908">
        <f t="shared" ca="1" si="104"/>
        <v>-6600247.8817847501</v>
      </c>
      <c r="BA93" s="908">
        <f t="shared" ca="1" si="104"/>
        <v>-6600247.8817847501</v>
      </c>
      <c r="BB93" s="908">
        <f t="shared" ca="1" si="104"/>
        <v>-6600247.8817847501</v>
      </c>
      <c r="BC93" s="908">
        <f t="shared" ca="1" si="104"/>
        <v>-6600247.8817847501</v>
      </c>
      <c r="BD93" s="908">
        <f t="shared" ca="1" si="104"/>
        <v>-9202719.8947260194</v>
      </c>
      <c r="BE93" s="908">
        <f t="shared" ca="1" si="104"/>
        <v>-9202719.8947260194</v>
      </c>
      <c r="BF93" s="908">
        <f t="shared" ca="1" si="104"/>
        <v>-9202719.8947260194</v>
      </c>
      <c r="BG93" s="908">
        <f t="shared" ca="1" si="104"/>
        <v>-9202719.8947260194</v>
      </c>
      <c r="BH93" s="908">
        <f t="shared" ca="1" si="104"/>
        <v>-9202719.8947260194</v>
      </c>
      <c r="BI93" s="908">
        <f t="shared" ca="1" si="104"/>
        <v>-9202719.8947260194</v>
      </c>
      <c r="BJ93" s="908">
        <f t="shared" ca="1" si="104"/>
        <v>-10844090.498688849</v>
      </c>
      <c r="BK93" s="908">
        <f t="shared" ca="1" si="104"/>
        <v>-10844090.498688849</v>
      </c>
      <c r="BL93" s="908">
        <f t="shared" ca="1" si="104"/>
        <v>-10844090.498688849</v>
      </c>
      <c r="BM93" s="908">
        <f t="shared" ca="1" si="104"/>
        <v>-10844090.498688849</v>
      </c>
      <c r="BN93" s="908">
        <f t="shared" ca="1" si="104"/>
        <v>-10844090.498688849</v>
      </c>
      <c r="BO93" s="908">
        <f t="shared" ca="1" si="104"/>
        <v>-10844090.498688849</v>
      </c>
      <c r="BP93" s="908">
        <f t="shared" ca="1" si="104"/>
        <v>-10731296.742742233</v>
      </c>
      <c r="BQ93" s="908">
        <f t="shared" ca="1" si="104"/>
        <v>-10731296.742742233</v>
      </c>
      <c r="BR93" s="908">
        <f t="shared" ca="1" si="104"/>
        <v>-10731296.742742233</v>
      </c>
      <c r="BS93" s="908">
        <f t="shared" ca="1" si="104"/>
        <v>-10731296.742742233</v>
      </c>
      <c r="BT93" s="908">
        <f t="shared" ca="1" si="104"/>
        <v>-10731296.742742233</v>
      </c>
      <c r="BU93" s="908">
        <f t="shared" ca="1" si="104"/>
        <v>-10731296.742742233</v>
      </c>
      <c r="BV93" s="908">
        <f t="shared" ca="1" si="104"/>
        <v>-10846929.395101778</v>
      </c>
      <c r="BW93" s="908">
        <f t="shared" ca="1" si="104"/>
        <v>-10846929.395101778</v>
      </c>
      <c r="BX93" s="908">
        <f t="shared" ca="1" si="104"/>
        <v>-10846929.395101778</v>
      </c>
      <c r="BY93" s="908">
        <f t="shared" ca="1" si="104"/>
        <v>-10846929.395101778</v>
      </c>
      <c r="BZ93" s="908">
        <f t="shared" ref="BZ93:DT93" ca="1" si="105">BY96</f>
        <v>-10846929.395101778</v>
      </c>
      <c r="CA93" s="908">
        <f t="shared" ca="1" si="105"/>
        <v>-10846929.395101778</v>
      </c>
      <c r="CB93" s="908">
        <f t="shared" ca="1" si="105"/>
        <v>-10739065.389507029</v>
      </c>
      <c r="CC93" s="908">
        <f t="shared" ca="1" si="105"/>
        <v>-10739065.389507029</v>
      </c>
      <c r="CD93" s="908">
        <f t="shared" ca="1" si="105"/>
        <v>-10739065.389507029</v>
      </c>
      <c r="CE93" s="908">
        <f t="shared" ca="1" si="105"/>
        <v>-10739065.389507029</v>
      </c>
      <c r="CF93" s="908">
        <f t="shared" ca="1" si="105"/>
        <v>-10739065.389507029</v>
      </c>
      <c r="CG93" s="908">
        <f t="shared" ca="1" si="105"/>
        <v>-10739065.389507029</v>
      </c>
      <c r="CH93" s="908">
        <f t="shared" ca="1" si="105"/>
        <v>-10849827.695943456</v>
      </c>
      <c r="CI93" s="908">
        <f t="shared" ca="1" si="105"/>
        <v>-10849827.695943456</v>
      </c>
      <c r="CJ93" s="908">
        <f t="shared" ca="1" si="105"/>
        <v>-10849827.695943456</v>
      </c>
      <c r="CK93" s="908">
        <f t="shared" ca="1" si="105"/>
        <v>-10849827.695943456</v>
      </c>
      <c r="CL93" s="908">
        <f t="shared" ca="1" si="105"/>
        <v>-10849827.695943456</v>
      </c>
      <c r="CM93" s="908">
        <f t="shared" ca="1" si="105"/>
        <v>-10849827.695943456</v>
      </c>
      <c r="CN93" s="908">
        <f t="shared" ca="1" si="105"/>
        <v>-10746815.858740663</v>
      </c>
      <c r="CO93" s="908">
        <f t="shared" ca="1" si="105"/>
        <v>-10746815.858740663</v>
      </c>
      <c r="CP93" s="908">
        <f t="shared" ca="1" si="105"/>
        <v>-10746815.858740663</v>
      </c>
      <c r="CQ93" s="908">
        <f t="shared" ca="1" si="105"/>
        <v>-10746815.858740663</v>
      </c>
      <c r="CR93" s="908">
        <f t="shared" ca="1" si="105"/>
        <v>-10746815.858740663</v>
      </c>
      <c r="CS93" s="908">
        <f t="shared" ca="1" si="105"/>
        <v>-10746815.858740663</v>
      </c>
      <c r="CT93" s="908">
        <f t="shared" ca="1" si="105"/>
        <v>-10852786.623297356</v>
      </c>
      <c r="CU93" s="908">
        <f t="shared" ca="1" si="105"/>
        <v>-10852786.623297356</v>
      </c>
      <c r="CV93" s="908">
        <f t="shared" ca="1" si="105"/>
        <v>-10852786.623297356</v>
      </c>
      <c r="CW93" s="908">
        <f t="shared" ca="1" si="105"/>
        <v>-10852786.623297356</v>
      </c>
      <c r="CX93" s="908">
        <f t="shared" ca="1" si="105"/>
        <v>-10852786.623297356</v>
      </c>
      <c r="CY93" s="908">
        <f t="shared" ca="1" si="105"/>
        <v>-10852786.623297356</v>
      </c>
      <c r="CZ93" s="908">
        <f t="shared" ca="1" si="105"/>
        <v>-10528259.681136448</v>
      </c>
      <c r="DA93" s="908">
        <f t="shared" ca="1" si="105"/>
        <v>-10528259.681136448</v>
      </c>
      <c r="DB93" s="908">
        <f t="shared" ca="1" si="105"/>
        <v>-10528259.681136448</v>
      </c>
      <c r="DC93" s="908">
        <f t="shared" ca="1" si="105"/>
        <v>-10528259.681136448</v>
      </c>
      <c r="DD93" s="908">
        <f t="shared" ca="1" si="105"/>
        <v>-10528259.681136448</v>
      </c>
      <c r="DE93" s="908">
        <f t="shared" ca="1" si="105"/>
        <v>-10528259.681136448</v>
      </c>
      <c r="DF93" s="908">
        <f t="shared" ca="1" si="105"/>
        <v>-10695556.983839834</v>
      </c>
      <c r="DG93" s="908">
        <f t="shared" ca="1" si="105"/>
        <v>-10695556.983839834</v>
      </c>
      <c r="DH93" s="908">
        <f t="shared" ca="1" si="105"/>
        <v>-10695556.983839834</v>
      </c>
      <c r="DI93" s="908">
        <f t="shared" ca="1" si="105"/>
        <v>-10695556.983839834</v>
      </c>
      <c r="DJ93" s="908">
        <f t="shared" ca="1" si="105"/>
        <v>-10695556.983839834</v>
      </c>
      <c r="DK93" s="908">
        <f t="shared" ca="1" si="105"/>
        <v>-10695556.983839834</v>
      </c>
      <c r="DL93" s="908">
        <f t="shared" ca="1" si="105"/>
        <v>-10166508.998259105</v>
      </c>
      <c r="DM93" s="908">
        <f t="shared" ca="1" si="105"/>
        <v>-10166508.998259105</v>
      </c>
      <c r="DN93" s="908">
        <f t="shared" ca="1" si="105"/>
        <v>-10166508.998259105</v>
      </c>
      <c r="DO93" s="908">
        <f t="shared" ca="1" si="105"/>
        <v>-10166508.998259105</v>
      </c>
      <c r="DP93" s="908">
        <f t="shared" ca="1" si="105"/>
        <v>-10166508.998259105</v>
      </c>
      <c r="DQ93" s="908">
        <f t="shared" ca="1" si="105"/>
        <v>-10166508.998259105</v>
      </c>
      <c r="DR93" s="908">
        <f t="shared" ca="1" si="105"/>
        <v>-9422132.609803997</v>
      </c>
      <c r="DS93" s="908">
        <f t="shared" ca="1" si="105"/>
        <v>-9422132.609803997</v>
      </c>
      <c r="DT93" s="908">
        <f t="shared" ca="1" si="105"/>
        <v>-9422132.609803997</v>
      </c>
      <c r="DU93" s="908">
        <f t="shared" ref="DU93:ER93" ca="1" si="106">DT96</f>
        <v>-9422132.609803997</v>
      </c>
      <c r="DV93" s="908">
        <f t="shared" ca="1" si="106"/>
        <v>-9422132.609803997</v>
      </c>
      <c r="DW93" s="908">
        <f t="shared" ca="1" si="106"/>
        <v>-9422132.609803997</v>
      </c>
      <c r="DX93" s="908">
        <f t="shared" ca="1" si="106"/>
        <v>-8566279.6571320444</v>
      </c>
      <c r="DY93" s="908">
        <f t="shared" ca="1" si="106"/>
        <v>-8566279.6571320444</v>
      </c>
      <c r="DZ93" s="908">
        <f t="shared" ca="1" si="106"/>
        <v>-8566279.6571320444</v>
      </c>
      <c r="EA93" s="908">
        <f t="shared" ca="1" si="106"/>
        <v>-8566279.6571320444</v>
      </c>
      <c r="EB93" s="908">
        <f t="shared" ca="1" si="106"/>
        <v>-8566279.6571320444</v>
      </c>
      <c r="EC93" s="908">
        <f t="shared" ca="1" si="106"/>
        <v>-8566279.6571320444</v>
      </c>
      <c r="ED93" s="908">
        <f t="shared" ca="1" si="106"/>
        <v>-7583906.9650147511</v>
      </c>
      <c r="EE93" s="908">
        <f t="shared" ca="1" si="106"/>
        <v>-7583906.9650147511</v>
      </c>
      <c r="EF93" s="908">
        <f t="shared" ca="1" si="106"/>
        <v>-7583906.9650147511</v>
      </c>
      <c r="EG93" s="908">
        <f t="shared" ca="1" si="106"/>
        <v>-7583906.9650147511</v>
      </c>
      <c r="EH93" s="908">
        <f t="shared" ca="1" si="106"/>
        <v>-7583906.9650147511</v>
      </c>
      <c r="EI93" s="908">
        <f t="shared" ca="1" si="106"/>
        <v>-7583906.9650147511</v>
      </c>
      <c r="EJ93" s="908">
        <f t="shared" ca="1" si="106"/>
        <v>-7583906.9650147511</v>
      </c>
      <c r="EK93" s="908">
        <f t="shared" ca="1" si="106"/>
        <v>-7583906.9650147511</v>
      </c>
      <c r="EL93" s="908">
        <f t="shared" ca="1" si="106"/>
        <v>-7583906.9650147511</v>
      </c>
      <c r="EM93" s="908">
        <f t="shared" ca="1" si="106"/>
        <v>-7583906.9650147511</v>
      </c>
      <c r="EN93" s="908">
        <f t="shared" ca="1" si="106"/>
        <v>-7583906.9650147511</v>
      </c>
      <c r="EO93" s="908">
        <f t="shared" ca="1" si="106"/>
        <v>-7583906.9650147511</v>
      </c>
      <c r="EP93" s="908">
        <f t="shared" ca="1" si="106"/>
        <v>-7583906.9650147511</v>
      </c>
      <c r="EQ93" s="908">
        <f t="shared" ca="1" si="106"/>
        <v>-7583906.9650147511</v>
      </c>
      <c r="ER93" s="908">
        <f t="shared" ca="1" si="106"/>
        <v>-7583906.9650147511</v>
      </c>
    </row>
    <row r="94" spans="2:148" ht="11.25" customHeight="1">
      <c r="B94" s="218"/>
      <c r="C94" s="911" t="s">
        <v>231</v>
      </c>
      <c r="D94" s="912"/>
      <c r="E94" s="912"/>
      <c r="F94" s="912"/>
      <c r="G94" s="912"/>
      <c r="H94" s="912"/>
      <c r="I94" s="913"/>
      <c r="J94" s="914" t="b">
        <f ca="1">ABS(SUM(K94,K99)+'CF(M)'!J113)&lt;1</f>
        <v>0</v>
      </c>
      <c r="K94" s="918">
        <f ca="1">SUM(M94:ER94)</f>
        <v>-6473906.9650147511</v>
      </c>
      <c r="L94" s="98"/>
      <c r="M94" s="920">
        <f ca="1">M89</f>
        <v>0</v>
      </c>
      <c r="N94" s="920">
        <f t="shared" ref="N94:BY94" ca="1" si="107">N89</f>
        <v>0</v>
      </c>
      <c r="O94" s="920">
        <f t="shared" ca="1" si="107"/>
        <v>0</v>
      </c>
      <c r="P94" s="920">
        <f t="shared" ca="1" si="107"/>
        <v>0</v>
      </c>
      <c r="Q94" s="920">
        <f t="shared" ca="1" si="107"/>
        <v>0</v>
      </c>
      <c r="R94" s="920">
        <f t="shared" ca="1" si="107"/>
        <v>0</v>
      </c>
      <c r="S94" s="920">
        <f t="shared" ca="1" si="107"/>
        <v>555000</v>
      </c>
      <c r="T94" s="920">
        <f t="shared" ca="1" si="107"/>
        <v>0</v>
      </c>
      <c r="U94" s="920">
        <f t="shared" ca="1" si="107"/>
        <v>0</v>
      </c>
      <c r="V94" s="920">
        <f t="shared" ca="1" si="107"/>
        <v>0</v>
      </c>
      <c r="W94" s="920">
        <f t="shared" ca="1" si="107"/>
        <v>0</v>
      </c>
      <c r="X94" s="920">
        <f t="shared" ca="1" si="107"/>
        <v>0</v>
      </c>
      <c r="Y94" s="920">
        <f t="shared" ca="1" si="107"/>
        <v>555000</v>
      </c>
      <c r="Z94" s="920">
        <f t="shared" ca="1" si="107"/>
        <v>0</v>
      </c>
      <c r="AA94" s="920">
        <f t="shared" ca="1" si="107"/>
        <v>0</v>
      </c>
      <c r="AB94" s="920">
        <f t="shared" ca="1" si="107"/>
        <v>0</v>
      </c>
      <c r="AC94" s="920">
        <f t="shared" ca="1" si="107"/>
        <v>0</v>
      </c>
      <c r="AD94" s="920">
        <f t="shared" ca="1" si="107"/>
        <v>0</v>
      </c>
      <c r="AE94" s="920">
        <f t="shared" ca="1" si="107"/>
        <v>-1554691.2224241244</v>
      </c>
      <c r="AF94" s="920">
        <f t="shared" ca="1" si="107"/>
        <v>0</v>
      </c>
      <c r="AG94" s="920">
        <f t="shared" ca="1" si="107"/>
        <v>0</v>
      </c>
      <c r="AH94" s="920">
        <f t="shared" ca="1" si="107"/>
        <v>0</v>
      </c>
      <c r="AI94" s="920">
        <f t="shared" ca="1" si="107"/>
        <v>0</v>
      </c>
      <c r="AJ94" s="920">
        <f t="shared" ca="1" si="107"/>
        <v>0</v>
      </c>
      <c r="AK94" s="920">
        <f t="shared" ca="1" si="107"/>
        <v>-1136024.232582198</v>
      </c>
      <c r="AL94" s="920">
        <f t="shared" ca="1" si="107"/>
        <v>0</v>
      </c>
      <c r="AM94" s="920">
        <f t="shared" ca="1" si="107"/>
        <v>0</v>
      </c>
      <c r="AN94" s="920">
        <f t="shared" ca="1" si="107"/>
        <v>0</v>
      </c>
      <c r="AO94" s="920">
        <f t="shared" ca="1" si="107"/>
        <v>0</v>
      </c>
      <c r="AP94" s="920">
        <f t="shared" ca="1" si="107"/>
        <v>0</v>
      </c>
      <c r="AQ94" s="920">
        <f t="shared" ca="1" si="107"/>
        <v>-1194532.4267784283</v>
      </c>
      <c r="AR94" s="920">
        <f t="shared" ca="1" si="107"/>
        <v>0</v>
      </c>
      <c r="AS94" s="920">
        <f t="shared" ca="1" si="107"/>
        <v>0</v>
      </c>
      <c r="AT94" s="920">
        <f t="shared" ca="1" si="107"/>
        <v>0</v>
      </c>
      <c r="AU94" s="920">
        <f t="shared" ca="1" si="107"/>
        <v>0</v>
      </c>
      <c r="AV94" s="920">
        <f t="shared" ca="1" si="107"/>
        <v>0</v>
      </c>
      <c r="AW94" s="920">
        <f t="shared" ca="1" si="107"/>
        <v>-2715000</v>
      </c>
      <c r="AX94" s="920">
        <f t="shared" ca="1" si="107"/>
        <v>0</v>
      </c>
      <c r="AY94" s="920">
        <f t="shared" ca="1" si="107"/>
        <v>0</v>
      </c>
      <c r="AZ94" s="920">
        <f t="shared" ca="1" si="107"/>
        <v>0</v>
      </c>
      <c r="BA94" s="920">
        <f t="shared" ca="1" si="107"/>
        <v>0</v>
      </c>
      <c r="BB94" s="920">
        <f t="shared" ca="1" si="107"/>
        <v>0</v>
      </c>
      <c r="BC94" s="920">
        <f t="shared" ca="1" si="107"/>
        <v>-2602472.0129412687</v>
      </c>
      <c r="BD94" s="920">
        <f t="shared" ca="1" si="107"/>
        <v>0</v>
      </c>
      <c r="BE94" s="920">
        <f t="shared" ca="1" si="107"/>
        <v>0</v>
      </c>
      <c r="BF94" s="920">
        <f t="shared" ca="1" si="107"/>
        <v>0</v>
      </c>
      <c r="BG94" s="920">
        <f t="shared" ca="1" si="107"/>
        <v>0</v>
      </c>
      <c r="BH94" s="920">
        <f t="shared" ca="1" si="107"/>
        <v>0</v>
      </c>
      <c r="BI94" s="920">
        <f t="shared" ca="1" si="107"/>
        <v>-1641370.6039628291</v>
      </c>
      <c r="BJ94" s="920">
        <f t="shared" ca="1" si="107"/>
        <v>0</v>
      </c>
      <c r="BK94" s="920">
        <f t="shared" ca="1" si="107"/>
        <v>0</v>
      </c>
      <c r="BL94" s="920">
        <f t="shared" ca="1" si="107"/>
        <v>0</v>
      </c>
      <c r="BM94" s="920">
        <f t="shared" ca="1" si="107"/>
        <v>0</v>
      </c>
      <c r="BN94" s="920">
        <f t="shared" ca="1" si="107"/>
        <v>0</v>
      </c>
      <c r="BO94" s="920">
        <f t="shared" ca="1" si="107"/>
        <v>112793.75594661478</v>
      </c>
      <c r="BP94" s="920">
        <f t="shared" ca="1" si="107"/>
        <v>0</v>
      </c>
      <c r="BQ94" s="920">
        <f t="shared" ca="1" si="107"/>
        <v>0</v>
      </c>
      <c r="BR94" s="920">
        <f t="shared" ca="1" si="107"/>
        <v>0</v>
      </c>
      <c r="BS94" s="920">
        <f t="shared" ca="1" si="107"/>
        <v>0</v>
      </c>
      <c r="BT94" s="920">
        <f t="shared" ca="1" si="107"/>
        <v>0</v>
      </c>
      <c r="BU94" s="920">
        <f t="shared" ca="1" si="107"/>
        <v>-115632.65235954477</v>
      </c>
      <c r="BV94" s="920">
        <f t="shared" ca="1" si="107"/>
        <v>0</v>
      </c>
      <c r="BW94" s="920">
        <f t="shared" ca="1" si="107"/>
        <v>0</v>
      </c>
      <c r="BX94" s="920">
        <f t="shared" ca="1" si="107"/>
        <v>0</v>
      </c>
      <c r="BY94" s="920">
        <f t="shared" ca="1" si="107"/>
        <v>0</v>
      </c>
      <c r="BZ94" s="920">
        <f t="shared" ref="BZ94:EK94" ca="1" si="108">BZ89</f>
        <v>0</v>
      </c>
      <c r="CA94" s="920">
        <f t="shared" ca="1" si="108"/>
        <v>107864.00559474854</v>
      </c>
      <c r="CB94" s="920">
        <f t="shared" ca="1" si="108"/>
        <v>0</v>
      </c>
      <c r="CC94" s="920">
        <f t="shared" ca="1" si="108"/>
        <v>0</v>
      </c>
      <c r="CD94" s="920">
        <f t="shared" ca="1" si="108"/>
        <v>0</v>
      </c>
      <c r="CE94" s="920">
        <f t="shared" ca="1" si="108"/>
        <v>0</v>
      </c>
      <c r="CF94" s="920">
        <f t="shared" ca="1" si="108"/>
        <v>0</v>
      </c>
      <c r="CG94" s="920">
        <f t="shared" ca="1" si="108"/>
        <v>-110762.30643642787</v>
      </c>
      <c r="CH94" s="920">
        <f t="shared" ca="1" si="108"/>
        <v>0</v>
      </c>
      <c r="CI94" s="920">
        <f t="shared" ca="1" si="108"/>
        <v>0</v>
      </c>
      <c r="CJ94" s="920">
        <f t="shared" ca="1" si="108"/>
        <v>0</v>
      </c>
      <c r="CK94" s="920">
        <f t="shared" ca="1" si="108"/>
        <v>0</v>
      </c>
      <c r="CL94" s="920">
        <f t="shared" ca="1" si="108"/>
        <v>0</v>
      </c>
      <c r="CM94" s="920">
        <f t="shared" ca="1" si="108"/>
        <v>103011.83720279299</v>
      </c>
      <c r="CN94" s="920">
        <f t="shared" ca="1" si="108"/>
        <v>0</v>
      </c>
      <c r="CO94" s="920">
        <f t="shared" ca="1" si="108"/>
        <v>0</v>
      </c>
      <c r="CP94" s="920">
        <f t="shared" ca="1" si="108"/>
        <v>0</v>
      </c>
      <c r="CQ94" s="920">
        <f t="shared" ca="1" si="108"/>
        <v>0</v>
      </c>
      <c r="CR94" s="920">
        <f t="shared" ca="1" si="108"/>
        <v>0</v>
      </c>
      <c r="CS94" s="920">
        <f t="shared" ca="1" si="108"/>
        <v>-105970.76455669338</v>
      </c>
      <c r="CT94" s="920">
        <f t="shared" ca="1" si="108"/>
        <v>0</v>
      </c>
      <c r="CU94" s="920">
        <f t="shared" ca="1" si="108"/>
        <v>0</v>
      </c>
      <c r="CV94" s="920">
        <f t="shared" ca="1" si="108"/>
        <v>0</v>
      </c>
      <c r="CW94" s="920">
        <f t="shared" ca="1" si="108"/>
        <v>0</v>
      </c>
      <c r="CX94" s="920">
        <f t="shared" ca="1" si="108"/>
        <v>0</v>
      </c>
      <c r="CY94" s="920">
        <f t="shared" ca="1" si="108"/>
        <v>324526.94216090767</v>
      </c>
      <c r="CZ94" s="920">
        <f t="shared" ca="1" si="108"/>
        <v>0</v>
      </c>
      <c r="DA94" s="920">
        <f t="shared" ca="1" si="108"/>
        <v>0</v>
      </c>
      <c r="DB94" s="920">
        <f t="shared" ca="1" si="108"/>
        <v>0</v>
      </c>
      <c r="DC94" s="920">
        <f t="shared" ca="1" si="108"/>
        <v>0</v>
      </c>
      <c r="DD94" s="920">
        <f t="shared" ca="1" si="108"/>
        <v>0</v>
      </c>
      <c r="DE94" s="920">
        <f t="shared" ca="1" si="108"/>
        <v>-167297.30270338617</v>
      </c>
      <c r="DF94" s="920">
        <f t="shared" ca="1" si="108"/>
        <v>0</v>
      </c>
      <c r="DG94" s="920">
        <f t="shared" ca="1" si="108"/>
        <v>0</v>
      </c>
      <c r="DH94" s="920">
        <f t="shared" ca="1" si="108"/>
        <v>0</v>
      </c>
      <c r="DI94" s="920">
        <f t="shared" ca="1" si="108"/>
        <v>0</v>
      </c>
      <c r="DJ94" s="920">
        <f t="shared" ca="1" si="108"/>
        <v>0</v>
      </c>
      <c r="DK94" s="920">
        <f t="shared" ca="1" si="108"/>
        <v>529047.98558072885</v>
      </c>
      <c r="DL94" s="920">
        <f t="shared" ca="1" si="108"/>
        <v>0</v>
      </c>
      <c r="DM94" s="920">
        <f t="shared" ca="1" si="108"/>
        <v>0</v>
      </c>
      <c r="DN94" s="920">
        <f t="shared" ca="1" si="108"/>
        <v>0</v>
      </c>
      <c r="DO94" s="920">
        <f t="shared" ca="1" si="108"/>
        <v>0</v>
      </c>
      <c r="DP94" s="920">
        <f t="shared" ca="1" si="108"/>
        <v>0</v>
      </c>
      <c r="DQ94" s="920">
        <f t="shared" ca="1" si="108"/>
        <v>744376.38845510781</v>
      </c>
      <c r="DR94" s="920">
        <f t="shared" ca="1" si="108"/>
        <v>0</v>
      </c>
      <c r="DS94" s="920">
        <f t="shared" ca="1" si="108"/>
        <v>0</v>
      </c>
      <c r="DT94" s="920">
        <f t="shared" ca="1" si="108"/>
        <v>0</v>
      </c>
      <c r="DU94" s="920">
        <f t="shared" ca="1" si="108"/>
        <v>0</v>
      </c>
      <c r="DV94" s="920">
        <f t="shared" ca="1" si="108"/>
        <v>0</v>
      </c>
      <c r="DW94" s="920">
        <f t="shared" ca="1" si="108"/>
        <v>855852.95267195255</v>
      </c>
      <c r="DX94" s="920">
        <f t="shared" ca="1" si="108"/>
        <v>0</v>
      </c>
      <c r="DY94" s="920">
        <f t="shared" ca="1" si="108"/>
        <v>0</v>
      </c>
      <c r="DZ94" s="920">
        <f t="shared" ca="1" si="108"/>
        <v>0</v>
      </c>
      <c r="EA94" s="920">
        <f t="shared" ca="1" si="108"/>
        <v>0</v>
      </c>
      <c r="EB94" s="920">
        <f t="shared" ca="1" si="108"/>
        <v>0</v>
      </c>
      <c r="EC94" s="920">
        <f t="shared" ca="1" si="108"/>
        <v>982372.69211729337</v>
      </c>
      <c r="ED94" s="920">
        <f t="shared" ca="1" si="108"/>
        <v>0</v>
      </c>
      <c r="EE94" s="920">
        <f t="shared" ca="1" si="108"/>
        <v>0</v>
      </c>
      <c r="EF94" s="920">
        <f t="shared" ca="1" si="108"/>
        <v>0</v>
      </c>
      <c r="EG94" s="920">
        <f t="shared" ca="1" si="108"/>
        <v>0</v>
      </c>
      <c r="EH94" s="920">
        <f t="shared" ca="1" si="108"/>
        <v>0</v>
      </c>
      <c r="EI94" s="920">
        <f t="shared" ca="1" si="108"/>
        <v>0</v>
      </c>
      <c r="EJ94" s="920">
        <f t="shared" ca="1" si="108"/>
        <v>0</v>
      </c>
      <c r="EK94" s="920">
        <f t="shared" ca="1" si="108"/>
        <v>0</v>
      </c>
      <c r="EL94" s="920">
        <f t="shared" ref="EL94:ER94" ca="1" si="109">EL89</f>
        <v>0</v>
      </c>
      <c r="EM94" s="920">
        <f t="shared" ca="1" si="109"/>
        <v>0</v>
      </c>
      <c r="EN94" s="920">
        <f t="shared" ca="1" si="109"/>
        <v>0</v>
      </c>
      <c r="EO94" s="920">
        <f t="shared" ca="1" si="109"/>
        <v>0</v>
      </c>
      <c r="EP94" s="920">
        <f t="shared" ca="1" si="109"/>
        <v>0</v>
      </c>
      <c r="EQ94" s="920">
        <f t="shared" ca="1" si="109"/>
        <v>0</v>
      </c>
      <c r="ER94" s="920">
        <f t="shared" ca="1" si="109"/>
        <v>0</v>
      </c>
    </row>
    <row r="95" spans="2:148" ht="11.25" customHeight="1">
      <c r="B95" s="218"/>
      <c r="C95" s="911" t="s">
        <v>232</v>
      </c>
      <c r="D95" s="912"/>
      <c r="E95" s="912"/>
      <c r="F95" s="912"/>
      <c r="G95" s="912"/>
      <c r="H95" s="912"/>
      <c r="I95" s="913"/>
      <c r="J95" s="914"/>
      <c r="K95" s="918">
        <f ca="1">SUM(M95:ER95)</f>
        <v>1110000</v>
      </c>
      <c r="L95" s="98"/>
      <c r="M95" s="920">
        <f ca="1">MAX(SUM(M93:M94),)*Index!L$48</f>
        <v>0</v>
      </c>
      <c r="N95" s="920">
        <f ca="1">MAX(SUM(N93:N94),)*Index!M$48</f>
        <v>0</v>
      </c>
      <c r="O95" s="920">
        <f ca="1">MAX(SUM(O93:O94),)*Index!N$48</f>
        <v>0</v>
      </c>
      <c r="P95" s="920">
        <f ca="1">MAX(SUM(P93:P94),)*Index!O$48</f>
        <v>0</v>
      </c>
      <c r="Q95" s="920">
        <f ca="1">MAX(SUM(Q93:Q94),)*Index!P$48</f>
        <v>0</v>
      </c>
      <c r="R95" s="920">
        <f ca="1">MAX(SUM(R93:R94),)*Index!Q$48</f>
        <v>0</v>
      </c>
      <c r="S95" s="920">
        <f ca="1">MAX(SUM(S93:S94),)*Index!R$48</f>
        <v>555000</v>
      </c>
      <c r="T95" s="920">
        <f ca="1">MAX(SUM(T93:T94),)*Index!S$48</f>
        <v>0</v>
      </c>
      <c r="U95" s="920">
        <f ca="1">MAX(SUM(U93:U94),)*Index!T$48</f>
        <v>0</v>
      </c>
      <c r="V95" s="920">
        <f ca="1">MAX(SUM(V93:V94),)*Index!U$48</f>
        <v>0</v>
      </c>
      <c r="W95" s="920">
        <f ca="1">MAX(SUM(W93:W94),)*Index!V$48</f>
        <v>0</v>
      </c>
      <c r="X95" s="920">
        <f ca="1">MAX(SUM(X93:X94),)*Index!W$48</f>
        <v>0</v>
      </c>
      <c r="Y95" s="920">
        <f ca="1">MAX(SUM(Y93:Y94),)*Index!X$48</f>
        <v>555000</v>
      </c>
      <c r="Z95" s="920">
        <f ca="1">MAX(SUM(Z93:Z94),)*Index!Y$48</f>
        <v>0</v>
      </c>
      <c r="AA95" s="920">
        <f ca="1">MAX(SUM(AA93:AA94),)*Index!Z$48</f>
        <v>0</v>
      </c>
      <c r="AB95" s="920">
        <f ca="1">MAX(SUM(AB93:AB94),)*Index!AA$48</f>
        <v>0</v>
      </c>
      <c r="AC95" s="920">
        <f ca="1">MAX(SUM(AC93:AC94),)*Index!AB$48</f>
        <v>0</v>
      </c>
      <c r="AD95" s="920">
        <f ca="1">MAX(SUM(AD93:AD94),)*Index!AC$48</f>
        <v>0</v>
      </c>
      <c r="AE95" s="920">
        <f ca="1">MAX(SUM(AE93:AE94),)*Index!AD$48</f>
        <v>0</v>
      </c>
      <c r="AF95" s="920">
        <f ca="1">MAX(SUM(AF93:AF94),)*Index!AE$48</f>
        <v>0</v>
      </c>
      <c r="AG95" s="920">
        <f ca="1">MAX(SUM(AG93:AG94),)*Index!AF$48</f>
        <v>0</v>
      </c>
      <c r="AH95" s="920">
        <f ca="1">MAX(SUM(AH93:AH94),)*Index!AG$48</f>
        <v>0</v>
      </c>
      <c r="AI95" s="920">
        <f ca="1">MAX(SUM(AI93:AI94),)*Index!AH$48</f>
        <v>0</v>
      </c>
      <c r="AJ95" s="920">
        <f ca="1">MAX(SUM(AJ93:AJ94),)*Index!AI$48</f>
        <v>0</v>
      </c>
      <c r="AK95" s="920">
        <f ca="1">MAX(SUM(AK93:AK94),)*Index!AJ$48</f>
        <v>0</v>
      </c>
      <c r="AL95" s="920">
        <f ca="1">MAX(SUM(AL93:AL94),)*Index!AK$48</f>
        <v>0</v>
      </c>
      <c r="AM95" s="920">
        <f ca="1">MAX(SUM(AM93:AM94),)*Index!AL$48</f>
        <v>0</v>
      </c>
      <c r="AN95" s="920">
        <f ca="1">MAX(SUM(AN93:AN94),)*Index!AM$48</f>
        <v>0</v>
      </c>
      <c r="AO95" s="920">
        <f ca="1">MAX(SUM(AO93:AO94),)*Index!AN$48</f>
        <v>0</v>
      </c>
      <c r="AP95" s="920">
        <f ca="1">MAX(SUM(AP93:AP94),)*Index!AO$48</f>
        <v>0</v>
      </c>
      <c r="AQ95" s="920">
        <f ca="1">MAX(SUM(AQ93:AQ94),)*Index!AP$48</f>
        <v>0</v>
      </c>
      <c r="AR95" s="920">
        <f ca="1">MAX(SUM(AR93:AR94),)*Index!AQ$48</f>
        <v>0</v>
      </c>
      <c r="AS95" s="920">
        <f ca="1">MAX(SUM(AS93:AS94),)*Index!AR$48</f>
        <v>0</v>
      </c>
      <c r="AT95" s="920">
        <f ca="1">MAX(SUM(AT93:AT94),)*Index!AS$48</f>
        <v>0</v>
      </c>
      <c r="AU95" s="920">
        <f ca="1">MAX(SUM(AU93:AU94),)*Index!AT$48</f>
        <v>0</v>
      </c>
      <c r="AV95" s="920">
        <f ca="1">MAX(SUM(AV93:AV94),)*Index!AU$48</f>
        <v>0</v>
      </c>
      <c r="AW95" s="920">
        <f ca="1">MAX(SUM(AW93:AW94),)*Index!AV$48</f>
        <v>0</v>
      </c>
      <c r="AX95" s="920">
        <f ca="1">MAX(SUM(AX93:AX94),)*Index!AW$48</f>
        <v>0</v>
      </c>
      <c r="AY95" s="920">
        <f ca="1">MAX(SUM(AY93:AY94),)*Index!AX$48</f>
        <v>0</v>
      </c>
      <c r="AZ95" s="920">
        <f ca="1">MAX(SUM(AZ93:AZ94),)*Index!AY$48</f>
        <v>0</v>
      </c>
      <c r="BA95" s="920">
        <f ca="1">MAX(SUM(BA93:BA94),)*Index!AZ$48</f>
        <v>0</v>
      </c>
      <c r="BB95" s="920">
        <f ca="1">MAX(SUM(BB93:BB94),)*Index!BA$48</f>
        <v>0</v>
      </c>
      <c r="BC95" s="920">
        <f ca="1">MAX(SUM(BC93:BC94),)*Index!BB$48</f>
        <v>0</v>
      </c>
      <c r="BD95" s="920">
        <f ca="1">MAX(SUM(BD93:BD94),)*Index!BC$48</f>
        <v>0</v>
      </c>
      <c r="BE95" s="920">
        <f ca="1">MAX(SUM(BE93:BE94),)*Index!BD$48</f>
        <v>0</v>
      </c>
      <c r="BF95" s="920">
        <f ca="1">MAX(SUM(BF93:BF94),)*Index!BE$48</f>
        <v>0</v>
      </c>
      <c r="BG95" s="920">
        <f ca="1">MAX(SUM(BG93:BG94),)*Index!BF$48</f>
        <v>0</v>
      </c>
      <c r="BH95" s="920">
        <f ca="1">MAX(SUM(BH93:BH94),)*Index!BG$48</f>
        <v>0</v>
      </c>
      <c r="BI95" s="920">
        <f ca="1">MAX(SUM(BI93:BI94),)*Index!BH$48</f>
        <v>0</v>
      </c>
      <c r="BJ95" s="920">
        <f ca="1">MAX(SUM(BJ93:BJ94),)*Index!BI$48</f>
        <v>0</v>
      </c>
      <c r="BK95" s="920">
        <f ca="1">MAX(SUM(BK93:BK94),)*Index!BJ$48</f>
        <v>0</v>
      </c>
      <c r="BL95" s="920">
        <f ca="1">MAX(SUM(BL93:BL94),)*Index!BK$48</f>
        <v>0</v>
      </c>
      <c r="BM95" s="920">
        <f ca="1">MAX(SUM(BM93:BM94),)*Index!BL$48</f>
        <v>0</v>
      </c>
      <c r="BN95" s="920">
        <f ca="1">MAX(SUM(BN93:BN94),)*Index!BM$48</f>
        <v>0</v>
      </c>
      <c r="BO95" s="920">
        <f ca="1">MAX(SUM(BO93:BO94),)*Index!BN$48</f>
        <v>0</v>
      </c>
      <c r="BP95" s="920">
        <f ca="1">MAX(SUM(BP93:BP94),)*Index!BO$48</f>
        <v>0</v>
      </c>
      <c r="BQ95" s="920">
        <f ca="1">MAX(SUM(BQ93:BQ94),)*Index!BP$48</f>
        <v>0</v>
      </c>
      <c r="BR95" s="920">
        <f ca="1">MAX(SUM(BR93:BR94),)*Index!BQ$48</f>
        <v>0</v>
      </c>
      <c r="BS95" s="920">
        <f ca="1">MAX(SUM(BS93:BS94),)*Index!BR$48</f>
        <v>0</v>
      </c>
      <c r="BT95" s="920">
        <f ca="1">MAX(SUM(BT93:BT94),)*Index!BS$48</f>
        <v>0</v>
      </c>
      <c r="BU95" s="920">
        <f ca="1">MAX(SUM(BU93:BU94),)*Index!BT$48</f>
        <v>0</v>
      </c>
      <c r="BV95" s="920">
        <f ca="1">MAX(SUM(BV93:BV94),)*Index!BU$48</f>
        <v>0</v>
      </c>
      <c r="BW95" s="920">
        <f ca="1">MAX(SUM(BW93:BW94),)*Index!BV$48</f>
        <v>0</v>
      </c>
      <c r="BX95" s="920">
        <f ca="1">MAX(SUM(BX93:BX94),)*Index!BW$48</f>
        <v>0</v>
      </c>
      <c r="BY95" s="920">
        <f ca="1">MAX(SUM(BY93:BY94),)*Index!BX$48</f>
        <v>0</v>
      </c>
      <c r="BZ95" s="920">
        <f ca="1">MAX(SUM(BZ93:BZ94),)*Index!BY$48</f>
        <v>0</v>
      </c>
      <c r="CA95" s="920">
        <f ca="1">MAX(SUM(CA93:CA94),)*Index!BZ$48</f>
        <v>0</v>
      </c>
      <c r="CB95" s="920">
        <f ca="1">MAX(SUM(CB93:CB94),)*Index!CA$48</f>
        <v>0</v>
      </c>
      <c r="CC95" s="920">
        <f ca="1">MAX(SUM(CC93:CC94),)*Index!CB$48</f>
        <v>0</v>
      </c>
      <c r="CD95" s="920">
        <f ca="1">MAX(SUM(CD93:CD94),)*Index!CC$48</f>
        <v>0</v>
      </c>
      <c r="CE95" s="920">
        <f ca="1">MAX(SUM(CE93:CE94),)*Index!CD$48</f>
        <v>0</v>
      </c>
      <c r="CF95" s="920">
        <f ca="1">MAX(SUM(CF93:CF94),)*Index!CE$48</f>
        <v>0</v>
      </c>
      <c r="CG95" s="920">
        <f ca="1">MAX(SUM(CG93:CG94),)*Index!CF$48</f>
        <v>0</v>
      </c>
      <c r="CH95" s="920">
        <f ca="1">MAX(SUM(CH93:CH94),)*Index!CG$48</f>
        <v>0</v>
      </c>
      <c r="CI95" s="920">
        <f ca="1">MAX(SUM(CI93:CI94),)*Index!CH$48</f>
        <v>0</v>
      </c>
      <c r="CJ95" s="920">
        <f ca="1">MAX(SUM(CJ93:CJ94),)*Index!CI$48</f>
        <v>0</v>
      </c>
      <c r="CK95" s="920">
        <f ca="1">MAX(SUM(CK93:CK94),)*Index!CJ$48</f>
        <v>0</v>
      </c>
      <c r="CL95" s="920">
        <f ca="1">MAX(SUM(CL93:CL94),)*Index!CK$48</f>
        <v>0</v>
      </c>
      <c r="CM95" s="920">
        <f ca="1">MAX(SUM(CM93:CM94),)*Index!CL$48</f>
        <v>0</v>
      </c>
      <c r="CN95" s="920">
        <f ca="1">MAX(SUM(CN93:CN94),)*Index!CM$48</f>
        <v>0</v>
      </c>
      <c r="CO95" s="920">
        <f ca="1">MAX(SUM(CO93:CO94),)*Index!CN$48</f>
        <v>0</v>
      </c>
      <c r="CP95" s="920">
        <f ca="1">MAX(SUM(CP93:CP94),)*Index!CO$48</f>
        <v>0</v>
      </c>
      <c r="CQ95" s="920">
        <f ca="1">MAX(SUM(CQ93:CQ94),)*Index!CP$48</f>
        <v>0</v>
      </c>
      <c r="CR95" s="920">
        <f ca="1">MAX(SUM(CR93:CR94),)*Index!CQ$48</f>
        <v>0</v>
      </c>
      <c r="CS95" s="920">
        <f ca="1">MAX(SUM(CS93:CS94),)*Index!CR$48</f>
        <v>0</v>
      </c>
      <c r="CT95" s="920">
        <f ca="1">MAX(SUM(CT93:CT94),)*Index!CS$48</f>
        <v>0</v>
      </c>
      <c r="CU95" s="920">
        <f ca="1">MAX(SUM(CU93:CU94),)*Index!CT$48</f>
        <v>0</v>
      </c>
      <c r="CV95" s="920">
        <f ca="1">MAX(SUM(CV93:CV94),)*Index!CU$48</f>
        <v>0</v>
      </c>
      <c r="CW95" s="920">
        <f ca="1">MAX(SUM(CW93:CW94),)*Index!CV$48</f>
        <v>0</v>
      </c>
      <c r="CX95" s="920">
        <f ca="1">MAX(SUM(CX93:CX94),)*Index!CW$48</f>
        <v>0</v>
      </c>
      <c r="CY95" s="920">
        <f ca="1">MAX(SUM(CY93:CY94),)*Index!CX$48</f>
        <v>0</v>
      </c>
      <c r="CZ95" s="920">
        <f ca="1">MAX(SUM(CZ93:CZ94),)*Index!CY$48</f>
        <v>0</v>
      </c>
      <c r="DA95" s="920">
        <f ca="1">MAX(SUM(DA93:DA94),)*Index!CZ$48</f>
        <v>0</v>
      </c>
      <c r="DB95" s="920">
        <f ca="1">MAX(SUM(DB93:DB94),)*Index!DA$48</f>
        <v>0</v>
      </c>
      <c r="DC95" s="920">
        <f ca="1">MAX(SUM(DC93:DC94),)*Index!DB$48</f>
        <v>0</v>
      </c>
      <c r="DD95" s="920">
        <f ca="1">MAX(SUM(DD93:DD94),)*Index!DC$48</f>
        <v>0</v>
      </c>
      <c r="DE95" s="920">
        <f ca="1">MAX(SUM(DE93:DE94),)*Index!DD$48</f>
        <v>0</v>
      </c>
      <c r="DF95" s="920">
        <f ca="1">MAX(SUM(DF93:DF94),)*Index!DE$48</f>
        <v>0</v>
      </c>
      <c r="DG95" s="920">
        <f ca="1">MAX(SUM(DG93:DG94),)*Index!DF$48</f>
        <v>0</v>
      </c>
      <c r="DH95" s="920">
        <f ca="1">MAX(SUM(DH93:DH94),)*Index!DG$48</f>
        <v>0</v>
      </c>
      <c r="DI95" s="920">
        <f ca="1">MAX(SUM(DI93:DI94),)*Index!DH$48</f>
        <v>0</v>
      </c>
      <c r="DJ95" s="920">
        <f ca="1">MAX(SUM(DJ93:DJ94),)*Index!DI$48</f>
        <v>0</v>
      </c>
      <c r="DK95" s="920">
        <f ca="1">MAX(SUM(DK93:DK94),)*Index!DJ$48</f>
        <v>0</v>
      </c>
      <c r="DL95" s="920">
        <f ca="1">MAX(SUM(DL93:DL94),)*Index!DK$48</f>
        <v>0</v>
      </c>
      <c r="DM95" s="920">
        <f ca="1">MAX(SUM(DM93:DM94),)*Index!DL$48</f>
        <v>0</v>
      </c>
      <c r="DN95" s="920">
        <f ca="1">MAX(SUM(DN93:DN94),)*Index!DM$48</f>
        <v>0</v>
      </c>
      <c r="DO95" s="920">
        <f ca="1">MAX(SUM(DO93:DO94),)*Index!DN$48</f>
        <v>0</v>
      </c>
      <c r="DP95" s="920">
        <f ca="1">MAX(SUM(DP93:DP94),)*Index!DO$48</f>
        <v>0</v>
      </c>
      <c r="DQ95" s="920">
        <f ca="1">MAX(SUM(DQ93:DQ94),)*Index!DP$48</f>
        <v>0</v>
      </c>
      <c r="DR95" s="920">
        <f ca="1">MAX(SUM(DR93:DR94),)*Index!DQ$48</f>
        <v>0</v>
      </c>
      <c r="DS95" s="920">
        <f ca="1">MAX(SUM(DS93:DS94),)*Index!DR$48</f>
        <v>0</v>
      </c>
      <c r="DT95" s="920">
        <f ca="1">MAX(SUM(DT93:DT94),)*Index!DS$48</f>
        <v>0</v>
      </c>
      <c r="DU95" s="920">
        <f ca="1">MAX(SUM(DU93:DU94),)*Index!DT$48</f>
        <v>0</v>
      </c>
      <c r="DV95" s="920">
        <f ca="1">MAX(SUM(DV93:DV94),)*Index!DU$48</f>
        <v>0</v>
      </c>
      <c r="DW95" s="920">
        <f ca="1">MAX(SUM(DW93:DW94),)*Index!DV$48</f>
        <v>0</v>
      </c>
      <c r="DX95" s="920">
        <f ca="1">MAX(SUM(DX93:DX94),)*Index!DW$48</f>
        <v>0</v>
      </c>
      <c r="DY95" s="920">
        <f ca="1">MAX(SUM(DY93:DY94),)*Index!DX$48</f>
        <v>0</v>
      </c>
      <c r="DZ95" s="920">
        <f ca="1">MAX(SUM(DZ93:DZ94),)*Index!DY$48</f>
        <v>0</v>
      </c>
      <c r="EA95" s="920">
        <f ca="1">MAX(SUM(EA93:EA94),)*Index!DZ$48</f>
        <v>0</v>
      </c>
      <c r="EB95" s="920">
        <f ca="1">MAX(SUM(EB93:EB94),)*Index!EA$48</f>
        <v>0</v>
      </c>
      <c r="EC95" s="920">
        <f ca="1">MAX(SUM(EC93:EC94),)*Index!EB$48</f>
        <v>0</v>
      </c>
      <c r="ED95" s="920">
        <f ca="1">MAX(SUM(ED93:ED94),)*Index!EC$48</f>
        <v>0</v>
      </c>
      <c r="EE95" s="920">
        <f ca="1">MAX(SUM(EE93:EE94),)*Index!ED$48</f>
        <v>0</v>
      </c>
      <c r="EF95" s="920">
        <f ca="1">MAX(SUM(EF93:EF94),)*Index!EE$48</f>
        <v>0</v>
      </c>
      <c r="EG95" s="920">
        <f ca="1">MAX(SUM(EG93:EG94),)*Index!EF$48</f>
        <v>0</v>
      </c>
      <c r="EH95" s="920">
        <f ca="1">MAX(SUM(EH93:EH94),)*Index!EG$48</f>
        <v>0</v>
      </c>
      <c r="EI95" s="920">
        <f ca="1">MAX(SUM(EI93:EI94),)*Index!EH$48</f>
        <v>0</v>
      </c>
      <c r="EJ95" s="920">
        <f ca="1">MAX(SUM(EJ93:EJ94),)*Index!EI$48</f>
        <v>0</v>
      </c>
      <c r="EK95" s="920">
        <f ca="1">MAX(SUM(EK93:EK94),)*Index!EJ$48</f>
        <v>0</v>
      </c>
      <c r="EL95" s="920">
        <f ca="1">MAX(SUM(EL93:EL94),)*Index!EK$48</f>
        <v>0</v>
      </c>
      <c r="EM95" s="920">
        <f ca="1">MAX(SUM(EM93:EM94),)*Index!EL$48</f>
        <v>0</v>
      </c>
      <c r="EN95" s="920">
        <f ca="1">MAX(SUM(EN93:EN94),)*Index!EM$48</f>
        <v>0</v>
      </c>
      <c r="EO95" s="920">
        <f ca="1">MAX(SUM(EO93:EO94),)*Index!EN$48</f>
        <v>0</v>
      </c>
      <c r="EP95" s="920">
        <f ca="1">MAX(SUM(EP93:EP94),)*Index!EO$48</f>
        <v>0</v>
      </c>
      <c r="EQ95" s="920">
        <f ca="1">MAX(SUM(EQ93:EQ94),)*Index!EP$48</f>
        <v>0</v>
      </c>
      <c r="ER95" s="920">
        <f ca="1">MAX(SUM(ER93:ER94),)*Index!EQ$48</f>
        <v>0</v>
      </c>
    </row>
    <row r="96" spans="2:148" ht="11.25" customHeight="1" thickBot="1">
      <c r="B96" s="923"/>
      <c r="C96" s="924" t="s">
        <v>233</v>
      </c>
      <c r="D96" s="925"/>
      <c r="E96" s="925"/>
      <c r="F96" s="925"/>
      <c r="G96" s="925"/>
      <c r="H96" s="925"/>
      <c r="I96" s="926"/>
      <c r="J96" s="927"/>
      <c r="K96" s="928"/>
      <c r="L96" s="98"/>
      <c r="M96" s="922">
        <f ca="1">M93+M94-M95</f>
        <v>0</v>
      </c>
      <c r="N96" s="922">
        <f t="shared" ref="N96:BY96" ca="1" si="110">N93+N94-N95</f>
        <v>0</v>
      </c>
      <c r="O96" s="922">
        <f t="shared" ca="1" si="110"/>
        <v>0</v>
      </c>
      <c r="P96" s="922">
        <f t="shared" ca="1" si="110"/>
        <v>0</v>
      </c>
      <c r="Q96" s="922">
        <f t="shared" ca="1" si="110"/>
        <v>0</v>
      </c>
      <c r="R96" s="922">
        <f t="shared" ca="1" si="110"/>
        <v>0</v>
      </c>
      <c r="S96" s="922">
        <f t="shared" ca="1" si="110"/>
        <v>0</v>
      </c>
      <c r="T96" s="922">
        <f t="shared" ca="1" si="110"/>
        <v>0</v>
      </c>
      <c r="U96" s="922">
        <f t="shared" ca="1" si="110"/>
        <v>0</v>
      </c>
      <c r="V96" s="922">
        <f t="shared" ca="1" si="110"/>
        <v>0</v>
      </c>
      <c r="W96" s="922">
        <f t="shared" ca="1" si="110"/>
        <v>0</v>
      </c>
      <c r="X96" s="922">
        <f t="shared" ca="1" si="110"/>
        <v>0</v>
      </c>
      <c r="Y96" s="922">
        <f t="shared" ca="1" si="110"/>
        <v>0</v>
      </c>
      <c r="Z96" s="922">
        <f t="shared" ca="1" si="110"/>
        <v>0</v>
      </c>
      <c r="AA96" s="922">
        <f t="shared" ca="1" si="110"/>
        <v>0</v>
      </c>
      <c r="AB96" s="922">
        <f t="shared" ca="1" si="110"/>
        <v>0</v>
      </c>
      <c r="AC96" s="922">
        <f t="shared" ca="1" si="110"/>
        <v>0</v>
      </c>
      <c r="AD96" s="922">
        <f t="shared" ca="1" si="110"/>
        <v>0</v>
      </c>
      <c r="AE96" s="922">
        <f t="shared" ca="1" si="110"/>
        <v>-1554691.2224241244</v>
      </c>
      <c r="AF96" s="922">
        <f t="shared" ca="1" si="110"/>
        <v>-1554691.2224241244</v>
      </c>
      <c r="AG96" s="922">
        <f t="shared" ca="1" si="110"/>
        <v>-1554691.2224241244</v>
      </c>
      <c r="AH96" s="922">
        <f t="shared" ca="1" si="110"/>
        <v>-1554691.2224241244</v>
      </c>
      <c r="AI96" s="922">
        <f t="shared" ca="1" si="110"/>
        <v>-1554691.2224241244</v>
      </c>
      <c r="AJ96" s="922">
        <f t="shared" ca="1" si="110"/>
        <v>-1554691.2224241244</v>
      </c>
      <c r="AK96" s="922">
        <f t="shared" ca="1" si="110"/>
        <v>-2690715.4550063224</v>
      </c>
      <c r="AL96" s="922">
        <f t="shared" ca="1" si="110"/>
        <v>-2690715.4550063224</v>
      </c>
      <c r="AM96" s="922">
        <f t="shared" ca="1" si="110"/>
        <v>-2690715.4550063224</v>
      </c>
      <c r="AN96" s="922">
        <f t="shared" ca="1" si="110"/>
        <v>-2690715.4550063224</v>
      </c>
      <c r="AO96" s="922">
        <f t="shared" ca="1" si="110"/>
        <v>-2690715.4550063224</v>
      </c>
      <c r="AP96" s="922">
        <f t="shared" ca="1" si="110"/>
        <v>-2690715.4550063224</v>
      </c>
      <c r="AQ96" s="922">
        <f t="shared" ca="1" si="110"/>
        <v>-3885247.8817847506</v>
      </c>
      <c r="AR96" s="922">
        <f t="shared" ca="1" si="110"/>
        <v>-3885247.8817847506</v>
      </c>
      <c r="AS96" s="922">
        <f t="shared" ca="1" si="110"/>
        <v>-3885247.8817847506</v>
      </c>
      <c r="AT96" s="922">
        <f t="shared" ca="1" si="110"/>
        <v>-3885247.8817847506</v>
      </c>
      <c r="AU96" s="922">
        <f t="shared" ca="1" si="110"/>
        <v>-3885247.8817847506</v>
      </c>
      <c r="AV96" s="922">
        <f t="shared" ca="1" si="110"/>
        <v>-3885247.8817847506</v>
      </c>
      <c r="AW96" s="922">
        <f t="shared" ca="1" si="110"/>
        <v>-6600247.8817847501</v>
      </c>
      <c r="AX96" s="922">
        <f t="shared" ca="1" si="110"/>
        <v>-6600247.8817847501</v>
      </c>
      <c r="AY96" s="922">
        <f t="shared" ca="1" si="110"/>
        <v>-6600247.8817847501</v>
      </c>
      <c r="AZ96" s="922">
        <f t="shared" ca="1" si="110"/>
        <v>-6600247.8817847501</v>
      </c>
      <c r="BA96" s="922">
        <f t="shared" ca="1" si="110"/>
        <v>-6600247.8817847501</v>
      </c>
      <c r="BB96" s="922">
        <f t="shared" ca="1" si="110"/>
        <v>-6600247.8817847501</v>
      </c>
      <c r="BC96" s="922">
        <f t="shared" ca="1" si="110"/>
        <v>-9202719.8947260194</v>
      </c>
      <c r="BD96" s="922">
        <f t="shared" ca="1" si="110"/>
        <v>-9202719.8947260194</v>
      </c>
      <c r="BE96" s="922">
        <f t="shared" ca="1" si="110"/>
        <v>-9202719.8947260194</v>
      </c>
      <c r="BF96" s="922">
        <f t="shared" ca="1" si="110"/>
        <v>-9202719.8947260194</v>
      </c>
      <c r="BG96" s="922">
        <f t="shared" ca="1" si="110"/>
        <v>-9202719.8947260194</v>
      </c>
      <c r="BH96" s="922">
        <f t="shared" ca="1" si="110"/>
        <v>-9202719.8947260194</v>
      </c>
      <c r="BI96" s="922">
        <f t="shared" ca="1" si="110"/>
        <v>-10844090.498688849</v>
      </c>
      <c r="BJ96" s="922">
        <f t="shared" ca="1" si="110"/>
        <v>-10844090.498688849</v>
      </c>
      <c r="BK96" s="922">
        <f t="shared" ca="1" si="110"/>
        <v>-10844090.498688849</v>
      </c>
      <c r="BL96" s="922">
        <f t="shared" ca="1" si="110"/>
        <v>-10844090.498688849</v>
      </c>
      <c r="BM96" s="922">
        <f t="shared" ca="1" si="110"/>
        <v>-10844090.498688849</v>
      </c>
      <c r="BN96" s="922">
        <f t="shared" ca="1" si="110"/>
        <v>-10844090.498688849</v>
      </c>
      <c r="BO96" s="922">
        <f t="shared" ca="1" si="110"/>
        <v>-10731296.742742233</v>
      </c>
      <c r="BP96" s="922">
        <f t="shared" ca="1" si="110"/>
        <v>-10731296.742742233</v>
      </c>
      <c r="BQ96" s="922">
        <f t="shared" ca="1" si="110"/>
        <v>-10731296.742742233</v>
      </c>
      <c r="BR96" s="922">
        <f t="shared" ca="1" si="110"/>
        <v>-10731296.742742233</v>
      </c>
      <c r="BS96" s="922">
        <f t="shared" ca="1" si="110"/>
        <v>-10731296.742742233</v>
      </c>
      <c r="BT96" s="922">
        <f t="shared" ca="1" si="110"/>
        <v>-10731296.742742233</v>
      </c>
      <c r="BU96" s="922">
        <f t="shared" ca="1" si="110"/>
        <v>-10846929.395101778</v>
      </c>
      <c r="BV96" s="922">
        <f t="shared" ca="1" si="110"/>
        <v>-10846929.395101778</v>
      </c>
      <c r="BW96" s="922">
        <f t="shared" ca="1" si="110"/>
        <v>-10846929.395101778</v>
      </c>
      <c r="BX96" s="922">
        <f t="shared" ca="1" si="110"/>
        <v>-10846929.395101778</v>
      </c>
      <c r="BY96" s="922">
        <f t="shared" ca="1" si="110"/>
        <v>-10846929.395101778</v>
      </c>
      <c r="BZ96" s="922">
        <f t="shared" ref="BZ96:DT96" ca="1" si="111">BZ93+BZ94-BZ95</f>
        <v>-10846929.395101778</v>
      </c>
      <c r="CA96" s="922">
        <f t="shared" ca="1" si="111"/>
        <v>-10739065.389507029</v>
      </c>
      <c r="CB96" s="922">
        <f t="shared" ca="1" si="111"/>
        <v>-10739065.389507029</v>
      </c>
      <c r="CC96" s="922">
        <f t="shared" ca="1" si="111"/>
        <v>-10739065.389507029</v>
      </c>
      <c r="CD96" s="922">
        <f t="shared" ca="1" si="111"/>
        <v>-10739065.389507029</v>
      </c>
      <c r="CE96" s="922">
        <f t="shared" ca="1" si="111"/>
        <v>-10739065.389507029</v>
      </c>
      <c r="CF96" s="922">
        <f t="shared" ca="1" si="111"/>
        <v>-10739065.389507029</v>
      </c>
      <c r="CG96" s="922">
        <f t="shared" ca="1" si="111"/>
        <v>-10849827.695943456</v>
      </c>
      <c r="CH96" s="922">
        <f t="shared" ca="1" si="111"/>
        <v>-10849827.695943456</v>
      </c>
      <c r="CI96" s="922">
        <f t="shared" ca="1" si="111"/>
        <v>-10849827.695943456</v>
      </c>
      <c r="CJ96" s="922">
        <f t="shared" ca="1" si="111"/>
        <v>-10849827.695943456</v>
      </c>
      <c r="CK96" s="922">
        <f t="shared" ca="1" si="111"/>
        <v>-10849827.695943456</v>
      </c>
      <c r="CL96" s="922">
        <f t="shared" ca="1" si="111"/>
        <v>-10849827.695943456</v>
      </c>
      <c r="CM96" s="922">
        <f t="shared" ca="1" si="111"/>
        <v>-10746815.858740663</v>
      </c>
      <c r="CN96" s="922">
        <f t="shared" ca="1" si="111"/>
        <v>-10746815.858740663</v>
      </c>
      <c r="CO96" s="922">
        <f t="shared" ca="1" si="111"/>
        <v>-10746815.858740663</v>
      </c>
      <c r="CP96" s="922">
        <f t="shared" ca="1" si="111"/>
        <v>-10746815.858740663</v>
      </c>
      <c r="CQ96" s="922">
        <f t="shared" ca="1" si="111"/>
        <v>-10746815.858740663</v>
      </c>
      <c r="CR96" s="922">
        <f t="shared" ca="1" si="111"/>
        <v>-10746815.858740663</v>
      </c>
      <c r="CS96" s="922">
        <f t="shared" ca="1" si="111"/>
        <v>-10852786.623297356</v>
      </c>
      <c r="CT96" s="922">
        <f t="shared" ca="1" si="111"/>
        <v>-10852786.623297356</v>
      </c>
      <c r="CU96" s="922">
        <f t="shared" ca="1" si="111"/>
        <v>-10852786.623297356</v>
      </c>
      <c r="CV96" s="922">
        <f t="shared" ca="1" si="111"/>
        <v>-10852786.623297356</v>
      </c>
      <c r="CW96" s="922">
        <f t="shared" ca="1" si="111"/>
        <v>-10852786.623297356</v>
      </c>
      <c r="CX96" s="922">
        <f t="shared" ca="1" si="111"/>
        <v>-10852786.623297356</v>
      </c>
      <c r="CY96" s="922">
        <f t="shared" ca="1" si="111"/>
        <v>-10528259.681136448</v>
      </c>
      <c r="CZ96" s="922">
        <f t="shared" ca="1" si="111"/>
        <v>-10528259.681136448</v>
      </c>
      <c r="DA96" s="922">
        <f t="shared" ca="1" si="111"/>
        <v>-10528259.681136448</v>
      </c>
      <c r="DB96" s="922">
        <f t="shared" ca="1" si="111"/>
        <v>-10528259.681136448</v>
      </c>
      <c r="DC96" s="922">
        <f t="shared" ca="1" si="111"/>
        <v>-10528259.681136448</v>
      </c>
      <c r="DD96" s="922">
        <f t="shared" ca="1" si="111"/>
        <v>-10528259.681136448</v>
      </c>
      <c r="DE96" s="922">
        <f t="shared" ca="1" si="111"/>
        <v>-10695556.983839834</v>
      </c>
      <c r="DF96" s="922">
        <f t="shared" ca="1" si="111"/>
        <v>-10695556.983839834</v>
      </c>
      <c r="DG96" s="922">
        <f t="shared" ca="1" si="111"/>
        <v>-10695556.983839834</v>
      </c>
      <c r="DH96" s="922">
        <f t="shared" ca="1" si="111"/>
        <v>-10695556.983839834</v>
      </c>
      <c r="DI96" s="922">
        <f t="shared" ca="1" si="111"/>
        <v>-10695556.983839834</v>
      </c>
      <c r="DJ96" s="922">
        <f t="shared" ca="1" si="111"/>
        <v>-10695556.983839834</v>
      </c>
      <c r="DK96" s="922">
        <f t="shared" ca="1" si="111"/>
        <v>-10166508.998259105</v>
      </c>
      <c r="DL96" s="922">
        <f t="shared" ca="1" si="111"/>
        <v>-10166508.998259105</v>
      </c>
      <c r="DM96" s="922">
        <f t="shared" ca="1" si="111"/>
        <v>-10166508.998259105</v>
      </c>
      <c r="DN96" s="922">
        <f t="shared" ca="1" si="111"/>
        <v>-10166508.998259105</v>
      </c>
      <c r="DO96" s="922">
        <f t="shared" ca="1" si="111"/>
        <v>-10166508.998259105</v>
      </c>
      <c r="DP96" s="922">
        <f t="shared" ca="1" si="111"/>
        <v>-10166508.998259105</v>
      </c>
      <c r="DQ96" s="922">
        <f t="shared" ca="1" si="111"/>
        <v>-9422132.609803997</v>
      </c>
      <c r="DR96" s="922">
        <f t="shared" ca="1" si="111"/>
        <v>-9422132.609803997</v>
      </c>
      <c r="DS96" s="922">
        <f t="shared" ca="1" si="111"/>
        <v>-9422132.609803997</v>
      </c>
      <c r="DT96" s="922">
        <f t="shared" ca="1" si="111"/>
        <v>-9422132.609803997</v>
      </c>
      <c r="DU96" s="922">
        <f t="shared" ref="DU96:ER96" ca="1" si="112">DU93+DU94-DU95</f>
        <v>-9422132.609803997</v>
      </c>
      <c r="DV96" s="922">
        <f t="shared" ca="1" si="112"/>
        <v>-9422132.609803997</v>
      </c>
      <c r="DW96" s="922">
        <f t="shared" ca="1" si="112"/>
        <v>-8566279.6571320444</v>
      </c>
      <c r="DX96" s="922">
        <f t="shared" ca="1" si="112"/>
        <v>-8566279.6571320444</v>
      </c>
      <c r="DY96" s="922">
        <f t="shared" ca="1" si="112"/>
        <v>-8566279.6571320444</v>
      </c>
      <c r="DZ96" s="922">
        <f t="shared" ca="1" si="112"/>
        <v>-8566279.6571320444</v>
      </c>
      <c r="EA96" s="922">
        <f t="shared" ca="1" si="112"/>
        <v>-8566279.6571320444</v>
      </c>
      <c r="EB96" s="922">
        <f t="shared" ca="1" si="112"/>
        <v>-8566279.6571320444</v>
      </c>
      <c r="EC96" s="922">
        <f t="shared" ca="1" si="112"/>
        <v>-7583906.9650147511</v>
      </c>
      <c r="ED96" s="922">
        <f t="shared" ca="1" si="112"/>
        <v>-7583906.9650147511</v>
      </c>
      <c r="EE96" s="922">
        <f t="shared" ca="1" si="112"/>
        <v>-7583906.9650147511</v>
      </c>
      <c r="EF96" s="922">
        <f t="shared" ca="1" si="112"/>
        <v>-7583906.9650147511</v>
      </c>
      <c r="EG96" s="922">
        <f t="shared" ca="1" si="112"/>
        <v>-7583906.9650147511</v>
      </c>
      <c r="EH96" s="922">
        <f t="shared" ca="1" si="112"/>
        <v>-7583906.9650147511</v>
      </c>
      <c r="EI96" s="922">
        <f t="shared" ca="1" si="112"/>
        <v>-7583906.9650147511</v>
      </c>
      <c r="EJ96" s="922">
        <f t="shared" ca="1" si="112"/>
        <v>-7583906.9650147511</v>
      </c>
      <c r="EK96" s="922">
        <f t="shared" ca="1" si="112"/>
        <v>-7583906.9650147511</v>
      </c>
      <c r="EL96" s="922">
        <f t="shared" ca="1" si="112"/>
        <v>-7583906.9650147511</v>
      </c>
      <c r="EM96" s="922">
        <f t="shared" ca="1" si="112"/>
        <v>-7583906.9650147511</v>
      </c>
      <c r="EN96" s="922">
        <f t="shared" ca="1" si="112"/>
        <v>-7583906.9650147511</v>
      </c>
      <c r="EO96" s="922">
        <f t="shared" ca="1" si="112"/>
        <v>-7583906.9650147511</v>
      </c>
      <c r="EP96" s="922">
        <f t="shared" ca="1" si="112"/>
        <v>-7583906.9650147511</v>
      </c>
      <c r="EQ96" s="922">
        <f t="shared" ca="1" si="112"/>
        <v>-7583906.9650147511</v>
      </c>
      <c r="ER96" s="922">
        <f t="shared" ca="1" si="112"/>
        <v>-7583906.9650147511</v>
      </c>
    </row>
    <row r="97" spans="2:148" ht="11.25" customHeight="1" thickTop="1">
      <c r="B97" s="875" t="s">
        <v>621</v>
      </c>
      <c r="C97" s="876"/>
      <c r="D97" s="876"/>
      <c r="E97" s="876"/>
      <c r="F97" s="876"/>
      <c r="G97" s="876"/>
      <c r="H97" s="876"/>
      <c r="I97" s="877"/>
      <c r="J97" s="878"/>
      <c r="K97" s="919"/>
      <c r="M97" s="897"/>
      <c r="N97" s="897"/>
      <c r="O97" s="897"/>
      <c r="P97" s="897"/>
      <c r="Q97" s="897"/>
      <c r="R97" s="897"/>
      <c r="S97" s="897"/>
      <c r="T97" s="897"/>
      <c r="U97" s="897"/>
      <c r="V97" s="897"/>
      <c r="W97" s="897"/>
      <c r="X97" s="897"/>
      <c r="Y97" s="897"/>
      <c r="Z97" s="897"/>
      <c r="AA97" s="897"/>
      <c r="AB97" s="897"/>
      <c r="AC97" s="897"/>
      <c r="AD97" s="897"/>
      <c r="AE97" s="897"/>
      <c r="AF97" s="897"/>
      <c r="AG97" s="897"/>
      <c r="AH97" s="897"/>
      <c r="AI97" s="897"/>
      <c r="AJ97" s="897"/>
      <c r="AK97" s="897"/>
      <c r="AL97" s="897"/>
      <c r="AM97" s="897"/>
      <c r="AN97" s="897"/>
      <c r="AO97" s="897"/>
      <c r="AP97" s="897"/>
      <c r="AQ97" s="897"/>
      <c r="AR97" s="897"/>
      <c r="AS97" s="897"/>
      <c r="AT97" s="897"/>
      <c r="AU97" s="897"/>
      <c r="AV97" s="897"/>
      <c r="AW97" s="897"/>
      <c r="AX97" s="897"/>
      <c r="AY97" s="897"/>
      <c r="AZ97" s="897"/>
      <c r="BA97" s="897"/>
      <c r="BB97" s="897"/>
      <c r="BC97" s="897"/>
      <c r="BD97" s="897"/>
      <c r="BE97" s="897"/>
      <c r="BF97" s="897"/>
      <c r="BG97" s="897"/>
      <c r="BH97" s="897"/>
      <c r="BI97" s="897"/>
      <c r="BJ97" s="897"/>
      <c r="BK97" s="897"/>
      <c r="BL97" s="897"/>
      <c r="BM97" s="897"/>
      <c r="BN97" s="897"/>
      <c r="BO97" s="897"/>
      <c r="BP97" s="897"/>
      <c r="BQ97" s="897"/>
      <c r="BR97" s="897"/>
      <c r="BS97" s="897"/>
      <c r="BT97" s="897"/>
      <c r="BU97" s="897"/>
      <c r="BV97" s="897"/>
      <c r="BW97" s="897"/>
      <c r="BX97" s="897"/>
      <c r="BY97" s="897"/>
      <c r="BZ97" s="897"/>
      <c r="CA97" s="897"/>
      <c r="CB97" s="897"/>
      <c r="CC97" s="897"/>
      <c r="CD97" s="897"/>
      <c r="CE97" s="897"/>
      <c r="CF97" s="897"/>
      <c r="CG97" s="897"/>
      <c r="CH97" s="897"/>
      <c r="CI97" s="897"/>
      <c r="CJ97" s="897"/>
      <c r="CK97" s="897"/>
      <c r="CL97" s="897"/>
      <c r="CM97" s="897"/>
      <c r="CN97" s="897"/>
      <c r="CO97" s="897"/>
      <c r="CP97" s="897"/>
      <c r="CQ97" s="897"/>
      <c r="CR97" s="897"/>
      <c r="CS97" s="897"/>
      <c r="CT97" s="897"/>
      <c r="CU97" s="897"/>
      <c r="CV97" s="897"/>
      <c r="CW97" s="897"/>
      <c r="CX97" s="897"/>
      <c r="CY97" s="897"/>
      <c r="CZ97" s="897"/>
      <c r="DA97" s="897"/>
      <c r="DB97" s="897"/>
      <c r="DC97" s="897"/>
      <c r="DD97" s="897"/>
      <c r="DE97" s="897"/>
      <c r="DF97" s="897"/>
      <c r="DG97" s="897"/>
      <c r="DH97" s="897"/>
      <c r="DI97" s="897"/>
      <c r="DJ97" s="897"/>
      <c r="DK97" s="897"/>
      <c r="DL97" s="897"/>
      <c r="DM97" s="897"/>
      <c r="DN97" s="897"/>
      <c r="DO97" s="897"/>
      <c r="DP97" s="897"/>
      <c r="DQ97" s="897"/>
      <c r="DR97" s="897"/>
      <c r="DS97" s="897"/>
      <c r="DT97" s="897"/>
      <c r="DU97" s="897"/>
      <c r="DV97" s="897"/>
      <c r="DW97" s="897"/>
      <c r="DX97" s="897"/>
      <c r="DY97" s="897"/>
      <c r="DZ97" s="897"/>
      <c r="EA97" s="897"/>
      <c r="EB97" s="897"/>
      <c r="EC97" s="897"/>
      <c r="ED97" s="897"/>
      <c r="EE97" s="897"/>
      <c r="EF97" s="897"/>
      <c r="EG97" s="897"/>
      <c r="EH97" s="897"/>
      <c r="EI97" s="897"/>
      <c r="EJ97" s="897"/>
      <c r="EK97" s="897"/>
      <c r="EL97" s="897"/>
      <c r="EM97" s="897"/>
      <c r="EN97" s="897"/>
      <c r="EO97" s="897"/>
      <c r="EP97" s="897"/>
      <c r="EQ97" s="897"/>
      <c r="ER97" s="897"/>
    </row>
    <row r="98" spans="2:148" ht="11.25" customHeight="1">
      <c r="B98" s="218"/>
      <c r="C98" s="904" t="s">
        <v>230</v>
      </c>
      <c r="D98" s="905"/>
      <c r="E98" s="905"/>
      <c r="F98" s="905"/>
      <c r="G98" s="905"/>
      <c r="H98" s="905"/>
      <c r="I98" s="906"/>
      <c r="J98" s="907"/>
      <c r="K98" s="917"/>
      <c r="L98" s="98"/>
      <c r="M98" s="908">
        <f>L101</f>
        <v>0</v>
      </c>
      <c r="N98" s="908">
        <f t="shared" ref="N98:BY98" ca="1" si="113">M101</f>
        <v>0</v>
      </c>
      <c r="O98" s="908">
        <f t="shared" ca="1" si="113"/>
        <v>0</v>
      </c>
      <c r="P98" s="908">
        <f t="shared" ca="1" si="113"/>
        <v>0</v>
      </c>
      <c r="Q98" s="908">
        <f t="shared" ca="1" si="113"/>
        <v>0</v>
      </c>
      <c r="R98" s="908">
        <f t="shared" ca="1" si="113"/>
        <v>0</v>
      </c>
      <c r="S98" s="908">
        <f t="shared" ca="1" si="113"/>
        <v>0</v>
      </c>
      <c r="T98" s="908">
        <f t="shared" ca="1" si="113"/>
        <v>0</v>
      </c>
      <c r="U98" s="908">
        <f t="shared" ca="1" si="113"/>
        <v>0</v>
      </c>
      <c r="V98" s="908">
        <f t="shared" ca="1" si="113"/>
        <v>0</v>
      </c>
      <c r="W98" s="908">
        <f t="shared" ca="1" si="113"/>
        <v>0</v>
      </c>
      <c r="X98" s="908">
        <f t="shared" ca="1" si="113"/>
        <v>0</v>
      </c>
      <c r="Y98" s="908">
        <f t="shared" ca="1" si="113"/>
        <v>0</v>
      </c>
      <c r="Z98" s="908">
        <f t="shared" ca="1" si="113"/>
        <v>0</v>
      </c>
      <c r="AA98" s="908">
        <f t="shared" ca="1" si="113"/>
        <v>0</v>
      </c>
      <c r="AB98" s="908">
        <f t="shared" ca="1" si="113"/>
        <v>0</v>
      </c>
      <c r="AC98" s="908">
        <f t="shared" ca="1" si="113"/>
        <v>0</v>
      </c>
      <c r="AD98" s="908">
        <f t="shared" ca="1" si="113"/>
        <v>0</v>
      </c>
      <c r="AE98" s="908">
        <f t="shared" ca="1" si="113"/>
        <v>0</v>
      </c>
      <c r="AF98" s="908">
        <f t="shared" ca="1" si="113"/>
        <v>0</v>
      </c>
      <c r="AG98" s="908">
        <f t="shared" ca="1" si="113"/>
        <v>0</v>
      </c>
      <c r="AH98" s="908">
        <f t="shared" ca="1" si="113"/>
        <v>0</v>
      </c>
      <c r="AI98" s="908">
        <f t="shared" ca="1" si="113"/>
        <v>0</v>
      </c>
      <c r="AJ98" s="908">
        <f t="shared" ca="1" si="113"/>
        <v>0</v>
      </c>
      <c r="AK98" s="908">
        <f t="shared" ca="1" si="113"/>
        <v>0</v>
      </c>
      <c r="AL98" s="908">
        <f t="shared" ca="1" si="113"/>
        <v>0</v>
      </c>
      <c r="AM98" s="908">
        <f t="shared" ca="1" si="113"/>
        <v>0</v>
      </c>
      <c r="AN98" s="908">
        <f t="shared" ca="1" si="113"/>
        <v>0</v>
      </c>
      <c r="AO98" s="908">
        <f t="shared" ca="1" si="113"/>
        <v>0</v>
      </c>
      <c r="AP98" s="908">
        <f t="shared" ca="1" si="113"/>
        <v>0</v>
      </c>
      <c r="AQ98" s="908">
        <f t="shared" ca="1" si="113"/>
        <v>0</v>
      </c>
      <c r="AR98" s="908">
        <f t="shared" ca="1" si="113"/>
        <v>0</v>
      </c>
      <c r="AS98" s="908">
        <f t="shared" ca="1" si="113"/>
        <v>0</v>
      </c>
      <c r="AT98" s="908">
        <f t="shared" ca="1" si="113"/>
        <v>0</v>
      </c>
      <c r="AU98" s="908">
        <f t="shared" ca="1" si="113"/>
        <v>0</v>
      </c>
      <c r="AV98" s="908">
        <f t="shared" ca="1" si="113"/>
        <v>0</v>
      </c>
      <c r="AW98" s="908">
        <f t="shared" ca="1" si="113"/>
        <v>0</v>
      </c>
      <c r="AX98" s="908">
        <f t="shared" ca="1" si="113"/>
        <v>0</v>
      </c>
      <c r="AY98" s="908">
        <f t="shared" ca="1" si="113"/>
        <v>0</v>
      </c>
      <c r="AZ98" s="908">
        <f t="shared" ca="1" si="113"/>
        <v>0</v>
      </c>
      <c r="BA98" s="908">
        <f t="shared" ca="1" si="113"/>
        <v>0</v>
      </c>
      <c r="BB98" s="908">
        <f t="shared" ca="1" si="113"/>
        <v>0</v>
      </c>
      <c r="BC98" s="908">
        <f t="shared" ca="1" si="113"/>
        <v>0</v>
      </c>
      <c r="BD98" s="908">
        <f t="shared" ca="1" si="113"/>
        <v>0</v>
      </c>
      <c r="BE98" s="908">
        <f t="shared" ca="1" si="113"/>
        <v>0</v>
      </c>
      <c r="BF98" s="908">
        <f t="shared" ca="1" si="113"/>
        <v>0</v>
      </c>
      <c r="BG98" s="908">
        <f t="shared" ca="1" si="113"/>
        <v>0</v>
      </c>
      <c r="BH98" s="908">
        <f t="shared" ca="1" si="113"/>
        <v>0</v>
      </c>
      <c r="BI98" s="908">
        <f t="shared" ca="1" si="113"/>
        <v>0</v>
      </c>
      <c r="BJ98" s="908">
        <f t="shared" ca="1" si="113"/>
        <v>0</v>
      </c>
      <c r="BK98" s="908">
        <f t="shared" ca="1" si="113"/>
        <v>0</v>
      </c>
      <c r="BL98" s="908">
        <f t="shared" ca="1" si="113"/>
        <v>0</v>
      </c>
      <c r="BM98" s="908">
        <f t="shared" ca="1" si="113"/>
        <v>0</v>
      </c>
      <c r="BN98" s="908">
        <f t="shared" ca="1" si="113"/>
        <v>0</v>
      </c>
      <c r="BO98" s="908">
        <f t="shared" ca="1" si="113"/>
        <v>0</v>
      </c>
      <c r="BP98" s="908">
        <f t="shared" ca="1" si="113"/>
        <v>0</v>
      </c>
      <c r="BQ98" s="908">
        <f t="shared" ca="1" si="113"/>
        <v>0</v>
      </c>
      <c r="BR98" s="908">
        <f t="shared" ca="1" si="113"/>
        <v>0</v>
      </c>
      <c r="BS98" s="908">
        <f t="shared" ca="1" si="113"/>
        <v>0</v>
      </c>
      <c r="BT98" s="908">
        <f t="shared" ca="1" si="113"/>
        <v>0</v>
      </c>
      <c r="BU98" s="908">
        <f t="shared" ca="1" si="113"/>
        <v>0</v>
      </c>
      <c r="BV98" s="908">
        <f t="shared" ca="1" si="113"/>
        <v>0</v>
      </c>
      <c r="BW98" s="908">
        <f t="shared" ca="1" si="113"/>
        <v>0</v>
      </c>
      <c r="BX98" s="908">
        <f t="shared" ca="1" si="113"/>
        <v>0</v>
      </c>
      <c r="BY98" s="908">
        <f t="shared" ca="1" si="113"/>
        <v>0</v>
      </c>
      <c r="BZ98" s="908">
        <f t="shared" ref="BZ98:DT98" ca="1" si="114">BY101</f>
        <v>0</v>
      </c>
      <c r="CA98" s="908">
        <f t="shared" ca="1" si="114"/>
        <v>0</v>
      </c>
      <c r="CB98" s="908">
        <f t="shared" ca="1" si="114"/>
        <v>0</v>
      </c>
      <c r="CC98" s="908">
        <f t="shared" ca="1" si="114"/>
        <v>0</v>
      </c>
      <c r="CD98" s="908">
        <f t="shared" ca="1" si="114"/>
        <v>0</v>
      </c>
      <c r="CE98" s="908">
        <f t="shared" ca="1" si="114"/>
        <v>0</v>
      </c>
      <c r="CF98" s="908">
        <f t="shared" ca="1" si="114"/>
        <v>0</v>
      </c>
      <c r="CG98" s="908">
        <f t="shared" ca="1" si="114"/>
        <v>0</v>
      </c>
      <c r="CH98" s="908">
        <f t="shared" ca="1" si="114"/>
        <v>0</v>
      </c>
      <c r="CI98" s="908">
        <f t="shared" ca="1" si="114"/>
        <v>0</v>
      </c>
      <c r="CJ98" s="908">
        <f t="shared" ca="1" si="114"/>
        <v>0</v>
      </c>
      <c r="CK98" s="908">
        <f t="shared" ca="1" si="114"/>
        <v>0</v>
      </c>
      <c r="CL98" s="908">
        <f t="shared" ca="1" si="114"/>
        <v>0</v>
      </c>
      <c r="CM98" s="908">
        <f t="shared" ca="1" si="114"/>
        <v>0</v>
      </c>
      <c r="CN98" s="908">
        <f t="shared" ca="1" si="114"/>
        <v>0</v>
      </c>
      <c r="CO98" s="908">
        <f t="shared" ca="1" si="114"/>
        <v>0</v>
      </c>
      <c r="CP98" s="908">
        <f t="shared" ca="1" si="114"/>
        <v>0</v>
      </c>
      <c r="CQ98" s="908">
        <f t="shared" ca="1" si="114"/>
        <v>0</v>
      </c>
      <c r="CR98" s="908">
        <f t="shared" ca="1" si="114"/>
        <v>0</v>
      </c>
      <c r="CS98" s="908">
        <f t="shared" ca="1" si="114"/>
        <v>0</v>
      </c>
      <c r="CT98" s="908">
        <f t="shared" ca="1" si="114"/>
        <v>0</v>
      </c>
      <c r="CU98" s="908">
        <f t="shared" ca="1" si="114"/>
        <v>0</v>
      </c>
      <c r="CV98" s="908">
        <f t="shared" ca="1" si="114"/>
        <v>0</v>
      </c>
      <c r="CW98" s="908">
        <f t="shared" ca="1" si="114"/>
        <v>0</v>
      </c>
      <c r="CX98" s="908">
        <f t="shared" ca="1" si="114"/>
        <v>0</v>
      </c>
      <c r="CY98" s="908">
        <f t="shared" ca="1" si="114"/>
        <v>0</v>
      </c>
      <c r="CZ98" s="908">
        <f t="shared" ca="1" si="114"/>
        <v>0</v>
      </c>
      <c r="DA98" s="908">
        <f t="shared" ca="1" si="114"/>
        <v>0</v>
      </c>
      <c r="DB98" s="908">
        <f t="shared" ca="1" si="114"/>
        <v>0</v>
      </c>
      <c r="DC98" s="908">
        <f t="shared" ca="1" si="114"/>
        <v>0</v>
      </c>
      <c r="DD98" s="908">
        <f t="shared" ca="1" si="114"/>
        <v>0</v>
      </c>
      <c r="DE98" s="908">
        <f t="shared" ca="1" si="114"/>
        <v>0</v>
      </c>
      <c r="DF98" s="908">
        <f t="shared" ca="1" si="114"/>
        <v>0</v>
      </c>
      <c r="DG98" s="908">
        <f t="shared" ca="1" si="114"/>
        <v>0</v>
      </c>
      <c r="DH98" s="908">
        <f t="shared" ca="1" si="114"/>
        <v>0</v>
      </c>
      <c r="DI98" s="908">
        <f t="shared" ca="1" si="114"/>
        <v>0</v>
      </c>
      <c r="DJ98" s="908">
        <f t="shared" ca="1" si="114"/>
        <v>0</v>
      </c>
      <c r="DK98" s="908">
        <f t="shared" ca="1" si="114"/>
        <v>0</v>
      </c>
      <c r="DL98" s="908">
        <f t="shared" ca="1" si="114"/>
        <v>0</v>
      </c>
      <c r="DM98" s="908">
        <f t="shared" ca="1" si="114"/>
        <v>0</v>
      </c>
      <c r="DN98" s="908">
        <f t="shared" ca="1" si="114"/>
        <v>0</v>
      </c>
      <c r="DO98" s="908">
        <f t="shared" ca="1" si="114"/>
        <v>0</v>
      </c>
      <c r="DP98" s="908">
        <f t="shared" ca="1" si="114"/>
        <v>0</v>
      </c>
      <c r="DQ98" s="908">
        <f t="shared" ca="1" si="114"/>
        <v>0</v>
      </c>
      <c r="DR98" s="908">
        <f t="shared" ca="1" si="114"/>
        <v>0</v>
      </c>
      <c r="DS98" s="908">
        <f t="shared" ca="1" si="114"/>
        <v>0</v>
      </c>
      <c r="DT98" s="908">
        <f t="shared" ca="1" si="114"/>
        <v>0</v>
      </c>
      <c r="DU98" s="908">
        <f t="shared" ref="DU98:ER98" ca="1" si="115">DT101</f>
        <v>0</v>
      </c>
      <c r="DV98" s="908">
        <f t="shared" ca="1" si="115"/>
        <v>0</v>
      </c>
      <c r="DW98" s="908">
        <f t="shared" ca="1" si="115"/>
        <v>0</v>
      </c>
      <c r="DX98" s="908">
        <f t="shared" ca="1" si="115"/>
        <v>0</v>
      </c>
      <c r="DY98" s="908">
        <f t="shared" ca="1" si="115"/>
        <v>0</v>
      </c>
      <c r="DZ98" s="908">
        <f t="shared" ca="1" si="115"/>
        <v>0</v>
      </c>
      <c r="EA98" s="908">
        <f t="shared" ca="1" si="115"/>
        <v>0</v>
      </c>
      <c r="EB98" s="908">
        <f t="shared" ca="1" si="115"/>
        <v>0</v>
      </c>
      <c r="EC98" s="908">
        <f t="shared" ca="1" si="115"/>
        <v>0</v>
      </c>
      <c r="ED98" s="908">
        <f t="shared" ca="1" si="115"/>
        <v>0</v>
      </c>
      <c r="EE98" s="908">
        <f t="shared" ca="1" si="115"/>
        <v>0</v>
      </c>
      <c r="EF98" s="908">
        <f t="shared" ca="1" si="115"/>
        <v>0</v>
      </c>
      <c r="EG98" s="908">
        <f t="shared" ca="1" si="115"/>
        <v>0</v>
      </c>
      <c r="EH98" s="908">
        <f t="shared" ca="1" si="115"/>
        <v>0</v>
      </c>
      <c r="EI98" s="908">
        <f t="shared" ca="1" si="115"/>
        <v>0</v>
      </c>
      <c r="EJ98" s="908">
        <f t="shared" ca="1" si="115"/>
        <v>0</v>
      </c>
      <c r="EK98" s="908">
        <f t="shared" ca="1" si="115"/>
        <v>0</v>
      </c>
      <c r="EL98" s="908">
        <f t="shared" ca="1" si="115"/>
        <v>0</v>
      </c>
      <c r="EM98" s="908">
        <f t="shared" ca="1" si="115"/>
        <v>0</v>
      </c>
      <c r="EN98" s="908">
        <f t="shared" ca="1" si="115"/>
        <v>0</v>
      </c>
      <c r="EO98" s="908">
        <f t="shared" ca="1" si="115"/>
        <v>0</v>
      </c>
      <c r="EP98" s="908">
        <f t="shared" ca="1" si="115"/>
        <v>0</v>
      </c>
      <c r="EQ98" s="908">
        <f t="shared" ca="1" si="115"/>
        <v>0</v>
      </c>
      <c r="ER98" s="908">
        <f t="shared" ca="1" si="115"/>
        <v>0</v>
      </c>
    </row>
    <row r="99" spans="2:148" ht="11.25" customHeight="1">
      <c r="B99" s="218"/>
      <c r="C99" s="911" t="s">
        <v>231</v>
      </c>
      <c r="D99" s="912"/>
      <c r="E99" s="912"/>
      <c r="F99" s="912"/>
      <c r="G99" s="912"/>
      <c r="H99" s="912"/>
      <c r="I99" s="913"/>
      <c r="J99" s="914"/>
      <c r="K99" s="918">
        <f ca="1">SUM(M99:ER99)</f>
        <v>0</v>
      </c>
      <c r="L99" s="98"/>
      <c r="M99" s="920">
        <f ca="1">M89-M94</f>
        <v>0</v>
      </c>
      <c r="N99" s="920">
        <f t="shared" ref="N99:BY99" ca="1" si="116">N89-N94</f>
        <v>0</v>
      </c>
      <c r="O99" s="920">
        <f t="shared" ca="1" si="116"/>
        <v>0</v>
      </c>
      <c r="P99" s="920">
        <f t="shared" ca="1" si="116"/>
        <v>0</v>
      </c>
      <c r="Q99" s="920">
        <f t="shared" ca="1" si="116"/>
        <v>0</v>
      </c>
      <c r="R99" s="920">
        <f t="shared" ca="1" si="116"/>
        <v>0</v>
      </c>
      <c r="S99" s="920">
        <f t="shared" ca="1" si="116"/>
        <v>0</v>
      </c>
      <c r="T99" s="920">
        <f t="shared" ca="1" si="116"/>
        <v>0</v>
      </c>
      <c r="U99" s="920">
        <f t="shared" ca="1" si="116"/>
        <v>0</v>
      </c>
      <c r="V99" s="920">
        <f t="shared" ca="1" si="116"/>
        <v>0</v>
      </c>
      <c r="W99" s="920">
        <f t="shared" ca="1" si="116"/>
        <v>0</v>
      </c>
      <c r="X99" s="920">
        <f t="shared" ca="1" si="116"/>
        <v>0</v>
      </c>
      <c r="Y99" s="920">
        <f t="shared" ca="1" si="116"/>
        <v>0</v>
      </c>
      <c r="Z99" s="920">
        <f t="shared" ca="1" si="116"/>
        <v>0</v>
      </c>
      <c r="AA99" s="920">
        <f t="shared" ca="1" si="116"/>
        <v>0</v>
      </c>
      <c r="AB99" s="920">
        <f t="shared" ca="1" si="116"/>
        <v>0</v>
      </c>
      <c r="AC99" s="920">
        <f t="shared" ca="1" si="116"/>
        <v>0</v>
      </c>
      <c r="AD99" s="920">
        <f t="shared" ca="1" si="116"/>
        <v>0</v>
      </c>
      <c r="AE99" s="920">
        <f t="shared" ca="1" si="116"/>
        <v>0</v>
      </c>
      <c r="AF99" s="920">
        <f t="shared" ca="1" si="116"/>
        <v>0</v>
      </c>
      <c r="AG99" s="920">
        <f t="shared" ca="1" si="116"/>
        <v>0</v>
      </c>
      <c r="AH99" s="920">
        <f t="shared" ca="1" si="116"/>
        <v>0</v>
      </c>
      <c r="AI99" s="920">
        <f t="shared" ca="1" si="116"/>
        <v>0</v>
      </c>
      <c r="AJ99" s="920">
        <f t="shared" ca="1" si="116"/>
        <v>0</v>
      </c>
      <c r="AK99" s="920">
        <f t="shared" ca="1" si="116"/>
        <v>0</v>
      </c>
      <c r="AL99" s="920">
        <f t="shared" ca="1" si="116"/>
        <v>0</v>
      </c>
      <c r="AM99" s="920">
        <f t="shared" ca="1" si="116"/>
        <v>0</v>
      </c>
      <c r="AN99" s="920">
        <f t="shared" ca="1" si="116"/>
        <v>0</v>
      </c>
      <c r="AO99" s="920">
        <f t="shared" ca="1" si="116"/>
        <v>0</v>
      </c>
      <c r="AP99" s="920">
        <f t="shared" ca="1" si="116"/>
        <v>0</v>
      </c>
      <c r="AQ99" s="920">
        <f t="shared" ca="1" si="116"/>
        <v>0</v>
      </c>
      <c r="AR99" s="920">
        <f t="shared" ca="1" si="116"/>
        <v>0</v>
      </c>
      <c r="AS99" s="920">
        <f t="shared" ca="1" si="116"/>
        <v>0</v>
      </c>
      <c r="AT99" s="920">
        <f t="shared" ca="1" si="116"/>
        <v>0</v>
      </c>
      <c r="AU99" s="920">
        <f t="shared" ca="1" si="116"/>
        <v>0</v>
      </c>
      <c r="AV99" s="920">
        <f t="shared" ca="1" si="116"/>
        <v>0</v>
      </c>
      <c r="AW99" s="920">
        <f t="shared" ca="1" si="116"/>
        <v>0</v>
      </c>
      <c r="AX99" s="920">
        <f t="shared" ca="1" si="116"/>
        <v>0</v>
      </c>
      <c r="AY99" s="920">
        <f t="shared" ca="1" si="116"/>
        <v>0</v>
      </c>
      <c r="AZ99" s="920">
        <f t="shared" ca="1" si="116"/>
        <v>0</v>
      </c>
      <c r="BA99" s="920">
        <f t="shared" ca="1" si="116"/>
        <v>0</v>
      </c>
      <c r="BB99" s="920">
        <f t="shared" ca="1" si="116"/>
        <v>0</v>
      </c>
      <c r="BC99" s="920">
        <f t="shared" ca="1" si="116"/>
        <v>0</v>
      </c>
      <c r="BD99" s="920">
        <f t="shared" ca="1" si="116"/>
        <v>0</v>
      </c>
      <c r="BE99" s="920">
        <f t="shared" ca="1" si="116"/>
        <v>0</v>
      </c>
      <c r="BF99" s="920">
        <f t="shared" ca="1" si="116"/>
        <v>0</v>
      </c>
      <c r="BG99" s="920">
        <f t="shared" ca="1" si="116"/>
        <v>0</v>
      </c>
      <c r="BH99" s="920">
        <f t="shared" ca="1" si="116"/>
        <v>0</v>
      </c>
      <c r="BI99" s="920">
        <f t="shared" ca="1" si="116"/>
        <v>0</v>
      </c>
      <c r="BJ99" s="920">
        <f t="shared" ca="1" si="116"/>
        <v>0</v>
      </c>
      <c r="BK99" s="920">
        <f t="shared" ca="1" si="116"/>
        <v>0</v>
      </c>
      <c r="BL99" s="920">
        <f t="shared" ca="1" si="116"/>
        <v>0</v>
      </c>
      <c r="BM99" s="920">
        <f t="shared" ca="1" si="116"/>
        <v>0</v>
      </c>
      <c r="BN99" s="920">
        <f t="shared" ca="1" si="116"/>
        <v>0</v>
      </c>
      <c r="BO99" s="920">
        <f t="shared" ca="1" si="116"/>
        <v>0</v>
      </c>
      <c r="BP99" s="920">
        <f t="shared" ca="1" si="116"/>
        <v>0</v>
      </c>
      <c r="BQ99" s="920">
        <f t="shared" ca="1" si="116"/>
        <v>0</v>
      </c>
      <c r="BR99" s="920">
        <f t="shared" ca="1" si="116"/>
        <v>0</v>
      </c>
      <c r="BS99" s="920">
        <f t="shared" ca="1" si="116"/>
        <v>0</v>
      </c>
      <c r="BT99" s="920">
        <f t="shared" ca="1" si="116"/>
        <v>0</v>
      </c>
      <c r="BU99" s="920">
        <f t="shared" ca="1" si="116"/>
        <v>0</v>
      </c>
      <c r="BV99" s="920">
        <f t="shared" ca="1" si="116"/>
        <v>0</v>
      </c>
      <c r="BW99" s="920">
        <f t="shared" ca="1" si="116"/>
        <v>0</v>
      </c>
      <c r="BX99" s="920">
        <f t="shared" ca="1" si="116"/>
        <v>0</v>
      </c>
      <c r="BY99" s="920">
        <f t="shared" ca="1" si="116"/>
        <v>0</v>
      </c>
      <c r="BZ99" s="920">
        <f t="shared" ref="BZ99:DT99" ca="1" si="117">BZ89-BZ94</f>
        <v>0</v>
      </c>
      <c r="CA99" s="920">
        <f t="shared" ca="1" si="117"/>
        <v>0</v>
      </c>
      <c r="CB99" s="920">
        <f t="shared" ca="1" si="117"/>
        <v>0</v>
      </c>
      <c r="CC99" s="920">
        <f t="shared" ca="1" si="117"/>
        <v>0</v>
      </c>
      <c r="CD99" s="920">
        <f t="shared" ca="1" si="117"/>
        <v>0</v>
      </c>
      <c r="CE99" s="920">
        <f t="shared" ca="1" si="117"/>
        <v>0</v>
      </c>
      <c r="CF99" s="920">
        <f t="shared" ca="1" si="117"/>
        <v>0</v>
      </c>
      <c r="CG99" s="920">
        <f t="shared" ca="1" si="117"/>
        <v>0</v>
      </c>
      <c r="CH99" s="920">
        <f t="shared" ca="1" si="117"/>
        <v>0</v>
      </c>
      <c r="CI99" s="920">
        <f t="shared" ca="1" si="117"/>
        <v>0</v>
      </c>
      <c r="CJ99" s="920">
        <f t="shared" ca="1" si="117"/>
        <v>0</v>
      </c>
      <c r="CK99" s="920">
        <f t="shared" ca="1" si="117"/>
        <v>0</v>
      </c>
      <c r="CL99" s="920">
        <f t="shared" ca="1" si="117"/>
        <v>0</v>
      </c>
      <c r="CM99" s="920">
        <f t="shared" ca="1" si="117"/>
        <v>0</v>
      </c>
      <c r="CN99" s="920">
        <f t="shared" ca="1" si="117"/>
        <v>0</v>
      </c>
      <c r="CO99" s="920">
        <f t="shared" ca="1" si="117"/>
        <v>0</v>
      </c>
      <c r="CP99" s="920">
        <f t="shared" ca="1" si="117"/>
        <v>0</v>
      </c>
      <c r="CQ99" s="920">
        <f t="shared" ca="1" si="117"/>
        <v>0</v>
      </c>
      <c r="CR99" s="920">
        <f t="shared" ca="1" si="117"/>
        <v>0</v>
      </c>
      <c r="CS99" s="920">
        <f t="shared" ca="1" si="117"/>
        <v>0</v>
      </c>
      <c r="CT99" s="920">
        <f t="shared" ca="1" si="117"/>
        <v>0</v>
      </c>
      <c r="CU99" s="920">
        <f t="shared" ca="1" si="117"/>
        <v>0</v>
      </c>
      <c r="CV99" s="920">
        <f t="shared" ca="1" si="117"/>
        <v>0</v>
      </c>
      <c r="CW99" s="920">
        <f t="shared" ca="1" si="117"/>
        <v>0</v>
      </c>
      <c r="CX99" s="920">
        <f t="shared" ca="1" si="117"/>
        <v>0</v>
      </c>
      <c r="CY99" s="920">
        <f t="shared" ca="1" si="117"/>
        <v>0</v>
      </c>
      <c r="CZ99" s="920">
        <f t="shared" ca="1" si="117"/>
        <v>0</v>
      </c>
      <c r="DA99" s="920">
        <f t="shared" ca="1" si="117"/>
        <v>0</v>
      </c>
      <c r="DB99" s="920">
        <f t="shared" ca="1" si="117"/>
        <v>0</v>
      </c>
      <c r="DC99" s="920">
        <f t="shared" ca="1" si="117"/>
        <v>0</v>
      </c>
      <c r="DD99" s="920">
        <f t="shared" ca="1" si="117"/>
        <v>0</v>
      </c>
      <c r="DE99" s="920">
        <f t="shared" ca="1" si="117"/>
        <v>0</v>
      </c>
      <c r="DF99" s="920">
        <f t="shared" ca="1" si="117"/>
        <v>0</v>
      </c>
      <c r="DG99" s="920">
        <f t="shared" ca="1" si="117"/>
        <v>0</v>
      </c>
      <c r="DH99" s="920">
        <f t="shared" ca="1" si="117"/>
        <v>0</v>
      </c>
      <c r="DI99" s="920">
        <f t="shared" ca="1" si="117"/>
        <v>0</v>
      </c>
      <c r="DJ99" s="920">
        <f t="shared" ca="1" si="117"/>
        <v>0</v>
      </c>
      <c r="DK99" s="920">
        <f t="shared" ca="1" si="117"/>
        <v>0</v>
      </c>
      <c r="DL99" s="920">
        <f t="shared" ca="1" si="117"/>
        <v>0</v>
      </c>
      <c r="DM99" s="920">
        <f t="shared" ca="1" si="117"/>
        <v>0</v>
      </c>
      <c r="DN99" s="920">
        <f t="shared" ca="1" si="117"/>
        <v>0</v>
      </c>
      <c r="DO99" s="920">
        <f t="shared" ca="1" si="117"/>
        <v>0</v>
      </c>
      <c r="DP99" s="920">
        <f t="shared" ca="1" si="117"/>
        <v>0</v>
      </c>
      <c r="DQ99" s="920">
        <f t="shared" ca="1" si="117"/>
        <v>0</v>
      </c>
      <c r="DR99" s="920">
        <f t="shared" ca="1" si="117"/>
        <v>0</v>
      </c>
      <c r="DS99" s="920">
        <f t="shared" ca="1" si="117"/>
        <v>0</v>
      </c>
      <c r="DT99" s="920">
        <f t="shared" ca="1" si="117"/>
        <v>0</v>
      </c>
      <c r="DU99" s="920">
        <f t="shared" ref="DU99:ER99" ca="1" si="118">DU89-DU94</f>
        <v>0</v>
      </c>
      <c r="DV99" s="920">
        <f t="shared" ca="1" si="118"/>
        <v>0</v>
      </c>
      <c r="DW99" s="920">
        <f t="shared" ca="1" si="118"/>
        <v>0</v>
      </c>
      <c r="DX99" s="920">
        <f t="shared" ca="1" si="118"/>
        <v>0</v>
      </c>
      <c r="DY99" s="920">
        <f t="shared" ca="1" si="118"/>
        <v>0</v>
      </c>
      <c r="DZ99" s="920">
        <f t="shared" ca="1" si="118"/>
        <v>0</v>
      </c>
      <c r="EA99" s="920">
        <f t="shared" ca="1" si="118"/>
        <v>0</v>
      </c>
      <c r="EB99" s="920">
        <f t="shared" ca="1" si="118"/>
        <v>0</v>
      </c>
      <c r="EC99" s="920">
        <f t="shared" ca="1" si="118"/>
        <v>0</v>
      </c>
      <c r="ED99" s="920">
        <f t="shared" ca="1" si="118"/>
        <v>0</v>
      </c>
      <c r="EE99" s="920">
        <f t="shared" ca="1" si="118"/>
        <v>0</v>
      </c>
      <c r="EF99" s="920">
        <f t="shared" ca="1" si="118"/>
        <v>0</v>
      </c>
      <c r="EG99" s="920">
        <f t="shared" ca="1" si="118"/>
        <v>0</v>
      </c>
      <c r="EH99" s="920">
        <f t="shared" ca="1" si="118"/>
        <v>0</v>
      </c>
      <c r="EI99" s="920">
        <f t="shared" ca="1" si="118"/>
        <v>0</v>
      </c>
      <c r="EJ99" s="920">
        <f t="shared" ca="1" si="118"/>
        <v>0</v>
      </c>
      <c r="EK99" s="920">
        <f t="shared" ca="1" si="118"/>
        <v>0</v>
      </c>
      <c r="EL99" s="920">
        <f t="shared" ca="1" si="118"/>
        <v>0</v>
      </c>
      <c r="EM99" s="920">
        <f t="shared" ca="1" si="118"/>
        <v>0</v>
      </c>
      <c r="EN99" s="920">
        <f t="shared" ca="1" si="118"/>
        <v>0</v>
      </c>
      <c r="EO99" s="920">
        <f t="shared" ca="1" si="118"/>
        <v>0</v>
      </c>
      <c r="EP99" s="920">
        <f t="shared" ca="1" si="118"/>
        <v>0</v>
      </c>
      <c r="EQ99" s="920">
        <f t="shared" ca="1" si="118"/>
        <v>0</v>
      </c>
      <c r="ER99" s="920">
        <f t="shared" ca="1" si="118"/>
        <v>0</v>
      </c>
    </row>
    <row r="100" spans="2:148" ht="11.25" customHeight="1">
      <c r="B100" s="218"/>
      <c r="C100" s="911" t="s">
        <v>232</v>
      </c>
      <c r="D100" s="912"/>
      <c r="E100" s="912"/>
      <c r="F100" s="912"/>
      <c r="G100" s="912"/>
      <c r="H100" s="912"/>
      <c r="I100" s="913"/>
      <c r="J100" s="914"/>
      <c r="K100" s="918">
        <f ca="1">SUM(M100:ER100)</f>
        <v>0</v>
      </c>
      <c r="L100" s="98"/>
      <c r="M100" s="920">
        <f ca="1">M99</f>
        <v>0</v>
      </c>
      <c r="N100" s="920">
        <f t="shared" ref="N100:BY100" ca="1" si="119">N99</f>
        <v>0</v>
      </c>
      <c r="O100" s="920">
        <f t="shared" ca="1" si="119"/>
        <v>0</v>
      </c>
      <c r="P100" s="920">
        <f t="shared" ca="1" si="119"/>
        <v>0</v>
      </c>
      <c r="Q100" s="920">
        <f t="shared" ca="1" si="119"/>
        <v>0</v>
      </c>
      <c r="R100" s="920">
        <f t="shared" ca="1" si="119"/>
        <v>0</v>
      </c>
      <c r="S100" s="920">
        <f t="shared" ca="1" si="119"/>
        <v>0</v>
      </c>
      <c r="T100" s="920">
        <f t="shared" ca="1" si="119"/>
        <v>0</v>
      </c>
      <c r="U100" s="920">
        <f t="shared" ca="1" si="119"/>
        <v>0</v>
      </c>
      <c r="V100" s="920">
        <f t="shared" ca="1" si="119"/>
        <v>0</v>
      </c>
      <c r="W100" s="920">
        <f t="shared" ca="1" si="119"/>
        <v>0</v>
      </c>
      <c r="X100" s="920">
        <f t="shared" ca="1" si="119"/>
        <v>0</v>
      </c>
      <c r="Y100" s="920">
        <f t="shared" ca="1" si="119"/>
        <v>0</v>
      </c>
      <c r="Z100" s="920">
        <f t="shared" ca="1" si="119"/>
        <v>0</v>
      </c>
      <c r="AA100" s="920">
        <f t="shared" ca="1" si="119"/>
        <v>0</v>
      </c>
      <c r="AB100" s="920">
        <f t="shared" ca="1" si="119"/>
        <v>0</v>
      </c>
      <c r="AC100" s="920">
        <f t="shared" ca="1" si="119"/>
        <v>0</v>
      </c>
      <c r="AD100" s="920">
        <f t="shared" ca="1" si="119"/>
        <v>0</v>
      </c>
      <c r="AE100" s="920">
        <f t="shared" ca="1" si="119"/>
        <v>0</v>
      </c>
      <c r="AF100" s="920">
        <f t="shared" ca="1" si="119"/>
        <v>0</v>
      </c>
      <c r="AG100" s="920">
        <f t="shared" ca="1" si="119"/>
        <v>0</v>
      </c>
      <c r="AH100" s="920">
        <f t="shared" ca="1" si="119"/>
        <v>0</v>
      </c>
      <c r="AI100" s="920">
        <f t="shared" ca="1" si="119"/>
        <v>0</v>
      </c>
      <c r="AJ100" s="920">
        <f t="shared" ca="1" si="119"/>
        <v>0</v>
      </c>
      <c r="AK100" s="920">
        <f t="shared" ca="1" si="119"/>
        <v>0</v>
      </c>
      <c r="AL100" s="920">
        <f t="shared" ca="1" si="119"/>
        <v>0</v>
      </c>
      <c r="AM100" s="920">
        <f t="shared" ca="1" si="119"/>
        <v>0</v>
      </c>
      <c r="AN100" s="920">
        <f t="shared" ca="1" si="119"/>
        <v>0</v>
      </c>
      <c r="AO100" s="920">
        <f t="shared" ca="1" si="119"/>
        <v>0</v>
      </c>
      <c r="AP100" s="920">
        <f t="shared" ca="1" si="119"/>
        <v>0</v>
      </c>
      <c r="AQ100" s="920">
        <f t="shared" ca="1" si="119"/>
        <v>0</v>
      </c>
      <c r="AR100" s="920">
        <f t="shared" ca="1" si="119"/>
        <v>0</v>
      </c>
      <c r="AS100" s="920">
        <f t="shared" ca="1" si="119"/>
        <v>0</v>
      </c>
      <c r="AT100" s="920">
        <f t="shared" ca="1" si="119"/>
        <v>0</v>
      </c>
      <c r="AU100" s="920">
        <f t="shared" ca="1" si="119"/>
        <v>0</v>
      </c>
      <c r="AV100" s="920">
        <f t="shared" ca="1" si="119"/>
        <v>0</v>
      </c>
      <c r="AW100" s="920">
        <f t="shared" ca="1" si="119"/>
        <v>0</v>
      </c>
      <c r="AX100" s="920">
        <f t="shared" ca="1" si="119"/>
        <v>0</v>
      </c>
      <c r="AY100" s="920">
        <f t="shared" ca="1" si="119"/>
        <v>0</v>
      </c>
      <c r="AZ100" s="920">
        <f t="shared" ca="1" si="119"/>
        <v>0</v>
      </c>
      <c r="BA100" s="920">
        <f t="shared" ca="1" si="119"/>
        <v>0</v>
      </c>
      <c r="BB100" s="920">
        <f t="shared" ca="1" si="119"/>
        <v>0</v>
      </c>
      <c r="BC100" s="920">
        <f t="shared" ca="1" si="119"/>
        <v>0</v>
      </c>
      <c r="BD100" s="920">
        <f t="shared" ca="1" si="119"/>
        <v>0</v>
      </c>
      <c r="BE100" s="920">
        <f t="shared" ca="1" si="119"/>
        <v>0</v>
      </c>
      <c r="BF100" s="920">
        <f t="shared" ca="1" si="119"/>
        <v>0</v>
      </c>
      <c r="BG100" s="920">
        <f t="shared" ca="1" si="119"/>
        <v>0</v>
      </c>
      <c r="BH100" s="920">
        <f t="shared" ca="1" si="119"/>
        <v>0</v>
      </c>
      <c r="BI100" s="920">
        <f t="shared" ca="1" si="119"/>
        <v>0</v>
      </c>
      <c r="BJ100" s="920">
        <f t="shared" ca="1" si="119"/>
        <v>0</v>
      </c>
      <c r="BK100" s="920">
        <f t="shared" ca="1" si="119"/>
        <v>0</v>
      </c>
      <c r="BL100" s="920">
        <f t="shared" ca="1" si="119"/>
        <v>0</v>
      </c>
      <c r="BM100" s="920">
        <f t="shared" ca="1" si="119"/>
        <v>0</v>
      </c>
      <c r="BN100" s="920">
        <f t="shared" ca="1" si="119"/>
        <v>0</v>
      </c>
      <c r="BO100" s="920">
        <f t="shared" ca="1" si="119"/>
        <v>0</v>
      </c>
      <c r="BP100" s="920">
        <f t="shared" ca="1" si="119"/>
        <v>0</v>
      </c>
      <c r="BQ100" s="920">
        <f t="shared" ca="1" si="119"/>
        <v>0</v>
      </c>
      <c r="BR100" s="920">
        <f t="shared" ca="1" si="119"/>
        <v>0</v>
      </c>
      <c r="BS100" s="920">
        <f t="shared" ca="1" si="119"/>
        <v>0</v>
      </c>
      <c r="BT100" s="920">
        <f t="shared" ca="1" si="119"/>
        <v>0</v>
      </c>
      <c r="BU100" s="920">
        <f t="shared" ca="1" si="119"/>
        <v>0</v>
      </c>
      <c r="BV100" s="920">
        <f t="shared" ca="1" si="119"/>
        <v>0</v>
      </c>
      <c r="BW100" s="920">
        <f t="shared" ca="1" si="119"/>
        <v>0</v>
      </c>
      <c r="BX100" s="920">
        <f t="shared" ca="1" si="119"/>
        <v>0</v>
      </c>
      <c r="BY100" s="920">
        <f t="shared" ca="1" si="119"/>
        <v>0</v>
      </c>
      <c r="BZ100" s="920">
        <f t="shared" ref="BZ100:DT100" ca="1" si="120">BZ99</f>
        <v>0</v>
      </c>
      <c r="CA100" s="920">
        <f t="shared" ca="1" si="120"/>
        <v>0</v>
      </c>
      <c r="CB100" s="920">
        <f t="shared" ca="1" si="120"/>
        <v>0</v>
      </c>
      <c r="CC100" s="920">
        <f t="shared" ca="1" si="120"/>
        <v>0</v>
      </c>
      <c r="CD100" s="920">
        <f t="shared" ca="1" si="120"/>
        <v>0</v>
      </c>
      <c r="CE100" s="920">
        <f t="shared" ca="1" si="120"/>
        <v>0</v>
      </c>
      <c r="CF100" s="920">
        <f t="shared" ca="1" si="120"/>
        <v>0</v>
      </c>
      <c r="CG100" s="920">
        <f t="shared" ca="1" si="120"/>
        <v>0</v>
      </c>
      <c r="CH100" s="920">
        <f t="shared" ca="1" si="120"/>
        <v>0</v>
      </c>
      <c r="CI100" s="920">
        <f t="shared" ca="1" si="120"/>
        <v>0</v>
      </c>
      <c r="CJ100" s="920">
        <f t="shared" ca="1" si="120"/>
        <v>0</v>
      </c>
      <c r="CK100" s="920">
        <f t="shared" ca="1" si="120"/>
        <v>0</v>
      </c>
      <c r="CL100" s="920">
        <f t="shared" ca="1" si="120"/>
        <v>0</v>
      </c>
      <c r="CM100" s="920">
        <f t="shared" ca="1" si="120"/>
        <v>0</v>
      </c>
      <c r="CN100" s="920">
        <f t="shared" ca="1" si="120"/>
        <v>0</v>
      </c>
      <c r="CO100" s="920">
        <f t="shared" ca="1" si="120"/>
        <v>0</v>
      </c>
      <c r="CP100" s="920">
        <f t="shared" ca="1" si="120"/>
        <v>0</v>
      </c>
      <c r="CQ100" s="920">
        <f t="shared" ca="1" si="120"/>
        <v>0</v>
      </c>
      <c r="CR100" s="920">
        <f t="shared" ca="1" si="120"/>
        <v>0</v>
      </c>
      <c r="CS100" s="920">
        <f t="shared" ca="1" si="120"/>
        <v>0</v>
      </c>
      <c r="CT100" s="920">
        <f t="shared" ca="1" si="120"/>
        <v>0</v>
      </c>
      <c r="CU100" s="920">
        <f t="shared" ca="1" si="120"/>
        <v>0</v>
      </c>
      <c r="CV100" s="920">
        <f t="shared" ca="1" si="120"/>
        <v>0</v>
      </c>
      <c r="CW100" s="920">
        <f t="shared" ca="1" si="120"/>
        <v>0</v>
      </c>
      <c r="CX100" s="920">
        <f t="shared" ca="1" si="120"/>
        <v>0</v>
      </c>
      <c r="CY100" s="920">
        <f t="shared" ca="1" si="120"/>
        <v>0</v>
      </c>
      <c r="CZ100" s="920">
        <f t="shared" ca="1" si="120"/>
        <v>0</v>
      </c>
      <c r="DA100" s="920">
        <f t="shared" ca="1" si="120"/>
        <v>0</v>
      </c>
      <c r="DB100" s="920">
        <f t="shared" ca="1" si="120"/>
        <v>0</v>
      </c>
      <c r="DC100" s="920">
        <f t="shared" ca="1" si="120"/>
        <v>0</v>
      </c>
      <c r="DD100" s="920">
        <f t="shared" ca="1" si="120"/>
        <v>0</v>
      </c>
      <c r="DE100" s="920">
        <f t="shared" ca="1" si="120"/>
        <v>0</v>
      </c>
      <c r="DF100" s="920">
        <f t="shared" ca="1" si="120"/>
        <v>0</v>
      </c>
      <c r="DG100" s="920">
        <f t="shared" ca="1" si="120"/>
        <v>0</v>
      </c>
      <c r="DH100" s="920">
        <f t="shared" ca="1" si="120"/>
        <v>0</v>
      </c>
      <c r="DI100" s="920">
        <f t="shared" ca="1" si="120"/>
        <v>0</v>
      </c>
      <c r="DJ100" s="920">
        <f t="shared" ca="1" si="120"/>
        <v>0</v>
      </c>
      <c r="DK100" s="920">
        <f t="shared" ca="1" si="120"/>
        <v>0</v>
      </c>
      <c r="DL100" s="920">
        <f t="shared" ca="1" si="120"/>
        <v>0</v>
      </c>
      <c r="DM100" s="920">
        <f t="shared" ca="1" si="120"/>
        <v>0</v>
      </c>
      <c r="DN100" s="920">
        <f t="shared" ca="1" si="120"/>
        <v>0</v>
      </c>
      <c r="DO100" s="920">
        <f t="shared" ca="1" si="120"/>
        <v>0</v>
      </c>
      <c r="DP100" s="920">
        <f t="shared" ca="1" si="120"/>
        <v>0</v>
      </c>
      <c r="DQ100" s="920">
        <f t="shared" ca="1" si="120"/>
        <v>0</v>
      </c>
      <c r="DR100" s="920">
        <f t="shared" ca="1" si="120"/>
        <v>0</v>
      </c>
      <c r="DS100" s="920">
        <f t="shared" ca="1" si="120"/>
        <v>0</v>
      </c>
      <c r="DT100" s="920">
        <f t="shared" ca="1" si="120"/>
        <v>0</v>
      </c>
      <c r="DU100" s="920">
        <f t="shared" ref="DU100:ER100" ca="1" si="121">DU99</f>
        <v>0</v>
      </c>
      <c r="DV100" s="920">
        <f t="shared" ca="1" si="121"/>
        <v>0</v>
      </c>
      <c r="DW100" s="920">
        <f t="shared" ca="1" si="121"/>
        <v>0</v>
      </c>
      <c r="DX100" s="920">
        <f t="shared" ca="1" si="121"/>
        <v>0</v>
      </c>
      <c r="DY100" s="920">
        <f t="shared" ca="1" si="121"/>
        <v>0</v>
      </c>
      <c r="DZ100" s="920">
        <f t="shared" ca="1" si="121"/>
        <v>0</v>
      </c>
      <c r="EA100" s="920">
        <f t="shared" ca="1" si="121"/>
        <v>0</v>
      </c>
      <c r="EB100" s="920">
        <f t="shared" ca="1" si="121"/>
        <v>0</v>
      </c>
      <c r="EC100" s="920">
        <f t="shared" ca="1" si="121"/>
        <v>0</v>
      </c>
      <c r="ED100" s="920">
        <f t="shared" ca="1" si="121"/>
        <v>0</v>
      </c>
      <c r="EE100" s="920">
        <f t="shared" ca="1" si="121"/>
        <v>0</v>
      </c>
      <c r="EF100" s="920">
        <f t="shared" ca="1" si="121"/>
        <v>0</v>
      </c>
      <c r="EG100" s="920">
        <f t="shared" ca="1" si="121"/>
        <v>0</v>
      </c>
      <c r="EH100" s="920">
        <f t="shared" ca="1" si="121"/>
        <v>0</v>
      </c>
      <c r="EI100" s="920">
        <f t="shared" ca="1" si="121"/>
        <v>0</v>
      </c>
      <c r="EJ100" s="920">
        <f t="shared" ca="1" si="121"/>
        <v>0</v>
      </c>
      <c r="EK100" s="920">
        <f t="shared" ca="1" si="121"/>
        <v>0</v>
      </c>
      <c r="EL100" s="920">
        <f t="shared" ca="1" si="121"/>
        <v>0</v>
      </c>
      <c r="EM100" s="920">
        <f t="shared" ca="1" si="121"/>
        <v>0</v>
      </c>
      <c r="EN100" s="920">
        <f t="shared" ca="1" si="121"/>
        <v>0</v>
      </c>
      <c r="EO100" s="920">
        <f t="shared" ca="1" si="121"/>
        <v>0</v>
      </c>
      <c r="EP100" s="920">
        <f t="shared" ca="1" si="121"/>
        <v>0</v>
      </c>
      <c r="EQ100" s="920">
        <f t="shared" ca="1" si="121"/>
        <v>0</v>
      </c>
      <c r="ER100" s="920">
        <f t="shared" ca="1" si="121"/>
        <v>0</v>
      </c>
    </row>
    <row r="101" spans="2:148" ht="11.25" customHeight="1" thickBot="1">
      <c r="B101" s="923"/>
      <c r="C101" s="924" t="s">
        <v>233</v>
      </c>
      <c r="D101" s="925"/>
      <c r="E101" s="925"/>
      <c r="F101" s="925"/>
      <c r="G101" s="925"/>
      <c r="H101" s="925"/>
      <c r="I101" s="926"/>
      <c r="J101" s="927"/>
      <c r="K101" s="928"/>
      <c r="L101" s="98"/>
      <c r="M101" s="922">
        <f ca="1">M98+M99-M100</f>
        <v>0</v>
      </c>
      <c r="N101" s="922">
        <f t="shared" ref="N101:BY101" ca="1" si="122">N98+N99-N100</f>
        <v>0</v>
      </c>
      <c r="O101" s="922">
        <f t="shared" ca="1" si="122"/>
        <v>0</v>
      </c>
      <c r="P101" s="922">
        <f t="shared" ca="1" si="122"/>
        <v>0</v>
      </c>
      <c r="Q101" s="922">
        <f t="shared" ca="1" si="122"/>
        <v>0</v>
      </c>
      <c r="R101" s="922">
        <f t="shared" ca="1" si="122"/>
        <v>0</v>
      </c>
      <c r="S101" s="922">
        <f t="shared" ca="1" si="122"/>
        <v>0</v>
      </c>
      <c r="T101" s="922">
        <f t="shared" ca="1" si="122"/>
        <v>0</v>
      </c>
      <c r="U101" s="922">
        <f t="shared" ca="1" si="122"/>
        <v>0</v>
      </c>
      <c r="V101" s="922">
        <f t="shared" ca="1" si="122"/>
        <v>0</v>
      </c>
      <c r="W101" s="922">
        <f t="shared" ca="1" si="122"/>
        <v>0</v>
      </c>
      <c r="X101" s="922">
        <f t="shared" ca="1" si="122"/>
        <v>0</v>
      </c>
      <c r="Y101" s="922">
        <f t="shared" ca="1" si="122"/>
        <v>0</v>
      </c>
      <c r="Z101" s="922">
        <f t="shared" ca="1" si="122"/>
        <v>0</v>
      </c>
      <c r="AA101" s="922">
        <f t="shared" ca="1" si="122"/>
        <v>0</v>
      </c>
      <c r="AB101" s="922">
        <f t="shared" ca="1" si="122"/>
        <v>0</v>
      </c>
      <c r="AC101" s="922">
        <f t="shared" ca="1" si="122"/>
        <v>0</v>
      </c>
      <c r="AD101" s="922">
        <f t="shared" ca="1" si="122"/>
        <v>0</v>
      </c>
      <c r="AE101" s="922">
        <f t="shared" ca="1" si="122"/>
        <v>0</v>
      </c>
      <c r="AF101" s="922">
        <f t="shared" ca="1" si="122"/>
        <v>0</v>
      </c>
      <c r="AG101" s="922">
        <f t="shared" ca="1" si="122"/>
        <v>0</v>
      </c>
      <c r="AH101" s="922">
        <f t="shared" ca="1" si="122"/>
        <v>0</v>
      </c>
      <c r="AI101" s="922">
        <f t="shared" ca="1" si="122"/>
        <v>0</v>
      </c>
      <c r="AJ101" s="922">
        <f t="shared" ca="1" si="122"/>
        <v>0</v>
      </c>
      <c r="AK101" s="922">
        <f t="shared" ca="1" si="122"/>
        <v>0</v>
      </c>
      <c r="AL101" s="922">
        <f t="shared" ca="1" si="122"/>
        <v>0</v>
      </c>
      <c r="AM101" s="922">
        <f t="shared" ca="1" si="122"/>
        <v>0</v>
      </c>
      <c r="AN101" s="922">
        <f t="shared" ca="1" si="122"/>
        <v>0</v>
      </c>
      <c r="AO101" s="922">
        <f t="shared" ca="1" si="122"/>
        <v>0</v>
      </c>
      <c r="AP101" s="922">
        <f t="shared" ca="1" si="122"/>
        <v>0</v>
      </c>
      <c r="AQ101" s="922">
        <f t="shared" ca="1" si="122"/>
        <v>0</v>
      </c>
      <c r="AR101" s="922">
        <f t="shared" ca="1" si="122"/>
        <v>0</v>
      </c>
      <c r="AS101" s="922">
        <f t="shared" ca="1" si="122"/>
        <v>0</v>
      </c>
      <c r="AT101" s="922">
        <f t="shared" ca="1" si="122"/>
        <v>0</v>
      </c>
      <c r="AU101" s="922">
        <f t="shared" ca="1" si="122"/>
        <v>0</v>
      </c>
      <c r="AV101" s="922">
        <f t="shared" ca="1" si="122"/>
        <v>0</v>
      </c>
      <c r="AW101" s="922">
        <f t="shared" ca="1" si="122"/>
        <v>0</v>
      </c>
      <c r="AX101" s="922">
        <f t="shared" ca="1" si="122"/>
        <v>0</v>
      </c>
      <c r="AY101" s="922">
        <f t="shared" ca="1" si="122"/>
        <v>0</v>
      </c>
      <c r="AZ101" s="922">
        <f t="shared" ca="1" si="122"/>
        <v>0</v>
      </c>
      <c r="BA101" s="922">
        <f t="shared" ca="1" si="122"/>
        <v>0</v>
      </c>
      <c r="BB101" s="922">
        <f t="shared" ca="1" si="122"/>
        <v>0</v>
      </c>
      <c r="BC101" s="922">
        <f t="shared" ca="1" si="122"/>
        <v>0</v>
      </c>
      <c r="BD101" s="922">
        <f t="shared" ca="1" si="122"/>
        <v>0</v>
      </c>
      <c r="BE101" s="922">
        <f t="shared" ca="1" si="122"/>
        <v>0</v>
      </c>
      <c r="BF101" s="922">
        <f t="shared" ca="1" si="122"/>
        <v>0</v>
      </c>
      <c r="BG101" s="922">
        <f t="shared" ca="1" si="122"/>
        <v>0</v>
      </c>
      <c r="BH101" s="922">
        <f t="shared" ca="1" si="122"/>
        <v>0</v>
      </c>
      <c r="BI101" s="922">
        <f t="shared" ca="1" si="122"/>
        <v>0</v>
      </c>
      <c r="BJ101" s="922">
        <f t="shared" ca="1" si="122"/>
        <v>0</v>
      </c>
      <c r="BK101" s="922">
        <f t="shared" ca="1" si="122"/>
        <v>0</v>
      </c>
      <c r="BL101" s="922">
        <f t="shared" ca="1" si="122"/>
        <v>0</v>
      </c>
      <c r="BM101" s="922">
        <f t="shared" ca="1" si="122"/>
        <v>0</v>
      </c>
      <c r="BN101" s="922">
        <f t="shared" ca="1" si="122"/>
        <v>0</v>
      </c>
      <c r="BO101" s="922">
        <f t="shared" ca="1" si="122"/>
        <v>0</v>
      </c>
      <c r="BP101" s="922">
        <f t="shared" ca="1" si="122"/>
        <v>0</v>
      </c>
      <c r="BQ101" s="922">
        <f t="shared" ca="1" si="122"/>
        <v>0</v>
      </c>
      <c r="BR101" s="922">
        <f t="shared" ca="1" si="122"/>
        <v>0</v>
      </c>
      <c r="BS101" s="922">
        <f t="shared" ca="1" si="122"/>
        <v>0</v>
      </c>
      <c r="BT101" s="922">
        <f t="shared" ca="1" si="122"/>
        <v>0</v>
      </c>
      <c r="BU101" s="922">
        <f t="shared" ca="1" si="122"/>
        <v>0</v>
      </c>
      <c r="BV101" s="922">
        <f t="shared" ca="1" si="122"/>
        <v>0</v>
      </c>
      <c r="BW101" s="922">
        <f t="shared" ca="1" si="122"/>
        <v>0</v>
      </c>
      <c r="BX101" s="922">
        <f t="shared" ca="1" si="122"/>
        <v>0</v>
      </c>
      <c r="BY101" s="922">
        <f t="shared" ca="1" si="122"/>
        <v>0</v>
      </c>
      <c r="BZ101" s="922">
        <f t="shared" ref="BZ101:DT101" ca="1" si="123">BZ98+BZ99-BZ100</f>
        <v>0</v>
      </c>
      <c r="CA101" s="922">
        <f t="shared" ca="1" si="123"/>
        <v>0</v>
      </c>
      <c r="CB101" s="922">
        <f t="shared" ca="1" si="123"/>
        <v>0</v>
      </c>
      <c r="CC101" s="922">
        <f t="shared" ca="1" si="123"/>
        <v>0</v>
      </c>
      <c r="CD101" s="922">
        <f t="shared" ca="1" si="123"/>
        <v>0</v>
      </c>
      <c r="CE101" s="922">
        <f t="shared" ca="1" si="123"/>
        <v>0</v>
      </c>
      <c r="CF101" s="922">
        <f t="shared" ca="1" si="123"/>
        <v>0</v>
      </c>
      <c r="CG101" s="922">
        <f t="shared" ca="1" si="123"/>
        <v>0</v>
      </c>
      <c r="CH101" s="922">
        <f t="shared" ca="1" si="123"/>
        <v>0</v>
      </c>
      <c r="CI101" s="922">
        <f t="shared" ca="1" si="123"/>
        <v>0</v>
      </c>
      <c r="CJ101" s="922">
        <f t="shared" ca="1" si="123"/>
        <v>0</v>
      </c>
      <c r="CK101" s="922">
        <f t="shared" ca="1" si="123"/>
        <v>0</v>
      </c>
      <c r="CL101" s="922">
        <f t="shared" ca="1" si="123"/>
        <v>0</v>
      </c>
      <c r="CM101" s="922">
        <f t="shared" ca="1" si="123"/>
        <v>0</v>
      </c>
      <c r="CN101" s="922">
        <f t="shared" ca="1" si="123"/>
        <v>0</v>
      </c>
      <c r="CO101" s="922">
        <f t="shared" ca="1" si="123"/>
        <v>0</v>
      </c>
      <c r="CP101" s="922">
        <f t="shared" ca="1" si="123"/>
        <v>0</v>
      </c>
      <c r="CQ101" s="922">
        <f t="shared" ca="1" si="123"/>
        <v>0</v>
      </c>
      <c r="CR101" s="922">
        <f t="shared" ca="1" si="123"/>
        <v>0</v>
      </c>
      <c r="CS101" s="922">
        <f t="shared" ca="1" si="123"/>
        <v>0</v>
      </c>
      <c r="CT101" s="922">
        <f t="shared" ca="1" si="123"/>
        <v>0</v>
      </c>
      <c r="CU101" s="922">
        <f t="shared" ca="1" si="123"/>
        <v>0</v>
      </c>
      <c r="CV101" s="922">
        <f t="shared" ca="1" si="123"/>
        <v>0</v>
      </c>
      <c r="CW101" s="922">
        <f t="shared" ca="1" si="123"/>
        <v>0</v>
      </c>
      <c r="CX101" s="922">
        <f t="shared" ca="1" si="123"/>
        <v>0</v>
      </c>
      <c r="CY101" s="922">
        <f t="shared" ca="1" si="123"/>
        <v>0</v>
      </c>
      <c r="CZ101" s="922">
        <f t="shared" ca="1" si="123"/>
        <v>0</v>
      </c>
      <c r="DA101" s="922">
        <f t="shared" ca="1" si="123"/>
        <v>0</v>
      </c>
      <c r="DB101" s="922">
        <f t="shared" ca="1" si="123"/>
        <v>0</v>
      </c>
      <c r="DC101" s="922">
        <f t="shared" ca="1" si="123"/>
        <v>0</v>
      </c>
      <c r="DD101" s="922">
        <f t="shared" ca="1" si="123"/>
        <v>0</v>
      </c>
      <c r="DE101" s="922">
        <f t="shared" ca="1" si="123"/>
        <v>0</v>
      </c>
      <c r="DF101" s="922">
        <f t="shared" ca="1" si="123"/>
        <v>0</v>
      </c>
      <c r="DG101" s="922">
        <f t="shared" ca="1" si="123"/>
        <v>0</v>
      </c>
      <c r="DH101" s="922">
        <f t="shared" ca="1" si="123"/>
        <v>0</v>
      </c>
      <c r="DI101" s="922">
        <f t="shared" ca="1" si="123"/>
        <v>0</v>
      </c>
      <c r="DJ101" s="922">
        <f t="shared" ca="1" si="123"/>
        <v>0</v>
      </c>
      <c r="DK101" s="922">
        <f t="shared" ca="1" si="123"/>
        <v>0</v>
      </c>
      <c r="DL101" s="922">
        <f t="shared" ca="1" si="123"/>
        <v>0</v>
      </c>
      <c r="DM101" s="922">
        <f t="shared" ca="1" si="123"/>
        <v>0</v>
      </c>
      <c r="DN101" s="922">
        <f t="shared" ca="1" si="123"/>
        <v>0</v>
      </c>
      <c r="DO101" s="922">
        <f t="shared" ca="1" si="123"/>
        <v>0</v>
      </c>
      <c r="DP101" s="922">
        <f t="shared" ca="1" si="123"/>
        <v>0</v>
      </c>
      <c r="DQ101" s="922">
        <f t="shared" ca="1" si="123"/>
        <v>0</v>
      </c>
      <c r="DR101" s="922">
        <f t="shared" ca="1" si="123"/>
        <v>0</v>
      </c>
      <c r="DS101" s="922">
        <f t="shared" ca="1" si="123"/>
        <v>0</v>
      </c>
      <c r="DT101" s="922">
        <f t="shared" ca="1" si="123"/>
        <v>0</v>
      </c>
      <c r="DU101" s="922">
        <f t="shared" ref="DU101:ER101" ca="1" si="124">DU98+DU99-DU100</f>
        <v>0</v>
      </c>
      <c r="DV101" s="922">
        <f t="shared" ca="1" si="124"/>
        <v>0</v>
      </c>
      <c r="DW101" s="922">
        <f t="shared" ca="1" si="124"/>
        <v>0</v>
      </c>
      <c r="DX101" s="922">
        <f t="shared" ca="1" si="124"/>
        <v>0</v>
      </c>
      <c r="DY101" s="922">
        <f t="shared" ca="1" si="124"/>
        <v>0</v>
      </c>
      <c r="DZ101" s="922">
        <f t="shared" ca="1" si="124"/>
        <v>0</v>
      </c>
      <c r="EA101" s="922">
        <f t="shared" ca="1" si="124"/>
        <v>0</v>
      </c>
      <c r="EB101" s="922">
        <f t="shared" ca="1" si="124"/>
        <v>0</v>
      </c>
      <c r="EC101" s="922">
        <f t="shared" ca="1" si="124"/>
        <v>0</v>
      </c>
      <c r="ED101" s="922">
        <f t="shared" ca="1" si="124"/>
        <v>0</v>
      </c>
      <c r="EE101" s="922">
        <f t="shared" ca="1" si="124"/>
        <v>0</v>
      </c>
      <c r="EF101" s="922">
        <f t="shared" ca="1" si="124"/>
        <v>0</v>
      </c>
      <c r="EG101" s="922">
        <f t="shared" ca="1" si="124"/>
        <v>0</v>
      </c>
      <c r="EH101" s="922">
        <f t="shared" ca="1" si="124"/>
        <v>0</v>
      </c>
      <c r="EI101" s="922">
        <f t="shared" ca="1" si="124"/>
        <v>0</v>
      </c>
      <c r="EJ101" s="922">
        <f t="shared" ca="1" si="124"/>
        <v>0</v>
      </c>
      <c r="EK101" s="922">
        <f t="shared" ca="1" si="124"/>
        <v>0</v>
      </c>
      <c r="EL101" s="922">
        <f t="shared" ca="1" si="124"/>
        <v>0</v>
      </c>
      <c r="EM101" s="922">
        <f t="shared" ca="1" si="124"/>
        <v>0</v>
      </c>
      <c r="EN101" s="922">
        <f t="shared" ca="1" si="124"/>
        <v>0</v>
      </c>
      <c r="EO101" s="922">
        <f t="shared" ca="1" si="124"/>
        <v>0</v>
      </c>
      <c r="EP101" s="922">
        <f t="shared" ca="1" si="124"/>
        <v>0</v>
      </c>
      <c r="EQ101" s="922">
        <f t="shared" ca="1" si="124"/>
        <v>0</v>
      </c>
      <c r="ER101" s="922">
        <f t="shared" ca="1" si="124"/>
        <v>0</v>
      </c>
    </row>
    <row r="102" spans="2:148" ht="11.25" customHeight="1" thickTop="1">
      <c r="B102" s="875" t="s">
        <v>622</v>
      </c>
      <c r="C102" s="876"/>
      <c r="D102" s="876"/>
      <c r="E102" s="876"/>
      <c r="F102" s="876"/>
      <c r="G102" s="876"/>
      <c r="H102" s="876"/>
      <c r="I102" s="877"/>
      <c r="J102" s="878"/>
      <c r="K102" s="919"/>
      <c r="M102" s="897"/>
      <c r="N102" s="897"/>
      <c r="O102" s="897"/>
      <c r="P102" s="897"/>
      <c r="Q102" s="897"/>
      <c r="R102" s="897"/>
      <c r="S102" s="897"/>
      <c r="T102" s="897"/>
      <c r="U102" s="897"/>
      <c r="V102" s="897"/>
      <c r="W102" s="897"/>
      <c r="X102" s="897"/>
      <c r="Y102" s="897"/>
      <c r="Z102" s="897"/>
      <c r="AA102" s="897"/>
      <c r="AB102" s="897"/>
      <c r="AC102" s="897"/>
      <c r="AD102" s="897"/>
      <c r="AE102" s="897"/>
      <c r="AF102" s="897"/>
      <c r="AG102" s="897"/>
      <c r="AH102" s="897"/>
      <c r="AI102" s="897"/>
      <c r="AJ102" s="897"/>
      <c r="AK102" s="897"/>
      <c r="AL102" s="897"/>
      <c r="AM102" s="897"/>
      <c r="AN102" s="897"/>
      <c r="AO102" s="897"/>
      <c r="AP102" s="897"/>
      <c r="AQ102" s="897"/>
      <c r="AR102" s="897"/>
      <c r="AS102" s="897"/>
      <c r="AT102" s="897"/>
      <c r="AU102" s="897"/>
      <c r="AV102" s="897"/>
      <c r="AW102" s="897"/>
      <c r="AX102" s="897"/>
      <c r="AY102" s="897"/>
      <c r="AZ102" s="897"/>
      <c r="BA102" s="897"/>
      <c r="BB102" s="897"/>
      <c r="BC102" s="897"/>
      <c r="BD102" s="897"/>
      <c r="BE102" s="897"/>
      <c r="BF102" s="897"/>
      <c r="BG102" s="897"/>
      <c r="BH102" s="897"/>
      <c r="BI102" s="897"/>
      <c r="BJ102" s="897"/>
      <c r="BK102" s="897"/>
      <c r="BL102" s="897"/>
      <c r="BM102" s="897"/>
      <c r="BN102" s="897"/>
      <c r="BO102" s="897"/>
      <c r="BP102" s="897"/>
      <c r="BQ102" s="897"/>
      <c r="BR102" s="897"/>
      <c r="BS102" s="897"/>
      <c r="BT102" s="897"/>
      <c r="BU102" s="897"/>
      <c r="BV102" s="897"/>
      <c r="BW102" s="897"/>
      <c r="BX102" s="897"/>
      <c r="BY102" s="897"/>
      <c r="BZ102" s="897"/>
      <c r="CA102" s="897"/>
      <c r="CB102" s="897"/>
      <c r="CC102" s="897"/>
      <c r="CD102" s="897"/>
      <c r="CE102" s="897"/>
      <c r="CF102" s="897"/>
      <c r="CG102" s="897"/>
      <c r="CH102" s="897"/>
      <c r="CI102" s="897"/>
      <c r="CJ102" s="897"/>
      <c r="CK102" s="897"/>
      <c r="CL102" s="897"/>
      <c r="CM102" s="897"/>
      <c r="CN102" s="897"/>
      <c r="CO102" s="897"/>
      <c r="CP102" s="897"/>
      <c r="CQ102" s="897"/>
      <c r="CR102" s="897"/>
      <c r="CS102" s="897"/>
      <c r="CT102" s="897"/>
      <c r="CU102" s="897"/>
      <c r="CV102" s="897"/>
      <c r="CW102" s="897"/>
      <c r="CX102" s="897"/>
      <c r="CY102" s="897"/>
      <c r="CZ102" s="897"/>
      <c r="DA102" s="897"/>
      <c r="DB102" s="897"/>
      <c r="DC102" s="897"/>
      <c r="DD102" s="897"/>
      <c r="DE102" s="897"/>
      <c r="DF102" s="897"/>
      <c r="DG102" s="897"/>
      <c r="DH102" s="897"/>
      <c r="DI102" s="897"/>
      <c r="DJ102" s="897"/>
      <c r="DK102" s="897"/>
      <c r="DL102" s="897"/>
      <c r="DM102" s="897"/>
      <c r="DN102" s="897"/>
      <c r="DO102" s="897"/>
      <c r="DP102" s="897"/>
      <c r="DQ102" s="897"/>
      <c r="DR102" s="897"/>
      <c r="DS102" s="897"/>
      <c r="DT102" s="897"/>
      <c r="DU102" s="897"/>
      <c r="DV102" s="897"/>
      <c r="DW102" s="897"/>
      <c r="DX102" s="897"/>
      <c r="DY102" s="897"/>
      <c r="DZ102" s="897"/>
      <c r="EA102" s="897"/>
      <c r="EB102" s="897"/>
      <c r="EC102" s="897"/>
      <c r="ED102" s="897"/>
      <c r="EE102" s="897"/>
      <c r="EF102" s="897"/>
      <c r="EG102" s="897"/>
      <c r="EH102" s="897"/>
      <c r="EI102" s="897"/>
      <c r="EJ102" s="897"/>
      <c r="EK102" s="897"/>
      <c r="EL102" s="897"/>
      <c r="EM102" s="897"/>
      <c r="EN102" s="897"/>
      <c r="EO102" s="897"/>
      <c r="EP102" s="897"/>
      <c r="EQ102" s="897"/>
      <c r="ER102" s="897"/>
    </row>
    <row r="103" spans="2:148" ht="11.25" customHeight="1">
      <c r="B103" s="218"/>
      <c r="C103" s="904" t="s">
        <v>230</v>
      </c>
      <c r="D103" s="905"/>
      <c r="E103" s="905"/>
      <c r="F103" s="905"/>
      <c r="G103" s="905"/>
      <c r="H103" s="905"/>
      <c r="I103" s="906"/>
      <c r="J103" s="907"/>
      <c r="K103" s="917"/>
      <c r="L103" s="98"/>
      <c r="M103" s="908">
        <f>L106</f>
        <v>0</v>
      </c>
      <c r="N103" s="908">
        <f t="shared" ref="N103:BY103" si="125">M106</f>
        <v>0</v>
      </c>
      <c r="O103" s="908">
        <f t="shared" si="125"/>
        <v>0</v>
      </c>
      <c r="P103" s="908">
        <f t="shared" si="125"/>
        <v>0</v>
      </c>
      <c r="Q103" s="908">
        <f t="shared" si="125"/>
        <v>0</v>
      </c>
      <c r="R103" s="908">
        <f t="shared" si="125"/>
        <v>0</v>
      </c>
      <c r="S103" s="908">
        <f t="shared" si="125"/>
        <v>0</v>
      </c>
      <c r="T103" s="908">
        <f t="shared" si="125"/>
        <v>0</v>
      </c>
      <c r="U103" s="908">
        <f t="shared" si="125"/>
        <v>0</v>
      </c>
      <c r="V103" s="908">
        <f t="shared" si="125"/>
        <v>0</v>
      </c>
      <c r="W103" s="908">
        <f t="shared" si="125"/>
        <v>0</v>
      </c>
      <c r="X103" s="908">
        <f t="shared" si="125"/>
        <v>0</v>
      </c>
      <c r="Y103" s="908">
        <f t="shared" si="125"/>
        <v>0</v>
      </c>
      <c r="Z103" s="908">
        <f t="shared" si="125"/>
        <v>0</v>
      </c>
      <c r="AA103" s="908">
        <f t="shared" si="125"/>
        <v>0</v>
      </c>
      <c r="AB103" s="908">
        <f t="shared" si="125"/>
        <v>0</v>
      </c>
      <c r="AC103" s="908">
        <f t="shared" si="125"/>
        <v>0</v>
      </c>
      <c r="AD103" s="908">
        <f t="shared" si="125"/>
        <v>0</v>
      </c>
      <c r="AE103" s="908">
        <f t="shared" si="125"/>
        <v>0</v>
      </c>
      <c r="AF103" s="908">
        <f t="shared" si="125"/>
        <v>0</v>
      </c>
      <c r="AG103" s="908">
        <f t="shared" si="125"/>
        <v>0</v>
      </c>
      <c r="AH103" s="908">
        <f t="shared" si="125"/>
        <v>0</v>
      </c>
      <c r="AI103" s="908">
        <f t="shared" si="125"/>
        <v>0</v>
      </c>
      <c r="AJ103" s="908">
        <f t="shared" si="125"/>
        <v>0</v>
      </c>
      <c r="AK103" s="908">
        <f t="shared" si="125"/>
        <v>0</v>
      </c>
      <c r="AL103" s="908">
        <f t="shared" si="125"/>
        <v>0</v>
      </c>
      <c r="AM103" s="908">
        <f t="shared" si="125"/>
        <v>0</v>
      </c>
      <c r="AN103" s="908">
        <f t="shared" si="125"/>
        <v>0</v>
      </c>
      <c r="AO103" s="908">
        <f t="shared" si="125"/>
        <v>0</v>
      </c>
      <c r="AP103" s="908">
        <f t="shared" si="125"/>
        <v>0</v>
      </c>
      <c r="AQ103" s="908">
        <f t="shared" si="125"/>
        <v>0</v>
      </c>
      <c r="AR103" s="908">
        <f t="shared" si="125"/>
        <v>0</v>
      </c>
      <c r="AS103" s="908">
        <f t="shared" si="125"/>
        <v>0</v>
      </c>
      <c r="AT103" s="908">
        <f t="shared" si="125"/>
        <v>0</v>
      </c>
      <c r="AU103" s="908">
        <f t="shared" si="125"/>
        <v>0</v>
      </c>
      <c r="AV103" s="908">
        <f t="shared" si="125"/>
        <v>0</v>
      </c>
      <c r="AW103" s="908">
        <f t="shared" si="125"/>
        <v>0</v>
      </c>
      <c r="AX103" s="908">
        <f t="shared" si="125"/>
        <v>0</v>
      </c>
      <c r="AY103" s="908">
        <f t="shared" si="125"/>
        <v>0</v>
      </c>
      <c r="AZ103" s="908">
        <f t="shared" si="125"/>
        <v>0</v>
      </c>
      <c r="BA103" s="908">
        <f t="shared" si="125"/>
        <v>0</v>
      </c>
      <c r="BB103" s="908">
        <f t="shared" si="125"/>
        <v>0</v>
      </c>
      <c r="BC103" s="908">
        <f t="shared" si="125"/>
        <v>0</v>
      </c>
      <c r="BD103" s="908">
        <f t="shared" si="125"/>
        <v>0</v>
      </c>
      <c r="BE103" s="908">
        <f t="shared" si="125"/>
        <v>0</v>
      </c>
      <c r="BF103" s="908">
        <f t="shared" si="125"/>
        <v>0</v>
      </c>
      <c r="BG103" s="908">
        <f t="shared" si="125"/>
        <v>0</v>
      </c>
      <c r="BH103" s="908">
        <f t="shared" si="125"/>
        <v>0</v>
      </c>
      <c r="BI103" s="908">
        <f t="shared" si="125"/>
        <v>0</v>
      </c>
      <c r="BJ103" s="908">
        <f t="shared" si="125"/>
        <v>0</v>
      </c>
      <c r="BK103" s="908">
        <f t="shared" si="125"/>
        <v>0</v>
      </c>
      <c r="BL103" s="908">
        <f t="shared" si="125"/>
        <v>0</v>
      </c>
      <c r="BM103" s="908">
        <f t="shared" si="125"/>
        <v>0</v>
      </c>
      <c r="BN103" s="908">
        <f t="shared" si="125"/>
        <v>0</v>
      </c>
      <c r="BO103" s="908">
        <f t="shared" si="125"/>
        <v>0</v>
      </c>
      <c r="BP103" s="908">
        <f t="shared" si="125"/>
        <v>0</v>
      </c>
      <c r="BQ103" s="908">
        <f t="shared" si="125"/>
        <v>0</v>
      </c>
      <c r="BR103" s="908">
        <f t="shared" si="125"/>
        <v>0</v>
      </c>
      <c r="BS103" s="908">
        <f t="shared" si="125"/>
        <v>0</v>
      </c>
      <c r="BT103" s="908">
        <f t="shared" si="125"/>
        <v>0</v>
      </c>
      <c r="BU103" s="908">
        <f t="shared" si="125"/>
        <v>0</v>
      </c>
      <c r="BV103" s="908">
        <f t="shared" si="125"/>
        <v>0</v>
      </c>
      <c r="BW103" s="908">
        <f t="shared" si="125"/>
        <v>0</v>
      </c>
      <c r="BX103" s="908">
        <f t="shared" si="125"/>
        <v>0</v>
      </c>
      <c r="BY103" s="908">
        <f t="shared" si="125"/>
        <v>0</v>
      </c>
      <c r="BZ103" s="908">
        <f t="shared" ref="BZ103:DT103" si="126">BY106</f>
        <v>0</v>
      </c>
      <c r="CA103" s="908">
        <f t="shared" si="126"/>
        <v>0</v>
      </c>
      <c r="CB103" s="908">
        <f t="shared" si="126"/>
        <v>0</v>
      </c>
      <c r="CC103" s="908">
        <f t="shared" si="126"/>
        <v>0</v>
      </c>
      <c r="CD103" s="908">
        <f t="shared" si="126"/>
        <v>0</v>
      </c>
      <c r="CE103" s="908">
        <f t="shared" si="126"/>
        <v>0</v>
      </c>
      <c r="CF103" s="908">
        <f t="shared" si="126"/>
        <v>0</v>
      </c>
      <c r="CG103" s="908">
        <f t="shared" si="126"/>
        <v>0</v>
      </c>
      <c r="CH103" s="908">
        <f t="shared" si="126"/>
        <v>0</v>
      </c>
      <c r="CI103" s="908">
        <f t="shared" si="126"/>
        <v>0</v>
      </c>
      <c r="CJ103" s="908">
        <f t="shared" si="126"/>
        <v>0</v>
      </c>
      <c r="CK103" s="908">
        <f t="shared" si="126"/>
        <v>0</v>
      </c>
      <c r="CL103" s="908">
        <f t="shared" si="126"/>
        <v>0</v>
      </c>
      <c r="CM103" s="908">
        <f t="shared" si="126"/>
        <v>0</v>
      </c>
      <c r="CN103" s="908">
        <f t="shared" si="126"/>
        <v>0</v>
      </c>
      <c r="CO103" s="908">
        <f t="shared" si="126"/>
        <v>0</v>
      </c>
      <c r="CP103" s="908">
        <f t="shared" si="126"/>
        <v>0</v>
      </c>
      <c r="CQ103" s="908">
        <f t="shared" si="126"/>
        <v>0</v>
      </c>
      <c r="CR103" s="908">
        <f t="shared" si="126"/>
        <v>0</v>
      </c>
      <c r="CS103" s="908">
        <f t="shared" si="126"/>
        <v>0</v>
      </c>
      <c r="CT103" s="908">
        <f t="shared" si="126"/>
        <v>0</v>
      </c>
      <c r="CU103" s="908">
        <f t="shared" si="126"/>
        <v>0</v>
      </c>
      <c r="CV103" s="908">
        <f t="shared" si="126"/>
        <v>0</v>
      </c>
      <c r="CW103" s="908">
        <f t="shared" si="126"/>
        <v>0</v>
      </c>
      <c r="CX103" s="908">
        <f t="shared" si="126"/>
        <v>0</v>
      </c>
      <c r="CY103" s="908">
        <f t="shared" si="126"/>
        <v>0</v>
      </c>
      <c r="CZ103" s="908">
        <f t="shared" si="126"/>
        <v>0</v>
      </c>
      <c r="DA103" s="908">
        <f t="shared" si="126"/>
        <v>0</v>
      </c>
      <c r="DB103" s="908">
        <f t="shared" si="126"/>
        <v>0</v>
      </c>
      <c r="DC103" s="908">
        <f t="shared" si="126"/>
        <v>0</v>
      </c>
      <c r="DD103" s="908">
        <f t="shared" si="126"/>
        <v>0</v>
      </c>
      <c r="DE103" s="908">
        <f t="shared" si="126"/>
        <v>0</v>
      </c>
      <c r="DF103" s="908">
        <f t="shared" si="126"/>
        <v>0</v>
      </c>
      <c r="DG103" s="908">
        <f t="shared" si="126"/>
        <v>0</v>
      </c>
      <c r="DH103" s="908">
        <f t="shared" si="126"/>
        <v>0</v>
      </c>
      <c r="DI103" s="908">
        <f t="shared" si="126"/>
        <v>0</v>
      </c>
      <c r="DJ103" s="908">
        <f t="shared" si="126"/>
        <v>0</v>
      </c>
      <c r="DK103" s="908">
        <f t="shared" si="126"/>
        <v>0</v>
      </c>
      <c r="DL103" s="908">
        <f t="shared" si="126"/>
        <v>0</v>
      </c>
      <c r="DM103" s="908">
        <f t="shared" si="126"/>
        <v>0</v>
      </c>
      <c r="DN103" s="908">
        <f t="shared" si="126"/>
        <v>0</v>
      </c>
      <c r="DO103" s="908">
        <f t="shared" si="126"/>
        <v>0</v>
      </c>
      <c r="DP103" s="908">
        <f t="shared" si="126"/>
        <v>0</v>
      </c>
      <c r="DQ103" s="908">
        <f t="shared" si="126"/>
        <v>0</v>
      </c>
      <c r="DR103" s="908">
        <f t="shared" si="126"/>
        <v>0</v>
      </c>
      <c r="DS103" s="908">
        <f t="shared" si="126"/>
        <v>0</v>
      </c>
      <c r="DT103" s="908">
        <f t="shared" si="126"/>
        <v>0</v>
      </c>
      <c r="DU103" s="908">
        <f t="shared" ref="DU103:ER103" si="127">DT106</f>
        <v>0</v>
      </c>
      <c r="DV103" s="908">
        <f t="shared" si="127"/>
        <v>0</v>
      </c>
      <c r="DW103" s="908">
        <f t="shared" si="127"/>
        <v>0</v>
      </c>
      <c r="DX103" s="908">
        <f t="shared" si="127"/>
        <v>0</v>
      </c>
      <c r="DY103" s="908">
        <f t="shared" si="127"/>
        <v>0</v>
      </c>
      <c r="DZ103" s="908">
        <f t="shared" si="127"/>
        <v>0</v>
      </c>
      <c r="EA103" s="908">
        <f t="shared" si="127"/>
        <v>0</v>
      </c>
      <c r="EB103" s="908">
        <f t="shared" si="127"/>
        <v>0</v>
      </c>
      <c r="EC103" s="908">
        <f t="shared" si="127"/>
        <v>0</v>
      </c>
      <c r="ED103" s="908">
        <f t="shared" si="127"/>
        <v>0</v>
      </c>
      <c r="EE103" s="908">
        <f t="shared" si="127"/>
        <v>0</v>
      </c>
      <c r="EF103" s="908">
        <f t="shared" si="127"/>
        <v>0</v>
      </c>
      <c r="EG103" s="908">
        <f t="shared" si="127"/>
        <v>0</v>
      </c>
      <c r="EH103" s="908">
        <f t="shared" si="127"/>
        <v>0</v>
      </c>
      <c r="EI103" s="908">
        <f t="shared" si="127"/>
        <v>0</v>
      </c>
      <c r="EJ103" s="908">
        <f t="shared" si="127"/>
        <v>0</v>
      </c>
      <c r="EK103" s="908">
        <f t="shared" si="127"/>
        <v>0</v>
      </c>
      <c r="EL103" s="908">
        <f t="shared" si="127"/>
        <v>0</v>
      </c>
      <c r="EM103" s="908">
        <f t="shared" si="127"/>
        <v>0</v>
      </c>
      <c r="EN103" s="908">
        <f t="shared" si="127"/>
        <v>0</v>
      </c>
      <c r="EO103" s="908">
        <f t="shared" si="127"/>
        <v>0</v>
      </c>
      <c r="EP103" s="908">
        <f t="shared" si="127"/>
        <v>0</v>
      </c>
      <c r="EQ103" s="908">
        <f t="shared" si="127"/>
        <v>0</v>
      </c>
      <c r="ER103" s="908">
        <f t="shared" si="127"/>
        <v>0</v>
      </c>
    </row>
    <row r="104" spans="2:148" ht="11.25" customHeight="1">
      <c r="B104" s="218"/>
      <c r="C104" s="911" t="s">
        <v>231</v>
      </c>
      <c r="D104" s="912"/>
      <c r="E104" s="912"/>
      <c r="F104" s="912"/>
      <c r="G104" s="912"/>
      <c r="H104" s="912"/>
      <c r="I104" s="913"/>
      <c r="J104" s="914" t="b">
        <f>ABS(SUM(K104,K109)+'CF(M)'!J114)&lt;1</f>
        <v>1</v>
      </c>
      <c r="K104" s="918">
        <f>SUM(M104:ER104)</f>
        <v>47070453.350267738</v>
      </c>
      <c r="L104" s="98"/>
      <c r="M104" s="920">
        <f>-'CF(M)'!L$114*'FS_Detail(M)'!L81</f>
        <v>0</v>
      </c>
      <c r="N104" s="920">
        <f>-'CF(M)'!M$114*'FS_Detail(M)'!M81</f>
        <v>0</v>
      </c>
      <c r="O104" s="920">
        <f>-'CF(M)'!N$114*'FS_Detail(M)'!N81</f>
        <v>0</v>
      </c>
      <c r="P104" s="920">
        <f>-'CF(M)'!O$114*'FS_Detail(M)'!O81</f>
        <v>0</v>
      </c>
      <c r="Q104" s="920">
        <f>-'CF(M)'!P$114*'FS_Detail(M)'!P81</f>
        <v>0</v>
      </c>
      <c r="R104" s="920">
        <f>-'CF(M)'!Q$114*'FS_Detail(M)'!Q81</f>
        <v>0</v>
      </c>
      <c r="S104" s="920">
        <f>-'CF(M)'!R$114*'FS_Detail(M)'!R81</f>
        <v>0</v>
      </c>
      <c r="T104" s="920">
        <f>-'CF(M)'!S$114*'FS_Detail(M)'!S81</f>
        <v>0</v>
      </c>
      <c r="U104" s="920">
        <f>-'CF(M)'!T$114*'FS_Detail(M)'!T81</f>
        <v>0</v>
      </c>
      <c r="V104" s="920">
        <f>-'CF(M)'!U$114*'FS_Detail(M)'!U81</f>
        <v>0</v>
      </c>
      <c r="W104" s="920">
        <f>-'CF(M)'!V$114*'FS_Detail(M)'!V81</f>
        <v>0</v>
      </c>
      <c r="X104" s="920">
        <f>-'CF(M)'!W$114*'FS_Detail(M)'!W81</f>
        <v>0</v>
      </c>
      <c r="Y104" s="920">
        <f>-'CF(M)'!X$114*'FS_Detail(M)'!X81</f>
        <v>0</v>
      </c>
      <c r="Z104" s="920">
        <f>-'CF(M)'!Y$114*'FS_Detail(M)'!Y81</f>
        <v>0</v>
      </c>
      <c r="AA104" s="920">
        <f>-'CF(M)'!Z$114*'FS_Detail(M)'!Z81</f>
        <v>0</v>
      </c>
      <c r="AB104" s="920">
        <f>-'CF(M)'!AA$114*'FS_Detail(M)'!AA81</f>
        <v>0</v>
      </c>
      <c r="AC104" s="920">
        <f>-'CF(M)'!AB$114*'FS_Detail(M)'!AB81</f>
        <v>0</v>
      </c>
      <c r="AD104" s="920">
        <f>-'CF(M)'!AC$114*'FS_Detail(M)'!AC81</f>
        <v>0</v>
      </c>
      <c r="AE104" s="920">
        <f>-'CF(M)'!AD$114*'FS_Detail(M)'!AD81</f>
        <v>0</v>
      </c>
      <c r="AF104" s="920">
        <f>-'CF(M)'!AE$114*'FS_Detail(M)'!AE81</f>
        <v>0</v>
      </c>
      <c r="AG104" s="920">
        <f>-'CF(M)'!AF$114*'FS_Detail(M)'!AF81</f>
        <v>0</v>
      </c>
      <c r="AH104" s="920">
        <f>-'CF(M)'!AG$114*'FS_Detail(M)'!AG81</f>
        <v>0</v>
      </c>
      <c r="AI104" s="920">
        <f>-'CF(M)'!AH$114*'FS_Detail(M)'!AH81</f>
        <v>0</v>
      </c>
      <c r="AJ104" s="920">
        <f>-'CF(M)'!AI$114*'FS_Detail(M)'!AI81</f>
        <v>0</v>
      </c>
      <c r="AK104" s="920">
        <f>-'CF(M)'!AJ$114*'FS_Detail(M)'!AJ81</f>
        <v>0</v>
      </c>
      <c r="AL104" s="920">
        <f>-'CF(M)'!AK$114*'FS_Detail(M)'!AK81</f>
        <v>0</v>
      </c>
      <c r="AM104" s="920">
        <f>-'CF(M)'!AL$114*'FS_Detail(M)'!AL81</f>
        <v>0</v>
      </c>
      <c r="AN104" s="920">
        <f>-'CF(M)'!AM$114*'FS_Detail(M)'!AM81</f>
        <v>0</v>
      </c>
      <c r="AO104" s="920">
        <f>-'CF(M)'!AN$114*'FS_Detail(M)'!AN81</f>
        <v>0</v>
      </c>
      <c r="AP104" s="920">
        <f>-'CF(M)'!AO$114*'FS_Detail(M)'!AO81</f>
        <v>0</v>
      </c>
      <c r="AQ104" s="920">
        <f>-'CF(M)'!AP$114*'FS_Detail(M)'!AP81</f>
        <v>0</v>
      </c>
      <c r="AR104" s="920">
        <f>-'CF(M)'!AQ$114*'FS_Detail(M)'!AQ81</f>
        <v>0</v>
      </c>
      <c r="AS104" s="920">
        <f>-'CF(M)'!AR$114*'FS_Detail(M)'!AR81</f>
        <v>0</v>
      </c>
      <c r="AT104" s="920">
        <f>-'CF(M)'!AS$114*'FS_Detail(M)'!AS81</f>
        <v>0</v>
      </c>
      <c r="AU104" s="920">
        <f>-'CF(M)'!AT$114*'FS_Detail(M)'!AT81</f>
        <v>0</v>
      </c>
      <c r="AV104" s="920">
        <f>-'CF(M)'!AU$114*'FS_Detail(M)'!AU81</f>
        <v>0</v>
      </c>
      <c r="AW104" s="920">
        <f>-'CF(M)'!AV$114*'FS_Detail(M)'!AV81</f>
        <v>0</v>
      </c>
      <c r="AX104" s="920">
        <f>-'CF(M)'!AW$114*'FS_Detail(M)'!AW81</f>
        <v>0</v>
      </c>
      <c r="AY104" s="920">
        <f>-'CF(M)'!AX$114*'FS_Detail(M)'!AX81</f>
        <v>0</v>
      </c>
      <c r="AZ104" s="920">
        <f>-'CF(M)'!AY$114*'FS_Detail(M)'!AY81</f>
        <v>0</v>
      </c>
      <c r="BA104" s="920">
        <f>-'CF(M)'!AZ$114*'FS_Detail(M)'!AZ81</f>
        <v>0</v>
      </c>
      <c r="BB104" s="920">
        <f>-'CF(M)'!BA$114*'FS_Detail(M)'!BA81</f>
        <v>0</v>
      </c>
      <c r="BC104" s="920">
        <f>-'CF(M)'!BB$114*'FS_Detail(M)'!BB81</f>
        <v>0</v>
      </c>
      <c r="BD104" s="920">
        <f>-'CF(M)'!BC$114*'FS_Detail(M)'!BC81</f>
        <v>0</v>
      </c>
      <c r="BE104" s="920">
        <f>-'CF(M)'!BD$114*'FS_Detail(M)'!BD81</f>
        <v>0</v>
      </c>
      <c r="BF104" s="920">
        <f>-'CF(M)'!BE$114*'FS_Detail(M)'!BE81</f>
        <v>0</v>
      </c>
      <c r="BG104" s="920">
        <f>-'CF(M)'!BF$114*'FS_Detail(M)'!BF81</f>
        <v>0</v>
      </c>
      <c r="BH104" s="920">
        <f>-'CF(M)'!BG$114*'FS_Detail(M)'!BG81</f>
        <v>0</v>
      </c>
      <c r="BI104" s="920">
        <f>-'CF(M)'!BH$114*'FS_Detail(M)'!BH81</f>
        <v>0</v>
      </c>
      <c r="BJ104" s="920">
        <f>-'CF(M)'!BI$114*'FS_Detail(M)'!BI81</f>
        <v>0</v>
      </c>
      <c r="BK104" s="920">
        <f>-'CF(M)'!BJ$114*'FS_Detail(M)'!BJ81</f>
        <v>0</v>
      </c>
      <c r="BL104" s="920">
        <f>-'CF(M)'!BK$114*'FS_Detail(M)'!BK81</f>
        <v>0</v>
      </c>
      <c r="BM104" s="920">
        <f>-'CF(M)'!BL$114*'FS_Detail(M)'!BL81</f>
        <v>0</v>
      </c>
      <c r="BN104" s="920">
        <f>-'CF(M)'!BM$114*'FS_Detail(M)'!BM81</f>
        <v>0</v>
      </c>
      <c r="BO104" s="920">
        <f>-'CF(M)'!BN$114*'FS_Detail(M)'!BN81</f>
        <v>0</v>
      </c>
      <c r="BP104" s="920">
        <f>-'CF(M)'!BO$114*'FS_Detail(M)'!BO81</f>
        <v>0</v>
      </c>
      <c r="BQ104" s="920">
        <f>-'CF(M)'!BP$114*'FS_Detail(M)'!BP81</f>
        <v>0</v>
      </c>
      <c r="BR104" s="920">
        <f>-'CF(M)'!BQ$114*'FS_Detail(M)'!BQ81</f>
        <v>0</v>
      </c>
      <c r="BS104" s="920">
        <f>-'CF(M)'!BR$114*'FS_Detail(M)'!BR81</f>
        <v>0</v>
      </c>
      <c r="BT104" s="920">
        <f>-'CF(M)'!BS$114*'FS_Detail(M)'!BS81</f>
        <v>0</v>
      </c>
      <c r="BU104" s="920">
        <f>-'CF(M)'!BT$114*'FS_Detail(M)'!BT81</f>
        <v>0</v>
      </c>
      <c r="BV104" s="920">
        <f>-'CF(M)'!BU$114*'FS_Detail(M)'!BU81</f>
        <v>0</v>
      </c>
      <c r="BW104" s="920">
        <f>-'CF(M)'!BV$114*'FS_Detail(M)'!BV81</f>
        <v>0</v>
      </c>
      <c r="BX104" s="920">
        <f>-'CF(M)'!BW$114*'FS_Detail(M)'!BW81</f>
        <v>0</v>
      </c>
      <c r="BY104" s="920">
        <f>-'CF(M)'!BX$114*'FS_Detail(M)'!BX81</f>
        <v>0</v>
      </c>
      <c r="BZ104" s="920">
        <f>-'CF(M)'!BY$114*'FS_Detail(M)'!BY81</f>
        <v>0</v>
      </c>
      <c r="CA104" s="920">
        <f>-'CF(M)'!BZ$114*'FS_Detail(M)'!BZ81</f>
        <v>0</v>
      </c>
      <c r="CB104" s="920">
        <f>-'CF(M)'!CA$114*'FS_Detail(M)'!CA81</f>
        <v>0</v>
      </c>
      <c r="CC104" s="920">
        <f>-'CF(M)'!CB$114*'FS_Detail(M)'!CB81</f>
        <v>0</v>
      </c>
      <c r="CD104" s="920">
        <f>-'CF(M)'!CC$114*'FS_Detail(M)'!CC81</f>
        <v>0</v>
      </c>
      <c r="CE104" s="920">
        <f>-'CF(M)'!CD$114*'FS_Detail(M)'!CD81</f>
        <v>0</v>
      </c>
      <c r="CF104" s="920">
        <f>-'CF(M)'!CE$114*'FS_Detail(M)'!CE81</f>
        <v>0</v>
      </c>
      <c r="CG104" s="920">
        <f>-'CF(M)'!CF$114*'FS_Detail(M)'!CF81</f>
        <v>0</v>
      </c>
      <c r="CH104" s="920">
        <f>-'CF(M)'!CG$114*'FS_Detail(M)'!CG81</f>
        <v>0</v>
      </c>
      <c r="CI104" s="920">
        <f>-'CF(M)'!CH$114*'FS_Detail(M)'!CH81</f>
        <v>0</v>
      </c>
      <c r="CJ104" s="920">
        <f>-'CF(M)'!CI$114*'FS_Detail(M)'!CI81</f>
        <v>0</v>
      </c>
      <c r="CK104" s="920">
        <f>-'CF(M)'!CJ$114*'FS_Detail(M)'!CJ81</f>
        <v>0</v>
      </c>
      <c r="CL104" s="920">
        <f>-'CF(M)'!CK$114*'FS_Detail(M)'!CK81</f>
        <v>0</v>
      </c>
      <c r="CM104" s="920">
        <f>-'CF(M)'!CL$114*'FS_Detail(M)'!CL81</f>
        <v>0</v>
      </c>
      <c r="CN104" s="920">
        <f>-'CF(M)'!CM$114*'FS_Detail(M)'!CM81</f>
        <v>0</v>
      </c>
      <c r="CO104" s="920">
        <f>-'CF(M)'!CN$114*'FS_Detail(M)'!CN81</f>
        <v>0</v>
      </c>
      <c r="CP104" s="920">
        <f>-'CF(M)'!CO$114*'FS_Detail(M)'!CO81</f>
        <v>0</v>
      </c>
      <c r="CQ104" s="920">
        <f>-'CF(M)'!CP$114*'FS_Detail(M)'!CP81</f>
        <v>0</v>
      </c>
      <c r="CR104" s="920">
        <f>-'CF(M)'!CQ$114*'FS_Detail(M)'!CQ81</f>
        <v>0</v>
      </c>
      <c r="CS104" s="920">
        <f>-'CF(M)'!CR$114*'FS_Detail(M)'!CR81</f>
        <v>0</v>
      </c>
      <c r="CT104" s="920">
        <f>-'CF(M)'!CS$114*'FS_Detail(M)'!CS81</f>
        <v>0</v>
      </c>
      <c r="CU104" s="920">
        <f>-'CF(M)'!CT$114*'FS_Detail(M)'!CT81</f>
        <v>0</v>
      </c>
      <c r="CV104" s="920">
        <f>-'CF(M)'!CU$114*'FS_Detail(M)'!CU81</f>
        <v>0</v>
      </c>
      <c r="CW104" s="920">
        <f>-'CF(M)'!CV$114*'FS_Detail(M)'!CV81</f>
        <v>0</v>
      </c>
      <c r="CX104" s="920">
        <f>-'CF(M)'!CW$114*'FS_Detail(M)'!CW81</f>
        <v>0</v>
      </c>
      <c r="CY104" s="920">
        <f>-'CF(M)'!CX$114*'FS_Detail(M)'!CX81</f>
        <v>0</v>
      </c>
      <c r="CZ104" s="920">
        <f>-'CF(M)'!CY$114*'FS_Detail(M)'!CY81</f>
        <v>0</v>
      </c>
      <c r="DA104" s="920">
        <f>-'CF(M)'!CZ$114*'FS_Detail(M)'!CZ81</f>
        <v>0</v>
      </c>
      <c r="DB104" s="920">
        <f>-'CF(M)'!DA$114*'FS_Detail(M)'!DA81</f>
        <v>0</v>
      </c>
      <c r="DC104" s="920">
        <f>-'CF(M)'!DB$114*'FS_Detail(M)'!DB81</f>
        <v>0</v>
      </c>
      <c r="DD104" s="920">
        <f>-'CF(M)'!DC$114*'FS_Detail(M)'!DC81</f>
        <v>0</v>
      </c>
      <c r="DE104" s="920">
        <f>-'CF(M)'!DD$114*'FS_Detail(M)'!DD81</f>
        <v>0</v>
      </c>
      <c r="DF104" s="920">
        <f>-'CF(M)'!DE$114*'FS_Detail(M)'!DE81</f>
        <v>0</v>
      </c>
      <c r="DG104" s="920">
        <f>-'CF(M)'!DF$114*'FS_Detail(M)'!DF81</f>
        <v>0</v>
      </c>
      <c r="DH104" s="920">
        <f>-'CF(M)'!DG$114*'FS_Detail(M)'!DG81</f>
        <v>0</v>
      </c>
      <c r="DI104" s="920">
        <f>-'CF(M)'!DH$114*'FS_Detail(M)'!DH81</f>
        <v>0</v>
      </c>
      <c r="DJ104" s="920">
        <f>-'CF(M)'!DI$114*'FS_Detail(M)'!DI81</f>
        <v>0</v>
      </c>
      <c r="DK104" s="920">
        <f>-'CF(M)'!DJ$114*'FS_Detail(M)'!DJ81</f>
        <v>0</v>
      </c>
      <c r="DL104" s="920">
        <f>-'CF(M)'!DK$114*'FS_Detail(M)'!DK81</f>
        <v>0</v>
      </c>
      <c r="DM104" s="920">
        <f>-'CF(M)'!DL$114*'FS_Detail(M)'!DL81</f>
        <v>0</v>
      </c>
      <c r="DN104" s="920">
        <f>-'CF(M)'!DM$114*'FS_Detail(M)'!DM81</f>
        <v>0</v>
      </c>
      <c r="DO104" s="920">
        <f>-'CF(M)'!DN$114*'FS_Detail(M)'!DN81</f>
        <v>0</v>
      </c>
      <c r="DP104" s="920">
        <f>-'CF(M)'!DO$114*'FS_Detail(M)'!DO81</f>
        <v>0</v>
      </c>
      <c r="DQ104" s="920">
        <f>-'CF(M)'!DP$114*'FS_Detail(M)'!DP81</f>
        <v>0</v>
      </c>
      <c r="DR104" s="920">
        <f>-'CF(M)'!DQ$114*'FS_Detail(M)'!DQ81</f>
        <v>0</v>
      </c>
      <c r="DS104" s="920">
        <f>-'CF(M)'!DR$114*'FS_Detail(M)'!DR81</f>
        <v>0</v>
      </c>
      <c r="DT104" s="920">
        <f>-'CF(M)'!DS$114*'FS_Detail(M)'!DS81</f>
        <v>0</v>
      </c>
      <c r="DU104" s="920">
        <f>-'CF(M)'!DT$114*'FS_Detail(M)'!DT81</f>
        <v>0</v>
      </c>
      <c r="DV104" s="920">
        <f>-'CF(M)'!DU$114*'FS_Detail(M)'!DU81</f>
        <v>0</v>
      </c>
      <c r="DW104" s="920">
        <f>-'CF(M)'!DV$114*'FS_Detail(M)'!DV81</f>
        <v>0</v>
      </c>
      <c r="DX104" s="920">
        <f>-'CF(M)'!DW$114*'FS_Detail(M)'!DW81</f>
        <v>0</v>
      </c>
      <c r="DY104" s="920">
        <f>-'CF(M)'!DX$114*'FS_Detail(M)'!DX81</f>
        <v>0</v>
      </c>
      <c r="DZ104" s="920">
        <f>-'CF(M)'!DY$114*'FS_Detail(M)'!DY81</f>
        <v>0</v>
      </c>
      <c r="EA104" s="920">
        <f>-'CF(M)'!DZ$114*'FS_Detail(M)'!DZ81</f>
        <v>0</v>
      </c>
      <c r="EB104" s="920">
        <f>-'CF(M)'!EA$114*'FS_Detail(M)'!EA81</f>
        <v>0</v>
      </c>
      <c r="EC104" s="920">
        <f>-'CF(M)'!EB$114*'FS_Detail(M)'!EB81</f>
        <v>47070453.350267738</v>
      </c>
      <c r="ED104" s="920">
        <f>-'CF(M)'!EC$114*'FS_Detail(M)'!EC81</f>
        <v>0</v>
      </c>
      <c r="EE104" s="920">
        <f>-'CF(M)'!ED$114*'FS_Detail(M)'!ED81</f>
        <v>0</v>
      </c>
      <c r="EF104" s="920">
        <f>-'CF(M)'!EE$114*'FS_Detail(M)'!EE81</f>
        <v>0</v>
      </c>
      <c r="EG104" s="920">
        <f>-'CF(M)'!EF$114*'FS_Detail(M)'!EF81</f>
        <v>0</v>
      </c>
      <c r="EH104" s="920">
        <f>-'CF(M)'!EG$114*'FS_Detail(M)'!EG81</f>
        <v>0</v>
      </c>
      <c r="EI104" s="920">
        <f>-'CF(M)'!EH$114*'FS_Detail(M)'!EH81</f>
        <v>0</v>
      </c>
      <c r="EJ104" s="920">
        <f>-'CF(M)'!EI$114*'FS_Detail(M)'!EI81</f>
        <v>0</v>
      </c>
      <c r="EK104" s="920">
        <f>-'CF(M)'!EJ$114*'FS_Detail(M)'!EJ81</f>
        <v>0</v>
      </c>
      <c r="EL104" s="920">
        <f>-'CF(M)'!EK$114*'FS_Detail(M)'!EK81</f>
        <v>0</v>
      </c>
      <c r="EM104" s="920">
        <f>-'CF(M)'!EL$114*'FS_Detail(M)'!EL81</f>
        <v>0</v>
      </c>
      <c r="EN104" s="920">
        <f>-'CF(M)'!EM$114*'FS_Detail(M)'!EM81</f>
        <v>0</v>
      </c>
      <c r="EO104" s="920">
        <f>-'CF(M)'!EN$114*'FS_Detail(M)'!EN81</f>
        <v>0</v>
      </c>
      <c r="EP104" s="920">
        <f>-'CF(M)'!EO$114*'FS_Detail(M)'!EO81</f>
        <v>0</v>
      </c>
      <c r="EQ104" s="920">
        <f>-'CF(M)'!EP$114*'FS_Detail(M)'!EP81</f>
        <v>0</v>
      </c>
      <c r="ER104" s="920">
        <f>-'CF(M)'!EQ$114*'FS_Detail(M)'!EQ81</f>
        <v>0</v>
      </c>
    </row>
    <row r="105" spans="2:148" ht="11.25" customHeight="1">
      <c r="B105" s="218"/>
      <c r="C105" s="911" t="s">
        <v>232</v>
      </c>
      <c r="D105" s="912"/>
      <c r="E105" s="912"/>
      <c r="F105" s="912"/>
      <c r="G105" s="912"/>
      <c r="H105" s="912"/>
      <c r="I105" s="913"/>
      <c r="J105" s="914"/>
      <c r="K105" s="918">
        <f>SUM(M105:ER105)</f>
        <v>47070453.350267738</v>
      </c>
      <c r="L105" s="98"/>
      <c r="M105" s="920">
        <f t="shared" ref="M105:AR105" si="128">M104</f>
        <v>0</v>
      </c>
      <c r="N105" s="920">
        <f t="shared" si="128"/>
        <v>0</v>
      </c>
      <c r="O105" s="920">
        <f t="shared" si="128"/>
        <v>0</v>
      </c>
      <c r="P105" s="920">
        <f t="shared" si="128"/>
        <v>0</v>
      </c>
      <c r="Q105" s="920">
        <f t="shared" si="128"/>
        <v>0</v>
      </c>
      <c r="R105" s="920">
        <f t="shared" si="128"/>
        <v>0</v>
      </c>
      <c r="S105" s="920">
        <f t="shared" si="128"/>
        <v>0</v>
      </c>
      <c r="T105" s="920">
        <f t="shared" si="128"/>
        <v>0</v>
      </c>
      <c r="U105" s="920">
        <f t="shared" si="128"/>
        <v>0</v>
      </c>
      <c r="V105" s="920">
        <f t="shared" si="128"/>
        <v>0</v>
      </c>
      <c r="W105" s="920">
        <f t="shared" si="128"/>
        <v>0</v>
      </c>
      <c r="X105" s="920">
        <f t="shared" si="128"/>
        <v>0</v>
      </c>
      <c r="Y105" s="920">
        <f t="shared" si="128"/>
        <v>0</v>
      </c>
      <c r="Z105" s="920">
        <f t="shared" si="128"/>
        <v>0</v>
      </c>
      <c r="AA105" s="920">
        <f t="shared" si="128"/>
        <v>0</v>
      </c>
      <c r="AB105" s="920">
        <f t="shared" si="128"/>
        <v>0</v>
      </c>
      <c r="AC105" s="920">
        <f t="shared" si="128"/>
        <v>0</v>
      </c>
      <c r="AD105" s="920">
        <f t="shared" si="128"/>
        <v>0</v>
      </c>
      <c r="AE105" s="920">
        <f t="shared" si="128"/>
        <v>0</v>
      </c>
      <c r="AF105" s="920">
        <f t="shared" si="128"/>
        <v>0</v>
      </c>
      <c r="AG105" s="920">
        <f t="shared" si="128"/>
        <v>0</v>
      </c>
      <c r="AH105" s="920">
        <f t="shared" si="128"/>
        <v>0</v>
      </c>
      <c r="AI105" s="920">
        <f t="shared" si="128"/>
        <v>0</v>
      </c>
      <c r="AJ105" s="920">
        <f t="shared" si="128"/>
        <v>0</v>
      </c>
      <c r="AK105" s="920">
        <f t="shared" si="128"/>
        <v>0</v>
      </c>
      <c r="AL105" s="920">
        <f t="shared" si="128"/>
        <v>0</v>
      </c>
      <c r="AM105" s="920">
        <f t="shared" si="128"/>
        <v>0</v>
      </c>
      <c r="AN105" s="920">
        <f t="shared" si="128"/>
        <v>0</v>
      </c>
      <c r="AO105" s="920">
        <f t="shared" si="128"/>
        <v>0</v>
      </c>
      <c r="AP105" s="920">
        <f t="shared" si="128"/>
        <v>0</v>
      </c>
      <c r="AQ105" s="920">
        <f t="shared" si="128"/>
        <v>0</v>
      </c>
      <c r="AR105" s="920">
        <f t="shared" si="128"/>
        <v>0</v>
      </c>
      <c r="AS105" s="920">
        <f t="shared" ref="AS105:BX105" si="129">AS104</f>
        <v>0</v>
      </c>
      <c r="AT105" s="920">
        <f t="shared" si="129"/>
        <v>0</v>
      </c>
      <c r="AU105" s="920">
        <f t="shared" si="129"/>
        <v>0</v>
      </c>
      <c r="AV105" s="920">
        <f t="shared" si="129"/>
        <v>0</v>
      </c>
      <c r="AW105" s="920">
        <f t="shared" si="129"/>
        <v>0</v>
      </c>
      <c r="AX105" s="920">
        <f t="shared" si="129"/>
        <v>0</v>
      </c>
      <c r="AY105" s="920">
        <f t="shared" si="129"/>
        <v>0</v>
      </c>
      <c r="AZ105" s="920">
        <f t="shared" si="129"/>
        <v>0</v>
      </c>
      <c r="BA105" s="920">
        <f t="shared" si="129"/>
        <v>0</v>
      </c>
      <c r="BB105" s="920">
        <f t="shared" si="129"/>
        <v>0</v>
      </c>
      <c r="BC105" s="920">
        <f t="shared" si="129"/>
        <v>0</v>
      </c>
      <c r="BD105" s="920">
        <f t="shared" si="129"/>
        <v>0</v>
      </c>
      <c r="BE105" s="920">
        <f t="shared" si="129"/>
        <v>0</v>
      </c>
      <c r="BF105" s="920">
        <f t="shared" si="129"/>
        <v>0</v>
      </c>
      <c r="BG105" s="920">
        <f t="shared" si="129"/>
        <v>0</v>
      </c>
      <c r="BH105" s="920">
        <f t="shared" si="129"/>
        <v>0</v>
      </c>
      <c r="BI105" s="920">
        <f t="shared" si="129"/>
        <v>0</v>
      </c>
      <c r="BJ105" s="920">
        <f t="shared" si="129"/>
        <v>0</v>
      </c>
      <c r="BK105" s="920">
        <f t="shared" si="129"/>
        <v>0</v>
      </c>
      <c r="BL105" s="920">
        <f t="shared" si="129"/>
        <v>0</v>
      </c>
      <c r="BM105" s="920">
        <f t="shared" si="129"/>
        <v>0</v>
      </c>
      <c r="BN105" s="920">
        <f t="shared" si="129"/>
        <v>0</v>
      </c>
      <c r="BO105" s="920">
        <f t="shared" si="129"/>
        <v>0</v>
      </c>
      <c r="BP105" s="920">
        <f t="shared" si="129"/>
        <v>0</v>
      </c>
      <c r="BQ105" s="920">
        <f t="shared" si="129"/>
        <v>0</v>
      </c>
      <c r="BR105" s="920">
        <f t="shared" si="129"/>
        <v>0</v>
      </c>
      <c r="BS105" s="920">
        <f t="shared" si="129"/>
        <v>0</v>
      </c>
      <c r="BT105" s="920">
        <f t="shared" si="129"/>
        <v>0</v>
      </c>
      <c r="BU105" s="920">
        <f t="shared" si="129"/>
        <v>0</v>
      </c>
      <c r="BV105" s="920">
        <f t="shared" si="129"/>
        <v>0</v>
      </c>
      <c r="BW105" s="920">
        <f t="shared" si="129"/>
        <v>0</v>
      </c>
      <c r="BX105" s="920">
        <f t="shared" si="129"/>
        <v>0</v>
      </c>
      <c r="BY105" s="920">
        <f t="shared" ref="BY105:DD105" si="130">BY104</f>
        <v>0</v>
      </c>
      <c r="BZ105" s="920">
        <f t="shared" si="130"/>
        <v>0</v>
      </c>
      <c r="CA105" s="920">
        <f t="shared" si="130"/>
        <v>0</v>
      </c>
      <c r="CB105" s="920">
        <f t="shared" si="130"/>
        <v>0</v>
      </c>
      <c r="CC105" s="920">
        <f t="shared" si="130"/>
        <v>0</v>
      </c>
      <c r="CD105" s="920">
        <f t="shared" si="130"/>
        <v>0</v>
      </c>
      <c r="CE105" s="920">
        <f t="shared" si="130"/>
        <v>0</v>
      </c>
      <c r="CF105" s="920">
        <f t="shared" si="130"/>
        <v>0</v>
      </c>
      <c r="CG105" s="920">
        <f t="shared" si="130"/>
        <v>0</v>
      </c>
      <c r="CH105" s="920">
        <f t="shared" si="130"/>
        <v>0</v>
      </c>
      <c r="CI105" s="920">
        <f t="shared" si="130"/>
        <v>0</v>
      </c>
      <c r="CJ105" s="920">
        <f t="shared" si="130"/>
        <v>0</v>
      </c>
      <c r="CK105" s="920">
        <f t="shared" si="130"/>
        <v>0</v>
      </c>
      <c r="CL105" s="920">
        <f t="shared" si="130"/>
        <v>0</v>
      </c>
      <c r="CM105" s="920">
        <f t="shared" si="130"/>
        <v>0</v>
      </c>
      <c r="CN105" s="920">
        <f t="shared" si="130"/>
        <v>0</v>
      </c>
      <c r="CO105" s="920">
        <f t="shared" si="130"/>
        <v>0</v>
      </c>
      <c r="CP105" s="920">
        <f t="shared" si="130"/>
        <v>0</v>
      </c>
      <c r="CQ105" s="920">
        <f t="shared" si="130"/>
        <v>0</v>
      </c>
      <c r="CR105" s="920">
        <f t="shared" si="130"/>
        <v>0</v>
      </c>
      <c r="CS105" s="920">
        <f t="shared" si="130"/>
        <v>0</v>
      </c>
      <c r="CT105" s="920">
        <f t="shared" si="130"/>
        <v>0</v>
      </c>
      <c r="CU105" s="920">
        <f t="shared" si="130"/>
        <v>0</v>
      </c>
      <c r="CV105" s="920">
        <f t="shared" si="130"/>
        <v>0</v>
      </c>
      <c r="CW105" s="920">
        <f t="shared" si="130"/>
        <v>0</v>
      </c>
      <c r="CX105" s="920">
        <f t="shared" si="130"/>
        <v>0</v>
      </c>
      <c r="CY105" s="920">
        <f t="shared" si="130"/>
        <v>0</v>
      </c>
      <c r="CZ105" s="920">
        <f t="shared" si="130"/>
        <v>0</v>
      </c>
      <c r="DA105" s="920">
        <f t="shared" si="130"/>
        <v>0</v>
      </c>
      <c r="DB105" s="920">
        <f t="shared" si="130"/>
        <v>0</v>
      </c>
      <c r="DC105" s="920">
        <f t="shared" si="130"/>
        <v>0</v>
      </c>
      <c r="DD105" s="920">
        <f t="shared" si="130"/>
        <v>0</v>
      </c>
      <c r="DE105" s="920">
        <f t="shared" ref="DE105:DS105" si="131">DE104</f>
        <v>0</v>
      </c>
      <c r="DF105" s="920">
        <f t="shared" si="131"/>
        <v>0</v>
      </c>
      <c r="DG105" s="920">
        <f t="shared" si="131"/>
        <v>0</v>
      </c>
      <c r="DH105" s="920">
        <f t="shared" si="131"/>
        <v>0</v>
      </c>
      <c r="DI105" s="920">
        <f t="shared" si="131"/>
        <v>0</v>
      </c>
      <c r="DJ105" s="920">
        <f t="shared" si="131"/>
        <v>0</v>
      </c>
      <c r="DK105" s="920">
        <f t="shared" si="131"/>
        <v>0</v>
      </c>
      <c r="DL105" s="920">
        <f t="shared" si="131"/>
        <v>0</v>
      </c>
      <c r="DM105" s="920">
        <f t="shared" si="131"/>
        <v>0</v>
      </c>
      <c r="DN105" s="920">
        <f t="shared" si="131"/>
        <v>0</v>
      </c>
      <c r="DO105" s="920">
        <f t="shared" si="131"/>
        <v>0</v>
      </c>
      <c r="DP105" s="920">
        <f t="shared" si="131"/>
        <v>0</v>
      </c>
      <c r="DQ105" s="920">
        <f t="shared" si="131"/>
        <v>0</v>
      </c>
      <c r="DR105" s="920">
        <f t="shared" si="131"/>
        <v>0</v>
      </c>
      <c r="DS105" s="920">
        <f t="shared" si="131"/>
        <v>0</v>
      </c>
      <c r="DT105" s="920">
        <f t="shared" ref="DT105:ER105" si="132">DT104</f>
        <v>0</v>
      </c>
      <c r="DU105" s="920">
        <f t="shared" si="132"/>
        <v>0</v>
      </c>
      <c r="DV105" s="920">
        <f t="shared" si="132"/>
        <v>0</v>
      </c>
      <c r="DW105" s="920">
        <f t="shared" si="132"/>
        <v>0</v>
      </c>
      <c r="DX105" s="920">
        <f t="shared" si="132"/>
        <v>0</v>
      </c>
      <c r="DY105" s="920">
        <f t="shared" si="132"/>
        <v>0</v>
      </c>
      <c r="DZ105" s="920">
        <f t="shared" si="132"/>
        <v>0</v>
      </c>
      <c r="EA105" s="920">
        <f t="shared" si="132"/>
        <v>0</v>
      </c>
      <c r="EB105" s="920">
        <f t="shared" si="132"/>
        <v>0</v>
      </c>
      <c r="EC105" s="920">
        <f t="shared" si="132"/>
        <v>47070453.350267738</v>
      </c>
      <c r="ED105" s="920">
        <f t="shared" si="132"/>
        <v>0</v>
      </c>
      <c r="EE105" s="920">
        <f t="shared" si="132"/>
        <v>0</v>
      </c>
      <c r="EF105" s="920">
        <f t="shared" si="132"/>
        <v>0</v>
      </c>
      <c r="EG105" s="920">
        <f t="shared" si="132"/>
        <v>0</v>
      </c>
      <c r="EH105" s="920">
        <f t="shared" si="132"/>
        <v>0</v>
      </c>
      <c r="EI105" s="920">
        <f t="shared" si="132"/>
        <v>0</v>
      </c>
      <c r="EJ105" s="920">
        <f t="shared" si="132"/>
        <v>0</v>
      </c>
      <c r="EK105" s="920">
        <f t="shared" si="132"/>
        <v>0</v>
      </c>
      <c r="EL105" s="920">
        <f t="shared" si="132"/>
        <v>0</v>
      </c>
      <c r="EM105" s="920">
        <f t="shared" si="132"/>
        <v>0</v>
      </c>
      <c r="EN105" s="920">
        <f t="shared" si="132"/>
        <v>0</v>
      </c>
      <c r="EO105" s="920">
        <f t="shared" si="132"/>
        <v>0</v>
      </c>
      <c r="EP105" s="920">
        <f t="shared" si="132"/>
        <v>0</v>
      </c>
      <c r="EQ105" s="920">
        <f t="shared" si="132"/>
        <v>0</v>
      </c>
      <c r="ER105" s="920">
        <f t="shared" si="132"/>
        <v>0</v>
      </c>
    </row>
    <row r="106" spans="2:148" ht="11.25" customHeight="1" thickBot="1">
      <c r="B106" s="923"/>
      <c r="C106" s="924" t="s">
        <v>233</v>
      </c>
      <c r="D106" s="925"/>
      <c r="E106" s="925"/>
      <c r="F106" s="925"/>
      <c r="G106" s="925"/>
      <c r="H106" s="925"/>
      <c r="I106" s="926"/>
      <c r="J106" s="927"/>
      <c r="K106" s="928"/>
      <c r="L106" s="98"/>
      <c r="M106" s="922">
        <f t="shared" ref="M106:AR106" si="133">M103+M104-M105</f>
        <v>0</v>
      </c>
      <c r="N106" s="922">
        <f t="shared" si="133"/>
        <v>0</v>
      </c>
      <c r="O106" s="922">
        <f t="shared" si="133"/>
        <v>0</v>
      </c>
      <c r="P106" s="922">
        <f t="shared" si="133"/>
        <v>0</v>
      </c>
      <c r="Q106" s="922">
        <f t="shared" si="133"/>
        <v>0</v>
      </c>
      <c r="R106" s="922">
        <f t="shared" si="133"/>
        <v>0</v>
      </c>
      <c r="S106" s="922">
        <f t="shared" si="133"/>
        <v>0</v>
      </c>
      <c r="T106" s="922">
        <f t="shared" si="133"/>
        <v>0</v>
      </c>
      <c r="U106" s="922">
        <f t="shared" si="133"/>
        <v>0</v>
      </c>
      <c r="V106" s="922">
        <f t="shared" si="133"/>
        <v>0</v>
      </c>
      <c r="W106" s="922">
        <f t="shared" si="133"/>
        <v>0</v>
      </c>
      <c r="X106" s="922">
        <f t="shared" si="133"/>
        <v>0</v>
      </c>
      <c r="Y106" s="922">
        <f t="shared" si="133"/>
        <v>0</v>
      </c>
      <c r="Z106" s="922">
        <f t="shared" si="133"/>
        <v>0</v>
      </c>
      <c r="AA106" s="922">
        <f t="shared" si="133"/>
        <v>0</v>
      </c>
      <c r="AB106" s="922">
        <f t="shared" si="133"/>
        <v>0</v>
      </c>
      <c r="AC106" s="922">
        <f t="shared" si="133"/>
        <v>0</v>
      </c>
      <c r="AD106" s="922">
        <f t="shared" si="133"/>
        <v>0</v>
      </c>
      <c r="AE106" s="922">
        <f t="shared" si="133"/>
        <v>0</v>
      </c>
      <c r="AF106" s="922">
        <f t="shared" si="133"/>
        <v>0</v>
      </c>
      <c r="AG106" s="922">
        <f t="shared" si="133"/>
        <v>0</v>
      </c>
      <c r="AH106" s="922">
        <f t="shared" si="133"/>
        <v>0</v>
      </c>
      <c r="AI106" s="922">
        <f t="shared" si="133"/>
        <v>0</v>
      </c>
      <c r="AJ106" s="922">
        <f t="shared" si="133"/>
        <v>0</v>
      </c>
      <c r="AK106" s="922">
        <f t="shared" si="133"/>
        <v>0</v>
      </c>
      <c r="AL106" s="922">
        <f t="shared" si="133"/>
        <v>0</v>
      </c>
      <c r="AM106" s="922">
        <f t="shared" si="133"/>
        <v>0</v>
      </c>
      <c r="AN106" s="922">
        <f t="shared" si="133"/>
        <v>0</v>
      </c>
      <c r="AO106" s="922">
        <f t="shared" si="133"/>
        <v>0</v>
      </c>
      <c r="AP106" s="922">
        <f t="shared" si="133"/>
        <v>0</v>
      </c>
      <c r="AQ106" s="922">
        <f t="shared" si="133"/>
        <v>0</v>
      </c>
      <c r="AR106" s="922">
        <f t="shared" si="133"/>
        <v>0</v>
      </c>
      <c r="AS106" s="922">
        <f t="shared" ref="AS106:BX106" si="134">AS103+AS104-AS105</f>
        <v>0</v>
      </c>
      <c r="AT106" s="922">
        <f t="shared" si="134"/>
        <v>0</v>
      </c>
      <c r="AU106" s="922">
        <f t="shared" si="134"/>
        <v>0</v>
      </c>
      <c r="AV106" s="922">
        <f t="shared" si="134"/>
        <v>0</v>
      </c>
      <c r="AW106" s="922">
        <f t="shared" si="134"/>
        <v>0</v>
      </c>
      <c r="AX106" s="922">
        <f t="shared" si="134"/>
        <v>0</v>
      </c>
      <c r="AY106" s="922">
        <f t="shared" si="134"/>
        <v>0</v>
      </c>
      <c r="AZ106" s="922">
        <f t="shared" si="134"/>
        <v>0</v>
      </c>
      <c r="BA106" s="922">
        <f t="shared" si="134"/>
        <v>0</v>
      </c>
      <c r="BB106" s="922">
        <f t="shared" si="134"/>
        <v>0</v>
      </c>
      <c r="BC106" s="922">
        <f t="shared" si="134"/>
        <v>0</v>
      </c>
      <c r="BD106" s="922">
        <f t="shared" si="134"/>
        <v>0</v>
      </c>
      <c r="BE106" s="922">
        <f t="shared" si="134"/>
        <v>0</v>
      </c>
      <c r="BF106" s="922">
        <f t="shared" si="134"/>
        <v>0</v>
      </c>
      <c r="BG106" s="922">
        <f t="shared" si="134"/>
        <v>0</v>
      </c>
      <c r="BH106" s="922">
        <f t="shared" si="134"/>
        <v>0</v>
      </c>
      <c r="BI106" s="922">
        <f t="shared" si="134"/>
        <v>0</v>
      </c>
      <c r="BJ106" s="922">
        <f t="shared" si="134"/>
        <v>0</v>
      </c>
      <c r="BK106" s="922">
        <f t="shared" si="134"/>
        <v>0</v>
      </c>
      <c r="BL106" s="922">
        <f t="shared" si="134"/>
        <v>0</v>
      </c>
      <c r="BM106" s="922">
        <f t="shared" si="134"/>
        <v>0</v>
      </c>
      <c r="BN106" s="922">
        <f t="shared" si="134"/>
        <v>0</v>
      </c>
      <c r="BO106" s="922">
        <f t="shared" si="134"/>
        <v>0</v>
      </c>
      <c r="BP106" s="922">
        <f t="shared" si="134"/>
        <v>0</v>
      </c>
      <c r="BQ106" s="922">
        <f t="shared" si="134"/>
        <v>0</v>
      </c>
      <c r="BR106" s="922">
        <f t="shared" si="134"/>
        <v>0</v>
      </c>
      <c r="BS106" s="922">
        <f t="shared" si="134"/>
        <v>0</v>
      </c>
      <c r="BT106" s="922">
        <f t="shared" si="134"/>
        <v>0</v>
      </c>
      <c r="BU106" s="922">
        <f t="shared" si="134"/>
        <v>0</v>
      </c>
      <c r="BV106" s="922">
        <f t="shared" si="134"/>
        <v>0</v>
      </c>
      <c r="BW106" s="922">
        <f t="shared" si="134"/>
        <v>0</v>
      </c>
      <c r="BX106" s="922">
        <f t="shared" si="134"/>
        <v>0</v>
      </c>
      <c r="BY106" s="922">
        <f t="shared" ref="BY106:DD106" si="135">BY103+BY104-BY105</f>
        <v>0</v>
      </c>
      <c r="BZ106" s="922">
        <f t="shared" si="135"/>
        <v>0</v>
      </c>
      <c r="CA106" s="922">
        <f t="shared" si="135"/>
        <v>0</v>
      </c>
      <c r="CB106" s="922">
        <f t="shared" si="135"/>
        <v>0</v>
      </c>
      <c r="CC106" s="922">
        <f t="shared" si="135"/>
        <v>0</v>
      </c>
      <c r="CD106" s="922">
        <f t="shared" si="135"/>
        <v>0</v>
      </c>
      <c r="CE106" s="922">
        <f t="shared" si="135"/>
        <v>0</v>
      </c>
      <c r="CF106" s="922">
        <f t="shared" si="135"/>
        <v>0</v>
      </c>
      <c r="CG106" s="922">
        <f t="shared" si="135"/>
        <v>0</v>
      </c>
      <c r="CH106" s="922">
        <f t="shared" si="135"/>
        <v>0</v>
      </c>
      <c r="CI106" s="922">
        <f t="shared" si="135"/>
        <v>0</v>
      </c>
      <c r="CJ106" s="922">
        <f t="shared" si="135"/>
        <v>0</v>
      </c>
      <c r="CK106" s="922">
        <f t="shared" si="135"/>
        <v>0</v>
      </c>
      <c r="CL106" s="922">
        <f t="shared" si="135"/>
        <v>0</v>
      </c>
      <c r="CM106" s="922">
        <f t="shared" si="135"/>
        <v>0</v>
      </c>
      <c r="CN106" s="922">
        <f t="shared" si="135"/>
        <v>0</v>
      </c>
      <c r="CO106" s="922">
        <f t="shared" si="135"/>
        <v>0</v>
      </c>
      <c r="CP106" s="922">
        <f t="shared" si="135"/>
        <v>0</v>
      </c>
      <c r="CQ106" s="922">
        <f t="shared" si="135"/>
        <v>0</v>
      </c>
      <c r="CR106" s="922">
        <f t="shared" si="135"/>
        <v>0</v>
      </c>
      <c r="CS106" s="922">
        <f t="shared" si="135"/>
        <v>0</v>
      </c>
      <c r="CT106" s="922">
        <f t="shared" si="135"/>
        <v>0</v>
      </c>
      <c r="CU106" s="922">
        <f t="shared" si="135"/>
        <v>0</v>
      </c>
      <c r="CV106" s="922">
        <f t="shared" si="135"/>
        <v>0</v>
      </c>
      <c r="CW106" s="922">
        <f t="shared" si="135"/>
        <v>0</v>
      </c>
      <c r="CX106" s="922">
        <f t="shared" si="135"/>
        <v>0</v>
      </c>
      <c r="CY106" s="922">
        <f t="shared" si="135"/>
        <v>0</v>
      </c>
      <c r="CZ106" s="922">
        <f t="shared" si="135"/>
        <v>0</v>
      </c>
      <c r="DA106" s="922">
        <f t="shared" si="135"/>
        <v>0</v>
      </c>
      <c r="DB106" s="922">
        <f t="shared" si="135"/>
        <v>0</v>
      </c>
      <c r="DC106" s="922">
        <f t="shared" si="135"/>
        <v>0</v>
      </c>
      <c r="DD106" s="922">
        <f t="shared" si="135"/>
        <v>0</v>
      </c>
      <c r="DE106" s="922">
        <f t="shared" ref="DE106:DS106" si="136">DE103+DE104-DE105</f>
        <v>0</v>
      </c>
      <c r="DF106" s="922">
        <f t="shared" si="136"/>
        <v>0</v>
      </c>
      <c r="DG106" s="922">
        <f t="shared" si="136"/>
        <v>0</v>
      </c>
      <c r="DH106" s="922">
        <f t="shared" si="136"/>
        <v>0</v>
      </c>
      <c r="DI106" s="922">
        <f t="shared" si="136"/>
        <v>0</v>
      </c>
      <c r="DJ106" s="922">
        <f t="shared" si="136"/>
        <v>0</v>
      </c>
      <c r="DK106" s="922">
        <f t="shared" si="136"/>
        <v>0</v>
      </c>
      <c r="DL106" s="922">
        <f t="shared" si="136"/>
        <v>0</v>
      </c>
      <c r="DM106" s="922">
        <f t="shared" si="136"/>
        <v>0</v>
      </c>
      <c r="DN106" s="922">
        <f t="shared" si="136"/>
        <v>0</v>
      </c>
      <c r="DO106" s="922">
        <f t="shared" si="136"/>
        <v>0</v>
      </c>
      <c r="DP106" s="922">
        <f t="shared" si="136"/>
        <v>0</v>
      </c>
      <c r="DQ106" s="922">
        <f t="shared" si="136"/>
        <v>0</v>
      </c>
      <c r="DR106" s="922">
        <f t="shared" si="136"/>
        <v>0</v>
      </c>
      <c r="DS106" s="922">
        <f t="shared" si="136"/>
        <v>0</v>
      </c>
      <c r="DT106" s="922">
        <f t="shared" ref="DT106:ER106" si="137">DT103+DT104-DT105</f>
        <v>0</v>
      </c>
      <c r="DU106" s="922">
        <f t="shared" si="137"/>
        <v>0</v>
      </c>
      <c r="DV106" s="922">
        <f t="shared" si="137"/>
        <v>0</v>
      </c>
      <c r="DW106" s="922">
        <f t="shared" si="137"/>
        <v>0</v>
      </c>
      <c r="DX106" s="922">
        <f t="shared" si="137"/>
        <v>0</v>
      </c>
      <c r="DY106" s="922">
        <f t="shared" si="137"/>
        <v>0</v>
      </c>
      <c r="DZ106" s="922">
        <f t="shared" si="137"/>
        <v>0</v>
      </c>
      <c r="EA106" s="922">
        <f t="shared" si="137"/>
        <v>0</v>
      </c>
      <c r="EB106" s="922">
        <f t="shared" si="137"/>
        <v>0</v>
      </c>
      <c r="EC106" s="922">
        <f t="shared" si="137"/>
        <v>0</v>
      </c>
      <c r="ED106" s="922">
        <f t="shared" si="137"/>
        <v>0</v>
      </c>
      <c r="EE106" s="922">
        <f t="shared" si="137"/>
        <v>0</v>
      </c>
      <c r="EF106" s="922">
        <f t="shared" si="137"/>
        <v>0</v>
      </c>
      <c r="EG106" s="922">
        <f t="shared" si="137"/>
        <v>0</v>
      </c>
      <c r="EH106" s="922">
        <f t="shared" si="137"/>
        <v>0</v>
      </c>
      <c r="EI106" s="922">
        <f t="shared" si="137"/>
        <v>0</v>
      </c>
      <c r="EJ106" s="922">
        <f t="shared" si="137"/>
        <v>0</v>
      </c>
      <c r="EK106" s="922">
        <f t="shared" si="137"/>
        <v>0</v>
      </c>
      <c r="EL106" s="922">
        <f t="shared" si="137"/>
        <v>0</v>
      </c>
      <c r="EM106" s="922">
        <f t="shared" si="137"/>
        <v>0</v>
      </c>
      <c r="EN106" s="922">
        <f t="shared" si="137"/>
        <v>0</v>
      </c>
      <c r="EO106" s="922">
        <f t="shared" si="137"/>
        <v>0</v>
      </c>
      <c r="EP106" s="922">
        <f t="shared" si="137"/>
        <v>0</v>
      </c>
      <c r="EQ106" s="922">
        <f t="shared" si="137"/>
        <v>0</v>
      </c>
      <c r="ER106" s="922">
        <f t="shared" si="137"/>
        <v>0</v>
      </c>
    </row>
    <row r="107" spans="2:148" ht="11.25" customHeight="1" thickTop="1">
      <c r="B107" s="875" t="s">
        <v>623</v>
      </c>
      <c r="C107" s="876"/>
      <c r="D107" s="876"/>
      <c r="E107" s="876"/>
      <c r="F107" s="876"/>
      <c r="G107" s="876"/>
      <c r="H107" s="876"/>
      <c r="I107" s="877"/>
      <c r="J107" s="878"/>
      <c r="K107" s="919"/>
      <c r="M107" s="897"/>
      <c r="N107" s="897"/>
      <c r="O107" s="897"/>
      <c r="P107" s="897"/>
      <c r="Q107" s="897"/>
      <c r="R107" s="897"/>
      <c r="S107" s="897"/>
      <c r="T107" s="897"/>
      <c r="U107" s="897"/>
      <c r="V107" s="897"/>
      <c r="W107" s="897"/>
      <c r="X107" s="897"/>
      <c r="Y107" s="897"/>
      <c r="Z107" s="897"/>
      <c r="AA107" s="897"/>
      <c r="AB107" s="897"/>
      <c r="AC107" s="897"/>
      <c r="AD107" s="897"/>
      <c r="AE107" s="897"/>
      <c r="AF107" s="897"/>
      <c r="AG107" s="897"/>
      <c r="AH107" s="897"/>
      <c r="AI107" s="897"/>
      <c r="AJ107" s="897"/>
      <c r="AK107" s="897"/>
      <c r="AL107" s="897"/>
      <c r="AM107" s="897"/>
      <c r="AN107" s="897"/>
      <c r="AO107" s="897"/>
      <c r="AP107" s="897"/>
      <c r="AQ107" s="897"/>
      <c r="AR107" s="897"/>
      <c r="AS107" s="897"/>
      <c r="AT107" s="897"/>
      <c r="AU107" s="897"/>
      <c r="AV107" s="897"/>
      <c r="AW107" s="897"/>
      <c r="AX107" s="897"/>
      <c r="AY107" s="897"/>
      <c r="AZ107" s="897"/>
      <c r="BA107" s="897"/>
      <c r="BB107" s="897"/>
      <c r="BC107" s="897"/>
      <c r="BD107" s="897"/>
      <c r="BE107" s="897"/>
      <c r="BF107" s="897"/>
      <c r="BG107" s="897"/>
      <c r="BH107" s="897"/>
      <c r="BI107" s="897"/>
      <c r="BJ107" s="897"/>
      <c r="BK107" s="897"/>
      <c r="BL107" s="897"/>
      <c r="BM107" s="897"/>
      <c r="BN107" s="897"/>
      <c r="BO107" s="897"/>
      <c r="BP107" s="897"/>
      <c r="BQ107" s="897"/>
      <c r="BR107" s="897"/>
      <c r="BS107" s="897"/>
      <c r="BT107" s="897"/>
      <c r="BU107" s="897"/>
      <c r="BV107" s="897"/>
      <c r="BW107" s="897"/>
      <c r="BX107" s="897"/>
      <c r="BY107" s="897"/>
      <c r="BZ107" s="897"/>
      <c r="CA107" s="897"/>
      <c r="CB107" s="897"/>
      <c r="CC107" s="897"/>
      <c r="CD107" s="897"/>
      <c r="CE107" s="897"/>
      <c r="CF107" s="897"/>
      <c r="CG107" s="897"/>
      <c r="CH107" s="897"/>
      <c r="CI107" s="897"/>
      <c r="CJ107" s="897"/>
      <c r="CK107" s="897"/>
      <c r="CL107" s="897"/>
      <c r="CM107" s="897"/>
      <c r="CN107" s="897"/>
      <c r="CO107" s="897"/>
      <c r="CP107" s="897"/>
      <c r="CQ107" s="897"/>
      <c r="CR107" s="897"/>
      <c r="CS107" s="897"/>
      <c r="CT107" s="897"/>
      <c r="CU107" s="897"/>
      <c r="CV107" s="897"/>
      <c r="CW107" s="897"/>
      <c r="CX107" s="897"/>
      <c r="CY107" s="897"/>
      <c r="CZ107" s="897"/>
      <c r="DA107" s="897"/>
      <c r="DB107" s="897"/>
      <c r="DC107" s="897"/>
      <c r="DD107" s="897"/>
      <c r="DE107" s="897"/>
      <c r="DF107" s="897"/>
      <c r="DG107" s="897"/>
      <c r="DH107" s="897"/>
      <c r="DI107" s="897"/>
      <c r="DJ107" s="897"/>
      <c r="DK107" s="897"/>
      <c r="DL107" s="897"/>
      <c r="DM107" s="897"/>
      <c r="DN107" s="897"/>
      <c r="DO107" s="897"/>
      <c r="DP107" s="897"/>
      <c r="DQ107" s="897"/>
      <c r="DR107" s="897"/>
      <c r="DS107" s="897"/>
      <c r="DT107" s="897"/>
      <c r="DU107" s="897"/>
      <c r="DV107" s="897"/>
      <c r="DW107" s="897"/>
      <c r="DX107" s="897"/>
      <c r="DY107" s="897"/>
      <c r="DZ107" s="897"/>
      <c r="EA107" s="897"/>
      <c r="EB107" s="897"/>
      <c r="EC107" s="897"/>
      <c r="ED107" s="897"/>
      <c r="EE107" s="897"/>
      <c r="EF107" s="897"/>
      <c r="EG107" s="897"/>
      <c r="EH107" s="897"/>
      <c r="EI107" s="897"/>
      <c r="EJ107" s="897"/>
      <c r="EK107" s="897"/>
      <c r="EL107" s="897"/>
      <c r="EM107" s="897"/>
      <c r="EN107" s="897"/>
      <c r="EO107" s="897"/>
      <c r="EP107" s="897"/>
      <c r="EQ107" s="897"/>
      <c r="ER107" s="897"/>
    </row>
    <row r="108" spans="2:148" ht="11.25" customHeight="1">
      <c r="B108" s="218"/>
      <c r="C108" s="904" t="s">
        <v>230</v>
      </c>
      <c r="D108" s="905"/>
      <c r="E108" s="905"/>
      <c r="F108" s="905"/>
      <c r="G108" s="905"/>
      <c r="H108" s="905"/>
      <c r="I108" s="906"/>
      <c r="J108" s="907"/>
      <c r="K108" s="917"/>
      <c r="L108" s="98"/>
      <c r="M108" s="908">
        <f>L111</f>
        <v>0</v>
      </c>
      <c r="N108" s="908">
        <f t="shared" ref="N108:BY108" si="138">M111</f>
        <v>0</v>
      </c>
      <c r="O108" s="908">
        <f t="shared" si="138"/>
        <v>0</v>
      </c>
      <c r="P108" s="908">
        <f t="shared" si="138"/>
        <v>0</v>
      </c>
      <c r="Q108" s="908">
        <f t="shared" si="138"/>
        <v>0</v>
      </c>
      <c r="R108" s="908">
        <f t="shared" si="138"/>
        <v>0</v>
      </c>
      <c r="S108" s="908">
        <f t="shared" si="138"/>
        <v>0</v>
      </c>
      <c r="T108" s="908">
        <f t="shared" si="138"/>
        <v>0</v>
      </c>
      <c r="U108" s="908">
        <f t="shared" si="138"/>
        <v>0</v>
      </c>
      <c r="V108" s="908">
        <f t="shared" si="138"/>
        <v>0</v>
      </c>
      <c r="W108" s="908">
        <f t="shared" si="138"/>
        <v>0</v>
      </c>
      <c r="X108" s="908">
        <f t="shared" si="138"/>
        <v>0</v>
      </c>
      <c r="Y108" s="908">
        <f t="shared" si="138"/>
        <v>0</v>
      </c>
      <c r="Z108" s="908">
        <f t="shared" si="138"/>
        <v>0</v>
      </c>
      <c r="AA108" s="908">
        <f t="shared" si="138"/>
        <v>0</v>
      </c>
      <c r="AB108" s="908">
        <f t="shared" si="138"/>
        <v>0</v>
      </c>
      <c r="AC108" s="908">
        <f t="shared" si="138"/>
        <v>0</v>
      </c>
      <c r="AD108" s="908">
        <f t="shared" si="138"/>
        <v>0</v>
      </c>
      <c r="AE108" s="908">
        <f t="shared" si="138"/>
        <v>0</v>
      </c>
      <c r="AF108" s="908">
        <f t="shared" si="138"/>
        <v>0</v>
      </c>
      <c r="AG108" s="908">
        <f t="shared" si="138"/>
        <v>0</v>
      </c>
      <c r="AH108" s="908">
        <f t="shared" si="138"/>
        <v>0</v>
      </c>
      <c r="AI108" s="908">
        <f t="shared" si="138"/>
        <v>0</v>
      </c>
      <c r="AJ108" s="908">
        <f t="shared" si="138"/>
        <v>0</v>
      </c>
      <c r="AK108" s="908">
        <f t="shared" si="138"/>
        <v>0</v>
      </c>
      <c r="AL108" s="908">
        <f t="shared" si="138"/>
        <v>0</v>
      </c>
      <c r="AM108" s="908">
        <f t="shared" si="138"/>
        <v>0</v>
      </c>
      <c r="AN108" s="908">
        <f t="shared" si="138"/>
        <v>0</v>
      </c>
      <c r="AO108" s="908">
        <f t="shared" si="138"/>
        <v>0</v>
      </c>
      <c r="AP108" s="908">
        <f t="shared" si="138"/>
        <v>0</v>
      </c>
      <c r="AQ108" s="908">
        <f t="shared" si="138"/>
        <v>0</v>
      </c>
      <c r="AR108" s="908">
        <f t="shared" si="138"/>
        <v>0</v>
      </c>
      <c r="AS108" s="908">
        <f t="shared" si="138"/>
        <v>0</v>
      </c>
      <c r="AT108" s="908">
        <f t="shared" si="138"/>
        <v>0</v>
      </c>
      <c r="AU108" s="908">
        <f t="shared" si="138"/>
        <v>0</v>
      </c>
      <c r="AV108" s="908">
        <f t="shared" si="138"/>
        <v>0</v>
      </c>
      <c r="AW108" s="908">
        <f t="shared" si="138"/>
        <v>0</v>
      </c>
      <c r="AX108" s="908">
        <f t="shared" si="138"/>
        <v>0</v>
      </c>
      <c r="AY108" s="908">
        <f t="shared" si="138"/>
        <v>0</v>
      </c>
      <c r="AZ108" s="908">
        <f t="shared" si="138"/>
        <v>0</v>
      </c>
      <c r="BA108" s="908">
        <f t="shared" si="138"/>
        <v>0</v>
      </c>
      <c r="BB108" s="908">
        <f t="shared" si="138"/>
        <v>0</v>
      </c>
      <c r="BC108" s="908">
        <f t="shared" si="138"/>
        <v>0</v>
      </c>
      <c r="BD108" s="908">
        <f t="shared" si="138"/>
        <v>0</v>
      </c>
      <c r="BE108" s="908">
        <f t="shared" si="138"/>
        <v>0</v>
      </c>
      <c r="BF108" s="908">
        <f t="shared" si="138"/>
        <v>0</v>
      </c>
      <c r="BG108" s="908">
        <f t="shared" si="138"/>
        <v>0</v>
      </c>
      <c r="BH108" s="908">
        <f t="shared" si="138"/>
        <v>0</v>
      </c>
      <c r="BI108" s="908">
        <f t="shared" si="138"/>
        <v>0</v>
      </c>
      <c r="BJ108" s="908">
        <f t="shared" si="138"/>
        <v>0</v>
      </c>
      <c r="BK108" s="908">
        <f t="shared" si="138"/>
        <v>0</v>
      </c>
      <c r="BL108" s="908">
        <f t="shared" si="138"/>
        <v>0</v>
      </c>
      <c r="BM108" s="908">
        <f t="shared" si="138"/>
        <v>0</v>
      </c>
      <c r="BN108" s="908">
        <f t="shared" si="138"/>
        <v>0</v>
      </c>
      <c r="BO108" s="908">
        <f t="shared" si="138"/>
        <v>0</v>
      </c>
      <c r="BP108" s="908">
        <f t="shared" si="138"/>
        <v>0</v>
      </c>
      <c r="BQ108" s="908">
        <f t="shared" si="138"/>
        <v>0</v>
      </c>
      <c r="BR108" s="908">
        <f t="shared" si="138"/>
        <v>0</v>
      </c>
      <c r="BS108" s="908">
        <f t="shared" si="138"/>
        <v>0</v>
      </c>
      <c r="BT108" s="908">
        <f t="shared" si="138"/>
        <v>0</v>
      </c>
      <c r="BU108" s="908">
        <f t="shared" si="138"/>
        <v>0</v>
      </c>
      <c r="BV108" s="908">
        <f t="shared" si="138"/>
        <v>0</v>
      </c>
      <c r="BW108" s="908">
        <f t="shared" si="138"/>
        <v>0</v>
      </c>
      <c r="BX108" s="908">
        <f t="shared" si="138"/>
        <v>0</v>
      </c>
      <c r="BY108" s="908">
        <f t="shared" si="138"/>
        <v>0</v>
      </c>
      <c r="BZ108" s="908">
        <f t="shared" ref="BZ108:DT108" si="139">BY111</f>
        <v>0</v>
      </c>
      <c r="CA108" s="908">
        <f t="shared" si="139"/>
        <v>0</v>
      </c>
      <c r="CB108" s="908">
        <f t="shared" si="139"/>
        <v>0</v>
      </c>
      <c r="CC108" s="908">
        <f t="shared" si="139"/>
        <v>0</v>
      </c>
      <c r="CD108" s="908">
        <f t="shared" si="139"/>
        <v>0</v>
      </c>
      <c r="CE108" s="908">
        <f t="shared" si="139"/>
        <v>0</v>
      </c>
      <c r="CF108" s="908">
        <f t="shared" si="139"/>
        <v>0</v>
      </c>
      <c r="CG108" s="908">
        <f t="shared" si="139"/>
        <v>0</v>
      </c>
      <c r="CH108" s="908">
        <f t="shared" si="139"/>
        <v>0</v>
      </c>
      <c r="CI108" s="908">
        <f t="shared" si="139"/>
        <v>0</v>
      </c>
      <c r="CJ108" s="908">
        <f t="shared" si="139"/>
        <v>0</v>
      </c>
      <c r="CK108" s="908">
        <f t="shared" si="139"/>
        <v>0</v>
      </c>
      <c r="CL108" s="908">
        <f t="shared" si="139"/>
        <v>0</v>
      </c>
      <c r="CM108" s="908">
        <f t="shared" si="139"/>
        <v>0</v>
      </c>
      <c r="CN108" s="908">
        <f t="shared" si="139"/>
        <v>0</v>
      </c>
      <c r="CO108" s="908">
        <f t="shared" si="139"/>
        <v>0</v>
      </c>
      <c r="CP108" s="908">
        <f t="shared" si="139"/>
        <v>0</v>
      </c>
      <c r="CQ108" s="908">
        <f t="shared" si="139"/>
        <v>0</v>
      </c>
      <c r="CR108" s="908">
        <f t="shared" si="139"/>
        <v>0</v>
      </c>
      <c r="CS108" s="908">
        <f t="shared" si="139"/>
        <v>0</v>
      </c>
      <c r="CT108" s="908">
        <f t="shared" si="139"/>
        <v>0</v>
      </c>
      <c r="CU108" s="908">
        <f t="shared" si="139"/>
        <v>0</v>
      </c>
      <c r="CV108" s="908">
        <f t="shared" si="139"/>
        <v>0</v>
      </c>
      <c r="CW108" s="908">
        <f t="shared" si="139"/>
        <v>0</v>
      </c>
      <c r="CX108" s="908">
        <f t="shared" si="139"/>
        <v>0</v>
      </c>
      <c r="CY108" s="908">
        <f t="shared" si="139"/>
        <v>0</v>
      </c>
      <c r="CZ108" s="908">
        <f t="shared" si="139"/>
        <v>0</v>
      </c>
      <c r="DA108" s="908">
        <f t="shared" si="139"/>
        <v>0</v>
      </c>
      <c r="DB108" s="908">
        <f t="shared" si="139"/>
        <v>0</v>
      </c>
      <c r="DC108" s="908">
        <f t="shared" si="139"/>
        <v>0</v>
      </c>
      <c r="DD108" s="908">
        <f t="shared" si="139"/>
        <v>0</v>
      </c>
      <c r="DE108" s="908">
        <f t="shared" si="139"/>
        <v>0</v>
      </c>
      <c r="DF108" s="908">
        <f t="shared" si="139"/>
        <v>0</v>
      </c>
      <c r="DG108" s="908">
        <f t="shared" si="139"/>
        <v>0</v>
      </c>
      <c r="DH108" s="908">
        <f t="shared" si="139"/>
        <v>0</v>
      </c>
      <c r="DI108" s="908">
        <f t="shared" si="139"/>
        <v>0</v>
      </c>
      <c r="DJ108" s="908">
        <f t="shared" si="139"/>
        <v>0</v>
      </c>
      <c r="DK108" s="908">
        <f t="shared" si="139"/>
        <v>0</v>
      </c>
      <c r="DL108" s="908">
        <f t="shared" si="139"/>
        <v>0</v>
      </c>
      <c r="DM108" s="908">
        <f t="shared" si="139"/>
        <v>0</v>
      </c>
      <c r="DN108" s="908">
        <f t="shared" si="139"/>
        <v>0</v>
      </c>
      <c r="DO108" s="908">
        <f t="shared" si="139"/>
        <v>0</v>
      </c>
      <c r="DP108" s="908">
        <f t="shared" si="139"/>
        <v>0</v>
      </c>
      <c r="DQ108" s="908">
        <f t="shared" si="139"/>
        <v>0</v>
      </c>
      <c r="DR108" s="908">
        <f t="shared" si="139"/>
        <v>0</v>
      </c>
      <c r="DS108" s="908">
        <f t="shared" si="139"/>
        <v>0</v>
      </c>
      <c r="DT108" s="908">
        <f t="shared" si="139"/>
        <v>0</v>
      </c>
      <c r="DU108" s="908">
        <f t="shared" ref="DU108:ER108" si="140">DT111</f>
        <v>0</v>
      </c>
      <c r="DV108" s="908">
        <f t="shared" si="140"/>
        <v>0</v>
      </c>
      <c r="DW108" s="908">
        <f t="shared" si="140"/>
        <v>0</v>
      </c>
      <c r="DX108" s="908">
        <f t="shared" si="140"/>
        <v>0</v>
      </c>
      <c r="DY108" s="908">
        <f t="shared" si="140"/>
        <v>0</v>
      </c>
      <c r="DZ108" s="908">
        <f t="shared" si="140"/>
        <v>0</v>
      </c>
      <c r="EA108" s="908">
        <f t="shared" si="140"/>
        <v>0</v>
      </c>
      <c r="EB108" s="908">
        <f t="shared" si="140"/>
        <v>0</v>
      </c>
      <c r="EC108" s="908">
        <f t="shared" si="140"/>
        <v>0</v>
      </c>
      <c r="ED108" s="908">
        <f t="shared" si="140"/>
        <v>0</v>
      </c>
      <c r="EE108" s="908">
        <f t="shared" si="140"/>
        <v>0</v>
      </c>
      <c r="EF108" s="908">
        <f t="shared" si="140"/>
        <v>0</v>
      </c>
      <c r="EG108" s="908">
        <f t="shared" si="140"/>
        <v>0</v>
      </c>
      <c r="EH108" s="908">
        <f t="shared" si="140"/>
        <v>0</v>
      </c>
      <c r="EI108" s="908">
        <f t="shared" si="140"/>
        <v>0</v>
      </c>
      <c r="EJ108" s="908">
        <f t="shared" si="140"/>
        <v>0</v>
      </c>
      <c r="EK108" s="908">
        <f t="shared" si="140"/>
        <v>0</v>
      </c>
      <c r="EL108" s="908">
        <f t="shared" si="140"/>
        <v>0</v>
      </c>
      <c r="EM108" s="908">
        <f t="shared" si="140"/>
        <v>0</v>
      </c>
      <c r="EN108" s="908">
        <f t="shared" si="140"/>
        <v>0</v>
      </c>
      <c r="EO108" s="908">
        <f t="shared" si="140"/>
        <v>0</v>
      </c>
      <c r="EP108" s="908">
        <f t="shared" si="140"/>
        <v>0</v>
      </c>
      <c r="EQ108" s="908">
        <f t="shared" si="140"/>
        <v>0</v>
      </c>
      <c r="ER108" s="908">
        <f t="shared" si="140"/>
        <v>0</v>
      </c>
    </row>
    <row r="109" spans="2:148" ht="11.25" customHeight="1">
      <c r="B109" s="218"/>
      <c r="C109" s="911" t="s">
        <v>231</v>
      </c>
      <c r="D109" s="912"/>
      <c r="E109" s="912"/>
      <c r="F109" s="912"/>
      <c r="G109" s="912"/>
      <c r="H109" s="912"/>
      <c r="I109" s="913"/>
      <c r="J109" s="914"/>
      <c r="K109" s="918">
        <f>SUM(M109:ER109)</f>
        <v>0</v>
      </c>
      <c r="L109" s="98"/>
      <c r="M109" s="920">
        <f>-'CF(M)'!L$114*'FS_Detail(M)'!L$90</f>
        <v>0</v>
      </c>
      <c r="N109" s="920">
        <f>-'CF(M)'!M$114*'FS_Detail(M)'!M$90</f>
        <v>0</v>
      </c>
      <c r="O109" s="920">
        <f>-'CF(M)'!N$114*'FS_Detail(M)'!N$90</f>
        <v>0</v>
      </c>
      <c r="P109" s="920">
        <f>-'CF(M)'!O$114*'FS_Detail(M)'!O$90</f>
        <v>0</v>
      </c>
      <c r="Q109" s="920">
        <f>-'CF(M)'!P$114*'FS_Detail(M)'!P$90</f>
        <v>0</v>
      </c>
      <c r="R109" s="920">
        <f>-'CF(M)'!Q$114*'FS_Detail(M)'!Q$90</f>
        <v>0</v>
      </c>
      <c r="S109" s="920">
        <f>-'CF(M)'!R$114*'FS_Detail(M)'!R$90</f>
        <v>0</v>
      </c>
      <c r="T109" s="920">
        <f>-'CF(M)'!S$114*'FS_Detail(M)'!S$90</f>
        <v>0</v>
      </c>
      <c r="U109" s="920">
        <f>-'CF(M)'!T$114*'FS_Detail(M)'!T$90</f>
        <v>0</v>
      </c>
      <c r="V109" s="920">
        <f>-'CF(M)'!U$114*'FS_Detail(M)'!U$90</f>
        <v>0</v>
      </c>
      <c r="W109" s="920">
        <f>-'CF(M)'!V$114*'FS_Detail(M)'!V$90</f>
        <v>0</v>
      </c>
      <c r="X109" s="920">
        <f>-'CF(M)'!W$114*'FS_Detail(M)'!W$90</f>
        <v>0</v>
      </c>
      <c r="Y109" s="920">
        <f>-'CF(M)'!X$114*'FS_Detail(M)'!X$90</f>
        <v>0</v>
      </c>
      <c r="Z109" s="920">
        <f>-'CF(M)'!Y$114*'FS_Detail(M)'!Y$90</f>
        <v>0</v>
      </c>
      <c r="AA109" s="920">
        <f>-'CF(M)'!Z$114*'FS_Detail(M)'!Z$90</f>
        <v>0</v>
      </c>
      <c r="AB109" s="920">
        <f>-'CF(M)'!AA$114*'FS_Detail(M)'!AA$90</f>
        <v>0</v>
      </c>
      <c r="AC109" s="920">
        <f>-'CF(M)'!AB$114*'FS_Detail(M)'!AB$90</f>
        <v>0</v>
      </c>
      <c r="AD109" s="920">
        <f>-'CF(M)'!AC$114*'FS_Detail(M)'!AC$90</f>
        <v>0</v>
      </c>
      <c r="AE109" s="920">
        <f>-'CF(M)'!AD$114*'FS_Detail(M)'!AD$90</f>
        <v>0</v>
      </c>
      <c r="AF109" s="920">
        <f>-'CF(M)'!AE$114*'FS_Detail(M)'!AE$90</f>
        <v>0</v>
      </c>
      <c r="AG109" s="920">
        <f>-'CF(M)'!AF$114*'FS_Detail(M)'!AF$90</f>
        <v>0</v>
      </c>
      <c r="AH109" s="920">
        <f>-'CF(M)'!AG$114*'FS_Detail(M)'!AG$90</f>
        <v>0</v>
      </c>
      <c r="AI109" s="920">
        <f>-'CF(M)'!AH$114*'FS_Detail(M)'!AH$90</f>
        <v>0</v>
      </c>
      <c r="AJ109" s="920">
        <f>-'CF(M)'!AI$114*'FS_Detail(M)'!AI$90</f>
        <v>0</v>
      </c>
      <c r="AK109" s="920">
        <f>-'CF(M)'!AJ$114*'FS_Detail(M)'!AJ$90</f>
        <v>0</v>
      </c>
      <c r="AL109" s="920">
        <f>-'CF(M)'!AK$114*'FS_Detail(M)'!AK$90</f>
        <v>0</v>
      </c>
      <c r="AM109" s="920">
        <f>-'CF(M)'!AL$114*'FS_Detail(M)'!AL$90</f>
        <v>0</v>
      </c>
      <c r="AN109" s="920">
        <f>-'CF(M)'!AM$114*'FS_Detail(M)'!AM$90</f>
        <v>0</v>
      </c>
      <c r="AO109" s="920">
        <f>-'CF(M)'!AN$114*'FS_Detail(M)'!AN$90</f>
        <v>0</v>
      </c>
      <c r="AP109" s="920">
        <f>-'CF(M)'!AO$114*'FS_Detail(M)'!AO$90</f>
        <v>0</v>
      </c>
      <c r="AQ109" s="920">
        <f>-'CF(M)'!AP$114*'FS_Detail(M)'!AP$90</f>
        <v>0</v>
      </c>
      <c r="AR109" s="920">
        <f>-'CF(M)'!AQ$114*'FS_Detail(M)'!AQ$90</f>
        <v>0</v>
      </c>
      <c r="AS109" s="920">
        <f>-'CF(M)'!AR$114*'FS_Detail(M)'!AR$90</f>
        <v>0</v>
      </c>
      <c r="AT109" s="920">
        <f>-'CF(M)'!AS$114*'FS_Detail(M)'!AS$90</f>
        <v>0</v>
      </c>
      <c r="AU109" s="920">
        <f>-'CF(M)'!AT$114*'FS_Detail(M)'!AT$90</f>
        <v>0</v>
      </c>
      <c r="AV109" s="920">
        <f>-'CF(M)'!AU$114*'FS_Detail(M)'!AU$90</f>
        <v>0</v>
      </c>
      <c r="AW109" s="920">
        <f>-'CF(M)'!AV$114*'FS_Detail(M)'!AV$90</f>
        <v>0</v>
      </c>
      <c r="AX109" s="920">
        <f>-'CF(M)'!AW$114*'FS_Detail(M)'!AW$90</f>
        <v>0</v>
      </c>
      <c r="AY109" s="920">
        <f>-'CF(M)'!AX$114*'FS_Detail(M)'!AX$90</f>
        <v>0</v>
      </c>
      <c r="AZ109" s="920">
        <f>-'CF(M)'!AY$114*'FS_Detail(M)'!AY$90</f>
        <v>0</v>
      </c>
      <c r="BA109" s="920">
        <f>-'CF(M)'!AZ$114*'FS_Detail(M)'!AZ$90</f>
        <v>0</v>
      </c>
      <c r="BB109" s="920">
        <f>-'CF(M)'!BA$114*'FS_Detail(M)'!BA$90</f>
        <v>0</v>
      </c>
      <c r="BC109" s="920">
        <f>-'CF(M)'!BB$114*'FS_Detail(M)'!BB$90</f>
        <v>0</v>
      </c>
      <c r="BD109" s="920">
        <f>-'CF(M)'!BC$114*'FS_Detail(M)'!BC$90</f>
        <v>0</v>
      </c>
      <c r="BE109" s="920">
        <f>-'CF(M)'!BD$114*'FS_Detail(M)'!BD$90</f>
        <v>0</v>
      </c>
      <c r="BF109" s="920">
        <f>-'CF(M)'!BE$114*'FS_Detail(M)'!BE$90</f>
        <v>0</v>
      </c>
      <c r="BG109" s="920">
        <f>-'CF(M)'!BF$114*'FS_Detail(M)'!BF$90</f>
        <v>0</v>
      </c>
      <c r="BH109" s="920">
        <f>-'CF(M)'!BG$114*'FS_Detail(M)'!BG$90</f>
        <v>0</v>
      </c>
      <c r="BI109" s="920">
        <f>-'CF(M)'!BH$114*'FS_Detail(M)'!BH$90</f>
        <v>0</v>
      </c>
      <c r="BJ109" s="920">
        <f>-'CF(M)'!BI$114*'FS_Detail(M)'!BI$90</f>
        <v>0</v>
      </c>
      <c r="BK109" s="920">
        <f>-'CF(M)'!BJ$114*'FS_Detail(M)'!BJ$90</f>
        <v>0</v>
      </c>
      <c r="BL109" s="920">
        <f>-'CF(M)'!BK$114*'FS_Detail(M)'!BK$90</f>
        <v>0</v>
      </c>
      <c r="BM109" s="920">
        <f>-'CF(M)'!BL$114*'FS_Detail(M)'!BL$90</f>
        <v>0</v>
      </c>
      <c r="BN109" s="920">
        <f>-'CF(M)'!BM$114*'FS_Detail(M)'!BM$90</f>
        <v>0</v>
      </c>
      <c r="BO109" s="920">
        <f>-'CF(M)'!BN$114*'FS_Detail(M)'!BN$90</f>
        <v>0</v>
      </c>
      <c r="BP109" s="920">
        <f>-'CF(M)'!BO$114*'FS_Detail(M)'!BO$90</f>
        <v>0</v>
      </c>
      <c r="BQ109" s="920">
        <f>-'CF(M)'!BP$114*'FS_Detail(M)'!BP$90</f>
        <v>0</v>
      </c>
      <c r="BR109" s="920">
        <f>-'CF(M)'!BQ$114*'FS_Detail(M)'!BQ$90</f>
        <v>0</v>
      </c>
      <c r="BS109" s="920">
        <f>-'CF(M)'!BR$114*'FS_Detail(M)'!BR$90</f>
        <v>0</v>
      </c>
      <c r="BT109" s="920">
        <f>-'CF(M)'!BS$114*'FS_Detail(M)'!BS$90</f>
        <v>0</v>
      </c>
      <c r="BU109" s="920">
        <f>-'CF(M)'!BT$114*'FS_Detail(M)'!BT$90</f>
        <v>0</v>
      </c>
      <c r="BV109" s="920">
        <f>-'CF(M)'!BU$114*'FS_Detail(M)'!BU$90</f>
        <v>0</v>
      </c>
      <c r="BW109" s="920">
        <f>-'CF(M)'!BV$114*'FS_Detail(M)'!BV$90</f>
        <v>0</v>
      </c>
      <c r="BX109" s="920">
        <f>-'CF(M)'!BW$114*'FS_Detail(M)'!BW$90</f>
        <v>0</v>
      </c>
      <c r="BY109" s="920">
        <f>-'CF(M)'!BX$114*'FS_Detail(M)'!BX$90</f>
        <v>0</v>
      </c>
      <c r="BZ109" s="920">
        <f>-'CF(M)'!BY$114*'FS_Detail(M)'!BY$90</f>
        <v>0</v>
      </c>
      <c r="CA109" s="920">
        <f>-'CF(M)'!BZ$114*'FS_Detail(M)'!BZ$90</f>
        <v>0</v>
      </c>
      <c r="CB109" s="920">
        <f>-'CF(M)'!CA$114*'FS_Detail(M)'!CA$90</f>
        <v>0</v>
      </c>
      <c r="CC109" s="920">
        <f>-'CF(M)'!CB$114*'FS_Detail(M)'!CB$90</f>
        <v>0</v>
      </c>
      <c r="CD109" s="920">
        <f>-'CF(M)'!CC$114*'FS_Detail(M)'!CC$90</f>
        <v>0</v>
      </c>
      <c r="CE109" s="920">
        <f>-'CF(M)'!CD$114*'FS_Detail(M)'!CD$90</f>
        <v>0</v>
      </c>
      <c r="CF109" s="920">
        <f>-'CF(M)'!CE$114*'FS_Detail(M)'!CE$90</f>
        <v>0</v>
      </c>
      <c r="CG109" s="920">
        <f>-'CF(M)'!CF$114*'FS_Detail(M)'!CF$90</f>
        <v>0</v>
      </c>
      <c r="CH109" s="920">
        <f>-'CF(M)'!CG$114*'FS_Detail(M)'!CG$90</f>
        <v>0</v>
      </c>
      <c r="CI109" s="920">
        <f>-'CF(M)'!CH$114*'FS_Detail(M)'!CH$90</f>
        <v>0</v>
      </c>
      <c r="CJ109" s="920">
        <f>-'CF(M)'!CI$114*'FS_Detail(M)'!CI$90</f>
        <v>0</v>
      </c>
      <c r="CK109" s="920">
        <f>-'CF(M)'!CJ$114*'FS_Detail(M)'!CJ$90</f>
        <v>0</v>
      </c>
      <c r="CL109" s="920">
        <f>-'CF(M)'!CK$114*'FS_Detail(M)'!CK$90</f>
        <v>0</v>
      </c>
      <c r="CM109" s="920">
        <f>-'CF(M)'!CL$114*'FS_Detail(M)'!CL$90</f>
        <v>0</v>
      </c>
      <c r="CN109" s="920">
        <f>-'CF(M)'!CM$114*'FS_Detail(M)'!CM$90</f>
        <v>0</v>
      </c>
      <c r="CO109" s="920">
        <f>-'CF(M)'!CN$114*'FS_Detail(M)'!CN$90</f>
        <v>0</v>
      </c>
      <c r="CP109" s="920">
        <f>-'CF(M)'!CO$114*'FS_Detail(M)'!CO$90</f>
        <v>0</v>
      </c>
      <c r="CQ109" s="920">
        <f>-'CF(M)'!CP$114*'FS_Detail(M)'!CP$90</f>
        <v>0</v>
      </c>
      <c r="CR109" s="920">
        <f>-'CF(M)'!CQ$114*'FS_Detail(M)'!CQ$90</f>
        <v>0</v>
      </c>
      <c r="CS109" s="920">
        <f>-'CF(M)'!CR$114*'FS_Detail(M)'!CR$90</f>
        <v>0</v>
      </c>
      <c r="CT109" s="920">
        <f>-'CF(M)'!CS$114*'FS_Detail(M)'!CS$90</f>
        <v>0</v>
      </c>
      <c r="CU109" s="920">
        <f>-'CF(M)'!CT$114*'FS_Detail(M)'!CT$90</f>
        <v>0</v>
      </c>
      <c r="CV109" s="920">
        <f>-'CF(M)'!CU$114*'FS_Detail(M)'!CU$90</f>
        <v>0</v>
      </c>
      <c r="CW109" s="920">
        <f>-'CF(M)'!CV$114*'FS_Detail(M)'!CV$90</f>
        <v>0</v>
      </c>
      <c r="CX109" s="920">
        <f>-'CF(M)'!CW$114*'FS_Detail(M)'!CW$90</f>
        <v>0</v>
      </c>
      <c r="CY109" s="920">
        <f>-'CF(M)'!CX$114*'FS_Detail(M)'!CX$90</f>
        <v>0</v>
      </c>
      <c r="CZ109" s="920">
        <f>-'CF(M)'!CY$114*'FS_Detail(M)'!CY$90</f>
        <v>0</v>
      </c>
      <c r="DA109" s="920">
        <f>-'CF(M)'!CZ$114*'FS_Detail(M)'!CZ$90</f>
        <v>0</v>
      </c>
      <c r="DB109" s="920">
        <f>-'CF(M)'!DA$114*'FS_Detail(M)'!DA$90</f>
        <v>0</v>
      </c>
      <c r="DC109" s="920">
        <f>-'CF(M)'!DB$114*'FS_Detail(M)'!DB$90</f>
        <v>0</v>
      </c>
      <c r="DD109" s="920">
        <f>-'CF(M)'!DC$114*'FS_Detail(M)'!DC$90</f>
        <v>0</v>
      </c>
      <c r="DE109" s="920">
        <f>-'CF(M)'!DD$114*'FS_Detail(M)'!DD$90</f>
        <v>0</v>
      </c>
      <c r="DF109" s="920">
        <f>-'CF(M)'!DE$114*'FS_Detail(M)'!DE$90</f>
        <v>0</v>
      </c>
      <c r="DG109" s="920">
        <f>-'CF(M)'!DF$114*'FS_Detail(M)'!DF$90</f>
        <v>0</v>
      </c>
      <c r="DH109" s="920">
        <f>-'CF(M)'!DG$114*'FS_Detail(M)'!DG$90</f>
        <v>0</v>
      </c>
      <c r="DI109" s="920">
        <f>-'CF(M)'!DH$114*'FS_Detail(M)'!DH$90</f>
        <v>0</v>
      </c>
      <c r="DJ109" s="920">
        <f>-'CF(M)'!DI$114*'FS_Detail(M)'!DI$90</f>
        <v>0</v>
      </c>
      <c r="DK109" s="920">
        <f>-'CF(M)'!DJ$114*'FS_Detail(M)'!DJ$90</f>
        <v>0</v>
      </c>
      <c r="DL109" s="920">
        <f>-'CF(M)'!DK$114*'FS_Detail(M)'!DK$90</f>
        <v>0</v>
      </c>
      <c r="DM109" s="920">
        <f>-'CF(M)'!DL$114*'FS_Detail(M)'!DL$90</f>
        <v>0</v>
      </c>
      <c r="DN109" s="920">
        <f>-'CF(M)'!DM$114*'FS_Detail(M)'!DM$90</f>
        <v>0</v>
      </c>
      <c r="DO109" s="920">
        <f>-'CF(M)'!DN$114*'FS_Detail(M)'!DN$90</f>
        <v>0</v>
      </c>
      <c r="DP109" s="920">
        <f>-'CF(M)'!DO$114*'FS_Detail(M)'!DO$90</f>
        <v>0</v>
      </c>
      <c r="DQ109" s="920">
        <f>-'CF(M)'!DP$114*'FS_Detail(M)'!DP$90</f>
        <v>0</v>
      </c>
      <c r="DR109" s="920">
        <f>-'CF(M)'!DQ$114*'FS_Detail(M)'!DQ$90</f>
        <v>0</v>
      </c>
      <c r="DS109" s="920">
        <f>-'CF(M)'!DR$114*'FS_Detail(M)'!DR$90</f>
        <v>0</v>
      </c>
      <c r="DT109" s="920">
        <f>-'CF(M)'!DS$114*'FS_Detail(M)'!DS$90</f>
        <v>0</v>
      </c>
      <c r="DU109" s="920">
        <f>-'CF(M)'!DT$114*'FS_Detail(M)'!DT$90</f>
        <v>0</v>
      </c>
      <c r="DV109" s="920">
        <f>-'CF(M)'!DU$114*'FS_Detail(M)'!DU$90</f>
        <v>0</v>
      </c>
      <c r="DW109" s="920">
        <f>-'CF(M)'!DV$114*'FS_Detail(M)'!DV$90</f>
        <v>0</v>
      </c>
      <c r="DX109" s="920">
        <f>-'CF(M)'!DW$114*'FS_Detail(M)'!DW$90</f>
        <v>0</v>
      </c>
      <c r="DY109" s="920">
        <f>-'CF(M)'!DX$114*'FS_Detail(M)'!DX$90</f>
        <v>0</v>
      </c>
      <c r="DZ109" s="920">
        <f>-'CF(M)'!DY$114*'FS_Detail(M)'!DY$90</f>
        <v>0</v>
      </c>
      <c r="EA109" s="920">
        <f>-'CF(M)'!DZ$114*'FS_Detail(M)'!DZ$90</f>
        <v>0</v>
      </c>
      <c r="EB109" s="920">
        <f>-'CF(M)'!EA$114*'FS_Detail(M)'!EA$90</f>
        <v>0</v>
      </c>
      <c r="EC109" s="920">
        <f>-'CF(M)'!EB$114*'FS_Detail(M)'!EB$90</f>
        <v>0</v>
      </c>
      <c r="ED109" s="920">
        <f>-'CF(M)'!EC$114*'FS_Detail(M)'!EC$90</f>
        <v>0</v>
      </c>
      <c r="EE109" s="920">
        <f>-'CF(M)'!ED$114*'FS_Detail(M)'!ED$90</f>
        <v>0</v>
      </c>
      <c r="EF109" s="920">
        <f>-'CF(M)'!EE$114*'FS_Detail(M)'!EE$90</f>
        <v>0</v>
      </c>
      <c r="EG109" s="920">
        <f>-'CF(M)'!EF$114*'FS_Detail(M)'!EF$90</f>
        <v>0</v>
      </c>
      <c r="EH109" s="920">
        <f>-'CF(M)'!EG$114*'FS_Detail(M)'!EG$90</f>
        <v>0</v>
      </c>
      <c r="EI109" s="920">
        <f>-'CF(M)'!EH$114*'FS_Detail(M)'!EH$90</f>
        <v>0</v>
      </c>
      <c r="EJ109" s="920">
        <f>-'CF(M)'!EI$114*'FS_Detail(M)'!EI$90</f>
        <v>0</v>
      </c>
      <c r="EK109" s="920">
        <f>-'CF(M)'!EJ$114*'FS_Detail(M)'!EJ$90</f>
        <v>0</v>
      </c>
      <c r="EL109" s="920">
        <f>-'CF(M)'!EK$114*'FS_Detail(M)'!EK$90</f>
        <v>0</v>
      </c>
      <c r="EM109" s="920">
        <f>-'CF(M)'!EL$114*'FS_Detail(M)'!EL$90</f>
        <v>0</v>
      </c>
      <c r="EN109" s="920">
        <f>-'CF(M)'!EM$114*'FS_Detail(M)'!EM$90</f>
        <v>0</v>
      </c>
      <c r="EO109" s="920">
        <f>-'CF(M)'!EN$114*'FS_Detail(M)'!EN$90</f>
        <v>0</v>
      </c>
      <c r="EP109" s="920">
        <f>-'CF(M)'!EO$114*'FS_Detail(M)'!EO$90</f>
        <v>0</v>
      </c>
      <c r="EQ109" s="920">
        <f>-'CF(M)'!EP$114*'FS_Detail(M)'!EP$90</f>
        <v>0</v>
      </c>
      <c r="ER109" s="920">
        <f>-'CF(M)'!EQ$114*'FS_Detail(M)'!EQ$90</f>
        <v>0</v>
      </c>
    </row>
    <row r="110" spans="2:148" ht="11.25" customHeight="1">
      <c r="B110" s="218"/>
      <c r="C110" s="911" t="s">
        <v>232</v>
      </c>
      <c r="D110" s="912"/>
      <c r="E110" s="912"/>
      <c r="F110" s="912"/>
      <c r="G110" s="912"/>
      <c r="H110" s="912"/>
      <c r="I110" s="913"/>
      <c r="J110" s="914"/>
      <c r="K110" s="918">
        <f>SUM(M110:ER110)</f>
        <v>0</v>
      </c>
      <c r="L110" s="98"/>
      <c r="M110" s="920">
        <f t="shared" ref="M110:AR110" si="141">M109</f>
        <v>0</v>
      </c>
      <c r="N110" s="920">
        <f t="shared" si="141"/>
        <v>0</v>
      </c>
      <c r="O110" s="920">
        <f t="shared" si="141"/>
        <v>0</v>
      </c>
      <c r="P110" s="920">
        <f t="shared" si="141"/>
        <v>0</v>
      </c>
      <c r="Q110" s="920">
        <f t="shared" si="141"/>
        <v>0</v>
      </c>
      <c r="R110" s="920">
        <f t="shared" si="141"/>
        <v>0</v>
      </c>
      <c r="S110" s="920">
        <f t="shared" si="141"/>
        <v>0</v>
      </c>
      <c r="T110" s="920">
        <f t="shared" si="141"/>
        <v>0</v>
      </c>
      <c r="U110" s="920">
        <f t="shared" si="141"/>
        <v>0</v>
      </c>
      <c r="V110" s="920">
        <f t="shared" si="141"/>
        <v>0</v>
      </c>
      <c r="W110" s="920">
        <f t="shared" si="141"/>
        <v>0</v>
      </c>
      <c r="X110" s="920">
        <f t="shared" si="141"/>
        <v>0</v>
      </c>
      <c r="Y110" s="920">
        <f t="shared" si="141"/>
        <v>0</v>
      </c>
      <c r="Z110" s="920">
        <f t="shared" si="141"/>
        <v>0</v>
      </c>
      <c r="AA110" s="920">
        <f t="shared" si="141"/>
        <v>0</v>
      </c>
      <c r="AB110" s="920">
        <f t="shared" si="141"/>
        <v>0</v>
      </c>
      <c r="AC110" s="920">
        <f t="shared" si="141"/>
        <v>0</v>
      </c>
      <c r="AD110" s="920">
        <f t="shared" si="141"/>
        <v>0</v>
      </c>
      <c r="AE110" s="920">
        <f t="shared" si="141"/>
        <v>0</v>
      </c>
      <c r="AF110" s="920">
        <f t="shared" si="141"/>
        <v>0</v>
      </c>
      <c r="AG110" s="920">
        <f t="shared" si="141"/>
        <v>0</v>
      </c>
      <c r="AH110" s="920">
        <f t="shared" si="141"/>
        <v>0</v>
      </c>
      <c r="AI110" s="920">
        <f t="shared" si="141"/>
        <v>0</v>
      </c>
      <c r="AJ110" s="920">
        <f t="shared" si="141"/>
        <v>0</v>
      </c>
      <c r="AK110" s="920">
        <f t="shared" si="141"/>
        <v>0</v>
      </c>
      <c r="AL110" s="920">
        <f t="shared" si="141"/>
        <v>0</v>
      </c>
      <c r="AM110" s="920">
        <f t="shared" si="141"/>
        <v>0</v>
      </c>
      <c r="AN110" s="920">
        <f t="shared" si="141"/>
        <v>0</v>
      </c>
      <c r="AO110" s="920">
        <f t="shared" si="141"/>
        <v>0</v>
      </c>
      <c r="AP110" s="920">
        <f t="shared" si="141"/>
        <v>0</v>
      </c>
      <c r="AQ110" s="920">
        <f t="shared" si="141"/>
        <v>0</v>
      </c>
      <c r="AR110" s="920">
        <f t="shared" si="141"/>
        <v>0</v>
      </c>
      <c r="AS110" s="920">
        <f t="shared" ref="AS110:BX110" si="142">AS109</f>
        <v>0</v>
      </c>
      <c r="AT110" s="920">
        <f t="shared" si="142"/>
        <v>0</v>
      </c>
      <c r="AU110" s="920">
        <f t="shared" si="142"/>
        <v>0</v>
      </c>
      <c r="AV110" s="920">
        <f t="shared" si="142"/>
        <v>0</v>
      </c>
      <c r="AW110" s="920">
        <f t="shared" si="142"/>
        <v>0</v>
      </c>
      <c r="AX110" s="920">
        <f t="shared" si="142"/>
        <v>0</v>
      </c>
      <c r="AY110" s="920">
        <f t="shared" si="142"/>
        <v>0</v>
      </c>
      <c r="AZ110" s="920">
        <f t="shared" si="142"/>
        <v>0</v>
      </c>
      <c r="BA110" s="920">
        <f t="shared" si="142"/>
        <v>0</v>
      </c>
      <c r="BB110" s="920">
        <f t="shared" si="142"/>
        <v>0</v>
      </c>
      <c r="BC110" s="920">
        <f t="shared" si="142"/>
        <v>0</v>
      </c>
      <c r="BD110" s="920">
        <f t="shared" si="142"/>
        <v>0</v>
      </c>
      <c r="BE110" s="920">
        <f t="shared" si="142"/>
        <v>0</v>
      </c>
      <c r="BF110" s="920">
        <f t="shared" si="142"/>
        <v>0</v>
      </c>
      <c r="BG110" s="920">
        <f t="shared" si="142"/>
        <v>0</v>
      </c>
      <c r="BH110" s="920">
        <f t="shared" si="142"/>
        <v>0</v>
      </c>
      <c r="BI110" s="920">
        <f t="shared" si="142"/>
        <v>0</v>
      </c>
      <c r="BJ110" s="920">
        <f t="shared" si="142"/>
        <v>0</v>
      </c>
      <c r="BK110" s="920">
        <f t="shared" si="142"/>
        <v>0</v>
      </c>
      <c r="BL110" s="920">
        <f t="shared" si="142"/>
        <v>0</v>
      </c>
      <c r="BM110" s="920">
        <f t="shared" si="142"/>
        <v>0</v>
      </c>
      <c r="BN110" s="920">
        <f t="shared" si="142"/>
        <v>0</v>
      </c>
      <c r="BO110" s="920">
        <f t="shared" si="142"/>
        <v>0</v>
      </c>
      <c r="BP110" s="920">
        <f t="shared" si="142"/>
        <v>0</v>
      </c>
      <c r="BQ110" s="920">
        <f t="shared" si="142"/>
        <v>0</v>
      </c>
      <c r="BR110" s="920">
        <f t="shared" si="142"/>
        <v>0</v>
      </c>
      <c r="BS110" s="920">
        <f t="shared" si="142"/>
        <v>0</v>
      </c>
      <c r="BT110" s="920">
        <f t="shared" si="142"/>
        <v>0</v>
      </c>
      <c r="BU110" s="920">
        <f t="shared" si="142"/>
        <v>0</v>
      </c>
      <c r="BV110" s="920">
        <f t="shared" si="142"/>
        <v>0</v>
      </c>
      <c r="BW110" s="920">
        <f t="shared" si="142"/>
        <v>0</v>
      </c>
      <c r="BX110" s="920">
        <f t="shared" si="142"/>
        <v>0</v>
      </c>
      <c r="BY110" s="920">
        <f t="shared" ref="BY110:DD110" si="143">BY109</f>
        <v>0</v>
      </c>
      <c r="BZ110" s="920">
        <f t="shared" si="143"/>
        <v>0</v>
      </c>
      <c r="CA110" s="920">
        <f t="shared" si="143"/>
        <v>0</v>
      </c>
      <c r="CB110" s="920">
        <f t="shared" si="143"/>
        <v>0</v>
      </c>
      <c r="CC110" s="920">
        <f t="shared" si="143"/>
        <v>0</v>
      </c>
      <c r="CD110" s="920">
        <f t="shared" si="143"/>
        <v>0</v>
      </c>
      <c r="CE110" s="920">
        <f t="shared" si="143"/>
        <v>0</v>
      </c>
      <c r="CF110" s="920">
        <f t="shared" si="143"/>
        <v>0</v>
      </c>
      <c r="CG110" s="920">
        <f t="shared" si="143"/>
        <v>0</v>
      </c>
      <c r="CH110" s="920">
        <f t="shared" si="143"/>
        <v>0</v>
      </c>
      <c r="CI110" s="920">
        <f t="shared" si="143"/>
        <v>0</v>
      </c>
      <c r="CJ110" s="920">
        <f t="shared" si="143"/>
        <v>0</v>
      </c>
      <c r="CK110" s="920">
        <f t="shared" si="143"/>
        <v>0</v>
      </c>
      <c r="CL110" s="920">
        <f t="shared" si="143"/>
        <v>0</v>
      </c>
      <c r="CM110" s="920">
        <f t="shared" si="143"/>
        <v>0</v>
      </c>
      <c r="CN110" s="920">
        <f t="shared" si="143"/>
        <v>0</v>
      </c>
      <c r="CO110" s="920">
        <f t="shared" si="143"/>
        <v>0</v>
      </c>
      <c r="CP110" s="920">
        <f t="shared" si="143"/>
        <v>0</v>
      </c>
      <c r="CQ110" s="920">
        <f t="shared" si="143"/>
        <v>0</v>
      </c>
      <c r="CR110" s="920">
        <f t="shared" si="143"/>
        <v>0</v>
      </c>
      <c r="CS110" s="920">
        <f t="shared" si="143"/>
        <v>0</v>
      </c>
      <c r="CT110" s="920">
        <f t="shared" si="143"/>
        <v>0</v>
      </c>
      <c r="CU110" s="920">
        <f t="shared" si="143"/>
        <v>0</v>
      </c>
      <c r="CV110" s="920">
        <f t="shared" si="143"/>
        <v>0</v>
      </c>
      <c r="CW110" s="920">
        <f t="shared" si="143"/>
        <v>0</v>
      </c>
      <c r="CX110" s="920">
        <f t="shared" si="143"/>
        <v>0</v>
      </c>
      <c r="CY110" s="920">
        <f t="shared" si="143"/>
        <v>0</v>
      </c>
      <c r="CZ110" s="920">
        <f t="shared" si="143"/>
        <v>0</v>
      </c>
      <c r="DA110" s="920">
        <f t="shared" si="143"/>
        <v>0</v>
      </c>
      <c r="DB110" s="920">
        <f t="shared" si="143"/>
        <v>0</v>
      </c>
      <c r="DC110" s="920">
        <f t="shared" si="143"/>
        <v>0</v>
      </c>
      <c r="DD110" s="920">
        <f t="shared" si="143"/>
        <v>0</v>
      </c>
      <c r="DE110" s="920">
        <f t="shared" ref="DE110:DS110" si="144">DE109</f>
        <v>0</v>
      </c>
      <c r="DF110" s="920">
        <f t="shared" si="144"/>
        <v>0</v>
      </c>
      <c r="DG110" s="920">
        <f t="shared" si="144"/>
        <v>0</v>
      </c>
      <c r="DH110" s="920">
        <f t="shared" si="144"/>
        <v>0</v>
      </c>
      <c r="DI110" s="920">
        <f t="shared" si="144"/>
        <v>0</v>
      </c>
      <c r="DJ110" s="920">
        <f t="shared" si="144"/>
        <v>0</v>
      </c>
      <c r="DK110" s="920">
        <f t="shared" si="144"/>
        <v>0</v>
      </c>
      <c r="DL110" s="920">
        <f t="shared" si="144"/>
        <v>0</v>
      </c>
      <c r="DM110" s="920">
        <f t="shared" si="144"/>
        <v>0</v>
      </c>
      <c r="DN110" s="920">
        <f t="shared" si="144"/>
        <v>0</v>
      </c>
      <c r="DO110" s="920">
        <f t="shared" si="144"/>
        <v>0</v>
      </c>
      <c r="DP110" s="920">
        <f t="shared" si="144"/>
        <v>0</v>
      </c>
      <c r="DQ110" s="920">
        <f t="shared" si="144"/>
        <v>0</v>
      </c>
      <c r="DR110" s="920">
        <f t="shared" si="144"/>
        <v>0</v>
      </c>
      <c r="DS110" s="920">
        <f t="shared" si="144"/>
        <v>0</v>
      </c>
      <c r="DT110" s="920">
        <f t="shared" ref="DT110:ER110" si="145">DT109</f>
        <v>0</v>
      </c>
      <c r="DU110" s="920">
        <f t="shared" si="145"/>
        <v>0</v>
      </c>
      <c r="DV110" s="920">
        <f t="shared" si="145"/>
        <v>0</v>
      </c>
      <c r="DW110" s="920">
        <f t="shared" si="145"/>
        <v>0</v>
      </c>
      <c r="DX110" s="920">
        <f t="shared" si="145"/>
        <v>0</v>
      </c>
      <c r="DY110" s="920">
        <f t="shared" si="145"/>
        <v>0</v>
      </c>
      <c r="DZ110" s="920">
        <f t="shared" si="145"/>
        <v>0</v>
      </c>
      <c r="EA110" s="920">
        <f t="shared" si="145"/>
        <v>0</v>
      </c>
      <c r="EB110" s="920">
        <f t="shared" si="145"/>
        <v>0</v>
      </c>
      <c r="EC110" s="920">
        <f t="shared" si="145"/>
        <v>0</v>
      </c>
      <c r="ED110" s="920">
        <f t="shared" si="145"/>
        <v>0</v>
      </c>
      <c r="EE110" s="920">
        <f t="shared" si="145"/>
        <v>0</v>
      </c>
      <c r="EF110" s="920">
        <f t="shared" si="145"/>
        <v>0</v>
      </c>
      <c r="EG110" s="920">
        <f t="shared" si="145"/>
        <v>0</v>
      </c>
      <c r="EH110" s="920">
        <f t="shared" si="145"/>
        <v>0</v>
      </c>
      <c r="EI110" s="920">
        <f t="shared" si="145"/>
        <v>0</v>
      </c>
      <c r="EJ110" s="920">
        <f t="shared" si="145"/>
        <v>0</v>
      </c>
      <c r="EK110" s="920">
        <f t="shared" si="145"/>
        <v>0</v>
      </c>
      <c r="EL110" s="920">
        <f t="shared" si="145"/>
        <v>0</v>
      </c>
      <c r="EM110" s="920">
        <f t="shared" si="145"/>
        <v>0</v>
      </c>
      <c r="EN110" s="920">
        <f t="shared" si="145"/>
        <v>0</v>
      </c>
      <c r="EO110" s="920">
        <f t="shared" si="145"/>
        <v>0</v>
      </c>
      <c r="EP110" s="920">
        <f t="shared" si="145"/>
        <v>0</v>
      </c>
      <c r="EQ110" s="920">
        <f t="shared" si="145"/>
        <v>0</v>
      </c>
      <c r="ER110" s="920">
        <f t="shared" si="145"/>
        <v>0</v>
      </c>
    </row>
    <row r="111" spans="2:148" ht="11.25" customHeight="1" thickBot="1">
      <c r="B111" s="923"/>
      <c r="C111" s="924" t="s">
        <v>233</v>
      </c>
      <c r="D111" s="925"/>
      <c r="E111" s="925"/>
      <c r="F111" s="925"/>
      <c r="G111" s="925"/>
      <c r="H111" s="925"/>
      <c r="I111" s="926"/>
      <c r="J111" s="927"/>
      <c r="K111" s="928"/>
      <c r="L111" s="98"/>
      <c r="M111" s="922">
        <f t="shared" ref="M111:AR111" si="146">M108+M109-M110</f>
        <v>0</v>
      </c>
      <c r="N111" s="922">
        <f t="shared" si="146"/>
        <v>0</v>
      </c>
      <c r="O111" s="922">
        <f t="shared" si="146"/>
        <v>0</v>
      </c>
      <c r="P111" s="922">
        <f t="shared" si="146"/>
        <v>0</v>
      </c>
      <c r="Q111" s="922">
        <f t="shared" si="146"/>
        <v>0</v>
      </c>
      <c r="R111" s="922">
        <f t="shared" si="146"/>
        <v>0</v>
      </c>
      <c r="S111" s="922">
        <f t="shared" si="146"/>
        <v>0</v>
      </c>
      <c r="T111" s="922">
        <f t="shared" si="146"/>
        <v>0</v>
      </c>
      <c r="U111" s="922">
        <f t="shared" si="146"/>
        <v>0</v>
      </c>
      <c r="V111" s="922">
        <f t="shared" si="146"/>
        <v>0</v>
      </c>
      <c r="W111" s="922">
        <f t="shared" si="146"/>
        <v>0</v>
      </c>
      <c r="X111" s="922">
        <f t="shared" si="146"/>
        <v>0</v>
      </c>
      <c r="Y111" s="922">
        <f t="shared" si="146"/>
        <v>0</v>
      </c>
      <c r="Z111" s="922">
        <f t="shared" si="146"/>
        <v>0</v>
      </c>
      <c r="AA111" s="922">
        <f t="shared" si="146"/>
        <v>0</v>
      </c>
      <c r="AB111" s="922">
        <f t="shared" si="146"/>
        <v>0</v>
      </c>
      <c r="AC111" s="922">
        <f t="shared" si="146"/>
        <v>0</v>
      </c>
      <c r="AD111" s="922">
        <f t="shared" si="146"/>
        <v>0</v>
      </c>
      <c r="AE111" s="922">
        <f t="shared" si="146"/>
        <v>0</v>
      </c>
      <c r="AF111" s="922">
        <f t="shared" si="146"/>
        <v>0</v>
      </c>
      <c r="AG111" s="922">
        <f t="shared" si="146"/>
        <v>0</v>
      </c>
      <c r="AH111" s="922">
        <f t="shared" si="146"/>
        <v>0</v>
      </c>
      <c r="AI111" s="922">
        <f t="shared" si="146"/>
        <v>0</v>
      </c>
      <c r="AJ111" s="922">
        <f t="shared" si="146"/>
        <v>0</v>
      </c>
      <c r="AK111" s="922">
        <f t="shared" si="146"/>
        <v>0</v>
      </c>
      <c r="AL111" s="922">
        <f t="shared" si="146"/>
        <v>0</v>
      </c>
      <c r="AM111" s="922">
        <f t="shared" si="146"/>
        <v>0</v>
      </c>
      <c r="AN111" s="922">
        <f t="shared" si="146"/>
        <v>0</v>
      </c>
      <c r="AO111" s="922">
        <f t="shared" si="146"/>
        <v>0</v>
      </c>
      <c r="AP111" s="922">
        <f t="shared" si="146"/>
        <v>0</v>
      </c>
      <c r="AQ111" s="922">
        <f t="shared" si="146"/>
        <v>0</v>
      </c>
      <c r="AR111" s="922">
        <f t="shared" si="146"/>
        <v>0</v>
      </c>
      <c r="AS111" s="922">
        <f t="shared" ref="AS111:BX111" si="147">AS108+AS109-AS110</f>
        <v>0</v>
      </c>
      <c r="AT111" s="922">
        <f t="shared" si="147"/>
        <v>0</v>
      </c>
      <c r="AU111" s="922">
        <f t="shared" si="147"/>
        <v>0</v>
      </c>
      <c r="AV111" s="922">
        <f t="shared" si="147"/>
        <v>0</v>
      </c>
      <c r="AW111" s="922">
        <f t="shared" si="147"/>
        <v>0</v>
      </c>
      <c r="AX111" s="922">
        <f t="shared" si="147"/>
        <v>0</v>
      </c>
      <c r="AY111" s="922">
        <f t="shared" si="147"/>
        <v>0</v>
      </c>
      <c r="AZ111" s="922">
        <f t="shared" si="147"/>
        <v>0</v>
      </c>
      <c r="BA111" s="922">
        <f t="shared" si="147"/>
        <v>0</v>
      </c>
      <c r="BB111" s="922">
        <f t="shared" si="147"/>
        <v>0</v>
      </c>
      <c r="BC111" s="922">
        <f t="shared" si="147"/>
        <v>0</v>
      </c>
      <c r="BD111" s="922">
        <f t="shared" si="147"/>
        <v>0</v>
      </c>
      <c r="BE111" s="922">
        <f t="shared" si="147"/>
        <v>0</v>
      </c>
      <c r="BF111" s="922">
        <f t="shared" si="147"/>
        <v>0</v>
      </c>
      <c r="BG111" s="922">
        <f t="shared" si="147"/>
        <v>0</v>
      </c>
      <c r="BH111" s="922">
        <f t="shared" si="147"/>
        <v>0</v>
      </c>
      <c r="BI111" s="922">
        <f t="shared" si="147"/>
        <v>0</v>
      </c>
      <c r="BJ111" s="922">
        <f t="shared" si="147"/>
        <v>0</v>
      </c>
      <c r="BK111" s="922">
        <f t="shared" si="147"/>
        <v>0</v>
      </c>
      <c r="BL111" s="922">
        <f t="shared" si="147"/>
        <v>0</v>
      </c>
      <c r="BM111" s="922">
        <f t="shared" si="147"/>
        <v>0</v>
      </c>
      <c r="BN111" s="922">
        <f t="shared" si="147"/>
        <v>0</v>
      </c>
      <c r="BO111" s="922">
        <f t="shared" si="147"/>
        <v>0</v>
      </c>
      <c r="BP111" s="922">
        <f t="shared" si="147"/>
        <v>0</v>
      </c>
      <c r="BQ111" s="922">
        <f t="shared" si="147"/>
        <v>0</v>
      </c>
      <c r="BR111" s="922">
        <f t="shared" si="147"/>
        <v>0</v>
      </c>
      <c r="BS111" s="922">
        <f t="shared" si="147"/>
        <v>0</v>
      </c>
      <c r="BT111" s="922">
        <f t="shared" si="147"/>
        <v>0</v>
      </c>
      <c r="BU111" s="922">
        <f t="shared" si="147"/>
        <v>0</v>
      </c>
      <c r="BV111" s="922">
        <f t="shared" si="147"/>
        <v>0</v>
      </c>
      <c r="BW111" s="922">
        <f t="shared" si="147"/>
        <v>0</v>
      </c>
      <c r="BX111" s="922">
        <f t="shared" si="147"/>
        <v>0</v>
      </c>
      <c r="BY111" s="922">
        <f t="shared" ref="BY111:DD111" si="148">BY108+BY109-BY110</f>
        <v>0</v>
      </c>
      <c r="BZ111" s="922">
        <f t="shared" si="148"/>
        <v>0</v>
      </c>
      <c r="CA111" s="922">
        <f t="shared" si="148"/>
        <v>0</v>
      </c>
      <c r="CB111" s="922">
        <f t="shared" si="148"/>
        <v>0</v>
      </c>
      <c r="CC111" s="922">
        <f t="shared" si="148"/>
        <v>0</v>
      </c>
      <c r="CD111" s="922">
        <f t="shared" si="148"/>
        <v>0</v>
      </c>
      <c r="CE111" s="922">
        <f t="shared" si="148"/>
        <v>0</v>
      </c>
      <c r="CF111" s="922">
        <f t="shared" si="148"/>
        <v>0</v>
      </c>
      <c r="CG111" s="922">
        <f t="shared" si="148"/>
        <v>0</v>
      </c>
      <c r="CH111" s="922">
        <f t="shared" si="148"/>
        <v>0</v>
      </c>
      <c r="CI111" s="922">
        <f t="shared" si="148"/>
        <v>0</v>
      </c>
      <c r="CJ111" s="922">
        <f t="shared" si="148"/>
        <v>0</v>
      </c>
      <c r="CK111" s="922">
        <f t="shared" si="148"/>
        <v>0</v>
      </c>
      <c r="CL111" s="922">
        <f t="shared" si="148"/>
        <v>0</v>
      </c>
      <c r="CM111" s="922">
        <f t="shared" si="148"/>
        <v>0</v>
      </c>
      <c r="CN111" s="922">
        <f t="shared" si="148"/>
        <v>0</v>
      </c>
      <c r="CO111" s="922">
        <f t="shared" si="148"/>
        <v>0</v>
      </c>
      <c r="CP111" s="922">
        <f t="shared" si="148"/>
        <v>0</v>
      </c>
      <c r="CQ111" s="922">
        <f t="shared" si="148"/>
        <v>0</v>
      </c>
      <c r="CR111" s="922">
        <f t="shared" si="148"/>
        <v>0</v>
      </c>
      <c r="CS111" s="922">
        <f t="shared" si="148"/>
        <v>0</v>
      </c>
      <c r="CT111" s="922">
        <f t="shared" si="148"/>
        <v>0</v>
      </c>
      <c r="CU111" s="922">
        <f t="shared" si="148"/>
        <v>0</v>
      </c>
      <c r="CV111" s="922">
        <f t="shared" si="148"/>
        <v>0</v>
      </c>
      <c r="CW111" s="922">
        <f t="shared" si="148"/>
        <v>0</v>
      </c>
      <c r="CX111" s="922">
        <f t="shared" si="148"/>
        <v>0</v>
      </c>
      <c r="CY111" s="922">
        <f t="shared" si="148"/>
        <v>0</v>
      </c>
      <c r="CZ111" s="922">
        <f t="shared" si="148"/>
        <v>0</v>
      </c>
      <c r="DA111" s="922">
        <f t="shared" si="148"/>
        <v>0</v>
      </c>
      <c r="DB111" s="922">
        <f t="shared" si="148"/>
        <v>0</v>
      </c>
      <c r="DC111" s="922">
        <f t="shared" si="148"/>
        <v>0</v>
      </c>
      <c r="DD111" s="922">
        <f t="shared" si="148"/>
        <v>0</v>
      </c>
      <c r="DE111" s="922">
        <f t="shared" ref="DE111:DS111" si="149">DE108+DE109-DE110</f>
        <v>0</v>
      </c>
      <c r="DF111" s="922">
        <f t="shared" si="149"/>
        <v>0</v>
      </c>
      <c r="DG111" s="922">
        <f t="shared" si="149"/>
        <v>0</v>
      </c>
      <c r="DH111" s="922">
        <f t="shared" si="149"/>
        <v>0</v>
      </c>
      <c r="DI111" s="922">
        <f t="shared" si="149"/>
        <v>0</v>
      </c>
      <c r="DJ111" s="922">
        <f t="shared" si="149"/>
        <v>0</v>
      </c>
      <c r="DK111" s="922">
        <f t="shared" si="149"/>
        <v>0</v>
      </c>
      <c r="DL111" s="922">
        <f t="shared" si="149"/>
        <v>0</v>
      </c>
      <c r="DM111" s="922">
        <f t="shared" si="149"/>
        <v>0</v>
      </c>
      <c r="DN111" s="922">
        <f t="shared" si="149"/>
        <v>0</v>
      </c>
      <c r="DO111" s="922">
        <f t="shared" si="149"/>
        <v>0</v>
      </c>
      <c r="DP111" s="922">
        <f t="shared" si="149"/>
        <v>0</v>
      </c>
      <c r="DQ111" s="922">
        <f t="shared" si="149"/>
        <v>0</v>
      </c>
      <c r="DR111" s="922">
        <f t="shared" si="149"/>
        <v>0</v>
      </c>
      <c r="DS111" s="922">
        <f t="shared" si="149"/>
        <v>0</v>
      </c>
      <c r="DT111" s="922">
        <f t="shared" ref="DT111:ER111" si="150">DT108+DT109-DT110</f>
        <v>0</v>
      </c>
      <c r="DU111" s="922">
        <f t="shared" si="150"/>
        <v>0</v>
      </c>
      <c r="DV111" s="922">
        <f t="shared" si="150"/>
        <v>0</v>
      </c>
      <c r="DW111" s="922">
        <f t="shared" si="150"/>
        <v>0</v>
      </c>
      <c r="DX111" s="922">
        <f t="shared" si="150"/>
        <v>0</v>
      </c>
      <c r="DY111" s="922">
        <f t="shared" si="150"/>
        <v>0</v>
      </c>
      <c r="DZ111" s="922">
        <f t="shared" si="150"/>
        <v>0</v>
      </c>
      <c r="EA111" s="922">
        <f t="shared" si="150"/>
        <v>0</v>
      </c>
      <c r="EB111" s="922">
        <f t="shared" si="150"/>
        <v>0</v>
      </c>
      <c r="EC111" s="922">
        <f t="shared" si="150"/>
        <v>0</v>
      </c>
      <c r="ED111" s="922">
        <f t="shared" si="150"/>
        <v>0</v>
      </c>
      <c r="EE111" s="922">
        <f t="shared" si="150"/>
        <v>0</v>
      </c>
      <c r="EF111" s="922">
        <f t="shared" si="150"/>
        <v>0</v>
      </c>
      <c r="EG111" s="922">
        <f t="shared" si="150"/>
        <v>0</v>
      </c>
      <c r="EH111" s="922">
        <f t="shared" si="150"/>
        <v>0</v>
      </c>
      <c r="EI111" s="922">
        <f t="shared" si="150"/>
        <v>0</v>
      </c>
      <c r="EJ111" s="922">
        <f t="shared" si="150"/>
        <v>0</v>
      </c>
      <c r="EK111" s="922">
        <f t="shared" si="150"/>
        <v>0</v>
      </c>
      <c r="EL111" s="922">
        <f t="shared" si="150"/>
        <v>0</v>
      </c>
      <c r="EM111" s="922">
        <f t="shared" si="150"/>
        <v>0</v>
      </c>
      <c r="EN111" s="922">
        <f t="shared" si="150"/>
        <v>0</v>
      </c>
      <c r="EO111" s="922">
        <f t="shared" si="150"/>
        <v>0</v>
      </c>
      <c r="EP111" s="922">
        <f t="shared" si="150"/>
        <v>0</v>
      </c>
      <c r="EQ111" s="922">
        <f t="shared" si="150"/>
        <v>0</v>
      </c>
      <c r="ER111" s="922">
        <f t="shared" si="150"/>
        <v>0</v>
      </c>
    </row>
    <row r="112" spans="2:148" ht="11.25" customHeight="1" thickTop="1"/>
  </sheetData>
  <phoneticPr fontId="2"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1060D-72A2-4834-AB19-7964831590FD}">
  <sheetPr codeName="Sheet28"/>
  <dimension ref="A1:Y49"/>
  <sheetViews>
    <sheetView showGridLines="0" topLeftCell="A5" zoomScale="115" zoomScaleNormal="115" workbookViewId="0">
      <selection activeCell="A20" sqref="A20"/>
    </sheetView>
  </sheetViews>
  <sheetFormatPr defaultRowHeight="11.25" customHeight="1"/>
  <cols>
    <col min="2" max="2" width="13.5" customWidth="1"/>
    <col min="3" max="3" width="9.5" style="2191" customWidth="1"/>
    <col min="4" max="4" width="9.5" customWidth="1"/>
    <col min="5" max="5" width="9.5" style="2525" customWidth="1"/>
    <col min="6" max="6" width="51.625" style="2525" customWidth="1"/>
    <col min="7" max="7" width="2.625" style="2513" customWidth="1"/>
    <col min="9" max="9" width="11.375" bestFit="1" customWidth="1"/>
    <col min="10" max="10" width="11.25" bestFit="1" customWidth="1"/>
    <col min="11" max="24" width="11.125" bestFit="1" customWidth="1"/>
  </cols>
  <sheetData>
    <row r="1" spans="1:25" ht="11.25" customHeight="1">
      <c r="A1" t="s">
        <v>1229</v>
      </c>
      <c r="H1" s="2094">
        <v>3</v>
      </c>
      <c r="P1" t="s">
        <v>1236</v>
      </c>
      <c r="Q1" t="s">
        <v>1236</v>
      </c>
      <c r="R1" t="s">
        <v>1236</v>
      </c>
      <c r="S1" t="s">
        <v>1236</v>
      </c>
      <c r="T1" t="s">
        <v>1236</v>
      </c>
      <c r="U1" t="s">
        <v>1236</v>
      </c>
      <c r="V1" t="s">
        <v>1236</v>
      </c>
      <c r="W1" t="s">
        <v>1236</v>
      </c>
      <c r="X1" t="s">
        <v>1236</v>
      </c>
    </row>
    <row r="2" spans="1:25" ht="11.25" customHeight="1">
      <c r="C2" s="2565" t="s">
        <v>1681</v>
      </c>
      <c r="D2" s="2565" t="s">
        <v>1682</v>
      </c>
    </row>
    <row r="3" spans="1:25" ht="11.25" customHeight="1">
      <c r="C3" s="2528">
        <v>45901</v>
      </c>
      <c r="D3" s="2096">
        <f>I3</f>
        <v>46326</v>
      </c>
      <c r="H3" t="s">
        <v>119</v>
      </c>
      <c r="I3" s="2096">
        <f>'A&amp;R'!M32</f>
        <v>46326</v>
      </c>
      <c r="J3" s="2096">
        <f>I4+1</f>
        <v>46419</v>
      </c>
      <c r="K3" s="2096">
        <f t="shared" ref="K3:X3" si="0">J4+1</f>
        <v>46508</v>
      </c>
      <c r="L3" s="2096">
        <f t="shared" si="0"/>
        <v>46600</v>
      </c>
      <c r="M3" s="2096">
        <f t="shared" si="0"/>
        <v>46692</v>
      </c>
      <c r="N3" s="2096">
        <f t="shared" si="0"/>
        <v>46784</v>
      </c>
      <c r="O3" s="2096">
        <f t="shared" si="0"/>
        <v>46874</v>
      </c>
      <c r="P3" s="2096">
        <f t="shared" si="0"/>
        <v>46966</v>
      </c>
      <c r="Q3" s="2096">
        <f t="shared" si="0"/>
        <v>47058</v>
      </c>
      <c r="R3" s="2096">
        <f t="shared" si="0"/>
        <v>47150</v>
      </c>
      <c r="S3" s="2096">
        <f t="shared" si="0"/>
        <v>47239</v>
      </c>
      <c r="T3" s="2096">
        <f t="shared" si="0"/>
        <v>47331</v>
      </c>
      <c r="U3" s="2096">
        <f t="shared" si="0"/>
        <v>47423</v>
      </c>
      <c r="V3" s="2096">
        <f t="shared" si="0"/>
        <v>47515</v>
      </c>
      <c r="W3" s="2096">
        <f t="shared" si="0"/>
        <v>47604</v>
      </c>
      <c r="X3" s="2096">
        <f t="shared" si="0"/>
        <v>47696</v>
      </c>
    </row>
    <row r="4" spans="1:25" ht="11.25" customHeight="1">
      <c r="C4" s="2528">
        <v>46081</v>
      </c>
      <c r="D4" s="2096">
        <f>J4</f>
        <v>46507</v>
      </c>
      <c r="H4" t="s">
        <v>120</v>
      </c>
      <c r="I4" s="2096">
        <f>EOMONTH(I3-1,$H$1)</f>
        <v>46418</v>
      </c>
      <c r="J4" s="2096">
        <f>EOMONTH(J3-1,$H$1)</f>
        <v>46507</v>
      </c>
      <c r="K4" s="2096">
        <f t="shared" ref="K4:X4" si="1">EOMONTH(K3-1,$H$1)</f>
        <v>46599</v>
      </c>
      <c r="L4" s="2096">
        <f t="shared" si="1"/>
        <v>46691</v>
      </c>
      <c r="M4" s="2096">
        <f t="shared" si="1"/>
        <v>46783</v>
      </c>
      <c r="N4" s="2096">
        <f t="shared" si="1"/>
        <v>46873</v>
      </c>
      <c r="O4" s="2096">
        <f t="shared" si="1"/>
        <v>46965</v>
      </c>
      <c r="P4" s="2096">
        <f t="shared" si="1"/>
        <v>47057</v>
      </c>
      <c r="Q4" s="2096">
        <f t="shared" si="1"/>
        <v>47149</v>
      </c>
      <c r="R4" s="2096">
        <f t="shared" si="1"/>
        <v>47238</v>
      </c>
      <c r="S4" s="2096">
        <f t="shared" si="1"/>
        <v>47330</v>
      </c>
      <c r="T4" s="2096">
        <f t="shared" si="1"/>
        <v>47422</v>
      </c>
      <c r="U4" s="2096">
        <f t="shared" si="1"/>
        <v>47514</v>
      </c>
      <c r="V4" s="2096">
        <f t="shared" si="1"/>
        <v>47603</v>
      </c>
      <c r="W4" s="2096">
        <f t="shared" si="1"/>
        <v>47695</v>
      </c>
      <c r="X4" s="2096">
        <f t="shared" si="1"/>
        <v>47787</v>
      </c>
    </row>
    <row r="5" spans="1:25" ht="11.25" customHeight="1">
      <c r="A5" s="3070" t="s">
        <v>1206</v>
      </c>
      <c r="B5" s="3070"/>
      <c r="C5" s="2529" t="s">
        <v>1676</v>
      </c>
      <c r="D5" s="2521" t="s">
        <v>1677</v>
      </c>
      <c r="E5" s="2521" t="s">
        <v>1678</v>
      </c>
      <c r="F5" s="2568" t="s">
        <v>1679</v>
      </c>
      <c r="G5" s="2514"/>
      <c r="H5" s="2508" t="s">
        <v>104</v>
      </c>
      <c r="I5" s="2095">
        <v>1</v>
      </c>
      <c r="J5" s="2095">
        <f>I5+1</f>
        <v>2</v>
      </c>
      <c r="K5" s="2095">
        <f t="shared" ref="K5:X5" si="2">J5+1</f>
        <v>3</v>
      </c>
      <c r="L5" s="2095">
        <f t="shared" si="2"/>
        <v>4</v>
      </c>
      <c r="M5" s="2095">
        <f t="shared" si="2"/>
        <v>5</v>
      </c>
      <c r="N5" s="2095">
        <f t="shared" si="2"/>
        <v>6</v>
      </c>
      <c r="O5" s="2095">
        <f t="shared" si="2"/>
        <v>7</v>
      </c>
      <c r="P5" s="2095">
        <f t="shared" si="2"/>
        <v>8</v>
      </c>
      <c r="Q5" s="2095">
        <f t="shared" si="2"/>
        <v>9</v>
      </c>
      <c r="R5" s="2095">
        <f t="shared" si="2"/>
        <v>10</v>
      </c>
      <c r="S5" s="2095">
        <f t="shared" si="2"/>
        <v>11</v>
      </c>
      <c r="T5" s="2095">
        <f t="shared" si="2"/>
        <v>12</v>
      </c>
      <c r="U5" s="2095">
        <f t="shared" si="2"/>
        <v>13</v>
      </c>
      <c r="V5" s="2095">
        <f t="shared" si="2"/>
        <v>14</v>
      </c>
      <c r="W5" s="2095">
        <f t="shared" si="2"/>
        <v>15</v>
      </c>
      <c r="X5" s="2095">
        <f t="shared" si="2"/>
        <v>16</v>
      </c>
    </row>
    <row r="6" spans="1:25" ht="11.25" customHeight="1">
      <c r="A6" s="3071" t="s">
        <v>1207</v>
      </c>
      <c r="B6" s="3071"/>
      <c r="C6" s="2530">
        <f>SUM(C7:C9)</f>
        <v>6876.7254700000003</v>
      </c>
      <c r="D6" s="2101">
        <f>SUM(D7:D9)</f>
        <v>7464.3223097152804</v>
      </c>
      <c r="E6" s="2101">
        <f>D6-C6</f>
        <v>587.59683971528011</v>
      </c>
      <c r="F6" s="2101"/>
      <c r="G6" s="2515"/>
      <c r="H6" s="2509">
        <f t="shared" ref="H6:H33" si="3">SUM(I6:X6)</f>
        <v>31019.959627661996</v>
      </c>
      <c r="I6" s="2101">
        <f>SUM(I7:I9)</f>
        <v>3692.0650452947502</v>
      </c>
      <c r="J6" s="2101">
        <f t="shared" ref="J6:X6" si="4">SUM(J7:J9)</f>
        <v>3772.2572644205302</v>
      </c>
      <c r="K6" s="2101">
        <f t="shared" si="4"/>
        <v>3859.1154334992816</v>
      </c>
      <c r="L6" s="2101">
        <f t="shared" si="4"/>
        <v>4013.662476061781</v>
      </c>
      <c r="M6" s="2101">
        <f t="shared" si="4"/>
        <v>3774.9495923339682</v>
      </c>
      <c r="N6" s="2101">
        <f t="shared" si="4"/>
        <v>3857.1466169378946</v>
      </c>
      <c r="O6" s="2101">
        <f t="shared" si="4"/>
        <v>3946.1762402436129</v>
      </c>
      <c r="P6" s="2101">
        <f t="shared" si="4"/>
        <v>4104.5869588701753</v>
      </c>
      <c r="Q6" s="2101">
        <f t="shared" si="4"/>
        <v>0</v>
      </c>
      <c r="R6" s="2101">
        <f t="shared" si="4"/>
        <v>0</v>
      </c>
      <c r="S6" s="2101">
        <f t="shared" si="4"/>
        <v>0</v>
      </c>
      <c r="T6" s="2101">
        <f t="shared" si="4"/>
        <v>0</v>
      </c>
      <c r="U6" s="2101">
        <f t="shared" si="4"/>
        <v>0</v>
      </c>
      <c r="V6" s="2101">
        <f t="shared" si="4"/>
        <v>0</v>
      </c>
      <c r="W6" s="2101">
        <f t="shared" si="4"/>
        <v>0</v>
      </c>
      <c r="X6" s="2101">
        <f t="shared" si="4"/>
        <v>0</v>
      </c>
      <c r="Y6" t="b">
        <f>ABS(SUM('IS(M)'!N18:AK18)/1000-H6)&lt;1</f>
        <v>1</v>
      </c>
    </row>
    <row r="7" spans="1:25" s="2542" customFormat="1" ht="37.5" customHeight="1">
      <c r="A7" s="2537"/>
      <c r="B7" s="2538" t="s">
        <v>1208</v>
      </c>
      <c r="C7" s="2539">
        <v>5952.5440550000003</v>
      </c>
      <c r="D7" s="2540">
        <f>I7+J7</f>
        <v>7005.428644640624</v>
      </c>
      <c r="E7" s="2540">
        <f t="shared" ref="E7:E23" si="5">D7-C7</f>
        <v>1052.8845896406237</v>
      </c>
      <c r="F7" s="2540" t="s">
        <v>1688</v>
      </c>
      <c r="G7" s="2516"/>
      <c r="H7" s="2541">
        <f t="shared" si="3"/>
        <v>29157.84655407703</v>
      </c>
      <c r="I7" s="2540">
        <f>SUMIF('IS(M)'!$M$13:$ER$13,I$5,'IS(M)'!$M19:$ER19)/1000</f>
        <v>3463.8900165</v>
      </c>
      <c r="J7" s="2540">
        <f>SUMIF('IS(M)'!$M$13:$ER$13,J$5,'IS(M)'!$M19:$ER19)/1000</f>
        <v>3541.538628140624</v>
      </c>
      <c r="K7" s="2540">
        <f>SUMIF('IS(M)'!$M$13:$ER$13,K$5,'IS(M)'!$M19:$ER19)/1000</f>
        <v>3627.4132146890629</v>
      </c>
      <c r="L7" s="2540">
        <f>SUMIF('IS(M)'!$M$13:$ER$13,L$5,'IS(M)'!$M19:$ER19)/1000</f>
        <v>3781.9602572515623</v>
      </c>
      <c r="M7" s="2540">
        <f>SUMIF('IS(M)'!$M$13:$ER$13,M$5,'IS(M)'!$M19:$ER19)/1000</f>
        <v>3542.4553339124996</v>
      </c>
      <c r="N7" s="2540">
        <f>SUMIF('IS(M)'!$M$13:$ER$13,N$5,'IS(M)'!$M19:$ER19)/1000</f>
        <v>3622.0451608441408</v>
      </c>
      <c r="O7" s="2540">
        <f>SUMIF('IS(M)'!$M$13:$ER$13,O$5,'IS(M)'!$M19:$ER19)/1000</f>
        <v>3710.0666120562887</v>
      </c>
      <c r="P7" s="2540">
        <f>SUMIF('IS(M)'!$M$13:$ER$13,P$5,'IS(M)'!$M19:$ER19)/1000</f>
        <v>3868.4773306828515</v>
      </c>
      <c r="Q7" s="2540">
        <f>SUMIF('IS(M)'!$M$13:$ER$13,Q$5,'IS(M)'!$M19:$ER19)/1000</f>
        <v>0</v>
      </c>
      <c r="R7" s="2540">
        <f>SUMIF('IS(M)'!$M$13:$ER$13,R$5,'IS(M)'!$M19:$ER19)/1000</f>
        <v>0</v>
      </c>
      <c r="S7" s="2540">
        <f>SUMIF('IS(M)'!$M$13:$ER$13,S$5,'IS(M)'!$M19:$ER19)/1000</f>
        <v>0</v>
      </c>
      <c r="T7" s="2540">
        <f>SUMIF('IS(M)'!$M$13:$ER$13,T$5,'IS(M)'!$M19:$ER19)/1000</f>
        <v>0</v>
      </c>
      <c r="U7" s="2540">
        <f>SUMIF('IS(M)'!$M$13:$ER$13,U$5,'IS(M)'!$M19:$ER19)/1000</f>
        <v>0</v>
      </c>
      <c r="V7" s="2540">
        <f>SUMIF('IS(M)'!$M$13:$ER$13,V$5,'IS(M)'!$M19:$ER19)/1000</f>
        <v>0</v>
      </c>
      <c r="W7" s="2540">
        <f>SUMIF('IS(M)'!$M$13:$ER$13,W$5,'IS(M)'!$M19:$ER19)/1000</f>
        <v>0</v>
      </c>
      <c r="X7" s="2540">
        <f>SUMIF('IS(M)'!$M$13:$ER$13,X$5,'IS(M)'!$M19:$ER19)/1000</f>
        <v>0</v>
      </c>
    </row>
    <row r="8" spans="1:25" s="2542" customFormat="1" ht="11.25" customHeight="1">
      <c r="A8" s="2543"/>
      <c r="B8" s="2544" t="s">
        <v>1209</v>
      </c>
      <c r="C8" s="2545">
        <v>350.63686200000001</v>
      </c>
      <c r="D8" s="2546">
        <f t="shared" ref="D8:D9" si="6">I8+J8</f>
        <v>387.42205762265627</v>
      </c>
      <c r="E8" s="2546">
        <f t="shared" si="5"/>
        <v>36.785195622656261</v>
      </c>
      <c r="F8" s="2546" t="s">
        <v>1687</v>
      </c>
      <c r="G8" s="2516"/>
      <c r="H8" s="2547">
        <f t="shared" si="3"/>
        <v>1576.2266437769647</v>
      </c>
      <c r="I8" s="2546">
        <f>SUMIF('IS(M)'!$M$13:$ER$13,I$5,'IS(M)'!$M20:$ER20)/1000</f>
        <v>192.43922506875001</v>
      </c>
      <c r="J8" s="2546">
        <f>SUMIF('IS(M)'!$M$13:$ER$13,J$5,'IS(M)'!$M20:$ER20)/1000</f>
        <v>194.98283255390626</v>
      </c>
      <c r="K8" s="2546">
        <f>SUMIF('IS(M)'!$M$13:$ER$13,K$5,'IS(M)'!$M20:$ER20)/1000</f>
        <v>195.96641508421874</v>
      </c>
      <c r="L8" s="2546">
        <f>SUMIF('IS(M)'!$M$13:$ER$13,L$5,'IS(M)'!$M20:$ER20)/1000</f>
        <v>195.96641508421874</v>
      </c>
      <c r="M8" s="2546">
        <f>SUMIF('IS(M)'!$M$13:$ER$13,M$5,'IS(M)'!$M20:$ER20)/1000</f>
        <v>196.75845469546874</v>
      </c>
      <c r="N8" s="2546">
        <f>SUMIF('IS(M)'!$M$13:$ER$13,N$5,'IS(M)'!$M20:$ER20)/1000</f>
        <v>199.36565236775388</v>
      </c>
      <c r="O8" s="2546">
        <f>SUMIF('IS(M)'!$M$13:$ER$13,O$5,'IS(M)'!$M20:$ER20)/1000</f>
        <v>200.37382446132423</v>
      </c>
      <c r="P8" s="2546">
        <f>SUMIF('IS(M)'!$M$13:$ER$13,P$5,'IS(M)'!$M20:$ER20)/1000</f>
        <v>200.37382446132423</v>
      </c>
      <c r="Q8" s="2546">
        <f>SUMIF('IS(M)'!$M$13:$ER$13,Q$5,'IS(M)'!$M20:$ER20)/1000</f>
        <v>0</v>
      </c>
      <c r="R8" s="2546">
        <f>SUMIF('IS(M)'!$M$13:$ER$13,R$5,'IS(M)'!$M20:$ER20)/1000</f>
        <v>0</v>
      </c>
      <c r="S8" s="2546">
        <f>SUMIF('IS(M)'!$M$13:$ER$13,S$5,'IS(M)'!$M20:$ER20)/1000</f>
        <v>0</v>
      </c>
      <c r="T8" s="2546">
        <f>SUMIF('IS(M)'!$M$13:$ER$13,T$5,'IS(M)'!$M20:$ER20)/1000</f>
        <v>0</v>
      </c>
      <c r="U8" s="2546">
        <f>SUMIF('IS(M)'!$M$13:$ER$13,U$5,'IS(M)'!$M20:$ER20)/1000</f>
        <v>0</v>
      </c>
      <c r="V8" s="2546">
        <f>SUMIF('IS(M)'!$M$13:$ER$13,V$5,'IS(M)'!$M20:$ER20)/1000</f>
        <v>0</v>
      </c>
      <c r="W8" s="2546">
        <f>SUMIF('IS(M)'!$M$13:$ER$13,W$5,'IS(M)'!$M20:$ER20)/1000</f>
        <v>0</v>
      </c>
      <c r="X8" s="2546">
        <f>SUMIF('IS(M)'!$M$13:$ER$13,X$5,'IS(M)'!$M20:$ER20)/1000</f>
        <v>0</v>
      </c>
    </row>
    <row r="9" spans="1:25" s="2542" customFormat="1" ht="11.25" customHeight="1">
      <c r="A9" s="2548"/>
      <c r="B9" s="2549" t="s">
        <v>1210</v>
      </c>
      <c r="C9" s="2550">
        <v>573.54455299999995</v>
      </c>
      <c r="D9" s="2551">
        <f t="shared" si="6"/>
        <v>71.471607452000001</v>
      </c>
      <c r="E9" s="2551">
        <f t="shared" si="5"/>
        <v>-502.07294554799995</v>
      </c>
      <c r="F9" s="2551" t="s">
        <v>1689</v>
      </c>
      <c r="G9" s="2516"/>
      <c r="H9" s="2552">
        <f t="shared" si="3"/>
        <v>285.886429808</v>
      </c>
      <c r="I9" s="2551">
        <f>SUMIF('IS(M)'!$M$13:$ER$13,I$5,'IS(M)'!$M21:$ER21)/1000</f>
        <v>35.735803726</v>
      </c>
      <c r="J9" s="2551">
        <f>SUMIF('IS(M)'!$M$13:$ER$13,J$5,'IS(M)'!$M21:$ER21)/1000</f>
        <v>35.735803726</v>
      </c>
      <c r="K9" s="2551">
        <f>SUMIF('IS(M)'!$M$13:$ER$13,K$5,'IS(M)'!$M21:$ER21)/1000</f>
        <v>35.735803726</v>
      </c>
      <c r="L9" s="2551">
        <f>SUMIF('IS(M)'!$M$13:$ER$13,L$5,'IS(M)'!$M21:$ER21)/1000</f>
        <v>35.735803726</v>
      </c>
      <c r="M9" s="2551">
        <f>SUMIF('IS(M)'!$M$13:$ER$13,M$5,'IS(M)'!$M21:$ER21)/1000</f>
        <v>35.735803726</v>
      </c>
      <c r="N9" s="2551">
        <f>SUMIF('IS(M)'!$M$13:$ER$13,N$5,'IS(M)'!$M21:$ER21)/1000</f>
        <v>35.735803726</v>
      </c>
      <c r="O9" s="2551">
        <f>SUMIF('IS(M)'!$M$13:$ER$13,O$5,'IS(M)'!$M21:$ER21)/1000</f>
        <v>35.735803726</v>
      </c>
      <c r="P9" s="2551">
        <f>SUMIF('IS(M)'!$M$13:$ER$13,P$5,'IS(M)'!$M21:$ER21)/1000</f>
        <v>35.735803726</v>
      </c>
      <c r="Q9" s="2551">
        <f>SUMIF('IS(M)'!$M$13:$ER$13,Q$5,'IS(M)'!$M21:$ER21)/1000</f>
        <v>0</v>
      </c>
      <c r="R9" s="2551">
        <f>SUMIF('IS(M)'!$M$13:$ER$13,R$5,'IS(M)'!$M21:$ER21)/1000</f>
        <v>0</v>
      </c>
      <c r="S9" s="2551">
        <f>SUMIF('IS(M)'!$M$13:$ER$13,S$5,'IS(M)'!$M21:$ER21)/1000</f>
        <v>0</v>
      </c>
      <c r="T9" s="2551">
        <f>SUMIF('IS(M)'!$M$13:$ER$13,T$5,'IS(M)'!$M21:$ER21)/1000</f>
        <v>0</v>
      </c>
      <c r="U9" s="2551">
        <f>SUMIF('IS(M)'!$M$13:$ER$13,U$5,'IS(M)'!$M21:$ER21)/1000</f>
        <v>0</v>
      </c>
      <c r="V9" s="2551">
        <f>SUMIF('IS(M)'!$M$13:$ER$13,V$5,'IS(M)'!$M21:$ER21)/1000</f>
        <v>0</v>
      </c>
      <c r="W9" s="2551">
        <f>SUMIF('IS(M)'!$M$13:$ER$13,W$5,'IS(M)'!$M21:$ER21)/1000</f>
        <v>0</v>
      </c>
      <c r="X9" s="2551">
        <f>SUMIF('IS(M)'!$M$13:$ER$13,X$5,'IS(M)'!$M21:$ER21)/1000</f>
        <v>0</v>
      </c>
    </row>
    <row r="10" spans="1:25" ht="11.25" customHeight="1">
      <c r="A10" s="3071" t="s">
        <v>1211</v>
      </c>
      <c r="B10" s="3071"/>
      <c r="C10" s="2530">
        <f>SUM(C11:C23)</f>
        <v>4586.3776260000004</v>
      </c>
      <c r="D10" s="2101">
        <f>SUM(D11:D23)</f>
        <v>3230.4387242004109</v>
      </c>
      <c r="E10" s="2101">
        <f t="shared" si="5"/>
        <v>-1355.9389017995895</v>
      </c>
      <c r="F10" s="2101"/>
      <c r="G10" s="2515"/>
      <c r="H10" s="2509">
        <f t="shared" si="3"/>
        <v>12891.265941792797</v>
      </c>
      <c r="I10" s="2101">
        <f>SUM(I11:I23)</f>
        <v>1620.6560471002056</v>
      </c>
      <c r="J10" s="2101">
        <f>SUM(J11:J23)</f>
        <v>1609.7826771002055</v>
      </c>
      <c r="K10" s="2101">
        <f>SUM(K11:K23)</f>
        <v>1609.7826771002055</v>
      </c>
      <c r="L10" s="2101">
        <f>SUM(L11:L23)</f>
        <v>1609.7826771002055</v>
      </c>
      <c r="M10" s="2101">
        <f t="shared" ref="M10:X10" si="7">SUM(M11:M23)</f>
        <v>1610.3154658479934</v>
      </c>
      <c r="N10" s="2101">
        <f t="shared" si="7"/>
        <v>1610.3154658479934</v>
      </c>
      <c r="O10" s="2101">
        <f t="shared" si="7"/>
        <v>1610.3154658479934</v>
      </c>
      <c r="P10" s="2101">
        <f t="shared" si="7"/>
        <v>1610.3154658479934</v>
      </c>
      <c r="Q10" s="2101">
        <f t="shared" si="7"/>
        <v>0</v>
      </c>
      <c r="R10" s="2101">
        <f t="shared" si="7"/>
        <v>0</v>
      </c>
      <c r="S10" s="2101">
        <f t="shared" si="7"/>
        <v>0</v>
      </c>
      <c r="T10" s="2101">
        <f t="shared" si="7"/>
        <v>0</v>
      </c>
      <c r="U10" s="2101">
        <f t="shared" si="7"/>
        <v>0</v>
      </c>
      <c r="V10" s="2101">
        <f t="shared" si="7"/>
        <v>0</v>
      </c>
      <c r="W10" s="2101">
        <f t="shared" si="7"/>
        <v>0</v>
      </c>
      <c r="X10" s="2101">
        <f t="shared" si="7"/>
        <v>0</v>
      </c>
      <c r="Y10" t="b">
        <f>ABS(SUM('IS(M)'!N24:AK24)/1000-H10)&lt;1</f>
        <v>1</v>
      </c>
    </row>
    <row r="11" spans="1:25" s="2542" customFormat="1" ht="11.25" customHeight="1">
      <c r="A11" s="2553">
        <v>25</v>
      </c>
      <c r="B11" s="2554" t="s">
        <v>1212</v>
      </c>
      <c r="C11" s="2539">
        <v>3</v>
      </c>
      <c r="D11" s="2540">
        <f t="shared" ref="D11:D23" si="8">I11+J11</f>
        <v>12</v>
      </c>
      <c r="E11" s="2540">
        <f t="shared" si="5"/>
        <v>9</v>
      </c>
      <c r="F11" s="2540"/>
      <c r="G11" s="2517"/>
      <c r="H11" s="2555">
        <f t="shared" si="3"/>
        <v>48.48</v>
      </c>
      <c r="I11" s="2714">
        <f>SUMIF('IS(M)'!$M$13:$ER$13,I$5,'IS(M)'!$M25:$ER25)/1000</f>
        <v>6</v>
      </c>
      <c r="J11" s="2714">
        <f>SUMIF('IS(M)'!$M$13:$ER$13,J$5,'IS(M)'!$M25:$ER25)/1000</f>
        <v>6</v>
      </c>
      <c r="K11" s="2714">
        <f>SUMIF('IS(M)'!$M$13:$ER$13,K$5,'IS(M)'!$M25:$ER25)/1000</f>
        <v>6</v>
      </c>
      <c r="L11" s="2714">
        <f>SUMIF('IS(M)'!$M$13:$ER$13,L$5,'IS(M)'!$M25:$ER25)/1000</f>
        <v>6</v>
      </c>
      <c r="M11" s="2714">
        <f>SUMIF('IS(M)'!$M$13:$ER$13,M$5,'IS(M)'!$M25:$ER25)/1000</f>
        <v>6.12</v>
      </c>
      <c r="N11" s="2714">
        <f>SUMIF('IS(M)'!$M$13:$ER$13,N$5,'IS(M)'!$M25:$ER25)/1000</f>
        <v>6.12</v>
      </c>
      <c r="O11" s="2714">
        <f>SUMIF('IS(M)'!$M$13:$ER$13,O$5,'IS(M)'!$M25:$ER25)/1000</f>
        <v>6.12</v>
      </c>
      <c r="P11" s="2714">
        <f>SUMIF('IS(M)'!$M$13:$ER$13,P$5,'IS(M)'!$M25:$ER25)/1000</f>
        <v>6.12</v>
      </c>
      <c r="Q11" s="2714">
        <f>SUMIF('IS(M)'!$M$13:$ER$13,Q$5,'IS(M)'!$M25:$ER25)/1000</f>
        <v>0</v>
      </c>
      <c r="R11" s="2714">
        <f>SUMIF('IS(M)'!$M$13:$ER$13,R$5,'IS(M)'!$M25:$ER25)/1000</f>
        <v>0</v>
      </c>
      <c r="S11" s="2714">
        <f>SUMIF('IS(M)'!$M$13:$ER$13,S$5,'IS(M)'!$M25:$ER25)/1000</f>
        <v>0</v>
      </c>
      <c r="T11" s="2714">
        <f>SUMIF('IS(M)'!$M$13:$ER$13,T$5,'IS(M)'!$M25:$ER25)/1000</f>
        <v>0</v>
      </c>
      <c r="U11" s="2714">
        <f>SUMIF('IS(M)'!$M$13:$ER$13,U$5,'IS(M)'!$M25:$ER25)/1000</f>
        <v>0</v>
      </c>
      <c r="V11" s="2714">
        <f>SUMIF('IS(M)'!$M$13:$ER$13,V$5,'IS(M)'!$M25:$ER25)/1000</f>
        <v>0</v>
      </c>
      <c r="W11" s="2714">
        <f>SUMIF('IS(M)'!$M$13:$ER$13,W$5,'IS(M)'!$M25:$ER25)/1000</f>
        <v>0</v>
      </c>
      <c r="X11" s="2714">
        <f>SUMIF('IS(M)'!$M$13:$ER$13,X$5,'IS(M)'!$M25:$ER25)/1000</f>
        <v>0</v>
      </c>
    </row>
    <row r="12" spans="1:25" s="2542" customFormat="1" ht="11.25" customHeight="1">
      <c r="A12" s="2556">
        <v>30</v>
      </c>
      <c r="B12" s="2557" t="s">
        <v>80</v>
      </c>
      <c r="C12" s="2545">
        <v>587.61012600000004</v>
      </c>
      <c r="D12" s="2546">
        <f t="shared" si="8"/>
        <v>0</v>
      </c>
      <c r="E12" s="2546">
        <f t="shared" si="5"/>
        <v>-587.61012600000004</v>
      </c>
      <c r="F12" s="2546" t="s">
        <v>1690</v>
      </c>
      <c r="G12" s="2517"/>
      <c r="H12" s="2558">
        <f t="shared" si="3"/>
        <v>0</v>
      </c>
      <c r="I12" s="2546">
        <f>SUMIF('IS(M)'!$M$13:$ER$13,I$5,'IS(M)'!$M30:$ER30)/1000</f>
        <v>0</v>
      </c>
      <c r="J12" s="2546">
        <f>SUMIF('IS(M)'!$M$13:$ER$13,J$5,'IS(M)'!$M30:$ER30)/1000</f>
        <v>0</v>
      </c>
      <c r="K12" s="2546">
        <f>SUMIF('IS(M)'!$M$13:$ER$13,K$5,'IS(M)'!$M30:$ER30)/1000</f>
        <v>0</v>
      </c>
      <c r="L12" s="2546">
        <f>SUMIF('IS(M)'!$M$13:$ER$13,L$5,'IS(M)'!$M30:$ER30)/1000</f>
        <v>0</v>
      </c>
      <c r="M12" s="2546">
        <f>SUMIF('IS(M)'!$M$13:$ER$13,M$5,'IS(M)'!$M30:$ER30)/1000</f>
        <v>0</v>
      </c>
      <c r="N12" s="2546">
        <f>SUMIF('IS(M)'!$M$13:$ER$13,N$5,'IS(M)'!$M30:$ER30)/1000</f>
        <v>0</v>
      </c>
      <c r="O12" s="2546">
        <f>SUMIF('IS(M)'!$M$13:$ER$13,O$5,'IS(M)'!$M30:$ER30)/1000</f>
        <v>0</v>
      </c>
      <c r="P12" s="2546">
        <f>SUMIF('IS(M)'!$M$13:$ER$13,P$5,'IS(M)'!$M30:$ER30)/1000</f>
        <v>0</v>
      </c>
      <c r="Q12" s="2546">
        <f>SUMIF('IS(M)'!$M$13:$ER$13,Q$5,'IS(M)'!$M30:$ER30)/1000</f>
        <v>0</v>
      </c>
      <c r="R12" s="2546">
        <f>SUMIF('IS(M)'!$M$13:$ER$13,R$5,'IS(M)'!$M30:$ER30)/1000</f>
        <v>0</v>
      </c>
      <c r="S12" s="2546">
        <f>SUMIF('IS(M)'!$M$13:$ER$13,S$5,'IS(M)'!$M30:$ER30)/1000</f>
        <v>0</v>
      </c>
      <c r="T12" s="2546">
        <f>SUMIF('IS(M)'!$M$13:$ER$13,T$5,'IS(M)'!$M30:$ER30)/1000</f>
        <v>0</v>
      </c>
      <c r="U12" s="2546">
        <f>SUMIF('IS(M)'!$M$13:$ER$13,U$5,'IS(M)'!$M30:$ER30)/1000</f>
        <v>0</v>
      </c>
      <c r="V12" s="2546">
        <f>SUMIF('IS(M)'!$M$13:$ER$13,V$5,'IS(M)'!$M30:$ER30)/1000</f>
        <v>0</v>
      </c>
      <c r="W12" s="2546">
        <f>SUMIF('IS(M)'!$M$13:$ER$13,W$5,'IS(M)'!$M30:$ER30)/1000</f>
        <v>0</v>
      </c>
      <c r="X12" s="2546">
        <f>SUMIF('IS(M)'!$M$13:$ER$13,X$5,'IS(M)'!$M30:$ER30)/1000</f>
        <v>0</v>
      </c>
    </row>
    <row r="13" spans="1:25" s="2542" customFormat="1" ht="11.25" customHeight="1">
      <c r="A13" s="2556" t="s">
        <v>1230</v>
      </c>
      <c r="B13" s="2557" t="s">
        <v>658</v>
      </c>
      <c r="C13" s="2545">
        <v>345.939798</v>
      </c>
      <c r="D13" s="2546">
        <f t="shared" si="8"/>
        <v>364.745025</v>
      </c>
      <c r="E13" s="2546">
        <f t="shared" si="5"/>
        <v>18.805227000000002</v>
      </c>
      <c r="F13" s="2546" t="s">
        <v>1685</v>
      </c>
      <c r="G13" s="2518"/>
      <c r="H13" s="2558">
        <f t="shared" si="3"/>
        <v>1459.7731032999998</v>
      </c>
      <c r="I13" s="2546">
        <f>SUMIF('IS(M)'!$M$13:$ER$13,I$5,'IS(M)'!$M32:$ER32)/1000+SUMIF('IS(M)'!$M$13:$ER$13,I$5,'IS(M)'!$M33:$ER33)/1000+SUMIF('IS(M)'!$M$13:$ER$13,I$5,'IS(M)'!$M34:$ER34)/1000+SUMIF('IS(M)'!$M$13:$ER$13,I$5,'IS(M)'!$M35:$ER35)/1000</f>
        <v>182.3725125</v>
      </c>
      <c r="J13" s="2546">
        <f>SUMIF('IS(M)'!$M$13:$ER$13,J$5,'IS(M)'!$M32:$ER32)/1000+SUMIF('IS(M)'!$M$13:$ER$13,J$5,'IS(M)'!$M33:$ER33)/1000+SUMIF('IS(M)'!$M$13:$ER$13,J$5,'IS(M)'!$M34:$ER34)/1000+SUMIF('IS(M)'!$M$13:$ER$13,J$5,'IS(M)'!$M35:$ER35)/1000</f>
        <v>182.3725125</v>
      </c>
      <c r="K13" s="2546">
        <f>SUMIF('IS(M)'!$M$13:$ER$13,K$5,'IS(M)'!$M32:$ER32)/1000+SUMIF('IS(M)'!$M$13:$ER$13,K$5,'IS(M)'!$M33:$ER33)/1000+SUMIF('IS(M)'!$M$13:$ER$13,K$5,'IS(M)'!$M34:$ER34)/1000+SUMIF('IS(M)'!$M$13:$ER$13,K$5,'IS(M)'!$M35:$ER35)/1000</f>
        <v>182.3725125</v>
      </c>
      <c r="L13" s="2546">
        <f>SUMIF('IS(M)'!$M$13:$ER$13,L$5,'IS(M)'!$M32:$ER32)/1000+SUMIF('IS(M)'!$M$13:$ER$13,L$5,'IS(M)'!$M33:$ER33)/1000+SUMIF('IS(M)'!$M$13:$ER$13,L$5,'IS(M)'!$M34:$ER34)/1000+SUMIF('IS(M)'!$M$13:$ER$13,L$5,'IS(M)'!$M35:$ER35)/1000</f>
        <v>182.3725125</v>
      </c>
      <c r="M13" s="2546">
        <f>SUMIF('IS(M)'!$M$13:$ER$13,M$5,'IS(M)'!$M32:$ER32)/1000+SUMIF('IS(M)'!$M$13:$ER$13,M$5,'IS(M)'!$M33:$ER33)/1000+SUMIF('IS(M)'!$M$13:$ER$13,M$5,'IS(M)'!$M34:$ER34)/1000+SUMIF('IS(M)'!$M$13:$ER$13,M$5,'IS(M)'!$M35:$ER35)/1000</f>
        <v>182.570763325</v>
      </c>
      <c r="N13" s="2546">
        <f>SUMIF('IS(M)'!$M$13:$ER$13,N$5,'IS(M)'!$M32:$ER32)/1000+SUMIF('IS(M)'!$M$13:$ER$13,N$5,'IS(M)'!$M33:$ER33)/1000+SUMIF('IS(M)'!$M$13:$ER$13,N$5,'IS(M)'!$M34:$ER34)/1000+SUMIF('IS(M)'!$M$13:$ER$13,N$5,'IS(M)'!$M35:$ER35)/1000</f>
        <v>182.570763325</v>
      </c>
      <c r="O13" s="2546">
        <f>SUMIF('IS(M)'!$M$13:$ER$13,O$5,'IS(M)'!$M32:$ER32)/1000+SUMIF('IS(M)'!$M$13:$ER$13,O$5,'IS(M)'!$M33:$ER33)/1000+SUMIF('IS(M)'!$M$13:$ER$13,O$5,'IS(M)'!$M34:$ER34)/1000+SUMIF('IS(M)'!$M$13:$ER$13,O$5,'IS(M)'!$M35:$ER35)/1000</f>
        <v>182.570763325</v>
      </c>
      <c r="P13" s="2546">
        <f>SUMIF('IS(M)'!$M$13:$ER$13,P$5,'IS(M)'!$M32:$ER32)/1000+SUMIF('IS(M)'!$M$13:$ER$13,P$5,'IS(M)'!$M33:$ER33)/1000+SUMIF('IS(M)'!$M$13:$ER$13,P$5,'IS(M)'!$M34:$ER34)/1000+SUMIF('IS(M)'!$M$13:$ER$13,P$5,'IS(M)'!$M35:$ER35)/1000</f>
        <v>182.570763325</v>
      </c>
      <c r="Q13" s="2546">
        <f>SUMIF('IS(M)'!$M$13:$ER$13,Q$5,'IS(M)'!$M32:$ER32)/1000+SUMIF('IS(M)'!$M$13:$ER$13,Q$5,'IS(M)'!$M33:$ER33)/1000+SUMIF('IS(M)'!$M$13:$ER$13,Q$5,'IS(M)'!$M34:$ER34)/1000+SUMIF('IS(M)'!$M$13:$ER$13,Q$5,'IS(M)'!$M35:$ER35)/1000</f>
        <v>0</v>
      </c>
      <c r="R13" s="2546">
        <f>SUMIF('IS(M)'!$M$13:$ER$13,R$5,'IS(M)'!$M32:$ER32)/1000+SUMIF('IS(M)'!$M$13:$ER$13,R$5,'IS(M)'!$M33:$ER33)/1000+SUMIF('IS(M)'!$M$13:$ER$13,R$5,'IS(M)'!$M34:$ER34)/1000+SUMIF('IS(M)'!$M$13:$ER$13,R$5,'IS(M)'!$M35:$ER35)/1000</f>
        <v>0</v>
      </c>
      <c r="S13" s="2546">
        <f>SUMIF('IS(M)'!$M$13:$ER$13,S$5,'IS(M)'!$M32:$ER32)/1000+SUMIF('IS(M)'!$M$13:$ER$13,S$5,'IS(M)'!$M33:$ER33)/1000+SUMIF('IS(M)'!$M$13:$ER$13,S$5,'IS(M)'!$M34:$ER34)/1000+SUMIF('IS(M)'!$M$13:$ER$13,S$5,'IS(M)'!$M35:$ER35)/1000</f>
        <v>0</v>
      </c>
      <c r="T13" s="2546">
        <f>SUMIF('IS(M)'!$M$13:$ER$13,T$5,'IS(M)'!$M32:$ER32)/1000+SUMIF('IS(M)'!$M$13:$ER$13,T$5,'IS(M)'!$M33:$ER33)/1000+SUMIF('IS(M)'!$M$13:$ER$13,T$5,'IS(M)'!$M34:$ER34)/1000+SUMIF('IS(M)'!$M$13:$ER$13,T$5,'IS(M)'!$M35:$ER35)/1000</f>
        <v>0</v>
      </c>
      <c r="U13" s="2546">
        <f>SUMIF('IS(M)'!$M$13:$ER$13,U$5,'IS(M)'!$M32:$ER32)/1000+SUMIF('IS(M)'!$M$13:$ER$13,U$5,'IS(M)'!$M33:$ER33)/1000+SUMIF('IS(M)'!$M$13:$ER$13,U$5,'IS(M)'!$M34:$ER34)/1000+SUMIF('IS(M)'!$M$13:$ER$13,U$5,'IS(M)'!$M35:$ER35)/1000</f>
        <v>0</v>
      </c>
      <c r="V13" s="2546">
        <f>SUMIF('IS(M)'!$M$13:$ER$13,V$5,'IS(M)'!$M32:$ER32)/1000+SUMIF('IS(M)'!$M$13:$ER$13,V$5,'IS(M)'!$M33:$ER33)/1000+SUMIF('IS(M)'!$M$13:$ER$13,V$5,'IS(M)'!$M34:$ER34)/1000+SUMIF('IS(M)'!$M$13:$ER$13,V$5,'IS(M)'!$M35:$ER35)/1000</f>
        <v>0</v>
      </c>
      <c r="W13" s="2546">
        <f>SUMIF('IS(M)'!$M$13:$ER$13,W$5,'IS(M)'!$M32:$ER32)/1000+SUMIF('IS(M)'!$M$13:$ER$13,W$5,'IS(M)'!$M33:$ER33)/1000+SUMIF('IS(M)'!$M$13:$ER$13,W$5,'IS(M)'!$M34:$ER34)/1000+SUMIF('IS(M)'!$M$13:$ER$13,W$5,'IS(M)'!$M35:$ER35)/1000</f>
        <v>0</v>
      </c>
      <c r="X13" s="2546">
        <f>SUMIF('IS(M)'!$M$13:$ER$13,X$5,'IS(M)'!$M32:$ER32)/1000+SUMIF('IS(M)'!$M$13:$ER$13,X$5,'IS(M)'!$M33:$ER33)/1000+SUMIF('IS(M)'!$M$13:$ER$13,X$5,'IS(M)'!$M34:$ER34)/1000+SUMIF('IS(M)'!$M$13:$ER$13,X$5,'IS(M)'!$M35:$ER35)/1000</f>
        <v>0</v>
      </c>
    </row>
    <row r="14" spans="1:25" s="2542" customFormat="1" ht="11.25" customHeight="1">
      <c r="A14" s="2556">
        <v>36</v>
      </c>
      <c r="B14" s="2557" t="s">
        <v>99</v>
      </c>
      <c r="C14" s="2559"/>
      <c r="D14" s="2546">
        <f t="shared" si="8"/>
        <v>10.447416486100002</v>
      </c>
      <c r="E14" s="2546">
        <f t="shared" si="5"/>
        <v>10.447416486100002</v>
      </c>
      <c r="F14" s="2546"/>
      <c r="G14" s="2517"/>
      <c r="H14" s="2558">
        <f t="shared" si="3"/>
        <v>41.789665944400006</v>
      </c>
      <c r="I14" s="2546">
        <f>SUMIF('IS(M)'!$M$13:$ER$13,I$5,'IS(M)'!$M36:$ER36)/1000</f>
        <v>5.2237082430500008</v>
      </c>
      <c r="J14" s="2546">
        <f>SUMIF('IS(M)'!$M$13:$ER$13,J$5,'IS(M)'!$M36:$ER36)/1000</f>
        <v>5.2237082430500008</v>
      </c>
      <c r="K14" s="2546">
        <f>SUMIF('IS(M)'!$M$13:$ER$13,K$5,'IS(M)'!$M36:$ER36)/1000</f>
        <v>5.2237082430500008</v>
      </c>
      <c r="L14" s="2546">
        <f>SUMIF('IS(M)'!$M$13:$ER$13,L$5,'IS(M)'!$M36:$ER36)/1000</f>
        <v>5.2237082430500008</v>
      </c>
      <c r="M14" s="2546">
        <f>SUMIF('IS(M)'!$M$13:$ER$13,M$5,'IS(M)'!$M36:$ER36)/1000</f>
        <v>5.2237082430500008</v>
      </c>
      <c r="N14" s="2546">
        <f>SUMIF('IS(M)'!$M$13:$ER$13,N$5,'IS(M)'!$M36:$ER36)/1000</f>
        <v>5.2237082430500008</v>
      </c>
      <c r="O14" s="2546">
        <f>SUMIF('IS(M)'!$M$13:$ER$13,O$5,'IS(M)'!$M36:$ER36)/1000</f>
        <v>5.2237082430500008</v>
      </c>
      <c r="P14" s="2546">
        <f>SUMIF('IS(M)'!$M$13:$ER$13,P$5,'IS(M)'!$M36:$ER36)/1000</f>
        <v>5.2237082430500008</v>
      </c>
      <c r="Q14" s="2546">
        <f>SUMIF('IS(M)'!$M$13:$ER$13,Q$5,'IS(M)'!$M36:$ER36)/1000</f>
        <v>0</v>
      </c>
      <c r="R14" s="2546">
        <f>SUMIF('IS(M)'!$M$13:$ER$13,R$5,'IS(M)'!$M36:$ER36)/1000</f>
        <v>0</v>
      </c>
      <c r="S14" s="2546">
        <f>SUMIF('IS(M)'!$M$13:$ER$13,S$5,'IS(M)'!$M36:$ER36)/1000</f>
        <v>0</v>
      </c>
      <c r="T14" s="2546">
        <f>SUMIF('IS(M)'!$M$13:$ER$13,T$5,'IS(M)'!$M36:$ER36)/1000</f>
        <v>0</v>
      </c>
      <c r="U14" s="2546">
        <f>SUMIF('IS(M)'!$M$13:$ER$13,U$5,'IS(M)'!$M36:$ER36)/1000</f>
        <v>0</v>
      </c>
      <c r="V14" s="2546">
        <f>SUMIF('IS(M)'!$M$13:$ER$13,V$5,'IS(M)'!$M36:$ER36)/1000</f>
        <v>0</v>
      </c>
      <c r="W14" s="2546">
        <f>SUMIF('IS(M)'!$M$13:$ER$13,W$5,'IS(M)'!$M36:$ER36)/1000</f>
        <v>0</v>
      </c>
      <c r="X14" s="2546">
        <f>SUMIF('IS(M)'!$M$13:$ER$13,X$5,'IS(M)'!$M36:$ER36)/1000</f>
        <v>0</v>
      </c>
    </row>
    <row r="15" spans="1:25" s="2542" customFormat="1" ht="11.25" customHeight="1">
      <c r="A15" s="2556">
        <v>26</v>
      </c>
      <c r="B15" s="2557" t="s">
        <v>1213</v>
      </c>
      <c r="C15" s="2545">
        <v>1633.2427459999999</v>
      </c>
      <c r="D15" s="2546">
        <f t="shared" si="8"/>
        <v>1708.8434999999999</v>
      </c>
      <c r="E15" s="2546">
        <f t="shared" si="5"/>
        <v>75.600754000000052</v>
      </c>
      <c r="F15" s="2546"/>
      <c r="G15" s="2517"/>
      <c r="H15" s="2558">
        <f t="shared" si="3"/>
        <v>6835.373999999998</v>
      </c>
      <c r="I15" s="2546">
        <f>SUMIF('IS(M)'!$M$13:$ER$13,I$5,'IS(M)'!$M26:$ER26)/1000</f>
        <v>854.42174999999997</v>
      </c>
      <c r="J15" s="2546">
        <f>SUMIF('IS(M)'!$M$13:$ER$13,J$5,'IS(M)'!$M26:$ER26)/1000</f>
        <v>854.42174999999997</v>
      </c>
      <c r="K15" s="2546">
        <f>SUMIF('IS(M)'!$M$13:$ER$13,K$5,'IS(M)'!$M26:$ER26)/1000</f>
        <v>854.42174999999997</v>
      </c>
      <c r="L15" s="2546">
        <f>SUMIF('IS(M)'!$M$13:$ER$13,L$5,'IS(M)'!$M26:$ER26)/1000</f>
        <v>854.42174999999997</v>
      </c>
      <c r="M15" s="2546">
        <f>SUMIF('IS(M)'!$M$13:$ER$13,M$5,'IS(M)'!$M26:$ER26)/1000</f>
        <v>854.42174999999997</v>
      </c>
      <c r="N15" s="2546">
        <f>SUMIF('IS(M)'!$M$13:$ER$13,N$5,'IS(M)'!$M26:$ER26)/1000</f>
        <v>854.42174999999997</v>
      </c>
      <c r="O15" s="2546">
        <f>SUMIF('IS(M)'!$M$13:$ER$13,O$5,'IS(M)'!$M26:$ER26)/1000</f>
        <v>854.42174999999997</v>
      </c>
      <c r="P15" s="2546">
        <f>SUMIF('IS(M)'!$M$13:$ER$13,P$5,'IS(M)'!$M26:$ER26)/1000</f>
        <v>854.42174999999997</v>
      </c>
      <c r="Q15" s="2546">
        <f>SUMIF('IS(M)'!$M$13:$ER$13,Q$5,'IS(M)'!$M26:$ER26)/1000</f>
        <v>0</v>
      </c>
      <c r="R15" s="2546">
        <f>SUMIF('IS(M)'!$M$13:$ER$13,R$5,'IS(M)'!$M26:$ER26)/1000</f>
        <v>0</v>
      </c>
      <c r="S15" s="2546">
        <f>SUMIF('IS(M)'!$M$13:$ER$13,S$5,'IS(M)'!$M26:$ER26)/1000</f>
        <v>0</v>
      </c>
      <c r="T15" s="2546">
        <f>SUMIF('IS(M)'!$M$13:$ER$13,T$5,'IS(M)'!$M26:$ER26)/1000</f>
        <v>0</v>
      </c>
      <c r="U15" s="2546">
        <f>SUMIF('IS(M)'!$M$13:$ER$13,U$5,'IS(M)'!$M26:$ER26)/1000</f>
        <v>0</v>
      </c>
      <c r="V15" s="2546">
        <f>SUMIF('IS(M)'!$M$13:$ER$13,V$5,'IS(M)'!$M26:$ER26)/1000</f>
        <v>0</v>
      </c>
      <c r="W15" s="2546">
        <f>SUMIF('IS(M)'!$M$13:$ER$13,W$5,'IS(M)'!$M26:$ER26)/1000</f>
        <v>0</v>
      </c>
      <c r="X15" s="2546">
        <f>SUMIF('IS(M)'!$M$13:$ER$13,X$5,'IS(M)'!$M26:$ER26)/1000</f>
        <v>0</v>
      </c>
    </row>
    <row r="16" spans="1:25" s="2542" customFormat="1" ht="11.25" customHeight="1">
      <c r="A16" s="2556">
        <v>29</v>
      </c>
      <c r="B16" s="2557" t="s">
        <v>1214</v>
      </c>
      <c r="C16" s="2545">
        <v>0</v>
      </c>
      <c r="D16" s="2546">
        <f t="shared" si="8"/>
        <v>15.5957742765</v>
      </c>
      <c r="E16" s="2546">
        <f t="shared" si="5"/>
        <v>15.5957742765</v>
      </c>
      <c r="F16" s="2546"/>
      <c r="G16" s="2517"/>
      <c r="H16" s="2558">
        <f t="shared" si="3"/>
        <v>63.006928077060003</v>
      </c>
      <c r="I16" s="2546">
        <f>SUMIF('IS(M)'!$M$13:$ER$13,I$5,'IS(M)'!$M29:$ER29)/1000</f>
        <v>7.7978871382500001</v>
      </c>
      <c r="J16" s="2546">
        <f>SUMIF('IS(M)'!$M$13:$ER$13,J$5,'IS(M)'!$M29:$ER29)/1000</f>
        <v>7.7978871382500001</v>
      </c>
      <c r="K16" s="2546">
        <f>SUMIF('IS(M)'!$M$13:$ER$13,K$5,'IS(M)'!$M29:$ER29)/1000</f>
        <v>7.7978871382500001</v>
      </c>
      <c r="L16" s="2546">
        <f>SUMIF('IS(M)'!$M$13:$ER$13,L$5,'IS(M)'!$M29:$ER29)/1000</f>
        <v>7.7978871382500001</v>
      </c>
      <c r="M16" s="2546">
        <f>SUMIF('IS(M)'!$M$13:$ER$13,M$5,'IS(M)'!$M29:$ER29)/1000</f>
        <v>7.9538448810149998</v>
      </c>
      <c r="N16" s="2546">
        <f>SUMIF('IS(M)'!$M$13:$ER$13,N$5,'IS(M)'!$M29:$ER29)/1000</f>
        <v>7.9538448810149998</v>
      </c>
      <c r="O16" s="2546">
        <f>SUMIF('IS(M)'!$M$13:$ER$13,O$5,'IS(M)'!$M29:$ER29)/1000</f>
        <v>7.9538448810149998</v>
      </c>
      <c r="P16" s="2546">
        <f>SUMIF('IS(M)'!$M$13:$ER$13,P$5,'IS(M)'!$M29:$ER29)/1000</f>
        <v>7.9538448810149998</v>
      </c>
      <c r="Q16" s="2546">
        <f>SUMIF('IS(M)'!$M$13:$ER$13,Q$5,'IS(M)'!$M29:$ER29)/1000</f>
        <v>0</v>
      </c>
      <c r="R16" s="2546">
        <f>SUMIF('IS(M)'!$M$13:$ER$13,R$5,'IS(M)'!$M29:$ER29)/1000</f>
        <v>0</v>
      </c>
      <c r="S16" s="2546">
        <f>SUMIF('IS(M)'!$M$13:$ER$13,S$5,'IS(M)'!$M29:$ER29)/1000</f>
        <v>0</v>
      </c>
      <c r="T16" s="2546">
        <f>SUMIF('IS(M)'!$M$13:$ER$13,T$5,'IS(M)'!$M29:$ER29)/1000</f>
        <v>0</v>
      </c>
      <c r="U16" s="2546">
        <f>SUMIF('IS(M)'!$M$13:$ER$13,U$5,'IS(M)'!$M29:$ER29)/1000</f>
        <v>0</v>
      </c>
      <c r="V16" s="2546">
        <f>SUMIF('IS(M)'!$M$13:$ER$13,V$5,'IS(M)'!$M29:$ER29)/1000</f>
        <v>0</v>
      </c>
      <c r="W16" s="2546">
        <f>SUMIF('IS(M)'!$M$13:$ER$13,W$5,'IS(M)'!$M29:$ER29)/1000</f>
        <v>0</v>
      </c>
      <c r="X16" s="2546">
        <f>SUMIF('IS(M)'!$M$13:$ER$13,X$5,'IS(M)'!$M29:$ER29)/1000</f>
        <v>0</v>
      </c>
    </row>
    <row r="17" spans="1:25" s="2542" customFormat="1" ht="11.25" customHeight="1">
      <c r="A17" s="2556">
        <v>31</v>
      </c>
      <c r="B17" s="2557" t="s">
        <v>83</v>
      </c>
      <c r="C17" s="2545">
        <v>175.872378</v>
      </c>
      <c r="D17" s="2546">
        <f t="shared" si="8"/>
        <v>371.14235000000002</v>
      </c>
      <c r="E17" s="2546">
        <f t="shared" si="5"/>
        <v>195.26997200000002</v>
      </c>
      <c r="F17" s="2546" t="s">
        <v>1684</v>
      </c>
      <c r="G17" s="2517"/>
      <c r="H17" s="2558">
        <f t="shared" si="3"/>
        <v>1469.7237060000002</v>
      </c>
      <c r="I17" s="2546">
        <f>SUMIF('IS(M)'!$M$13:$ER$13,I$5,'IS(M)'!$M31:$ER31)/1000</f>
        <v>185.57117500000001</v>
      </c>
      <c r="J17" s="2546">
        <f>SUMIF('IS(M)'!$M$13:$ER$13,J$5,'IS(M)'!$M31:$ER31)/1000</f>
        <v>185.57117500000001</v>
      </c>
      <c r="K17" s="2546">
        <f>SUMIF('IS(M)'!$M$13:$ER$13,K$5,'IS(M)'!$M31:$ER31)/1000</f>
        <v>185.57117500000001</v>
      </c>
      <c r="L17" s="2546">
        <f>SUMIF('IS(M)'!$M$13:$ER$13,L$5,'IS(M)'!$M31:$ER31)/1000</f>
        <v>185.57117500000001</v>
      </c>
      <c r="M17" s="2546">
        <f>SUMIF('IS(M)'!$M$13:$ER$13,M$5,'IS(M)'!$M31:$ER31)/1000</f>
        <v>181.85975150000002</v>
      </c>
      <c r="N17" s="2546">
        <f>SUMIF('IS(M)'!$M$13:$ER$13,N$5,'IS(M)'!$M31:$ER31)/1000</f>
        <v>181.85975150000002</v>
      </c>
      <c r="O17" s="2546">
        <f>SUMIF('IS(M)'!$M$13:$ER$13,O$5,'IS(M)'!$M31:$ER31)/1000</f>
        <v>181.85975150000002</v>
      </c>
      <c r="P17" s="2546">
        <f>SUMIF('IS(M)'!$M$13:$ER$13,P$5,'IS(M)'!$M31:$ER31)/1000</f>
        <v>181.85975150000002</v>
      </c>
      <c r="Q17" s="2546">
        <f>SUMIF('IS(M)'!$M$13:$ER$13,Q$5,'IS(M)'!$M31:$ER31)/1000</f>
        <v>0</v>
      </c>
      <c r="R17" s="2546">
        <f>SUMIF('IS(M)'!$M$13:$ER$13,R$5,'IS(M)'!$M31:$ER31)/1000</f>
        <v>0</v>
      </c>
      <c r="S17" s="2546">
        <f>SUMIF('IS(M)'!$M$13:$ER$13,S$5,'IS(M)'!$M31:$ER31)/1000</f>
        <v>0</v>
      </c>
      <c r="T17" s="2546">
        <f>SUMIF('IS(M)'!$M$13:$ER$13,T$5,'IS(M)'!$M31:$ER31)/1000</f>
        <v>0</v>
      </c>
      <c r="U17" s="2546">
        <f>SUMIF('IS(M)'!$M$13:$ER$13,U$5,'IS(M)'!$M31:$ER31)/1000</f>
        <v>0</v>
      </c>
      <c r="V17" s="2546">
        <f>SUMIF('IS(M)'!$M$13:$ER$13,V$5,'IS(M)'!$M31:$ER31)/1000</f>
        <v>0</v>
      </c>
      <c r="W17" s="2546">
        <f>SUMIF('IS(M)'!$M$13:$ER$13,W$5,'IS(M)'!$M31:$ER31)/1000</f>
        <v>0</v>
      </c>
      <c r="X17" s="2546">
        <f>SUMIF('IS(M)'!$M$13:$ER$13,X$5,'IS(M)'!$M31:$ER31)/1000</f>
        <v>0</v>
      </c>
    </row>
    <row r="18" spans="1:25" s="2542" customFormat="1" ht="11.25" customHeight="1">
      <c r="A18" s="2556">
        <v>41</v>
      </c>
      <c r="B18" s="2557" t="s">
        <v>1215</v>
      </c>
      <c r="C18" s="2545">
        <v>933.25321199999996</v>
      </c>
      <c r="D18" s="2546">
        <f t="shared" si="8"/>
        <v>36</v>
      </c>
      <c r="E18" s="2546">
        <f t="shared" si="5"/>
        <v>-897.25321199999996</v>
      </c>
      <c r="F18" s="2546" t="s">
        <v>1683</v>
      </c>
      <c r="G18" s="2517"/>
      <c r="H18" s="2558">
        <f t="shared" si="3"/>
        <v>145.44</v>
      </c>
      <c r="I18" s="2546">
        <f>SUMIF('IS(M)'!$M$13:$ER$13,I$5,'IS(M)'!$M41:$ER41)/1000</f>
        <v>18</v>
      </c>
      <c r="J18" s="2546">
        <f>SUMIF('IS(M)'!$M$13:$ER$13,J$5,'IS(M)'!$M41:$ER41)/1000</f>
        <v>18</v>
      </c>
      <c r="K18" s="2546">
        <f>SUMIF('IS(M)'!$M$13:$ER$13,K$5,'IS(M)'!$M41:$ER41)/1000</f>
        <v>18</v>
      </c>
      <c r="L18" s="2546">
        <f>SUMIF('IS(M)'!$M$13:$ER$13,L$5,'IS(M)'!$M41:$ER41)/1000</f>
        <v>18</v>
      </c>
      <c r="M18" s="2546">
        <f>SUMIF('IS(M)'!$M$13:$ER$13,M$5,'IS(M)'!$M41:$ER41)/1000</f>
        <v>18.36</v>
      </c>
      <c r="N18" s="2546">
        <f>SUMIF('IS(M)'!$M$13:$ER$13,N$5,'IS(M)'!$M41:$ER41)/1000</f>
        <v>18.36</v>
      </c>
      <c r="O18" s="2546">
        <f>SUMIF('IS(M)'!$M$13:$ER$13,O$5,'IS(M)'!$M41:$ER41)/1000</f>
        <v>18.36</v>
      </c>
      <c r="P18" s="2546">
        <f>SUMIF('IS(M)'!$M$13:$ER$13,P$5,'IS(M)'!$M41:$ER41)/1000</f>
        <v>18.36</v>
      </c>
      <c r="Q18" s="2546">
        <f>SUMIF('IS(M)'!$M$13:$ER$13,Q$5,'IS(M)'!$M41:$ER41)/1000</f>
        <v>0</v>
      </c>
      <c r="R18" s="2546">
        <f>SUMIF('IS(M)'!$M$13:$ER$13,R$5,'IS(M)'!$M41:$ER41)/1000</f>
        <v>0</v>
      </c>
      <c r="S18" s="2546">
        <f>SUMIF('IS(M)'!$M$13:$ER$13,S$5,'IS(M)'!$M41:$ER41)/1000</f>
        <v>0</v>
      </c>
      <c r="T18" s="2546">
        <f>SUMIF('IS(M)'!$M$13:$ER$13,T$5,'IS(M)'!$M41:$ER41)/1000</f>
        <v>0</v>
      </c>
      <c r="U18" s="2546">
        <f>SUMIF('IS(M)'!$M$13:$ER$13,U$5,'IS(M)'!$M41:$ER41)/1000</f>
        <v>0</v>
      </c>
      <c r="V18" s="2546">
        <f>SUMIF('IS(M)'!$M$13:$ER$13,V$5,'IS(M)'!$M41:$ER41)/1000</f>
        <v>0</v>
      </c>
      <c r="W18" s="2546">
        <f>SUMIF('IS(M)'!$M$13:$ER$13,W$5,'IS(M)'!$M41:$ER41)/1000</f>
        <v>0</v>
      </c>
      <c r="X18" s="2546">
        <f>SUMIF('IS(M)'!$M$13:$ER$13,X$5,'IS(M)'!$M41:$ER41)/1000</f>
        <v>0</v>
      </c>
    </row>
    <row r="19" spans="1:25" s="2542" customFormat="1" ht="11.25" customHeight="1">
      <c r="A19" s="2556">
        <v>38</v>
      </c>
      <c r="B19" s="2557" t="s">
        <v>190</v>
      </c>
      <c r="C19" s="2545">
        <v>247.94540000000001</v>
      </c>
      <c r="D19" s="2546">
        <f t="shared" si="8"/>
        <v>333.27350000000007</v>
      </c>
      <c r="E19" s="2546">
        <f t="shared" si="5"/>
        <v>85.328100000000063</v>
      </c>
      <c r="F19" s="2546"/>
      <c r="G19" s="2517"/>
      <c r="H19" s="2558">
        <f t="shared" si="3"/>
        <v>1333.0940000000003</v>
      </c>
      <c r="I19" s="2715">
        <f>SUMIF('IS(M)'!$M$13:$ER$13,I$5,'IS(M)'!$M38:$ER38)/1000</f>
        <v>166.63675000000003</v>
      </c>
      <c r="J19" s="2715">
        <f>SUMIF('IS(M)'!$M$13:$ER$13,J$5,'IS(M)'!$M38:$ER38)/1000</f>
        <v>166.63675000000003</v>
      </c>
      <c r="K19" s="2715">
        <f>SUMIF('IS(M)'!$M$13:$ER$13,K$5,'IS(M)'!$M38:$ER38)/1000</f>
        <v>166.63675000000003</v>
      </c>
      <c r="L19" s="2715">
        <f>SUMIF('IS(M)'!$M$13:$ER$13,L$5,'IS(M)'!$M38:$ER38)/1000</f>
        <v>166.63675000000003</v>
      </c>
      <c r="M19" s="2715">
        <f>SUMIF('IS(M)'!$M$13:$ER$13,M$5,'IS(M)'!$M38:$ER38)/1000</f>
        <v>166.63675000000003</v>
      </c>
      <c r="N19" s="2715">
        <f>SUMIF('IS(M)'!$M$13:$ER$13,N$5,'IS(M)'!$M38:$ER38)/1000</f>
        <v>166.63675000000003</v>
      </c>
      <c r="O19" s="2715">
        <f>SUMIF('IS(M)'!$M$13:$ER$13,O$5,'IS(M)'!$M38:$ER38)/1000</f>
        <v>166.63675000000003</v>
      </c>
      <c r="P19" s="2715">
        <f>SUMIF('IS(M)'!$M$13:$ER$13,P$5,'IS(M)'!$M38:$ER38)/1000</f>
        <v>166.63675000000003</v>
      </c>
      <c r="Q19" s="2715">
        <f>SUMIF('IS(M)'!$M$13:$ER$13,Q$5,'IS(M)'!$M38:$ER38)/1000</f>
        <v>0</v>
      </c>
      <c r="R19" s="2715">
        <f>SUMIF('IS(M)'!$M$13:$ER$13,R$5,'IS(M)'!$M38:$ER38)/1000</f>
        <v>0</v>
      </c>
      <c r="S19" s="2715">
        <f>SUMIF('IS(M)'!$M$13:$ER$13,S$5,'IS(M)'!$M38:$ER38)/1000</f>
        <v>0</v>
      </c>
      <c r="T19" s="2715">
        <f>SUMIF('IS(M)'!$M$13:$ER$13,T$5,'IS(M)'!$M38:$ER38)/1000</f>
        <v>0</v>
      </c>
      <c r="U19" s="2715">
        <f>SUMIF('IS(M)'!$M$13:$ER$13,U$5,'IS(M)'!$M38:$ER38)/1000</f>
        <v>0</v>
      </c>
      <c r="V19" s="2715">
        <f>SUMIF('IS(M)'!$M$13:$ER$13,V$5,'IS(M)'!$M38:$ER38)/1000</f>
        <v>0</v>
      </c>
      <c r="W19" s="2715">
        <f>SUMIF('IS(M)'!$M$13:$ER$13,W$5,'IS(M)'!$M38:$ER38)/1000</f>
        <v>0</v>
      </c>
      <c r="X19" s="2715">
        <f>SUMIF('IS(M)'!$M$13:$ER$13,X$5,'IS(M)'!$M38:$ER38)/1000</f>
        <v>0</v>
      </c>
    </row>
    <row r="20" spans="1:25" s="2542" customFormat="1" ht="11.25" customHeight="1">
      <c r="A20" s="2556" t="s">
        <v>1231</v>
      </c>
      <c r="B20" s="2557" t="s">
        <v>1216</v>
      </c>
      <c r="C20" s="2545">
        <v>4.9589020000000001</v>
      </c>
      <c r="D20" s="2546">
        <f t="shared" si="8"/>
        <v>19.017420435510889</v>
      </c>
      <c r="E20" s="2546">
        <f t="shared" si="5"/>
        <v>14.058518435510889</v>
      </c>
      <c r="F20" s="2546"/>
      <c r="G20" s="2517"/>
      <c r="H20" s="2558">
        <f t="shared" si="3"/>
        <v>76.069681742043556</v>
      </c>
      <c r="I20" s="2715">
        <f>SUMIF('IS(M)'!$M$13:$ER$13,I$5,'IS(M)'!$M39:$ER39)/1000+SUMIF('IS(M)'!$M$13:$ER$13,I$5,'IS(M)'!$M40:$ER40)/1000</f>
        <v>9.5087102177554446</v>
      </c>
      <c r="J20" s="2715">
        <f>SUMIF('IS(M)'!$M$13:$ER$13,J$5,'IS(M)'!$M39:$ER39)/1000+SUMIF('IS(M)'!$M$13:$ER$13,J$5,'IS(M)'!$M40:$ER40)/1000</f>
        <v>9.5087102177554446</v>
      </c>
      <c r="K20" s="2715">
        <f>SUMIF('IS(M)'!$M$13:$ER$13,K$5,'IS(M)'!$M39:$ER39)/1000+SUMIF('IS(M)'!$M$13:$ER$13,K$5,'IS(M)'!$M40:$ER40)/1000</f>
        <v>9.5087102177554446</v>
      </c>
      <c r="L20" s="2715">
        <f>SUMIF('IS(M)'!$M$13:$ER$13,L$5,'IS(M)'!$M39:$ER39)/1000+SUMIF('IS(M)'!$M$13:$ER$13,L$5,'IS(M)'!$M40:$ER40)/1000</f>
        <v>9.5087102177554446</v>
      </c>
      <c r="M20" s="2715">
        <f>SUMIF('IS(M)'!$M$13:$ER$13,M$5,'IS(M)'!$M39:$ER39)/1000+SUMIF('IS(M)'!$M$13:$ER$13,M$5,'IS(M)'!$M40:$ER40)/1000</f>
        <v>9.5087102177554446</v>
      </c>
      <c r="N20" s="2715">
        <f>SUMIF('IS(M)'!$M$13:$ER$13,N$5,'IS(M)'!$M39:$ER39)/1000+SUMIF('IS(M)'!$M$13:$ER$13,N$5,'IS(M)'!$M40:$ER40)/1000</f>
        <v>9.5087102177554446</v>
      </c>
      <c r="O20" s="2715">
        <f>SUMIF('IS(M)'!$M$13:$ER$13,O$5,'IS(M)'!$M39:$ER39)/1000+SUMIF('IS(M)'!$M$13:$ER$13,O$5,'IS(M)'!$M40:$ER40)/1000</f>
        <v>9.5087102177554446</v>
      </c>
      <c r="P20" s="2715">
        <f>SUMIF('IS(M)'!$M$13:$ER$13,P$5,'IS(M)'!$M39:$ER39)/1000+SUMIF('IS(M)'!$M$13:$ER$13,P$5,'IS(M)'!$M40:$ER40)/1000</f>
        <v>9.5087102177554446</v>
      </c>
      <c r="Q20" s="2715">
        <f>SUMIF('IS(M)'!$M$13:$ER$13,Q$5,'IS(M)'!$M39:$ER39)/1000+SUMIF('IS(M)'!$M$13:$ER$13,Q$5,'IS(M)'!$M40:$ER40)/1000</f>
        <v>0</v>
      </c>
      <c r="R20" s="2715">
        <f>SUMIF('IS(M)'!$M$13:$ER$13,R$5,'IS(M)'!$M39:$ER39)/1000+SUMIF('IS(M)'!$M$13:$ER$13,R$5,'IS(M)'!$M40:$ER40)/1000</f>
        <v>0</v>
      </c>
      <c r="S20" s="2715">
        <f>SUMIF('IS(M)'!$M$13:$ER$13,S$5,'IS(M)'!$M39:$ER39)/1000+SUMIF('IS(M)'!$M$13:$ER$13,S$5,'IS(M)'!$M40:$ER40)/1000</f>
        <v>0</v>
      </c>
      <c r="T20" s="2715">
        <f>SUMIF('IS(M)'!$M$13:$ER$13,T$5,'IS(M)'!$M39:$ER39)/1000+SUMIF('IS(M)'!$M$13:$ER$13,T$5,'IS(M)'!$M40:$ER40)/1000</f>
        <v>0</v>
      </c>
      <c r="U20" s="2715">
        <f>SUMIF('IS(M)'!$M$13:$ER$13,U$5,'IS(M)'!$M39:$ER39)/1000+SUMIF('IS(M)'!$M$13:$ER$13,U$5,'IS(M)'!$M40:$ER40)/1000</f>
        <v>0</v>
      </c>
      <c r="V20" s="2715">
        <f>SUMIF('IS(M)'!$M$13:$ER$13,V$5,'IS(M)'!$M39:$ER39)/1000+SUMIF('IS(M)'!$M$13:$ER$13,V$5,'IS(M)'!$M40:$ER40)/1000</f>
        <v>0</v>
      </c>
      <c r="W20" s="2715">
        <f>SUMIF('IS(M)'!$M$13:$ER$13,W$5,'IS(M)'!$M39:$ER39)/1000+SUMIF('IS(M)'!$M$13:$ER$13,W$5,'IS(M)'!$M40:$ER40)/1000</f>
        <v>0</v>
      </c>
      <c r="X20" s="2715">
        <f>SUMIF('IS(M)'!$M$13:$ER$13,X$5,'IS(M)'!$M39:$ER39)/1000+SUMIF('IS(M)'!$M$13:$ER$13,X$5,'IS(M)'!$M40:$ER40)/1000</f>
        <v>0</v>
      </c>
    </row>
    <row r="21" spans="1:25" s="2542" customFormat="1" ht="11.25" customHeight="1">
      <c r="A21" s="2556">
        <v>37</v>
      </c>
      <c r="B21" s="2557" t="s">
        <v>1217</v>
      </c>
      <c r="C21" s="2545">
        <v>207.111064</v>
      </c>
      <c r="D21" s="2560">
        <f t="shared" si="8"/>
        <v>10.87337</v>
      </c>
      <c r="E21" s="2560">
        <f t="shared" si="5"/>
        <v>-196.237694</v>
      </c>
      <c r="F21" s="2560" t="s">
        <v>1686</v>
      </c>
      <c r="G21" s="2517"/>
      <c r="H21" s="2558">
        <f t="shared" si="3"/>
        <v>10.87337</v>
      </c>
      <c r="I21" s="2560">
        <f>SUMIF('IS(M)'!$M$13:$ER$13,I$5,'IS(M)'!$M37:$ER37)/1000</f>
        <v>10.87337</v>
      </c>
      <c r="J21" s="2560">
        <f>SUMIF('IS(M)'!$M$13:$ER$13,J$5,'IS(M)'!$M37:$ER37)/1000</f>
        <v>0</v>
      </c>
      <c r="K21" s="2560">
        <f>SUMIF('IS(M)'!$M$13:$ER$13,K$5,'IS(M)'!$M37:$ER37)/1000</f>
        <v>0</v>
      </c>
      <c r="L21" s="2560">
        <f>SUMIF('IS(M)'!$M$13:$ER$13,L$5,'IS(M)'!$M37:$ER37)/1000</f>
        <v>0</v>
      </c>
      <c r="M21" s="2560">
        <f>SUMIF('IS(M)'!$M$13:$ER$13,M$5,'IS(M)'!$M37:$ER37)/1000</f>
        <v>0</v>
      </c>
      <c r="N21" s="2560">
        <f>SUMIF('IS(M)'!$M$13:$ER$13,N$5,'IS(M)'!$M37:$ER37)/1000</f>
        <v>0</v>
      </c>
      <c r="O21" s="2560">
        <f>SUMIF('IS(M)'!$M$13:$ER$13,O$5,'IS(M)'!$M37:$ER37)/1000</f>
        <v>0</v>
      </c>
      <c r="P21" s="2560">
        <f>SUMIF('IS(M)'!$M$13:$ER$13,P$5,'IS(M)'!$M37:$ER37)/1000</f>
        <v>0</v>
      </c>
      <c r="Q21" s="2560">
        <f>SUMIF('IS(M)'!$M$13:$ER$13,Q$5,'IS(M)'!$M37:$ER37)/1000</f>
        <v>0</v>
      </c>
      <c r="R21" s="2560">
        <f>SUMIF('IS(M)'!$M$13:$ER$13,R$5,'IS(M)'!$M37:$ER37)/1000</f>
        <v>0</v>
      </c>
      <c r="S21" s="2560">
        <f>SUMIF('IS(M)'!$M$13:$ER$13,S$5,'IS(M)'!$M37:$ER37)/1000</f>
        <v>0</v>
      </c>
      <c r="T21" s="2560">
        <f>SUMIF('IS(M)'!$M$13:$ER$13,T$5,'IS(M)'!$M37:$ER37)/1000</f>
        <v>0</v>
      </c>
      <c r="U21" s="2560">
        <f>SUMIF('IS(M)'!$M$13:$ER$13,U$5,'IS(M)'!$M37:$ER37)/1000</f>
        <v>0</v>
      </c>
      <c r="V21" s="2560">
        <f>SUMIF('IS(M)'!$M$13:$ER$13,V$5,'IS(M)'!$M37:$ER37)/1000</f>
        <v>0</v>
      </c>
      <c r="W21" s="2560">
        <f>SUMIF('IS(M)'!$M$13:$ER$13,W$5,'IS(M)'!$M37:$ER37)/1000</f>
        <v>0</v>
      </c>
      <c r="X21" s="2560">
        <f>SUMIF('IS(M)'!$M$13:$ER$13,X$5,'IS(M)'!$M37:$ER37)/1000</f>
        <v>0</v>
      </c>
    </row>
    <row r="22" spans="1:25" s="2542" customFormat="1" ht="11.25" customHeight="1">
      <c r="A22" s="2556" t="s">
        <v>1232</v>
      </c>
      <c r="B22" s="2557" t="s">
        <v>1218</v>
      </c>
      <c r="C22" s="2545">
        <v>447.44400000000002</v>
      </c>
      <c r="D22" s="2546">
        <f t="shared" si="8"/>
        <v>348.50036800229998</v>
      </c>
      <c r="E22" s="2546">
        <f t="shared" si="5"/>
        <v>-98.943631997700038</v>
      </c>
      <c r="F22" s="2546" t="s">
        <v>1680</v>
      </c>
      <c r="G22" s="2517"/>
      <c r="H22" s="2558">
        <f t="shared" si="3"/>
        <v>1407.641486729292</v>
      </c>
      <c r="I22" s="2546">
        <f>SUMIF('IS(M)'!$M$13:$ER$13,I$5,'IS(M)'!$M27:$ER27)/1000+SUMIF('IS(M)'!$M$13:$ER$13,I$5,'IS(M)'!$M28:$ER28)/1000</f>
        <v>174.25018400114999</v>
      </c>
      <c r="J22" s="2546">
        <f>SUMIF('IS(M)'!$M$13:$ER$13,J$5,'IS(M)'!$M27:$ER27)/1000+SUMIF('IS(M)'!$M$13:$ER$13,J$5,'IS(M)'!$M28:$ER28)/1000</f>
        <v>174.25018400114999</v>
      </c>
      <c r="K22" s="2546">
        <f>SUMIF('IS(M)'!$M$13:$ER$13,K$5,'IS(M)'!$M27:$ER27)/1000+SUMIF('IS(M)'!$M$13:$ER$13,K$5,'IS(M)'!$M28:$ER28)/1000</f>
        <v>174.25018400114999</v>
      </c>
      <c r="L22" s="2546">
        <f>SUMIF('IS(M)'!$M$13:$ER$13,L$5,'IS(M)'!$M27:$ER27)/1000+SUMIF('IS(M)'!$M$13:$ER$13,L$5,'IS(M)'!$M28:$ER28)/1000</f>
        <v>174.25018400114999</v>
      </c>
      <c r="M22" s="2546">
        <f>SUMIF('IS(M)'!$M$13:$ER$13,M$5,'IS(M)'!$M27:$ER27)/1000+SUMIF('IS(M)'!$M$13:$ER$13,M$5,'IS(M)'!$M28:$ER28)/1000</f>
        <v>177.66018768117297</v>
      </c>
      <c r="N22" s="2546">
        <f>SUMIF('IS(M)'!$M$13:$ER$13,N$5,'IS(M)'!$M27:$ER27)/1000+SUMIF('IS(M)'!$M$13:$ER$13,N$5,'IS(M)'!$M28:$ER28)/1000</f>
        <v>177.66018768117297</v>
      </c>
      <c r="O22" s="2546">
        <f>SUMIF('IS(M)'!$M$13:$ER$13,O$5,'IS(M)'!$M27:$ER27)/1000+SUMIF('IS(M)'!$M$13:$ER$13,O$5,'IS(M)'!$M28:$ER28)/1000</f>
        <v>177.66018768117297</v>
      </c>
      <c r="P22" s="2546">
        <f>SUMIF('IS(M)'!$M$13:$ER$13,P$5,'IS(M)'!$M27:$ER27)/1000+SUMIF('IS(M)'!$M$13:$ER$13,P$5,'IS(M)'!$M28:$ER28)/1000</f>
        <v>177.66018768117297</v>
      </c>
      <c r="Q22" s="2546">
        <f>SUMIF('IS(M)'!$M$13:$ER$13,Q$5,'IS(M)'!$M27:$ER27)/1000+SUMIF('IS(M)'!$M$13:$ER$13,Q$5,'IS(M)'!$M28:$ER28)/1000</f>
        <v>0</v>
      </c>
      <c r="R22" s="2546">
        <f>SUMIF('IS(M)'!$M$13:$ER$13,R$5,'IS(M)'!$M27:$ER27)/1000+SUMIF('IS(M)'!$M$13:$ER$13,R$5,'IS(M)'!$M28:$ER28)/1000</f>
        <v>0</v>
      </c>
      <c r="S22" s="2546">
        <f>SUMIF('IS(M)'!$M$13:$ER$13,S$5,'IS(M)'!$M27:$ER27)/1000+SUMIF('IS(M)'!$M$13:$ER$13,S$5,'IS(M)'!$M28:$ER28)/1000</f>
        <v>0</v>
      </c>
      <c r="T22" s="2546">
        <f>SUMIF('IS(M)'!$M$13:$ER$13,T$5,'IS(M)'!$M27:$ER27)/1000+SUMIF('IS(M)'!$M$13:$ER$13,T$5,'IS(M)'!$M28:$ER28)/1000</f>
        <v>0</v>
      </c>
      <c r="U22" s="2546">
        <f>SUMIF('IS(M)'!$M$13:$ER$13,U$5,'IS(M)'!$M27:$ER27)/1000+SUMIF('IS(M)'!$M$13:$ER$13,U$5,'IS(M)'!$M28:$ER28)/1000</f>
        <v>0</v>
      </c>
      <c r="V22" s="2546">
        <f>SUMIF('IS(M)'!$M$13:$ER$13,V$5,'IS(M)'!$M27:$ER27)/1000+SUMIF('IS(M)'!$M$13:$ER$13,V$5,'IS(M)'!$M28:$ER28)/1000</f>
        <v>0</v>
      </c>
      <c r="W22" s="2546">
        <f>SUMIF('IS(M)'!$M$13:$ER$13,W$5,'IS(M)'!$M27:$ER27)/1000+SUMIF('IS(M)'!$M$13:$ER$13,W$5,'IS(M)'!$M28:$ER28)/1000</f>
        <v>0</v>
      </c>
      <c r="X22" s="2546">
        <f>SUMIF('IS(M)'!$M$13:$ER$13,X$5,'IS(M)'!$M27:$ER27)/1000+SUMIF('IS(M)'!$M$13:$ER$13,X$5,'IS(M)'!$M28:$ER28)/1000</f>
        <v>0</v>
      </c>
    </row>
    <row r="23" spans="1:25" s="2542" customFormat="1" ht="11.25" customHeight="1">
      <c r="A23" s="2561">
        <v>0</v>
      </c>
      <c r="B23" s="2562" t="s">
        <v>1219</v>
      </c>
      <c r="C23" s="2563"/>
      <c r="D23" s="2551">
        <f t="shared" si="8"/>
        <v>0</v>
      </c>
      <c r="E23" s="2551">
        <f t="shared" si="5"/>
        <v>0</v>
      </c>
      <c r="F23" s="2551"/>
      <c r="G23" s="2517"/>
      <c r="H23" s="2564">
        <f t="shared" si="3"/>
        <v>0</v>
      </c>
      <c r="I23" s="2551">
        <v>0</v>
      </c>
      <c r="J23" s="2551">
        <v>0</v>
      </c>
      <c r="K23" s="2551">
        <v>0</v>
      </c>
      <c r="L23" s="2551">
        <v>0</v>
      </c>
      <c r="M23" s="2551">
        <v>0</v>
      </c>
      <c r="N23" s="2551">
        <v>0</v>
      </c>
      <c r="O23" s="2551">
        <v>0</v>
      </c>
      <c r="P23" s="2551">
        <v>0</v>
      </c>
      <c r="Q23" s="2551">
        <v>0</v>
      </c>
      <c r="R23" s="2551">
        <v>0</v>
      </c>
      <c r="S23" s="2551">
        <v>0</v>
      </c>
      <c r="T23" s="2551">
        <v>0</v>
      </c>
      <c r="U23" s="2551">
        <v>0</v>
      </c>
      <c r="V23" s="2551">
        <v>0</v>
      </c>
      <c r="W23" s="2551">
        <v>0</v>
      </c>
      <c r="X23" s="2551">
        <v>0</v>
      </c>
    </row>
    <row r="24" spans="1:25" ht="11.25" customHeight="1">
      <c r="A24" s="3072" t="s">
        <v>1220</v>
      </c>
      <c r="B24" s="3072"/>
      <c r="C24" s="2532">
        <f>C6-C10</f>
        <v>2290.3478439999999</v>
      </c>
      <c r="D24" s="2104">
        <f>D6-D10</f>
        <v>4233.88358551487</v>
      </c>
      <c r="E24" s="2104"/>
      <c r="G24" s="2515"/>
      <c r="H24" s="2511">
        <f t="shared" si="3"/>
        <v>18128.693685869199</v>
      </c>
      <c r="I24" s="2104">
        <f>I6-I10</f>
        <v>2071.4089981945444</v>
      </c>
      <c r="J24" s="2104">
        <f t="shared" ref="J24:X24" si="9">J6-J10</f>
        <v>2162.4745873203246</v>
      </c>
      <c r="K24" s="2105">
        <f t="shared" si="9"/>
        <v>2249.3327563990761</v>
      </c>
      <c r="L24" s="2105">
        <f t="shared" si="9"/>
        <v>2403.8797989615755</v>
      </c>
      <c r="M24" s="2105">
        <f t="shared" si="9"/>
        <v>2164.6341264859748</v>
      </c>
      <c r="N24" s="2105">
        <f t="shared" si="9"/>
        <v>2246.8311510899011</v>
      </c>
      <c r="O24" s="2105">
        <f t="shared" si="9"/>
        <v>2335.8607743956195</v>
      </c>
      <c r="P24" s="2105">
        <f t="shared" si="9"/>
        <v>2494.2714930221819</v>
      </c>
      <c r="Q24" s="2105">
        <f t="shared" si="9"/>
        <v>0</v>
      </c>
      <c r="R24" s="2105">
        <f t="shared" si="9"/>
        <v>0</v>
      </c>
      <c r="S24" s="2105">
        <f t="shared" si="9"/>
        <v>0</v>
      </c>
      <c r="T24" s="2105">
        <f t="shared" si="9"/>
        <v>0</v>
      </c>
      <c r="U24" s="2105">
        <f t="shared" si="9"/>
        <v>0</v>
      </c>
      <c r="V24" s="2105">
        <f t="shared" si="9"/>
        <v>0</v>
      </c>
      <c r="W24" s="2105">
        <f t="shared" si="9"/>
        <v>0</v>
      </c>
      <c r="X24" s="2105">
        <f t="shared" si="9"/>
        <v>0</v>
      </c>
      <c r="Y24" t="b">
        <f>ABS(SUM('IS(M)'!N17:AK17)/1000-H24)&lt;1</f>
        <v>1</v>
      </c>
    </row>
    <row r="25" spans="1:25" ht="11.25" customHeight="1">
      <c r="A25" s="3071" t="s">
        <v>1221</v>
      </c>
      <c r="B25" s="3071"/>
      <c r="C25" s="2530">
        <f>C26</f>
        <v>67.853206</v>
      </c>
      <c r="D25" s="2524">
        <f ca="1">D26</f>
        <v>0</v>
      </c>
      <c r="E25" s="2524"/>
      <c r="G25" s="2515"/>
      <c r="H25" s="2510">
        <f t="shared" ca="1" si="3"/>
        <v>0</v>
      </c>
      <c r="I25" s="2101">
        <f ca="1">I26</f>
        <v>0</v>
      </c>
      <c r="J25" s="2101">
        <f t="shared" ref="J25:X25" ca="1" si="10">J26</f>
        <v>0</v>
      </c>
      <c r="K25" s="2101">
        <f t="shared" ca="1" si="10"/>
        <v>0</v>
      </c>
      <c r="L25" s="2101">
        <f t="shared" ca="1" si="10"/>
        <v>0</v>
      </c>
      <c r="M25" s="2101">
        <f t="shared" ca="1" si="10"/>
        <v>0</v>
      </c>
      <c r="N25" s="2101">
        <f t="shared" ca="1" si="10"/>
        <v>0</v>
      </c>
      <c r="O25" s="2101">
        <f t="shared" ca="1" si="10"/>
        <v>0</v>
      </c>
      <c r="P25" s="2101">
        <f t="shared" ca="1" si="10"/>
        <v>0</v>
      </c>
      <c r="Q25" s="2101">
        <f t="shared" si="10"/>
        <v>0</v>
      </c>
      <c r="R25" s="2101">
        <f t="shared" si="10"/>
        <v>0</v>
      </c>
      <c r="S25" s="2101">
        <f t="shared" si="10"/>
        <v>0</v>
      </c>
      <c r="T25" s="2101">
        <f t="shared" si="10"/>
        <v>0</v>
      </c>
      <c r="U25" s="2101">
        <f t="shared" si="10"/>
        <v>0</v>
      </c>
      <c r="V25" s="2101">
        <f t="shared" si="10"/>
        <v>0</v>
      </c>
      <c r="W25" s="2101">
        <f t="shared" si="10"/>
        <v>0</v>
      </c>
      <c r="X25" s="2101">
        <f t="shared" si="10"/>
        <v>0</v>
      </c>
    </row>
    <row r="26" spans="1:25" ht="11.25" customHeight="1">
      <c r="A26" s="2098">
        <v>44</v>
      </c>
      <c r="B26" s="2089" t="s">
        <v>1021</v>
      </c>
      <c r="C26" s="2531">
        <v>67.853206</v>
      </c>
      <c r="D26" s="2101">
        <f ca="1">SUM(I26:J26)</f>
        <v>0</v>
      </c>
      <c r="E26" s="2101"/>
      <c r="G26" s="2516"/>
      <c r="H26" s="2510">
        <f t="shared" ca="1" si="3"/>
        <v>0</v>
      </c>
      <c r="I26" s="2101">
        <f ca="1">SUMIF('IS(M)'!$M$13:$ER$13,I$5,'IS(M)'!$M44:$ER44)/1000</f>
        <v>0</v>
      </c>
      <c r="J26" s="2101">
        <f ca="1">SUMIF('IS(M)'!$M$13:$ER$13,J$5,'IS(M)'!$M44:$ER44)/1000</f>
        <v>0</v>
      </c>
      <c r="K26" s="2101">
        <f ca="1">SUMIF('IS(M)'!$M$13:$ER$13,K$5,'IS(M)'!$M44:$ER44)/1000</f>
        <v>0</v>
      </c>
      <c r="L26" s="2101">
        <f ca="1">SUMIF('IS(M)'!$M$13:$ER$13,L$5,'IS(M)'!$M44:$ER44)/1000</f>
        <v>0</v>
      </c>
      <c r="M26" s="2101">
        <f ca="1">SUMIF('IS(M)'!$M$13:$ER$13,M$5,'IS(M)'!$M44:$ER44)/1000</f>
        <v>0</v>
      </c>
      <c r="N26" s="2101">
        <f ca="1">SUMIF('IS(M)'!$M$13:$ER$13,N$5,'IS(M)'!$M44:$ER44)/1000</f>
        <v>0</v>
      </c>
      <c r="O26" s="2101">
        <f ca="1">SUMIF('IS(M)'!$M$13:$ER$13,O$5,'IS(M)'!$M44:$ER44)/1000</f>
        <v>0</v>
      </c>
      <c r="P26" s="2101">
        <f ca="1">SUMIF('IS(M)'!$M$13:$ER$13,P$5,'IS(M)'!$M44:$ER44)/1000</f>
        <v>0</v>
      </c>
      <c r="Q26" s="2101">
        <f>SUMIF('IS(M)'!$M$13:$ER$13,Q$5,'IS(M)'!$M44:$ER44)/1000</f>
        <v>0</v>
      </c>
      <c r="R26" s="2101">
        <f>SUMIF('IS(M)'!$M$13:$ER$13,R$5,'IS(M)'!$M44:$ER44)/1000</f>
        <v>0</v>
      </c>
      <c r="S26" s="2101">
        <f>SUMIF('IS(M)'!$M$13:$ER$13,S$5,'IS(M)'!$M44:$ER44)/1000</f>
        <v>0</v>
      </c>
      <c r="T26" s="2101">
        <f>SUMIF('IS(M)'!$M$13:$ER$13,T$5,'IS(M)'!$M44:$ER44)/1000</f>
        <v>0</v>
      </c>
      <c r="U26" s="2101">
        <f>SUMIF('IS(M)'!$M$13:$ER$13,U$5,'IS(M)'!$M44:$ER44)/1000</f>
        <v>0</v>
      </c>
      <c r="V26" s="2101">
        <f>SUMIF('IS(M)'!$M$13:$ER$13,V$5,'IS(M)'!$M44:$ER44)/1000</f>
        <v>0</v>
      </c>
      <c r="W26" s="2101">
        <f>SUMIF('IS(M)'!$M$13:$ER$13,W$5,'IS(M)'!$M44:$ER44)/1000</f>
        <v>0</v>
      </c>
      <c r="X26" s="2101">
        <f>SUMIF('IS(M)'!$M$13:$ER$13,X$5,'IS(M)'!$M44:$ER44)/1000</f>
        <v>0</v>
      </c>
    </row>
    <row r="27" spans="1:25" ht="11.25" customHeight="1">
      <c r="A27" s="3069" t="s">
        <v>1222</v>
      </c>
      <c r="B27" s="3069"/>
      <c r="C27" s="2533">
        <f>C15</f>
        <v>1633.2427459999999</v>
      </c>
      <c r="D27" s="2105">
        <f>I27</f>
        <v>854.42174999999997</v>
      </c>
      <c r="E27" s="2105"/>
      <c r="G27" s="2515"/>
      <c r="H27" s="2510">
        <f t="shared" si="3"/>
        <v>6835.373999999998</v>
      </c>
      <c r="I27" s="2105">
        <f>I15</f>
        <v>854.42174999999997</v>
      </c>
      <c r="J27" s="2105">
        <f t="shared" ref="J27:X27" si="11">J15</f>
        <v>854.42174999999997</v>
      </c>
      <c r="K27" s="2105">
        <f t="shared" si="11"/>
        <v>854.42174999999997</v>
      </c>
      <c r="L27" s="2105">
        <f t="shared" si="11"/>
        <v>854.42174999999997</v>
      </c>
      <c r="M27" s="2105">
        <f t="shared" si="11"/>
        <v>854.42174999999997</v>
      </c>
      <c r="N27" s="2105">
        <f t="shared" si="11"/>
        <v>854.42174999999997</v>
      </c>
      <c r="O27" s="2105">
        <f t="shared" si="11"/>
        <v>854.42174999999997</v>
      </c>
      <c r="P27" s="2105">
        <f t="shared" si="11"/>
        <v>854.42174999999997</v>
      </c>
      <c r="Q27" s="2105">
        <f t="shared" si="11"/>
        <v>0</v>
      </c>
      <c r="R27" s="2105">
        <f t="shared" si="11"/>
        <v>0</v>
      </c>
      <c r="S27" s="2105">
        <f t="shared" si="11"/>
        <v>0</v>
      </c>
      <c r="T27" s="2105">
        <f t="shared" si="11"/>
        <v>0</v>
      </c>
      <c r="U27" s="2105">
        <f t="shared" si="11"/>
        <v>0</v>
      </c>
      <c r="V27" s="2105">
        <f t="shared" si="11"/>
        <v>0</v>
      </c>
      <c r="W27" s="2105">
        <f t="shared" si="11"/>
        <v>0</v>
      </c>
      <c r="X27" s="2105">
        <f t="shared" si="11"/>
        <v>0</v>
      </c>
    </row>
    <row r="28" spans="1:25" ht="11.25" customHeight="1">
      <c r="A28" s="3069" t="s">
        <v>1223</v>
      </c>
      <c r="B28" s="3069"/>
      <c r="C28" s="2534">
        <v>0</v>
      </c>
      <c r="D28" s="2105">
        <f>I28</f>
        <v>0</v>
      </c>
      <c r="E28" s="2105"/>
      <c r="G28" s="2515"/>
      <c r="H28" s="2510">
        <f t="shared" si="3"/>
        <v>0</v>
      </c>
      <c r="I28" s="2105">
        <v>0</v>
      </c>
      <c r="J28" s="2105">
        <v>0</v>
      </c>
      <c r="K28" s="2105">
        <v>0</v>
      </c>
      <c r="L28" s="2105">
        <v>0</v>
      </c>
      <c r="M28" s="2105">
        <v>0</v>
      </c>
      <c r="N28" s="2105">
        <v>0</v>
      </c>
      <c r="O28" s="2105">
        <v>0</v>
      </c>
      <c r="P28" s="2105">
        <v>0</v>
      </c>
      <c r="Q28" s="2105">
        <v>0</v>
      </c>
      <c r="R28" s="2105">
        <v>0</v>
      </c>
      <c r="S28" s="2105">
        <v>0</v>
      </c>
      <c r="T28" s="2105">
        <v>0</v>
      </c>
      <c r="U28" s="2105">
        <v>0</v>
      </c>
      <c r="V28" s="2105">
        <v>0</v>
      </c>
      <c r="W28" s="2105">
        <v>0</v>
      </c>
      <c r="X28" s="2105">
        <v>0</v>
      </c>
    </row>
    <row r="29" spans="1:25" ht="11.25" customHeight="1">
      <c r="A29" s="3074" t="s">
        <v>2435</v>
      </c>
      <c r="B29" s="3075"/>
      <c r="C29" s="2534">
        <f>SUM(C11,C19,C20)</f>
        <v>255.904302</v>
      </c>
      <c r="D29" s="2105">
        <f>SUM(D11,D19,D20)</f>
        <v>364.29092043551094</v>
      </c>
      <c r="E29" s="2105"/>
      <c r="G29" s="2515"/>
      <c r="H29" s="2510">
        <f t="shared" si="3"/>
        <v>1457.6436817420436</v>
      </c>
      <c r="I29" s="2105">
        <f>SUM(I11,I19,I20)</f>
        <v>182.14546021775547</v>
      </c>
      <c r="J29" s="2105">
        <f t="shared" ref="J29:X29" si="12">SUM(J11,J19,J20)</f>
        <v>182.14546021775547</v>
      </c>
      <c r="K29" s="2105">
        <f t="shared" si="12"/>
        <v>182.14546021775547</v>
      </c>
      <c r="L29" s="2105">
        <f t="shared" si="12"/>
        <v>182.14546021775547</v>
      </c>
      <c r="M29" s="2105">
        <f t="shared" si="12"/>
        <v>182.26546021775548</v>
      </c>
      <c r="N29" s="2105">
        <f t="shared" si="12"/>
        <v>182.26546021775548</v>
      </c>
      <c r="O29" s="2105">
        <f t="shared" si="12"/>
        <v>182.26546021775548</v>
      </c>
      <c r="P29" s="2105">
        <f t="shared" si="12"/>
        <v>182.26546021775548</v>
      </c>
      <c r="Q29" s="2105">
        <f t="shared" si="12"/>
        <v>0</v>
      </c>
      <c r="R29" s="2105">
        <f t="shared" si="12"/>
        <v>0</v>
      </c>
      <c r="S29" s="2105">
        <f t="shared" si="12"/>
        <v>0</v>
      </c>
      <c r="T29" s="2105">
        <f t="shared" si="12"/>
        <v>0</v>
      </c>
      <c r="U29" s="2105">
        <f t="shared" si="12"/>
        <v>0</v>
      </c>
      <c r="V29" s="2105">
        <f t="shared" si="12"/>
        <v>0</v>
      </c>
      <c r="W29" s="2105">
        <f t="shared" si="12"/>
        <v>0</v>
      </c>
      <c r="X29" s="2105">
        <f t="shared" si="12"/>
        <v>0</v>
      </c>
    </row>
    <row r="30" spans="1:25" ht="11.25" customHeight="1">
      <c r="A30" s="3073" t="s">
        <v>1224</v>
      </c>
      <c r="B30" s="3073"/>
      <c r="C30" s="2534">
        <f>C24+C27+C28+C29</f>
        <v>4179.4948919999997</v>
      </c>
      <c r="D30" s="2105">
        <f>D24+D27+D28+D29</f>
        <v>5452.5962559503805</v>
      </c>
      <c r="E30" s="2105"/>
      <c r="G30" s="2519"/>
      <c r="H30" s="2510">
        <f t="shared" si="3"/>
        <v>26421.711367611239</v>
      </c>
      <c r="I30" s="2105">
        <f>I24+I27+I28+I29</f>
        <v>3107.9762084122999</v>
      </c>
      <c r="J30" s="2105">
        <f t="shared" ref="J30:X30" si="13">J24+J27+J28+J29</f>
        <v>3199.0417975380801</v>
      </c>
      <c r="K30" s="2105">
        <f t="shared" si="13"/>
        <v>3285.8999666168315</v>
      </c>
      <c r="L30" s="2105">
        <f t="shared" si="13"/>
        <v>3440.447009179331</v>
      </c>
      <c r="M30" s="2105">
        <f t="shared" si="13"/>
        <v>3201.3213367037301</v>
      </c>
      <c r="N30" s="2105">
        <f t="shared" si="13"/>
        <v>3283.5183613076565</v>
      </c>
      <c r="O30" s="2105">
        <f t="shared" si="13"/>
        <v>3372.5479846133749</v>
      </c>
      <c r="P30" s="2105">
        <f t="shared" si="13"/>
        <v>3530.9587032399372</v>
      </c>
      <c r="Q30" s="2105">
        <f t="shared" si="13"/>
        <v>0</v>
      </c>
      <c r="R30" s="2105">
        <f t="shared" si="13"/>
        <v>0</v>
      </c>
      <c r="S30" s="2105">
        <f t="shared" si="13"/>
        <v>0</v>
      </c>
      <c r="T30" s="2105">
        <f t="shared" si="13"/>
        <v>0</v>
      </c>
      <c r="U30" s="2105">
        <f t="shared" si="13"/>
        <v>0</v>
      </c>
      <c r="V30" s="2105">
        <f t="shared" si="13"/>
        <v>0</v>
      </c>
      <c r="W30" s="2105">
        <f t="shared" si="13"/>
        <v>0</v>
      </c>
      <c r="X30" s="2105">
        <f t="shared" si="13"/>
        <v>0</v>
      </c>
    </row>
    <row r="31" spans="1:25" ht="11.25" customHeight="1">
      <c r="A31" s="3069" t="s">
        <v>1268</v>
      </c>
      <c r="B31" s="3069"/>
      <c r="C31" s="2533">
        <v>3967.1232829999999</v>
      </c>
      <c r="D31" s="2105">
        <f>I31+J31</f>
        <v>3820</v>
      </c>
      <c r="E31" s="2105"/>
      <c r="G31" s="2515"/>
      <c r="H31" s="2510">
        <f t="shared" si="3"/>
        <v>15280</v>
      </c>
      <c r="I31" s="2105">
        <f>SUMIF('IS(M)'!$M$13:$ER$13,I$5,'IS(M)'!$M47:$ER47)/1000</f>
        <v>1910</v>
      </c>
      <c r="J31" s="2105">
        <f>SUMIF('IS(M)'!$M$13:$ER$13,J$5,'IS(M)'!$M47:$ER47)/1000</f>
        <v>1910</v>
      </c>
      <c r="K31" s="2105">
        <f>SUMIF('IS(M)'!$M$13:$ER$13,K$5,'IS(M)'!$M47:$ER47)/1000</f>
        <v>1910</v>
      </c>
      <c r="L31" s="2105">
        <f>SUMIF('IS(M)'!$M$13:$ER$13,L$5,'IS(M)'!$M47:$ER47)/1000</f>
        <v>1910</v>
      </c>
      <c r="M31" s="2105">
        <f>SUMIF('IS(M)'!$M$13:$ER$13,M$5,'IS(M)'!$M47:$ER47)/1000</f>
        <v>1910</v>
      </c>
      <c r="N31" s="2105">
        <f>SUMIF('IS(M)'!$M$13:$ER$13,N$5,'IS(M)'!$M47:$ER47)/1000</f>
        <v>1910</v>
      </c>
      <c r="O31" s="2105">
        <f>SUMIF('IS(M)'!$M$13:$ER$13,O$5,'IS(M)'!$M47:$ER47)/1000</f>
        <v>1910</v>
      </c>
      <c r="P31" s="2105">
        <f>SUMIF('IS(M)'!$M$13:$ER$13,P$5,'IS(M)'!$M47:$ER47)/1000</f>
        <v>1910</v>
      </c>
      <c r="Q31" s="2105">
        <f>SUMIF('IS(M)'!$M$13:$ER$13,Q$5,'IS(M)'!$M47:$ER47)/1000</f>
        <v>0</v>
      </c>
      <c r="R31" s="2105">
        <f>SUMIF('IS(M)'!$M$13:$ER$13,R$5,'IS(M)'!$M47:$ER47)/1000</f>
        <v>0</v>
      </c>
      <c r="S31" s="2105">
        <f>SUMIF('IS(M)'!$M$13:$ER$13,S$5,'IS(M)'!$M47:$ER47)/1000</f>
        <v>0</v>
      </c>
      <c r="T31" s="2105">
        <f>SUMIF('IS(M)'!$M$13:$ER$13,T$5,'IS(M)'!$M47:$ER47)/1000</f>
        <v>0</v>
      </c>
      <c r="U31" s="2105">
        <f>SUMIF('IS(M)'!$M$13:$ER$13,U$5,'IS(M)'!$M47:$ER47)/1000</f>
        <v>0</v>
      </c>
      <c r="V31" s="2105">
        <f>SUMIF('IS(M)'!$M$13:$ER$13,V$5,'IS(M)'!$M47:$ER47)/1000</f>
        <v>0</v>
      </c>
      <c r="W31" s="2105">
        <f>SUMIF('IS(M)'!$M$13:$ER$13,W$5,'IS(M)'!$M47:$ER47)/1000</f>
        <v>0</v>
      </c>
      <c r="X31" s="2105">
        <f>SUMIF('IS(M)'!$M$13:$ER$13,X$5,'IS(M)'!$M47:$ER47)/1000</f>
        <v>0</v>
      </c>
    </row>
    <row r="32" spans="1:25" ht="11.25" customHeight="1">
      <c r="A32" s="3069" t="s">
        <v>1269</v>
      </c>
      <c r="B32" s="3069"/>
      <c r="C32" s="2535">
        <v>0</v>
      </c>
      <c r="D32" s="2105">
        <f>I32+J32</f>
        <v>1140</v>
      </c>
      <c r="E32" s="2105"/>
      <c r="G32" s="2515"/>
      <c r="H32" s="2510">
        <f t="shared" si="3"/>
        <v>4560</v>
      </c>
      <c r="I32" s="2105">
        <f>SUMIF('IS(M)'!$M$13:$ER$13,I$5,'IS(M)'!$M50:$ER50)/1000</f>
        <v>570</v>
      </c>
      <c r="J32" s="2105">
        <f>SUMIF('IS(M)'!$M$13:$ER$13,J$5,'IS(M)'!$M50:$ER50)/1000</f>
        <v>570</v>
      </c>
      <c r="K32" s="2105">
        <f>SUMIF('IS(M)'!$M$13:$ER$13,K$5,'IS(M)'!$M50:$ER50)/1000</f>
        <v>570</v>
      </c>
      <c r="L32" s="2105">
        <f>SUMIF('IS(M)'!$M$13:$ER$13,L$5,'IS(M)'!$M50:$ER50)/1000</f>
        <v>570</v>
      </c>
      <c r="M32" s="2105">
        <f>SUMIF('IS(M)'!$M$13:$ER$13,M$5,'IS(M)'!$M50:$ER50)/1000</f>
        <v>570</v>
      </c>
      <c r="N32" s="2105">
        <f>SUMIF('IS(M)'!$M$13:$ER$13,N$5,'IS(M)'!$M50:$ER50)/1000</f>
        <v>570</v>
      </c>
      <c r="O32" s="2105">
        <f>SUMIF('IS(M)'!$M$13:$ER$13,O$5,'IS(M)'!$M50:$ER50)/1000</f>
        <v>570</v>
      </c>
      <c r="P32" s="2105">
        <f>SUMIF('IS(M)'!$M$13:$ER$13,P$5,'IS(M)'!$M50:$ER50)/1000</f>
        <v>570</v>
      </c>
      <c r="Q32" s="2105">
        <f>SUMIF('IS(M)'!$M$13:$ER$13,Q$5,'IS(M)'!$M50:$ER50)/1000</f>
        <v>0</v>
      </c>
      <c r="R32" s="2105">
        <f>SUMIF('IS(M)'!$M$13:$ER$13,R$5,'IS(M)'!$M50:$ER50)/1000</f>
        <v>0</v>
      </c>
      <c r="S32" s="2105">
        <f>SUMIF('IS(M)'!$M$13:$ER$13,S$5,'IS(M)'!$M50:$ER50)/1000</f>
        <v>0</v>
      </c>
      <c r="T32" s="2105">
        <f>SUMIF('IS(M)'!$M$13:$ER$13,T$5,'IS(M)'!$M50:$ER50)/1000</f>
        <v>0</v>
      </c>
      <c r="U32" s="2105">
        <f>SUMIF('IS(M)'!$M$13:$ER$13,U$5,'IS(M)'!$M50:$ER50)/1000</f>
        <v>0</v>
      </c>
      <c r="V32" s="2105">
        <f>SUMIF('IS(M)'!$M$13:$ER$13,V$5,'IS(M)'!$M50:$ER50)/1000</f>
        <v>0</v>
      </c>
      <c r="W32" s="2105">
        <f>SUMIF('IS(M)'!$M$13:$ER$13,W$5,'IS(M)'!$M50:$ER50)/1000</f>
        <v>0</v>
      </c>
      <c r="X32" s="2105">
        <f>SUMIF('IS(M)'!$M$13:$ER$13,X$5,'IS(M)'!$M50:$ER50)/1000</f>
        <v>0</v>
      </c>
    </row>
    <row r="33" spans="1:25" ht="11.25" customHeight="1">
      <c r="A33" s="3069" t="s">
        <v>1225</v>
      </c>
      <c r="B33" s="3069"/>
      <c r="C33" s="2533">
        <f>SUM(C31:C32)</f>
        <v>3967.1232829999999</v>
      </c>
      <c r="D33" s="2105">
        <f>SUM(D31:D32)</f>
        <v>4960</v>
      </c>
      <c r="E33" s="2105"/>
      <c r="G33" s="2515"/>
      <c r="H33" s="2510">
        <f t="shared" si="3"/>
        <v>19840</v>
      </c>
      <c r="I33" s="2105">
        <f>SUMIF('IS(M)'!$M$13:$ER$13,I$5,'IS(M)'!$M47:$ER47)/1000+SUMIF('IS(M)'!$M$13:$ER$13,I$5,'IS(M)'!$M50:$ER50)/1000</f>
        <v>2480</v>
      </c>
      <c r="J33" s="2105">
        <f>SUMIF('IS(M)'!$M$13:$ER$13,J$5,'IS(M)'!$M47:$ER47)/1000+SUMIF('IS(M)'!$M$13:$ER$13,J$5,'IS(M)'!$M50:$ER50)/1000</f>
        <v>2480</v>
      </c>
      <c r="K33" s="2105">
        <f>SUMIF('IS(M)'!$M$13:$ER$13,K$5,'IS(M)'!$M47:$ER47)/1000+SUMIF('IS(M)'!$M$13:$ER$13,K$5,'IS(M)'!$M50:$ER50)/1000</f>
        <v>2480</v>
      </c>
      <c r="L33" s="2105">
        <f>SUMIF('IS(M)'!$M$13:$ER$13,L$5,'IS(M)'!$M47:$ER47)/1000+SUMIF('IS(M)'!$M$13:$ER$13,L$5,'IS(M)'!$M50:$ER50)/1000</f>
        <v>2480</v>
      </c>
      <c r="M33" s="2105">
        <f>SUMIF('IS(M)'!$M$13:$ER$13,M$5,'IS(M)'!$M47:$ER47)/1000+SUMIF('IS(M)'!$M$13:$ER$13,M$5,'IS(M)'!$M50:$ER50)/1000</f>
        <v>2480</v>
      </c>
      <c r="N33" s="2105">
        <f>SUMIF('IS(M)'!$M$13:$ER$13,N$5,'IS(M)'!$M47:$ER47)/1000+SUMIF('IS(M)'!$M$13:$ER$13,N$5,'IS(M)'!$M50:$ER50)/1000</f>
        <v>2480</v>
      </c>
      <c r="O33" s="2105">
        <f>SUMIF('IS(M)'!$M$13:$ER$13,O$5,'IS(M)'!$M47:$ER47)/1000+SUMIF('IS(M)'!$M$13:$ER$13,O$5,'IS(M)'!$M50:$ER50)/1000</f>
        <v>2480</v>
      </c>
      <c r="P33" s="2105">
        <f>SUMIF('IS(M)'!$M$13:$ER$13,P$5,'IS(M)'!$M47:$ER47)/1000+SUMIF('IS(M)'!$M$13:$ER$13,P$5,'IS(M)'!$M50:$ER50)/1000</f>
        <v>2480</v>
      </c>
      <c r="Q33" s="2105">
        <f>SUMIF('IS(M)'!$M$13:$ER$13,Q$5,'IS(M)'!$M47:$ER47)/1000+SUMIF('IS(M)'!$M$13:$ER$13,Q$5,'IS(M)'!$M50:$ER50)/1000</f>
        <v>0</v>
      </c>
      <c r="R33" s="2105">
        <f>SUMIF('IS(M)'!$M$13:$ER$13,R$5,'IS(M)'!$M47:$ER47)/1000+SUMIF('IS(M)'!$M$13:$ER$13,R$5,'IS(M)'!$M50:$ER50)/1000</f>
        <v>0</v>
      </c>
      <c r="S33" s="2105">
        <f>SUMIF('IS(M)'!$M$13:$ER$13,S$5,'IS(M)'!$M47:$ER47)/1000+SUMIF('IS(M)'!$M$13:$ER$13,S$5,'IS(M)'!$M50:$ER50)/1000</f>
        <v>0</v>
      </c>
      <c r="T33" s="2105">
        <f>SUMIF('IS(M)'!$M$13:$ER$13,T$5,'IS(M)'!$M47:$ER47)/1000+SUMIF('IS(M)'!$M$13:$ER$13,T$5,'IS(M)'!$M50:$ER50)/1000</f>
        <v>0</v>
      </c>
      <c r="U33" s="2105">
        <f>SUMIF('IS(M)'!$M$13:$ER$13,U$5,'IS(M)'!$M47:$ER47)/1000+SUMIF('IS(M)'!$M$13:$ER$13,U$5,'IS(M)'!$M50:$ER50)/1000</f>
        <v>0</v>
      </c>
      <c r="V33" s="2105">
        <f>SUMIF('IS(M)'!$M$13:$ER$13,V$5,'IS(M)'!$M47:$ER47)/1000+SUMIF('IS(M)'!$M$13:$ER$13,V$5,'IS(M)'!$M50:$ER50)/1000</f>
        <v>0</v>
      </c>
      <c r="W33" s="2105">
        <f>SUMIF('IS(M)'!$M$13:$ER$13,W$5,'IS(M)'!$M47:$ER47)/1000+SUMIF('IS(M)'!$M$13:$ER$13,W$5,'IS(M)'!$M50:$ER50)/1000</f>
        <v>0</v>
      </c>
      <c r="X33" s="2105">
        <f>SUMIF('IS(M)'!$M$13:$ER$13,X$5,'IS(M)'!$M47:$ER47)/1000+SUMIF('IS(M)'!$M$13:$ER$13,X$5,'IS(M)'!$M50:$ER50)/1000</f>
        <v>0</v>
      </c>
    </row>
    <row r="34" spans="1:25" ht="11.25" customHeight="1">
      <c r="A34" s="3068" t="s">
        <v>1270</v>
      </c>
      <c r="B34" s="3068"/>
      <c r="C34" s="2536">
        <f>IFERROR(C30/C31,)</f>
        <v>1.0535328987405204</v>
      </c>
      <c r="D34" s="2092">
        <f>IFERROR(D30/D31,)</f>
        <v>1.4273812188351782</v>
      </c>
      <c r="E34" s="2092"/>
      <c r="G34" s="2519"/>
      <c r="H34" s="2512">
        <f>H30/H31</f>
        <v>1.7291695921211543</v>
      </c>
      <c r="I34" s="2092">
        <f>IFERROR(I30/I31,)</f>
        <v>1.6272126745614135</v>
      </c>
      <c r="J34" s="2092">
        <f t="shared" ref="J34:X34" si="14">IFERROR(J30/J31,)</f>
        <v>1.6748909934754346</v>
      </c>
      <c r="K34" s="2092">
        <f t="shared" si="14"/>
        <v>1.7203664746684981</v>
      </c>
      <c r="L34" s="2092">
        <f t="shared" si="14"/>
        <v>1.8012811566383933</v>
      </c>
      <c r="M34" s="2092">
        <f t="shared" si="14"/>
        <v>1.6760844694783927</v>
      </c>
      <c r="N34" s="2092">
        <f t="shared" si="14"/>
        <v>1.719119560894061</v>
      </c>
      <c r="O34" s="2092">
        <f t="shared" si="14"/>
        <v>1.7657319291169502</v>
      </c>
      <c r="P34" s="2092">
        <f t="shared" si="14"/>
        <v>1.8486694781360928</v>
      </c>
      <c r="Q34" s="2092">
        <f t="shared" si="14"/>
        <v>0</v>
      </c>
      <c r="R34" s="2092">
        <f t="shared" si="14"/>
        <v>0</v>
      </c>
      <c r="S34" s="2092">
        <f t="shared" si="14"/>
        <v>0</v>
      </c>
      <c r="T34" s="2092">
        <f t="shared" si="14"/>
        <v>0</v>
      </c>
      <c r="U34" s="2092">
        <f t="shared" si="14"/>
        <v>0</v>
      </c>
      <c r="V34" s="2092">
        <f t="shared" si="14"/>
        <v>0</v>
      </c>
      <c r="W34" s="2092">
        <f t="shared" si="14"/>
        <v>0</v>
      </c>
      <c r="X34" s="2092">
        <f t="shared" si="14"/>
        <v>0</v>
      </c>
      <c r="Y34" s="2106" t="s">
        <v>1234</v>
      </c>
    </row>
    <row r="35" spans="1:25" ht="11.25" customHeight="1">
      <c r="A35" s="3068" t="s">
        <v>1271</v>
      </c>
      <c r="B35" s="3068"/>
      <c r="C35" s="2536"/>
      <c r="D35" s="2092"/>
      <c r="E35" s="2092"/>
      <c r="G35" s="2519"/>
      <c r="H35" s="2512">
        <f ca="1">AVERAGEIF($I$35:$X$35,"&gt;0",$I$35:$X$35)</f>
        <v>6.7023660584111413</v>
      </c>
      <c r="I35" s="2092">
        <f ca="1">IFERROR((SUMIF('CF(M)'!$L$5:$EQ$5,I$4,'CF(M)'!$L$121:$EQ$121)/1000+I30)/I31,)</f>
        <v>7.86125517809608</v>
      </c>
      <c r="J35" s="2092">
        <f ca="1">IFERROR((SUMIF('CF(M)'!$L$5:$EQ$5,J$4,'CF(M)'!$L$121:$EQ$121)/1000+J30)/J31,)</f>
        <v>8.2090324613011205</v>
      </c>
      <c r="K35" s="2092">
        <f ca="1">IFERROR((SUMIF('CF(M)'!$L$5:$EQ$5,K$4,'CF(M)'!$L$121:$EQ$121)/1000+K30)/K31,)</f>
        <v>7.0006664752897887</v>
      </c>
      <c r="L35" s="2092">
        <f ca="1">IFERROR((SUMIF('CF(M)'!$L$5:$EQ$5,L$4,'CF(M)'!$L$121:$EQ$121)/1000+L30)/L31,)</f>
        <v>7.4747291749289921</v>
      </c>
      <c r="M35" s="2092">
        <f ca="1">IFERROR((SUMIF('CF(M)'!$L$5:$EQ$5,M$4,'CF(M)'!$L$121:$EQ$121)/1000+M30)/M31,)</f>
        <v>5.7198545584917015</v>
      </c>
      <c r="N35" s="2092">
        <f ca="1">IFERROR((SUMIF('CF(M)'!$L$5:$EQ$5,N$4,'CF(M)'!$L$121:$EQ$121)/1000+N30)/N31,)</f>
        <v>6.2072503001414807</v>
      </c>
      <c r="O35" s="2092">
        <f ca="1">IFERROR((SUMIF('CF(M)'!$L$5:$EQ$5,O$4,'CF(M)'!$L$121:$EQ$121)/1000+O30)/O31,)</f>
        <v>5.3334306965233855</v>
      </c>
      <c r="P35" s="2092">
        <f ca="1">IFERROR((SUMIF('CF(M)'!$L$5:$EQ$5,P$4,'CF(M)'!$L$121:$EQ$121)/1000+P30)/P31,)</f>
        <v>5.812709622516576</v>
      </c>
      <c r="Q35" s="2092">
        <f ca="1">IFERROR((SUMIF('CF(M)'!$L$5:$EQ$5,Q$4,'CF(M)'!$L$121:$EQ$121)/1000+Q30)/Q31,)</f>
        <v>0</v>
      </c>
      <c r="R35" s="2092">
        <f ca="1">IFERROR((SUMIF('CF(M)'!$L$5:$EQ$5,R$4,'CF(M)'!$L$121:$EQ$121)/1000+R30)/R31,)</f>
        <v>0</v>
      </c>
      <c r="S35" s="2092">
        <f ca="1">IFERROR((SUMIF('CF(M)'!$L$5:$EQ$5,S$4,'CF(M)'!$L$121:$EQ$121)/1000+S30)/S31,)</f>
        <v>0</v>
      </c>
      <c r="T35" s="2092">
        <f ca="1">IFERROR((SUMIF('CF(M)'!$L$5:$EQ$5,T$4,'CF(M)'!$L$121:$EQ$121)/1000+T30)/T31,)</f>
        <v>0</v>
      </c>
      <c r="U35" s="2092">
        <f ca="1">IFERROR((SUMIF('CF(M)'!$L$5:$EQ$5,U$4,'CF(M)'!$L$121:$EQ$121)/1000+U30)/U31,)</f>
        <v>0</v>
      </c>
      <c r="V35" s="2092">
        <f ca="1">IFERROR((SUMIF('CF(M)'!$L$5:$EQ$5,V$4,'CF(M)'!$L$121:$EQ$121)/1000+V30)/V31,)</f>
        <v>0</v>
      </c>
      <c r="W35" s="2092">
        <f ca="1">IFERROR((SUMIF('CF(M)'!$L$5:$EQ$5,W$4,'CF(M)'!$L$121:$EQ$121)/1000+W30)/W31,)</f>
        <v>0</v>
      </c>
      <c r="X35" s="2092">
        <f ca="1">IFERROR((SUMIF('CF(M)'!$L$5:$EQ$5,X$4,'CF(M)'!$L$121:$EQ$121)/1000+X30)/X31,)</f>
        <v>0</v>
      </c>
      <c r="Y35" s="1" t="s">
        <v>1233</v>
      </c>
    </row>
    <row r="36" spans="1:25" ht="11.25" customHeight="1">
      <c r="A36" s="3068" t="s">
        <v>1272</v>
      </c>
      <c r="B36" s="3068"/>
      <c r="C36" s="2536"/>
      <c r="D36" s="2092"/>
      <c r="E36" s="2092"/>
      <c r="G36" s="2519"/>
      <c r="H36" s="2512">
        <f>IFERROR(AVERAGEIF($I36:$X36,"&gt;0",$I36:$X36),)</f>
        <v>1.3317394842545989</v>
      </c>
      <c r="I36" s="2092">
        <f>IFERROR(I30/I33,)</f>
        <v>1.2532162130694757</v>
      </c>
      <c r="J36" s="2092">
        <f t="shared" ref="J36:X36" si="15">IFERROR(J30/J33,)</f>
        <v>1.2899362086847097</v>
      </c>
      <c r="K36" s="2092">
        <f t="shared" si="15"/>
        <v>1.3249596639583998</v>
      </c>
      <c r="L36" s="2092">
        <f t="shared" si="15"/>
        <v>1.3872770198303754</v>
      </c>
      <c r="M36" s="2092">
        <f t="shared" si="15"/>
        <v>1.2908553777031171</v>
      </c>
      <c r="N36" s="2092">
        <f t="shared" si="15"/>
        <v>1.3239993392369582</v>
      </c>
      <c r="O36" s="2092">
        <f t="shared" si="15"/>
        <v>1.3598983808924898</v>
      </c>
      <c r="P36" s="2092">
        <f t="shared" si="15"/>
        <v>1.4237736706612649</v>
      </c>
      <c r="Q36" s="2092">
        <f t="shared" si="15"/>
        <v>0</v>
      </c>
      <c r="R36" s="2092">
        <f t="shared" si="15"/>
        <v>0</v>
      </c>
      <c r="S36" s="2092">
        <f t="shared" si="15"/>
        <v>0</v>
      </c>
      <c r="T36" s="2092">
        <f t="shared" si="15"/>
        <v>0</v>
      </c>
      <c r="U36" s="2092">
        <f t="shared" si="15"/>
        <v>0</v>
      </c>
      <c r="V36" s="2092">
        <f t="shared" si="15"/>
        <v>0</v>
      </c>
      <c r="W36" s="2092">
        <f t="shared" si="15"/>
        <v>0</v>
      </c>
      <c r="X36" s="2092">
        <f t="shared" si="15"/>
        <v>0</v>
      </c>
      <c r="Y36" s="1"/>
    </row>
    <row r="37" spans="1:25" ht="11.25" customHeight="1">
      <c r="A37" s="3068" t="s">
        <v>1273</v>
      </c>
      <c r="B37" s="3068"/>
      <c r="C37" s="2536"/>
      <c r="D37" s="2092"/>
      <c r="E37" s="2092"/>
      <c r="G37" s="2519"/>
      <c r="H37" s="2512">
        <f ca="1">IFERROR(AVERAGEIF($I37:$X37,"&gt;0",$I37:$X37),)</f>
        <v>5.1619028917601932</v>
      </c>
      <c r="I37" s="2092">
        <f ca="1">IFERROR((SUMIF('CF(M)'!$L$5:$EQ$5,I$4,'CF(M)'!$L$121:$EQ$121)/1000+I30)/I33,)</f>
        <v>6.0544344315175458</v>
      </c>
      <c r="J37" s="2092">
        <f ca="1">IFERROR((SUMIF('CF(M)'!$L$5:$EQ$5,J$4,'CF(M)'!$L$121:$EQ$121)/1000+J30)/J33,)</f>
        <v>6.3222790326956213</v>
      </c>
      <c r="K37" s="2092">
        <f ca="1">IFERROR((SUMIF('CF(M)'!$L$5:$EQ$5,K$4,'CF(M)'!$L$121:$EQ$121)/1000+K30)/K33,)</f>
        <v>5.3916423257272159</v>
      </c>
      <c r="L37" s="2092">
        <f ca="1">IFERROR((SUMIF('CF(M)'!$L$5:$EQ$5,L$4,'CF(M)'!$L$121:$EQ$121)/1000+L30)/L33,)</f>
        <v>5.7567470661751514</v>
      </c>
      <c r="M37" s="2092">
        <f ca="1">IFERROR((SUMIF('CF(M)'!$L$5:$EQ$5,M$4,'CF(M)'!$L$121:$EQ$121)/1000+M30)/M33,)</f>
        <v>4.4052105672254633</v>
      </c>
      <c r="N37" s="2092">
        <f ca="1">IFERROR((SUMIF('CF(M)'!$L$5:$EQ$5,N$4,'CF(M)'!$L$121:$EQ$121)/1000+N30)/N33,)</f>
        <v>4.7805839005121884</v>
      </c>
      <c r="O37" s="2092">
        <f ca="1">IFERROR((SUMIF('CF(M)'!$L$5:$EQ$5,O$4,'CF(M)'!$L$121:$EQ$121)/1000+O30)/O33,)</f>
        <v>4.1076018670805103</v>
      </c>
      <c r="P37" s="2092">
        <f ca="1">IFERROR((SUMIF('CF(M)'!$L$5:$EQ$5,P$4,'CF(M)'!$L$121:$EQ$121)/1000+P30)/P33,)</f>
        <v>4.4767239431478467</v>
      </c>
      <c r="Q37" s="2092">
        <f ca="1">IFERROR((SUMIF('CF(M)'!$L$5:$EQ$5,Q$4,'CF(M)'!$L$121:$EQ$121)/1000+Q30)/Q33,)</f>
        <v>0</v>
      </c>
      <c r="R37" s="2092">
        <f ca="1">IFERROR((SUMIF('CF(M)'!$L$5:$EQ$5,R$4,'CF(M)'!$L$121:$EQ$121)/1000+R30)/R33,)</f>
        <v>0</v>
      </c>
      <c r="S37" s="2092">
        <f ca="1">IFERROR((SUMIF('CF(M)'!$L$5:$EQ$5,S$4,'CF(M)'!$L$121:$EQ$121)/1000+S30)/S33,)</f>
        <v>0</v>
      </c>
      <c r="T37" s="2092">
        <f ca="1">IFERROR((SUMIF('CF(M)'!$L$5:$EQ$5,T$4,'CF(M)'!$L$121:$EQ$121)/1000+T30)/T33,)</f>
        <v>0</v>
      </c>
      <c r="U37" s="2092">
        <f ca="1">IFERROR((SUMIF('CF(M)'!$L$5:$EQ$5,U$4,'CF(M)'!$L$121:$EQ$121)/1000+U30)/U33,)</f>
        <v>0</v>
      </c>
      <c r="V37" s="2092">
        <f ca="1">IFERROR((SUMIF('CF(M)'!$L$5:$EQ$5,V$4,'CF(M)'!$L$121:$EQ$121)/1000+V30)/V33,)</f>
        <v>0</v>
      </c>
      <c r="W37" s="2092">
        <f ca="1">IFERROR((SUMIF('CF(M)'!$L$5:$EQ$5,W$4,'CF(M)'!$L$121:$EQ$121)/1000+W30)/W33,)</f>
        <v>0</v>
      </c>
      <c r="X37" s="2092">
        <f ca="1">IFERROR((SUMIF('CF(M)'!$L$5:$EQ$5,X$4,'CF(M)'!$L$121:$EQ$121)/1000+X30)/X33,)</f>
        <v>0</v>
      </c>
      <c r="Y37" s="1"/>
    </row>
    <row r="38" spans="1:25" ht="11.25" customHeight="1">
      <c r="A38" s="2093" t="s">
        <v>1226</v>
      </c>
    </row>
    <row r="39" spans="1:25" ht="11.25" customHeight="1">
      <c r="A39" s="2093" t="s">
        <v>1227</v>
      </c>
    </row>
    <row r="40" spans="1:25" ht="11.25" customHeight="1">
      <c r="A40" s="2093" t="s">
        <v>1235</v>
      </c>
      <c r="I40" s="2191" t="b">
        <f>I34='DSCR(선,중)'!F33</f>
        <v>0</v>
      </c>
      <c r="J40" s="2191" t="b">
        <f>J34='DSCR(선,중)'!G33</f>
        <v>0</v>
      </c>
      <c r="K40" s="2191" t="b">
        <f>K34='DSCR(선,중)'!H33</f>
        <v>0</v>
      </c>
      <c r="L40" s="2191" t="b">
        <f>L34='DSCR(선,중)'!I33</f>
        <v>0</v>
      </c>
      <c r="M40" s="2191" t="b">
        <f>M34='DSCR(선,중)'!J33</f>
        <v>0</v>
      </c>
      <c r="N40" s="2191" t="b">
        <f>N34='DSCR(선,중)'!K33</f>
        <v>0</v>
      </c>
      <c r="O40" s="2191" t="b">
        <f>O34='DSCR(선,중)'!L33</f>
        <v>0</v>
      </c>
      <c r="P40" s="2191" t="b">
        <f>P34='DSCR(선,중)'!M33</f>
        <v>0</v>
      </c>
    </row>
    <row r="41" spans="1:25" ht="11.25" customHeight="1">
      <c r="I41" s="2191" t="b">
        <f>I36='DSCR(선,중)'!F35</f>
        <v>0</v>
      </c>
      <c r="J41" s="2191" t="b">
        <f>J36='DSCR(선,중)'!G35</f>
        <v>0</v>
      </c>
      <c r="K41" s="2191" t="b">
        <f>K36='DSCR(선,중)'!H35</f>
        <v>0</v>
      </c>
      <c r="L41" s="2191" t="b">
        <f>L36='DSCR(선,중)'!I35</f>
        <v>0</v>
      </c>
      <c r="M41" s="2191" t="b">
        <f>M36='DSCR(선,중)'!J35</f>
        <v>0</v>
      </c>
      <c r="N41" s="2191" t="b">
        <f>N36='DSCR(선,중)'!K35</f>
        <v>0</v>
      </c>
      <c r="O41" s="2191" t="b">
        <f>O36='DSCR(선,중)'!L35</f>
        <v>0</v>
      </c>
      <c r="P41" s="2191" t="b">
        <f>P36='DSCR(선,중)'!M35</f>
        <v>0</v>
      </c>
    </row>
    <row r="42" spans="1:25" ht="11.25" customHeight="1">
      <c r="I42" s="2191" t="b">
        <f>SUM(I31:I32)=I33</f>
        <v>1</v>
      </c>
      <c r="J42" s="2191" t="b">
        <f t="shared" ref="J42:P42" si="16">SUM(J31:J32)=J33</f>
        <v>1</v>
      </c>
      <c r="K42" s="2191" t="b">
        <f t="shared" si="16"/>
        <v>1</v>
      </c>
      <c r="L42" s="2191" t="b">
        <f t="shared" si="16"/>
        <v>1</v>
      </c>
      <c r="M42" s="2191" t="b">
        <f t="shared" si="16"/>
        <v>1</v>
      </c>
      <c r="N42" s="2191" t="b">
        <f t="shared" si="16"/>
        <v>1</v>
      </c>
      <c r="O42" s="2191" t="b">
        <f t="shared" si="16"/>
        <v>1</v>
      </c>
      <c r="P42" s="2191" t="b">
        <f t="shared" si="16"/>
        <v>1</v>
      </c>
    </row>
    <row r="46" spans="1:25" ht="11.25" customHeight="1">
      <c r="A46" s="3069" t="s">
        <v>1276</v>
      </c>
      <c r="B46" s="3069"/>
      <c r="C46" s="2522"/>
      <c r="D46" s="2504"/>
      <c r="E46" s="2506"/>
      <c r="F46" s="2526"/>
      <c r="G46" s="2515"/>
      <c r="H46" s="2510">
        <f ca="1">SUM(I46:X46)</f>
        <v>3360.0000000000005</v>
      </c>
      <c r="I46" s="2105">
        <f ca="1">SUMIF('IS(M)'!$M$13:$ER$13,I$5,'IS(M)'!$M75:$ER75)/1000</f>
        <v>0</v>
      </c>
      <c r="J46" s="2105">
        <f ca="1">SUMIF('IS(M)'!$M$13:$ER$13,J$5,'IS(M)'!$M75:$ER75)/1000</f>
        <v>840.00000000000011</v>
      </c>
      <c r="K46" s="2105">
        <f ca="1">SUMIF('IS(M)'!$M$13:$ER$13,K$5,'IS(M)'!$M75:$ER75)/1000</f>
        <v>0</v>
      </c>
      <c r="L46" s="2105">
        <f ca="1">SUMIF('IS(M)'!$M$13:$ER$13,L$5,'IS(M)'!$M75:$ER75)/1000</f>
        <v>840.00000000000011</v>
      </c>
      <c r="M46" s="2105">
        <f ca="1">SUMIF('IS(M)'!$M$13:$ER$13,M$5,'IS(M)'!$M75:$ER75)/1000</f>
        <v>0</v>
      </c>
      <c r="N46" s="2105">
        <f ca="1">SUMIF('IS(M)'!$M$13:$ER$13,N$5,'IS(M)'!$M75:$ER75)/1000</f>
        <v>840.00000000000011</v>
      </c>
      <c r="O46" s="2105">
        <f ca="1">SUMIF('IS(M)'!$M$13:$ER$13,O$5,'IS(M)'!$M75:$ER75)/1000</f>
        <v>0</v>
      </c>
      <c r="P46" s="2105">
        <f ca="1">SUMIF('IS(M)'!$M$13:$ER$13,P$5,'IS(M)'!$M75:$ER75)/1000</f>
        <v>840.00000000000011</v>
      </c>
      <c r="Q46" s="2105">
        <f>SUMIF('IS(M)'!$M$13:$ER$13,Q$5,'IS(M)'!$M75:$ER75)/1000</f>
        <v>0</v>
      </c>
      <c r="R46" s="2105">
        <f>SUMIF('IS(M)'!$M$13:$ER$13,R$5,'IS(M)'!$M75:$ER75)/1000</f>
        <v>0</v>
      </c>
      <c r="S46" s="2105">
        <f>SUMIF('IS(M)'!$M$13:$ER$13,S$5,'IS(M)'!$M75:$ER75)/1000</f>
        <v>0</v>
      </c>
      <c r="T46" s="2105">
        <f>SUMIF('IS(M)'!$M$13:$ER$13,T$5,'IS(M)'!$M75:$ER75)/1000</f>
        <v>0</v>
      </c>
      <c r="U46" s="2105">
        <f>SUMIF('IS(M)'!$M$13:$ER$13,U$5,'IS(M)'!$M75:$ER75)/1000</f>
        <v>0</v>
      </c>
      <c r="V46" s="2105">
        <f>SUMIF('IS(M)'!$M$13:$ER$13,V$5,'IS(M)'!$M75:$ER75)/1000</f>
        <v>0</v>
      </c>
      <c r="W46" s="2105">
        <f>SUMIF('IS(M)'!$M$13:$ER$13,W$5,'IS(M)'!$M75:$ER75)/1000</f>
        <v>0</v>
      </c>
      <c r="X46" s="2105">
        <f>SUMIF('IS(M)'!$M$13:$ER$13,X$5,'IS(M)'!$M75:$ER75)/1000</f>
        <v>0</v>
      </c>
    </row>
    <row r="47" spans="1:25" ht="11.25" customHeight="1">
      <c r="A47" s="3069" t="s">
        <v>1275</v>
      </c>
      <c r="B47" s="3069"/>
      <c r="C47" s="2522"/>
      <c r="D47" s="2504"/>
      <c r="E47" s="2506"/>
      <c r="F47" s="2526"/>
      <c r="G47" s="2515"/>
      <c r="H47" s="2510">
        <f ca="1">SUM(I47:X47)</f>
        <v>7500</v>
      </c>
      <c r="I47" s="2105">
        <f ca="1">SUMIF('IS(M)'!$M$13:$ER$13,I$5,'IS(M)'!$M80:$ER80)/1000</f>
        <v>0</v>
      </c>
      <c r="J47" s="2105">
        <f ca="1">SUMIF('IS(M)'!$M$13:$ER$13,J$5,'IS(M)'!$M80:$ER80)/1000</f>
        <v>1875</v>
      </c>
      <c r="K47" s="2105">
        <f ca="1">SUMIF('IS(M)'!$M$13:$ER$13,K$5,'IS(M)'!$M80:$ER80)/1000</f>
        <v>0</v>
      </c>
      <c r="L47" s="2105">
        <f ca="1">SUMIF('IS(M)'!$M$13:$ER$13,L$5,'IS(M)'!$M80:$ER80)/1000</f>
        <v>1875</v>
      </c>
      <c r="M47" s="2105">
        <f ca="1">SUMIF('IS(M)'!$M$13:$ER$13,M$5,'IS(M)'!$M80:$ER80)/1000</f>
        <v>0</v>
      </c>
      <c r="N47" s="2105">
        <f ca="1">SUMIF('IS(M)'!$M$13:$ER$13,N$5,'IS(M)'!$M80:$ER80)/1000</f>
        <v>1875</v>
      </c>
      <c r="O47" s="2105">
        <f ca="1">SUMIF('IS(M)'!$M$13:$ER$13,O$5,'IS(M)'!$M80:$ER80)/1000</f>
        <v>0</v>
      </c>
      <c r="P47" s="2105">
        <f ca="1">SUMIF('IS(M)'!$M$13:$ER$13,P$5,'IS(M)'!$M80:$ER80)/1000</f>
        <v>1875</v>
      </c>
      <c r="Q47" s="2105">
        <f>SUMIF('IS(M)'!$M$13:$ER$13,Q$5,'IS(M)'!$M80:$ER80)/1000</f>
        <v>0</v>
      </c>
      <c r="R47" s="2105">
        <f>SUMIF('IS(M)'!$M$13:$ER$13,R$5,'IS(M)'!$M80:$ER80)/1000</f>
        <v>0</v>
      </c>
      <c r="S47" s="2105">
        <f>SUMIF('IS(M)'!$M$13:$ER$13,S$5,'IS(M)'!$M80:$ER80)/1000</f>
        <v>0</v>
      </c>
      <c r="T47" s="2105">
        <f>SUMIF('IS(M)'!$M$13:$ER$13,T$5,'IS(M)'!$M80:$ER80)/1000</f>
        <v>0</v>
      </c>
      <c r="U47" s="2105">
        <f>SUMIF('IS(M)'!$M$13:$ER$13,U$5,'IS(M)'!$M80:$ER80)/1000</f>
        <v>0</v>
      </c>
      <c r="V47" s="2105">
        <f>SUMIF('IS(M)'!$M$13:$ER$13,V$5,'IS(M)'!$M80:$ER80)/1000</f>
        <v>0</v>
      </c>
      <c r="W47" s="2105">
        <f>SUMIF('IS(M)'!$M$13:$ER$13,W$5,'IS(M)'!$M80:$ER80)/1000</f>
        <v>0</v>
      </c>
      <c r="X47" s="2105">
        <f>SUMIF('IS(M)'!$M$13:$ER$13,X$5,'IS(M)'!$M80:$ER80)/1000</f>
        <v>0</v>
      </c>
    </row>
    <row r="48" spans="1:25" ht="11.25" customHeight="1">
      <c r="A48" s="3066" t="s">
        <v>1277</v>
      </c>
      <c r="B48" s="3067"/>
      <c r="C48" s="2523"/>
      <c r="D48" s="2505"/>
      <c r="E48" s="2507"/>
      <c r="F48" s="2527"/>
      <c r="G48" s="2520"/>
      <c r="H48" s="2512">
        <f ca="1">IFERROR(AVERAGEIF($I48:$X48,"&gt;0",$I48:$X48),)</f>
        <v>4.4871091977946094</v>
      </c>
      <c r="I48" s="2092">
        <f ca="1">IFERROR((SUMIF('CF(M)'!$L$5:$EQ$5,I$4,'CF(M)'!$L$121:$EQ$121)/1000+I30)/(I33+I46),)</f>
        <v>6.0544344315175458</v>
      </c>
      <c r="J48" s="2092">
        <f ca="1">IFERROR((SUMIF('CF(M)'!$L$5:$EQ$5,J$4,'CF(M)'!$L$121:$EQ$121)/1000+J30)/(J33+J46),)</f>
        <v>4.7226662653870903</v>
      </c>
      <c r="K48" s="2092">
        <f ca="1">IFERROR((SUMIF('CF(M)'!$L$5:$EQ$5,K$4,'CF(M)'!$L$121:$EQ$121)/1000+K30)/(K33+K46),)</f>
        <v>5.3916423257272159</v>
      </c>
      <c r="L48" s="2092">
        <f ca="1">IFERROR((SUMIF('CF(M)'!$L$5:$EQ$5,L$4,'CF(M)'!$L$121:$EQ$121)/1000+L30)/(L33+L46),)</f>
        <v>4.3002207000344503</v>
      </c>
      <c r="M48" s="2092">
        <f ca="1">IFERROR((SUMIF('CF(M)'!$L$5:$EQ$5,M$4,'CF(M)'!$L$121:$EQ$121)/1000+M30)/(M33+M46),)</f>
        <v>4.4052105672254633</v>
      </c>
      <c r="N48" s="2092">
        <f ca="1">IFERROR((SUMIF('CF(M)'!$L$5:$EQ$5,N$4,'CF(M)'!$L$121:$EQ$121)/1000+N30)/(N33+N46),)</f>
        <v>3.5710385762862131</v>
      </c>
      <c r="O48" s="2092">
        <f ca="1">IFERROR((SUMIF('CF(M)'!$L$5:$EQ$5,O$4,'CF(M)'!$L$121:$EQ$121)/1000+O30)/(O33+O46),)</f>
        <v>4.1076018670805103</v>
      </c>
      <c r="P48" s="2092">
        <f ca="1">IFERROR((SUMIF('CF(M)'!$L$5:$EQ$5,P$4,'CF(M)'!$L$121:$EQ$121)/1000+P30)/(P33+P46),)</f>
        <v>3.3440588490983916</v>
      </c>
      <c r="Q48" s="2092">
        <f ca="1">IFERROR((SUMIF('CF(M)'!$L$5:$EQ$5,Q$4,'CF(M)'!$L$121:$EQ$121)/1000+Q30)/(Q33+Q46),)</f>
        <v>0</v>
      </c>
      <c r="R48" s="2092">
        <f ca="1">IFERROR((SUMIF('CF(M)'!$L$5:$EQ$5,R$4,'CF(M)'!$L$121:$EQ$121)/1000+R30)/(R33+R46),)</f>
        <v>0</v>
      </c>
      <c r="S48" s="2092">
        <f ca="1">IFERROR((SUMIF('CF(M)'!$L$5:$EQ$5,S$4,'CF(M)'!$L$121:$EQ$121)/1000+S30)/(S33+S46),)</f>
        <v>0</v>
      </c>
      <c r="T48" s="2092">
        <f ca="1">IFERROR((SUMIF('CF(M)'!$L$5:$EQ$5,T$4,'CF(M)'!$L$121:$EQ$121)/1000+T30)/(T33+T46),)</f>
        <v>0</v>
      </c>
      <c r="U48" s="2092">
        <f ca="1">IFERROR((SUMIF('CF(M)'!$L$5:$EQ$5,U$4,'CF(M)'!$L$121:$EQ$121)/1000+U30)/(U33+U46),)</f>
        <v>0</v>
      </c>
      <c r="V48" s="2092">
        <f ca="1">IFERROR((SUMIF('CF(M)'!$L$5:$EQ$5,V$4,'CF(M)'!$L$121:$EQ$121)/1000+V30)/(V33+V46),)</f>
        <v>0</v>
      </c>
      <c r="W48" s="2092">
        <f ca="1">IFERROR((SUMIF('CF(M)'!$L$5:$EQ$5,W$4,'CF(M)'!$L$121:$EQ$121)/1000+W30)/(W33+W46),)</f>
        <v>0</v>
      </c>
      <c r="X48" s="2092">
        <f ca="1">IFERROR((SUMIF('CF(M)'!$L$5:$EQ$5,X$4,'CF(M)'!$L$121:$EQ$121)/1000+X30)/(X33+X46),)</f>
        <v>0</v>
      </c>
    </row>
    <row r="49" spans="1:24" ht="11.25" customHeight="1">
      <c r="A49" s="3066" t="s">
        <v>1278</v>
      </c>
      <c r="B49" s="3067"/>
      <c r="C49" s="2523"/>
      <c r="D49" s="2505"/>
      <c r="E49" s="2507"/>
      <c r="F49" s="2527"/>
      <c r="G49" s="2520"/>
      <c r="H49" s="2512">
        <f ca="1">IFERROR(AVERAGEIF($I49:$X49,"&gt;0",$I49:$X49),)</f>
        <v>3.7680591320400021</v>
      </c>
      <c r="I49" s="2092">
        <f ca="1">IFERROR((SUMIF('CF(M)'!$L$5:$EQ$5,I$4,'CF(M)'!$L$121:$EQ$121)/1000+I30)/(I33+I46+I47),)</f>
        <v>6.0544344315175458</v>
      </c>
      <c r="J49" s="2092">
        <f ca="1">IFERROR((SUMIF('CF(M)'!$L$5:$EQ$5,J$4,'CF(M)'!$L$121:$EQ$121)/1000+J30)/(J33+J46+J47),)</f>
        <v>3.0181428298527702</v>
      </c>
      <c r="K49" s="2092">
        <f ca="1">IFERROR((SUMIF('CF(M)'!$L$5:$EQ$5,K$4,'CF(M)'!$L$121:$EQ$121)/1000+K30)/(K33+K46+K47),)</f>
        <v>5.3916423257272159</v>
      </c>
      <c r="L49" s="2092">
        <f ca="1">IFERROR((SUMIF('CF(M)'!$L$5:$EQ$5,L$4,'CF(M)'!$L$121:$EQ$121)/1000+L30)/(L33+L46+L47),)</f>
        <v>2.7481679930922764</v>
      </c>
      <c r="M49" s="2092">
        <f ca="1">IFERROR((SUMIF('CF(M)'!$L$5:$EQ$5,M$4,'CF(M)'!$L$121:$EQ$121)/1000+M30)/(M33+M46+M47),)</f>
        <v>4.4052105672254633</v>
      </c>
      <c r="N49" s="2092">
        <f ca="1">IFERROR((SUMIF('CF(M)'!$L$5:$EQ$5,N$4,'CF(M)'!$L$121:$EQ$121)/1000+N30)/(N33+N46+N47),)</f>
        <v>2.2821651729105348</v>
      </c>
      <c r="O49" s="2092">
        <f ca="1">IFERROR((SUMIF('CF(M)'!$L$5:$EQ$5,O$4,'CF(M)'!$L$121:$EQ$121)/1000+O30)/(O33+O46+O47),)</f>
        <v>4.1076018670805103</v>
      </c>
      <c r="P49" s="2092">
        <f ca="1">IFERROR((SUMIF('CF(M)'!$L$5:$EQ$5,P$4,'CF(M)'!$L$121:$EQ$121)/1000+P30)/(P33+P46+P47),)</f>
        <v>2.1371078689136978</v>
      </c>
      <c r="Q49" s="2092">
        <f ca="1">IFERROR((SUMIF('CF(M)'!$L$5:$EQ$5,Q$4,'CF(M)'!$L$121:$EQ$121)/1000+Q30)/(Q33+Q46+Q47),)</f>
        <v>0</v>
      </c>
      <c r="R49" s="2092">
        <f ca="1">IFERROR((SUMIF('CF(M)'!$L$5:$EQ$5,R$4,'CF(M)'!$L$121:$EQ$121)/1000+R30)/(R33+R46+R47),)</f>
        <v>0</v>
      </c>
      <c r="S49" s="2092">
        <f ca="1">IFERROR((SUMIF('CF(M)'!$L$5:$EQ$5,S$4,'CF(M)'!$L$121:$EQ$121)/1000+S30)/(S33+S46+S47),)</f>
        <v>0</v>
      </c>
      <c r="T49" s="2092">
        <f ca="1">IFERROR((SUMIF('CF(M)'!$L$5:$EQ$5,T$4,'CF(M)'!$L$121:$EQ$121)/1000+T30)/(T33+T46+T47),)</f>
        <v>0</v>
      </c>
      <c r="U49" s="2092">
        <f ca="1">IFERROR((SUMIF('CF(M)'!$L$5:$EQ$5,U$4,'CF(M)'!$L$121:$EQ$121)/1000+U30)/(U33+U46+U47),)</f>
        <v>0</v>
      </c>
      <c r="V49" s="2092">
        <f ca="1">IFERROR((SUMIF('CF(M)'!$L$5:$EQ$5,V$4,'CF(M)'!$L$121:$EQ$121)/1000+V30)/(V33+V46+V47),)</f>
        <v>0</v>
      </c>
      <c r="W49" s="2092">
        <f ca="1">IFERROR((SUMIF('CF(M)'!$L$5:$EQ$5,W$4,'CF(M)'!$L$121:$EQ$121)/1000+W30)/(W33+W46+W47),)</f>
        <v>0</v>
      </c>
      <c r="X49" s="2092">
        <f ca="1">IFERROR((SUMIF('CF(M)'!$L$5:$EQ$5,X$4,'CF(M)'!$L$121:$EQ$121)/1000+X30)/(X33+X46+X47),)</f>
        <v>0</v>
      </c>
    </row>
  </sheetData>
  <mergeCells count="20">
    <mergeCell ref="A34:B34"/>
    <mergeCell ref="A5:B5"/>
    <mergeCell ref="A6:B6"/>
    <mergeCell ref="A10:B10"/>
    <mergeCell ref="A24:B24"/>
    <mergeCell ref="A25:B25"/>
    <mergeCell ref="A27:B27"/>
    <mergeCell ref="A28:B28"/>
    <mergeCell ref="A30:B30"/>
    <mergeCell ref="A31:B31"/>
    <mergeCell ref="A32:B32"/>
    <mergeCell ref="A33:B33"/>
    <mergeCell ref="A29:B29"/>
    <mergeCell ref="A49:B49"/>
    <mergeCell ref="A35:B35"/>
    <mergeCell ref="A36:B36"/>
    <mergeCell ref="A37:B37"/>
    <mergeCell ref="A46:B46"/>
    <mergeCell ref="A47:B47"/>
    <mergeCell ref="A48:B48"/>
  </mergeCells>
  <phoneticPr fontId="2"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4A4BF-0FD1-4D4E-B71C-C198DFC4AD3A}">
  <sheetPr codeName="Sheet26"/>
  <dimension ref="B1:V48"/>
  <sheetViews>
    <sheetView showGridLines="0" zoomScaleNormal="100" workbookViewId="0">
      <selection activeCell="A20" sqref="A20"/>
    </sheetView>
  </sheetViews>
  <sheetFormatPr defaultRowHeight="11.25" customHeight="1"/>
  <cols>
    <col min="4" max="4" width="12.75" customWidth="1"/>
    <col min="6" max="13" width="9" customWidth="1"/>
    <col min="14" max="21" width="11.125" bestFit="1" customWidth="1"/>
  </cols>
  <sheetData>
    <row r="1" spans="2:22" ht="11.25" customHeight="1">
      <c r="C1" t="s">
        <v>1229</v>
      </c>
      <c r="E1" s="2094">
        <v>3</v>
      </c>
      <c r="M1" t="s">
        <v>1236</v>
      </c>
      <c r="N1" t="s">
        <v>1236</v>
      </c>
      <c r="O1" t="s">
        <v>1236</v>
      </c>
      <c r="P1" t="s">
        <v>1236</v>
      </c>
      <c r="Q1" t="s">
        <v>1236</v>
      </c>
      <c r="R1" t="s">
        <v>1236</v>
      </c>
      <c r="S1" t="s">
        <v>1236</v>
      </c>
      <c r="T1" t="s">
        <v>1236</v>
      </c>
      <c r="U1" t="s">
        <v>1236</v>
      </c>
    </row>
    <row r="3" spans="2:22" ht="11.25" customHeight="1">
      <c r="E3" t="s">
        <v>119</v>
      </c>
      <c r="F3" s="2096">
        <f>'A&amp;R'!M32</f>
        <v>46326</v>
      </c>
      <c r="G3" s="2096">
        <f>F4+1</f>
        <v>46419</v>
      </c>
      <c r="H3" s="2096">
        <f t="shared" ref="H3:U3" si="0">G4+1</f>
        <v>46508</v>
      </c>
      <c r="I3" s="2096">
        <f t="shared" si="0"/>
        <v>46600</v>
      </c>
      <c r="J3" s="2096">
        <f t="shared" si="0"/>
        <v>46692</v>
      </c>
      <c r="K3" s="2096">
        <f t="shared" si="0"/>
        <v>46784</v>
      </c>
      <c r="L3" s="2096">
        <f t="shared" si="0"/>
        <v>46874</v>
      </c>
      <c r="M3" s="2096">
        <f t="shared" si="0"/>
        <v>46966</v>
      </c>
      <c r="N3" s="2096">
        <f t="shared" si="0"/>
        <v>47058</v>
      </c>
      <c r="O3" s="2096">
        <f t="shared" si="0"/>
        <v>47150</v>
      </c>
      <c r="P3" s="2096">
        <f t="shared" si="0"/>
        <v>47239</v>
      </c>
      <c r="Q3" s="2096">
        <f t="shared" si="0"/>
        <v>47331</v>
      </c>
      <c r="R3" s="2096">
        <f t="shared" si="0"/>
        <v>47423</v>
      </c>
      <c r="S3" s="2096">
        <f t="shared" si="0"/>
        <v>47515</v>
      </c>
      <c r="T3" s="2096">
        <f t="shared" si="0"/>
        <v>47604</v>
      </c>
      <c r="U3" s="2096">
        <f t="shared" si="0"/>
        <v>47696</v>
      </c>
    </row>
    <row r="4" spans="2:22" ht="11.25" customHeight="1">
      <c r="E4" t="s">
        <v>120</v>
      </c>
      <c r="F4" s="2096">
        <f>EOMONTH(F3-1,$E$1)</f>
        <v>46418</v>
      </c>
      <c r="G4" s="2096">
        <f>EOMONTH(G3-1,$E$1)</f>
        <v>46507</v>
      </c>
      <c r="H4" s="2096">
        <f t="shared" ref="H4:M4" si="1">EOMONTH(H3-1,$E$1)</f>
        <v>46599</v>
      </c>
      <c r="I4" s="2096">
        <f t="shared" si="1"/>
        <v>46691</v>
      </c>
      <c r="J4" s="2096">
        <f t="shared" si="1"/>
        <v>46783</v>
      </c>
      <c r="K4" s="2096">
        <f t="shared" si="1"/>
        <v>46873</v>
      </c>
      <c r="L4" s="2096">
        <f t="shared" si="1"/>
        <v>46965</v>
      </c>
      <c r="M4" s="2096">
        <f t="shared" si="1"/>
        <v>47057</v>
      </c>
      <c r="N4" s="2096">
        <f t="shared" ref="N4" si="2">EOMONTH(N3-1,$E$1)</f>
        <v>47149</v>
      </c>
      <c r="O4" s="2096">
        <f t="shared" ref="O4" si="3">EOMONTH(O3-1,$E$1)</f>
        <v>47238</v>
      </c>
      <c r="P4" s="2096">
        <f t="shared" ref="P4" si="4">EOMONTH(P3-1,$E$1)</f>
        <v>47330</v>
      </c>
      <c r="Q4" s="2096">
        <f t="shared" ref="Q4" si="5">EOMONTH(Q3-1,$E$1)</f>
        <v>47422</v>
      </c>
      <c r="R4" s="2096">
        <f t="shared" ref="R4" si="6">EOMONTH(R3-1,$E$1)</f>
        <v>47514</v>
      </c>
      <c r="S4" s="2096">
        <f t="shared" ref="S4" si="7">EOMONTH(S3-1,$E$1)</f>
        <v>47603</v>
      </c>
      <c r="T4" s="2096">
        <f t="shared" ref="T4" si="8">EOMONTH(T3-1,$E$1)</f>
        <v>47695</v>
      </c>
      <c r="U4" s="2096">
        <f t="shared" ref="U4" si="9">EOMONTH(U3-1,$E$1)</f>
        <v>47787</v>
      </c>
    </row>
    <row r="5" spans="2:22" ht="11.25" customHeight="1">
      <c r="B5" t="s">
        <v>1695</v>
      </c>
      <c r="C5" s="3070" t="s">
        <v>1206</v>
      </c>
      <c r="D5" s="3070"/>
      <c r="E5" s="2087" t="s">
        <v>104</v>
      </c>
      <c r="F5" s="2095">
        <v>1</v>
      </c>
      <c r="G5" s="2095">
        <f>F5+1</f>
        <v>2</v>
      </c>
      <c r="H5" s="2095">
        <f t="shared" ref="H5:I5" si="10">G5+1</f>
        <v>3</v>
      </c>
      <c r="I5" s="2095">
        <f t="shared" si="10"/>
        <v>4</v>
      </c>
      <c r="J5" s="2095">
        <f t="shared" ref="J5:M5" si="11">I5+1</f>
        <v>5</v>
      </c>
      <c r="K5" s="2095">
        <f t="shared" si="11"/>
        <v>6</v>
      </c>
      <c r="L5" s="2095">
        <f t="shared" si="11"/>
        <v>7</v>
      </c>
      <c r="M5" s="2095">
        <f t="shared" si="11"/>
        <v>8</v>
      </c>
      <c r="N5" s="2095">
        <f t="shared" ref="N5:U5" si="12">M5+1</f>
        <v>9</v>
      </c>
      <c r="O5" s="2095">
        <f t="shared" si="12"/>
        <v>10</v>
      </c>
      <c r="P5" s="2095">
        <f t="shared" si="12"/>
        <v>11</v>
      </c>
      <c r="Q5" s="2095">
        <f t="shared" si="12"/>
        <v>12</v>
      </c>
      <c r="R5" s="2095">
        <f t="shared" si="12"/>
        <v>13</v>
      </c>
      <c r="S5" s="2095">
        <f t="shared" si="12"/>
        <v>14</v>
      </c>
      <c r="T5" s="2095">
        <f t="shared" si="12"/>
        <v>15</v>
      </c>
      <c r="U5" s="2095">
        <f t="shared" si="12"/>
        <v>16</v>
      </c>
    </row>
    <row r="6" spans="2:22" ht="11.25" customHeight="1">
      <c r="C6" s="3071" t="s">
        <v>1207</v>
      </c>
      <c r="D6" s="3071"/>
      <c r="E6" s="2101">
        <f>SUM(F6:U6)</f>
        <v>31019.959627661996</v>
      </c>
      <c r="F6" s="2101">
        <f t="shared" ref="F6:U6" si="13">SUM(F7:F9)</f>
        <v>3692.0650452947502</v>
      </c>
      <c r="G6" s="2101">
        <f t="shared" si="13"/>
        <v>3772.2572644205302</v>
      </c>
      <c r="H6" s="2101">
        <f t="shared" si="13"/>
        <v>3859.1154334992816</v>
      </c>
      <c r="I6" s="2101">
        <f t="shared" si="13"/>
        <v>4013.662476061781</v>
      </c>
      <c r="J6" s="2101">
        <f t="shared" si="13"/>
        <v>3774.9495923339682</v>
      </c>
      <c r="K6" s="2101">
        <f t="shared" si="13"/>
        <v>3857.1466169378946</v>
      </c>
      <c r="L6" s="2101">
        <f t="shared" si="13"/>
        <v>3946.1762402436129</v>
      </c>
      <c r="M6" s="2101">
        <f t="shared" si="13"/>
        <v>4104.5869588701753</v>
      </c>
      <c r="N6" s="2101">
        <f t="shared" si="13"/>
        <v>0</v>
      </c>
      <c r="O6" s="2101">
        <f t="shared" si="13"/>
        <v>0</v>
      </c>
      <c r="P6" s="2101">
        <f t="shared" si="13"/>
        <v>0</v>
      </c>
      <c r="Q6" s="2101">
        <f t="shared" si="13"/>
        <v>0</v>
      </c>
      <c r="R6" s="2101">
        <f t="shared" si="13"/>
        <v>0</v>
      </c>
      <c r="S6" s="2101">
        <f t="shared" si="13"/>
        <v>0</v>
      </c>
      <c r="T6" s="2101">
        <f t="shared" si="13"/>
        <v>0</v>
      </c>
      <c r="U6" s="2101">
        <f t="shared" si="13"/>
        <v>0</v>
      </c>
      <c r="V6" t="b">
        <f>ABS(SUM('IS(M)'!N18:AK18)/1000-E6)&lt;1</f>
        <v>1</v>
      </c>
    </row>
    <row r="7" spans="2:22" ht="11.25" customHeight="1">
      <c r="B7" s="2581">
        <v>1</v>
      </c>
      <c r="C7" s="2088"/>
      <c r="D7" s="2089" t="s">
        <v>1208</v>
      </c>
      <c r="E7" s="2101">
        <f t="shared" ref="E7:E32" si="14">SUM(F7:U7)</f>
        <v>29157.84655407703</v>
      </c>
      <c r="F7" s="2101">
        <f>SUMIF('IS(M)'!$M$13:$ER$13,F$5,'IS(M)'!$M19:$ER19)/1000*$B7</f>
        <v>3463.8900165</v>
      </c>
      <c r="G7" s="2101">
        <f>SUMIF('IS(M)'!$M$13:$ER$13,G$5,'IS(M)'!$M19:$ER19)/1000*$B7</f>
        <v>3541.538628140624</v>
      </c>
      <c r="H7" s="2101">
        <f>SUMIF('IS(M)'!$M$13:$ER$13,H$5,'IS(M)'!$M19:$ER19)/1000*$B7</f>
        <v>3627.4132146890629</v>
      </c>
      <c r="I7" s="2101">
        <f>SUMIF('IS(M)'!$M$13:$ER$13,I$5,'IS(M)'!$M19:$ER19)/1000*$B7</f>
        <v>3781.9602572515623</v>
      </c>
      <c r="J7" s="2101">
        <f>SUMIF('IS(M)'!$M$13:$ER$13,J$5,'IS(M)'!$M19:$ER19)/1000*$B7</f>
        <v>3542.4553339124996</v>
      </c>
      <c r="K7" s="2101">
        <f>SUMIF('IS(M)'!$M$13:$ER$13,K$5,'IS(M)'!$M19:$ER19)/1000*$B7</f>
        <v>3622.0451608441408</v>
      </c>
      <c r="L7" s="2101">
        <f>SUMIF('IS(M)'!$M$13:$ER$13,L$5,'IS(M)'!$M19:$ER19)/1000*$B7</f>
        <v>3710.0666120562887</v>
      </c>
      <c r="M7" s="2101">
        <f>SUMIF('IS(M)'!$M$13:$ER$13,M$5,'IS(M)'!$M19:$ER19)/1000*$B7</f>
        <v>3868.4773306828515</v>
      </c>
      <c r="N7" s="2101">
        <f>SUMIF('IS(M)'!$M$13:$ER$13,N$5,'IS(M)'!$M19:$ER19)/1000*$B7</f>
        <v>0</v>
      </c>
      <c r="O7" s="2101">
        <f>SUMIF('IS(M)'!$M$13:$ER$13,O$5,'IS(M)'!$M19:$ER19)/1000*$B7</f>
        <v>0</v>
      </c>
      <c r="P7" s="2101">
        <f>SUMIF('IS(M)'!$M$13:$ER$13,P$5,'IS(M)'!$M19:$ER19)/1000*$B7</f>
        <v>0</v>
      </c>
      <c r="Q7" s="2101">
        <f>SUMIF('IS(M)'!$M$13:$ER$13,Q$5,'IS(M)'!$M19:$ER19)/1000*$B7</f>
        <v>0</v>
      </c>
      <c r="R7" s="2101">
        <f>SUMIF('IS(M)'!$M$13:$ER$13,R$5,'IS(M)'!$M19:$ER19)/1000*$B7</f>
        <v>0</v>
      </c>
      <c r="S7" s="2101">
        <f>SUMIF('IS(M)'!$M$13:$ER$13,S$5,'IS(M)'!$M19:$ER19)/1000*$B7</f>
        <v>0</v>
      </c>
      <c r="T7" s="2101">
        <f>SUMIF('IS(M)'!$M$13:$ER$13,T$5,'IS(M)'!$M19:$ER19)/1000*$B7</f>
        <v>0</v>
      </c>
      <c r="U7" s="2101">
        <f>SUMIF('IS(M)'!$M$13:$ER$13,U$5,'IS(M)'!$M19:$ER19)/1000*$B7</f>
        <v>0</v>
      </c>
    </row>
    <row r="8" spans="2:22" ht="11.25" customHeight="1">
      <c r="B8" s="2581">
        <v>1</v>
      </c>
      <c r="C8" s="2088"/>
      <c r="D8" s="2089" t="s">
        <v>1209</v>
      </c>
      <c r="E8" s="2101">
        <f t="shared" si="14"/>
        <v>1576.2266437769647</v>
      </c>
      <c r="F8" s="2101">
        <f>SUMIF('IS(M)'!$M$13:$ER$13,F$5,'IS(M)'!$M20:$ER20)/1000*$B8</f>
        <v>192.43922506875001</v>
      </c>
      <c r="G8" s="2101">
        <f>SUMIF('IS(M)'!$M$13:$ER$13,G$5,'IS(M)'!$M20:$ER20)/1000*$B8</f>
        <v>194.98283255390626</v>
      </c>
      <c r="H8" s="2101">
        <f>SUMIF('IS(M)'!$M$13:$ER$13,H$5,'IS(M)'!$M20:$ER20)/1000*$B8</f>
        <v>195.96641508421874</v>
      </c>
      <c r="I8" s="2101">
        <f>SUMIF('IS(M)'!$M$13:$ER$13,I$5,'IS(M)'!$M20:$ER20)/1000*$B8</f>
        <v>195.96641508421874</v>
      </c>
      <c r="J8" s="2101">
        <f>SUMIF('IS(M)'!$M$13:$ER$13,J$5,'IS(M)'!$M20:$ER20)/1000*$B8</f>
        <v>196.75845469546874</v>
      </c>
      <c r="K8" s="2101">
        <f>SUMIF('IS(M)'!$M$13:$ER$13,K$5,'IS(M)'!$M20:$ER20)/1000*$B8</f>
        <v>199.36565236775388</v>
      </c>
      <c r="L8" s="2101">
        <f>SUMIF('IS(M)'!$M$13:$ER$13,L$5,'IS(M)'!$M20:$ER20)/1000*$B8</f>
        <v>200.37382446132423</v>
      </c>
      <c r="M8" s="2101">
        <f>SUMIF('IS(M)'!$M$13:$ER$13,M$5,'IS(M)'!$M20:$ER20)/1000*$B8</f>
        <v>200.37382446132423</v>
      </c>
      <c r="N8" s="2101">
        <f>SUMIF('IS(M)'!$M$13:$ER$13,N$5,'IS(M)'!$M20:$ER20)/1000*$B8</f>
        <v>0</v>
      </c>
      <c r="O8" s="2101">
        <f>SUMIF('IS(M)'!$M$13:$ER$13,O$5,'IS(M)'!$M20:$ER20)/1000*$B8</f>
        <v>0</v>
      </c>
      <c r="P8" s="2101">
        <f>SUMIF('IS(M)'!$M$13:$ER$13,P$5,'IS(M)'!$M20:$ER20)/1000*$B8</f>
        <v>0</v>
      </c>
      <c r="Q8" s="2101">
        <f>SUMIF('IS(M)'!$M$13:$ER$13,Q$5,'IS(M)'!$M20:$ER20)/1000*$B8</f>
        <v>0</v>
      </c>
      <c r="R8" s="2101">
        <f>SUMIF('IS(M)'!$M$13:$ER$13,R$5,'IS(M)'!$M20:$ER20)/1000*$B8</f>
        <v>0</v>
      </c>
      <c r="S8" s="2101">
        <f>SUMIF('IS(M)'!$M$13:$ER$13,S$5,'IS(M)'!$M20:$ER20)/1000*$B8</f>
        <v>0</v>
      </c>
      <c r="T8" s="2101">
        <f>SUMIF('IS(M)'!$M$13:$ER$13,T$5,'IS(M)'!$M20:$ER20)/1000*$B8</f>
        <v>0</v>
      </c>
      <c r="U8" s="2101">
        <f>SUMIF('IS(M)'!$M$13:$ER$13,U$5,'IS(M)'!$M20:$ER20)/1000*$B8</f>
        <v>0</v>
      </c>
    </row>
    <row r="9" spans="2:22" ht="11.25" customHeight="1">
      <c r="B9" s="2581">
        <v>1</v>
      </c>
      <c r="C9" s="2088"/>
      <c r="D9" s="2089" t="s">
        <v>1210</v>
      </c>
      <c r="E9" s="2101">
        <f t="shared" si="14"/>
        <v>285.886429808</v>
      </c>
      <c r="F9" s="2101">
        <f>SUMIF('IS(M)'!$M$13:$ER$13,F$5,'IS(M)'!$M21:$ER21)/1000*$B9</f>
        <v>35.735803726</v>
      </c>
      <c r="G9" s="2101">
        <f>SUMIF('IS(M)'!$M$13:$ER$13,G$5,'IS(M)'!$M21:$ER21)/1000*$B9</f>
        <v>35.735803726</v>
      </c>
      <c r="H9" s="2101">
        <f>SUMIF('IS(M)'!$M$13:$ER$13,H$5,'IS(M)'!$M21:$ER21)/1000*$B9</f>
        <v>35.735803726</v>
      </c>
      <c r="I9" s="2101">
        <f>SUMIF('IS(M)'!$M$13:$ER$13,I$5,'IS(M)'!$M21:$ER21)/1000*$B9</f>
        <v>35.735803726</v>
      </c>
      <c r="J9" s="2101">
        <f>SUMIF('IS(M)'!$M$13:$ER$13,J$5,'IS(M)'!$M21:$ER21)/1000*$B9</f>
        <v>35.735803726</v>
      </c>
      <c r="K9" s="2101">
        <f>SUMIF('IS(M)'!$M$13:$ER$13,K$5,'IS(M)'!$M21:$ER21)/1000*$B9</f>
        <v>35.735803726</v>
      </c>
      <c r="L9" s="2101">
        <f>SUMIF('IS(M)'!$M$13:$ER$13,L$5,'IS(M)'!$M21:$ER21)/1000*$B9</f>
        <v>35.735803726</v>
      </c>
      <c r="M9" s="2101">
        <f>SUMIF('IS(M)'!$M$13:$ER$13,M$5,'IS(M)'!$M21:$ER21)/1000*$B9</f>
        <v>35.735803726</v>
      </c>
      <c r="N9" s="2101">
        <f>SUMIF('IS(M)'!$M$13:$ER$13,N$5,'IS(M)'!$M21:$ER21)/1000*$B9</f>
        <v>0</v>
      </c>
      <c r="O9" s="2101">
        <f>SUMIF('IS(M)'!$M$13:$ER$13,O$5,'IS(M)'!$M21:$ER21)/1000*$B9</f>
        <v>0</v>
      </c>
      <c r="P9" s="2101">
        <f>SUMIF('IS(M)'!$M$13:$ER$13,P$5,'IS(M)'!$M21:$ER21)/1000*$B9</f>
        <v>0</v>
      </c>
      <c r="Q9" s="2101">
        <f>SUMIF('IS(M)'!$M$13:$ER$13,Q$5,'IS(M)'!$M21:$ER21)/1000*$B9</f>
        <v>0</v>
      </c>
      <c r="R9" s="2101">
        <f>SUMIF('IS(M)'!$M$13:$ER$13,R$5,'IS(M)'!$M21:$ER21)/1000*$B9</f>
        <v>0</v>
      </c>
      <c r="S9" s="2101">
        <f>SUMIF('IS(M)'!$M$13:$ER$13,S$5,'IS(M)'!$M21:$ER21)/1000*$B9</f>
        <v>0</v>
      </c>
      <c r="T9" s="2101">
        <f>SUMIF('IS(M)'!$M$13:$ER$13,T$5,'IS(M)'!$M21:$ER21)/1000*$B9</f>
        <v>0</v>
      </c>
      <c r="U9" s="2101">
        <f>SUMIF('IS(M)'!$M$13:$ER$13,U$5,'IS(M)'!$M21:$ER21)/1000*$B9</f>
        <v>0</v>
      </c>
    </row>
    <row r="10" spans="2:22" ht="11.25" customHeight="1">
      <c r="B10" s="2580"/>
      <c r="C10" s="3071" t="s">
        <v>1211</v>
      </c>
      <c r="D10" s="3071"/>
      <c r="E10" s="2101">
        <f t="shared" si="14"/>
        <v>4452.8082600507523</v>
      </c>
      <c r="F10" s="2101">
        <f>SUM(F11:F23)</f>
        <v>566.0888368824501</v>
      </c>
      <c r="G10" s="2101">
        <f>SUM(G11:G23)</f>
        <v>555.21546688245007</v>
      </c>
      <c r="H10" s="2101">
        <f>SUM(H11:H23)</f>
        <v>555.21546688245007</v>
      </c>
      <c r="I10" s="2101">
        <f>SUM(I11:I23)</f>
        <v>555.21546688245007</v>
      </c>
      <c r="J10" s="2101">
        <f t="shared" ref="J10:M10" si="15">SUM(J11:J23)</f>
        <v>555.26825563023795</v>
      </c>
      <c r="K10" s="2101">
        <f t="shared" si="15"/>
        <v>555.26825563023795</v>
      </c>
      <c r="L10" s="2101">
        <f t="shared" si="15"/>
        <v>555.26825563023795</v>
      </c>
      <c r="M10" s="2101">
        <f t="shared" si="15"/>
        <v>555.26825563023795</v>
      </c>
      <c r="N10" s="2101">
        <f t="shared" ref="N10" si="16">SUM(N11:N23)</f>
        <v>0</v>
      </c>
      <c r="O10" s="2101">
        <f t="shared" ref="O10" si="17">SUM(O11:O23)</f>
        <v>0</v>
      </c>
      <c r="P10" s="2101">
        <f t="shared" ref="P10" si="18">SUM(P11:P23)</f>
        <v>0</v>
      </c>
      <c r="Q10" s="2101">
        <f t="shared" ref="Q10" si="19">SUM(Q11:Q23)</f>
        <v>0</v>
      </c>
      <c r="R10" s="2101">
        <f t="shared" ref="R10" si="20">SUM(R11:R23)</f>
        <v>0</v>
      </c>
      <c r="S10" s="2101">
        <f t="shared" ref="S10" si="21">SUM(S11:S23)</f>
        <v>0</v>
      </c>
      <c r="T10" s="2101">
        <f t="shared" ref="T10" si="22">SUM(T11:T23)</f>
        <v>0</v>
      </c>
      <c r="U10" s="2101">
        <f t="shared" ref="U10" si="23">SUM(U11:U23)</f>
        <v>0</v>
      </c>
    </row>
    <row r="11" spans="2:22" ht="11.25" customHeight="1">
      <c r="B11" s="2581">
        <v>0</v>
      </c>
      <c r="C11" s="2098">
        <v>25</v>
      </c>
      <c r="D11" s="2090" t="s">
        <v>1212</v>
      </c>
      <c r="E11" s="2102">
        <f t="shared" si="14"/>
        <v>0</v>
      </c>
      <c r="F11" s="2101">
        <f>SUMIF('IS(M)'!$M$13:$ER$13,F$5,'IS(M)'!$M25:$ER25)/1000*$B11</f>
        <v>0</v>
      </c>
      <c r="G11" s="2101">
        <f>SUMIF('IS(M)'!$M$13:$ER$13,G$5,'IS(M)'!$M25:$ER25)/1000*$B11</f>
        <v>0</v>
      </c>
      <c r="H11" s="2101">
        <f>SUMIF('IS(M)'!$M$13:$ER$13,H$5,'IS(M)'!$M25:$ER25)/1000*$B11</f>
        <v>0</v>
      </c>
      <c r="I11" s="2101">
        <f>SUMIF('IS(M)'!$M$13:$ER$13,I$5,'IS(M)'!$M25:$ER25)/1000*$B11</f>
        <v>0</v>
      </c>
      <c r="J11" s="2101">
        <f>SUMIF('IS(M)'!$M$13:$ER$13,J$5,'IS(M)'!$M25:$ER25)/1000*$B11</f>
        <v>0</v>
      </c>
      <c r="K11" s="2101">
        <f>SUMIF('IS(M)'!$M$13:$ER$13,K$5,'IS(M)'!$M25:$ER25)/1000*$B11</f>
        <v>0</v>
      </c>
      <c r="L11" s="2101">
        <f>SUMIF('IS(M)'!$M$13:$ER$13,L$5,'IS(M)'!$M25:$ER25)/1000*$B11</f>
        <v>0</v>
      </c>
      <c r="M11" s="2101">
        <f>SUMIF('IS(M)'!$M$13:$ER$13,M$5,'IS(M)'!$M25:$ER25)/1000*$B11</f>
        <v>0</v>
      </c>
      <c r="N11" s="2101">
        <f>SUMIF('IS(M)'!$M$13:$ER$13,N$5,'IS(M)'!$M25:$ER25)/1000*$B11</f>
        <v>0</v>
      </c>
      <c r="O11" s="2101">
        <f>SUMIF('IS(M)'!$M$13:$ER$13,O$5,'IS(M)'!$M25:$ER25)/1000*$B11</f>
        <v>0</v>
      </c>
      <c r="P11" s="2101">
        <f>SUMIF('IS(M)'!$M$13:$ER$13,P$5,'IS(M)'!$M25:$ER25)/1000*$B11</f>
        <v>0</v>
      </c>
      <c r="Q11" s="2101">
        <f>SUMIF('IS(M)'!$M$13:$ER$13,Q$5,'IS(M)'!$M25:$ER25)/1000*$B11</f>
        <v>0</v>
      </c>
      <c r="R11" s="2101">
        <f>SUMIF('IS(M)'!$M$13:$ER$13,R$5,'IS(M)'!$M25:$ER25)/1000*$B11</f>
        <v>0</v>
      </c>
      <c r="S11" s="2101">
        <f>SUMIF('IS(M)'!$M$13:$ER$13,S$5,'IS(M)'!$M25:$ER25)/1000*$B11</f>
        <v>0</v>
      </c>
      <c r="T11" s="2101">
        <f>SUMIF('IS(M)'!$M$13:$ER$13,T$5,'IS(M)'!$M25:$ER25)/1000*$B11</f>
        <v>0</v>
      </c>
      <c r="U11" s="2101">
        <f>SUMIF('IS(M)'!$M$13:$ER$13,U$5,'IS(M)'!$M25:$ER25)/1000*$B11</f>
        <v>0</v>
      </c>
    </row>
    <row r="12" spans="2:22" ht="11.25" customHeight="1">
      <c r="B12" s="2581">
        <v>1</v>
      </c>
      <c r="C12" s="2098">
        <v>30</v>
      </c>
      <c r="D12" s="2090" t="s">
        <v>80</v>
      </c>
      <c r="E12" s="2102">
        <f t="shared" si="14"/>
        <v>0</v>
      </c>
      <c r="F12" s="2101">
        <f>SUMIF('IS(M)'!$M$13:$ER$13,F$5,'IS(M)'!$M30:$ER30)/1000*$B12</f>
        <v>0</v>
      </c>
      <c r="G12" s="2101">
        <f>SUMIF('IS(M)'!$M$13:$ER$13,G$5,'IS(M)'!$M30:$ER30)/1000*$B12</f>
        <v>0</v>
      </c>
      <c r="H12" s="2101">
        <f>SUMIF('IS(M)'!$M$13:$ER$13,H$5,'IS(M)'!$M30:$ER30)/1000*$B12</f>
        <v>0</v>
      </c>
      <c r="I12" s="2101">
        <f>SUMIF('IS(M)'!$M$13:$ER$13,I$5,'IS(M)'!$M30:$ER30)/1000*$B12</f>
        <v>0</v>
      </c>
      <c r="J12" s="2101">
        <f>SUMIF('IS(M)'!$M$13:$ER$13,J$5,'IS(M)'!$M30:$ER30)/1000*$B12</f>
        <v>0</v>
      </c>
      <c r="K12" s="2101">
        <f>SUMIF('IS(M)'!$M$13:$ER$13,K$5,'IS(M)'!$M30:$ER30)/1000*$B12</f>
        <v>0</v>
      </c>
      <c r="L12" s="2101">
        <f>SUMIF('IS(M)'!$M$13:$ER$13,L$5,'IS(M)'!$M30:$ER30)/1000*$B12</f>
        <v>0</v>
      </c>
      <c r="M12" s="2101">
        <f>SUMIF('IS(M)'!$M$13:$ER$13,M$5,'IS(M)'!$M30:$ER30)/1000*$B12</f>
        <v>0</v>
      </c>
      <c r="N12" s="2101">
        <f>SUMIF('IS(M)'!$M$13:$ER$13,N$5,'IS(M)'!$M30:$ER30)/1000*$B12</f>
        <v>0</v>
      </c>
      <c r="O12" s="2101">
        <f>SUMIF('IS(M)'!$M$13:$ER$13,O$5,'IS(M)'!$M30:$ER30)/1000*$B12</f>
        <v>0</v>
      </c>
      <c r="P12" s="2101">
        <f>SUMIF('IS(M)'!$M$13:$ER$13,P$5,'IS(M)'!$M30:$ER30)/1000*$B12</f>
        <v>0</v>
      </c>
      <c r="Q12" s="2101">
        <f>SUMIF('IS(M)'!$M$13:$ER$13,Q$5,'IS(M)'!$M30:$ER30)/1000*$B12</f>
        <v>0</v>
      </c>
      <c r="R12" s="2101">
        <f>SUMIF('IS(M)'!$M$13:$ER$13,R$5,'IS(M)'!$M30:$ER30)/1000*$B12</f>
        <v>0</v>
      </c>
      <c r="S12" s="2101">
        <f>SUMIF('IS(M)'!$M$13:$ER$13,S$5,'IS(M)'!$M30:$ER30)/1000*$B12</f>
        <v>0</v>
      </c>
      <c r="T12" s="2101">
        <f>SUMIF('IS(M)'!$M$13:$ER$13,T$5,'IS(M)'!$M30:$ER30)/1000*$B12</f>
        <v>0</v>
      </c>
      <c r="U12" s="2101">
        <f>SUMIF('IS(M)'!$M$13:$ER$13,U$5,'IS(M)'!$M30:$ER30)/1000*$B12</f>
        <v>0</v>
      </c>
    </row>
    <row r="13" spans="2:22" ht="11.25" customHeight="1">
      <c r="B13" s="2581">
        <v>1</v>
      </c>
      <c r="C13" s="2098" t="s">
        <v>1230</v>
      </c>
      <c r="D13" s="2091" t="s">
        <v>658</v>
      </c>
      <c r="E13" s="2102">
        <f t="shared" si="14"/>
        <v>1459.7731032999998</v>
      </c>
      <c r="F13" s="2582">
        <f>(SUMIF('IS(M)'!$M$13:$ER$13,F$5,'IS(M)'!$M32:$ER32)/1000+SUMIF('IS(M)'!$M$13:$ER$13,F$5,'IS(M)'!$M33:$ER33)/1000+SUMIF('IS(M)'!$M$13:$ER$13,F$5,'IS(M)'!$M34:$ER34)/1000+SUMIF('IS(M)'!$M$13:$ER$13,F$5,'IS(M)'!$M35:$ER35)/1000)*$B13</f>
        <v>182.3725125</v>
      </c>
      <c r="G13" s="2101">
        <f>(SUMIF('IS(M)'!$M$13:$ER$13,G$5,'IS(M)'!$M32:$ER32)/1000+SUMIF('IS(M)'!$M$13:$ER$13,G$5,'IS(M)'!$M33:$ER33)/1000+SUMIF('IS(M)'!$M$13:$ER$13,G$5,'IS(M)'!$M34:$ER34)/1000+SUMIF('IS(M)'!$M$13:$ER$13,G$5,'IS(M)'!$M35:$ER35)/1000)*$B13</f>
        <v>182.3725125</v>
      </c>
      <c r="H13" s="2101">
        <f>(SUMIF('IS(M)'!$M$13:$ER$13,H$5,'IS(M)'!$M32:$ER32)/1000+SUMIF('IS(M)'!$M$13:$ER$13,H$5,'IS(M)'!$M33:$ER33)/1000+SUMIF('IS(M)'!$M$13:$ER$13,H$5,'IS(M)'!$M34:$ER34)/1000+SUMIF('IS(M)'!$M$13:$ER$13,H$5,'IS(M)'!$M35:$ER35)/1000)*$B13</f>
        <v>182.3725125</v>
      </c>
      <c r="I13" s="2101">
        <f>(SUMIF('IS(M)'!$M$13:$ER$13,I$5,'IS(M)'!$M32:$ER32)/1000+SUMIF('IS(M)'!$M$13:$ER$13,I$5,'IS(M)'!$M33:$ER33)/1000+SUMIF('IS(M)'!$M$13:$ER$13,I$5,'IS(M)'!$M34:$ER34)/1000+SUMIF('IS(M)'!$M$13:$ER$13,I$5,'IS(M)'!$M35:$ER35)/1000)*$B13</f>
        <v>182.3725125</v>
      </c>
      <c r="J13" s="2101">
        <f>(SUMIF('IS(M)'!$M$13:$ER$13,J$5,'IS(M)'!$M32:$ER32)/1000+SUMIF('IS(M)'!$M$13:$ER$13,J$5,'IS(M)'!$M33:$ER33)/1000+SUMIF('IS(M)'!$M$13:$ER$13,J$5,'IS(M)'!$M34:$ER34)/1000+SUMIF('IS(M)'!$M$13:$ER$13,J$5,'IS(M)'!$M35:$ER35)/1000)*$B13</f>
        <v>182.570763325</v>
      </c>
      <c r="K13" s="2101">
        <f>(SUMIF('IS(M)'!$M$13:$ER$13,K$5,'IS(M)'!$M32:$ER32)/1000+SUMIF('IS(M)'!$M$13:$ER$13,K$5,'IS(M)'!$M33:$ER33)/1000+SUMIF('IS(M)'!$M$13:$ER$13,K$5,'IS(M)'!$M34:$ER34)/1000+SUMIF('IS(M)'!$M$13:$ER$13,K$5,'IS(M)'!$M35:$ER35)/1000)*$B13</f>
        <v>182.570763325</v>
      </c>
      <c r="L13" s="2101">
        <f>(SUMIF('IS(M)'!$M$13:$ER$13,L$5,'IS(M)'!$M32:$ER32)/1000+SUMIF('IS(M)'!$M$13:$ER$13,L$5,'IS(M)'!$M33:$ER33)/1000+SUMIF('IS(M)'!$M$13:$ER$13,L$5,'IS(M)'!$M34:$ER34)/1000+SUMIF('IS(M)'!$M$13:$ER$13,L$5,'IS(M)'!$M35:$ER35)/1000)*$B13</f>
        <v>182.570763325</v>
      </c>
      <c r="M13" s="2101">
        <f>(SUMIF('IS(M)'!$M$13:$ER$13,M$5,'IS(M)'!$M32:$ER32)/1000+SUMIF('IS(M)'!$M$13:$ER$13,M$5,'IS(M)'!$M33:$ER33)/1000+SUMIF('IS(M)'!$M$13:$ER$13,M$5,'IS(M)'!$M34:$ER34)/1000+SUMIF('IS(M)'!$M$13:$ER$13,M$5,'IS(M)'!$M35:$ER35)/1000)*$B13</f>
        <v>182.570763325</v>
      </c>
      <c r="N13" s="2101">
        <f>(SUMIF('IS(M)'!$M$13:$ER$13,N$5,'IS(M)'!$M32:$ER32)/1000+SUMIF('IS(M)'!$M$13:$ER$13,N$5,'IS(M)'!$M33:$ER33)/1000+SUMIF('IS(M)'!$M$13:$ER$13,N$5,'IS(M)'!$M34:$ER34)/1000+SUMIF('IS(M)'!$M$13:$ER$13,N$5,'IS(M)'!$M35:$ER35)/1000)*$B13</f>
        <v>0</v>
      </c>
      <c r="O13" s="2101">
        <f>(SUMIF('IS(M)'!$M$13:$ER$13,O$5,'IS(M)'!$M32:$ER32)/1000+SUMIF('IS(M)'!$M$13:$ER$13,O$5,'IS(M)'!$M33:$ER33)/1000+SUMIF('IS(M)'!$M$13:$ER$13,O$5,'IS(M)'!$M34:$ER34)/1000+SUMIF('IS(M)'!$M$13:$ER$13,O$5,'IS(M)'!$M35:$ER35)/1000)*$B13</f>
        <v>0</v>
      </c>
      <c r="P13" s="2101">
        <f>(SUMIF('IS(M)'!$M$13:$ER$13,P$5,'IS(M)'!$M32:$ER32)/1000+SUMIF('IS(M)'!$M$13:$ER$13,P$5,'IS(M)'!$M33:$ER33)/1000+SUMIF('IS(M)'!$M$13:$ER$13,P$5,'IS(M)'!$M34:$ER34)/1000+SUMIF('IS(M)'!$M$13:$ER$13,P$5,'IS(M)'!$M35:$ER35)/1000)*$B13</f>
        <v>0</v>
      </c>
      <c r="Q13" s="2101">
        <f>(SUMIF('IS(M)'!$M$13:$ER$13,Q$5,'IS(M)'!$M32:$ER32)/1000+SUMIF('IS(M)'!$M$13:$ER$13,Q$5,'IS(M)'!$M33:$ER33)/1000+SUMIF('IS(M)'!$M$13:$ER$13,Q$5,'IS(M)'!$M34:$ER34)/1000+SUMIF('IS(M)'!$M$13:$ER$13,Q$5,'IS(M)'!$M35:$ER35)/1000)*$B13</f>
        <v>0</v>
      </c>
      <c r="R13" s="2101">
        <f>(SUMIF('IS(M)'!$M$13:$ER$13,R$5,'IS(M)'!$M32:$ER32)/1000+SUMIF('IS(M)'!$M$13:$ER$13,R$5,'IS(M)'!$M33:$ER33)/1000+SUMIF('IS(M)'!$M$13:$ER$13,R$5,'IS(M)'!$M34:$ER34)/1000+SUMIF('IS(M)'!$M$13:$ER$13,R$5,'IS(M)'!$M35:$ER35)/1000)*$B13</f>
        <v>0</v>
      </c>
      <c r="S13" s="2101">
        <f>(SUMIF('IS(M)'!$M$13:$ER$13,S$5,'IS(M)'!$M32:$ER32)/1000+SUMIF('IS(M)'!$M$13:$ER$13,S$5,'IS(M)'!$M33:$ER33)/1000+SUMIF('IS(M)'!$M$13:$ER$13,S$5,'IS(M)'!$M34:$ER34)/1000+SUMIF('IS(M)'!$M$13:$ER$13,S$5,'IS(M)'!$M35:$ER35)/1000)*$B13</f>
        <v>0</v>
      </c>
      <c r="T13" s="2101">
        <f>(SUMIF('IS(M)'!$M$13:$ER$13,T$5,'IS(M)'!$M32:$ER32)/1000+SUMIF('IS(M)'!$M$13:$ER$13,T$5,'IS(M)'!$M33:$ER33)/1000+SUMIF('IS(M)'!$M$13:$ER$13,T$5,'IS(M)'!$M34:$ER34)/1000+SUMIF('IS(M)'!$M$13:$ER$13,T$5,'IS(M)'!$M35:$ER35)/1000)*$B13</f>
        <v>0</v>
      </c>
      <c r="U13" s="2101">
        <f>(SUMIF('IS(M)'!$M$13:$ER$13,U$5,'IS(M)'!$M32:$ER32)/1000+SUMIF('IS(M)'!$M$13:$ER$13,U$5,'IS(M)'!$M33:$ER33)/1000+SUMIF('IS(M)'!$M$13:$ER$13,U$5,'IS(M)'!$M34:$ER34)/1000+SUMIF('IS(M)'!$M$13:$ER$13,U$5,'IS(M)'!$M35:$ER35)/1000)*$B13</f>
        <v>0</v>
      </c>
    </row>
    <row r="14" spans="2:22" ht="11.25" customHeight="1">
      <c r="B14" s="2581">
        <v>1</v>
      </c>
      <c r="C14" s="2098">
        <v>36</v>
      </c>
      <c r="D14" s="2090" t="s">
        <v>99</v>
      </c>
      <c r="E14" s="2102">
        <f t="shared" si="14"/>
        <v>41.789665944400006</v>
      </c>
      <c r="F14" s="2582">
        <f>SUMIF('IS(M)'!$M$13:$ER$13,F$5,'IS(M)'!$M36:$ER36)/1000*$B14</f>
        <v>5.2237082430500008</v>
      </c>
      <c r="G14" s="2101">
        <f>SUMIF('IS(M)'!$M$13:$ER$13,G$5,'IS(M)'!$M36:$ER36)/1000*$B14</f>
        <v>5.2237082430500008</v>
      </c>
      <c r="H14" s="2101">
        <f>SUMIF('IS(M)'!$M$13:$ER$13,H$5,'IS(M)'!$M36:$ER36)/1000*$B14</f>
        <v>5.2237082430500008</v>
      </c>
      <c r="I14" s="2101">
        <f>SUMIF('IS(M)'!$M$13:$ER$13,I$5,'IS(M)'!$M36:$ER36)/1000*$B14</f>
        <v>5.2237082430500008</v>
      </c>
      <c r="J14" s="2101">
        <f>SUMIF('IS(M)'!$M$13:$ER$13,J$5,'IS(M)'!$M36:$ER36)/1000*$B14</f>
        <v>5.2237082430500008</v>
      </c>
      <c r="K14" s="2101">
        <f>SUMIF('IS(M)'!$M$13:$ER$13,K$5,'IS(M)'!$M36:$ER36)/1000*$B14</f>
        <v>5.2237082430500008</v>
      </c>
      <c r="L14" s="2101">
        <f>SUMIF('IS(M)'!$M$13:$ER$13,L$5,'IS(M)'!$M36:$ER36)/1000*$B14</f>
        <v>5.2237082430500008</v>
      </c>
      <c r="M14" s="2101">
        <f>SUMIF('IS(M)'!$M$13:$ER$13,M$5,'IS(M)'!$M36:$ER36)/1000*$B14</f>
        <v>5.2237082430500008</v>
      </c>
      <c r="N14" s="2101">
        <f>SUMIF('IS(M)'!$M$13:$ER$13,N$5,'IS(M)'!$M36:$ER36)/1000*$B14</f>
        <v>0</v>
      </c>
      <c r="O14" s="2101">
        <f>SUMIF('IS(M)'!$M$13:$ER$13,O$5,'IS(M)'!$M36:$ER36)/1000*$B14</f>
        <v>0</v>
      </c>
      <c r="P14" s="2101">
        <f>SUMIF('IS(M)'!$M$13:$ER$13,P$5,'IS(M)'!$M36:$ER36)/1000*$B14</f>
        <v>0</v>
      </c>
      <c r="Q14" s="2101">
        <f>SUMIF('IS(M)'!$M$13:$ER$13,Q$5,'IS(M)'!$M36:$ER36)/1000*$B14</f>
        <v>0</v>
      </c>
      <c r="R14" s="2101">
        <f>SUMIF('IS(M)'!$M$13:$ER$13,R$5,'IS(M)'!$M36:$ER36)/1000*$B14</f>
        <v>0</v>
      </c>
      <c r="S14" s="2101">
        <f>SUMIF('IS(M)'!$M$13:$ER$13,S$5,'IS(M)'!$M36:$ER36)/1000*$B14</f>
        <v>0</v>
      </c>
      <c r="T14" s="2101">
        <f>SUMIF('IS(M)'!$M$13:$ER$13,T$5,'IS(M)'!$M36:$ER36)/1000*$B14</f>
        <v>0</v>
      </c>
      <c r="U14" s="2101">
        <f>SUMIF('IS(M)'!$M$13:$ER$13,U$5,'IS(M)'!$M36:$ER36)/1000*$B14</f>
        <v>0</v>
      </c>
    </row>
    <row r="15" spans="2:22" ht="11.25" customHeight="1">
      <c r="B15" s="2581">
        <v>0</v>
      </c>
      <c r="C15" s="2098">
        <v>26</v>
      </c>
      <c r="D15" s="2090" t="s">
        <v>1213</v>
      </c>
      <c r="E15" s="2102">
        <f t="shared" si="14"/>
        <v>0</v>
      </c>
      <c r="F15" s="2101">
        <f>SUMIF('IS(M)'!$M$13:$ER$13,F$5,'IS(M)'!$M26:$ER26)/1000*$B15</f>
        <v>0</v>
      </c>
      <c r="G15" s="2101">
        <f>SUMIF('IS(M)'!$M$13:$ER$13,G$5,'IS(M)'!$M26:$ER26)/1000*$B15</f>
        <v>0</v>
      </c>
      <c r="H15" s="2101">
        <f>SUMIF('IS(M)'!$M$13:$ER$13,H$5,'IS(M)'!$M26:$ER26)/1000*$B15</f>
        <v>0</v>
      </c>
      <c r="I15" s="2101">
        <f>SUMIF('IS(M)'!$M$13:$ER$13,I$5,'IS(M)'!$M26:$ER26)/1000*$B15</f>
        <v>0</v>
      </c>
      <c r="J15" s="2101">
        <f>SUMIF('IS(M)'!$M$13:$ER$13,J$5,'IS(M)'!$M26:$ER26)/1000*$B15</f>
        <v>0</v>
      </c>
      <c r="K15" s="2101">
        <f>SUMIF('IS(M)'!$M$13:$ER$13,K$5,'IS(M)'!$M26:$ER26)/1000*$B15</f>
        <v>0</v>
      </c>
      <c r="L15" s="2101">
        <f>SUMIF('IS(M)'!$M$13:$ER$13,L$5,'IS(M)'!$M26:$ER26)/1000*$B15</f>
        <v>0</v>
      </c>
      <c r="M15" s="2101">
        <f>SUMIF('IS(M)'!$M$13:$ER$13,M$5,'IS(M)'!$M26:$ER26)/1000*$B15</f>
        <v>0</v>
      </c>
      <c r="N15" s="2101">
        <f>SUMIF('IS(M)'!$M$13:$ER$13,N$5,'IS(M)'!$M26:$ER26)/1000*$B15</f>
        <v>0</v>
      </c>
      <c r="O15" s="2101">
        <f>SUMIF('IS(M)'!$M$13:$ER$13,O$5,'IS(M)'!$M26:$ER26)/1000*$B15</f>
        <v>0</v>
      </c>
      <c r="P15" s="2101">
        <f>SUMIF('IS(M)'!$M$13:$ER$13,P$5,'IS(M)'!$M26:$ER26)/1000*$B15</f>
        <v>0</v>
      </c>
      <c r="Q15" s="2101">
        <f>SUMIF('IS(M)'!$M$13:$ER$13,Q$5,'IS(M)'!$M26:$ER26)/1000*$B15</f>
        <v>0</v>
      </c>
      <c r="R15" s="2101">
        <f>SUMIF('IS(M)'!$M$13:$ER$13,R$5,'IS(M)'!$M26:$ER26)/1000*$B15</f>
        <v>0</v>
      </c>
      <c r="S15" s="2101">
        <f>SUMIF('IS(M)'!$M$13:$ER$13,S$5,'IS(M)'!$M26:$ER26)/1000*$B15</f>
        <v>0</v>
      </c>
      <c r="T15" s="2101">
        <f>SUMIF('IS(M)'!$M$13:$ER$13,T$5,'IS(M)'!$M26:$ER26)/1000*$B15</f>
        <v>0</v>
      </c>
      <c r="U15" s="2101">
        <f>SUMIF('IS(M)'!$M$13:$ER$13,U$5,'IS(M)'!$M26:$ER26)/1000*$B15</f>
        <v>0</v>
      </c>
    </row>
    <row r="16" spans="2:22" ht="11.25" customHeight="1">
      <c r="B16" s="2581">
        <v>1</v>
      </c>
      <c r="C16" s="2098">
        <v>29</v>
      </c>
      <c r="D16" s="2090" t="s">
        <v>1214</v>
      </c>
      <c r="E16" s="2102">
        <f t="shared" si="14"/>
        <v>63.006928077060003</v>
      </c>
      <c r="F16" s="2582">
        <f>SUMIF('IS(M)'!$M$13:$ER$13,F$5,'IS(M)'!$M29:$ER29)/1000*$B16</f>
        <v>7.7978871382500001</v>
      </c>
      <c r="G16" s="2101">
        <f>SUMIF('IS(M)'!$M$13:$ER$13,G$5,'IS(M)'!$M29:$ER29)/1000*$B16</f>
        <v>7.7978871382500001</v>
      </c>
      <c r="H16" s="2101">
        <f>SUMIF('IS(M)'!$M$13:$ER$13,H$5,'IS(M)'!$M29:$ER29)/1000*$B16</f>
        <v>7.7978871382500001</v>
      </c>
      <c r="I16" s="2101">
        <f>SUMIF('IS(M)'!$M$13:$ER$13,I$5,'IS(M)'!$M29:$ER29)/1000*$B16</f>
        <v>7.7978871382500001</v>
      </c>
      <c r="J16" s="2101">
        <f>SUMIF('IS(M)'!$M$13:$ER$13,J$5,'IS(M)'!$M29:$ER29)/1000*$B16</f>
        <v>7.9538448810149998</v>
      </c>
      <c r="K16" s="2101">
        <f>SUMIF('IS(M)'!$M$13:$ER$13,K$5,'IS(M)'!$M29:$ER29)/1000*$B16</f>
        <v>7.9538448810149998</v>
      </c>
      <c r="L16" s="2101">
        <f>SUMIF('IS(M)'!$M$13:$ER$13,L$5,'IS(M)'!$M29:$ER29)/1000*$B16</f>
        <v>7.9538448810149998</v>
      </c>
      <c r="M16" s="2101">
        <f>SUMIF('IS(M)'!$M$13:$ER$13,M$5,'IS(M)'!$M29:$ER29)/1000*$B16</f>
        <v>7.9538448810149998</v>
      </c>
      <c r="N16" s="2101">
        <f>SUMIF('IS(M)'!$M$13:$ER$13,N$5,'IS(M)'!$M29:$ER29)/1000*$B16</f>
        <v>0</v>
      </c>
      <c r="O16" s="2101">
        <f>SUMIF('IS(M)'!$M$13:$ER$13,O$5,'IS(M)'!$M29:$ER29)/1000*$B16</f>
        <v>0</v>
      </c>
      <c r="P16" s="2101">
        <f>SUMIF('IS(M)'!$M$13:$ER$13,P$5,'IS(M)'!$M29:$ER29)/1000*$B16</f>
        <v>0</v>
      </c>
      <c r="Q16" s="2101">
        <f>SUMIF('IS(M)'!$M$13:$ER$13,Q$5,'IS(M)'!$M29:$ER29)/1000*$B16</f>
        <v>0</v>
      </c>
      <c r="R16" s="2101">
        <f>SUMIF('IS(M)'!$M$13:$ER$13,R$5,'IS(M)'!$M29:$ER29)/1000*$B16</f>
        <v>0</v>
      </c>
      <c r="S16" s="2101">
        <f>SUMIF('IS(M)'!$M$13:$ER$13,S$5,'IS(M)'!$M29:$ER29)/1000*$B16</f>
        <v>0</v>
      </c>
      <c r="T16" s="2101">
        <f>SUMIF('IS(M)'!$M$13:$ER$13,T$5,'IS(M)'!$M29:$ER29)/1000*$B16</f>
        <v>0</v>
      </c>
      <c r="U16" s="2101">
        <f>SUMIF('IS(M)'!$M$13:$ER$13,U$5,'IS(M)'!$M29:$ER29)/1000*$B16</f>
        <v>0</v>
      </c>
    </row>
    <row r="17" spans="2:21" ht="11.25" customHeight="1">
      <c r="B17" s="2581">
        <v>1</v>
      </c>
      <c r="C17" s="2098">
        <v>31</v>
      </c>
      <c r="D17" s="2090" t="s">
        <v>83</v>
      </c>
      <c r="E17" s="2102">
        <f t="shared" si="14"/>
        <v>1469.7237060000002</v>
      </c>
      <c r="F17" s="2582">
        <f>SUMIF('IS(M)'!$M$13:$ER$13,F$5,'IS(M)'!$M31:$ER31)/1000*$B17</f>
        <v>185.57117500000001</v>
      </c>
      <c r="G17" s="2101">
        <f>SUMIF('IS(M)'!$M$13:$ER$13,G$5,'IS(M)'!$M31:$ER31)/1000*$B17</f>
        <v>185.57117500000001</v>
      </c>
      <c r="H17" s="2101">
        <f>SUMIF('IS(M)'!$M$13:$ER$13,H$5,'IS(M)'!$M31:$ER31)/1000*$B17</f>
        <v>185.57117500000001</v>
      </c>
      <c r="I17" s="2101">
        <f>SUMIF('IS(M)'!$M$13:$ER$13,I$5,'IS(M)'!$M31:$ER31)/1000*$B17</f>
        <v>185.57117500000001</v>
      </c>
      <c r="J17" s="2101">
        <f>SUMIF('IS(M)'!$M$13:$ER$13,J$5,'IS(M)'!$M31:$ER31)/1000*$B17</f>
        <v>181.85975150000002</v>
      </c>
      <c r="K17" s="2101">
        <f>SUMIF('IS(M)'!$M$13:$ER$13,K$5,'IS(M)'!$M31:$ER31)/1000*$B17</f>
        <v>181.85975150000002</v>
      </c>
      <c r="L17" s="2101">
        <f>SUMIF('IS(M)'!$M$13:$ER$13,L$5,'IS(M)'!$M31:$ER31)/1000*$B17</f>
        <v>181.85975150000002</v>
      </c>
      <c r="M17" s="2101">
        <f>SUMIF('IS(M)'!$M$13:$ER$13,M$5,'IS(M)'!$M31:$ER31)/1000*$B17</f>
        <v>181.85975150000002</v>
      </c>
      <c r="N17" s="2101">
        <f>SUMIF('IS(M)'!$M$13:$ER$13,N$5,'IS(M)'!$M31:$ER31)/1000*$B17</f>
        <v>0</v>
      </c>
      <c r="O17" s="2101">
        <f>SUMIF('IS(M)'!$M$13:$ER$13,O$5,'IS(M)'!$M31:$ER31)/1000*$B17</f>
        <v>0</v>
      </c>
      <c r="P17" s="2101">
        <f>SUMIF('IS(M)'!$M$13:$ER$13,P$5,'IS(M)'!$M31:$ER31)/1000*$B17</f>
        <v>0</v>
      </c>
      <c r="Q17" s="2101">
        <f>SUMIF('IS(M)'!$M$13:$ER$13,Q$5,'IS(M)'!$M31:$ER31)/1000*$B17</f>
        <v>0</v>
      </c>
      <c r="R17" s="2101">
        <f>SUMIF('IS(M)'!$M$13:$ER$13,R$5,'IS(M)'!$M31:$ER31)/1000*$B17</f>
        <v>0</v>
      </c>
      <c r="S17" s="2101">
        <f>SUMIF('IS(M)'!$M$13:$ER$13,S$5,'IS(M)'!$M31:$ER31)/1000*$B17</f>
        <v>0</v>
      </c>
      <c r="T17" s="2101">
        <f>SUMIF('IS(M)'!$M$13:$ER$13,T$5,'IS(M)'!$M31:$ER31)/1000*$B17</f>
        <v>0</v>
      </c>
      <c r="U17" s="2101">
        <f>SUMIF('IS(M)'!$M$13:$ER$13,U$5,'IS(M)'!$M31:$ER31)/1000*$B17</f>
        <v>0</v>
      </c>
    </row>
    <row r="18" spans="2:21" ht="11.25" customHeight="1">
      <c r="B18" s="2581">
        <v>0</v>
      </c>
      <c r="C18" s="2098">
        <v>41</v>
      </c>
      <c r="D18" s="2090" t="s">
        <v>1215</v>
      </c>
      <c r="E18" s="2102">
        <f t="shared" si="14"/>
        <v>0</v>
      </c>
      <c r="F18" s="2101">
        <f>SUMIF('IS(M)'!$M$13:$ER$13,F$5,'IS(M)'!$M41:$ER41)/1000*$B18</f>
        <v>0</v>
      </c>
      <c r="G18" s="2101">
        <f>SUMIF('IS(M)'!$M$13:$ER$13,G$5,'IS(M)'!$M41:$ER41)/1000*$B18</f>
        <v>0</v>
      </c>
      <c r="H18" s="2101">
        <f>SUMIF('IS(M)'!$M$13:$ER$13,H$5,'IS(M)'!$M41:$ER41)/1000*$B18</f>
        <v>0</v>
      </c>
      <c r="I18" s="2101">
        <f>SUMIF('IS(M)'!$M$13:$ER$13,I$5,'IS(M)'!$M41:$ER41)/1000*$B18</f>
        <v>0</v>
      </c>
      <c r="J18" s="2101">
        <f>SUMIF('IS(M)'!$M$13:$ER$13,J$5,'IS(M)'!$M41:$ER41)/1000*$B18</f>
        <v>0</v>
      </c>
      <c r="K18" s="2101">
        <f>SUMIF('IS(M)'!$M$13:$ER$13,K$5,'IS(M)'!$M41:$ER41)/1000*$B18</f>
        <v>0</v>
      </c>
      <c r="L18" s="2101">
        <f>SUMIF('IS(M)'!$M$13:$ER$13,L$5,'IS(M)'!$M41:$ER41)/1000*$B18</f>
        <v>0</v>
      </c>
      <c r="M18" s="2101">
        <f>SUMIF('IS(M)'!$M$13:$ER$13,M$5,'IS(M)'!$M41:$ER41)/1000*$B18</f>
        <v>0</v>
      </c>
      <c r="N18" s="2101">
        <f>SUMIF('IS(M)'!$M$13:$ER$13,N$5,'IS(M)'!$M41:$ER41)/1000*$B18</f>
        <v>0</v>
      </c>
      <c r="O18" s="2101">
        <f>SUMIF('IS(M)'!$M$13:$ER$13,O$5,'IS(M)'!$M41:$ER41)/1000*$B18</f>
        <v>0</v>
      </c>
      <c r="P18" s="2101">
        <f>SUMIF('IS(M)'!$M$13:$ER$13,P$5,'IS(M)'!$M41:$ER41)/1000*$B18</f>
        <v>0</v>
      </c>
      <c r="Q18" s="2101">
        <f>SUMIF('IS(M)'!$M$13:$ER$13,Q$5,'IS(M)'!$M41:$ER41)/1000*$B18</f>
        <v>0</v>
      </c>
      <c r="R18" s="2101">
        <f>SUMIF('IS(M)'!$M$13:$ER$13,R$5,'IS(M)'!$M41:$ER41)/1000*$B18</f>
        <v>0</v>
      </c>
      <c r="S18" s="2101">
        <f>SUMIF('IS(M)'!$M$13:$ER$13,S$5,'IS(M)'!$M41:$ER41)/1000*$B18</f>
        <v>0</v>
      </c>
      <c r="T18" s="2101">
        <f>SUMIF('IS(M)'!$M$13:$ER$13,T$5,'IS(M)'!$M41:$ER41)/1000*$B18</f>
        <v>0</v>
      </c>
      <c r="U18" s="2101">
        <f>SUMIF('IS(M)'!$M$13:$ER$13,U$5,'IS(M)'!$M41:$ER41)/1000*$B18</f>
        <v>0</v>
      </c>
    </row>
    <row r="19" spans="2:21" ht="11.25" customHeight="1">
      <c r="B19" s="2581">
        <v>0</v>
      </c>
      <c r="C19" s="2098">
        <v>38</v>
      </c>
      <c r="D19" s="2090" t="s">
        <v>190</v>
      </c>
      <c r="E19" s="2102">
        <f t="shared" si="14"/>
        <v>0</v>
      </c>
      <c r="F19" s="2101">
        <f>SUMIF('IS(M)'!$M$13:$ER$13,F$5,'IS(M)'!$M38:$ER38)/1000*$B19</f>
        <v>0</v>
      </c>
      <c r="G19" s="2101">
        <f>SUMIF('IS(M)'!$M$13:$ER$13,G$5,'IS(M)'!$M38:$ER38)/1000*$B19</f>
        <v>0</v>
      </c>
      <c r="H19" s="2101">
        <f>SUMIF('IS(M)'!$M$13:$ER$13,H$5,'IS(M)'!$M38:$ER38)/1000*$B19</f>
        <v>0</v>
      </c>
      <c r="I19" s="2101">
        <f>SUMIF('IS(M)'!$M$13:$ER$13,I$5,'IS(M)'!$M38:$ER38)/1000*$B19</f>
        <v>0</v>
      </c>
      <c r="J19" s="2101">
        <f>SUMIF('IS(M)'!$M$13:$ER$13,J$5,'IS(M)'!$M38:$ER38)/1000*$B19</f>
        <v>0</v>
      </c>
      <c r="K19" s="2101">
        <f>SUMIF('IS(M)'!$M$13:$ER$13,K$5,'IS(M)'!$M38:$ER38)/1000*$B19</f>
        <v>0</v>
      </c>
      <c r="L19" s="2101">
        <f>SUMIF('IS(M)'!$M$13:$ER$13,L$5,'IS(M)'!$M38:$ER38)/1000*$B19</f>
        <v>0</v>
      </c>
      <c r="M19" s="2101">
        <f>SUMIF('IS(M)'!$M$13:$ER$13,M$5,'IS(M)'!$M38:$ER38)/1000*$B19</f>
        <v>0</v>
      </c>
      <c r="N19" s="2101">
        <f>SUMIF('IS(M)'!$M$13:$ER$13,N$5,'IS(M)'!$M38:$ER38)/1000*$B19</f>
        <v>0</v>
      </c>
      <c r="O19" s="2101">
        <f>SUMIF('IS(M)'!$M$13:$ER$13,O$5,'IS(M)'!$M38:$ER38)/1000*$B19</f>
        <v>0</v>
      </c>
      <c r="P19" s="2101">
        <f>SUMIF('IS(M)'!$M$13:$ER$13,P$5,'IS(M)'!$M38:$ER38)/1000*$B19</f>
        <v>0</v>
      </c>
      <c r="Q19" s="2101">
        <f>SUMIF('IS(M)'!$M$13:$ER$13,Q$5,'IS(M)'!$M38:$ER38)/1000*$B19</f>
        <v>0</v>
      </c>
      <c r="R19" s="2101">
        <f>SUMIF('IS(M)'!$M$13:$ER$13,R$5,'IS(M)'!$M38:$ER38)/1000*$B19</f>
        <v>0</v>
      </c>
      <c r="S19" s="2101">
        <f>SUMIF('IS(M)'!$M$13:$ER$13,S$5,'IS(M)'!$M38:$ER38)/1000*$B19</f>
        <v>0</v>
      </c>
      <c r="T19" s="2101">
        <f>SUMIF('IS(M)'!$M$13:$ER$13,T$5,'IS(M)'!$M38:$ER38)/1000*$B19</f>
        <v>0</v>
      </c>
      <c r="U19" s="2101">
        <f>SUMIF('IS(M)'!$M$13:$ER$13,U$5,'IS(M)'!$M38:$ER38)/1000*$B19</f>
        <v>0</v>
      </c>
    </row>
    <row r="20" spans="2:21" ht="11.25" customHeight="1">
      <c r="B20" s="2581">
        <v>0</v>
      </c>
      <c r="C20" s="2098" t="s">
        <v>1231</v>
      </c>
      <c r="D20" s="2090" t="s">
        <v>1216</v>
      </c>
      <c r="E20" s="2102">
        <f t="shared" si="14"/>
        <v>0</v>
      </c>
      <c r="F20" s="2101">
        <f>(SUMIF('IS(M)'!$M$13:$ER$13,F$5,'IS(M)'!$M39:$ER39)/1000+SUMIF('IS(M)'!$M$13:$ER$13,F$5,'IS(M)'!$M40:$ER40)/1000)*$B20</f>
        <v>0</v>
      </c>
      <c r="G20" s="2101">
        <f>(SUMIF('IS(M)'!$M$13:$ER$13,G$5,'IS(M)'!$M39:$ER39)/1000+SUMIF('IS(M)'!$M$13:$ER$13,G$5,'IS(M)'!$M40:$ER40)/1000)*$B20</f>
        <v>0</v>
      </c>
      <c r="H20" s="2101">
        <f>(SUMIF('IS(M)'!$M$13:$ER$13,H$5,'IS(M)'!$M39:$ER39)/1000+SUMIF('IS(M)'!$M$13:$ER$13,H$5,'IS(M)'!$M40:$ER40)/1000)*$B20</f>
        <v>0</v>
      </c>
      <c r="I20" s="2101">
        <f>(SUMIF('IS(M)'!$M$13:$ER$13,I$5,'IS(M)'!$M39:$ER39)/1000+SUMIF('IS(M)'!$M$13:$ER$13,I$5,'IS(M)'!$M40:$ER40)/1000)*$B20</f>
        <v>0</v>
      </c>
      <c r="J20" s="2101">
        <f>(SUMIF('IS(M)'!$M$13:$ER$13,J$5,'IS(M)'!$M39:$ER39)/1000+SUMIF('IS(M)'!$M$13:$ER$13,J$5,'IS(M)'!$M40:$ER40)/1000)*$B20</f>
        <v>0</v>
      </c>
      <c r="K20" s="2101">
        <f>(SUMIF('IS(M)'!$M$13:$ER$13,K$5,'IS(M)'!$M39:$ER39)/1000+SUMIF('IS(M)'!$M$13:$ER$13,K$5,'IS(M)'!$M40:$ER40)/1000)*$B20</f>
        <v>0</v>
      </c>
      <c r="L20" s="2101">
        <f>(SUMIF('IS(M)'!$M$13:$ER$13,L$5,'IS(M)'!$M39:$ER39)/1000+SUMIF('IS(M)'!$M$13:$ER$13,L$5,'IS(M)'!$M40:$ER40)/1000)*$B20</f>
        <v>0</v>
      </c>
      <c r="M20" s="2101">
        <f>(SUMIF('IS(M)'!$M$13:$ER$13,M$5,'IS(M)'!$M39:$ER39)/1000+SUMIF('IS(M)'!$M$13:$ER$13,M$5,'IS(M)'!$M40:$ER40)/1000)*$B20</f>
        <v>0</v>
      </c>
      <c r="N20" s="2101">
        <f>(SUMIF('IS(M)'!$M$13:$ER$13,N$5,'IS(M)'!$M39:$ER39)/1000+SUMIF('IS(M)'!$M$13:$ER$13,N$5,'IS(M)'!$M40:$ER40)/1000)*$B20</f>
        <v>0</v>
      </c>
      <c r="O20" s="2101">
        <f>(SUMIF('IS(M)'!$M$13:$ER$13,O$5,'IS(M)'!$M39:$ER39)/1000+SUMIF('IS(M)'!$M$13:$ER$13,O$5,'IS(M)'!$M40:$ER40)/1000)*$B20</f>
        <v>0</v>
      </c>
      <c r="P20" s="2101">
        <f>(SUMIF('IS(M)'!$M$13:$ER$13,P$5,'IS(M)'!$M39:$ER39)/1000+SUMIF('IS(M)'!$M$13:$ER$13,P$5,'IS(M)'!$M40:$ER40)/1000)*$B20</f>
        <v>0</v>
      </c>
      <c r="Q20" s="2101">
        <f>(SUMIF('IS(M)'!$M$13:$ER$13,Q$5,'IS(M)'!$M39:$ER39)/1000+SUMIF('IS(M)'!$M$13:$ER$13,Q$5,'IS(M)'!$M40:$ER40)/1000)*$B20</f>
        <v>0</v>
      </c>
      <c r="R20" s="2101">
        <f>(SUMIF('IS(M)'!$M$13:$ER$13,R$5,'IS(M)'!$M39:$ER39)/1000+SUMIF('IS(M)'!$M$13:$ER$13,R$5,'IS(M)'!$M40:$ER40)/1000)*$B20</f>
        <v>0</v>
      </c>
      <c r="S20" s="2101">
        <f>(SUMIF('IS(M)'!$M$13:$ER$13,S$5,'IS(M)'!$M39:$ER39)/1000+SUMIF('IS(M)'!$M$13:$ER$13,S$5,'IS(M)'!$M40:$ER40)/1000)*$B20</f>
        <v>0</v>
      </c>
      <c r="T20" s="2101">
        <f>(SUMIF('IS(M)'!$M$13:$ER$13,T$5,'IS(M)'!$M39:$ER39)/1000+SUMIF('IS(M)'!$M$13:$ER$13,T$5,'IS(M)'!$M40:$ER40)/1000)*$B20</f>
        <v>0</v>
      </c>
      <c r="U20" s="2101">
        <f>(SUMIF('IS(M)'!$M$13:$ER$13,U$5,'IS(M)'!$M39:$ER39)/1000+SUMIF('IS(M)'!$M$13:$ER$13,U$5,'IS(M)'!$M40:$ER40)/1000)*$B20</f>
        <v>0</v>
      </c>
    </row>
    <row r="21" spans="2:21" ht="11.25" customHeight="1">
      <c r="B21" s="2581">
        <v>1</v>
      </c>
      <c r="C21" s="2098">
        <v>37</v>
      </c>
      <c r="D21" s="2090" t="s">
        <v>1217</v>
      </c>
      <c r="E21" s="2102">
        <f t="shared" si="14"/>
        <v>10.87337</v>
      </c>
      <c r="F21" s="2585">
        <f>SUMIF('IS(M)'!$M$13:$ER$13,F$5,'IS(M)'!$M37:$ER37)/1000*$B21</f>
        <v>10.87337</v>
      </c>
      <c r="G21" s="2102">
        <f>SUMIF('IS(M)'!$M$13:$ER$13,G$5,'IS(M)'!$M37:$ER37)/1000*$B21</f>
        <v>0</v>
      </c>
      <c r="H21" s="2102">
        <f>SUMIF('IS(M)'!$M$13:$ER$13,H$5,'IS(M)'!$M37:$ER37)/1000*$B21</f>
        <v>0</v>
      </c>
      <c r="I21" s="2102">
        <f>SUMIF('IS(M)'!$M$13:$ER$13,I$5,'IS(M)'!$M37:$ER37)/1000*$B21</f>
        <v>0</v>
      </c>
      <c r="J21" s="2102">
        <f>SUMIF('IS(M)'!$M$13:$ER$13,J$5,'IS(M)'!$M37:$ER37)/1000*$B21</f>
        <v>0</v>
      </c>
      <c r="K21" s="2102">
        <f>SUMIF('IS(M)'!$M$13:$ER$13,K$5,'IS(M)'!$M37:$ER37)/1000*$B21</f>
        <v>0</v>
      </c>
      <c r="L21" s="2102">
        <f>SUMIF('IS(M)'!$M$13:$ER$13,L$5,'IS(M)'!$M37:$ER37)/1000*$B21</f>
        <v>0</v>
      </c>
      <c r="M21" s="2102">
        <f>SUMIF('IS(M)'!$M$13:$ER$13,M$5,'IS(M)'!$M37:$ER37)/1000*$B21</f>
        <v>0</v>
      </c>
      <c r="N21" s="2102">
        <f>SUMIF('IS(M)'!$M$13:$ER$13,N$5,'IS(M)'!$M37:$ER37)/1000*$B21</f>
        <v>0</v>
      </c>
      <c r="O21" s="2102">
        <f>SUMIF('IS(M)'!$M$13:$ER$13,O$5,'IS(M)'!$M37:$ER37)/1000*$B21</f>
        <v>0</v>
      </c>
      <c r="P21" s="2102">
        <f>SUMIF('IS(M)'!$M$13:$ER$13,P$5,'IS(M)'!$M37:$ER37)/1000*$B21</f>
        <v>0</v>
      </c>
      <c r="Q21" s="2102">
        <f>SUMIF('IS(M)'!$M$13:$ER$13,Q$5,'IS(M)'!$M37:$ER37)/1000*$B21</f>
        <v>0</v>
      </c>
      <c r="R21" s="2102">
        <f>SUMIF('IS(M)'!$M$13:$ER$13,R$5,'IS(M)'!$M37:$ER37)/1000*$B21</f>
        <v>0</v>
      </c>
      <c r="S21" s="2102">
        <f>SUMIF('IS(M)'!$M$13:$ER$13,S$5,'IS(M)'!$M37:$ER37)/1000*$B21</f>
        <v>0</v>
      </c>
      <c r="T21" s="2102">
        <f>SUMIF('IS(M)'!$M$13:$ER$13,T$5,'IS(M)'!$M37:$ER37)/1000*$B21</f>
        <v>0</v>
      </c>
      <c r="U21" s="2102">
        <f>SUMIF('IS(M)'!$M$13:$ER$13,U$5,'IS(M)'!$M37:$ER37)/1000*$B21</f>
        <v>0</v>
      </c>
    </row>
    <row r="22" spans="2:21" ht="11.25" customHeight="1">
      <c r="B22" s="2581">
        <v>1</v>
      </c>
      <c r="C22" s="2098" t="s">
        <v>1232</v>
      </c>
      <c r="D22" s="2090" t="s">
        <v>1218</v>
      </c>
      <c r="E22" s="2102">
        <f t="shared" si="14"/>
        <v>1407.641486729292</v>
      </c>
      <c r="F22" s="2582">
        <f>SUMIF('IS(M)'!$M$13:$ER$13,F$5,'IS(M)'!$M27:$ER27)/1000+SUMIF('IS(M)'!$M$13:$ER$13,F$5,'IS(M)'!$M28:$ER28)/1000*$B22</f>
        <v>174.25018400114999</v>
      </c>
      <c r="G22" s="2101">
        <f>SUMIF('IS(M)'!$M$13:$ER$13,G$5,'IS(M)'!$M27:$ER27)/1000+SUMIF('IS(M)'!$M$13:$ER$13,G$5,'IS(M)'!$M28:$ER28)/1000*$B22</f>
        <v>174.25018400114999</v>
      </c>
      <c r="H22" s="2101">
        <f>SUMIF('IS(M)'!$M$13:$ER$13,H$5,'IS(M)'!$M27:$ER27)/1000+SUMIF('IS(M)'!$M$13:$ER$13,H$5,'IS(M)'!$M28:$ER28)/1000*$B22</f>
        <v>174.25018400114999</v>
      </c>
      <c r="I22" s="2101">
        <f>SUMIF('IS(M)'!$M$13:$ER$13,I$5,'IS(M)'!$M27:$ER27)/1000+SUMIF('IS(M)'!$M$13:$ER$13,I$5,'IS(M)'!$M28:$ER28)/1000*$B22</f>
        <v>174.25018400114999</v>
      </c>
      <c r="J22" s="2101">
        <f>SUMIF('IS(M)'!$M$13:$ER$13,J$5,'IS(M)'!$M27:$ER27)/1000+SUMIF('IS(M)'!$M$13:$ER$13,J$5,'IS(M)'!$M28:$ER28)/1000*$B22</f>
        <v>177.66018768117297</v>
      </c>
      <c r="K22" s="2101">
        <f>SUMIF('IS(M)'!$M$13:$ER$13,K$5,'IS(M)'!$M27:$ER27)/1000+SUMIF('IS(M)'!$M$13:$ER$13,K$5,'IS(M)'!$M28:$ER28)/1000*$B22</f>
        <v>177.66018768117297</v>
      </c>
      <c r="L22" s="2101">
        <f>SUMIF('IS(M)'!$M$13:$ER$13,L$5,'IS(M)'!$M27:$ER27)/1000+SUMIF('IS(M)'!$M$13:$ER$13,L$5,'IS(M)'!$M28:$ER28)/1000*$B22</f>
        <v>177.66018768117297</v>
      </c>
      <c r="M22" s="2101">
        <f>SUMIF('IS(M)'!$M$13:$ER$13,M$5,'IS(M)'!$M27:$ER27)/1000+SUMIF('IS(M)'!$M$13:$ER$13,M$5,'IS(M)'!$M28:$ER28)/1000*$B22</f>
        <v>177.66018768117297</v>
      </c>
      <c r="N22" s="2101">
        <f>SUMIF('IS(M)'!$M$13:$ER$13,N$5,'IS(M)'!$M27:$ER27)/1000+SUMIF('IS(M)'!$M$13:$ER$13,N$5,'IS(M)'!$M28:$ER28)/1000*$B22</f>
        <v>0</v>
      </c>
      <c r="O22" s="2101">
        <f>SUMIF('IS(M)'!$M$13:$ER$13,O$5,'IS(M)'!$M27:$ER27)/1000+SUMIF('IS(M)'!$M$13:$ER$13,O$5,'IS(M)'!$M28:$ER28)/1000*$B22</f>
        <v>0</v>
      </c>
      <c r="P22" s="2101">
        <f>SUMIF('IS(M)'!$M$13:$ER$13,P$5,'IS(M)'!$M27:$ER27)/1000+SUMIF('IS(M)'!$M$13:$ER$13,P$5,'IS(M)'!$M28:$ER28)/1000*$B22</f>
        <v>0</v>
      </c>
      <c r="Q22" s="2101">
        <f>SUMIF('IS(M)'!$M$13:$ER$13,Q$5,'IS(M)'!$M27:$ER27)/1000+SUMIF('IS(M)'!$M$13:$ER$13,Q$5,'IS(M)'!$M28:$ER28)/1000*$B22</f>
        <v>0</v>
      </c>
      <c r="R22" s="2101">
        <f>SUMIF('IS(M)'!$M$13:$ER$13,R$5,'IS(M)'!$M27:$ER27)/1000+SUMIF('IS(M)'!$M$13:$ER$13,R$5,'IS(M)'!$M28:$ER28)/1000*$B22</f>
        <v>0</v>
      </c>
      <c r="S22" s="2101">
        <f>SUMIF('IS(M)'!$M$13:$ER$13,S$5,'IS(M)'!$M27:$ER27)/1000+SUMIF('IS(M)'!$M$13:$ER$13,S$5,'IS(M)'!$M28:$ER28)/1000*$B22</f>
        <v>0</v>
      </c>
      <c r="T22" s="2101">
        <f>SUMIF('IS(M)'!$M$13:$ER$13,T$5,'IS(M)'!$M27:$ER27)/1000+SUMIF('IS(M)'!$M$13:$ER$13,T$5,'IS(M)'!$M28:$ER28)/1000*$B22</f>
        <v>0</v>
      </c>
      <c r="U22" s="2101">
        <f>SUMIF('IS(M)'!$M$13:$ER$13,U$5,'IS(M)'!$M27:$ER27)/1000+SUMIF('IS(M)'!$M$13:$ER$13,U$5,'IS(M)'!$M28:$ER28)/1000*$B22</f>
        <v>0</v>
      </c>
    </row>
    <row r="23" spans="2:21" ht="11.25" customHeight="1">
      <c r="B23" s="2581">
        <v>1</v>
      </c>
      <c r="C23" s="2098">
        <v>0</v>
      </c>
      <c r="D23" s="2090" t="s">
        <v>1219</v>
      </c>
      <c r="E23" s="2102">
        <f t="shared" si="14"/>
        <v>0</v>
      </c>
      <c r="F23" s="2101">
        <v>0</v>
      </c>
      <c r="G23" s="2101">
        <v>0</v>
      </c>
      <c r="H23" s="2101">
        <v>0</v>
      </c>
      <c r="I23" s="2101">
        <v>0</v>
      </c>
      <c r="J23" s="2101">
        <v>0</v>
      </c>
      <c r="K23" s="2101">
        <v>0</v>
      </c>
      <c r="L23" s="2101">
        <v>0</v>
      </c>
      <c r="M23" s="2101">
        <v>0</v>
      </c>
      <c r="N23" s="2101">
        <v>0</v>
      </c>
      <c r="O23" s="2101">
        <v>0</v>
      </c>
      <c r="P23" s="2101">
        <v>0</v>
      </c>
      <c r="Q23" s="2101">
        <v>0</v>
      </c>
      <c r="R23" s="2101">
        <v>0</v>
      </c>
      <c r="S23" s="2101">
        <v>0</v>
      </c>
      <c r="T23" s="2101">
        <v>0</v>
      </c>
      <c r="U23" s="2101">
        <v>0</v>
      </c>
    </row>
    <row r="24" spans="2:21" ht="11.25" customHeight="1">
      <c r="C24" s="3072" t="s">
        <v>1220</v>
      </c>
      <c r="D24" s="3072"/>
      <c r="E24" s="2103">
        <f t="shared" si="14"/>
        <v>26567.151367611241</v>
      </c>
      <c r="F24" s="2104">
        <f t="shared" ref="F24:U24" si="24">F6-F10</f>
        <v>3125.9762084123004</v>
      </c>
      <c r="G24" s="2104">
        <f t="shared" si="24"/>
        <v>3217.0417975380801</v>
      </c>
      <c r="H24" s="2105">
        <f t="shared" si="24"/>
        <v>3303.8999666168315</v>
      </c>
      <c r="I24" s="2105">
        <f t="shared" si="24"/>
        <v>3458.447009179331</v>
      </c>
      <c r="J24" s="2105">
        <f t="shared" si="24"/>
        <v>3219.6813367037303</v>
      </c>
      <c r="K24" s="2105">
        <f t="shared" si="24"/>
        <v>3301.8783613076566</v>
      </c>
      <c r="L24" s="2105">
        <f t="shared" si="24"/>
        <v>3390.907984613375</v>
      </c>
      <c r="M24" s="2105">
        <f t="shared" si="24"/>
        <v>3549.3187032399373</v>
      </c>
      <c r="N24" s="2105">
        <f t="shared" si="24"/>
        <v>0</v>
      </c>
      <c r="O24" s="2105">
        <f t="shared" si="24"/>
        <v>0</v>
      </c>
      <c r="P24" s="2105">
        <f t="shared" si="24"/>
        <v>0</v>
      </c>
      <c r="Q24" s="2105">
        <f t="shared" si="24"/>
        <v>0</v>
      </c>
      <c r="R24" s="2105">
        <f t="shared" si="24"/>
        <v>0</v>
      </c>
      <c r="S24" s="2105">
        <f t="shared" si="24"/>
        <v>0</v>
      </c>
      <c r="T24" s="2105">
        <f t="shared" si="24"/>
        <v>0</v>
      </c>
      <c r="U24" s="2105">
        <f t="shared" si="24"/>
        <v>0</v>
      </c>
    </row>
    <row r="25" spans="2:21" ht="11.25" customHeight="1">
      <c r="C25" s="3071" t="s">
        <v>1221</v>
      </c>
      <c r="D25" s="3071"/>
      <c r="E25" s="2102">
        <f t="shared" ca="1" si="14"/>
        <v>0</v>
      </c>
      <c r="F25" s="2101">
        <f ca="1">F26</f>
        <v>0</v>
      </c>
      <c r="G25" s="2101">
        <f t="shared" ref="G25:M25" ca="1" si="25">G26</f>
        <v>0</v>
      </c>
      <c r="H25" s="2101">
        <f t="shared" ca="1" si="25"/>
        <v>0</v>
      </c>
      <c r="I25" s="2101">
        <f t="shared" ca="1" si="25"/>
        <v>0</v>
      </c>
      <c r="J25" s="2101">
        <f t="shared" ca="1" si="25"/>
        <v>0</v>
      </c>
      <c r="K25" s="2101">
        <f t="shared" ca="1" si="25"/>
        <v>0</v>
      </c>
      <c r="L25" s="2101">
        <f t="shared" ca="1" si="25"/>
        <v>0</v>
      </c>
      <c r="M25" s="2101">
        <f t="shared" ca="1" si="25"/>
        <v>0</v>
      </c>
      <c r="N25" s="2101">
        <f t="shared" ref="N25" si="26">N26</f>
        <v>0</v>
      </c>
      <c r="O25" s="2101">
        <f t="shared" ref="O25" si="27">O26</f>
        <v>0</v>
      </c>
      <c r="P25" s="2101">
        <f t="shared" ref="P25" si="28">P26</f>
        <v>0</v>
      </c>
      <c r="Q25" s="2101">
        <f t="shared" ref="Q25" si="29">Q26</f>
        <v>0</v>
      </c>
      <c r="R25" s="2101">
        <f t="shared" ref="R25" si="30">R26</f>
        <v>0</v>
      </c>
      <c r="S25" s="2101">
        <f t="shared" ref="S25" si="31">S26</f>
        <v>0</v>
      </c>
      <c r="T25" s="2101">
        <f t="shared" ref="T25" si="32">T26</f>
        <v>0</v>
      </c>
      <c r="U25" s="2101">
        <f t="shared" ref="U25" si="33">U26</f>
        <v>0</v>
      </c>
    </row>
    <row r="26" spans="2:21" ht="11.25" customHeight="1">
      <c r="B26" s="2581">
        <v>0</v>
      </c>
      <c r="C26" s="2098">
        <v>44</v>
      </c>
      <c r="D26" s="2089" t="s">
        <v>1021</v>
      </c>
      <c r="E26" s="2102">
        <f t="shared" ca="1" si="14"/>
        <v>0</v>
      </c>
      <c r="F26" s="2101">
        <f ca="1">SUMIF('IS(M)'!$M$13:$ER$13,F$5,'IS(M)'!$M44:$ER44)/1000*$B26</f>
        <v>0</v>
      </c>
      <c r="G26" s="2101">
        <f ca="1">SUMIF('IS(M)'!$M$13:$ER$13,G$5,'IS(M)'!$M44:$ER44)/1000*$B26</f>
        <v>0</v>
      </c>
      <c r="H26" s="2101">
        <f ca="1">SUMIF('IS(M)'!$M$13:$ER$13,H$5,'IS(M)'!$M44:$ER44)/1000*$B26</f>
        <v>0</v>
      </c>
      <c r="I26" s="2101">
        <f ca="1">SUMIF('IS(M)'!$M$13:$ER$13,I$5,'IS(M)'!$M44:$ER44)/1000*$B26</f>
        <v>0</v>
      </c>
      <c r="J26" s="2101">
        <f ca="1">SUMIF('IS(M)'!$M$13:$ER$13,J$5,'IS(M)'!$M44:$ER44)/1000*$B26</f>
        <v>0</v>
      </c>
      <c r="K26" s="2101">
        <f ca="1">SUMIF('IS(M)'!$M$13:$ER$13,K$5,'IS(M)'!$M44:$ER44)/1000*$B26</f>
        <v>0</v>
      </c>
      <c r="L26" s="2101">
        <f ca="1">SUMIF('IS(M)'!$M$13:$ER$13,L$5,'IS(M)'!$M44:$ER44)/1000*$B26</f>
        <v>0</v>
      </c>
      <c r="M26" s="2101">
        <f ca="1">SUMIF('IS(M)'!$M$13:$ER$13,M$5,'IS(M)'!$M44:$ER44)/1000*$B26</f>
        <v>0</v>
      </c>
      <c r="N26" s="2101">
        <f>SUMIF('IS(M)'!$M$13:$ER$13,N$5,'IS(M)'!$M44:$ER44)/1000*$B26</f>
        <v>0</v>
      </c>
      <c r="O26" s="2101">
        <f>SUMIF('IS(M)'!$M$13:$ER$13,O$5,'IS(M)'!$M44:$ER44)/1000*$B26</f>
        <v>0</v>
      </c>
      <c r="P26" s="2101">
        <f>SUMIF('IS(M)'!$M$13:$ER$13,P$5,'IS(M)'!$M44:$ER44)/1000*$B26</f>
        <v>0</v>
      </c>
      <c r="Q26" s="2101">
        <f>SUMIF('IS(M)'!$M$13:$ER$13,Q$5,'IS(M)'!$M44:$ER44)/1000*$B26</f>
        <v>0</v>
      </c>
      <c r="R26" s="2101">
        <f>SUMIF('IS(M)'!$M$13:$ER$13,R$5,'IS(M)'!$M44:$ER44)/1000*$B26</f>
        <v>0</v>
      </c>
      <c r="S26" s="2101">
        <f>SUMIF('IS(M)'!$M$13:$ER$13,S$5,'IS(M)'!$M44:$ER44)/1000*$B26</f>
        <v>0</v>
      </c>
      <c r="T26" s="2101">
        <f>SUMIF('IS(M)'!$M$13:$ER$13,T$5,'IS(M)'!$M44:$ER44)/1000*$B26</f>
        <v>0</v>
      </c>
      <c r="U26" s="2101">
        <f>SUMIF('IS(M)'!$M$13:$ER$13,U$5,'IS(M)'!$M44:$ER44)/1000*$B26</f>
        <v>0</v>
      </c>
    </row>
    <row r="27" spans="2:21" ht="11.25" customHeight="1">
      <c r="C27" s="3069" t="s">
        <v>1222</v>
      </c>
      <c r="D27" s="3069"/>
      <c r="E27" s="2102">
        <f t="shared" si="14"/>
        <v>0</v>
      </c>
      <c r="F27" s="2105">
        <f>F15</f>
        <v>0</v>
      </c>
      <c r="G27" s="2105">
        <f t="shared" ref="G27:M27" si="34">G15</f>
        <v>0</v>
      </c>
      <c r="H27" s="2105">
        <f t="shared" si="34"/>
        <v>0</v>
      </c>
      <c r="I27" s="2105">
        <f t="shared" si="34"/>
        <v>0</v>
      </c>
      <c r="J27" s="2105">
        <f t="shared" si="34"/>
        <v>0</v>
      </c>
      <c r="K27" s="2105">
        <f t="shared" si="34"/>
        <v>0</v>
      </c>
      <c r="L27" s="2105">
        <f t="shared" si="34"/>
        <v>0</v>
      </c>
      <c r="M27" s="2105">
        <f t="shared" si="34"/>
        <v>0</v>
      </c>
      <c r="N27" s="2105">
        <f t="shared" ref="N27:U27" si="35">N15</f>
        <v>0</v>
      </c>
      <c r="O27" s="2105">
        <f t="shared" si="35"/>
        <v>0</v>
      </c>
      <c r="P27" s="2105">
        <f t="shared" si="35"/>
        <v>0</v>
      </c>
      <c r="Q27" s="2105">
        <f t="shared" si="35"/>
        <v>0</v>
      </c>
      <c r="R27" s="2105">
        <f t="shared" si="35"/>
        <v>0</v>
      </c>
      <c r="S27" s="2105">
        <f t="shared" si="35"/>
        <v>0</v>
      </c>
      <c r="T27" s="2105">
        <f t="shared" si="35"/>
        <v>0</v>
      </c>
      <c r="U27" s="2105">
        <f t="shared" si="35"/>
        <v>0</v>
      </c>
    </row>
    <row r="28" spans="2:21" ht="11.25" customHeight="1">
      <c r="C28" s="3069" t="s">
        <v>1223</v>
      </c>
      <c r="D28" s="3069"/>
      <c r="E28" s="2102">
        <f t="shared" si="14"/>
        <v>0</v>
      </c>
      <c r="F28" s="2105">
        <v>0</v>
      </c>
      <c r="G28" s="2105">
        <v>0</v>
      </c>
      <c r="H28" s="2105">
        <v>0</v>
      </c>
      <c r="I28" s="2105">
        <v>0</v>
      </c>
      <c r="J28" s="2105">
        <v>0</v>
      </c>
      <c r="K28" s="2105">
        <v>0</v>
      </c>
      <c r="L28" s="2105">
        <v>0</v>
      </c>
      <c r="M28" s="2105">
        <v>0</v>
      </c>
      <c r="N28" s="2105">
        <v>0</v>
      </c>
      <c r="O28" s="2105">
        <v>0</v>
      </c>
      <c r="P28" s="2105">
        <v>0</v>
      </c>
      <c r="Q28" s="2105">
        <v>0</v>
      </c>
      <c r="R28" s="2105">
        <v>0</v>
      </c>
      <c r="S28" s="2105">
        <v>0</v>
      </c>
      <c r="T28" s="2105">
        <v>0</v>
      </c>
      <c r="U28" s="2105">
        <v>0</v>
      </c>
    </row>
    <row r="29" spans="2:21" ht="11.25" customHeight="1">
      <c r="C29" s="3073" t="s">
        <v>1224</v>
      </c>
      <c r="D29" s="3073"/>
      <c r="E29" s="2102">
        <f t="shared" si="14"/>
        <v>26567.151367611241</v>
      </c>
      <c r="F29" s="2105">
        <f>F24+F27+F28</f>
        <v>3125.9762084123004</v>
      </c>
      <c r="G29" s="2105">
        <f t="shared" ref="G29:M29" si="36">G24+G27+G28</f>
        <v>3217.0417975380801</v>
      </c>
      <c r="H29" s="2105">
        <f t="shared" si="36"/>
        <v>3303.8999666168315</v>
      </c>
      <c r="I29" s="2105">
        <f t="shared" si="36"/>
        <v>3458.447009179331</v>
      </c>
      <c r="J29" s="2105">
        <f t="shared" si="36"/>
        <v>3219.6813367037303</v>
      </c>
      <c r="K29" s="2105">
        <f t="shared" si="36"/>
        <v>3301.8783613076566</v>
      </c>
      <c r="L29" s="2105">
        <f t="shared" si="36"/>
        <v>3390.907984613375</v>
      </c>
      <c r="M29" s="2105">
        <f t="shared" si="36"/>
        <v>3549.3187032399373</v>
      </c>
      <c r="N29" s="2105">
        <f t="shared" ref="N29" si="37">N24+N27+N28</f>
        <v>0</v>
      </c>
      <c r="O29" s="2105">
        <f t="shared" ref="O29" si="38">O24+O27+O28</f>
        <v>0</v>
      </c>
      <c r="P29" s="2105">
        <f t="shared" ref="P29" si="39">P24+P27+P28</f>
        <v>0</v>
      </c>
      <c r="Q29" s="2105">
        <f t="shared" ref="Q29" si="40">Q24+Q27+Q28</f>
        <v>0</v>
      </c>
      <c r="R29" s="2105">
        <f t="shared" ref="R29" si="41">R24+R27+R28</f>
        <v>0</v>
      </c>
      <c r="S29" s="2105">
        <f t="shared" ref="S29" si="42">S24+S27+S28</f>
        <v>0</v>
      </c>
      <c r="T29" s="2105">
        <f t="shared" ref="T29" si="43">T24+T27+T28</f>
        <v>0</v>
      </c>
      <c r="U29" s="2105">
        <f t="shared" ref="U29" si="44">U24+U27+U28</f>
        <v>0</v>
      </c>
    </row>
    <row r="30" spans="2:21" ht="11.25" customHeight="1">
      <c r="C30" s="3069" t="s">
        <v>1268</v>
      </c>
      <c r="D30" s="3069"/>
      <c r="E30" s="2102">
        <f t="shared" si="14"/>
        <v>15280</v>
      </c>
      <c r="F30" s="2105">
        <f>SUMIF('IS(M)'!$M$13:$ER$13,F$5,'IS(M)'!$M47:$ER47)/1000</f>
        <v>1910</v>
      </c>
      <c r="G30" s="2105">
        <f>SUMIF('IS(M)'!$M$13:$ER$13,G$5,'IS(M)'!$M47:$ER47)/1000</f>
        <v>1910</v>
      </c>
      <c r="H30" s="2105">
        <f>SUMIF('IS(M)'!$M$13:$ER$13,H$5,'IS(M)'!$M47:$ER47)/1000</f>
        <v>1910</v>
      </c>
      <c r="I30" s="2105">
        <f>SUMIF('IS(M)'!$M$13:$ER$13,I$5,'IS(M)'!$M47:$ER47)/1000</f>
        <v>1910</v>
      </c>
      <c r="J30" s="2105">
        <f>SUMIF('IS(M)'!$M$13:$ER$13,J$5,'IS(M)'!$M47:$ER47)/1000</f>
        <v>1910</v>
      </c>
      <c r="K30" s="2105">
        <f>SUMIF('IS(M)'!$M$13:$ER$13,K$5,'IS(M)'!$M47:$ER47)/1000</f>
        <v>1910</v>
      </c>
      <c r="L30" s="2105">
        <f>SUMIF('IS(M)'!$M$13:$ER$13,L$5,'IS(M)'!$M47:$ER47)/1000</f>
        <v>1910</v>
      </c>
      <c r="M30" s="2105">
        <f>SUMIF('IS(M)'!$M$13:$ER$13,M$5,'IS(M)'!$M47:$ER47)/1000</f>
        <v>1910</v>
      </c>
      <c r="N30" s="2105">
        <f>SUMIF('IS(M)'!$M$13:$ER$13,N$5,'IS(M)'!$M47:$ER47)/1000</f>
        <v>0</v>
      </c>
      <c r="O30" s="2105">
        <f>SUMIF('IS(M)'!$M$13:$ER$13,O$5,'IS(M)'!$M47:$ER47)/1000</f>
        <v>0</v>
      </c>
      <c r="P30" s="2105">
        <f>SUMIF('IS(M)'!$M$13:$ER$13,P$5,'IS(M)'!$M47:$ER47)/1000</f>
        <v>0</v>
      </c>
      <c r="Q30" s="2105">
        <f>SUMIF('IS(M)'!$M$13:$ER$13,Q$5,'IS(M)'!$M47:$ER47)/1000</f>
        <v>0</v>
      </c>
      <c r="R30" s="2105">
        <f>SUMIF('IS(M)'!$M$13:$ER$13,R$5,'IS(M)'!$M47:$ER47)/1000</f>
        <v>0</v>
      </c>
      <c r="S30" s="2105">
        <f>SUMIF('IS(M)'!$M$13:$ER$13,S$5,'IS(M)'!$M47:$ER47)/1000</f>
        <v>0</v>
      </c>
      <c r="T30" s="2105">
        <f>SUMIF('IS(M)'!$M$13:$ER$13,T$5,'IS(M)'!$M47:$ER47)/1000</f>
        <v>0</v>
      </c>
      <c r="U30" s="2105">
        <f>SUMIF('IS(M)'!$M$13:$ER$13,U$5,'IS(M)'!$M47:$ER47)/1000</f>
        <v>0</v>
      </c>
    </row>
    <row r="31" spans="2:21" ht="11.25" customHeight="1">
      <c r="C31" s="3069" t="s">
        <v>1269</v>
      </c>
      <c r="D31" s="3069"/>
      <c r="E31" s="2102">
        <f t="shared" si="14"/>
        <v>4560</v>
      </c>
      <c r="F31" s="2105">
        <f>SUMIF('IS(M)'!$M$13:$ER$13,F$5,'IS(M)'!$M50:$ER50)/1000</f>
        <v>570</v>
      </c>
      <c r="G31" s="2105">
        <f>SUMIF('IS(M)'!$M$13:$ER$13,G$5,'IS(M)'!$M50:$ER50)/1000</f>
        <v>570</v>
      </c>
      <c r="H31" s="2105">
        <f>SUMIF('IS(M)'!$M$13:$ER$13,H$5,'IS(M)'!$M50:$ER50)/1000</f>
        <v>570</v>
      </c>
      <c r="I31" s="2105">
        <f>SUMIF('IS(M)'!$M$13:$ER$13,I$5,'IS(M)'!$M50:$ER50)/1000</f>
        <v>570</v>
      </c>
      <c r="J31" s="2105">
        <f>SUMIF('IS(M)'!$M$13:$ER$13,J$5,'IS(M)'!$M50:$ER50)/1000</f>
        <v>570</v>
      </c>
      <c r="K31" s="2105">
        <f>SUMIF('IS(M)'!$M$13:$ER$13,K$5,'IS(M)'!$M50:$ER50)/1000</f>
        <v>570</v>
      </c>
      <c r="L31" s="2105">
        <f>SUMIF('IS(M)'!$M$13:$ER$13,L$5,'IS(M)'!$M50:$ER50)/1000</f>
        <v>570</v>
      </c>
      <c r="M31" s="2105">
        <f>SUMIF('IS(M)'!$M$13:$ER$13,M$5,'IS(M)'!$M50:$ER50)/1000</f>
        <v>570</v>
      </c>
      <c r="N31" s="2105">
        <f>SUMIF('IS(M)'!$M$13:$ER$13,N$5,'IS(M)'!$M50:$ER50)/1000</f>
        <v>0</v>
      </c>
      <c r="O31" s="2105">
        <f>SUMIF('IS(M)'!$M$13:$ER$13,O$5,'IS(M)'!$M50:$ER50)/1000</f>
        <v>0</v>
      </c>
      <c r="P31" s="2105">
        <f>SUMIF('IS(M)'!$M$13:$ER$13,P$5,'IS(M)'!$M50:$ER50)/1000</f>
        <v>0</v>
      </c>
      <c r="Q31" s="2105">
        <f>SUMIF('IS(M)'!$M$13:$ER$13,Q$5,'IS(M)'!$M50:$ER50)/1000</f>
        <v>0</v>
      </c>
      <c r="R31" s="2105">
        <f>SUMIF('IS(M)'!$M$13:$ER$13,R$5,'IS(M)'!$M50:$ER50)/1000</f>
        <v>0</v>
      </c>
      <c r="S31" s="2105">
        <f>SUMIF('IS(M)'!$M$13:$ER$13,S$5,'IS(M)'!$M50:$ER50)/1000</f>
        <v>0</v>
      </c>
      <c r="T31" s="2105">
        <f>SUMIF('IS(M)'!$M$13:$ER$13,T$5,'IS(M)'!$M50:$ER50)/1000</f>
        <v>0</v>
      </c>
      <c r="U31" s="2105">
        <f>SUMIF('IS(M)'!$M$13:$ER$13,U$5,'IS(M)'!$M50:$ER50)/1000</f>
        <v>0</v>
      </c>
    </row>
    <row r="32" spans="2:21" ht="11.25" customHeight="1">
      <c r="C32" s="3069" t="s">
        <v>1225</v>
      </c>
      <c r="D32" s="3069"/>
      <c r="E32" s="2102">
        <f t="shared" si="14"/>
        <v>19840</v>
      </c>
      <c r="F32" s="2105">
        <f>SUMIF('IS(M)'!$M$13:$ER$13,F$5,'IS(M)'!$M47:$ER47)/1000+SUMIF('IS(M)'!$M$13:$ER$13,F$5,'IS(M)'!$M50:$ER50)/1000</f>
        <v>2480</v>
      </c>
      <c r="G32" s="2105">
        <f>SUMIF('IS(M)'!$M$13:$ER$13,G$5,'IS(M)'!$M47:$ER47)/1000+SUMIF('IS(M)'!$M$13:$ER$13,G$5,'IS(M)'!$M50:$ER50)/1000</f>
        <v>2480</v>
      </c>
      <c r="H32" s="2105">
        <f>SUMIF('IS(M)'!$M$13:$ER$13,H$5,'IS(M)'!$M47:$ER47)/1000+SUMIF('IS(M)'!$M$13:$ER$13,H$5,'IS(M)'!$M50:$ER50)/1000</f>
        <v>2480</v>
      </c>
      <c r="I32" s="2105">
        <f>SUMIF('IS(M)'!$M$13:$ER$13,I$5,'IS(M)'!$M47:$ER47)/1000+SUMIF('IS(M)'!$M$13:$ER$13,I$5,'IS(M)'!$M50:$ER50)/1000</f>
        <v>2480</v>
      </c>
      <c r="J32" s="2105">
        <f>SUMIF('IS(M)'!$M$13:$ER$13,J$5,'IS(M)'!$M47:$ER47)/1000+SUMIF('IS(M)'!$M$13:$ER$13,J$5,'IS(M)'!$M50:$ER50)/1000</f>
        <v>2480</v>
      </c>
      <c r="K32" s="2105">
        <f>SUMIF('IS(M)'!$M$13:$ER$13,K$5,'IS(M)'!$M47:$ER47)/1000+SUMIF('IS(M)'!$M$13:$ER$13,K$5,'IS(M)'!$M50:$ER50)/1000</f>
        <v>2480</v>
      </c>
      <c r="L32" s="2105">
        <f>SUMIF('IS(M)'!$M$13:$ER$13,L$5,'IS(M)'!$M47:$ER47)/1000+SUMIF('IS(M)'!$M$13:$ER$13,L$5,'IS(M)'!$M50:$ER50)/1000</f>
        <v>2480</v>
      </c>
      <c r="M32" s="2105">
        <f>SUMIF('IS(M)'!$M$13:$ER$13,M$5,'IS(M)'!$M47:$ER47)/1000+SUMIF('IS(M)'!$M$13:$ER$13,M$5,'IS(M)'!$M50:$ER50)/1000</f>
        <v>2480</v>
      </c>
      <c r="N32" s="2105">
        <f>SUMIF('IS(M)'!$M$13:$ER$13,N$5,'IS(M)'!$M47:$ER47)/1000+SUMIF('IS(M)'!$M$13:$ER$13,N$5,'IS(M)'!$M50:$ER50)/1000</f>
        <v>0</v>
      </c>
      <c r="O32" s="2105">
        <f>SUMIF('IS(M)'!$M$13:$ER$13,O$5,'IS(M)'!$M47:$ER47)/1000+SUMIF('IS(M)'!$M$13:$ER$13,O$5,'IS(M)'!$M50:$ER50)/1000</f>
        <v>0</v>
      </c>
      <c r="P32" s="2105">
        <f>SUMIF('IS(M)'!$M$13:$ER$13,P$5,'IS(M)'!$M47:$ER47)/1000+SUMIF('IS(M)'!$M$13:$ER$13,P$5,'IS(M)'!$M50:$ER50)/1000</f>
        <v>0</v>
      </c>
      <c r="Q32" s="2105">
        <f>SUMIF('IS(M)'!$M$13:$ER$13,Q$5,'IS(M)'!$M47:$ER47)/1000+SUMIF('IS(M)'!$M$13:$ER$13,Q$5,'IS(M)'!$M50:$ER50)/1000</f>
        <v>0</v>
      </c>
      <c r="R32" s="2105">
        <f>SUMIF('IS(M)'!$M$13:$ER$13,R$5,'IS(M)'!$M47:$ER47)/1000+SUMIF('IS(M)'!$M$13:$ER$13,R$5,'IS(M)'!$M50:$ER50)/1000</f>
        <v>0</v>
      </c>
      <c r="S32" s="2105">
        <f>SUMIF('IS(M)'!$M$13:$ER$13,S$5,'IS(M)'!$M47:$ER47)/1000+SUMIF('IS(M)'!$M$13:$ER$13,S$5,'IS(M)'!$M50:$ER50)/1000</f>
        <v>0</v>
      </c>
      <c r="T32" s="2105">
        <f>SUMIF('IS(M)'!$M$13:$ER$13,T$5,'IS(M)'!$M47:$ER47)/1000+SUMIF('IS(M)'!$M$13:$ER$13,T$5,'IS(M)'!$M50:$ER50)/1000</f>
        <v>0</v>
      </c>
      <c r="U32" s="2105">
        <f>SUMIF('IS(M)'!$M$13:$ER$13,U$5,'IS(M)'!$M47:$ER47)/1000+SUMIF('IS(M)'!$M$13:$ER$13,U$5,'IS(M)'!$M50:$ER50)/1000</f>
        <v>0</v>
      </c>
    </row>
    <row r="33" spans="3:22" ht="11.25" customHeight="1">
      <c r="C33" s="3068" t="s">
        <v>1270</v>
      </c>
      <c r="D33" s="3068"/>
      <c r="E33" s="2092">
        <f>E29/E30</f>
        <v>1.7386879167284843</v>
      </c>
      <c r="F33" s="2092">
        <f>IFERROR(F29/F30,)</f>
        <v>1.6366367583310473</v>
      </c>
      <c r="G33" s="2092">
        <f t="shared" ref="G33:U33" si="45">IFERROR(G29/G30,)</f>
        <v>1.6843150772450681</v>
      </c>
      <c r="H33" s="2092">
        <f t="shared" si="45"/>
        <v>1.7297905584381317</v>
      </c>
      <c r="I33" s="2092">
        <f t="shared" si="45"/>
        <v>1.8107052404080266</v>
      </c>
      <c r="J33" s="2092">
        <f t="shared" si="45"/>
        <v>1.685697034923419</v>
      </c>
      <c r="K33" s="2092">
        <f t="shared" si="45"/>
        <v>1.7287321263390873</v>
      </c>
      <c r="L33" s="2092">
        <f t="shared" si="45"/>
        <v>1.7753444945619765</v>
      </c>
      <c r="M33" s="2092">
        <f t="shared" si="45"/>
        <v>1.8582820435811189</v>
      </c>
      <c r="N33" s="2092">
        <f t="shared" si="45"/>
        <v>0</v>
      </c>
      <c r="O33" s="2092">
        <f t="shared" si="45"/>
        <v>0</v>
      </c>
      <c r="P33" s="2092">
        <f t="shared" si="45"/>
        <v>0</v>
      </c>
      <c r="Q33" s="2092">
        <f t="shared" si="45"/>
        <v>0</v>
      </c>
      <c r="R33" s="2092">
        <f t="shared" si="45"/>
        <v>0</v>
      </c>
      <c r="S33" s="2092">
        <f t="shared" si="45"/>
        <v>0</v>
      </c>
      <c r="T33" s="2092">
        <f t="shared" si="45"/>
        <v>0</v>
      </c>
      <c r="U33" s="2092">
        <f t="shared" si="45"/>
        <v>0</v>
      </c>
      <c r="V33" s="2106" t="s">
        <v>1234</v>
      </c>
    </row>
    <row r="34" spans="3:22" ht="11.25" customHeight="1">
      <c r="C34" s="3068" t="s">
        <v>1271</v>
      </c>
      <c r="D34" s="3068"/>
      <c r="E34" s="2092">
        <f ca="1">AVERAGEIF($F$34:$U$34,"&gt;0",$F$34:$U$34)</f>
        <v>6.7118843830184707</v>
      </c>
      <c r="F34" s="2092">
        <f ca="1">IFERROR((SUMIF('CF(M)'!$L$5:$EQ$5,F$4,'CF(M)'!$L$121:$EQ$121)/1000+F29)/F30,)</f>
        <v>7.870679261865714</v>
      </c>
      <c r="G34" s="2092">
        <f ca="1">IFERROR((SUMIF('CF(M)'!$L$5:$EQ$5,G$4,'CF(M)'!$L$121:$EQ$121)/1000+G29)/G30,)</f>
        <v>8.2184565450707545</v>
      </c>
      <c r="H34" s="2092">
        <f ca="1">IFERROR((SUMIF('CF(M)'!$L$5:$EQ$5,H$4,'CF(M)'!$L$121:$EQ$121)/1000+H29)/H30,)</f>
        <v>7.0100905590594218</v>
      </c>
      <c r="I34" s="2092">
        <f ca="1">IFERROR((SUMIF('CF(M)'!$L$5:$EQ$5,I$4,'CF(M)'!$L$121:$EQ$121)/1000+I29)/I30,)</f>
        <v>7.4841532586986261</v>
      </c>
      <c r="J34" s="2092">
        <f ca="1">IFERROR((SUMIF('CF(M)'!$L$5:$EQ$5,J$4,'CF(M)'!$L$121:$EQ$121)/1000+J29)/J30,)</f>
        <v>5.7294671239367281</v>
      </c>
      <c r="K34" s="2092">
        <f ca="1">IFERROR((SUMIF('CF(M)'!$L$5:$EQ$5,K$4,'CF(M)'!$L$121:$EQ$121)/1000+K29)/K30,)</f>
        <v>6.2168628655865064</v>
      </c>
      <c r="L34" s="2092">
        <f ca="1">IFERROR((SUMIF('CF(M)'!$L$5:$EQ$5,L$4,'CF(M)'!$L$121:$EQ$121)/1000+L29)/L30,)</f>
        <v>5.3430432619684121</v>
      </c>
      <c r="M34" s="2092">
        <f ca="1">IFERROR((SUMIF('CF(M)'!$L$5:$EQ$5,M$4,'CF(M)'!$L$121:$EQ$121)/1000+M29)/M30,)</f>
        <v>5.8223221879616025</v>
      </c>
      <c r="N34" s="2092">
        <f ca="1">IFERROR((SUMIF('CF(M)'!$L$5:$EQ$5,N$4,'CF(M)'!$L$121:$EQ$121)/1000+N29)/N30,)</f>
        <v>0</v>
      </c>
      <c r="O34" s="2092">
        <f ca="1">IFERROR((SUMIF('CF(M)'!$L$5:$EQ$5,O$4,'CF(M)'!$L$121:$EQ$121)/1000+O29)/O30,)</f>
        <v>0</v>
      </c>
      <c r="P34" s="2092">
        <f ca="1">IFERROR((SUMIF('CF(M)'!$L$5:$EQ$5,P$4,'CF(M)'!$L$121:$EQ$121)/1000+P29)/P30,)</f>
        <v>0</v>
      </c>
      <c r="Q34" s="2092">
        <f ca="1">IFERROR((SUMIF('CF(M)'!$L$5:$EQ$5,Q$4,'CF(M)'!$L$121:$EQ$121)/1000+Q29)/Q30,)</f>
        <v>0</v>
      </c>
      <c r="R34" s="2092">
        <f ca="1">IFERROR((SUMIF('CF(M)'!$L$5:$EQ$5,R$4,'CF(M)'!$L$121:$EQ$121)/1000+R29)/R30,)</f>
        <v>0</v>
      </c>
      <c r="S34" s="2092">
        <f ca="1">IFERROR((SUMIF('CF(M)'!$L$5:$EQ$5,S$4,'CF(M)'!$L$121:$EQ$121)/1000+S29)/S30,)</f>
        <v>0</v>
      </c>
      <c r="T34" s="2092">
        <f ca="1">IFERROR((SUMIF('CF(M)'!$L$5:$EQ$5,T$4,'CF(M)'!$L$121:$EQ$121)/1000+T29)/T30,)</f>
        <v>0</v>
      </c>
      <c r="U34" s="2092">
        <f ca="1">IFERROR((SUMIF('CF(M)'!$L$5:$EQ$5,U$4,'CF(M)'!$L$121:$EQ$121)/1000+U29)/U30,)</f>
        <v>0</v>
      </c>
      <c r="V34" s="1" t="s">
        <v>1233</v>
      </c>
    </row>
    <row r="35" spans="3:22" ht="11.25" customHeight="1">
      <c r="C35" s="3068" t="s">
        <v>1272</v>
      </c>
      <c r="D35" s="3068"/>
      <c r="E35" s="2092">
        <f>IFERROR(AVERAGEIF($F35:$U35,"&gt;0",$F35:$U35),)</f>
        <v>1.3390701294158891</v>
      </c>
      <c r="F35" s="2092">
        <f>IFERROR(F29/F32,)</f>
        <v>1.260474277585605</v>
      </c>
      <c r="G35" s="2092">
        <f t="shared" ref="G35:U35" si="46">IFERROR(G29/G32,)</f>
        <v>1.2971942732008388</v>
      </c>
      <c r="H35" s="2092">
        <f t="shared" si="46"/>
        <v>1.3322177284745289</v>
      </c>
      <c r="I35" s="2092">
        <f t="shared" si="46"/>
        <v>1.3945350843465045</v>
      </c>
      <c r="J35" s="2092">
        <f t="shared" si="46"/>
        <v>1.2982586035095687</v>
      </c>
      <c r="K35" s="2092">
        <f t="shared" si="46"/>
        <v>1.33140256504341</v>
      </c>
      <c r="L35" s="2092">
        <f t="shared" si="46"/>
        <v>1.3673016066989416</v>
      </c>
      <c r="M35" s="2092">
        <f t="shared" si="46"/>
        <v>1.4311768964677167</v>
      </c>
      <c r="N35" s="2092">
        <f t="shared" si="46"/>
        <v>0</v>
      </c>
      <c r="O35" s="2092">
        <f t="shared" si="46"/>
        <v>0</v>
      </c>
      <c r="P35" s="2092">
        <f t="shared" si="46"/>
        <v>0</v>
      </c>
      <c r="Q35" s="2092">
        <f t="shared" si="46"/>
        <v>0</v>
      </c>
      <c r="R35" s="2092">
        <f t="shared" si="46"/>
        <v>0</v>
      </c>
      <c r="S35" s="2092">
        <f t="shared" si="46"/>
        <v>0</v>
      </c>
      <c r="T35" s="2092">
        <f t="shared" si="46"/>
        <v>0</v>
      </c>
      <c r="U35" s="2092">
        <f t="shared" si="46"/>
        <v>0</v>
      </c>
      <c r="V35" s="1"/>
    </row>
    <row r="36" spans="3:22" ht="11.25" customHeight="1">
      <c r="C36" s="3068" t="s">
        <v>1273</v>
      </c>
      <c r="D36" s="3068"/>
      <c r="E36" s="2092">
        <f t="shared" ref="E36" ca="1" si="47">IFERROR(AVERAGEIF($F36:$U36,"&gt;0",$F36:$U36),)</f>
        <v>5.1692335369214835</v>
      </c>
      <c r="F36" s="2092">
        <f ca="1">IFERROR((SUMIF('CF(M)'!$L$5:$EQ$5,F$4,'CF(M)'!$L$121:$EQ$121)/1000+F29)/F32,)</f>
        <v>6.0616924960336744</v>
      </c>
      <c r="G36" s="2092">
        <f ca="1">IFERROR((SUMIF('CF(M)'!$L$5:$EQ$5,G$4,'CF(M)'!$L$121:$EQ$121)/1000+G29)/G32,)</f>
        <v>6.32953709721175</v>
      </c>
      <c r="H36" s="2092">
        <f ca="1">IFERROR((SUMIF('CF(M)'!$L$5:$EQ$5,H$4,'CF(M)'!$L$121:$EQ$121)/1000+H29)/H32,)</f>
        <v>5.3989003902433454</v>
      </c>
      <c r="I36" s="2092">
        <f ca="1">IFERROR((SUMIF('CF(M)'!$L$5:$EQ$5,I$4,'CF(M)'!$L$121:$EQ$121)/1000+I29)/I32,)</f>
        <v>5.764005130691281</v>
      </c>
      <c r="J36" s="2092">
        <f ca="1">IFERROR((SUMIF('CF(M)'!$L$5:$EQ$5,J$4,'CF(M)'!$L$121:$EQ$121)/1000+J29)/J32,)</f>
        <v>4.4126137930319151</v>
      </c>
      <c r="K36" s="2092">
        <f ca="1">IFERROR((SUMIF('CF(M)'!$L$5:$EQ$5,K$4,'CF(M)'!$L$121:$EQ$121)/1000+K29)/K32,)</f>
        <v>4.7879871263186402</v>
      </c>
      <c r="L36" s="2092">
        <f ca="1">IFERROR((SUMIF('CF(M)'!$L$5:$EQ$5,L$4,'CF(M)'!$L$121:$EQ$121)/1000+L29)/L32,)</f>
        <v>4.1150050928869621</v>
      </c>
      <c r="M36" s="2092">
        <f ca="1">IFERROR((SUMIF('CF(M)'!$L$5:$EQ$5,M$4,'CF(M)'!$L$121:$EQ$121)/1000+M29)/M32,)</f>
        <v>4.4841271689542985</v>
      </c>
      <c r="N36" s="2092">
        <f ca="1">IFERROR((SUMIF('CF(M)'!$L$5:$EQ$5,N$4,'CF(M)'!$L$121:$EQ$121)/1000+N29)/N32,)</f>
        <v>0</v>
      </c>
      <c r="O36" s="2092">
        <f ca="1">IFERROR((SUMIF('CF(M)'!$L$5:$EQ$5,O$4,'CF(M)'!$L$121:$EQ$121)/1000+O29)/O32,)</f>
        <v>0</v>
      </c>
      <c r="P36" s="2092">
        <f ca="1">IFERROR((SUMIF('CF(M)'!$L$5:$EQ$5,P$4,'CF(M)'!$L$121:$EQ$121)/1000+P29)/P32,)</f>
        <v>0</v>
      </c>
      <c r="Q36" s="2092">
        <f ca="1">IFERROR((SUMIF('CF(M)'!$L$5:$EQ$5,Q$4,'CF(M)'!$L$121:$EQ$121)/1000+Q29)/Q32,)</f>
        <v>0</v>
      </c>
      <c r="R36" s="2092">
        <f ca="1">IFERROR((SUMIF('CF(M)'!$L$5:$EQ$5,R$4,'CF(M)'!$L$121:$EQ$121)/1000+R29)/R32,)</f>
        <v>0</v>
      </c>
      <c r="S36" s="2092">
        <f ca="1">IFERROR((SUMIF('CF(M)'!$L$5:$EQ$5,S$4,'CF(M)'!$L$121:$EQ$121)/1000+S29)/S32,)</f>
        <v>0</v>
      </c>
      <c r="T36" s="2092">
        <f ca="1">IFERROR((SUMIF('CF(M)'!$L$5:$EQ$5,T$4,'CF(M)'!$L$121:$EQ$121)/1000+T29)/T32,)</f>
        <v>0</v>
      </c>
      <c r="U36" s="2092">
        <f ca="1">IFERROR((SUMIF('CF(M)'!$L$5:$EQ$5,U$4,'CF(M)'!$L$121:$EQ$121)/1000+U29)/U32,)</f>
        <v>0</v>
      </c>
      <c r="V36" s="1"/>
    </row>
    <row r="37" spans="3:22" ht="11.25" customHeight="1">
      <c r="C37" s="2093" t="s">
        <v>1226</v>
      </c>
    </row>
    <row r="38" spans="3:22" ht="11.25" customHeight="1">
      <c r="C38" s="2093" t="s">
        <v>1227</v>
      </c>
    </row>
    <row r="39" spans="3:22" ht="11.25" customHeight="1">
      <c r="C39" s="2093" t="s">
        <v>1235</v>
      </c>
      <c r="F39" s="2191"/>
      <c r="G39" s="2191"/>
      <c r="H39" s="2191"/>
      <c r="I39" s="2191"/>
      <c r="J39" s="2191"/>
      <c r="K39" s="2191"/>
      <c r="L39" s="2191"/>
      <c r="M39" s="2191"/>
    </row>
    <row r="40" spans="3:22" ht="11.25" customHeight="1">
      <c r="F40" s="2587"/>
      <c r="G40" s="2191"/>
      <c r="H40" s="2191"/>
      <c r="I40" s="2191"/>
      <c r="J40" s="2191"/>
      <c r="K40" s="2191"/>
      <c r="L40" s="2191"/>
      <c r="M40" s="2191"/>
    </row>
    <row r="41" spans="3:22" ht="11.25" customHeight="1">
      <c r="F41" s="2586"/>
      <c r="G41" s="2191"/>
      <c r="H41" s="2191"/>
      <c r="I41" s="2191"/>
      <c r="J41" s="2191"/>
      <c r="K41" s="2191"/>
      <c r="L41" s="2191"/>
      <c r="M41" s="2191"/>
    </row>
    <row r="42" spans="3:22" ht="11.25" customHeight="1">
      <c r="F42" s="2191"/>
      <c r="G42" s="2191"/>
      <c r="H42" s="2191"/>
      <c r="I42" s="2191"/>
      <c r="J42" s="2191"/>
      <c r="K42" s="2191"/>
      <c r="L42" s="2191"/>
      <c r="M42" s="2191"/>
    </row>
    <row r="45" spans="3:22" ht="11.25" customHeight="1">
      <c r="C45" s="3069" t="s">
        <v>1276</v>
      </c>
      <c r="D45" s="3069"/>
      <c r="E45" s="2102">
        <f t="shared" ref="E45:E46" ca="1" si="48">SUM(F45:U45)</f>
        <v>3360.0000000000005</v>
      </c>
      <c r="F45" s="2105">
        <f ca="1">SUMIF('IS(M)'!$M$13:$ER$13,F$5,'IS(M)'!$M75:$ER75)/1000</f>
        <v>0</v>
      </c>
      <c r="G45" s="2105">
        <f ca="1">SUMIF('IS(M)'!$M$13:$ER$13,G$5,'IS(M)'!$M75:$ER75)/1000</f>
        <v>840.00000000000011</v>
      </c>
      <c r="H45" s="2105">
        <f ca="1">SUMIF('IS(M)'!$M$13:$ER$13,H$5,'IS(M)'!$M75:$ER75)/1000</f>
        <v>0</v>
      </c>
      <c r="I45" s="2105">
        <f ca="1">SUMIF('IS(M)'!$M$13:$ER$13,I$5,'IS(M)'!$M75:$ER75)/1000</f>
        <v>840.00000000000011</v>
      </c>
      <c r="J45" s="2105">
        <f ca="1">SUMIF('IS(M)'!$M$13:$ER$13,J$5,'IS(M)'!$M75:$ER75)/1000</f>
        <v>0</v>
      </c>
      <c r="K45" s="2105">
        <f ca="1">SUMIF('IS(M)'!$M$13:$ER$13,K$5,'IS(M)'!$M75:$ER75)/1000</f>
        <v>840.00000000000011</v>
      </c>
      <c r="L45" s="2105">
        <f ca="1">SUMIF('IS(M)'!$M$13:$ER$13,L$5,'IS(M)'!$M75:$ER75)/1000</f>
        <v>0</v>
      </c>
      <c r="M45" s="2105">
        <f ca="1">SUMIF('IS(M)'!$M$13:$ER$13,M$5,'IS(M)'!$M75:$ER75)/1000</f>
        <v>840.00000000000011</v>
      </c>
      <c r="N45" s="2105">
        <f>SUMIF('IS(M)'!$M$13:$ER$13,N$5,'IS(M)'!$M75:$ER75)/1000</f>
        <v>0</v>
      </c>
      <c r="O45" s="2105">
        <f>SUMIF('IS(M)'!$M$13:$ER$13,O$5,'IS(M)'!$M75:$ER75)/1000</f>
        <v>0</v>
      </c>
      <c r="P45" s="2105">
        <f>SUMIF('IS(M)'!$M$13:$ER$13,P$5,'IS(M)'!$M75:$ER75)/1000</f>
        <v>0</v>
      </c>
      <c r="Q45" s="2105">
        <f>SUMIF('IS(M)'!$M$13:$ER$13,Q$5,'IS(M)'!$M75:$ER75)/1000</f>
        <v>0</v>
      </c>
      <c r="R45" s="2105">
        <f>SUMIF('IS(M)'!$M$13:$ER$13,R$5,'IS(M)'!$M75:$ER75)/1000</f>
        <v>0</v>
      </c>
      <c r="S45" s="2105">
        <f>SUMIF('IS(M)'!$M$13:$ER$13,S$5,'IS(M)'!$M75:$ER75)/1000</f>
        <v>0</v>
      </c>
      <c r="T45" s="2105">
        <f>SUMIF('IS(M)'!$M$13:$ER$13,T$5,'IS(M)'!$M75:$ER75)/1000</f>
        <v>0</v>
      </c>
      <c r="U45" s="2105">
        <f>SUMIF('IS(M)'!$M$13:$ER$13,U$5,'IS(M)'!$M75:$ER75)/1000</f>
        <v>0</v>
      </c>
    </row>
    <row r="46" spans="3:22" ht="11.25" customHeight="1">
      <c r="C46" s="3069" t="s">
        <v>1275</v>
      </c>
      <c r="D46" s="3069"/>
      <c r="E46" s="2102">
        <f t="shared" ca="1" si="48"/>
        <v>7500</v>
      </c>
      <c r="F46" s="2105">
        <f ca="1">SUMIF('IS(M)'!$M$13:$ER$13,F$5,'IS(M)'!$M80:$ER80)/1000</f>
        <v>0</v>
      </c>
      <c r="G46" s="2105">
        <f ca="1">SUMIF('IS(M)'!$M$13:$ER$13,G$5,'IS(M)'!$M80:$ER80)/1000</f>
        <v>1875</v>
      </c>
      <c r="H46" s="2105">
        <f ca="1">SUMIF('IS(M)'!$M$13:$ER$13,H$5,'IS(M)'!$M80:$ER80)/1000</f>
        <v>0</v>
      </c>
      <c r="I46" s="2105">
        <f ca="1">SUMIF('IS(M)'!$M$13:$ER$13,I$5,'IS(M)'!$M80:$ER80)/1000</f>
        <v>1875</v>
      </c>
      <c r="J46" s="2105">
        <f ca="1">SUMIF('IS(M)'!$M$13:$ER$13,J$5,'IS(M)'!$M80:$ER80)/1000</f>
        <v>0</v>
      </c>
      <c r="K46" s="2105">
        <f ca="1">SUMIF('IS(M)'!$M$13:$ER$13,K$5,'IS(M)'!$M80:$ER80)/1000</f>
        <v>1875</v>
      </c>
      <c r="L46" s="2105">
        <f ca="1">SUMIF('IS(M)'!$M$13:$ER$13,L$5,'IS(M)'!$M80:$ER80)/1000</f>
        <v>0</v>
      </c>
      <c r="M46" s="2105">
        <f ca="1">SUMIF('IS(M)'!$M$13:$ER$13,M$5,'IS(M)'!$M80:$ER80)/1000</f>
        <v>1875</v>
      </c>
      <c r="N46" s="2105">
        <f>SUMIF('IS(M)'!$M$13:$ER$13,N$5,'IS(M)'!$M80:$ER80)/1000</f>
        <v>0</v>
      </c>
      <c r="O46" s="2105">
        <f>SUMIF('IS(M)'!$M$13:$ER$13,O$5,'IS(M)'!$M80:$ER80)/1000</f>
        <v>0</v>
      </c>
      <c r="P46" s="2105">
        <f>SUMIF('IS(M)'!$M$13:$ER$13,P$5,'IS(M)'!$M80:$ER80)/1000</f>
        <v>0</v>
      </c>
      <c r="Q46" s="2105">
        <f>SUMIF('IS(M)'!$M$13:$ER$13,Q$5,'IS(M)'!$M80:$ER80)/1000</f>
        <v>0</v>
      </c>
      <c r="R46" s="2105">
        <f>SUMIF('IS(M)'!$M$13:$ER$13,R$5,'IS(M)'!$M80:$ER80)/1000</f>
        <v>0</v>
      </c>
      <c r="S46" s="2105">
        <f>SUMIF('IS(M)'!$M$13:$ER$13,S$5,'IS(M)'!$M80:$ER80)/1000</f>
        <v>0</v>
      </c>
      <c r="T46" s="2105">
        <f>SUMIF('IS(M)'!$M$13:$ER$13,T$5,'IS(M)'!$M80:$ER80)/1000</f>
        <v>0</v>
      </c>
      <c r="U46" s="2105">
        <f>SUMIF('IS(M)'!$M$13:$ER$13,U$5,'IS(M)'!$M80:$ER80)/1000</f>
        <v>0</v>
      </c>
    </row>
    <row r="47" spans="3:22" ht="11.25" customHeight="1">
      <c r="C47" s="3066" t="s">
        <v>1277</v>
      </c>
      <c r="D47" s="3067"/>
      <c r="E47" s="2092">
        <f t="shared" ref="E47:E48" ca="1" si="49">IFERROR(AVERAGEIF($F47:$U47,"&gt;0",$F47:$U47),)</f>
        <v>4.4935124721824842</v>
      </c>
      <c r="F47" s="2092">
        <f ca="1">IFERROR((SUMIF('CF(M)'!$L$5:$EQ$5,F$4,'CF(M)'!$L$121:$EQ$121)/1000+F29)/(F32+F45),)</f>
        <v>6.0616924960336744</v>
      </c>
      <c r="G47" s="2092">
        <f ca="1">IFERROR((SUMIF('CF(M)'!$L$5:$EQ$5,G$4,'CF(M)'!$L$121:$EQ$121)/1000+G29)/(G32+G45),)</f>
        <v>4.7280879521340786</v>
      </c>
      <c r="H47" s="2092">
        <f ca="1">IFERROR((SUMIF('CF(M)'!$L$5:$EQ$5,H$4,'CF(M)'!$L$121:$EQ$121)/1000+H29)/(H32+H45),)</f>
        <v>5.3989003902433454</v>
      </c>
      <c r="I47" s="2092">
        <f ca="1">IFERROR((SUMIF('CF(M)'!$L$5:$EQ$5,I$4,'CF(M)'!$L$121:$EQ$121)/1000+I29)/(I32+I45),)</f>
        <v>4.3056423867814386</v>
      </c>
      <c r="J47" s="2092">
        <f ca="1">IFERROR((SUMIF('CF(M)'!$L$5:$EQ$5,J$4,'CF(M)'!$L$121:$EQ$121)/1000+J29)/(J32+J45),)</f>
        <v>4.4126137930319151</v>
      </c>
      <c r="K47" s="2092">
        <f ca="1">IFERROR((SUMIF('CF(M)'!$L$5:$EQ$5,K$4,'CF(M)'!$L$121:$EQ$121)/1000+K29)/(K32+K45),)</f>
        <v>3.5765686967681405</v>
      </c>
      <c r="L47" s="2092">
        <f ca="1">IFERROR((SUMIF('CF(M)'!$L$5:$EQ$5,L$4,'CF(M)'!$L$121:$EQ$121)/1000+L29)/(L32+L45),)</f>
        <v>4.1150050928869621</v>
      </c>
      <c r="M47" s="2092">
        <f ca="1">IFERROR((SUMIF('CF(M)'!$L$5:$EQ$5,M$4,'CF(M)'!$L$121:$EQ$121)/1000+M29)/(M32+M45),)</f>
        <v>3.3495889695803194</v>
      </c>
      <c r="N47" s="2092">
        <f ca="1">IFERROR((SUMIF('CF(M)'!$L$5:$EQ$5,N$4,'CF(M)'!$L$121:$EQ$121)/1000+N29)/(N32+N45),)</f>
        <v>0</v>
      </c>
      <c r="O47" s="2092">
        <f ca="1">IFERROR((SUMIF('CF(M)'!$L$5:$EQ$5,O$4,'CF(M)'!$L$121:$EQ$121)/1000+O29)/(O32+O45),)</f>
        <v>0</v>
      </c>
      <c r="P47" s="2092">
        <f ca="1">IFERROR((SUMIF('CF(M)'!$L$5:$EQ$5,P$4,'CF(M)'!$L$121:$EQ$121)/1000+P29)/(P32+P45),)</f>
        <v>0</v>
      </c>
      <c r="Q47" s="2092">
        <f ca="1">IFERROR((SUMIF('CF(M)'!$L$5:$EQ$5,Q$4,'CF(M)'!$L$121:$EQ$121)/1000+Q29)/(Q32+Q45),)</f>
        <v>0</v>
      </c>
      <c r="R47" s="2092">
        <f ca="1">IFERROR((SUMIF('CF(M)'!$L$5:$EQ$5,R$4,'CF(M)'!$L$121:$EQ$121)/1000+R29)/(R32+R45),)</f>
        <v>0</v>
      </c>
      <c r="S47" s="2092">
        <f ca="1">IFERROR((SUMIF('CF(M)'!$L$5:$EQ$5,S$4,'CF(M)'!$L$121:$EQ$121)/1000+S29)/(S32+S45),)</f>
        <v>0</v>
      </c>
      <c r="T47" s="2092">
        <f ca="1">IFERROR((SUMIF('CF(M)'!$L$5:$EQ$5,T$4,'CF(M)'!$L$121:$EQ$121)/1000+T29)/(T32+T45),)</f>
        <v>0</v>
      </c>
      <c r="U47" s="2092">
        <f ca="1">IFERROR((SUMIF('CF(M)'!$L$5:$EQ$5,U$4,'CF(M)'!$L$121:$EQ$121)/1000+U29)/(U32+U45),)</f>
        <v>0</v>
      </c>
    </row>
    <row r="48" spans="3:22" ht="11.25" customHeight="1">
      <c r="C48" s="3066" t="s">
        <v>1278</v>
      </c>
      <c r="D48" s="3067"/>
      <c r="E48" s="2092">
        <f t="shared" ca="1" si="49"/>
        <v>3.7734742140046702</v>
      </c>
      <c r="F48" s="2092">
        <f ca="1">IFERROR((SUMIF('CF(M)'!$L$5:$EQ$5,F$4,'CF(M)'!$L$121:$EQ$121)/1000+F29)/(F32+F45+F46),)</f>
        <v>6.0616924960336744</v>
      </c>
      <c r="G48" s="2092">
        <f ca="1">IFERROR((SUMIF('CF(M)'!$L$5:$EQ$5,G$4,'CF(M)'!$L$121:$EQ$121)/1000+G29)/(G32+G45+G46),)</f>
        <v>3.0216076999201427</v>
      </c>
      <c r="H48" s="2092">
        <f ca="1">IFERROR((SUMIF('CF(M)'!$L$5:$EQ$5,H$4,'CF(M)'!$L$121:$EQ$121)/1000+H29)/(H32+H45+H46),)</f>
        <v>5.3989003902433454</v>
      </c>
      <c r="I48" s="2092">
        <f ca="1">IFERROR((SUMIF('CF(M)'!$L$5:$EQ$5,I$4,'CF(M)'!$L$121:$EQ$121)/1000+I29)/(I32+I45+I46),)</f>
        <v>2.7516328631596489</v>
      </c>
      <c r="J48" s="2092">
        <f ca="1">IFERROR((SUMIF('CF(M)'!$L$5:$EQ$5,J$4,'CF(M)'!$L$121:$EQ$121)/1000+J29)/(J32+J45+J46),)</f>
        <v>4.4126137930319151</v>
      </c>
      <c r="K48" s="2092">
        <f ca="1">IFERROR((SUMIF('CF(M)'!$L$5:$EQ$5,K$4,'CF(M)'!$L$121:$EQ$121)/1000+K29)/(K32+K45+K46),)</f>
        <v>2.2856993403792543</v>
      </c>
      <c r="L48" s="2092">
        <f ca="1">IFERROR((SUMIF('CF(M)'!$L$5:$EQ$5,L$4,'CF(M)'!$L$121:$EQ$121)/1000+L29)/(L32+L45+L46),)</f>
        <v>4.1150050928869621</v>
      </c>
      <c r="M48" s="2092">
        <f ca="1">IFERROR((SUMIF('CF(M)'!$L$5:$EQ$5,M$4,'CF(M)'!$L$121:$EQ$121)/1000+M29)/(M32+M45+M46),)</f>
        <v>2.1406420363824177</v>
      </c>
      <c r="N48" s="2092">
        <f ca="1">IFERROR((SUMIF('CF(M)'!$L$5:$EQ$5,N$4,'CF(M)'!$L$121:$EQ$121)/1000+N29)/(N32+N45+N46),)</f>
        <v>0</v>
      </c>
      <c r="O48" s="2092">
        <f ca="1">IFERROR((SUMIF('CF(M)'!$L$5:$EQ$5,O$4,'CF(M)'!$L$121:$EQ$121)/1000+O29)/(O32+O45+O46),)</f>
        <v>0</v>
      </c>
      <c r="P48" s="2092">
        <f ca="1">IFERROR((SUMIF('CF(M)'!$L$5:$EQ$5,P$4,'CF(M)'!$L$121:$EQ$121)/1000+P29)/(P32+P45+P46),)</f>
        <v>0</v>
      </c>
      <c r="Q48" s="2092">
        <f ca="1">IFERROR((SUMIF('CF(M)'!$L$5:$EQ$5,Q$4,'CF(M)'!$L$121:$EQ$121)/1000+Q29)/(Q32+Q45+Q46),)</f>
        <v>0</v>
      </c>
      <c r="R48" s="2092">
        <f ca="1">IFERROR((SUMIF('CF(M)'!$L$5:$EQ$5,R$4,'CF(M)'!$L$121:$EQ$121)/1000+R29)/(R32+R45+R46),)</f>
        <v>0</v>
      </c>
      <c r="S48" s="2092">
        <f ca="1">IFERROR((SUMIF('CF(M)'!$L$5:$EQ$5,S$4,'CF(M)'!$L$121:$EQ$121)/1000+S29)/(S32+S45+S46),)</f>
        <v>0</v>
      </c>
      <c r="T48" s="2092">
        <f ca="1">IFERROR((SUMIF('CF(M)'!$L$5:$EQ$5,T$4,'CF(M)'!$L$121:$EQ$121)/1000+T29)/(T32+T45+T46),)</f>
        <v>0</v>
      </c>
      <c r="U48" s="2092">
        <f ca="1">IFERROR((SUMIF('CF(M)'!$L$5:$EQ$5,U$4,'CF(M)'!$L$121:$EQ$121)/1000+U29)/(U32+U45+U46),)</f>
        <v>0</v>
      </c>
    </row>
  </sheetData>
  <mergeCells count="19">
    <mergeCell ref="C47:D47"/>
    <mergeCell ref="C48:D48"/>
    <mergeCell ref="C5:D5"/>
    <mergeCell ref="C6:D6"/>
    <mergeCell ref="C10:D10"/>
    <mergeCell ref="C24:D24"/>
    <mergeCell ref="C25:D25"/>
    <mergeCell ref="C27:D27"/>
    <mergeCell ref="C35:D35"/>
    <mergeCell ref="C36:D36"/>
    <mergeCell ref="C30:D30"/>
    <mergeCell ref="C31:D31"/>
    <mergeCell ref="C28:D28"/>
    <mergeCell ref="C29:D29"/>
    <mergeCell ref="C32:D32"/>
    <mergeCell ref="C33:D33"/>
    <mergeCell ref="C34:D34"/>
    <mergeCell ref="C45:D45"/>
    <mergeCell ref="C46:D46"/>
  </mergeCells>
  <phoneticPr fontId="2"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9FE8C-BA02-4826-B7CC-AABFB7458E35}">
  <sheetPr codeName="Sheet27"/>
  <dimension ref="A2:X985"/>
  <sheetViews>
    <sheetView showGridLines="0" topLeftCell="A255" zoomScaleNormal="100" workbookViewId="0">
      <selection activeCell="D281" sqref="D281"/>
    </sheetView>
  </sheetViews>
  <sheetFormatPr defaultColWidth="6.875" defaultRowHeight="12"/>
  <cols>
    <col min="1" max="1" width="6.875" style="2232"/>
    <col min="2" max="2" width="26.25" style="2232" customWidth="1"/>
    <col min="3" max="21" width="11.125" style="2232" customWidth="1"/>
    <col min="22" max="23" width="11.875" style="2232" customWidth="1"/>
    <col min="24" max="24" width="9.875" style="2232" customWidth="1"/>
    <col min="25" max="16384" width="6.875" style="2232"/>
  </cols>
  <sheetData>
    <row r="2" spans="2:6" ht="12.75" thickBot="1"/>
    <row r="3" spans="2:6" ht="12.75" thickBot="1">
      <c r="B3" s="2233" t="s">
        <v>619</v>
      </c>
      <c r="C3" s="2233" t="s">
        <v>679</v>
      </c>
      <c r="D3" s="2233" t="s">
        <v>619</v>
      </c>
      <c r="E3" s="2234" t="s">
        <v>679</v>
      </c>
    </row>
    <row r="4" spans="2:6" ht="12.75" thickBot="1">
      <c r="B4" s="2235" t="s">
        <v>1507</v>
      </c>
      <c r="C4" s="2236">
        <f>TIC!J15/1000</f>
        <v>270000</v>
      </c>
      <c r="D4" s="2237" t="s">
        <v>1433</v>
      </c>
      <c r="E4" s="2238">
        <f>'A&amp;R'!P31/1000</f>
        <v>2100</v>
      </c>
    </row>
    <row r="5" spans="2:6" ht="12.75" thickBot="1">
      <c r="B5" s="2235" t="s">
        <v>1508</v>
      </c>
      <c r="C5" s="2236">
        <f>(TIC!J18+TIC!J20+TIC!J27)/1000</f>
        <v>14274.615225132002</v>
      </c>
      <c r="D5" s="2237" t="s">
        <v>1561</v>
      </c>
      <c r="E5" s="2238">
        <f>'A&amp;R'!P32/1000</f>
        <v>160000</v>
      </c>
    </row>
    <row r="6" spans="2:6" ht="12.75" thickBot="1">
      <c r="B6" s="2235" t="s">
        <v>1509</v>
      </c>
      <c r="C6" s="2236">
        <f>TIC!J32/1000</f>
        <v>4380</v>
      </c>
      <c r="D6" s="2237" t="s">
        <v>1563</v>
      </c>
      <c r="E6" s="2238">
        <f>'A&amp;R'!P35/1000</f>
        <v>38000</v>
      </c>
    </row>
    <row r="7" spans="2:6" ht="12.75" thickBot="1">
      <c r="B7" s="2235" t="s">
        <v>1559</v>
      </c>
      <c r="C7" s="2236">
        <f>TIC!J34/1000</f>
        <v>245.38477486795188</v>
      </c>
      <c r="D7" s="2237" t="s">
        <v>1564</v>
      </c>
      <c r="E7" s="2238">
        <f>'A&amp;R'!Q41/1000</f>
        <v>24000</v>
      </c>
    </row>
    <row r="8" spans="2:6" ht="12.75" thickBot="1">
      <c r="B8" s="2235" t="s">
        <v>68</v>
      </c>
      <c r="C8" s="2236">
        <f>'A&amp;R'!Q43/1000</f>
        <v>10000</v>
      </c>
      <c r="D8" s="2237" t="s">
        <v>1565</v>
      </c>
      <c r="E8" s="2238">
        <f>'A&amp;R'!Q42/1000</f>
        <v>50000</v>
      </c>
    </row>
    <row r="9" spans="2:6" ht="12.75" thickBot="1">
      <c r="B9" s="2235"/>
      <c r="C9" s="2236"/>
      <c r="D9" s="2237" t="s">
        <v>1566</v>
      </c>
      <c r="E9" s="2238">
        <f>'A&amp;R'!Q43/1000</f>
        <v>10000</v>
      </c>
    </row>
    <row r="10" spans="2:6" ht="12.75" thickBot="1">
      <c r="B10" s="2235"/>
      <c r="C10" s="2236"/>
      <c r="D10" s="2237" t="s">
        <v>19</v>
      </c>
      <c r="E10" s="2238">
        <f>'A&amp;R'!Q44/1000</f>
        <v>14800</v>
      </c>
    </row>
    <row r="11" spans="2:6" ht="12.75" thickBot="1">
      <c r="B11" s="2239" t="s">
        <v>1434</v>
      </c>
      <c r="C11" s="2240">
        <f>SUM(C4:C10)</f>
        <v>298899.99999999994</v>
      </c>
      <c r="D11" s="2241" t="s">
        <v>1510</v>
      </c>
      <c r="E11" s="2242">
        <f>SUM(E4:E10)</f>
        <v>298900</v>
      </c>
      <c r="F11" s="2232" t="b">
        <f>C11=E11</f>
        <v>1</v>
      </c>
    </row>
    <row r="13" spans="2:6" ht="12.75" thickBot="1"/>
    <row r="14" spans="2:6" ht="12.75" thickBot="1">
      <c r="B14" s="3080" t="s">
        <v>619</v>
      </c>
      <c r="C14" s="3081"/>
      <c r="D14" s="2233" t="s">
        <v>679</v>
      </c>
      <c r="E14" s="2234" t="s">
        <v>668</v>
      </c>
    </row>
    <row r="15" spans="2:6" ht="12.75" thickBot="1">
      <c r="B15" s="2243" t="s">
        <v>249</v>
      </c>
      <c r="C15" s="2241"/>
      <c r="D15" s="2236">
        <f>TIC!J18/1000</f>
        <v>1350</v>
      </c>
      <c r="E15" s="2244" t="str">
        <f>"부동산매입금액 x "&amp;TEXT(F15,"0.000%")</f>
        <v>부동산매입금액 x 0.500%</v>
      </c>
      <c r="F15" s="2245">
        <f>TIC!H19</f>
        <v>5.0000000000000001E-3</v>
      </c>
    </row>
    <row r="16" spans="2:6" ht="12.75" hidden="1" thickBot="1">
      <c r="B16" s="3084" t="s">
        <v>1435</v>
      </c>
      <c r="C16" s="2237" t="s">
        <v>1485</v>
      </c>
      <c r="D16" s="2236">
        <v>0</v>
      </c>
      <c r="E16" s="2246"/>
    </row>
    <row r="17" spans="2:5" ht="12.75" thickBot="1">
      <c r="B17" s="3085"/>
      <c r="C17" s="2237" t="s">
        <v>1486</v>
      </c>
      <c r="D17" s="2236">
        <f>TIC!J21/1000</f>
        <v>85.315100000000001</v>
      </c>
      <c r="E17" s="2246"/>
    </row>
    <row r="18" spans="2:5" ht="12.75" thickBot="1">
      <c r="B18" s="3085"/>
      <c r="C18" s="2237" t="s">
        <v>1487</v>
      </c>
      <c r="D18" s="2236">
        <f>TIC!J22/1000</f>
        <v>80</v>
      </c>
      <c r="E18" s="2246"/>
    </row>
    <row r="19" spans="2:5" ht="12.75" thickBot="1">
      <c r="B19" s="3085"/>
      <c r="C19" s="2237" t="s">
        <v>1488</v>
      </c>
      <c r="D19" s="2236">
        <f>TIC!J23/1000</f>
        <v>40</v>
      </c>
      <c r="E19" s="2246"/>
    </row>
    <row r="20" spans="2:5" ht="12.75" thickBot="1">
      <c r="B20" s="3085"/>
      <c r="C20" s="2237" t="s">
        <v>1489</v>
      </c>
      <c r="D20" s="2236">
        <f>TIC!J24/1000</f>
        <v>40</v>
      </c>
      <c r="E20" s="2246"/>
    </row>
    <row r="21" spans="2:5" ht="12.75" thickBot="1">
      <c r="B21" s="3085"/>
      <c r="C21" s="2237" t="s">
        <v>1490</v>
      </c>
      <c r="D21" s="2236">
        <f>TIC!J25/1000</f>
        <v>25</v>
      </c>
      <c r="E21" s="2246"/>
    </row>
    <row r="22" spans="2:5" ht="12.75" hidden="1" thickBot="1">
      <c r="B22" s="3085"/>
      <c r="C22" s="2237" t="s">
        <v>1491</v>
      </c>
      <c r="D22" s="2236">
        <v>0</v>
      </c>
      <c r="E22" s="2246"/>
    </row>
    <row r="23" spans="2:5" ht="12.75" hidden="1" thickBot="1">
      <c r="B23" s="3085"/>
      <c r="C23" s="2237" t="s">
        <v>1219</v>
      </c>
      <c r="D23" s="2236">
        <v>0</v>
      </c>
      <c r="E23" s="2246"/>
    </row>
    <row r="24" spans="2:5" ht="12.75" hidden="1" thickBot="1">
      <c r="B24" s="3085"/>
      <c r="C24" s="2237" t="s">
        <v>1492</v>
      </c>
      <c r="D24" s="2236">
        <v>0</v>
      </c>
      <c r="E24" s="2246"/>
    </row>
    <row r="25" spans="2:5" ht="12.75" hidden="1" thickBot="1">
      <c r="B25" s="3085"/>
      <c r="C25" s="2237" t="s">
        <v>1493</v>
      </c>
      <c r="D25" s="2236">
        <v>0</v>
      </c>
      <c r="E25" s="2246"/>
    </row>
    <row r="26" spans="2:5" ht="12.75" thickBot="1">
      <c r="B26" s="3085"/>
      <c r="C26" s="2237" t="s">
        <v>245</v>
      </c>
      <c r="D26" s="2236">
        <f>TIC!J26/1000</f>
        <v>76</v>
      </c>
      <c r="E26" s="2246"/>
    </row>
    <row r="27" spans="2:5" ht="36.75" thickBot="1">
      <c r="B27" s="3085"/>
      <c r="C27" s="2237" t="s">
        <v>1494</v>
      </c>
      <c r="D27" s="2236">
        <f>TIC!J29/1000</f>
        <v>80.269630531999994</v>
      </c>
      <c r="E27" s="2246" t="s">
        <v>1436</v>
      </c>
    </row>
    <row r="28" spans="2:5" ht="24.75" hidden="1" thickBot="1">
      <c r="B28" s="3085"/>
      <c r="C28" s="2237" t="s">
        <v>1495</v>
      </c>
      <c r="D28" s="2236">
        <v>0</v>
      </c>
      <c r="E28" s="2246" t="s">
        <v>1437</v>
      </c>
    </row>
    <row r="29" spans="2:5" ht="12.75" thickBot="1">
      <c r="B29" s="3086"/>
      <c r="C29" s="2248" t="s">
        <v>1438</v>
      </c>
      <c r="D29" s="2240">
        <f>SUM(D16:D28)</f>
        <v>426.58473053200004</v>
      </c>
      <c r="E29" s="2249"/>
    </row>
    <row r="30" spans="2:5" ht="24.75" hidden="1" thickBot="1">
      <c r="B30" s="3084" t="s">
        <v>1439</v>
      </c>
      <c r="C30" s="2237" t="s">
        <v>1440</v>
      </c>
      <c r="D30" s="2236">
        <v>0</v>
      </c>
      <c r="E30" s="2246" t="s">
        <v>1441</v>
      </c>
    </row>
    <row r="31" spans="2:5" ht="24.75" hidden="1" thickBot="1">
      <c r="B31" s="3085"/>
      <c r="C31" s="2237" t="s">
        <v>1442</v>
      </c>
      <c r="D31" s="2236">
        <v>0</v>
      </c>
      <c r="E31" s="2246" t="s">
        <v>1443</v>
      </c>
    </row>
    <row r="32" spans="2:5" ht="12.75" hidden="1" thickBot="1">
      <c r="B32" s="3085"/>
      <c r="C32" s="2237" t="s">
        <v>1444</v>
      </c>
      <c r="D32" s="2236">
        <v>0</v>
      </c>
      <c r="E32" s="2246"/>
    </row>
    <row r="33" spans="2:8" ht="12.75" hidden="1" thickBot="1">
      <c r="B33" s="3086"/>
      <c r="C33" s="2248" t="s">
        <v>1438</v>
      </c>
      <c r="D33" s="2240">
        <f>SUM(D30:D32)</f>
        <v>0</v>
      </c>
      <c r="E33" s="2249"/>
    </row>
    <row r="34" spans="2:8" ht="12.75" thickBot="1">
      <c r="B34" s="3087" t="s">
        <v>682</v>
      </c>
      <c r="C34" s="3088"/>
      <c r="D34" s="2236">
        <f>TIC!J28/1000</f>
        <v>12498.030494600001</v>
      </c>
      <c r="E34" s="2250"/>
    </row>
    <row r="35" spans="2:8" ht="12.75" thickBot="1">
      <c r="B35" s="3089" t="s">
        <v>1445</v>
      </c>
      <c r="C35" s="3090"/>
      <c r="D35" s="2240">
        <f>D15+D29+D33+D34</f>
        <v>14274.615225132002</v>
      </c>
      <c r="E35" s="2249"/>
    </row>
    <row r="36" spans="2:8">
      <c r="D36" s="2251">
        <f>D35-C5</f>
        <v>0</v>
      </c>
    </row>
    <row r="38" spans="2:8" ht="12.75" thickBot="1"/>
    <row r="39" spans="2:8" ht="12.75" thickBot="1">
      <c r="B39" s="3080" t="s">
        <v>619</v>
      </c>
      <c r="C39" s="3081"/>
      <c r="D39" s="2233" t="s">
        <v>679</v>
      </c>
      <c r="E39" s="2234" t="s">
        <v>668</v>
      </c>
    </row>
    <row r="40" spans="2:8" ht="12.75" thickBot="1">
      <c r="B40" s="3084" t="s">
        <v>1446</v>
      </c>
      <c r="C40" s="2237" t="str">
        <f t="shared" ref="C40:D42" si="0">D4</f>
        <v>임대보증금</v>
      </c>
      <c r="D40" s="2236">
        <f t="shared" si="0"/>
        <v>2100</v>
      </c>
      <c r="E40" s="2246"/>
    </row>
    <row r="41" spans="2:8" ht="12.75" thickBot="1">
      <c r="B41" s="3085"/>
      <c r="C41" s="2237" t="str">
        <f t="shared" si="0"/>
        <v>담보차입금(선순위)</v>
      </c>
      <c r="D41" s="2236">
        <f t="shared" si="0"/>
        <v>160000</v>
      </c>
      <c r="E41" s="2244" t="str">
        <f>"이자율 "&amp;TEXT(F41,"0.00%")&amp;", All-in "&amp;TEXT(G41,"0.00%")</f>
        <v>이자율 4.78%, All-in 5.50%</v>
      </c>
      <c r="F41" s="2252">
        <f>'A&amp;R'!Q32</f>
        <v>4.7750000000000001E-2</v>
      </c>
      <c r="G41" s="2252">
        <f>'A&amp;R'!S32</f>
        <v>5.5E-2</v>
      </c>
    </row>
    <row r="42" spans="2:8" ht="12.75" thickBot="1">
      <c r="B42" s="3085"/>
      <c r="C42" s="2237" t="str">
        <f t="shared" si="0"/>
        <v>담보차입금(중순위)</v>
      </c>
      <c r="D42" s="2236">
        <f t="shared" si="0"/>
        <v>38000</v>
      </c>
      <c r="E42" s="2244" t="str">
        <f>"이자율 "&amp;TEXT(F42,"0.00%")&amp;", All-in "&amp;TEXT(G42,"0.00%")</f>
        <v>이자율 6.00%, All-in 6.50%</v>
      </c>
      <c r="F42" s="2252">
        <f>'A&amp;R'!Q35</f>
        <v>0.06</v>
      </c>
      <c r="G42" s="2252">
        <f>'A&amp;R'!S35</f>
        <v>6.5000000000000002E-2</v>
      </c>
    </row>
    <row r="43" spans="2:8" ht="12.75" thickBot="1">
      <c r="B43" s="3086"/>
      <c r="C43" s="2248" t="s">
        <v>44</v>
      </c>
      <c r="D43" s="2236">
        <f>SUM(D40:D42)</f>
        <v>200100</v>
      </c>
      <c r="E43" s="2250"/>
    </row>
    <row r="44" spans="2:8" ht="24.75" thickBot="1">
      <c r="B44" s="3084" t="s">
        <v>1447</v>
      </c>
      <c r="C44" s="2237" t="str">
        <f t="shared" ref="C44:D47" si="1">D7</f>
        <v>우선주(1종)</v>
      </c>
      <c r="D44" s="2236">
        <f t="shared" si="1"/>
        <v>24000</v>
      </c>
      <c r="E44" s="2253" t="str">
        <f>"확정배당 "&amp;TEXT(F44,"0.00%")</f>
        <v>확정배당 7.00%</v>
      </c>
      <c r="F44" s="2252">
        <f>'A&amp;R'!S41</f>
        <v>7.0000000000000007E-2</v>
      </c>
      <c r="H44" s="2252"/>
    </row>
    <row r="45" spans="2:8" ht="36.75" thickBot="1">
      <c r="B45" s="3085"/>
      <c r="C45" s="2237" t="str">
        <f t="shared" si="1"/>
        <v>우선주(2종)</v>
      </c>
      <c r="D45" s="2236">
        <f t="shared" si="1"/>
        <v>50000</v>
      </c>
      <c r="E45" s="2253" t="str">
        <f>"확정배당 "&amp;TEXT(F45,"0.00%")&amp;", C.G 20%"</f>
        <v>확정배당 7.50%, C.G 20%</v>
      </c>
      <c r="F45" s="2252">
        <f>'A&amp;R'!S42</f>
        <v>7.4999999999999997E-2</v>
      </c>
      <c r="H45" s="2252"/>
    </row>
    <row r="46" spans="2:8" ht="24.75" thickBot="1">
      <c r="B46" s="3085"/>
      <c r="C46" s="2237" t="str">
        <f t="shared" si="1"/>
        <v>우선주(3종)</v>
      </c>
      <c r="D46" s="2236">
        <f t="shared" si="1"/>
        <v>10000</v>
      </c>
      <c r="E46" s="2253" t="s">
        <v>1511</v>
      </c>
      <c r="F46" s="2252"/>
      <c r="H46" s="2252"/>
    </row>
    <row r="47" spans="2:8" ht="24.75" thickBot="1">
      <c r="B47" s="3085"/>
      <c r="C47" s="2237" t="str">
        <f t="shared" si="1"/>
        <v>보통주</v>
      </c>
      <c r="D47" s="2236">
        <f t="shared" si="1"/>
        <v>14800</v>
      </c>
      <c r="E47" s="2253" t="s">
        <v>1512</v>
      </c>
      <c r="F47" s="2252"/>
      <c r="H47" s="2252"/>
    </row>
    <row r="48" spans="2:8" ht="12.75" thickBot="1">
      <c r="B48" s="3086"/>
      <c r="C48" s="2248" t="s">
        <v>44</v>
      </c>
      <c r="D48" s="2236">
        <f>SUM(D44:D47)</f>
        <v>98800</v>
      </c>
      <c r="E48" s="2250"/>
    </row>
    <row r="49" spans="2:9" ht="12.75" thickBot="1">
      <c r="B49" s="3096" t="s">
        <v>1510</v>
      </c>
      <c r="C49" s="3097"/>
      <c r="D49" s="2236">
        <f>D43+D48</f>
        <v>298900</v>
      </c>
      <c r="E49" s="2250"/>
    </row>
    <row r="55" spans="2:9">
      <c r="B55" s="2254" t="s">
        <v>1448</v>
      </c>
      <c r="C55" s="2255" t="s">
        <v>1449</v>
      </c>
      <c r="D55" s="2255" t="s">
        <v>1518</v>
      </c>
      <c r="E55" s="2255" t="s">
        <v>1450</v>
      </c>
      <c r="F55" s="2255" t="s">
        <v>1451</v>
      </c>
      <c r="G55" s="2255" t="s">
        <v>1433</v>
      </c>
      <c r="H55" s="2255" t="s">
        <v>1452</v>
      </c>
      <c r="I55" s="2256" t="s">
        <v>1453</v>
      </c>
    </row>
    <row r="56" spans="2:9">
      <c r="B56" s="2257" t="s">
        <v>1519</v>
      </c>
      <c r="C56" s="2372">
        <f>'Rentroll(개시시점 기준)'!W62</f>
        <v>49064</v>
      </c>
      <c r="D56" s="2408">
        <f>'Rentroll(개시시점 기준)'!I61+SUM('Rentroll(개시시점 기준)'!I62:I65)+'Rentroll(개시시점 기준)'!I67+'Rentroll(개시시점 기준)'!I73</f>
        <v>13247.689999999999</v>
      </c>
      <c r="E56" s="2371">
        <f>'Rentroll(개시시점 기준)'!P62</f>
        <v>60000</v>
      </c>
      <c r="F56" s="2371">
        <f>'Rentroll(개시시점 기준)'!S62</f>
        <v>3000</v>
      </c>
      <c r="G56" s="2371">
        <f>'Rentroll(개시시점 기준)'!N62</f>
        <v>360000</v>
      </c>
      <c r="H56" s="2258">
        <v>2.5000000000000001E-2</v>
      </c>
      <c r="I56" s="2259"/>
    </row>
    <row r="57" spans="2:9">
      <c r="B57" s="2257" t="s">
        <v>1520</v>
      </c>
      <c r="C57" s="2372">
        <f>'Rentroll(개시시점 기준)'!W66</f>
        <v>47328</v>
      </c>
      <c r="D57" s="2408">
        <f>'Rentroll(개시시점 기준)'!I66</f>
        <v>2185.56</v>
      </c>
      <c r="E57" s="2371">
        <f>'Rentroll(개시시점 기준)'!P66</f>
        <v>49000</v>
      </c>
      <c r="F57" s="2371">
        <f>'Rentroll(개시시점 기준)'!S66</f>
        <v>3000</v>
      </c>
      <c r="G57" s="2371">
        <f>'Rentroll(개시시점 기준)'!N66</f>
        <v>294000</v>
      </c>
      <c r="H57" s="2258">
        <v>2.5000000000000001E-2</v>
      </c>
      <c r="I57" s="2259"/>
    </row>
    <row r="58" spans="2:9">
      <c r="B58" s="2257" t="s">
        <v>1521</v>
      </c>
      <c r="C58" s="2372">
        <f>'Rentroll(개시시점 기준)'!W68</f>
        <v>49340</v>
      </c>
      <c r="D58" s="2408">
        <f>'Rentroll(개시시점 기준)'!I68</f>
        <v>1092.94</v>
      </c>
      <c r="E58" s="2371">
        <f>'Rentroll(개시시점 기준)'!P68</f>
        <v>60000</v>
      </c>
      <c r="F58" s="2371">
        <f>'Rentroll(개시시점 기준)'!S68</f>
        <v>3000</v>
      </c>
      <c r="G58" s="2371">
        <f>'Rentroll(개시시점 기준)'!N68</f>
        <v>360000</v>
      </c>
      <c r="H58" s="2258"/>
      <c r="I58" s="2370"/>
    </row>
    <row r="59" spans="2:9">
      <c r="B59" s="2257" t="s">
        <v>1522</v>
      </c>
      <c r="C59" s="2372">
        <f>'Rentroll(개시시점 기준)'!W69</f>
        <v>47514</v>
      </c>
      <c r="D59" s="2408">
        <f>'Rentroll(개시시점 기준)'!I69</f>
        <v>856.05</v>
      </c>
      <c r="E59" s="2371">
        <f>'Rentroll(개시시점 기준)'!P69</f>
        <v>60000</v>
      </c>
      <c r="F59" s="2371">
        <f>'Rentroll(개시시점 기준)'!S69</f>
        <v>3000</v>
      </c>
      <c r="G59" s="2371">
        <f>'Rentroll(개시시점 기준)'!N69</f>
        <v>360000</v>
      </c>
      <c r="H59" s="2258"/>
      <c r="I59" s="2370"/>
    </row>
    <row r="60" spans="2:9">
      <c r="B60" s="2257" t="s">
        <v>429</v>
      </c>
      <c r="C60" s="2372">
        <f>'Rentroll(개시시점 기준)'!W49</f>
        <v>47483</v>
      </c>
      <c r="D60" s="2408">
        <f>'Rentroll(개시시점 기준)'!I49</f>
        <v>479.38</v>
      </c>
      <c r="E60" s="2371">
        <f>'Rentroll(개시시점 기준)'!P49</f>
        <v>40000</v>
      </c>
      <c r="F60" s="2371">
        <f>'Rentroll(개시시점 기준)'!S49</f>
        <v>3000</v>
      </c>
      <c r="G60" s="2371">
        <f>'Rentroll(개시시점 기준)'!N49</f>
        <v>208600</v>
      </c>
      <c r="H60" s="2258"/>
      <c r="I60" s="2370"/>
    </row>
    <row r="61" spans="2:9">
      <c r="B61" s="2257" t="s">
        <v>1523</v>
      </c>
      <c r="C61" s="2372" t="s">
        <v>1248</v>
      </c>
      <c r="D61" s="2408">
        <f>'Rentroll(개시시점 기준)'!I75-SUM(D56:D60)</f>
        <v>3028.4599999999991</v>
      </c>
      <c r="E61" s="2371" t="s">
        <v>1248</v>
      </c>
      <c r="F61" s="2371" t="s">
        <v>1248</v>
      </c>
      <c r="G61" s="2371" t="s">
        <v>1248</v>
      </c>
      <c r="H61" s="2258"/>
      <c r="I61" s="2370"/>
    </row>
    <row r="63" spans="2:9" ht="12.75" hidden="1" thickBot="1">
      <c r="B63" s="2260" t="s">
        <v>619</v>
      </c>
      <c r="C63" s="2260" t="s">
        <v>1454</v>
      </c>
      <c r="D63" s="2260" t="s">
        <v>1455</v>
      </c>
      <c r="E63" s="2260" t="s">
        <v>236</v>
      </c>
      <c r="F63" s="2261" t="s">
        <v>264</v>
      </c>
    </row>
    <row r="64" spans="2:9" ht="14.25" hidden="1" thickBot="1">
      <c r="B64" s="2262" t="s">
        <v>187</v>
      </c>
      <c r="C64" s="2263">
        <f>IM!C7</f>
        <v>142.943214904</v>
      </c>
      <c r="D64" s="2264" t="s">
        <v>1516</v>
      </c>
      <c r="E64" s="2265">
        <v>0</v>
      </c>
      <c r="F64" s="2266" t="s">
        <v>1517</v>
      </c>
    </row>
    <row r="67" spans="2:13">
      <c r="D67" s="2251">
        <v>14979.043749999999</v>
      </c>
    </row>
    <row r="68" spans="2:13">
      <c r="B68" s="2281" t="s">
        <v>619</v>
      </c>
      <c r="C68" s="2282" t="s">
        <v>1581</v>
      </c>
      <c r="D68" s="2282" t="s">
        <v>1582</v>
      </c>
      <c r="E68" s="2282" t="s">
        <v>236</v>
      </c>
      <c r="F68" s="2380" t="s">
        <v>668</v>
      </c>
    </row>
    <row r="69" spans="2:13">
      <c r="B69" s="2382" t="s">
        <v>73</v>
      </c>
      <c r="C69" s="2406">
        <f>'A&amp;R'!P68/1000</f>
        <v>60</v>
      </c>
      <c r="D69" s="2406">
        <f>'A&amp;R'!N68</f>
        <v>173.12381880702196</v>
      </c>
      <c r="E69" s="2403">
        <f>'A&amp;R'!Q68</f>
        <v>1.4999999999999999E-2</v>
      </c>
      <c r="F69" s="2381"/>
    </row>
    <row r="70" spans="2:13">
      <c r="B70" s="2382" t="s">
        <v>75</v>
      </c>
      <c r="C70" s="2406">
        <f>'A&amp;R'!P69/1000</f>
        <v>637.00073600459996</v>
      </c>
      <c r="D70" s="2406">
        <f>'A&amp;R'!N69</f>
        <v>1838</v>
      </c>
      <c r="E70" s="2403">
        <f>'A&amp;R'!Q69</f>
        <v>0.02</v>
      </c>
      <c r="F70" s="2381"/>
    </row>
    <row r="71" spans="2:13" ht="12.75" customHeight="1">
      <c r="B71" s="2382" t="s">
        <v>78</v>
      </c>
      <c r="C71" s="2406">
        <f>'A&amp;R'!P70/1000</f>
        <v>31.191548553000001</v>
      </c>
      <c r="D71" s="2406">
        <f>'A&amp;R'!N70</f>
        <v>90</v>
      </c>
      <c r="E71" s="2403">
        <f>'A&amp;R'!Q70</f>
        <v>0.02</v>
      </c>
      <c r="F71" s="2381"/>
    </row>
    <row r="72" spans="2:13">
      <c r="B72" s="2382" t="s">
        <v>80</v>
      </c>
      <c r="C72" s="2406">
        <f>'A&amp;R'!P71/1000</f>
        <v>0</v>
      </c>
      <c r="D72" s="2406">
        <f>'A&amp;R'!N71</f>
        <v>0</v>
      </c>
      <c r="E72" s="2403">
        <f>'A&amp;R'!Q71</f>
        <v>0.02</v>
      </c>
      <c r="F72" s="2381" t="s">
        <v>1583</v>
      </c>
    </row>
    <row r="73" spans="2:13">
      <c r="B73" s="2382" t="s">
        <v>83</v>
      </c>
      <c r="C73" s="2406">
        <f>'A&amp;R'!P72/1000</f>
        <v>742.28470000000004</v>
      </c>
      <c r="D73" s="2406">
        <f>'A&amp;R'!N72</f>
        <v>2141.7860317670779</v>
      </c>
      <c r="E73" s="2403">
        <f>'A&amp;R'!Q72</f>
        <v>-0.02</v>
      </c>
      <c r="F73" s="2402" t="s">
        <v>1584</v>
      </c>
    </row>
    <row r="74" spans="2:13">
      <c r="B74" s="2382" t="s">
        <v>1496</v>
      </c>
      <c r="C74" s="2406">
        <f>'A&amp;R'!P73/1000</f>
        <v>206.25172000000001</v>
      </c>
      <c r="D74" s="2406">
        <f>'A&amp;R'!N73</f>
        <v>595.11809003194378</v>
      </c>
      <c r="E74" s="2403">
        <f>'A&amp;R'!Q73</f>
        <v>0.02</v>
      </c>
      <c r="F74" s="2381" t="s">
        <v>1585</v>
      </c>
    </row>
    <row r="75" spans="2:13">
      <c r="B75" s="2382" t="s">
        <v>138</v>
      </c>
      <c r="C75" s="2406">
        <f>'A&amp;R'!P74/1000</f>
        <v>129.04410999999999</v>
      </c>
      <c r="D75" s="2406">
        <f>'A&amp;R'!N74</f>
        <v>372.34348529589016</v>
      </c>
      <c r="E75" s="2403">
        <f>'A&amp;R'!Q74</f>
        <v>0.02</v>
      </c>
      <c r="F75" s="2381" t="s">
        <v>1585</v>
      </c>
      <c r="J75" s="2232">
        <v>-12.815380950250001</v>
      </c>
      <c r="K75" s="2232">
        <v>0</v>
      </c>
      <c r="L75" s="2232">
        <v>0</v>
      </c>
      <c r="M75" s="2232">
        <v>0</v>
      </c>
    </row>
    <row r="76" spans="2:13">
      <c r="B76" s="2382" t="s">
        <v>1497</v>
      </c>
      <c r="C76" s="2406">
        <f>'A&amp;R'!P75/1000</f>
        <v>394.19421999999997</v>
      </c>
      <c r="D76" s="2406">
        <f>'A&amp;R'!N75</f>
        <v>1137.4068119675892</v>
      </c>
      <c r="E76" s="2403">
        <v>0</v>
      </c>
      <c r="F76" s="2402" t="s">
        <v>1586</v>
      </c>
    </row>
    <row r="77" spans="2:13" ht="12" customHeight="1">
      <c r="B77" s="2382" t="s">
        <v>99</v>
      </c>
      <c r="C77" s="2406">
        <f>'A&amp;R'!P77/1000</f>
        <v>22.335855935800002</v>
      </c>
      <c r="D77" s="2406">
        <f>'A&amp;R'!N77</f>
        <v>64.447811265486436</v>
      </c>
      <c r="E77" s="2403">
        <v>0</v>
      </c>
      <c r="F77" s="2381"/>
    </row>
    <row r="78" spans="2:13" ht="12" customHeight="1">
      <c r="B78" s="2382" t="s">
        <v>1588</v>
      </c>
      <c r="C78" s="2406">
        <f>'A&amp;R'!Y52/1000</f>
        <v>10.87337</v>
      </c>
      <c r="D78" s="2406" t="s">
        <v>1248</v>
      </c>
      <c r="E78" s="2401" t="s">
        <v>1248</v>
      </c>
      <c r="F78" s="2381" t="s">
        <v>1587</v>
      </c>
    </row>
    <row r="79" spans="2:13" ht="12" customHeight="1">
      <c r="B79" s="2390" t="s">
        <v>1456</v>
      </c>
      <c r="C79" s="2407">
        <f>SUM(C69:C78)</f>
        <v>2233.1762604933997</v>
      </c>
      <c r="D79" s="2407">
        <f>'A&amp;R'!N78</f>
        <v>6412.2260491350098</v>
      </c>
      <c r="E79" s="2404"/>
      <c r="F79" s="2405"/>
    </row>
    <row r="80" spans="2:13" ht="12.75" hidden="1" customHeight="1" thickBot="1">
      <c r="B80" s="2247"/>
      <c r="C80" s="2236"/>
      <c r="D80" s="2236"/>
      <c r="E80" s="2267"/>
      <c r="F80" s="2246"/>
    </row>
    <row r="83" spans="2:7" ht="12.75" thickBot="1"/>
    <row r="84" spans="2:7" ht="12.75" thickBot="1">
      <c r="B84" s="3080" t="s">
        <v>619</v>
      </c>
      <c r="C84" s="3081"/>
      <c r="D84" s="2233" t="s">
        <v>1581</v>
      </c>
      <c r="E84" s="2234" t="s">
        <v>668</v>
      </c>
    </row>
    <row r="85" spans="2:7" ht="24.75" thickBot="1">
      <c r="B85" s="2235" t="s">
        <v>1021</v>
      </c>
      <c r="C85" s="2237" t="s">
        <v>1589</v>
      </c>
      <c r="D85" s="2400">
        <f ca="1">SUM('IS(FY)'!N38:O38)/1000</f>
        <v>0</v>
      </c>
      <c r="E85" s="2246" t="s">
        <v>1593</v>
      </c>
    </row>
    <row r="86" spans="2:7" ht="24.75" thickBot="1">
      <c r="B86" s="2235" t="s">
        <v>1476</v>
      </c>
      <c r="C86" s="2237" t="s">
        <v>1560</v>
      </c>
      <c r="D86" s="2400">
        <f>'A&amp;R'!P32*'A&amp;R'!Q32/1000</f>
        <v>7640</v>
      </c>
      <c r="E86" s="2246" t="s">
        <v>1673</v>
      </c>
      <c r="F86" s="2251"/>
      <c r="G86" s="2252"/>
    </row>
    <row r="87" spans="2:7" ht="24.75" thickBot="1">
      <c r="B87" s="2235" t="s">
        <v>1476</v>
      </c>
      <c r="C87" s="2237" t="s">
        <v>1562</v>
      </c>
      <c r="D87" s="2400">
        <f>'A&amp;R'!P35*'A&amp;R'!Q35/1000</f>
        <v>2280</v>
      </c>
      <c r="E87" s="2246" t="s">
        <v>1594</v>
      </c>
      <c r="F87" s="2251"/>
      <c r="G87" s="2252"/>
    </row>
    <row r="88" spans="2:7" ht="12.75" thickBot="1">
      <c r="B88" s="2235" t="s">
        <v>1476</v>
      </c>
      <c r="C88" s="2237" t="s">
        <v>1592</v>
      </c>
      <c r="D88" s="2400">
        <f>'A&amp;R'!P38*'A&amp;R'!Q38*'A&amp;R'!O38/12/1000</f>
        <v>144.63753334348496</v>
      </c>
      <c r="E88" s="2246" t="s">
        <v>1595</v>
      </c>
      <c r="F88" s="2251"/>
      <c r="G88" s="2252"/>
    </row>
    <row r="89" spans="2:7">
      <c r="E89" s="2268"/>
    </row>
    <row r="91" spans="2:7" ht="12.75" thickBot="1"/>
    <row r="92" spans="2:7" ht="12.75" thickBot="1">
      <c r="B92" s="2233" t="s">
        <v>24</v>
      </c>
      <c r="C92" s="2233" t="s">
        <v>1513</v>
      </c>
      <c r="D92" s="2269" t="s">
        <v>842</v>
      </c>
    </row>
    <row r="93" spans="2:7" ht="12.75" thickBot="1">
      <c r="B93" s="2235" t="s">
        <v>148</v>
      </c>
      <c r="C93" s="2400">
        <f>'A&amp;R'!R82/1000</f>
        <v>666.54700000000014</v>
      </c>
      <c r="D93" s="2244" t="s">
        <v>1596</v>
      </c>
      <c r="F93" s="2245"/>
    </row>
    <row r="94" spans="2:7" ht="12.75" thickBot="1">
      <c r="B94" s="2235" t="s">
        <v>150</v>
      </c>
      <c r="C94" s="2400">
        <f>'A&amp;R'!R83/1000</f>
        <v>12</v>
      </c>
      <c r="D94" s="2244" t="s">
        <v>1640</v>
      </c>
      <c r="F94" s="2245"/>
    </row>
    <row r="95" spans="2:7" ht="12.75" thickBot="1">
      <c r="B95" s="2235" t="s">
        <v>152</v>
      </c>
      <c r="C95" s="2400">
        <f>'A&amp;R'!R84/1000</f>
        <v>26.034840871021778</v>
      </c>
      <c r="D95" s="2244" t="s">
        <v>1675</v>
      </c>
      <c r="F95" s="2245"/>
    </row>
    <row r="96" spans="2:7" ht="12.75" thickBot="1">
      <c r="B96" s="2235" t="s">
        <v>1514</v>
      </c>
      <c r="C96" s="2400">
        <f>'A&amp;R'!R80/1000</f>
        <v>24</v>
      </c>
      <c r="D96" s="2244" t="s">
        <v>1590</v>
      </c>
      <c r="F96" s="2245"/>
    </row>
    <row r="97" spans="1:24" ht="12.75" thickBot="1">
      <c r="B97" s="2235" t="s">
        <v>533</v>
      </c>
      <c r="C97" s="2400">
        <f>'A&amp;R'!R81/1000</f>
        <v>72</v>
      </c>
      <c r="D97" s="2244" t="s">
        <v>1591</v>
      </c>
    </row>
    <row r="98" spans="1:24" ht="12.75" thickBot="1">
      <c r="B98" s="2239" t="s">
        <v>1515</v>
      </c>
      <c r="C98" s="2409">
        <f>SUM(C93:C97)</f>
        <v>800.58184087102188</v>
      </c>
      <c r="D98" s="2249"/>
    </row>
    <row r="102" spans="1:24" ht="12.75" thickBot="1"/>
    <row r="103" spans="1:24" ht="12.75" thickBot="1">
      <c r="B103" s="2260" t="s">
        <v>1448</v>
      </c>
      <c r="C103" s="2270" t="s">
        <v>1458</v>
      </c>
      <c r="D103" s="2261" t="s">
        <v>1457</v>
      </c>
    </row>
    <row r="104" spans="1:24" ht="12.75" thickBot="1">
      <c r="B104" s="2271" t="s">
        <v>1498</v>
      </c>
      <c r="C104" s="2273">
        <f>'A&amp;R'!AJ54/1000</f>
        <v>18283.95353630856</v>
      </c>
      <c r="D104" s="2274" t="s">
        <v>1597</v>
      </c>
    </row>
    <row r="105" spans="1:24" ht="12.75" thickBot="1">
      <c r="B105" s="2271" t="s">
        <v>1499</v>
      </c>
      <c r="C105" s="2275">
        <f>'A&amp;R'!AJ55</f>
        <v>4.8918868912827713E-2</v>
      </c>
      <c r="D105" s="2272"/>
    </row>
    <row r="106" spans="1:24" ht="12.75" thickBot="1">
      <c r="B106" s="2271" t="s">
        <v>1500</v>
      </c>
      <c r="C106" s="2273">
        <f>'A&amp;R'!P31/1000</f>
        <v>2100</v>
      </c>
      <c r="D106" s="2272"/>
    </row>
    <row r="107" spans="1:24" ht="12.75" thickBot="1">
      <c r="B107" s="2276" t="s">
        <v>1501</v>
      </c>
      <c r="C107" s="2277">
        <f>'A&amp;R'!AJ57/1000</f>
        <v>375860.75822378765</v>
      </c>
      <c r="D107" s="2272" t="s">
        <v>1600</v>
      </c>
      <c r="E107" s="2251"/>
    </row>
    <row r="108" spans="1:24" ht="12.75" customHeight="1" thickBot="1">
      <c r="B108" s="2271" t="s">
        <v>1601</v>
      </c>
      <c r="C108" s="2273">
        <f>-('A&amp;R'!AJ62+'A&amp;R'!AJ63)/1000</f>
        <v>-3758.6075822378771</v>
      </c>
      <c r="D108" s="2244" t="s">
        <v>1598</v>
      </c>
      <c r="E108" s="2252"/>
      <c r="P108" s="2278"/>
      <c r="Q108" s="2278"/>
      <c r="R108" s="2278"/>
      <c r="S108" s="2278"/>
      <c r="T108" s="2278"/>
      <c r="W108" s="2278"/>
      <c r="X108" s="2278"/>
    </row>
    <row r="109" spans="1:24" ht="12.75" customHeight="1" thickBot="1">
      <c r="B109" s="2271" t="s">
        <v>1602</v>
      </c>
      <c r="C109" s="2273">
        <f>-'A&amp;R'!AJ64/1000</f>
        <v>-12480.322596232469</v>
      </c>
      <c r="D109" s="2244" t="s">
        <v>1599</v>
      </c>
      <c r="E109" s="2252"/>
      <c r="Q109" s="2278"/>
      <c r="R109" s="2278"/>
      <c r="S109" s="2278"/>
      <c r="T109" s="2278"/>
      <c r="W109" s="2278"/>
      <c r="X109" s="2278"/>
    </row>
    <row r="110" spans="1:24" ht="12.75" customHeight="1" thickBot="1">
      <c r="B110" s="2276" t="s">
        <v>1502</v>
      </c>
      <c r="C110" s="2277">
        <f>('A&amp;R'!AJ57-SUM('A&amp;R'!AJ62:AJ64))/1000</f>
        <v>359621.82804531732</v>
      </c>
      <c r="D110" s="2272"/>
      <c r="P110"/>
      <c r="Q110" s="2278"/>
      <c r="R110" s="2278"/>
      <c r="S110" s="2278"/>
      <c r="T110" s="2278"/>
      <c r="W110" s="2278"/>
      <c r="X110" s="2278"/>
    </row>
    <row r="111" spans="1:24" ht="12.75" customHeight="1">
      <c r="B111" s="2412"/>
      <c r="C111" s="2413"/>
      <c r="D111" s="2414"/>
      <c r="P111" s="2398"/>
      <c r="Q111" s="2278"/>
      <c r="R111" s="2278"/>
      <c r="S111" s="2278"/>
      <c r="T111" s="2278"/>
      <c r="W111" s="2278"/>
      <c r="X111" s="2278"/>
    </row>
    <row r="112" spans="1:24" ht="12.75" customHeight="1">
      <c r="A112" s="2232" t="s">
        <v>1538</v>
      </c>
      <c r="E112" s="2415">
        <f>D113+1</f>
        <v>46327</v>
      </c>
      <c r="F112" s="2415">
        <f t="shared" ref="F112:N112" si="2">E113+1</f>
        <v>46692</v>
      </c>
      <c r="G112" s="2415">
        <f t="shared" si="2"/>
        <v>47058</v>
      </c>
      <c r="H112" s="2415">
        <f t="shared" si="2"/>
        <v>47423</v>
      </c>
      <c r="I112" s="2415">
        <f t="shared" si="2"/>
        <v>47788</v>
      </c>
      <c r="J112" s="2415">
        <f t="shared" si="2"/>
        <v>48153</v>
      </c>
      <c r="K112" s="2415">
        <f t="shared" si="2"/>
        <v>48519</v>
      </c>
      <c r="L112" s="2415">
        <f t="shared" si="2"/>
        <v>48884</v>
      </c>
      <c r="M112" s="2415">
        <f t="shared" si="2"/>
        <v>49249</v>
      </c>
      <c r="N112" s="2415">
        <f t="shared" si="2"/>
        <v>49614</v>
      </c>
      <c r="P112" s="2398"/>
      <c r="Q112" s="2278"/>
      <c r="R112" s="2278"/>
      <c r="S112" s="2278"/>
      <c r="T112" s="2278"/>
      <c r="W112" s="2278"/>
      <c r="X112" s="2278"/>
    </row>
    <row r="113" spans="2:24" ht="12.75" customHeight="1">
      <c r="D113" s="2379">
        <f>'IS(FY)'!M6</f>
        <v>46326</v>
      </c>
      <c r="E113" s="2415">
        <f>EOMONTH(D113,12)</f>
        <v>46691</v>
      </c>
      <c r="F113" s="2415">
        <f t="shared" ref="F113:N113" si="3">EOMONTH(E113,12)</f>
        <v>47057</v>
      </c>
      <c r="G113" s="2415">
        <f t="shared" si="3"/>
        <v>47422</v>
      </c>
      <c r="H113" s="2415">
        <f t="shared" si="3"/>
        <v>47787</v>
      </c>
      <c r="I113" s="2415">
        <f t="shared" si="3"/>
        <v>48152</v>
      </c>
      <c r="J113" s="2415">
        <f t="shared" si="3"/>
        <v>48518</v>
      </c>
      <c r="K113" s="2415">
        <f t="shared" si="3"/>
        <v>48883</v>
      </c>
      <c r="L113" s="2415">
        <f t="shared" si="3"/>
        <v>49248</v>
      </c>
      <c r="M113" s="2415">
        <f t="shared" si="3"/>
        <v>49613</v>
      </c>
      <c r="N113" s="2415">
        <f t="shared" si="3"/>
        <v>49979</v>
      </c>
      <c r="P113" s="2398"/>
      <c r="Q113" s="2278"/>
      <c r="R113" s="2278"/>
      <c r="S113" s="2278"/>
      <c r="T113" s="2278"/>
      <c r="W113" s="2278"/>
      <c r="X113" s="2278"/>
    </row>
    <row r="114" spans="2:24" ht="12.75" customHeight="1">
      <c r="B114" s="3094" t="s">
        <v>1448</v>
      </c>
      <c r="C114" s="3098" t="s">
        <v>1459</v>
      </c>
      <c r="D114" s="2416" t="str">
        <f t="shared" ref="D114:N114" si="4">TEXT(D113,"yy.mm")</f>
        <v>26.10</v>
      </c>
      <c r="E114" s="2416" t="str">
        <f t="shared" si="4"/>
        <v>27.10</v>
      </c>
      <c r="F114" s="2416" t="str">
        <f t="shared" si="4"/>
        <v>28.10</v>
      </c>
      <c r="G114" s="2416" t="str">
        <f t="shared" si="4"/>
        <v>29.10</v>
      </c>
      <c r="H114" s="2416" t="str">
        <f t="shared" si="4"/>
        <v>30.10</v>
      </c>
      <c r="I114" s="2416" t="str">
        <f t="shared" si="4"/>
        <v>31.10</v>
      </c>
      <c r="J114" s="2416" t="str">
        <f t="shared" si="4"/>
        <v>32.10</v>
      </c>
      <c r="K114" s="2416" t="str">
        <f t="shared" si="4"/>
        <v>33.10</v>
      </c>
      <c r="L114" s="2416" t="str">
        <f t="shared" si="4"/>
        <v>34.10</v>
      </c>
      <c r="M114" s="2416" t="str">
        <f t="shared" si="4"/>
        <v>35.10</v>
      </c>
      <c r="N114" s="2417" t="str">
        <f t="shared" si="4"/>
        <v>36.10</v>
      </c>
      <c r="P114" s="2398"/>
      <c r="Q114" s="2278"/>
      <c r="R114" s="2278"/>
      <c r="S114" s="2278"/>
      <c r="T114" s="2278"/>
      <c r="W114" s="2278"/>
      <c r="X114" s="2278"/>
    </row>
    <row r="115" spans="2:24" ht="12.75" customHeight="1" thickBot="1">
      <c r="B115" s="3095"/>
      <c r="C115" s="3099"/>
      <c r="D115" s="2285" t="s">
        <v>1460</v>
      </c>
      <c r="E115" s="2285">
        <v>1</v>
      </c>
      <c r="F115" s="2285">
        <f t="shared" ref="F115:N115" si="5">E115+1</f>
        <v>2</v>
      </c>
      <c r="G115" s="2285">
        <f t="shared" si="5"/>
        <v>3</v>
      </c>
      <c r="H115" s="2285">
        <f t="shared" si="5"/>
        <v>4</v>
      </c>
      <c r="I115" s="2285">
        <f t="shared" si="5"/>
        <v>5</v>
      </c>
      <c r="J115" s="2285">
        <f t="shared" si="5"/>
        <v>6</v>
      </c>
      <c r="K115" s="2285">
        <f t="shared" si="5"/>
        <v>7</v>
      </c>
      <c r="L115" s="2285">
        <f t="shared" si="5"/>
        <v>8</v>
      </c>
      <c r="M115" s="2285">
        <f t="shared" si="5"/>
        <v>9</v>
      </c>
      <c r="N115" s="2286">
        <f t="shared" si="5"/>
        <v>10</v>
      </c>
      <c r="P115" s="2398"/>
      <c r="Q115" s="2278"/>
      <c r="R115" s="2278"/>
      <c r="S115" s="2278"/>
      <c r="T115" s="2278"/>
      <c r="W115" s="2278"/>
      <c r="X115" s="2278"/>
    </row>
    <row r="116" spans="2:24" ht="12.75" customHeight="1" thickBot="1">
      <c r="B116" s="2287" t="s">
        <v>1503</v>
      </c>
      <c r="C116" s="2302">
        <f t="shared" ref="C116:C135" si="6">SUM(D116:N116)</f>
        <v>173411.61493373633</v>
      </c>
      <c r="D116" s="2302">
        <f t="shared" ref="D116:N116" si="7">SUM(D117:D119)</f>
        <v>0</v>
      </c>
      <c r="E116" s="2302">
        <f t="shared" si="7"/>
        <v>15337.100219276344</v>
      </c>
      <c r="F116" s="2302">
        <f t="shared" si="7"/>
        <v>15682.85940838565</v>
      </c>
      <c r="G116" s="2302">
        <f t="shared" si="7"/>
        <v>11366.672111531518</v>
      </c>
      <c r="H116" s="2302">
        <f t="shared" si="7"/>
        <v>17482.77127927</v>
      </c>
      <c r="I116" s="2302">
        <f t="shared" si="7"/>
        <v>17924.190017740351</v>
      </c>
      <c r="J116" s="2302">
        <f t="shared" si="7"/>
        <v>18366.754183811259</v>
      </c>
      <c r="K116" s="2302">
        <f t="shared" si="7"/>
        <v>18820.382454033945</v>
      </c>
      <c r="L116" s="2302">
        <f t="shared" si="7"/>
        <v>19064.401477767031</v>
      </c>
      <c r="M116" s="2302">
        <f t="shared" si="7"/>
        <v>19442.248085734569</v>
      </c>
      <c r="N116" s="2303">
        <f t="shared" si="7"/>
        <v>19924.235696185679</v>
      </c>
      <c r="P116" s="2398"/>
      <c r="Q116" s="2278"/>
      <c r="R116" s="2278"/>
      <c r="S116" s="2278"/>
      <c r="T116" s="2278"/>
      <c r="W116" s="2278"/>
      <c r="X116" s="2278"/>
    </row>
    <row r="117" spans="2:24" ht="12.75" customHeight="1">
      <c r="B117" s="2290" t="s">
        <v>655</v>
      </c>
      <c r="C117" s="2291">
        <f t="shared" si="6"/>
        <v>163345.51848045687</v>
      </c>
      <c r="D117" s="2291">
        <f>'IS(FY)'!M13/1000</f>
        <v>0</v>
      </c>
      <c r="E117" s="2291">
        <f>SUM('IS(FY)'!N13:O13)/1000</f>
        <v>14414.80211658125</v>
      </c>
      <c r="F117" s="2291">
        <f>SUM('IS(FY)'!P13:Q13)/1000</f>
        <v>14743.044437495779</v>
      </c>
      <c r="G117" s="2291">
        <f>SUM('IS(FY)'!R13:S13)/1000</f>
        <v>10408.902350741999</v>
      </c>
      <c r="H117" s="2291">
        <f>SUM('IS(FY)'!T13:U13)/1000</f>
        <v>16506.597858833346</v>
      </c>
      <c r="I117" s="2291">
        <f>SUM('IS(FY)'!V13:W13)/1000</f>
        <v>16929.15284616538</v>
      </c>
      <c r="J117" s="2291">
        <f>SUM('IS(FY)'!X13:Y13)/1000</f>
        <v>17352.381667319514</v>
      </c>
      <c r="K117" s="2291">
        <f>SUM('IS(FY)'!Z13:AA13)/1000</f>
        <v>17786.191209002503</v>
      </c>
      <c r="L117" s="2291">
        <f>SUM('IS(FY)'!AB13:AC13)/1000</f>
        <v>18009.907148620186</v>
      </c>
      <c r="M117" s="2291">
        <f>SUM('IS(FY)'!AD13:AE13)/1000</f>
        <v>18366.946594082259</v>
      </c>
      <c r="N117" s="2292">
        <f>SUM('IS(FY)'!AF13:AG13)/1000</f>
        <v>18827.592251614664</v>
      </c>
      <c r="P117" s="2398"/>
      <c r="Q117" s="2278"/>
      <c r="R117" s="2278"/>
      <c r="S117" s="2278"/>
      <c r="T117" s="2278"/>
      <c r="W117" s="2278"/>
      <c r="X117" s="2278"/>
    </row>
    <row r="118" spans="2:24" ht="12.75" customHeight="1">
      <c r="B118" s="2293" t="s">
        <v>64</v>
      </c>
      <c r="C118" s="2294">
        <f t="shared" si="6"/>
        <v>8636.6643042394644</v>
      </c>
      <c r="D118" s="2294">
        <f>'IS(FY)'!M14/1000</f>
        <v>0</v>
      </c>
      <c r="E118" s="2294">
        <f>SUM('IS(FY)'!N14:O14)/1000</f>
        <v>779.3548877910938</v>
      </c>
      <c r="F118" s="2294">
        <f>SUM('IS(FY)'!P14:Q14)/1000</f>
        <v>796.871755985871</v>
      </c>
      <c r="G118" s="2294">
        <f>SUM('IS(FY)'!R14:S14)/1000</f>
        <v>814.82654588551782</v>
      </c>
      <c r="H118" s="2294">
        <f>SUM('IS(FY)'!T14:U14)/1000</f>
        <v>833.23020553265565</v>
      </c>
      <c r="I118" s="2294">
        <f>SUM('IS(FY)'!V14:W14)/1000</f>
        <v>852.09395667097203</v>
      </c>
      <c r="J118" s="2294">
        <f>SUM('IS(FY)'!X14:Y14)/1000</f>
        <v>871.42930158774629</v>
      </c>
      <c r="K118" s="2294">
        <f>SUM('IS(FY)'!Z14:AA14)/1000</f>
        <v>891.24803012743985</v>
      </c>
      <c r="L118" s="2294">
        <f>SUM('IS(FY)'!AB14:AC14)/1000</f>
        <v>911.55111424284314</v>
      </c>
      <c r="M118" s="2294">
        <f>SUM('IS(FY)'!AD14:AE14)/1000</f>
        <v>932.35827674830819</v>
      </c>
      <c r="N118" s="2295">
        <f>SUM('IS(FY)'!AF14:AG14)/1000</f>
        <v>953.70022966701606</v>
      </c>
      <c r="P118" s="2398"/>
      <c r="Q118" s="2278"/>
      <c r="R118" s="2278"/>
      <c r="S118" s="2278"/>
      <c r="T118" s="2278"/>
      <c r="W118" s="2278"/>
      <c r="X118" s="2278"/>
    </row>
    <row r="119" spans="2:24" ht="12.75" customHeight="1" thickBot="1">
      <c r="B119" s="2296" t="s">
        <v>1672</v>
      </c>
      <c r="C119" s="2297">
        <f t="shared" si="6"/>
        <v>1429.4321490399998</v>
      </c>
      <c r="D119" s="2297">
        <f>'IS(FY)'!M15/1000</f>
        <v>0</v>
      </c>
      <c r="E119" s="2297">
        <f>SUM('IS(FY)'!N15:O15)/1000</f>
        <v>142.943214904</v>
      </c>
      <c r="F119" s="2297">
        <f>SUM('IS(FY)'!P15:Q15)/1000</f>
        <v>142.943214904</v>
      </c>
      <c r="G119" s="2297">
        <f>SUM('IS(FY)'!R15:S15)/1000</f>
        <v>142.943214904</v>
      </c>
      <c r="H119" s="2297">
        <f>SUM('IS(FY)'!T15:U15)/1000</f>
        <v>142.943214904</v>
      </c>
      <c r="I119" s="2297">
        <f>SUM('IS(FY)'!V15:W15)/1000</f>
        <v>142.943214904</v>
      </c>
      <c r="J119" s="2297">
        <f>SUM('IS(FY)'!X15:Y15)/1000</f>
        <v>142.943214904</v>
      </c>
      <c r="K119" s="2297">
        <f>SUM('IS(FY)'!Z15:AA15)/1000</f>
        <v>142.943214904</v>
      </c>
      <c r="L119" s="2297">
        <f>SUM('IS(FY)'!AB15:AC15)/1000</f>
        <v>142.943214904</v>
      </c>
      <c r="M119" s="2297">
        <f>SUM('IS(FY)'!AD15:AE15)/1000</f>
        <v>142.943214904</v>
      </c>
      <c r="N119" s="2298">
        <f>SUM('IS(FY)'!AF15:AG15)/1000</f>
        <v>142.943214904</v>
      </c>
      <c r="P119" s="2398"/>
      <c r="Q119" s="2278"/>
      <c r="R119" s="2278"/>
      <c r="S119" s="2278"/>
      <c r="T119" s="2278"/>
      <c r="W119" s="2278"/>
      <c r="X119" s="2278"/>
    </row>
    <row r="120" spans="2:24" ht="12.75" customHeight="1" thickBot="1">
      <c r="B120" s="2287" t="s">
        <v>1211</v>
      </c>
      <c r="C120" s="2302">
        <f t="shared" si="6"/>
        <v>23206.747133190529</v>
      </c>
      <c r="D120" s="2302">
        <f t="shared" ref="D120:N120" si="8">SUM(D121:D129)</f>
        <v>0</v>
      </c>
      <c r="E120" s="2302">
        <f t="shared" si="8"/>
        <v>2231.7352375297996</v>
      </c>
      <c r="F120" s="2302">
        <f t="shared" si="8"/>
        <v>2221.0730225209518</v>
      </c>
      <c r="G120" s="2302">
        <f t="shared" si="8"/>
        <v>2290.4830728595962</v>
      </c>
      <c r="H120" s="2302">
        <f t="shared" si="8"/>
        <v>2267.6533000131235</v>
      </c>
      <c r="I120" s="2302">
        <f t="shared" si="8"/>
        <v>2226.5136536508744</v>
      </c>
      <c r="J120" s="2302">
        <f t="shared" si="8"/>
        <v>2229.9338001252654</v>
      </c>
      <c r="K120" s="2302">
        <f t="shared" si="8"/>
        <v>2234.1601126608634</v>
      </c>
      <c r="L120" s="2302">
        <f t="shared" si="8"/>
        <v>2916.7330396408911</v>
      </c>
      <c r="M120" s="2302">
        <f t="shared" si="8"/>
        <v>2336.7625702514897</v>
      </c>
      <c r="N120" s="2303">
        <f t="shared" si="8"/>
        <v>2251.6993239376752</v>
      </c>
      <c r="P120" s="2398"/>
      <c r="Q120" s="2278"/>
      <c r="R120" s="2278"/>
      <c r="S120" s="2278"/>
      <c r="T120" s="2278"/>
      <c r="W120" s="2278"/>
      <c r="X120" s="2278"/>
    </row>
    <row r="121" spans="2:24" ht="12.75" customHeight="1">
      <c r="B121" s="2290" t="s">
        <v>73</v>
      </c>
      <c r="C121" s="2291">
        <f t="shared" si="6"/>
        <v>642.16330010060005</v>
      </c>
      <c r="D121" s="2291">
        <f>'IS(FY)'!M21/1000</f>
        <v>0</v>
      </c>
      <c r="E121" s="2291">
        <f>SUM('IS(FY)'!N21:O21)/1000</f>
        <v>60</v>
      </c>
      <c r="F121" s="2291">
        <f>SUM('IS(FY)'!P21:Q21)/1000</f>
        <v>60.899999999999991</v>
      </c>
      <c r="G121" s="2291">
        <f>SUM('IS(FY)'!R21:S21)/1000</f>
        <v>61.813499999999983</v>
      </c>
      <c r="H121" s="2291">
        <f>SUM('IS(FY)'!T21:U21)/1000</f>
        <v>62.740702499999976</v>
      </c>
      <c r="I121" s="2291">
        <f>SUM('IS(FY)'!V21:W21)/1000</f>
        <v>63.681813037499964</v>
      </c>
      <c r="J121" s="2291">
        <f>SUM('IS(FY)'!X21:Y21)/1000</f>
        <v>64.63704023306245</v>
      </c>
      <c r="K121" s="2291">
        <f>SUM('IS(FY)'!Z21:AA21)/1000</f>
        <v>65.606595836558384</v>
      </c>
      <c r="L121" s="2291">
        <f>SUM('IS(FY)'!AB21:AC21)/1000</f>
        <v>66.590694774106737</v>
      </c>
      <c r="M121" s="2291">
        <f>SUM('IS(FY)'!AD21:AE21)/1000</f>
        <v>67.589555195718347</v>
      </c>
      <c r="N121" s="2292">
        <f>SUM('IS(FY)'!AF21:AG21)/1000</f>
        <v>68.603398523654107</v>
      </c>
      <c r="P121" s="2398"/>
      <c r="Q121" s="2278"/>
      <c r="R121" s="2278"/>
      <c r="S121" s="2278"/>
      <c r="T121" s="2278"/>
      <c r="W121" s="2278"/>
      <c r="X121" s="2278"/>
    </row>
    <row r="122" spans="2:24" ht="12.75" customHeight="1">
      <c r="B122" s="2293" t="s">
        <v>75</v>
      </c>
      <c r="C122" s="2294">
        <f t="shared" si="6"/>
        <v>6974.9803358780382</v>
      </c>
      <c r="D122" s="2294">
        <f>'IS(FY)'!M22/1000</f>
        <v>0</v>
      </c>
      <c r="E122" s="2294">
        <f>SUM('IS(FY)'!N22:O22)/1000</f>
        <v>637.00073600459996</v>
      </c>
      <c r="F122" s="2294">
        <f>SUM('IS(FY)'!P22:Q22)/1000</f>
        <v>649.74075072469191</v>
      </c>
      <c r="G122" s="2294">
        <f>SUM('IS(FY)'!R22:S22)/1000</f>
        <v>662.73556573918574</v>
      </c>
      <c r="H122" s="2294">
        <f>SUM('IS(FY)'!T22:U22)/1000</f>
        <v>675.99027705396941</v>
      </c>
      <c r="I122" s="2294">
        <f>SUM('IS(FY)'!V22:W22)/1000</f>
        <v>689.51008259504874</v>
      </c>
      <c r="J122" s="2294">
        <f>SUM('IS(FY)'!X22:Y22)/1000</f>
        <v>703.30028424694979</v>
      </c>
      <c r="K122" s="2294">
        <f>SUM('IS(FY)'!Z22:AA22)/1000</f>
        <v>717.36628993188879</v>
      </c>
      <c r="L122" s="2294">
        <f>SUM('IS(FY)'!AB22:AC22)/1000</f>
        <v>731.71361573052661</v>
      </c>
      <c r="M122" s="2294">
        <f>SUM('IS(FY)'!AD22:AE22)/1000</f>
        <v>746.34788804513721</v>
      </c>
      <c r="N122" s="2295">
        <f>SUM('IS(FY)'!AF22:AG22)/1000</f>
        <v>761.27484580603971</v>
      </c>
      <c r="P122" s="2398"/>
      <c r="Q122" s="2278"/>
      <c r="R122" s="2278"/>
      <c r="S122" s="2278"/>
      <c r="T122" s="2278"/>
      <c r="W122" s="2278"/>
      <c r="X122" s="2278"/>
    </row>
    <row r="123" spans="2:24" ht="12.75" hidden="1" customHeight="1">
      <c r="B123" s="2293" t="s">
        <v>80</v>
      </c>
      <c r="C123" s="2294">
        <f t="shared" si="6"/>
        <v>0</v>
      </c>
      <c r="D123" s="2294">
        <f>'IS(FY)'!M24/1000</f>
        <v>0</v>
      </c>
      <c r="E123" s="2294">
        <f>SUM('IS(FY)'!N24:O24)/1000</f>
        <v>0</v>
      </c>
      <c r="F123" s="2294">
        <f>SUM('IS(FY)'!P24:Q24)/1000</f>
        <v>0</v>
      </c>
      <c r="G123" s="2294">
        <f>SUM('IS(FY)'!R24:S24)/1000</f>
        <v>0</v>
      </c>
      <c r="H123" s="2294">
        <f>SUM('IS(FY)'!T24:U24)/1000</f>
        <v>0</v>
      </c>
      <c r="I123" s="2294">
        <f>SUM('IS(FY)'!V24:W24)/1000</f>
        <v>0</v>
      </c>
      <c r="J123" s="2294">
        <f>SUM('IS(FY)'!X24:Y24)/1000</f>
        <v>0</v>
      </c>
      <c r="K123" s="2294">
        <f>SUM('IS(FY)'!Z24:AA24)/1000</f>
        <v>0</v>
      </c>
      <c r="L123" s="2294">
        <f>SUM('IS(FY)'!AB24:AC24)/1000</f>
        <v>0</v>
      </c>
      <c r="M123" s="2294">
        <f>SUM('IS(FY)'!AD24:AE24)/1000</f>
        <v>0</v>
      </c>
      <c r="N123" s="2295">
        <f>SUM('IS(FY)'!AF24:AG24)/1000</f>
        <v>0</v>
      </c>
      <c r="P123" s="2398"/>
      <c r="Q123" s="2278"/>
      <c r="R123" s="2278"/>
      <c r="S123" s="2278"/>
      <c r="T123" s="2278"/>
      <c r="W123" s="2278"/>
      <c r="X123" s="2278"/>
    </row>
    <row r="124" spans="2:24" ht="12.75" customHeight="1">
      <c r="B124" s="2293" t="s">
        <v>83</v>
      </c>
      <c r="C124" s="2294">
        <f t="shared" si="6"/>
        <v>6789.2028330659659</v>
      </c>
      <c r="D124" s="2294">
        <f>'IS(FY)'!M25/1000</f>
        <v>0</v>
      </c>
      <c r="E124" s="2294">
        <f>SUM('IS(FY)'!N25:O25)/1000</f>
        <v>742.28470000000004</v>
      </c>
      <c r="F124" s="2294">
        <f>SUM('IS(FY)'!P25:Q25)/1000</f>
        <v>727.43900600000006</v>
      </c>
      <c r="G124" s="2294">
        <f>SUM('IS(FY)'!R25:S25)/1000</f>
        <v>712.89022588</v>
      </c>
      <c r="H124" s="2294">
        <f>SUM('IS(FY)'!T25:U25)/1000</f>
        <v>698.63242136240001</v>
      </c>
      <c r="I124" s="2294">
        <f>SUM('IS(FY)'!V25:W25)/1000</f>
        <v>684.65977293515198</v>
      </c>
      <c r="J124" s="2294">
        <f>SUM('IS(FY)'!X25:Y25)/1000</f>
        <v>670.96657747644895</v>
      </c>
      <c r="K124" s="2294">
        <f>SUM('IS(FY)'!Z25:AA25)/1000</f>
        <v>657.54724592692003</v>
      </c>
      <c r="L124" s="2294">
        <f>SUM('IS(FY)'!AB25:AC25)/1000</f>
        <v>644.39630100838167</v>
      </c>
      <c r="M124" s="2294">
        <f>SUM('IS(FY)'!AD25:AE25)/1000</f>
        <v>631.50837498821386</v>
      </c>
      <c r="N124" s="2295">
        <f>SUM('IS(FY)'!AF25:AG25)/1000</f>
        <v>618.87820748844968</v>
      </c>
      <c r="P124" s="2398"/>
      <c r="Q124" s="2278"/>
      <c r="R124" s="2278"/>
      <c r="S124" s="2278"/>
      <c r="T124" s="2278"/>
      <c r="W124" s="2278"/>
      <c r="X124" s="2278"/>
    </row>
    <row r="125" spans="2:24" ht="12.75" customHeight="1">
      <c r="B125" s="2293" t="s">
        <v>78</v>
      </c>
      <c r="C125" s="2294">
        <f t="shared" si="6"/>
        <v>341.53875420512702</v>
      </c>
      <c r="D125" s="2294">
        <f>'IS(FY)'!M23/1000</f>
        <v>0</v>
      </c>
      <c r="E125" s="2294">
        <f>SUM('IS(FY)'!N23:O23)/1000</f>
        <v>31.191548552999997</v>
      </c>
      <c r="F125" s="2294">
        <f>SUM('IS(FY)'!P23:Q23)/1000</f>
        <v>31.815379524059995</v>
      </c>
      <c r="G125" s="2294">
        <f>SUM('IS(FY)'!R23:S23)/1000</f>
        <v>32.451687114541194</v>
      </c>
      <c r="H125" s="2294">
        <f>SUM('IS(FY)'!T23:U23)/1000</f>
        <v>33.100720856832019</v>
      </c>
      <c r="I125" s="2294">
        <f>SUM('IS(FY)'!V23:W23)/1000</f>
        <v>33.762735273968659</v>
      </c>
      <c r="J125" s="2294">
        <f>SUM('IS(FY)'!X23:Y23)/1000</f>
        <v>34.437989979448034</v>
      </c>
      <c r="K125" s="2294">
        <f>SUM('IS(FY)'!Z23:AA23)/1000</f>
        <v>35.126749779036999</v>
      </c>
      <c r="L125" s="2294">
        <f>SUM('IS(FY)'!AB23:AC23)/1000</f>
        <v>35.829284774617733</v>
      </c>
      <c r="M125" s="2294">
        <f>SUM('IS(FY)'!AD23:AE23)/1000</f>
        <v>36.545870470110088</v>
      </c>
      <c r="N125" s="2295">
        <f>SUM('IS(FY)'!AF23:AG23)/1000</f>
        <v>37.276787879512291</v>
      </c>
      <c r="P125" s="2398"/>
      <c r="Q125" s="2278"/>
      <c r="R125" s="2278"/>
      <c r="S125" s="2278"/>
      <c r="T125" s="2278"/>
      <c r="W125" s="2278"/>
      <c r="X125" s="2278"/>
    </row>
    <row r="126" spans="2:24" ht="12.75" customHeight="1">
      <c r="B126" s="2293" t="s">
        <v>1539</v>
      </c>
      <c r="C126" s="2294">
        <f t="shared" si="6"/>
        <v>208.94832972200001</v>
      </c>
      <c r="D126" s="2294">
        <f>'IS(FY)'!M30/1000</f>
        <v>0</v>
      </c>
      <c r="E126" s="2294">
        <f>SUM('IS(FY)'!N30:O30)/1000</f>
        <v>20.894832972200003</v>
      </c>
      <c r="F126" s="2294">
        <f>SUM('IS(FY)'!P30:Q30)/1000</f>
        <v>20.894832972200003</v>
      </c>
      <c r="G126" s="2294">
        <f>SUM('IS(FY)'!R30:S30)/1000</f>
        <v>20.894832972200003</v>
      </c>
      <c r="H126" s="2294">
        <f>SUM('IS(FY)'!T30:U30)/1000</f>
        <v>20.894832972200003</v>
      </c>
      <c r="I126" s="2294">
        <f>SUM('IS(FY)'!V30:W30)/1000</f>
        <v>20.894832972200003</v>
      </c>
      <c r="J126" s="2294">
        <f>SUM('IS(FY)'!X30:Y30)/1000</f>
        <v>20.894832972200003</v>
      </c>
      <c r="K126" s="2294">
        <f>SUM('IS(FY)'!Z30:AA30)/1000</f>
        <v>20.894832972200003</v>
      </c>
      <c r="L126" s="2294">
        <f>SUM('IS(FY)'!AB30:AC30)/1000</f>
        <v>20.894832972200003</v>
      </c>
      <c r="M126" s="2294">
        <f>SUM('IS(FY)'!AD30:AE30)/1000</f>
        <v>20.894832972200003</v>
      </c>
      <c r="N126" s="2295">
        <f>SUM('IS(FY)'!AF30:AG30)/1000</f>
        <v>20.894832972200003</v>
      </c>
      <c r="P126" s="2398"/>
      <c r="Q126" s="2278"/>
      <c r="R126" s="2278"/>
      <c r="S126" s="2278"/>
      <c r="T126" s="2278"/>
      <c r="W126" s="2278"/>
      <c r="X126" s="2278"/>
    </row>
    <row r="127" spans="2:24" ht="12.75" customHeight="1">
      <c r="B127" s="2293" t="s">
        <v>658</v>
      </c>
      <c r="C127" s="2294">
        <f t="shared" si="6"/>
        <v>7357.625717769005</v>
      </c>
      <c r="D127" s="2294">
        <f>SUM('IS(FY)'!M26:M29)/1000</f>
        <v>0</v>
      </c>
      <c r="E127" s="2294">
        <f>SUM('IS(FY)'!N26:O29)/1000</f>
        <v>729.49005</v>
      </c>
      <c r="F127" s="2294">
        <f>SUM('IS(FY)'!P26:Q29)/1000</f>
        <v>730.28305330000001</v>
      </c>
      <c r="G127" s="2294">
        <f>SUM('IS(FY)'!R26:S29)/1000</f>
        <v>731.2988686315</v>
      </c>
      <c r="H127" s="2294">
        <f>SUM('IS(FY)'!T26:U29)/1000</f>
        <v>732.5388479556475</v>
      </c>
      <c r="I127" s="2294">
        <f>SUM('IS(FY)'!V26:W29)/1000</f>
        <v>734.00441683700512</v>
      </c>
      <c r="J127" s="2294">
        <f>SUM('IS(FY)'!X26:Y29)/1000</f>
        <v>735.69707521715645</v>
      </c>
      <c r="K127" s="2294">
        <f>SUM('IS(FY)'!Z26:AA29)/1000</f>
        <v>737.6183982142594</v>
      </c>
      <c r="L127" s="2294">
        <f>SUM('IS(FY)'!AB26:AC29)/1000</f>
        <v>739.770036948913</v>
      </c>
      <c r="M127" s="2294">
        <f>SUM('IS(FY)'!AD26:AE29)/1000</f>
        <v>742.15371939670433</v>
      </c>
      <c r="N127" s="2295">
        <f>SUM('IS(FY)'!AF26:AG29)/1000</f>
        <v>744.77125126781925</v>
      </c>
      <c r="P127" s="2398"/>
      <c r="Q127" s="2278"/>
      <c r="R127" s="2278"/>
      <c r="S127" s="2278"/>
      <c r="T127" s="2278"/>
      <c r="W127" s="2278"/>
      <c r="X127" s="2278"/>
    </row>
    <row r="128" spans="2:24" ht="12.75" customHeight="1" thickBot="1">
      <c r="B128" s="2293" t="s">
        <v>468</v>
      </c>
      <c r="C128" s="2294">
        <f t="shared" si="6"/>
        <v>892.28786244979403</v>
      </c>
      <c r="D128" s="2294">
        <f>'IS(FY)'!M31/1000</f>
        <v>0</v>
      </c>
      <c r="E128" s="2294">
        <f>SUM('IS(FY)'!N31:O31)/1000</f>
        <v>10.87337</v>
      </c>
      <c r="F128" s="2294">
        <f>SUM('IS(FY)'!P31:Q31)/1000</f>
        <v>0</v>
      </c>
      <c r="G128" s="2294">
        <f>SUM('IS(FY)'!R31:S31)/1000</f>
        <v>68.398392522169118</v>
      </c>
      <c r="H128" s="2294">
        <f>SUM('IS(FY)'!T31:U31)/1000</f>
        <v>43.755497312074368</v>
      </c>
      <c r="I128" s="2294">
        <f>SUM('IS(FY)'!V31:W31)/1000</f>
        <v>0</v>
      </c>
      <c r="J128" s="2294">
        <f>SUM('IS(FY)'!X31:Y31)/1000</f>
        <v>0</v>
      </c>
      <c r="K128" s="2294">
        <f>SUM('IS(FY)'!Z31:AA31)/1000</f>
        <v>0</v>
      </c>
      <c r="L128" s="2294">
        <f>SUM('IS(FY)'!AB31:AC31)/1000</f>
        <v>677.53827343214505</v>
      </c>
      <c r="M128" s="2294">
        <f>SUM('IS(FY)'!AD31:AE31)/1000</f>
        <v>91.722329183405492</v>
      </c>
      <c r="N128" s="2295">
        <f>SUM('IS(FY)'!AF31:AG31)/1000</f>
        <v>0</v>
      </c>
      <c r="P128" s="2398"/>
      <c r="Q128" s="2278"/>
      <c r="R128" s="2278"/>
      <c r="S128" s="2278"/>
      <c r="T128" s="2278"/>
      <c r="W128" s="2278"/>
      <c r="X128" s="2278"/>
    </row>
    <row r="129" spans="2:24" ht="12.75" hidden="1" customHeight="1" thickBot="1">
      <c r="B129" s="2296" t="s">
        <v>462</v>
      </c>
      <c r="C129" s="2297">
        <f t="shared" si="6"/>
        <v>0</v>
      </c>
      <c r="D129" s="2297">
        <v>0</v>
      </c>
      <c r="E129" s="2297">
        <v>0</v>
      </c>
      <c r="F129" s="2297">
        <v>0</v>
      </c>
      <c r="G129" s="2297">
        <v>0</v>
      </c>
      <c r="H129" s="2297">
        <v>0</v>
      </c>
      <c r="I129" s="2297">
        <v>0</v>
      </c>
      <c r="J129" s="2297">
        <v>0</v>
      </c>
      <c r="K129" s="2297">
        <v>0</v>
      </c>
      <c r="L129" s="2297">
        <v>0</v>
      </c>
      <c r="M129" s="2297">
        <v>0</v>
      </c>
      <c r="N129" s="2298">
        <v>0</v>
      </c>
      <c r="P129" s="2398"/>
      <c r="Q129" s="2278"/>
      <c r="R129" s="2278"/>
      <c r="S129" s="2278"/>
      <c r="T129" s="2278"/>
      <c r="W129" s="2278"/>
      <c r="X129" s="2278"/>
    </row>
    <row r="130" spans="2:24" ht="12.75" customHeight="1" thickBot="1">
      <c r="B130" s="2287" t="s">
        <v>1475</v>
      </c>
      <c r="C130" s="2302">
        <f t="shared" si="6"/>
        <v>150204.86780054582</v>
      </c>
      <c r="D130" s="2302">
        <f t="shared" ref="D130:N130" si="9">D116-D120</f>
        <v>0</v>
      </c>
      <c r="E130" s="2302">
        <f t="shared" si="9"/>
        <v>13105.364981746545</v>
      </c>
      <c r="F130" s="2302">
        <f t="shared" si="9"/>
        <v>13461.786385864698</v>
      </c>
      <c r="G130" s="2302">
        <f t="shared" si="9"/>
        <v>9076.1890386719206</v>
      </c>
      <c r="H130" s="2302">
        <f t="shared" si="9"/>
        <v>15215.117979256876</v>
      </c>
      <c r="I130" s="2302">
        <f t="shared" si="9"/>
        <v>15697.676364089477</v>
      </c>
      <c r="J130" s="2302">
        <f t="shared" si="9"/>
        <v>16136.820383685994</v>
      </c>
      <c r="K130" s="2302">
        <f t="shared" si="9"/>
        <v>16586.222341373083</v>
      </c>
      <c r="L130" s="2302">
        <f t="shared" si="9"/>
        <v>16147.66843812614</v>
      </c>
      <c r="M130" s="2302">
        <f t="shared" si="9"/>
        <v>17105.48551548308</v>
      </c>
      <c r="N130" s="2303">
        <f t="shared" si="9"/>
        <v>17672.536372248003</v>
      </c>
      <c r="P130" s="2398"/>
      <c r="Q130" s="2278"/>
      <c r="R130" s="2278"/>
      <c r="S130" s="2278"/>
      <c r="T130" s="2278"/>
      <c r="W130" s="2278"/>
      <c r="X130" s="2278"/>
    </row>
    <row r="131" spans="2:24" ht="12.75" customHeight="1" thickBot="1">
      <c r="B131" s="2287" t="s">
        <v>1504</v>
      </c>
      <c r="C131" s="2302">
        <f t="shared" ca="1" si="6"/>
        <v>-27859.809488026163</v>
      </c>
      <c r="D131" s="2302">
        <f t="shared" ref="D131:N131" si="10">SUM(D132:D137)</f>
        <v>0</v>
      </c>
      <c r="E131" s="2302">
        <f t="shared" ca="1" si="10"/>
        <v>-13482.324533343484</v>
      </c>
      <c r="F131" s="2302">
        <f t="shared" ca="1" si="10"/>
        <v>-13337.687</v>
      </c>
      <c r="G131" s="2302">
        <f t="shared" ca="1" si="10"/>
        <v>-13641.687</v>
      </c>
      <c r="H131" s="2302">
        <f t="shared" ca="1" si="10"/>
        <v>-13641.687</v>
      </c>
      <c r="I131" s="2302">
        <f t="shared" ca="1" si="10"/>
        <v>-13641.687</v>
      </c>
      <c r="J131" s="2302">
        <f t="shared" ca="1" si="10"/>
        <v>-13002.687</v>
      </c>
      <c r="K131" s="2302">
        <f t="shared" ca="1" si="10"/>
        <v>-13002.687</v>
      </c>
      <c r="L131" s="2302">
        <f t="shared" ca="1" si="10"/>
        <v>-13002.687</v>
      </c>
      <c r="M131" s="2302">
        <f t="shared" ca="1" si="10"/>
        <v>-13002.687</v>
      </c>
      <c r="N131" s="2303">
        <f t="shared" ca="1" si="10"/>
        <v>91896.01104531734</v>
      </c>
      <c r="P131" s="2398"/>
      <c r="Q131" s="2278"/>
      <c r="R131" s="2278"/>
      <c r="S131" s="2278"/>
      <c r="T131" s="2278"/>
      <c r="W131" s="2278"/>
      <c r="X131" s="2278"/>
    </row>
    <row r="132" spans="2:24" ht="12.75" customHeight="1">
      <c r="B132" s="2290" t="s">
        <v>1021</v>
      </c>
      <c r="C132" s="2291">
        <f t="shared" ca="1" si="6"/>
        <v>0</v>
      </c>
      <c r="D132" s="2291">
        <f>'IS(FY)'!M38/1000</f>
        <v>0</v>
      </c>
      <c r="E132" s="2291">
        <f ca="1">SUM('IS(FY)'!N38:O38)/1000</f>
        <v>0</v>
      </c>
      <c r="F132" s="2291">
        <f ca="1">SUM('IS(FY)'!P38:Q38)/1000</f>
        <v>0</v>
      </c>
      <c r="G132" s="2291">
        <f ca="1">SUM('IS(FY)'!R38:S38)/1000</f>
        <v>0</v>
      </c>
      <c r="H132" s="2291">
        <f ca="1">SUM('IS(FY)'!T38:U38)/1000</f>
        <v>0</v>
      </c>
      <c r="I132" s="2291">
        <f ca="1">SUM('IS(FY)'!V38:W38)/1000</f>
        <v>0</v>
      </c>
      <c r="J132" s="2291">
        <f ca="1">SUM('IS(FY)'!X38:Y38)/1000</f>
        <v>0</v>
      </c>
      <c r="K132" s="2291">
        <f ca="1">SUM('IS(FY)'!Z38:AA38)/1000</f>
        <v>0</v>
      </c>
      <c r="L132" s="2291">
        <f ca="1">SUM('IS(FY)'!AB38:AC38)/1000</f>
        <v>0</v>
      </c>
      <c r="M132" s="2291">
        <f ca="1">SUM('IS(FY)'!AD38:AE38)/1000</f>
        <v>0</v>
      </c>
      <c r="N132" s="2292">
        <f ca="1">SUM('IS(FY)'!AF38:AG38)/1000</f>
        <v>0</v>
      </c>
      <c r="P132" s="2398"/>
      <c r="Q132" s="2278"/>
      <c r="R132" s="2278"/>
      <c r="S132" s="2278"/>
      <c r="T132" s="2278"/>
      <c r="W132" s="2278"/>
      <c r="X132" s="2278"/>
    </row>
    <row r="133" spans="2:24" ht="12.75" customHeight="1">
      <c r="B133" s="2293" t="s">
        <v>1606</v>
      </c>
      <c r="C133" s="2294">
        <f t="shared" si="6"/>
        <v>-93877</v>
      </c>
      <c r="D133" s="2294">
        <f>-('IS(FY)'!M41+'IS(FY)'!M42+'IS(FY)'!M43)/1000</f>
        <v>0</v>
      </c>
      <c r="E133" s="2294">
        <f>-(SUM('IS(FY)'!N41:O41)+SUM('IS(FY)'!N42:O42)+SUM('IS(FY)'!N43:O43))/1000</f>
        <v>-7639.9999999999991</v>
      </c>
      <c r="F133" s="2294">
        <f>-(SUM('IS(FY)'!P41:Q41)+SUM('IS(FY)'!P42:Q42)+SUM('IS(FY)'!P43:Q43))/1000</f>
        <v>-7639.9999999999991</v>
      </c>
      <c r="G133" s="2294">
        <f>-(SUM('IS(FY)'!R41:S41)+SUM('IS(FY)'!R42:S42)+SUM('IS(FY)'!R43:S43))/1000</f>
        <v>-10224</v>
      </c>
      <c r="H133" s="2294">
        <f>-(SUM('IS(FY)'!T41:U41)+SUM('IS(FY)'!T42:U42)+SUM('IS(FY)'!T43:U43))/1000</f>
        <v>-10224</v>
      </c>
      <c r="I133" s="2294">
        <f>-(SUM('IS(FY)'!V41:W41)+SUM('IS(FY)'!V42:W42)+SUM('IS(FY)'!V43:W43))/1000</f>
        <v>-10224</v>
      </c>
      <c r="J133" s="2294">
        <f>-(SUM('IS(FY)'!X41:Y41)+SUM('IS(FY)'!X42:Y42)+SUM('IS(FY)'!X43:Y43))/1000</f>
        <v>-9585</v>
      </c>
      <c r="K133" s="2294">
        <f>-(SUM('IS(FY)'!Z41:AA41)+SUM('IS(FY)'!Z42:AA42)+SUM('IS(FY)'!Z43:AA43))/1000</f>
        <v>-9585</v>
      </c>
      <c r="L133" s="2294">
        <f>-(SUM('IS(FY)'!AB41:AC41)+SUM('IS(FY)'!AB42:AC42)+SUM('IS(FY)'!AB43:AC43))/1000</f>
        <v>-9585</v>
      </c>
      <c r="M133" s="2294">
        <f>-(SUM('IS(FY)'!AD41:AE41)+SUM('IS(FY)'!AD42:AE42)+SUM('IS(FY)'!AD43:AE43))/1000</f>
        <v>-9585</v>
      </c>
      <c r="N133" s="2295">
        <f>-(SUM('IS(FY)'!AF41:AG41)+SUM('IS(FY)'!AF42:AG42)+SUM('IS(FY)'!AF43:AG43))/1000</f>
        <v>-9585</v>
      </c>
      <c r="P133" s="2398"/>
      <c r="Q133" s="2278"/>
      <c r="R133" s="2278"/>
      <c r="S133" s="2278"/>
      <c r="T133" s="2278"/>
      <c r="W133" s="2278"/>
      <c r="X133" s="2278"/>
    </row>
    <row r="134" spans="2:24" ht="12.75" customHeight="1">
      <c r="B134" s="2293" t="s">
        <v>1540</v>
      </c>
      <c r="C134" s="2294">
        <f t="shared" si="6"/>
        <v>-4560</v>
      </c>
      <c r="D134" s="2294">
        <f>-('IS(FY)'!M44+'IS(FY)'!M45+'IS(FY)'!M46)/1000</f>
        <v>0</v>
      </c>
      <c r="E134" s="2294">
        <f>-(SUM('IS(FY)'!N44:O44)+SUM('IS(FY)'!N45:O45)+SUM('IS(FY)'!N46:O46))/1000</f>
        <v>-2280</v>
      </c>
      <c r="F134" s="2294">
        <f>-(SUM('IS(FY)'!P44:Q44)+SUM('IS(FY)'!P45:Q45)+SUM('IS(FY)'!P46:Q46))/1000</f>
        <v>-2280</v>
      </c>
      <c r="G134" s="2294">
        <f>-(SUM('IS(FY)'!R44:S44)+SUM('IS(FY)'!R45:S45)+SUM('IS(FY)'!R46:S46))/1000</f>
        <v>0</v>
      </c>
      <c r="H134" s="2294">
        <f>-(SUM('IS(FY)'!T44:U44)+SUM('IS(FY)'!T45:U45)+SUM('IS(FY)'!T46:U46))/1000</f>
        <v>0</v>
      </c>
      <c r="I134" s="2294">
        <f>-(SUM('IS(FY)'!V44:W44)+SUM('IS(FY)'!V45:W45)+SUM('IS(FY)'!V46:W46))/1000</f>
        <v>0</v>
      </c>
      <c r="J134" s="2294">
        <f>-(SUM('IS(FY)'!X44:Y44)+SUM('IS(FY)'!X45:Y45)+SUM('IS(FY)'!X46:Y46))/1000</f>
        <v>0</v>
      </c>
      <c r="K134" s="2294">
        <f>-(SUM('IS(FY)'!Z44:AA44)+SUM('IS(FY)'!Z45:AA45)+SUM('IS(FY)'!Z46:AA46))/1000</f>
        <v>0</v>
      </c>
      <c r="L134" s="2294">
        <f>-(SUM('IS(FY)'!AB44:AC44)+SUM('IS(FY)'!AB45:AC45)+SUM('IS(FY)'!AB46:AC46))/1000</f>
        <v>0</v>
      </c>
      <c r="M134" s="2294">
        <f>-(SUM('IS(FY)'!AD44:AE44)+SUM('IS(FY)'!AD45:AE45)+SUM('IS(FY)'!AD46:AE46))/1000</f>
        <v>0</v>
      </c>
      <c r="N134" s="2295">
        <f>-(SUM('IS(FY)'!AF44:AG44)+SUM('IS(FY)'!AF45:AG45)+SUM('IS(FY)'!AF46:AG46))/1000</f>
        <v>0</v>
      </c>
      <c r="P134" s="2398"/>
      <c r="Q134" s="2278"/>
      <c r="R134" s="2278"/>
      <c r="S134" s="2278"/>
      <c r="T134" s="2278"/>
      <c r="W134" s="2278"/>
      <c r="X134" s="2278"/>
    </row>
    <row r="135" spans="2:24" ht="12.75" customHeight="1">
      <c r="B135" s="2293" t="s">
        <v>1607</v>
      </c>
      <c r="C135" s="2294">
        <f t="shared" si="6"/>
        <v>-144.63753334348496</v>
      </c>
      <c r="D135" s="2294">
        <f>-('IS(FY)'!M47)/1000</f>
        <v>0</v>
      </c>
      <c r="E135" s="2294">
        <f>-(SUM('IS(FY)'!N47:O47))/1000</f>
        <v>-144.63753334348496</v>
      </c>
      <c r="F135" s="2294">
        <f>-(SUM('IS(FY)'!P47:Q47))/1000</f>
        <v>0</v>
      </c>
      <c r="G135" s="2294">
        <f>-(SUM('IS(FY)'!R47:S47))/1000</f>
        <v>0</v>
      </c>
      <c r="H135" s="2294">
        <f>-(SUM('IS(FY)'!T47:U47))/1000</f>
        <v>0</v>
      </c>
      <c r="I135" s="2294">
        <f>-(SUM('IS(FY)'!V47:W47))/1000</f>
        <v>0</v>
      </c>
      <c r="J135" s="2294">
        <f>-(SUM('IS(FY)'!X47:Y47))/1000</f>
        <v>0</v>
      </c>
      <c r="K135" s="2294">
        <f>-(SUM('IS(FY)'!Z47:AA47))/1000</f>
        <v>0</v>
      </c>
      <c r="L135" s="2294">
        <f>-(SUM('IS(FY)'!AB47:AC47))/1000</f>
        <v>0</v>
      </c>
      <c r="M135" s="2294">
        <f>-(SUM('IS(FY)'!AD47:AE47))/1000</f>
        <v>0</v>
      </c>
      <c r="N135" s="2295">
        <f>-(SUM('IS(FY)'!AF47:AG47))/1000</f>
        <v>0</v>
      </c>
      <c r="P135" s="2398"/>
      <c r="Q135" s="2278"/>
      <c r="R135" s="2278"/>
      <c r="S135" s="2278"/>
      <c r="T135" s="2278"/>
      <c r="W135" s="2278"/>
      <c r="X135" s="2278"/>
    </row>
    <row r="136" spans="2:24" ht="12.75" customHeight="1">
      <c r="B136" s="2293" t="s">
        <v>1213</v>
      </c>
      <c r="C136" s="2294">
        <f t="shared" ref="C136:C144" si="11">SUM(D136:N136)</f>
        <v>-34176.869999999988</v>
      </c>
      <c r="D136" s="2294">
        <f>-'IS(FY)'!M20/1000</f>
        <v>0</v>
      </c>
      <c r="E136" s="2294">
        <f>-SUM('IS(FY)'!N20:O20)/1000</f>
        <v>-3417.6869999999999</v>
      </c>
      <c r="F136" s="2294">
        <f>-SUM('IS(FY)'!P20:Q20)/1000</f>
        <v>-3417.6869999999999</v>
      </c>
      <c r="G136" s="2294">
        <f>-SUM('IS(FY)'!R20:S20)/1000</f>
        <v>-3417.6869999999999</v>
      </c>
      <c r="H136" s="2294">
        <f>-SUM('IS(FY)'!T20:U20)/1000</f>
        <v>-3417.6869999999999</v>
      </c>
      <c r="I136" s="2294">
        <f>-SUM('IS(FY)'!V20:W20)/1000</f>
        <v>-3417.6869999999999</v>
      </c>
      <c r="J136" s="2294">
        <f>-SUM('IS(FY)'!X20:Y20)/1000</f>
        <v>-3417.6869999999999</v>
      </c>
      <c r="K136" s="2294">
        <f>-SUM('IS(FY)'!Z20:AA20)/1000</f>
        <v>-3417.6869999999999</v>
      </c>
      <c r="L136" s="2294">
        <f>-SUM('IS(FY)'!AB20:AC20)/1000</f>
        <v>-3417.6869999999999</v>
      </c>
      <c r="M136" s="2294">
        <f>-SUM('IS(FY)'!AD20:AE20)/1000</f>
        <v>-3417.6869999999999</v>
      </c>
      <c r="N136" s="2295">
        <f>-SUM('IS(FY)'!AF20:AG20)/1000</f>
        <v>-3417.6869999999999</v>
      </c>
      <c r="P136" s="2398"/>
      <c r="Q136" s="2278"/>
      <c r="R136" s="2278"/>
      <c r="S136" s="2278"/>
      <c r="T136" s="2278"/>
      <c r="W136" s="2278"/>
      <c r="X136" s="2278"/>
    </row>
    <row r="137" spans="2:24" ht="12.75" customHeight="1" thickBot="1">
      <c r="B137" s="2296" t="s">
        <v>1505</v>
      </c>
      <c r="C137" s="2297">
        <f t="shared" si="11"/>
        <v>104898.69804531735</v>
      </c>
      <c r="D137" s="2297">
        <f>'IS(FY)'!M39/1000</f>
        <v>0</v>
      </c>
      <c r="E137" s="2297">
        <f>SUM('IS(FY)'!N39:O39)/1000</f>
        <v>0</v>
      </c>
      <c r="F137" s="2297">
        <f>SUM('IS(FY)'!P39:Q39)/1000</f>
        <v>0</v>
      </c>
      <c r="G137" s="2297">
        <f>SUM('IS(FY)'!R39:S39)/1000</f>
        <v>0</v>
      </c>
      <c r="H137" s="2297">
        <f>SUM('IS(FY)'!T39:U39)/1000</f>
        <v>0</v>
      </c>
      <c r="I137" s="2297">
        <f>SUM('IS(FY)'!V39:W39)/1000</f>
        <v>0</v>
      </c>
      <c r="J137" s="2297">
        <f>SUM('IS(FY)'!X39:Y39)/1000</f>
        <v>0</v>
      </c>
      <c r="K137" s="2297">
        <f>SUM('IS(FY)'!Z39:AA39)/1000</f>
        <v>0</v>
      </c>
      <c r="L137" s="2297">
        <f>SUM('IS(FY)'!AB39:AC39)/1000</f>
        <v>0</v>
      </c>
      <c r="M137" s="2297">
        <f>SUM('IS(FY)'!AD39:AE39)/1000</f>
        <v>0</v>
      </c>
      <c r="N137" s="2298">
        <f>SUM('IS(FY)'!AF39:AG39)/1000</f>
        <v>104898.69804531735</v>
      </c>
      <c r="P137" s="2398"/>
      <c r="Q137" s="2278"/>
      <c r="R137" s="2278"/>
      <c r="S137" s="2278"/>
      <c r="T137" s="2278"/>
      <c r="W137" s="2278"/>
      <c r="X137" s="2278"/>
    </row>
    <row r="138" spans="2:24" ht="12.75" customHeight="1" thickBot="1">
      <c r="B138" s="2287" t="s">
        <v>1506</v>
      </c>
      <c r="C138" s="2302">
        <f t="shared" si="11"/>
        <v>8096.9916246850535</v>
      </c>
      <c r="D138" s="2302">
        <f t="shared" ref="D138:N138" si="12">SUM(D139:D143)</f>
        <v>0</v>
      </c>
      <c r="E138" s="2302">
        <f t="shared" si="12"/>
        <v>800.581840871022</v>
      </c>
      <c r="F138" s="2302">
        <f t="shared" si="12"/>
        <v>802.50184087102207</v>
      </c>
      <c r="G138" s="2302">
        <f t="shared" si="12"/>
        <v>804.46024087102205</v>
      </c>
      <c r="H138" s="2302">
        <f t="shared" si="12"/>
        <v>806.45780887102194</v>
      </c>
      <c r="I138" s="2302">
        <f t="shared" si="12"/>
        <v>808.49532823102197</v>
      </c>
      <c r="J138" s="2302">
        <f t="shared" si="12"/>
        <v>810.57359797822198</v>
      </c>
      <c r="K138" s="2302">
        <f t="shared" si="12"/>
        <v>812.69343312036597</v>
      </c>
      <c r="L138" s="2302">
        <f t="shared" si="12"/>
        <v>814.85566496535284</v>
      </c>
      <c r="M138" s="2302">
        <f t="shared" si="12"/>
        <v>817.06114144723949</v>
      </c>
      <c r="N138" s="2303">
        <f t="shared" si="12"/>
        <v>819.31072745876384</v>
      </c>
      <c r="P138" s="2398"/>
      <c r="Q138" s="2278"/>
      <c r="R138" s="2278"/>
      <c r="S138" s="2278"/>
      <c r="T138" s="2278"/>
      <c r="W138" s="2278"/>
      <c r="X138" s="2278"/>
    </row>
    <row r="139" spans="2:24" ht="12.75" customHeight="1">
      <c r="B139" s="2290" t="s">
        <v>190</v>
      </c>
      <c r="C139" s="2291">
        <f t="shared" si="11"/>
        <v>6665.4700000000039</v>
      </c>
      <c r="D139" s="2291">
        <f>'IS(FY)'!M32/1000</f>
        <v>0</v>
      </c>
      <c r="E139" s="2291">
        <f>SUM('IS(FY)'!N32:O32)/1000</f>
        <v>666.54700000000025</v>
      </c>
      <c r="F139" s="2291">
        <f>SUM('IS(FY)'!P32:Q32)/1000</f>
        <v>666.54700000000025</v>
      </c>
      <c r="G139" s="2291">
        <f>SUM('IS(FY)'!R32:S32)/1000</f>
        <v>666.54700000000025</v>
      </c>
      <c r="H139" s="2291">
        <f>SUM('IS(FY)'!T32:U32)/1000</f>
        <v>666.54700000000025</v>
      </c>
      <c r="I139" s="2291">
        <f>SUM('IS(FY)'!V32:W32)/1000</f>
        <v>666.54700000000025</v>
      </c>
      <c r="J139" s="2291">
        <f>SUM('IS(FY)'!X32:Y32)/1000</f>
        <v>666.54700000000025</v>
      </c>
      <c r="K139" s="2291">
        <f>SUM('IS(FY)'!Z32:AA32)/1000</f>
        <v>666.54700000000025</v>
      </c>
      <c r="L139" s="2291">
        <f>SUM('IS(FY)'!AB32:AC32)/1000</f>
        <v>666.54700000000025</v>
      </c>
      <c r="M139" s="2291">
        <f>SUM('IS(FY)'!AD32:AE32)/1000</f>
        <v>666.54700000000025</v>
      </c>
      <c r="N139" s="2292">
        <f>SUM('IS(FY)'!AF32:AG32)/1000</f>
        <v>666.54700000000025</v>
      </c>
      <c r="P139" s="2398"/>
      <c r="Q139" s="2278"/>
      <c r="R139" s="2278"/>
      <c r="S139" s="2278"/>
      <c r="T139" s="2278"/>
      <c r="W139" s="2278"/>
      <c r="X139" s="2278"/>
    </row>
    <row r="140" spans="2:24" ht="12.75" customHeight="1">
      <c r="B140" s="2293" t="s">
        <v>192</v>
      </c>
      <c r="C140" s="2294">
        <f t="shared" si="11"/>
        <v>260.34840871021777</v>
      </c>
      <c r="D140" s="2294">
        <f>'IS(FY)'!M34/1000</f>
        <v>0</v>
      </c>
      <c r="E140" s="2294">
        <f>SUM('IS(FY)'!N34:O34)/1000</f>
        <v>26.034840871021775</v>
      </c>
      <c r="F140" s="2294">
        <f>SUM('IS(FY)'!P34:Q34)/1000</f>
        <v>26.034840871021775</v>
      </c>
      <c r="G140" s="2294">
        <f>SUM('IS(FY)'!R34:S34)/1000</f>
        <v>26.034840871021775</v>
      </c>
      <c r="H140" s="2294">
        <f>SUM('IS(FY)'!T34:U34)/1000</f>
        <v>26.034840871021775</v>
      </c>
      <c r="I140" s="2294">
        <f>SUM('IS(FY)'!V34:W34)/1000</f>
        <v>26.034840871021775</v>
      </c>
      <c r="J140" s="2294">
        <f>SUM('IS(FY)'!X34:Y34)/1000</f>
        <v>26.034840871021775</v>
      </c>
      <c r="K140" s="2294">
        <f>SUM('IS(FY)'!Z34:AA34)/1000</f>
        <v>26.034840871021775</v>
      </c>
      <c r="L140" s="2294">
        <f>SUM('IS(FY)'!AB34:AC34)/1000</f>
        <v>26.034840871021775</v>
      </c>
      <c r="M140" s="2294">
        <f>SUM('IS(FY)'!AD34:AE34)/1000</f>
        <v>26.034840871021775</v>
      </c>
      <c r="N140" s="2295">
        <f>SUM('IS(FY)'!AF34:AG34)/1000</f>
        <v>26.034840871021775</v>
      </c>
      <c r="P140" s="2398"/>
      <c r="Q140" s="2278"/>
      <c r="R140" s="2278"/>
      <c r="S140" s="2278"/>
      <c r="T140" s="2278"/>
      <c r="W140" s="2278"/>
      <c r="X140" s="2278"/>
    </row>
    <row r="141" spans="2:24" ht="12.75" customHeight="1">
      <c r="B141" s="2293" t="s">
        <v>150</v>
      </c>
      <c r="C141" s="2294">
        <f t="shared" si="11"/>
        <v>120</v>
      </c>
      <c r="D141" s="2294">
        <f>'IS(FY)'!M33/1000</f>
        <v>0</v>
      </c>
      <c r="E141" s="2294">
        <f>SUM('IS(FY)'!N33:O33)/1000</f>
        <v>12</v>
      </c>
      <c r="F141" s="2294">
        <f>SUM('IS(FY)'!P33:Q33)/1000</f>
        <v>12</v>
      </c>
      <c r="G141" s="2294">
        <f>SUM('IS(FY)'!R33:S33)/1000</f>
        <v>12</v>
      </c>
      <c r="H141" s="2294">
        <f>SUM('IS(FY)'!T33:U33)/1000</f>
        <v>12</v>
      </c>
      <c r="I141" s="2294">
        <f>SUM('IS(FY)'!V33:W33)/1000</f>
        <v>12</v>
      </c>
      <c r="J141" s="2294">
        <f>SUM('IS(FY)'!X33:Y33)/1000</f>
        <v>12</v>
      </c>
      <c r="K141" s="2294">
        <f>SUM('IS(FY)'!Z33:AA33)/1000</f>
        <v>12</v>
      </c>
      <c r="L141" s="2294">
        <f>SUM('IS(FY)'!AB33:AC33)/1000</f>
        <v>12</v>
      </c>
      <c r="M141" s="2294">
        <f>SUM('IS(FY)'!AD33:AE33)/1000</f>
        <v>12</v>
      </c>
      <c r="N141" s="2295">
        <f>SUM('IS(FY)'!AF33:AG33)/1000</f>
        <v>12</v>
      </c>
      <c r="P141" s="2398"/>
      <c r="Q141" s="2278"/>
      <c r="R141" s="2278"/>
      <c r="S141" s="2278"/>
      <c r="T141" s="2278"/>
      <c r="W141" s="2278"/>
      <c r="X141" s="2278"/>
    </row>
    <row r="142" spans="2:24" ht="12.75" customHeight="1">
      <c r="B142" s="2293" t="s">
        <v>533</v>
      </c>
      <c r="C142" s="2294">
        <f t="shared" si="11"/>
        <v>788.37991198112559</v>
      </c>
      <c r="D142" s="2294">
        <f>'IS(FY)'!M35/1000</f>
        <v>0</v>
      </c>
      <c r="E142" s="2294">
        <f>SUM('IS(FY)'!N35:O35)/1000</f>
        <v>72</v>
      </c>
      <c r="F142" s="2294">
        <f>SUM('IS(FY)'!P35:Q35)/1000</f>
        <v>73.44</v>
      </c>
      <c r="G142" s="2294">
        <f>SUM('IS(FY)'!R35:S35)/1000</f>
        <v>74.908799999999999</v>
      </c>
      <c r="H142" s="2294">
        <f>SUM('IS(FY)'!T35:U35)/1000</f>
        <v>76.406976</v>
      </c>
      <c r="I142" s="2294">
        <f>SUM('IS(FY)'!V35:W35)/1000</f>
        <v>77.935115520000011</v>
      </c>
      <c r="J142" s="2294">
        <f>SUM('IS(FY)'!X35:Y35)/1000</f>
        <v>79.493817830400005</v>
      </c>
      <c r="K142" s="2294">
        <f>SUM('IS(FY)'!Z35:AA35)/1000</f>
        <v>81.083694187008007</v>
      </c>
      <c r="L142" s="2294">
        <f>SUM('IS(FY)'!AB35:AC35)/1000</f>
        <v>82.70536807074815</v>
      </c>
      <c r="M142" s="2294">
        <f>SUM('IS(FY)'!AD35:AE35)/1000</f>
        <v>84.359475432163123</v>
      </c>
      <c r="N142" s="2295">
        <f>SUM('IS(FY)'!AF35:AG35)/1000</f>
        <v>86.046664940806366</v>
      </c>
      <c r="P142" s="2398"/>
      <c r="Q142" s="2278"/>
      <c r="R142" s="2278"/>
      <c r="S142" s="2278"/>
      <c r="T142" s="2278"/>
      <c r="W142" s="2278"/>
      <c r="X142" s="2278"/>
    </row>
    <row r="143" spans="2:24" ht="12.75" customHeight="1" thickBot="1">
      <c r="B143" s="2293" t="s">
        <v>463</v>
      </c>
      <c r="C143" s="2294">
        <f t="shared" si="11"/>
        <v>262.79330399370855</v>
      </c>
      <c r="D143" s="2294">
        <f>'IS(FY)'!M19/1000</f>
        <v>0</v>
      </c>
      <c r="E143" s="2294">
        <f>SUM('IS(FY)'!N19:O19)/1000</f>
        <v>24</v>
      </c>
      <c r="F143" s="2294">
        <f>SUM('IS(FY)'!P19:Q19)/1000</f>
        <v>24.48</v>
      </c>
      <c r="G143" s="2294">
        <f>SUM('IS(FY)'!R19:S19)/1000</f>
        <v>24.9696</v>
      </c>
      <c r="H143" s="2294">
        <f>SUM('IS(FY)'!T19:U19)/1000</f>
        <v>25.468991999999993</v>
      </c>
      <c r="I143" s="2294">
        <f>SUM('IS(FY)'!V19:W19)/1000</f>
        <v>25.978371840000005</v>
      </c>
      <c r="J143" s="2294">
        <f>SUM('IS(FY)'!X19:Y19)/1000</f>
        <v>26.497939276800004</v>
      </c>
      <c r="K143" s="2294">
        <f>SUM('IS(FY)'!Z19:AA19)/1000</f>
        <v>27.027898062336003</v>
      </c>
      <c r="L143" s="2294">
        <f>SUM('IS(FY)'!AB19:AC19)/1000</f>
        <v>27.568456023582716</v>
      </c>
      <c r="M143" s="2294">
        <f>SUM('IS(FY)'!AD19:AE19)/1000</f>
        <v>28.119825144054374</v>
      </c>
      <c r="N143" s="2295">
        <f>SUM('IS(FY)'!AF19:AG19)/1000</f>
        <v>28.68222164693546</v>
      </c>
      <c r="P143" s="2398"/>
      <c r="Q143" s="2278"/>
      <c r="R143" s="2278"/>
      <c r="S143" s="2278"/>
      <c r="T143" s="2278"/>
      <c r="W143" s="2278"/>
      <c r="X143" s="2278"/>
    </row>
    <row r="144" spans="2:24" ht="12.75" customHeight="1" thickBot="1">
      <c r="B144" s="2287" t="s">
        <v>538</v>
      </c>
      <c r="C144" s="2302">
        <f t="shared" ca="1" si="11"/>
        <v>114248.06668783461</v>
      </c>
      <c r="D144" s="2302">
        <f t="shared" ref="D144:N144" si="13">D130+D131-D138</f>
        <v>0</v>
      </c>
      <c r="E144" s="2302">
        <f t="shared" ca="1" si="13"/>
        <v>-1177.5413924679615</v>
      </c>
      <c r="F144" s="2302">
        <f t="shared" ca="1" si="13"/>
        <v>-678.40245500632409</v>
      </c>
      <c r="G144" s="2302">
        <f t="shared" ca="1" si="13"/>
        <v>-5369.9582021991009</v>
      </c>
      <c r="H144" s="2302">
        <f t="shared" ca="1" si="13"/>
        <v>766.97317038585459</v>
      </c>
      <c r="I144" s="2302">
        <f t="shared" ca="1" si="13"/>
        <v>1247.4940358584549</v>
      </c>
      <c r="J144" s="2302">
        <f t="shared" ca="1" si="13"/>
        <v>2323.5597857077719</v>
      </c>
      <c r="K144" s="2302">
        <f t="shared" ca="1" si="13"/>
        <v>2770.8419082527166</v>
      </c>
      <c r="L144" s="2302">
        <f t="shared" ca="1" si="13"/>
        <v>2330.1257731607875</v>
      </c>
      <c r="M144" s="2302">
        <f t="shared" ca="1" si="13"/>
        <v>3285.7373740358407</v>
      </c>
      <c r="N144" s="2303">
        <f t="shared" ca="1" si="13"/>
        <v>108749.23669010657</v>
      </c>
      <c r="P144" s="2398"/>
      <c r="Q144" s="2278"/>
      <c r="R144" s="2278"/>
      <c r="S144" s="2278"/>
      <c r="T144" s="2278"/>
      <c r="W144" s="2278"/>
      <c r="X144" s="2278"/>
    </row>
    <row r="145" spans="1:24" ht="12.75" customHeight="1">
      <c r="P145" s="2398"/>
      <c r="Q145" s="2278"/>
      <c r="R145" s="2278"/>
      <c r="S145" s="2278"/>
      <c r="T145" s="2278"/>
      <c r="W145" s="2278"/>
      <c r="X145" s="2278"/>
    </row>
    <row r="146" spans="1:24" ht="12.75" customHeight="1">
      <c r="P146" s="2434"/>
      <c r="Q146" s="2278"/>
      <c r="R146" s="2278"/>
      <c r="S146" s="2278"/>
      <c r="T146" s="2278"/>
      <c r="W146" s="2278"/>
      <c r="X146" s="2278"/>
    </row>
    <row r="147" spans="1:24" ht="12.75" customHeight="1"/>
    <row r="148" spans="1:24" ht="12.75" customHeight="1">
      <c r="D148" s="2268"/>
      <c r="E148" s="2268"/>
      <c r="F148" s="2268"/>
      <c r="G148" s="2268"/>
      <c r="H148" s="2268"/>
      <c r="I148" s="2268"/>
      <c r="J148" s="2268"/>
      <c r="K148" s="2268"/>
      <c r="L148" s="2268"/>
      <c r="M148" s="2268"/>
      <c r="N148" s="2268"/>
    </row>
    <row r="149" spans="1:24" ht="12.75" customHeight="1"/>
    <row r="152" spans="1:24">
      <c r="A152" s="2232" t="s">
        <v>1541</v>
      </c>
    </row>
    <row r="153" spans="1:24" ht="12.75" thickBot="1">
      <c r="B153" s="3100" t="s">
        <v>1448</v>
      </c>
      <c r="C153" s="3102" t="s">
        <v>1459</v>
      </c>
      <c r="D153" s="2410" t="str">
        <f t="shared" ref="D153:N153" si="14">D114</f>
        <v>26.10</v>
      </c>
      <c r="E153" s="2410" t="str">
        <f t="shared" si="14"/>
        <v>27.10</v>
      </c>
      <c r="F153" s="2410" t="str">
        <f t="shared" si="14"/>
        <v>28.10</v>
      </c>
      <c r="G153" s="2410" t="str">
        <f t="shared" si="14"/>
        <v>29.10</v>
      </c>
      <c r="H153" s="2410" t="str">
        <f t="shared" si="14"/>
        <v>30.10</v>
      </c>
      <c r="I153" s="2410" t="str">
        <f t="shared" si="14"/>
        <v>31.10</v>
      </c>
      <c r="J153" s="2410" t="str">
        <f t="shared" si="14"/>
        <v>32.10</v>
      </c>
      <c r="K153" s="2410" t="str">
        <f t="shared" si="14"/>
        <v>33.10</v>
      </c>
      <c r="L153" s="2410" t="str">
        <f t="shared" si="14"/>
        <v>34.10</v>
      </c>
      <c r="M153" s="2410" t="str">
        <f t="shared" si="14"/>
        <v>35.10</v>
      </c>
      <c r="N153" s="2411" t="str">
        <f t="shared" si="14"/>
        <v>36.10</v>
      </c>
    </row>
    <row r="154" spans="1:24" ht="12.75" thickBot="1">
      <c r="B154" s="3101"/>
      <c r="C154" s="3103"/>
      <c r="D154" s="2283" t="str">
        <f t="shared" ref="D154:N154" si="15">D115</f>
        <v>투자일</v>
      </c>
      <c r="E154" s="2283">
        <f t="shared" si="15"/>
        <v>1</v>
      </c>
      <c r="F154" s="2283">
        <f t="shared" si="15"/>
        <v>2</v>
      </c>
      <c r="G154" s="2283">
        <f t="shared" si="15"/>
        <v>3</v>
      </c>
      <c r="H154" s="2283">
        <f t="shared" si="15"/>
        <v>4</v>
      </c>
      <c r="I154" s="2283">
        <f t="shared" si="15"/>
        <v>5</v>
      </c>
      <c r="J154" s="2283">
        <f t="shared" si="15"/>
        <v>6</v>
      </c>
      <c r="K154" s="2283">
        <f t="shared" si="15"/>
        <v>7</v>
      </c>
      <c r="L154" s="2283">
        <f t="shared" si="15"/>
        <v>8</v>
      </c>
      <c r="M154" s="2283">
        <f t="shared" si="15"/>
        <v>9</v>
      </c>
      <c r="N154" s="2284">
        <f t="shared" si="15"/>
        <v>10</v>
      </c>
      <c r="P154" s="2299"/>
      <c r="Q154" s="2300"/>
      <c r="R154" s="2279"/>
      <c r="S154" s="2279"/>
      <c r="T154" s="2280"/>
    </row>
    <row r="155" spans="1:24" ht="12.75" thickBot="1">
      <c r="B155" s="2287" t="s">
        <v>1542</v>
      </c>
      <c r="C155" s="2302">
        <f t="shared" ref="C155:C168" ca="1" si="16">SUM(D155:N155)</f>
        <v>43526.238642517274</v>
      </c>
      <c r="D155" s="2302">
        <f t="shared" ref="D155:N155" ca="1" si="17">D169+D170-D175</f>
        <v>0</v>
      </c>
      <c r="E155" s="2302">
        <f t="shared" ca="1" si="17"/>
        <v>2432.0948141987064</v>
      </c>
      <c r="F155" s="2302">
        <f t="shared" ca="1" si="17"/>
        <v>2741.973795985341</v>
      </c>
      <c r="G155" s="2302">
        <f t="shared" ca="1" si="17"/>
        <v>-1949.5109201904729</v>
      </c>
      <c r="H155" s="2303">
        <f t="shared" ca="1" si="17"/>
        <v>4187.4926453418175</v>
      </c>
      <c r="I155" s="2303">
        <f t="shared" ca="1" si="17"/>
        <v>4668.0868928111013</v>
      </c>
      <c r="J155" s="2303">
        <f t="shared" ca="1" si="17"/>
        <v>5744.227241309567</v>
      </c>
      <c r="K155" s="2303">
        <f t="shared" ca="1" si="17"/>
        <v>6191.5852072539901</v>
      </c>
      <c r="L155" s="2303">
        <f t="shared" ca="1" si="17"/>
        <v>5750.9461889152244</v>
      </c>
      <c r="M155" s="2303">
        <f t="shared" ca="1" si="17"/>
        <v>6706.6362090169032</v>
      </c>
      <c r="N155" s="2303">
        <f t="shared" ca="1" si="17"/>
        <v>7052.7065678750987</v>
      </c>
      <c r="P155" s="2287"/>
      <c r="Q155" s="2288"/>
      <c r="R155" s="2288"/>
      <c r="S155" s="2288"/>
      <c r="T155" s="2289"/>
    </row>
    <row r="156" spans="1:24" ht="12.75" thickBot="1">
      <c r="B156" s="2287" t="s">
        <v>1603</v>
      </c>
      <c r="C156" s="2302">
        <f t="shared" si="16"/>
        <v>173411.61493373636</v>
      </c>
      <c r="D156" s="2302">
        <f t="shared" ref="D156:N156" si="18">SUM(D157:D159)</f>
        <v>0</v>
      </c>
      <c r="E156" s="2302">
        <f t="shared" si="18"/>
        <v>15337.100219276346</v>
      </c>
      <c r="F156" s="2302">
        <f t="shared" si="18"/>
        <v>15682.859408385648</v>
      </c>
      <c r="G156" s="2302">
        <f t="shared" si="18"/>
        <v>11366.672111531519</v>
      </c>
      <c r="H156" s="2303">
        <f t="shared" si="18"/>
        <v>17482.771279269997</v>
      </c>
      <c r="I156" s="2303">
        <f t="shared" si="18"/>
        <v>17924.190017740351</v>
      </c>
      <c r="J156" s="2303">
        <f t="shared" si="18"/>
        <v>18366.754183811259</v>
      </c>
      <c r="K156" s="2303">
        <f t="shared" si="18"/>
        <v>18820.382454033941</v>
      </c>
      <c r="L156" s="2303">
        <f t="shared" si="18"/>
        <v>19064.401477767031</v>
      </c>
      <c r="M156" s="2303">
        <f t="shared" si="18"/>
        <v>19442.248085734569</v>
      </c>
      <c r="N156" s="2303">
        <f t="shared" si="18"/>
        <v>19924.235696185679</v>
      </c>
      <c r="P156" s="2287"/>
      <c r="Q156" s="2288"/>
      <c r="R156" s="2288"/>
      <c r="S156" s="2288"/>
      <c r="T156" s="2289"/>
    </row>
    <row r="157" spans="1:24">
      <c r="B157" s="2290" t="s">
        <v>269</v>
      </c>
      <c r="C157" s="2291">
        <f t="shared" si="16"/>
        <v>163345.51848045687</v>
      </c>
      <c r="D157" s="2291">
        <f>('CF(Y)'!L11+'CF(Y)'!L12)/1000</f>
        <v>0</v>
      </c>
      <c r="E157" s="2291">
        <f>('CF(Y)'!M11+'CF(Y)'!M12)/1000</f>
        <v>14414.802116581252</v>
      </c>
      <c r="F157" s="2291">
        <f>('CF(Y)'!N11+'CF(Y)'!N12)/1000</f>
        <v>14743.044437495777</v>
      </c>
      <c r="G157" s="2291">
        <f>('CF(Y)'!O11+'CF(Y)'!O12)/1000</f>
        <v>10408.902350742001</v>
      </c>
      <c r="H157" s="2292">
        <f>('CF(Y)'!P11+'CF(Y)'!P12)/1000</f>
        <v>16506.597858833342</v>
      </c>
      <c r="I157" s="2292">
        <f>('CF(Y)'!Q11+'CF(Y)'!Q12)/1000</f>
        <v>16929.15284616538</v>
      </c>
      <c r="J157" s="2292">
        <f>('CF(Y)'!R11+'CF(Y)'!R12)/1000</f>
        <v>17352.381667319514</v>
      </c>
      <c r="K157" s="2292">
        <f>('CF(Y)'!S11+'CF(Y)'!S12)/1000</f>
        <v>17786.1912090025</v>
      </c>
      <c r="L157" s="2292">
        <f>('CF(Y)'!T11+'CF(Y)'!T12)/1000</f>
        <v>18009.907148620186</v>
      </c>
      <c r="M157" s="2292">
        <f>('CF(Y)'!U11+'CF(Y)'!U12)/1000</f>
        <v>18366.946594082259</v>
      </c>
      <c r="N157" s="2292">
        <f>('CF(Y)'!V11+'CF(Y)'!V12)/1000</f>
        <v>18827.592251614664</v>
      </c>
      <c r="P157" s="2290"/>
      <c r="Q157" s="2291"/>
      <c r="R157" s="2291"/>
      <c r="S157" s="2291"/>
      <c r="T157" s="2292"/>
    </row>
    <row r="158" spans="1:24">
      <c r="B158" s="2293" t="s">
        <v>64</v>
      </c>
      <c r="C158" s="2294">
        <f t="shared" ref="C158:C159" si="19">SUM(D158:N158)</f>
        <v>8636.6643042394644</v>
      </c>
      <c r="D158" s="2294">
        <f>('CF(Y)'!L13)/1000</f>
        <v>0</v>
      </c>
      <c r="E158" s="2294">
        <f>('CF(Y)'!M13)/1000</f>
        <v>779.35488779109392</v>
      </c>
      <c r="F158" s="2294">
        <f>('CF(Y)'!N13)/1000</f>
        <v>796.87175598587089</v>
      </c>
      <c r="G158" s="2294">
        <f>('CF(Y)'!O13)/1000</f>
        <v>814.8265458855177</v>
      </c>
      <c r="H158" s="2295">
        <f>('CF(Y)'!P13)/1000</f>
        <v>833.23020553265587</v>
      </c>
      <c r="I158" s="2295">
        <f>('CF(Y)'!Q13)/1000</f>
        <v>852.09395667097203</v>
      </c>
      <c r="J158" s="2295">
        <f>('CF(Y)'!R13)/1000</f>
        <v>871.42930158774618</v>
      </c>
      <c r="K158" s="2295">
        <f>('CF(Y)'!S13)/1000</f>
        <v>891.24803012743985</v>
      </c>
      <c r="L158" s="2295">
        <f>('CF(Y)'!T13)/1000</f>
        <v>911.55111424284325</v>
      </c>
      <c r="M158" s="2295">
        <f>('CF(Y)'!U13)/1000</f>
        <v>932.35827674830807</v>
      </c>
      <c r="N158" s="2295">
        <f>('CF(Y)'!V13)/1000</f>
        <v>953.70022966701572</v>
      </c>
      <c r="P158" s="2293"/>
      <c r="Q158" s="2294"/>
      <c r="R158" s="2294"/>
      <c r="S158" s="2294"/>
      <c r="T158" s="2295"/>
    </row>
    <row r="159" spans="1:24" ht="12.75" thickBot="1">
      <c r="B159" s="2293" t="s">
        <v>1672</v>
      </c>
      <c r="C159" s="2294">
        <f t="shared" si="19"/>
        <v>1429.4321490399998</v>
      </c>
      <c r="D159" s="2294">
        <f>('CF(Y)'!L14)/1000</f>
        <v>0</v>
      </c>
      <c r="E159" s="2294">
        <f>('CF(Y)'!M14)/1000</f>
        <v>142.943214904</v>
      </c>
      <c r="F159" s="2294">
        <f>('CF(Y)'!N14)/1000</f>
        <v>142.943214904</v>
      </c>
      <c r="G159" s="2294">
        <f>('CF(Y)'!O14)/1000</f>
        <v>142.943214904</v>
      </c>
      <c r="H159" s="2295">
        <f>('CF(Y)'!P14)/1000</f>
        <v>142.943214904</v>
      </c>
      <c r="I159" s="2295">
        <f>('CF(Y)'!Q14)/1000</f>
        <v>142.943214904</v>
      </c>
      <c r="J159" s="2295">
        <f>('CF(Y)'!R14)/1000</f>
        <v>142.943214904</v>
      </c>
      <c r="K159" s="2295">
        <f>('CF(Y)'!S14)/1000</f>
        <v>142.943214904</v>
      </c>
      <c r="L159" s="2295">
        <f>('CF(Y)'!T14)/1000</f>
        <v>142.943214904</v>
      </c>
      <c r="M159" s="2295">
        <f>('CF(Y)'!U14)/1000</f>
        <v>142.943214904</v>
      </c>
      <c r="N159" s="2295">
        <f>('CF(Y)'!V14)/1000</f>
        <v>142.943214904</v>
      </c>
      <c r="P159" s="2293"/>
      <c r="Q159" s="2294"/>
      <c r="R159" s="2294"/>
      <c r="S159" s="2294"/>
      <c r="T159" s="2295"/>
    </row>
    <row r="160" spans="1:24" ht="12.75" thickBot="1">
      <c r="B160" s="2287" t="s">
        <v>1604</v>
      </c>
      <c r="C160" s="2302">
        <f t="shared" ca="1" si="16"/>
        <v>23206.747133190529</v>
      </c>
      <c r="D160" s="2302">
        <f t="shared" ref="D160:N160" ca="1" si="20">SUM(D161:D168)</f>
        <v>0</v>
      </c>
      <c r="E160" s="2302">
        <f t="shared" ca="1" si="20"/>
        <v>2039.7860308631332</v>
      </c>
      <c r="F160" s="2302">
        <f t="shared" ca="1" si="20"/>
        <v>2218.3837715292852</v>
      </c>
      <c r="G160" s="2302">
        <f t="shared" ca="1" si="20"/>
        <v>2287.7227908509713</v>
      </c>
      <c r="H160" s="2303">
        <f t="shared" ca="1" si="20"/>
        <v>2264.8208250571574</v>
      </c>
      <c r="I160" s="2303">
        <f t="shared" ca="1" si="20"/>
        <v>2223.6077966982289</v>
      </c>
      <c r="J160" s="2303">
        <f t="shared" ca="1" si="20"/>
        <v>2226.9533445234702</v>
      </c>
      <c r="K160" s="2303">
        <f t="shared" ca="1" si="20"/>
        <v>2231.1038136595862</v>
      </c>
      <c r="L160" s="2303">
        <f t="shared" ca="1" si="20"/>
        <v>2913.5996238864541</v>
      </c>
      <c r="M160" s="2303">
        <f t="shared" ca="1" si="20"/>
        <v>2333.5507352704267</v>
      </c>
      <c r="N160" s="2303">
        <f t="shared" ca="1" si="20"/>
        <v>2467.218400851817</v>
      </c>
      <c r="P160" s="2287"/>
      <c r="Q160" s="2288"/>
      <c r="R160" s="2288"/>
      <c r="S160" s="2288"/>
      <c r="T160" s="2289"/>
    </row>
    <row r="161" spans="2:20">
      <c r="B161" s="2293" t="s">
        <v>73</v>
      </c>
      <c r="C161" s="2294">
        <f t="shared" si="16"/>
        <v>642.16330010060005</v>
      </c>
      <c r="D161" s="2294">
        <f>-('CF(Y)'!L18)/1000</f>
        <v>0</v>
      </c>
      <c r="E161" s="2294">
        <f>-('CF(Y)'!M18)/1000</f>
        <v>60</v>
      </c>
      <c r="F161" s="2294">
        <f>-('CF(Y)'!N18)/1000</f>
        <v>60.899999999999991</v>
      </c>
      <c r="G161" s="2294">
        <f>-('CF(Y)'!O18)/1000</f>
        <v>61.813499999999991</v>
      </c>
      <c r="H161" s="2295">
        <f>-('CF(Y)'!P18)/1000</f>
        <v>62.74070249999999</v>
      </c>
      <c r="I161" s="2295">
        <f>-('CF(Y)'!Q18)/1000</f>
        <v>63.681813037499964</v>
      </c>
      <c r="J161" s="2295">
        <f>-('CF(Y)'!R18)/1000</f>
        <v>64.63704023306245</v>
      </c>
      <c r="K161" s="2295">
        <f>-('CF(Y)'!S18)/1000</f>
        <v>65.60659583655837</v>
      </c>
      <c r="L161" s="2295">
        <f>-('CF(Y)'!T18)/1000</f>
        <v>66.590694774106751</v>
      </c>
      <c r="M161" s="2295">
        <f>-('CF(Y)'!U18)/1000</f>
        <v>67.589555195718347</v>
      </c>
      <c r="N161" s="2295">
        <f>-('CF(Y)'!V18)/1000</f>
        <v>68.603398523654121</v>
      </c>
      <c r="P161" s="2293"/>
      <c r="Q161" s="2294"/>
      <c r="R161" s="2294"/>
      <c r="S161" s="2294"/>
      <c r="T161" s="2295"/>
    </row>
    <row r="162" spans="2:20">
      <c r="B162" s="2293" t="s">
        <v>75</v>
      </c>
      <c r="C162" s="2294">
        <f t="shared" si="16"/>
        <v>6974.9803358780382</v>
      </c>
      <c r="D162" s="2294">
        <f>-('CF(Y)'!L19)/1000</f>
        <v>0</v>
      </c>
      <c r="E162" s="2294">
        <f>-('CF(Y)'!M19)/1000</f>
        <v>637.00073600459996</v>
      </c>
      <c r="F162" s="2294">
        <f>-('CF(Y)'!N19)/1000</f>
        <v>649.74075072469191</v>
      </c>
      <c r="G162" s="2294">
        <f>-('CF(Y)'!O19)/1000</f>
        <v>662.73556573918586</v>
      </c>
      <c r="H162" s="2295">
        <f>-('CF(Y)'!P19)/1000</f>
        <v>675.99027705396941</v>
      </c>
      <c r="I162" s="2295">
        <f>-('CF(Y)'!Q19)/1000</f>
        <v>689.51008259504863</v>
      </c>
      <c r="J162" s="2295">
        <f>-('CF(Y)'!R19)/1000</f>
        <v>703.30028424694979</v>
      </c>
      <c r="K162" s="2295">
        <f>-('CF(Y)'!S19)/1000</f>
        <v>717.36628993188879</v>
      </c>
      <c r="L162" s="2295">
        <f>-('CF(Y)'!T19)/1000</f>
        <v>731.71361573052673</v>
      </c>
      <c r="M162" s="2295">
        <f>-('CF(Y)'!U19)/1000</f>
        <v>746.34788804513721</v>
      </c>
      <c r="N162" s="2295">
        <f>-('CF(Y)'!V19)/1000</f>
        <v>761.27484580603982</v>
      </c>
      <c r="P162" s="2293"/>
      <c r="Q162" s="2294"/>
      <c r="R162" s="2294"/>
      <c r="S162" s="2294"/>
      <c r="T162" s="2295"/>
    </row>
    <row r="163" spans="2:20" hidden="1">
      <c r="B163" s="2293" t="s">
        <v>80</v>
      </c>
      <c r="C163" s="2294">
        <f t="shared" si="16"/>
        <v>0</v>
      </c>
      <c r="D163" s="2294">
        <f>-('CF(Y)'!L21)/1000</f>
        <v>0</v>
      </c>
      <c r="E163" s="2294">
        <f>-('CF(Y)'!M21)/1000</f>
        <v>0</v>
      </c>
      <c r="F163" s="2294">
        <f>-('CF(Y)'!N21)/1000</f>
        <v>0</v>
      </c>
      <c r="G163" s="2294">
        <f>-('CF(Y)'!O21)/1000</f>
        <v>0</v>
      </c>
      <c r="H163" s="2295">
        <f>-('CF(Y)'!P21)/1000</f>
        <v>0</v>
      </c>
      <c r="I163" s="2295">
        <f>-('CF(Y)'!Q21)/1000</f>
        <v>0</v>
      </c>
      <c r="J163" s="2295">
        <f>-('CF(Y)'!R21)/1000</f>
        <v>0</v>
      </c>
      <c r="K163" s="2295">
        <f>-('CF(Y)'!S21)/1000</f>
        <v>0</v>
      </c>
      <c r="L163" s="2295">
        <f>-('CF(Y)'!T21)/1000</f>
        <v>0</v>
      </c>
      <c r="M163" s="2295">
        <f>-('CF(Y)'!U21)/1000</f>
        <v>0</v>
      </c>
      <c r="N163" s="2295">
        <f>-('CF(Y)'!V21)/1000</f>
        <v>0</v>
      </c>
      <c r="P163" s="2293"/>
      <c r="Q163" s="2294"/>
      <c r="R163" s="2294"/>
      <c r="S163" s="2294"/>
      <c r="T163" s="2295"/>
    </row>
    <row r="164" spans="2:20">
      <c r="B164" s="2293" t="s">
        <v>83</v>
      </c>
      <c r="C164" s="2294">
        <f t="shared" ca="1" si="16"/>
        <v>6789.2028330659659</v>
      </c>
      <c r="D164" s="2294">
        <f ca="1">-('CF(Y)'!L22)/1000</f>
        <v>0</v>
      </c>
      <c r="E164" s="2294">
        <f ca="1">-('CF(Y)'!M22)/1000</f>
        <v>742.28470000000004</v>
      </c>
      <c r="F164" s="2294">
        <f ca="1">-('CF(Y)'!N22)/1000</f>
        <v>727.43900600000018</v>
      </c>
      <c r="G164" s="2294">
        <f ca="1">-('CF(Y)'!O22)/1000</f>
        <v>712.89022587999989</v>
      </c>
      <c r="H164" s="2295">
        <f ca="1">-('CF(Y)'!P22)/1000</f>
        <v>698.63242136240001</v>
      </c>
      <c r="I164" s="2295">
        <f ca="1">-('CF(Y)'!Q22)/1000</f>
        <v>684.65977293515209</v>
      </c>
      <c r="J164" s="2295">
        <f ca="1">-('CF(Y)'!R22)/1000</f>
        <v>670.96657747644883</v>
      </c>
      <c r="K164" s="2295">
        <f ca="1">-('CF(Y)'!S22)/1000</f>
        <v>657.54724592692003</v>
      </c>
      <c r="L164" s="2295">
        <f ca="1">-('CF(Y)'!T22)/1000</f>
        <v>644.39630100838178</v>
      </c>
      <c r="M164" s="2295">
        <f ca="1">-('CF(Y)'!U22)/1000</f>
        <v>631.50837498821386</v>
      </c>
      <c r="N164" s="2295">
        <f ca="1">-('CF(Y)'!V22)/1000</f>
        <v>618.87820748844968</v>
      </c>
      <c r="P164" s="2293"/>
      <c r="Q164" s="2294"/>
      <c r="R164" s="2294"/>
      <c r="S164" s="2294"/>
      <c r="T164" s="2295"/>
    </row>
    <row r="165" spans="2:20">
      <c r="B165" s="2293" t="s">
        <v>78</v>
      </c>
      <c r="C165" s="2294">
        <f t="shared" si="16"/>
        <v>341.53875420512702</v>
      </c>
      <c r="D165" s="2294">
        <f>-('CF(Y)'!L20)/1000</f>
        <v>0</v>
      </c>
      <c r="E165" s="2294">
        <f>-('CF(Y)'!M20)/1000</f>
        <v>31.191548553000004</v>
      </c>
      <c r="F165" s="2294">
        <f>-('CF(Y)'!N20)/1000</f>
        <v>31.815379524059992</v>
      </c>
      <c r="G165" s="2294">
        <f>-('CF(Y)'!O20)/1000</f>
        <v>32.451687114541201</v>
      </c>
      <c r="H165" s="2295">
        <f>-('CF(Y)'!P20)/1000</f>
        <v>33.100720856832019</v>
      </c>
      <c r="I165" s="2295">
        <f>-('CF(Y)'!Q20)/1000</f>
        <v>33.762735273968651</v>
      </c>
      <c r="J165" s="2295">
        <f>-('CF(Y)'!R20)/1000</f>
        <v>34.437989979448041</v>
      </c>
      <c r="K165" s="2295">
        <f>-('CF(Y)'!S20)/1000</f>
        <v>35.126749779036992</v>
      </c>
      <c r="L165" s="2295">
        <f>-('CF(Y)'!T20)/1000</f>
        <v>35.829284774617733</v>
      </c>
      <c r="M165" s="2295">
        <f>-('CF(Y)'!U20)/1000</f>
        <v>36.545870470110088</v>
      </c>
      <c r="N165" s="2295">
        <f>-('CF(Y)'!V20)/1000</f>
        <v>37.276787879512291</v>
      </c>
      <c r="P165" s="2293"/>
      <c r="Q165" s="2294"/>
      <c r="R165" s="2294"/>
      <c r="S165" s="2294"/>
      <c r="T165" s="2295"/>
    </row>
    <row r="166" spans="2:20">
      <c r="B166" s="2293" t="s">
        <v>1539</v>
      </c>
      <c r="C166" s="2294">
        <f t="shared" si="16"/>
        <v>208.94832972200001</v>
      </c>
      <c r="D166" s="2294">
        <f>-('CF(Y)'!L27)/1000</f>
        <v>0</v>
      </c>
      <c r="E166" s="2294">
        <f>-('CF(Y)'!M27)/1000</f>
        <v>20.894832972200003</v>
      </c>
      <c r="F166" s="2294">
        <f>-('CF(Y)'!N27)/1000</f>
        <v>20.894832972200003</v>
      </c>
      <c r="G166" s="2294">
        <f>-('CF(Y)'!O27)/1000</f>
        <v>20.894832972200003</v>
      </c>
      <c r="H166" s="2295">
        <f>-('CF(Y)'!P27)/1000</f>
        <v>20.894832972200003</v>
      </c>
      <c r="I166" s="2295">
        <f>-('CF(Y)'!Q27)/1000</f>
        <v>20.894832972200003</v>
      </c>
      <c r="J166" s="2295">
        <f>-('CF(Y)'!R27)/1000</f>
        <v>20.894832972200003</v>
      </c>
      <c r="K166" s="2295">
        <f>-('CF(Y)'!S27)/1000</f>
        <v>20.894832972200003</v>
      </c>
      <c r="L166" s="2295">
        <f>-('CF(Y)'!T27)/1000</f>
        <v>20.894832972200003</v>
      </c>
      <c r="M166" s="2295">
        <f>-('CF(Y)'!U27)/1000</f>
        <v>20.894832972200003</v>
      </c>
      <c r="N166" s="2295">
        <f>-('CF(Y)'!V27)/1000</f>
        <v>20.894832972200003</v>
      </c>
      <c r="P166" s="2293"/>
      <c r="Q166" s="2294"/>
      <c r="R166" s="2294"/>
      <c r="S166" s="2294"/>
      <c r="T166" s="2295"/>
    </row>
    <row r="167" spans="2:20">
      <c r="B167" s="2293" t="s">
        <v>1543</v>
      </c>
      <c r="C167" s="2294">
        <f t="shared" si="16"/>
        <v>7357.625717769004</v>
      </c>
      <c r="D167" s="2294">
        <f>-('CF(Y)'!L23+'CF(Y)'!L24+'CF(Y)'!L25+'CF(Y)'!L26)/1000</f>
        <v>0</v>
      </c>
      <c r="E167" s="2294">
        <f>-('CF(Y)'!M23+'CF(Y)'!M24+'CF(Y)'!M25+'CF(Y)'!M26)/1000</f>
        <v>537.54084333333321</v>
      </c>
      <c r="F167" s="2294">
        <f>-('CF(Y)'!N23+'CF(Y)'!N24+'CF(Y)'!N25+'CF(Y)'!N26)/1000</f>
        <v>727.59380230833324</v>
      </c>
      <c r="G167" s="2294">
        <f>-('CF(Y)'!O23+'CF(Y)'!O24+'CF(Y)'!O25+'CF(Y)'!O26)/1000</f>
        <v>728.53858662287496</v>
      </c>
      <c r="H167" s="2295">
        <f>-('CF(Y)'!P23+'CF(Y)'!P24+'CF(Y)'!P25+'CF(Y)'!P26)/1000</f>
        <v>729.70637299968189</v>
      </c>
      <c r="I167" s="2295">
        <f>-('CF(Y)'!Q23+'CF(Y)'!Q24+'CF(Y)'!Q25+'CF(Y)'!Q26)/1000</f>
        <v>731.09855988435959</v>
      </c>
      <c r="J167" s="2295">
        <f>-('CF(Y)'!R23+'CF(Y)'!R24+'CF(Y)'!R25+'CF(Y)'!R26)/1000</f>
        <v>732.71661961536086</v>
      </c>
      <c r="K167" s="2295">
        <f>-('CF(Y)'!S23+'CF(Y)'!S24+'CF(Y)'!S25+'CF(Y)'!S26)/1000</f>
        <v>734.56209921298228</v>
      </c>
      <c r="L167" s="2295">
        <f>-('CF(Y)'!T23+'CF(Y)'!T24+'CF(Y)'!T25+'CF(Y)'!T26)/1000</f>
        <v>736.63662119447622</v>
      </c>
      <c r="M167" s="2295">
        <f>-('CF(Y)'!U23+'CF(Y)'!U24+'CF(Y)'!U25+'CF(Y)'!U26)/1000</f>
        <v>738.94188441564165</v>
      </c>
      <c r="N167" s="2295">
        <f>-('CF(Y)'!V23+'CF(Y)'!V24+'CF(Y)'!V25+'CF(Y)'!V26)/1000</f>
        <v>960.29032818196117</v>
      </c>
      <c r="P167" s="2293"/>
      <c r="Q167" s="2294"/>
      <c r="R167" s="2294"/>
      <c r="S167" s="2294"/>
      <c r="T167" s="2295"/>
    </row>
    <row r="168" spans="2:20" ht="12.75" thickBot="1">
      <c r="B168" s="2293" t="s">
        <v>468</v>
      </c>
      <c r="C168" s="2294">
        <f t="shared" si="16"/>
        <v>892.28786244979403</v>
      </c>
      <c r="D168" s="2294">
        <f>-('CF(Y)'!L28)/1000</f>
        <v>0</v>
      </c>
      <c r="E168" s="2294">
        <f>-('CF(Y)'!M28)/1000</f>
        <v>10.87337</v>
      </c>
      <c r="F168" s="2294">
        <f>-('CF(Y)'!N28)/1000</f>
        <v>0</v>
      </c>
      <c r="G168" s="2294">
        <f>-('CF(Y)'!O28)/1000</f>
        <v>68.398392522169118</v>
      </c>
      <c r="H168" s="2295">
        <f>-('CF(Y)'!P28)/1000</f>
        <v>43.755497312074368</v>
      </c>
      <c r="I168" s="2295">
        <f>-('CF(Y)'!Q28)/1000</f>
        <v>0</v>
      </c>
      <c r="J168" s="2295">
        <f>-('CF(Y)'!R28)/1000</f>
        <v>0</v>
      </c>
      <c r="K168" s="2295">
        <f>-('CF(Y)'!S28)/1000</f>
        <v>0</v>
      </c>
      <c r="L168" s="2295">
        <f>-('CF(Y)'!T28)/1000</f>
        <v>677.53827343214505</v>
      </c>
      <c r="M168" s="2295">
        <f>-('CF(Y)'!U28)/1000</f>
        <v>91.722329183405492</v>
      </c>
      <c r="N168" s="2295">
        <f>-('CF(Y)'!V28)/1000</f>
        <v>0</v>
      </c>
      <c r="P168" s="2293"/>
      <c r="Q168" s="2294"/>
      <c r="R168" s="2294"/>
      <c r="S168" s="2294"/>
      <c r="T168" s="2295"/>
    </row>
    <row r="169" spans="2:20" ht="12.75" thickBot="1">
      <c r="B169" s="2287" t="s">
        <v>1605</v>
      </c>
      <c r="C169" s="2302">
        <f t="shared" ref="C169:C174" ca="1" si="21">SUM(D169:N169)</f>
        <v>150204.86780054582</v>
      </c>
      <c r="D169" s="2302">
        <f t="shared" ref="D169:N169" ca="1" si="22">D156-D160</f>
        <v>0</v>
      </c>
      <c r="E169" s="2302">
        <f t="shared" ca="1" si="22"/>
        <v>13297.314188413213</v>
      </c>
      <c r="F169" s="2302">
        <f t="shared" ca="1" si="22"/>
        <v>13464.475636856363</v>
      </c>
      <c r="G169" s="2302">
        <f t="shared" ca="1" si="22"/>
        <v>9078.9493206805491</v>
      </c>
      <c r="H169" s="2303">
        <f t="shared" ca="1" si="22"/>
        <v>15217.95045421284</v>
      </c>
      <c r="I169" s="2303">
        <f t="shared" ca="1" si="22"/>
        <v>15700.582221042123</v>
      </c>
      <c r="J169" s="2303">
        <f t="shared" ca="1" si="22"/>
        <v>16139.800839287789</v>
      </c>
      <c r="K169" s="2303">
        <f t="shared" ca="1" si="22"/>
        <v>16589.278640374356</v>
      </c>
      <c r="L169" s="2303">
        <f t="shared" ca="1" si="22"/>
        <v>16150.801853880577</v>
      </c>
      <c r="M169" s="2303">
        <f t="shared" ca="1" si="22"/>
        <v>17108.697350464143</v>
      </c>
      <c r="N169" s="2303">
        <f t="shared" ca="1" si="22"/>
        <v>17457.017295333862</v>
      </c>
      <c r="P169" s="2287"/>
      <c r="Q169" s="2288"/>
      <c r="R169" s="2288"/>
      <c r="S169" s="2288"/>
      <c r="T169" s="2289"/>
    </row>
    <row r="170" spans="2:20" ht="12.75" thickBot="1">
      <c r="B170" s="2287" t="s">
        <v>513</v>
      </c>
      <c r="C170" s="2302">
        <f t="shared" ca="1" si="21"/>
        <v>-98581.637533343484</v>
      </c>
      <c r="D170" s="2302">
        <f t="shared" ref="D170:N170" si="23">SUM(D171:D174)</f>
        <v>0</v>
      </c>
      <c r="E170" s="2302">
        <f t="shared" ca="1" si="23"/>
        <v>-10064.637533343484</v>
      </c>
      <c r="F170" s="2302">
        <f t="shared" ca="1" si="23"/>
        <v>-9920</v>
      </c>
      <c r="G170" s="2302">
        <f t="shared" ca="1" si="23"/>
        <v>-10224</v>
      </c>
      <c r="H170" s="2303">
        <f t="shared" ca="1" si="23"/>
        <v>-10224</v>
      </c>
      <c r="I170" s="2303">
        <f t="shared" ca="1" si="23"/>
        <v>-10224</v>
      </c>
      <c r="J170" s="2303">
        <f t="shared" ca="1" si="23"/>
        <v>-9585</v>
      </c>
      <c r="K170" s="2303">
        <f t="shared" ca="1" si="23"/>
        <v>-9585</v>
      </c>
      <c r="L170" s="2303">
        <f t="shared" ca="1" si="23"/>
        <v>-9585</v>
      </c>
      <c r="M170" s="2303">
        <f t="shared" ca="1" si="23"/>
        <v>-9585</v>
      </c>
      <c r="N170" s="2303">
        <f t="shared" ca="1" si="23"/>
        <v>-9585</v>
      </c>
      <c r="P170" s="2287"/>
      <c r="Q170" s="2288"/>
      <c r="R170" s="2288"/>
      <c r="S170" s="2288"/>
      <c r="T170" s="2289"/>
    </row>
    <row r="171" spans="2:20">
      <c r="B171" s="2290" t="s">
        <v>239</v>
      </c>
      <c r="C171" s="2291">
        <f t="shared" ca="1" si="21"/>
        <v>0</v>
      </c>
      <c r="D171" s="2291">
        <f>('CF(Y)'!L15+'CF(Y)'!L16)/1000</f>
        <v>0</v>
      </c>
      <c r="E171" s="2291">
        <f ca="1">('CF(Y)'!M15+'CF(Y)'!M16)/1000</f>
        <v>0</v>
      </c>
      <c r="F171" s="2291">
        <f ca="1">('CF(Y)'!N15+'CF(Y)'!N16)/1000</f>
        <v>0</v>
      </c>
      <c r="G171" s="2291">
        <f ca="1">('CF(Y)'!O15+'CF(Y)'!O16)/1000</f>
        <v>0</v>
      </c>
      <c r="H171" s="2292">
        <f ca="1">('CF(Y)'!P15+'CF(Y)'!P16)/1000</f>
        <v>0</v>
      </c>
      <c r="I171" s="2292">
        <f ca="1">('CF(Y)'!Q15+'CF(Y)'!Q16)/1000</f>
        <v>0</v>
      </c>
      <c r="J171" s="2292">
        <f ca="1">('CF(Y)'!R15+'CF(Y)'!R16)/1000</f>
        <v>0</v>
      </c>
      <c r="K171" s="2292">
        <f ca="1">('CF(Y)'!S15+'CF(Y)'!S16)/1000</f>
        <v>0</v>
      </c>
      <c r="L171" s="2292">
        <f ca="1">('CF(Y)'!T15+'CF(Y)'!T16)/1000</f>
        <v>0</v>
      </c>
      <c r="M171" s="2292">
        <f ca="1">('CF(Y)'!U15+'CF(Y)'!U16)/1000</f>
        <v>0</v>
      </c>
      <c r="N171" s="2292">
        <f ca="1">('CF(Y)'!V15+'CF(Y)'!V16)/1000</f>
        <v>0</v>
      </c>
      <c r="P171" s="2290"/>
      <c r="Q171" s="2291"/>
      <c r="R171" s="2291"/>
      <c r="S171" s="2291"/>
      <c r="T171" s="2292"/>
    </row>
    <row r="172" spans="2:20">
      <c r="B172" s="2293" t="s">
        <v>1606</v>
      </c>
      <c r="C172" s="2294">
        <f t="shared" si="21"/>
        <v>-93877</v>
      </c>
      <c r="D172" s="2294">
        <f>('CF(Y)'!L36+'CF(Y)'!L37+'CF(Y)'!L38)/1000</f>
        <v>0</v>
      </c>
      <c r="E172" s="2294">
        <f>('CF(Y)'!M36+'CF(Y)'!M37+'CF(Y)'!M38)/1000</f>
        <v>-7640</v>
      </c>
      <c r="F172" s="2294">
        <f>('CF(Y)'!N36+'CF(Y)'!N37+'CF(Y)'!N38)/1000</f>
        <v>-7640</v>
      </c>
      <c r="G172" s="2294">
        <f>('CF(Y)'!O36+'CF(Y)'!O37+'CF(Y)'!O38)/1000</f>
        <v>-10224</v>
      </c>
      <c r="H172" s="2295">
        <f>('CF(Y)'!P36+'CF(Y)'!P37+'CF(Y)'!P38)/1000</f>
        <v>-10224</v>
      </c>
      <c r="I172" s="2295">
        <f>('CF(Y)'!Q36+'CF(Y)'!Q37+'CF(Y)'!Q38)/1000</f>
        <v>-10224</v>
      </c>
      <c r="J172" s="2295">
        <f>('CF(Y)'!R36+'CF(Y)'!R37+'CF(Y)'!R38)/1000</f>
        <v>-9585</v>
      </c>
      <c r="K172" s="2295">
        <f>('CF(Y)'!S36+'CF(Y)'!S37+'CF(Y)'!S38)/1000</f>
        <v>-9585</v>
      </c>
      <c r="L172" s="2295">
        <f>('CF(Y)'!T36+'CF(Y)'!T37+'CF(Y)'!T38)/1000</f>
        <v>-9585</v>
      </c>
      <c r="M172" s="2295">
        <f>('CF(Y)'!U36+'CF(Y)'!U37+'CF(Y)'!U38)/1000</f>
        <v>-9585</v>
      </c>
      <c r="N172" s="2295">
        <f>('CF(Y)'!V36+'CF(Y)'!V37+'CF(Y)'!V38)/1000</f>
        <v>-9585</v>
      </c>
      <c r="P172" s="2293"/>
      <c r="Q172" s="2294"/>
      <c r="R172" s="2294"/>
      <c r="S172" s="2294"/>
      <c r="T172" s="2295"/>
    </row>
    <row r="173" spans="2:20">
      <c r="B173" s="2293" t="s">
        <v>1540</v>
      </c>
      <c r="C173" s="2294">
        <f t="shared" si="21"/>
        <v>-4560</v>
      </c>
      <c r="D173" s="2294">
        <f>('CF(Y)'!L39+'CF(Y)'!L40+'CF(Y)'!L41)/1000</f>
        <v>0</v>
      </c>
      <c r="E173" s="2294">
        <f>('CF(Y)'!M39+'CF(Y)'!M40+'CF(Y)'!M41)/1000</f>
        <v>-2280</v>
      </c>
      <c r="F173" s="2294">
        <f>('CF(Y)'!N39+'CF(Y)'!N40+'CF(Y)'!N41)/1000</f>
        <v>-2280</v>
      </c>
      <c r="G173" s="2294">
        <f>('CF(Y)'!O39+'CF(Y)'!O40+'CF(Y)'!O41)/1000</f>
        <v>0</v>
      </c>
      <c r="H173" s="2295">
        <f>('CF(Y)'!P39+'CF(Y)'!P40+'CF(Y)'!P41)/1000</f>
        <v>0</v>
      </c>
      <c r="I173" s="2295">
        <f>('CF(Y)'!Q39+'CF(Y)'!Q40+'CF(Y)'!Q41)/1000</f>
        <v>0</v>
      </c>
      <c r="J173" s="2295">
        <f>('CF(Y)'!R39+'CF(Y)'!R40+'CF(Y)'!R41)/1000</f>
        <v>0</v>
      </c>
      <c r="K173" s="2295">
        <f>('CF(Y)'!S39+'CF(Y)'!S40+'CF(Y)'!S41)/1000</f>
        <v>0</v>
      </c>
      <c r="L173" s="2295">
        <f>('CF(Y)'!T39+'CF(Y)'!T40+'CF(Y)'!T41)/1000</f>
        <v>0</v>
      </c>
      <c r="M173" s="2295">
        <f>('CF(Y)'!U39+'CF(Y)'!U40+'CF(Y)'!U41)/1000</f>
        <v>0</v>
      </c>
      <c r="N173" s="2295">
        <f>('CF(Y)'!V39+'CF(Y)'!V40+'CF(Y)'!V41)/1000</f>
        <v>0</v>
      </c>
      <c r="P173" s="2293"/>
      <c r="Q173" s="2294"/>
      <c r="R173" s="2294"/>
      <c r="S173" s="2294"/>
      <c r="T173" s="2295"/>
    </row>
    <row r="174" spans="2:20" ht="12.75" thickBot="1">
      <c r="B174" s="2293" t="s">
        <v>1607</v>
      </c>
      <c r="C174" s="2294">
        <f t="shared" si="21"/>
        <v>-144.63753334348496</v>
      </c>
      <c r="D174" s="2294">
        <f>('CF(Y)'!L42)/1000</f>
        <v>0</v>
      </c>
      <c r="E174" s="2294">
        <f>('CF(Y)'!M42)/1000</f>
        <v>-144.63753334348496</v>
      </c>
      <c r="F174" s="2294">
        <f>('CF(Y)'!N42)/1000</f>
        <v>0</v>
      </c>
      <c r="G174" s="2294">
        <f>('CF(Y)'!O42)/1000</f>
        <v>0</v>
      </c>
      <c r="H174" s="2295">
        <f>('CF(Y)'!P42)/1000</f>
        <v>0</v>
      </c>
      <c r="I174" s="2295">
        <f>('CF(Y)'!Q42)/1000</f>
        <v>0</v>
      </c>
      <c r="J174" s="2295">
        <f>('CF(Y)'!R42)/1000</f>
        <v>0</v>
      </c>
      <c r="K174" s="2295">
        <f>('CF(Y)'!S42)/1000</f>
        <v>0</v>
      </c>
      <c r="L174" s="2295">
        <f>('CF(Y)'!T42)/1000</f>
        <v>0</v>
      </c>
      <c r="M174" s="2295">
        <f>('CF(Y)'!U42)/1000</f>
        <v>0</v>
      </c>
      <c r="N174" s="2295">
        <f>('CF(Y)'!V42)/1000</f>
        <v>0</v>
      </c>
      <c r="P174" s="2293"/>
      <c r="Q174" s="2294"/>
      <c r="R174" s="2294"/>
      <c r="S174" s="2294"/>
      <c r="T174" s="2295"/>
    </row>
    <row r="175" spans="2:20" ht="12.75" thickBot="1">
      <c r="B175" s="2287" t="s">
        <v>1544</v>
      </c>
      <c r="C175" s="2302">
        <f t="shared" ref="C175:C184" si="24">SUM(D175:N175)</f>
        <v>8096.9916246850535</v>
      </c>
      <c r="D175" s="2302">
        <f t="shared" ref="D175:N175" si="25">SUM(D176:D180)</f>
        <v>0</v>
      </c>
      <c r="E175" s="2302">
        <f t="shared" si="25"/>
        <v>800.58184087102188</v>
      </c>
      <c r="F175" s="2302">
        <f t="shared" si="25"/>
        <v>802.50184087102184</v>
      </c>
      <c r="G175" s="2302">
        <f t="shared" si="25"/>
        <v>804.46024087102194</v>
      </c>
      <c r="H175" s="2303">
        <f t="shared" si="25"/>
        <v>806.45780887102183</v>
      </c>
      <c r="I175" s="2303">
        <f t="shared" si="25"/>
        <v>808.49532823102197</v>
      </c>
      <c r="J175" s="2303">
        <f t="shared" si="25"/>
        <v>810.57359797822187</v>
      </c>
      <c r="K175" s="2303">
        <f t="shared" si="25"/>
        <v>812.69343312036597</v>
      </c>
      <c r="L175" s="2303">
        <f t="shared" si="25"/>
        <v>814.85566496535273</v>
      </c>
      <c r="M175" s="2303">
        <f t="shared" si="25"/>
        <v>817.06114144723938</v>
      </c>
      <c r="N175" s="2303">
        <f t="shared" si="25"/>
        <v>819.31072745876372</v>
      </c>
      <c r="P175" s="2287"/>
      <c r="Q175" s="2288"/>
      <c r="R175" s="2288"/>
      <c r="S175" s="2288"/>
      <c r="T175" s="2289"/>
    </row>
    <row r="176" spans="2:20">
      <c r="B176" s="2290" t="s">
        <v>190</v>
      </c>
      <c r="C176" s="2291">
        <f t="shared" si="24"/>
        <v>6665.4700000000021</v>
      </c>
      <c r="D176" s="2291">
        <f>-('CF(Y)'!L31)/1000</f>
        <v>0</v>
      </c>
      <c r="E176" s="2291">
        <f>-('CF(Y)'!M31)/1000</f>
        <v>666.54700000000014</v>
      </c>
      <c r="F176" s="2291">
        <f>-('CF(Y)'!N31)/1000</f>
        <v>666.54700000000014</v>
      </c>
      <c r="G176" s="2291">
        <f>-('CF(Y)'!O31)/1000</f>
        <v>666.54700000000014</v>
      </c>
      <c r="H176" s="2292">
        <f>-('CF(Y)'!P31)/1000</f>
        <v>666.54700000000014</v>
      </c>
      <c r="I176" s="2292">
        <f>-('CF(Y)'!Q31)/1000</f>
        <v>666.54700000000014</v>
      </c>
      <c r="J176" s="2292">
        <f>-('CF(Y)'!R31)/1000</f>
        <v>666.54700000000014</v>
      </c>
      <c r="K176" s="2292">
        <f>-('CF(Y)'!S31)/1000</f>
        <v>666.54700000000014</v>
      </c>
      <c r="L176" s="2292">
        <f>-('CF(Y)'!T31)/1000</f>
        <v>666.54700000000014</v>
      </c>
      <c r="M176" s="2292">
        <f>-('CF(Y)'!U31)/1000</f>
        <v>666.54700000000014</v>
      </c>
      <c r="N176" s="2292">
        <f>-('CF(Y)'!V31)/1000</f>
        <v>666.54700000000014</v>
      </c>
      <c r="P176" s="2290"/>
      <c r="Q176" s="2291"/>
      <c r="R176" s="2291"/>
      <c r="S176" s="2291"/>
      <c r="T176" s="2292"/>
    </row>
    <row r="177" spans="2:20">
      <c r="B177" s="2293" t="s">
        <v>152</v>
      </c>
      <c r="C177" s="2294">
        <f t="shared" si="24"/>
        <v>260.34840871021777</v>
      </c>
      <c r="D177" s="2294">
        <f>-('CF(Y)'!L33)/1000</f>
        <v>0</v>
      </c>
      <c r="E177" s="2294">
        <f>-('CF(Y)'!M33)/1000</f>
        <v>26.034840871021775</v>
      </c>
      <c r="F177" s="2294">
        <f>-('CF(Y)'!N33)/1000</f>
        <v>26.034840871021775</v>
      </c>
      <c r="G177" s="2294">
        <f>-('CF(Y)'!O33)/1000</f>
        <v>26.034840871021775</v>
      </c>
      <c r="H177" s="2295">
        <f>-('CF(Y)'!P33)/1000</f>
        <v>26.034840871021775</v>
      </c>
      <c r="I177" s="2295">
        <f>-('CF(Y)'!Q33)/1000</f>
        <v>26.034840871021775</v>
      </c>
      <c r="J177" s="2295">
        <f>-('CF(Y)'!R33)/1000</f>
        <v>26.034840871021775</v>
      </c>
      <c r="K177" s="2295">
        <f>-('CF(Y)'!S33)/1000</f>
        <v>26.034840871021775</v>
      </c>
      <c r="L177" s="2295">
        <f>-('CF(Y)'!T33)/1000</f>
        <v>26.034840871021775</v>
      </c>
      <c r="M177" s="2295">
        <f>-('CF(Y)'!U33)/1000</f>
        <v>26.034840871021775</v>
      </c>
      <c r="N177" s="2295">
        <f>-('CF(Y)'!V33)/1000</f>
        <v>26.034840871021775</v>
      </c>
      <c r="P177" s="2293"/>
      <c r="Q177" s="2294"/>
      <c r="R177" s="2294"/>
      <c r="S177" s="2294"/>
      <c r="T177" s="2295"/>
    </row>
    <row r="178" spans="2:20">
      <c r="B178" s="2293" t="s">
        <v>150</v>
      </c>
      <c r="C178" s="2294">
        <f t="shared" si="24"/>
        <v>120</v>
      </c>
      <c r="D178" s="2294">
        <f>-('CF(Y)'!L32)/1000</f>
        <v>0</v>
      </c>
      <c r="E178" s="2294">
        <f>-('CF(Y)'!M32)/1000</f>
        <v>12</v>
      </c>
      <c r="F178" s="2294">
        <f>-('CF(Y)'!N32)/1000</f>
        <v>12</v>
      </c>
      <c r="G178" s="2294">
        <f>-('CF(Y)'!O32)/1000</f>
        <v>12</v>
      </c>
      <c r="H178" s="2295">
        <f>-('CF(Y)'!P32)/1000</f>
        <v>12</v>
      </c>
      <c r="I178" s="2295">
        <f>-('CF(Y)'!Q32)/1000</f>
        <v>12</v>
      </c>
      <c r="J178" s="2295">
        <f>-('CF(Y)'!R32)/1000</f>
        <v>12</v>
      </c>
      <c r="K178" s="2295">
        <f>-('CF(Y)'!S32)/1000</f>
        <v>12</v>
      </c>
      <c r="L178" s="2295">
        <f>-('CF(Y)'!T32)/1000</f>
        <v>12</v>
      </c>
      <c r="M178" s="2295">
        <f>-('CF(Y)'!U32)/1000</f>
        <v>12</v>
      </c>
      <c r="N178" s="2295">
        <f>-('CF(Y)'!V32)/1000</f>
        <v>12</v>
      </c>
      <c r="P178" s="2293"/>
      <c r="Q178" s="2294"/>
      <c r="R178" s="2294"/>
      <c r="S178" s="2294"/>
      <c r="T178" s="2295"/>
    </row>
    <row r="179" spans="2:20">
      <c r="B179" s="2293" t="s">
        <v>533</v>
      </c>
      <c r="C179" s="2294">
        <f t="shared" si="24"/>
        <v>788.37991198112559</v>
      </c>
      <c r="D179" s="2294">
        <f>-('CF(Y)'!L34)/1000</f>
        <v>0</v>
      </c>
      <c r="E179" s="2294">
        <f>-('CF(Y)'!M34)/1000</f>
        <v>72</v>
      </c>
      <c r="F179" s="2294">
        <f>-('CF(Y)'!N34)/1000</f>
        <v>73.44</v>
      </c>
      <c r="G179" s="2294">
        <f>-('CF(Y)'!O34)/1000</f>
        <v>74.908799999999999</v>
      </c>
      <c r="H179" s="2295">
        <f>-('CF(Y)'!P34)/1000</f>
        <v>76.406976</v>
      </c>
      <c r="I179" s="2295">
        <f>-('CF(Y)'!Q34)/1000</f>
        <v>77.935115520000011</v>
      </c>
      <c r="J179" s="2295">
        <f>-('CF(Y)'!R34)/1000</f>
        <v>79.493817830400005</v>
      </c>
      <c r="K179" s="2295">
        <f>-('CF(Y)'!S34)/1000</f>
        <v>81.083694187008007</v>
      </c>
      <c r="L179" s="2295">
        <f>-('CF(Y)'!T34)/1000</f>
        <v>82.70536807074815</v>
      </c>
      <c r="M179" s="2295">
        <f>-('CF(Y)'!U34)/1000</f>
        <v>84.359475432163123</v>
      </c>
      <c r="N179" s="2295">
        <f>-('CF(Y)'!V34)/1000</f>
        <v>86.046664940806366</v>
      </c>
      <c r="P179" s="2293"/>
      <c r="Q179" s="2294"/>
      <c r="R179" s="2294"/>
      <c r="S179" s="2294"/>
      <c r="T179" s="2295"/>
    </row>
    <row r="180" spans="2:20" ht="12.75" thickBot="1">
      <c r="B180" s="2293" t="s">
        <v>463</v>
      </c>
      <c r="C180" s="2294">
        <f t="shared" si="24"/>
        <v>262.79330399370861</v>
      </c>
      <c r="D180" s="2294">
        <f>-('CF(Y)'!L30)/1000</f>
        <v>0</v>
      </c>
      <c r="E180" s="2294">
        <f>-('CF(Y)'!M30)/1000</f>
        <v>24</v>
      </c>
      <c r="F180" s="2294">
        <f>-('CF(Y)'!N30)/1000</f>
        <v>24.48</v>
      </c>
      <c r="G180" s="2294">
        <f>-('CF(Y)'!O30)/1000</f>
        <v>24.969599999999996</v>
      </c>
      <c r="H180" s="2295">
        <f>-('CF(Y)'!P30)/1000</f>
        <v>25.468992000000004</v>
      </c>
      <c r="I180" s="2295">
        <f>-('CF(Y)'!Q30)/1000</f>
        <v>25.978371840000005</v>
      </c>
      <c r="J180" s="2295">
        <f>-('CF(Y)'!R30)/1000</f>
        <v>26.497939276800007</v>
      </c>
      <c r="K180" s="2295">
        <f>-('CF(Y)'!S30)/1000</f>
        <v>27.027898062336011</v>
      </c>
      <c r="L180" s="2295">
        <f>-('CF(Y)'!T30)/1000</f>
        <v>27.568456023582709</v>
      </c>
      <c r="M180" s="2295">
        <f>-('CF(Y)'!U30)/1000</f>
        <v>28.119825144054378</v>
      </c>
      <c r="N180" s="2295">
        <f>-('CF(Y)'!V30)/1000</f>
        <v>28.68222164693546</v>
      </c>
      <c r="P180" s="2293"/>
      <c r="Q180" s="2294"/>
      <c r="R180" s="2294"/>
      <c r="S180" s="2294"/>
      <c r="T180" s="2295"/>
    </row>
    <row r="181" spans="2:20" ht="12.75" thickBot="1">
      <c r="B181" s="2287" t="s">
        <v>1545</v>
      </c>
      <c r="C181" s="2302">
        <f t="shared" si="24"/>
        <v>70721.828045317379</v>
      </c>
      <c r="D181" s="2302">
        <f t="shared" ref="D181:N181" si="26">SUM(D182:D185)</f>
        <v>-301756.66963053192</v>
      </c>
      <c r="E181" s="2302">
        <f t="shared" si="26"/>
        <v>12800.493159896285</v>
      </c>
      <c r="F181" s="2302">
        <f t="shared" si="26"/>
        <v>-2.1453792278858599E-2</v>
      </c>
      <c r="G181" s="2302">
        <f t="shared" si="26"/>
        <v>-6.8764553143410305</v>
      </c>
      <c r="H181" s="2303">
        <f t="shared" si="26"/>
        <v>6.788056276229792</v>
      </c>
      <c r="I181" s="2303">
        <f t="shared" si="26"/>
        <v>-6.696053971166839E-2</v>
      </c>
      <c r="J181" s="2303">
        <f t="shared" si="26"/>
        <v>-8.2154760116158285E-2</v>
      </c>
      <c r="K181" s="2303">
        <f t="shared" si="26"/>
        <v>-9.7371647377556658E-2</v>
      </c>
      <c r="L181" s="2303">
        <f t="shared" si="26"/>
        <v>-7.8512675222336545</v>
      </c>
      <c r="M181" s="2303">
        <f t="shared" si="26"/>
        <v>7.6107528104851081</v>
      </c>
      <c r="N181" s="2303">
        <f t="shared" si="26"/>
        <v>359678.60137044243</v>
      </c>
      <c r="P181" s="2287"/>
      <c r="Q181" s="2288"/>
      <c r="R181" s="2288"/>
      <c r="S181" s="2288"/>
      <c r="T181" s="2289"/>
    </row>
    <row r="182" spans="2:20" ht="12.75" thickBot="1">
      <c r="B182" s="2293" t="s">
        <v>1507</v>
      </c>
      <c r="C182" s="2294">
        <f t="shared" si="24"/>
        <v>-270000</v>
      </c>
      <c r="D182" s="2294">
        <f>('CF(Y)'!L56)/1000</f>
        <v>-270000</v>
      </c>
      <c r="E182" s="2294">
        <f>('CF(Y)'!M56)/1000</f>
        <v>0</v>
      </c>
      <c r="F182" s="2294">
        <f>('CF(Y)'!N56)/1000</f>
        <v>0</v>
      </c>
      <c r="G182" s="2294">
        <f>('CF(Y)'!O56)/1000</f>
        <v>0</v>
      </c>
      <c r="H182" s="2295">
        <f>('CF(Y)'!P56)/1000</f>
        <v>0</v>
      </c>
      <c r="I182" s="2295">
        <f>('CF(Y)'!Q56)/1000</f>
        <v>0</v>
      </c>
      <c r="J182" s="2295">
        <f>('CF(Y)'!R56)/1000</f>
        <v>0</v>
      </c>
      <c r="K182" s="2295">
        <f>('CF(Y)'!S56)/1000</f>
        <v>0</v>
      </c>
      <c r="L182" s="2295">
        <f>('CF(Y)'!T56)/1000</f>
        <v>0</v>
      </c>
      <c r="M182" s="2295">
        <f>('CF(Y)'!U56)/1000</f>
        <v>0</v>
      </c>
      <c r="N182" s="2295">
        <f>('CF(Y)'!V56)/1000</f>
        <v>0</v>
      </c>
      <c r="P182" s="2287"/>
      <c r="Q182" s="2288"/>
      <c r="R182" s="2288"/>
      <c r="S182" s="2288"/>
      <c r="T182" s="2289"/>
    </row>
    <row r="183" spans="2:20">
      <c r="B183" s="2293" t="s">
        <v>1609</v>
      </c>
      <c r="C183" s="2294">
        <f t="shared" si="24"/>
        <v>-18899.999999999956</v>
      </c>
      <c r="D183" s="2294">
        <f>('CF(Y)'!L57+'CF(Y)'!L58+'CF(Y)'!L59+'CF(Y)'!L60+'CF(Y)'!L61)/1000</f>
        <v>-18899.999999999956</v>
      </c>
      <c r="E183" s="2294">
        <f>('CF(Y)'!M57+'CF(Y)'!M58+'CF(Y)'!M59+'CF(Y)'!M60+'CF(Y)'!M61)/1000</f>
        <v>0</v>
      </c>
      <c r="F183" s="2294">
        <f>('CF(Y)'!N57+'CF(Y)'!N58+'CF(Y)'!N59+'CF(Y)'!N60+'CF(Y)'!N61)/1000</f>
        <v>0</v>
      </c>
      <c r="G183" s="2294">
        <f>('CF(Y)'!O57+'CF(Y)'!O58+'CF(Y)'!O59+'CF(Y)'!O60+'CF(Y)'!O61)/1000</f>
        <v>0</v>
      </c>
      <c r="H183" s="2295">
        <f>('CF(Y)'!P57+'CF(Y)'!P58+'CF(Y)'!P59+'CF(Y)'!P60+'CF(Y)'!P61)/1000</f>
        <v>0</v>
      </c>
      <c r="I183" s="2295">
        <f>('CF(Y)'!Q57+'CF(Y)'!Q58+'CF(Y)'!Q59+'CF(Y)'!Q60+'CF(Y)'!Q61)/1000</f>
        <v>0</v>
      </c>
      <c r="J183" s="2295">
        <f>('CF(Y)'!R57+'CF(Y)'!R58+'CF(Y)'!R59+'CF(Y)'!R60+'CF(Y)'!R61)/1000</f>
        <v>0</v>
      </c>
      <c r="K183" s="2295">
        <f>('CF(Y)'!S57+'CF(Y)'!S58+'CF(Y)'!S59+'CF(Y)'!S60+'CF(Y)'!S61)/1000</f>
        <v>0</v>
      </c>
      <c r="L183" s="2295">
        <f>('CF(Y)'!T57+'CF(Y)'!T58+'CF(Y)'!T59+'CF(Y)'!T60+'CF(Y)'!T61)/1000</f>
        <v>0</v>
      </c>
      <c r="M183" s="2295">
        <f>('CF(Y)'!U57+'CF(Y)'!U58+'CF(Y)'!U59+'CF(Y)'!U60+'CF(Y)'!U61)/1000</f>
        <v>0</v>
      </c>
      <c r="N183" s="2295">
        <f>('CF(Y)'!V57+'CF(Y)'!V58+'CF(Y)'!V59+'CF(Y)'!V60+'CF(Y)'!V61)/1000</f>
        <v>0</v>
      </c>
      <c r="P183" s="2290"/>
      <c r="Q183" s="2291"/>
      <c r="R183" s="2291"/>
      <c r="S183" s="2291"/>
      <c r="T183" s="2292"/>
    </row>
    <row r="184" spans="2:20">
      <c r="B184" s="2293" t="s">
        <v>1610</v>
      </c>
      <c r="C184" s="2294">
        <f t="shared" si="24"/>
        <v>359621.82804531738</v>
      </c>
      <c r="D184" s="2294">
        <f>('CF(Y)'!L51+'CF(Y)'!L52+'CF(Y)'!L53+'CF(Y)'!L54)/1000</f>
        <v>0</v>
      </c>
      <c r="E184" s="2294">
        <f>('CF(Y)'!M51+'CF(Y)'!M52+'CF(Y)'!M53+'CF(Y)'!M54)/1000</f>
        <v>0</v>
      </c>
      <c r="F184" s="2294">
        <f>('CF(Y)'!N51+'CF(Y)'!N52+'CF(Y)'!N53+'CF(Y)'!N54)/1000</f>
        <v>0</v>
      </c>
      <c r="G184" s="2294">
        <f>('CF(Y)'!O51+'CF(Y)'!O52+'CF(Y)'!O53+'CF(Y)'!O54)/1000</f>
        <v>0</v>
      </c>
      <c r="H184" s="2295">
        <f>('CF(Y)'!P51+'CF(Y)'!P52+'CF(Y)'!P53+'CF(Y)'!P54)/1000</f>
        <v>0</v>
      </c>
      <c r="I184" s="2295">
        <f>('CF(Y)'!Q51+'CF(Y)'!Q52+'CF(Y)'!Q53+'CF(Y)'!Q54)/1000</f>
        <v>0</v>
      </c>
      <c r="J184" s="2295">
        <f>('CF(Y)'!R51+'CF(Y)'!R52+'CF(Y)'!R53+'CF(Y)'!R54)/1000</f>
        <v>0</v>
      </c>
      <c r="K184" s="2295">
        <f>('CF(Y)'!S51+'CF(Y)'!S52+'CF(Y)'!S53+'CF(Y)'!S54)/1000</f>
        <v>0</v>
      </c>
      <c r="L184" s="2295">
        <f>('CF(Y)'!T51+'CF(Y)'!T52+'CF(Y)'!T53+'CF(Y)'!T54)/1000</f>
        <v>0</v>
      </c>
      <c r="M184" s="2295">
        <f>('CF(Y)'!U51+'CF(Y)'!U52+'CF(Y)'!U53+'CF(Y)'!U54)/1000</f>
        <v>0</v>
      </c>
      <c r="N184" s="2295">
        <f>('CF(Y)'!V51+'CF(Y)'!V52+'CF(Y)'!V53+'CF(Y)'!V54)/1000</f>
        <v>359621.82804531738</v>
      </c>
      <c r="P184" s="2293"/>
      <c r="Q184" s="2294"/>
      <c r="R184" s="2294"/>
      <c r="S184" s="2294"/>
      <c r="T184" s="2295"/>
    </row>
    <row r="185" spans="2:20" ht="12.75" thickBot="1">
      <c r="B185" s="2293" t="s">
        <v>1608</v>
      </c>
      <c r="C185" s="2294">
        <f>ROUND(SUM(D185:N185),0)</f>
        <v>0</v>
      </c>
      <c r="D185" s="2294">
        <f>('CF(Y)'!L45+'CF(Y)'!L46+'CF(Y)'!L47+'CF(Y)'!L48)/1000</f>
        <v>-12856.669630531998</v>
      </c>
      <c r="E185" s="2294">
        <f>('CF(Y)'!M45+'CF(Y)'!M46+'CF(Y)'!M47+'CF(Y)'!M48)/1000</f>
        <v>12800.493159896285</v>
      </c>
      <c r="F185" s="2294">
        <f>('CF(Y)'!N45+'CF(Y)'!N46+'CF(Y)'!N47+'CF(Y)'!N48)/1000</f>
        <v>-2.1453792278858599E-2</v>
      </c>
      <c r="G185" s="2294">
        <f>('CF(Y)'!O45+'CF(Y)'!O46+'CF(Y)'!O47+'CF(Y)'!O48)/1000</f>
        <v>-6.8764553143410305</v>
      </c>
      <c r="H185" s="2295">
        <f>('CF(Y)'!P45+'CF(Y)'!P46+'CF(Y)'!P47+'CF(Y)'!P48)/1000</f>
        <v>6.788056276229792</v>
      </c>
      <c r="I185" s="2295">
        <f>('CF(Y)'!Q45+'CF(Y)'!Q46+'CF(Y)'!Q47+'CF(Y)'!Q48)/1000</f>
        <v>-6.696053971166839E-2</v>
      </c>
      <c r="J185" s="2295">
        <f>('CF(Y)'!R45+'CF(Y)'!R46+'CF(Y)'!R47+'CF(Y)'!R48)/1000</f>
        <v>-8.2154760116158285E-2</v>
      </c>
      <c r="K185" s="2295">
        <f>('CF(Y)'!S45+'CF(Y)'!S46+'CF(Y)'!S47+'CF(Y)'!S48)/1000</f>
        <v>-9.7371647377556658E-2</v>
      </c>
      <c r="L185" s="2295">
        <f>('CF(Y)'!T45+'CF(Y)'!T46+'CF(Y)'!T47+'CF(Y)'!T48)/1000</f>
        <v>-7.8512675222336545</v>
      </c>
      <c r="M185" s="2295">
        <f>('CF(Y)'!U45+'CF(Y)'!U46+'CF(Y)'!U47+'CF(Y)'!U48)/1000</f>
        <v>7.6107528104851081</v>
      </c>
      <c r="N185" s="2295">
        <f>('CF(Y)'!V45+'CF(Y)'!V46+'CF(Y)'!V47+'CF(Y)'!V48)/1000</f>
        <v>56.773325125059081</v>
      </c>
      <c r="P185" s="2293"/>
      <c r="Q185" s="2294"/>
      <c r="R185" s="2294"/>
      <c r="S185" s="2294"/>
      <c r="T185" s="2295"/>
    </row>
    <row r="186" spans="2:20" ht="12.75" thickBot="1">
      <c r="B186" s="2287" t="s">
        <v>1546</v>
      </c>
      <c r="C186" s="2302">
        <f ca="1">SUM(D186:N186)</f>
        <v>-114248.06668783462</v>
      </c>
      <c r="D186" s="2302">
        <f t="shared" ref="D186:N186" ca="1" si="27">SUM(D187:D200)</f>
        <v>311756.66963053204</v>
      </c>
      <c r="E186" s="2302">
        <f t="shared" ca="1" si="27"/>
        <v>-19396.669630532</v>
      </c>
      <c r="F186" s="2302">
        <f t="shared" ca="1" si="27"/>
        <v>-430</v>
      </c>
      <c r="G186" s="2302">
        <f t="shared" ca="1" si="27"/>
        <v>-5430</v>
      </c>
      <c r="H186" s="2303">
        <f t="shared" ca="1" si="27"/>
        <v>-4955.7640118692798</v>
      </c>
      <c r="I186" s="2303">
        <f t="shared" ca="1" si="27"/>
        <v>-4668.019932271387</v>
      </c>
      <c r="J186" s="2303">
        <f t="shared" ca="1" si="27"/>
        <v>-5744.1450865494526</v>
      </c>
      <c r="K186" s="2303">
        <f t="shared" ca="1" si="27"/>
        <v>-6191.487835606612</v>
      </c>
      <c r="L186" s="2303">
        <f t="shared" ca="1" si="27"/>
        <v>-5590.5831337032696</v>
      </c>
      <c r="M186" s="2303">
        <f t="shared" ca="1" si="27"/>
        <v>-5430</v>
      </c>
      <c r="N186" s="2303">
        <f t="shared" ca="1" si="27"/>
        <v>-368168.06668783468</v>
      </c>
      <c r="P186" s="2287"/>
      <c r="Q186" s="2288"/>
      <c r="R186" s="2288"/>
      <c r="S186" s="2288"/>
      <c r="T186" s="2289"/>
    </row>
    <row r="187" spans="2:20">
      <c r="B187" s="2290" t="s">
        <v>1592</v>
      </c>
      <c r="C187" s="2291">
        <f>SUM(D187:N187)</f>
        <v>0</v>
      </c>
      <c r="D187" s="2291">
        <f>('CF(Y)'!L88+'CF(Y)'!L89)/1000</f>
        <v>12856.669630531998</v>
      </c>
      <c r="E187" s="2291">
        <f>('CF(Y)'!M88+'CF(Y)'!M89)/1000</f>
        <v>-12856.669630531998</v>
      </c>
      <c r="F187" s="2291">
        <f>('CF(Y)'!N88+'CF(Y)'!N89)/1000</f>
        <v>0</v>
      </c>
      <c r="G187" s="2291">
        <f>('CF(Y)'!O88+'CF(Y)'!O89)/1000</f>
        <v>0</v>
      </c>
      <c r="H187" s="2292">
        <f>('CF(Y)'!P88+'CF(Y)'!P89)/1000</f>
        <v>0</v>
      </c>
      <c r="I187" s="2292">
        <f>('CF(Y)'!Q88+'CF(Y)'!Q89)/1000</f>
        <v>0</v>
      </c>
      <c r="J187" s="2292">
        <f>('CF(Y)'!R88+'CF(Y)'!R89)/1000</f>
        <v>0</v>
      </c>
      <c r="K187" s="2292">
        <f>('CF(Y)'!S88+'CF(Y)'!S89)/1000</f>
        <v>0</v>
      </c>
      <c r="L187" s="2292">
        <f>('CF(Y)'!T88+'CF(Y)'!T89)/1000</f>
        <v>0</v>
      </c>
      <c r="M187" s="2292">
        <f>('CF(Y)'!U88+'CF(Y)'!U89)/1000</f>
        <v>0</v>
      </c>
      <c r="N187" s="2292">
        <f>('CF(Y)'!V88+'CF(Y)'!V89)/1000</f>
        <v>0</v>
      </c>
      <c r="P187" s="2290"/>
      <c r="Q187" s="2291"/>
      <c r="R187" s="2291"/>
      <c r="S187" s="2291"/>
      <c r="T187" s="2292"/>
    </row>
    <row r="188" spans="2:20">
      <c r="B188" s="2293" t="s">
        <v>205</v>
      </c>
      <c r="C188" s="2294">
        <f>SUM(D188:N188)</f>
        <v>0</v>
      </c>
      <c r="D188" s="2294">
        <f>('CF(Y)'!L64+'CF(Y)'!L65)/1000</f>
        <v>2100</v>
      </c>
      <c r="E188" s="2294">
        <f>('CF(Y)'!M64+'CF(Y)'!M65)/1000</f>
        <v>0</v>
      </c>
      <c r="F188" s="2294">
        <f>('CF(Y)'!N64+'CF(Y)'!N65)/1000</f>
        <v>0</v>
      </c>
      <c r="G188" s="2294">
        <f>('CF(Y)'!O64+'CF(Y)'!O65)/1000</f>
        <v>0</v>
      </c>
      <c r="H188" s="2295">
        <f>('CF(Y)'!P64+'CF(Y)'!P65)/1000</f>
        <v>0</v>
      </c>
      <c r="I188" s="2295">
        <f>('CF(Y)'!Q64+'CF(Y)'!Q65)/1000</f>
        <v>0</v>
      </c>
      <c r="J188" s="2295">
        <f>('CF(Y)'!R64+'CF(Y)'!R65)/1000</f>
        <v>0</v>
      </c>
      <c r="K188" s="2295">
        <f>('CF(Y)'!S64+'CF(Y)'!S65)/1000</f>
        <v>0</v>
      </c>
      <c r="L188" s="2295">
        <f>('CF(Y)'!T64+'CF(Y)'!T65)/1000</f>
        <v>0</v>
      </c>
      <c r="M188" s="2295">
        <f>('CF(Y)'!U64+'CF(Y)'!U65)/1000</f>
        <v>0</v>
      </c>
      <c r="N188" s="2295">
        <f>('CF(Y)'!V64+'CF(Y)'!V65)/1000</f>
        <v>-2100</v>
      </c>
      <c r="P188" s="2293"/>
      <c r="Q188" s="2294"/>
      <c r="R188" s="2294"/>
      <c r="S188" s="2294"/>
      <c r="T188" s="2295"/>
    </row>
    <row r="189" spans="2:20">
      <c r="B189" s="2293" t="s">
        <v>1561</v>
      </c>
      <c r="C189" s="2294">
        <f t="shared" ref="C189:C200" si="28">SUM(D189:N189)</f>
        <v>0</v>
      </c>
      <c r="D189" s="2294">
        <f>('CF(Y)'!L67+'CF(Y)'!L68+'CF(Y)'!L70+'CF(Y)'!L71+'CF(Y)'!L73+'CF(Y)'!L74)/1000</f>
        <v>160000</v>
      </c>
      <c r="E189" s="2294">
        <f>('CF(Y)'!M67+'CF(Y)'!M68+'CF(Y)'!M70+'CF(Y)'!M71+'CF(Y)'!M73+'CF(Y)'!M74)/1000</f>
        <v>0</v>
      </c>
      <c r="F189" s="2294">
        <f>('CF(Y)'!N67+'CF(Y)'!N68+'CF(Y)'!N70+'CF(Y)'!N71+'CF(Y)'!N73+'CF(Y)'!N74)/1000</f>
        <v>53000</v>
      </c>
      <c r="G189" s="2294">
        <f>('CF(Y)'!O67+'CF(Y)'!O68+'CF(Y)'!O70+'CF(Y)'!O71+'CF(Y)'!O73+'CF(Y)'!O74)/1000</f>
        <v>0</v>
      </c>
      <c r="H189" s="2295">
        <f>('CF(Y)'!P67+'CF(Y)'!P68+'CF(Y)'!P70+'CF(Y)'!P71+'CF(Y)'!P73+'CF(Y)'!P74)/1000</f>
        <v>0</v>
      </c>
      <c r="I189" s="2295">
        <f>('CF(Y)'!Q67+'CF(Y)'!Q68+'CF(Y)'!Q70+'CF(Y)'!Q71+'CF(Y)'!Q73+'CF(Y)'!Q74)/1000</f>
        <v>0</v>
      </c>
      <c r="J189" s="2295">
        <f>('CF(Y)'!R67+'CF(Y)'!R68+'CF(Y)'!R70+'CF(Y)'!R71+'CF(Y)'!R73+'CF(Y)'!R74)/1000</f>
        <v>0</v>
      </c>
      <c r="K189" s="2295">
        <f>('CF(Y)'!S67+'CF(Y)'!S68+'CF(Y)'!S70+'CF(Y)'!S71+'CF(Y)'!S73+'CF(Y)'!S74)/1000</f>
        <v>0</v>
      </c>
      <c r="L189" s="2295">
        <f>('CF(Y)'!T67+'CF(Y)'!T68+'CF(Y)'!T70+'CF(Y)'!T71+'CF(Y)'!T73+'CF(Y)'!T74)/1000</f>
        <v>0</v>
      </c>
      <c r="M189" s="2295">
        <f>('CF(Y)'!U67+'CF(Y)'!U68+'CF(Y)'!U70+'CF(Y)'!U71+'CF(Y)'!U73+'CF(Y)'!U74)/1000</f>
        <v>0</v>
      </c>
      <c r="N189" s="2295">
        <f>('CF(Y)'!V67+'CF(Y)'!V68+'CF(Y)'!V70+'CF(Y)'!V71+'CF(Y)'!V73+'CF(Y)'!V74)/1000</f>
        <v>-213000</v>
      </c>
      <c r="P189" s="2293"/>
      <c r="Q189" s="2294"/>
      <c r="R189" s="2294"/>
      <c r="S189" s="2294"/>
      <c r="T189" s="2295"/>
    </row>
    <row r="190" spans="2:20">
      <c r="B190" s="2293" t="s">
        <v>1563</v>
      </c>
      <c r="C190" s="2294">
        <f t="shared" si="28"/>
        <v>0</v>
      </c>
      <c r="D190" s="2294">
        <f>('CF(Y)'!L76+'CF(Y)'!L77+'CF(Y)'!L79+'CF(Y)'!L80+'CF(Y)'!L82+'CF(Y)'!L83)/1000</f>
        <v>38000</v>
      </c>
      <c r="E190" s="2294">
        <f>('CF(Y)'!M76+'CF(Y)'!M77+'CF(Y)'!M79+'CF(Y)'!M80+'CF(Y)'!M82+'CF(Y)'!M83)/1000</f>
        <v>0</v>
      </c>
      <c r="F190" s="2294">
        <f>('CF(Y)'!N76+'CF(Y)'!N77+'CF(Y)'!N79+'CF(Y)'!N80+'CF(Y)'!N82+'CF(Y)'!N83)/1000</f>
        <v>-38000</v>
      </c>
      <c r="G190" s="2294">
        <f>('CF(Y)'!O76+'CF(Y)'!O77+'CF(Y)'!O79+'CF(Y)'!O80+'CF(Y)'!O82+'CF(Y)'!O83)/1000</f>
        <v>0</v>
      </c>
      <c r="H190" s="2295">
        <f>('CF(Y)'!P76+'CF(Y)'!P77+'CF(Y)'!P79+'CF(Y)'!P80+'CF(Y)'!P82+'CF(Y)'!P83)/1000</f>
        <v>0</v>
      </c>
      <c r="I190" s="2295">
        <f>('CF(Y)'!Q76+'CF(Y)'!Q77+'CF(Y)'!Q79+'CF(Y)'!Q80+'CF(Y)'!Q82+'CF(Y)'!Q83)/1000</f>
        <v>0</v>
      </c>
      <c r="J190" s="2295">
        <f>('CF(Y)'!R76+'CF(Y)'!R77+'CF(Y)'!R79+'CF(Y)'!R80+'CF(Y)'!R82+'CF(Y)'!R83)/1000</f>
        <v>0</v>
      </c>
      <c r="K190" s="2295">
        <f>('CF(Y)'!S76+'CF(Y)'!S77+'CF(Y)'!S79+'CF(Y)'!S80+'CF(Y)'!S82+'CF(Y)'!S83)/1000</f>
        <v>0</v>
      </c>
      <c r="L190" s="2295">
        <f>('CF(Y)'!T76+'CF(Y)'!T77+'CF(Y)'!T79+'CF(Y)'!T80+'CF(Y)'!T82+'CF(Y)'!T83)/1000</f>
        <v>0</v>
      </c>
      <c r="M190" s="2295">
        <f>('CF(Y)'!U76+'CF(Y)'!U77+'CF(Y)'!U79+'CF(Y)'!U80+'CF(Y)'!U82+'CF(Y)'!U83)/1000</f>
        <v>0</v>
      </c>
      <c r="N190" s="2295">
        <f>('CF(Y)'!V76+'CF(Y)'!V77+'CF(Y)'!V79+'CF(Y)'!V80+'CF(Y)'!V82+'CF(Y)'!V83)/1000</f>
        <v>0</v>
      </c>
      <c r="P190" s="2293"/>
      <c r="Q190" s="2294"/>
      <c r="R190" s="2294"/>
      <c r="S190" s="2294"/>
      <c r="T190" s="2295"/>
    </row>
    <row r="191" spans="2:20">
      <c r="B191" s="2293" t="s">
        <v>1564</v>
      </c>
      <c r="C191" s="2294">
        <f t="shared" si="28"/>
        <v>24000</v>
      </c>
      <c r="D191" s="2294">
        <f>('CF(Y)'!L91)/1000</f>
        <v>24000</v>
      </c>
      <c r="E191" s="2294">
        <f>('CF(Y)'!M91)/1000</f>
        <v>0</v>
      </c>
      <c r="F191" s="2294">
        <f>('CF(Y)'!N91)/1000</f>
        <v>0</v>
      </c>
      <c r="G191" s="2294">
        <f>('CF(Y)'!O91)/1000</f>
        <v>0</v>
      </c>
      <c r="H191" s="2295">
        <f>('CF(Y)'!P91)/1000</f>
        <v>0</v>
      </c>
      <c r="I191" s="2295">
        <f>('CF(Y)'!Q91)/1000</f>
        <v>0</v>
      </c>
      <c r="J191" s="2295">
        <f>('CF(Y)'!R91)/1000</f>
        <v>0</v>
      </c>
      <c r="K191" s="2295">
        <f>('CF(Y)'!S91)/1000</f>
        <v>0</v>
      </c>
      <c r="L191" s="2295">
        <f>('CF(Y)'!T91)/1000</f>
        <v>0</v>
      </c>
      <c r="M191" s="2295">
        <f>('CF(Y)'!U91)/1000</f>
        <v>0</v>
      </c>
      <c r="N191" s="2295">
        <f>('CF(Y)'!V91)/1000</f>
        <v>0</v>
      </c>
      <c r="P191" s="2293"/>
      <c r="Q191" s="2294"/>
      <c r="R191" s="2294"/>
      <c r="S191" s="2294"/>
      <c r="T191" s="2295"/>
    </row>
    <row r="192" spans="2:20">
      <c r="B192" s="2293" t="s">
        <v>1565</v>
      </c>
      <c r="C192" s="2294">
        <f t="shared" si="28"/>
        <v>50000</v>
      </c>
      <c r="D192" s="2294">
        <f>('CF(Y)'!L96)/1000</f>
        <v>50000</v>
      </c>
      <c r="E192" s="2294">
        <f>('CF(Y)'!M96)/1000</f>
        <v>0</v>
      </c>
      <c r="F192" s="2294">
        <f>('CF(Y)'!N96)/1000</f>
        <v>0</v>
      </c>
      <c r="G192" s="2294">
        <f>('CF(Y)'!O96)/1000</f>
        <v>0</v>
      </c>
      <c r="H192" s="2295">
        <f>('CF(Y)'!P96)/1000</f>
        <v>0</v>
      </c>
      <c r="I192" s="2295">
        <f>('CF(Y)'!Q96)/1000</f>
        <v>0</v>
      </c>
      <c r="J192" s="2295">
        <f>('CF(Y)'!R96)/1000</f>
        <v>0</v>
      </c>
      <c r="K192" s="2295">
        <f>('CF(Y)'!S96)/1000</f>
        <v>0</v>
      </c>
      <c r="L192" s="2295">
        <f>('CF(Y)'!T96)/1000</f>
        <v>0</v>
      </c>
      <c r="M192" s="2295">
        <f>('CF(Y)'!U96)/1000</f>
        <v>0</v>
      </c>
      <c r="N192" s="2295">
        <f>('CF(Y)'!V96)/1000</f>
        <v>0</v>
      </c>
      <c r="P192" s="2293"/>
      <c r="Q192" s="2294"/>
      <c r="R192" s="2294"/>
      <c r="S192" s="2294"/>
      <c r="T192" s="2295"/>
    </row>
    <row r="193" spans="1:20">
      <c r="B193" s="2293" t="s">
        <v>1566</v>
      </c>
      <c r="C193" s="2294">
        <f>SUM(D193:N193)</f>
        <v>0</v>
      </c>
      <c r="D193" s="2294">
        <f>('CF(Y)'!L101+'CF(Y)'!L102+'CF(Y)'!L103+'CF(Y)'!L104)/1000</f>
        <v>10000</v>
      </c>
      <c r="E193" s="2294">
        <f>('CF(Y)'!M101+'CF(Y)'!M102+'CF(Y)'!M103+'CF(Y)'!M104)/1000</f>
        <v>0</v>
      </c>
      <c r="F193" s="2294">
        <f>('CF(Y)'!N101+'CF(Y)'!N102+'CF(Y)'!N103+'CF(Y)'!N104)/1000</f>
        <v>-10000</v>
      </c>
      <c r="G193" s="2294">
        <f>('CF(Y)'!O101+'CF(Y)'!O102+'CF(Y)'!O103+'CF(Y)'!O104)/1000</f>
        <v>0</v>
      </c>
      <c r="H193" s="2295">
        <f>('CF(Y)'!P101+'CF(Y)'!P102+'CF(Y)'!P103+'CF(Y)'!P104)/1000</f>
        <v>0</v>
      </c>
      <c r="I193" s="2295">
        <f>('CF(Y)'!Q101+'CF(Y)'!Q102+'CF(Y)'!Q103+'CF(Y)'!Q104)/1000</f>
        <v>0</v>
      </c>
      <c r="J193" s="2295">
        <f>('CF(Y)'!R101+'CF(Y)'!R102+'CF(Y)'!R103+'CF(Y)'!R104)/1000</f>
        <v>0</v>
      </c>
      <c r="K193" s="2295">
        <f>('CF(Y)'!S101+'CF(Y)'!S102+'CF(Y)'!S103+'CF(Y)'!S104)/1000</f>
        <v>0</v>
      </c>
      <c r="L193" s="2295">
        <f>('CF(Y)'!T101+'CF(Y)'!T102+'CF(Y)'!T103+'CF(Y)'!T104)/1000</f>
        <v>0</v>
      </c>
      <c r="M193" s="2295">
        <f>('CF(Y)'!U101+'CF(Y)'!U102+'CF(Y)'!U103+'CF(Y)'!U104)/1000</f>
        <v>0</v>
      </c>
      <c r="N193" s="2295">
        <f>('CF(Y)'!V101+'CF(Y)'!V102+'CF(Y)'!V103+'CF(Y)'!V104)/1000</f>
        <v>0</v>
      </c>
      <c r="P193" s="2293"/>
      <c r="Q193" s="2294"/>
      <c r="R193" s="2294"/>
      <c r="S193" s="2294"/>
      <c r="T193" s="2295"/>
    </row>
    <row r="194" spans="1:20">
      <c r="B194" s="2293" t="s">
        <v>19</v>
      </c>
      <c r="C194" s="2294">
        <f t="shared" si="28"/>
        <v>14800</v>
      </c>
      <c r="D194" s="2294">
        <f>('CF(Y)'!L106)/1000</f>
        <v>14800</v>
      </c>
      <c r="E194" s="2294">
        <f>('CF(Y)'!M106)/1000</f>
        <v>0</v>
      </c>
      <c r="F194" s="2294">
        <f>('CF(Y)'!N106)/1000</f>
        <v>0</v>
      </c>
      <c r="G194" s="2294">
        <f>('CF(Y)'!O106)/1000</f>
        <v>0</v>
      </c>
      <c r="H194" s="2295">
        <f>('CF(Y)'!P106)/1000</f>
        <v>0</v>
      </c>
      <c r="I194" s="2295">
        <f>('CF(Y)'!Q106)/1000</f>
        <v>0</v>
      </c>
      <c r="J194" s="2295">
        <f>('CF(Y)'!R106)/1000</f>
        <v>0</v>
      </c>
      <c r="K194" s="2295">
        <f>('CF(Y)'!S106)/1000</f>
        <v>0</v>
      </c>
      <c r="L194" s="2295">
        <f>('CF(Y)'!T106)/1000</f>
        <v>0</v>
      </c>
      <c r="M194" s="2295">
        <f>('CF(Y)'!U106)/1000</f>
        <v>0</v>
      </c>
      <c r="N194" s="2295">
        <f>('CF(Y)'!V106)/1000</f>
        <v>0</v>
      </c>
      <c r="P194" s="2293"/>
      <c r="Q194" s="2294"/>
      <c r="R194" s="2294"/>
      <c r="S194" s="2294"/>
      <c r="T194" s="2295"/>
    </row>
    <row r="195" spans="1:20">
      <c r="B195" s="2293" t="s">
        <v>1547</v>
      </c>
      <c r="C195" s="2294">
        <f t="shared" ca="1" si="28"/>
        <v>-16800.000000000004</v>
      </c>
      <c r="D195" s="2294">
        <f ca="1">('CF(Y)'!L93)/1000</f>
        <v>0</v>
      </c>
      <c r="E195" s="2294">
        <f ca="1">('CF(Y)'!M93)/1000</f>
        <v>-1680.0000000000002</v>
      </c>
      <c r="F195" s="2294">
        <f ca="1">('CF(Y)'!N93)/1000</f>
        <v>-1680.0000000000002</v>
      </c>
      <c r="G195" s="2294">
        <f ca="1">('CF(Y)'!O93)/1000</f>
        <v>-1680.0000000000002</v>
      </c>
      <c r="H195" s="2295">
        <f ca="1">('CF(Y)'!P93)/1000</f>
        <v>-1680.0000000000002</v>
      </c>
      <c r="I195" s="2295">
        <f ca="1">('CF(Y)'!Q93)/1000</f>
        <v>-1680.0000000000002</v>
      </c>
      <c r="J195" s="2295">
        <f ca="1">('CF(Y)'!R93)/1000</f>
        <v>-1680.0000000000002</v>
      </c>
      <c r="K195" s="2295">
        <f ca="1">('CF(Y)'!S93)/1000</f>
        <v>-1680.0000000000002</v>
      </c>
      <c r="L195" s="2295">
        <f ca="1">('CF(Y)'!T93)/1000</f>
        <v>-1680.0000000000002</v>
      </c>
      <c r="M195" s="2295">
        <f ca="1">('CF(Y)'!U93)/1000</f>
        <v>-1680.0000000000002</v>
      </c>
      <c r="N195" s="2295">
        <f ca="1">('CF(Y)'!V93)/1000</f>
        <v>-1680.0000000000002</v>
      </c>
      <c r="P195" s="2293"/>
      <c r="Q195" s="2294"/>
      <c r="R195" s="2294"/>
      <c r="S195" s="2294"/>
      <c r="T195" s="2295"/>
    </row>
    <row r="196" spans="1:20">
      <c r="B196" s="2293" t="s">
        <v>1548</v>
      </c>
      <c r="C196" s="2294">
        <f t="shared" ca="1" si="28"/>
        <v>-37500</v>
      </c>
      <c r="D196" s="2294">
        <f ca="1">('CF(Y)'!L98)/1000</f>
        <v>0</v>
      </c>
      <c r="E196" s="2294">
        <f ca="1">('CF(Y)'!M98)/1000</f>
        <v>-3750</v>
      </c>
      <c r="F196" s="2294">
        <f ca="1">('CF(Y)'!N98)/1000</f>
        <v>-3750</v>
      </c>
      <c r="G196" s="2294">
        <f ca="1">('CF(Y)'!O98)/1000</f>
        <v>-3750</v>
      </c>
      <c r="H196" s="2295">
        <f ca="1">('CF(Y)'!P98)/1000</f>
        <v>-3275.7640118692793</v>
      </c>
      <c r="I196" s="2295">
        <f ca="1">('CF(Y)'!Q98)/1000</f>
        <v>-2988.0199322713866</v>
      </c>
      <c r="J196" s="2295">
        <f ca="1">('CF(Y)'!R98)/1000</f>
        <v>-4064.1450865494526</v>
      </c>
      <c r="K196" s="2295">
        <f ca="1">('CF(Y)'!S98)/1000</f>
        <v>-4511.487835606612</v>
      </c>
      <c r="L196" s="2295">
        <f ca="1">('CF(Y)'!T98)/1000</f>
        <v>-3910.5831337032691</v>
      </c>
      <c r="M196" s="2295">
        <f ca="1">('CF(Y)'!U98)/1000</f>
        <v>-3750</v>
      </c>
      <c r="N196" s="2295">
        <f ca="1">('CF(Y)'!V98)/1000</f>
        <v>-3750</v>
      </c>
      <c r="P196" s="2293"/>
      <c r="Q196" s="2294"/>
      <c r="R196" s="2294"/>
      <c r="S196" s="2294"/>
      <c r="T196" s="2295"/>
    </row>
    <row r="197" spans="1:20">
      <c r="B197" s="2293" t="s">
        <v>1549</v>
      </c>
      <c r="C197" s="2294">
        <f t="shared" ca="1" si="28"/>
        <v>-1110</v>
      </c>
      <c r="D197" s="2294">
        <f ca="1">('CF(Y)'!L108)/1000</f>
        <v>0</v>
      </c>
      <c r="E197" s="2294">
        <f ca="1">('CF(Y)'!M108)/1000</f>
        <v>-1110</v>
      </c>
      <c r="F197" s="2294">
        <f ca="1">('CF(Y)'!N108)/1000</f>
        <v>0</v>
      </c>
      <c r="G197" s="2294">
        <f ca="1">('CF(Y)'!O108)/1000</f>
        <v>0</v>
      </c>
      <c r="H197" s="2295">
        <f ca="1">('CF(Y)'!P108)/1000</f>
        <v>0</v>
      </c>
      <c r="I197" s="2295">
        <f ca="1">('CF(Y)'!Q108)/1000</f>
        <v>0</v>
      </c>
      <c r="J197" s="2295">
        <f ca="1">('CF(Y)'!R108)/1000</f>
        <v>0</v>
      </c>
      <c r="K197" s="2295">
        <f ca="1">('CF(Y)'!S108)/1000</f>
        <v>0</v>
      </c>
      <c r="L197" s="2295">
        <f ca="1">('CF(Y)'!T108)/1000</f>
        <v>0</v>
      </c>
      <c r="M197" s="2295">
        <f ca="1">('CF(Y)'!U108)/1000</f>
        <v>0</v>
      </c>
      <c r="N197" s="2295">
        <f ca="1">('CF(Y)'!V108)/1000</f>
        <v>0</v>
      </c>
      <c r="P197" s="2293"/>
      <c r="Q197" s="2294"/>
      <c r="R197" s="2294"/>
      <c r="S197" s="2294"/>
      <c r="T197" s="2295"/>
    </row>
    <row r="198" spans="1:20">
      <c r="B198" s="2293" t="s">
        <v>1611</v>
      </c>
      <c r="C198" s="2294">
        <f t="shared" si="28"/>
        <v>-24000</v>
      </c>
      <c r="D198" s="2294">
        <f>('CF(Y)'!L92+'CF(Y)'!L94)/1000</f>
        <v>0</v>
      </c>
      <c r="E198" s="2294">
        <f>('CF(Y)'!M92+'CF(Y)'!M94)/1000</f>
        <v>0</v>
      </c>
      <c r="F198" s="2294">
        <f>('CF(Y)'!N92+'CF(Y)'!N94)/1000</f>
        <v>0</v>
      </c>
      <c r="G198" s="2294">
        <f>('CF(Y)'!O92+'CF(Y)'!O94)/1000</f>
        <v>0</v>
      </c>
      <c r="H198" s="2295">
        <f>('CF(Y)'!P92+'CF(Y)'!P94)/1000</f>
        <v>0</v>
      </c>
      <c r="I198" s="2295">
        <f>('CF(Y)'!Q92+'CF(Y)'!Q94)/1000</f>
        <v>0</v>
      </c>
      <c r="J198" s="2295">
        <f>('CF(Y)'!R92+'CF(Y)'!R94)/1000</f>
        <v>0</v>
      </c>
      <c r="K198" s="2295">
        <f>('CF(Y)'!S92+'CF(Y)'!S94)/1000</f>
        <v>0</v>
      </c>
      <c r="L198" s="2295">
        <f>('CF(Y)'!T92+'CF(Y)'!T94)/1000</f>
        <v>0</v>
      </c>
      <c r="M198" s="2295">
        <f>('CF(Y)'!U92+'CF(Y)'!U94)/1000</f>
        <v>0</v>
      </c>
      <c r="N198" s="2295">
        <f>('CF(Y)'!V92+'CF(Y)'!V94)/1000</f>
        <v>-24000</v>
      </c>
      <c r="P198" s="2293"/>
      <c r="Q198" s="2294"/>
      <c r="R198" s="2294"/>
      <c r="S198" s="2294"/>
      <c r="T198" s="2295"/>
    </row>
    <row r="199" spans="1:20">
      <c r="B199" s="2293" t="s">
        <v>1612</v>
      </c>
      <c r="C199" s="2294">
        <f t="shared" si="28"/>
        <v>-61767.613337566938</v>
      </c>
      <c r="D199" s="2294">
        <f>('CF(Y)'!L97+'CF(Y)'!L99)/1000</f>
        <v>0</v>
      </c>
      <c r="E199" s="2294">
        <f>('CF(Y)'!M97+'CF(Y)'!M99)/1000</f>
        <v>0</v>
      </c>
      <c r="F199" s="2294">
        <f>('CF(Y)'!N97+'CF(Y)'!N99)/1000</f>
        <v>0</v>
      </c>
      <c r="G199" s="2294">
        <f>('CF(Y)'!O97+'CF(Y)'!O99)/1000</f>
        <v>0</v>
      </c>
      <c r="H199" s="2295">
        <f>('CF(Y)'!P97+'CF(Y)'!P99)/1000</f>
        <v>0</v>
      </c>
      <c r="I199" s="2295">
        <f>('CF(Y)'!Q97+'CF(Y)'!Q99)/1000</f>
        <v>0</v>
      </c>
      <c r="J199" s="2295">
        <f>('CF(Y)'!R97+'CF(Y)'!R99)/1000</f>
        <v>0</v>
      </c>
      <c r="K199" s="2295">
        <f>('CF(Y)'!S97+'CF(Y)'!S99)/1000</f>
        <v>0</v>
      </c>
      <c r="L199" s="2295">
        <f>('CF(Y)'!T97+'CF(Y)'!T99)/1000</f>
        <v>0</v>
      </c>
      <c r="M199" s="2295">
        <f>('CF(Y)'!U97+'CF(Y)'!U99)/1000</f>
        <v>0</v>
      </c>
      <c r="N199" s="2295">
        <f>('CF(Y)'!V97+'CF(Y)'!V99)/1000</f>
        <v>-61767.613337566938</v>
      </c>
      <c r="P199" s="2293"/>
      <c r="Q199" s="2294"/>
      <c r="R199" s="2294"/>
      <c r="S199" s="2294"/>
      <c r="T199" s="2295"/>
    </row>
    <row r="200" spans="1:20" ht="12.75" thickBot="1">
      <c r="B200" s="2293" t="s">
        <v>1613</v>
      </c>
      <c r="C200" s="2294">
        <f t="shared" si="28"/>
        <v>-61870.453350267737</v>
      </c>
      <c r="D200" s="2294">
        <f>('CF(Y)'!L107+'CF(Y)'!L109)/1000</f>
        <v>0</v>
      </c>
      <c r="E200" s="2294">
        <f>('CF(Y)'!M107+'CF(Y)'!M109)/1000</f>
        <v>0</v>
      </c>
      <c r="F200" s="2294">
        <f>('CF(Y)'!N107+'CF(Y)'!N109)/1000</f>
        <v>0</v>
      </c>
      <c r="G200" s="2294">
        <f>('CF(Y)'!O107+'CF(Y)'!O109)/1000</f>
        <v>0</v>
      </c>
      <c r="H200" s="2295">
        <f>('CF(Y)'!P107+'CF(Y)'!P109)/1000</f>
        <v>0</v>
      </c>
      <c r="I200" s="2295">
        <f>('CF(Y)'!Q107+'CF(Y)'!Q109)/1000</f>
        <v>0</v>
      </c>
      <c r="J200" s="2295">
        <f>('CF(Y)'!R107+'CF(Y)'!R109)/1000</f>
        <v>0</v>
      </c>
      <c r="K200" s="2295">
        <f>('CF(Y)'!S107+'CF(Y)'!S109)/1000</f>
        <v>0</v>
      </c>
      <c r="L200" s="2295">
        <f>('CF(Y)'!T107+'CF(Y)'!T109)/1000</f>
        <v>0</v>
      </c>
      <c r="M200" s="2295">
        <f>('CF(Y)'!U107+'CF(Y)'!U109)/1000</f>
        <v>0</v>
      </c>
      <c r="N200" s="2295">
        <f>('CF(Y)'!V107+'CF(Y)'!V109)/1000</f>
        <v>-61870.453350267737</v>
      </c>
      <c r="P200" s="2293"/>
      <c r="Q200" s="2294"/>
      <c r="R200" s="2294"/>
      <c r="S200" s="2294"/>
      <c r="T200" s="2295"/>
    </row>
    <row r="201" spans="1:20" ht="12.75" thickBot="1">
      <c r="B201" s="2287" t="s">
        <v>1552</v>
      </c>
      <c r="C201" s="2302">
        <f ca="1">ROUND(N203-D202,0)</f>
        <v>0</v>
      </c>
      <c r="D201" s="2302">
        <f t="shared" ref="D201:N201" ca="1" si="29">D155+D181+D186</f>
        <v>10000.000000000116</v>
      </c>
      <c r="E201" s="2302">
        <f t="shared" ca="1" si="29"/>
        <v>-4164.0816564370089</v>
      </c>
      <c r="F201" s="2302">
        <f t="shared" ca="1" si="29"/>
        <v>2311.9523421930621</v>
      </c>
      <c r="G201" s="2302">
        <f t="shared" ca="1" si="29"/>
        <v>-7386.3873755048135</v>
      </c>
      <c r="H201" s="2303">
        <f t="shared" ca="1" si="29"/>
        <v>-761.48331025123207</v>
      </c>
      <c r="I201" s="2303">
        <f t="shared" ca="1" si="29"/>
        <v>0</v>
      </c>
      <c r="J201" s="2303">
        <f t="shared" ca="1" si="29"/>
        <v>0</v>
      </c>
      <c r="K201" s="2303">
        <f t="shared" ca="1" si="29"/>
        <v>0</v>
      </c>
      <c r="L201" s="2303">
        <f t="shared" ca="1" si="29"/>
        <v>152.51178768972113</v>
      </c>
      <c r="M201" s="2303">
        <f t="shared" ca="1" si="29"/>
        <v>1284.2469618273881</v>
      </c>
      <c r="N201" s="2303">
        <f t="shared" ca="1" si="29"/>
        <v>-1436.7587495171465</v>
      </c>
      <c r="P201" s="2287"/>
      <c r="Q201" s="2288"/>
      <c r="R201" s="2288"/>
      <c r="S201" s="2288"/>
      <c r="T201" s="2289"/>
    </row>
    <row r="202" spans="1:20" ht="12.75" thickBot="1">
      <c r="B202" s="2301" t="s">
        <v>1550</v>
      </c>
      <c r="C202" s="2302">
        <f ca="1">SUM(D202:N202)</f>
        <v>26334.542876778323</v>
      </c>
      <c r="D202" s="2302">
        <v>0</v>
      </c>
      <c r="E202" s="2302">
        <f t="shared" ref="E202:N202" ca="1" si="30">D203</f>
        <v>10000.000000000116</v>
      </c>
      <c r="F202" s="2302">
        <f t="shared" ca="1" si="30"/>
        <v>5835.9183435631076</v>
      </c>
      <c r="G202" s="2302">
        <f t="shared" ca="1" si="30"/>
        <v>8147.8706857561701</v>
      </c>
      <c r="H202" s="2303">
        <f t="shared" ca="1" si="30"/>
        <v>761.48331025135667</v>
      </c>
      <c r="I202" s="2303">
        <f t="shared" ca="1" si="30"/>
        <v>1.2460077414289117E-10</v>
      </c>
      <c r="J202" s="2303">
        <f t="shared" ca="1" si="30"/>
        <v>1.2460077414289117E-10</v>
      </c>
      <c r="K202" s="2303">
        <f t="shared" ca="1" si="30"/>
        <v>1.2460077414289117E-10</v>
      </c>
      <c r="L202" s="2303">
        <f t="shared" ca="1" si="30"/>
        <v>1.2460077414289117E-10</v>
      </c>
      <c r="M202" s="2303">
        <f t="shared" ca="1" si="30"/>
        <v>152.51178768984573</v>
      </c>
      <c r="N202" s="2303">
        <f t="shared" ca="1" si="30"/>
        <v>1436.7587495172338</v>
      </c>
      <c r="P202" s="2301"/>
      <c r="Q202" s="2302"/>
      <c r="R202" s="2302"/>
      <c r="S202" s="2302"/>
      <c r="T202" s="2303"/>
    </row>
    <row r="203" spans="1:20" ht="12.75" thickBot="1">
      <c r="B203" s="2287" t="s">
        <v>1551</v>
      </c>
      <c r="C203" s="2302">
        <f ca="1">SUM(D203:N203)</f>
        <v>26334.542876778323</v>
      </c>
      <c r="D203" s="2302">
        <f t="shared" ref="D203:M203" ca="1" si="31">SUM(D201:D202)</f>
        <v>10000.000000000116</v>
      </c>
      <c r="E203" s="2302">
        <f t="shared" ca="1" si="31"/>
        <v>5835.9183435631076</v>
      </c>
      <c r="F203" s="2302">
        <f t="shared" ca="1" si="31"/>
        <v>8147.8706857561701</v>
      </c>
      <c r="G203" s="2302">
        <f t="shared" ca="1" si="31"/>
        <v>761.48331025135667</v>
      </c>
      <c r="H203" s="2303">
        <f t="shared" ca="1" si="31"/>
        <v>1.2460077414289117E-10</v>
      </c>
      <c r="I203" s="2303">
        <f t="shared" ca="1" si="31"/>
        <v>1.2460077414289117E-10</v>
      </c>
      <c r="J203" s="2303">
        <f t="shared" ca="1" si="31"/>
        <v>1.2460077414289117E-10</v>
      </c>
      <c r="K203" s="2303">
        <f t="shared" ca="1" si="31"/>
        <v>1.2460077414289117E-10</v>
      </c>
      <c r="L203" s="2303">
        <f t="shared" ca="1" si="31"/>
        <v>152.51178768984573</v>
      </c>
      <c r="M203" s="2303">
        <f t="shared" ca="1" si="31"/>
        <v>1436.7587495172338</v>
      </c>
      <c r="N203" s="2303">
        <f ca="1">ROUND(SUM(N201:N202),0)</f>
        <v>0</v>
      </c>
      <c r="P203" s="2287"/>
      <c r="Q203" s="2288"/>
      <c r="R203" s="2288"/>
      <c r="S203" s="2288"/>
      <c r="T203" s="2289"/>
    </row>
    <row r="204" spans="1:20">
      <c r="C204" s="2304"/>
      <c r="D204" s="2304"/>
      <c r="E204" s="2304"/>
      <c r="F204" s="2304"/>
      <c r="G204" s="2304"/>
      <c r="H204" s="2304"/>
      <c r="I204" s="2304"/>
      <c r="J204" s="2304"/>
      <c r="K204" s="2304"/>
      <c r="L204" s="2304"/>
      <c r="M204" s="2304"/>
      <c r="N204" s="2304"/>
    </row>
    <row r="205" spans="1:20">
      <c r="C205" s="2304"/>
      <c r="D205" s="2304"/>
      <c r="E205" s="2304"/>
      <c r="F205" s="2304"/>
      <c r="G205" s="2304"/>
      <c r="H205" s="2304"/>
      <c r="I205" s="2304"/>
      <c r="J205" s="2304"/>
      <c r="K205" s="2304"/>
      <c r="L205" s="2304"/>
      <c r="M205" s="2304"/>
      <c r="N205" s="2304"/>
    </row>
    <row r="207" spans="1:20">
      <c r="A207" s="2232" t="s">
        <v>1553</v>
      </c>
    </row>
    <row r="208" spans="1:20">
      <c r="B208" s="3100" t="s">
        <v>1448</v>
      </c>
      <c r="C208" s="3102" t="s">
        <v>1459</v>
      </c>
      <c r="D208" s="2410" t="str">
        <f t="shared" ref="D208:N208" si="32">D153</f>
        <v>26.10</v>
      </c>
      <c r="E208" s="2410" t="str">
        <f t="shared" si="32"/>
        <v>27.10</v>
      </c>
      <c r="F208" s="2410" t="str">
        <f t="shared" si="32"/>
        <v>28.10</v>
      </c>
      <c r="G208" s="2410" t="str">
        <f t="shared" si="32"/>
        <v>29.10</v>
      </c>
      <c r="H208" s="2410" t="str">
        <f t="shared" si="32"/>
        <v>30.10</v>
      </c>
      <c r="I208" s="2410" t="str">
        <f t="shared" si="32"/>
        <v>31.10</v>
      </c>
      <c r="J208" s="2410" t="str">
        <f t="shared" si="32"/>
        <v>32.10</v>
      </c>
      <c r="K208" s="2410" t="str">
        <f t="shared" si="32"/>
        <v>33.10</v>
      </c>
      <c r="L208" s="2410" t="str">
        <f t="shared" si="32"/>
        <v>34.10</v>
      </c>
      <c r="M208" s="2410" t="str">
        <f t="shared" si="32"/>
        <v>35.10</v>
      </c>
      <c r="N208" s="2411" t="str">
        <f t="shared" si="32"/>
        <v>36.10</v>
      </c>
    </row>
    <row r="209" spans="2:15" ht="12.75" thickBot="1">
      <c r="B209" s="3101"/>
      <c r="C209" s="3103"/>
      <c r="D209" s="2283" t="str">
        <f t="shared" ref="D209:N209" si="33">D154</f>
        <v>투자일</v>
      </c>
      <c r="E209" s="2283">
        <f t="shared" si="33"/>
        <v>1</v>
      </c>
      <c r="F209" s="2283">
        <f t="shared" si="33"/>
        <v>2</v>
      </c>
      <c r="G209" s="2283">
        <f t="shared" si="33"/>
        <v>3</v>
      </c>
      <c r="H209" s="2283">
        <f t="shared" si="33"/>
        <v>4</v>
      </c>
      <c r="I209" s="2283">
        <f t="shared" si="33"/>
        <v>5</v>
      </c>
      <c r="J209" s="2283">
        <f t="shared" si="33"/>
        <v>6</v>
      </c>
      <c r="K209" s="2283">
        <f t="shared" si="33"/>
        <v>7</v>
      </c>
      <c r="L209" s="2283">
        <f t="shared" si="33"/>
        <v>8</v>
      </c>
      <c r="M209" s="2283">
        <f t="shared" si="33"/>
        <v>9</v>
      </c>
      <c r="N209" s="2284">
        <f t="shared" si="33"/>
        <v>10</v>
      </c>
    </row>
    <row r="210" spans="2:15">
      <c r="B210" s="2290" t="s">
        <v>1554</v>
      </c>
      <c r="C210" s="2291"/>
      <c r="D210" s="2291">
        <f ca="1">'BS(FY)'!K11/1000</f>
        <v>10000</v>
      </c>
      <c r="E210" s="2291">
        <f ca="1">'BS(FY)'!M11/1000</f>
        <v>5835.9183435629857</v>
      </c>
      <c r="F210" s="2291">
        <f ca="1">'BS(FY)'!O11/1000</f>
        <v>8147.8706857560483</v>
      </c>
      <c r="G210" s="2291">
        <f ca="1">'BS(FY)'!Q11/1000</f>
        <v>761.48331025122945</v>
      </c>
      <c r="H210" s="2291">
        <f ca="1">'BS(FY)'!S11/1000</f>
        <v>0</v>
      </c>
      <c r="I210" s="2291">
        <f ca="1">'BS(FY)'!U11/1000</f>
        <v>0</v>
      </c>
      <c r="J210" s="2291">
        <f ca="1">'BS(FY)'!W11/1000</f>
        <v>0</v>
      </c>
      <c r="K210" s="2291">
        <f ca="1">'BS(FY)'!Y11/1000</f>
        <v>0</v>
      </c>
      <c r="L210" s="2291">
        <f ca="1">'BS(FY)'!AA11/1000</f>
        <v>152.51178768972355</v>
      </c>
      <c r="M210" s="2291">
        <f ca="1">'BS(FY)'!AC11/1000</f>
        <v>1436.7587495171083</v>
      </c>
      <c r="N210" s="2292">
        <f ca="1">ROUND('BS(FY)'!AE11/1000,0)</f>
        <v>0</v>
      </c>
    </row>
    <row r="211" spans="2:15">
      <c r="B211" s="2293" t="s">
        <v>1614</v>
      </c>
      <c r="C211" s="2294"/>
      <c r="D211" s="2294">
        <f>'BS(FY)'!K12/1000</f>
        <v>12856.669630531998</v>
      </c>
      <c r="E211" s="2294">
        <f>'BS(FY)'!M12/1000</f>
        <v>56.176470635715539</v>
      </c>
      <c r="F211" s="2294">
        <f>'BS(FY)'!O12/1000</f>
        <v>56.197924427994352</v>
      </c>
      <c r="G211" s="2294">
        <f>'BS(FY)'!Q12/1000</f>
        <v>63.07437974233563</v>
      </c>
      <c r="H211" s="2294">
        <f>'BS(FY)'!S12/1000</f>
        <v>56.286323466105578</v>
      </c>
      <c r="I211" s="2294">
        <f>'BS(FY)'!U12/1000</f>
        <v>56.353284005817287</v>
      </c>
      <c r="J211" s="2294">
        <f>'BS(FY)'!W12/1000</f>
        <v>56.43543876593327</v>
      </c>
      <c r="K211" s="2294">
        <f>'BS(FY)'!Y12/1000</f>
        <v>56.532810413310848</v>
      </c>
      <c r="L211" s="2294">
        <f>'BS(FY)'!AA12/1000</f>
        <v>64.384077935544951</v>
      </c>
      <c r="M211" s="2294">
        <f>'BS(FY)'!AC12/1000</f>
        <v>56.773325125059102</v>
      </c>
      <c r="N211" s="2295">
        <f>'BS(FY)'!AE12/1000</f>
        <v>0</v>
      </c>
    </row>
    <row r="212" spans="2:15" hidden="1">
      <c r="B212" s="2293" t="s">
        <v>237</v>
      </c>
      <c r="C212" s="2294"/>
      <c r="D212" s="2294">
        <f>'BS(FY)'!K13/1000</f>
        <v>0</v>
      </c>
      <c r="E212" s="2294">
        <f>'BS(FY)'!M13/1000</f>
        <v>0</v>
      </c>
      <c r="F212" s="2294">
        <f>'BS(FY)'!O13/1000</f>
        <v>0</v>
      </c>
      <c r="G212" s="2294">
        <f>'BS(FY)'!Q13/1000</f>
        <v>0</v>
      </c>
      <c r="H212" s="2294">
        <f>'BS(FY)'!S13/1000</f>
        <v>0</v>
      </c>
      <c r="I212" s="2294">
        <f>'BS(FY)'!U13/1000</f>
        <v>0</v>
      </c>
      <c r="J212" s="2294">
        <f>'BS(FY)'!W13/1000</f>
        <v>0</v>
      </c>
      <c r="K212" s="2294">
        <f>'BS(FY)'!Y13/1000</f>
        <v>0</v>
      </c>
      <c r="L212" s="2294">
        <f>'BS(FY)'!AA13/1000</f>
        <v>0</v>
      </c>
      <c r="M212" s="2294">
        <f>'BS(FY)'!AC13/1000</f>
        <v>0</v>
      </c>
      <c r="N212" s="2295">
        <f>'BS(FY)'!AE13/1000</f>
        <v>0</v>
      </c>
    </row>
    <row r="213" spans="2:15" hidden="1">
      <c r="B213" s="2293" t="s">
        <v>238</v>
      </c>
      <c r="C213" s="2294"/>
      <c r="D213" s="2294">
        <f ca="1">'BS(FY)'!K14/1000</f>
        <v>0</v>
      </c>
      <c r="E213" s="2294">
        <f ca="1">'BS(FY)'!M14/1000</f>
        <v>-1.0186340659856796E-13</v>
      </c>
      <c r="F213" s="2294">
        <f ca="1">'BS(FY)'!O14/1000</f>
        <v>-7.2759576141834261E-14</v>
      </c>
      <c r="G213" s="2294">
        <f ca="1">'BS(FY)'!Q14/1000</f>
        <v>-1.3096723705530166E-13</v>
      </c>
      <c r="H213" s="2294">
        <f ca="1">'BS(FY)'!S14/1000</f>
        <v>-1.0186340659856796E-13</v>
      </c>
      <c r="I213" s="2294">
        <f ca="1">'BS(FY)'!U14/1000</f>
        <v>0</v>
      </c>
      <c r="J213" s="2294">
        <f ca="1">'BS(FY)'!W14/1000</f>
        <v>-7.2759576141834261E-14</v>
      </c>
      <c r="K213" s="2294">
        <f ca="1">'BS(FY)'!Y14/1000</f>
        <v>0</v>
      </c>
      <c r="L213" s="2294">
        <f ca="1">'BS(FY)'!AA14/1000</f>
        <v>0</v>
      </c>
      <c r="M213" s="2294">
        <f ca="1">'BS(FY)'!AC14/1000</f>
        <v>1.1641532182693482E-13</v>
      </c>
      <c r="N213" s="2295">
        <f ca="1">ROUND('BS(FY)'!AE14/1000,0)</f>
        <v>0</v>
      </c>
    </row>
    <row r="214" spans="2:15">
      <c r="B214" s="2293" t="s">
        <v>240</v>
      </c>
      <c r="C214" s="2294"/>
      <c r="D214" s="2294">
        <f>'BS(FY)'!K16/1000</f>
        <v>152192.51999999999</v>
      </c>
      <c r="E214" s="2294">
        <f>'BS(FY)'!M16/1000</f>
        <v>152192.51999999999</v>
      </c>
      <c r="F214" s="2294">
        <f>'BS(FY)'!O16/1000</f>
        <v>152192.51999999999</v>
      </c>
      <c r="G214" s="2294">
        <f>'BS(FY)'!Q16/1000</f>
        <v>152192.51999999999</v>
      </c>
      <c r="H214" s="2294">
        <f>'BS(FY)'!S16/1000</f>
        <v>152192.51999999999</v>
      </c>
      <c r="I214" s="2294">
        <f>'BS(FY)'!U16/1000</f>
        <v>152192.51999999999</v>
      </c>
      <c r="J214" s="2294">
        <f>'BS(FY)'!W16/1000</f>
        <v>152192.51999999999</v>
      </c>
      <c r="K214" s="2294">
        <f>'BS(FY)'!Y16/1000</f>
        <v>152192.51999999999</v>
      </c>
      <c r="L214" s="2294">
        <f>'BS(FY)'!AA16/1000</f>
        <v>152192.51999999999</v>
      </c>
      <c r="M214" s="2294">
        <f>'BS(FY)'!AC16/1000</f>
        <v>152192.51999999999</v>
      </c>
      <c r="N214" s="2295">
        <f>'BS(FY)'!AE16/1000</f>
        <v>0</v>
      </c>
    </row>
    <row r="215" spans="2:15">
      <c r="B215" s="2293" t="s">
        <v>241</v>
      </c>
      <c r="C215" s="2294"/>
      <c r="D215" s="2294">
        <f>'BS(FY)'!K17/1000</f>
        <v>136707.48000000001</v>
      </c>
      <c r="E215" s="2294">
        <f>'BS(FY)'!M17/1000</f>
        <v>136707.48000000001</v>
      </c>
      <c r="F215" s="2294">
        <f>'BS(FY)'!O17/1000</f>
        <v>136707.48000000001</v>
      </c>
      <c r="G215" s="2294">
        <f>'BS(FY)'!Q17/1000</f>
        <v>136707.48000000001</v>
      </c>
      <c r="H215" s="2294">
        <f>'BS(FY)'!S17/1000</f>
        <v>136707.48000000001</v>
      </c>
      <c r="I215" s="2294">
        <f>'BS(FY)'!U17/1000</f>
        <v>136707.48000000001</v>
      </c>
      <c r="J215" s="2294">
        <f>'BS(FY)'!W17/1000</f>
        <v>136707.48000000001</v>
      </c>
      <c r="K215" s="2294">
        <f>'BS(FY)'!Y17/1000</f>
        <v>136707.48000000001</v>
      </c>
      <c r="L215" s="2294">
        <f>'BS(FY)'!AA17/1000</f>
        <v>136707.48000000001</v>
      </c>
      <c r="M215" s="2294">
        <f>'BS(FY)'!AC17/1000</f>
        <v>136707.48000000001</v>
      </c>
      <c r="N215" s="2295">
        <f>'BS(FY)'!AE17/1000</f>
        <v>0</v>
      </c>
    </row>
    <row r="216" spans="2:15" ht="12.75" thickBot="1">
      <c r="B216" s="2293" t="s">
        <v>517</v>
      </c>
      <c r="C216" s="2294"/>
      <c r="D216" s="2294">
        <f>'BS(FY)'!K18/1000</f>
        <v>0</v>
      </c>
      <c r="E216" s="2294">
        <f>'BS(FY)'!M18/1000</f>
        <v>-3417.6869999999999</v>
      </c>
      <c r="F216" s="2294">
        <f>'BS(FY)'!O18/1000</f>
        <v>-6835.3739999999998</v>
      </c>
      <c r="G216" s="2294">
        <f>'BS(FY)'!Q18/1000</f>
        <v>-10253.061</v>
      </c>
      <c r="H216" s="2294">
        <f>'BS(FY)'!S18/1000</f>
        <v>-13670.748</v>
      </c>
      <c r="I216" s="2294">
        <f>'BS(FY)'!U18/1000</f>
        <v>-17088.435000000001</v>
      </c>
      <c r="J216" s="2294">
        <f>'BS(FY)'!W18/1000</f>
        <v>-20506.121999999999</v>
      </c>
      <c r="K216" s="2294">
        <f>'BS(FY)'!Y18/1000</f>
        <v>-23923.809000000001</v>
      </c>
      <c r="L216" s="2294">
        <f>'BS(FY)'!AA18/1000</f>
        <v>-27341.495999999999</v>
      </c>
      <c r="M216" s="2294">
        <f>'BS(FY)'!AC18/1000</f>
        <v>-30759.183000000001</v>
      </c>
      <c r="N216" s="2295">
        <f>'BS(FY)'!AE18/1000</f>
        <v>0</v>
      </c>
    </row>
    <row r="217" spans="2:15" ht="12.75" thickBot="1">
      <c r="B217" s="2287" t="s">
        <v>1555</v>
      </c>
      <c r="C217" s="2288"/>
      <c r="D217" s="2288">
        <f t="shared" ref="D217:M217" ca="1" si="34">SUM(D210:D216)</f>
        <v>311756.66963053204</v>
      </c>
      <c r="E217" s="2288">
        <f t="shared" ca="1" si="34"/>
        <v>291374.4078141987</v>
      </c>
      <c r="F217" s="2288">
        <f t="shared" ca="1" si="34"/>
        <v>290268.694610184</v>
      </c>
      <c r="G217" s="2288">
        <f t="shared" ca="1" si="34"/>
        <v>279471.49668999354</v>
      </c>
      <c r="H217" s="2288">
        <f t="shared" ca="1" si="34"/>
        <v>275285.53832346608</v>
      </c>
      <c r="I217" s="2288">
        <f t="shared" ca="1" si="34"/>
        <v>271867.91828400578</v>
      </c>
      <c r="J217" s="2288">
        <f t="shared" ca="1" si="34"/>
        <v>268450.31343876594</v>
      </c>
      <c r="K217" s="2288">
        <f t="shared" ca="1" si="34"/>
        <v>265032.72381041327</v>
      </c>
      <c r="L217" s="2288">
        <f t="shared" ca="1" si="34"/>
        <v>261775.39986562525</v>
      </c>
      <c r="M217" s="2288">
        <f t="shared" ca="1" si="34"/>
        <v>259634.34907464214</v>
      </c>
      <c r="N217" s="2289">
        <f ca="1">ROUND(SUM(N210:N216),0)</f>
        <v>0</v>
      </c>
    </row>
    <row r="218" spans="2:15">
      <c r="B218" s="2293" t="s">
        <v>1592</v>
      </c>
      <c r="C218" s="2294"/>
      <c r="D218" s="2294">
        <f>'BS(FY)'!K22/1000</f>
        <v>12856.669630531998</v>
      </c>
      <c r="E218" s="2294">
        <f>'BS(FY)'!M22/1000</f>
        <v>0</v>
      </c>
      <c r="F218" s="2294">
        <f>'BS(FY)'!O22/1000</f>
        <v>0</v>
      </c>
      <c r="G218" s="2294">
        <f>'BS(FY)'!Q22/1000</f>
        <v>0</v>
      </c>
      <c r="H218" s="2294">
        <f>'BS(FY)'!S22/1000</f>
        <v>0</v>
      </c>
      <c r="I218" s="2294">
        <f>'BS(FY)'!U22/1000</f>
        <v>0</v>
      </c>
      <c r="J218" s="2294">
        <f>'BS(FY)'!W22/1000</f>
        <v>0</v>
      </c>
      <c r="K218" s="2294">
        <f>'BS(FY)'!Y22/1000</f>
        <v>0</v>
      </c>
      <c r="L218" s="2294">
        <f>'BS(FY)'!AA22/1000</f>
        <v>0</v>
      </c>
      <c r="M218" s="2294">
        <f>'BS(FY)'!AC22/1000</f>
        <v>0</v>
      </c>
      <c r="N218" s="2295">
        <f>'BS(FY)'!AE22/1000</f>
        <v>0</v>
      </c>
    </row>
    <row r="219" spans="2:15" hidden="1">
      <c r="B219" s="2293" t="s">
        <v>568</v>
      </c>
      <c r="C219" s="2294"/>
      <c r="D219" s="2294">
        <f>'BS(FY)'!K23/1000</f>
        <v>0</v>
      </c>
      <c r="E219" s="2294">
        <f>'BS(FY)'!M23/1000</f>
        <v>0</v>
      </c>
      <c r="F219" s="2294">
        <f>'BS(FY)'!O23/1000</f>
        <v>0</v>
      </c>
      <c r="G219" s="2294">
        <f>'BS(FY)'!Q23/1000</f>
        <v>0</v>
      </c>
      <c r="H219" s="2294">
        <f>'BS(FY)'!S23/1000</f>
        <v>0</v>
      </c>
      <c r="I219" s="2294">
        <f>'BS(FY)'!U23/1000</f>
        <v>0</v>
      </c>
      <c r="J219" s="2294">
        <f>'BS(FY)'!W23/1000</f>
        <v>0</v>
      </c>
      <c r="K219" s="2294">
        <f>'BS(FY)'!Y23/1000</f>
        <v>0</v>
      </c>
      <c r="L219" s="2294">
        <f>'BS(FY)'!AA23/1000</f>
        <v>0</v>
      </c>
      <c r="M219" s="2294">
        <f>'BS(FY)'!AC23/1000</f>
        <v>0</v>
      </c>
      <c r="N219" s="2295">
        <f>'BS(FY)'!AE23/1000</f>
        <v>0</v>
      </c>
    </row>
    <row r="220" spans="2:15">
      <c r="B220" s="2293" t="s">
        <v>569</v>
      </c>
      <c r="C220" s="2294"/>
      <c r="D220" s="2294">
        <f>'BS(FY)'!K24/1000</f>
        <v>0</v>
      </c>
      <c r="E220" s="2294">
        <f>'BS(FY)'!M24/1000</f>
        <v>191.94920666666667</v>
      </c>
      <c r="F220" s="2294">
        <f>'BS(FY)'!O24/1000</f>
        <v>194.63845765833329</v>
      </c>
      <c r="G220" s="2294">
        <f>'BS(FY)'!Q24/1000</f>
        <v>197.39873966695833</v>
      </c>
      <c r="H220" s="2294">
        <f>'BS(FY)'!S24/1000</f>
        <v>200.23121462292397</v>
      </c>
      <c r="I220" s="2294">
        <f>'BS(FY)'!U24/1000</f>
        <v>203.13707157556948</v>
      </c>
      <c r="J220" s="2294">
        <f>'BS(FY)'!W24/1000</f>
        <v>206.11752717736519</v>
      </c>
      <c r="K220" s="2294">
        <f>'BS(FY)'!Y24/1000</f>
        <v>209.17382617864243</v>
      </c>
      <c r="L220" s="2294">
        <f>'BS(FY)'!AA24/1000</f>
        <v>212.30724193307933</v>
      </c>
      <c r="M220" s="2294">
        <f>'BS(FY)'!AC24/1000</f>
        <v>215.519076914142</v>
      </c>
      <c r="N220" s="2295">
        <f>'BS(FY)'!AE24/1000</f>
        <v>0</v>
      </c>
    </row>
    <row r="221" spans="2:15">
      <c r="B221" s="2293" t="s">
        <v>205</v>
      </c>
      <c r="C221" s="2294"/>
      <c r="D221" s="2294">
        <f>'BS(FY)'!K26/1000</f>
        <v>2100</v>
      </c>
      <c r="E221" s="2294">
        <f>'BS(FY)'!M26/1000</f>
        <v>2100</v>
      </c>
      <c r="F221" s="2294">
        <f>'BS(FY)'!O26/1000</f>
        <v>2100</v>
      </c>
      <c r="G221" s="2294">
        <f>'BS(FY)'!Q26/1000</f>
        <v>2100</v>
      </c>
      <c r="H221" s="2294">
        <f>'BS(FY)'!S26/1000</f>
        <v>2100</v>
      </c>
      <c r="I221" s="2294">
        <f>'BS(FY)'!U26/1000</f>
        <v>2100</v>
      </c>
      <c r="J221" s="2294">
        <f>'BS(FY)'!W26/1000</f>
        <v>2100</v>
      </c>
      <c r="K221" s="2294">
        <f>'BS(FY)'!Y26/1000</f>
        <v>2100</v>
      </c>
      <c r="L221" s="2294">
        <f>'BS(FY)'!AA26/1000</f>
        <v>2100</v>
      </c>
      <c r="M221" s="2294">
        <f>'BS(FY)'!AC26/1000</f>
        <v>2100</v>
      </c>
      <c r="N221" s="2295">
        <f>'BS(FY)'!AE26/1000</f>
        <v>0</v>
      </c>
    </row>
    <row r="222" spans="2:15" ht="12.75" thickBot="1">
      <c r="B222" s="2293" t="s">
        <v>1615</v>
      </c>
      <c r="C222" s="2294"/>
      <c r="D222" s="2294">
        <f>'BS(FY)'!K28/1000</f>
        <v>198000</v>
      </c>
      <c r="E222" s="2294">
        <f>'BS(FY)'!M28/1000</f>
        <v>198000</v>
      </c>
      <c r="F222" s="2294">
        <f>'BS(FY)'!O28/1000</f>
        <v>213000</v>
      </c>
      <c r="G222" s="2294">
        <f>'BS(FY)'!Q28/1000</f>
        <v>213000</v>
      </c>
      <c r="H222" s="2294">
        <f>'BS(FY)'!S28/1000</f>
        <v>213000</v>
      </c>
      <c r="I222" s="2294">
        <f>'BS(FY)'!U28/1000</f>
        <v>213000</v>
      </c>
      <c r="J222" s="2294">
        <f>'BS(FY)'!W28/1000</f>
        <v>213000</v>
      </c>
      <c r="K222" s="2294">
        <f>'BS(FY)'!Y28/1000</f>
        <v>213000</v>
      </c>
      <c r="L222" s="2294">
        <f>'BS(FY)'!AA28/1000</f>
        <v>213000</v>
      </c>
      <c r="M222" s="2294">
        <f>'BS(FY)'!AC28/1000</f>
        <v>213000</v>
      </c>
      <c r="N222" s="2295">
        <f>'BS(FY)'!AE28/1000</f>
        <v>0</v>
      </c>
      <c r="O222" s="2268">
        <f>AVERAGE(D222:M222)</f>
        <v>210000</v>
      </c>
    </row>
    <row r="223" spans="2:15" ht="12.75" hidden="1" thickBot="1">
      <c r="B223" s="2293" t="s">
        <v>605</v>
      </c>
      <c r="C223" s="2294"/>
      <c r="D223" s="2294">
        <f>'BS(FY)'!K27/1000</f>
        <v>0</v>
      </c>
      <c r="E223" s="2294">
        <f>'BS(FY)'!M27/1000</f>
        <v>0</v>
      </c>
      <c r="F223" s="2294">
        <f>'BS(FY)'!O27/1000</f>
        <v>0</v>
      </c>
      <c r="G223" s="2294">
        <f>'BS(FY)'!Q27/1000</f>
        <v>0</v>
      </c>
      <c r="H223" s="2294">
        <f>'BS(FY)'!S27/1000</f>
        <v>0</v>
      </c>
      <c r="I223" s="2294">
        <f>'BS(FY)'!U27/1000</f>
        <v>0</v>
      </c>
      <c r="J223" s="2294">
        <f>'BS(FY)'!W27/1000</f>
        <v>0</v>
      </c>
      <c r="K223" s="2294">
        <f>'BS(FY)'!Y27/1000</f>
        <v>0</v>
      </c>
      <c r="L223" s="2294">
        <f>'BS(FY)'!AA27/1000</f>
        <v>0</v>
      </c>
      <c r="M223" s="2294">
        <f>'BS(FY)'!AC27/1000</f>
        <v>0</v>
      </c>
      <c r="N223" s="2295">
        <f>'BS(FY)'!AE27/1000</f>
        <v>0</v>
      </c>
    </row>
    <row r="224" spans="2:15" ht="12.75" thickBot="1">
      <c r="B224" s="2287" t="s">
        <v>1556</v>
      </c>
      <c r="C224" s="2288"/>
      <c r="D224" s="2288">
        <f t="shared" ref="D224:N224" si="35">SUM(D218:D223)</f>
        <v>212956.66963053201</v>
      </c>
      <c r="E224" s="2288">
        <f t="shared" si="35"/>
        <v>200291.94920666667</v>
      </c>
      <c r="F224" s="2288">
        <f t="shared" si="35"/>
        <v>215294.63845765832</v>
      </c>
      <c r="G224" s="2288">
        <f t="shared" si="35"/>
        <v>215297.39873966697</v>
      </c>
      <c r="H224" s="2288">
        <f t="shared" si="35"/>
        <v>215300.23121462294</v>
      </c>
      <c r="I224" s="2288">
        <f t="shared" si="35"/>
        <v>215303.13707157556</v>
      </c>
      <c r="J224" s="2288">
        <f t="shared" si="35"/>
        <v>215306.11752717735</v>
      </c>
      <c r="K224" s="2288">
        <f t="shared" si="35"/>
        <v>215309.17382617865</v>
      </c>
      <c r="L224" s="2288">
        <f t="shared" si="35"/>
        <v>215312.30724193307</v>
      </c>
      <c r="M224" s="2288">
        <f t="shared" si="35"/>
        <v>215315.51907691415</v>
      </c>
      <c r="N224" s="2289">
        <f t="shared" si="35"/>
        <v>0</v>
      </c>
    </row>
    <row r="225" spans="2:14">
      <c r="B225" s="2293" t="s">
        <v>543</v>
      </c>
      <c r="C225" s="2294"/>
      <c r="D225" s="2294">
        <f>'BS(FY)'!K31/1000</f>
        <v>6354.782608695652</v>
      </c>
      <c r="E225" s="2294">
        <f>'BS(FY)'!M31/1000</f>
        <v>6354.782608695652</v>
      </c>
      <c r="F225" s="2294">
        <f>'BS(FY)'!O31/1000</f>
        <v>5920</v>
      </c>
      <c r="G225" s="2294">
        <f>'BS(FY)'!Q31/1000</f>
        <v>5920</v>
      </c>
      <c r="H225" s="2294">
        <f>'BS(FY)'!S31/1000</f>
        <v>5920</v>
      </c>
      <c r="I225" s="2294">
        <f>'BS(FY)'!U31/1000</f>
        <v>5920</v>
      </c>
      <c r="J225" s="2294">
        <f>'BS(FY)'!W31/1000</f>
        <v>5920</v>
      </c>
      <c r="K225" s="2294">
        <f>'BS(FY)'!Y31/1000</f>
        <v>5920</v>
      </c>
      <c r="L225" s="2294">
        <f>'BS(FY)'!AA31/1000</f>
        <v>5920</v>
      </c>
      <c r="M225" s="2294">
        <f>'BS(FY)'!AC31/1000</f>
        <v>5920</v>
      </c>
      <c r="N225" s="2295">
        <f>'BS(FY)'!AE31/1000</f>
        <v>0</v>
      </c>
    </row>
    <row r="226" spans="2:14">
      <c r="B226" s="2293" t="s">
        <v>545</v>
      </c>
      <c r="C226" s="2294"/>
      <c r="D226" s="2294">
        <f>'BS(FY)'!K32/1000</f>
        <v>92445.217391304337</v>
      </c>
      <c r="E226" s="2294">
        <f>'BS(FY)'!M32/1000</f>
        <v>92445.217391304337</v>
      </c>
      <c r="F226" s="2294">
        <f>'BS(FY)'!O32/1000</f>
        <v>82880</v>
      </c>
      <c r="G226" s="2294">
        <f>'BS(FY)'!Q32/1000</f>
        <v>82880</v>
      </c>
      <c r="H226" s="2294">
        <f>'BS(FY)'!S32/1000</f>
        <v>82880</v>
      </c>
      <c r="I226" s="2294">
        <f>'BS(FY)'!U32/1000</f>
        <v>82880</v>
      </c>
      <c r="J226" s="2294">
        <f>'BS(FY)'!W32/1000</f>
        <v>82880</v>
      </c>
      <c r="K226" s="2294">
        <f>'BS(FY)'!Y32/1000</f>
        <v>82880</v>
      </c>
      <c r="L226" s="2294">
        <f>'BS(FY)'!AA32/1000</f>
        <v>82880</v>
      </c>
      <c r="M226" s="2294">
        <f>'BS(FY)'!AC32/1000</f>
        <v>82880</v>
      </c>
      <c r="N226" s="2295">
        <f>'BS(FY)'!AE32/1000</f>
        <v>0</v>
      </c>
    </row>
    <row r="227" spans="2:14" ht="12.75" thickBot="1">
      <c r="B227" s="2293" t="s">
        <v>564</v>
      </c>
      <c r="C227" s="2294"/>
      <c r="D227" s="2294">
        <f ca="1">'BS(FY)'!K34/1000</f>
        <v>0</v>
      </c>
      <c r="E227" s="2294">
        <f ca="1">'BS(FY)'!M34/1000</f>
        <v>-7717.5413924679615</v>
      </c>
      <c r="F227" s="2294">
        <f ca="1">'BS(FY)'!O34/1000</f>
        <v>-13825.943847474284</v>
      </c>
      <c r="G227" s="2294">
        <f ca="1">'BS(FY)'!Q34/1000</f>
        <v>-24625.902049673387</v>
      </c>
      <c r="H227" s="2294">
        <f ca="1">'BS(FY)'!S34/1000</f>
        <v>-28814.692891156814</v>
      </c>
      <c r="I227" s="2294">
        <f ca="1">'BS(FY)'!U34/1000</f>
        <v>-32235.218787569753</v>
      </c>
      <c r="J227" s="2294">
        <f ca="1">'BS(FY)'!W34/1000</f>
        <v>-35655.804088411438</v>
      </c>
      <c r="K227" s="2294">
        <f ca="1">'BS(FY)'!Y34/1000</f>
        <v>-39076.450015765324</v>
      </c>
      <c r="L227" s="2294">
        <f ca="1">'BS(FY)'!AA34/1000</f>
        <v>-42336.907376307805</v>
      </c>
      <c r="M227" s="2294">
        <f ca="1">'BS(FY)'!AC34/1000</f>
        <v>-44481.170002271967</v>
      </c>
      <c r="N227" s="2295">
        <f ca="1">ROUND('BS(FY)'!AE34/1000,0)</f>
        <v>0</v>
      </c>
    </row>
    <row r="228" spans="2:14" ht="12.75" thickBot="1">
      <c r="B228" s="2287" t="s">
        <v>1557</v>
      </c>
      <c r="C228" s="2288"/>
      <c r="D228" s="2288">
        <f t="shared" ref="D228:M228" ca="1" si="36">SUM(D225:D227)</f>
        <v>98799.999999999985</v>
      </c>
      <c r="E228" s="2288">
        <f t="shared" ca="1" si="36"/>
        <v>91082.458607532026</v>
      </c>
      <c r="F228" s="2288">
        <f t="shared" ca="1" si="36"/>
        <v>74974.056152525722</v>
      </c>
      <c r="G228" s="2288">
        <f t="shared" ca="1" si="36"/>
        <v>64174.097950326613</v>
      </c>
      <c r="H228" s="2288">
        <f t="shared" ca="1" si="36"/>
        <v>59985.30710884319</v>
      </c>
      <c r="I228" s="2288">
        <f t="shared" ca="1" si="36"/>
        <v>56564.781212430244</v>
      </c>
      <c r="J228" s="2288">
        <f t="shared" ca="1" si="36"/>
        <v>53144.195911588562</v>
      </c>
      <c r="K228" s="2288">
        <f t="shared" ca="1" si="36"/>
        <v>49723.549984234676</v>
      </c>
      <c r="L228" s="2288">
        <f t="shared" ca="1" si="36"/>
        <v>46463.092623692195</v>
      </c>
      <c r="M228" s="2288">
        <f t="shared" ca="1" si="36"/>
        <v>44318.829997728033</v>
      </c>
      <c r="N228" s="2289">
        <f ca="1">ROUND(SUM(N225:N227),0)</f>
        <v>0</v>
      </c>
    </row>
    <row r="229" spans="2:14" ht="12.75" thickBot="1">
      <c r="B229" s="2287" t="s">
        <v>1616</v>
      </c>
      <c r="C229" s="2288"/>
      <c r="D229" s="2288">
        <f t="shared" ref="D229:M229" ca="1" si="37">D224+D228</f>
        <v>311756.66963053198</v>
      </c>
      <c r="E229" s="2288">
        <f t="shared" ca="1" si="37"/>
        <v>291374.4078141987</v>
      </c>
      <c r="F229" s="2288">
        <f t="shared" ca="1" si="37"/>
        <v>290268.69461018406</v>
      </c>
      <c r="G229" s="2288">
        <f t="shared" ca="1" si="37"/>
        <v>279471.4966899936</v>
      </c>
      <c r="H229" s="2288">
        <f t="shared" ca="1" si="37"/>
        <v>275285.53832346614</v>
      </c>
      <c r="I229" s="2288">
        <f t="shared" ca="1" si="37"/>
        <v>271867.91828400583</v>
      </c>
      <c r="J229" s="2288">
        <f t="shared" ca="1" si="37"/>
        <v>268450.31343876594</v>
      </c>
      <c r="K229" s="2288">
        <f t="shared" ca="1" si="37"/>
        <v>265032.72381041333</v>
      </c>
      <c r="L229" s="2288">
        <f t="shared" ca="1" si="37"/>
        <v>261775.39986562525</v>
      </c>
      <c r="M229" s="2288">
        <f t="shared" ca="1" si="37"/>
        <v>259634.34907464217</v>
      </c>
      <c r="N229" s="2289">
        <f ca="1">N224+N228</f>
        <v>0</v>
      </c>
    </row>
    <row r="230" spans="2:14">
      <c r="B230" s="2232" t="s">
        <v>1558</v>
      </c>
      <c r="C230" s="2268">
        <f>C217-C229</f>
        <v>0</v>
      </c>
      <c r="D230" s="2268">
        <f ca="1">D229-D217</f>
        <v>0</v>
      </c>
      <c r="E230" s="2268">
        <f t="shared" ref="E230:N230" ca="1" si="38">E217-E229</f>
        <v>0</v>
      </c>
      <c r="F230" s="2268">
        <f t="shared" ca="1" si="38"/>
        <v>0</v>
      </c>
      <c r="G230" s="2268">
        <f t="shared" ca="1" si="38"/>
        <v>0</v>
      </c>
      <c r="H230" s="2268">
        <f t="shared" ca="1" si="38"/>
        <v>0</v>
      </c>
      <c r="I230" s="2268">
        <f t="shared" ca="1" si="38"/>
        <v>0</v>
      </c>
      <c r="J230" s="2268">
        <f t="shared" ca="1" si="38"/>
        <v>0</v>
      </c>
      <c r="K230" s="2268">
        <f t="shared" ca="1" si="38"/>
        <v>0</v>
      </c>
      <c r="L230" s="2268">
        <f t="shared" ca="1" si="38"/>
        <v>0</v>
      </c>
      <c r="M230" s="2268">
        <f t="shared" ca="1" si="38"/>
        <v>0</v>
      </c>
      <c r="N230" s="2268">
        <f t="shared" ca="1" si="38"/>
        <v>0</v>
      </c>
    </row>
    <row r="232" spans="2:14">
      <c r="L232" s="2232">
        <f>65/0.85</f>
        <v>76.470588235294116</v>
      </c>
    </row>
    <row r="233" spans="2:14" ht="12.75" thickBot="1"/>
    <row r="234" spans="2:14" ht="12.75" thickBot="1">
      <c r="B234" s="3091" t="s">
        <v>1448</v>
      </c>
      <c r="C234" s="3093" t="s">
        <v>1461</v>
      </c>
      <c r="D234" s="3079"/>
      <c r="E234" s="3093" t="s">
        <v>1462</v>
      </c>
      <c r="F234" s="3078"/>
    </row>
    <row r="235" spans="2:14" ht="12.75" thickBot="1">
      <c r="B235" s="3092"/>
      <c r="C235" s="2270" t="s">
        <v>1463</v>
      </c>
      <c r="D235" s="2270" t="s">
        <v>1464</v>
      </c>
      <c r="E235" s="2270" t="s">
        <v>1463</v>
      </c>
      <c r="F235" s="2261" t="s">
        <v>1464</v>
      </c>
    </row>
    <row r="236" spans="2:14" ht="12.75" thickBot="1">
      <c r="B236" s="2305" t="str">
        <f>D7</f>
        <v>우선주(1종)</v>
      </c>
      <c r="C236" s="2419">
        <f ca="1">'A&amp;R'!G65</f>
        <v>7.0000000000000021E-2</v>
      </c>
      <c r="D236" s="2419">
        <f ca="1">'A&amp;R'!G67</f>
        <v>7.122499999999965E-2</v>
      </c>
      <c r="E236" s="2419">
        <f ca="1">'A&amp;R'!G66</f>
        <v>7.0000000000000021E-2</v>
      </c>
      <c r="F236" s="2420">
        <f ca="1">'A&amp;R'!G68</f>
        <v>7.122499999999965E-2</v>
      </c>
      <c r="G236" s="2418"/>
    </row>
    <row r="237" spans="2:14" ht="12.75" thickBot="1">
      <c r="B237" s="2305" t="str">
        <f>D8</f>
        <v>우선주(2종)</v>
      </c>
      <c r="C237" s="2419">
        <f ca="1">'A&amp;R'!K65</f>
        <v>7.5000000000000011E-2</v>
      </c>
      <c r="D237" s="2419">
        <f ca="1">'A&amp;R'!K67</f>
        <v>7.5965190732597998E-2</v>
      </c>
      <c r="E237" s="2419">
        <f ca="1">'A&amp;R'!K66</f>
        <v>9.8535226675133869E-2</v>
      </c>
      <c r="F237" s="2420">
        <f ca="1">'A&amp;R'!K68</f>
        <v>9.1542830896573557E-2</v>
      </c>
      <c r="G237" s="2418"/>
    </row>
    <row r="238" spans="2:14" ht="12.75" thickBot="1">
      <c r="B238" s="2305" t="str">
        <f>D9</f>
        <v>우선주(3종)</v>
      </c>
      <c r="C238" s="2419">
        <f>'A&amp;R'!G95</f>
        <v>0</v>
      </c>
      <c r="D238" s="2419">
        <f>'A&amp;R'!G97</f>
        <v>0</v>
      </c>
      <c r="E238" s="2419">
        <f>'A&amp;R'!G96</f>
        <v>0</v>
      </c>
      <c r="F238" s="2420">
        <f>'A&amp;R'!G98</f>
        <v>0</v>
      </c>
      <c r="G238" s="2418"/>
    </row>
    <row r="239" spans="2:14" ht="12.75" thickBot="1">
      <c r="B239" s="2305" t="str">
        <f>D10</f>
        <v>보통주</v>
      </c>
      <c r="C239" s="2419">
        <f ca="1">'A&amp;R'!K95</f>
        <v>7.4999999999999997E-3</v>
      </c>
      <c r="D239" s="2419">
        <f ca="1">'A&amp;R'!K97</f>
        <v>7.7792962088110151E-3</v>
      </c>
      <c r="E239" s="2419">
        <f ca="1">'A&amp;R'!K96</f>
        <v>0.32554360371802527</v>
      </c>
      <c r="F239" s="2420">
        <f ca="1">'A&amp;R'!K98</f>
        <v>0.16181544839707418</v>
      </c>
      <c r="G239" s="2418"/>
    </row>
    <row r="240" spans="2:14" ht="12.75" thickBot="1">
      <c r="B240" s="2306" t="s">
        <v>1465</v>
      </c>
      <c r="C240" s="2421">
        <f ca="1">H370</f>
        <v>6.1024229074889878E-2</v>
      </c>
      <c r="D240" s="2421">
        <f ca="1">'CF(M)'!I133</f>
        <v>6.1772181236007917E-2</v>
      </c>
      <c r="E240" s="2421">
        <f ca="1">I370</f>
        <v>0.12582386199100737</v>
      </c>
      <c r="F240" s="2307">
        <f ca="1">'CF(M)'!I134</f>
        <v>0.10214270785652579</v>
      </c>
      <c r="G240" s="2418"/>
    </row>
    <row r="245" spans="1:13" ht="12.75" thickBot="1">
      <c r="A245" s="2232" t="s">
        <v>1537</v>
      </c>
    </row>
    <row r="246" spans="1:13" ht="12.75" thickBot="1">
      <c r="B246" s="3078" t="s">
        <v>1448</v>
      </c>
      <c r="C246" s="3079"/>
      <c r="D246" s="2270" t="s">
        <v>1466</v>
      </c>
      <c r="E246" s="2270" t="s">
        <v>1467</v>
      </c>
      <c r="F246" s="2270" t="s">
        <v>1468</v>
      </c>
      <c r="G246" s="2270" t="s">
        <v>1469</v>
      </c>
      <c r="H246" s="2261" t="s">
        <v>1470</v>
      </c>
      <c r="I246" s="2261" t="s">
        <v>1645</v>
      </c>
      <c r="L246" s="2465" t="s">
        <v>1646</v>
      </c>
      <c r="M246" s="2465" t="s">
        <v>1647</v>
      </c>
    </row>
    <row r="247" spans="1:13" ht="12.75" thickBot="1">
      <c r="B247" s="2308" t="s">
        <v>1471</v>
      </c>
      <c r="C247" s="2309">
        <f>'A&amp;R'!M32</f>
        <v>46326</v>
      </c>
      <c r="D247" s="2273">
        <f>E247</f>
        <v>-24000</v>
      </c>
      <c r="E247" s="2273">
        <f>-'A&amp;R'!D43/1000</f>
        <v>-24000</v>
      </c>
      <c r="F247" s="2273">
        <v>0</v>
      </c>
      <c r="G247" s="2273"/>
      <c r="H247" s="2310"/>
      <c r="I247" s="2310"/>
      <c r="L247" s="2268">
        <f t="shared" ref="L247:L267" si="39">SUM(E247:F247)</f>
        <v>-24000</v>
      </c>
      <c r="M247" s="2268">
        <f t="shared" ref="M247:M267" si="40">SUM(E247:G247)</f>
        <v>-24000</v>
      </c>
    </row>
    <row r="248" spans="1:13" ht="12.75" thickBot="1">
      <c r="B248" s="2311">
        <v>1</v>
      </c>
      <c r="C248" s="2309">
        <f t="shared" ref="C248:C267" si="41">EOMONTH(C247,6)</f>
        <v>46507</v>
      </c>
      <c r="D248" s="2273">
        <f t="shared" ref="D248:D267" ca="1" si="42">SUM(E248:G248)</f>
        <v>840.00000000000011</v>
      </c>
      <c r="E248" s="2273">
        <f>'A&amp;R'!D43/1000*(1=20)</f>
        <v>0</v>
      </c>
      <c r="F248" s="2273">
        <f ca="1">'A&amp;R'!E43/1000</f>
        <v>840.00000000000011</v>
      </c>
      <c r="G248" s="2273">
        <f>'A&amp;R'!F43/1000</f>
        <v>0</v>
      </c>
      <c r="H248" s="2420">
        <f t="shared" ref="H248:H267" ca="1" si="43">IFERROR(F248/J248*2,)</f>
        <v>7.0000000000000007E-2</v>
      </c>
      <c r="I248" s="2420"/>
      <c r="J248" s="2268">
        <f>-E247</f>
        <v>24000</v>
      </c>
      <c r="L248" s="2268">
        <f t="shared" ca="1" si="39"/>
        <v>840.00000000000011</v>
      </c>
      <c r="M248" s="2268">
        <f t="shared" ca="1" si="40"/>
        <v>840.00000000000011</v>
      </c>
    </row>
    <row r="249" spans="1:13" ht="12.75" thickBot="1">
      <c r="B249" s="2311">
        <f>B248+1</f>
        <v>2</v>
      </c>
      <c r="C249" s="2309">
        <f t="shared" si="41"/>
        <v>46691</v>
      </c>
      <c r="D249" s="2273">
        <f t="shared" ca="1" si="42"/>
        <v>840.00000000000011</v>
      </c>
      <c r="E249" s="2273">
        <f>'A&amp;R'!D44/1000*(2=20)</f>
        <v>0</v>
      </c>
      <c r="F249" s="2273">
        <f ca="1">'A&amp;R'!E44/1000</f>
        <v>840.00000000000011</v>
      </c>
      <c r="G249" s="2273">
        <f>'A&amp;R'!F44/1000</f>
        <v>0</v>
      </c>
      <c r="H249" s="2420">
        <f t="shared" ca="1" si="43"/>
        <v>7.0000000000000007E-2</v>
      </c>
      <c r="I249" s="2420"/>
      <c r="J249" s="2268">
        <f t="shared" ref="J249:J267" si="44">J248-E248</f>
        <v>24000</v>
      </c>
      <c r="L249" s="2268">
        <f t="shared" ca="1" si="39"/>
        <v>840.00000000000011</v>
      </c>
      <c r="M249" s="2268">
        <f t="shared" ca="1" si="40"/>
        <v>840.00000000000011</v>
      </c>
    </row>
    <row r="250" spans="1:13" ht="12.75" thickBot="1">
      <c r="B250" s="2311">
        <f t="shared" ref="B250:B267" si="45">B249+1</f>
        <v>3</v>
      </c>
      <c r="C250" s="2309">
        <f t="shared" si="41"/>
        <v>46873</v>
      </c>
      <c r="D250" s="2273">
        <f t="shared" ca="1" si="42"/>
        <v>840.00000000000011</v>
      </c>
      <c r="E250" s="2273">
        <f>'A&amp;R'!D45/1000*(3=20)</f>
        <v>0</v>
      </c>
      <c r="F250" s="2273">
        <f ca="1">'A&amp;R'!E45/1000</f>
        <v>840.00000000000011</v>
      </c>
      <c r="G250" s="2273">
        <f>'A&amp;R'!F45/1000</f>
        <v>0</v>
      </c>
      <c r="H250" s="2420">
        <f t="shared" ca="1" si="43"/>
        <v>7.0000000000000007E-2</v>
      </c>
      <c r="I250" s="2420"/>
      <c r="J250" s="2268">
        <f t="shared" si="44"/>
        <v>24000</v>
      </c>
      <c r="L250" s="2268">
        <f t="shared" ca="1" si="39"/>
        <v>840.00000000000011</v>
      </c>
      <c r="M250" s="2268">
        <f t="shared" ca="1" si="40"/>
        <v>840.00000000000011</v>
      </c>
    </row>
    <row r="251" spans="1:13" ht="12.75" thickBot="1">
      <c r="B251" s="2311">
        <f t="shared" si="45"/>
        <v>4</v>
      </c>
      <c r="C251" s="2309">
        <f t="shared" si="41"/>
        <v>47057</v>
      </c>
      <c r="D251" s="2273">
        <f t="shared" ca="1" si="42"/>
        <v>840.00000000000011</v>
      </c>
      <c r="E251" s="2273">
        <f>'A&amp;R'!D46/1000*(4=20)</f>
        <v>0</v>
      </c>
      <c r="F251" s="2273">
        <f ca="1">'A&amp;R'!E46/1000</f>
        <v>840.00000000000011</v>
      </c>
      <c r="G251" s="2273">
        <f>'A&amp;R'!F46/1000</f>
        <v>0</v>
      </c>
      <c r="H251" s="2420">
        <f t="shared" ca="1" si="43"/>
        <v>7.0000000000000007E-2</v>
      </c>
      <c r="I251" s="2420"/>
      <c r="J251" s="2268">
        <f t="shared" si="44"/>
        <v>24000</v>
      </c>
      <c r="L251" s="2268">
        <f t="shared" ca="1" si="39"/>
        <v>840.00000000000011</v>
      </c>
      <c r="M251" s="2268">
        <f t="shared" ca="1" si="40"/>
        <v>840.00000000000011</v>
      </c>
    </row>
    <row r="252" spans="1:13" ht="12.75" thickBot="1">
      <c r="B252" s="2311">
        <f t="shared" si="45"/>
        <v>5</v>
      </c>
      <c r="C252" s="2309">
        <f t="shared" si="41"/>
        <v>47238</v>
      </c>
      <c r="D252" s="2273">
        <f t="shared" ca="1" si="42"/>
        <v>840.00000000000011</v>
      </c>
      <c r="E252" s="2273">
        <f>'A&amp;R'!D47/1000*(5=20)</f>
        <v>0</v>
      </c>
      <c r="F252" s="2273">
        <f ca="1">'A&amp;R'!E47/1000</f>
        <v>840.00000000000011</v>
      </c>
      <c r="G252" s="2273">
        <f>'A&amp;R'!F47/1000</f>
        <v>0</v>
      </c>
      <c r="H252" s="2420">
        <f t="shared" ca="1" si="43"/>
        <v>7.0000000000000007E-2</v>
      </c>
      <c r="I252" s="2420"/>
      <c r="J252" s="2268">
        <f t="shared" si="44"/>
        <v>24000</v>
      </c>
      <c r="L252" s="2268">
        <f t="shared" ca="1" si="39"/>
        <v>840.00000000000011</v>
      </c>
      <c r="M252" s="2268">
        <f t="shared" ca="1" si="40"/>
        <v>840.00000000000011</v>
      </c>
    </row>
    <row r="253" spans="1:13" ht="12.75" thickBot="1">
      <c r="B253" s="2311">
        <f t="shared" si="45"/>
        <v>6</v>
      </c>
      <c r="C253" s="2309">
        <f t="shared" si="41"/>
        <v>47422</v>
      </c>
      <c r="D253" s="2273">
        <f t="shared" ca="1" si="42"/>
        <v>840.00000000000011</v>
      </c>
      <c r="E253" s="2273">
        <f>'A&amp;R'!D48/1000*(6=20)</f>
        <v>0</v>
      </c>
      <c r="F253" s="2273">
        <f ca="1">'A&amp;R'!E48/1000</f>
        <v>840.00000000000011</v>
      </c>
      <c r="G253" s="2273">
        <f>'A&amp;R'!F48/1000</f>
        <v>0</v>
      </c>
      <c r="H253" s="2420">
        <f t="shared" ca="1" si="43"/>
        <v>7.0000000000000007E-2</v>
      </c>
      <c r="I253" s="2420"/>
      <c r="J253" s="2268">
        <f t="shared" si="44"/>
        <v>24000</v>
      </c>
      <c r="L253" s="2268">
        <f t="shared" ca="1" si="39"/>
        <v>840.00000000000011</v>
      </c>
      <c r="M253" s="2268">
        <f t="shared" ca="1" si="40"/>
        <v>840.00000000000011</v>
      </c>
    </row>
    <row r="254" spans="1:13" ht="12.75" thickBot="1">
      <c r="B254" s="2311">
        <f t="shared" si="45"/>
        <v>7</v>
      </c>
      <c r="C254" s="2309">
        <f t="shared" si="41"/>
        <v>47603</v>
      </c>
      <c r="D254" s="2273">
        <f t="shared" ca="1" si="42"/>
        <v>840.00000000000011</v>
      </c>
      <c r="E254" s="2273">
        <f>'A&amp;R'!D49/1000*(7=20)</f>
        <v>0</v>
      </c>
      <c r="F254" s="2273">
        <f ca="1">'A&amp;R'!E49/1000</f>
        <v>840.00000000000011</v>
      </c>
      <c r="G254" s="2273">
        <f>'A&amp;R'!F49/1000</f>
        <v>0</v>
      </c>
      <c r="H254" s="2420">
        <f t="shared" ca="1" si="43"/>
        <v>7.0000000000000007E-2</v>
      </c>
      <c r="I254" s="2420"/>
      <c r="J254" s="2268">
        <f t="shared" si="44"/>
        <v>24000</v>
      </c>
      <c r="L254" s="2268">
        <f t="shared" ca="1" si="39"/>
        <v>840.00000000000011</v>
      </c>
      <c r="M254" s="2268">
        <f t="shared" ca="1" si="40"/>
        <v>840.00000000000011</v>
      </c>
    </row>
    <row r="255" spans="1:13" ht="12.75" thickBot="1">
      <c r="B255" s="2311">
        <f t="shared" si="45"/>
        <v>8</v>
      </c>
      <c r="C255" s="2309">
        <f t="shared" si="41"/>
        <v>47787</v>
      </c>
      <c r="D255" s="2273">
        <f t="shared" ca="1" si="42"/>
        <v>840.00000000000011</v>
      </c>
      <c r="E255" s="2273">
        <f>'A&amp;R'!D50/1000*(8=20)</f>
        <v>0</v>
      </c>
      <c r="F255" s="2273">
        <f ca="1">'A&amp;R'!E50/1000</f>
        <v>840.00000000000011</v>
      </c>
      <c r="G255" s="2273">
        <f>'A&amp;R'!F50/1000</f>
        <v>0</v>
      </c>
      <c r="H255" s="2420">
        <f t="shared" ca="1" si="43"/>
        <v>7.0000000000000007E-2</v>
      </c>
      <c r="I255" s="2420"/>
      <c r="J255" s="2268">
        <f t="shared" si="44"/>
        <v>24000</v>
      </c>
      <c r="L255" s="2268">
        <f t="shared" ca="1" si="39"/>
        <v>840.00000000000011</v>
      </c>
      <c r="M255" s="2268">
        <f t="shared" ca="1" si="40"/>
        <v>840.00000000000011</v>
      </c>
    </row>
    <row r="256" spans="1:13" ht="12.75" thickBot="1">
      <c r="B256" s="2311">
        <f t="shared" si="45"/>
        <v>9</v>
      </c>
      <c r="C256" s="2309">
        <f t="shared" si="41"/>
        <v>47968</v>
      </c>
      <c r="D256" s="2273">
        <f t="shared" ca="1" si="42"/>
        <v>840.00000000000011</v>
      </c>
      <c r="E256" s="2273">
        <f>'A&amp;R'!D51/1000*(9=20)</f>
        <v>0</v>
      </c>
      <c r="F256" s="2273">
        <f ca="1">'A&amp;R'!E51/1000</f>
        <v>840.00000000000011</v>
      </c>
      <c r="G256" s="2273">
        <f>'A&amp;R'!F51/1000</f>
        <v>0</v>
      </c>
      <c r="H256" s="2420">
        <f t="shared" ca="1" si="43"/>
        <v>7.0000000000000007E-2</v>
      </c>
      <c r="I256" s="2420"/>
      <c r="J256" s="2268">
        <f t="shared" si="44"/>
        <v>24000</v>
      </c>
      <c r="L256" s="2268">
        <f t="shared" ca="1" si="39"/>
        <v>840.00000000000011</v>
      </c>
      <c r="M256" s="2268">
        <f t="shared" ca="1" si="40"/>
        <v>840.00000000000011</v>
      </c>
    </row>
    <row r="257" spans="1:13" ht="12.75" thickBot="1">
      <c r="B257" s="2311">
        <f t="shared" si="45"/>
        <v>10</v>
      </c>
      <c r="C257" s="2309">
        <f t="shared" si="41"/>
        <v>48152</v>
      </c>
      <c r="D257" s="2273">
        <f t="shared" ca="1" si="42"/>
        <v>840.00000000000011</v>
      </c>
      <c r="E257" s="2273">
        <f>'A&amp;R'!D52/1000*(10=20)</f>
        <v>0</v>
      </c>
      <c r="F257" s="2273">
        <f ca="1">'A&amp;R'!E52/1000</f>
        <v>840.00000000000011</v>
      </c>
      <c r="G257" s="2273">
        <f>'A&amp;R'!F52/1000</f>
        <v>0</v>
      </c>
      <c r="H257" s="2420">
        <f t="shared" ca="1" si="43"/>
        <v>7.0000000000000007E-2</v>
      </c>
      <c r="I257" s="2420"/>
      <c r="J257" s="2268">
        <f t="shared" si="44"/>
        <v>24000</v>
      </c>
      <c r="L257" s="2268">
        <f t="shared" ca="1" si="39"/>
        <v>840.00000000000011</v>
      </c>
      <c r="M257" s="2268">
        <f t="shared" ca="1" si="40"/>
        <v>840.00000000000011</v>
      </c>
    </row>
    <row r="258" spans="1:13" ht="12.75" thickBot="1">
      <c r="B258" s="2311">
        <f t="shared" si="45"/>
        <v>11</v>
      </c>
      <c r="C258" s="2309">
        <f t="shared" si="41"/>
        <v>48334</v>
      </c>
      <c r="D258" s="2273">
        <f t="shared" ca="1" si="42"/>
        <v>840.00000000000011</v>
      </c>
      <c r="E258" s="2273">
        <f>'A&amp;R'!D53/1000*(11=20)</f>
        <v>0</v>
      </c>
      <c r="F258" s="2273">
        <f ca="1">'A&amp;R'!E53/1000</f>
        <v>840.00000000000011</v>
      </c>
      <c r="G258" s="2273">
        <f>'A&amp;R'!F53/1000</f>
        <v>0</v>
      </c>
      <c r="H258" s="2420">
        <f t="shared" ca="1" si="43"/>
        <v>7.0000000000000007E-2</v>
      </c>
      <c r="I258" s="2420"/>
      <c r="J258" s="2268">
        <f t="shared" si="44"/>
        <v>24000</v>
      </c>
      <c r="L258" s="2268">
        <f t="shared" ca="1" si="39"/>
        <v>840.00000000000011</v>
      </c>
      <c r="M258" s="2268">
        <f t="shared" ca="1" si="40"/>
        <v>840.00000000000011</v>
      </c>
    </row>
    <row r="259" spans="1:13" ht="12.75" thickBot="1">
      <c r="B259" s="2311">
        <f t="shared" si="45"/>
        <v>12</v>
      </c>
      <c r="C259" s="2309">
        <f t="shared" si="41"/>
        <v>48518</v>
      </c>
      <c r="D259" s="2273">
        <f t="shared" ca="1" si="42"/>
        <v>840.00000000000011</v>
      </c>
      <c r="E259" s="2273">
        <f>'A&amp;R'!D54/1000*(12=20)</f>
        <v>0</v>
      </c>
      <c r="F259" s="2273">
        <f ca="1">'A&amp;R'!E54/1000</f>
        <v>840.00000000000011</v>
      </c>
      <c r="G259" s="2273">
        <f>'A&amp;R'!F54/1000</f>
        <v>0</v>
      </c>
      <c r="H259" s="2420">
        <f t="shared" ca="1" si="43"/>
        <v>7.0000000000000007E-2</v>
      </c>
      <c r="I259" s="2420"/>
      <c r="J259" s="2268">
        <f t="shared" si="44"/>
        <v>24000</v>
      </c>
      <c r="L259" s="2268">
        <f t="shared" ca="1" si="39"/>
        <v>840.00000000000011</v>
      </c>
      <c r="M259" s="2268">
        <f t="shared" ca="1" si="40"/>
        <v>840.00000000000011</v>
      </c>
    </row>
    <row r="260" spans="1:13" ht="12.75" thickBot="1">
      <c r="B260" s="2311">
        <f t="shared" si="45"/>
        <v>13</v>
      </c>
      <c r="C260" s="2309">
        <f t="shared" si="41"/>
        <v>48699</v>
      </c>
      <c r="D260" s="2273">
        <f t="shared" ca="1" si="42"/>
        <v>840.00000000000011</v>
      </c>
      <c r="E260" s="2273">
        <f>'A&amp;R'!D55/1000*(13=20)</f>
        <v>0</v>
      </c>
      <c r="F260" s="2273">
        <f ca="1">'A&amp;R'!E55/1000</f>
        <v>840.00000000000011</v>
      </c>
      <c r="G260" s="2273">
        <f>'A&amp;R'!F55/1000</f>
        <v>0</v>
      </c>
      <c r="H260" s="2420">
        <f t="shared" ca="1" si="43"/>
        <v>7.0000000000000007E-2</v>
      </c>
      <c r="I260" s="2420"/>
      <c r="J260" s="2268">
        <f t="shared" si="44"/>
        <v>24000</v>
      </c>
      <c r="L260" s="2268">
        <f t="shared" ca="1" si="39"/>
        <v>840.00000000000011</v>
      </c>
      <c r="M260" s="2268">
        <f t="shared" ca="1" si="40"/>
        <v>840.00000000000011</v>
      </c>
    </row>
    <row r="261" spans="1:13" ht="12.75" thickBot="1">
      <c r="B261" s="2311">
        <f t="shared" si="45"/>
        <v>14</v>
      </c>
      <c r="C261" s="2309">
        <f t="shared" si="41"/>
        <v>48883</v>
      </c>
      <c r="D261" s="2273">
        <f t="shared" ca="1" si="42"/>
        <v>840.00000000000011</v>
      </c>
      <c r="E261" s="2273">
        <f>'A&amp;R'!D56/1000*(14=20)</f>
        <v>0</v>
      </c>
      <c r="F261" s="2273">
        <f ca="1">'A&amp;R'!E56/1000</f>
        <v>840.00000000000011</v>
      </c>
      <c r="G261" s="2273">
        <f>'A&amp;R'!F56/1000</f>
        <v>0</v>
      </c>
      <c r="H261" s="2420">
        <f t="shared" ca="1" si="43"/>
        <v>7.0000000000000007E-2</v>
      </c>
      <c r="I261" s="2420"/>
      <c r="J261" s="2268">
        <f t="shared" si="44"/>
        <v>24000</v>
      </c>
      <c r="L261" s="2268">
        <f t="shared" ca="1" si="39"/>
        <v>840.00000000000011</v>
      </c>
      <c r="M261" s="2268">
        <f t="shared" ca="1" si="40"/>
        <v>840.00000000000011</v>
      </c>
    </row>
    <row r="262" spans="1:13" ht="12.75" thickBot="1">
      <c r="B262" s="2311">
        <f t="shared" si="45"/>
        <v>15</v>
      </c>
      <c r="C262" s="2309">
        <f t="shared" si="41"/>
        <v>49064</v>
      </c>
      <c r="D262" s="2273">
        <f t="shared" ca="1" si="42"/>
        <v>840.00000000000011</v>
      </c>
      <c r="E262" s="2273">
        <f>'A&amp;R'!D57/1000*(15=20)</f>
        <v>0</v>
      </c>
      <c r="F262" s="2273">
        <f ca="1">'A&amp;R'!E57/1000</f>
        <v>840.00000000000011</v>
      </c>
      <c r="G262" s="2273">
        <f>'A&amp;R'!F57/1000</f>
        <v>0</v>
      </c>
      <c r="H262" s="2420">
        <f t="shared" ca="1" si="43"/>
        <v>7.0000000000000007E-2</v>
      </c>
      <c r="I262" s="2420"/>
      <c r="J262" s="2268">
        <f t="shared" si="44"/>
        <v>24000</v>
      </c>
      <c r="L262" s="2268">
        <f t="shared" ca="1" si="39"/>
        <v>840.00000000000011</v>
      </c>
      <c r="M262" s="2268">
        <f t="shared" ca="1" si="40"/>
        <v>840.00000000000011</v>
      </c>
    </row>
    <row r="263" spans="1:13" ht="12.75" thickBot="1">
      <c r="B263" s="2311">
        <f t="shared" si="45"/>
        <v>16</v>
      </c>
      <c r="C263" s="2309">
        <f t="shared" si="41"/>
        <v>49248</v>
      </c>
      <c r="D263" s="2273">
        <f t="shared" ca="1" si="42"/>
        <v>840.00000000000011</v>
      </c>
      <c r="E263" s="2273">
        <f>'A&amp;R'!D58/1000*(16=20)</f>
        <v>0</v>
      </c>
      <c r="F263" s="2273">
        <f ca="1">'A&amp;R'!E58/1000</f>
        <v>840.00000000000011</v>
      </c>
      <c r="G263" s="2273">
        <f>'A&amp;R'!F58/1000</f>
        <v>0</v>
      </c>
      <c r="H263" s="2420">
        <f t="shared" ca="1" si="43"/>
        <v>7.0000000000000007E-2</v>
      </c>
      <c r="I263" s="2420"/>
      <c r="J263" s="2268">
        <f t="shared" si="44"/>
        <v>24000</v>
      </c>
      <c r="L263" s="2268">
        <f t="shared" ca="1" si="39"/>
        <v>840.00000000000011</v>
      </c>
      <c r="M263" s="2268">
        <f t="shared" ca="1" si="40"/>
        <v>840.00000000000011</v>
      </c>
    </row>
    <row r="264" spans="1:13" ht="12.75" thickBot="1">
      <c r="B264" s="2311">
        <f t="shared" si="45"/>
        <v>17</v>
      </c>
      <c r="C264" s="2309">
        <f t="shared" si="41"/>
        <v>49429</v>
      </c>
      <c r="D264" s="2273">
        <f t="shared" ca="1" si="42"/>
        <v>840.00000000000011</v>
      </c>
      <c r="E264" s="2273">
        <f>'A&amp;R'!D59/1000*(17=20)</f>
        <v>0</v>
      </c>
      <c r="F264" s="2273">
        <f ca="1">'A&amp;R'!E59/1000</f>
        <v>840.00000000000011</v>
      </c>
      <c r="G264" s="2273">
        <f>'A&amp;R'!F59/1000</f>
        <v>0</v>
      </c>
      <c r="H264" s="2420">
        <f t="shared" ca="1" si="43"/>
        <v>7.0000000000000007E-2</v>
      </c>
      <c r="I264" s="2420"/>
      <c r="J264" s="2268">
        <f t="shared" si="44"/>
        <v>24000</v>
      </c>
      <c r="L264" s="2268">
        <f t="shared" ca="1" si="39"/>
        <v>840.00000000000011</v>
      </c>
      <c r="M264" s="2268">
        <f t="shared" ca="1" si="40"/>
        <v>840.00000000000011</v>
      </c>
    </row>
    <row r="265" spans="1:13" ht="12.75" thickBot="1">
      <c r="B265" s="2311">
        <f t="shared" si="45"/>
        <v>18</v>
      </c>
      <c r="C265" s="2309">
        <f t="shared" si="41"/>
        <v>49613</v>
      </c>
      <c r="D265" s="2273">
        <f t="shared" ca="1" si="42"/>
        <v>840.00000000000011</v>
      </c>
      <c r="E265" s="2273">
        <f>'A&amp;R'!D60/1000*(18=20)</f>
        <v>0</v>
      </c>
      <c r="F265" s="2273">
        <f ca="1">'A&amp;R'!E60/1000</f>
        <v>840.00000000000011</v>
      </c>
      <c r="G265" s="2273">
        <f>'A&amp;R'!F60/1000</f>
        <v>0</v>
      </c>
      <c r="H265" s="2420">
        <f t="shared" ca="1" si="43"/>
        <v>7.0000000000000007E-2</v>
      </c>
      <c r="I265" s="2420"/>
      <c r="J265" s="2268">
        <f t="shared" si="44"/>
        <v>24000</v>
      </c>
      <c r="L265" s="2268">
        <f t="shared" ca="1" si="39"/>
        <v>840.00000000000011</v>
      </c>
      <c r="M265" s="2268">
        <f t="shared" ca="1" si="40"/>
        <v>840.00000000000011</v>
      </c>
    </row>
    <row r="266" spans="1:13" ht="12.75" thickBot="1">
      <c r="B266" s="2311">
        <f t="shared" si="45"/>
        <v>19</v>
      </c>
      <c r="C266" s="2309">
        <f t="shared" si="41"/>
        <v>49795</v>
      </c>
      <c r="D266" s="2273">
        <f t="shared" ca="1" si="42"/>
        <v>840.00000000000011</v>
      </c>
      <c r="E266" s="2273">
        <f>'A&amp;R'!D61/1000*(19=20)</f>
        <v>0</v>
      </c>
      <c r="F266" s="2273">
        <f ca="1">'A&amp;R'!E61/1000</f>
        <v>840.00000000000011</v>
      </c>
      <c r="G266" s="2273">
        <f>'A&amp;R'!F61/1000</f>
        <v>0</v>
      </c>
      <c r="H266" s="2420">
        <f t="shared" ca="1" si="43"/>
        <v>7.0000000000000007E-2</v>
      </c>
      <c r="I266" s="2420"/>
      <c r="J266" s="2268">
        <f t="shared" si="44"/>
        <v>24000</v>
      </c>
      <c r="L266" s="2268">
        <f t="shared" ca="1" si="39"/>
        <v>840.00000000000011</v>
      </c>
      <c r="M266" s="2268">
        <f t="shared" ca="1" si="40"/>
        <v>840.00000000000011</v>
      </c>
    </row>
    <row r="267" spans="1:13" ht="12.75" thickBot="1">
      <c r="B267" s="2311">
        <f t="shared" si="45"/>
        <v>20</v>
      </c>
      <c r="C267" s="2309">
        <f t="shared" si="41"/>
        <v>49979</v>
      </c>
      <c r="D267" s="2273">
        <f t="shared" ca="1" si="42"/>
        <v>24840</v>
      </c>
      <c r="E267" s="2273">
        <f>'A&amp;R'!D62/1000*(20=20)</f>
        <v>24000</v>
      </c>
      <c r="F267" s="2273">
        <f ca="1">'A&amp;R'!E62/1000</f>
        <v>840.00000000000011</v>
      </c>
      <c r="G267" s="2273">
        <f>'A&amp;R'!F62/1000</f>
        <v>0</v>
      </c>
      <c r="H267" s="2420">
        <f t="shared" ca="1" si="43"/>
        <v>7.0000000000000007E-2</v>
      </c>
      <c r="I267" s="2420"/>
      <c r="J267" s="2268">
        <f t="shared" si="44"/>
        <v>24000</v>
      </c>
      <c r="L267" s="2268">
        <f t="shared" ca="1" si="39"/>
        <v>24840</v>
      </c>
      <c r="M267" s="2268">
        <f t="shared" ca="1" si="40"/>
        <v>24840</v>
      </c>
    </row>
    <row r="268" spans="1:13" ht="12.75" thickBot="1">
      <c r="B268" s="3076" t="s">
        <v>1472</v>
      </c>
      <c r="C268" s="3077"/>
      <c r="D268" s="2277">
        <f ca="1">SUM(D247:D267)</f>
        <v>16800</v>
      </c>
      <c r="E268" s="2277">
        <f>SUM(E247:E267)</f>
        <v>0</v>
      </c>
      <c r="F268" s="2277">
        <f ca="1">SUM(F247:F267)</f>
        <v>16800.000000000004</v>
      </c>
      <c r="G268" s="2277">
        <f>SUM(G247:G267)</f>
        <v>0</v>
      </c>
      <c r="H268" s="2307">
        <f ca="1">F268/J268*2</f>
        <v>7.0000000000000021E-2</v>
      </c>
      <c r="I268" s="2307">
        <f ca="1">SUM(F268,G268)/J268*2</f>
        <v>7.0000000000000021E-2</v>
      </c>
      <c r="J268" s="2268">
        <f>SUM(J248:J267)</f>
        <v>480000</v>
      </c>
      <c r="L268" s="2466">
        <f ca="1">XIRR(L247:L267,C247:C267)</f>
        <v>7.1175584197044367E-2</v>
      </c>
      <c r="M268" s="2466">
        <f ca="1">XIRR(M247:M267,C247:C267)</f>
        <v>7.1175584197044367E-2</v>
      </c>
    </row>
    <row r="269" spans="1:13">
      <c r="D269" s="2468">
        <f ca="1">D268/J267+1</f>
        <v>1.7</v>
      </c>
      <c r="H269" s="2467"/>
    </row>
    <row r="270" spans="1:13">
      <c r="H270" s="2312"/>
    </row>
    <row r="271" spans="1:13" ht="12.75" thickBot="1">
      <c r="A271" s="2232" t="s">
        <v>1536</v>
      </c>
      <c r="H271" s="2312"/>
    </row>
    <row r="272" spans="1:13" ht="12.75" thickBot="1">
      <c r="B272" s="3078" t="s">
        <v>1448</v>
      </c>
      <c r="C272" s="3079"/>
      <c r="D272" s="2270" t="s">
        <v>1466</v>
      </c>
      <c r="E272" s="2270" t="s">
        <v>1467</v>
      </c>
      <c r="F272" s="2270" t="s">
        <v>1468</v>
      </c>
      <c r="G272" s="2313" t="str">
        <f>G246</f>
        <v>청산배당수입</v>
      </c>
      <c r="H272" s="2261" t="s">
        <v>1470</v>
      </c>
      <c r="I272" s="2261" t="s">
        <v>1645</v>
      </c>
      <c r="L272" s="2465" t="s">
        <v>1646</v>
      </c>
      <c r="M272" s="2465" t="s">
        <v>1647</v>
      </c>
    </row>
    <row r="273" spans="2:13" ht="12.75" thickBot="1">
      <c r="B273" s="2308" t="s">
        <v>1471</v>
      </c>
      <c r="C273" s="2309">
        <f t="shared" ref="C273:C293" si="46">C247</f>
        <v>46326</v>
      </c>
      <c r="D273" s="2273">
        <f>E273</f>
        <v>-50000</v>
      </c>
      <c r="E273" s="2273">
        <f>-'A&amp;R'!H43/1000</f>
        <v>-50000</v>
      </c>
      <c r="F273" s="2273">
        <v>0</v>
      </c>
      <c r="G273" s="2273"/>
      <c r="H273" s="2310"/>
      <c r="I273" s="2310"/>
      <c r="L273" s="2268">
        <f t="shared" ref="L273:L293" si="47">SUM(E273:F273)</f>
        <v>-50000</v>
      </c>
      <c r="M273" s="2268">
        <f t="shared" ref="M273:M293" si="48">SUM(E273:G273)</f>
        <v>-50000</v>
      </c>
    </row>
    <row r="274" spans="2:13" ht="12.75" thickBot="1">
      <c r="B274" s="2311">
        <v>1</v>
      </c>
      <c r="C274" s="2309">
        <f t="shared" si="46"/>
        <v>46507</v>
      </c>
      <c r="D274" s="2273">
        <f t="shared" ref="D274:D293" ca="1" si="49">SUM(E274:G274)</f>
        <v>1875</v>
      </c>
      <c r="E274" s="2273">
        <f>'A&amp;R'!H43/1000*(1=20)</f>
        <v>0</v>
      </c>
      <c r="F274" s="2273">
        <f ca="1">'A&amp;R'!I43/1000</f>
        <v>1875</v>
      </c>
      <c r="G274" s="2273">
        <f>'A&amp;R'!J43/1000</f>
        <v>0</v>
      </c>
      <c r="H274" s="2420">
        <f t="shared" ref="H274:H293" ca="1" si="50">IFERROR(F274/J274*2,)</f>
        <v>7.4999999999999997E-2</v>
      </c>
      <c r="I274" s="2420"/>
      <c r="J274" s="2268">
        <f>-E273</f>
        <v>50000</v>
      </c>
      <c r="L274" s="2268">
        <f t="shared" ca="1" si="47"/>
        <v>1875</v>
      </c>
      <c r="M274" s="2268">
        <f t="shared" ca="1" si="48"/>
        <v>1875</v>
      </c>
    </row>
    <row r="275" spans="2:13" ht="12.75" thickBot="1">
      <c r="B275" s="2311">
        <f>B274+1</f>
        <v>2</v>
      </c>
      <c r="C275" s="2309">
        <f t="shared" si="46"/>
        <v>46691</v>
      </c>
      <c r="D275" s="2273">
        <f t="shared" ca="1" si="49"/>
        <v>1875</v>
      </c>
      <c r="E275" s="2273">
        <f>'A&amp;R'!H44/1000*(2=20)</f>
        <v>0</v>
      </c>
      <c r="F275" s="2273">
        <f ca="1">'A&amp;R'!I44/1000</f>
        <v>1875</v>
      </c>
      <c r="G275" s="2273">
        <f>'A&amp;R'!J44/1000</f>
        <v>0</v>
      </c>
      <c r="H275" s="2420">
        <f t="shared" ca="1" si="50"/>
        <v>7.4999999999999997E-2</v>
      </c>
      <c r="I275" s="2420"/>
      <c r="J275" s="2268">
        <f t="shared" ref="J275:J293" si="51">J274-E274</f>
        <v>50000</v>
      </c>
      <c r="L275" s="2268">
        <f t="shared" ca="1" si="47"/>
        <v>1875</v>
      </c>
      <c r="M275" s="2268">
        <f t="shared" ca="1" si="48"/>
        <v>1875</v>
      </c>
    </row>
    <row r="276" spans="2:13" ht="12.75" thickBot="1">
      <c r="B276" s="2311">
        <f t="shared" ref="B276:B293" si="52">B275+1</f>
        <v>3</v>
      </c>
      <c r="C276" s="2309">
        <f t="shared" si="46"/>
        <v>46873</v>
      </c>
      <c r="D276" s="2273">
        <f t="shared" ca="1" si="49"/>
        <v>1875</v>
      </c>
      <c r="E276" s="2273">
        <f>'A&amp;R'!H45/1000*(3=20)</f>
        <v>0</v>
      </c>
      <c r="F276" s="2273">
        <f ca="1">'A&amp;R'!I45/1000</f>
        <v>1875</v>
      </c>
      <c r="G276" s="2273">
        <f>'A&amp;R'!J45/1000</f>
        <v>0</v>
      </c>
      <c r="H276" s="2420">
        <f t="shared" ca="1" si="50"/>
        <v>7.4999999999999997E-2</v>
      </c>
      <c r="I276" s="2420"/>
      <c r="J276" s="2268">
        <f t="shared" si="51"/>
        <v>50000</v>
      </c>
      <c r="L276" s="2268">
        <f t="shared" ca="1" si="47"/>
        <v>1875</v>
      </c>
      <c r="M276" s="2268">
        <f t="shared" ca="1" si="48"/>
        <v>1875</v>
      </c>
    </row>
    <row r="277" spans="2:13" ht="12.75" thickBot="1">
      <c r="B277" s="2311">
        <f t="shared" si="52"/>
        <v>4</v>
      </c>
      <c r="C277" s="2309">
        <f t="shared" si="46"/>
        <v>47057</v>
      </c>
      <c r="D277" s="2273">
        <f t="shared" ca="1" si="49"/>
        <v>1875</v>
      </c>
      <c r="E277" s="2273">
        <f>'A&amp;R'!H46/1000*(4=20)</f>
        <v>0</v>
      </c>
      <c r="F277" s="2273">
        <f ca="1">'A&amp;R'!I46/1000</f>
        <v>1875</v>
      </c>
      <c r="G277" s="2273">
        <f>'A&amp;R'!J46/1000</f>
        <v>0</v>
      </c>
      <c r="H277" s="2420">
        <f t="shared" ca="1" si="50"/>
        <v>7.4999999999999997E-2</v>
      </c>
      <c r="I277" s="2420"/>
      <c r="J277" s="2268">
        <f t="shared" si="51"/>
        <v>50000</v>
      </c>
      <c r="L277" s="2268">
        <f t="shared" ca="1" si="47"/>
        <v>1875</v>
      </c>
      <c r="M277" s="2268">
        <f t="shared" ca="1" si="48"/>
        <v>1875</v>
      </c>
    </row>
    <row r="278" spans="2:13" ht="12.75" thickBot="1">
      <c r="B278" s="2311">
        <f t="shared" si="52"/>
        <v>5</v>
      </c>
      <c r="C278" s="2309">
        <f t="shared" si="46"/>
        <v>47238</v>
      </c>
      <c r="D278" s="2273">
        <f t="shared" ca="1" si="49"/>
        <v>1875</v>
      </c>
      <c r="E278" s="2273">
        <f>'A&amp;R'!H47/1000*(5=20)</f>
        <v>0</v>
      </c>
      <c r="F278" s="2273">
        <f ca="1">'A&amp;R'!I47/1000</f>
        <v>1875</v>
      </c>
      <c r="G278" s="2273">
        <f>'A&amp;R'!J47/1000</f>
        <v>0</v>
      </c>
      <c r="H278" s="2420">
        <f t="shared" ca="1" si="50"/>
        <v>7.4999999999999997E-2</v>
      </c>
      <c r="I278" s="2420"/>
      <c r="J278" s="2268">
        <f t="shared" si="51"/>
        <v>50000</v>
      </c>
      <c r="L278" s="2268">
        <f t="shared" ca="1" si="47"/>
        <v>1875</v>
      </c>
      <c r="M278" s="2268">
        <f t="shared" ca="1" si="48"/>
        <v>1875</v>
      </c>
    </row>
    <row r="279" spans="2:13" ht="12.75" thickBot="1">
      <c r="B279" s="2311">
        <f t="shared" si="52"/>
        <v>6</v>
      </c>
      <c r="C279" s="2309">
        <f t="shared" si="46"/>
        <v>47422</v>
      </c>
      <c r="D279" s="2273">
        <f t="shared" ca="1" si="49"/>
        <v>1875</v>
      </c>
      <c r="E279" s="2273">
        <f>'A&amp;R'!H48/1000*(6=20)</f>
        <v>0</v>
      </c>
      <c r="F279" s="2273">
        <f ca="1">'A&amp;R'!I48/1000</f>
        <v>1875</v>
      </c>
      <c r="G279" s="2273">
        <f>'A&amp;R'!J48/1000</f>
        <v>0</v>
      </c>
      <c r="H279" s="2420">
        <f t="shared" ca="1" si="50"/>
        <v>7.4999999999999997E-2</v>
      </c>
      <c r="I279" s="2420"/>
      <c r="J279" s="2268">
        <f t="shared" si="51"/>
        <v>50000</v>
      </c>
      <c r="L279" s="2268">
        <f t="shared" ca="1" si="47"/>
        <v>1875</v>
      </c>
      <c r="M279" s="2268">
        <f t="shared" ca="1" si="48"/>
        <v>1875</v>
      </c>
    </row>
    <row r="280" spans="2:13" ht="12.75" thickBot="1">
      <c r="B280" s="2311">
        <f t="shared" si="52"/>
        <v>7</v>
      </c>
      <c r="C280" s="2309">
        <f t="shared" si="46"/>
        <v>47603</v>
      </c>
      <c r="D280" s="2273">
        <f t="shared" ca="1" si="49"/>
        <v>1762.4720129412688</v>
      </c>
      <c r="E280" s="2273">
        <f>'A&amp;R'!H49/1000*(7=20)</f>
        <v>0</v>
      </c>
      <c r="F280" s="2273">
        <f ca="1">'A&amp;R'!I49/1000</f>
        <v>1762.4720129412688</v>
      </c>
      <c r="G280" s="2273">
        <f>'A&amp;R'!J49/1000</f>
        <v>0</v>
      </c>
      <c r="H280" s="2420">
        <f t="shared" ca="1" si="50"/>
        <v>7.0498880517650755E-2</v>
      </c>
      <c r="I280" s="2420"/>
      <c r="J280" s="2268">
        <f t="shared" si="51"/>
        <v>50000</v>
      </c>
      <c r="L280" s="2268">
        <f t="shared" ca="1" si="47"/>
        <v>1762.4720129412688</v>
      </c>
      <c r="M280" s="2268">
        <f t="shared" ca="1" si="48"/>
        <v>1762.4720129412688</v>
      </c>
    </row>
    <row r="281" spans="2:13" ht="12.75" thickBot="1">
      <c r="B281" s="2311">
        <f t="shared" si="52"/>
        <v>8</v>
      </c>
      <c r="C281" s="2309">
        <f t="shared" si="46"/>
        <v>47787</v>
      </c>
      <c r="D281" s="2273">
        <f t="shared" ca="1" si="49"/>
        <v>1513.2919989280106</v>
      </c>
      <c r="E281" s="2273">
        <f>'A&amp;R'!H50/1000*(8=20)</f>
        <v>0</v>
      </c>
      <c r="F281" s="2273">
        <f ca="1">'A&amp;R'!I50/1000</f>
        <v>1513.2919989280106</v>
      </c>
      <c r="G281" s="2273">
        <f>'A&amp;R'!J50/1000</f>
        <v>0</v>
      </c>
      <c r="H281" s="2420">
        <f t="shared" ca="1" si="50"/>
        <v>6.0531679957120423E-2</v>
      </c>
      <c r="I281" s="2420"/>
      <c r="J281" s="2268">
        <f t="shared" si="51"/>
        <v>50000</v>
      </c>
      <c r="L281" s="2268">
        <f t="shared" ca="1" si="47"/>
        <v>1513.2919989280106</v>
      </c>
      <c r="M281" s="2268">
        <f t="shared" ca="1" si="48"/>
        <v>1513.2919989280106</v>
      </c>
    </row>
    <row r="282" spans="2:13" ht="12.75" thickBot="1">
      <c r="B282" s="2311">
        <f t="shared" si="52"/>
        <v>9</v>
      </c>
      <c r="C282" s="2309">
        <f t="shared" si="46"/>
        <v>47968</v>
      </c>
      <c r="D282" s="2273">
        <f t="shared" ca="1" si="49"/>
        <v>1265.5414966859473</v>
      </c>
      <c r="E282" s="2273">
        <f>'A&amp;R'!H51/1000*(9=20)</f>
        <v>0</v>
      </c>
      <c r="F282" s="2273">
        <f ca="1">'A&amp;R'!I51/1000</f>
        <v>1265.5414966859473</v>
      </c>
      <c r="G282" s="2273">
        <f>'A&amp;R'!J51/1000</f>
        <v>0</v>
      </c>
      <c r="H282" s="2420">
        <f t="shared" ca="1" si="50"/>
        <v>5.0621659867437892E-2</v>
      </c>
      <c r="I282" s="2420"/>
      <c r="J282" s="2268">
        <f t="shared" si="51"/>
        <v>50000</v>
      </c>
      <c r="L282" s="2268">
        <f t="shared" ca="1" si="47"/>
        <v>1265.5414966859473</v>
      </c>
      <c r="M282" s="2268">
        <f t="shared" ca="1" si="48"/>
        <v>1265.5414966859473</v>
      </c>
    </row>
    <row r="283" spans="2:13" ht="12.75" thickBot="1">
      <c r="B283" s="2311">
        <f t="shared" si="52"/>
        <v>10</v>
      </c>
      <c r="C283" s="2309">
        <f t="shared" si="46"/>
        <v>48152</v>
      </c>
      <c r="D283" s="2273">
        <f t="shared" ca="1" si="49"/>
        <v>1722.4784355854392</v>
      </c>
      <c r="E283" s="2273">
        <f>'A&amp;R'!H52/1000*(10=20)</f>
        <v>0</v>
      </c>
      <c r="F283" s="2273">
        <f ca="1">'A&amp;R'!I52/1000</f>
        <v>1722.4784355854392</v>
      </c>
      <c r="G283" s="2273">
        <f>'A&amp;R'!J52/1000</f>
        <v>0</v>
      </c>
      <c r="H283" s="2420">
        <f t="shared" ca="1" si="50"/>
        <v>6.8899137423417564E-2</v>
      </c>
      <c r="I283" s="2420"/>
      <c r="J283" s="2268">
        <f t="shared" si="51"/>
        <v>50000</v>
      </c>
      <c r="L283" s="2268">
        <f t="shared" ca="1" si="47"/>
        <v>1722.4784355854392</v>
      </c>
      <c r="M283" s="2268">
        <f t="shared" ca="1" si="48"/>
        <v>1722.4784355854392</v>
      </c>
    </row>
    <row r="284" spans="2:13" ht="12.75" thickBot="1">
      <c r="B284" s="2311">
        <f t="shared" si="52"/>
        <v>11</v>
      </c>
      <c r="C284" s="2309">
        <f t="shared" si="46"/>
        <v>48334</v>
      </c>
      <c r="D284" s="2273">
        <f t="shared" ca="1" si="49"/>
        <v>1805.6477403300544</v>
      </c>
      <c r="E284" s="2273">
        <f>'A&amp;R'!H53/1000*(11=20)</f>
        <v>0</v>
      </c>
      <c r="F284" s="2273">
        <f ca="1">'A&amp;R'!I53/1000</f>
        <v>1805.6477403300544</v>
      </c>
      <c r="G284" s="2273">
        <f>'A&amp;R'!J53/1000</f>
        <v>0</v>
      </c>
      <c r="H284" s="2420">
        <f t="shared" ca="1" si="50"/>
        <v>7.2225909613202174E-2</v>
      </c>
      <c r="I284" s="2420"/>
      <c r="J284" s="2268">
        <f t="shared" si="51"/>
        <v>50000</v>
      </c>
      <c r="L284" s="2268">
        <f t="shared" ca="1" si="47"/>
        <v>1805.6477403300544</v>
      </c>
      <c r="M284" s="2268">
        <f t="shared" ca="1" si="48"/>
        <v>1805.6477403300544</v>
      </c>
    </row>
    <row r="285" spans="2:13" ht="12.75" thickBot="1">
      <c r="B285" s="2311">
        <f t="shared" si="52"/>
        <v>12</v>
      </c>
      <c r="C285" s="2309">
        <f t="shared" si="46"/>
        <v>48518</v>
      </c>
      <c r="D285" s="2273">
        <f t="shared" ca="1" si="49"/>
        <v>2258.497346219398</v>
      </c>
      <c r="E285" s="2273">
        <f>'A&amp;R'!H54/1000*(12=20)</f>
        <v>0</v>
      </c>
      <c r="F285" s="2273">
        <f ca="1">'A&amp;R'!I54/1000</f>
        <v>2258.497346219398</v>
      </c>
      <c r="G285" s="2273">
        <f>'A&amp;R'!J54/1000</f>
        <v>0</v>
      </c>
      <c r="H285" s="2420">
        <f t="shared" ca="1" si="50"/>
        <v>9.0339893848775915E-2</v>
      </c>
      <c r="I285" s="2420"/>
      <c r="J285" s="2268">
        <f t="shared" si="51"/>
        <v>50000</v>
      </c>
      <c r="L285" s="2268">
        <f t="shared" ca="1" si="47"/>
        <v>2258.497346219398</v>
      </c>
      <c r="M285" s="2268">
        <f t="shared" ca="1" si="48"/>
        <v>2258.497346219398</v>
      </c>
    </row>
    <row r="286" spans="2:13" ht="12.75" thickBot="1">
      <c r="B286" s="2311">
        <f t="shared" si="52"/>
        <v>13</v>
      </c>
      <c r="C286" s="2309">
        <f t="shared" si="46"/>
        <v>48699</v>
      </c>
      <c r="D286" s="2273">
        <f t="shared" ca="1" si="49"/>
        <v>2031.2131788212532</v>
      </c>
      <c r="E286" s="2273">
        <f>'A&amp;R'!H55/1000*(13=20)</f>
        <v>0</v>
      </c>
      <c r="F286" s="2273">
        <f ca="1">'A&amp;R'!I55/1000</f>
        <v>2031.2131788212532</v>
      </c>
      <c r="G286" s="2273">
        <f>'A&amp;R'!J55/1000</f>
        <v>0</v>
      </c>
      <c r="H286" s="2420">
        <f t="shared" ca="1" si="50"/>
        <v>8.1248527152850122E-2</v>
      </c>
      <c r="I286" s="2420"/>
      <c r="J286" s="2268">
        <f t="shared" si="51"/>
        <v>50000</v>
      </c>
      <c r="L286" s="2268">
        <f t="shared" ca="1" si="47"/>
        <v>2031.2131788212532</v>
      </c>
      <c r="M286" s="2268">
        <f t="shared" ca="1" si="48"/>
        <v>2031.2131788212532</v>
      </c>
    </row>
    <row r="287" spans="2:13" ht="12.75" thickBot="1">
      <c r="B287" s="2311">
        <f t="shared" si="52"/>
        <v>14</v>
      </c>
      <c r="C287" s="2309">
        <f t="shared" si="46"/>
        <v>48883</v>
      </c>
      <c r="D287" s="2273">
        <f t="shared" ca="1" si="49"/>
        <v>2480.2746567853596</v>
      </c>
      <c r="E287" s="2273">
        <f>'A&amp;R'!H56/1000*(14=20)</f>
        <v>0</v>
      </c>
      <c r="F287" s="2273">
        <f ca="1">'A&amp;R'!I56/1000</f>
        <v>2480.2746567853596</v>
      </c>
      <c r="G287" s="2273">
        <f>'A&amp;R'!J56/1000</f>
        <v>0</v>
      </c>
      <c r="H287" s="2420">
        <f t="shared" ca="1" si="50"/>
        <v>9.9210986271414392E-2</v>
      </c>
      <c r="I287" s="2420"/>
      <c r="J287" s="2268">
        <f t="shared" si="51"/>
        <v>50000</v>
      </c>
      <c r="L287" s="2268">
        <f t="shared" ca="1" si="47"/>
        <v>2480.2746567853596</v>
      </c>
      <c r="M287" s="2268">
        <f t="shared" ca="1" si="48"/>
        <v>2480.2746567853596</v>
      </c>
    </row>
    <row r="288" spans="2:13" ht="12.75" thickBot="1">
      <c r="B288" s="2311">
        <f t="shared" si="52"/>
        <v>15</v>
      </c>
      <c r="C288" s="2309">
        <f t="shared" si="46"/>
        <v>49064</v>
      </c>
      <c r="D288" s="2273">
        <f t="shared" ca="1" si="49"/>
        <v>2035.5831337032691</v>
      </c>
      <c r="E288" s="2273">
        <f>'A&amp;R'!H57/1000*(15=20)</f>
        <v>0</v>
      </c>
      <c r="F288" s="2273">
        <f ca="1">'A&amp;R'!I57/1000</f>
        <v>2035.5831337032691</v>
      </c>
      <c r="G288" s="2273">
        <f>'A&amp;R'!J57/1000</f>
        <v>0</v>
      </c>
      <c r="H288" s="2420">
        <f t="shared" ca="1" si="50"/>
        <v>8.1423325348130765E-2</v>
      </c>
      <c r="I288" s="2420"/>
      <c r="J288" s="2268">
        <f t="shared" si="51"/>
        <v>50000</v>
      </c>
      <c r="L288" s="2268">
        <f t="shared" ca="1" si="47"/>
        <v>2035.5831337032691</v>
      </c>
      <c r="M288" s="2268">
        <f t="shared" ca="1" si="48"/>
        <v>2035.5831337032691</v>
      </c>
    </row>
    <row r="289" spans="1:13" ht="12.75" thickBot="1">
      <c r="B289" s="2311">
        <f t="shared" si="52"/>
        <v>16</v>
      </c>
      <c r="C289" s="2309">
        <f t="shared" si="46"/>
        <v>49248</v>
      </c>
      <c r="D289" s="2273">
        <f t="shared" ca="1" si="49"/>
        <v>1875</v>
      </c>
      <c r="E289" s="2273">
        <f>'A&amp;R'!H58/1000*(16=20)</f>
        <v>0</v>
      </c>
      <c r="F289" s="2273">
        <f ca="1">'A&amp;R'!I58/1000</f>
        <v>1875</v>
      </c>
      <c r="G289" s="2273">
        <f>'A&amp;R'!J58/1000</f>
        <v>0</v>
      </c>
      <c r="H289" s="2420">
        <f t="shared" ca="1" si="50"/>
        <v>7.4999999999999997E-2</v>
      </c>
      <c r="I289" s="2420"/>
      <c r="J289" s="2268">
        <f t="shared" si="51"/>
        <v>50000</v>
      </c>
      <c r="L289" s="2268">
        <f t="shared" ca="1" si="47"/>
        <v>1875</v>
      </c>
      <c r="M289" s="2268">
        <f t="shared" ca="1" si="48"/>
        <v>1875</v>
      </c>
    </row>
    <row r="290" spans="1:13" ht="12.75" thickBot="1">
      <c r="B290" s="2311">
        <f t="shared" si="52"/>
        <v>17</v>
      </c>
      <c r="C290" s="2309">
        <f t="shared" si="46"/>
        <v>49429</v>
      </c>
      <c r="D290" s="2273">
        <f t="shared" ca="1" si="49"/>
        <v>1875</v>
      </c>
      <c r="E290" s="2273">
        <f>'A&amp;R'!H59/1000*(17=20)</f>
        <v>0</v>
      </c>
      <c r="F290" s="2273">
        <f ca="1">'A&amp;R'!I59/1000</f>
        <v>1875</v>
      </c>
      <c r="G290" s="2273">
        <f>'A&amp;R'!J59/1000</f>
        <v>0</v>
      </c>
      <c r="H290" s="2420">
        <f t="shared" ca="1" si="50"/>
        <v>7.4999999999999997E-2</v>
      </c>
      <c r="I290" s="2420"/>
      <c r="J290" s="2268">
        <f t="shared" si="51"/>
        <v>50000</v>
      </c>
      <c r="L290" s="2268">
        <f t="shared" ca="1" si="47"/>
        <v>1875</v>
      </c>
      <c r="M290" s="2268">
        <f t="shared" ca="1" si="48"/>
        <v>1875</v>
      </c>
    </row>
    <row r="291" spans="1:13" ht="12.75" thickBot="1">
      <c r="B291" s="2311">
        <f t="shared" si="52"/>
        <v>18</v>
      </c>
      <c r="C291" s="2309">
        <f t="shared" si="46"/>
        <v>49613</v>
      </c>
      <c r="D291" s="2273">
        <f t="shared" ca="1" si="49"/>
        <v>1875</v>
      </c>
      <c r="E291" s="2273">
        <f>'A&amp;R'!H60/1000*(18=20)</f>
        <v>0</v>
      </c>
      <c r="F291" s="2273">
        <f ca="1">'A&amp;R'!I60/1000</f>
        <v>1875</v>
      </c>
      <c r="G291" s="2273">
        <f>'A&amp;R'!J60/1000</f>
        <v>0</v>
      </c>
      <c r="H291" s="2420">
        <f t="shared" ca="1" si="50"/>
        <v>7.4999999999999997E-2</v>
      </c>
      <c r="I291" s="2420"/>
      <c r="J291" s="2268">
        <f t="shared" si="51"/>
        <v>50000</v>
      </c>
      <c r="L291" s="2268">
        <f t="shared" ca="1" si="47"/>
        <v>1875</v>
      </c>
      <c r="M291" s="2268">
        <f t="shared" ca="1" si="48"/>
        <v>1875</v>
      </c>
    </row>
    <row r="292" spans="1:13" ht="12.75" thickBot="1">
      <c r="B292" s="2311">
        <f t="shared" si="52"/>
        <v>19</v>
      </c>
      <c r="C292" s="2309">
        <f t="shared" si="46"/>
        <v>49795</v>
      </c>
      <c r="D292" s="2273">
        <f t="shared" ca="1" si="49"/>
        <v>1875</v>
      </c>
      <c r="E292" s="2273">
        <f>'A&amp;R'!H61/1000*(19=20)</f>
        <v>0</v>
      </c>
      <c r="F292" s="2273">
        <f ca="1">'A&amp;R'!I61/1000</f>
        <v>1875</v>
      </c>
      <c r="G292" s="2273">
        <f>'A&amp;R'!J61/1000</f>
        <v>0</v>
      </c>
      <c r="H292" s="2420">
        <f t="shared" ca="1" si="50"/>
        <v>7.4999999999999997E-2</v>
      </c>
      <c r="I292" s="2420"/>
      <c r="J292" s="2268">
        <f t="shared" si="51"/>
        <v>50000</v>
      </c>
      <c r="L292" s="2268">
        <f t="shared" ca="1" si="47"/>
        <v>1875</v>
      </c>
      <c r="M292" s="2268">
        <f t="shared" ca="1" si="48"/>
        <v>1875</v>
      </c>
    </row>
    <row r="293" spans="1:13" ht="12.75" thickBot="1">
      <c r="B293" s="2311">
        <f t="shared" si="52"/>
        <v>20</v>
      </c>
      <c r="C293" s="2309">
        <f t="shared" si="46"/>
        <v>49979</v>
      </c>
      <c r="D293" s="2273">
        <f t="shared" ca="1" si="49"/>
        <v>63642.613337566931</v>
      </c>
      <c r="E293" s="2273">
        <f>'A&amp;R'!H62/1000*(20=20)</f>
        <v>50000</v>
      </c>
      <c r="F293" s="2273">
        <f ca="1">'A&amp;R'!I62/1000</f>
        <v>1875</v>
      </c>
      <c r="G293" s="2273">
        <f>'A&amp;R'!J62/1000</f>
        <v>11767.613337566934</v>
      </c>
      <c r="H293" s="2420">
        <f t="shared" ca="1" si="50"/>
        <v>7.4999999999999997E-2</v>
      </c>
      <c r="I293" s="2420"/>
      <c r="J293" s="2268">
        <f t="shared" si="51"/>
        <v>50000</v>
      </c>
      <c r="L293" s="2268">
        <f t="shared" ca="1" si="47"/>
        <v>51875</v>
      </c>
      <c r="M293" s="2268">
        <f t="shared" ca="1" si="48"/>
        <v>63642.613337566931</v>
      </c>
    </row>
    <row r="294" spans="1:13" ht="12.75" thickBot="1">
      <c r="B294" s="3076" t="s">
        <v>1472</v>
      </c>
      <c r="C294" s="3077"/>
      <c r="D294" s="2277">
        <f ca="1">SUM(D273:D293)</f>
        <v>49267.613337566931</v>
      </c>
      <c r="E294" s="2277">
        <f>SUM(E273:E293)</f>
        <v>0</v>
      </c>
      <c r="F294" s="2277">
        <f ca="1">SUM(F273:F293)</f>
        <v>37500.000000000007</v>
      </c>
      <c r="G294" s="2277">
        <f>SUM(G273:G293)</f>
        <v>11767.613337566934</v>
      </c>
      <c r="H294" s="2307">
        <f ca="1">F294/J294*2</f>
        <v>7.5000000000000011E-2</v>
      </c>
      <c r="I294" s="2307">
        <f ca="1">SUM(F294,G294)/J294*2</f>
        <v>9.8535226675133897E-2</v>
      </c>
      <c r="J294" s="2268">
        <f>SUM(J274:J293)</f>
        <v>1000000</v>
      </c>
      <c r="L294" s="2466">
        <f ca="1">XIRR(L273:L293,C273:C293)</f>
        <v>7.591262757778168E-2</v>
      </c>
      <c r="M294" s="2466">
        <f ca="1">XIRR(M273:M293,C273:C293)</f>
        <v>9.1477832198143011E-2</v>
      </c>
    </row>
    <row r="295" spans="1:13">
      <c r="D295" s="2468">
        <f ca="1">D294/J293+1</f>
        <v>1.9853522667513386</v>
      </c>
    </row>
    <row r="296" spans="1:13" ht="12.75" thickBot="1">
      <c r="A296" s="2464" t="s">
        <v>1641</v>
      </c>
    </row>
    <row r="297" spans="1:13" ht="12.75" thickBot="1">
      <c r="B297" s="3078" t="str">
        <f>B246</f>
        <v>구분</v>
      </c>
      <c r="C297" s="3079"/>
      <c r="D297" s="2270" t="str">
        <f>D246</f>
        <v>현금의 변동</v>
      </c>
      <c r="E297" s="2270" t="str">
        <f>E246</f>
        <v>투자금 납입/상환</v>
      </c>
      <c r="F297" s="2270" t="str">
        <f>F246</f>
        <v>운영배당수입</v>
      </c>
      <c r="G297" s="2313" t="str">
        <f>G246</f>
        <v>청산배당수입</v>
      </c>
      <c r="H297" s="2261" t="s">
        <v>1470</v>
      </c>
      <c r="I297" s="2261" t="s">
        <v>1645</v>
      </c>
      <c r="L297" s="2465" t="s">
        <v>1646</v>
      </c>
      <c r="M297" s="2465" t="s">
        <v>1647</v>
      </c>
    </row>
    <row r="298" spans="1:13" ht="12.75" thickBot="1">
      <c r="B298" s="2308" t="s">
        <v>1471</v>
      </c>
      <c r="C298" s="2309">
        <f t="shared" ref="C298:C318" si="53">C273</f>
        <v>46326</v>
      </c>
      <c r="D298" s="2273">
        <f>E298</f>
        <v>-10000</v>
      </c>
      <c r="E298" s="2273">
        <f>-'A&amp;R'!D73/1000</f>
        <v>-10000</v>
      </c>
      <c r="F298" s="2273">
        <v>0</v>
      </c>
      <c r="G298" s="2273">
        <v>0</v>
      </c>
      <c r="H298" s="2310"/>
      <c r="I298" s="2310"/>
      <c r="L298" s="2268">
        <f t="shared" ref="L298:L318" si="54">SUM(E298:F298)</f>
        <v>-10000</v>
      </c>
      <c r="M298" s="2268">
        <f t="shared" ref="M298:M318" si="55">SUM(E298:G298)</f>
        <v>-10000</v>
      </c>
    </row>
    <row r="299" spans="1:13" ht="12.75" thickBot="1">
      <c r="B299" s="2311">
        <v>1</v>
      </c>
      <c r="C299" s="2309">
        <f t="shared" si="53"/>
        <v>46507</v>
      </c>
      <c r="D299" s="2273">
        <f t="shared" ref="D299:D318" si="56">SUM(E299:G299)</f>
        <v>0</v>
      </c>
      <c r="E299" s="2273">
        <f>'A&amp;R'!H45/1000*(1=20)</f>
        <v>0</v>
      </c>
      <c r="F299" s="2273">
        <f>'A&amp;R'!E73/1000</f>
        <v>0</v>
      </c>
      <c r="G299" s="2273">
        <f>'A&amp;R'!F73/1000</f>
        <v>0</v>
      </c>
      <c r="H299" s="2420">
        <f>IFERROR(F299/J299*2,)</f>
        <v>0</v>
      </c>
      <c r="I299" s="2420"/>
      <c r="J299" s="2268">
        <f>-E298</f>
        <v>10000</v>
      </c>
      <c r="L299" s="2268">
        <f t="shared" si="54"/>
        <v>0</v>
      </c>
      <c r="M299" s="2268">
        <f t="shared" si="55"/>
        <v>0</v>
      </c>
    </row>
    <row r="300" spans="1:13" ht="12.75" thickBot="1">
      <c r="B300" s="2311">
        <v>2</v>
      </c>
      <c r="C300" s="2309">
        <f t="shared" si="53"/>
        <v>46691</v>
      </c>
      <c r="D300" s="2273">
        <f t="shared" si="56"/>
        <v>0</v>
      </c>
      <c r="E300" s="2273">
        <f>'A&amp;R'!H46/1000*(2=20)</f>
        <v>0</v>
      </c>
      <c r="F300" s="2273">
        <f>'A&amp;R'!E74/1000</f>
        <v>0</v>
      </c>
      <c r="G300" s="2273">
        <f>'A&amp;R'!F74/1000</f>
        <v>0</v>
      </c>
      <c r="H300" s="2420">
        <f t="shared" ref="H300:H318" si="57">IFERROR(F300/J300*2,)</f>
        <v>0</v>
      </c>
      <c r="I300" s="2420"/>
      <c r="J300" s="2268">
        <f t="shared" ref="J300:J318" si="58">J299-E299</f>
        <v>10000</v>
      </c>
      <c r="L300" s="2268">
        <f t="shared" si="54"/>
        <v>0</v>
      </c>
      <c r="M300" s="2268">
        <f t="shared" si="55"/>
        <v>0</v>
      </c>
    </row>
    <row r="301" spans="1:13" ht="12.75" thickBot="1">
      <c r="B301" s="2311">
        <v>3</v>
      </c>
      <c r="C301" s="2309">
        <f t="shared" si="53"/>
        <v>46873</v>
      </c>
      <c r="D301" s="2273">
        <f t="shared" si="56"/>
        <v>0</v>
      </c>
      <c r="E301" s="2273">
        <f>'A&amp;R'!H47/1000*(3=20)</f>
        <v>0</v>
      </c>
      <c r="F301" s="2273">
        <f>'A&amp;R'!E75/1000</f>
        <v>0</v>
      </c>
      <c r="G301" s="2273">
        <f>'A&amp;R'!F75/1000</f>
        <v>0</v>
      </c>
      <c r="H301" s="2420">
        <f t="shared" si="57"/>
        <v>0</v>
      </c>
      <c r="I301" s="2420"/>
      <c r="J301" s="2268">
        <f t="shared" si="58"/>
        <v>10000</v>
      </c>
      <c r="L301" s="2268">
        <f t="shared" si="54"/>
        <v>0</v>
      </c>
      <c r="M301" s="2268">
        <f t="shared" si="55"/>
        <v>0</v>
      </c>
    </row>
    <row r="302" spans="1:13" ht="12.75" thickBot="1">
      <c r="B302" s="2311">
        <v>4</v>
      </c>
      <c r="C302" s="2309">
        <f t="shared" si="53"/>
        <v>47057</v>
      </c>
      <c r="D302" s="2273">
        <f t="shared" si="56"/>
        <v>10000</v>
      </c>
      <c r="E302" s="2273">
        <f>-E298</f>
        <v>10000</v>
      </c>
      <c r="F302" s="2273">
        <f>'A&amp;R'!E76/1000</f>
        <v>0</v>
      </c>
      <c r="G302" s="2273">
        <f>'A&amp;R'!F76/1000</f>
        <v>0</v>
      </c>
      <c r="H302" s="2420">
        <f t="shared" si="57"/>
        <v>0</v>
      </c>
      <c r="I302" s="2420"/>
      <c r="J302" s="2268">
        <f t="shared" si="58"/>
        <v>10000</v>
      </c>
      <c r="L302" s="2268">
        <f t="shared" si="54"/>
        <v>10000</v>
      </c>
      <c r="M302" s="2268">
        <f t="shared" si="55"/>
        <v>10000</v>
      </c>
    </row>
    <row r="303" spans="1:13" ht="12.75" thickBot="1">
      <c r="B303" s="2311">
        <v>5</v>
      </c>
      <c r="C303" s="2309">
        <f t="shared" si="53"/>
        <v>47238</v>
      </c>
      <c r="D303" s="2273">
        <f t="shared" si="56"/>
        <v>0</v>
      </c>
      <c r="E303" s="2273">
        <f>'A&amp;R'!H49/1000*(5=20)</f>
        <v>0</v>
      </c>
      <c r="F303" s="2273">
        <f>'A&amp;R'!E77/1000</f>
        <v>0</v>
      </c>
      <c r="G303" s="2273">
        <f>'A&amp;R'!F77/1000</f>
        <v>0</v>
      </c>
      <c r="H303" s="2420">
        <f t="shared" si="57"/>
        <v>0</v>
      </c>
      <c r="I303" s="2420"/>
      <c r="J303" s="2268">
        <f t="shared" si="58"/>
        <v>0</v>
      </c>
      <c r="L303" s="2268">
        <f t="shared" si="54"/>
        <v>0</v>
      </c>
      <c r="M303" s="2268">
        <f t="shared" si="55"/>
        <v>0</v>
      </c>
    </row>
    <row r="304" spans="1:13" ht="12.75" thickBot="1">
      <c r="B304" s="2311">
        <v>6</v>
      </c>
      <c r="C304" s="2309">
        <f t="shared" si="53"/>
        <v>47422</v>
      </c>
      <c r="D304" s="2273">
        <f t="shared" si="56"/>
        <v>0</v>
      </c>
      <c r="E304" s="2273">
        <f>'A&amp;R'!H50/1000*(6=20)</f>
        <v>0</v>
      </c>
      <c r="F304" s="2273">
        <f>'A&amp;R'!E78/1000</f>
        <v>0</v>
      </c>
      <c r="G304" s="2273">
        <f>'A&amp;R'!F78/1000</f>
        <v>0</v>
      </c>
      <c r="H304" s="2420">
        <f t="shared" si="57"/>
        <v>0</v>
      </c>
      <c r="I304" s="2420"/>
      <c r="J304" s="2268">
        <f t="shared" si="58"/>
        <v>0</v>
      </c>
      <c r="L304" s="2268">
        <f t="shared" si="54"/>
        <v>0</v>
      </c>
      <c r="M304" s="2268">
        <f t="shared" si="55"/>
        <v>0</v>
      </c>
    </row>
    <row r="305" spans="2:13" ht="12.75" thickBot="1">
      <c r="B305" s="2311">
        <v>7</v>
      </c>
      <c r="C305" s="2309">
        <f t="shared" si="53"/>
        <v>47603</v>
      </c>
      <c r="D305" s="2273">
        <f t="shared" si="56"/>
        <v>0</v>
      </c>
      <c r="E305" s="2273">
        <f>'A&amp;R'!H51/1000*(7=20)</f>
        <v>0</v>
      </c>
      <c r="F305" s="2273">
        <f>'A&amp;R'!E79/1000</f>
        <v>0</v>
      </c>
      <c r="G305" s="2273">
        <f>'A&amp;R'!F79/1000</f>
        <v>0</v>
      </c>
      <c r="H305" s="2420">
        <f t="shared" si="57"/>
        <v>0</v>
      </c>
      <c r="I305" s="2420"/>
      <c r="J305" s="2268">
        <f t="shared" si="58"/>
        <v>0</v>
      </c>
      <c r="L305" s="2268">
        <f t="shared" si="54"/>
        <v>0</v>
      </c>
      <c r="M305" s="2268">
        <f t="shared" si="55"/>
        <v>0</v>
      </c>
    </row>
    <row r="306" spans="2:13" ht="12.75" thickBot="1">
      <c r="B306" s="2311">
        <v>8</v>
      </c>
      <c r="C306" s="2309">
        <f t="shared" si="53"/>
        <v>47787</v>
      </c>
      <c r="D306" s="2273">
        <f t="shared" si="56"/>
        <v>0</v>
      </c>
      <c r="E306" s="2273">
        <f>'A&amp;R'!H52/1000*(8=20)</f>
        <v>0</v>
      </c>
      <c r="F306" s="2273">
        <f>'A&amp;R'!E80/1000</f>
        <v>0</v>
      </c>
      <c r="G306" s="2273">
        <f>'A&amp;R'!F80/1000</f>
        <v>0</v>
      </c>
      <c r="H306" s="2420">
        <f t="shared" si="57"/>
        <v>0</v>
      </c>
      <c r="I306" s="2420"/>
      <c r="J306" s="2268">
        <f t="shared" si="58"/>
        <v>0</v>
      </c>
      <c r="L306" s="2268">
        <f t="shared" si="54"/>
        <v>0</v>
      </c>
      <c r="M306" s="2268">
        <f t="shared" si="55"/>
        <v>0</v>
      </c>
    </row>
    <row r="307" spans="2:13" ht="12.75" thickBot="1">
      <c r="B307" s="2311">
        <v>9</v>
      </c>
      <c r="C307" s="2309">
        <f t="shared" si="53"/>
        <v>47968</v>
      </c>
      <c r="D307" s="2273">
        <f t="shared" si="56"/>
        <v>0</v>
      </c>
      <c r="E307" s="2273">
        <f>'A&amp;R'!H53/1000*(9=20)</f>
        <v>0</v>
      </c>
      <c r="F307" s="2273">
        <f>'A&amp;R'!E81/1000</f>
        <v>0</v>
      </c>
      <c r="G307" s="2273">
        <f>'A&amp;R'!F81/1000</f>
        <v>0</v>
      </c>
      <c r="H307" s="2420">
        <f t="shared" si="57"/>
        <v>0</v>
      </c>
      <c r="I307" s="2420"/>
      <c r="J307" s="2268">
        <f t="shared" si="58"/>
        <v>0</v>
      </c>
      <c r="L307" s="2268">
        <f t="shared" si="54"/>
        <v>0</v>
      </c>
      <c r="M307" s="2268">
        <f t="shared" si="55"/>
        <v>0</v>
      </c>
    </row>
    <row r="308" spans="2:13" ht="12.75" thickBot="1">
      <c r="B308" s="2311">
        <v>10</v>
      </c>
      <c r="C308" s="2309">
        <f t="shared" si="53"/>
        <v>48152</v>
      </c>
      <c r="D308" s="2273">
        <f t="shared" si="56"/>
        <v>0</v>
      </c>
      <c r="E308" s="2273">
        <f>'A&amp;R'!H54/1000*(10=20)</f>
        <v>0</v>
      </c>
      <c r="F308" s="2273">
        <f>'A&amp;R'!E82/1000</f>
        <v>0</v>
      </c>
      <c r="G308" s="2273">
        <f>'A&amp;R'!F82/1000</f>
        <v>0</v>
      </c>
      <c r="H308" s="2420">
        <f t="shared" si="57"/>
        <v>0</v>
      </c>
      <c r="I308" s="2420"/>
      <c r="J308" s="2268">
        <f t="shared" si="58"/>
        <v>0</v>
      </c>
      <c r="L308" s="2268">
        <f t="shared" si="54"/>
        <v>0</v>
      </c>
      <c r="M308" s="2268">
        <f t="shared" si="55"/>
        <v>0</v>
      </c>
    </row>
    <row r="309" spans="2:13" ht="12.75" thickBot="1">
      <c r="B309" s="2311">
        <v>11</v>
      </c>
      <c r="C309" s="2309">
        <f t="shared" si="53"/>
        <v>48334</v>
      </c>
      <c r="D309" s="2273">
        <f t="shared" si="56"/>
        <v>0</v>
      </c>
      <c r="E309" s="2273">
        <f>'A&amp;R'!H55/1000*(11=20)</f>
        <v>0</v>
      </c>
      <c r="F309" s="2273">
        <f>'A&amp;R'!E83/1000</f>
        <v>0</v>
      </c>
      <c r="G309" s="2273">
        <f>'A&amp;R'!F83/1000</f>
        <v>0</v>
      </c>
      <c r="H309" s="2420">
        <f t="shared" si="57"/>
        <v>0</v>
      </c>
      <c r="I309" s="2420"/>
      <c r="J309" s="2268">
        <f t="shared" si="58"/>
        <v>0</v>
      </c>
      <c r="L309" s="2268">
        <f t="shared" si="54"/>
        <v>0</v>
      </c>
      <c r="M309" s="2268">
        <f t="shared" si="55"/>
        <v>0</v>
      </c>
    </row>
    <row r="310" spans="2:13" ht="12.75" thickBot="1">
      <c r="B310" s="2311">
        <v>12</v>
      </c>
      <c r="C310" s="2309">
        <f t="shared" si="53"/>
        <v>48518</v>
      </c>
      <c r="D310" s="2273">
        <f t="shared" si="56"/>
        <v>0</v>
      </c>
      <c r="E310" s="2273">
        <f>'A&amp;R'!H56/1000*(12=20)</f>
        <v>0</v>
      </c>
      <c r="F310" s="2273">
        <f>'A&amp;R'!E84/1000</f>
        <v>0</v>
      </c>
      <c r="G310" s="2273">
        <f>'A&amp;R'!F84/1000</f>
        <v>0</v>
      </c>
      <c r="H310" s="2420">
        <f t="shared" si="57"/>
        <v>0</v>
      </c>
      <c r="I310" s="2420"/>
      <c r="J310" s="2268">
        <f t="shared" si="58"/>
        <v>0</v>
      </c>
      <c r="L310" s="2268">
        <f t="shared" si="54"/>
        <v>0</v>
      </c>
      <c r="M310" s="2268">
        <f t="shared" si="55"/>
        <v>0</v>
      </c>
    </row>
    <row r="311" spans="2:13" ht="12.75" thickBot="1">
      <c r="B311" s="2311">
        <v>13</v>
      </c>
      <c r="C311" s="2309">
        <f t="shared" si="53"/>
        <v>48699</v>
      </c>
      <c r="D311" s="2273">
        <f t="shared" si="56"/>
        <v>0</v>
      </c>
      <c r="E311" s="2273">
        <f>'A&amp;R'!H57/1000*(13=20)</f>
        <v>0</v>
      </c>
      <c r="F311" s="2273">
        <f>'A&amp;R'!E85/1000</f>
        <v>0</v>
      </c>
      <c r="G311" s="2273">
        <f>'A&amp;R'!F85/1000</f>
        <v>0</v>
      </c>
      <c r="H311" s="2420">
        <f t="shared" si="57"/>
        <v>0</v>
      </c>
      <c r="I311" s="2420"/>
      <c r="J311" s="2268">
        <f t="shared" si="58"/>
        <v>0</v>
      </c>
      <c r="L311" s="2268">
        <f t="shared" si="54"/>
        <v>0</v>
      </c>
      <c r="M311" s="2268">
        <f t="shared" si="55"/>
        <v>0</v>
      </c>
    </row>
    <row r="312" spans="2:13" ht="12.75" thickBot="1">
      <c r="B312" s="2311">
        <v>14</v>
      </c>
      <c r="C312" s="2309">
        <f t="shared" si="53"/>
        <v>48883</v>
      </c>
      <c r="D312" s="2273">
        <f t="shared" si="56"/>
        <v>0</v>
      </c>
      <c r="E312" s="2273">
        <f>'A&amp;R'!H58/1000*(14=20)</f>
        <v>0</v>
      </c>
      <c r="F312" s="2273">
        <f>'A&amp;R'!E86/1000</f>
        <v>0</v>
      </c>
      <c r="G312" s="2273">
        <f>'A&amp;R'!F86/1000</f>
        <v>0</v>
      </c>
      <c r="H312" s="2420">
        <f t="shared" si="57"/>
        <v>0</v>
      </c>
      <c r="I312" s="2420"/>
      <c r="J312" s="2268">
        <f t="shared" si="58"/>
        <v>0</v>
      </c>
      <c r="L312" s="2268">
        <f t="shared" si="54"/>
        <v>0</v>
      </c>
      <c r="M312" s="2268">
        <f t="shared" si="55"/>
        <v>0</v>
      </c>
    </row>
    <row r="313" spans="2:13" ht="12.75" thickBot="1">
      <c r="B313" s="2311">
        <v>15</v>
      </c>
      <c r="C313" s="2309">
        <f t="shared" si="53"/>
        <v>49064</v>
      </c>
      <c r="D313" s="2273">
        <f t="shared" si="56"/>
        <v>0</v>
      </c>
      <c r="E313" s="2273">
        <f>'A&amp;R'!H59/1000*(15=20)</f>
        <v>0</v>
      </c>
      <c r="F313" s="2273">
        <f>'A&amp;R'!E87/1000</f>
        <v>0</v>
      </c>
      <c r="G313" s="2273">
        <f>'A&amp;R'!F87/1000</f>
        <v>0</v>
      </c>
      <c r="H313" s="2420">
        <f t="shared" si="57"/>
        <v>0</v>
      </c>
      <c r="I313" s="2420"/>
      <c r="J313" s="2268">
        <f t="shared" si="58"/>
        <v>0</v>
      </c>
      <c r="L313" s="2268">
        <f t="shared" si="54"/>
        <v>0</v>
      </c>
      <c r="M313" s="2268">
        <f t="shared" si="55"/>
        <v>0</v>
      </c>
    </row>
    <row r="314" spans="2:13" ht="12.75" thickBot="1">
      <c r="B314" s="2311">
        <v>16</v>
      </c>
      <c r="C314" s="2309">
        <f t="shared" si="53"/>
        <v>49248</v>
      </c>
      <c r="D314" s="2273">
        <f t="shared" si="56"/>
        <v>0</v>
      </c>
      <c r="E314" s="2273">
        <f>'A&amp;R'!H60/1000*(16=20)</f>
        <v>0</v>
      </c>
      <c r="F314" s="2273">
        <f>'A&amp;R'!E88/1000</f>
        <v>0</v>
      </c>
      <c r="G314" s="2273">
        <f>'A&amp;R'!F88/1000</f>
        <v>0</v>
      </c>
      <c r="H314" s="2420">
        <f t="shared" si="57"/>
        <v>0</v>
      </c>
      <c r="I314" s="2420"/>
      <c r="J314" s="2268">
        <f t="shared" si="58"/>
        <v>0</v>
      </c>
      <c r="L314" s="2268">
        <f t="shared" si="54"/>
        <v>0</v>
      </c>
      <c r="M314" s="2268">
        <f t="shared" si="55"/>
        <v>0</v>
      </c>
    </row>
    <row r="315" spans="2:13" ht="12.75" thickBot="1">
      <c r="B315" s="2311">
        <v>17</v>
      </c>
      <c r="C315" s="2309">
        <f t="shared" si="53"/>
        <v>49429</v>
      </c>
      <c r="D315" s="2273">
        <f t="shared" si="56"/>
        <v>0</v>
      </c>
      <c r="E315" s="2273">
        <f>'A&amp;R'!H61/1000*(17=20)</f>
        <v>0</v>
      </c>
      <c r="F315" s="2273">
        <f>'A&amp;R'!E89/1000</f>
        <v>0</v>
      </c>
      <c r="G315" s="2273">
        <f>'A&amp;R'!F89/1000</f>
        <v>0</v>
      </c>
      <c r="H315" s="2420">
        <f t="shared" si="57"/>
        <v>0</v>
      </c>
      <c r="I315" s="2420"/>
      <c r="J315" s="2268">
        <f t="shared" si="58"/>
        <v>0</v>
      </c>
      <c r="L315" s="2268">
        <f t="shared" si="54"/>
        <v>0</v>
      </c>
      <c r="M315" s="2268">
        <f t="shared" si="55"/>
        <v>0</v>
      </c>
    </row>
    <row r="316" spans="2:13" ht="12.75" thickBot="1">
      <c r="B316" s="2311">
        <v>18</v>
      </c>
      <c r="C316" s="2309">
        <f t="shared" si="53"/>
        <v>49613</v>
      </c>
      <c r="D316" s="2273">
        <f t="shared" si="56"/>
        <v>0</v>
      </c>
      <c r="E316" s="2273">
        <f>'A&amp;R'!H62/1000*(18=20)</f>
        <v>0</v>
      </c>
      <c r="F316" s="2273">
        <f>'A&amp;R'!E90/1000</f>
        <v>0</v>
      </c>
      <c r="G316" s="2273">
        <f>'A&amp;R'!F90/1000</f>
        <v>0</v>
      </c>
      <c r="H316" s="2420">
        <f t="shared" si="57"/>
        <v>0</v>
      </c>
      <c r="I316" s="2420"/>
      <c r="J316" s="2268">
        <f t="shared" si="58"/>
        <v>0</v>
      </c>
      <c r="L316" s="2268">
        <f t="shared" si="54"/>
        <v>0</v>
      </c>
      <c r="M316" s="2268">
        <f t="shared" si="55"/>
        <v>0</v>
      </c>
    </row>
    <row r="317" spans="2:13" ht="12.75" thickBot="1">
      <c r="B317" s="2311">
        <v>19</v>
      </c>
      <c r="C317" s="2309">
        <f t="shared" si="53"/>
        <v>49795</v>
      </c>
      <c r="D317" s="2273">
        <f t="shared" si="56"/>
        <v>0</v>
      </c>
      <c r="E317" s="2273">
        <f>'A&amp;R'!H63/1000*(19=20)</f>
        <v>0</v>
      </c>
      <c r="F317" s="2273">
        <f>'A&amp;R'!E91/1000</f>
        <v>0</v>
      </c>
      <c r="G317" s="2273">
        <f>'A&amp;R'!F91/1000</f>
        <v>0</v>
      </c>
      <c r="H317" s="2420">
        <f t="shared" si="57"/>
        <v>0</v>
      </c>
      <c r="I317" s="2420"/>
      <c r="J317" s="2268">
        <f t="shared" si="58"/>
        <v>0</v>
      </c>
      <c r="L317" s="2268">
        <f t="shared" si="54"/>
        <v>0</v>
      </c>
      <c r="M317" s="2268">
        <f t="shared" si="55"/>
        <v>0</v>
      </c>
    </row>
    <row r="318" spans="2:13" ht="12.75" thickBot="1">
      <c r="B318" s="2311">
        <v>20</v>
      </c>
      <c r="C318" s="2309">
        <f t="shared" si="53"/>
        <v>49979</v>
      </c>
      <c r="D318" s="2273">
        <f t="shared" si="56"/>
        <v>0</v>
      </c>
      <c r="E318" s="2273">
        <f>'A&amp;R'!H64/1000*(20=20)</f>
        <v>0</v>
      </c>
      <c r="F318" s="2273">
        <f>'A&amp;R'!E92/1000</f>
        <v>0</v>
      </c>
      <c r="G318" s="2273">
        <f>'A&amp;R'!F92/1000</f>
        <v>0</v>
      </c>
      <c r="H318" s="2420">
        <f t="shared" si="57"/>
        <v>0</v>
      </c>
      <c r="I318" s="2420"/>
      <c r="J318" s="2268">
        <f t="shared" si="58"/>
        <v>0</v>
      </c>
      <c r="L318" s="2268">
        <f t="shared" si="54"/>
        <v>0</v>
      </c>
      <c r="M318" s="2268">
        <f t="shared" si="55"/>
        <v>0</v>
      </c>
    </row>
    <row r="319" spans="2:13" ht="12.75" thickBot="1">
      <c r="B319" s="3076" t="s">
        <v>1472</v>
      </c>
      <c r="C319" s="3077"/>
      <c r="D319" s="2277">
        <f>SUM(D298:D318)</f>
        <v>0</v>
      </c>
      <c r="E319" s="2277">
        <f>SUM(E298:E318)</f>
        <v>0</v>
      </c>
      <c r="F319" s="2277">
        <f>SUM(F298:F318)</f>
        <v>0</v>
      </c>
      <c r="G319" s="2277">
        <f>SUM(G298:G318)</f>
        <v>0</v>
      </c>
      <c r="H319" s="2307">
        <f>F319/J319*2</f>
        <v>0</v>
      </c>
      <c r="I319" s="2307">
        <f>SUM(F319,G319)/J319*2</f>
        <v>0</v>
      </c>
      <c r="J319" s="2268">
        <f>SUM(J299:J318)</f>
        <v>40000</v>
      </c>
      <c r="L319" s="2466">
        <f>XIRR(L298:L318,C298:C318)</f>
        <v>2.9802322387695314E-9</v>
      </c>
      <c r="M319" s="2466">
        <f>XIRR(M298:M318,C298:C318)</f>
        <v>2.9802322387695314E-9</v>
      </c>
    </row>
    <row r="320" spans="2:13">
      <c r="D320" s="2468" t="e">
        <f>D319/J318+1</f>
        <v>#DIV/0!</v>
      </c>
    </row>
    <row r="322" spans="1:13" ht="12.75" thickBot="1">
      <c r="A322" s="2232" t="s">
        <v>1535</v>
      </c>
    </row>
    <row r="323" spans="1:13" ht="12.75" thickBot="1">
      <c r="B323" s="3078" t="str">
        <f>B272</f>
        <v>구분</v>
      </c>
      <c r="C323" s="3079"/>
      <c r="D323" s="2270" t="str">
        <f>D272</f>
        <v>현금의 변동</v>
      </c>
      <c r="E323" s="2270" t="str">
        <f>E272</f>
        <v>투자금 납입/상환</v>
      </c>
      <c r="F323" s="2270" t="str">
        <f>F272</f>
        <v>운영배당수입</v>
      </c>
      <c r="G323" s="2313" t="str">
        <f>G272</f>
        <v>청산배당수입</v>
      </c>
      <c r="H323" s="2261" t="s">
        <v>1470</v>
      </c>
      <c r="I323" s="2261" t="s">
        <v>1645</v>
      </c>
      <c r="L323" s="2465" t="s">
        <v>1646</v>
      </c>
      <c r="M323" s="2465" t="s">
        <v>1647</v>
      </c>
    </row>
    <row r="324" spans="1:13" ht="12.75" thickBot="1">
      <c r="B324" s="2308" t="s">
        <v>1471</v>
      </c>
      <c r="C324" s="2309">
        <f t="shared" ref="C324:C344" si="59">C298</f>
        <v>46326</v>
      </c>
      <c r="D324" s="2273">
        <f>E324</f>
        <v>-14800</v>
      </c>
      <c r="E324" s="2273">
        <f>-'A&amp;R'!H73/1000</f>
        <v>-14800</v>
      </c>
      <c r="F324" s="2273">
        <v>0</v>
      </c>
      <c r="G324" s="2273">
        <v>0</v>
      </c>
      <c r="H324" s="2310"/>
      <c r="I324" s="2310"/>
      <c r="L324" s="2268">
        <f t="shared" ref="L324:L344" si="60">SUM(E324:F324)</f>
        <v>-14800</v>
      </c>
      <c r="M324" s="2268">
        <f t="shared" ref="M324:M344" si="61">SUM(E324:G324)</f>
        <v>-14800</v>
      </c>
    </row>
    <row r="325" spans="1:13" ht="12.75" thickBot="1">
      <c r="B325" s="2311">
        <v>1</v>
      </c>
      <c r="C325" s="2309">
        <f t="shared" si="59"/>
        <v>46507</v>
      </c>
      <c r="D325" s="2273">
        <f t="shared" ref="D325:D344" ca="1" si="62">SUM(E325:G325)</f>
        <v>555</v>
      </c>
      <c r="E325" s="2273">
        <f>'A&amp;R'!H73/1000*(1=20)</f>
        <v>0</v>
      </c>
      <c r="F325" s="2273">
        <f ca="1">'A&amp;R'!I73/1000</f>
        <v>555</v>
      </c>
      <c r="G325" s="2273">
        <f>'A&amp;R'!J73/1000</f>
        <v>0</v>
      </c>
      <c r="H325" s="2420">
        <f t="shared" ref="H325:H345" ca="1" si="63">F325/J325*2</f>
        <v>7.4999999999999997E-2</v>
      </c>
      <c r="I325" s="2420"/>
      <c r="J325" s="2268">
        <f>-E324</f>
        <v>14800</v>
      </c>
      <c r="L325" s="2268">
        <f t="shared" ca="1" si="60"/>
        <v>555</v>
      </c>
      <c r="M325" s="2268">
        <f t="shared" ca="1" si="61"/>
        <v>555</v>
      </c>
    </row>
    <row r="326" spans="1:13" ht="12.75" thickBot="1">
      <c r="B326" s="2311">
        <v>2</v>
      </c>
      <c r="C326" s="2309">
        <f t="shared" si="59"/>
        <v>46691</v>
      </c>
      <c r="D326" s="2273">
        <f t="shared" ca="1" si="62"/>
        <v>555</v>
      </c>
      <c r="E326" s="2273">
        <f>'A&amp;R'!H74/1000*(2=20)</f>
        <v>0</v>
      </c>
      <c r="F326" s="2273">
        <f ca="1">'A&amp;R'!I74/1000</f>
        <v>555</v>
      </c>
      <c r="G326" s="2273">
        <f>'A&amp;R'!J74/1000</f>
        <v>0</v>
      </c>
      <c r="H326" s="2420">
        <f t="shared" ca="1" si="63"/>
        <v>7.4999999999999997E-2</v>
      </c>
      <c r="I326" s="2420"/>
      <c r="J326" s="2268">
        <f t="shared" ref="J326:J344" si="64">J325-E325</f>
        <v>14800</v>
      </c>
      <c r="L326" s="2268">
        <f t="shared" ca="1" si="60"/>
        <v>555</v>
      </c>
      <c r="M326" s="2268">
        <f t="shared" ca="1" si="61"/>
        <v>555</v>
      </c>
    </row>
    <row r="327" spans="1:13" ht="12.75" thickBot="1">
      <c r="B327" s="2311">
        <v>3</v>
      </c>
      <c r="C327" s="2309">
        <f t="shared" si="59"/>
        <v>46873</v>
      </c>
      <c r="D327" s="2273">
        <f t="shared" ca="1" si="62"/>
        <v>0</v>
      </c>
      <c r="E327" s="2273">
        <f>'A&amp;R'!H75/1000*(3=20)</f>
        <v>0</v>
      </c>
      <c r="F327" s="2273">
        <f ca="1">'A&amp;R'!I75/1000</f>
        <v>0</v>
      </c>
      <c r="G327" s="2273">
        <f>'A&amp;R'!J75/1000</f>
        <v>0</v>
      </c>
      <c r="H327" s="2420">
        <f t="shared" ca="1" si="63"/>
        <v>0</v>
      </c>
      <c r="I327" s="2420"/>
      <c r="J327" s="2268">
        <f t="shared" si="64"/>
        <v>14800</v>
      </c>
      <c r="L327" s="2268">
        <f t="shared" ca="1" si="60"/>
        <v>0</v>
      </c>
      <c r="M327" s="2268">
        <f t="shared" ca="1" si="61"/>
        <v>0</v>
      </c>
    </row>
    <row r="328" spans="1:13" ht="12.75" thickBot="1">
      <c r="B328" s="2311">
        <v>4</v>
      </c>
      <c r="C328" s="2309">
        <f t="shared" si="59"/>
        <v>47057</v>
      </c>
      <c r="D328" s="2273">
        <f t="shared" ca="1" si="62"/>
        <v>0</v>
      </c>
      <c r="E328" s="2273">
        <f>'A&amp;R'!H76/1000*(4=20)</f>
        <v>0</v>
      </c>
      <c r="F328" s="2273">
        <f ca="1">'A&amp;R'!I76/1000</f>
        <v>0</v>
      </c>
      <c r="G328" s="2273">
        <f>'A&amp;R'!J76/1000</f>
        <v>0</v>
      </c>
      <c r="H328" s="2420">
        <f t="shared" ca="1" si="63"/>
        <v>0</v>
      </c>
      <c r="I328" s="2420"/>
      <c r="J328" s="2268">
        <f t="shared" si="64"/>
        <v>14800</v>
      </c>
      <c r="L328" s="2268">
        <f t="shared" ca="1" si="60"/>
        <v>0</v>
      </c>
      <c r="M328" s="2268">
        <f t="shared" ca="1" si="61"/>
        <v>0</v>
      </c>
    </row>
    <row r="329" spans="1:13" ht="12.75" thickBot="1">
      <c r="B329" s="2311">
        <v>5</v>
      </c>
      <c r="C329" s="2309">
        <f t="shared" si="59"/>
        <v>47238</v>
      </c>
      <c r="D329" s="2273">
        <f t="shared" ca="1" si="62"/>
        <v>0</v>
      </c>
      <c r="E329" s="2273">
        <f>'A&amp;R'!H77/1000*(5=20)</f>
        <v>0</v>
      </c>
      <c r="F329" s="2273">
        <f ca="1">'A&amp;R'!I77/1000</f>
        <v>0</v>
      </c>
      <c r="G329" s="2273">
        <f>'A&amp;R'!J77/1000</f>
        <v>0</v>
      </c>
      <c r="H329" s="2420">
        <f t="shared" ca="1" si="63"/>
        <v>0</v>
      </c>
      <c r="I329" s="2420"/>
      <c r="J329" s="2268">
        <f t="shared" si="64"/>
        <v>14800</v>
      </c>
      <c r="L329" s="2268">
        <f t="shared" ca="1" si="60"/>
        <v>0</v>
      </c>
      <c r="M329" s="2268">
        <f t="shared" ca="1" si="61"/>
        <v>0</v>
      </c>
    </row>
    <row r="330" spans="1:13" ht="12.75" thickBot="1">
      <c r="B330" s="2311">
        <v>6</v>
      </c>
      <c r="C330" s="2309">
        <f t="shared" si="59"/>
        <v>47422</v>
      </c>
      <c r="D330" s="2273">
        <f t="shared" ca="1" si="62"/>
        <v>0</v>
      </c>
      <c r="E330" s="2273">
        <f>'A&amp;R'!H78/1000*(6=20)</f>
        <v>0</v>
      </c>
      <c r="F330" s="2273">
        <f ca="1">'A&amp;R'!I78/1000</f>
        <v>0</v>
      </c>
      <c r="G330" s="2273">
        <f>'A&amp;R'!J78/1000</f>
        <v>0</v>
      </c>
      <c r="H330" s="2420">
        <f t="shared" ca="1" si="63"/>
        <v>0</v>
      </c>
      <c r="I330" s="2420"/>
      <c r="J330" s="2268">
        <f t="shared" si="64"/>
        <v>14800</v>
      </c>
      <c r="L330" s="2268">
        <f t="shared" ca="1" si="60"/>
        <v>0</v>
      </c>
      <c r="M330" s="2268">
        <f t="shared" ca="1" si="61"/>
        <v>0</v>
      </c>
    </row>
    <row r="331" spans="1:13" ht="12.75" thickBot="1">
      <c r="B331" s="2311">
        <v>7</v>
      </c>
      <c r="C331" s="2309">
        <f t="shared" si="59"/>
        <v>47603</v>
      </c>
      <c r="D331" s="2273">
        <f t="shared" ca="1" si="62"/>
        <v>0</v>
      </c>
      <c r="E331" s="2273">
        <f>'A&amp;R'!H79/1000*(7=20)</f>
        <v>0</v>
      </c>
      <c r="F331" s="2273">
        <f ca="1">'A&amp;R'!I79/1000</f>
        <v>0</v>
      </c>
      <c r="G331" s="2273">
        <f>'A&amp;R'!J79/1000</f>
        <v>0</v>
      </c>
      <c r="H331" s="2420">
        <f t="shared" ca="1" si="63"/>
        <v>0</v>
      </c>
      <c r="I331" s="2420"/>
      <c r="J331" s="2268">
        <f t="shared" si="64"/>
        <v>14800</v>
      </c>
      <c r="L331" s="2268">
        <f t="shared" ca="1" si="60"/>
        <v>0</v>
      </c>
      <c r="M331" s="2268">
        <f t="shared" ca="1" si="61"/>
        <v>0</v>
      </c>
    </row>
    <row r="332" spans="1:13" ht="12.75" thickBot="1">
      <c r="B332" s="2311">
        <v>8</v>
      </c>
      <c r="C332" s="2309">
        <f t="shared" si="59"/>
        <v>47787</v>
      </c>
      <c r="D332" s="2273">
        <f t="shared" ca="1" si="62"/>
        <v>0</v>
      </c>
      <c r="E332" s="2273">
        <f>'A&amp;R'!H80/1000*(8=20)</f>
        <v>0</v>
      </c>
      <c r="F332" s="2273">
        <f ca="1">'A&amp;R'!I80/1000</f>
        <v>0</v>
      </c>
      <c r="G332" s="2273">
        <f>'A&amp;R'!J80/1000</f>
        <v>0</v>
      </c>
      <c r="H332" s="2420">
        <f t="shared" ca="1" si="63"/>
        <v>0</v>
      </c>
      <c r="I332" s="2420"/>
      <c r="J332" s="2268">
        <f t="shared" si="64"/>
        <v>14800</v>
      </c>
      <c r="L332" s="2268">
        <f t="shared" ca="1" si="60"/>
        <v>0</v>
      </c>
      <c r="M332" s="2268">
        <f t="shared" ca="1" si="61"/>
        <v>0</v>
      </c>
    </row>
    <row r="333" spans="1:13" ht="12.75" thickBot="1">
      <c r="B333" s="2311">
        <v>9</v>
      </c>
      <c r="C333" s="2309">
        <f t="shared" si="59"/>
        <v>47968</v>
      </c>
      <c r="D333" s="2273">
        <f t="shared" ca="1" si="62"/>
        <v>0</v>
      </c>
      <c r="E333" s="2273">
        <f>'A&amp;R'!H81/1000*(9=20)</f>
        <v>0</v>
      </c>
      <c r="F333" s="2273">
        <f ca="1">'A&amp;R'!I81/1000</f>
        <v>0</v>
      </c>
      <c r="G333" s="2273">
        <f>'A&amp;R'!J81/1000</f>
        <v>0</v>
      </c>
      <c r="H333" s="2420">
        <f t="shared" ca="1" si="63"/>
        <v>0</v>
      </c>
      <c r="I333" s="2420"/>
      <c r="J333" s="2268">
        <f t="shared" si="64"/>
        <v>14800</v>
      </c>
      <c r="L333" s="2268">
        <f t="shared" ca="1" si="60"/>
        <v>0</v>
      </c>
      <c r="M333" s="2268">
        <f t="shared" ca="1" si="61"/>
        <v>0</v>
      </c>
    </row>
    <row r="334" spans="1:13" ht="12.75" thickBot="1">
      <c r="B334" s="2311">
        <v>10</v>
      </c>
      <c r="C334" s="2309">
        <f t="shared" si="59"/>
        <v>48152</v>
      </c>
      <c r="D334" s="2273">
        <f t="shared" ca="1" si="62"/>
        <v>0</v>
      </c>
      <c r="E334" s="2273">
        <f>'A&amp;R'!H82/1000*(10=20)</f>
        <v>0</v>
      </c>
      <c r="F334" s="2273">
        <f ca="1">'A&amp;R'!I82/1000</f>
        <v>0</v>
      </c>
      <c r="G334" s="2273">
        <f>'A&amp;R'!J82/1000</f>
        <v>0</v>
      </c>
      <c r="H334" s="2420">
        <f t="shared" ca="1" si="63"/>
        <v>0</v>
      </c>
      <c r="I334" s="2420"/>
      <c r="J334" s="2268">
        <f t="shared" si="64"/>
        <v>14800</v>
      </c>
      <c r="L334" s="2268">
        <f t="shared" ca="1" si="60"/>
        <v>0</v>
      </c>
      <c r="M334" s="2268">
        <f t="shared" ca="1" si="61"/>
        <v>0</v>
      </c>
    </row>
    <row r="335" spans="1:13" ht="12.75" thickBot="1">
      <c r="B335" s="2311">
        <v>11</v>
      </c>
      <c r="C335" s="2309">
        <f t="shared" si="59"/>
        <v>48334</v>
      </c>
      <c r="D335" s="2273">
        <f t="shared" ca="1" si="62"/>
        <v>0</v>
      </c>
      <c r="E335" s="2273">
        <f>'A&amp;R'!H83/1000*(11=20)</f>
        <v>0</v>
      </c>
      <c r="F335" s="2273">
        <f ca="1">'A&amp;R'!I83/1000</f>
        <v>0</v>
      </c>
      <c r="G335" s="2273">
        <f>'A&amp;R'!J83/1000</f>
        <v>0</v>
      </c>
      <c r="H335" s="2420">
        <f t="shared" ca="1" si="63"/>
        <v>0</v>
      </c>
      <c r="I335" s="2420"/>
      <c r="J335" s="2268">
        <f t="shared" si="64"/>
        <v>14800</v>
      </c>
      <c r="L335" s="2268">
        <f t="shared" ca="1" si="60"/>
        <v>0</v>
      </c>
      <c r="M335" s="2268">
        <f t="shared" ca="1" si="61"/>
        <v>0</v>
      </c>
    </row>
    <row r="336" spans="1:13" ht="12.75" thickBot="1">
      <c r="B336" s="2311">
        <v>12</v>
      </c>
      <c r="C336" s="2309">
        <f t="shared" si="59"/>
        <v>48518</v>
      </c>
      <c r="D336" s="2273">
        <f t="shared" ca="1" si="62"/>
        <v>0</v>
      </c>
      <c r="E336" s="2273">
        <f>'A&amp;R'!H84/1000*(12=20)</f>
        <v>0</v>
      </c>
      <c r="F336" s="2273">
        <f ca="1">'A&amp;R'!I84/1000</f>
        <v>0</v>
      </c>
      <c r="G336" s="2273">
        <f>'A&amp;R'!J84/1000</f>
        <v>0</v>
      </c>
      <c r="H336" s="2420">
        <f t="shared" ca="1" si="63"/>
        <v>0</v>
      </c>
      <c r="I336" s="2420"/>
      <c r="J336" s="2268">
        <f t="shared" si="64"/>
        <v>14800</v>
      </c>
      <c r="L336" s="2268">
        <f t="shared" ca="1" si="60"/>
        <v>0</v>
      </c>
      <c r="M336" s="2268">
        <f t="shared" ca="1" si="61"/>
        <v>0</v>
      </c>
    </row>
    <row r="337" spans="1:13" ht="12.75" thickBot="1">
      <c r="B337" s="2311">
        <v>13</v>
      </c>
      <c r="C337" s="2309">
        <f t="shared" si="59"/>
        <v>48699</v>
      </c>
      <c r="D337" s="2273">
        <f t="shared" ca="1" si="62"/>
        <v>0</v>
      </c>
      <c r="E337" s="2273">
        <f>'A&amp;R'!H85/1000*(13=20)</f>
        <v>0</v>
      </c>
      <c r="F337" s="2273">
        <f ca="1">'A&amp;R'!I85/1000</f>
        <v>0</v>
      </c>
      <c r="G337" s="2273">
        <f>'A&amp;R'!J85/1000</f>
        <v>0</v>
      </c>
      <c r="H337" s="2420">
        <f t="shared" ca="1" si="63"/>
        <v>0</v>
      </c>
      <c r="I337" s="2420"/>
      <c r="J337" s="2268">
        <f t="shared" si="64"/>
        <v>14800</v>
      </c>
      <c r="L337" s="2268">
        <f t="shared" ca="1" si="60"/>
        <v>0</v>
      </c>
      <c r="M337" s="2268">
        <f t="shared" ca="1" si="61"/>
        <v>0</v>
      </c>
    </row>
    <row r="338" spans="1:13" ht="12.75" thickBot="1">
      <c r="B338" s="2311">
        <v>14</v>
      </c>
      <c r="C338" s="2309">
        <f t="shared" si="59"/>
        <v>48883</v>
      </c>
      <c r="D338" s="2273">
        <f t="shared" ca="1" si="62"/>
        <v>0</v>
      </c>
      <c r="E338" s="2273">
        <f>'A&amp;R'!H86/1000*(14=20)</f>
        <v>0</v>
      </c>
      <c r="F338" s="2273">
        <f ca="1">'A&amp;R'!I86/1000</f>
        <v>0</v>
      </c>
      <c r="G338" s="2273">
        <f>'A&amp;R'!J86/1000</f>
        <v>0</v>
      </c>
      <c r="H338" s="2420">
        <f t="shared" ca="1" si="63"/>
        <v>0</v>
      </c>
      <c r="I338" s="2420"/>
      <c r="J338" s="2268">
        <f t="shared" si="64"/>
        <v>14800</v>
      </c>
      <c r="L338" s="2268">
        <f t="shared" ca="1" si="60"/>
        <v>0</v>
      </c>
      <c r="M338" s="2268">
        <f t="shared" ca="1" si="61"/>
        <v>0</v>
      </c>
    </row>
    <row r="339" spans="1:13" ht="12.75" thickBot="1">
      <c r="B339" s="2311">
        <v>15</v>
      </c>
      <c r="C339" s="2309">
        <f t="shared" si="59"/>
        <v>49064</v>
      </c>
      <c r="D339" s="2273">
        <f t="shared" ca="1" si="62"/>
        <v>0</v>
      </c>
      <c r="E339" s="2273">
        <f>'A&amp;R'!H87/1000*(15=20)</f>
        <v>0</v>
      </c>
      <c r="F339" s="2273">
        <f ca="1">'A&amp;R'!I87/1000</f>
        <v>0</v>
      </c>
      <c r="G339" s="2273">
        <f>'A&amp;R'!J87/1000</f>
        <v>0</v>
      </c>
      <c r="H339" s="2420">
        <f t="shared" ca="1" si="63"/>
        <v>0</v>
      </c>
      <c r="I339" s="2420"/>
      <c r="J339" s="2268">
        <f t="shared" si="64"/>
        <v>14800</v>
      </c>
      <c r="L339" s="2268">
        <f t="shared" ca="1" si="60"/>
        <v>0</v>
      </c>
      <c r="M339" s="2268">
        <f t="shared" ca="1" si="61"/>
        <v>0</v>
      </c>
    </row>
    <row r="340" spans="1:13" ht="12.75" thickBot="1">
      <c r="B340" s="2311">
        <v>16</v>
      </c>
      <c r="C340" s="2309">
        <f t="shared" si="59"/>
        <v>49248</v>
      </c>
      <c r="D340" s="2273">
        <f t="shared" ca="1" si="62"/>
        <v>0</v>
      </c>
      <c r="E340" s="2273">
        <f>'A&amp;R'!H88/1000*(16=20)</f>
        <v>0</v>
      </c>
      <c r="F340" s="2273">
        <f ca="1">'A&amp;R'!I88/1000</f>
        <v>0</v>
      </c>
      <c r="G340" s="2273">
        <f>'A&amp;R'!J88/1000</f>
        <v>0</v>
      </c>
      <c r="H340" s="2420">
        <f t="shared" ca="1" si="63"/>
        <v>0</v>
      </c>
      <c r="I340" s="2420"/>
      <c r="J340" s="2268">
        <f t="shared" si="64"/>
        <v>14800</v>
      </c>
      <c r="L340" s="2268">
        <f t="shared" ca="1" si="60"/>
        <v>0</v>
      </c>
      <c r="M340" s="2268">
        <f t="shared" ca="1" si="61"/>
        <v>0</v>
      </c>
    </row>
    <row r="341" spans="1:13" ht="12.75" thickBot="1">
      <c r="B341" s="2311">
        <v>17</v>
      </c>
      <c r="C341" s="2309">
        <f t="shared" si="59"/>
        <v>49429</v>
      </c>
      <c r="D341" s="2273">
        <f t="shared" ca="1" si="62"/>
        <v>0</v>
      </c>
      <c r="E341" s="2273">
        <f>'A&amp;R'!H89/1000*(17=20)</f>
        <v>0</v>
      </c>
      <c r="F341" s="2273">
        <f ca="1">'A&amp;R'!I89/1000</f>
        <v>0</v>
      </c>
      <c r="G341" s="2273">
        <f>'A&amp;R'!J89/1000</f>
        <v>0</v>
      </c>
      <c r="H341" s="2420">
        <f t="shared" ca="1" si="63"/>
        <v>0</v>
      </c>
      <c r="I341" s="2420"/>
      <c r="J341" s="2268">
        <f t="shared" si="64"/>
        <v>14800</v>
      </c>
      <c r="L341" s="2268">
        <f t="shared" ca="1" si="60"/>
        <v>0</v>
      </c>
      <c r="M341" s="2268">
        <f t="shared" ca="1" si="61"/>
        <v>0</v>
      </c>
    </row>
    <row r="342" spans="1:13" ht="12.75" thickBot="1">
      <c r="B342" s="2311">
        <v>18</v>
      </c>
      <c r="C342" s="2309">
        <f t="shared" si="59"/>
        <v>49613</v>
      </c>
      <c r="D342" s="2273">
        <f t="shared" ca="1" si="62"/>
        <v>0</v>
      </c>
      <c r="E342" s="2273">
        <f>'A&amp;R'!H90/1000*(18=20)</f>
        <v>0</v>
      </c>
      <c r="F342" s="2273">
        <f ca="1">'A&amp;R'!I90/1000</f>
        <v>0</v>
      </c>
      <c r="G342" s="2273">
        <f>'A&amp;R'!J90/1000</f>
        <v>0</v>
      </c>
      <c r="H342" s="2420">
        <f t="shared" ca="1" si="63"/>
        <v>0</v>
      </c>
      <c r="I342" s="2420"/>
      <c r="J342" s="2268">
        <f t="shared" si="64"/>
        <v>14800</v>
      </c>
      <c r="L342" s="2268">
        <f t="shared" ca="1" si="60"/>
        <v>0</v>
      </c>
      <c r="M342" s="2268">
        <f t="shared" ca="1" si="61"/>
        <v>0</v>
      </c>
    </row>
    <row r="343" spans="1:13" ht="12.75" thickBot="1">
      <c r="B343" s="2311">
        <v>19</v>
      </c>
      <c r="C343" s="2309">
        <f t="shared" si="59"/>
        <v>49795</v>
      </c>
      <c r="D343" s="2273">
        <f t="shared" ca="1" si="62"/>
        <v>0</v>
      </c>
      <c r="E343" s="2273">
        <f>'A&amp;R'!H91/1000*(19=20)</f>
        <v>0</v>
      </c>
      <c r="F343" s="2273">
        <f ca="1">'A&amp;R'!I91/1000</f>
        <v>0</v>
      </c>
      <c r="G343" s="2273">
        <f>'A&amp;R'!J91/1000</f>
        <v>0</v>
      </c>
      <c r="H343" s="2420">
        <f t="shared" ca="1" si="63"/>
        <v>0</v>
      </c>
      <c r="I343" s="2420"/>
      <c r="J343" s="2268">
        <f t="shared" si="64"/>
        <v>14800</v>
      </c>
      <c r="L343" s="2268">
        <f t="shared" ca="1" si="60"/>
        <v>0</v>
      </c>
      <c r="M343" s="2268">
        <f t="shared" ca="1" si="61"/>
        <v>0</v>
      </c>
    </row>
    <row r="344" spans="1:13" ht="12.75" thickBot="1">
      <c r="B344" s="2311">
        <v>20</v>
      </c>
      <c r="C344" s="2309">
        <f t="shared" si="59"/>
        <v>49979</v>
      </c>
      <c r="D344" s="2273">
        <f t="shared" ca="1" si="62"/>
        <v>61870.453350267737</v>
      </c>
      <c r="E344" s="2273">
        <f>'A&amp;R'!H92/1000*(20=20)</f>
        <v>14800</v>
      </c>
      <c r="F344" s="2273">
        <f ca="1">'A&amp;R'!I92/1000</f>
        <v>0</v>
      </c>
      <c r="G344" s="2273">
        <f>'A&amp;R'!J92/1000</f>
        <v>47070.453350267737</v>
      </c>
      <c r="H344" s="2420">
        <f t="shared" ca="1" si="63"/>
        <v>0</v>
      </c>
      <c r="I344" s="2420"/>
      <c r="J344" s="2268">
        <f t="shared" si="64"/>
        <v>14800</v>
      </c>
      <c r="L344" s="2268">
        <f t="shared" ca="1" si="60"/>
        <v>14800</v>
      </c>
      <c r="M344" s="2268">
        <f t="shared" ca="1" si="61"/>
        <v>61870.453350267737</v>
      </c>
    </row>
    <row r="345" spans="1:13" ht="12.75" thickBot="1">
      <c r="B345" s="3076" t="s">
        <v>1472</v>
      </c>
      <c r="C345" s="3077"/>
      <c r="D345" s="2277">
        <f ca="1">SUM(D324:D344)</f>
        <v>48180.453350267737</v>
      </c>
      <c r="E345" s="2277">
        <f>SUM(E324:E344)</f>
        <v>0</v>
      </c>
      <c r="F345" s="2277">
        <f ca="1">SUM(F324:F344)</f>
        <v>1110</v>
      </c>
      <c r="G345" s="2277">
        <f>SUM(G324:G344)</f>
        <v>47070.453350267737</v>
      </c>
      <c r="H345" s="2307">
        <f t="shared" ca="1" si="63"/>
        <v>7.4999999999999997E-3</v>
      </c>
      <c r="I345" s="2307">
        <f ca="1">SUM(F345,G345)/J345*2</f>
        <v>0.32554360371802527</v>
      </c>
      <c r="J345" s="2268">
        <f>SUM(J325:J344)</f>
        <v>296000</v>
      </c>
      <c r="L345" s="2466">
        <f ca="1">XIRR(L324:L344,C324:C344)</f>
        <v>7.7730506658554082E-3</v>
      </c>
      <c r="M345" s="2466">
        <f ca="1">XIRR(M324:M344,C324:C344)</f>
        <v>0.16167575716972352</v>
      </c>
    </row>
    <row r="346" spans="1:13">
      <c r="D346" s="2468">
        <f ca="1">D345/J344+1</f>
        <v>4.2554360371802531</v>
      </c>
    </row>
    <row r="347" spans="1:13" ht="12.75" thickBot="1">
      <c r="A347" s="2232" t="s">
        <v>1644</v>
      </c>
    </row>
    <row r="348" spans="1:13" ht="12.75" thickBot="1">
      <c r="B348" s="3078" t="str">
        <f>B297</f>
        <v>구분</v>
      </c>
      <c r="C348" s="3079"/>
      <c r="D348" s="2270" t="str">
        <f>D297</f>
        <v>현금의 변동</v>
      </c>
      <c r="E348" s="2270" t="str">
        <f>E297</f>
        <v>투자금 납입/상환</v>
      </c>
      <c r="F348" s="2270" t="str">
        <f>F297</f>
        <v>운영배당수입</v>
      </c>
      <c r="G348" s="2313" t="str">
        <f>G297</f>
        <v>청산배당수입</v>
      </c>
      <c r="H348" s="2261" t="s">
        <v>1470</v>
      </c>
      <c r="I348" s="2261" t="s">
        <v>1645</v>
      </c>
      <c r="L348" s="2465" t="s">
        <v>1646</v>
      </c>
      <c r="M348" s="2465" t="s">
        <v>1647</v>
      </c>
    </row>
    <row r="349" spans="1:13" ht="12.75" thickBot="1">
      <c r="B349" s="2308" t="s">
        <v>1471</v>
      </c>
      <c r="C349" s="2309">
        <f t="shared" ref="C349:C369" si="65">C324</f>
        <v>46326</v>
      </c>
      <c r="D349" s="2273">
        <f>E349</f>
        <v>-98800</v>
      </c>
      <c r="E349" s="2273">
        <f t="shared" ref="E349:G369" si="66">E247+E273+E298+E324</f>
        <v>-98800</v>
      </c>
      <c r="F349" s="2273">
        <f t="shared" si="66"/>
        <v>0</v>
      </c>
      <c r="G349" s="2273">
        <f t="shared" si="66"/>
        <v>0</v>
      </c>
      <c r="H349" s="2310"/>
      <c r="I349" s="2310"/>
      <c r="L349" s="2268">
        <f t="shared" ref="L349:L369" si="67">SUM(E349:F349)</f>
        <v>-98800</v>
      </c>
      <c r="M349" s="2268">
        <f t="shared" ref="M349:M369" si="68">SUM(E349:G349)</f>
        <v>-98800</v>
      </c>
    </row>
    <row r="350" spans="1:13" ht="12.75" thickBot="1">
      <c r="B350" s="2311">
        <v>1</v>
      </c>
      <c r="C350" s="2309">
        <f t="shared" si="65"/>
        <v>46507</v>
      </c>
      <c r="D350" s="2273">
        <f t="shared" ref="D350:D369" ca="1" si="69">SUM(E350:G350)</f>
        <v>3270</v>
      </c>
      <c r="E350" s="2273">
        <f t="shared" si="66"/>
        <v>0</v>
      </c>
      <c r="F350" s="2273">
        <f t="shared" ca="1" si="66"/>
        <v>3270</v>
      </c>
      <c r="G350" s="2273">
        <f t="shared" si="66"/>
        <v>0</v>
      </c>
      <c r="H350" s="2420">
        <f t="shared" ref="H350:H370" ca="1" si="70">F350/J350*2</f>
        <v>6.6194331983805671E-2</v>
      </c>
      <c r="I350" s="2420"/>
      <c r="J350" s="2268">
        <f>-E349</f>
        <v>98800</v>
      </c>
      <c r="L350" s="2268">
        <f t="shared" ca="1" si="67"/>
        <v>3270</v>
      </c>
      <c r="M350" s="2268">
        <f t="shared" ca="1" si="68"/>
        <v>3270</v>
      </c>
    </row>
    <row r="351" spans="1:13" ht="12.75" thickBot="1">
      <c r="B351" s="2311">
        <v>2</v>
      </c>
      <c r="C351" s="2309">
        <f t="shared" si="65"/>
        <v>46691</v>
      </c>
      <c r="D351" s="2273">
        <f t="shared" ca="1" si="69"/>
        <v>3270</v>
      </c>
      <c r="E351" s="2273">
        <f t="shared" si="66"/>
        <v>0</v>
      </c>
      <c r="F351" s="2273">
        <f t="shared" ca="1" si="66"/>
        <v>3270</v>
      </c>
      <c r="G351" s="2273">
        <f t="shared" si="66"/>
        <v>0</v>
      </c>
      <c r="H351" s="2420">
        <f t="shared" ca="1" si="70"/>
        <v>6.6194331983805671E-2</v>
      </c>
      <c r="I351" s="2420"/>
      <c r="J351" s="2268">
        <f t="shared" ref="J351:J369" si="71">J350-E350</f>
        <v>98800</v>
      </c>
      <c r="L351" s="2268">
        <f t="shared" ca="1" si="67"/>
        <v>3270</v>
      </c>
      <c r="M351" s="2268">
        <f t="shared" ca="1" si="68"/>
        <v>3270</v>
      </c>
    </row>
    <row r="352" spans="1:13" ht="12.75" thickBot="1">
      <c r="B352" s="2311">
        <v>3</v>
      </c>
      <c r="C352" s="2309">
        <f t="shared" si="65"/>
        <v>46873</v>
      </c>
      <c r="D352" s="2273">
        <f t="shared" ca="1" si="69"/>
        <v>2715</v>
      </c>
      <c r="E352" s="2273">
        <f t="shared" si="66"/>
        <v>0</v>
      </c>
      <c r="F352" s="2273">
        <f t="shared" ca="1" si="66"/>
        <v>2715</v>
      </c>
      <c r="G352" s="2273">
        <f t="shared" si="66"/>
        <v>0</v>
      </c>
      <c r="H352" s="2420">
        <f t="shared" ca="1" si="70"/>
        <v>5.4959514170040483E-2</v>
      </c>
      <c r="I352" s="2420"/>
      <c r="J352" s="2268">
        <f t="shared" si="71"/>
        <v>98800</v>
      </c>
      <c r="L352" s="2268">
        <f t="shared" ca="1" si="67"/>
        <v>2715</v>
      </c>
      <c r="M352" s="2268">
        <f t="shared" ca="1" si="68"/>
        <v>2715</v>
      </c>
    </row>
    <row r="353" spans="2:13" ht="12.75" thickBot="1">
      <c r="B353" s="2311">
        <v>4</v>
      </c>
      <c r="C353" s="2309">
        <f t="shared" si="65"/>
        <v>47057</v>
      </c>
      <c r="D353" s="2273">
        <f t="shared" ca="1" si="69"/>
        <v>12715</v>
      </c>
      <c r="E353" s="2273">
        <f t="shared" si="66"/>
        <v>10000</v>
      </c>
      <c r="F353" s="2273">
        <f t="shared" ca="1" si="66"/>
        <v>2715</v>
      </c>
      <c r="G353" s="2273">
        <f t="shared" si="66"/>
        <v>0</v>
      </c>
      <c r="H353" s="2420">
        <f t="shared" ca="1" si="70"/>
        <v>5.4959514170040483E-2</v>
      </c>
      <c r="I353" s="2420"/>
      <c r="J353" s="2268">
        <f t="shared" si="71"/>
        <v>98800</v>
      </c>
      <c r="L353" s="2268">
        <f t="shared" ca="1" si="67"/>
        <v>12715</v>
      </c>
      <c r="M353" s="2268">
        <f t="shared" ca="1" si="68"/>
        <v>12715</v>
      </c>
    </row>
    <row r="354" spans="2:13" ht="12.75" thickBot="1">
      <c r="B354" s="2311">
        <v>5</v>
      </c>
      <c r="C354" s="2309">
        <f t="shared" si="65"/>
        <v>47238</v>
      </c>
      <c r="D354" s="2273">
        <f t="shared" ca="1" si="69"/>
        <v>2715</v>
      </c>
      <c r="E354" s="2273">
        <f t="shared" si="66"/>
        <v>0</v>
      </c>
      <c r="F354" s="2273">
        <f t="shared" ca="1" si="66"/>
        <v>2715</v>
      </c>
      <c r="G354" s="2273">
        <f t="shared" si="66"/>
        <v>0</v>
      </c>
      <c r="H354" s="2420">
        <f t="shared" ca="1" si="70"/>
        <v>6.1148648648648649E-2</v>
      </c>
      <c r="I354" s="2420"/>
      <c r="J354" s="2268">
        <f t="shared" si="71"/>
        <v>88800</v>
      </c>
      <c r="L354" s="2268">
        <f t="shared" ca="1" si="67"/>
        <v>2715</v>
      </c>
      <c r="M354" s="2268">
        <f t="shared" ca="1" si="68"/>
        <v>2715</v>
      </c>
    </row>
    <row r="355" spans="2:13" ht="12.75" thickBot="1">
      <c r="B355" s="2311">
        <v>6</v>
      </c>
      <c r="C355" s="2309">
        <f t="shared" si="65"/>
        <v>47422</v>
      </c>
      <c r="D355" s="2273">
        <f t="shared" ca="1" si="69"/>
        <v>2715</v>
      </c>
      <c r="E355" s="2273">
        <f t="shared" si="66"/>
        <v>0</v>
      </c>
      <c r="F355" s="2273">
        <f t="shared" ca="1" si="66"/>
        <v>2715</v>
      </c>
      <c r="G355" s="2273">
        <f t="shared" si="66"/>
        <v>0</v>
      </c>
      <c r="H355" s="2420">
        <f t="shared" ca="1" si="70"/>
        <v>6.1148648648648649E-2</v>
      </c>
      <c r="I355" s="2420"/>
      <c r="J355" s="2268">
        <f t="shared" si="71"/>
        <v>88800</v>
      </c>
      <c r="L355" s="2268">
        <f t="shared" ca="1" si="67"/>
        <v>2715</v>
      </c>
      <c r="M355" s="2268">
        <f t="shared" ca="1" si="68"/>
        <v>2715</v>
      </c>
    </row>
    <row r="356" spans="2:13" ht="12.75" thickBot="1">
      <c r="B356" s="2311">
        <v>7</v>
      </c>
      <c r="C356" s="2309">
        <f t="shared" si="65"/>
        <v>47603</v>
      </c>
      <c r="D356" s="2273">
        <f t="shared" ca="1" si="69"/>
        <v>2602.472012941269</v>
      </c>
      <c r="E356" s="2273">
        <f t="shared" si="66"/>
        <v>0</v>
      </c>
      <c r="F356" s="2273">
        <f t="shared" ca="1" si="66"/>
        <v>2602.472012941269</v>
      </c>
      <c r="G356" s="2273">
        <f t="shared" si="66"/>
        <v>0</v>
      </c>
      <c r="H356" s="2420">
        <f t="shared" ca="1" si="70"/>
        <v>5.8614234525704259E-2</v>
      </c>
      <c r="I356" s="2420"/>
      <c r="J356" s="2268">
        <f t="shared" si="71"/>
        <v>88800</v>
      </c>
      <c r="L356" s="2268">
        <f t="shared" ca="1" si="67"/>
        <v>2602.472012941269</v>
      </c>
      <c r="M356" s="2268">
        <f t="shared" ca="1" si="68"/>
        <v>2602.472012941269</v>
      </c>
    </row>
    <row r="357" spans="2:13" ht="12.75" thickBot="1">
      <c r="B357" s="2311">
        <v>8</v>
      </c>
      <c r="C357" s="2309">
        <f t="shared" si="65"/>
        <v>47787</v>
      </c>
      <c r="D357" s="2273">
        <f t="shared" ca="1" si="69"/>
        <v>2353.2919989280108</v>
      </c>
      <c r="E357" s="2273">
        <f t="shared" si="66"/>
        <v>0</v>
      </c>
      <c r="F357" s="2273">
        <f t="shared" ca="1" si="66"/>
        <v>2353.2919989280108</v>
      </c>
      <c r="G357" s="2273">
        <f t="shared" si="66"/>
        <v>0</v>
      </c>
      <c r="H357" s="2420">
        <f t="shared" ca="1" si="70"/>
        <v>5.3002072047928173E-2</v>
      </c>
      <c r="I357" s="2420"/>
      <c r="J357" s="2268">
        <f t="shared" si="71"/>
        <v>88800</v>
      </c>
      <c r="L357" s="2268">
        <f t="shared" ca="1" si="67"/>
        <v>2353.2919989280108</v>
      </c>
      <c r="M357" s="2268">
        <f t="shared" ca="1" si="68"/>
        <v>2353.2919989280108</v>
      </c>
    </row>
    <row r="358" spans="2:13" ht="12.75" thickBot="1">
      <c r="B358" s="2311">
        <v>9</v>
      </c>
      <c r="C358" s="2309">
        <f t="shared" si="65"/>
        <v>47968</v>
      </c>
      <c r="D358" s="2273">
        <f t="shared" ca="1" si="69"/>
        <v>2105.5414966859475</v>
      </c>
      <c r="E358" s="2273">
        <f t="shared" si="66"/>
        <v>0</v>
      </c>
      <c r="F358" s="2273">
        <f t="shared" ca="1" si="66"/>
        <v>2105.5414966859475</v>
      </c>
      <c r="G358" s="2273">
        <f t="shared" si="66"/>
        <v>0</v>
      </c>
      <c r="H358" s="2420">
        <f t="shared" ca="1" si="70"/>
        <v>4.7422105781215036E-2</v>
      </c>
      <c r="I358" s="2420"/>
      <c r="J358" s="2268">
        <f t="shared" si="71"/>
        <v>88800</v>
      </c>
      <c r="L358" s="2268">
        <f t="shared" ca="1" si="67"/>
        <v>2105.5414966859475</v>
      </c>
      <c r="M358" s="2268">
        <f t="shared" ca="1" si="68"/>
        <v>2105.5414966859475</v>
      </c>
    </row>
    <row r="359" spans="2:13" ht="12.75" thickBot="1">
      <c r="B359" s="2311">
        <v>10</v>
      </c>
      <c r="C359" s="2309">
        <f t="shared" si="65"/>
        <v>48152</v>
      </c>
      <c r="D359" s="2273">
        <f t="shared" ca="1" si="69"/>
        <v>2562.4784355854395</v>
      </c>
      <c r="E359" s="2273">
        <f t="shared" si="66"/>
        <v>0</v>
      </c>
      <c r="F359" s="2273">
        <f t="shared" ca="1" si="66"/>
        <v>2562.4784355854395</v>
      </c>
      <c r="G359" s="2273">
        <f t="shared" si="66"/>
        <v>0</v>
      </c>
      <c r="H359" s="2420">
        <f t="shared" ca="1" si="70"/>
        <v>5.771347827895134E-2</v>
      </c>
      <c r="I359" s="2420"/>
      <c r="J359" s="2268">
        <f t="shared" si="71"/>
        <v>88800</v>
      </c>
      <c r="L359" s="2268">
        <f t="shared" ca="1" si="67"/>
        <v>2562.4784355854395</v>
      </c>
      <c r="M359" s="2268">
        <f t="shared" ca="1" si="68"/>
        <v>2562.4784355854395</v>
      </c>
    </row>
    <row r="360" spans="2:13" ht="12.75" thickBot="1">
      <c r="B360" s="2311">
        <v>11</v>
      </c>
      <c r="C360" s="2309">
        <f t="shared" si="65"/>
        <v>48334</v>
      </c>
      <c r="D360" s="2273">
        <f t="shared" ca="1" si="69"/>
        <v>2645.6477403300546</v>
      </c>
      <c r="E360" s="2273">
        <f t="shared" si="66"/>
        <v>0</v>
      </c>
      <c r="F360" s="2273">
        <f t="shared" ca="1" si="66"/>
        <v>2645.6477403300546</v>
      </c>
      <c r="G360" s="2273">
        <f t="shared" si="66"/>
        <v>0</v>
      </c>
      <c r="H360" s="2420">
        <f t="shared" ca="1" si="70"/>
        <v>5.9586660818244472E-2</v>
      </c>
      <c r="I360" s="2420"/>
      <c r="J360" s="2268">
        <f t="shared" si="71"/>
        <v>88800</v>
      </c>
      <c r="L360" s="2268">
        <f t="shared" ca="1" si="67"/>
        <v>2645.6477403300546</v>
      </c>
      <c r="M360" s="2268">
        <f t="shared" ca="1" si="68"/>
        <v>2645.6477403300546</v>
      </c>
    </row>
    <row r="361" spans="2:13" ht="12.75" thickBot="1">
      <c r="B361" s="2612">
        <v>12</v>
      </c>
      <c r="C361" s="2613">
        <f t="shared" si="65"/>
        <v>48518</v>
      </c>
      <c r="D361" s="2614">
        <f t="shared" ca="1" si="69"/>
        <v>3098.497346219398</v>
      </c>
      <c r="E361" s="2614">
        <f t="shared" si="66"/>
        <v>0</v>
      </c>
      <c r="F361" s="2614">
        <f t="shared" ca="1" si="66"/>
        <v>3098.497346219398</v>
      </c>
      <c r="G361" s="2614">
        <f t="shared" si="66"/>
        <v>0</v>
      </c>
      <c r="H361" s="2615">
        <f t="shared" ca="1" si="70"/>
        <v>6.9785976266202657E-2</v>
      </c>
      <c r="I361" s="2615"/>
      <c r="J361" s="2268">
        <f t="shared" si="71"/>
        <v>88800</v>
      </c>
      <c r="L361" s="2268">
        <f t="shared" ca="1" si="67"/>
        <v>3098.497346219398</v>
      </c>
      <c r="M361" s="2268">
        <f t="shared" ca="1" si="68"/>
        <v>3098.497346219398</v>
      </c>
    </row>
    <row r="362" spans="2:13" ht="12.75" thickBot="1">
      <c r="B362" s="2612">
        <v>13</v>
      </c>
      <c r="C362" s="2613">
        <f t="shared" si="65"/>
        <v>48699</v>
      </c>
      <c r="D362" s="2614">
        <f t="shared" ca="1" si="69"/>
        <v>2871.2131788212532</v>
      </c>
      <c r="E362" s="2614">
        <f t="shared" si="66"/>
        <v>0</v>
      </c>
      <c r="F362" s="2614">
        <f t="shared" ca="1" si="66"/>
        <v>2871.2131788212532</v>
      </c>
      <c r="G362" s="2614">
        <f t="shared" si="66"/>
        <v>0</v>
      </c>
      <c r="H362" s="2615">
        <f t="shared" ca="1" si="70"/>
        <v>6.4666963486965157E-2</v>
      </c>
      <c r="I362" s="2615"/>
      <c r="J362" s="2268">
        <f t="shared" si="71"/>
        <v>88800</v>
      </c>
      <c r="L362" s="2268">
        <f t="shared" ca="1" si="67"/>
        <v>2871.2131788212532</v>
      </c>
      <c r="M362" s="2268">
        <f t="shared" ca="1" si="68"/>
        <v>2871.2131788212532</v>
      </c>
    </row>
    <row r="363" spans="2:13" ht="12.75" thickBot="1">
      <c r="B363" s="2612">
        <v>14</v>
      </c>
      <c r="C363" s="2613">
        <f t="shared" si="65"/>
        <v>48883</v>
      </c>
      <c r="D363" s="2614">
        <f t="shared" ca="1" si="69"/>
        <v>3320.2746567853596</v>
      </c>
      <c r="E363" s="2614">
        <f t="shared" si="66"/>
        <v>0</v>
      </c>
      <c r="F363" s="2614">
        <f t="shared" ca="1" si="66"/>
        <v>3320.2746567853596</v>
      </c>
      <c r="G363" s="2614">
        <f t="shared" si="66"/>
        <v>0</v>
      </c>
      <c r="H363" s="2615">
        <f t="shared" ca="1" si="70"/>
        <v>7.4780960738408994E-2</v>
      </c>
      <c r="I363" s="2615"/>
      <c r="J363" s="2268">
        <f t="shared" si="71"/>
        <v>88800</v>
      </c>
      <c r="L363" s="2268">
        <f t="shared" ca="1" si="67"/>
        <v>3320.2746567853596</v>
      </c>
      <c r="M363" s="2268">
        <f t="shared" ca="1" si="68"/>
        <v>3320.2746567853596</v>
      </c>
    </row>
    <row r="364" spans="2:13" ht="12.75" thickBot="1">
      <c r="B364" s="2612">
        <v>15</v>
      </c>
      <c r="C364" s="2613">
        <f t="shared" si="65"/>
        <v>49064</v>
      </c>
      <c r="D364" s="2614">
        <f t="shared" ca="1" si="69"/>
        <v>2875.5831337032691</v>
      </c>
      <c r="E364" s="2614">
        <f t="shared" si="66"/>
        <v>0</v>
      </c>
      <c r="F364" s="2614">
        <f t="shared" ca="1" si="66"/>
        <v>2875.5831337032691</v>
      </c>
      <c r="G364" s="2614">
        <f t="shared" si="66"/>
        <v>0</v>
      </c>
      <c r="H364" s="2615">
        <f t="shared" ca="1" si="70"/>
        <v>6.4765385894217778E-2</v>
      </c>
      <c r="I364" s="2615"/>
      <c r="J364" s="2268">
        <f t="shared" si="71"/>
        <v>88800</v>
      </c>
      <c r="L364" s="2268">
        <f t="shared" ca="1" si="67"/>
        <v>2875.5831337032691</v>
      </c>
      <c r="M364" s="2268">
        <f t="shared" ca="1" si="68"/>
        <v>2875.5831337032691</v>
      </c>
    </row>
    <row r="365" spans="2:13" ht="12.75" thickBot="1">
      <c r="B365" s="2612">
        <v>16</v>
      </c>
      <c r="C365" s="2613">
        <f t="shared" si="65"/>
        <v>49248</v>
      </c>
      <c r="D365" s="2614">
        <f t="shared" ca="1" si="69"/>
        <v>2715</v>
      </c>
      <c r="E365" s="2614">
        <f t="shared" si="66"/>
        <v>0</v>
      </c>
      <c r="F365" s="2614">
        <f t="shared" ca="1" si="66"/>
        <v>2715</v>
      </c>
      <c r="G365" s="2614">
        <f t="shared" si="66"/>
        <v>0</v>
      </c>
      <c r="H365" s="2615">
        <f t="shared" ca="1" si="70"/>
        <v>6.1148648648648649E-2</v>
      </c>
      <c r="I365" s="2615"/>
      <c r="J365" s="2268">
        <f t="shared" si="71"/>
        <v>88800</v>
      </c>
      <c r="L365" s="2268">
        <f t="shared" ca="1" si="67"/>
        <v>2715</v>
      </c>
      <c r="M365" s="2268">
        <f t="shared" ca="1" si="68"/>
        <v>2715</v>
      </c>
    </row>
    <row r="366" spans="2:13" ht="12.75" thickBot="1">
      <c r="B366" s="2612">
        <v>17</v>
      </c>
      <c r="C366" s="2613">
        <f t="shared" si="65"/>
        <v>49429</v>
      </c>
      <c r="D366" s="2614">
        <f t="shared" ca="1" si="69"/>
        <v>2715</v>
      </c>
      <c r="E366" s="2614">
        <f t="shared" si="66"/>
        <v>0</v>
      </c>
      <c r="F366" s="2614">
        <f t="shared" ca="1" si="66"/>
        <v>2715</v>
      </c>
      <c r="G366" s="2614">
        <f t="shared" si="66"/>
        <v>0</v>
      </c>
      <c r="H366" s="2615">
        <f t="shared" ca="1" si="70"/>
        <v>6.1148648648648649E-2</v>
      </c>
      <c r="I366" s="2615"/>
      <c r="J366" s="2268">
        <f t="shared" si="71"/>
        <v>88800</v>
      </c>
      <c r="L366" s="2268">
        <f t="shared" ca="1" si="67"/>
        <v>2715</v>
      </c>
      <c r="M366" s="2268">
        <f t="shared" ca="1" si="68"/>
        <v>2715</v>
      </c>
    </row>
    <row r="367" spans="2:13" ht="12.75" thickBot="1">
      <c r="B367" s="2612">
        <v>18</v>
      </c>
      <c r="C367" s="2613">
        <f t="shared" si="65"/>
        <v>49613</v>
      </c>
      <c r="D367" s="2614">
        <f t="shared" ca="1" si="69"/>
        <v>2715</v>
      </c>
      <c r="E367" s="2614">
        <f t="shared" si="66"/>
        <v>0</v>
      </c>
      <c r="F367" s="2614">
        <f t="shared" ca="1" si="66"/>
        <v>2715</v>
      </c>
      <c r="G367" s="2614">
        <f t="shared" si="66"/>
        <v>0</v>
      </c>
      <c r="H367" s="2615">
        <f t="shared" ca="1" si="70"/>
        <v>6.1148648648648649E-2</v>
      </c>
      <c r="I367" s="2615"/>
      <c r="J367" s="2268">
        <f t="shared" si="71"/>
        <v>88800</v>
      </c>
      <c r="L367" s="2268">
        <f t="shared" ca="1" si="67"/>
        <v>2715</v>
      </c>
      <c r="M367" s="2268">
        <f t="shared" ca="1" si="68"/>
        <v>2715</v>
      </c>
    </row>
    <row r="368" spans="2:13" ht="12.75" thickBot="1">
      <c r="B368" s="2612">
        <v>19</v>
      </c>
      <c r="C368" s="2613">
        <f t="shared" si="65"/>
        <v>49795</v>
      </c>
      <c r="D368" s="2614">
        <f t="shared" ca="1" si="69"/>
        <v>2715</v>
      </c>
      <c r="E368" s="2614">
        <f t="shared" si="66"/>
        <v>0</v>
      </c>
      <c r="F368" s="2614">
        <f t="shared" ca="1" si="66"/>
        <v>2715</v>
      </c>
      <c r="G368" s="2614">
        <f t="shared" si="66"/>
        <v>0</v>
      </c>
      <c r="H368" s="2615">
        <f t="shared" ca="1" si="70"/>
        <v>6.1148648648648649E-2</v>
      </c>
      <c r="I368" s="2615"/>
      <c r="J368" s="2268">
        <f t="shared" si="71"/>
        <v>88800</v>
      </c>
      <c r="L368" s="2268">
        <f t="shared" ca="1" si="67"/>
        <v>2715</v>
      </c>
      <c r="M368" s="2268">
        <f t="shared" ca="1" si="68"/>
        <v>2715</v>
      </c>
    </row>
    <row r="369" spans="1:20" ht="12.75" thickBot="1">
      <c r="B369" s="2612">
        <v>20</v>
      </c>
      <c r="C369" s="2613">
        <f t="shared" si="65"/>
        <v>49979</v>
      </c>
      <c r="D369" s="2614">
        <f t="shared" ca="1" si="69"/>
        <v>150353.06668783468</v>
      </c>
      <c r="E369" s="2614">
        <f t="shared" si="66"/>
        <v>88800</v>
      </c>
      <c r="F369" s="2614">
        <f t="shared" ca="1" si="66"/>
        <v>2715</v>
      </c>
      <c r="G369" s="2614">
        <f t="shared" si="66"/>
        <v>58838.066687834667</v>
      </c>
      <c r="H369" s="2615">
        <f t="shared" ca="1" si="70"/>
        <v>6.1148648648648649E-2</v>
      </c>
      <c r="I369" s="2615"/>
      <c r="J369" s="2268">
        <f t="shared" si="71"/>
        <v>88800</v>
      </c>
      <c r="L369" s="2268">
        <f t="shared" ca="1" si="67"/>
        <v>91515</v>
      </c>
      <c r="M369" s="2268">
        <f t="shared" ca="1" si="68"/>
        <v>150353.06668783468</v>
      </c>
    </row>
    <row r="370" spans="1:20" ht="12.75" thickBot="1">
      <c r="B370" s="3076" t="s">
        <v>1472</v>
      </c>
      <c r="C370" s="3077"/>
      <c r="D370" s="2277">
        <f ca="1">SUM(D349:D369)</f>
        <v>114248.06668783468</v>
      </c>
      <c r="E370" s="2277">
        <f>SUM(E349:E369)</f>
        <v>0</v>
      </c>
      <c r="F370" s="2277">
        <f ca="1">SUM(F349:F369)</f>
        <v>55410.000000000007</v>
      </c>
      <c r="G370" s="2277">
        <f>SUM(G349:G369)</f>
        <v>58838.066687834667</v>
      </c>
      <c r="H370" s="2307">
        <f t="shared" ca="1" si="70"/>
        <v>6.1024229074889878E-2</v>
      </c>
      <c r="I370" s="2307">
        <f ca="1">SUM(F370,G370)/J370*2</f>
        <v>0.12582386199100737</v>
      </c>
      <c r="J370" s="2268">
        <f>SUM(J350:J369)</f>
        <v>1816000</v>
      </c>
      <c r="L370" s="2466">
        <f ca="1">XIRR(L349:L369,C349:C369)</f>
        <v>6.172725856304169E-2</v>
      </c>
      <c r="M370" s="2466">
        <f ca="1">XIRR(M349:M369,C349:C369)</f>
        <v>0.10206454396247863</v>
      </c>
    </row>
    <row r="371" spans="1:20">
      <c r="D371" s="2468">
        <f ca="1">D370/J369+1</f>
        <v>2.286577327565706</v>
      </c>
    </row>
    <row r="373" spans="1:20" ht="12.75" thickBot="1">
      <c r="A373" s="2232" t="s">
        <v>1650</v>
      </c>
      <c r="L373" s="2232" t="s">
        <v>1649</v>
      </c>
      <c r="M373" s="2470">
        <v>2.1999999999999999E-2</v>
      </c>
    </row>
    <row r="374" spans="1:20" ht="12.75" thickBot="1">
      <c r="B374" s="3078" t="str">
        <f>B323</f>
        <v>구분</v>
      </c>
      <c r="C374" s="3079"/>
      <c r="D374" s="2270" t="str">
        <f>D323</f>
        <v>현금의 변동</v>
      </c>
      <c r="E374" s="2270" t="str">
        <f>E323</f>
        <v>투자금 납입/상환</v>
      </c>
      <c r="F374" s="2270" t="str">
        <f>F323</f>
        <v>운영배당수입</v>
      </c>
      <c r="G374" s="2313" t="str">
        <f>G323</f>
        <v>청산배당수입</v>
      </c>
      <c r="H374" s="2261" t="s">
        <v>1470</v>
      </c>
      <c r="I374" s="2261" t="s">
        <v>1645</v>
      </c>
      <c r="L374" s="2465" t="s">
        <v>1646</v>
      </c>
      <c r="M374" s="2465" t="s">
        <v>1647</v>
      </c>
      <c r="P374" s="2464" t="s">
        <v>1643</v>
      </c>
    </row>
    <row r="375" spans="1:20" ht="12.75" thickBot="1">
      <c r="B375" s="2308" t="s">
        <v>1471</v>
      </c>
      <c r="C375" s="2309">
        <f>C349</f>
        <v>46326</v>
      </c>
      <c r="D375" s="2273">
        <f t="shared" ref="D375:D395" si="72">SUM(E375:G375)</f>
        <v>-14800</v>
      </c>
      <c r="E375" s="2273">
        <f t="shared" ref="E375:F377" si="73">E324</f>
        <v>-14800</v>
      </c>
      <c r="F375" s="2273">
        <f t="shared" si="73"/>
        <v>0</v>
      </c>
      <c r="G375" s="2273">
        <f t="shared" ref="G375" si="74">G324</f>
        <v>0</v>
      </c>
      <c r="H375" s="2310"/>
      <c r="I375" s="2310"/>
      <c r="L375" s="2268">
        <f t="shared" ref="L375:L395" si="75">SUM(E375:F375)</f>
        <v>-14800</v>
      </c>
      <c r="M375" s="2268">
        <f t="shared" ref="M375:M395" si="76">SUM(E375:G375)</f>
        <v>-14800</v>
      </c>
      <c r="P375" s="2464" t="s">
        <v>1642</v>
      </c>
      <c r="Q375" s="2268">
        <f ca="1">SUMIFS('Sell-down'!$58:$58,'Sell-down'!$5:$5,'Report-sj'!C375)/1000</f>
        <v>-30880</v>
      </c>
      <c r="R375" s="2268">
        <f ca="1">Q375-L375</f>
        <v>-16080</v>
      </c>
      <c r="S375" s="2268">
        <f ca="1">SUMIFS('Sell-down'!$59:$59,'Sell-down'!$5:$5,'Report-sj'!C375)/1000</f>
        <v>-30880</v>
      </c>
      <c r="T375" s="2268">
        <f ca="1">M375-S375</f>
        <v>16080</v>
      </c>
    </row>
    <row r="376" spans="1:20" ht="12.75" thickBot="1">
      <c r="B376" s="2311">
        <v>1</v>
      </c>
      <c r="C376" s="2309">
        <f t="shared" ref="C376:C395" si="77">C350</f>
        <v>46507</v>
      </c>
      <c r="D376" s="2273">
        <f t="shared" ca="1" si="72"/>
        <v>555</v>
      </c>
      <c r="E376" s="2273">
        <f t="shared" si="73"/>
        <v>0</v>
      </c>
      <c r="F376" s="2273">
        <f t="shared" ca="1" si="73"/>
        <v>555</v>
      </c>
      <c r="G376" s="2273">
        <f t="shared" ref="G376" si="78">G325</f>
        <v>0</v>
      </c>
      <c r="H376" s="2420">
        <f t="shared" ref="H376:H396" ca="1" si="79">F376/J376*2</f>
        <v>7.4999999999999997E-2</v>
      </c>
      <c r="I376" s="2420"/>
      <c r="J376" s="2268">
        <f>-E375</f>
        <v>14800</v>
      </c>
      <c r="L376" s="2268">
        <f t="shared" ca="1" si="75"/>
        <v>555</v>
      </c>
      <c r="M376" s="2268">
        <f t="shared" ca="1" si="76"/>
        <v>555</v>
      </c>
      <c r="Q376" s="2268">
        <f ca="1">SUMIFS('Sell-down'!$58:$58,'Sell-down'!$5:$5,'Report-sj'!C376)/1000</f>
        <v>1155</v>
      </c>
      <c r="R376" s="2268">
        <f t="shared" ref="R376:R395" ca="1" si="80">Q376-L376</f>
        <v>600</v>
      </c>
      <c r="S376" s="2268">
        <f ca="1">SUMIFS('Sell-down'!$59:$59,'Sell-down'!$5:$5,'Report-sj'!C376)/1000</f>
        <v>1155</v>
      </c>
      <c r="T376" s="2268">
        <f t="shared" ref="T376:T395" ca="1" si="81">M376-S376</f>
        <v>-600</v>
      </c>
    </row>
    <row r="377" spans="1:20" ht="12.75" thickBot="1">
      <c r="B377" s="2311">
        <v>2</v>
      </c>
      <c r="C377" s="2309">
        <f t="shared" si="77"/>
        <v>46691</v>
      </c>
      <c r="D377" s="2273">
        <f t="shared" ca="1" si="72"/>
        <v>-50545</v>
      </c>
      <c r="E377" s="2273">
        <f>E326+N377+O377</f>
        <v>-51100</v>
      </c>
      <c r="F377" s="2273">
        <f t="shared" ca="1" si="73"/>
        <v>555</v>
      </c>
      <c r="G377" s="2273">
        <f t="shared" ref="G377" si="82">G326</f>
        <v>0</v>
      </c>
      <c r="H377" s="2420">
        <f t="shared" ca="1" si="79"/>
        <v>7.4999999999999997E-2</v>
      </c>
      <c r="I377" s="2420"/>
      <c r="J377" s="2268">
        <f t="shared" ref="J377:J395" si="83">J376-E376</f>
        <v>14800</v>
      </c>
      <c r="L377" s="2268">
        <f t="shared" ca="1" si="75"/>
        <v>-50545</v>
      </c>
      <c r="M377" s="2268">
        <f t="shared" ca="1" si="76"/>
        <v>-50545</v>
      </c>
      <c r="N377" s="2268">
        <f>E273</f>
        <v>-50000</v>
      </c>
      <c r="O377" s="2268">
        <f>N377*$M$373</f>
        <v>-1100</v>
      </c>
      <c r="Q377" s="2268">
        <f ca="1">SUMIFS('Sell-down'!$58:$58,'Sell-down'!$5:$5,'Report-sj'!C377)/1000</f>
        <v>-33246.023423423423</v>
      </c>
      <c r="R377" s="2268">
        <f t="shared" ca="1" si="80"/>
        <v>17298.976576576577</v>
      </c>
      <c r="S377" s="2268">
        <f ca="1">SUMIFS('Sell-down'!$59:$59,'Sell-down'!$5:$5,'Report-sj'!C377)/1000</f>
        <v>-33246.023423423423</v>
      </c>
      <c r="T377" s="2268">
        <f t="shared" ca="1" si="81"/>
        <v>-17298.976576576577</v>
      </c>
    </row>
    <row r="378" spans="1:20" ht="12.75" thickBot="1">
      <c r="B378" s="2311">
        <v>3</v>
      </c>
      <c r="C378" s="2309">
        <f t="shared" si="77"/>
        <v>46873</v>
      </c>
      <c r="D378" s="2273">
        <f t="shared" ca="1" si="72"/>
        <v>1875</v>
      </c>
      <c r="E378" s="2273">
        <f>E327+E276</f>
        <v>0</v>
      </c>
      <c r="F378" s="2273">
        <f ca="1">F276+F327</f>
        <v>1875</v>
      </c>
      <c r="G378" s="2273">
        <f>G276+G327</f>
        <v>0</v>
      </c>
      <c r="H378" s="2420">
        <f t="shared" ca="1" si="79"/>
        <v>5.6904400606980272E-2</v>
      </c>
      <c r="I378" s="2420"/>
      <c r="J378" s="2268">
        <f t="shared" si="83"/>
        <v>65900</v>
      </c>
      <c r="L378" s="2268">
        <f t="shared" ca="1" si="75"/>
        <v>1875</v>
      </c>
      <c r="M378" s="2268">
        <f t="shared" ca="1" si="76"/>
        <v>1875</v>
      </c>
      <c r="O378" s="2268"/>
      <c r="Q378" s="2268">
        <f ca="1">SUMIFS('Sell-down'!$58:$58,'Sell-down'!$5:$5,'Report-sj'!C378)/1000</f>
        <v>1875</v>
      </c>
      <c r="R378" s="2268">
        <f t="shared" ca="1" si="80"/>
        <v>0</v>
      </c>
      <c r="S378" s="2268">
        <f ca="1">SUMIFS('Sell-down'!$59:$59,'Sell-down'!$5:$5,'Report-sj'!C378)/1000</f>
        <v>1875</v>
      </c>
      <c r="T378" s="2268">
        <f t="shared" ca="1" si="81"/>
        <v>0</v>
      </c>
    </row>
    <row r="379" spans="1:20" ht="12.75" thickBot="1">
      <c r="B379" s="2311">
        <v>4</v>
      </c>
      <c r="C379" s="2309">
        <f t="shared" si="77"/>
        <v>47057</v>
      </c>
      <c r="D379" s="2273">
        <f t="shared" ca="1" si="72"/>
        <v>-22653</v>
      </c>
      <c r="E379" s="2273">
        <f>E328+E277+N379+O379</f>
        <v>-24528</v>
      </c>
      <c r="F379" s="2273">
        <f ca="1">F277+F328</f>
        <v>1875</v>
      </c>
      <c r="G379" s="2273">
        <f>G277+G328</f>
        <v>0</v>
      </c>
      <c r="H379" s="2420">
        <f t="shared" ca="1" si="79"/>
        <v>5.6904400606980272E-2</v>
      </c>
      <c r="I379" s="2420"/>
      <c r="J379" s="2268">
        <f t="shared" si="83"/>
        <v>65900</v>
      </c>
      <c r="L379" s="2268">
        <f t="shared" ca="1" si="75"/>
        <v>-22653</v>
      </c>
      <c r="M379" s="2268">
        <f t="shared" ca="1" si="76"/>
        <v>-22653</v>
      </c>
      <c r="N379" s="2268">
        <f>E247</f>
        <v>-24000</v>
      </c>
      <c r="O379" s="2268">
        <f>N379*$M$373</f>
        <v>-528</v>
      </c>
      <c r="Q379" s="2268">
        <f ca="1">SUMIFS('Sell-down'!$58:$58,'Sell-down'!$5:$5,'Report-sj'!C379)/1000</f>
        <v>-22485.036613272307</v>
      </c>
      <c r="R379" s="2268">
        <f t="shared" ca="1" si="80"/>
        <v>167.96338672769343</v>
      </c>
      <c r="S379" s="2268">
        <f ca="1">SUMIFS('Sell-down'!$59:$59,'Sell-down'!$5:$5,'Report-sj'!C379)/1000</f>
        <v>-22485.036613272307</v>
      </c>
      <c r="T379" s="2268">
        <f t="shared" ca="1" si="81"/>
        <v>-167.96338672769343</v>
      </c>
    </row>
    <row r="380" spans="1:20" ht="12.75" thickBot="1">
      <c r="B380" s="2311">
        <v>5</v>
      </c>
      <c r="C380" s="2309">
        <f t="shared" si="77"/>
        <v>47238</v>
      </c>
      <c r="D380" s="2273">
        <f t="shared" ca="1" si="72"/>
        <v>2715</v>
      </c>
      <c r="E380" s="2273">
        <f>E329+E278+E252</f>
        <v>0</v>
      </c>
      <c r="F380" s="2273">
        <f ca="1">F252+F278+F329</f>
        <v>2715</v>
      </c>
      <c r="G380" s="2273">
        <f>G252+G278+G329</f>
        <v>0</v>
      </c>
      <c r="H380" s="2420">
        <f t="shared" ca="1" si="79"/>
        <v>6.0047772813730263E-2</v>
      </c>
      <c r="I380" s="2420"/>
      <c r="J380" s="2268">
        <f t="shared" si="83"/>
        <v>90428</v>
      </c>
      <c r="L380" s="2268">
        <f t="shared" ca="1" si="75"/>
        <v>2715</v>
      </c>
      <c r="M380" s="2268">
        <f t="shared" ca="1" si="76"/>
        <v>2715</v>
      </c>
      <c r="Q380" s="2268">
        <f ca="1">SUMIFS('Sell-down'!$58:$58,'Sell-down'!$5:$5,'Report-sj'!C380)/1000</f>
        <v>2715</v>
      </c>
      <c r="R380" s="2268">
        <f t="shared" ca="1" si="80"/>
        <v>0</v>
      </c>
      <c r="S380" s="2268">
        <f ca="1">SUMIFS('Sell-down'!$59:$59,'Sell-down'!$5:$5,'Report-sj'!C380)/1000</f>
        <v>2715</v>
      </c>
      <c r="T380" s="2268">
        <f t="shared" ca="1" si="81"/>
        <v>0</v>
      </c>
    </row>
    <row r="381" spans="1:20" ht="12.75" thickBot="1">
      <c r="B381" s="2311">
        <v>6</v>
      </c>
      <c r="C381" s="2309">
        <f t="shared" si="77"/>
        <v>47422</v>
      </c>
      <c r="D381" s="2273">
        <f t="shared" ca="1" si="72"/>
        <v>2715</v>
      </c>
      <c r="E381" s="2273">
        <f t="shared" ref="E381:E394" si="84">E330+E279+E253</f>
        <v>0</v>
      </c>
      <c r="F381" s="2273">
        <f t="shared" ref="F381:G395" ca="1" si="85">F253+F279+F330</f>
        <v>2715</v>
      </c>
      <c r="G381" s="2273">
        <f t="shared" si="85"/>
        <v>0</v>
      </c>
      <c r="H381" s="2420">
        <f t="shared" ca="1" si="79"/>
        <v>6.0047772813730263E-2</v>
      </c>
      <c r="I381" s="2420"/>
      <c r="J381" s="2268">
        <f t="shared" si="83"/>
        <v>90428</v>
      </c>
      <c r="L381" s="2268">
        <f t="shared" ca="1" si="75"/>
        <v>2715</v>
      </c>
      <c r="M381" s="2268">
        <f t="shared" ca="1" si="76"/>
        <v>2715</v>
      </c>
      <c r="Q381" s="2268">
        <f ca="1">SUMIFS('Sell-down'!$58:$58,'Sell-down'!$5:$5,'Report-sj'!C381)/1000</f>
        <v>2715</v>
      </c>
      <c r="R381" s="2268">
        <f t="shared" ca="1" si="80"/>
        <v>0</v>
      </c>
      <c r="S381" s="2268">
        <f ca="1">SUMIFS('Sell-down'!$59:$59,'Sell-down'!$5:$5,'Report-sj'!C381)/1000</f>
        <v>2715</v>
      </c>
      <c r="T381" s="2268">
        <f t="shared" ca="1" si="81"/>
        <v>0</v>
      </c>
    </row>
    <row r="382" spans="1:20" ht="12.75" thickBot="1">
      <c r="B382" s="2311">
        <v>7</v>
      </c>
      <c r="C382" s="2309">
        <f t="shared" si="77"/>
        <v>47603</v>
      </c>
      <c r="D382" s="2273">
        <f t="shared" ca="1" si="72"/>
        <v>2602.472012941269</v>
      </c>
      <c r="E382" s="2273">
        <f t="shared" si="84"/>
        <v>0</v>
      </c>
      <c r="F382" s="2273">
        <f t="shared" ca="1" si="85"/>
        <v>2602.472012941269</v>
      </c>
      <c r="G382" s="2273">
        <f t="shared" si="85"/>
        <v>0</v>
      </c>
      <c r="H382" s="2420">
        <f t="shared" ca="1" si="79"/>
        <v>5.755898644095344E-2</v>
      </c>
      <c r="I382" s="2420"/>
      <c r="J382" s="2268">
        <f t="shared" si="83"/>
        <v>90428</v>
      </c>
      <c r="L382" s="2268">
        <f t="shared" ca="1" si="75"/>
        <v>2602.472012941269</v>
      </c>
      <c r="M382" s="2268">
        <f t="shared" ca="1" si="76"/>
        <v>2602.472012941269</v>
      </c>
      <c r="Q382" s="2268">
        <f ca="1">SUMIFS('Sell-down'!$58:$58,'Sell-down'!$5:$5,'Report-sj'!C382)/1000</f>
        <v>2602.4720129412685</v>
      </c>
      <c r="R382" s="2268">
        <f t="shared" ca="1" si="80"/>
        <v>0</v>
      </c>
      <c r="S382" s="2268">
        <f ca="1">SUMIFS('Sell-down'!$59:$59,'Sell-down'!$5:$5,'Report-sj'!C382)/1000</f>
        <v>2602.4720129412685</v>
      </c>
      <c r="T382" s="2268">
        <f t="shared" ca="1" si="81"/>
        <v>0</v>
      </c>
    </row>
    <row r="383" spans="1:20" ht="12.75" thickBot="1">
      <c r="B383" s="2311">
        <v>8</v>
      </c>
      <c r="C383" s="2309">
        <f t="shared" si="77"/>
        <v>47787</v>
      </c>
      <c r="D383" s="2273">
        <f t="shared" ca="1" si="72"/>
        <v>2353.2919989280108</v>
      </c>
      <c r="E383" s="2273">
        <f t="shared" si="84"/>
        <v>0</v>
      </c>
      <c r="F383" s="2273">
        <f t="shared" ca="1" si="85"/>
        <v>2353.2919989280108</v>
      </c>
      <c r="G383" s="2273">
        <f t="shared" si="85"/>
        <v>0</v>
      </c>
      <c r="H383" s="2420">
        <f t="shared" ca="1" si="79"/>
        <v>5.2047861258194605E-2</v>
      </c>
      <c r="I383" s="2420"/>
      <c r="J383" s="2268">
        <f t="shared" si="83"/>
        <v>90428</v>
      </c>
      <c r="L383" s="2268">
        <f t="shared" ca="1" si="75"/>
        <v>2353.2919989280108</v>
      </c>
      <c r="M383" s="2268">
        <f t="shared" ca="1" si="76"/>
        <v>2353.2919989280108</v>
      </c>
      <c r="Q383" s="2268">
        <f ca="1">SUMIFS('Sell-down'!$58:$58,'Sell-down'!$5:$5,'Report-sj'!C383)/1000</f>
        <v>2353.2919989280103</v>
      </c>
      <c r="R383" s="2268">
        <f t="shared" ca="1" si="80"/>
        <v>0</v>
      </c>
      <c r="S383" s="2268">
        <f ca="1">SUMIFS('Sell-down'!$59:$59,'Sell-down'!$5:$5,'Report-sj'!C383)/1000</f>
        <v>2353.2919989280103</v>
      </c>
      <c r="T383" s="2268">
        <f t="shared" ca="1" si="81"/>
        <v>0</v>
      </c>
    </row>
    <row r="384" spans="1:20" ht="12.75" thickBot="1">
      <c r="B384" s="2311">
        <v>9</v>
      </c>
      <c r="C384" s="2309">
        <f t="shared" si="77"/>
        <v>47968</v>
      </c>
      <c r="D384" s="2273">
        <f t="shared" ca="1" si="72"/>
        <v>2105.5414966859475</v>
      </c>
      <c r="E384" s="2273">
        <f t="shared" si="84"/>
        <v>0</v>
      </c>
      <c r="F384" s="2273">
        <f t="shared" ca="1" si="85"/>
        <v>2105.5414966859475</v>
      </c>
      <c r="G384" s="2273">
        <f t="shared" si="85"/>
        <v>0</v>
      </c>
      <c r="H384" s="2420">
        <f t="shared" ca="1" si="79"/>
        <v>4.6568352649311001E-2</v>
      </c>
      <c r="I384" s="2420"/>
      <c r="J384" s="2268">
        <f t="shared" si="83"/>
        <v>90428</v>
      </c>
      <c r="L384" s="2268">
        <f t="shared" ca="1" si="75"/>
        <v>2105.5414966859475</v>
      </c>
      <c r="M384" s="2268">
        <f t="shared" ca="1" si="76"/>
        <v>2105.5414966859475</v>
      </c>
      <c r="Q384" s="2268">
        <f ca="1">SUMIFS('Sell-down'!$58:$58,'Sell-down'!$5:$5,'Report-sj'!C384)/1000</f>
        <v>2105.5414966859471</v>
      </c>
      <c r="R384" s="2268">
        <f t="shared" ca="1" si="80"/>
        <v>0</v>
      </c>
      <c r="S384" s="2268">
        <f ca="1">SUMIFS('Sell-down'!$59:$59,'Sell-down'!$5:$5,'Report-sj'!C384)/1000</f>
        <v>2105.5414966859471</v>
      </c>
      <c r="T384" s="2268">
        <f t="shared" ca="1" si="81"/>
        <v>0</v>
      </c>
    </row>
    <row r="385" spans="1:20" ht="12.75" thickBot="1">
      <c r="B385" s="2311">
        <v>10</v>
      </c>
      <c r="C385" s="2309">
        <f t="shared" si="77"/>
        <v>48152</v>
      </c>
      <c r="D385" s="2273">
        <f t="shared" ca="1" si="72"/>
        <v>2562.4784355854395</v>
      </c>
      <c r="E385" s="2273">
        <f t="shared" si="84"/>
        <v>0</v>
      </c>
      <c r="F385" s="2273">
        <f t="shared" ca="1" si="85"/>
        <v>2562.4784355854395</v>
      </c>
      <c r="G385" s="2273">
        <f t="shared" si="85"/>
        <v>0</v>
      </c>
      <c r="H385" s="2420">
        <f t="shared" ca="1" si="79"/>
        <v>5.6674446755107695E-2</v>
      </c>
      <c r="I385" s="2420"/>
      <c r="J385" s="2268">
        <f t="shared" si="83"/>
        <v>90428</v>
      </c>
      <c r="L385" s="2268">
        <f t="shared" ca="1" si="75"/>
        <v>2562.4784355854395</v>
      </c>
      <c r="M385" s="2268">
        <f t="shared" ca="1" si="76"/>
        <v>2562.4784355854395</v>
      </c>
      <c r="Q385" s="2268">
        <f ca="1">SUMIFS('Sell-down'!$58:$58,'Sell-down'!$5:$5,'Report-sj'!C385)/1000</f>
        <v>2562.478435585439</v>
      </c>
      <c r="R385" s="2268">
        <f t="shared" ca="1" si="80"/>
        <v>0</v>
      </c>
      <c r="S385" s="2268">
        <f ca="1">SUMIFS('Sell-down'!$59:$59,'Sell-down'!$5:$5,'Report-sj'!C385)/1000</f>
        <v>2562.478435585439</v>
      </c>
      <c r="T385" s="2268">
        <f t="shared" ca="1" si="81"/>
        <v>0</v>
      </c>
    </row>
    <row r="386" spans="1:20" ht="12.75" thickBot="1">
      <c r="B386" s="2311">
        <v>11</v>
      </c>
      <c r="C386" s="2309">
        <f t="shared" si="77"/>
        <v>48334</v>
      </c>
      <c r="D386" s="2273">
        <f t="shared" ca="1" si="72"/>
        <v>2645.6477403300546</v>
      </c>
      <c r="E386" s="2273">
        <f t="shared" si="84"/>
        <v>0</v>
      </c>
      <c r="F386" s="2273">
        <f t="shared" ca="1" si="85"/>
        <v>2645.6477403300546</v>
      </c>
      <c r="G386" s="2273">
        <f t="shared" si="85"/>
        <v>0</v>
      </c>
      <c r="H386" s="2420">
        <f t="shared" ca="1" si="79"/>
        <v>5.8513905877163146E-2</v>
      </c>
      <c r="I386" s="2420"/>
      <c r="J386" s="2268">
        <f t="shared" si="83"/>
        <v>90428</v>
      </c>
      <c r="L386" s="2268">
        <f t="shared" ca="1" si="75"/>
        <v>2645.6477403300546</v>
      </c>
      <c r="M386" s="2268">
        <f t="shared" ca="1" si="76"/>
        <v>2645.6477403300546</v>
      </c>
      <c r="Q386" s="2268">
        <f ca="1">SUMIFS('Sell-down'!$58:$58,'Sell-down'!$5:$5,'Report-sj'!C386)/1000</f>
        <v>2645.6477403300546</v>
      </c>
      <c r="R386" s="2268">
        <f t="shared" ca="1" si="80"/>
        <v>0</v>
      </c>
      <c r="S386" s="2268">
        <f ca="1">SUMIFS('Sell-down'!$59:$59,'Sell-down'!$5:$5,'Report-sj'!C386)/1000</f>
        <v>2645.6477403300546</v>
      </c>
      <c r="T386" s="2268">
        <f t="shared" ca="1" si="81"/>
        <v>0</v>
      </c>
    </row>
    <row r="387" spans="1:20" ht="12.75" thickBot="1">
      <c r="B387" s="2311">
        <v>12</v>
      </c>
      <c r="C387" s="2309">
        <f t="shared" si="77"/>
        <v>48518</v>
      </c>
      <c r="D387" s="2273">
        <f t="shared" ca="1" si="72"/>
        <v>3098.497346219398</v>
      </c>
      <c r="E387" s="2273">
        <f t="shared" si="84"/>
        <v>0</v>
      </c>
      <c r="F387" s="2273">
        <f t="shared" ca="1" si="85"/>
        <v>3098.497346219398</v>
      </c>
      <c r="G387" s="2273">
        <f t="shared" si="85"/>
        <v>0</v>
      </c>
      <c r="H387" s="2420">
        <f t="shared" ca="1" si="79"/>
        <v>6.852960026141014E-2</v>
      </c>
      <c r="I387" s="2420"/>
      <c r="J387" s="2268">
        <f t="shared" si="83"/>
        <v>90428</v>
      </c>
      <c r="L387" s="2268">
        <f t="shared" ca="1" si="75"/>
        <v>3098.497346219398</v>
      </c>
      <c r="M387" s="2268">
        <f t="shared" ca="1" si="76"/>
        <v>3098.497346219398</v>
      </c>
      <c r="Q387" s="2268">
        <f ca="1">SUMIFS('Sell-down'!$58:$58,'Sell-down'!$5:$5,'Report-sj'!C387)/1000</f>
        <v>3098.497346219398</v>
      </c>
      <c r="R387" s="2268">
        <f t="shared" ca="1" si="80"/>
        <v>0</v>
      </c>
      <c r="S387" s="2268">
        <f ca="1">SUMIFS('Sell-down'!$59:$59,'Sell-down'!$5:$5,'Report-sj'!C387)/1000</f>
        <v>3098.497346219398</v>
      </c>
      <c r="T387" s="2268">
        <f t="shared" ca="1" si="81"/>
        <v>0</v>
      </c>
    </row>
    <row r="388" spans="1:20" ht="12.75" thickBot="1">
      <c r="B388" s="2311">
        <v>13</v>
      </c>
      <c r="C388" s="2309">
        <f t="shared" si="77"/>
        <v>48699</v>
      </c>
      <c r="D388" s="2273">
        <f t="shared" ca="1" si="72"/>
        <v>2871.2131788212532</v>
      </c>
      <c r="E388" s="2273">
        <f t="shared" si="84"/>
        <v>0</v>
      </c>
      <c r="F388" s="2273">
        <f t="shared" ca="1" si="85"/>
        <v>2871.2131788212532</v>
      </c>
      <c r="G388" s="2273">
        <f t="shared" si="85"/>
        <v>0</v>
      </c>
      <c r="H388" s="2420">
        <f t="shared" ca="1" si="79"/>
        <v>6.3502746468378224E-2</v>
      </c>
      <c r="I388" s="2420"/>
      <c r="J388" s="2268">
        <f t="shared" si="83"/>
        <v>90428</v>
      </c>
      <c r="L388" s="2268">
        <f t="shared" ca="1" si="75"/>
        <v>2871.2131788212532</v>
      </c>
      <c r="M388" s="2268">
        <f t="shared" ca="1" si="76"/>
        <v>2871.2131788212532</v>
      </c>
      <c r="Q388" s="2268">
        <f ca="1">SUMIFS('Sell-down'!$58:$58,'Sell-down'!$5:$5,'Report-sj'!C388)/1000</f>
        <v>2871.2131788212532</v>
      </c>
      <c r="R388" s="2268">
        <f t="shared" ca="1" si="80"/>
        <v>0</v>
      </c>
      <c r="S388" s="2268">
        <f ca="1">SUMIFS('Sell-down'!$59:$59,'Sell-down'!$5:$5,'Report-sj'!C388)/1000</f>
        <v>2871.2131788212532</v>
      </c>
      <c r="T388" s="2268">
        <f t="shared" ca="1" si="81"/>
        <v>0</v>
      </c>
    </row>
    <row r="389" spans="1:20" ht="12.75" thickBot="1">
      <c r="B389" s="2311">
        <v>14</v>
      </c>
      <c r="C389" s="2309">
        <f t="shared" si="77"/>
        <v>48883</v>
      </c>
      <c r="D389" s="2273">
        <f t="shared" ca="1" si="72"/>
        <v>3320.2746567853596</v>
      </c>
      <c r="E389" s="2273">
        <f t="shared" si="84"/>
        <v>0</v>
      </c>
      <c r="F389" s="2273">
        <f t="shared" ca="1" si="85"/>
        <v>3320.2746567853596</v>
      </c>
      <c r="G389" s="2273">
        <f t="shared" si="85"/>
        <v>0</v>
      </c>
      <c r="H389" s="2420">
        <f t="shared" ca="1" si="79"/>
        <v>7.3434658662922092E-2</v>
      </c>
      <c r="I389" s="2420"/>
      <c r="J389" s="2268">
        <f t="shared" si="83"/>
        <v>90428</v>
      </c>
      <c r="L389" s="2268">
        <f t="shared" ca="1" si="75"/>
        <v>3320.2746567853596</v>
      </c>
      <c r="M389" s="2268">
        <f t="shared" ca="1" si="76"/>
        <v>3320.2746567853596</v>
      </c>
      <c r="Q389" s="2268">
        <f ca="1">SUMIFS('Sell-down'!$58:$58,'Sell-down'!$5:$5,'Report-sj'!C389)/1000</f>
        <v>3320.2746567853596</v>
      </c>
      <c r="R389" s="2268">
        <f t="shared" ca="1" si="80"/>
        <v>0</v>
      </c>
      <c r="S389" s="2268">
        <f ca="1">SUMIFS('Sell-down'!$59:$59,'Sell-down'!$5:$5,'Report-sj'!C389)/1000</f>
        <v>3320.2746567853596</v>
      </c>
      <c r="T389" s="2268">
        <f t="shared" ca="1" si="81"/>
        <v>0</v>
      </c>
    </row>
    <row r="390" spans="1:20" ht="12.75" thickBot="1">
      <c r="B390" s="2311">
        <v>15</v>
      </c>
      <c r="C390" s="2309">
        <f t="shared" si="77"/>
        <v>49064</v>
      </c>
      <c r="D390" s="2273">
        <f t="shared" ca="1" si="72"/>
        <v>2875.5831337032691</v>
      </c>
      <c r="E390" s="2273">
        <f t="shared" si="84"/>
        <v>0</v>
      </c>
      <c r="F390" s="2273">
        <f t="shared" ca="1" si="85"/>
        <v>2875.5831337032691</v>
      </c>
      <c r="G390" s="2273">
        <f t="shared" si="85"/>
        <v>0</v>
      </c>
      <c r="H390" s="2420">
        <f t="shared" ca="1" si="79"/>
        <v>6.3599396950132017E-2</v>
      </c>
      <c r="I390" s="2420"/>
      <c r="J390" s="2268">
        <f t="shared" si="83"/>
        <v>90428</v>
      </c>
      <c r="L390" s="2268">
        <f t="shared" ca="1" si="75"/>
        <v>2875.5831337032691</v>
      </c>
      <c r="M390" s="2268">
        <f t="shared" ca="1" si="76"/>
        <v>2875.5831337032691</v>
      </c>
      <c r="Q390" s="2268">
        <f ca="1">SUMIFS('Sell-down'!$58:$58,'Sell-down'!$5:$5,'Report-sj'!C390)/1000</f>
        <v>2875.5831337032691</v>
      </c>
      <c r="R390" s="2268">
        <f t="shared" ca="1" si="80"/>
        <v>0</v>
      </c>
      <c r="S390" s="2268">
        <f ca="1">SUMIFS('Sell-down'!$59:$59,'Sell-down'!$5:$5,'Report-sj'!C390)/1000</f>
        <v>2875.5831337032691</v>
      </c>
      <c r="T390" s="2268">
        <f t="shared" ca="1" si="81"/>
        <v>0</v>
      </c>
    </row>
    <row r="391" spans="1:20" ht="12.75" thickBot="1">
      <c r="B391" s="2311">
        <v>16</v>
      </c>
      <c r="C391" s="2309">
        <f t="shared" si="77"/>
        <v>49248</v>
      </c>
      <c r="D391" s="2273">
        <f t="shared" ca="1" si="72"/>
        <v>2715</v>
      </c>
      <c r="E391" s="2273">
        <f t="shared" si="84"/>
        <v>0</v>
      </c>
      <c r="F391" s="2273">
        <f t="shared" ca="1" si="85"/>
        <v>2715</v>
      </c>
      <c r="G391" s="2273">
        <f t="shared" si="85"/>
        <v>0</v>
      </c>
      <c r="H391" s="2420">
        <f t="shared" ca="1" si="79"/>
        <v>6.0047772813730263E-2</v>
      </c>
      <c r="I391" s="2420"/>
      <c r="J391" s="2268">
        <f t="shared" si="83"/>
        <v>90428</v>
      </c>
      <c r="L391" s="2268">
        <f t="shared" ca="1" si="75"/>
        <v>2715</v>
      </c>
      <c r="M391" s="2268">
        <f t="shared" ca="1" si="76"/>
        <v>2715</v>
      </c>
      <c r="Q391" s="2268">
        <f ca="1">SUMIFS('Sell-down'!$58:$58,'Sell-down'!$5:$5,'Report-sj'!C391)/1000</f>
        <v>2715</v>
      </c>
      <c r="R391" s="2268">
        <f t="shared" ca="1" si="80"/>
        <v>0</v>
      </c>
      <c r="S391" s="2268">
        <f ca="1">SUMIFS('Sell-down'!$59:$59,'Sell-down'!$5:$5,'Report-sj'!C391)/1000</f>
        <v>2715</v>
      </c>
      <c r="T391" s="2268">
        <f t="shared" ca="1" si="81"/>
        <v>0</v>
      </c>
    </row>
    <row r="392" spans="1:20" ht="12.75" thickBot="1">
      <c r="B392" s="2311">
        <v>17</v>
      </c>
      <c r="C392" s="2309">
        <f t="shared" si="77"/>
        <v>49429</v>
      </c>
      <c r="D392" s="2273">
        <f t="shared" ca="1" si="72"/>
        <v>2715</v>
      </c>
      <c r="E392" s="2273">
        <f t="shared" si="84"/>
        <v>0</v>
      </c>
      <c r="F392" s="2273">
        <f t="shared" ca="1" si="85"/>
        <v>2715</v>
      </c>
      <c r="G392" s="2273">
        <f t="shared" si="85"/>
        <v>0</v>
      </c>
      <c r="H392" s="2420">
        <f t="shared" ca="1" si="79"/>
        <v>6.0047772813730263E-2</v>
      </c>
      <c r="I392" s="2420"/>
      <c r="J392" s="2268">
        <f t="shared" si="83"/>
        <v>90428</v>
      </c>
      <c r="L392" s="2268">
        <f t="shared" ca="1" si="75"/>
        <v>2715</v>
      </c>
      <c r="M392" s="2268">
        <f t="shared" ca="1" si="76"/>
        <v>2715</v>
      </c>
      <c r="Q392" s="2268">
        <f ca="1">SUMIFS('Sell-down'!$58:$58,'Sell-down'!$5:$5,'Report-sj'!C392)/1000</f>
        <v>2715</v>
      </c>
      <c r="R392" s="2268">
        <f t="shared" ca="1" si="80"/>
        <v>0</v>
      </c>
      <c r="S392" s="2268">
        <f ca="1">SUMIFS('Sell-down'!$59:$59,'Sell-down'!$5:$5,'Report-sj'!C392)/1000</f>
        <v>2715</v>
      </c>
      <c r="T392" s="2268">
        <f t="shared" ca="1" si="81"/>
        <v>0</v>
      </c>
    </row>
    <row r="393" spans="1:20" ht="12.75" thickBot="1">
      <c r="B393" s="2311">
        <v>18</v>
      </c>
      <c r="C393" s="2309">
        <f t="shared" si="77"/>
        <v>49613</v>
      </c>
      <c r="D393" s="2273">
        <f t="shared" ca="1" si="72"/>
        <v>2715</v>
      </c>
      <c r="E393" s="2273">
        <f t="shared" si="84"/>
        <v>0</v>
      </c>
      <c r="F393" s="2273">
        <f t="shared" ca="1" si="85"/>
        <v>2715</v>
      </c>
      <c r="G393" s="2273">
        <f t="shared" si="85"/>
        <v>0</v>
      </c>
      <c r="H393" s="2420">
        <f t="shared" ca="1" si="79"/>
        <v>6.0047772813730263E-2</v>
      </c>
      <c r="I393" s="2420"/>
      <c r="J393" s="2268">
        <f t="shared" si="83"/>
        <v>90428</v>
      </c>
      <c r="L393" s="2268">
        <f t="shared" ca="1" si="75"/>
        <v>2715</v>
      </c>
      <c r="M393" s="2268">
        <f t="shared" ca="1" si="76"/>
        <v>2715</v>
      </c>
      <c r="Q393" s="2268">
        <f ca="1">SUMIFS('Sell-down'!$58:$58,'Sell-down'!$5:$5,'Report-sj'!C393)/1000</f>
        <v>2715</v>
      </c>
      <c r="R393" s="2268">
        <f t="shared" ca="1" si="80"/>
        <v>0</v>
      </c>
      <c r="S393" s="2268">
        <f ca="1">SUMIFS('Sell-down'!$59:$59,'Sell-down'!$5:$5,'Report-sj'!C393)/1000</f>
        <v>2715</v>
      </c>
      <c r="T393" s="2268">
        <f t="shared" ca="1" si="81"/>
        <v>0</v>
      </c>
    </row>
    <row r="394" spans="1:20" ht="12.75" thickBot="1">
      <c r="B394" s="2311">
        <v>19</v>
      </c>
      <c r="C394" s="2309">
        <f t="shared" si="77"/>
        <v>49795</v>
      </c>
      <c r="D394" s="2273">
        <f t="shared" ca="1" si="72"/>
        <v>2715</v>
      </c>
      <c r="E394" s="2273">
        <f t="shared" si="84"/>
        <v>0</v>
      </c>
      <c r="F394" s="2273">
        <f t="shared" ca="1" si="85"/>
        <v>2715</v>
      </c>
      <c r="G394" s="2273">
        <f t="shared" si="85"/>
        <v>0</v>
      </c>
      <c r="H394" s="2420">
        <f t="shared" ca="1" si="79"/>
        <v>6.0047772813730263E-2</v>
      </c>
      <c r="I394" s="2420"/>
      <c r="J394" s="2268">
        <f t="shared" si="83"/>
        <v>90428</v>
      </c>
      <c r="L394" s="2268">
        <f t="shared" ca="1" si="75"/>
        <v>2715</v>
      </c>
      <c r="M394" s="2268">
        <f t="shared" ca="1" si="76"/>
        <v>2715</v>
      </c>
      <c r="Q394" s="2268">
        <f ca="1">SUMIFS('Sell-down'!$58:$58,'Sell-down'!$5:$5,'Report-sj'!C394)/1000</f>
        <v>2715</v>
      </c>
      <c r="R394" s="2268">
        <f t="shared" ca="1" si="80"/>
        <v>0</v>
      </c>
      <c r="S394" s="2268">
        <f ca="1">SUMIFS('Sell-down'!$59:$59,'Sell-down'!$5:$5,'Report-sj'!C394)/1000</f>
        <v>2715</v>
      </c>
      <c r="T394" s="2268">
        <f t="shared" ca="1" si="81"/>
        <v>0</v>
      </c>
    </row>
    <row r="395" spans="1:20" ht="12.75" thickBot="1">
      <c r="B395" s="2311">
        <v>20</v>
      </c>
      <c r="C395" s="2309">
        <f t="shared" si="77"/>
        <v>49979</v>
      </c>
      <c r="D395" s="2273">
        <f t="shared" ca="1" si="72"/>
        <v>150353.06668783468</v>
      </c>
      <c r="E395" s="2471">
        <f>E344+E293+E267+E397</f>
        <v>90428</v>
      </c>
      <c r="F395" s="2273">
        <f t="shared" ca="1" si="85"/>
        <v>2715</v>
      </c>
      <c r="G395" s="2471">
        <f>G267+G293+G344-E397</f>
        <v>57210.066687834667</v>
      </c>
      <c r="H395" s="2420">
        <f t="shared" ca="1" si="79"/>
        <v>6.0047772813730263E-2</v>
      </c>
      <c r="I395" s="2420"/>
      <c r="J395" s="2268">
        <f t="shared" si="83"/>
        <v>90428</v>
      </c>
      <c r="L395" s="2268">
        <f t="shared" ca="1" si="75"/>
        <v>93143</v>
      </c>
      <c r="M395" s="2268">
        <f t="shared" ca="1" si="76"/>
        <v>150353.06668783468</v>
      </c>
      <c r="Q395" s="2268">
        <f ca="1">SUMIFS('Sell-down'!$58:$58,'Sell-down'!$5:$5,'Report-sj'!C395)/1000</f>
        <v>91515</v>
      </c>
      <c r="R395" s="2268">
        <f t="shared" ca="1" si="80"/>
        <v>-1628</v>
      </c>
      <c r="S395" s="2268">
        <f ca="1">SUMIFS('Sell-down'!$59:$59,'Sell-down'!$5:$5,'Report-sj'!C395)/1000</f>
        <v>149512.00665113895</v>
      </c>
      <c r="T395" s="2268">
        <f t="shared" ca="1" si="81"/>
        <v>841.06003669573693</v>
      </c>
    </row>
    <row r="396" spans="1:20" ht="12.75" thickBot="1">
      <c r="B396" s="3076" t="s">
        <v>1472</v>
      </c>
      <c r="C396" s="3077"/>
      <c r="D396" s="2277">
        <f ca="1">SUM(D375:D395)</f>
        <v>105510.06668783468</v>
      </c>
      <c r="E396" s="2277">
        <f>SUM(E375:E395)</f>
        <v>0</v>
      </c>
      <c r="F396" s="2277">
        <f ca="1">SUM(F375:F395)</f>
        <v>48300.000000000007</v>
      </c>
      <c r="G396" s="2277">
        <f>SUM(G375:G395)</f>
        <v>57210.066687834667</v>
      </c>
      <c r="H396" s="2307">
        <f t="shared" ca="1" si="79"/>
        <v>6.0065363053459428E-2</v>
      </c>
      <c r="I396" s="2307">
        <f ca="1">SUM(F396,G396)/J396*2</f>
        <v>0.13121118967700837</v>
      </c>
      <c r="J396" s="2268">
        <f>SUM(J376:J395)</f>
        <v>1608248</v>
      </c>
      <c r="L396" s="2466">
        <f ca="1">XIRR(L375:L395,C375:C395)</f>
        <v>6.0718837380409243E-2</v>
      </c>
      <c r="M396" s="2466">
        <f ca="1">XIRR(M375:M395,C375:C395)</f>
        <v>0.10708184838294985</v>
      </c>
      <c r="Q396" s="2268"/>
      <c r="R396" s="2268"/>
      <c r="S396" s="2268">
        <f ca="1">'Sell-down'!J59/1000</f>
        <v>106655.94661444321</v>
      </c>
      <c r="T396" s="2268">
        <f ca="1">D396-S396</f>
        <v>-1145.8799266085261</v>
      </c>
    </row>
    <row r="397" spans="1:20">
      <c r="D397" s="2468">
        <f ca="1">D396/J395+1</f>
        <v>2.1667853617002995</v>
      </c>
      <c r="E397" s="2268">
        <f>-SUM(O377:O379)</f>
        <v>1628</v>
      </c>
    </row>
    <row r="399" spans="1:20">
      <c r="E399" s="2268"/>
    </row>
    <row r="400" spans="1:20" ht="12.75" thickBot="1">
      <c r="A400" s="2232" t="s">
        <v>1651</v>
      </c>
      <c r="L400" s="2232" t="s">
        <v>1649</v>
      </c>
      <c r="M400" s="2470">
        <v>2.1999999999999999E-2</v>
      </c>
    </row>
    <row r="401" spans="2:24" ht="12.75" thickBot="1">
      <c r="B401" s="3078" t="str">
        <f t="shared" ref="B401:I401" si="86">B374</f>
        <v>구분</v>
      </c>
      <c r="C401" s="3079"/>
      <c r="D401" s="2270" t="str">
        <f t="shared" si="86"/>
        <v>현금의 변동</v>
      </c>
      <c r="E401" s="2270" t="str">
        <f t="shared" si="86"/>
        <v>투자금 납입/상환</v>
      </c>
      <c r="F401" s="2270" t="str">
        <f t="shared" si="86"/>
        <v>운영배당수입</v>
      </c>
      <c r="G401" s="2313" t="str">
        <f t="shared" si="86"/>
        <v>청산배당수입</v>
      </c>
      <c r="H401" s="2261" t="str">
        <f t="shared" si="86"/>
        <v>운영배당수익률</v>
      </c>
      <c r="I401" s="2261" t="str">
        <f t="shared" si="86"/>
        <v>청산배당수익률</v>
      </c>
      <c r="L401" s="2465" t="s">
        <v>1646</v>
      </c>
      <c r="M401" s="2465" t="s">
        <v>1647</v>
      </c>
      <c r="P401" s="2474" t="s">
        <v>1653</v>
      </c>
      <c r="Q401" s="2474" t="s">
        <v>1658</v>
      </c>
      <c r="R401" s="2474" t="s">
        <v>1657</v>
      </c>
      <c r="S401" s="2476" t="s">
        <v>1654</v>
      </c>
      <c r="T401" s="2475" t="s">
        <v>1652</v>
      </c>
      <c r="U401" s="2474" t="s">
        <v>1656</v>
      </c>
      <c r="V401" s="2474" t="s">
        <v>1655</v>
      </c>
    </row>
    <row r="402" spans="2:24" ht="12.75" thickBot="1">
      <c r="B402" s="2308" t="s">
        <v>1471</v>
      </c>
      <c r="C402" s="2309">
        <f t="shared" ref="C402:C422" si="87">C375</f>
        <v>46326</v>
      </c>
      <c r="D402" s="2273">
        <f t="shared" ref="D402:D421" si="88">SUM(E402:G402)</f>
        <v>-14800</v>
      </c>
      <c r="E402" s="2273">
        <f t="shared" ref="E402:E422" si="89">E375</f>
        <v>-14800</v>
      </c>
      <c r="F402" s="2273">
        <f t="shared" ref="F402:F422" si="90">-R402</f>
        <v>0</v>
      </c>
      <c r="G402" s="2273">
        <v>0</v>
      </c>
      <c r="H402" s="2310"/>
      <c r="I402" s="2310"/>
      <c r="L402" s="2268">
        <f t="shared" ref="L402:L422" si="91">SUM(E402:F402)</f>
        <v>-14800</v>
      </c>
      <c r="M402" s="2268">
        <f t="shared" ref="M402:M422" si="92">SUM(E402:G402)</f>
        <v>-14800</v>
      </c>
      <c r="P402" s="2472">
        <v>0</v>
      </c>
      <c r="Q402" s="2268">
        <f t="shared" ref="Q402:Q422" ca="1" si="93">T402+U402-V402</f>
        <v>0</v>
      </c>
      <c r="R402" s="2268">
        <v>0</v>
      </c>
      <c r="S402" s="2477">
        <f t="shared" ref="S402:S422" ca="1" si="94">SUM(P402:R402)</f>
        <v>0</v>
      </c>
      <c r="T402" s="2268" cm="1">
        <f t="array" aca="1" ref="T402:T422" ca="1">TRANSPOSE('IS(FY)'!M51:AG51)/1000</f>
        <v>0</v>
      </c>
      <c r="U402" s="2268" cm="1">
        <f t="array" ref="U402:U422">TRANSPOSE('IS(FY)'!M20:AG20)/1000</f>
        <v>0</v>
      </c>
      <c r="V402" s="2268" cm="1">
        <f t="array" ref="V402:V422">TRANSPOSE('IS(FY)'!M39:AG39)/1000</f>
        <v>0</v>
      </c>
    </row>
    <row r="403" spans="2:24" ht="12.75" thickBot="1">
      <c r="B403" s="2311">
        <v>1</v>
      </c>
      <c r="C403" s="2309">
        <f t="shared" si="87"/>
        <v>46507</v>
      </c>
      <c r="D403" s="2273">
        <f t="shared" ca="1" si="88"/>
        <v>838.08955217138487</v>
      </c>
      <c r="E403" s="2273">
        <f t="shared" si="89"/>
        <v>0</v>
      </c>
      <c r="F403" s="2480">
        <f t="shared" ca="1" si="90"/>
        <v>838.08955217138487</v>
      </c>
      <c r="G403" s="2273">
        <v>0</v>
      </c>
      <c r="H403" s="2420">
        <f t="shared" ref="H403:H423" ca="1" si="95">F403/J403*2</f>
        <v>0.11325534488802498</v>
      </c>
      <c r="I403" s="2420"/>
      <c r="J403" s="2268">
        <f>-E402</f>
        <v>14800</v>
      </c>
      <c r="L403" s="2268">
        <f t="shared" ca="1" si="91"/>
        <v>838.08955217138487</v>
      </c>
      <c r="M403" s="2268">
        <f t="shared" ca="1" si="92"/>
        <v>838.08955217138487</v>
      </c>
      <c r="P403" s="2268">
        <f t="shared" ref="P403:P422" ca="1" si="96">S402</f>
        <v>0</v>
      </c>
      <c r="Q403" s="2268">
        <f t="shared" ca="1" si="93"/>
        <v>838.08955217138487</v>
      </c>
      <c r="R403" s="2268">
        <f t="shared" ref="R403:R422" ca="1" si="97">-MAX(SUM(P403:Q403),0)</f>
        <v>-838.08955217138487</v>
      </c>
      <c r="S403" s="2477">
        <f t="shared" ca="1" si="94"/>
        <v>0</v>
      </c>
      <c r="T403" s="2268">
        <f ca="1"/>
        <v>-870.75394782861508</v>
      </c>
      <c r="U403" s="2268">
        <v>1708.8434999999999</v>
      </c>
      <c r="V403" s="2268">
        <v>0</v>
      </c>
      <c r="X403" s="2268">
        <f ca="1">MAX(SUM(P403:Q403),0)</f>
        <v>838.08955217138487</v>
      </c>
    </row>
    <row r="404" spans="2:24" ht="12.75" thickBot="1">
      <c r="B404" s="2311">
        <v>2</v>
      </c>
      <c r="C404" s="2309">
        <f t="shared" si="87"/>
        <v>46691</v>
      </c>
      <c r="D404" s="2273">
        <f t="shared" ca="1" si="88"/>
        <v>-49697.943944639344</v>
      </c>
      <c r="E404" s="2273">
        <f t="shared" si="89"/>
        <v>-51100</v>
      </c>
      <c r="F404" s="2480">
        <f t="shared" ca="1" si="90"/>
        <v>1402.0560553606524</v>
      </c>
      <c r="G404" s="2273">
        <v>0</v>
      </c>
      <c r="H404" s="2420">
        <f t="shared" ca="1" si="95"/>
        <v>0.18946703450819627</v>
      </c>
      <c r="I404" s="2420"/>
      <c r="J404" s="2268">
        <f t="shared" ref="J404:J422" si="98">J403-E403</f>
        <v>14800</v>
      </c>
      <c r="L404" s="2268">
        <f t="shared" ca="1" si="91"/>
        <v>-49697.943944639344</v>
      </c>
      <c r="M404" s="2268">
        <f t="shared" ca="1" si="92"/>
        <v>-49697.943944639344</v>
      </c>
      <c r="N404" s="2268"/>
      <c r="O404" s="2268"/>
      <c r="P404" s="2268">
        <f t="shared" ca="1" si="96"/>
        <v>0</v>
      </c>
      <c r="Q404" s="2268">
        <f t="shared" ca="1" si="93"/>
        <v>1402.0560553606524</v>
      </c>
      <c r="R404" s="2268">
        <f t="shared" ca="1" si="97"/>
        <v>-1402.0560553606524</v>
      </c>
      <c r="S404" s="2477">
        <f t="shared" ca="1" si="94"/>
        <v>0</v>
      </c>
      <c r="T404" s="2268">
        <f ca="1"/>
        <v>-306.78744463934748</v>
      </c>
      <c r="U404" s="2268">
        <v>1708.8434999999999</v>
      </c>
      <c r="V404" s="2268">
        <v>0</v>
      </c>
    </row>
    <row r="405" spans="2:24" ht="12.75" thickBot="1">
      <c r="B405" s="2311">
        <v>3</v>
      </c>
      <c r="C405" s="2309">
        <f t="shared" si="87"/>
        <v>46873</v>
      </c>
      <c r="D405" s="2273">
        <f t="shared" ca="1" si="88"/>
        <v>1160.3087775758745</v>
      </c>
      <c r="E405" s="2273">
        <f t="shared" si="89"/>
        <v>0</v>
      </c>
      <c r="F405" s="2273">
        <f t="shared" ca="1" si="90"/>
        <v>1160.3087775758745</v>
      </c>
      <c r="G405" s="2273">
        <v>0</v>
      </c>
      <c r="H405" s="2420">
        <f t="shared" ca="1" si="95"/>
        <v>3.521422693705234E-2</v>
      </c>
      <c r="I405" s="2420"/>
      <c r="J405" s="2268">
        <f t="shared" si="98"/>
        <v>65900</v>
      </c>
      <c r="L405" s="2268">
        <f t="shared" ca="1" si="91"/>
        <v>1160.3087775758745</v>
      </c>
      <c r="M405" s="2268">
        <f t="shared" ca="1" si="92"/>
        <v>1160.3087775758745</v>
      </c>
      <c r="O405" s="2268"/>
      <c r="P405" s="2268">
        <f t="shared" ca="1" si="96"/>
        <v>0</v>
      </c>
      <c r="Q405" s="2268">
        <f t="shared" ca="1" si="93"/>
        <v>1160.3087775758745</v>
      </c>
      <c r="R405" s="2268">
        <f t="shared" ca="1" si="97"/>
        <v>-1160.3087775758745</v>
      </c>
      <c r="S405" s="2477">
        <f t="shared" ca="1" si="94"/>
        <v>0</v>
      </c>
      <c r="T405" s="2268">
        <f ca="1"/>
        <v>-548.53472242412533</v>
      </c>
      <c r="U405" s="2268">
        <v>1708.8434999999999</v>
      </c>
      <c r="V405" s="2268">
        <v>0</v>
      </c>
    </row>
    <row r="406" spans="2:24" ht="12.75" thickBot="1">
      <c r="B406" s="2311">
        <v>4</v>
      </c>
      <c r="C406" s="2309">
        <f t="shared" si="87"/>
        <v>47057</v>
      </c>
      <c r="D406" s="2273">
        <f t="shared" ca="1" si="88"/>
        <v>-22949.0242325822</v>
      </c>
      <c r="E406" s="2273">
        <f t="shared" si="89"/>
        <v>-24528</v>
      </c>
      <c r="F406" s="2273">
        <f t="shared" ca="1" si="90"/>
        <v>1578.9757674177997</v>
      </c>
      <c r="G406" s="2273">
        <v>0</v>
      </c>
      <c r="H406" s="2420">
        <f t="shared" ca="1" si="95"/>
        <v>4.7920357129523514E-2</v>
      </c>
      <c r="I406" s="2420"/>
      <c r="J406" s="2268">
        <f t="shared" si="98"/>
        <v>65900</v>
      </c>
      <c r="L406" s="2268">
        <f t="shared" ca="1" si="91"/>
        <v>-22949.0242325822</v>
      </c>
      <c r="M406" s="2268">
        <f t="shared" ca="1" si="92"/>
        <v>-22949.0242325822</v>
      </c>
      <c r="N406" s="2268"/>
      <c r="O406" s="2268"/>
      <c r="P406" s="2268">
        <f t="shared" ca="1" si="96"/>
        <v>0</v>
      </c>
      <c r="Q406" s="2268">
        <f t="shared" ca="1" si="93"/>
        <v>1578.9757674177997</v>
      </c>
      <c r="R406" s="2268">
        <f t="shared" ca="1" si="97"/>
        <v>-1578.9757674177997</v>
      </c>
      <c r="S406" s="2477">
        <f t="shared" ca="1" si="94"/>
        <v>0</v>
      </c>
      <c r="T406" s="2268">
        <f ca="1"/>
        <v>-129.86773258220032</v>
      </c>
      <c r="U406" s="2268">
        <v>1708.8434999999999</v>
      </c>
      <c r="V406" s="2268">
        <v>0</v>
      </c>
    </row>
    <row r="407" spans="2:24" ht="12.75" thickBot="1">
      <c r="B407" s="2311">
        <v>5</v>
      </c>
      <c r="C407" s="2309">
        <f t="shared" si="87"/>
        <v>47238</v>
      </c>
      <c r="D407" s="2273">
        <f t="shared" ca="1" si="88"/>
        <v>1520.4675732215708</v>
      </c>
      <c r="E407" s="2273">
        <f t="shared" si="89"/>
        <v>0</v>
      </c>
      <c r="F407" s="2273">
        <f t="shared" ca="1" si="90"/>
        <v>1520.4675732215708</v>
      </c>
      <c r="G407" s="2273">
        <v>0</v>
      </c>
      <c r="H407" s="2420">
        <f t="shared" ca="1" si="95"/>
        <v>3.3628247295562672E-2</v>
      </c>
      <c r="I407" s="2420"/>
      <c r="J407" s="2268">
        <f t="shared" si="98"/>
        <v>90428</v>
      </c>
      <c r="L407" s="2268">
        <f t="shared" ca="1" si="91"/>
        <v>1520.4675732215708</v>
      </c>
      <c r="M407" s="2268">
        <f t="shared" ca="1" si="92"/>
        <v>1520.4675732215708</v>
      </c>
      <c r="P407" s="2268">
        <f t="shared" ca="1" si="96"/>
        <v>0</v>
      </c>
      <c r="Q407" s="2268">
        <f t="shared" ca="1" si="93"/>
        <v>1520.4675732215708</v>
      </c>
      <c r="R407" s="2268">
        <f t="shared" ca="1" si="97"/>
        <v>-1520.4675732215708</v>
      </c>
      <c r="S407" s="2477">
        <f t="shared" ca="1" si="94"/>
        <v>0</v>
      </c>
      <c r="T407" s="2268">
        <f ca="1"/>
        <v>-188.37592677842918</v>
      </c>
      <c r="U407" s="2268">
        <v>1708.8434999999999</v>
      </c>
      <c r="V407" s="2268">
        <v>0</v>
      </c>
    </row>
    <row r="408" spans="2:24" ht="12.75" thickBot="1">
      <c r="B408" s="2311">
        <v>6</v>
      </c>
      <c r="C408" s="2309">
        <f t="shared" si="87"/>
        <v>47422</v>
      </c>
      <c r="D408" s="2273">
        <f t="shared" ca="1" si="88"/>
        <v>0</v>
      </c>
      <c r="E408" s="2273">
        <f t="shared" si="89"/>
        <v>0</v>
      </c>
      <c r="F408" s="2273">
        <f t="shared" ca="1" si="90"/>
        <v>0</v>
      </c>
      <c r="G408" s="2273">
        <v>0</v>
      </c>
      <c r="H408" s="2420">
        <f t="shared" ca="1" si="95"/>
        <v>0</v>
      </c>
      <c r="I408" s="2420"/>
      <c r="J408" s="2268">
        <f t="shared" si="98"/>
        <v>90428</v>
      </c>
      <c r="L408" s="2268">
        <f t="shared" ca="1" si="91"/>
        <v>0</v>
      </c>
      <c r="M408" s="2268">
        <f t="shared" ca="1" si="92"/>
        <v>0</v>
      </c>
      <c r="P408" s="2268">
        <f t="shared" ca="1" si="96"/>
        <v>0</v>
      </c>
      <c r="Q408" s="2268">
        <f t="shared" ca="1" si="93"/>
        <v>-3472.7387754206711</v>
      </c>
      <c r="R408" s="2268">
        <f t="shared" ca="1" si="97"/>
        <v>0</v>
      </c>
      <c r="S408" s="2477">
        <f t="shared" ca="1" si="94"/>
        <v>-3472.7387754206711</v>
      </c>
      <c r="T408" s="2268">
        <f ca="1"/>
        <v>-5181.5822754206711</v>
      </c>
      <c r="U408" s="2268">
        <v>1708.8434999999999</v>
      </c>
      <c r="V408" s="2268">
        <v>0</v>
      </c>
    </row>
    <row r="409" spans="2:24" ht="12.75" thickBot="1">
      <c r="B409" s="2311">
        <v>7</v>
      </c>
      <c r="C409" s="2309">
        <f t="shared" si="87"/>
        <v>47603</v>
      </c>
      <c r="D409" s="2273">
        <f t="shared" ca="1" si="88"/>
        <v>0</v>
      </c>
      <c r="E409" s="2273">
        <f t="shared" si="89"/>
        <v>0</v>
      </c>
      <c r="F409" s="2273">
        <f t="shared" ca="1" si="90"/>
        <v>0</v>
      </c>
      <c r="G409" s="2273">
        <v>0</v>
      </c>
      <c r="H409" s="2420">
        <f t="shared" ca="1" si="95"/>
        <v>0</v>
      </c>
      <c r="I409" s="2420"/>
      <c r="J409" s="2268">
        <f t="shared" si="98"/>
        <v>90428</v>
      </c>
      <c r="L409" s="2268">
        <f t="shared" ca="1" si="91"/>
        <v>0</v>
      </c>
      <c r="M409" s="2268">
        <f t="shared" ca="1" si="92"/>
        <v>0</v>
      </c>
      <c r="P409" s="2268">
        <f t="shared" ca="1" si="96"/>
        <v>-3472.7387754206711</v>
      </c>
      <c r="Q409" s="2268">
        <f t="shared" ca="1" si="93"/>
        <v>1954.7179304889942</v>
      </c>
      <c r="R409" s="2268">
        <f t="shared" ca="1" si="97"/>
        <v>0</v>
      </c>
      <c r="S409" s="2477">
        <f t="shared" ca="1" si="94"/>
        <v>-1518.0208449316769</v>
      </c>
      <c r="T409" s="2268">
        <f ca="1"/>
        <v>245.87443048899434</v>
      </c>
      <c r="U409" s="2268">
        <v>1708.8434999999999</v>
      </c>
      <c r="V409" s="2268">
        <v>0</v>
      </c>
    </row>
    <row r="410" spans="2:24" ht="12.75" thickBot="1">
      <c r="B410" s="2311">
        <v>8</v>
      </c>
      <c r="C410" s="2309">
        <f t="shared" si="87"/>
        <v>47787</v>
      </c>
      <c r="D410" s="2273">
        <f t="shared" ca="1" si="88"/>
        <v>711.92139496518303</v>
      </c>
      <c r="E410" s="2273">
        <f t="shared" si="89"/>
        <v>0</v>
      </c>
      <c r="F410" s="2273">
        <f t="shared" ca="1" si="90"/>
        <v>711.92139496518303</v>
      </c>
      <c r="G410" s="2273">
        <v>0</v>
      </c>
      <c r="H410" s="2420">
        <f t="shared" ca="1" si="95"/>
        <v>1.5745596385305059E-2</v>
      </c>
      <c r="I410" s="2420"/>
      <c r="J410" s="2268">
        <f t="shared" si="98"/>
        <v>90428</v>
      </c>
      <c r="L410" s="2268">
        <f t="shared" ca="1" si="91"/>
        <v>711.92139496518303</v>
      </c>
      <c r="M410" s="2268">
        <f t="shared" ca="1" si="92"/>
        <v>711.92139496518303</v>
      </c>
      <c r="P410" s="2268">
        <f t="shared" ca="1" si="96"/>
        <v>-1518.0208449316769</v>
      </c>
      <c r="Q410" s="2268">
        <f t="shared" ca="1" si="93"/>
        <v>2229.94223989686</v>
      </c>
      <c r="R410" s="2268">
        <f t="shared" ca="1" si="97"/>
        <v>-711.92139496518303</v>
      </c>
      <c r="S410" s="2477">
        <f t="shared" ca="1" si="94"/>
        <v>0</v>
      </c>
      <c r="T410" s="2268">
        <f ca="1"/>
        <v>521.09873989686002</v>
      </c>
      <c r="U410" s="2268">
        <v>1708.8434999999999</v>
      </c>
      <c r="V410" s="2268">
        <v>0</v>
      </c>
    </row>
    <row r="411" spans="2:24" ht="12.75" thickBot="1">
      <c r="B411" s="2311">
        <v>9</v>
      </c>
      <c r="C411" s="2309">
        <f t="shared" si="87"/>
        <v>47968</v>
      </c>
      <c r="D411" s="2273">
        <f t="shared" ca="1" si="88"/>
        <v>2218.3352526325612</v>
      </c>
      <c r="E411" s="2273">
        <f t="shared" si="89"/>
        <v>0</v>
      </c>
      <c r="F411" s="2273">
        <f t="shared" ca="1" si="90"/>
        <v>2218.3352526325612</v>
      </c>
      <c r="G411" s="2273">
        <v>0</v>
      </c>
      <c r="H411" s="2420">
        <f t="shared" ca="1" si="95"/>
        <v>4.9063017044113796E-2</v>
      </c>
      <c r="I411" s="2420"/>
      <c r="J411" s="2268">
        <f t="shared" si="98"/>
        <v>90428</v>
      </c>
      <c r="L411" s="2268">
        <f t="shared" ca="1" si="91"/>
        <v>2218.3352526325612</v>
      </c>
      <c r="M411" s="2268">
        <f t="shared" ca="1" si="92"/>
        <v>2218.3352526325612</v>
      </c>
      <c r="P411" s="2268">
        <f t="shared" ca="1" si="96"/>
        <v>0</v>
      </c>
      <c r="Q411" s="2268">
        <f t="shared" ca="1" si="93"/>
        <v>2218.3352526325612</v>
      </c>
      <c r="R411" s="2268">
        <f t="shared" ca="1" si="97"/>
        <v>-2218.3352526325612</v>
      </c>
      <c r="S411" s="2477">
        <f t="shared" ca="1" si="94"/>
        <v>0</v>
      </c>
      <c r="T411" s="2268">
        <f ca="1"/>
        <v>509.49175263256114</v>
      </c>
      <c r="U411" s="2268">
        <v>1708.8434999999999</v>
      </c>
      <c r="V411" s="2268">
        <v>0</v>
      </c>
    </row>
    <row r="412" spans="2:24" ht="12.75" thickBot="1">
      <c r="B412" s="2311">
        <v>10</v>
      </c>
      <c r="C412" s="2309">
        <f t="shared" si="87"/>
        <v>48152</v>
      </c>
      <c r="D412" s="2273">
        <f t="shared" ca="1" si="88"/>
        <v>2446.8457832258928</v>
      </c>
      <c r="E412" s="2273">
        <f t="shared" si="89"/>
        <v>0</v>
      </c>
      <c r="F412" s="2273">
        <f t="shared" ca="1" si="90"/>
        <v>2446.8457832258928</v>
      </c>
      <c r="G412" s="2273">
        <v>0</v>
      </c>
      <c r="H412" s="2420">
        <f t="shared" ca="1" si="95"/>
        <v>5.4116994365150016E-2</v>
      </c>
      <c r="I412" s="2420"/>
      <c r="J412" s="2268">
        <f t="shared" si="98"/>
        <v>90428</v>
      </c>
      <c r="L412" s="2268">
        <f t="shared" ca="1" si="91"/>
        <v>2446.8457832258928</v>
      </c>
      <c r="M412" s="2268">
        <f t="shared" ca="1" si="92"/>
        <v>2446.8457832258928</v>
      </c>
      <c r="P412" s="2268">
        <f t="shared" ca="1" si="96"/>
        <v>0</v>
      </c>
      <c r="Q412" s="2268">
        <f t="shared" ca="1" si="93"/>
        <v>2446.8457832258928</v>
      </c>
      <c r="R412" s="2268">
        <f t="shared" ca="1" si="97"/>
        <v>-2446.8457832258928</v>
      </c>
      <c r="S412" s="2477">
        <f t="shared" ca="1" si="94"/>
        <v>0</v>
      </c>
      <c r="T412" s="2268">
        <f ca="1"/>
        <v>738.00228322589305</v>
      </c>
      <c r="U412" s="2268">
        <v>1708.8434999999999</v>
      </c>
      <c r="V412" s="2268">
        <v>0</v>
      </c>
    </row>
    <row r="413" spans="2:24" ht="12.75" thickBot="1">
      <c r="B413" s="2311">
        <v>11</v>
      </c>
      <c r="C413" s="2309">
        <f t="shared" si="87"/>
        <v>48334</v>
      </c>
      <c r="D413" s="2273">
        <f t="shared" ca="1" si="88"/>
        <v>2753.511745924804</v>
      </c>
      <c r="E413" s="2273">
        <f t="shared" si="89"/>
        <v>0</v>
      </c>
      <c r="F413" s="2273">
        <f t="shared" ca="1" si="90"/>
        <v>2753.511745924804</v>
      </c>
      <c r="G413" s="2273">
        <v>0</v>
      </c>
      <c r="H413" s="2420">
        <f t="shared" ca="1" si="95"/>
        <v>6.0899538769513956E-2</v>
      </c>
      <c r="I413" s="2420"/>
      <c r="J413" s="2268">
        <f t="shared" si="98"/>
        <v>90428</v>
      </c>
      <c r="L413" s="2268">
        <f t="shared" ca="1" si="91"/>
        <v>2753.511745924804</v>
      </c>
      <c r="M413" s="2268">
        <f t="shared" ca="1" si="92"/>
        <v>2753.511745924804</v>
      </c>
      <c r="P413" s="2268">
        <f t="shared" ca="1" si="96"/>
        <v>0</v>
      </c>
      <c r="Q413" s="2268">
        <f t="shared" ca="1" si="93"/>
        <v>2753.511745924804</v>
      </c>
      <c r="R413" s="2268">
        <f t="shared" ca="1" si="97"/>
        <v>-2753.511745924804</v>
      </c>
      <c r="S413" s="2477">
        <f t="shared" ca="1" si="94"/>
        <v>0</v>
      </c>
      <c r="T413" s="2268">
        <f ca="1"/>
        <v>1044.6682459248043</v>
      </c>
      <c r="U413" s="2268">
        <v>1708.8434999999999</v>
      </c>
      <c r="V413" s="2268">
        <v>0</v>
      </c>
    </row>
    <row r="414" spans="2:24" ht="12.75" thickBot="1">
      <c r="B414" s="2311">
        <v>12</v>
      </c>
      <c r="C414" s="2309">
        <f t="shared" si="87"/>
        <v>48518</v>
      </c>
      <c r="D414" s="2273">
        <f t="shared" ca="1" si="88"/>
        <v>2987.7350397829691</v>
      </c>
      <c r="E414" s="2273">
        <f t="shared" si="89"/>
        <v>0</v>
      </c>
      <c r="F414" s="2273">
        <f t="shared" ca="1" si="90"/>
        <v>2987.7350397829691</v>
      </c>
      <c r="G414" s="2273">
        <v>0</v>
      </c>
      <c r="H414" s="2420">
        <f t="shared" ca="1" si="95"/>
        <v>6.6079865523576087E-2</v>
      </c>
      <c r="I414" s="2420"/>
      <c r="J414" s="2268">
        <f t="shared" si="98"/>
        <v>90428</v>
      </c>
      <c r="L414" s="2268">
        <f t="shared" ca="1" si="91"/>
        <v>2987.7350397829691</v>
      </c>
      <c r="M414" s="2268">
        <f t="shared" ca="1" si="92"/>
        <v>2987.7350397829691</v>
      </c>
      <c r="P414" s="2268">
        <f t="shared" ca="1" si="96"/>
        <v>0</v>
      </c>
      <c r="Q414" s="2268">
        <f t="shared" ca="1" si="93"/>
        <v>2987.7350397829691</v>
      </c>
      <c r="R414" s="2268">
        <f t="shared" ca="1" si="97"/>
        <v>-2987.7350397829691</v>
      </c>
      <c r="S414" s="2477">
        <f t="shared" ca="1" si="94"/>
        <v>0</v>
      </c>
      <c r="T414" s="2268">
        <f ca="1"/>
        <v>1278.8915397829692</v>
      </c>
      <c r="U414" s="2268">
        <v>1708.8434999999999</v>
      </c>
      <c r="V414" s="2268">
        <v>0</v>
      </c>
    </row>
    <row r="415" spans="2:24" ht="12.75" thickBot="1">
      <c r="B415" s="2311">
        <v>13</v>
      </c>
      <c r="C415" s="2309">
        <f t="shared" si="87"/>
        <v>48699</v>
      </c>
      <c r="D415" s="2273">
        <f t="shared" ca="1" si="88"/>
        <v>2974.2250160240446</v>
      </c>
      <c r="E415" s="2273">
        <f t="shared" si="89"/>
        <v>0</v>
      </c>
      <c r="F415" s="2273">
        <f t="shared" ca="1" si="90"/>
        <v>2974.2250160240446</v>
      </c>
      <c r="G415" s="2273">
        <v>0</v>
      </c>
      <c r="H415" s="2420">
        <f t="shared" ca="1" si="95"/>
        <v>6.5781063741850859E-2</v>
      </c>
      <c r="I415" s="2420"/>
      <c r="J415" s="2268">
        <f t="shared" si="98"/>
        <v>90428</v>
      </c>
      <c r="L415" s="2268">
        <f t="shared" ca="1" si="91"/>
        <v>2974.2250160240446</v>
      </c>
      <c r="M415" s="2268">
        <f t="shared" ca="1" si="92"/>
        <v>2974.2250160240446</v>
      </c>
      <c r="P415" s="2268">
        <f t="shared" ca="1" si="96"/>
        <v>0</v>
      </c>
      <c r="Q415" s="2268">
        <f t="shared" ca="1" si="93"/>
        <v>2974.2250160240446</v>
      </c>
      <c r="R415" s="2268">
        <f t="shared" ca="1" si="97"/>
        <v>-2974.2250160240446</v>
      </c>
      <c r="S415" s="2477">
        <f t="shared" ca="1" si="94"/>
        <v>0</v>
      </c>
      <c r="T415" s="2268">
        <f ca="1"/>
        <v>1265.3815160240447</v>
      </c>
      <c r="U415" s="2268">
        <v>1708.8434999999999</v>
      </c>
      <c r="V415" s="2268">
        <v>0</v>
      </c>
    </row>
    <row r="416" spans="2:24" ht="12.75" thickBot="1">
      <c r="B416" s="2311">
        <v>14</v>
      </c>
      <c r="C416" s="2309">
        <f t="shared" si="87"/>
        <v>48883</v>
      </c>
      <c r="D416" s="2273">
        <f t="shared" ca="1" si="88"/>
        <v>3214.303892228666</v>
      </c>
      <c r="E416" s="2273">
        <f t="shared" si="89"/>
        <v>0</v>
      </c>
      <c r="F416" s="2273">
        <f t="shared" ca="1" si="90"/>
        <v>3214.303892228666</v>
      </c>
      <c r="G416" s="2273">
        <v>0</v>
      </c>
      <c r="H416" s="2420">
        <f t="shared" ca="1" si="95"/>
        <v>7.109089866476459E-2</v>
      </c>
      <c r="I416" s="2420"/>
      <c r="J416" s="2268">
        <f t="shared" si="98"/>
        <v>90428</v>
      </c>
      <c r="L416" s="2268">
        <f t="shared" ca="1" si="91"/>
        <v>3214.303892228666</v>
      </c>
      <c r="M416" s="2268">
        <f t="shared" ca="1" si="92"/>
        <v>3214.303892228666</v>
      </c>
      <c r="P416" s="2268">
        <f t="shared" ca="1" si="96"/>
        <v>0</v>
      </c>
      <c r="Q416" s="2268">
        <f t="shared" ca="1" si="93"/>
        <v>3214.303892228666</v>
      </c>
      <c r="R416" s="2268">
        <f t="shared" ca="1" si="97"/>
        <v>-3214.303892228666</v>
      </c>
      <c r="S416" s="2477">
        <f t="shared" ca="1" si="94"/>
        <v>0</v>
      </c>
      <c r="T416" s="2268">
        <f ca="1"/>
        <v>1505.4603922286658</v>
      </c>
      <c r="U416" s="2268">
        <v>1708.8434999999999</v>
      </c>
      <c r="V416" s="2268">
        <v>0</v>
      </c>
    </row>
    <row r="417" spans="2:22" ht="12.75" thickBot="1">
      <c r="B417" s="2311">
        <v>15</v>
      </c>
      <c r="C417" s="2309">
        <f t="shared" si="87"/>
        <v>49064</v>
      </c>
      <c r="D417" s="2273">
        <f t="shared" ca="1" si="88"/>
        <v>3200.1100758641778</v>
      </c>
      <c r="E417" s="2273">
        <f t="shared" si="89"/>
        <v>0</v>
      </c>
      <c r="F417" s="2273">
        <f t="shared" ca="1" si="90"/>
        <v>3200.1100758641778</v>
      </c>
      <c r="G417" s="2273">
        <v>0</v>
      </c>
      <c r="H417" s="2420">
        <f t="shared" ca="1" si="95"/>
        <v>7.077697341230986E-2</v>
      </c>
      <c r="I417" s="2420"/>
      <c r="J417" s="2268">
        <f t="shared" si="98"/>
        <v>90428</v>
      </c>
      <c r="L417" s="2268">
        <f t="shared" ca="1" si="91"/>
        <v>3200.1100758641778</v>
      </c>
      <c r="M417" s="2268">
        <f t="shared" ca="1" si="92"/>
        <v>3200.1100758641778</v>
      </c>
      <c r="P417" s="2268">
        <f t="shared" ca="1" si="96"/>
        <v>0</v>
      </c>
      <c r="Q417" s="2268">
        <f t="shared" ca="1" si="93"/>
        <v>3200.1100758641778</v>
      </c>
      <c r="R417" s="2268">
        <f t="shared" ca="1" si="97"/>
        <v>-3200.1100758641778</v>
      </c>
      <c r="S417" s="2477">
        <f t="shared" ca="1" si="94"/>
        <v>0</v>
      </c>
      <c r="T417" s="2268">
        <f ca="1"/>
        <v>1491.2665758641781</v>
      </c>
      <c r="U417" s="2268">
        <v>1708.8434999999999</v>
      </c>
      <c r="V417" s="2268">
        <v>0</v>
      </c>
    </row>
    <row r="418" spans="2:22" ht="12.75" thickBot="1">
      <c r="B418" s="2311">
        <v>16</v>
      </c>
      <c r="C418" s="2309">
        <f t="shared" si="87"/>
        <v>49248</v>
      </c>
      <c r="D418" s="2273">
        <f t="shared" ca="1" si="88"/>
        <v>2547.7026972966128</v>
      </c>
      <c r="E418" s="2273">
        <f t="shared" si="89"/>
        <v>0</v>
      </c>
      <c r="F418" s="2273">
        <f t="shared" ca="1" si="90"/>
        <v>2547.7026972966128</v>
      </c>
      <c r="G418" s="2273">
        <v>0</v>
      </c>
      <c r="H418" s="2420">
        <f t="shared" ca="1" si="95"/>
        <v>5.634765111020066E-2</v>
      </c>
      <c r="I418" s="2420"/>
      <c r="J418" s="2268">
        <f t="shared" si="98"/>
        <v>90428</v>
      </c>
      <c r="L418" s="2268">
        <f t="shared" ca="1" si="91"/>
        <v>2547.7026972966128</v>
      </c>
      <c r="M418" s="2268">
        <f t="shared" ca="1" si="92"/>
        <v>2547.7026972966128</v>
      </c>
      <c r="P418" s="2268">
        <f t="shared" ca="1" si="96"/>
        <v>0</v>
      </c>
      <c r="Q418" s="2268">
        <f t="shared" ca="1" si="93"/>
        <v>2547.7026972966128</v>
      </c>
      <c r="R418" s="2268">
        <f t="shared" ca="1" si="97"/>
        <v>-2547.7026972966128</v>
      </c>
      <c r="S418" s="2477">
        <f t="shared" ca="1" si="94"/>
        <v>0</v>
      </c>
      <c r="T418" s="2268">
        <f ca="1"/>
        <v>838.85919729661293</v>
      </c>
      <c r="U418" s="2268">
        <v>1708.8434999999999</v>
      </c>
      <c r="V418" s="2268">
        <v>0</v>
      </c>
    </row>
    <row r="419" spans="2:22" ht="12.75" thickBot="1">
      <c r="B419" s="2311">
        <v>17</v>
      </c>
      <c r="C419" s="2309">
        <f t="shared" si="87"/>
        <v>49429</v>
      </c>
      <c r="D419" s="2273">
        <f t="shared" ca="1" si="88"/>
        <v>3244.0479855807271</v>
      </c>
      <c r="E419" s="2273">
        <f t="shared" si="89"/>
        <v>0</v>
      </c>
      <c r="F419" s="2273">
        <f t="shared" ca="1" si="90"/>
        <v>3244.0479855807271</v>
      </c>
      <c r="G419" s="2273">
        <v>0</v>
      </c>
      <c r="H419" s="2420">
        <f t="shared" ca="1" si="95"/>
        <v>7.174875006813658E-2</v>
      </c>
      <c r="I419" s="2420"/>
      <c r="J419" s="2268">
        <f t="shared" si="98"/>
        <v>90428</v>
      </c>
      <c r="L419" s="2268">
        <f t="shared" ca="1" si="91"/>
        <v>3244.0479855807271</v>
      </c>
      <c r="M419" s="2268">
        <f t="shared" ca="1" si="92"/>
        <v>3244.0479855807271</v>
      </c>
      <c r="P419" s="2268">
        <f t="shared" ca="1" si="96"/>
        <v>0</v>
      </c>
      <c r="Q419" s="2268">
        <f t="shared" ca="1" si="93"/>
        <v>3244.0479855807271</v>
      </c>
      <c r="R419" s="2268">
        <f t="shared" ca="1" si="97"/>
        <v>-3244.0479855807271</v>
      </c>
      <c r="S419" s="2477">
        <f t="shared" ca="1" si="94"/>
        <v>0</v>
      </c>
      <c r="T419" s="2268">
        <f ca="1"/>
        <v>1535.2044855807274</v>
      </c>
      <c r="U419" s="2268">
        <v>1708.8434999999999</v>
      </c>
      <c r="V419" s="2268">
        <v>0</v>
      </c>
    </row>
    <row r="420" spans="2:22" ht="12.75" thickBot="1">
      <c r="B420" s="2311">
        <v>18</v>
      </c>
      <c r="C420" s="2309">
        <f t="shared" si="87"/>
        <v>49613</v>
      </c>
      <c r="D420" s="2273">
        <f t="shared" ca="1" si="88"/>
        <v>3459.3763884551076</v>
      </c>
      <c r="E420" s="2273">
        <f t="shared" si="89"/>
        <v>0</v>
      </c>
      <c r="F420" s="2273">
        <f t="shared" ca="1" si="90"/>
        <v>3459.3763884551076</v>
      </c>
      <c r="G420" s="2273">
        <v>0</v>
      </c>
      <c r="H420" s="2420">
        <f t="shared" ca="1" si="95"/>
        <v>7.651117769839226E-2</v>
      </c>
      <c r="I420" s="2420"/>
      <c r="J420" s="2268">
        <f t="shared" si="98"/>
        <v>90428</v>
      </c>
      <c r="L420" s="2268">
        <f t="shared" ca="1" si="91"/>
        <v>3459.3763884551076</v>
      </c>
      <c r="M420" s="2268">
        <f t="shared" ca="1" si="92"/>
        <v>3459.3763884551076</v>
      </c>
      <c r="P420" s="2268">
        <f t="shared" ca="1" si="96"/>
        <v>0</v>
      </c>
      <c r="Q420" s="2268">
        <f t="shared" ca="1" si="93"/>
        <v>3459.3763884551076</v>
      </c>
      <c r="R420" s="2268">
        <f t="shared" ca="1" si="97"/>
        <v>-3459.3763884551076</v>
      </c>
      <c r="S420" s="2477">
        <f t="shared" ca="1" si="94"/>
        <v>0</v>
      </c>
      <c r="T420" s="2268">
        <f ca="1"/>
        <v>1750.5328884551077</v>
      </c>
      <c r="U420" s="2268">
        <v>1708.8434999999999</v>
      </c>
      <c r="V420" s="2268">
        <v>0</v>
      </c>
    </row>
    <row r="421" spans="2:22" ht="12.75" thickBot="1">
      <c r="B421" s="2311">
        <v>19</v>
      </c>
      <c r="C421" s="2309">
        <f t="shared" si="87"/>
        <v>49795</v>
      </c>
      <c r="D421" s="2273">
        <f t="shared" ca="1" si="88"/>
        <v>3570.8529526719544</v>
      </c>
      <c r="E421" s="2273">
        <f t="shared" si="89"/>
        <v>0</v>
      </c>
      <c r="F421" s="2273">
        <f t="shared" ca="1" si="90"/>
        <v>3570.8529526719544</v>
      </c>
      <c r="G421" s="2273">
        <v>0</v>
      </c>
      <c r="H421" s="2420">
        <f t="shared" ca="1" si="95"/>
        <v>7.8976709706550061E-2</v>
      </c>
      <c r="I421" s="2420"/>
      <c r="J421" s="2268">
        <f t="shared" si="98"/>
        <v>90428</v>
      </c>
      <c r="L421" s="2268">
        <f t="shared" ca="1" si="91"/>
        <v>3570.8529526719544</v>
      </c>
      <c r="M421" s="2268">
        <f t="shared" ca="1" si="92"/>
        <v>3570.8529526719544</v>
      </c>
      <c r="P421" s="2268">
        <f t="shared" ca="1" si="96"/>
        <v>0</v>
      </c>
      <c r="Q421" s="2268">
        <f t="shared" ca="1" si="93"/>
        <v>3570.8529526719544</v>
      </c>
      <c r="R421" s="2268">
        <f t="shared" ca="1" si="97"/>
        <v>-3570.8529526719544</v>
      </c>
      <c r="S421" s="2477">
        <f t="shared" ca="1" si="94"/>
        <v>0</v>
      </c>
      <c r="T421" s="2268">
        <f ca="1"/>
        <v>1862.0094526719545</v>
      </c>
      <c r="U421" s="2268">
        <v>1708.8434999999999</v>
      </c>
      <c r="V421" s="2268">
        <v>0</v>
      </c>
    </row>
    <row r="422" spans="2:22" ht="12.75" thickBot="1">
      <c r="B422" s="2311">
        <v>20</v>
      </c>
      <c r="C422" s="2309">
        <f t="shared" si="87"/>
        <v>49979</v>
      </c>
      <c r="D422" s="2471">
        <f ca="1">D423-SUM(D402:D421)</f>
        <v>156109.20073743467</v>
      </c>
      <c r="E422" s="2471">
        <f t="shared" si="89"/>
        <v>90428</v>
      </c>
      <c r="F422" s="2273">
        <f t="shared" ca="1" si="90"/>
        <v>3697.3726921172929</v>
      </c>
      <c r="G422" s="2471">
        <f ca="1">D422-E422-F422</f>
        <v>61983.828045317379</v>
      </c>
      <c r="H422" s="2420">
        <f t="shared" ca="1" si="95"/>
        <v>8.1774952274014531E-2</v>
      </c>
      <c r="I422" s="2420"/>
      <c r="J422" s="2268">
        <f t="shared" si="98"/>
        <v>90428</v>
      </c>
      <c r="L422" s="2268">
        <f t="shared" ca="1" si="91"/>
        <v>94125.372692117293</v>
      </c>
      <c r="M422" s="2268">
        <f t="shared" ca="1" si="92"/>
        <v>156109.20073743467</v>
      </c>
      <c r="P422" s="2473">
        <f t="shared" ca="1" si="96"/>
        <v>0</v>
      </c>
      <c r="Q422" s="2473">
        <f t="shared" ca="1" si="93"/>
        <v>3697.3726921172929</v>
      </c>
      <c r="R422" s="2473">
        <f t="shared" ca="1" si="97"/>
        <v>-3697.3726921172929</v>
      </c>
      <c r="S422" s="2478">
        <f t="shared" ca="1" si="94"/>
        <v>0</v>
      </c>
      <c r="T422" s="2473">
        <f ca="1"/>
        <v>106887.22723743464</v>
      </c>
      <c r="U422" s="2473">
        <v>1708.8434999999999</v>
      </c>
      <c r="V422" s="2473">
        <v>104898.69804531735</v>
      </c>
    </row>
    <row r="423" spans="2:22" ht="12.75" thickBot="1">
      <c r="B423" s="3076" t="s">
        <v>1472</v>
      </c>
      <c r="C423" s="3077"/>
      <c r="D423" s="2479">
        <f ca="1">D396</f>
        <v>105510.06668783468</v>
      </c>
      <c r="E423" s="2277">
        <f>SUM(E402:E422)</f>
        <v>0</v>
      </c>
      <c r="F423" s="2277">
        <f ca="1">SUM(F402:F422)</f>
        <v>43526.238642517274</v>
      </c>
      <c r="G423" s="2277">
        <f ca="1">SUM(G402:G422)</f>
        <v>61983.828045317379</v>
      </c>
      <c r="H423" s="2307">
        <f t="shared" ca="1" si="95"/>
        <v>5.4128764522035501E-2</v>
      </c>
      <c r="I423" s="2307">
        <f ca="1">SUM(F423,G423)/J423*2</f>
        <v>0.13121118967700834</v>
      </c>
      <c r="J423" s="2268">
        <f>SUM(J403:J422)</f>
        <v>1608248</v>
      </c>
      <c r="L423" s="2466">
        <f ca="1">XIRR(L402:L422,C402:C422)</f>
        <v>5.2728465199470526E-2</v>
      </c>
      <c r="M423" s="2466">
        <f ca="1">XIRR(M402:M422,C402:C422)</f>
        <v>0.10229644179344177</v>
      </c>
      <c r="Q423" s="2268"/>
      <c r="R423" s="2268"/>
      <c r="S423" s="2268"/>
      <c r="T423" s="2268"/>
    </row>
    <row r="424" spans="2:22">
      <c r="D424" s="2468">
        <f ca="1">D423/J422+1</f>
        <v>2.1667853617002995</v>
      </c>
      <c r="E424" s="2268"/>
    </row>
    <row r="433" spans="1:11" ht="16.5">
      <c r="A433" s="2399" t="s">
        <v>1567</v>
      </c>
      <c r="C433"/>
      <c r="D433"/>
      <c r="E433"/>
      <c r="F433"/>
      <c r="G433"/>
      <c r="H433"/>
      <c r="I433"/>
      <c r="J433" s="2312"/>
      <c r="K433" s="2312"/>
    </row>
    <row r="434" spans="1:11">
      <c r="B434" s="2281" t="s">
        <v>619</v>
      </c>
      <c r="C434" s="2282" t="s">
        <v>1568</v>
      </c>
      <c r="D434" s="2282" t="s">
        <v>1569</v>
      </c>
      <c r="E434" s="2282" t="s">
        <v>1570</v>
      </c>
      <c r="F434" s="2282" t="s">
        <v>684</v>
      </c>
      <c r="G434" s="2282" t="s">
        <v>685</v>
      </c>
      <c r="H434" s="2282" t="s">
        <v>13</v>
      </c>
      <c r="I434" s="2380" t="s">
        <v>1571</v>
      </c>
      <c r="J434" s="2312"/>
      <c r="K434" s="2312"/>
    </row>
    <row r="435" spans="1:11">
      <c r="B435" s="2382" t="s">
        <v>1560</v>
      </c>
      <c r="C435" s="2382" t="s">
        <v>1572</v>
      </c>
      <c r="D435" s="2406">
        <f>'A&amp;R'!P32/1000</f>
        <v>160000</v>
      </c>
      <c r="E435" s="2384">
        <f>'A&amp;R'!Q32</f>
        <v>4.7750000000000001E-2</v>
      </c>
      <c r="F435" s="2384">
        <f>'A&amp;R'!R32</f>
        <v>1.4500000000000001E-2</v>
      </c>
      <c r="G435" s="2384">
        <f>'A&amp;R'!S32</f>
        <v>5.5E-2</v>
      </c>
      <c r="H435" s="2385">
        <f>'A&amp;R'!M32</f>
        <v>46326</v>
      </c>
      <c r="I435" s="2386">
        <f>'A&amp;R'!N32</f>
        <v>47057</v>
      </c>
      <c r="J435" s="2312"/>
      <c r="K435" s="2312"/>
    </row>
    <row r="436" spans="1:11">
      <c r="B436" s="2382"/>
      <c r="C436" s="2382" t="s">
        <v>1573</v>
      </c>
      <c r="D436" s="2406">
        <f>'A&amp;R'!P33/1000</f>
        <v>213000</v>
      </c>
      <c r="E436" s="2384">
        <f>'A&amp;R'!Q33</f>
        <v>4.8000000000000001E-2</v>
      </c>
      <c r="F436" s="2384">
        <f>'A&amp;R'!R33</f>
        <v>0</v>
      </c>
      <c r="G436" s="2384">
        <f>'A&amp;R'!S33</f>
        <v>4.8000000000000001E-2</v>
      </c>
      <c r="H436" s="2385">
        <f>'A&amp;R'!M33</f>
        <v>47057</v>
      </c>
      <c r="I436" s="2386">
        <f>'A&amp;R'!N33</f>
        <v>48152</v>
      </c>
      <c r="J436" s="2312"/>
      <c r="K436" s="2312"/>
    </row>
    <row r="437" spans="1:11">
      <c r="B437" s="2382"/>
      <c r="C437" s="2382" t="s">
        <v>1574</v>
      </c>
      <c r="D437" s="2406">
        <f>'A&amp;R'!P34/1000</f>
        <v>213000</v>
      </c>
      <c r="E437" s="2384">
        <f>'A&amp;R'!Q34</f>
        <v>4.4999999999999998E-2</v>
      </c>
      <c r="F437" s="2384">
        <f>'A&amp;R'!R34</f>
        <v>0</v>
      </c>
      <c r="G437" s="2384">
        <f>'A&amp;R'!S34</f>
        <v>4.4999999999999998E-2</v>
      </c>
      <c r="H437" s="2385">
        <f>'A&amp;R'!M34</f>
        <v>48152</v>
      </c>
      <c r="I437" s="2386">
        <f>'A&amp;R'!N34</f>
        <v>49979</v>
      </c>
      <c r="J437" s="2312"/>
      <c r="K437" s="2312"/>
    </row>
    <row r="438" spans="1:11">
      <c r="B438" s="2382" t="s">
        <v>1562</v>
      </c>
      <c r="C438" s="2382" t="s">
        <v>1572</v>
      </c>
      <c r="D438" s="2406">
        <f>'A&amp;R'!P35/1000</f>
        <v>38000</v>
      </c>
      <c r="E438" s="2384">
        <f>'A&amp;R'!Q35</f>
        <v>0.06</v>
      </c>
      <c r="F438" s="2384">
        <f>'A&amp;R'!R35</f>
        <v>0.01</v>
      </c>
      <c r="G438" s="2384">
        <f>'A&amp;R'!S35</f>
        <v>6.5000000000000002E-2</v>
      </c>
      <c r="H438" s="2385">
        <f>'A&amp;R'!M35</f>
        <v>46326</v>
      </c>
      <c r="I438" s="2386">
        <f>'A&amp;R'!N35</f>
        <v>47057</v>
      </c>
      <c r="J438" s="2312"/>
      <c r="K438" s="2312"/>
    </row>
    <row r="439" spans="1:11">
      <c r="B439" s="2382"/>
      <c r="C439" s="2382" t="s">
        <v>1573</v>
      </c>
      <c r="D439" s="2406">
        <f>'A&amp;R'!P36/1000</f>
        <v>0</v>
      </c>
      <c r="E439" s="2384">
        <f>'A&amp;R'!Q36</f>
        <v>5.7000000000000002E-2</v>
      </c>
      <c r="F439" s="2384">
        <f>'A&amp;R'!R36</f>
        <v>0</v>
      </c>
      <c r="G439" s="2384">
        <f>'A&amp;R'!S36</f>
        <v>5.7000000000000002E-2</v>
      </c>
      <c r="H439" s="2385">
        <f>'A&amp;R'!M36</f>
        <v>47057</v>
      </c>
      <c r="I439" s="2386">
        <f>'A&amp;R'!N36</f>
        <v>48152</v>
      </c>
      <c r="J439" s="2312"/>
      <c r="K439" s="2312"/>
    </row>
    <row r="440" spans="1:11">
      <c r="B440" s="2382"/>
      <c r="C440" s="2382" t="s">
        <v>1574</v>
      </c>
      <c r="D440" s="2406">
        <f>'A&amp;R'!P37/1000</f>
        <v>0</v>
      </c>
      <c r="E440" s="2384">
        <f>'A&amp;R'!Q37</f>
        <v>5.7000000000000002E-2</v>
      </c>
      <c r="F440" s="2384">
        <f>'A&amp;R'!R37</f>
        <v>0</v>
      </c>
      <c r="G440" s="2384">
        <f>'A&amp;R'!S37</f>
        <v>5.7000000000000002E-2</v>
      </c>
      <c r="H440" s="2385">
        <f>'A&amp;R'!M37</f>
        <v>48152</v>
      </c>
      <c r="I440" s="2386">
        <f>'A&amp;R'!N37</f>
        <v>49979</v>
      </c>
      <c r="J440" s="2312"/>
      <c r="K440" s="2312"/>
    </row>
    <row r="441" spans="1:11" ht="16.5">
      <c r="A441"/>
      <c r="B441"/>
      <c r="C441"/>
      <c r="D441"/>
      <c r="E441"/>
      <c r="F441"/>
      <c r="G441"/>
      <c r="H441"/>
      <c r="I441"/>
      <c r="J441"/>
      <c r="K441" s="2312"/>
    </row>
    <row r="442" spans="1:11" ht="16.5">
      <c r="A442" s="2399" t="s">
        <v>1575</v>
      </c>
      <c r="C442"/>
      <c r="D442"/>
      <c r="E442"/>
      <c r="F442"/>
      <c r="G442" s="2398"/>
      <c r="H442" s="2398"/>
      <c r="I442" s="2398"/>
      <c r="J442" s="2312"/>
    </row>
    <row r="443" spans="1:11">
      <c r="B443" s="3082" t="s">
        <v>619</v>
      </c>
      <c r="C443" s="3083"/>
      <c r="D443" s="2387" t="s">
        <v>1576</v>
      </c>
      <c r="E443" s="2388" t="s">
        <v>1577</v>
      </c>
      <c r="F443" s="2282" t="s">
        <v>1578</v>
      </c>
      <c r="G443" s="2397" t="s">
        <v>1579</v>
      </c>
      <c r="H443" s="2387" t="s">
        <v>13</v>
      </c>
      <c r="I443" s="2389" t="s">
        <v>1571</v>
      </c>
      <c r="J443" s="2312"/>
    </row>
    <row r="444" spans="1:11">
      <c r="B444" s="2382" t="str">
        <f>D7</f>
        <v>우선주(1종)</v>
      </c>
      <c r="C444" s="2383">
        <f>'A&amp;R'!Q41/1000</f>
        <v>24000</v>
      </c>
      <c r="D444" s="2384">
        <f>'A&amp;R'!R41</f>
        <v>0.24291497975708501</v>
      </c>
      <c r="E444" s="2384">
        <f>'A&amp;R'!S41</f>
        <v>7.0000000000000007E-2</v>
      </c>
      <c r="F444" s="2384">
        <f>'A&amp;R'!T41</f>
        <v>0</v>
      </c>
      <c r="G444" s="2384">
        <f>'A&amp;R'!U41</f>
        <v>0.02</v>
      </c>
      <c r="H444" s="2385">
        <f>'A&amp;R'!M41</f>
        <v>46326</v>
      </c>
      <c r="I444" s="2386">
        <f>'A&amp;R'!N41</f>
        <v>49979</v>
      </c>
      <c r="J444" s="2312"/>
    </row>
    <row r="445" spans="1:11">
      <c r="B445" s="2382" t="str">
        <f>D8</f>
        <v>우선주(2종)</v>
      </c>
      <c r="C445" s="2383">
        <f>'A&amp;R'!Q42/1000</f>
        <v>50000</v>
      </c>
      <c r="D445" s="2384">
        <f>'A&amp;R'!R42</f>
        <v>0.50607287449392713</v>
      </c>
      <c r="E445" s="2384">
        <f>'A&amp;R'!S42</f>
        <v>7.4999999999999997E-2</v>
      </c>
      <c r="F445" s="2384">
        <f>'A&amp;R'!T42</f>
        <v>0.2</v>
      </c>
      <c r="G445" s="2384">
        <f>'A&amp;R'!U42</f>
        <v>0.02</v>
      </c>
      <c r="H445" s="2385">
        <f>'A&amp;R'!M42</f>
        <v>46326</v>
      </c>
      <c r="I445" s="2386">
        <f>'A&amp;R'!N42</f>
        <v>49979</v>
      </c>
      <c r="J445" s="2312"/>
    </row>
    <row r="446" spans="1:11">
      <c r="B446" s="2382" t="str">
        <f>D9</f>
        <v>우선주(3종)</v>
      </c>
      <c r="C446" s="2383">
        <f>'A&amp;R'!Q43/1000</f>
        <v>10000</v>
      </c>
      <c r="D446" s="2384">
        <f>'A&amp;R'!R43</f>
        <v>0.10121457489878542</v>
      </c>
      <c r="E446" s="2384">
        <f>'A&amp;R'!S43</f>
        <v>0</v>
      </c>
      <c r="F446" s="2384">
        <f>'A&amp;R'!T43</f>
        <v>0</v>
      </c>
      <c r="G446" s="2394">
        <f>'A&amp;R'!U43</f>
        <v>0</v>
      </c>
      <c r="H446" s="2385">
        <f>'A&amp;R'!M43</f>
        <v>46326</v>
      </c>
      <c r="I446" s="2386">
        <f>'A&amp;R'!N43</f>
        <v>47057</v>
      </c>
      <c r="J446" s="2312"/>
    </row>
    <row r="447" spans="1:11">
      <c r="B447" s="2382" t="str">
        <f>D10</f>
        <v>보통주</v>
      </c>
      <c r="C447" s="2383">
        <f>'A&amp;R'!Q44/1000</f>
        <v>14800</v>
      </c>
      <c r="D447" s="2384">
        <f>'A&amp;R'!R44</f>
        <v>0.14979757085020243</v>
      </c>
      <c r="E447" s="2396" t="s">
        <v>1580</v>
      </c>
      <c r="F447" s="2384">
        <f>'A&amp;R'!T44</f>
        <v>0.8</v>
      </c>
      <c r="G447" s="2384">
        <f>'A&amp;R'!U44</f>
        <v>1.4E-2</v>
      </c>
      <c r="H447" s="2385">
        <f>'A&amp;R'!M44</f>
        <v>46326</v>
      </c>
      <c r="I447" s="2386">
        <f>'A&amp;R'!N44</f>
        <v>49979</v>
      </c>
      <c r="J447" s="2312"/>
    </row>
    <row r="448" spans="1:11">
      <c r="B448" s="2390" t="s">
        <v>104</v>
      </c>
      <c r="C448" s="2392">
        <f>SUM(C444:C447)</f>
        <v>98800</v>
      </c>
      <c r="D448" s="2391">
        <f>SUM(D444:D447)</f>
        <v>0.99999999999999989</v>
      </c>
      <c r="E448" s="2391"/>
      <c r="F448" s="2391"/>
      <c r="G448" s="2395"/>
      <c r="H448" s="2392"/>
      <c r="I448" s="2393"/>
      <c r="J448" s="2312"/>
    </row>
    <row r="449" spans="1:15">
      <c r="J449" s="2312"/>
    </row>
    <row r="450" spans="1:15">
      <c r="A450" s="2232" t="s">
        <v>1617</v>
      </c>
      <c r="J450" s="2312"/>
    </row>
    <row r="451" spans="1:15">
      <c r="B451" s="2254" t="s">
        <v>24</v>
      </c>
      <c r="C451" s="2255" t="s">
        <v>1534</v>
      </c>
      <c r="D451" s="2255" t="s">
        <v>1474</v>
      </c>
      <c r="E451" s="2435">
        <v>3</v>
      </c>
      <c r="F451" s="2435">
        <f>E451+3</f>
        <v>6</v>
      </c>
      <c r="G451" s="2435">
        <f t="shared" ref="G451:L451" si="99">F451+3</f>
        <v>9</v>
      </c>
      <c r="H451" s="2435">
        <f t="shared" si="99"/>
        <v>12</v>
      </c>
      <c r="I451" s="2435">
        <f t="shared" si="99"/>
        <v>15</v>
      </c>
      <c r="J451" s="2435">
        <f t="shared" si="99"/>
        <v>18</v>
      </c>
      <c r="K451" s="2435">
        <f t="shared" si="99"/>
        <v>21</v>
      </c>
      <c r="L451" s="2436">
        <f t="shared" si="99"/>
        <v>24</v>
      </c>
    </row>
    <row r="452" spans="1:15">
      <c r="B452" s="2437" t="s">
        <v>1618</v>
      </c>
      <c r="C452" s="2438">
        <f>SUM(E452:L452)</f>
        <v>15280</v>
      </c>
      <c r="D452" s="2438">
        <f t="shared" ref="D452:D461" si="100">MIN(E452:L452)</f>
        <v>1910</v>
      </c>
      <c r="E452" s="2438">
        <f>O452</f>
        <v>1910</v>
      </c>
      <c r="F452" s="2438">
        <f t="shared" ref="F452:L453" si="101">E452</f>
        <v>1910</v>
      </c>
      <c r="G452" s="2438">
        <f t="shared" si="101"/>
        <v>1910</v>
      </c>
      <c r="H452" s="2438">
        <f t="shared" si="101"/>
        <v>1910</v>
      </c>
      <c r="I452" s="2438">
        <f t="shared" si="101"/>
        <v>1910</v>
      </c>
      <c r="J452" s="2438">
        <f t="shared" si="101"/>
        <v>1910</v>
      </c>
      <c r="K452" s="2438">
        <f t="shared" si="101"/>
        <v>1910</v>
      </c>
      <c r="L452" s="2439">
        <f t="shared" si="101"/>
        <v>1910</v>
      </c>
      <c r="M452" s="2268">
        <f>'A&amp;R'!P32/1000</f>
        <v>160000</v>
      </c>
      <c r="N452" s="2252">
        <f>'A&amp;R'!Q32</f>
        <v>4.7750000000000001E-2</v>
      </c>
      <c r="O452" s="2268">
        <f>M452*N452/4</f>
        <v>1910</v>
      </c>
    </row>
    <row r="453" spans="1:15">
      <c r="B453" s="2440" t="s">
        <v>1619</v>
      </c>
      <c r="C453" s="2441">
        <f>SUM(E453:L453)</f>
        <v>4560</v>
      </c>
      <c r="D453" s="2441">
        <f t="shared" si="100"/>
        <v>570</v>
      </c>
      <c r="E453" s="2441">
        <f>O453</f>
        <v>570</v>
      </c>
      <c r="F453" s="2441">
        <f t="shared" si="101"/>
        <v>570</v>
      </c>
      <c r="G453" s="2441">
        <f t="shared" si="101"/>
        <v>570</v>
      </c>
      <c r="H453" s="2441">
        <f t="shared" si="101"/>
        <v>570</v>
      </c>
      <c r="I453" s="2441">
        <f t="shared" si="101"/>
        <v>570</v>
      </c>
      <c r="J453" s="2441">
        <f t="shared" si="101"/>
        <v>570</v>
      </c>
      <c r="K453" s="2441">
        <f t="shared" si="101"/>
        <v>570</v>
      </c>
      <c r="L453" s="2442">
        <f t="shared" si="101"/>
        <v>570</v>
      </c>
      <c r="M453" s="2268">
        <f>'A&amp;R'!P35/1000</f>
        <v>38000</v>
      </c>
      <c r="N453" s="2252">
        <f>'A&amp;R'!Q35</f>
        <v>0.06</v>
      </c>
      <c r="O453" s="2268">
        <f>M453*N453/4</f>
        <v>570</v>
      </c>
    </row>
    <row r="454" spans="1:15">
      <c r="B454" s="2437" t="s">
        <v>484</v>
      </c>
      <c r="C454" s="2438">
        <f>SUM(E454:L454)</f>
        <v>26567.151367611241</v>
      </c>
      <c r="D454" s="2438">
        <f t="shared" si="100"/>
        <v>3125.9762084123004</v>
      </c>
      <c r="E454" s="2438">
        <f t="shared" ref="E454:L454" si="102">E560</f>
        <v>3125.9762084123004</v>
      </c>
      <c r="F454" s="2438">
        <f t="shared" si="102"/>
        <v>3217.0417975380801</v>
      </c>
      <c r="G454" s="2438">
        <f t="shared" si="102"/>
        <v>3303.8999666168315</v>
      </c>
      <c r="H454" s="2438">
        <f t="shared" si="102"/>
        <v>3458.447009179331</v>
      </c>
      <c r="I454" s="2438">
        <f t="shared" si="102"/>
        <v>3219.6813367037303</v>
      </c>
      <c r="J454" s="2438">
        <f t="shared" si="102"/>
        <v>3301.8783613076566</v>
      </c>
      <c r="K454" s="2438">
        <f t="shared" si="102"/>
        <v>3390.907984613375</v>
      </c>
      <c r="L454" s="2439">
        <f t="shared" si="102"/>
        <v>3549.3187032399373</v>
      </c>
      <c r="M454" s="2268"/>
      <c r="N454" s="2268"/>
      <c r="O454" s="2268"/>
    </row>
    <row r="455" spans="1:15">
      <c r="B455" s="2443" t="s">
        <v>1620</v>
      </c>
      <c r="C455" s="2444">
        <f>SUM(E455:L455)</f>
        <v>26567.151367611241</v>
      </c>
      <c r="D455" s="2444">
        <f t="shared" si="100"/>
        <v>3125.9762084123004</v>
      </c>
      <c r="E455" s="2444">
        <f t="shared" ref="E455:L455" si="103">SUM(E454:E454)</f>
        <v>3125.9762084123004</v>
      </c>
      <c r="F455" s="2444">
        <f t="shared" si="103"/>
        <v>3217.0417975380801</v>
      </c>
      <c r="G455" s="2444">
        <f t="shared" si="103"/>
        <v>3303.8999666168315</v>
      </c>
      <c r="H455" s="2444">
        <f t="shared" si="103"/>
        <v>3458.447009179331</v>
      </c>
      <c r="I455" s="2444">
        <f t="shared" si="103"/>
        <v>3219.6813367037303</v>
      </c>
      <c r="J455" s="2444">
        <f t="shared" si="103"/>
        <v>3301.8783613076566</v>
      </c>
      <c r="K455" s="2444">
        <f t="shared" si="103"/>
        <v>3390.907984613375</v>
      </c>
      <c r="L455" s="2445">
        <f t="shared" si="103"/>
        <v>3549.3187032399373</v>
      </c>
      <c r="M455" s="2268"/>
      <c r="N455" s="2268"/>
      <c r="O455" s="2268"/>
    </row>
    <row r="456" spans="1:15">
      <c r="B456" s="2440" t="s">
        <v>1622</v>
      </c>
      <c r="C456" s="2441"/>
      <c r="D456" s="2441">
        <f t="shared" ca="1" si="100"/>
        <v>6814.3046457462915</v>
      </c>
      <c r="E456" s="2446">
        <f ca="1">SUMIF('CF(M)'!$L$5:$EQ$5,'DSCR(선,중)'!F$4,'CF(M)'!$L$121:$EQ$121)/1000</f>
        <v>11907.021181751214</v>
      </c>
      <c r="F456" s="2446">
        <f ca="1">SUMIF('CF(M)'!$L$5:$EQ$5,'DSCR(선,중)'!G$4,'CF(M)'!$L$121:$EQ$121)/1000</f>
        <v>12480.21020354706</v>
      </c>
      <c r="G456" s="2446">
        <f ca="1">SUMIF('CF(M)'!$L$5:$EQ$5,'DSCR(선,중)'!H$4,'CF(M)'!$L$121:$EQ$121)/1000</f>
        <v>10085.373001186665</v>
      </c>
      <c r="H456" s="2446">
        <f ca="1">SUMIF('CF(M)'!$L$5:$EQ$5,'DSCR(선,중)'!I$4,'CF(M)'!$L$121:$EQ$121)/1000</f>
        <v>10836.285714935044</v>
      </c>
      <c r="I456" s="2446">
        <f ca="1">SUMIF('CF(M)'!$L$5:$EQ$5,'DSCR(선,중)'!J$4,'CF(M)'!$L$121:$EQ$121)/1000</f>
        <v>7723.6008700154198</v>
      </c>
      <c r="J456" s="2446">
        <f ca="1">SUMIF('CF(M)'!$L$5:$EQ$5,'DSCR(선,중)'!K$4,'CF(M)'!$L$121:$EQ$121)/1000</f>
        <v>8572.3297119625713</v>
      </c>
      <c r="K456" s="2446">
        <f ca="1">SUMIF('CF(M)'!$L$5:$EQ$5,'DSCR(선,중)'!L$4,'CF(M)'!$L$121:$EQ$121)/1000</f>
        <v>6814.3046457462915</v>
      </c>
      <c r="L456" s="2447">
        <f ca="1">SUMIF('CF(M)'!$L$5:$EQ$5,'DSCR(선,중)'!M$4,'CF(M)'!$L$121:$EQ$121)/1000</f>
        <v>7571.3166757667232</v>
      </c>
    </row>
    <row r="457" spans="1:15">
      <c r="B457" s="2443" t="s">
        <v>1621</v>
      </c>
      <c r="C457" s="2444">
        <f ca="1">SUM(E457:L457)</f>
        <v>102557.59337252223</v>
      </c>
      <c r="D457" s="2444">
        <f t="shared" ca="1" si="100"/>
        <v>10205.212630359667</v>
      </c>
      <c r="E457" s="2371">
        <f t="shared" ref="E457:L457" ca="1" si="104">E455+E456</f>
        <v>15032.997390163513</v>
      </c>
      <c r="F457" s="2371">
        <f t="shared" ca="1" si="104"/>
        <v>15697.25200108514</v>
      </c>
      <c r="G457" s="2371">
        <f t="shared" ca="1" si="104"/>
        <v>13389.272967803496</v>
      </c>
      <c r="H457" s="2371">
        <f t="shared" ca="1" si="104"/>
        <v>14294.732724114376</v>
      </c>
      <c r="I457" s="2371">
        <f t="shared" ca="1" si="104"/>
        <v>10943.28220671915</v>
      </c>
      <c r="J457" s="2371">
        <f t="shared" ca="1" si="104"/>
        <v>11874.208073270227</v>
      </c>
      <c r="K457" s="2371">
        <f t="shared" ca="1" si="104"/>
        <v>10205.212630359667</v>
      </c>
      <c r="L457" s="2448">
        <f t="shared" ca="1" si="104"/>
        <v>11120.635379006661</v>
      </c>
    </row>
    <row r="458" spans="1:15">
      <c r="B458" s="2437" t="s">
        <v>798</v>
      </c>
      <c r="C458" s="2449">
        <f>C455/C452</f>
        <v>1.7386879167284843</v>
      </c>
      <c r="D458" s="2449">
        <f t="shared" si="100"/>
        <v>1.6366367583310473</v>
      </c>
      <c r="E458" s="2449">
        <f t="shared" ref="E458:L458" si="105">E455/E452</f>
        <v>1.6366367583310473</v>
      </c>
      <c r="F458" s="2449">
        <f t="shared" si="105"/>
        <v>1.6843150772450681</v>
      </c>
      <c r="G458" s="2449">
        <f t="shared" si="105"/>
        <v>1.7297905584381317</v>
      </c>
      <c r="H458" s="2449">
        <f t="shared" si="105"/>
        <v>1.8107052404080266</v>
      </c>
      <c r="I458" s="2449">
        <f t="shared" si="105"/>
        <v>1.685697034923419</v>
      </c>
      <c r="J458" s="2449">
        <f t="shared" si="105"/>
        <v>1.7287321263390873</v>
      </c>
      <c r="K458" s="2449">
        <f t="shared" si="105"/>
        <v>1.7753444945619765</v>
      </c>
      <c r="L458" s="2450">
        <f t="shared" si="105"/>
        <v>1.8582820435811189</v>
      </c>
    </row>
    <row r="459" spans="1:15">
      <c r="B459" s="2440" t="s">
        <v>797</v>
      </c>
      <c r="C459" s="2451">
        <f>C455/SUM(C452:C453)</f>
        <v>1.3390701294158891</v>
      </c>
      <c r="D459" s="2451">
        <f t="shared" si="100"/>
        <v>1.260474277585605</v>
      </c>
      <c r="E459" s="2451">
        <f t="shared" ref="E459:L459" si="106">E455/SUM(E452:E453)</f>
        <v>1.260474277585605</v>
      </c>
      <c r="F459" s="2451">
        <f t="shared" si="106"/>
        <v>1.2971942732008388</v>
      </c>
      <c r="G459" s="2451">
        <f t="shared" si="106"/>
        <v>1.3322177284745289</v>
      </c>
      <c r="H459" s="2451">
        <f t="shared" si="106"/>
        <v>1.3945350843465045</v>
      </c>
      <c r="I459" s="2451">
        <f t="shared" si="106"/>
        <v>1.2982586035095687</v>
      </c>
      <c r="J459" s="2451">
        <f t="shared" si="106"/>
        <v>1.33140256504341</v>
      </c>
      <c r="K459" s="2451">
        <f t="shared" si="106"/>
        <v>1.3673016066989416</v>
      </c>
      <c r="L459" s="2452">
        <f t="shared" si="106"/>
        <v>1.4311768964677167</v>
      </c>
    </row>
    <row r="460" spans="1:15" hidden="1">
      <c r="B460" s="2423" t="s">
        <v>1623</v>
      </c>
      <c r="C460" s="2427">
        <f ca="1">C457/C452</f>
        <v>6.7118843830184707</v>
      </c>
      <c r="D460" s="2427">
        <f t="shared" ca="1" si="100"/>
        <v>5.3430432619684121</v>
      </c>
      <c r="E460" s="2427">
        <f t="shared" ref="E460:L460" ca="1" si="107">E457/E452</f>
        <v>7.870679261865714</v>
      </c>
      <c r="F460" s="2427">
        <f t="shared" ca="1" si="107"/>
        <v>8.2184565450707545</v>
      </c>
      <c r="G460" s="2427">
        <f t="shared" ca="1" si="107"/>
        <v>7.0100905590594218</v>
      </c>
      <c r="H460" s="2427">
        <f t="shared" ca="1" si="107"/>
        <v>7.4841532586986261</v>
      </c>
      <c r="I460" s="2427">
        <f t="shared" ca="1" si="107"/>
        <v>5.7294671239367281</v>
      </c>
      <c r="J460" s="2427">
        <f t="shared" ca="1" si="107"/>
        <v>6.2168628655865064</v>
      </c>
      <c r="K460" s="2427">
        <f t="shared" ca="1" si="107"/>
        <v>5.3430432619684121</v>
      </c>
      <c r="L460" s="2428">
        <f t="shared" ca="1" si="107"/>
        <v>5.8223221879616025</v>
      </c>
    </row>
    <row r="461" spans="1:15" hidden="1">
      <c r="B461" s="2422" t="s">
        <v>1624</v>
      </c>
      <c r="C461" s="2429">
        <f ca="1">C457/(C452+C453)</f>
        <v>5.1692335369214835</v>
      </c>
      <c r="D461" s="2429">
        <f t="shared" ca="1" si="100"/>
        <v>4.1150050928869621</v>
      </c>
      <c r="E461" s="2429">
        <f t="shared" ref="E461:L461" ca="1" si="108">E457/(E452+E453)</f>
        <v>6.0616924960336744</v>
      </c>
      <c r="F461" s="2429">
        <f t="shared" ca="1" si="108"/>
        <v>6.32953709721175</v>
      </c>
      <c r="G461" s="2429">
        <f t="shared" ca="1" si="108"/>
        <v>5.3989003902433454</v>
      </c>
      <c r="H461" s="2429">
        <f t="shared" ca="1" si="108"/>
        <v>5.764005130691281</v>
      </c>
      <c r="I461" s="2429">
        <f t="shared" ca="1" si="108"/>
        <v>4.4126137930319151</v>
      </c>
      <c r="J461" s="2429">
        <f t="shared" ca="1" si="108"/>
        <v>4.7879871263186402</v>
      </c>
      <c r="K461" s="2429">
        <f t="shared" ca="1" si="108"/>
        <v>4.1150050928869621</v>
      </c>
      <c r="L461" s="2430">
        <f t="shared" ca="1" si="108"/>
        <v>4.4841271689542985</v>
      </c>
    </row>
    <row r="462" spans="1:15">
      <c r="C462" s="2431"/>
      <c r="E462" s="2431"/>
      <c r="F462" s="2431"/>
      <c r="G462" s="2431"/>
      <c r="H462" s="2431"/>
      <c r="I462" s="2431"/>
      <c r="J462" s="2431"/>
      <c r="K462" s="2431"/>
      <c r="L462" s="2431"/>
    </row>
    <row r="463" spans="1:15">
      <c r="C463" s="2431"/>
      <c r="E463" s="2431"/>
      <c r="F463" s="2431"/>
      <c r="G463" s="2431"/>
      <c r="H463" s="2431"/>
      <c r="I463" s="2431"/>
      <c r="J463" s="2431"/>
      <c r="K463" s="2431"/>
      <c r="L463" s="2431"/>
    </row>
    <row r="464" spans="1:15">
      <c r="C464" s="2484">
        <f t="shared" ref="C464:C474" si="109">L464*K464/4</f>
        <v>1910</v>
      </c>
      <c r="D464" s="2484">
        <f>C464</f>
        <v>1910</v>
      </c>
      <c r="E464" s="2484">
        <f t="shared" ref="E464:J464" si="110">D464</f>
        <v>1910</v>
      </c>
      <c r="F464" s="2484">
        <f t="shared" si="110"/>
        <v>1910</v>
      </c>
      <c r="G464" s="2484">
        <f t="shared" si="110"/>
        <v>1910</v>
      </c>
      <c r="H464" s="2484">
        <f t="shared" si="110"/>
        <v>1910</v>
      </c>
      <c r="I464" s="2484">
        <f t="shared" si="110"/>
        <v>1910</v>
      </c>
      <c r="J464" s="2484">
        <f t="shared" si="110"/>
        <v>1910</v>
      </c>
      <c r="K464" s="2268">
        <f>M452</f>
        <v>160000</v>
      </c>
      <c r="L464" s="2252">
        <f>N452</f>
        <v>4.7750000000000001E-2</v>
      </c>
    </row>
    <row r="465" spans="3:12">
      <c r="C465" s="2484">
        <f t="shared" si="109"/>
        <v>1950</v>
      </c>
      <c r="D465" s="2484">
        <f t="shared" ref="D465:J465" si="111">C465</f>
        <v>1950</v>
      </c>
      <c r="E465" s="2484">
        <f t="shared" si="111"/>
        <v>1950</v>
      </c>
      <c r="F465" s="2484">
        <f t="shared" si="111"/>
        <v>1950</v>
      </c>
      <c r="G465" s="2484">
        <f t="shared" si="111"/>
        <v>1950</v>
      </c>
      <c r="H465" s="2484">
        <f t="shared" si="111"/>
        <v>1950</v>
      </c>
      <c r="I465" s="2484">
        <f t="shared" si="111"/>
        <v>1950</v>
      </c>
      <c r="J465" s="2484">
        <f t="shared" si="111"/>
        <v>1950</v>
      </c>
      <c r="K465" s="2268">
        <f>K464</f>
        <v>160000</v>
      </c>
      <c r="L465" s="2252">
        <f>L464+0.1%</f>
        <v>4.8750000000000002E-2</v>
      </c>
    </row>
    <row r="466" spans="3:12">
      <c r="C466" s="2484">
        <f t="shared" si="109"/>
        <v>1990</v>
      </c>
      <c r="D466" s="2484">
        <f t="shared" ref="D466:J466" si="112">C466</f>
        <v>1990</v>
      </c>
      <c r="E466" s="2484">
        <f t="shared" si="112"/>
        <v>1990</v>
      </c>
      <c r="F466" s="2484">
        <f t="shared" si="112"/>
        <v>1990</v>
      </c>
      <c r="G466" s="2484">
        <f t="shared" si="112"/>
        <v>1990</v>
      </c>
      <c r="H466" s="2484">
        <f t="shared" si="112"/>
        <v>1990</v>
      </c>
      <c r="I466" s="2484">
        <f t="shared" si="112"/>
        <v>1990</v>
      </c>
      <c r="J466" s="2484">
        <f t="shared" si="112"/>
        <v>1990</v>
      </c>
      <c r="K466" s="2268">
        <f t="shared" ref="K466:K474" si="113">K465</f>
        <v>160000</v>
      </c>
      <c r="L466" s="2252">
        <f t="shared" ref="L466:L474" si="114">L465+0.1%</f>
        <v>4.9750000000000003E-2</v>
      </c>
    </row>
    <row r="467" spans="3:12">
      <c r="C467" s="2484">
        <f t="shared" si="109"/>
        <v>2030.0000000000002</v>
      </c>
      <c r="D467" s="2484">
        <f t="shared" ref="D467:J467" si="115">C467</f>
        <v>2030.0000000000002</v>
      </c>
      <c r="E467" s="2484">
        <f t="shared" si="115"/>
        <v>2030.0000000000002</v>
      </c>
      <c r="F467" s="2484">
        <f t="shared" si="115"/>
        <v>2030.0000000000002</v>
      </c>
      <c r="G467" s="2484">
        <f t="shared" si="115"/>
        <v>2030.0000000000002</v>
      </c>
      <c r="H467" s="2484">
        <f t="shared" si="115"/>
        <v>2030.0000000000002</v>
      </c>
      <c r="I467" s="2484">
        <f t="shared" si="115"/>
        <v>2030.0000000000002</v>
      </c>
      <c r="J467" s="2484">
        <f t="shared" si="115"/>
        <v>2030.0000000000002</v>
      </c>
      <c r="K467" s="2268">
        <f t="shared" si="113"/>
        <v>160000</v>
      </c>
      <c r="L467" s="2252">
        <f t="shared" si="114"/>
        <v>5.0750000000000003E-2</v>
      </c>
    </row>
    <row r="468" spans="3:12">
      <c r="C468" s="2484">
        <f t="shared" si="109"/>
        <v>2070</v>
      </c>
      <c r="D468" s="2484">
        <f t="shared" ref="D468:J468" si="116">C468</f>
        <v>2070</v>
      </c>
      <c r="E468" s="2484">
        <f t="shared" si="116"/>
        <v>2070</v>
      </c>
      <c r="F468" s="2484">
        <f t="shared" si="116"/>
        <v>2070</v>
      </c>
      <c r="G468" s="2484">
        <f t="shared" si="116"/>
        <v>2070</v>
      </c>
      <c r="H468" s="2484">
        <f t="shared" si="116"/>
        <v>2070</v>
      </c>
      <c r="I468" s="2484">
        <f t="shared" si="116"/>
        <v>2070</v>
      </c>
      <c r="J468" s="2484">
        <f t="shared" si="116"/>
        <v>2070</v>
      </c>
      <c r="K468" s="2268">
        <f t="shared" si="113"/>
        <v>160000</v>
      </c>
      <c r="L468" s="2252">
        <f t="shared" si="114"/>
        <v>5.1750000000000004E-2</v>
      </c>
    </row>
    <row r="469" spans="3:12">
      <c r="C469" s="2484">
        <f t="shared" si="109"/>
        <v>2110</v>
      </c>
      <c r="D469" s="2484">
        <f t="shared" ref="D469:J469" si="117">C469</f>
        <v>2110</v>
      </c>
      <c r="E469" s="2484">
        <f t="shared" si="117"/>
        <v>2110</v>
      </c>
      <c r="F469" s="2484">
        <f t="shared" si="117"/>
        <v>2110</v>
      </c>
      <c r="G469" s="2484">
        <f t="shared" si="117"/>
        <v>2110</v>
      </c>
      <c r="H469" s="2484">
        <f t="shared" si="117"/>
        <v>2110</v>
      </c>
      <c r="I469" s="2484">
        <f t="shared" si="117"/>
        <v>2110</v>
      </c>
      <c r="J469" s="2484">
        <f t="shared" si="117"/>
        <v>2110</v>
      </c>
      <c r="K469" s="2268">
        <f t="shared" si="113"/>
        <v>160000</v>
      </c>
      <c r="L469" s="2252">
        <f t="shared" si="114"/>
        <v>5.2750000000000005E-2</v>
      </c>
    </row>
    <row r="470" spans="3:12">
      <c r="C470" s="2484">
        <f t="shared" si="109"/>
        <v>2150.0000000000005</v>
      </c>
      <c r="D470" s="2484">
        <f t="shared" ref="D470:J470" si="118">C470</f>
        <v>2150.0000000000005</v>
      </c>
      <c r="E470" s="2484">
        <f t="shared" si="118"/>
        <v>2150.0000000000005</v>
      </c>
      <c r="F470" s="2484">
        <f t="shared" si="118"/>
        <v>2150.0000000000005</v>
      </c>
      <c r="G470" s="2484">
        <f t="shared" si="118"/>
        <v>2150.0000000000005</v>
      </c>
      <c r="H470" s="2484">
        <f t="shared" si="118"/>
        <v>2150.0000000000005</v>
      </c>
      <c r="I470" s="2484">
        <f t="shared" si="118"/>
        <v>2150.0000000000005</v>
      </c>
      <c r="J470" s="2484">
        <f t="shared" si="118"/>
        <v>2150.0000000000005</v>
      </c>
      <c r="K470" s="2268">
        <f t="shared" si="113"/>
        <v>160000</v>
      </c>
      <c r="L470" s="2252">
        <f t="shared" si="114"/>
        <v>5.3750000000000006E-2</v>
      </c>
    </row>
    <row r="471" spans="3:12">
      <c r="C471" s="2484">
        <f t="shared" si="109"/>
        <v>2190.0000000000005</v>
      </c>
      <c r="D471" s="2484">
        <f t="shared" ref="D471:J471" si="119">C471</f>
        <v>2190.0000000000005</v>
      </c>
      <c r="E471" s="2484">
        <f t="shared" si="119"/>
        <v>2190.0000000000005</v>
      </c>
      <c r="F471" s="2484">
        <f t="shared" si="119"/>
        <v>2190.0000000000005</v>
      </c>
      <c r="G471" s="2484">
        <f t="shared" si="119"/>
        <v>2190.0000000000005</v>
      </c>
      <c r="H471" s="2484">
        <f t="shared" si="119"/>
        <v>2190.0000000000005</v>
      </c>
      <c r="I471" s="2484">
        <f t="shared" si="119"/>
        <v>2190.0000000000005</v>
      </c>
      <c r="J471" s="2484">
        <f t="shared" si="119"/>
        <v>2190.0000000000005</v>
      </c>
      <c r="K471" s="2268">
        <f t="shared" si="113"/>
        <v>160000</v>
      </c>
      <c r="L471" s="2252">
        <f t="shared" si="114"/>
        <v>5.4750000000000007E-2</v>
      </c>
    </row>
    <row r="472" spans="3:12">
      <c r="C472" s="2484">
        <f t="shared" si="109"/>
        <v>2230.0000000000005</v>
      </c>
      <c r="D472" s="2484">
        <f t="shared" ref="D472:J472" si="120">C472</f>
        <v>2230.0000000000005</v>
      </c>
      <c r="E472" s="2484">
        <f t="shared" si="120"/>
        <v>2230.0000000000005</v>
      </c>
      <c r="F472" s="2484">
        <f t="shared" si="120"/>
        <v>2230.0000000000005</v>
      </c>
      <c r="G472" s="2484">
        <f t="shared" si="120"/>
        <v>2230.0000000000005</v>
      </c>
      <c r="H472" s="2484">
        <f t="shared" si="120"/>
        <v>2230.0000000000005</v>
      </c>
      <c r="I472" s="2484">
        <f t="shared" si="120"/>
        <v>2230.0000000000005</v>
      </c>
      <c r="J472" s="2484">
        <f t="shared" si="120"/>
        <v>2230.0000000000005</v>
      </c>
      <c r="K472" s="2268">
        <f t="shared" si="113"/>
        <v>160000</v>
      </c>
      <c r="L472" s="2252">
        <f t="shared" si="114"/>
        <v>5.5750000000000008E-2</v>
      </c>
    </row>
    <row r="473" spans="3:12">
      <c r="C473" s="2484">
        <f t="shared" si="109"/>
        <v>2270.0000000000005</v>
      </c>
      <c r="D473" s="2484">
        <f t="shared" ref="D473:J473" si="121">C473</f>
        <v>2270.0000000000005</v>
      </c>
      <c r="E473" s="2484">
        <f t="shared" si="121"/>
        <v>2270.0000000000005</v>
      </c>
      <c r="F473" s="2484">
        <f t="shared" si="121"/>
        <v>2270.0000000000005</v>
      </c>
      <c r="G473" s="2484">
        <f t="shared" si="121"/>
        <v>2270.0000000000005</v>
      </c>
      <c r="H473" s="2484">
        <f t="shared" si="121"/>
        <v>2270.0000000000005</v>
      </c>
      <c r="I473" s="2484">
        <f t="shared" si="121"/>
        <v>2270.0000000000005</v>
      </c>
      <c r="J473" s="2484">
        <f t="shared" si="121"/>
        <v>2270.0000000000005</v>
      </c>
      <c r="K473" s="2268">
        <f t="shared" si="113"/>
        <v>160000</v>
      </c>
      <c r="L473" s="2252">
        <f t="shared" si="114"/>
        <v>5.6750000000000009E-2</v>
      </c>
    </row>
    <row r="474" spans="3:12">
      <c r="C474" s="2484">
        <f t="shared" si="109"/>
        <v>2310.0000000000005</v>
      </c>
      <c r="D474" s="2484">
        <f t="shared" ref="D474:J474" si="122">C474</f>
        <v>2310.0000000000005</v>
      </c>
      <c r="E474" s="2484">
        <f t="shared" si="122"/>
        <v>2310.0000000000005</v>
      </c>
      <c r="F474" s="2484">
        <f t="shared" si="122"/>
        <v>2310.0000000000005</v>
      </c>
      <c r="G474" s="2484">
        <f t="shared" si="122"/>
        <v>2310.0000000000005</v>
      </c>
      <c r="H474" s="2484">
        <f t="shared" si="122"/>
        <v>2310.0000000000005</v>
      </c>
      <c r="I474" s="2484">
        <f t="shared" si="122"/>
        <v>2310.0000000000005</v>
      </c>
      <c r="J474" s="2484">
        <f t="shared" si="122"/>
        <v>2310.0000000000005</v>
      </c>
      <c r="K474" s="2268">
        <f t="shared" si="113"/>
        <v>160000</v>
      </c>
      <c r="L474" s="2252">
        <f t="shared" si="114"/>
        <v>5.775000000000001E-2</v>
      </c>
    </row>
    <row r="475" spans="3:12">
      <c r="C475" s="2431"/>
      <c r="D475" s="2431"/>
      <c r="E475" s="2431"/>
      <c r="F475" s="2431"/>
      <c r="G475" s="2431"/>
      <c r="H475" s="2431"/>
      <c r="I475" s="2431"/>
      <c r="J475" s="2431"/>
      <c r="L475" s="2252"/>
    </row>
    <row r="476" spans="3:12">
      <c r="C476" s="2484">
        <f t="shared" ref="C476:C486" si="123">L476*K476/4</f>
        <v>570</v>
      </c>
      <c r="D476" s="2484">
        <f>C476</f>
        <v>570</v>
      </c>
      <c r="E476" s="2484">
        <f t="shared" ref="E476:J476" si="124">D476</f>
        <v>570</v>
      </c>
      <c r="F476" s="2484">
        <f t="shared" si="124"/>
        <v>570</v>
      </c>
      <c r="G476" s="2484">
        <f t="shared" si="124"/>
        <v>570</v>
      </c>
      <c r="H476" s="2484">
        <f t="shared" si="124"/>
        <v>570</v>
      </c>
      <c r="I476" s="2484">
        <f t="shared" si="124"/>
        <v>570</v>
      </c>
      <c r="J476" s="2484">
        <f t="shared" si="124"/>
        <v>570</v>
      </c>
      <c r="K476" s="2268">
        <f>M453</f>
        <v>38000</v>
      </c>
      <c r="L476" s="2252">
        <f>N453</f>
        <v>0.06</v>
      </c>
    </row>
    <row r="477" spans="3:12">
      <c r="C477" s="2484">
        <f t="shared" si="123"/>
        <v>579.5</v>
      </c>
      <c r="D477" s="2484">
        <f t="shared" ref="D477:J477" si="125">C477</f>
        <v>579.5</v>
      </c>
      <c r="E477" s="2484">
        <f t="shared" si="125"/>
        <v>579.5</v>
      </c>
      <c r="F477" s="2484">
        <f t="shared" si="125"/>
        <v>579.5</v>
      </c>
      <c r="G477" s="2484">
        <f t="shared" si="125"/>
        <v>579.5</v>
      </c>
      <c r="H477" s="2484">
        <f t="shared" si="125"/>
        <v>579.5</v>
      </c>
      <c r="I477" s="2484">
        <f t="shared" si="125"/>
        <v>579.5</v>
      </c>
      <c r="J477" s="2484">
        <f t="shared" si="125"/>
        <v>579.5</v>
      </c>
      <c r="K477" s="2268">
        <f>K476</f>
        <v>38000</v>
      </c>
      <c r="L477" s="2252">
        <f>L476+0.1%</f>
        <v>6.0999999999999999E-2</v>
      </c>
    </row>
    <row r="478" spans="3:12">
      <c r="C478" s="2484">
        <f t="shared" si="123"/>
        <v>589</v>
      </c>
      <c r="D478" s="2484">
        <f t="shared" ref="D478:J478" si="126">C478</f>
        <v>589</v>
      </c>
      <c r="E478" s="2484">
        <f t="shared" si="126"/>
        <v>589</v>
      </c>
      <c r="F478" s="2484">
        <f t="shared" si="126"/>
        <v>589</v>
      </c>
      <c r="G478" s="2484">
        <f t="shared" si="126"/>
        <v>589</v>
      </c>
      <c r="H478" s="2484">
        <f t="shared" si="126"/>
        <v>589</v>
      </c>
      <c r="I478" s="2484">
        <f t="shared" si="126"/>
        <v>589</v>
      </c>
      <c r="J478" s="2484">
        <f t="shared" si="126"/>
        <v>589</v>
      </c>
      <c r="K478" s="2268">
        <f t="shared" ref="K478:K486" si="127">K477</f>
        <v>38000</v>
      </c>
      <c r="L478" s="2252">
        <f t="shared" ref="L478:L486" si="128">L477+0.1%</f>
        <v>6.2E-2</v>
      </c>
    </row>
    <row r="479" spans="3:12">
      <c r="C479" s="2484">
        <f t="shared" si="123"/>
        <v>598.5</v>
      </c>
      <c r="D479" s="2484">
        <f t="shared" ref="D479:J479" si="129">C479</f>
        <v>598.5</v>
      </c>
      <c r="E479" s="2484">
        <f t="shared" si="129"/>
        <v>598.5</v>
      </c>
      <c r="F479" s="2484">
        <f t="shared" si="129"/>
        <v>598.5</v>
      </c>
      <c r="G479" s="2484">
        <f t="shared" si="129"/>
        <v>598.5</v>
      </c>
      <c r="H479" s="2484">
        <f t="shared" si="129"/>
        <v>598.5</v>
      </c>
      <c r="I479" s="2484">
        <f t="shared" si="129"/>
        <v>598.5</v>
      </c>
      <c r="J479" s="2484">
        <f t="shared" si="129"/>
        <v>598.5</v>
      </c>
      <c r="K479" s="2268">
        <f t="shared" si="127"/>
        <v>38000</v>
      </c>
      <c r="L479" s="2252">
        <f t="shared" si="128"/>
        <v>6.3E-2</v>
      </c>
    </row>
    <row r="480" spans="3:12">
      <c r="C480" s="2484">
        <f t="shared" si="123"/>
        <v>608</v>
      </c>
      <c r="D480" s="2484">
        <f t="shared" ref="D480:J480" si="130">C480</f>
        <v>608</v>
      </c>
      <c r="E480" s="2484">
        <f t="shared" si="130"/>
        <v>608</v>
      </c>
      <c r="F480" s="2484">
        <f t="shared" si="130"/>
        <v>608</v>
      </c>
      <c r="G480" s="2484">
        <f t="shared" si="130"/>
        <v>608</v>
      </c>
      <c r="H480" s="2484">
        <f t="shared" si="130"/>
        <v>608</v>
      </c>
      <c r="I480" s="2484">
        <f t="shared" si="130"/>
        <v>608</v>
      </c>
      <c r="J480" s="2484">
        <f t="shared" si="130"/>
        <v>608</v>
      </c>
      <c r="K480" s="2268">
        <f t="shared" si="127"/>
        <v>38000</v>
      </c>
      <c r="L480" s="2252">
        <f t="shared" si="128"/>
        <v>6.4000000000000001E-2</v>
      </c>
    </row>
    <row r="481" spans="1:12">
      <c r="C481" s="2484">
        <f t="shared" si="123"/>
        <v>617.5</v>
      </c>
      <c r="D481" s="2484">
        <f t="shared" ref="D481:J481" si="131">C481</f>
        <v>617.5</v>
      </c>
      <c r="E481" s="2484">
        <f t="shared" si="131"/>
        <v>617.5</v>
      </c>
      <c r="F481" s="2484">
        <f t="shared" si="131"/>
        <v>617.5</v>
      </c>
      <c r="G481" s="2484">
        <f t="shared" si="131"/>
        <v>617.5</v>
      </c>
      <c r="H481" s="2484">
        <f t="shared" si="131"/>
        <v>617.5</v>
      </c>
      <c r="I481" s="2484">
        <f t="shared" si="131"/>
        <v>617.5</v>
      </c>
      <c r="J481" s="2484">
        <f t="shared" si="131"/>
        <v>617.5</v>
      </c>
      <c r="K481" s="2268">
        <f t="shared" si="127"/>
        <v>38000</v>
      </c>
      <c r="L481" s="2252">
        <f t="shared" si="128"/>
        <v>6.5000000000000002E-2</v>
      </c>
    </row>
    <row r="482" spans="1:12">
      <c r="C482" s="2484">
        <f t="shared" si="123"/>
        <v>627</v>
      </c>
      <c r="D482" s="2484">
        <f t="shared" ref="D482:J482" si="132">C482</f>
        <v>627</v>
      </c>
      <c r="E482" s="2484">
        <f t="shared" si="132"/>
        <v>627</v>
      </c>
      <c r="F482" s="2484">
        <f t="shared" si="132"/>
        <v>627</v>
      </c>
      <c r="G482" s="2484">
        <f t="shared" si="132"/>
        <v>627</v>
      </c>
      <c r="H482" s="2484">
        <f t="shared" si="132"/>
        <v>627</v>
      </c>
      <c r="I482" s="2484">
        <f t="shared" si="132"/>
        <v>627</v>
      </c>
      <c r="J482" s="2484">
        <f t="shared" si="132"/>
        <v>627</v>
      </c>
      <c r="K482" s="2268">
        <f t="shared" si="127"/>
        <v>38000</v>
      </c>
      <c r="L482" s="2252">
        <f t="shared" si="128"/>
        <v>6.6000000000000003E-2</v>
      </c>
    </row>
    <row r="483" spans="1:12">
      <c r="C483" s="2484">
        <f t="shared" si="123"/>
        <v>636.5</v>
      </c>
      <c r="D483" s="2484">
        <f t="shared" ref="D483:J483" si="133">C483</f>
        <v>636.5</v>
      </c>
      <c r="E483" s="2484">
        <f t="shared" si="133"/>
        <v>636.5</v>
      </c>
      <c r="F483" s="2484">
        <f t="shared" si="133"/>
        <v>636.5</v>
      </c>
      <c r="G483" s="2484">
        <f t="shared" si="133"/>
        <v>636.5</v>
      </c>
      <c r="H483" s="2484">
        <f t="shared" si="133"/>
        <v>636.5</v>
      </c>
      <c r="I483" s="2484">
        <f t="shared" si="133"/>
        <v>636.5</v>
      </c>
      <c r="J483" s="2484">
        <f t="shared" si="133"/>
        <v>636.5</v>
      </c>
      <c r="K483" s="2268">
        <f t="shared" si="127"/>
        <v>38000</v>
      </c>
      <c r="L483" s="2252">
        <f t="shared" si="128"/>
        <v>6.7000000000000004E-2</v>
      </c>
    </row>
    <row r="484" spans="1:12">
      <c r="C484" s="2484">
        <f t="shared" si="123"/>
        <v>646</v>
      </c>
      <c r="D484" s="2484">
        <f t="shared" ref="D484:J484" si="134">C484</f>
        <v>646</v>
      </c>
      <c r="E484" s="2484">
        <f t="shared" si="134"/>
        <v>646</v>
      </c>
      <c r="F484" s="2484">
        <f t="shared" si="134"/>
        <v>646</v>
      </c>
      <c r="G484" s="2484">
        <f t="shared" si="134"/>
        <v>646</v>
      </c>
      <c r="H484" s="2484">
        <f t="shared" si="134"/>
        <v>646</v>
      </c>
      <c r="I484" s="2484">
        <f t="shared" si="134"/>
        <v>646</v>
      </c>
      <c r="J484" s="2484">
        <f t="shared" si="134"/>
        <v>646</v>
      </c>
      <c r="K484" s="2268">
        <f t="shared" si="127"/>
        <v>38000</v>
      </c>
      <c r="L484" s="2252">
        <f t="shared" si="128"/>
        <v>6.8000000000000005E-2</v>
      </c>
    </row>
    <row r="485" spans="1:12">
      <c r="C485" s="2484">
        <f t="shared" si="123"/>
        <v>655.5</v>
      </c>
      <c r="D485" s="2484">
        <f t="shared" ref="D485:J485" si="135">C485</f>
        <v>655.5</v>
      </c>
      <c r="E485" s="2484">
        <f t="shared" si="135"/>
        <v>655.5</v>
      </c>
      <c r="F485" s="2484">
        <f t="shared" si="135"/>
        <v>655.5</v>
      </c>
      <c r="G485" s="2484">
        <f t="shared" si="135"/>
        <v>655.5</v>
      </c>
      <c r="H485" s="2484">
        <f t="shared" si="135"/>
        <v>655.5</v>
      </c>
      <c r="I485" s="2484">
        <f t="shared" si="135"/>
        <v>655.5</v>
      </c>
      <c r="J485" s="2484">
        <f t="shared" si="135"/>
        <v>655.5</v>
      </c>
      <c r="K485" s="2268">
        <f t="shared" si="127"/>
        <v>38000</v>
      </c>
      <c r="L485" s="2252">
        <f t="shared" si="128"/>
        <v>6.9000000000000006E-2</v>
      </c>
    </row>
    <row r="486" spans="1:12">
      <c r="C486" s="2484">
        <f t="shared" si="123"/>
        <v>665.00000000000011</v>
      </c>
      <c r="D486" s="2484">
        <f t="shared" ref="D486:J486" si="136">C486</f>
        <v>665.00000000000011</v>
      </c>
      <c r="E486" s="2484">
        <f t="shared" si="136"/>
        <v>665.00000000000011</v>
      </c>
      <c r="F486" s="2484">
        <f t="shared" si="136"/>
        <v>665.00000000000011</v>
      </c>
      <c r="G486" s="2484">
        <f t="shared" si="136"/>
        <v>665.00000000000011</v>
      </c>
      <c r="H486" s="2484">
        <f t="shared" si="136"/>
        <v>665.00000000000011</v>
      </c>
      <c r="I486" s="2484">
        <f t="shared" si="136"/>
        <v>665.00000000000011</v>
      </c>
      <c r="J486" s="2484">
        <f t="shared" si="136"/>
        <v>665.00000000000011</v>
      </c>
      <c r="K486" s="2268">
        <f t="shared" si="127"/>
        <v>38000</v>
      </c>
      <c r="L486" s="2252">
        <f t="shared" si="128"/>
        <v>7.0000000000000007E-2</v>
      </c>
    </row>
    <row r="487" spans="1:12">
      <c r="C487" s="2431"/>
      <c r="E487" s="2431"/>
      <c r="F487" s="2431"/>
      <c r="G487" s="2431"/>
      <c r="H487" s="2431"/>
      <c r="I487" s="2431"/>
      <c r="J487" s="2431"/>
      <c r="K487" s="2431"/>
      <c r="L487" s="2431"/>
    </row>
    <row r="488" spans="1:12">
      <c r="A488" s="2232" t="s">
        <v>1667</v>
      </c>
      <c r="C488" s="2431"/>
      <c r="E488" s="2431"/>
      <c r="F488" s="2431"/>
      <c r="G488" s="2431"/>
      <c r="H488" s="2431"/>
      <c r="I488" s="2431"/>
      <c r="J488" s="2431"/>
      <c r="K488" s="2431"/>
      <c r="L488" s="2431"/>
    </row>
    <row r="489" spans="1:12">
      <c r="B489" s="2254" t="s">
        <v>24</v>
      </c>
      <c r="C489" s="2435">
        <v>3</v>
      </c>
      <c r="D489" s="2435">
        <f>C489+3</f>
        <v>6</v>
      </c>
      <c r="E489" s="2435">
        <f t="shared" ref="E489" si="137">D489+3</f>
        <v>9</v>
      </c>
      <c r="F489" s="2435">
        <f t="shared" ref="F489" si="138">E489+3</f>
        <v>12</v>
      </c>
      <c r="G489" s="2435">
        <f t="shared" ref="G489" si="139">F489+3</f>
        <v>15</v>
      </c>
      <c r="H489" s="2435">
        <f t="shared" ref="H489" si="140">G489+3</f>
        <v>18</v>
      </c>
      <c r="I489" s="2435">
        <f t="shared" ref="I489" si="141">H489+3</f>
        <v>21</v>
      </c>
      <c r="J489" s="2436">
        <f t="shared" ref="J489" si="142">I489+3</f>
        <v>24</v>
      </c>
    </row>
    <row r="490" spans="1:12">
      <c r="B490" s="2499" t="s">
        <v>1666</v>
      </c>
      <c r="C490" s="2500">
        <f t="shared" ref="C490:C500" si="143">E$454/C464</f>
        <v>1.6366367583310473</v>
      </c>
      <c r="D490" s="2500">
        <f t="shared" ref="D490:D500" si="144">F$454/D464</f>
        <v>1.6843150772450681</v>
      </c>
      <c r="E490" s="2500">
        <f t="shared" ref="E490:E500" si="145">G$454/E464</f>
        <v>1.7297905584381317</v>
      </c>
      <c r="F490" s="2500">
        <f t="shared" ref="F490:F500" si="146">H$454/F464</f>
        <v>1.8107052404080266</v>
      </c>
      <c r="G490" s="2500">
        <f t="shared" ref="G490:G500" si="147">I$454/G464</f>
        <v>1.685697034923419</v>
      </c>
      <c r="H490" s="2500">
        <f t="shared" ref="H490:H500" si="148">J$454/H464</f>
        <v>1.7287321263390873</v>
      </c>
      <c r="I490" s="2500">
        <f t="shared" ref="I490:I500" si="149">K$454/I464</f>
        <v>1.7753444945619765</v>
      </c>
      <c r="J490" s="2501">
        <f t="shared" ref="J490:J500" si="150">L$454/J464</f>
        <v>1.8582820435811189</v>
      </c>
    </row>
    <row r="491" spans="1:12">
      <c r="B491" s="2502">
        <v>1E-3</v>
      </c>
      <c r="C491" s="2500">
        <f t="shared" si="143"/>
        <v>1.6030647222627181</v>
      </c>
      <c r="D491" s="2500">
        <f t="shared" si="144"/>
        <v>1.6497650243785027</v>
      </c>
      <c r="E491" s="2500">
        <f t="shared" si="145"/>
        <v>1.6943076751881188</v>
      </c>
      <c r="F491" s="2500">
        <f t="shared" si="146"/>
        <v>1.7735625688099133</v>
      </c>
      <c r="G491" s="2500">
        <f t="shared" si="147"/>
        <v>1.6511186342070412</v>
      </c>
      <c r="H491" s="2500">
        <f t="shared" si="148"/>
        <v>1.693270954516747</v>
      </c>
      <c r="I491" s="2500">
        <f t="shared" si="149"/>
        <v>1.7389271715966026</v>
      </c>
      <c r="J491" s="2501">
        <f t="shared" si="150"/>
        <v>1.8201634375589422</v>
      </c>
    </row>
    <row r="492" spans="1:12">
      <c r="B492" s="2502">
        <f>B491+0.1%</f>
        <v>2E-3</v>
      </c>
      <c r="C492" s="2500">
        <f t="shared" si="143"/>
        <v>1.5708423157850755</v>
      </c>
      <c r="D492" s="2500">
        <f t="shared" si="144"/>
        <v>1.6166039183608443</v>
      </c>
      <c r="E492" s="2500">
        <f t="shared" si="145"/>
        <v>1.6602512395059454</v>
      </c>
      <c r="F492" s="2500">
        <f t="shared" si="146"/>
        <v>1.7379130699393623</v>
      </c>
      <c r="G492" s="2500">
        <f t="shared" si="147"/>
        <v>1.6179303199516233</v>
      </c>
      <c r="H492" s="2500">
        <f t="shared" si="148"/>
        <v>1.6592353574410335</v>
      </c>
      <c r="I492" s="2500">
        <f t="shared" si="149"/>
        <v>1.7039738616147613</v>
      </c>
      <c r="J492" s="2501">
        <f t="shared" si="150"/>
        <v>1.7835772378090138</v>
      </c>
    </row>
    <row r="493" spans="1:12">
      <c r="B493" s="2502">
        <f t="shared" ref="B493:B500" si="151">B492+0.1%</f>
        <v>3.0000000000000001E-3</v>
      </c>
      <c r="C493" s="2500">
        <f t="shared" si="143"/>
        <v>1.5398897578385715</v>
      </c>
      <c r="D493" s="2500">
        <f t="shared" si="144"/>
        <v>1.5847496539596453</v>
      </c>
      <c r="E493" s="2500">
        <f t="shared" si="145"/>
        <v>1.6275369293678972</v>
      </c>
      <c r="F493" s="2500">
        <f t="shared" si="146"/>
        <v>1.7036684774282416</v>
      </c>
      <c r="G493" s="2500">
        <f t="shared" si="147"/>
        <v>1.5860499195584876</v>
      </c>
      <c r="H493" s="2500">
        <f t="shared" si="148"/>
        <v>1.6265410646835745</v>
      </c>
      <c r="I493" s="2500">
        <f t="shared" si="149"/>
        <v>1.6703980219770318</v>
      </c>
      <c r="J493" s="2501">
        <f t="shared" si="150"/>
        <v>1.7484328587388851</v>
      </c>
    </row>
    <row r="494" spans="1:12">
      <c r="B494" s="2502">
        <f t="shared" si="151"/>
        <v>4.0000000000000001E-3</v>
      </c>
      <c r="C494" s="2500">
        <f t="shared" si="143"/>
        <v>1.5101334340156041</v>
      </c>
      <c r="D494" s="2500">
        <f t="shared" si="144"/>
        <v>1.5541264722406185</v>
      </c>
      <c r="E494" s="2500">
        <f t="shared" si="145"/>
        <v>1.5960869403946045</v>
      </c>
      <c r="F494" s="2500">
        <f t="shared" si="146"/>
        <v>1.6707473474296284</v>
      </c>
      <c r="G494" s="2500">
        <f t="shared" si="147"/>
        <v>1.5554016119341691</v>
      </c>
      <c r="H494" s="2500">
        <f t="shared" si="148"/>
        <v>1.595110319472298</v>
      </c>
      <c r="I494" s="2500">
        <f t="shared" si="149"/>
        <v>1.6381197993301329</v>
      </c>
      <c r="J494" s="2501">
        <f t="shared" si="150"/>
        <v>1.7146467165410326</v>
      </c>
    </row>
    <row r="495" spans="1:12">
      <c r="B495" s="2502">
        <f t="shared" si="151"/>
        <v>5.0000000000000001E-3</v>
      </c>
      <c r="C495" s="2500">
        <f t="shared" si="143"/>
        <v>1.4815053120437442</v>
      </c>
      <c r="D495" s="2500">
        <f t="shared" si="144"/>
        <v>1.5246643590227869</v>
      </c>
      <c r="E495" s="2500">
        <f t="shared" si="145"/>
        <v>1.565829368064849</v>
      </c>
      <c r="F495" s="2500">
        <f t="shared" si="146"/>
        <v>1.6390744119333323</v>
      </c>
      <c r="G495" s="2500">
        <f t="shared" si="147"/>
        <v>1.5259153254520048</v>
      </c>
      <c r="H495" s="2500">
        <f t="shared" si="148"/>
        <v>1.5648712612832496</v>
      </c>
      <c r="I495" s="2500">
        <f t="shared" si="149"/>
        <v>1.6070653955513625</v>
      </c>
      <c r="J495" s="2501">
        <f t="shared" si="150"/>
        <v>1.6821415655165579</v>
      </c>
    </row>
    <row r="496" spans="1:12">
      <c r="B496" s="2502">
        <f t="shared" si="151"/>
        <v>6.0000000000000001E-3</v>
      </c>
      <c r="C496" s="2500">
        <f t="shared" si="143"/>
        <v>1.4539424225173487</v>
      </c>
      <c r="D496" s="2500">
        <f t="shared" si="144"/>
        <v>1.4962985104828277</v>
      </c>
      <c r="E496" s="2500">
        <f t="shared" si="145"/>
        <v>1.5366976588915493</v>
      </c>
      <c r="F496" s="2500">
        <f t="shared" si="146"/>
        <v>1.608580004269456</v>
      </c>
      <c r="G496" s="2500">
        <f t="shared" si="147"/>
        <v>1.4975262031180137</v>
      </c>
      <c r="H496" s="2500">
        <f t="shared" si="148"/>
        <v>1.535757377352398</v>
      </c>
      <c r="I496" s="2500">
        <f t="shared" si="149"/>
        <v>1.5771665044713368</v>
      </c>
      <c r="J496" s="2501">
        <f t="shared" si="150"/>
        <v>1.6508459084836915</v>
      </c>
    </row>
    <row r="497" spans="1:10">
      <c r="B497" s="2502">
        <f t="shared" si="151"/>
        <v>7.0000000000000001E-3</v>
      </c>
      <c r="C497" s="2500">
        <f t="shared" si="143"/>
        <v>1.4273863965352966</v>
      </c>
      <c r="D497" s="2500">
        <f t="shared" si="144"/>
        <v>1.4689688573233239</v>
      </c>
      <c r="E497" s="2500">
        <f t="shared" si="145"/>
        <v>1.5086301217428451</v>
      </c>
      <c r="F497" s="2500">
        <f t="shared" si="146"/>
        <v>1.5791995475704705</v>
      </c>
      <c r="G497" s="2500">
        <f t="shared" si="147"/>
        <v>1.4701741263487349</v>
      </c>
      <c r="H497" s="2500">
        <f t="shared" si="148"/>
        <v>1.5077070142957334</v>
      </c>
      <c r="I497" s="2500">
        <f t="shared" si="149"/>
        <v>1.5483598103257417</v>
      </c>
      <c r="J497" s="2501">
        <f t="shared" si="150"/>
        <v>1.6206934717990578</v>
      </c>
    </row>
    <row r="498" spans="1:10">
      <c r="B498" s="2502">
        <f t="shared" si="151"/>
        <v>8.0000000000000002E-3</v>
      </c>
      <c r="C498" s="2500">
        <f t="shared" si="143"/>
        <v>1.401783053099686</v>
      </c>
      <c r="D498" s="2500">
        <f t="shared" si="144"/>
        <v>1.4426196401516052</v>
      </c>
      <c r="E498" s="2500">
        <f t="shared" si="145"/>
        <v>1.4815694917564264</v>
      </c>
      <c r="F498" s="2500">
        <f t="shared" si="146"/>
        <v>1.5508730982866952</v>
      </c>
      <c r="G498" s="2500">
        <f t="shared" si="147"/>
        <v>1.4438032900016724</v>
      </c>
      <c r="H498" s="2500">
        <f t="shared" si="148"/>
        <v>1.4806629422904287</v>
      </c>
      <c r="I498" s="2500">
        <f t="shared" si="149"/>
        <v>1.5205865401853695</v>
      </c>
      <c r="J498" s="2501">
        <f t="shared" si="150"/>
        <v>1.5916227368788953</v>
      </c>
    </row>
    <row r="499" spans="1:10">
      <c r="B499" s="2502">
        <f t="shared" si="151"/>
        <v>9.0000000000000011E-3</v>
      </c>
      <c r="C499" s="2500">
        <f t="shared" si="143"/>
        <v>1.377082030137577</v>
      </c>
      <c r="D499" s="2500">
        <f t="shared" si="144"/>
        <v>1.4171990297524579</v>
      </c>
      <c r="E499" s="2500">
        <f t="shared" si="145"/>
        <v>1.4554625403598374</v>
      </c>
      <c r="F499" s="2500">
        <f t="shared" si="146"/>
        <v>1.5235449379644628</v>
      </c>
      <c r="G499" s="2500">
        <f t="shared" si="147"/>
        <v>1.4183618223364447</v>
      </c>
      <c r="H499" s="2500">
        <f t="shared" si="148"/>
        <v>1.4545719653337692</v>
      </c>
      <c r="I499" s="2500">
        <f t="shared" si="149"/>
        <v>1.4937920637063322</v>
      </c>
      <c r="J499" s="2501">
        <f t="shared" si="150"/>
        <v>1.5635765212510735</v>
      </c>
    </row>
    <row r="500" spans="1:10">
      <c r="B500" s="2502">
        <f t="shared" si="151"/>
        <v>1.0000000000000002E-2</v>
      </c>
      <c r="C500" s="2500">
        <f t="shared" si="143"/>
        <v>1.3532364538581385</v>
      </c>
      <c r="D500" s="2500">
        <f t="shared" si="144"/>
        <v>1.3926587868130214</v>
      </c>
      <c r="E500" s="2500">
        <f t="shared" si="145"/>
        <v>1.430259725808152</v>
      </c>
      <c r="F500" s="2500">
        <f t="shared" si="146"/>
        <v>1.4971632074369394</v>
      </c>
      <c r="G500" s="2500">
        <f t="shared" si="147"/>
        <v>1.3938014444604889</v>
      </c>
      <c r="H500" s="2500">
        <f t="shared" si="148"/>
        <v>1.4293845719946563</v>
      </c>
      <c r="I500" s="2500">
        <f t="shared" si="149"/>
        <v>1.4679255344646642</v>
      </c>
      <c r="J500" s="2501">
        <f t="shared" si="150"/>
        <v>1.5365016031341716</v>
      </c>
    </row>
    <row r="501" spans="1:10">
      <c r="B501" s="2278"/>
      <c r="C501" s="2503">
        <f>C490-E458</f>
        <v>0</v>
      </c>
      <c r="D501" s="2503">
        <f t="shared" ref="D501:J501" si="152">D490-F458</f>
        <v>0</v>
      </c>
      <c r="E501" s="2503">
        <f t="shared" si="152"/>
        <v>0</v>
      </c>
      <c r="F501" s="2503">
        <f t="shared" si="152"/>
        <v>0</v>
      </c>
      <c r="G501" s="2503">
        <f t="shared" si="152"/>
        <v>0</v>
      </c>
      <c r="H501" s="2503">
        <f t="shared" si="152"/>
        <v>0</v>
      </c>
      <c r="I501" s="2503">
        <f t="shared" si="152"/>
        <v>0</v>
      </c>
      <c r="J501" s="2503">
        <f t="shared" si="152"/>
        <v>0</v>
      </c>
    </row>
    <row r="502" spans="1:10">
      <c r="A502" s="2232" t="s">
        <v>1668</v>
      </c>
      <c r="B502" s="2278"/>
      <c r="C502" s="2278"/>
      <c r="D502" s="2278"/>
      <c r="E502" s="2278"/>
      <c r="F502" s="2278"/>
      <c r="G502" s="2278"/>
      <c r="H502" s="2278"/>
      <c r="I502" s="2278"/>
      <c r="J502" s="2278"/>
    </row>
    <row r="503" spans="1:10">
      <c r="B503" s="2254" t="s">
        <v>24</v>
      </c>
      <c r="C503" s="2435">
        <v>3</v>
      </c>
      <c r="D503" s="2435">
        <f>C503+3</f>
        <v>6</v>
      </c>
      <c r="E503" s="2435">
        <f t="shared" ref="E503" si="153">D503+3</f>
        <v>9</v>
      </c>
      <c r="F503" s="2435">
        <f t="shared" ref="F503" si="154">E503+3</f>
        <v>12</v>
      </c>
      <c r="G503" s="2435">
        <f t="shared" ref="G503" si="155">F503+3</f>
        <v>15</v>
      </c>
      <c r="H503" s="2435">
        <f t="shared" ref="H503" si="156">G503+3</f>
        <v>18</v>
      </c>
      <c r="I503" s="2435">
        <f t="shared" ref="I503" si="157">H503+3</f>
        <v>21</v>
      </c>
      <c r="J503" s="2436">
        <f t="shared" ref="J503" si="158">I503+3</f>
        <v>24</v>
      </c>
    </row>
    <row r="504" spans="1:10">
      <c r="B504" s="2499" t="s">
        <v>1666</v>
      </c>
      <c r="C504" s="2500">
        <f t="shared" ref="C504:C514" si="159">E$454/SUM(C464,C476)</f>
        <v>1.260474277585605</v>
      </c>
      <c r="D504" s="2500">
        <f t="shared" ref="D504:D514" si="160">F$454/SUM(D464,D476)</f>
        <v>1.2971942732008388</v>
      </c>
      <c r="E504" s="2500">
        <f t="shared" ref="E504:E514" si="161">G$454/SUM(E464,E476)</f>
        <v>1.3322177284745289</v>
      </c>
      <c r="F504" s="2500">
        <f t="shared" ref="F504:F514" si="162">H$454/SUM(F464,F476)</f>
        <v>1.3945350843465045</v>
      </c>
      <c r="G504" s="2500">
        <f t="shared" ref="G504:G514" si="163">I$454/SUM(G464,G476)</f>
        <v>1.2982586035095687</v>
      </c>
      <c r="H504" s="2500">
        <f t="shared" ref="H504:H514" si="164">J$454/SUM(H464,H476)</f>
        <v>1.33140256504341</v>
      </c>
      <c r="I504" s="2500">
        <f t="shared" ref="I504:I514" si="165">K$454/SUM(I464,I476)</f>
        <v>1.3673016066989416</v>
      </c>
      <c r="J504" s="2501">
        <f t="shared" ref="J504:J514" si="166">L$454/SUM(J464,J476)</f>
        <v>1.4311768964677167</v>
      </c>
    </row>
    <row r="505" spans="1:10">
      <c r="B505" s="2502">
        <v>1E-3</v>
      </c>
      <c r="C505" s="2500">
        <f t="shared" si="159"/>
        <v>1.2358079495601109</v>
      </c>
      <c r="D505" s="2500">
        <f t="shared" si="160"/>
        <v>1.2718093684673177</v>
      </c>
      <c r="E505" s="2500">
        <f t="shared" si="161"/>
        <v>1.30614744677479</v>
      </c>
      <c r="F505" s="2500">
        <f t="shared" si="162"/>
        <v>1.3672453090252346</v>
      </c>
      <c r="G505" s="2500">
        <f t="shared" si="163"/>
        <v>1.2728528708059814</v>
      </c>
      <c r="H505" s="2500">
        <f t="shared" si="164"/>
        <v>1.30534823534598</v>
      </c>
      <c r="I505" s="2500">
        <f t="shared" si="165"/>
        <v>1.3405447656111387</v>
      </c>
      <c r="J505" s="2501">
        <f t="shared" si="166"/>
        <v>1.4031700744178444</v>
      </c>
    </row>
    <row r="506" spans="1:10">
      <c r="B506" s="2502">
        <f>B505+0.1%</f>
        <v>2E-3</v>
      </c>
      <c r="C506" s="2500">
        <f t="shared" si="159"/>
        <v>1.2120884871703375</v>
      </c>
      <c r="D506" s="2500">
        <f t="shared" si="160"/>
        <v>1.2473989133532688</v>
      </c>
      <c r="E506" s="2500">
        <f t="shared" si="161"/>
        <v>1.2810779242407258</v>
      </c>
      <c r="F506" s="2500">
        <f t="shared" si="162"/>
        <v>1.3410031055367704</v>
      </c>
      <c r="G506" s="2500">
        <f t="shared" si="163"/>
        <v>1.2484223872445639</v>
      </c>
      <c r="H506" s="2500">
        <f t="shared" si="164"/>
        <v>1.2802940524651636</v>
      </c>
      <c r="I506" s="2500">
        <f t="shared" si="165"/>
        <v>1.3148150386248061</v>
      </c>
      <c r="J506" s="2501">
        <f t="shared" si="166"/>
        <v>1.3762383494532522</v>
      </c>
    </row>
    <row r="507" spans="1:10">
      <c r="B507" s="2502">
        <f t="shared" ref="B507:B514" si="167">B506+0.1%</f>
        <v>3.0000000000000001E-3</v>
      </c>
      <c r="C507" s="2500">
        <f t="shared" si="159"/>
        <v>1.1892623962002284</v>
      </c>
      <c r="D507" s="2500">
        <f t="shared" si="160"/>
        <v>1.223907855255119</v>
      </c>
      <c r="E507" s="2500">
        <f t="shared" si="161"/>
        <v>1.256952621881998</v>
      </c>
      <c r="F507" s="2500">
        <f t="shared" si="162"/>
        <v>1.3157492901576302</v>
      </c>
      <c r="G507" s="2500">
        <f t="shared" si="163"/>
        <v>1.2249120550518282</v>
      </c>
      <c r="H507" s="2500">
        <f t="shared" si="164"/>
        <v>1.2561835120059566</v>
      </c>
      <c r="I507" s="2500">
        <f t="shared" si="165"/>
        <v>1.2900543977985068</v>
      </c>
      <c r="J507" s="2501">
        <f t="shared" si="166"/>
        <v>1.3503209827810301</v>
      </c>
    </row>
    <row r="508" spans="1:10">
      <c r="B508" s="2502">
        <f t="shared" si="167"/>
        <v>4.0000000000000001E-3</v>
      </c>
      <c r="C508" s="2500">
        <f t="shared" si="159"/>
        <v>1.1672801375699404</v>
      </c>
      <c r="D508" s="2500">
        <f t="shared" si="160"/>
        <v>1.2012852119260942</v>
      </c>
      <c r="E508" s="2500">
        <f t="shared" si="161"/>
        <v>1.2337191809622223</v>
      </c>
      <c r="F508" s="2500">
        <f t="shared" si="162"/>
        <v>1.2914290549586747</v>
      </c>
      <c r="G508" s="2500">
        <f t="shared" si="163"/>
        <v>1.2022708501507582</v>
      </c>
      <c r="H508" s="2500">
        <f t="shared" si="164"/>
        <v>1.2329642872694759</v>
      </c>
      <c r="I508" s="2500">
        <f t="shared" si="165"/>
        <v>1.2662091055315068</v>
      </c>
      <c r="J508" s="2501">
        <f t="shared" si="166"/>
        <v>1.3253617263778705</v>
      </c>
    </row>
    <row r="509" spans="1:10">
      <c r="B509" s="2502">
        <f t="shared" si="167"/>
        <v>5.0000000000000001E-3</v>
      </c>
      <c r="C509" s="2500">
        <f t="shared" si="159"/>
        <v>1.1460957684371404</v>
      </c>
      <c r="D509" s="2500">
        <f t="shared" si="160"/>
        <v>1.1794837021221192</v>
      </c>
      <c r="E509" s="2500">
        <f t="shared" si="161"/>
        <v>1.2113290436725321</v>
      </c>
      <c r="F509" s="2500">
        <f t="shared" si="162"/>
        <v>1.2679915707348601</v>
      </c>
      <c r="G509" s="2500">
        <f t="shared" si="163"/>
        <v>1.1804514525036591</v>
      </c>
      <c r="H509" s="2500">
        <f t="shared" si="164"/>
        <v>1.2105878501586276</v>
      </c>
      <c r="I509" s="2500">
        <f t="shared" si="165"/>
        <v>1.2432293252478002</v>
      </c>
      <c r="J509" s="2501">
        <f t="shared" si="166"/>
        <v>1.3013084154866865</v>
      </c>
    </row>
    <row r="510" spans="1:10">
      <c r="B510" s="2502">
        <f t="shared" si="167"/>
        <v>6.0000000000000001E-3</v>
      </c>
      <c r="C510" s="2500">
        <f t="shared" si="159"/>
        <v>1.1256666216824991</v>
      </c>
      <c r="D510" s="2500">
        <f t="shared" si="160"/>
        <v>1.1584594157501187</v>
      </c>
      <c r="E510" s="2500">
        <f t="shared" si="161"/>
        <v>1.1897371143740838</v>
      </c>
      <c r="F510" s="2500">
        <f t="shared" si="162"/>
        <v>1.2453896324016314</v>
      </c>
      <c r="G510" s="2500">
        <f t="shared" si="163"/>
        <v>1.1594099159898199</v>
      </c>
      <c r="H510" s="2500">
        <f t="shared" si="164"/>
        <v>1.189009132627892</v>
      </c>
      <c r="I510" s="2500">
        <f t="shared" si="165"/>
        <v>1.2210687737174557</v>
      </c>
      <c r="J510" s="2501">
        <f t="shared" si="166"/>
        <v>1.2781126046956921</v>
      </c>
    </row>
    <row r="511" spans="1:10">
      <c r="B511" s="2502">
        <f t="shared" si="167"/>
        <v>7.0000000000000001E-3</v>
      </c>
      <c r="C511" s="2500">
        <f t="shared" si="159"/>
        <v>1.1059530190738722</v>
      </c>
      <c r="D511" s="2500">
        <f t="shared" si="160"/>
        <v>1.1381715186761294</v>
      </c>
      <c r="E511" s="2500">
        <f t="shared" si="161"/>
        <v>1.1689014564361688</v>
      </c>
      <c r="F511" s="2500">
        <f t="shared" si="162"/>
        <v>1.2235793416519831</v>
      </c>
      <c r="G511" s="2500">
        <f t="shared" si="163"/>
        <v>1.139105372971424</v>
      </c>
      <c r="H511" s="2500">
        <f t="shared" si="164"/>
        <v>1.1681862237069365</v>
      </c>
      <c r="I511" s="2500">
        <f t="shared" si="165"/>
        <v>1.1996844099109762</v>
      </c>
      <c r="J511" s="2501">
        <f t="shared" si="166"/>
        <v>1.2557292422571862</v>
      </c>
    </row>
    <row r="512" spans="1:10">
      <c r="B512" s="2502">
        <f t="shared" si="167"/>
        <v>8.0000000000000002E-3</v>
      </c>
      <c r="C512" s="2500">
        <f t="shared" si="159"/>
        <v>1.0869180140515646</v>
      </c>
      <c r="D512" s="2500">
        <f t="shared" si="160"/>
        <v>1.118581988017413</v>
      </c>
      <c r="E512" s="2500">
        <f t="shared" si="161"/>
        <v>1.1487830203813738</v>
      </c>
      <c r="F512" s="2500">
        <f t="shared" si="162"/>
        <v>1.2025198223850244</v>
      </c>
      <c r="G512" s="2500">
        <f t="shared" si="163"/>
        <v>1.1194997693684734</v>
      </c>
      <c r="H512" s="2500">
        <f t="shared" si="164"/>
        <v>1.1480800978121197</v>
      </c>
      <c r="I512" s="2500">
        <f t="shared" si="165"/>
        <v>1.179036155985179</v>
      </c>
      <c r="J512" s="2501">
        <f t="shared" si="166"/>
        <v>1.234116378038921</v>
      </c>
    </row>
    <row r="513" spans="1:12">
      <c r="B513" s="2502">
        <f t="shared" si="167"/>
        <v>9.0000000000000011E-3</v>
      </c>
      <c r="C513" s="2500">
        <f t="shared" si="159"/>
        <v>1.0685271606263202</v>
      </c>
      <c r="D513" s="2500">
        <f t="shared" si="160"/>
        <v>1.0996553743080089</v>
      </c>
      <c r="E513" s="2500">
        <f t="shared" si="161"/>
        <v>1.1293453996297491</v>
      </c>
      <c r="F513" s="2500">
        <f t="shared" si="162"/>
        <v>1.1821729650245532</v>
      </c>
      <c r="G513" s="2500">
        <f t="shared" si="163"/>
        <v>1.1005576266292019</v>
      </c>
      <c r="H513" s="2500">
        <f t="shared" si="164"/>
        <v>1.1286543706401149</v>
      </c>
      <c r="I513" s="2500">
        <f t="shared" si="165"/>
        <v>1.1590866465948981</v>
      </c>
      <c r="J513" s="2501">
        <f t="shared" si="166"/>
        <v>1.2132349011245724</v>
      </c>
    </row>
    <row r="514" spans="1:12">
      <c r="B514" s="2502">
        <f t="shared" si="167"/>
        <v>1.0000000000000002E-2</v>
      </c>
      <c r="C514" s="2500">
        <f t="shared" si="159"/>
        <v>1.0507483053486721</v>
      </c>
      <c r="D514" s="2500">
        <f t="shared" si="160"/>
        <v>1.0813585874077578</v>
      </c>
      <c r="E514" s="2500">
        <f t="shared" si="161"/>
        <v>1.1105546106275062</v>
      </c>
      <c r="F514" s="2500">
        <f t="shared" si="162"/>
        <v>1.1625031963628001</v>
      </c>
      <c r="G514" s="2500">
        <f t="shared" si="163"/>
        <v>1.0822458274634386</v>
      </c>
      <c r="H514" s="2500">
        <f t="shared" si="164"/>
        <v>1.1098750794311449</v>
      </c>
      <c r="I514" s="2500">
        <f t="shared" si="165"/>
        <v>1.1398010032313863</v>
      </c>
      <c r="J514" s="2501">
        <f t="shared" si="166"/>
        <v>1.1930483036100628</v>
      </c>
    </row>
    <row r="515" spans="1:12">
      <c r="C515" s="2431">
        <f>E459-C504</f>
        <v>0</v>
      </c>
      <c r="D515" s="2431">
        <f t="shared" ref="D515:J515" si="168">F459-D504</f>
        <v>0</v>
      </c>
      <c r="E515" s="2431">
        <f t="shared" si="168"/>
        <v>0</v>
      </c>
      <c r="F515" s="2431">
        <f t="shared" si="168"/>
        <v>0</v>
      </c>
      <c r="G515" s="2431">
        <f t="shared" si="168"/>
        <v>0</v>
      </c>
      <c r="H515" s="2431">
        <f t="shared" si="168"/>
        <v>0</v>
      </c>
      <c r="I515" s="2431">
        <f t="shared" si="168"/>
        <v>0</v>
      </c>
      <c r="J515" s="2431">
        <f t="shared" si="168"/>
        <v>0</v>
      </c>
      <c r="K515" s="2431"/>
      <c r="L515" s="2431"/>
    </row>
    <row r="516" spans="1:12">
      <c r="C516" s="2431"/>
      <c r="E516" s="2431"/>
      <c r="F516" s="2431"/>
      <c r="G516" s="2431"/>
      <c r="H516" s="2431"/>
      <c r="I516" s="2431"/>
      <c r="J516" s="2431"/>
      <c r="K516" s="2431"/>
      <c r="L516" s="2431"/>
    </row>
    <row r="517" spans="1:12">
      <c r="J517" s="2312"/>
    </row>
    <row r="518" spans="1:12">
      <c r="J518" s="2312"/>
    </row>
    <row r="521" spans="1:12">
      <c r="A521" s="2232" t="s">
        <v>1625</v>
      </c>
    </row>
    <row r="522" spans="1:12">
      <c r="B522" s="2281" t="s">
        <v>619</v>
      </c>
      <c r="C522" s="2282" t="s">
        <v>679</v>
      </c>
      <c r="D522" s="2380" t="s">
        <v>668</v>
      </c>
    </row>
    <row r="523" spans="1:12">
      <c r="B523" s="2423" t="s">
        <v>1627</v>
      </c>
      <c r="C523" s="2424">
        <f>G130</f>
        <v>9076.1890386719206</v>
      </c>
      <c r="D523" s="2454" t="s">
        <v>1631</v>
      </c>
    </row>
    <row r="524" spans="1:12">
      <c r="B524" s="2426" t="s">
        <v>1639</v>
      </c>
      <c r="C524" s="2425">
        <f>-(SUM('Rent-roll'!AO108:AZ109)+SUM('Rent-roll'!AO111:AZ115)+SUM('Rent-roll'!AO117:AZ117)+SUM('Rent-roll'!AO122:AZ123))/1000</f>
        <v>5309.5660927180998</v>
      </c>
      <c r="D524" s="2453" t="s">
        <v>1630</v>
      </c>
    </row>
    <row r="525" spans="1:12">
      <c r="B525" s="2423" t="s">
        <v>1627</v>
      </c>
      <c r="C525" s="2424">
        <f>SUM(C523:C524)</f>
        <v>14385.75513139002</v>
      </c>
      <c r="D525" s="2381" t="s">
        <v>1633</v>
      </c>
    </row>
    <row r="526" spans="1:12">
      <c r="B526" s="2426" t="s">
        <v>1629</v>
      </c>
      <c r="C526" s="2425">
        <f>-C524*12/60</f>
        <v>-1061.9132185436199</v>
      </c>
      <c r="D526" s="2381" t="s">
        <v>1632</v>
      </c>
    </row>
    <row r="527" spans="1:12">
      <c r="B527" s="2423" t="s">
        <v>1628</v>
      </c>
      <c r="C527" s="2498">
        <f>SUM(C525:C526)</f>
        <v>13323.841912846401</v>
      </c>
      <c r="D527" s="2454" t="s">
        <v>1634</v>
      </c>
    </row>
    <row r="528" spans="1:12">
      <c r="B528" s="2457" t="s">
        <v>1635</v>
      </c>
      <c r="C528" s="2485">
        <f>'A&amp;R'!Y55</f>
        <v>4.8918868912827713E-2</v>
      </c>
      <c r="D528" s="2455" t="s">
        <v>1636</v>
      </c>
    </row>
    <row r="529" spans="1:12">
      <c r="B529" s="2422" t="s">
        <v>1433</v>
      </c>
      <c r="C529" s="2425">
        <f>'A&amp;R'!P31/1000</f>
        <v>2100</v>
      </c>
      <c r="D529" s="2453"/>
    </row>
    <row r="530" spans="1:12">
      <c r="B530" s="2390" t="s">
        <v>1637</v>
      </c>
      <c r="C530" s="2407">
        <f>C527/C528+C529</f>
        <v>274466.10757679574</v>
      </c>
      <c r="D530" s="2381" t="str">
        <f>"평당 약 "&amp;TEXT(C530*100/'A&amp;R'!K31,"#,##0")&amp;"만원"</f>
        <v>평당 약 950만원</v>
      </c>
    </row>
    <row r="531" spans="1:12">
      <c r="B531" s="2423" t="str">
        <f>D5</f>
        <v>담보차입금(선순위)</v>
      </c>
      <c r="C531" s="2424">
        <f>E5</f>
        <v>160000</v>
      </c>
      <c r="D531" s="2454"/>
    </row>
    <row r="532" spans="1:12">
      <c r="B532" s="2422" t="str">
        <f>D6</f>
        <v>담보차입금(중순위)</v>
      </c>
      <c r="C532" s="2425">
        <f>E6</f>
        <v>38000</v>
      </c>
      <c r="D532" s="2453"/>
    </row>
    <row r="533" spans="1:12">
      <c r="B533" s="2423" t="s">
        <v>1626</v>
      </c>
      <c r="C533" s="2458">
        <f>C531/C530</f>
        <v>0.58294993656086269</v>
      </c>
      <c r="D533" s="2454"/>
    </row>
    <row r="534" spans="1:12">
      <c r="B534" s="2422" t="s">
        <v>1638</v>
      </c>
      <c r="C534" s="2456">
        <f>C532/C530+C533</f>
        <v>0.7214005464940676</v>
      </c>
      <c r="D534" s="2453"/>
    </row>
    <row r="542" spans="1:12">
      <c r="A542" s="2232" t="s">
        <v>1661</v>
      </c>
      <c r="E542" s="2415">
        <f t="shared" ref="E542:L542" si="169">D543+1</f>
        <v>46327</v>
      </c>
      <c r="F542" s="2415">
        <f t="shared" si="169"/>
        <v>46419</v>
      </c>
      <c r="G542" s="2415">
        <f t="shared" si="169"/>
        <v>46508</v>
      </c>
      <c r="H542" s="2415">
        <f t="shared" si="169"/>
        <v>46600</v>
      </c>
      <c r="I542" s="2415">
        <f t="shared" si="169"/>
        <v>46692</v>
      </c>
      <c r="J542" s="2415">
        <f t="shared" si="169"/>
        <v>46784</v>
      </c>
      <c r="K542" s="2415">
        <f t="shared" si="169"/>
        <v>46874</v>
      </c>
      <c r="L542" s="2415">
        <f t="shared" si="169"/>
        <v>46966</v>
      </c>
    </row>
    <row r="543" spans="1:12">
      <c r="D543" s="2379">
        <f>'IS(M)'!M6</f>
        <v>46326</v>
      </c>
      <c r="E543" s="2415">
        <f t="shared" ref="E543:L543" si="170">EOMONTH(D543,3)</f>
        <v>46418</v>
      </c>
      <c r="F543" s="2415">
        <f t="shared" si="170"/>
        <v>46507</v>
      </c>
      <c r="G543" s="2415">
        <f t="shared" si="170"/>
        <v>46599</v>
      </c>
      <c r="H543" s="2415">
        <f t="shared" si="170"/>
        <v>46691</v>
      </c>
      <c r="I543" s="2415">
        <f t="shared" si="170"/>
        <v>46783</v>
      </c>
      <c r="J543" s="2415">
        <f t="shared" si="170"/>
        <v>46873</v>
      </c>
      <c r="K543" s="2415">
        <f t="shared" si="170"/>
        <v>46965</v>
      </c>
      <c r="L543" s="2415">
        <f t="shared" si="170"/>
        <v>47057</v>
      </c>
    </row>
    <row r="544" spans="1:12">
      <c r="B544" s="3094" t="s">
        <v>1448</v>
      </c>
      <c r="C544" s="3098" t="s">
        <v>1459</v>
      </c>
      <c r="D544" s="2416" t="str">
        <f t="shared" ref="D544:L544" si="171">TEXT(D543,"yy.mm")</f>
        <v>26.10</v>
      </c>
      <c r="E544" s="2416" t="str">
        <f t="shared" si="171"/>
        <v>27.01</v>
      </c>
      <c r="F544" s="2416" t="str">
        <f t="shared" si="171"/>
        <v>27.04</v>
      </c>
      <c r="G544" s="2416" t="str">
        <f t="shared" si="171"/>
        <v>27.07</v>
      </c>
      <c r="H544" s="2416" t="str">
        <f t="shared" si="171"/>
        <v>27.10</v>
      </c>
      <c r="I544" s="2416" t="str">
        <f t="shared" si="171"/>
        <v>28.01</v>
      </c>
      <c r="J544" s="2416" t="str">
        <f t="shared" si="171"/>
        <v>28.04</v>
      </c>
      <c r="K544" s="2416" t="str">
        <f t="shared" si="171"/>
        <v>28.07</v>
      </c>
      <c r="L544" s="2417" t="str">
        <f t="shared" si="171"/>
        <v>28.10</v>
      </c>
    </row>
    <row r="545" spans="2:12" ht="12.75" thickBot="1">
      <c r="B545" s="3095"/>
      <c r="C545" s="3099"/>
      <c r="D545" s="2285" t="s">
        <v>1460</v>
      </c>
      <c r="E545" s="2432">
        <v>1</v>
      </c>
      <c r="F545" s="2432">
        <f t="shared" ref="F545:L545" si="172">E545+1</f>
        <v>2</v>
      </c>
      <c r="G545" s="2432">
        <f t="shared" si="172"/>
        <v>3</v>
      </c>
      <c r="H545" s="2432">
        <f t="shared" si="172"/>
        <v>4</v>
      </c>
      <c r="I545" s="2432">
        <f t="shared" si="172"/>
        <v>5</v>
      </c>
      <c r="J545" s="2432">
        <f t="shared" si="172"/>
        <v>6</v>
      </c>
      <c r="K545" s="2432">
        <f t="shared" si="172"/>
        <v>7</v>
      </c>
      <c r="L545" s="2433">
        <f t="shared" si="172"/>
        <v>8</v>
      </c>
    </row>
    <row r="546" spans="2:12" ht="12.75" thickBot="1">
      <c r="B546" s="2287" t="s">
        <v>1503</v>
      </c>
      <c r="C546" s="2288">
        <f t="shared" ref="C546:C574" si="173">SUM(D546:L546)</f>
        <v>31019.959627661996</v>
      </c>
      <c r="D546" s="2288">
        <f t="shared" ref="D546:L546" si="174">SUM(D547:D549)</f>
        <v>0</v>
      </c>
      <c r="E546" s="2288">
        <f t="shared" si="174"/>
        <v>3692.0650452947502</v>
      </c>
      <c r="F546" s="2288">
        <f t="shared" si="174"/>
        <v>3772.2572644205302</v>
      </c>
      <c r="G546" s="2288">
        <f t="shared" si="174"/>
        <v>3859.1154334992816</v>
      </c>
      <c r="H546" s="2288">
        <f t="shared" si="174"/>
        <v>4013.662476061781</v>
      </c>
      <c r="I546" s="2288">
        <f t="shared" si="174"/>
        <v>3774.9495923339682</v>
      </c>
      <c r="J546" s="2288">
        <f t="shared" si="174"/>
        <v>3857.1466169378946</v>
      </c>
      <c r="K546" s="2288">
        <f t="shared" si="174"/>
        <v>3946.1762402436129</v>
      </c>
      <c r="L546" s="2289">
        <f t="shared" si="174"/>
        <v>4104.5869588701753</v>
      </c>
    </row>
    <row r="547" spans="2:12">
      <c r="B547" s="2290" t="s">
        <v>655</v>
      </c>
      <c r="C547" s="2291">
        <f t="shared" si="173"/>
        <v>29157.84655407703</v>
      </c>
      <c r="D547" s="2291">
        <f>('IS(M)'!M19)/1000</f>
        <v>0</v>
      </c>
      <c r="E547" s="2291">
        <f>(SUM('IS(M)'!N19:P19))/1000</f>
        <v>3463.8900165</v>
      </c>
      <c r="F547" s="2291">
        <f>(SUM('IS(M)'!Q19:S19))/1000</f>
        <v>3541.538628140624</v>
      </c>
      <c r="G547" s="2291">
        <f>(SUM('IS(M)'!T19:V19))/1000</f>
        <v>3627.4132146890629</v>
      </c>
      <c r="H547" s="2291">
        <f>(SUM('IS(M)'!W19:Y19))/1000</f>
        <v>3781.9602572515623</v>
      </c>
      <c r="I547" s="2291">
        <f>(SUM('IS(M)'!Z19:AB19))/1000</f>
        <v>3542.4553339124996</v>
      </c>
      <c r="J547" s="2291">
        <f>(SUM('IS(M)'!AC19:AE19))/1000</f>
        <v>3622.0451608441408</v>
      </c>
      <c r="K547" s="2291">
        <f>(SUM('IS(M)'!AF19:AH19))/1000</f>
        <v>3710.0666120562887</v>
      </c>
      <c r="L547" s="2292">
        <f>(SUM('IS(M)'!AI19:AK19))/1000</f>
        <v>3868.4773306828515</v>
      </c>
    </row>
    <row r="548" spans="2:12">
      <c r="B548" s="2293" t="s">
        <v>64</v>
      </c>
      <c r="C548" s="2294">
        <f t="shared" si="173"/>
        <v>1576.2266437769647</v>
      </c>
      <c r="D548" s="2294">
        <f>('IS(M)'!M20)/1000</f>
        <v>0</v>
      </c>
      <c r="E548" s="2294">
        <f>(SUM('IS(M)'!N20:P20))/1000</f>
        <v>192.43922506875001</v>
      </c>
      <c r="F548" s="2294">
        <f>(SUM('IS(M)'!Q20:S20))/1000</f>
        <v>194.98283255390626</v>
      </c>
      <c r="G548" s="2294">
        <f>(SUM('IS(M)'!T20:V20))/1000</f>
        <v>195.96641508421874</v>
      </c>
      <c r="H548" s="2294">
        <f>(SUM('IS(M)'!W20:Y20))/1000</f>
        <v>195.96641508421874</v>
      </c>
      <c r="I548" s="2294">
        <f>(SUM('IS(M)'!Z20:AB20))/1000</f>
        <v>196.75845469546874</v>
      </c>
      <c r="J548" s="2294">
        <f>(SUM('IS(M)'!AC20:AE20))/1000</f>
        <v>199.36565236775388</v>
      </c>
      <c r="K548" s="2294">
        <f>(SUM('IS(M)'!AF20:AH20))/1000</f>
        <v>200.37382446132423</v>
      </c>
      <c r="L548" s="2295">
        <f>(SUM('IS(M)'!AI20:AK20))/1000</f>
        <v>200.37382446132423</v>
      </c>
    </row>
    <row r="549" spans="2:12" ht="12.75" thickBot="1">
      <c r="B549" s="2296" t="s">
        <v>1672</v>
      </c>
      <c r="C549" s="2297">
        <f t="shared" si="173"/>
        <v>285.886429808</v>
      </c>
      <c r="D549" s="2297">
        <f>('IS(M)'!M21)/1000</f>
        <v>0</v>
      </c>
      <c r="E549" s="2297">
        <f>(SUM('IS(M)'!N21:P21))/1000</f>
        <v>35.735803726</v>
      </c>
      <c r="F549" s="2297">
        <f>(SUM('IS(M)'!Q21:S21))/1000</f>
        <v>35.735803726</v>
      </c>
      <c r="G549" s="2297">
        <f>(SUM('IS(M)'!T21:V21))/1000</f>
        <v>35.735803726</v>
      </c>
      <c r="H549" s="2297">
        <f>(SUM('IS(M)'!W21:Y21))/1000</f>
        <v>35.735803726</v>
      </c>
      <c r="I549" s="2297">
        <f>(SUM('IS(M)'!Z21:AB21))/1000</f>
        <v>35.735803726</v>
      </c>
      <c r="J549" s="2297">
        <f>(SUM('IS(M)'!AC21:AE21))/1000</f>
        <v>35.735803726</v>
      </c>
      <c r="K549" s="2297">
        <f>(SUM('IS(M)'!AF21:AH21))/1000</f>
        <v>35.735803726</v>
      </c>
      <c r="L549" s="2298">
        <f>(SUM('IS(M)'!AI21:AK21))/1000</f>
        <v>35.735803726</v>
      </c>
    </row>
    <row r="550" spans="2:12" ht="12.75" thickBot="1">
      <c r="B550" s="2287" t="s">
        <v>1211</v>
      </c>
      <c r="C550" s="2288">
        <f t="shared" si="173"/>
        <v>4452.8082600507514</v>
      </c>
      <c r="D550" s="2288">
        <f t="shared" ref="D550:L550" si="175">SUM(D551:D559)</f>
        <v>0</v>
      </c>
      <c r="E550" s="2288">
        <f t="shared" si="175"/>
        <v>566.08883688244998</v>
      </c>
      <c r="F550" s="2288">
        <f t="shared" si="175"/>
        <v>555.21546688244996</v>
      </c>
      <c r="G550" s="2288">
        <f t="shared" si="175"/>
        <v>555.21546688244996</v>
      </c>
      <c r="H550" s="2288">
        <f t="shared" si="175"/>
        <v>555.21546688244996</v>
      </c>
      <c r="I550" s="2288">
        <f t="shared" si="175"/>
        <v>555.26825563023795</v>
      </c>
      <c r="J550" s="2288">
        <f t="shared" si="175"/>
        <v>555.26825563023795</v>
      </c>
      <c r="K550" s="2288">
        <f t="shared" si="175"/>
        <v>555.26825563023795</v>
      </c>
      <c r="L550" s="2289">
        <f t="shared" si="175"/>
        <v>555.26825563023795</v>
      </c>
    </row>
    <row r="551" spans="2:12">
      <c r="B551" s="2290" t="s">
        <v>73</v>
      </c>
      <c r="C551" s="2291">
        <f t="shared" si="173"/>
        <v>120.89999999999998</v>
      </c>
      <c r="D551" s="2291">
        <f>('IS(M)'!M27)/1000</f>
        <v>0</v>
      </c>
      <c r="E551" s="2583">
        <f>(SUM('IS(M)'!N27:P27))/1000</f>
        <v>15</v>
      </c>
      <c r="F551" s="2291">
        <f>(SUM('IS(M)'!Q27:S27))/1000</f>
        <v>15</v>
      </c>
      <c r="G551" s="2291">
        <f>(SUM('IS(M)'!T27:V27))/1000</f>
        <v>15</v>
      </c>
      <c r="H551" s="2291">
        <f>(SUM('IS(M)'!W27:Y27))/1000</f>
        <v>15</v>
      </c>
      <c r="I551" s="2291">
        <f>(SUM('IS(M)'!Z27:AB27))/1000</f>
        <v>15.224999999999996</v>
      </c>
      <c r="J551" s="2291">
        <f>(SUM('IS(M)'!AC27:AE27))/1000</f>
        <v>15.224999999999996</v>
      </c>
      <c r="K551" s="2291">
        <f>(SUM('IS(M)'!AF27:AH27))/1000</f>
        <v>15.224999999999996</v>
      </c>
      <c r="L551" s="2292">
        <f>(SUM('IS(M)'!AI27:AK27))/1000</f>
        <v>15.224999999999996</v>
      </c>
    </row>
    <row r="552" spans="2:12">
      <c r="B552" s="2293" t="s">
        <v>75</v>
      </c>
      <c r="C552" s="2294">
        <f t="shared" si="173"/>
        <v>1286.7414867292916</v>
      </c>
      <c r="D552" s="2294">
        <f>('IS(M)'!M28)/1000</f>
        <v>0</v>
      </c>
      <c r="E552" s="2584">
        <f>(SUM('IS(M)'!N28:P28))/1000</f>
        <v>159.25018400114999</v>
      </c>
      <c r="F552" s="2294">
        <f>(SUM('IS(M)'!Q28:S28))/1000</f>
        <v>159.25018400114999</v>
      </c>
      <c r="G552" s="2294">
        <f>(SUM('IS(M)'!T28:V28))/1000</f>
        <v>159.25018400114999</v>
      </c>
      <c r="H552" s="2294">
        <f>(SUM('IS(M)'!W28:Y28))/1000</f>
        <v>159.25018400114999</v>
      </c>
      <c r="I552" s="2294">
        <f>(SUM('IS(M)'!Z28:AB28))/1000</f>
        <v>162.43518768117298</v>
      </c>
      <c r="J552" s="2294">
        <f>(SUM('IS(M)'!AC28:AE28))/1000</f>
        <v>162.43518768117298</v>
      </c>
      <c r="K552" s="2294">
        <f>(SUM('IS(M)'!AF28:AH28))/1000</f>
        <v>162.43518768117298</v>
      </c>
      <c r="L552" s="2295">
        <f>(SUM('IS(M)'!AI28:AK28))/1000</f>
        <v>162.43518768117298</v>
      </c>
    </row>
    <row r="553" spans="2:12" hidden="1">
      <c r="B553" s="2293" t="s">
        <v>80</v>
      </c>
      <c r="C553" s="2294">
        <f t="shared" si="173"/>
        <v>0</v>
      </c>
      <c r="D553" s="2294">
        <f>('IS(M)'!M30)/1000</f>
        <v>0</v>
      </c>
      <c r="E553" s="2584">
        <f>(SUM('IS(M)'!N30:P30))/1000</f>
        <v>0</v>
      </c>
      <c r="F553" s="2294">
        <f>(SUM('IS(M)'!Q30:S30))/1000</f>
        <v>0</v>
      </c>
      <c r="G553" s="2294">
        <f>(SUM('IS(M)'!T30:V30))/1000</f>
        <v>0</v>
      </c>
      <c r="H553" s="2294">
        <f>(SUM('IS(M)'!W30:Y30))/1000</f>
        <v>0</v>
      </c>
      <c r="I553" s="2294">
        <f>(SUM('IS(M)'!Z30:AB30))/1000</f>
        <v>0</v>
      </c>
      <c r="J553" s="2294">
        <f>(SUM('IS(M)'!AC30:AE30))/1000</f>
        <v>0</v>
      </c>
      <c r="K553" s="2294">
        <f>(SUM('IS(M)'!AF30:AH30))/1000</f>
        <v>0</v>
      </c>
      <c r="L553" s="2295">
        <f>(SUM('IS(M)'!AI30:AK30))/1000</f>
        <v>0</v>
      </c>
    </row>
    <row r="554" spans="2:12">
      <c r="B554" s="2293" t="s">
        <v>83</v>
      </c>
      <c r="C554" s="2294">
        <f t="shared" si="173"/>
        <v>1469.7237060000002</v>
      </c>
      <c r="D554" s="2294">
        <f>('IS(M)'!M31)/1000</f>
        <v>0</v>
      </c>
      <c r="E554" s="2584">
        <f>(SUM('IS(M)'!N31:P31))/1000</f>
        <v>185.57117500000001</v>
      </c>
      <c r="F554" s="2294">
        <f>(SUM('IS(M)'!Q31:S31))/1000</f>
        <v>185.57117500000001</v>
      </c>
      <c r="G554" s="2294">
        <f>(SUM('IS(M)'!T31:V31))/1000</f>
        <v>185.57117500000001</v>
      </c>
      <c r="H554" s="2294">
        <f>(SUM('IS(M)'!W31:Y31))/1000</f>
        <v>185.57117500000001</v>
      </c>
      <c r="I554" s="2294">
        <f>(SUM('IS(M)'!Z31:AB31))/1000</f>
        <v>181.85975150000002</v>
      </c>
      <c r="J554" s="2294">
        <f>(SUM('IS(M)'!AC31:AE31))/1000</f>
        <v>181.85975150000002</v>
      </c>
      <c r="K554" s="2294">
        <f>(SUM('IS(M)'!AF31:AH31))/1000</f>
        <v>181.85975150000002</v>
      </c>
      <c r="L554" s="2295">
        <f>(SUM('IS(M)'!AI31:AK31))/1000</f>
        <v>181.85975150000002</v>
      </c>
    </row>
    <row r="555" spans="2:12">
      <c r="B555" s="2293" t="s">
        <v>78</v>
      </c>
      <c r="C555" s="2294">
        <f t="shared" si="173"/>
        <v>63.006928077060003</v>
      </c>
      <c r="D555" s="2294">
        <f>('IS(M)'!M29)/1000</f>
        <v>0</v>
      </c>
      <c r="E555" s="2584">
        <f>(SUM('IS(M)'!N29:P29))/1000</f>
        <v>7.7978871382500001</v>
      </c>
      <c r="F555" s="2294">
        <f>(SUM('IS(M)'!Q29:S29))/1000</f>
        <v>7.7978871382500001</v>
      </c>
      <c r="G555" s="2294">
        <f>(SUM('IS(M)'!T29:V29))/1000</f>
        <v>7.7978871382500001</v>
      </c>
      <c r="H555" s="2294">
        <f>(SUM('IS(M)'!W29:Y29))/1000</f>
        <v>7.7978871382500001</v>
      </c>
      <c r="I555" s="2294">
        <f>(SUM('IS(M)'!Z29:AB29))/1000</f>
        <v>7.9538448810149998</v>
      </c>
      <c r="J555" s="2294">
        <f>(SUM('IS(M)'!AC29:AE29))/1000</f>
        <v>7.9538448810149998</v>
      </c>
      <c r="K555" s="2294">
        <f>(SUM('IS(M)'!AF29:AH29))/1000</f>
        <v>7.9538448810149998</v>
      </c>
      <c r="L555" s="2295">
        <f>(SUM('IS(M)'!AI29:AK29))/1000</f>
        <v>7.9538448810149998</v>
      </c>
    </row>
    <row r="556" spans="2:12">
      <c r="B556" s="2293" t="s">
        <v>1539</v>
      </c>
      <c r="C556" s="2294">
        <f t="shared" si="173"/>
        <v>41.789665944400006</v>
      </c>
      <c r="D556" s="2294">
        <f>('IS(M)'!M36)/1000</f>
        <v>0</v>
      </c>
      <c r="E556" s="2584">
        <f>(SUM('IS(M)'!N36:P36))/1000</f>
        <v>5.2237082430500008</v>
      </c>
      <c r="F556" s="2294">
        <f>(SUM('IS(M)'!Q36:S36))/1000</f>
        <v>5.2237082430500008</v>
      </c>
      <c r="G556" s="2294">
        <f>(SUM('IS(M)'!T36:V36))/1000</f>
        <v>5.2237082430500008</v>
      </c>
      <c r="H556" s="2294">
        <f>(SUM('IS(M)'!W36:Y36))/1000</f>
        <v>5.2237082430500008</v>
      </c>
      <c r="I556" s="2294">
        <f>(SUM('IS(M)'!Z36:AB36))/1000</f>
        <v>5.2237082430500008</v>
      </c>
      <c r="J556" s="2294">
        <f>(SUM('IS(M)'!AC36:AE36))/1000</f>
        <v>5.2237082430500008</v>
      </c>
      <c r="K556" s="2294">
        <f>(SUM('IS(M)'!AF36:AH36))/1000</f>
        <v>5.2237082430500008</v>
      </c>
      <c r="L556" s="2295">
        <f>(SUM('IS(M)'!AI36:AK36))/1000</f>
        <v>5.2237082430500008</v>
      </c>
    </row>
    <row r="557" spans="2:12">
      <c r="B557" s="2293" t="s">
        <v>658</v>
      </c>
      <c r="C557" s="2294">
        <f t="shared" si="173"/>
        <v>1459.7731032999998</v>
      </c>
      <c r="D557" s="2294">
        <f>SUM('IS(M)'!M32:M35)/1000</f>
        <v>0</v>
      </c>
      <c r="E557" s="2584">
        <f>SUM('IS(M)'!N32:P35)/1000</f>
        <v>182.3725125</v>
      </c>
      <c r="F557" s="2294">
        <f>SUM('IS(M)'!Q32:S35)/1000</f>
        <v>182.3725125</v>
      </c>
      <c r="G557" s="2294">
        <f>SUM('IS(M)'!T32:V35)/1000</f>
        <v>182.3725125</v>
      </c>
      <c r="H557" s="2294">
        <f>SUM('IS(M)'!W32:Y35)/1000</f>
        <v>182.3725125</v>
      </c>
      <c r="I557" s="2294">
        <f>SUM('IS(M)'!Z32:AB35)/1000</f>
        <v>182.570763325</v>
      </c>
      <c r="J557" s="2294">
        <f>SUM('IS(M)'!AC32:AE35)/1000</f>
        <v>182.570763325</v>
      </c>
      <c r="K557" s="2294">
        <f>SUM('IS(M)'!AF32:AH35)/1000</f>
        <v>182.570763325</v>
      </c>
      <c r="L557" s="2295">
        <f>SUM('IS(M)'!AI32:AK35)/1000</f>
        <v>182.570763325</v>
      </c>
    </row>
    <row r="558" spans="2:12" ht="12.75" thickBot="1">
      <c r="B558" s="2293" t="s">
        <v>468</v>
      </c>
      <c r="C558" s="2294">
        <f t="shared" si="173"/>
        <v>10.87337</v>
      </c>
      <c r="D558" s="2294">
        <f>('IS(M)'!M37)/1000</f>
        <v>0</v>
      </c>
      <c r="E558" s="2584">
        <f>(SUM('IS(M)'!N37:P37))/1000</f>
        <v>10.87337</v>
      </c>
      <c r="F558" s="2294">
        <f>(SUM('IS(M)'!Q37:S37))/1000</f>
        <v>0</v>
      </c>
      <c r="G558" s="2294">
        <f>(SUM('IS(M)'!T37:V37))/1000</f>
        <v>0</v>
      </c>
      <c r="H558" s="2294">
        <f>(SUM('IS(M)'!W37:Y37))/1000</f>
        <v>0</v>
      </c>
      <c r="I558" s="2294">
        <f>(SUM('IS(M)'!Z37:AB37))/1000</f>
        <v>0</v>
      </c>
      <c r="J558" s="2294">
        <f>(SUM('IS(M)'!AC37:AE37))/1000</f>
        <v>0</v>
      </c>
      <c r="K558" s="2294">
        <f>(SUM('IS(M)'!AF37:AH37))/1000</f>
        <v>0</v>
      </c>
      <c r="L558" s="2295">
        <f>(SUM('IS(M)'!AI37:AK37))/1000</f>
        <v>0</v>
      </c>
    </row>
    <row r="559" spans="2:12" ht="12.75" hidden="1" thickBot="1">
      <c r="B559" s="2296" t="s">
        <v>462</v>
      </c>
      <c r="C559" s="2297">
        <f t="shared" si="173"/>
        <v>0</v>
      </c>
      <c r="D559" s="2297">
        <v>0</v>
      </c>
      <c r="E559" s="2297">
        <v>0</v>
      </c>
      <c r="F559" s="2297">
        <v>0</v>
      </c>
      <c r="G559" s="2297">
        <v>0</v>
      </c>
      <c r="H559" s="2297">
        <v>0</v>
      </c>
      <c r="I559" s="2297">
        <v>0</v>
      </c>
      <c r="J559" s="2297">
        <v>0</v>
      </c>
      <c r="K559" s="2297">
        <v>0</v>
      </c>
      <c r="L559" s="2298">
        <v>0</v>
      </c>
    </row>
    <row r="560" spans="2:12" ht="12.75" thickBot="1">
      <c r="B560" s="2287" t="s">
        <v>1475</v>
      </c>
      <c r="C560" s="2288">
        <f t="shared" si="173"/>
        <v>26567.151367611241</v>
      </c>
      <c r="D560" s="2288">
        <f t="shared" ref="D560:L560" si="176">D546-D550</f>
        <v>0</v>
      </c>
      <c r="E560" s="2288">
        <f t="shared" si="176"/>
        <v>3125.9762084123004</v>
      </c>
      <c r="F560" s="2288">
        <f t="shared" si="176"/>
        <v>3217.0417975380801</v>
      </c>
      <c r="G560" s="2288">
        <f t="shared" si="176"/>
        <v>3303.8999666168315</v>
      </c>
      <c r="H560" s="2288">
        <f t="shared" si="176"/>
        <v>3458.447009179331</v>
      </c>
      <c r="I560" s="2288">
        <f t="shared" si="176"/>
        <v>3219.6813367037303</v>
      </c>
      <c r="J560" s="2288">
        <f t="shared" si="176"/>
        <v>3301.8783613076566</v>
      </c>
      <c r="K560" s="2288">
        <f t="shared" si="176"/>
        <v>3390.907984613375</v>
      </c>
      <c r="L560" s="2289">
        <f t="shared" si="176"/>
        <v>3549.3187032399373</v>
      </c>
    </row>
    <row r="561" spans="2:12" ht="12.75" thickBot="1">
      <c r="B561" s="2287" t="s">
        <v>1504</v>
      </c>
      <c r="C561" s="2288">
        <f t="shared" ca="1" si="173"/>
        <v>-26820.011533343488</v>
      </c>
      <c r="D561" s="2288">
        <f t="shared" ref="D561:L561" si="177">SUM(D562:D567)</f>
        <v>0</v>
      </c>
      <c r="E561" s="2288">
        <f t="shared" ca="1" si="177"/>
        <v>-3479.0592833434848</v>
      </c>
      <c r="F561" s="2288">
        <f t="shared" ca="1" si="177"/>
        <v>-3334.42175</v>
      </c>
      <c r="G561" s="2288">
        <f t="shared" ca="1" si="177"/>
        <v>-3334.42175</v>
      </c>
      <c r="H561" s="2288">
        <f t="shared" ca="1" si="177"/>
        <v>-3334.42175</v>
      </c>
      <c r="I561" s="2288">
        <f t="shared" ca="1" si="177"/>
        <v>-3334.42175</v>
      </c>
      <c r="J561" s="2288">
        <f t="shared" ca="1" si="177"/>
        <v>-3334.42175</v>
      </c>
      <c r="K561" s="2288">
        <f t="shared" ca="1" si="177"/>
        <v>-3334.42175</v>
      </c>
      <c r="L561" s="2289">
        <f t="shared" ca="1" si="177"/>
        <v>-3334.42175</v>
      </c>
    </row>
    <row r="562" spans="2:12">
      <c r="B562" s="2290" t="s">
        <v>1021</v>
      </c>
      <c r="C562" s="2291">
        <f t="shared" ca="1" si="173"/>
        <v>0</v>
      </c>
      <c r="D562" s="2291">
        <f>('IS(M)'!M44)/1000</f>
        <v>0</v>
      </c>
      <c r="E562" s="2291">
        <f ca="1">(SUM('IS(M)'!N44:P44))/1000</f>
        <v>0</v>
      </c>
      <c r="F562" s="2291">
        <f ca="1">(SUM('IS(M)'!Q44:S44))/1000</f>
        <v>0</v>
      </c>
      <c r="G562" s="2291">
        <f ca="1">(SUM('IS(M)'!T44:V44))/1000</f>
        <v>0</v>
      </c>
      <c r="H562" s="2291">
        <f ca="1">(SUM('IS(M)'!W44:Y44))/1000</f>
        <v>0</v>
      </c>
      <c r="I562" s="2291">
        <f ca="1">(SUM('IS(M)'!Z44:AB44))/1000</f>
        <v>0</v>
      </c>
      <c r="J562" s="2291">
        <f ca="1">(SUM('IS(M)'!AC44:AE44))/1000</f>
        <v>0</v>
      </c>
      <c r="K562" s="2291">
        <f ca="1">(SUM('IS(M)'!AF44:AH44))/1000</f>
        <v>0</v>
      </c>
      <c r="L562" s="2292">
        <f ca="1">(SUM('IS(M)'!AI44:AK44))/1000</f>
        <v>0</v>
      </c>
    </row>
    <row r="563" spans="2:12">
      <c r="B563" s="2293" t="s">
        <v>1606</v>
      </c>
      <c r="C563" s="2294">
        <f t="shared" si="173"/>
        <v>-15280</v>
      </c>
      <c r="D563" s="2294">
        <f>-('IS(M)'!M47+'IS(M)'!M48+'IS(M)'!M49)/1000</f>
        <v>0</v>
      </c>
      <c r="E563" s="2294">
        <f>-(SUM('IS(M)'!N47:P47)+SUM('IS(M)'!N48:P48)+SUM('IS(M)'!N49:P49))/1000</f>
        <v>-1910</v>
      </c>
      <c r="F563" s="2294">
        <f>-(SUM('IS(M)'!Q47:S47)+SUM('IS(M)'!Q48:S48)+SUM('IS(M)'!Q49:S49))/1000</f>
        <v>-1910</v>
      </c>
      <c r="G563" s="2294">
        <f>-(SUM('IS(M)'!T47:V47)+SUM('IS(M)'!T48:V48)+SUM('IS(M)'!T49:V49))/1000</f>
        <v>-1910</v>
      </c>
      <c r="H563" s="2294">
        <f>-(SUM('IS(M)'!W47:Y47)+SUM('IS(M)'!W48:Y48)+SUM('IS(M)'!W49:Y49))/1000</f>
        <v>-1910</v>
      </c>
      <c r="I563" s="2294">
        <f>-(SUM('IS(M)'!Z47:AB47)+SUM('IS(M)'!Z48:AB48)+SUM('IS(M)'!Z49:AB49))/1000</f>
        <v>-1910</v>
      </c>
      <c r="J563" s="2294">
        <f>-(SUM('IS(M)'!AC47:AE47)+SUM('IS(M)'!AC48:AE48)+SUM('IS(M)'!AC49:AE49))/1000</f>
        <v>-1910</v>
      </c>
      <c r="K563" s="2294">
        <f>-(SUM('IS(M)'!AF47:AH47)+SUM('IS(M)'!AF48:AH48)+SUM('IS(M)'!AF49:AH49))/1000</f>
        <v>-1910</v>
      </c>
      <c r="L563" s="2295">
        <f>-(SUM('IS(M)'!AI47:AK47)+SUM('IS(M)'!AI48:AK48)+SUM('IS(M)'!AI49:AK49))/1000</f>
        <v>-1910</v>
      </c>
    </row>
    <row r="564" spans="2:12">
      <c r="B564" s="2293" t="s">
        <v>1540</v>
      </c>
      <c r="C564" s="2294">
        <f t="shared" si="173"/>
        <v>-4560</v>
      </c>
      <c r="D564" s="2294">
        <f>-('IS(M)'!M50+'IS(M)'!M51+'IS(M)'!M52)/1000</f>
        <v>0</v>
      </c>
      <c r="E564" s="2294">
        <f>-(SUM('IS(M)'!N50:P50)+SUM('IS(M)'!N51:P51)+SUM('IS(M)'!N52:P52))/1000</f>
        <v>-570</v>
      </c>
      <c r="F564" s="2294">
        <f>-(SUM('IS(M)'!Q50:S50)+SUM('IS(M)'!Q51:S51)+SUM('IS(M)'!Q52:S52))/1000</f>
        <v>-570</v>
      </c>
      <c r="G564" s="2294">
        <f>-(SUM('IS(M)'!T50:V50)+SUM('IS(M)'!T51:V51)+SUM('IS(M)'!T52:V52))/1000</f>
        <v>-570</v>
      </c>
      <c r="H564" s="2294">
        <f>-(SUM('IS(M)'!W50:Y50)+SUM('IS(M)'!W51:Y51)+SUM('IS(M)'!W52:Y52))/1000</f>
        <v>-570</v>
      </c>
      <c r="I564" s="2294">
        <f>-(SUM('IS(M)'!Z50:AB50)+SUM('IS(M)'!Z51:AB51)+SUM('IS(M)'!Z52:AB52))/1000</f>
        <v>-570</v>
      </c>
      <c r="J564" s="2294">
        <f>-(SUM('IS(M)'!AC50:AE50)+SUM('IS(M)'!AC51:AE51)+SUM('IS(M)'!AC52:AE52))/1000</f>
        <v>-570</v>
      </c>
      <c r="K564" s="2294">
        <f>-(SUM('IS(M)'!AF50:AH50)+SUM('IS(M)'!AF51:AH51)+SUM('IS(M)'!AF52:AH52))/1000</f>
        <v>-570</v>
      </c>
      <c r="L564" s="2295">
        <f>-(SUM('IS(M)'!AI50:AK50)+SUM('IS(M)'!AI51:AK51)+SUM('IS(M)'!AI52:AK52))/1000</f>
        <v>-570</v>
      </c>
    </row>
    <row r="565" spans="2:12">
      <c r="B565" s="2293" t="s">
        <v>1607</v>
      </c>
      <c r="C565" s="2294">
        <f t="shared" si="173"/>
        <v>-144.63753334348496</v>
      </c>
      <c r="D565" s="2294">
        <f>-('IS(M)'!M53)/1000</f>
        <v>0</v>
      </c>
      <c r="E565" s="2294">
        <f>-(SUM('IS(M)'!N53:P53))/1000</f>
        <v>-144.63753334348496</v>
      </c>
      <c r="F565" s="2294">
        <f>-(SUM('IS(M)'!Q53:S53))/1000</f>
        <v>0</v>
      </c>
      <c r="G565" s="2294">
        <f>-(SUM('IS(M)'!T53:V53))/1000</f>
        <v>0</v>
      </c>
      <c r="H565" s="2294">
        <f>-(SUM('IS(M)'!W53:Y53))/1000</f>
        <v>0</v>
      </c>
      <c r="I565" s="2294">
        <f>-(SUM('IS(M)'!Z53:AB53))/1000</f>
        <v>0</v>
      </c>
      <c r="J565" s="2294">
        <f>-(SUM('IS(M)'!AC53:AE53))/1000</f>
        <v>0</v>
      </c>
      <c r="K565" s="2294">
        <f>-(SUM('IS(M)'!AF53:AH53))/1000</f>
        <v>0</v>
      </c>
      <c r="L565" s="2295">
        <f>-(SUM('IS(M)'!AI53:AK53))/1000</f>
        <v>0</v>
      </c>
    </row>
    <row r="566" spans="2:12" ht="12.75" thickBot="1">
      <c r="B566" s="2293" t="s">
        <v>1213</v>
      </c>
      <c r="C566" s="2294">
        <f t="shared" si="173"/>
        <v>-6835.373999999998</v>
      </c>
      <c r="D566" s="2294">
        <f>-('IS(M)'!M26)/1000</f>
        <v>0</v>
      </c>
      <c r="E566" s="2294">
        <f>-(SUM('IS(M)'!N26:P26))/1000</f>
        <v>-854.42174999999997</v>
      </c>
      <c r="F566" s="2294">
        <f>-(SUM('IS(M)'!Q26:S26))/1000</f>
        <v>-854.42174999999997</v>
      </c>
      <c r="G566" s="2294">
        <f>-(SUM('IS(M)'!T26:V26))/1000</f>
        <v>-854.42174999999997</v>
      </c>
      <c r="H566" s="2294">
        <f>-(SUM('IS(M)'!W26:Y26))/1000</f>
        <v>-854.42174999999997</v>
      </c>
      <c r="I566" s="2294">
        <f>-(SUM('IS(M)'!Z26:AB26))/1000</f>
        <v>-854.42174999999997</v>
      </c>
      <c r="J566" s="2294">
        <f>-(SUM('IS(M)'!AC26:AE26))/1000</f>
        <v>-854.42174999999997</v>
      </c>
      <c r="K566" s="2294">
        <f>-(SUM('IS(M)'!AF26:AH26))/1000</f>
        <v>-854.42174999999997</v>
      </c>
      <c r="L566" s="2295">
        <f>-(SUM('IS(M)'!AI26:AK26))/1000</f>
        <v>-854.42174999999997</v>
      </c>
    </row>
    <row r="567" spans="2:12" ht="12.75" hidden="1" thickBot="1">
      <c r="B567" s="2296" t="s">
        <v>1505</v>
      </c>
      <c r="C567" s="2297">
        <f t="shared" si="173"/>
        <v>0</v>
      </c>
      <c r="D567" s="2297">
        <f>('IS(M)'!M45)/1000</f>
        <v>0</v>
      </c>
      <c r="E567" s="2297">
        <f>(SUM('IS(M)'!N45:P45))/1000</f>
        <v>0</v>
      </c>
      <c r="F567" s="2297">
        <f>(SUM('IS(M)'!Q45:S45))/1000</f>
        <v>0</v>
      </c>
      <c r="G567" s="2297">
        <f>(SUM('IS(M)'!T45:V45))/1000</f>
        <v>0</v>
      </c>
      <c r="H567" s="2297">
        <f>(SUM('IS(M)'!W45:Y45))/1000</f>
        <v>0</v>
      </c>
      <c r="I567" s="2297">
        <f>(SUM('IS(M)'!Z45:AB45))/1000</f>
        <v>0</v>
      </c>
      <c r="J567" s="2297">
        <f>(SUM('IS(M)'!AC45:AE45))/1000</f>
        <v>0</v>
      </c>
      <c r="K567" s="2297">
        <f>(SUM('IS(M)'!AF45:AH45))/1000</f>
        <v>0</v>
      </c>
      <c r="L567" s="2298">
        <f>(SUM('IS(M)'!AI45:AK45))/1000</f>
        <v>0</v>
      </c>
    </row>
    <row r="568" spans="2:12" ht="12.75" thickBot="1">
      <c r="B568" s="2287" t="s">
        <v>1506</v>
      </c>
      <c r="C568" s="2288">
        <f t="shared" si="173"/>
        <v>1603.0836817420438</v>
      </c>
      <c r="D568" s="2288">
        <f t="shared" ref="D568:L568" si="178">SUM(D569:D573)</f>
        <v>0</v>
      </c>
      <c r="E568" s="2288">
        <f t="shared" si="178"/>
        <v>200.14546021775547</v>
      </c>
      <c r="F568" s="2288">
        <f t="shared" si="178"/>
        <v>200.14546021775547</v>
      </c>
      <c r="G568" s="2288">
        <f t="shared" si="178"/>
        <v>200.14546021775547</v>
      </c>
      <c r="H568" s="2288">
        <f t="shared" si="178"/>
        <v>200.14546021775547</v>
      </c>
      <c r="I568" s="2288">
        <f t="shared" si="178"/>
        <v>200.62546021775546</v>
      </c>
      <c r="J568" s="2288">
        <f t="shared" si="178"/>
        <v>200.62546021775546</v>
      </c>
      <c r="K568" s="2288">
        <f t="shared" si="178"/>
        <v>200.62546021775546</v>
      </c>
      <c r="L568" s="2289">
        <f t="shared" si="178"/>
        <v>200.62546021775546</v>
      </c>
    </row>
    <row r="569" spans="2:12">
      <c r="B569" s="2290" t="s">
        <v>190</v>
      </c>
      <c r="C569" s="2291">
        <f t="shared" si="173"/>
        <v>1333.0940000000003</v>
      </c>
      <c r="D569" s="2291">
        <f>('IS(M)'!M38)/1000</f>
        <v>0</v>
      </c>
      <c r="E569" s="2291">
        <f>(SUM('IS(M)'!N38:P38))/1000</f>
        <v>166.63675000000003</v>
      </c>
      <c r="F569" s="2291">
        <f>(SUM('IS(M)'!Q38:S38))/1000</f>
        <v>166.63675000000003</v>
      </c>
      <c r="G569" s="2291">
        <f>(SUM('IS(M)'!T38:V38))/1000</f>
        <v>166.63675000000003</v>
      </c>
      <c r="H569" s="2291">
        <f>(SUM('IS(M)'!W38:Y38))/1000</f>
        <v>166.63675000000003</v>
      </c>
      <c r="I569" s="2291">
        <f>(SUM('IS(M)'!Z38:AB38))/1000</f>
        <v>166.63675000000003</v>
      </c>
      <c r="J569" s="2291">
        <f>(SUM('IS(M)'!AC38:AE38))/1000</f>
        <v>166.63675000000003</v>
      </c>
      <c r="K569" s="2291">
        <f>(SUM('IS(M)'!AF38:AH38))/1000</f>
        <v>166.63675000000003</v>
      </c>
      <c r="L569" s="2292">
        <f>(SUM('IS(M)'!AI38:AK38))/1000</f>
        <v>166.63675000000003</v>
      </c>
    </row>
    <row r="570" spans="2:12">
      <c r="B570" s="2293" t="s">
        <v>192</v>
      </c>
      <c r="C570" s="2294">
        <f t="shared" si="173"/>
        <v>52.069681742043549</v>
      </c>
      <c r="D570" s="2294">
        <f>('IS(M)'!M40)/1000</f>
        <v>0</v>
      </c>
      <c r="E570" s="2294">
        <f>(SUM('IS(M)'!N40:P40))/1000</f>
        <v>6.5087102177554446</v>
      </c>
      <c r="F570" s="2294">
        <f>(SUM('IS(M)'!Q40:S40))/1000</f>
        <v>6.5087102177554446</v>
      </c>
      <c r="G570" s="2294">
        <f>(SUM('IS(M)'!T40:V40))/1000</f>
        <v>6.5087102177554446</v>
      </c>
      <c r="H570" s="2294">
        <f>(SUM('IS(M)'!W40:Y40))/1000</f>
        <v>6.5087102177554446</v>
      </c>
      <c r="I570" s="2294">
        <f>(SUM('IS(M)'!Z40:AB40))/1000</f>
        <v>6.5087102177554446</v>
      </c>
      <c r="J570" s="2294">
        <f>(SUM('IS(M)'!AC40:AE40))/1000</f>
        <v>6.5087102177554446</v>
      </c>
      <c r="K570" s="2294">
        <f>(SUM('IS(M)'!AF40:AH40))/1000</f>
        <v>6.5087102177554446</v>
      </c>
      <c r="L570" s="2295">
        <f>(SUM('IS(M)'!AI40:AK40))/1000</f>
        <v>6.5087102177554446</v>
      </c>
    </row>
    <row r="571" spans="2:12">
      <c r="B571" s="2293" t="s">
        <v>150</v>
      </c>
      <c r="C571" s="2294">
        <f t="shared" si="173"/>
        <v>24</v>
      </c>
      <c r="D571" s="2294">
        <f>('IS(M)'!M39)/1000</f>
        <v>0</v>
      </c>
      <c r="E571" s="2294">
        <f>(SUM('IS(M)'!N39:P39))/1000</f>
        <v>3</v>
      </c>
      <c r="F571" s="2294">
        <f>(SUM('IS(M)'!Q39:S39))/1000</f>
        <v>3</v>
      </c>
      <c r="G571" s="2294">
        <f>(SUM('IS(M)'!T39:V39))/1000</f>
        <v>3</v>
      </c>
      <c r="H571" s="2294">
        <f>(SUM('IS(M)'!W39:Y39))/1000</f>
        <v>3</v>
      </c>
      <c r="I571" s="2294">
        <f>(SUM('IS(M)'!Z39:AB39))/1000</f>
        <v>3</v>
      </c>
      <c r="J571" s="2294">
        <f>(SUM('IS(M)'!AC39:AE39))/1000</f>
        <v>3</v>
      </c>
      <c r="K571" s="2294">
        <f>(SUM('IS(M)'!AF39:AH39))/1000</f>
        <v>3</v>
      </c>
      <c r="L571" s="2295">
        <f>(SUM('IS(M)'!AI39:AK39))/1000</f>
        <v>3</v>
      </c>
    </row>
    <row r="572" spans="2:12">
      <c r="B572" s="2293" t="s">
        <v>533</v>
      </c>
      <c r="C572" s="2294">
        <f t="shared" si="173"/>
        <v>145.44</v>
      </c>
      <c r="D572" s="2294">
        <f>('IS(M)'!M41)/1000</f>
        <v>0</v>
      </c>
      <c r="E572" s="2294">
        <f>(SUM('IS(M)'!N41:P41))/1000</f>
        <v>18</v>
      </c>
      <c r="F572" s="2294">
        <f>(SUM('IS(M)'!Q41:S41))/1000</f>
        <v>18</v>
      </c>
      <c r="G572" s="2294">
        <f>(SUM('IS(M)'!T41:V41))/1000</f>
        <v>18</v>
      </c>
      <c r="H572" s="2294">
        <f>(SUM('IS(M)'!W41:Y41))/1000</f>
        <v>18</v>
      </c>
      <c r="I572" s="2294">
        <f>(SUM('IS(M)'!Z41:AB41))/1000</f>
        <v>18.36</v>
      </c>
      <c r="J572" s="2294">
        <f>(SUM('IS(M)'!AC41:AE41))/1000</f>
        <v>18.36</v>
      </c>
      <c r="K572" s="2294">
        <f>(SUM('IS(M)'!AF41:AH41))/1000</f>
        <v>18.36</v>
      </c>
      <c r="L572" s="2295">
        <f>(SUM('IS(M)'!AI41:AK41))/1000</f>
        <v>18.36</v>
      </c>
    </row>
    <row r="573" spans="2:12" ht="12.75" thickBot="1">
      <c r="B573" s="2293" t="s">
        <v>463</v>
      </c>
      <c r="C573" s="2294">
        <f t="shared" si="173"/>
        <v>48.48</v>
      </c>
      <c r="D573" s="2294">
        <f>('IS(M)'!M25)/1000</f>
        <v>0</v>
      </c>
      <c r="E573" s="2294">
        <f>(SUM('IS(M)'!N25:P25))/1000</f>
        <v>6</v>
      </c>
      <c r="F573" s="2294">
        <f>(SUM('IS(M)'!Q25:S25))/1000</f>
        <v>6</v>
      </c>
      <c r="G573" s="2294">
        <f>(SUM('IS(M)'!T25:V25))/1000</f>
        <v>6</v>
      </c>
      <c r="H573" s="2294">
        <f>(SUM('IS(M)'!W25:Y25))/1000</f>
        <v>6</v>
      </c>
      <c r="I573" s="2294">
        <f>(SUM('IS(M)'!Z25:AB25))/1000</f>
        <v>6.12</v>
      </c>
      <c r="J573" s="2294">
        <f>(SUM('IS(M)'!AC25:AE25))/1000</f>
        <v>6.12</v>
      </c>
      <c r="K573" s="2294">
        <f>(SUM('IS(M)'!AF25:AH25))/1000</f>
        <v>6.12</v>
      </c>
      <c r="L573" s="2295">
        <f>(SUM('IS(M)'!AI25:AK25))/1000</f>
        <v>6.12</v>
      </c>
    </row>
    <row r="574" spans="2:12" ht="12.75" thickBot="1">
      <c r="B574" s="2287" t="s">
        <v>538</v>
      </c>
      <c r="C574" s="2288">
        <f t="shared" ca="1" si="173"/>
        <v>-1855.9438474742865</v>
      </c>
      <c r="D574" s="2288">
        <f t="shared" ref="D574:L574" si="179">D560+D561-D568</f>
        <v>0</v>
      </c>
      <c r="E574" s="2288">
        <f t="shared" ca="1" si="179"/>
        <v>-553.22853514893995</v>
      </c>
      <c r="F574" s="2288">
        <f t="shared" ca="1" si="179"/>
        <v>-317.52541267967536</v>
      </c>
      <c r="G574" s="2288">
        <f t="shared" ca="1" si="179"/>
        <v>-230.66724360092391</v>
      </c>
      <c r="H574" s="2288">
        <f t="shared" ca="1" si="179"/>
        <v>-76.120201038424483</v>
      </c>
      <c r="I574" s="2288">
        <f t="shared" ca="1" si="179"/>
        <v>-315.36587351402517</v>
      </c>
      <c r="J574" s="2288">
        <f t="shared" ca="1" si="179"/>
        <v>-233.1688489100988</v>
      </c>
      <c r="K574" s="2288">
        <f t="shared" ca="1" si="179"/>
        <v>-144.13922560438044</v>
      </c>
      <c r="L574" s="2289">
        <f t="shared" ca="1" si="179"/>
        <v>14.271493022181915</v>
      </c>
    </row>
    <row r="575" spans="2:12">
      <c r="C575" s="2268">
        <f ca="1">SUM(E144:F144)</f>
        <v>-1855.9438474742856</v>
      </c>
    </row>
    <row r="576" spans="2:12">
      <c r="B576" s="2304" t="s">
        <v>566</v>
      </c>
      <c r="C576" s="2494" t="b">
        <f ca="1">C574=C575</f>
        <v>1</v>
      </c>
    </row>
    <row r="578" spans="1:15">
      <c r="D578" s="2268"/>
      <c r="E578" s="2268"/>
      <c r="F578" s="2268"/>
      <c r="G578" s="2268"/>
      <c r="H578" s="2268"/>
      <c r="I578" s="2268"/>
      <c r="J578" s="2268"/>
      <c r="K578" s="2268"/>
      <c r="L578" s="2268"/>
    </row>
    <row r="582" spans="1:15">
      <c r="A582" s="2232" t="s">
        <v>1662</v>
      </c>
    </row>
    <row r="583" spans="1:15">
      <c r="B583" s="3100" t="s">
        <v>1448</v>
      </c>
      <c r="C583" s="3102" t="s">
        <v>1459</v>
      </c>
      <c r="D583" s="2410" t="str">
        <f t="shared" ref="D583:L583" si="180">D544</f>
        <v>26.10</v>
      </c>
      <c r="E583" s="2410" t="str">
        <f t="shared" si="180"/>
        <v>27.01</v>
      </c>
      <c r="F583" s="2410" t="str">
        <f t="shared" si="180"/>
        <v>27.04</v>
      </c>
      <c r="G583" s="2410" t="str">
        <f t="shared" si="180"/>
        <v>27.07</v>
      </c>
      <c r="H583" s="2410" t="str">
        <f t="shared" si="180"/>
        <v>27.10</v>
      </c>
      <c r="I583" s="2410" t="str">
        <f t="shared" si="180"/>
        <v>28.01</v>
      </c>
      <c r="J583" s="2410" t="str">
        <f t="shared" si="180"/>
        <v>28.04</v>
      </c>
      <c r="K583" s="2410" t="str">
        <f t="shared" si="180"/>
        <v>28.07</v>
      </c>
      <c r="L583" s="2411" t="str">
        <f t="shared" si="180"/>
        <v>28.10</v>
      </c>
    </row>
    <row r="584" spans="1:15" ht="12.75" thickBot="1">
      <c r="B584" s="3101"/>
      <c r="C584" s="3103"/>
      <c r="D584" s="2283" t="str">
        <f t="shared" ref="D584:L584" si="181">D545</f>
        <v>투자일</v>
      </c>
      <c r="E584" s="2490">
        <f t="shared" si="181"/>
        <v>1</v>
      </c>
      <c r="F584" s="2490">
        <f t="shared" si="181"/>
        <v>2</v>
      </c>
      <c r="G584" s="2490">
        <f t="shared" si="181"/>
        <v>3</v>
      </c>
      <c r="H584" s="2490">
        <f t="shared" si="181"/>
        <v>4</v>
      </c>
      <c r="I584" s="2490">
        <f t="shared" si="181"/>
        <v>5</v>
      </c>
      <c r="J584" s="2490">
        <f t="shared" si="181"/>
        <v>6</v>
      </c>
      <c r="K584" s="2490">
        <f t="shared" si="181"/>
        <v>7</v>
      </c>
      <c r="L584" s="2491">
        <f t="shared" si="181"/>
        <v>8</v>
      </c>
    </row>
    <row r="585" spans="1:15" ht="12.75" thickBot="1">
      <c r="B585" s="2287" t="s">
        <v>1542</v>
      </c>
      <c r="C585" s="2302">
        <f t="shared" ref="C585:C630" ca="1" si="182">SUM(D585:L585)</f>
        <v>5174.0686101840465</v>
      </c>
      <c r="D585" s="2302">
        <f t="shared" ref="D585:L585" ca="1" si="183">D599+D600-D605</f>
        <v>0</v>
      </c>
      <c r="E585" s="2302">
        <f t="shared" ca="1" si="183"/>
        <v>-67.146439097851186</v>
      </c>
      <c r="F585" s="2302">
        <f t="shared" ca="1" si="183"/>
        <v>877.33131460256982</v>
      </c>
      <c r="G585" s="2302">
        <f t="shared" ca="1" si="183"/>
        <v>864.51811411683104</v>
      </c>
      <c r="H585" s="2303">
        <f t="shared" ca="1" si="183"/>
        <v>757.39182457715333</v>
      </c>
      <c r="I585" s="2303">
        <f t="shared" ca="1" si="183"/>
        <v>74.441838495396468</v>
      </c>
      <c r="J585" s="2303">
        <f t="shared" ca="1" si="183"/>
        <v>957.81470569714577</v>
      </c>
      <c r="K585" s="2303">
        <f t="shared" ca="1" si="183"/>
        <v>893.23625363837482</v>
      </c>
      <c r="L585" s="2303">
        <f t="shared" ca="1" si="183"/>
        <v>816.4809981544264</v>
      </c>
      <c r="N585" s="2268">
        <f ca="1">SUM(D155:F155)</f>
        <v>5174.0686101840474</v>
      </c>
      <c r="O585" s="2268">
        <f ca="1">N585-C585</f>
        <v>0</v>
      </c>
    </row>
    <row r="586" spans="1:15" ht="12.75" thickBot="1">
      <c r="B586" s="2287" t="s">
        <v>1603</v>
      </c>
      <c r="C586" s="2302">
        <f t="shared" si="182"/>
        <v>31019.959627661992</v>
      </c>
      <c r="D586" s="2302">
        <f t="shared" ref="D586:L586" si="184">SUM(D587:D589)</f>
        <v>0</v>
      </c>
      <c r="E586" s="2302">
        <f t="shared" si="184"/>
        <v>3692.0650452947502</v>
      </c>
      <c r="F586" s="2302">
        <f>SUM(F587:F589)</f>
        <v>3772.2572644205306</v>
      </c>
      <c r="G586" s="2302">
        <f t="shared" si="184"/>
        <v>3859.1154334992812</v>
      </c>
      <c r="H586" s="2303">
        <f t="shared" si="184"/>
        <v>4013.6624760617806</v>
      </c>
      <c r="I586" s="2303">
        <f t="shared" si="184"/>
        <v>3774.9495923339682</v>
      </c>
      <c r="J586" s="2303">
        <f t="shared" si="184"/>
        <v>3857.1466169378946</v>
      </c>
      <c r="K586" s="2303">
        <f t="shared" si="184"/>
        <v>3946.1762402436129</v>
      </c>
      <c r="L586" s="2303">
        <f t="shared" si="184"/>
        <v>4104.5869588701753</v>
      </c>
      <c r="N586" s="2268">
        <f t="shared" ref="N586:N637" si="185">SUM(D156:F156)</f>
        <v>31019.959627661992</v>
      </c>
      <c r="O586" s="2268">
        <f t="shared" ref="O586:O637" si="186">N586-C586</f>
        <v>0</v>
      </c>
    </row>
    <row r="587" spans="1:15">
      <c r="B587" s="2290" t="s">
        <v>269</v>
      </c>
      <c r="C587" s="2291">
        <f t="shared" si="182"/>
        <v>29157.846554077027</v>
      </c>
      <c r="D587" s="2291">
        <f>('CF(M)'!L16+'CF(M)'!L17)/1000</f>
        <v>0</v>
      </c>
      <c r="E587" s="2291">
        <f>(SUM('CF(M)'!M16:O16)+SUM('CF(M)'!M17:O17))/1000</f>
        <v>3463.8900165</v>
      </c>
      <c r="F587" s="2291">
        <f>(SUM('CF(M)'!P16:R16)+SUM('CF(M)'!P17:R17))/1000</f>
        <v>3541.5386281406245</v>
      </c>
      <c r="G587" s="2291">
        <f>(SUM('CF(M)'!S16:U16)+SUM('CF(M)'!S17:U17))/1000</f>
        <v>3627.4132146890624</v>
      </c>
      <c r="H587" s="2292">
        <f>(SUM('CF(M)'!V16:X16)+SUM('CF(M)'!V17:X17))/1000</f>
        <v>3781.9602572515619</v>
      </c>
      <c r="I587" s="2292">
        <f>(SUM('CF(M)'!Y16:AA16)+SUM('CF(M)'!Y17:AA17))/1000</f>
        <v>3542.4553339124996</v>
      </c>
      <c r="J587" s="2292">
        <f>(SUM('CF(M)'!AB16:AD16)+SUM('CF(M)'!AB17:AD17))/1000</f>
        <v>3622.0451608441408</v>
      </c>
      <c r="K587" s="2292">
        <f>(SUM('CF(M)'!AE16:AG16)+SUM('CF(M)'!AE17:AG17))/1000</f>
        <v>3710.0666120562887</v>
      </c>
      <c r="L587" s="2292">
        <f>(SUM('CF(M)'!AH16:AJ16)+SUM('CF(M)'!AH17:AJ17))/1000</f>
        <v>3868.4773306828515</v>
      </c>
      <c r="N587" s="2268">
        <f t="shared" si="185"/>
        <v>29157.846554077027</v>
      </c>
      <c r="O587" s="2268">
        <f t="shared" si="186"/>
        <v>0</v>
      </c>
    </row>
    <row r="588" spans="1:15">
      <c r="B588" s="2293" t="s">
        <v>64</v>
      </c>
      <c r="C588" s="2294">
        <f t="shared" si="182"/>
        <v>1576.2266437769647</v>
      </c>
      <c r="D588" s="2294">
        <f>('CF(M)'!L18)/1000</f>
        <v>0</v>
      </c>
      <c r="E588" s="2294">
        <f>(SUM('CF(M)'!M18:O18))/1000</f>
        <v>192.43922506875001</v>
      </c>
      <c r="F588" s="2294">
        <f>(SUM('CF(M)'!P18:R18))/1000</f>
        <v>194.98283255390626</v>
      </c>
      <c r="G588" s="2294">
        <f>(SUM('CF(M)'!S18:U18))/1000</f>
        <v>195.96641508421874</v>
      </c>
      <c r="H588" s="2295">
        <f>(SUM('CF(M)'!V18:X18))/1000</f>
        <v>195.96641508421874</v>
      </c>
      <c r="I588" s="2295">
        <f>(SUM('CF(M)'!Y18:AA18))/1000</f>
        <v>196.75845469546874</v>
      </c>
      <c r="J588" s="2295">
        <f>(SUM('CF(M)'!AB18:AD18))/1000</f>
        <v>199.36565236775388</v>
      </c>
      <c r="K588" s="2295">
        <f>(SUM('CF(M)'!AE18:AG18))/1000</f>
        <v>200.37382446132423</v>
      </c>
      <c r="L588" s="2295">
        <f>(SUM('CF(M)'!AH18:AJ18))/1000</f>
        <v>200.37382446132423</v>
      </c>
      <c r="N588" s="2268">
        <f t="shared" si="185"/>
        <v>1576.2266437769649</v>
      </c>
      <c r="O588" s="2268">
        <f t="shared" si="186"/>
        <v>0</v>
      </c>
    </row>
    <row r="589" spans="1:15" ht="12.75" thickBot="1">
      <c r="B589" s="2293" t="s">
        <v>1672</v>
      </c>
      <c r="C589" s="2294">
        <f t="shared" ref="C589" si="187">SUM(D589:L589)</f>
        <v>285.886429808</v>
      </c>
      <c r="D589" s="2294">
        <f>('CF(M)'!L19)/1000</f>
        <v>0</v>
      </c>
      <c r="E589" s="2294">
        <f>(SUM('CF(M)'!M19:O19))/1000</f>
        <v>35.735803726</v>
      </c>
      <c r="F589" s="2294">
        <f>(SUM('CF(M)'!P19:R19))/1000</f>
        <v>35.735803726</v>
      </c>
      <c r="G589" s="2294">
        <f>(SUM('CF(M)'!S19:U19))/1000</f>
        <v>35.735803726</v>
      </c>
      <c r="H589" s="2295">
        <f>(SUM('CF(M)'!V19:X19))/1000</f>
        <v>35.735803726</v>
      </c>
      <c r="I589" s="2295">
        <f>(SUM('CF(M)'!Y19:AA19))/1000</f>
        <v>35.735803726</v>
      </c>
      <c r="J589" s="2295">
        <f>(SUM('CF(M)'!AB19:AD19))/1000</f>
        <v>35.735803726</v>
      </c>
      <c r="K589" s="2295">
        <f>(SUM('CF(M)'!AE19:AG19))/1000</f>
        <v>35.735803726</v>
      </c>
      <c r="L589" s="2295">
        <f>(SUM('CF(M)'!AH19:AJ19))/1000</f>
        <v>35.735803726</v>
      </c>
      <c r="N589" s="2268">
        <f t="shared" si="185"/>
        <v>285.886429808</v>
      </c>
      <c r="O589" s="2268">
        <f t="shared" si="186"/>
        <v>0</v>
      </c>
    </row>
    <row r="590" spans="1:15" ht="12.75" thickBot="1">
      <c r="B590" s="2287" t="s">
        <v>1604</v>
      </c>
      <c r="C590" s="2302">
        <f t="shared" ca="1" si="182"/>
        <v>4258.1698023924182</v>
      </c>
      <c r="D590" s="2302">
        <f t="shared" ref="D590:L590" ca="1" si="188">SUM(D591:D598)</f>
        <v>0</v>
      </c>
      <c r="E590" s="2302">
        <f t="shared" ca="1" si="188"/>
        <v>961.93720104911665</v>
      </c>
      <c r="F590" s="2302">
        <f t="shared" ca="1" si="188"/>
        <v>187.27177938244998</v>
      </c>
      <c r="G590" s="2302">
        <f t="shared" ca="1" si="188"/>
        <v>341.96056938244999</v>
      </c>
      <c r="H590" s="2303">
        <f t="shared" ca="1" si="188"/>
        <v>548.6164810491166</v>
      </c>
      <c r="I590" s="2303">
        <f t="shared" ca="1" si="188"/>
        <v>1047.7510038385715</v>
      </c>
      <c r="J590" s="2303">
        <f t="shared" ca="1" si="188"/>
        <v>190.83774080523796</v>
      </c>
      <c r="K590" s="2303">
        <f t="shared" ca="1" si="188"/>
        <v>400.18323660523788</v>
      </c>
      <c r="L590" s="2303">
        <f t="shared" ca="1" si="188"/>
        <v>579.61179028023798</v>
      </c>
      <c r="N590" s="2268">
        <f t="shared" ca="1" si="185"/>
        <v>4258.1698023924182</v>
      </c>
      <c r="O590" s="2268">
        <f t="shared" ca="1" si="186"/>
        <v>0</v>
      </c>
    </row>
    <row r="591" spans="1:15">
      <c r="B591" s="2293" t="s">
        <v>73</v>
      </c>
      <c r="C591" s="2294">
        <f t="shared" si="182"/>
        <v>120.89999999999998</v>
      </c>
      <c r="D591" s="2294">
        <f>-('CF(M)'!L23)/1000</f>
        <v>0</v>
      </c>
      <c r="E591" s="2294">
        <f>-(SUM('CF(M)'!M23:O23))/1000</f>
        <v>15</v>
      </c>
      <c r="F591" s="2294">
        <f>-(SUM('CF(M)'!P23:R23))/1000</f>
        <v>15</v>
      </c>
      <c r="G591" s="2294">
        <f>-(SUM('CF(M)'!S23:U23))/1000</f>
        <v>15</v>
      </c>
      <c r="H591" s="2295">
        <f>-(SUM('CF(M)'!V23:X23))/1000</f>
        <v>15</v>
      </c>
      <c r="I591" s="2295">
        <f>-(SUM('CF(M)'!Y23:AA23))/1000</f>
        <v>15.224999999999996</v>
      </c>
      <c r="J591" s="2295">
        <f>-(SUM('CF(M)'!AB23:AD23))/1000</f>
        <v>15.224999999999996</v>
      </c>
      <c r="K591" s="2295">
        <f>-(SUM('CF(M)'!AE23:AG23))/1000</f>
        <v>15.224999999999996</v>
      </c>
      <c r="L591" s="2295">
        <f>-(SUM('CF(M)'!AH23:AJ23))/1000</f>
        <v>15.224999999999996</v>
      </c>
      <c r="N591" s="2268">
        <f t="shared" si="185"/>
        <v>120.89999999999999</v>
      </c>
      <c r="O591" s="2268">
        <f t="shared" si="186"/>
        <v>0</v>
      </c>
    </row>
    <row r="592" spans="1:15">
      <c r="B592" s="2293" t="s">
        <v>75</v>
      </c>
      <c r="C592" s="2294">
        <f t="shared" si="182"/>
        <v>1286.7414867292916</v>
      </c>
      <c r="D592" s="2294">
        <f>-('CF(M)'!L24)/1000</f>
        <v>0</v>
      </c>
      <c r="E592" s="2294">
        <f>-(SUM('CF(M)'!M24:O24))/1000</f>
        <v>159.25018400114999</v>
      </c>
      <c r="F592" s="2294">
        <f>-(SUM('CF(M)'!P24:R24))/1000</f>
        <v>159.25018400114999</v>
      </c>
      <c r="G592" s="2294">
        <f>-(SUM('CF(M)'!S24:U24))/1000</f>
        <v>159.25018400114999</v>
      </c>
      <c r="H592" s="2295">
        <f>-(SUM('CF(M)'!V24:X24))/1000</f>
        <v>159.25018400114999</v>
      </c>
      <c r="I592" s="2295">
        <f>-(SUM('CF(M)'!Y24:AA24))/1000</f>
        <v>162.43518768117298</v>
      </c>
      <c r="J592" s="2295">
        <f>-(SUM('CF(M)'!AB24:AD24))/1000</f>
        <v>162.43518768117298</v>
      </c>
      <c r="K592" s="2295">
        <f>-(SUM('CF(M)'!AE24:AG24))/1000</f>
        <v>162.43518768117298</v>
      </c>
      <c r="L592" s="2295">
        <f>-(SUM('CF(M)'!AH24:AJ24))/1000</f>
        <v>162.43518768117298</v>
      </c>
      <c r="N592" s="2268">
        <f t="shared" si="185"/>
        <v>1286.7414867292919</v>
      </c>
      <c r="O592" s="2268">
        <f t="shared" si="186"/>
        <v>0</v>
      </c>
    </row>
    <row r="593" spans="2:15" hidden="1">
      <c r="B593" s="2293" t="s">
        <v>80</v>
      </c>
      <c r="C593" s="2294">
        <f t="shared" si="182"/>
        <v>0</v>
      </c>
      <c r="D593" s="2294">
        <f>-('CF(M)'!L26)/1000</f>
        <v>0</v>
      </c>
      <c r="E593" s="2294">
        <f>-(SUM('CF(M)'!M26:O26))/1000</f>
        <v>0</v>
      </c>
      <c r="F593" s="2294">
        <f>-(SUM('CF(M)'!P26:R26))/1000</f>
        <v>0</v>
      </c>
      <c r="G593" s="2294">
        <f>-(SUM('CF(M)'!S26:U26))/1000</f>
        <v>0</v>
      </c>
      <c r="H593" s="2295">
        <f>-(SUM('CF(M)'!V26:X26))/1000</f>
        <v>0</v>
      </c>
      <c r="I593" s="2295">
        <f>-(SUM('CF(M)'!Y26:AA26))/1000</f>
        <v>0</v>
      </c>
      <c r="J593" s="2295">
        <f>-(SUM('CF(M)'!AB26:AD26))/1000</f>
        <v>0</v>
      </c>
      <c r="K593" s="2295">
        <f>-(SUM('CF(M)'!AE26:AG26))/1000</f>
        <v>0</v>
      </c>
      <c r="L593" s="2295">
        <f>-(SUM('CF(M)'!AH26:AJ26))/1000</f>
        <v>0</v>
      </c>
      <c r="N593" s="2268">
        <f t="shared" si="185"/>
        <v>0</v>
      </c>
      <c r="O593" s="2268">
        <f t="shared" si="186"/>
        <v>0</v>
      </c>
    </row>
    <row r="594" spans="2:15">
      <c r="B594" s="2293" t="s">
        <v>83</v>
      </c>
      <c r="C594" s="2294">
        <f t="shared" ca="1" si="182"/>
        <v>1469.7237060000002</v>
      </c>
      <c r="D594" s="2294">
        <f ca="1">-('CF(M)'!L27)/1000</f>
        <v>0</v>
      </c>
      <c r="E594" s="2294">
        <f ca="1">-(SUM('CF(M)'!M27:O27))/1000</f>
        <v>742.28470000000004</v>
      </c>
      <c r="F594" s="2294">
        <f ca="1">-(SUM('CF(M)'!P27:R27))/1000</f>
        <v>0</v>
      </c>
      <c r="G594" s="2294">
        <f ca="1">-(SUM('CF(M)'!S27:U27))/1000</f>
        <v>0</v>
      </c>
      <c r="H594" s="2295">
        <f ca="1">-(SUM('CF(M)'!V27:X27))/1000</f>
        <v>0</v>
      </c>
      <c r="I594" s="2295">
        <f ca="1">-(SUM('CF(M)'!Y27:AA27))/1000</f>
        <v>727.43900600000018</v>
      </c>
      <c r="J594" s="2295">
        <f ca="1">-(SUM('CF(M)'!AB27:AD27))/1000</f>
        <v>0</v>
      </c>
      <c r="K594" s="2295">
        <f ca="1">-(SUM('CF(M)'!AE27:AG27))/1000</f>
        <v>0</v>
      </c>
      <c r="L594" s="2295">
        <f ca="1">-(SUM('CF(M)'!AH27:AJ27))/1000</f>
        <v>0</v>
      </c>
      <c r="N594" s="2268">
        <f t="shared" ca="1" si="185"/>
        <v>1469.7237060000002</v>
      </c>
      <c r="O594" s="2268">
        <f t="shared" ca="1" si="186"/>
        <v>0</v>
      </c>
    </row>
    <row r="595" spans="2:15">
      <c r="B595" s="2293" t="s">
        <v>78</v>
      </c>
      <c r="C595" s="2294">
        <f t="shared" si="182"/>
        <v>63.006928077060003</v>
      </c>
      <c r="D595" s="2294">
        <f>-('CF(M)'!L25)/1000</f>
        <v>0</v>
      </c>
      <c r="E595" s="2294">
        <f>-(SUM('CF(M)'!M25:O25))/1000</f>
        <v>7.7978871382500001</v>
      </c>
      <c r="F595" s="2294">
        <f>-(SUM('CF(M)'!P25:R25))/1000</f>
        <v>7.7978871382500001</v>
      </c>
      <c r="G595" s="2294">
        <f>-(SUM('CF(M)'!S25:U25))/1000</f>
        <v>7.7978871382500001</v>
      </c>
      <c r="H595" s="2295">
        <f>-(SUM('CF(M)'!V25:X25))/1000</f>
        <v>7.7978871382500001</v>
      </c>
      <c r="I595" s="2295">
        <f>-(SUM('CF(M)'!Y25:AA25))/1000</f>
        <v>7.9538448810149998</v>
      </c>
      <c r="J595" s="2295">
        <f>-(SUM('CF(M)'!AB25:AD25))/1000</f>
        <v>7.9538448810149998</v>
      </c>
      <c r="K595" s="2295">
        <f>-(SUM('CF(M)'!AE25:AG25))/1000</f>
        <v>7.9538448810149998</v>
      </c>
      <c r="L595" s="2295">
        <f>-(SUM('CF(M)'!AH25:AJ25))/1000</f>
        <v>7.9538448810149998</v>
      </c>
      <c r="N595" s="2268">
        <f t="shared" si="185"/>
        <v>63.006928077059996</v>
      </c>
      <c r="O595" s="2268">
        <f t="shared" si="186"/>
        <v>0</v>
      </c>
    </row>
    <row r="596" spans="2:15">
      <c r="B596" s="2293" t="s">
        <v>1539</v>
      </c>
      <c r="C596" s="2294">
        <f t="shared" si="182"/>
        <v>41.789665944400006</v>
      </c>
      <c r="D596" s="2294">
        <f>-('CF(M)'!L32)/1000</f>
        <v>0</v>
      </c>
      <c r="E596" s="2294">
        <f>-(SUM('CF(M)'!M32:O32))/1000</f>
        <v>5.2237082430500008</v>
      </c>
      <c r="F596" s="2294">
        <f>-(SUM('CF(M)'!P32:R32))/1000</f>
        <v>5.2237082430500008</v>
      </c>
      <c r="G596" s="2294">
        <f>-(SUM('CF(M)'!S32:U32))/1000</f>
        <v>5.2237082430500008</v>
      </c>
      <c r="H596" s="2295">
        <f>-(SUM('CF(M)'!V32:X32))/1000</f>
        <v>5.2237082430500008</v>
      </c>
      <c r="I596" s="2295">
        <f>-(SUM('CF(M)'!Y32:AA32))/1000</f>
        <v>5.2237082430500008</v>
      </c>
      <c r="J596" s="2295">
        <f>-(SUM('CF(M)'!AB32:AD32))/1000</f>
        <v>5.2237082430500008</v>
      </c>
      <c r="K596" s="2295">
        <f>-(SUM('CF(M)'!AE32:AG32))/1000</f>
        <v>5.2237082430500008</v>
      </c>
      <c r="L596" s="2295">
        <f>-(SUM('CF(M)'!AH32:AJ32))/1000</f>
        <v>5.2237082430500008</v>
      </c>
      <c r="N596" s="2268">
        <f t="shared" si="185"/>
        <v>41.789665944400006</v>
      </c>
      <c r="O596" s="2268">
        <f t="shared" si="186"/>
        <v>0</v>
      </c>
    </row>
    <row r="597" spans="2:15">
      <c r="B597" s="2293" t="s">
        <v>1543</v>
      </c>
      <c r="C597" s="2294">
        <f t="shared" si="182"/>
        <v>1265.1346456416666</v>
      </c>
      <c r="D597" s="2294">
        <f>-('CF(M)'!L28+'CF(M)'!L29+'CF(M)'!L30+'CF(M)'!L31)/1000</f>
        <v>0</v>
      </c>
      <c r="E597" s="2294">
        <f>-(SUM('CF(M)'!M28:O28)+SUM('CF(M)'!M29:O29)+SUM('CF(M)'!M30:O30)+SUM('CF(M)'!M31:O31))/1000</f>
        <v>21.507351666666665</v>
      </c>
      <c r="F597" s="2294">
        <f>-(SUM('CF(M)'!P28:R28)+SUM('CF(M)'!P29:R29)+SUM('CF(M)'!P30:R30)+SUM('CF(M)'!P31:R31))/1000</f>
        <v>0</v>
      </c>
      <c r="G597" s="2294">
        <f>-(SUM('CF(M)'!S28:U28)+SUM('CF(M)'!S29:U29)+SUM('CF(M)'!S30:U30)+SUM('CF(M)'!S31:U31))/1000</f>
        <v>154.68879000000004</v>
      </c>
      <c r="H597" s="2295">
        <f>-(SUM('CF(M)'!V28:X28)+SUM('CF(M)'!V29:X29)+SUM('CF(M)'!V30:X30)+SUM('CF(M)'!V31:X31))/1000</f>
        <v>361.34470166666659</v>
      </c>
      <c r="I597" s="2295">
        <f>-(SUM('CF(M)'!Y28:AA28)+SUM('CF(M)'!Y29:AA29)+SUM('CF(M)'!Y30:AA30)+SUM('CF(M)'!Y31:AA31))/1000</f>
        <v>129.47425703333332</v>
      </c>
      <c r="J597" s="2295">
        <f>-(SUM('CF(M)'!AB28:AD28)+SUM('CF(M)'!AB29:AD29)+SUM('CF(M)'!AB30:AD30)+SUM('CF(M)'!AB31:AD31))/1000</f>
        <v>0</v>
      </c>
      <c r="K597" s="2295">
        <f>-(SUM('CF(M)'!AE28:AG28)+SUM('CF(M)'!AE29:AG29)+SUM('CF(M)'!AE30:AG30)+SUM('CF(M)'!AE31:AG31))/1000</f>
        <v>209.34549579999995</v>
      </c>
      <c r="L597" s="2295">
        <f>-(SUM('CF(M)'!AH28:AJ28)+SUM('CF(M)'!AH29:AJ29)+SUM('CF(M)'!AH30:AJ30)+SUM('CF(M)'!AH31:AJ31))/1000</f>
        <v>388.77404947499997</v>
      </c>
      <c r="N597" s="2268">
        <f t="shared" si="185"/>
        <v>1265.1346456416663</v>
      </c>
      <c r="O597" s="2268">
        <f t="shared" si="186"/>
        <v>0</v>
      </c>
    </row>
    <row r="598" spans="2:15" ht="12.75" thickBot="1">
      <c r="B598" s="2293" t="s">
        <v>468</v>
      </c>
      <c r="C598" s="2294">
        <f t="shared" si="182"/>
        <v>10.87337</v>
      </c>
      <c r="D598" s="2294">
        <f>-('CF(M)'!L33)/1000</f>
        <v>0</v>
      </c>
      <c r="E598" s="2294">
        <f>-(SUM('CF(M)'!M33:O33))/1000</f>
        <v>10.87337</v>
      </c>
      <c r="F598" s="2294">
        <f>-(SUM('CF(M)'!P33:R33))/1000</f>
        <v>0</v>
      </c>
      <c r="G598" s="2294">
        <f>-(SUM('CF(M)'!S33:U33))/1000</f>
        <v>0</v>
      </c>
      <c r="H598" s="2295">
        <f>-(SUM('CF(M)'!V33:X33))/1000</f>
        <v>0</v>
      </c>
      <c r="I598" s="2295">
        <f>-(SUM('CF(M)'!Y33:AA33))/1000</f>
        <v>0</v>
      </c>
      <c r="J598" s="2295">
        <f>-(SUM('CF(M)'!AB33:AD33))/1000</f>
        <v>0</v>
      </c>
      <c r="K598" s="2295">
        <f>-(SUM('CF(M)'!AE33:AG33))/1000</f>
        <v>0</v>
      </c>
      <c r="L598" s="2295">
        <f>-(SUM('CF(M)'!AH33:AJ33))/1000</f>
        <v>0</v>
      </c>
      <c r="N598" s="2268">
        <f t="shared" si="185"/>
        <v>10.87337</v>
      </c>
      <c r="O598" s="2268">
        <f t="shared" si="186"/>
        <v>0</v>
      </c>
    </row>
    <row r="599" spans="2:15" ht="12.75" thickBot="1">
      <c r="B599" s="2287" t="s">
        <v>1605</v>
      </c>
      <c r="C599" s="2302">
        <f t="shared" ca="1" si="182"/>
        <v>26761.789825269574</v>
      </c>
      <c r="D599" s="2302">
        <f t="shared" ref="D599:L599" ca="1" si="189">D586-D590</f>
        <v>0</v>
      </c>
      <c r="E599" s="2302">
        <f t="shared" ca="1" si="189"/>
        <v>2730.1278442456337</v>
      </c>
      <c r="F599" s="2302">
        <f t="shared" ca="1" si="189"/>
        <v>3584.9854850380807</v>
      </c>
      <c r="G599" s="2302">
        <f t="shared" ca="1" si="189"/>
        <v>3517.154864116831</v>
      </c>
      <c r="H599" s="2303">
        <f t="shared" ca="1" si="189"/>
        <v>3465.0459950126642</v>
      </c>
      <c r="I599" s="2303">
        <f t="shared" ca="1" si="189"/>
        <v>2727.1985884953965</v>
      </c>
      <c r="J599" s="2303">
        <f t="shared" ca="1" si="189"/>
        <v>3666.3088761326567</v>
      </c>
      <c r="K599" s="2303">
        <f t="shared" ca="1" si="189"/>
        <v>3545.9930036383748</v>
      </c>
      <c r="L599" s="2303">
        <f t="shared" ca="1" si="189"/>
        <v>3524.9751685899373</v>
      </c>
      <c r="N599" s="2268">
        <f t="shared" ca="1" si="185"/>
        <v>26761.789825269574</v>
      </c>
      <c r="O599" s="2268">
        <f t="shared" ca="1" si="186"/>
        <v>0</v>
      </c>
    </row>
    <row r="600" spans="2:15" ht="12.75" thickBot="1">
      <c r="B600" s="2287" t="s">
        <v>513</v>
      </c>
      <c r="C600" s="2302">
        <f t="shared" ca="1" si="182"/>
        <v>-19984.637533343484</v>
      </c>
      <c r="D600" s="2302">
        <f t="shared" ref="D600:L600" si="190">SUM(D601:D604)</f>
        <v>0</v>
      </c>
      <c r="E600" s="2302">
        <f t="shared" ca="1" si="190"/>
        <v>-2624.6375333434848</v>
      </c>
      <c r="F600" s="2302">
        <f t="shared" ca="1" si="190"/>
        <v>-2480</v>
      </c>
      <c r="G600" s="2302">
        <f t="shared" ca="1" si="190"/>
        <v>-2480</v>
      </c>
      <c r="H600" s="2303">
        <f t="shared" ca="1" si="190"/>
        <v>-2480</v>
      </c>
      <c r="I600" s="2303">
        <f t="shared" ca="1" si="190"/>
        <v>-2480</v>
      </c>
      <c r="J600" s="2303">
        <f t="shared" ca="1" si="190"/>
        <v>-2480</v>
      </c>
      <c r="K600" s="2303">
        <f t="shared" ca="1" si="190"/>
        <v>-2480</v>
      </c>
      <c r="L600" s="2303">
        <f t="shared" ca="1" si="190"/>
        <v>-2480</v>
      </c>
      <c r="N600" s="2268">
        <f t="shared" ca="1" si="185"/>
        <v>-19984.637533343484</v>
      </c>
      <c r="O600" s="2268">
        <f t="shared" ca="1" si="186"/>
        <v>0</v>
      </c>
    </row>
    <row r="601" spans="2:15">
      <c r="B601" s="2290" t="s">
        <v>239</v>
      </c>
      <c r="C601" s="2291">
        <f t="shared" ca="1" si="182"/>
        <v>0</v>
      </c>
      <c r="D601" s="2291">
        <f>('CF(M)'!L20)/1000</f>
        <v>0</v>
      </c>
      <c r="E601" s="2291">
        <f ca="1">(SUM('CF(M)'!M20:O20))/1000</f>
        <v>0</v>
      </c>
      <c r="F601" s="2291">
        <f ca="1">(SUM('CF(M)'!P20:R20))/1000</f>
        <v>0</v>
      </c>
      <c r="G601" s="2291">
        <f ca="1">(SUM('CF(M)'!S20:U20))/1000</f>
        <v>0</v>
      </c>
      <c r="H601" s="2292">
        <f ca="1">(SUM('CF(M)'!V20:X20))/1000</f>
        <v>0</v>
      </c>
      <c r="I601" s="2292">
        <f ca="1">(SUM('CF(M)'!Y20:AA20))/1000</f>
        <v>0</v>
      </c>
      <c r="J601" s="2292">
        <f ca="1">(SUM('CF(M)'!AB20:AD20))/1000</f>
        <v>0</v>
      </c>
      <c r="K601" s="2292">
        <f ca="1">(SUM('CF(M)'!AE20:AG20))/1000</f>
        <v>0</v>
      </c>
      <c r="L601" s="2292">
        <f ca="1">(SUM('CF(M)'!AH20:AJ20))/1000</f>
        <v>0</v>
      </c>
      <c r="N601" s="2268">
        <f t="shared" ca="1" si="185"/>
        <v>0</v>
      </c>
      <c r="O601" s="2268">
        <f t="shared" ca="1" si="186"/>
        <v>0</v>
      </c>
    </row>
    <row r="602" spans="2:15">
      <c r="B602" s="2293" t="s">
        <v>1606</v>
      </c>
      <c r="C602" s="2294">
        <f t="shared" si="182"/>
        <v>-15280</v>
      </c>
      <c r="D602" s="2294">
        <f>('CF(M)'!L41+'CF(M)'!L42+'CF(M)'!L43)/1000</f>
        <v>0</v>
      </c>
      <c r="E602" s="2294">
        <f>(SUM('CF(M)'!M41:O41)+SUM('CF(M)'!M42:O42)+SUM('CF(M)'!M43:O43))/1000</f>
        <v>-1910</v>
      </c>
      <c r="F602" s="2294">
        <f>(SUM('CF(M)'!P41:R41)+SUM('CF(M)'!P42:R42)+SUM('CF(M)'!P43:R43))/1000</f>
        <v>-1910</v>
      </c>
      <c r="G602" s="2294">
        <f>(SUM('CF(M)'!S41:U41)+SUM('CF(M)'!S42:U42)+SUM('CF(M)'!S43:U43))/1000</f>
        <v>-1910</v>
      </c>
      <c r="H602" s="2295">
        <f>(SUM('CF(M)'!V41:X41)+SUM('CF(M)'!V42:X42)+SUM('CF(M)'!V43:X43))/1000</f>
        <v>-1910</v>
      </c>
      <c r="I602" s="2295">
        <f>(SUM('CF(M)'!Y41:AA41)+SUM('CF(M)'!Y42:AA42)+SUM('CF(M)'!Y43:AA43))/1000</f>
        <v>-1910</v>
      </c>
      <c r="J602" s="2295">
        <f>(SUM('CF(M)'!AB41:AD41)+SUM('CF(M)'!AB42:AD42)+SUM('CF(M)'!AB43:AD43))/1000</f>
        <v>-1910</v>
      </c>
      <c r="K602" s="2295">
        <f>(SUM('CF(M)'!AE41:AG41)+SUM('CF(M)'!AE42:AG42)+SUM('CF(M)'!AE43:AG43))/1000</f>
        <v>-1910</v>
      </c>
      <c r="L602" s="2295">
        <f>(SUM('CF(M)'!AH41:AJ41)+SUM('CF(M)'!AH42:AJ42)+SUM('CF(M)'!AH43:AJ43))/1000</f>
        <v>-1910</v>
      </c>
      <c r="N602" s="2268">
        <f t="shared" si="185"/>
        <v>-15280</v>
      </c>
      <c r="O602" s="2268">
        <f t="shared" si="186"/>
        <v>0</v>
      </c>
    </row>
    <row r="603" spans="2:15">
      <c r="B603" s="2293" t="s">
        <v>1540</v>
      </c>
      <c r="C603" s="2294">
        <f t="shared" si="182"/>
        <v>-4560</v>
      </c>
      <c r="D603" s="2294">
        <f>('CF(M)'!L44+'CF(M)'!L45+'CF(M)'!L46)/1000</f>
        <v>0</v>
      </c>
      <c r="E603" s="2294">
        <f>(SUM('CF(M)'!M44:O44)+SUM('CF(M)'!M45:O45)+SUM('CF(M)'!M46:O46))/1000</f>
        <v>-570</v>
      </c>
      <c r="F603" s="2294">
        <f>(SUM('CF(M)'!P44:R44)+SUM('CF(M)'!P45:R45)+SUM('CF(M)'!P46:R46))/1000</f>
        <v>-570</v>
      </c>
      <c r="G603" s="2294">
        <f>(SUM('CF(M)'!S44:U44)+SUM('CF(M)'!S45:U45)+SUM('CF(M)'!S46:U46))/1000</f>
        <v>-570</v>
      </c>
      <c r="H603" s="2295">
        <f>(SUM('CF(M)'!V44:X44)+SUM('CF(M)'!V45:X45)+SUM('CF(M)'!V46:X46))/1000</f>
        <v>-570</v>
      </c>
      <c r="I603" s="2295">
        <f>(SUM('CF(M)'!Y44:AA44)+SUM('CF(M)'!Y45:AA45)+SUM('CF(M)'!Y46:AA46))/1000</f>
        <v>-570</v>
      </c>
      <c r="J603" s="2295">
        <f>(SUM('CF(M)'!AB44:AD44)+SUM('CF(M)'!AB45:AD45)+SUM('CF(M)'!AB46:AD46))/1000</f>
        <v>-570</v>
      </c>
      <c r="K603" s="2295">
        <f>(SUM('CF(M)'!AE44:AG44)+SUM('CF(M)'!AE45:AG45)+SUM('CF(M)'!AE46:AG46))/1000</f>
        <v>-570</v>
      </c>
      <c r="L603" s="2295">
        <f>(SUM('CF(M)'!AH44:AJ44)+SUM('CF(M)'!AH45:AJ45)+SUM('CF(M)'!AH46:AJ46))/1000</f>
        <v>-570</v>
      </c>
      <c r="N603" s="2268">
        <f t="shared" si="185"/>
        <v>-4560</v>
      </c>
      <c r="O603" s="2268">
        <f t="shared" si="186"/>
        <v>0</v>
      </c>
    </row>
    <row r="604" spans="2:15" ht="12.75" thickBot="1">
      <c r="B604" s="2293" t="s">
        <v>1607</v>
      </c>
      <c r="C604" s="2294">
        <f t="shared" si="182"/>
        <v>-144.63753334348496</v>
      </c>
      <c r="D604" s="2294">
        <f>('CF(M)'!L47)/1000</f>
        <v>0</v>
      </c>
      <c r="E604" s="2294">
        <f>(SUM('CF(M)'!M47:O47))/1000</f>
        <v>-144.63753334348496</v>
      </c>
      <c r="F604" s="2294">
        <f>(SUM('CF(M)'!P47:R47))/1000</f>
        <v>0</v>
      </c>
      <c r="G604" s="2294">
        <f>(SUM('CF(M)'!S47:U47))/1000</f>
        <v>0</v>
      </c>
      <c r="H604" s="2295">
        <f>(SUM('CF(M)'!V47:X47))/1000</f>
        <v>0</v>
      </c>
      <c r="I604" s="2295">
        <f>(SUM('CF(M)'!Y47:AA47))/1000</f>
        <v>0</v>
      </c>
      <c r="J604" s="2295">
        <f>(SUM('CF(M)'!AB47:AD47))/1000</f>
        <v>0</v>
      </c>
      <c r="K604" s="2295">
        <f>(SUM('CF(M)'!AE47:AG47))/1000</f>
        <v>0</v>
      </c>
      <c r="L604" s="2295">
        <f>(SUM('CF(M)'!AH47:AJ47))/1000</f>
        <v>0</v>
      </c>
      <c r="N604" s="2268">
        <f t="shared" si="185"/>
        <v>-144.63753334348496</v>
      </c>
      <c r="O604" s="2268">
        <f t="shared" si="186"/>
        <v>0</v>
      </c>
    </row>
    <row r="605" spans="2:15" ht="12.75" thickBot="1">
      <c r="B605" s="2287" t="s">
        <v>1544</v>
      </c>
      <c r="C605" s="2302">
        <f t="shared" si="182"/>
        <v>1603.0836817420441</v>
      </c>
      <c r="D605" s="2302">
        <f t="shared" ref="D605:L605" si="191">SUM(D606:D610)</f>
        <v>0</v>
      </c>
      <c r="E605" s="2302">
        <f t="shared" si="191"/>
        <v>172.63675000000003</v>
      </c>
      <c r="F605" s="2302">
        <f t="shared" si="191"/>
        <v>227.65417043551093</v>
      </c>
      <c r="G605" s="2302">
        <f t="shared" si="191"/>
        <v>172.63675000000003</v>
      </c>
      <c r="H605" s="2303">
        <f t="shared" si="191"/>
        <v>227.65417043551093</v>
      </c>
      <c r="I605" s="2303">
        <f t="shared" si="191"/>
        <v>172.75675000000004</v>
      </c>
      <c r="J605" s="2303">
        <f t="shared" si="191"/>
        <v>228.49417043551094</v>
      </c>
      <c r="K605" s="2303">
        <f t="shared" si="191"/>
        <v>172.75675000000004</v>
      </c>
      <c r="L605" s="2303">
        <f t="shared" si="191"/>
        <v>228.49417043551094</v>
      </c>
      <c r="N605" s="2268">
        <f t="shared" si="185"/>
        <v>1603.0836817420436</v>
      </c>
      <c r="O605" s="2268">
        <f t="shared" si="186"/>
        <v>0</v>
      </c>
    </row>
    <row r="606" spans="2:15">
      <c r="B606" s="2290" t="s">
        <v>190</v>
      </c>
      <c r="C606" s="2291">
        <f t="shared" si="182"/>
        <v>1333.0940000000003</v>
      </c>
      <c r="D606" s="2291">
        <f>-('CF(M)'!L36)/1000</f>
        <v>0</v>
      </c>
      <c r="E606" s="2291">
        <f>-(SUM('CF(M)'!M36:O36))/1000</f>
        <v>166.63675000000003</v>
      </c>
      <c r="F606" s="2291">
        <f>-(SUM('CF(M)'!P36:R36))/1000</f>
        <v>166.63675000000003</v>
      </c>
      <c r="G606" s="2291">
        <f>-(SUM('CF(M)'!S36:U36))/1000</f>
        <v>166.63675000000003</v>
      </c>
      <c r="H606" s="2292">
        <f>-(SUM('CF(M)'!V36:X36))/1000</f>
        <v>166.63675000000003</v>
      </c>
      <c r="I606" s="2292">
        <f>-(SUM('CF(M)'!Y36:AA36))/1000</f>
        <v>166.63675000000003</v>
      </c>
      <c r="J606" s="2292">
        <f>-(SUM('CF(M)'!AB36:AD36))/1000</f>
        <v>166.63675000000003</v>
      </c>
      <c r="K606" s="2292">
        <f>-(SUM('CF(M)'!AE36:AG36))/1000</f>
        <v>166.63675000000003</v>
      </c>
      <c r="L606" s="2292">
        <f>-(SUM('CF(M)'!AH36:AJ36))/1000</f>
        <v>166.63675000000003</v>
      </c>
      <c r="N606" s="2268">
        <f t="shared" si="185"/>
        <v>1333.0940000000003</v>
      </c>
      <c r="O606" s="2268">
        <f t="shared" si="186"/>
        <v>0</v>
      </c>
    </row>
    <row r="607" spans="2:15">
      <c r="B607" s="2293" t="s">
        <v>152</v>
      </c>
      <c r="C607" s="2294">
        <f t="shared" si="182"/>
        <v>52.069681742043549</v>
      </c>
      <c r="D607" s="2294">
        <f>-('CF(M)'!L38)/1000</f>
        <v>0</v>
      </c>
      <c r="E607" s="2294">
        <f>-(SUM('CF(M)'!M38:O38))/1000</f>
        <v>0</v>
      </c>
      <c r="F607" s="2294">
        <f>-(SUM('CF(M)'!P38:R38))/1000</f>
        <v>13.017420435510887</v>
      </c>
      <c r="G607" s="2294">
        <f>-(SUM('CF(M)'!S38:U38))/1000</f>
        <v>0</v>
      </c>
      <c r="H607" s="2295">
        <f>-(SUM('CF(M)'!V38:X38))/1000</f>
        <v>13.017420435510887</v>
      </c>
      <c r="I607" s="2295">
        <f>-(SUM('CF(M)'!Y38:AA38))/1000</f>
        <v>0</v>
      </c>
      <c r="J607" s="2295">
        <f>-(SUM('CF(M)'!AB38:AD38))/1000</f>
        <v>13.017420435510887</v>
      </c>
      <c r="K607" s="2295">
        <f>-(SUM('CF(M)'!AE38:AG38))/1000</f>
        <v>0</v>
      </c>
      <c r="L607" s="2295">
        <f>-(SUM('CF(M)'!AH38:AJ38))/1000</f>
        <v>13.017420435510887</v>
      </c>
      <c r="N607" s="2268">
        <f t="shared" si="185"/>
        <v>52.069681742043549</v>
      </c>
      <c r="O607" s="2268">
        <f t="shared" si="186"/>
        <v>0</v>
      </c>
    </row>
    <row r="608" spans="2:15">
      <c r="B608" s="2293" t="s">
        <v>150</v>
      </c>
      <c r="C608" s="2294">
        <f t="shared" si="182"/>
        <v>24</v>
      </c>
      <c r="D608" s="2294">
        <f>-('CF(M)'!L37)/1000</f>
        <v>0</v>
      </c>
      <c r="E608" s="2294">
        <f>-(SUM('CF(M)'!M37:O37))/1000</f>
        <v>0</v>
      </c>
      <c r="F608" s="2294">
        <f>-(SUM('CF(M)'!P37:R37))/1000</f>
        <v>6</v>
      </c>
      <c r="G608" s="2294">
        <f>-(SUM('CF(M)'!S37:U37))/1000</f>
        <v>0</v>
      </c>
      <c r="H608" s="2295">
        <f>-(SUM('CF(M)'!V37:X37))/1000</f>
        <v>6</v>
      </c>
      <c r="I608" s="2295">
        <f>-(SUM('CF(M)'!Y37:AA37))/1000</f>
        <v>0</v>
      </c>
      <c r="J608" s="2295">
        <f>-(SUM('CF(M)'!AB37:AD37))/1000</f>
        <v>6</v>
      </c>
      <c r="K608" s="2295">
        <f>-(SUM('CF(M)'!AE37:AG37))/1000</f>
        <v>0</v>
      </c>
      <c r="L608" s="2295">
        <f>-(SUM('CF(M)'!AH37:AJ37))/1000</f>
        <v>6</v>
      </c>
      <c r="N608" s="2268">
        <f t="shared" si="185"/>
        <v>24</v>
      </c>
      <c r="O608" s="2268">
        <f t="shared" si="186"/>
        <v>0</v>
      </c>
    </row>
    <row r="609" spans="2:15">
      <c r="B609" s="2293" t="s">
        <v>533</v>
      </c>
      <c r="C609" s="2294">
        <f t="shared" si="182"/>
        <v>145.44</v>
      </c>
      <c r="D609" s="2294">
        <f>-('CF(M)'!L39)/1000</f>
        <v>0</v>
      </c>
      <c r="E609" s="2294">
        <f>-(SUM('CF(M)'!M39:O39))/1000</f>
        <v>0</v>
      </c>
      <c r="F609" s="2294">
        <f>-(SUM('CF(M)'!P39:R39))/1000</f>
        <v>36</v>
      </c>
      <c r="G609" s="2294">
        <f>-(SUM('CF(M)'!S39:U39))/1000</f>
        <v>0</v>
      </c>
      <c r="H609" s="2295">
        <f>-(SUM('CF(M)'!V39:X39))/1000</f>
        <v>36</v>
      </c>
      <c r="I609" s="2295">
        <f>-(SUM('CF(M)'!Y39:AA39))/1000</f>
        <v>0</v>
      </c>
      <c r="J609" s="2295">
        <f>-(SUM('CF(M)'!AB39:AD39))/1000</f>
        <v>36.72</v>
      </c>
      <c r="K609" s="2295">
        <f>-(SUM('CF(M)'!AE39:AG39))/1000</f>
        <v>0</v>
      </c>
      <c r="L609" s="2295">
        <f>-(SUM('CF(M)'!AH39:AJ39))/1000</f>
        <v>36.72</v>
      </c>
      <c r="N609" s="2268">
        <f t="shared" si="185"/>
        <v>145.44</v>
      </c>
      <c r="O609" s="2268">
        <f t="shared" si="186"/>
        <v>0</v>
      </c>
    </row>
    <row r="610" spans="2:15" ht="12.75" thickBot="1">
      <c r="B610" s="2293" t="s">
        <v>463</v>
      </c>
      <c r="C610" s="2294">
        <f t="shared" si="182"/>
        <v>48.48</v>
      </c>
      <c r="D610" s="2294">
        <f>-('CF(M)'!L35)/1000</f>
        <v>0</v>
      </c>
      <c r="E610" s="2294">
        <f>-(SUM('CF(M)'!M35:O35))/1000</f>
        <v>6</v>
      </c>
      <c r="F610" s="2294">
        <f>-(SUM('CF(M)'!P35:R35))/1000</f>
        <v>6</v>
      </c>
      <c r="G610" s="2294">
        <f>-(SUM('CF(M)'!S35:U35))/1000</f>
        <v>6</v>
      </c>
      <c r="H610" s="2295">
        <f>-(SUM('CF(M)'!V35:X35))/1000</f>
        <v>6</v>
      </c>
      <c r="I610" s="2295">
        <f>-(SUM('CF(M)'!Y35:AA35))/1000</f>
        <v>6.12</v>
      </c>
      <c r="J610" s="2295">
        <f>-(SUM('CF(M)'!AB35:AD35))/1000</f>
        <v>6.12</v>
      </c>
      <c r="K610" s="2295">
        <f>-(SUM('CF(M)'!AE35:AG35))/1000</f>
        <v>6.12</v>
      </c>
      <c r="L610" s="2295">
        <f>-(SUM('CF(M)'!AH35:AJ35))/1000</f>
        <v>6.12</v>
      </c>
      <c r="N610" s="2268">
        <f t="shared" si="185"/>
        <v>48.480000000000004</v>
      </c>
      <c r="O610" s="2268">
        <f t="shared" si="186"/>
        <v>0</v>
      </c>
    </row>
    <row r="611" spans="2:15" ht="12.75" thickBot="1">
      <c r="B611" s="2287" t="s">
        <v>1545</v>
      </c>
      <c r="C611" s="2302">
        <f t="shared" si="182"/>
        <v>-288956.19792442792</v>
      </c>
      <c r="D611" s="2302">
        <f t="shared" ref="D611:L611" si="192">SUM(D612:D615)</f>
        <v>-301756.66963053192</v>
      </c>
      <c r="E611" s="2302">
        <f t="shared" si="192"/>
        <v>12856.669630532</v>
      </c>
      <c r="F611" s="2302">
        <f t="shared" si="192"/>
        <v>-56.176470635715539</v>
      </c>
      <c r="G611" s="2302">
        <f t="shared" si="192"/>
        <v>56.176470635715553</v>
      </c>
      <c r="H611" s="2303">
        <f t="shared" si="192"/>
        <v>-56.176470635715539</v>
      </c>
      <c r="I611" s="2303">
        <f t="shared" si="192"/>
        <v>56.176470635715525</v>
      </c>
      <c r="J611" s="2303">
        <f t="shared" si="192"/>
        <v>-56.197924427994352</v>
      </c>
      <c r="K611" s="2303">
        <f t="shared" si="192"/>
        <v>56.197924427994337</v>
      </c>
      <c r="L611" s="2303">
        <f t="shared" si="192"/>
        <v>-56.197924427994352</v>
      </c>
      <c r="N611" s="2268">
        <f t="shared" si="185"/>
        <v>-288956.19792442792</v>
      </c>
      <c r="O611" s="2268">
        <f t="shared" si="186"/>
        <v>0</v>
      </c>
    </row>
    <row r="612" spans="2:15">
      <c r="B612" s="2293" t="s">
        <v>1507</v>
      </c>
      <c r="C612" s="2294">
        <f t="shared" si="182"/>
        <v>-270000</v>
      </c>
      <c r="D612" s="2294">
        <f>('CF(M)'!L61)/1000</f>
        <v>-270000</v>
      </c>
      <c r="E612" s="2294">
        <f>(SUM('CF(M)'!M61:O61))/1000</f>
        <v>0</v>
      </c>
      <c r="F612" s="2294">
        <f>(SUM('CF(M)'!P61:R61))/1000</f>
        <v>0</v>
      </c>
      <c r="G612" s="2294">
        <f>(SUM('CF(M)'!S61:U61))/1000</f>
        <v>0</v>
      </c>
      <c r="H612" s="2295">
        <f>(SUM('CF(M)'!V61:X61))/1000</f>
        <v>0</v>
      </c>
      <c r="I612" s="2295">
        <f>(SUM('CF(M)'!Y61:AA61))/1000</f>
        <v>0</v>
      </c>
      <c r="J612" s="2295">
        <f>(SUM('CF(M)'!AB61:AD61))/1000</f>
        <v>0</v>
      </c>
      <c r="K612" s="2295">
        <f>(SUM('CF(M)'!AE61:AG61))/1000</f>
        <v>0</v>
      </c>
      <c r="L612" s="2295">
        <f>(SUM('CF(M)'!AH61:AJ61))/1000</f>
        <v>0</v>
      </c>
      <c r="N612" s="2268">
        <f t="shared" si="185"/>
        <v>-270000</v>
      </c>
      <c r="O612" s="2268">
        <f t="shared" si="186"/>
        <v>0</v>
      </c>
    </row>
    <row r="613" spans="2:15">
      <c r="B613" s="2293" t="s">
        <v>1609</v>
      </c>
      <c r="C613" s="2294">
        <f t="shared" si="182"/>
        <v>-18899.999999999956</v>
      </c>
      <c r="D613" s="2294">
        <f>('CF(M)'!L62+'CF(M)'!L63+'CF(M)'!L64+'CF(M)'!L65+'CF(M)'!L66)/1000</f>
        <v>-18899.999999999956</v>
      </c>
      <c r="E613" s="2294">
        <f>(SUM('CF(M)'!M62:O62)+SUM('CF(M)'!M63:O63)+SUM('CF(M)'!M64:O64)+SUM('CF(M)'!M65:O65)+SUM('CF(M)'!M66:O66))/1000</f>
        <v>0</v>
      </c>
      <c r="F613" s="2294">
        <f>(SUM('CF(M)'!P62:R62)+SUM('CF(M)'!P63:R63)+SUM('CF(M)'!P64:R64)+SUM('CF(M)'!P65:R65)+SUM('CF(M)'!P66:R66))/1000</f>
        <v>0</v>
      </c>
      <c r="G613" s="2294">
        <f>(SUM('CF(M)'!S62:U62)+SUM('CF(M)'!S63:U63)+SUM('CF(M)'!S64:U64)+SUM('CF(M)'!S65:U65)+SUM('CF(M)'!S66:U66))/1000</f>
        <v>0</v>
      </c>
      <c r="H613" s="2295">
        <f>(SUM('CF(M)'!V62:X62)+SUM('CF(M)'!V63:X63)+SUM('CF(M)'!V64:X64)+SUM('CF(M)'!V65:X65)+SUM('CF(M)'!V66:X66))/1000</f>
        <v>0</v>
      </c>
      <c r="I613" s="2295">
        <f>(SUM('CF(M)'!Y62:AA62)+SUM('CF(M)'!Y63:AA63)+SUM('CF(M)'!Y64:AA64)+SUM('CF(M)'!Y65:AA65)+SUM('CF(M)'!Y66:AA66))/1000</f>
        <v>0</v>
      </c>
      <c r="J613" s="2295">
        <f>(SUM('CF(M)'!AB62:AD62)+SUM('CF(M)'!AB63:AD63)+SUM('CF(M)'!AB64:AD64)+SUM('CF(M)'!AB65:AD65)+SUM('CF(M)'!AB66:AD66))/1000</f>
        <v>0</v>
      </c>
      <c r="K613" s="2295">
        <f>(SUM('CF(M)'!AE62:AG62)+SUM('CF(M)'!AE63:AG63)+SUM('CF(M)'!AE64:AG64)+SUM('CF(M)'!AE65:AG65)+SUM('CF(M)'!AE66:AG66))/1000</f>
        <v>0</v>
      </c>
      <c r="L613" s="2295">
        <f>(SUM('CF(M)'!AH62:AJ62)+SUM('CF(M)'!AH63:AJ63)+SUM('CF(M)'!AH64:AJ64)+SUM('CF(M)'!AH65:AJ65)+SUM('CF(M)'!AH66:AJ66))/1000</f>
        <v>0</v>
      </c>
      <c r="N613" s="2268">
        <f t="shared" si="185"/>
        <v>-18899.999999999956</v>
      </c>
      <c r="O613" s="2268">
        <f t="shared" si="186"/>
        <v>0</v>
      </c>
    </row>
    <row r="614" spans="2:15" hidden="1">
      <c r="B614" s="2293" t="s">
        <v>1610</v>
      </c>
      <c r="C614" s="2294">
        <f t="shared" si="182"/>
        <v>0</v>
      </c>
      <c r="D614" s="2294">
        <f>('CF(M)'!L56+'CF(M)'!L57+'CF(M)'!L58+'CF(M)'!L59)/1000</f>
        <v>0</v>
      </c>
      <c r="E614" s="2294">
        <f>(SUM('CF(M)'!M56:O56)+SUM('CF(M)'!M57:O57)+SUM('CF(M)'!M58:O58)+SUM('CF(M)'!M59:O59))/1000</f>
        <v>0</v>
      </c>
      <c r="F614" s="2294">
        <f>(SUM('CF(M)'!P56:R56)+SUM('CF(M)'!P57:R57)+SUM('CF(M)'!P58:R58)+SUM('CF(M)'!P59:R59))/1000</f>
        <v>0</v>
      </c>
      <c r="G614" s="2294">
        <f>(SUM('CF(M)'!S56:U56)+SUM('CF(M)'!S57:U57)+SUM('CF(M)'!S58:U58)+SUM('CF(M)'!S59:U59))/1000</f>
        <v>0</v>
      </c>
      <c r="H614" s="2295">
        <f>(SUM('CF(M)'!V56:X56)+SUM('CF(M)'!V57:X57)+SUM('CF(M)'!V58:X58)+SUM('CF(M)'!V59:X59))/1000</f>
        <v>0</v>
      </c>
      <c r="I614" s="2295">
        <f>(SUM('CF(M)'!Y56:AA56)+SUM('CF(M)'!Y57:AA57)+SUM('CF(M)'!Y58:AA58)+SUM('CF(M)'!Y59:AA59))/1000</f>
        <v>0</v>
      </c>
      <c r="J614" s="2295">
        <f>(SUM('CF(M)'!AB56:AD56)+SUM('CF(M)'!AB57:AD57)+SUM('CF(M)'!AB58:AD58)+SUM('CF(M)'!AB59:AD59))/1000</f>
        <v>0</v>
      </c>
      <c r="K614" s="2295">
        <f>(SUM('CF(M)'!AE56:AG56)+SUM('CF(M)'!AE57:AG57)+SUM('CF(M)'!AE58:AG58)+SUM('CF(M)'!AE59:AG59))/1000</f>
        <v>0</v>
      </c>
      <c r="L614" s="2295">
        <f>(SUM('CF(M)'!AH56:AJ56)+SUM('CF(M)'!AH57:AJ57)+SUM('CF(M)'!AH58:AJ58)+SUM('CF(M)'!AH59:AJ59))/1000</f>
        <v>0</v>
      </c>
      <c r="N614" s="2268">
        <f t="shared" si="185"/>
        <v>0</v>
      </c>
      <c r="O614" s="2268">
        <f t="shared" si="186"/>
        <v>0</v>
      </c>
    </row>
    <row r="615" spans="2:15" ht="12.75" thickBot="1">
      <c r="B615" s="2293" t="s">
        <v>1608</v>
      </c>
      <c r="C615" s="2294">
        <f t="shared" si="182"/>
        <v>-56.197924427992547</v>
      </c>
      <c r="D615" s="2294">
        <f>('CF(M)'!L50+'CF(M)'!L51+'CF(M)'!L52+'CF(M)'!L53)/1000</f>
        <v>-12856.669630531998</v>
      </c>
      <c r="E615" s="2294">
        <f>(SUM('CF(M)'!M50:O50)+SUM('CF(M)'!M51:O51)+SUM('CF(M)'!M52:O52)+SUM('CF(M)'!M53:O53))/1000</f>
        <v>12856.669630532</v>
      </c>
      <c r="F615" s="2294">
        <f>(SUM('CF(M)'!P50:R50)+SUM('CF(M)'!P51:R51)+SUM('CF(M)'!P52:R52)+SUM('CF(M)'!P53:R53))/1000</f>
        <v>-56.176470635715539</v>
      </c>
      <c r="G615" s="2294">
        <f>(SUM('CF(M)'!S50:U50)+SUM('CF(M)'!S51:U51)+SUM('CF(M)'!S52:U52)+SUM('CF(M)'!S53:U53))/1000</f>
        <v>56.176470635715553</v>
      </c>
      <c r="H615" s="2295">
        <f>(SUM('CF(M)'!V50:X50)+SUM('CF(M)'!V51:X51)+SUM('CF(M)'!V52:X52)+SUM('CF(M)'!V53:X53))/1000</f>
        <v>-56.176470635715539</v>
      </c>
      <c r="I615" s="2295">
        <f>(SUM('CF(M)'!Y50:AA50)+SUM('CF(M)'!Y51:AA51)+SUM('CF(M)'!Y52:AA52)+SUM('CF(M)'!Y53:AA53))/1000</f>
        <v>56.176470635715525</v>
      </c>
      <c r="J615" s="2295">
        <f>(SUM('CF(M)'!AB50:AD50)+SUM('CF(M)'!AB51:AD51)+SUM('CF(M)'!AB52:AD52)+SUM('CF(M)'!AB53:AD53))/1000</f>
        <v>-56.197924427994352</v>
      </c>
      <c r="K615" s="2295">
        <f>(SUM('CF(M)'!AE50:AG50)+SUM('CF(M)'!AE51:AG51)+SUM('CF(M)'!AE52:AG52)+SUM('CF(M)'!AE53:AG53))/1000</f>
        <v>56.197924427994337</v>
      </c>
      <c r="L615" s="2295">
        <f>(SUM('CF(M)'!AH50:AJ50)+SUM('CF(M)'!AH51:AJ51)+SUM('CF(M)'!AH52:AJ52)+SUM('CF(M)'!AH53:AJ53))/1000</f>
        <v>-56.197924427994352</v>
      </c>
      <c r="N615" s="2268">
        <f t="shared" si="185"/>
        <v>-56.197924427992341</v>
      </c>
      <c r="O615" s="2268">
        <f t="shared" si="186"/>
        <v>2.0605739337042905E-13</v>
      </c>
    </row>
    <row r="616" spans="2:15" ht="12.75" thickBot="1">
      <c r="B616" s="2287" t="s">
        <v>1546</v>
      </c>
      <c r="C616" s="2302">
        <f t="shared" ca="1" si="182"/>
        <v>291930.00000000006</v>
      </c>
      <c r="D616" s="2302">
        <f t="shared" ref="D616:L616" ca="1" si="193">SUM(D617:D630)</f>
        <v>311756.66963053204</v>
      </c>
      <c r="E616" s="2302">
        <f t="shared" ca="1" si="193"/>
        <v>-12856.669630531998</v>
      </c>
      <c r="F616" s="2302">
        <f t="shared" ca="1" si="193"/>
        <v>-3270</v>
      </c>
      <c r="G616" s="2302">
        <f t="shared" ca="1" si="193"/>
        <v>0</v>
      </c>
      <c r="H616" s="2303">
        <f t="shared" ca="1" si="193"/>
        <v>-3270</v>
      </c>
      <c r="I616" s="2303">
        <f t="shared" ca="1" si="193"/>
        <v>0</v>
      </c>
      <c r="J616" s="2303">
        <f t="shared" ca="1" si="193"/>
        <v>-2715</v>
      </c>
      <c r="K616" s="2303">
        <f t="shared" ca="1" si="193"/>
        <v>0</v>
      </c>
      <c r="L616" s="2303">
        <f t="shared" ca="1" si="193"/>
        <v>2285</v>
      </c>
      <c r="N616" s="2268">
        <f t="shared" ca="1" si="185"/>
        <v>291930.00000000006</v>
      </c>
      <c r="O616" s="2268">
        <f t="shared" ca="1" si="186"/>
        <v>0</v>
      </c>
    </row>
    <row r="617" spans="2:15">
      <c r="B617" s="2290" t="s">
        <v>1592</v>
      </c>
      <c r="C617" s="2291">
        <f t="shared" si="182"/>
        <v>0</v>
      </c>
      <c r="D617" s="2291">
        <f>('CF(M)'!L93+'CF(M)'!L94)/1000</f>
        <v>12856.669630531998</v>
      </c>
      <c r="E617" s="2291">
        <f>(SUM('CF(M)'!M93:O93)+SUM('CF(M)'!M94:O94))/1000</f>
        <v>-12856.669630531998</v>
      </c>
      <c r="F617" s="2291">
        <f>(SUM('CF(M)'!P93:R93)+SUM('CF(M)'!P94:R94))/1000</f>
        <v>0</v>
      </c>
      <c r="G617" s="2291">
        <f>(SUM('CF(M)'!S93:U93)+SUM('CF(M)'!S94:U94))/1000</f>
        <v>0</v>
      </c>
      <c r="H617" s="2292">
        <f>(SUM('CF(M)'!V93:X93)+SUM('CF(M)'!V94:X94))/1000</f>
        <v>0</v>
      </c>
      <c r="I617" s="2292">
        <f>(SUM('CF(M)'!Y93:AA93)+SUM('CF(M)'!Y94:AA94))/1000</f>
        <v>0</v>
      </c>
      <c r="J617" s="2292">
        <f>(SUM('CF(M)'!AB93:AD93)+SUM('CF(M)'!AB94:AD94))/1000</f>
        <v>0</v>
      </c>
      <c r="K617" s="2292">
        <f>(SUM('CF(M)'!AE93:AG93)+SUM('CF(M)'!AE94:AG94))/1000</f>
        <v>0</v>
      </c>
      <c r="L617" s="2292">
        <f>(SUM('CF(M)'!AH93:AJ93)+SUM('CF(M)'!AH94:AJ94))/1000</f>
        <v>0</v>
      </c>
      <c r="N617" s="2268">
        <f t="shared" si="185"/>
        <v>0</v>
      </c>
      <c r="O617" s="2268">
        <f t="shared" si="186"/>
        <v>0</v>
      </c>
    </row>
    <row r="618" spans="2:15">
      <c r="B618" s="2293" t="s">
        <v>205</v>
      </c>
      <c r="C618" s="2294">
        <f t="shared" si="182"/>
        <v>2100</v>
      </c>
      <c r="D618" s="2294">
        <f>('CF(M)'!L69+'CF(M)'!L70)/1000</f>
        <v>2100</v>
      </c>
      <c r="E618" s="2294">
        <f>(SUM('CF(M)'!M69:O69)+SUM('CF(M)'!M70:O70))/1000</f>
        <v>0</v>
      </c>
      <c r="F618" s="2294">
        <f>(SUM('CF(M)'!P69:R69)+SUM('CF(M)'!P70:R70))/1000</f>
        <v>0</v>
      </c>
      <c r="G618" s="2294">
        <f>(SUM('CF(M)'!S69:U69)+SUM('CF(M)'!S70:U70))/1000</f>
        <v>0</v>
      </c>
      <c r="H618" s="2295">
        <f>(SUM('CF(M)'!V69:X69)+SUM('CF(M)'!V70:X70))/1000</f>
        <v>0</v>
      </c>
      <c r="I618" s="2295">
        <f>(SUM('CF(M)'!Y69:AA69)+SUM('CF(M)'!Y70:AA70))/1000</f>
        <v>0</v>
      </c>
      <c r="J618" s="2295">
        <f>(SUM('CF(M)'!AB69:AD69)+SUM('CF(M)'!AB70:AD70))/1000</f>
        <v>0</v>
      </c>
      <c r="K618" s="2295">
        <f>(SUM('CF(M)'!AE69:AG69)+SUM('CF(M)'!AE70:AG70))/1000</f>
        <v>0</v>
      </c>
      <c r="L618" s="2295">
        <f>(SUM('CF(M)'!AH69:AJ69)+SUM('CF(M)'!AH70:AJ70))/1000</f>
        <v>0</v>
      </c>
      <c r="N618" s="2268">
        <f t="shared" si="185"/>
        <v>2100</v>
      </c>
      <c r="O618" s="2268">
        <f t="shared" si="186"/>
        <v>0</v>
      </c>
    </row>
    <row r="619" spans="2:15">
      <c r="B619" s="2293" t="s">
        <v>1561</v>
      </c>
      <c r="C619" s="2294">
        <f t="shared" si="182"/>
        <v>213000</v>
      </c>
      <c r="D619" s="2294">
        <f>('CF(M)'!L72+'CF(M)'!L73+'CF(M)'!L75+'CF(M)'!L76+'CF(M)'!L78+'CF(M)'!L79)/1000</f>
        <v>160000</v>
      </c>
      <c r="E619" s="2294">
        <f>(SUM('CF(M)'!M72:O72)+SUM('CF(M)'!M73:O73)+SUM('CF(M)'!M75:O75)+SUM('CF(M)'!M76:O76)+SUM('CF(M)'!M78:O78)+SUM('CF(M)'!M79:O79))/1000</f>
        <v>0</v>
      </c>
      <c r="F619" s="2294">
        <f>(SUM('CF(M)'!P72:R72)+SUM('CF(M)'!P73:R73)+SUM('CF(M)'!P75:R75)+SUM('CF(M)'!P76:R76)+SUM('CF(M)'!P78:R78)+SUM('CF(M)'!P79:R79))/1000</f>
        <v>0</v>
      </c>
      <c r="G619" s="2294">
        <f>(SUM('CF(M)'!S72:U72)+SUM('CF(M)'!S73:U73)+SUM('CF(M)'!S75:U75)+SUM('CF(M)'!S76:U76)+SUM('CF(M)'!S78:U78)+SUM('CF(M)'!S79:U79))/1000</f>
        <v>0</v>
      </c>
      <c r="H619" s="2295">
        <f>(SUM('CF(M)'!V72:X72)+SUM('CF(M)'!V73:X73)+SUM('CF(M)'!V75:X75)+SUM('CF(M)'!V76:X76)+SUM('CF(M)'!V78:X78)+SUM('CF(M)'!V79:X79))/1000</f>
        <v>0</v>
      </c>
      <c r="I619" s="2295">
        <f>(SUM('CF(M)'!Y72:AA72)+SUM('CF(M)'!Y73:AA73)+SUM('CF(M)'!Y75:AA75)+SUM('CF(M)'!Y76:AA76)+SUM('CF(M)'!Y78:AA78)+SUM('CF(M)'!Y79:AA79))/1000</f>
        <v>0</v>
      </c>
      <c r="J619" s="2295">
        <f>(SUM('CF(M)'!AB72:AD72)+SUM('CF(M)'!AB73:AD73)+SUM('CF(M)'!AB75:AD75)+SUM('CF(M)'!AB76:AD76)+SUM('CF(M)'!AB78:AD78)+SUM('CF(M)'!AB79:AD79))/1000</f>
        <v>0</v>
      </c>
      <c r="K619" s="2295">
        <f>(SUM('CF(M)'!AE72:AG72)+SUM('CF(M)'!AE73:AG73)+SUM('CF(M)'!AE75:AG75)+SUM('CF(M)'!AE76:AG76)+SUM('CF(M)'!AE78:AG78)+SUM('CF(M)'!AE79:AG79))/1000</f>
        <v>0</v>
      </c>
      <c r="L619" s="2295">
        <f>(SUM('CF(M)'!AH72:AJ72)+SUM('CF(M)'!AH73:AJ73)+SUM('CF(M)'!AH75:AJ75)+SUM('CF(M)'!AH76:AJ76)+SUM('CF(M)'!AH78:AJ78)+SUM('CF(M)'!AH79:AJ79))/1000</f>
        <v>53000</v>
      </c>
      <c r="N619" s="2268">
        <f t="shared" si="185"/>
        <v>213000</v>
      </c>
      <c r="O619" s="2268">
        <f t="shared" si="186"/>
        <v>0</v>
      </c>
    </row>
    <row r="620" spans="2:15">
      <c r="B620" s="2293" t="s">
        <v>1563</v>
      </c>
      <c r="C620" s="2294">
        <f t="shared" si="182"/>
        <v>0</v>
      </c>
      <c r="D620" s="2294">
        <f>('CF(M)'!L81+'CF(M)'!L82+'CF(M)'!L84+'CF(M)'!L85+'CF(M)'!L87+'CF(M)'!L88)/1000</f>
        <v>38000</v>
      </c>
      <c r="E620" s="2294">
        <f>(SUM('CF(M)'!M81:O81)+SUM('CF(M)'!M82:O82)+SUM('CF(M)'!M84:O84)+SUM('CF(M)'!M85:O85)+SUM('CF(M)'!M87:O87)+SUM('CF(M)'!M88:O88))/1000</f>
        <v>0</v>
      </c>
      <c r="F620" s="2294">
        <f>(SUM('CF(M)'!P81:R81)+SUM('CF(M)'!P82:R82)+SUM('CF(M)'!P84:R84)+SUM('CF(M)'!P85:R85)+SUM('CF(M)'!P87:R87)+SUM('CF(M)'!P88:R88))/1000</f>
        <v>0</v>
      </c>
      <c r="G620" s="2294">
        <f>(SUM('CF(M)'!S81:U81)+SUM('CF(M)'!S82:U82)+SUM('CF(M)'!S84:U84)+SUM('CF(M)'!S85:U85)+SUM('CF(M)'!S87:U87)+SUM('CF(M)'!S88:U88))/1000</f>
        <v>0</v>
      </c>
      <c r="H620" s="2295">
        <f>(SUM('CF(M)'!V81:X81)+SUM('CF(M)'!V82:X82)+SUM('CF(M)'!V84:X84)+SUM('CF(M)'!V85:X85)+SUM('CF(M)'!V87:X87)+SUM('CF(M)'!V88:X88))/1000</f>
        <v>0</v>
      </c>
      <c r="I620" s="2295">
        <f>(SUM('CF(M)'!Y81:AA81)+SUM('CF(M)'!Y82:AA82)+SUM('CF(M)'!Y84:AA84)+SUM('CF(M)'!Y85:AA85)+SUM('CF(M)'!Y87:AA87)+SUM('CF(M)'!Y88:AA88))/1000</f>
        <v>0</v>
      </c>
      <c r="J620" s="2295">
        <f>(SUM('CF(M)'!AB81:AD81)+SUM('CF(M)'!AB82:AD82)+SUM('CF(M)'!AB84:AD84)+SUM('CF(M)'!AB85:AD85)+SUM('CF(M)'!AB87:AD87)+SUM('CF(M)'!AB88:AD88))/1000</f>
        <v>0</v>
      </c>
      <c r="K620" s="2295">
        <f>(SUM('CF(M)'!AE81:AG81)+SUM('CF(M)'!AE82:AG82)+SUM('CF(M)'!AE84:AG84)+SUM('CF(M)'!AE85:AG85)+SUM('CF(M)'!AE87:AG87)+SUM('CF(M)'!AE88:AG88))/1000</f>
        <v>0</v>
      </c>
      <c r="L620" s="2295">
        <f>(SUM('CF(M)'!AH81:AJ81)+SUM('CF(M)'!AH82:AJ82)+SUM('CF(M)'!AH84:AJ84)+SUM('CF(M)'!AH85:AJ85)+SUM('CF(M)'!AH87:AJ87)+SUM('CF(M)'!AH88:AJ88))/1000</f>
        <v>-38000</v>
      </c>
      <c r="N620" s="2268">
        <f t="shared" si="185"/>
        <v>0</v>
      </c>
      <c r="O620" s="2268">
        <f t="shared" si="186"/>
        <v>0</v>
      </c>
    </row>
    <row r="621" spans="2:15">
      <c r="B621" s="2293" t="s">
        <v>1564</v>
      </c>
      <c r="C621" s="2294">
        <f t="shared" si="182"/>
        <v>24000</v>
      </c>
      <c r="D621" s="2294">
        <f>('CF(M)'!L96)/1000</f>
        <v>24000</v>
      </c>
      <c r="E621" s="2294">
        <f>(SUM('CF(M)'!M96:O96))/1000</f>
        <v>0</v>
      </c>
      <c r="F621" s="2294">
        <f>(SUM('CF(M)'!P96:R96))/1000</f>
        <v>0</v>
      </c>
      <c r="G621" s="2294">
        <f>(SUM('CF(M)'!S96:U96))/1000</f>
        <v>0</v>
      </c>
      <c r="H621" s="2295">
        <f>(SUM('CF(M)'!V96:X96))/1000</f>
        <v>0</v>
      </c>
      <c r="I621" s="2295">
        <f>(SUM('CF(M)'!Y96:AA96))/1000</f>
        <v>0</v>
      </c>
      <c r="J621" s="2295">
        <f>(SUM('CF(M)'!AB96:AD96))/1000</f>
        <v>0</v>
      </c>
      <c r="K621" s="2295">
        <f>(SUM('CF(M)'!AE96:AG96))/1000</f>
        <v>0</v>
      </c>
      <c r="L621" s="2295">
        <f>(SUM('CF(M)'!AH96:AJ96))/1000</f>
        <v>0</v>
      </c>
      <c r="N621" s="2268">
        <f t="shared" si="185"/>
        <v>24000</v>
      </c>
      <c r="O621" s="2268">
        <f t="shared" si="186"/>
        <v>0</v>
      </c>
    </row>
    <row r="622" spans="2:15">
      <c r="B622" s="2293" t="s">
        <v>1565</v>
      </c>
      <c r="C622" s="2294">
        <f t="shared" si="182"/>
        <v>50000</v>
      </c>
      <c r="D622" s="2294">
        <f>('CF(M)'!L101)/1000</f>
        <v>50000</v>
      </c>
      <c r="E622" s="2294">
        <f>(SUM('CF(M)'!M101:O101))/1000</f>
        <v>0</v>
      </c>
      <c r="F622" s="2294">
        <f>(SUM('CF(M)'!P101:R101))/1000</f>
        <v>0</v>
      </c>
      <c r="G622" s="2294">
        <f>(SUM('CF(M)'!S101:U101))/1000</f>
        <v>0</v>
      </c>
      <c r="H622" s="2295">
        <f>(SUM('CF(M)'!V101:X101))/1000</f>
        <v>0</v>
      </c>
      <c r="I622" s="2295">
        <f>(SUM('CF(M)'!Y101:AA101))/1000</f>
        <v>0</v>
      </c>
      <c r="J622" s="2295">
        <f>(SUM('CF(M)'!AB101:AD101))/1000</f>
        <v>0</v>
      </c>
      <c r="K622" s="2295">
        <f>(SUM('CF(M)'!AE101:AG101))/1000</f>
        <v>0</v>
      </c>
      <c r="L622" s="2295">
        <f>(SUM('CF(M)'!AH101:AJ101))/1000</f>
        <v>0</v>
      </c>
      <c r="N622" s="2268">
        <f t="shared" si="185"/>
        <v>50000</v>
      </c>
      <c r="O622" s="2268">
        <f t="shared" si="186"/>
        <v>0</v>
      </c>
    </row>
    <row r="623" spans="2:15">
      <c r="B623" s="2293" t="s">
        <v>1566</v>
      </c>
      <c r="C623" s="2294">
        <f t="shared" si="182"/>
        <v>0</v>
      </c>
      <c r="D623" s="2294">
        <f>('CF(M)'!L106+'CF(M)'!L107+'CF(M)'!L108+'CF(M)'!L109)/1000</f>
        <v>10000</v>
      </c>
      <c r="E623" s="2294">
        <f>(SUM('CF(M)'!M106:O106)+SUM('CF(M)'!M107:O107)+SUM('CF(M)'!M108:O108)+SUM('CF(M)'!M109:O109))/1000</f>
        <v>0</v>
      </c>
      <c r="F623" s="2294">
        <f>(SUM('CF(M)'!P106:R106)+SUM('CF(M)'!P107:R107)+SUM('CF(M)'!P108:R108)+SUM('CF(M)'!P109:R109))/1000</f>
        <v>0</v>
      </c>
      <c r="G623" s="2294">
        <f>(SUM('CF(M)'!S106:U106)+SUM('CF(M)'!S107:U107)+SUM('CF(M)'!S108:U108)+SUM('CF(M)'!S109:U109))/1000</f>
        <v>0</v>
      </c>
      <c r="H623" s="2295">
        <f>(SUM('CF(M)'!V106:X106)+SUM('CF(M)'!V107:X107)+SUM('CF(M)'!V108:X108)+SUM('CF(M)'!V109:X109))/1000</f>
        <v>0</v>
      </c>
      <c r="I623" s="2295">
        <f>(SUM('CF(M)'!Y106:AA106)+SUM('CF(M)'!Y107:AA107)+SUM('CF(M)'!Y108:AA108)+SUM('CF(M)'!Y109:AA109))/1000</f>
        <v>0</v>
      </c>
      <c r="J623" s="2295">
        <f>(SUM('CF(M)'!AB106:AD106)+SUM('CF(M)'!AB107:AD107)+SUM('CF(M)'!AB108:AD108)+SUM('CF(M)'!AB109:AD109))/1000</f>
        <v>0</v>
      </c>
      <c r="K623" s="2295">
        <f>(SUM('CF(M)'!AE106:AG106)+SUM('CF(M)'!AE107:AG107)+SUM('CF(M)'!AE108:AG108)+SUM('CF(M)'!AE109:AG109))/1000</f>
        <v>0</v>
      </c>
      <c r="L623" s="2295">
        <f>(SUM('CF(M)'!AH106:AJ106)+SUM('CF(M)'!AH107:AJ107)+SUM('CF(M)'!AH108:AJ108)+SUM('CF(M)'!AH109:AJ109))/1000</f>
        <v>-10000</v>
      </c>
      <c r="N623" s="2268">
        <f t="shared" si="185"/>
        <v>0</v>
      </c>
      <c r="O623" s="2268">
        <f t="shared" si="186"/>
        <v>0</v>
      </c>
    </row>
    <row r="624" spans="2:15">
      <c r="B624" s="2293" t="s">
        <v>19</v>
      </c>
      <c r="C624" s="2294">
        <f t="shared" si="182"/>
        <v>14800</v>
      </c>
      <c r="D624" s="2294">
        <f>('CF(M)'!L111)/1000</f>
        <v>14800</v>
      </c>
      <c r="E624" s="2294">
        <f>(SUM('CF(M)'!M111:O111))/1000</f>
        <v>0</v>
      </c>
      <c r="F624" s="2294">
        <f>(SUM('CF(M)'!P111:R111))/1000</f>
        <v>0</v>
      </c>
      <c r="G624" s="2294">
        <f>(SUM('CF(M)'!S111:U111))/1000</f>
        <v>0</v>
      </c>
      <c r="H624" s="2295">
        <f>(SUM('CF(M)'!V111:X111))/1000</f>
        <v>0</v>
      </c>
      <c r="I624" s="2295">
        <f>(SUM('CF(M)'!Y111:AA111))/1000</f>
        <v>0</v>
      </c>
      <c r="J624" s="2295">
        <f>(SUM('CF(M)'!AB111:AD111))/1000</f>
        <v>0</v>
      </c>
      <c r="K624" s="2295">
        <f>(SUM('CF(M)'!AE111:AG111))/1000</f>
        <v>0</v>
      </c>
      <c r="L624" s="2295">
        <f>(SUM('CF(M)'!AH111:AJ111))/1000</f>
        <v>0</v>
      </c>
      <c r="N624" s="2268">
        <f t="shared" si="185"/>
        <v>14800</v>
      </c>
      <c r="O624" s="2268">
        <f t="shared" si="186"/>
        <v>0</v>
      </c>
    </row>
    <row r="625" spans="1:15">
      <c r="B625" s="2293" t="s">
        <v>1547</v>
      </c>
      <c r="C625" s="2294">
        <f t="shared" ca="1" si="182"/>
        <v>-3360.0000000000005</v>
      </c>
      <c r="D625" s="2294">
        <f ca="1">('CF(M)'!L98)/1000</f>
        <v>0</v>
      </c>
      <c r="E625" s="2294">
        <f ca="1">(SUM('CF(M)'!M98:O98))/1000</f>
        <v>0</v>
      </c>
      <c r="F625" s="2294">
        <f ca="1">(SUM('CF(M)'!P98:R98))/1000</f>
        <v>-840.00000000000011</v>
      </c>
      <c r="G625" s="2294">
        <f ca="1">(SUM('CF(M)'!S98:U98))/1000</f>
        <v>0</v>
      </c>
      <c r="H625" s="2295">
        <f ca="1">(SUM('CF(M)'!V98:X98))/1000</f>
        <v>-840.00000000000011</v>
      </c>
      <c r="I625" s="2295">
        <f ca="1">(SUM('CF(M)'!Y98:AA98))/1000</f>
        <v>0</v>
      </c>
      <c r="J625" s="2295">
        <f ca="1">(SUM('CF(M)'!AB98:AD98))/1000</f>
        <v>-840.00000000000011</v>
      </c>
      <c r="K625" s="2295">
        <f ca="1">(SUM('CF(M)'!AE98:AG98))/1000</f>
        <v>0</v>
      </c>
      <c r="L625" s="2295">
        <f ca="1">(SUM('CF(M)'!AH98:AJ98))/1000</f>
        <v>-840.00000000000011</v>
      </c>
      <c r="N625" s="2268">
        <f t="shared" ca="1" si="185"/>
        <v>-3360.0000000000005</v>
      </c>
      <c r="O625" s="2268">
        <f t="shared" ca="1" si="186"/>
        <v>0</v>
      </c>
    </row>
    <row r="626" spans="1:15">
      <c r="B626" s="2293" t="s">
        <v>1548</v>
      </c>
      <c r="C626" s="2294">
        <f t="shared" ca="1" si="182"/>
        <v>-7500</v>
      </c>
      <c r="D626" s="2294">
        <f ca="1">('CF(M)'!L103)/1000</f>
        <v>0</v>
      </c>
      <c r="E626" s="2294">
        <f ca="1">(SUM('CF(M)'!M103:O103))/1000</f>
        <v>0</v>
      </c>
      <c r="F626" s="2294">
        <f ca="1">(SUM('CF(M)'!P103:R103))/1000</f>
        <v>-1875</v>
      </c>
      <c r="G626" s="2294">
        <f ca="1">(SUM('CF(M)'!S103:U103))/1000</f>
        <v>0</v>
      </c>
      <c r="H626" s="2295">
        <f ca="1">(SUM('CF(M)'!V103:X103))/1000</f>
        <v>-1875</v>
      </c>
      <c r="I626" s="2295">
        <f ca="1">(SUM('CF(M)'!Y103:AA103))/1000</f>
        <v>0</v>
      </c>
      <c r="J626" s="2295">
        <f ca="1">(SUM('CF(M)'!AB103:AD103))/1000</f>
        <v>-1875</v>
      </c>
      <c r="K626" s="2295">
        <f ca="1">(SUM('CF(M)'!AE103:AG103))/1000</f>
        <v>0</v>
      </c>
      <c r="L626" s="2295">
        <f ca="1">(SUM('CF(M)'!AH103:AJ103))/1000</f>
        <v>-1875</v>
      </c>
      <c r="N626" s="2268">
        <f t="shared" ca="1" si="185"/>
        <v>-7500</v>
      </c>
      <c r="O626" s="2268">
        <f t="shared" ca="1" si="186"/>
        <v>0</v>
      </c>
    </row>
    <row r="627" spans="1:15" ht="12.75" thickBot="1">
      <c r="B627" s="2293" t="s">
        <v>1549</v>
      </c>
      <c r="C627" s="2294">
        <f t="shared" ca="1" si="182"/>
        <v>-1110</v>
      </c>
      <c r="D627" s="2294">
        <f ca="1">('CF(M)'!L113)/1000</f>
        <v>0</v>
      </c>
      <c r="E627" s="2294">
        <f ca="1">(SUM('CF(M)'!M113:O113))/1000</f>
        <v>0</v>
      </c>
      <c r="F627" s="2294">
        <f ca="1">(SUM('CF(M)'!P113:R113))/1000</f>
        <v>-555</v>
      </c>
      <c r="G627" s="2294">
        <f ca="1">(SUM('CF(M)'!S113:U113))/1000</f>
        <v>0</v>
      </c>
      <c r="H627" s="2295">
        <f ca="1">(SUM('CF(M)'!V113:X113))/1000</f>
        <v>-555</v>
      </c>
      <c r="I627" s="2295">
        <f ca="1">(SUM('CF(M)'!Y113:AA113))/1000</f>
        <v>0</v>
      </c>
      <c r="J627" s="2295">
        <f ca="1">(SUM('CF(M)'!AB113:AD113))/1000</f>
        <v>0</v>
      </c>
      <c r="K627" s="2295">
        <f ca="1">(SUM('CF(M)'!AE113:AG113))/1000</f>
        <v>0</v>
      </c>
      <c r="L627" s="2295">
        <f ca="1">(SUM('CF(M)'!AH113:AJ113))/1000</f>
        <v>0</v>
      </c>
      <c r="N627" s="2268">
        <f t="shared" ca="1" si="185"/>
        <v>-1110</v>
      </c>
      <c r="O627" s="2268">
        <f t="shared" ca="1" si="186"/>
        <v>0</v>
      </c>
    </row>
    <row r="628" spans="1:15" hidden="1">
      <c r="B628" s="2293" t="s">
        <v>1611</v>
      </c>
      <c r="C628" s="2294">
        <f t="shared" si="182"/>
        <v>0</v>
      </c>
      <c r="D628" s="2294">
        <f>('CF(M)'!L97+'CF(M)'!L99)/1000</f>
        <v>0</v>
      </c>
      <c r="E628" s="2294">
        <f>(SUM('CF(M)'!M97:O97)+SUM('CF(M)'!M99:O99))/1000</f>
        <v>0</v>
      </c>
      <c r="F628" s="2294">
        <f>(SUM('CF(M)'!P97:R97)+SUM('CF(M)'!P99:R99))/1000</f>
        <v>0</v>
      </c>
      <c r="G628" s="2294">
        <f>(SUM('CF(M)'!S97:U97)+SUM('CF(M)'!S99:U99))/1000</f>
        <v>0</v>
      </c>
      <c r="H628" s="2295">
        <f>(SUM('CF(M)'!V97:X97)+SUM('CF(M)'!V99:X99))/1000</f>
        <v>0</v>
      </c>
      <c r="I628" s="2295">
        <f>(SUM('CF(M)'!Y97:AA97)+SUM('CF(M)'!Y99:AA99))/1000</f>
        <v>0</v>
      </c>
      <c r="J628" s="2295">
        <f>(SUM('CF(M)'!AB97:AD97)+SUM('CF(M)'!AB99:AD99))/1000</f>
        <v>0</v>
      </c>
      <c r="K628" s="2295">
        <f>(SUM('CF(M)'!AE97:AG97)+SUM('CF(M)'!AE99:AG99))/1000</f>
        <v>0</v>
      </c>
      <c r="L628" s="2295">
        <f>(SUM('CF(M)'!AH97:AJ97)+SUM('CF(M)'!AH99:AJ99))/1000</f>
        <v>0</v>
      </c>
      <c r="N628" s="2268">
        <f t="shared" si="185"/>
        <v>0</v>
      </c>
      <c r="O628" s="2268">
        <f t="shared" si="186"/>
        <v>0</v>
      </c>
    </row>
    <row r="629" spans="1:15" hidden="1">
      <c r="B629" s="2293" t="s">
        <v>1612</v>
      </c>
      <c r="C629" s="2294">
        <f t="shared" si="182"/>
        <v>0</v>
      </c>
      <c r="D629" s="2294">
        <f>('CF(M)'!L102+'CF(M)'!L104)/1000</f>
        <v>0</v>
      </c>
      <c r="E629" s="2294">
        <f>(SUM('CF(M)'!M102:O102)+SUM('CF(M)'!M104:O104))/1000</f>
        <v>0</v>
      </c>
      <c r="F629" s="2294">
        <f>(SUM('CF(M)'!P102:R102)+SUM('CF(M)'!P104:R104))/1000</f>
        <v>0</v>
      </c>
      <c r="G629" s="2294">
        <f>(SUM('CF(M)'!S102:U102)+SUM('CF(M)'!S104:U104))/1000</f>
        <v>0</v>
      </c>
      <c r="H629" s="2295">
        <f>(SUM('CF(M)'!V102:X102)+SUM('CF(M)'!V104:X104))/1000</f>
        <v>0</v>
      </c>
      <c r="I629" s="2295">
        <f>(SUM('CF(M)'!Y102:AA102)+SUM('CF(M)'!Y104:AA104))/1000</f>
        <v>0</v>
      </c>
      <c r="J629" s="2295">
        <f>(SUM('CF(M)'!AB102:AD102)+SUM('CF(M)'!AB104:AD104))/1000</f>
        <v>0</v>
      </c>
      <c r="K629" s="2295">
        <f>(SUM('CF(M)'!AE102:AG102)+SUM('CF(M)'!AE104:AG104))/1000</f>
        <v>0</v>
      </c>
      <c r="L629" s="2295">
        <f>(SUM('CF(M)'!AH102:AJ102)+SUM('CF(M)'!AH104:AJ104))/1000</f>
        <v>0</v>
      </c>
      <c r="N629" s="2268">
        <f t="shared" si="185"/>
        <v>0</v>
      </c>
      <c r="O629" s="2268">
        <f t="shared" si="186"/>
        <v>0</v>
      </c>
    </row>
    <row r="630" spans="1:15" ht="12.75" hidden="1" thickBot="1">
      <c r="B630" s="2293" t="s">
        <v>1613</v>
      </c>
      <c r="C630" s="2294">
        <f t="shared" si="182"/>
        <v>0</v>
      </c>
      <c r="D630" s="2294">
        <f>('CF(M)'!L112+'CF(M)'!L114)/1000</f>
        <v>0</v>
      </c>
      <c r="E630" s="2294">
        <f>(SUM('CF(M)'!M112:O112)+SUM('CF(M)'!M114:O114))/1000</f>
        <v>0</v>
      </c>
      <c r="F630" s="2294">
        <f>(SUM('CF(M)'!P112:R112)+SUM('CF(M)'!P114:R114))/1000</f>
        <v>0</v>
      </c>
      <c r="G630" s="2294">
        <f>(SUM('CF(M)'!S112:U112)+SUM('CF(M)'!S114:U114))/1000</f>
        <v>0</v>
      </c>
      <c r="H630" s="2295">
        <f>(SUM('CF(M)'!V112:X112)+SUM('CF(M)'!V114:X114))/1000</f>
        <v>0</v>
      </c>
      <c r="I630" s="2295">
        <f>(SUM('CF(M)'!Y112:AA112)+SUM('CF(M)'!Y114:AA114))/1000</f>
        <v>0</v>
      </c>
      <c r="J630" s="2295">
        <f>(SUM('CF(M)'!AB112:AD112)+SUM('CF(M)'!AB114:AD114))/1000</f>
        <v>0</v>
      </c>
      <c r="K630" s="2295">
        <f>(SUM('CF(M)'!AE112:AG112)+SUM('CF(M)'!AE114:AG114))/1000</f>
        <v>0</v>
      </c>
      <c r="L630" s="2295">
        <f>(SUM('CF(M)'!AH112:AJ112)+SUM('CF(M)'!AH114:AJ114))/1000</f>
        <v>0</v>
      </c>
      <c r="N630" s="2268">
        <f t="shared" si="185"/>
        <v>0</v>
      </c>
      <c r="O630" s="2268">
        <f t="shared" si="186"/>
        <v>0</v>
      </c>
    </row>
    <row r="631" spans="1:15" ht="12.75" thickBot="1">
      <c r="B631" s="2287" t="s">
        <v>1552</v>
      </c>
      <c r="C631" s="2302">
        <f ca="1">ROUND(L633-D632,0)</f>
        <v>8148</v>
      </c>
      <c r="D631" s="2302">
        <f t="shared" ref="D631:L631" ca="1" si="194">D585+D611+D616</f>
        <v>10000.000000000116</v>
      </c>
      <c r="E631" s="2302">
        <f t="shared" ca="1" si="194"/>
        <v>-67.146439097848997</v>
      </c>
      <c r="F631" s="2302">
        <f t="shared" ca="1" si="194"/>
        <v>-2448.8451560331459</v>
      </c>
      <c r="G631" s="2302">
        <f t="shared" ca="1" si="194"/>
        <v>920.69458475254658</v>
      </c>
      <c r="H631" s="2303">
        <f t="shared" ca="1" si="194"/>
        <v>-2568.7846460585624</v>
      </c>
      <c r="I631" s="2303">
        <f t="shared" ca="1" si="194"/>
        <v>130.618309131112</v>
      </c>
      <c r="J631" s="2303">
        <f t="shared" ca="1" si="194"/>
        <v>-1813.3832187308485</v>
      </c>
      <c r="K631" s="2303">
        <f t="shared" ca="1" si="194"/>
        <v>949.43417806636921</v>
      </c>
      <c r="L631" s="2303">
        <f t="shared" ca="1" si="194"/>
        <v>3045.2830737264321</v>
      </c>
      <c r="N631" s="2268">
        <f t="shared" ca="1" si="185"/>
        <v>8147.8706857561701</v>
      </c>
      <c r="O631" s="2268">
        <f t="shared" ca="1" si="186"/>
        <v>-0.12931424382986734</v>
      </c>
    </row>
    <row r="632" spans="1:15" ht="12.75" thickBot="1">
      <c r="B632" s="2301" t="s">
        <v>1550</v>
      </c>
      <c r="C632" s="2302">
        <f ca="1">SUM(D632:L632)</f>
        <v>56879.7609976436</v>
      </c>
      <c r="D632" s="2302">
        <v>0</v>
      </c>
      <c r="E632" s="2302">
        <f t="shared" ref="E632:L632" ca="1" si="195">D633</f>
        <v>10000.000000000116</v>
      </c>
      <c r="F632" s="2302">
        <f t="shared" ca="1" si="195"/>
        <v>9932.8535609022674</v>
      </c>
      <c r="G632" s="2302">
        <f t="shared" ca="1" si="195"/>
        <v>7484.0084048691215</v>
      </c>
      <c r="H632" s="2303">
        <f t="shared" ca="1" si="195"/>
        <v>8404.7029896216682</v>
      </c>
      <c r="I632" s="2303">
        <f t="shared" ca="1" si="195"/>
        <v>5835.9183435631057</v>
      </c>
      <c r="J632" s="2303">
        <f t="shared" ca="1" si="195"/>
        <v>5966.536652694218</v>
      </c>
      <c r="K632" s="2303">
        <f t="shared" ca="1" si="195"/>
        <v>4153.153433963369</v>
      </c>
      <c r="L632" s="2303">
        <f t="shared" ca="1" si="195"/>
        <v>5102.587612029738</v>
      </c>
      <c r="N632" s="2268">
        <f t="shared" ca="1" si="185"/>
        <v>15835.918343563224</v>
      </c>
      <c r="O632" s="2268">
        <f t="shared" ca="1" si="186"/>
        <v>-41043.842654080378</v>
      </c>
    </row>
    <row r="633" spans="1:15" ht="12.75" thickBot="1">
      <c r="B633" s="2287" t="s">
        <v>1551</v>
      </c>
      <c r="C633" s="2302">
        <f ca="1">SUM(D633:L633)</f>
        <v>65027.63168339977</v>
      </c>
      <c r="D633" s="2302">
        <f t="shared" ref="D633:L633" ca="1" si="196">SUM(D631:D632)</f>
        <v>10000.000000000116</v>
      </c>
      <c r="E633" s="2302">
        <f t="shared" ca="1" si="196"/>
        <v>9932.8535609022674</v>
      </c>
      <c r="F633" s="2302">
        <f t="shared" ca="1" si="196"/>
        <v>7484.0084048691215</v>
      </c>
      <c r="G633" s="2302">
        <f t="shared" ca="1" si="196"/>
        <v>8404.7029896216682</v>
      </c>
      <c r="H633" s="2303">
        <f t="shared" ca="1" si="196"/>
        <v>5835.9183435631057</v>
      </c>
      <c r="I633" s="2303">
        <f t="shared" ca="1" si="196"/>
        <v>5966.536652694218</v>
      </c>
      <c r="J633" s="2303">
        <f t="shared" ca="1" si="196"/>
        <v>4153.153433963369</v>
      </c>
      <c r="K633" s="2303">
        <f t="shared" ca="1" si="196"/>
        <v>5102.587612029738</v>
      </c>
      <c r="L633" s="2303">
        <f t="shared" ca="1" si="196"/>
        <v>8147.8706857561701</v>
      </c>
      <c r="N633" s="2268">
        <f t="shared" ca="1" si="185"/>
        <v>23983.789029319392</v>
      </c>
      <c r="O633" s="2268">
        <f t="shared" ca="1" si="186"/>
        <v>-41043.842654080378</v>
      </c>
    </row>
    <row r="634" spans="1:15">
      <c r="C634" s="2304"/>
      <c r="D634" s="2304"/>
      <c r="E634" s="2304"/>
      <c r="F634" s="2304"/>
      <c r="G634" s="2304"/>
      <c r="H634" s="2304"/>
      <c r="I634" s="2304"/>
      <c r="J634" s="2304"/>
      <c r="K634" s="2304"/>
      <c r="L634" s="2495">
        <f ca="1">F203</f>
        <v>8147.8706857561701</v>
      </c>
      <c r="N634" s="2268">
        <f t="shared" si="185"/>
        <v>0</v>
      </c>
      <c r="O634" s="2268">
        <f t="shared" si="186"/>
        <v>0</v>
      </c>
    </row>
    <row r="635" spans="1:15">
      <c r="C635" s="2304"/>
      <c r="D635" s="2304"/>
      <c r="E635" s="2304"/>
      <c r="F635" s="2304"/>
      <c r="G635" s="2304"/>
      <c r="H635" s="2304"/>
      <c r="I635" s="2304"/>
      <c r="J635" s="2304"/>
      <c r="K635" s="2304" t="s">
        <v>566</v>
      </c>
      <c r="L635" s="2496">
        <f ca="1">L633-L634</f>
        <v>0</v>
      </c>
      <c r="N635" s="2268">
        <f t="shared" si="185"/>
        <v>0</v>
      </c>
      <c r="O635" s="2268">
        <f t="shared" si="186"/>
        <v>0</v>
      </c>
    </row>
    <row r="636" spans="1:15">
      <c r="N636" s="2268">
        <f t="shared" si="185"/>
        <v>0</v>
      </c>
      <c r="O636" s="2268">
        <f t="shared" si="186"/>
        <v>0</v>
      </c>
    </row>
    <row r="637" spans="1:15">
      <c r="A637" s="2232" t="s">
        <v>1663</v>
      </c>
      <c r="N637" s="2268">
        <f t="shared" si="185"/>
        <v>0</v>
      </c>
      <c r="O637" s="2268">
        <f t="shared" si="186"/>
        <v>0</v>
      </c>
    </row>
    <row r="638" spans="1:15">
      <c r="B638" s="3100" t="s">
        <v>1448</v>
      </c>
      <c r="C638" s="3102" t="s">
        <v>1459</v>
      </c>
      <c r="D638" s="2410" t="str">
        <f t="shared" ref="D638:L638" si="197">D583</f>
        <v>26.10</v>
      </c>
      <c r="E638" s="2410" t="str">
        <f t="shared" si="197"/>
        <v>27.01</v>
      </c>
      <c r="F638" s="2410" t="str">
        <f t="shared" si="197"/>
        <v>27.04</v>
      </c>
      <c r="G638" s="2410" t="str">
        <f t="shared" si="197"/>
        <v>27.07</v>
      </c>
      <c r="H638" s="2410" t="str">
        <f t="shared" si="197"/>
        <v>27.10</v>
      </c>
      <c r="I638" s="2410" t="str">
        <f t="shared" si="197"/>
        <v>28.01</v>
      </c>
      <c r="J638" s="2410" t="str">
        <f t="shared" si="197"/>
        <v>28.04</v>
      </c>
      <c r="K638" s="2410" t="str">
        <f t="shared" si="197"/>
        <v>28.07</v>
      </c>
      <c r="L638" s="2411" t="str">
        <f t="shared" si="197"/>
        <v>28.10</v>
      </c>
    </row>
    <row r="639" spans="1:15" ht="12.75" thickBot="1">
      <c r="B639" s="3101"/>
      <c r="C639" s="3103"/>
      <c r="D639" s="2283" t="str">
        <f t="shared" ref="D639:L639" si="198">D584</f>
        <v>투자일</v>
      </c>
      <c r="E639" s="2283">
        <f t="shared" si="198"/>
        <v>1</v>
      </c>
      <c r="F639" s="2283">
        <f t="shared" si="198"/>
        <v>2</v>
      </c>
      <c r="G639" s="2283">
        <f t="shared" si="198"/>
        <v>3</v>
      </c>
      <c r="H639" s="2283">
        <f t="shared" si="198"/>
        <v>4</v>
      </c>
      <c r="I639" s="2283">
        <f t="shared" si="198"/>
        <v>5</v>
      </c>
      <c r="J639" s="2283">
        <f t="shared" si="198"/>
        <v>6</v>
      </c>
      <c r="K639" s="2283">
        <f t="shared" si="198"/>
        <v>7</v>
      </c>
      <c r="L639" s="2284">
        <f t="shared" si="198"/>
        <v>8</v>
      </c>
    </row>
    <row r="640" spans="1:15">
      <c r="B640" s="2290" t="s">
        <v>1554</v>
      </c>
      <c r="C640" s="2291"/>
      <c r="D640" s="2291">
        <f ca="1">'BS(M)'!K16/1000</f>
        <v>10000</v>
      </c>
      <c r="E640" s="2291">
        <f ca="1">'BS(M)'!N16/1000</f>
        <v>9932.8535609021492</v>
      </c>
      <c r="F640" s="2291">
        <f ca="1">'BS(M)'!Q16/1000</f>
        <v>7484.0084048690023</v>
      </c>
      <c r="G640" s="2291">
        <f ca="1">'BS(M)'!T16/1000</f>
        <v>8404.7029896215499</v>
      </c>
      <c r="H640" s="2291">
        <f ca="1">'BS(M)'!W16/1000</f>
        <v>5835.9183435629857</v>
      </c>
      <c r="I640" s="2291">
        <f ca="1">'BS(M)'!Z16/1000</f>
        <v>5966.536652694097</v>
      </c>
      <c r="J640" s="2291">
        <f ca="1">'BS(M)'!AC16/1000</f>
        <v>4153.1534339632462</v>
      </c>
      <c r="K640" s="2291">
        <f ca="1">'BS(M)'!AF16/1000</f>
        <v>5102.5876120296161</v>
      </c>
      <c r="L640" s="2292">
        <f ca="1">'BS(M)'!AI16/1000</f>
        <v>8147.8706857560483</v>
      </c>
    </row>
    <row r="641" spans="2:12">
      <c r="B641" s="2293" t="s">
        <v>1614</v>
      </c>
      <c r="C641" s="2294"/>
      <c r="D641" s="2294">
        <f>'BS(M)'!K17/1000</f>
        <v>12856.669630531998</v>
      </c>
      <c r="E641" s="2294">
        <f>'BS(M)'!N17/1000</f>
        <v>0</v>
      </c>
      <c r="F641" s="2294">
        <f>'BS(M)'!Q17/1000</f>
        <v>56.176470635715539</v>
      </c>
      <c r="G641" s="2294">
        <f>'BS(M)'!T17/1000</f>
        <v>0</v>
      </c>
      <c r="H641" s="2294">
        <f>'BS(M)'!W17/1000</f>
        <v>56.176470635715539</v>
      </c>
      <c r="I641" s="2294">
        <f>'BS(M)'!Z17/1000</f>
        <v>0</v>
      </c>
      <c r="J641" s="2294">
        <f>'BS(M)'!AC17/1000</f>
        <v>56.197924427994352</v>
      </c>
      <c r="K641" s="2294">
        <f>'BS(M)'!AF17/1000</f>
        <v>0</v>
      </c>
      <c r="L641" s="2295">
        <f>'BS(M)'!AI17/1000</f>
        <v>56.197924427994352</v>
      </c>
    </row>
    <row r="642" spans="2:12" hidden="1">
      <c r="B642" s="2293" t="s">
        <v>237</v>
      </c>
      <c r="C642" s="2294"/>
      <c r="D642" s="2294">
        <f>'BS(M)'!K18/1000</f>
        <v>0</v>
      </c>
      <c r="E642" s="2294">
        <f>'BS(M)'!N18/1000</f>
        <v>0</v>
      </c>
      <c r="F642" s="2294">
        <f>'BS(M)'!Q18/1000</f>
        <v>0</v>
      </c>
      <c r="G642" s="2294">
        <f>'BS(M)'!T18/1000</f>
        <v>0</v>
      </c>
      <c r="H642" s="2294">
        <f>'BS(M)'!W18/1000</f>
        <v>0</v>
      </c>
      <c r="I642" s="2294">
        <f>'BS(M)'!Z18/1000</f>
        <v>0</v>
      </c>
      <c r="J642" s="2294">
        <f>'BS(M)'!AC18/1000</f>
        <v>0</v>
      </c>
      <c r="K642" s="2294">
        <f>'BS(M)'!AF18/1000</f>
        <v>0</v>
      </c>
      <c r="L642" s="2295">
        <f>'BS(M)'!AI18/1000</f>
        <v>0</v>
      </c>
    </row>
    <row r="643" spans="2:12">
      <c r="B643" s="2293" t="s">
        <v>238</v>
      </c>
      <c r="C643" s="2294"/>
      <c r="D643" s="2294">
        <f ca="1">'BS(M)'!K19/1000</f>
        <v>0</v>
      </c>
      <c r="E643" s="2294">
        <f ca="1">'BS(M)'!N19/1000</f>
        <v>556.713525</v>
      </c>
      <c r="F643" s="2294">
        <f ca="1">'BS(M)'!Q19/1000</f>
        <v>371.14234999999996</v>
      </c>
      <c r="G643" s="2294">
        <f ca="1">'BS(M)'!T19/1000</f>
        <v>185.57117499999993</v>
      </c>
      <c r="H643" s="2294">
        <f ca="1">'BS(M)'!W19/1000</f>
        <v>-1.0186340659856796E-13</v>
      </c>
      <c r="I643" s="2294">
        <f ca="1">'BS(M)'!Z19/1000</f>
        <v>545.57925449999993</v>
      </c>
      <c r="J643" s="2294">
        <f ca="1">'BS(M)'!AC19/1000</f>
        <v>363.71950299999997</v>
      </c>
      <c r="K643" s="2294">
        <f ca="1">'BS(M)'!AF19/1000</f>
        <v>181.85975149999996</v>
      </c>
      <c r="L643" s="2295">
        <f ca="1">'BS(M)'!AI19/1000</f>
        <v>-7.2759576141834261E-14</v>
      </c>
    </row>
    <row r="644" spans="2:12">
      <c r="B644" s="2293" t="s">
        <v>240</v>
      </c>
      <c r="C644" s="2294"/>
      <c r="D644" s="2294">
        <f>'BS(M)'!K21/1000</f>
        <v>152192.51999999999</v>
      </c>
      <c r="E644" s="2294">
        <f>'BS(M)'!N21/1000</f>
        <v>152192.51999999999</v>
      </c>
      <c r="F644" s="2294">
        <f>'BS(M)'!Q21/1000</f>
        <v>152192.51999999999</v>
      </c>
      <c r="G644" s="2294">
        <f>'BS(M)'!T21/1000</f>
        <v>152192.51999999999</v>
      </c>
      <c r="H644" s="2294">
        <f>'BS(M)'!W21/1000</f>
        <v>152192.51999999999</v>
      </c>
      <c r="I644" s="2294">
        <f>'BS(M)'!Z21/1000</f>
        <v>152192.51999999999</v>
      </c>
      <c r="J644" s="2294">
        <f>'BS(M)'!AC21/1000</f>
        <v>152192.51999999999</v>
      </c>
      <c r="K644" s="2294">
        <f>'BS(M)'!AF21/1000</f>
        <v>152192.51999999999</v>
      </c>
      <c r="L644" s="2295">
        <f>'BS(M)'!AI21/1000</f>
        <v>152192.51999999999</v>
      </c>
    </row>
    <row r="645" spans="2:12">
      <c r="B645" s="2293" t="s">
        <v>241</v>
      </c>
      <c r="C645" s="2294"/>
      <c r="D645" s="2294">
        <f>'BS(M)'!K22/1000</f>
        <v>136707.48000000001</v>
      </c>
      <c r="E645" s="2294">
        <f>'BS(M)'!N22/1000</f>
        <v>136707.48000000001</v>
      </c>
      <c r="F645" s="2294">
        <f>'BS(M)'!Q22/1000</f>
        <v>136707.48000000001</v>
      </c>
      <c r="G645" s="2294">
        <f>'BS(M)'!T22/1000</f>
        <v>136707.48000000001</v>
      </c>
      <c r="H645" s="2294">
        <f>'BS(M)'!W22/1000</f>
        <v>136707.48000000001</v>
      </c>
      <c r="I645" s="2294">
        <f>'BS(M)'!Z22/1000</f>
        <v>136707.48000000001</v>
      </c>
      <c r="J645" s="2294">
        <f>'BS(M)'!AC22/1000</f>
        <v>136707.48000000001</v>
      </c>
      <c r="K645" s="2294">
        <f>'BS(M)'!AF22/1000</f>
        <v>136707.48000000001</v>
      </c>
      <c r="L645" s="2295">
        <f>'BS(M)'!AI22/1000</f>
        <v>136707.48000000001</v>
      </c>
    </row>
    <row r="646" spans="2:12" ht="12.75" thickBot="1">
      <c r="B646" s="2293" t="s">
        <v>517</v>
      </c>
      <c r="C646" s="2294"/>
      <c r="D646" s="2294">
        <f>'BS(M)'!K23/1000</f>
        <v>0</v>
      </c>
      <c r="E646" s="2294">
        <f>'BS(M)'!N23/1000</f>
        <v>-854.42174999999997</v>
      </c>
      <c r="F646" s="2294">
        <f>'BS(M)'!Q23/1000</f>
        <v>-1708.8434999999999</v>
      </c>
      <c r="G646" s="2294">
        <f>'BS(M)'!T23/1000</f>
        <v>-2563.2652499999999</v>
      </c>
      <c r="H646" s="2294">
        <f>'BS(M)'!W23/1000</f>
        <v>-3417.6869999999999</v>
      </c>
      <c r="I646" s="2294">
        <f>'BS(M)'!Z23/1000</f>
        <v>-4272.1087500000003</v>
      </c>
      <c r="J646" s="2294">
        <f>'BS(M)'!AC23/1000</f>
        <v>-5126.5304999999998</v>
      </c>
      <c r="K646" s="2294">
        <f>'BS(M)'!AF23/1000</f>
        <v>-5980.9522500000003</v>
      </c>
      <c r="L646" s="2295">
        <f>'BS(M)'!AI23/1000</f>
        <v>-6835.3739999999998</v>
      </c>
    </row>
    <row r="647" spans="2:12" ht="12.75" thickBot="1">
      <c r="B647" s="2287" t="s">
        <v>1555</v>
      </c>
      <c r="C647" s="2288"/>
      <c r="D647" s="2288">
        <f t="shared" ref="D647:L647" ca="1" si="199">SUM(D640:D646)</f>
        <v>311756.66963053204</v>
      </c>
      <c r="E647" s="2288">
        <f t="shared" ca="1" si="199"/>
        <v>298535.14533590217</v>
      </c>
      <c r="F647" s="2288">
        <f t="shared" ca="1" si="199"/>
        <v>295102.48372550466</v>
      </c>
      <c r="G647" s="2288">
        <f t="shared" ca="1" si="199"/>
        <v>294927.00891462155</v>
      </c>
      <c r="H647" s="2288">
        <f t="shared" ca="1" si="199"/>
        <v>291374.4078141987</v>
      </c>
      <c r="I647" s="2288">
        <f t="shared" ca="1" si="199"/>
        <v>291140.00715719408</v>
      </c>
      <c r="J647" s="2288">
        <f t="shared" ca="1" si="199"/>
        <v>288346.54036139126</v>
      </c>
      <c r="K647" s="2288">
        <f t="shared" ca="1" si="199"/>
        <v>288203.49511352961</v>
      </c>
      <c r="L647" s="2289">
        <f t="shared" ca="1" si="199"/>
        <v>290268.694610184</v>
      </c>
    </row>
    <row r="648" spans="2:12" hidden="1">
      <c r="B648" s="2293" t="s">
        <v>1608</v>
      </c>
      <c r="C648" s="2294"/>
      <c r="D648" s="2294">
        <f>'BS(M)'!K26/1000</f>
        <v>0</v>
      </c>
      <c r="E648" s="2294">
        <f>'BS(M)'!N26/1000</f>
        <v>0</v>
      </c>
      <c r="F648" s="2294">
        <f>'BS(M)'!Q26/1000</f>
        <v>0</v>
      </c>
      <c r="G648" s="2294">
        <f>'BS(M)'!T26/1000</f>
        <v>0</v>
      </c>
      <c r="H648" s="2294">
        <f>'BS(M)'!W26/1000</f>
        <v>0</v>
      </c>
      <c r="I648" s="2294">
        <f>'BS(M)'!Z26/1000</f>
        <v>0</v>
      </c>
      <c r="J648" s="2294">
        <f>'BS(M)'!AC26/1000</f>
        <v>0</v>
      </c>
      <c r="K648" s="2294">
        <f>'BS(M)'!AF26/1000</f>
        <v>0</v>
      </c>
      <c r="L648" s="2295">
        <f>'BS(M)'!AI26/1000</f>
        <v>0</v>
      </c>
    </row>
    <row r="649" spans="2:12">
      <c r="B649" s="2293" t="s">
        <v>1592</v>
      </c>
      <c r="C649" s="2294"/>
      <c r="D649" s="2294">
        <f>'BS(M)'!K27/1000</f>
        <v>12856.669630531998</v>
      </c>
      <c r="E649" s="2294">
        <f>'BS(M)'!N27/1000</f>
        <v>0</v>
      </c>
      <c r="F649" s="2294">
        <f>'BS(M)'!Q27/1000</f>
        <v>0</v>
      </c>
      <c r="G649" s="2294">
        <f>'BS(M)'!T27/1000</f>
        <v>0</v>
      </c>
      <c r="H649" s="2294">
        <f>'BS(M)'!W27/1000</f>
        <v>0</v>
      </c>
      <c r="I649" s="2294">
        <f>'BS(M)'!Z27/1000</f>
        <v>0</v>
      </c>
      <c r="J649" s="2294">
        <f>'BS(M)'!AC27/1000</f>
        <v>0</v>
      </c>
      <c r="K649" s="2294">
        <f>'BS(M)'!AF27/1000</f>
        <v>0</v>
      </c>
      <c r="L649" s="2295">
        <f>'BS(M)'!AI27/1000</f>
        <v>0</v>
      </c>
    </row>
    <row r="650" spans="2:12" hidden="1">
      <c r="B650" s="2293" t="s">
        <v>568</v>
      </c>
      <c r="C650" s="2294"/>
      <c r="D650" s="2294">
        <f>'BS(M)'!K28/1000</f>
        <v>0</v>
      </c>
      <c r="E650" s="2294">
        <f>'BS(M)'!N28/1000</f>
        <v>0</v>
      </c>
      <c r="F650" s="2294">
        <f>'BS(M)'!Q28/1000</f>
        <v>0</v>
      </c>
      <c r="G650" s="2294">
        <f>'BS(M)'!T28/1000</f>
        <v>0</v>
      </c>
      <c r="H650" s="2294">
        <f>'BS(M)'!W28/1000</f>
        <v>0</v>
      </c>
      <c r="I650" s="2294">
        <f>'BS(M)'!Z28/1000</f>
        <v>0</v>
      </c>
      <c r="J650" s="2294">
        <f>'BS(M)'!AC28/1000</f>
        <v>0</v>
      </c>
      <c r="K650" s="2294">
        <f>'BS(M)'!AF28/1000</f>
        <v>0</v>
      </c>
      <c r="L650" s="2295">
        <f>'BS(M)'!AI28/1000</f>
        <v>0</v>
      </c>
    </row>
    <row r="651" spans="2:12">
      <c r="B651" s="2293" t="s">
        <v>569</v>
      </c>
      <c r="C651" s="2294"/>
      <c r="D651" s="2294">
        <f>'BS(M)'!K29/1000</f>
        <v>0</v>
      </c>
      <c r="E651" s="2294">
        <f>'BS(M)'!N29/1000</f>
        <v>188.37387105108877</v>
      </c>
      <c r="F651" s="2294">
        <f>'BS(M)'!Q29/1000</f>
        <v>343.23767333333336</v>
      </c>
      <c r="G651" s="2294">
        <f>'BS(M)'!T29/1000</f>
        <v>398.43010605108879</v>
      </c>
      <c r="H651" s="2294">
        <f>'BS(M)'!W29/1000</f>
        <v>191.94920666666667</v>
      </c>
      <c r="I651" s="2294">
        <f>'BS(M)'!Z29/1000</f>
        <v>272.9144231760888</v>
      </c>
      <c r="J651" s="2294">
        <f>'BS(M)'!AC29/1000</f>
        <v>427.61647628333333</v>
      </c>
      <c r="K651" s="2294">
        <f>'BS(M)'!AF29/1000</f>
        <v>428.71045402608877</v>
      </c>
      <c r="L651" s="2295">
        <f>'BS(M)'!AI29/1000</f>
        <v>194.63845765833329</v>
      </c>
    </row>
    <row r="652" spans="2:12">
      <c r="B652" s="2293" t="s">
        <v>205</v>
      </c>
      <c r="C652" s="2294"/>
      <c r="D652" s="2294">
        <f>'BS(M)'!K31/1000</f>
        <v>2100</v>
      </c>
      <c r="E652" s="2294">
        <f>'BS(M)'!N31/1000</f>
        <v>2100</v>
      </c>
      <c r="F652" s="2294">
        <f>'BS(M)'!Q31/1000</f>
        <v>2100</v>
      </c>
      <c r="G652" s="2294">
        <f>'BS(M)'!T31/1000</f>
        <v>2100</v>
      </c>
      <c r="H652" s="2294">
        <f>'BS(M)'!W31/1000</f>
        <v>2100</v>
      </c>
      <c r="I652" s="2294">
        <f>'BS(M)'!Z31/1000</f>
        <v>2100</v>
      </c>
      <c r="J652" s="2294">
        <f>'BS(M)'!AC31/1000</f>
        <v>2100</v>
      </c>
      <c r="K652" s="2294">
        <f>'BS(M)'!AF31/1000</f>
        <v>2100</v>
      </c>
      <c r="L652" s="2295">
        <f>'BS(M)'!AI31/1000</f>
        <v>2100</v>
      </c>
    </row>
    <row r="653" spans="2:12" ht="12.75" thickBot="1">
      <c r="B653" s="2293" t="s">
        <v>1615</v>
      </c>
      <c r="C653" s="2294"/>
      <c r="D653" s="2294">
        <f>'BS(M)'!K33/1000</f>
        <v>198000</v>
      </c>
      <c r="E653" s="2294">
        <f>'BS(M)'!N33/1000</f>
        <v>198000</v>
      </c>
      <c r="F653" s="2294">
        <f>'BS(M)'!Q33/1000</f>
        <v>198000</v>
      </c>
      <c r="G653" s="2294">
        <f>'BS(M)'!T33/1000</f>
        <v>198000</v>
      </c>
      <c r="H653" s="2294">
        <f>'BS(M)'!W33/1000</f>
        <v>198000</v>
      </c>
      <c r="I653" s="2294">
        <f>'BS(M)'!Z33/1000</f>
        <v>198000</v>
      </c>
      <c r="J653" s="2294">
        <f>'BS(M)'!AC33/1000</f>
        <v>198000</v>
      </c>
      <c r="K653" s="2294">
        <f>'BS(M)'!AF33/1000</f>
        <v>198000</v>
      </c>
      <c r="L653" s="2295">
        <f>'BS(M)'!AI33/1000</f>
        <v>213000</v>
      </c>
    </row>
    <row r="654" spans="2:12" ht="12.75" hidden="1" thickBot="1">
      <c r="B654" s="2293" t="s">
        <v>605</v>
      </c>
      <c r="C654" s="2294"/>
      <c r="D654" s="2294">
        <f>'BS(M)'!K32/1000</f>
        <v>0</v>
      </c>
      <c r="E654" s="2294">
        <f>'BS(M)'!N32/1000</f>
        <v>0</v>
      </c>
      <c r="F654" s="2294">
        <f>'BS(M)'!Q32/1000</f>
        <v>0</v>
      </c>
      <c r="G654" s="2294">
        <f>'BS(M)'!T32/1000</f>
        <v>0</v>
      </c>
      <c r="H654" s="2294">
        <f>'BS(M)'!W32/1000</f>
        <v>0</v>
      </c>
      <c r="I654" s="2294">
        <f>'BS(M)'!Z32/1000</f>
        <v>0</v>
      </c>
      <c r="J654" s="2294">
        <f>'BS(M)'!AC32/1000</f>
        <v>0</v>
      </c>
      <c r="K654" s="2294">
        <f>'BS(M)'!AF32/1000</f>
        <v>0</v>
      </c>
      <c r="L654" s="2295">
        <f>'BS(M)'!AI32/1000</f>
        <v>0</v>
      </c>
    </row>
    <row r="655" spans="2:12" ht="12.75" thickBot="1">
      <c r="B655" s="2287" t="s">
        <v>1556</v>
      </c>
      <c r="C655" s="2288"/>
      <c r="D655" s="2288">
        <f t="shared" ref="D655:L655" si="200">SUM(D648:D654)</f>
        <v>212956.66963053201</v>
      </c>
      <c r="E655" s="2288">
        <f t="shared" si="200"/>
        <v>200288.3738710511</v>
      </c>
      <c r="F655" s="2288">
        <f t="shared" si="200"/>
        <v>200443.23767333332</v>
      </c>
      <c r="G655" s="2288">
        <f t="shared" si="200"/>
        <v>200498.43010605109</v>
      </c>
      <c r="H655" s="2288">
        <f t="shared" si="200"/>
        <v>200291.94920666667</v>
      </c>
      <c r="I655" s="2288">
        <f t="shared" si="200"/>
        <v>200372.91442317609</v>
      </c>
      <c r="J655" s="2288">
        <f t="shared" si="200"/>
        <v>200527.61647628332</v>
      </c>
      <c r="K655" s="2288">
        <f t="shared" si="200"/>
        <v>200528.71045402609</v>
      </c>
      <c r="L655" s="2289">
        <f t="shared" si="200"/>
        <v>215294.63845765832</v>
      </c>
    </row>
    <row r="656" spans="2:12">
      <c r="B656" s="2293" t="s">
        <v>543</v>
      </c>
      <c r="C656" s="2294"/>
      <c r="D656" s="2294">
        <f>'BS(M)'!K36/1000</f>
        <v>6354.782608695652</v>
      </c>
      <c r="E656" s="2294">
        <f>'BS(M)'!N36/1000</f>
        <v>6354.782608695652</v>
      </c>
      <c r="F656" s="2294">
        <f>'BS(M)'!Q36/1000</f>
        <v>6354.782608695652</v>
      </c>
      <c r="G656" s="2294">
        <f>'BS(M)'!T36/1000</f>
        <v>6354.782608695652</v>
      </c>
      <c r="H656" s="2294">
        <f>'BS(M)'!W36/1000</f>
        <v>6354.782608695652</v>
      </c>
      <c r="I656" s="2294">
        <f>'BS(M)'!Z36/1000</f>
        <v>6354.782608695652</v>
      </c>
      <c r="J656" s="2294">
        <f>'BS(M)'!AC36/1000</f>
        <v>6354.782608695652</v>
      </c>
      <c r="K656" s="2294">
        <f>'BS(M)'!AF36/1000</f>
        <v>6354.782608695652</v>
      </c>
      <c r="L656" s="2295">
        <f>'BS(M)'!AI36/1000</f>
        <v>5920</v>
      </c>
    </row>
    <row r="657" spans="2:12">
      <c r="B657" s="2293" t="s">
        <v>545</v>
      </c>
      <c r="C657" s="2294"/>
      <c r="D657" s="2294">
        <f>'BS(M)'!K37/1000</f>
        <v>92445.217391304337</v>
      </c>
      <c r="E657" s="2294">
        <f>'BS(M)'!N37/1000</f>
        <v>92445.217391304337</v>
      </c>
      <c r="F657" s="2294">
        <f>'BS(M)'!Q37/1000</f>
        <v>92445.217391304337</v>
      </c>
      <c r="G657" s="2294">
        <f>'BS(M)'!T37/1000</f>
        <v>92445.217391304337</v>
      </c>
      <c r="H657" s="2294">
        <f>'BS(M)'!W37/1000</f>
        <v>92445.217391304337</v>
      </c>
      <c r="I657" s="2294">
        <f>'BS(M)'!Z37/1000</f>
        <v>92445.217391304337</v>
      </c>
      <c r="J657" s="2294">
        <f>'BS(M)'!AC37/1000</f>
        <v>92445.217391304337</v>
      </c>
      <c r="K657" s="2294">
        <f>'BS(M)'!AF37/1000</f>
        <v>92445.217391304337</v>
      </c>
      <c r="L657" s="2295">
        <f>'BS(M)'!AI37/1000</f>
        <v>82880</v>
      </c>
    </row>
    <row r="658" spans="2:12" ht="12.75" thickBot="1">
      <c r="B658" s="2293" t="s">
        <v>564</v>
      </c>
      <c r="C658" s="2294"/>
      <c r="D658" s="2294">
        <f ca="1">'BS(M)'!K39/1000</f>
        <v>0</v>
      </c>
      <c r="E658" s="2294">
        <f ca="1">'BS(M)'!N39/1000</f>
        <v>-553.22853514894075</v>
      </c>
      <c r="F658" s="2294">
        <f ca="1">'BS(M)'!Q39/1000</f>
        <v>-4140.7539478286153</v>
      </c>
      <c r="G658" s="2294">
        <f ca="1">'BS(M)'!T39/1000</f>
        <v>-4371.4211914295383</v>
      </c>
      <c r="H658" s="2294">
        <f ca="1">'BS(M)'!W39/1000</f>
        <v>-7717.5413924679615</v>
      </c>
      <c r="I658" s="2294">
        <f ca="1">'BS(M)'!Z39/1000</f>
        <v>-8032.9072659819858</v>
      </c>
      <c r="J658" s="2294">
        <f ca="1">'BS(M)'!AC39/1000</f>
        <v>-10981.076114892086</v>
      </c>
      <c r="K658" s="2294">
        <f ca="1">'BS(M)'!AF39/1000</f>
        <v>-11125.215340496465</v>
      </c>
      <c r="L658" s="2295">
        <f ca="1">'BS(M)'!AI39/1000</f>
        <v>-13825.943847474284</v>
      </c>
    </row>
    <row r="659" spans="2:12" ht="12.75" thickBot="1">
      <c r="B659" s="2287" t="s">
        <v>1557</v>
      </c>
      <c r="C659" s="2288"/>
      <c r="D659" s="2288">
        <f t="shared" ref="D659:L659" ca="1" si="201">SUM(D656:D658)</f>
        <v>98799.999999999985</v>
      </c>
      <c r="E659" s="2288">
        <f t="shared" ca="1" si="201"/>
        <v>98246.771464851045</v>
      </c>
      <c r="F659" s="2288">
        <f t="shared" ca="1" si="201"/>
        <v>94659.246052171366</v>
      </c>
      <c r="G659" s="2288">
        <f t="shared" ca="1" si="201"/>
        <v>94428.578808570441</v>
      </c>
      <c r="H659" s="2288">
        <f t="shared" ca="1" si="201"/>
        <v>91082.458607532026</v>
      </c>
      <c r="I659" s="2288">
        <f t="shared" ca="1" si="201"/>
        <v>90767.092734018006</v>
      </c>
      <c r="J659" s="2288">
        <f t="shared" ca="1" si="201"/>
        <v>87818.923885107899</v>
      </c>
      <c r="K659" s="2288">
        <f t="shared" ca="1" si="201"/>
        <v>87674.784659503523</v>
      </c>
      <c r="L659" s="2289">
        <f t="shared" ca="1" si="201"/>
        <v>74974.056152525722</v>
      </c>
    </row>
    <row r="660" spans="2:12" ht="12.75" thickBot="1">
      <c r="B660" s="2287" t="s">
        <v>1616</v>
      </c>
      <c r="C660" s="2288"/>
      <c r="D660" s="2288">
        <f t="shared" ref="D660:L660" ca="1" si="202">D655+D659</f>
        <v>311756.66963053198</v>
      </c>
      <c r="E660" s="2288">
        <f t="shared" ca="1" si="202"/>
        <v>298535.14533590211</v>
      </c>
      <c r="F660" s="2288">
        <f t="shared" ca="1" si="202"/>
        <v>295102.48372550472</v>
      </c>
      <c r="G660" s="2288">
        <f t="shared" ca="1" si="202"/>
        <v>294927.00891462155</v>
      </c>
      <c r="H660" s="2288">
        <f t="shared" ca="1" si="202"/>
        <v>291374.4078141987</v>
      </c>
      <c r="I660" s="2288">
        <f t="shared" ca="1" si="202"/>
        <v>291140.00715719408</v>
      </c>
      <c r="J660" s="2288">
        <f t="shared" ca="1" si="202"/>
        <v>288346.54036139121</v>
      </c>
      <c r="K660" s="2288">
        <f t="shared" ca="1" si="202"/>
        <v>288203.49511352961</v>
      </c>
      <c r="L660" s="2289">
        <f t="shared" ca="1" si="202"/>
        <v>290268.69461018406</v>
      </c>
    </row>
    <row r="661" spans="2:12">
      <c r="B661" s="2232" t="s">
        <v>1558</v>
      </c>
      <c r="C661" s="2497">
        <f t="shared" ref="C661:L661" si="203">C647-C660</f>
        <v>0</v>
      </c>
      <c r="D661" s="2497">
        <f t="shared" ca="1" si="203"/>
        <v>0</v>
      </c>
      <c r="E661" s="2497">
        <f t="shared" ca="1" si="203"/>
        <v>0</v>
      </c>
      <c r="F661" s="2497">
        <f t="shared" ca="1" si="203"/>
        <v>0</v>
      </c>
      <c r="G661" s="2497">
        <f t="shared" ca="1" si="203"/>
        <v>0</v>
      </c>
      <c r="H661" s="2497">
        <f t="shared" ca="1" si="203"/>
        <v>0</v>
      </c>
      <c r="I661" s="2497">
        <f t="shared" ca="1" si="203"/>
        <v>0</v>
      </c>
      <c r="J661" s="2497">
        <f t="shared" ca="1" si="203"/>
        <v>0</v>
      </c>
      <c r="K661" s="2497">
        <f t="shared" ca="1" si="203"/>
        <v>0</v>
      </c>
      <c r="L661" s="2497">
        <f t="shared" ca="1" si="203"/>
        <v>0</v>
      </c>
    </row>
    <row r="673" spans="1:24">
      <c r="A673" s="2232" t="s">
        <v>1777</v>
      </c>
      <c r="E673" s="2415">
        <f>D674+1</f>
        <v>46327</v>
      </c>
      <c r="F673" s="2415">
        <f>E674+1</f>
        <v>46508</v>
      </c>
      <c r="G673" s="2415">
        <f>F674+1</f>
        <v>46692</v>
      </c>
      <c r="H673" s="2415">
        <f>G674+1</f>
        <v>46874</v>
      </c>
    </row>
    <row r="674" spans="1:24">
      <c r="D674" s="2379">
        <f>'IS(FY)'!M6</f>
        <v>46326</v>
      </c>
      <c r="E674" s="2415">
        <f t="shared" ref="E674:X674" si="204">EOMONTH(D674,6)</f>
        <v>46507</v>
      </c>
      <c r="F674" s="2415">
        <f t="shared" si="204"/>
        <v>46691</v>
      </c>
      <c r="G674" s="2415">
        <f t="shared" si="204"/>
        <v>46873</v>
      </c>
      <c r="H674" s="2415">
        <f t="shared" si="204"/>
        <v>47057</v>
      </c>
      <c r="I674" s="2415">
        <f t="shared" si="204"/>
        <v>47238</v>
      </c>
      <c r="J674" s="2415">
        <f t="shared" si="204"/>
        <v>47422</v>
      </c>
      <c r="K674" s="2415">
        <f t="shared" si="204"/>
        <v>47603</v>
      </c>
      <c r="L674" s="2415">
        <f t="shared" si="204"/>
        <v>47787</v>
      </c>
      <c r="M674" s="2415">
        <f t="shared" si="204"/>
        <v>47968</v>
      </c>
      <c r="N674" s="2415">
        <f t="shared" si="204"/>
        <v>48152</v>
      </c>
      <c r="O674" s="2415">
        <f t="shared" si="204"/>
        <v>48334</v>
      </c>
      <c r="P674" s="2415">
        <f t="shared" si="204"/>
        <v>48518</v>
      </c>
      <c r="Q674" s="2415">
        <f t="shared" si="204"/>
        <v>48699</v>
      </c>
      <c r="R674" s="2415">
        <f t="shared" si="204"/>
        <v>48883</v>
      </c>
      <c r="S674" s="2415">
        <f t="shared" si="204"/>
        <v>49064</v>
      </c>
      <c r="T674" s="2415">
        <f t="shared" si="204"/>
        <v>49248</v>
      </c>
      <c r="U674" s="2415">
        <f t="shared" si="204"/>
        <v>49429</v>
      </c>
      <c r="V674" s="2415">
        <f t="shared" si="204"/>
        <v>49613</v>
      </c>
      <c r="W674" s="2415">
        <f t="shared" si="204"/>
        <v>49795</v>
      </c>
      <c r="X674" s="2415">
        <f t="shared" si="204"/>
        <v>49979</v>
      </c>
    </row>
    <row r="675" spans="1:24">
      <c r="B675" s="3094" t="s">
        <v>1448</v>
      </c>
      <c r="C675" s="3098" t="s">
        <v>1459</v>
      </c>
      <c r="D675" s="2416" t="str">
        <f t="shared" ref="D675:X675" si="205">TEXT(D674,"yy.mm")</f>
        <v>26.10</v>
      </c>
      <c r="E675" s="2416" t="str">
        <f t="shared" si="205"/>
        <v>27.04</v>
      </c>
      <c r="F675" s="2416" t="str">
        <f t="shared" si="205"/>
        <v>27.10</v>
      </c>
      <c r="G675" s="2416" t="str">
        <f t="shared" si="205"/>
        <v>28.04</v>
      </c>
      <c r="H675" s="2417" t="str">
        <f t="shared" si="205"/>
        <v>28.10</v>
      </c>
      <c r="I675" s="2417" t="str">
        <f t="shared" si="205"/>
        <v>29.04</v>
      </c>
      <c r="J675" s="2417" t="str">
        <f t="shared" si="205"/>
        <v>29.10</v>
      </c>
      <c r="K675" s="2417" t="str">
        <f t="shared" si="205"/>
        <v>30.04</v>
      </c>
      <c r="L675" s="2417" t="str">
        <f t="shared" si="205"/>
        <v>30.10</v>
      </c>
      <c r="M675" s="2417" t="str">
        <f t="shared" si="205"/>
        <v>31.04</v>
      </c>
      <c r="N675" s="2417" t="str">
        <f t="shared" si="205"/>
        <v>31.10</v>
      </c>
      <c r="O675" s="2417" t="str">
        <f t="shared" si="205"/>
        <v>32.04</v>
      </c>
      <c r="P675" s="2417" t="str">
        <f t="shared" si="205"/>
        <v>32.10</v>
      </c>
      <c r="Q675" s="2417" t="str">
        <f t="shared" si="205"/>
        <v>33.04</v>
      </c>
      <c r="R675" s="2417" t="str">
        <f t="shared" si="205"/>
        <v>33.10</v>
      </c>
      <c r="S675" s="2417" t="str">
        <f t="shared" si="205"/>
        <v>34.04</v>
      </c>
      <c r="T675" s="2417" t="str">
        <f t="shared" si="205"/>
        <v>34.10</v>
      </c>
      <c r="U675" s="2417" t="str">
        <f t="shared" si="205"/>
        <v>35.04</v>
      </c>
      <c r="V675" s="2417" t="str">
        <f t="shared" si="205"/>
        <v>35.10</v>
      </c>
      <c r="W675" s="2417" t="str">
        <f t="shared" si="205"/>
        <v>36.04</v>
      </c>
      <c r="X675" s="2417" t="str">
        <f t="shared" si="205"/>
        <v>36.10</v>
      </c>
    </row>
    <row r="676" spans="1:24" ht="12.75" thickBot="1">
      <c r="B676" s="3095"/>
      <c r="C676" s="3099"/>
      <c r="D676" s="2285" t="s">
        <v>1460</v>
      </c>
      <c r="E676" s="2482">
        <v>1</v>
      </c>
      <c r="F676" s="2482">
        <f t="shared" ref="F676:X676" si="206">E676+1</f>
        <v>2</v>
      </c>
      <c r="G676" s="2482">
        <f t="shared" si="206"/>
        <v>3</v>
      </c>
      <c r="H676" s="2483">
        <f t="shared" si="206"/>
        <v>4</v>
      </c>
      <c r="I676" s="2483">
        <f t="shared" si="206"/>
        <v>5</v>
      </c>
      <c r="J676" s="2483">
        <f t="shared" si="206"/>
        <v>6</v>
      </c>
      <c r="K676" s="2483">
        <f t="shared" si="206"/>
        <v>7</v>
      </c>
      <c r="L676" s="2483">
        <f t="shared" si="206"/>
        <v>8</v>
      </c>
      <c r="M676" s="2483">
        <f t="shared" si="206"/>
        <v>9</v>
      </c>
      <c r="N676" s="2483">
        <f t="shared" si="206"/>
        <v>10</v>
      </c>
      <c r="O676" s="2483">
        <f t="shared" si="206"/>
        <v>11</v>
      </c>
      <c r="P676" s="2483">
        <f t="shared" si="206"/>
        <v>12</v>
      </c>
      <c r="Q676" s="2483">
        <f t="shared" si="206"/>
        <v>13</v>
      </c>
      <c r="R676" s="2483">
        <f t="shared" si="206"/>
        <v>14</v>
      </c>
      <c r="S676" s="2483">
        <f t="shared" si="206"/>
        <v>15</v>
      </c>
      <c r="T676" s="2483">
        <f t="shared" si="206"/>
        <v>16</v>
      </c>
      <c r="U676" s="2483">
        <f t="shared" si="206"/>
        <v>17</v>
      </c>
      <c r="V676" s="2483">
        <f t="shared" si="206"/>
        <v>18</v>
      </c>
      <c r="W676" s="2483">
        <f t="shared" si="206"/>
        <v>19</v>
      </c>
      <c r="X676" s="2483">
        <f t="shared" si="206"/>
        <v>20</v>
      </c>
    </row>
    <row r="677" spans="1:24" ht="12.75" thickBot="1">
      <c r="B677" s="2287" t="s">
        <v>1503</v>
      </c>
      <c r="C677" s="2288">
        <f t="shared" ref="C677:C705" si="207">SUM(D677:X677)</f>
        <v>173411.61493373639</v>
      </c>
      <c r="D677" s="2288">
        <f t="shared" ref="D677:X677" si="208">SUM(D678:D680)</f>
        <v>0</v>
      </c>
      <c r="E677" s="2288">
        <f t="shared" si="208"/>
        <v>7464.3223097152813</v>
      </c>
      <c r="F677" s="2288">
        <f t="shared" si="208"/>
        <v>7872.777909561064</v>
      </c>
      <c r="G677" s="2288">
        <f t="shared" si="208"/>
        <v>7632.0962092718628</v>
      </c>
      <c r="H677" s="2289">
        <f t="shared" si="208"/>
        <v>8050.7631991137878</v>
      </c>
      <c r="I677" s="2289">
        <f t="shared" si="208"/>
        <v>8145.7400338257958</v>
      </c>
      <c r="J677" s="2289">
        <f t="shared" si="208"/>
        <v>3220.9320777057219</v>
      </c>
      <c r="K677" s="2289">
        <f t="shared" si="208"/>
        <v>8625.0926779498604</v>
      </c>
      <c r="L677" s="2289">
        <f t="shared" si="208"/>
        <v>8857.6786013201399</v>
      </c>
      <c r="M677" s="2289">
        <f t="shared" si="208"/>
        <v>8847.8397435735114</v>
      </c>
      <c r="N677" s="2289">
        <f t="shared" si="208"/>
        <v>9076.3502741668435</v>
      </c>
      <c r="O677" s="2289">
        <f t="shared" si="208"/>
        <v>9066.2654449765487</v>
      </c>
      <c r="P677" s="2289">
        <f t="shared" si="208"/>
        <v>9300.4887388347124</v>
      </c>
      <c r="Q677" s="2289">
        <f t="shared" si="208"/>
        <v>9290.1517889146598</v>
      </c>
      <c r="R677" s="2289">
        <f t="shared" si="208"/>
        <v>9530.2306651192812</v>
      </c>
      <c r="S677" s="2289">
        <f t="shared" si="208"/>
        <v>9519.6352914512281</v>
      </c>
      <c r="T677" s="2289">
        <f t="shared" si="208"/>
        <v>9544.7661863158064</v>
      </c>
      <c r="U677" s="2289">
        <f t="shared" si="208"/>
        <v>9658.6890515864598</v>
      </c>
      <c r="V677" s="2289">
        <f t="shared" si="208"/>
        <v>9783.5590341481056</v>
      </c>
      <c r="W677" s="2289">
        <f t="shared" si="208"/>
        <v>9898.8579783701753</v>
      </c>
      <c r="X677" s="2289">
        <f t="shared" si="208"/>
        <v>10025.377717815505</v>
      </c>
    </row>
    <row r="678" spans="1:24">
      <c r="B678" s="2290" t="s">
        <v>655</v>
      </c>
      <c r="C678" s="2291">
        <f t="shared" si="207"/>
        <v>163345.51848045687</v>
      </c>
      <c r="D678" s="2291">
        <f>('IS(FY)'!M13)/1000</f>
        <v>0</v>
      </c>
      <c r="E678" s="2291">
        <f>('IS(FY)'!N13)/1000</f>
        <v>7005.428644640625</v>
      </c>
      <c r="F678" s="2291">
        <f>('IS(FY)'!O13)/1000</f>
        <v>7409.3734719406266</v>
      </c>
      <c r="G678" s="2291">
        <f>('IS(FY)'!P13)/1000</f>
        <v>7164.5004947566404</v>
      </c>
      <c r="H678" s="2292">
        <f>('IS(FY)'!Q13)/1000</f>
        <v>7578.5439427391393</v>
      </c>
      <c r="I678" s="2292">
        <f>('IS(FY)'!R13)/1000</f>
        <v>7669.2247186339928</v>
      </c>
      <c r="J678" s="2292">
        <f>('IS(FY)'!S13)/1000</f>
        <v>2739.6776321080069</v>
      </c>
      <c r="K678" s="2292">
        <f>('IS(FY)'!T13)/1000</f>
        <v>8139.4347720645619</v>
      </c>
      <c r="L678" s="2292">
        <f>('IS(FY)'!U13)/1000</f>
        <v>8367.1630867687818</v>
      </c>
      <c r="M678" s="2292">
        <f>('IS(FY)'!V13)/1000</f>
        <v>8352.8106822273803</v>
      </c>
      <c r="N678" s="2292">
        <f>('IS(FY)'!W13)/1000</f>
        <v>8576.3421639380012</v>
      </c>
      <c r="O678" s="2292">
        <f>('IS(FY)'!X13)/1000</f>
        <v>8561.6309492830642</v>
      </c>
      <c r="P678" s="2292">
        <f>('IS(FY)'!Y13)/1000</f>
        <v>8790.7507180364501</v>
      </c>
      <c r="Q678" s="2292">
        <f>('IS(FY)'!Z13)/1000</f>
        <v>8775.6717230151389</v>
      </c>
      <c r="R678" s="2292">
        <f>('IS(FY)'!AA13)/1000</f>
        <v>9010.5194859873627</v>
      </c>
      <c r="S678" s="2292">
        <f>('IS(FY)'!AB13)/1000</f>
        <v>8995.0635160905185</v>
      </c>
      <c r="T678" s="2292">
        <f>('IS(FY)'!AC13)/1000</f>
        <v>9014.8436325296716</v>
      </c>
      <c r="U678" s="2292">
        <f>('IS(FY)'!AD13)/1000</f>
        <v>9123.7878853786387</v>
      </c>
      <c r="V678" s="2292">
        <f>('IS(FY)'!AE13)/1000</f>
        <v>9243.1587087036187</v>
      </c>
      <c r="W678" s="2292">
        <f>('IS(FY)'!AF13)/1000</f>
        <v>9353.354575193458</v>
      </c>
      <c r="X678" s="2292">
        <f>('IS(FY)'!AG13)/1000</f>
        <v>9474.2376764212058</v>
      </c>
    </row>
    <row r="679" spans="1:24">
      <c r="B679" s="2293" t="s">
        <v>64</v>
      </c>
      <c r="C679" s="2294">
        <f t="shared" si="207"/>
        <v>8636.6643042394644</v>
      </c>
      <c r="D679" s="2294">
        <f>('IS(FY)'!M14)/1000</f>
        <v>0</v>
      </c>
      <c r="E679" s="2294">
        <f>('IS(FY)'!N14)/1000</f>
        <v>387.42205762265621</v>
      </c>
      <c r="F679" s="2294">
        <f>('IS(FY)'!O14)/1000</f>
        <v>391.93283016843759</v>
      </c>
      <c r="G679" s="2294">
        <f>('IS(FY)'!P14)/1000</f>
        <v>396.12410706322254</v>
      </c>
      <c r="H679" s="2295">
        <f>('IS(FY)'!Q14)/1000</f>
        <v>400.74764892264841</v>
      </c>
      <c r="I679" s="2295">
        <f>('IS(FY)'!R14)/1000</f>
        <v>405.04370773980327</v>
      </c>
      <c r="J679" s="2295">
        <f>('IS(FY)'!S14)/1000</f>
        <v>409.78283814571461</v>
      </c>
      <c r="K679" s="2295">
        <f>('IS(FY)'!T14)/1000</f>
        <v>414.18629843329825</v>
      </c>
      <c r="L679" s="2295">
        <f>('IS(FY)'!U14)/1000</f>
        <v>419.04390709935745</v>
      </c>
      <c r="M679" s="2295">
        <f>('IS(FY)'!V14)/1000</f>
        <v>423.55745389413067</v>
      </c>
      <c r="N679" s="2295">
        <f>('IS(FY)'!W14)/1000</f>
        <v>428.53650277684142</v>
      </c>
      <c r="O679" s="2295">
        <f>('IS(FY)'!X14)/1000</f>
        <v>433.16288824148393</v>
      </c>
      <c r="P679" s="2295">
        <f>('IS(FY)'!Y14)/1000</f>
        <v>438.26641334626231</v>
      </c>
      <c r="Q679" s="2295">
        <f>('IS(FY)'!Z14)/1000</f>
        <v>443.00845844752092</v>
      </c>
      <c r="R679" s="2295">
        <f>('IS(FY)'!AA14)/1000</f>
        <v>448.23957167991892</v>
      </c>
      <c r="S679" s="2295">
        <f>('IS(FY)'!AB14)/1000</f>
        <v>453.10016790870895</v>
      </c>
      <c r="T679" s="2295">
        <f>('IS(FY)'!AC14)/1000</f>
        <v>458.45094633413419</v>
      </c>
      <c r="U679" s="2295">
        <f>('IS(FY)'!AD14)/1000</f>
        <v>463.42955875582095</v>
      </c>
      <c r="V679" s="2295">
        <f>('IS(FY)'!AE14)/1000</f>
        <v>468.92871799248724</v>
      </c>
      <c r="W679" s="2295">
        <f>('IS(FY)'!AF14)/1000</f>
        <v>474.0317957247164</v>
      </c>
      <c r="X679" s="2295">
        <f>('IS(FY)'!AG14)/1000</f>
        <v>479.6684339422996</v>
      </c>
    </row>
    <row r="680" spans="1:24" ht="12.75" thickBot="1">
      <c r="B680" s="2296" t="s">
        <v>1672</v>
      </c>
      <c r="C680" s="2297">
        <f t="shared" si="207"/>
        <v>1429.4321490399993</v>
      </c>
      <c r="D680" s="2297">
        <f>('IS(FY)'!M15)/1000</f>
        <v>0</v>
      </c>
      <c r="E680" s="2297">
        <f>('IS(FY)'!N15)/1000</f>
        <v>71.471607452000001</v>
      </c>
      <c r="F680" s="2297">
        <f>('IS(FY)'!O15)/1000</f>
        <v>71.471607452000001</v>
      </c>
      <c r="G680" s="2297">
        <f>('IS(FY)'!P15)/1000</f>
        <v>71.471607452000001</v>
      </c>
      <c r="H680" s="2298">
        <f>('IS(FY)'!Q15)/1000</f>
        <v>71.471607452000001</v>
      </c>
      <c r="I680" s="2298">
        <f>('IS(FY)'!R15)/1000</f>
        <v>71.471607452000001</v>
      </c>
      <c r="J680" s="2298">
        <f>('IS(FY)'!S15)/1000</f>
        <v>71.471607452000001</v>
      </c>
      <c r="K680" s="2298">
        <f>('IS(FY)'!T15)/1000</f>
        <v>71.471607452000001</v>
      </c>
      <c r="L680" s="2298">
        <f>('IS(FY)'!U15)/1000</f>
        <v>71.471607452000001</v>
      </c>
      <c r="M680" s="2298">
        <f>('IS(FY)'!V15)/1000</f>
        <v>71.471607452000001</v>
      </c>
      <c r="N680" s="2298">
        <f>('IS(FY)'!W15)/1000</f>
        <v>71.471607452000001</v>
      </c>
      <c r="O680" s="2298">
        <f>('IS(FY)'!X15)/1000</f>
        <v>71.471607452000001</v>
      </c>
      <c r="P680" s="2298">
        <f>('IS(FY)'!Y15)/1000</f>
        <v>71.471607452000001</v>
      </c>
      <c r="Q680" s="2298">
        <f>('IS(FY)'!Z15)/1000</f>
        <v>71.471607452000001</v>
      </c>
      <c r="R680" s="2298">
        <f>('IS(FY)'!AA15)/1000</f>
        <v>71.471607452000001</v>
      </c>
      <c r="S680" s="2298">
        <f>('IS(FY)'!AB15)/1000</f>
        <v>71.471607452000001</v>
      </c>
      <c r="T680" s="2298">
        <f>('IS(FY)'!AC15)/1000</f>
        <v>71.471607452000001</v>
      </c>
      <c r="U680" s="2298">
        <f>('IS(FY)'!AD15)/1000</f>
        <v>71.471607452000001</v>
      </c>
      <c r="V680" s="2298">
        <f>('IS(FY)'!AE15)/1000</f>
        <v>71.471607452000001</v>
      </c>
      <c r="W680" s="2298">
        <f>('IS(FY)'!AF15)/1000</f>
        <v>71.471607452000001</v>
      </c>
      <c r="X680" s="2298">
        <f>('IS(FY)'!AG15)/1000</f>
        <v>71.471607452000001</v>
      </c>
    </row>
    <row r="681" spans="1:24" ht="12.75" thickBot="1">
      <c r="B681" s="2287" t="s">
        <v>1211</v>
      </c>
      <c r="C681" s="2288">
        <f t="shared" si="207"/>
        <v>23206.747133190525</v>
      </c>
      <c r="D681" s="2288">
        <f t="shared" ref="D681:X681" si="209">SUM(D682:D690)</f>
        <v>0</v>
      </c>
      <c r="E681" s="2288">
        <f t="shared" si="209"/>
        <v>1121.3043037648999</v>
      </c>
      <c r="F681" s="2288">
        <f t="shared" si="209"/>
        <v>1110.4309337648999</v>
      </c>
      <c r="G681" s="2288">
        <f t="shared" si="209"/>
        <v>1110.5365112604759</v>
      </c>
      <c r="H681" s="2289">
        <f t="shared" si="209"/>
        <v>1110.5365112604759</v>
      </c>
      <c r="I681" s="2289">
        <f t="shared" si="209"/>
        <v>1111.0423401687135</v>
      </c>
      <c r="J681" s="2289">
        <f t="shared" si="209"/>
        <v>1179.4407326908827</v>
      </c>
      <c r="K681" s="2289">
        <f t="shared" si="209"/>
        <v>1155.1458430253533</v>
      </c>
      <c r="L681" s="2289">
        <f t="shared" si="209"/>
        <v>1112.5074569877695</v>
      </c>
      <c r="M681" s="2289">
        <f t="shared" si="209"/>
        <v>1113.2568268254372</v>
      </c>
      <c r="N681" s="2289">
        <f t="shared" si="209"/>
        <v>1113.2568268254372</v>
      </c>
      <c r="O681" s="2289">
        <f t="shared" si="209"/>
        <v>1114.9669000626327</v>
      </c>
      <c r="P681" s="2289">
        <f t="shared" si="209"/>
        <v>1114.9669000626327</v>
      </c>
      <c r="Q681" s="2289">
        <f t="shared" si="209"/>
        <v>1117.0800563304317</v>
      </c>
      <c r="R681" s="2289">
        <f t="shared" si="209"/>
        <v>1117.0800563304317</v>
      </c>
      <c r="S681" s="2289">
        <f t="shared" si="209"/>
        <v>1119.597383104373</v>
      </c>
      <c r="T681" s="2289">
        <f t="shared" si="209"/>
        <v>1797.1356565365181</v>
      </c>
      <c r="U681" s="2289">
        <f t="shared" si="209"/>
        <v>1213.610495282112</v>
      </c>
      <c r="V681" s="2289">
        <f t="shared" si="209"/>
        <v>1123.1520749693775</v>
      </c>
      <c r="W681" s="2289">
        <f t="shared" si="209"/>
        <v>1125.8496619688376</v>
      </c>
      <c r="X681" s="2289">
        <f t="shared" si="209"/>
        <v>1125.8496619688376</v>
      </c>
    </row>
    <row r="682" spans="1:24">
      <c r="B682" s="2290" t="s">
        <v>73</v>
      </c>
      <c r="C682" s="2291">
        <f t="shared" si="207"/>
        <v>642.16330010059983</v>
      </c>
      <c r="D682" s="2291">
        <f>('IS(FY)'!M21)/1000</f>
        <v>0</v>
      </c>
      <c r="E682" s="2291">
        <f>('IS(FY)'!N21)/1000</f>
        <v>30</v>
      </c>
      <c r="F682" s="2291">
        <f>('IS(FY)'!O21)/1000</f>
        <v>30</v>
      </c>
      <c r="G682" s="2291">
        <f>('IS(FY)'!P21)/1000</f>
        <v>30.449999999999996</v>
      </c>
      <c r="H682" s="2292">
        <f>('IS(FY)'!Q21)/1000</f>
        <v>30.449999999999996</v>
      </c>
      <c r="I682" s="2292">
        <f>('IS(FY)'!R21)/1000</f>
        <v>30.906749999999992</v>
      </c>
      <c r="J682" s="2292">
        <f>('IS(FY)'!S21)/1000</f>
        <v>30.906749999999992</v>
      </c>
      <c r="K682" s="2292">
        <f>('IS(FY)'!T21)/1000</f>
        <v>31.370351249999988</v>
      </c>
      <c r="L682" s="2292">
        <f>('IS(FY)'!U21)/1000</f>
        <v>31.370351249999988</v>
      </c>
      <c r="M682" s="2292">
        <f>('IS(FY)'!V21)/1000</f>
        <v>31.840906518749982</v>
      </c>
      <c r="N682" s="2292">
        <f>('IS(FY)'!W21)/1000</f>
        <v>31.840906518749982</v>
      </c>
      <c r="O682" s="2292">
        <f>('IS(FY)'!X21)/1000</f>
        <v>32.318520116531225</v>
      </c>
      <c r="P682" s="2292">
        <f>('IS(FY)'!Y21)/1000</f>
        <v>32.318520116531225</v>
      </c>
      <c r="Q682" s="2292">
        <f>('IS(FY)'!Z21)/1000</f>
        <v>32.803297918279192</v>
      </c>
      <c r="R682" s="2292">
        <f>('IS(FY)'!AA21)/1000</f>
        <v>32.803297918279192</v>
      </c>
      <c r="S682" s="2292">
        <f>('IS(FY)'!AB21)/1000</f>
        <v>33.295347387053368</v>
      </c>
      <c r="T682" s="2292">
        <f>('IS(FY)'!AC21)/1000</f>
        <v>33.295347387053368</v>
      </c>
      <c r="U682" s="2292">
        <f>('IS(FY)'!AD21)/1000</f>
        <v>33.794777597859174</v>
      </c>
      <c r="V682" s="2292">
        <f>('IS(FY)'!AE21)/1000</f>
        <v>33.794777597859174</v>
      </c>
      <c r="W682" s="2292">
        <f>('IS(FY)'!AF21)/1000</f>
        <v>34.301699261827054</v>
      </c>
      <c r="X682" s="2292">
        <f>('IS(FY)'!AG21)/1000</f>
        <v>34.301699261827054</v>
      </c>
    </row>
    <row r="683" spans="1:24">
      <c r="B683" s="2293" t="s">
        <v>75</v>
      </c>
      <c r="C683" s="2294">
        <f t="shared" si="207"/>
        <v>6974.9803358780373</v>
      </c>
      <c r="D683" s="2294">
        <f>('IS(FY)'!M22)/1000</f>
        <v>0</v>
      </c>
      <c r="E683" s="2294">
        <f>('IS(FY)'!N22)/1000</f>
        <v>318.50036800229998</v>
      </c>
      <c r="F683" s="2294">
        <f>('IS(FY)'!O22)/1000</f>
        <v>318.50036800229998</v>
      </c>
      <c r="G683" s="2294">
        <f>('IS(FY)'!P22)/1000</f>
        <v>324.87037536234595</v>
      </c>
      <c r="H683" s="2295">
        <f>('IS(FY)'!Q22)/1000</f>
        <v>324.87037536234595</v>
      </c>
      <c r="I683" s="2295">
        <f>('IS(FY)'!R22)/1000</f>
        <v>331.36778286959287</v>
      </c>
      <c r="J683" s="2295">
        <f>('IS(FY)'!S22)/1000</f>
        <v>331.36778286959287</v>
      </c>
      <c r="K683" s="2295">
        <f>('IS(FY)'!T22)/1000</f>
        <v>337.9951385269847</v>
      </c>
      <c r="L683" s="2295">
        <f>('IS(FY)'!U22)/1000</f>
        <v>337.9951385269847</v>
      </c>
      <c r="M683" s="2295">
        <f>('IS(FY)'!V22)/1000</f>
        <v>344.75504129752437</v>
      </c>
      <c r="N683" s="2295">
        <f>('IS(FY)'!W22)/1000</f>
        <v>344.75504129752437</v>
      </c>
      <c r="O683" s="2295">
        <f>('IS(FY)'!X22)/1000</f>
        <v>351.65014212347489</v>
      </c>
      <c r="P683" s="2295">
        <f>('IS(FY)'!Y22)/1000</f>
        <v>351.65014212347489</v>
      </c>
      <c r="Q683" s="2295">
        <f>('IS(FY)'!Z22)/1000</f>
        <v>358.68314496594439</v>
      </c>
      <c r="R683" s="2295">
        <f>('IS(FY)'!AA22)/1000</f>
        <v>358.68314496594439</v>
      </c>
      <c r="S683" s="2295">
        <f>('IS(FY)'!AB22)/1000</f>
        <v>365.85680786526331</v>
      </c>
      <c r="T683" s="2295">
        <f>('IS(FY)'!AC22)/1000</f>
        <v>365.85680786526331</v>
      </c>
      <c r="U683" s="2295">
        <f>('IS(FY)'!AD22)/1000</f>
        <v>373.17394402256861</v>
      </c>
      <c r="V683" s="2295">
        <f>('IS(FY)'!AE22)/1000</f>
        <v>373.17394402256861</v>
      </c>
      <c r="W683" s="2295">
        <f>('IS(FY)'!AF22)/1000</f>
        <v>380.63742290301985</v>
      </c>
      <c r="X683" s="2295">
        <f>('IS(FY)'!AG22)/1000</f>
        <v>380.63742290301985</v>
      </c>
    </row>
    <row r="684" spans="1:24" hidden="1">
      <c r="B684" s="2293" t="s">
        <v>80</v>
      </c>
      <c r="C684" s="2294">
        <f t="shared" si="207"/>
        <v>0</v>
      </c>
      <c r="D684" s="2294">
        <f>('IS(FY)'!M24)/1000</f>
        <v>0</v>
      </c>
      <c r="E684" s="2294">
        <f>('IS(FY)'!N24)/1000</f>
        <v>0</v>
      </c>
      <c r="F684" s="2294">
        <f>('IS(FY)'!O24)/1000</f>
        <v>0</v>
      </c>
      <c r="G684" s="2294">
        <f>('IS(FY)'!P24)/1000</f>
        <v>0</v>
      </c>
      <c r="H684" s="2295">
        <f>('IS(FY)'!Q24)/1000</f>
        <v>0</v>
      </c>
      <c r="I684" s="2295">
        <f>('IS(FY)'!R24)/1000</f>
        <v>0</v>
      </c>
      <c r="J684" s="2295">
        <f>('IS(FY)'!S24)/1000</f>
        <v>0</v>
      </c>
      <c r="K684" s="2295">
        <f>('IS(FY)'!T24)/1000</f>
        <v>0</v>
      </c>
      <c r="L684" s="2295">
        <f>('IS(FY)'!U24)/1000</f>
        <v>0</v>
      </c>
      <c r="M684" s="2295">
        <f>('IS(FY)'!V24)/1000</f>
        <v>0</v>
      </c>
      <c r="N684" s="2295">
        <f>('IS(FY)'!W24)/1000</f>
        <v>0</v>
      </c>
      <c r="O684" s="2295">
        <f>('IS(FY)'!X24)/1000</f>
        <v>0</v>
      </c>
      <c r="P684" s="2295">
        <f>('IS(FY)'!Y24)/1000</f>
        <v>0</v>
      </c>
      <c r="Q684" s="2295">
        <f>('IS(FY)'!Z24)/1000</f>
        <v>0</v>
      </c>
      <c r="R684" s="2295">
        <f>('IS(FY)'!AA24)/1000</f>
        <v>0</v>
      </c>
      <c r="S684" s="2295">
        <f>('IS(FY)'!AB24)/1000</f>
        <v>0</v>
      </c>
      <c r="T684" s="2295">
        <f>('IS(FY)'!AC24)/1000</f>
        <v>0</v>
      </c>
      <c r="U684" s="2295">
        <f>('IS(FY)'!AD24)/1000</f>
        <v>0</v>
      </c>
      <c r="V684" s="2295">
        <f>('IS(FY)'!AE24)/1000</f>
        <v>0</v>
      </c>
      <c r="W684" s="2295">
        <f>('IS(FY)'!AF24)/1000</f>
        <v>0</v>
      </c>
      <c r="X684" s="2295">
        <f>('IS(FY)'!AG24)/1000</f>
        <v>0</v>
      </c>
    </row>
    <row r="685" spans="1:24">
      <c r="B685" s="2293" t="s">
        <v>83</v>
      </c>
      <c r="C685" s="2294">
        <f t="shared" si="207"/>
        <v>6789.2028330659668</v>
      </c>
      <c r="D685" s="2294">
        <f>('IS(FY)'!M25)/1000</f>
        <v>0</v>
      </c>
      <c r="E685" s="2294">
        <f>('IS(FY)'!N25)/1000</f>
        <v>371.14235000000002</v>
      </c>
      <c r="F685" s="2294">
        <f>('IS(FY)'!O25)/1000</f>
        <v>371.14235000000002</v>
      </c>
      <c r="G685" s="2294">
        <f>('IS(FY)'!P25)/1000</f>
        <v>363.71950300000003</v>
      </c>
      <c r="H685" s="2295">
        <f>('IS(FY)'!Q25)/1000</f>
        <v>363.71950300000003</v>
      </c>
      <c r="I685" s="2295">
        <f>('IS(FY)'!R25)/1000</f>
        <v>356.44511294</v>
      </c>
      <c r="J685" s="2295">
        <f>('IS(FY)'!S25)/1000</f>
        <v>356.44511294</v>
      </c>
      <c r="K685" s="2295">
        <f>('IS(FY)'!T25)/1000</f>
        <v>349.3162106812</v>
      </c>
      <c r="L685" s="2295">
        <f>('IS(FY)'!U25)/1000</f>
        <v>349.3162106812</v>
      </c>
      <c r="M685" s="2295">
        <f>('IS(FY)'!V25)/1000</f>
        <v>342.32988646757599</v>
      </c>
      <c r="N685" s="2295">
        <f>('IS(FY)'!W25)/1000</f>
        <v>342.32988646757599</v>
      </c>
      <c r="O685" s="2295">
        <f>('IS(FY)'!X25)/1000</f>
        <v>335.48328873822447</v>
      </c>
      <c r="P685" s="2295">
        <f>('IS(FY)'!Y25)/1000</f>
        <v>335.48328873822447</v>
      </c>
      <c r="Q685" s="2295">
        <f>('IS(FY)'!Z25)/1000</f>
        <v>328.77362296346001</v>
      </c>
      <c r="R685" s="2295">
        <f>('IS(FY)'!AA25)/1000</f>
        <v>328.77362296346001</v>
      </c>
      <c r="S685" s="2295">
        <f>('IS(FY)'!AB25)/1000</f>
        <v>322.19815050419083</v>
      </c>
      <c r="T685" s="2295">
        <f>('IS(FY)'!AC25)/1000</f>
        <v>322.19815050419083</v>
      </c>
      <c r="U685" s="2295">
        <f>('IS(FY)'!AD25)/1000</f>
        <v>315.75418749410693</v>
      </c>
      <c r="V685" s="2295">
        <f>('IS(FY)'!AE25)/1000</f>
        <v>315.75418749410693</v>
      </c>
      <c r="W685" s="2295">
        <f>('IS(FY)'!AF25)/1000</f>
        <v>309.43910374422484</v>
      </c>
      <c r="X685" s="2295">
        <f>('IS(FY)'!AG25)/1000</f>
        <v>309.43910374422484</v>
      </c>
    </row>
    <row r="686" spans="1:24">
      <c r="B686" s="2293" t="s">
        <v>78</v>
      </c>
      <c r="C686" s="2294">
        <f t="shared" si="207"/>
        <v>341.53875420512708</v>
      </c>
      <c r="D686" s="2294">
        <f>('IS(FY)'!M23)/1000</f>
        <v>0</v>
      </c>
      <c r="E686" s="2294">
        <f>('IS(FY)'!N23)/1000</f>
        <v>15.595774276499998</v>
      </c>
      <c r="F686" s="2294">
        <f>('IS(FY)'!O23)/1000</f>
        <v>15.595774276499998</v>
      </c>
      <c r="G686" s="2294">
        <f>('IS(FY)'!P23)/1000</f>
        <v>15.907689762029998</v>
      </c>
      <c r="H686" s="2295">
        <f>('IS(FY)'!Q23)/1000</f>
        <v>15.907689762029998</v>
      </c>
      <c r="I686" s="2295">
        <f>('IS(FY)'!R23)/1000</f>
        <v>16.225843557270597</v>
      </c>
      <c r="J686" s="2295">
        <f>('IS(FY)'!S23)/1000</f>
        <v>16.225843557270597</v>
      </c>
      <c r="K686" s="2295">
        <f>('IS(FY)'!T23)/1000</f>
        <v>16.55036042841601</v>
      </c>
      <c r="L686" s="2295">
        <f>('IS(FY)'!U23)/1000</f>
        <v>16.55036042841601</v>
      </c>
      <c r="M686" s="2295">
        <f>('IS(FY)'!V23)/1000</f>
        <v>16.881367636984329</v>
      </c>
      <c r="N686" s="2295">
        <f>('IS(FY)'!W23)/1000</f>
        <v>16.881367636984329</v>
      </c>
      <c r="O686" s="2295">
        <f>('IS(FY)'!X23)/1000</f>
        <v>17.218994989724017</v>
      </c>
      <c r="P686" s="2295">
        <f>('IS(FY)'!Y23)/1000</f>
        <v>17.218994989724017</v>
      </c>
      <c r="Q686" s="2295">
        <f>('IS(FY)'!Z23)/1000</f>
        <v>17.563374889518499</v>
      </c>
      <c r="R686" s="2295">
        <f>('IS(FY)'!AA23)/1000</f>
        <v>17.563374889518499</v>
      </c>
      <c r="S686" s="2295">
        <f>('IS(FY)'!AB23)/1000</f>
        <v>17.914642387308866</v>
      </c>
      <c r="T686" s="2295">
        <f>('IS(FY)'!AC23)/1000</f>
        <v>17.914642387308866</v>
      </c>
      <c r="U686" s="2295">
        <f>('IS(FY)'!AD23)/1000</f>
        <v>18.272935235055044</v>
      </c>
      <c r="V686" s="2295">
        <f>('IS(FY)'!AE23)/1000</f>
        <v>18.272935235055044</v>
      </c>
      <c r="W686" s="2295">
        <f>('IS(FY)'!AF23)/1000</f>
        <v>18.638393939756146</v>
      </c>
      <c r="X686" s="2295">
        <f>('IS(FY)'!AG23)/1000</f>
        <v>18.638393939756146</v>
      </c>
    </row>
    <row r="687" spans="1:24">
      <c r="B687" s="2293" t="s">
        <v>1539</v>
      </c>
      <c r="C687" s="2294">
        <f t="shared" si="207"/>
        <v>208.94832972199998</v>
      </c>
      <c r="D687" s="2294">
        <f>('IS(FY)'!M30)/1000</f>
        <v>0</v>
      </c>
      <c r="E687" s="2294">
        <f>('IS(FY)'!N30)/1000</f>
        <v>10.447416486100002</v>
      </c>
      <c r="F687" s="2294">
        <f>('IS(FY)'!O30)/1000</f>
        <v>10.447416486100002</v>
      </c>
      <c r="G687" s="2294">
        <f>('IS(FY)'!P30)/1000</f>
        <v>10.447416486100002</v>
      </c>
      <c r="H687" s="2295">
        <f>('IS(FY)'!Q30)/1000</f>
        <v>10.447416486100002</v>
      </c>
      <c r="I687" s="2295">
        <f>('IS(FY)'!R30)/1000</f>
        <v>10.447416486100002</v>
      </c>
      <c r="J687" s="2295">
        <f>('IS(FY)'!S30)/1000</f>
        <v>10.447416486100002</v>
      </c>
      <c r="K687" s="2295">
        <f>('IS(FY)'!T30)/1000</f>
        <v>10.447416486100002</v>
      </c>
      <c r="L687" s="2295">
        <f>('IS(FY)'!U30)/1000</f>
        <v>10.447416486100002</v>
      </c>
      <c r="M687" s="2295">
        <f>('IS(FY)'!V30)/1000</f>
        <v>10.447416486100002</v>
      </c>
      <c r="N687" s="2295">
        <f>('IS(FY)'!W30)/1000</f>
        <v>10.447416486100002</v>
      </c>
      <c r="O687" s="2295">
        <f>('IS(FY)'!X30)/1000</f>
        <v>10.447416486100002</v>
      </c>
      <c r="P687" s="2295">
        <f>('IS(FY)'!Y30)/1000</f>
        <v>10.447416486100002</v>
      </c>
      <c r="Q687" s="2295">
        <f>('IS(FY)'!Z30)/1000</f>
        <v>10.447416486100002</v>
      </c>
      <c r="R687" s="2295">
        <f>('IS(FY)'!AA30)/1000</f>
        <v>10.447416486100002</v>
      </c>
      <c r="S687" s="2295">
        <f>('IS(FY)'!AB30)/1000</f>
        <v>10.447416486100002</v>
      </c>
      <c r="T687" s="2295">
        <f>('IS(FY)'!AC30)/1000</f>
        <v>10.447416486100002</v>
      </c>
      <c r="U687" s="2295">
        <f>('IS(FY)'!AD30)/1000</f>
        <v>10.447416486100002</v>
      </c>
      <c r="V687" s="2295">
        <f>('IS(FY)'!AE30)/1000</f>
        <v>10.447416486100002</v>
      </c>
      <c r="W687" s="2295">
        <f>('IS(FY)'!AF30)/1000</f>
        <v>10.447416486100002</v>
      </c>
      <c r="X687" s="2295">
        <f>('IS(FY)'!AG30)/1000</f>
        <v>10.447416486100002</v>
      </c>
    </row>
    <row r="688" spans="1:24">
      <c r="B688" s="2293" t="s">
        <v>658</v>
      </c>
      <c r="C688" s="2294">
        <f t="shared" si="207"/>
        <v>7357.6257177690059</v>
      </c>
      <c r="D688" s="2294">
        <f>SUM('IS(FY)'!M26:M29)/1000</f>
        <v>0</v>
      </c>
      <c r="E688" s="2294">
        <f>SUM('IS(FY)'!N26:N29)/1000</f>
        <v>364.745025</v>
      </c>
      <c r="F688" s="2294">
        <f>SUM('IS(FY)'!O26:O29)/1000</f>
        <v>364.745025</v>
      </c>
      <c r="G688" s="2294">
        <f>SUM('IS(FY)'!P26:P29)/1000</f>
        <v>365.14152665</v>
      </c>
      <c r="H688" s="2295">
        <f>SUM('IS(FY)'!Q26:Q29)/1000</f>
        <v>365.14152665</v>
      </c>
      <c r="I688" s="2295">
        <f>SUM('IS(FY)'!R26:R29)/1000</f>
        <v>365.64943431575</v>
      </c>
      <c r="J688" s="2295">
        <f>SUM('IS(FY)'!S26:S29)/1000</f>
        <v>365.64943431575</v>
      </c>
      <c r="K688" s="2295">
        <f>SUM('IS(FY)'!T26:T29)/1000</f>
        <v>366.26942397782369</v>
      </c>
      <c r="L688" s="2295">
        <f>SUM('IS(FY)'!U26:U29)/1000</f>
        <v>366.26942397782369</v>
      </c>
      <c r="M688" s="2295">
        <f>SUM('IS(FY)'!V26:V29)/1000</f>
        <v>367.00220841850256</v>
      </c>
      <c r="N688" s="2295">
        <f>SUM('IS(FY)'!W26:W29)/1000</f>
        <v>367.00220841850256</v>
      </c>
      <c r="O688" s="2295">
        <f>SUM('IS(FY)'!X26:X29)/1000</f>
        <v>367.84853760857823</v>
      </c>
      <c r="P688" s="2295">
        <f>SUM('IS(FY)'!Y26:Y29)/1000</f>
        <v>367.84853760857823</v>
      </c>
      <c r="Q688" s="2295">
        <f>SUM('IS(FY)'!Z26:Z29)/1000</f>
        <v>368.8091991071297</v>
      </c>
      <c r="R688" s="2295">
        <f>SUM('IS(FY)'!AA26:AA29)/1000</f>
        <v>368.8091991071297</v>
      </c>
      <c r="S688" s="2295">
        <f>SUM('IS(FY)'!AB26:AB29)/1000</f>
        <v>369.8850184744565</v>
      </c>
      <c r="T688" s="2295">
        <f>SUM('IS(FY)'!AC26:AC29)/1000</f>
        <v>369.8850184744565</v>
      </c>
      <c r="U688" s="2295">
        <f>SUM('IS(FY)'!AD26:AD29)/1000</f>
        <v>371.07685969835217</v>
      </c>
      <c r="V688" s="2295">
        <f>SUM('IS(FY)'!AE26:AE29)/1000</f>
        <v>371.07685969835217</v>
      </c>
      <c r="W688" s="2295">
        <f>SUM('IS(FY)'!AF26:AF29)/1000</f>
        <v>372.38562563390963</v>
      </c>
      <c r="X688" s="2295">
        <f>SUM('IS(FY)'!AG26:AG29)/1000</f>
        <v>372.38562563390963</v>
      </c>
    </row>
    <row r="689" spans="2:24" ht="12.75" thickBot="1">
      <c r="B689" s="2293" t="s">
        <v>468</v>
      </c>
      <c r="C689" s="2294">
        <f t="shared" si="207"/>
        <v>892.28786244979415</v>
      </c>
      <c r="D689" s="2294">
        <f>('IS(FY)'!M31)/1000</f>
        <v>0</v>
      </c>
      <c r="E689" s="2294">
        <f>('IS(FY)'!N31)/1000</f>
        <v>10.87337</v>
      </c>
      <c r="F689" s="2294">
        <f>('IS(FY)'!O31)/1000</f>
        <v>0</v>
      </c>
      <c r="G689" s="2294">
        <f>('IS(FY)'!P31)/1000</f>
        <v>0</v>
      </c>
      <c r="H689" s="2295">
        <f>('IS(FY)'!Q31)/1000</f>
        <v>0</v>
      </c>
      <c r="I689" s="2295">
        <f>('IS(FY)'!R31)/1000</f>
        <v>0</v>
      </c>
      <c r="J689" s="2295">
        <f>('IS(FY)'!S31)/1000</f>
        <v>68.398392522169118</v>
      </c>
      <c r="K689" s="2295">
        <f>('IS(FY)'!T31)/1000</f>
        <v>43.196941674829176</v>
      </c>
      <c r="L689" s="2295">
        <f>('IS(FY)'!U31)/1000</f>
        <v>0.55855563724519308</v>
      </c>
      <c r="M689" s="2295">
        <f>('IS(FY)'!V31)/1000</f>
        <v>0</v>
      </c>
      <c r="N689" s="2295">
        <f>('IS(FY)'!W31)/1000</f>
        <v>0</v>
      </c>
      <c r="O689" s="2295">
        <f>('IS(FY)'!X31)/1000</f>
        <v>0</v>
      </c>
      <c r="P689" s="2295">
        <f>('IS(FY)'!Y31)/1000</f>
        <v>0</v>
      </c>
      <c r="Q689" s="2295">
        <f>('IS(FY)'!Z31)/1000</f>
        <v>0</v>
      </c>
      <c r="R689" s="2295">
        <f>('IS(FY)'!AA31)/1000</f>
        <v>0</v>
      </c>
      <c r="S689" s="2295">
        <f>('IS(FY)'!AB31)/1000</f>
        <v>0</v>
      </c>
      <c r="T689" s="2295">
        <f>('IS(FY)'!AC31)/1000</f>
        <v>677.53827343214505</v>
      </c>
      <c r="U689" s="2295">
        <f>('IS(FY)'!AD31)/1000</f>
        <v>91.09037474806992</v>
      </c>
      <c r="V689" s="2295">
        <f>('IS(FY)'!AE31)/1000</f>
        <v>0.63195443533556805</v>
      </c>
      <c r="W689" s="2295">
        <f>('IS(FY)'!AF31)/1000</f>
        <v>0</v>
      </c>
      <c r="X689" s="2295">
        <f>('IS(FY)'!AG31)/1000</f>
        <v>0</v>
      </c>
    </row>
    <row r="690" spans="2:24" ht="12.75" hidden="1" thickBot="1">
      <c r="B690" s="2296" t="s">
        <v>462</v>
      </c>
      <c r="C690" s="2297">
        <f t="shared" si="207"/>
        <v>0</v>
      </c>
      <c r="D690" s="2297">
        <v>0</v>
      </c>
      <c r="E690" s="2297">
        <v>0</v>
      </c>
      <c r="F690" s="2297">
        <v>0</v>
      </c>
      <c r="G690" s="2297">
        <v>0</v>
      </c>
      <c r="H690" s="2298">
        <v>0</v>
      </c>
      <c r="I690" s="2298">
        <v>0</v>
      </c>
      <c r="J690" s="2298">
        <v>0</v>
      </c>
      <c r="K690" s="2298">
        <v>0</v>
      </c>
      <c r="L690" s="2298">
        <v>0</v>
      </c>
      <c r="M690" s="2298">
        <v>0</v>
      </c>
      <c r="N690" s="2298">
        <v>0</v>
      </c>
      <c r="O690" s="2298">
        <v>0</v>
      </c>
      <c r="P690" s="2298">
        <v>0</v>
      </c>
      <c r="Q690" s="2298">
        <v>0</v>
      </c>
      <c r="R690" s="2298">
        <v>0</v>
      </c>
      <c r="S690" s="2298">
        <v>0</v>
      </c>
      <c r="T690" s="2298">
        <v>0</v>
      </c>
      <c r="U690" s="2298">
        <v>0</v>
      </c>
      <c r="V690" s="2298">
        <v>0</v>
      </c>
      <c r="W690" s="2298">
        <v>0</v>
      </c>
      <c r="X690" s="2298">
        <v>0</v>
      </c>
    </row>
    <row r="691" spans="2:24" ht="12.75" thickBot="1">
      <c r="B691" s="2287" t="s">
        <v>1475</v>
      </c>
      <c r="C691" s="2288">
        <f t="shared" si="207"/>
        <v>150204.86780054582</v>
      </c>
      <c r="D691" s="2288">
        <f t="shared" ref="D691:X691" si="210">D677-D681</f>
        <v>0</v>
      </c>
      <c r="E691" s="2288">
        <f t="shared" si="210"/>
        <v>6343.0180059503818</v>
      </c>
      <c r="F691" s="2288">
        <f t="shared" si="210"/>
        <v>6762.3469757961639</v>
      </c>
      <c r="G691" s="2288">
        <f t="shared" si="210"/>
        <v>6521.5596980113869</v>
      </c>
      <c r="H691" s="2289">
        <f t="shared" si="210"/>
        <v>6940.2266878533119</v>
      </c>
      <c r="I691" s="2289">
        <f t="shared" si="210"/>
        <v>7034.6976936570827</v>
      </c>
      <c r="J691" s="2289">
        <f t="shared" si="210"/>
        <v>2041.4913450148392</v>
      </c>
      <c r="K691" s="2289">
        <f t="shared" si="210"/>
        <v>7469.9468349245071</v>
      </c>
      <c r="L691" s="2289">
        <f t="shared" si="210"/>
        <v>7745.1711443323702</v>
      </c>
      <c r="M691" s="2289">
        <f t="shared" si="210"/>
        <v>7734.5829167480742</v>
      </c>
      <c r="N691" s="2289">
        <f t="shared" si="210"/>
        <v>7963.0934473414063</v>
      </c>
      <c r="O691" s="2289">
        <f t="shared" si="210"/>
        <v>7951.298544913916</v>
      </c>
      <c r="P691" s="2289">
        <f t="shared" si="210"/>
        <v>8185.5218387720797</v>
      </c>
      <c r="Q691" s="2289">
        <f t="shared" si="210"/>
        <v>8173.0717325842279</v>
      </c>
      <c r="R691" s="2289">
        <f t="shared" si="210"/>
        <v>8413.1506087888501</v>
      </c>
      <c r="S691" s="2289">
        <f t="shared" si="210"/>
        <v>8400.0379083468542</v>
      </c>
      <c r="T691" s="2289">
        <f t="shared" si="210"/>
        <v>7747.6305297792878</v>
      </c>
      <c r="U691" s="2289">
        <f t="shared" si="210"/>
        <v>8445.0785563043482</v>
      </c>
      <c r="V691" s="2289">
        <f t="shared" si="210"/>
        <v>8660.4069591787284</v>
      </c>
      <c r="W691" s="2289">
        <f t="shared" si="210"/>
        <v>8773.0083164013377</v>
      </c>
      <c r="X691" s="2289">
        <f t="shared" si="210"/>
        <v>8899.5280558466675</v>
      </c>
    </row>
    <row r="692" spans="2:24" ht="12.75" thickBot="1">
      <c r="B692" s="2287" t="s">
        <v>1504</v>
      </c>
      <c r="C692" s="2288">
        <f t="shared" ca="1" si="207"/>
        <v>-27859.809488026178</v>
      </c>
      <c r="D692" s="2288">
        <f t="shared" ref="D692:X692" si="211">SUM(D693:D698)</f>
        <v>0</v>
      </c>
      <c r="E692" s="2288">
        <f t="shared" ca="1" si="211"/>
        <v>-6813.4810333434853</v>
      </c>
      <c r="F692" s="2288">
        <f t="shared" ca="1" si="211"/>
        <v>-6668.8434999999999</v>
      </c>
      <c r="G692" s="2288">
        <f t="shared" ca="1" si="211"/>
        <v>-6668.8434999999999</v>
      </c>
      <c r="H692" s="2289">
        <f t="shared" ca="1" si="211"/>
        <v>-6668.8434999999999</v>
      </c>
      <c r="I692" s="2289">
        <f t="shared" ca="1" si="211"/>
        <v>-6820.8434999999999</v>
      </c>
      <c r="J692" s="2289">
        <f t="shared" ca="1" si="211"/>
        <v>-6820.8434999999999</v>
      </c>
      <c r="K692" s="2289">
        <f t="shared" ca="1" si="211"/>
        <v>-6820.8434999999999</v>
      </c>
      <c r="L692" s="2289">
        <f t="shared" ca="1" si="211"/>
        <v>-6820.8434999999999</v>
      </c>
      <c r="M692" s="2289">
        <f t="shared" ca="1" si="211"/>
        <v>-6820.8434999999999</v>
      </c>
      <c r="N692" s="2289">
        <f t="shared" ca="1" si="211"/>
        <v>-6820.8434999999999</v>
      </c>
      <c r="O692" s="2289">
        <f t="shared" ca="1" si="211"/>
        <v>-6501.3434999999999</v>
      </c>
      <c r="P692" s="2289">
        <f t="shared" ca="1" si="211"/>
        <v>-6501.3434999999999</v>
      </c>
      <c r="Q692" s="2289">
        <f t="shared" ca="1" si="211"/>
        <v>-6501.3434999999999</v>
      </c>
      <c r="R692" s="2289">
        <f t="shared" ca="1" si="211"/>
        <v>-6501.3434999999999</v>
      </c>
      <c r="S692" s="2289">
        <f t="shared" ca="1" si="211"/>
        <v>-6501.3434999999999</v>
      </c>
      <c r="T692" s="2289">
        <f t="shared" ca="1" si="211"/>
        <v>-6501.3434999999999</v>
      </c>
      <c r="U692" s="2289">
        <f t="shared" ca="1" si="211"/>
        <v>-6501.3434999999999</v>
      </c>
      <c r="V692" s="2289">
        <f t="shared" ca="1" si="211"/>
        <v>-6501.3434999999999</v>
      </c>
      <c r="W692" s="2289">
        <f t="shared" ca="1" si="211"/>
        <v>-6501.3434999999999</v>
      </c>
      <c r="X692" s="2289">
        <f t="shared" ca="1" si="211"/>
        <v>98397.354545317343</v>
      </c>
    </row>
    <row r="693" spans="2:24">
      <c r="B693" s="2290" t="s">
        <v>1021</v>
      </c>
      <c r="C693" s="2291">
        <f t="shared" ca="1" si="207"/>
        <v>0</v>
      </c>
      <c r="D693" s="2291">
        <f>('IS(FY)'!M38)/1000</f>
        <v>0</v>
      </c>
      <c r="E693" s="2291">
        <f ca="1">('IS(FY)'!N38)/1000</f>
        <v>0</v>
      </c>
      <c r="F693" s="2291">
        <f ca="1">('IS(FY)'!O38)/1000</f>
        <v>0</v>
      </c>
      <c r="G693" s="2291">
        <f ca="1">('IS(FY)'!P38)/1000</f>
        <v>0</v>
      </c>
      <c r="H693" s="2292">
        <f ca="1">('IS(FY)'!Q38)/1000</f>
        <v>0</v>
      </c>
      <c r="I693" s="2292">
        <f ca="1">('IS(FY)'!R38)/1000</f>
        <v>0</v>
      </c>
      <c r="J693" s="2292">
        <f ca="1">('IS(FY)'!S38)/1000</f>
        <v>0</v>
      </c>
      <c r="K693" s="2292">
        <f ca="1">('IS(FY)'!T38)/1000</f>
        <v>0</v>
      </c>
      <c r="L693" s="2292">
        <f ca="1">('IS(FY)'!U38)/1000</f>
        <v>0</v>
      </c>
      <c r="M693" s="2292">
        <f ca="1">('IS(FY)'!V38)/1000</f>
        <v>0</v>
      </c>
      <c r="N693" s="2292">
        <f ca="1">('IS(FY)'!W38)/1000</f>
        <v>0</v>
      </c>
      <c r="O693" s="2292">
        <f ca="1">('IS(FY)'!X38)/1000</f>
        <v>0</v>
      </c>
      <c r="P693" s="2292">
        <f ca="1">('IS(FY)'!Y38)/1000</f>
        <v>0</v>
      </c>
      <c r="Q693" s="2292">
        <f ca="1">('IS(FY)'!Z38)/1000</f>
        <v>0</v>
      </c>
      <c r="R693" s="2292">
        <f ca="1">('IS(FY)'!AA38)/1000</f>
        <v>0</v>
      </c>
      <c r="S693" s="2292">
        <f ca="1">('IS(FY)'!AB38)/1000</f>
        <v>0</v>
      </c>
      <c r="T693" s="2292">
        <f ca="1">('IS(FY)'!AC38)/1000</f>
        <v>0</v>
      </c>
      <c r="U693" s="2292">
        <f ca="1">('IS(FY)'!AD38)/1000</f>
        <v>0</v>
      </c>
      <c r="V693" s="2292">
        <f ca="1">('IS(FY)'!AE38)/1000</f>
        <v>0</v>
      </c>
      <c r="W693" s="2292">
        <f ca="1">('IS(FY)'!AF38)/1000</f>
        <v>0</v>
      </c>
      <c r="X693" s="2292">
        <f ca="1">('IS(FY)'!AG38)/1000</f>
        <v>0</v>
      </c>
    </row>
    <row r="694" spans="2:24">
      <c r="B694" s="2293" t="s">
        <v>1606</v>
      </c>
      <c r="C694" s="2294">
        <f t="shared" si="207"/>
        <v>-93877</v>
      </c>
      <c r="D694" s="2294">
        <f>-('IS(FY)'!M41+'IS(FY)'!M42+'IS(FY)'!M43)/1000</f>
        <v>0</v>
      </c>
      <c r="E694" s="2294">
        <f>-('IS(FY)'!N41+'IS(FY)'!N42+'IS(FY)'!N43)/1000</f>
        <v>-3819.9999999999995</v>
      </c>
      <c r="F694" s="2294">
        <f>-('IS(FY)'!O41+'IS(FY)'!O42+'IS(FY)'!O43)/1000</f>
        <v>-3819.9999999999995</v>
      </c>
      <c r="G694" s="2294">
        <f>-('IS(FY)'!P41+'IS(FY)'!P42+'IS(FY)'!P43)/1000</f>
        <v>-3819.9999999999995</v>
      </c>
      <c r="H694" s="2295">
        <f>-('IS(FY)'!Q41+'IS(FY)'!Q42+'IS(FY)'!Q43)/1000</f>
        <v>-3819.9999999999995</v>
      </c>
      <c r="I694" s="2295">
        <f>-('IS(FY)'!R41+'IS(FY)'!R42+'IS(FY)'!R43)/1000</f>
        <v>-5112</v>
      </c>
      <c r="J694" s="2295">
        <f>-('IS(FY)'!S41+'IS(FY)'!S42+'IS(FY)'!S43)/1000</f>
        <v>-5112</v>
      </c>
      <c r="K694" s="2295">
        <f>-('IS(FY)'!T41+'IS(FY)'!T42+'IS(FY)'!T43)/1000</f>
        <v>-5112</v>
      </c>
      <c r="L694" s="2295">
        <f>-('IS(FY)'!U41+'IS(FY)'!U42+'IS(FY)'!U43)/1000</f>
        <v>-5112</v>
      </c>
      <c r="M694" s="2295">
        <f>-('IS(FY)'!V41+'IS(FY)'!V42+'IS(FY)'!V43)/1000</f>
        <v>-5112</v>
      </c>
      <c r="N694" s="2295">
        <f>-('IS(FY)'!W41+'IS(FY)'!W42+'IS(FY)'!W43)/1000</f>
        <v>-5112</v>
      </c>
      <c r="O694" s="2295">
        <f>-('IS(FY)'!X41+'IS(FY)'!X42+'IS(FY)'!X43)/1000</f>
        <v>-4792.5</v>
      </c>
      <c r="P694" s="2295">
        <f>-('IS(FY)'!Y41+'IS(FY)'!Y42+'IS(FY)'!Y43)/1000</f>
        <v>-4792.5</v>
      </c>
      <c r="Q694" s="2295">
        <f>-('IS(FY)'!Z41+'IS(FY)'!Z42+'IS(FY)'!Z43)/1000</f>
        <v>-4792.5</v>
      </c>
      <c r="R694" s="2295">
        <f>-('IS(FY)'!AA41+'IS(FY)'!AA42+'IS(FY)'!AA43)/1000</f>
        <v>-4792.5</v>
      </c>
      <c r="S694" s="2295">
        <f>-('IS(FY)'!AB41+'IS(FY)'!AB42+'IS(FY)'!AB43)/1000</f>
        <v>-4792.5</v>
      </c>
      <c r="T694" s="2295">
        <f>-('IS(FY)'!AC41+'IS(FY)'!AC42+'IS(FY)'!AC43)/1000</f>
        <v>-4792.5</v>
      </c>
      <c r="U694" s="2295">
        <f>-('IS(FY)'!AD41+'IS(FY)'!AD42+'IS(FY)'!AD43)/1000</f>
        <v>-4792.5</v>
      </c>
      <c r="V694" s="2295">
        <f>-('IS(FY)'!AE41+'IS(FY)'!AE42+'IS(FY)'!AE43)/1000</f>
        <v>-4792.5</v>
      </c>
      <c r="W694" s="2295">
        <f>-('IS(FY)'!AF41+'IS(FY)'!AF42+'IS(FY)'!AF43)/1000</f>
        <v>-4792.5</v>
      </c>
      <c r="X694" s="2295">
        <f>-('IS(FY)'!AG41+'IS(FY)'!AG42+'IS(FY)'!AG43)/1000</f>
        <v>-4792.5</v>
      </c>
    </row>
    <row r="695" spans="2:24">
      <c r="B695" s="2293" t="s">
        <v>1540</v>
      </c>
      <c r="C695" s="2294">
        <f t="shared" si="207"/>
        <v>-4560</v>
      </c>
      <c r="D695" s="2294">
        <f>-('IS(FY)'!M44+'IS(FY)'!M45+'IS(FY)'!M46)/1000</f>
        <v>0</v>
      </c>
      <c r="E695" s="2294">
        <f>-('IS(FY)'!N44+'IS(FY)'!N45+'IS(FY)'!N46)/1000</f>
        <v>-1140</v>
      </c>
      <c r="F695" s="2294">
        <f>-('IS(FY)'!O44+'IS(FY)'!O45+'IS(FY)'!O46)/1000</f>
        <v>-1140</v>
      </c>
      <c r="G695" s="2294">
        <f>-('IS(FY)'!P44+'IS(FY)'!P45+'IS(FY)'!P46)/1000</f>
        <v>-1140</v>
      </c>
      <c r="H695" s="2295">
        <f>-('IS(FY)'!Q44+'IS(FY)'!Q45+'IS(FY)'!Q46)/1000</f>
        <v>-1140</v>
      </c>
      <c r="I695" s="2295">
        <f>-('IS(FY)'!R44+'IS(FY)'!R45+'IS(FY)'!R46)/1000</f>
        <v>0</v>
      </c>
      <c r="J695" s="2295">
        <f>-('IS(FY)'!S44+'IS(FY)'!S45+'IS(FY)'!S46)/1000</f>
        <v>0</v>
      </c>
      <c r="K695" s="2295">
        <f>-('IS(FY)'!T44+'IS(FY)'!T45+'IS(FY)'!T46)/1000</f>
        <v>0</v>
      </c>
      <c r="L695" s="2295">
        <f>-('IS(FY)'!U44+'IS(FY)'!U45+'IS(FY)'!U46)/1000</f>
        <v>0</v>
      </c>
      <c r="M695" s="2295">
        <f>-('IS(FY)'!V44+'IS(FY)'!V45+'IS(FY)'!V46)/1000</f>
        <v>0</v>
      </c>
      <c r="N695" s="2295">
        <f>-('IS(FY)'!W44+'IS(FY)'!W45+'IS(FY)'!W46)/1000</f>
        <v>0</v>
      </c>
      <c r="O695" s="2295">
        <f>-('IS(FY)'!X44+'IS(FY)'!X45+'IS(FY)'!X46)/1000</f>
        <v>0</v>
      </c>
      <c r="P695" s="2295">
        <f>-('IS(FY)'!Y44+'IS(FY)'!Y45+'IS(FY)'!Y46)/1000</f>
        <v>0</v>
      </c>
      <c r="Q695" s="2295">
        <f>-('IS(FY)'!Z44+'IS(FY)'!Z45+'IS(FY)'!Z46)/1000</f>
        <v>0</v>
      </c>
      <c r="R695" s="2295">
        <f>-('IS(FY)'!AA44+'IS(FY)'!AA45+'IS(FY)'!AA46)/1000</f>
        <v>0</v>
      </c>
      <c r="S695" s="2295">
        <f>-('IS(FY)'!AB44+'IS(FY)'!AB45+'IS(FY)'!AB46)/1000</f>
        <v>0</v>
      </c>
      <c r="T695" s="2295">
        <f>-('IS(FY)'!AC44+'IS(FY)'!AC45+'IS(FY)'!AC46)/1000</f>
        <v>0</v>
      </c>
      <c r="U695" s="2295">
        <f>-('IS(FY)'!AD44+'IS(FY)'!AD45+'IS(FY)'!AD46)/1000</f>
        <v>0</v>
      </c>
      <c r="V695" s="2295">
        <f>-('IS(FY)'!AE44+'IS(FY)'!AE45+'IS(FY)'!AE46)/1000</f>
        <v>0</v>
      </c>
      <c r="W695" s="2295">
        <f>-('IS(FY)'!AF44+'IS(FY)'!AF45+'IS(FY)'!AF46)/1000</f>
        <v>0</v>
      </c>
      <c r="X695" s="2295">
        <f>-('IS(FY)'!AG44+'IS(FY)'!AG45+'IS(FY)'!AG46)/1000</f>
        <v>0</v>
      </c>
    </row>
    <row r="696" spans="2:24">
      <c r="B696" s="2293" t="s">
        <v>1607</v>
      </c>
      <c r="C696" s="2294">
        <f t="shared" si="207"/>
        <v>-144.63753334348496</v>
      </c>
      <c r="D696" s="2294">
        <f>-('IS(FY)'!M47)/1000</f>
        <v>0</v>
      </c>
      <c r="E696" s="2294">
        <f>-('IS(FY)'!N47)/1000</f>
        <v>-144.63753334348496</v>
      </c>
      <c r="F696" s="2294">
        <f>-('IS(FY)'!O47)/1000</f>
        <v>0</v>
      </c>
      <c r="G696" s="2294">
        <f>-('IS(FY)'!P47)/1000</f>
        <v>0</v>
      </c>
      <c r="H696" s="2295">
        <f>-('IS(FY)'!Q47)/1000</f>
        <v>0</v>
      </c>
      <c r="I696" s="2295">
        <f>-('IS(FY)'!R47)/1000</f>
        <v>0</v>
      </c>
      <c r="J696" s="2295">
        <f>-('IS(FY)'!S47)/1000</f>
        <v>0</v>
      </c>
      <c r="K696" s="2295">
        <f>-('IS(FY)'!T47)/1000</f>
        <v>0</v>
      </c>
      <c r="L696" s="2295">
        <f>-('IS(FY)'!U47)/1000</f>
        <v>0</v>
      </c>
      <c r="M696" s="2295">
        <f>-('IS(FY)'!V47)/1000</f>
        <v>0</v>
      </c>
      <c r="N696" s="2295">
        <f>-('IS(FY)'!W47)/1000</f>
        <v>0</v>
      </c>
      <c r="O696" s="2295">
        <f>-('IS(FY)'!X47)/1000</f>
        <v>0</v>
      </c>
      <c r="P696" s="2295">
        <f>-('IS(FY)'!Y47)/1000</f>
        <v>0</v>
      </c>
      <c r="Q696" s="2295">
        <f>-('IS(FY)'!Z47)/1000</f>
        <v>0</v>
      </c>
      <c r="R696" s="2295">
        <f>-('IS(FY)'!AA47)/1000</f>
        <v>0</v>
      </c>
      <c r="S696" s="2295">
        <f>-('IS(FY)'!AB47)/1000</f>
        <v>0</v>
      </c>
      <c r="T696" s="2295">
        <f>-('IS(FY)'!AC47)/1000</f>
        <v>0</v>
      </c>
      <c r="U696" s="2295">
        <f>-('IS(FY)'!AD47)/1000</f>
        <v>0</v>
      </c>
      <c r="V696" s="2295">
        <f>-('IS(FY)'!AE47)/1000</f>
        <v>0</v>
      </c>
      <c r="W696" s="2295">
        <f>-('IS(FY)'!AF47)/1000</f>
        <v>0</v>
      </c>
      <c r="X696" s="2295">
        <f>-('IS(FY)'!AG47)/1000</f>
        <v>0</v>
      </c>
    </row>
    <row r="697" spans="2:24">
      <c r="B697" s="2293" t="s">
        <v>1213</v>
      </c>
      <c r="C697" s="2294">
        <f t="shared" si="207"/>
        <v>-34176.869999999988</v>
      </c>
      <c r="D697" s="2294">
        <f>-('IS(FY)'!M20)/1000</f>
        <v>0</v>
      </c>
      <c r="E697" s="2294">
        <f>-('IS(FY)'!N20)/1000</f>
        <v>-1708.8434999999999</v>
      </c>
      <c r="F697" s="2294">
        <f>-('IS(FY)'!O20)/1000</f>
        <v>-1708.8434999999999</v>
      </c>
      <c r="G697" s="2294">
        <f>-('IS(FY)'!P20)/1000</f>
        <v>-1708.8434999999999</v>
      </c>
      <c r="H697" s="2295">
        <f>-('IS(FY)'!Q20)/1000</f>
        <v>-1708.8434999999999</v>
      </c>
      <c r="I697" s="2295">
        <f>-('IS(FY)'!R20)/1000</f>
        <v>-1708.8434999999999</v>
      </c>
      <c r="J697" s="2295">
        <f>-('IS(FY)'!S20)/1000</f>
        <v>-1708.8434999999999</v>
      </c>
      <c r="K697" s="2295">
        <f>-('IS(FY)'!T20)/1000</f>
        <v>-1708.8434999999999</v>
      </c>
      <c r="L697" s="2295">
        <f>-('IS(FY)'!U20)/1000</f>
        <v>-1708.8434999999999</v>
      </c>
      <c r="M697" s="2295">
        <f>-('IS(FY)'!V20)/1000</f>
        <v>-1708.8434999999999</v>
      </c>
      <c r="N697" s="2295">
        <f>-('IS(FY)'!W20)/1000</f>
        <v>-1708.8434999999999</v>
      </c>
      <c r="O697" s="2295">
        <f>-('IS(FY)'!X20)/1000</f>
        <v>-1708.8434999999999</v>
      </c>
      <c r="P697" s="2295">
        <f>-('IS(FY)'!Y20)/1000</f>
        <v>-1708.8434999999999</v>
      </c>
      <c r="Q697" s="2295">
        <f>-('IS(FY)'!Z20)/1000</f>
        <v>-1708.8434999999999</v>
      </c>
      <c r="R697" s="2295">
        <f>-('IS(FY)'!AA20)/1000</f>
        <v>-1708.8434999999999</v>
      </c>
      <c r="S697" s="2295">
        <f>-('IS(FY)'!AB20)/1000</f>
        <v>-1708.8434999999999</v>
      </c>
      <c r="T697" s="2295">
        <f>-('IS(FY)'!AC20)/1000</f>
        <v>-1708.8434999999999</v>
      </c>
      <c r="U697" s="2295">
        <f>-('IS(FY)'!AD20)/1000</f>
        <v>-1708.8434999999999</v>
      </c>
      <c r="V697" s="2295">
        <f>-('IS(FY)'!AE20)/1000</f>
        <v>-1708.8434999999999</v>
      </c>
      <c r="W697" s="2295">
        <f>-('IS(FY)'!AF20)/1000</f>
        <v>-1708.8434999999999</v>
      </c>
      <c r="X697" s="2295">
        <f>-('IS(FY)'!AG20)/1000</f>
        <v>-1708.8434999999999</v>
      </c>
    </row>
    <row r="698" spans="2:24" ht="12.75" thickBot="1">
      <c r="B698" s="2296" t="s">
        <v>1505</v>
      </c>
      <c r="C698" s="2297">
        <f t="shared" si="207"/>
        <v>104898.69804531735</v>
      </c>
      <c r="D698" s="2297">
        <f>('IS(FY)'!M39)/1000</f>
        <v>0</v>
      </c>
      <c r="E698" s="2297">
        <f>('IS(FY)'!N39)/1000</f>
        <v>0</v>
      </c>
      <c r="F698" s="2297">
        <f>('IS(FY)'!O39)/1000</f>
        <v>0</v>
      </c>
      <c r="G698" s="2297">
        <f>('IS(FY)'!P39)/1000</f>
        <v>0</v>
      </c>
      <c r="H698" s="2298">
        <f>('IS(FY)'!Q39)/1000</f>
        <v>0</v>
      </c>
      <c r="I698" s="2298">
        <f>('IS(FY)'!R39)/1000</f>
        <v>0</v>
      </c>
      <c r="J698" s="2298">
        <f>('IS(FY)'!S39)/1000</f>
        <v>0</v>
      </c>
      <c r="K698" s="2298">
        <f>('IS(FY)'!T39)/1000</f>
        <v>0</v>
      </c>
      <c r="L698" s="2298">
        <f>('IS(FY)'!U39)/1000</f>
        <v>0</v>
      </c>
      <c r="M698" s="2298">
        <f>('IS(FY)'!V39)/1000</f>
        <v>0</v>
      </c>
      <c r="N698" s="2298">
        <f>('IS(FY)'!W39)/1000</f>
        <v>0</v>
      </c>
      <c r="O698" s="2298">
        <f>('IS(FY)'!X39)/1000</f>
        <v>0</v>
      </c>
      <c r="P698" s="2298">
        <f>('IS(FY)'!Y39)/1000</f>
        <v>0</v>
      </c>
      <c r="Q698" s="2298">
        <f>('IS(FY)'!Z39)/1000</f>
        <v>0</v>
      </c>
      <c r="R698" s="2298">
        <f>('IS(FY)'!AA39)/1000</f>
        <v>0</v>
      </c>
      <c r="S698" s="2298">
        <f>('IS(FY)'!AB39)/1000</f>
        <v>0</v>
      </c>
      <c r="T698" s="2298">
        <f>('IS(FY)'!AC39)/1000</f>
        <v>0</v>
      </c>
      <c r="U698" s="2298">
        <f>('IS(FY)'!AD39)/1000</f>
        <v>0</v>
      </c>
      <c r="V698" s="2298">
        <f>('IS(FY)'!AE39)/1000</f>
        <v>0</v>
      </c>
      <c r="W698" s="2298">
        <f>('IS(FY)'!AF39)/1000</f>
        <v>0</v>
      </c>
      <c r="X698" s="2298">
        <f>('IS(FY)'!AG39)/1000</f>
        <v>104898.69804531735</v>
      </c>
    </row>
    <row r="699" spans="2:24" ht="12.75" thickBot="1">
      <c r="B699" s="2287" t="s">
        <v>1506</v>
      </c>
      <c r="C699" s="2288">
        <f t="shared" si="207"/>
        <v>8096.9916246850535</v>
      </c>
      <c r="D699" s="2288">
        <f t="shared" ref="D699:X699" si="212">SUM(D700:D704)</f>
        <v>0</v>
      </c>
      <c r="E699" s="2288">
        <f t="shared" si="212"/>
        <v>400.290920435511</v>
      </c>
      <c r="F699" s="2288">
        <f t="shared" si="212"/>
        <v>400.290920435511</v>
      </c>
      <c r="G699" s="2288">
        <f t="shared" si="212"/>
        <v>401.25092043551103</v>
      </c>
      <c r="H699" s="2289">
        <f t="shared" si="212"/>
        <v>401.25092043551103</v>
      </c>
      <c r="I699" s="2289">
        <f t="shared" si="212"/>
        <v>402.23012043551103</v>
      </c>
      <c r="J699" s="2289">
        <f t="shared" si="212"/>
        <v>402.23012043551103</v>
      </c>
      <c r="K699" s="2289">
        <f t="shared" si="212"/>
        <v>403.22890443551097</v>
      </c>
      <c r="L699" s="2289">
        <f t="shared" si="212"/>
        <v>403.22890443551097</v>
      </c>
      <c r="M699" s="2289">
        <f t="shared" si="212"/>
        <v>404.24766411551099</v>
      </c>
      <c r="N699" s="2289">
        <f t="shared" si="212"/>
        <v>404.24766411551099</v>
      </c>
      <c r="O699" s="2289">
        <f t="shared" si="212"/>
        <v>405.28679898911099</v>
      </c>
      <c r="P699" s="2289">
        <f t="shared" si="212"/>
        <v>405.28679898911099</v>
      </c>
      <c r="Q699" s="2289">
        <f t="shared" si="212"/>
        <v>406.34671656018298</v>
      </c>
      <c r="R699" s="2289">
        <f t="shared" si="212"/>
        <v>406.34671656018298</v>
      </c>
      <c r="S699" s="2289">
        <f t="shared" si="212"/>
        <v>407.42783248267642</v>
      </c>
      <c r="T699" s="2289">
        <f t="shared" si="212"/>
        <v>407.42783248267642</v>
      </c>
      <c r="U699" s="2289">
        <f t="shared" si="212"/>
        <v>408.53057072361975</v>
      </c>
      <c r="V699" s="2289">
        <f t="shared" si="212"/>
        <v>408.53057072361975</v>
      </c>
      <c r="W699" s="2289">
        <f t="shared" si="212"/>
        <v>409.65536372938192</v>
      </c>
      <c r="X699" s="2289">
        <f t="shared" si="212"/>
        <v>409.65536372938192</v>
      </c>
    </row>
    <row r="700" spans="2:24">
      <c r="B700" s="2290" t="s">
        <v>190</v>
      </c>
      <c r="C700" s="2291">
        <f t="shared" si="207"/>
        <v>6665.4700000000039</v>
      </c>
      <c r="D700" s="2291">
        <f>('IS(FY)'!M32)/1000</f>
        <v>0</v>
      </c>
      <c r="E700" s="2291">
        <f>('IS(FY)'!N32)/1000</f>
        <v>333.27350000000013</v>
      </c>
      <c r="F700" s="2291">
        <f>('IS(FY)'!O32)/1000</f>
        <v>333.27350000000013</v>
      </c>
      <c r="G700" s="2291">
        <f>('IS(FY)'!P32)/1000</f>
        <v>333.27350000000013</v>
      </c>
      <c r="H700" s="2292">
        <f>('IS(FY)'!Q32)/1000</f>
        <v>333.27350000000013</v>
      </c>
      <c r="I700" s="2292">
        <f>('IS(FY)'!R32)/1000</f>
        <v>333.27350000000013</v>
      </c>
      <c r="J700" s="2292">
        <f>('IS(FY)'!S32)/1000</f>
        <v>333.27350000000013</v>
      </c>
      <c r="K700" s="2292">
        <f>('IS(FY)'!T32)/1000</f>
        <v>333.27350000000013</v>
      </c>
      <c r="L700" s="2292">
        <f>('IS(FY)'!U32)/1000</f>
        <v>333.27350000000013</v>
      </c>
      <c r="M700" s="2292">
        <f>('IS(FY)'!V32)/1000</f>
        <v>333.27350000000013</v>
      </c>
      <c r="N700" s="2292">
        <f>('IS(FY)'!W32)/1000</f>
        <v>333.27350000000013</v>
      </c>
      <c r="O700" s="2292">
        <f>('IS(FY)'!X32)/1000</f>
        <v>333.27350000000013</v>
      </c>
      <c r="P700" s="2292">
        <f>('IS(FY)'!Y32)/1000</f>
        <v>333.27350000000013</v>
      </c>
      <c r="Q700" s="2292">
        <f>('IS(FY)'!Z32)/1000</f>
        <v>333.27350000000013</v>
      </c>
      <c r="R700" s="2292">
        <f>('IS(FY)'!AA32)/1000</f>
        <v>333.27350000000013</v>
      </c>
      <c r="S700" s="2292">
        <f>('IS(FY)'!AB32)/1000</f>
        <v>333.27350000000013</v>
      </c>
      <c r="T700" s="2292">
        <f>('IS(FY)'!AC32)/1000</f>
        <v>333.27350000000013</v>
      </c>
      <c r="U700" s="2292">
        <f>('IS(FY)'!AD32)/1000</f>
        <v>333.27350000000013</v>
      </c>
      <c r="V700" s="2292">
        <f>('IS(FY)'!AE32)/1000</f>
        <v>333.27350000000013</v>
      </c>
      <c r="W700" s="2292">
        <f>('IS(FY)'!AF32)/1000</f>
        <v>333.27350000000013</v>
      </c>
      <c r="X700" s="2292">
        <f>('IS(FY)'!AG32)/1000</f>
        <v>333.27350000000013</v>
      </c>
    </row>
    <row r="701" spans="2:24">
      <c r="B701" s="2293" t="s">
        <v>192</v>
      </c>
      <c r="C701" s="2294">
        <f t="shared" si="207"/>
        <v>260.34840871021788</v>
      </c>
      <c r="D701" s="2294">
        <f>('IS(FY)'!M34)/1000</f>
        <v>0</v>
      </c>
      <c r="E701" s="2294">
        <f>('IS(FY)'!N34)/1000</f>
        <v>13.017420435510887</v>
      </c>
      <c r="F701" s="2294">
        <f>('IS(FY)'!O34)/1000</f>
        <v>13.017420435510887</v>
      </c>
      <c r="G701" s="2294">
        <f>('IS(FY)'!P34)/1000</f>
        <v>13.017420435510887</v>
      </c>
      <c r="H701" s="2295">
        <f>('IS(FY)'!Q34)/1000</f>
        <v>13.017420435510887</v>
      </c>
      <c r="I701" s="2295">
        <f>('IS(FY)'!R34)/1000</f>
        <v>13.017420435510887</v>
      </c>
      <c r="J701" s="2295">
        <f>('IS(FY)'!S34)/1000</f>
        <v>13.017420435510887</v>
      </c>
      <c r="K701" s="2295">
        <f>('IS(FY)'!T34)/1000</f>
        <v>13.017420435510887</v>
      </c>
      <c r="L701" s="2295">
        <f>('IS(FY)'!U34)/1000</f>
        <v>13.017420435510887</v>
      </c>
      <c r="M701" s="2295">
        <f>('IS(FY)'!V34)/1000</f>
        <v>13.017420435510887</v>
      </c>
      <c r="N701" s="2295">
        <f>('IS(FY)'!W34)/1000</f>
        <v>13.017420435510887</v>
      </c>
      <c r="O701" s="2295">
        <f>('IS(FY)'!X34)/1000</f>
        <v>13.017420435510887</v>
      </c>
      <c r="P701" s="2295">
        <f>('IS(FY)'!Y34)/1000</f>
        <v>13.017420435510887</v>
      </c>
      <c r="Q701" s="2295">
        <f>('IS(FY)'!Z34)/1000</f>
        <v>13.017420435510887</v>
      </c>
      <c r="R701" s="2295">
        <f>('IS(FY)'!AA34)/1000</f>
        <v>13.017420435510887</v>
      </c>
      <c r="S701" s="2295">
        <f>('IS(FY)'!AB34)/1000</f>
        <v>13.017420435510887</v>
      </c>
      <c r="T701" s="2295">
        <f>('IS(FY)'!AC34)/1000</f>
        <v>13.017420435510887</v>
      </c>
      <c r="U701" s="2295">
        <f>('IS(FY)'!AD34)/1000</f>
        <v>13.017420435510887</v>
      </c>
      <c r="V701" s="2295">
        <f>('IS(FY)'!AE34)/1000</f>
        <v>13.017420435510887</v>
      </c>
      <c r="W701" s="2295">
        <f>('IS(FY)'!AF34)/1000</f>
        <v>13.017420435510887</v>
      </c>
      <c r="X701" s="2295">
        <f>('IS(FY)'!AG34)/1000</f>
        <v>13.017420435510887</v>
      </c>
    </row>
    <row r="702" spans="2:24">
      <c r="B702" s="2293" t="s">
        <v>150</v>
      </c>
      <c r="C702" s="2294">
        <f t="shared" si="207"/>
        <v>120</v>
      </c>
      <c r="D702" s="2294">
        <f>('IS(FY)'!M33)/1000</f>
        <v>0</v>
      </c>
      <c r="E702" s="2294">
        <f>('IS(FY)'!N33)/1000</f>
        <v>6</v>
      </c>
      <c r="F702" s="2294">
        <f>('IS(FY)'!O33)/1000</f>
        <v>6</v>
      </c>
      <c r="G702" s="2294">
        <f>('IS(FY)'!P33)/1000</f>
        <v>6</v>
      </c>
      <c r="H702" s="2295">
        <f>('IS(FY)'!Q33)/1000</f>
        <v>6</v>
      </c>
      <c r="I702" s="2295">
        <f>('IS(FY)'!R33)/1000</f>
        <v>6</v>
      </c>
      <c r="J702" s="2295">
        <f>('IS(FY)'!S33)/1000</f>
        <v>6</v>
      </c>
      <c r="K702" s="2295">
        <f>('IS(FY)'!T33)/1000</f>
        <v>6</v>
      </c>
      <c r="L702" s="2295">
        <f>('IS(FY)'!U33)/1000</f>
        <v>6</v>
      </c>
      <c r="M702" s="2295">
        <f>('IS(FY)'!V33)/1000</f>
        <v>6</v>
      </c>
      <c r="N702" s="2295">
        <f>('IS(FY)'!W33)/1000</f>
        <v>6</v>
      </c>
      <c r="O702" s="2295">
        <f>('IS(FY)'!X33)/1000</f>
        <v>6</v>
      </c>
      <c r="P702" s="2295">
        <f>('IS(FY)'!Y33)/1000</f>
        <v>6</v>
      </c>
      <c r="Q702" s="2295">
        <f>('IS(FY)'!Z33)/1000</f>
        <v>6</v>
      </c>
      <c r="R702" s="2295">
        <f>('IS(FY)'!AA33)/1000</f>
        <v>6</v>
      </c>
      <c r="S702" s="2295">
        <f>('IS(FY)'!AB33)/1000</f>
        <v>6</v>
      </c>
      <c r="T702" s="2295">
        <f>('IS(FY)'!AC33)/1000</f>
        <v>6</v>
      </c>
      <c r="U702" s="2295">
        <f>('IS(FY)'!AD33)/1000</f>
        <v>6</v>
      </c>
      <c r="V702" s="2295">
        <f>('IS(FY)'!AE33)/1000</f>
        <v>6</v>
      </c>
      <c r="W702" s="2295">
        <f>('IS(FY)'!AF33)/1000</f>
        <v>6</v>
      </c>
      <c r="X702" s="2295">
        <f>('IS(FY)'!AG33)/1000</f>
        <v>6</v>
      </c>
    </row>
    <row r="703" spans="2:24">
      <c r="B703" s="2293" t="s">
        <v>533</v>
      </c>
      <c r="C703" s="2294">
        <f t="shared" si="207"/>
        <v>788.37991198112547</v>
      </c>
      <c r="D703" s="2294">
        <f>('IS(FY)'!M35)/1000</f>
        <v>0</v>
      </c>
      <c r="E703" s="2294">
        <f>('IS(FY)'!N35)/1000</f>
        <v>36</v>
      </c>
      <c r="F703" s="2294">
        <f>('IS(FY)'!O35)/1000</f>
        <v>36</v>
      </c>
      <c r="G703" s="2294">
        <f>('IS(FY)'!P35)/1000</f>
        <v>36.72</v>
      </c>
      <c r="H703" s="2295">
        <f>('IS(FY)'!Q35)/1000</f>
        <v>36.72</v>
      </c>
      <c r="I703" s="2295">
        <f>('IS(FY)'!R35)/1000</f>
        <v>37.4544</v>
      </c>
      <c r="J703" s="2295">
        <f>('IS(FY)'!S35)/1000</f>
        <v>37.4544</v>
      </c>
      <c r="K703" s="2295">
        <f>('IS(FY)'!T35)/1000</f>
        <v>38.203488</v>
      </c>
      <c r="L703" s="2295">
        <f>('IS(FY)'!U35)/1000</f>
        <v>38.203488</v>
      </c>
      <c r="M703" s="2295">
        <f>('IS(FY)'!V35)/1000</f>
        <v>38.967557760000005</v>
      </c>
      <c r="N703" s="2295">
        <f>('IS(FY)'!W35)/1000</f>
        <v>38.967557760000005</v>
      </c>
      <c r="O703" s="2295">
        <f>('IS(FY)'!X35)/1000</f>
        <v>39.746908915200002</v>
      </c>
      <c r="P703" s="2295">
        <f>('IS(FY)'!Y35)/1000</f>
        <v>39.746908915200002</v>
      </c>
      <c r="Q703" s="2295">
        <f>('IS(FY)'!Z35)/1000</f>
        <v>40.541847093504003</v>
      </c>
      <c r="R703" s="2295">
        <f>('IS(FY)'!AA35)/1000</f>
        <v>40.541847093504003</v>
      </c>
      <c r="S703" s="2295">
        <f>('IS(FY)'!AB35)/1000</f>
        <v>41.352684035374075</v>
      </c>
      <c r="T703" s="2295">
        <f>('IS(FY)'!AC35)/1000</f>
        <v>41.352684035374075</v>
      </c>
      <c r="U703" s="2295">
        <f>('IS(FY)'!AD35)/1000</f>
        <v>42.179737716081561</v>
      </c>
      <c r="V703" s="2295">
        <f>('IS(FY)'!AE35)/1000</f>
        <v>42.179737716081561</v>
      </c>
      <c r="W703" s="2295">
        <f>('IS(FY)'!AF35)/1000</f>
        <v>43.023332470403183</v>
      </c>
      <c r="X703" s="2295">
        <f>('IS(FY)'!AG35)/1000</f>
        <v>43.023332470403183</v>
      </c>
    </row>
    <row r="704" spans="2:24" ht="12.75" thickBot="1">
      <c r="B704" s="2293" t="s">
        <v>463</v>
      </c>
      <c r="C704" s="2294">
        <f t="shared" si="207"/>
        <v>262.79330399370855</v>
      </c>
      <c r="D704" s="2294">
        <f>('IS(FY)'!M19)/1000</f>
        <v>0</v>
      </c>
      <c r="E704" s="2294">
        <f>('IS(FY)'!N19)/1000</f>
        <v>12</v>
      </c>
      <c r="F704" s="2294">
        <f>('IS(FY)'!O19)/1000</f>
        <v>12</v>
      </c>
      <c r="G704" s="2294">
        <f>('IS(FY)'!P19)/1000</f>
        <v>12.24</v>
      </c>
      <c r="H704" s="2295">
        <f>('IS(FY)'!Q19)/1000</f>
        <v>12.24</v>
      </c>
      <c r="I704" s="2295">
        <f>('IS(FY)'!R19)/1000</f>
        <v>12.4848</v>
      </c>
      <c r="J704" s="2295">
        <f>('IS(FY)'!S19)/1000</f>
        <v>12.4848</v>
      </c>
      <c r="K704" s="2295">
        <f>('IS(FY)'!T19)/1000</f>
        <v>12.734495999999996</v>
      </c>
      <c r="L704" s="2295">
        <f>('IS(FY)'!U19)/1000</f>
        <v>12.734495999999996</v>
      </c>
      <c r="M704" s="2295">
        <f>('IS(FY)'!V19)/1000</f>
        <v>12.989185920000002</v>
      </c>
      <c r="N704" s="2295">
        <f>('IS(FY)'!W19)/1000</f>
        <v>12.989185920000002</v>
      </c>
      <c r="O704" s="2295">
        <f>('IS(FY)'!X19)/1000</f>
        <v>13.248969638400002</v>
      </c>
      <c r="P704" s="2295">
        <f>('IS(FY)'!Y19)/1000</f>
        <v>13.248969638400002</v>
      </c>
      <c r="Q704" s="2295">
        <f>('IS(FY)'!Z19)/1000</f>
        <v>13.513949031168002</v>
      </c>
      <c r="R704" s="2295">
        <f>('IS(FY)'!AA19)/1000</f>
        <v>13.513949031168002</v>
      </c>
      <c r="S704" s="2295">
        <f>('IS(FY)'!AB19)/1000</f>
        <v>13.784228011791358</v>
      </c>
      <c r="T704" s="2295">
        <f>('IS(FY)'!AC19)/1000</f>
        <v>13.784228011791358</v>
      </c>
      <c r="U704" s="2295">
        <f>('IS(FY)'!AD19)/1000</f>
        <v>14.059912572027187</v>
      </c>
      <c r="V704" s="2295">
        <f>('IS(FY)'!AE19)/1000</f>
        <v>14.059912572027187</v>
      </c>
      <c r="W704" s="2295">
        <f>('IS(FY)'!AF19)/1000</f>
        <v>14.34111082346773</v>
      </c>
      <c r="X704" s="2295">
        <f>('IS(FY)'!AG19)/1000</f>
        <v>14.34111082346773</v>
      </c>
    </row>
    <row r="705" spans="1:24" ht="12.75" thickBot="1">
      <c r="B705" s="2287" t="s">
        <v>538</v>
      </c>
      <c r="C705" s="2288">
        <f t="shared" ca="1" si="207"/>
        <v>114248.06668783462</v>
      </c>
      <c r="D705" s="2288">
        <f t="shared" ref="D705:X705" si="213">D691+D692-D699</f>
        <v>0</v>
      </c>
      <c r="E705" s="2288">
        <f t="shared" ca="1" si="213"/>
        <v>-870.7539478286144</v>
      </c>
      <c r="F705" s="2288">
        <f t="shared" ca="1" si="213"/>
        <v>-306.78744463934709</v>
      </c>
      <c r="G705" s="2288">
        <f t="shared" ca="1" si="213"/>
        <v>-548.53472242412408</v>
      </c>
      <c r="H705" s="2289">
        <f t="shared" ca="1" si="213"/>
        <v>-129.8677325821991</v>
      </c>
      <c r="I705" s="2289">
        <f t="shared" ca="1" si="213"/>
        <v>-188.37592677842827</v>
      </c>
      <c r="J705" s="2289">
        <f t="shared" ca="1" si="213"/>
        <v>-5181.582275420672</v>
      </c>
      <c r="K705" s="2289">
        <f t="shared" ca="1" si="213"/>
        <v>245.87443048899621</v>
      </c>
      <c r="L705" s="2289">
        <f t="shared" ca="1" si="213"/>
        <v>521.09873989685934</v>
      </c>
      <c r="M705" s="2289">
        <f t="shared" ca="1" si="213"/>
        <v>509.4917526325633</v>
      </c>
      <c r="N705" s="2289">
        <f t="shared" ca="1" si="213"/>
        <v>738.00228322589533</v>
      </c>
      <c r="O705" s="2289">
        <f t="shared" ca="1" si="213"/>
        <v>1044.668245924805</v>
      </c>
      <c r="P705" s="2289">
        <f t="shared" ca="1" si="213"/>
        <v>1278.8915397829687</v>
      </c>
      <c r="Q705" s="2289">
        <f t="shared" ca="1" si="213"/>
        <v>1265.3815160240449</v>
      </c>
      <c r="R705" s="2289">
        <f t="shared" ca="1" si="213"/>
        <v>1505.4603922286672</v>
      </c>
      <c r="S705" s="2289">
        <f t="shared" ca="1" si="213"/>
        <v>1491.2665758641779</v>
      </c>
      <c r="T705" s="2289">
        <f t="shared" ca="1" si="213"/>
        <v>838.85919729661146</v>
      </c>
      <c r="U705" s="2289">
        <f t="shared" ca="1" si="213"/>
        <v>1535.2044855807285</v>
      </c>
      <c r="V705" s="2289">
        <f t="shared" ca="1" si="213"/>
        <v>1750.5328884551086</v>
      </c>
      <c r="W705" s="2289">
        <f t="shared" ca="1" si="213"/>
        <v>1862.0094526719558</v>
      </c>
      <c r="X705" s="2289">
        <f t="shared" ca="1" si="213"/>
        <v>106887.22723743462</v>
      </c>
    </row>
    <row r="706" spans="1:24">
      <c r="C706" s="2268">
        <f ca="1">C574</f>
        <v>-1855.9438474742865</v>
      </c>
    </row>
    <row r="707" spans="1:24">
      <c r="B707" s="2304" t="s">
        <v>566</v>
      </c>
      <c r="C707" s="2494" t="b">
        <f ca="1">ROUND(SUM(D705:H705)-C706,6)=0</f>
        <v>1</v>
      </c>
    </row>
    <row r="708" spans="1:24">
      <c r="C708" s="2268">
        <f ca="1">C705-C698-C697</f>
        <v>43526.238642517266</v>
      </c>
    </row>
    <row r="709" spans="1:24">
      <c r="D709" s="2268"/>
      <c r="E709" s="2268"/>
      <c r="F709" s="2268"/>
      <c r="G709" s="2268"/>
      <c r="H709" s="2268"/>
    </row>
    <row r="713" spans="1:24">
      <c r="A713" s="2232" t="s">
        <v>1664</v>
      </c>
    </row>
    <row r="714" spans="1:24">
      <c r="B714" s="3100" t="s">
        <v>1448</v>
      </c>
      <c r="C714" s="3102" t="s">
        <v>1459</v>
      </c>
      <c r="D714" s="2410" t="str">
        <f t="shared" ref="D714:H715" si="214">D675</f>
        <v>26.10</v>
      </c>
      <c r="E714" s="2410" t="str">
        <f t="shared" si="214"/>
        <v>27.04</v>
      </c>
      <c r="F714" s="2410" t="str">
        <f t="shared" si="214"/>
        <v>27.10</v>
      </c>
      <c r="G714" s="2410" t="str">
        <f t="shared" si="214"/>
        <v>28.04</v>
      </c>
      <c r="H714" s="2411" t="str">
        <f t="shared" si="214"/>
        <v>28.10</v>
      </c>
    </row>
    <row r="715" spans="1:24" ht="12.75" thickBot="1">
      <c r="B715" s="3101"/>
      <c r="C715" s="3103"/>
      <c r="D715" s="2283" t="str">
        <f t="shared" si="214"/>
        <v>투자일</v>
      </c>
      <c r="E715" s="2492">
        <f t="shared" si="214"/>
        <v>1</v>
      </c>
      <c r="F715" s="2492">
        <f t="shared" si="214"/>
        <v>2</v>
      </c>
      <c r="G715" s="2492">
        <f t="shared" si="214"/>
        <v>3</v>
      </c>
      <c r="H715" s="2493">
        <f t="shared" si="214"/>
        <v>4</v>
      </c>
    </row>
    <row r="716" spans="1:24" ht="12.75" thickBot="1">
      <c r="B716" s="2287" t="s">
        <v>1542</v>
      </c>
      <c r="C716" s="2302">
        <f t="shared" ref="C716:C761" ca="1" si="215">SUM(D716:H716)</f>
        <v>5174.0686101840474</v>
      </c>
      <c r="D716" s="2302">
        <f ca="1">D730+D731-D736</f>
        <v>0</v>
      </c>
      <c r="E716" s="2302">
        <f ca="1">E730+E731-E736</f>
        <v>810.18487550471855</v>
      </c>
      <c r="F716" s="2302">
        <f ca="1">F730+F731-F736</f>
        <v>1621.9099386939852</v>
      </c>
      <c r="G716" s="2302">
        <f ca="1">G730+G731-G736</f>
        <v>1032.2565441925426</v>
      </c>
      <c r="H716" s="2303">
        <f ca="1">H730+H731-H736</f>
        <v>1709.7172517928011</v>
      </c>
    </row>
    <row r="717" spans="1:24" ht="12.75" thickBot="1">
      <c r="B717" s="2287" t="s">
        <v>1603</v>
      </c>
      <c r="C717" s="2302">
        <f t="shared" si="215"/>
        <v>31019.959627661992</v>
      </c>
      <c r="D717" s="2302">
        <f t="shared" ref="D717:H717" si="216">SUM(D718:D720)</f>
        <v>0</v>
      </c>
      <c r="E717" s="2302">
        <f t="shared" si="216"/>
        <v>7464.3223097152813</v>
      </c>
      <c r="F717" s="2302">
        <f t="shared" si="216"/>
        <v>7872.7779095610631</v>
      </c>
      <c r="G717" s="2302">
        <f t="shared" si="216"/>
        <v>7632.0962092718628</v>
      </c>
      <c r="H717" s="2303">
        <f t="shared" si="216"/>
        <v>8050.7631991137878</v>
      </c>
    </row>
    <row r="718" spans="1:24">
      <c r="B718" s="2290" t="s">
        <v>269</v>
      </c>
      <c r="C718" s="2291">
        <f t="shared" si="215"/>
        <v>29157.84655407703</v>
      </c>
      <c r="D718" s="2291">
        <f>('CF(FY)'!L11+'CF(FY)'!L12)/1000</f>
        <v>0</v>
      </c>
      <c r="E718" s="2291">
        <f>('CF(FY)'!M11+'CF(FY)'!M12)/1000</f>
        <v>7005.428644640625</v>
      </c>
      <c r="F718" s="2291">
        <f>('CF(FY)'!N11+'CF(FY)'!N12)/1000</f>
        <v>7409.3734719406257</v>
      </c>
      <c r="G718" s="2291">
        <f>('CF(FY)'!O11+'CF(FY)'!O12)/1000</f>
        <v>7164.5004947566404</v>
      </c>
      <c r="H718" s="2292">
        <f>('CF(FY)'!P11+'CF(FY)'!P12)/1000</f>
        <v>7578.5439427391393</v>
      </c>
    </row>
    <row r="719" spans="1:24">
      <c r="B719" s="2293" t="s">
        <v>64</v>
      </c>
      <c r="C719" s="2294">
        <f t="shared" si="215"/>
        <v>1576.2266437769649</v>
      </c>
      <c r="D719" s="2294">
        <f>('CF(FY)'!L13)/1000</f>
        <v>0</v>
      </c>
      <c r="E719" s="2294">
        <f>('CF(FY)'!M13)/1000</f>
        <v>387.42205762265621</v>
      </c>
      <c r="F719" s="2294">
        <f>('CF(FY)'!N13)/1000</f>
        <v>391.93283016843759</v>
      </c>
      <c r="G719" s="2294">
        <f>('CF(FY)'!O13)/1000</f>
        <v>396.12410706322254</v>
      </c>
      <c r="H719" s="2295">
        <f>('CF(FY)'!P13)/1000</f>
        <v>400.74764892264841</v>
      </c>
    </row>
    <row r="720" spans="1:24" ht="12.75" thickBot="1">
      <c r="B720" s="2293" t="s">
        <v>1672</v>
      </c>
      <c r="C720" s="2294">
        <f t="shared" ref="C720" si="217">SUM(D720:H720)</f>
        <v>285.886429808</v>
      </c>
      <c r="D720" s="2294">
        <f>('CF(FY)'!L14)/1000</f>
        <v>0</v>
      </c>
      <c r="E720" s="2294">
        <f>('CF(FY)'!M14)/1000</f>
        <v>71.471607452000001</v>
      </c>
      <c r="F720" s="2294">
        <f>('CF(FY)'!N14)/1000</f>
        <v>71.471607452000001</v>
      </c>
      <c r="G720" s="2294">
        <f>('CF(FY)'!O14)/1000</f>
        <v>71.471607452000001</v>
      </c>
      <c r="H720" s="2295">
        <f>('CF(FY)'!P14)/1000</f>
        <v>71.471607452000001</v>
      </c>
    </row>
    <row r="721" spans="2:8" ht="12.75" thickBot="1">
      <c r="B721" s="2287" t="s">
        <v>1604</v>
      </c>
      <c r="C721" s="2302">
        <f t="shared" ca="1" si="215"/>
        <v>4258.1698023924191</v>
      </c>
      <c r="D721" s="2302">
        <f ca="1">SUM(D722:D729)</f>
        <v>0</v>
      </c>
      <c r="E721" s="2302">
        <f ca="1">SUM(E722:E729)</f>
        <v>1149.2089804315667</v>
      </c>
      <c r="F721" s="2302">
        <f ca="1">SUM(F722:F729)</f>
        <v>890.5770504315667</v>
      </c>
      <c r="G721" s="2302">
        <f ca="1">SUM(G722:G729)</f>
        <v>1238.5887446438096</v>
      </c>
      <c r="H721" s="2303">
        <f ca="1">SUM(H722:H729)</f>
        <v>979.79502688547586</v>
      </c>
    </row>
    <row r="722" spans="2:8">
      <c r="B722" s="2293" t="s">
        <v>73</v>
      </c>
      <c r="C722" s="2294">
        <f t="shared" si="215"/>
        <v>120.89999999999998</v>
      </c>
      <c r="D722" s="2294">
        <f>-('CF(FY)'!L18)/1000</f>
        <v>0</v>
      </c>
      <c r="E722" s="2294">
        <f>-('CF(FY)'!M18)/1000</f>
        <v>30</v>
      </c>
      <c r="F722" s="2294">
        <f>-('CF(FY)'!N18)/1000</f>
        <v>30</v>
      </c>
      <c r="G722" s="2294">
        <f>-('CF(FY)'!O18)/1000</f>
        <v>30.449999999999996</v>
      </c>
      <c r="H722" s="2295">
        <f>-('CF(FY)'!P18)/1000</f>
        <v>30.449999999999996</v>
      </c>
    </row>
    <row r="723" spans="2:8">
      <c r="B723" s="2293" t="s">
        <v>75</v>
      </c>
      <c r="C723" s="2294">
        <f t="shared" si="215"/>
        <v>1286.7414867292919</v>
      </c>
      <c r="D723" s="2294">
        <f>-('CF(FY)'!L19)/1000</f>
        <v>0</v>
      </c>
      <c r="E723" s="2294">
        <f>-('CF(FY)'!M19)/1000</f>
        <v>318.50036800229998</v>
      </c>
      <c r="F723" s="2294">
        <f>-('CF(FY)'!N19)/1000</f>
        <v>318.50036800229998</v>
      </c>
      <c r="G723" s="2294">
        <f>-('CF(FY)'!O19)/1000</f>
        <v>324.87037536234595</v>
      </c>
      <c r="H723" s="2295">
        <f>-('CF(FY)'!P19)/1000</f>
        <v>324.87037536234595</v>
      </c>
    </row>
    <row r="724" spans="2:8" hidden="1">
      <c r="B724" s="2293" t="s">
        <v>80</v>
      </c>
      <c r="C724" s="2294">
        <f t="shared" si="215"/>
        <v>0</v>
      </c>
      <c r="D724" s="2294">
        <f>-('CF(FY)'!L21)/1000</f>
        <v>0</v>
      </c>
      <c r="E724" s="2294">
        <f>-('CF(FY)'!M21)/1000</f>
        <v>0</v>
      </c>
      <c r="F724" s="2294">
        <f>-('CF(FY)'!N21)/1000</f>
        <v>0</v>
      </c>
      <c r="G724" s="2294">
        <f>-('CF(FY)'!O21)/1000</f>
        <v>0</v>
      </c>
      <c r="H724" s="2295">
        <f>-('CF(FY)'!P21)/1000</f>
        <v>0</v>
      </c>
    </row>
    <row r="725" spans="2:8">
      <c r="B725" s="2293" t="s">
        <v>83</v>
      </c>
      <c r="C725" s="2294">
        <f t="shared" ca="1" si="215"/>
        <v>1469.7237060000002</v>
      </c>
      <c r="D725" s="2294">
        <f ca="1">-('CF(FY)'!L22)/1000</f>
        <v>0</v>
      </c>
      <c r="E725" s="2294">
        <f ca="1">-('CF(FY)'!M22)/1000</f>
        <v>742.28470000000004</v>
      </c>
      <c r="F725" s="2294">
        <f ca="1">-('CF(FY)'!N22)/1000</f>
        <v>0</v>
      </c>
      <c r="G725" s="2294">
        <f ca="1">-('CF(FY)'!O22)/1000</f>
        <v>727.43900600000018</v>
      </c>
      <c r="H725" s="2295">
        <f ca="1">-('CF(FY)'!P22)/1000</f>
        <v>0</v>
      </c>
    </row>
    <row r="726" spans="2:8">
      <c r="B726" s="2293" t="s">
        <v>78</v>
      </c>
      <c r="C726" s="2294">
        <f t="shared" si="215"/>
        <v>63.006928077059989</v>
      </c>
      <c r="D726" s="2294">
        <f>-('CF(FY)'!L20)/1000</f>
        <v>0</v>
      </c>
      <c r="E726" s="2294">
        <f>-('CF(FY)'!M20)/1000</f>
        <v>15.595774276499998</v>
      </c>
      <c r="F726" s="2294">
        <f>-('CF(FY)'!N20)/1000</f>
        <v>15.595774276499998</v>
      </c>
      <c r="G726" s="2294">
        <f>-('CF(FY)'!O20)/1000</f>
        <v>15.907689762029998</v>
      </c>
      <c r="H726" s="2295">
        <f>-('CF(FY)'!P20)/1000</f>
        <v>15.907689762029998</v>
      </c>
    </row>
    <row r="727" spans="2:8">
      <c r="B727" s="2293" t="s">
        <v>1539</v>
      </c>
      <c r="C727" s="2294">
        <f t="shared" si="215"/>
        <v>41.789665944400006</v>
      </c>
      <c r="D727" s="2294">
        <f>-('CF(FY)'!L27)/1000</f>
        <v>0</v>
      </c>
      <c r="E727" s="2294">
        <f>-('CF(FY)'!M27)/1000</f>
        <v>10.447416486100002</v>
      </c>
      <c r="F727" s="2294">
        <f>-('CF(FY)'!N27)/1000</f>
        <v>10.447416486100002</v>
      </c>
      <c r="G727" s="2294">
        <f>-('CF(FY)'!O27)/1000</f>
        <v>10.447416486100002</v>
      </c>
      <c r="H727" s="2295">
        <f>-('CF(FY)'!P27)/1000</f>
        <v>10.447416486100002</v>
      </c>
    </row>
    <row r="728" spans="2:8">
      <c r="B728" s="2293" t="s">
        <v>1543</v>
      </c>
      <c r="C728" s="2294">
        <f t="shared" si="215"/>
        <v>1265.1346456416666</v>
      </c>
      <c r="D728" s="2294">
        <f>-('CF(FY)'!L23+'CF(FY)'!L24+'CF(FY)'!L25+'CF(FY)'!L26)/1000</f>
        <v>0</v>
      </c>
      <c r="E728" s="2294">
        <f>-('CF(FY)'!M23+'CF(FY)'!M24+'CF(FY)'!M25+'CF(FY)'!M26)/1000</f>
        <v>21.507351666666665</v>
      </c>
      <c r="F728" s="2294">
        <f>-('CF(FY)'!N23+'CF(FY)'!N24+'CF(FY)'!N25+'CF(FY)'!N26)/1000</f>
        <v>516.03349166666669</v>
      </c>
      <c r="G728" s="2294">
        <f>-('CF(FY)'!O23+'CF(FY)'!O24+'CF(FY)'!O25+'CF(FY)'!O26)/1000</f>
        <v>129.47425703333332</v>
      </c>
      <c r="H728" s="2295">
        <f>-('CF(FY)'!P23+'CF(FY)'!P24+'CF(FY)'!P25+'CF(FY)'!P26)/1000</f>
        <v>598.11954527499995</v>
      </c>
    </row>
    <row r="729" spans="2:8" ht="12.75" thickBot="1">
      <c r="B729" s="2293" t="s">
        <v>468</v>
      </c>
      <c r="C729" s="2294">
        <f t="shared" si="215"/>
        <v>10.87337</v>
      </c>
      <c r="D729" s="2294">
        <f>-('CF(FY)'!L28)/1000</f>
        <v>0</v>
      </c>
      <c r="E729" s="2294">
        <f>-('CF(FY)'!M28)/1000</f>
        <v>10.87337</v>
      </c>
      <c r="F729" s="2294">
        <f>-('CF(FY)'!N28)/1000</f>
        <v>0</v>
      </c>
      <c r="G729" s="2294">
        <f>-('CF(FY)'!O28)/1000</f>
        <v>0</v>
      </c>
      <c r="H729" s="2295">
        <f>-('CF(FY)'!P28)/1000</f>
        <v>0</v>
      </c>
    </row>
    <row r="730" spans="2:8" ht="12.75" thickBot="1">
      <c r="B730" s="2287" t="s">
        <v>1605</v>
      </c>
      <c r="C730" s="2302">
        <f t="shared" ca="1" si="215"/>
        <v>26761.789825269578</v>
      </c>
      <c r="D730" s="2302">
        <f ca="1">D717-D721</f>
        <v>0</v>
      </c>
      <c r="E730" s="2302">
        <f ca="1">E717-E721</f>
        <v>6315.1133292837148</v>
      </c>
      <c r="F730" s="2302">
        <f ca="1">F717-F721</f>
        <v>6982.2008591294962</v>
      </c>
      <c r="G730" s="2302">
        <f ca="1">G717-G721</f>
        <v>6393.5074646280536</v>
      </c>
      <c r="H730" s="2303">
        <f ca="1">H717-H721</f>
        <v>7070.9681722283121</v>
      </c>
    </row>
    <row r="731" spans="2:8" ht="12.75" thickBot="1">
      <c r="B731" s="2287" t="s">
        <v>513</v>
      </c>
      <c r="C731" s="2302">
        <f t="shared" ca="1" si="215"/>
        <v>-19984.637533343484</v>
      </c>
      <c r="D731" s="2302">
        <f>SUM(D732:D735)</f>
        <v>0</v>
      </c>
      <c r="E731" s="2302">
        <f ca="1">SUM(E732:E735)</f>
        <v>-5104.6375333434853</v>
      </c>
      <c r="F731" s="2302">
        <f ca="1">SUM(F732:F735)</f>
        <v>-4960</v>
      </c>
      <c r="G731" s="2302">
        <f ca="1">SUM(G732:G735)</f>
        <v>-4960</v>
      </c>
      <c r="H731" s="2303">
        <f ca="1">SUM(H732:H735)</f>
        <v>-4960</v>
      </c>
    </row>
    <row r="732" spans="2:8">
      <c r="B732" s="2290" t="s">
        <v>239</v>
      </c>
      <c r="C732" s="2291">
        <f t="shared" ca="1" si="215"/>
        <v>0</v>
      </c>
      <c r="D732" s="2291">
        <f>('CF(FY)'!L15)/1000</f>
        <v>0</v>
      </c>
      <c r="E732" s="2291">
        <f ca="1">('CF(FY)'!M15)/1000</f>
        <v>0</v>
      </c>
      <c r="F732" s="2291">
        <f ca="1">('CF(FY)'!N15)/1000</f>
        <v>0</v>
      </c>
      <c r="G732" s="2291">
        <f ca="1">('CF(FY)'!O15)/1000</f>
        <v>0</v>
      </c>
      <c r="H732" s="2292">
        <f ca="1">('CF(FY)'!P15)/1000</f>
        <v>0</v>
      </c>
    </row>
    <row r="733" spans="2:8">
      <c r="B733" s="2293" t="s">
        <v>1606</v>
      </c>
      <c r="C733" s="2294">
        <f t="shared" si="215"/>
        <v>-15280</v>
      </c>
      <c r="D733" s="2294">
        <f>('CF(FY)'!L36+'CF(FY)'!L37+'CF(FY)'!L38)/1000</f>
        <v>0</v>
      </c>
      <c r="E733" s="2294">
        <f>('CF(FY)'!M36+'CF(FY)'!M37+'CF(FY)'!M38)/1000</f>
        <v>-3820</v>
      </c>
      <c r="F733" s="2294">
        <f>('CF(FY)'!N36+'CF(FY)'!N37+'CF(FY)'!N38)/1000</f>
        <v>-3820</v>
      </c>
      <c r="G733" s="2294">
        <f>('CF(FY)'!O36+'CF(FY)'!O37+'CF(FY)'!O38)/1000</f>
        <v>-3820</v>
      </c>
      <c r="H733" s="2295">
        <f>('CF(FY)'!P36+'CF(FY)'!P37+'CF(FY)'!P38)/1000</f>
        <v>-3820</v>
      </c>
    </row>
    <row r="734" spans="2:8">
      <c r="B734" s="2293" t="s">
        <v>1540</v>
      </c>
      <c r="C734" s="2294">
        <f t="shared" si="215"/>
        <v>-4560</v>
      </c>
      <c r="D734" s="2294">
        <f>('CF(FY)'!L39+'CF(FY)'!L40+'CF(FY)'!L41)/1000</f>
        <v>0</v>
      </c>
      <c r="E734" s="2294">
        <f>('CF(FY)'!M39+'CF(FY)'!M40+'CF(FY)'!M41)/1000</f>
        <v>-1140</v>
      </c>
      <c r="F734" s="2294">
        <f>('CF(FY)'!N39+'CF(FY)'!N40+'CF(FY)'!N41)/1000</f>
        <v>-1140</v>
      </c>
      <c r="G734" s="2294">
        <f>('CF(FY)'!O39+'CF(FY)'!O40+'CF(FY)'!O41)/1000</f>
        <v>-1140</v>
      </c>
      <c r="H734" s="2295">
        <f>('CF(FY)'!P39+'CF(FY)'!P40+'CF(FY)'!P41)/1000</f>
        <v>-1140</v>
      </c>
    </row>
    <row r="735" spans="2:8" ht="12.75" thickBot="1">
      <c r="B735" s="2293" t="s">
        <v>1607</v>
      </c>
      <c r="C735" s="2294">
        <f t="shared" si="215"/>
        <v>-144.63753334348496</v>
      </c>
      <c r="D735" s="2294">
        <f>('CF(FY)'!L42)/1000</f>
        <v>0</v>
      </c>
      <c r="E735" s="2294">
        <f>('CF(FY)'!M42)/1000</f>
        <v>-144.63753334348496</v>
      </c>
      <c r="F735" s="2294">
        <f>('CF(FY)'!N42)/1000</f>
        <v>0</v>
      </c>
      <c r="G735" s="2294">
        <f>('CF(FY)'!O42)/1000</f>
        <v>0</v>
      </c>
      <c r="H735" s="2295">
        <f>('CF(FY)'!P42)/1000</f>
        <v>0</v>
      </c>
    </row>
    <row r="736" spans="2:8" ht="12.75" thickBot="1">
      <c r="B736" s="2287" t="s">
        <v>1544</v>
      </c>
      <c r="C736" s="2302">
        <f t="shared" si="215"/>
        <v>1603.0836817420436</v>
      </c>
      <c r="D736" s="2302">
        <f>SUM(D737:D741)</f>
        <v>0</v>
      </c>
      <c r="E736" s="2302">
        <f>SUM(E737:E741)</f>
        <v>400.29092043551094</v>
      </c>
      <c r="F736" s="2302">
        <f>SUM(F737:F741)</f>
        <v>400.29092043551094</v>
      </c>
      <c r="G736" s="2302">
        <f>SUM(G737:G741)</f>
        <v>401.25092043551092</v>
      </c>
      <c r="H736" s="2303">
        <f>SUM(H737:H741)</f>
        <v>401.25092043551092</v>
      </c>
    </row>
    <row r="737" spans="2:8">
      <c r="B737" s="2290" t="s">
        <v>190</v>
      </c>
      <c r="C737" s="2291">
        <f t="shared" si="215"/>
        <v>1333.0940000000003</v>
      </c>
      <c r="D737" s="2291">
        <f>-('CF(FY)'!L31)/1000</f>
        <v>0</v>
      </c>
      <c r="E737" s="2291">
        <f>-('CF(FY)'!M31)/1000</f>
        <v>333.27350000000007</v>
      </c>
      <c r="F737" s="2291">
        <f>-('CF(FY)'!N31)/1000</f>
        <v>333.27350000000007</v>
      </c>
      <c r="G737" s="2291">
        <f>-('CF(FY)'!O31)/1000</f>
        <v>333.27350000000007</v>
      </c>
      <c r="H737" s="2292">
        <f>-('CF(FY)'!P31)/1000</f>
        <v>333.27350000000007</v>
      </c>
    </row>
    <row r="738" spans="2:8">
      <c r="B738" s="2293" t="s">
        <v>152</v>
      </c>
      <c r="C738" s="2294">
        <f t="shared" si="215"/>
        <v>52.069681742043549</v>
      </c>
      <c r="D738" s="2294">
        <f>-('CF(FY)'!L33)/1000</f>
        <v>0</v>
      </c>
      <c r="E738" s="2294">
        <f>-('CF(FY)'!M33)/1000</f>
        <v>13.017420435510887</v>
      </c>
      <c r="F738" s="2294">
        <f>-('CF(FY)'!N33)/1000</f>
        <v>13.017420435510887</v>
      </c>
      <c r="G738" s="2294">
        <f>-('CF(FY)'!O33)/1000</f>
        <v>13.017420435510887</v>
      </c>
      <c r="H738" s="2295">
        <f>-('CF(FY)'!P33)/1000</f>
        <v>13.017420435510887</v>
      </c>
    </row>
    <row r="739" spans="2:8">
      <c r="B739" s="2293" t="s">
        <v>150</v>
      </c>
      <c r="C739" s="2294">
        <f t="shared" si="215"/>
        <v>24</v>
      </c>
      <c r="D739" s="2294">
        <f>-('CF(FY)'!L32)/1000</f>
        <v>0</v>
      </c>
      <c r="E739" s="2294">
        <f>-('CF(FY)'!M32)/1000</f>
        <v>6</v>
      </c>
      <c r="F739" s="2294">
        <f>-('CF(FY)'!N32)/1000</f>
        <v>6</v>
      </c>
      <c r="G739" s="2294">
        <f>-('CF(FY)'!O32)/1000</f>
        <v>6</v>
      </c>
      <c r="H739" s="2295">
        <f>-('CF(FY)'!P32)/1000</f>
        <v>6</v>
      </c>
    </row>
    <row r="740" spans="2:8">
      <c r="B740" s="2293" t="s">
        <v>533</v>
      </c>
      <c r="C740" s="2294">
        <f t="shared" si="215"/>
        <v>145.44</v>
      </c>
      <c r="D740" s="2294">
        <f>-('CF(FY)'!L34)/1000</f>
        <v>0</v>
      </c>
      <c r="E740" s="2294">
        <f>-('CF(FY)'!M34)/1000</f>
        <v>36</v>
      </c>
      <c r="F740" s="2294">
        <f>-('CF(FY)'!N34)/1000</f>
        <v>36</v>
      </c>
      <c r="G740" s="2294">
        <f>-('CF(FY)'!O34)/1000</f>
        <v>36.72</v>
      </c>
      <c r="H740" s="2295">
        <f>-('CF(FY)'!P34)/1000</f>
        <v>36.72</v>
      </c>
    </row>
    <row r="741" spans="2:8" ht="12.75" thickBot="1">
      <c r="B741" s="2293" t="s">
        <v>463</v>
      </c>
      <c r="C741" s="2294">
        <f t="shared" si="215"/>
        <v>48.480000000000004</v>
      </c>
      <c r="D741" s="2294">
        <f>-('CF(FY)'!L30)/1000</f>
        <v>0</v>
      </c>
      <c r="E741" s="2294">
        <f>-('CF(FY)'!M30)/1000</f>
        <v>12</v>
      </c>
      <c r="F741" s="2294">
        <f>-('CF(FY)'!N30)/1000</f>
        <v>12</v>
      </c>
      <c r="G741" s="2294">
        <f>-('CF(FY)'!O30)/1000</f>
        <v>12.24</v>
      </c>
      <c r="H741" s="2295">
        <f>-('CF(FY)'!P30)/1000</f>
        <v>12.24</v>
      </c>
    </row>
    <row r="742" spans="2:8" ht="12.75" thickBot="1">
      <c r="B742" s="2287" t="s">
        <v>1545</v>
      </c>
      <c r="C742" s="2302">
        <f t="shared" si="215"/>
        <v>-288956.19792442792</v>
      </c>
      <c r="D742" s="2302">
        <f>SUM(D743:D746)</f>
        <v>-301756.66963053192</v>
      </c>
      <c r="E742" s="2302">
        <f>SUM(E743:E746)</f>
        <v>12800.493159896285</v>
      </c>
      <c r="F742" s="2302">
        <f>SUM(F743:F746)</f>
        <v>0</v>
      </c>
      <c r="G742" s="2302">
        <f>SUM(G743:G746)</f>
        <v>-2.145379227893136E-2</v>
      </c>
      <c r="H742" s="2303">
        <f>SUM(H743:H746)</f>
        <v>-1.1641532182693482E-13</v>
      </c>
    </row>
    <row r="743" spans="2:8">
      <c r="B743" s="2293" t="s">
        <v>1507</v>
      </c>
      <c r="C743" s="2294">
        <f t="shared" si="215"/>
        <v>-270000</v>
      </c>
      <c r="D743" s="2294">
        <f>('CF(FY)'!L56)/1000</f>
        <v>-270000</v>
      </c>
      <c r="E743" s="2294">
        <f>('CF(FY)'!M56)/1000</f>
        <v>0</v>
      </c>
      <c r="F743" s="2294">
        <f>('CF(FY)'!N56)/1000</f>
        <v>0</v>
      </c>
      <c r="G743" s="2294">
        <f>('CF(FY)'!O56)/1000</f>
        <v>0</v>
      </c>
      <c r="H743" s="2295">
        <f>('CF(FY)'!P56)/1000</f>
        <v>0</v>
      </c>
    </row>
    <row r="744" spans="2:8">
      <c r="B744" s="2293" t="s">
        <v>1609</v>
      </c>
      <c r="C744" s="2294">
        <f t="shared" si="215"/>
        <v>-18899.999999999956</v>
      </c>
      <c r="D744" s="2294">
        <f>('CF(FY)'!L57+'CF(FY)'!L58+'CF(FY)'!L59+'CF(FY)'!L60+'CF(FY)'!L61)/1000</f>
        <v>-18899.999999999956</v>
      </c>
      <c r="E744" s="2294">
        <f>('CF(FY)'!M57+'CF(FY)'!M58+'CF(FY)'!M59+'CF(FY)'!M60+'CF(FY)'!M61)/1000</f>
        <v>0</v>
      </c>
      <c r="F744" s="2294">
        <f>('CF(FY)'!N57+'CF(FY)'!N58+'CF(FY)'!N59+'CF(FY)'!N60+'CF(FY)'!N61)/1000</f>
        <v>0</v>
      </c>
      <c r="G744" s="2294">
        <f>('CF(FY)'!O57+'CF(FY)'!O58+'CF(FY)'!O59+'CF(FY)'!O60+'CF(FY)'!O61)/1000</f>
        <v>0</v>
      </c>
      <c r="H744" s="2295">
        <f>('CF(FY)'!P57+'CF(FY)'!P58+'CF(FY)'!P59+'CF(FY)'!P60+'CF(FY)'!P61)/1000</f>
        <v>0</v>
      </c>
    </row>
    <row r="745" spans="2:8" hidden="1">
      <c r="B745" s="2293" t="s">
        <v>1610</v>
      </c>
      <c r="C745" s="2294">
        <f t="shared" si="215"/>
        <v>0</v>
      </c>
      <c r="D745" s="2294">
        <f>('CF(FY)'!L51+'CF(FY)'!L52+'CF(FY)'!L53+'CF(FY)'!L54)/1000</f>
        <v>0</v>
      </c>
      <c r="E745" s="2294">
        <f>('CF(FY)'!M51+'CF(FY)'!M52+'CF(FY)'!M53+'CF(FY)'!M54)/1000</f>
        <v>0</v>
      </c>
      <c r="F745" s="2294">
        <f>('CF(FY)'!N51+'CF(FY)'!N52+'CF(FY)'!N53+'CF(FY)'!N54)/1000</f>
        <v>0</v>
      </c>
      <c r="G745" s="2294">
        <f>('CF(FY)'!O51+'CF(FY)'!O52+'CF(FY)'!O53+'CF(FY)'!O54)/1000</f>
        <v>0</v>
      </c>
      <c r="H745" s="2295">
        <f>('CF(FY)'!P51+'CF(FY)'!P52+'CF(FY)'!P53+'CF(FY)'!P54)/1000</f>
        <v>0</v>
      </c>
    </row>
    <row r="746" spans="2:8" ht="12.75" thickBot="1">
      <c r="B746" s="2293" t="s">
        <v>1608</v>
      </c>
      <c r="C746" s="2294">
        <f t="shared" si="215"/>
        <v>-56.197924427992533</v>
      </c>
      <c r="D746" s="2294">
        <f>('CF(FY)'!L45+'CF(FY)'!L46+'CF(FY)'!L47+'CF(FY)'!L48)/1000</f>
        <v>-12856.669630531998</v>
      </c>
      <c r="E746" s="2294">
        <f>('CF(FY)'!M45+'CF(FY)'!M46+'CF(FY)'!M47+'CF(FY)'!M48)/1000</f>
        <v>12800.493159896285</v>
      </c>
      <c r="F746" s="2294">
        <f>('CF(FY)'!N45+'CF(FY)'!N46+'CF(FY)'!N47+'CF(FY)'!N48)/1000</f>
        <v>0</v>
      </c>
      <c r="G746" s="2294">
        <f>('CF(FY)'!O45+'CF(FY)'!O46+'CF(FY)'!O47+'CF(FY)'!O48)/1000</f>
        <v>-2.145379227893136E-2</v>
      </c>
      <c r="H746" s="2295">
        <f>('CF(FY)'!P45+'CF(FY)'!P46+'CF(FY)'!P47+'CF(FY)'!P48)/1000</f>
        <v>-1.1641532182693482E-13</v>
      </c>
    </row>
    <row r="747" spans="2:8" ht="12.75" thickBot="1">
      <c r="B747" s="2287" t="s">
        <v>1546</v>
      </c>
      <c r="C747" s="2302">
        <f t="shared" ca="1" si="215"/>
        <v>291930.00000000006</v>
      </c>
      <c r="D747" s="2302">
        <f ca="1">SUM(D748:D761)</f>
        <v>311756.66963053204</v>
      </c>
      <c r="E747" s="2302">
        <f ca="1">SUM(E748:E761)</f>
        <v>-16126.669630531998</v>
      </c>
      <c r="F747" s="2302">
        <f ca="1">SUM(F748:F761)</f>
        <v>-3270</v>
      </c>
      <c r="G747" s="2302">
        <f ca="1">SUM(G748:G761)</f>
        <v>-2715</v>
      </c>
      <c r="H747" s="2303">
        <f ca="1">SUM(H748:H761)</f>
        <v>2285</v>
      </c>
    </row>
    <row r="748" spans="2:8">
      <c r="B748" s="2290" t="s">
        <v>1592</v>
      </c>
      <c r="C748" s="2291">
        <f t="shared" si="215"/>
        <v>0</v>
      </c>
      <c r="D748" s="2291">
        <f>('CF(FY)'!L88+'CF(FY)'!L89)/1000</f>
        <v>12856.669630531998</v>
      </c>
      <c r="E748" s="2291">
        <f>('CF(FY)'!M88+'CF(FY)'!M89)/1000</f>
        <v>-12856.669630531998</v>
      </c>
      <c r="F748" s="2291">
        <f>('CF(FY)'!N88+'CF(FY)'!N89)/1000</f>
        <v>0</v>
      </c>
      <c r="G748" s="2291">
        <f>('CF(FY)'!O88+'CF(FY)'!O89)/1000</f>
        <v>0</v>
      </c>
      <c r="H748" s="2292">
        <f>('CF(FY)'!P88+'CF(FY)'!P89)/1000</f>
        <v>0</v>
      </c>
    </row>
    <row r="749" spans="2:8">
      <c r="B749" s="2293" t="s">
        <v>205</v>
      </c>
      <c r="C749" s="2294">
        <f t="shared" si="215"/>
        <v>2100</v>
      </c>
      <c r="D749" s="2294">
        <f>('CF(FY)'!L64+'CF(FY)'!L65)/1000</f>
        <v>2100</v>
      </c>
      <c r="E749" s="2294">
        <f>('CF(FY)'!M64+'CF(FY)'!M65)/1000</f>
        <v>0</v>
      </c>
      <c r="F749" s="2294">
        <f>('CF(FY)'!N64+'CF(FY)'!N65)/1000</f>
        <v>0</v>
      </c>
      <c r="G749" s="2294">
        <f>('CF(FY)'!O64+'CF(FY)'!O65)/1000</f>
        <v>0</v>
      </c>
      <c r="H749" s="2295">
        <f>('CF(FY)'!P64+'CF(FY)'!P65)/1000</f>
        <v>0</v>
      </c>
    </row>
    <row r="750" spans="2:8">
      <c r="B750" s="2293" t="s">
        <v>1561</v>
      </c>
      <c r="C750" s="2294">
        <f t="shared" si="215"/>
        <v>213000</v>
      </c>
      <c r="D750" s="2294">
        <f>('CF(FY)'!L67+'CF(FY)'!L68+'CF(FY)'!L70+'CF(FY)'!L71+'CF(FY)'!L73+'CF(FY)'!L74)/1000</f>
        <v>160000</v>
      </c>
      <c r="E750" s="2294">
        <f>('CF(FY)'!M67+'CF(FY)'!M68+'CF(FY)'!M70+'CF(FY)'!M71+'CF(FY)'!M73+'CF(FY)'!M74)/1000</f>
        <v>0</v>
      </c>
      <c r="F750" s="2294">
        <f>('CF(FY)'!N67+'CF(FY)'!N68+'CF(FY)'!N70+'CF(FY)'!N71+'CF(FY)'!N73+'CF(FY)'!N74)/1000</f>
        <v>0</v>
      </c>
      <c r="G750" s="2294">
        <f>('CF(FY)'!O67+'CF(FY)'!O68+'CF(FY)'!O70+'CF(FY)'!O71+'CF(FY)'!O73+'CF(FY)'!O74)/1000</f>
        <v>0</v>
      </c>
      <c r="H750" s="2295">
        <f>('CF(FY)'!P67+'CF(FY)'!P68+'CF(FY)'!P70+'CF(FY)'!P71+'CF(FY)'!P73+'CF(FY)'!P74)/1000</f>
        <v>53000</v>
      </c>
    </row>
    <row r="751" spans="2:8">
      <c r="B751" s="2293" t="s">
        <v>1563</v>
      </c>
      <c r="C751" s="2294">
        <f t="shared" si="215"/>
        <v>0</v>
      </c>
      <c r="D751" s="2294">
        <f>('CF(FY)'!L76+'CF(FY)'!L77+'CF(FY)'!L79+'CF(FY)'!L80+'CF(FY)'!L82+'CF(FY)'!L83)/1000</f>
        <v>38000</v>
      </c>
      <c r="E751" s="2294">
        <f>('CF(FY)'!M76+'CF(FY)'!M77+'CF(FY)'!M79+'CF(FY)'!M80+'CF(FY)'!M82+'CF(FY)'!M83)/1000</f>
        <v>0</v>
      </c>
      <c r="F751" s="2294">
        <f>('CF(FY)'!N76+'CF(FY)'!N77+'CF(FY)'!N79+'CF(FY)'!N80+'CF(FY)'!N82+'CF(FY)'!N83)/1000</f>
        <v>0</v>
      </c>
      <c r="G751" s="2294">
        <f>('CF(FY)'!O76+'CF(FY)'!O77+'CF(FY)'!O79+'CF(FY)'!O80+'CF(FY)'!O82+'CF(FY)'!O83)/1000</f>
        <v>0</v>
      </c>
      <c r="H751" s="2295">
        <f>('CF(FY)'!P76+'CF(FY)'!P77+'CF(FY)'!P79+'CF(FY)'!P80+'CF(FY)'!P82+'CF(FY)'!P83)/1000</f>
        <v>-38000</v>
      </c>
    </row>
    <row r="752" spans="2:8">
      <c r="B752" s="2293" t="s">
        <v>1564</v>
      </c>
      <c r="C752" s="2294">
        <f t="shared" si="215"/>
        <v>24000</v>
      </c>
      <c r="D752" s="2294">
        <f>('CF(FY)'!L91)/1000</f>
        <v>24000</v>
      </c>
      <c r="E752" s="2294">
        <f>('CF(FY)'!M91)/1000</f>
        <v>0</v>
      </c>
      <c r="F752" s="2294">
        <f>('CF(FY)'!N91)/1000</f>
        <v>0</v>
      </c>
      <c r="G752" s="2294">
        <f>('CF(FY)'!O91)/1000</f>
        <v>0</v>
      </c>
      <c r="H752" s="2295">
        <f>('CF(FY)'!P91)/1000</f>
        <v>0</v>
      </c>
    </row>
    <row r="753" spans="1:8">
      <c r="B753" s="2293" t="s">
        <v>1565</v>
      </c>
      <c r="C753" s="2294">
        <f t="shared" si="215"/>
        <v>50000</v>
      </c>
      <c r="D753" s="2294">
        <f>('CF(FY)'!L96)/1000</f>
        <v>50000</v>
      </c>
      <c r="E753" s="2294">
        <f>('CF(FY)'!M96)/1000</f>
        <v>0</v>
      </c>
      <c r="F753" s="2294">
        <f>('CF(FY)'!N96)/1000</f>
        <v>0</v>
      </c>
      <c r="G753" s="2294">
        <f>('CF(FY)'!O96)/1000</f>
        <v>0</v>
      </c>
      <c r="H753" s="2295">
        <f>('CF(FY)'!P96)/1000</f>
        <v>0</v>
      </c>
    </row>
    <row r="754" spans="1:8">
      <c r="B754" s="2293" t="s">
        <v>1566</v>
      </c>
      <c r="C754" s="2294">
        <f t="shared" si="215"/>
        <v>0</v>
      </c>
      <c r="D754" s="2294">
        <f>('CF(FY)'!L101+'CF(FY)'!L102+'CF(FY)'!L103+'CF(FY)'!L104)/1000</f>
        <v>10000</v>
      </c>
      <c r="E754" s="2294">
        <f>('CF(FY)'!M101+'CF(FY)'!M102+'CF(FY)'!M103+'CF(FY)'!M104)/1000</f>
        <v>0</v>
      </c>
      <c r="F754" s="2294">
        <f>('CF(FY)'!N101+'CF(FY)'!N102+'CF(FY)'!N103+'CF(FY)'!N104)/1000</f>
        <v>0</v>
      </c>
      <c r="G754" s="2294">
        <f>('CF(FY)'!O101+'CF(FY)'!O102+'CF(FY)'!O103+'CF(FY)'!O104)/1000</f>
        <v>0</v>
      </c>
      <c r="H754" s="2295">
        <f>('CF(FY)'!P101+'CF(FY)'!P102+'CF(FY)'!P103+'CF(FY)'!P104)/1000</f>
        <v>-10000</v>
      </c>
    </row>
    <row r="755" spans="1:8">
      <c r="B755" s="2293" t="s">
        <v>19</v>
      </c>
      <c r="C755" s="2294">
        <f t="shared" si="215"/>
        <v>14800</v>
      </c>
      <c r="D755" s="2294">
        <f>('CF(FY)'!L106)/1000</f>
        <v>14800</v>
      </c>
      <c r="E755" s="2294">
        <f>('CF(FY)'!M106)/1000</f>
        <v>0</v>
      </c>
      <c r="F755" s="2294">
        <f>('CF(FY)'!N106)/1000</f>
        <v>0</v>
      </c>
      <c r="G755" s="2294">
        <f>('CF(FY)'!O106)/1000</f>
        <v>0</v>
      </c>
      <c r="H755" s="2295">
        <f>('CF(FY)'!P106)/1000</f>
        <v>0</v>
      </c>
    </row>
    <row r="756" spans="1:8">
      <c r="B756" s="2293" t="s">
        <v>1547</v>
      </c>
      <c r="C756" s="2294">
        <f t="shared" ca="1" si="215"/>
        <v>-3360.0000000000005</v>
      </c>
      <c r="D756" s="2294">
        <f ca="1">('CF(FY)'!L93)/1000</f>
        <v>0</v>
      </c>
      <c r="E756" s="2294">
        <f ca="1">('CF(FY)'!M93)/1000</f>
        <v>-840.00000000000011</v>
      </c>
      <c r="F756" s="2294">
        <f ca="1">('CF(FY)'!N93)/1000</f>
        <v>-840.00000000000011</v>
      </c>
      <c r="G756" s="2294">
        <f ca="1">('CF(FY)'!O93)/1000</f>
        <v>-840.00000000000011</v>
      </c>
      <c r="H756" s="2295">
        <f ca="1">('CF(FY)'!P93)/1000</f>
        <v>-840.00000000000011</v>
      </c>
    </row>
    <row r="757" spans="1:8">
      <c r="B757" s="2293" t="s">
        <v>1548</v>
      </c>
      <c r="C757" s="2294">
        <f t="shared" ca="1" si="215"/>
        <v>-7500</v>
      </c>
      <c r="D757" s="2294">
        <f ca="1">('CF(FY)'!L98)/1000</f>
        <v>0</v>
      </c>
      <c r="E757" s="2294">
        <f ca="1">('CF(FY)'!M98)/1000</f>
        <v>-1875</v>
      </c>
      <c r="F757" s="2294">
        <f ca="1">('CF(FY)'!N98)/1000</f>
        <v>-1875</v>
      </c>
      <c r="G757" s="2294">
        <f ca="1">('CF(FY)'!O98)/1000</f>
        <v>-1875</v>
      </c>
      <c r="H757" s="2295">
        <f ca="1">('CF(FY)'!P98)/1000</f>
        <v>-1875</v>
      </c>
    </row>
    <row r="758" spans="1:8" ht="12.75" thickBot="1">
      <c r="B758" s="2293" t="s">
        <v>1549</v>
      </c>
      <c r="C758" s="2294">
        <f t="shared" ca="1" si="215"/>
        <v>-1110</v>
      </c>
      <c r="D758" s="2294">
        <f ca="1">('CF(FY)'!L108)/1000</f>
        <v>0</v>
      </c>
      <c r="E758" s="2294">
        <f ca="1">('CF(FY)'!M108)/1000</f>
        <v>-555</v>
      </c>
      <c r="F758" s="2294">
        <f ca="1">('CF(FY)'!N108)/1000</f>
        <v>-555</v>
      </c>
      <c r="G758" s="2294">
        <f ca="1">('CF(FY)'!O108)/1000</f>
        <v>0</v>
      </c>
      <c r="H758" s="2295">
        <f ca="1">('CF(FY)'!P108)/1000</f>
        <v>0</v>
      </c>
    </row>
    <row r="759" spans="1:8" hidden="1">
      <c r="B759" s="2293" t="s">
        <v>1611</v>
      </c>
      <c r="C759" s="2294">
        <f t="shared" si="215"/>
        <v>0</v>
      </c>
      <c r="D759" s="2294">
        <f>('CF(FY)'!L92+'CF(FY)'!L94)/1000</f>
        <v>0</v>
      </c>
      <c r="E759" s="2294">
        <f>('CF(FY)'!M92+'CF(FY)'!M94)/1000</f>
        <v>0</v>
      </c>
      <c r="F759" s="2294">
        <f>('CF(FY)'!N92+'CF(FY)'!N94)/1000</f>
        <v>0</v>
      </c>
      <c r="G759" s="2294">
        <f>('CF(FY)'!O92+'CF(FY)'!O94)/1000</f>
        <v>0</v>
      </c>
      <c r="H759" s="2295">
        <f>('CF(FY)'!P92+'CF(FY)'!P94)/1000</f>
        <v>0</v>
      </c>
    </row>
    <row r="760" spans="1:8" hidden="1">
      <c r="B760" s="2293" t="s">
        <v>1612</v>
      </c>
      <c r="C760" s="2294">
        <f t="shared" si="215"/>
        <v>0</v>
      </c>
      <c r="D760" s="2294">
        <f>('CF(FY)'!L97+'CF(FY)'!L99)/1000</f>
        <v>0</v>
      </c>
      <c r="E760" s="2294">
        <f>('CF(FY)'!M97+'CF(FY)'!M99)/1000</f>
        <v>0</v>
      </c>
      <c r="F760" s="2294">
        <f>('CF(FY)'!N97+'CF(FY)'!N99)/1000</f>
        <v>0</v>
      </c>
      <c r="G760" s="2294">
        <f>('CF(FY)'!O97+'CF(FY)'!O99)/1000</f>
        <v>0</v>
      </c>
      <c r="H760" s="2295">
        <f>('CF(FY)'!P97+'CF(FY)'!P99)/1000</f>
        <v>0</v>
      </c>
    </row>
    <row r="761" spans="1:8" ht="12.75" hidden="1" thickBot="1">
      <c r="B761" s="2293" t="s">
        <v>1613</v>
      </c>
      <c r="C761" s="2294">
        <f t="shared" si="215"/>
        <v>0</v>
      </c>
      <c r="D761" s="2294">
        <f>('CF(FY)'!L107+'CF(FY)'!L109)/1000</f>
        <v>0</v>
      </c>
      <c r="E761" s="2294">
        <f>('CF(FY)'!M107+'CF(FY)'!M109)/1000</f>
        <v>0</v>
      </c>
      <c r="F761" s="2294">
        <f>('CF(FY)'!N107+'CF(FY)'!N109)/1000</f>
        <v>0</v>
      </c>
      <c r="G761" s="2294">
        <f>('CF(FY)'!O107+'CF(FY)'!O109)/1000</f>
        <v>0</v>
      </c>
      <c r="H761" s="2295">
        <f>('CF(FY)'!P107+'CF(FY)'!P109)/1000</f>
        <v>0</v>
      </c>
    </row>
    <row r="762" spans="1:8" ht="12.75" thickBot="1">
      <c r="B762" s="2287" t="s">
        <v>1552</v>
      </c>
      <c r="C762" s="2302">
        <f ca="1">ROUND(H764-D763,0)</f>
        <v>8148</v>
      </c>
      <c r="D762" s="2302">
        <f ca="1">D716+D742+D747</f>
        <v>10000.000000000116</v>
      </c>
      <c r="E762" s="2302">
        <f ca="1">E716+E742+E747</f>
        <v>-2515.991595130994</v>
      </c>
      <c r="F762" s="2302">
        <f ca="1">F716+F742+F747</f>
        <v>-1648.0900613060148</v>
      </c>
      <c r="G762" s="2302">
        <f ca="1">G716+G742+G747</f>
        <v>-1682.7649095997363</v>
      </c>
      <c r="H762" s="2303">
        <f ca="1">H716+H742+H747</f>
        <v>3994.7172517928011</v>
      </c>
    </row>
    <row r="763" spans="1:8" ht="12.75" thickBot="1">
      <c r="B763" s="2301" t="s">
        <v>1550</v>
      </c>
      <c r="C763" s="2302">
        <f ca="1">SUM(D763:H763)</f>
        <v>27473.080182395715</v>
      </c>
      <c r="D763" s="2302">
        <v>0</v>
      </c>
      <c r="E763" s="2302">
        <f ca="1">D764</f>
        <v>10000.000000000116</v>
      </c>
      <c r="F763" s="2302">
        <f ca="1">E764</f>
        <v>7484.0084048691224</v>
      </c>
      <c r="G763" s="2302">
        <f ca="1">F764</f>
        <v>5835.9183435631076</v>
      </c>
      <c r="H763" s="2303">
        <f ca="1">G764</f>
        <v>4153.1534339633708</v>
      </c>
    </row>
    <row r="764" spans="1:8" ht="12.75" thickBot="1">
      <c r="B764" s="2287" t="s">
        <v>1551</v>
      </c>
      <c r="C764" s="2302">
        <f ca="1">SUM(D764:H764)</f>
        <v>35620.950868151886</v>
      </c>
      <c r="D764" s="2302">
        <f ca="1">SUM(D762:D763)</f>
        <v>10000.000000000116</v>
      </c>
      <c r="E764" s="2302">
        <f ca="1">SUM(E762:E763)</f>
        <v>7484.0084048691224</v>
      </c>
      <c r="F764" s="2302">
        <f ca="1">SUM(F762:F763)</f>
        <v>5835.9183435631076</v>
      </c>
      <c r="G764" s="2302">
        <f ca="1">SUM(G762:G763)</f>
        <v>4153.1534339633708</v>
      </c>
      <c r="H764" s="2303">
        <f ca="1">SUM(H762:H763)</f>
        <v>8147.870685756172</v>
      </c>
    </row>
    <row r="765" spans="1:8">
      <c r="C765" s="2304"/>
      <c r="D765" s="2304"/>
      <c r="E765" s="2304"/>
      <c r="F765" s="2304"/>
      <c r="G765" s="2304"/>
      <c r="H765" s="2495">
        <f ca="1">L633</f>
        <v>8147.8706857561701</v>
      </c>
    </row>
    <row r="766" spans="1:8">
      <c r="C766" s="2304"/>
      <c r="D766" s="2304"/>
      <c r="E766" s="2304"/>
      <c r="F766" s="2304"/>
      <c r="G766" s="2304" t="s">
        <v>566</v>
      </c>
      <c r="H766" s="2496">
        <f ca="1">H764-H765</f>
        <v>0</v>
      </c>
    </row>
    <row r="768" spans="1:8">
      <c r="A768" s="2232" t="s">
        <v>1665</v>
      </c>
    </row>
    <row r="769" spans="2:8">
      <c r="B769" s="3100" t="s">
        <v>1448</v>
      </c>
      <c r="C769" s="3102" t="s">
        <v>1459</v>
      </c>
      <c r="D769" s="2410" t="str">
        <f t="shared" ref="D769:H770" si="218">D714</f>
        <v>26.10</v>
      </c>
      <c r="E769" s="2410" t="str">
        <f t="shared" si="218"/>
        <v>27.04</v>
      </c>
      <c r="F769" s="2410" t="str">
        <f t="shared" si="218"/>
        <v>27.10</v>
      </c>
      <c r="G769" s="2410" t="str">
        <f t="shared" si="218"/>
        <v>28.04</v>
      </c>
      <c r="H769" s="2411" t="str">
        <f t="shared" si="218"/>
        <v>28.10</v>
      </c>
    </row>
    <row r="770" spans="2:8" ht="12.75" thickBot="1">
      <c r="B770" s="3101"/>
      <c r="C770" s="3103"/>
      <c r="D770" s="2283" t="str">
        <f t="shared" si="218"/>
        <v>투자일</v>
      </c>
      <c r="E770" s="2492">
        <f t="shared" si="218"/>
        <v>1</v>
      </c>
      <c r="F770" s="2492">
        <f t="shared" si="218"/>
        <v>2</v>
      </c>
      <c r="G770" s="2492">
        <f t="shared" si="218"/>
        <v>3</v>
      </c>
      <c r="H770" s="2493">
        <f t="shared" si="218"/>
        <v>4</v>
      </c>
    </row>
    <row r="771" spans="2:8">
      <c r="B771" s="2290" t="s">
        <v>1554</v>
      </c>
      <c r="C771" s="2291"/>
      <c r="D771" s="2291">
        <f ca="1">'BS(FY)'!K11/1000</f>
        <v>10000</v>
      </c>
      <c r="E771" s="2291">
        <f ca="1">'BS(FY)'!L11/1000</f>
        <v>7484.0084048690023</v>
      </c>
      <c r="F771" s="2291">
        <f ca="1">'BS(FY)'!M11/1000</f>
        <v>5835.9183435629857</v>
      </c>
      <c r="G771" s="2291">
        <f ca="1">'BS(FY)'!N11/1000</f>
        <v>4153.1534339632462</v>
      </c>
      <c r="H771" s="2292">
        <f ca="1">'BS(FY)'!O11/1000</f>
        <v>8147.8706857560483</v>
      </c>
    </row>
    <row r="772" spans="2:8">
      <c r="B772" s="2293" t="s">
        <v>1614</v>
      </c>
      <c r="C772" s="2294"/>
      <c r="D772" s="2294">
        <f>'BS(FY)'!K12/1000</f>
        <v>12856.669630531998</v>
      </c>
      <c r="E772" s="2294">
        <f>'BS(FY)'!L12/1000</f>
        <v>56.176470635715539</v>
      </c>
      <c r="F772" s="2294">
        <f>'BS(FY)'!M12/1000</f>
        <v>56.176470635715539</v>
      </c>
      <c r="G772" s="2294">
        <f>'BS(FY)'!N12/1000</f>
        <v>56.197924427994352</v>
      </c>
      <c r="H772" s="2295">
        <f>'BS(FY)'!O12/1000</f>
        <v>56.197924427994352</v>
      </c>
    </row>
    <row r="773" spans="2:8" hidden="1">
      <c r="B773" s="2293" t="s">
        <v>237</v>
      </c>
      <c r="C773" s="2294"/>
      <c r="D773" s="2294">
        <f>'BS(FY)'!K13/1000</f>
        <v>0</v>
      </c>
      <c r="E773" s="2294">
        <f>'BS(FY)'!L13/1000</f>
        <v>0</v>
      </c>
      <c r="F773" s="2294">
        <f>'BS(FY)'!M13/1000</f>
        <v>0</v>
      </c>
      <c r="G773" s="2294">
        <f>'BS(FY)'!N13/1000</f>
        <v>0</v>
      </c>
      <c r="H773" s="2295">
        <f>'BS(FY)'!O13/1000</f>
        <v>0</v>
      </c>
    </row>
    <row r="774" spans="2:8">
      <c r="B774" s="2293" t="s">
        <v>238</v>
      </c>
      <c r="C774" s="2294"/>
      <c r="D774" s="2294">
        <f ca="1">'BS(FY)'!K14/1000</f>
        <v>0</v>
      </c>
      <c r="E774" s="2294">
        <f ca="1">'BS(FY)'!L14/1000</f>
        <v>371.14234999999996</v>
      </c>
      <c r="F774" s="2294">
        <f ca="1">'BS(FY)'!M14/1000</f>
        <v>-1.0186340659856796E-13</v>
      </c>
      <c r="G774" s="2294">
        <f ca="1">'BS(FY)'!N14/1000</f>
        <v>363.71950299999997</v>
      </c>
      <c r="H774" s="2295">
        <f ca="1">'BS(FY)'!O14/1000</f>
        <v>-7.2759576141834261E-14</v>
      </c>
    </row>
    <row r="775" spans="2:8">
      <c r="B775" s="2293" t="s">
        <v>240</v>
      </c>
      <c r="C775" s="2294"/>
      <c r="D775" s="2294">
        <f>'BS(FY)'!K16/1000</f>
        <v>152192.51999999999</v>
      </c>
      <c r="E775" s="2294">
        <f>'BS(FY)'!L16/1000</f>
        <v>152192.51999999999</v>
      </c>
      <c r="F775" s="2294">
        <f>'BS(FY)'!M16/1000</f>
        <v>152192.51999999999</v>
      </c>
      <c r="G775" s="2294">
        <f>'BS(FY)'!N16/1000</f>
        <v>152192.51999999999</v>
      </c>
      <c r="H775" s="2295">
        <f>'BS(FY)'!O16/1000</f>
        <v>152192.51999999999</v>
      </c>
    </row>
    <row r="776" spans="2:8">
      <c r="B776" s="2293" t="s">
        <v>241</v>
      </c>
      <c r="C776" s="2294"/>
      <c r="D776" s="2294">
        <f>'BS(FY)'!K17/1000</f>
        <v>136707.48000000001</v>
      </c>
      <c r="E776" s="2294">
        <f>'BS(FY)'!L17/1000</f>
        <v>136707.48000000001</v>
      </c>
      <c r="F776" s="2294">
        <f>'BS(FY)'!M17/1000</f>
        <v>136707.48000000001</v>
      </c>
      <c r="G776" s="2294">
        <f>'BS(FY)'!N17/1000</f>
        <v>136707.48000000001</v>
      </c>
      <c r="H776" s="2295">
        <f>'BS(FY)'!O17/1000</f>
        <v>136707.48000000001</v>
      </c>
    </row>
    <row r="777" spans="2:8" ht="12.75" thickBot="1">
      <c r="B777" s="2293" t="s">
        <v>517</v>
      </c>
      <c r="C777" s="2294"/>
      <c r="D777" s="2294">
        <f>'BS(FY)'!K18/1000</f>
        <v>0</v>
      </c>
      <c r="E777" s="2294">
        <f>'BS(FY)'!L18/1000</f>
        <v>-1708.8434999999999</v>
      </c>
      <c r="F777" s="2294">
        <f>'BS(FY)'!M18/1000</f>
        <v>-3417.6869999999999</v>
      </c>
      <c r="G777" s="2294">
        <f>'BS(FY)'!N18/1000</f>
        <v>-5126.5304999999998</v>
      </c>
      <c r="H777" s="2295">
        <f>'BS(FY)'!O18/1000</f>
        <v>-6835.3739999999998</v>
      </c>
    </row>
    <row r="778" spans="2:8" ht="12.75" thickBot="1">
      <c r="B778" s="2287" t="s">
        <v>1555</v>
      </c>
      <c r="C778" s="2288"/>
      <c r="D778" s="2288">
        <f ca="1">SUM(D771:D777)</f>
        <v>311756.66963053204</v>
      </c>
      <c r="E778" s="2288">
        <f ca="1">SUM(E771:E777)</f>
        <v>295102.48372550466</v>
      </c>
      <c r="F778" s="2288">
        <f ca="1">SUM(F771:F777)</f>
        <v>291374.4078141987</v>
      </c>
      <c r="G778" s="2288">
        <f ca="1">SUM(G771:G777)</f>
        <v>288346.54036139126</v>
      </c>
      <c r="H778" s="2289">
        <f ca="1">SUM(H771:H777)</f>
        <v>290268.694610184</v>
      </c>
    </row>
    <row r="779" spans="2:8" hidden="1">
      <c r="B779" s="2293" t="s">
        <v>1608</v>
      </c>
      <c r="C779" s="2294"/>
      <c r="D779" s="2294">
        <f>'BS(FY)'!K21/1000</f>
        <v>0</v>
      </c>
      <c r="E779" s="2294">
        <f>'BS(FY)'!L21/1000</f>
        <v>0</v>
      </c>
      <c r="F779" s="2294">
        <f>'BS(FY)'!M21/1000</f>
        <v>0</v>
      </c>
      <c r="G779" s="2294">
        <f>'BS(FY)'!N21/1000</f>
        <v>0</v>
      </c>
      <c r="H779" s="2295">
        <f>'BS(FY)'!O21/1000</f>
        <v>0</v>
      </c>
    </row>
    <row r="780" spans="2:8">
      <c r="B780" s="2293" t="s">
        <v>1592</v>
      </c>
      <c r="C780" s="2294"/>
      <c r="D780" s="2294">
        <f>'BS(FY)'!K22/1000</f>
        <v>12856.669630531998</v>
      </c>
      <c r="E780" s="2294">
        <f>'BS(FY)'!L22/1000</f>
        <v>0</v>
      </c>
      <c r="F780" s="2294">
        <f>'BS(FY)'!M22/1000</f>
        <v>0</v>
      </c>
      <c r="G780" s="2294">
        <f>'BS(FY)'!N22/1000</f>
        <v>0</v>
      </c>
      <c r="H780" s="2295">
        <f>'BS(FY)'!O22/1000</f>
        <v>0</v>
      </c>
    </row>
    <row r="781" spans="2:8" hidden="1">
      <c r="B781" s="2293" t="s">
        <v>568</v>
      </c>
      <c r="C781" s="2294"/>
      <c r="D781" s="2294">
        <f>'BS(FY)'!K23/1000</f>
        <v>0</v>
      </c>
      <c r="E781" s="2294">
        <f>'BS(FY)'!L23/1000</f>
        <v>0</v>
      </c>
      <c r="F781" s="2294">
        <f>'BS(FY)'!M23/1000</f>
        <v>0</v>
      </c>
      <c r="G781" s="2294">
        <f>'BS(FY)'!N23/1000</f>
        <v>0</v>
      </c>
      <c r="H781" s="2295">
        <f>'BS(FY)'!O23/1000</f>
        <v>0</v>
      </c>
    </row>
    <row r="782" spans="2:8">
      <c r="B782" s="2293" t="s">
        <v>569</v>
      </c>
      <c r="C782" s="2294"/>
      <c r="D782" s="2294">
        <f>'BS(FY)'!K24/1000</f>
        <v>0</v>
      </c>
      <c r="E782" s="2294">
        <f>'BS(FY)'!L24/1000</f>
        <v>343.23767333333336</v>
      </c>
      <c r="F782" s="2294">
        <f>'BS(FY)'!M24/1000</f>
        <v>191.94920666666667</v>
      </c>
      <c r="G782" s="2294">
        <f>'BS(FY)'!N24/1000</f>
        <v>427.61647628333333</v>
      </c>
      <c r="H782" s="2295">
        <f>'BS(FY)'!O24/1000</f>
        <v>194.63845765833329</v>
      </c>
    </row>
    <row r="783" spans="2:8">
      <c r="B783" s="2293" t="s">
        <v>205</v>
      </c>
      <c r="C783" s="2294"/>
      <c r="D783" s="2294">
        <f>'BS(FY)'!K26/1000</f>
        <v>2100</v>
      </c>
      <c r="E783" s="2294">
        <f>'BS(FY)'!L26/1000</f>
        <v>2100</v>
      </c>
      <c r="F783" s="2294">
        <f>'BS(FY)'!M26/1000</f>
        <v>2100</v>
      </c>
      <c r="G783" s="2294">
        <f>'BS(FY)'!N26/1000</f>
        <v>2100</v>
      </c>
      <c r="H783" s="2295">
        <f>'BS(FY)'!O26/1000</f>
        <v>2100</v>
      </c>
    </row>
    <row r="784" spans="2:8" ht="12.75" thickBot="1">
      <c r="B784" s="2293" t="s">
        <v>1615</v>
      </c>
      <c r="C784" s="2294"/>
      <c r="D784" s="2294">
        <f>'BS(FY)'!K28/1000</f>
        <v>198000</v>
      </c>
      <c r="E784" s="2294">
        <f>'BS(FY)'!L28/1000</f>
        <v>198000</v>
      </c>
      <c r="F784" s="2294">
        <f>'BS(FY)'!M28/1000</f>
        <v>198000</v>
      </c>
      <c r="G784" s="2294">
        <f>'BS(FY)'!N28/1000</f>
        <v>198000</v>
      </c>
      <c r="H784" s="2295">
        <f>'BS(FY)'!O28/1000</f>
        <v>213000</v>
      </c>
    </row>
    <row r="785" spans="2:8" ht="12.75" hidden="1" thickBot="1">
      <c r="B785" s="2293" t="s">
        <v>605</v>
      </c>
      <c r="C785" s="2294"/>
      <c r="D785" s="2294">
        <f>'BS(FY)'!K27/1000</f>
        <v>0</v>
      </c>
      <c r="E785" s="2294">
        <f>'BS(FY)'!L27/1000</f>
        <v>0</v>
      </c>
      <c r="F785" s="2294">
        <f>'BS(FY)'!M27/1000</f>
        <v>0</v>
      </c>
      <c r="G785" s="2294">
        <f>'BS(FY)'!N27/1000</f>
        <v>0</v>
      </c>
      <c r="H785" s="2295">
        <f>'BS(FY)'!O27/1000</f>
        <v>0</v>
      </c>
    </row>
    <row r="786" spans="2:8" ht="12.75" thickBot="1">
      <c r="B786" s="2287" t="s">
        <v>1556</v>
      </c>
      <c r="C786" s="2288"/>
      <c r="D786" s="2288">
        <f>SUM(D779:D785)</f>
        <v>212956.66963053201</v>
      </c>
      <c r="E786" s="2288">
        <f>SUM(E779:E785)</f>
        <v>200443.23767333332</v>
      </c>
      <c r="F786" s="2288">
        <f>SUM(F779:F785)</f>
        <v>200291.94920666667</v>
      </c>
      <c r="G786" s="2288">
        <f>SUM(G779:G785)</f>
        <v>200527.61647628332</v>
      </c>
      <c r="H786" s="2289">
        <f>SUM(H779:H785)</f>
        <v>215294.63845765832</v>
      </c>
    </row>
    <row r="787" spans="2:8">
      <c r="B787" s="2293" t="s">
        <v>543</v>
      </c>
      <c r="C787" s="2294"/>
      <c r="D787" s="2294">
        <f>'BS(FY)'!K31/1000</f>
        <v>6354.782608695652</v>
      </c>
      <c r="E787" s="2294">
        <f>'BS(FY)'!L31/1000</f>
        <v>6354.782608695652</v>
      </c>
      <c r="F787" s="2294">
        <f>'BS(FY)'!M31/1000</f>
        <v>6354.782608695652</v>
      </c>
      <c r="G787" s="2294">
        <f>'BS(FY)'!N31/1000</f>
        <v>6354.782608695652</v>
      </c>
      <c r="H787" s="2295">
        <f>'BS(FY)'!O31/1000</f>
        <v>5920</v>
      </c>
    </row>
    <row r="788" spans="2:8">
      <c r="B788" s="2293" t="s">
        <v>545</v>
      </c>
      <c r="C788" s="2294"/>
      <c r="D788" s="2294">
        <f>'BS(FY)'!K32/1000</f>
        <v>92445.217391304337</v>
      </c>
      <c r="E788" s="2294">
        <f>'BS(FY)'!L32/1000</f>
        <v>92445.217391304337</v>
      </c>
      <c r="F788" s="2294">
        <f>'BS(FY)'!M32/1000</f>
        <v>92445.217391304337</v>
      </c>
      <c r="G788" s="2294">
        <f>'BS(FY)'!N32/1000</f>
        <v>92445.217391304337</v>
      </c>
      <c r="H788" s="2295">
        <f>'BS(FY)'!O32/1000</f>
        <v>82880</v>
      </c>
    </row>
    <row r="789" spans="2:8" ht="12.75" thickBot="1">
      <c r="B789" s="2293" t="s">
        <v>564</v>
      </c>
      <c r="C789" s="2294"/>
      <c r="D789" s="2294">
        <f ca="1">'BS(FY)'!K34/1000</f>
        <v>0</v>
      </c>
      <c r="E789" s="2294">
        <f ca="1">'BS(FY)'!L34/1000</f>
        <v>-4140.7539478286153</v>
      </c>
      <c r="F789" s="2294">
        <f ca="1">'BS(FY)'!M34/1000</f>
        <v>-7717.5413924679615</v>
      </c>
      <c r="G789" s="2294">
        <f ca="1">'BS(FY)'!N34/1000</f>
        <v>-10981.076114892086</v>
      </c>
      <c r="H789" s="2295">
        <f ca="1">'BS(FY)'!O34/1000</f>
        <v>-13825.943847474284</v>
      </c>
    </row>
    <row r="790" spans="2:8" ht="12.75" thickBot="1">
      <c r="B790" s="2287" t="s">
        <v>1557</v>
      </c>
      <c r="C790" s="2288"/>
      <c r="D790" s="2288">
        <f ca="1">SUM(D787:D789)</f>
        <v>98799.999999999985</v>
      </c>
      <c r="E790" s="2288">
        <f ca="1">SUM(E787:E789)</f>
        <v>94659.246052171366</v>
      </c>
      <c r="F790" s="2288">
        <f ca="1">SUM(F787:F789)</f>
        <v>91082.458607532026</v>
      </c>
      <c r="G790" s="2288">
        <f ca="1">SUM(G787:G789)</f>
        <v>87818.923885107899</v>
      </c>
      <c r="H790" s="2289">
        <f ca="1">SUM(H787:H789)</f>
        <v>74974.056152525722</v>
      </c>
    </row>
    <row r="791" spans="2:8" ht="12.75" thickBot="1">
      <c r="B791" s="2287" t="s">
        <v>1616</v>
      </c>
      <c r="C791" s="2288"/>
      <c r="D791" s="2288">
        <f ca="1">D786+D790</f>
        <v>311756.66963053198</v>
      </c>
      <c r="E791" s="2288">
        <f ca="1">E786+E790</f>
        <v>295102.48372550472</v>
      </c>
      <c r="F791" s="2288">
        <f ca="1">F786+F790</f>
        <v>291374.4078141987</v>
      </c>
      <c r="G791" s="2288">
        <f ca="1">G786+G790</f>
        <v>288346.54036139121</v>
      </c>
      <c r="H791" s="2289">
        <f ca="1">H786+H790</f>
        <v>290268.69461018406</v>
      </c>
    </row>
    <row r="792" spans="2:8">
      <c r="B792" s="2232" t="s">
        <v>1558</v>
      </c>
      <c r="C792" s="2497">
        <f t="shared" ref="C792:H792" si="219">C778-C791</f>
        <v>0</v>
      </c>
      <c r="D792" s="2497">
        <f t="shared" ca="1" si="219"/>
        <v>0</v>
      </c>
      <c r="E792" s="2497">
        <f t="shared" ca="1" si="219"/>
        <v>0</v>
      </c>
      <c r="F792" s="2497">
        <f t="shared" ca="1" si="219"/>
        <v>0</v>
      </c>
      <c r="G792" s="2497">
        <f t="shared" ca="1" si="219"/>
        <v>0</v>
      </c>
      <c r="H792" s="2497">
        <f t="shared" ca="1" si="219"/>
        <v>0</v>
      </c>
    </row>
    <row r="800" spans="2:8">
      <c r="B800" s="2627" t="s">
        <v>1752</v>
      </c>
    </row>
    <row r="801" spans="2:19">
      <c r="B801" s="2232" t="s">
        <v>1753</v>
      </c>
    </row>
    <row r="803" spans="2:19">
      <c r="B803" s="2629" t="s">
        <v>1754</v>
      </c>
      <c r="C803" s="2630" t="s">
        <v>1755</v>
      </c>
      <c r="D803" s="2629" t="s">
        <v>1756</v>
      </c>
      <c r="E803" s="2629" t="s">
        <v>1757</v>
      </c>
      <c r="F803" s="2629" t="s">
        <v>1758</v>
      </c>
      <c r="G803" s="2630" t="s">
        <v>1759</v>
      </c>
      <c r="H803" s="2629" t="s">
        <v>1760</v>
      </c>
      <c r="I803" s="2630" t="s">
        <v>1761</v>
      </c>
      <c r="J803" s="2629" t="s">
        <v>1762</v>
      </c>
      <c r="K803" s="2629" t="s">
        <v>1763</v>
      </c>
      <c r="L803" s="2629" t="s">
        <v>1764</v>
      </c>
      <c r="M803" s="2629" t="s">
        <v>1765</v>
      </c>
      <c r="N803" s="2630" t="s">
        <v>1766</v>
      </c>
      <c r="O803" s="2629" t="s">
        <v>1767</v>
      </c>
      <c r="P803" s="2629" t="s">
        <v>1768</v>
      </c>
      <c r="Q803" s="2629" t="s">
        <v>1769</v>
      </c>
      <c r="R803" s="2232" t="s">
        <v>1778</v>
      </c>
      <c r="S803" s="2232" t="s">
        <v>1779</v>
      </c>
    </row>
    <row r="804" spans="2:19">
      <c r="B804" s="2232">
        <v>1</v>
      </c>
      <c r="C804" s="2631">
        <f t="shared" ref="C804:C823" si="220">INDEX($E$674:$X$674,$B804)</f>
        <v>46507</v>
      </c>
      <c r="D804" s="2268">
        <f t="shared" ref="D804:D823" ca="1" si="221">INDEX($E$705:$X$705,$B804)</f>
        <v>-870.7539478286144</v>
      </c>
      <c r="E804" s="2268">
        <f t="shared" ref="E804:E823" si="222">INDEX($E$698:$X$698,$B804)</f>
        <v>0</v>
      </c>
      <c r="F804" s="2268">
        <f t="shared" ref="F804:F823" si="223">-INDEX($E$697:$X$697,$B804)</f>
        <v>1708.8434999999999</v>
      </c>
      <c r="G804" s="2477">
        <f t="shared" ref="G804:G823" ca="1" si="224">D804-E804+F804-R804+S804</f>
        <v>838.08955217138555</v>
      </c>
      <c r="H804" s="2268">
        <f>0</f>
        <v>0</v>
      </c>
      <c r="I804" s="2477">
        <f t="shared" ref="I804:I823" ca="1" si="225">G804+H804</f>
        <v>838.08955217138555</v>
      </c>
      <c r="J804" s="2268">
        <f ca="1">MAX(MIN(I804,$C$831),0)</f>
        <v>838.08955217138555</v>
      </c>
      <c r="K804" s="2268">
        <f ca="1">MAX(MIN(I804-J804,$C$832),0)</f>
        <v>0</v>
      </c>
      <c r="L804" s="2268">
        <v>0</v>
      </c>
      <c r="M804" s="2268">
        <f t="shared" ref="M804:M823" ca="1" si="226">MAX(I804-J804-K804,0)</f>
        <v>0</v>
      </c>
      <c r="N804" s="2477">
        <f t="shared" ref="N804:N823" ca="1" si="227">SUM(J804:M804)</f>
        <v>838.08955217138555</v>
      </c>
      <c r="O804" s="2268">
        <f ca="1">$C$831-J804</f>
        <v>1.910447828614565</v>
      </c>
      <c r="P804" s="2268">
        <f ca="1">$C$832-K804</f>
        <v>1875</v>
      </c>
      <c r="Q804" s="2268">
        <f t="shared" ref="Q804:Q823" ca="1" si="228">I804-N804</f>
        <v>0</v>
      </c>
      <c r="R804" s="2232">
        <f t="shared" ref="R804:R823" ca="1" si="229">INDEX($E$693:$X$693,$B804)</f>
        <v>0</v>
      </c>
      <c r="S804" s="2232">
        <f t="shared" ref="S804:S823" si="230">IF($C$835=1,$C$833*$C$834/2,R804)</f>
        <v>0</v>
      </c>
    </row>
    <row r="805" spans="2:19">
      <c r="B805" s="2232">
        <v>2</v>
      </c>
      <c r="C805" s="2631">
        <f t="shared" si="220"/>
        <v>46691</v>
      </c>
      <c r="D805" s="2268">
        <f t="shared" ca="1" si="221"/>
        <v>-306.78744463934709</v>
      </c>
      <c r="E805" s="2268">
        <f t="shared" si="222"/>
        <v>0</v>
      </c>
      <c r="F805" s="2268">
        <f t="shared" si="223"/>
        <v>1708.8434999999999</v>
      </c>
      <c r="G805" s="2477">
        <f t="shared" ca="1" si="224"/>
        <v>1402.0560553606529</v>
      </c>
      <c r="H805" s="2268">
        <f t="shared" ref="H805:H823" ca="1" si="231">Q804</f>
        <v>0</v>
      </c>
      <c r="I805" s="2477">
        <f t="shared" ca="1" si="225"/>
        <v>1402.0560553606529</v>
      </c>
      <c r="J805" s="2268">
        <f t="shared" ref="J805:J823" ca="1" si="232">MAX(MIN(I805,$C$831+O804),0)</f>
        <v>841.91044782861468</v>
      </c>
      <c r="K805" s="2268">
        <f t="shared" ref="K805:K823" ca="1" si="233">MAX(MIN(I805-J805,$C$832+P804),0)</f>
        <v>560.14560753203818</v>
      </c>
      <c r="L805" s="2268">
        <v>0</v>
      </c>
      <c r="M805" s="2268">
        <f t="shared" ca="1" si="226"/>
        <v>0</v>
      </c>
      <c r="N805" s="2477">
        <f t="shared" ca="1" si="227"/>
        <v>1402.0560553606529</v>
      </c>
      <c r="O805" s="2268">
        <f t="shared" ref="O805:O823" ca="1" si="234">$C$831+O804-J805</f>
        <v>0</v>
      </c>
      <c r="P805" s="2268">
        <f t="shared" ref="P805:P823" ca="1" si="235">$C$832+P804-K805</f>
        <v>3189.8543924679616</v>
      </c>
      <c r="Q805" s="2268">
        <f t="shared" ca="1" si="228"/>
        <v>0</v>
      </c>
      <c r="R805" s="2232">
        <f t="shared" ca="1" si="229"/>
        <v>0</v>
      </c>
      <c r="S805" s="2232">
        <f t="shared" si="230"/>
        <v>0</v>
      </c>
    </row>
    <row r="806" spans="2:19">
      <c r="B806" s="2232">
        <v>3</v>
      </c>
      <c r="C806" s="2631">
        <f t="shared" si="220"/>
        <v>46873</v>
      </c>
      <c r="D806" s="2268">
        <f t="shared" ca="1" si="221"/>
        <v>-548.53472242412408</v>
      </c>
      <c r="E806" s="2268">
        <f t="shared" si="222"/>
        <v>0</v>
      </c>
      <c r="F806" s="2268">
        <f t="shared" si="223"/>
        <v>1708.8434999999999</v>
      </c>
      <c r="G806" s="2477">
        <f t="shared" ca="1" si="224"/>
        <v>1160.3087775758759</v>
      </c>
      <c r="H806" s="2268">
        <f t="shared" ca="1" si="231"/>
        <v>0</v>
      </c>
      <c r="I806" s="2477">
        <f t="shared" ca="1" si="225"/>
        <v>1160.3087775758759</v>
      </c>
      <c r="J806" s="2268">
        <f t="shared" ca="1" si="232"/>
        <v>840.00000000000011</v>
      </c>
      <c r="K806" s="2268">
        <f t="shared" ca="1" si="233"/>
        <v>320.30877757587575</v>
      </c>
      <c r="L806" s="2268">
        <v>0</v>
      </c>
      <c r="M806" s="2268">
        <f t="shared" ca="1" si="226"/>
        <v>0</v>
      </c>
      <c r="N806" s="2477">
        <f t="shared" ca="1" si="227"/>
        <v>1160.3087775758759</v>
      </c>
      <c r="O806" s="2268">
        <f t="shared" ca="1" si="234"/>
        <v>0</v>
      </c>
      <c r="P806" s="2268">
        <f t="shared" ca="1" si="235"/>
        <v>4744.5456148920857</v>
      </c>
      <c r="Q806" s="2268">
        <f t="shared" ca="1" si="228"/>
        <v>0</v>
      </c>
      <c r="R806" s="2232">
        <f t="shared" ca="1" si="229"/>
        <v>0</v>
      </c>
      <c r="S806" s="2232">
        <f t="shared" si="230"/>
        <v>0</v>
      </c>
    </row>
    <row r="807" spans="2:19">
      <c r="B807" s="2232">
        <v>4</v>
      </c>
      <c r="C807" s="2631">
        <f t="shared" si="220"/>
        <v>47057</v>
      </c>
      <c r="D807" s="2268">
        <f t="shared" ca="1" si="221"/>
        <v>-129.8677325821991</v>
      </c>
      <c r="E807" s="2268">
        <f t="shared" si="222"/>
        <v>0</v>
      </c>
      <c r="F807" s="2268">
        <f t="shared" si="223"/>
        <v>1708.8434999999999</v>
      </c>
      <c r="G807" s="2477">
        <f t="shared" ca="1" si="224"/>
        <v>1578.9757674178009</v>
      </c>
      <c r="H807" s="2268">
        <f t="shared" ca="1" si="231"/>
        <v>0</v>
      </c>
      <c r="I807" s="2477">
        <f t="shared" ca="1" si="225"/>
        <v>1578.9757674178009</v>
      </c>
      <c r="J807" s="2268">
        <f t="shared" ca="1" si="232"/>
        <v>840.00000000000011</v>
      </c>
      <c r="K807" s="2268">
        <f t="shared" ca="1" si="233"/>
        <v>738.97576741780074</v>
      </c>
      <c r="L807" s="2268">
        <v>0</v>
      </c>
      <c r="M807" s="2268">
        <f t="shared" ca="1" si="226"/>
        <v>0</v>
      </c>
      <c r="N807" s="2477">
        <f t="shared" ca="1" si="227"/>
        <v>1578.9757674178009</v>
      </c>
      <c r="O807" s="2268">
        <f t="shared" ca="1" si="234"/>
        <v>0</v>
      </c>
      <c r="P807" s="2268">
        <f t="shared" ca="1" si="235"/>
        <v>5880.5698474742849</v>
      </c>
      <c r="Q807" s="2268">
        <f t="shared" ca="1" si="228"/>
        <v>0</v>
      </c>
      <c r="R807" s="2232">
        <f t="shared" ca="1" si="229"/>
        <v>0</v>
      </c>
      <c r="S807" s="2232">
        <f t="shared" si="230"/>
        <v>0</v>
      </c>
    </row>
    <row r="808" spans="2:19">
      <c r="B808" s="2232">
        <v>5</v>
      </c>
      <c r="C808" s="2631">
        <f t="shared" si="220"/>
        <v>47238</v>
      </c>
      <c r="D808" s="2268">
        <f t="shared" ca="1" si="221"/>
        <v>-188.37592677842827</v>
      </c>
      <c r="E808" s="2268">
        <f t="shared" si="222"/>
        <v>0</v>
      </c>
      <c r="F808" s="2268">
        <f t="shared" si="223"/>
        <v>1708.8434999999999</v>
      </c>
      <c r="G808" s="2477">
        <f t="shared" ca="1" si="224"/>
        <v>1520.4675732215717</v>
      </c>
      <c r="H808" s="2268">
        <f t="shared" ca="1" si="231"/>
        <v>0</v>
      </c>
      <c r="I808" s="2477">
        <f t="shared" ca="1" si="225"/>
        <v>1520.4675732215717</v>
      </c>
      <c r="J808" s="2268">
        <f t="shared" ca="1" si="232"/>
        <v>840.00000000000011</v>
      </c>
      <c r="K808" s="2268">
        <f t="shared" ca="1" si="233"/>
        <v>680.46757322157157</v>
      </c>
      <c r="L808" s="2268">
        <v>0</v>
      </c>
      <c r="M808" s="2268">
        <f t="shared" ca="1" si="226"/>
        <v>0</v>
      </c>
      <c r="N808" s="2477">
        <f t="shared" ca="1" si="227"/>
        <v>1520.4675732215717</v>
      </c>
      <c r="O808" s="2268">
        <f t="shared" ca="1" si="234"/>
        <v>0</v>
      </c>
      <c r="P808" s="2268">
        <f t="shared" ca="1" si="235"/>
        <v>7075.102274252713</v>
      </c>
      <c r="Q808" s="2268">
        <f t="shared" ca="1" si="228"/>
        <v>0</v>
      </c>
      <c r="R808" s="2232">
        <f t="shared" ca="1" si="229"/>
        <v>0</v>
      </c>
      <c r="S808" s="2232">
        <f t="shared" si="230"/>
        <v>0</v>
      </c>
    </row>
    <row r="809" spans="2:19">
      <c r="B809" s="2232">
        <v>6</v>
      </c>
      <c r="C809" s="2631">
        <f t="shared" si="220"/>
        <v>47422</v>
      </c>
      <c r="D809" s="2268">
        <f t="shared" ca="1" si="221"/>
        <v>-5181.582275420672</v>
      </c>
      <c r="E809" s="2268">
        <f t="shared" si="222"/>
        <v>0</v>
      </c>
      <c r="F809" s="2268">
        <f t="shared" si="223"/>
        <v>1708.8434999999999</v>
      </c>
      <c r="G809" s="2477">
        <f t="shared" ca="1" si="224"/>
        <v>-3472.738775420672</v>
      </c>
      <c r="H809" s="2268">
        <f t="shared" ca="1" si="231"/>
        <v>0</v>
      </c>
      <c r="I809" s="2477">
        <f t="shared" ca="1" si="225"/>
        <v>-3472.738775420672</v>
      </c>
      <c r="J809" s="2268">
        <f t="shared" ca="1" si="232"/>
        <v>0</v>
      </c>
      <c r="K809" s="2268">
        <f t="shared" ca="1" si="233"/>
        <v>0</v>
      </c>
      <c r="L809" s="2268">
        <v>0</v>
      </c>
      <c r="M809" s="2268">
        <f t="shared" ca="1" si="226"/>
        <v>0</v>
      </c>
      <c r="N809" s="2477">
        <f t="shared" ca="1" si="227"/>
        <v>0</v>
      </c>
      <c r="O809" s="2268">
        <f t="shared" ca="1" si="234"/>
        <v>840.00000000000011</v>
      </c>
      <c r="P809" s="2268">
        <f t="shared" ca="1" si="235"/>
        <v>8950.102274252713</v>
      </c>
      <c r="Q809" s="2268">
        <f t="shared" ca="1" si="228"/>
        <v>-3472.738775420672</v>
      </c>
      <c r="R809" s="2232">
        <f t="shared" ca="1" si="229"/>
        <v>0</v>
      </c>
      <c r="S809" s="2232">
        <f t="shared" si="230"/>
        <v>0</v>
      </c>
    </row>
    <row r="810" spans="2:19">
      <c r="B810" s="2232">
        <v>7</v>
      </c>
      <c r="C810" s="2631">
        <f t="shared" si="220"/>
        <v>47603</v>
      </c>
      <c r="D810" s="2268">
        <f t="shared" ca="1" si="221"/>
        <v>245.87443048899621</v>
      </c>
      <c r="E810" s="2268">
        <f t="shared" si="222"/>
        <v>0</v>
      </c>
      <c r="F810" s="2268">
        <f t="shared" si="223"/>
        <v>1708.8434999999999</v>
      </c>
      <c r="G810" s="2477">
        <f t="shared" ca="1" si="224"/>
        <v>1954.7179304889962</v>
      </c>
      <c r="H810" s="2268">
        <f t="shared" ca="1" si="231"/>
        <v>-3472.738775420672</v>
      </c>
      <c r="I810" s="2477">
        <f t="shared" ca="1" si="225"/>
        <v>-1518.0208449316758</v>
      </c>
      <c r="J810" s="2268">
        <f t="shared" ca="1" si="232"/>
        <v>0</v>
      </c>
      <c r="K810" s="2268">
        <f t="shared" ca="1" si="233"/>
        <v>0</v>
      </c>
      <c r="L810" s="2268">
        <v>0</v>
      </c>
      <c r="M810" s="2268">
        <f t="shared" ca="1" si="226"/>
        <v>0</v>
      </c>
      <c r="N810" s="2477">
        <f t="shared" ca="1" si="227"/>
        <v>0</v>
      </c>
      <c r="O810" s="2268">
        <f t="shared" ca="1" si="234"/>
        <v>1680.0000000000002</v>
      </c>
      <c r="P810" s="2268">
        <f t="shared" ca="1" si="235"/>
        <v>10825.102274252713</v>
      </c>
      <c r="Q810" s="2268">
        <f t="shared" ca="1" si="228"/>
        <v>-1518.0208449316758</v>
      </c>
      <c r="R810" s="2232">
        <f t="shared" ca="1" si="229"/>
        <v>0</v>
      </c>
      <c r="S810" s="2232">
        <f t="shared" si="230"/>
        <v>0</v>
      </c>
    </row>
    <row r="811" spans="2:19">
      <c r="B811" s="2232">
        <v>8</v>
      </c>
      <c r="C811" s="2631">
        <f t="shared" si="220"/>
        <v>47787</v>
      </c>
      <c r="D811" s="2268">
        <f t="shared" ca="1" si="221"/>
        <v>521.09873989685934</v>
      </c>
      <c r="E811" s="2268">
        <f t="shared" si="222"/>
        <v>0</v>
      </c>
      <c r="F811" s="2268">
        <f t="shared" si="223"/>
        <v>1708.8434999999999</v>
      </c>
      <c r="G811" s="2477">
        <f t="shared" ca="1" si="224"/>
        <v>2229.9422398968591</v>
      </c>
      <c r="H811" s="2268">
        <f t="shared" ca="1" si="231"/>
        <v>-1518.0208449316758</v>
      </c>
      <c r="I811" s="2477">
        <f t="shared" ca="1" si="225"/>
        <v>711.92139496518325</v>
      </c>
      <c r="J811" s="2268">
        <f t="shared" ca="1" si="232"/>
        <v>711.92139496518325</v>
      </c>
      <c r="K811" s="2268">
        <f t="shared" ca="1" si="233"/>
        <v>0</v>
      </c>
      <c r="L811" s="2268">
        <v>0</v>
      </c>
      <c r="M811" s="2268">
        <f t="shared" ca="1" si="226"/>
        <v>0</v>
      </c>
      <c r="N811" s="2477">
        <f t="shared" ca="1" si="227"/>
        <v>711.92139496518325</v>
      </c>
      <c r="O811" s="2268">
        <f t="shared" ca="1" si="234"/>
        <v>1808.0786050348172</v>
      </c>
      <c r="P811" s="2268">
        <f t="shared" ca="1" si="235"/>
        <v>12700.102274252713</v>
      </c>
      <c r="Q811" s="2268">
        <f t="shared" ca="1" si="228"/>
        <v>0</v>
      </c>
      <c r="R811" s="2232">
        <f t="shared" ca="1" si="229"/>
        <v>0</v>
      </c>
      <c r="S811" s="2232">
        <f t="shared" si="230"/>
        <v>0</v>
      </c>
    </row>
    <row r="812" spans="2:19">
      <c r="B812" s="2232">
        <v>9</v>
      </c>
      <c r="C812" s="2631">
        <f t="shared" si="220"/>
        <v>47968</v>
      </c>
      <c r="D812" s="2268">
        <f t="shared" ca="1" si="221"/>
        <v>509.4917526325633</v>
      </c>
      <c r="E812" s="2268">
        <f t="shared" si="222"/>
        <v>0</v>
      </c>
      <c r="F812" s="2268">
        <f t="shared" si="223"/>
        <v>1708.8434999999999</v>
      </c>
      <c r="G812" s="2477">
        <f t="shared" ca="1" si="224"/>
        <v>2218.3352526325634</v>
      </c>
      <c r="H812" s="2268">
        <f t="shared" ca="1" si="231"/>
        <v>0</v>
      </c>
      <c r="I812" s="2477">
        <f t="shared" ca="1" si="225"/>
        <v>2218.3352526325634</v>
      </c>
      <c r="J812" s="2268">
        <f t="shared" ca="1" si="232"/>
        <v>2218.3352526325634</v>
      </c>
      <c r="K812" s="2268">
        <f t="shared" ca="1" si="233"/>
        <v>0</v>
      </c>
      <c r="L812" s="2268">
        <v>0</v>
      </c>
      <c r="M812" s="2268">
        <f t="shared" ca="1" si="226"/>
        <v>0</v>
      </c>
      <c r="N812" s="2477">
        <f t="shared" ca="1" si="227"/>
        <v>2218.3352526325634</v>
      </c>
      <c r="O812" s="2268">
        <f t="shared" ca="1" si="234"/>
        <v>429.743352402254</v>
      </c>
      <c r="P812" s="2268">
        <f t="shared" ca="1" si="235"/>
        <v>14575.102274252713</v>
      </c>
      <c r="Q812" s="2268">
        <f t="shared" ca="1" si="228"/>
        <v>0</v>
      </c>
      <c r="R812" s="2232">
        <f t="shared" ca="1" si="229"/>
        <v>0</v>
      </c>
      <c r="S812" s="2232">
        <f t="shared" si="230"/>
        <v>0</v>
      </c>
    </row>
    <row r="813" spans="2:19">
      <c r="B813" s="2232">
        <v>10</v>
      </c>
      <c r="C813" s="2631">
        <f t="shared" si="220"/>
        <v>48152</v>
      </c>
      <c r="D813" s="2268">
        <f t="shared" ca="1" si="221"/>
        <v>738.00228322589533</v>
      </c>
      <c r="E813" s="2268">
        <f t="shared" si="222"/>
        <v>0</v>
      </c>
      <c r="F813" s="2268">
        <f t="shared" si="223"/>
        <v>1708.8434999999999</v>
      </c>
      <c r="G813" s="2477">
        <f t="shared" ca="1" si="224"/>
        <v>2446.8457832258955</v>
      </c>
      <c r="H813" s="2268">
        <f t="shared" ca="1" si="231"/>
        <v>0</v>
      </c>
      <c r="I813" s="2477">
        <f t="shared" ca="1" si="225"/>
        <v>2446.8457832258955</v>
      </c>
      <c r="J813" s="2268">
        <f t="shared" ca="1" si="232"/>
        <v>1269.743352402254</v>
      </c>
      <c r="K813" s="2268">
        <f t="shared" ca="1" si="233"/>
        <v>1177.1024308236415</v>
      </c>
      <c r="L813" s="2268">
        <v>0</v>
      </c>
      <c r="M813" s="2268">
        <f t="shared" ca="1" si="226"/>
        <v>0</v>
      </c>
      <c r="N813" s="2477">
        <f t="shared" ca="1" si="227"/>
        <v>2446.8457832258955</v>
      </c>
      <c r="O813" s="2268">
        <f t="shared" ca="1" si="234"/>
        <v>0</v>
      </c>
      <c r="P813" s="2268">
        <f t="shared" ca="1" si="235"/>
        <v>15272.999843429072</v>
      </c>
      <c r="Q813" s="2268">
        <f t="shared" ca="1" si="228"/>
        <v>0</v>
      </c>
      <c r="R813" s="2232">
        <f t="shared" ca="1" si="229"/>
        <v>0</v>
      </c>
      <c r="S813" s="2232">
        <f t="shared" si="230"/>
        <v>0</v>
      </c>
    </row>
    <row r="814" spans="2:19">
      <c r="B814" s="2232">
        <v>11</v>
      </c>
      <c r="C814" s="2631">
        <f t="shared" si="220"/>
        <v>48334</v>
      </c>
      <c r="D814" s="2268">
        <f t="shared" ca="1" si="221"/>
        <v>1044.668245924805</v>
      </c>
      <c r="E814" s="2268">
        <f t="shared" si="222"/>
        <v>0</v>
      </c>
      <c r="F814" s="2268">
        <f t="shared" si="223"/>
        <v>1708.8434999999999</v>
      </c>
      <c r="G814" s="2477">
        <f t="shared" ca="1" si="224"/>
        <v>2753.5117459248049</v>
      </c>
      <c r="H814" s="2268">
        <f t="shared" ca="1" si="231"/>
        <v>0</v>
      </c>
      <c r="I814" s="2477">
        <f t="shared" ca="1" si="225"/>
        <v>2753.5117459248049</v>
      </c>
      <c r="J814" s="2268">
        <f t="shared" ca="1" si="232"/>
        <v>840.00000000000011</v>
      </c>
      <c r="K814" s="2268">
        <f t="shared" ca="1" si="233"/>
        <v>1913.5117459248049</v>
      </c>
      <c r="L814" s="2268">
        <v>0</v>
      </c>
      <c r="M814" s="2268">
        <f t="shared" ca="1" si="226"/>
        <v>0</v>
      </c>
      <c r="N814" s="2477">
        <f t="shared" ca="1" si="227"/>
        <v>2753.5117459248049</v>
      </c>
      <c r="O814" s="2268">
        <f t="shared" ca="1" si="234"/>
        <v>0</v>
      </c>
      <c r="P814" s="2268">
        <f t="shared" ca="1" si="235"/>
        <v>15234.488097504267</v>
      </c>
      <c r="Q814" s="2268">
        <f t="shared" ca="1" si="228"/>
        <v>0</v>
      </c>
      <c r="R814" s="2232">
        <f t="shared" ca="1" si="229"/>
        <v>0</v>
      </c>
      <c r="S814" s="2232">
        <f t="shared" si="230"/>
        <v>0</v>
      </c>
    </row>
    <row r="815" spans="2:19">
      <c r="B815" s="2232">
        <v>12</v>
      </c>
      <c r="C815" s="2631">
        <f t="shared" si="220"/>
        <v>48518</v>
      </c>
      <c r="D815" s="2268">
        <f t="shared" ca="1" si="221"/>
        <v>1278.8915397829687</v>
      </c>
      <c r="E815" s="2268">
        <f t="shared" si="222"/>
        <v>0</v>
      </c>
      <c r="F815" s="2268">
        <f t="shared" si="223"/>
        <v>1708.8434999999999</v>
      </c>
      <c r="G815" s="2477">
        <f t="shared" ca="1" si="224"/>
        <v>2987.7350397829687</v>
      </c>
      <c r="H815" s="2268">
        <f t="shared" ca="1" si="231"/>
        <v>0</v>
      </c>
      <c r="I815" s="2477">
        <f t="shared" ca="1" si="225"/>
        <v>2987.7350397829687</v>
      </c>
      <c r="J815" s="2268">
        <f t="shared" ca="1" si="232"/>
        <v>840.00000000000011</v>
      </c>
      <c r="K815" s="2268">
        <f t="shared" ca="1" si="233"/>
        <v>2147.7350397829687</v>
      </c>
      <c r="L815" s="2268">
        <v>0</v>
      </c>
      <c r="M815" s="2268">
        <f t="shared" ca="1" si="226"/>
        <v>0</v>
      </c>
      <c r="N815" s="2477">
        <f t="shared" ca="1" si="227"/>
        <v>2987.7350397829687</v>
      </c>
      <c r="O815" s="2268">
        <f t="shared" ca="1" si="234"/>
        <v>0</v>
      </c>
      <c r="P815" s="2268">
        <f t="shared" ca="1" si="235"/>
        <v>14961.7530577213</v>
      </c>
      <c r="Q815" s="2268">
        <f t="shared" ca="1" si="228"/>
        <v>0</v>
      </c>
      <c r="R815" s="2232">
        <f t="shared" ca="1" si="229"/>
        <v>0</v>
      </c>
      <c r="S815" s="2232">
        <f t="shared" si="230"/>
        <v>0</v>
      </c>
    </row>
    <row r="816" spans="2:19">
      <c r="B816" s="2232">
        <v>13</v>
      </c>
      <c r="C816" s="2631">
        <f t="shared" si="220"/>
        <v>48699</v>
      </c>
      <c r="D816" s="2268">
        <f t="shared" ca="1" si="221"/>
        <v>1265.3815160240449</v>
      </c>
      <c r="E816" s="2268">
        <f t="shared" si="222"/>
        <v>0</v>
      </c>
      <c r="F816" s="2268">
        <f t="shared" si="223"/>
        <v>1708.8434999999999</v>
      </c>
      <c r="G816" s="2477">
        <f t="shared" ca="1" si="224"/>
        <v>2974.2250160240446</v>
      </c>
      <c r="H816" s="2268">
        <f t="shared" ca="1" si="231"/>
        <v>0</v>
      </c>
      <c r="I816" s="2477">
        <f t="shared" ca="1" si="225"/>
        <v>2974.2250160240446</v>
      </c>
      <c r="J816" s="2268">
        <f t="shared" ca="1" si="232"/>
        <v>840.00000000000011</v>
      </c>
      <c r="K816" s="2268">
        <f t="shared" ca="1" si="233"/>
        <v>2134.2250160240446</v>
      </c>
      <c r="L816" s="2268">
        <v>0</v>
      </c>
      <c r="M816" s="2268">
        <f t="shared" ca="1" si="226"/>
        <v>0</v>
      </c>
      <c r="N816" s="2477">
        <f t="shared" ca="1" si="227"/>
        <v>2974.2250160240446</v>
      </c>
      <c r="O816" s="2268">
        <f t="shared" ca="1" si="234"/>
        <v>0</v>
      </c>
      <c r="P816" s="2268">
        <f t="shared" ca="1" si="235"/>
        <v>14702.528041697256</v>
      </c>
      <c r="Q816" s="2268">
        <f t="shared" ca="1" si="228"/>
        <v>0</v>
      </c>
      <c r="R816" s="2232">
        <f t="shared" ca="1" si="229"/>
        <v>0</v>
      </c>
      <c r="S816" s="2232">
        <f t="shared" si="230"/>
        <v>0</v>
      </c>
    </row>
    <row r="817" spans="2:19">
      <c r="B817" s="2232">
        <v>14</v>
      </c>
      <c r="C817" s="2631">
        <f t="shared" si="220"/>
        <v>48883</v>
      </c>
      <c r="D817" s="2268">
        <f t="shared" ca="1" si="221"/>
        <v>1505.4603922286672</v>
      </c>
      <c r="E817" s="2268">
        <f t="shared" si="222"/>
        <v>0</v>
      </c>
      <c r="F817" s="2268">
        <f t="shared" si="223"/>
        <v>1708.8434999999999</v>
      </c>
      <c r="G817" s="2477">
        <f t="shared" ca="1" si="224"/>
        <v>3214.3038922286669</v>
      </c>
      <c r="H817" s="2268">
        <f t="shared" ca="1" si="231"/>
        <v>0</v>
      </c>
      <c r="I817" s="2477">
        <f t="shared" ca="1" si="225"/>
        <v>3214.3038922286669</v>
      </c>
      <c r="J817" s="2268">
        <f t="shared" ca="1" si="232"/>
        <v>840.00000000000011</v>
      </c>
      <c r="K817" s="2268">
        <f t="shared" ca="1" si="233"/>
        <v>2374.3038922286669</v>
      </c>
      <c r="L817" s="2268">
        <v>0</v>
      </c>
      <c r="M817" s="2268">
        <f t="shared" ca="1" si="226"/>
        <v>0</v>
      </c>
      <c r="N817" s="2477">
        <f t="shared" ca="1" si="227"/>
        <v>3214.3038922286669</v>
      </c>
      <c r="O817" s="2268">
        <f t="shared" ca="1" si="234"/>
        <v>0</v>
      </c>
      <c r="P817" s="2268">
        <f t="shared" ca="1" si="235"/>
        <v>14203.22414946859</v>
      </c>
      <c r="Q817" s="2268">
        <f t="shared" ca="1" si="228"/>
        <v>0</v>
      </c>
      <c r="R817" s="2232">
        <f t="shared" ca="1" si="229"/>
        <v>0</v>
      </c>
      <c r="S817" s="2232">
        <f t="shared" si="230"/>
        <v>0</v>
      </c>
    </row>
    <row r="818" spans="2:19">
      <c r="B818" s="2232">
        <v>15</v>
      </c>
      <c r="C818" s="2631">
        <f t="shared" si="220"/>
        <v>49064</v>
      </c>
      <c r="D818" s="2268">
        <f t="shared" ca="1" si="221"/>
        <v>1491.2665758641779</v>
      </c>
      <c r="E818" s="2268">
        <f t="shared" si="222"/>
        <v>0</v>
      </c>
      <c r="F818" s="2268">
        <f t="shared" si="223"/>
        <v>1708.8434999999999</v>
      </c>
      <c r="G818" s="2477">
        <f t="shared" ca="1" si="224"/>
        <v>3200.1100758641778</v>
      </c>
      <c r="H818" s="2268">
        <f t="shared" ca="1" si="231"/>
        <v>0</v>
      </c>
      <c r="I818" s="2477">
        <f t="shared" ca="1" si="225"/>
        <v>3200.1100758641778</v>
      </c>
      <c r="J818" s="2268">
        <f t="shared" ca="1" si="232"/>
        <v>840.00000000000011</v>
      </c>
      <c r="K818" s="2268">
        <f t="shared" ca="1" si="233"/>
        <v>2360.1100758641778</v>
      </c>
      <c r="L818" s="2268">
        <v>0</v>
      </c>
      <c r="M818" s="2268">
        <f t="shared" ca="1" si="226"/>
        <v>0</v>
      </c>
      <c r="N818" s="2477">
        <f t="shared" ca="1" si="227"/>
        <v>3200.1100758641778</v>
      </c>
      <c r="O818" s="2268">
        <f t="shared" ca="1" si="234"/>
        <v>0</v>
      </c>
      <c r="P818" s="2268">
        <f t="shared" ca="1" si="235"/>
        <v>13718.114073604411</v>
      </c>
      <c r="Q818" s="2268">
        <f t="shared" ca="1" si="228"/>
        <v>0</v>
      </c>
      <c r="R818" s="2232">
        <f t="shared" ca="1" si="229"/>
        <v>0</v>
      </c>
      <c r="S818" s="2232">
        <f t="shared" si="230"/>
        <v>0</v>
      </c>
    </row>
    <row r="819" spans="2:19">
      <c r="B819" s="2232">
        <v>16</v>
      </c>
      <c r="C819" s="2631">
        <f t="shared" si="220"/>
        <v>49248</v>
      </c>
      <c r="D819" s="2268">
        <f t="shared" ca="1" si="221"/>
        <v>838.85919729661146</v>
      </c>
      <c r="E819" s="2268">
        <f t="shared" si="222"/>
        <v>0</v>
      </c>
      <c r="F819" s="2268">
        <f t="shared" si="223"/>
        <v>1708.8434999999999</v>
      </c>
      <c r="G819" s="2477">
        <f t="shared" ca="1" si="224"/>
        <v>2547.7026972966114</v>
      </c>
      <c r="H819" s="2268">
        <f t="shared" ca="1" si="231"/>
        <v>0</v>
      </c>
      <c r="I819" s="2477">
        <f t="shared" ca="1" si="225"/>
        <v>2547.7026972966114</v>
      </c>
      <c r="J819" s="2268">
        <f t="shared" ca="1" si="232"/>
        <v>840.00000000000011</v>
      </c>
      <c r="K819" s="2268">
        <f t="shared" ca="1" si="233"/>
        <v>1707.7026972966114</v>
      </c>
      <c r="L819" s="2268">
        <v>0</v>
      </c>
      <c r="M819" s="2268">
        <f t="shared" ca="1" si="226"/>
        <v>0</v>
      </c>
      <c r="N819" s="2477">
        <f t="shared" ca="1" si="227"/>
        <v>2547.7026972966114</v>
      </c>
      <c r="O819" s="2268">
        <f t="shared" ca="1" si="234"/>
        <v>0</v>
      </c>
      <c r="P819" s="2268">
        <f t="shared" ca="1" si="235"/>
        <v>13885.411376307798</v>
      </c>
      <c r="Q819" s="2268">
        <f t="shared" ca="1" si="228"/>
        <v>0</v>
      </c>
      <c r="R819" s="2232">
        <f t="shared" ca="1" si="229"/>
        <v>0</v>
      </c>
      <c r="S819" s="2232">
        <f t="shared" si="230"/>
        <v>0</v>
      </c>
    </row>
    <row r="820" spans="2:19">
      <c r="B820" s="2232">
        <v>17</v>
      </c>
      <c r="C820" s="2631">
        <f t="shared" si="220"/>
        <v>49429</v>
      </c>
      <c r="D820" s="2268">
        <f t="shared" ca="1" si="221"/>
        <v>1535.2044855807285</v>
      </c>
      <c r="E820" s="2268">
        <f t="shared" si="222"/>
        <v>0</v>
      </c>
      <c r="F820" s="2268">
        <f t="shared" si="223"/>
        <v>1708.8434999999999</v>
      </c>
      <c r="G820" s="2477">
        <f t="shared" ca="1" si="224"/>
        <v>3244.0479855807284</v>
      </c>
      <c r="H820" s="2268">
        <f t="shared" ca="1" si="231"/>
        <v>0</v>
      </c>
      <c r="I820" s="2477">
        <f t="shared" ca="1" si="225"/>
        <v>3244.0479855807284</v>
      </c>
      <c r="J820" s="2268">
        <f t="shared" ca="1" si="232"/>
        <v>840.00000000000011</v>
      </c>
      <c r="K820" s="2268">
        <f t="shared" ca="1" si="233"/>
        <v>2404.0479855807284</v>
      </c>
      <c r="L820" s="2268">
        <v>0</v>
      </c>
      <c r="M820" s="2268">
        <f t="shared" ca="1" si="226"/>
        <v>0</v>
      </c>
      <c r="N820" s="2477">
        <f t="shared" ca="1" si="227"/>
        <v>3244.0479855807284</v>
      </c>
      <c r="O820" s="2268">
        <f t="shared" ca="1" si="234"/>
        <v>0</v>
      </c>
      <c r="P820" s="2268">
        <f t="shared" ca="1" si="235"/>
        <v>13356.363390727071</v>
      </c>
      <c r="Q820" s="2268">
        <f t="shared" ca="1" si="228"/>
        <v>0</v>
      </c>
      <c r="R820" s="2232">
        <f t="shared" ca="1" si="229"/>
        <v>0</v>
      </c>
      <c r="S820" s="2232">
        <f t="shared" si="230"/>
        <v>0</v>
      </c>
    </row>
    <row r="821" spans="2:19">
      <c r="B821" s="2232">
        <v>18</v>
      </c>
      <c r="C821" s="2631">
        <f t="shared" si="220"/>
        <v>49613</v>
      </c>
      <c r="D821" s="2268">
        <f t="shared" ca="1" si="221"/>
        <v>1750.5328884551086</v>
      </c>
      <c r="E821" s="2268">
        <f t="shared" si="222"/>
        <v>0</v>
      </c>
      <c r="F821" s="2268">
        <f t="shared" si="223"/>
        <v>1708.8434999999999</v>
      </c>
      <c r="G821" s="2477">
        <f t="shared" ca="1" si="224"/>
        <v>3459.3763884551086</v>
      </c>
      <c r="H821" s="2268">
        <f t="shared" ca="1" si="231"/>
        <v>0</v>
      </c>
      <c r="I821" s="2477">
        <f t="shared" ca="1" si="225"/>
        <v>3459.3763884551086</v>
      </c>
      <c r="J821" s="2268">
        <f t="shared" ca="1" si="232"/>
        <v>840.00000000000011</v>
      </c>
      <c r="K821" s="2268">
        <f t="shared" ca="1" si="233"/>
        <v>2619.3763884551086</v>
      </c>
      <c r="L821" s="2268">
        <v>0</v>
      </c>
      <c r="M821" s="2268">
        <f t="shared" ca="1" si="226"/>
        <v>0</v>
      </c>
      <c r="N821" s="2477">
        <f t="shared" ca="1" si="227"/>
        <v>3459.3763884551086</v>
      </c>
      <c r="O821" s="2268">
        <f t="shared" ca="1" si="234"/>
        <v>0</v>
      </c>
      <c r="P821" s="2268">
        <f t="shared" ca="1" si="235"/>
        <v>12611.987002271962</v>
      </c>
      <c r="Q821" s="2268">
        <f t="shared" ca="1" si="228"/>
        <v>0</v>
      </c>
      <c r="R821" s="2232">
        <f t="shared" ca="1" si="229"/>
        <v>0</v>
      </c>
      <c r="S821" s="2232">
        <f t="shared" si="230"/>
        <v>0</v>
      </c>
    </row>
    <row r="822" spans="2:19">
      <c r="B822" s="2232">
        <v>19</v>
      </c>
      <c r="C822" s="2631">
        <f t="shared" si="220"/>
        <v>49795</v>
      </c>
      <c r="D822" s="2268">
        <f t="shared" ca="1" si="221"/>
        <v>1862.0094526719558</v>
      </c>
      <c r="E822" s="2268">
        <f t="shared" si="222"/>
        <v>0</v>
      </c>
      <c r="F822" s="2268">
        <f t="shared" si="223"/>
        <v>1708.8434999999999</v>
      </c>
      <c r="G822" s="2477">
        <f t="shared" ca="1" si="224"/>
        <v>3570.8529526719558</v>
      </c>
      <c r="H822" s="2268">
        <f t="shared" ca="1" si="231"/>
        <v>0</v>
      </c>
      <c r="I822" s="2477">
        <f t="shared" ca="1" si="225"/>
        <v>3570.8529526719558</v>
      </c>
      <c r="J822" s="2268">
        <f t="shared" ca="1" si="232"/>
        <v>840.00000000000011</v>
      </c>
      <c r="K822" s="2268">
        <f t="shared" ca="1" si="233"/>
        <v>2730.8529526719558</v>
      </c>
      <c r="L822" s="2268">
        <v>0</v>
      </c>
      <c r="M822" s="2268">
        <f t="shared" ca="1" si="226"/>
        <v>0</v>
      </c>
      <c r="N822" s="2477">
        <f t="shared" ca="1" si="227"/>
        <v>3570.8529526719558</v>
      </c>
      <c r="O822" s="2268">
        <f t="shared" ca="1" si="234"/>
        <v>0</v>
      </c>
      <c r="P822" s="2268">
        <f t="shared" ca="1" si="235"/>
        <v>11756.134049600007</v>
      </c>
      <c r="Q822" s="2268">
        <f t="shared" ca="1" si="228"/>
        <v>0</v>
      </c>
      <c r="R822" s="2232">
        <f t="shared" ca="1" si="229"/>
        <v>0</v>
      </c>
      <c r="S822" s="2232">
        <f t="shared" si="230"/>
        <v>0</v>
      </c>
    </row>
    <row r="823" spans="2:19">
      <c r="B823" s="2628">
        <v>20</v>
      </c>
      <c r="C823" s="2632">
        <f t="shared" si="220"/>
        <v>49979</v>
      </c>
      <c r="D823" s="2473">
        <f t="shared" ca="1" si="221"/>
        <v>106887.22723743462</v>
      </c>
      <c r="E823" s="2473">
        <f t="shared" si="222"/>
        <v>104898.69804531735</v>
      </c>
      <c r="F823" s="2473">
        <f t="shared" si="223"/>
        <v>1708.8434999999999</v>
      </c>
      <c r="G823" s="2478">
        <f t="shared" ca="1" si="224"/>
        <v>3697.3726921172756</v>
      </c>
      <c r="H823" s="2473">
        <f t="shared" ca="1" si="231"/>
        <v>0</v>
      </c>
      <c r="I823" s="2478">
        <f t="shared" ca="1" si="225"/>
        <v>3697.3726921172756</v>
      </c>
      <c r="J823" s="2473">
        <f t="shared" ca="1" si="232"/>
        <v>840.00000000000011</v>
      </c>
      <c r="K823" s="2473">
        <f t="shared" ca="1" si="233"/>
        <v>2857.3726921172756</v>
      </c>
      <c r="L823" s="2473">
        <v>0</v>
      </c>
      <c r="M823" s="2473">
        <f t="shared" ca="1" si="226"/>
        <v>0</v>
      </c>
      <c r="N823" s="2478">
        <f t="shared" ca="1" si="227"/>
        <v>3697.3726921172756</v>
      </c>
      <c r="O823" s="2473">
        <f t="shared" ca="1" si="234"/>
        <v>0</v>
      </c>
      <c r="P823" s="2473">
        <f t="shared" ca="1" si="235"/>
        <v>10773.76135748273</v>
      </c>
      <c r="Q823" s="2473">
        <f t="shared" ca="1" si="228"/>
        <v>0</v>
      </c>
      <c r="R823" s="2232">
        <f t="shared" ca="1" si="229"/>
        <v>0</v>
      </c>
      <c r="S823" s="2232">
        <f t="shared" si="230"/>
        <v>0</v>
      </c>
    </row>
    <row r="824" spans="2:19">
      <c r="B824" s="2633" t="s">
        <v>1770</v>
      </c>
      <c r="C824" s="2634"/>
      <c r="D824" s="2635">
        <f ca="1">SUM(D804:D823)</f>
        <v>114248.06668783462</v>
      </c>
      <c r="E824" s="2635">
        <f>SUM(E804:E823)</f>
        <v>104898.69804531735</v>
      </c>
      <c r="F824" s="2635">
        <f>SUM(F804:F823)</f>
        <v>34176.869999999988</v>
      </c>
      <c r="G824" s="2636">
        <f ca="1">SUM(G804:G823)</f>
        <v>43526.238642517274</v>
      </c>
      <c r="H824" s="2635"/>
      <c r="I824" s="2636"/>
      <c r="J824" s="2635">
        <f ca="1">SUM(J804:J823)</f>
        <v>16800.000000000004</v>
      </c>
      <c r="K824" s="2635">
        <f ca="1">SUM(K804:K823)</f>
        <v>26726.23864251727</v>
      </c>
      <c r="L824" s="2635">
        <f>SUM(L804:L823)</f>
        <v>0</v>
      </c>
      <c r="M824" s="2635">
        <f ca="1">SUM(M804:M823)</f>
        <v>0</v>
      </c>
      <c r="N824" s="2636">
        <f ca="1">SUM(N804:N823)</f>
        <v>43526.238642517274</v>
      </c>
      <c r="O824" s="2637"/>
      <c r="P824" s="2637"/>
      <c r="Q824" s="2637"/>
      <c r="R824" s="2232">
        <f ca="1">SUM(R804:R823)</f>
        <v>0</v>
      </c>
      <c r="S824" s="2232">
        <f>SUM(S804:S823)</f>
        <v>0</v>
      </c>
    </row>
    <row r="825" spans="2:19">
      <c r="G825" s="2268">
        <f ca="1">C708</f>
        <v>43526.238642517266</v>
      </c>
    </row>
    <row r="826" spans="2:19">
      <c r="B826" s="2232" t="s">
        <v>1771</v>
      </c>
      <c r="G826" s="2494" t="b">
        <f ca="1">G824=G825</f>
        <v>1</v>
      </c>
      <c r="J826" s="2418">
        <f ca="1">J824/24000/10</f>
        <v>7.0000000000000021E-2</v>
      </c>
      <c r="K826" s="2418">
        <f ca="1">K824/50000/10</f>
        <v>5.3452477285034536E-2</v>
      </c>
      <c r="L826" s="2418">
        <v>0</v>
      </c>
      <c r="M826" s="2418">
        <f ca="1">M824/14400/10</f>
        <v>0</v>
      </c>
      <c r="N826" s="2418">
        <f ca="1">N824/98400/10</f>
        <v>4.4233982360281782E-2</v>
      </c>
    </row>
    <row r="828" spans="2:19">
      <c r="B828" s="2232" t="s">
        <v>1772</v>
      </c>
      <c r="J828" s="2472">
        <f ca="1">-SUMIFS('CF(M)'!$L$98:$EQ$98,'CF(M)'!$L$4:$EQ$4,"&gt;"&amp;$D$674,'CF(M)'!$L$4:$EQ$4,"&lt;="&amp;$X$674)/1000</f>
        <v>16800.000000000004</v>
      </c>
      <c r="K828" s="2472">
        <f ca="1">-SUMIFS('CF(M)'!$L$103:$EQ$103,'CF(M)'!$L$4:$EQ$4,"&gt;"&amp;$D$674,'CF(M)'!$L$4:$EQ$4,"&lt;="&amp;$X$674)/1000</f>
        <v>37500</v>
      </c>
      <c r="L828" s="2472">
        <f>-SUMIFS('CF(M)'!$L$108:$EQ$108,'CF(M)'!$L$4:$EQ$4,"&gt;"&amp;$D$674,'CF(M)'!$L$4:$EQ$4,"&lt;="&amp;$X$674)/1000</f>
        <v>0</v>
      </c>
      <c r="M828" s="2472">
        <f ca="1">-SUMIFS('CF(M)'!$L$113:$EQ$113,'CF(M)'!$L$4:$EQ$4,"&gt;"&amp;$D$674,'CF(M)'!$L$4:$EQ$4,"&lt;="&amp;$X$674)/1000</f>
        <v>1110</v>
      </c>
      <c r="N828" s="2472">
        <f ca="1">SUM(J828:M828)</f>
        <v>55410</v>
      </c>
    </row>
    <row r="829" spans="2:19">
      <c r="B829" s="2627" t="s">
        <v>1773</v>
      </c>
      <c r="C829" s="2627"/>
      <c r="D829" s="2627"/>
      <c r="E829" s="2627"/>
      <c r="F829" s="2627"/>
      <c r="G829" s="2627"/>
      <c r="H829" s="2627"/>
      <c r="I829" s="2627"/>
      <c r="J829" s="2472">
        <f ca="1">J828-J824</f>
        <v>0</v>
      </c>
      <c r="K829" s="2472">
        <f ca="1">K828-K824</f>
        <v>10773.76135748273</v>
      </c>
      <c r="L829" s="2472">
        <v>0</v>
      </c>
      <c r="M829" s="2472">
        <f ca="1">M828-M824</f>
        <v>1110</v>
      </c>
      <c r="N829" s="2472">
        <f ca="1">N828-N824</f>
        <v>11883.761357482726</v>
      </c>
    </row>
    <row r="830" spans="2:19">
      <c r="B830" s="2232" t="s">
        <v>1774</v>
      </c>
    </row>
    <row r="831" spans="2:19">
      <c r="B831" s="2232" t="s">
        <v>1775</v>
      </c>
      <c r="C831" s="2268">
        <f>24000*7%/2</f>
        <v>840.00000000000011</v>
      </c>
    </row>
    <row r="832" spans="2:19">
      <c r="B832" s="2232" t="s">
        <v>1776</v>
      </c>
      <c r="C832" s="2268">
        <f>50000*7.5%/2</f>
        <v>1875</v>
      </c>
    </row>
    <row r="833" spans="2:13">
      <c r="B833" s="2232" t="s">
        <v>1780</v>
      </c>
      <c r="C833" s="2232">
        <f>'A&amp;R'!T12/1000</f>
        <v>10000</v>
      </c>
    </row>
    <row r="834" spans="2:13">
      <c r="B834" s="2232" t="s">
        <v>1781</v>
      </c>
      <c r="C834" s="2418">
        <f>'IS(M)'!J44</f>
        <v>0</v>
      </c>
    </row>
    <row r="835" spans="2:13">
      <c r="B835" s="2232" t="s">
        <v>1832</v>
      </c>
      <c r="C835" s="2232">
        <v>1</v>
      </c>
    </row>
    <row r="836" spans="2:13">
      <c r="B836" s="2627" t="s">
        <v>1782</v>
      </c>
    </row>
    <row r="837" spans="2:13">
      <c r="B837" s="2652" t="s">
        <v>1783</v>
      </c>
      <c r="C837" s="2652" t="s">
        <v>1784</v>
      </c>
      <c r="D837" s="2652" t="s">
        <v>1785</v>
      </c>
      <c r="E837" s="2652"/>
      <c r="F837" s="2652" t="s">
        <v>1786</v>
      </c>
      <c r="G837" s="2652"/>
      <c r="H837" s="2652" t="s">
        <v>1787</v>
      </c>
      <c r="I837" s="2652"/>
      <c r="J837" s="2652" t="s">
        <v>225</v>
      </c>
      <c r="K837" s="2652"/>
      <c r="L837" s="2652" t="s">
        <v>1788</v>
      </c>
      <c r="M837" s="2652"/>
    </row>
    <row r="838" spans="2:13">
      <c r="B838" s="2653"/>
      <c r="C838" s="2653"/>
      <c r="D838" s="2653" t="s">
        <v>1789</v>
      </c>
      <c r="E838" s="2653" t="s">
        <v>1790</v>
      </c>
      <c r="F838" s="2653" t="s">
        <v>1789</v>
      </c>
      <c r="G838" s="2653" t="s">
        <v>1790</v>
      </c>
      <c r="H838" s="2653" t="s">
        <v>1789</v>
      </c>
      <c r="I838" s="2653" t="s">
        <v>1790</v>
      </c>
      <c r="J838" s="2653" t="s">
        <v>1789</v>
      </c>
      <c r="K838" s="2653" t="s">
        <v>1790</v>
      </c>
      <c r="L838" s="2653" t="s">
        <v>1789</v>
      </c>
      <c r="M838" s="2653" t="s">
        <v>1790</v>
      </c>
    </row>
    <row r="839" spans="2:13">
      <c r="B839" s="2232" t="s">
        <v>1791</v>
      </c>
      <c r="C839" s="2638">
        <f t="shared" ref="C839:C858" si="236">C804</f>
        <v>46507</v>
      </c>
      <c r="D839" s="2639">
        <f t="shared" ref="D839:D858" ca="1" si="237">J804</f>
        <v>838.08955217138555</v>
      </c>
      <c r="E839" s="2418">
        <f t="shared" ref="E839:E858" ca="1" si="238">D839/24000*2</f>
        <v>6.9840796014282128E-2</v>
      </c>
      <c r="F839" s="2639">
        <f t="shared" ref="F839:F858" ca="1" si="239">K804</f>
        <v>0</v>
      </c>
      <c r="G839" s="2418">
        <f t="shared" ref="G839:G858" ca="1" si="240">F839/50000*2</f>
        <v>0</v>
      </c>
      <c r="H839" s="2639">
        <f t="shared" ref="H839:H858" si="241">L804</f>
        <v>0</v>
      </c>
      <c r="I839" s="2418">
        <f t="shared" ref="I839:I858" si="242">H839/10000*2</f>
        <v>0</v>
      </c>
      <c r="J839" s="2639">
        <f t="shared" ref="J839:J858" ca="1" si="243">M804</f>
        <v>0</v>
      </c>
      <c r="K839" s="2418">
        <f t="shared" ref="K839:K858" ca="1" si="244">J839/14400*2</f>
        <v>0</v>
      </c>
      <c r="L839" s="2639">
        <f t="shared" ref="L839:L858" ca="1" si="245">D839+F839+H839+J839</f>
        <v>838.08955217138555</v>
      </c>
      <c r="M839" s="2418">
        <f t="shared" ref="M839:M858" ca="1" si="246">L839/98400*2</f>
        <v>1.7034340491288325E-2</v>
      </c>
    </row>
    <row r="840" spans="2:13">
      <c r="B840" s="2232" t="s">
        <v>1792</v>
      </c>
      <c r="C840" s="2638">
        <f t="shared" si="236"/>
        <v>46691</v>
      </c>
      <c r="D840" s="2639">
        <f t="shared" ca="1" si="237"/>
        <v>841.91044782861468</v>
      </c>
      <c r="E840" s="2418">
        <f t="shared" ca="1" si="238"/>
        <v>7.0159203985717886E-2</v>
      </c>
      <c r="F840" s="2639">
        <f t="shared" ca="1" si="239"/>
        <v>560.14560753203818</v>
      </c>
      <c r="G840" s="2418">
        <f t="shared" ca="1" si="240"/>
        <v>2.2405824301281529E-2</v>
      </c>
      <c r="H840" s="2639">
        <f t="shared" si="241"/>
        <v>0</v>
      </c>
      <c r="I840" s="2418">
        <f t="shared" si="242"/>
        <v>0</v>
      </c>
      <c r="J840" s="2639">
        <f t="shared" ca="1" si="243"/>
        <v>0</v>
      </c>
      <c r="K840" s="2418">
        <f t="shared" ca="1" si="244"/>
        <v>0</v>
      </c>
      <c r="L840" s="2639">
        <f t="shared" ca="1" si="245"/>
        <v>1402.0560553606529</v>
      </c>
      <c r="M840" s="2418">
        <f t="shared" ca="1" si="246"/>
        <v>2.8497074295948228E-2</v>
      </c>
    </row>
    <row r="841" spans="2:13">
      <c r="B841" s="2232" t="s">
        <v>1793</v>
      </c>
      <c r="C841" s="2638">
        <f t="shared" si="236"/>
        <v>46873</v>
      </c>
      <c r="D841" s="2639">
        <f t="shared" ca="1" si="237"/>
        <v>840.00000000000011</v>
      </c>
      <c r="E841" s="2418">
        <f t="shared" ca="1" si="238"/>
        <v>7.0000000000000007E-2</v>
      </c>
      <c r="F841" s="2639">
        <f t="shared" ca="1" si="239"/>
        <v>320.30877757587575</v>
      </c>
      <c r="G841" s="2418">
        <f t="shared" ca="1" si="240"/>
        <v>1.281235110303503E-2</v>
      </c>
      <c r="H841" s="2639">
        <f t="shared" si="241"/>
        <v>0</v>
      </c>
      <c r="I841" s="2418">
        <f t="shared" si="242"/>
        <v>0</v>
      </c>
      <c r="J841" s="2639">
        <f t="shared" ca="1" si="243"/>
        <v>0</v>
      </c>
      <c r="K841" s="2418">
        <f t="shared" ca="1" si="244"/>
        <v>0</v>
      </c>
      <c r="L841" s="2639">
        <f t="shared" ca="1" si="245"/>
        <v>1160.3087775758759</v>
      </c>
      <c r="M841" s="2418">
        <f t="shared" ca="1" si="246"/>
        <v>2.3583511739347071E-2</v>
      </c>
    </row>
    <row r="842" spans="2:13">
      <c r="B842" s="2232" t="s">
        <v>1794</v>
      </c>
      <c r="C842" s="2638">
        <f t="shared" si="236"/>
        <v>47057</v>
      </c>
      <c r="D842" s="2639">
        <f t="shared" ca="1" si="237"/>
        <v>840.00000000000011</v>
      </c>
      <c r="E842" s="2418">
        <f t="shared" ca="1" si="238"/>
        <v>7.0000000000000007E-2</v>
      </c>
      <c r="F842" s="2639">
        <f t="shared" ca="1" si="239"/>
        <v>738.97576741780074</v>
      </c>
      <c r="G842" s="2418">
        <f t="shared" ca="1" si="240"/>
        <v>2.9559030696712028E-2</v>
      </c>
      <c r="H842" s="2639">
        <f t="shared" si="241"/>
        <v>0</v>
      </c>
      <c r="I842" s="2418">
        <f t="shared" si="242"/>
        <v>0</v>
      </c>
      <c r="J842" s="2639">
        <f t="shared" ca="1" si="243"/>
        <v>0</v>
      </c>
      <c r="K842" s="2418">
        <f t="shared" ca="1" si="244"/>
        <v>0</v>
      </c>
      <c r="L842" s="2639">
        <f t="shared" ca="1" si="245"/>
        <v>1578.9757674178009</v>
      </c>
      <c r="M842" s="2418">
        <f t="shared" ca="1" si="246"/>
        <v>3.2093003402800829E-2</v>
      </c>
    </row>
    <row r="843" spans="2:13">
      <c r="B843" s="2232" t="s">
        <v>1795</v>
      </c>
      <c r="C843" s="2638">
        <f t="shared" si="236"/>
        <v>47238</v>
      </c>
      <c r="D843" s="2639">
        <f t="shared" ca="1" si="237"/>
        <v>840.00000000000011</v>
      </c>
      <c r="E843" s="2418">
        <f t="shared" ca="1" si="238"/>
        <v>7.0000000000000007E-2</v>
      </c>
      <c r="F843" s="2639">
        <f t="shared" ca="1" si="239"/>
        <v>680.46757322157157</v>
      </c>
      <c r="G843" s="2418">
        <f t="shared" ca="1" si="240"/>
        <v>2.7218702928862862E-2</v>
      </c>
      <c r="H843" s="2639">
        <f t="shared" si="241"/>
        <v>0</v>
      </c>
      <c r="I843" s="2418">
        <f t="shared" si="242"/>
        <v>0</v>
      </c>
      <c r="J843" s="2639">
        <f t="shared" ca="1" si="243"/>
        <v>0</v>
      </c>
      <c r="K843" s="2418">
        <f t="shared" ca="1" si="244"/>
        <v>0</v>
      </c>
      <c r="L843" s="2639">
        <f t="shared" ca="1" si="245"/>
        <v>1520.4675732215717</v>
      </c>
      <c r="M843" s="2418">
        <f t="shared" ca="1" si="246"/>
        <v>3.0903812463853084E-2</v>
      </c>
    </row>
    <row r="844" spans="2:13">
      <c r="B844" s="2232" t="s">
        <v>1796</v>
      </c>
      <c r="C844" s="2638">
        <f t="shared" si="236"/>
        <v>47422</v>
      </c>
      <c r="D844" s="2639">
        <f t="shared" ca="1" si="237"/>
        <v>0</v>
      </c>
      <c r="E844" s="2418">
        <f t="shared" ca="1" si="238"/>
        <v>0</v>
      </c>
      <c r="F844" s="2639">
        <f t="shared" ca="1" si="239"/>
        <v>0</v>
      </c>
      <c r="G844" s="2418">
        <f t="shared" ca="1" si="240"/>
        <v>0</v>
      </c>
      <c r="H844" s="2639">
        <f t="shared" si="241"/>
        <v>0</v>
      </c>
      <c r="I844" s="2418">
        <f t="shared" si="242"/>
        <v>0</v>
      </c>
      <c r="J844" s="2639">
        <f t="shared" ca="1" si="243"/>
        <v>0</v>
      </c>
      <c r="K844" s="2418">
        <f t="shared" ca="1" si="244"/>
        <v>0</v>
      </c>
      <c r="L844" s="2639">
        <f t="shared" ca="1" si="245"/>
        <v>0</v>
      </c>
      <c r="M844" s="2418">
        <f t="shared" ca="1" si="246"/>
        <v>0</v>
      </c>
    </row>
    <row r="845" spans="2:13">
      <c r="B845" s="2232" t="s">
        <v>1797</v>
      </c>
      <c r="C845" s="2638">
        <f t="shared" si="236"/>
        <v>47603</v>
      </c>
      <c r="D845" s="2639">
        <f t="shared" ca="1" si="237"/>
        <v>0</v>
      </c>
      <c r="E845" s="2418">
        <f t="shared" ca="1" si="238"/>
        <v>0</v>
      </c>
      <c r="F845" s="2639">
        <f t="shared" ca="1" si="239"/>
        <v>0</v>
      </c>
      <c r="G845" s="2418">
        <f t="shared" ca="1" si="240"/>
        <v>0</v>
      </c>
      <c r="H845" s="2639">
        <f t="shared" si="241"/>
        <v>0</v>
      </c>
      <c r="I845" s="2418">
        <f t="shared" si="242"/>
        <v>0</v>
      </c>
      <c r="J845" s="2639">
        <f t="shared" ca="1" si="243"/>
        <v>0</v>
      </c>
      <c r="K845" s="2418">
        <f t="shared" ca="1" si="244"/>
        <v>0</v>
      </c>
      <c r="L845" s="2639">
        <f t="shared" ca="1" si="245"/>
        <v>0</v>
      </c>
      <c r="M845" s="2418">
        <f t="shared" ca="1" si="246"/>
        <v>0</v>
      </c>
    </row>
    <row r="846" spans="2:13">
      <c r="B846" s="2232" t="s">
        <v>1798</v>
      </c>
      <c r="C846" s="2638">
        <f t="shared" si="236"/>
        <v>47787</v>
      </c>
      <c r="D846" s="2639">
        <f t="shared" ca="1" si="237"/>
        <v>711.92139496518325</v>
      </c>
      <c r="E846" s="2418">
        <f t="shared" ca="1" si="238"/>
        <v>5.9326782913765273E-2</v>
      </c>
      <c r="F846" s="2639">
        <f t="shared" ca="1" si="239"/>
        <v>0</v>
      </c>
      <c r="G846" s="2418">
        <f t="shared" ca="1" si="240"/>
        <v>0</v>
      </c>
      <c r="H846" s="2639">
        <f t="shared" si="241"/>
        <v>0</v>
      </c>
      <c r="I846" s="2418">
        <f t="shared" si="242"/>
        <v>0</v>
      </c>
      <c r="J846" s="2639">
        <f t="shared" ca="1" si="243"/>
        <v>0</v>
      </c>
      <c r="K846" s="2418">
        <f t="shared" ca="1" si="244"/>
        <v>0</v>
      </c>
      <c r="L846" s="2639">
        <f t="shared" ca="1" si="245"/>
        <v>711.92139496518325</v>
      </c>
      <c r="M846" s="2418">
        <f t="shared" ca="1" si="246"/>
        <v>1.4469947052137871E-2</v>
      </c>
    </row>
    <row r="847" spans="2:13">
      <c r="B847" s="2232" t="s">
        <v>1799</v>
      </c>
      <c r="C847" s="2638">
        <f t="shared" si="236"/>
        <v>47968</v>
      </c>
      <c r="D847" s="2639">
        <f t="shared" ca="1" si="237"/>
        <v>2218.3352526325634</v>
      </c>
      <c r="E847" s="2418">
        <f t="shared" ca="1" si="238"/>
        <v>0.1848612710527136</v>
      </c>
      <c r="F847" s="2639">
        <f t="shared" ca="1" si="239"/>
        <v>0</v>
      </c>
      <c r="G847" s="2418">
        <f t="shared" ca="1" si="240"/>
        <v>0</v>
      </c>
      <c r="H847" s="2639">
        <f t="shared" si="241"/>
        <v>0</v>
      </c>
      <c r="I847" s="2418">
        <f t="shared" si="242"/>
        <v>0</v>
      </c>
      <c r="J847" s="2639">
        <f t="shared" ca="1" si="243"/>
        <v>0</v>
      </c>
      <c r="K847" s="2418">
        <f t="shared" ca="1" si="244"/>
        <v>0</v>
      </c>
      <c r="L847" s="2639">
        <f t="shared" ca="1" si="245"/>
        <v>2218.3352526325634</v>
      </c>
      <c r="M847" s="2418">
        <f t="shared" ca="1" si="246"/>
        <v>4.5088114890905757E-2</v>
      </c>
    </row>
    <row r="848" spans="2:13">
      <c r="B848" s="2232" t="s">
        <v>1800</v>
      </c>
      <c r="C848" s="2638">
        <f t="shared" si="236"/>
        <v>48152</v>
      </c>
      <c r="D848" s="2639">
        <f t="shared" ca="1" si="237"/>
        <v>1269.743352402254</v>
      </c>
      <c r="E848" s="2418">
        <f t="shared" ca="1" si="238"/>
        <v>0.10581194603352116</v>
      </c>
      <c r="F848" s="2639">
        <f t="shared" ca="1" si="239"/>
        <v>1177.1024308236415</v>
      </c>
      <c r="G848" s="2418">
        <f t="shared" ca="1" si="240"/>
        <v>4.7084097232945661E-2</v>
      </c>
      <c r="H848" s="2639">
        <f t="shared" si="241"/>
        <v>0</v>
      </c>
      <c r="I848" s="2418">
        <f t="shared" si="242"/>
        <v>0</v>
      </c>
      <c r="J848" s="2639">
        <f t="shared" ca="1" si="243"/>
        <v>0</v>
      </c>
      <c r="K848" s="2418">
        <f t="shared" ca="1" si="244"/>
        <v>0</v>
      </c>
      <c r="L848" s="2639">
        <f t="shared" ca="1" si="245"/>
        <v>2446.8457832258955</v>
      </c>
      <c r="M848" s="2418">
        <f t="shared" ca="1" si="246"/>
        <v>4.9732637870445032E-2</v>
      </c>
    </row>
    <row r="849" spans="2:13">
      <c r="B849" s="2232" t="s">
        <v>1801</v>
      </c>
      <c r="C849" s="2638">
        <f t="shared" si="236"/>
        <v>48334</v>
      </c>
      <c r="D849" s="2639">
        <f t="shared" ca="1" si="237"/>
        <v>840.00000000000011</v>
      </c>
      <c r="E849" s="2418">
        <f t="shared" ca="1" si="238"/>
        <v>7.0000000000000007E-2</v>
      </c>
      <c r="F849" s="2639">
        <f t="shared" ca="1" si="239"/>
        <v>1913.5117459248049</v>
      </c>
      <c r="G849" s="2418">
        <f t="shared" ca="1" si="240"/>
        <v>7.6540469836992198E-2</v>
      </c>
      <c r="H849" s="2639">
        <f t="shared" si="241"/>
        <v>0</v>
      </c>
      <c r="I849" s="2418">
        <f t="shared" si="242"/>
        <v>0</v>
      </c>
      <c r="J849" s="2639">
        <f t="shared" ca="1" si="243"/>
        <v>0</v>
      </c>
      <c r="K849" s="2418">
        <f t="shared" ca="1" si="244"/>
        <v>0</v>
      </c>
      <c r="L849" s="2639">
        <f t="shared" ca="1" si="245"/>
        <v>2753.5117459248049</v>
      </c>
      <c r="M849" s="2418">
        <f t="shared" ca="1" si="246"/>
        <v>5.5965685892780587E-2</v>
      </c>
    </row>
    <row r="850" spans="2:13">
      <c r="B850" s="2232" t="s">
        <v>1802</v>
      </c>
      <c r="C850" s="2638">
        <f t="shared" si="236"/>
        <v>48518</v>
      </c>
      <c r="D850" s="2639">
        <f t="shared" ca="1" si="237"/>
        <v>840.00000000000011</v>
      </c>
      <c r="E850" s="2418">
        <f t="shared" ca="1" si="238"/>
        <v>7.0000000000000007E-2</v>
      </c>
      <c r="F850" s="2639">
        <f t="shared" ca="1" si="239"/>
        <v>2147.7350397829687</v>
      </c>
      <c r="G850" s="2418">
        <f t="shared" ca="1" si="240"/>
        <v>8.590940159131874E-2</v>
      </c>
      <c r="H850" s="2639">
        <f t="shared" si="241"/>
        <v>0</v>
      </c>
      <c r="I850" s="2418">
        <f t="shared" si="242"/>
        <v>0</v>
      </c>
      <c r="J850" s="2639">
        <f t="shared" ca="1" si="243"/>
        <v>0</v>
      </c>
      <c r="K850" s="2418">
        <f t="shared" ca="1" si="244"/>
        <v>0</v>
      </c>
      <c r="L850" s="2639">
        <f t="shared" ca="1" si="245"/>
        <v>2987.7350397829687</v>
      </c>
      <c r="M850" s="2418">
        <f t="shared" ca="1" si="246"/>
        <v>6.0726321946808305E-2</v>
      </c>
    </row>
    <row r="851" spans="2:13">
      <c r="B851" s="2232" t="s">
        <v>1803</v>
      </c>
      <c r="C851" s="2638">
        <f t="shared" si="236"/>
        <v>48699</v>
      </c>
      <c r="D851" s="2639">
        <f t="shared" ca="1" si="237"/>
        <v>840.00000000000011</v>
      </c>
      <c r="E851" s="2418">
        <f t="shared" ca="1" si="238"/>
        <v>7.0000000000000007E-2</v>
      </c>
      <c r="F851" s="2639">
        <f t="shared" ca="1" si="239"/>
        <v>2134.2250160240446</v>
      </c>
      <c r="G851" s="2418">
        <f t="shared" ca="1" si="240"/>
        <v>8.5369000640961784E-2</v>
      </c>
      <c r="H851" s="2639">
        <f t="shared" si="241"/>
        <v>0</v>
      </c>
      <c r="I851" s="2418">
        <f t="shared" si="242"/>
        <v>0</v>
      </c>
      <c r="J851" s="2639">
        <f t="shared" ca="1" si="243"/>
        <v>0</v>
      </c>
      <c r="K851" s="2418">
        <f t="shared" ca="1" si="244"/>
        <v>0</v>
      </c>
      <c r="L851" s="2639">
        <f t="shared" ca="1" si="245"/>
        <v>2974.2250160240446</v>
      </c>
      <c r="M851" s="2418">
        <f t="shared" ca="1" si="246"/>
        <v>6.045172796796839E-2</v>
      </c>
    </row>
    <row r="852" spans="2:13">
      <c r="B852" s="2232" t="s">
        <v>1804</v>
      </c>
      <c r="C852" s="2638">
        <f t="shared" si="236"/>
        <v>48883</v>
      </c>
      <c r="D852" s="2639">
        <f t="shared" ca="1" si="237"/>
        <v>840.00000000000011</v>
      </c>
      <c r="E852" s="2418">
        <f t="shared" ca="1" si="238"/>
        <v>7.0000000000000007E-2</v>
      </c>
      <c r="F852" s="2639">
        <f t="shared" ca="1" si="239"/>
        <v>2374.3038922286669</v>
      </c>
      <c r="G852" s="2418">
        <f t="shared" ca="1" si="240"/>
        <v>9.4972155689146673E-2</v>
      </c>
      <c r="H852" s="2639">
        <f t="shared" si="241"/>
        <v>0</v>
      </c>
      <c r="I852" s="2418">
        <f t="shared" si="242"/>
        <v>0</v>
      </c>
      <c r="J852" s="2639">
        <f t="shared" ca="1" si="243"/>
        <v>0</v>
      </c>
      <c r="K852" s="2418">
        <f t="shared" ca="1" si="244"/>
        <v>0</v>
      </c>
      <c r="L852" s="2639">
        <f t="shared" ca="1" si="245"/>
        <v>3214.3038922286669</v>
      </c>
      <c r="M852" s="2418">
        <f t="shared" ca="1" si="246"/>
        <v>6.5331379923346894E-2</v>
      </c>
    </row>
    <row r="853" spans="2:13">
      <c r="B853" s="2232" t="s">
        <v>1805</v>
      </c>
      <c r="C853" s="2638">
        <f t="shared" si="236"/>
        <v>49064</v>
      </c>
      <c r="D853" s="2639">
        <f t="shared" ca="1" si="237"/>
        <v>840.00000000000011</v>
      </c>
      <c r="E853" s="2418">
        <f t="shared" ca="1" si="238"/>
        <v>7.0000000000000007E-2</v>
      </c>
      <c r="F853" s="2639">
        <f t="shared" ca="1" si="239"/>
        <v>2360.1100758641778</v>
      </c>
      <c r="G853" s="2418">
        <f t="shared" ca="1" si="240"/>
        <v>9.4404403034567111E-2</v>
      </c>
      <c r="H853" s="2639">
        <f t="shared" si="241"/>
        <v>0</v>
      </c>
      <c r="I853" s="2418">
        <f t="shared" si="242"/>
        <v>0</v>
      </c>
      <c r="J853" s="2639">
        <f t="shared" ca="1" si="243"/>
        <v>0</v>
      </c>
      <c r="K853" s="2418">
        <f t="shared" ca="1" si="244"/>
        <v>0</v>
      </c>
      <c r="L853" s="2639">
        <f t="shared" ca="1" si="245"/>
        <v>3200.1100758641778</v>
      </c>
      <c r="M853" s="2418">
        <f t="shared" ca="1" si="246"/>
        <v>6.5042887720816622E-2</v>
      </c>
    </row>
    <row r="854" spans="2:13">
      <c r="B854" s="2232" t="s">
        <v>1806</v>
      </c>
      <c r="C854" s="2638">
        <f t="shared" si="236"/>
        <v>49248</v>
      </c>
      <c r="D854" s="2639">
        <f t="shared" ca="1" si="237"/>
        <v>840.00000000000011</v>
      </c>
      <c r="E854" s="2418">
        <f t="shared" ca="1" si="238"/>
        <v>7.0000000000000007E-2</v>
      </c>
      <c r="F854" s="2639">
        <f t="shared" ca="1" si="239"/>
        <v>1707.7026972966114</v>
      </c>
      <c r="G854" s="2418">
        <f t="shared" ca="1" si="240"/>
        <v>6.830810789186445E-2</v>
      </c>
      <c r="H854" s="2639">
        <f t="shared" si="241"/>
        <v>0</v>
      </c>
      <c r="I854" s="2418">
        <f t="shared" si="242"/>
        <v>0</v>
      </c>
      <c r="J854" s="2639">
        <f t="shared" ca="1" si="243"/>
        <v>0</v>
      </c>
      <c r="K854" s="2418">
        <f t="shared" ca="1" si="244"/>
        <v>0</v>
      </c>
      <c r="L854" s="2639">
        <f t="shared" ca="1" si="245"/>
        <v>2547.7026972966114</v>
      </c>
      <c r="M854" s="2418">
        <f t="shared" ca="1" si="246"/>
        <v>5.1782575148305109E-2</v>
      </c>
    </row>
    <row r="855" spans="2:13">
      <c r="B855" s="2232" t="s">
        <v>1807</v>
      </c>
      <c r="C855" s="2638">
        <f t="shared" si="236"/>
        <v>49429</v>
      </c>
      <c r="D855" s="2639">
        <f t="shared" ca="1" si="237"/>
        <v>840.00000000000011</v>
      </c>
      <c r="E855" s="2418">
        <f t="shared" ca="1" si="238"/>
        <v>7.0000000000000007E-2</v>
      </c>
      <c r="F855" s="2639">
        <f t="shared" ca="1" si="239"/>
        <v>2404.0479855807284</v>
      </c>
      <c r="G855" s="2418">
        <f t="shared" ca="1" si="240"/>
        <v>9.6161919423229131E-2</v>
      </c>
      <c r="H855" s="2639">
        <f t="shared" si="241"/>
        <v>0</v>
      </c>
      <c r="I855" s="2418">
        <f t="shared" si="242"/>
        <v>0</v>
      </c>
      <c r="J855" s="2639">
        <f t="shared" ca="1" si="243"/>
        <v>0</v>
      </c>
      <c r="K855" s="2418">
        <f t="shared" ca="1" si="244"/>
        <v>0</v>
      </c>
      <c r="L855" s="2639">
        <f t="shared" ca="1" si="245"/>
        <v>3244.0479855807284</v>
      </c>
      <c r="M855" s="2418">
        <f t="shared" ca="1" si="246"/>
        <v>6.5935934666274967E-2</v>
      </c>
    </row>
    <row r="856" spans="2:13">
      <c r="B856" s="2232" t="s">
        <v>1808</v>
      </c>
      <c r="C856" s="2638">
        <f t="shared" si="236"/>
        <v>49613</v>
      </c>
      <c r="D856" s="2639">
        <f t="shared" ca="1" si="237"/>
        <v>840.00000000000011</v>
      </c>
      <c r="E856" s="2418">
        <f t="shared" ca="1" si="238"/>
        <v>7.0000000000000007E-2</v>
      </c>
      <c r="F856" s="2639">
        <f t="shared" ca="1" si="239"/>
        <v>2619.3763884551086</v>
      </c>
      <c r="G856" s="2418">
        <f t="shared" ca="1" si="240"/>
        <v>0.10477505553820435</v>
      </c>
      <c r="H856" s="2639">
        <f t="shared" si="241"/>
        <v>0</v>
      </c>
      <c r="I856" s="2418">
        <f t="shared" si="242"/>
        <v>0</v>
      </c>
      <c r="J856" s="2639">
        <f t="shared" ca="1" si="243"/>
        <v>0</v>
      </c>
      <c r="K856" s="2418">
        <f t="shared" ca="1" si="244"/>
        <v>0</v>
      </c>
      <c r="L856" s="2639">
        <f t="shared" ca="1" si="245"/>
        <v>3459.3763884551086</v>
      </c>
      <c r="M856" s="2418">
        <f t="shared" ca="1" si="246"/>
        <v>7.0312528220632289E-2</v>
      </c>
    </row>
    <row r="857" spans="2:13">
      <c r="B857" s="2232" t="s">
        <v>1809</v>
      </c>
      <c r="C857" s="2638">
        <f t="shared" si="236"/>
        <v>49795</v>
      </c>
      <c r="D857" s="2639">
        <f t="shared" ca="1" si="237"/>
        <v>840.00000000000011</v>
      </c>
      <c r="E857" s="2418">
        <f t="shared" ca="1" si="238"/>
        <v>7.0000000000000007E-2</v>
      </c>
      <c r="F857" s="2639">
        <f t="shared" ca="1" si="239"/>
        <v>2730.8529526719558</v>
      </c>
      <c r="G857" s="2418">
        <f t="shared" ca="1" si="240"/>
        <v>0.10923411810687823</v>
      </c>
      <c r="H857" s="2639">
        <f t="shared" si="241"/>
        <v>0</v>
      </c>
      <c r="I857" s="2418">
        <f t="shared" si="242"/>
        <v>0</v>
      </c>
      <c r="J857" s="2639">
        <f t="shared" ca="1" si="243"/>
        <v>0</v>
      </c>
      <c r="K857" s="2418">
        <f t="shared" ca="1" si="244"/>
        <v>0</v>
      </c>
      <c r="L857" s="2639">
        <f t="shared" ca="1" si="245"/>
        <v>3570.8529526719558</v>
      </c>
      <c r="M857" s="2418">
        <f t="shared" ca="1" si="246"/>
        <v>7.2578312046177956E-2</v>
      </c>
    </row>
    <row r="858" spans="2:13">
      <c r="B858" s="2232" t="s">
        <v>1810</v>
      </c>
      <c r="C858" s="2638">
        <f t="shared" si="236"/>
        <v>49979</v>
      </c>
      <c r="D858" s="2639">
        <f t="shared" ca="1" si="237"/>
        <v>840.00000000000011</v>
      </c>
      <c r="E858" s="2418">
        <f t="shared" ca="1" si="238"/>
        <v>7.0000000000000007E-2</v>
      </c>
      <c r="F858" s="2639">
        <f t="shared" ca="1" si="239"/>
        <v>2857.3726921172756</v>
      </c>
      <c r="G858" s="2418">
        <f t="shared" ca="1" si="240"/>
        <v>0.11429490768469103</v>
      </c>
      <c r="H858" s="2639">
        <f t="shared" si="241"/>
        <v>0</v>
      </c>
      <c r="I858" s="2418">
        <f t="shared" si="242"/>
        <v>0</v>
      </c>
      <c r="J858" s="2639">
        <f t="shared" ca="1" si="243"/>
        <v>0</v>
      </c>
      <c r="K858" s="2418">
        <f t="shared" ca="1" si="244"/>
        <v>0</v>
      </c>
      <c r="L858" s="2639">
        <f t="shared" ca="1" si="245"/>
        <v>3697.3726921172756</v>
      </c>
      <c r="M858" s="2418">
        <f t="shared" ca="1" si="246"/>
        <v>7.5149851465798279E-2</v>
      </c>
    </row>
    <row r="859" spans="2:13">
      <c r="B859" s="2654" t="s">
        <v>1828</v>
      </c>
      <c r="C859" s="2654" t="s">
        <v>1829</v>
      </c>
      <c r="D859" s="2655">
        <f ca="1">SUM(D839:D858)</f>
        <v>16800.000000000004</v>
      </c>
      <c r="E859" s="2656"/>
      <c r="F859" s="2655">
        <f ca="1">SUM(F839:F858)</f>
        <v>26726.23864251727</v>
      </c>
      <c r="G859" s="2656"/>
      <c r="H859" s="2655">
        <f>SUM(H839:H858)</f>
        <v>0</v>
      </c>
      <c r="I859" s="2656"/>
      <c r="J859" s="2655">
        <f ca="1">SUM(J839:J858)</f>
        <v>0</v>
      </c>
      <c r="K859" s="2656"/>
      <c r="L859" s="2655">
        <f ca="1">SUM(L839:L858)</f>
        <v>43526.238642517274</v>
      </c>
      <c r="M859" s="2656"/>
    </row>
    <row r="860" spans="2:13">
      <c r="B860" s="2627" t="s">
        <v>1830</v>
      </c>
      <c r="C860" s="2627"/>
      <c r="D860" s="2657"/>
      <c r="E860" s="2641">
        <f ca="1">D859/24000/10</f>
        <v>7.0000000000000021E-2</v>
      </c>
      <c r="F860" s="2657"/>
      <c r="G860" s="2641">
        <f ca="1">F859/50000/10</f>
        <v>5.3452477285034536E-2</v>
      </c>
      <c r="H860" s="2657"/>
      <c r="I860" s="2641">
        <f>H859/10000/10</f>
        <v>0</v>
      </c>
      <c r="J860" s="2657"/>
      <c r="K860" s="2641">
        <f ca="1">J859/14400/10</f>
        <v>0</v>
      </c>
      <c r="L860" s="2657"/>
      <c r="M860" s="2641">
        <f ca="1">L859/98400/10</f>
        <v>4.4233982360281782E-2</v>
      </c>
    </row>
    <row r="861" spans="2:13">
      <c r="B861" s="2658" t="s">
        <v>1831</v>
      </c>
      <c r="C861" s="2658"/>
      <c r="D861" s="2659"/>
      <c r="E861" s="2660">
        <f ca="1">C878</f>
        <v>7.0427331328392018E-2</v>
      </c>
      <c r="F861" s="2660"/>
      <c r="G861" s="2660">
        <f ca="1">C879</f>
        <v>4.8941203951835627E-2</v>
      </c>
      <c r="H861" s="2660"/>
      <c r="I861" s="2660">
        <f>C880</f>
        <v>2.9802322387695314E-9</v>
      </c>
      <c r="J861" s="2660"/>
      <c r="K861" s="2660">
        <f ca="1">C881</f>
        <v>2.9802322387695314E-9</v>
      </c>
      <c r="L861" s="2660"/>
      <c r="M861" s="2660">
        <f ca="1">C882</f>
        <v>4.2301622033119199E-2</v>
      </c>
    </row>
    <row r="862" spans="2:13">
      <c r="B862" s="2627"/>
      <c r="C862" s="2627"/>
      <c r="D862" s="2627"/>
      <c r="E862" s="2641"/>
      <c r="F862" s="2627"/>
      <c r="G862" s="2641"/>
      <c r="H862" s="2627"/>
      <c r="I862" s="2641"/>
      <c r="J862" s="2627"/>
      <c r="K862" s="2641"/>
      <c r="L862" s="2627"/>
      <c r="M862" s="2641"/>
    </row>
    <row r="863" spans="2:13">
      <c r="B863" s="2627"/>
      <c r="C863" s="2627"/>
      <c r="D863" s="2627"/>
      <c r="E863" s="2641"/>
      <c r="F863" s="2627"/>
      <c r="G863" s="2641"/>
      <c r="H863" s="2627"/>
      <c r="I863" s="2641"/>
      <c r="J863" s="2627"/>
      <c r="K863" s="2641"/>
      <c r="L863" s="2627"/>
      <c r="M863" s="2641"/>
    </row>
    <row r="864" spans="2:13">
      <c r="B864" s="2627"/>
      <c r="C864" s="2627"/>
      <c r="D864" s="2627"/>
      <c r="E864" s="2641"/>
      <c r="F864" s="2627"/>
      <c r="G864" s="2641"/>
      <c r="H864" s="2627"/>
      <c r="I864" s="2641"/>
      <c r="J864" s="2627"/>
      <c r="K864" s="2641"/>
      <c r="L864" s="2627"/>
      <c r="M864" s="2641"/>
    </row>
    <row r="865" spans="2:24">
      <c r="B865" s="2627"/>
      <c r="C865" s="2627"/>
      <c r="D865" s="2627"/>
      <c r="E865" s="2641"/>
      <c r="F865" s="2627"/>
      <c r="G865" s="2641"/>
      <c r="H865" s="2627"/>
      <c r="I865" s="2641"/>
      <c r="J865" s="2627"/>
      <c r="K865" s="2641"/>
      <c r="L865" s="2627"/>
      <c r="M865" s="2641"/>
    </row>
    <row r="869" spans="2:24">
      <c r="C869" s="2268"/>
    </row>
    <row r="870" spans="2:24">
      <c r="C870" s="2268"/>
    </row>
    <row r="872" spans="2:24">
      <c r="C872" s="2268"/>
    </row>
    <row r="876" spans="2:24">
      <c r="B876" s="2232" t="s">
        <v>1811</v>
      </c>
    </row>
    <row r="877" spans="2:24">
      <c r="B877" s="2645" t="s">
        <v>1812</v>
      </c>
      <c r="C877" s="2645"/>
      <c r="D877" s="2648">
        <f>$D$674</f>
        <v>46326</v>
      </c>
      <c r="E877" s="2649">
        <f t="shared" ref="E877:X877" si="247">E$674</f>
        <v>46507</v>
      </c>
      <c r="F877" s="2649">
        <f t="shared" si="247"/>
        <v>46691</v>
      </c>
      <c r="G877" s="2649">
        <f t="shared" si="247"/>
        <v>46873</v>
      </c>
      <c r="H877" s="2649">
        <f t="shared" si="247"/>
        <v>47057</v>
      </c>
      <c r="I877" s="2649">
        <f t="shared" si="247"/>
        <v>47238</v>
      </c>
      <c r="J877" s="2649">
        <f t="shared" si="247"/>
        <v>47422</v>
      </c>
      <c r="K877" s="2649">
        <f t="shared" si="247"/>
        <v>47603</v>
      </c>
      <c r="L877" s="2649">
        <f t="shared" si="247"/>
        <v>47787</v>
      </c>
      <c r="M877" s="2649">
        <f t="shared" si="247"/>
        <v>47968</v>
      </c>
      <c r="N877" s="2649">
        <f t="shared" si="247"/>
        <v>48152</v>
      </c>
      <c r="O877" s="2649">
        <f t="shared" si="247"/>
        <v>48334</v>
      </c>
      <c r="P877" s="2649">
        <f t="shared" si="247"/>
        <v>48518</v>
      </c>
      <c r="Q877" s="2649">
        <f t="shared" si="247"/>
        <v>48699</v>
      </c>
      <c r="R877" s="2649">
        <f t="shared" si="247"/>
        <v>48883</v>
      </c>
      <c r="S877" s="2649">
        <f t="shared" si="247"/>
        <v>49064</v>
      </c>
      <c r="T877" s="2649">
        <f t="shared" si="247"/>
        <v>49248</v>
      </c>
      <c r="U877" s="2649">
        <f t="shared" si="247"/>
        <v>49429</v>
      </c>
      <c r="V877" s="2649">
        <f t="shared" si="247"/>
        <v>49613</v>
      </c>
      <c r="W877" s="2649">
        <f t="shared" si="247"/>
        <v>49795</v>
      </c>
      <c r="X877" s="2649">
        <f t="shared" si="247"/>
        <v>49979</v>
      </c>
    </row>
    <row r="878" spans="2:24">
      <c r="B878" s="2645" t="s">
        <v>1813</v>
      </c>
      <c r="C878" s="2650">
        <f t="shared" ref="C878:C882" ca="1" si="248">IFERROR(XIRR(D878:X878,$D$877:$X$877),"")</f>
        <v>7.0427331328392018E-2</v>
      </c>
      <c r="D878" s="2651">
        <v>-24000</v>
      </c>
      <c r="E878" s="2651">
        <f ca="1">D839</f>
        <v>838.08955217138555</v>
      </c>
      <c r="F878" s="2651">
        <f ca="1">D840</f>
        <v>841.91044782861468</v>
      </c>
      <c r="G878" s="2651">
        <f ca="1">D841</f>
        <v>840.00000000000011</v>
      </c>
      <c r="H878" s="2651">
        <f ca="1">D842</f>
        <v>840.00000000000011</v>
      </c>
      <c r="I878" s="2651">
        <f ca="1">D843</f>
        <v>840.00000000000011</v>
      </c>
      <c r="J878" s="2651">
        <f ca="1">D844</f>
        <v>0</v>
      </c>
      <c r="K878" s="2651">
        <f ca="1">D845</f>
        <v>0</v>
      </c>
      <c r="L878" s="2651">
        <f ca="1">D846</f>
        <v>711.92139496518325</v>
      </c>
      <c r="M878" s="2651">
        <f ca="1">D847</f>
        <v>2218.3352526325634</v>
      </c>
      <c r="N878" s="2651">
        <f ca="1">D848</f>
        <v>1269.743352402254</v>
      </c>
      <c r="O878" s="2651">
        <f ca="1">D849</f>
        <v>840.00000000000011</v>
      </c>
      <c r="P878" s="2651">
        <f ca="1">D850</f>
        <v>840.00000000000011</v>
      </c>
      <c r="Q878" s="2651">
        <f ca="1">D851</f>
        <v>840.00000000000011</v>
      </c>
      <c r="R878" s="2651">
        <f ca="1">D852</f>
        <v>840.00000000000011</v>
      </c>
      <c r="S878" s="2651">
        <f ca="1">D853</f>
        <v>840.00000000000011</v>
      </c>
      <c r="T878" s="2651">
        <f ca="1">D854</f>
        <v>840.00000000000011</v>
      </c>
      <c r="U878" s="2651">
        <f ca="1">D855</f>
        <v>840.00000000000011</v>
      </c>
      <c r="V878" s="2651">
        <f ca="1">D856</f>
        <v>840.00000000000011</v>
      </c>
      <c r="W878" s="2651">
        <f ca="1">D857</f>
        <v>840.00000000000011</v>
      </c>
      <c r="X878" s="2651">
        <f ca="1">D858+24000</f>
        <v>24840</v>
      </c>
    </row>
    <row r="879" spans="2:24">
      <c r="B879" s="2645" t="s">
        <v>1814</v>
      </c>
      <c r="C879" s="2650">
        <f t="shared" ca="1" si="248"/>
        <v>4.8941203951835627E-2</v>
      </c>
      <c r="D879" s="2651">
        <v>-50000</v>
      </c>
      <c r="E879" s="2651">
        <f ca="1">F839</f>
        <v>0</v>
      </c>
      <c r="F879" s="2651">
        <f ca="1">F840</f>
        <v>560.14560753203818</v>
      </c>
      <c r="G879" s="2651">
        <f ca="1">F841</f>
        <v>320.30877757587575</v>
      </c>
      <c r="H879" s="2651">
        <f ca="1">F842</f>
        <v>738.97576741780074</v>
      </c>
      <c r="I879" s="2651">
        <f ca="1">F843</f>
        <v>680.46757322157157</v>
      </c>
      <c r="J879" s="2651">
        <f ca="1">F844</f>
        <v>0</v>
      </c>
      <c r="K879" s="2651">
        <f ca="1">F845</f>
        <v>0</v>
      </c>
      <c r="L879" s="2651">
        <f ca="1">F846</f>
        <v>0</v>
      </c>
      <c r="M879" s="2651">
        <f ca="1">F847</f>
        <v>0</v>
      </c>
      <c r="N879" s="2651">
        <f ca="1">F848</f>
        <v>1177.1024308236415</v>
      </c>
      <c r="O879" s="2651">
        <f ca="1">F849</f>
        <v>1913.5117459248049</v>
      </c>
      <c r="P879" s="2651">
        <f ca="1">F850</f>
        <v>2147.7350397829687</v>
      </c>
      <c r="Q879" s="2651">
        <f ca="1">F851</f>
        <v>2134.2250160240446</v>
      </c>
      <c r="R879" s="2651">
        <f ca="1">F852</f>
        <v>2374.3038922286669</v>
      </c>
      <c r="S879" s="2651">
        <f ca="1">F853</f>
        <v>2360.1100758641778</v>
      </c>
      <c r="T879" s="2651">
        <f ca="1">F854</f>
        <v>1707.7026972966114</v>
      </c>
      <c r="U879" s="2651">
        <f ca="1">F855</f>
        <v>2404.0479855807284</v>
      </c>
      <c r="V879" s="2651">
        <f ca="1">F856</f>
        <v>2619.3763884551086</v>
      </c>
      <c r="W879" s="2651">
        <f ca="1">F857</f>
        <v>2730.8529526719558</v>
      </c>
      <c r="X879" s="2651">
        <f ca="1">F858+50000</f>
        <v>52857.372692117278</v>
      </c>
    </row>
    <row r="880" spans="2:24">
      <c r="B880" s="2645" t="s">
        <v>1815</v>
      </c>
      <c r="C880" s="2650">
        <f t="shared" si="248"/>
        <v>2.9802322387695314E-9</v>
      </c>
      <c r="D880" s="2651">
        <v>-10000</v>
      </c>
      <c r="E880" s="2651">
        <f>H839</f>
        <v>0</v>
      </c>
      <c r="F880" s="2651">
        <f>H840</f>
        <v>0</v>
      </c>
      <c r="G880" s="2651">
        <f>H841</f>
        <v>0</v>
      </c>
      <c r="H880" s="2651">
        <f>H842</f>
        <v>0</v>
      </c>
      <c r="I880" s="2651">
        <f>H843</f>
        <v>0</v>
      </c>
      <c r="J880" s="2651">
        <f>H844</f>
        <v>0</v>
      </c>
      <c r="K880" s="2651">
        <f>H845</f>
        <v>0</v>
      </c>
      <c r="L880" s="2651">
        <f>H846</f>
        <v>0</v>
      </c>
      <c r="M880" s="2651">
        <f>H847</f>
        <v>0</v>
      </c>
      <c r="N880" s="2651">
        <f>H848</f>
        <v>0</v>
      </c>
      <c r="O880" s="2651">
        <f>H849</f>
        <v>0</v>
      </c>
      <c r="P880" s="2651">
        <f>H850</f>
        <v>0</v>
      </c>
      <c r="Q880" s="2651">
        <f>H851</f>
        <v>0</v>
      </c>
      <c r="R880" s="2651">
        <f>H852</f>
        <v>0</v>
      </c>
      <c r="S880" s="2651">
        <f>H853</f>
        <v>0</v>
      </c>
      <c r="T880" s="2651">
        <f>H854</f>
        <v>0</v>
      </c>
      <c r="U880" s="2651">
        <f>H855</f>
        <v>0</v>
      </c>
      <c r="V880" s="2651">
        <f>H856</f>
        <v>0</v>
      </c>
      <c r="W880" s="2651">
        <f>H857</f>
        <v>0</v>
      </c>
      <c r="X880" s="2651">
        <f>H858+10000</f>
        <v>10000</v>
      </c>
    </row>
    <row r="881" spans="2:24">
      <c r="B881" s="2645" t="s">
        <v>1816</v>
      </c>
      <c r="C881" s="2650">
        <f t="shared" ca="1" si="248"/>
        <v>2.9802322387695314E-9</v>
      </c>
      <c r="D881" s="2651">
        <v>-14400</v>
      </c>
      <c r="E881" s="2651">
        <f ca="1">J839</f>
        <v>0</v>
      </c>
      <c r="F881" s="2651">
        <f ca="1">J840</f>
        <v>0</v>
      </c>
      <c r="G881" s="2651">
        <f ca="1">J841</f>
        <v>0</v>
      </c>
      <c r="H881" s="2651">
        <f ca="1">J842</f>
        <v>0</v>
      </c>
      <c r="I881" s="2651">
        <f ca="1">J843</f>
        <v>0</v>
      </c>
      <c r="J881" s="2651">
        <f ca="1">J844</f>
        <v>0</v>
      </c>
      <c r="K881" s="2651">
        <f ca="1">J845</f>
        <v>0</v>
      </c>
      <c r="L881" s="2651">
        <f ca="1">J846</f>
        <v>0</v>
      </c>
      <c r="M881" s="2651">
        <f ca="1">J847</f>
        <v>0</v>
      </c>
      <c r="N881" s="2651">
        <f ca="1">J848</f>
        <v>0</v>
      </c>
      <c r="O881" s="2651">
        <f ca="1">J849</f>
        <v>0</v>
      </c>
      <c r="P881" s="2651">
        <f ca="1">J850</f>
        <v>0</v>
      </c>
      <c r="Q881" s="2651">
        <f ca="1">J851</f>
        <v>0</v>
      </c>
      <c r="R881" s="2651">
        <f ca="1">J852</f>
        <v>0</v>
      </c>
      <c r="S881" s="2651">
        <f ca="1">J853</f>
        <v>0</v>
      </c>
      <c r="T881" s="2651">
        <f ca="1">J854</f>
        <v>0</v>
      </c>
      <c r="U881" s="2651">
        <f ca="1">J855</f>
        <v>0</v>
      </c>
      <c r="V881" s="2651">
        <f ca="1">J856</f>
        <v>0</v>
      </c>
      <c r="W881" s="2651">
        <f ca="1">J857</f>
        <v>0</v>
      </c>
      <c r="X881" s="2651">
        <f ca="1">J858+14400</f>
        <v>14400</v>
      </c>
    </row>
    <row r="882" spans="2:24">
      <c r="B882" s="2645" t="s">
        <v>1817</v>
      </c>
      <c r="C882" s="2650">
        <f t="shared" ca="1" si="248"/>
        <v>4.2301622033119199E-2</v>
      </c>
      <c r="D882" s="2651">
        <v>-98400</v>
      </c>
      <c r="E882" s="2651">
        <f ca="1">L839</f>
        <v>838.08955217138555</v>
      </c>
      <c r="F882" s="2651">
        <f ca="1">L840</f>
        <v>1402.0560553606529</v>
      </c>
      <c r="G882" s="2651">
        <f ca="1">L841</f>
        <v>1160.3087775758759</v>
      </c>
      <c r="H882" s="2651">
        <f ca="1">L842</f>
        <v>1578.9757674178009</v>
      </c>
      <c r="I882" s="2651">
        <f ca="1">L843</f>
        <v>1520.4675732215717</v>
      </c>
      <c r="J882" s="2651">
        <f ca="1">L844</f>
        <v>0</v>
      </c>
      <c r="K882" s="2651">
        <f ca="1">L845</f>
        <v>0</v>
      </c>
      <c r="L882" s="2651">
        <f ca="1">L846</f>
        <v>711.92139496518325</v>
      </c>
      <c r="M882" s="2651">
        <f ca="1">L847</f>
        <v>2218.3352526325634</v>
      </c>
      <c r="N882" s="2651">
        <f ca="1">L848</f>
        <v>2446.8457832258955</v>
      </c>
      <c r="O882" s="2651">
        <f ca="1">L849</f>
        <v>2753.5117459248049</v>
      </c>
      <c r="P882" s="2651">
        <f ca="1">L850</f>
        <v>2987.7350397829687</v>
      </c>
      <c r="Q882" s="2651">
        <f ca="1">L851</f>
        <v>2974.2250160240446</v>
      </c>
      <c r="R882" s="2651">
        <f ca="1">L852</f>
        <v>3214.3038922286669</v>
      </c>
      <c r="S882" s="2651">
        <f ca="1">L853</f>
        <v>3200.1100758641778</v>
      </c>
      <c r="T882" s="2651">
        <f ca="1">L854</f>
        <v>2547.7026972966114</v>
      </c>
      <c r="U882" s="2651">
        <f ca="1">L855</f>
        <v>3244.0479855807284</v>
      </c>
      <c r="V882" s="2651">
        <f ca="1">L856</f>
        <v>3459.3763884551086</v>
      </c>
      <c r="W882" s="2651">
        <f ca="1">L857</f>
        <v>3570.8529526719558</v>
      </c>
      <c r="X882" s="2651">
        <f ca="1">L858+98400</f>
        <v>102097.37269211728</v>
      </c>
    </row>
    <row r="883" spans="2:24">
      <c r="C883" s="2418"/>
      <c r="D883" s="2639"/>
      <c r="E883" s="2639"/>
      <c r="F883" s="2639"/>
      <c r="G883" s="2639"/>
      <c r="H883" s="2639"/>
      <c r="I883" s="2639"/>
      <c r="J883" s="2639"/>
      <c r="K883" s="2639"/>
      <c r="L883" s="2639"/>
      <c r="M883" s="2639"/>
      <c r="N883" s="2639"/>
      <c r="O883" s="2639"/>
      <c r="P883" s="2639"/>
      <c r="Q883" s="2639"/>
      <c r="R883" s="2639"/>
      <c r="S883" s="2639"/>
      <c r="T883" s="2639"/>
      <c r="U883" s="2639"/>
      <c r="V883" s="2639"/>
      <c r="W883" s="2639"/>
      <c r="X883" s="2639"/>
    </row>
    <row r="886" spans="2:24">
      <c r="B886" s="2627" t="s">
        <v>1818</v>
      </c>
      <c r="C886" s="2627"/>
      <c r="D886" s="2627"/>
    </row>
    <row r="887" spans="2:24">
      <c r="B887" s="2644" t="s">
        <v>619</v>
      </c>
      <c r="C887" s="2644" t="s">
        <v>1819</v>
      </c>
      <c r="D887" s="2644" t="s">
        <v>1820</v>
      </c>
    </row>
    <row r="888" spans="2:24">
      <c r="B888" s="2645" t="s">
        <v>1821</v>
      </c>
      <c r="C888" s="2646">
        <f ca="1">C889+C890-C891</f>
        <v>43526.238642517332</v>
      </c>
      <c r="D888" s="2646">
        <f>D889+D890-D891</f>
        <v>43526.238642517332</v>
      </c>
    </row>
    <row r="889" spans="2:24">
      <c r="B889" s="2645" t="s">
        <v>1822</v>
      </c>
      <c r="C889" s="2646">
        <f>C677</f>
        <v>173411.61493373639</v>
      </c>
      <c r="D889" s="2646">
        <f>C677</f>
        <v>173411.61493373639</v>
      </c>
    </row>
    <row r="890" spans="2:24">
      <c r="B890" s="2645" t="s">
        <v>1823</v>
      </c>
      <c r="C890" s="2646">
        <f ca="1">R824</f>
        <v>0</v>
      </c>
      <c r="D890" s="2646">
        <f>S824</f>
        <v>0</v>
      </c>
    </row>
    <row r="891" spans="2:24">
      <c r="B891" s="2645" t="s">
        <v>1824</v>
      </c>
      <c r="C891" s="2646">
        <f>C681+C699-(C694+C695+C696)</f>
        <v>129885.37629121906</v>
      </c>
      <c r="D891" s="2646">
        <f>C681+C699-(C694+C695+C696)</f>
        <v>129885.37629121906</v>
      </c>
    </row>
    <row r="892" spans="2:24">
      <c r="B892" s="2645" t="s">
        <v>1825</v>
      </c>
      <c r="C892" s="2646">
        <f ca="1">N828-C888</f>
        <v>11883.761357482668</v>
      </c>
      <c r="D892" s="2646">
        <v>0</v>
      </c>
    </row>
    <row r="893" spans="2:24">
      <c r="B893" s="2645" t="s">
        <v>104</v>
      </c>
      <c r="C893" s="2646">
        <f ca="1">C888+C892</f>
        <v>55410</v>
      </c>
      <c r="D893" s="2646">
        <f>D888+D892</f>
        <v>43526.238642517332</v>
      </c>
    </row>
    <row r="894" spans="2:24">
      <c r="B894" s="2645" t="s">
        <v>1826</v>
      </c>
      <c r="C894" s="2647">
        <f ca="1">C892/C888</f>
        <v>0.27302523094367187</v>
      </c>
      <c r="D894" s="2647">
        <f>D892/D888</f>
        <v>0</v>
      </c>
    </row>
    <row r="896" spans="2:24">
      <c r="B896" s="2232" t="s">
        <v>1827</v>
      </c>
    </row>
    <row r="901" spans="2:13">
      <c r="B901" s="2627" t="s">
        <v>1833</v>
      </c>
    </row>
    <row r="902" spans="2:13">
      <c r="B902" s="2640" t="s">
        <v>619</v>
      </c>
      <c r="C902" s="2640" t="s">
        <v>1042</v>
      </c>
      <c r="D902" s="2640" t="s">
        <v>1043</v>
      </c>
      <c r="E902" s="2640" t="s">
        <v>1044</v>
      </c>
      <c r="F902" s="2640" t="s">
        <v>1045</v>
      </c>
      <c r="G902" s="2640" t="s">
        <v>1046</v>
      </c>
      <c r="H902" s="2640" t="s">
        <v>1047</v>
      </c>
      <c r="I902" s="2640" t="s">
        <v>1048</v>
      </c>
      <c r="J902" s="2640" t="s">
        <v>1049</v>
      </c>
      <c r="K902" s="2640" t="s">
        <v>1050</v>
      </c>
      <c r="L902" s="2640" t="s">
        <v>1051</v>
      </c>
      <c r="M902" s="2640" t="s">
        <v>104</v>
      </c>
    </row>
    <row r="903" spans="2:13">
      <c r="B903" s="2232" t="s">
        <v>1834</v>
      </c>
      <c r="C903" s="2268">
        <f>SUM(E678:F678)</f>
        <v>14414.802116581252</v>
      </c>
      <c r="D903" s="2268">
        <f>SUM(G678:H678)</f>
        <v>14743.044437495781</v>
      </c>
      <c r="E903" s="2268">
        <f>SUM(I678:J678)</f>
        <v>10408.902350741999</v>
      </c>
      <c r="F903" s="2268">
        <f>SUM(K678:L678)</f>
        <v>16506.597858833346</v>
      </c>
      <c r="G903" s="2268">
        <f>SUM(M678:N678)</f>
        <v>16929.15284616538</v>
      </c>
      <c r="H903" s="2268">
        <f>SUM(O678:P678)</f>
        <v>17352.381667319514</v>
      </c>
      <c r="I903" s="2268">
        <f>SUM(Q678:R678)</f>
        <v>17786.1912090025</v>
      </c>
      <c r="J903" s="2268">
        <f>SUM(S678:T678)</f>
        <v>18009.90714862019</v>
      </c>
      <c r="K903" s="2268">
        <f>SUM(U678:V678)</f>
        <v>18366.946594082256</v>
      </c>
      <c r="L903" s="2268">
        <f>SUM(W678:X678)</f>
        <v>18827.592251614664</v>
      </c>
      <c r="M903" s="2268">
        <f t="shared" ref="M903:M914" si="249">SUM(C903:L903)</f>
        <v>163345.51848045687</v>
      </c>
    </row>
    <row r="904" spans="2:13">
      <c r="B904" s="2232" t="s">
        <v>1835</v>
      </c>
      <c r="C904" s="2268">
        <f>SUM(E679:F679)</f>
        <v>779.3548877910938</v>
      </c>
      <c r="D904" s="2268">
        <f>SUM(G679:H679)</f>
        <v>796.871755985871</v>
      </c>
      <c r="E904" s="2268">
        <f>SUM(I679:J679)</f>
        <v>814.82654588551782</v>
      </c>
      <c r="F904" s="2268">
        <f>SUM(K679:L679)</f>
        <v>833.23020553265565</v>
      </c>
      <c r="G904" s="2268">
        <f>SUM(M679:N679)</f>
        <v>852.09395667097215</v>
      </c>
      <c r="H904" s="2268">
        <f>SUM(O679:P679)</f>
        <v>871.42930158774629</v>
      </c>
      <c r="I904" s="2268">
        <f>SUM(Q679:R679)</f>
        <v>891.24803012743985</v>
      </c>
      <c r="J904" s="2268">
        <f>SUM(S679:T679)</f>
        <v>911.55111424284314</v>
      </c>
      <c r="K904" s="2268">
        <f>SUM(U679:V679)</f>
        <v>932.35827674830819</v>
      </c>
      <c r="L904" s="2268">
        <f>SUM(W679:X679)</f>
        <v>953.70022966701595</v>
      </c>
      <c r="M904" s="2268">
        <f t="shared" si="249"/>
        <v>8636.6643042394644</v>
      </c>
    </row>
    <row r="905" spans="2:13">
      <c r="B905" s="2232" t="s">
        <v>1836</v>
      </c>
      <c r="C905" s="2268">
        <f>SUM(E680:F680)</f>
        <v>142.943214904</v>
      </c>
      <c r="D905" s="2268">
        <f>SUM(G680:H680)</f>
        <v>142.943214904</v>
      </c>
      <c r="E905" s="2268">
        <f>SUM(I680:J680)</f>
        <v>142.943214904</v>
      </c>
      <c r="F905" s="2268">
        <f>SUM(K680:L680)</f>
        <v>142.943214904</v>
      </c>
      <c r="G905" s="2268">
        <f>SUM(M680:N680)</f>
        <v>142.943214904</v>
      </c>
      <c r="H905" s="2268">
        <f>SUM(O680:P680)</f>
        <v>142.943214904</v>
      </c>
      <c r="I905" s="2268">
        <f>SUM(Q680:R680)</f>
        <v>142.943214904</v>
      </c>
      <c r="J905" s="2268">
        <f>SUM(S680:T680)</f>
        <v>142.943214904</v>
      </c>
      <c r="K905" s="2268">
        <f>SUM(U680:V680)</f>
        <v>142.943214904</v>
      </c>
      <c r="L905" s="2268">
        <f>SUM(W680:X680)</f>
        <v>142.943214904</v>
      </c>
      <c r="M905" s="2268">
        <f t="shared" si="249"/>
        <v>1429.4321490399998</v>
      </c>
    </row>
    <row r="906" spans="2:13">
      <c r="B906" s="2232" t="s">
        <v>1021</v>
      </c>
      <c r="C906" s="2268">
        <f ca="1">SUM(E693:F693)</f>
        <v>0</v>
      </c>
      <c r="D906" s="2268">
        <f ca="1">SUM(G693:H693)</f>
        <v>0</v>
      </c>
      <c r="E906" s="2268">
        <f ca="1">SUM(I693:J693)</f>
        <v>0</v>
      </c>
      <c r="F906" s="2268">
        <f ca="1">SUM(K693:L693)</f>
        <v>0</v>
      </c>
      <c r="G906" s="2268">
        <f ca="1">SUM(M693:N693)</f>
        <v>0</v>
      </c>
      <c r="H906" s="2268">
        <f ca="1">SUM(O693:P693)</f>
        <v>0</v>
      </c>
      <c r="I906" s="2268">
        <f ca="1">SUM(Q693:R693)</f>
        <v>0</v>
      </c>
      <c r="J906" s="2268">
        <f ca="1">SUM(S693:T693)</f>
        <v>0</v>
      </c>
      <c r="K906" s="2268">
        <f ca="1">SUM(U693:V693)</f>
        <v>0</v>
      </c>
      <c r="L906" s="2268">
        <f ca="1">SUM(W693:X693)</f>
        <v>0</v>
      </c>
      <c r="M906" s="2268">
        <f t="shared" ca="1" si="249"/>
        <v>0</v>
      </c>
    </row>
    <row r="907" spans="2:13">
      <c r="B907" s="2661" t="s">
        <v>1837</v>
      </c>
      <c r="C907" s="2637">
        <f t="shared" ref="C907:L907" ca="1" si="250">SUM(C903:C906)</f>
        <v>15337.100219276346</v>
      </c>
      <c r="D907" s="2637">
        <f t="shared" ca="1" si="250"/>
        <v>15682.859408385651</v>
      </c>
      <c r="E907" s="2637">
        <f t="shared" ca="1" si="250"/>
        <v>11366.672111531518</v>
      </c>
      <c r="F907" s="2637">
        <f t="shared" ca="1" si="250"/>
        <v>17482.77127927</v>
      </c>
      <c r="G907" s="2637">
        <f t="shared" ca="1" si="250"/>
        <v>17924.190017740351</v>
      </c>
      <c r="H907" s="2637">
        <f t="shared" ca="1" si="250"/>
        <v>18366.754183811259</v>
      </c>
      <c r="I907" s="2637">
        <f t="shared" ca="1" si="250"/>
        <v>18820.382454033941</v>
      </c>
      <c r="J907" s="2637">
        <f t="shared" ca="1" si="250"/>
        <v>19064.401477767035</v>
      </c>
      <c r="K907" s="2637">
        <f t="shared" ca="1" si="250"/>
        <v>19442.248085734565</v>
      </c>
      <c r="L907" s="2637">
        <f t="shared" ca="1" si="250"/>
        <v>19924.235696185679</v>
      </c>
      <c r="M907" s="2637">
        <f t="shared" ca="1" si="249"/>
        <v>173411.61493373633</v>
      </c>
    </row>
    <row r="908" spans="2:13">
      <c r="B908" s="2232" t="s">
        <v>1838</v>
      </c>
      <c r="C908" s="2268">
        <f>SUM(E699:F699)</f>
        <v>800.581840871022</v>
      </c>
      <c r="D908" s="2268">
        <f>SUM(G699:H699)</f>
        <v>802.50184087102207</v>
      </c>
      <c r="E908" s="2268">
        <f>SUM(I699:J699)</f>
        <v>804.46024087102205</v>
      </c>
      <c r="F908" s="2268">
        <f>SUM(K699:L699)</f>
        <v>806.45780887102194</v>
      </c>
      <c r="G908" s="2268">
        <f>SUM(M699:N699)</f>
        <v>808.49532823102197</v>
      </c>
      <c r="H908" s="2268">
        <f>SUM(O699:P699)</f>
        <v>810.57359797822198</v>
      </c>
      <c r="I908" s="2268">
        <f>SUM(Q699:R699)</f>
        <v>812.69343312036597</v>
      </c>
      <c r="J908" s="2268">
        <f>SUM(S699:T699)</f>
        <v>814.85566496535284</v>
      </c>
      <c r="K908" s="2268">
        <f>SUM(U699:V699)</f>
        <v>817.06114144723949</v>
      </c>
      <c r="L908" s="2268">
        <f>SUM(W699:X699)</f>
        <v>819.31072745876384</v>
      </c>
      <c r="M908" s="2268">
        <f t="shared" si="249"/>
        <v>8096.9916246850535</v>
      </c>
    </row>
    <row r="909" spans="2:13">
      <c r="B909" s="2232" t="s">
        <v>1839</v>
      </c>
      <c r="C909" s="2268">
        <f>SUM(E681:F681)</f>
        <v>2231.7352375297996</v>
      </c>
      <c r="D909" s="2268">
        <f>SUM(G681:H681)</f>
        <v>2221.0730225209518</v>
      </c>
      <c r="E909" s="2268">
        <f>SUM(I681:J681)</f>
        <v>2290.4830728595962</v>
      </c>
      <c r="F909" s="2268">
        <f>SUM(K681:L681)</f>
        <v>2267.653300013123</v>
      </c>
      <c r="G909" s="2268">
        <f>SUM(M681:N681)</f>
        <v>2226.5136536508744</v>
      </c>
      <c r="H909" s="2268">
        <f>SUM(O681:P681)</f>
        <v>2229.9338001252654</v>
      </c>
      <c r="I909" s="2268">
        <f>SUM(Q681:R681)</f>
        <v>2234.1601126608634</v>
      </c>
      <c r="J909" s="2268">
        <f>SUM(S681:T681)</f>
        <v>2916.7330396408911</v>
      </c>
      <c r="K909" s="2268">
        <f>SUM(U681:V681)</f>
        <v>2336.7625702514897</v>
      </c>
      <c r="L909" s="2268">
        <f>SUM(W681:X681)</f>
        <v>2251.6993239376752</v>
      </c>
      <c r="M909" s="2268">
        <f t="shared" si="249"/>
        <v>23206.747133190529</v>
      </c>
    </row>
    <row r="910" spans="2:13">
      <c r="B910" s="2232" t="s">
        <v>1213</v>
      </c>
      <c r="C910" s="2268">
        <f>-SUM(E697:F697)</f>
        <v>3417.6869999999999</v>
      </c>
      <c r="D910" s="2268">
        <f>-SUM(G697:H697)</f>
        <v>3417.6869999999999</v>
      </c>
      <c r="E910" s="2268">
        <f>-SUM(I697:J697)</f>
        <v>3417.6869999999999</v>
      </c>
      <c r="F910" s="2268">
        <f>-SUM(K697:L697)</f>
        <v>3417.6869999999999</v>
      </c>
      <c r="G910" s="2268">
        <f>-SUM(M697:N697)</f>
        <v>3417.6869999999999</v>
      </c>
      <c r="H910" s="2268">
        <f>-SUM(O697:P697)</f>
        <v>3417.6869999999999</v>
      </c>
      <c r="I910" s="2268">
        <f>-SUM(Q697:R697)</f>
        <v>3417.6869999999999</v>
      </c>
      <c r="J910" s="2268">
        <f>-SUM(S697:T697)</f>
        <v>3417.6869999999999</v>
      </c>
      <c r="K910" s="2268">
        <f>-SUM(U697:V697)</f>
        <v>3417.6869999999999</v>
      </c>
      <c r="L910" s="2268">
        <f>-SUM(W697:X697)</f>
        <v>3417.6869999999999</v>
      </c>
      <c r="M910" s="2268">
        <f t="shared" si="249"/>
        <v>34176.869999999988</v>
      </c>
    </row>
    <row r="911" spans="2:13">
      <c r="B911" s="2232" t="s">
        <v>1840</v>
      </c>
      <c r="C911" s="2268">
        <f>-(SUM(E694:F694)+SUM(E695:F695)+SUM(E696:F696))</f>
        <v>10064.637533343484</v>
      </c>
      <c r="D911" s="2268">
        <f>-(SUM(G694:H694)+SUM(G695:H695)+SUM(G696:H696))</f>
        <v>9920</v>
      </c>
      <c r="E911" s="2268">
        <f>-(SUM(I694:J694)+SUM(I695:J695)+SUM(I696:J696))</f>
        <v>10224</v>
      </c>
      <c r="F911" s="2268">
        <f>-(SUM(K694:L694)+SUM(K695:L695)+SUM(K696:L696))</f>
        <v>10224</v>
      </c>
      <c r="G911" s="2268">
        <f>-(SUM(M694:N694)+SUM(M695:N695)+SUM(M696:N696))</f>
        <v>10224</v>
      </c>
      <c r="H911" s="2268">
        <f>-(SUM(O694:P694)+SUM(O695:P695)+SUM(O696:P696))</f>
        <v>9585</v>
      </c>
      <c r="I911" s="2268">
        <f>-(SUM(Q694:R694)+SUM(Q695:R695)+SUM(Q696:R696))</f>
        <v>9585</v>
      </c>
      <c r="J911" s="2268">
        <f>-(SUM(S694:T694)+SUM(S695:T695)+SUM(S696:T696))</f>
        <v>9585</v>
      </c>
      <c r="K911" s="2268">
        <f>-(SUM(U694:V694)+SUM(U695:V695)+SUM(U696:V696))</f>
        <v>9585</v>
      </c>
      <c r="L911" s="2268">
        <f>-(SUM(W694:X694)+SUM(W695:X695)+SUM(W696:X696))</f>
        <v>9585</v>
      </c>
      <c r="M911" s="2268">
        <f t="shared" si="249"/>
        <v>98581.637533343484</v>
      </c>
    </row>
    <row r="912" spans="2:13">
      <c r="B912" s="2661" t="s">
        <v>1841</v>
      </c>
      <c r="C912" s="2637">
        <f t="shared" ref="C912:L912" si="251">C908+C909+C911</f>
        <v>13096.954611744306</v>
      </c>
      <c r="D912" s="2637">
        <f t="shared" si="251"/>
        <v>12943.574863391974</v>
      </c>
      <c r="E912" s="2637">
        <f t="shared" si="251"/>
        <v>13318.943313730619</v>
      </c>
      <c r="F912" s="2637">
        <f t="shared" si="251"/>
        <v>13298.111108884144</v>
      </c>
      <c r="G912" s="2637">
        <f t="shared" si="251"/>
        <v>13259.008981881896</v>
      </c>
      <c r="H912" s="2637">
        <f t="shared" si="251"/>
        <v>12625.507398103488</v>
      </c>
      <c r="I912" s="2637">
        <f t="shared" si="251"/>
        <v>12631.853545781229</v>
      </c>
      <c r="J912" s="2637">
        <f t="shared" si="251"/>
        <v>13316.588704606243</v>
      </c>
      <c r="K912" s="2637">
        <f t="shared" si="251"/>
        <v>12738.823711698729</v>
      </c>
      <c r="L912" s="2637">
        <f t="shared" si="251"/>
        <v>12656.010051396439</v>
      </c>
      <c r="M912" s="2637">
        <f t="shared" si="249"/>
        <v>129885.37629121907</v>
      </c>
    </row>
    <row r="913" spans="2:13">
      <c r="B913" s="2232" t="s">
        <v>1842</v>
      </c>
      <c r="C913" s="2268">
        <f t="shared" ref="C913:L913" si="252">C912+C910</f>
        <v>16514.641611744308</v>
      </c>
      <c r="D913" s="2268">
        <f t="shared" si="252"/>
        <v>16361.261863391974</v>
      </c>
      <c r="E913" s="2268">
        <f t="shared" si="252"/>
        <v>16736.630313730617</v>
      </c>
      <c r="F913" s="2268">
        <f t="shared" si="252"/>
        <v>16715.798108884144</v>
      </c>
      <c r="G913" s="2268">
        <f t="shared" si="252"/>
        <v>16676.695981881894</v>
      </c>
      <c r="H913" s="2268">
        <f t="shared" si="252"/>
        <v>16043.194398103487</v>
      </c>
      <c r="I913" s="2268">
        <f t="shared" si="252"/>
        <v>16049.540545781229</v>
      </c>
      <c r="J913" s="2268">
        <f t="shared" si="252"/>
        <v>16734.275704606243</v>
      </c>
      <c r="K913" s="2268">
        <f t="shared" si="252"/>
        <v>16156.510711698729</v>
      </c>
      <c r="L913" s="2268">
        <f t="shared" si="252"/>
        <v>16073.697051396439</v>
      </c>
      <c r="M913" s="2268">
        <f t="shared" si="249"/>
        <v>164062.24629121905</v>
      </c>
    </row>
    <row r="914" spans="2:13">
      <c r="B914" s="2661" t="s">
        <v>1843</v>
      </c>
      <c r="C914" s="2637">
        <f ca="1">SUM(E705:F705)</f>
        <v>-1177.5413924679615</v>
      </c>
      <c r="D914" s="2637">
        <f ca="1">SUM(G705:H705)</f>
        <v>-678.40245500632318</v>
      </c>
      <c r="E914" s="2637">
        <f ca="1">SUM(I705:J705)</f>
        <v>-5369.9582021991</v>
      </c>
      <c r="F914" s="2637">
        <f ca="1">SUM(K705:L705)</f>
        <v>766.97317038585561</v>
      </c>
      <c r="G914" s="2637">
        <f ca="1">SUM(M705:N705)</f>
        <v>1247.4940358584586</v>
      </c>
      <c r="H914" s="2637">
        <f ca="1">SUM(O705:P705)</f>
        <v>2323.5597857077737</v>
      </c>
      <c r="I914" s="2637">
        <f ca="1">SUM(Q705:R705)</f>
        <v>2770.8419082527121</v>
      </c>
      <c r="J914" s="2637">
        <f ca="1">SUM(S705:T705)</f>
        <v>2330.1257731607893</v>
      </c>
      <c r="K914" s="2637">
        <f ca="1">SUM(U705:V705)</f>
        <v>3285.7373740358371</v>
      </c>
      <c r="L914" s="2637">
        <f ca="1">SUM(W705:X705)</f>
        <v>108749.23669010658</v>
      </c>
      <c r="M914" s="2637">
        <f t="shared" ca="1" si="249"/>
        <v>114248.06668783462</v>
      </c>
    </row>
    <row r="918" spans="2:13">
      <c r="B918" s="2232" t="s">
        <v>1844</v>
      </c>
    </row>
    <row r="919" spans="2:13">
      <c r="B919" s="2661" t="s">
        <v>619</v>
      </c>
      <c r="C919" s="2474" t="s">
        <v>1042</v>
      </c>
      <c r="D919" s="2474" t="s">
        <v>1043</v>
      </c>
      <c r="E919" s="2474" t="s">
        <v>1044</v>
      </c>
      <c r="F919" s="2474" t="s">
        <v>1045</v>
      </c>
      <c r="G919" s="2474" t="s">
        <v>1046</v>
      </c>
      <c r="H919" s="2474" t="s">
        <v>1047</v>
      </c>
      <c r="I919" s="2474" t="s">
        <v>1048</v>
      </c>
      <c r="J919" s="2474" t="s">
        <v>1049</v>
      </c>
      <c r="K919" s="2474" t="s">
        <v>1050</v>
      </c>
      <c r="L919" s="2474" t="s">
        <v>1051</v>
      </c>
      <c r="M919" s="2474" t="s">
        <v>1845</v>
      </c>
    </row>
    <row r="920" spans="2:13">
      <c r="B920" s="2232" t="s">
        <v>1846</v>
      </c>
      <c r="C920" s="2268">
        <f t="shared" ref="C920:L920" si="253">C903/100</f>
        <v>144.14802116581251</v>
      </c>
      <c r="D920" s="2268">
        <f t="shared" si="253"/>
        <v>147.4304443749578</v>
      </c>
      <c r="E920" s="2268">
        <f t="shared" si="253"/>
        <v>104.08902350741999</v>
      </c>
      <c r="F920" s="2268">
        <f t="shared" si="253"/>
        <v>165.06597858833345</v>
      </c>
      <c r="G920" s="2268">
        <f t="shared" si="253"/>
        <v>169.2915284616538</v>
      </c>
      <c r="H920" s="2268">
        <f t="shared" si="253"/>
        <v>173.52381667319514</v>
      </c>
      <c r="I920" s="2268">
        <f t="shared" si="253"/>
        <v>177.86191209002499</v>
      </c>
      <c r="J920" s="2268">
        <f t="shared" si="253"/>
        <v>180.09907148620189</v>
      </c>
      <c r="K920" s="2268">
        <f t="shared" si="253"/>
        <v>183.66946594082256</v>
      </c>
      <c r="L920" s="2268">
        <f t="shared" si="253"/>
        <v>188.27592251614664</v>
      </c>
      <c r="M920" s="2268">
        <f>SUM(C920:L920)</f>
        <v>1633.4551848045689</v>
      </c>
    </row>
    <row r="921" spans="2:13">
      <c r="B921" s="2232" t="s">
        <v>1847</v>
      </c>
      <c r="C921" s="2268">
        <f t="shared" ref="C921:L921" si="254">C904/100</f>
        <v>7.7935488779109381</v>
      </c>
      <c r="D921" s="2268">
        <f t="shared" si="254"/>
        <v>7.9687175598587103</v>
      </c>
      <c r="E921" s="2268">
        <f t="shared" si="254"/>
        <v>8.1482654588551782</v>
      </c>
      <c r="F921" s="2268">
        <f t="shared" si="254"/>
        <v>8.3323020553265561</v>
      </c>
      <c r="G921" s="2268">
        <f t="shared" si="254"/>
        <v>8.5209395667097212</v>
      </c>
      <c r="H921" s="2268">
        <f t="shared" si="254"/>
        <v>8.7142930158774625</v>
      </c>
      <c r="I921" s="2268">
        <f t="shared" si="254"/>
        <v>8.9124803012743978</v>
      </c>
      <c r="J921" s="2268">
        <f t="shared" si="254"/>
        <v>9.1155111424284314</v>
      </c>
      <c r="K921" s="2268">
        <f t="shared" si="254"/>
        <v>9.3235827674830816</v>
      </c>
      <c r="L921" s="2268">
        <f t="shared" si="254"/>
        <v>9.5370022966701598</v>
      </c>
      <c r="M921" s="2268">
        <f>SUM(C921:L921)</f>
        <v>86.366643042394628</v>
      </c>
    </row>
    <row r="922" spans="2:13">
      <c r="B922" s="2232" t="s">
        <v>1848</v>
      </c>
      <c r="C922" s="2268">
        <f t="shared" ref="C922:L922" ca="1" si="255">(C905+C906)/100</f>
        <v>1.4294321490399999</v>
      </c>
      <c r="D922" s="2268">
        <f t="shared" ca="1" si="255"/>
        <v>1.4294321490399999</v>
      </c>
      <c r="E922" s="2268">
        <f t="shared" ca="1" si="255"/>
        <v>1.4294321490399999</v>
      </c>
      <c r="F922" s="2268">
        <f t="shared" ca="1" si="255"/>
        <v>1.4294321490399999</v>
      </c>
      <c r="G922" s="2268">
        <f t="shared" ca="1" si="255"/>
        <v>1.4294321490399999</v>
      </c>
      <c r="H922" s="2268">
        <f t="shared" ca="1" si="255"/>
        <v>1.4294321490399999</v>
      </c>
      <c r="I922" s="2268">
        <f t="shared" ca="1" si="255"/>
        <v>1.4294321490399999</v>
      </c>
      <c r="J922" s="2268">
        <f t="shared" ca="1" si="255"/>
        <v>1.4294321490399999</v>
      </c>
      <c r="K922" s="2268">
        <f t="shared" ca="1" si="255"/>
        <v>1.4294321490399999</v>
      </c>
      <c r="L922" s="2268">
        <f t="shared" ca="1" si="255"/>
        <v>1.4294321490399999</v>
      </c>
      <c r="M922" s="2268">
        <f ca="1">SUM(C922:L922)</f>
        <v>14.2943214904</v>
      </c>
    </row>
    <row r="923" spans="2:13">
      <c r="B923" s="2661" t="s">
        <v>1849</v>
      </c>
      <c r="C923" s="2637">
        <f t="shared" ref="C923:L923" ca="1" si="256">SUM(C920:C922)</f>
        <v>153.37100219276346</v>
      </c>
      <c r="D923" s="2637">
        <f t="shared" ca="1" si="256"/>
        <v>156.8285940838565</v>
      </c>
      <c r="E923" s="2637">
        <f t="shared" ca="1" si="256"/>
        <v>113.66672111531517</v>
      </c>
      <c r="F923" s="2637">
        <f t="shared" ca="1" si="256"/>
        <v>174.8277127927</v>
      </c>
      <c r="G923" s="2637">
        <f t="shared" ca="1" si="256"/>
        <v>179.24190017740352</v>
      </c>
      <c r="H923" s="2637">
        <f t="shared" ca="1" si="256"/>
        <v>183.66754183811261</v>
      </c>
      <c r="I923" s="2637">
        <f t="shared" ca="1" si="256"/>
        <v>188.20382454033938</v>
      </c>
      <c r="J923" s="2637">
        <f t="shared" ca="1" si="256"/>
        <v>190.64401477767032</v>
      </c>
      <c r="K923" s="2637">
        <f t="shared" ca="1" si="256"/>
        <v>194.42248085734565</v>
      </c>
      <c r="L923" s="2637">
        <f t="shared" ca="1" si="256"/>
        <v>199.24235696185679</v>
      </c>
      <c r="M923" s="2637">
        <f ca="1">SUM(C923:L923)</f>
        <v>1734.1161493373631</v>
      </c>
    </row>
    <row r="924" spans="2:13">
      <c r="C924" s="2642"/>
      <c r="D924" s="2642"/>
      <c r="E924" s="2642"/>
      <c r="F924" s="2642"/>
      <c r="G924" s="2642"/>
      <c r="H924" s="2642"/>
      <c r="I924" s="2642"/>
      <c r="J924" s="2642"/>
      <c r="K924" s="2642"/>
      <c r="L924" s="2642"/>
      <c r="M924" s="2642"/>
    </row>
    <row r="925" spans="2:13">
      <c r="B925" s="2232" t="s">
        <v>1850</v>
      </c>
      <c r="C925" s="2642"/>
      <c r="D925" s="2642"/>
      <c r="E925" s="2642"/>
      <c r="F925" s="2642"/>
      <c r="G925" s="2642"/>
      <c r="H925" s="2642"/>
      <c r="I925" s="2642"/>
      <c r="J925" s="2642"/>
      <c r="K925" s="2642"/>
      <c r="L925" s="2642"/>
      <c r="M925" s="2642"/>
    </row>
    <row r="926" spans="2:13">
      <c r="B926" s="2661" t="s">
        <v>619</v>
      </c>
      <c r="C926" s="2665" t="s">
        <v>1042</v>
      </c>
      <c r="D926" s="2665" t="s">
        <v>1043</v>
      </c>
      <c r="E926" s="2665" t="s">
        <v>1044</v>
      </c>
      <c r="F926" s="2665" t="s">
        <v>1045</v>
      </c>
      <c r="G926" s="2665" t="s">
        <v>1046</v>
      </c>
      <c r="H926" s="2665" t="s">
        <v>1047</v>
      </c>
      <c r="I926" s="2665" t="s">
        <v>1048</v>
      </c>
      <c r="J926" s="2665" t="s">
        <v>1049</v>
      </c>
      <c r="K926" s="2665" t="s">
        <v>1050</v>
      </c>
      <c r="L926" s="2665" t="s">
        <v>1051</v>
      </c>
      <c r="M926" s="2665" t="s">
        <v>1845</v>
      </c>
    </row>
    <row r="927" spans="2:13">
      <c r="B927" s="2232" t="s">
        <v>1838</v>
      </c>
      <c r="C927" s="2268">
        <f t="shared" ref="C927:L927" si="257">C908/100</f>
        <v>8.0058184087102191</v>
      </c>
      <c r="D927" s="2268">
        <f t="shared" si="257"/>
        <v>8.0250184087102205</v>
      </c>
      <c r="E927" s="2268">
        <f t="shared" si="257"/>
        <v>8.0446024087102206</v>
      </c>
      <c r="F927" s="2268">
        <f t="shared" si="257"/>
        <v>8.0645780887102188</v>
      </c>
      <c r="G927" s="2268">
        <f t="shared" si="257"/>
        <v>8.0849532823102201</v>
      </c>
      <c r="H927" s="2268">
        <f t="shared" si="257"/>
        <v>8.105735979782219</v>
      </c>
      <c r="I927" s="2268">
        <f t="shared" si="257"/>
        <v>8.1269343312036604</v>
      </c>
      <c r="J927" s="2268">
        <f t="shared" si="257"/>
        <v>8.1485566496535284</v>
      </c>
      <c r="K927" s="2268">
        <f t="shared" si="257"/>
        <v>8.1706114144723951</v>
      </c>
      <c r="L927" s="2268">
        <f t="shared" si="257"/>
        <v>8.1931072745876392</v>
      </c>
      <c r="M927" s="2268">
        <f>SUM(C927:L927)</f>
        <v>80.969916246850545</v>
      </c>
    </row>
    <row r="928" spans="2:13">
      <c r="B928" s="2232" t="s">
        <v>1851</v>
      </c>
      <c r="C928" s="2268">
        <f t="shared" ref="C928:L928" si="258">C909/100</f>
        <v>22.317352375297997</v>
      </c>
      <c r="D928" s="2268">
        <f t="shared" si="258"/>
        <v>22.210730225209517</v>
      </c>
      <c r="E928" s="2268">
        <f t="shared" si="258"/>
        <v>22.904830728595961</v>
      </c>
      <c r="F928" s="2268">
        <f t="shared" si="258"/>
        <v>22.676533000131229</v>
      </c>
      <c r="G928" s="2268">
        <f t="shared" si="258"/>
        <v>22.265136536508745</v>
      </c>
      <c r="H928" s="2268">
        <f t="shared" si="258"/>
        <v>22.299338001252654</v>
      </c>
      <c r="I928" s="2268">
        <f t="shared" si="258"/>
        <v>22.341601126608634</v>
      </c>
      <c r="J928" s="2268">
        <f t="shared" si="258"/>
        <v>29.167330396408911</v>
      </c>
      <c r="K928" s="2268">
        <f t="shared" si="258"/>
        <v>23.367625702514896</v>
      </c>
      <c r="L928" s="2268">
        <f t="shared" si="258"/>
        <v>22.516993239376752</v>
      </c>
      <c r="M928" s="2268">
        <f>SUM(C928:L928)</f>
        <v>232.0674713319053</v>
      </c>
    </row>
    <row r="929" spans="2:13">
      <c r="B929" s="2232" t="s">
        <v>178</v>
      </c>
      <c r="C929" s="2268">
        <f t="shared" ref="C929:L929" si="259">C911/100</f>
        <v>100.64637533343485</v>
      </c>
      <c r="D929" s="2268">
        <f t="shared" si="259"/>
        <v>99.2</v>
      </c>
      <c r="E929" s="2268">
        <f t="shared" si="259"/>
        <v>102.24</v>
      </c>
      <c r="F929" s="2268">
        <f t="shared" si="259"/>
        <v>102.24</v>
      </c>
      <c r="G929" s="2268">
        <f t="shared" si="259"/>
        <v>102.24</v>
      </c>
      <c r="H929" s="2268">
        <f t="shared" si="259"/>
        <v>95.85</v>
      </c>
      <c r="I929" s="2268">
        <f t="shared" si="259"/>
        <v>95.85</v>
      </c>
      <c r="J929" s="2268">
        <f t="shared" si="259"/>
        <v>95.85</v>
      </c>
      <c r="K929" s="2268">
        <f t="shared" si="259"/>
        <v>95.85</v>
      </c>
      <c r="L929" s="2268">
        <f t="shared" si="259"/>
        <v>95.85</v>
      </c>
      <c r="M929" s="2268">
        <f>SUM(C929:L929)</f>
        <v>985.81637533343496</v>
      </c>
    </row>
    <row r="930" spans="2:13">
      <c r="B930" s="2661" t="s">
        <v>1852</v>
      </c>
      <c r="C930" s="2637">
        <f t="shared" ref="C930:L930" si="260">SUM(C927:C929)</f>
        <v>130.96954611744306</v>
      </c>
      <c r="D930" s="2637">
        <f t="shared" si="260"/>
        <v>129.43574863391973</v>
      </c>
      <c r="E930" s="2637">
        <f t="shared" si="260"/>
        <v>133.18943313730617</v>
      </c>
      <c r="F930" s="2637">
        <f t="shared" si="260"/>
        <v>132.98111108884143</v>
      </c>
      <c r="G930" s="2637">
        <f t="shared" si="260"/>
        <v>132.59008981881897</v>
      </c>
      <c r="H930" s="2637">
        <f t="shared" si="260"/>
        <v>126.25507398103487</v>
      </c>
      <c r="I930" s="2637">
        <f t="shared" si="260"/>
        <v>126.31853545781229</v>
      </c>
      <c r="J930" s="2637">
        <f t="shared" si="260"/>
        <v>133.16588704606244</v>
      </c>
      <c r="K930" s="2637">
        <f t="shared" si="260"/>
        <v>127.38823711698728</v>
      </c>
      <c r="L930" s="2637">
        <f t="shared" si="260"/>
        <v>126.56010051396439</v>
      </c>
      <c r="M930" s="2637">
        <f>SUM(C930:L930)</f>
        <v>1298.8537629121906</v>
      </c>
    </row>
    <row r="931" spans="2:13">
      <c r="B931" s="2232" t="s">
        <v>1853</v>
      </c>
      <c r="C931" s="2268">
        <f t="shared" ref="C931:L931" si="261">C910/100</f>
        <v>34.176870000000001</v>
      </c>
      <c r="D931" s="2268">
        <f t="shared" si="261"/>
        <v>34.176870000000001</v>
      </c>
      <c r="E931" s="2268">
        <f t="shared" si="261"/>
        <v>34.176870000000001</v>
      </c>
      <c r="F931" s="2268">
        <f t="shared" si="261"/>
        <v>34.176870000000001</v>
      </c>
      <c r="G931" s="2268">
        <f t="shared" si="261"/>
        <v>34.176870000000001</v>
      </c>
      <c r="H931" s="2268">
        <f t="shared" si="261"/>
        <v>34.176870000000001</v>
      </c>
      <c r="I931" s="2268">
        <f t="shared" si="261"/>
        <v>34.176870000000001</v>
      </c>
      <c r="J931" s="2268">
        <f t="shared" si="261"/>
        <v>34.176870000000001</v>
      </c>
      <c r="K931" s="2268">
        <f t="shared" si="261"/>
        <v>34.176870000000001</v>
      </c>
      <c r="L931" s="2268">
        <f t="shared" si="261"/>
        <v>34.176870000000001</v>
      </c>
      <c r="M931" s="2268">
        <f>SUM(C931:L931)</f>
        <v>341.76870000000002</v>
      </c>
    </row>
    <row r="933" spans="2:13">
      <c r="B933" s="2232" t="s">
        <v>1854</v>
      </c>
    </row>
    <row r="934" spans="2:13">
      <c r="B934" s="2661" t="s">
        <v>1855</v>
      </c>
      <c r="C934" s="2661" t="s">
        <v>1856</v>
      </c>
      <c r="D934" s="2661" t="s">
        <v>1857</v>
      </c>
      <c r="E934" s="2661"/>
    </row>
    <row r="935" spans="2:13">
      <c r="B935" s="2232" t="s">
        <v>1858</v>
      </c>
      <c r="C935" s="2642">
        <f>55380/100</f>
        <v>553.79999999999995</v>
      </c>
      <c r="D935" s="2232" t="s">
        <v>1859</v>
      </c>
    </row>
    <row r="936" spans="2:13">
      <c r="B936" s="2232" t="s">
        <v>1860</v>
      </c>
      <c r="C936" s="2642">
        <f>41497/100</f>
        <v>414.97</v>
      </c>
      <c r="D936" s="2232" t="s">
        <v>1859</v>
      </c>
    </row>
    <row r="937" spans="2:13">
      <c r="B937" s="2661" t="s">
        <v>1861</v>
      </c>
      <c r="C937" s="2662">
        <f>C935+C936</f>
        <v>968.77</v>
      </c>
      <c r="D937" s="2661" t="s">
        <v>1862</v>
      </c>
      <c r="E937" s="2661"/>
    </row>
    <row r="938" spans="2:13">
      <c r="B938" s="2232" t="s">
        <v>1863</v>
      </c>
      <c r="C938" s="2642">
        <f ca="1">(N828+(-(SUM('CF(M)'!$L$99:$EQ$99)+SUM('CF(M)'!$L$104:$EQ$104)+SUM('CF(M)'!$L$109:$EQ$109)+SUM('CF(M)'!$L$114:$EQ$114))/1000))/100</f>
        <v>1142.4806668783467</v>
      </c>
      <c r="D938" s="2232" t="s">
        <v>1864</v>
      </c>
    </row>
    <row r="939" spans="2:13">
      <c r="B939" s="2232" t="s">
        <v>1865</v>
      </c>
      <c r="C939" s="2642">
        <f ca="1">M923-M930</f>
        <v>435.26238642517251</v>
      </c>
      <c r="D939" s="2232" t="s">
        <v>1866</v>
      </c>
    </row>
    <row r="940" spans="2:13">
      <c r="B940" s="2232" t="s">
        <v>1867</v>
      </c>
      <c r="C940" s="2642">
        <f ca="1">C935-C939</f>
        <v>118.53761357482745</v>
      </c>
      <c r="D940" s="2232" t="s">
        <v>1868</v>
      </c>
    </row>
    <row r="943" spans="2:13">
      <c r="C943" s="2268"/>
    </row>
    <row r="944" spans="2:13">
      <c r="C944" s="2252"/>
    </row>
    <row r="945" spans="2:17">
      <c r="C945" s="2252"/>
    </row>
    <row r="947" spans="2:17">
      <c r="B947" s="2627" t="s">
        <v>1869</v>
      </c>
      <c r="I947" s="2268">
        <f ca="1">D370</f>
        <v>114248.06668783468</v>
      </c>
    </row>
    <row r="948" spans="2:17" ht="24.75" thickBot="1">
      <c r="B948" s="2664" t="s">
        <v>619</v>
      </c>
      <c r="C948" s="2666" t="s">
        <v>1870</v>
      </c>
      <c r="D948" s="2666" t="s">
        <v>1871</v>
      </c>
      <c r="E948" s="2666" t="s">
        <v>1872</v>
      </c>
      <c r="F948" s="2666" t="s">
        <v>1873</v>
      </c>
      <c r="G948" s="2666" t="s">
        <v>1874</v>
      </c>
      <c r="I948" s="2268">
        <f ca="1">SUM(I952:I955)-I947</f>
        <v>0</v>
      </c>
    </row>
    <row r="949" spans="2:17" ht="12.75" thickBot="1">
      <c r="B949" s="2232" t="s">
        <v>1880</v>
      </c>
      <c r="C949" s="2418">
        <f>P951</f>
        <v>4.8918868912827713E-2</v>
      </c>
      <c r="D949" s="2418">
        <f ca="1">$P$950/(J950-$P$952)</f>
        <v>5.8263907195142232E-2</v>
      </c>
      <c r="E949" s="2418">
        <f ca="1">$P$950/(K950-$P$952)</f>
        <v>5.9438228783780786E-2</v>
      </c>
      <c r="F949" s="2418">
        <f ca="1">$P$950/(L950-$P$952)</f>
        <v>6.090333304286339E-2</v>
      </c>
      <c r="G949" s="2418">
        <f ca="1">$P$950/(M950-$P$952)</f>
        <v>7.0454949344068957E-2</v>
      </c>
      <c r="I949" s="2252">
        <f>C105</f>
        <v>4.8918868912827713E-2</v>
      </c>
      <c r="J949" s="2252">
        <f ca="1">$P$950/(J950-$P$952)</f>
        <v>5.8263907195142232E-2</v>
      </c>
      <c r="K949" s="2252">
        <f ca="1">$P$950/(K950-$P$952)</f>
        <v>5.9438228783780786E-2</v>
      </c>
      <c r="L949" s="2252">
        <f ca="1">$P$950/(L950-$P$952)</f>
        <v>6.090333304286339E-2</v>
      </c>
      <c r="M949" s="2252">
        <f ca="1">$P$950/(M950-$P$952)</f>
        <v>7.0454949344068957E-2</v>
      </c>
      <c r="O949" s="2260" t="str">
        <f t="shared" ref="O949:Q950" si="262">B103</f>
        <v>구분</v>
      </c>
      <c r="P949" s="2270" t="str">
        <f t="shared" si="262"/>
        <v>금액</v>
      </c>
      <c r="Q949" s="2261" t="str">
        <f t="shared" si="262"/>
        <v>내용</v>
      </c>
    </row>
    <row r="950" spans="2:17" ht="12.75" thickBot="1">
      <c r="B950" s="2232" t="s">
        <v>1881</v>
      </c>
      <c r="C950" s="2663">
        <f>I950/100</f>
        <v>3758.6075822378766</v>
      </c>
      <c r="D950" s="2663">
        <f t="shared" ref="D950:G950" ca="1" si="263">J950/100</f>
        <v>3159.1269153595294</v>
      </c>
      <c r="E950" s="2663">
        <f t="shared" ca="1" si="263"/>
        <v>3097.1269153595294</v>
      </c>
      <c r="F950" s="2663">
        <f t="shared" ca="1" si="263"/>
        <v>3023.1269153595294</v>
      </c>
      <c r="G950" s="2663">
        <f t="shared" ca="1" si="263"/>
        <v>2616.1269153595294</v>
      </c>
      <c r="I950" s="2268">
        <f>P953</f>
        <v>375860.75822378765</v>
      </c>
      <c r="J950" s="2268">
        <f ca="1">J951-$I$947+$I$950</f>
        <v>315912.69153595297</v>
      </c>
      <c r="K950" s="2268">
        <f t="shared" ref="K950:M950" ca="1" si="264">K951-$I$947+$I$950</f>
        <v>309712.69153595297</v>
      </c>
      <c r="L950" s="2268">
        <f t="shared" ca="1" si="264"/>
        <v>302312.69153595297</v>
      </c>
      <c r="M950" s="2268">
        <f t="shared" ca="1" si="264"/>
        <v>261612.69153595297</v>
      </c>
      <c r="O950" s="2271" t="str">
        <f t="shared" si="262"/>
        <v>N+1 NOI</v>
      </c>
      <c r="P950" s="2273">
        <f t="shared" si="262"/>
        <v>18283.95353630856</v>
      </c>
      <c r="Q950" s="2274" t="str">
        <f t="shared" si="262"/>
        <v>11년차</v>
      </c>
    </row>
    <row r="951" spans="2:17" ht="12.75" thickBot="1">
      <c r="B951" s="2669" t="s">
        <v>1879</v>
      </c>
      <c r="C951" s="2670">
        <f ca="1">E240</f>
        <v>0.12582386199100737</v>
      </c>
      <c r="D951" s="2670">
        <f>J951/$H951/10</f>
        <v>5.980176211453745E-2</v>
      </c>
      <c r="E951" s="2670">
        <f t="shared" ref="E951:G951" si="265">K951/$H951/10</f>
        <v>5.2973568281938319E-2</v>
      </c>
      <c r="F951" s="2670">
        <f t="shared" si="265"/>
        <v>4.4823788546255502E-2</v>
      </c>
      <c r="G951" s="2670">
        <f t="shared" si="265"/>
        <v>0</v>
      </c>
      <c r="H951" s="2667">
        <f>SUM(H952:H955)</f>
        <v>90800</v>
      </c>
      <c r="I951" s="2268">
        <f ca="1">C951*$H951*10</f>
        <v>114248.06668783468</v>
      </c>
      <c r="J951" s="2268">
        <f>SUM(J952:J955)</f>
        <v>54300</v>
      </c>
      <c r="K951" s="2268">
        <f t="shared" ref="K951:M951" si="266">SUM(K952:K955)</f>
        <v>48100</v>
      </c>
      <c r="L951" s="2268">
        <f t="shared" si="266"/>
        <v>40700</v>
      </c>
      <c r="M951" s="2268">
        <f t="shared" si="266"/>
        <v>0</v>
      </c>
      <c r="O951" s="2271" t="str">
        <f t="shared" ref="O951:P953" si="267">B105</f>
        <v>Cap Rate</v>
      </c>
      <c r="P951" s="2275">
        <f t="shared" si="267"/>
        <v>4.8918868912827713E-2</v>
      </c>
      <c r="Q951" s="2272"/>
    </row>
    <row r="952" spans="2:17" ht="12.75" thickBot="1">
      <c r="B952" s="2232" t="s">
        <v>1875</v>
      </c>
      <c r="C952" s="2418">
        <f ca="1">E236</f>
        <v>7.0000000000000021E-2</v>
      </c>
      <c r="D952" s="2418">
        <f>'A&amp;R'!S41</f>
        <v>7.0000000000000007E-2</v>
      </c>
      <c r="E952" s="2418">
        <f>'A&amp;R'!S35</f>
        <v>6.5000000000000002E-2</v>
      </c>
      <c r="F952" s="2418">
        <f>'A&amp;R'!S32</f>
        <v>5.5E-2</v>
      </c>
      <c r="G952" s="2418">
        <v>0</v>
      </c>
      <c r="H952" s="2667">
        <f>'A&amp;R'!P41*'A&amp;R'!O41/120/1000</f>
        <v>24000</v>
      </c>
      <c r="I952" s="2268">
        <f ca="1">C952*$H952*10</f>
        <v>16800.000000000004</v>
      </c>
      <c r="J952" s="2268">
        <f>D952*$H952*10</f>
        <v>16800.000000000004</v>
      </c>
      <c r="K952" s="2268">
        <f t="shared" ref="K952:M955" si="268">E952*$H952*10</f>
        <v>15600</v>
      </c>
      <c r="L952" s="2268">
        <f t="shared" si="268"/>
        <v>13200</v>
      </c>
      <c r="M952" s="2268">
        <f t="shared" si="268"/>
        <v>0</v>
      </c>
      <c r="O952" s="2271" t="str">
        <f t="shared" si="267"/>
        <v>매각시점 보증금</v>
      </c>
      <c r="P952" s="2273">
        <f t="shared" si="267"/>
        <v>2100</v>
      </c>
      <c r="Q952" s="2272"/>
    </row>
    <row r="953" spans="2:17" ht="12.75" thickBot="1">
      <c r="B953" s="2232" t="s">
        <v>1876</v>
      </c>
      <c r="C953" s="2418">
        <f ca="1">E237</f>
        <v>9.8535226675133869E-2</v>
      </c>
      <c r="D953" s="2418">
        <f>'A&amp;R'!S42</f>
        <v>7.4999999999999997E-2</v>
      </c>
      <c r="E953" s="2418">
        <f>'A&amp;R'!S35</f>
        <v>6.5000000000000002E-2</v>
      </c>
      <c r="F953" s="2418">
        <f>'A&amp;R'!S32</f>
        <v>5.5E-2</v>
      </c>
      <c r="G953" s="2418">
        <v>0</v>
      </c>
      <c r="H953" s="2667">
        <f>'A&amp;R'!P42*'A&amp;R'!O42/120/1000</f>
        <v>50000</v>
      </c>
      <c r="I953" s="2268">
        <f t="shared" ref="I953:J955" ca="1" si="269">C953*$H953*10</f>
        <v>49267.613337566938</v>
      </c>
      <c r="J953" s="2268">
        <f t="shared" si="269"/>
        <v>37500</v>
      </c>
      <c r="K953" s="2268">
        <f t="shared" si="268"/>
        <v>32500</v>
      </c>
      <c r="L953" s="2268">
        <f t="shared" si="268"/>
        <v>27500</v>
      </c>
      <c r="M953" s="2268">
        <f t="shared" si="268"/>
        <v>0</v>
      </c>
      <c r="O953" s="2276" t="str">
        <f t="shared" si="267"/>
        <v>매각금액</v>
      </c>
      <c r="P953" s="2277">
        <f t="shared" si="267"/>
        <v>375860.75822378765</v>
      </c>
      <c r="Q953" s="2272" t="str">
        <f>D107</f>
        <v>평당 약 1,214만원</v>
      </c>
    </row>
    <row r="954" spans="2:17">
      <c r="B954" s="2232" t="s">
        <v>1877</v>
      </c>
      <c r="C954" s="2418">
        <f>E238</f>
        <v>0</v>
      </c>
      <c r="D954" s="2418">
        <v>0</v>
      </c>
      <c r="E954" s="2418">
        <v>0</v>
      </c>
      <c r="F954" s="2418">
        <v>0</v>
      </c>
      <c r="G954" s="2418">
        <v>0</v>
      </c>
      <c r="H954" s="2667">
        <f>'A&amp;R'!P43*'A&amp;R'!O43/120/1000</f>
        <v>2000</v>
      </c>
      <c r="I954" s="2268">
        <f t="shared" si="269"/>
        <v>0</v>
      </c>
      <c r="J954" s="2268">
        <f t="shared" si="269"/>
        <v>0</v>
      </c>
      <c r="K954" s="2268">
        <f t="shared" si="268"/>
        <v>0</v>
      </c>
      <c r="L954" s="2268">
        <f t="shared" si="268"/>
        <v>0</v>
      </c>
      <c r="M954" s="2268">
        <f t="shared" si="268"/>
        <v>0</v>
      </c>
    </row>
    <row r="955" spans="2:17">
      <c r="B955" s="2628" t="s">
        <v>19</v>
      </c>
      <c r="C955" s="2671">
        <f ca="1">E239</f>
        <v>0.32554360371802527</v>
      </c>
      <c r="D955" s="2671">
        <v>0</v>
      </c>
      <c r="E955" s="2671">
        <v>0</v>
      </c>
      <c r="F955" s="2671">
        <v>0</v>
      </c>
      <c r="G955" s="2671">
        <v>0</v>
      </c>
      <c r="H955" s="2667">
        <f>'A&amp;R'!P44*'A&amp;R'!O44/120/1000</f>
        <v>14800</v>
      </c>
      <c r="I955" s="2268">
        <f t="shared" ca="1" si="269"/>
        <v>48180.453350267737</v>
      </c>
      <c r="J955" s="2268">
        <f t="shared" si="269"/>
        <v>0</v>
      </c>
      <c r="K955" s="2268">
        <f t="shared" si="268"/>
        <v>0</v>
      </c>
      <c r="L955" s="2268">
        <f t="shared" si="268"/>
        <v>0</v>
      </c>
      <c r="M955" s="2268">
        <f t="shared" si="268"/>
        <v>0</v>
      </c>
    </row>
    <row r="956" spans="2:17">
      <c r="B956" s="2232" t="s">
        <v>1878</v>
      </c>
      <c r="C956" s="2643">
        <f>D459</f>
        <v>1.260474277585605</v>
      </c>
      <c r="D956" s="2643">
        <f>C956</f>
        <v>1.260474277585605</v>
      </c>
      <c r="E956" s="2643">
        <f t="shared" ref="E956:G956" si="270">D956</f>
        <v>1.260474277585605</v>
      </c>
      <c r="F956" s="2643">
        <f t="shared" si="270"/>
        <v>1.260474277585605</v>
      </c>
      <c r="G956" s="2643">
        <f t="shared" si="270"/>
        <v>1.260474277585605</v>
      </c>
      <c r="H956" s="2668"/>
    </row>
    <row r="960" spans="2:17">
      <c r="B960" s="2669" t="s">
        <v>1113</v>
      </c>
      <c r="C960" s="2670">
        <f>'A&amp;R'!X23</f>
        <v>6.7500938244372463E-3</v>
      </c>
      <c r="D960" s="2670">
        <f ca="1">1-J960/$H960</f>
        <v>1.3160684607757545E-2</v>
      </c>
      <c r="E960" s="2670">
        <f t="shared" ref="E960:G960" ca="1" si="271">1-K960/$H960</f>
        <v>4.8967588082158953E-2</v>
      </c>
      <c r="F960" s="2670">
        <f t="shared" ca="1" si="271"/>
        <v>9.1704859970960673E-2</v>
      </c>
      <c r="G960" s="2670">
        <f t="shared" ca="1" si="271"/>
        <v>0.32675985535937024</v>
      </c>
      <c r="H960" s="2268">
        <f>I960/(1-C960)</f>
        <v>173150.96806492674</v>
      </c>
      <c r="I960" s="2268">
        <f>C117+C118</f>
        <v>171982.18278469634</v>
      </c>
      <c r="J960" s="2268">
        <f ca="1">$I960-J961</f>
        <v>170872.18278469634</v>
      </c>
      <c r="K960" s="2268">
        <f t="shared" ref="K960:M960" ca="1" si="272">$I960-K961</f>
        <v>164672.18278469634</v>
      </c>
      <c r="L960" s="2268">
        <f t="shared" ca="1" si="272"/>
        <v>157272.18278469634</v>
      </c>
      <c r="M960" s="2268">
        <f t="shared" ca="1" si="272"/>
        <v>116572.18278469634</v>
      </c>
    </row>
    <row r="961" spans="2:13">
      <c r="B961" s="2232" t="s">
        <v>1829</v>
      </c>
      <c r="C961" s="2663">
        <f ca="1">I962/100</f>
        <v>554.1</v>
      </c>
      <c r="D961" s="2663">
        <f t="shared" ref="D961:G961" si="273">J962/100</f>
        <v>543</v>
      </c>
      <c r="E961" s="2663">
        <f t="shared" si="273"/>
        <v>481</v>
      </c>
      <c r="F961" s="2663">
        <f>L962/100</f>
        <v>407</v>
      </c>
      <c r="G961" s="2663">
        <f t="shared" si="273"/>
        <v>0</v>
      </c>
      <c r="I961" s="2268">
        <f ca="1">$F$370</f>
        <v>55410.000000000007</v>
      </c>
      <c r="J961" s="2268">
        <f ca="1">$I961-J962</f>
        <v>1110.0000000000073</v>
      </c>
      <c r="K961" s="2268">
        <f t="shared" ref="K961:M961" ca="1" si="274">$I961-K962</f>
        <v>7310.0000000000073</v>
      </c>
      <c r="L961" s="2268">
        <f t="shared" ca="1" si="274"/>
        <v>14710.000000000007</v>
      </c>
      <c r="M961" s="2268">
        <f t="shared" ca="1" si="274"/>
        <v>55410.000000000007</v>
      </c>
    </row>
    <row r="962" spans="2:13">
      <c r="B962" s="2669" t="s">
        <v>1879</v>
      </c>
      <c r="C962" s="2670">
        <f ca="1">C240</f>
        <v>6.1024229074889878E-2</v>
      </c>
      <c r="D962" s="2670">
        <f t="shared" ref="D962:E962" si="275">J962/$H962/10</f>
        <v>5.980176211453745E-2</v>
      </c>
      <c r="E962" s="2670">
        <f t="shared" si="275"/>
        <v>5.2973568281938319E-2</v>
      </c>
      <c r="F962" s="2670">
        <f t="shared" ref="F962:G962" si="276">L962/$H962/10</f>
        <v>4.4823788546255502E-2</v>
      </c>
      <c r="G962" s="2670">
        <f t="shared" si="276"/>
        <v>0</v>
      </c>
      <c r="H962" s="2268">
        <f>H951</f>
        <v>90800</v>
      </c>
      <c r="I962" s="2268">
        <f ca="1">C962*$H962*10</f>
        <v>55410.000000000007</v>
      </c>
      <c r="J962" s="2268">
        <f>SUM(J963:J966)</f>
        <v>54300</v>
      </c>
      <c r="K962" s="2268">
        <f t="shared" ref="K962" si="277">SUM(K963:K966)</f>
        <v>48100</v>
      </c>
      <c r="L962" s="2268">
        <f t="shared" ref="L962" si="278">SUM(L963:L966)</f>
        <v>40700</v>
      </c>
      <c r="M962" s="2268">
        <f t="shared" ref="M962" si="279">SUM(M963:M966)</f>
        <v>0</v>
      </c>
    </row>
    <row r="963" spans="2:13">
      <c r="B963" s="2232" t="s">
        <v>1875</v>
      </c>
      <c r="C963" s="2418">
        <f ca="1">C236</f>
        <v>7.0000000000000021E-2</v>
      </c>
      <c r="D963" s="2418">
        <f t="shared" ref="D963:G966" si="280">D952</f>
        <v>7.0000000000000007E-2</v>
      </c>
      <c r="E963" s="2418">
        <f t="shared" si="280"/>
        <v>6.5000000000000002E-2</v>
      </c>
      <c r="F963" s="2418">
        <f t="shared" si="280"/>
        <v>5.5E-2</v>
      </c>
      <c r="G963" s="2418">
        <f t="shared" si="280"/>
        <v>0</v>
      </c>
      <c r="H963" s="2268">
        <f t="shared" ref="H963:H966" si="281">H952</f>
        <v>24000</v>
      </c>
      <c r="I963" s="2268">
        <f ca="1">C963*$H963*10</f>
        <v>16800.000000000004</v>
      </c>
      <c r="J963" s="2268">
        <f>D963*$H963*10</f>
        <v>16800.000000000004</v>
      </c>
      <c r="K963" s="2268">
        <f t="shared" ref="K963:K966" si="282">E963*$H963*10</f>
        <v>15600</v>
      </c>
      <c r="L963" s="2268">
        <f t="shared" ref="L963:L966" si="283">F963*$H963*10</f>
        <v>13200</v>
      </c>
      <c r="M963" s="2268">
        <f t="shared" ref="M963:M966" si="284">G963*$H963*10</f>
        <v>0</v>
      </c>
    </row>
    <row r="964" spans="2:13">
      <c r="B964" s="2232" t="s">
        <v>1876</v>
      </c>
      <c r="C964" s="2418">
        <f ca="1">C237</f>
        <v>7.5000000000000011E-2</v>
      </c>
      <c r="D964" s="2418">
        <f t="shared" si="280"/>
        <v>7.4999999999999997E-2</v>
      </c>
      <c r="E964" s="2418">
        <f t="shared" si="280"/>
        <v>6.5000000000000002E-2</v>
      </c>
      <c r="F964" s="2418">
        <f t="shared" si="280"/>
        <v>5.5E-2</v>
      </c>
      <c r="G964" s="2418">
        <f t="shared" si="280"/>
        <v>0</v>
      </c>
      <c r="H964" s="2268">
        <f t="shared" si="281"/>
        <v>50000</v>
      </c>
      <c r="I964" s="2268">
        <f t="shared" ref="I964:I966" ca="1" si="285">C964*$H964*10</f>
        <v>37500.000000000007</v>
      </c>
      <c r="J964" s="2268">
        <f t="shared" ref="J964:J966" si="286">D964*$H964*10</f>
        <v>37500</v>
      </c>
      <c r="K964" s="2268">
        <f t="shared" si="282"/>
        <v>32500</v>
      </c>
      <c r="L964" s="2268">
        <f t="shared" si="283"/>
        <v>27500</v>
      </c>
      <c r="M964" s="2268">
        <f t="shared" si="284"/>
        <v>0</v>
      </c>
    </row>
    <row r="965" spans="2:13">
      <c r="B965" s="2232" t="s">
        <v>1877</v>
      </c>
      <c r="C965" s="2418">
        <f>C238</f>
        <v>0</v>
      </c>
      <c r="D965" s="2418">
        <f t="shared" si="280"/>
        <v>0</v>
      </c>
      <c r="E965" s="2418">
        <f t="shared" si="280"/>
        <v>0</v>
      </c>
      <c r="F965" s="2418">
        <f t="shared" si="280"/>
        <v>0</v>
      </c>
      <c r="G965" s="2418">
        <f t="shared" si="280"/>
        <v>0</v>
      </c>
      <c r="H965" s="2268">
        <f t="shared" si="281"/>
        <v>2000</v>
      </c>
      <c r="I965" s="2268">
        <f t="shared" si="285"/>
        <v>0</v>
      </c>
      <c r="J965" s="2268">
        <f t="shared" si="286"/>
        <v>0</v>
      </c>
      <c r="K965" s="2268">
        <f t="shared" si="282"/>
        <v>0</v>
      </c>
      <c r="L965" s="2268">
        <f t="shared" si="283"/>
        <v>0</v>
      </c>
      <c r="M965" s="2268">
        <f t="shared" si="284"/>
        <v>0</v>
      </c>
    </row>
    <row r="966" spans="2:13">
      <c r="B966" s="2628" t="s">
        <v>19</v>
      </c>
      <c r="C966" s="2671">
        <f ca="1">C239</f>
        <v>7.4999999999999997E-3</v>
      </c>
      <c r="D966" s="2671">
        <f t="shared" si="280"/>
        <v>0</v>
      </c>
      <c r="E966" s="2671">
        <f t="shared" si="280"/>
        <v>0</v>
      </c>
      <c r="F966" s="2671">
        <f t="shared" si="280"/>
        <v>0</v>
      </c>
      <c r="G966" s="2671">
        <f t="shared" si="280"/>
        <v>0</v>
      </c>
      <c r="H966" s="2268">
        <f t="shared" si="281"/>
        <v>14800</v>
      </c>
      <c r="I966" s="2268">
        <f t="shared" ca="1" si="285"/>
        <v>1110</v>
      </c>
      <c r="J966" s="2268">
        <f t="shared" si="286"/>
        <v>0</v>
      </c>
      <c r="K966" s="2268">
        <f t="shared" si="282"/>
        <v>0</v>
      </c>
      <c r="L966" s="2268">
        <f t="shared" si="283"/>
        <v>0</v>
      </c>
      <c r="M966" s="2268">
        <f t="shared" si="284"/>
        <v>0</v>
      </c>
    </row>
    <row r="967" spans="2:13">
      <c r="B967" s="2628" t="s">
        <v>1878</v>
      </c>
      <c r="C967" s="2673">
        <f>I967/I968</f>
        <v>1.260474277585605</v>
      </c>
      <c r="D967" s="2673">
        <f t="shared" ref="D967:G967" ca="1" si="287">J967/J968</f>
        <v>1.2492847614565727</v>
      </c>
      <c r="E967" s="2673">
        <f t="shared" ca="1" si="287"/>
        <v>1.1867847614565727</v>
      </c>
      <c r="F967" s="2673">
        <f t="shared" ca="1" si="287"/>
        <v>1.1121879872630243</v>
      </c>
      <c r="G967" s="2673">
        <f t="shared" ca="1" si="287"/>
        <v>0.70190572919850813</v>
      </c>
      <c r="I967" s="2268">
        <f>D454</f>
        <v>3125.9762084123004</v>
      </c>
      <c r="J967" s="2268">
        <f ca="1">$I967-J961/120*3</f>
        <v>3098.2262084123004</v>
      </c>
      <c r="K967" s="2268">
        <f t="shared" ref="K967:M967" ca="1" si="288">$I967-K961/120*3</f>
        <v>2943.2262084123004</v>
      </c>
      <c r="L967" s="2268">
        <f t="shared" ca="1" si="288"/>
        <v>2758.2262084123004</v>
      </c>
      <c r="M967" s="2268">
        <f t="shared" ca="1" si="288"/>
        <v>1740.7262084123001</v>
      </c>
    </row>
    <row r="968" spans="2:13">
      <c r="C968" s="2418"/>
      <c r="D968" s="2418"/>
      <c r="E968" s="2418"/>
      <c r="F968" s="2418"/>
      <c r="G968" s="2418"/>
      <c r="I968" s="2268">
        <f>D452+D453</f>
        <v>2480</v>
      </c>
      <c r="J968" s="2268">
        <f>I968</f>
        <v>2480</v>
      </c>
      <c r="K968" s="2268">
        <f t="shared" ref="K968:M968" si="289">J968</f>
        <v>2480</v>
      </c>
      <c r="L968" s="2268">
        <f t="shared" si="289"/>
        <v>2480</v>
      </c>
      <c r="M968" s="2268">
        <f t="shared" si="289"/>
        <v>2480</v>
      </c>
    </row>
    <row r="969" spans="2:13">
      <c r="C969" s="2418"/>
      <c r="D969" s="2418"/>
      <c r="E969" s="2418"/>
      <c r="F969" s="2418"/>
      <c r="G969" s="2418"/>
    </row>
    <row r="970" spans="2:13">
      <c r="I970" s="2268">
        <f>TIC!G42/1000</f>
        <v>2320</v>
      </c>
    </row>
    <row r="971" spans="2:13">
      <c r="I971" s="2268">
        <f>TIC!G43/1000</f>
        <v>380</v>
      </c>
    </row>
    <row r="972" spans="2:13">
      <c r="I972" s="2268">
        <f>-(C172+C173)+I970+I971</f>
        <v>101137</v>
      </c>
      <c r="J972" s="2268">
        <f ca="1">$I972+J975</f>
        <v>102247</v>
      </c>
      <c r="K972" s="2268">
        <f t="shared" ref="K972:M972" ca="1" si="290">$I972+K975</f>
        <v>108447</v>
      </c>
      <c r="L972" s="2268">
        <f t="shared" ca="1" si="290"/>
        <v>115847</v>
      </c>
      <c r="M972" s="2268">
        <f t="shared" ca="1" si="290"/>
        <v>156547</v>
      </c>
    </row>
    <row r="973" spans="2:13">
      <c r="I973" s="2268">
        <f>$O$222</f>
        <v>210000</v>
      </c>
      <c r="J973" s="2268">
        <f>I973</f>
        <v>210000</v>
      </c>
      <c r="K973" s="2268">
        <f t="shared" ref="K973:M973" si="291">J973</f>
        <v>210000</v>
      </c>
      <c r="L973" s="2268">
        <f t="shared" si="291"/>
        <v>210000</v>
      </c>
      <c r="M973" s="2268">
        <f t="shared" si="291"/>
        <v>210000</v>
      </c>
    </row>
    <row r="974" spans="2:13">
      <c r="B974" s="2669" t="s">
        <v>1882</v>
      </c>
      <c r="C974" s="2670">
        <f>I974</f>
        <v>4.8160476190476191E-2</v>
      </c>
      <c r="D974" s="2670">
        <f t="shared" ref="D974:G974" ca="1" si="292">J974</f>
        <v>4.8689047619047618E-2</v>
      </c>
      <c r="E974" s="2670">
        <f t="shared" ca="1" si="292"/>
        <v>5.1641428571428574E-2</v>
      </c>
      <c r="F974" s="2670">
        <f t="shared" ca="1" si="292"/>
        <v>5.5165238095238101E-2</v>
      </c>
      <c r="G974" s="2670">
        <f t="shared" ca="1" si="292"/>
        <v>7.4546190476190474E-2</v>
      </c>
      <c r="I974" s="2672">
        <f>I972/I973/10</f>
        <v>4.8160476190476191E-2</v>
      </c>
      <c r="J974" s="2672">
        <f t="shared" ref="J974:M974" ca="1" si="293">J972/J973/10</f>
        <v>4.8689047619047618E-2</v>
      </c>
      <c r="K974" s="2672">
        <f t="shared" ca="1" si="293"/>
        <v>5.1641428571428574E-2</v>
      </c>
      <c r="L974" s="2672">
        <f t="shared" ca="1" si="293"/>
        <v>5.5165238095238101E-2</v>
      </c>
      <c r="M974" s="2672">
        <f t="shared" ca="1" si="293"/>
        <v>7.4546190476190474E-2</v>
      </c>
    </row>
    <row r="975" spans="2:13">
      <c r="B975" s="2232" t="s">
        <v>1829</v>
      </c>
      <c r="C975" s="2663">
        <f ca="1">I976/100</f>
        <v>554.1</v>
      </c>
      <c r="D975" s="2663">
        <f t="shared" ref="D975" si="294">J976/100</f>
        <v>543</v>
      </c>
      <c r="E975" s="2663">
        <f t="shared" ref="E975" si="295">K976/100</f>
        <v>481</v>
      </c>
      <c r="F975" s="2663">
        <f>L976/100</f>
        <v>407</v>
      </c>
      <c r="G975" s="2663">
        <f t="shared" ref="G975" si="296">M976/100</f>
        <v>0</v>
      </c>
      <c r="I975" s="2268">
        <f ca="1">$F$370</f>
        <v>55410.000000000007</v>
      </c>
      <c r="J975" s="2268">
        <f ca="1">$I975-J976</f>
        <v>1110.0000000000073</v>
      </c>
      <c r="K975" s="2268">
        <f t="shared" ref="K975:M975" ca="1" si="297">$I975-K976</f>
        <v>7310.0000000000073</v>
      </c>
      <c r="L975" s="2268">
        <f t="shared" ca="1" si="297"/>
        <v>14710.000000000007</v>
      </c>
      <c r="M975" s="2268">
        <f t="shared" ca="1" si="297"/>
        <v>55410.000000000007</v>
      </c>
    </row>
    <row r="976" spans="2:13">
      <c r="B976" s="2669" t="s">
        <v>1879</v>
      </c>
      <c r="C976" s="2670">
        <f ca="1">C962</f>
        <v>6.1024229074889878E-2</v>
      </c>
      <c r="D976" s="2670">
        <f t="shared" ref="D976" si="298">J976/$H976/10</f>
        <v>5.980176211453745E-2</v>
      </c>
      <c r="E976" s="2670">
        <f>K976/$H976/10</f>
        <v>5.2973568281938319E-2</v>
      </c>
      <c r="F976" s="2670">
        <f t="shared" ref="F976" si="299">L976/$H976/10</f>
        <v>4.4823788546255502E-2</v>
      </c>
      <c r="G976" s="2670">
        <f t="shared" ref="G976" si="300">M976/$H976/10</f>
        <v>0</v>
      </c>
      <c r="H976" s="2268">
        <f>H962</f>
        <v>90800</v>
      </c>
      <c r="I976" s="2268">
        <f ca="1">C976*$H976*10</f>
        <v>55410.000000000007</v>
      </c>
      <c r="J976" s="2268">
        <f>SUM(J977:J980)</f>
        <v>54300</v>
      </c>
      <c r="K976" s="2268">
        <f t="shared" ref="K976:M976" si="301">SUM(K977:K980)</f>
        <v>48100</v>
      </c>
      <c r="L976" s="2268">
        <f t="shared" si="301"/>
        <v>40700</v>
      </c>
      <c r="M976" s="2268">
        <f t="shared" si="301"/>
        <v>0</v>
      </c>
    </row>
    <row r="977" spans="2:13">
      <c r="B977" s="2232" t="s">
        <v>1875</v>
      </c>
      <c r="C977" s="2418">
        <f ca="1">C963</f>
        <v>7.0000000000000021E-2</v>
      </c>
      <c r="D977" s="2418">
        <f t="shared" ref="D977:G980" si="302">D963</f>
        <v>7.0000000000000007E-2</v>
      </c>
      <c r="E977" s="2418">
        <f t="shared" si="302"/>
        <v>6.5000000000000002E-2</v>
      </c>
      <c r="F977" s="2418">
        <f t="shared" si="302"/>
        <v>5.5E-2</v>
      </c>
      <c r="G977" s="2418">
        <f t="shared" si="302"/>
        <v>0</v>
      </c>
      <c r="H977" s="2268">
        <f>H963</f>
        <v>24000</v>
      </c>
      <c r="I977" s="2268">
        <f ca="1">C977*$H977*10</f>
        <v>16800.000000000004</v>
      </c>
      <c r="J977" s="2268">
        <f t="shared" ref="J977:M980" si="303">D977*$H977*10</f>
        <v>16800.000000000004</v>
      </c>
      <c r="K977" s="2268">
        <f t="shared" si="303"/>
        <v>15600</v>
      </c>
      <c r="L977" s="2268">
        <f t="shared" si="303"/>
        <v>13200</v>
      </c>
      <c r="M977" s="2268">
        <f t="shared" si="303"/>
        <v>0</v>
      </c>
    </row>
    <row r="978" spans="2:13">
      <c r="B978" s="2232" t="s">
        <v>1876</v>
      </c>
      <c r="C978" s="2418">
        <f ca="1">C964</f>
        <v>7.5000000000000011E-2</v>
      </c>
      <c r="D978" s="2418">
        <f t="shared" si="302"/>
        <v>7.4999999999999997E-2</v>
      </c>
      <c r="E978" s="2418">
        <f t="shared" si="302"/>
        <v>6.5000000000000002E-2</v>
      </c>
      <c r="F978" s="2418">
        <f t="shared" si="302"/>
        <v>5.5E-2</v>
      </c>
      <c r="G978" s="2418">
        <f t="shared" si="302"/>
        <v>0</v>
      </c>
      <c r="H978" s="2268">
        <f>H964</f>
        <v>50000</v>
      </c>
      <c r="I978" s="2268">
        <f t="shared" ref="I978:I980" ca="1" si="304">C978*$H978*10</f>
        <v>37500.000000000007</v>
      </c>
      <c r="J978" s="2268">
        <f t="shared" si="303"/>
        <v>37500</v>
      </c>
      <c r="K978" s="2268">
        <f t="shared" si="303"/>
        <v>32500</v>
      </c>
      <c r="L978" s="2268">
        <f t="shared" si="303"/>
        <v>27500</v>
      </c>
      <c r="M978" s="2268">
        <f t="shared" si="303"/>
        <v>0</v>
      </c>
    </row>
    <row r="979" spans="2:13">
      <c r="B979" s="2232" t="s">
        <v>1877</v>
      </c>
      <c r="C979" s="2418">
        <f>C965</f>
        <v>0</v>
      </c>
      <c r="D979" s="2418">
        <f t="shared" si="302"/>
        <v>0</v>
      </c>
      <c r="E979" s="2418">
        <f t="shared" si="302"/>
        <v>0</v>
      </c>
      <c r="F979" s="2418">
        <f t="shared" si="302"/>
        <v>0</v>
      </c>
      <c r="G979" s="2418">
        <f t="shared" si="302"/>
        <v>0</v>
      </c>
      <c r="H979" s="2268">
        <f>H965</f>
        <v>2000</v>
      </c>
      <c r="I979" s="2268">
        <f t="shared" si="304"/>
        <v>0</v>
      </c>
      <c r="J979" s="2268">
        <f t="shared" si="303"/>
        <v>0</v>
      </c>
      <c r="K979" s="2268">
        <f t="shared" si="303"/>
        <v>0</v>
      </c>
      <c r="L979" s="2268">
        <f t="shared" si="303"/>
        <v>0</v>
      </c>
      <c r="M979" s="2268">
        <f t="shared" si="303"/>
        <v>0</v>
      </c>
    </row>
    <row r="980" spans="2:13">
      <c r="B980" s="2628" t="s">
        <v>19</v>
      </c>
      <c r="C980" s="2671">
        <f ca="1">C966</f>
        <v>7.4999999999999997E-3</v>
      </c>
      <c r="D980" s="2671">
        <f t="shared" si="302"/>
        <v>0</v>
      </c>
      <c r="E980" s="2671">
        <f t="shared" si="302"/>
        <v>0</v>
      </c>
      <c r="F980" s="2671">
        <f t="shared" si="302"/>
        <v>0</v>
      </c>
      <c r="G980" s="2671">
        <f t="shared" si="302"/>
        <v>0</v>
      </c>
      <c r="H980" s="2268">
        <f>H966</f>
        <v>14800</v>
      </c>
      <c r="I980" s="2268">
        <f t="shared" ca="1" si="304"/>
        <v>1110</v>
      </c>
      <c r="J980" s="2268">
        <f t="shared" si="303"/>
        <v>0</v>
      </c>
      <c r="K980" s="2268">
        <f t="shared" si="303"/>
        <v>0</v>
      </c>
      <c r="L980" s="2268">
        <f t="shared" si="303"/>
        <v>0</v>
      </c>
      <c r="M980" s="2268">
        <f t="shared" si="303"/>
        <v>0</v>
      </c>
    </row>
    <row r="981" spans="2:13">
      <c r="B981" s="2628" t="s">
        <v>1878</v>
      </c>
      <c r="C981" s="2673">
        <f>I981/I982</f>
        <v>1.260474277585605</v>
      </c>
      <c r="D981" s="2673">
        <f t="shared" ref="D981:G981" ca="1" si="305">J981/J982</f>
        <v>1.2473149610466823</v>
      </c>
      <c r="E981" s="2673">
        <f t="shared" ca="1" si="305"/>
        <v>1.1670746885956331</v>
      </c>
      <c r="F981" s="2673">
        <f t="shared" ca="1" si="305"/>
        <v>1.0333098068319337</v>
      </c>
      <c r="G981" s="2673">
        <f t="shared" ca="1" si="305"/>
        <v>0.72171777720598906</v>
      </c>
      <c r="I981" s="2268">
        <f>I967</f>
        <v>3125.9762084123004</v>
      </c>
      <c r="J981" s="2268">
        <f>I981</f>
        <v>3125.9762084123004</v>
      </c>
      <c r="K981" s="2268">
        <f t="shared" ref="K981:M981" si="306">J981</f>
        <v>3125.9762084123004</v>
      </c>
      <c r="L981" s="2268">
        <f t="shared" si="306"/>
        <v>3125.9762084123004</v>
      </c>
      <c r="M981" s="2268">
        <f t="shared" si="306"/>
        <v>3125.9762084123004</v>
      </c>
    </row>
    <row r="982" spans="2:13">
      <c r="I982" s="2268">
        <f>I968</f>
        <v>2480</v>
      </c>
      <c r="J982" s="2268">
        <f ca="1">I982+J985</f>
        <v>2506.1642857142856</v>
      </c>
      <c r="K982" s="2268">
        <f t="shared" ref="K982:M982" ca="1" si="307">J982+K985</f>
        <v>2678.4714285714285</v>
      </c>
      <c r="L982" s="2268">
        <f t="shared" ca="1" si="307"/>
        <v>3025.207142857143</v>
      </c>
      <c r="M982" s="2268">
        <f t="shared" ca="1" si="307"/>
        <v>4331.3</v>
      </c>
    </row>
    <row r="983" spans="2:13">
      <c r="I983" s="2268">
        <f>SUM('A&amp;R'!P32,'A&amp;R'!P35)/1000</f>
        <v>198000</v>
      </c>
      <c r="J983" s="2268">
        <f>I983</f>
        <v>198000</v>
      </c>
      <c r="K983" s="2268">
        <f t="shared" ref="K983:M983" si="308">J983</f>
        <v>198000</v>
      </c>
      <c r="L983" s="2268">
        <f t="shared" si="308"/>
        <v>198000</v>
      </c>
      <c r="M983" s="2268">
        <f t="shared" si="308"/>
        <v>198000</v>
      </c>
    </row>
    <row r="984" spans="2:13">
      <c r="J984" s="2672">
        <f ca="1">J974-$I974</f>
        <v>5.2857142857142686E-4</v>
      </c>
      <c r="K984" s="2672">
        <f t="shared" ref="K984:M984" ca="1" si="309">K974-$I974</f>
        <v>3.4809523809523832E-3</v>
      </c>
      <c r="L984" s="2672">
        <f t="shared" ca="1" si="309"/>
        <v>7.0047619047619095E-3</v>
      </c>
      <c r="M984" s="2672">
        <f t="shared" ca="1" si="309"/>
        <v>2.6385714285714283E-2</v>
      </c>
    </row>
    <row r="985" spans="2:13">
      <c r="J985" s="2268">
        <f ca="1">J983*J984/4</f>
        <v>26.164285714285629</v>
      </c>
      <c r="K985" s="2268">
        <f t="shared" ref="K985:M985" ca="1" si="310">K983*K984/4</f>
        <v>172.30714285714296</v>
      </c>
      <c r="L985" s="2268">
        <f t="shared" ca="1" si="310"/>
        <v>346.73571428571449</v>
      </c>
      <c r="M985" s="2268">
        <f t="shared" ca="1" si="310"/>
        <v>1306.0928571428569</v>
      </c>
    </row>
  </sheetData>
  <mergeCells count="46">
    <mergeCell ref="B675:B676"/>
    <mergeCell ref="C675:C676"/>
    <mergeCell ref="B714:B715"/>
    <mergeCell ref="C714:C715"/>
    <mergeCell ref="B769:B770"/>
    <mergeCell ref="C769:C770"/>
    <mergeCell ref="B544:B545"/>
    <mergeCell ref="C544:C545"/>
    <mergeCell ref="B583:B584"/>
    <mergeCell ref="C583:C584"/>
    <mergeCell ref="B638:B639"/>
    <mergeCell ref="C638:C639"/>
    <mergeCell ref="E234:F234"/>
    <mergeCell ref="B40:B43"/>
    <mergeCell ref="B44:B48"/>
    <mergeCell ref="B49:C49"/>
    <mergeCell ref="B84:C84"/>
    <mergeCell ref="C114:C115"/>
    <mergeCell ref="B153:B154"/>
    <mergeCell ref="C153:C154"/>
    <mergeCell ref="B208:B209"/>
    <mergeCell ref="C208:C209"/>
    <mergeCell ref="B39:C39"/>
    <mergeCell ref="B443:C443"/>
    <mergeCell ref="B14:C14"/>
    <mergeCell ref="B16:B29"/>
    <mergeCell ref="B30:B33"/>
    <mergeCell ref="B34:C34"/>
    <mergeCell ref="B35:C35"/>
    <mergeCell ref="B234:B235"/>
    <mergeCell ref="C234:D234"/>
    <mergeCell ref="B246:C246"/>
    <mergeCell ref="B268:C268"/>
    <mergeCell ref="B272:C272"/>
    <mergeCell ref="B294:C294"/>
    <mergeCell ref="B114:B115"/>
    <mergeCell ref="B297:C297"/>
    <mergeCell ref="B319:C319"/>
    <mergeCell ref="B396:C396"/>
    <mergeCell ref="B401:C401"/>
    <mergeCell ref="B423:C423"/>
    <mergeCell ref="B348:C348"/>
    <mergeCell ref="B323:C323"/>
    <mergeCell ref="B345:C345"/>
    <mergeCell ref="B370:C370"/>
    <mergeCell ref="B374:C374"/>
  </mergeCells>
  <phoneticPr fontId="2" type="noConversion"/>
  <pageMargins left="0.7" right="0.7" top="0.75" bottom="0.75" header="0.3" footer="0.3"/>
  <pageSetup paperSize="9"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B4EBC-B66C-4506-8AF1-FE843F89EC30}">
  <sheetPr codeName="Sheet19">
    <tabColor rgb="FF0070C0"/>
  </sheetPr>
  <dimension ref="A1:EU129"/>
  <sheetViews>
    <sheetView showGridLines="0" zoomScaleNormal="100" workbookViewId="0">
      <selection activeCell="A5" sqref="A5"/>
    </sheetView>
  </sheetViews>
  <sheetFormatPr defaultColWidth="9" defaultRowHeight="13.35" customHeight="1"/>
  <cols>
    <col min="1" max="1" width="2.625" style="5" customWidth="1"/>
    <col min="2" max="2" width="1.75" style="5" customWidth="1"/>
    <col min="3" max="3" width="1.875" style="5" customWidth="1"/>
    <col min="4" max="5" width="9" style="5"/>
    <col min="6" max="6" width="9.25" style="5" bestFit="1" customWidth="1"/>
    <col min="7" max="7" width="9" style="5"/>
    <col min="8" max="8" width="11.125" style="5" bestFit="1" customWidth="1"/>
    <col min="9" max="9" width="14" style="5" bestFit="1" customWidth="1"/>
    <col min="10" max="10" width="11" style="5" customWidth="1"/>
    <col min="11" max="11" width="2.625" style="5" customWidth="1"/>
    <col min="12" max="147" width="11" style="5" customWidth="1"/>
    <col min="148" max="16384" width="9" style="5"/>
  </cols>
  <sheetData>
    <row r="1" spans="1:151" s="3" customFormat="1" ht="13.35" customHeight="1">
      <c r="A1" s="2" t="s">
        <v>250</v>
      </c>
    </row>
    <row r="2" spans="1:151" s="4" customFormat="1" ht="13.35" customHeight="1">
      <c r="A2" s="4" t="s">
        <v>595</v>
      </c>
    </row>
    <row r="4" spans="1:151" ht="13.35" customHeight="1">
      <c r="B4" s="187" t="s">
        <v>0</v>
      </c>
      <c r="C4" s="143"/>
      <c r="D4" s="143"/>
      <c r="E4" s="143"/>
      <c r="F4" s="143"/>
      <c r="G4" s="143"/>
      <c r="H4" s="208"/>
      <c r="I4" s="188"/>
      <c r="J4" s="144"/>
      <c r="L4" s="145">
        <f>Index!L4</f>
        <v>46326</v>
      </c>
      <c r="M4" s="145">
        <f>Index!M4</f>
        <v>46327</v>
      </c>
      <c r="N4" s="145">
        <f>Index!N4</f>
        <v>46357</v>
      </c>
      <c r="O4" s="145">
        <f>Index!O4</f>
        <v>46388</v>
      </c>
      <c r="P4" s="145">
        <f>Index!P4</f>
        <v>46419</v>
      </c>
      <c r="Q4" s="145">
        <f>Index!Q4</f>
        <v>46447</v>
      </c>
      <c r="R4" s="145">
        <f>Index!R4</f>
        <v>46478</v>
      </c>
      <c r="S4" s="145">
        <f>Index!S4</f>
        <v>46508</v>
      </c>
      <c r="T4" s="145">
        <f>Index!T4</f>
        <v>46539</v>
      </c>
      <c r="U4" s="145">
        <f>Index!U4</f>
        <v>46569</v>
      </c>
      <c r="V4" s="145">
        <f>Index!V4</f>
        <v>46600</v>
      </c>
      <c r="W4" s="145">
        <f>Index!W4</f>
        <v>46631</v>
      </c>
      <c r="X4" s="145">
        <f>Index!X4</f>
        <v>46661</v>
      </c>
      <c r="Y4" s="145">
        <f>Index!Y4</f>
        <v>46692</v>
      </c>
      <c r="Z4" s="145">
        <f>Index!Z4</f>
        <v>46722</v>
      </c>
      <c r="AA4" s="145">
        <f>Index!AA4</f>
        <v>46753</v>
      </c>
      <c r="AB4" s="145">
        <f>Index!AB4</f>
        <v>46784</v>
      </c>
      <c r="AC4" s="145">
        <f>Index!AC4</f>
        <v>46813</v>
      </c>
      <c r="AD4" s="145">
        <f>Index!AD4</f>
        <v>46844</v>
      </c>
      <c r="AE4" s="145">
        <f>Index!AE4</f>
        <v>46874</v>
      </c>
      <c r="AF4" s="145">
        <f>Index!AF4</f>
        <v>46905</v>
      </c>
      <c r="AG4" s="145">
        <f>Index!AG4</f>
        <v>46935</v>
      </c>
      <c r="AH4" s="145">
        <f>Index!AH4</f>
        <v>46966</v>
      </c>
      <c r="AI4" s="145">
        <f>Index!AI4</f>
        <v>46997</v>
      </c>
      <c r="AJ4" s="145">
        <f>Index!AJ4</f>
        <v>47027</v>
      </c>
      <c r="AK4" s="145">
        <f>Index!AK4</f>
        <v>47058</v>
      </c>
      <c r="AL4" s="145">
        <f>Index!AL4</f>
        <v>47088</v>
      </c>
      <c r="AM4" s="145">
        <f>Index!AM4</f>
        <v>47119</v>
      </c>
      <c r="AN4" s="145">
        <f>Index!AN4</f>
        <v>47150</v>
      </c>
      <c r="AO4" s="145">
        <f>Index!AO4</f>
        <v>47178</v>
      </c>
      <c r="AP4" s="145">
        <f>Index!AP4</f>
        <v>47209</v>
      </c>
      <c r="AQ4" s="145">
        <f>Index!AQ4</f>
        <v>47239</v>
      </c>
      <c r="AR4" s="145">
        <f>Index!AR4</f>
        <v>47270</v>
      </c>
      <c r="AS4" s="145">
        <f>Index!AS4</f>
        <v>47300</v>
      </c>
      <c r="AT4" s="145">
        <f>Index!AT4</f>
        <v>47331</v>
      </c>
      <c r="AU4" s="145">
        <f>Index!AU4</f>
        <v>47362</v>
      </c>
      <c r="AV4" s="145">
        <f>Index!AV4</f>
        <v>47392</v>
      </c>
      <c r="AW4" s="145">
        <f>Index!AW4</f>
        <v>47423</v>
      </c>
      <c r="AX4" s="145">
        <f>Index!AX4</f>
        <v>47453</v>
      </c>
      <c r="AY4" s="145">
        <f>Index!AY4</f>
        <v>47484</v>
      </c>
      <c r="AZ4" s="145">
        <f>Index!AZ4</f>
        <v>47515</v>
      </c>
      <c r="BA4" s="145">
        <f>Index!BA4</f>
        <v>47543</v>
      </c>
      <c r="BB4" s="145">
        <f>Index!BB4</f>
        <v>47574</v>
      </c>
      <c r="BC4" s="145">
        <f>Index!BC4</f>
        <v>47604</v>
      </c>
      <c r="BD4" s="145">
        <f>Index!BD4</f>
        <v>47635</v>
      </c>
      <c r="BE4" s="145">
        <f>Index!BE4</f>
        <v>47665</v>
      </c>
      <c r="BF4" s="145">
        <f>Index!BF4</f>
        <v>47696</v>
      </c>
      <c r="BG4" s="145">
        <f>Index!BG4</f>
        <v>47727</v>
      </c>
      <c r="BH4" s="145">
        <f>Index!BH4</f>
        <v>47757</v>
      </c>
      <c r="BI4" s="145">
        <f>Index!BI4</f>
        <v>47788</v>
      </c>
      <c r="BJ4" s="145">
        <f>Index!BJ4</f>
        <v>47818</v>
      </c>
      <c r="BK4" s="145">
        <f>Index!BK4</f>
        <v>47849</v>
      </c>
      <c r="BL4" s="145">
        <f>Index!BL4</f>
        <v>47880</v>
      </c>
      <c r="BM4" s="145">
        <f>Index!BM4</f>
        <v>47908</v>
      </c>
      <c r="BN4" s="145">
        <f>Index!BN4</f>
        <v>47939</v>
      </c>
      <c r="BO4" s="145">
        <f>Index!BO4</f>
        <v>47969</v>
      </c>
      <c r="BP4" s="145">
        <f>Index!BP4</f>
        <v>48000</v>
      </c>
      <c r="BQ4" s="145">
        <f>Index!BQ4</f>
        <v>48030</v>
      </c>
      <c r="BR4" s="145">
        <f>Index!BR4</f>
        <v>48061</v>
      </c>
      <c r="BS4" s="145">
        <f>Index!BS4</f>
        <v>48092</v>
      </c>
      <c r="BT4" s="145">
        <f>Index!BT4</f>
        <v>48122</v>
      </c>
      <c r="BU4" s="145">
        <f>Index!BU4</f>
        <v>48153</v>
      </c>
      <c r="BV4" s="145">
        <f>Index!BV4</f>
        <v>48183</v>
      </c>
      <c r="BW4" s="145">
        <f>Index!BW4</f>
        <v>48214</v>
      </c>
      <c r="BX4" s="145">
        <f>Index!BX4</f>
        <v>48245</v>
      </c>
      <c r="BY4" s="145">
        <f>Index!BY4</f>
        <v>48274</v>
      </c>
      <c r="BZ4" s="145">
        <f>Index!BZ4</f>
        <v>48305</v>
      </c>
      <c r="CA4" s="145">
        <f>Index!CA4</f>
        <v>48335</v>
      </c>
      <c r="CB4" s="145">
        <f>Index!CB4</f>
        <v>48366</v>
      </c>
      <c r="CC4" s="145">
        <f>Index!CC4</f>
        <v>48396</v>
      </c>
      <c r="CD4" s="145">
        <f>Index!CD4</f>
        <v>48427</v>
      </c>
      <c r="CE4" s="145">
        <f>Index!CE4</f>
        <v>48458</v>
      </c>
      <c r="CF4" s="145">
        <f>Index!CF4</f>
        <v>48488</v>
      </c>
      <c r="CG4" s="145">
        <f>Index!CG4</f>
        <v>48519</v>
      </c>
      <c r="CH4" s="145">
        <f>Index!CH4</f>
        <v>48549</v>
      </c>
      <c r="CI4" s="145">
        <f>Index!CI4</f>
        <v>48580</v>
      </c>
      <c r="CJ4" s="145">
        <f>Index!CJ4</f>
        <v>48611</v>
      </c>
      <c r="CK4" s="145">
        <f>Index!CK4</f>
        <v>48639</v>
      </c>
      <c r="CL4" s="145">
        <f>Index!CL4</f>
        <v>48670</v>
      </c>
      <c r="CM4" s="145">
        <f>Index!CM4</f>
        <v>48700</v>
      </c>
      <c r="CN4" s="145">
        <f>Index!CN4</f>
        <v>48731</v>
      </c>
      <c r="CO4" s="145">
        <f>Index!CO4</f>
        <v>48761</v>
      </c>
      <c r="CP4" s="145">
        <f>Index!CP4</f>
        <v>48792</v>
      </c>
      <c r="CQ4" s="145">
        <f>Index!CQ4</f>
        <v>48823</v>
      </c>
      <c r="CR4" s="145">
        <f>Index!CR4</f>
        <v>48853</v>
      </c>
      <c r="CS4" s="145">
        <f>Index!CS4</f>
        <v>48884</v>
      </c>
      <c r="CT4" s="145">
        <f>Index!CT4</f>
        <v>48914</v>
      </c>
      <c r="CU4" s="145">
        <f>Index!CU4</f>
        <v>48945</v>
      </c>
      <c r="CV4" s="145">
        <f>Index!CV4</f>
        <v>48976</v>
      </c>
      <c r="CW4" s="145">
        <f>Index!CW4</f>
        <v>49004</v>
      </c>
      <c r="CX4" s="145">
        <f>Index!CX4</f>
        <v>49035</v>
      </c>
      <c r="CY4" s="145">
        <f>Index!CY4</f>
        <v>49065</v>
      </c>
      <c r="CZ4" s="145">
        <f>Index!CZ4</f>
        <v>49096</v>
      </c>
      <c r="DA4" s="145">
        <f>Index!DA4</f>
        <v>49126</v>
      </c>
      <c r="DB4" s="145">
        <f>Index!DB4</f>
        <v>49157</v>
      </c>
      <c r="DC4" s="145">
        <f>Index!DC4</f>
        <v>49188</v>
      </c>
      <c r="DD4" s="145">
        <f>Index!DD4</f>
        <v>49218</v>
      </c>
      <c r="DE4" s="145">
        <f>Index!DE4</f>
        <v>49249</v>
      </c>
      <c r="DF4" s="145">
        <f>Index!DF4</f>
        <v>49279</v>
      </c>
      <c r="DG4" s="145">
        <f>Index!DG4</f>
        <v>49310</v>
      </c>
      <c r="DH4" s="145">
        <f>Index!DH4</f>
        <v>49341</v>
      </c>
      <c r="DI4" s="145">
        <f>Index!DI4</f>
        <v>49369</v>
      </c>
      <c r="DJ4" s="145">
        <f>Index!DJ4</f>
        <v>49400</v>
      </c>
      <c r="DK4" s="145">
        <f>Index!DK4</f>
        <v>49430</v>
      </c>
      <c r="DL4" s="145">
        <f>Index!DL4</f>
        <v>49461</v>
      </c>
      <c r="DM4" s="145">
        <f>Index!DM4</f>
        <v>49491</v>
      </c>
      <c r="DN4" s="145">
        <f>Index!DN4</f>
        <v>49522</v>
      </c>
      <c r="DO4" s="145">
        <f>Index!DO4</f>
        <v>49553</v>
      </c>
      <c r="DP4" s="145">
        <f>Index!DP4</f>
        <v>49583</v>
      </c>
      <c r="DQ4" s="145">
        <f>Index!DQ4</f>
        <v>49614</v>
      </c>
      <c r="DR4" s="145">
        <f>Index!DR4</f>
        <v>49644</v>
      </c>
      <c r="DS4" s="145">
        <f>Index!DS4</f>
        <v>49675</v>
      </c>
      <c r="DT4" s="145">
        <f>Index!DT4</f>
        <v>49706</v>
      </c>
      <c r="DU4" s="145">
        <f>Index!DU4</f>
        <v>49735</v>
      </c>
      <c r="DV4" s="145">
        <f>Index!DV4</f>
        <v>49766</v>
      </c>
      <c r="DW4" s="145">
        <f>Index!DW4</f>
        <v>49796</v>
      </c>
      <c r="DX4" s="145">
        <f>Index!DX4</f>
        <v>49827</v>
      </c>
      <c r="DY4" s="145">
        <f>Index!DY4</f>
        <v>49857</v>
      </c>
      <c r="DZ4" s="145">
        <f>Index!DZ4</f>
        <v>49888</v>
      </c>
      <c r="EA4" s="145">
        <f>Index!EA4</f>
        <v>49919</v>
      </c>
      <c r="EB4" s="145">
        <f>Index!EB4</f>
        <v>49949</v>
      </c>
      <c r="EC4" s="145">
        <f>Index!EC4</f>
        <v>49980</v>
      </c>
      <c r="ED4" s="145">
        <f>Index!ED4</f>
        <v>50010</v>
      </c>
      <c r="EE4" s="145">
        <f>Index!EE4</f>
        <v>50041</v>
      </c>
      <c r="EF4" s="145">
        <f>Index!EF4</f>
        <v>50072</v>
      </c>
      <c r="EG4" s="145">
        <f>Index!EG4</f>
        <v>50100</v>
      </c>
      <c r="EH4" s="145">
        <f>Index!EH4</f>
        <v>50131</v>
      </c>
      <c r="EI4" s="145">
        <f>Index!EI4</f>
        <v>50161</v>
      </c>
      <c r="EJ4" s="145">
        <f>Index!EJ4</f>
        <v>50192</v>
      </c>
      <c r="EK4" s="145">
        <f>Index!EK4</f>
        <v>50222</v>
      </c>
      <c r="EL4" s="145">
        <f>Index!EL4</f>
        <v>50253</v>
      </c>
      <c r="EM4" s="145">
        <f>Index!EM4</f>
        <v>50284</v>
      </c>
      <c r="EN4" s="145">
        <f>Index!EN4</f>
        <v>50314</v>
      </c>
      <c r="EO4" s="145">
        <f>Index!EO4</f>
        <v>50345</v>
      </c>
      <c r="EP4" s="145">
        <f>Index!EP4</f>
        <v>50375</v>
      </c>
      <c r="EQ4" s="145">
        <f>Index!EQ4</f>
        <v>50406</v>
      </c>
      <c r="ER4" s="146"/>
      <c r="ES4" s="146"/>
      <c r="ET4" s="146"/>
      <c r="EU4" s="146"/>
    </row>
    <row r="5" spans="1:151" ht="13.35" customHeight="1">
      <c r="B5" s="187" t="s">
        <v>1</v>
      </c>
      <c r="C5" s="143"/>
      <c r="D5" s="143"/>
      <c r="E5" s="143"/>
      <c r="F5" s="143"/>
      <c r="G5" s="143"/>
      <c r="H5" s="208"/>
      <c r="I5" s="188"/>
      <c r="J5" s="143"/>
      <c r="L5" s="145">
        <f>Index!L5</f>
        <v>46326</v>
      </c>
      <c r="M5" s="145">
        <f>Index!M5</f>
        <v>46356</v>
      </c>
      <c r="N5" s="145">
        <f>Index!N5</f>
        <v>46387</v>
      </c>
      <c r="O5" s="145">
        <f>Index!O5</f>
        <v>46418</v>
      </c>
      <c r="P5" s="145">
        <f>Index!P5</f>
        <v>46446</v>
      </c>
      <c r="Q5" s="145">
        <f>Index!Q5</f>
        <v>46477</v>
      </c>
      <c r="R5" s="145">
        <f>Index!R5</f>
        <v>46507</v>
      </c>
      <c r="S5" s="145">
        <f>Index!S5</f>
        <v>46538</v>
      </c>
      <c r="T5" s="145">
        <f>Index!T5</f>
        <v>46568</v>
      </c>
      <c r="U5" s="145">
        <f>Index!U5</f>
        <v>46599</v>
      </c>
      <c r="V5" s="145">
        <f>Index!V5</f>
        <v>46630</v>
      </c>
      <c r="W5" s="145">
        <f>Index!W5</f>
        <v>46660</v>
      </c>
      <c r="X5" s="145">
        <f>Index!X5</f>
        <v>46691</v>
      </c>
      <c r="Y5" s="145">
        <f>Index!Y5</f>
        <v>46721</v>
      </c>
      <c r="Z5" s="145">
        <f>Index!Z5</f>
        <v>46752</v>
      </c>
      <c r="AA5" s="145">
        <f>Index!AA5</f>
        <v>46783</v>
      </c>
      <c r="AB5" s="145">
        <f>Index!AB5</f>
        <v>46812</v>
      </c>
      <c r="AC5" s="145">
        <f>Index!AC5</f>
        <v>46843</v>
      </c>
      <c r="AD5" s="145">
        <f>Index!AD5</f>
        <v>46873</v>
      </c>
      <c r="AE5" s="145">
        <f>Index!AE5</f>
        <v>46904</v>
      </c>
      <c r="AF5" s="145">
        <f>Index!AF5</f>
        <v>46934</v>
      </c>
      <c r="AG5" s="145">
        <f>Index!AG5</f>
        <v>46965</v>
      </c>
      <c r="AH5" s="145">
        <f>Index!AH5</f>
        <v>46996</v>
      </c>
      <c r="AI5" s="145">
        <f>Index!AI5</f>
        <v>47026</v>
      </c>
      <c r="AJ5" s="145">
        <f>Index!AJ5</f>
        <v>47057</v>
      </c>
      <c r="AK5" s="145">
        <f>Index!AK5</f>
        <v>47087</v>
      </c>
      <c r="AL5" s="145">
        <f>Index!AL5</f>
        <v>47118</v>
      </c>
      <c r="AM5" s="145">
        <f>Index!AM5</f>
        <v>47149</v>
      </c>
      <c r="AN5" s="145">
        <f>Index!AN5</f>
        <v>47177</v>
      </c>
      <c r="AO5" s="145">
        <f>Index!AO5</f>
        <v>47208</v>
      </c>
      <c r="AP5" s="145">
        <f>Index!AP5</f>
        <v>47238</v>
      </c>
      <c r="AQ5" s="145">
        <f>Index!AQ5</f>
        <v>47269</v>
      </c>
      <c r="AR5" s="145">
        <f>Index!AR5</f>
        <v>47299</v>
      </c>
      <c r="AS5" s="145">
        <f>Index!AS5</f>
        <v>47330</v>
      </c>
      <c r="AT5" s="145">
        <f>Index!AT5</f>
        <v>47361</v>
      </c>
      <c r="AU5" s="145">
        <f>Index!AU5</f>
        <v>47391</v>
      </c>
      <c r="AV5" s="145">
        <f>Index!AV5</f>
        <v>47422</v>
      </c>
      <c r="AW5" s="145">
        <f>Index!AW5</f>
        <v>47452</v>
      </c>
      <c r="AX5" s="145">
        <f>Index!AX5</f>
        <v>47483</v>
      </c>
      <c r="AY5" s="145">
        <f>Index!AY5</f>
        <v>47514</v>
      </c>
      <c r="AZ5" s="145">
        <f>Index!AZ5</f>
        <v>47542</v>
      </c>
      <c r="BA5" s="145">
        <f>Index!BA5</f>
        <v>47573</v>
      </c>
      <c r="BB5" s="145">
        <f>Index!BB5</f>
        <v>47603</v>
      </c>
      <c r="BC5" s="145">
        <f>Index!BC5</f>
        <v>47634</v>
      </c>
      <c r="BD5" s="145">
        <f>Index!BD5</f>
        <v>47664</v>
      </c>
      <c r="BE5" s="145">
        <f>Index!BE5</f>
        <v>47695</v>
      </c>
      <c r="BF5" s="145">
        <f>Index!BF5</f>
        <v>47726</v>
      </c>
      <c r="BG5" s="145">
        <f>Index!BG5</f>
        <v>47756</v>
      </c>
      <c r="BH5" s="145">
        <f>Index!BH5</f>
        <v>47787</v>
      </c>
      <c r="BI5" s="145">
        <f>Index!BI5</f>
        <v>47817</v>
      </c>
      <c r="BJ5" s="145">
        <f>Index!BJ5</f>
        <v>47848</v>
      </c>
      <c r="BK5" s="145">
        <f>Index!BK5</f>
        <v>47879</v>
      </c>
      <c r="BL5" s="145">
        <f>Index!BL5</f>
        <v>47907</v>
      </c>
      <c r="BM5" s="145">
        <f>Index!BM5</f>
        <v>47938</v>
      </c>
      <c r="BN5" s="145">
        <f>Index!BN5</f>
        <v>47968</v>
      </c>
      <c r="BO5" s="145">
        <f>Index!BO5</f>
        <v>47999</v>
      </c>
      <c r="BP5" s="145">
        <f>Index!BP5</f>
        <v>48029</v>
      </c>
      <c r="BQ5" s="145">
        <f>Index!BQ5</f>
        <v>48060</v>
      </c>
      <c r="BR5" s="145">
        <f>Index!BR5</f>
        <v>48091</v>
      </c>
      <c r="BS5" s="145">
        <f>Index!BS5</f>
        <v>48121</v>
      </c>
      <c r="BT5" s="145">
        <f>Index!BT5</f>
        <v>48152</v>
      </c>
      <c r="BU5" s="145">
        <f>Index!BU5</f>
        <v>48182</v>
      </c>
      <c r="BV5" s="145">
        <f>Index!BV5</f>
        <v>48213</v>
      </c>
      <c r="BW5" s="145">
        <f>Index!BW5</f>
        <v>48244</v>
      </c>
      <c r="BX5" s="145">
        <f>Index!BX5</f>
        <v>48273</v>
      </c>
      <c r="BY5" s="145">
        <f>Index!BY5</f>
        <v>48304</v>
      </c>
      <c r="BZ5" s="145">
        <f>Index!BZ5</f>
        <v>48334</v>
      </c>
      <c r="CA5" s="145">
        <f>Index!CA5</f>
        <v>48365</v>
      </c>
      <c r="CB5" s="145">
        <f>Index!CB5</f>
        <v>48395</v>
      </c>
      <c r="CC5" s="145">
        <f>Index!CC5</f>
        <v>48426</v>
      </c>
      <c r="CD5" s="145">
        <f>Index!CD5</f>
        <v>48457</v>
      </c>
      <c r="CE5" s="145">
        <f>Index!CE5</f>
        <v>48487</v>
      </c>
      <c r="CF5" s="145">
        <f>Index!CF5</f>
        <v>48518</v>
      </c>
      <c r="CG5" s="145">
        <f>Index!CG5</f>
        <v>48548</v>
      </c>
      <c r="CH5" s="145">
        <f>Index!CH5</f>
        <v>48579</v>
      </c>
      <c r="CI5" s="145">
        <f>Index!CI5</f>
        <v>48610</v>
      </c>
      <c r="CJ5" s="145">
        <f>Index!CJ5</f>
        <v>48638</v>
      </c>
      <c r="CK5" s="145">
        <f>Index!CK5</f>
        <v>48669</v>
      </c>
      <c r="CL5" s="145">
        <f>Index!CL5</f>
        <v>48699</v>
      </c>
      <c r="CM5" s="145">
        <f>Index!CM5</f>
        <v>48730</v>
      </c>
      <c r="CN5" s="145">
        <f>Index!CN5</f>
        <v>48760</v>
      </c>
      <c r="CO5" s="145">
        <f>Index!CO5</f>
        <v>48791</v>
      </c>
      <c r="CP5" s="145">
        <f>Index!CP5</f>
        <v>48822</v>
      </c>
      <c r="CQ5" s="145">
        <f>Index!CQ5</f>
        <v>48852</v>
      </c>
      <c r="CR5" s="145">
        <f>Index!CR5</f>
        <v>48883</v>
      </c>
      <c r="CS5" s="145">
        <f>Index!CS5</f>
        <v>48913</v>
      </c>
      <c r="CT5" s="145">
        <f>Index!CT5</f>
        <v>48944</v>
      </c>
      <c r="CU5" s="145">
        <f>Index!CU5</f>
        <v>48975</v>
      </c>
      <c r="CV5" s="145">
        <f>Index!CV5</f>
        <v>49003</v>
      </c>
      <c r="CW5" s="145">
        <f>Index!CW5</f>
        <v>49034</v>
      </c>
      <c r="CX5" s="145">
        <f>Index!CX5</f>
        <v>49064</v>
      </c>
      <c r="CY5" s="145">
        <f>Index!CY5</f>
        <v>49095</v>
      </c>
      <c r="CZ5" s="145">
        <f>Index!CZ5</f>
        <v>49125</v>
      </c>
      <c r="DA5" s="145">
        <f>Index!DA5</f>
        <v>49156</v>
      </c>
      <c r="DB5" s="145">
        <f>Index!DB5</f>
        <v>49187</v>
      </c>
      <c r="DC5" s="145">
        <f>Index!DC5</f>
        <v>49217</v>
      </c>
      <c r="DD5" s="145">
        <f>Index!DD5</f>
        <v>49248</v>
      </c>
      <c r="DE5" s="145">
        <f>Index!DE5</f>
        <v>49278</v>
      </c>
      <c r="DF5" s="145">
        <f>Index!DF5</f>
        <v>49309</v>
      </c>
      <c r="DG5" s="145">
        <f>Index!DG5</f>
        <v>49340</v>
      </c>
      <c r="DH5" s="145">
        <f>Index!DH5</f>
        <v>49368</v>
      </c>
      <c r="DI5" s="145">
        <f>Index!DI5</f>
        <v>49399</v>
      </c>
      <c r="DJ5" s="145">
        <f>Index!DJ5</f>
        <v>49429</v>
      </c>
      <c r="DK5" s="145">
        <f>Index!DK5</f>
        <v>49460</v>
      </c>
      <c r="DL5" s="145">
        <f>Index!DL5</f>
        <v>49490</v>
      </c>
      <c r="DM5" s="145">
        <f>Index!DM5</f>
        <v>49521</v>
      </c>
      <c r="DN5" s="145">
        <f>Index!DN5</f>
        <v>49552</v>
      </c>
      <c r="DO5" s="145">
        <f>Index!DO5</f>
        <v>49582</v>
      </c>
      <c r="DP5" s="145">
        <f>Index!DP5</f>
        <v>49613</v>
      </c>
      <c r="DQ5" s="145">
        <f>Index!DQ5</f>
        <v>49643</v>
      </c>
      <c r="DR5" s="145">
        <f>Index!DR5</f>
        <v>49674</v>
      </c>
      <c r="DS5" s="145">
        <f>Index!DS5</f>
        <v>49705</v>
      </c>
      <c r="DT5" s="145">
        <f>Index!DT5</f>
        <v>49734</v>
      </c>
      <c r="DU5" s="145">
        <f>Index!DU5</f>
        <v>49765</v>
      </c>
      <c r="DV5" s="145">
        <f>Index!DV5</f>
        <v>49795</v>
      </c>
      <c r="DW5" s="145">
        <f>Index!DW5</f>
        <v>49826</v>
      </c>
      <c r="DX5" s="145">
        <f>Index!DX5</f>
        <v>49856</v>
      </c>
      <c r="DY5" s="145">
        <f>Index!DY5</f>
        <v>49887</v>
      </c>
      <c r="DZ5" s="145">
        <f>Index!DZ5</f>
        <v>49918</v>
      </c>
      <c r="EA5" s="145">
        <f>Index!EA5</f>
        <v>49948</v>
      </c>
      <c r="EB5" s="145">
        <f>Index!EB5</f>
        <v>49979</v>
      </c>
      <c r="EC5" s="145">
        <f>Index!EC5</f>
        <v>50009</v>
      </c>
      <c r="ED5" s="145">
        <f>Index!ED5</f>
        <v>50040</v>
      </c>
      <c r="EE5" s="145">
        <f>Index!EE5</f>
        <v>50071</v>
      </c>
      <c r="EF5" s="145">
        <f>Index!EF5</f>
        <v>50099</v>
      </c>
      <c r="EG5" s="145">
        <f>Index!EG5</f>
        <v>50130</v>
      </c>
      <c r="EH5" s="145">
        <f>Index!EH5</f>
        <v>50160</v>
      </c>
      <c r="EI5" s="145">
        <f>Index!EI5</f>
        <v>50191</v>
      </c>
      <c r="EJ5" s="145">
        <f>Index!EJ5</f>
        <v>50221</v>
      </c>
      <c r="EK5" s="145">
        <f>Index!EK5</f>
        <v>50252</v>
      </c>
      <c r="EL5" s="145">
        <f>Index!EL5</f>
        <v>50283</v>
      </c>
      <c r="EM5" s="145">
        <f>Index!EM5</f>
        <v>50313</v>
      </c>
      <c r="EN5" s="145">
        <f>Index!EN5</f>
        <v>50344</v>
      </c>
      <c r="EO5" s="145">
        <f>Index!EO5</f>
        <v>50374</v>
      </c>
      <c r="EP5" s="145">
        <f>Index!EP5</f>
        <v>50405</v>
      </c>
      <c r="EQ5" s="145">
        <f>Index!EQ5</f>
        <v>50436</v>
      </c>
      <c r="ER5" s="146"/>
      <c r="ES5" s="146"/>
      <c r="ET5" s="146"/>
      <c r="EU5" s="146"/>
    </row>
    <row r="6" spans="1:151" ht="13.35" customHeight="1">
      <c r="B6" s="189" t="s">
        <v>2</v>
      </c>
      <c r="C6" s="148"/>
      <c r="D6" s="148"/>
      <c r="E6" s="148"/>
      <c r="F6" s="148"/>
      <c r="G6" s="148"/>
      <c r="H6" s="209"/>
      <c r="I6" s="190"/>
      <c r="J6" s="148"/>
      <c r="L6" s="149">
        <f>Index!L6</f>
        <v>2026</v>
      </c>
      <c r="M6" s="149">
        <f>Index!M6</f>
        <v>2026</v>
      </c>
      <c r="N6" s="149">
        <f>Index!N6</f>
        <v>2026</v>
      </c>
      <c r="O6" s="149">
        <f>Index!O6</f>
        <v>2027</v>
      </c>
      <c r="P6" s="149">
        <f>Index!P6</f>
        <v>2027</v>
      </c>
      <c r="Q6" s="149">
        <f>Index!Q6</f>
        <v>2027</v>
      </c>
      <c r="R6" s="149">
        <f>Index!R6</f>
        <v>2027</v>
      </c>
      <c r="S6" s="149">
        <f>Index!S6</f>
        <v>2027</v>
      </c>
      <c r="T6" s="149">
        <f>Index!T6</f>
        <v>2027</v>
      </c>
      <c r="U6" s="149">
        <f>Index!U6</f>
        <v>2027</v>
      </c>
      <c r="V6" s="149">
        <f>Index!V6</f>
        <v>2027</v>
      </c>
      <c r="W6" s="149">
        <f>Index!W6</f>
        <v>2027</v>
      </c>
      <c r="X6" s="149">
        <f>Index!X6</f>
        <v>2027</v>
      </c>
      <c r="Y6" s="149">
        <f>Index!Y6</f>
        <v>2027</v>
      </c>
      <c r="Z6" s="149">
        <f>Index!Z6</f>
        <v>2027</v>
      </c>
      <c r="AA6" s="149">
        <f>Index!AA6</f>
        <v>2028</v>
      </c>
      <c r="AB6" s="149">
        <f>Index!AB6</f>
        <v>2028</v>
      </c>
      <c r="AC6" s="149">
        <f>Index!AC6</f>
        <v>2028</v>
      </c>
      <c r="AD6" s="149">
        <f>Index!AD6</f>
        <v>2028</v>
      </c>
      <c r="AE6" s="149">
        <f>Index!AE6</f>
        <v>2028</v>
      </c>
      <c r="AF6" s="149">
        <f>Index!AF6</f>
        <v>2028</v>
      </c>
      <c r="AG6" s="149">
        <f>Index!AG6</f>
        <v>2028</v>
      </c>
      <c r="AH6" s="149">
        <f>Index!AH6</f>
        <v>2028</v>
      </c>
      <c r="AI6" s="149">
        <f>Index!AI6</f>
        <v>2028</v>
      </c>
      <c r="AJ6" s="149">
        <f>Index!AJ6</f>
        <v>2028</v>
      </c>
      <c r="AK6" s="149">
        <f>Index!AK6</f>
        <v>2028</v>
      </c>
      <c r="AL6" s="149">
        <f>Index!AL6</f>
        <v>2028</v>
      </c>
      <c r="AM6" s="149">
        <f>Index!AM6</f>
        <v>2029</v>
      </c>
      <c r="AN6" s="149">
        <f>Index!AN6</f>
        <v>2029</v>
      </c>
      <c r="AO6" s="149">
        <f>Index!AO6</f>
        <v>2029</v>
      </c>
      <c r="AP6" s="149">
        <f>Index!AP6</f>
        <v>2029</v>
      </c>
      <c r="AQ6" s="149">
        <f>Index!AQ6</f>
        <v>2029</v>
      </c>
      <c r="AR6" s="149">
        <f>Index!AR6</f>
        <v>2029</v>
      </c>
      <c r="AS6" s="149">
        <f>Index!AS6</f>
        <v>2029</v>
      </c>
      <c r="AT6" s="149">
        <f>Index!AT6</f>
        <v>2029</v>
      </c>
      <c r="AU6" s="149">
        <f>Index!AU6</f>
        <v>2029</v>
      </c>
      <c r="AV6" s="149">
        <f>Index!AV6</f>
        <v>2029</v>
      </c>
      <c r="AW6" s="149">
        <f>Index!AW6</f>
        <v>2029</v>
      </c>
      <c r="AX6" s="149">
        <f>Index!AX6</f>
        <v>2029</v>
      </c>
      <c r="AY6" s="149">
        <f>Index!AY6</f>
        <v>2030</v>
      </c>
      <c r="AZ6" s="149">
        <f>Index!AZ6</f>
        <v>2030</v>
      </c>
      <c r="BA6" s="149">
        <f>Index!BA6</f>
        <v>2030</v>
      </c>
      <c r="BB6" s="149">
        <f>Index!BB6</f>
        <v>2030</v>
      </c>
      <c r="BC6" s="149">
        <f>Index!BC6</f>
        <v>2030</v>
      </c>
      <c r="BD6" s="149">
        <f>Index!BD6</f>
        <v>2030</v>
      </c>
      <c r="BE6" s="149">
        <f>Index!BE6</f>
        <v>2030</v>
      </c>
      <c r="BF6" s="149">
        <f>Index!BF6</f>
        <v>2030</v>
      </c>
      <c r="BG6" s="149">
        <f>Index!BG6</f>
        <v>2030</v>
      </c>
      <c r="BH6" s="149">
        <f>Index!BH6</f>
        <v>2030</v>
      </c>
      <c r="BI6" s="149">
        <f>Index!BI6</f>
        <v>2030</v>
      </c>
      <c r="BJ6" s="149">
        <f>Index!BJ6</f>
        <v>2030</v>
      </c>
      <c r="BK6" s="149">
        <f>Index!BK6</f>
        <v>2031</v>
      </c>
      <c r="BL6" s="149">
        <f>Index!BL6</f>
        <v>2031</v>
      </c>
      <c r="BM6" s="149">
        <f>Index!BM6</f>
        <v>2031</v>
      </c>
      <c r="BN6" s="149">
        <f>Index!BN6</f>
        <v>2031</v>
      </c>
      <c r="BO6" s="149">
        <f>Index!BO6</f>
        <v>2031</v>
      </c>
      <c r="BP6" s="149">
        <f>Index!BP6</f>
        <v>2031</v>
      </c>
      <c r="BQ6" s="149">
        <f>Index!BQ6</f>
        <v>2031</v>
      </c>
      <c r="BR6" s="149">
        <f>Index!BR6</f>
        <v>2031</v>
      </c>
      <c r="BS6" s="149">
        <f>Index!BS6</f>
        <v>2031</v>
      </c>
      <c r="BT6" s="149">
        <f>Index!BT6</f>
        <v>2031</v>
      </c>
      <c r="BU6" s="149">
        <f>Index!BU6</f>
        <v>2031</v>
      </c>
      <c r="BV6" s="149">
        <f>Index!BV6</f>
        <v>2031</v>
      </c>
      <c r="BW6" s="149">
        <f>Index!BW6</f>
        <v>2032</v>
      </c>
      <c r="BX6" s="149">
        <f>Index!BX6</f>
        <v>2032</v>
      </c>
      <c r="BY6" s="149">
        <f>Index!BY6</f>
        <v>2032</v>
      </c>
      <c r="BZ6" s="149">
        <f>Index!BZ6</f>
        <v>2032</v>
      </c>
      <c r="CA6" s="149">
        <f>Index!CA6</f>
        <v>2032</v>
      </c>
      <c r="CB6" s="149">
        <f>Index!CB6</f>
        <v>2032</v>
      </c>
      <c r="CC6" s="149">
        <f>Index!CC6</f>
        <v>2032</v>
      </c>
      <c r="CD6" s="149">
        <f>Index!CD6</f>
        <v>2032</v>
      </c>
      <c r="CE6" s="149">
        <f>Index!CE6</f>
        <v>2032</v>
      </c>
      <c r="CF6" s="149">
        <f>Index!CF6</f>
        <v>2032</v>
      </c>
      <c r="CG6" s="149">
        <f>Index!CG6</f>
        <v>2032</v>
      </c>
      <c r="CH6" s="149">
        <f>Index!CH6</f>
        <v>2032</v>
      </c>
      <c r="CI6" s="149">
        <f>Index!CI6</f>
        <v>2033</v>
      </c>
      <c r="CJ6" s="149">
        <f>Index!CJ6</f>
        <v>2033</v>
      </c>
      <c r="CK6" s="149">
        <f>Index!CK6</f>
        <v>2033</v>
      </c>
      <c r="CL6" s="149">
        <f>Index!CL6</f>
        <v>2033</v>
      </c>
      <c r="CM6" s="149">
        <f>Index!CM6</f>
        <v>2033</v>
      </c>
      <c r="CN6" s="149">
        <f>Index!CN6</f>
        <v>2033</v>
      </c>
      <c r="CO6" s="149">
        <f>Index!CO6</f>
        <v>2033</v>
      </c>
      <c r="CP6" s="149">
        <f>Index!CP6</f>
        <v>2033</v>
      </c>
      <c r="CQ6" s="149">
        <f>Index!CQ6</f>
        <v>2033</v>
      </c>
      <c r="CR6" s="149">
        <f>Index!CR6</f>
        <v>2033</v>
      </c>
      <c r="CS6" s="149">
        <f>Index!CS6</f>
        <v>2033</v>
      </c>
      <c r="CT6" s="149">
        <f>Index!CT6</f>
        <v>2033</v>
      </c>
      <c r="CU6" s="149">
        <f>Index!CU6</f>
        <v>2034</v>
      </c>
      <c r="CV6" s="149">
        <f>Index!CV6</f>
        <v>2034</v>
      </c>
      <c r="CW6" s="149">
        <f>Index!CW6</f>
        <v>2034</v>
      </c>
      <c r="CX6" s="149">
        <f>Index!CX6</f>
        <v>2034</v>
      </c>
      <c r="CY6" s="149">
        <f>Index!CY6</f>
        <v>2034</v>
      </c>
      <c r="CZ6" s="149">
        <f>Index!CZ6</f>
        <v>2034</v>
      </c>
      <c r="DA6" s="149">
        <f>Index!DA6</f>
        <v>2034</v>
      </c>
      <c r="DB6" s="149">
        <f>Index!DB6</f>
        <v>2034</v>
      </c>
      <c r="DC6" s="149">
        <f>Index!DC6</f>
        <v>2034</v>
      </c>
      <c r="DD6" s="149">
        <f>Index!DD6</f>
        <v>2034</v>
      </c>
      <c r="DE6" s="149">
        <f>Index!DE6</f>
        <v>2034</v>
      </c>
      <c r="DF6" s="149">
        <f>Index!DF6</f>
        <v>2034</v>
      </c>
      <c r="DG6" s="149">
        <f>Index!DG6</f>
        <v>2035</v>
      </c>
      <c r="DH6" s="149">
        <f>Index!DH6</f>
        <v>2035</v>
      </c>
      <c r="DI6" s="149">
        <f>Index!DI6</f>
        <v>2035</v>
      </c>
      <c r="DJ6" s="149">
        <f>Index!DJ6</f>
        <v>2035</v>
      </c>
      <c r="DK6" s="149">
        <f>Index!DK6</f>
        <v>2035</v>
      </c>
      <c r="DL6" s="149">
        <f>Index!DL6</f>
        <v>2035</v>
      </c>
      <c r="DM6" s="149">
        <f>Index!DM6</f>
        <v>2035</v>
      </c>
      <c r="DN6" s="149">
        <f>Index!DN6</f>
        <v>2035</v>
      </c>
      <c r="DO6" s="149">
        <f>Index!DO6</f>
        <v>2035</v>
      </c>
      <c r="DP6" s="149">
        <f>Index!DP6</f>
        <v>2035</v>
      </c>
      <c r="DQ6" s="149">
        <f>Index!DQ6</f>
        <v>2035</v>
      </c>
      <c r="DR6" s="149">
        <f>Index!DR6</f>
        <v>2035</v>
      </c>
      <c r="DS6" s="149">
        <f>Index!DS6</f>
        <v>2036</v>
      </c>
      <c r="DT6" s="149">
        <f>Index!DT6</f>
        <v>2036</v>
      </c>
      <c r="DU6" s="149">
        <f>Index!DU6</f>
        <v>2036</v>
      </c>
      <c r="DV6" s="149">
        <f>Index!DV6</f>
        <v>2036</v>
      </c>
      <c r="DW6" s="149">
        <f>Index!DW6</f>
        <v>2036</v>
      </c>
      <c r="DX6" s="149">
        <f>Index!DX6</f>
        <v>2036</v>
      </c>
      <c r="DY6" s="149">
        <f>Index!DY6</f>
        <v>2036</v>
      </c>
      <c r="DZ6" s="149">
        <f>Index!DZ6</f>
        <v>2036</v>
      </c>
      <c r="EA6" s="149">
        <f>Index!EA6</f>
        <v>2036</v>
      </c>
      <c r="EB6" s="149">
        <f>Index!EB6</f>
        <v>2036</v>
      </c>
      <c r="EC6" s="149">
        <f>Index!EC6</f>
        <v>2036</v>
      </c>
      <c r="ED6" s="149">
        <f>Index!ED6</f>
        <v>2036</v>
      </c>
      <c r="EE6" s="149">
        <f>Index!EE6</f>
        <v>2037</v>
      </c>
      <c r="EF6" s="149">
        <f>Index!EF6</f>
        <v>2037</v>
      </c>
      <c r="EG6" s="149">
        <f>Index!EG6</f>
        <v>2037</v>
      </c>
      <c r="EH6" s="149">
        <f>Index!EH6</f>
        <v>2037</v>
      </c>
      <c r="EI6" s="149">
        <f>Index!EI6</f>
        <v>2037</v>
      </c>
      <c r="EJ6" s="149">
        <f>Index!EJ6</f>
        <v>2037</v>
      </c>
      <c r="EK6" s="149">
        <f>Index!EK6</f>
        <v>2037</v>
      </c>
      <c r="EL6" s="149">
        <f>Index!EL6</f>
        <v>2037</v>
      </c>
      <c r="EM6" s="149">
        <f>Index!EM6</f>
        <v>2037</v>
      </c>
      <c r="EN6" s="149">
        <f>Index!EN6</f>
        <v>2037</v>
      </c>
      <c r="EO6" s="149">
        <f>Index!EO6</f>
        <v>2037</v>
      </c>
      <c r="EP6" s="149">
        <f>Index!EP6</f>
        <v>2037</v>
      </c>
      <c r="EQ6" s="149">
        <f>Index!EQ6</f>
        <v>2038</v>
      </c>
      <c r="ER6" s="146"/>
      <c r="ES6" s="146"/>
      <c r="ET6" s="146"/>
      <c r="EU6" s="146"/>
    </row>
    <row r="7" spans="1:151" ht="13.35" customHeight="1">
      <c r="B7" s="189" t="s">
        <v>3</v>
      </c>
      <c r="C7" s="148"/>
      <c r="D7" s="148"/>
      <c r="E7" s="148"/>
      <c r="F7" s="148"/>
      <c r="G7" s="148"/>
      <c r="H7" s="209"/>
      <c r="I7" s="190"/>
      <c r="J7" s="148"/>
      <c r="L7" s="149">
        <f>Index!L7</f>
        <v>10</v>
      </c>
      <c r="M7" s="149">
        <f>Index!M7</f>
        <v>11</v>
      </c>
      <c r="N7" s="149">
        <f>Index!N7</f>
        <v>12</v>
      </c>
      <c r="O7" s="149">
        <f>Index!O7</f>
        <v>1</v>
      </c>
      <c r="P7" s="149">
        <f>Index!P7</f>
        <v>2</v>
      </c>
      <c r="Q7" s="149">
        <f>Index!Q7</f>
        <v>3</v>
      </c>
      <c r="R7" s="149">
        <f>Index!R7</f>
        <v>4</v>
      </c>
      <c r="S7" s="149">
        <f>Index!S7</f>
        <v>5</v>
      </c>
      <c r="T7" s="149">
        <f>Index!T7</f>
        <v>6</v>
      </c>
      <c r="U7" s="149">
        <f>Index!U7</f>
        <v>7</v>
      </c>
      <c r="V7" s="149">
        <f>Index!V7</f>
        <v>8</v>
      </c>
      <c r="W7" s="149">
        <f>Index!W7</f>
        <v>9</v>
      </c>
      <c r="X7" s="149">
        <f>Index!X7</f>
        <v>10</v>
      </c>
      <c r="Y7" s="149">
        <f>Index!Y7</f>
        <v>11</v>
      </c>
      <c r="Z7" s="149">
        <f>Index!Z7</f>
        <v>12</v>
      </c>
      <c r="AA7" s="149">
        <f>Index!AA7</f>
        <v>1</v>
      </c>
      <c r="AB7" s="149">
        <f>Index!AB7</f>
        <v>2</v>
      </c>
      <c r="AC7" s="149">
        <f>Index!AC7</f>
        <v>3</v>
      </c>
      <c r="AD7" s="149">
        <f>Index!AD7</f>
        <v>4</v>
      </c>
      <c r="AE7" s="149">
        <f>Index!AE7</f>
        <v>5</v>
      </c>
      <c r="AF7" s="149">
        <f>Index!AF7</f>
        <v>6</v>
      </c>
      <c r="AG7" s="149">
        <f>Index!AG7</f>
        <v>7</v>
      </c>
      <c r="AH7" s="149">
        <f>Index!AH7</f>
        <v>8</v>
      </c>
      <c r="AI7" s="149">
        <f>Index!AI7</f>
        <v>9</v>
      </c>
      <c r="AJ7" s="149">
        <f>Index!AJ7</f>
        <v>10</v>
      </c>
      <c r="AK7" s="149">
        <f>Index!AK7</f>
        <v>11</v>
      </c>
      <c r="AL7" s="149">
        <f>Index!AL7</f>
        <v>12</v>
      </c>
      <c r="AM7" s="149">
        <f>Index!AM7</f>
        <v>1</v>
      </c>
      <c r="AN7" s="149">
        <f>Index!AN7</f>
        <v>2</v>
      </c>
      <c r="AO7" s="149">
        <f>Index!AO7</f>
        <v>3</v>
      </c>
      <c r="AP7" s="149">
        <f>Index!AP7</f>
        <v>4</v>
      </c>
      <c r="AQ7" s="149">
        <f>Index!AQ7</f>
        <v>5</v>
      </c>
      <c r="AR7" s="149">
        <f>Index!AR7</f>
        <v>6</v>
      </c>
      <c r="AS7" s="149">
        <f>Index!AS7</f>
        <v>7</v>
      </c>
      <c r="AT7" s="149">
        <f>Index!AT7</f>
        <v>8</v>
      </c>
      <c r="AU7" s="149">
        <f>Index!AU7</f>
        <v>9</v>
      </c>
      <c r="AV7" s="149">
        <f>Index!AV7</f>
        <v>10</v>
      </c>
      <c r="AW7" s="149">
        <f>Index!AW7</f>
        <v>11</v>
      </c>
      <c r="AX7" s="149">
        <f>Index!AX7</f>
        <v>12</v>
      </c>
      <c r="AY7" s="149">
        <f>Index!AY7</f>
        <v>1</v>
      </c>
      <c r="AZ7" s="149">
        <f>Index!AZ7</f>
        <v>2</v>
      </c>
      <c r="BA7" s="149">
        <f>Index!BA7</f>
        <v>3</v>
      </c>
      <c r="BB7" s="149">
        <f>Index!BB7</f>
        <v>4</v>
      </c>
      <c r="BC7" s="149">
        <f>Index!BC7</f>
        <v>5</v>
      </c>
      <c r="BD7" s="149">
        <f>Index!BD7</f>
        <v>6</v>
      </c>
      <c r="BE7" s="149">
        <f>Index!BE7</f>
        <v>7</v>
      </c>
      <c r="BF7" s="149">
        <f>Index!BF7</f>
        <v>8</v>
      </c>
      <c r="BG7" s="149">
        <f>Index!BG7</f>
        <v>9</v>
      </c>
      <c r="BH7" s="149">
        <f>Index!BH7</f>
        <v>10</v>
      </c>
      <c r="BI7" s="149">
        <f>Index!BI7</f>
        <v>11</v>
      </c>
      <c r="BJ7" s="149">
        <f>Index!BJ7</f>
        <v>12</v>
      </c>
      <c r="BK7" s="149">
        <f>Index!BK7</f>
        <v>1</v>
      </c>
      <c r="BL7" s="149">
        <f>Index!BL7</f>
        <v>2</v>
      </c>
      <c r="BM7" s="149">
        <f>Index!BM7</f>
        <v>3</v>
      </c>
      <c r="BN7" s="149">
        <f>Index!BN7</f>
        <v>4</v>
      </c>
      <c r="BO7" s="149">
        <f>Index!BO7</f>
        <v>5</v>
      </c>
      <c r="BP7" s="149">
        <f>Index!BP7</f>
        <v>6</v>
      </c>
      <c r="BQ7" s="149">
        <f>Index!BQ7</f>
        <v>7</v>
      </c>
      <c r="BR7" s="149">
        <f>Index!BR7</f>
        <v>8</v>
      </c>
      <c r="BS7" s="149">
        <f>Index!BS7</f>
        <v>9</v>
      </c>
      <c r="BT7" s="149">
        <f>Index!BT7</f>
        <v>10</v>
      </c>
      <c r="BU7" s="149">
        <f>Index!BU7</f>
        <v>11</v>
      </c>
      <c r="BV7" s="149">
        <f>Index!BV7</f>
        <v>12</v>
      </c>
      <c r="BW7" s="149">
        <f>Index!BW7</f>
        <v>1</v>
      </c>
      <c r="BX7" s="149">
        <f>Index!BX7</f>
        <v>2</v>
      </c>
      <c r="BY7" s="149">
        <f>Index!BY7</f>
        <v>3</v>
      </c>
      <c r="BZ7" s="149">
        <f>Index!BZ7</f>
        <v>4</v>
      </c>
      <c r="CA7" s="149">
        <f>Index!CA7</f>
        <v>5</v>
      </c>
      <c r="CB7" s="149">
        <f>Index!CB7</f>
        <v>6</v>
      </c>
      <c r="CC7" s="149">
        <f>Index!CC7</f>
        <v>7</v>
      </c>
      <c r="CD7" s="149">
        <f>Index!CD7</f>
        <v>8</v>
      </c>
      <c r="CE7" s="149">
        <f>Index!CE7</f>
        <v>9</v>
      </c>
      <c r="CF7" s="149">
        <f>Index!CF7</f>
        <v>10</v>
      </c>
      <c r="CG7" s="149">
        <f>Index!CG7</f>
        <v>11</v>
      </c>
      <c r="CH7" s="149">
        <f>Index!CH7</f>
        <v>12</v>
      </c>
      <c r="CI7" s="149">
        <f>Index!CI7</f>
        <v>1</v>
      </c>
      <c r="CJ7" s="149">
        <f>Index!CJ7</f>
        <v>2</v>
      </c>
      <c r="CK7" s="149">
        <f>Index!CK7</f>
        <v>3</v>
      </c>
      <c r="CL7" s="149">
        <f>Index!CL7</f>
        <v>4</v>
      </c>
      <c r="CM7" s="149">
        <f>Index!CM7</f>
        <v>5</v>
      </c>
      <c r="CN7" s="149">
        <f>Index!CN7</f>
        <v>6</v>
      </c>
      <c r="CO7" s="149">
        <f>Index!CO7</f>
        <v>7</v>
      </c>
      <c r="CP7" s="149">
        <f>Index!CP7</f>
        <v>8</v>
      </c>
      <c r="CQ7" s="149">
        <f>Index!CQ7</f>
        <v>9</v>
      </c>
      <c r="CR7" s="149">
        <f>Index!CR7</f>
        <v>10</v>
      </c>
      <c r="CS7" s="149">
        <f>Index!CS7</f>
        <v>11</v>
      </c>
      <c r="CT7" s="149">
        <f>Index!CT7</f>
        <v>12</v>
      </c>
      <c r="CU7" s="149">
        <f>Index!CU7</f>
        <v>1</v>
      </c>
      <c r="CV7" s="149">
        <f>Index!CV7</f>
        <v>2</v>
      </c>
      <c r="CW7" s="149">
        <f>Index!CW7</f>
        <v>3</v>
      </c>
      <c r="CX7" s="149">
        <f>Index!CX7</f>
        <v>4</v>
      </c>
      <c r="CY7" s="149">
        <f>Index!CY7</f>
        <v>5</v>
      </c>
      <c r="CZ7" s="149">
        <f>Index!CZ7</f>
        <v>6</v>
      </c>
      <c r="DA7" s="149">
        <f>Index!DA7</f>
        <v>7</v>
      </c>
      <c r="DB7" s="149">
        <f>Index!DB7</f>
        <v>8</v>
      </c>
      <c r="DC7" s="149">
        <f>Index!DC7</f>
        <v>9</v>
      </c>
      <c r="DD7" s="149">
        <f>Index!DD7</f>
        <v>10</v>
      </c>
      <c r="DE7" s="149">
        <f>Index!DE7</f>
        <v>11</v>
      </c>
      <c r="DF7" s="149">
        <f>Index!DF7</f>
        <v>12</v>
      </c>
      <c r="DG7" s="149">
        <f>Index!DG7</f>
        <v>1</v>
      </c>
      <c r="DH7" s="149">
        <f>Index!DH7</f>
        <v>2</v>
      </c>
      <c r="DI7" s="149">
        <f>Index!DI7</f>
        <v>3</v>
      </c>
      <c r="DJ7" s="149">
        <f>Index!DJ7</f>
        <v>4</v>
      </c>
      <c r="DK7" s="149">
        <f>Index!DK7</f>
        <v>5</v>
      </c>
      <c r="DL7" s="149">
        <f>Index!DL7</f>
        <v>6</v>
      </c>
      <c r="DM7" s="149">
        <f>Index!DM7</f>
        <v>7</v>
      </c>
      <c r="DN7" s="149">
        <f>Index!DN7</f>
        <v>8</v>
      </c>
      <c r="DO7" s="149">
        <f>Index!DO7</f>
        <v>9</v>
      </c>
      <c r="DP7" s="149">
        <f>Index!DP7</f>
        <v>10</v>
      </c>
      <c r="DQ7" s="149">
        <f>Index!DQ7</f>
        <v>11</v>
      </c>
      <c r="DR7" s="149">
        <f>Index!DR7</f>
        <v>12</v>
      </c>
      <c r="DS7" s="149">
        <f>Index!DS7</f>
        <v>1</v>
      </c>
      <c r="DT7" s="149">
        <f>Index!DT7</f>
        <v>2</v>
      </c>
      <c r="DU7" s="149">
        <f>Index!DU7</f>
        <v>3</v>
      </c>
      <c r="DV7" s="149">
        <f>Index!DV7</f>
        <v>4</v>
      </c>
      <c r="DW7" s="149">
        <f>Index!DW7</f>
        <v>5</v>
      </c>
      <c r="DX7" s="149">
        <f>Index!DX7</f>
        <v>6</v>
      </c>
      <c r="DY7" s="149">
        <f>Index!DY7</f>
        <v>7</v>
      </c>
      <c r="DZ7" s="149">
        <f>Index!DZ7</f>
        <v>8</v>
      </c>
      <c r="EA7" s="149">
        <f>Index!EA7</f>
        <v>9</v>
      </c>
      <c r="EB7" s="149">
        <f>Index!EB7</f>
        <v>10</v>
      </c>
      <c r="EC7" s="149">
        <f>Index!EC7</f>
        <v>11</v>
      </c>
      <c r="ED7" s="149">
        <f>Index!ED7</f>
        <v>12</v>
      </c>
      <c r="EE7" s="149">
        <f>Index!EE7</f>
        <v>1</v>
      </c>
      <c r="EF7" s="149">
        <f>Index!EF7</f>
        <v>2</v>
      </c>
      <c r="EG7" s="149">
        <f>Index!EG7</f>
        <v>3</v>
      </c>
      <c r="EH7" s="149">
        <f>Index!EH7</f>
        <v>4</v>
      </c>
      <c r="EI7" s="149">
        <f>Index!EI7</f>
        <v>5</v>
      </c>
      <c r="EJ7" s="149">
        <f>Index!EJ7</f>
        <v>6</v>
      </c>
      <c r="EK7" s="149">
        <f>Index!EK7</f>
        <v>7</v>
      </c>
      <c r="EL7" s="149">
        <f>Index!EL7</f>
        <v>8</v>
      </c>
      <c r="EM7" s="149">
        <f>Index!EM7</f>
        <v>9</v>
      </c>
      <c r="EN7" s="149">
        <f>Index!EN7</f>
        <v>10</v>
      </c>
      <c r="EO7" s="149">
        <f>Index!EO7</f>
        <v>11</v>
      </c>
      <c r="EP7" s="149">
        <f>Index!EP7</f>
        <v>12</v>
      </c>
      <c r="EQ7" s="149">
        <f>Index!EQ7</f>
        <v>1</v>
      </c>
      <c r="ER7" s="146"/>
      <c r="ES7" s="146"/>
      <c r="ET7" s="146"/>
      <c r="EU7" s="146"/>
    </row>
    <row r="8" spans="1:151" ht="13.35" customHeight="1">
      <c r="B8" s="189" t="s">
        <v>153</v>
      </c>
      <c r="C8" s="148"/>
      <c r="D8" s="148"/>
      <c r="E8" s="148"/>
      <c r="F8" s="148"/>
      <c r="G8" s="148"/>
      <c r="H8" s="209"/>
      <c r="I8" s="190"/>
      <c r="J8" s="148"/>
      <c r="L8" s="150">
        <f>Index!L8</f>
        <v>0</v>
      </c>
      <c r="M8" s="150">
        <f>Index!M8</f>
        <v>1</v>
      </c>
      <c r="N8" s="150">
        <f>Index!N8</f>
        <v>2</v>
      </c>
      <c r="O8" s="150">
        <f>Index!O8</f>
        <v>3</v>
      </c>
      <c r="P8" s="150">
        <f>Index!P8</f>
        <v>4</v>
      </c>
      <c r="Q8" s="150">
        <f>Index!Q8</f>
        <v>5</v>
      </c>
      <c r="R8" s="150">
        <f>Index!R8</f>
        <v>6</v>
      </c>
      <c r="S8" s="150">
        <f>Index!S8</f>
        <v>7</v>
      </c>
      <c r="T8" s="150">
        <f>Index!T8</f>
        <v>8</v>
      </c>
      <c r="U8" s="150">
        <f>Index!U8</f>
        <v>9</v>
      </c>
      <c r="V8" s="150">
        <f>Index!V8</f>
        <v>10</v>
      </c>
      <c r="W8" s="150">
        <f>Index!W8</f>
        <v>11</v>
      </c>
      <c r="X8" s="150">
        <f>Index!X8</f>
        <v>12</v>
      </c>
      <c r="Y8" s="150">
        <f>Index!Y8</f>
        <v>13</v>
      </c>
      <c r="Z8" s="150">
        <f>Index!Z8</f>
        <v>14</v>
      </c>
      <c r="AA8" s="150">
        <f>Index!AA8</f>
        <v>15</v>
      </c>
      <c r="AB8" s="150">
        <f>Index!AB8</f>
        <v>16</v>
      </c>
      <c r="AC8" s="150">
        <f>Index!AC8</f>
        <v>17</v>
      </c>
      <c r="AD8" s="150">
        <f>Index!AD8</f>
        <v>18</v>
      </c>
      <c r="AE8" s="150">
        <f>Index!AE8</f>
        <v>19</v>
      </c>
      <c r="AF8" s="150">
        <f>Index!AF8</f>
        <v>20</v>
      </c>
      <c r="AG8" s="150">
        <f>Index!AG8</f>
        <v>21</v>
      </c>
      <c r="AH8" s="150">
        <f>Index!AH8</f>
        <v>22</v>
      </c>
      <c r="AI8" s="150">
        <f>Index!AI8</f>
        <v>23</v>
      </c>
      <c r="AJ8" s="150">
        <f>Index!AJ8</f>
        <v>24</v>
      </c>
      <c r="AK8" s="150">
        <f>Index!AK8</f>
        <v>25</v>
      </c>
      <c r="AL8" s="150">
        <f>Index!AL8</f>
        <v>26</v>
      </c>
      <c r="AM8" s="150">
        <f>Index!AM8</f>
        <v>27</v>
      </c>
      <c r="AN8" s="150">
        <f>Index!AN8</f>
        <v>28</v>
      </c>
      <c r="AO8" s="150">
        <f>Index!AO8</f>
        <v>29</v>
      </c>
      <c r="AP8" s="150">
        <f>Index!AP8</f>
        <v>30</v>
      </c>
      <c r="AQ8" s="150">
        <f>Index!AQ8</f>
        <v>31</v>
      </c>
      <c r="AR8" s="150">
        <f>Index!AR8</f>
        <v>32</v>
      </c>
      <c r="AS8" s="150">
        <f>Index!AS8</f>
        <v>33</v>
      </c>
      <c r="AT8" s="150">
        <f>Index!AT8</f>
        <v>34</v>
      </c>
      <c r="AU8" s="150">
        <f>Index!AU8</f>
        <v>35</v>
      </c>
      <c r="AV8" s="150">
        <f>Index!AV8</f>
        <v>36</v>
      </c>
      <c r="AW8" s="150">
        <f>Index!AW8</f>
        <v>37</v>
      </c>
      <c r="AX8" s="150">
        <f>Index!AX8</f>
        <v>38</v>
      </c>
      <c r="AY8" s="150">
        <f>Index!AY8</f>
        <v>39</v>
      </c>
      <c r="AZ8" s="150">
        <f>Index!AZ8</f>
        <v>40</v>
      </c>
      <c r="BA8" s="150">
        <f>Index!BA8</f>
        <v>41</v>
      </c>
      <c r="BB8" s="150">
        <f>Index!BB8</f>
        <v>42</v>
      </c>
      <c r="BC8" s="150">
        <f>Index!BC8</f>
        <v>43</v>
      </c>
      <c r="BD8" s="150">
        <f>Index!BD8</f>
        <v>44</v>
      </c>
      <c r="BE8" s="150">
        <f>Index!BE8</f>
        <v>45</v>
      </c>
      <c r="BF8" s="150">
        <f>Index!BF8</f>
        <v>46</v>
      </c>
      <c r="BG8" s="150">
        <f>Index!BG8</f>
        <v>47</v>
      </c>
      <c r="BH8" s="150">
        <f>Index!BH8</f>
        <v>48</v>
      </c>
      <c r="BI8" s="150">
        <f>Index!BI8</f>
        <v>49</v>
      </c>
      <c r="BJ8" s="150">
        <f>Index!BJ8</f>
        <v>50</v>
      </c>
      <c r="BK8" s="150">
        <f>Index!BK8</f>
        <v>51</v>
      </c>
      <c r="BL8" s="150">
        <f>Index!BL8</f>
        <v>52</v>
      </c>
      <c r="BM8" s="150">
        <f>Index!BM8</f>
        <v>53</v>
      </c>
      <c r="BN8" s="150">
        <f>Index!BN8</f>
        <v>54</v>
      </c>
      <c r="BO8" s="150">
        <f>Index!BO8</f>
        <v>55</v>
      </c>
      <c r="BP8" s="150">
        <f>Index!BP8</f>
        <v>56</v>
      </c>
      <c r="BQ8" s="150">
        <f>Index!BQ8</f>
        <v>57</v>
      </c>
      <c r="BR8" s="150">
        <f>Index!BR8</f>
        <v>58</v>
      </c>
      <c r="BS8" s="150">
        <f>Index!BS8</f>
        <v>59</v>
      </c>
      <c r="BT8" s="150">
        <f>Index!BT8</f>
        <v>60</v>
      </c>
      <c r="BU8" s="150">
        <f>Index!BU8</f>
        <v>61</v>
      </c>
      <c r="BV8" s="150">
        <f>Index!BV8</f>
        <v>62</v>
      </c>
      <c r="BW8" s="150">
        <f>Index!BW8</f>
        <v>63</v>
      </c>
      <c r="BX8" s="150">
        <f>Index!BX8</f>
        <v>64</v>
      </c>
      <c r="BY8" s="150">
        <f>Index!BY8</f>
        <v>65</v>
      </c>
      <c r="BZ8" s="150">
        <f>Index!BZ8</f>
        <v>66</v>
      </c>
      <c r="CA8" s="150">
        <f>Index!CA8</f>
        <v>67</v>
      </c>
      <c r="CB8" s="150">
        <f>Index!CB8</f>
        <v>68</v>
      </c>
      <c r="CC8" s="150">
        <f>Index!CC8</f>
        <v>69</v>
      </c>
      <c r="CD8" s="150">
        <f>Index!CD8</f>
        <v>70</v>
      </c>
      <c r="CE8" s="150">
        <f>Index!CE8</f>
        <v>71</v>
      </c>
      <c r="CF8" s="150">
        <f>Index!CF8</f>
        <v>72</v>
      </c>
      <c r="CG8" s="150">
        <f>Index!CG8</f>
        <v>73</v>
      </c>
      <c r="CH8" s="150">
        <f>Index!CH8</f>
        <v>74</v>
      </c>
      <c r="CI8" s="150">
        <f>Index!CI8</f>
        <v>75</v>
      </c>
      <c r="CJ8" s="150">
        <f>Index!CJ8</f>
        <v>76</v>
      </c>
      <c r="CK8" s="150">
        <f>Index!CK8</f>
        <v>77</v>
      </c>
      <c r="CL8" s="150">
        <f>Index!CL8</f>
        <v>78</v>
      </c>
      <c r="CM8" s="150">
        <f>Index!CM8</f>
        <v>79</v>
      </c>
      <c r="CN8" s="150">
        <f>Index!CN8</f>
        <v>80</v>
      </c>
      <c r="CO8" s="150">
        <f>Index!CO8</f>
        <v>81</v>
      </c>
      <c r="CP8" s="150">
        <f>Index!CP8</f>
        <v>82</v>
      </c>
      <c r="CQ8" s="150">
        <f>Index!CQ8</f>
        <v>83</v>
      </c>
      <c r="CR8" s="150">
        <f>Index!CR8</f>
        <v>84</v>
      </c>
      <c r="CS8" s="150">
        <f>Index!CS8</f>
        <v>85</v>
      </c>
      <c r="CT8" s="150">
        <f>Index!CT8</f>
        <v>86</v>
      </c>
      <c r="CU8" s="150">
        <f>Index!CU8</f>
        <v>87</v>
      </c>
      <c r="CV8" s="150">
        <f>Index!CV8</f>
        <v>88</v>
      </c>
      <c r="CW8" s="150">
        <f>Index!CW8</f>
        <v>89</v>
      </c>
      <c r="CX8" s="150">
        <f>Index!CX8</f>
        <v>90</v>
      </c>
      <c r="CY8" s="150">
        <f>Index!CY8</f>
        <v>91</v>
      </c>
      <c r="CZ8" s="150">
        <f>Index!CZ8</f>
        <v>92</v>
      </c>
      <c r="DA8" s="150">
        <f>Index!DA8</f>
        <v>93</v>
      </c>
      <c r="DB8" s="150">
        <f>Index!DB8</f>
        <v>94</v>
      </c>
      <c r="DC8" s="150">
        <f>Index!DC8</f>
        <v>95</v>
      </c>
      <c r="DD8" s="150">
        <f>Index!DD8</f>
        <v>96</v>
      </c>
      <c r="DE8" s="150">
        <f>Index!DE8</f>
        <v>97</v>
      </c>
      <c r="DF8" s="150">
        <f>Index!DF8</f>
        <v>98</v>
      </c>
      <c r="DG8" s="150">
        <f>Index!DG8</f>
        <v>99</v>
      </c>
      <c r="DH8" s="150">
        <f>Index!DH8</f>
        <v>100</v>
      </c>
      <c r="DI8" s="150">
        <f>Index!DI8</f>
        <v>101</v>
      </c>
      <c r="DJ8" s="150">
        <f>Index!DJ8</f>
        <v>102</v>
      </c>
      <c r="DK8" s="150">
        <f>Index!DK8</f>
        <v>103</v>
      </c>
      <c r="DL8" s="150">
        <f>Index!DL8</f>
        <v>104</v>
      </c>
      <c r="DM8" s="150">
        <f>Index!DM8</f>
        <v>105</v>
      </c>
      <c r="DN8" s="150">
        <f>Index!DN8</f>
        <v>106</v>
      </c>
      <c r="DO8" s="150">
        <f>Index!DO8</f>
        <v>107</v>
      </c>
      <c r="DP8" s="150">
        <f>Index!DP8</f>
        <v>108</v>
      </c>
      <c r="DQ8" s="150">
        <f>Index!DQ8</f>
        <v>109</v>
      </c>
      <c r="DR8" s="150">
        <f>Index!DR8</f>
        <v>110</v>
      </c>
      <c r="DS8" s="150">
        <f>Index!DS8</f>
        <v>111</v>
      </c>
      <c r="DT8" s="150">
        <f>Index!DT8</f>
        <v>112</v>
      </c>
      <c r="DU8" s="150">
        <f>Index!DU8</f>
        <v>113</v>
      </c>
      <c r="DV8" s="150">
        <f>Index!DV8</f>
        <v>114</v>
      </c>
      <c r="DW8" s="150">
        <f>Index!DW8</f>
        <v>115</v>
      </c>
      <c r="DX8" s="150">
        <f>Index!DX8</f>
        <v>116</v>
      </c>
      <c r="DY8" s="150">
        <f>Index!DY8</f>
        <v>117</v>
      </c>
      <c r="DZ8" s="150">
        <f>Index!DZ8</f>
        <v>118</v>
      </c>
      <c r="EA8" s="150">
        <f>Index!EA8</f>
        <v>119</v>
      </c>
      <c r="EB8" s="150">
        <f>Index!EB8</f>
        <v>120</v>
      </c>
      <c r="EC8" s="150">
        <f>Index!EC8</f>
        <v>121</v>
      </c>
      <c r="ED8" s="150">
        <f>Index!ED8</f>
        <v>122</v>
      </c>
      <c r="EE8" s="150">
        <f>Index!EE8</f>
        <v>123</v>
      </c>
      <c r="EF8" s="150">
        <f>Index!EF8</f>
        <v>124</v>
      </c>
      <c r="EG8" s="150">
        <f>Index!EG8</f>
        <v>125</v>
      </c>
      <c r="EH8" s="150">
        <f>Index!EH8</f>
        <v>126</v>
      </c>
      <c r="EI8" s="150">
        <f>Index!EI8</f>
        <v>127</v>
      </c>
      <c r="EJ8" s="150">
        <f>Index!EJ8</f>
        <v>128</v>
      </c>
      <c r="EK8" s="150">
        <f>Index!EK8</f>
        <v>129</v>
      </c>
      <c r="EL8" s="150">
        <f>Index!EL8</f>
        <v>130</v>
      </c>
      <c r="EM8" s="150">
        <f>Index!EM8</f>
        <v>131</v>
      </c>
      <c r="EN8" s="150">
        <f>Index!EN8</f>
        <v>132</v>
      </c>
      <c r="EO8" s="150">
        <f>Index!EO8</f>
        <v>133</v>
      </c>
      <c r="EP8" s="150">
        <f>Index!EP8</f>
        <v>134</v>
      </c>
      <c r="EQ8" s="150">
        <f>Index!EQ8</f>
        <v>135</v>
      </c>
    </row>
    <row r="9" spans="1:151" ht="13.35" customHeight="1">
      <c r="B9" s="189" t="s">
        <v>154</v>
      </c>
      <c r="C9" s="148"/>
      <c r="D9" s="148"/>
      <c r="E9" s="148"/>
      <c r="F9" s="148"/>
      <c r="G9" s="148"/>
      <c r="H9" s="209"/>
      <c r="I9" s="190"/>
      <c r="J9" s="148"/>
      <c r="L9" s="151">
        <f>Index!L9</f>
        <v>0</v>
      </c>
      <c r="M9" s="151">
        <f>Index!M9</f>
        <v>1</v>
      </c>
      <c r="N9" s="151">
        <f>Index!N9</f>
        <v>1</v>
      </c>
      <c r="O9" s="151">
        <f>Index!O9</f>
        <v>1</v>
      </c>
      <c r="P9" s="151">
        <f>Index!P9</f>
        <v>2</v>
      </c>
      <c r="Q9" s="151">
        <f>Index!Q9</f>
        <v>2</v>
      </c>
      <c r="R9" s="151">
        <f>Index!R9</f>
        <v>2</v>
      </c>
      <c r="S9" s="151">
        <f>Index!S9</f>
        <v>3</v>
      </c>
      <c r="T9" s="151">
        <f>Index!T9</f>
        <v>3</v>
      </c>
      <c r="U9" s="151">
        <f>Index!U9</f>
        <v>3</v>
      </c>
      <c r="V9" s="151">
        <f>Index!V9</f>
        <v>4</v>
      </c>
      <c r="W9" s="151">
        <f>Index!W9</f>
        <v>4</v>
      </c>
      <c r="X9" s="151">
        <f>Index!X9</f>
        <v>4</v>
      </c>
      <c r="Y9" s="151">
        <f>Index!Y9</f>
        <v>5</v>
      </c>
      <c r="Z9" s="151">
        <f>Index!Z9</f>
        <v>5</v>
      </c>
      <c r="AA9" s="151">
        <f>Index!AA9</f>
        <v>5</v>
      </c>
      <c r="AB9" s="151">
        <f>Index!AB9</f>
        <v>6</v>
      </c>
      <c r="AC9" s="151">
        <f>Index!AC9</f>
        <v>6</v>
      </c>
      <c r="AD9" s="151">
        <f>Index!AD9</f>
        <v>6</v>
      </c>
      <c r="AE9" s="151">
        <f>Index!AE9</f>
        <v>7</v>
      </c>
      <c r="AF9" s="151">
        <f>Index!AF9</f>
        <v>7</v>
      </c>
      <c r="AG9" s="151">
        <f>Index!AG9</f>
        <v>7</v>
      </c>
      <c r="AH9" s="151">
        <f>Index!AH9</f>
        <v>8</v>
      </c>
      <c r="AI9" s="151">
        <f>Index!AI9</f>
        <v>8</v>
      </c>
      <c r="AJ9" s="151">
        <f>Index!AJ9</f>
        <v>8</v>
      </c>
      <c r="AK9" s="151">
        <f>Index!AK9</f>
        <v>9</v>
      </c>
      <c r="AL9" s="151">
        <f>Index!AL9</f>
        <v>9</v>
      </c>
      <c r="AM9" s="151">
        <f>Index!AM9</f>
        <v>9</v>
      </c>
      <c r="AN9" s="151">
        <f>Index!AN9</f>
        <v>10</v>
      </c>
      <c r="AO9" s="151">
        <f>Index!AO9</f>
        <v>10</v>
      </c>
      <c r="AP9" s="151">
        <f>Index!AP9</f>
        <v>10</v>
      </c>
      <c r="AQ9" s="151">
        <f>Index!AQ9</f>
        <v>11</v>
      </c>
      <c r="AR9" s="151">
        <f>Index!AR9</f>
        <v>11</v>
      </c>
      <c r="AS9" s="151">
        <f>Index!AS9</f>
        <v>11</v>
      </c>
      <c r="AT9" s="151">
        <f>Index!AT9</f>
        <v>12</v>
      </c>
      <c r="AU9" s="151">
        <f>Index!AU9</f>
        <v>12</v>
      </c>
      <c r="AV9" s="151">
        <f>Index!AV9</f>
        <v>12</v>
      </c>
      <c r="AW9" s="151">
        <f>Index!AW9</f>
        <v>13</v>
      </c>
      <c r="AX9" s="151">
        <f>Index!AX9</f>
        <v>13</v>
      </c>
      <c r="AY9" s="151">
        <f>Index!AY9</f>
        <v>13</v>
      </c>
      <c r="AZ9" s="151">
        <f>Index!AZ9</f>
        <v>14</v>
      </c>
      <c r="BA9" s="151">
        <f>Index!BA9</f>
        <v>14</v>
      </c>
      <c r="BB9" s="151">
        <f>Index!BB9</f>
        <v>14</v>
      </c>
      <c r="BC9" s="151">
        <f>Index!BC9</f>
        <v>15</v>
      </c>
      <c r="BD9" s="151">
        <f>Index!BD9</f>
        <v>15</v>
      </c>
      <c r="BE9" s="151">
        <f>Index!BE9</f>
        <v>15</v>
      </c>
      <c r="BF9" s="151">
        <f>Index!BF9</f>
        <v>16</v>
      </c>
      <c r="BG9" s="151">
        <f>Index!BG9</f>
        <v>16</v>
      </c>
      <c r="BH9" s="151">
        <f>Index!BH9</f>
        <v>16</v>
      </c>
      <c r="BI9" s="151">
        <f>Index!BI9</f>
        <v>17</v>
      </c>
      <c r="BJ9" s="151">
        <f>Index!BJ9</f>
        <v>17</v>
      </c>
      <c r="BK9" s="151">
        <f>Index!BK9</f>
        <v>17</v>
      </c>
      <c r="BL9" s="151">
        <f>Index!BL9</f>
        <v>18</v>
      </c>
      <c r="BM9" s="151">
        <f>Index!BM9</f>
        <v>18</v>
      </c>
      <c r="BN9" s="151">
        <f>Index!BN9</f>
        <v>18</v>
      </c>
      <c r="BO9" s="151">
        <f>Index!BO9</f>
        <v>19</v>
      </c>
      <c r="BP9" s="151">
        <f>Index!BP9</f>
        <v>19</v>
      </c>
      <c r="BQ9" s="151">
        <f>Index!BQ9</f>
        <v>19</v>
      </c>
      <c r="BR9" s="151">
        <f>Index!BR9</f>
        <v>20</v>
      </c>
      <c r="BS9" s="151">
        <f>Index!BS9</f>
        <v>20</v>
      </c>
      <c r="BT9" s="151">
        <f>Index!BT9</f>
        <v>20</v>
      </c>
      <c r="BU9" s="151">
        <f>Index!BU9</f>
        <v>21</v>
      </c>
      <c r="BV9" s="151">
        <f>Index!BV9</f>
        <v>21</v>
      </c>
      <c r="BW9" s="151">
        <f>Index!BW9</f>
        <v>21</v>
      </c>
      <c r="BX9" s="151">
        <f>Index!BX9</f>
        <v>22</v>
      </c>
      <c r="BY9" s="151">
        <f>Index!BY9</f>
        <v>22</v>
      </c>
      <c r="BZ9" s="151">
        <f>Index!BZ9</f>
        <v>22</v>
      </c>
      <c r="CA9" s="151">
        <f>Index!CA9</f>
        <v>23</v>
      </c>
      <c r="CB9" s="151">
        <f>Index!CB9</f>
        <v>23</v>
      </c>
      <c r="CC9" s="151">
        <f>Index!CC9</f>
        <v>23</v>
      </c>
      <c r="CD9" s="151">
        <f>Index!CD9</f>
        <v>24</v>
      </c>
      <c r="CE9" s="151">
        <f>Index!CE9</f>
        <v>24</v>
      </c>
      <c r="CF9" s="151">
        <f>Index!CF9</f>
        <v>24</v>
      </c>
      <c r="CG9" s="151">
        <f>Index!CG9</f>
        <v>25</v>
      </c>
      <c r="CH9" s="151">
        <f>Index!CH9</f>
        <v>25</v>
      </c>
      <c r="CI9" s="151">
        <f>Index!CI9</f>
        <v>25</v>
      </c>
      <c r="CJ9" s="151">
        <f>Index!CJ9</f>
        <v>26</v>
      </c>
      <c r="CK9" s="151">
        <f>Index!CK9</f>
        <v>26</v>
      </c>
      <c r="CL9" s="151">
        <f>Index!CL9</f>
        <v>26</v>
      </c>
      <c r="CM9" s="151">
        <f>Index!CM9</f>
        <v>27</v>
      </c>
      <c r="CN9" s="151">
        <f>Index!CN9</f>
        <v>27</v>
      </c>
      <c r="CO9" s="151">
        <f>Index!CO9</f>
        <v>27</v>
      </c>
      <c r="CP9" s="151">
        <f>Index!CP9</f>
        <v>28</v>
      </c>
      <c r="CQ9" s="151">
        <f>Index!CQ9</f>
        <v>28</v>
      </c>
      <c r="CR9" s="151">
        <f>Index!CR9</f>
        <v>28</v>
      </c>
      <c r="CS9" s="151">
        <f>Index!CS9</f>
        <v>29</v>
      </c>
      <c r="CT9" s="151">
        <f>Index!CT9</f>
        <v>29</v>
      </c>
      <c r="CU9" s="151">
        <f>Index!CU9</f>
        <v>29</v>
      </c>
      <c r="CV9" s="151">
        <f>Index!CV9</f>
        <v>30</v>
      </c>
      <c r="CW9" s="151">
        <f>Index!CW9</f>
        <v>30</v>
      </c>
      <c r="CX9" s="151">
        <f>Index!CX9</f>
        <v>30</v>
      </c>
      <c r="CY9" s="151">
        <f>Index!CY9</f>
        <v>31</v>
      </c>
      <c r="CZ9" s="151">
        <f>Index!CZ9</f>
        <v>31</v>
      </c>
      <c r="DA9" s="151">
        <f>Index!DA9</f>
        <v>31</v>
      </c>
      <c r="DB9" s="151">
        <f>Index!DB9</f>
        <v>32</v>
      </c>
      <c r="DC9" s="151">
        <f>Index!DC9</f>
        <v>32</v>
      </c>
      <c r="DD9" s="151">
        <f>Index!DD9</f>
        <v>32</v>
      </c>
      <c r="DE9" s="151">
        <f>Index!DE9</f>
        <v>33</v>
      </c>
      <c r="DF9" s="151">
        <f>Index!DF9</f>
        <v>33</v>
      </c>
      <c r="DG9" s="151">
        <f>Index!DG9</f>
        <v>33</v>
      </c>
      <c r="DH9" s="151">
        <f>Index!DH9</f>
        <v>34</v>
      </c>
      <c r="DI9" s="151">
        <f>Index!DI9</f>
        <v>34</v>
      </c>
      <c r="DJ9" s="151">
        <f>Index!DJ9</f>
        <v>34</v>
      </c>
      <c r="DK9" s="151">
        <f>Index!DK9</f>
        <v>35</v>
      </c>
      <c r="DL9" s="151">
        <f>Index!DL9</f>
        <v>35</v>
      </c>
      <c r="DM9" s="151">
        <f>Index!DM9</f>
        <v>35</v>
      </c>
      <c r="DN9" s="151">
        <f>Index!DN9</f>
        <v>36</v>
      </c>
      <c r="DO9" s="151">
        <f>Index!DO9</f>
        <v>36</v>
      </c>
      <c r="DP9" s="151">
        <f>Index!DP9</f>
        <v>36</v>
      </c>
      <c r="DQ9" s="151">
        <f>Index!DQ9</f>
        <v>37</v>
      </c>
      <c r="DR9" s="151">
        <f>Index!DR9</f>
        <v>37</v>
      </c>
      <c r="DS9" s="151">
        <f>Index!DS9</f>
        <v>37</v>
      </c>
      <c r="DT9" s="151">
        <f>Index!DT9</f>
        <v>38</v>
      </c>
      <c r="DU9" s="151">
        <f>Index!DU9</f>
        <v>38</v>
      </c>
      <c r="DV9" s="151">
        <f>Index!DV9</f>
        <v>38</v>
      </c>
      <c r="DW9" s="151">
        <f>Index!DW9</f>
        <v>39</v>
      </c>
      <c r="DX9" s="151">
        <f>Index!DX9</f>
        <v>39</v>
      </c>
      <c r="DY9" s="151">
        <f>Index!DY9</f>
        <v>39</v>
      </c>
      <c r="DZ9" s="151">
        <f>Index!DZ9</f>
        <v>40</v>
      </c>
      <c r="EA9" s="151">
        <f>Index!EA9</f>
        <v>40</v>
      </c>
      <c r="EB9" s="151">
        <f>Index!EB9</f>
        <v>40</v>
      </c>
      <c r="EC9" s="151">
        <f>Index!EC9</f>
        <v>41</v>
      </c>
      <c r="ED9" s="151">
        <f>Index!ED9</f>
        <v>41</v>
      </c>
      <c r="EE9" s="151">
        <f>Index!EE9</f>
        <v>41</v>
      </c>
      <c r="EF9" s="151">
        <f>Index!EF9</f>
        <v>42</v>
      </c>
      <c r="EG9" s="151">
        <f>Index!EG9</f>
        <v>42</v>
      </c>
      <c r="EH9" s="151">
        <f>Index!EH9</f>
        <v>42</v>
      </c>
      <c r="EI9" s="151">
        <f>Index!EI9</f>
        <v>43</v>
      </c>
      <c r="EJ9" s="151">
        <f>Index!EJ9</f>
        <v>43</v>
      </c>
      <c r="EK9" s="151">
        <f>Index!EK9</f>
        <v>43</v>
      </c>
      <c r="EL9" s="151">
        <f>Index!EL9</f>
        <v>44</v>
      </c>
      <c r="EM9" s="151">
        <f>Index!EM9</f>
        <v>44</v>
      </c>
      <c r="EN9" s="151">
        <f>Index!EN9</f>
        <v>44</v>
      </c>
      <c r="EO9" s="151">
        <f>Index!EO9</f>
        <v>45</v>
      </c>
      <c r="EP9" s="151">
        <f>Index!EP9</f>
        <v>45</v>
      </c>
      <c r="EQ9" s="151">
        <f>Index!EQ9</f>
        <v>45</v>
      </c>
    </row>
    <row r="10" spans="1:151" ht="13.35" customHeight="1">
      <c r="B10" s="189" t="s">
        <v>155</v>
      </c>
      <c r="C10" s="148"/>
      <c r="D10" s="148"/>
      <c r="E10" s="148"/>
      <c r="F10" s="148"/>
      <c r="G10" s="148"/>
      <c r="H10" s="209"/>
      <c r="I10" s="190"/>
      <c r="J10" s="148"/>
      <c r="L10" s="152">
        <f>Index!L10</f>
        <v>0</v>
      </c>
      <c r="M10" s="152">
        <f>Index!M10</f>
        <v>1</v>
      </c>
      <c r="N10" s="152">
        <f>Index!N10</f>
        <v>1</v>
      </c>
      <c r="O10" s="152">
        <f>Index!O10</f>
        <v>1</v>
      </c>
      <c r="P10" s="152">
        <f>Index!P10</f>
        <v>1</v>
      </c>
      <c r="Q10" s="152">
        <f>Index!Q10</f>
        <v>1</v>
      </c>
      <c r="R10" s="152">
        <f>Index!R10</f>
        <v>1</v>
      </c>
      <c r="S10" s="152">
        <f>Index!S10</f>
        <v>2</v>
      </c>
      <c r="T10" s="152">
        <f>Index!T10</f>
        <v>2</v>
      </c>
      <c r="U10" s="152">
        <f>Index!U10</f>
        <v>2</v>
      </c>
      <c r="V10" s="152">
        <f>Index!V10</f>
        <v>2</v>
      </c>
      <c r="W10" s="152">
        <f>Index!W10</f>
        <v>2</v>
      </c>
      <c r="X10" s="152">
        <f>Index!X10</f>
        <v>2</v>
      </c>
      <c r="Y10" s="152">
        <f>Index!Y10</f>
        <v>3</v>
      </c>
      <c r="Z10" s="152">
        <f>Index!Z10</f>
        <v>3</v>
      </c>
      <c r="AA10" s="152">
        <f>Index!AA10</f>
        <v>3</v>
      </c>
      <c r="AB10" s="152">
        <f>Index!AB10</f>
        <v>3</v>
      </c>
      <c r="AC10" s="152">
        <f>Index!AC10</f>
        <v>3</v>
      </c>
      <c r="AD10" s="152">
        <f>Index!AD10</f>
        <v>3</v>
      </c>
      <c r="AE10" s="152">
        <f>Index!AE10</f>
        <v>4</v>
      </c>
      <c r="AF10" s="152">
        <f>Index!AF10</f>
        <v>4</v>
      </c>
      <c r="AG10" s="152">
        <f>Index!AG10</f>
        <v>4</v>
      </c>
      <c r="AH10" s="152">
        <f>Index!AH10</f>
        <v>4</v>
      </c>
      <c r="AI10" s="152">
        <f>Index!AI10</f>
        <v>4</v>
      </c>
      <c r="AJ10" s="152">
        <f>Index!AJ10</f>
        <v>4</v>
      </c>
      <c r="AK10" s="152">
        <f>Index!AK10</f>
        <v>5</v>
      </c>
      <c r="AL10" s="152">
        <f>Index!AL10</f>
        <v>5</v>
      </c>
      <c r="AM10" s="152">
        <f>Index!AM10</f>
        <v>5</v>
      </c>
      <c r="AN10" s="152">
        <f>Index!AN10</f>
        <v>5</v>
      </c>
      <c r="AO10" s="152">
        <f>Index!AO10</f>
        <v>5</v>
      </c>
      <c r="AP10" s="152">
        <f>Index!AP10</f>
        <v>5</v>
      </c>
      <c r="AQ10" s="152">
        <f>Index!AQ10</f>
        <v>6</v>
      </c>
      <c r="AR10" s="152">
        <f>Index!AR10</f>
        <v>6</v>
      </c>
      <c r="AS10" s="152">
        <f>Index!AS10</f>
        <v>6</v>
      </c>
      <c r="AT10" s="152">
        <f>Index!AT10</f>
        <v>6</v>
      </c>
      <c r="AU10" s="152">
        <f>Index!AU10</f>
        <v>6</v>
      </c>
      <c r="AV10" s="152">
        <f>Index!AV10</f>
        <v>6</v>
      </c>
      <c r="AW10" s="152">
        <f>Index!AW10</f>
        <v>7</v>
      </c>
      <c r="AX10" s="152">
        <f>Index!AX10</f>
        <v>7</v>
      </c>
      <c r="AY10" s="152">
        <f>Index!AY10</f>
        <v>7</v>
      </c>
      <c r="AZ10" s="152">
        <f>Index!AZ10</f>
        <v>7</v>
      </c>
      <c r="BA10" s="152">
        <f>Index!BA10</f>
        <v>7</v>
      </c>
      <c r="BB10" s="152">
        <f>Index!BB10</f>
        <v>7</v>
      </c>
      <c r="BC10" s="152">
        <f>Index!BC10</f>
        <v>8</v>
      </c>
      <c r="BD10" s="152">
        <f>Index!BD10</f>
        <v>8</v>
      </c>
      <c r="BE10" s="152">
        <f>Index!BE10</f>
        <v>8</v>
      </c>
      <c r="BF10" s="152">
        <f>Index!BF10</f>
        <v>8</v>
      </c>
      <c r="BG10" s="152">
        <f>Index!BG10</f>
        <v>8</v>
      </c>
      <c r="BH10" s="152">
        <f>Index!BH10</f>
        <v>8</v>
      </c>
      <c r="BI10" s="152">
        <f>Index!BI10</f>
        <v>9</v>
      </c>
      <c r="BJ10" s="152">
        <f>Index!BJ10</f>
        <v>9</v>
      </c>
      <c r="BK10" s="152">
        <f>Index!BK10</f>
        <v>9</v>
      </c>
      <c r="BL10" s="152">
        <f>Index!BL10</f>
        <v>9</v>
      </c>
      <c r="BM10" s="152">
        <f>Index!BM10</f>
        <v>9</v>
      </c>
      <c r="BN10" s="152">
        <f>Index!BN10</f>
        <v>9</v>
      </c>
      <c r="BO10" s="152">
        <f>Index!BO10</f>
        <v>10</v>
      </c>
      <c r="BP10" s="152">
        <f>Index!BP10</f>
        <v>10</v>
      </c>
      <c r="BQ10" s="152">
        <f>Index!BQ10</f>
        <v>10</v>
      </c>
      <c r="BR10" s="152">
        <f>Index!BR10</f>
        <v>10</v>
      </c>
      <c r="BS10" s="152">
        <f>Index!BS10</f>
        <v>10</v>
      </c>
      <c r="BT10" s="152">
        <f>Index!BT10</f>
        <v>10</v>
      </c>
      <c r="BU10" s="152">
        <f>Index!BU10</f>
        <v>11</v>
      </c>
      <c r="BV10" s="152">
        <f>Index!BV10</f>
        <v>11</v>
      </c>
      <c r="BW10" s="152">
        <f>Index!BW10</f>
        <v>11</v>
      </c>
      <c r="BX10" s="152">
        <f>Index!BX10</f>
        <v>11</v>
      </c>
      <c r="BY10" s="152">
        <f>Index!BY10</f>
        <v>11</v>
      </c>
      <c r="BZ10" s="152">
        <f>Index!BZ10</f>
        <v>11</v>
      </c>
      <c r="CA10" s="152">
        <f>Index!CA10</f>
        <v>12</v>
      </c>
      <c r="CB10" s="152">
        <f>Index!CB10</f>
        <v>12</v>
      </c>
      <c r="CC10" s="152">
        <f>Index!CC10</f>
        <v>12</v>
      </c>
      <c r="CD10" s="152">
        <f>Index!CD10</f>
        <v>12</v>
      </c>
      <c r="CE10" s="152">
        <f>Index!CE10</f>
        <v>12</v>
      </c>
      <c r="CF10" s="152">
        <f>Index!CF10</f>
        <v>12</v>
      </c>
      <c r="CG10" s="152">
        <f>Index!CG10</f>
        <v>13</v>
      </c>
      <c r="CH10" s="152">
        <f>Index!CH10</f>
        <v>13</v>
      </c>
      <c r="CI10" s="152">
        <f>Index!CI10</f>
        <v>13</v>
      </c>
      <c r="CJ10" s="152">
        <f>Index!CJ10</f>
        <v>13</v>
      </c>
      <c r="CK10" s="152">
        <f>Index!CK10</f>
        <v>13</v>
      </c>
      <c r="CL10" s="152">
        <f>Index!CL10</f>
        <v>13</v>
      </c>
      <c r="CM10" s="152">
        <f>Index!CM10</f>
        <v>14</v>
      </c>
      <c r="CN10" s="152">
        <f>Index!CN10</f>
        <v>14</v>
      </c>
      <c r="CO10" s="152">
        <f>Index!CO10</f>
        <v>14</v>
      </c>
      <c r="CP10" s="152">
        <f>Index!CP10</f>
        <v>14</v>
      </c>
      <c r="CQ10" s="152">
        <f>Index!CQ10</f>
        <v>14</v>
      </c>
      <c r="CR10" s="152">
        <f>Index!CR10</f>
        <v>14</v>
      </c>
      <c r="CS10" s="152">
        <f>Index!CS10</f>
        <v>15</v>
      </c>
      <c r="CT10" s="152">
        <f>Index!CT10</f>
        <v>15</v>
      </c>
      <c r="CU10" s="152">
        <f>Index!CU10</f>
        <v>15</v>
      </c>
      <c r="CV10" s="152">
        <f>Index!CV10</f>
        <v>15</v>
      </c>
      <c r="CW10" s="152">
        <f>Index!CW10</f>
        <v>15</v>
      </c>
      <c r="CX10" s="152">
        <f>Index!CX10</f>
        <v>15</v>
      </c>
      <c r="CY10" s="152">
        <f>Index!CY10</f>
        <v>16</v>
      </c>
      <c r="CZ10" s="152">
        <f>Index!CZ10</f>
        <v>16</v>
      </c>
      <c r="DA10" s="152">
        <f>Index!DA10</f>
        <v>16</v>
      </c>
      <c r="DB10" s="152">
        <f>Index!DB10</f>
        <v>16</v>
      </c>
      <c r="DC10" s="152">
        <f>Index!DC10</f>
        <v>16</v>
      </c>
      <c r="DD10" s="152">
        <f>Index!DD10</f>
        <v>16</v>
      </c>
      <c r="DE10" s="152">
        <f>Index!DE10</f>
        <v>17</v>
      </c>
      <c r="DF10" s="152">
        <f>Index!DF10</f>
        <v>17</v>
      </c>
      <c r="DG10" s="152">
        <f>Index!DG10</f>
        <v>17</v>
      </c>
      <c r="DH10" s="152">
        <f>Index!DH10</f>
        <v>17</v>
      </c>
      <c r="DI10" s="152">
        <f>Index!DI10</f>
        <v>17</v>
      </c>
      <c r="DJ10" s="152">
        <f>Index!DJ10</f>
        <v>17</v>
      </c>
      <c r="DK10" s="152">
        <f>Index!DK10</f>
        <v>18</v>
      </c>
      <c r="DL10" s="152">
        <f>Index!DL10</f>
        <v>18</v>
      </c>
      <c r="DM10" s="152">
        <f>Index!DM10</f>
        <v>18</v>
      </c>
      <c r="DN10" s="152">
        <f>Index!DN10</f>
        <v>18</v>
      </c>
      <c r="DO10" s="152">
        <f>Index!DO10</f>
        <v>18</v>
      </c>
      <c r="DP10" s="152">
        <f>Index!DP10</f>
        <v>18</v>
      </c>
      <c r="DQ10" s="152">
        <f>Index!DQ10</f>
        <v>19</v>
      </c>
      <c r="DR10" s="152">
        <f>Index!DR10</f>
        <v>19</v>
      </c>
      <c r="DS10" s="152">
        <f>Index!DS10</f>
        <v>19</v>
      </c>
      <c r="DT10" s="152">
        <f>Index!DT10</f>
        <v>19</v>
      </c>
      <c r="DU10" s="152">
        <f>Index!DU10</f>
        <v>19</v>
      </c>
      <c r="DV10" s="152">
        <f>Index!DV10</f>
        <v>19</v>
      </c>
      <c r="DW10" s="152">
        <f>Index!DW10</f>
        <v>20</v>
      </c>
      <c r="DX10" s="152">
        <f>Index!DX10</f>
        <v>20</v>
      </c>
      <c r="DY10" s="152">
        <f>Index!DY10</f>
        <v>20</v>
      </c>
      <c r="DZ10" s="152">
        <f>Index!DZ10</f>
        <v>20</v>
      </c>
      <c r="EA10" s="152">
        <f>Index!EA10</f>
        <v>20</v>
      </c>
      <c r="EB10" s="152">
        <f>Index!EB10</f>
        <v>20</v>
      </c>
      <c r="EC10" s="152">
        <f>Index!EC10</f>
        <v>21</v>
      </c>
      <c r="ED10" s="152">
        <f>Index!ED10</f>
        <v>21</v>
      </c>
      <c r="EE10" s="152">
        <f>Index!EE10</f>
        <v>21</v>
      </c>
      <c r="EF10" s="152">
        <f>Index!EF10</f>
        <v>21</v>
      </c>
      <c r="EG10" s="152">
        <f>Index!EG10</f>
        <v>21</v>
      </c>
      <c r="EH10" s="152">
        <f>Index!EH10</f>
        <v>21</v>
      </c>
      <c r="EI10" s="152">
        <f>Index!EI10</f>
        <v>22</v>
      </c>
      <c r="EJ10" s="152">
        <f>Index!EJ10</f>
        <v>22</v>
      </c>
      <c r="EK10" s="152">
        <f>Index!EK10</f>
        <v>22</v>
      </c>
      <c r="EL10" s="152">
        <f>Index!EL10</f>
        <v>22</v>
      </c>
      <c r="EM10" s="152">
        <f>Index!EM10</f>
        <v>22</v>
      </c>
      <c r="EN10" s="152">
        <f>Index!EN10</f>
        <v>22</v>
      </c>
      <c r="EO10" s="152">
        <f>Index!EO10</f>
        <v>23</v>
      </c>
      <c r="EP10" s="152">
        <f>Index!EP10</f>
        <v>23</v>
      </c>
      <c r="EQ10" s="152">
        <f>Index!EQ10</f>
        <v>23</v>
      </c>
    </row>
    <row r="11" spans="1:151" ht="13.35" customHeight="1">
      <c r="B11" s="189" t="s">
        <v>156</v>
      </c>
      <c r="C11" s="148"/>
      <c r="D11" s="148"/>
      <c r="E11" s="148"/>
      <c r="F11" s="148"/>
      <c r="G11" s="148"/>
      <c r="H11" s="209"/>
      <c r="I11" s="190"/>
      <c r="J11" s="148"/>
      <c r="L11" s="153">
        <f>Index!L11</f>
        <v>0</v>
      </c>
      <c r="M11" s="153">
        <f>Index!M11</f>
        <v>1</v>
      </c>
      <c r="N11" s="153">
        <f>Index!N11</f>
        <v>1</v>
      </c>
      <c r="O11" s="153">
        <f>Index!O11</f>
        <v>1</v>
      </c>
      <c r="P11" s="153">
        <f>Index!P11</f>
        <v>1</v>
      </c>
      <c r="Q11" s="153">
        <f>Index!Q11</f>
        <v>1</v>
      </c>
      <c r="R11" s="153">
        <f>Index!R11</f>
        <v>1</v>
      </c>
      <c r="S11" s="153">
        <f>Index!S11</f>
        <v>1</v>
      </c>
      <c r="T11" s="153">
        <f>Index!T11</f>
        <v>1</v>
      </c>
      <c r="U11" s="153">
        <f>Index!U11</f>
        <v>1</v>
      </c>
      <c r="V11" s="153">
        <f>Index!V11</f>
        <v>1</v>
      </c>
      <c r="W11" s="153">
        <f>Index!W11</f>
        <v>1</v>
      </c>
      <c r="X11" s="153">
        <f>Index!X11</f>
        <v>1</v>
      </c>
      <c r="Y11" s="153">
        <f>Index!Y11</f>
        <v>2</v>
      </c>
      <c r="Z11" s="153">
        <f>Index!Z11</f>
        <v>2</v>
      </c>
      <c r="AA11" s="153">
        <f>Index!AA11</f>
        <v>2</v>
      </c>
      <c r="AB11" s="153">
        <f>Index!AB11</f>
        <v>2</v>
      </c>
      <c r="AC11" s="153">
        <f>Index!AC11</f>
        <v>2</v>
      </c>
      <c r="AD11" s="153">
        <f>Index!AD11</f>
        <v>2</v>
      </c>
      <c r="AE11" s="153">
        <f>Index!AE11</f>
        <v>2</v>
      </c>
      <c r="AF11" s="153">
        <f>Index!AF11</f>
        <v>2</v>
      </c>
      <c r="AG11" s="153">
        <f>Index!AG11</f>
        <v>2</v>
      </c>
      <c r="AH11" s="153">
        <f>Index!AH11</f>
        <v>2</v>
      </c>
      <c r="AI11" s="153">
        <f>Index!AI11</f>
        <v>2</v>
      </c>
      <c r="AJ11" s="153">
        <f>Index!AJ11</f>
        <v>2</v>
      </c>
      <c r="AK11" s="153">
        <f>Index!AK11</f>
        <v>3</v>
      </c>
      <c r="AL11" s="153">
        <f>Index!AL11</f>
        <v>3</v>
      </c>
      <c r="AM11" s="153">
        <f>Index!AM11</f>
        <v>3</v>
      </c>
      <c r="AN11" s="153">
        <f>Index!AN11</f>
        <v>3</v>
      </c>
      <c r="AO11" s="153">
        <f>Index!AO11</f>
        <v>3</v>
      </c>
      <c r="AP11" s="153">
        <f>Index!AP11</f>
        <v>3</v>
      </c>
      <c r="AQ11" s="153">
        <f>Index!AQ11</f>
        <v>3</v>
      </c>
      <c r="AR11" s="153">
        <f>Index!AR11</f>
        <v>3</v>
      </c>
      <c r="AS11" s="153">
        <f>Index!AS11</f>
        <v>3</v>
      </c>
      <c r="AT11" s="153">
        <f>Index!AT11</f>
        <v>3</v>
      </c>
      <c r="AU11" s="153">
        <f>Index!AU11</f>
        <v>3</v>
      </c>
      <c r="AV11" s="153">
        <f>Index!AV11</f>
        <v>3</v>
      </c>
      <c r="AW11" s="153">
        <f>Index!AW11</f>
        <v>4</v>
      </c>
      <c r="AX11" s="153">
        <f>Index!AX11</f>
        <v>4</v>
      </c>
      <c r="AY11" s="153">
        <f>Index!AY11</f>
        <v>4</v>
      </c>
      <c r="AZ11" s="153">
        <f>Index!AZ11</f>
        <v>4</v>
      </c>
      <c r="BA11" s="153">
        <f>Index!BA11</f>
        <v>4</v>
      </c>
      <c r="BB11" s="153">
        <f>Index!BB11</f>
        <v>4</v>
      </c>
      <c r="BC11" s="153">
        <f>Index!BC11</f>
        <v>4</v>
      </c>
      <c r="BD11" s="153">
        <f>Index!BD11</f>
        <v>4</v>
      </c>
      <c r="BE11" s="153">
        <f>Index!BE11</f>
        <v>4</v>
      </c>
      <c r="BF11" s="153">
        <f>Index!BF11</f>
        <v>4</v>
      </c>
      <c r="BG11" s="153">
        <f>Index!BG11</f>
        <v>4</v>
      </c>
      <c r="BH11" s="153">
        <f>Index!BH11</f>
        <v>4</v>
      </c>
      <c r="BI11" s="153">
        <f>Index!BI11</f>
        <v>5</v>
      </c>
      <c r="BJ11" s="153">
        <f>Index!BJ11</f>
        <v>5</v>
      </c>
      <c r="BK11" s="153">
        <f>Index!BK11</f>
        <v>5</v>
      </c>
      <c r="BL11" s="153">
        <f>Index!BL11</f>
        <v>5</v>
      </c>
      <c r="BM11" s="153">
        <f>Index!BM11</f>
        <v>5</v>
      </c>
      <c r="BN11" s="153">
        <f>Index!BN11</f>
        <v>5</v>
      </c>
      <c r="BO11" s="153">
        <f>Index!BO11</f>
        <v>5</v>
      </c>
      <c r="BP11" s="153">
        <f>Index!BP11</f>
        <v>5</v>
      </c>
      <c r="BQ11" s="153">
        <f>Index!BQ11</f>
        <v>5</v>
      </c>
      <c r="BR11" s="153">
        <f>Index!BR11</f>
        <v>5</v>
      </c>
      <c r="BS11" s="153">
        <f>Index!BS11</f>
        <v>5</v>
      </c>
      <c r="BT11" s="153">
        <f>Index!BT11</f>
        <v>5</v>
      </c>
      <c r="BU11" s="153">
        <f>Index!BU11</f>
        <v>6</v>
      </c>
      <c r="BV11" s="153">
        <f>Index!BV11</f>
        <v>6</v>
      </c>
      <c r="BW11" s="153">
        <f>Index!BW11</f>
        <v>6</v>
      </c>
      <c r="BX11" s="153">
        <f>Index!BX11</f>
        <v>6</v>
      </c>
      <c r="BY11" s="153">
        <f>Index!BY11</f>
        <v>6</v>
      </c>
      <c r="BZ11" s="153">
        <f>Index!BZ11</f>
        <v>6</v>
      </c>
      <c r="CA11" s="153">
        <f>Index!CA11</f>
        <v>6</v>
      </c>
      <c r="CB11" s="153">
        <f>Index!CB11</f>
        <v>6</v>
      </c>
      <c r="CC11" s="153">
        <f>Index!CC11</f>
        <v>6</v>
      </c>
      <c r="CD11" s="153">
        <f>Index!CD11</f>
        <v>6</v>
      </c>
      <c r="CE11" s="153">
        <f>Index!CE11</f>
        <v>6</v>
      </c>
      <c r="CF11" s="153">
        <f>Index!CF11</f>
        <v>6</v>
      </c>
      <c r="CG11" s="153">
        <f>Index!CG11</f>
        <v>7</v>
      </c>
      <c r="CH11" s="153">
        <f>Index!CH11</f>
        <v>7</v>
      </c>
      <c r="CI11" s="153">
        <f>Index!CI11</f>
        <v>7</v>
      </c>
      <c r="CJ11" s="153">
        <f>Index!CJ11</f>
        <v>7</v>
      </c>
      <c r="CK11" s="153">
        <f>Index!CK11</f>
        <v>7</v>
      </c>
      <c r="CL11" s="153">
        <f>Index!CL11</f>
        <v>7</v>
      </c>
      <c r="CM11" s="153">
        <f>Index!CM11</f>
        <v>7</v>
      </c>
      <c r="CN11" s="153">
        <f>Index!CN11</f>
        <v>7</v>
      </c>
      <c r="CO11" s="153">
        <f>Index!CO11</f>
        <v>7</v>
      </c>
      <c r="CP11" s="153">
        <f>Index!CP11</f>
        <v>7</v>
      </c>
      <c r="CQ11" s="153">
        <f>Index!CQ11</f>
        <v>7</v>
      </c>
      <c r="CR11" s="153">
        <f>Index!CR11</f>
        <v>7</v>
      </c>
      <c r="CS11" s="153">
        <f>Index!CS11</f>
        <v>8</v>
      </c>
      <c r="CT11" s="153">
        <f>Index!CT11</f>
        <v>8</v>
      </c>
      <c r="CU11" s="153">
        <f>Index!CU11</f>
        <v>8</v>
      </c>
      <c r="CV11" s="153">
        <f>Index!CV11</f>
        <v>8</v>
      </c>
      <c r="CW11" s="153">
        <f>Index!CW11</f>
        <v>8</v>
      </c>
      <c r="CX11" s="153">
        <f>Index!CX11</f>
        <v>8</v>
      </c>
      <c r="CY11" s="153">
        <f>Index!CY11</f>
        <v>8</v>
      </c>
      <c r="CZ11" s="153">
        <f>Index!CZ11</f>
        <v>8</v>
      </c>
      <c r="DA11" s="153">
        <f>Index!DA11</f>
        <v>8</v>
      </c>
      <c r="DB11" s="153">
        <f>Index!DB11</f>
        <v>8</v>
      </c>
      <c r="DC11" s="153">
        <f>Index!DC11</f>
        <v>8</v>
      </c>
      <c r="DD11" s="153">
        <f>Index!DD11</f>
        <v>8</v>
      </c>
      <c r="DE11" s="153">
        <f>Index!DE11</f>
        <v>9</v>
      </c>
      <c r="DF11" s="153">
        <f>Index!DF11</f>
        <v>9</v>
      </c>
      <c r="DG11" s="153">
        <f>Index!DG11</f>
        <v>9</v>
      </c>
      <c r="DH11" s="153">
        <f>Index!DH11</f>
        <v>9</v>
      </c>
      <c r="DI11" s="153">
        <f>Index!DI11</f>
        <v>9</v>
      </c>
      <c r="DJ11" s="153">
        <f>Index!DJ11</f>
        <v>9</v>
      </c>
      <c r="DK11" s="153">
        <f>Index!DK11</f>
        <v>9</v>
      </c>
      <c r="DL11" s="153">
        <f>Index!DL11</f>
        <v>9</v>
      </c>
      <c r="DM11" s="153">
        <f>Index!DM11</f>
        <v>9</v>
      </c>
      <c r="DN11" s="153">
        <f>Index!DN11</f>
        <v>9</v>
      </c>
      <c r="DO11" s="153">
        <f>Index!DO11</f>
        <v>9</v>
      </c>
      <c r="DP11" s="153">
        <f>Index!DP11</f>
        <v>9</v>
      </c>
      <c r="DQ11" s="153">
        <f>Index!DQ11</f>
        <v>10</v>
      </c>
      <c r="DR11" s="153">
        <f>Index!DR11</f>
        <v>10</v>
      </c>
      <c r="DS11" s="153">
        <f>Index!DS11</f>
        <v>10</v>
      </c>
      <c r="DT11" s="153">
        <f>Index!DT11</f>
        <v>10</v>
      </c>
      <c r="DU11" s="153">
        <f>Index!DU11</f>
        <v>10</v>
      </c>
      <c r="DV11" s="153">
        <f>Index!DV11</f>
        <v>10</v>
      </c>
      <c r="DW11" s="153">
        <f>Index!DW11</f>
        <v>10</v>
      </c>
      <c r="DX11" s="153">
        <f>Index!DX11</f>
        <v>10</v>
      </c>
      <c r="DY11" s="153">
        <f>Index!DY11</f>
        <v>10</v>
      </c>
      <c r="DZ11" s="153">
        <f>Index!DZ11</f>
        <v>10</v>
      </c>
      <c r="EA11" s="153">
        <f>Index!EA11</f>
        <v>10</v>
      </c>
      <c r="EB11" s="153">
        <f>Index!EB11</f>
        <v>10</v>
      </c>
      <c r="EC11" s="153">
        <f>Index!EC11</f>
        <v>11</v>
      </c>
      <c r="ED11" s="153">
        <f>Index!ED11</f>
        <v>11</v>
      </c>
      <c r="EE11" s="153">
        <f>Index!EE11</f>
        <v>11</v>
      </c>
      <c r="EF11" s="153">
        <f>Index!EF11</f>
        <v>11</v>
      </c>
      <c r="EG11" s="153">
        <f>Index!EG11</f>
        <v>11</v>
      </c>
      <c r="EH11" s="153">
        <f>Index!EH11</f>
        <v>11</v>
      </c>
      <c r="EI11" s="153">
        <f>Index!EI11</f>
        <v>11</v>
      </c>
      <c r="EJ11" s="153">
        <f>Index!EJ11</f>
        <v>11</v>
      </c>
      <c r="EK11" s="153">
        <f>Index!EK11</f>
        <v>11</v>
      </c>
      <c r="EL11" s="153">
        <f>Index!EL11</f>
        <v>11</v>
      </c>
      <c r="EM11" s="153">
        <f>Index!EM11</f>
        <v>11</v>
      </c>
      <c r="EN11" s="153">
        <f>Index!EN11</f>
        <v>11</v>
      </c>
      <c r="EO11" s="153">
        <f>Index!EO11</f>
        <v>12</v>
      </c>
      <c r="EP11" s="153">
        <f>Index!EP11</f>
        <v>12</v>
      </c>
      <c r="EQ11" s="153">
        <f>Index!EQ11</f>
        <v>12</v>
      </c>
    </row>
    <row r="12" spans="1:151" ht="13.35" customHeight="1">
      <c r="C12" s="154"/>
      <c r="H12" s="146"/>
      <c r="I12" s="13"/>
    </row>
    <row r="13" spans="1:151" ht="13.35" customHeight="1">
      <c r="B13" s="155" t="s">
        <v>600</v>
      </c>
      <c r="C13" s="155"/>
      <c r="D13" s="155"/>
      <c r="E13" s="155"/>
      <c r="F13" s="155"/>
      <c r="G13" s="155"/>
      <c r="H13" s="191"/>
      <c r="I13" s="192">
        <f>'BS(M)'!K20*2.2%*'A&amp;R'!R41</f>
        <v>1543919.0283400812</v>
      </c>
      <c r="J13" s="156" t="s">
        <v>59</v>
      </c>
      <c r="L13" s="210">
        <f t="shared" ref="L13:BW13" si="0">L5</f>
        <v>46326</v>
      </c>
      <c r="M13" s="210">
        <f t="shared" si="0"/>
        <v>46356</v>
      </c>
      <c r="N13" s="210">
        <f t="shared" si="0"/>
        <v>46387</v>
      </c>
      <c r="O13" s="210">
        <f t="shared" si="0"/>
        <v>46418</v>
      </c>
      <c r="P13" s="210">
        <f t="shared" si="0"/>
        <v>46446</v>
      </c>
      <c r="Q13" s="210">
        <f t="shared" si="0"/>
        <v>46477</v>
      </c>
      <c r="R13" s="210">
        <f t="shared" si="0"/>
        <v>46507</v>
      </c>
      <c r="S13" s="210">
        <f t="shared" si="0"/>
        <v>46538</v>
      </c>
      <c r="T13" s="210">
        <f t="shared" si="0"/>
        <v>46568</v>
      </c>
      <c r="U13" s="210">
        <f t="shared" si="0"/>
        <v>46599</v>
      </c>
      <c r="V13" s="210">
        <f t="shared" si="0"/>
        <v>46630</v>
      </c>
      <c r="W13" s="210">
        <f t="shared" si="0"/>
        <v>46660</v>
      </c>
      <c r="X13" s="210">
        <f t="shared" si="0"/>
        <v>46691</v>
      </c>
      <c r="Y13" s="210">
        <f t="shared" si="0"/>
        <v>46721</v>
      </c>
      <c r="Z13" s="210">
        <f t="shared" si="0"/>
        <v>46752</v>
      </c>
      <c r="AA13" s="210">
        <f t="shared" si="0"/>
        <v>46783</v>
      </c>
      <c r="AB13" s="210">
        <f t="shared" si="0"/>
        <v>46812</v>
      </c>
      <c r="AC13" s="210">
        <f t="shared" si="0"/>
        <v>46843</v>
      </c>
      <c r="AD13" s="210">
        <f t="shared" si="0"/>
        <v>46873</v>
      </c>
      <c r="AE13" s="210">
        <f t="shared" si="0"/>
        <v>46904</v>
      </c>
      <c r="AF13" s="210">
        <f t="shared" si="0"/>
        <v>46934</v>
      </c>
      <c r="AG13" s="210">
        <f t="shared" si="0"/>
        <v>46965</v>
      </c>
      <c r="AH13" s="210">
        <f t="shared" si="0"/>
        <v>46996</v>
      </c>
      <c r="AI13" s="210">
        <f t="shared" si="0"/>
        <v>47026</v>
      </c>
      <c r="AJ13" s="210">
        <f t="shared" si="0"/>
        <v>47057</v>
      </c>
      <c r="AK13" s="210">
        <f t="shared" si="0"/>
        <v>47087</v>
      </c>
      <c r="AL13" s="210">
        <f t="shared" si="0"/>
        <v>47118</v>
      </c>
      <c r="AM13" s="210">
        <f t="shared" si="0"/>
        <v>47149</v>
      </c>
      <c r="AN13" s="210">
        <f t="shared" si="0"/>
        <v>47177</v>
      </c>
      <c r="AO13" s="210">
        <f t="shared" si="0"/>
        <v>47208</v>
      </c>
      <c r="AP13" s="210">
        <f t="shared" si="0"/>
        <v>47238</v>
      </c>
      <c r="AQ13" s="210">
        <f t="shared" si="0"/>
        <v>47269</v>
      </c>
      <c r="AR13" s="210">
        <f t="shared" si="0"/>
        <v>47299</v>
      </c>
      <c r="AS13" s="210">
        <f t="shared" si="0"/>
        <v>47330</v>
      </c>
      <c r="AT13" s="210">
        <f t="shared" si="0"/>
        <v>47361</v>
      </c>
      <c r="AU13" s="210">
        <f t="shared" si="0"/>
        <v>47391</v>
      </c>
      <c r="AV13" s="210">
        <f t="shared" si="0"/>
        <v>47422</v>
      </c>
      <c r="AW13" s="210">
        <f t="shared" si="0"/>
        <v>47452</v>
      </c>
      <c r="AX13" s="210">
        <f t="shared" si="0"/>
        <v>47483</v>
      </c>
      <c r="AY13" s="210">
        <f t="shared" si="0"/>
        <v>47514</v>
      </c>
      <c r="AZ13" s="210">
        <f t="shared" si="0"/>
        <v>47542</v>
      </c>
      <c r="BA13" s="210">
        <f t="shared" si="0"/>
        <v>47573</v>
      </c>
      <c r="BB13" s="210">
        <f t="shared" si="0"/>
        <v>47603</v>
      </c>
      <c r="BC13" s="210">
        <f t="shared" si="0"/>
        <v>47634</v>
      </c>
      <c r="BD13" s="210">
        <f t="shared" si="0"/>
        <v>47664</v>
      </c>
      <c r="BE13" s="210">
        <f t="shared" si="0"/>
        <v>47695</v>
      </c>
      <c r="BF13" s="210">
        <f t="shared" si="0"/>
        <v>47726</v>
      </c>
      <c r="BG13" s="210">
        <f t="shared" si="0"/>
        <v>47756</v>
      </c>
      <c r="BH13" s="210">
        <f t="shared" si="0"/>
        <v>47787</v>
      </c>
      <c r="BI13" s="210">
        <f t="shared" si="0"/>
        <v>47817</v>
      </c>
      <c r="BJ13" s="210">
        <f t="shared" si="0"/>
        <v>47848</v>
      </c>
      <c r="BK13" s="210">
        <f t="shared" si="0"/>
        <v>47879</v>
      </c>
      <c r="BL13" s="210">
        <f t="shared" si="0"/>
        <v>47907</v>
      </c>
      <c r="BM13" s="210">
        <f t="shared" si="0"/>
        <v>47938</v>
      </c>
      <c r="BN13" s="210">
        <f t="shared" si="0"/>
        <v>47968</v>
      </c>
      <c r="BO13" s="210">
        <f t="shared" si="0"/>
        <v>47999</v>
      </c>
      <c r="BP13" s="210">
        <f t="shared" si="0"/>
        <v>48029</v>
      </c>
      <c r="BQ13" s="210">
        <f t="shared" si="0"/>
        <v>48060</v>
      </c>
      <c r="BR13" s="210">
        <f t="shared" si="0"/>
        <v>48091</v>
      </c>
      <c r="BS13" s="210">
        <f t="shared" si="0"/>
        <v>48121</v>
      </c>
      <c r="BT13" s="210">
        <f t="shared" si="0"/>
        <v>48152</v>
      </c>
      <c r="BU13" s="210">
        <f t="shared" si="0"/>
        <v>48182</v>
      </c>
      <c r="BV13" s="210">
        <f t="shared" si="0"/>
        <v>48213</v>
      </c>
      <c r="BW13" s="210">
        <f t="shared" si="0"/>
        <v>48244</v>
      </c>
      <c r="BX13" s="210">
        <f t="shared" ref="BX13:DS13" si="1">BX5</f>
        <v>48273</v>
      </c>
      <c r="BY13" s="210">
        <f t="shared" si="1"/>
        <v>48304</v>
      </c>
      <c r="BZ13" s="210">
        <f t="shared" si="1"/>
        <v>48334</v>
      </c>
      <c r="CA13" s="210">
        <f t="shared" si="1"/>
        <v>48365</v>
      </c>
      <c r="CB13" s="210">
        <f t="shared" si="1"/>
        <v>48395</v>
      </c>
      <c r="CC13" s="210">
        <f t="shared" si="1"/>
        <v>48426</v>
      </c>
      <c r="CD13" s="210">
        <f t="shared" si="1"/>
        <v>48457</v>
      </c>
      <c r="CE13" s="210">
        <f t="shared" si="1"/>
        <v>48487</v>
      </c>
      <c r="CF13" s="210">
        <f t="shared" si="1"/>
        <v>48518</v>
      </c>
      <c r="CG13" s="210">
        <f t="shared" si="1"/>
        <v>48548</v>
      </c>
      <c r="CH13" s="210">
        <f t="shared" si="1"/>
        <v>48579</v>
      </c>
      <c r="CI13" s="210">
        <f t="shared" si="1"/>
        <v>48610</v>
      </c>
      <c r="CJ13" s="210">
        <f t="shared" si="1"/>
        <v>48638</v>
      </c>
      <c r="CK13" s="210">
        <f t="shared" si="1"/>
        <v>48669</v>
      </c>
      <c r="CL13" s="210">
        <f t="shared" si="1"/>
        <v>48699</v>
      </c>
      <c r="CM13" s="210">
        <f t="shared" si="1"/>
        <v>48730</v>
      </c>
      <c r="CN13" s="210">
        <f t="shared" si="1"/>
        <v>48760</v>
      </c>
      <c r="CO13" s="210">
        <f t="shared" si="1"/>
        <v>48791</v>
      </c>
      <c r="CP13" s="210">
        <f t="shared" si="1"/>
        <v>48822</v>
      </c>
      <c r="CQ13" s="210">
        <f t="shared" si="1"/>
        <v>48852</v>
      </c>
      <c r="CR13" s="210">
        <f t="shared" si="1"/>
        <v>48883</v>
      </c>
      <c r="CS13" s="210">
        <f t="shared" si="1"/>
        <v>48913</v>
      </c>
      <c r="CT13" s="210">
        <f t="shared" si="1"/>
        <v>48944</v>
      </c>
      <c r="CU13" s="210">
        <f t="shared" si="1"/>
        <v>48975</v>
      </c>
      <c r="CV13" s="210">
        <f t="shared" si="1"/>
        <v>49003</v>
      </c>
      <c r="CW13" s="210">
        <f t="shared" si="1"/>
        <v>49034</v>
      </c>
      <c r="CX13" s="210">
        <f t="shared" si="1"/>
        <v>49064</v>
      </c>
      <c r="CY13" s="210">
        <f t="shared" si="1"/>
        <v>49095</v>
      </c>
      <c r="CZ13" s="210">
        <f t="shared" si="1"/>
        <v>49125</v>
      </c>
      <c r="DA13" s="210">
        <f t="shared" si="1"/>
        <v>49156</v>
      </c>
      <c r="DB13" s="210">
        <f t="shared" si="1"/>
        <v>49187</v>
      </c>
      <c r="DC13" s="210">
        <f t="shared" si="1"/>
        <v>49217</v>
      </c>
      <c r="DD13" s="210">
        <f t="shared" si="1"/>
        <v>49248</v>
      </c>
      <c r="DE13" s="210">
        <f t="shared" si="1"/>
        <v>49278</v>
      </c>
      <c r="DF13" s="210">
        <f t="shared" si="1"/>
        <v>49309</v>
      </c>
      <c r="DG13" s="210">
        <f t="shared" si="1"/>
        <v>49340</v>
      </c>
      <c r="DH13" s="210">
        <f t="shared" si="1"/>
        <v>49368</v>
      </c>
      <c r="DI13" s="210">
        <f t="shared" si="1"/>
        <v>49399</v>
      </c>
      <c r="DJ13" s="210">
        <f t="shared" si="1"/>
        <v>49429</v>
      </c>
      <c r="DK13" s="210">
        <f t="shared" si="1"/>
        <v>49460</v>
      </c>
      <c r="DL13" s="210">
        <f t="shared" si="1"/>
        <v>49490</v>
      </c>
      <c r="DM13" s="210">
        <f t="shared" si="1"/>
        <v>49521</v>
      </c>
      <c r="DN13" s="210">
        <f t="shared" si="1"/>
        <v>49552</v>
      </c>
      <c r="DO13" s="210">
        <f t="shared" si="1"/>
        <v>49582</v>
      </c>
      <c r="DP13" s="210">
        <f t="shared" si="1"/>
        <v>49613</v>
      </c>
      <c r="DQ13" s="210">
        <f t="shared" si="1"/>
        <v>49643</v>
      </c>
      <c r="DR13" s="210">
        <f t="shared" si="1"/>
        <v>49674</v>
      </c>
      <c r="DS13" s="210">
        <f t="shared" si="1"/>
        <v>49705</v>
      </c>
      <c r="DT13" s="210">
        <f t="shared" ref="DT13:EM13" si="2">DT5</f>
        <v>49734</v>
      </c>
      <c r="DU13" s="210">
        <f t="shared" si="2"/>
        <v>49765</v>
      </c>
      <c r="DV13" s="210">
        <f t="shared" si="2"/>
        <v>49795</v>
      </c>
      <c r="DW13" s="210">
        <f t="shared" si="2"/>
        <v>49826</v>
      </c>
      <c r="DX13" s="210">
        <f t="shared" si="2"/>
        <v>49856</v>
      </c>
      <c r="DY13" s="210">
        <f t="shared" si="2"/>
        <v>49887</v>
      </c>
      <c r="DZ13" s="210">
        <f t="shared" si="2"/>
        <v>49918</v>
      </c>
      <c r="EA13" s="210">
        <f t="shared" si="2"/>
        <v>49948</v>
      </c>
      <c r="EB13" s="210">
        <f t="shared" si="2"/>
        <v>49979</v>
      </c>
      <c r="EC13" s="210">
        <f t="shared" si="2"/>
        <v>50009</v>
      </c>
      <c r="ED13" s="210">
        <f t="shared" si="2"/>
        <v>50040</v>
      </c>
      <c r="EE13" s="210">
        <f t="shared" si="2"/>
        <v>50071</v>
      </c>
      <c r="EF13" s="210">
        <f t="shared" si="2"/>
        <v>50099</v>
      </c>
      <c r="EG13" s="210">
        <f t="shared" si="2"/>
        <v>50130</v>
      </c>
      <c r="EH13" s="210">
        <f t="shared" si="2"/>
        <v>50160</v>
      </c>
      <c r="EI13" s="210">
        <f t="shared" si="2"/>
        <v>50191</v>
      </c>
      <c r="EJ13" s="210">
        <f t="shared" si="2"/>
        <v>50221</v>
      </c>
      <c r="EK13" s="210">
        <f t="shared" si="2"/>
        <v>50252</v>
      </c>
      <c r="EL13" s="210">
        <f t="shared" si="2"/>
        <v>50283</v>
      </c>
      <c r="EM13" s="210">
        <f t="shared" si="2"/>
        <v>50313</v>
      </c>
      <c r="EN13" s="210">
        <f>EN5</f>
        <v>50344</v>
      </c>
      <c r="EO13" s="210">
        <f>EO5</f>
        <v>50374</v>
      </c>
      <c r="EP13" s="210">
        <f>EP5</f>
        <v>50405</v>
      </c>
      <c r="EQ13" s="210">
        <f>EQ5</f>
        <v>50436</v>
      </c>
    </row>
    <row r="14" spans="1:151" ht="13.35" customHeight="1">
      <c r="B14" s="218"/>
      <c r="C14" s="158" t="s">
        <v>1081</v>
      </c>
      <c r="D14" s="159"/>
      <c r="E14" s="159"/>
      <c r="F14" s="159"/>
      <c r="G14" s="159"/>
      <c r="H14" s="160" t="s">
        <v>1039</v>
      </c>
      <c r="I14" s="1682">
        <f>간주취득세!G105*1000*1</f>
        <v>240036.61327231114</v>
      </c>
      <c r="J14" s="220">
        <f ca="1">SUM(J15:J18)</f>
        <v>12719926.773455391</v>
      </c>
      <c r="K14" s="98"/>
      <c r="L14" s="162">
        <f ca="1">SUM(L15:L18)</f>
        <v>0</v>
      </c>
      <c r="M14" s="162">
        <f t="shared" ref="M14:BX14" ca="1" si="3">SUM(M15:M18)</f>
        <v>0</v>
      </c>
      <c r="N14" s="162">
        <f t="shared" ca="1" si="3"/>
        <v>0</v>
      </c>
      <c r="O14" s="162">
        <f t="shared" ca="1" si="3"/>
        <v>0</v>
      </c>
      <c r="P14" s="162">
        <f t="shared" ca="1" si="3"/>
        <v>0</v>
      </c>
      <c r="Q14" s="162">
        <f t="shared" ca="1" si="3"/>
        <v>0</v>
      </c>
      <c r="R14" s="162">
        <f t="shared" ca="1" si="3"/>
        <v>0</v>
      </c>
      <c r="S14" s="162">
        <f t="shared" ca="1" si="3"/>
        <v>0</v>
      </c>
      <c r="T14" s="162">
        <f t="shared" ca="1" si="3"/>
        <v>0</v>
      </c>
      <c r="U14" s="162">
        <f t="shared" ca="1" si="3"/>
        <v>0</v>
      </c>
      <c r="V14" s="162">
        <f t="shared" ca="1" si="3"/>
        <v>0</v>
      </c>
      <c r="W14" s="162">
        <f t="shared" ca="1" si="3"/>
        <v>0</v>
      </c>
      <c r="X14" s="162">
        <f t="shared" ca="1" si="3"/>
        <v>0</v>
      </c>
      <c r="Y14" s="162">
        <f t="shared" ca="1" si="3"/>
        <v>0</v>
      </c>
      <c r="Z14" s="162">
        <f t="shared" ca="1" si="3"/>
        <v>0</v>
      </c>
      <c r="AA14" s="162">
        <f t="shared" ca="1" si="3"/>
        <v>0</v>
      </c>
      <c r="AB14" s="162">
        <f t="shared" ca="1" si="3"/>
        <v>0</v>
      </c>
      <c r="AC14" s="162">
        <f t="shared" ca="1" si="3"/>
        <v>0</v>
      </c>
      <c r="AD14" s="162">
        <f t="shared" ca="1" si="3"/>
        <v>0</v>
      </c>
      <c r="AE14" s="162">
        <f t="shared" ca="1" si="3"/>
        <v>0</v>
      </c>
      <c r="AF14" s="162">
        <f t="shared" ca="1" si="3"/>
        <v>0</v>
      </c>
      <c r="AG14" s="162">
        <f t="shared" ca="1" si="3"/>
        <v>0</v>
      </c>
      <c r="AH14" s="162">
        <f t="shared" ca="1" si="3"/>
        <v>0</v>
      </c>
      <c r="AI14" s="162">
        <f t="shared" ca="1" si="3"/>
        <v>0</v>
      </c>
      <c r="AJ14" s="162">
        <f t="shared" ca="1" si="3"/>
        <v>-24360036.613272306</v>
      </c>
      <c r="AK14" s="162">
        <f t="shared" ca="1" si="3"/>
        <v>0</v>
      </c>
      <c r="AL14" s="162">
        <f t="shared" ca="1" si="3"/>
        <v>0</v>
      </c>
      <c r="AM14" s="162">
        <f t="shared" ca="1" si="3"/>
        <v>0</v>
      </c>
      <c r="AN14" s="162">
        <f t="shared" ca="1" si="3"/>
        <v>0</v>
      </c>
      <c r="AO14" s="162">
        <f t="shared" ca="1" si="3"/>
        <v>0</v>
      </c>
      <c r="AP14" s="162">
        <f t="shared" ca="1" si="3"/>
        <v>840000.00000000012</v>
      </c>
      <c r="AQ14" s="162">
        <f t="shared" ca="1" si="3"/>
        <v>0</v>
      </c>
      <c r="AR14" s="162">
        <f t="shared" ca="1" si="3"/>
        <v>0</v>
      </c>
      <c r="AS14" s="162">
        <f t="shared" ca="1" si="3"/>
        <v>0</v>
      </c>
      <c r="AT14" s="162">
        <f t="shared" ca="1" si="3"/>
        <v>0</v>
      </c>
      <c r="AU14" s="162">
        <f t="shared" ca="1" si="3"/>
        <v>0</v>
      </c>
      <c r="AV14" s="162">
        <f t="shared" ca="1" si="3"/>
        <v>840000.00000000012</v>
      </c>
      <c r="AW14" s="162">
        <f t="shared" ca="1" si="3"/>
        <v>0</v>
      </c>
      <c r="AX14" s="162">
        <f t="shared" ca="1" si="3"/>
        <v>0</v>
      </c>
      <c r="AY14" s="162">
        <f t="shared" ca="1" si="3"/>
        <v>0</v>
      </c>
      <c r="AZ14" s="162">
        <f t="shared" ca="1" si="3"/>
        <v>0</v>
      </c>
      <c r="BA14" s="162">
        <f t="shared" ca="1" si="3"/>
        <v>0</v>
      </c>
      <c r="BB14" s="162">
        <f t="shared" ca="1" si="3"/>
        <v>840000.00000000012</v>
      </c>
      <c r="BC14" s="162">
        <f t="shared" ca="1" si="3"/>
        <v>0</v>
      </c>
      <c r="BD14" s="162">
        <f t="shared" ca="1" si="3"/>
        <v>0</v>
      </c>
      <c r="BE14" s="162">
        <f t="shared" ca="1" si="3"/>
        <v>0</v>
      </c>
      <c r="BF14" s="162">
        <f t="shared" ca="1" si="3"/>
        <v>0</v>
      </c>
      <c r="BG14" s="162">
        <f t="shared" ca="1" si="3"/>
        <v>0</v>
      </c>
      <c r="BH14" s="162">
        <f t="shared" ca="1" si="3"/>
        <v>840000.00000000012</v>
      </c>
      <c r="BI14" s="162">
        <f t="shared" ca="1" si="3"/>
        <v>0</v>
      </c>
      <c r="BJ14" s="162">
        <f t="shared" ca="1" si="3"/>
        <v>0</v>
      </c>
      <c r="BK14" s="162">
        <f t="shared" ca="1" si="3"/>
        <v>0</v>
      </c>
      <c r="BL14" s="162">
        <f t="shared" ca="1" si="3"/>
        <v>0</v>
      </c>
      <c r="BM14" s="162">
        <f t="shared" ca="1" si="3"/>
        <v>0</v>
      </c>
      <c r="BN14" s="162">
        <f t="shared" ca="1" si="3"/>
        <v>840000.00000000012</v>
      </c>
      <c r="BO14" s="162">
        <f t="shared" ca="1" si="3"/>
        <v>0</v>
      </c>
      <c r="BP14" s="162">
        <f t="shared" ca="1" si="3"/>
        <v>0</v>
      </c>
      <c r="BQ14" s="162">
        <f t="shared" ca="1" si="3"/>
        <v>0</v>
      </c>
      <c r="BR14" s="162">
        <f t="shared" ca="1" si="3"/>
        <v>0</v>
      </c>
      <c r="BS14" s="162">
        <f t="shared" ca="1" si="3"/>
        <v>0</v>
      </c>
      <c r="BT14" s="162">
        <f t="shared" ca="1" si="3"/>
        <v>840000.00000000012</v>
      </c>
      <c r="BU14" s="162">
        <f t="shared" ca="1" si="3"/>
        <v>0</v>
      </c>
      <c r="BV14" s="162">
        <f t="shared" ca="1" si="3"/>
        <v>0</v>
      </c>
      <c r="BW14" s="162">
        <f t="shared" ca="1" si="3"/>
        <v>0</v>
      </c>
      <c r="BX14" s="162">
        <f t="shared" ca="1" si="3"/>
        <v>0</v>
      </c>
      <c r="BY14" s="162">
        <f t="shared" ref="BY14:DS14" ca="1" si="4">SUM(BY15:BY18)</f>
        <v>0</v>
      </c>
      <c r="BZ14" s="162">
        <f t="shared" ca="1" si="4"/>
        <v>840000.00000000012</v>
      </c>
      <c r="CA14" s="162">
        <f t="shared" ca="1" si="4"/>
        <v>0</v>
      </c>
      <c r="CB14" s="162">
        <f t="shared" ca="1" si="4"/>
        <v>0</v>
      </c>
      <c r="CC14" s="162">
        <f t="shared" ca="1" si="4"/>
        <v>0</v>
      </c>
      <c r="CD14" s="162">
        <f t="shared" ca="1" si="4"/>
        <v>0</v>
      </c>
      <c r="CE14" s="162">
        <f t="shared" ca="1" si="4"/>
        <v>0</v>
      </c>
      <c r="CF14" s="162">
        <f t="shared" ca="1" si="4"/>
        <v>840000.00000000012</v>
      </c>
      <c r="CG14" s="162">
        <f t="shared" ca="1" si="4"/>
        <v>0</v>
      </c>
      <c r="CH14" s="162">
        <f t="shared" ca="1" si="4"/>
        <v>0</v>
      </c>
      <c r="CI14" s="162">
        <f t="shared" ca="1" si="4"/>
        <v>0</v>
      </c>
      <c r="CJ14" s="162">
        <f t="shared" ca="1" si="4"/>
        <v>0</v>
      </c>
      <c r="CK14" s="162">
        <f t="shared" ca="1" si="4"/>
        <v>0</v>
      </c>
      <c r="CL14" s="162">
        <f t="shared" ca="1" si="4"/>
        <v>840000.00000000012</v>
      </c>
      <c r="CM14" s="162">
        <f t="shared" ca="1" si="4"/>
        <v>0</v>
      </c>
      <c r="CN14" s="162">
        <f t="shared" ca="1" si="4"/>
        <v>0</v>
      </c>
      <c r="CO14" s="162">
        <f t="shared" ca="1" si="4"/>
        <v>0</v>
      </c>
      <c r="CP14" s="162">
        <f t="shared" ca="1" si="4"/>
        <v>0</v>
      </c>
      <c r="CQ14" s="162">
        <f t="shared" ca="1" si="4"/>
        <v>0</v>
      </c>
      <c r="CR14" s="162">
        <f t="shared" ca="1" si="4"/>
        <v>840000.00000000012</v>
      </c>
      <c r="CS14" s="162">
        <f t="shared" ca="1" si="4"/>
        <v>0</v>
      </c>
      <c r="CT14" s="162">
        <f t="shared" ca="1" si="4"/>
        <v>0</v>
      </c>
      <c r="CU14" s="162">
        <f t="shared" ca="1" si="4"/>
        <v>0</v>
      </c>
      <c r="CV14" s="162">
        <f t="shared" ca="1" si="4"/>
        <v>0</v>
      </c>
      <c r="CW14" s="162">
        <f t="shared" ca="1" si="4"/>
        <v>0</v>
      </c>
      <c r="CX14" s="162">
        <f t="shared" ca="1" si="4"/>
        <v>840000.00000000012</v>
      </c>
      <c r="CY14" s="162">
        <f t="shared" ca="1" si="4"/>
        <v>0</v>
      </c>
      <c r="CZ14" s="162">
        <f t="shared" ca="1" si="4"/>
        <v>0</v>
      </c>
      <c r="DA14" s="162">
        <f t="shared" ca="1" si="4"/>
        <v>0</v>
      </c>
      <c r="DB14" s="162">
        <f t="shared" ca="1" si="4"/>
        <v>0</v>
      </c>
      <c r="DC14" s="162">
        <f t="shared" ca="1" si="4"/>
        <v>0</v>
      </c>
      <c r="DD14" s="162">
        <f t="shared" ca="1" si="4"/>
        <v>840000.00000000012</v>
      </c>
      <c r="DE14" s="162">
        <f t="shared" ca="1" si="4"/>
        <v>0</v>
      </c>
      <c r="DF14" s="162">
        <f t="shared" ca="1" si="4"/>
        <v>0</v>
      </c>
      <c r="DG14" s="162">
        <f t="shared" ca="1" si="4"/>
        <v>0</v>
      </c>
      <c r="DH14" s="162">
        <f t="shared" ca="1" si="4"/>
        <v>0</v>
      </c>
      <c r="DI14" s="162">
        <f t="shared" ca="1" si="4"/>
        <v>0</v>
      </c>
      <c r="DJ14" s="162">
        <f t="shared" ca="1" si="4"/>
        <v>840000.00000000012</v>
      </c>
      <c r="DK14" s="162">
        <f t="shared" ca="1" si="4"/>
        <v>0</v>
      </c>
      <c r="DL14" s="162">
        <f t="shared" ca="1" si="4"/>
        <v>0</v>
      </c>
      <c r="DM14" s="162">
        <f t="shared" ca="1" si="4"/>
        <v>0</v>
      </c>
      <c r="DN14" s="162">
        <f t="shared" ca="1" si="4"/>
        <v>0</v>
      </c>
      <c r="DO14" s="162">
        <f t="shared" ca="1" si="4"/>
        <v>0</v>
      </c>
      <c r="DP14" s="162">
        <f t="shared" ca="1" si="4"/>
        <v>840000.00000000012</v>
      </c>
      <c r="DQ14" s="162">
        <f t="shared" ca="1" si="4"/>
        <v>0</v>
      </c>
      <c r="DR14" s="162">
        <f t="shared" ca="1" si="4"/>
        <v>0</v>
      </c>
      <c r="DS14" s="162">
        <f t="shared" ca="1" si="4"/>
        <v>0</v>
      </c>
      <c r="DT14" s="162">
        <f t="shared" ref="DT14:EM14" ca="1" si="5">SUM(DT15:DT18)</f>
        <v>0</v>
      </c>
      <c r="DU14" s="162">
        <f t="shared" ca="1" si="5"/>
        <v>0</v>
      </c>
      <c r="DV14" s="162">
        <f t="shared" ca="1" si="5"/>
        <v>840000.00000000012</v>
      </c>
      <c r="DW14" s="162">
        <f t="shared" ca="1" si="5"/>
        <v>0</v>
      </c>
      <c r="DX14" s="162">
        <f t="shared" ca="1" si="5"/>
        <v>0</v>
      </c>
      <c r="DY14" s="162">
        <f t="shared" ca="1" si="5"/>
        <v>0</v>
      </c>
      <c r="DZ14" s="162">
        <f t="shared" ca="1" si="5"/>
        <v>0</v>
      </c>
      <c r="EA14" s="162">
        <f t="shared" ca="1" si="5"/>
        <v>0</v>
      </c>
      <c r="EB14" s="162">
        <f t="shared" ca="1" si="5"/>
        <v>24479963.386727694</v>
      </c>
      <c r="EC14" s="162">
        <f t="shared" ca="1" si="5"/>
        <v>0</v>
      </c>
      <c r="ED14" s="162">
        <f t="shared" ca="1" si="5"/>
        <v>0</v>
      </c>
      <c r="EE14" s="162">
        <f t="shared" ca="1" si="5"/>
        <v>0</v>
      </c>
      <c r="EF14" s="162">
        <f t="shared" ca="1" si="5"/>
        <v>0</v>
      </c>
      <c r="EG14" s="162">
        <f t="shared" ca="1" si="5"/>
        <v>0</v>
      </c>
      <c r="EH14" s="162">
        <f t="shared" ca="1" si="5"/>
        <v>0</v>
      </c>
      <c r="EI14" s="162">
        <f t="shared" ca="1" si="5"/>
        <v>0</v>
      </c>
      <c r="EJ14" s="162">
        <f t="shared" ca="1" si="5"/>
        <v>0</v>
      </c>
      <c r="EK14" s="162">
        <f t="shared" ca="1" si="5"/>
        <v>0</v>
      </c>
      <c r="EL14" s="162">
        <f t="shared" ca="1" si="5"/>
        <v>0</v>
      </c>
      <c r="EM14" s="162">
        <f t="shared" ca="1" si="5"/>
        <v>0</v>
      </c>
      <c r="EN14" s="162">
        <f ca="1">SUM(EN15:EN18)</f>
        <v>0</v>
      </c>
      <c r="EO14" s="162">
        <f ca="1">SUM(EO15:EO18)</f>
        <v>0</v>
      </c>
      <c r="EP14" s="162">
        <f ca="1">SUM(EP15:EP18)</f>
        <v>0</v>
      </c>
      <c r="EQ14" s="162">
        <f ca="1">SUM(EQ15:EQ18)</f>
        <v>0</v>
      </c>
    </row>
    <row r="15" spans="1:151" ht="13.35" customHeight="1">
      <c r="B15" s="218"/>
      <c r="C15" s="163"/>
      <c r="D15" s="164" t="s">
        <v>596</v>
      </c>
      <c r="E15" s="165"/>
      <c r="F15" s="165"/>
      <c r="G15" s="165"/>
      <c r="H15" s="166">
        <f>'A&amp;R'!G113</f>
        <v>47057</v>
      </c>
      <c r="I15" s="228">
        <f>'A&amp;R'!P41*(1+0.5%)+I14</f>
        <v>24360036.613272306</v>
      </c>
      <c r="J15" s="168">
        <f t="shared" ref="J15:J20" si="6">SUM(L15:EQ15)</f>
        <v>-24360036.613272306</v>
      </c>
      <c r="K15" s="98"/>
      <c r="L15" s="168">
        <f>-$I15*(L$5=$H$15)</f>
        <v>0</v>
      </c>
      <c r="M15" s="168">
        <f t="shared" ref="M15:BX15" si="7">-$I15*(M$5=$H$15)</f>
        <v>0</v>
      </c>
      <c r="N15" s="168">
        <f t="shared" si="7"/>
        <v>0</v>
      </c>
      <c r="O15" s="168">
        <f t="shared" si="7"/>
        <v>0</v>
      </c>
      <c r="P15" s="168">
        <f t="shared" si="7"/>
        <v>0</v>
      </c>
      <c r="Q15" s="168">
        <f t="shared" si="7"/>
        <v>0</v>
      </c>
      <c r="R15" s="168">
        <f t="shared" si="7"/>
        <v>0</v>
      </c>
      <c r="S15" s="168">
        <f t="shared" si="7"/>
        <v>0</v>
      </c>
      <c r="T15" s="168">
        <f t="shared" si="7"/>
        <v>0</v>
      </c>
      <c r="U15" s="168">
        <f t="shared" si="7"/>
        <v>0</v>
      </c>
      <c r="V15" s="168">
        <f t="shared" si="7"/>
        <v>0</v>
      </c>
      <c r="W15" s="168">
        <f t="shared" si="7"/>
        <v>0</v>
      </c>
      <c r="X15" s="168">
        <f t="shared" si="7"/>
        <v>0</v>
      </c>
      <c r="Y15" s="168">
        <f t="shared" si="7"/>
        <v>0</v>
      </c>
      <c r="Z15" s="168">
        <f t="shared" si="7"/>
        <v>0</v>
      </c>
      <c r="AA15" s="168">
        <f t="shared" si="7"/>
        <v>0</v>
      </c>
      <c r="AB15" s="168">
        <f t="shared" si="7"/>
        <v>0</v>
      </c>
      <c r="AC15" s="168">
        <f t="shared" si="7"/>
        <v>0</v>
      </c>
      <c r="AD15" s="168">
        <f t="shared" si="7"/>
        <v>0</v>
      </c>
      <c r="AE15" s="168">
        <f t="shared" si="7"/>
        <v>0</v>
      </c>
      <c r="AF15" s="168">
        <f t="shared" si="7"/>
        <v>0</v>
      </c>
      <c r="AG15" s="168">
        <f t="shared" si="7"/>
        <v>0</v>
      </c>
      <c r="AH15" s="168">
        <f t="shared" si="7"/>
        <v>0</v>
      </c>
      <c r="AI15" s="168">
        <f t="shared" si="7"/>
        <v>0</v>
      </c>
      <c r="AJ15" s="168">
        <f t="shared" si="7"/>
        <v>-24360036.613272306</v>
      </c>
      <c r="AK15" s="168">
        <f t="shared" si="7"/>
        <v>0</v>
      </c>
      <c r="AL15" s="168">
        <f t="shared" si="7"/>
        <v>0</v>
      </c>
      <c r="AM15" s="168">
        <f t="shared" si="7"/>
        <v>0</v>
      </c>
      <c r="AN15" s="168">
        <f t="shared" si="7"/>
        <v>0</v>
      </c>
      <c r="AO15" s="168">
        <f t="shared" si="7"/>
        <v>0</v>
      </c>
      <c r="AP15" s="168">
        <f t="shared" si="7"/>
        <v>0</v>
      </c>
      <c r="AQ15" s="168">
        <f t="shared" si="7"/>
        <v>0</v>
      </c>
      <c r="AR15" s="168">
        <f t="shared" si="7"/>
        <v>0</v>
      </c>
      <c r="AS15" s="168">
        <f t="shared" si="7"/>
        <v>0</v>
      </c>
      <c r="AT15" s="168">
        <f t="shared" si="7"/>
        <v>0</v>
      </c>
      <c r="AU15" s="168">
        <f t="shared" si="7"/>
        <v>0</v>
      </c>
      <c r="AV15" s="168">
        <f t="shared" si="7"/>
        <v>0</v>
      </c>
      <c r="AW15" s="168">
        <f t="shared" si="7"/>
        <v>0</v>
      </c>
      <c r="AX15" s="168">
        <f t="shared" si="7"/>
        <v>0</v>
      </c>
      <c r="AY15" s="168">
        <f t="shared" si="7"/>
        <v>0</v>
      </c>
      <c r="AZ15" s="168">
        <f t="shared" si="7"/>
        <v>0</v>
      </c>
      <c r="BA15" s="168">
        <f t="shared" si="7"/>
        <v>0</v>
      </c>
      <c r="BB15" s="168">
        <f t="shared" si="7"/>
        <v>0</v>
      </c>
      <c r="BC15" s="168">
        <f t="shared" si="7"/>
        <v>0</v>
      </c>
      <c r="BD15" s="168">
        <f t="shared" si="7"/>
        <v>0</v>
      </c>
      <c r="BE15" s="168">
        <f t="shared" si="7"/>
        <v>0</v>
      </c>
      <c r="BF15" s="168">
        <f t="shared" si="7"/>
        <v>0</v>
      </c>
      <c r="BG15" s="168">
        <f t="shared" si="7"/>
        <v>0</v>
      </c>
      <c r="BH15" s="168">
        <f t="shared" si="7"/>
        <v>0</v>
      </c>
      <c r="BI15" s="168">
        <f t="shared" si="7"/>
        <v>0</v>
      </c>
      <c r="BJ15" s="168">
        <f t="shared" si="7"/>
        <v>0</v>
      </c>
      <c r="BK15" s="168">
        <f t="shared" si="7"/>
        <v>0</v>
      </c>
      <c r="BL15" s="168">
        <f t="shared" si="7"/>
        <v>0</v>
      </c>
      <c r="BM15" s="168">
        <f t="shared" si="7"/>
        <v>0</v>
      </c>
      <c r="BN15" s="168">
        <f t="shared" si="7"/>
        <v>0</v>
      </c>
      <c r="BO15" s="168">
        <f t="shared" si="7"/>
        <v>0</v>
      </c>
      <c r="BP15" s="168">
        <f t="shared" si="7"/>
        <v>0</v>
      </c>
      <c r="BQ15" s="168">
        <f t="shared" si="7"/>
        <v>0</v>
      </c>
      <c r="BR15" s="168">
        <f t="shared" si="7"/>
        <v>0</v>
      </c>
      <c r="BS15" s="168">
        <f t="shared" si="7"/>
        <v>0</v>
      </c>
      <c r="BT15" s="168">
        <f t="shared" si="7"/>
        <v>0</v>
      </c>
      <c r="BU15" s="168">
        <f t="shared" si="7"/>
        <v>0</v>
      </c>
      <c r="BV15" s="168">
        <f t="shared" si="7"/>
        <v>0</v>
      </c>
      <c r="BW15" s="168">
        <f t="shared" si="7"/>
        <v>0</v>
      </c>
      <c r="BX15" s="168">
        <f t="shared" si="7"/>
        <v>0</v>
      </c>
      <c r="BY15" s="168">
        <f t="shared" ref="BY15:EQ15" si="8">-$I15*(BY$5=$H$15)</f>
        <v>0</v>
      </c>
      <c r="BZ15" s="168">
        <f t="shared" si="8"/>
        <v>0</v>
      </c>
      <c r="CA15" s="168">
        <f t="shared" si="8"/>
        <v>0</v>
      </c>
      <c r="CB15" s="168">
        <f t="shared" si="8"/>
        <v>0</v>
      </c>
      <c r="CC15" s="168">
        <f t="shared" si="8"/>
        <v>0</v>
      </c>
      <c r="CD15" s="168">
        <f t="shared" si="8"/>
        <v>0</v>
      </c>
      <c r="CE15" s="168">
        <f t="shared" si="8"/>
        <v>0</v>
      </c>
      <c r="CF15" s="168">
        <f t="shared" si="8"/>
        <v>0</v>
      </c>
      <c r="CG15" s="168">
        <f t="shared" si="8"/>
        <v>0</v>
      </c>
      <c r="CH15" s="168">
        <f t="shared" si="8"/>
        <v>0</v>
      </c>
      <c r="CI15" s="168">
        <f t="shared" si="8"/>
        <v>0</v>
      </c>
      <c r="CJ15" s="168">
        <f t="shared" si="8"/>
        <v>0</v>
      </c>
      <c r="CK15" s="168">
        <f t="shared" si="8"/>
        <v>0</v>
      </c>
      <c r="CL15" s="168">
        <f t="shared" si="8"/>
        <v>0</v>
      </c>
      <c r="CM15" s="168">
        <f t="shared" si="8"/>
        <v>0</v>
      </c>
      <c r="CN15" s="168">
        <f t="shared" si="8"/>
        <v>0</v>
      </c>
      <c r="CO15" s="168">
        <f t="shared" si="8"/>
        <v>0</v>
      </c>
      <c r="CP15" s="168">
        <f t="shared" si="8"/>
        <v>0</v>
      </c>
      <c r="CQ15" s="168">
        <f t="shared" si="8"/>
        <v>0</v>
      </c>
      <c r="CR15" s="168">
        <f t="shared" si="8"/>
        <v>0</v>
      </c>
      <c r="CS15" s="168">
        <f t="shared" si="8"/>
        <v>0</v>
      </c>
      <c r="CT15" s="168">
        <f t="shared" si="8"/>
        <v>0</v>
      </c>
      <c r="CU15" s="168">
        <f t="shared" si="8"/>
        <v>0</v>
      </c>
      <c r="CV15" s="168">
        <f t="shared" si="8"/>
        <v>0</v>
      </c>
      <c r="CW15" s="168">
        <f t="shared" si="8"/>
        <v>0</v>
      </c>
      <c r="CX15" s="168">
        <f t="shared" si="8"/>
        <v>0</v>
      </c>
      <c r="CY15" s="168">
        <f t="shared" si="8"/>
        <v>0</v>
      </c>
      <c r="CZ15" s="168">
        <f t="shared" si="8"/>
        <v>0</v>
      </c>
      <c r="DA15" s="168">
        <f t="shared" si="8"/>
        <v>0</v>
      </c>
      <c r="DB15" s="168">
        <f t="shared" si="8"/>
        <v>0</v>
      </c>
      <c r="DC15" s="168">
        <f t="shared" si="8"/>
        <v>0</v>
      </c>
      <c r="DD15" s="168">
        <f t="shared" si="8"/>
        <v>0</v>
      </c>
      <c r="DE15" s="168">
        <f t="shared" si="8"/>
        <v>0</v>
      </c>
      <c r="DF15" s="168">
        <f t="shared" si="8"/>
        <v>0</v>
      </c>
      <c r="DG15" s="168">
        <f t="shared" si="8"/>
        <v>0</v>
      </c>
      <c r="DH15" s="168">
        <f t="shared" si="8"/>
        <v>0</v>
      </c>
      <c r="DI15" s="168">
        <f t="shared" si="8"/>
        <v>0</v>
      </c>
      <c r="DJ15" s="168">
        <f t="shared" si="8"/>
        <v>0</v>
      </c>
      <c r="DK15" s="168">
        <f t="shared" si="8"/>
        <v>0</v>
      </c>
      <c r="DL15" s="168">
        <f t="shared" si="8"/>
        <v>0</v>
      </c>
      <c r="DM15" s="168">
        <f t="shared" si="8"/>
        <v>0</v>
      </c>
      <c r="DN15" s="168">
        <f t="shared" si="8"/>
        <v>0</v>
      </c>
      <c r="DO15" s="168">
        <f t="shared" si="8"/>
        <v>0</v>
      </c>
      <c r="DP15" s="168">
        <f t="shared" si="8"/>
        <v>0</v>
      </c>
      <c r="DQ15" s="168">
        <f t="shared" si="8"/>
        <v>0</v>
      </c>
      <c r="DR15" s="168">
        <f t="shared" si="8"/>
        <v>0</v>
      </c>
      <c r="DS15" s="168">
        <f t="shared" si="8"/>
        <v>0</v>
      </c>
      <c r="DT15" s="168">
        <f t="shared" si="8"/>
        <v>0</v>
      </c>
      <c r="DU15" s="168">
        <f t="shared" si="8"/>
        <v>0</v>
      </c>
      <c r="DV15" s="168">
        <f t="shared" si="8"/>
        <v>0</v>
      </c>
      <c r="DW15" s="168">
        <f t="shared" si="8"/>
        <v>0</v>
      </c>
      <c r="DX15" s="168">
        <f t="shared" si="8"/>
        <v>0</v>
      </c>
      <c r="DY15" s="168">
        <f t="shared" si="8"/>
        <v>0</v>
      </c>
      <c r="DZ15" s="168">
        <f t="shared" si="8"/>
        <v>0</v>
      </c>
      <c r="EA15" s="168">
        <f t="shared" si="8"/>
        <v>0</v>
      </c>
      <c r="EB15" s="168">
        <f t="shared" si="8"/>
        <v>0</v>
      </c>
      <c r="EC15" s="168">
        <f t="shared" si="8"/>
        <v>0</v>
      </c>
      <c r="ED15" s="168">
        <f t="shared" si="8"/>
        <v>0</v>
      </c>
      <c r="EE15" s="168">
        <f t="shared" si="8"/>
        <v>0</v>
      </c>
      <c r="EF15" s="168">
        <f t="shared" si="8"/>
        <v>0</v>
      </c>
      <c r="EG15" s="168">
        <f t="shared" si="8"/>
        <v>0</v>
      </c>
      <c r="EH15" s="168">
        <f t="shared" si="8"/>
        <v>0</v>
      </c>
      <c r="EI15" s="168">
        <f t="shared" si="8"/>
        <v>0</v>
      </c>
      <c r="EJ15" s="168">
        <f t="shared" si="8"/>
        <v>0</v>
      </c>
      <c r="EK15" s="168">
        <f t="shared" si="8"/>
        <v>0</v>
      </c>
      <c r="EL15" s="168">
        <f t="shared" si="8"/>
        <v>0</v>
      </c>
      <c r="EM15" s="168">
        <f t="shared" si="8"/>
        <v>0</v>
      </c>
      <c r="EN15" s="168">
        <f t="shared" si="8"/>
        <v>0</v>
      </c>
      <c r="EO15" s="168">
        <f t="shared" si="8"/>
        <v>0</v>
      </c>
      <c r="EP15" s="168">
        <f t="shared" si="8"/>
        <v>0</v>
      </c>
      <c r="EQ15" s="168">
        <f t="shared" si="8"/>
        <v>0</v>
      </c>
    </row>
    <row r="16" spans="1:151" ht="13.35" customHeight="1">
      <c r="B16" s="218"/>
      <c r="C16" s="163"/>
      <c r="D16" s="169" t="s">
        <v>597</v>
      </c>
      <c r="H16" s="146">
        <f>H15</f>
        <v>47057</v>
      </c>
      <c r="I16" s="229"/>
      <c r="J16" s="171">
        <f t="shared" si="6"/>
        <v>24000000</v>
      </c>
      <c r="K16" s="98"/>
      <c r="L16" s="171">
        <f>-'CF(M)'!L97</f>
        <v>0</v>
      </c>
      <c r="M16" s="171">
        <f>-'CF(M)'!M97</f>
        <v>0</v>
      </c>
      <c r="N16" s="171">
        <f>-'CF(M)'!N97</f>
        <v>0</v>
      </c>
      <c r="O16" s="171">
        <f>-'CF(M)'!O97</f>
        <v>0</v>
      </c>
      <c r="P16" s="171">
        <f>-'CF(M)'!P97</f>
        <v>0</v>
      </c>
      <c r="Q16" s="171">
        <f>-'CF(M)'!Q97</f>
        <v>0</v>
      </c>
      <c r="R16" s="171">
        <f>-'CF(M)'!R97</f>
        <v>0</v>
      </c>
      <c r="S16" s="171">
        <f>-'CF(M)'!S97</f>
        <v>0</v>
      </c>
      <c r="T16" s="171">
        <f>-'CF(M)'!T97</f>
        <v>0</v>
      </c>
      <c r="U16" s="171">
        <f>-'CF(M)'!U97</f>
        <v>0</v>
      </c>
      <c r="V16" s="171">
        <f>-'CF(M)'!V97</f>
        <v>0</v>
      </c>
      <c r="W16" s="171">
        <f>-'CF(M)'!W97</f>
        <v>0</v>
      </c>
      <c r="X16" s="171">
        <f>-'CF(M)'!X97</f>
        <v>0</v>
      </c>
      <c r="Y16" s="171">
        <f>-'CF(M)'!Y97</f>
        <v>0</v>
      </c>
      <c r="Z16" s="171">
        <f>-'CF(M)'!Z97</f>
        <v>0</v>
      </c>
      <c r="AA16" s="171">
        <f>-'CF(M)'!AA97</f>
        <v>0</v>
      </c>
      <c r="AB16" s="171">
        <f>-'CF(M)'!AB97</f>
        <v>0</v>
      </c>
      <c r="AC16" s="171">
        <f>-'CF(M)'!AC97</f>
        <v>0</v>
      </c>
      <c r="AD16" s="171">
        <f>-'CF(M)'!AD97</f>
        <v>0</v>
      </c>
      <c r="AE16" s="171">
        <f>-'CF(M)'!AE97</f>
        <v>0</v>
      </c>
      <c r="AF16" s="171">
        <f>-'CF(M)'!AF97</f>
        <v>0</v>
      </c>
      <c r="AG16" s="171">
        <f>-'CF(M)'!AG97</f>
        <v>0</v>
      </c>
      <c r="AH16" s="171">
        <f>-'CF(M)'!AH97</f>
        <v>0</v>
      </c>
      <c r="AI16" s="171">
        <f>-'CF(M)'!AI97</f>
        <v>0</v>
      </c>
      <c r="AJ16" s="171">
        <f>-'CF(M)'!AJ97</f>
        <v>0</v>
      </c>
      <c r="AK16" s="171">
        <f>-'CF(M)'!AK97</f>
        <v>0</v>
      </c>
      <c r="AL16" s="171">
        <f>-'CF(M)'!AL97</f>
        <v>0</v>
      </c>
      <c r="AM16" s="171">
        <f>-'CF(M)'!AM97</f>
        <v>0</v>
      </c>
      <c r="AN16" s="171">
        <f>-'CF(M)'!AN97</f>
        <v>0</v>
      </c>
      <c r="AO16" s="171">
        <f>-'CF(M)'!AO97</f>
        <v>0</v>
      </c>
      <c r="AP16" s="171">
        <f>-'CF(M)'!AP97</f>
        <v>0</v>
      </c>
      <c r="AQ16" s="171">
        <f>-'CF(M)'!AQ97</f>
        <v>0</v>
      </c>
      <c r="AR16" s="171">
        <f>-'CF(M)'!AR97</f>
        <v>0</v>
      </c>
      <c r="AS16" s="171">
        <f>-'CF(M)'!AS97</f>
        <v>0</v>
      </c>
      <c r="AT16" s="171">
        <f>-'CF(M)'!AT97</f>
        <v>0</v>
      </c>
      <c r="AU16" s="171">
        <f>-'CF(M)'!AU97</f>
        <v>0</v>
      </c>
      <c r="AV16" s="171">
        <f>-'CF(M)'!AV97</f>
        <v>0</v>
      </c>
      <c r="AW16" s="171">
        <f>-'CF(M)'!AW97</f>
        <v>0</v>
      </c>
      <c r="AX16" s="171">
        <f>-'CF(M)'!AX97</f>
        <v>0</v>
      </c>
      <c r="AY16" s="171">
        <f>-'CF(M)'!AY97</f>
        <v>0</v>
      </c>
      <c r="AZ16" s="171">
        <f>-'CF(M)'!AZ97</f>
        <v>0</v>
      </c>
      <c r="BA16" s="171">
        <f>-'CF(M)'!BA97</f>
        <v>0</v>
      </c>
      <c r="BB16" s="171">
        <f>-'CF(M)'!BB97</f>
        <v>0</v>
      </c>
      <c r="BC16" s="171">
        <f>-'CF(M)'!BC97</f>
        <v>0</v>
      </c>
      <c r="BD16" s="171">
        <f>-'CF(M)'!BD97</f>
        <v>0</v>
      </c>
      <c r="BE16" s="171">
        <f>-'CF(M)'!BE97</f>
        <v>0</v>
      </c>
      <c r="BF16" s="171">
        <f>-'CF(M)'!BF97</f>
        <v>0</v>
      </c>
      <c r="BG16" s="171">
        <f>-'CF(M)'!BG97</f>
        <v>0</v>
      </c>
      <c r="BH16" s="171">
        <f>-'CF(M)'!BH97</f>
        <v>0</v>
      </c>
      <c r="BI16" s="171">
        <f>-'CF(M)'!BI97</f>
        <v>0</v>
      </c>
      <c r="BJ16" s="171">
        <f>-'CF(M)'!BJ97</f>
        <v>0</v>
      </c>
      <c r="BK16" s="171">
        <f>-'CF(M)'!BK97</f>
        <v>0</v>
      </c>
      <c r="BL16" s="171">
        <f>-'CF(M)'!BL97</f>
        <v>0</v>
      </c>
      <c r="BM16" s="171">
        <f>-'CF(M)'!BM97</f>
        <v>0</v>
      </c>
      <c r="BN16" s="171">
        <f>-'CF(M)'!BN97</f>
        <v>0</v>
      </c>
      <c r="BO16" s="171">
        <f>-'CF(M)'!BO97</f>
        <v>0</v>
      </c>
      <c r="BP16" s="171">
        <f>-'CF(M)'!BP97</f>
        <v>0</v>
      </c>
      <c r="BQ16" s="171">
        <f>-'CF(M)'!BQ97</f>
        <v>0</v>
      </c>
      <c r="BR16" s="171">
        <f>-'CF(M)'!BR97</f>
        <v>0</v>
      </c>
      <c r="BS16" s="171">
        <f>-'CF(M)'!BS97</f>
        <v>0</v>
      </c>
      <c r="BT16" s="171">
        <f>-'CF(M)'!BT97</f>
        <v>0</v>
      </c>
      <c r="BU16" s="171">
        <f>-'CF(M)'!BU97</f>
        <v>0</v>
      </c>
      <c r="BV16" s="171">
        <f>-'CF(M)'!BV97</f>
        <v>0</v>
      </c>
      <c r="BW16" s="171">
        <f>-'CF(M)'!BW97</f>
        <v>0</v>
      </c>
      <c r="BX16" s="171">
        <f>-'CF(M)'!BX97</f>
        <v>0</v>
      </c>
      <c r="BY16" s="171">
        <f>-'CF(M)'!BY97</f>
        <v>0</v>
      </c>
      <c r="BZ16" s="171">
        <f>-'CF(M)'!BZ97</f>
        <v>0</v>
      </c>
      <c r="CA16" s="171">
        <f>-'CF(M)'!CA97</f>
        <v>0</v>
      </c>
      <c r="CB16" s="171">
        <f>-'CF(M)'!CB97</f>
        <v>0</v>
      </c>
      <c r="CC16" s="171">
        <f>-'CF(M)'!CC97</f>
        <v>0</v>
      </c>
      <c r="CD16" s="171">
        <f>-'CF(M)'!CD97</f>
        <v>0</v>
      </c>
      <c r="CE16" s="171">
        <f>-'CF(M)'!CE97</f>
        <v>0</v>
      </c>
      <c r="CF16" s="171">
        <f>-'CF(M)'!CF97</f>
        <v>0</v>
      </c>
      <c r="CG16" s="171">
        <f>-'CF(M)'!CG97</f>
        <v>0</v>
      </c>
      <c r="CH16" s="171">
        <f>-'CF(M)'!CH97</f>
        <v>0</v>
      </c>
      <c r="CI16" s="171">
        <f>-'CF(M)'!CI97</f>
        <v>0</v>
      </c>
      <c r="CJ16" s="171">
        <f>-'CF(M)'!CJ97</f>
        <v>0</v>
      </c>
      <c r="CK16" s="171">
        <f>-'CF(M)'!CK97</f>
        <v>0</v>
      </c>
      <c r="CL16" s="171">
        <f>-'CF(M)'!CL97</f>
        <v>0</v>
      </c>
      <c r="CM16" s="171">
        <f>-'CF(M)'!CM97</f>
        <v>0</v>
      </c>
      <c r="CN16" s="171">
        <f>-'CF(M)'!CN97</f>
        <v>0</v>
      </c>
      <c r="CO16" s="171">
        <f>-'CF(M)'!CO97</f>
        <v>0</v>
      </c>
      <c r="CP16" s="171">
        <f>-'CF(M)'!CP97</f>
        <v>0</v>
      </c>
      <c r="CQ16" s="171">
        <f>-'CF(M)'!CQ97</f>
        <v>0</v>
      </c>
      <c r="CR16" s="171">
        <f>-'CF(M)'!CR97</f>
        <v>0</v>
      </c>
      <c r="CS16" s="171">
        <f>-'CF(M)'!CS97</f>
        <v>0</v>
      </c>
      <c r="CT16" s="171">
        <f>-'CF(M)'!CT97</f>
        <v>0</v>
      </c>
      <c r="CU16" s="171">
        <f>-'CF(M)'!CU97</f>
        <v>0</v>
      </c>
      <c r="CV16" s="171">
        <f>-'CF(M)'!CV97</f>
        <v>0</v>
      </c>
      <c r="CW16" s="171">
        <f>-'CF(M)'!CW97</f>
        <v>0</v>
      </c>
      <c r="CX16" s="171">
        <f>-'CF(M)'!CX97</f>
        <v>0</v>
      </c>
      <c r="CY16" s="171">
        <f>-'CF(M)'!CY97</f>
        <v>0</v>
      </c>
      <c r="CZ16" s="171">
        <f>-'CF(M)'!CZ97</f>
        <v>0</v>
      </c>
      <c r="DA16" s="171">
        <f>-'CF(M)'!DA97</f>
        <v>0</v>
      </c>
      <c r="DB16" s="171">
        <f>-'CF(M)'!DB97</f>
        <v>0</v>
      </c>
      <c r="DC16" s="171">
        <f>-'CF(M)'!DC97</f>
        <v>0</v>
      </c>
      <c r="DD16" s="171">
        <f>-'CF(M)'!DD97</f>
        <v>0</v>
      </c>
      <c r="DE16" s="171">
        <f>-'CF(M)'!DE97</f>
        <v>0</v>
      </c>
      <c r="DF16" s="171">
        <f>-'CF(M)'!DF97</f>
        <v>0</v>
      </c>
      <c r="DG16" s="171">
        <f>-'CF(M)'!DG97</f>
        <v>0</v>
      </c>
      <c r="DH16" s="171">
        <f>-'CF(M)'!DH97</f>
        <v>0</v>
      </c>
      <c r="DI16" s="171">
        <f>-'CF(M)'!DI97</f>
        <v>0</v>
      </c>
      <c r="DJ16" s="171">
        <f>-'CF(M)'!DJ97</f>
        <v>0</v>
      </c>
      <c r="DK16" s="171">
        <f>-'CF(M)'!DK97</f>
        <v>0</v>
      </c>
      <c r="DL16" s="171">
        <f>-'CF(M)'!DL97</f>
        <v>0</v>
      </c>
      <c r="DM16" s="171">
        <f>-'CF(M)'!DM97</f>
        <v>0</v>
      </c>
      <c r="DN16" s="171">
        <f>-'CF(M)'!DN97</f>
        <v>0</v>
      </c>
      <c r="DO16" s="171">
        <f>-'CF(M)'!DO97</f>
        <v>0</v>
      </c>
      <c r="DP16" s="171">
        <f>-'CF(M)'!DP97</f>
        <v>0</v>
      </c>
      <c r="DQ16" s="171">
        <f>-'CF(M)'!DQ97</f>
        <v>0</v>
      </c>
      <c r="DR16" s="171">
        <f>-'CF(M)'!DR97</f>
        <v>0</v>
      </c>
      <c r="DS16" s="171">
        <f>-'CF(M)'!DS97</f>
        <v>0</v>
      </c>
      <c r="DT16" s="171">
        <f>-'CF(M)'!DT97</f>
        <v>0</v>
      </c>
      <c r="DU16" s="171">
        <f>-'CF(M)'!DU97</f>
        <v>0</v>
      </c>
      <c r="DV16" s="171">
        <f>-'CF(M)'!DV97</f>
        <v>0</v>
      </c>
      <c r="DW16" s="171">
        <f>-'CF(M)'!DW97</f>
        <v>0</v>
      </c>
      <c r="DX16" s="171">
        <f>-'CF(M)'!DX97</f>
        <v>0</v>
      </c>
      <c r="DY16" s="171">
        <f>-'CF(M)'!DY97</f>
        <v>0</v>
      </c>
      <c r="DZ16" s="171">
        <f>-'CF(M)'!DZ97</f>
        <v>0</v>
      </c>
      <c r="EA16" s="171">
        <f>-'CF(M)'!EA97</f>
        <v>0</v>
      </c>
      <c r="EB16" s="171">
        <f>-'CF(M)'!EB97</f>
        <v>24000000</v>
      </c>
      <c r="EC16" s="171">
        <f>-'CF(M)'!EC97</f>
        <v>0</v>
      </c>
      <c r="ED16" s="171">
        <f>-'CF(M)'!ED97</f>
        <v>0</v>
      </c>
      <c r="EE16" s="171">
        <f>-'CF(M)'!EE97</f>
        <v>0</v>
      </c>
      <c r="EF16" s="171">
        <f>-'CF(M)'!EF97</f>
        <v>0</v>
      </c>
      <c r="EG16" s="171">
        <f>-'CF(M)'!EG97</f>
        <v>0</v>
      </c>
      <c r="EH16" s="171">
        <f>-'CF(M)'!EH97</f>
        <v>0</v>
      </c>
      <c r="EI16" s="171">
        <f>-'CF(M)'!EI97</f>
        <v>0</v>
      </c>
      <c r="EJ16" s="171">
        <f>-'CF(M)'!EJ97</f>
        <v>0</v>
      </c>
      <c r="EK16" s="171">
        <f>-'CF(M)'!EK97</f>
        <v>0</v>
      </c>
      <c r="EL16" s="171">
        <f>-'CF(M)'!EL97</f>
        <v>0</v>
      </c>
      <c r="EM16" s="171">
        <f>-'CF(M)'!EM97</f>
        <v>0</v>
      </c>
      <c r="EN16" s="171">
        <f>-'CF(M)'!EN97</f>
        <v>0</v>
      </c>
      <c r="EO16" s="171">
        <f>-'CF(M)'!EO97</f>
        <v>0</v>
      </c>
      <c r="EP16" s="171">
        <f>-'CF(M)'!EP97</f>
        <v>0</v>
      </c>
      <c r="EQ16" s="171">
        <f>-'CF(M)'!EQ97</f>
        <v>0</v>
      </c>
    </row>
    <row r="17" spans="2:147" ht="13.35" customHeight="1">
      <c r="B17" s="218"/>
      <c r="C17" s="163"/>
      <c r="D17" s="169" t="s">
        <v>261</v>
      </c>
      <c r="H17" s="146">
        <f>H16</f>
        <v>47057</v>
      </c>
      <c r="I17" s="229"/>
      <c r="J17" s="171">
        <f t="shared" ca="1" si="6"/>
        <v>13440000.000000002</v>
      </c>
      <c r="K17" s="98"/>
      <c r="L17" s="171">
        <f ca="1">'IS(M)'!M75*(L$5&gt;$H17)</f>
        <v>0</v>
      </c>
      <c r="M17" s="171">
        <f ca="1">'IS(M)'!N75*(M$5&gt;$H17)</f>
        <v>0</v>
      </c>
      <c r="N17" s="171">
        <f ca="1">'IS(M)'!O75*(N$5&gt;$H17)</f>
        <v>0</v>
      </c>
      <c r="O17" s="171">
        <f ca="1">'IS(M)'!P75*(O$5&gt;$H17)</f>
        <v>0</v>
      </c>
      <c r="P17" s="171">
        <f ca="1">'IS(M)'!Q75*(P$5&gt;$H17)</f>
        <v>0</v>
      </c>
      <c r="Q17" s="171">
        <f ca="1">'IS(M)'!R75*(Q$5&gt;$H17)</f>
        <v>0</v>
      </c>
      <c r="R17" s="171">
        <f ca="1">'IS(M)'!S75*(R$5&gt;$H17)</f>
        <v>0</v>
      </c>
      <c r="S17" s="171">
        <f ca="1">'IS(M)'!T75*(S$5&gt;$H17)</f>
        <v>0</v>
      </c>
      <c r="T17" s="171">
        <f ca="1">'IS(M)'!U75*(T$5&gt;$H17)</f>
        <v>0</v>
      </c>
      <c r="U17" s="171">
        <f ca="1">'IS(M)'!V75*(U$5&gt;$H17)</f>
        <v>0</v>
      </c>
      <c r="V17" s="171">
        <f ca="1">'IS(M)'!W75*(V$5&gt;$H17)</f>
        <v>0</v>
      </c>
      <c r="W17" s="171">
        <f ca="1">'IS(M)'!X75*(W$5&gt;$H17)</f>
        <v>0</v>
      </c>
      <c r="X17" s="171">
        <f ca="1">'IS(M)'!Y75*(X$5&gt;$H17)</f>
        <v>0</v>
      </c>
      <c r="Y17" s="171">
        <f ca="1">'IS(M)'!Z75*(Y$5&gt;$H17)</f>
        <v>0</v>
      </c>
      <c r="Z17" s="171">
        <f ca="1">'IS(M)'!AA75*(Z$5&gt;$H17)</f>
        <v>0</v>
      </c>
      <c r="AA17" s="171">
        <f ca="1">'IS(M)'!AB75*(AA$5&gt;$H17)</f>
        <v>0</v>
      </c>
      <c r="AB17" s="171">
        <f ca="1">'IS(M)'!AC75*(AB$5&gt;$H17)</f>
        <v>0</v>
      </c>
      <c r="AC17" s="171">
        <f ca="1">'IS(M)'!AD75*(AC$5&gt;$H17)</f>
        <v>0</v>
      </c>
      <c r="AD17" s="171">
        <f ca="1">'IS(M)'!AE75*(AD$5&gt;$H17)</f>
        <v>0</v>
      </c>
      <c r="AE17" s="171">
        <f ca="1">'IS(M)'!AF75*(AE$5&gt;$H17)</f>
        <v>0</v>
      </c>
      <c r="AF17" s="171">
        <f ca="1">'IS(M)'!AG75*(AF$5&gt;$H17)</f>
        <v>0</v>
      </c>
      <c r="AG17" s="171">
        <f ca="1">'IS(M)'!AH75*(AG$5&gt;$H17)</f>
        <v>0</v>
      </c>
      <c r="AH17" s="171">
        <f ca="1">'IS(M)'!AI75*(AH$5&gt;$H17)</f>
        <v>0</v>
      </c>
      <c r="AI17" s="171">
        <f ca="1">'IS(M)'!AJ75*(AI$5&gt;$H17)</f>
        <v>0</v>
      </c>
      <c r="AJ17" s="171">
        <f ca="1">'IS(M)'!AK75*(AJ$5&gt;$H17)</f>
        <v>0</v>
      </c>
      <c r="AK17" s="171">
        <f ca="1">'IS(M)'!AL75*(AK$5&gt;$H17)</f>
        <v>0</v>
      </c>
      <c r="AL17" s="171">
        <f ca="1">'IS(M)'!AM75*(AL$5&gt;$H17)</f>
        <v>0</v>
      </c>
      <c r="AM17" s="171">
        <f ca="1">'IS(M)'!AN75*(AM$5&gt;$H17)</f>
        <v>0</v>
      </c>
      <c r="AN17" s="171">
        <f ca="1">'IS(M)'!AO75*(AN$5&gt;$H17)</f>
        <v>0</v>
      </c>
      <c r="AO17" s="171">
        <f ca="1">'IS(M)'!AP75*(AO$5&gt;$H17)</f>
        <v>0</v>
      </c>
      <c r="AP17" s="171">
        <f ca="1">'IS(M)'!AQ75*(AP$5&gt;$H17)</f>
        <v>840000.00000000012</v>
      </c>
      <c r="AQ17" s="171">
        <f ca="1">'IS(M)'!AR75*(AQ$5&gt;$H17)</f>
        <v>0</v>
      </c>
      <c r="AR17" s="171">
        <f ca="1">'IS(M)'!AS75*(AR$5&gt;$H17)</f>
        <v>0</v>
      </c>
      <c r="AS17" s="171">
        <f ca="1">'IS(M)'!AT75*(AS$5&gt;$H17)</f>
        <v>0</v>
      </c>
      <c r="AT17" s="171">
        <f ca="1">'IS(M)'!AU75*(AT$5&gt;$H17)</f>
        <v>0</v>
      </c>
      <c r="AU17" s="171">
        <f ca="1">'IS(M)'!AV75*(AU$5&gt;$H17)</f>
        <v>0</v>
      </c>
      <c r="AV17" s="171">
        <f ca="1">'IS(M)'!AW75*(AV$5&gt;$H17)</f>
        <v>840000.00000000012</v>
      </c>
      <c r="AW17" s="171">
        <f ca="1">'IS(M)'!AX75*(AW$5&gt;$H17)</f>
        <v>0</v>
      </c>
      <c r="AX17" s="171">
        <f ca="1">'IS(M)'!AY75*(AX$5&gt;$H17)</f>
        <v>0</v>
      </c>
      <c r="AY17" s="171">
        <f ca="1">'IS(M)'!AZ75*(AY$5&gt;$H17)</f>
        <v>0</v>
      </c>
      <c r="AZ17" s="171">
        <f ca="1">'IS(M)'!BA75*(AZ$5&gt;$H17)</f>
        <v>0</v>
      </c>
      <c r="BA17" s="171">
        <f ca="1">'IS(M)'!BB75*(BA$5&gt;$H17)</f>
        <v>0</v>
      </c>
      <c r="BB17" s="171">
        <f ca="1">'IS(M)'!BC75*(BB$5&gt;$H17)</f>
        <v>840000.00000000012</v>
      </c>
      <c r="BC17" s="171">
        <f ca="1">'IS(M)'!BD75*(BC$5&gt;$H17)</f>
        <v>0</v>
      </c>
      <c r="BD17" s="171">
        <f ca="1">'IS(M)'!BE75*(BD$5&gt;$H17)</f>
        <v>0</v>
      </c>
      <c r="BE17" s="171">
        <f ca="1">'IS(M)'!BF75*(BE$5&gt;$H17)</f>
        <v>0</v>
      </c>
      <c r="BF17" s="171">
        <f ca="1">'IS(M)'!BG75*(BF$5&gt;$H17)</f>
        <v>0</v>
      </c>
      <c r="BG17" s="171">
        <f ca="1">'IS(M)'!BH75*(BG$5&gt;$H17)</f>
        <v>0</v>
      </c>
      <c r="BH17" s="171">
        <f ca="1">'IS(M)'!BI75*(BH$5&gt;$H17)</f>
        <v>840000.00000000012</v>
      </c>
      <c r="BI17" s="171">
        <f ca="1">'IS(M)'!BJ75*(BI$5&gt;$H17)</f>
        <v>0</v>
      </c>
      <c r="BJ17" s="171">
        <f ca="1">'IS(M)'!BK75*(BJ$5&gt;$H17)</f>
        <v>0</v>
      </c>
      <c r="BK17" s="171">
        <f ca="1">'IS(M)'!BL75*(BK$5&gt;$H17)</f>
        <v>0</v>
      </c>
      <c r="BL17" s="171">
        <f ca="1">'IS(M)'!BM75*(BL$5&gt;$H17)</f>
        <v>0</v>
      </c>
      <c r="BM17" s="171">
        <f ca="1">'IS(M)'!BN75*(BM$5&gt;$H17)</f>
        <v>0</v>
      </c>
      <c r="BN17" s="171">
        <f ca="1">'IS(M)'!BO75*(BN$5&gt;$H17)</f>
        <v>840000.00000000012</v>
      </c>
      <c r="BO17" s="171">
        <f ca="1">'IS(M)'!BP75*(BO$5&gt;$H17)</f>
        <v>0</v>
      </c>
      <c r="BP17" s="171">
        <f ca="1">'IS(M)'!BQ75*(BP$5&gt;$H17)</f>
        <v>0</v>
      </c>
      <c r="BQ17" s="171">
        <f ca="1">'IS(M)'!BR75*(BQ$5&gt;$H17)</f>
        <v>0</v>
      </c>
      <c r="BR17" s="171">
        <f ca="1">'IS(M)'!BS75*(BR$5&gt;$H17)</f>
        <v>0</v>
      </c>
      <c r="BS17" s="171">
        <f ca="1">'IS(M)'!BT75*(BS$5&gt;$H17)</f>
        <v>0</v>
      </c>
      <c r="BT17" s="171">
        <f ca="1">'IS(M)'!BU75*(BT$5&gt;$H17)</f>
        <v>840000.00000000012</v>
      </c>
      <c r="BU17" s="171">
        <f ca="1">'IS(M)'!BV75*(BU$5&gt;$H17)</f>
        <v>0</v>
      </c>
      <c r="BV17" s="171">
        <f ca="1">'IS(M)'!BW75*(BV$5&gt;$H17)</f>
        <v>0</v>
      </c>
      <c r="BW17" s="171">
        <f ca="1">'IS(M)'!BX75*(BW$5&gt;$H17)</f>
        <v>0</v>
      </c>
      <c r="BX17" s="171">
        <f ca="1">'IS(M)'!BY75*(BX$5&gt;$H17)</f>
        <v>0</v>
      </c>
      <c r="BY17" s="171">
        <f ca="1">'IS(M)'!BZ75*(BY$5&gt;$H17)</f>
        <v>0</v>
      </c>
      <c r="BZ17" s="171">
        <f ca="1">'IS(M)'!CA75*(BZ$5&gt;$H17)</f>
        <v>840000.00000000012</v>
      </c>
      <c r="CA17" s="171">
        <f ca="1">'IS(M)'!CB75*(CA$5&gt;$H17)</f>
        <v>0</v>
      </c>
      <c r="CB17" s="171">
        <f ca="1">'IS(M)'!CC75*(CB$5&gt;$H17)</f>
        <v>0</v>
      </c>
      <c r="CC17" s="171">
        <f ca="1">'IS(M)'!CD75*(CC$5&gt;$H17)</f>
        <v>0</v>
      </c>
      <c r="CD17" s="171">
        <f ca="1">'IS(M)'!CE75*(CD$5&gt;$H17)</f>
        <v>0</v>
      </c>
      <c r="CE17" s="171">
        <f ca="1">'IS(M)'!CF75*(CE$5&gt;$H17)</f>
        <v>0</v>
      </c>
      <c r="CF17" s="171">
        <f ca="1">'IS(M)'!CG75*(CF$5&gt;$H17)</f>
        <v>840000.00000000012</v>
      </c>
      <c r="CG17" s="171">
        <f ca="1">'IS(M)'!CH75*(CG$5&gt;$H17)</f>
        <v>0</v>
      </c>
      <c r="CH17" s="171">
        <f ca="1">'IS(M)'!CI75*(CH$5&gt;$H17)</f>
        <v>0</v>
      </c>
      <c r="CI17" s="171">
        <f ca="1">'IS(M)'!CJ75*(CI$5&gt;$H17)</f>
        <v>0</v>
      </c>
      <c r="CJ17" s="171">
        <f ca="1">'IS(M)'!CK75*(CJ$5&gt;$H17)</f>
        <v>0</v>
      </c>
      <c r="CK17" s="171">
        <f ca="1">'IS(M)'!CL75*(CK$5&gt;$H17)</f>
        <v>0</v>
      </c>
      <c r="CL17" s="171">
        <f ca="1">'IS(M)'!CM75*(CL$5&gt;$H17)</f>
        <v>840000.00000000012</v>
      </c>
      <c r="CM17" s="171">
        <f ca="1">'IS(M)'!CN75*(CM$5&gt;$H17)</f>
        <v>0</v>
      </c>
      <c r="CN17" s="171">
        <f ca="1">'IS(M)'!CO75*(CN$5&gt;$H17)</f>
        <v>0</v>
      </c>
      <c r="CO17" s="171">
        <f ca="1">'IS(M)'!CP75*(CO$5&gt;$H17)</f>
        <v>0</v>
      </c>
      <c r="CP17" s="171">
        <f ca="1">'IS(M)'!CQ75*(CP$5&gt;$H17)</f>
        <v>0</v>
      </c>
      <c r="CQ17" s="171">
        <f ca="1">'IS(M)'!CR75*(CQ$5&gt;$H17)</f>
        <v>0</v>
      </c>
      <c r="CR17" s="171">
        <f ca="1">'IS(M)'!CS75*(CR$5&gt;$H17)</f>
        <v>840000.00000000012</v>
      </c>
      <c r="CS17" s="171">
        <f ca="1">'IS(M)'!CT75*(CS$5&gt;$H17)</f>
        <v>0</v>
      </c>
      <c r="CT17" s="171">
        <f ca="1">'IS(M)'!CU75*(CT$5&gt;$H17)</f>
        <v>0</v>
      </c>
      <c r="CU17" s="171">
        <f ca="1">'IS(M)'!CV75*(CU$5&gt;$H17)</f>
        <v>0</v>
      </c>
      <c r="CV17" s="171">
        <f ca="1">'IS(M)'!CW75*(CV$5&gt;$H17)</f>
        <v>0</v>
      </c>
      <c r="CW17" s="171">
        <f ca="1">'IS(M)'!CX75*(CW$5&gt;$H17)</f>
        <v>0</v>
      </c>
      <c r="CX17" s="171">
        <f ca="1">'IS(M)'!CY75*(CX$5&gt;$H17)</f>
        <v>840000.00000000012</v>
      </c>
      <c r="CY17" s="171">
        <f ca="1">'IS(M)'!CZ75*(CY$5&gt;$H17)</f>
        <v>0</v>
      </c>
      <c r="CZ17" s="171">
        <f ca="1">'IS(M)'!DA75*(CZ$5&gt;$H17)</f>
        <v>0</v>
      </c>
      <c r="DA17" s="171">
        <f ca="1">'IS(M)'!DB75*(DA$5&gt;$H17)</f>
        <v>0</v>
      </c>
      <c r="DB17" s="171">
        <f ca="1">'IS(M)'!DC75*(DB$5&gt;$H17)</f>
        <v>0</v>
      </c>
      <c r="DC17" s="171">
        <f ca="1">'IS(M)'!DD75*(DC$5&gt;$H17)</f>
        <v>0</v>
      </c>
      <c r="DD17" s="171">
        <f ca="1">'IS(M)'!DE75*(DD$5&gt;$H17)</f>
        <v>840000.00000000012</v>
      </c>
      <c r="DE17" s="171">
        <f ca="1">'IS(M)'!DF75*(DE$5&gt;$H17)</f>
        <v>0</v>
      </c>
      <c r="DF17" s="171">
        <f ca="1">'IS(M)'!DG75*(DF$5&gt;$H17)</f>
        <v>0</v>
      </c>
      <c r="DG17" s="171">
        <f ca="1">'IS(M)'!DH75*(DG$5&gt;$H17)</f>
        <v>0</v>
      </c>
      <c r="DH17" s="171">
        <f ca="1">'IS(M)'!DI75*(DH$5&gt;$H17)</f>
        <v>0</v>
      </c>
      <c r="DI17" s="171">
        <f ca="1">'IS(M)'!DJ75*(DI$5&gt;$H17)</f>
        <v>0</v>
      </c>
      <c r="DJ17" s="171">
        <f ca="1">'IS(M)'!DK75*(DJ$5&gt;$H17)</f>
        <v>840000.00000000012</v>
      </c>
      <c r="DK17" s="171">
        <f ca="1">'IS(M)'!DL75*(DK$5&gt;$H17)</f>
        <v>0</v>
      </c>
      <c r="DL17" s="171">
        <f ca="1">'IS(M)'!DM75*(DL$5&gt;$H17)</f>
        <v>0</v>
      </c>
      <c r="DM17" s="171">
        <f ca="1">'IS(M)'!DN75*(DM$5&gt;$H17)</f>
        <v>0</v>
      </c>
      <c r="DN17" s="171">
        <f ca="1">'IS(M)'!DO75*(DN$5&gt;$H17)</f>
        <v>0</v>
      </c>
      <c r="DO17" s="171">
        <f ca="1">'IS(M)'!DP75*(DO$5&gt;$H17)</f>
        <v>0</v>
      </c>
      <c r="DP17" s="171">
        <f ca="1">'IS(M)'!DQ75*(DP$5&gt;$H17)</f>
        <v>840000.00000000012</v>
      </c>
      <c r="DQ17" s="171">
        <f ca="1">'IS(M)'!DR75*(DQ$5&gt;$H17)</f>
        <v>0</v>
      </c>
      <c r="DR17" s="171">
        <f ca="1">'IS(M)'!DS75*(DR$5&gt;$H17)</f>
        <v>0</v>
      </c>
      <c r="DS17" s="171">
        <f ca="1">'IS(M)'!DT75*(DS$5&gt;$H17)</f>
        <v>0</v>
      </c>
      <c r="DT17" s="171">
        <f ca="1">'IS(M)'!DU75*(DT$5&gt;$H17)</f>
        <v>0</v>
      </c>
      <c r="DU17" s="171">
        <f ca="1">'IS(M)'!DV75*(DU$5&gt;$H17)</f>
        <v>0</v>
      </c>
      <c r="DV17" s="171">
        <f ca="1">'IS(M)'!DW75*(DV$5&gt;$H17)</f>
        <v>840000.00000000012</v>
      </c>
      <c r="DW17" s="171">
        <f ca="1">'IS(M)'!DX75*(DW$5&gt;$H17)</f>
        <v>0</v>
      </c>
      <c r="DX17" s="171">
        <f ca="1">'IS(M)'!DY75*(DX$5&gt;$H17)</f>
        <v>0</v>
      </c>
      <c r="DY17" s="171">
        <f ca="1">'IS(M)'!DZ75*(DY$5&gt;$H17)</f>
        <v>0</v>
      </c>
      <c r="DZ17" s="171">
        <f ca="1">'IS(M)'!EA75*(DZ$5&gt;$H17)</f>
        <v>0</v>
      </c>
      <c r="EA17" s="171">
        <f ca="1">'IS(M)'!EB75*(EA$5&gt;$H17)</f>
        <v>0</v>
      </c>
      <c r="EB17" s="171">
        <f ca="1">'IS(M)'!EC75*(EB$5&gt;$H17)</f>
        <v>840000.00000000012</v>
      </c>
      <c r="EC17" s="171">
        <f ca="1">'IS(M)'!ED75*(EC$5&gt;$H17)</f>
        <v>0</v>
      </c>
      <c r="ED17" s="171">
        <f ca="1">'IS(M)'!EE75*(ED$5&gt;$H17)</f>
        <v>0</v>
      </c>
      <c r="EE17" s="171">
        <f ca="1">'IS(M)'!EF75*(EE$5&gt;$H17)</f>
        <v>0</v>
      </c>
      <c r="EF17" s="171">
        <f ca="1">'IS(M)'!EG75*(EF$5&gt;$H17)</f>
        <v>0</v>
      </c>
      <c r="EG17" s="171">
        <f ca="1">'IS(M)'!EH75*(EG$5&gt;$H17)</f>
        <v>0</v>
      </c>
      <c r="EH17" s="171">
        <f ca="1">'IS(M)'!EI75*(EH$5&gt;$H17)</f>
        <v>0</v>
      </c>
      <c r="EI17" s="171">
        <f ca="1">'IS(M)'!EJ75*(EI$5&gt;$H17)</f>
        <v>0</v>
      </c>
      <c r="EJ17" s="171">
        <f ca="1">'IS(M)'!EK75*(EJ$5&gt;$H17)</f>
        <v>0</v>
      </c>
      <c r="EK17" s="171">
        <f ca="1">'IS(M)'!EL75*(EK$5&gt;$H17)</f>
        <v>0</v>
      </c>
      <c r="EL17" s="171">
        <f ca="1">'IS(M)'!EM75*(EL$5&gt;$H17)</f>
        <v>0</v>
      </c>
      <c r="EM17" s="171">
        <f ca="1">'IS(M)'!EN75*(EM$5&gt;$H17)</f>
        <v>0</v>
      </c>
      <c r="EN17" s="171">
        <f ca="1">'IS(M)'!EO75*(EN$5&gt;$H17)</f>
        <v>0</v>
      </c>
      <c r="EO17" s="171">
        <f ca="1">'IS(M)'!EP75*(EO$5&gt;$H17)</f>
        <v>0</v>
      </c>
      <c r="EP17" s="171">
        <f ca="1">'IS(M)'!EQ75*(EP$5&gt;$H17)</f>
        <v>0</v>
      </c>
      <c r="EQ17" s="171">
        <f ca="1">'IS(M)'!ER75*(EQ$5&gt;$H17)</f>
        <v>0</v>
      </c>
    </row>
    <row r="18" spans="2:147" ht="13.35" customHeight="1">
      <c r="B18" s="218"/>
      <c r="C18" s="163"/>
      <c r="D18" s="1017" t="s">
        <v>469</v>
      </c>
      <c r="E18" s="1018"/>
      <c r="F18" s="1018"/>
      <c r="G18" s="1019"/>
      <c r="H18" s="1020">
        <f>H17</f>
        <v>47057</v>
      </c>
      <c r="I18" s="1021">
        <f>SUM(J15:J16)</f>
        <v>-360036.61327230558</v>
      </c>
      <c r="J18" s="997">
        <f t="shared" si="6"/>
        <v>-360036.61327230558</v>
      </c>
      <c r="K18" s="98"/>
      <c r="L18" s="997">
        <f>-'CF(M)'!L99*(L$5&gt;$H18)+$I18*(L$13=$H23)</f>
        <v>0</v>
      </c>
      <c r="M18" s="997">
        <f>-'CF(M)'!M99*(M$5&gt;$H18)+$I18*(M$13=$H23)</f>
        <v>0</v>
      </c>
      <c r="N18" s="997">
        <f>-'CF(M)'!N99*(N$5&gt;$H18)+$I18*(N$13=$H23)</f>
        <v>0</v>
      </c>
      <c r="O18" s="997">
        <f>-'CF(M)'!O99*(O$5&gt;$H18)+$I18*(O$13=$H23)</f>
        <v>0</v>
      </c>
      <c r="P18" s="997">
        <f>-'CF(M)'!P99*(P$5&gt;$H18)+$I18*(P$13=$H23)</f>
        <v>0</v>
      </c>
      <c r="Q18" s="997">
        <f>-'CF(M)'!Q99*(Q$5&gt;$H18)+$I18*(Q$13=$H23)</f>
        <v>0</v>
      </c>
      <c r="R18" s="997">
        <f>-'CF(M)'!R99*(R$5&gt;$H18)+$I18*(R$13=$H23)</f>
        <v>0</v>
      </c>
      <c r="S18" s="997">
        <f>-'CF(M)'!S99*(S$5&gt;$H18)+$I18*(S$13=$H23)</f>
        <v>0</v>
      </c>
      <c r="T18" s="997">
        <f>-'CF(M)'!T99*(T$5&gt;$H18)+$I18*(T$13=$H23)</f>
        <v>0</v>
      </c>
      <c r="U18" s="997">
        <f>-'CF(M)'!U99*(U$5&gt;$H18)+$I18*(U$13=$H23)</f>
        <v>0</v>
      </c>
      <c r="V18" s="997">
        <f>-'CF(M)'!V99*(V$5&gt;$H18)+$I18*(V$13=$H23)</f>
        <v>0</v>
      </c>
      <c r="W18" s="997">
        <f>-'CF(M)'!W99*(W$5&gt;$H18)+$I18*(W$13=$H23)</f>
        <v>0</v>
      </c>
      <c r="X18" s="997">
        <f>-'CF(M)'!X99*(X$5&gt;$H18)+$I18*(X$13=$H23)</f>
        <v>0</v>
      </c>
      <c r="Y18" s="997">
        <f>-'CF(M)'!Y99*(Y$5&gt;$H18)+$I18*(Y$13=$H23)</f>
        <v>0</v>
      </c>
      <c r="Z18" s="997">
        <f>-'CF(M)'!Z99*(Z$5&gt;$H18)+$I18*(Z$13=$H23)</f>
        <v>0</v>
      </c>
      <c r="AA18" s="997">
        <f>-'CF(M)'!AA99*(AA$5&gt;$H18)+$I18*(AA$13=$H23)</f>
        <v>0</v>
      </c>
      <c r="AB18" s="997">
        <f>-'CF(M)'!AB99*(AB$5&gt;$H18)+$I18*(AB$13=$H23)</f>
        <v>0</v>
      </c>
      <c r="AC18" s="997">
        <f>-'CF(M)'!AC99*(AC$5&gt;$H18)+$I18*(AC$13=$H23)</f>
        <v>0</v>
      </c>
      <c r="AD18" s="997">
        <f>-'CF(M)'!AD99*(AD$5&gt;$H18)+$I18*(AD$13=$H23)</f>
        <v>0</v>
      </c>
      <c r="AE18" s="997">
        <f>-'CF(M)'!AE99*(AE$5&gt;$H18)+$I18*(AE$13=$H23)</f>
        <v>0</v>
      </c>
      <c r="AF18" s="997">
        <f>-'CF(M)'!AF99*(AF$5&gt;$H18)+$I18*(AF$13=$H23)</f>
        <v>0</v>
      </c>
      <c r="AG18" s="997">
        <f>-'CF(M)'!AG99*(AG$5&gt;$H18)+$I18*(AG$13=$H23)</f>
        <v>0</v>
      </c>
      <c r="AH18" s="997">
        <f>-'CF(M)'!AH99*(AH$5&gt;$H18)+$I18*(AH$13=$H23)</f>
        <v>0</v>
      </c>
      <c r="AI18" s="997">
        <f>-'CF(M)'!AI99*(AI$5&gt;$H18)+$I18*(AI$13=$H23)</f>
        <v>0</v>
      </c>
      <c r="AJ18" s="997">
        <f>-'CF(M)'!AJ99*(AJ$5&gt;$H18)+$I18*(AJ$13=$H23)</f>
        <v>0</v>
      </c>
      <c r="AK18" s="997">
        <f>-'CF(M)'!AK99*(AK$5&gt;$H18)+$I18*(AK$13=$H23)</f>
        <v>0</v>
      </c>
      <c r="AL18" s="997">
        <f>-'CF(M)'!AL99*(AL$5&gt;$H18)+$I18*(AL$13=$H23)</f>
        <v>0</v>
      </c>
      <c r="AM18" s="997">
        <f>-'CF(M)'!AM99*(AM$5&gt;$H18)+$I18*(AM$13=$H23)</f>
        <v>0</v>
      </c>
      <c r="AN18" s="997">
        <f>-'CF(M)'!AN99*(AN$5&gt;$H18)+$I18*(AN$13=$H23)</f>
        <v>0</v>
      </c>
      <c r="AO18" s="997">
        <f>-'CF(M)'!AO99*(AO$5&gt;$H18)+$I18*(AO$13=$H23)</f>
        <v>0</v>
      </c>
      <c r="AP18" s="997">
        <f>-'CF(M)'!AP99*(AP$5&gt;$H18)+$I18*(AP$13=$H23)</f>
        <v>0</v>
      </c>
      <c r="AQ18" s="997">
        <f>-'CF(M)'!AQ99*(AQ$5&gt;$H18)+$I18*(AQ$13=$H23)</f>
        <v>0</v>
      </c>
      <c r="AR18" s="997">
        <f>-'CF(M)'!AR99*(AR$5&gt;$H18)+$I18*(AR$13=$H23)</f>
        <v>0</v>
      </c>
      <c r="AS18" s="997">
        <f>-'CF(M)'!AS99*(AS$5&gt;$H18)+$I18*(AS$13=$H23)</f>
        <v>0</v>
      </c>
      <c r="AT18" s="997">
        <f>-'CF(M)'!AT99*(AT$5&gt;$H18)+$I18*(AT$13=$H23)</f>
        <v>0</v>
      </c>
      <c r="AU18" s="997">
        <f>-'CF(M)'!AU99*(AU$5&gt;$H18)+$I18*(AU$13=$H23)</f>
        <v>0</v>
      </c>
      <c r="AV18" s="997">
        <f>-'CF(M)'!AV99*(AV$5&gt;$H18)+$I18*(AV$13=$H23)</f>
        <v>0</v>
      </c>
      <c r="AW18" s="997">
        <f>-'CF(M)'!AW99*(AW$5&gt;$H18)+$I18*(AW$13=$H23)</f>
        <v>0</v>
      </c>
      <c r="AX18" s="997">
        <f>-'CF(M)'!AX99*(AX$5&gt;$H18)+$I18*(AX$13=$H23)</f>
        <v>0</v>
      </c>
      <c r="AY18" s="997">
        <f>-'CF(M)'!AY99*(AY$5&gt;$H18)+$I18*(AY$13=$H23)</f>
        <v>0</v>
      </c>
      <c r="AZ18" s="997">
        <f>-'CF(M)'!AZ99*(AZ$5&gt;$H18)+$I18*(AZ$13=$H23)</f>
        <v>0</v>
      </c>
      <c r="BA18" s="997">
        <f>-'CF(M)'!BA99*(BA$5&gt;$H18)+$I18*(BA$13=$H23)</f>
        <v>0</v>
      </c>
      <c r="BB18" s="997">
        <f>-'CF(M)'!BB99*(BB$5&gt;$H18)+$I18*(BB$13=$H23)</f>
        <v>0</v>
      </c>
      <c r="BC18" s="997">
        <f>-'CF(M)'!BC99*(BC$5&gt;$H18)+$I18*(BC$13=$H23)</f>
        <v>0</v>
      </c>
      <c r="BD18" s="997">
        <f>-'CF(M)'!BD99*(BD$5&gt;$H18)+$I18*(BD$13=$H23)</f>
        <v>0</v>
      </c>
      <c r="BE18" s="997">
        <f>-'CF(M)'!BE99*(BE$5&gt;$H18)+$I18*(BE$13=$H23)</f>
        <v>0</v>
      </c>
      <c r="BF18" s="997">
        <f>-'CF(M)'!BF99*(BF$5&gt;$H18)+$I18*(BF$13=$H23)</f>
        <v>0</v>
      </c>
      <c r="BG18" s="997">
        <f>-'CF(M)'!BG99*(BG$5&gt;$H18)+$I18*(BG$13=$H23)</f>
        <v>0</v>
      </c>
      <c r="BH18" s="997">
        <f>-'CF(M)'!BH99*(BH$5&gt;$H18)+$I18*(BH$13=$H23)</f>
        <v>0</v>
      </c>
      <c r="BI18" s="997">
        <f>-'CF(M)'!BI99*(BI$5&gt;$H18)+$I18*(BI$13=$H23)</f>
        <v>0</v>
      </c>
      <c r="BJ18" s="997">
        <f>-'CF(M)'!BJ99*(BJ$5&gt;$H18)+$I18*(BJ$13=$H23)</f>
        <v>0</v>
      </c>
      <c r="BK18" s="997">
        <f>-'CF(M)'!BK99*(BK$5&gt;$H18)+$I18*(BK$13=$H23)</f>
        <v>0</v>
      </c>
      <c r="BL18" s="997">
        <f>-'CF(M)'!BL99*(BL$5&gt;$H18)+$I18*(BL$13=$H23)</f>
        <v>0</v>
      </c>
      <c r="BM18" s="997">
        <f>-'CF(M)'!BM99*(BM$5&gt;$H18)+$I18*(BM$13=$H23)</f>
        <v>0</v>
      </c>
      <c r="BN18" s="997">
        <f>-'CF(M)'!BN99*(BN$5&gt;$H18)+$I18*(BN$13=$H23)</f>
        <v>0</v>
      </c>
      <c r="BO18" s="997">
        <f>-'CF(M)'!BO99*(BO$5&gt;$H18)+$I18*(BO$13=$H23)</f>
        <v>0</v>
      </c>
      <c r="BP18" s="997">
        <f>-'CF(M)'!BP99*(BP$5&gt;$H18)+$I18*(BP$13=$H23)</f>
        <v>0</v>
      </c>
      <c r="BQ18" s="997">
        <f>-'CF(M)'!BQ99*(BQ$5&gt;$H18)+$I18*(BQ$13=$H23)</f>
        <v>0</v>
      </c>
      <c r="BR18" s="997">
        <f>-'CF(M)'!BR99*(BR$5&gt;$H18)+$I18*(BR$13=$H23)</f>
        <v>0</v>
      </c>
      <c r="BS18" s="997">
        <f>-'CF(M)'!BS99*(BS$5&gt;$H18)+$I18*(BS$13=$H23)</f>
        <v>0</v>
      </c>
      <c r="BT18" s="997">
        <f>-'CF(M)'!BT99*(BT$5&gt;$H18)+$I18*(BT$13=$H23)</f>
        <v>0</v>
      </c>
      <c r="BU18" s="997">
        <f>-'CF(M)'!BU99*(BU$5&gt;$H18)+$I18*(BU$13=$H23)</f>
        <v>0</v>
      </c>
      <c r="BV18" s="997">
        <f>-'CF(M)'!BV99*(BV$5&gt;$H18)+$I18*(BV$13=$H23)</f>
        <v>0</v>
      </c>
      <c r="BW18" s="997">
        <f>-'CF(M)'!BW99*(BW$5&gt;$H18)+$I18*(BW$13=$H23)</f>
        <v>0</v>
      </c>
      <c r="BX18" s="997">
        <f>-'CF(M)'!BX99*(BX$5&gt;$H18)+$I18*(BX$13=$H23)</f>
        <v>0</v>
      </c>
      <c r="BY18" s="997">
        <f>-'CF(M)'!BY99*(BY$5&gt;$H18)+$I18*(BY$13=$H23)</f>
        <v>0</v>
      </c>
      <c r="BZ18" s="997">
        <f>-'CF(M)'!BZ99*(BZ$5&gt;$H18)+$I18*(BZ$13=$H23)</f>
        <v>0</v>
      </c>
      <c r="CA18" s="997">
        <f>-'CF(M)'!CA99*(CA$5&gt;$H18)+$I18*(CA$13=$H23)</f>
        <v>0</v>
      </c>
      <c r="CB18" s="997">
        <f>-'CF(M)'!CB99*(CB$5&gt;$H18)+$I18*(CB$13=$H23)</f>
        <v>0</v>
      </c>
      <c r="CC18" s="997">
        <f>-'CF(M)'!CC99*(CC$5&gt;$H18)+$I18*(CC$13=$H23)</f>
        <v>0</v>
      </c>
      <c r="CD18" s="997">
        <f>-'CF(M)'!CD99*(CD$5&gt;$H18)+$I18*(CD$13=$H23)</f>
        <v>0</v>
      </c>
      <c r="CE18" s="997">
        <f>-'CF(M)'!CE99*(CE$5&gt;$H18)+$I18*(CE$13=$H23)</f>
        <v>0</v>
      </c>
      <c r="CF18" s="997">
        <f>-'CF(M)'!CF99*(CF$5&gt;$H18)+$I18*(CF$13=$H23)</f>
        <v>0</v>
      </c>
      <c r="CG18" s="997">
        <f>-'CF(M)'!CG99*(CG$5&gt;$H18)+$I18*(CG$13=$H23)</f>
        <v>0</v>
      </c>
      <c r="CH18" s="997">
        <f>-'CF(M)'!CH99*(CH$5&gt;$H18)+$I18*(CH$13=$H23)</f>
        <v>0</v>
      </c>
      <c r="CI18" s="997">
        <f>-'CF(M)'!CI99*(CI$5&gt;$H18)+$I18*(CI$13=$H23)</f>
        <v>0</v>
      </c>
      <c r="CJ18" s="997">
        <f>-'CF(M)'!CJ99*(CJ$5&gt;$H18)+$I18*(CJ$13=$H23)</f>
        <v>0</v>
      </c>
      <c r="CK18" s="997">
        <f>-'CF(M)'!CK99*(CK$5&gt;$H18)+$I18*(CK$13=$H23)</f>
        <v>0</v>
      </c>
      <c r="CL18" s="997">
        <f>-'CF(M)'!CL99*(CL$5&gt;$H18)+$I18*(CL$13=$H23)</f>
        <v>0</v>
      </c>
      <c r="CM18" s="997">
        <f>-'CF(M)'!CM99*(CM$5&gt;$H18)+$I18*(CM$13=$H23)</f>
        <v>0</v>
      </c>
      <c r="CN18" s="997">
        <f>-'CF(M)'!CN99*(CN$5&gt;$H18)+$I18*(CN$13=$H23)</f>
        <v>0</v>
      </c>
      <c r="CO18" s="997">
        <f>-'CF(M)'!CO99*(CO$5&gt;$H18)+$I18*(CO$13=$H23)</f>
        <v>0</v>
      </c>
      <c r="CP18" s="997">
        <f>-'CF(M)'!CP99*(CP$5&gt;$H18)+$I18*(CP$13=$H23)</f>
        <v>0</v>
      </c>
      <c r="CQ18" s="997">
        <f>-'CF(M)'!CQ99*(CQ$5&gt;$H18)+$I18*(CQ$13=$H23)</f>
        <v>0</v>
      </c>
      <c r="CR18" s="997">
        <f>-'CF(M)'!CR99*(CR$5&gt;$H18)+$I18*(CR$13=$H23)</f>
        <v>0</v>
      </c>
      <c r="CS18" s="997">
        <f>-'CF(M)'!CS99*(CS$5&gt;$H18)+$I18*(CS$13=$H23)</f>
        <v>0</v>
      </c>
      <c r="CT18" s="997">
        <f>-'CF(M)'!CT99*(CT$5&gt;$H18)+$I18*(CT$13=$H23)</f>
        <v>0</v>
      </c>
      <c r="CU18" s="997">
        <f>-'CF(M)'!CU99*(CU$5&gt;$H18)+$I18*(CU$13=$H23)</f>
        <v>0</v>
      </c>
      <c r="CV18" s="997">
        <f>-'CF(M)'!CV99*(CV$5&gt;$H18)+$I18*(CV$13=$H23)</f>
        <v>0</v>
      </c>
      <c r="CW18" s="997">
        <f>-'CF(M)'!CW99*(CW$5&gt;$H18)+$I18*(CW$13=$H23)</f>
        <v>0</v>
      </c>
      <c r="CX18" s="997">
        <f>-'CF(M)'!CX99*(CX$5&gt;$H18)+$I18*(CX$13=$H23)</f>
        <v>0</v>
      </c>
      <c r="CY18" s="997">
        <f>-'CF(M)'!CY99*(CY$5&gt;$H18)+$I18*(CY$13=$H23)</f>
        <v>0</v>
      </c>
      <c r="CZ18" s="997">
        <f>-'CF(M)'!CZ99*(CZ$5&gt;$H18)+$I18*(CZ$13=$H23)</f>
        <v>0</v>
      </c>
      <c r="DA18" s="997">
        <f>-'CF(M)'!DA99*(DA$5&gt;$H18)+$I18*(DA$13=$H23)</f>
        <v>0</v>
      </c>
      <c r="DB18" s="997">
        <f>-'CF(M)'!DB99*(DB$5&gt;$H18)+$I18*(DB$13=$H23)</f>
        <v>0</v>
      </c>
      <c r="DC18" s="997">
        <f>-'CF(M)'!DC99*(DC$5&gt;$H18)+$I18*(DC$13=$H23)</f>
        <v>0</v>
      </c>
      <c r="DD18" s="997">
        <f>-'CF(M)'!DD99*(DD$5&gt;$H18)+$I18*(DD$13=$H23)</f>
        <v>0</v>
      </c>
      <c r="DE18" s="997">
        <f>-'CF(M)'!DE99*(DE$5&gt;$H18)+$I18*(DE$13=$H23)</f>
        <v>0</v>
      </c>
      <c r="DF18" s="997">
        <f>-'CF(M)'!DF99*(DF$5&gt;$H18)+$I18*(DF$13=$H23)</f>
        <v>0</v>
      </c>
      <c r="DG18" s="997">
        <f>-'CF(M)'!DG99*(DG$5&gt;$H18)+$I18*(DG$13=$H23)</f>
        <v>0</v>
      </c>
      <c r="DH18" s="997">
        <f>-'CF(M)'!DH99*(DH$5&gt;$H18)+$I18*(DH$13=$H23)</f>
        <v>0</v>
      </c>
      <c r="DI18" s="997">
        <f>-'CF(M)'!DI99*(DI$5&gt;$H18)+$I18*(DI$13=$H23)</f>
        <v>0</v>
      </c>
      <c r="DJ18" s="997">
        <f>-'CF(M)'!DJ99*(DJ$5&gt;$H18)+$I18*(DJ$13=$H23)</f>
        <v>0</v>
      </c>
      <c r="DK18" s="997">
        <f>-'CF(M)'!DK99*(DK$5&gt;$H18)+$I18*(DK$13=$H23)</f>
        <v>0</v>
      </c>
      <c r="DL18" s="997">
        <f>-'CF(M)'!DL99*(DL$5&gt;$H18)+$I18*(DL$13=$H23)</f>
        <v>0</v>
      </c>
      <c r="DM18" s="997">
        <f>-'CF(M)'!DM99*(DM$5&gt;$H18)+$I18*(DM$13=$H23)</f>
        <v>0</v>
      </c>
      <c r="DN18" s="997">
        <f>-'CF(M)'!DN99*(DN$5&gt;$H18)+$I18*(DN$13=$H23)</f>
        <v>0</v>
      </c>
      <c r="DO18" s="997">
        <f>-'CF(M)'!DO99*(DO$5&gt;$H18)+$I18*(DO$13=$H23)</f>
        <v>0</v>
      </c>
      <c r="DP18" s="997">
        <f>-'CF(M)'!DP99*(DP$5&gt;$H18)+$I18*(DP$13=$H23)</f>
        <v>0</v>
      </c>
      <c r="DQ18" s="997">
        <f>-'CF(M)'!DQ99*(DQ$5&gt;$H18)+$I18*(DQ$13=$H23)</f>
        <v>0</v>
      </c>
      <c r="DR18" s="997">
        <f>-'CF(M)'!DR99*(DR$5&gt;$H18)+$I18*(DR$13=$H23)</f>
        <v>0</v>
      </c>
      <c r="DS18" s="997">
        <f>-'CF(M)'!DS99*(DS$5&gt;$H18)+$I18*(DS$13=$H23)</f>
        <v>0</v>
      </c>
      <c r="DT18" s="997">
        <f>-'CF(M)'!DT99*(DT$5&gt;$H18)+$I18*(DT$13=$H23)</f>
        <v>0</v>
      </c>
      <c r="DU18" s="997">
        <f>-'CF(M)'!DU99*(DU$5&gt;$H18)+$I18*(DU$13=$H23)</f>
        <v>0</v>
      </c>
      <c r="DV18" s="997">
        <f>-'CF(M)'!DV99*(DV$5&gt;$H18)+$I18*(DV$13=$H23)</f>
        <v>0</v>
      </c>
      <c r="DW18" s="997">
        <f>-'CF(M)'!DW99*(DW$5&gt;$H18)+$I18*(DW$13=$H23)</f>
        <v>0</v>
      </c>
      <c r="DX18" s="997">
        <f>-'CF(M)'!DX99*(DX$5&gt;$H18)+$I18*(DX$13=$H23)</f>
        <v>0</v>
      </c>
      <c r="DY18" s="997">
        <f>-'CF(M)'!DY99*(DY$5&gt;$H18)+$I18*(DY$13=$H23)</f>
        <v>0</v>
      </c>
      <c r="DZ18" s="997">
        <f>-'CF(M)'!DZ99*(DZ$5&gt;$H18)+$I18*(DZ$13=$H23)</f>
        <v>0</v>
      </c>
      <c r="EA18" s="997">
        <f>-'CF(M)'!EA99*(EA$5&gt;$H18)+$I18*(EA$13=$H23)</f>
        <v>0</v>
      </c>
      <c r="EB18" s="997">
        <f>-'CF(M)'!EB99*(EB$5&gt;$H18)+$I18*(EB$13=$H23)</f>
        <v>-360036.61327230558</v>
      </c>
      <c r="EC18" s="997">
        <f>-'CF(M)'!EC99*(EC$5&gt;$H18)+$I18*(EC$13=$H23)</f>
        <v>0</v>
      </c>
      <c r="ED18" s="997">
        <f>-'CF(M)'!ED99*(ED$5&gt;$H18)+$I18*(ED$13=$H23)</f>
        <v>0</v>
      </c>
      <c r="EE18" s="997">
        <f>-'CF(M)'!EE99*(EE$5&gt;$H18)+$I18*(EE$13=$H23)</f>
        <v>0</v>
      </c>
      <c r="EF18" s="997">
        <f>-'CF(M)'!EF99*(EF$5&gt;$H18)+$I18*(EF$13=$H23)</f>
        <v>0</v>
      </c>
      <c r="EG18" s="997">
        <f>-'CF(M)'!EG99*(EG$5&gt;$H18)+$I18*(EG$13=$H23)</f>
        <v>0</v>
      </c>
      <c r="EH18" s="997">
        <f>-'CF(M)'!EH99*(EH$5&gt;$H18)+$I18*(EH$13=$H23)</f>
        <v>0</v>
      </c>
      <c r="EI18" s="997">
        <f>-'CF(M)'!EI99*(EI$5&gt;$H18)+$I18*(EI$13=$H23)</f>
        <v>0</v>
      </c>
      <c r="EJ18" s="997">
        <f>-'CF(M)'!EJ99*(EJ$5&gt;$H18)+$I18*(EJ$13=$H23)</f>
        <v>0</v>
      </c>
      <c r="EK18" s="997">
        <f>-'CF(M)'!EK99*(EK$5&gt;$H18)+$I18*(EK$13=$H23)</f>
        <v>0</v>
      </c>
      <c r="EL18" s="997">
        <f>-'CF(M)'!EL99*(EL$5&gt;$H18)+$I18*(EL$13=$H23)</f>
        <v>0</v>
      </c>
      <c r="EM18" s="997">
        <f>-'CF(M)'!EM99*(EM$5&gt;$H18)+$I18*(EM$13=$H23)</f>
        <v>0</v>
      </c>
      <c r="EN18" s="997">
        <f>-'CF(M)'!EN99*(EN$5&gt;$H18)+$I18*(EN$13=$H23)</f>
        <v>0</v>
      </c>
      <c r="EO18" s="997">
        <f>-'CF(M)'!EO99*(EO$5&gt;$H18)+$I18*(EO$13=$H23)</f>
        <v>0</v>
      </c>
      <c r="EP18" s="997">
        <f>-'CF(M)'!EP99*(EP$5&gt;$H18)+$I18*(EP$13=$H23)</f>
        <v>0</v>
      </c>
      <c r="EQ18" s="997">
        <f>-'CF(M)'!EQ99*(EQ$5&gt;$H18)+$I18*(EQ$13=$H23)</f>
        <v>0</v>
      </c>
    </row>
    <row r="19" spans="2:147" ht="13.35" customHeight="1">
      <c r="B19" s="218"/>
      <c r="C19" s="163"/>
      <c r="D19" s="169" t="s">
        <v>598</v>
      </c>
      <c r="G19" s="1031" t="s">
        <v>603</v>
      </c>
      <c r="H19" s="1032">
        <f ca="1">(J17/I15)*(12/H20)</f>
        <v>6.8965413585818272E-2</v>
      </c>
      <c r="I19" s="1022">
        <f ca="1">(IRR($L19:$EQ19,0.01)+1)^12-1</f>
        <v>6.8682525419865303E-2</v>
      </c>
      <c r="J19" s="171">
        <f t="shared" ca="1" si="6"/>
        <v>13079963.386727694</v>
      </c>
      <c r="K19" s="98"/>
      <c r="L19" s="171">
        <f ca="1">SUM(L15:L17)</f>
        <v>0</v>
      </c>
      <c r="M19" s="171">
        <f t="shared" ref="M19:BX19" ca="1" si="9">SUM(M15:M17)</f>
        <v>0</v>
      </c>
      <c r="N19" s="171">
        <f t="shared" ca="1" si="9"/>
        <v>0</v>
      </c>
      <c r="O19" s="171">
        <f t="shared" ca="1" si="9"/>
        <v>0</v>
      </c>
      <c r="P19" s="171">
        <f t="shared" ca="1" si="9"/>
        <v>0</v>
      </c>
      <c r="Q19" s="171">
        <f t="shared" ca="1" si="9"/>
        <v>0</v>
      </c>
      <c r="R19" s="171">
        <f t="shared" ca="1" si="9"/>
        <v>0</v>
      </c>
      <c r="S19" s="171">
        <f t="shared" ca="1" si="9"/>
        <v>0</v>
      </c>
      <c r="T19" s="171">
        <f t="shared" ca="1" si="9"/>
        <v>0</v>
      </c>
      <c r="U19" s="171">
        <f t="shared" ca="1" si="9"/>
        <v>0</v>
      </c>
      <c r="V19" s="171">
        <f t="shared" ca="1" si="9"/>
        <v>0</v>
      </c>
      <c r="W19" s="171">
        <f t="shared" ca="1" si="9"/>
        <v>0</v>
      </c>
      <c r="X19" s="171">
        <f t="shared" ca="1" si="9"/>
        <v>0</v>
      </c>
      <c r="Y19" s="171">
        <f t="shared" ca="1" si="9"/>
        <v>0</v>
      </c>
      <c r="Z19" s="171">
        <f t="shared" ca="1" si="9"/>
        <v>0</v>
      </c>
      <c r="AA19" s="171">
        <f t="shared" ca="1" si="9"/>
        <v>0</v>
      </c>
      <c r="AB19" s="171">
        <f t="shared" ca="1" si="9"/>
        <v>0</v>
      </c>
      <c r="AC19" s="171">
        <f t="shared" ca="1" si="9"/>
        <v>0</v>
      </c>
      <c r="AD19" s="171">
        <f t="shared" ca="1" si="9"/>
        <v>0</v>
      </c>
      <c r="AE19" s="171">
        <f t="shared" ca="1" si="9"/>
        <v>0</v>
      </c>
      <c r="AF19" s="171">
        <f t="shared" ca="1" si="9"/>
        <v>0</v>
      </c>
      <c r="AG19" s="171">
        <f t="shared" ca="1" si="9"/>
        <v>0</v>
      </c>
      <c r="AH19" s="171">
        <f t="shared" ca="1" si="9"/>
        <v>0</v>
      </c>
      <c r="AI19" s="171">
        <f t="shared" ca="1" si="9"/>
        <v>0</v>
      </c>
      <c r="AJ19" s="171">
        <f t="shared" ca="1" si="9"/>
        <v>-24360036.613272306</v>
      </c>
      <c r="AK19" s="171">
        <f t="shared" ca="1" si="9"/>
        <v>0</v>
      </c>
      <c r="AL19" s="171">
        <f t="shared" ca="1" si="9"/>
        <v>0</v>
      </c>
      <c r="AM19" s="171">
        <f t="shared" ca="1" si="9"/>
        <v>0</v>
      </c>
      <c r="AN19" s="171">
        <f t="shared" ca="1" si="9"/>
        <v>0</v>
      </c>
      <c r="AO19" s="171">
        <f t="shared" ca="1" si="9"/>
        <v>0</v>
      </c>
      <c r="AP19" s="171">
        <f t="shared" ca="1" si="9"/>
        <v>840000.00000000012</v>
      </c>
      <c r="AQ19" s="171">
        <f t="shared" ca="1" si="9"/>
        <v>0</v>
      </c>
      <c r="AR19" s="171">
        <f t="shared" ca="1" si="9"/>
        <v>0</v>
      </c>
      <c r="AS19" s="171">
        <f t="shared" ca="1" si="9"/>
        <v>0</v>
      </c>
      <c r="AT19" s="171">
        <f t="shared" ca="1" si="9"/>
        <v>0</v>
      </c>
      <c r="AU19" s="171">
        <f t="shared" ca="1" si="9"/>
        <v>0</v>
      </c>
      <c r="AV19" s="171">
        <f t="shared" ca="1" si="9"/>
        <v>840000.00000000012</v>
      </c>
      <c r="AW19" s="171">
        <f t="shared" ca="1" si="9"/>
        <v>0</v>
      </c>
      <c r="AX19" s="171">
        <f t="shared" ca="1" si="9"/>
        <v>0</v>
      </c>
      <c r="AY19" s="171">
        <f t="shared" ca="1" si="9"/>
        <v>0</v>
      </c>
      <c r="AZ19" s="171">
        <f t="shared" ca="1" si="9"/>
        <v>0</v>
      </c>
      <c r="BA19" s="171">
        <f t="shared" ca="1" si="9"/>
        <v>0</v>
      </c>
      <c r="BB19" s="171">
        <f t="shared" ca="1" si="9"/>
        <v>840000.00000000012</v>
      </c>
      <c r="BC19" s="171">
        <f t="shared" ca="1" si="9"/>
        <v>0</v>
      </c>
      <c r="BD19" s="171">
        <f t="shared" ca="1" si="9"/>
        <v>0</v>
      </c>
      <c r="BE19" s="171">
        <f t="shared" ca="1" si="9"/>
        <v>0</v>
      </c>
      <c r="BF19" s="171">
        <f t="shared" ca="1" si="9"/>
        <v>0</v>
      </c>
      <c r="BG19" s="171">
        <f t="shared" ca="1" si="9"/>
        <v>0</v>
      </c>
      <c r="BH19" s="171">
        <f t="shared" ca="1" si="9"/>
        <v>840000.00000000012</v>
      </c>
      <c r="BI19" s="171">
        <f t="shared" ca="1" si="9"/>
        <v>0</v>
      </c>
      <c r="BJ19" s="171">
        <f t="shared" ca="1" si="9"/>
        <v>0</v>
      </c>
      <c r="BK19" s="171">
        <f t="shared" ca="1" si="9"/>
        <v>0</v>
      </c>
      <c r="BL19" s="171">
        <f t="shared" ca="1" si="9"/>
        <v>0</v>
      </c>
      <c r="BM19" s="171">
        <f t="shared" ca="1" si="9"/>
        <v>0</v>
      </c>
      <c r="BN19" s="171">
        <f t="shared" ca="1" si="9"/>
        <v>840000.00000000012</v>
      </c>
      <c r="BO19" s="171">
        <f t="shared" ca="1" si="9"/>
        <v>0</v>
      </c>
      <c r="BP19" s="171">
        <f t="shared" ca="1" si="9"/>
        <v>0</v>
      </c>
      <c r="BQ19" s="171">
        <f t="shared" ca="1" si="9"/>
        <v>0</v>
      </c>
      <c r="BR19" s="171">
        <f t="shared" ca="1" si="9"/>
        <v>0</v>
      </c>
      <c r="BS19" s="171">
        <f t="shared" ca="1" si="9"/>
        <v>0</v>
      </c>
      <c r="BT19" s="171">
        <f t="shared" ca="1" si="9"/>
        <v>840000.00000000012</v>
      </c>
      <c r="BU19" s="171">
        <f t="shared" ca="1" si="9"/>
        <v>0</v>
      </c>
      <c r="BV19" s="171">
        <f t="shared" ca="1" si="9"/>
        <v>0</v>
      </c>
      <c r="BW19" s="171">
        <f t="shared" ca="1" si="9"/>
        <v>0</v>
      </c>
      <c r="BX19" s="171">
        <f t="shared" ca="1" si="9"/>
        <v>0</v>
      </c>
      <c r="BY19" s="171">
        <f t="shared" ref="BY19:DS19" ca="1" si="10">SUM(BY15:BY17)</f>
        <v>0</v>
      </c>
      <c r="BZ19" s="171">
        <f t="shared" ca="1" si="10"/>
        <v>840000.00000000012</v>
      </c>
      <c r="CA19" s="171">
        <f t="shared" ca="1" si="10"/>
        <v>0</v>
      </c>
      <c r="CB19" s="171">
        <f t="shared" ca="1" si="10"/>
        <v>0</v>
      </c>
      <c r="CC19" s="171">
        <f t="shared" ca="1" si="10"/>
        <v>0</v>
      </c>
      <c r="CD19" s="171">
        <f t="shared" ca="1" si="10"/>
        <v>0</v>
      </c>
      <c r="CE19" s="171">
        <f t="shared" ca="1" si="10"/>
        <v>0</v>
      </c>
      <c r="CF19" s="171">
        <f t="shared" ca="1" si="10"/>
        <v>840000.00000000012</v>
      </c>
      <c r="CG19" s="171">
        <f t="shared" ca="1" si="10"/>
        <v>0</v>
      </c>
      <c r="CH19" s="171">
        <f t="shared" ca="1" si="10"/>
        <v>0</v>
      </c>
      <c r="CI19" s="171">
        <f t="shared" ca="1" si="10"/>
        <v>0</v>
      </c>
      <c r="CJ19" s="171">
        <f t="shared" ca="1" si="10"/>
        <v>0</v>
      </c>
      <c r="CK19" s="171">
        <f t="shared" ca="1" si="10"/>
        <v>0</v>
      </c>
      <c r="CL19" s="171">
        <f t="shared" ca="1" si="10"/>
        <v>840000.00000000012</v>
      </c>
      <c r="CM19" s="171">
        <f t="shared" ca="1" si="10"/>
        <v>0</v>
      </c>
      <c r="CN19" s="171">
        <f t="shared" ca="1" si="10"/>
        <v>0</v>
      </c>
      <c r="CO19" s="171">
        <f t="shared" ca="1" si="10"/>
        <v>0</v>
      </c>
      <c r="CP19" s="171">
        <f t="shared" ca="1" si="10"/>
        <v>0</v>
      </c>
      <c r="CQ19" s="171">
        <f t="shared" ca="1" si="10"/>
        <v>0</v>
      </c>
      <c r="CR19" s="171">
        <f t="shared" ca="1" si="10"/>
        <v>840000.00000000012</v>
      </c>
      <c r="CS19" s="171">
        <f t="shared" ca="1" si="10"/>
        <v>0</v>
      </c>
      <c r="CT19" s="171">
        <f t="shared" ca="1" si="10"/>
        <v>0</v>
      </c>
      <c r="CU19" s="171">
        <f t="shared" ca="1" si="10"/>
        <v>0</v>
      </c>
      <c r="CV19" s="171">
        <f t="shared" ca="1" si="10"/>
        <v>0</v>
      </c>
      <c r="CW19" s="171">
        <f t="shared" ca="1" si="10"/>
        <v>0</v>
      </c>
      <c r="CX19" s="171">
        <f t="shared" ca="1" si="10"/>
        <v>840000.00000000012</v>
      </c>
      <c r="CY19" s="171">
        <f t="shared" ca="1" si="10"/>
        <v>0</v>
      </c>
      <c r="CZ19" s="171">
        <f t="shared" ca="1" si="10"/>
        <v>0</v>
      </c>
      <c r="DA19" s="171">
        <f t="shared" ca="1" si="10"/>
        <v>0</v>
      </c>
      <c r="DB19" s="171">
        <f t="shared" ca="1" si="10"/>
        <v>0</v>
      </c>
      <c r="DC19" s="171">
        <f t="shared" ca="1" si="10"/>
        <v>0</v>
      </c>
      <c r="DD19" s="171">
        <f t="shared" ca="1" si="10"/>
        <v>840000.00000000012</v>
      </c>
      <c r="DE19" s="171">
        <f t="shared" ca="1" si="10"/>
        <v>0</v>
      </c>
      <c r="DF19" s="171">
        <f t="shared" ca="1" si="10"/>
        <v>0</v>
      </c>
      <c r="DG19" s="171">
        <f t="shared" ca="1" si="10"/>
        <v>0</v>
      </c>
      <c r="DH19" s="171">
        <f t="shared" ca="1" si="10"/>
        <v>0</v>
      </c>
      <c r="DI19" s="171">
        <f t="shared" ca="1" si="10"/>
        <v>0</v>
      </c>
      <c r="DJ19" s="171">
        <f t="shared" ca="1" si="10"/>
        <v>840000.00000000012</v>
      </c>
      <c r="DK19" s="171">
        <f t="shared" ca="1" si="10"/>
        <v>0</v>
      </c>
      <c r="DL19" s="171">
        <f t="shared" ca="1" si="10"/>
        <v>0</v>
      </c>
      <c r="DM19" s="171">
        <f t="shared" ca="1" si="10"/>
        <v>0</v>
      </c>
      <c r="DN19" s="171">
        <f t="shared" ca="1" si="10"/>
        <v>0</v>
      </c>
      <c r="DO19" s="171">
        <f t="shared" ca="1" si="10"/>
        <v>0</v>
      </c>
      <c r="DP19" s="171">
        <f t="shared" ca="1" si="10"/>
        <v>840000.00000000012</v>
      </c>
      <c r="DQ19" s="171">
        <f t="shared" ca="1" si="10"/>
        <v>0</v>
      </c>
      <c r="DR19" s="171">
        <f t="shared" ca="1" si="10"/>
        <v>0</v>
      </c>
      <c r="DS19" s="171">
        <f t="shared" ca="1" si="10"/>
        <v>0</v>
      </c>
      <c r="DT19" s="171">
        <f t="shared" ref="DT19:EM19" ca="1" si="11">SUM(DT15:DT17)</f>
        <v>0</v>
      </c>
      <c r="DU19" s="171">
        <f t="shared" ca="1" si="11"/>
        <v>0</v>
      </c>
      <c r="DV19" s="171">
        <f t="shared" ca="1" si="11"/>
        <v>840000.00000000012</v>
      </c>
      <c r="DW19" s="171">
        <f t="shared" ca="1" si="11"/>
        <v>0</v>
      </c>
      <c r="DX19" s="171">
        <f t="shared" ca="1" si="11"/>
        <v>0</v>
      </c>
      <c r="DY19" s="171">
        <f t="shared" ca="1" si="11"/>
        <v>0</v>
      </c>
      <c r="DZ19" s="171">
        <f t="shared" ca="1" si="11"/>
        <v>0</v>
      </c>
      <c r="EA19" s="171">
        <f t="shared" ca="1" si="11"/>
        <v>0</v>
      </c>
      <c r="EB19" s="171">
        <f t="shared" ca="1" si="11"/>
        <v>24840000</v>
      </c>
      <c r="EC19" s="171">
        <f t="shared" ca="1" si="11"/>
        <v>0</v>
      </c>
      <c r="ED19" s="171">
        <f t="shared" ca="1" si="11"/>
        <v>0</v>
      </c>
      <c r="EE19" s="171">
        <f t="shared" ca="1" si="11"/>
        <v>0</v>
      </c>
      <c r="EF19" s="171">
        <f t="shared" ca="1" si="11"/>
        <v>0</v>
      </c>
      <c r="EG19" s="171">
        <f t="shared" ca="1" si="11"/>
        <v>0</v>
      </c>
      <c r="EH19" s="171">
        <f t="shared" ca="1" si="11"/>
        <v>0</v>
      </c>
      <c r="EI19" s="171">
        <f t="shared" ca="1" si="11"/>
        <v>0</v>
      </c>
      <c r="EJ19" s="171">
        <f t="shared" ca="1" si="11"/>
        <v>0</v>
      </c>
      <c r="EK19" s="171">
        <f t="shared" ca="1" si="11"/>
        <v>0</v>
      </c>
      <c r="EL19" s="171">
        <f t="shared" ca="1" si="11"/>
        <v>0</v>
      </c>
      <c r="EM19" s="171">
        <f t="shared" ca="1" si="11"/>
        <v>0</v>
      </c>
      <c r="EN19" s="171">
        <f ca="1">SUM(EN15:EN17)</f>
        <v>0</v>
      </c>
      <c r="EO19" s="171">
        <f ca="1">SUM(EO15:EO17)</f>
        <v>0</v>
      </c>
      <c r="EP19" s="171">
        <f ca="1">SUM(EP15:EP17)</f>
        <v>0</v>
      </c>
      <c r="EQ19" s="171">
        <f ca="1">SUM(EQ15:EQ17)</f>
        <v>0</v>
      </c>
    </row>
    <row r="20" spans="2:147" ht="13.35" customHeight="1">
      <c r="B20" s="218"/>
      <c r="C20" s="163"/>
      <c r="D20" s="169" t="s">
        <v>599</v>
      </c>
      <c r="G20" s="1032"/>
      <c r="H20" s="1030">
        <f>DATEDIF(H15-1,'A&amp;R'!$E$37+1,"m")</f>
        <v>96</v>
      </c>
      <c r="I20" s="1022">
        <f ca="1">(IRR($L20:$EQ20,0.01)+1)^12-1</f>
        <v>6.719475758016058E-2</v>
      </c>
      <c r="J20" s="171">
        <f t="shared" ca="1" si="6"/>
        <v>12719926.773455389</v>
      </c>
      <c r="K20" s="98"/>
      <c r="L20" s="997">
        <f ca="1">SUM(L15:L18)</f>
        <v>0</v>
      </c>
      <c r="M20" s="997">
        <f t="shared" ref="M20:BX20" ca="1" si="12">SUM(M15:M18)</f>
        <v>0</v>
      </c>
      <c r="N20" s="997">
        <f t="shared" ca="1" si="12"/>
        <v>0</v>
      </c>
      <c r="O20" s="997">
        <f t="shared" ca="1" si="12"/>
        <v>0</v>
      </c>
      <c r="P20" s="997">
        <f t="shared" ca="1" si="12"/>
        <v>0</v>
      </c>
      <c r="Q20" s="997">
        <f t="shared" ca="1" si="12"/>
        <v>0</v>
      </c>
      <c r="R20" s="997">
        <f t="shared" ca="1" si="12"/>
        <v>0</v>
      </c>
      <c r="S20" s="997">
        <f t="shared" ca="1" si="12"/>
        <v>0</v>
      </c>
      <c r="T20" s="997">
        <f t="shared" ca="1" si="12"/>
        <v>0</v>
      </c>
      <c r="U20" s="997">
        <f t="shared" ca="1" si="12"/>
        <v>0</v>
      </c>
      <c r="V20" s="997">
        <f t="shared" ca="1" si="12"/>
        <v>0</v>
      </c>
      <c r="W20" s="997">
        <f t="shared" ca="1" si="12"/>
        <v>0</v>
      </c>
      <c r="X20" s="997">
        <f t="shared" ca="1" si="12"/>
        <v>0</v>
      </c>
      <c r="Y20" s="997">
        <f t="shared" ca="1" si="12"/>
        <v>0</v>
      </c>
      <c r="Z20" s="997">
        <f t="shared" ca="1" si="12"/>
        <v>0</v>
      </c>
      <c r="AA20" s="997">
        <f t="shared" ca="1" si="12"/>
        <v>0</v>
      </c>
      <c r="AB20" s="997">
        <f t="shared" ca="1" si="12"/>
        <v>0</v>
      </c>
      <c r="AC20" s="997">
        <f t="shared" ca="1" si="12"/>
        <v>0</v>
      </c>
      <c r="AD20" s="997">
        <f t="shared" ca="1" si="12"/>
        <v>0</v>
      </c>
      <c r="AE20" s="997">
        <f t="shared" ca="1" si="12"/>
        <v>0</v>
      </c>
      <c r="AF20" s="997">
        <f t="shared" ca="1" si="12"/>
        <v>0</v>
      </c>
      <c r="AG20" s="997">
        <f t="shared" ca="1" si="12"/>
        <v>0</v>
      </c>
      <c r="AH20" s="997">
        <f t="shared" ca="1" si="12"/>
        <v>0</v>
      </c>
      <c r="AI20" s="997">
        <f t="shared" ca="1" si="12"/>
        <v>0</v>
      </c>
      <c r="AJ20" s="997">
        <f t="shared" ca="1" si="12"/>
        <v>-24360036.613272306</v>
      </c>
      <c r="AK20" s="997">
        <f t="shared" ca="1" si="12"/>
        <v>0</v>
      </c>
      <c r="AL20" s="997">
        <f t="shared" ca="1" si="12"/>
        <v>0</v>
      </c>
      <c r="AM20" s="997">
        <f t="shared" ca="1" si="12"/>
        <v>0</v>
      </c>
      <c r="AN20" s="997">
        <f t="shared" ca="1" si="12"/>
        <v>0</v>
      </c>
      <c r="AO20" s="997">
        <f t="shared" ca="1" si="12"/>
        <v>0</v>
      </c>
      <c r="AP20" s="997">
        <f t="shared" ca="1" si="12"/>
        <v>840000.00000000012</v>
      </c>
      <c r="AQ20" s="997">
        <f t="shared" ca="1" si="12"/>
        <v>0</v>
      </c>
      <c r="AR20" s="997">
        <f t="shared" ca="1" si="12"/>
        <v>0</v>
      </c>
      <c r="AS20" s="997">
        <f t="shared" ca="1" si="12"/>
        <v>0</v>
      </c>
      <c r="AT20" s="997">
        <f t="shared" ca="1" si="12"/>
        <v>0</v>
      </c>
      <c r="AU20" s="997">
        <f t="shared" ca="1" si="12"/>
        <v>0</v>
      </c>
      <c r="AV20" s="997">
        <f t="shared" ca="1" si="12"/>
        <v>840000.00000000012</v>
      </c>
      <c r="AW20" s="997">
        <f t="shared" ca="1" si="12"/>
        <v>0</v>
      </c>
      <c r="AX20" s="997">
        <f t="shared" ca="1" si="12"/>
        <v>0</v>
      </c>
      <c r="AY20" s="997">
        <f t="shared" ca="1" si="12"/>
        <v>0</v>
      </c>
      <c r="AZ20" s="997">
        <f t="shared" ca="1" si="12"/>
        <v>0</v>
      </c>
      <c r="BA20" s="997">
        <f t="shared" ca="1" si="12"/>
        <v>0</v>
      </c>
      <c r="BB20" s="997">
        <f t="shared" ca="1" si="12"/>
        <v>840000.00000000012</v>
      </c>
      <c r="BC20" s="997">
        <f t="shared" ca="1" si="12"/>
        <v>0</v>
      </c>
      <c r="BD20" s="997">
        <f t="shared" ca="1" si="12"/>
        <v>0</v>
      </c>
      <c r="BE20" s="997">
        <f t="shared" ca="1" si="12"/>
        <v>0</v>
      </c>
      <c r="BF20" s="997">
        <f t="shared" ca="1" si="12"/>
        <v>0</v>
      </c>
      <c r="BG20" s="997">
        <f t="shared" ca="1" si="12"/>
        <v>0</v>
      </c>
      <c r="BH20" s="997">
        <f t="shared" ca="1" si="12"/>
        <v>840000.00000000012</v>
      </c>
      <c r="BI20" s="997">
        <f t="shared" ca="1" si="12"/>
        <v>0</v>
      </c>
      <c r="BJ20" s="997">
        <f t="shared" ca="1" si="12"/>
        <v>0</v>
      </c>
      <c r="BK20" s="997">
        <f t="shared" ca="1" si="12"/>
        <v>0</v>
      </c>
      <c r="BL20" s="997">
        <f t="shared" ca="1" si="12"/>
        <v>0</v>
      </c>
      <c r="BM20" s="997">
        <f t="shared" ca="1" si="12"/>
        <v>0</v>
      </c>
      <c r="BN20" s="997">
        <f t="shared" ca="1" si="12"/>
        <v>840000.00000000012</v>
      </c>
      <c r="BO20" s="997">
        <f t="shared" ca="1" si="12"/>
        <v>0</v>
      </c>
      <c r="BP20" s="997">
        <f t="shared" ca="1" si="12"/>
        <v>0</v>
      </c>
      <c r="BQ20" s="997">
        <f t="shared" ca="1" si="12"/>
        <v>0</v>
      </c>
      <c r="BR20" s="997">
        <f t="shared" ca="1" si="12"/>
        <v>0</v>
      </c>
      <c r="BS20" s="997">
        <f t="shared" ca="1" si="12"/>
        <v>0</v>
      </c>
      <c r="BT20" s="997">
        <f t="shared" ca="1" si="12"/>
        <v>840000.00000000012</v>
      </c>
      <c r="BU20" s="997">
        <f t="shared" ca="1" si="12"/>
        <v>0</v>
      </c>
      <c r="BV20" s="997">
        <f t="shared" ca="1" si="12"/>
        <v>0</v>
      </c>
      <c r="BW20" s="997">
        <f t="shared" ca="1" si="12"/>
        <v>0</v>
      </c>
      <c r="BX20" s="997">
        <f t="shared" ca="1" si="12"/>
        <v>0</v>
      </c>
      <c r="BY20" s="997">
        <f t="shared" ref="BY20:DS20" ca="1" si="13">SUM(BY15:BY18)</f>
        <v>0</v>
      </c>
      <c r="BZ20" s="997">
        <f t="shared" ca="1" si="13"/>
        <v>840000.00000000012</v>
      </c>
      <c r="CA20" s="997">
        <f t="shared" ca="1" si="13"/>
        <v>0</v>
      </c>
      <c r="CB20" s="997">
        <f t="shared" ca="1" si="13"/>
        <v>0</v>
      </c>
      <c r="CC20" s="997">
        <f t="shared" ca="1" si="13"/>
        <v>0</v>
      </c>
      <c r="CD20" s="997">
        <f t="shared" ca="1" si="13"/>
        <v>0</v>
      </c>
      <c r="CE20" s="997">
        <f t="shared" ca="1" si="13"/>
        <v>0</v>
      </c>
      <c r="CF20" s="997">
        <f t="shared" ca="1" si="13"/>
        <v>840000.00000000012</v>
      </c>
      <c r="CG20" s="997">
        <f t="shared" ca="1" si="13"/>
        <v>0</v>
      </c>
      <c r="CH20" s="997">
        <f t="shared" ca="1" si="13"/>
        <v>0</v>
      </c>
      <c r="CI20" s="997">
        <f t="shared" ca="1" si="13"/>
        <v>0</v>
      </c>
      <c r="CJ20" s="997">
        <f t="shared" ca="1" si="13"/>
        <v>0</v>
      </c>
      <c r="CK20" s="997">
        <f t="shared" ca="1" si="13"/>
        <v>0</v>
      </c>
      <c r="CL20" s="997">
        <f t="shared" ca="1" si="13"/>
        <v>840000.00000000012</v>
      </c>
      <c r="CM20" s="997">
        <f t="shared" ca="1" si="13"/>
        <v>0</v>
      </c>
      <c r="CN20" s="997">
        <f t="shared" ca="1" si="13"/>
        <v>0</v>
      </c>
      <c r="CO20" s="997">
        <f t="shared" ca="1" si="13"/>
        <v>0</v>
      </c>
      <c r="CP20" s="997">
        <f t="shared" ca="1" si="13"/>
        <v>0</v>
      </c>
      <c r="CQ20" s="997">
        <f t="shared" ca="1" si="13"/>
        <v>0</v>
      </c>
      <c r="CR20" s="997">
        <f t="shared" ca="1" si="13"/>
        <v>840000.00000000012</v>
      </c>
      <c r="CS20" s="997">
        <f t="shared" ca="1" si="13"/>
        <v>0</v>
      </c>
      <c r="CT20" s="997">
        <f t="shared" ca="1" si="13"/>
        <v>0</v>
      </c>
      <c r="CU20" s="997">
        <f t="shared" ca="1" si="13"/>
        <v>0</v>
      </c>
      <c r="CV20" s="997">
        <f t="shared" ca="1" si="13"/>
        <v>0</v>
      </c>
      <c r="CW20" s="997">
        <f t="shared" ca="1" si="13"/>
        <v>0</v>
      </c>
      <c r="CX20" s="997">
        <f t="shared" ca="1" si="13"/>
        <v>840000.00000000012</v>
      </c>
      <c r="CY20" s="997">
        <f t="shared" ca="1" si="13"/>
        <v>0</v>
      </c>
      <c r="CZ20" s="997">
        <f t="shared" ca="1" si="13"/>
        <v>0</v>
      </c>
      <c r="DA20" s="997">
        <f t="shared" ca="1" si="13"/>
        <v>0</v>
      </c>
      <c r="DB20" s="997">
        <f t="shared" ca="1" si="13"/>
        <v>0</v>
      </c>
      <c r="DC20" s="997">
        <f t="shared" ca="1" si="13"/>
        <v>0</v>
      </c>
      <c r="DD20" s="997">
        <f t="shared" ca="1" si="13"/>
        <v>840000.00000000012</v>
      </c>
      <c r="DE20" s="997">
        <f t="shared" ca="1" si="13"/>
        <v>0</v>
      </c>
      <c r="DF20" s="997">
        <f t="shared" ca="1" si="13"/>
        <v>0</v>
      </c>
      <c r="DG20" s="997">
        <f t="shared" ca="1" si="13"/>
        <v>0</v>
      </c>
      <c r="DH20" s="997">
        <f t="shared" ca="1" si="13"/>
        <v>0</v>
      </c>
      <c r="DI20" s="997">
        <f t="shared" ca="1" si="13"/>
        <v>0</v>
      </c>
      <c r="DJ20" s="997">
        <f t="shared" ca="1" si="13"/>
        <v>840000.00000000012</v>
      </c>
      <c r="DK20" s="997">
        <f t="shared" ca="1" si="13"/>
        <v>0</v>
      </c>
      <c r="DL20" s="997">
        <f t="shared" ca="1" si="13"/>
        <v>0</v>
      </c>
      <c r="DM20" s="997">
        <f t="shared" ca="1" si="13"/>
        <v>0</v>
      </c>
      <c r="DN20" s="997">
        <f t="shared" ca="1" si="13"/>
        <v>0</v>
      </c>
      <c r="DO20" s="997">
        <f t="shared" ca="1" si="13"/>
        <v>0</v>
      </c>
      <c r="DP20" s="997">
        <f t="shared" ca="1" si="13"/>
        <v>840000.00000000012</v>
      </c>
      <c r="DQ20" s="997">
        <f t="shared" ca="1" si="13"/>
        <v>0</v>
      </c>
      <c r="DR20" s="997">
        <f t="shared" ca="1" si="13"/>
        <v>0</v>
      </c>
      <c r="DS20" s="997">
        <f t="shared" ca="1" si="13"/>
        <v>0</v>
      </c>
      <c r="DT20" s="997">
        <f t="shared" ref="DT20:EM20" ca="1" si="14">SUM(DT15:DT18)</f>
        <v>0</v>
      </c>
      <c r="DU20" s="997">
        <f t="shared" ca="1" si="14"/>
        <v>0</v>
      </c>
      <c r="DV20" s="997">
        <f t="shared" ca="1" si="14"/>
        <v>840000.00000000012</v>
      </c>
      <c r="DW20" s="997">
        <f t="shared" ca="1" si="14"/>
        <v>0</v>
      </c>
      <c r="DX20" s="997">
        <f t="shared" ca="1" si="14"/>
        <v>0</v>
      </c>
      <c r="DY20" s="997">
        <f t="shared" ca="1" si="14"/>
        <v>0</v>
      </c>
      <c r="DZ20" s="997">
        <f t="shared" ca="1" si="14"/>
        <v>0</v>
      </c>
      <c r="EA20" s="997">
        <f t="shared" ca="1" si="14"/>
        <v>0</v>
      </c>
      <c r="EB20" s="997">
        <f t="shared" ca="1" si="14"/>
        <v>24479963.386727694</v>
      </c>
      <c r="EC20" s="997">
        <f t="shared" ca="1" si="14"/>
        <v>0</v>
      </c>
      <c r="ED20" s="997">
        <f t="shared" ca="1" si="14"/>
        <v>0</v>
      </c>
      <c r="EE20" s="997">
        <f t="shared" ca="1" si="14"/>
        <v>0</v>
      </c>
      <c r="EF20" s="997">
        <f t="shared" ca="1" si="14"/>
        <v>0</v>
      </c>
      <c r="EG20" s="997">
        <f t="shared" ca="1" si="14"/>
        <v>0</v>
      </c>
      <c r="EH20" s="997">
        <f t="shared" ca="1" si="14"/>
        <v>0</v>
      </c>
      <c r="EI20" s="997">
        <f t="shared" ca="1" si="14"/>
        <v>0</v>
      </c>
      <c r="EJ20" s="997">
        <f t="shared" ca="1" si="14"/>
        <v>0</v>
      </c>
      <c r="EK20" s="997">
        <f t="shared" ca="1" si="14"/>
        <v>0</v>
      </c>
      <c r="EL20" s="997">
        <f t="shared" ca="1" si="14"/>
        <v>0</v>
      </c>
      <c r="EM20" s="997">
        <f t="shared" ca="1" si="14"/>
        <v>0</v>
      </c>
      <c r="EN20" s="997">
        <f ca="1">SUM(EN15:EN18)</f>
        <v>0</v>
      </c>
      <c r="EO20" s="997">
        <f ca="1">SUM(EO15:EO18)</f>
        <v>0</v>
      </c>
      <c r="EP20" s="997">
        <f ca="1">SUM(EP15:EP18)</f>
        <v>0</v>
      </c>
      <c r="EQ20" s="997">
        <f ca="1">SUM(EQ15:EQ18)</f>
        <v>0</v>
      </c>
    </row>
    <row r="21" spans="2:147" ht="13.35" customHeight="1">
      <c r="B21" s="218"/>
      <c r="C21" s="163"/>
      <c r="D21" s="1037" t="s">
        <v>217</v>
      </c>
      <c r="E21" s="886"/>
      <c r="F21" s="886"/>
      <c r="G21" s="1027"/>
      <c r="H21" s="1033"/>
      <c r="I21" s="1023"/>
      <c r="J21" s="888"/>
      <c r="K21" s="98"/>
      <c r="L21" s="171">
        <f>K24</f>
        <v>0</v>
      </c>
      <c r="M21" s="171">
        <f t="shared" ref="M21:BX21" si="15">L24</f>
        <v>0</v>
      </c>
      <c r="N21" s="171">
        <f t="shared" si="15"/>
        <v>0</v>
      </c>
      <c r="O21" s="171">
        <f t="shared" si="15"/>
        <v>0</v>
      </c>
      <c r="P21" s="171">
        <f t="shared" si="15"/>
        <v>0</v>
      </c>
      <c r="Q21" s="171">
        <f t="shared" si="15"/>
        <v>0</v>
      </c>
      <c r="R21" s="171">
        <f t="shared" si="15"/>
        <v>0</v>
      </c>
      <c r="S21" s="171">
        <f t="shared" si="15"/>
        <v>0</v>
      </c>
      <c r="T21" s="171">
        <f t="shared" si="15"/>
        <v>0</v>
      </c>
      <c r="U21" s="171">
        <f t="shared" si="15"/>
        <v>0</v>
      </c>
      <c r="V21" s="171">
        <f t="shared" si="15"/>
        <v>0</v>
      </c>
      <c r="W21" s="171">
        <f t="shared" si="15"/>
        <v>0</v>
      </c>
      <c r="X21" s="171">
        <f t="shared" si="15"/>
        <v>0</v>
      </c>
      <c r="Y21" s="171">
        <f t="shared" si="15"/>
        <v>0</v>
      </c>
      <c r="Z21" s="171">
        <f t="shared" si="15"/>
        <v>0</v>
      </c>
      <c r="AA21" s="171">
        <f t="shared" si="15"/>
        <v>0</v>
      </c>
      <c r="AB21" s="171">
        <f t="shared" si="15"/>
        <v>0</v>
      </c>
      <c r="AC21" s="171">
        <f t="shared" si="15"/>
        <v>0</v>
      </c>
      <c r="AD21" s="171">
        <f t="shared" si="15"/>
        <v>0</v>
      </c>
      <c r="AE21" s="171">
        <f t="shared" si="15"/>
        <v>0</v>
      </c>
      <c r="AF21" s="171">
        <f t="shared" si="15"/>
        <v>0</v>
      </c>
      <c r="AG21" s="171">
        <f t="shared" si="15"/>
        <v>0</v>
      </c>
      <c r="AH21" s="171">
        <f t="shared" si="15"/>
        <v>0</v>
      </c>
      <c r="AI21" s="171">
        <f t="shared" si="15"/>
        <v>0</v>
      </c>
      <c r="AJ21" s="171">
        <f t="shared" si="15"/>
        <v>0</v>
      </c>
      <c r="AK21" s="171">
        <f t="shared" si="15"/>
        <v>24360036.613272306</v>
      </c>
      <c r="AL21" s="171">
        <f t="shared" si="15"/>
        <v>24360036.613272306</v>
      </c>
      <c r="AM21" s="171">
        <f t="shared" si="15"/>
        <v>24360036.613272306</v>
      </c>
      <c r="AN21" s="171">
        <f t="shared" si="15"/>
        <v>24360036.613272306</v>
      </c>
      <c r="AO21" s="171">
        <f t="shared" si="15"/>
        <v>24360036.613272306</v>
      </c>
      <c r="AP21" s="171">
        <f t="shared" si="15"/>
        <v>24360036.613272306</v>
      </c>
      <c r="AQ21" s="171">
        <f t="shared" si="15"/>
        <v>24360036.613272306</v>
      </c>
      <c r="AR21" s="171">
        <f t="shared" si="15"/>
        <v>24360036.613272306</v>
      </c>
      <c r="AS21" s="171">
        <f t="shared" si="15"/>
        <v>24360036.613272306</v>
      </c>
      <c r="AT21" s="171">
        <f t="shared" si="15"/>
        <v>24360036.613272306</v>
      </c>
      <c r="AU21" s="171">
        <f t="shared" si="15"/>
        <v>24360036.613272306</v>
      </c>
      <c r="AV21" s="171">
        <f t="shared" si="15"/>
        <v>24360036.613272306</v>
      </c>
      <c r="AW21" s="171">
        <f t="shared" si="15"/>
        <v>24360036.613272306</v>
      </c>
      <c r="AX21" s="171">
        <f t="shared" si="15"/>
        <v>24360036.613272306</v>
      </c>
      <c r="AY21" s="171">
        <f t="shared" si="15"/>
        <v>24360036.613272306</v>
      </c>
      <c r="AZ21" s="171">
        <f t="shared" si="15"/>
        <v>24360036.613272306</v>
      </c>
      <c r="BA21" s="171">
        <f t="shared" si="15"/>
        <v>24360036.613272306</v>
      </c>
      <c r="BB21" s="171">
        <f t="shared" si="15"/>
        <v>24360036.613272306</v>
      </c>
      <c r="BC21" s="171">
        <f t="shared" si="15"/>
        <v>24360036.613272306</v>
      </c>
      <c r="BD21" s="171">
        <f t="shared" si="15"/>
        <v>24360036.613272306</v>
      </c>
      <c r="BE21" s="171">
        <f t="shared" si="15"/>
        <v>24360036.613272306</v>
      </c>
      <c r="BF21" s="171">
        <f t="shared" si="15"/>
        <v>24360036.613272306</v>
      </c>
      <c r="BG21" s="171">
        <f t="shared" si="15"/>
        <v>24360036.613272306</v>
      </c>
      <c r="BH21" s="171">
        <f t="shared" si="15"/>
        <v>24360036.613272306</v>
      </c>
      <c r="BI21" s="171">
        <f t="shared" si="15"/>
        <v>24360036.613272306</v>
      </c>
      <c r="BJ21" s="171">
        <f t="shared" si="15"/>
        <v>24360036.613272306</v>
      </c>
      <c r="BK21" s="171">
        <f t="shared" si="15"/>
        <v>24360036.613272306</v>
      </c>
      <c r="BL21" s="171">
        <f t="shared" si="15"/>
        <v>24360036.613272306</v>
      </c>
      <c r="BM21" s="171">
        <f t="shared" si="15"/>
        <v>24360036.613272306</v>
      </c>
      <c r="BN21" s="171">
        <f t="shared" si="15"/>
        <v>24360036.613272306</v>
      </c>
      <c r="BO21" s="171">
        <f t="shared" si="15"/>
        <v>24360036.613272306</v>
      </c>
      <c r="BP21" s="171">
        <f t="shared" si="15"/>
        <v>24360036.613272306</v>
      </c>
      <c r="BQ21" s="171">
        <f t="shared" si="15"/>
        <v>24360036.613272306</v>
      </c>
      <c r="BR21" s="171">
        <f t="shared" si="15"/>
        <v>24360036.613272306</v>
      </c>
      <c r="BS21" s="171">
        <f t="shared" si="15"/>
        <v>24360036.613272306</v>
      </c>
      <c r="BT21" s="171">
        <f t="shared" si="15"/>
        <v>24360036.613272306</v>
      </c>
      <c r="BU21" s="171">
        <f t="shared" si="15"/>
        <v>24360036.613272306</v>
      </c>
      <c r="BV21" s="171">
        <f t="shared" si="15"/>
        <v>24360036.613272306</v>
      </c>
      <c r="BW21" s="171">
        <f t="shared" si="15"/>
        <v>24360036.613272306</v>
      </c>
      <c r="BX21" s="171">
        <f t="shared" si="15"/>
        <v>24360036.613272306</v>
      </c>
      <c r="BY21" s="171">
        <f t="shared" ref="BY21:DS21" si="16">BX24</f>
        <v>24360036.613272306</v>
      </c>
      <c r="BZ21" s="171">
        <f t="shared" si="16"/>
        <v>24360036.613272306</v>
      </c>
      <c r="CA21" s="171">
        <f t="shared" si="16"/>
        <v>24360036.613272306</v>
      </c>
      <c r="CB21" s="171">
        <f t="shared" si="16"/>
        <v>24360036.613272306</v>
      </c>
      <c r="CC21" s="171">
        <f t="shared" si="16"/>
        <v>24360036.613272306</v>
      </c>
      <c r="CD21" s="171">
        <f t="shared" si="16"/>
        <v>24360036.613272306</v>
      </c>
      <c r="CE21" s="171">
        <f t="shared" si="16"/>
        <v>24360036.613272306</v>
      </c>
      <c r="CF21" s="171">
        <f t="shared" si="16"/>
        <v>24360036.613272306</v>
      </c>
      <c r="CG21" s="171">
        <f t="shared" si="16"/>
        <v>24360036.613272306</v>
      </c>
      <c r="CH21" s="171">
        <f t="shared" si="16"/>
        <v>24360036.613272306</v>
      </c>
      <c r="CI21" s="171">
        <f t="shared" si="16"/>
        <v>24360036.613272306</v>
      </c>
      <c r="CJ21" s="171">
        <f t="shared" si="16"/>
        <v>24360036.613272306</v>
      </c>
      <c r="CK21" s="171">
        <f t="shared" si="16"/>
        <v>24360036.613272306</v>
      </c>
      <c r="CL21" s="171">
        <f t="shared" si="16"/>
        <v>24360036.613272306</v>
      </c>
      <c r="CM21" s="171">
        <f t="shared" si="16"/>
        <v>24360036.613272306</v>
      </c>
      <c r="CN21" s="171">
        <f t="shared" si="16"/>
        <v>24360036.613272306</v>
      </c>
      <c r="CO21" s="171">
        <f t="shared" si="16"/>
        <v>24360036.613272306</v>
      </c>
      <c r="CP21" s="171">
        <f t="shared" si="16"/>
        <v>24360036.613272306</v>
      </c>
      <c r="CQ21" s="171">
        <f t="shared" si="16"/>
        <v>24360036.613272306</v>
      </c>
      <c r="CR21" s="171">
        <f t="shared" si="16"/>
        <v>24360036.613272306</v>
      </c>
      <c r="CS21" s="171">
        <f t="shared" si="16"/>
        <v>24360036.613272306</v>
      </c>
      <c r="CT21" s="171">
        <f t="shared" si="16"/>
        <v>24360036.613272306</v>
      </c>
      <c r="CU21" s="171">
        <f t="shared" si="16"/>
        <v>24360036.613272306</v>
      </c>
      <c r="CV21" s="171">
        <f t="shared" si="16"/>
        <v>24360036.613272306</v>
      </c>
      <c r="CW21" s="171">
        <f t="shared" si="16"/>
        <v>24360036.613272306</v>
      </c>
      <c r="CX21" s="171">
        <f t="shared" si="16"/>
        <v>24360036.613272306</v>
      </c>
      <c r="CY21" s="171">
        <f t="shared" si="16"/>
        <v>24360036.613272306</v>
      </c>
      <c r="CZ21" s="171">
        <f t="shared" si="16"/>
        <v>24360036.613272306</v>
      </c>
      <c r="DA21" s="171">
        <f t="shared" si="16"/>
        <v>24360036.613272306</v>
      </c>
      <c r="DB21" s="171">
        <f t="shared" si="16"/>
        <v>24360036.613272306</v>
      </c>
      <c r="DC21" s="171">
        <f t="shared" si="16"/>
        <v>24360036.613272306</v>
      </c>
      <c r="DD21" s="171">
        <f t="shared" si="16"/>
        <v>24360036.613272306</v>
      </c>
      <c r="DE21" s="171">
        <f t="shared" si="16"/>
        <v>24360036.613272306</v>
      </c>
      <c r="DF21" s="171">
        <f t="shared" si="16"/>
        <v>24360036.613272306</v>
      </c>
      <c r="DG21" s="171">
        <f t="shared" si="16"/>
        <v>24360036.613272306</v>
      </c>
      <c r="DH21" s="171">
        <f t="shared" si="16"/>
        <v>24360036.613272306</v>
      </c>
      <c r="DI21" s="171">
        <f t="shared" si="16"/>
        <v>24360036.613272306</v>
      </c>
      <c r="DJ21" s="171">
        <f t="shared" si="16"/>
        <v>24360036.613272306</v>
      </c>
      <c r="DK21" s="171">
        <f t="shared" si="16"/>
        <v>24360036.613272306</v>
      </c>
      <c r="DL21" s="171">
        <f t="shared" si="16"/>
        <v>24360036.613272306</v>
      </c>
      <c r="DM21" s="171">
        <f t="shared" si="16"/>
        <v>24360036.613272306</v>
      </c>
      <c r="DN21" s="171">
        <f t="shared" si="16"/>
        <v>24360036.613272306</v>
      </c>
      <c r="DO21" s="171">
        <f t="shared" si="16"/>
        <v>24360036.613272306</v>
      </c>
      <c r="DP21" s="171">
        <f t="shared" si="16"/>
        <v>24360036.613272306</v>
      </c>
      <c r="DQ21" s="171">
        <f t="shared" si="16"/>
        <v>24360036.613272306</v>
      </c>
      <c r="DR21" s="171">
        <f t="shared" si="16"/>
        <v>24360036.613272306</v>
      </c>
      <c r="DS21" s="171">
        <f t="shared" si="16"/>
        <v>24360036.613272306</v>
      </c>
      <c r="DT21" s="171">
        <f t="shared" ref="DT21:EQ21" si="17">DS24</f>
        <v>24360036.613272306</v>
      </c>
      <c r="DU21" s="171">
        <f t="shared" si="17"/>
        <v>24360036.613272306</v>
      </c>
      <c r="DV21" s="171">
        <f t="shared" si="17"/>
        <v>24360036.613272306</v>
      </c>
      <c r="DW21" s="171">
        <f t="shared" si="17"/>
        <v>24360036.613272306</v>
      </c>
      <c r="DX21" s="171">
        <f t="shared" si="17"/>
        <v>24360036.613272306</v>
      </c>
      <c r="DY21" s="171">
        <f t="shared" si="17"/>
        <v>24360036.613272306</v>
      </c>
      <c r="DZ21" s="171">
        <f t="shared" si="17"/>
        <v>24360036.613272306</v>
      </c>
      <c r="EA21" s="171">
        <f t="shared" si="17"/>
        <v>24360036.613272306</v>
      </c>
      <c r="EB21" s="171">
        <f t="shared" si="17"/>
        <v>24360036.613272306</v>
      </c>
      <c r="EC21" s="171">
        <f t="shared" si="17"/>
        <v>0</v>
      </c>
      <c r="ED21" s="171">
        <f t="shared" si="17"/>
        <v>0</v>
      </c>
      <c r="EE21" s="171">
        <f t="shared" si="17"/>
        <v>0</v>
      </c>
      <c r="EF21" s="171">
        <f t="shared" si="17"/>
        <v>0</v>
      </c>
      <c r="EG21" s="171">
        <f t="shared" si="17"/>
        <v>0</v>
      </c>
      <c r="EH21" s="171">
        <f t="shared" si="17"/>
        <v>0</v>
      </c>
      <c r="EI21" s="171">
        <f t="shared" si="17"/>
        <v>0</v>
      </c>
      <c r="EJ21" s="171">
        <f t="shared" si="17"/>
        <v>0</v>
      </c>
      <c r="EK21" s="171">
        <f t="shared" si="17"/>
        <v>0</v>
      </c>
      <c r="EL21" s="171">
        <f t="shared" si="17"/>
        <v>0</v>
      </c>
      <c r="EM21" s="171">
        <f t="shared" si="17"/>
        <v>0</v>
      </c>
      <c r="EN21" s="171">
        <f t="shared" si="17"/>
        <v>0</v>
      </c>
      <c r="EO21" s="171">
        <f t="shared" si="17"/>
        <v>0</v>
      </c>
      <c r="EP21" s="171">
        <f t="shared" si="17"/>
        <v>0</v>
      </c>
      <c r="EQ21" s="171">
        <f t="shared" si="17"/>
        <v>0</v>
      </c>
    </row>
    <row r="22" spans="2:147" ht="13.35" customHeight="1">
      <c r="B22" s="218"/>
      <c r="C22" s="163"/>
      <c r="D22" s="66" t="s">
        <v>218</v>
      </c>
      <c r="G22" s="1032"/>
      <c r="H22" s="1030"/>
      <c r="I22" s="1022"/>
      <c r="J22" s="171">
        <f>SUM(L22:EQ22)</f>
        <v>24360036.613272306</v>
      </c>
      <c r="K22" s="98"/>
      <c r="L22" s="171">
        <f>-L15</f>
        <v>0</v>
      </c>
      <c r="M22" s="171">
        <f t="shared" ref="M22:BX22" si="18">-M15</f>
        <v>0</v>
      </c>
      <c r="N22" s="171">
        <f t="shared" si="18"/>
        <v>0</v>
      </c>
      <c r="O22" s="171">
        <f t="shared" si="18"/>
        <v>0</v>
      </c>
      <c r="P22" s="171">
        <f t="shared" si="18"/>
        <v>0</v>
      </c>
      <c r="Q22" s="171">
        <f t="shared" si="18"/>
        <v>0</v>
      </c>
      <c r="R22" s="171">
        <f t="shared" si="18"/>
        <v>0</v>
      </c>
      <c r="S22" s="171">
        <f t="shared" si="18"/>
        <v>0</v>
      </c>
      <c r="T22" s="171">
        <f t="shared" si="18"/>
        <v>0</v>
      </c>
      <c r="U22" s="171">
        <f t="shared" si="18"/>
        <v>0</v>
      </c>
      <c r="V22" s="171">
        <f t="shared" si="18"/>
        <v>0</v>
      </c>
      <c r="W22" s="171">
        <f t="shared" si="18"/>
        <v>0</v>
      </c>
      <c r="X22" s="171">
        <f t="shared" si="18"/>
        <v>0</v>
      </c>
      <c r="Y22" s="171">
        <f t="shared" si="18"/>
        <v>0</v>
      </c>
      <c r="Z22" s="171">
        <f t="shared" si="18"/>
        <v>0</v>
      </c>
      <c r="AA22" s="171">
        <f t="shared" si="18"/>
        <v>0</v>
      </c>
      <c r="AB22" s="171">
        <f t="shared" si="18"/>
        <v>0</v>
      </c>
      <c r="AC22" s="171">
        <f t="shared" si="18"/>
        <v>0</v>
      </c>
      <c r="AD22" s="171">
        <f t="shared" si="18"/>
        <v>0</v>
      </c>
      <c r="AE22" s="171">
        <f t="shared" si="18"/>
        <v>0</v>
      </c>
      <c r="AF22" s="171">
        <f t="shared" si="18"/>
        <v>0</v>
      </c>
      <c r="AG22" s="171">
        <f t="shared" si="18"/>
        <v>0</v>
      </c>
      <c r="AH22" s="171">
        <f t="shared" si="18"/>
        <v>0</v>
      </c>
      <c r="AI22" s="171">
        <f t="shared" si="18"/>
        <v>0</v>
      </c>
      <c r="AJ22" s="171">
        <f t="shared" si="18"/>
        <v>24360036.613272306</v>
      </c>
      <c r="AK22" s="171">
        <f t="shared" si="18"/>
        <v>0</v>
      </c>
      <c r="AL22" s="171">
        <f t="shared" si="18"/>
        <v>0</v>
      </c>
      <c r="AM22" s="171">
        <f t="shared" si="18"/>
        <v>0</v>
      </c>
      <c r="AN22" s="171">
        <f t="shared" si="18"/>
        <v>0</v>
      </c>
      <c r="AO22" s="171">
        <f t="shared" si="18"/>
        <v>0</v>
      </c>
      <c r="AP22" s="171">
        <f t="shared" si="18"/>
        <v>0</v>
      </c>
      <c r="AQ22" s="171">
        <f t="shared" si="18"/>
        <v>0</v>
      </c>
      <c r="AR22" s="171">
        <f t="shared" si="18"/>
        <v>0</v>
      </c>
      <c r="AS22" s="171">
        <f t="shared" si="18"/>
        <v>0</v>
      </c>
      <c r="AT22" s="171">
        <f t="shared" si="18"/>
        <v>0</v>
      </c>
      <c r="AU22" s="171">
        <f t="shared" si="18"/>
        <v>0</v>
      </c>
      <c r="AV22" s="171">
        <f t="shared" si="18"/>
        <v>0</v>
      </c>
      <c r="AW22" s="171">
        <f t="shared" si="18"/>
        <v>0</v>
      </c>
      <c r="AX22" s="171">
        <f t="shared" si="18"/>
        <v>0</v>
      </c>
      <c r="AY22" s="171">
        <f t="shared" si="18"/>
        <v>0</v>
      </c>
      <c r="AZ22" s="171">
        <f t="shared" si="18"/>
        <v>0</v>
      </c>
      <c r="BA22" s="171">
        <f t="shared" si="18"/>
        <v>0</v>
      </c>
      <c r="BB22" s="171">
        <f t="shared" si="18"/>
        <v>0</v>
      </c>
      <c r="BC22" s="171">
        <f t="shared" si="18"/>
        <v>0</v>
      </c>
      <c r="BD22" s="171">
        <f t="shared" si="18"/>
        <v>0</v>
      </c>
      <c r="BE22" s="171">
        <f t="shared" si="18"/>
        <v>0</v>
      </c>
      <c r="BF22" s="171">
        <f t="shared" si="18"/>
        <v>0</v>
      </c>
      <c r="BG22" s="171">
        <f t="shared" si="18"/>
        <v>0</v>
      </c>
      <c r="BH22" s="171">
        <f t="shared" si="18"/>
        <v>0</v>
      </c>
      <c r="BI22" s="171">
        <f t="shared" si="18"/>
        <v>0</v>
      </c>
      <c r="BJ22" s="171">
        <f t="shared" si="18"/>
        <v>0</v>
      </c>
      <c r="BK22" s="171">
        <f t="shared" si="18"/>
        <v>0</v>
      </c>
      <c r="BL22" s="171">
        <f t="shared" si="18"/>
        <v>0</v>
      </c>
      <c r="BM22" s="171">
        <f t="shared" si="18"/>
        <v>0</v>
      </c>
      <c r="BN22" s="171">
        <f t="shared" si="18"/>
        <v>0</v>
      </c>
      <c r="BO22" s="171">
        <f t="shared" si="18"/>
        <v>0</v>
      </c>
      <c r="BP22" s="171">
        <f t="shared" si="18"/>
        <v>0</v>
      </c>
      <c r="BQ22" s="171">
        <f t="shared" si="18"/>
        <v>0</v>
      </c>
      <c r="BR22" s="171">
        <f t="shared" si="18"/>
        <v>0</v>
      </c>
      <c r="BS22" s="171">
        <f t="shared" si="18"/>
        <v>0</v>
      </c>
      <c r="BT22" s="171">
        <f t="shared" si="18"/>
        <v>0</v>
      </c>
      <c r="BU22" s="171">
        <f t="shared" si="18"/>
        <v>0</v>
      </c>
      <c r="BV22" s="171">
        <f t="shared" si="18"/>
        <v>0</v>
      </c>
      <c r="BW22" s="171">
        <f t="shared" si="18"/>
        <v>0</v>
      </c>
      <c r="BX22" s="171">
        <f t="shared" si="18"/>
        <v>0</v>
      </c>
      <c r="BY22" s="171">
        <f t="shared" ref="BY22:DS22" si="19">-BY15</f>
        <v>0</v>
      </c>
      <c r="BZ22" s="171">
        <f t="shared" si="19"/>
        <v>0</v>
      </c>
      <c r="CA22" s="171">
        <f t="shared" si="19"/>
        <v>0</v>
      </c>
      <c r="CB22" s="171">
        <f t="shared" si="19"/>
        <v>0</v>
      </c>
      <c r="CC22" s="171">
        <f t="shared" si="19"/>
        <v>0</v>
      </c>
      <c r="CD22" s="171">
        <f t="shared" si="19"/>
        <v>0</v>
      </c>
      <c r="CE22" s="171">
        <f t="shared" si="19"/>
        <v>0</v>
      </c>
      <c r="CF22" s="171">
        <f t="shared" si="19"/>
        <v>0</v>
      </c>
      <c r="CG22" s="171">
        <f t="shared" si="19"/>
        <v>0</v>
      </c>
      <c r="CH22" s="171">
        <f t="shared" si="19"/>
        <v>0</v>
      </c>
      <c r="CI22" s="171">
        <f t="shared" si="19"/>
        <v>0</v>
      </c>
      <c r="CJ22" s="171">
        <f t="shared" si="19"/>
        <v>0</v>
      </c>
      <c r="CK22" s="171">
        <f t="shared" si="19"/>
        <v>0</v>
      </c>
      <c r="CL22" s="171">
        <f t="shared" si="19"/>
        <v>0</v>
      </c>
      <c r="CM22" s="171">
        <f t="shared" si="19"/>
        <v>0</v>
      </c>
      <c r="CN22" s="171">
        <f t="shared" si="19"/>
        <v>0</v>
      </c>
      <c r="CO22" s="171">
        <f t="shared" si="19"/>
        <v>0</v>
      </c>
      <c r="CP22" s="171">
        <f t="shared" si="19"/>
        <v>0</v>
      </c>
      <c r="CQ22" s="171">
        <f t="shared" si="19"/>
        <v>0</v>
      </c>
      <c r="CR22" s="171">
        <f t="shared" si="19"/>
        <v>0</v>
      </c>
      <c r="CS22" s="171">
        <f t="shared" si="19"/>
        <v>0</v>
      </c>
      <c r="CT22" s="171">
        <f t="shared" si="19"/>
        <v>0</v>
      </c>
      <c r="CU22" s="171">
        <f t="shared" si="19"/>
        <v>0</v>
      </c>
      <c r="CV22" s="171">
        <f t="shared" si="19"/>
        <v>0</v>
      </c>
      <c r="CW22" s="171">
        <f t="shared" si="19"/>
        <v>0</v>
      </c>
      <c r="CX22" s="171">
        <f t="shared" si="19"/>
        <v>0</v>
      </c>
      <c r="CY22" s="171">
        <f t="shared" si="19"/>
        <v>0</v>
      </c>
      <c r="CZ22" s="171">
        <f t="shared" si="19"/>
        <v>0</v>
      </c>
      <c r="DA22" s="171">
        <f t="shared" si="19"/>
        <v>0</v>
      </c>
      <c r="DB22" s="171">
        <f t="shared" si="19"/>
        <v>0</v>
      </c>
      <c r="DC22" s="171">
        <f t="shared" si="19"/>
        <v>0</v>
      </c>
      <c r="DD22" s="171">
        <f t="shared" si="19"/>
        <v>0</v>
      </c>
      <c r="DE22" s="171">
        <f t="shared" si="19"/>
        <v>0</v>
      </c>
      <c r="DF22" s="171">
        <f t="shared" si="19"/>
        <v>0</v>
      </c>
      <c r="DG22" s="171">
        <f t="shared" si="19"/>
        <v>0</v>
      </c>
      <c r="DH22" s="171">
        <f t="shared" si="19"/>
        <v>0</v>
      </c>
      <c r="DI22" s="171">
        <f t="shared" si="19"/>
        <v>0</v>
      </c>
      <c r="DJ22" s="171">
        <f t="shared" si="19"/>
        <v>0</v>
      </c>
      <c r="DK22" s="171">
        <f t="shared" si="19"/>
        <v>0</v>
      </c>
      <c r="DL22" s="171">
        <f t="shared" si="19"/>
        <v>0</v>
      </c>
      <c r="DM22" s="171">
        <f t="shared" si="19"/>
        <v>0</v>
      </c>
      <c r="DN22" s="171">
        <f t="shared" si="19"/>
        <v>0</v>
      </c>
      <c r="DO22" s="171">
        <f t="shared" si="19"/>
        <v>0</v>
      </c>
      <c r="DP22" s="171">
        <f t="shared" si="19"/>
        <v>0</v>
      </c>
      <c r="DQ22" s="171">
        <f t="shared" si="19"/>
        <v>0</v>
      </c>
      <c r="DR22" s="171">
        <f t="shared" si="19"/>
        <v>0</v>
      </c>
      <c r="DS22" s="171">
        <f t="shared" si="19"/>
        <v>0</v>
      </c>
      <c r="DT22" s="171">
        <f t="shared" ref="DT22:EM22" si="20">-DT15</f>
        <v>0</v>
      </c>
      <c r="DU22" s="171">
        <f t="shared" si="20"/>
        <v>0</v>
      </c>
      <c r="DV22" s="171">
        <f t="shared" si="20"/>
        <v>0</v>
      </c>
      <c r="DW22" s="171">
        <f t="shared" si="20"/>
        <v>0</v>
      </c>
      <c r="DX22" s="171">
        <f t="shared" si="20"/>
        <v>0</v>
      </c>
      <c r="DY22" s="171">
        <f t="shared" si="20"/>
        <v>0</v>
      </c>
      <c r="DZ22" s="171">
        <f t="shared" si="20"/>
        <v>0</v>
      </c>
      <c r="EA22" s="171">
        <f t="shared" si="20"/>
        <v>0</v>
      </c>
      <c r="EB22" s="171">
        <f t="shared" si="20"/>
        <v>0</v>
      </c>
      <c r="EC22" s="171">
        <f t="shared" si="20"/>
        <v>0</v>
      </c>
      <c r="ED22" s="171">
        <f t="shared" si="20"/>
        <v>0</v>
      </c>
      <c r="EE22" s="171">
        <f t="shared" si="20"/>
        <v>0</v>
      </c>
      <c r="EF22" s="171">
        <f t="shared" si="20"/>
        <v>0</v>
      </c>
      <c r="EG22" s="171">
        <f t="shared" si="20"/>
        <v>0</v>
      </c>
      <c r="EH22" s="171">
        <f t="shared" si="20"/>
        <v>0</v>
      </c>
      <c r="EI22" s="171">
        <f t="shared" si="20"/>
        <v>0</v>
      </c>
      <c r="EJ22" s="171">
        <f t="shared" si="20"/>
        <v>0</v>
      </c>
      <c r="EK22" s="171">
        <f t="shared" si="20"/>
        <v>0</v>
      </c>
      <c r="EL22" s="171">
        <f t="shared" si="20"/>
        <v>0</v>
      </c>
      <c r="EM22" s="171">
        <f t="shared" si="20"/>
        <v>0</v>
      </c>
      <c r="EN22" s="171">
        <f>-EN15</f>
        <v>0</v>
      </c>
      <c r="EO22" s="171">
        <f>-EO15</f>
        <v>0</v>
      </c>
      <c r="EP22" s="171">
        <f>-EP15</f>
        <v>0</v>
      </c>
      <c r="EQ22" s="171">
        <f>-EQ15</f>
        <v>0</v>
      </c>
    </row>
    <row r="23" spans="2:147" ht="13.35" customHeight="1">
      <c r="B23" s="218"/>
      <c r="C23" s="163"/>
      <c r="D23" s="66" t="s">
        <v>219</v>
      </c>
      <c r="G23" s="1032"/>
      <c r="H23" s="1039">
        <f>'A&amp;R'!$E$39</f>
        <v>49979</v>
      </c>
      <c r="I23" s="1022"/>
      <c r="J23" s="171">
        <f>SUM(L23:EQ23)</f>
        <v>24360036.613272306</v>
      </c>
      <c r="K23" s="98"/>
      <c r="L23" s="171">
        <f>SUM(L21:L22)*(L$5=$H23)</f>
        <v>0</v>
      </c>
      <c r="M23" s="171">
        <f t="shared" ref="M23:BX23" si="21">SUM(M21:M22)*(M$5=$H23)</f>
        <v>0</v>
      </c>
      <c r="N23" s="171">
        <f t="shared" si="21"/>
        <v>0</v>
      </c>
      <c r="O23" s="171">
        <f t="shared" si="21"/>
        <v>0</v>
      </c>
      <c r="P23" s="171">
        <f t="shared" si="21"/>
        <v>0</v>
      </c>
      <c r="Q23" s="171">
        <f t="shared" si="21"/>
        <v>0</v>
      </c>
      <c r="R23" s="171">
        <f t="shared" si="21"/>
        <v>0</v>
      </c>
      <c r="S23" s="171">
        <f t="shared" si="21"/>
        <v>0</v>
      </c>
      <c r="T23" s="171">
        <f t="shared" si="21"/>
        <v>0</v>
      </c>
      <c r="U23" s="171">
        <f t="shared" si="21"/>
        <v>0</v>
      </c>
      <c r="V23" s="171">
        <f t="shared" si="21"/>
        <v>0</v>
      </c>
      <c r="W23" s="171">
        <f t="shared" si="21"/>
        <v>0</v>
      </c>
      <c r="X23" s="171">
        <f t="shared" si="21"/>
        <v>0</v>
      </c>
      <c r="Y23" s="171">
        <f t="shared" si="21"/>
        <v>0</v>
      </c>
      <c r="Z23" s="171">
        <f t="shared" si="21"/>
        <v>0</v>
      </c>
      <c r="AA23" s="171">
        <f t="shared" si="21"/>
        <v>0</v>
      </c>
      <c r="AB23" s="171">
        <f t="shared" si="21"/>
        <v>0</v>
      </c>
      <c r="AC23" s="171">
        <f t="shared" si="21"/>
        <v>0</v>
      </c>
      <c r="AD23" s="171">
        <f t="shared" si="21"/>
        <v>0</v>
      </c>
      <c r="AE23" s="171">
        <f t="shared" si="21"/>
        <v>0</v>
      </c>
      <c r="AF23" s="171">
        <f t="shared" si="21"/>
        <v>0</v>
      </c>
      <c r="AG23" s="171">
        <f t="shared" si="21"/>
        <v>0</v>
      </c>
      <c r="AH23" s="171">
        <f t="shared" si="21"/>
        <v>0</v>
      </c>
      <c r="AI23" s="171">
        <f t="shared" si="21"/>
        <v>0</v>
      </c>
      <c r="AJ23" s="171">
        <f t="shared" si="21"/>
        <v>0</v>
      </c>
      <c r="AK23" s="171">
        <f t="shared" si="21"/>
        <v>0</v>
      </c>
      <c r="AL23" s="171">
        <f t="shared" si="21"/>
        <v>0</v>
      </c>
      <c r="AM23" s="171">
        <f t="shared" si="21"/>
        <v>0</v>
      </c>
      <c r="AN23" s="171">
        <f t="shared" si="21"/>
        <v>0</v>
      </c>
      <c r="AO23" s="171">
        <f t="shared" si="21"/>
        <v>0</v>
      </c>
      <c r="AP23" s="171">
        <f t="shared" si="21"/>
        <v>0</v>
      </c>
      <c r="AQ23" s="171">
        <f t="shared" si="21"/>
        <v>0</v>
      </c>
      <c r="AR23" s="171">
        <f t="shared" si="21"/>
        <v>0</v>
      </c>
      <c r="AS23" s="171">
        <f t="shared" si="21"/>
        <v>0</v>
      </c>
      <c r="AT23" s="171">
        <f t="shared" si="21"/>
        <v>0</v>
      </c>
      <c r="AU23" s="171">
        <f t="shared" si="21"/>
        <v>0</v>
      </c>
      <c r="AV23" s="171">
        <f t="shared" si="21"/>
        <v>0</v>
      </c>
      <c r="AW23" s="171">
        <f t="shared" si="21"/>
        <v>0</v>
      </c>
      <c r="AX23" s="171">
        <f t="shared" si="21"/>
        <v>0</v>
      </c>
      <c r="AY23" s="171">
        <f t="shared" si="21"/>
        <v>0</v>
      </c>
      <c r="AZ23" s="171">
        <f t="shared" si="21"/>
        <v>0</v>
      </c>
      <c r="BA23" s="171">
        <f t="shared" si="21"/>
        <v>0</v>
      </c>
      <c r="BB23" s="171">
        <f t="shared" si="21"/>
        <v>0</v>
      </c>
      <c r="BC23" s="171">
        <f t="shared" si="21"/>
        <v>0</v>
      </c>
      <c r="BD23" s="171">
        <f t="shared" si="21"/>
        <v>0</v>
      </c>
      <c r="BE23" s="171">
        <f t="shared" si="21"/>
        <v>0</v>
      </c>
      <c r="BF23" s="171">
        <f t="shared" si="21"/>
        <v>0</v>
      </c>
      <c r="BG23" s="171">
        <f t="shared" si="21"/>
        <v>0</v>
      </c>
      <c r="BH23" s="171">
        <f t="shared" si="21"/>
        <v>0</v>
      </c>
      <c r="BI23" s="171">
        <f t="shared" si="21"/>
        <v>0</v>
      </c>
      <c r="BJ23" s="171">
        <f t="shared" si="21"/>
        <v>0</v>
      </c>
      <c r="BK23" s="171">
        <f t="shared" si="21"/>
        <v>0</v>
      </c>
      <c r="BL23" s="171">
        <f t="shared" si="21"/>
        <v>0</v>
      </c>
      <c r="BM23" s="171">
        <f t="shared" si="21"/>
        <v>0</v>
      </c>
      <c r="BN23" s="171">
        <f t="shared" si="21"/>
        <v>0</v>
      </c>
      <c r="BO23" s="171">
        <f t="shared" si="21"/>
        <v>0</v>
      </c>
      <c r="BP23" s="171">
        <f t="shared" si="21"/>
        <v>0</v>
      </c>
      <c r="BQ23" s="171">
        <f t="shared" si="21"/>
        <v>0</v>
      </c>
      <c r="BR23" s="171">
        <f t="shared" si="21"/>
        <v>0</v>
      </c>
      <c r="BS23" s="171">
        <f t="shared" si="21"/>
        <v>0</v>
      </c>
      <c r="BT23" s="171">
        <f t="shared" si="21"/>
        <v>0</v>
      </c>
      <c r="BU23" s="171">
        <f t="shared" si="21"/>
        <v>0</v>
      </c>
      <c r="BV23" s="171">
        <f t="shared" si="21"/>
        <v>0</v>
      </c>
      <c r="BW23" s="171">
        <f t="shared" si="21"/>
        <v>0</v>
      </c>
      <c r="BX23" s="171">
        <f t="shared" si="21"/>
        <v>0</v>
      </c>
      <c r="BY23" s="171">
        <f t="shared" ref="BY23:DS23" si="22">SUM(BY21:BY22)*(BY$5=$H23)</f>
        <v>0</v>
      </c>
      <c r="BZ23" s="171">
        <f t="shared" si="22"/>
        <v>0</v>
      </c>
      <c r="CA23" s="171">
        <f t="shared" si="22"/>
        <v>0</v>
      </c>
      <c r="CB23" s="171">
        <f t="shared" si="22"/>
        <v>0</v>
      </c>
      <c r="CC23" s="171">
        <f t="shared" si="22"/>
        <v>0</v>
      </c>
      <c r="CD23" s="171">
        <f t="shared" si="22"/>
        <v>0</v>
      </c>
      <c r="CE23" s="171">
        <f t="shared" si="22"/>
        <v>0</v>
      </c>
      <c r="CF23" s="171">
        <f t="shared" si="22"/>
        <v>0</v>
      </c>
      <c r="CG23" s="171">
        <f t="shared" si="22"/>
        <v>0</v>
      </c>
      <c r="CH23" s="171">
        <f t="shared" si="22"/>
        <v>0</v>
      </c>
      <c r="CI23" s="171">
        <f t="shared" si="22"/>
        <v>0</v>
      </c>
      <c r="CJ23" s="171">
        <f t="shared" si="22"/>
        <v>0</v>
      </c>
      <c r="CK23" s="171">
        <f t="shared" si="22"/>
        <v>0</v>
      </c>
      <c r="CL23" s="171">
        <f t="shared" si="22"/>
        <v>0</v>
      </c>
      <c r="CM23" s="171">
        <f t="shared" si="22"/>
        <v>0</v>
      </c>
      <c r="CN23" s="171">
        <f t="shared" si="22"/>
        <v>0</v>
      </c>
      <c r="CO23" s="171">
        <f t="shared" si="22"/>
        <v>0</v>
      </c>
      <c r="CP23" s="171">
        <f t="shared" si="22"/>
        <v>0</v>
      </c>
      <c r="CQ23" s="171">
        <f t="shared" si="22"/>
        <v>0</v>
      </c>
      <c r="CR23" s="171">
        <f t="shared" si="22"/>
        <v>0</v>
      </c>
      <c r="CS23" s="171">
        <f t="shared" si="22"/>
        <v>0</v>
      </c>
      <c r="CT23" s="171">
        <f t="shared" si="22"/>
        <v>0</v>
      </c>
      <c r="CU23" s="171">
        <f t="shared" si="22"/>
        <v>0</v>
      </c>
      <c r="CV23" s="171">
        <f t="shared" si="22"/>
        <v>0</v>
      </c>
      <c r="CW23" s="171">
        <f t="shared" si="22"/>
        <v>0</v>
      </c>
      <c r="CX23" s="171">
        <f t="shared" si="22"/>
        <v>0</v>
      </c>
      <c r="CY23" s="171">
        <f t="shared" si="22"/>
        <v>0</v>
      </c>
      <c r="CZ23" s="171">
        <f t="shared" si="22"/>
        <v>0</v>
      </c>
      <c r="DA23" s="171">
        <f t="shared" si="22"/>
        <v>0</v>
      </c>
      <c r="DB23" s="171">
        <f t="shared" si="22"/>
        <v>0</v>
      </c>
      <c r="DC23" s="171">
        <f t="shared" si="22"/>
        <v>0</v>
      </c>
      <c r="DD23" s="171">
        <f t="shared" si="22"/>
        <v>0</v>
      </c>
      <c r="DE23" s="171">
        <f t="shared" si="22"/>
        <v>0</v>
      </c>
      <c r="DF23" s="171">
        <f t="shared" si="22"/>
        <v>0</v>
      </c>
      <c r="DG23" s="171">
        <f t="shared" si="22"/>
        <v>0</v>
      </c>
      <c r="DH23" s="171">
        <f t="shared" si="22"/>
        <v>0</v>
      </c>
      <c r="DI23" s="171">
        <f t="shared" si="22"/>
        <v>0</v>
      </c>
      <c r="DJ23" s="171">
        <f t="shared" si="22"/>
        <v>0</v>
      </c>
      <c r="DK23" s="171">
        <f t="shared" si="22"/>
        <v>0</v>
      </c>
      <c r="DL23" s="171">
        <f t="shared" si="22"/>
        <v>0</v>
      </c>
      <c r="DM23" s="171">
        <f t="shared" si="22"/>
        <v>0</v>
      </c>
      <c r="DN23" s="171">
        <f t="shared" si="22"/>
        <v>0</v>
      </c>
      <c r="DO23" s="171">
        <f t="shared" si="22"/>
        <v>0</v>
      </c>
      <c r="DP23" s="171">
        <f t="shared" si="22"/>
        <v>0</v>
      </c>
      <c r="DQ23" s="171">
        <f t="shared" si="22"/>
        <v>0</v>
      </c>
      <c r="DR23" s="171">
        <f t="shared" si="22"/>
        <v>0</v>
      </c>
      <c r="DS23" s="171">
        <f t="shared" si="22"/>
        <v>0</v>
      </c>
      <c r="DT23" s="171">
        <f t="shared" ref="DT23:EM23" si="23">SUM(DT21:DT22)*(DT$5=$H23)</f>
        <v>0</v>
      </c>
      <c r="DU23" s="171">
        <f t="shared" si="23"/>
        <v>0</v>
      </c>
      <c r="DV23" s="171">
        <f t="shared" si="23"/>
        <v>0</v>
      </c>
      <c r="DW23" s="171">
        <f t="shared" si="23"/>
        <v>0</v>
      </c>
      <c r="DX23" s="171">
        <f t="shared" si="23"/>
        <v>0</v>
      </c>
      <c r="DY23" s="171">
        <f t="shared" si="23"/>
        <v>0</v>
      </c>
      <c r="DZ23" s="171">
        <f t="shared" si="23"/>
        <v>0</v>
      </c>
      <c r="EA23" s="171">
        <f t="shared" si="23"/>
        <v>0</v>
      </c>
      <c r="EB23" s="171">
        <f t="shared" si="23"/>
        <v>24360036.613272306</v>
      </c>
      <c r="EC23" s="171">
        <f t="shared" si="23"/>
        <v>0</v>
      </c>
      <c r="ED23" s="171">
        <f t="shared" si="23"/>
        <v>0</v>
      </c>
      <c r="EE23" s="171">
        <f t="shared" si="23"/>
        <v>0</v>
      </c>
      <c r="EF23" s="171">
        <f t="shared" si="23"/>
        <v>0</v>
      </c>
      <c r="EG23" s="171">
        <f t="shared" si="23"/>
        <v>0</v>
      </c>
      <c r="EH23" s="171">
        <f t="shared" si="23"/>
        <v>0</v>
      </c>
      <c r="EI23" s="171">
        <f t="shared" si="23"/>
        <v>0</v>
      </c>
      <c r="EJ23" s="171">
        <f t="shared" si="23"/>
        <v>0</v>
      </c>
      <c r="EK23" s="171">
        <f t="shared" si="23"/>
        <v>0</v>
      </c>
      <c r="EL23" s="171">
        <f t="shared" si="23"/>
        <v>0</v>
      </c>
      <c r="EM23" s="171">
        <f t="shared" si="23"/>
        <v>0</v>
      </c>
      <c r="EN23" s="171">
        <f>SUM(EN21:EN22)*(EN$5=$H23)</f>
        <v>0</v>
      </c>
      <c r="EO23" s="171">
        <f>SUM(EO21:EO22)*(EO$5=$H23)</f>
        <v>0</v>
      </c>
      <c r="EP23" s="171">
        <f>SUM(EP21:EP22)*(EP$5=$H23)</f>
        <v>0</v>
      </c>
      <c r="EQ23" s="171">
        <f>SUM(EQ21:EQ22)*(EQ$5=$H23)</f>
        <v>0</v>
      </c>
    </row>
    <row r="24" spans="2:147" ht="13.35" customHeight="1">
      <c r="B24" s="218"/>
      <c r="C24" s="163"/>
      <c r="D24" s="1038" t="s">
        <v>220</v>
      </c>
      <c r="E24" s="175"/>
      <c r="F24" s="175"/>
      <c r="G24" s="1034"/>
      <c r="H24" s="1035"/>
      <c r="I24" s="1036"/>
      <c r="J24" s="177"/>
      <c r="K24" s="98"/>
      <c r="L24" s="171">
        <f>L21+L22-L23</f>
        <v>0</v>
      </c>
      <c r="M24" s="171">
        <f t="shared" ref="M24:BX24" si="24">M21+M22-M23</f>
        <v>0</v>
      </c>
      <c r="N24" s="171">
        <f t="shared" si="24"/>
        <v>0</v>
      </c>
      <c r="O24" s="171">
        <f t="shared" si="24"/>
        <v>0</v>
      </c>
      <c r="P24" s="171">
        <f t="shared" si="24"/>
        <v>0</v>
      </c>
      <c r="Q24" s="171">
        <f t="shared" si="24"/>
        <v>0</v>
      </c>
      <c r="R24" s="171">
        <f t="shared" si="24"/>
        <v>0</v>
      </c>
      <c r="S24" s="171">
        <f t="shared" si="24"/>
        <v>0</v>
      </c>
      <c r="T24" s="171">
        <f t="shared" si="24"/>
        <v>0</v>
      </c>
      <c r="U24" s="171">
        <f t="shared" si="24"/>
        <v>0</v>
      </c>
      <c r="V24" s="171">
        <f t="shared" si="24"/>
        <v>0</v>
      </c>
      <c r="W24" s="171">
        <f t="shared" si="24"/>
        <v>0</v>
      </c>
      <c r="X24" s="171">
        <f t="shared" si="24"/>
        <v>0</v>
      </c>
      <c r="Y24" s="171">
        <f t="shared" si="24"/>
        <v>0</v>
      </c>
      <c r="Z24" s="171">
        <f t="shared" si="24"/>
        <v>0</v>
      </c>
      <c r="AA24" s="171">
        <f t="shared" si="24"/>
        <v>0</v>
      </c>
      <c r="AB24" s="171">
        <f t="shared" si="24"/>
        <v>0</v>
      </c>
      <c r="AC24" s="171">
        <f t="shared" si="24"/>
        <v>0</v>
      </c>
      <c r="AD24" s="171">
        <f t="shared" si="24"/>
        <v>0</v>
      </c>
      <c r="AE24" s="171">
        <f t="shared" si="24"/>
        <v>0</v>
      </c>
      <c r="AF24" s="171">
        <f t="shared" si="24"/>
        <v>0</v>
      </c>
      <c r="AG24" s="171">
        <f t="shared" si="24"/>
        <v>0</v>
      </c>
      <c r="AH24" s="171">
        <f t="shared" si="24"/>
        <v>0</v>
      </c>
      <c r="AI24" s="171">
        <f t="shared" si="24"/>
        <v>0</v>
      </c>
      <c r="AJ24" s="171">
        <f t="shared" si="24"/>
        <v>24360036.613272306</v>
      </c>
      <c r="AK24" s="171">
        <f t="shared" si="24"/>
        <v>24360036.613272306</v>
      </c>
      <c r="AL24" s="171">
        <f t="shared" si="24"/>
        <v>24360036.613272306</v>
      </c>
      <c r="AM24" s="171">
        <f t="shared" si="24"/>
        <v>24360036.613272306</v>
      </c>
      <c r="AN24" s="171">
        <f t="shared" si="24"/>
        <v>24360036.613272306</v>
      </c>
      <c r="AO24" s="171">
        <f t="shared" si="24"/>
        <v>24360036.613272306</v>
      </c>
      <c r="AP24" s="171">
        <f t="shared" si="24"/>
        <v>24360036.613272306</v>
      </c>
      <c r="AQ24" s="171">
        <f t="shared" si="24"/>
        <v>24360036.613272306</v>
      </c>
      <c r="AR24" s="171">
        <f t="shared" si="24"/>
        <v>24360036.613272306</v>
      </c>
      <c r="AS24" s="171">
        <f t="shared" si="24"/>
        <v>24360036.613272306</v>
      </c>
      <c r="AT24" s="171">
        <f t="shared" si="24"/>
        <v>24360036.613272306</v>
      </c>
      <c r="AU24" s="171">
        <f t="shared" si="24"/>
        <v>24360036.613272306</v>
      </c>
      <c r="AV24" s="171">
        <f t="shared" si="24"/>
        <v>24360036.613272306</v>
      </c>
      <c r="AW24" s="171">
        <f t="shared" si="24"/>
        <v>24360036.613272306</v>
      </c>
      <c r="AX24" s="171">
        <f t="shared" si="24"/>
        <v>24360036.613272306</v>
      </c>
      <c r="AY24" s="171">
        <f t="shared" si="24"/>
        <v>24360036.613272306</v>
      </c>
      <c r="AZ24" s="171">
        <f t="shared" si="24"/>
        <v>24360036.613272306</v>
      </c>
      <c r="BA24" s="171">
        <f t="shared" si="24"/>
        <v>24360036.613272306</v>
      </c>
      <c r="BB24" s="171">
        <f t="shared" si="24"/>
        <v>24360036.613272306</v>
      </c>
      <c r="BC24" s="171">
        <f t="shared" si="24"/>
        <v>24360036.613272306</v>
      </c>
      <c r="BD24" s="171">
        <f t="shared" si="24"/>
        <v>24360036.613272306</v>
      </c>
      <c r="BE24" s="171">
        <f t="shared" si="24"/>
        <v>24360036.613272306</v>
      </c>
      <c r="BF24" s="171">
        <f t="shared" si="24"/>
        <v>24360036.613272306</v>
      </c>
      <c r="BG24" s="171">
        <f t="shared" si="24"/>
        <v>24360036.613272306</v>
      </c>
      <c r="BH24" s="171">
        <f t="shared" si="24"/>
        <v>24360036.613272306</v>
      </c>
      <c r="BI24" s="171">
        <f t="shared" si="24"/>
        <v>24360036.613272306</v>
      </c>
      <c r="BJ24" s="171">
        <f t="shared" si="24"/>
        <v>24360036.613272306</v>
      </c>
      <c r="BK24" s="171">
        <f t="shared" si="24"/>
        <v>24360036.613272306</v>
      </c>
      <c r="BL24" s="171">
        <f t="shared" si="24"/>
        <v>24360036.613272306</v>
      </c>
      <c r="BM24" s="171">
        <f t="shared" si="24"/>
        <v>24360036.613272306</v>
      </c>
      <c r="BN24" s="171">
        <f t="shared" si="24"/>
        <v>24360036.613272306</v>
      </c>
      <c r="BO24" s="171">
        <f t="shared" si="24"/>
        <v>24360036.613272306</v>
      </c>
      <c r="BP24" s="171">
        <f t="shared" si="24"/>
        <v>24360036.613272306</v>
      </c>
      <c r="BQ24" s="171">
        <f t="shared" si="24"/>
        <v>24360036.613272306</v>
      </c>
      <c r="BR24" s="171">
        <f t="shared" si="24"/>
        <v>24360036.613272306</v>
      </c>
      <c r="BS24" s="171">
        <f t="shared" si="24"/>
        <v>24360036.613272306</v>
      </c>
      <c r="BT24" s="171">
        <f t="shared" si="24"/>
        <v>24360036.613272306</v>
      </c>
      <c r="BU24" s="171">
        <f t="shared" si="24"/>
        <v>24360036.613272306</v>
      </c>
      <c r="BV24" s="171">
        <f t="shared" si="24"/>
        <v>24360036.613272306</v>
      </c>
      <c r="BW24" s="171">
        <f t="shared" si="24"/>
        <v>24360036.613272306</v>
      </c>
      <c r="BX24" s="171">
        <f t="shared" si="24"/>
        <v>24360036.613272306</v>
      </c>
      <c r="BY24" s="171">
        <f t="shared" ref="BY24:DS24" si="25">BY21+BY22-BY23</f>
        <v>24360036.613272306</v>
      </c>
      <c r="BZ24" s="171">
        <f t="shared" si="25"/>
        <v>24360036.613272306</v>
      </c>
      <c r="CA24" s="171">
        <f t="shared" si="25"/>
        <v>24360036.613272306</v>
      </c>
      <c r="CB24" s="171">
        <f t="shared" si="25"/>
        <v>24360036.613272306</v>
      </c>
      <c r="CC24" s="171">
        <f t="shared" si="25"/>
        <v>24360036.613272306</v>
      </c>
      <c r="CD24" s="171">
        <f t="shared" si="25"/>
        <v>24360036.613272306</v>
      </c>
      <c r="CE24" s="171">
        <f t="shared" si="25"/>
        <v>24360036.613272306</v>
      </c>
      <c r="CF24" s="171">
        <f t="shared" si="25"/>
        <v>24360036.613272306</v>
      </c>
      <c r="CG24" s="171">
        <f t="shared" si="25"/>
        <v>24360036.613272306</v>
      </c>
      <c r="CH24" s="171">
        <f t="shared" si="25"/>
        <v>24360036.613272306</v>
      </c>
      <c r="CI24" s="171">
        <f t="shared" si="25"/>
        <v>24360036.613272306</v>
      </c>
      <c r="CJ24" s="171">
        <f t="shared" si="25"/>
        <v>24360036.613272306</v>
      </c>
      <c r="CK24" s="171">
        <f t="shared" si="25"/>
        <v>24360036.613272306</v>
      </c>
      <c r="CL24" s="171">
        <f t="shared" si="25"/>
        <v>24360036.613272306</v>
      </c>
      <c r="CM24" s="171">
        <f t="shared" si="25"/>
        <v>24360036.613272306</v>
      </c>
      <c r="CN24" s="171">
        <f t="shared" si="25"/>
        <v>24360036.613272306</v>
      </c>
      <c r="CO24" s="171">
        <f t="shared" si="25"/>
        <v>24360036.613272306</v>
      </c>
      <c r="CP24" s="171">
        <f t="shared" si="25"/>
        <v>24360036.613272306</v>
      </c>
      <c r="CQ24" s="171">
        <f t="shared" si="25"/>
        <v>24360036.613272306</v>
      </c>
      <c r="CR24" s="171">
        <f t="shared" si="25"/>
        <v>24360036.613272306</v>
      </c>
      <c r="CS24" s="171">
        <f t="shared" si="25"/>
        <v>24360036.613272306</v>
      </c>
      <c r="CT24" s="171">
        <f t="shared" si="25"/>
        <v>24360036.613272306</v>
      </c>
      <c r="CU24" s="171">
        <f t="shared" si="25"/>
        <v>24360036.613272306</v>
      </c>
      <c r="CV24" s="171">
        <f t="shared" si="25"/>
        <v>24360036.613272306</v>
      </c>
      <c r="CW24" s="171">
        <f t="shared" si="25"/>
        <v>24360036.613272306</v>
      </c>
      <c r="CX24" s="171">
        <f t="shared" si="25"/>
        <v>24360036.613272306</v>
      </c>
      <c r="CY24" s="171">
        <f t="shared" si="25"/>
        <v>24360036.613272306</v>
      </c>
      <c r="CZ24" s="171">
        <f t="shared" si="25"/>
        <v>24360036.613272306</v>
      </c>
      <c r="DA24" s="171">
        <f t="shared" si="25"/>
        <v>24360036.613272306</v>
      </c>
      <c r="DB24" s="171">
        <f t="shared" si="25"/>
        <v>24360036.613272306</v>
      </c>
      <c r="DC24" s="171">
        <f t="shared" si="25"/>
        <v>24360036.613272306</v>
      </c>
      <c r="DD24" s="171">
        <f t="shared" si="25"/>
        <v>24360036.613272306</v>
      </c>
      <c r="DE24" s="171">
        <f t="shared" si="25"/>
        <v>24360036.613272306</v>
      </c>
      <c r="DF24" s="171">
        <f t="shared" si="25"/>
        <v>24360036.613272306</v>
      </c>
      <c r="DG24" s="171">
        <f t="shared" si="25"/>
        <v>24360036.613272306</v>
      </c>
      <c r="DH24" s="171">
        <f t="shared" si="25"/>
        <v>24360036.613272306</v>
      </c>
      <c r="DI24" s="171">
        <f t="shared" si="25"/>
        <v>24360036.613272306</v>
      </c>
      <c r="DJ24" s="171">
        <f t="shared" si="25"/>
        <v>24360036.613272306</v>
      </c>
      <c r="DK24" s="171">
        <f t="shared" si="25"/>
        <v>24360036.613272306</v>
      </c>
      <c r="DL24" s="171">
        <f t="shared" si="25"/>
        <v>24360036.613272306</v>
      </c>
      <c r="DM24" s="171">
        <f t="shared" si="25"/>
        <v>24360036.613272306</v>
      </c>
      <c r="DN24" s="171">
        <f t="shared" si="25"/>
        <v>24360036.613272306</v>
      </c>
      <c r="DO24" s="171">
        <f t="shared" si="25"/>
        <v>24360036.613272306</v>
      </c>
      <c r="DP24" s="171">
        <f t="shared" si="25"/>
        <v>24360036.613272306</v>
      </c>
      <c r="DQ24" s="171">
        <f t="shared" si="25"/>
        <v>24360036.613272306</v>
      </c>
      <c r="DR24" s="171">
        <f t="shared" si="25"/>
        <v>24360036.613272306</v>
      </c>
      <c r="DS24" s="171">
        <f t="shared" si="25"/>
        <v>24360036.613272306</v>
      </c>
      <c r="DT24" s="171">
        <f t="shared" ref="DT24:EM24" si="26">DT21+DT22-DT23</f>
        <v>24360036.613272306</v>
      </c>
      <c r="DU24" s="171">
        <f t="shared" si="26"/>
        <v>24360036.613272306</v>
      </c>
      <c r="DV24" s="171">
        <f t="shared" si="26"/>
        <v>24360036.613272306</v>
      </c>
      <c r="DW24" s="171">
        <f t="shared" si="26"/>
        <v>24360036.613272306</v>
      </c>
      <c r="DX24" s="171">
        <f t="shared" si="26"/>
        <v>24360036.613272306</v>
      </c>
      <c r="DY24" s="171">
        <f t="shared" si="26"/>
        <v>24360036.613272306</v>
      </c>
      <c r="DZ24" s="171">
        <f t="shared" si="26"/>
        <v>24360036.613272306</v>
      </c>
      <c r="EA24" s="171">
        <f t="shared" si="26"/>
        <v>24360036.613272306</v>
      </c>
      <c r="EB24" s="171">
        <f t="shared" si="26"/>
        <v>0</v>
      </c>
      <c r="EC24" s="171">
        <f t="shared" si="26"/>
        <v>0</v>
      </c>
      <c r="ED24" s="171">
        <f t="shared" si="26"/>
        <v>0</v>
      </c>
      <c r="EE24" s="171">
        <f t="shared" si="26"/>
        <v>0</v>
      </c>
      <c r="EF24" s="171">
        <f t="shared" si="26"/>
        <v>0</v>
      </c>
      <c r="EG24" s="171">
        <f t="shared" si="26"/>
        <v>0</v>
      </c>
      <c r="EH24" s="171">
        <f t="shared" si="26"/>
        <v>0</v>
      </c>
      <c r="EI24" s="171">
        <f t="shared" si="26"/>
        <v>0</v>
      </c>
      <c r="EJ24" s="171">
        <f t="shared" si="26"/>
        <v>0</v>
      </c>
      <c r="EK24" s="171">
        <f t="shared" si="26"/>
        <v>0</v>
      </c>
      <c r="EL24" s="171">
        <f t="shared" si="26"/>
        <v>0</v>
      </c>
      <c r="EM24" s="171">
        <f t="shared" si="26"/>
        <v>0</v>
      </c>
      <c r="EN24" s="171">
        <f>EN21+EN22-EN23</f>
        <v>0</v>
      </c>
      <c r="EO24" s="171">
        <f>EO21+EO22-EO23</f>
        <v>0</v>
      </c>
      <c r="EP24" s="171">
        <f>EP21+EP22-EP23</f>
        <v>0</v>
      </c>
      <c r="EQ24" s="171">
        <f>EQ21+EQ22-EQ23</f>
        <v>0</v>
      </c>
    </row>
    <row r="25" spans="2:147" ht="13.35" customHeight="1">
      <c r="B25" s="218"/>
      <c r="C25" s="158" t="s">
        <v>1082</v>
      </c>
      <c r="D25" s="159"/>
      <c r="E25" s="159"/>
      <c r="F25" s="159"/>
      <c r="G25" s="159"/>
      <c r="H25" s="160" t="s">
        <v>1039</v>
      </c>
      <c r="I25" s="1682">
        <f>간주취득세!G104*1000*1</f>
        <v>311423.42342342378</v>
      </c>
      <c r="J25" s="220">
        <f ca="1">SUM(J26:J29)</f>
        <v>45755566.490720086</v>
      </c>
      <c r="K25" s="98"/>
      <c r="L25" s="162">
        <f>SUM(L26:L29)</f>
        <v>-16079999.999999998</v>
      </c>
      <c r="M25" s="162">
        <f t="shared" ref="M25:BX25" si="27">SUM(M26:M29)</f>
        <v>0</v>
      </c>
      <c r="N25" s="162">
        <f t="shared" si="27"/>
        <v>0</v>
      </c>
      <c r="O25" s="162">
        <f t="shared" si="27"/>
        <v>0</v>
      </c>
      <c r="P25" s="162">
        <f t="shared" si="27"/>
        <v>0</v>
      </c>
      <c r="Q25" s="162">
        <f t="shared" si="27"/>
        <v>0</v>
      </c>
      <c r="R25" s="162">
        <f t="shared" ca="1" si="27"/>
        <v>600000</v>
      </c>
      <c r="S25" s="162">
        <f t="shared" si="27"/>
        <v>0</v>
      </c>
      <c r="T25" s="162">
        <f t="shared" si="27"/>
        <v>0</v>
      </c>
      <c r="U25" s="162">
        <f t="shared" si="27"/>
        <v>0</v>
      </c>
      <c r="V25" s="162">
        <f t="shared" si="27"/>
        <v>0</v>
      </c>
      <c r="W25" s="162">
        <f t="shared" si="27"/>
        <v>0</v>
      </c>
      <c r="X25" s="162">
        <f t="shared" ca="1" si="27"/>
        <v>-33801023.423423424</v>
      </c>
      <c r="Y25" s="162">
        <f t="shared" si="27"/>
        <v>0</v>
      </c>
      <c r="Z25" s="162">
        <f t="shared" si="27"/>
        <v>0</v>
      </c>
      <c r="AA25" s="162">
        <f t="shared" si="27"/>
        <v>0</v>
      </c>
      <c r="AB25" s="162">
        <f t="shared" si="27"/>
        <v>0</v>
      </c>
      <c r="AC25" s="162">
        <f t="shared" si="27"/>
        <v>0</v>
      </c>
      <c r="AD25" s="162">
        <f t="shared" ca="1" si="27"/>
        <v>1875000</v>
      </c>
      <c r="AE25" s="162">
        <f t="shared" si="27"/>
        <v>0</v>
      </c>
      <c r="AF25" s="162">
        <f t="shared" si="27"/>
        <v>0</v>
      </c>
      <c r="AG25" s="162">
        <f t="shared" si="27"/>
        <v>0</v>
      </c>
      <c r="AH25" s="162">
        <f t="shared" si="27"/>
        <v>0</v>
      </c>
      <c r="AI25" s="162">
        <f t="shared" si="27"/>
        <v>0</v>
      </c>
      <c r="AJ25" s="162">
        <f t="shared" ca="1" si="27"/>
        <v>1875000</v>
      </c>
      <c r="AK25" s="162">
        <f t="shared" si="27"/>
        <v>0</v>
      </c>
      <c r="AL25" s="162">
        <f t="shared" si="27"/>
        <v>0</v>
      </c>
      <c r="AM25" s="162">
        <f t="shared" si="27"/>
        <v>0</v>
      </c>
      <c r="AN25" s="162">
        <f t="shared" si="27"/>
        <v>0</v>
      </c>
      <c r="AO25" s="162">
        <f t="shared" si="27"/>
        <v>0</v>
      </c>
      <c r="AP25" s="162">
        <f t="shared" ca="1" si="27"/>
        <v>1875000</v>
      </c>
      <c r="AQ25" s="162">
        <f t="shared" si="27"/>
        <v>0</v>
      </c>
      <c r="AR25" s="162">
        <f t="shared" si="27"/>
        <v>0</v>
      </c>
      <c r="AS25" s="162">
        <f t="shared" si="27"/>
        <v>0</v>
      </c>
      <c r="AT25" s="162">
        <f t="shared" si="27"/>
        <v>0</v>
      </c>
      <c r="AU25" s="162">
        <f t="shared" si="27"/>
        <v>0</v>
      </c>
      <c r="AV25" s="162">
        <f t="shared" ca="1" si="27"/>
        <v>1875000</v>
      </c>
      <c r="AW25" s="162">
        <f t="shared" si="27"/>
        <v>0</v>
      </c>
      <c r="AX25" s="162">
        <f t="shared" si="27"/>
        <v>0</v>
      </c>
      <c r="AY25" s="162">
        <f t="shared" si="27"/>
        <v>0</v>
      </c>
      <c r="AZ25" s="162">
        <f t="shared" si="27"/>
        <v>0</v>
      </c>
      <c r="BA25" s="162">
        <f t="shared" si="27"/>
        <v>0</v>
      </c>
      <c r="BB25" s="162">
        <f t="shared" ca="1" si="27"/>
        <v>1762472.0129412687</v>
      </c>
      <c r="BC25" s="162">
        <f t="shared" si="27"/>
        <v>0</v>
      </c>
      <c r="BD25" s="162">
        <f t="shared" si="27"/>
        <v>0</v>
      </c>
      <c r="BE25" s="162">
        <f t="shared" si="27"/>
        <v>0</v>
      </c>
      <c r="BF25" s="162">
        <f t="shared" si="27"/>
        <v>0</v>
      </c>
      <c r="BG25" s="162">
        <f t="shared" si="27"/>
        <v>0</v>
      </c>
      <c r="BH25" s="162">
        <f t="shared" ca="1" si="27"/>
        <v>1513291.9989280105</v>
      </c>
      <c r="BI25" s="162">
        <f t="shared" si="27"/>
        <v>0</v>
      </c>
      <c r="BJ25" s="162">
        <f t="shared" si="27"/>
        <v>0</v>
      </c>
      <c r="BK25" s="162">
        <f t="shared" si="27"/>
        <v>0</v>
      </c>
      <c r="BL25" s="162">
        <f t="shared" si="27"/>
        <v>0</v>
      </c>
      <c r="BM25" s="162">
        <f t="shared" si="27"/>
        <v>0</v>
      </c>
      <c r="BN25" s="162">
        <f t="shared" ca="1" si="27"/>
        <v>1265541.4966859473</v>
      </c>
      <c r="BO25" s="162">
        <f t="shared" si="27"/>
        <v>0</v>
      </c>
      <c r="BP25" s="162">
        <f t="shared" si="27"/>
        <v>0</v>
      </c>
      <c r="BQ25" s="162">
        <f t="shared" si="27"/>
        <v>0</v>
      </c>
      <c r="BR25" s="162">
        <f t="shared" si="27"/>
        <v>0</v>
      </c>
      <c r="BS25" s="162">
        <f t="shared" si="27"/>
        <v>0</v>
      </c>
      <c r="BT25" s="162">
        <f t="shared" ca="1" si="27"/>
        <v>1722478.4355854392</v>
      </c>
      <c r="BU25" s="162">
        <f t="shared" si="27"/>
        <v>0</v>
      </c>
      <c r="BV25" s="162">
        <f t="shared" si="27"/>
        <v>0</v>
      </c>
      <c r="BW25" s="162">
        <f t="shared" si="27"/>
        <v>0</v>
      </c>
      <c r="BX25" s="162">
        <f t="shared" si="27"/>
        <v>0</v>
      </c>
      <c r="BY25" s="162">
        <f t="shared" ref="BY25:EJ25" si="28">SUM(BY26:BY29)</f>
        <v>0</v>
      </c>
      <c r="BZ25" s="162">
        <f t="shared" ca="1" si="28"/>
        <v>1805647.7403300544</v>
      </c>
      <c r="CA25" s="162">
        <f t="shared" si="28"/>
        <v>0</v>
      </c>
      <c r="CB25" s="162">
        <f t="shared" si="28"/>
        <v>0</v>
      </c>
      <c r="CC25" s="162">
        <f t="shared" si="28"/>
        <v>0</v>
      </c>
      <c r="CD25" s="162">
        <f t="shared" si="28"/>
        <v>0</v>
      </c>
      <c r="CE25" s="162">
        <f t="shared" si="28"/>
        <v>0</v>
      </c>
      <c r="CF25" s="162">
        <f t="shared" ca="1" si="28"/>
        <v>2258497.3462193981</v>
      </c>
      <c r="CG25" s="162">
        <f t="shared" si="28"/>
        <v>0</v>
      </c>
      <c r="CH25" s="162">
        <f t="shared" si="28"/>
        <v>0</v>
      </c>
      <c r="CI25" s="162">
        <f t="shared" si="28"/>
        <v>0</v>
      </c>
      <c r="CJ25" s="162">
        <f t="shared" si="28"/>
        <v>0</v>
      </c>
      <c r="CK25" s="162">
        <f t="shared" si="28"/>
        <v>0</v>
      </c>
      <c r="CL25" s="162">
        <f t="shared" ca="1" si="28"/>
        <v>2031213.1788212531</v>
      </c>
      <c r="CM25" s="162">
        <f t="shared" si="28"/>
        <v>0</v>
      </c>
      <c r="CN25" s="162">
        <f t="shared" si="28"/>
        <v>0</v>
      </c>
      <c r="CO25" s="162">
        <f t="shared" si="28"/>
        <v>0</v>
      </c>
      <c r="CP25" s="162">
        <f t="shared" si="28"/>
        <v>0</v>
      </c>
      <c r="CQ25" s="162">
        <f t="shared" si="28"/>
        <v>0</v>
      </c>
      <c r="CR25" s="162">
        <f t="shared" ca="1" si="28"/>
        <v>2480274.6567853596</v>
      </c>
      <c r="CS25" s="162">
        <f t="shared" si="28"/>
        <v>0</v>
      </c>
      <c r="CT25" s="162">
        <f t="shared" si="28"/>
        <v>0</v>
      </c>
      <c r="CU25" s="162">
        <f t="shared" si="28"/>
        <v>0</v>
      </c>
      <c r="CV25" s="162">
        <f t="shared" si="28"/>
        <v>0</v>
      </c>
      <c r="CW25" s="162">
        <f t="shared" si="28"/>
        <v>0</v>
      </c>
      <c r="CX25" s="162">
        <f t="shared" ca="1" si="28"/>
        <v>2035583.1337032691</v>
      </c>
      <c r="CY25" s="162">
        <f t="shared" si="28"/>
        <v>0</v>
      </c>
      <c r="CZ25" s="162">
        <f t="shared" si="28"/>
        <v>0</v>
      </c>
      <c r="DA25" s="162">
        <f t="shared" si="28"/>
        <v>0</v>
      </c>
      <c r="DB25" s="162">
        <f t="shared" si="28"/>
        <v>0</v>
      </c>
      <c r="DC25" s="162">
        <f t="shared" si="28"/>
        <v>0</v>
      </c>
      <c r="DD25" s="162">
        <f t="shared" ca="1" si="28"/>
        <v>1875000</v>
      </c>
      <c r="DE25" s="162">
        <f t="shared" si="28"/>
        <v>0</v>
      </c>
      <c r="DF25" s="162">
        <f t="shared" si="28"/>
        <v>0</v>
      </c>
      <c r="DG25" s="162">
        <f t="shared" si="28"/>
        <v>0</v>
      </c>
      <c r="DH25" s="162">
        <f t="shared" si="28"/>
        <v>0</v>
      </c>
      <c r="DI25" s="162">
        <f t="shared" si="28"/>
        <v>0</v>
      </c>
      <c r="DJ25" s="162">
        <f t="shared" ca="1" si="28"/>
        <v>1875000</v>
      </c>
      <c r="DK25" s="162">
        <f t="shared" si="28"/>
        <v>0</v>
      </c>
      <c r="DL25" s="162">
        <f t="shared" si="28"/>
        <v>0</v>
      </c>
      <c r="DM25" s="162">
        <f t="shared" si="28"/>
        <v>0</v>
      </c>
      <c r="DN25" s="162">
        <f t="shared" si="28"/>
        <v>0</v>
      </c>
      <c r="DO25" s="162">
        <f t="shared" si="28"/>
        <v>0</v>
      </c>
      <c r="DP25" s="162">
        <f t="shared" ca="1" si="28"/>
        <v>1875000</v>
      </c>
      <c r="DQ25" s="162">
        <f t="shared" si="28"/>
        <v>0</v>
      </c>
      <c r="DR25" s="162">
        <f t="shared" si="28"/>
        <v>0</v>
      </c>
      <c r="DS25" s="162">
        <f t="shared" si="28"/>
        <v>0</v>
      </c>
      <c r="DT25" s="162">
        <f t="shared" si="28"/>
        <v>0</v>
      </c>
      <c r="DU25" s="162">
        <f t="shared" si="28"/>
        <v>0</v>
      </c>
      <c r="DV25" s="162">
        <f t="shared" ca="1" si="28"/>
        <v>1875000</v>
      </c>
      <c r="DW25" s="162">
        <f t="shared" si="28"/>
        <v>0</v>
      </c>
      <c r="DX25" s="162">
        <f t="shared" si="28"/>
        <v>0</v>
      </c>
      <c r="DY25" s="162">
        <f t="shared" si="28"/>
        <v>0</v>
      </c>
      <c r="DZ25" s="162">
        <f t="shared" si="28"/>
        <v>0</v>
      </c>
      <c r="EA25" s="162">
        <f t="shared" si="28"/>
        <v>0</v>
      </c>
      <c r="EB25" s="162">
        <f t="shared" ca="1" si="28"/>
        <v>63161589.91414351</v>
      </c>
      <c r="EC25" s="162">
        <f t="shared" si="28"/>
        <v>0</v>
      </c>
      <c r="ED25" s="162">
        <f t="shared" si="28"/>
        <v>0</v>
      </c>
      <c r="EE25" s="162">
        <f t="shared" si="28"/>
        <v>0</v>
      </c>
      <c r="EF25" s="162">
        <f t="shared" si="28"/>
        <v>0</v>
      </c>
      <c r="EG25" s="162">
        <f t="shared" si="28"/>
        <v>0</v>
      </c>
      <c r="EH25" s="162">
        <f t="shared" si="28"/>
        <v>0</v>
      </c>
      <c r="EI25" s="162">
        <f t="shared" si="28"/>
        <v>0</v>
      </c>
      <c r="EJ25" s="162">
        <f t="shared" si="28"/>
        <v>0</v>
      </c>
      <c r="EK25" s="162">
        <f t="shared" ref="EK25:EQ25" si="29">SUM(EK26:EK29)</f>
        <v>0</v>
      </c>
      <c r="EL25" s="162">
        <f t="shared" si="29"/>
        <v>0</v>
      </c>
      <c r="EM25" s="162">
        <f t="shared" si="29"/>
        <v>0</v>
      </c>
      <c r="EN25" s="162">
        <f t="shared" si="29"/>
        <v>0</v>
      </c>
      <c r="EO25" s="162">
        <f t="shared" si="29"/>
        <v>0</v>
      </c>
      <c r="EP25" s="162">
        <f t="shared" si="29"/>
        <v>0</v>
      </c>
      <c r="EQ25" s="162">
        <f t="shared" si="29"/>
        <v>0</v>
      </c>
    </row>
    <row r="26" spans="2:147" ht="13.35" customHeight="1">
      <c r="B26" s="218"/>
      <c r="C26" s="163"/>
      <c r="D26" s="164" t="s">
        <v>596</v>
      </c>
      <c r="E26" s="165"/>
      <c r="F26" s="185">
        <f>간주취득세!$D$25*(1+0.5%)*1000</f>
        <v>16079999.999999998</v>
      </c>
      <c r="G26" s="165"/>
      <c r="H26" s="166">
        <f>'A&amp;R'!G114</f>
        <v>46691</v>
      </c>
      <c r="I26" s="228">
        <f>('A&amp;R'!P42-$F$26)*(1+0.5%)+I25</f>
        <v>34401023.423423424</v>
      </c>
      <c r="J26" s="168">
        <f t="shared" ref="J26:J31" si="30">SUM(L26:EQ26)</f>
        <v>-50481023.423423424</v>
      </c>
      <c r="K26" s="98"/>
      <c r="L26" s="168">
        <f>-$I26*(L$5=$H$26)-$F26*(L$5='A&amp;R'!$D$37)</f>
        <v>-16079999.999999998</v>
      </c>
      <c r="M26" s="168">
        <f t="shared" ref="M26:BX26" si="31">-$I26*(M$5=$H$26)</f>
        <v>0</v>
      </c>
      <c r="N26" s="168">
        <f t="shared" si="31"/>
        <v>0</v>
      </c>
      <c r="O26" s="168">
        <f t="shared" si="31"/>
        <v>0</v>
      </c>
      <c r="P26" s="168">
        <f t="shared" si="31"/>
        <v>0</v>
      </c>
      <c r="Q26" s="168">
        <f t="shared" si="31"/>
        <v>0</v>
      </c>
      <c r="R26" s="168">
        <f t="shared" si="31"/>
        <v>0</v>
      </c>
      <c r="S26" s="168">
        <f t="shared" si="31"/>
        <v>0</v>
      </c>
      <c r="T26" s="168">
        <f t="shared" si="31"/>
        <v>0</v>
      </c>
      <c r="U26" s="168">
        <f t="shared" si="31"/>
        <v>0</v>
      </c>
      <c r="V26" s="168">
        <f t="shared" si="31"/>
        <v>0</v>
      </c>
      <c r="W26" s="168">
        <f t="shared" si="31"/>
        <v>0</v>
      </c>
      <c r="X26" s="168">
        <f t="shared" si="31"/>
        <v>-34401023.423423424</v>
      </c>
      <c r="Y26" s="168">
        <f t="shared" si="31"/>
        <v>0</v>
      </c>
      <c r="Z26" s="168">
        <f t="shared" si="31"/>
        <v>0</v>
      </c>
      <c r="AA26" s="168">
        <f t="shared" si="31"/>
        <v>0</v>
      </c>
      <c r="AB26" s="168">
        <f t="shared" si="31"/>
        <v>0</v>
      </c>
      <c r="AC26" s="168">
        <f t="shared" si="31"/>
        <v>0</v>
      </c>
      <c r="AD26" s="168">
        <f t="shared" si="31"/>
        <v>0</v>
      </c>
      <c r="AE26" s="168">
        <f t="shared" si="31"/>
        <v>0</v>
      </c>
      <c r="AF26" s="168">
        <f t="shared" si="31"/>
        <v>0</v>
      </c>
      <c r="AG26" s="168">
        <f t="shared" si="31"/>
        <v>0</v>
      </c>
      <c r="AH26" s="168">
        <f t="shared" si="31"/>
        <v>0</v>
      </c>
      <c r="AI26" s="168">
        <f t="shared" si="31"/>
        <v>0</v>
      </c>
      <c r="AJ26" s="168">
        <f t="shared" si="31"/>
        <v>0</v>
      </c>
      <c r="AK26" s="168">
        <f t="shared" si="31"/>
        <v>0</v>
      </c>
      <c r="AL26" s="168">
        <f t="shared" si="31"/>
        <v>0</v>
      </c>
      <c r="AM26" s="168">
        <f t="shared" si="31"/>
        <v>0</v>
      </c>
      <c r="AN26" s="168">
        <f t="shared" si="31"/>
        <v>0</v>
      </c>
      <c r="AO26" s="168">
        <f t="shared" si="31"/>
        <v>0</v>
      </c>
      <c r="AP26" s="168">
        <f t="shared" si="31"/>
        <v>0</v>
      </c>
      <c r="AQ26" s="168">
        <f t="shared" si="31"/>
        <v>0</v>
      </c>
      <c r="AR26" s="168">
        <f t="shared" si="31"/>
        <v>0</v>
      </c>
      <c r="AS26" s="168">
        <f t="shared" si="31"/>
        <v>0</v>
      </c>
      <c r="AT26" s="168">
        <f t="shared" si="31"/>
        <v>0</v>
      </c>
      <c r="AU26" s="168">
        <f t="shared" si="31"/>
        <v>0</v>
      </c>
      <c r="AV26" s="168">
        <f t="shared" si="31"/>
        <v>0</v>
      </c>
      <c r="AW26" s="168">
        <f t="shared" si="31"/>
        <v>0</v>
      </c>
      <c r="AX26" s="168">
        <f t="shared" si="31"/>
        <v>0</v>
      </c>
      <c r="AY26" s="168">
        <f t="shared" si="31"/>
        <v>0</v>
      </c>
      <c r="AZ26" s="168">
        <f t="shared" si="31"/>
        <v>0</v>
      </c>
      <c r="BA26" s="168">
        <f t="shared" si="31"/>
        <v>0</v>
      </c>
      <c r="BB26" s="168">
        <f t="shared" si="31"/>
        <v>0</v>
      </c>
      <c r="BC26" s="168">
        <f t="shared" si="31"/>
        <v>0</v>
      </c>
      <c r="BD26" s="168">
        <f t="shared" si="31"/>
        <v>0</v>
      </c>
      <c r="BE26" s="168">
        <f t="shared" si="31"/>
        <v>0</v>
      </c>
      <c r="BF26" s="168">
        <f t="shared" si="31"/>
        <v>0</v>
      </c>
      <c r="BG26" s="168">
        <f t="shared" si="31"/>
        <v>0</v>
      </c>
      <c r="BH26" s="168">
        <f t="shared" si="31"/>
        <v>0</v>
      </c>
      <c r="BI26" s="168">
        <f t="shared" si="31"/>
        <v>0</v>
      </c>
      <c r="BJ26" s="168">
        <f t="shared" si="31"/>
        <v>0</v>
      </c>
      <c r="BK26" s="168">
        <f t="shared" si="31"/>
        <v>0</v>
      </c>
      <c r="BL26" s="168">
        <f t="shared" si="31"/>
        <v>0</v>
      </c>
      <c r="BM26" s="168">
        <f t="shared" si="31"/>
        <v>0</v>
      </c>
      <c r="BN26" s="168">
        <f t="shared" si="31"/>
        <v>0</v>
      </c>
      <c r="BO26" s="168">
        <f t="shared" si="31"/>
        <v>0</v>
      </c>
      <c r="BP26" s="168">
        <f t="shared" si="31"/>
        <v>0</v>
      </c>
      <c r="BQ26" s="168">
        <f t="shared" si="31"/>
        <v>0</v>
      </c>
      <c r="BR26" s="168">
        <f t="shared" si="31"/>
        <v>0</v>
      </c>
      <c r="BS26" s="168">
        <f t="shared" si="31"/>
        <v>0</v>
      </c>
      <c r="BT26" s="168">
        <f t="shared" si="31"/>
        <v>0</v>
      </c>
      <c r="BU26" s="168">
        <f t="shared" si="31"/>
        <v>0</v>
      </c>
      <c r="BV26" s="168">
        <f t="shared" si="31"/>
        <v>0</v>
      </c>
      <c r="BW26" s="168">
        <f t="shared" si="31"/>
        <v>0</v>
      </c>
      <c r="BX26" s="168">
        <f t="shared" si="31"/>
        <v>0</v>
      </c>
      <c r="BY26" s="168">
        <f t="shared" ref="BY26:EJ26" si="32">-$I26*(BY$5=$H$26)</f>
        <v>0</v>
      </c>
      <c r="BZ26" s="168">
        <f t="shared" si="32"/>
        <v>0</v>
      </c>
      <c r="CA26" s="168">
        <f t="shared" si="32"/>
        <v>0</v>
      </c>
      <c r="CB26" s="168">
        <f t="shared" si="32"/>
        <v>0</v>
      </c>
      <c r="CC26" s="168">
        <f t="shared" si="32"/>
        <v>0</v>
      </c>
      <c r="CD26" s="168">
        <f t="shared" si="32"/>
        <v>0</v>
      </c>
      <c r="CE26" s="168">
        <f t="shared" si="32"/>
        <v>0</v>
      </c>
      <c r="CF26" s="168">
        <f t="shared" si="32"/>
        <v>0</v>
      </c>
      <c r="CG26" s="168">
        <f t="shared" si="32"/>
        <v>0</v>
      </c>
      <c r="CH26" s="168">
        <f t="shared" si="32"/>
        <v>0</v>
      </c>
      <c r="CI26" s="168">
        <f t="shared" si="32"/>
        <v>0</v>
      </c>
      <c r="CJ26" s="168">
        <f t="shared" si="32"/>
        <v>0</v>
      </c>
      <c r="CK26" s="168">
        <f t="shared" si="32"/>
        <v>0</v>
      </c>
      <c r="CL26" s="168">
        <f t="shared" si="32"/>
        <v>0</v>
      </c>
      <c r="CM26" s="168">
        <f t="shared" si="32"/>
        <v>0</v>
      </c>
      <c r="CN26" s="168">
        <f t="shared" si="32"/>
        <v>0</v>
      </c>
      <c r="CO26" s="168">
        <f t="shared" si="32"/>
        <v>0</v>
      </c>
      <c r="CP26" s="168">
        <f t="shared" si="32"/>
        <v>0</v>
      </c>
      <c r="CQ26" s="168">
        <f t="shared" si="32"/>
        <v>0</v>
      </c>
      <c r="CR26" s="168">
        <f t="shared" si="32"/>
        <v>0</v>
      </c>
      <c r="CS26" s="168">
        <f t="shared" si="32"/>
        <v>0</v>
      </c>
      <c r="CT26" s="168">
        <f t="shared" si="32"/>
        <v>0</v>
      </c>
      <c r="CU26" s="168">
        <f t="shared" si="32"/>
        <v>0</v>
      </c>
      <c r="CV26" s="168">
        <f t="shared" si="32"/>
        <v>0</v>
      </c>
      <c r="CW26" s="168">
        <f t="shared" si="32"/>
        <v>0</v>
      </c>
      <c r="CX26" s="168">
        <f t="shared" si="32"/>
        <v>0</v>
      </c>
      <c r="CY26" s="168">
        <f t="shared" si="32"/>
        <v>0</v>
      </c>
      <c r="CZ26" s="168">
        <f t="shared" si="32"/>
        <v>0</v>
      </c>
      <c r="DA26" s="168">
        <f t="shared" si="32"/>
        <v>0</v>
      </c>
      <c r="DB26" s="168">
        <f t="shared" si="32"/>
        <v>0</v>
      </c>
      <c r="DC26" s="168">
        <f t="shared" si="32"/>
        <v>0</v>
      </c>
      <c r="DD26" s="168">
        <f t="shared" si="32"/>
        <v>0</v>
      </c>
      <c r="DE26" s="168">
        <f t="shared" si="32"/>
        <v>0</v>
      </c>
      <c r="DF26" s="168">
        <f t="shared" si="32"/>
        <v>0</v>
      </c>
      <c r="DG26" s="168">
        <f t="shared" si="32"/>
        <v>0</v>
      </c>
      <c r="DH26" s="168">
        <f t="shared" si="32"/>
        <v>0</v>
      </c>
      <c r="DI26" s="168">
        <f t="shared" si="32"/>
        <v>0</v>
      </c>
      <c r="DJ26" s="168">
        <f t="shared" si="32"/>
        <v>0</v>
      </c>
      <c r="DK26" s="168">
        <f t="shared" si="32"/>
        <v>0</v>
      </c>
      <c r="DL26" s="168">
        <f t="shared" si="32"/>
        <v>0</v>
      </c>
      <c r="DM26" s="168">
        <f t="shared" si="32"/>
        <v>0</v>
      </c>
      <c r="DN26" s="168">
        <f t="shared" si="32"/>
        <v>0</v>
      </c>
      <c r="DO26" s="168">
        <f t="shared" si="32"/>
        <v>0</v>
      </c>
      <c r="DP26" s="168">
        <f t="shared" si="32"/>
        <v>0</v>
      </c>
      <c r="DQ26" s="168">
        <f t="shared" si="32"/>
        <v>0</v>
      </c>
      <c r="DR26" s="168">
        <f t="shared" si="32"/>
        <v>0</v>
      </c>
      <c r="DS26" s="168">
        <f t="shared" si="32"/>
        <v>0</v>
      </c>
      <c r="DT26" s="168">
        <f t="shared" si="32"/>
        <v>0</v>
      </c>
      <c r="DU26" s="168">
        <f t="shared" si="32"/>
        <v>0</v>
      </c>
      <c r="DV26" s="168">
        <f t="shared" si="32"/>
        <v>0</v>
      </c>
      <c r="DW26" s="168">
        <f t="shared" si="32"/>
        <v>0</v>
      </c>
      <c r="DX26" s="168">
        <f t="shared" si="32"/>
        <v>0</v>
      </c>
      <c r="DY26" s="168">
        <f t="shared" si="32"/>
        <v>0</v>
      </c>
      <c r="DZ26" s="168">
        <f t="shared" si="32"/>
        <v>0</v>
      </c>
      <c r="EA26" s="168">
        <f t="shared" si="32"/>
        <v>0</v>
      </c>
      <c r="EB26" s="168">
        <f t="shared" si="32"/>
        <v>0</v>
      </c>
      <c r="EC26" s="168">
        <f t="shared" si="32"/>
        <v>0</v>
      </c>
      <c r="ED26" s="168">
        <f t="shared" si="32"/>
        <v>0</v>
      </c>
      <c r="EE26" s="168">
        <f t="shared" si="32"/>
        <v>0</v>
      </c>
      <c r="EF26" s="168">
        <f t="shared" si="32"/>
        <v>0</v>
      </c>
      <c r="EG26" s="168">
        <f t="shared" si="32"/>
        <v>0</v>
      </c>
      <c r="EH26" s="168">
        <f t="shared" si="32"/>
        <v>0</v>
      </c>
      <c r="EI26" s="168">
        <f t="shared" si="32"/>
        <v>0</v>
      </c>
      <c r="EJ26" s="168">
        <f t="shared" si="32"/>
        <v>0</v>
      </c>
      <c r="EK26" s="168">
        <f t="shared" ref="EK26:EQ26" si="33">-$I26*(EK$5=$H$26)</f>
        <v>0</v>
      </c>
      <c r="EL26" s="168">
        <f t="shared" si="33"/>
        <v>0</v>
      </c>
      <c r="EM26" s="168">
        <f t="shared" si="33"/>
        <v>0</v>
      </c>
      <c r="EN26" s="168">
        <f t="shared" si="33"/>
        <v>0</v>
      </c>
      <c r="EO26" s="168">
        <f t="shared" si="33"/>
        <v>0</v>
      </c>
      <c r="EP26" s="168">
        <f t="shared" si="33"/>
        <v>0</v>
      </c>
      <c r="EQ26" s="168">
        <f t="shared" si="33"/>
        <v>0</v>
      </c>
    </row>
    <row r="27" spans="2:147" ht="13.35" customHeight="1">
      <c r="B27" s="218"/>
      <c r="C27" s="163"/>
      <c r="D27" s="169" t="s">
        <v>597</v>
      </c>
      <c r="H27" s="146">
        <f>H26</f>
        <v>46691</v>
      </c>
      <c r="I27" s="229"/>
      <c r="J27" s="171">
        <f t="shared" si="30"/>
        <v>50000000</v>
      </c>
      <c r="K27" s="98"/>
      <c r="L27" s="171">
        <f>-'CF(M)'!L102</f>
        <v>0</v>
      </c>
      <c r="M27" s="171">
        <f>-'CF(M)'!M102</f>
        <v>0</v>
      </c>
      <c r="N27" s="171">
        <f>-'CF(M)'!N102</f>
        <v>0</v>
      </c>
      <c r="O27" s="171">
        <f>-'CF(M)'!O102</f>
        <v>0</v>
      </c>
      <c r="P27" s="171">
        <f>-'CF(M)'!P102</f>
        <v>0</v>
      </c>
      <c r="Q27" s="171">
        <f>-'CF(M)'!Q102</f>
        <v>0</v>
      </c>
      <c r="R27" s="171">
        <f>-'CF(M)'!R102</f>
        <v>0</v>
      </c>
      <c r="S27" s="171">
        <f>-'CF(M)'!S102</f>
        <v>0</v>
      </c>
      <c r="T27" s="171">
        <f>-'CF(M)'!T102</f>
        <v>0</v>
      </c>
      <c r="U27" s="171">
        <f>-'CF(M)'!U102</f>
        <v>0</v>
      </c>
      <c r="V27" s="171">
        <f>-'CF(M)'!V102</f>
        <v>0</v>
      </c>
      <c r="W27" s="171">
        <f>-'CF(M)'!W102</f>
        <v>0</v>
      </c>
      <c r="X27" s="171">
        <f>-'CF(M)'!X102</f>
        <v>0</v>
      </c>
      <c r="Y27" s="171">
        <f>-'CF(M)'!Y102</f>
        <v>0</v>
      </c>
      <c r="Z27" s="171">
        <f>-'CF(M)'!Z102</f>
        <v>0</v>
      </c>
      <c r="AA27" s="171">
        <f>-'CF(M)'!AA102</f>
        <v>0</v>
      </c>
      <c r="AB27" s="171">
        <f>-'CF(M)'!AB102</f>
        <v>0</v>
      </c>
      <c r="AC27" s="171">
        <f>-'CF(M)'!AC102</f>
        <v>0</v>
      </c>
      <c r="AD27" s="171">
        <f>-'CF(M)'!AD102</f>
        <v>0</v>
      </c>
      <c r="AE27" s="171">
        <f>-'CF(M)'!AE102</f>
        <v>0</v>
      </c>
      <c r="AF27" s="171">
        <f>-'CF(M)'!AF102</f>
        <v>0</v>
      </c>
      <c r="AG27" s="171">
        <f>-'CF(M)'!AG102</f>
        <v>0</v>
      </c>
      <c r="AH27" s="171">
        <f>-'CF(M)'!AH102</f>
        <v>0</v>
      </c>
      <c r="AI27" s="171">
        <f>-'CF(M)'!AI102</f>
        <v>0</v>
      </c>
      <c r="AJ27" s="171">
        <f>-'CF(M)'!AJ102</f>
        <v>0</v>
      </c>
      <c r="AK27" s="171">
        <f>-'CF(M)'!AK102</f>
        <v>0</v>
      </c>
      <c r="AL27" s="171">
        <f>-'CF(M)'!AL102</f>
        <v>0</v>
      </c>
      <c r="AM27" s="171">
        <f>-'CF(M)'!AM102</f>
        <v>0</v>
      </c>
      <c r="AN27" s="171">
        <f>-'CF(M)'!AN102</f>
        <v>0</v>
      </c>
      <c r="AO27" s="171">
        <f>-'CF(M)'!AO102</f>
        <v>0</v>
      </c>
      <c r="AP27" s="171">
        <f>-'CF(M)'!AP102</f>
        <v>0</v>
      </c>
      <c r="AQ27" s="171">
        <f>-'CF(M)'!AQ102</f>
        <v>0</v>
      </c>
      <c r="AR27" s="171">
        <f>-'CF(M)'!AR102</f>
        <v>0</v>
      </c>
      <c r="AS27" s="171">
        <f>-'CF(M)'!AS102</f>
        <v>0</v>
      </c>
      <c r="AT27" s="171">
        <f>-'CF(M)'!AT102</f>
        <v>0</v>
      </c>
      <c r="AU27" s="171">
        <f>-'CF(M)'!AU102</f>
        <v>0</v>
      </c>
      <c r="AV27" s="171">
        <f>-'CF(M)'!AV102</f>
        <v>0</v>
      </c>
      <c r="AW27" s="171">
        <f>-'CF(M)'!AW102</f>
        <v>0</v>
      </c>
      <c r="AX27" s="171">
        <f>-'CF(M)'!AX102</f>
        <v>0</v>
      </c>
      <c r="AY27" s="171">
        <f>-'CF(M)'!AY102</f>
        <v>0</v>
      </c>
      <c r="AZ27" s="171">
        <f>-'CF(M)'!AZ102</f>
        <v>0</v>
      </c>
      <c r="BA27" s="171">
        <f>-'CF(M)'!BA102</f>
        <v>0</v>
      </c>
      <c r="BB27" s="171">
        <f>-'CF(M)'!BB102</f>
        <v>0</v>
      </c>
      <c r="BC27" s="171">
        <f>-'CF(M)'!BC102</f>
        <v>0</v>
      </c>
      <c r="BD27" s="171">
        <f>-'CF(M)'!BD102</f>
        <v>0</v>
      </c>
      <c r="BE27" s="171">
        <f>-'CF(M)'!BE102</f>
        <v>0</v>
      </c>
      <c r="BF27" s="171">
        <f>-'CF(M)'!BF102</f>
        <v>0</v>
      </c>
      <c r="BG27" s="171">
        <f>-'CF(M)'!BG102</f>
        <v>0</v>
      </c>
      <c r="BH27" s="171">
        <f>-'CF(M)'!BH102</f>
        <v>0</v>
      </c>
      <c r="BI27" s="171">
        <f>-'CF(M)'!BI102</f>
        <v>0</v>
      </c>
      <c r="BJ27" s="171">
        <f>-'CF(M)'!BJ102</f>
        <v>0</v>
      </c>
      <c r="BK27" s="171">
        <f>-'CF(M)'!BK102</f>
        <v>0</v>
      </c>
      <c r="BL27" s="171">
        <f>-'CF(M)'!BL102</f>
        <v>0</v>
      </c>
      <c r="BM27" s="171">
        <f>-'CF(M)'!BM102</f>
        <v>0</v>
      </c>
      <c r="BN27" s="171">
        <f>-'CF(M)'!BN102</f>
        <v>0</v>
      </c>
      <c r="BO27" s="171">
        <f>-'CF(M)'!BO102</f>
        <v>0</v>
      </c>
      <c r="BP27" s="171">
        <f>-'CF(M)'!BP102</f>
        <v>0</v>
      </c>
      <c r="BQ27" s="171">
        <f>-'CF(M)'!BQ102</f>
        <v>0</v>
      </c>
      <c r="BR27" s="171">
        <f>-'CF(M)'!BR102</f>
        <v>0</v>
      </c>
      <c r="BS27" s="171">
        <f>-'CF(M)'!BS102</f>
        <v>0</v>
      </c>
      <c r="BT27" s="171">
        <f>-'CF(M)'!BT102</f>
        <v>0</v>
      </c>
      <c r="BU27" s="171">
        <f>-'CF(M)'!BU102</f>
        <v>0</v>
      </c>
      <c r="BV27" s="171">
        <f>-'CF(M)'!BV102</f>
        <v>0</v>
      </c>
      <c r="BW27" s="171">
        <f>-'CF(M)'!BW102</f>
        <v>0</v>
      </c>
      <c r="BX27" s="171">
        <f>-'CF(M)'!BX102</f>
        <v>0</v>
      </c>
      <c r="BY27" s="171">
        <f>-'CF(M)'!BY102</f>
        <v>0</v>
      </c>
      <c r="BZ27" s="171">
        <f>-'CF(M)'!BZ102</f>
        <v>0</v>
      </c>
      <c r="CA27" s="171">
        <f>-'CF(M)'!CA102</f>
        <v>0</v>
      </c>
      <c r="CB27" s="171">
        <f>-'CF(M)'!CB102</f>
        <v>0</v>
      </c>
      <c r="CC27" s="171">
        <f>-'CF(M)'!CC102</f>
        <v>0</v>
      </c>
      <c r="CD27" s="171">
        <f>-'CF(M)'!CD102</f>
        <v>0</v>
      </c>
      <c r="CE27" s="171">
        <f>-'CF(M)'!CE102</f>
        <v>0</v>
      </c>
      <c r="CF27" s="171">
        <f>-'CF(M)'!CF102</f>
        <v>0</v>
      </c>
      <c r="CG27" s="171">
        <f>-'CF(M)'!CG102</f>
        <v>0</v>
      </c>
      <c r="CH27" s="171">
        <f>-'CF(M)'!CH102</f>
        <v>0</v>
      </c>
      <c r="CI27" s="171">
        <f>-'CF(M)'!CI102</f>
        <v>0</v>
      </c>
      <c r="CJ27" s="171">
        <f>-'CF(M)'!CJ102</f>
        <v>0</v>
      </c>
      <c r="CK27" s="171">
        <f>-'CF(M)'!CK102</f>
        <v>0</v>
      </c>
      <c r="CL27" s="171">
        <f>-'CF(M)'!CL102</f>
        <v>0</v>
      </c>
      <c r="CM27" s="171">
        <f>-'CF(M)'!CM102</f>
        <v>0</v>
      </c>
      <c r="CN27" s="171">
        <f>-'CF(M)'!CN102</f>
        <v>0</v>
      </c>
      <c r="CO27" s="171">
        <f>-'CF(M)'!CO102</f>
        <v>0</v>
      </c>
      <c r="CP27" s="171">
        <f>-'CF(M)'!CP102</f>
        <v>0</v>
      </c>
      <c r="CQ27" s="171">
        <f>-'CF(M)'!CQ102</f>
        <v>0</v>
      </c>
      <c r="CR27" s="171">
        <f>-'CF(M)'!CR102</f>
        <v>0</v>
      </c>
      <c r="CS27" s="171">
        <f>-'CF(M)'!CS102</f>
        <v>0</v>
      </c>
      <c r="CT27" s="171">
        <f>-'CF(M)'!CT102</f>
        <v>0</v>
      </c>
      <c r="CU27" s="171">
        <f>-'CF(M)'!CU102</f>
        <v>0</v>
      </c>
      <c r="CV27" s="171">
        <f>-'CF(M)'!CV102</f>
        <v>0</v>
      </c>
      <c r="CW27" s="171">
        <f>-'CF(M)'!CW102</f>
        <v>0</v>
      </c>
      <c r="CX27" s="171">
        <f>-'CF(M)'!CX102</f>
        <v>0</v>
      </c>
      <c r="CY27" s="171">
        <f>-'CF(M)'!CY102</f>
        <v>0</v>
      </c>
      <c r="CZ27" s="171">
        <f>-'CF(M)'!CZ102</f>
        <v>0</v>
      </c>
      <c r="DA27" s="171">
        <f>-'CF(M)'!DA102</f>
        <v>0</v>
      </c>
      <c r="DB27" s="171">
        <f>-'CF(M)'!DB102</f>
        <v>0</v>
      </c>
      <c r="DC27" s="171">
        <f>-'CF(M)'!DC102</f>
        <v>0</v>
      </c>
      <c r="DD27" s="171">
        <f>-'CF(M)'!DD102</f>
        <v>0</v>
      </c>
      <c r="DE27" s="171">
        <f>-'CF(M)'!DE102</f>
        <v>0</v>
      </c>
      <c r="DF27" s="171">
        <f>-'CF(M)'!DF102</f>
        <v>0</v>
      </c>
      <c r="DG27" s="171">
        <f>-'CF(M)'!DG102</f>
        <v>0</v>
      </c>
      <c r="DH27" s="171">
        <f>-'CF(M)'!DH102</f>
        <v>0</v>
      </c>
      <c r="DI27" s="171">
        <f>-'CF(M)'!DI102</f>
        <v>0</v>
      </c>
      <c r="DJ27" s="171">
        <f>-'CF(M)'!DJ102</f>
        <v>0</v>
      </c>
      <c r="DK27" s="171">
        <f>-'CF(M)'!DK102</f>
        <v>0</v>
      </c>
      <c r="DL27" s="171">
        <f>-'CF(M)'!DL102</f>
        <v>0</v>
      </c>
      <c r="DM27" s="171">
        <f>-'CF(M)'!DM102</f>
        <v>0</v>
      </c>
      <c r="DN27" s="171">
        <f>-'CF(M)'!DN102</f>
        <v>0</v>
      </c>
      <c r="DO27" s="171">
        <f>-'CF(M)'!DO102</f>
        <v>0</v>
      </c>
      <c r="DP27" s="171">
        <f>-'CF(M)'!DP102</f>
        <v>0</v>
      </c>
      <c r="DQ27" s="171">
        <f>-'CF(M)'!DQ102</f>
        <v>0</v>
      </c>
      <c r="DR27" s="171">
        <f>-'CF(M)'!DR102</f>
        <v>0</v>
      </c>
      <c r="DS27" s="171">
        <f>-'CF(M)'!DS102</f>
        <v>0</v>
      </c>
      <c r="DT27" s="171">
        <f>-'CF(M)'!DT102</f>
        <v>0</v>
      </c>
      <c r="DU27" s="171">
        <f>-'CF(M)'!DU102</f>
        <v>0</v>
      </c>
      <c r="DV27" s="171">
        <f>-'CF(M)'!DV102</f>
        <v>0</v>
      </c>
      <c r="DW27" s="171">
        <f>-'CF(M)'!DW102</f>
        <v>0</v>
      </c>
      <c r="DX27" s="171">
        <f>-'CF(M)'!DX102</f>
        <v>0</v>
      </c>
      <c r="DY27" s="171">
        <f>-'CF(M)'!DY102</f>
        <v>0</v>
      </c>
      <c r="DZ27" s="171">
        <f>-'CF(M)'!DZ102</f>
        <v>0</v>
      </c>
      <c r="EA27" s="171">
        <f>-'CF(M)'!EA102</f>
        <v>0</v>
      </c>
      <c r="EB27" s="171">
        <f>-'CF(M)'!EB102</f>
        <v>50000000</v>
      </c>
      <c r="EC27" s="171">
        <f>-'CF(M)'!EC102</f>
        <v>0</v>
      </c>
      <c r="ED27" s="171">
        <f>-'CF(M)'!ED102</f>
        <v>0</v>
      </c>
      <c r="EE27" s="171">
        <f>-'CF(M)'!EE102</f>
        <v>0</v>
      </c>
      <c r="EF27" s="171">
        <f>-'CF(M)'!EF102</f>
        <v>0</v>
      </c>
      <c r="EG27" s="171">
        <f>-'CF(M)'!EG102</f>
        <v>0</v>
      </c>
      <c r="EH27" s="171">
        <f>-'CF(M)'!EH102</f>
        <v>0</v>
      </c>
      <c r="EI27" s="171">
        <f>-'CF(M)'!EI102</f>
        <v>0</v>
      </c>
      <c r="EJ27" s="171">
        <f>-'CF(M)'!EJ102</f>
        <v>0</v>
      </c>
      <c r="EK27" s="171">
        <f>-'CF(M)'!EK102</f>
        <v>0</v>
      </c>
      <c r="EL27" s="171">
        <f>-'CF(M)'!EL102</f>
        <v>0</v>
      </c>
      <c r="EM27" s="171">
        <f>-'CF(M)'!EM102</f>
        <v>0</v>
      </c>
      <c r="EN27" s="171">
        <f>-'CF(M)'!EN102</f>
        <v>0</v>
      </c>
      <c r="EO27" s="171">
        <f>-'CF(M)'!EO102</f>
        <v>0</v>
      </c>
      <c r="EP27" s="171">
        <f>-'CF(M)'!EP102</f>
        <v>0</v>
      </c>
      <c r="EQ27" s="171">
        <f>-'CF(M)'!EQ102</f>
        <v>0</v>
      </c>
    </row>
    <row r="28" spans="2:147" ht="13.35" customHeight="1">
      <c r="B28" s="218"/>
      <c r="C28" s="163"/>
      <c r="D28" s="169" t="s">
        <v>261</v>
      </c>
      <c r="H28" s="146">
        <f>H27</f>
        <v>46691</v>
      </c>
      <c r="I28" s="229"/>
      <c r="J28" s="171">
        <f t="shared" ca="1" si="30"/>
        <v>34950000</v>
      </c>
      <c r="K28" s="98"/>
      <c r="L28" s="171">
        <f>L44</f>
        <v>0</v>
      </c>
      <c r="M28" s="171">
        <f t="shared" ref="M28:BX28" si="34">M44</f>
        <v>0</v>
      </c>
      <c r="N28" s="171">
        <f t="shared" si="34"/>
        <v>0</v>
      </c>
      <c r="O28" s="171">
        <f t="shared" si="34"/>
        <v>0</v>
      </c>
      <c r="P28" s="171">
        <f t="shared" si="34"/>
        <v>0</v>
      </c>
      <c r="Q28" s="171">
        <f t="shared" si="34"/>
        <v>0</v>
      </c>
      <c r="R28" s="171">
        <f t="shared" ca="1" si="34"/>
        <v>600000</v>
      </c>
      <c r="S28" s="171">
        <f t="shared" si="34"/>
        <v>0</v>
      </c>
      <c r="T28" s="171">
        <f t="shared" si="34"/>
        <v>0</v>
      </c>
      <c r="U28" s="171">
        <f t="shared" si="34"/>
        <v>0</v>
      </c>
      <c r="V28" s="171">
        <f t="shared" si="34"/>
        <v>0</v>
      </c>
      <c r="W28" s="171">
        <f t="shared" si="34"/>
        <v>0</v>
      </c>
      <c r="X28" s="171">
        <f t="shared" ca="1" si="34"/>
        <v>600000</v>
      </c>
      <c r="Y28" s="171">
        <f t="shared" si="34"/>
        <v>0</v>
      </c>
      <c r="Z28" s="171">
        <f t="shared" si="34"/>
        <v>0</v>
      </c>
      <c r="AA28" s="171">
        <f t="shared" si="34"/>
        <v>0</v>
      </c>
      <c r="AB28" s="171">
        <f t="shared" si="34"/>
        <v>0</v>
      </c>
      <c r="AC28" s="171">
        <f t="shared" si="34"/>
        <v>0</v>
      </c>
      <c r="AD28" s="171">
        <f t="shared" ca="1" si="34"/>
        <v>1875000</v>
      </c>
      <c r="AE28" s="171">
        <f t="shared" si="34"/>
        <v>0</v>
      </c>
      <c r="AF28" s="171">
        <f t="shared" si="34"/>
        <v>0</v>
      </c>
      <c r="AG28" s="171">
        <f t="shared" si="34"/>
        <v>0</v>
      </c>
      <c r="AH28" s="171">
        <f t="shared" si="34"/>
        <v>0</v>
      </c>
      <c r="AI28" s="171">
        <f t="shared" si="34"/>
        <v>0</v>
      </c>
      <c r="AJ28" s="171">
        <f t="shared" ca="1" si="34"/>
        <v>1875000</v>
      </c>
      <c r="AK28" s="171">
        <f t="shared" si="34"/>
        <v>0</v>
      </c>
      <c r="AL28" s="171">
        <f t="shared" si="34"/>
        <v>0</v>
      </c>
      <c r="AM28" s="171">
        <f t="shared" si="34"/>
        <v>0</v>
      </c>
      <c r="AN28" s="171">
        <f t="shared" si="34"/>
        <v>0</v>
      </c>
      <c r="AO28" s="171">
        <f t="shared" si="34"/>
        <v>0</v>
      </c>
      <c r="AP28" s="171">
        <f t="shared" ca="1" si="34"/>
        <v>1875000</v>
      </c>
      <c r="AQ28" s="171">
        <f t="shared" si="34"/>
        <v>0</v>
      </c>
      <c r="AR28" s="171">
        <f t="shared" si="34"/>
        <v>0</v>
      </c>
      <c r="AS28" s="171">
        <f t="shared" si="34"/>
        <v>0</v>
      </c>
      <c r="AT28" s="171">
        <f t="shared" si="34"/>
        <v>0</v>
      </c>
      <c r="AU28" s="171">
        <f t="shared" si="34"/>
        <v>0</v>
      </c>
      <c r="AV28" s="171">
        <f t="shared" ca="1" si="34"/>
        <v>1875000</v>
      </c>
      <c r="AW28" s="171">
        <f t="shared" si="34"/>
        <v>0</v>
      </c>
      <c r="AX28" s="171">
        <f t="shared" si="34"/>
        <v>0</v>
      </c>
      <c r="AY28" s="171">
        <f t="shared" si="34"/>
        <v>0</v>
      </c>
      <c r="AZ28" s="171">
        <f t="shared" si="34"/>
        <v>0</v>
      </c>
      <c r="BA28" s="171">
        <f t="shared" si="34"/>
        <v>0</v>
      </c>
      <c r="BB28" s="171">
        <f t="shared" ca="1" si="34"/>
        <v>1762472.0129412687</v>
      </c>
      <c r="BC28" s="171">
        <f t="shared" si="34"/>
        <v>0</v>
      </c>
      <c r="BD28" s="171">
        <f t="shared" si="34"/>
        <v>0</v>
      </c>
      <c r="BE28" s="171">
        <f t="shared" si="34"/>
        <v>0</v>
      </c>
      <c r="BF28" s="171">
        <f t="shared" si="34"/>
        <v>0</v>
      </c>
      <c r="BG28" s="171">
        <f t="shared" si="34"/>
        <v>0</v>
      </c>
      <c r="BH28" s="171">
        <f t="shared" ca="1" si="34"/>
        <v>1513291.9989280105</v>
      </c>
      <c r="BI28" s="171">
        <f t="shared" si="34"/>
        <v>0</v>
      </c>
      <c r="BJ28" s="171">
        <f t="shared" si="34"/>
        <v>0</v>
      </c>
      <c r="BK28" s="171">
        <f t="shared" si="34"/>
        <v>0</v>
      </c>
      <c r="BL28" s="171">
        <f t="shared" si="34"/>
        <v>0</v>
      </c>
      <c r="BM28" s="171">
        <f t="shared" si="34"/>
        <v>0</v>
      </c>
      <c r="BN28" s="171">
        <f t="shared" ca="1" si="34"/>
        <v>1265541.4966859473</v>
      </c>
      <c r="BO28" s="171">
        <f t="shared" si="34"/>
        <v>0</v>
      </c>
      <c r="BP28" s="171">
        <f t="shared" si="34"/>
        <v>0</v>
      </c>
      <c r="BQ28" s="171">
        <f t="shared" si="34"/>
        <v>0</v>
      </c>
      <c r="BR28" s="171">
        <f t="shared" si="34"/>
        <v>0</v>
      </c>
      <c r="BS28" s="171">
        <f t="shared" si="34"/>
        <v>0</v>
      </c>
      <c r="BT28" s="171">
        <f t="shared" ca="1" si="34"/>
        <v>1722478.4355854392</v>
      </c>
      <c r="BU28" s="171">
        <f t="shared" si="34"/>
        <v>0</v>
      </c>
      <c r="BV28" s="171">
        <f t="shared" si="34"/>
        <v>0</v>
      </c>
      <c r="BW28" s="171">
        <f t="shared" si="34"/>
        <v>0</v>
      </c>
      <c r="BX28" s="171">
        <f t="shared" si="34"/>
        <v>0</v>
      </c>
      <c r="BY28" s="171">
        <f t="shared" ref="BY28:EJ28" si="35">BY44</f>
        <v>0</v>
      </c>
      <c r="BZ28" s="171">
        <f t="shared" ca="1" si="35"/>
        <v>1805647.7403300544</v>
      </c>
      <c r="CA28" s="171">
        <f t="shared" si="35"/>
        <v>0</v>
      </c>
      <c r="CB28" s="171">
        <f t="shared" si="35"/>
        <v>0</v>
      </c>
      <c r="CC28" s="171">
        <f t="shared" si="35"/>
        <v>0</v>
      </c>
      <c r="CD28" s="171">
        <f t="shared" si="35"/>
        <v>0</v>
      </c>
      <c r="CE28" s="171">
        <f t="shared" si="35"/>
        <v>0</v>
      </c>
      <c r="CF28" s="171">
        <f t="shared" ca="1" si="35"/>
        <v>2258497.3462193981</v>
      </c>
      <c r="CG28" s="171">
        <f t="shared" si="35"/>
        <v>0</v>
      </c>
      <c r="CH28" s="171">
        <f t="shared" si="35"/>
        <v>0</v>
      </c>
      <c r="CI28" s="171">
        <f t="shared" si="35"/>
        <v>0</v>
      </c>
      <c r="CJ28" s="171">
        <f t="shared" si="35"/>
        <v>0</v>
      </c>
      <c r="CK28" s="171">
        <f t="shared" si="35"/>
        <v>0</v>
      </c>
      <c r="CL28" s="171">
        <f t="shared" ca="1" si="35"/>
        <v>2031213.1788212531</v>
      </c>
      <c r="CM28" s="171">
        <f t="shared" si="35"/>
        <v>0</v>
      </c>
      <c r="CN28" s="171">
        <f t="shared" si="35"/>
        <v>0</v>
      </c>
      <c r="CO28" s="171">
        <f t="shared" si="35"/>
        <v>0</v>
      </c>
      <c r="CP28" s="171">
        <f t="shared" si="35"/>
        <v>0</v>
      </c>
      <c r="CQ28" s="171">
        <f t="shared" si="35"/>
        <v>0</v>
      </c>
      <c r="CR28" s="171">
        <f t="shared" ca="1" si="35"/>
        <v>2480274.6567853596</v>
      </c>
      <c r="CS28" s="171">
        <f t="shared" si="35"/>
        <v>0</v>
      </c>
      <c r="CT28" s="171">
        <f t="shared" si="35"/>
        <v>0</v>
      </c>
      <c r="CU28" s="171">
        <f t="shared" si="35"/>
        <v>0</v>
      </c>
      <c r="CV28" s="171">
        <f t="shared" si="35"/>
        <v>0</v>
      </c>
      <c r="CW28" s="171">
        <f t="shared" si="35"/>
        <v>0</v>
      </c>
      <c r="CX28" s="171">
        <f t="shared" ca="1" si="35"/>
        <v>2035583.1337032691</v>
      </c>
      <c r="CY28" s="171">
        <f t="shared" si="35"/>
        <v>0</v>
      </c>
      <c r="CZ28" s="171">
        <f t="shared" si="35"/>
        <v>0</v>
      </c>
      <c r="DA28" s="171">
        <f t="shared" si="35"/>
        <v>0</v>
      </c>
      <c r="DB28" s="171">
        <f t="shared" si="35"/>
        <v>0</v>
      </c>
      <c r="DC28" s="171">
        <f t="shared" si="35"/>
        <v>0</v>
      </c>
      <c r="DD28" s="171">
        <f t="shared" ca="1" si="35"/>
        <v>1875000</v>
      </c>
      <c r="DE28" s="171">
        <f t="shared" si="35"/>
        <v>0</v>
      </c>
      <c r="DF28" s="171">
        <f t="shared" si="35"/>
        <v>0</v>
      </c>
      <c r="DG28" s="171">
        <f t="shared" si="35"/>
        <v>0</v>
      </c>
      <c r="DH28" s="171">
        <f t="shared" si="35"/>
        <v>0</v>
      </c>
      <c r="DI28" s="171">
        <f t="shared" si="35"/>
        <v>0</v>
      </c>
      <c r="DJ28" s="171">
        <f t="shared" ca="1" si="35"/>
        <v>1875000</v>
      </c>
      <c r="DK28" s="171">
        <f t="shared" si="35"/>
        <v>0</v>
      </c>
      <c r="DL28" s="171">
        <f t="shared" si="35"/>
        <v>0</v>
      </c>
      <c r="DM28" s="171">
        <f t="shared" si="35"/>
        <v>0</v>
      </c>
      <c r="DN28" s="171">
        <f t="shared" si="35"/>
        <v>0</v>
      </c>
      <c r="DO28" s="171">
        <f t="shared" si="35"/>
        <v>0</v>
      </c>
      <c r="DP28" s="171">
        <f t="shared" ca="1" si="35"/>
        <v>1875000</v>
      </c>
      <c r="DQ28" s="171">
        <f t="shared" si="35"/>
        <v>0</v>
      </c>
      <c r="DR28" s="171">
        <f t="shared" si="35"/>
        <v>0</v>
      </c>
      <c r="DS28" s="171">
        <f t="shared" si="35"/>
        <v>0</v>
      </c>
      <c r="DT28" s="171">
        <f t="shared" si="35"/>
        <v>0</v>
      </c>
      <c r="DU28" s="171">
        <f t="shared" si="35"/>
        <v>0</v>
      </c>
      <c r="DV28" s="171">
        <f t="shared" ca="1" si="35"/>
        <v>1875000</v>
      </c>
      <c r="DW28" s="171">
        <f t="shared" si="35"/>
        <v>0</v>
      </c>
      <c r="DX28" s="171">
        <f t="shared" si="35"/>
        <v>0</v>
      </c>
      <c r="DY28" s="171">
        <f t="shared" si="35"/>
        <v>0</v>
      </c>
      <c r="DZ28" s="171">
        <f t="shared" si="35"/>
        <v>0</v>
      </c>
      <c r="EA28" s="171">
        <f t="shared" si="35"/>
        <v>0</v>
      </c>
      <c r="EB28" s="171">
        <f t="shared" ca="1" si="35"/>
        <v>1875000</v>
      </c>
      <c r="EC28" s="171">
        <f t="shared" si="35"/>
        <v>0</v>
      </c>
      <c r="ED28" s="171">
        <f t="shared" si="35"/>
        <v>0</v>
      </c>
      <c r="EE28" s="171">
        <f t="shared" si="35"/>
        <v>0</v>
      </c>
      <c r="EF28" s="171">
        <f t="shared" si="35"/>
        <v>0</v>
      </c>
      <c r="EG28" s="171">
        <f t="shared" si="35"/>
        <v>0</v>
      </c>
      <c r="EH28" s="171">
        <f t="shared" si="35"/>
        <v>0</v>
      </c>
      <c r="EI28" s="171">
        <f t="shared" si="35"/>
        <v>0</v>
      </c>
      <c r="EJ28" s="171">
        <f t="shared" si="35"/>
        <v>0</v>
      </c>
      <c r="EK28" s="171">
        <f t="shared" ref="EK28:EQ28" si="36">EK44</f>
        <v>0</v>
      </c>
      <c r="EL28" s="171">
        <f t="shared" si="36"/>
        <v>0</v>
      </c>
      <c r="EM28" s="171">
        <f t="shared" si="36"/>
        <v>0</v>
      </c>
      <c r="EN28" s="171">
        <f t="shared" si="36"/>
        <v>0</v>
      </c>
      <c r="EO28" s="171">
        <f t="shared" si="36"/>
        <v>0</v>
      </c>
      <c r="EP28" s="171">
        <f t="shared" si="36"/>
        <v>0</v>
      </c>
      <c r="EQ28" s="171">
        <f t="shared" si="36"/>
        <v>0</v>
      </c>
    </row>
    <row r="29" spans="2:147" ht="13.35" customHeight="1">
      <c r="B29" s="218"/>
      <c r="C29" s="163"/>
      <c r="D29" s="1017" t="s">
        <v>469</v>
      </c>
      <c r="E29" s="1018"/>
      <c r="F29" s="1018"/>
      <c r="G29" s="1019"/>
      <c r="H29" s="1020">
        <f>H28</f>
        <v>46691</v>
      </c>
      <c r="I29" s="1021">
        <f>SUM(J26:J27)</f>
        <v>-481023.42342342436</v>
      </c>
      <c r="J29" s="997">
        <f t="shared" si="30"/>
        <v>11286589.91414351</v>
      </c>
      <c r="K29" s="98"/>
      <c r="L29" s="997">
        <f>-'CF(M)'!L104*(L$5&gt;$H29)+$I29*(L$13=$H34)</f>
        <v>0</v>
      </c>
      <c r="M29" s="997">
        <f>-'CF(M)'!M104*(M$5&gt;$H29)+$I29*(M$13=$H34)</f>
        <v>0</v>
      </c>
      <c r="N29" s="997">
        <f>-'CF(M)'!N104*(N$5&gt;$H29)+$I29*(N$13=$H34)</f>
        <v>0</v>
      </c>
      <c r="O29" s="997">
        <f>-'CF(M)'!O104*(O$5&gt;$H29)+$I29*(O$13=$H34)</f>
        <v>0</v>
      </c>
      <c r="P29" s="997">
        <f>-'CF(M)'!P104*(P$5&gt;$H29)+$I29*(P$13=$H34)</f>
        <v>0</v>
      </c>
      <c r="Q29" s="997">
        <f>-'CF(M)'!Q104*(Q$5&gt;$H29)+$I29*(Q$13=$H34)</f>
        <v>0</v>
      </c>
      <c r="R29" s="997">
        <f>-'CF(M)'!R104*(R$5&gt;$H29)+$I29*(R$13=$H34)</f>
        <v>0</v>
      </c>
      <c r="S29" s="997">
        <f>-'CF(M)'!S104*(S$5&gt;$H29)+$I29*(S$13=$H34)</f>
        <v>0</v>
      </c>
      <c r="T29" s="997">
        <f>-'CF(M)'!T104*(T$5&gt;$H29)+$I29*(T$13=$H34)</f>
        <v>0</v>
      </c>
      <c r="U29" s="997">
        <f>-'CF(M)'!U104*(U$5&gt;$H29)+$I29*(U$13=$H34)</f>
        <v>0</v>
      </c>
      <c r="V29" s="997">
        <f>-'CF(M)'!V104*(V$5&gt;$H29)+$I29*(V$13=$H34)</f>
        <v>0</v>
      </c>
      <c r="W29" s="997">
        <f>-'CF(M)'!W104*(W$5&gt;$H29)+$I29*(W$13=$H34)</f>
        <v>0</v>
      </c>
      <c r="X29" s="997">
        <f>-'CF(M)'!X104*(X$5&gt;$H29)+$I29*(X$13=$H34)</f>
        <v>0</v>
      </c>
      <c r="Y29" s="997">
        <f>-'CF(M)'!Y104*(Y$5&gt;$H29)+$I29*(Y$13=$H34)</f>
        <v>0</v>
      </c>
      <c r="Z29" s="997">
        <f>-'CF(M)'!Z104*(Z$5&gt;$H29)+$I29*(Z$13=$H34)</f>
        <v>0</v>
      </c>
      <c r="AA29" s="997">
        <f>-'CF(M)'!AA104*(AA$5&gt;$H29)+$I29*(AA$13=$H34)</f>
        <v>0</v>
      </c>
      <c r="AB29" s="997">
        <f>-'CF(M)'!AB104*(AB$5&gt;$H29)+$I29*(AB$13=$H34)</f>
        <v>0</v>
      </c>
      <c r="AC29" s="997">
        <f>-'CF(M)'!AC104*(AC$5&gt;$H29)+$I29*(AC$13=$H34)</f>
        <v>0</v>
      </c>
      <c r="AD29" s="997">
        <f>-'CF(M)'!AD104*(AD$5&gt;$H29)+$I29*(AD$13=$H34)</f>
        <v>0</v>
      </c>
      <c r="AE29" s="997">
        <f>-'CF(M)'!AE104*(AE$5&gt;$H29)+$I29*(AE$13=$H34)</f>
        <v>0</v>
      </c>
      <c r="AF29" s="997">
        <f>-'CF(M)'!AF104*(AF$5&gt;$H29)+$I29*(AF$13=$H34)</f>
        <v>0</v>
      </c>
      <c r="AG29" s="997">
        <f>-'CF(M)'!AG104*(AG$5&gt;$H29)+$I29*(AG$13=$H34)</f>
        <v>0</v>
      </c>
      <c r="AH29" s="997">
        <f>-'CF(M)'!AH104*(AH$5&gt;$H29)+$I29*(AH$13=$H34)</f>
        <v>0</v>
      </c>
      <c r="AI29" s="997">
        <f>-'CF(M)'!AI104*(AI$5&gt;$H29)+$I29*(AI$13=$H34)</f>
        <v>0</v>
      </c>
      <c r="AJ29" s="997">
        <f>-'CF(M)'!AJ104*(AJ$5&gt;$H29)+$I29*(AJ$13=$H34)</f>
        <v>0</v>
      </c>
      <c r="AK29" s="997">
        <f>-'CF(M)'!AK104*(AK$5&gt;$H29)+$I29*(AK$13=$H34)</f>
        <v>0</v>
      </c>
      <c r="AL29" s="997">
        <f>-'CF(M)'!AL104*(AL$5&gt;$H29)+$I29*(AL$13=$H34)</f>
        <v>0</v>
      </c>
      <c r="AM29" s="997">
        <f>-'CF(M)'!AM104*(AM$5&gt;$H29)+$I29*(AM$13=$H34)</f>
        <v>0</v>
      </c>
      <c r="AN29" s="997">
        <f>-'CF(M)'!AN104*(AN$5&gt;$H29)+$I29*(AN$13=$H34)</f>
        <v>0</v>
      </c>
      <c r="AO29" s="997">
        <f>-'CF(M)'!AO104*(AO$5&gt;$H29)+$I29*(AO$13=$H34)</f>
        <v>0</v>
      </c>
      <c r="AP29" s="997">
        <f>-'CF(M)'!AP104*(AP$5&gt;$H29)+$I29*(AP$13=$H34)</f>
        <v>0</v>
      </c>
      <c r="AQ29" s="997">
        <f>-'CF(M)'!AQ104*(AQ$5&gt;$H29)+$I29*(AQ$13=$H34)</f>
        <v>0</v>
      </c>
      <c r="AR29" s="997">
        <f>-'CF(M)'!AR104*(AR$5&gt;$H29)+$I29*(AR$13=$H34)</f>
        <v>0</v>
      </c>
      <c r="AS29" s="997">
        <f>-'CF(M)'!AS104*(AS$5&gt;$H29)+$I29*(AS$13=$H34)</f>
        <v>0</v>
      </c>
      <c r="AT29" s="997">
        <f>-'CF(M)'!AT104*(AT$5&gt;$H29)+$I29*(AT$13=$H34)</f>
        <v>0</v>
      </c>
      <c r="AU29" s="997">
        <f>-'CF(M)'!AU104*(AU$5&gt;$H29)+$I29*(AU$13=$H34)</f>
        <v>0</v>
      </c>
      <c r="AV29" s="997">
        <f>-'CF(M)'!AV104*(AV$5&gt;$H29)+$I29*(AV$13=$H34)</f>
        <v>0</v>
      </c>
      <c r="AW29" s="997">
        <f>-'CF(M)'!AW104*(AW$5&gt;$H29)+$I29*(AW$13=$H34)</f>
        <v>0</v>
      </c>
      <c r="AX29" s="997">
        <f>-'CF(M)'!AX104*(AX$5&gt;$H29)+$I29*(AX$13=$H34)</f>
        <v>0</v>
      </c>
      <c r="AY29" s="997">
        <f>-'CF(M)'!AY104*(AY$5&gt;$H29)+$I29*(AY$13=$H34)</f>
        <v>0</v>
      </c>
      <c r="AZ29" s="997">
        <f>-'CF(M)'!AZ104*(AZ$5&gt;$H29)+$I29*(AZ$13=$H34)</f>
        <v>0</v>
      </c>
      <c r="BA29" s="997">
        <f>-'CF(M)'!BA104*(BA$5&gt;$H29)+$I29*(BA$13=$H34)</f>
        <v>0</v>
      </c>
      <c r="BB29" s="997">
        <f>-'CF(M)'!BB104*(BB$5&gt;$H29)+$I29*(BB$13=$H34)</f>
        <v>0</v>
      </c>
      <c r="BC29" s="997">
        <f>-'CF(M)'!BC104*(BC$5&gt;$H29)+$I29*(BC$13=$H34)</f>
        <v>0</v>
      </c>
      <c r="BD29" s="997">
        <f>-'CF(M)'!BD104*(BD$5&gt;$H29)+$I29*(BD$13=$H34)</f>
        <v>0</v>
      </c>
      <c r="BE29" s="997">
        <f>-'CF(M)'!BE104*(BE$5&gt;$H29)+$I29*(BE$13=$H34)</f>
        <v>0</v>
      </c>
      <c r="BF29" s="997">
        <f>-'CF(M)'!BF104*(BF$5&gt;$H29)+$I29*(BF$13=$H34)</f>
        <v>0</v>
      </c>
      <c r="BG29" s="997">
        <f>-'CF(M)'!BG104*(BG$5&gt;$H29)+$I29*(BG$13=$H34)</f>
        <v>0</v>
      </c>
      <c r="BH29" s="997">
        <f>-'CF(M)'!BH104*(BH$5&gt;$H29)+$I29*(BH$13=$H34)</f>
        <v>0</v>
      </c>
      <c r="BI29" s="997">
        <f>-'CF(M)'!BI104*(BI$5&gt;$H29)+$I29*(BI$13=$H34)</f>
        <v>0</v>
      </c>
      <c r="BJ29" s="997">
        <f>-'CF(M)'!BJ104*(BJ$5&gt;$H29)+$I29*(BJ$13=$H34)</f>
        <v>0</v>
      </c>
      <c r="BK29" s="997">
        <f>-'CF(M)'!BK104*(BK$5&gt;$H29)+$I29*(BK$13=$H34)</f>
        <v>0</v>
      </c>
      <c r="BL29" s="997">
        <f>-'CF(M)'!BL104*(BL$5&gt;$H29)+$I29*(BL$13=$H34)</f>
        <v>0</v>
      </c>
      <c r="BM29" s="997">
        <f>-'CF(M)'!BM104*(BM$5&gt;$H29)+$I29*(BM$13=$H34)</f>
        <v>0</v>
      </c>
      <c r="BN29" s="997">
        <f>-'CF(M)'!BN104*(BN$5&gt;$H29)+$I29*(BN$13=$H34)</f>
        <v>0</v>
      </c>
      <c r="BO29" s="997">
        <f>-'CF(M)'!BO104*(BO$5&gt;$H29)+$I29*(BO$13=$H34)</f>
        <v>0</v>
      </c>
      <c r="BP29" s="997">
        <f>-'CF(M)'!BP104*(BP$5&gt;$H29)+$I29*(BP$13=$H34)</f>
        <v>0</v>
      </c>
      <c r="BQ29" s="997">
        <f>-'CF(M)'!BQ104*(BQ$5&gt;$H29)+$I29*(BQ$13=$H34)</f>
        <v>0</v>
      </c>
      <c r="BR29" s="997">
        <f>-'CF(M)'!BR104*(BR$5&gt;$H29)+$I29*(BR$13=$H34)</f>
        <v>0</v>
      </c>
      <c r="BS29" s="997">
        <f>-'CF(M)'!BS104*(BS$5&gt;$H29)+$I29*(BS$13=$H34)</f>
        <v>0</v>
      </c>
      <c r="BT29" s="997">
        <f>-'CF(M)'!BT104*(BT$5&gt;$H29)+$I29*(BT$13=$H34)</f>
        <v>0</v>
      </c>
      <c r="BU29" s="997">
        <f>-'CF(M)'!BU104*(BU$5&gt;$H29)+$I29*(BU$13=$H34)</f>
        <v>0</v>
      </c>
      <c r="BV29" s="997">
        <f>-'CF(M)'!BV104*(BV$5&gt;$H29)+$I29*(BV$13=$H34)</f>
        <v>0</v>
      </c>
      <c r="BW29" s="997">
        <f>-'CF(M)'!BW104*(BW$5&gt;$H29)+$I29*(BW$13=$H34)</f>
        <v>0</v>
      </c>
      <c r="BX29" s="997">
        <f>-'CF(M)'!BX104*(BX$5&gt;$H29)+$I29*(BX$13=$H34)</f>
        <v>0</v>
      </c>
      <c r="BY29" s="997">
        <f>-'CF(M)'!BY104*(BY$5&gt;$H29)+$I29*(BY$13=$H34)</f>
        <v>0</v>
      </c>
      <c r="BZ29" s="997">
        <f>-'CF(M)'!BZ104*(BZ$5&gt;$H29)+$I29*(BZ$13=$H34)</f>
        <v>0</v>
      </c>
      <c r="CA29" s="997">
        <f>-'CF(M)'!CA104*(CA$5&gt;$H29)+$I29*(CA$13=$H34)</f>
        <v>0</v>
      </c>
      <c r="CB29" s="997">
        <f>-'CF(M)'!CB104*(CB$5&gt;$H29)+$I29*(CB$13=$H34)</f>
        <v>0</v>
      </c>
      <c r="CC29" s="997">
        <f>-'CF(M)'!CC104*(CC$5&gt;$H29)+$I29*(CC$13=$H34)</f>
        <v>0</v>
      </c>
      <c r="CD29" s="997">
        <f>-'CF(M)'!CD104*(CD$5&gt;$H29)+$I29*(CD$13=$H34)</f>
        <v>0</v>
      </c>
      <c r="CE29" s="997">
        <f>-'CF(M)'!CE104*(CE$5&gt;$H29)+$I29*(CE$13=$H34)</f>
        <v>0</v>
      </c>
      <c r="CF29" s="997">
        <f>-'CF(M)'!CF104*(CF$5&gt;$H29)+$I29*(CF$13=$H34)</f>
        <v>0</v>
      </c>
      <c r="CG29" s="997">
        <f>-'CF(M)'!CG104*(CG$5&gt;$H29)+$I29*(CG$13=$H34)</f>
        <v>0</v>
      </c>
      <c r="CH29" s="997">
        <f>-'CF(M)'!CH104*(CH$5&gt;$H29)+$I29*(CH$13=$H34)</f>
        <v>0</v>
      </c>
      <c r="CI29" s="997">
        <f>-'CF(M)'!CI104*(CI$5&gt;$H29)+$I29*(CI$13=$H34)</f>
        <v>0</v>
      </c>
      <c r="CJ29" s="997">
        <f>-'CF(M)'!CJ104*(CJ$5&gt;$H29)+$I29*(CJ$13=$H34)</f>
        <v>0</v>
      </c>
      <c r="CK29" s="997">
        <f>-'CF(M)'!CK104*(CK$5&gt;$H29)+$I29*(CK$13=$H34)</f>
        <v>0</v>
      </c>
      <c r="CL29" s="997">
        <f>-'CF(M)'!CL104*(CL$5&gt;$H29)+$I29*(CL$13=$H34)</f>
        <v>0</v>
      </c>
      <c r="CM29" s="997">
        <f>-'CF(M)'!CM104*(CM$5&gt;$H29)+$I29*(CM$13=$H34)</f>
        <v>0</v>
      </c>
      <c r="CN29" s="997">
        <f>-'CF(M)'!CN104*(CN$5&gt;$H29)+$I29*(CN$13=$H34)</f>
        <v>0</v>
      </c>
      <c r="CO29" s="997">
        <f>-'CF(M)'!CO104*(CO$5&gt;$H29)+$I29*(CO$13=$H34)</f>
        <v>0</v>
      </c>
      <c r="CP29" s="997">
        <f>-'CF(M)'!CP104*(CP$5&gt;$H29)+$I29*(CP$13=$H34)</f>
        <v>0</v>
      </c>
      <c r="CQ29" s="997">
        <f>-'CF(M)'!CQ104*(CQ$5&gt;$H29)+$I29*(CQ$13=$H34)</f>
        <v>0</v>
      </c>
      <c r="CR29" s="997">
        <f>-'CF(M)'!CR104*(CR$5&gt;$H29)+$I29*(CR$13=$H34)</f>
        <v>0</v>
      </c>
      <c r="CS29" s="997">
        <f>-'CF(M)'!CS104*(CS$5&gt;$H29)+$I29*(CS$13=$H34)</f>
        <v>0</v>
      </c>
      <c r="CT29" s="997">
        <f>-'CF(M)'!CT104*(CT$5&gt;$H29)+$I29*(CT$13=$H34)</f>
        <v>0</v>
      </c>
      <c r="CU29" s="997">
        <f>-'CF(M)'!CU104*(CU$5&gt;$H29)+$I29*(CU$13=$H34)</f>
        <v>0</v>
      </c>
      <c r="CV29" s="997">
        <f>-'CF(M)'!CV104*(CV$5&gt;$H29)+$I29*(CV$13=$H34)</f>
        <v>0</v>
      </c>
      <c r="CW29" s="997">
        <f>-'CF(M)'!CW104*(CW$5&gt;$H29)+$I29*(CW$13=$H34)</f>
        <v>0</v>
      </c>
      <c r="CX29" s="997">
        <f>-'CF(M)'!CX104*(CX$5&gt;$H29)+$I29*(CX$13=$H34)</f>
        <v>0</v>
      </c>
      <c r="CY29" s="997">
        <f>-'CF(M)'!CY104*(CY$5&gt;$H29)+$I29*(CY$13=$H34)</f>
        <v>0</v>
      </c>
      <c r="CZ29" s="997">
        <f>-'CF(M)'!CZ104*(CZ$5&gt;$H29)+$I29*(CZ$13=$H34)</f>
        <v>0</v>
      </c>
      <c r="DA29" s="997">
        <f>-'CF(M)'!DA104*(DA$5&gt;$H29)+$I29*(DA$13=$H34)</f>
        <v>0</v>
      </c>
      <c r="DB29" s="997">
        <f>-'CF(M)'!DB104*(DB$5&gt;$H29)+$I29*(DB$13=$H34)</f>
        <v>0</v>
      </c>
      <c r="DC29" s="997">
        <f>-'CF(M)'!DC104*(DC$5&gt;$H29)+$I29*(DC$13=$H34)</f>
        <v>0</v>
      </c>
      <c r="DD29" s="997">
        <f>-'CF(M)'!DD104*(DD$5&gt;$H29)+$I29*(DD$13=$H34)</f>
        <v>0</v>
      </c>
      <c r="DE29" s="997">
        <f>-'CF(M)'!DE104*(DE$5&gt;$H29)+$I29*(DE$13=$H34)</f>
        <v>0</v>
      </c>
      <c r="DF29" s="997">
        <f>-'CF(M)'!DF104*(DF$5&gt;$H29)+$I29*(DF$13=$H34)</f>
        <v>0</v>
      </c>
      <c r="DG29" s="997">
        <f>-'CF(M)'!DG104*(DG$5&gt;$H29)+$I29*(DG$13=$H34)</f>
        <v>0</v>
      </c>
      <c r="DH29" s="997">
        <f>-'CF(M)'!DH104*(DH$5&gt;$H29)+$I29*(DH$13=$H34)</f>
        <v>0</v>
      </c>
      <c r="DI29" s="997">
        <f>-'CF(M)'!DI104*(DI$5&gt;$H29)+$I29*(DI$13=$H34)</f>
        <v>0</v>
      </c>
      <c r="DJ29" s="997">
        <f>-'CF(M)'!DJ104*(DJ$5&gt;$H29)+$I29*(DJ$13=$H34)</f>
        <v>0</v>
      </c>
      <c r="DK29" s="997">
        <f>-'CF(M)'!DK104*(DK$5&gt;$H29)+$I29*(DK$13=$H34)</f>
        <v>0</v>
      </c>
      <c r="DL29" s="997">
        <f>-'CF(M)'!DL104*(DL$5&gt;$H29)+$I29*(DL$13=$H34)</f>
        <v>0</v>
      </c>
      <c r="DM29" s="997">
        <f>-'CF(M)'!DM104*(DM$5&gt;$H29)+$I29*(DM$13=$H34)</f>
        <v>0</v>
      </c>
      <c r="DN29" s="997">
        <f>-'CF(M)'!DN104*(DN$5&gt;$H29)+$I29*(DN$13=$H34)</f>
        <v>0</v>
      </c>
      <c r="DO29" s="997">
        <f>-'CF(M)'!DO104*(DO$5&gt;$H29)+$I29*(DO$13=$H34)</f>
        <v>0</v>
      </c>
      <c r="DP29" s="997">
        <f>-'CF(M)'!DP104*(DP$5&gt;$H29)+$I29*(DP$13=$H34)</f>
        <v>0</v>
      </c>
      <c r="DQ29" s="997">
        <f>-'CF(M)'!DQ104*(DQ$5&gt;$H29)+$I29*(DQ$13=$H34)</f>
        <v>0</v>
      </c>
      <c r="DR29" s="997">
        <f>-'CF(M)'!DR104*(DR$5&gt;$H29)+$I29*(DR$13=$H34)</f>
        <v>0</v>
      </c>
      <c r="DS29" s="997">
        <f>-'CF(M)'!DS104*(DS$5&gt;$H29)+$I29*(DS$13=$H34)</f>
        <v>0</v>
      </c>
      <c r="DT29" s="997">
        <f>-'CF(M)'!DT104*(DT$5&gt;$H29)+$I29*(DT$13=$H34)</f>
        <v>0</v>
      </c>
      <c r="DU29" s="997">
        <f>-'CF(M)'!DU104*(DU$5&gt;$H29)+$I29*(DU$13=$H34)</f>
        <v>0</v>
      </c>
      <c r="DV29" s="997">
        <f>-'CF(M)'!DV104*(DV$5&gt;$H29)+$I29*(DV$13=$H34)</f>
        <v>0</v>
      </c>
      <c r="DW29" s="997">
        <f>-'CF(M)'!DW104*(DW$5&gt;$H29)+$I29*(DW$13=$H34)</f>
        <v>0</v>
      </c>
      <c r="DX29" s="997">
        <f>-'CF(M)'!DX104*(DX$5&gt;$H29)+$I29*(DX$13=$H34)</f>
        <v>0</v>
      </c>
      <c r="DY29" s="997">
        <f>-'CF(M)'!DY104*(DY$5&gt;$H29)+$I29*(DY$13=$H34)</f>
        <v>0</v>
      </c>
      <c r="DZ29" s="997">
        <f>-'CF(M)'!DZ104*(DZ$5&gt;$H29)+$I29*(DZ$13=$H34)</f>
        <v>0</v>
      </c>
      <c r="EA29" s="997">
        <f>-'CF(M)'!EA104*(EA$5&gt;$H29)+$I29*(EA$13=$H34)</f>
        <v>0</v>
      </c>
      <c r="EB29" s="997">
        <f>-'CF(M)'!EB104*(EB$5&gt;$H29)+$I29*(EB$13=$H34)</f>
        <v>11286589.91414351</v>
      </c>
      <c r="EC29" s="997">
        <f>-'CF(M)'!EC104*(EC$5&gt;$H29)+$I29*(EC$13=$H34)</f>
        <v>0</v>
      </c>
      <c r="ED29" s="997">
        <f>-'CF(M)'!ED104*(ED$5&gt;$H29)+$I29*(ED$13=$H34)</f>
        <v>0</v>
      </c>
      <c r="EE29" s="997">
        <f>-'CF(M)'!EE104*(EE$5&gt;$H29)+$I29*(EE$13=$H34)</f>
        <v>0</v>
      </c>
      <c r="EF29" s="997">
        <f>-'CF(M)'!EF104*(EF$5&gt;$H29)+$I29*(EF$13=$H34)</f>
        <v>0</v>
      </c>
      <c r="EG29" s="997">
        <f>-'CF(M)'!EG104*(EG$5&gt;$H29)+$I29*(EG$13=$H34)</f>
        <v>0</v>
      </c>
      <c r="EH29" s="997">
        <f>-'CF(M)'!EH104*(EH$5&gt;$H29)+$I29*(EH$13=$H34)</f>
        <v>0</v>
      </c>
      <c r="EI29" s="997">
        <f>-'CF(M)'!EI104*(EI$5&gt;$H29)+$I29*(EI$13=$H34)</f>
        <v>0</v>
      </c>
      <c r="EJ29" s="997">
        <f>-'CF(M)'!EJ104*(EJ$5&gt;$H29)+$I29*(EJ$13=$H34)</f>
        <v>0</v>
      </c>
      <c r="EK29" s="997">
        <f>-'CF(M)'!EK104*(EK$5&gt;$H29)+$I29*(EK$13=$H34)</f>
        <v>0</v>
      </c>
      <c r="EL29" s="997">
        <f>-'CF(M)'!EL104*(EL$5&gt;$H29)+$I29*(EL$13=$H34)</f>
        <v>0</v>
      </c>
      <c r="EM29" s="997">
        <f>-'CF(M)'!EM104*(EM$5&gt;$H29)+$I29*(EM$13=$H34)</f>
        <v>0</v>
      </c>
      <c r="EN29" s="997">
        <f>-'CF(M)'!EN104*(EN$5&gt;$H29)+$I29*(EN$13=$H34)</f>
        <v>0</v>
      </c>
      <c r="EO29" s="997">
        <f>-'CF(M)'!EO104*(EO$5&gt;$H29)+$I29*(EO$13=$H34)</f>
        <v>0</v>
      </c>
      <c r="EP29" s="997">
        <f>-'CF(M)'!EP104*(EP$5&gt;$H29)+$I29*(EP$13=$H34)</f>
        <v>0</v>
      </c>
      <c r="EQ29" s="997">
        <f>-'CF(M)'!EQ104*(EQ$5&gt;$H29)+$I29*(EQ$13=$H34)</f>
        <v>0</v>
      </c>
    </row>
    <row r="30" spans="2:147" ht="13.35" customHeight="1">
      <c r="B30" s="218"/>
      <c r="C30" s="163"/>
      <c r="D30" s="169" t="s">
        <v>598</v>
      </c>
      <c r="G30" s="1031" t="s">
        <v>603</v>
      </c>
      <c r="H30" s="1032">
        <f ca="1">(J28/SUM(I26,F26))*(12/H31)</f>
        <v>7.6926596768072827E-2</v>
      </c>
      <c r="I30" s="1022">
        <f ca="1">(IRR($L30:$EQ30,0.01)+1)^12-1</f>
        <v>7.4452012839268944E-2</v>
      </c>
      <c r="J30" s="171">
        <f t="shared" ca="1" si="30"/>
        <v>34468976.576576576</v>
      </c>
      <c r="K30" s="98"/>
      <c r="L30" s="171">
        <f>SUM(L26:L28)</f>
        <v>-16079999.999999998</v>
      </c>
      <c r="M30" s="171">
        <f t="shared" ref="M30:BX30" si="37">SUM(M26:M28)</f>
        <v>0</v>
      </c>
      <c r="N30" s="171">
        <f t="shared" si="37"/>
        <v>0</v>
      </c>
      <c r="O30" s="171">
        <f t="shared" si="37"/>
        <v>0</v>
      </c>
      <c r="P30" s="171">
        <f t="shared" si="37"/>
        <v>0</v>
      </c>
      <c r="Q30" s="171">
        <f t="shared" si="37"/>
        <v>0</v>
      </c>
      <c r="R30" s="171">
        <f t="shared" ca="1" si="37"/>
        <v>600000</v>
      </c>
      <c r="S30" s="171">
        <f t="shared" si="37"/>
        <v>0</v>
      </c>
      <c r="T30" s="171">
        <f t="shared" si="37"/>
        <v>0</v>
      </c>
      <c r="U30" s="171">
        <f t="shared" si="37"/>
        <v>0</v>
      </c>
      <c r="V30" s="171">
        <f t="shared" si="37"/>
        <v>0</v>
      </c>
      <c r="W30" s="171">
        <f t="shared" si="37"/>
        <v>0</v>
      </c>
      <c r="X30" s="171">
        <f t="shared" ca="1" si="37"/>
        <v>-33801023.423423424</v>
      </c>
      <c r="Y30" s="171">
        <f t="shared" si="37"/>
        <v>0</v>
      </c>
      <c r="Z30" s="171">
        <f t="shared" si="37"/>
        <v>0</v>
      </c>
      <c r="AA30" s="171">
        <f t="shared" si="37"/>
        <v>0</v>
      </c>
      <c r="AB30" s="171">
        <f t="shared" si="37"/>
        <v>0</v>
      </c>
      <c r="AC30" s="171">
        <f t="shared" si="37"/>
        <v>0</v>
      </c>
      <c r="AD30" s="171">
        <f t="shared" ca="1" si="37"/>
        <v>1875000</v>
      </c>
      <c r="AE30" s="171">
        <f t="shared" si="37"/>
        <v>0</v>
      </c>
      <c r="AF30" s="171">
        <f t="shared" si="37"/>
        <v>0</v>
      </c>
      <c r="AG30" s="171">
        <f t="shared" si="37"/>
        <v>0</v>
      </c>
      <c r="AH30" s="171">
        <f t="shared" si="37"/>
        <v>0</v>
      </c>
      <c r="AI30" s="171">
        <f t="shared" si="37"/>
        <v>0</v>
      </c>
      <c r="AJ30" s="171">
        <f t="shared" ca="1" si="37"/>
        <v>1875000</v>
      </c>
      <c r="AK30" s="171">
        <f t="shared" si="37"/>
        <v>0</v>
      </c>
      <c r="AL30" s="171">
        <f t="shared" si="37"/>
        <v>0</v>
      </c>
      <c r="AM30" s="171">
        <f t="shared" si="37"/>
        <v>0</v>
      </c>
      <c r="AN30" s="171">
        <f t="shared" si="37"/>
        <v>0</v>
      </c>
      <c r="AO30" s="171">
        <f t="shared" si="37"/>
        <v>0</v>
      </c>
      <c r="AP30" s="171">
        <f t="shared" ca="1" si="37"/>
        <v>1875000</v>
      </c>
      <c r="AQ30" s="171">
        <f t="shared" si="37"/>
        <v>0</v>
      </c>
      <c r="AR30" s="171">
        <f t="shared" si="37"/>
        <v>0</v>
      </c>
      <c r="AS30" s="171">
        <f t="shared" si="37"/>
        <v>0</v>
      </c>
      <c r="AT30" s="171">
        <f t="shared" si="37"/>
        <v>0</v>
      </c>
      <c r="AU30" s="171">
        <f t="shared" si="37"/>
        <v>0</v>
      </c>
      <c r="AV30" s="171">
        <f t="shared" ca="1" si="37"/>
        <v>1875000</v>
      </c>
      <c r="AW30" s="171">
        <f t="shared" si="37"/>
        <v>0</v>
      </c>
      <c r="AX30" s="171">
        <f t="shared" si="37"/>
        <v>0</v>
      </c>
      <c r="AY30" s="171">
        <f t="shared" si="37"/>
        <v>0</v>
      </c>
      <c r="AZ30" s="171">
        <f t="shared" si="37"/>
        <v>0</v>
      </c>
      <c r="BA30" s="171">
        <f t="shared" si="37"/>
        <v>0</v>
      </c>
      <c r="BB30" s="171">
        <f t="shared" ca="1" si="37"/>
        <v>1762472.0129412687</v>
      </c>
      <c r="BC30" s="171">
        <f t="shared" si="37"/>
        <v>0</v>
      </c>
      <c r="BD30" s="171">
        <f t="shared" si="37"/>
        <v>0</v>
      </c>
      <c r="BE30" s="171">
        <f t="shared" si="37"/>
        <v>0</v>
      </c>
      <c r="BF30" s="171">
        <f t="shared" si="37"/>
        <v>0</v>
      </c>
      <c r="BG30" s="171">
        <f t="shared" si="37"/>
        <v>0</v>
      </c>
      <c r="BH30" s="171">
        <f t="shared" ca="1" si="37"/>
        <v>1513291.9989280105</v>
      </c>
      <c r="BI30" s="171">
        <f t="shared" si="37"/>
        <v>0</v>
      </c>
      <c r="BJ30" s="171">
        <f t="shared" si="37"/>
        <v>0</v>
      </c>
      <c r="BK30" s="171">
        <f t="shared" si="37"/>
        <v>0</v>
      </c>
      <c r="BL30" s="171">
        <f t="shared" si="37"/>
        <v>0</v>
      </c>
      <c r="BM30" s="171">
        <f t="shared" si="37"/>
        <v>0</v>
      </c>
      <c r="BN30" s="171">
        <f t="shared" ca="1" si="37"/>
        <v>1265541.4966859473</v>
      </c>
      <c r="BO30" s="171">
        <f t="shared" si="37"/>
        <v>0</v>
      </c>
      <c r="BP30" s="171">
        <f t="shared" si="37"/>
        <v>0</v>
      </c>
      <c r="BQ30" s="171">
        <f t="shared" si="37"/>
        <v>0</v>
      </c>
      <c r="BR30" s="171">
        <f t="shared" si="37"/>
        <v>0</v>
      </c>
      <c r="BS30" s="171">
        <f t="shared" si="37"/>
        <v>0</v>
      </c>
      <c r="BT30" s="171">
        <f t="shared" ca="1" si="37"/>
        <v>1722478.4355854392</v>
      </c>
      <c r="BU30" s="171">
        <f t="shared" si="37"/>
        <v>0</v>
      </c>
      <c r="BV30" s="171">
        <f t="shared" si="37"/>
        <v>0</v>
      </c>
      <c r="BW30" s="171">
        <f t="shared" si="37"/>
        <v>0</v>
      </c>
      <c r="BX30" s="171">
        <f t="shared" si="37"/>
        <v>0</v>
      </c>
      <c r="BY30" s="171">
        <f t="shared" ref="BY30:EJ30" si="38">SUM(BY26:BY28)</f>
        <v>0</v>
      </c>
      <c r="BZ30" s="171">
        <f t="shared" ca="1" si="38"/>
        <v>1805647.7403300544</v>
      </c>
      <c r="CA30" s="171">
        <f t="shared" si="38"/>
        <v>0</v>
      </c>
      <c r="CB30" s="171">
        <f t="shared" si="38"/>
        <v>0</v>
      </c>
      <c r="CC30" s="171">
        <f t="shared" si="38"/>
        <v>0</v>
      </c>
      <c r="CD30" s="171">
        <f t="shared" si="38"/>
        <v>0</v>
      </c>
      <c r="CE30" s="171">
        <f t="shared" si="38"/>
        <v>0</v>
      </c>
      <c r="CF30" s="171">
        <f t="shared" ca="1" si="38"/>
        <v>2258497.3462193981</v>
      </c>
      <c r="CG30" s="171">
        <f t="shared" si="38"/>
        <v>0</v>
      </c>
      <c r="CH30" s="171">
        <f t="shared" si="38"/>
        <v>0</v>
      </c>
      <c r="CI30" s="171">
        <f t="shared" si="38"/>
        <v>0</v>
      </c>
      <c r="CJ30" s="171">
        <f t="shared" si="38"/>
        <v>0</v>
      </c>
      <c r="CK30" s="171">
        <f t="shared" si="38"/>
        <v>0</v>
      </c>
      <c r="CL30" s="171">
        <f t="shared" ca="1" si="38"/>
        <v>2031213.1788212531</v>
      </c>
      <c r="CM30" s="171">
        <f t="shared" si="38"/>
        <v>0</v>
      </c>
      <c r="CN30" s="171">
        <f t="shared" si="38"/>
        <v>0</v>
      </c>
      <c r="CO30" s="171">
        <f t="shared" si="38"/>
        <v>0</v>
      </c>
      <c r="CP30" s="171">
        <f t="shared" si="38"/>
        <v>0</v>
      </c>
      <c r="CQ30" s="171">
        <f t="shared" si="38"/>
        <v>0</v>
      </c>
      <c r="CR30" s="171">
        <f t="shared" ca="1" si="38"/>
        <v>2480274.6567853596</v>
      </c>
      <c r="CS30" s="171">
        <f t="shared" si="38"/>
        <v>0</v>
      </c>
      <c r="CT30" s="171">
        <f t="shared" si="38"/>
        <v>0</v>
      </c>
      <c r="CU30" s="171">
        <f t="shared" si="38"/>
        <v>0</v>
      </c>
      <c r="CV30" s="171">
        <f t="shared" si="38"/>
        <v>0</v>
      </c>
      <c r="CW30" s="171">
        <f t="shared" si="38"/>
        <v>0</v>
      </c>
      <c r="CX30" s="171">
        <f t="shared" ca="1" si="38"/>
        <v>2035583.1337032691</v>
      </c>
      <c r="CY30" s="171">
        <f t="shared" si="38"/>
        <v>0</v>
      </c>
      <c r="CZ30" s="171">
        <f t="shared" si="38"/>
        <v>0</v>
      </c>
      <c r="DA30" s="171">
        <f t="shared" si="38"/>
        <v>0</v>
      </c>
      <c r="DB30" s="171">
        <f t="shared" si="38"/>
        <v>0</v>
      </c>
      <c r="DC30" s="171">
        <f t="shared" si="38"/>
        <v>0</v>
      </c>
      <c r="DD30" s="171">
        <f t="shared" ca="1" si="38"/>
        <v>1875000</v>
      </c>
      <c r="DE30" s="171">
        <f t="shared" si="38"/>
        <v>0</v>
      </c>
      <c r="DF30" s="171">
        <f t="shared" si="38"/>
        <v>0</v>
      </c>
      <c r="DG30" s="171">
        <f t="shared" si="38"/>
        <v>0</v>
      </c>
      <c r="DH30" s="171">
        <f t="shared" si="38"/>
        <v>0</v>
      </c>
      <c r="DI30" s="171">
        <f t="shared" si="38"/>
        <v>0</v>
      </c>
      <c r="DJ30" s="171">
        <f t="shared" ca="1" si="38"/>
        <v>1875000</v>
      </c>
      <c r="DK30" s="171">
        <f t="shared" si="38"/>
        <v>0</v>
      </c>
      <c r="DL30" s="171">
        <f t="shared" si="38"/>
        <v>0</v>
      </c>
      <c r="DM30" s="171">
        <f t="shared" si="38"/>
        <v>0</v>
      </c>
      <c r="DN30" s="171">
        <f t="shared" si="38"/>
        <v>0</v>
      </c>
      <c r="DO30" s="171">
        <f t="shared" si="38"/>
        <v>0</v>
      </c>
      <c r="DP30" s="171">
        <f t="shared" ca="1" si="38"/>
        <v>1875000</v>
      </c>
      <c r="DQ30" s="171">
        <f t="shared" si="38"/>
        <v>0</v>
      </c>
      <c r="DR30" s="171">
        <f t="shared" si="38"/>
        <v>0</v>
      </c>
      <c r="DS30" s="171">
        <f t="shared" si="38"/>
        <v>0</v>
      </c>
      <c r="DT30" s="171">
        <f t="shared" si="38"/>
        <v>0</v>
      </c>
      <c r="DU30" s="171">
        <f t="shared" si="38"/>
        <v>0</v>
      </c>
      <c r="DV30" s="171">
        <f t="shared" ca="1" si="38"/>
        <v>1875000</v>
      </c>
      <c r="DW30" s="171">
        <f t="shared" si="38"/>
        <v>0</v>
      </c>
      <c r="DX30" s="171">
        <f t="shared" si="38"/>
        <v>0</v>
      </c>
      <c r="DY30" s="171">
        <f t="shared" si="38"/>
        <v>0</v>
      </c>
      <c r="DZ30" s="171">
        <f t="shared" si="38"/>
        <v>0</v>
      </c>
      <c r="EA30" s="171">
        <f t="shared" si="38"/>
        <v>0</v>
      </c>
      <c r="EB30" s="171">
        <f t="shared" ca="1" si="38"/>
        <v>51875000</v>
      </c>
      <c r="EC30" s="171">
        <f t="shared" si="38"/>
        <v>0</v>
      </c>
      <c r="ED30" s="171">
        <f t="shared" si="38"/>
        <v>0</v>
      </c>
      <c r="EE30" s="171">
        <f t="shared" si="38"/>
        <v>0</v>
      </c>
      <c r="EF30" s="171">
        <f t="shared" si="38"/>
        <v>0</v>
      </c>
      <c r="EG30" s="171">
        <f t="shared" si="38"/>
        <v>0</v>
      </c>
      <c r="EH30" s="171">
        <f t="shared" si="38"/>
        <v>0</v>
      </c>
      <c r="EI30" s="171">
        <f t="shared" si="38"/>
        <v>0</v>
      </c>
      <c r="EJ30" s="171">
        <f t="shared" si="38"/>
        <v>0</v>
      </c>
      <c r="EK30" s="171">
        <f t="shared" ref="EK30:EQ30" si="39">SUM(EK26:EK28)</f>
        <v>0</v>
      </c>
      <c r="EL30" s="171">
        <f t="shared" si="39"/>
        <v>0</v>
      </c>
      <c r="EM30" s="171">
        <f t="shared" si="39"/>
        <v>0</v>
      </c>
      <c r="EN30" s="171">
        <f t="shared" si="39"/>
        <v>0</v>
      </c>
      <c r="EO30" s="171">
        <f t="shared" si="39"/>
        <v>0</v>
      </c>
      <c r="EP30" s="171">
        <f t="shared" si="39"/>
        <v>0</v>
      </c>
      <c r="EQ30" s="171">
        <f t="shared" si="39"/>
        <v>0</v>
      </c>
    </row>
    <row r="31" spans="2:147" ht="13.35" customHeight="1">
      <c r="B31" s="218"/>
      <c r="C31" s="163"/>
      <c r="D31" s="169" t="s">
        <v>599</v>
      </c>
      <c r="G31" s="1032"/>
      <c r="H31" s="1030">
        <f>DATEDIF(H26-1,'A&amp;R'!$E$37+1,"m")</f>
        <v>108</v>
      </c>
      <c r="I31" s="1022">
        <f ca="1">(IRR($L31:$EQ31,0.01)+1)^12-1</f>
        <v>9.0940251720739385E-2</v>
      </c>
      <c r="J31" s="171">
        <f t="shared" ca="1" si="30"/>
        <v>45755566.490720086</v>
      </c>
      <c r="K31" s="98"/>
      <c r="L31" s="997">
        <f>SUM(L26:L29)</f>
        <v>-16079999.999999998</v>
      </c>
      <c r="M31" s="997">
        <f t="shared" ref="M31:BX31" si="40">SUM(M26:M29)</f>
        <v>0</v>
      </c>
      <c r="N31" s="997">
        <f t="shared" si="40"/>
        <v>0</v>
      </c>
      <c r="O31" s="997">
        <f t="shared" si="40"/>
        <v>0</v>
      </c>
      <c r="P31" s="997">
        <f t="shared" si="40"/>
        <v>0</v>
      </c>
      <c r="Q31" s="997">
        <f t="shared" si="40"/>
        <v>0</v>
      </c>
      <c r="R31" s="997">
        <f t="shared" ca="1" si="40"/>
        <v>600000</v>
      </c>
      <c r="S31" s="997">
        <f t="shared" si="40"/>
        <v>0</v>
      </c>
      <c r="T31" s="997">
        <f t="shared" si="40"/>
        <v>0</v>
      </c>
      <c r="U31" s="997">
        <f t="shared" si="40"/>
        <v>0</v>
      </c>
      <c r="V31" s="997">
        <f t="shared" si="40"/>
        <v>0</v>
      </c>
      <c r="W31" s="997">
        <f t="shared" si="40"/>
        <v>0</v>
      </c>
      <c r="X31" s="997">
        <f t="shared" ca="1" si="40"/>
        <v>-33801023.423423424</v>
      </c>
      <c r="Y31" s="997">
        <f t="shared" si="40"/>
        <v>0</v>
      </c>
      <c r="Z31" s="997">
        <f t="shared" si="40"/>
        <v>0</v>
      </c>
      <c r="AA31" s="997">
        <f t="shared" si="40"/>
        <v>0</v>
      </c>
      <c r="AB31" s="997">
        <f t="shared" si="40"/>
        <v>0</v>
      </c>
      <c r="AC31" s="997">
        <f t="shared" si="40"/>
        <v>0</v>
      </c>
      <c r="AD31" s="997">
        <f t="shared" ca="1" si="40"/>
        <v>1875000</v>
      </c>
      <c r="AE31" s="997">
        <f t="shared" si="40"/>
        <v>0</v>
      </c>
      <c r="AF31" s="997">
        <f t="shared" si="40"/>
        <v>0</v>
      </c>
      <c r="AG31" s="997">
        <f t="shared" si="40"/>
        <v>0</v>
      </c>
      <c r="AH31" s="997">
        <f t="shared" si="40"/>
        <v>0</v>
      </c>
      <c r="AI31" s="997">
        <f t="shared" si="40"/>
        <v>0</v>
      </c>
      <c r="AJ31" s="997">
        <f t="shared" ca="1" si="40"/>
        <v>1875000</v>
      </c>
      <c r="AK31" s="997">
        <f t="shared" si="40"/>
        <v>0</v>
      </c>
      <c r="AL31" s="997">
        <f t="shared" si="40"/>
        <v>0</v>
      </c>
      <c r="AM31" s="997">
        <f t="shared" si="40"/>
        <v>0</v>
      </c>
      <c r="AN31" s="997">
        <f t="shared" si="40"/>
        <v>0</v>
      </c>
      <c r="AO31" s="997">
        <f t="shared" si="40"/>
        <v>0</v>
      </c>
      <c r="AP31" s="997">
        <f t="shared" ca="1" si="40"/>
        <v>1875000</v>
      </c>
      <c r="AQ31" s="997">
        <f t="shared" si="40"/>
        <v>0</v>
      </c>
      <c r="AR31" s="997">
        <f t="shared" si="40"/>
        <v>0</v>
      </c>
      <c r="AS31" s="997">
        <f t="shared" si="40"/>
        <v>0</v>
      </c>
      <c r="AT31" s="997">
        <f t="shared" si="40"/>
        <v>0</v>
      </c>
      <c r="AU31" s="997">
        <f t="shared" si="40"/>
        <v>0</v>
      </c>
      <c r="AV31" s="997">
        <f t="shared" ca="1" si="40"/>
        <v>1875000</v>
      </c>
      <c r="AW31" s="997">
        <f t="shared" si="40"/>
        <v>0</v>
      </c>
      <c r="AX31" s="997">
        <f t="shared" si="40"/>
        <v>0</v>
      </c>
      <c r="AY31" s="997">
        <f t="shared" si="40"/>
        <v>0</v>
      </c>
      <c r="AZ31" s="997">
        <f t="shared" si="40"/>
        <v>0</v>
      </c>
      <c r="BA31" s="997">
        <f t="shared" si="40"/>
        <v>0</v>
      </c>
      <c r="BB31" s="997">
        <f t="shared" ca="1" si="40"/>
        <v>1762472.0129412687</v>
      </c>
      <c r="BC31" s="997">
        <f t="shared" si="40"/>
        <v>0</v>
      </c>
      <c r="BD31" s="997">
        <f t="shared" si="40"/>
        <v>0</v>
      </c>
      <c r="BE31" s="997">
        <f t="shared" si="40"/>
        <v>0</v>
      </c>
      <c r="BF31" s="997">
        <f t="shared" si="40"/>
        <v>0</v>
      </c>
      <c r="BG31" s="997">
        <f t="shared" si="40"/>
        <v>0</v>
      </c>
      <c r="BH31" s="997">
        <f t="shared" ca="1" si="40"/>
        <v>1513291.9989280105</v>
      </c>
      <c r="BI31" s="997">
        <f t="shared" si="40"/>
        <v>0</v>
      </c>
      <c r="BJ31" s="997">
        <f t="shared" si="40"/>
        <v>0</v>
      </c>
      <c r="BK31" s="997">
        <f t="shared" si="40"/>
        <v>0</v>
      </c>
      <c r="BL31" s="997">
        <f t="shared" si="40"/>
        <v>0</v>
      </c>
      <c r="BM31" s="997">
        <f t="shared" si="40"/>
        <v>0</v>
      </c>
      <c r="BN31" s="997">
        <f t="shared" ca="1" si="40"/>
        <v>1265541.4966859473</v>
      </c>
      <c r="BO31" s="997">
        <f t="shared" si="40"/>
        <v>0</v>
      </c>
      <c r="BP31" s="997">
        <f t="shared" si="40"/>
        <v>0</v>
      </c>
      <c r="BQ31" s="997">
        <f t="shared" si="40"/>
        <v>0</v>
      </c>
      <c r="BR31" s="997">
        <f t="shared" si="40"/>
        <v>0</v>
      </c>
      <c r="BS31" s="997">
        <f t="shared" si="40"/>
        <v>0</v>
      </c>
      <c r="BT31" s="997">
        <f t="shared" ca="1" si="40"/>
        <v>1722478.4355854392</v>
      </c>
      <c r="BU31" s="997">
        <f t="shared" si="40"/>
        <v>0</v>
      </c>
      <c r="BV31" s="997">
        <f t="shared" si="40"/>
        <v>0</v>
      </c>
      <c r="BW31" s="997">
        <f t="shared" si="40"/>
        <v>0</v>
      </c>
      <c r="BX31" s="997">
        <f t="shared" si="40"/>
        <v>0</v>
      </c>
      <c r="BY31" s="997">
        <f t="shared" ref="BY31:EJ31" si="41">SUM(BY26:BY29)</f>
        <v>0</v>
      </c>
      <c r="BZ31" s="997">
        <f t="shared" ca="1" si="41"/>
        <v>1805647.7403300544</v>
      </c>
      <c r="CA31" s="997">
        <f t="shared" si="41"/>
        <v>0</v>
      </c>
      <c r="CB31" s="997">
        <f t="shared" si="41"/>
        <v>0</v>
      </c>
      <c r="CC31" s="997">
        <f t="shared" si="41"/>
        <v>0</v>
      </c>
      <c r="CD31" s="997">
        <f t="shared" si="41"/>
        <v>0</v>
      </c>
      <c r="CE31" s="997">
        <f t="shared" si="41"/>
        <v>0</v>
      </c>
      <c r="CF31" s="997">
        <f t="shared" ca="1" si="41"/>
        <v>2258497.3462193981</v>
      </c>
      <c r="CG31" s="997">
        <f t="shared" si="41"/>
        <v>0</v>
      </c>
      <c r="CH31" s="997">
        <f t="shared" si="41"/>
        <v>0</v>
      </c>
      <c r="CI31" s="997">
        <f t="shared" si="41"/>
        <v>0</v>
      </c>
      <c r="CJ31" s="997">
        <f t="shared" si="41"/>
        <v>0</v>
      </c>
      <c r="CK31" s="997">
        <f t="shared" si="41"/>
        <v>0</v>
      </c>
      <c r="CL31" s="997">
        <f t="shared" ca="1" si="41"/>
        <v>2031213.1788212531</v>
      </c>
      <c r="CM31" s="997">
        <f t="shared" si="41"/>
        <v>0</v>
      </c>
      <c r="CN31" s="997">
        <f t="shared" si="41"/>
        <v>0</v>
      </c>
      <c r="CO31" s="997">
        <f t="shared" si="41"/>
        <v>0</v>
      </c>
      <c r="CP31" s="997">
        <f t="shared" si="41"/>
        <v>0</v>
      </c>
      <c r="CQ31" s="997">
        <f t="shared" si="41"/>
        <v>0</v>
      </c>
      <c r="CR31" s="997">
        <f t="shared" ca="1" si="41"/>
        <v>2480274.6567853596</v>
      </c>
      <c r="CS31" s="997">
        <f t="shared" si="41"/>
        <v>0</v>
      </c>
      <c r="CT31" s="997">
        <f t="shared" si="41"/>
        <v>0</v>
      </c>
      <c r="CU31" s="997">
        <f t="shared" si="41"/>
        <v>0</v>
      </c>
      <c r="CV31" s="997">
        <f t="shared" si="41"/>
        <v>0</v>
      </c>
      <c r="CW31" s="997">
        <f t="shared" si="41"/>
        <v>0</v>
      </c>
      <c r="CX31" s="997">
        <f t="shared" ca="1" si="41"/>
        <v>2035583.1337032691</v>
      </c>
      <c r="CY31" s="997">
        <f t="shared" si="41"/>
        <v>0</v>
      </c>
      <c r="CZ31" s="997">
        <f t="shared" si="41"/>
        <v>0</v>
      </c>
      <c r="DA31" s="997">
        <f t="shared" si="41"/>
        <v>0</v>
      </c>
      <c r="DB31" s="997">
        <f t="shared" si="41"/>
        <v>0</v>
      </c>
      <c r="DC31" s="997">
        <f t="shared" si="41"/>
        <v>0</v>
      </c>
      <c r="DD31" s="997">
        <f t="shared" ca="1" si="41"/>
        <v>1875000</v>
      </c>
      <c r="DE31" s="997">
        <f t="shared" si="41"/>
        <v>0</v>
      </c>
      <c r="DF31" s="997">
        <f t="shared" si="41"/>
        <v>0</v>
      </c>
      <c r="DG31" s="997">
        <f t="shared" si="41"/>
        <v>0</v>
      </c>
      <c r="DH31" s="997">
        <f t="shared" si="41"/>
        <v>0</v>
      </c>
      <c r="DI31" s="997">
        <f t="shared" si="41"/>
        <v>0</v>
      </c>
      <c r="DJ31" s="997">
        <f t="shared" ca="1" si="41"/>
        <v>1875000</v>
      </c>
      <c r="DK31" s="997">
        <f t="shared" si="41"/>
        <v>0</v>
      </c>
      <c r="DL31" s="997">
        <f t="shared" si="41"/>
        <v>0</v>
      </c>
      <c r="DM31" s="997">
        <f t="shared" si="41"/>
        <v>0</v>
      </c>
      <c r="DN31" s="997">
        <f t="shared" si="41"/>
        <v>0</v>
      </c>
      <c r="DO31" s="997">
        <f t="shared" si="41"/>
        <v>0</v>
      </c>
      <c r="DP31" s="997">
        <f t="shared" ca="1" si="41"/>
        <v>1875000</v>
      </c>
      <c r="DQ31" s="997">
        <f t="shared" si="41"/>
        <v>0</v>
      </c>
      <c r="DR31" s="997">
        <f t="shared" si="41"/>
        <v>0</v>
      </c>
      <c r="DS31" s="997">
        <f t="shared" si="41"/>
        <v>0</v>
      </c>
      <c r="DT31" s="997">
        <f t="shared" si="41"/>
        <v>0</v>
      </c>
      <c r="DU31" s="997">
        <f t="shared" si="41"/>
        <v>0</v>
      </c>
      <c r="DV31" s="997">
        <f t="shared" ca="1" si="41"/>
        <v>1875000</v>
      </c>
      <c r="DW31" s="997">
        <f t="shared" si="41"/>
        <v>0</v>
      </c>
      <c r="DX31" s="997">
        <f t="shared" si="41"/>
        <v>0</v>
      </c>
      <c r="DY31" s="997">
        <f t="shared" si="41"/>
        <v>0</v>
      </c>
      <c r="DZ31" s="997">
        <f t="shared" si="41"/>
        <v>0</v>
      </c>
      <c r="EA31" s="997">
        <f t="shared" si="41"/>
        <v>0</v>
      </c>
      <c r="EB31" s="997">
        <f t="shared" ca="1" si="41"/>
        <v>63161589.91414351</v>
      </c>
      <c r="EC31" s="997">
        <f t="shared" si="41"/>
        <v>0</v>
      </c>
      <c r="ED31" s="997">
        <f t="shared" si="41"/>
        <v>0</v>
      </c>
      <c r="EE31" s="997">
        <f t="shared" si="41"/>
        <v>0</v>
      </c>
      <c r="EF31" s="997">
        <f t="shared" si="41"/>
        <v>0</v>
      </c>
      <c r="EG31" s="997">
        <f t="shared" si="41"/>
        <v>0</v>
      </c>
      <c r="EH31" s="997">
        <f t="shared" si="41"/>
        <v>0</v>
      </c>
      <c r="EI31" s="997">
        <f t="shared" si="41"/>
        <v>0</v>
      </c>
      <c r="EJ31" s="997">
        <f t="shared" si="41"/>
        <v>0</v>
      </c>
      <c r="EK31" s="997">
        <f t="shared" ref="EK31:EQ31" si="42">SUM(EK26:EK29)</f>
        <v>0</v>
      </c>
      <c r="EL31" s="997">
        <f t="shared" si="42"/>
        <v>0</v>
      </c>
      <c r="EM31" s="997">
        <f t="shared" si="42"/>
        <v>0</v>
      </c>
      <c r="EN31" s="997">
        <f t="shared" si="42"/>
        <v>0</v>
      </c>
      <c r="EO31" s="997">
        <f t="shared" si="42"/>
        <v>0</v>
      </c>
      <c r="EP31" s="997">
        <f t="shared" si="42"/>
        <v>0</v>
      </c>
      <c r="EQ31" s="997">
        <f t="shared" si="42"/>
        <v>0</v>
      </c>
    </row>
    <row r="32" spans="2:147" ht="13.35" customHeight="1">
      <c r="B32" s="218"/>
      <c r="C32" s="163"/>
      <c r="D32" s="1037" t="s">
        <v>217</v>
      </c>
      <c r="E32" s="886"/>
      <c r="F32" s="886"/>
      <c r="G32" s="1027"/>
      <c r="H32" s="1033"/>
      <c r="I32" s="1023"/>
      <c r="J32" s="888"/>
      <c r="K32" s="98"/>
      <c r="L32" s="171">
        <f t="shared" ref="L32:AQ32" si="43">K35</f>
        <v>0</v>
      </c>
      <c r="M32" s="171">
        <f t="shared" si="43"/>
        <v>16000000</v>
      </c>
      <c r="N32" s="171">
        <f t="shared" si="43"/>
        <v>16000000</v>
      </c>
      <c r="O32" s="171">
        <f t="shared" si="43"/>
        <v>16000000</v>
      </c>
      <c r="P32" s="171">
        <f t="shared" si="43"/>
        <v>16000000</v>
      </c>
      <c r="Q32" s="171">
        <f t="shared" si="43"/>
        <v>16000000</v>
      </c>
      <c r="R32" s="171">
        <f t="shared" si="43"/>
        <v>16000000</v>
      </c>
      <c r="S32" s="171">
        <f t="shared" si="43"/>
        <v>16000000</v>
      </c>
      <c r="T32" s="171">
        <f t="shared" si="43"/>
        <v>16000000</v>
      </c>
      <c r="U32" s="171">
        <f t="shared" si="43"/>
        <v>16000000</v>
      </c>
      <c r="V32" s="171">
        <f t="shared" si="43"/>
        <v>16000000</v>
      </c>
      <c r="W32" s="171">
        <f t="shared" si="43"/>
        <v>16000000</v>
      </c>
      <c r="X32" s="171">
        <f t="shared" si="43"/>
        <v>16000000</v>
      </c>
      <c r="Y32" s="171">
        <f t="shared" si="43"/>
        <v>50401023.423423424</v>
      </c>
      <c r="Z32" s="171">
        <f t="shared" si="43"/>
        <v>50401023.423423424</v>
      </c>
      <c r="AA32" s="171">
        <f t="shared" si="43"/>
        <v>50401023.423423424</v>
      </c>
      <c r="AB32" s="171">
        <f t="shared" si="43"/>
        <v>50401023.423423424</v>
      </c>
      <c r="AC32" s="171">
        <f t="shared" si="43"/>
        <v>50401023.423423424</v>
      </c>
      <c r="AD32" s="171">
        <f t="shared" si="43"/>
        <v>50401023.423423424</v>
      </c>
      <c r="AE32" s="171">
        <f t="shared" si="43"/>
        <v>50401023.423423424</v>
      </c>
      <c r="AF32" s="171">
        <f t="shared" si="43"/>
        <v>50401023.423423424</v>
      </c>
      <c r="AG32" s="171">
        <f t="shared" si="43"/>
        <v>50401023.423423424</v>
      </c>
      <c r="AH32" s="171">
        <f t="shared" si="43"/>
        <v>50401023.423423424</v>
      </c>
      <c r="AI32" s="171">
        <f t="shared" si="43"/>
        <v>50401023.423423424</v>
      </c>
      <c r="AJ32" s="171">
        <f t="shared" si="43"/>
        <v>50401023.423423424</v>
      </c>
      <c r="AK32" s="171">
        <f t="shared" si="43"/>
        <v>50401023.423423424</v>
      </c>
      <c r="AL32" s="171">
        <f t="shared" si="43"/>
        <v>50401023.423423424</v>
      </c>
      <c r="AM32" s="171">
        <f t="shared" si="43"/>
        <v>50401023.423423424</v>
      </c>
      <c r="AN32" s="171">
        <f t="shared" si="43"/>
        <v>50401023.423423424</v>
      </c>
      <c r="AO32" s="171">
        <f t="shared" si="43"/>
        <v>50401023.423423424</v>
      </c>
      <c r="AP32" s="171">
        <f t="shared" si="43"/>
        <v>50401023.423423424</v>
      </c>
      <c r="AQ32" s="171">
        <f t="shared" si="43"/>
        <v>50401023.423423424</v>
      </c>
      <c r="AR32" s="171">
        <f t="shared" ref="AR32:BW32" si="44">AQ35</f>
        <v>50401023.423423424</v>
      </c>
      <c r="AS32" s="171">
        <f t="shared" si="44"/>
        <v>50401023.423423424</v>
      </c>
      <c r="AT32" s="171">
        <f t="shared" si="44"/>
        <v>50401023.423423424</v>
      </c>
      <c r="AU32" s="171">
        <f t="shared" si="44"/>
        <v>50401023.423423424</v>
      </c>
      <c r="AV32" s="171">
        <f t="shared" si="44"/>
        <v>50401023.423423424</v>
      </c>
      <c r="AW32" s="171">
        <f t="shared" si="44"/>
        <v>50401023.423423424</v>
      </c>
      <c r="AX32" s="171">
        <f t="shared" si="44"/>
        <v>50401023.423423424</v>
      </c>
      <c r="AY32" s="171">
        <f t="shared" si="44"/>
        <v>50401023.423423424</v>
      </c>
      <c r="AZ32" s="171">
        <f t="shared" si="44"/>
        <v>50401023.423423424</v>
      </c>
      <c r="BA32" s="171">
        <f t="shared" si="44"/>
        <v>50401023.423423424</v>
      </c>
      <c r="BB32" s="171">
        <f t="shared" si="44"/>
        <v>50401023.423423424</v>
      </c>
      <c r="BC32" s="171">
        <f t="shared" si="44"/>
        <v>50401023.423423424</v>
      </c>
      <c r="BD32" s="171">
        <f t="shared" si="44"/>
        <v>50401023.423423424</v>
      </c>
      <c r="BE32" s="171">
        <f t="shared" si="44"/>
        <v>50401023.423423424</v>
      </c>
      <c r="BF32" s="171">
        <f t="shared" si="44"/>
        <v>50401023.423423424</v>
      </c>
      <c r="BG32" s="171">
        <f t="shared" si="44"/>
        <v>50401023.423423424</v>
      </c>
      <c r="BH32" s="171">
        <f t="shared" si="44"/>
        <v>50401023.423423424</v>
      </c>
      <c r="BI32" s="171">
        <f t="shared" si="44"/>
        <v>50401023.423423424</v>
      </c>
      <c r="BJ32" s="171">
        <f t="shared" si="44"/>
        <v>50401023.423423424</v>
      </c>
      <c r="BK32" s="171">
        <f t="shared" si="44"/>
        <v>50401023.423423424</v>
      </c>
      <c r="BL32" s="171">
        <f t="shared" si="44"/>
        <v>50401023.423423424</v>
      </c>
      <c r="BM32" s="171">
        <f t="shared" si="44"/>
        <v>50401023.423423424</v>
      </c>
      <c r="BN32" s="171">
        <f t="shared" si="44"/>
        <v>50401023.423423424</v>
      </c>
      <c r="BO32" s="171">
        <f t="shared" si="44"/>
        <v>50401023.423423424</v>
      </c>
      <c r="BP32" s="171">
        <f t="shared" si="44"/>
        <v>50401023.423423424</v>
      </c>
      <c r="BQ32" s="171">
        <f t="shared" si="44"/>
        <v>50401023.423423424</v>
      </c>
      <c r="BR32" s="171">
        <f t="shared" si="44"/>
        <v>50401023.423423424</v>
      </c>
      <c r="BS32" s="171">
        <f t="shared" si="44"/>
        <v>50401023.423423424</v>
      </c>
      <c r="BT32" s="171">
        <f t="shared" si="44"/>
        <v>50401023.423423424</v>
      </c>
      <c r="BU32" s="171">
        <f t="shared" si="44"/>
        <v>50401023.423423424</v>
      </c>
      <c r="BV32" s="171">
        <f t="shared" si="44"/>
        <v>50401023.423423424</v>
      </c>
      <c r="BW32" s="171">
        <f t="shared" si="44"/>
        <v>50401023.423423424</v>
      </c>
      <c r="BX32" s="171">
        <f t="shared" ref="BX32:DC32" si="45">BW35</f>
        <v>50401023.423423424</v>
      </c>
      <c r="BY32" s="171">
        <f t="shared" si="45"/>
        <v>50401023.423423424</v>
      </c>
      <c r="BZ32" s="171">
        <f t="shared" si="45"/>
        <v>50401023.423423424</v>
      </c>
      <c r="CA32" s="171">
        <f t="shared" si="45"/>
        <v>50401023.423423424</v>
      </c>
      <c r="CB32" s="171">
        <f t="shared" si="45"/>
        <v>50401023.423423424</v>
      </c>
      <c r="CC32" s="171">
        <f t="shared" si="45"/>
        <v>50401023.423423424</v>
      </c>
      <c r="CD32" s="171">
        <f t="shared" si="45"/>
        <v>50401023.423423424</v>
      </c>
      <c r="CE32" s="171">
        <f t="shared" si="45"/>
        <v>50401023.423423424</v>
      </c>
      <c r="CF32" s="171">
        <f t="shared" si="45"/>
        <v>50401023.423423424</v>
      </c>
      <c r="CG32" s="171">
        <f t="shared" si="45"/>
        <v>50401023.423423424</v>
      </c>
      <c r="CH32" s="171">
        <f t="shared" si="45"/>
        <v>50401023.423423424</v>
      </c>
      <c r="CI32" s="171">
        <f t="shared" si="45"/>
        <v>50401023.423423424</v>
      </c>
      <c r="CJ32" s="171">
        <f t="shared" si="45"/>
        <v>50401023.423423424</v>
      </c>
      <c r="CK32" s="171">
        <f t="shared" si="45"/>
        <v>50401023.423423424</v>
      </c>
      <c r="CL32" s="171">
        <f t="shared" si="45"/>
        <v>50401023.423423424</v>
      </c>
      <c r="CM32" s="171">
        <f t="shared" si="45"/>
        <v>50401023.423423424</v>
      </c>
      <c r="CN32" s="171">
        <f t="shared" si="45"/>
        <v>50401023.423423424</v>
      </c>
      <c r="CO32" s="171">
        <f t="shared" si="45"/>
        <v>50401023.423423424</v>
      </c>
      <c r="CP32" s="171">
        <f t="shared" si="45"/>
        <v>50401023.423423424</v>
      </c>
      <c r="CQ32" s="171">
        <f t="shared" si="45"/>
        <v>50401023.423423424</v>
      </c>
      <c r="CR32" s="171">
        <f t="shared" si="45"/>
        <v>50401023.423423424</v>
      </c>
      <c r="CS32" s="171">
        <f t="shared" si="45"/>
        <v>50401023.423423424</v>
      </c>
      <c r="CT32" s="171">
        <f t="shared" si="45"/>
        <v>50401023.423423424</v>
      </c>
      <c r="CU32" s="171">
        <f t="shared" si="45"/>
        <v>50401023.423423424</v>
      </c>
      <c r="CV32" s="171">
        <f t="shared" si="45"/>
        <v>50401023.423423424</v>
      </c>
      <c r="CW32" s="171">
        <f t="shared" si="45"/>
        <v>50401023.423423424</v>
      </c>
      <c r="CX32" s="171">
        <f t="shared" si="45"/>
        <v>50401023.423423424</v>
      </c>
      <c r="CY32" s="171">
        <f t="shared" si="45"/>
        <v>50401023.423423424</v>
      </c>
      <c r="CZ32" s="171">
        <f t="shared" si="45"/>
        <v>50401023.423423424</v>
      </c>
      <c r="DA32" s="171">
        <f t="shared" si="45"/>
        <v>50401023.423423424</v>
      </c>
      <c r="DB32" s="171">
        <f t="shared" si="45"/>
        <v>50401023.423423424</v>
      </c>
      <c r="DC32" s="171">
        <f t="shared" si="45"/>
        <v>50401023.423423424</v>
      </c>
      <c r="DD32" s="171">
        <f t="shared" ref="DD32:EI32" si="46">DC35</f>
        <v>50401023.423423424</v>
      </c>
      <c r="DE32" s="171">
        <f t="shared" si="46"/>
        <v>50401023.423423424</v>
      </c>
      <c r="DF32" s="171">
        <f t="shared" si="46"/>
        <v>50401023.423423424</v>
      </c>
      <c r="DG32" s="171">
        <f t="shared" si="46"/>
        <v>50401023.423423424</v>
      </c>
      <c r="DH32" s="171">
        <f t="shared" si="46"/>
        <v>50401023.423423424</v>
      </c>
      <c r="DI32" s="171">
        <f t="shared" si="46"/>
        <v>50401023.423423424</v>
      </c>
      <c r="DJ32" s="171">
        <f t="shared" si="46"/>
        <v>50401023.423423424</v>
      </c>
      <c r="DK32" s="171">
        <f t="shared" si="46"/>
        <v>50401023.423423424</v>
      </c>
      <c r="DL32" s="171">
        <f t="shared" si="46"/>
        <v>50401023.423423424</v>
      </c>
      <c r="DM32" s="171">
        <f t="shared" si="46"/>
        <v>50401023.423423424</v>
      </c>
      <c r="DN32" s="171">
        <f t="shared" si="46"/>
        <v>50401023.423423424</v>
      </c>
      <c r="DO32" s="171">
        <f t="shared" si="46"/>
        <v>50401023.423423424</v>
      </c>
      <c r="DP32" s="171">
        <f t="shared" si="46"/>
        <v>50401023.423423424</v>
      </c>
      <c r="DQ32" s="171">
        <f t="shared" si="46"/>
        <v>50401023.423423424</v>
      </c>
      <c r="DR32" s="171">
        <f t="shared" si="46"/>
        <v>50401023.423423424</v>
      </c>
      <c r="DS32" s="171">
        <f t="shared" si="46"/>
        <v>50401023.423423424</v>
      </c>
      <c r="DT32" s="171">
        <f t="shared" si="46"/>
        <v>50401023.423423424</v>
      </c>
      <c r="DU32" s="171">
        <f t="shared" si="46"/>
        <v>50401023.423423424</v>
      </c>
      <c r="DV32" s="171">
        <f t="shared" si="46"/>
        <v>50401023.423423424</v>
      </c>
      <c r="DW32" s="171">
        <f t="shared" si="46"/>
        <v>50401023.423423424</v>
      </c>
      <c r="DX32" s="171">
        <f t="shared" si="46"/>
        <v>50401023.423423424</v>
      </c>
      <c r="DY32" s="171">
        <f t="shared" si="46"/>
        <v>50401023.423423424</v>
      </c>
      <c r="DZ32" s="171">
        <f t="shared" si="46"/>
        <v>50401023.423423424</v>
      </c>
      <c r="EA32" s="171">
        <f t="shared" si="46"/>
        <v>50401023.423423424</v>
      </c>
      <c r="EB32" s="171">
        <f t="shared" si="46"/>
        <v>50401023.423423424</v>
      </c>
      <c r="EC32" s="171">
        <f t="shared" si="46"/>
        <v>0</v>
      </c>
      <c r="ED32" s="171">
        <f t="shared" si="46"/>
        <v>0</v>
      </c>
      <c r="EE32" s="171">
        <f t="shared" si="46"/>
        <v>0</v>
      </c>
      <c r="EF32" s="171">
        <f t="shared" si="46"/>
        <v>0</v>
      </c>
      <c r="EG32" s="171">
        <f t="shared" si="46"/>
        <v>0</v>
      </c>
      <c r="EH32" s="171">
        <f t="shared" si="46"/>
        <v>0</v>
      </c>
      <c r="EI32" s="171">
        <f t="shared" si="46"/>
        <v>0</v>
      </c>
      <c r="EJ32" s="171">
        <f t="shared" ref="EJ32:EQ32" si="47">EI35</f>
        <v>0</v>
      </c>
      <c r="EK32" s="171">
        <f t="shared" si="47"/>
        <v>0</v>
      </c>
      <c r="EL32" s="171">
        <f t="shared" si="47"/>
        <v>0</v>
      </c>
      <c r="EM32" s="171">
        <f t="shared" si="47"/>
        <v>0</v>
      </c>
      <c r="EN32" s="171">
        <f t="shared" si="47"/>
        <v>0</v>
      </c>
      <c r="EO32" s="171">
        <f t="shared" si="47"/>
        <v>0</v>
      </c>
      <c r="EP32" s="171">
        <f t="shared" si="47"/>
        <v>0</v>
      </c>
      <c r="EQ32" s="171">
        <f t="shared" si="47"/>
        <v>0</v>
      </c>
    </row>
    <row r="33" spans="2:147" ht="13.35" customHeight="1">
      <c r="B33" s="218"/>
      <c r="C33" s="163"/>
      <c r="D33" s="66" t="s">
        <v>218</v>
      </c>
      <c r="G33" s="1032"/>
      <c r="H33" s="1030"/>
      <c r="I33" s="1022"/>
      <c r="J33" s="171">
        <f>SUM(L33:EQ33)</f>
        <v>50401023.423423424</v>
      </c>
      <c r="K33" s="98"/>
      <c r="L33" s="171">
        <f>-L26/(1+0.5%)</f>
        <v>16000000</v>
      </c>
      <c r="M33" s="171">
        <f t="shared" ref="M33:BX33" si="48">-M26</f>
        <v>0</v>
      </c>
      <c r="N33" s="171">
        <f t="shared" si="48"/>
        <v>0</v>
      </c>
      <c r="O33" s="171">
        <f t="shared" si="48"/>
        <v>0</v>
      </c>
      <c r="P33" s="171">
        <f t="shared" si="48"/>
        <v>0</v>
      </c>
      <c r="Q33" s="171">
        <f t="shared" si="48"/>
        <v>0</v>
      </c>
      <c r="R33" s="171">
        <f t="shared" si="48"/>
        <v>0</v>
      </c>
      <c r="S33" s="171">
        <f t="shared" si="48"/>
        <v>0</v>
      </c>
      <c r="T33" s="171">
        <f t="shared" si="48"/>
        <v>0</v>
      </c>
      <c r="U33" s="171">
        <f t="shared" si="48"/>
        <v>0</v>
      </c>
      <c r="V33" s="171">
        <f t="shared" si="48"/>
        <v>0</v>
      </c>
      <c r="W33" s="171">
        <f t="shared" si="48"/>
        <v>0</v>
      </c>
      <c r="X33" s="171">
        <f t="shared" si="48"/>
        <v>34401023.423423424</v>
      </c>
      <c r="Y33" s="171">
        <f t="shared" si="48"/>
        <v>0</v>
      </c>
      <c r="Z33" s="171">
        <f t="shared" si="48"/>
        <v>0</v>
      </c>
      <c r="AA33" s="171">
        <f t="shared" si="48"/>
        <v>0</v>
      </c>
      <c r="AB33" s="171">
        <f t="shared" si="48"/>
        <v>0</v>
      </c>
      <c r="AC33" s="171">
        <f t="shared" si="48"/>
        <v>0</v>
      </c>
      <c r="AD33" s="171">
        <f t="shared" si="48"/>
        <v>0</v>
      </c>
      <c r="AE33" s="171">
        <f t="shared" si="48"/>
        <v>0</v>
      </c>
      <c r="AF33" s="171">
        <f t="shared" si="48"/>
        <v>0</v>
      </c>
      <c r="AG33" s="171">
        <f t="shared" si="48"/>
        <v>0</v>
      </c>
      <c r="AH33" s="171">
        <f t="shared" si="48"/>
        <v>0</v>
      </c>
      <c r="AI33" s="171">
        <f t="shared" si="48"/>
        <v>0</v>
      </c>
      <c r="AJ33" s="171">
        <f t="shared" si="48"/>
        <v>0</v>
      </c>
      <c r="AK33" s="171">
        <f t="shared" si="48"/>
        <v>0</v>
      </c>
      <c r="AL33" s="171">
        <f t="shared" si="48"/>
        <v>0</v>
      </c>
      <c r="AM33" s="171">
        <f t="shared" si="48"/>
        <v>0</v>
      </c>
      <c r="AN33" s="171">
        <f t="shared" si="48"/>
        <v>0</v>
      </c>
      <c r="AO33" s="171">
        <f t="shared" si="48"/>
        <v>0</v>
      </c>
      <c r="AP33" s="171">
        <f t="shared" si="48"/>
        <v>0</v>
      </c>
      <c r="AQ33" s="171">
        <f t="shared" si="48"/>
        <v>0</v>
      </c>
      <c r="AR33" s="171">
        <f t="shared" si="48"/>
        <v>0</v>
      </c>
      <c r="AS33" s="171">
        <f t="shared" si="48"/>
        <v>0</v>
      </c>
      <c r="AT33" s="171">
        <f t="shared" si="48"/>
        <v>0</v>
      </c>
      <c r="AU33" s="171">
        <f t="shared" si="48"/>
        <v>0</v>
      </c>
      <c r="AV33" s="171">
        <f t="shared" si="48"/>
        <v>0</v>
      </c>
      <c r="AW33" s="171">
        <f t="shared" si="48"/>
        <v>0</v>
      </c>
      <c r="AX33" s="171">
        <f t="shared" si="48"/>
        <v>0</v>
      </c>
      <c r="AY33" s="171">
        <f t="shared" si="48"/>
        <v>0</v>
      </c>
      <c r="AZ33" s="171">
        <f t="shared" si="48"/>
        <v>0</v>
      </c>
      <c r="BA33" s="171">
        <f t="shared" si="48"/>
        <v>0</v>
      </c>
      <c r="BB33" s="171">
        <f t="shared" si="48"/>
        <v>0</v>
      </c>
      <c r="BC33" s="171">
        <f t="shared" si="48"/>
        <v>0</v>
      </c>
      <c r="BD33" s="171">
        <f t="shared" si="48"/>
        <v>0</v>
      </c>
      <c r="BE33" s="171">
        <f t="shared" si="48"/>
        <v>0</v>
      </c>
      <c r="BF33" s="171">
        <f t="shared" si="48"/>
        <v>0</v>
      </c>
      <c r="BG33" s="171">
        <f t="shared" si="48"/>
        <v>0</v>
      </c>
      <c r="BH33" s="171">
        <f t="shared" si="48"/>
        <v>0</v>
      </c>
      <c r="BI33" s="171">
        <f t="shared" si="48"/>
        <v>0</v>
      </c>
      <c r="BJ33" s="171">
        <f t="shared" si="48"/>
        <v>0</v>
      </c>
      <c r="BK33" s="171">
        <f t="shared" si="48"/>
        <v>0</v>
      </c>
      <c r="BL33" s="171">
        <f t="shared" si="48"/>
        <v>0</v>
      </c>
      <c r="BM33" s="171">
        <f t="shared" si="48"/>
        <v>0</v>
      </c>
      <c r="BN33" s="171">
        <f t="shared" si="48"/>
        <v>0</v>
      </c>
      <c r="BO33" s="171">
        <f t="shared" si="48"/>
        <v>0</v>
      </c>
      <c r="BP33" s="171">
        <f t="shared" si="48"/>
        <v>0</v>
      </c>
      <c r="BQ33" s="171">
        <f t="shared" si="48"/>
        <v>0</v>
      </c>
      <c r="BR33" s="171">
        <f t="shared" si="48"/>
        <v>0</v>
      </c>
      <c r="BS33" s="171">
        <f t="shared" si="48"/>
        <v>0</v>
      </c>
      <c r="BT33" s="171">
        <f t="shared" si="48"/>
        <v>0</v>
      </c>
      <c r="BU33" s="171">
        <f t="shared" si="48"/>
        <v>0</v>
      </c>
      <c r="BV33" s="171">
        <f t="shared" si="48"/>
        <v>0</v>
      </c>
      <c r="BW33" s="171">
        <f t="shared" si="48"/>
        <v>0</v>
      </c>
      <c r="BX33" s="171">
        <f t="shared" si="48"/>
        <v>0</v>
      </c>
      <c r="BY33" s="171">
        <f t="shared" ref="BY33:EJ33" si="49">-BY26</f>
        <v>0</v>
      </c>
      <c r="BZ33" s="171">
        <f t="shared" si="49"/>
        <v>0</v>
      </c>
      <c r="CA33" s="171">
        <f t="shared" si="49"/>
        <v>0</v>
      </c>
      <c r="CB33" s="171">
        <f t="shared" si="49"/>
        <v>0</v>
      </c>
      <c r="CC33" s="171">
        <f t="shared" si="49"/>
        <v>0</v>
      </c>
      <c r="CD33" s="171">
        <f t="shared" si="49"/>
        <v>0</v>
      </c>
      <c r="CE33" s="171">
        <f t="shared" si="49"/>
        <v>0</v>
      </c>
      <c r="CF33" s="171">
        <f t="shared" si="49"/>
        <v>0</v>
      </c>
      <c r="CG33" s="171">
        <f t="shared" si="49"/>
        <v>0</v>
      </c>
      <c r="CH33" s="171">
        <f t="shared" si="49"/>
        <v>0</v>
      </c>
      <c r="CI33" s="171">
        <f t="shared" si="49"/>
        <v>0</v>
      </c>
      <c r="CJ33" s="171">
        <f t="shared" si="49"/>
        <v>0</v>
      </c>
      <c r="CK33" s="171">
        <f t="shared" si="49"/>
        <v>0</v>
      </c>
      <c r="CL33" s="171">
        <f t="shared" si="49"/>
        <v>0</v>
      </c>
      <c r="CM33" s="171">
        <f t="shared" si="49"/>
        <v>0</v>
      </c>
      <c r="CN33" s="171">
        <f t="shared" si="49"/>
        <v>0</v>
      </c>
      <c r="CO33" s="171">
        <f t="shared" si="49"/>
        <v>0</v>
      </c>
      <c r="CP33" s="171">
        <f t="shared" si="49"/>
        <v>0</v>
      </c>
      <c r="CQ33" s="171">
        <f t="shared" si="49"/>
        <v>0</v>
      </c>
      <c r="CR33" s="171">
        <f t="shared" si="49"/>
        <v>0</v>
      </c>
      <c r="CS33" s="171">
        <f t="shared" si="49"/>
        <v>0</v>
      </c>
      <c r="CT33" s="171">
        <f t="shared" si="49"/>
        <v>0</v>
      </c>
      <c r="CU33" s="171">
        <f t="shared" si="49"/>
        <v>0</v>
      </c>
      <c r="CV33" s="171">
        <f t="shared" si="49"/>
        <v>0</v>
      </c>
      <c r="CW33" s="171">
        <f t="shared" si="49"/>
        <v>0</v>
      </c>
      <c r="CX33" s="171">
        <f t="shared" si="49"/>
        <v>0</v>
      </c>
      <c r="CY33" s="171">
        <f t="shared" si="49"/>
        <v>0</v>
      </c>
      <c r="CZ33" s="171">
        <f t="shared" si="49"/>
        <v>0</v>
      </c>
      <c r="DA33" s="171">
        <f t="shared" si="49"/>
        <v>0</v>
      </c>
      <c r="DB33" s="171">
        <f t="shared" si="49"/>
        <v>0</v>
      </c>
      <c r="DC33" s="171">
        <f t="shared" si="49"/>
        <v>0</v>
      </c>
      <c r="DD33" s="171">
        <f t="shared" si="49"/>
        <v>0</v>
      </c>
      <c r="DE33" s="171">
        <f t="shared" si="49"/>
        <v>0</v>
      </c>
      <c r="DF33" s="171">
        <f t="shared" si="49"/>
        <v>0</v>
      </c>
      <c r="DG33" s="171">
        <f t="shared" si="49"/>
        <v>0</v>
      </c>
      <c r="DH33" s="171">
        <f t="shared" si="49"/>
        <v>0</v>
      </c>
      <c r="DI33" s="171">
        <f t="shared" si="49"/>
        <v>0</v>
      </c>
      <c r="DJ33" s="171">
        <f t="shared" si="49"/>
        <v>0</v>
      </c>
      <c r="DK33" s="171">
        <f t="shared" si="49"/>
        <v>0</v>
      </c>
      <c r="DL33" s="171">
        <f t="shared" si="49"/>
        <v>0</v>
      </c>
      <c r="DM33" s="171">
        <f t="shared" si="49"/>
        <v>0</v>
      </c>
      <c r="DN33" s="171">
        <f t="shared" si="49"/>
        <v>0</v>
      </c>
      <c r="DO33" s="171">
        <f t="shared" si="49"/>
        <v>0</v>
      </c>
      <c r="DP33" s="171">
        <f t="shared" si="49"/>
        <v>0</v>
      </c>
      <c r="DQ33" s="171">
        <f t="shared" si="49"/>
        <v>0</v>
      </c>
      <c r="DR33" s="171">
        <f t="shared" si="49"/>
        <v>0</v>
      </c>
      <c r="DS33" s="171">
        <f t="shared" si="49"/>
        <v>0</v>
      </c>
      <c r="DT33" s="171">
        <f t="shared" si="49"/>
        <v>0</v>
      </c>
      <c r="DU33" s="171">
        <f t="shared" si="49"/>
        <v>0</v>
      </c>
      <c r="DV33" s="171">
        <f t="shared" si="49"/>
        <v>0</v>
      </c>
      <c r="DW33" s="171">
        <f t="shared" si="49"/>
        <v>0</v>
      </c>
      <c r="DX33" s="171">
        <f t="shared" si="49"/>
        <v>0</v>
      </c>
      <c r="DY33" s="171">
        <f t="shared" si="49"/>
        <v>0</v>
      </c>
      <c r="DZ33" s="171">
        <f t="shared" si="49"/>
        <v>0</v>
      </c>
      <c r="EA33" s="171">
        <f t="shared" si="49"/>
        <v>0</v>
      </c>
      <c r="EB33" s="171">
        <f t="shared" si="49"/>
        <v>0</v>
      </c>
      <c r="EC33" s="171">
        <f t="shared" si="49"/>
        <v>0</v>
      </c>
      <c r="ED33" s="171">
        <f t="shared" si="49"/>
        <v>0</v>
      </c>
      <c r="EE33" s="171">
        <f t="shared" si="49"/>
        <v>0</v>
      </c>
      <c r="EF33" s="171">
        <f t="shared" si="49"/>
        <v>0</v>
      </c>
      <c r="EG33" s="171">
        <f t="shared" si="49"/>
        <v>0</v>
      </c>
      <c r="EH33" s="171">
        <f t="shared" si="49"/>
        <v>0</v>
      </c>
      <c r="EI33" s="171">
        <f t="shared" si="49"/>
        <v>0</v>
      </c>
      <c r="EJ33" s="171">
        <f t="shared" si="49"/>
        <v>0</v>
      </c>
      <c r="EK33" s="171">
        <f t="shared" ref="EK33:EQ33" si="50">-EK26</f>
        <v>0</v>
      </c>
      <c r="EL33" s="171">
        <f t="shared" si="50"/>
        <v>0</v>
      </c>
      <c r="EM33" s="171">
        <f t="shared" si="50"/>
        <v>0</v>
      </c>
      <c r="EN33" s="171">
        <f t="shared" si="50"/>
        <v>0</v>
      </c>
      <c r="EO33" s="171">
        <f t="shared" si="50"/>
        <v>0</v>
      </c>
      <c r="EP33" s="171">
        <f t="shared" si="50"/>
        <v>0</v>
      </c>
      <c r="EQ33" s="171">
        <f t="shared" si="50"/>
        <v>0</v>
      </c>
    </row>
    <row r="34" spans="2:147" ht="13.35" customHeight="1">
      <c r="B34" s="218"/>
      <c r="C34" s="163"/>
      <c r="D34" s="66" t="s">
        <v>219</v>
      </c>
      <c r="G34" s="1032"/>
      <c r="H34" s="1039">
        <f>'A&amp;R'!$E$39</f>
        <v>49979</v>
      </c>
      <c r="I34" s="1022"/>
      <c r="J34" s="171">
        <f>SUM(L34:EQ34)</f>
        <v>50401023.423423424</v>
      </c>
      <c r="K34" s="98"/>
      <c r="L34" s="171">
        <f>SUM(L32:L33)*(L$5=$H34)</f>
        <v>0</v>
      </c>
      <c r="M34" s="171">
        <f t="shared" ref="M34:BX34" si="51">SUM(M32:M33)*(M$5=$H34)</f>
        <v>0</v>
      </c>
      <c r="N34" s="171">
        <f t="shared" si="51"/>
        <v>0</v>
      </c>
      <c r="O34" s="171">
        <f t="shared" si="51"/>
        <v>0</v>
      </c>
      <c r="P34" s="171">
        <f t="shared" si="51"/>
        <v>0</v>
      </c>
      <c r="Q34" s="171">
        <f t="shared" si="51"/>
        <v>0</v>
      </c>
      <c r="R34" s="171">
        <f t="shared" si="51"/>
        <v>0</v>
      </c>
      <c r="S34" s="171">
        <f t="shared" si="51"/>
        <v>0</v>
      </c>
      <c r="T34" s="171">
        <f t="shared" si="51"/>
        <v>0</v>
      </c>
      <c r="U34" s="171">
        <f t="shared" si="51"/>
        <v>0</v>
      </c>
      <c r="V34" s="171">
        <f t="shared" si="51"/>
        <v>0</v>
      </c>
      <c r="W34" s="171">
        <f t="shared" si="51"/>
        <v>0</v>
      </c>
      <c r="X34" s="171">
        <f t="shared" si="51"/>
        <v>0</v>
      </c>
      <c r="Y34" s="171">
        <f t="shared" si="51"/>
        <v>0</v>
      </c>
      <c r="Z34" s="171">
        <f t="shared" si="51"/>
        <v>0</v>
      </c>
      <c r="AA34" s="171">
        <f t="shared" si="51"/>
        <v>0</v>
      </c>
      <c r="AB34" s="171">
        <f t="shared" si="51"/>
        <v>0</v>
      </c>
      <c r="AC34" s="171">
        <f t="shared" si="51"/>
        <v>0</v>
      </c>
      <c r="AD34" s="171">
        <f t="shared" si="51"/>
        <v>0</v>
      </c>
      <c r="AE34" s="171">
        <f t="shared" si="51"/>
        <v>0</v>
      </c>
      <c r="AF34" s="171">
        <f t="shared" si="51"/>
        <v>0</v>
      </c>
      <c r="AG34" s="171">
        <f t="shared" si="51"/>
        <v>0</v>
      </c>
      <c r="AH34" s="171">
        <f t="shared" si="51"/>
        <v>0</v>
      </c>
      <c r="AI34" s="171">
        <f t="shared" si="51"/>
        <v>0</v>
      </c>
      <c r="AJ34" s="171">
        <f t="shared" si="51"/>
        <v>0</v>
      </c>
      <c r="AK34" s="171">
        <f t="shared" si="51"/>
        <v>0</v>
      </c>
      <c r="AL34" s="171">
        <f t="shared" si="51"/>
        <v>0</v>
      </c>
      <c r="AM34" s="171">
        <f t="shared" si="51"/>
        <v>0</v>
      </c>
      <c r="AN34" s="171">
        <f t="shared" si="51"/>
        <v>0</v>
      </c>
      <c r="AO34" s="171">
        <f t="shared" si="51"/>
        <v>0</v>
      </c>
      <c r="AP34" s="171">
        <f t="shared" si="51"/>
        <v>0</v>
      </c>
      <c r="AQ34" s="171">
        <f t="shared" si="51"/>
        <v>0</v>
      </c>
      <c r="AR34" s="171">
        <f t="shared" si="51"/>
        <v>0</v>
      </c>
      <c r="AS34" s="171">
        <f t="shared" si="51"/>
        <v>0</v>
      </c>
      <c r="AT34" s="171">
        <f t="shared" si="51"/>
        <v>0</v>
      </c>
      <c r="AU34" s="171">
        <f t="shared" si="51"/>
        <v>0</v>
      </c>
      <c r="AV34" s="171">
        <f t="shared" si="51"/>
        <v>0</v>
      </c>
      <c r="AW34" s="171">
        <f t="shared" si="51"/>
        <v>0</v>
      </c>
      <c r="AX34" s="171">
        <f t="shared" si="51"/>
        <v>0</v>
      </c>
      <c r="AY34" s="171">
        <f t="shared" si="51"/>
        <v>0</v>
      </c>
      <c r="AZ34" s="171">
        <f t="shared" si="51"/>
        <v>0</v>
      </c>
      <c r="BA34" s="171">
        <f t="shared" si="51"/>
        <v>0</v>
      </c>
      <c r="BB34" s="171">
        <f t="shared" si="51"/>
        <v>0</v>
      </c>
      <c r="BC34" s="171">
        <f t="shared" si="51"/>
        <v>0</v>
      </c>
      <c r="BD34" s="171">
        <f t="shared" si="51"/>
        <v>0</v>
      </c>
      <c r="BE34" s="171">
        <f t="shared" si="51"/>
        <v>0</v>
      </c>
      <c r="BF34" s="171">
        <f t="shared" si="51"/>
        <v>0</v>
      </c>
      <c r="BG34" s="171">
        <f t="shared" si="51"/>
        <v>0</v>
      </c>
      <c r="BH34" s="171">
        <f t="shared" si="51"/>
        <v>0</v>
      </c>
      <c r="BI34" s="171">
        <f t="shared" si="51"/>
        <v>0</v>
      </c>
      <c r="BJ34" s="171">
        <f t="shared" si="51"/>
        <v>0</v>
      </c>
      <c r="BK34" s="171">
        <f t="shared" si="51"/>
        <v>0</v>
      </c>
      <c r="BL34" s="171">
        <f t="shared" si="51"/>
        <v>0</v>
      </c>
      <c r="BM34" s="171">
        <f t="shared" si="51"/>
        <v>0</v>
      </c>
      <c r="BN34" s="171">
        <f t="shared" si="51"/>
        <v>0</v>
      </c>
      <c r="BO34" s="171">
        <f t="shared" si="51"/>
        <v>0</v>
      </c>
      <c r="BP34" s="171">
        <f t="shared" si="51"/>
        <v>0</v>
      </c>
      <c r="BQ34" s="171">
        <f t="shared" si="51"/>
        <v>0</v>
      </c>
      <c r="BR34" s="171">
        <f t="shared" si="51"/>
        <v>0</v>
      </c>
      <c r="BS34" s="171">
        <f t="shared" si="51"/>
        <v>0</v>
      </c>
      <c r="BT34" s="171">
        <f t="shared" si="51"/>
        <v>0</v>
      </c>
      <c r="BU34" s="171">
        <f t="shared" si="51"/>
        <v>0</v>
      </c>
      <c r="BV34" s="171">
        <f t="shared" si="51"/>
        <v>0</v>
      </c>
      <c r="BW34" s="171">
        <f t="shared" si="51"/>
        <v>0</v>
      </c>
      <c r="BX34" s="171">
        <f t="shared" si="51"/>
        <v>0</v>
      </c>
      <c r="BY34" s="171">
        <f t="shared" ref="BY34:EJ34" si="52">SUM(BY32:BY33)*(BY$5=$H34)</f>
        <v>0</v>
      </c>
      <c r="BZ34" s="171">
        <f t="shared" si="52"/>
        <v>0</v>
      </c>
      <c r="CA34" s="171">
        <f t="shared" si="52"/>
        <v>0</v>
      </c>
      <c r="CB34" s="171">
        <f t="shared" si="52"/>
        <v>0</v>
      </c>
      <c r="CC34" s="171">
        <f t="shared" si="52"/>
        <v>0</v>
      </c>
      <c r="CD34" s="171">
        <f t="shared" si="52"/>
        <v>0</v>
      </c>
      <c r="CE34" s="171">
        <f t="shared" si="52"/>
        <v>0</v>
      </c>
      <c r="CF34" s="171">
        <f t="shared" si="52"/>
        <v>0</v>
      </c>
      <c r="CG34" s="171">
        <f t="shared" si="52"/>
        <v>0</v>
      </c>
      <c r="CH34" s="171">
        <f t="shared" si="52"/>
        <v>0</v>
      </c>
      <c r="CI34" s="171">
        <f t="shared" si="52"/>
        <v>0</v>
      </c>
      <c r="CJ34" s="171">
        <f t="shared" si="52"/>
        <v>0</v>
      </c>
      <c r="CK34" s="171">
        <f t="shared" si="52"/>
        <v>0</v>
      </c>
      <c r="CL34" s="171">
        <f t="shared" si="52"/>
        <v>0</v>
      </c>
      <c r="CM34" s="171">
        <f t="shared" si="52"/>
        <v>0</v>
      </c>
      <c r="CN34" s="171">
        <f t="shared" si="52"/>
        <v>0</v>
      </c>
      <c r="CO34" s="171">
        <f t="shared" si="52"/>
        <v>0</v>
      </c>
      <c r="CP34" s="171">
        <f t="shared" si="52"/>
        <v>0</v>
      </c>
      <c r="CQ34" s="171">
        <f t="shared" si="52"/>
        <v>0</v>
      </c>
      <c r="CR34" s="171">
        <f t="shared" si="52"/>
        <v>0</v>
      </c>
      <c r="CS34" s="171">
        <f t="shared" si="52"/>
        <v>0</v>
      </c>
      <c r="CT34" s="171">
        <f t="shared" si="52"/>
        <v>0</v>
      </c>
      <c r="CU34" s="171">
        <f t="shared" si="52"/>
        <v>0</v>
      </c>
      <c r="CV34" s="171">
        <f t="shared" si="52"/>
        <v>0</v>
      </c>
      <c r="CW34" s="171">
        <f t="shared" si="52"/>
        <v>0</v>
      </c>
      <c r="CX34" s="171">
        <f t="shared" si="52"/>
        <v>0</v>
      </c>
      <c r="CY34" s="171">
        <f t="shared" si="52"/>
        <v>0</v>
      </c>
      <c r="CZ34" s="171">
        <f t="shared" si="52"/>
        <v>0</v>
      </c>
      <c r="DA34" s="171">
        <f t="shared" si="52"/>
        <v>0</v>
      </c>
      <c r="DB34" s="171">
        <f t="shared" si="52"/>
        <v>0</v>
      </c>
      <c r="DC34" s="171">
        <f t="shared" si="52"/>
        <v>0</v>
      </c>
      <c r="DD34" s="171">
        <f t="shared" si="52"/>
        <v>0</v>
      </c>
      <c r="DE34" s="171">
        <f t="shared" si="52"/>
        <v>0</v>
      </c>
      <c r="DF34" s="171">
        <f t="shared" si="52"/>
        <v>0</v>
      </c>
      <c r="DG34" s="171">
        <f t="shared" si="52"/>
        <v>0</v>
      </c>
      <c r="DH34" s="171">
        <f t="shared" si="52"/>
        <v>0</v>
      </c>
      <c r="DI34" s="171">
        <f t="shared" si="52"/>
        <v>0</v>
      </c>
      <c r="DJ34" s="171">
        <f t="shared" si="52"/>
        <v>0</v>
      </c>
      <c r="DK34" s="171">
        <f t="shared" si="52"/>
        <v>0</v>
      </c>
      <c r="DL34" s="171">
        <f t="shared" si="52"/>
        <v>0</v>
      </c>
      <c r="DM34" s="171">
        <f t="shared" si="52"/>
        <v>0</v>
      </c>
      <c r="DN34" s="171">
        <f t="shared" si="52"/>
        <v>0</v>
      </c>
      <c r="DO34" s="171">
        <f t="shared" si="52"/>
        <v>0</v>
      </c>
      <c r="DP34" s="171">
        <f t="shared" si="52"/>
        <v>0</v>
      </c>
      <c r="DQ34" s="171">
        <f t="shared" si="52"/>
        <v>0</v>
      </c>
      <c r="DR34" s="171">
        <f t="shared" si="52"/>
        <v>0</v>
      </c>
      <c r="DS34" s="171">
        <f t="shared" si="52"/>
        <v>0</v>
      </c>
      <c r="DT34" s="171">
        <f t="shared" si="52"/>
        <v>0</v>
      </c>
      <c r="DU34" s="171">
        <f t="shared" si="52"/>
        <v>0</v>
      </c>
      <c r="DV34" s="171">
        <f t="shared" si="52"/>
        <v>0</v>
      </c>
      <c r="DW34" s="171">
        <f t="shared" si="52"/>
        <v>0</v>
      </c>
      <c r="DX34" s="171">
        <f t="shared" si="52"/>
        <v>0</v>
      </c>
      <c r="DY34" s="171">
        <f t="shared" si="52"/>
        <v>0</v>
      </c>
      <c r="DZ34" s="171">
        <f t="shared" si="52"/>
        <v>0</v>
      </c>
      <c r="EA34" s="171">
        <f t="shared" si="52"/>
        <v>0</v>
      </c>
      <c r="EB34" s="171">
        <f t="shared" si="52"/>
        <v>50401023.423423424</v>
      </c>
      <c r="EC34" s="171">
        <f t="shared" si="52"/>
        <v>0</v>
      </c>
      <c r="ED34" s="171">
        <f t="shared" si="52"/>
        <v>0</v>
      </c>
      <c r="EE34" s="171">
        <f t="shared" si="52"/>
        <v>0</v>
      </c>
      <c r="EF34" s="171">
        <f t="shared" si="52"/>
        <v>0</v>
      </c>
      <c r="EG34" s="171">
        <f t="shared" si="52"/>
        <v>0</v>
      </c>
      <c r="EH34" s="171">
        <f t="shared" si="52"/>
        <v>0</v>
      </c>
      <c r="EI34" s="171">
        <f t="shared" si="52"/>
        <v>0</v>
      </c>
      <c r="EJ34" s="171">
        <f t="shared" si="52"/>
        <v>0</v>
      </c>
      <c r="EK34" s="171">
        <f t="shared" ref="EK34:EQ34" si="53">SUM(EK32:EK33)*(EK$5=$H34)</f>
        <v>0</v>
      </c>
      <c r="EL34" s="171">
        <f t="shared" si="53"/>
        <v>0</v>
      </c>
      <c r="EM34" s="171">
        <f t="shared" si="53"/>
        <v>0</v>
      </c>
      <c r="EN34" s="171">
        <f t="shared" si="53"/>
        <v>0</v>
      </c>
      <c r="EO34" s="171">
        <f t="shared" si="53"/>
        <v>0</v>
      </c>
      <c r="EP34" s="171">
        <f t="shared" si="53"/>
        <v>0</v>
      </c>
      <c r="EQ34" s="171">
        <f t="shared" si="53"/>
        <v>0</v>
      </c>
    </row>
    <row r="35" spans="2:147" ht="13.35" customHeight="1">
      <c r="B35" s="218"/>
      <c r="C35" s="163"/>
      <c r="D35" s="1038" t="s">
        <v>220</v>
      </c>
      <c r="E35" s="175"/>
      <c r="F35" s="175"/>
      <c r="G35" s="1034"/>
      <c r="H35" s="1035"/>
      <c r="I35" s="1036"/>
      <c r="J35" s="177"/>
      <c r="K35" s="98"/>
      <c r="L35" s="184">
        <f>L32+L33-L34</f>
        <v>16000000</v>
      </c>
      <c r="M35" s="184">
        <f t="shared" ref="M35:BX35" si="54">M32+M33-M34</f>
        <v>16000000</v>
      </c>
      <c r="N35" s="184">
        <f t="shared" si="54"/>
        <v>16000000</v>
      </c>
      <c r="O35" s="184">
        <f t="shared" si="54"/>
        <v>16000000</v>
      </c>
      <c r="P35" s="184">
        <f t="shared" si="54"/>
        <v>16000000</v>
      </c>
      <c r="Q35" s="184">
        <f t="shared" si="54"/>
        <v>16000000</v>
      </c>
      <c r="R35" s="184">
        <f t="shared" si="54"/>
        <v>16000000</v>
      </c>
      <c r="S35" s="184">
        <f t="shared" si="54"/>
        <v>16000000</v>
      </c>
      <c r="T35" s="184">
        <f t="shared" si="54"/>
        <v>16000000</v>
      </c>
      <c r="U35" s="184">
        <f t="shared" si="54"/>
        <v>16000000</v>
      </c>
      <c r="V35" s="184">
        <f t="shared" si="54"/>
        <v>16000000</v>
      </c>
      <c r="W35" s="184">
        <f t="shared" si="54"/>
        <v>16000000</v>
      </c>
      <c r="X35" s="184">
        <f t="shared" si="54"/>
        <v>50401023.423423424</v>
      </c>
      <c r="Y35" s="184">
        <f t="shared" si="54"/>
        <v>50401023.423423424</v>
      </c>
      <c r="Z35" s="184">
        <f t="shared" si="54"/>
        <v>50401023.423423424</v>
      </c>
      <c r="AA35" s="184">
        <f t="shared" si="54"/>
        <v>50401023.423423424</v>
      </c>
      <c r="AB35" s="184">
        <f t="shared" si="54"/>
        <v>50401023.423423424</v>
      </c>
      <c r="AC35" s="184">
        <f t="shared" si="54"/>
        <v>50401023.423423424</v>
      </c>
      <c r="AD35" s="184">
        <f t="shared" si="54"/>
        <v>50401023.423423424</v>
      </c>
      <c r="AE35" s="184">
        <f t="shared" si="54"/>
        <v>50401023.423423424</v>
      </c>
      <c r="AF35" s="184">
        <f t="shared" si="54"/>
        <v>50401023.423423424</v>
      </c>
      <c r="AG35" s="184">
        <f t="shared" si="54"/>
        <v>50401023.423423424</v>
      </c>
      <c r="AH35" s="184">
        <f t="shared" si="54"/>
        <v>50401023.423423424</v>
      </c>
      <c r="AI35" s="184">
        <f t="shared" si="54"/>
        <v>50401023.423423424</v>
      </c>
      <c r="AJ35" s="184">
        <f t="shared" si="54"/>
        <v>50401023.423423424</v>
      </c>
      <c r="AK35" s="184">
        <f t="shared" si="54"/>
        <v>50401023.423423424</v>
      </c>
      <c r="AL35" s="184">
        <f t="shared" si="54"/>
        <v>50401023.423423424</v>
      </c>
      <c r="AM35" s="184">
        <f t="shared" si="54"/>
        <v>50401023.423423424</v>
      </c>
      <c r="AN35" s="184">
        <f t="shared" si="54"/>
        <v>50401023.423423424</v>
      </c>
      <c r="AO35" s="184">
        <f t="shared" si="54"/>
        <v>50401023.423423424</v>
      </c>
      <c r="AP35" s="184">
        <f t="shared" si="54"/>
        <v>50401023.423423424</v>
      </c>
      <c r="AQ35" s="184">
        <f t="shared" si="54"/>
        <v>50401023.423423424</v>
      </c>
      <c r="AR35" s="184">
        <f t="shared" si="54"/>
        <v>50401023.423423424</v>
      </c>
      <c r="AS35" s="184">
        <f t="shared" si="54"/>
        <v>50401023.423423424</v>
      </c>
      <c r="AT35" s="184">
        <f t="shared" si="54"/>
        <v>50401023.423423424</v>
      </c>
      <c r="AU35" s="184">
        <f t="shared" si="54"/>
        <v>50401023.423423424</v>
      </c>
      <c r="AV35" s="184">
        <f t="shared" si="54"/>
        <v>50401023.423423424</v>
      </c>
      <c r="AW35" s="184">
        <f t="shared" si="54"/>
        <v>50401023.423423424</v>
      </c>
      <c r="AX35" s="184">
        <f t="shared" si="54"/>
        <v>50401023.423423424</v>
      </c>
      <c r="AY35" s="184">
        <f t="shared" si="54"/>
        <v>50401023.423423424</v>
      </c>
      <c r="AZ35" s="184">
        <f t="shared" si="54"/>
        <v>50401023.423423424</v>
      </c>
      <c r="BA35" s="184">
        <f t="shared" si="54"/>
        <v>50401023.423423424</v>
      </c>
      <c r="BB35" s="184">
        <f t="shared" si="54"/>
        <v>50401023.423423424</v>
      </c>
      <c r="BC35" s="184">
        <f t="shared" si="54"/>
        <v>50401023.423423424</v>
      </c>
      <c r="BD35" s="184">
        <f t="shared" si="54"/>
        <v>50401023.423423424</v>
      </c>
      <c r="BE35" s="184">
        <f t="shared" si="54"/>
        <v>50401023.423423424</v>
      </c>
      <c r="BF35" s="184">
        <f t="shared" si="54"/>
        <v>50401023.423423424</v>
      </c>
      <c r="BG35" s="184">
        <f t="shared" si="54"/>
        <v>50401023.423423424</v>
      </c>
      <c r="BH35" s="184">
        <f t="shared" si="54"/>
        <v>50401023.423423424</v>
      </c>
      <c r="BI35" s="184">
        <f t="shared" si="54"/>
        <v>50401023.423423424</v>
      </c>
      <c r="BJ35" s="184">
        <f t="shared" si="54"/>
        <v>50401023.423423424</v>
      </c>
      <c r="BK35" s="184">
        <f t="shared" si="54"/>
        <v>50401023.423423424</v>
      </c>
      <c r="BL35" s="184">
        <f t="shared" si="54"/>
        <v>50401023.423423424</v>
      </c>
      <c r="BM35" s="184">
        <f t="shared" si="54"/>
        <v>50401023.423423424</v>
      </c>
      <c r="BN35" s="184">
        <f t="shared" si="54"/>
        <v>50401023.423423424</v>
      </c>
      <c r="BO35" s="184">
        <f t="shared" si="54"/>
        <v>50401023.423423424</v>
      </c>
      <c r="BP35" s="184">
        <f t="shared" si="54"/>
        <v>50401023.423423424</v>
      </c>
      <c r="BQ35" s="184">
        <f t="shared" si="54"/>
        <v>50401023.423423424</v>
      </c>
      <c r="BR35" s="184">
        <f t="shared" si="54"/>
        <v>50401023.423423424</v>
      </c>
      <c r="BS35" s="184">
        <f t="shared" si="54"/>
        <v>50401023.423423424</v>
      </c>
      <c r="BT35" s="184">
        <f t="shared" si="54"/>
        <v>50401023.423423424</v>
      </c>
      <c r="BU35" s="184">
        <f t="shared" si="54"/>
        <v>50401023.423423424</v>
      </c>
      <c r="BV35" s="184">
        <f t="shared" si="54"/>
        <v>50401023.423423424</v>
      </c>
      <c r="BW35" s="184">
        <f t="shared" si="54"/>
        <v>50401023.423423424</v>
      </c>
      <c r="BX35" s="184">
        <f t="shared" si="54"/>
        <v>50401023.423423424</v>
      </c>
      <c r="BY35" s="184">
        <f t="shared" ref="BY35:EJ35" si="55">BY32+BY33-BY34</f>
        <v>50401023.423423424</v>
      </c>
      <c r="BZ35" s="184">
        <f t="shared" si="55"/>
        <v>50401023.423423424</v>
      </c>
      <c r="CA35" s="184">
        <f t="shared" si="55"/>
        <v>50401023.423423424</v>
      </c>
      <c r="CB35" s="184">
        <f t="shared" si="55"/>
        <v>50401023.423423424</v>
      </c>
      <c r="CC35" s="184">
        <f t="shared" si="55"/>
        <v>50401023.423423424</v>
      </c>
      <c r="CD35" s="184">
        <f t="shared" si="55"/>
        <v>50401023.423423424</v>
      </c>
      <c r="CE35" s="184">
        <f t="shared" si="55"/>
        <v>50401023.423423424</v>
      </c>
      <c r="CF35" s="184">
        <f t="shared" si="55"/>
        <v>50401023.423423424</v>
      </c>
      <c r="CG35" s="184">
        <f t="shared" si="55"/>
        <v>50401023.423423424</v>
      </c>
      <c r="CH35" s="184">
        <f t="shared" si="55"/>
        <v>50401023.423423424</v>
      </c>
      <c r="CI35" s="184">
        <f t="shared" si="55"/>
        <v>50401023.423423424</v>
      </c>
      <c r="CJ35" s="184">
        <f t="shared" si="55"/>
        <v>50401023.423423424</v>
      </c>
      <c r="CK35" s="184">
        <f t="shared" si="55"/>
        <v>50401023.423423424</v>
      </c>
      <c r="CL35" s="184">
        <f t="shared" si="55"/>
        <v>50401023.423423424</v>
      </c>
      <c r="CM35" s="184">
        <f t="shared" si="55"/>
        <v>50401023.423423424</v>
      </c>
      <c r="CN35" s="184">
        <f t="shared" si="55"/>
        <v>50401023.423423424</v>
      </c>
      <c r="CO35" s="184">
        <f t="shared" si="55"/>
        <v>50401023.423423424</v>
      </c>
      <c r="CP35" s="184">
        <f t="shared" si="55"/>
        <v>50401023.423423424</v>
      </c>
      <c r="CQ35" s="184">
        <f t="shared" si="55"/>
        <v>50401023.423423424</v>
      </c>
      <c r="CR35" s="184">
        <f t="shared" si="55"/>
        <v>50401023.423423424</v>
      </c>
      <c r="CS35" s="184">
        <f t="shared" si="55"/>
        <v>50401023.423423424</v>
      </c>
      <c r="CT35" s="184">
        <f t="shared" si="55"/>
        <v>50401023.423423424</v>
      </c>
      <c r="CU35" s="184">
        <f t="shared" si="55"/>
        <v>50401023.423423424</v>
      </c>
      <c r="CV35" s="184">
        <f t="shared" si="55"/>
        <v>50401023.423423424</v>
      </c>
      <c r="CW35" s="184">
        <f t="shared" si="55"/>
        <v>50401023.423423424</v>
      </c>
      <c r="CX35" s="184">
        <f t="shared" si="55"/>
        <v>50401023.423423424</v>
      </c>
      <c r="CY35" s="184">
        <f t="shared" si="55"/>
        <v>50401023.423423424</v>
      </c>
      <c r="CZ35" s="184">
        <f t="shared" si="55"/>
        <v>50401023.423423424</v>
      </c>
      <c r="DA35" s="184">
        <f t="shared" si="55"/>
        <v>50401023.423423424</v>
      </c>
      <c r="DB35" s="184">
        <f t="shared" si="55"/>
        <v>50401023.423423424</v>
      </c>
      <c r="DC35" s="184">
        <f t="shared" si="55"/>
        <v>50401023.423423424</v>
      </c>
      <c r="DD35" s="184">
        <f t="shared" si="55"/>
        <v>50401023.423423424</v>
      </c>
      <c r="DE35" s="184">
        <f t="shared" si="55"/>
        <v>50401023.423423424</v>
      </c>
      <c r="DF35" s="184">
        <f t="shared" si="55"/>
        <v>50401023.423423424</v>
      </c>
      <c r="DG35" s="184">
        <f t="shared" si="55"/>
        <v>50401023.423423424</v>
      </c>
      <c r="DH35" s="184">
        <f t="shared" si="55"/>
        <v>50401023.423423424</v>
      </c>
      <c r="DI35" s="184">
        <f t="shared" si="55"/>
        <v>50401023.423423424</v>
      </c>
      <c r="DJ35" s="184">
        <f t="shared" si="55"/>
        <v>50401023.423423424</v>
      </c>
      <c r="DK35" s="184">
        <f t="shared" si="55"/>
        <v>50401023.423423424</v>
      </c>
      <c r="DL35" s="184">
        <f t="shared" si="55"/>
        <v>50401023.423423424</v>
      </c>
      <c r="DM35" s="184">
        <f t="shared" si="55"/>
        <v>50401023.423423424</v>
      </c>
      <c r="DN35" s="184">
        <f t="shared" si="55"/>
        <v>50401023.423423424</v>
      </c>
      <c r="DO35" s="184">
        <f t="shared" si="55"/>
        <v>50401023.423423424</v>
      </c>
      <c r="DP35" s="184">
        <f t="shared" si="55"/>
        <v>50401023.423423424</v>
      </c>
      <c r="DQ35" s="184">
        <f t="shared" si="55"/>
        <v>50401023.423423424</v>
      </c>
      <c r="DR35" s="184">
        <f t="shared" si="55"/>
        <v>50401023.423423424</v>
      </c>
      <c r="DS35" s="184">
        <f t="shared" si="55"/>
        <v>50401023.423423424</v>
      </c>
      <c r="DT35" s="184">
        <f t="shared" si="55"/>
        <v>50401023.423423424</v>
      </c>
      <c r="DU35" s="184">
        <f t="shared" si="55"/>
        <v>50401023.423423424</v>
      </c>
      <c r="DV35" s="184">
        <f t="shared" si="55"/>
        <v>50401023.423423424</v>
      </c>
      <c r="DW35" s="184">
        <f t="shared" si="55"/>
        <v>50401023.423423424</v>
      </c>
      <c r="DX35" s="184">
        <f t="shared" si="55"/>
        <v>50401023.423423424</v>
      </c>
      <c r="DY35" s="184">
        <f t="shared" si="55"/>
        <v>50401023.423423424</v>
      </c>
      <c r="DZ35" s="184">
        <f t="shared" si="55"/>
        <v>50401023.423423424</v>
      </c>
      <c r="EA35" s="184">
        <f t="shared" si="55"/>
        <v>50401023.423423424</v>
      </c>
      <c r="EB35" s="184">
        <f t="shared" si="55"/>
        <v>0</v>
      </c>
      <c r="EC35" s="184">
        <f t="shared" si="55"/>
        <v>0</v>
      </c>
      <c r="ED35" s="184">
        <f t="shared" si="55"/>
        <v>0</v>
      </c>
      <c r="EE35" s="184">
        <f t="shared" si="55"/>
        <v>0</v>
      </c>
      <c r="EF35" s="184">
        <f t="shared" si="55"/>
        <v>0</v>
      </c>
      <c r="EG35" s="184">
        <f t="shared" si="55"/>
        <v>0</v>
      </c>
      <c r="EH35" s="184">
        <f t="shared" si="55"/>
        <v>0</v>
      </c>
      <c r="EI35" s="184">
        <f t="shared" si="55"/>
        <v>0</v>
      </c>
      <c r="EJ35" s="184">
        <f t="shared" si="55"/>
        <v>0</v>
      </c>
      <c r="EK35" s="184">
        <f t="shared" ref="EK35:EQ35" si="56">EK32+EK33-EK34</f>
        <v>0</v>
      </c>
      <c r="EL35" s="184">
        <f t="shared" si="56"/>
        <v>0</v>
      </c>
      <c r="EM35" s="184">
        <f t="shared" si="56"/>
        <v>0</v>
      </c>
      <c r="EN35" s="184">
        <f t="shared" si="56"/>
        <v>0</v>
      </c>
      <c r="EO35" s="184">
        <f t="shared" si="56"/>
        <v>0</v>
      </c>
      <c r="EP35" s="184">
        <f t="shared" si="56"/>
        <v>0</v>
      </c>
      <c r="EQ35" s="184">
        <f t="shared" si="56"/>
        <v>0</v>
      </c>
    </row>
    <row r="36" spans="2:147" ht="13.35" customHeight="1">
      <c r="B36" s="218"/>
      <c r="C36" s="163"/>
      <c r="D36" s="66" t="s">
        <v>2677</v>
      </c>
      <c r="E36" s="3013"/>
      <c r="F36" s="3013"/>
      <c r="G36" s="3014"/>
      <c r="H36" s="3015"/>
      <c r="I36" s="3016"/>
      <c r="J36" s="171"/>
      <c r="K36" s="98"/>
      <c r="L36" s="171"/>
      <c r="M36" s="171"/>
      <c r="N36" s="171"/>
      <c r="O36" s="171"/>
      <c r="P36" s="171"/>
      <c r="Q36" s="171"/>
      <c r="R36" s="171"/>
      <c r="S36" s="171"/>
      <c r="T36" s="171"/>
      <c r="U36" s="171"/>
      <c r="V36" s="171"/>
      <c r="W36" s="171"/>
      <c r="X36" s="171"/>
      <c r="Y36" s="171"/>
      <c r="Z36" s="171"/>
      <c r="AA36" s="171"/>
      <c r="AB36" s="171"/>
      <c r="AC36" s="171"/>
      <c r="AD36" s="171"/>
      <c r="AE36" s="171"/>
      <c r="AF36" s="171"/>
      <c r="AG36" s="171"/>
      <c r="AH36" s="171"/>
      <c r="AI36" s="171"/>
      <c r="AJ36" s="171"/>
      <c r="AK36" s="171"/>
      <c r="AL36" s="171"/>
      <c r="AM36" s="171"/>
      <c r="AN36" s="171"/>
      <c r="AO36" s="171"/>
      <c r="AP36" s="171"/>
      <c r="AQ36" s="171"/>
      <c r="AR36" s="171"/>
      <c r="AS36" s="171"/>
      <c r="AT36" s="171"/>
      <c r="AU36" s="171"/>
      <c r="AV36" s="171"/>
      <c r="AW36" s="171"/>
      <c r="AX36" s="171"/>
      <c r="AY36" s="171"/>
      <c r="AZ36" s="171"/>
      <c r="BA36" s="171"/>
      <c r="BB36" s="171"/>
      <c r="BC36" s="171"/>
      <c r="BD36" s="171"/>
      <c r="BE36" s="171"/>
      <c r="BF36" s="171"/>
      <c r="BG36" s="171"/>
      <c r="BH36" s="171"/>
      <c r="BI36" s="171"/>
      <c r="BJ36" s="171"/>
      <c r="BK36" s="171"/>
      <c r="BL36" s="171"/>
      <c r="BM36" s="171"/>
      <c r="BN36" s="171"/>
      <c r="BO36" s="171"/>
      <c r="BP36" s="171"/>
      <c r="BQ36" s="171"/>
      <c r="BR36" s="171"/>
      <c r="BS36" s="171"/>
      <c r="BT36" s="171"/>
      <c r="BU36" s="171"/>
      <c r="BV36" s="171"/>
      <c r="BW36" s="171"/>
      <c r="BX36" s="171"/>
      <c r="BY36" s="171"/>
      <c r="BZ36" s="171"/>
      <c r="CA36" s="171"/>
      <c r="CB36" s="171"/>
      <c r="CC36" s="171"/>
      <c r="CD36" s="171"/>
      <c r="CE36" s="171"/>
      <c r="CF36" s="171"/>
      <c r="CG36" s="171"/>
      <c r="CH36" s="171"/>
      <c r="CI36" s="171"/>
      <c r="CJ36" s="171"/>
      <c r="CK36" s="171"/>
      <c r="CL36" s="171"/>
      <c r="CM36" s="171"/>
      <c r="CN36" s="171"/>
      <c r="CO36" s="171"/>
      <c r="CP36" s="171"/>
      <c r="CQ36" s="171"/>
      <c r="CR36" s="171"/>
      <c r="CS36" s="171"/>
      <c r="CT36" s="171"/>
      <c r="CU36" s="171"/>
      <c r="CV36" s="171"/>
      <c r="CW36" s="171"/>
      <c r="CX36" s="171"/>
      <c r="CY36" s="171"/>
      <c r="CZ36" s="171"/>
      <c r="DA36" s="171"/>
      <c r="DB36" s="171"/>
      <c r="DC36" s="171"/>
      <c r="DD36" s="171"/>
      <c r="DE36" s="171"/>
      <c r="DF36" s="171"/>
      <c r="DG36" s="171"/>
      <c r="DH36" s="171"/>
      <c r="DI36" s="171"/>
      <c r="DJ36" s="171"/>
      <c r="DK36" s="171"/>
      <c r="DL36" s="171"/>
      <c r="DM36" s="171"/>
      <c r="DN36" s="171"/>
      <c r="DO36" s="171"/>
      <c r="DP36" s="171"/>
      <c r="DQ36" s="171"/>
      <c r="DR36" s="171"/>
      <c r="DS36" s="171"/>
      <c r="DT36" s="171"/>
      <c r="DU36" s="171"/>
      <c r="DV36" s="171"/>
      <c r="DW36" s="171"/>
      <c r="DX36" s="171"/>
      <c r="DY36" s="171"/>
      <c r="DZ36" s="171"/>
      <c r="EA36" s="171"/>
      <c r="EB36" s="171"/>
      <c r="EC36" s="171"/>
      <c r="ED36" s="171"/>
      <c r="EE36" s="171"/>
      <c r="EF36" s="171"/>
      <c r="EG36" s="171"/>
      <c r="EH36" s="171"/>
      <c r="EI36" s="171"/>
      <c r="EJ36" s="171"/>
      <c r="EK36" s="171"/>
      <c r="EL36" s="171"/>
      <c r="EM36" s="171"/>
      <c r="EN36" s="171"/>
      <c r="EO36" s="171"/>
      <c r="EP36" s="171"/>
      <c r="EQ36" s="171"/>
    </row>
    <row r="37" spans="2:147" ht="13.35" customHeight="1">
      <c r="B37" s="218"/>
      <c r="C37" s="163"/>
      <c r="D37" s="1037" t="s">
        <v>217</v>
      </c>
      <c r="E37" s="886"/>
      <c r="F37" s="886"/>
      <c r="G37" s="1027"/>
      <c r="H37" s="1033"/>
      <c r="I37" s="1023"/>
      <c r="J37" s="888"/>
      <c r="K37" s="98"/>
      <c r="L37" s="888">
        <f t="shared" ref="L37" si="57">K40</f>
        <v>0</v>
      </c>
      <c r="M37" s="888">
        <f t="shared" ref="M37" si="58">L40</f>
        <v>16000000</v>
      </c>
      <c r="N37" s="888">
        <f t="shared" ref="N37" si="59">M40</f>
        <v>16000000</v>
      </c>
      <c r="O37" s="888">
        <f t="shared" ref="O37" si="60">N40</f>
        <v>16000000</v>
      </c>
      <c r="P37" s="888">
        <f t="shared" ref="P37" si="61">O40</f>
        <v>16000000</v>
      </c>
      <c r="Q37" s="888">
        <f t="shared" ref="Q37" si="62">P40</f>
        <v>16000000</v>
      </c>
      <c r="R37" s="888">
        <f t="shared" ref="R37" si="63">Q40</f>
        <v>16000000</v>
      </c>
      <c r="S37" s="888">
        <f t="shared" ref="S37" si="64">R40</f>
        <v>16000000</v>
      </c>
      <c r="T37" s="888">
        <f t="shared" ref="T37" si="65">S40</f>
        <v>16000000</v>
      </c>
      <c r="U37" s="888">
        <f t="shared" ref="U37" si="66">T40</f>
        <v>16000000</v>
      </c>
      <c r="V37" s="888">
        <f t="shared" ref="V37" si="67">U40</f>
        <v>16000000</v>
      </c>
      <c r="W37" s="888">
        <f t="shared" ref="W37" si="68">V40</f>
        <v>16000000</v>
      </c>
      <c r="X37" s="888">
        <f t="shared" ref="X37" si="69">W40</f>
        <v>16000000</v>
      </c>
      <c r="Y37" s="888">
        <f t="shared" ref="Y37" si="70">X40</f>
        <v>50000000</v>
      </c>
      <c r="Z37" s="888">
        <f t="shared" ref="Z37" si="71">Y40</f>
        <v>50000000</v>
      </c>
      <c r="AA37" s="888">
        <f t="shared" ref="AA37" si="72">Z40</f>
        <v>50000000</v>
      </c>
      <c r="AB37" s="888">
        <f t="shared" ref="AB37" si="73">AA40</f>
        <v>50000000</v>
      </c>
      <c r="AC37" s="888">
        <f t="shared" ref="AC37" si="74">AB40</f>
        <v>50000000</v>
      </c>
      <c r="AD37" s="888">
        <f t="shared" ref="AD37" si="75">AC40</f>
        <v>50000000</v>
      </c>
      <c r="AE37" s="888">
        <f t="shared" ref="AE37" si="76">AD40</f>
        <v>50000000</v>
      </c>
      <c r="AF37" s="888">
        <f t="shared" ref="AF37" si="77">AE40</f>
        <v>50000000</v>
      </c>
      <c r="AG37" s="888">
        <f t="shared" ref="AG37" si="78">AF40</f>
        <v>50000000</v>
      </c>
      <c r="AH37" s="888">
        <f t="shared" ref="AH37" si="79">AG40</f>
        <v>50000000</v>
      </c>
      <c r="AI37" s="888">
        <f t="shared" ref="AI37" si="80">AH40</f>
        <v>50000000</v>
      </c>
      <c r="AJ37" s="888">
        <f t="shared" ref="AJ37" si="81">AI40</f>
        <v>50000000</v>
      </c>
      <c r="AK37" s="888">
        <f t="shared" ref="AK37" si="82">AJ40</f>
        <v>50000000</v>
      </c>
      <c r="AL37" s="888">
        <f t="shared" ref="AL37" si="83">AK40</f>
        <v>50000000</v>
      </c>
      <c r="AM37" s="888">
        <f t="shared" ref="AM37" si="84">AL40</f>
        <v>50000000</v>
      </c>
      <c r="AN37" s="888">
        <f t="shared" ref="AN37" si="85">AM40</f>
        <v>50000000</v>
      </c>
      <c r="AO37" s="888">
        <f t="shared" ref="AO37" si="86">AN40</f>
        <v>50000000</v>
      </c>
      <c r="AP37" s="888">
        <f t="shared" ref="AP37" si="87">AO40</f>
        <v>50000000</v>
      </c>
      <c r="AQ37" s="888">
        <f t="shared" ref="AQ37" si="88">AP40</f>
        <v>50000000</v>
      </c>
      <c r="AR37" s="888">
        <f t="shared" ref="AR37" si="89">AQ40</f>
        <v>50000000</v>
      </c>
      <c r="AS37" s="888">
        <f t="shared" ref="AS37" si="90">AR40</f>
        <v>50000000</v>
      </c>
      <c r="AT37" s="888">
        <f t="shared" ref="AT37" si="91">AS40</f>
        <v>50000000</v>
      </c>
      <c r="AU37" s="888">
        <f t="shared" ref="AU37" si="92">AT40</f>
        <v>50000000</v>
      </c>
      <c r="AV37" s="888">
        <f t="shared" ref="AV37" si="93">AU40</f>
        <v>50000000</v>
      </c>
      <c r="AW37" s="888">
        <f t="shared" ref="AW37" si="94">AV40</f>
        <v>50000000</v>
      </c>
      <c r="AX37" s="888">
        <f t="shared" ref="AX37" si="95">AW40</f>
        <v>50000000</v>
      </c>
      <c r="AY37" s="888">
        <f t="shared" ref="AY37" si="96">AX40</f>
        <v>50000000</v>
      </c>
      <c r="AZ37" s="888">
        <f t="shared" ref="AZ37" si="97">AY40</f>
        <v>50000000</v>
      </c>
      <c r="BA37" s="888">
        <f t="shared" ref="BA37" si="98">AZ40</f>
        <v>50000000</v>
      </c>
      <c r="BB37" s="888">
        <f t="shared" ref="BB37" si="99">BA40</f>
        <v>50000000</v>
      </c>
      <c r="BC37" s="888">
        <f t="shared" ref="BC37" si="100">BB40</f>
        <v>50000000</v>
      </c>
      <c r="BD37" s="888">
        <f t="shared" ref="BD37" si="101">BC40</f>
        <v>50000000</v>
      </c>
      <c r="BE37" s="888">
        <f t="shared" ref="BE37" si="102">BD40</f>
        <v>50000000</v>
      </c>
      <c r="BF37" s="888">
        <f t="shared" ref="BF37" si="103">BE40</f>
        <v>50000000</v>
      </c>
      <c r="BG37" s="888">
        <f t="shared" ref="BG37" si="104">BF40</f>
        <v>50000000</v>
      </c>
      <c r="BH37" s="888">
        <f t="shared" ref="BH37" si="105">BG40</f>
        <v>50000000</v>
      </c>
      <c r="BI37" s="888">
        <f t="shared" ref="BI37" si="106">BH40</f>
        <v>50000000</v>
      </c>
      <c r="BJ37" s="888">
        <f t="shared" ref="BJ37" si="107">BI40</f>
        <v>50000000</v>
      </c>
      <c r="BK37" s="888">
        <f t="shared" ref="BK37" si="108">BJ40</f>
        <v>50000000</v>
      </c>
      <c r="BL37" s="888">
        <f t="shared" ref="BL37" si="109">BK40</f>
        <v>50000000</v>
      </c>
      <c r="BM37" s="888">
        <f t="shared" ref="BM37" si="110">BL40</f>
        <v>50000000</v>
      </c>
      <c r="BN37" s="888">
        <f t="shared" ref="BN37" si="111">BM40</f>
        <v>50000000</v>
      </c>
      <c r="BO37" s="888">
        <f t="shared" ref="BO37" si="112">BN40</f>
        <v>50000000</v>
      </c>
      <c r="BP37" s="888">
        <f t="shared" ref="BP37" si="113">BO40</f>
        <v>50000000</v>
      </c>
      <c r="BQ37" s="888">
        <f t="shared" ref="BQ37" si="114">BP40</f>
        <v>50000000</v>
      </c>
      <c r="BR37" s="888">
        <f t="shared" ref="BR37" si="115">BQ40</f>
        <v>50000000</v>
      </c>
      <c r="BS37" s="888">
        <f t="shared" ref="BS37" si="116">BR40</f>
        <v>50000000</v>
      </c>
      <c r="BT37" s="888">
        <f t="shared" ref="BT37" si="117">BS40</f>
        <v>50000000</v>
      </c>
      <c r="BU37" s="888">
        <f t="shared" ref="BU37" si="118">BT40</f>
        <v>50000000</v>
      </c>
      <c r="BV37" s="888">
        <f t="shared" ref="BV37" si="119">BU40</f>
        <v>50000000</v>
      </c>
      <c r="BW37" s="888">
        <f t="shared" ref="BW37" si="120">BV40</f>
        <v>50000000</v>
      </c>
      <c r="BX37" s="888">
        <f t="shared" ref="BX37" si="121">BW40</f>
        <v>50000000</v>
      </c>
      <c r="BY37" s="888">
        <f t="shared" ref="BY37" si="122">BX40</f>
        <v>50000000</v>
      </c>
      <c r="BZ37" s="888">
        <f t="shared" ref="BZ37" si="123">BY40</f>
        <v>50000000</v>
      </c>
      <c r="CA37" s="888">
        <f t="shared" ref="CA37" si="124">BZ40</f>
        <v>50000000</v>
      </c>
      <c r="CB37" s="888">
        <f t="shared" ref="CB37" si="125">CA40</f>
        <v>50000000</v>
      </c>
      <c r="CC37" s="888">
        <f t="shared" ref="CC37" si="126">CB40</f>
        <v>50000000</v>
      </c>
      <c r="CD37" s="888">
        <f t="shared" ref="CD37" si="127">CC40</f>
        <v>50000000</v>
      </c>
      <c r="CE37" s="888">
        <f t="shared" ref="CE37" si="128">CD40</f>
        <v>50000000</v>
      </c>
      <c r="CF37" s="888">
        <f t="shared" ref="CF37" si="129">CE40</f>
        <v>50000000</v>
      </c>
      <c r="CG37" s="888">
        <f t="shared" ref="CG37" si="130">CF40</f>
        <v>50000000</v>
      </c>
      <c r="CH37" s="888">
        <f t="shared" ref="CH37" si="131">CG40</f>
        <v>50000000</v>
      </c>
      <c r="CI37" s="888">
        <f t="shared" ref="CI37" si="132">CH40</f>
        <v>50000000</v>
      </c>
      <c r="CJ37" s="888">
        <f t="shared" ref="CJ37" si="133">CI40</f>
        <v>50000000</v>
      </c>
      <c r="CK37" s="888">
        <f t="shared" ref="CK37" si="134">CJ40</f>
        <v>50000000</v>
      </c>
      <c r="CL37" s="888">
        <f t="shared" ref="CL37" si="135">CK40</f>
        <v>50000000</v>
      </c>
      <c r="CM37" s="888">
        <f t="shared" ref="CM37" si="136">CL40</f>
        <v>50000000</v>
      </c>
      <c r="CN37" s="888">
        <f t="shared" ref="CN37" si="137">CM40</f>
        <v>50000000</v>
      </c>
      <c r="CO37" s="888">
        <f t="shared" ref="CO37" si="138">CN40</f>
        <v>50000000</v>
      </c>
      <c r="CP37" s="888">
        <f t="shared" ref="CP37" si="139">CO40</f>
        <v>50000000</v>
      </c>
      <c r="CQ37" s="888">
        <f t="shared" ref="CQ37" si="140">CP40</f>
        <v>50000000</v>
      </c>
      <c r="CR37" s="888">
        <f t="shared" ref="CR37" si="141">CQ40</f>
        <v>50000000</v>
      </c>
      <c r="CS37" s="888">
        <f t="shared" ref="CS37" si="142">CR40</f>
        <v>50000000</v>
      </c>
      <c r="CT37" s="888">
        <f t="shared" ref="CT37" si="143">CS40</f>
        <v>50000000</v>
      </c>
      <c r="CU37" s="888">
        <f t="shared" ref="CU37" si="144">CT40</f>
        <v>50000000</v>
      </c>
      <c r="CV37" s="888">
        <f t="shared" ref="CV37" si="145">CU40</f>
        <v>50000000</v>
      </c>
      <c r="CW37" s="888">
        <f t="shared" ref="CW37" si="146">CV40</f>
        <v>50000000</v>
      </c>
      <c r="CX37" s="888">
        <f t="shared" ref="CX37" si="147">CW40</f>
        <v>50000000</v>
      </c>
      <c r="CY37" s="888">
        <f t="shared" ref="CY37" si="148">CX40</f>
        <v>50000000</v>
      </c>
      <c r="CZ37" s="888">
        <f t="shared" ref="CZ37" si="149">CY40</f>
        <v>50000000</v>
      </c>
      <c r="DA37" s="888">
        <f t="shared" ref="DA37" si="150">CZ40</f>
        <v>50000000</v>
      </c>
      <c r="DB37" s="888">
        <f t="shared" ref="DB37" si="151">DA40</f>
        <v>50000000</v>
      </c>
      <c r="DC37" s="888">
        <f t="shared" ref="DC37" si="152">DB40</f>
        <v>50000000</v>
      </c>
      <c r="DD37" s="888">
        <f t="shared" ref="DD37" si="153">DC40</f>
        <v>50000000</v>
      </c>
      <c r="DE37" s="888">
        <f t="shared" ref="DE37" si="154">DD40</f>
        <v>50000000</v>
      </c>
      <c r="DF37" s="888">
        <f t="shared" ref="DF37" si="155">DE40</f>
        <v>50000000</v>
      </c>
      <c r="DG37" s="888">
        <f t="shared" ref="DG37" si="156">DF40</f>
        <v>50000000</v>
      </c>
      <c r="DH37" s="888">
        <f t="shared" ref="DH37" si="157">DG40</f>
        <v>50000000</v>
      </c>
      <c r="DI37" s="888">
        <f t="shared" ref="DI37" si="158">DH40</f>
        <v>50000000</v>
      </c>
      <c r="DJ37" s="888">
        <f t="shared" ref="DJ37" si="159">DI40</f>
        <v>50000000</v>
      </c>
      <c r="DK37" s="888">
        <f t="shared" ref="DK37" si="160">DJ40</f>
        <v>50000000</v>
      </c>
      <c r="DL37" s="888">
        <f t="shared" ref="DL37" si="161">DK40</f>
        <v>50000000</v>
      </c>
      <c r="DM37" s="888">
        <f t="shared" ref="DM37" si="162">DL40</f>
        <v>50000000</v>
      </c>
      <c r="DN37" s="888">
        <f t="shared" ref="DN37" si="163">DM40</f>
        <v>50000000</v>
      </c>
      <c r="DO37" s="888">
        <f t="shared" ref="DO37" si="164">DN40</f>
        <v>50000000</v>
      </c>
      <c r="DP37" s="888">
        <f t="shared" ref="DP37" si="165">DO40</f>
        <v>50000000</v>
      </c>
      <c r="DQ37" s="888">
        <f t="shared" ref="DQ37" si="166">DP40</f>
        <v>50000000</v>
      </c>
      <c r="DR37" s="888">
        <f t="shared" ref="DR37" si="167">DQ40</f>
        <v>50000000</v>
      </c>
      <c r="DS37" s="888">
        <f t="shared" ref="DS37" si="168">DR40</f>
        <v>50000000</v>
      </c>
      <c r="DT37" s="888">
        <f t="shared" ref="DT37" si="169">DS40</f>
        <v>50000000</v>
      </c>
      <c r="DU37" s="888">
        <f t="shared" ref="DU37" si="170">DT40</f>
        <v>50000000</v>
      </c>
      <c r="DV37" s="888">
        <f t="shared" ref="DV37" si="171">DU40</f>
        <v>50000000</v>
      </c>
      <c r="DW37" s="888">
        <f t="shared" ref="DW37" si="172">DV40</f>
        <v>50000000</v>
      </c>
      <c r="DX37" s="888">
        <f t="shared" ref="DX37" si="173">DW40</f>
        <v>50000000</v>
      </c>
      <c r="DY37" s="888">
        <f t="shared" ref="DY37" si="174">DX40</f>
        <v>50000000</v>
      </c>
      <c r="DZ37" s="888">
        <f t="shared" ref="DZ37" si="175">DY40</f>
        <v>50000000</v>
      </c>
      <c r="EA37" s="888">
        <f t="shared" ref="EA37" si="176">DZ40</f>
        <v>50000000</v>
      </c>
      <c r="EB37" s="888">
        <f t="shared" ref="EB37" si="177">EA40</f>
        <v>50000000</v>
      </c>
      <c r="EC37" s="888">
        <f t="shared" ref="EC37" si="178">EB40</f>
        <v>0</v>
      </c>
      <c r="ED37" s="888">
        <f t="shared" ref="ED37" si="179">EC40</f>
        <v>0</v>
      </c>
      <c r="EE37" s="888">
        <f t="shared" ref="EE37" si="180">ED40</f>
        <v>0</v>
      </c>
      <c r="EF37" s="888">
        <f t="shared" ref="EF37" si="181">EE40</f>
        <v>0</v>
      </c>
      <c r="EG37" s="888">
        <f t="shared" ref="EG37" si="182">EF40</f>
        <v>0</v>
      </c>
      <c r="EH37" s="888">
        <f t="shared" ref="EH37" si="183">EG40</f>
        <v>0</v>
      </c>
      <c r="EI37" s="888">
        <f t="shared" ref="EI37" si="184">EH40</f>
        <v>0</v>
      </c>
      <c r="EJ37" s="888">
        <f t="shared" ref="EJ37" si="185">EI40</f>
        <v>0</v>
      </c>
      <c r="EK37" s="888">
        <f t="shared" ref="EK37" si="186">EJ40</f>
        <v>0</v>
      </c>
      <c r="EL37" s="888">
        <f t="shared" ref="EL37" si="187">EK40</f>
        <v>0</v>
      </c>
      <c r="EM37" s="888">
        <f t="shared" ref="EM37" si="188">EL40</f>
        <v>0</v>
      </c>
      <c r="EN37" s="888">
        <f t="shared" ref="EN37" si="189">EM40</f>
        <v>0</v>
      </c>
      <c r="EO37" s="888">
        <f t="shared" ref="EO37" si="190">EN40</f>
        <v>0</v>
      </c>
      <c r="EP37" s="888">
        <f t="shared" ref="EP37" si="191">EO40</f>
        <v>0</v>
      </c>
      <c r="EQ37" s="888">
        <f t="shared" ref="EQ37" si="192">EP40</f>
        <v>0</v>
      </c>
    </row>
    <row r="38" spans="2:147" ht="13.35" customHeight="1">
      <c r="B38" s="218"/>
      <c r="C38" s="163"/>
      <c r="D38" s="66" t="s">
        <v>218</v>
      </c>
      <c r="F38" s="90">
        <f>간주취득세!$D$25*1000</f>
        <v>16000000</v>
      </c>
      <c r="G38" s="1032"/>
      <c r="H38" s="1039">
        <f>H26</f>
        <v>46691</v>
      </c>
      <c r="I38" s="3297">
        <f>'A&amp;R'!P42-F38</f>
        <v>34000000</v>
      </c>
      <c r="J38" s="171">
        <f>SUM(L38:EQ38)</f>
        <v>50000000</v>
      </c>
      <c r="K38" s="98"/>
      <c r="L38" s="171">
        <f>$I38*(L$5=$H$38)+$F38*(L$5='A&amp;R'!$D$37)</f>
        <v>16000000</v>
      </c>
      <c r="M38" s="171">
        <f>$I38*(M$5=$H$38)+$F38*(M$5='A&amp;R'!$D$37)</f>
        <v>0</v>
      </c>
      <c r="N38" s="171">
        <f>$I38*(N$5=$H$38)+$F38*(N$5='A&amp;R'!$D$37)</f>
        <v>0</v>
      </c>
      <c r="O38" s="171">
        <f>$I38*(O$5=$H$38)+$F38*(O$5='A&amp;R'!$D$37)</f>
        <v>0</v>
      </c>
      <c r="P38" s="171">
        <f>$I38*(P$5=$H$38)+$F38*(P$5='A&amp;R'!$D$37)</f>
        <v>0</v>
      </c>
      <c r="Q38" s="171">
        <f>$I38*(Q$5=$H$38)+$F38*(Q$5='A&amp;R'!$D$37)</f>
        <v>0</v>
      </c>
      <c r="R38" s="171">
        <f>$I38*(R$5=$H$38)+$F38*(R$5='A&amp;R'!$D$37)</f>
        <v>0</v>
      </c>
      <c r="S38" s="171">
        <f>$I38*(S$5=$H$38)+$F38*(S$5='A&amp;R'!$D$37)</f>
        <v>0</v>
      </c>
      <c r="T38" s="171">
        <f>$I38*(T$5=$H$38)+$F38*(T$5='A&amp;R'!$D$37)</f>
        <v>0</v>
      </c>
      <c r="U38" s="171">
        <f>$I38*(U$5=$H$38)+$F38*(U$5='A&amp;R'!$D$37)</f>
        <v>0</v>
      </c>
      <c r="V38" s="171">
        <f>$I38*(V$5=$H$38)+$F38*(V$5='A&amp;R'!$D$37)</f>
        <v>0</v>
      </c>
      <c r="W38" s="171">
        <f>$I38*(W$5=$H$38)+$F38*(W$5='A&amp;R'!$D$37)</f>
        <v>0</v>
      </c>
      <c r="X38" s="171">
        <f>$I38*(X$5=$H$38)+$F38*(X$5='A&amp;R'!$D$37)</f>
        <v>34000000</v>
      </c>
      <c r="Y38" s="171">
        <f>$I38*(Y$5=$H$38)+$F38*(Y$5='A&amp;R'!$D$37)</f>
        <v>0</v>
      </c>
      <c r="Z38" s="171">
        <f>$I38*(Z$5=$H$38)+$F38*(Z$5='A&amp;R'!$D$37)</f>
        <v>0</v>
      </c>
      <c r="AA38" s="171">
        <f>$I38*(AA$5=$H$38)+$F38*(AA$5='A&amp;R'!$D$37)</f>
        <v>0</v>
      </c>
      <c r="AB38" s="171">
        <f>$I38*(AB$5=$H$38)+$F38*(AB$5='A&amp;R'!$D$37)</f>
        <v>0</v>
      </c>
      <c r="AC38" s="171">
        <f>$I38*(AC$5=$H$38)+$F38*(AC$5='A&amp;R'!$D$37)</f>
        <v>0</v>
      </c>
      <c r="AD38" s="171">
        <f>$I38*(AD$5=$H$38)+$F38*(AD$5='A&amp;R'!$D$37)</f>
        <v>0</v>
      </c>
      <c r="AE38" s="171">
        <f>$I38*(AE$5=$H$38)+$F38*(AE$5='A&amp;R'!$D$37)</f>
        <v>0</v>
      </c>
      <c r="AF38" s="171">
        <f>$I38*(AF$5=$H$38)+$F38*(AF$5='A&amp;R'!$D$37)</f>
        <v>0</v>
      </c>
      <c r="AG38" s="171">
        <f>$I38*(AG$5=$H$38)+$F38*(AG$5='A&amp;R'!$D$37)</f>
        <v>0</v>
      </c>
      <c r="AH38" s="171">
        <f>$I38*(AH$5=$H$38)+$F38*(AH$5='A&amp;R'!$D$37)</f>
        <v>0</v>
      </c>
      <c r="AI38" s="171">
        <f>$I38*(AI$5=$H$38)+$F38*(AI$5='A&amp;R'!$D$37)</f>
        <v>0</v>
      </c>
      <c r="AJ38" s="171">
        <f>$I38*(AJ$5=$H$38)+$F38*(AJ$5='A&amp;R'!$D$37)</f>
        <v>0</v>
      </c>
      <c r="AK38" s="171">
        <f>$I38*(AK$5=$H$38)+$F38*(AK$5='A&amp;R'!$D$37)</f>
        <v>0</v>
      </c>
      <c r="AL38" s="171">
        <f>$I38*(AL$5=$H$38)+$F38*(AL$5='A&amp;R'!$D$37)</f>
        <v>0</v>
      </c>
      <c r="AM38" s="171">
        <f>$I38*(AM$5=$H$38)+$F38*(AM$5='A&amp;R'!$D$37)</f>
        <v>0</v>
      </c>
      <c r="AN38" s="171">
        <f>$I38*(AN$5=$H$38)+$F38*(AN$5='A&amp;R'!$D$37)</f>
        <v>0</v>
      </c>
      <c r="AO38" s="171">
        <f>$I38*(AO$5=$H$38)+$F38*(AO$5='A&amp;R'!$D$37)</f>
        <v>0</v>
      </c>
      <c r="AP38" s="171">
        <f>$I38*(AP$5=$H$38)+$F38*(AP$5='A&amp;R'!$D$37)</f>
        <v>0</v>
      </c>
      <c r="AQ38" s="171">
        <f>$I38*(AQ$5=$H$38)+$F38*(AQ$5='A&amp;R'!$D$37)</f>
        <v>0</v>
      </c>
      <c r="AR38" s="171">
        <f>$I38*(AR$5=$H$38)+$F38*(AR$5='A&amp;R'!$D$37)</f>
        <v>0</v>
      </c>
      <c r="AS38" s="171">
        <f>$I38*(AS$5=$H$38)+$F38*(AS$5='A&amp;R'!$D$37)</f>
        <v>0</v>
      </c>
      <c r="AT38" s="171">
        <f>$I38*(AT$5=$H$38)+$F38*(AT$5='A&amp;R'!$D$37)</f>
        <v>0</v>
      </c>
      <c r="AU38" s="171">
        <f>$I38*(AU$5=$H$38)+$F38*(AU$5='A&amp;R'!$D$37)</f>
        <v>0</v>
      </c>
      <c r="AV38" s="171">
        <f>$I38*(AV$5=$H$38)+$F38*(AV$5='A&amp;R'!$D$37)</f>
        <v>0</v>
      </c>
      <c r="AW38" s="171">
        <f>$I38*(AW$5=$H$38)+$F38*(AW$5='A&amp;R'!$D$37)</f>
        <v>0</v>
      </c>
      <c r="AX38" s="171">
        <f>$I38*(AX$5=$H$38)+$F38*(AX$5='A&amp;R'!$D$37)</f>
        <v>0</v>
      </c>
      <c r="AY38" s="171">
        <f>$I38*(AY$5=$H$38)+$F38*(AY$5='A&amp;R'!$D$37)</f>
        <v>0</v>
      </c>
      <c r="AZ38" s="171">
        <f>$I38*(AZ$5=$H$38)+$F38*(AZ$5='A&amp;R'!$D$37)</f>
        <v>0</v>
      </c>
      <c r="BA38" s="171">
        <f>$I38*(BA$5=$H$38)+$F38*(BA$5='A&amp;R'!$D$37)</f>
        <v>0</v>
      </c>
      <c r="BB38" s="171">
        <f>$I38*(BB$5=$H$38)+$F38*(BB$5='A&amp;R'!$D$37)</f>
        <v>0</v>
      </c>
      <c r="BC38" s="171">
        <f>$I38*(BC$5=$H$38)+$F38*(BC$5='A&amp;R'!$D$37)</f>
        <v>0</v>
      </c>
      <c r="BD38" s="171">
        <f>$I38*(BD$5=$H$38)+$F38*(BD$5='A&amp;R'!$D$37)</f>
        <v>0</v>
      </c>
      <c r="BE38" s="171">
        <f>$I38*(BE$5=$H$38)+$F38*(BE$5='A&amp;R'!$D$37)</f>
        <v>0</v>
      </c>
      <c r="BF38" s="171">
        <f>$I38*(BF$5=$H$38)+$F38*(BF$5='A&amp;R'!$D$37)</f>
        <v>0</v>
      </c>
      <c r="BG38" s="171">
        <f>$I38*(BG$5=$H$38)+$F38*(BG$5='A&amp;R'!$D$37)</f>
        <v>0</v>
      </c>
      <c r="BH38" s="171">
        <f>$I38*(BH$5=$H$38)+$F38*(BH$5='A&amp;R'!$D$37)</f>
        <v>0</v>
      </c>
      <c r="BI38" s="171">
        <f>$I38*(BI$5=$H$38)+$F38*(BI$5='A&amp;R'!$D$37)</f>
        <v>0</v>
      </c>
      <c r="BJ38" s="171">
        <f>$I38*(BJ$5=$H$38)+$F38*(BJ$5='A&amp;R'!$D$37)</f>
        <v>0</v>
      </c>
      <c r="BK38" s="171">
        <f>$I38*(BK$5=$H$38)+$F38*(BK$5='A&amp;R'!$D$37)</f>
        <v>0</v>
      </c>
      <c r="BL38" s="171">
        <f>$I38*(BL$5=$H$38)+$F38*(BL$5='A&amp;R'!$D$37)</f>
        <v>0</v>
      </c>
      <c r="BM38" s="171">
        <f>$I38*(BM$5=$H$38)+$F38*(BM$5='A&amp;R'!$D$37)</f>
        <v>0</v>
      </c>
      <c r="BN38" s="171">
        <f>$I38*(BN$5=$H$38)+$F38*(BN$5='A&amp;R'!$D$37)</f>
        <v>0</v>
      </c>
      <c r="BO38" s="171">
        <f>$I38*(BO$5=$H$38)+$F38*(BO$5='A&amp;R'!$D$37)</f>
        <v>0</v>
      </c>
      <c r="BP38" s="171">
        <f>$I38*(BP$5=$H$38)+$F38*(BP$5='A&amp;R'!$D$37)</f>
        <v>0</v>
      </c>
      <c r="BQ38" s="171">
        <f>$I38*(BQ$5=$H$38)+$F38*(BQ$5='A&amp;R'!$D$37)</f>
        <v>0</v>
      </c>
      <c r="BR38" s="171">
        <f>$I38*(BR$5=$H$38)+$F38*(BR$5='A&amp;R'!$D$37)</f>
        <v>0</v>
      </c>
      <c r="BS38" s="171">
        <f>$I38*(BS$5=$H$38)+$F38*(BS$5='A&amp;R'!$D$37)</f>
        <v>0</v>
      </c>
      <c r="BT38" s="171">
        <f>$I38*(BT$5=$H$38)+$F38*(BT$5='A&amp;R'!$D$37)</f>
        <v>0</v>
      </c>
      <c r="BU38" s="171">
        <f>$I38*(BU$5=$H$38)+$F38*(BU$5='A&amp;R'!$D$37)</f>
        <v>0</v>
      </c>
      <c r="BV38" s="171">
        <f>$I38*(BV$5=$H$38)+$F38*(BV$5='A&amp;R'!$D$37)</f>
        <v>0</v>
      </c>
      <c r="BW38" s="171">
        <f>$I38*(BW$5=$H$38)+$F38*(BW$5='A&amp;R'!$D$37)</f>
        <v>0</v>
      </c>
      <c r="BX38" s="171">
        <f>$I38*(BX$5=$H$38)+$F38*(BX$5='A&amp;R'!$D$37)</f>
        <v>0</v>
      </c>
      <c r="BY38" s="171">
        <f>$I38*(BY$5=$H$38)+$F38*(BY$5='A&amp;R'!$D$37)</f>
        <v>0</v>
      </c>
      <c r="BZ38" s="171">
        <f>$I38*(BZ$5=$H$38)+$F38*(BZ$5='A&amp;R'!$D$37)</f>
        <v>0</v>
      </c>
      <c r="CA38" s="171">
        <f>$I38*(CA$5=$H$38)+$F38*(CA$5='A&amp;R'!$D$37)</f>
        <v>0</v>
      </c>
      <c r="CB38" s="171">
        <f>$I38*(CB$5=$H$38)+$F38*(CB$5='A&amp;R'!$D$37)</f>
        <v>0</v>
      </c>
      <c r="CC38" s="171">
        <f>$I38*(CC$5=$H$38)+$F38*(CC$5='A&amp;R'!$D$37)</f>
        <v>0</v>
      </c>
      <c r="CD38" s="171">
        <f>$I38*(CD$5=$H$38)+$F38*(CD$5='A&amp;R'!$D$37)</f>
        <v>0</v>
      </c>
      <c r="CE38" s="171">
        <f>$I38*(CE$5=$H$38)+$F38*(CE$5='A&amp;R'!$D$37)</f>
        <v>0</v>
      </c>
      <c r="CF38" s="171">
        <f>$I38*(CF$5=$H$38)+$F38*(CF$5='A&amp;R'!$D$37)</f>
        <v>0</v>
      </c>
      <c r="CG38" s="171">
        <f>$I38*(CG$5=$H$38)+$F38*(CG$5='A&amp;R'!$D$37)</f>
        <v>0</v>
      </c>
      <c r="CH38" s="171">
        <f>$I38*(CH$5=$H$38)+$F38*(CH$5='A&amp;R'!$D$37)</f>
        <v>0</v>
      </c>
      <c r="CI38" s="171">
        <f>$I38*(CI$5=$H$38)+$F38*(CI$5='A&amp;R'!$D$37)</f>
        <v>0</v>
      </c>
      <c r="CJ38" s="171">
        <f>$I38*(CJ$5=$H$38)+$F38*(CJ$5='A&amp;R'!$D$37)</f>
        <v>0</v>
      </c>
      <c r="CK38" s="171">
        <f>$I38*(CK$5=$H$38)+$F38*(CK$5='A&amp;R'!$D$37)</f>
        <v>0</v>
      </c>
      <c r="CL38" s="171">
        <f>$I38*(CL$5=$H$38)+$F38*(CL$5='A&amp;R'!$D$37)</f>
        <v>0</v>
      </c>
      <c r="CM38" s="171">
        <f>$I38*(CM$5=$H$38)+$F38*(CM$5='A&amp;R'!$D$37)</f>
        <v>0</v>
      </c>
      <c r="CN38" s="171">
        <f>$I38*(CN$5=$H$38)+$F38*(CN$5='A&amp;R'!$D$37)</f>
        <v>0</v>
      </c>
      <c r="CO38" s="171">
        <f>$I38*(CO$5=$H$38)+$F38*(CO$5='A&amp;R'!$D$37)</f>
        <v>0</v>
      </c>
      <c r="CP38" s="171">
        <f>$I38*(CP$5=$H$38)+$F38*(CP$5='A&amp;R'!$D$37)</f>
        <v>0</v>
      </c>
      <c r="CQ38" s="171">
        <f>$I38*(CQ$5=$H$38)+$F38*(CQ$5='A&amp;R'!$D$37)</f>
        <v>0</v>
      </c>
      <c r="CR38" s="171">
        <f>$I38*(CR$5=$H$38)+$F38*(CR$5='A&amp;R'!$D$37)</f>
        <v>0</v>
      </c>
      <c r="CS38" s="171">
        <f>$I38*(CS$5=$H$38)+$F38*(CS$5='A&amp;R'!$D$37)</f>
        <v>0</v>
      </c>
      <c r="CT38" s="171">
        <f>$I38*(CT$5=$H$38)+$F38*(CT$5='A&amp;R'!$D$37)</f>
        <v>0</v>
      </c>
      <c r="CU38" s="171">
        <f>$I38*(CU$5=$H$38)+$F38*(CU$5='A&amp;R'!$D$37)</f>
        <v>0</v>
      </c>
      <c r="CV38" s="171">
        <f>$I38*(CV$5=$H$38)+$F38*(CV$5='A&amp;R'!$D$37)</f>
        <v>0</v>
      </c>
      <c r="CW38" s="171">
        <f>$I38*(CW$5=$H$38)+$F38*(CW$5='A&amp;R'!$D$37)</f>
        <v>0</v>
      </c>
      <c r="CX38" s="171">
        <f>$I38*(CX$5=$H$38)+$F38*(CX$5='A&amp;R'!$D$37)</f>
        <v>0</v>
      </c>
      <c r="CY38" s="171">
        <f>$I38*(CY$5=$H$38)+$F38*(CY$5='A&amp;R'!$D$37)</f>
        <v>0</v>
      </c>
      <c r="CZ38" s="171">
        <f>$I38*(CZ$5=$H$38)+$F38*(CZ$5='A&amp;R'!$D$37)</f>
        <v>0</v>
      </c>
      <c r="DA38" s="171">
        <f>$I38*(DA$5=$H$38)+$F38*(DA$5='A&amp;R'!$D$37)</f>
        <v>0</v>
      </c>
      <c r="DB38" s="171">
        <f>$I38*(DB$5=$H$38)+$F38*(DB$5='A&amp;R'!$D$37)</f>
        <v>0</v>
      </c>
      <c r="DC38" s="171">
        <f>$I38*(DC$5=$H$38)+$F38*(DC$5='A&amp;R'!$D$37)</f>
        <v>0</v>
      </c>
      <c r="DD38" s="171">
        <f>$I38*(DD$5=$H$38)+$F38*(DD$5='A&amp;R'!$D$37)</f>
        <v>0</v>
      </c>
      <c r="DE38" s="171">
        <f>$I38*(DE$5=$H$38)+$F38*(DE$5='A&amp;R'!$D$37)</f>
        <v>0</v>
      </c>
      <c r="DF38" s="171">
        <f>$I38*(DF$5=$H$38)+$F38*(DF$5='A&amp;R'!$D$37)</f>
        <v>0</v>
      </c>
      <c r="DG38" s="171">
        <f>$I38*(DG$5=$H$38)+$F38*(DG$5='A&amp;R'!$D$37)</f>
        <v>0</v>
      </c>
      <c r="DH38" s="171">
        <f>$I38*(DH$5=$H$38)+$F38*(DH$5='A&amp;R'!$D$37)</f>
        <v>0</v>
      </c>
      <c r="DI38" s="171">
        <f>$I38*(DI$5=$H$38)+$F38*(DI$5='A&amp;R'!$D$37)</f>
        <v>0</v>
      </c>
      <c r="DJ38" s="171">
        <f>$I38*(DJ$5=$H$38)+$F38*(DJ$5='A&amp;R'!$D$37)</f>
        <v>0</v>
      </c>
      <c r="DK38" s="171">
        <f>$I38*(DK$5=$H$38)+$F38*(DK$5='A&amp;R'!$D$37)</f>
        <v>0</v>
      </c>
      <c r="DL38" s="171">
        <f>$I38*(DL$5=$H$38)+$F38*(DL$5='A&amp;R'!$D$37)</f>
        <v>0</v>
      </c>
      <c r="DM38" s="171">
        <f>$I38*(DM$5=$H$38)+$F38*(DM$5='A&amp;R'!$D$37)</f>
        <v>0</v>
      </c>
      <c r="DN38" s="171">
        <f>$I38*(DN$5=$H$38)+$F38*(DN$5='A&amp;R'!$D$37)</f>
        <v>0</v>
      </c>
      <c r="DO38" s="171">
        <f>$I38*(DO$5=$H$38)+$F38*(DO$5='A&amp;R'!$D$37)</f>
        <v>0</v>
      </c>
      <c r="DP38" s="171">
        <f>$I38*(DP$5=$H$38)+$F38*(DP$5='A&amp;R'!$D$37)</f>
        <v>0</v>
      </c>
      <c r="DQ38" s="171">
        <f>$I38*(DQ$5=$H$38)+$F38*(DQ$5='A&amp;R'!$D$37)</f>
        <v>0</v>
      </c>
      <c r="DR38" s="171">
        <f>$I38*(DR$5=$H$38)+$F38*(DR$5='A&amp;R'!$D$37)</f>
        <v>0</v>
      </c>
      <c r="DS38" s="171">
        <f>$I38*(DS$5=$H$38)+$F38*(DS$5='A&amp;R'!$D$37)</f>
        <v>0</v>
      </c>
      <c r="DT38" s="171">
        <f>$I38*(DT$5=$H$38)+$F38*(DT$5='A&amp;R'!$D$37)</f>
        <v>0</v>
      </c>
      <c r="DU38" s="171">
        <f>$I38*(DU$5=$H$38)+$F38*(DU$5='A&amp;R'!$D$37)</f>
        <v>0</v>
      </c>
      <c r="DV38" s="171">
        <f>$I38*(DV$5=$H$38)+$F38*(DV$5='A&amp;R'!$D$37)</f>
        <v>0</v>
      </c>
      <c r="DW38" s="171">
        <f>$I38*(DW$5=$H$38)+$F38*(DW$5='A&amp;R'!$D$37)</f>
        <v>0</v>
      </c>
      <c r="DX38" s="171">
        <f>$I38*(DX$5=$H$38)+$F38*(DX$5='A&amp;R'!$D$37)</f>
        <v>0</v>
      </c>
      <c r="DY38" s="171">
        <f>$I38*(DY$5=$H$38)+$F38*(DY$5='A&amp;R'!$D$37)</f>
        <v>0</v>
      </c>
      <c r="DZ38" s="171">
        <f>$I38*(DZ$5=$H$38)+$F38*(DZ$5='A&amp;R'!$D$37)</f>
        <v>0</v>
      </c>
      <c r="EA38" s="171">
        <f>$I38*(EA$5=$H$38)+$F38*(EA$5='A&amp;R'!$D$37)</f>
        <v>0</v>
      </c>
      <c r="EB38" s="171">
        <f>$I38*(EB$5=$H$38)+$F38*(EB$5='A&amp;R'!$D$37)</f>
        <v>0</v>
      </c>
      <c r="EC38" s="171">
        <f>$I38*(EC$5=$H$38)+$F38*(EC$5='A&amp;R'!$D$37)</f>
        <v>0</v>
      </c>
      <c r="ED38" s="171">
        <f>$I38*(ED$5=$H$38)+$F38*(ED$5='A&amp;R'!$D$37)</f>
        <v>0</v>
      </c>
      <c r="EE38" s="171">
        <f>$I38*(EE$5=$H$38)+$F38*(EE$5='A&amp;R'!$D$37)</f>
        <v>0</v>
      </c>
      <c r="EF38" s="171">
        <f>$I38*(EF$5=$H$38)+$F38*(EF$5='A&amp;R'!$D$37)</f>
        <v>0</v>
      </c>
      <c r="EG38" s="171">
        <f>$I38*(EG$5=$H$38)+$F38*(EG$5='A&amp;R'!$D$37)</f>
        <v>0</v>
      </c>
      <c r="EH38" s="171">
        <f>$I38*(EH$5=$H$38)+$F38*(EH$5='A&amp;R'!$D$37)</f>
        <v>0</v>
      </c>
      <c r="EI38" s="171">
        <f>$I38*(EI$5=$H$38)+$F38*(EI$5='A&amp;R'!$D$37)</f>
        <v>0</v>
      </c>
      <c r="EJ38" s="171">
        <f>$I38*(EJ$5=$H$38)+$F38*(EJ$5='A&amp;R'!$D$37)</f>
        <v>0</v>
      </c>
      <c r="EK38" s="171">
        <f>$I38*(EK$5=$H$38)+$F38*(EK$5='A&amp;R'!$D$37)</f>
        <v>0</v>
      </c>
      <c r="EL38" s="171">
        <f>$I38*(EL$5=$H$38)+$F38*(EL$5='A&amp;R'!$D$37)</f>
        <v>0</v>
      </c>
      <c r="EM38" s="171">
        <f>$I38*(EM$5=$H$38)+$F38*(EM$5='A&amp;R'!$D$37)</f>
        <v>0</v>
      </c>
      <c r="EN38" s="171">
        <f>$I38*(EN$5=$H$38)+$F38*(EN$5='A&amp;R'!$D$37)</f>
        <v>0</v>
      </c>
      <c r="EO38" s="171">
        <f>$I38*(EO$5=$H$38)+$F38*(EO$5='A&amp;R'!$D$37)</f>
        <v>0</v>
      </c>
      <c r="EP38" s="171">
        <f>$I38*(EP$5=$H$38)+$F38*(EP$5='A&amp;R'!$D$37)</f>
        <v>0</v>
      </c>
      <c r="EQ38" s="171">
        <f>$I38*(EQ$5=$H$38)+$F38*(EQ$5='A&amp;R'!$D$37)</f>
        <v>0</v>
      </c>
    </row>
    <row r="39" spans="2:147" ht="13.35" customHeight="1">
      <c r="B39" s="218"/>
      <c r="C39" s="163"/>
      <c r="D39" s="66" t="s">
        <v>219</v>
      </c>
      <c r="G39" s="1032"/>
      <c r="H39" s="1039">
        <f>'A&amp;R'!$E$39</f>
        <v>49979</v>
      </c>
      <c r="I39" s="1022"/>
      <c r="J39" s="171">
        <f>SUM(L39:EQ39)</f>
        <v>50000000</v>
      </c>
      <c r="K39" s="98"/>
      <c r="L39" s="171">
        <f>SUM(L37:L38)*(L$5=$H39)</f>
        <v>0</v>
      </c>
      <c r="M39" s="171">
        <f t="shared" ref="M39:BX39" si="193">SUM(M37:M38)*(M$5=$H39)</f>
        <v>0</v>
      </c>
      <c r="N39" s="171">
        <f t="shared" si="193"/>
        <v>0</v>
      </c>
      <c r="O39" s="171">
        <f t="shared" si="193"/>
        <v>0</v>
      </c>
      <c r="P39" s="171">
        <f t="shared" si="193"/>
        <v>0</v>
      </c>
      <c r="Q39" s="171">
        <f t="shared" si="193"/>
        <v>0</v>
      </c>
      <c r="R39" s="171">
        <f t="shared" si="193"/>
        <v>0</v>
      </c>
      <c r="S39" s="171">
        <f t="shared" si="193"/>
        <v>0</v>
      </c>
      <c r="T39" s="171">
        <f t="shared" si="193"/>
        <v>0</v>
      </c>
      <c r="U39" s="171">
        <f t="shared" si="193"/>
        <v>0</v>
      </c>
      <c r="V39" s="171">
        <f t="shared" si="193"/>
        <v>0</v>
      </c>
      <c r="W39" s="171">
        <f t="shared" si="193"/>
        <v>0</v>
      </c>
      <c r="X39" s="171">
        <f t="shared" si="193"/>
        <v>0</v>
      </c>
      <c r="Y39" s="171">
        <f t="shared" si="193"/>
        <v>0</v>
      </c>
      <c r="Z39" s="171">
        <f t="shared" si="193"/>
        <v>0</v>
      </c>
      <c r="AA39" s="171">
        <f t="shared" si="193"/>
        <v>0</v>
      </c>
      <c r="AB39" s="171">
        <f t="shared" si="193"/>
        <v>0</v>
      </c>
      <c r="AC39" s="171">
        <f t="shared" si="193"/>
        <v>0</v>
      </c>
      <c r="AD39" s="171">
        <f t="shared" si="193"/>
        <v>0</v>
      </c>
      <c r="AE39" s="171">
        <f t="shared" si="193"/>
        <v>0</v>
      </c>
      <c r="AF39" s="171">
        <f t="shared" si="193"/>
        <v>0</v>
      </c>
      <c r="AG39" s="171">
        <f t="shared" si="193"/>
        <v>0</v>
      </c>
      <c r="AH39" s="171">
        <f t="shared" si="193"/>
        <v>0</v>
      </c>
      <c r="AI39" s="171">
        <f t="shared" si="193"/>
        <v>0</v>
      </c>
      <c r="AJ39" s="171">
        <f t="shared" si="193"/>
        <v>0</v>
      </c>
      <c r="AK39" s="171">
        <f t="shared" si="193"/>
        <v>0</v>
      </c>
      <c r="AL39" s="171">
        <f t="shared" si="193"/>
        <v>0</v>
      </c>
      <c r="AM39" s="171">
        <f t="shared" si="193"/>
        <v>0</v>
      </c>
      <c r="AN39" s="171">
        <f t="shared" si="193"/>
        <v>0</v>
      </c>
      <c r="AO39" s="171">
        <f t="shared" si="193"/>
        <v>0</v>
      </c>
      <c r="AP39" s="171">
        <f t="shared" si="193"/>
        <v>0</v>
      </c>
      <c r="AQ39" s="171">
        <f t="shared" si="193"/>
        <v>0</v>
      </c>
      <c r="AR39" s="171">
        <f t="shared" si="193"/>
        <v>0</v>
      </c>
      <c r="AS39" s="171">
        <f t="shared" si="193"/>
        <v>0</v>
      </c>
      <c r="AT39" s="171">
        <f t="shared" si="193"/>
        <v>0</v>
      </c>
      <c r="AU39" s="171">
        <f t="shared" si="193"/>
        <v>0</v>
      </c>
      <c r="AV39" s="171">
        <f t="shared" si="193"/>
        <v>0</v>
      </c>
      <c r="AW39" s="171">
        <f t="shared" si="193"/>
        <v>0</v>
      </c>
      <c r="AX39" s="171">
        <f t="shared" si="193"/>
        <v>0</v>
      </c>
      <c r="AY39" s="171">
        <f t="shared" si="193"/>
        <v>0</v>
      </c>
      <c r="AZ39" s="171">
        <f t="shared" si="193"/>
        <v>0</v>
      </c>
      <c r="BA39" s="171">
        <f t="shared" si="193"/>
        <v>0</v>
      </c>
      <c r="BB39" s="171">
        <f t="shared" si="193"/>
        <v>0</v>
      </c>
      <c r="BC39" s="171">
        <f t="shared" si="193"/>
        <v>0</v>
      </c>
      <c r="BD39" s="171">
        <f t="shared" si="193"/>
        <v>0</v>
      </c>
      <c r="BE39" s="171">
        <f t="shared" si="193"/>
        <v>0</v>
      </c>
      <c r="BF39" s="171">
        <f t="shared" si="193"/>
        <v>0</v>
      </c>
      <c r="BG39" s="171">
        <f t="shared" si="193"/>
        <v>0</v>
      </c>
      <c r="BH39" s="171">
        <f t="shared" si="193"/>
        <v>0</v>
      </c>
      <c r="BI39" s="171">
        <f t="shared" si="193"/>
        <v>0</v>
      </c>
      <c r="BJ39" s="171">
        <f t="shared" si="193"/>
        <v>0</v>
      </c>
      <c r="BK39" s="171">
        <f t="shared" si="193"/>
        <v>0</v>
      </c>
      <c r="BL39" s="171">
        <f t="shared" si="193"/>
        <v>0</v>
      </c>
      <c r="BM39" s="171">
        <f t="shared" si="193"/>
        <v>0</v>
      </c>
      <c r="BN39" s="171">
        <f t="shared" si="193"/>
        <v>0</v>
      </c>
      <c r="BO39" s="171">
        <f t="shared" si="193"/>
        <v>0</v>
      </c>
      <c r="BP39" s="171">
        <f t="shared" si="193"/>
        <v>0</v>
      </c>
      <c r="BQ39" s="171">
        <f t="shared" si="193"/>
        <v>0</v>
      </c>
      <c r="BR39" s="171">
        <f t="shared" si="193"/>
        <v>0</v>
      </c>
      <c r="BS39" s="171">
        <f t="shared" si="193"/>
        <v>0</v>
      </c>
      <c r="BT39" s="171">
        <f t="shared" si="193"/>
        <v>0</v>
      </c>
      <c r="BU39" s="171">
        <f t="shared" si="193"/>
        <v>0</v>
      </c>
      <c r="BV39" s="171">
        <f t="shared" si="193"/>
        <v>0</v>
      </c>
      <c r="BW39" s="171">
        <f t="shared" si="193"/>
        <v>0</v>
      </c>
      <c r="BX39" s="171">
        <f t="shared" si="193"/>
        <v>0</v>
      </c>
      <c r="BY39" s="171">
        <f t="shared" ref="BY39:EJ39" si="194">SUM(BY37:BY38)*(BY$5=$H39)</f>
        <v>0</v>
      </c>
      <c r="BZ39" s="171">
        <f t="shared" si="194"/>
        <v>0</v>
      </c>
      <c r="CA39" s="171">
        <f t="shared" si="194"/>
        <v>0</v>
      </c>
      <c r="CB39" s="171">
        <f t="shared" si="194"/>
        <v>0</v>
      </c>
      <c r="CC39" s="171">
        <f t="shared" si="194"/>
        <v>0</v>
      </c>
      <c r="CD39" s="171">
        <f t="shared" si="194"/>
        <v>0</v>
      </c>
      <c r="CE39" s="171">
        <f t="shared" si="194"/>
        <v>0</v>
      </c>
      <c r="CF39" s="171">
        <f t="shared" si="194"/>
        <v>0</v>
      </c>
      <c r="CG39" s="171">
        <f t="shared" si="194"/>
        <v>0</v>
      </c>
      <c r="CH39" s="171">
        <f t="shared" si="194"/>
        <v>0</v>
      </c>
      <c r="CI39" s="171">
        <f t="shared" si="194"/>
        <v>0</v>
      </c>
      <c r="CJ39" s="171">
        <f t="shared" si="194"/>
        <v>0</v>
      </c>
      <c r="CK39" s="171">
        <f t="shared" si="194"/>
        <v>0</v>
      </c>
      <c r="CL39" s="171">
        <f t="shared" si="194"/>
        <v>0</v>
      </c>
      <c r="CM39" s="171">
        <f t="shared" si="194"/>
        <v>0</v>
      </c>
      <c r="CN39" s="171">
        <f t="shared" si="194"/>
        <v>0</v>
      </c>
      <c r="CO39" s="171">
        <f t="shared" si="194"/>
        <v>0</v>
      </c>
      <c r="CP39" s="171">
        <f t="shared" si="194"/>
        <v>0</v>
      </c>
      <c r="CQ39" s="171">
        <f t="shared" si="194"/>
        <v>0</v>
      </c>
      <c r="CR39" s="171">
        <f t="shared" si="194"/>
        <v>0</v>
      </c>
      <c r="CS39" s="171">
        <f t="shared" si="194"/>
        <v>0</v>
      </c>
      <c r="CT39" s="171">
        <f t="shared" si="194"/>
        <v>0</v>
      </c>
      <c r="CU39" s="171">
        <f t="shared" si="194"/>
        <v>0</v>
      </c>
      <c r="CV39" s="171">
        <f t="shared" si="194"/>
        <v>0</v>
      </c>
      <c r="CW39" s="171">
        <f t="shared" si="194"/>
        <v>0</v>
      </c>
      <c r="CX39" s="171">
        <f t="shared" si="194"/>
        <v>0</v>
      </c>
      <c r="CY39" s="171">
        <f t="shared" si="194"/>
        <v>0</v>
      </c>
      <c r="CZ39" s="171">
        <f t="shared" si="194"/>
        <v>0</v>
      </c>
      <c r="DA39" s="171">
        <f t="shared" si="194"/>
        <v>0</v>
      </c>
      <c r="DB39" s="171">
        <f t="shared" si="194"/>
        <v>0</v>
      </c>
      <c r="DC39" s="171">
        <f t="shared" si="194"/>
        <v>0</v>
      </c>
      <c r="DD39" s="171">
        <f t="shared" si="194"/>
        <v>0</v>
      </c>
      <c r="DE39" s="171">
        <f t="shared" si="194"/>
        <v>0</v>
      </c>
      <c r="DF39" s="171">
        <f t="shared" si="194"/>
        <v>0</v>
      </c>
      <c r="DG39" s="171">
        <f t="shared" si="194"/>
        <v>0</v>
      </c>
      <c r="DH39" s="171">
        <f t="shared" si="194"/>
        <v>0</v>
      </c>
      <c r="DI39" s="171">
        <f t="shared" si="194"/>
        <v>0</v>
      </c>
      <c r="DJ39" s="171">
        <f t="shared" si="194"/>
        <v>0</v>
      </c>
      <c r="DK39" s="171">
        <f t="shared" si="194"/>
        <v>0</v>
      </c>
      <c r="DL39" s="171">
        <f t="shared" si="194"/>
        <v>0</v>
      </c>
      <c r="DM39" s="171">
        <f t="shared" si="194"/>
        <v>0</v>
      </c>
      <c r="DN39" s="171">
        <f t="shared" si="194"/>
        <v>0</v>
      </c>
      <c r="DO39" s="171">
        <f t="shared" si="194"/>
        <v>0</v>
      </c>
      <c r="DP39" s="171">
        <f t="shared" si="194"/>
        <v>0</v>
      </c>
      <c r="DQ39" s="171">
        <f t="shared" si="194"/>
        <v>0</v>
      </c>
      <c r="DR39" s="171">
        <f t="shared" si="194"/>
        <v>0</v>
      </c>
      <c r="DS39" s="171">
        <f t="shared" si="194"/>
        <v>0</v>
      </c>
      <c r="DT39" s="171">
        <f t="shared" si="194"/>
        <v>0</v>
      </c>
      <c r="DU39" s="171">
        <f t="shared" si="194"/>
        <v>0</v>
      </c>
      <c r="DV39" s="171">
        <f t="shared" si="194"/>
        <v>0</v>
      </c>
      <c r="DW39" s="171">
        <f t="shared" si="194"/>
        <v>0</v>
      </c>
      <c r="DX39" s="171">
        <f t="shared" si="194"/>
        <v>0</v>
      </c>
      <c r="DY39" s="171">
        <f t="shared" si="194"/>
        <v>0</v>
      </c>
      <c r="DZ39" s="171">
        <f t="shared" si="194"/>
        <v>0</v>
      </c>
      <c r="EA39" s="171">
        <f t="shared" si="194"/>
        <v>0</v>
      </c>
      <c r="EB39" s="171">
        <f t="shared" si="194"/>
        <v>50000000</v>
      </c>
      <c r="EC39" s="171">
        <f t="shared" si="194"/>
        <v>0</v>
      </c>
      <c r="ED39" s="171">
        <f t="shared" si="194"/>
        <v>0</v>
      </c>
      <c r="EE39" s="171">
        <f t="shared" si="194"/>
        <v>0</v>
      </c>
      <c r="EF39" s="171">
        <f t="shared" si="194"/>
        <v>0</v>
      </c>
      <c r="EG39" s="171">
        <f t="shared" si="194"/>
        <v>0</v>
      </c>
      <c r="EH39" s="171">
        <f t="shared" si="194"/>
        <v>0</v>
      </c>
      <c r="EI39" s="171">
        <f t="shared" si="194"/>
        <v>0</v>
      </c>
      <c r="EJ39" s="171">
        <f t="shared" si="194"/>
        <v>0</v>
      </c>
      <c r="EK39" s="171">
        <f t="shared" ref="EK39:EQ39" si="195">SUM(EK37:EK38)*(EK$5=$H39)</f>
        <v>0</v>
      </c>
      <c r="EL39" s="171">
        <f t="shared" si="195"/>
        <v>0</v>
      </c>
      <c r="EM39" s="171">
        <f t="shared" si="195"/>
        <v>0</v>
      </c>
      <c r="EN39" s="171">
        <f t="shared" si="195"/>
        <v>0</v>
      </c>
      <c r="EO39" s="171">
        <f t="shared" si="195"/>
        <v>0</v>
      </c>
      <c r="EP39" s="171">
        <f t="shared" si="195"/>
        <v>0</v>
      </c>
      <c r="EQ39" s="171">
        <f t="shared" si="195"/>
        <v>0</v>
      </c>
    </row>
    <row r="40" spans="2:147" ht="13.35" customHeight="1">
      <c r="B40" s="218"/>
      <c r="C40" s="163"/>
      <c r="D40" s="1038" t="s">
        <v>220</v>
      </c>
      <c r="E40" s="175"/>
      <c r="F40" s="175"/>
      <c r="G40" s="1034"/>
      <c r="H40" s="1035"/>
      <c r="I40" s="1036"/>
      <c r="J40" s="177"/>
      <c r="K40" s="98"/>
      <c r="L40" s="184">
        <f>L37+L38-L39</f>
        <v>16000000</v>
      </c>
      <c r="M40" s="184">
        <f t="shared" ref="M40:BX40" si="196">M37+M38-M39</f>
        <v>16000000</v>
      </c>
      <c r="N40" s="184">
        <f t="shared" si="196"/>
        <v>16000000</v>
      </c>
      <c r="O40" s="184">
        <f t="shared" si="196"/>
        <v>16000000</v>
      </c>
      <c r="P40" s="184">
        <f t="shared" si="196"/>
        <v>16000000</v>
      </c>
      <c r="Q40" s="184">
        <f t="shared" si="196"/>
        <v>16000000</v>
      </c>
      <c r="R40" s="184">
        <f t="shared" si="196"/>
        <v>16000000</v>
      </c>
      <c r="S40" s="184">
        <f t="shared" si="196"/>
        <v>16000000</v>
      </c>
      <c r="T40" s="184">
        <f t="shared" si="196"/>
        <v>16000000</v>
      </c>
      <c r="U40" s="184">
        <f t="shared" si="196"/>
        <v>16000000</v>
      </c>
      <c r="V40" s="184">
        <f t="shared" si="196"/>
        <v>16000000</v>
      </c>
      <c r="W40" s="184">
        <f t="shared" si="196"/>
        <v>16000000</v>
      </c>
      <c r="X40" s="184">
        <f t="shared" si="196"/>
        <v>50000000</v>
      </c>
      <c r="Y40" s="184">
        <f t="shared" si="196"/>
        <v>50000000</v>
      </c>
      <c r="Z40" s="184">
        <f t="shared" si="196"/>
        <v>50000000</v>
      </c>
      <c r="AA40" s="184">
        <f t="shared" si="196"/>
        <v>50000000</v>
      </c>
      <c r="AB40" s="184">
        <f t="shared" si="196"/>
        <v>50000000</v>
      </c>
      <c r="AC40" s="184">
        <f t="shared" si="196"/>
        <v>50000000</v>
      </c>
      <c r="AD40" s="184">
        <f t="shared" si="196"/>
        <v>50000000</v>
      </c>
      <c r="AE40" s="184">
        <f t="shared" si="196"/>
        <v>50000000</v>
      </c>
      <c r="AF40" s="184">
        <f t="shared" si="196"/>
        <v>50000000</v>
      </c>
      <c r="AG40" s="184">
        <f t="shared" si="196"/>
        <v>50000000</v>
      </c>
      <c r="AH40" s="184">
        <f t="shared" si="196"/>
        <v>50000000</v>
      </c>
      <c r="AI40" s="184">
        <f t="shared" si="196"/>
        <v>50000000</v>
      </c>
      <c r="AJ40" s="184">
        <f t="shared" si="196"/>
        <v>50000000</v>
      </c>
      <c r="AK40" s="184">
        <f t="shared" si="196"/>
        <v>50000000</v>
      </c>
      <c r="AL40" s="184">
        <f t="shared" si="196"/>
        <v>50000000</v>
      </c>
      <c r="AM40" s="184">
        <f t="shared" si="196"/>
        <v>50000000</v>
      </c>
      <c r="AN40" s="184">
        <f t="shared" si="196"/>
        <v>50000000</v>
      </c>
      <c r="AO40" s="184">
        <f t="shared" si="196"/>
        <v>50000000</v>
      </c>
      <c r="AP40" s="184">
        <f t="shared" si="196"/>
        <v>50000000</v>
      </c>
      <c r="AQ40" s="184">
        <f t="shared" si="196"/>
        <v>50000000</v>
      </c>
      <c r="AR40" s="184">
        <f t="shared" si="196"/>
        <v>50000000</v>
      </c>
      <c r="AS40" s="184">
        <f t="shared" si="196"/>
        <v>50000000</v>
      </c>
      <c r="AT40" s="184">
        <f t="shared" si="196"/>
        <v>50000000</v>
      </c>
      <c r="AU40" s="184">
        <f t="shared" si="196"/>
        <v>50000000</v>
      </c>
      <c r="AV40" s="184">
        <f t="shared" si="196"/>
        <v>50000000</v>
      </c>
      <c r="AW40" s="184">
        <f t="shared" si="196"/>
        <v>50000000</v>
      </c>
      <c r="AX40" s="184">
        <f t="shared" si="196"/>
        <v>50000000</v>
      </c>
      <c r="AY40" s="184">
        <f t="shared" si="196"/>
        <v>50000000</v>
      </c>
      <c r="AZ40" s="184">
        <f t="shared" si="196"/>
        <v>50000000</v>
      </c>
      <c r="BA40" s="184">
        <f t="shared" si="196"/>
        <v>50000000</v>
      </c>
      <c r="BB40" s="184">
        <f t="shared" si="196"/>
        <v>50000000</v>
      </c>
      <c r="BC40" s="184">
        <f t="shared" si="196"/>
        <v>50000000</v>
      </c>
      <c r="BD40" s="184">
        <f t="shared" si="196"/>
        <v>50000000</v>
      </c>
      <c r="BE40" s="184">
        <f t="shared" si="196"/>
        <v>50000000</v>
      </c>
      <c r="BF40" s="184">
        <f t="shared" si="196"/>
        <v>50000000</v>
      </c>
      <c r="BG40" s="184">
        <f t="shared" si="196"/>
        <v>50000000</v>
      </c>
      <c r="BH40" s="184">
        <f t="shared" si="196"/>
        <v>50000000</v>
      </c>
      <c r="BI40" s="184">
        <f t="shared" si="196"/>
        <v>50000000</v>
      </c>
      <c r="BJ40" s="184">
        <f t="shared" si="196"/>
        <v>50000000</v>
      </c>
      <c r="BK40" s="184">
        <f t="shared" si="196"/>
        <v>50000000</v>
      </c>
      <c r="BL40" s="184">
        <f t="shared" si="196"/>
        <v>50000000</v>
      </c>
      <c r="BM40" s="184">
        <f t="shared" si="196"/>
        <v>50000000</v>
      </c>
      <c r="BN40" s="184">
        <f t="shared" si="196"/>
        <v>50000000</v>
      </c>
      <c r="BO40" s="184">
        <f t="shared" si="196"/>
        <v>50000000</v>
      </c>
      <c r="BP40" s="184">
        <f t="shared" si="196"/>
        <v>50000000</v>
      </c>
      <c r="BQ40" s="184">
        <f t="shared" si="196"/>
        <v>50000000</v>
      </c>
      <c r="BR40" s="184">
        <f t="shared" si="196"/>
        <v>50000000</v>
      </c>
      <c r="BS40" s="184">
        <f t="shared" si="196"/>
        <v>50000000</v>
      </c>
      <c r="BT40" s="184">
        <f t="shared" si="196"/>
        <v>50000000</v>
      </c>
      <c r="BU40" s="184">
        <f t="shared" si="196"/>
        <v>50000000</v>
      </c>
      <c r="BV40" s="184">
        <f t="shared" si="196"/>
        <v>50000000</v>
      </c>
      <c r="BW40" s="184">
        <f t="shared" si="196"/>
        <v>50000000</v>
      </c>
      <c r="BX40" s="184">
        <f t="shared" si="196"/>
        <v>50000000</v>
      </c>
      <c r="BY40" s="184">
        <f t="shared" ref="BY40:EJ40" si="197">BY37+BY38-BY39</f>
        <v>50000000</v>
      </c>
      <c r="BZ40" s="184">
        <f t="shared" si="197"/>
        <v>50000000</v>
      </c>
      <c r="CA40" s="184">
        <f t="shared" si="197"/>
        <v>50000000</v>
      </c>
      <c r="CB40" s="184">
        <f t="shared" si="197"/>
        <v>50000000</v>
      </c>
      <c r="CC40" s="184">
        <f t="shared" si="197"/>
        <v>50000000</v>
      </c>
      <c r="CD40" s="184">
        <f t="shared" si="197"/>
        <v>50000000</v>
      </c>
      <c r="CE40" s="184">
        <f t="shared" si="197"/>
        <v>50000000</v>
      </c>
      <c r="CF40" s="184">
        <f t="shared" si="197"/>
        <v>50000000</v>
      </c>
      <c r="CG40" s="184">
        <f t="shared" si="197"/>
        <v>50000000</v>
      </c>
      <c r="CH40" s="184">
        <f t="shared" si="197"/>
        <v>50000000</v>
      </c>
      <c r="CI40" s="184">
        <f t="shared" si="197"/>
        <v>50000000</v>
      </c>
      <c r="CJ40" s="184">
        <f t="shared" si="197"/>
        <v>50000000</v>
      </c>
      <c r="CK40" s="184">
        <f t="shared" si="197"/>
        <v>50000000</v>
      </c>
      <c r="CL40" s="184">
        <f t="shared" si="197"/>
        <v>50000000</v>
      </c>
      <c r="CM40" s="184">
        <f t="shared" si="197"/>
        <v>50000000</v>
      </c>
      <c r="CN40" s="184">
        <f t="shared" si="197"/>
        <v>50000000</v>
      </c>
      <c r="CO40" s="184">
        <f t="shared" si="197"/>
        <v>50000000</v>
      </c>
      <c r="CP40" s="184">
        <f t="shared" si="197"/>
        <v>50000000</v>
      </c>
      <c r="CQ40" s="184">
        <f t="shared" si="197"/>
        <v>50000000</v>
      </c>
      <c r="CR40" s="184">
        <f t="shared" si="197"/>
        <v>50000000</v>
      </c>
      <c r="CS40" s="184">
        <f t="shared" si="197"/>
        <v>50000000</v>
      </c>
      <c r="CT40" s="184">
        <f t="shared" si="197"/>
        <v>50000000</v>
      </c>
      <c r="CU40" s="184">
        <f t="shared" si="197"/>
        <v>50000000</v>
      </c>
      <c r="CV40" s="184">
        <f t="shared" si="197"/>
        <v>50000000</v>
      </c>
      <c r="CW40" s="184">
        <f t="shared" si="197"/>
        <v>50000000</v>
      </c>
      <c r="CX40" s="184">
        <f t="shared" si="197"/>
        <v>50000000</v>
      </c>
      <c r="CY40" s="184">
        <f t="shared" si="197"/>
        <v>50000000</v>
      </c>
      <c r="CZ40" s="184">
        <f t="shared" si="197"/>
        <v>50000000</v>
      </c>
      <c r="DA40" s="184">
        <f t="shared" si="197"/>
        <v>50000000</v>
      </c>
      <c r="DB40" s="184">
        <f t="shared" si="197"/>
        <v>50000000</v>
      </c>
      <c r="DC40" s="184">
        <f t="shared" si="197"/>
        <v>50000000</v>
      </c>
      <c r="DD40" s="184">
        <f t="shared" si="197"/>
        <v>50000000</v>
      </c>
      <c r="DE40" s="184">
        <f t="shared" si="197"/>
        <v>50000000</v>
      </c>
      <c r="DF40" s="184">
        <f t="shared" si="197"/>
        <v>50000000</v>
      </c>
      <c r="DG40" s="184">
        <f t="shared" si="197"/>
        <v>50000000</v>
      </c>
      <c r="DH40" s="184">
        <f t="shared" si="197"/>
        <v>50000000</v>
      </c>
      <c r="DI40" s="184">
        <f t="shared" si="197"/>
        <v>50000000</v>
      </c>
      <c r="DJ40" s="184">
        <f t="shared" si="197"/>
        <v>50000000</v>
      </c>
      <c r="DK40" s="184">
        <f t="shared" si="197"/>
        <v>50000000</v>
      </c>
      <c r="DL40" s="184">
        <f t="shared" si="197"/>
        <v>50000000</v>
      </c>
      <c r="DM40" s="184">
        <f t="shared" si="197"/>
        <v>50000000</v>
      </c>
      <c r="DN40" s="184">
        <f t="shared" si="197"/>
        <v>50000000</v>
      </c>
      <c r="DO40" s="184">
        <f t="shared" si="197"/>
        <v>50000000</v>
      </c>
      <c r="DP40" s="184">
        <f t="shared" si="197"/>
        <v>50000000</v>
      </c>
      <c r="DQ40" s="184">
        <f t="shared" si="197"/>
        <v>50000000</v>
      </c>
      <c r="DR40" s="184">
        <f t="shared" si="197"/>
        <v>50000000</v>
      </c>
      <c r="DS40" s="184">
        <f t="shared" si="197"/>
        <v>50000000</v>
      </c>
      <c r="DT40" s="184">
        <f t="shared" si="197"/>
        <v>50000000</v>
      </c>
      <c r="DU40" s="184">
        <f t="shared" si="197"/>
        <v>50000000</v>
      </c>
      <c r="DV40" s="184">
        <f t="shared" si="197"/>
        <v>50000000</v>
      </c>
      <c r="DW40" s="184">
        <f t="shared" si="197"/>
        <v>50000000</v>
      </c>
      <c r="DX40" s="184">
        <f t="shared" si="197"/>
        <v>50000000</v>
      </c>
      <c r="DY40" s="184">
        <f t="shared" si="197"/>
        <v>50000000</v>
      </c>
      <c r="DZ40" s="184">
        <f t="shared" si="197"/>
        <v>50000000</v>
      </c>
      <c r="EA40" s="184">
        <f t="shared" si="197"/>
        <v>50000000</v>
      </c>
      <c r="EB40" s="184">
        <f t="shared" si="197"/>
        <v>0</v>
      </c>
      <c r="EC40" s="184">
        <f t="shared" si="197"/>
        <v>0</v>
      </c>
      <c r="ED40" s="184">
        <f t="shared" si="197"/>
        <v>0</v>
      </c>
      <c r="EE40" s="184">
        <f t="shared" si="197"/>
        <v>0</v>
      </c>
      <c r="EF40" s="184">
        <f t="shared" si="197"/>
        <v>0</v>
      </c>
      <c r="EG40" s="184">
        <f t="shared" si="197"/>
        <v>0</v>
      </c>
      <c r="EH40" s="184">
        <f t="shared" si="197"/>
        <v>0</v>
      </c>
      <c r="EI40" s="184">
        <f t="shared" si="197"/>
        <v>0</v>
      </c>
      <c r="EJ40" s="184">
        <f t="shared" si="197"/>
        <v>0</v>
      </c>
      <c r="EK40" s="184">
        <f t="shared" ref="EK40:EQ40" si="198">EK37+EK38-EK39</f>
        <v>0</v>
      </c>
      <c r="EL40" s="184">
        <f t="shared" si="198"/>
        <v>0</v>
      </c>
      <c r="EM40" s="184">
        <f t="shared" si="198"/>
        <v>0</v>
      </c>
      <c r="EN40" s="184">
        <f t="shared" si="198"/>
        <v>0</v>
      </c>
      <c r="EO40" s="184">
        <f t="shared" si="198"/>
        <v>0</v>
      </c>
      <c r="EP40" s="184">
        <f t="shared" si="198"/>
        <v>0</v>
      </c>
      <c r="EQ40" s="184">
        <f t="shared" si="198"/>
        <v>0</v>
      </c>
    </row>
    <row r="41" spans="2:147" ht="13.35" customHeight="1">
      <c r="B41" s="218"/>
      <c r="C41" s="163"/>
      <c r="D41" s="66" t="s">
        <v>2653</v>
      </c>
      <c r="E41" s="3013"/>
      <c r="F41" s="3013"/>
      <c r="G41" s="3014"/>
      <c r="H41" s="3015"/>
      <c r="I41" s="3016"/>
      <c r="J41" s="171"/>
      <c r="K41" s="98"/>
      <c r="L41" s="3017"/>
      <c r="M41" s="3017"/>
      <c r="N41" s="3017"/>
      <c r="O41" s="3017"/>
      <c r="P41" s="3017"/>
      <c r="Q41" s="3017"/>
      <c r="R41" s="3017"/>
      <c r="S41" s="3017"/>
      <c r="T41" s="3017"/>
      <c r="U41" s="3017"/>
      <c r="V41" s="3017"/>
      <c r="W41" s="3017"/>
      <c r="X41" s="3017"/>
      <c r="Y41" s="3017"/>
      <c r="Z41" s="3017"/>
      <c r="AA41" s="3017"/>
      <c r="AB41" s="3017"/>
      <c r="AC41" s="3017"/>
      <c r="AD41" s="3017"/>
      <c r="AE41" s="3017"/>
      <c r="AF41" s="3017"/>
      <c r="AG41" s="3017"/>
      <c r="AH41" s="3017"/>
      <c r="AI41" s="3017"/>
      <c r="AJ41" s="3017"/>
      <c r="AK41" s="3017"/>
      <c r="AL41" s="3017"/>
      <c r="AM41" s="3017"/>
      <c r="AN41" s="3017"/>
      <c r="AO41" s="3017"/>
      <c r="AP41" s="3017"/>
      <c r="AQ41" s="3017"/>
      <c r="AR41" s="3017"/>
      <c r="AS41" s="3017"/>
      <c r="AT41" s="3017"/>
      <c r="AU41" s="3017"/>
      <c r="AV41" s="3017"/>
      <c r="AW41" s="3017"/>
      <c r="AX41" s="3017"/>
      <c r="AY41" s="3017"/>
      <c r="AZ41" s="3017"/>
      <c r="BA41" s="3017"/>
      <c r="BB41" s="3017"/>
      <c r="BC41" s="3017"/>
      <c r="BD41" s="3017"/>
      <c r="BE41" s="3017"/>
      <c r="BF41" s="3017"/>
      <c r="BG41" s="3017"/>
      <c r="BH41" s="3017"/>
      <c r="BI41" s="3017"/>
      <c r="BJ41" s="3017"/>
      <c r="BK41" s="3017"/>
      <c r="BL41" s="3017"/>
      <c r="BM41" s="3017"/>
      <c r="BN41" s="3017"/>
      <c r="BO41" s="3017"/>
      <c r="BP41" s="3017"/>
      <c r="BQ41" s="3017"/>
      <c r="BR41" s="3017"/>
      <c r="BS41" s="3017"/>
      <c r="BT41" s="3017"/>
      <c r="BU41" s="3017"/>
      <c r="BV41" s="3017"/>
      <c r="BW41" s="3017"/>
      <c r="BX41" s="3017"/>
      <c r="BY41" s="3017"/>
      <c r="BZ41" s="3017"/>
      <c r="CA41" s="3017"/>
      <c r="CB41" s="3017"/>
      <c r="CC41" s="3017"/>
      <c r="CD41" s="3017"/>
      <c r="CE41" s="3017"/>
      <c r="CF41" s="3017"/>
      <c r="CG41" s="3017"/>
      <c r="CH41" s="3017"/>
      <c r="CI41" s="3017"/>
      <c r="CJ41" s="3017"/>
      <c r="CK41" s="3017"/>
      <c r="CL41" s="3017"/>
      <c r="CM41" s="3017"/>
      <c r="CN41" s="3017"/>
      <c r="CO41" s="3017"/>
      <c r="CP41" s="3017"/>
      <c r="CQ41" s="3017"/>
      <c r="CR41" s="3017"/>
      <c r="CS41" s="3017"/>
      <c r="CT41" s="3017"/>
      <c r="CU41" s="3017"/>
      <c r="CV41" s="3017"/>
      <c r="CW41" s="3017"/>
      <c r="CX41" s="3017"/>
      <c r="CY41" s="3017"/>
      <c r="CZ41" s="3017"/>
      <c r="DA41" s="3017"/>
      <c r="DB41" s="3017"/>
      <c r="DC41" s="3017"/>
      <c r="DD41" s="3017"/>
      <c r="DE41" s="3017"/>
      <c r="DF41" s="3017"/>
      <c r="DG41" s="3017"/>
      <c r="DH41" s="3017"/>
      <c r="DI41" s="3017"/>
      <c r="DJ41" s="3017"/>
      <c r="DK41" s="3017"/>
      <c r="DL41" s="3017"/>
      <c r="DM41" s="3017"/>
      <c r="DN41" s="3017"/>
      <c r="DO41" s="3017"/>
      <c r="DP41" s="3017"/>
      <c r="DQ41" s="3017"/>
      <c r="DR41" s="3017"/>
      <c r="DS41" s="3017"/>
      <c r="DT41" s="3017"/>
      <c r="DU41" s="3017"/>
      <c r="DV41" s="3017"/>
      <c r="DW41" s="3017"/>
      <c r="DX41" s="3017"/>
      <c r="DY41" s="3017"/>
      <c r="DZ41" s="3017"/>
      <c r="EA41" s="3017"/>
      <c r="EB41" s="3017"/>
      <c r="EC41" s="3017"/>
      <c r="ED41" s="3017"/>
      <c r="EE41" s="3017"/>
      <c r="EF41" s="3017"/>
      <c r="EG41" s="3017"/>
      <c r="EH41" s="3017"/>
      <c r="EI41" s="3017"/>
      <c r="EJ41" s="3017"/>
      <c r="EK41" s="3017"/>
      <c r="EL41" s="3017"/>
      <c r="EM41" s="3017"/>
      <c r="EN41" s="3017"/>
      <c r="EO41" s="3017"/>
      <c r="EP41" s="3017"/>
      <c r="EQ41" s="3017"/>
    </row>
    <row r="42" spans="2:147" ht="13.35" customHeight="1">
      <c r="B42" s="218"/>
      <c r="C42" s="163"/>
      <c r="D42" s="1037" t="s">
        <v>230</v>
      </c>
      <c r="E42" s="886"/>
      <c r="F42" s="886"/>
      <c r="G42" s="1027"/>
      <c r="H42" s="1033"/>
      <c r="I42" s="1023"/>
      <c r="J42" s="888"/>
      <c r="K42" s="98"/>
      <c r="L42" s="171">
        <f>K45</f>
        <v>0</v>
      </c>
      <c r="M42" s="171">
        <f t="shared" ref="M42:BX42" si="199">L45</f>
        <v>0</v>
      </c>
      <c r="N42" s="171">
        <f t="shared" si="199"/>
        <v>100000</v>
      </c>
      <c r="O42" s="171">
        <f t="shared" si="199"/>
        <v>200000</v>
      </c>
      <c r="P42" s="171">
        <f t="shared" si="199"/>
        <v>300000</v>
      </c>
      <c r="Q42" s="171">
        <f t="shared" si="199"/>
        <v>400000</v>
      </c>
      <c r="R42" s="171">
        <f t="shared" si="199"/>
        <v>500000</v>
      </c>
      <c r="S42" s="171">
        <f t="shared" ca="1" si="199"/>
        <v>0</v>
      </c>
      <c r="T42" s="171">
        <f t="shared" ca="1" si="199"/>
        <v>100000</v>
      </c>
      <c r="U42" s="171">
        <f t="shared" ca="1" si="199"/>
        <v>200000</v>
      </c>
      <c r="V42" s="171">
        <f t="shared" ca="1" si="199"/>
        <v>300000</v>
      </c>
      <c r="W42" s="171">
        <f t="shared" ca="1" si="199"/>
        <v>400000</v>
      </c>
      <c r="X42" s="171">
        <f t="shared" ca="1" si="199"/>
        <v>500000</v>
      </c>
      <c r="Y42" s="171">
        <f t="shared" ca="1" si="199"/>
        <v>0</v>
      </c>
      <c r="Z42" s="171">
        <f t="shared" ca="1" si="199"/>
        <v>312500</v>
      </c>
      <c r="AA42" s="171">
        <f t="shared" ca="1" si="199"/>
        <v>625000</v>
      </c>
      <c r="AB42" s="171">
        <f t="shared" ca="1" si="199"/>
        <v>937500</v>
      </c>
      <c r="AC42" s="171">
        <f t="shared" ca="1" si="199"/>
        <v>1250000</v>
      </c>
      <c r="AD42" s="171">
        <f t="shared" ca="1" si="199"/>
        <v>1562500</v>
      </c>
      <c r="AE42" s="171">
        <f t="shared" ca="1" si="199"/>
        <v>0</v>
      </c>
      <c r="AF42" s="171">
        <f t="shared" ca="1" si="199"/>
        <v>312500</v>
      </c>
      <c r="AG42" s="171">
        <f t="shared" ca="1" si="199"/>
        <v>625000</v>
      </c>
      <c r="AH42" s="171">
        <f t="shared" ca="1" si="199"/>
        <v>937500</v>
      </c>
      <c r="AI42" s="171">
        <f t="shared" ca="1" si="199"/>
        <v>1250000</v>
      </c>
      <c r="AJ42" s="171">
        <f t="shared" ca="1" si="199"/>
        <v>1562500</v>
      </c>
      <c r="AK42" s="171">
        <f t="shared" ca="1" si="199"/>
        <v>0</v>
      </c>
      <c r="AL42" s="171">
        <f t="shared" ca="1" si="199"/>
        <v>312500</v>
      </c>
      <c r="AM42" s="171">
        <f t="shared" ca="1" si="199"/>
        <v>625000</v>
      </c>
      <c r="AN42" s="171">
        <f t="shared" ca="1" si="199"/>
        <v>937500</v>
      </c>
      <c r="AO42" s="171">
        <f t="shared" ca="1" si="199"/>
        <v>1250000</v>
      </c>
      <c r="AP42" s="171">
        <f t="shared" ca="1" si="199"/>
        <v>1562500</v>
      </c>
      <c r="AQ42" s="171">
        <f t="shared" ca="1" si="199"/>
        <v>0</v>
      </c>
      <c r="AR42" s="171">
        <f t="shared" ca="1" si="199"/>
        <v>312500</v>
      </c>
      <c r="AS42" s="171">
        <f t="shared" ca="1" si="199"/>
        <v>625000</v>
      </c>
      <c r="AT42" s="171">
        <f t="shared" ca="1" si="199"/>
        <v>937500</v>
      </c>
      <c r="AU42" s="171">
        <f t="shared" ca="1" si="199"/>
        <v>1250000</v>
      </c>
      <c r="AV42" s="171">
        <f t="shared" ca="1" si="199"/>
        <v>1562500</v>
      </c>
      <c r="AW42" s="171">
        <f t="shared" ca="1" si="199"/>
        <v>0</v>
      </c>
      <c r="AX42" s="171">
        <f t="shared" ca="1" si="199"/>
        <v>312500</v>
      </c>
      <c r="AY42" s="171">
        <f t="shared" ca="1" si="199"/>
        <v>625000</v>
      </c>
      <c r="AZ42" s="171">
        <f t="shared" ca="1" si="199"/>
        <v>937500</v>
      </c>
      <c r="BA42" s="171">
        <f t="shared" ca="1" si="199"/>
        <v>1250000</v>
      </c>
      <c r="BB42" s="171">
        <f t="shared" ca="1" si="199"/>
        <v>1562500</v>
      </c>
      <c r="BC42" s="171">
        <f t="shared" ca="1" si="199"/>
        <v>112527.98705873126</v>
      </c>
      <c r="BD42" s="171">
        <f t="shared" ca="1" si="199"/>
        <v>425027.98705873126</v>
      </c>
      <c r="BE42" s="171">
        <f t="shared" ca="1" si="199"/>
        <v>737527.98705873126</v>
      </c>
      <c r="BF42" s="171">
        <f t="shared" ca="1" si="199"/>
        <v>1050027.9870587313</v>
      </c>
      <c r="BG42" s="171">
        <f t="shared" ca="1" si="199"/>
        <v>1362527.9870587313</v>
      </c>
      <c r="BH42" s="171">
        <f t="shared" ca="1" si="199"/>
        <v>1675027.9870587313</v>
      </c>
      <c r="BI42" s="171">
        <f t="shared" ca="1" si="199"/>
        <v>474235.9881307208</v>
      </c>
      <c r="BJ42" s="171">
        <f t="shared" ca="1" si="199"/>
        <v>786735.9881307208</v>
      </c>
      <c r="BK42" s="171">
        <f t="shared" ca="1" si="199"/>
        <v>1099235.9881307208</v>
      </c>
      <c r="BL42" s="171">
        <f t="shared" ca="1" si="199"/>
        <v>1411735.9881307208</v>
      </c>
      <c r="BM42" s="171">
        <f t="shared" ca="1" si="199"/>
        <v>1724235.9881307208</v>
      </c>
      <c r="BN42" s="171">
        <f t="shared" ca="1" si="199"/>
        <v>2036735.9881307208</v>
      </c>
      <c r="BO42" s="171">
        <f t="shared" ca="1" si="199"/>
        <v>1083694.4914447735</v>
      </c>
      <c r="BP42" s="171">
        <f t="shared" ca="1" si="199"/>
        <v>1396194.4914447735</v>
      </c>
      <c r="BQ42" s="171">
        <f t="shared" ca="1" si="199"/>
        <v>1708694.4914447735</v>
      </c>
      <c r="BR42" s="171">
        <f t="shared" ca="1" si="199"/>
        <v>2021194.4914447735</v>
      </c>
      <c r="BS42" s="171">
        <f t="shared" ca="1" si="199"/>
        <v>2333694.4914447735</v>
      </c>
      <c r="BT42" s="171">
        <f t="shared" ca="1" si="199"/>
        <v>2646194.4914447735</v>
      </c>
      <c r="BU42" s="171">
        <f t="shared" ca="1" si="199"/>
        <v>1236216.0558593343</v>
      </c>
      <c r="BV42" s="171">
        <f t="shared" ca="1" si="199"/>
        <v>1548716.0558593343</v>
      </c>
      <c r="BW42" s="171">
        <f t="shared" ca="1" si="199"/>
        <v>1861216.0558593343</v>
      </c>
      <c r="BX42" s="171">
        <f t="shared" ca="1" si="199"/>
        <v>2173716.0558593343</v>
      </c>
      <c r="BY42" s="171">
        <f t="shared" ref="BY42:EJ42" ca="1" si="200">BX45</f>
        <v>2486216.0558593343</v>
      </c>
      <c r="BZ42" s="171">
        <f t="shared" ca="1" si="200"/>
        <v>2798716.0558593343</v>
      </c>
      <c r="CA42" s="171">
        <f t="shared" ca="1" si="200"/>
        <v>1305568.3155292799</v>
      </c>
      <c r="CB42" s="171">
        <f t="shared" ca="1" si="200"/>
        <v>1618068.3155292799</v>
      </c>
      <c r="CC42" s="171">
        <f t="shared" ca="1" si="200"/>
        <v>1930568.3155292799</v>
      </c>
      <c r="CD42" s="171">
        <f t="shared" ca="1" si="200"/>
        <v>2243068.3155292799</v>
      </c>
      <c r="CE42" s="171">
        <f t="shared" ca="1" si="200"/>
        <v>2555568.3155292799</v>
      </c>
      <c r="CF42" s="171">
        <f t="shared" ca="1" si="200"/>
        <v>2868068.3155292799</v>
      </c>
      <c r="CG42" s="171">
        <f t="shared" ca="1" si="200"/>
        <v>922070.9693098818</v>
      </c>
      <c r="CH42" s="171">
        <f t="shared" ca="1" si="200"/>
        <v>1234570.9693098818</v>
      </c>
      <c r="CI42" s="171">
        <f t="shared" ca="1" si="200"/>
        <v>1547070.9693098818</v>
      </c>
      <c r="CJ42" s="171">
        <f t="shared" ca="1" si="200"/>
        <v>1859570.9693098818</v>
      </c>
      <c r="CK42" s="171">
        <f t="shared" ca="1" si="200"/>
        <v>2172070.9693098818</v>
      </c>
      <c r="CL42" s="171">
        <f t="shared" ca="1" si="200"/>
        <v>2484570.9693098818</v>
      </c>
      <c r="CM42" s="171">
        <f t="shared" ca="1" si="200"/>
        <v>765857.79048862867</v>
      </c>
      <c r="CN42" s="171">
        <f t="shared" ca="1" si="200"/>
        <v>1078357.7904886287</v>
      </c>
      <c r="CO42" s="171">
        <f t="shared" ca="1" si="200"/>
        <v>1390857.7904886287</v>
      </c>
      <c r="CP42" s="171">
        <f t="shared" ca="1" si="200"/>
        <v>1703357.7904886287</v>
      </c>
      <c r="CQ42" s="171">
        <f t="shared" ca="1" si="200"/>
        <v>2015857.7904886287</v>
      </c>
      <c r="CR42" s="171">
        <f t="shared" ca="1" si="200"/>
        <v>2328357.7904886287</v>
      </c>
      <c r="CS42" s="171">
        <f t="shared" ca="1" si="200"/>
        <v>160583.13370326906</v>
      </c>
      <c r="CT42" s="171">
        <f t="shared" ca="1" si="200"/>
        <v>473083.13370326906</v>
      </c>
      <c r="CU42" s="171">
        <f t="shared" ca="1" si="200"/>
        <v>785583.13370326906</v>
      </c>
      <c r="CV42" s="171">
        <f t="shared" ca="1" si="200"/>
        <v>1098083.1337032691</v>
      </c>
      <c r="CW42" s="171">
        <f t="shared" ca="1" si="200"/>
        <v>1410583.1337032691</v>
      </c>
      <c r="CX42" s="171">
        <f t="shared" ca="1" si="200"/>
        <v>1723083.1337032691</v>
      </c>
      <c r="CY42" s="171">
        <f t="shared" ca="1" si="200"/>
        <v>0</v>
      </c>
      <c r="CZ42" s="171">
        <f t="shared" ca="1" si="200"/>
        <v>312500</v>
      </c>
      <c r="DA42" s="171">
        <f t="shared" ca="1" si="200"/>
        <v>625000</v>
      </c>
      <c r="DB42" s="171">
        <f t="shared" ca="1" si="200"/>
        <v>937500</v>
      </c>
      <c r="DC42" s="171">
        <f t="shared" ca="1" si="200"/>
        <v>1250000</v>
      </c>
      <c r="DD42" s="171">
        <f t="shared" ca="1" si="200"/>
        <v>1562500</v>
      </c>
      <c r="DE42" s="171">
        <f t="shared" ca="1" si="200"/>
        <v>0</v>
      </c>
      <c r="DF42" s="171">
        <f t="shared" ca="1" si="200"/>
        <v>312500</v>
      </c>
      <c r="DG42" s="171">
        <f t="shared" ca="1" si="200"/>
        <v>625000</v>
      </c>
      <c r="DH42" s="171">
        <f t="shared" ca="1" si="200"/>
        <v>937500</v>
      </c>
      <c r="DI42" s="171">
        <f t="shared" ca="1" si="200"/>
        <v>1250000</v>
      </c>
      <c r="DJ42" s="171">
        <f t="shared" ca="1" si="200"/>
        <v>1562500</v>
      </c>
      <c r="DK42" s="171">
        <f t="shared" ca="1" si="200"/>
        <v>0</v>
      </c>
      <c r="DL42" s="171">
        <f t="shared" ca="1" si="200"/>
        <v>312500</v>
      </c>
      <c r="DM42" s="171">
        <f t="shared" ca="1" si="200"/>
        <v>625000</v>
      </c>
      <c r="DN42" s="171">
        <f t="shared" ca="1" si="200"/>
        <v>937500</v>
      </c>
      <c r="DO42" s="171">
        <f t="shared" ca="1" si="200"/>
        <v>1250000</v>
      </c>
      <c r="DP42" s="171">
        <f t="shared" ca="1" si="200"/>
        <v>1562500</v>
      </c>
      <c r="DQ42" s="171">
        <f t="shared" ca="1" si="200"/>
        <v>0</v>
      </c>
      <c r="DR42" s="171">
        <f t="shared" ca="1" si="200"/>
        <v>312500</v>
      </c>
      <c r="DS42" s="171">
        <f t="shared" ca="1" si="200"/>
        <v>625000</v>
      </c>
      <c r="DT42" s="171">
        <f t="shared" ca="1" si="200"/>
        <v>937500</v>
      </c>
      <c r="DU42" s="171">
        <f t="shared" ca="1" si="200"/>
        <v>1250000</v>
      </c>
      <c r="DV42" s="171">
        <f t="shared" ca="1" si="200"/>
        <v>1562500</v>
      </c>
      <c r="DW42" s="171">
        <f t="shared" ca="1" si="200"/>
        <v>0</v>
      </c>
      <c r="DX42" s="171">
        <f t="shared" ca="1" si="200"/>
        <v>312500</v>
      </c>
      <c r="DY42" s="171">
        <f t="shared" ca="1" si="200"/>
        <v>625000</v>
      </c>
      <c r="DZ42" s="171">
        <f t="shared" ca="1" si="200"/>
        <v>937500</v>
      </c>
      <c r="EA42" s="171">
        <f t="shared" ca="1" si="200"/>
        <v>1250000</v>
      </c>
      <c r="EB42" s="171">
        <f t="shared" ca="1" si="200"/>
        <v>1562500</v>
      </c>
      <c r="EC42" s="171">
        <f t="shared" ca="1" si="200"/>
        <v>0</v>
      </c>
      <c r="ED42" s="171">
        <f t="shared" ca="1" si="200"/>
        <v>0</v>
      </c>
      <c r="EE42" s="171">
        <f t="shared" ca="1" si="200"/>
        <v>0</v>
      </c>
      <c r="EF42" s="171">
        <f t="shared" ca="1" si="200"/>
        <v>0</v>
      </c>
      <c r="EG42" s="171">
        <f t="shared" ca="1" si="200"/>
        <v>0</v>
      </c>
      <c r="EH42" s="171">
        <f t="shared" ca="1" si="200"/>
        <v>0</v>
      </c>
      <c r="EI42" s="171">
        <f t="shared" ca="1" si="200"/>
        <v>0</v>
      </c>
      <c r="EJ42" s="171">
        <f t="shared" ca="1" si="200"/>
        <v>0</v>
      </c>
      <c r="EK42" s="171">
        <f t="shared" ref="EK42:EQ42" ca="1" si="201">EJ45</f>
        <v>0</v>
      </c>
      <c r="EL42" s="171">
        <f t="shared" ca="1" si="201"/>
        <v>0</v>
      </c>
      <c r="EM42" s="171">
        <f t="shared" ca="1" si="201"/>
        <v>0</v>
      </c>
      <c r="EN42" s="171">
        <f t="shared" ca="1" si="201"/>
        <v>0</v>
      </c>
      <c r="EO42" s="171">
        <f t="shared" ca="1" si="201"/>
        <v>0</v>
      </c>
      <c r="EP42" s="171">
        <f t="shared" ca="1" si="201"/>
        <v>0</v>
      </c>
      <c r="EQ42" s="171">
        <f t="shared" ca="1" si="201"/>
        <v>0</v>
      </c>
    </row>
    <row r="43" spans="2:147" ht="13.35" customHeight="1">
      <c r="B43" s="218"/>
      <c r="C43" s="163"/>
      <c r="D43" s="66" t="s">
        <v>231</v>
      </c>
      <c r="G43" s="1032"/>
      <c r="H43" s="1030"/>
      <c r="I43" s="1022">
        <v>7.4999999999999997E-2</v>
      </c>
      <c r="J43" s="171">
        <f t="shared" ref="J43:J44" si="202">SUM(L43:EQ43)</f>
        <v>34950000</v>
      </c>
      <c r="K43" s="98"/>
      <c r="L43" s="171">
        <f>L37*$I43/12</f>
        <v>0</v>
      </c>
      <c r="M43" s="171">
        <f t="shared" ref="M43:BX43" si="203">M37*$I43/12</f>
        <v>100000</v>
      </c>
      <c r="N43" s="171">
        <f t="shared" si="203"/>
        <v>100000</v>
      </c>
      <c r="O43" s="171">
        <f t="shared" si="203"/>
        <v>100000</v>
      </c>
      <c r="P43" s="171">
        <f t="shared" si="203"/>
        <v>100000</v>
      </c>
      <c r="Q43" s="171">
        <f t="shared" si="203"/>
        <v>100000</v>
      </c>
      <c r="R43" s="171">
        <f t="shared" si="203"/>
        <v>100000</v>
      </c>
      <c r="S43" s="171">
        <f t="shared" si="203"/>
        <v>100000</v>
      </c>
      <c r="T43" s="171">
        <f t="shared" si="203"/>
        <v>100000</v>
      </c>
      <c r="U43" s="171">
        <f t="shared" si="203"/>
        <v>100000</v>
      </c>
      <c r="V43" s="171">
        <f t="shared" si="203"/>
        <v>100000</v>
      </c>
      <c r="W43" s="171">
        <f t="shared" si="203"/>
        <v>100000</v>
      </c>
      <c r="X43" s="171">
        <f t="shared" si="203"/>
        <v>100000</v>
      </c>
      <c r="Y43" s="171">
        <f t="shared" si="203"/>
        <v>312500</v>
      </c>
      <c r="Z43" s="171">
        <f t="shared" si="203"/>
        <v>312500</v>
      </c>
      <c r="AA43" s="171">
        <f t="shared" si="203"/>
        <v>312500</v>
      </c>
      <c r="AB43" s="171">
        <f t="shared" si="203"/>
        <v>312500</v>
      </c>
      <c r="AC43" s="171">
        <f t="shared" si="203"/>
        <v>312500</v>
      </c>
      <c r="AD43" s="171">
        <f t="shared" si="203"/>
        <v>312500</v>
      </c>
      <c r="AE43" s="171">
        <f t="shared" si="203"/>
        <v>312500</v>
      </c>
      <c r="AF43" s="171">
        <f t="shared" si="203"/>
        <v>312500</v>
      </c>
      <c r="AG43" s="171">
        <f t="shared" si="203"/>
        <v>312500</v>
      </c>
      <c r="AH43" s="171">
        <f t="shared" si="203"/>
        <v>312500</v>
      </c>
      <c r="AI43" s="171">
        <f t="shared" si="203"/>
        <v>312500</v>
      </c>
      <c r="AJ43" s="171">
        <f t="shared" si="203"/>
        <v>312500</v>
      </c>
      <c r="AK43" s="171">
        <f t="shared" si="203"/>
        <v>312500</v>
      </c>
      <c r="AL43" s="171">
        <f t="shared" si="203"/>
        <v>312500</v>
      </c>
      <c r="AM43" s="171">
        <f t="shared" si="203"/>
        <v>312500</v>
      </c>
      <c r="AN43" s="171">
        <f t="shared" si="203"/>
        <v>312500</v>
      </c>
      <c r="AO43" s="171">
        <f t="shared" si="203"/>
        <v>312500</v>
      </c>
      <c r="AP43" s="171">
        <f t="shared" si="203"/>
        <v>312500</v>
      </c>
      <c r="AQ43" s="171">
        <f t="shared" si="203"/>
        <v>312500</v>
      </c>
      <c r="AR43" s="171">
        <f t="shared" si="203"/>
        <v>312500</v>
      </c>
      <c r="AS43" s="171">
        <f t="shared" si="203"/>
        <v>312500</v>
      </c>
      <c r="AT43" s="171">
        <f t="shared" si="203"/>
        <v>312500</v>
      </c>
      <c r="AU43" s="171">
        <f t="shared" si="203"/>
        <v>312500</v>
      </c>
      <c r="AV43" s="171">
        <f t="shared" si="203"/>
        <v>312500</v>
      </c>
      <c r="AW43" s="171">
        <f t="shared" si="203"/>
        <v>312500</v>
      </c>
      <c r="AX43" s="171">
        <f t="shared" si="203"/>
        <v>312500</v>
      </c>
      <c r="AY43" s="171">
        <f t="shared" si="203"/>
        <v>312500</v>
      </c>
      <c r="AZ43" s="171">
        <f t="shared" si="203"/>
        <v>312500</v>
      </c>
      <c r="BA43" s="171">
        <f t="shared" si="203"/>
        <v>312500</v>
      </c>
      <c r="BB43" s="171">
        <f t="shared" si="203"/>
        <v>312500</v>
      </c>
      <c r="BC43" s="171">
        <f t="shared" si="203"/>
        <v>312500</v>
      </c>
      <c r="BD43" s="171">
        <f t="shared" si="203"/>
        <v>312500</v>
      </c>
      <c r="BE43" s="171">
        <f t="shared" si="203"/>
        <v>312500</v>
      </c>
      <c r="BF43" s="171">
        <f t="shared" si="203"/>
        <v>312500</v>
      </c>
      <c r="BG43" s="171">
        <f t="shared" si="203"/>
        <v>312500</v>
      </c>
      <c r="BH43" s="171">
        <f t="shared" si="203"/>
        <v>312500</v>
      </c>
      <c r="BI43" s="171">
        <f t="shared" si="203"/>
        <v>312500</v>
      </c>
      <c r="BJ43" s="171">
        <f t="shared" si="203"/>
        <v>312500</v>
      </c>
      <c r="BK43" s="171">
        <f t="shared" si="203"/>
        <v>312500</v>
      </c>
      <c r="BL43" s="171">
        <f t="shared" si="203"/>
        <v>312500</v>
      </c>
      <c r="BM43" s="171">
        <f t="shared" si="203"/>
        <v>312500</v>
      </c>
      <c r="BN43" s="171">
        <f t="shared" si="203"/>
        <v>312500</v>
      </c>
      <c r="BO43" s="171">
        <f t="shared" si="203"/>
        <v>312500</v>
      </c>
      <c r="BP43" s="171">
        <f t="shared" si="203"/>
        <v>312500</v>
      </c>
      <c r="BQ43" s="171">
        <f t="shared" si="203"/>
        <v>312500</v>
      </c>
      <c r="BR43" s="171">
        <f t="shared" si="203"/>
        <v>312500</v>
      </c>
      <c r="BS43" s="171">
        <f t="shared" si="203"/>
        <v>312500</v>
      </c>
      <c r="BT43" s="171">
        <f t="shared" si="203"/>
        <v>312500</v>
      </c>
      <c r="BU43" s="171">
        <f t="shared" si="203"/>
        <v>312500</v>
      </c>
      <c r="BV43" s="171">
        <f t="shared" si="203"/>
        <v>312500</v>
      </c>
      <c r="BW43" s="171">
        <f t="shared" si="203"/>
        <v>312500</v>
      </c>
      <c r="BX43" s="171">
        <f t="shared" si="203"/>
        <v>312500</v>
      </c>
      <c r="BY43" s="171">
        <f t="shared" ref="BY43:EJ43" si="204">BY37*$I43/12</f>
        <v>312500</v>
      </c>
      <c r="BZ43" s="171">
        <f t="shared" si="204"/>
        <v>312500</v>
      </c>
      <c r="CA43" s="171">
        <f t="shared" si="204"/>
        <v>312500</v>
      </c>
      <c r="CB43" s="171">
        <f t="shared" si="204"/>
        <v>312500</v>
      </c>
      <c r="CC43" s="171">
        <f t="shared" si="204"/>
        <v>312500</v>
      </c>
      <c r="CD43" s="171">
        <f t="shared" si="204"/>
        <v>312500</v>
      </c>
      <c r="CE43" s="171">
        <f t="shared" si="204"/>
        <v>312500</v>
      </c>
      <c r="CF43" s="171">
        <f t="shared" si="204"/>
        <v>312500</v>
      </c>
      <c r="CG43" s="171">
        <f t="shared" si="204"/>
        <v>312500</v>
      </c>
      <c r="CH43" s="171">
        <f t="shared" si="204"/>
        <v>312500</v>
      </c>
      <c r="CI43" s="171">
        <f t="shared" si="204"/>
        <v>312500</v>
      </c>
      <c r="CJ43" s="171">
        <f t="shared" si="204"/>
        <v>312500</v>
      </c>
      <c r="CK43" s="171">
        <f t="shared" si="204"/>
        <v>312500</v>
      </c>
      <c r="CL43" s="171">
        <f t="shared" si="204"/>
        <v>312500</v>
      </c>
      <c r="CM43" s="171">
        <f t="shared" si="204"/>
        <v>312500</v>
      </c>
      <c r="CN43" s="171">
        <f t="shared" si="204"/>
        <v>312500</v>
      </c>
      <c r="CO43" s="171">
        <f t="shared" si="204"/>
        <v>312500</v>
      </c>
      <c r="CP43" s="171">
        <f t="shared" si="204"/>
        <v>312500</v>
      </c>
      <c r="CQ43" s="171">
        <f t="shared" si="204"/>
        <v>312500</v>
      </c>
      <c r="CR43" s="171">
        <f t="shared" si="204"/>
        <v>312500</v>
      </c>
      <c r="CS43" s="171">
        <f t="shared" si="204"/>
        <v>312500</v>
      </c>
      <c r="CT43" s="171">
        <f t="shared" si="204"/>
        <v>312500</v>
      </c>
      <c r="CU43" s="171">
        <f t="shared" si="204"/>
        <v>312500</v>
      </c>
      <c r="CV43" s="171">
        <f t="shared" si="204"/>
        <v>312500</v>
      </c>
      <c r="CW43" s="171">
        <f t="shared" si="204"/>
        <v>312500</v>
      </c>
      <c r="CX43" s="171">
        <f t="shared" si="204"/>
        <v>312500</v>
      </c>
      <c r="CY43" s="171">
        <f t="shared" si="204"/>
        <v>312500</v>
      </c>
      <c r="CZ43" s="171">
        <f t="shared" si="204"/>
        <v>312500</v>
      </c>
      <c r="DA43" s="171">
        <f t="shared" si="204"/>
        <v>312500</v>
      </c>
      <c r="DB43" s="171">
        <f t="shared" si="204"/>
        <v>312500</v>
      </c>
      <c r="DC43" s="171">
        <f t="shared" si="204"/>
        <v>312500</v>
      </c>
      <c r="DD43" s="171">
        <f t="shared" si="204"/>
        <v>312500</v>
      </c>
      <c r="DE43" s="171">
        <f t="shared" si="204"/>
        <v>312500</v>
      </c>
      <c r="DF43" s="171">
        <f t="shared" si="204"/>
        <v>312500</v>
      </c>
      <c r="DG43" s="171">
        <f t="shared" si="204"/>
        <v>312500</v>
      </c>
      <c r="DH43" s="171">
        <f t="shared" si="204"/>
        <v>312500</v>
      </c>
      <c r="DI43" s="171">
        <f t="shared" si="204"/>
        <v>312500</v>
      </c>
      <c r="DJ43" s="171">
        <f t="shared" si="204"/>
        <v>312500</v>
      </c>
      <c r="DK43" s="171">
        <f t="shared" si="204"/>
        <v>312500</v>
      </c>
      <c r="DL43" s="171">
        <f t="shared" si="204"/>
        <v>312500</v>
      </c>
      <c r="DM43" s="171">
        <f t="shared" si="204"/>
        <v>312500</v>
      </c>
      <c r="DN43" s="171">
        <f t="shared" si="204"/>
        <v>312500</v>
      </c>
      <c r="DO43" s="171">
        <f t="shared" si="204"/>
        <v>312500</v>
      </c>
      <c r="DP43" s="171">
        <f t="shared" si="204"/>
        <v>312500</v>
      </c>
      <c r="DQ43" s="171">
        <f t="shared" si="204"/>
        <v>312500</v>
      </c>
      <c r="DR43" s="171">
        <f t="shared" si="204"/>
        <v>312500</v>
      </c>
      <c r="DS43" s="171">
        <f t="shared" si="204"/>
        <v>312500</v>
      </c>
      <c r="DT43" s="171">
        <f t="shared" si="204"/>
        <v>312500</v>
      </c>
      <c r="DU43" s="171">
        <f t="shared" si="204"/>
        <v>312500</v>
      </c>
      <c r="DV43" s="171">
        <f t="shared" si="204"/>
        <v>312500</v>
      </c>
      <c r="DW43" s="171">
        <f t="shared" si="204"/>
        <v>312500</v>
      </c>
      <c r="DX43" s="171">
        <f t="shared" si="204"/>
        <v>312500</v>
      </c>
      <c r="DY43" s="171">
        <f t="shared" si="204"/>
        <v>312500</v>
      </c>
      <c r="DZ43" s="171">
        <f t="shared" si="204"/>
        <v>312500</v>
      </c>
      <c r="EA43" s="171">
        <f t="shared" si="204"/>
        <v>312500</v>
      </c>
      <c r="EB43" s="171">
        <f t="shared" si="204"/>
        <v>312500</v>
      </c>
      <c r="EC43" s="171">
        <f t="shared" si="204"/>
        <v>0</v>
      </c>
      <c r="ED43" s="171">
        <f t="shared" si="204"/>
        <v>0</v>
      </c>
      <c r="EE43" s="171">
        <f t="shared" si="204"/>
        <v>0</v>
      </c>
      <c r="EF43" s="171">
        <f t="shared" si="204"/>
        <v>0</v>
      </c>
      <c r="EG43" s="171">
        <f t="shared" si="204"/>
        <v>0</v>
      </c>
      <c r="EH43" s="171">
        <f t="shared" si="204"/>
        <v>0</v>
      </c>
      <c r="EI43" s="171">
        <f t="shared" si="204"/>
        <v>0</v>
      </c>
      <c r="EJ43" s="171">
        <f t="shared" si="204"/>
        <v>0</v>
      </c>
      <c r="EK43" s="171">
        <f t="shared" ref="EK43:EQ43" si="205">EK37*$I43/12</f>
        <v>0</v>
      </c>
      <c r="EL43" s="171">
        <f t="shared" si="205"/>
        <v>0</v>
      </c>
      <c r="EM43" s="171">
        <f t="shared" si="205"/>
        <v>0</v>
      </c>
      <c r="EN43" s="171">
        <f t="shared" si="205"/>
        <v>0</v>
      </c>
      <c r="EO43" s="171">
        <f t="shared" si="205"/>
        <v>0</v>
      </c>
      <c r="EP43" s="171">
        <f t="shared" si="205"/>
        <v>0</v>
      </c>
      <c r="EQ43" s="171">
        <f t="shared" si="205"/>
        <v>0</v>
      </c>
    </row>
    <row r="44" spans="2:147" ht="13.35" customHeight="1">
      <c r="B44" s="218"/>
      <c r="C44" s="163"/>
      <c r="D44" s="66" t="s">
        <v>232</v>
      </c>
      <c r="G44" s="1032"/>
      <c r="H44" s="1039"/>
      <c r="I44" s="1022"/>
      <c r="J44" s="171">
        <f t="shared" ca="1" si="202"/>
        <v>34950000</v>
      </c>
      <c r="K44" s="98"/>
      <c r="L44" s="171">
        <f>SUMIF('Report-sj'!$C$274:$C$293,'Sell-down'!L$5,'Report-sj'!$F$274:$F$293)*1000*(L$37/SUM($F$38,$I$38))</f>
        <v>0</v>
      </c>
      <c r="M44" s="171">
        <f>SUMIF('Report-sj'!$C$274:$C$293,'Sell-down'!M$5,'Report-sj'!$F$274:$F$293)*1000*(M$37/SUM($F$38,$I$38))</f>
        <v>0</v>
      </c>
      <c r="N44" s="171">
        <f>SUMIF('Report-sj'!$C$274:$C$293,'Sell-down'!N$5,'Report-sj'!$F$274:$F$293)*1000*(N$37/SUM($F$38,$I$38))</f>
        <v>0</v>
      </c>
      <c r="O44" s="171">
        <f>SUMIF('Report-sj'!$C$274:$C$293,'Sell-down'!O$5,'Report-sj'!$F$274:$F$293)*1000*(O$37/SUM($F$38,$I$38))</f>
        <v>0</v>
      </c>
      <c r="P44" s="171">
        <f>SUMIF('Report-sj'!$C$274:$C$293,'Sell-down'!P$5,'Report-sj'!$F$274:$F$293)*1000*(P$37/SUM($F$38,$I$38))</f>
        <v>0</v>
      </c>
      <c r="Q44" s="171">
        <f>SUMIF('Report-sj'!$C$274:$C$293,'Sell-down'!Q$5,'Report-sj'!$F$274:$F$293)*1000*(Q$37/SUM($F$38,$I$38))</f>
        <v>0</v>
      </c>
      <c r="R44" s="171">
        <f ca="1">SUMIF('Report-sj'!$C$274:$C$293,'Sell-down'!R$5,'Report-sj'!$F$274:$F$293)*1000*(R$37/SUM($F$38,$I$38))</f>
        <v>600000</v>
      </c>
      <c r="S44" s="171">
        <f>SUMIF('Report-sj'!$C$274:$C$293,'Sell-down'!S$5,'Report-sj'!$F$274:$F$293)*1000*(S$37/SUM($F$38,$I$38))</f>
        <v>0</v>
      </c>
      <c r="T44" s="171">
        <f>SUMIF('Report-sj'!$C$274:$C$293,'Sell-down'!T$5,'Report-sj'!$F$274:$F$293)*1000*(T$37/SUM($F$38,$I$38))</f>
        <v>0</v>
      </c>
      <c r="U44" s="171">
        <f>SUMIF('Report-sj'!$C$274:$C$293,'Sell-down'!U$5,'Report-sj'!$F$274:$F$293)*1000*(U$37/SUM($F$38,$I$38))</f>
        <v>0</v>
      </c>
      <c r="V44" s="171">
        <f>SUMIF('Report-sj'!$C$274:$C$293,'Sell-down'!V$5,'Report-sj'!$F$274:$F$293)*1000*(V$37/SUM($F$38,$I$38))</f>
        <v>0</v>
      </c>
      <c r="W44" s="171">
        <f>SUMIF('Report-sj'!$C$274:$C$293,'Sell-down'!W$5,'Report-sj'!$F$274:$F$293)*1000*(W$37/SUM($F$38,$I$38))</f>
        <v>0</v>
      </c>
      <c r="X44" s="171">
        <f ca="1">SUMIF('Report-sj'!$C$274:$C$293,'Sell-down'!X$5,'Report-sj'!$F$274:$F$293)*1000*(X$37/SUM($F$38,$I$38))</f>
        <v>600000</v>
      </c>
      <c r="Y44" s="171">
        <f>SUMIF('Report-sj'!$C$274:$C$293,'Sell-down'!Y$5,'Report-sj'!$F$274:$F$293)*1000*(Y$37/SUM($F$38,$I$38))</f>
        <v>0</v>
      </c>
      <c r="Z44" s="171">
        <f>SUMIF('Report-sj'!$C$274:$C$293,'Sell-down'!Z$5,'Report-sj'!$F$274:$F$293)*1000*(Z$37/SUM($F$38,$I$38))</f>
        <v>0</v>
      </c>
      <c r="AA44" s="171">
        <f>SUMIF('Report-sj'!$C$274:$C$293,'Sell-down'!AA$5,'Report-sj'!$F$274:$F$293)*1000*(AA$37/SUM($F$38,$I$38))</f>
        <v>0</v>
      </c>
      <c r="AB44" s="171">
        <f>SUMIF('Report-sj'!$C$274:$C$293,'Sell-down'!AB$5,'Report-sj'!$F$274:$F$293)*1000*(AB$37/SUM($F$38,$I$38))</f>
        <v>0</v>
      </c>
      <c r="AC44" s="171">
        <f>SUMIF('Report-sj'!$C$274:$C$293,'Sell-down'!AC$5,'Report-sj'!$F$274:$F$293)*1000*(AC$37/SUM($F$38,$I$38))</f>
        <v>0</v>
      </c>
      <c r="AD44" s="171">
        <f ca="1">SUMIF('Report-sj'!$C$274:$C$293,'Sell-down'!AD$5,'Report-sj'!$F$274:$F$293)*1000*(AD$37/SUM($F$38,$I$38))</f>
        <v>1875000</v>
      </c>
      <c r="AE44" s="171">
        <f>SUMIF('Report-sj'!$C$274:$C$293,'Sell-down'!AE$5,'Report-sj'!$F$274:$F$293)*1000*(AE$37/SUM($F$38,$I$38))</f>
        <v>0</v>
      </c>
      <c r="AF44" s="171">
        <f>SUMIF('Report-sj'!$C$274:$C$293,'Sell-down'!AF$5,'Report-sj'!$F$274:$F$293)*1000*(AF$37/SUM($F$38,$I$38))</f>
        <v>0</v>
      </c>
      <c r="AG44" s="171">
        <f>SUMIF('Report-sj'!$C$274:$C$293,'Sell-down'!AG$5,'Report-sj'!$F$274:$F$293)*1000*(AG$37/SUM($F$38,$I$38))</f>
        <v>0</v>
      </c>
      <c r="AH44" s="171">
        <f>SUMIF('Report-sj'!$C$274:$C$293,'Sell-down'!AH$5,'Report-sj'!$F$274:$F$293)*1000*(AH$37/SUM($F$38,$I$38))</f>
        <v>0</v>
      </c>
      <c r="AI44" s="171">
        <f>SUMIF('Report-sj'!$C$274:$C$293,'Sell-down'!AI$5,'Report-sj'!$F$274:$F$293)*1000*(AI$37/SUM($F$38,$I$38))</f>
        <v>0</v>
      </c>
      <c r="AJ44" s="171">
        <f ca="1">SUMIF('Report-sj'!$C$274:$C$293,'Sell-down'!AJ$5,'Report-sj'!$F$274:$F$293)*1000*(AJ$37/SUM($F$38,$I$38))</f>
        <v>1875000</v>
      </c>
      <c r="AK44" s="171">
        <f>SUMIF('Report-sj'!$C$274:$C$293,'Sell-down'!AK$5,'Report-sj'!$F$274:$F$293)*1000*(AK$37/SUM($F$38,$I$38))</f>
        <v>0</v>
      </c>
      <c r="AL44" s="171">
        <f>SUMIF('Report-sj'!$C$274:$C$293,'Sell-down'!AL$5,'Report-sj'!$F$274:$F$293)*1000*(AL$37/SUM($F$38,$I$38))</f>
        <v>0</v>
      </c>
      <c r="AM44" s="171">
        <f>SUMIF('Report-sj'!$C$274:$C$293,'Sell-down'!AM$5,'Report-sj'!$F$274:$F$293)*1000*(AM$37/SUM($F$38,$I$38))</f>
        <v>0</v>
      </c>
      <c r="AN44" s="171">
        <f>SUMIF('Report-sj'!$C$274:$C$293,'Sell-down'!AN$5,'Report-sj'!$F$274:$F$293)*1000*(AN$37/SUM($F$38,$I$38))</f>
        <v>0</v>
      </c>
      <c r="AO44" s="171">
        <f>SUMIF('Report-sj'!$C$274:$C$293,'Sell-down'!AO$5,'Report-sj'!$F$274:$F$293)*1000*(AO$37/SUM($F$38,$I$38))</f>
        <v>0</v>
      </c>
      <c r="AP44" s="171">
        <f ca="1">SUMIF('Report-sj'!$C$274:$C$293,'Sell-down'!AP$5,'Report-sj'!$F$274:$F$293)*1000*(AP$37/SUM($F$38,$I$38))</f>
        <v>1875000</v>
      </c>
      <c r="AQ44" s="171">
        <f>SUMIF('Report-sj'!$C$274:$C$293,'Sell-down'!AQ$5,'Report-sj'!$F$274:$F$293)*1000*(AQ$37/SUM($F$38,$I$38))</f>
        <v>0</v>
      </c>
      <c r="AR44" s="171">
        <f>SUMIF('Report-sj'!$C$274:$C$293,'Sell-down'!AR$5,'Report-sj'!$F$274:$F$293)*1000*(AR$37/SUM($F$38,$I$38))</f>
        <v>0</v>
      </c>
      <c r="AS44" s="171">
        <f>SUMIF('Report-sj'!$C$274:$C$293,'Sell-down'!AS$5,'Report-sj'!$F$274:$F$293)*1000*(AS$37/SUM($F$38,$I$38))</f>
        <v>0</v>
      </c>
      <c r="AT44" s="171">
        <f>SUMIF('Report-sj'!$C$274:$C$293,'Sell-down'!AT$5,'Report-sj'!$F$274:$F$293)*1000*(AT$37/SUM($F$38,$I$38))</f>
        <v>0</v>
      </c>
      <c r="AU44" s="171">
        <f>SUMIF('Report-sj'!$C$274:$C$293,'Sell-down'!AU$5,'Report-sj'!$F$274:$F$293)*1000*(AU$37/SUM($F$38,$I$38))</f>
        <v>0</v>
      </c>
      <c r="AV44" s="171">
        <f ca="1">SUMIF('Report-sj'!$C$274:$C$293,'Sell-down'!AV$5,'Report-sj'!$F$274:$F$293)*1000*(AV$37/SUM($F$38,$I$38))</f>
        <v>1875000</v>
      </c>
      <c r="AW44" s="171">
        <f>SUMIF('Report-sj'!$C$274:$C$293,'Sell-down'!AW$5,'Report-sj'!$F$274:$F$293)*1000*(AW$37/SUM($F$38,$I$38))</f>
        <v>0</v>
      </c>
      <c r="AX44" s="171">
        <f>SUMIF('Report-sj'!$C$274:$C$293,'Sell-down'!AX$5,'Report-sj'!$F$274:$F$293)*1000*(AX$37/SUM($F$38,$I$38))</f>
        <v>0</v>
      </c>
      <c r="AY44" s="171">
        <f>SUMIF('Report-sj'!$C$274:$C$293,'Sell-down'!AY$5,'Report-sj'!$F$274:$F$293)*1000*(AY$37/SUM($F$38,$I$38))</f>
        <v>0</v>
      </c>
      <c r="AZ44" s="171">
        <f>SUMIF('Report-sj'!$C$274:$C$293,'Sell-down'!AZ$5,'Report-sj'!$F$274:$F$293)*1000*(AZ$37/SUM($F$38,$I$38))</f>
        <v>0</v>
      </c>
      <c r="BA44" s="171">
        <f>SUMIF('Report-sj'!$C$274:$C$293,'Sell-down'!BA$5,'Report-sj'!$F$274:$F$293)*1000*(BA$37/SUM($F$38,$I$38))</f>
        <v>0</v>
      </c>
      <c r="BB44" s="171">
        <f ca="1">SUMIF('Report-sj'!$C$274:$C$293,'Sell-down'!BB$5,'Report-sj'!$F$274:$F$293)*1000*(BB$37/SUM($F$38,$I$38))</f>
        <v>1762472.0129412687</v>
      </c>
      <c r="BC44" s="171">
        <f>SUMIF('Report-sj'!$C$274:$C$293,'Sell-down'!BC$5,'Report-sj'!$F$274:$F$293)*1000*(BC$37/SUM($F$38,$I$38))</f>
        <v>0</v>
      </c>
      <c r="BD44" s="171">
        <f>SUMIF('Report-sj'!$C$274:$C$293,'Sell-down'!BD$5,'Report-sj'!$F$274:$F$293)*1000*(BD$37/SUM($F$38,$I$38))</f>
        <v>0</v>
      </c>
      <c r="BE44" s="171">
        <f>SUMIF('Report-sj'!$C$274:$C$293,'Sell-down'!BE$5,'Report-sj'!$F$274:$F$293)*1000*(BE$37/SUM($F$38,$I$38))</f>
        <v>0</v>
      </c>
      <c r="BF44" s="171">
        <f>SUMIF('Report-sj'!$C$274:$C$293,'Sell-down'!BF$5,'Report-sj'!$F$274:$F$293)*1000*(BF$37/SUM($F$38,$I$38))</f>
        <v>0</v>
      </c>
      <c r="BG44" s="171">
        <f>SUMIF('Report-sj'!$C$274:$C$293,'Sell-down'!BG$5,'Report-sj'!$F$274:$F$293)*1000*(BG$37/SUM($F$38,$I$38))</f>
        <v>0</v>
      </c>
      <c r="BH44" s="171">
        <f ca="1">SUMIF('Report-sj'!$C$274:$C$293,'Sell-down'!BH$5,'Report-sj'!$F$274:$F$293)*1000*(BH$37/SUM($F$38,$I$38))</f>
        <v>1513291.9989280105</v>
      </c>
      <c r="BI44" s="171">
        <f>SUMIF('Report-sj'!$C$274:$C$293,'Sell-down'!BI$5,'Report-sj'!$F$274:$F$293)*1000*(BI$37/SUM($F$38,$I$38))</f>
        <v>0</v>
      </c>
      <c r="BJ44" s="171">
        <f>SUMIF('Report-sj'!$C$274:$C$293,'Sell-down'!BJ$5,'Report-sj'!$F$274:$F$293)*1000*(BJ$37/SUM($F$38,$I$38))</f>
        <v>0</v>
      </c>
      <c r="BK44" s="171">
        <f>SUMIF('Report-sj'!$C$274:$C$293,'Sell-down'!BK$5,'Report-sj'!$F$274:$F$293)*1000*(BK$37/SUM($F$38,$I$38))</f>
        <v>0</v>
      </c>
      <c r="BL44" s="171">
        <f>SUMIF('Report-sj'!$C$274:$C$293,'Sell-down'!BL$5,'Report-sj'!$F$274:$F$293)*1000*(BL$37/SUM($F$38,$I$38))</f>
        <v>0</v>
      </c>
      <c r="BM44" s="171">
        <f>SUMIF('Report-sj'!$C$274:$C$293,'Sell-down'!BM$5,'Report-sj'!$F$274:$F$293)*1000*(BM$37/SUM($F$38,$I$38))</f>
        <v>0</v>
      </c>
      <c r="BN44" s="171">
        <f ca="1">SUMIF('Report-sj'!$C$274:$C$293,'Sell-down'!BN$5,'Report-sj'!$F$274:$F$293)*1000*(BN$37/SUM($F$38,$I$38))</f>
        <v>1265541.4966859473</v>
      </c>
      <c r="BO44" s="171">
        <f>SUMIF('Report-sj'!$C$274:$C$293,'Sell-down'!BO$5,'Report-sj'!$F$274:$F$293)*1000*(BO$37/SUM($F$38,$I$38))</f>
        <v>0</v>
      </c>
      <c r="BP44" s="171">
        <f>SUMIF('Report-sj'!$C$274:$C$293,'Sell-down'!BP$5,'Report-sj'!$F$274:$F$293)*1000*(BP$37/SUM($F$38,$I$38))</f>
        <v>0</v>
      </c>
      <c r="BQ44" s="171">
        <f>SUMIF('Report-sj'!$C$274:$C$293,'Sell-down'!BQ$5,'Report-sj'!$F$274:$F$293)*1000*(BQ$37/SUM($F$38,$I$38))</f>
        <v>0</v>
      </c>
      <c r="BR44" s="171">
        <f>SUMIF('Report-sj'!$C$274:$C$293,'Sell-down'!BR$5,'Report-sj'!$F$274:$F$293)*1000*(BR$37/SUM($F$38,$I$38))</f>
        <v>0</v>
      </c>
      <c r="BS44" s="171">
        <f>SUMIF('Report-sj'!$C$274:$C$293,'Sell-down'!BS$5,'Report-sj'!$F$274:$F$293)*1000*(BS$37/SUM($F$38,$I$38))</f>
        <v>0</v>
      </c>
      <c r="BT44" s="171">
        <f ca="1">SUMIF('Report-sj'!$C$274:$C$293,'Sell-down'!BT$5,'Report-sj'!$F$274:$F$293)*1000*(BT$37/SUM($F$38,$I$38))</f>
        <v>1722478.4355854392</v>
      </c>
      <c r="BU44" s="171">
        <f>SUMIF('Report-sj'!$C$274:$C$293,'Sell-down'!BU$5,'Report-sj'!$F$274:$F$293)*1000*(BU$37/SUM($F$38,$I$38))</f>
        <v>0</v>
      </c>
      <c r="BV44" s="171">
        <f>SUMIF('Report-sj'!$C$274:$C$293,'Sell-down'!BV$5,'Report-sj'!$F$274:$F$293)*1000*(BV$37/SUM($F$38,$I$38))</f>
        <v>0</v>
      </c>
      <c r="BW44" s="171">
        <f>SUMIF('Report-sj'!$C$274:$C$293,'Sell-down'!BW$5,'Report-sj'!$F$274:$F$293)*1000*(BW$37/SUM($F$38,$I$38))</f>
        <v>0</v>
      </c>
      <c r="BX44" s="171">
        <f>SUMIF('Report-sj'!$C$274:$C$293,'Sell-down'!BX$5,'Report-sj'!$F$274:$F$293)*1000*(BX$37/SUM($F$38,$I$38))</f>
        <v>0</v>
      </c>
      <c r="BY44" s="171">
        <f>SUMIF('Report-sj'!$C$274:$C$293,'Sell-down'!BY$5,'Report-sj'!$F$274:$F$293)*1000*(BY$37/SUM($F$38,$I$38))</f>
        <v>0</v>
      </c>
      <c r="BZ44" s="171">
        <f ca="1">SUMIF('Report-sj'!$C$274:$C$293,'Sell-down'!BZ$5,'Report-sj'!$F$274:$F$293)*1000*(BZ$37/SUM($F$38,$I$38))</f>
        <v>1805647.7403300544</v>
      </c>
      <c r="CA44" s="171">
        <f>SUMIF('Report-sj'!$C$274:$C$293,'Sell-down'!CA$5,'Report-sj'!$F$274:$F$293)*1000*(CA$37/SUM($F$38,$I$38))</f>
        <v>0</v>
      </c>
      <c r="CB44" s="171">
        <f>SUMIF('Report-sj'!$C$274:$C$293,'Sell-down'!CB$5,'Report-sj'!$F$274:$F$293)*1000*(CB$37/SUM($F$38,$I$38))</f>
        <v>0</v>
      </c>
      <c r="CC44" s="171">
        <f>SUMIF('Report-sj'!$C$274:$C$293,'Sell-down'!CC$5,'Report-sj'!$F$274:$F$293)*1000*(CC$37/SUM($F$38,$I$38))</f>
        <v>0</v>
      </c>
      <c r="CD44" s="171">
        <f>SUMIF('Report-sj'!$C$274:$C$293,'Sell-down'!CD$5,'Report-sj'!$F$274:$F$293)*1000*(CD$37/SUM($F$38,$I$38))</f>
        <v>0</v>
      </c>
      <c r="CE44" s="171">
        <f>SUMIF('Report-sj'!$C$274:$C$293,'Sell-down'!CE$5,'Report-sj'!$F$274:$F$293)*1000*(CE$37/SUM($F$38,$I$38))</f>
        <v>0</v>
      </c>
      <c r="CF44" s="171">
        <f ca="1">SUMIF('Report-sj'!$C$274:$C$293,'Sell-down'!CF$5,'Report-sj'!$F$274:$F$293)*1000*(CF$37/SUM($F$38,$I$38))</f>
        <v>2258497.3462193981</v>
      </c>
      <c r="CG44" s="171">
        <f>SUMIF('Report-sj'!$C$274:$C$293,'Sell-down'!CG$5,'Report-sj'!$F$274:$F$293)*1000*(CG$37/SUM($F$38,$I$38))</f>
        <v>0</v>
      </c>
      <c r="CH44" s="171">
        <f>SUMIF('Report-sj'!$C$274:$C$293,'Sell-down'!CH$5,'Report-sj'!$F$274:$F$293)*1000*(CH$37/SUM($F$38,$I$38))</f>
        <v>0</v>
      </c>
      <c r="CI44" s="171">
        <f>SUMIF('Report-sj'!$C$274:$C$293,'Sell-down'!CI$5,'Report-sj'!$F$274:$F$293)*1000*(CI$37/SUM($F$38,$I$38))</f>
        <v>0</v>
      </c>
      <c r="CJ44" s="171">
        <f>SUMIF('Report-sj'!$C$274:$C$293,'Sell-down'!CJ$5,'Report-sj'!$F$274:$F$293)*1000*(CJ$37/SUM($F$38,$I$38))</f>
        <v>0</v>
      </c>
      <c r="CK44" s="171">
        <f>SUMIF('Report-sj'!$C$274:$C$293,'Sell-down'!CK$5,'Report-sj'!$F$274:$F$293)*1000*(CK$37/SUM($F$38,$I$38))</f>
        <v>0</v>
      </c>
      <c r="CL44" s="171">
        <f ca="1">SUMIF('Report-sj'!$C$274:$C$293,'Sell-down'!CL$5,'Report-sj'!$F$274:$F$293)*1000*(CL$37/SUM($F$38,$I$38))</f>
        <v>2031213.1788212531</v>
      </c>
      <c r="CM44" s="171">
        <f>SUMIF('Report-sj'!$C$274:$C$293,'Sell-down'!CM$5,'Report-sj'!$F$274:$F$293)*1000*(CM$37/SUM($F$38,$I$38))</f>
        <v>0</v>
      </c>
      <c r="CN44" s="171">
        <f>SUMIF('Report-sj'!$C$274:$C$293,'Sell-down'!CN$5,'Report-sj'!$F$274:$F$293)*1000*(CN$37/SUM($F$38,$I$38))</f>
        <v>0</v>
      </c>
      <c r="CO44" s="171">
        <f>SUMIF('Report-sj'!$C$274:$C$293,'Sell-down'!CO$5,'Report-sj'!$F$274:$F$293)*1000*(CO$37/SUM($F$38,$I$38))</f>
        <v>0</v>
      </c>
      <c r="CP44" s="171">
        <f>SUMIF('Report-sj'!$C$274:$C$293,'Sell-down'!CP$5,'Report-sj'!$F$274:$F$293)*1000*(CP$37/SUM($F$38,$I$38))</f>
        <v>0</v>
      </c>
      <c r="CQ44" s="171">
        <f>SUMIF('Report-sj'!$C$274:$C$293,'Sell-down'!CQ$5,'Report-sj'!$F$274:$F$293)*1000*(CQ$37/SUM($F$38,$I$38))</f>
        <v>0</v>
      </c>
      <c r="CR44" s="171">
        <f ca="1">SUMIF('Report-sj'!$C$274:$C$293,'Sell-down'!CR$5,'Report-sj'!$F$274:$F$293)*1000*(CR$37/SUM($F$38,$I$38))</f>
        <v>2480274.6567853596</v>
      </c>
      <c r="CS44" s="171">
        <f>SUMIF('Report-sj'!$C$274:$C$293,'Sell-down'!CS$5,'Report-sj'!$F$274:$F$293)*1000*(CS$37/SUM($F$38,$I$38))</f>
        <v>0</v>
      </c>
      <c r="CT44" s="171">
        <f>SUMIF('Report-sj'!$C$274:$C$293,'Sell-down'!CT$5,'Report-sj'!$F$274:$F$293)*1000*(CT$37/SUM($F$38,$I$38))</f>
        <v>0</v>
      </c>
      <c r="CU44" s="171">
        <f>SUMIF('Report-sj'!$C$274:$C$293,'Sell-down'!CU$5,'Report-sj'!$F$274:$F$293)*1000*(CU$37/SUM($F$38,$I$38))</f>
        <v>0</v>
      </c>
      <c r="CV44" s="171">
        <f>SUMIF('Report-sj'!$C$274:$C$293,'Sell-down'!CV$5,'Report-sj'!$F$274:$F$293)*1000*(CV$37/SUM($F$38,$I$38))</f>
        <v>0</v>
      </c>
      <c r="CW44" s="171">
        <f>SUMIF('Report-sj'!$C$274:$C$293,'Sell-down'!CW$5,'Report-sj'!$F$274:$F$293)*1000*(CW$37/SUM($F$38,$I$38))</f>
        <v>0</v>
      </c>
      <c r="CX44" s="171">
        <f ca="1">SUMIF('Report-sj'!$C$274:$C$293,'Sell-down'!CX$5,'Report-sj'!$F$274:$F$293)*1000*(CX$37/SUM($F$38,$I$38))</f>
        <v>2035583.1337032691</v>
      </c>
      <c r="CY44" s="171">
        <f>SUMIF('Report-sj'!$C$274:$C$293,'Sell-down'!CY$5,'Report-sj'!$F$274:$F$293)*1000*(CY$37/SUM($F$38,$I$38))</f>
        <v>0</v>
      </c>
      <c r="CZ44" s="171">
        <f>SUMIF('Report-sj'!$C$274:$C$293,'Sell-down'!CZ$5,'Report-sj'!$F$274:$F$293)*1000*(CZ$37/SUM($F$38,$I$38))</f>
        <v>0</v>
      </c>
      <c r="DA44" s="171">
        <f>SUMIF('Report-sj'!$C$274:$C$293,'Sell-down'!DA$5,'Report-sj'!$F$274:$F$293)*1000*(DA$37/SUM($F$38,$I$38))</f>
        <v>0</v>
      </c>
      <c r="DB44" s="171">
        <f>SUMIF('Report-sj'!$C$274:$C$293,'Sell-down'!DB$5,'Report-sj'!$F$274:$F$293)*1000*(DB$37/SUM($F$38,$I$38))</f>
        <v>0</v>
      </c>
      <c r="DC44" s="171">
        <f>SUMIF('Report-sj'!$C$274:$C$293,'Sell-down'!DC$5,'Report-sj'!$F$274:$F$293)*1000*(DC$37/SUM($F$38,$I$38))</f>
        <v>0</v>
      </c>
      <c r="DD44" s="171">
        <f ca="1">SUMIF('Report-sj'!$C$274:$C$293,'Sell-down'!DD$5,'Report-sj'!$F$274:$F$293)*1000*(DD$37/SUM($F$38,$I$38))</f>
        <v>1875000</v>
      </c>
      <c r="DE44" s="171">
        <f>SUMIF('Report-sj'!$C$274:$C$293,'Sell-down'!DE$5,'Report-sj'!$F$274:$F$293)*1000*(DE$37/SUM($F$38,$I$38))</f>
        <v>0</v>
      </c>
      <c r="DF44" s="171">
        <f>SUMIF('Report-sj'!$C$274:$C$293,'Sell-down'!DF$5,'Report-sj'!$F$274:$F$293)*1000*(DF$37/SUM($F$38,$I$38))</f>
        <v>0</v>
      </c>
      <c r="DG44" s="171">
        <f>SUMIF('Report-sj'!$C$274:$C$293,'Sell-down'!DG$5,'Report-sj'!$F$274:$F$293)*1000*(DG$37/SUM($F$38,$I$38))</f>
        <v>0</v>
      </c>
      <c r="DH44" s="171">
        <f>SUMIF('Report-sj'!$C$274:$C$293,'Sell-down'!DH$5,'Report-sj'!$F$274:$F$293)*1000*(DH$37/SUM($F$38,$I$38))</f>
        <v>0</v>
      </c>
      <c r="DI44" s="171">
        <f>SUMIF('Report-sj'!$C$274:$C$293,'Sell-down'!DI$5,'Report-sj'!$F$274:$F$293)*1000*(DI$37/SUM($F$38,$I$38))</f>
        <v>0</v>
      </c>
      <c r="DJ44" s="171">
        <f ca="1">SUMIF('Report-sj'!$C$274:$C$293,'Sell-down'!DJ$5,'Report-sj'!$F$274:$F$293)*1000*(DJ$37/SUM($F$38,$I$38))</f>
        <v>1875000</v>
      </c>
      <c r="DK44" s="171">
        <f>SUMIF('Report-sj'!$C$274:$C$293,'Sell-down'!DK$5,'Report-sj'!$F$274:$F$293)*1000*(DK$37/SUM($F$38,$I$38))</f>
        <v>0</v>
      </c>
      <c r="DL44" s="171">
        <f>SUMIF('Report-sj'!$C$274:$C$293,'Sell-down'!DL$5,'Report-sj'!$F$274:$F$293)*1000*(DL$37/SUM($F$38,$I$38))</f>
        <v>0</v>
      </c>
      <c r="DM44" s="171">
        <f>SUMIF('Report-sj'!$C$274:$C$293,'Sell-down'!DM$5,'Report-sj'!$F$274:$F$293)*1000*(DM$37/SUM($F$38,$I$38))</f>
        <v>0</v>
      </c>
      <c r="DN44" s="171">
        <f>SUMIF('Report-sj'!$C$274:$C$293,'Sell-down'!DN$5,'Report-sj'!$F$274:$F$293)*1000*(DN$37/SUM($F$38,$I$38))</f>
        <v>0</v>
      </c>
      <c r="DO44" s="171">
        <f>SUMIF('Report-sj'!$C$274:$C$293,'Sell-down'!DO$5,'Report-sj'!$F$274:$F$293)*1000*(DO$37/SUM($F$38,$I$38))</f>
        <v>0</v>
      </c>
      <c r="DP44" s="171">
        <f ca="1">SUMIF('Report-sj'!$C$274:$C$293,'Sell-down'!DP$5,'Report-sj'!$F$274:$F$293)*1000*(DP$37/SUM($F$38,$I$38))</f>
        <v>1875000</v>
      </c>
      <c r="DQ44" s="171">
        <f>SUMIF('Report-sj'!$C$274:$C$293,'Sell-down'!DQ$5,'Report-sj'!$F$274:$F$293)*1000*(DQ$37/SUM($F$38,$I$38))</f>
        <v>0</v>
      </c>
      <c r="DR44" s="171">
        <f>SUMIF('Report-sj'!$C$274:$C$293,'Sell-down'!DR$5,'Report-sj'!$F$274:$F$293)*1000*(DR$37/SUM($F$38,$I$38))</f>
        <v>0</v>
      </c>
      <c r="DS44" s="171">
        <f>SUMIF('Report-sj'!$C$274:$C$293,'Sell-down'!DS$5,'Report-sj'!$F$274:$F$293)*1000*(DS$37/SUM($F$38,$I$38))</f>
        <v>0</v>
      </c>
      <c r="DT44" s="171">
        <f>SUMIF('Report-sj'!$C$274:$C$293,'Sell-down'!DT$5,'Report-sj'!$F$274:$F$293)*1000*(DT$37/SUM($F$38,$I$38))</f>
        <v>0</v>
      </c>
      <c r="DU44" s="171">
        <f>SUMIF('Report-sj'!$C$274:$C$293,'Sell-down'!DU$5,'Report-sj'!$F$274:$F$293)*1000*(DU$37/SUM($F$38,$I$38))</f>
        <v>0</v>
      </c>
      <c r="DV44" s="171">
        <f ca="1">SUMIF('Report-sj'!$C$274:$C$293,'Sell-down'!DV$5,'Report-sj'!$F$274:$F$293)*1000*(DV$37/SUM($F$38,$I$38))</f>
        <v>1875000</v>
      </c>
      <c r="DW44" s="171">
        <f>SUMIF('Report-sj'!$C$274:$C$293,'Sell-down'!DW$5,'Report-sj'!$F$274:$F$293)*1000*(DW$37/SUM($F$38,$I$38))</f>
        <v>0</v>
      </c>
      <c r="DX44" s="171">
        <f>SUMIF('Report-sj'!$C$274:$C$293,'Sell-down'!DX$5,'Report-sj'!$F$274:$F$293)*1000*(DX$37/SUM($F$38,$I$38))</f>
        <v>0</v>
      </c>
      <c r="DY44" s="171">
        <f>SUMIF('Report-sj'!$C$274:$C$293,'Sell-down'!DY$5,'Report-sj'!$F$274:$F$293)*1000*(DY$37/SUM($F$38,$I$38))</f>
        <v>0</v>
      </c>
      <c r="DZ44" s="171">
        <f>SUMIF('Report-sj'!$C$274:$C$293,'Sell-down'!DZ$5,'Report-sj'!$F$274:$F$293)*1000*(DZ$37/SUM($F$38,$I$38))</f>
        <v>0</v>
      </c>
      <c r="EA44" s="171">
        <f>SUMIF('Report-sj'!$C$274:$C$293,'Sell-down'!EA$5,'Report-sj'!$F$274:$F$293)*1000*(EA$37/SUM($F$38,$I$38))</f>
        <v>0</v>
      </c>
      <c r="EB44" s="171">
        <f ca="1">SUMIF('Report-sj'!$C$274:$C$293,'Sell-down'!EB$5,'Report-sj'!$F$274:$F$293)*1000*(EB$37/SUM($F$38,$I$38))</f>
        <v>1875000</v>
      </c>
      <c r="EC44" s="171">
        <f>SUMIF('Report-sj'!$C$274:$C$293,'Sell-down'!EC$5,'Report-sj'!$F$274:$F$293)*1000*(EC$37/SUM($F$38,$I$38))</f>
        <v>0</v>
      </c>
      <c r="ED44" s="171">
        <f>SUMIF('Report-sj'!$C$274:$C$293,'Sell-down'!ED$5,'Report-sj'!$F$274:$F$293)*1000*(ED$37/SUM($F$38,$I$38))</f>
        <v>0</v>
      </c>
      <c r="EE44" s="171">
        <f>SUMIF('Report-sj'!$C$274:$C$293,'Sell-down'!EE$5,'Report-sj'!$F$274:$F$293)*1000*(EE$37/SUM($F$38,$I$38))</f>
        <v>0</v>
      </c>
      <c r="EF44" s="171">
        <f>SUMIF('Report-sj'!$C$274:$C$293,'Sell-down'!EF$5,'Report-sj'!$F$274:$F$293)*1000*(EF$37/SUM($F$38,$I$38))</f>
        <v>0</v>
      </c>
      <c r="EG44" s="171">
        <f>SUMIF('Report-sj'!$C$274:$C$293,'Sell-down'!EG$5,'Report-sj'!$F$274:$F$293)*1000*(EG$37/SUM($F$38,$I$38))</f>
        <v>0</v>
      </c>
      <c r="EH44" s="171">
        <f>SUMIF('Report-sj'!$C$274:$C$293,'Sell-down'!EH$5,'Report-sj'!$F$274:$F$293)*1000*(EH$37/SUM($F$38,$I$38))</f>
        <v>0</v>
      </c>
      <c r="EI44" s="171">
        <f>SUMIF('Report-sj'!$C$274:$C$293,'Sell-down'!EI$5,'Report-sj'!$F$274:$F$293)*1000*(EI$37/SUM($F$38,$I$38))</f>
        <v>0</v>
      </c>
      <c r="EJ44" s="171">
        <f>SUMIF('Report-sj'!$C$274:$C$293,'Sell-down'!EJ$5,'Report-sj'!$F$274:$F$293)*1000*(EJ$37/SUM($F$38,$I$38))</f>
        <v>0</v>
      </c>
      <c r="EK44" s="171">
        <f>SUMIF('Report-sj'!$C$274:$C$293,'Sell-down'!EK$5,'Report-sj'!$F$274:$F$293)*1000*(EK$37/SUM($F$38,$I$38))</f>
        <v>0</v>
      </c>
      <c r="EL44" s="171">
        <f>SUMIF('Report-sj'!$C$274:$C$293,'Sell-down'!EL$5,'Report-sj'!$F$274:$F$293)*1000*(EL$37/SUM($F$38,$I$38))</f>
        <v>0</v>
      </c>
      <c r="EM44" s="171">
        <f>SUMIF('Report-sj'!$C$274:$C$293,'Sell-down'!EM$5,'Report-sj'!$F$274:$F$293)*1000*(EM$37/SUM($F$38,$I$38))</f>
        <v>0</v>
      </c>
      <c r="EN44" s="171">
        <f>SUMIF('Report-sj'!$C$274:$C$293,'Sell-down'!EN$5,'Report-sj'!$F$274:$F$293)*1000*(EN$37/SUM($F$38,$I$38))</f>
        <v>0</v>
      </c>
      <c r="EO44" s="171">
        <f>SUMIF('Report-sj'!$C$274:$C$293,'Sell-down'!EO$5,'Report-sj'!$F$274:$F$293)*1000*(EO$37/SUM($F$38,$I$38))</f>
        <v>0</v>
      </c>
      <c r="EP44" s="171">
        <f>SUMIF('Report-sj'!$C$274:$C$293,'Sell-down'!EP$5,'Report-sj'!$F$274:$F$293)*1000*(EP$37/SUM($F$38,$I$38))</f>
        <v>0</v>
      </c>
      <c r="EQ44" s="171">
        <f>SUMIF('Report-sj'!$C$274:$C$293,'Sell-down'!EQ$5,'Report-sj'!$F$274:$F$293)*1000*(EQ$37/SUM($F$38,$I$38))</f>
        <v>0</v>
      </c>
    </row>
    <row r="45" spans="2:147" ht="13.35" customHeight="1">
      <c r="B45" s="218"/>
      <c r="C45" s="163"/>
      <c r="D45" s="1038" t="s">
        <v>233</v>
      </c>
      <c r="E45" s="175"/>
      <c r="F45" s="175"/>
      <c r="G45" s="1034"/>
      <c r="H45" s="1035"/>
      <c r="I45" s="1036"/>
      <c r="J45" s="177"/>
      <c r="K45" s="98"/>
      <c r="L45" s="171">
        <f>L42+L43-L44</f>
        <v>0</v>
      </c>
      <c r="M45" s="171">
        <f t="shared" ref="M45:BX45" si="206">M42+M43-M44</f>
        <v>100000</v>
      </c>
      <c r="N45" s="171">
        <f t="shared" si="206"/>
        <v>200000</v>
      </c>
      <c r="O45" s="171">
        <f t="shared" si="206"/>
        <v>300000</v>
      </c>
      <c r="P45" s="171">
        <f t="shared" si="206"/>
        <v>400000</v>
      </c>
      <c r="Q45" s="171">
        <f t="shared" si="206"/>
        <v>500000</v>
      </c>
      <c r="R45" s="171">
        <f t="shared" ca="1" si="206"/>
        <v>0</v>
      </c>
      <c r="S45" s="171">
        <f t="shared" ca="1" si="206"/>
        <v>100000</v>
      </c>
      <c r="T45" s="171">
        <f t="shared" ca="1" si="206"/>
        <v>200000</v>
      </c>
      <c r="U45" s="171">
        <f t="shared" ca="1" si="206"/>
        <v>300000</v>
      </c>
      <c r="V45" s="171">
        <f t="shared" ca="1" si="206"/>
        <v>400000</v>
      </c>
      <c r="W45" s="171">
        <f t="shared" ca="1" si="206"/>
        <v>500000</v>
      </c>
      <c r="X45" s="171">
        <f t="shared" ca="1" si="206"/>
        <v>0</v>
      </c>
      <c r="Y45" s="171">
        <f t="shared" ca="1" si="206"/>
        <v>312500</v>
      </c>
      <c r="Z45" s="171">
        <f t="shared" ca="1" si="206"/>
        <v>625000</v>
      </c>
      <c r="AA45" s="171">
        <f t="shared" ca="1" si="206"/>
        <v>937500</v>
      </c>
      <c r="AB45" s="171">
        <f t="shared" ca="1" si="206"/>
        <v>1250000</v>
      </c>
      <c r="AC45" s="171">
        <f t="shared" ca="1" si="206"/>
        <v>1562500</v>
      </c>
      <c r="AD45" s="171">
        <f t="shared" ca="1" si="206"/>
        <v>0</v>
      </c>
      <c r="AE45" s="171">
        <f t="shared" ca="1" si="206"/>
        <v>312500</v>
      </c>
      <c r="AF45" s="171">
        <f t="shared" ca="1" si="206"/>
        <v>625000</v>
      </c>
      <c r="AG45" s="171">
        <f t="shared" ca="1" si="206"/>
        <v>937500</v>
      </c>
      <c r="AH45" s="171">
        <f t="shared" ca="1" si="206"/>
        <v>1250000</v>
      </c>
      <c r="AI45" s="171">
        <f t="shared" ca="1" si="206"/>
        <v>1562500</v>
      </c>
      <c r="AJ45" s="171">
        <f t="shared" ca="1" si="206"/>
        <v>0</v>
      </c>
      <c r="AK45" s="171">
        <f t="shared" ca="1" si="206"/>
        <v>312500</v>
      </c>
      <c r="AL45" s="171">
        <f t="shared" ca="1" si="206"/>
        <v>625000</v>
      </c>
      <c r="AM45" s="171">
        <f t="shared" ca="1" si="206"/>
        <v>937500</v>
      </c>
      <c r="AN45" s="171">
        <f t="shared" ca="1" si="206"/>
        <v>1250000</v>
      </c>
      <c r="AO45" s="171">
        <f t="shared" ca="1" si="206"/>
        <v>1562500</v>
      </c>
      <c r="AP45" s="171">
        <f t="shared" ca="1" si="206"/>
        <v>0</v>
      </c>
      <c r="AQ45" s="171">
        <f t="shared" ca="1" si="206"/>
        <v>312500</v>
      </c>
      <c r="AR45" s="171">
        <f t="shared" ca="1" si="206"/>
        <v>625000</v>
      </c>
      <c r="AS45" s="171">
        <f t="shared" ca="1" si="206"/>
        <v>937500</v>
      </c>
      <c r="AT45" s="171">
        <f t="shared" ca="1" si="206"/>
        <v>1250000</v>
      </c>
      <c r="AU45" s="171">
        <f t="shared" ca="1" si="206"/>
        <v>1562500</v>
      </c>
      <c r="AV45" s="171">
        <f t="shared" ca="1" si="206"/>
        <v>0</v>
      </c>
      <c r="AW45" s="171">
        <f t="shared" ca="1" si="206"/>
        <v>312500</v>
      </c>
      <c r="AX45" s="171">
        <f t="shared" ca="1" si="206"/>
        <v>625000</v>
      </c>
      <c r="AY45" s="171">
        <f t="shared" ca="1" si="206"/>
        <v>937500</v>
      </c>
      <c r="AZ45" s="171">
        <f t="shared" ca="1" si="206"/>
        <v>1250000</v>
      </c>
      <c r="BA45" s="171">
        <f t="shared" ca="1" si="206"/>
        <v>1562500</v>
      </c>
      <c r="BB45" s="171">
        <f t="shared" ca="1" si="206"/>
        <v>112527.98705873126</v>
      </c>
      <c r="BC45" s="171">
        <f t="shared" ca="1" si="206"/>
        <v>425027.98705873126</v>
      </c>
      <c r="BD45" s="171">
        <f t="shared" ca="1" si="206"/>
        <v>737527.98705873126</v>
      </c>
      <c r="BE45" s="171">
        <f t="shared" ca="1" si="206"/>
        <v>1050027.9870587313</v>
      </c>
      <c r="BF45" s="171">
        <f t="shared" ca="1" si="206"/>
        <v>1362527.9870587313</v>
      </c>
      <c r="BG45" s="171">
        <f t="shared" ca="1" si="206"/>
        <v>1675027.9870587313</v>
      </c>
      <c r="BH45" s="171">
        <f t="shared" ca="1" si="206"/>
        <v>474235.9881307208</v>
      </c>
      <c r="BI45" s="171">
        <f t="shared" ca="1" si="206"/>
        <v>786735.9881307208</v>
      </c>
      <c r="BJ45" s="171">
        <f t="shared" ca="1" si="206"/>
        <v>1099235.9881307208</v>
      </c>
      <c r="BK45" s="171">
        <f t="shared" ca="1" si="206"/>
        <v>1411735.9881307208</v>
      </c>
      <c r="BL45" s="171">
        <f t="shared" ca="1" si="206"/>
        <v>1724235.9881307208</v>
      </c>
      <c r="BM45" s="171">
        <f t="shared" ca="1" si="206"/>
        <v>2036735.9881307208</v>
      </c>
      <c r="BN45" s="171">
        <f t="shared" ca="1" si="206"/>
        <v>1083694.4914447735</v>
      </c>
      <c r="BO45" s="171">
        <f t="shared" ca="1" si="206"/>
        <v>1396194.4914447735</v>
      </c>
      <c r="BP45" s="171">
        <f t="shared" ca="1" si="206"/>
        <v>1708694.4914447735</v>
      </c>
      <c r="BQ45" s="171">
        <f t="shared" ca="1" si="206"/>
        <v>2021194.4914447735</v>
      </c>
      <c r="BR45" s="171">
        <f t="shared" ca="1" si="206"/>
        <v>2333694.4914447735</v>
      </c>
      <c r="BS45" s="171">
        <f t="shared" ca="1" si="206"/>
        <v>2646194.4914447735</v>
      </c>
      <c r="BT45" s="171">
        <f t="shared" ca="1" si="206"/>
        <v>1236216.0558593343</v>
      </c>
      <c r="BU45" s="171">
        <f t="shared" ca="1" si="206"/>
        <v>1548716.0558593343</v>
      </c>
      <c r="BV45" s="171">
        <f t="shared" ca="1" si="206"/>
        <v>1861216.0558593343</v>
      </c>
      <c r="BW45" s="171">
        <f t="shared" ca="1" si="206"/>
        <v>2173716.0558593343</v>
      </c>
      <c r="BX45" s="171">
        <f t="shared" ca="1" si="206"/>
        <v>2486216.0558593343</v>
      </c>
      <c r="BY45" s="171">
        <f t="shared" ref="BY45:EJ45" ca="1" si="207">BY42+BY43-BY44</f>
        <v>2798716.0558593343</v>
      </c>
      <c r="BZ45" s="171">
        <f t="shared" ca="1" si="207"/>
        <v>1305568.3155292799</v>
      </c>
      <c r="CA45" s="171">
        <f t="shared" ca="1" si="207"/>
        <v>1618068.3155292799</v>
      </c>
      <c r="CB45" s="171">
        <f t="shared" ca="1" si="207"/>
        <v>1930568.3155292799</v>
      </c>
      <c r="CC45" s="171">
        <f t="shared" ca="1" si="207"/>
        <v>2243068.3155292799</v>
      </c>
      <c r="CD45" s="171">
        <f t="shared" ca="1" si="207"/>
        <v>2555568.3155292799</v>
      </c>
      <c r="CE45" s="171">
        <f t="shared" ca="1" si="207"/>
        <v>2868068.3155292799</v>
      </c>
      <c r="CF45" s="171">
        <f t="shared" ca="1" si="207"/>
        <v>922070.9693098818</v>
      </c>
      <c r="CG45" s="171">
        <f t="shared" ca="1" si="207"/>
        <v>1234570.9693098818</v>
      </c>
      <c r="CH45" s="171">
        <f t="shared" ca="1" si="207"/>
        <v>1547070.9693098818</v>
      </c>
      <c r="CI45" s="171">
        <f t="shared" ca="1" si="207"/>
        <v>1859570.9693098818</v>
      </c>
      <c r="CJ45" s="171">
        <f t="shared" ca="1" si="207"/>
        <v>2172070.9693098818</v>
      </c>
      <c r="CK45" s="171">
        <f t="shared" ca="1" si="207"/>
        <v>2484570.9693098818</v>
      </c>
      <c r="CL45" s="171">
        <f t="shared" ca="1" si="207"/>
        <v>765857.79048862867</v>
      </c>
      <c r="CM45" s="171">
        <f t="shared" ca="1" si="207"/>
        <v>1078357.7904886287</v>
      </c>
      <c r="CN45" s="171">
        <f t="shared" ca="1" si="207"/>
        <v>1390857.7904886287</v>
      </c>
      <c r="CO45" s="171">
        <f t="shared" ca="1" si="207"/>
        <v>1703357.7904886287</v>
      </c>
      <c r="CP45" s="171">
        <f t="shared" ca="1" si="207"/>
        <v>2015857.7904886287</v>
      </c>
      <c r="CQ45" s="171">
        <f t="shared" ca="1" si="207"/>
        <v>2328357.7904886287</v>
      </c>
      <c r="CR45" s="171">
        <f t="shared" ca="1" si="207"/>
        <v>160583.13370326906</v>
      </c>
      <c r="CS45" s="171">
        <f t="shared" ca="1" si="207"/>
        <v>473083.13370326906</v>
      </c>
      <c r="CT45" s="171">
        <f t="shared" ca="1" si="207"/>
        <v>785583.13370326906</v>
      </c>
      <c r="CU45" s="171">
        <f t="shared" ca="1" si="207"/>
        <v>1098083.1337032691</v>
      </c>
      <c r="CV45" s="171">
        <f t="shared" ca="1" si="207"/>
        <v>1410583.1337032691</v>
      </c>
      <c r="CW45" s="171">
        <f t="shared" ca="1" si="207"/>
        <v>1723083.1337032691</v>
      </c>
      <c r="CX45" s="171">
        <f t="shared" ca="1" si="207"/>
        <v>0</v>
      </c>
      <c r="CY45" s="171">
        <f t="shared" ca="1" si="207"/>
        <v>312500</v>
      </c>
      <c r="CZ45" s="171">
        <f t="shared" ca="1" si="207"/>
        <v>625000</v>
      </c>
      <c r="DA45" s="171">
        <f t="shared" ca="1" si="207"/>
        <v>937500</v>
      </c>
      <c r="DB45" s="171">
        <f t="shared" ca="1" si="207"/>
        <v>1250000</v>
      </c>
      <c r="DC45" s="171">
        <f t="shared" ca="1" si="207"/>
        <v>1562500</v>
      </c>
      <c r="DD45" s="171">
        <f t="shared" ca="1" si="207"/>
        <v>0</v>
      </c>
      <c r="DE45" s="171">
        <f t="shared" ca="1" si="207"/>
        <v>312500</v>
      </c>
      <c r="DF45" s="171">
        <f t="shared" ca="1" si="207"/>
        <v>625000</v>
      </c>
      <c r="DG45" s="171">
        <f t="shared" ca="1" si="207"/>
        <v>937500</v>
      </c>
      <c r="DH45" s="171">
        <f t="shared" ca="1" si="207"/>
        <v>1250000</v>
      </c>
      <c r="DI45" s="171">
        <f t="shared" ca="1" si="207"/>
        <v>1562500</v>
      </c>
      <c r="DJ45" s="171">
        <f t="shared" ca="1" si="207"/>
        <v>0</v>
      </c>
      <c r="DK45" s="171">
        <f t="shared" ca="1" si="207"/>
        <v>312500</v>
      </c>
      <c r="DL45" s="171">
        <f t="shared" ca="1" si="207"/>
        <v>625000</v>
      </c>
      <c r="DM45" s="171">
        <f t="shared" ca="1" si="207"/>
        <v>937500</v>
      </c>
      <c r="DN45" s="171">
        <f t="shared" ca="1" si="207"/>
        <v>1250000</v>
      </c>
      <c r="DO45" s="171">
        <f t="shared" ca="1" si="207"/>
        <v>1562500</v>
      </c>
      <c r="DP45" s="171">
        <f t="shared" ca="1" si="207"/>
        <v>0</v>
      </c>
      <c r="DQ45" s="171">
        <f t="shared" ca="1" si="207"/>
        <v>312500</v>
      </c>
      <c r="DR45" s="171">
        <f t="shared" ca="1" si="207"/>
        <v>625000</v>
      </c>
      <c r="DS45" s="171">
        <f t="shared" ca="1" si="207"/>
        <v>937500</v>
      </c>
      <c r="DT45" s="171">
        <f t="shared" ca="1" si="207"/>
        <v>1250000</v>
      </c>
      <c r="DU45" s="171">
        <f t="shared" ca="1" si="207"/>
        <v>1562500</v>
      </c>
      <c r="DV45" s="171">
        <f t="shared" ca="1" si="207"/>
        <v>0</v>
      </c>
      <c r="DW45" s="171">
        <f t="shared" ca="1" si="207"/>
        <v>312500</v>
      </c>
      <c r="DX45" s="171">
        <f t="shared" ca="1" si="207"/>
        <v>625000</v>
      </c>
      <c r="DY45" s="171">
        <f t="shared" ca="1" si="207"/>
        <v>937500</v>
      </c>
      <c r="DZ45" s="171">
        <f t="shared" ca="1" si="207"/>
        <v>1250000</v>
      </c>
      <c r="EA45" s="171">
        <f t="shared" ca="1" si="207"/>
        <v>1562500</v>
      </c>
      <c r="EB45" s="171">
        <f t="shared" ca="1" si="207"/>
        <v>0</v>
      </c>
      <c r="EC45" s="171">
        <f t="shared" ca="1" si="207"/>
        <v>0</v>
      </c>
      <c r="ED45" s="171">
        <f t="shared" ca="1" si="207"/>
        <v>0</v>
      </c>
      <c r="EE45" s="171">
        <f t="shared" ca="1" si="207"/>
        <v>0</v>
      </c>
      <c r="EF45" s="171">
        <f t="shared" ca="1" si="207"/>
        <v>0</v>
      </c>
      <c r="EG45" s="171">
        <f t="shared" ca="1" si="207"/>
        <v>0</v>
      </c>
      <c r="EH45" s="171">
        <f t="shared" ca="1" si="207"/>
        <v>0</v>
      </c>
      <c r="EI45" s="171">
        <f t="shared" ca="1" si="207"/>
        <v>0</v>
      </c>
      <c r="EJ45" s="171">
        <f t="shared" ca="1" si="207"/>
        <v>0</v>
      </c>
      <c r="EK45" s="171">
        <f t="shared" ref="EK45:EQ45" ca="1" si="208">EK42+EK43-EK44</f>
        <v>0</v>
      </c>
      <c r="EL45" s="171">
        <f t="shared" ca="1" si="208"/>
        <v>0</v>
      </c>
      <c r="EM45" s="171">
        <f t="shared" ca="1" si="208"/>
        <v>0</v>
      </c>
      <c r="EN45" s="171">
        <f t="shared" ca="1" si="208"/>
        <v>0</v>
      </c>
      <c r="EO45" s="171">
        <f t="shared" ca="1" si="208"/>
        <v>0</v>
      </c>
      <c r="EP45" s="171">
        <f t="shared" ca="1" si="208"/>
        <v>0</v>
      </c>
      <c r="EQ45" s="171">
        <f t="shared" ca="1" si="208"/>
        <v>0</v>
      </c>
    </row>
    <row r="46" spans="2:147" ht="13.35" customHeight="1">
      <c r="B46" s="218"/>
      <c r="C46" s="158" t="s">
        <v>618</v>
      </c>
      <c r="D46" s="159"/>
      <c r="E46" s="159"/>
      <c r="F46" s="159"/>
      <c r="G46" s="159"/>
      <c r="H46" s="160" t="s">
        <v>1039</v>
      </c>
      <c r="I46" s="219">
        <f>'BS(M)'!K20*2.2%*'A&amp;R'!R44*('A&amp;R'!R44&gt;0.5)</f>
        <v>0</v>
      </c>
      <c r="J46" s="220">
        <f ca="1">SUM(J47:J50)</f>
        <v>48180453.350267738</v>
      </c>
      <c r="K46" s="98"/>
      <c r="L46" s="162">
        <f t="shared" ref="L46:AQ46" ca="1" si="209">SUM(L47:L50)</f>
        <v>-14800000</v>
      </c>
      <c r="M46" s="162">
        <f t="shared" ca="1" si="209"/>
        <v>0</v>
      </c>
      <c r="N46" s="162">
        <f t="shared" ca="1" si="209"/>
        <v>0</v>
      </c>
      <c r="O46" s="162">
        <f t="shared" ca="1" si="209"/>
        <v>0</v>
      </c>
      <c r="P46" s="162">
        <f t="shared" ca="1" si="209"/>
        <v>0</v>
      </c>
      <c r="Q46" s="162">
        <f t="shared" ca="1" si="209"/>
        <v>0</v>
      </c>
      <c r="R46" s="162">
        <f t="shared" ca="1" si="209"/>
        <v>555000</v>
      </c>
      <c r="S46" s="162">
        <f t="shared" ca="1" si="209"/>
        <v>0</v>
      </c>
      <c r="T46" s="162">
        <f t="shared" ca="1" si="209"/>
        <v>0</v>
      </c>
      <c r="U46" s="162">
        <f t="shared" ca="1" si="209"/>
        <v>0</v>
      </c>
      <c r="V46" s="162">
        <f t="shared" ca="1" si="209"/>
        <v>0</v>
      </c>
      <c r="W46" s="162">
        <f t="shared" ca="1" si="209"/>
        <v>0</v>
      </c>
      <c r="X46" s="162">
        <f t="shared" ca="1" si="209"/>
        <v>555000</v>
      </c>
      <c r="Y46" s="162">
        <f t="shared" ca="1" si="209"/>
        <v>0</v>
      </c>
      <c r="Z46" s="162">
        <f t="shared" ca="1" si="209"/>
        <v>0</v>
      </c>
      <c r="AA46" s="162">
        <f t="shared" ca="1" si="209"/>
        <v>0</v>
      </c>
      <c r="AB46" s="162">
        <f t="shared" ca="1" si="209"/>
        <v>0</v>
      </c>
      <c r="AC46" s="162">
        <f t="shared" ca="1" si="209"/>
        <v>0</v>
      </c>
      <c r="AD46" s="162">
        <f t="shared" ca="1" si="209"/>
        <v>0</v>
      </c>
      <c r="AE46" s="162">
        <f t="shared" ca="1" si="209"/>
        <v>0</v>
      </c>
      <c r="AF46" s="162">
        <f t="shared" ca="1" si="209"/>
        <v>0</v>
      </c>
      <c r="AG46" s="162">
        <f t="shared" ca="1" si="209"/>
        <v>0</v>
      </c>
      <c r="AH46" s="162">
        <f t="shared" ca="1" si="209"/>
        <v>0</v>
      </c>
      <c r="AI46" s="162">
        <f t="shared" ca="1" si="209"/>
        <v>0</v>
      </c>
      <c r="AJ46" s="162">
        <f t="shared" ca="1" si="209"/>
        <v>0</v>
      </c>
      <c r="AK46" s="162">
        <f t="shared" ca="1" si="209"/>
        <v>0</v>
      </c>
      <c r="AL46" s="162">
        <f t="shared" ca="1" si="209"/>
        <v>0</v>
      </c>
      <c r="AM46" s="162">
        <f t="shared" ca="1" si="209"/>
        <v>0</v>
      </c>
      <c r="AN46" s="162">
        <f t="shared" ca="1" si="209"/>
        <v>0</v>
      </c>
      <c r="AO46" s="162">
        <f t="shared" ca="1" si="209"/>
        <v>0</v>
      </c>
      <c r="AP46" s="162">
        <f t="shared" ca="1" si="209"/>
        <v>0</v>
      </c>
      <c r="AQ46" s="162">
        <f t="shared" ca="1" si="209"/>
        <v>0</v>
      </c>
      <c r="AR46" s="162">
        <f t="shared" ref="AR46:BW46" ca="1" si="210">SUM(AR47:AR50)</f>
        <v>0</v>
      </c>
      <c r="AS46" s="162">
        <f t="shared" ca="1" si="210"/>
        <v>0</v>
      </c>
      <c r="AT46" s="162">
        <f t="shared" ca="1" si="210"/>
        <v>0</v>
      </c>
      <c r="AU46" s="162">
        <f t="shared" ca="1" si="210"/>
        <v>0</v>
      </c>
      <c r="AV46" s="162">
        <f t="shared" ca="1" si="210"/>
        <v>0</v>
      </c>
      <c r="AW46" s="162">
        <f t="shared" ca="1" si="210"/>
        <v>0</v>
      </c>
      <c r="AX46" s="162">
        <f t="shared" ca="1" si="210"/>
        <v>0</v>
      </c>
      <c r="AY46" s="162">
        <f t="shared" ca="1" si="210"/>
        <v>0</v>
      </c>
      <c r="AZ46" s="162">
        <f t="shared" ca="1" si="210"/>
        <v>0</v>
      </c>
      <c r="BA46" s="162">
        <f t="shared" ca="1" si="210"/>
        <v>0</v>
      </c>
      <c r="BB46" s="162">
        <f t="shared" ca="1" si="210"/>
        <v>0</v>
      </c>
      <c r="BC46" s="162">
        <f t="shared" ca="1" si="210"/>
        <v>0</v>
      </c>
      <c r="BD46" s="162">
        <f t="shared" ca="1" si="210"/>
        <v>0</v>
      </c>
      <c r="BE46" s="162">
        <f t="shared" ca="1" si="210"/>
        <v>0</v>
      </c>
      <c r="BF46" s="162">
        <f t="shared" ca="1" si="210"/>
        <v>0</v>
      </c>
      <c r="BG46" s="162">
        <f t="shared" ca="1" si="210"/>
        <v>0</v>
      </c>
      <c r="BH46" s="162">
        <f t="shared" ca="1" si="210"/>
        <v>0</v>
      </c>
      <c r="BI46" s="162">
        <f t="shared" ca="1" si="210"/>
        <v>0</v>
      </c>
      <c r="BJ46" s="162">
        <f t="shared" ca="1" si="210"/>
        <v>0</v>
      </c>
      <c r="BK46" s="162">
        <f t="shared" ca="1" si="210"/>
        <v>0</v>
      </c>
      <c r="BL46" s="162">
        <f t="shared" ca="1" si="210"/>
        <v>0</v>
      </c>
      <c r="BM46" s="162">
        <f t="shared" ca="1" si="210"/>
        <v>0</v>
      </c>
      <c r="BN46" s="162">
        <f t="shared" ca="1" si="210"/>
        <v>0</v>
      </c>
      <c r="BO46" s="162">
        <f t="shared" ca="1" si="210"/>
        <v>0</v>
      </c>
      <c r="BP46" s="162">
        <f t="shared" ca="1" si="210"/>
        <v>0</v>
      </c>
      <c r="BQ46" s="162">
        <f t="shared" ca="1" si="210"/>
        <v>0</v>
      </c>
      <c r="BR46" s="162">
        <f t="shared" ca="1" si="210"/>
        <v>0</v>
      </c>
      <c r="BS46" s="162">
        <f t="shared" ca="1" si="210"/>
        <v>0</v>
      </c>
      <c r="BT46" s="162">
        <f t="shared" ca="1" si="210"/>
        <v>0</v>
      </c>
      <c r="BU46" s="162">
        <f t="shared" ca="1" si="210"/>
        <v>0</v>
      </c>
      <c r="BV46" s="162">
        <f t="shared" ca="1" si="210"/>
        <v>0</v>
      </c>
      <c r="BW46" s="162">
        <f t="shared" ca="1" si="210"/>
        <v>0</v>
      </c>
      <c r="BX46" s="162">
        <f t="shared" ref="BX46:DC46" ca="1" si="211">SUM(BX47:BX50)</f>
        <v>0</v>
      </c>
      <c r="BY46" s="162">
        <f t="shared" ca="1" si="211"/>
        <v>0</v>
      </c>
      <c r="BZ46" s="162">
        <f t="shared" ca="1" si="211"/>
        <v>0</v>
      </c>
      <c r="CA46" s="162">
        <f t="shared" ca="1" si="211"/>
        <v>0</v>
      </c>
      <c r="CB46" s="162">
        <f t="shared" ca="1" si="211"/>
        <v>0</v>
      </c>
      <c r="CC46" s="162">
        <f t="shared" ca="1" si="211"/>
        <v>0</v>
      </c>
      <c r="CD46" s="162">
        <f t="shared" ca="1" si="211"/>
        <v>0</v>
      </c>
      <c r="CE46" s="162">
        <f t="shared" ca="1" si="211"/>
        <v>0</v>
      </c>
      <c r="CF46" s="162">
        <f t="shared" ca="1" si="211"/>
        <v>0</v>
      </c>
      <c r="CG46" s="162">
        <f t="shared" ca="1" si="211"/>
        <v>0</v>
      </c>
      <c r="CH46" s="162">
        <f t="shared" ca="1" si="211"/>
        <v>0</v>
      </c>
      <c r="CI46" s="162">
        <f t="shared" ca="1" si="211"/>
        <v>0</v>
      </c>
      <c r="CJ46" s="162">
        <f t="shared" ca="1" si="211"/>
        <v>0</v>
      </c>
      <c r="CK46" s="162">
        <f t="shared" ca="1" si="211"/>
        <v>0</v>
      </c>
      <c r="CL46" s="162">
        <f t="shared" ca="1" si="211"/>
        <v>0</v>
      </c>
      <c r="CM46" s="162">
        <f t="shared" ca="1" si="211"/>
        <v>0</v>
      </c>
      <c r="CN46" s="162">
        <f t="shared" ca="1" si="211"/>
        <v>0</v>
      </c>
      <c r="CO46" s="162">
        <f t="shared" ca="1" si="211"/>
        <v>0</v>
      </c>
      <c r="CP46" s="162">
        <f t="shared" ca="1" si="211"/>
        <v>0</v>
      </c>
      <c r="CQ46" s="162">
        <f t="shared" ca="1" si="211"/>
        <v>0</v>
      </c>
      <c r="CR46" s="162">
        <f t="shared" ca="1" si="211"/>
        <v>0</v>
      </c>
      <c r="CS46" s="162">
        <f t="shared" ca="1" si="211"/>
        <v>0</v>
      </c>
      <c r="CT46" s="162">
        <f t="shared" ca="1" si="211"/>
        <v>0</v>
      </c>
      <c r="CU46" s="162">
        <f t="shared" ca="1" si="211"/>
        <v>0</v>
      </c>
      <c r="CV46" s="162">
        <f t="shared" ca="1" si="211"/>
        <v>0</v>
      </c>
      <c r="CW46" s="162">
        <f t="shared" ca="1" si="211"/>
        <v>0</v>
      </c>
      <c r="CX46" s="162">
        <f t="shared" ca="1" si="211"/>
        <v>0</v>
      </c>
      <c r="CY46" s="162">
        <f t="shared" ca="1" si="211"/>
        <v>0</v>
      </c>
      <c r="CZ46" s="162">
        <f t="shared" ca="1" si="211"/>
        <v>0</v>
      </c>
      <c r="DA46" s="162">
        <f t="shared" ca="1" si="211"/>
        <v>0</v>
      </c>
      <c r="DB46" s="162">
        <f t="shared" ca="1" si="211"/>
        <v>0</v>
      </c>
      <c r="DC46" s="162">
        <f t="shared" ca="1" si="211"/>
        <v>0</v>
      </c>
      <c r="DD46" s="162">
        <f t="shared" ref="DD46:DS46" ca="1" si="212">SUM(DD47:DD50)</f>
        <v>0</v>
      </c>
      <c r="DE46" s="162">
        <f t="shared" ca="1" si="212"/>
        <v>0</v>
      </c>
      <c r="DF46" s="162">
        <f t="shared" ca="1" si="212"/>
        <v>0</v>
      </c>
      <c r="DG46" s="162">
        <f t="shared" ca="1" si="212"/>
        <v>0</v>
      </c>
      <c r="DH46" s="162">
        <f t="shared" ca="1" si="212"/>
        <v>0</v>
      </c>
      <c r="DI46" s="162">
        <f t="shared" ca="1" si="212"/>
        <v>0</v>
      </c>
      <c r="DJ46" s="162">
        <f t="shared" ca="1" si="212"/>
        <v>0</v>
      </c>
      <c r="DK46" s="162">
        <f t="shared" ca="1" si="212"/>
        <v>0</v>
      </c>
      <c r="DL46" s="162">
        <f t="shared" ca="1" si="212"/>
        <v>0</v>
      </c>
      <c r="DM46" s="162">
        <f t="shared" ca="1" si="212"/>
        <v>0</v>
      </c>
      <c r="DN46" s="162">
        <f t="shared" ca="1" si="212"/>
        <v>0</v>
      </c>
      <c r="DO46" s="162">
        <f t="shared" ca="1" si="212"/>
        <v>0</v>
      </c>
      <c r="DP46" s="162">
        <f t="shared" ca="1" si="212"/>
        <v>0</v>
      </c>
      <c r="DQ46" s="162">
        <f t="shared" ca="1" si="212"/>
        <v>0</v>
      </c>
      <c r="DR46" s="162">
        <f t="shared" ca="1" si="212"/>
        <v>0</v>
      </c>
      <c r="DS46" s="162">
        <f t="shared" ca="1" si="212"/>
        <v>0</v>
      </c>
      <c r="DT46" s="162">
        <f t="shared" ref="DT46:EQ46" ca="1" si="213">SUM(DT47:DT50)</f>
        <v>0</v>
      </c>
      <c r="DU46" s="162">
        <f t="shared" ca="1" si="213"/>
        <v>0</v>
      </c>
      <c r="DV46" s="162">
        <f t="shared" ca="1" si="213"/>
        <v>0</v>
      </c>
      <c r="DW46" s="162">
        <f t="shared" ca="1" si="213"/>
        <v>0</v>
      </c>
      <c r="DX46" s="162">
        <f t="shared" ca="1" si="213"/>
        <v>0</v>
      </c>
      <c r="DY46" s="162">
        <f t="shared" ca="1" si="213"/>
        <v>0</v>
      </c>
      <c r="DZ46" s="162">
        <f t="shared" ca="1" si="213"/>
        <v>0</v>
      </c>
      <c r="EA46" s="162">
        <f t="shared" ca="1" si="213"/>
        <v>0</v>
      </c>
      <c r="EB46" s="162">
        <f t="shared" ca="1" si="213"/>
        <v>61870453.350267738</v>
      </c>
      <c r="EC46" s="162">
        <f t="shared" ca="1" si="213"/>
        <v>0</v>
      </c>
      <c r="ED46" s="162">
        <f t="shared" ca="1" si="213"/>
        <v>0</v>
      </c>
      <c r="EE46" s="162">
        <f t="shared" ca="1" si="213"/>
        <v>0</v>
      </c>
      <c r="EF46" s="162">
        <f t="shared" ca="1" si="213"/>
        <v>0</v>
      </c>
      <c r="EG46" s="162">
        <f t="shared" ca="1" si="213"/>
        <v>0</v>
      </c>
      <c r="EH46" s="162">
        <f t="shared" ca="1" si="213"/>
        <v>0</v>
      </c>
      <c r="EI46" s="162">
        <f t="shared" ca="1" si="213"/>
        <v>0</v>
      </c>
      <c r="EJ46" s="162">
        <f t="shared" ca="1" si="213"/>
        <v>0</v>
      </c>
      <c r="EK46" s="162">
        <f t="shared" ca="1" si="213"/>
        <v>0</v>
      </c>
      <c r="EL46" s="162">
        <f t="shared" ca="1" si="213"/>
        <v>0</v>
      </c>
      <c r="EM46" s="162">
        <f t="shared" ca="1" si="213"/>
        <v>0</v>
      </c>
      <c r="EN46" s="162">
        <f t="shared" ca="1" si="213"/>
        <v>0</v>
      </c>
      <c r="EO46" s="162">
        <f t="shared" ca="1" si="213"/>
        <v>0</v>
      </c>
      <c r="EP46" s="162">
        <f t="shared" ca="1" si="213"/>
        <v>0</v>
      </c>
      <c r="EQ46" s="162">
        <f t="shared" ca="1" si="213"/>
        <v>0</v>
      </c>
    </row>
    <row r="47" spans="2:147" ht="13.35" customHeight="1">
      <c r="B47" s="218"/>
      <c r="C47" s="163"/>
      <c r="D47" s="164" t="s">
        <v>596</v>
      </c>
      <c r="E47" s="165"/>
      <c r="F47" s="165"/>
      <c r="G47" s="165"/>
      <c r="H47" s="166">
        <f>'A&amp;R'!G114</f>
        <v>46691</v>
      </c>
      <c r="I47" s="228">
        <f>'A&amp;R'!$Q$44*(1+0.5%)+I46</f>
        <v>14873999.999999998</v>
      </c>
      <c r="J47" s="168">
        <f t="shared" ref="J47:J52" si="214">SUM(L47:EQ47)</f>
        <v>-14800000</v>
      </c>
      <c r="K47" s="98"/>
      <c r="L47" s="168">
        <f>-'CF(M)'!L111</f>
        <v>-14800000</v>
      </c>
      <c r="M47" s="168">
        <f>-'CF(M)'!M111</f>
        <v>0</v>
      </c>
      <c r="N47" s="168">
        <f>-'CF(M)'!N111</f>
        <v>0</v>
      </c>
      <c r="O47" s="168">
        <f>-'CF(M)'!O111</f>
        <v>0</v>
      </c>
      <c r="P47" s="168">
        <f>-'CF(M)'!P111</f>
        <v>0</v>
      </c>
      <c r="Q47" s="168">
        <f>-'CF(M)'!Q111</f>
        <v>0</v>
      </c>
      <c r="R47" s="168">
        <f>-'CF(M)'!R111</f>
        <v>0</v>
      </c>
      <c r="S47" s="168">
        <f>-'CF(M)'!S111</f>
        <v>0</v>
      </c>
      <c r="T47" s="168">
        <f>-'CF(M)'!T111</f>
        <v>0</v>
      </c>
      <c r="U47" s="168">
        <f>-'CF(M)'!U111</f>
        <v>0</v>
      </c>
      <c r="V47" s="168">
        <f>-'CF(M)'!V111</f>
        <v>0</v>
      </c>
      <c r="W47" s="168">
        <f>-'CF(M)'!W111</f>
        <v>0</v>
      </c>
      <c r="X47" s="168">
        <f>-'CF(M)'!X111</f>
        <v>0</v>
      </c>
      <c r="Y47" s="168">
        <f>-'CF(M)'!Y111</f>
        <v>0</v>
      </c>
      <c r="Z47" s="168">
        <f>-'CF(M)'!Z111</f>
        <v>0</v>
      </c>
      <c r="AA47" s="168">
        <f>-'CF(M)'!AA111</f>
        <v>0</v>
      </c>
      <c r="AB47" s="168">
        <f>-'CF(M)'!AB111</f>
        <v>0</v>
      </c>
      <c r="AC47" s="168">
        <f>-'CF(M)'!AC111</f>
        <v>0</v>
      </c>
      <c r="AD47" s="168">
        <f>-'CF(M)'!AD111</f>
        <v>0</v>
      </c>
      <c r="AE47" s="168">
        <f>-'CF(M)'!AE111</f>
        <v>0</v>
      </c>
      <c r="AF47" s="168">
        <f>-'CF(M)'!AF111</f>
        <v>0</v>
      </c>
      <c r="AG47" s="168">
        <f>-'CF(M)'!AG111</f>
        <v>0</v>
      </c>
      <c r="AH47" s="168">
        <f>-'CF(M)'!AH111</f>
        <v>0</v>
      </c>
      <c r="AI47" s="168">
        <f>-'CF(M)'!AI111</f>
        <v>0</v>
      </c>
      <c r="AJ47" s="168">
        <f>-'CF(M)'!AJ111</f>
        <v>0</v>
      </c>
      <c r="AK47" s="168">
        <f>-'CF(M)'!AK111</f>
        <v>0</v>
      </c>
      <c r="AL47" s="168">
        <f>-'CF(M)'!AL111</f>
        <v>0</v>
      </c>
      <c r="AM47" s="168">
        <f>-'CF(M)'!AM111</f>
        <v>0</v>
      </c>
      <c r="AN47" s="168">
        <f>-'CF(M)'!AN111</f>
        <v>0</v>
      </c>
      <c r="AO47" s="168">
        <f>-'CF(M)'!AO111</f>
        <v>0</v>
      </c>
      <c r="AP47" s="168">
        <f>-'CF(M)'!AP111</f>
        <v>0</v>
      </c>
      <c r="AQ47" s="168">
        <f>-'CF(M)'!AQ111</f>
        <v>0</v>
      </c>
      <c r="AR47" s="168">
        <f>-'CF(M)'!AR111</f>
        <v>0</v>
      </c>
      <c r="AS47" s="168">
        <f>-'CF(M)'!AS111</f>
        <v>0</v>
      </c>
      <c r="AT47" s="168">
        <f>-'CF(M)'!AT111</f>
        <v>0</v>
      </c>
      <c r="AU47" s="168">
        <f>-'CF(M)'!AU111</f>
        <v>0</v>
      </c>
      <c r="AV47" s="168">
        <f>-'CF(M)'!AV111</f>
        <v>0</v>
      </c>
      <c r="AW47" s="168">
        <f>-'CF(M)'!AW111</f>
        <v>0</v>
      </c>
      <c r="AX47" s="168">
        <f>-'CF(M)'!AX111</f>
        <v>0</v>
      </c>
      <c r="AY47" s="168">
        <f>-'CF(M)'!AY111</f>
        <v>0</v>
      </c>
      <c r="AZ47" s="168">
        <f>-'CF(M)'!AZ111</f>
        <v>0</v>
      </c>
      <c r="BA47" s="168">
        <f>-'CF(M)'!BA111</f>
        <v>0</v>
      </c>
      <c r="BB47" s="168">
        <f>-'CF(M)'!BB111</f>
        <v>0</v>
      </c>
      <c r="BC47" s="168">
        <f>-'CF(M)'!BC111</f>
        <v>0</v>
      </c>
      <c r="BD47" s="168">
        <f>-'CF(M)'!BD111</f>
        <v>0</v>
      </c>
      <c r="BE47" s="168">
        <f>-'CF(M)'!BE111</f>
        <v>0</v>
      </c>
      <c r="BF47" s="168">
        <f>-'CF(M)'!BF111</f>
        <v>0</v>
      </c>
      <c r="BG47" s="168">
        <f>-'CF(M)'!BG111</f>
        <v>0</v>
      </c>
      <c r="BH47" s="168">
        <f>-'CF(M)'!BH111</f>
        <v>0</v>
      </c>
      <c r="BI47" s="168">
        <f>-'CF(M)'!BI111</f>
        <v>0</v>
      </c>
      <c r="BJ47" s="168">
        <f>-'CF(M)'!BJ111</f>
        <v>0</v>
      </c>
      <c r="BK47" s="168">
        <f>-'CF(M)'!BK111</f>
        <v>0</v>
      </c>
      <c r="BL47" s="168">
        <f>-'CF(M)'!BL111</f>
        <v>0</v>
      </c>
      <c r="BM47" s="168">
        <f>-'CF(M)'!BM111</f>
        <v>0</v>
      </c>
      <c r="BN47" s="168">
        <f>-'CF(M)'!BN111</f>
        <v>0</v>
      </c>
      <c r="BO47" s="168">
        <f>-'CF(M)'!BO111</f>
        <v>0</v>
      </c>
      <c r="BP47" s="168">
        <f>-'CF(M)'!BP111</f>
        <v>0</v>
      </c>
      <c r="BQ47" s="168">
        <f>-'CF(M)'!BQ111</f>
        <v>0</v>
      </c>
      <c r="BR47" s="168">
        <f>-'CF(M)'!BR111</f>
        <v>0</v>
      </c>
      <c r="BS47" s="168">
        <f>-'CF(M)'!BS111</f>
        <v>0</v>
      </c>
      <c r="BT47" s="168">
        <f>-'CF(M)'!BT111</f>
        <v>0</v>
      </c>
      <c r="BU47" s="168">
        <f>-'CF(M)'!BU111</f>
        <v>0</v>
      </c>
      <c r="BV47" s="168">
        <f>-'CF(M)'!BV111</f>
        <v>0</v>
      </c>
      <c r="BW47" s="168">
        <f>-'CF(M)'!BW111</f>
        <v>0</v>
      </c>
      <c r="BX47" s="168">
        <f>-'CF(M)'!BX111</f>
        <v>0</v>
      </c>
      <c r="BY47" s="168">
        <f>-'CF(M)'!BY111</f>
        <v>0</v>
      </c>
      <c r="BZ47" s="168">
        <f>-'CF(M)'!BZ111</f>
        <v>0</v>
      </c>
      <c r="CA47" s="168">
        <f>-'CF(M)'!CA111</f>
        <v>0</v>
      </c>
      <c r="CB47" s="168">
        <f>-'CF(M)'!CB111</f>
        <v>0</v>
      </c>
      <c r="CC47" s="168">
        <f>-'CF(M)'!CC111</f>
        <v>0</v>
      </c>
      <c r="CD47" s="168">
        <f>-'CF(M)'!CD111</f>
        <v>0</v>
      </c>
      <c r="CE47" s="168">
        <f>-'CF(M)'!CE111</f>
        <v>0</v>
      </c>
      <c r="CF47" s="168">
        <f>-'CF(M)'!CF111</f>
        <v>0</v>
      </c>
      <c r="CG47" s="168">
        <f>-'CF(M)'!CG111</f>
        <v>0</v>
      </c>
      <c r="CH47" s="168">
        <f>-'CF(M)'!CH111</f>
        <v>0</v>
      </c>
      <c r="CI47" s="168">
        <f>-'CF(M)'!CI111</f>
        <v>0</v>
      </c>
      <c r="CJ47" s="168">
        <f>-'CF(M)'!CJ111</f>
        <v>0</v>
      </c>
      <c r="CK47" s="168">
        <f>-'CF(M)'!CK111</f>
        <v>0</v>
      </c>
      <c r="CL47" s="168">
        <f>-'CF(M)'!CL111</f>
        <v>0</v>
      </c>
      <c r="CM47" s="168">
        <f>-'CF(M)'!CM111</f>
        <v>0</v>
      </c>
      <c r="CN47" s="168">
        <f>-'CF(M)'!CN111</f>
        <v>0</v>
      </c>
      <c r="CO47" s="168">
        <f>-'CF(M)'!CO111</f>
        <v>0</v>
      </c>
      <c r="CP47" s="168">
        <f>-'CF(M)'!CP111</f>
        <v>0</v>
      </c>
      <c r="CQ47" s="168">
        <f>-'CF(M)'!CQ111</f>
        <v>0</v>
      </c>
      <c r="CR47" s="168">
        <f>-'CF(M)'!CR111</f>
        <v>0</v>
      </c>
      <c r="CS47" s="168">
        <f>-'CF(M)'!CS111</f>
        <v>0</v>
      </c>
      <c r="CT47" s="168">
        <f>-'CF(M)'!CT111</f>
        <v>0</v>
      </c>
      <c r="CU47" s="168">
        <f>-'CF(M)'!CU111</f>
        <v>0</v>
      </c>
      <c r="CV47" s="168">
        <f>-'CF(M)'!CV111</f>
        <v>0</v>
      </c>
      <c r="CW47" s="168">
        <f>-'CF(M)'!CW111</f>
        <v>0</v>
      </c>
      <c r="CX47" s="168">
        <f>-'CF(M)'!CX111</f>
        <v>0</v>
      </c>
      <c r="CY47" s="168">
        <f>-'CF(M)'!CY111</f>
        <v>0</v>
      </c>
      <c r="CZ47" s="168">
        <f>-'CF(M)'!CZ111</f>
        <v>0</v>
      </c>
      <c r="DA47" s="168">
        <f>-'CF(M)'!DA111</f>
        <v>0</v>
      </c>
      <c r="DB47" s="168">
        <f>-'CF(M)'!DB111</f>
        <v>0</v>
      </c>
      <c r="DC47" s="168">
        <f>-'CF(M)'!DC111</f>
        <v>0</v>
      </c>
      <c r="DD47" s="168">
        <f>-'CF(M)'!DD111</f>
        <v>0</v>
      </c>
      <c r="DE47" s="168">
        <f>-'CF(M)'!DE111</f>
        <v>0</v>
      </c>
      <c r="DF47" s="168">
        <f>-'CF(M)'!DF111</f>
        <v>0</v>
      </c>
      <c r="DG47" s="168">
        <f>-'CF(M)'!DG111</f>
        <v>0</v>
      </c>
      <c r="DH47" s="168">
        <f>-'CF(M)'!DH111</f>
        <v>0</v>
      </c>
      <c r="DI47" s="168">
        <f>-'CF(M)'!DI111</f>
        <v>0</v>
      </c>
      <c r="DJ47" s="168">
        <f>-'CF(M)'!DJ111</f>
        <v>0</v>
      </c>
      <c r="DK47" s="168">
        <f>-'CF(M)'!DK111</f>
        <v>0</v>
      </c>
      <c r="DL47" s="168">
        <f>-'CF(M)'!DL111</f>
        <v>0</v>
      </c>
      <c r="DM47" s="168">
        <f>-'CF(M)'!DM111</f>
        <v>0</v>
      </c>
      <c r="DN47" s="168">
        <f>-'CF(M)'!DN111</f>
        <v>0</v>
      </c>
      <c r="DO47" s="168">
        <f>-'CF(M)'!DO111</f>
        <v>0</v>
      </c>
      <c r="DP47" s="168">
        <f>-'CF(M)'!DP111</f>
        <v>0</v>
      </c>
      <c r="DQ47" s="168">
        <f>-'CF(M)'!DQ111</f>
        <v>0</v>
      </c>
      <c r="DR47" s="168">
        <f>-'CF(M)'!DR111</f>
        <v>0</v>
      </c>
      <c r="DS47" s="168">
        <f>-'CF(M)'!DS111</f>
        <v>0</v>
      </c>
      <c r="DT47" s="168">
        <f>-'CF(M)'!DT111</f>
        <v>0</v>
      </c>
      <c r="DU47" s="168">
        <f>-'CF(M)'!DU111</f>
        <v>0</v>
      </c>
      <c r="DV47" s="168">
        <f>-'CF(M)'!DV111</f>
        <v>0</v>
      </c>
      <c r="DW47" s="168">
        <f>-'CF(M)'!DW111</f>
        <v>0</v>
      </c>
      <c r="DX47" s="168">
        <f>-'CF(M)'!DX111</f>
        <v>0</v>
      </c>
      <c r="DY47" s="168">
        <f>-'CF(M)'!DY111</f>
        <v>0</v>
      </c>
      <c r="DZ47" s="168">
        <f>-'CF(M)'!DZ111</f>
        <v>0</v>
      </c>
      <c r="EA47" s="168">
        <f>-'CF(M)'!EA111</f>
        <v>0</v>
      </c>
      <c r="EB47" s="168">
        <f>-'CF(M)'!EB111</f>
        <v>0</v>
      </c>
      <c r="EC47" s="168">
        <f>-'CF(M)'!EC111</f>
        <v>0</v>
      </c>
      <c r="ED47" s="168">
        <f>-'CF(M)'!ED111</f>
        <v>0</v>
      </c>
      <c r="EE47" s="168">
        <f>-'CF(M)'!EE111</f>
        <v>0</v>
      </c>
      <c r="EF47" s="168">
        <f>-'CF(M)'!EF111</f>
        <v>0</v>
      </c>
      <c r="EG47" s="168">
        <f>-'CF(M)'!EG111</f>
        <v>0</v>
      </c>
      <c r="EH47" s="168">
        <f>-'CF(M)'!EH111</f>
        <v>0</v>
      </c>
      <c r="EI47" s="168">
        <f>-'CF(M)'!EI111</f>
        <v>0</v>
      </c>
      <c r="EJ47" s="168">
        <f>-'CF(M)'!EJ111</f>
        <v>0</v>
      </c>
      <c r="EK47" s="168">
        <f>-'CF(M)'!EK111</f>
        <v>0</v>
      </c>
      <c r="EL47" s="168">
        <f>-'CF(M)'!EL111</f>
        <v>0</v>
      </c>
      <c r="EM47" s="168">
        <f>-'CF(M)'!EM111</f>
        <v>0</v>
      </c>
      <c r="EN47" s="168">
        <f>-'CF(M)'!EN111</f>
        <v>0</v>
      </c>
      <c r="EO47" s="168">
        <f>-'CF(M)'!EO111</f>
        <v>0</v>
      </c>
      <c r="EP47" s="168">
        <f>-'CF(M)'!EP111</f>
        <v>0</v>
      </c>
      <c r="EQ47" s="168">
        <f>-'CF(M)'!EQ111</f>
        <v>0</v>
      </c>
    </row>
    <row r="48" spans="2:147" ht="13.35" customHeight="1">
      <c r="B48" s="218"/>
      <c r="C48" s="163"/>
      <c r="D48" s="169" t="s">
        <v>597</v>
      </c>
      <c r="H48" s="146">
        <f>H47</f>
        <v>46691</v>
      </c>
      <c r="I48" s="229"/>
      <c r="J48" s="171">
        <f t="shared" si="214"/>
        <v>14800000</v>
      </c>
      <c r="K48" s="98"/>
      <c r="L48" s="171">
        <f>-'CF(M)'!L112</f>
        <v>0</v>
      </c>
      <c r="M48" s="171">
        <f>-'CF(M)'!M112</f>
        <v>0</v>
      </c>
      <c r="N48" s="171">
        <f>-'CF(M)'!N112</f>
        <v>0</v>
      </c>
      <c r="O48" s="171">
        <f>-'CF(M)'!O112</f>
        <v>0</v>
      </c>
      <c r="P48" s="171">
        <f>-'CF(M)'!P112</f>
        <v>0</v>
      </c>
      <c r="Q48" s="171">
        <f>-'CF(M)'!Q112</f>
        <v>0</v>
      </c>
      <c r="R48" s="171">
        <f>-'CF(M)'!R112</f>
        <v>0</v>
      </c>
      <c r="S48" s="171">
        <f>-'CF(M)'!S112</f>
        <v>0</v>
      </c>
      <c r="T48" s="171">
        <f>-'CF(M)'!T112</f>
        <v>0</v>
      </c>
      <c r="U48" s="171">
        <f>-'CF(M)'!U112</f>
        <v>0</v>
      </c>
      <c r="V48" s="171">
        <f>-'CF(M)'!V112</f>
        <v>0</v>
      </c>
      <c r="W48" s="171">
        <f>-'CF(M)'!W112</f>
        <v>0</v>
      </c>
      <c r="X48" s="171">
        <f>-'CF(M)'!X112</f>
        <v>0</v>
      </c>
      <c r="Y48" s="171">
        <f>-'CF(M)'!Y112</f>
        <v>0</v>
      </c>
      <c r="Z48" s="171">
        <f>-'CF(M)'!Z112</f>
        <v>0</v>
      </c>
      <c r="AA48" s="171">
        <f>-'CF(M)'!AA112</f>
        <v>0</v>
      </c>
      <c r="AB48" s="171">
        <f>-'CF(M)'!AB112</f>
        <v>0</v>
      </c>
      <c r="AC48" s="171">
        <f>-'CF(M)'!AC112</f>
        <v>0</v>
      </c>
      <c r="AD48" s="171">
        <f>-'CF(M)'!AD112</f>
        <v>0</v>
      </c>
      <c r="AE48" s="171">
        <f>-'CF(M)'!AE112</f>
        <v>0</v>
      </c>
      <c r="AF48" s="171">
        <f>-'CF(M)'!AF112</f>
        <v>0</v>
      </c>
      <c r="AG48" s="171">
        <f>-'CF(M)'!AG112</f>
        <v>0</v>
      </c>
      <c r="AH48" s="171">
        <f>-'CF(M)'!AH112</f>
        <v>0</v>
      </c>
      <c r="AI48" s="171">
        <f>-'CF(M)'!AI112</f>
        <v>0</v>
      </c>
      <c r="AJ48" s="171">
        <f>-'CF(M)'!AJ112</f>
        <v>0</v>
      </c>
      <c r="AK48" s="171">
        <f>-'CF(M)'!AK112</f>
        <v>0</v>
      </c>
      <c r="AL48" s="171">
        <f>-'CF(M)'!AL112</f>
        <v>0</v>
      </c>
      <c r="AM48" s="171">
        <f>-'CF(M)'!AM112</f>
        <v>0</v>
      </c>
      <c r="AN48" s="171">
        <f>-'CF(M)'!AN112</f>
        <v>0</v>
      </c>
      <c r="AO48" s="171">
        <f>-'CF(M)'!AO112</f>
        <v>0</v>
      </c>
      <c r="AP48" s="171">
        <f>-'CF(M)'!AP112</f>
        <v>0</v>
      </c>
      <c r="AQ48" s="171">
        <f>-'CF(M)'!AQ112</f>
        <v>0</v>
      </c>
      <c r="AR48" s="171">
        <f>-'CF(M)'!AR112</f>
        <v>0</v>
      </c>
      <c r="AS48" s="171">
        <f>-'CF(M)'!AS112</f>
        <v>0</v>
      </c>
      <c r="AT48" s="171">
        <f>-'CF(M)'!AT112</f>
        <v>0</v>
      </c>
      <c r="AU48" s="171">
        <f>-'CF(M)'!AU112</f>
        <v>0</v>
      </c>
      <c r="AV48" s="171">
        <f>-'CF(M)'!AV112</f>
        <v>0</v>
      </c>
      <c r="AW48" s="171">
        <f>-'CF(M)'!AW112</f>
        <v>0</v>
      </c>
      <c r="AX48" s="171">
        <f>-'CF(M)'!AX112</f>
        <v>0</v>
      </c>
      <c r="AY48" s="171">
        <f>-'CF(M)'!AY112</f>
        <v>0</v>
      </c>
      <c r="AZ48" s="171">
        <f>-'CF(M)'!AZ112</f>
        <v>0</v>
      </c>
      <c r="BA48" s="171">
        <f>-'CF(M)'!BA112</f>
        <v>0</v>
      </c>
      <c r="BB48" s="171">
        <f>-'CF(M)'!BB112</f>
        <v>0</v>
      </c>
      <c r="BC48" s="171">
        <f>-'CF(M)'!BC112</f>
        <v>0</v>
      </c>
      <c r="BD48" s="171">
        <f>-'CF(M)'!BD112</f>
        <v>0</v>
      </c>
      <c r="BE48" s="171">
        <f>-'CF(M)'!BE112</f>
        <v>0</v>
      </c>
      <c r="BF48" s="171">
        <f>-'CF(M)'!BF112</f>
        <v>0</v>
      </c>
      <c r="BG48" s="171">
        <f>-'CF(M)'!BG112</f>
        <v>0</v>
      </c>
      <c r="BH48" s="171">
        <f>-'CF(M)'!BH112</f>
        <v>0</v>
      </c>
      <c r="BI48" s="171">
        <f>-'CF(M)'!BI112</f>
        <v>0</v>
      </c>
      <c r="BJ48" s="171">
        <f>-'CF(M)'!BJ112</f>
        <v>0</v>
      </c>
      <c r="BK48" s="171">
        <f>-'CF(M)'!BK112</f>
        <v>0</v>
      </c>
      <c r="BL48" s="171">
        <f>-'CF(M)'!BL112</f>
        <v>0</v>
      </c>
      <c r="BM48" s="171">
        <f>-'CF(M)'!BM112</f>
        <v>0</v>
      </c>
      <c r="BN48" s="171">
        <f>-'CF(M)'!BN112</f>
        <v>0</v>
      </c>
      <c r="BO48" s="171">
        <f>-'CF(M)'!BO112</f>
        <v>0</v>
      </c>
      <c r="BP48" s="171">
        <f>-'CF(M)'!BP112</f>
        <v>0</v>
      </c>
      <c r="BQ48" s="171">
        <f>-'CF(M)'!BQ112</f>
        <v>0</v>
      </c>
      <c r="BR48" s="171">
        <f>-'CF(M)'!BR112</f>
        <v>0</v>
      </c>
      <c r="BS48" s="171">
        <f>-'CF(M)'!BS112</f>
        <v>0</v>
      </c>
      <c r="BT48" s="171">
        <f>-'CF(M)'!BT112</f>
        <v>0</v>
      </c>
      <c r="BU48" s="171">
        <f>-'CF(M)'!BU112</f>
        <v>0</v>
      </c>
      <c r="BV48" s="171">
        <f>-'CF(M)'!BV112</f>
        <v>0</v>
      </c>
      <c r="BW48" s="171">
        <f>-'CF(M)'!BW112</f>
        <v>0</v>
      </c>
      <c r="BX48" s="171">
        <f>-'CF(M)'!BX112</f>
        <v>0</v>
      </c>
      <c r="BY48" s="171">
        <f>-'CF(M)'!BY112</f>
        <v>0</v>
      </c>
      <c r="BZ48" s="171">
        <f>-'CF(M)'!BZ112</f>
        <v>0</v>
      </c>
      <c r="CA48" s="171">
        <f>-'CF(M)'!CA112</f>
        <v>0</v>
      </c>
      <c r="CB48" s="171">
        <f>-'CF(M)'!CB112</f>
        <v>0</v>
      </c>
      <c r="CC48" s="171">
        <f>-'CF(M)'!CC112</f>
        <v>0</v>
      </c>
      <c r="CD48" s="171">
        <f>-'CF(M)'!CD112</f>
        <v>0</v>
      </c>
      <c r="CE48" s="171">
        <f>-'CF(M)'!CE112</f>
        <v>0</v>
      </c>
      <c r="CF48" s="171">
        <f>-'CF(M)'!CF112</f>
        <v>0</v>
      </c>
      <c r="CG48" s="171">
        <f>-'CF(M)'!CG112</f>
        <v>0</v>
      </c>
      <c r="CH48" s="171">
        <f>-'CF(M)'!CH112</f>
        <v>0</v>
      </c>
      <c r="CI48" s="171">
        <f>-'CF(M)'!CI112</f>
        <v>0</v>
      </c>
      <c r="CJ48" s="171">
        <f>-'CF(M)'!CJ112</f>
        <v>0</v>
      </c>
      <c r="CK48" s="171">
        <f>-'CF(M)'!CK112</f>
        <v>0</v>
      </c>
      <c r="CL48" s="171">
        <f>-'CF(M)'!CL112</f>
        <v>0</v>
      </c>
      <c r="CM48" s="171">
        <f>-'CF(M)'!CM112</f>
        <v>0</v>
      </c>
      <c r="CN48" s="171">
        <f>-'CF(M)'!CN112</f>
        <v>0</v>
      </c>
      <c r="CO48" s="171">
        <f>-'CF(M)'!CO112</f>
        <v>0</v>
      </c>
      <c r="CP48" s="171">
        <f>-'CF(M)'!CP112</f>
        <v>0</v>
      </c>
      <c r="CQ48" s="171">
        <f>-'CF(M)'!CQ112</f>
        <v>0</v>
      </c>
      <c r="CR48" s="171">
        <f>-'CF(M)'!CR112</f>
        <v>0</v>
      </c>
      <c r="CS48" s="171">
        <f>-'CF(M)'!CS112</f>
        <v>0</v>
      </c>
      <c r="CT48" s="171">
        <f>-'CF(M)'!CT112</f>
        <v>0</v>
      </c>
      <c r="CU48" s="171">
        <f>-'CF(M)'!CU112</f>
        <v>0</v>
      </c>
      <c r="CV48" s="171">
        <f>-'CF(M)'!CV112</f>
        <v>0</v>
      </c>
      <c r="CW48" s="171">
        <f>-'CF(M)'!CW112</f>
        <v>0</v>
      </c>
      <c r="CX48" s="171">
        <f>-'CF(M)'!CX112</f>
        <v>0</v>
      </c>
      <c r="CY48" s="171">
        <f>-'CF(M)'!CY112</f>
        <v>0</v>
      </c>
      <c r="CZ48" s="171">
        <f>-'CF(M)'!CZ112</f>
        <v>0</v>
      </c>
      <c r="DA48" s="171">
        <f>-'CF(M)'!DA112</f>
        <v>0</v>
      </c>
      <c r="DB48" s="171">
        <f>-'CF(M)'!DB112</f>
        <v>0</v>
      </c>
      <c r="DC48" s="171">
        <f>-'CF(M)'!DC112</f>
        <v>0</v>
      </c>
      <c r="DD48" s="171">
        <f>-'CF(M)'!DD112</f>
        <v>0</v>
      </c>
      <c r="DE48" s="171">
        <f>-'CF(M)'!DE112</f>
        <v>0</v>
      </c>
      <c r="DF48" s="171">
        <f>-'CF(M)'!DF112</f>
        <v>0</v>
      </c>
      <c r="DG48" s="171">
        <f>-'CF(M)'!DG112</f>
        <v>0</v>
      </c>
      <c r="DH48" s="171">
        <f>-'CF(M)'!DH112</f>
        <v>0</v>
      </c>
      <c r="DI48" s="171">
        <f>-'CF(M)'!DI112</f>
        <v>0</v>
      </c>
      <c r="DJ48" s="171">
        <f>-'CF(M)'!DJ112</f>
        <v>0</v>
      </c>
      <c r="DK48" s="171">
        <f>-'CF(M)'!DK112</f>
        <v>0</v>
      </c>
      <c r="DL48" s="171">
        <f>-'CF(M)'!DL112</f>
        <v>0</v>
      </c>
      <c r="DM48" s="171">
        <f>-'CF(M)'!DM112</f>
        <v>0</v>
      </c>
      <c r="DN48" s="171">
        <f>-'CF(M)'!DN112</f>
        <v>0</v>
      </c>
      <c r="DO48" s="171">
        <f>-'CF(M)'!DO112</f>
        <v>0</v>
      </c>
      <c r="DP48" s="171">
        <f>-'CF(M)'!DP112</f>
        <v>0</v>
      </c>
      <c r="DQ48" s="171">
        <f>-'CF(M)'!DQ112</f>
        <v>0</v>
      </c>
      <c r="DR48" s="171">
        <f>-'CF(M)'!DR112</f>
        <v>0</v>
      </c>
      <c r="DS48" s="171">
        <f>-'CF(M)'!DS112</f>
        <v>0</v>
      </c>
      <c r="DT48" s="171">
        <f>-'CF(M)'!DT112</f>
        <v>0</v>
      </c>
      <c r="DU48" s="171">
        <f>-'CF(M)'!DU112</f>
        <v>0</v>
      </c>
      <c r="DV48" s="171">
        <f>-'CF(M)'!DV112</f>
        <v>0</v>
      </c>
      <c r="DW48" s="171">
        <f>-'CF(M)'!DW112</f>
        <v>0</v>
      </c>
      <c r="DX48" s="171">
        <f>-'CF(M)'!DX112</f>
        <v>0</v>
      </c>
      <c r="DY48" s="171">
        <f>-'CF(M)'!DY112</f>
        <v>0</v>
      </c>
      <c r="DZ48" s="171">
        <f>-'CF(M)'!DZ112</f>
        <v>0</v>
      </c>
      <c r="EA48" s="171">
        <f>-'CF(M)'!EA112</f>
        <v>0</v>
      </c>
      <c r="EB48" s="171">
        <f>-'CF(M)'!EB112</f>
        <v>14800000</v>
      </c>
      <c r="EC48" s="171">
        <f>-'CF(M)'!EC112</f>
        <v>0</v>
      </c>
      <c r="ED48" s="171">
        <f>-'CF(M)'!ED112</f>
        <v>0</v>
      </c>
      <c r="EE48" s="171">
        <f>-'CF(M)'!EE112</f>
        <v>0</v>
      </c>
      <c r="EF48" s="171">
        <f>-'CF(M)'!EF112</f>
        <v>0</v>
      </c>
      <c r="EG48" s="171">
        <f>-'CF(M)'!EG112</f>
        <v>0</v>
      </c>
      <c r="EH48" s="171">
        <f>-'CF(M)'!EH112</f>
        <v>0</v>
      </c>
      <c r="EI48" s="171">
        <f>-'CF(M)'!EI112</f>
        <v>0</v>
      </c>
      <c r="EJ48" s="171">
        <f>-'CF(M)'!EJ112</f>
        <v>0</v>
      </c>
      <c r="EK48" s="171">
        <f>-'CF(M)'!EK112</f>
        <v>0</v>
      </c>
      <c r="EL48" s="171">
        <f>-'CF(M)'!EL112</f>
        <v>0</v>
      </c>
      <c r="EM48" s="171">
        <f>-'CF(M)'!EM112</f>
        <v>0</v>
      </c>
      <c r="EN48" s="171">
        <f>-'CF(M)'!EN112</f>
        <v>0</v>
      </c>
      <c r="EO48" s="171">
        <f>-'CF(M)'!EO112</f>
        <v>0</v>
      </c>
      <c r="EP48" s="171">
        <f>-'CF(M)'!EP112</f>
        <v>0</v>
      </c>
      <c r="EQ48" s="171">
        <f>-'CF(M)'!EQ112</f>
        <v>0</v>
      </c>
    </row>
    <row r="49" spans="2:147" ht="13.35" customHeight="1">
      <c r="B49" s="218"/>
      <c r="C49" s="163"/>
      <c r="D49" s="169" t="s">
        <v>130</v>
      </c>
      <c r="H49" s="146">
        <f>H48</f>
        <v>46691</v>
      </c>
      <c r="I49" s="229"/>
      <c r="J49" s="171">
        <f t="shared" ca="1" si="214"/>
        <v>1110000</v>
      </c>
      <c r="K49" s="98"/>
      <c r="L49" s="171">
        <f ca="1">-'CF(M)'!L113</f>
        <v>0</v>
      </c>
      <c r="M49" s="171">
        <f ca="1">-'CF(M)'!M113</f>
        <v>0</v>
      </c>
      <c r="N49" s="171">
        <f ca="1">-'CF(M)'!N113</f>
        <v>0</v>
      </c>
      <c r="O49" s="171">
        <f ca="1">-'CF(M)'!O113</f>
        <v>0</v>
      </c>
      <c r="P49" s="171">
        <f ca="1">-'CF(M)'!P113</f>
        <v>0</v>
      </c>
      <c r="Q49" s="171">
        <f ca="1">-'CF(M)'!Q113</f>
        <v>0</v>
      </c>
      <c r="R49" s="171">
        <f ca="1">-'CF(M)'!R113</f>
        <v>555000</v>
      </c>
      <c r="S49" s="171">
        <f ca="1">-'CF(M)'!S113</f>
        <v>0</v>
      </c>
      <c r="T49" s="171">
        <f ca="1">-'CF(M)'!T113</f>
        <v>0</v>
      </c>
      <c r="U49" s="171">
        <f ca="1">-'CF(M)'!U113</f>
        <v>0</v>
      </c>
      <c r="V49" s="171">
        <f ca="1">-'CF(M)'!V113</f>
        <v>0</v>
      </c>
      <c r="W49" s="171">
        <f ca="1">-'CF(M)'!W113</f>
        <v>0</v>
      </c>
      <c r="X49" s="171">
        <f ca="1">-'CF(M)'!X113</f>
        <v>555000</v>
      </c>
      <c r="Y49" s="171">
        <f ca="1">-'CF(M)'!Y113</f>
        <v>0</v>
      </c>
      <c r="Z49" s="171">
        <f ca="1">-'CF(M)'!Z113</f>
        <v>0</v>
      </c>
      <c r="AA49" s="171">
        <f ca="1">-'CF(M)'!AA113</f>
        <v>0</v>
      </c>
      <c r="AB49" s="171">
        <f ca="1">-'CF(M)'!AB113</f>
        <v>0</v>
      </c>
      <c r="AC49" s="171">
        <f ca="1">-'CF(M)'!AC113</f>
        <v>0</v>
      </c>
      <c r="AD49" s="171">
        <f ca="1">-'CF(M)'!AD113</f>
        <v>0</v>
      </c>
      <c r="AE49" s="171">
        <f ca="1">-'CF(M)'!AE113</f>
        <v>0</v>
      </c>
      <c r="AF49" s="171">
        <f ca="1">-'CF(M)'!AF113</f>
        <v>0</v>
      </c>
      <c r="AG49" s="171">
        <f ca="1">-'CF(M)'!AG113</f>
        <v>0</v>
      </c>
      <c r="AH49" s="171">
        <f ca="1">-'CF(M)'!AH113</f>
        <v>0</v>
      </c>
      <c r="AI49" s="171">
        <f ca="1">-'CF(M)'!AI113</f>
        <v>0</v>
      </c>
      <c r="AJ49" s="171">
        <f ca="1">-'CF(M)'!AJ113</f>
        <v>0</v>
      </c>
      <c r="AK49" s="171">
        <f ca="1">-'CF(M)'!AK113</f>
        <v>0</v>
      </c>
      <c r="AL49" s="171">
        <f ca="1">-'CF(M)'!AL113</f>
        <v>0</v>
      </c>
      <c r="AM49" s="171">
        <f ca="1">-'CF(M)'!AM113</f>
        <v>0</v>
      </c>
      <c r="AN49" s="171">
        <f ca="1">-'CF(M)'!AN113</f>
        <v>0</v>
      </c>
      <c r="AO49" s="171">
        <f ca="1">-'CF(M)'!AO113</f>
        <v>0</v>
      </c>
      <c r="AP49" s="171">
        <f ca="1">-'CF(M)'!AP113</f>
        <v>0</v>
      </c>
      <c r="AQ49" s="171">
        <f ca="1">-'CF(M)'!AQ113</f>
        <v>0</v>
      </c>
      <c r="AR49" s="171">
        <f ca="1">-'CF(M)'!AR113</f>
        <v>0</v>
      </c>
      <c r="AS49" s="171">
        <f ca="1">-'CF(M)'!AS113</f>
        <v>0</v>
      </c>
      <c r="AT49" s="171">
        <f ca="1">-'CF(M)'!AT113</f>
        <v>0</v>
      </c>
      <c r="AU49" s="171">
        <f ca="1">-'CF(M)'!AU113</f>
        <v>0</v>
      </c>
      <c r="AV49" s="171">
        <f ca="1">-'CF(M)'!AV113</f>
        <v>0</v>
      </c>
      <c r="AW49" s="171">
        <f ca="1">-'CF(M)'!AW113</f>
        <v>0</v>
      </c>
      <c r="AX49" s="171">
        <f ca="1">-'CF(M)'!AX113</f>
        <v>0</v>
      </c>
      <c r="AY49" s="171">
        <f ca="1">-'CF(M)'!AY113</f>
        <v>0</v>
      </c>
      <c r="AZ49" s="171">
        <f ca="1">-'CF(M)'!AZ113</f>
        <v>0</v>
      </c>
      <c r="BA49" s="171">
        <f ca="1">-'CF(M)'!BA113</f>
        <v>0</v>
      </c>
      <c r="BB49" s="171">
        <f ca="1">-'CF(M)'!BB113</f>
        <v>0</v>
      </c>
      <c r="BC49" s="171">
        <f ca="1">-'CF(M)'!BC113</f>
        <v>0</v>
      </c>
      <c r="BD49" s="171">
        <f ca="1">-'CF(M)'!BD113</f>
        <v>0</v>
      </c>
      <c r="BE49" s="171">
        <f ca="1">-'CF(M)'!BE113</f>
        <v>0</v>
      </c>
      <c r="BF49" s="171">
        <f ca="1">-'CF(M)'!BF113</f>
        <v>0</v>
      </c>
      <c r="BG49" s="171">
        <f ca="1">-'CF(M)'!BG113</f>
        <v>0</v>
      </c>
      <c r="BH49" s="171">
        <f ca="1">-'CF(M)'!BH113</f>
        <v>0</v>
      </c>
      <c r="BI49" s="171">
        <f ca="1">-'CF(M)'!BI113</f>
        <v>0</v>
      </c>
      <c r="BJ49" s="171">
        <f ca="1">-'CF(M)'!BJ113</f>
        <v>0</v>
      </c>
      <c r="BK49" s="171">
        <f ca="1">-'CF(M)'!BK113</f>
        <v>0</v>
      </c>
      <c r="BL49" s="171">
        <f ca="1">-'CF(M)'!BL113</f>
        <v>0</v>
      </c>
      <c r="BM49" s="171">
        <f ca="1">-'CF(M)'!BM113</f>
        <v>0</v>
      </c>
      <c r="BN49" s="171">
        <f ca="1">-'CF(M)'!BN113</f>
        <v>0</v>
      </c>
      <c r="BO49" s="171">
        <f ca="1">-'CF(M)'!BO113</f>
        <v>0</v>
      </c>
      <c r="BP49" s="171">
        <f ca="1">-'CF(M)'!BP113</f>
        <v>0</v>
      </c>
      <c r="BQ49" s="171">
        <f ca="1">-'CF(M)'!BQ113</f>
        <v>0</v>
      </c>
      <c r="BR49" s="171">
        <f ca="1">-'CF(M)'!BR113</f>
        <v>0</v>
      </c>
      <c r="BS49" s="171">
        <f ca="1">-'CF(M)'!BS113</f>
        <v>0</v>
      </c>
      <c r="BT49" s="171">
        <f ca="1">-'CF(M)'!BT113</f>
        <v>0</v>
      </c>
      <c r="BU49" s="171">
        <f ca="1">-'CF(M)'!BU113</f>
        <v>0</v>
      </c>
      <c r="BV49" s="171">
        <f ca="1">-'CF(M)'!BV113</f>
        <v>0</v>
      </c>
      <c r="BW49" s="171">
        <f ca="1">-'CF(M)'!BW113</f>
        <v>0</v>
      </c>
      <c r="BX49" s="171">
        <f ca="1">-'CF(M)'!BX113</f>
        <v>0</v>
      </c>
      <c r="BY49" s="171">
        <f ca="1">-'CF(M)'!BY113</f>
        <v>0</v>
      </c>
      <c r="BZ49" s="171">
        <f ca="1">-'CF(M)'!BZ113</f>
        <v>0</v>
      </c>
      <c r="CA49" s="171">
        <f ca="1">-'CF(M)'!CA113</f>
        <v>0</v>
      </c>
      <c r="CB49" s="171">
        <f ca="1">-'CF(M)'!CB113</f>
        <v>0</v>
      </c>
      <c r="CC49" s="171">
        <f ca="1">-'CF(M)'!CC113</f>
        <v>0</v>
      </c>
      <c r="CD49" s="171">
        <f ca="1">-'CF(M)'!CD113</f>
        <v>0</v>
      </c>
      <c r="CE49" s="171">
        <f ca="1">-'CF(M)'!CE113</f>
        <v>0</v>
      </c>
      <c r="CF49" s="171">
        <f ca="1">-'CF(M)'!CF113</f>
        <v>0</v>
      </c>
      <c r="CG49" s="171">
        <f ca="1">-'CF(M)'!CG113</f>
        <v>0</v>
      </c>
      <c r="CH49" s="171">
        <f ca="1">-'CF(M)'!CH113</f>
        <v>0</v>
      </c>
      <c r="CI49" s="171">
        <f ca="1">-'CF(M)'!CI113</f>
        <v>0</v>
      </c>
      <c r="CJ49" s="171">
        <f ca="1">-'CF(M)'!CJ113</f>
        <v>0</v>
      </c>
      <c r="CK49" s="171">
        <f ca="1">-'CF(M)'!CK113</f>
        <v>0</v>
      </c>
      <c r="CL49" s="171">
        <f ca="1">-'CF(M)'!CL113</f>
        <v>0</v>
      </c>
      <c r="CM49" s="171">
        <f ca="1">-'CF(M)'!CM113</f>
        <v>0</v>
      </c>
      <c r="CN49" s="171">
        <f ca="1">-'CF(M)'!CN113</f>
        <v>0</v>
      </c>
      <c r="CO49" s="171">
        <f ca="1">-'CF(M)'!CO113</f>
        <v>0</v>
      </c>
      <c r="CP49" s="171">
        <f ca="1">-'CF(M)'!CP113</f>
        <v>0</v>
      </c>
      <c r="CQ49" s="171">
        <f ca="1">-'CF(M)'!CQ113</f>
        <v>0</v>
      </c>
      <c r="CR49" s="171">
        <f ca="1">-'CF(M)'!CR113</f>
        <v>0</v>
      </c>
      <c r="CS49" s="171">
        <f ca="1">-'CF(M)'!CS113</f>
        <v>0</v>
      </c>
      <c r="CT49" s="171">
        <f ca="1">-'CF(M)'!CT113</f>
        <v>0</v>
      </c>
      <c r="CU49" s="171">
        <f ca="1">-'CF(M)'!CU113</f>
        <v>0</v>
      </c>
      <c r="CV49" s="171">
        <f ca="1">-'CF(M)'!CV113</f>
        <v>0</v>
      </c>
      <c r="CW49" s="171">
        <f ca="1">-'CF(M)'!CW113</f>
        <v>0</v>
      </c>
      <c r="CX49" s="171">
        <f ca="1">-'CF(M)'!CX113</f>
        <v>0</v>
      </c>
      <c r="CY49" s="171">
        <f ca="1">-'CF(M)'!CY113</f>
        <v>0</v>
      </c>
      <c r="CZ49" s="171">
        <f ca="1">-'CF(M)'!CZ113</f>
        <v>0</v>
      </c>
      <c r="DA49" s="171">
        <f ca="1">-'CF(M)'!DA113</f>
        <v>0</v>
      </c>
      <c r="DB49" s="171">
        <f ca="1">-'CF(M)'!DB113</f>
        <v>0</v>
      </c>
      <c r="DC49" s="171">
        <f ca="1">-'CF(M)'!DC113</f>
        <v>0</v>
      </c>
      <c r="DD49" s="171">
        <f ca="1">-'CF(M)'!DD113</f>
        <v>0</v>
      </c>
      <c r="DE49" s="171">
        <f ca="1">-'CF(M)'!DE113</f>
        <v>0</v>
      </c>
      <c r="DF49" s="171">
        <f ca="1">-'CF(M)'!DF113</f>
        <v>0</v>
      </c>
      <c r="DG49" s="171">
        <f ca="1">-'CF(M)'!DG113</f>
        <v>0</v>
      </c>
      <c r="DH49" s="171">
        <f ca="1">-'CF(M)'!DH113</f>
        <v>0</v>
      </c>
      <c r="DI49" s="171">
        <f ca="1">-'CF(M)'!DI113</f>
        <v>0</v>
      </c>
      <c r="DJ49" s="171">
        <f ca="1">-'CF(M)'!DJ113</f>
        <v>0</v>
      </c>
      <c r="DK49" s="171">
        <f ca="1">-'CF(M)'!DK113</f>
        <v>0</v>
      </c>
      <c r="DL49" s="171">
        <f ca="1">-'CF(M)'!DL113</f>
        <v>0</v>
      </c>
      <c r="DM49" s="171">
        <f ca="1">-'CF(M)'!DM113</f>
        <v>0</v>
      </c>
      <c r="DN49" s="171">
        <f ca="1">-'CF(M)'!DN113</f>
        <v>0</v>
      </c>
      <c r="DO49" s="171">
        <f ca="1">-'CF(M)'!DO113</f>
        <v>0</v>
      </c>
      <c r="DP49" s="171">
        <f ca="1">-'CF(M)'!DP113</f>
        <v>0</v>
      </c>
      <c r="DQ49" s="171">
        <f ca="1">-'CF(M)'!DQ113</f>
        <v>0</v>
      </c>
      <c r="DR49" s="171">
        <f ca="1">-'CF(M)'!DR113</f>
        <v>0</v>
      </c>
      <c r="DS49" s="171">
        <f ca="1">-'CF(M)'!DS113</f>
        <v>0</v>
      </c>
      <c r="DT49" s="171">
        <f ca="1">-'CF(M)'!DT113</f>
        <v>0</v>
      </c>
      <c r="DU49" s="171">
        <f ca="1">-'CF(M)'!DU113</f>
        <v>0</v>
      </c>
      <c r="DV49" s="171">
        <f ca="1">-'CF(M)'!DV113</f>
        <v>0</v>
      </c>
      <c r="DW49" s="171">
        <f ca="1">-'CF(M)'!DW113</f>
        <v>0</v>
      </c>
      <c r="DX49" s="171">
        <f ca="1">-'CF(M)'!DX113</f>
        <v>0</v>
      </c>
      <c r="DY49" s="171">
        <f ca="1">-'CF(M)'!DY113</f>
        <v>0</v>
      </c>
      <c r="DZ49" s="171">
        <f ca="1">-'CF(M)'!DZ113</f>
        <v>0</v>
      </c>
      <c r="EA49" s="171">
        <f ca="1">-'CF(M)'!EA113</f>
        <v>0</v>
      </c>
      <c r="EB49" s="171">
        <f ca="1">-'CF(M)'!EB113</f>
        <v>0</v>
      </c>
      <c r="EC49" s="171">
        <f ca="1">-'CF(M)'!EC113</f>
        <v>0</v>
      </c>
      <c r="ED49" s="171">
        <f ca="1">-'CF(M)'!ED113</f>
        <v>0</v>
      </c>
      <c r="EE49" s="171">
        <f ca="1">-'CF(M)'!EE113</f>
        <v>0</v>
      </c>
      <c r="EF49" s="171">
        <f ca="1">-'CF(M)'!EF113</f>
        <v>0</v>
      </c>
      <c r="EG49" s="171">
        <f ca="1">-'CF(M)'!EG113</f>
        <v>0</v>
      </c>
      <c r="EH49" s="171">
        <f ca="1">-'CF(M)'!EH113</f>
        <v>0</v>
      </c>
      <c r="EI49" s="171">
        <f ca="1">-'CF(M)'!EI113</f>
        <v>0</v>
      </c>
      <c r="EJ49" s="171">
        <f ca="1">-'CF(M)'!EJ113</f>
        <v>0</v>
      </c>
      <c r="EK49" s="171">
        <f ca="1">-'CF(M)'!EK113</f>
        <v>0</v>
      </c>
      <c r="EL49" s="171">
        <f ca="1">-'CF(M)'!EL113</f>
        <v>0</v>
      </c>
      <c r="EM49" s="171">
        <f ca="1">-'CF(M)'!EM113</f>
        <v>0</v>
      </c>
      <c r="EN49" s="171">
        <f ca="1">-'CF(M)'!EN113</f>
        <v>0</v>
      </c>
      <c r="EO49" s="171">
        <f ca="1">-'CF(M)'!EO113</f>
        <v>0</v>
      </c>
      <c r="EP49" s="171">
        <f ca="1">-'CF(M)'!EP113</f>
        <v>0</v>
      </c>
      <c r="EQ49" s="171">
        <f ca="1">-'CF(M)'!EQ113</f>
        <v>0</v>
      </c>
    </row>
    <row r="50" spans="2:147" ht="13.35" customHeight="1">
      <c r="B50" s="218"/>
      <c r="C50" s="163"/>
      <c r="D50" s="169" t="s">
        <v>211</v>
      </c>
      <c r="G50" s="65"/>
      <c r="H50" s="146">
        <f>H49</f>
        <v>46691</v>
      </c>
      <c r="I50" s="229">
        <v>0</v>
      </c>
      <c r="J50" s="171">
        <f t="shared" si="214"/>
        <v>47070453.350267738</v>
      </c>
      <c r="K50" s="98"/>
      <c r="L50" s="171">
        <f>-'CF(M)'!L114</f>
        <v>0</v>
      </c>
      <c r="M50" s="171">
        <f>-'CF(M)'!M114</f>
        <v>0</v>
      </c>
      <c r="N50" s="171">
        <f>-'CF(M)'!N114</f>
        <v>0</v>
      </c>
      <c r="O50" s="171">
        <f>-'CF(M)'!O114</f>
        <v>0</v>
      </c>
      <c r="P50" s="171">
        <f>-'CF(M)'!P114</f>
        <v>0</v>
      </c>
      <c r="Q50" s="171">
        <f>-'CF(M)'!Q114</f>
        <v>0</v>
      </c>
      <c r="R50" s="171">
        <f>-'CF(M)'!R114</f>
        <v>0</v>
      </c>
      <c r="S50" s="171">
        <f>-'CF(M)'!S114</f>
        <v>0</v>
      </c>
      <c r="T50" s="171">
        <f>-'CF(M)'!T114</f>
        <v>0</v>
      </c>
      <c r="U50" s="171">
        <f>-'CF(M)'!U114</f>
        <v>0</v>
      </c>
      <c r="V50" s="171">
        <f>-'CF(M)'!V114</f>
        <v>0</v>
      </c>
      <c r="W50" s="171">
        <f>-'CF(M)'!W114</f>
        <v>0</v>
      </c>
      <c r="X50" s="171">
        <f>-'CF(M)'!X114</f>
        <v>0</v>
      </c>
      <c r="Y50" s="171">
        <f>-'CF(M)'!Y114</f>
        <v>0</v>
      </c>
      <c r="Z50" s="171">
        <f>-'CF(M)'!Z114</f>
        <v>0</v>
      </c>
      <c r="AA50" s="171">
        <f>-'CF(M)'!AA114</f>
        <v>0</v>
      </c>
      <c r="AB50" s="171">
        <f>-'CF(M)'!AB114</f>
        <v>0</v>
      </c>
      <c r="AC50" s="171">
        <f>-'CF(M)'!AC114</f>
        <v>0</v>
      </c>
      <c r="AD50" s="171">
        <f>-'CF(M)'!AD114</f>
        <v>0</v>
      </c>
      <c r="AE50" s="171">
        <f>-'CF(M)'!AE114</f>
        <v>0</v>
      </c>
      <c r="AF50" s="171">
        <f>-'CF(M)'!AF114</f>
        <v>0</v>
      </c>
      <c r="AG50" s="171">
        <f>-'CF(M)'!AG114</f>
        <v>0</v>
      </c>
      <c r="AH50" s="171">
        <f>-'CF(M)'!AH114</f>
        <v>0</v>
      </c>
      <c r="AI50" s="171">
        <f>-'CF(M)'!AI114</f>
        <v>0</v>
      </c>
      <c r="AJ50" s="171">
        <f>-'CF(M)'!AJ114</f>
        <v>0</v>
      </c>
      <c r="AK50" s="171">
        <f>-'CF(M)'!AK114</f>
        <v>0</v>
      </c>
      <c r="AL50" s="171">
        <f>-'CF(M)'!AL114</f>
        <v>0</v>
      </c>
      <c r="AM50" s="171">
        <f>-'CF(M)'!AM114</f>
        <v>0</v>
      </c>
      <c r="AN50" s="171">
        <f>-'CF(M)'!AN114</f>
        <v>0</v>
      </c>
      <c r="AO50" s="171">
        <f>-'CF(M)'!AO114</f>
        <v>0</v>
      </c>
      <c r="AP50" s="171">
        <f>-'CF(M)'!AP114</f>
        <v>0</v>
      </c>
      <c r="AQ50" s="171">
        <f>-'CF(M)'!AQ114</f>
        <v>0</v>
      </c>
      <c r="AR50" s="171">
        <f>-'CF(M)'!AR114</f>
        <v>0</v>
      </c>
      <c r="AS50" s="171">
        <f>-'CF(M)'!AS114</f>
        <v>0</v>
      </c>
      <c r="AT50" s="171">
        <f>-'CF(M)'!AT114</f>
        <v>0</v>
      </c>
      <c r="AU50" s="171">
        <f>-'CF(M)'!AU114</f>
        <v>0</v>
      </c>
      <c r="AV50" s="171">
        <f>-'CF(M)'!AV114</f>
        <v>0</v>
      </c>
      <c r="AW50" s="171">
        <f>-'CF(M)'!AW114</f>
        <v>0</v>
      </c>
      <c r="AX50" s="171">
        <f>-'CF(M)'!AX114</f>
        <v>0</v>
      </c>
      <c r="AY50" s="171">
        <f>-'CF(M)'!AY114</f>
        <v>0</v>
      </c>
      <c r="AZ50" s="171">
        <f>-'CF(M)'!AZ114</f>
        <v>0</v>
      </c>
      <c r="BA50" s="171">
        <f>-'CF(M)'!BA114</f>
        <v>0</v>
      </c>
      <c r="BB50" s="171">
        <f>-'CF(M)'!BB114</f>
        <v>0</v>
      </c>
      <c r="BC50" s="171">
        <f>-'CF(M)'!BC114</f>
        <v>0</v>
      </c>
      <c r="BD50" s="171">
        <f>-'CF(M)'!BD114</f>
        <v>0</v>
      </c>
      <c r="BE50" s="171">
        <f>-'CF(M)'!BE114</f>
        <v>0</v>
      </c>
      <c r="BF50" s="171">
        <f>-'CF(M)'!BF114</f>
        <v>0</v>
      </c>
      <c r="BG50" s="171">
        <f>-'CF(M)'!BG114</f>
        <v>0</v>
      </c>
      <c r="BH50" s="171">
        <f>-'CF(M)'!BH114</f>
        <v>0</v>
      </c>
      <c r="BI50" s="171">
        <f>-'CF(M)'!BI114</f>
        <v>0</v>
      </c>
      <c r="BJ50" s="171">
        <f>-'CF(M)'!BJ114</f>
        <v>0</v>
      </c>
      <c r="BK50" s="171">
        <f>-'CF(M)'!BK114</f>
        <v>0</v>
      </c>
      <c r="BL50" s="171">
        <f>-'CF(M)'!BL114</f>
        <v>0</v>
      </c>
      <c r="BM50" s="171">
        <f>-'CF(M)'!BM114</f>
        <v>0</v>
      </c>
      <c r="BN50" s="171">
        <f>-'CF(M)'!BN114</f>
        <v>0</v>
      </c>
      <c r="BO50" s="171">
        <f>-'CF(M)'!BO114</f>
        <v>0</v>
      </c>
      <c r="BP50" s="171">
        <f>-'CF(M)'!BP114</f>
        <v>0</v>
      </c>
      <c r="BQ50" s="171">
        <f>-'CF(M)'!BQ114</f>
        <v>0</v>
      </c>
      <c r="BR50" s="171">
        <f>-'CF(M)'!BR114</f>
        <v>0</v>
      </c>
      <c r="BS50" s="171">
        <f>-'CF(M)'!BS114</f>
        <v>0</v>
      </c>
      <c r="BT50" s="171">
        <f>-'CF(M)'!BT114</f>
        <v>0</v>
      </c>
      <c r="BU50" s="171">
        <f>-'CF(M)'!BU114</f>
        <v>0</v>
      </c>
      <c r="BV50" s="171">
        <f>-'CF(M)'!BV114</f>
        <v>0</v>
      </c>
      <c r="BW50" s="171">
        <f>-'CF(M)'!BW114</f>
        <v>0</v>
      </c>
      <c r="BX50" s="171">
        <f>-'CF(M)'!BX114</f>
        <v>0</v>
      </c>
      <c r="BY50" s="171">
        <f>-'CF(M)'!BY114</f>
        <v>0</v>
      </c>
      <c r="BZ50" s="171">
        <f>-'CF(M)'!BZ114</f>
        <v>0</v>
      </c>
      <c r="CA50" s="171">
        <f>-'CF(M)'!CA114</f>
        <v>0</v>
      </c>
      <c r="CB50" s="171">
        <f>-'CF(M)'!CB114</f>
        <v>0</v>
      </c>
      <c r="CC50" s="171">
        <f>-'CF(M)'!CC114</f>
        <v>0</v>
      </c>
      <c r="CD50" s="171">
        <f>-'CF(M)'!CD114</f>
        <v>0</v>
      </c>
      <c r="CE50" s="171">
        <f>-'CF(M)'!CE114</f>
        <v>0</v>
      </c>
      <c r="CF50" s="171">
        <f>-'CF(M)'!CF114</f>
        <v>0</v>
      </c>
      <c r="CG50" s="171">
        <f>-'CF(M)'!CG114</f>
        <v>0</v>
      </c>
      <c r="CH50" s="171">
        <f>-'CF(M)'!CH114</f>
        <v>0</v>
      </c>
      <c r="CI50" s="171">
        <f>-'CF(M)'!CI114</f>
        <v>0</v>
      </c>
      <c r="CJ50" s="171">
        <f>-'CF(M)'!CJ114</f>
        <v>0</v>
      </c>
      <c r="CK50" s="171">
        <f>-'CF(M)'!CK114</f>
        <v>0</v>
      </c>
      <c r="CL50" s="171">
        <f>-'CF(M)'!CL114</f>
        <v>0</v>
      </c>
      <c r="CM50" s="171">
        <f>-'CF(M)'!CM114</f>
        <v>0</v>
      </c>
      <c r="CN50" s="171">
        <f>-'CF(M)'!CN114</f>
        <v>0</v>
      </c>
      <c r="CO50" s="171">
        <f>-'CF(M)'!CO114</f>
        <v>0</v>
      </c>
      <c r="CP50" s="171">
        <f>-'CF(M)'!CP114</f>
        <v>0</v>
      </c>
      <c r="CQ50" s="171">
        <f>-'CF(M)'!CQ114</f>
        <v>0</v>
      </c>
      <c r="CR50" s="171">
        <f>-'CF(M)'!CR114</f>
        <v>0</v>
      </c>
      <c r="CS50" s="171">
        <f>-'CF(M)'!CS114</f>
        <v>0</v>
      </c>
      <c r="CT50" s="171">
        <f>-'CF(M)'!CT114</f>
        <v>0</v>
      </c>
      <c r="CU50" s="171">
        <f>-'CF(M)'!CU114</f>
        <v>0</v>
      </c>
      <c r="CV50" s="171">
        <f>-'CF(M)'!CV114</f>
        <v>0</v>
      </c>
      <c r="CW50" s="171">
        <f>-'CF(M)'!CW114</f>
        <v>0</v>
      </c>
      <c r="CX50" s="171">
        <f>-'CF(M)'!CX114</f>
        <v>0</v>
      </c>
      <c r="CY50" s="171">
        <f>-'CF(M)'!CY114</f>
        <v>0</v>
      </c>
      <c r="CZ50" s="171">
        <f>-'CF(M)'!CZ114</f>
        <v>0</v>
      </c>
      <c r="DA50" s="171">
        <f>-'CF(M)'!DA114</f>
        <v>0</v>
      </c>
      <c r="DB50" s="171">
        <f>-'CF(M)'!DB114</f>
        <v>0</v>
      </c>
      <c r="DC50" s="171">
        <f>-'CF(M)'!DC114</f>
        <v>0</v>
      </c>
      <c r="DD50" s="171">
        <f>-'CF(M)'!DD114</f>
        <v>0</v>
      </c>
      <c r="DE50" s="171">
        <f>-'CF(M)'!DE114</f>
        <v>0</v>
      </c>
      <c r="DF50" s="171">
        <f>-'CF(M)'!DF114</f>
        <v>0</v>
      </c>
      <c r="DG50" s="171">
        <f>-'CF(M)'!DG114</f>
        <v>0</v>
      </c>
      <c r="DH50" s="171">
        <f>-'CF(M)'!DH114</f>
        <v>0</v>
      </c>
      <c r="DI50" s="171">
        <f>-'CF(M)'!DI114</f>
        <v>0</v>
      </c>
      <c r="DJ50" s="171">
        <f>-'CF(M)'!DJ114</f>
        <v>0</v>
      </c>
      <c r="DK50" s="171">
        <f>-'CF(M)'!DK114</f>
        <v>0</v>
      </c>
      <c r="DL50" s="171">
        <f>-'CF(M)'!DL114</f>
        <v>0</v>
      </c>
      <c r="DM50" s="171">
        <f>-'CF(M)'!DM114</f>
        <v>0</v>
      </c>
      <c r="DN50" s="171">
        <f>-'CF(M)'!DN114</f>
        <v>0</v>
      </c>
      <c r="DO50" s="171">
        <f>-'CF(M)'!DO114</f>
        <v>0</v>
      </c>
      <c r="DP50" s="171">
        <f>-'CF(M)'!DP114</f>
        <v>0</v>
      </c>
      <c r="DQ50" s="171">
        <f>-'CF(M)'!DQ114</f>
        <v>0</v>
      </c>
      <c r="DR50" s="171">
        <f>-'CF(M)'!DR114</f>
        <v>0</v>
      </c>
      <c r="DS50" s="171">
        <f>-'CF(M)'!DS114</f>
        <v>0</v>
      </c>
      <c r="DT50" s="171">
        <f>-'CF(M)'!DT114</f>
        <v>0</v>
      </c>
      <c r="DU50" s="171">
        <f>-'CF(M)'!DU114</f>
        <v>0</v>
      </c>
      <c r="DV50" s="171">
        <f>-'CF(M)'!DV114</f>
        <v>0</v>
      </c>
      <c r="DW50" s="171">
        <f>-'CF(M)'!DW114</f>
        <v>0</v>
      </c>
      <c r="DX50" s="171">
        <f>-'CF(M)'!DX114</f>
        <v>0</v>
      </c>
      <c r="DY50" s="171">
        <f>-'CF(M)'!DY114</f>
        <v>0</v>
      </c>
      <c r="DZ50" s="171">
        <f>-'CF(M)'!DZ114</f>
        <v>0</v>
      </c>
      <c r="EA50" s="171">
        <f>-'CF(M)'!EA114</f>
        <v>0</v>
      </c>
      <c r="EB50" s="171">
        <f>-'CF(M)'!EB114</f>
        <v>47070453.350267738</v>
      </c>
      <c r="EC50" s="171">
        <f>-'CF(M)'!EC114</f>
        <v>0</v>
      </c>
      <c r="ED50" s="171">
        <f>-'CF(M)'!ED114</f>
        <v>0</v>
      </c>
      <c r="EE50" s="171">
        <f>-'CF(M)'!EE114</f>
        <v>0</v>
      </c>
      <c r="EF50" s="171">
        <f>-'CF(M)'!EF114</f>
        <v>0</v>
      </c>
      <c r="EG50" s="171">
        <f>-'CF(M)'!EG114</f>
        <v>0</v>
      </c>
      <c r="EH50" s="171">
        <f>-'CF(M)'!EH114</f>
        <v>0</v>
      </c>
      <c r="EI50" s="171">
        <f>-'CF(M)'!EI114</f>
        <v>0</v>
      </c>
      <c r="EJ50" s="171">
        <f>-'CF(M)'!EJ114</f>
        <v>0</v>
      </c>
      <c r="EK50" s="171">
        <f>-'CF(M)'!EK114</f>
        <v>0</v>
      </c>
      <c r="EL50" s="171">
        <f>-'CF(M)'!EL114</f>
        <v>0</v>
      </c>
      <c r="EM50" s="171">
        <f>-'CF(M)'!EM114</f>
        <v>0</v>
      </c>
      <c r="EN50" s="171">
        <f>-'CF(M)'!EN114</f>
        <v>0</v>
      </c>
      <c r="EO50" s="171">
        <f>-'CF(M)'!EO114</f>
        <v>0</v>
      </c>
      <c r="EP50" s="171">
        <f>-'CF(M)'!EP114</f>
        <v>0</v>
      </c>
      <c r="EQ50" s="171">
        <f>-'CF(M)'!EQ114</f>
        <v>0</v>
      </c>
    </row>
    <row r="51" spans="2:147" ht="13.35" customHeight="1">
      <c r="B51" s="218"/>
      <c r="C51" s="163"/>
      <c r="D51" s="885" t="s">
        <v>598</v>
      </c>
      <c r="E51" s="886"/>
      <c r="F51" s="886"/>
      <c r="G51" s="1026" t="s">
        <v>602</v>
      </c>
      <c r="H51" s="1027">
        <f ca="1">(J49/I47)*(12/H52)</f>
        <v>7.4626865671641798E-3</v>
      </c>
      <c r="I51" s="1023">
        <f ca="1">(IRR($L51:$EQ51,0.01)+1)^12-1</f>
        <v>7.7792962088110151E-3</v>
      </c>
      <c r="J51" s="888">
        <f t="shared" ca="1" si="214"/>
        <v>1110000</v>
      </c>
      <c r="K51" s="98"/>
      <c r="L51" s="888">
        <f t="shared" ref="L51:AQ51" ca="1" si="215">SUM(L47:L49)</f>
        <v>-14800000</v>
      </c>
      <c r="M51" s="888">
        <f t="shared" ca="1" si="215"/>
        <v>0</v>
      </c>
      <c r="N51" s="888">
        <f t="shared" ca="1" si="215"/>
        <v>0</v>
      </c>
      <c r="O51" s="888">
        <f t="shared" ca="1" si="215"/>
        <v>0</v>
      </c>
      <c r="P51" s="888">
        <f t="shared" ca="1" si="215"/>
        <v>0</v>
      </c>
      <c r="Q51" s="888">
        <f t="shared" ca="1" si="215"/>
        <v>0</v>
      </c>
      <c r="R51" s="888">
        <f t="shared" ca="1" si="215"/>
        <v>555000</v>
      </c>
      <c r="S51" s="888">
        <f t="shared" ca="1" si="215"/>
        <v>0</v>
      </c>
      <c r="T51" s="888">
        <f t="shared" ca="1" si="215"/>
        <v>0</v>
      </c>
      <c r="U51" s="888">
        <f t="shared" ca="1" si="215"/>
        <v>0</v>
      </c>
      <c r="V51" s="888">
        <f t="shared" ca="1" si="215"/>
        <v>0</v>
      </c>
      <c r="W51" s="888">
        <f t="shared" ca="1" si="215"/>
        <v>0</v>
      </c>
      <c r="X51" s="888">
        <f t="shared" ca="1" si="215"/>
        <v>555000</v>
      </c>
      <c r="Y51" s="888">
        <f t="shared" ca="1" si="215"/>
        <v>0</v>
      </c>
      <c r="Z51" s="888">
        <f t="shared" ca="1" si="215"/>
        <v>0</v>
      </c>
      <c r="AA51" s="888">
        <f t="shared" ca="1" si="215"/>
        <v>0</v>
      </c>
      <c r="AB51" s="888">
        <f t="shared" ca="1" si="215"/>
        <v>0</v>
      </c>
      <c r="AC51" s="888">
        <f t="shared" ca="1" si="215"/>
        <v>0</v>
      </c>
      <c r="AD51" s="888">
        <f t="shared" ca="1" si="215"/>
        <v>0</v>
      </c>
      <c r="AE51" s="888">
        <f t="shared" ca="1" si="215"/>
        <v>0</v>
      </c>
      <c r="AF51" s="888">
        <f t="shared" ca="1" si="215"/>
        <v>0</v>
      </c>
      <c r="AG51" s="888">
        <f t="shared" ca="1" si="215"/>
        <v>0</v>
      </c>
      <c r="AH51" s="888">
        <f t="shared" ca="1" si="215"/>
        <v>0</v>
      </c>
      <c r="AI51" s="888">
        <f t="shared" ca="1" si="215"/>
        <v>0</v>
      </c>
      <c r="AJ51" s="888">
        <f t="shared" ca="1" si="215"/>
        <v>0</v>
      </c>
      <c r="AK51" s="888">
        <f t="shared" ca="1" si="215"/>
        <v>0</v>
      </c>
      <c r="AL51" s="888">
        <f t="shared" ca="1" si="215"/>
        <v>0</v>
      </c>
      <c r="AM51" s="888">
        <f t="shared" ca="1" si="215"/>
        <v>0</v>
      </c>
      <c r="AN51" s="888">
        <f t="shared" ca="1" si="215"/>
        <v>0</v>
      </c>
      <c r="AO51" s="888">
        <f t="shared" ca="1" si="215"/>
        <v>0</v>
      </c>
      <c r="AP51" s="888">
        <f t="shared" ca="1" si="215"/>
        <v>0</v>
      </c>
      <c r="AQ51" s="888">
        <f t="shared" ca="1" si="215"/>
        <v>0</v>
      </c>
      <c r="AR51" s="888">
        <f t="shared" ref="AR51:BW51" ca="1" si="216">SUM(AR47:AR49)</f>
        <v>0</v>
      </c>
      <c r="AS51" s="888">
        <f t="shared" ca="1" si="216"/>
        <v>0</v>
      </c>
      <c r="AT51" s="888">
        <f t="shared" ca="1" si="216"/>
        <v>0</v>
      </c>
      <c r="AU51" s="888">
        <f t="shared" ca="1" si="216"/>
        <v>0</v>
      </c>
      <c r="AV51" s="888">
        <f t="shared" ca="1" si="216"/>
        <v>0</v>
      </c>
      <c r="AW51" s="888">
        <f t="shared" ca="1" si="216"/>
        <v>0</v>
      </c>
      <c r="AX51" s="888">
        <f t="shared" ca="1" si="216"/>
        <v>0</v>
      </c>
      <c r="AY51" s="888">
        <f t="shared" ca="1" si="216"/>
        <v>0</v>
      </c>
      <c r="AZ51" s="888">
        <f t="shared" ca="1" si="216"/>
        <v>0</v>
      </c>
      <c r="BA51" s="888">
        <f t="shared" ca="1" si="216"/>
        <v>0</v>
      </c>
      <c r="BB51" s="888">
        <f t="shared" ca="1" si="216"/>
        <v>0</v>
      </c>
      <c r="BC51" s="888">
        <f t="shared" ca="1" si="216"/>
        <v>0</v>
      </c>
      <c r="BD51" s="888">
        <f t="shared" ca="1" si="216"/>
        <v>0</v>
      </c>
      <c r="BE51" s="888">
        <f t="shared" ca="1" si="216"/>
        <v>0</v>
      </c>
      <c r="BF51" s="888">
        <f t="shared" ca="1" si="216"/>
        <v>0</v>
      </c>
      <c r="BG51" s="888">
        <f t="shared" ca="1" si="216"/>
        <v>0</v>
      </c>
      <c r="BH51" s="888">
        <f t="shared" ca="1" si="216"/>
        <v>0</v>
      </c>
      <c r="BI51" s="888">
        <f t="shared" ca="1" si="216"/>
        <v>0</v>
      </c>
      <c r="BJ51" s="888">
        <f t="shared" ca="1" si="216"/>
        <v>0</v>
      </c>
      <c r="BK51" s="888">
        <f t="shared" ca="1" si="216"/>
        <v>0</v>
      </c>
      <c r="BL51" s="888">
        <f t="shared" ca="1" si="216"/>
        <v>0</v>
      </c>
      <c r="BM51" s="888">
        <f t="shared" ca="1" si="216"/>
        <v>0</v>
      </c>
      <c r="BN51" s="888">
        <f t="shared" ca="1" si="216"/>
        <v>0</v>
      </c>
      <c r="BO51" s="888">
        <f t="shared" ca="1" si="216"/>
        <v>0</v>
      </c>
      <c r="BP51" s="888">
        <f t="shared" ca="1" si="216"/>
        <v>0</v>
      </c>
      <c r="BQ51" s="888">
        <f t="shared" ca="1" si="216"/>
        <v>0</v>
      </c>
      <c r="BR51" s="888">
        <f t="shared" ca="1" si="216"/>
        <v>0</v>
      </c>
      <c r="BS51" s="888">
        <f t="shared" ca="1" si="216"/>
        <v>0</v>
      </c>
      <c r="BT51" s="888">
        <f t="shared" ca="1" si="216"/>
        <v>0</v>
      </c>
      <c r="BU51" s="888">
        <f t="shared" ca="1" si="216"/>
        <v>0</v>
      </c>
      <c r="BV51" s="888">
        <f t="shared" ca="1" si="216"/>
        <v>0</v>
      </c>
      <c r="BW51" s="888">
        <f t="shared" ca="1" si="216"/>
        <v>0</v>
      </c>
      <c r="BX51" s="888">
        <f t="shared" ref="BX51:DC51" ca="1" si="217">SUM(BX47:BX49)</f>
        <v>0</v>
      </c>
      <c r="BY51" s="888">
        <f t="shared" ca="1" si="217"/>
        <v>0</v>
      </c>
      <c r="BZ51" s="888">
        <f t="shared" ca="1" si="217"/>
        <v>0</v>
      </c>
      <c r="CA51" s="888">
        <f t="shared" ca="1" si="217"/>
        <v>0</v>
      </c>
      <c r="CB51" s="888">
        <f t="shared" ca="1" si="217"/>
        <v>0</v>
      </c>
      <c r="CC51" s="888">
        <f t="shared" ca="1" si="217"/>
        <v>0</v>
      </c>
      <c r="CD51" s="888">
        <f t="shared" ca="1" si="217"/>
        <v>0</v>
      </c>
      <c r="CE51" s="888">
        <f t="shared" ca="1" si="217"/>
        <v>0</v>
      </c>
      <c r="CF51" s="888">
        <f t="shared" ca="1" si="217"/>
        <v>0</v>
      </c>
      <c r="CG51" s="888">
        <f t="shared" ca="1" si="217"/>
        <v>0</v>
      </c>
      <c r="CH51" s="888">
        <f t="shared" ca="1" si="217"/>
        <v>0</v>
      </c>
      <c r="CI51" s="888">
        <f t="shared" ca="1" si="217"/>
        <v>0</v>
      </c>
      <c r="CJ51" s="888">
        <f t="shared" ca="1" si="217"/>
        <v>0</v>
      </c>
      <c r="CK51" s="888">
        <f t="shared" ca="1" si="217"/>
        <v>0</v>
      </c>
      <c r="CL51" s="888">
        <f t="shared" ca="1" si="217"/>
        <v>0</v>
      </c>
      <c r="CM51" s="888">
        <f t="shared" ca="1" si="217"/>
        <v>0</v>
      </c>
      <c r="CN51" s="888">
        <f t="shared" ca="1" si="217"/>
        <v>0</v>
      </c>
      <c r="CO51" s="888">
        <f t="shared" ca="1" si="217"/>
        <v>0</v>
      </c>
      <c r="CP51" s="888">
        <f t="shared" ca="1" si="217"/>
        <v>0</v>
      </c>
      <c r="CQ51" s="888">
        <f t="shared" ca="1" si="217"/>
        <v>0</v>
      </c>
      <c r="CR51" s="888">
        <f t="shared" ca="1" si="217"/>
        <v>0</v>
      </c>
      <c r="CS51" s="888">
        <f t="shared" ca="1" si="217"/>
        <v>0</v>
      </c>
      <c r="CT51" s="888">
        <f t="shared" ca="1" si="217"/>
        <v>0</v>
      </c>
      <c r="CU51" s="888">
        <f t="shared" ca="1" si="217"/>
        <v>0</v>
      </c>
      <c r="CV51" s="888">
        <f t="shared" ca="1" si="217"/>
        <v>0</v>
      </c>
      <c r="CW51" s="888">
        <f t="shared" ca="1" si="217"/>
        <v>0</v>
      </c>
      <c r="CX51" s="888">
        <f t="shared" ca="1" si="217"/>
        <v>0</v>
      </c>
      <c r="CY51" s="888">
        <f t="shared" ca="1" si="217"/>
        <v>0</v>
      </c>
      <c r="CZ51" s="888">
        <f t="shared" ca="1" si="217"/>
        <v>0</v>
      </c>
      <c r="DA51" s="888">
        <f t="shared" ca="1" si="217"/>
        <v>0</v>
      </c>
      <c r="DB51" s="888">
        <f t="shared" ca="1" si="217"/>
        <v>0</v>
      </c>
      <c r="DC51" s="888">
        <f t="shared" ca="1" si="217"/>
        <v>0</v>
      </c>
      <c r="DD51" s="888">
        <f t="shared" ref="DD51:DS51" ca="1" si="218">SUM(DD47:DD49)</f>
        <v>0</v>
      </c>
      <c r="DE51" s="888">
        <f t="shared" ca="1" si="218"/>
        <v>0</v>
      </c>
      <c r="DF51" s="888">
        <f t="shared" ca="1" si="218"/>
        <v>0</v>
      </c>
      <c r="DG51" s="888">
        <f t="shared" ca="1" si="218"/>
        <v>0</v>
      </c>
      <c r="DH51" s="888">
        <f t="shared" ca="1" si="218"/>
        <v>0</v>
      </c>
      <c r="DI51" s="888">
        <f t="shared" ca="1" si="218"/>
        <v>0</v>
      </c>
      <c r="DJ51" s="888">
        <f t="shared" ca="1" si="218"/>
        <v>0</v>
      </c>
      <c r="DK51" s="888">
        <f t="shared" ca="1" si="218"/>
        <v>0</v>
      </c>
      <c r="DL51" s="888">
        <f t="shared" ca="1" si="218"/>
        <v>0</v>
      </c>
      <c r="DM51" s="888">
        <f t="shared" ca="1" si="218"/>
        <v>0</v>
      </c>
      <c r="DN51" s="888">
        <f t="shared" ca="1" si="218"/>
        <v>0</v>
      </c>
      <c r="DO51" s="888">
        <f t="shared" ca="1" si="218"/>
        <v>0</v>
      </c>
      <c r="DP51" s="888">
        <f t="shared" ca="1" si="218"/>
        <v>0</v>
      </c>
      <c r="DQ51" s="888">
        <f t="shared" ca="1" si="218"/>
        <v>0</v>
      </c>
      <c r="DR51" s="888">
        <f t="shared" ca="1" si="218"/>
        <v>0</v>
      </c>
      <c r="DS51" s="888">
        <f t="shared" ca="1" si="218"/>
        <v>0</v>
      </c>
      <c r="DT51" s="888">
        <f t="shared" ref="DT51:EM51" ca="1" si="219">SUM(DT47:DT49)</f>
        <v>0</v>
      </c>
      <c r="DU51" s="888">
        <f t="shared" ca="1" si="219"/>
        <v>0</v>
      </c>
      <c r="DV51" s="888">
        <f t="shared" ca="1" si="219"/>
        <v>0</v>
      </c>
      <c r="DW51" s="888">
        <f t="shared" ca="1" si="219"/>
        <v>0</v>
      </c>
      <c r="DX51" s="888">
        <f t="shared" ca="1" si="219"/>
        <v>0</v>
      </c>
      <c r="DY51" s="888">
        <f t="shared" ca="1" si="219"/>
        <v>0</v>
      </c>
      <c r="DZ51" s="888">
        <f t="shared" ca="1" si="219"/>
        <v>0</v>
      </c>
      <c r="EA51" s="888">
        <f t="shared" ca="1" si="219"/>
        <v>0</v>
      </c>
      <c r="EB51" s="888">
        <f t="shared" ca="1" si="219"/>
        <v>14800000</v>
      </c>
      <c r="EC51" s="888">
        <f t="shared" ca="1" si="219"/>
        <v>0</v>
      </c>
      <c r="ED51" s="888">
        <f t="shared" ca="1" si="219"/>
        <v>0</v>
      </c>
      <c r="EE51" s="888">
        <f t="shared" ca="1" si="219"/>
        <v>0</v>
      </c>
      <c r="EF51" s="888">
        <f t="shared" ca="1" si="219"/>
        <v>0</v>
      </c>
      <c r="EG51" s="888">
        <f t="shared" ca="1" si="219"/>
        <v>0</v>
      </c>
      <c r="EH51" s="888">
        <f t="shared" ca="1" si="219"/>
        <v>0</v>
      </c>
      <c r="EI51" s="888">
        <f t="shared" ca="1" si="219"/>
        <v>0</v>
      </c>
      <c r="EJ51" s="888">
        <f t="shared" ca="1" si="219"/>
        <v>0</v>
      </c>
      <c r="EK51" s="888">
        <f t="shared" ca="1" si="219"/>
        <v>0</v>
      </c>
      <c r="EL51" s="888">
        <f t="shared" ca="1" si="219"/>
        <v>0</v>
      </c>
      <c r="EM51" s="888">
        <f t="shared" ca="1" si="219"/>
        <v>0</v>
      </c>
      <c r="EN51" s="888">
        <f ca="1">SUM(EN47:EN49)</f>
        <v>0</v>
      </c>
      <c r="EO51" s="888">
        <f ca="1">SUM(EO47:EO49)</f>
        <v>0</v>
      </c>
      <c r="EP51" s="888">
        <f ca="1">SUM(EP47:EP49)</f>
        <v>0</v>
      </c>
      <c r="EQ51" s="888">
        <f ca="1">SUM(EQ47:EQ49)</f>
        <v>0</v>
      </c>
    </row>
    <row r="52" spans="2:147" ht="13.35" customHeight="1">
      <c r="B52" s="244"/>
      <c r="C52" s="178"/>
      <c r="D52" s="179" t="s">
        <v>599</v>
      </c>
      <c r="E52" s="180"/>
      <c r="F52" s="180"/>
      <c r="G52" s="1028"/>
      <c r="H52" s="1029">
        <f>'A&amp;R'!O44</f>
        <v>120</v>
      </c>
      <c r="I52" s="1024">
        <f ca="1">(IRR($L52:$EQ52,0.01)+1)^12-1</f>
        <v>0.16181544839707418</v>
      </c>
      <c r="J52" s="184">
        <f t="shared" ca="1" si="214"/>
        <v>48180453.350267738</v>
      </c>
      <c r="K52" s="98"/>
      <c r="L52" s="184">
        <f t="shared" ref="L52:AQ52" ca="1" si="220">SUM(L47:L50)</f>
        <v>-14800000</v>
      </c>
      <c r="M52" s="184">
        <f t="shared" ca="1" si="220"/>
        <v>0</v>
      </c>
      <c r="N52" s="184">
        <f t="shared" ca="1" si="220"/>
        <v>0</v>
      </c>
      <c r="O52" s="184">
        <f t="shared" ca="1" si="220"/>
        <v>0</v>
      </c>
      <c r="P52" s="184">
        <f t="shared" ca="1" si="220"/>
        <v>0</v>
      </c>
      <c r="Q52" s="184">
        <f t="shared" ca="1" si="220"/>
        <v>0</v>
      </c>
      <c r="R52" s="184">
        <f t="shared" ca="1" si="220"/>
        <v>555000</v>
      </c>
      <c r="S52" s="184">
        <f t="shared" ca="1" si="220"/>
        <v>0</v>
      </c>
      <c r="T52" s="184">
        <f t="shared" ca="1" si="220"/>
        <v>0</v>
      </c>
      <c r="U52" s="184">
        <f t="shared" ca="1" si="220"/>
        <v>0</v>
      </c>
      <c r="V52" s="184">
        <f t="shared" ca="1" si="220"/>
        <v>0</v>
      </c>
      <c r="W52" s="184">
        <f t="shared" ca="1" si="220"/>
        <v>0</v>
      </c>
      <c r="X52" s="184">
        <f t="shared" ca="1" si="220"/>
        <v>555000</v>
      </c>
      <c r="Y52" s="184">
        <f t="shared" ca="1" si="220"/>
        <v>0</v>
      </c>
      <c r="Z52" s="184">
        <f t="shared" ca="1" si="220"/>
        <v>0</v>
      </c>
      <c r="AA52" s="184">
        <f t="shared" ca="1" si="220"/>
        <v>0</v>
      </c>
      <c r="AB52" s="184">
        <f t="shared" ca="1" si="220"/>
        <v>0</v>
      </c>
      <c r="AC52" s="184">
        <f t="shared" ca="1" si="220"/>
        <v>0</v>
      </c>
      <c r="AD52" s="184">
        <f t="shared" ca="1" si="220"/>
        <v>0</v>
      </c>
      <c r="AE52" s="184">
        <f t="shared" ca="1" si="220"/>
        <v>0</v>
      </c>
      <c r="AF52" s="184">
        <f t="shared" ca="1" si="220"/>
        <v>0</v>
      </c>
      <c r="AG52" s="184">
        <f t="shared" ca="1" si="220"/>
        <v>0</v>
      </c>
      <c r="AH52" s="184">
        <f t="shared" ca="1" si="220"/>
        <v>0</v>
      </c>
      <c r="AI52" s="184">
        <f t="shared" ca="1" si="220"/>
        <v>0</v>
      </c>
      <c r="AJ52" s="184">
        <f t="shared" ca="1" si="220"/>
        <v>0</v>
      </c>
      <c r="AK52" s="184">
        <f t="shared" ca="1" si="220"/>
        <v>0</v>
      </c>
      <c r="AL52" s="184">
        <f t="shared" ca="1" si="220"/>
        <v>0</v>
      </c>
      <c r="AM52" s="184">
        <f t="shared" ca="1" si="220"/>
        <v>0</v>
      </c>
      <c r="AN52" s="184">
        <f t="shared" ca="1" si="220"/>
        <v>0</v>
      </c>
      <c r="AO52" s="184">
        <f t="shared" ca="1" si="220"/>
        <v>0</v>
      </c>
      <c r="AP52" s="184">
        <f t="shared" ca="1" si="220"/>
        <v>0</v>
      </c>
      <c r="AQ52" s="184">
        <f t="shared" ca="1" si="220"/>
        <v>0</v>
      </c>
      <c r="AR52" s="184">
        <f t="shared" ref="AR52:BW52" ca="1" si="221">SUM(AR47:AR50)</f>
        <v>0</v>
      </c>
      <c r="AS52" s="184">
        <f t="shared" ca="1" si="221"/>
        <v>0</v>
      </c>
      <c r="AT52" s="184">
        <f t="shared" ca="1" si="221"/>
        <v>0</v>
      </c>
      <c r="AU52" s="184">
        <f t="shared" ca="1" si="221"/>
        <v>0</v>
      </c>
      <c r="AV52" s="184">
        <f t="shared" ca="1" si="221"/>
        <v>0</v>
      </c>
      <c r="AW52" s="184">
        <f t="shared" ca="1" si="221"/>
        <v>0</v>
      </c>
      <c r="AX52" s="184">
        <f t="shared" ca="1" si="221"/>
        <v>0</v>
      </c>
      <c r="AY52" s="184">
        <f t="shared" ca="1" si="221"/>
        <v>0</v>
      </c>
      <c r="AZ52" s="184">
        <f t="shared" ca="1" si="221"/>
        <v>0</v>
      </c>
      <c r="BA52" s="184">
        <f t="shared" ca="1" si="221"/>
        <v>0</v>
      </c>
      <c r="BB52" s="184">
        <f t="shared" ca="1" si="221"/>
        <v>0</v>
      </c>
      <c r="BC52" s="184">
        <f t="shared" ca="1" si="221"/>
        <v>0</v>
      </c>
      <c r="BD52" s="184">
        <f t="shared" ca="1" si="221"/>
        <v>0</v>
      </c>
      <c r="BE52" s="184">
        <f t="shared" ca="1" si="221"/>
        <v>0</v>
      </c>
      <c r="BF52" s="184">
        <f t="shared" ca="1" si="221"/>
        <v>0</v>
      </c>
      <c r="BG52" s="184">
        <f t="shared" ca="1" si="221"/>
        <v>0</v>
      </c>
      <c r="BH52" s="184">
        <f t="shared" ca="1" si="221"/>
        <v>0</v>
      </c>
      <c r="BI52" s="184">
        <f t="shared" ca="1" si="221"/>
        <v>0</v>
      </c>
      <c r="BJ52" s="184">
        <f t="shared" ca="1" si="221"/>
        <v>0</v>
      </c>
      <c r="BK52" s="184">
        <f t="shared" ca="1" si="221"/>
        <v>0</v>
      </c>
      <c r="BL52" s="184">
        <f t="shared" ca="1" si="221"/>
        <v>0</v>
      </c>
      <c r="BM52" s="184">
        <f t="shared" ca="1" si="221"/>
        <v>0</v>
      </c>
      <c r="BN52" s="184">
        <f t="shared" ca="1" si="221"/>
        <v>0</v>
      </c>
      <c r="BO52" s="184">
        <f t="shared" ca="1" si="221"/>
        <v>0</v>
      </c>
      <c r="BP52" s="184">
        <f t="shared" ca="1" si="221"/>
        <v>0</v>
      </c>
      <c r="BQ52" s="184">
        <f t="shared" ca="1" si="221"/>
        <v>0</v>
      </c>
      <c r="BR52" s="184">
        <f t="shared" ca="1" si="221"/>
        <v>0</v>
      </c>
      <c r="BS52" s="184">
        <f t="shared" ca="1" si="221"/>
        <v>0</v>
      </c>
      <c r="BT52" s="184">
        <f t="shared" ca="1" si="221"/>
        <v>0</v>
      </c>
      <c r="BU52" s="184">
        <f t="shared" ca="1" si="221"/>
        <v>0</v>
      </c>
      <c r="BV52" s="184">
        <f t="shared" ca="1" si="221"/>
        <v>0</v>
      </c>
      <c r="BW52" s="184">
        <f t="shared" ca="1" si="221"/>
        <v>0</v>
      </c>
      <c r="BX52" s="184">
        <f t="shared" ref="BX52:DC52" ca="1" si="222">SUM(BX47:BX50)</f>
        <v>0</v>
      </c>
      <c r="BY52" s="184">
        <f t="shared" ca="1" si="222"/>
        <v>0</v>
      </c>
      <c r="BZ52" s="184">
        <f t="shared" ca="1" si="222"/>
        <v>0</v>
      </c>
      <c r="CA52" s="184">
        <f t="shared" ca="1" si="222"/>
        <v>0</v>
      </c>
      <c r="CB52" s="184">
        <f t="shared" ca="1" si="222"/>
        <v>0</v>
      </c>
      <c r="CC52" s="184">
        <f t="shared" ca="1" si="222"/>
        <v>0</v>
      </c>
      <c r="CD52" s="184">
        <f t="shared" ca="1" si="222"/>
        <v>0</v>
      </c>
      <c r="CE52" s="184">
        <f t="shared" ca="1" si="222"/>
        <v>0</v>
      </c>
      <c r="CF52" s="184">
        <f t="shared" ca="1" si="222"/>
        <v>0</v>
      </c>
      <c r="CG52" s="184">
        <f t="shared" ca="1" si="222"/>
        <v>0</v>
      </c>
      <c r="CH52" s="184">
        <f t="shared" ca="1" si="222"/>
        <v>0</v>
      </c>
      <c r="CI52" s="184">
        <f t="shared" ca="1" si="222"/>
        <v>0</v>
      </c>
      <c r="CJ52" s="184">
        <f t="shared" ca="1" si="222"/>
        <v>0</v>
      </c>
      <c r="CK52" s="184">
        <f t="shared" ca="1" si="222"/>
        <v>0</v>
      </c>
      <c r="CL52" s="184">
        <f t="shared" ca="1" si="222"/>
        <v>0</v>
      </c>
      <c r="CM52" s="184">
        <f t="shared" ca="1" si="222"/>
        <v>0</v>
      </c>
      <c r="CN52" s="184">
        <f t="shared" ca="1" si="222"/>
        <v>0</v>
      </c>
      <c r="CO52" s="184">
        <f t="shared" ca="1" si="222"/>
        <v>0</v>
      </c>
      <c r="CP52" s="184">
        <f t="shared" ca="1" si="222"/>
        <v>0</v>
      </c>
      <c r="CQ52" s="184">
        <f t="shared" ca="1" si="222"/>
        <v>0</v>
      </c>
      <c r="CR52" s="184">
        <f t="shared" ca="1" si="222"/>
        <v>0</v>
      </c>
      <c r="CS52" s="184">
        <f t="shared" ca="1" si="222"/>
        <v>0</v>
      </c>
      <c r="CT52" s="184">
        <f t="shared" ca="1" si="222"/>
        <v>0</v>
      </c>
      <c r="CU52" s="184">
        <f t="shared" ca="1" si="222"/>
        <v>0</v>
      </c>
      <c r="CV52" s="184">
        <f t="shared" ca="1" si="222"/>
        <v>0</v>
      </c>
      <c r="CW52" s="184">
        <f t="shared" ca="1" si="222"/>
        <v>0</v>
      </c>
      <c r="CX52" s="184">
        <f t="shared" ca="1" si="222"/>
        <v>0</v>
      </c>
      <c r="CY52" s="184">
        <f t="shared" ca="1" si="222"/>
        <v>0</v>
      </c>
      <c r="CZ52" s="184">
        <f t="shared" ca="1" si="222"/>
        <v>0</v>
      </c>
      <c r="DA52" s="184">
        <f t="shared" ca="1" si="222"/>
        <v>0</v>
      </c>
      <c r="DB52" s="184">
        <f t="shared" ca="1" si="222"/>
        <v>0</v>
      </c>
      <c r="DC52" s="184">
        <f t="shared" ca="1" si="222"/>
        <v>0</v>
      </c>
      <c r="DD52" s="184">
        <f t="shared" ref="DD52:DS52" ca="1" si="223">SUM(DD47:DD50)</f>
        <v>0</v>
      </c>
      <c r="DE52" s="184">
        <f t="shared" ca="1" si="223"/>
        <v>0</v>
      </c>
      <c r="DF52" s="184">
        <f t="shared" ca="1" si="223"/>
        <v>0</v>
      </c>
      <c r="DG52" s="184">
        <f t="shared" ca="1" si="223"/>
        <v>0</v>
      </c>
      <c r="DH52" s="184">
        <f t="shared" ca="1" si="223"/>
        <v>0</v>
      </c>
      <c r="DI52" s="184">
        <f t="shared" ca="1" si="223"/>
        <v>0</v>
      </c>
      <c r="DJ52" s="184">
        <f t="shared" ca="1" si="223"/>
        <v>0</v>
      </c>
      <c r="DK52" s="184">
        <f t="shared" ca="1" si="223"/>
        <v>0</v>
      </c>
      <c r="DL52" s="184">
        <f t="shared" ca="1" si="223"/>
        <v>0</v>
      </c>
      <c r="DM52" s="184">
        <f t="shared" ca="1" si="223"/>
        <v>0</v>
      </c>
      <c r="DN52" s="184">
        <f t="shared" ca="1" si="223"/>
        <v>0</v>
      </c>
      <c r="DO52" s="184">
        <f t="shared" ca="1" si="223"/>
        <v>0</v>
      </c>
      <c r="DP52" s="184">
        <f t="shared" ca="1" si="223"/>
        <v>0</v>
      </c>
      <c r="DQ52" s="184">
        <f t="shared" ca="1" si="223"/>
        <v>0</v>
      </c>
      <c r="DR52" s="184">
        <f t="shared" ca="1" si="223"/>
        <v>0</v>
      </c>
      <c r="DS52" s="184">
        <f t="shared" ca="1" si="223"/>
        <v>0</v>
      </c>
      <c r="DT52" s="184">
        <f t="shared" ref="DT52:EM52" ca="1" si="224">SUM(DT47:DT50)</f>
        <v>0</v>
      </c>
      <c r="DU52" s="184">
        <f t="shared" ca="1" si="224"/>
        <v>0</v>
      </c>
      <c r="DV52" s="184">
        <f t="shared" ca="1" si="224"/>
        <v>0</v>
      </c>
      <c r="DW52" s="184">
        <f t="shared" ca="1" si="224"/>
        <v>0</v>
      </c>
      <c r="DX52" s="184">
        <f t="shared" ca="1" si="224"/>
        <v>0</v>
      </c>
      <c r="DY52" s="184">
        <f t="shared" ca="1" si="224"/>
        <v>0</v>
      </c>
      <c r="DZ52" s="184">
        <f t="shared" ca="1" si="224"/>
        <v>0</v>
      </c>
      <c r="EA52" s="184">
        <f t="shared" ca="1" si="224"/>
        <v>0</v>
      </c>
      <c r="EB52" s="184">
        <f t="shared" ca="1" si="224"/>
        <v>61870453.350267738</v>
      </c>
      <c r="EC52" s="184">
        <f t="shared" ca="1" si="224"/>
        <v>0</v>
      </c>
      <c r="ED52" s="184">
        <f t="shared" ca="1" si="224"/>
        <v>0</v>
      </c>
      <c r="EE52" s="184">
        <f t="shared" ca="1" si="224"/>
        <v>0</v>
      </c>
      <c r="EF52" s="184">
        <f t="shared" ca="1" si="224"/>
        <v>0</v>
      </c>
      <c r="EG52" s="184">
        <f t="shared" ca="1" si="224"/>
        <v>0</v>
      </c>
      <c r="EH52" s="184">
        <f t="shared" ca="1" si="224"/>
        <v>0</v>
      </c>
      <c r="EI52" s="184">
        <f t="shared" ca="1" si="224"/>
        <v>0</v>
      </c>
      <c r="EJ52" s="184">
        <f t="shared" ca="1" si="224"/>
        <v>0</v>
      </c>
      <c r="EK52" s="184">
        <f t="shared" ca="1" si="224"/>
        <v>0</v>
      </c>
      <c r="EL52" s="184">
        <f t="shared" ca="1" si="224"/>
        <v>0</v>
      </c>
      <c r="EM52" s="184">
        <f t="shared" ca="1" si="224"/>
        <v>0</v>
      </c>
      <c r="EN52" s="184">
        <f ca="1">SUM(EN47:EN50)</f>
        <v>0</v>
      </c>
      <c r="EO52" s="184">
        <f ca="1">SUM(EO47:EO50)</f>
        <v>0</v>
      </c>
      <c r="EP52" s="184">
        <f ca="1">SUM(EP47:EP50)</f>
        <v>0</v>
      </c>
      <c r="EQ52" s="184">
        <f ca="1">SUM(EQ47:EQ50)</f>
        <v>0</v>
      </c>
    </row>
    <row r="53" spans="2:147" ht="13.35" customHeight="1">
      <c r="B53" s="218"/>
      <c r="C53" s="163"/>
      <c r="D53" s="1037" t="s">
        <v>217</v>
      </c>
      <c r="E53" s="886"/>
      <c r="F53" s="886"/>
      <c r="G53" s="1027"/>
      <c r="H53" s="1033"/>
      <c r="I53" s="1023"/>
      <c r="J53" s="888"/>
      <c r="K53" s="98"/>
      <c r="L53" s="171">
        <f>K56</f>
        <v>0</v>
      </c>
      <c r="M53" s="171">
        <f t="shared" ref="M53:BX53" si="225">L56</f>
        <v>14800000</v>
      </c>
      <c r="N53" s="171">
        <f t="shared" si="225"/>
        <v>14800000</v>
      </c>
      <c r="O53" s="171">
        <f t="shared" si="225"/>
        <v>14800000</v>
      </c>
      <c r="P53" s="171">
        <f t="shared" si="225"/>
        <v>14800000</v>
      </c>
      <c r="Q53" s="171">
        <f t="shared" si="225"/>
        <v>14800000</v>
      </c>
      <c r="R53" s="171">
        <f t="shared" si="225"/>
        <v>14800000</v>
      </c>
      <c r="S53" s="171">
        <f t="shared" si="225"/>
        <v>14800000</v>
      </c>
      <c r="T53" s="171">
        <f t="shared" si="225"/>
        <v>14800000</v>
      </c>
      <c r="U53" s="171">
        <f t="shared" si="225"/>
        <v>14800000</v>
      </c>
      <c r="V53" s="171">
        <f t="shared" si="225"/>
        <v>14800000</v>
      </c>
      <c r="W53" s="171">
        <f t="shared" si="225"/>
        <v>14800000</v>
      </c>
      <c r="X53" s="171">
        <f t="shared" si="225"/>
        <v>14800000</v>
      </c>
      <c r="Y53" s="171">
        <f t="shared" si="225"/>
        <v>14800000</v>
      </c>
      <c r="Z53" s="171">
        <f t="shared" si="225"/>
        <v>14800000</v>
      </c>
      <c r="AA53" s="171">
        <f t="shared" si="225"/>
        <v>14800000</v>
      </c>
      <c r="AB53" s="171">
        <f t="shared" si="225"/>
        <v>14800000</v>
      </c>
      <c r="AC53" s="171">
        <f t="shared" si="225"/>
        <v>14800000</v>
      </c>
      <c r="AD53" s="171">
        <f t="shared" si="225"/>
        <v>14800000</v>
      </c>
      <c r="AE53" s="171">
        <f t="shared" si="225"/>
        <v>14800000</v>
      </c>
      <c r="AF53" s="171">
        <f t="shared" si="225"/>
        <v>14800000</v>
      </c>
      <c r="AG53" s="171">
        <f t="shared" si="225"/>
        <v>14800000</v>
      </c>
      <c r="AH53" s="171">
        <f t="shared" si="225"/>
        <v>14800000</v>
      </c>
      <c r="AI53" s="171">
        <f t="shared" si="225"/>
        <v>14800000</v>
      </c>
      <c r="AJ53" s="171">
        <f t="shared" si="225"/>
        <v>14800000</v>
      </c>
      <c r="AK53" s="171">
        <f t="shared" si="225"/>
        <v>14800000</v>
      </c>
      <c r="AL53" s="171">
        <f t="shared" si="225"/>
        <v>14800000</v>
      </c>
      <c r="AM53" s="171">
        <f t="shared" si="225"/>
        <v>14800000</v>
      </c>
      <c r="AN53" s="171">
        <f t="shared" si="225"/>
        <v>14800000</v>
      </c>
      <c r="AO53" s="171">
        <f t="shared" si="225"/>
        <v>14800000</v>
      </c>
      <c r="AP53" s="171">
        <f t="shared" si="225"/>
        <v>14800000</v>
      </c>
      <c r="AQ53" s="171">
        <f t="shared" si="225"/>
        <v>14800000</v>
      </c>
      <c r="AR53" s="171">
        <f t="shared" si="225"/>
        <v>14800000</v>
      </c>
      <c r="AS53" s="171">
        <f t="shared" si="225"/>
        <v>14800000</v>
      </c>
      <c r="AT53" s="171">
        <f t="shared" si="225"/>
        <v>14800000</v>
      </c>
      <c r="AU53" s="171">
        <f t="shared" si="225"/>
        <v>14800000</v>
      </c>
      <c r="AV53" s="171">
        <f t="shared" si="225"/>
        <v>14800000</v>
      </c>
      <c r="AW53" s="171">
        <f t="shared" si="225"/>
        <v>14800000</v>
      </c>
      <c r="AX53" s="171">
        <f t="shared" si="225"/>
        <v>14800000</v>
      </c>
      <c r="AY53" s="171">
        <f t="shared" si="225"/>
        <v>14800000</v>
      </c>
      <c r="AZ53" s="171">
        <f t="shared" si="225"/>
        <v>14800000</v>
      </c>
      <c r="BA53" s="171">
        <f t="shared" si="225"/>
        <v>14800000</v>
      </c>
      <c r="BB53" s="171">
        <f t="shared" si="225"/>
        <v>14800000</v>
      </c>
      <c r="BC53" s="171">
        <f t="shared" si="225"/>
        <v>14800000</v>
      </c>
      <c r="BD53" s="171">
        <f t="shared" si="225"/>
        <v>14800000</v>
      </c>
      <c r="BE53" s="171">
        <f t="shared" si="225"/>
        <v>14800000</v>
      </c>
      <c r="BF53" s="171">
        <f t="shared" si="225"/>
        <v>14800000</v>
      </c>
      <c r="BG53" s="171">
        <f t="shared" si="225"/>
        <v>14800000</v>
      </c>
      <c r="BH53" s="171">
        <f t="shared" si="225"/>
        <v>14800000</v>
      </c>
      <c r="BI53" s="171">
        <f t="shared" si="225"/>
        <v>14800000</v>
      </c>
      <c r="BJ53" s="171">
        <f t="shared" si="225"/>
        <v>14800000</v>
      </c>
      <c r="BK53" s="171">
        <f t="shared" si="225"/>
        <v>14800000</v>
      </c>
      <c r="BL53" s="171">
        <f t="shared" si="225"/>
        <v>14800000</v>
      </c>
      <c r="BM53" s="171">
        <f t="shared" si="225"/>
        <v>14800000</v>
      </c>
      <c r="BN53" s="171">
        <f t="shared" si="225"/>
        <v>14800000</v>
      </c>
      <c r="BO53" s="171">
        <f t="shared" si="225"/>
        <v>14800000</v>
      </c>
      <c r="BP53" s="171">
        <f t="shared" si="225"/>
        <v>14800000</v>
      </c>
      <c r="BQ53" s="171">
        <f t="shared" si="225"/>
        <v>14800000</v>
      </c>
      <c r="BR53" s="171">
        <f t="shared" si="225"/>
        <v>14800000</v>
      </c>
      <c r="BS53" s="171">
        <f t="shared" si="225"/>
        <v>14800000</v>
      </c>
      <c r="BT53" s="171">
        <f t="shared" si="225"/>
        <v>14800000</v>
      </c>
      <c r="BU53" s="171">
        <f t="shared" si="225"/>
        <v>14800000</v>
      </c>
      <c r="BV53" s="171">
        <f t="shared" si="225"/>
        <v>14800000</v>
      </c>
      <c r="BW53" s="171">
        <f t="shared" si="225"/>
        <v>14800000</v>
      </c>
      <c r="BX53" s="171">
        <f t="shared" si="225"/>
        <v>14800000</v>
      </c>
      <c r="BY53" s="171">
        <f t="shared" ref="BY53:DS53" si="226">BX56</f>
        <v>14800000</v>
      </c>
      <c r="BZ53" s="171">
        <f t="shared" si="226"/>
        <v>14800000</v>
      </c>
      <c r="CA53" s="171">
        <f t="shared" si="226"/>
        <v>14800000</v>
      </c>
      <c r="CB53" s="171">
        <f t="shared" si="226"/>
        <v>14800000</v>
      </c>
      <c r="CC53" s="171">
        <f t="shared" si="226"/>
        <v>14800000</v>
      </c>
      <c r="CD53" s="171">
        <f t="shared" si="226"/>
        <v>14800000</v>
      </c>
      <c r="CE53" s="171">
        <f t="shared" si="226"/>
        <v>14800000</v>
      </c>
      <c r="CF53" s="171">
        <f t="shared" si="226"/>
        <v>14800000</v>
      </c>
      <c r="CG53" s="171">
        <f t="shared" si="226"/>
        <v>14800000</v>
      </c>
      <c r="CH53" s="171">
        <f t="shared" si="226"/>
        <v>14800000</v>
      </c>
      <c r="CI53" s="171">
        <f t="shared" si="226"/>
        <v>14800000</v>
      </c>
      <c r="CJ53" s="171">
        <f t="shared" si="226"/>
        <v>14800000</v>
      </c>
      <c r="CK53" s="171">
        <f t="shared" si="226"/>
        <v>14800000</v>
      </c>
      <c r="CL53" s="171">
        <f t="shared" si="226"/>
        <v>14800000</v>
      </c>
      <c r="CM53" s="171">
        <f t="shared" si="226"/>
        <v>14800000</v>
      </c>
      <c r="CN53" s="171">
        <f t="shared" si="226"/>
        <v>14800000</v>
      </c>
      <c r="CO53" s="171">
        <f t="shared" si="226"/>
        <v>14800000</v>
      </c>
      <c r="CP53" s="171">
        <f t="shared" si="226"/>
        <v>14800000</v>
      </c>
      <c r="CQ53" s="171">
        <f t="shared" si="226"/>
        <v>14800000</v>
      </c>
      <c r="CR53" s="171">
        <f t="shared" si="226"/>
        <v>14800000</v>
      </c>
      <c r="CS53" s="171">
        <f t="shared" si="226"/>
        <v>14800000</v>
      </c>
      <c r="CT53" s="171">
        <f t="shared" si="226"/>
        <v>14800000</v>
      </c>
      <c r="CU53" s="171">
        <f t="shared" si="226"/>
        <v>14800000</v>
      </c>
      <c r="CV53" s="171">
        <f t="shared" si="226"/>
        <v>14800000</v>
      </c>
      <c r="CW53" s="171">
        <f t="shared" si="226"/>
        <v>14800000</v>
      </c>
      <c r="CX53" s="171">
        <f t="shared" si="226"/>
        <v>14800000</v>
      </c>
      <c r="CY53" s="171">
        <f t="shared" si="226"/>
        <v>14800000</v>
      </c>
      <c r="CZ53" s="171">
        <f t="shared" si="226"/>
        <v>14800000</v>
      </c>
      <c r="DA53" s="171">
        <f t="shared" si="226"/>
        <v>14800000</v>
      </c>
      <c r="DB53" s="171">
        <f t="shared" si="226"/>
        <v>14800000</v>
      </c>
      <c r="DC53" s="171">
        <f t="shared" si="226"/>
        <v>14800000</v>
      </c>
      <c r="DD53" s="171">
        <f t="shared" si="226"/>
        <v>14800000</v>
      </c>
      <c r="DE53" s="171">
        <f t="shared" si="226"/>
        <v>14800000</v>
      </c>
      <c r="DF53" s="171">
        <f t="shared" si="226"/>
        <v>14800000</v>
      </c>
      <c r="DG53" s="171">
        <f t="shared" si="226"/>
        <v>14800000</v>
      </c>
      <c r="DH53" s="171">
        <f t="shared" si="226"/>
        <v>14800000</v>
      </c>
      <c r="DI53" s="171">
        <f t="shared" si="226"/>
        <v>14800000</v>
      </c>
      <c r="DJ53" s="171">
        <f t="shared" si="226"/>
        <v>14800000</v>
      </c>
      <c r="DK53" s="171">
        <f t="shared" si="226"/>
        <v>14800000</v>
      </c>
      <c r="DL53" s="171">
        <f t="shared" si="226"/>
        <v>14800000</v>
      </c>
      <c r="DM53" s="171">
        <f t="shared" si="226"/>
        <v>14800000</v>
      </c>
      <c r="DN53" s="171">
        <f t="shared" si="226"/>
        <v>14800000</v>
      </c>
      <c r="DO53" s="171">
        <f t="shared" si="226"/>
        <v>14800000</v>
      </c>
      <c r="DP53" s="171">
        <f t="shared" si="226"/>
        <v>14800000</v>
      </c>
      <c r="DQ53" s="171">
        <f t="shared" si="226"/>
        <v>14800000</v>
      </c>
      <c r="DR53" s="171">
        <f t="shared" si="226"/>
        <v>14800000</v>
      </c>
      <c r="DS53" s="171">
        <f t="shared" si="226"/>
        <v>14800000</v>
      </c>
      <c r="DT53" s="171">
        <f t="shared" ref="DT53:EQ53" si="227">DS56</f>
        <v>14800000</v>
      </c>
      <c r="DU53" s="171">
        <f t="shared" si="227"/>
        <v>14800000</v>
      </c>
      <c r="DV53" s="171">
        <f t="shared" si="227"/>
        <v>14800000</v>
      </c>
      <c r="DW53" s="171">
        <f t="shared" si="227"/>
        <v>14800000</v>
      </c>
      <c r="DX53" s="171">
        <f t="shared" si="227"/>
        <v>14800000</v>
      </c>
      <c r="DY53" s="171">
        <f t="shared" si="227"/>
        <v>14800000</v>
      </c>
      <c r="DZ53" s="171">
        <f t="shared" si="227"/>
        <v>14800000</v>
      </c>
      <c r="EA53" s="171">
        <f t="shared" si="227"/>
        <v>14800000</v>
      </c>
      <c r="EB53" s="171">
        <f t="shared" si="227"/>
        <v>14800000</v>
      </c>
      <c r="EC53" s="171">
        <f t="shared" si="227"/>
        <v>0</v>
      </c>
      <c r="ED53" s="171">
        <f t="shared" si="227"/>
        <v>0</v>
      </c>
      <c r="EE53" s="171">
        <f t="shared" si="227"/>
        <v>0</v>
      </c>
      <c r="EF53" s="171">
        <f t="shared" si="227"/>
        <v>0</v>
      </c>
      <c r="EG53" s="171">
        <f t="shared" si="227"/>
        <v>0</v>
      </c>
      <c r="EH53" s="171">
        <f t="shared" si="227"/>
        <v>0</v>
      </c>
      <c r="EI53" s="171">
        <f t="shared" si="227"/>
        <v>0</v>
      </c>
      <c r="EJ53" s="171">
        <f t="shared" si="227"/>
        <v>0</v>
      </c>
      <c r="EK53" s="171">
        <f t="shared" si="227"/>
        <v>0</v>
      </c>
      <c r="EL53" s="171">
        <f t="shared" si="227"/>
        <v>0</v>
      </c>
      <c r="EM53" s="171">
        <f t="shared" si="227"/>
        <v>0</v>
      </c>
      <c r="EN53" s="171">
        <f t="shared" si="227"/>
        <v>0</v>
      </c>
      <c r="EO53" s="171">
        <f t="shared" si="227"/>
        <v>0</v>
      </c>
      <c r="EP53" s="171">
        <f t="shared" si="227"/>
        <v>0</v>
      </c>
      <c r="EQ53" s="171">
        <f t="shared" si="227"/>
        <v>0</v>
      </c>
    </row>
    <row r="54" spans="2:147" ht="13.35" customHeight="1">
      <c r="B54" s="218"/>
      <c r="C54" s="163"/>
      <c r="D54" s="66" t="s">
        <v>218</v>
      </c>
      <c r="G54" s="1032"/>
      <c r="H54" s="1030"/>
      <c r="I54" s="1022"/>
      <c r="J54" s="171">
        <f>SUM(L54:EQ54)</f>
        <v>14800000</v>
      </c>
      <c r="K54" s="98"/>
      <c r="L54" s="171">
        <f t="shared" ref="L54:AQ54" si="228">-L47</f>
        <v>14800000</v>
      </c>
      <c r="M54" s="171">
        <f t="shared" si="228"/>
        <v>0</v>
      </c>
      <c r="N54" s="171">
        <f t="shared" si="228"/>
        <v>0</v>
      </c>
      <c r="O54" s="171">
        <f t="shared" si="228"/>
        <v>0</v>
      </c>
      <c r="P54" s="171">
        <f t="shared" si="228"/>
        <v>0</v>
      </c>
      <c r="Q54" s="171">
        <f t="shared" si="228"/>
        <v>0</v>
      </c>
      <c r="R54" s="171">
        <f t="shared" si="228"/>
        <v>0</v>
      </c>
      <c r="S54" s="171">
        <f t="shared" si="228"/>
        <v>0</v>
      </c>
      <c r="T54" s="171">
        <f t="shared" si="228"/>
        <v>0</v>
      </c>
      <c r="U54" s="171">
        <f t="shared" si="228"/>
        <v>0</v>
      </c>
      <c r="V54" s="171">
        <f t="shared" si="228"/>
        <v>0</v>
      </c>
      <c r="W54" s="171">
        <f t="shared" si="228"/>
        <v>0</v>
      </c>
      <c r="X54" s="171">
        <f t="shared" si="228"/>
        <v>0</v>
      </c>
      <c r="Y54" s="171">
        <f t="shared" si="228"/>
        <v>0</v>
      </c>
      <c r="Z54" s="171">
        <f t="shared" si="228"/>
        <v>0</v>
      </c>
      <c r="AA54" s="171">
        <f t="shared" si="228"/>
        <v>0</v>
      </c>
      <c r="AB54" s="171">
        <f t="shared" si="228"/>
        <v>0</v>
      </c>
      <c r="AC54" s="171">
        <f t="shared" si="228"/>
        <v>0</v>
      </c>
      <c r="AD54" s="171">
        <f t="shared" si="228"/>
        <v>0</v>
      </c>
      <c r="AE54" s="171">
        <f t="shared" si="228"/>
        <v>0</v>
      </c>
      <c r="AF54" s="171">
        <f t="shared" si="228"/>
        <v>0</v>
      </c>
      <c r="AG54" s="171">
        <f t="shared" si="228"/>
        <v>0</v>
      </c>
      <c r="AH54" s="171">
        <f t="shared" si="228"/>
        <v>0</v>
      </c>
      <c r="AI54" s="171">
        <f t="shared" si="228"/>
        <v>0</v>
      </c>
      <c r="AJ54" s="171">
        <f t="shared" si="228"/>
        <v>0</v>
      </c>
      <c r="AK54" s="171">
        <f t="shared" si="228"/>
        <v>0</v>
      </c>
      <c r="AL54" s="171">
        <f t="shared" si="228"/>
        <v>0</v>
      </c>
      <c r="AM54" s="171">
        <f t="shared" si="228"/>
        <v>0</v>
      </c>
      <c r="AN54" s="171">
        <f t="shared" si="228"/>
        <v>0</v>
      </c>
      <c r="AO54" s="171">
        <f t="shared" si="228"/>
        <v>0</v>
      </c>
      <c r="AP54" s="171">
        <f t="shared" si="228"/>
        <v>0</v>
      </c>
      <c r="AQ54" s="171">
        <f t="shared" si="228"/>
        <v>0</v>
      </c>
      <c r="AR54" s="171">
        <f t="shared" ref="AR54:BW54" si="229">-AR47</f>
        <v>0</v>
      </c>
      <c r="AS54" s="171">
        <f t="shared" si="229"/>
        <v>0</v>
      </c>
      <c r="AT54" s="171">
        <f t="shared" si="229"/>
        <v>0</v>
      </c>
      <c r="AU54" s="171">
        <f t="shared" si="229"/>
        <v>0</v>
      </c>
      <c r="AV54" s="171">
        <f t="shared" si="229"/>
        <v>0</v>
      </c>
      <c r="AW54" s="171">
        <f t="shared" si="229"/>
        <v>0</v>
      </c>
      <c r="AX54" s="171">
        <f t="shared" si="229"/>
        <v>0</v>
      </c>
      <c r="AY54" s="171">
        <f t="shared" si="229"/>
        <v>0</v>
      </c>
      <c r="AZ54" s="171">
        <f t="shared" si="229"/>
        <v>0</v>
      </c>
      <c r="BA54" s="171">
        <f t="shared" si="229"/>
        <v>0</v>
      </c>
      <c r="BB54" s="171">
        <f t="shared" si="229"/>
        <v>0</v>
      </c>
      <c r="BC54" s="171">
        <f t="shared" si="229"/>
        <v>0</v>
      </c>
      <c r="BD54" s="171">
        <f t="shared" si="229"/>
        <v>0</v>
      </c>
      <c r="BE54" s="171">
        <f t="shared" si="229"/>
        <v>0</v>
      </c>
      <c r="BF54" s="171">
        <f t="shared" si="229"/>
        <v>0</v>
      </c>
      <c r="BG54" s="171">
        <f t="shared" si="229"/>
        <v>0</v>
      </c>
      <c r="BH54" s="171">
        <f t="shared" si="229"/>
        <v>0</v>
      </c>
      <c r="BI54" s="171">
        <f t="shared" si="229"/>
        <v>0</v>
      </c>
      <c r="BJ54" s="171">
        <f t="shared" si="229"/>
        <v>0</v>
      </c>
      <c r="BK54" s="171">
        <f t="shared" si="229"/>
        <v>0</v>
      </c>
      <c r="BL54" s="171">
        <f t="shared" si="229"/>
        <v>0</v>
      </c>
      <c r="BM54" s="171">
        <f t="shared" si="229"/>
        <v>0</v>
      </c>
      <c r="BN54" s="171">
        <f t="shared" si="229"/>
        <v>0</v>
      </c>
      <c r="BO54" s="171">
        <f t="shared" si="229"/>
        <v>0</v>
      </c>
      <c r="BP54" s="171">
        <f t="shared" si="229"/>
        <v>0</v>
      </c>
      <c r="BQ54" s="171">
        <f t="shared" si="229"/>
        <v>0</v>
      </c>
      <c r="BR54" s="171">
        <f t="shared" si="229"/>
        <v>0</v>
      </c>
      <c r="BS54" s="171">
        <f t="shared" si="229"/>
        <v>0</v>
      </c>
      <c r="BT54" s="171">
        <f t="shared" si="229"/>
        <v>0</v>
      </c>
      <c r="BU54" s="171">
        <f t="shared" si="229"/>
        <v>0</v>
      </c>
      <c r="BV54" s="171">
        <f t="shared" si="229"/>
        <v>0</v>
      </c>
      <c r="BW54" s="171">
        <f t="shared" si="229"/>
        <v>0</v>
      </c>
      <c r="BX54" s="171">
        <f t="shared" ref="BX54:DC54" si="230">-BX47</f>
        <v>0</v>
      </c>
      <c r="BY54" s="171">
        <f t="shared" si="230"/>
        <v>0</v>
      </c>
      <c r="BZ54" s="171">
        <f t="shared" si="230"/>
        <v>0</v>
      </c>
      <c r="CA54" s="171">
        <f t="shared" si="230"/>
        <v>0</v>
      </c>
      <c r="CB54" s="171">
        <f t="shared" si="230"/>
        <v>0</v>
      </c>
      <c r="CC54" s="171">
        <f t="shared" si="230"/>
        <v>0</v>
      </c>
      <c r="CD54" s="171">
        <f t="shared" si="230"/>
        <v>0</v>
      </c>
      <c r="CE54" s="171">
        <f t="shared" si="230"/>
        <v>0</v>
      </c>
      <c r="CF54" s="171">
        <f t="shared" si="230"/>
        <v>0</v>
      </c>
      <c r="CG54" s="171">
        <f t="shared" si="230"/>
        <v>0</v>
      </c>
      <c r="CH54" s="171">
        <f t="shared" si="230"/>
        <v>0</v>
      </c>
      <c r="CI54" s="171">
        <f t="shared" si="230"/>
        <v>0</v>
      </c>
      <c r="CJ54" s="171">
        <f t="shared" si="230"/>
        <v>0</v>
      </c>
      <c r="CK54" s="171">
        <f t="shared" si="230"/>
        <v>0</v>
      </c>
      <c r="CL54" s="171">
        <f t="shared" si="230"/>
        <v>0</v>
      </c>
      <c r="CM54" s="171">
        <f t="shared" si="230"/>
        <v>0</v>
      </c>
      <c r="CN54" s="171">
        <f t="shared" si="230"/>
        <v>0</v>
      </c>
      <c r="CO54" s="171">
        <f t="shared" si="230"/>
        <v>0</v>
      </c>
      <c r="CP54" s="171">
        <f t="shared" si="230"/>
        <v>0</v>
      </c>
      <c r="CQ54" s="171">
        <f t="shared" si="230"/>
        <v>0</v>
      </c>
      <c r="CR54" s="171">
        <f t="shared" si="230"/>
        <v>0</v>
      </c>
      <c r="CS54" s="171">
        <f t="shared" si="230"/>
        <v>0</v>
      </c>
      <c r="CT54" s="171">
        <f t="shared" si="230"/>
        <v>0</v>
      </c>
      <c r="CU54" s="171">
        <f t="shared" si="230"/>
        <v>0</v>
      </c>
      <c r="CV54" s="171">
        <f t="shared" si="230"/>
        <v>0</v>
      </c>
      <c r="CW54" s="171">
        <f t="shared" si="230"/>
        <v>0</v>
      </c>
      <c r="CX54" s="171">
        <f t="shared" si="230"/>
        <v>0</v>
      </c>
      <c r="CY54" s="171">
        <f t="shared" si="230"/>
        <v>0</v>
      </c>
      <c r="CZ54" s="171">
        <f t="shared" si="230"/>
        <v>0</v>
      </c>
      <c r="DA54" s="171">
        <f t="shared" si="230"/>
        <v>0</v>
      </c>
      <c r="DB54" s="171">
        <f t="shared" si="230"/>
        <v>0</v>
      </c>
      <c r="DC54" s="171">
        <f t="shared" si="230"/>
        <v>0</v>
      </c>
      <c r="DD54" s="171">
        <f t="shared" ref="DD54:DS54" si="231">-DD47</f>
        <v>0</v>
      </c>
      <c r="DE54" s="171">
        <f t="shared" si="231"/>
        <v>0</v>
      </c>
      <c r="DF54" s="171">
        <f t="shared" si="231"/>
        <v>0</v>
      </c>
      <c r="DG54" s="171">
        <f t="shared" si="231"/>
        <v>0</v>
      </c>
      <c r="DH54" s="171">
        <f t="shared" si="231"/>
        <v>0</v>
      </c>
      <c r="DI54" s="171">
        <f t="shared" si="231"/>
        <v>0</v>
      </c>
      <c r="DJ54" s="171">
        <f t="shared" si="231"/>
        <v>0</v>
      </c>
      <c r="DK54" s="171">
        <f t="shared" si="231"/>
        <v>0</v>
      </c>
      <c r="DL54" s="171">
        <f t="shared" si="231"/>
        <v>0</v>
      </c>
      <c r="DM54" s="171">
        <f t="shared" si="231"/>
        <v>0</v>
      </c>
      <c r="DN54" s="171">
        <f t="shared" si="231"/>
        <v>0</v>
      </c>
      <c r="DO54" s="171">
        <f t="shared" si="231"/>
        <v>0</v>
      </c>
      <c r="DP54" s="171">
        <f t="shared" si="231"/>
        <v>0</v>
      </c>
      <c r="DQ54" s="171">
        <f t="shared" si="231"/>
        <v>0</v>
      </c>
      <c r="DR54" s="171">
        <f t="shared" si="231"/>
        <v>0</v>
      </c>
      <c r="DS54" s="171">
        <f t="shared" si="231"/>
        <v>0</v>
      </c>
      <c r="DT54" s="171">
        <f t="shared" ref="DT54:EM54" si="232">-DT47</f>
        <v>0</v>
      </c>
      <c r="DU54" s="171">
        <f t="shared" si="232"/>
        <v>0</v>
      </c>
      <c r="DV54" s="171">
        <f t="shared" si="232"/>
        <v>0</v>
      </c>
      <c r="DW54" s="171">
        <f t="shared" si="232"/>
        <v>0</v>
      </c>
      <c r="DX54" s="171">
        <f t="shared" si="232"/>
        <v>0</v>
      </c>
      <c r="DY54" s="171">
        <f t="shared" si="232"/>
        <v>0</v>
      </c>
      <c r="DZ54" s="171">
        <f t="shared" si="232"/>
        <v>0</v>
      </c>
      <c r="EA54" s="171">
        <f t="shared" si="232"/>
        <v>0</v>
      </c>
      <c r="EB54" s="171">
        <f t="shared" si="232"/>
        <v>0</v>
      </c>
      <c r="EC54" s="171">
        <f t="shared" si="232"/>
        <v>0</v>
      </c>
      <c r="ED54" s="171">
        <f t="shared" si="232"/>
        <v>0</v>
      </c>
      <c r="EE54" s="171">
        <f t="shared" si="232"/>
        <v>0</v>
      </c>
      <c r="EF54" s="171">
        <f t="shared" si="232"/>
        <v>0</v>
      </c>
      <c r="EG54" s="171">
        <f t="shared" si="232"/>
        <v>0</v>
      </c>
      <c r="EH54" s="171">
        <f t="shared" si="232"/>
        <v>0</v>
      </c>
      <c r="EI54" s="171">
        <f t="shared" si="232"/>
        <v>0</v>
      </c>
      <c r="EJ54" s="171">
        <f t="shared" si="232"/>
        <v>0</v>
      </c>
      <c r="EK54" s="171">
        <f t="shared" si="232"/>
        <v>0</v>
      </c>
      <c r="EL54" s="171">
        <f t="shared" si="232"/>
        <v>0</v>
      </c>
      <c r="EM54" s="171">
        <f t="shared" si="232"/>
        <v>0</v>
      </c>
      <c r="EN54" s="171">
        <f>-EN47</f>
        <v>0</v>
      </c>
      <c r="EO54" s="171">
        <f>-EO47</f>
        <v>0</v>
      </c>
      <c r="EP54" s="171">
        <f>-EP47</f>
        <v>0</v>
      </c>
      <c r="EQ54" s="171">
        <f>-EQ47</f>
        <v>0</v>
      </c>
    </row>
    <row r="55" spans="2:147" ht="13.35" customHeight="1">
      <c r="B55" s="218"/>
      <c r="C55" s="163"/>
      <c r="D55" s="66" t="s">
        <v>219</v>
      </c>
      <c r="G55" s="1032"/>
      <c r="H55" s="1039">
        <f>H23</f>
        <v>49979</v>
      </c>
      <c r="I55" s="1022"/>
      <c r="J55" s="171">
        <f>SUM(L55:EQ55)</f>
        <v>14800000</v>
      </c>
      <c r="K55" s="98"/>
      <c r="L55" s="171">
        <f>SUM(L53:L54)*(L$5=$H55)</f>
        <v>0</v>
      </c>
      <c r="M55" s="171">
        <f t="shared" ref="M55:BX55" si="233">SUM(M53:M54)*(M$5=$H55)</f>
        <v>0</v>
      </c>
      <c r="N55" s="171">
        <f t="shared" si="233"/>
        <v>0</v>
      </c>
      <c r="O55" s="171">
        <f t="shared" si="233"/>
        <v>0</v>
      </c>
      <c r="P55" s="171">
        <f t="shared" si="233"/>
        <v>0</v>
      </c>
      <c r="Q55" s="171">
        <f t="shared" si="233"/>
        <v>0</v>
      </c>
      <c r="R55" s="171">
        <f t="shared" si="233"/>
        <v>0</v>
      </c>
      <c r="S55" s="171">
        <f t="shared" si="233"/>
        <v>0</v>
      </c>
      <c r="T55" s="171">
        <f t="shared" si="233"/>
        <v>0</v>
      </c>
      <c r="U55" s="171">
        <f t="shared" si="233"/>
        <v>0</v>
      </c>
      <c r="V55" s="171">
        <f t="shared" si="233"/>
        <v>0</v>
      </c>
      <c r="W55" s="171">
        <f t="shared" si="233"/>
        <v>0</v>
      </c>
      <c r="X55" s="171">
        <f t="shared" si="233"/>
        <v>0</v>
      </c>
      <c r="Y55" s="171">
        <f t="shared" si="233"/>
        <v>0</v>
      </c>
      <c r="Z55" s="171">
        <f t="shared" si="233"/>
        <v>0</v>
      </c>
      <c r="AA55" s="171">
        <f t="shared" si="233"/>
        <v>0</v>
      </c>
      <c r="AB55" s="171">
        <f t="shared" si="233"/>
        <v>0</v>
      </c>
      <c r="AC55" s="171">
        <f t="shared" si="233"/>
        <v>0</v>
      </c>
      <c r="AD55" s="171">
        <f t="shared" si="233"/>
        <v>0</v>
      </c>
      <c r="AE55" s="171">
        <f t="shared" si="233"/>
        <v>0</v>
      </c>
      <c r="AF55" s="171">
        <f t="shared" si="233"/>
        <v>0</v>
      </c>
      <c r="AG55" s="171">
        <f t="shared" si="233"/>
        <v>0</v>
      </c>
      <c r="AH55" s="171">
        <f t="shared" si="233"/>
        <v>0</v>
      </c>
      <c r="AI55" s="171">
        <f t="shared" si="233"/>
        <v>0</v>
      </c>
      <c r="AJ55" s="171">
        <f t="shared" si="233"/>
        <v>0</v>
      </c>
      <c r="AK55" s="171">
        <f t="shared" si="233"/>
        <v>0</v>
      </c>
      <c r="AL55" s="171">
        <f t="shared" si="233"/>
        <v>0</v>
      </c>
      <c r="AM55" s="171">
        <f t="shared" si="233"/>
        <v>0</v>
      </c>
      <c r="AN55" s="171">
        <f t="shared" si="233"/>
        <v>0</v>
      </c>
      <c r="AO55" s="171">
        <f t="shared" si="233"/>
        <v>0</v>
      </c>
      <c r="AP55" s="171">
        <f t="shared" si="233"/>
        <v>0</v>
      </c>
      <c r="AQ55" s="171">
        <f t="shared" si="233"/>
        <v>0</v>
      </c>
      <c r="AR55" s="171">
        <f t="shared" si="233"/>
        <v>0</v>
      </c>
      <c r="AS55" s="171">
        <f t="shared" si="233"/>
        <v>0</v>
      </c>
      <c r="AT55" s="171">
        <f t="shared" si="233"/>
        <v>0</v>
      </c>
      <c r="AU55" s="171">
        <f t="shared" si="233"/>
        <v>0</v>
      </c>
      <c r="AV55" s="171">
        <f t="shared" si="233"/>
        <v>0</v>
      </c>
      <c r="AW55" s="171">
        <f t="shared" si="233"/>
        <v>0</v>
      </c>
      <c r="AX55" s="171">
        <f t="shared" si="233"/>
        <v>0</v>
      </c>
      <c r="AY55" s="171">
        <f t="shared" si="233"/>
        <v>0</v>
      </c>
      <c r="AZ55" s="171">
        <f t="shared" si="233"/>
        <v>0</v>
      </c>
      <c r="BA55" s="171">
        <f t="shared" si="233"/>
        <v>0</v>
      </c>
      <c r="BB55" s="171">
        <f t="shared" si="233"/>
        <v>0</v>
      </c>
      <c r="BC55" s="171">
        <f t="shared" si="233"/>
        <v>0</v>
      </c>
      <c r="BD55" s="171">
        <f t="shared" si="233"/>
        <v>0</v>
      </c>
      <c r="BE55" s="171">
        <f t="shared" si="233"/>
        <v>0</v>
      </c>
      <c r="BF55" s="171">
        <f t="shared" si="233"/>
        <v>0</v>
      </c>
      <c r="BG55" s="171">
        <f t="shared" si="233"/>
        <v>0</v>
      </c>
      <c r="BH55" s="171">
        <f t="shared" si="233"/>
        <v>0</v>
      </c>
      <c r="BI55" s="171">
        <f t="shared" si="233"/>
        <v>0</v>
      </c>
      <c r="BJ55" s="171">
        <f t="shared" si="233"/>
        <v>0</v>
      </c>
      <c r="BK55" s="171">
        <f t="shared" si="233"/>
        <v>0</v>
      </c>
      <c r="BL55" s="171">
        <f t="shared" si="233"/>
        <v>0</v>
      </c>
      <c r="BM55" s="171">
        <f t="shared" si="233"/>
        <v>0</v>
      </c>
      <c r="BN55" s="171">
        <f t="shared" si="233"/>
        <v>0</v>
      </c>
      <c r="BO55" s="171">
        <f t="shared" si="233"/>
        <v>0</v>
      </c>
      <c r="BP55" s="171">
        <f t="shared" si="233"/>
        <v>0</v>
      </c>
      <c r="BQ55" s="171">
        <f t="shared" si="233"/>
        <v>0</v>
      </c>
      <c r="BR55" s="171">
        <f t="shared" si="233"/>
        <v>0</v>
      </c>
      <c r="BS55" s="171">
        <f t="shared" si="233"/>
        <v>0</v>
      </c>
      <c r="BT55" s="171">
        <f t="shared" si="233"/>
        <v>0</v>
      </c>
      <c r="BU55" s="171">
        <f t="shared" si="233"/>
        <v>0</v>
      </c>
      <c r="BV55" s="171">
        <f t="shared" si="233"/>
        <v>0</v>
      </c>
      <c r="BW55" s="171">
        <f t="shared" si="233"/>
        <v>0</v>
      </c>
      <c r="BX55" s="171">
        <f t="shared" si="233"/>
        <v>0</v>
      </c>
      <c r="BY55" s="171">
        <f t="shared" ref="BY55:DS55" si="234">SUM(BY53:BY54)*(BY$5=$H55)</f>
        <v>0</v>
      </c>
      <c r="BZ55" s="171">
        <f t="shared" si="234"/>
        <v>0</v>
      </c>
      <c r="CA55" s="171">
        <f t="shared" si="234"/>
        <v>0</v>
      </c>
      <c r="CB55" s="171">
        <f t="shared" si="234"/>
        <v>0</v>
      </c>
      <c r="CC55" s="171">
        <f t="shared" si="234"/>
        <v>0</v>
      </c>
      <c r="CD55" s="171">
        <f t="shared" si="234"/>
        <v>0</v>
      </c>
      <c r="CE55" s="171">
        <f t="shared" si="234"/>
        <v>0</v>
      </c>
      <c r="CF55" s="171">
        <f t="shared" si="234"/>
        <v>0</v>
      </c>
      <c r="CG55" s="171">
        <f t="shared" si="234"/>
        <v>0</v>
      </c>
      <c r="CH55" s="171">
        <f t="shared" si="234"/>
        <v>0</v>
      </c>
      <c r="CI55" s="171">
        <f t="shared" si="234"/>
        <v>0</v>
      </c>
      <c r="CJ55" s="171">
        <f t="shared" si="234"/>
        <v>0</v>
      </c>
      <c r="CK55" s="171">
        <f t="shared" si="234"/>
        <v>0</v>
      </c>
      <c r="CL55" s="171">
        <f t="shared" si="234"/>
        <v>0</v>
      </c>
      <c r="CM55" s="171">
        <f t="shared" si="234"/>
        <v>0</v>
      </c>
      <c r="CN55" s="171">
        <f t="shared" si="234"/>
        <v>0</v>
      </c>
      <c r="CO55" s="171">
        <f t="shared" si="234"/>
        <v>0</v>
      </c>
      <c r="CP55" s="171">
        <f t="shared" si="234"/>
        <v>0</v>
      </c>
      <c r="CQ55" s="171">
        <f t="shared" si="234"/>
        <v>0</v>
      </c>
      <c r="CR55" s="171">
        <f t="shared" si="234"/>
        <v>0</v>
      </c>
      <c r="CS55" s="171">
        <f t="shared" si="234"/>
        <v>0</v>
      </c>
      <c r="CT55" s="171">
        <f t="shared" si="234"/>
        <v>0</v>
      </c>
      <c r="CU55" s="171">
        <f t="shared" si="234"/>
        <v>0</v>
      </c>
      <c r="CV55" s="171">
        <f t="shared" si="234"/>
        <v>0</v>
      </c>
      <c r="CW55" s="171">
        <f t="shared" si="234"/>
        <v>0</v>
      </c>
      <c r="CX55" s="171">
        <f t="shared" si="234"/>
        <v>0</v>
      </c>
      <c r="CY55" s="171">
        <f t="shared" si="234"/>
        <v>0</v>
      </c>
      <c r="CZ55" s="171">
        <f t="shared" si="234"/>
        <v>0</v>
      </c>
      <c r="DA55" s="171">
        <f t="shared" si="234"/>
        <v>0</v>
      </c>
      <c r="DB55" s="171">
        <f t="shared" si="234"/>
        <v>0</v>
      </c>
      <c r="DC55" s="171">
        <f t="shared" si="234"/>
        <v>0</v>
      </c>
      <c r="DD55" s="171">
        <f t="shared" si="234"/>
        <v>0</v>
      </c>
      <c r="DE55" s="171">
        <f t="shared" si="234"/>
        <v>0</v>
      </c>
      <c r="DF55" s="171">
        <f t="shared" si="234"/>
        <v>0</v>
      </c>
      <c r="DG55" s="171">
        <f t="shared" si="234"/>
        <v>0</v>
      </c>
      <c r="DH55" s="171">
        <f t="shared" si="234"/>
        <v>0</v>
      </c>
      <c r="DI55" s="171">
        <f t="shared" si="234"/>
        <v>0</v>
      </c>
      <c r="DJ55" s="171">
        <f t="shared" si="234"/>
        <v>0</v>
      </c>
      <c r="DK55" s="171">
        <f t="shared" si="234"/>
        <v>0</v>
      </c>
      <c r="DL55" s="171">
        <f t="shared" si="234"/>
        <v>0</v>
      </c>
      <c r="DM55" s="171">
        <f t="shared" si="234"/>
        <v>0</v>
      </c>
      <c r="DN55" s="171">
        <f t="shared" si="234"/>
        <v>0</v>
      </c>
      <c r="DO55" s="171">
        <f t="shared" si="234"/>
        <v>0</v>
      </c>
      <c r="DP55" s="171">
        <f t="shared" si="234"/>
        <v>0</v>
      </c>
      <c r="DQ55" s="171">
        <f t="shared" si="234"/>
        <v>0</v>
      </c>
      <c r="DR55" s="171">
        <f t="shared" si="234"/>
        <v>0</v>
      </c>
      <c r="DS55" s="171">
        <f t="shared" si="234"/>
        <v>0</v>
      </c>
      <c r="DT55" s="171">
        <f t="shared" ref="DT55:EM55" si="235">SUM(DT53:DT54)*(DT$5=$H55)</f>
        <v>0</v>
      </c>
      <c r="DU55" s="171">
        <f t="shared" si="235"/>
        <v>0</v>
      </c>
      <c r="DV55" s="171">
        <f t="shared" si="235"/>
        <v>0</v>
      </c>
      <c r="DW55" s="171">
        <f t="shared" si="235"/>
        <v>0</v>
      </c>
      <c r="DX55" s="171">
        <f t="shared" si="235"/>
        <v>0</v>
      </c>
      <c r="DY55" s="171">
        <f t="shared" si="235"/>
        <v>0</v>
      </c>
      <c r="DZ55" s="171">
        <f t="shared" si="235"/>
        <v>0</v>
      </c>
      <c r="EA55" s="171">
        <f t="shared" si="235"/>
        <v>0</v>
      </c>
      <c r="EB55" s="171">
        <f t="shared" si="235"/>
        <v>14800000</v>
      </c>
      <c r="EC55" s="171">
        <f t="shared" si="235"/>
        <v>0</v>
      </c>
      <c r="ED55" s="171">
        <f t="shared" si="235"/>
        <v>0</v>
      </c>
      <c r="EE55" s="171">
        <f t="shared" si="235"/>
        <v>0</v>
      </c>
      <c r="EF55" s="171">
        <f t="shared" si="235"/>
        <v>0</v>
      </c>
      <c r="EG55" s="171">
        <f t="shared" si="235"/>
        <v>0</v>
      </c>
      <c r="EH55" s="171">
        <f t="shared" si="235"/>
        <v>0</v>
      </c>
      <c r="EI55" s="171">
        <f t="shared" si="235"/>
        <v>0</v>
      </c>
      <c r="EJ55" s="171">
        <f t="shared" si="235"/>
        <v>0</v>
      </c>
      <c r="EK55" s="171">
        <f t="shared" si="235"/>
        <v>0</v>
      </c>
      <c r="EL55" s="171">
        <f t="shared" si="235"/>
        <v>0</v>
      </c>
      <c r="EM55" s="171">
        <f t="shared" si="235"/>
        <v>0</v>
      </c>
      <c r="EN55" s="171">
        <f>SUM(EN53:EN54)*(EN$5=$H55)</f>
        <v>0</v>
      </c>
      <c r="EO55" s="171">
        <f>SUM(EO53:EO54)*(EO$5=$H55)</f>
        <v>0</v>
      </c>
      <c r="EP55" s="171">
        <f>SUM(EP53:EP54)*(EP$5=$H55)</f>
        <v>0</v>
      </c>
      <c r="EQ55" s="171">
        <f>SUM(EQ53:EQ54)*(EQ$5=$H55)</f>
        <v>0</v>
      </c>
    </row>
    <row r="56" spans="2:147" ht="13.35" customHeight="1">
      <c r="B56" s="218"/>
      <c r="C56" s="163"/>
      <c r="D56" s="1038" t="s">
        <v>220</v>
      </c>
      <c r="E56" s="175"/>
      <c r="F56" s="175"/>
      <c r="G56" s="1034"/>
      <c r="H56" s="1035"/>
      <c r="I56" s="1036"/>
      <c r="J56" s="177"/>
      <c r="K56" s="98"/>
      <c r="L56" s="184">
        <f t="shared" ref="L56:AQ56" si="236">L53+L54-L55</f>
        <v>14800000</v>
      </c>
      <c r="M56" s="184">
        <f t="shared" si="236"/>
        <v>14800000</v>
      </c>
      <c r="N56" s="184">
        <f t="shared" si="236"/>
        <v>14800000</v>
      </c>
      <c r="O56" s="184">
        <f t="shared" si="236"/>
        <v>14800000</v>
      </c>
      <c r="P56" s="184">
        <f t="shared" si="236"/>
        <v>14800000</v>
      </c>
      <c r="Q56" s="184">
        <f t="shared" si="236"/>
        <v>14800000</v>
      </c>
      <c r="R56" s="184">
        <f t="shared" si="236"/>
        <v>14800000</v>
      </c>
      <c r="S56" s="184">
        <f t="shared" si="236"/>
        <v>14800000</v>
      </c>
      <c r="T56" s="184">
        <f t="shared" si="236"/>
        <v>14800000</v>
      </c>
      <c r="U56" s="184">
        <f t="shared" si="236"/>
        <v>14800000</v>
      </c>
      <c r="V56" s="184">
        <f t="shared" si="236"/>
        <v>14800000</v>
      </c>
      <c r="W56" s="184">
        <f t="shared" si="236"/>
        <v>14800000</v>
      </c>
      <c r="X56" s="184">
        <f t="shared" si="236"/>
        <v>14800000</v>
      </c>
      <c r="Y56" s="184">
        <f t="shared" si="236"/>
        <v>14800000</v>
      </c>
      <c r="Z56" s="184">
        <f t="shared" si="236"/>
        <v>14800000</v>
      </c>
      <c r="AA56" s="184">
        <f t="shared" si="236"/>
        <v>14800000</v>
      </c>
      <c r="AB56" s="184">
        <f t="shared" si="236"/>
        <v>14800000</v>
      </c>
      <c r="AC56" s="184">
        <f t="shared" si="236"/>
        <v>14800000</v>
      </c>
      <c r="AD56" s="184">
        <f t="shared" si="236"/>
        <v>14800000</v>
      </c>
      <c r="AE56" s="184">
        <f t="shared" si="236"/>
        <v>14800000</v>
      </c>
      <c r="AF56" s="184">
        <f t="shared" si="236"/>
        <v>14800000</v>
      </c>
      <c r="AG56" s="184">
        <f t="shared" si="236"/>
        <v>14800000</v>
      </c>
      <c r="AH56" s="184">
        <f t="shared" si="236"/>
        <v>14800000</v>
      </c>
      <c r="AI56" s="184">
        <f t="shared" si="236"/>
        <v>14800000</v>
      </c>
      <c r="AJ56" s="184">
        <f t="shared" si="236"/>
        <v>14800000</v>
      </c>
      <c r="AK56" s="184">
        <f t="shared" si="236"/>
        <v>14800000</v>
      </c>
      <c r="AL56" s="184">
        <f t="shared" si="236"/>
        <v>14800000</v>
      </c>
      <c r="AM56" s="184">
        <f t="shared" si="236"/>
        <v>14800000</v>
      </c>
      <c r="AN56" s="184">
        <f t="shared" si="236"/>
        <v>14800000</v>
      </c>
      <c r="AO56" s="184">
        <f t="shared" si="236"/>
        <v>14800000</v>
      </c>
      <c r="AP56" s="184">
        <f t="shared" si="236"/>
        <v>14800000</v>
      </c>
      <c r="AQ56" s="184">
        <f t="shared" si="236"/>
        <v>14800000</v>
      </c>
      <c r="AR56" s="184">
        <f t="shared" ref="AR56:BW56" si="237">AR53+AR54-AR55</f>
        <v>14800000</v>
      </c>
      <c r="AS56" s="184">
        <f t="shared" si="237"/>
        <v>14800000</v>
      </c>
      <c r="AT56" s="184">
        <f t="shared" si="237"/>
        <v>14800000</v>
      </c>
      <c r="AU56" s="184">
        <f t="shared" si="237"/>
        <v>14800000</v>
      </c>
      <c r="AV56" s="184">
        <f t="shared" si="237"/>
        <v>14800000</v>
      </c>
      <c r="AW56" s="184">
        <f t="shared" si="237"/>
        <v>14800000</v>
      </c>
      <c r="AX56" s="184">
        <f t="shared" si="237"/>
        <v>14800000</v>
      </c>
      <c r="AY56" s="184">
        <f t="shared" si="237"/>
        <v>14800000</v>
      </c>
      <c r="AZ56" s="184">
        <f t="shared" si="237"/>
        <v>14800000</v>
      </c>
      <c r="BA56" s="184">
        <f t="shared" si="237"/>
        <v>14800000</v>
      </c>
      <c r="BB56" s="184">
        <f t="shared" si="237"/>
        <v>14800000</v>
      </c>
      <c r="BC56" s="184">
        <f t="shared" si="237"/>
        <v>14800000</v>
      </c>
      <c r="BD56" s="184">
        <f t="shared" si="237"/>
        <v>14800000</v>
      </c>
      <c r="BE56" s="184">
        <f t="shared" si="237"/>
        <v>14800000</v>
      </c>
      <c r="BF56" s="184">
        <f t="shared" si="237"/>
        <v>14800000</v>
      </c>
      <c r="BG56" s="184">
        <f t="shared" si="237"/>
        <v>14800000</v>
      </c>
      <c r="BH56" s="184">
        <f t="shared" si="237"/>
        <v>14800000</v>
      </c>
      <c r="BI56" s="184">
        <f t="shared" si="237"/>
        <v>14800000</v>
      </c>
      <c r="BJ56" s="184">
        <f t="shared" si="237"/>
        <v>14800000</v>
      </c>
      <c r="BK56" s="184">
        <f t="shared" si="237"/>
        <v>14800000</v>
      </c>
      <c r="BL56" s="184">
        <f t="shared" si="237"/>
        <v>14800000</v>
      </c>
      <c r="BM56" s="184">
        <f t="shared" si="237"/>
        <v>14800000</v>
      </c>
      <c r="BN56" s="184">
        <f t="shared" si="237"/>
        <v>14800000</v>
      </c>
      <c r="BO56" s="184">
        <f t="shared" si="237"/>
        <v>14800000</v>
      </c>
      <c r="BP56" s="184">
        <f t="shared" si="237"/>
        <v>14800000</v>
      </c>
      <c r="BQ56" s="184">
        <f t="shared" si="237"/>
        <v>14800000</v>
      </c>
      <c r="BR56" s="184">
        <f t="shared" si="237"/>
        <v>14800000</v>
      </c>
      <c r="BS56" s="184">
        <f t="shared" si="237"/>
        <v>14800000</v>
      </c>
      <c r="BT56" s="184">
        <f t="shared" si="237"/>
        <v>14800000</v>
      </c>
      <c r="BU56" s="184">
        <f t="shared" si="237"/>
        <v>14800000</v>
      </c>
      <c r="BV56" s="184">
        <f t="shared" si="237"/>
        <v>14800000</v>
      </c>
      <c r="BW56" s="184">
        <f t="shared" si="237"/>
        <v>14800000</v>
      </c>
      <c r="BX56" s="184">
        <f t="shared" ref="BX56:DC56" si="238">BX53+BX54-BX55</f>
        <v>14800000</v>
      </c>
      <c r="BY56" s="184">
        <f t="shared" si="238"/>
        <v>14800000</v>
      </c>
      <c r="BZ56" s="184">
        <f t="shared" si="238"/>
        <v>14800000</v>
      </c>
      <c r="CA56" s="184">
        <f t="shared" si="238"/>
        <v>14800000</v>
      </c>
      <c r="CB56" s="184">
        <f t="shared" si="238"/>
        <v>14800000</v>
      </c>
      <c r="CC56" s="184">
        <f t="shared" si="238"/>
        <v>14800000</v>
      </c>
      <c r="CD56" s="184">
        <f t="shared" si="238"/>
        <v>14800000</v>
      </c>
      <c r="CE56" s="184">
        <f t="shared" si="238"/>
        <v>14800000</v>
      </c>
      <c r="CF56" s="184">
        <f t="shared" si="238"/>
        <v>14800000</v>
      </c>
      <c r="CG56" s="184">
        <f t="shared" si="238"/>
        <v>14800000</v>
      </c>
      <c r="CH56" s="184">
        <f t="shared" si="238"/>
        <v>14800000</v>
      </c>
      <c r="CI56" s="184">
        <f t="shared" si="238"/>
        <v>14800000</v>
      </c>
      <c r="CJ56" s="184">
        <f t="shared" si="238"/>
        <v>14800000</v>
      </c>
      <c r="CK56" s="184">
        <f t="shared" si="238"/>
        <v>14800000</v>
      </c>
      <c r="CL56" s="184">
        <f t="shared" si="238"/>
        <v>14800000</v>
      </c>
      <c r="CM56" s="184">
        <f t="shared" si="238"/>
        <v>14800000</v>
      </c>
      <c r="CN56" s="184">
        <f t="shared" si="238"/>
        <v>14800000</v>
      </c>
      <c r="CO56" s="184">
        <f t="shared" si="238"/>
        <v>14800000</v>
      </c>
      <c r="CP56" s="184">
        <f t="shared" si="238"/>
        <v>14800000</v>
      </c>
      <c r="CQ56" s="184">
        <f t="shared" si="238"/>
        <v>14800000</v>
      </c>
      <c r="CR56" s="184">
        <f t="shared" si="238"/>
        <v>14800000</v>
      </c>
      <c r="CS56" s="184">
        <f t="shared" si="238"/>
        <v>14800000</v>
      </c>
      <c r="CT56" s="184">
        <f t="shared" si="238"/>
        <v>14800000</v>
      </c>
      <c r="CU56" s="184">
        <f t="shared" si="238"/>
        <v>14800000</v>
      </c>
      <c r="CV56" s="184">
        <f t="shared" si="238"/>
        <v>14800000</v>
      </c>
      <c r="CW56" s="184">
        <f t="shared" si="238"/>
        <v>14800000</v>
      </c>
      <c r="CX56" s="184">
        <f t="shared" si="238"/>
        <v>14800000</v>
      </c>
      <c r="CY56" s="184">
        <f t="shared" si="238"/>
        <v>14800000</v>
      </c>
      <c r="CZ56" s="184">
        <f t="shared" si="238"/>
        <v>14800000</v>
      </c>
      <c r="DA56" s="184">
        <f t="shared" si="238"/>
        <v>14800000</v>
      </c>
      <c r="DB56" s="184">
        <f t="shared" si="238"/>
        <v>14800000</v>
      </c>
      <c r="DC56" s="184">
        <f t="shared" si="238"/>
        <v>14800000</v>
      </c>
      <c r="DD56" s="184">
        <f t="shared" ref="DD56:DS56" si="239">DD53+DD54-DD55</f>
        <v>14800000</v>
      </c>
      <c r="DE56" s="184">
        <f t="shared" si="239"/>
        <v>14800000</v>
      </c>
      <c r="DF56" s="184">
        <f t="shared" si="239"/>
        <v>14800000</v>
      </c>
      <c r="DG56" s="184">
        <f t="shared" si="239"/>
        <v>14800000</v>
      </c>
      <c r="DH56" s="184">
        <f t="shared" si="239"/>
        <v>14800000</v>
      </c>
      <c r="DI56" s="184">
        <f t="shared" si="239"/>
        <v>14800000</v>
      </c>
      <c r="DJ56" s="184">
        <f t="shared" si="239"/>
        <v>14800000</v>
      </c>
      <c r="DK56" s="184">
        <f t="shared" si="239"/>
        <v>14800000</v>
      </c>
      <c r="DL56" s="184">
        <f t="shared" si="239"/>
        <v>14800000</v>
      </c>
      <c r="DM56" s="184">
        <f t="shared" si="239"/>
        <v>14800000</v>
      </c>
      <c r="DN56" s="184">
        <f t="shared" si="239"/>
        <v>14800000</v>
      </c>
      <c r="DO56" s="184">
        <f t="shared" si="239"/>
        <v>14800000</v>
      </c>
      <c r="DP56" s="184">
        <f t="shared" si="239"/>
        <v>14800000</v>
      </c>
      <c r="DQ56" s="184">
        <f t="shared" si="239"/>
        <v>14800000</v>
      </c>
      <c r="DR56" s="184">
        <f t="shared" si="239"/>
        <v>14800000</v>
      </c>
      <c r="DS56" s="184">
        <f t="shared" si="239"/>
        <v>14800000</v>
      </c>
      <c r="DT56" s="184">
        <f t="shared" ref="DT56:EM56" si="240">DT53+DT54-DT55</f>
        <v>14800000</v>
      </c>
      <c r="DU56" s="184">
        <f t="shared" si="240"/>
        <v>14800000</v>
      </c>
      <c r="DV56" s="184">
        <f t="shared" si="240"/>
        <v>14800000</v>
      </c>
      <c r="DW56" s="184">
        <f t="shared" si="240"/>
        <v>14800000</v>
      </c>
      <c r="DX56" s="184">
        <f t="shared" si="240"/>
        <v>14800000</v>
      </c>
      <c r="DY56" s="184">
        <f t="shared" si="240"/>
        <v>14800000</v>
      </c>
      <c r="DZ56" s="184">
        <f t="shared" si="240"/>
        <v>14800000</v>
      </c>
      <c r="EA56" s="184">
        <f t="shared" si="240"/>
        <v>14800000</v>
      </c>
      <c r="EB56" s="184">
        <f t="shared" si="240"/>
        <v>0</v>
      </c>
      <c r="EC56" s="184">
        <f t="shared" si="240"/>
        <v>0</v>
      </c>
      <c r="ED56" s="184">
        <f t="shared" si="240"/>
        <v>0</v>
      </c>
      <c r="EE56" s="184">
        <f t="shared" si="240"/>
        <v>0</v>
      </c>
      <c r="EF56" s="184">
        <f t="shared" si="240"/>
        <v>0</v>
      </c>
      <c r="EG56" s="184">
        <f t="shared" si="240"/>
        <v>0</v>
      </c>
      <c r="EH56" s="184">
        <f t="shared" si="240"/>
        <v>0</v>
      </c>
      <c r="EI56" s="184">
        <f t="shared" si="240"/>
        <v>0</v>
      </c>
      <c r="EJ56" s="184">
        <f t="shared" si="240"/>
        <v>0</v>
      </c>
      <c r="EK56" s="184">
        <f t="shared" si="240"/>
        <v>0</v>
      </c>
      <c r="EL56" s="184">
        <f t="shared" si="240"/>
        <v>0</v>
      </c>
      <c r="EM56" s="184">
        <f t="shared" si="240"/>
        <v>0</v>
      </c>
      <c r="EN56" s="184">
        <f>EN53+EN54-EN55</f>
        <v>0</v>
      </c>
      <c r="EO56" s="184">
        <f>EO53+EO54-EO55</f>
        <v>0</v>
      </c>
      <c r="EP56" s="184">
        <f>EP53+EP54-EP55</f>
        <v>0</v>
      </c>
      <c r="EQ56" s="184">
        <f>EQ53+EQ54-EQ55</f>
        <v>0</v>
      </c>
    </row>
    <row r="57" spans="2:147" ht="13.35" customHeight="1">
      <c r="B57" s="218"/>
      <c r="C57" s="158" t="s">
        <v>651</v>
      </c>
      <c r="D57" s="159"/>
      <c r="E57" s="159"/>
      <c r="F57" s="159"/>
      <c r="G57" s="159"/>
      <c r="H57" s="160"/>
      <c r="I57" s="219"/>
      <c r="J57" s="220"/>
      <c r="K57" s="98"/>
      <c r="L57" s="162"/>
      <c r="M57" s="162"/>
      <c r="N57" s="162"/>
      <c r="O57" s="162"/>
      <c r="P57" s="162"/>
      <c r="Q57" s="162"/>
      <c r="R57" s="162"/>
      <c r="S57" s="162"/>
      <c r="T57" s="162"/>
      <c r="U57" s="162"/>
      <c r="V57" s="162"/>
      <c r="W57" s="162"/>
      <c r="X57" s="162"/>
      <c r="Y57" s="162"/>
      <c r="Z57" s="162"/>
      <c r="AA57" s="162"/>
      <c r="AB57" s="162"/>
      <c r="AC57" s="162"/>
      <c r="AD57" s="162"/>
      <c r="AE57" s="162"/>
      <c r="AF57" s="162"/>
      <c r="AG57" s="162"/>
      <c r="AH57" s="162"/>
      <c r="AI57" s="162"/>
      <c r="AJ57" s="162"/>
      <c r="AK57" s="162"/>
      <c r="AL57" s="162"/>
      <c r="AM57" s="162"/>
      <c r="AN57" s="162"/>
      <c r="AO57" s="162"/>
      <c r="AP57" s="162"/>
      <c r="AQ57" s="162"/>
      <c r="AR57" s="162"/>
      <c r="AS57" s="162"/>
      <c r="AT57" s="162"/>
      <c r="AU57" s="162"/>
      <c r="AV57" s="162"/>
      <c r="AW57" s="162"/>
      <c r="AX57" s="162"/>
      <c r="AY57" s="162"/>
      <c r="AZ57" s="162"/>
      <c r="BA57" s="162"/>
      <c r="BB57" s="162"/>
      <c r="BC57" s="162"/>
      <c r="BD57" s="162"/>
      <c r="BE57" s="162"/>
      <c r="BF57" s="162"/>
      <c r="BG57" s="162"/>
      <c r="BH57" s="162"/>
      <c r="BI57" s="162"/>
      <c r="BJ57" s="162"/>
      <c r="BK57" s="162"/>
      <c r="BL57" s="162"/>
      <c r="BM57" s="162"/>
      <c r="BN57" s="162"/>
      <c r="BO57" s="162"/>
      <c r="BP57" s="162"/>
      <c r="BQ57" s="162"/>
      <c r="BR57" s="162"/>
      <c r="BS57" s="162"/>
      <c r="BT57" s="162"/>
      <c r="BU57" s="162"/>
      <c r="BV57" s="162"/>
      <c r="BW57" s="162"/>
      <c r="BX57" s="162"/>
      <c r="BY57" s="162"/>
      <c r="BZ57" s="162"/>
      <c r="CA57" s="162"/>
      <c r="CB57" s="162"/>
      <c r="CC57" s="162"/>
      <c r="CD57" s="162"/>
      <c r="CE57" s="162"/>
      <c r="CF57" s="162"/>
      <c r="CG57" s="162"/>
      <c r="CH57" s="162"/>
      <c r="CI57" s="162"/>
      <c r="CJ57" s="162"/>
      <c r="CK57" s="162"/>
      <c r="CL57" s="162"/>
      <c r="CM57" s="162"/>
      <c r="CN57" s="162"/>
      <c r="CO57" s="162"/>
      <c r="CP57" s="162"/>
      <c r="CQ57" s="162"/>
      <c r="CR57" s="162"/>
      <c r="CS57" s="162"/>
      <c r="CT57" s="162"/>
      <c r="CU57" s="162"/>
      <c r="CV57" s="162"/>
      <c r="CW57" s="162"/>
      <c r="CX57" s="162"/>
      <c r="CY57" s="162"/>
      <c r="CZ57" s="162"/>
      <c r="DA57" s="162"/>
      <c r="DB57" s="162"/>
      <c r="DC57" s="162"/>
      <c r="DD57" s="162"/>
      <c r="DE57" s="162"/>
      <c r="DF57" s="162"/>
      <c r="DG57" s="162"/>
      <c r="DH57" s="162"/>
      <c r="DI57" s="162"/>
      <c r="DJ57" s="162"/>
      <c r="DK57" s="162"/>
      <c r="DL57" s="162"/>
      <c r="DM57" s="162"/>
      <c r="DN57" s="162"/>
      <c r="DO57" s="162"/>
      <c r="DP57" s="162"/>
      <c r="DQ57" s="162"/>
      <c r="DR57" s="162"/>
      <c r="DS57" s="162"/>
      <c r="DT57" s="162"/>
      <c r="DU57" s="162"/>
      <c r="DV57" s="162"/>
      <c r="DW57" s="162"/>
      <c r="DX57" s="162"/>
      <c r="DY57" s="162"/>
      <c r="DZ57" s="162"/>
      <c r="EA57" s="162"/>
      <c r="EB57" s="162"/>
      <c r="EC57" s="162"/>
      <c r="ED57" s="162"/>
      <c r="EE57" s="162"/>
      <c r="EF57" s="162"/>
      <c r="EG57" s="162"/>
      <c r="EH57" s="162"/>
      <c r="EI57" s="162"/>
      <c r="EJ57" s="162"/>
      <c r="EK57" s="162"/>
      <c r="EL57" s="162"/>
      <c r="EM57" s="162"/>
      <c r="EN57" s="162"/>
      <c r="EO57" s="162"/>
      <c r="EP57" s="162"/>
      <c r="EQ57" s="162"/>
    </row>
    <row r="58" spans="2:147" ht="13.35" customHeight="1">
      <c r="B58" s="218"/>
      <c r="C58" s="163"/>
      <c r="D58" s="164" t="s">
        <v>652</v>
      </c>
      <c r="E58" s="165"/>
      <c r="F58" s="165"/>
      <c r="G58" s="165"/>
      <c r="H58" s="166"/>
      <c r="I58" s="1152">
        <f ca="1">(IRR($L58:$EQ58,0.01)+1)^12-1</f>
        <v>6.0864416203247673E-2</v>
      </c>
      <c r="J58" s="168">
        <f ca="1">SUM(L58:EQ58)</f>
        <v>48658939.963304274</v>
      </c>
      <c r="K58" s="98"/>
      <c r="L58" s="168">
        <f ca="1">SUM(L15:L17)+SUM(L47:L49)+SUM(L26:L28)</f>
        <v>-30880000</v>
      </c>
      <c r="M58" s="168">
        <f t="shared" ref="M58:BX58" ca="1" si="241">SUM(M15:M17)+SUM(M47:M49)+SUM(M26:M28)</f>
        <v>0</v>
      </c>
      <c r="N58" s="168">
        <f t="shared" ca="1" si="241"/>
        <v>0</v>
      </c>
      <c r="O58" s="168">
        <f t="shared" ca="1" si="241"/>
        <v>0</v>
      </c>
      <c r="P58" s="168">
        <f t="shared" ca="1" si="241"/>
        <v>0</v>
      </c>
      <c r="Q58" s="168">
        <f t="shared" ca="1" si="241"/>
        <v>0</v>
      </c>
      <c r="R58" s="168">
        <f t="shared" ca="1" si="241"/>
        <v>1155000</v>
      </c>
      <c r="S58" s="168">
        <f t="shared" ca="1" si="241"/>
        <v>0</v>
      </c>
      <c r="T58" s="168">
        <f t="shared" ca="1" si="241"/>
        <v>0</v>
      </c>
      <c r="U58" s="168">
        <f t="shared" ca="1" si="241"/>
        <v>0</v>
      </c>
      <c r="V58" s="168">
        <f t="shared" ca="1" si="241"/>
        <v>0</v>
      </c>
      <c r="W58" s="168">
        <f t="shared" ca="1" si="241"/>
        <v>0</v>
      </c>
      <c r="X58" s="168">
        <f t="shared" ca="1" si="241"/>
        <v>-33246023.423423424</v>
      </c>
      <c r="Y58" s="168">
        <f t="shared" ca="1" si="241"/>
        <v>0</v>
      </c>
      <c r="Z58" s="168">
        <f t="shared" ca="1" si="241"/>
        <v>0</v>
      </c>
      <c r="AA58" s="168">
        <f t="shared" ca="1" si="241"/>
        <v>0</v>
      </c>
      <c r="AB58" s="168">
        <f t="shared" ca="1" si="241"/>
        <v>0</v>
      </c>
      <c r="AC58" s="168">
        <f t="shared" ca="1" si="241"/>
        <v>0</v>
      </c>
      <c r="AD58" s="168">
        <f t="shared" ca="1" si="241"/>
        <v>1875000</v>
      </c>
      <c r="AE58" s="168">
        <f t="shared" ca="1" si="241"/>
        <v>0</v>
      </c>
      <c r="AF58" s="168">
        <f t="shared" ca="1" si="241"/>
        <v>0</v>
      </c>
      <c r="AG58" s="168">
        <f t="shared" ca="1" si="241"/>
        <v>0</v>
      </c>
      <c r="AH58" s="168">
        <f t="shared" ca="1" si="241"/>
        <v>0</v>
      </c>
      <c r="AI58" s="168">
        <f t="shared" ca="1" si="241"/>
        <v>0</v>
      </c>
      <c r="AJ58" s="168">
        <f t="shared" ca="1" si="241"/>
        <v>-22485036.613272306</v>
      </c>
      <c r="AK58" s="168">
        <f t="shared" ca="1" si="241"/>
        <v>0</v>
      </c>
      <c r="AL58" s="168">
        <f t="shared" ca="1" si="241"/>
        <v>0</v>
      </c>
      <c r="AM58" s="168">
        <f t="shared" ca="1" si="241"/>
        <v>0</v>
      </c>
      <c r="AN58" s="168">
        <f t="shared" ca="1" si="241"/>
        <v>0</v>
      </c>
      <c r="AO58" s="168">
        <f t="shared" ca="1" si="241"/>
        <v>0</v>
      </c>
      <c r="AP58" s="168">
        <f t="shared" ca="1" si="241"/>
        <v>2715000</v>
      </c>
      <c r="AQ58" s="168">
        <f t="shared" ca="1" si="241"/>
        <v>0</v>
      </c>
      <c r="AR58" s="168">
        <f t="shared" ca="1" si="241"/>
        <v>0</v>
      </c>
      <c r="AS58" s="168">
        <f t="shared" ca="1" si="241"/>
        <v>0</v>
      </c>
      <c r="AT58" s="168">
        <f t="shared" ca="1" si="241"/>
        <v>0</v>
      </c>
      <c r="AU58" s="168">
        <f t="shared" ca="1" si="241"/>
        <v>0</v>
      </c>
      <c r="AV58" s="168">
        <f t="shared" ca="1" si="241"/>
        <v>2715000</v>
      </c>
      <c r="AW58" s="168">
        <f t="shared" ca="1" si="241"/>
        <v>0</v>
      </c>
      <c r="AX58" s="168">
        <f t="shared" ca="1" si="241"/>
        <v>0</v>
      </c>
      <c r="AY58" s="168">
        <f t="shared" ca="1" si="241"/>
        <v>0</v>
      </c>
      <c r="AZ58" s="168">
        <f t="shared" ca="1" si="241"/>
        <v>0</v>
      </c>
      <c r="BA58" s="168">
        <f t="shared" ca="1" si="241"/>
        <v>0</v>
      </c>
      <c r="BB58" s="168">
        <f t="shared" ca="1" si="241"/>
        <v>2602472.0129412687</v>
      </c>
      <c r="BC58" s="168">
        <f t="shared" ca="1" si="241"/>
        <v>0</v>
      </c>
      <c r="BD58" s="168">
        <f t="shared" ca="1" si="241"/>
        <v>0</v>
      </c>
      <c r="BE58" s="168">
        <f t="shared" ca="1" si="241"/>
        <v>0</v>
      </c>
      <c r="BF58" s="168">
        <f t="shared" ca="1" si="241"/>
        <v>0</v>
      </c>
      <c r="BG58" s="168">
        <f t="shared" ca="1" si="241"/>
        <v>0</v>
      </c>
      <c r="BH58" s="168">
        <f t="shared" ca="1" si="241"/>
        <v>2353291.9989280105</v>
      </c>
      <c r="BI58" s="168">
        <f t="shared" ca="1" si="241"/>
        <v>0</v>
      </c>
      <c r="BJ58" s="168">
        <f t="shared" ca="1" si="241"/>
        <v>0</v>
      </c>
      <c r="BK58" s="168">
        <f t="shared" ca="1" si="241"/>
        <v>0</v>
      </c>
      <c r="BL58" s="168">
        <f t="shared" ca="1" si="241"/>
        <v>0</v>
      </c>
      <c r="BM58" s="168">
        <f t="shared" ca="1" si="241"/>
        <v>0</v>
      </c>
      <c r="BN58" s="168">
        <f t="shared" ca="1" si="241"/>
        <v>2105541.4966859473</v>
      </c>
      <c r="BO58" s="168">
        <f t="shared" ca="1" si="241"/>
        <v>0</v>
      </c>
      <c r="BP58" s="168">
        <f t="shared" ca="1" si="241"/>
        <v>0</v>
      </c>
      <c r="BQ58" s="168">
        <f t="shared" ca="1" si="241"/>
        <v>0</v>
      </c>
      <c r="BR58" s="168">
        <f t="shared" ca="1" si="241"/>
        <v>0</v>
      </c>
      <c r="BS58" s="168">
        <f t="shared" ca="1" si="241"/>
        <v>0</v>
      </c>
      <c r="BT58" s="168">
        <f t="shared" ca="1" si="241"/>
        <v>2562478.4355854392</v>
      </c>
      <c r="BU58" s="168">
        <f t="shared" ca="1" si="241"/>
        <v>0</v>
      </c>
      <c r="BV58" s="168">
        <f t="shared" ca="1" si="241"/>
        <v>0</v>
      </c>
      <c r="BW58" s="168">
        <f t="shared" ca="1" si="241"/>
        <v>0</v>
      </c>
      <c r="BX58" s="168">
        <f t="shared" ca="1" si="241"/>
        <v>0</v>
      </c>
      <c r="BY58" s="168">
        <f t="shared" ref="BY58:EJ58" ca="1" si="242">SUM(BY15:BY17)+SUM(BY47:BY49)+SUM(BY26:BY28)</f>
        <v>0</v>
      </c>
      <c r="BZ58" s="168">
        <f t="shared" ca="1" si="242"/>
        <v>2645647.7403300544</v>
      </c>
      <c r="CA58" s="168">
        <f t="shared" ca="1" si="242"/>
        <v>0</v>
      </c>
      <c r="CB58" s="168">
        <f t="shared" ca="1" si="242"/>
        <v>0</v>
      </c>
      <c r="CC58" s="168">
        <f t="shared" ca="1" si="242"/>
        <v>0</v>
      </c>
      <c r="CD58" s="168">
        <f t="shared" ca="1" si="242"/>
        <v>0</v>
      </c>
      <c r="CE58" s="168">
        <f t="shared" ca="1" si="242"/>
        <v>0</v>
      </c>
      <c r="CF58" s="168">
        <f t="shared" ca="1" si="242"/>
        <v>3098497.3462193981</v>
      </c>
      <c r="CG58" s="168">
        <f t="shared" ca="1" si="242"/>
        <v>0</v>
      </c>
      <c r="CH58" s="168">
        <f t="shared" ca="1" si="242"/>
        <v>0</v>
      </c>
      <c r="CI58" s="168">
        <f t="shared" ca="1" si="242"/>
        <v>0</v>
      </c>
      <c r="CJ58" s="168">
        <f t="shared" ca="1" si="242"/>
        <v>0</v>
      </c>
      <c r="CK58" s="168">
        <f t="shared" ca="1" si="242"/>
        <v>0</v>
      </c>
      <c r="CL58" s="168">
        <f t="shared" ca="1" si="242"/>
        <v>2871213.1788212531</v>
      </c>
      <c r="CM58" s="168">
        <f t="shared" ca="1" si="242"/>
        <v>0</v>
      </c>
      <c r="CN58" s="168">
        <f t="shared" ca="1" si="242"/>
        <v>0</v>
      </c>
      <c r="CO58" s="168">
        <f t="shared" ca="1" si="242"/>
        <v>0</v>
      </c>
      <c r="CP58" s="168">
        <f t="shared" ca="1" si="242"/>
        <v>0</v>
      </c>
      <c r="CQ58" s="168">
        <f t="shared" ca="1" si="242"/>
        <v>0</v>
      </c>
      <c r="CR58" s="168">
        <f t="shared" ca="1" si="242"/>
        <v>3320274.6567853596</v>
      </c>
      <c r="CS58" s="168">
        <f t="shared" ca="1" si="242"/>
        <v>0</v>
      </c>
      <c r="CT58" s="168">
        <f t="shared" ca="1" si="242"/>
        <v>0</v>
      </c>
      <c r="CU58" s="168">
        <f t="shared" ca="1" si="242"/>
        <v>0</v>
      </c>
      <c r="CV58" s="168">
        <f t="shared" ca="1" si="242"/>
        <v>0</v>
      </c>
      <c r="CW58" s="168">
        <f t="shared" ca="1" si="242"/>
        <v>0</v>
      </c>
      <c r="CX58" s="168">
        <f t="shared" ca="1" si="242"/>
        <v>2875583.1337032691</v>
      </c>
      <c r="CY58" s="168">
        <f t="shared" ca="1" si="242"/>
        <v>0</v>
      </c>
      <c r="CZ58" s="168">
        <f t="shared" ca="1" si="242"/>
        <v>0</v>
      </c>
      <c r="DA58" s="168">
        <f t="shared" ca="1" si="242"/>
        <v>0</v>
      </c>
      <c r="DB58" s="168">
        <f t="shared" ca="1" si="242"/>
        <v>0</v>
      </c>
      <c r="DC58" s="168">
        <f t="shared" ca="1" si="242"/>
        <v>0</v>
      </c>
      <c r="DD58" s="168">
        <f t="shared" ca="1" si="242"/>
        <v>2715000</v>
      </c>
      <c r="DE58" s="168">
        <f t="shared" ca="1" si="242"/>
        <v>0</v>
      </c>
      <c r="DF58" s="168">
        <f t="shared" ca="1" si="242"/>
        <v>0</v>
      </c>
      <c r="DG58" s="168">
        <f t="shared" ca="1" si="242"/>
        <v>0</v>
      </c>
      <c r="DH58" s="168">
        <f t="shared" ca="1" si="242"/>
        <v>0</v>
      </c>
      <c r="DI58" s="168">
        <f t="shared" ca="1" si="242"/>
        <v>0</v>
      </c>
      <c r="DJ58" s="168">
        <f t="shared" ca="1" si="242"/>
        <v>2715000</v>
      </c>
      <c r="DK58" s="168">
        <f t="shared" ca="1" si="242"/>
        <v>0</v>
      </c>
      <c r="DL58" s="168">
        <f t="shared" ca="1" si="242"/>
        <v>0</v>
      </c>
      <c r="DM58" s="168">
        <f t="shared" ca="1" si="242"/>
        <v>0</v>
      </c>
      <c r="DN58" s="168">
        <f t="shared" ca="1" si="242"/>
        <v>0</v>
      </c>
      <c r="DO58" s="168">
        <f t="shared" ca="1" si="242"/>
        <v>0</v>
      </c>
      <c r="DP58" s="168">
        <f t="shared" ca="1" si="242"/>
        <v>2715000</v>
      </c>
      <c r="DQ58" s="168">
        <f t="shared" ca="1" si="242"/>
        <v>0</v>
      </c>
      <c r="DR58" s="168">
        <f t="shared" ca="1" si="242"/>
        <v>0</v>
      </c>
      <c r="DS58" s="168">
        <f t="shared" ca="1" si="242"/>
        <v>0</v>
      </c>
      <c r="DT58" s="168">
        <f t="shared" ca="1" si="242"/>
        <v>0</v>
      </c>
      <c r="DU58" s="168">
        <f t="shared" ca="1" si="242"/>
        <v>0</v>
      </c>
      <c r="DV58" s="168">
        <f t="shared" ca="1" si="242"/>
        <v>2715000</v>
      </c>
      <c r="DW58" s="168">
        <f t="shared" ca="1" si="242"/>
        <v>0</v>
      </c>
      <c r="DX58" s="168">
        <f t="shared" ca="1" si="242"/>
        <v>0</v>
      </c>
      <c r="DY58" s="168">
        <f t="shared" ca="1" si="242"/>
        <v>0</v>
      </c>
      <c r="DZ58" s="168">
        <f t="shared" ca="1" si="242"/>
        <v>0</v>
      </c>
      <c r="EA58" s="168">
        <f t="shared" ca="1" si="242"/>
        <v>0</v>
      </c>
      <c r="EB58" s="168">
        <f t="shared" ca="1" si="242"/>
        <v>91515000</v>
      </c>
      <c r="EC58" s="168">
        <f t="shared" ca="1" si="242"/>
        <v>0</v>
      </c>
      <c r="ED58" s="168">
        <f t="shared" ca="1" si="242"/>
        <v>0</v>
      </c>
      <c r="EE58" s="168">
        <f t="shared" ca="1" si="242"/>
        <v>0</v>
      </c>
      <c r="EF58" s="168">
        <f t="shared" ca="1" si="242"/>
        <v>0</v>
      </c>
      <c r="EG58" s="168">
        <f t="shared" ca="1" si="242"/>
        <v>0</v>
      </c>
      <c r="EH58" s="168">
        <f t="shared" ca="1" si="242"/>
        <v>0</v>
      </c>
      <c r="EI58" s="168">
        <f t="shared" ca="1" si="242"/>
        <v>0</v>
      </c>
      <c r="EJ58" s="168">
        <f t="shared" ca="1" si="242"/>
        <v>0</v>
      </c>
      <c r="EK58" s="168">
        <f t="shared" ref="EK58:EQ58" ca="1" si="243">SUM(EK15:EK17)+SUM(EK47:EK49)+SUM(EK26:EK28)</f>
        <v>0</v>
      </c>
      <c r="EL58" s="168">
        <f t="shared" ca="1" si="243"/>
        <v>0</v>
      </c>
      <c r="EM58" s="168">
        <f t="shared" ca="1" si="243"/>
        <v>0</v>
      </c>
      <c r="EN58" s="168">
        <f t="shared" ca="1" si="243"/>
        <v>0</v>
      </c>
      <c r="EO58" s="168">
        <f t="shared" ca="1" si="243"/>
        <v>0</v>
      </c>
      <c r="EP58" s="168">
        <f t="shared" ca="1" si="243"/>
        <v>0</v>
      </c>
      <c r="EQ58" s="168">
        <f t="shared" ca="1" si="243"/>
        <v>0</v>
      </c>
    </row>
    <row r="59" spans="2:147" ht="13.35" customHeight="1">
      <c r="B59" s="218"/>
      <c r="C59" s="163"/>
      <c r="D59" s="169" t="s">
        <v>653</v>
      </c>
      <c r="H59" s="146"/>
      <c r="I59" s="1022">
        <f ca="1">(IRR($L59:$EQ59,0.01)+1)^12-1</f>
        <v>0.10707040486475727</v>
      </c>
      <c r="J59" s="171">
        <f ca="1">SUM(L59:EQ59)</f>
        <v>106655946.61444321</v>
      </c>
      <c r="K59" s="98"/>
      <c r="L59" s="171">
        <f ca="1">SUM(L15:L18)+SUM(L47:L50)+SUM(L26:L29)</f>
        <v>-30880000</v>
      </c>
      <c r="M59" s="171">
        <f t="shared" ref="M59:BX59" ca="1" si="244">SUM(M15:M18)+SUM(M47:M50)+SUM(M26:M29)</f>
        <v>0</v>
      </c>
      <c r="N59" s="171">
        <f t="shared" ca="1" si="244"/>
        <v>0</v>
      </c>
      <c r="O59" s="171">
        <f t="shared" ca="1" si="244"/>
        <v>0</v>
      </c>
      <c r="P59" s="171">
        <f t="shared" ca="1" si="244"/>
        <v>0</v>
      </c>
      <c r="Q59" s="171">
        <f t="shared" ca="1" si="244"/>
        <v>0</v>
      </c>
      <c r="R59" s="171">
        <f t="shared" ca="1" si="244"/>
        <v>1155000</v>
      </c>
      <c r="S59" s="171">
        <f t="shared" ca="1" si="244"/>
        <v>0</v>
      </c>
      <c r="T59" s="171">
        <f t="shared" ca="1" si="244"/>
        <v>0</v>
      </c>
      <c r="U59" s="171">
        <f t="shared" ca="1" si="244"/>
        <v>0</v>
      </c>
      <c r="V59" s="171">
        <f t="shared" ca="1" si="244"/>
        <v>0</v>
      </c>
      <c r="W59" s="171">
        <f t="shared" ca="1" si="244"/>
        <v>0</v>
      </c>
      <c r="X59" s="171">
        <f t="shared" ca="1" si="244"/>
        <v>-33246023.423423424</v>
      </c>
      <c r="Y59" s="171">
        <f t="shared" ca="1" si="244"/>
        <v>0</v>
      </c>
      <c r="Z59" s="171">
        <f t="shared" ca="1" si="244"/>
        <v>0</v>
      </c>
      <c r="AA59" s="171">
        <f t="shared" ca="1" si="244"/>
        <v>0</v>
      </c>
      <c r="AB59" s="171">
        <f t="shared" ca="1" si="244"/>
        <v>0</v>
      </c>
      <c r="AC59" s="171">
        <f t="shared" ca="1" si="244"/>
        <v>0</v>
      </c>
      <c r="AD59" s="171">
        <f t="shared" ca="1" si="244"/>
        <v>1875000</v>
      </c>
      <c r="AE59" s="171">
        <f t="shared" ca="1" si="244"/>
        <v>0</v>
      </c>
      <c r="AF59" s="171">
        <f t="shared" ca="1" si="244"/>
        <v>0</v>
      </c>
      <c r="AG59" s="171">
        <f t="shared" ca="1" si="244"/>
        <v>0</v>
      </c>
      <c r="AH59" s="171">
        <f t="shared" ca="1" si="244"/>
        <v>0</v>
      </c>
      <c r="AI59" s="171">
        <f t="shared" ca="1" si="244"/>
        <v>0</v>
      </c>
      <c r="AJ59" s="171">
        <f t="shared" ca="1" si="244"/>
        <v>-22485036.613272306</v>
      </c>
      <c r="AK59" s="171">
        <f t="shared" ca="1" si="244"/>
        <v>0</v>
      </c>
      <c r="AL59" s="171">
        <f t="shared" ca="1" si="244"/>
        <v>0</v>
      </c>
      <c r="AM59" s="171">
        <f t="shared" ca="1" si="244"/>
        <v>0</v>
      </c>
      <c r="AN59" s="171">
        <f t="shared" ca="1" si="244"/>
        <v>0</v>
      </c>
      <c r="AO59" s="171">
        <f t="shared" ca="1" si="244"/>
        <v>0</v>
      </c>
      <c r="AP59" s="171">
        <f t="shared" ca="1" si="244"/>
        <v>2715000</v>
      </c>
      <c r="AQ59" s="171">
        <f t="shared" ca="1" si="244"/>
        <v>0</v>
      </c>
      <c r="AR59" s="171">
        <f t="shared" ca="1" si="244"/>
        <v>0</v>
      </c>
      <c r="AS59" s="171">
        <f t="shared" ca="1" si="244"/>
        <v>0</v>
      </c>
      <c r="AT59" s="171">
        <f t="shared" ca="1" si="244"/>
        <v>0</v>
      </c>
      <c r="AU59" s="171">
        <f t="shared" ca="1" si="244"/>
        <v>0</v>
      </c>
      <c r="AV59" s="171">
        <f t="shared" ca="1" si="244"/>
        <v>2715000</v>
      </c>
      <c r="AW59" s="171">
        <f t="shared" ca="1" si="244"/>
        <v>0</v>
      </c>
      <c r="AX59" s="171">
        <f t="shared" ca="1" si="244"/>
        <v>0</v>
      </c>
      <c r="AY59" s="171">
        <f t="shared" ca="1" si="244"/>
        <v>0</v>
      </c>
      <c r="AZ59" s="171">
        <f t="shared" ca="1" si="244"/>
        <v>0</v>
      </c>
      <c r="BA59" s="171">
        <f t="shared" ca="1" si="244"/>
        <v>0</v>
      </c>
      <c r="BB59" s="171">
        <f t="shared" ca="1" si="244"/>
        <v>2602472.0129412687</v>
      </c>
      <c r="BC59" s="171">
        <f t="shared" ca="1" si="244"/>
        <v>0</v>
      </c>
      <c r="BD59" s="171">
        <f t="shared" ca="1" si="244"/>
        <v>0</v>
      </c>
      <c r="BE59" s="171">
        <f t="shared" ca="1" si="244"/>
        <v>0</v>
      </c>
      <c r="BF59" s="171">
        <f t="shared" ca="1" si="244"/>
        <v>0</v>
      </c>
      <c r="BG59" s="171">
        <f t="shared" ca="1" si="244"/>
        <v>0</v>
      </c>
      <c r="BH59" s="171">
        <f t="shared" ca="1" si="244"/>
        <v>2353291.9989280105</v>
      </c>
      <c r="BI59" s="171">
        <f t="shared" ca="1" si="244"/>
        <v>0</v>
      </c>
      <c r="BJ59" s="171">
        <f t="shared" ca="1" si="244"/>
        <v>0</v>
      </c>
      <c r="BK59" s="171">
        <f t="shared" ca="1" si="244"/>
        <v>0</v>
      </c>
      <c r="BL59" s="171">
        <f t="shared" ca="1" si="244"/>
        <v>0</v>
      </c>
      <c r="BM59" s="171">
        <f t="shared" ca="1" si="244"/>
        <v>0</v>
      </c>
      <c r="BN59" s="171">
        <f t="shared" ca="1" si="244"/>
        <v>2105541.4966859473</v>
      </c>
      <c r="BO59" s="171">
        <f t="shared" ca="1" si="244"/>
        <v>0</v>
      </c>
      <c r="BP59" s="171">
        <f t="shared" ca="1" si="244"/>
        <v>0</v>
      </c>
      <c r="BQ59" s="171">
        <f t="shared" ca="1" si="244"/>
        <v>0</v>
      </c>
      <c r="BR59" s="171">
        <f t="shared" ca="1" si="244"/>
        <v>0</v>
      </c>
      <c r="BS59" s="171">
        <f t="shared" ca="1" si="244"/>
        <v>0</v>
      </c>
      <c r="BT59" s="171">
        <f t="shared" ca="1" si="244"/>
        <v>2562478.4355854392</v>
      </c>
      <c r="BU59" s="171">
        <f t="shared" ca="1" si="244"/>
        <v>0</v>
      </c>
      <c r="BV59" s="171">
        <f t="shared" ca="1" si="244"/>
        <v>0</v>
      </c>
      <c r="BW59" s="171">
        <f t="shared" ca="1" si="244"/>
        <v>0</v>
      </c>
      <c r="BX59" s="171">
        <f t="shared" ca="1" si="244"/>
        <v>0</v>
      </c>
      <c r="BY59" s="171">
        <f t="shared" ref="BY59:EJ59" ca="1" si="245">SUM(BY15:BY18)+SUM(BY47:BY50)+SUM(BY26:BY29)</f>
        <v>0</v>
      </c>
      <c r="BZ59" s="171">
        <f t="shared" ca="1" si="245"/>
        <v>2645647.7403300544</v>
      </c>
      <c r="CA59" s="171">
        <f t="shared" ca="1" si="245"/>
        <v>0</v>
      </c>
      <c r="CB59" s="171">
        <f t="shared" ca="1" si="245"/>
        <v>0</v>
      </c>
      <c r="CC59" s="171">
        <f t="shared" ca="1" si="245"/>
        <v>0</v>
      </c>
      <c r="CD59" s="171">
        <f t="shared" ca="1" si="245"/>
        <v>0</v>
      </c>
      <c r="CE59" s="171">
        <f t="shared" ca="1" si="245"/>
        <v>0</v>
      </c>
      <c r="CF59" s="171">
        <f t="shared" ca="1" si="245"/>
        <v>3098497.3462193981</v>
      </c>
      <c r="CG59" s="171">
        <f t="shared" ca="1" si="245"/>
        <v>0</v>
      </c>
      <c r="CH59" s="171">
        <f t="shared" ca="1" si="245"/>
        <v>0</v>
      </c>
      <c r="CI59" s="171">
        <f t="shared" ca="1" si="245"/>
        <v>0</v>
      </c>
      <c r="CJ59" s="171">
        <f t="shared" ca="1" si="245"/>
        <v>0</v>
      </c>
      <c r="CK59" s="171">
        <f t="shared" ca="1" si="245"/>
        <v>0</v>
      </c>
      <c r="CL59" s="171">
        <f t="shared" ca="1" si="245"/>
        <v>2871213.1788212531</v>
      </c>
      <c r="CM59" s="171">
        <f t="shared" ca="1" si="245"/>
        <v>0</v>
      </c>
      <c r="CN59" s="171">
        <f t="shared" ca="1" si="245"/>
        <v>0</v>
      </c>
      <c r="CO59" s="171">
        <f t="shared" ca="1" si="245"/>
        <v>0</v>
      </c>
      <c r="CP59" s="171">
        <f t="shared" ca="1" si="245"/>
        <v>0</v>
      </c>
      <c r="CQ59" s="171">
        <f t="shared" ca="1" si="245"/>
        <v>0</v>
      </c>
      <c r="CR59" s="171">
        <f t="shared" ca="1" si="245"/>
        <v>3320274.6567853596</v>
      </c>
      <c r="CS59" s="171">
        <f t="shared" ca="1" si="245"/>
        <v>0</v>
      </c>
      <c r="CT59" s="171">
        <f t="shared" ca="1" si="245"/>
        <v>0</v>
      </c>
      <c r="CU59" s="171">
        <f t="shared" ca="1" si="245"/>
        <v>0</v>
      </c>
      <c r="CV59" s="171">
        <f t="shared" ca="1" si="245"/>
        <v>0</v>
      </c>
      <c r="CW59" s="171">
        <f t="shared" ca="1" si="245"/>
        <v>0</v>
      </c>
      <c r="CX59" s="171">
        <f t="shared" ca="1" si="245"/>
        <v>2875583.1337032691</v>
      </c>
      <c r="CY59" s="171">
        <f t="shared" ca="1" si="245"/>
        <v>0</v>
      </c>
      <c r="CZ59" s="171">
        <f t="shared" ca="1" si="245"/>
        <v>0</v>
      </c>
      <c r="DA59" s="171">
        <f t="shared" ca="1" si="245"/>
        <v>0</v>
      </c>
      <c r="DB59" s="171">
        <f t="shared" ca="1" si="245"/>
        <v>0</v>
      </c>
      <c r="DC59" s="171">
        <f t="shared" ca="1" si="245"/>
        <v>0</v>
      </c>
      <c r="DD59" s="171">
        <f t="shared" ca="1" si="245"/>
        <v>2715000</v>
      </c>
      <c r="DE59" s="171">
        <f t="shared" ca="1" si="245"/>
        <v>0</v>
      </c>
      <c r="DF59" s="171">
        <f t="shared" ca="1" si="245"/>
        <v>0</v>
      </c>
      <c r="DG59" s="171">
        <f t="shared" ca="1" si="245"/>
        <v>0</v>
      </c>
      <c r="DH59" s="171">
        <f t="shared" ca="1" si="245"/>
        <v>0</v>
      </c>
      <c r="DI59" s="171">
        <f t="shared" ca="1" si="245"/>
        <v>0</v>
      </c>
      <c r="DJ59" s="171">
        <f t="shared" ca="1" si="245"/>
        <v>2715000</v>
      </c>
      <c r="DK59" s="171">
        <f t="shared" ca="1" si="245"/>
        <v>0</v>
      </c>
      <c r="DL59" s="171">
        <f t="shared" ca="1" si="245"/>
        <v>0</v>
      </c>
      <c r="DM59" s="171">
        <f t="shared" ca="1" si="245"/>
        <v>0</v>
      </c>
      <c r="DN59" s="171">
        <f t="shared" ca="1" si="245"/>
        <v>0</v>
      </c>
      <c r="DO59" s="171">
        <f t="shared" ca="1" si="245"/>
        <v>0</v>
      </c>
      <c r="DP59" s="171">
        <f t="shared" ca="1" si="245"/>
        <v>2715000</v>
      </c>
      <c r="DQ59" s="171">
        <f t="shared" ca="1" si="245"/>
        <v>0</v>
      </c>
      <c r="DR59" s="171">
        <f t="shared" ca="1" si="245"/>
        <v>0</v>
      </c>
      <c r="DS59" s="171">
        <f t="shared" ca="1" si="245"/>
        <v>0</v>
      </c>
      <c r="DT59" s="171">
        <f t="shared" ca="1" si="245"/>
        <v>0</v>
      </c>
      <c r="DU59" s="171">
        <f t="shared" ca="1" si="245"/>
        <v>0</v>
      </c>
      <c r="DV59" s="171">
        <f t="shared" ca="1" si="245"/>
        <v>2715000</v>
      </c>
      <c r="DW59" s="171">
        <f t="shared" ca="1" si="245"/>
        <v>0</v>
      </c>
      <c r="DX59" s="171">
        <f t="shared" ca="1" si="245"/>
        <v>0</v>
      </c>
      <c r="DY59" s="171">
        <f t="shared" ca="1" si="245"/>
        <v>0</v>
      </c>
      <c r="DZ59" s="171">
        <f t="shared" ca="1" si="245"/>
        <v>0</v>
      </c>
      <c r="EA59" s="171">
        <f t="shared" ca="1" si="245"/>
        <v>0</v>
      </c>
      <c r="EB59" s="171">
        <f t="shared" ca="1" si="245"/>
        <v>149512006.65113893</v>
      </c>
      <c r="EC59" s="171">
        <f t="shared" ca="1" si="245"/>
        <v>0</v>
      </c>
      <c r="ED59" s="171">
        <f t="shared" ca="1" si="245"/>
        <v>0</v>
      </c>
      <c r="EE59" s="171">
        <f t="shared" ca="1" si="245"/>
        <v>0</v>
      </c>
      <c r="EF59" s="171">
        <f t="shared" ca="1" si="245"/>
        <v>0</v>
      </c>
      <c r="EG59" s="171">
        <f t="shared" ca="1" si="245"/>
        <v>0</v>
      </c>
      <c r="EH59" s="171">
        <f t="shared" ca="1" si="245"/>
        <v>0</v>
      </c>
      <c r="EI59" s="171">
        <f t="shared" ca="1" si="245"/>
        <v>0</v>
      </c>
      <c r="EJ59" s="171">
        <f t="shared" ca="1" si="245"/>
        <v>0</v>
      </c>
      <c r="EK59" s="171">
        <f t="shared" ref="EK59:EQ59" ca="1" si="246">SUM(EK15:EK18)+SUM(EK47:EK50)+SUM(EK26:EK29)</f>
        <v>0</v>
      </c>
      <c r="EL59" s="171">
        <f t="shared" ca="1" si="246"/>
        <v>0</v>
      </c>
      <c r="EM59" s="171">
        <f t="shared" ca="1" si="246"/>
        <v>0</v>
      </c>
      <c r="EN59" s="171">
        <f t="shared" ca="1" si="246"/>
        <v>0</v>
      </c>
      <c r="EO59" s="171">
        <f t="shared" ca="1" si="246"/>
        <v>0</v>
      </c>
      <c r="EP59" s="171">
        <f t="shared" ca="1" si="246"/>
        <v>0</v>
      </c>
      <c r="EQ59" s="171">
        <f t="shared" ca="1" si="246"/>
        <v>0</v>
      </c>
    </row>
    <row r="60" spans="2:147" ht="13.35" customHeight="1">
      <c r="B60" s="218"/>
      <c r="C60" s="158" t="s">
        <v>605</v>
      </c>
      <c r="D60" s="159"/>
      <c r="E60" s="159"/>
      <c r="F60" s="159"/>
      <c r="G60" s="159"/>
      <c r="H60" s="160"/>
      <c r="I60" s="219"/>
      <c r="J60" s="220"/>
      <c r="K60" s="98"/>
      <c r="L60" s="162"/>
      <c r="M60" s="162"/>
      <c r="N60" s="162"/>
      <c r="O60" s="162"/>
      <c r="P60" s="162"/>
      <c r="Q60" s="162"/>
      <c r="R60" s="162"/>
      <c r="S60" s="162"/>
      <c r="T60" s="162"/>
      <c r="U60" s="162"/>
      <c r="V60" s="162"/>
      <c r="W60" s="162"/>
      <c r="X60" s="162"/>
      <c r="Y60" s="162"/>
      <c r="Z60" s="162"/>
      <c r="AA60" s="162"/>
      <c r="AB60" s="162"/>
      <c r="AC60" s="162"/>
      <c r="AD60" s="162"/>
      <c r="AE60" s="162"/>
      <c r="AF60" s="162"/>
      <c r="AG60" s="162"/>
      <c r="AH60" s="162"/>
      <c r="AI60" s="162"/>
      <c r="AJ60" s="162"/>
      <c r="AK60" s="162"/>
      <c r="AL60" s="162"/>
      <c r="AM60" s="162"/>
      <c r="AN60" s="162"/>
      <c r="AO60" s="162"/>
      <c r="AP60" s="162"/>
      <c r="AQ60" s="162"/>
      <c r="AR60" s="162"/>
      <c r="AS60" s="162"/>
      <c r="AT60" s="162"/>
      <c r="AU60" s="162"/>
      <c r="AV60" s="162"/>
      <c r="AW60" s="162"/>
      <c r="AX60" s="162"/>
      <c r="AY60" s="162"/>
      <c r="AZ60" s="162"/>
      <c r="BA60" s="162"/>
      <c r="BB60" s="162"/>
      <c r="BC60" s="162"/>
      <c r="BD60" s="162"/>
      <c r="BE60" s="162"/>
      <c r="BF60" s="162"/>
      <c r="BG60" s="162"/>
      <c r="BH60" s="162"/>
      <c r="BI60" s="162"/>
      <c r="BJ60" s="162"/>
      <c r="BK60" s="162"/>
      <c r="BL60" s="162"/>
      <c r="BM60" s="162"/>
      <c r="BN60" s="162"/>
      <c r="BO60" s="162"/>
      <c r="BP60" s="162"/>
      <c r="BQ60" s="162"/>
      <c r="BR60" s="162"/>
      <c r="BS60" s="162"/>
      <c r="BT60" s="162"/>
      <c r="BU60" s="162"/>
      <c r="BV60" s="162"/>
      <c r="BW60" s="162"/>
      <c r="BX60" s="162"/>
      <c r="BY60" s="162"/>
      <c r="BZ60" s="162"/>
      <c r="CA60" s="162"/>
      <c r="CB60" s="162"/>
      <c r="CC60" s="162"/>
      <c r="CD60" s="162"/>
      <c r="CE60" s="162"/>
      <c r="CF60" s="162"/>
      <c r="CG60" s="162"/>
      <c r="CH60" s="162"/>
      <c r="CI60" s="162"/>
      <c r="CJ60" s="162"/>
      <c r="CK60" s="162"/>
      <c r="CL60" s="162"/>
      <c r="CM60" s="162"/>
      <c r="CN60" s="162"/>
      <c r="CO60" s="162"/>
      <c r="CP60" s="162"/>
      <c r="CQ60" s="162"/>
      <c r="CR60" s="162"/>
      <c r="CS60" s="162"/>
      <c r="CT60" s="162"/>
      <c r="CU60" s="162"/>
      <c r="CV60" s="162"/>
      <c r="CW60" s="162"/>
      <c r="CX60" s="162"/>
      <c r="CY60" s="162"/>
      <c r="CZ60" s="162"/>
      <c r="DA60" s="162"/>
      <c r="DB60" s="162"/>
      <c r="DC60" s="162"/>
      <c r="DD60" s="162"/>
      <c r="DE60" s="162"/>
      <c r="DF60" s="162"/>
      <c r="DG60" s="162"/>
      <c r="DH60" s="162"/>
      <c r="DI60" s="162"/>
      <c r="DJ60" s="162"/>
      <c r="DK60" s="162"/>
      <c r="DL60" s="162"/>
      <c r="DM60" s="162"/>
      <c r="DN60" s="162"/>
      <c r="DO60" s="162"/>
      <c r="DP60" s="162"/>
      <c r="DQ60" s="162"/>
      <c r="DR60" s="162"/>
      <c r="DS60" s="162"/>
      <c r="DT60" s="162"/>
      <c r="DU60" s="162"/>
      <c r="DV60" s="162"/>
      <c r="DW60" s="162"/>
      <c r="DX60" s="162"/>
      <c r="DY60" s="162"/>
      <c r="DZ60" s="162"/>
      <c r="EA60" s="162"/>
      <c r="EB60" s="162"/>
      <c r="EC60" s="162"/>
      <c r="ED60" s="162"/>
      <c r="EE60" s="162"/>
      <c r="EF60" s="162"/>
      <c r="EG60" s="162"/>
      <c r="EH60" s="162"/>
      <c r="EI60" s="162"/>
      <c r="EJ60" s="162"/>
      <c r="EK60" s="162"/>
      <c r="EL60" s="162"/>
      <c r="EM60" s="162"/>
      <c r="EN60" s="162"/>
      <c r="EO60" s="162"/>
      <c r="EP60" s="162"/>
      <c r="EQ60" s="162"/>
    </row>
    <row r="61" spans="2:147" ht="13.35" customHeight="1">
      <c r="B61" s="218"/>
      <c r="C61" s="163"/>
      <c r="D61" s="164" t="s">
        <v>596</v>
      </c>
      <c r="E61" s="165"/>
      <c r="F61" s="165"/>
      <c r="G61" s="165"/>
      <c r="H61" s="166"/>
      <c r="I61" s="228"/>
      <c r="J61" s="168">
        <f t="shared" ref="J61:J67" si="247">SUM(L61:EQ61)</f>
        <v>0</v>
      </c>
      <c r="K61" s="98"/>
      <c r="L61" s="168">
        <f>-SUM('CF(M)'!L90)</f>
        <v>0</v>
      </c>
      <c r="M61" s="168">
        <f>-SUM('CF(M)'!M90)</f>
        <v>0</v>
      </c>
      <c r="N61" s="168">
        <f>-SUM('CF(M)'!N90)</f>
        <v>0</v>
      </c>
      <c r="O61" s="168">
        <f>-SUM('CF(M)'!O90)</f>
        <v>0</v>
      </c>
      <c r="P61" s="168">
        <f>-SUM('CF(M)'!P90)</f>
        <v>0</v>
      </c>
      <c r="Q61" s="168">
        <f>-SUM('CF(M)'!Q90)</f>
        <v>0</v>
      </c>
      <c r="R61" s="168">
        <f>-SUM('CF(M)'!R90)</f>
        <v>0</v>
      </c>
      <c r="S61" s="168">
        <f>-SUM('CF(M)'!S90)</f>
        <v>0</v>
      </c>
      <c r="T61" s="168">
        <f>-SUM('CF(M)'!T90)</f>
        <v>0</v>
      </c>
      <c r="U61" s="168">
        <f>-SUM('CF(M)'!U90)</f>
        <v>0</v>
      </c>
      <c r="V61" s="168">
        <f>-SUM('CF(M)'!V90)</f>
        <v>0</v>
      </c>
      <c r="W61" s="168">
        <f>-SUM('CF(M)'!W90)</f>
        <v>0</v>
      </c>
      <c r="X61" s="168">
        <f>-SUM('CF(M)'!X90)</f>
        <v>0</v>
      </c>
      <c r="Y61" s="168">
        <f>-SUM('CF(M)'!Y90)</f>
        <v>0</v>
      </c>
      <c r="Z61" s="168">
        <f>-SUM('CF(M)'!Z90)</f>
        <v>0</v>
      </c>
      <c r="AA61" s="168">
        <f>-SUM('CF(M)'!AA90)</f>
        <v>0</v>
      </c>
      <c r="AB61" s="168">
        <f>-SUM('CF(M)'!AB90)</f>
        <v>0</v>
      </c>
      <c r="AC61" s="168">
        <f>-SUM('CF(M)'!AC90)</f>
        <v>0</v>
      </c>
      <c r="AD61" s="168">
        <f>-SUM('CF(M)'!AD90)</f>
        <v>0</v>
      </c>
      <c r="AE61" s="168">
        <f>-SUM('CF(M)'!AE90)</f>
        <v>0</v>
      </c>
      <c r="AF61" s="168">
        <f>-SUM('CF(M)'!AF90)</f>
        <v>0</v>
      </c>
      <c r="AG61" s="168">
        <f>-SUM('CF(M)'!AG90)</f>
        <v>0</v>
      </c>
      <c r="AH61" s="168">
        <f>-SUM('CF(M)'!AH90)</f>
        <v>0</v>
      </c>
      <c r="AI61" s="168">
        <f>-SUM('CF(M)'!AI90)</f>
        <v>0</v>
      </c>
      <c r="AJ61" s="168">
        <f>-SUM('CF(M)'!AJ90)</f>
        <v>0</v>
      </c>
      <c r="AK61" s="168">
        <f>-SUM('CF(M)'!AK90)</f>
        <v>0</v>
      </c>
      <c r="AL61" s="168">
        <f>-SUM('CF(M)'!AL90)</f>
        <v>0</v>
      </c>
      <c r="AM61" s="168">
        <f>-SUM('CF(M)'!AM90)</f>
        <v>0</v>
      </c>
      <c r="AN61" s="168">
        <f>-SUM('CF(M)'!AN90)</f>
        <v>0</v>
      </c>
      <c r="AO61" s="168">
        <f>-SUM('CF(M)'!AO90)</f>
        <v>0</v>
      </c>
      <c r="AP61" s="168">
        <f>-SUM('CF(M)'!AP90)</f>
        <v>0</v>
      </c>
      <c r="AQ61" s="168">
        <f>-SUM('CF(M)'!AQ90)</f>
        <v>0</v>
      </c>
      <c r="AR61" s="168">
        <f>-SUM('CF(M)'!AR90)</f>
        <v>0</v>
      </c>
      <c r="AS61" s="168">
        <f>-SUM('CF(M)'!AS90)</f>
        <v>0</v>
      </c>
      <c r="AT61" s="168">
        <f>-SUM('CF(M)'!AT90)</f>
        <v>0</v>
      </c>
      <c r="AU61" s="168">
        <f>-SUM('CF(M)'!AU90)</f>
        <v>0</v>
      </c>
      <c r="AV61" s="168">
        <f>-SUM('CF(M)'!AV90)</f>
        <v>0</v>
      </c>
      <c r="AW61" s="168">
        <f>-SUM('CF(M)'!AW90)</f>
        <v>0</v>
      </c>
      <c r="AX61" s="168">
        <f>-SUM('CF(M)'!AX90)</f>
        <v>0</v>
      </c>
      <c r="AY61" s="168">
        <f>-SUM('CF(M)'!AY90)</f>
        <v>0</v>
      </c>
      <c r="AZ61" s="168">
        <f>-SUM('CF(M)'!AZ90)</f>
        <v>0</v>
      </c>
      <c r="BA61" s="168">
        <f>-SUM('CF(M)'!BA90)</f>
        <v>0</v>
      </c>
      <c r="BB61" s="168">
        <f>-SUM('CF(M)'!BB90)</f>
        <v>0</v>
      </c>
      <c r="BC61" s="168">
        <f>-SUM('CF(M)'!BC90)</f>
        <v>0</v>
      </c>
      <c r="BD61" s="168">
        <f>-SUM('CF(M)'!BD90)</f>
        <v>0</v>
      </c>
      <c r="BE61" s="168">
        <f>-SUM('CF(M)'!BE90)</f>
        <v>0</v>
      </c>
      <c r="BF61" s="168">
        <f>-SUM('CF(M)'!BF90)</f>
        <v>0</v>
      </c>
      <c r="BG61" s="168">
        <f>-SUM('CF(M)'!BG90)</f>
        <v>0</v>
      </c>
      <c r="BH61" s="168">
        <f>-SUM('CF(M)'!BH90)</f>
        <v>0</v>
      </c>
      <c r="BI61" s="168">
        <f>-SUM('CF(M)'!BI90)</f>
        <v>0</v>
      </c>
      <c r="BJ61" s="168">
        <f>-SUM('CF(M)'!BJ90)</f>
        <v>0</v>
      </c>
      <c r="BK61" s="168">
        <f>-SUM('CF(M)'!BK90)</f>
        <v>0</v>
      </c>
      <c r="BL61" s="168">
        <f>-SUM('CF(M)'!BL90)</f>
        <v>0</v>
      </c>
      <c r="BM61" s="168">
        <f>-SUM('CF(M)'!BM90)</f>
        <v>0</v>
      </c>
      <c r="BN61" s="168">
        <f>-SUM('CF(M)'!BN90)</f>
        <v>0</v>
      </c>
      <c r="BO61" s="168">
        <f>-SUM('CF(M)'!BO90)</f>
        <v>0</v>
      </c>
      <c r="BP61" s="168">
        <f>-SUM('CF(M)'!BP90)</f>
        <v>0</v>
      </c>
      <c r="BQ61" s="168">
        <f>-SUM('CF(M)'!BQ90)</f>
        <v>0</v>
      </c>
      <c r="BR61" s="168">
        <f>-SUM('CF(M)'!BR90)</f>
        <v>0</v>
      </c>
      <c r="BS61" s="168">
        <f>-SUM('CF(M)'!BS90)</f>
        <v>0</v>
      </c>
      <c r="BT61" s="168">
        <f>-SUM('CF(M)'!BT90)</f>
        <v>0</v>
      </c>
      <c r="BU61" s="168">
        <f>-SUM('CF(M)'!BU90)</f>
        <v>0</v>
      </c>
      <c r="BV61" s="168">
        <f>-SUM('CF(M)'!BV90)</f>
        <v>0</v>
      </c>
      <c r="BW61" s="168">
        <f>-SUM('CF(M)'!BW90)</f>
        <v>0</v>
      </c>
      <c r="BX61" s="168">
        <f>-SUM('CF(M)'!BX90)</f>
        <v>0</v>
      </c>
      <c r="BY61" s="168">
        <f>-SUM('CF(M)'!BY90)</f>
        <v>0</v>
      </c>
      <c r="BZ61" s="168">
        <f>-SUM('CF(M)'!BZ90)</f>
        <v>0</v>
      </c>
      <c r="CA61" s="168">
        <f>-SUM('CF(M)'!CA90)</f>
        <v>0</v>
      </c>
      <c r="CB61" s="168">
        <f>-SUM('CF(M)'!CB90)</f>
        <v>0</v>
      </c>
      <c r="CC61" s="168">
        <f>-SUM('CF(M)'!CC90)</f>
        <v>0</v>
      </c>
      <c r="CD61" s="168">
        <f>-SUM('CF(M)'!CD90)</f>
        <v>0</v>
      </c>
      <c r="CE61" s="168">
        <f>-SUM('CF(M)'!CE90)</f>
        <v>0</v>
      </c>
      <c r="CF61" s="168">
        <f>-SUM('CF(M)'!CF90)</f>
        <v>0</v>
      </c>
      <c r="CG61" s="168">
        <f>-SUM('CF(M)'!CG90)</f>
        <v>0</v>
      </c>
      <c r="CH61" s="168">
        <f>-SUM('CF(M)'!CH90)</f>
        <v>0</v>
      </c>
      <c r="CI61" s="168">
        <f>-SUM('CF(M)'!CI90)</f>
        <v>0</v>
      </c>
      <c r="CJ61" s="168">
        <f>-SUM('CF(M)'!CJ90)</f>
        <v>0</v>
      </c>
      <c r="CK61" s="168">
        <f>-SUM('CF(M)'!CK90)</f>
        <v>0</v>
      </c>
      <c r="CL61" s="168">
        <f>-SUM('CF(M)'!CL90)</f>
        <v>0</v>
      </c>
      <c r="CM61" s="168">
        <f>-SUM('CF(M)'!CM90)</f>
        <v>0</v>
      </c>
      <c r="CN61" s="168">
        <f>-SUM('CF(M)'!CN90)</f>
        <v>0</v>
      </c>
      <c r="CO61" s="168">
        <f>-SUM('CF(M)'!CO90)</f>
        <v>0</v>
      </c>
      <c r="CP61" s="168">
        <f>-SUM('CF(M)'!CP90)</f>
        <v>0</v>
      </c>
      <c r="CQ61" s="168">
        <f>-SUM('CF(M)'!CQ90)</f>
        <v>0</v>
      </c>
      <c r="CR61" s="168">
        <f>-SUM('CF(M)'!CR90)</f>
        <v>0</v>
      </c>
      <c r="CS61" s="168">
        <f>-SUM('CF(M)'!CS90)</f>
        <v>0</v>
      </c>
      <c r="CT61" s="168">
        <f>-SUM('CF(M)'!CT90)</f>
        <v>0</v>
      </c>
      <c r="CU61" s="168">
        <f>-SUM('CF(M)'!CU90)</f>
        <v>0</v>
      </c>
      <c r="CV61" s="168">
        <f>-SUM('CF(M)'!CV90)</f>
        <v>0</v>
      </c>
      <c r="CW61" s="168">
        <f>-SUM('CF(M)'!CW90)</f>
        <v>0</v>
      </c>
      <c r="CX61" s="168">
        <f>-SUM('CF(M)'!CX90)</f>
        <v>0</v>
      </c>
      <c r="CY61" s="168">
        <f>-SUM('CF(M)'!CY90)</f>
        <v>0</v>
      </c>
      <c r="CZ61" s="168">
        <f>-SUM('CF(M)'!CZ90)</f>
        <v>0</v>
      </c>
      <c r="DA61" s="168">
        <f>-SUM('CF(M)'!DA90)</f>
        <v>0</v>
      </c>
      <c r="DB61" s="168">
        <f>-SUM('CF(M)'!DB90)</f>
        <v>0</v>
      </c>
      <c r="DC61" s="168">
        <f>-SUM('CF(M)'!DC90)</f>
        <v>0</v>
      </c>
      <c r="DD61" s="168">
        <f>-SUM('CF(M)'!DD90)</f>
        <v>0</v>
      </c>
      <c r="DE61" s="168">
        <f>-SUM('CF(M)'!DE90)</f>
        <v>0</v>
      </c>
      <c r="DF61" s="168">
        <f>-SUM('CF(M)'!DF90)</f>
        <v>0</v>
      </c>
      <c r="DG61" s="168">
        <f>-SUM('CF(M)'!DG90)</f>
        <v>0</v>
      </c>
      <c r="DH61" s="168">
        <f>-SUM('CF(M)'!DH90)</f>
        <v>0</v>
      </c>
      <c r="DI61" s="168">
        <f>-SUM('CF(M)'!DI90)</f>
        <v>0</v>
      </c>
      <c r="DJ61" s="168">
        <f>-SUM('CF(M)'!DJ90)</f>
        <v>0</v>
      </c>
      <c r="DK61" s="168">
        <f>-SUM('CF(M)'!DK90)</f>
        <v>0</v>
      </c>
      <c r="DL61" s="168">
        <f>-SUM('CF(M)'!DL90)</f>
        <v>0</v>
      </c>
      <c r="DM61" s="168">
        <f>-SUM('CF(M)'!DM90)</f>
        <v>0</v>
      </c>
      <c r="DN61" s="168">
        <f>-SUM('CF(M)'!DN90)</f>
        <v>0</v>
      </c>
      <c r="DO61" s="168">
        <f>-SUM('CF(M)'!DO90)</f>
        <v>0</v>
      </c>
      <c r="DP61" s="168">
        <f>-SUM('CF(M)'!DP90)</f>
        <v>0</v>
      </c>
      <c r="DQ61" s="168">
        <f>-SUM('CF(M)'!DQ90)</f>
        <v>0</v>
      </c>
      <c r="DR61" s="168">
        <f>-SUM('CF(M)'!DR90)</f>
        <v>0</v>
      </c>
      <c r="DS61" s="168">
        <f>-SUM('CF(M)'!DS90)</f>
        <v>0</v>
      </c>
      <c r="DT61" s="168">
        <f>-SUM('CF(M)'!DT90)</f>
        <v>0</v>
      </c>
      <c r="DU61" s="168">
        <f>-SUM('CF(M)'!DU90)</f>
        <v>0</v>
      </c>
      <c r="DV61" s="168">
        <f>-SUM('CF(M)'!DV90)</f>
        <v>0</v>
      </c>
      <c r="DW61" s="168">
        <f>-SUM('CF(M)'!DW90)</f>
        <v>0</v>
      </c>
      <c r="DX61" s="168">
        <f>-SUM('CF(M)'!DX90)</f>
        <v>0</v>
      </c>
      <c r="DY61" s="168">
        <f>-SUM('CF(M)'!DY90)</f>
        <v>0</v>
      </c>
      <c r="DZ61" s="168">
        <f>-SUM('CF(M)'!DZ90)</f>
        <v>0</v>
      </c>
      <c r="EA61" s="168">
        <f>-SUM('CF(M)'!EA90)</f>
        <v>0</v>
      </c>
      <c r="EB61" s="168">
        <f>-SUM('CF(M)'!EB90)</f>
        <v>0</v>
      </c>
      <c r="EC61" s="168">
        <f>-SUM('CF(M)'!EC90)</f>
        <v>0</v>
      </c>
      <c r="ED61" s="168">
        <f>-SUM('CF(M)'!ED90)</f>
        <v>0</v>
      </c>
      <c r="EE61" s="168">
        <f>-SUM('CF(M)'!EE90)</f>
        <v>0</v>
      </c>
      <c r="EF61" s="168">
        <f>-SUM('CF(M)'!EF90)</f>
        <v>0</v>
      </c>
      <c r="EG61" s="168">
        <f>-SUM('CF(M)'!EG90)</f>
        <v>0</v>
      </c>
      <c r="EH61" s="168">
        <f>-SUM('CF(M)'!EH90)</f>
        <v>0</v>
      </c>
      <c r="EI61" s="168">
        <f>-SUM('CF(M)'!EI90)</f>
        <v>0</v>
      </c>
      <c r="EJ61" s="168">
        <f>-SUM('CF(M)'!EJ90)</f>
        <v>0</v>
      </c>
      <c r="EK61" s="168">
        <f>-SUM('CF(M)'!EK90)</f>
        <v>0</v>
      </c>
      <c r="EL61" s="168">
        <f>-SUM('CF(M)'!EL90)</f>
        <v>0</v>
      </c>
      <c r="EM61" s="168">
        <f>-SUM('CF(M)'!EM90)</f>
        <v>0</v>
      </c>
      <c r="EN61" s="168">
        <f>-SUM('CF(M)'!EN90)</f>
        <v>0</v>
      </c>
      <c r="EO61" s="168">
        <f>-SUM('CF(M)'!EO90)</f>
        <v>0</v>
      </c>
      <c r="EP61" s="168">
        <f>-SUM('CF(M)'!EP90)</f>
        <v>0</v>
      </c>
      <c r="EQ61" s="168">
        <f>-SUM('CF(M)'!EQ90)</f>
        <v>0</v>
      </c>
    </row>
    <row r="62" spans="2:147" ht="13.35" customHeight="1">
      <c r="B62" s="218"/>
      <c r="C62" s="163"/>
      <c r="D62" s="169" t="s">
        <v>597</v>
      </c>
      <c r="H62" s="146"/>
      <c r="I62" s="229"/>
      <c r="J62" s="171">
        <f t="shared" si="247"/>
        <v>0</v>
      </c>
      <c r="K62" s="98"/>
      <c r="L62" s="171">
        <f>'CF(M)'!L91+'FS_Detail(M)'!L85</f>
        <v>0</v>
      </c>
      <c r="M62" s="171">
        <f>'CF(M)'!M91+'FS_Detail(M)'!M85</f>
        <v>0</v>
      </c>
      <c r="N62" s="171">
        <f>'CF(M)'!N91+'FS_Detail(M)'!N85</f>
        <v>0</v>
      </c>
      <c r="O62" s="171">
        <f>'CF(M)'!O91+'FS_Detail(M)'!O85</f>
        <v>0</v>
      </c>
      <c r="P62" s="171">
        <f>'CF(M)'!P91+'FS_Detail(M)'!P85</f>
        <v>0</v>
      </c>
      <c r="Q62" s="171">
        <f>'CF(M)'!Q91+'FS_Detail(M)'!Q85</f>
        <v>0</v>
      </c>
      <c r="R62" s="171">
        <f>'CF(M)'!R91+'FS_Detail(M)'!R85</f>
        <v>0</v>
      </c>
      <c r="S62" s="171">
        <f>'CF(M)'!S91+'FS_Detail(M)'!S85</f>
        <v>0</v>
      </c>
      <c r="T62" s="171">
        <f>'CF(M)'!T91+'FS_Detail(M)'!T85</f>
        <v>0</v>
      </c>
      <c r="U62" s="171">
        <f>'CF(M)'!U91+'FS_Detail(M)'!U85</f>
        <v>0</v>
      </c>
      <c r="V62" s="171">
        <f>'CF(M)'!V91+'FS_Detail(M)'!V85</f>
        <v>0</v>
      </c>
      <c r="W62" s="171">
        <f>'CF(M)'!W91+'FS_Detail(M)'!W85</f>
        <v>0</v>
      </c>
      <c r="X62" s="171">
        <f>'CF(M)'!X91+'FS_Detail(M)'!X85</f>
        <v>0</v>
      </c>
      <c r="Y62" s="171">
        <f>'CF(M)'!Y91+'FS_Detail(M)'!Y85</f>
        <v>0</v>
      </c>
      <c r="Z62" s="171">
        <f>'CF(M)'!Z91+'FS_Detail(M)'!Z85</f>
        <v>0</v>
      </c>
      <c r="AA62" s="171">
        <f>'CF(M)'!AA91+'FS_Detail(M)'!AA85</f>
        <v>0</v>
      </c>
      <c r="AB62" s="171">
        <f>'CF(M)'!AB91+'FS_Detail(M)'!AB85</f>
        <v>0</v>
      </c>
      <c r="AC62" s="171">
        <f>'CF(M)'!AC91+'FS_Detail(M)'!AC85</f>
        <v>0</v>
      </c>
      <c r="AD62" s="171">
        <f>'CF(M)'!AD91+'FS_Detail(M)'!AD85</f>
        <v>0</v>
      </c>
      <c r="AE62" s="171">
        <f>'CF(M)'!AE91+'FS_Detail(M)'!AE85</f>
        <v>0</v>
      </c>
      <c r="AF62" s="171">
        <f>'CF(M)'!AF91+'FS_Detail(M)'!AF85</f>
        <v>0</v>
      </c>
      <c r="AG62" s="171">
        <f>'CF(M)'!AG91+'FS_Detail(M)'!AG85</f>
        <v>0</v>
      </c>
      <c r="AH62" s="171">
        <f>'CF(M)'!AH91+'FS_Detail(M)'!AH85</f>
        <v>0</v>
      </c>
      <c r="AI62" s="171">
        <f>'CF(M)'!AI91+'FS_Detail(M)'!AI85</f>
        <v>0</v>
      </c>
      <c r="AJ62" s="171">
        <f>'CF(M)'!AJ91+'FS_Detail(M)'!AJ85</f>
        <v>0</v>
      </c>
      <c r="AK62" s="171">
        <f>'CF(M)'!AK91+'FS_Detail(M)'!AK85</f>
        <v>0</v>
      </c>
      <c r="AL62" s="171">
        <f>'CF(M)'!AL91+'FS_Detail(M)'!AL85</f>
        <v>0</v>
      </c>
      <c r="AM62" s="171">
        <f>'CF(M)'!AM91+'FS_Detail(M)'!AM85</f>
        <v>0</v>
      </c>
      <c r="AN62" s="171">
        <f>'CF(M)'!AN91+'FS_Detail(M)'!AN85</f>
        <v>0</v>
      </c>
      <c r="AO62" s="171">
        <f>'CF(M)'!AO91+'FS_Detail(M)'!AO85</f>
        <v>0</v>
      </c>
      <c r="AP62" s="171">
        <f>'CF(M)'!AP91+'FS_Detail(M)'!AP85</f>
        <v>0</v>
      </c>
      <c r="AQ62" s="171">
        <f>'CF(M)'!AQ91+'FS_Detail(M)'!AQ85</f>
        <v>0</v>
      </c>
      <c r="AR62" s="171">
        <f>'CF(M)'!AR91+'FS_Detail(M)'!AR85</f>
        <v>0</v>
      </c>
      <c r="AS62" s="171">
        <f>'CF(M)'!AS91+'FS_Detail(M)'!AS85</f>
        <v>0</v>
      </c>
      <c r="AT62" s="171">
        <f>'CF(M)'!AT91+'FS_Detail(M)'!AT85</f>
        <v>0</v>
      </c>
      <c r="AU62" s="171">
        <f>'CF(M)'!AU91+'FS_Detail(M)'!AU85</f>
        <v>0</v>
      </c>
      <c r="AV62" s="171">
        <f>'CF(M)'!AV91+'FS_Detail(M)'!AV85</f>
        <v>0</v>
      </c>
      <c r="AW62" s="171">
        <f>'CF(M)'!AW91+'FS_Detail(M)'!AW85</f>
        <v>0</v>
      </c>
      <c r="AX62" s="171">
        <f>'CF(M)'!AX91+'FS_Detail(M)'!AX85</f>
        <v>0</v>
      </c>
      <c r="AY62" s="171">
        <f>'CF(M)'!AY91+'FS_Detail(M)'!AY85</f>
        <v>0</v>
      </c>
      <c r="AZ62" s="171">
        <f>'CF(M)'!AZ91+'FS_Detail(M)'!AZ85</f>
        <v>0</v>
      </c>
      <c r="BA62" s="171">
        <f>'CF(M)'!BA91+'FS_Detail(M)'!BA85</f>
        <v>0</v>
      </c>
      <c r="BB62" s="171">
        <f>'CF(M)'!BB91+'FS_Detail(M)'!BB85</f>
        <v>0</v>
      </c>
      <c r="BC62" s="171">
        <f>'CF(M)'!BC91+'FS_Detail(M)'!BC85</f>
        <v>0</v>
      </c>
      <c r="BD62" s="171">
        <f>'CF(M)'!BD91+'FS_Detail(M)'!BD85</f>
        <v>0</v>
      </c>
      <c r="BE62" s="171">
        <f>'CF(M)'!BE91+'FS_Detail(M)'!BE85</f>
        <v>0</v>
      </c>
      <c r="BF62" s="171">
        <f>'CF(M)'!BF91+'FS_Detail(M)'!BF85</f>
        <v>0</v>
      </c>
      <c r="BG62" s="171">
        <f>'CF(M)'!BG91+'FS_Detail(M)'!BG85</f>
        <v>0</v>
      </c>
      <c r="BH62" s="171">
        <f>'CF(M)'!BH91+'FS_Detail(M)'!BH85</f>
        <v>0</v>
      </c>
      <c r="BI62" s="171">
        <f>'CF(M)'!BI91+'FS_Detail(M)'!BI85</f>
        <v>0</v>
      </c>
      <c r="BJ62" s="171">
        <f>'CF(M)'!BJ91+'FS_Detail(M)'!BJ85</f>
        <v>0</v>
      </c>
      <c r="BK62" s="171">
        <f>'CF(M)'!BK91+'FS_Detail(M)'!BK85</f>
        <v>0</v>
      </c>
      <c r="BL62" s="171">
        <f>'CF(M)'!BL91+'FS_Detail(M)'!BL85</f>
        <v>0</v>
      </c>
      <c r="BM62" s="171">
        <f>'CF(M)'!BM91+'FS_Detail(M)'!BM85</f>
        <v>0</v>
      </c>
      <c r="BN62" s="171">
        <f>'CF(M)'!BN91+'FS_Detail(M)'!BN85</f>
        <v>0</v>
      </c>
      <c r="BO62" s="171">
        <f>'CF(M)'!BO91+'FS_Detail(M)'!BO85</f>
        <v>0</v>
      </c>
      <c r="BP62" s="171">
        <f>'CF(M)'!BP91+'FS_Detail(M)'!BP85</f>
        <v>0</v>
      </c>
      <c r="BQ62" s="171">
        <f>'CF(M)'!BQ91+'FS_Detail(M)'!BQ85</f>
        <v>0</v>
      </c>
      <c r="BR62" s="171">
        <f>'CF(M)'!BR91+'FS_Detail(M)'!BR85</f>
        <v>0</v>
      </c>
      <c r="BS62" s="171">
        <f>'CF(M)'!BS91+'FS_Detail(M)'!BS85</f>
        <v>0</v>
      </c>
      <c r="BT62" s="171">
        <f>'CF(M)'!BT91+'FS_Detail(M)'!BT85</f>
        <v>0</v>
      </c>
      <c r="BU62" s="171">
        <f>'CF(M)'!BU91+'FS_Detail(M)'!BU85</f>
        <v>0</v>
      </c>
      <c r="BV62" s="171">
        <f>'CF(M)'!BV91+'FS_Detail(M)'!BV85</f>
        <v>0</v>
      </c>
      <c r="BW62" s="171">
        <f>'CF(M)'!BW91+'FS_Detail(M)'!BW85</f>
        <v>0</v>
      </c>
      <c r="BX62" s="171">
        <f>'CF(M)'!BX91+'FS_Detail(M)'!BX85</f>
        <v>0</v>
      </c>
      <c r="BY62" s="171">
        <f>'CF(M)'!BY91+'FS_Detail(M)'!BY85</f>
        <v>0</v>
      </c>
      <c r="BZ62" s="171">
        <f>'CF(M)'!BZ91+'FS_Detail(M)'!BZ85</f>
        <v>0</v>
      </c>
      <c r="CA62" s="171">
        <f>'CF(M)'!CA91+'FS_Detail(M)'!CA85</f>
        <v>0</v>
      </c>
      <c r="CB62" s="171">
        <f>'CF(M)'!CB91+'FS_Detail(M)'!CB85</f>
        <v>0</v>
      </c>
      <c r="CC62" s="171">
        <f>'CF(M)'!CC91+'FS_Detail(M)'!CC85</f>
        <v>0</v>
      </c>
      <c r="CD62" s="171">
        <f>'CF(M)'!CD91+'FS_Detail(M)'!CD85</f>
        <v>0</v>
      </c>
      <c r="CE62" s="171">
        <f>'CF(M)'!CE91+'FS_Detail(M)'!CE85</f>
        <v>0</v>
      </c>
      <c r="CF62" s="171">
        <f>'CF(M)'!CF91+'FS_Detail(M)'!CF85</f>
        <v>0</v>
      </c>
      <c r="CG62" s="171">
        <f>'CF(M)'!CG91+'FS_Detail(M)'!CG85</f>
        <v>0</v>
      </c>
      <c r="CH62" s="171">
        <f>'CF(M)'!CH91+'FS_Detail(M)'!CH85</f>
        <v>0</v>
      </c>
      <c r="CI62" s="171">
        <f>'CF(M)'!CI91+'FS_Detail(M)'!CI85</f>
        <v>0</v>
      </c>
      <c r="CJ62" s="171">
        <f>'CF(M)'!CJ91+'FS_Detail(M)'!CJ85</f>
        <v>0</v>
      </c>
      <c r="CK62" s="171">
        <f>'CF(M)'!CK91+'FS_Detail(M)'!CK85</f>
        <v>0</v>
      </c>
      <c r="CL62" s="171">
        <f>'CF(M)'!CL91+'FS_Detail(M)'!CL85</f>
        <v>0</v>
      </c>
      <c r="CM62" s="171">
        <f>'CF(M)'!CM91+'FS_Detail(M)'!CM85</f>
        <v>0</v>
      </c>
      <c r="CN62" s="171">
        <f>'CF(M)'!CN91+'FS_Detail(M)'!CN85</f>
        <v>0</v>
      </c>
      <c r="CO62" s="171">
        <f>'CF(M)'!CO91+'FS_Detail(M)'!CO85</f>
        <v>0</v>
      </c>
      <c r="CP62" s="171">
        <f>'CF(M)'!CP91+'FS_Detail(M)'!CP85</f>
        <v>0</v>
      </c>
      <c r="CQ62" s="171">
        <f>'CF(M)'!CQ91+'FS_Detail(M)'!CQ85</f>
        <v>0</v>
      </c>
      <c r="CR62" s="171">
        <f>'CF(M)'!CR91+'FS_Detail(M)'!CR85</f>
        <v>0</v>
      </c>
      <c r="CS62" s="171">
        <f>'CF(M)'!CS91+'FS_Detail(M)'!CS85</f>
        <v>0</v>
      </c>
      <c r="CT62" s="171">
        <f>'CF(M)'!CT91+'FS_Detail(M)'!CT85</f>
        <v>0</v>
      </c>
      <c r="CU62" s="171">
        <f>'CF(M)'!CU91+'FS_Detail(M)'!CU85</f>
        <v>0</v>
      </c>
      <c r="CV62" s="171">
        <f>'CF(M)'!CV91+'FS_Detail(M)'!CV85</f>
        <v>0</v>
      </c>
      <c r="CW62" s="171">
        <f>'CF(M)'!CW91+'FS_Detail(M)'!CW85</f>
        <v>0</v>
      </c>
      <c r="CX62" s="171">
        <f>'CF(M)'!CX91+'FS_Detail(M)'!CX85</f>
        <v>0</v>
      </c>
      <c r="CY62" s="171">
        <f>'CF(M)'!CY91+'FS_Detail(M)'!CY85</f>
        <v>0</v>
      </c>
      <c r="CZ62" s="171">
        <f>'CF(M)'!CZ91+'FS_Detail(M)'!CZ85</f>
        <v>0</v>
      </c>
      <c r="DA62" s="171">
        <f>'CF(M)'!DA91+'FS_Detail(M)'!DA85</f>
        <v>0</v>
      </c>
      <c r="DB62" s="171">
        <f>'CF(M)'!DB91+'FS_Detail(M)'!DB85</f>
        <v>0</v>
      </c>
      <c r="DC62" s="171">
        <f>'CF(M)'!DC91+'FS_Detail(M)'!DC85</f>
        <v>0</v>
      </c>
      <c r="DD62" s="171">
        <f>'CF(M)'!DD91+'FS_Detail(M)'!DD85</f>
        <v>0</v>
      </c>
      <c r="DE62" s="171">
        <f>'CF(M)'!DE91+'FS_Detail(M)'!DE85</f>
        <v>0</v>
      </c>
      <c r="DF62" s="171">
        <f>'CF(M)'!DF91+'FS_Detail(M)'!DF85</f>
        <v>0</v>
      </c>
      <c r="DG62" s="171">
        <f>'CF(M)'!DG91+'FS_Detail(M)'!DG85</f>
        <v>0</v>
      </c>
      <c r="DH62" s="171">
        <f>'CF(M)'!DH91+'FS_Detail(M)'!DH85</f>
        <v>0</v>
      </c>
      <c r="DI62" s="171">
        <f>'CF(M)'!DI91+'FS_Detail(M)'!DI85</f>
        <v>0</v>
      </c>
      <c r="DJ62" s="171">
        <f>'CF(M)'!DJ91+'FS_Detail(M)'!DJ85</f>
        <v>0</v>
      </c>
      <c r="DK62" s="171">
        <f>'CF(M)'!DK91+'FS_Detail(M)'!DK85</f>
        <v>0</v>
      </c>
      <c r="DL62" s="171">
        <f>'CF(M)'!DL91+'FS_Detail(M)'!DL85</f>
        <v>0</v>
      </c>
      <c r="DM62" s="171">
        <f>'CF(M)'!DM91+'FS_Detail(M)'!DM85</f>
        <v>0</v>
      </c>
      <c r="DN62" s="171">
        <f>'CF(M)'!DN91+'FS_Detail(M)'!DN85</f>
        <v>0</v>
      </c>
      <c r="DO62" s="171">
        <f>'CF(M)'!DO91+'FS_Detail(M)'!DO85</f>
        <v>0</v>
      </c>
      <c r="DP62" s="171">
        <f>'CF(M)'!DP91+'FS_Detail(M)'!DP85</f>
        <v>0</v>
      </c>
      <c r="DQ62" s="171">
        <f>'CF(M)'!DQ91+'FS_Detail(M)'!DQ85</f>
        <v>0</v>
      </c>
      <c r="DR62" s="171">
        <f>'CF(M)'!DR91+'FS_Detail(M)'!DR85</f>
        <v>0</v>
      </c>
      <c r="DS62" s="171">
        <f>'CF(M)'!DS91+'FS_Detail(M)'!DS85</f>
        <v>0</v>
      </c>
      <c r="DT62" s="171">
        <f>'CF(M)'!DT91+'FS_Detail(M)'!DT85</f>
        <v>0</v>
      </c>
      <c r="DU62" s="171">
        <f>'CF(M)'!DU91+'FS_Detail(M)'!DU85</f>
        <v>0</v>
      </c>
      <c r="DV62" s="171">
        <f>'CF(M)'!DV91+'FS_Detail(M)'!DV85</f>
        <v>0</v>
      </c>
      <c r="DW62" s="171">
        <f>'CF(M)'!DW91+'FS_Detail(M)'!DW85</f>
        <v>0</v>
      </c>
      <c r="DX62" s="171">
        <f>'CF(M)'!DX91+'FS_Detail(M)'!DX85</f>
        <v>0</v>
      </c>
      <c r="DY62" s="171">
        <f>'CF(M)'!DY91+'FS_Detail(M)'!DY85</f>
        <v>0</v>
      </c>
      <c r="DZ62" s="171">
        <f>'CF(M)'!DZ91+'FS_Detail(M)'!DZ85</f>
        <v>0</v>
      </c>
      <c r="EA62" s="171">
        <f>'CF(M)'!EA91+'FS_Detail(M)'!EA85</f>
        <v>0</v>
      </c>
      <c r="EB62" s="171">
        <f>'CF(M)'!EB91+'FS_Detail(M)'!EB85</f>
        <v>0</v>
      </c>
      <c r="EC62" s="171">
        <f>'CF(M)'!EC91+'FS_Detail(M)'!EC85</f>
        <v>0</v>
      </c>
      <c r="ED62" s="171">
        <f>'CF(M)'!ED91+'FS_Detail(M)'!ED85</f>
        <v>0</v>
      </c>
      <c r="EE62" s="171">
        <f>'CF(M)'!EE91+'FS_Detail(M)'!EE85</f>
        <v>0</v>
      </c>
      <c r="EF62" s="171">
        <f>'CF(M)'!EF91+'FS_Detail(M)'!EF85</f>
        <v>0</v>
      </c>
      <c r="EG62" s="171">
        <f>'CF(M)'!EG91+'FS_Detail(M)'!EG85</f>
        <v>0</v>
      </c>
      <c r="EH62" s="171">
        <f>'CF(M)'!EH91+'FS_Detail(M)'!EH85</f>
        <v>0</v>
      </c>
      <c r="EI62" s="171">
        <f>'CF(M)'!EI91+'FS_Detail(M)'!EI85</f>
        <v>0</v>
      </c>
      <c r="EJ62" s="171">
        <f>'CF(M)'!EJ91+'FS_Detail(M)'!EJ85</f>
        <v>0</v>
      </c>
      <c r="EK62" s="171">
        <f>'CF(M)'!EK91+'FS_Detail(M)'!EK85</f>
        <v>0</v>
      </c>
      <c r="EL62" s="171">
        <f>'CF(M)'!EL91+'FS_Detail(M)'!EL85</f>
        <v>0</v>
      </c>
      <c r="EM62" s="171">
        <f>'CF(M)'!EM91+'FS_Detail(M)'!EM85</f>
        <v>0</v>
      </c>
      <c r="EN62" s="171">
        <f>'CF(M)'!EN91+'FS_Detail(M)'!EN85</f>
        <v>0</v>
      </c>
      <c r="EO62" s="171">
        <f>'CF(M)'!EO91+'FS_Detail(M)'!EO85</f>
        <v>0</v>
      </c>
      <c r="EP62" s="171">
        <f>'CF(M)'!EP91+'FS_Detail(M)'!EP85</f>
        <v>0</v>
      </c>
      <c r="EQ62" s="171">
        <f>'CF(M)'!EQ91+'FS_Detail(M)'!EQ85</f>
        <v>0</v>
      </c>
    </row>
    <row r="63" spans="2:147" ht="13.35" customHeight="1">
      <c r="B63" s="218"/>
      <c r="C63" s="163"/>
      <c r="D63" s="169" t="s">
        <v>239</v>
      </c>
      <c r="H63" s="146"/>
      <c r="I63" s="229"/>
      <c r="J63" s="171">
        <f t="shared" si="247"/>
        <v>0</v>
      </c>
      <c r="K63" s="98"/>
      <c r="L63" s="171">
        <f>SUM('FS_Detail(M)'!L136,'FS_Detail(M)'!L141)</f>
        <v>0</v>
      </c>
      <c r="M63" s="171">
        <f>SUM('FS_Detail(M)'!M136,'FS_Detail(M)'!M141)</f>
        <v>0</v>
      </c>
      <c r="N63" s="171">
        <f>SUM('FS_Detail(M)'!N136,'FS_Detail(M)'!N141)</f>
        <v>0</v>
      </c>
      <c r="O63" s="171">
        <f>SUM('FS_Detail(M)'!O136,'FS_Detail(M)'!O141)</f>
        <v>0</v>
      </c>
      <c r="P63" s="171">
        <f>SUM('FS_Detail(M)'!P136,'FS_Detail(M)'!P141)</f>
        <v>0</v>
      </c>
      <c r="Q63" s="171">
        <f>SUM('FS_Detail(M)'!Q136,'FS_Detail(M)'!Q141)</f>
        <v>0</v>
      </c>
      <c r="R63" s="171">
        <f>SUM('FS_Detail(M)'!R136,'FS_Detail(M)'!R141)</f>
        <v>0</v>
      </c>
      <c r="S63" s="171">
        <f>SUM('FS_Detail(M)'!S136,'FS_Detail(M)'!S141)</f>
        <v>0</v>
      </c>
      <c r="T63" s="171">
        <f>SUM('FS_Detail(M)'!T136,'FS_Detail(M)'!T141)</f>
        <v>0</v>
      </c>
      <c r="U63" s="171">
        <f>SUM('FS_Detail(M)'!U136,'FS_Detail(M)'!U141)</f>
        <v>0</v>
      </c>
      <c r="V63" s="171">
        <f>SUM('FS_Detail(M)'!V136,'FS_Detail(M)'!V141)</f>
        <v>0</v>
      </c>
      <c r="W63" s="171">
        <f>SUM('FS_Detail(M)'!W136,'FS_Detail(M)'!W141)</f>
        <v>0</v>
      </c>
      <c r="X63" s="171">
        <f>SUM('FS_Detail(M)'!X136,'FS_Detail(M)'!X141)</f>
        <v>0</v>
      </c>
      <c r="Y63" s="171">
        <f>SUM('FS_Detail(M)'!Y136,'FS_Detail(M)'!Y141)</f>
        <v>0</v>
      </c>
      <c r="Z63" s="171">
        <f>SUM('FS_Detail(M)'!Z136,'FS_Detail(M)'!Z141)</f>
        <v>0</v>
      </c>
      <c r="AA63" s="171">
        <f>SUM('FS_Detail(M)'!AA136,'FS_Detail(M)'!AA141)</f>
        <v>0</v>
      </c>
      <c r="AB63" s="171">
        <f>SUM('FS_Detail(M)'!AB136,'FS_Detail(M)'!AB141)</f>
        <v>0</v>
      </c>
      <c r="AC63" s="171">
        <f>SUM('FS_Detail(M)'!AC136,'FS_Detail(M)'!AC141)</f>
        <v>0</v>
      </c>
      <c r="AD63" s="171">
        <f>SUM('FS_Detail(M)'!AD136,'FS_Detail(M)'!AD141)</f>
        <v>0</v>
      </c>
      <c r="AE63" s="171">
        <f>SUM('FS_Detail(M)'!AE136,'FS_Detail(M)'!AE141)</f>
        <v>0</v>
      </c>
      <c r="AF63" s="171">
        <f>SUM('FS_Detail(M)'!AF136,'FS_Detail(M)'!AF141)</f>
        <v>0</v>
      </c>
      <c r="AG63" s="171">
        <f>SUM('FS_Detail(M)'!AG136,'FS_Detail(M)'!AG141)</f>
        <v>0</v>
      </c>
      <c r="AH63" s="171">
        <f>SUM('FS_Detail(M)'!AH136,'FS_Detail(M)'!AH141)</f>
        <v>0</v>
      </c>
      <c r="AI63" s="171">
        <f>SUM('FS_Detail(M)'!AI136,'FS_Detail(M)'!AI141)</f>
        <v>0</v>
      </c>
      <c r="AJ63" s="171">
        <f>SUM('FS_Detail(M)'!AJ136,'FS_Detail(M)'!AJ141)</f>
        <v>0</v>
      </c>
      <c r="AK63" s="171">
        <f>SUM('FS_Detail(M)'!AK136,'FS_Detail(M)'!AK141)</f>
        <v>0</v>
      </c>
      <c r="AL63" s="171">
        <f>SUM('FS_Detail(M)'!AL136,'FS_Detail(M)'!AL141)</f>
        <v>0</v>
      </c>
      <c r="AM63" s="171">
        <f>SUM('FS_Detail(M)'!AM136,'FS_Detail(M)'!AM141)</f>
        <v>0</v>
      </c>
      <c r="AN63" s="171">
        <f>SUM('FS_Detail(M)'!AN136,'FS_Detail(M)'!AN141)</f>
        <v>0</v>
      </c>
      <c r="AO63" s="171">
        <f>SUM('FS_Detail(M)'!AO136,'FS_Detail(M)'!AO141)</f>
        <v>0</v>
      </c>
      <c r="AP63" s="171">
        <f>SUM('FS_Detail(M)'!AP136,'FS_Detail(M)'!AP141)</f>
        <v>0</v>
      </c>
      <c r="AQ63" s="171">
        <f>SUM('FS_Detail(M)'!AQ136,'FS_Detail(M)'!AQ141)</f>
        <v>0</v>
      </c>
      <c r="AR63" s="171">
        <f>SUM('FS_Detail(M)'!AR136,'FS_Detail(M)'!AR141)</f>
        <v>0</v>
      </c>
      <c r="AS63" s="171">
        <f>SUM('FS_Detail(M)'!AS136,'FS_Detail(M)'!AS141)</f>
        <v>0</v>
      </c>
      <c r="AT63" s="171">
        <f>SUM('FS_Detail(M)'!AT136,'FS_Detail(M)'!AT141)</f>
        <v>0</v>
      </c>
      <c r="AU63" s="171">
        <f>SUM('FS_Detail(M)'!AU136,'FS_Detail(M)'!AU141)</f>
        <v>0</v>
      </c>
      <c r="AV63" s="171">
        <f>SUM('FS_Detail(M)'!AV136,'FS_Detail(M)'!AV141)</f>
        <v>0</v>
      </c>
      <c r="AW63" s="171">
        <f>SUM('FS_Detail(M)'!AW136,'FS_Detail(M)'!AW141)</f>
        <v>0</v>
      </c>
      <c r="AX63" s="171">
        <f>SUM('FS_Detail(M)'!AX136,'FS_Detail(M)'!AX141)</f>
        <v>0</v>
      </c>
      <c r="AY63" s="171">
        <f>SUM('FS_Detail(M)'!AY136,'FS_Detail(M)'!AY141)</f>
        <v>0</v>
      </c>
      <c r="AZ63" s="171">
        <f>SUM('FS_Detail(M)'!AZ136,'FS_Detail(M)'!AZ141)</f>
        <v>0</v>
      </c>
      <c r="BA63" s="171">
        <f>SUM('FS_Detail(M)'!BA136,'FS_Detail(M)'!BA141)</f>
        <v>0</v>
      </c>
      <c r="BB63" s="171">
        <f>SUM('FS_Detail(M)'!BB136,'FS_Detail(M)'!BB141)</f>
        <v>0</v>
      </c>
      <c r="BC63" s="171">
        <f>SUM('FS_Detail(M)'!BC136,'FS_Detail(M)'!BC141)</f>
        <v>0</v>
      </c>
      <c r="BD63" s="171">
        <f>SUM('FS_Detail(M)'!BD136,'FS_Detail(M)'!BD141)</f>
        <v>0</v>
      </c>
      <c r="BE63" s="171">
        <f>SUM('FS_Detail(M)'!BE136,'FS_Detail(M)'!BE141)</f>
        <v>0</v>
      </c>
      <c r="BF63" s="171">
        <f>SUM('FS_Detail(M)'!BF136,'FS_Detail(M)'!BF141)</f>
        <v>0</v>
      </c>
      <c r="BG63" s="171">
        <f>SUM('FS_Detail(M)'!BG136,'FS_Detail(M)'!BG141)</f>
        <v>0</v>
      </c>
      <c r="BH63" s="171">
        <f>SUM('FS_Detail(M)'!BH136,'FS_Detail(M)'!BH141)</f>
        <v>0</v>
      </c>
      <c r="BI63" s="171">
        <f>SUM('FS_Detail(M)'!BI136,'FS_Detail(M)'!BI141)</f>
        <v>0</v>
      </c>
      <c r="BJ63" s="171">
        <f>SUM('FS_Detail(M)'!BJ136,'FS_Detail(M)'!BJ141)</f>
        <v>0</v>
      </c>
      <c r="BK63" s="171">
        <f>SUM('FS_Detail(M)'!BK136,'FS_Detail(M)'!BK141)</f>
        <v>0</v>
      </c>
      <c r="BL63" s="171">
        <f>SUM('FS_Detail(M)'!BL136,'FS_Detail(M)'!BL141)</f>
        <v>0</v>
      </c>
      <c r="BM63" s="171">
        <f>SUM('FS_Detail(M)'!BM136,'FS_Detail(M)'!BM141)</f>
        <v>0</v>
      </c>
      <c r="BN63" s="171">
        <f>SUM('FS_Detail(M)'!BN136,'FS_Detail(M)'!BN141)</f>
        <v>0</v>
      </c>
      <c r="BO63" s="171">
        <f>SUM('FS_Detail(M)'!BO136,'FS_Detail(M)'!BO141)</f>
        <v>0</v>
      </c>
      <c r="BP63" s="171">
        <f>SUM('FS_Detail(M)'!BP136,'FS_Detail(M)'!BP141)</f>
        <v>0</v>
      </c>
      <c r="BQ63" s="171">
        <f>SUM('FS_Detail(M)'!BQ136,'FS_Detail(M)'!BQ141)</f>
        <v>0</v>
      </c>
      <c r="BR63" s="171">
        <f>SUM('FS_Detail(M)'!BR136,'FS_Detail(M)'!BR141)</f>
        <v>0</v>
      </c>
      <c r="BS63" s="171">
        <f>SUM('FS_Detail(M)'!BS136,'FS_Detail(M)'!BS141)</f>
        <v>0</v>
      </c>
      <c r="BT63" s="171">
        <f>SUM('FS_Detail(M)'!BT136,'FS_Detail(M)'!BT141)</f>
        <v>0</v>
      </c>
      <c r="BU63" s="171">
        <f>SUM('FS_Detail(M)'!BU136,'FS_Detail(M)'!BU141)</f>
        <v>0</v>
      </c>
      <c r="BV63" s="171">
        <f>SUM('FS_Detail(M)'!BV136,'FS_Detail(M)'!BV141)</f>
        <v>0</v>
      </c>
      <c r="BW63" s="171">
        <f>SUM('FS_Detail(M)'!BW136,'FS_Detail(M)'!BW141)</f>
        <v>0</v>
      </c>
      <c r="BX63" s="171">
        <f>SUM('FS_Detail(M)'!BX136,'FS_Detail(M)'!BX141)</f>
        <v>0</v>
      </c>
      <c r="BY63" s="171">
        <f>SUM('FS_Detail(M)'!BY136,'FS_Detail(M)'!BY141)</f>
        <v>0</v>
      </c>
      <c r="BZ63" s="171">
        <f>SUM('FS_Detail(M)'!BZ136,'FS_Detail(M)'!BZ141)</f>
        <v>0</v>
      </c>
      <c r="CA63" s="171">
        <f>SUM('FS_Detail(M)'!CA136,'FS_Detail(M)'!CA141)</f>
        <v>0</v>
      </c>
      <c r="CB63" s="171">
        <f>SUM('FS_Detail(M)'!CB136,'FS_Detail(M)'!CB141)</f>
        <v>0</v>
      </c>
      <c r="CC63" s="171">
        <f>SUM('FS_Detail(M)'!CC136,'FS_Detail(M)'!CC141)</f>
        <v>0</v>
      </c>
      <c r="CD63" s="171">
        <f>SUM('FS_Detail(M)'!CD136,'FS_Detail(M)'!CD141)</f>
        <v>0</v>
      </c>
      <c r="CE63" s="171">
        <f>SUM('FS_Detail(M)'!CE136,'FS_Detail(M)'!CE141)</f>
        <v>0</v>
      </c>
      <c r="CF63" s="171">
        <f>SUM('FS_Detail(M)'!CF136,'FS_Detail(M)'!CF141)</f>
        <v>0</v>
      </c>
      <c r="CG63" s="171">
        <f>SUM('FS_Detail(M)'!CG136,'FS_Detail(M)'!CG141)</f>
        <v>0</v>
      </c>
      <c r="CH63" s="171">
        <f>SUM('FS_Detail(M)'!CH136,'FS_Detail(M)'!CH141)</f>
        <v>0</v>
      </c>
      <c r="CI63" s="171">
        <f>SUM('FS_Detail(M)'!CI136,'FS_Detail(M)'!CI141)</f>
        <v>0</v>
      </c>
      <c r="CJ63" s="171">
        <f>SUM('FS_Detail(M)'!CJ136,'FS_Detail(M)'!CJ141)</f>
        <v>0</v>
      </c>
      <c r="CK63" s="171">
        <f>SUM('FS_Detail(M)'!CK136,'FS_Detail(M)'!CK141)</f>
        <v>0</v>
      </c>
      <c r="CL63" s="171">
        <f>SUM('FS_Detail(M)'!CL136,'FS_Detail(M)'!CL141)</f>
        <v>0</v>
      </c>
      <c r="CM63" s="171">
        <f>SUM('FS_Detail(M)'!CM136,'FS_Detail(M)'!CM141)</f>
        <v>0</v>
      </c>
      <c r="CN63" s="171">
        <f>SUM('FS_Detail(M)'!CN136,'FS_Detail(M)'!CN141)</f>
        <v>0</v>
      </c>
      <c r="CO63" s="171">
        <f>SUM('FS_Detail(M)'!CO136,'FS_Detail(M)'!CO141)</f>
        <v>0</v>
      </c>
      <c r="CP63" s="171">
        <f>SUM('FS_Detail(M)'!CP136,'FS_Detail(M)'!CP141)</f>
        <v>0</v>
      </c>
      <c r="CQ63" s="171">
        <f>SUM('FS_Detail(M)'!CQ136,'FS_Detail(M)'!CQ141)</f>
        <v>0</v>
      </c>
      <c r="CR63" s="171">
        <f>SUM('FS_Detail(M)'!CR136,'FS_Detail(M)'!CR141)</f>
        <v>0</v>
      </c>
      <c r="CS63" s="171">
        <f>SUM('FS_Detail(M)'!CS136,'FS_Detail(M)'!CS141)</f>
        <v>0</v>
      </c>
      <c r="CT63" s="171">
        <f>SUM('FS_Detail(M)'!CT136,'FS_Detail(M)'!CT141)</f>
        <v>0</v>
      </c>
      <c r="CU63" s="171">
        <f>SUM('FS_Detail(M)'!CU136,'FS_Detail(M)'!CU141)</f>
        <v>0</v>
      </c>
      <c r="CV63" s="171">
        <f>SUM('FS_Detail(M)'!CV136,'FS_Detail(M)'!CV141)</f>
        <v>0</v>
      </c>
      <c r="CW63" s="171">
        <f>SUM('FS_Detail(M)'!CW136,'FS_Detail(M)'!CW141)</f>
        <v>0</v>
      </c>
      <c r="CX63" s="171">
        <f>SUM('FS_Detail(M)'!CX136,'FS_Detail(M)'!CX141)</f>
        <v>0</v>
      </c>
      <c r="CY63" s="171">
        <f>SUM('FS_Detail(M)'!CY136,'FS_Detail(M)'!CY141)</f>
        <v>0</v>
      </c>
      <c r="CZ63" s="171">
        <f>SUM('FS_Detail(M)'!CZ136,'FS_Detail(M)'!CZ141)</f>
        <v>0</v>
      </c>
      <c r="DA63" s="171">
        <f>SUM('FS_Detail(M)'!DA136,'FS_Detail(M)'!DA141)</f>
        <v>0</v>
      </c>
      <c r="DB63" s="171">
        <f>SUM('FS_Detail(M)'!DB136,'FS_Detail(M)'!DB141)</f>
        <v>0</v>
      </c>
      <c r="DC63" s="171">
        <f>SUM('FS_Detail(M)'!DC136,'FS_Detail(M)'!DC141)</f>
        <v>0</v>
      </c>
      <c r="DD63" s="171">
        <f>SUM('FS_Detail(M)'!DD136,'FS_Detail(M)'!DD141)</f>
        <v>0</v>
      </c>
      <c r="DE63" s="171">
        <f>SUM('FS_Detail(M)'!DE136,'FS_Detail(M)'!DE141)</f>
        <v>0</v>
      </c>
      <c r="DF63" s="171">
        <f>SUM('FS_Detail(M)'!DF136,'FS_Detail(M)'!DF141)</f>
        <v>0</v>
      </c>
      <c r="DG63" s="171">
        <f>SUM('FS_Detail(M)'!DG136,'FS_Detail(M)'!DG141)</f>
        <v>0</v>
      </c>
      <c r="DH63" s="171">
        <f>SUM('FS_Detail(M)'!DH136,'FS_Detail(M)'!DH141)</f>
        <v>0</v>
      </c>
      <c r="DI63" s="171">
        <f>SUM('FS_Detail(M)'!DI136,'FS_Detail(M)'!DI141)</f>
        <v>0</v>
      </c>
      <c r="DJ63" s="171">
        <f>SUM('FS_Detail(M)'!DJ136,'FS_Detail(M)'!DJ141)</f>
        <v>0</v>
      </c>
      <c r="DK63" s="171">
        <f>SUM('FS_Detail(M)'!DK136,'FS_Detail(M)'!DK141)</f>
        <v>0</v>
      </c>
      <c r="DL63" s="171">
        <f>SUM('FS_Detail(M)'!DL136,'FS_Detail(M)'!DL141)</f>
        <v>0</v>
      </c>
      <c r="DM63" s="171">
        <f>SUM('FS_Detail(M)'!DM136,'FS_Detail(M)'!DM141)</f>
        <v>0</v>
      </c>
      <c r="DN63" s="171">
        <f>SUM('FS_Detail(M)'!DN136,'FS_Detail(M)'!DN141)</f>
        <v>0</v>
      </c>
      <c r="DO63" s="171">
        <f>SUM('FS_Detail(M)'!DO136,'FS_Detail(M)'!DO141)</f>
        <v>0</v>
      </c>
      <c r="DP63" s="171">
        <f>SUM('FS_Detail(M)'!DP136,'FS_Detail(M)'!DP141)</f>
        <v>0</v>
      </c>
      <c r="DQ63" s="171">
        <f>SUM('FS_Detail(M)'!DQ136,'FS_Detail(M)'!DQ141)</f>
        <v>0</v>
      </c>
      <c r="DR63" s="171">
        <f>SUM('FS_Detail(M)'!DR136,'FS_Detail(M)'!DR141)</f>
        <v>0</v>
      </c>
      <c r="DS63" s="171">
        <f>SUM('FS_Detail(M)'!DS136,'FS_Detail(M)'!DS141)</f>
        <v>0</v>
      </c>
      <c r="DT63" s="171">
        <f>SUM('FS_Detail(M)'!DT136,'FS_Detail(M)'!DT141)</f>
        <v>0</v>
      </c>
      <c r="DU63" s="171">
        <f>SUM('FS_Detail(M)'!DU136,'FS_Detail(M)'!DU141)</f>
        <v>0</v>
      </c>
      <c r="DV63" s="171">
        <f>SUM('FS_Detail(M)'!DV136,'FS_Detail(M)'!DV141)</f>
        <v>0</v>
      </c>
      <c r="DW63" s="171">
        <f>SUM('FS_Detail(M)'!DW136,'FS_Detail(M)'!DW141)</f>
        <v>0</v>
      </c>
      <c r="DX63" s="171">
        <f>SUM('FS_Detail(M)'!DX136,'FS_Detail(M)'!DX141)</f>
        <v>0</v>
      </c>
      <c r="DY63" s="171">
        <f>SUM('FS_Detail(M)'!DY136,'FS_Detail(M)'!DY141)</f>
        <v>0</v>
      </c>
      <c r="DZ63" s="171">
        <f>SUM('FS_Detail(M)'!DZ136,'FS_Detail(M)'!DZ141)</f>
        <v>0</v>
      </c>
      <c r="EA63" s="171">
        <f>SUM('FS_Detail(M)'!EA136,'FS_Detail(M)'!EA141)</f>
        <v>0</v>
      </c>
      <c r="EB63" s="171">
        <f>SUM('FS_Detail(M)'!EB136,'FS_Detail(M)'!EB141)</f>
        <v>0</v>
      </c>
      <c r="EC63" s="171">
        <f>SUM('FS_Detail(M)'!EC136,'FS_Detail(M)'!EC141)</f>
        <v>0</v>
      </c>
      <c r="ED63" s="171">
        <f>SUM('FS_Detail(M)'!ED136,'FS_Detail(M)'!ED141)</f>
        <v>0</v>
      </c>
      <c r="EE63" s="171">
        <f>SUM('FS_Detail(M)'!EE136,'FS_Detail(M)'!EE141)</f>
        <v>0</v>
      </c>
      <c r="EF63" s="171">
        <f>SUM('FS_Detail(M)'!EF136,'FS_Detail(M)'!EF141)</f>
        <v>0</v>
      </c>
      <c r="EG63" s="171">
        <f>SUM('FS_Detail(M)'!EG136,'FS_Detail(M)'!EG141)</f>
        <v>0</v>
      </c>
      <c r="EH63" s="171">
        <f>SUM('FS_Detail(M)'!EH136,'FS_Detail(M)'!EH141)</f>
        <v>0</v>
      </c>
      <c r="EI63" s="171">
        <f>SUM('FS_Detail(M)'!EI136,'FS_Detail(M)'!EI141)</f>
        <v>0</v>
      </c>
      <c r="EJ63" s="171">
        <f>SUM('FS_Detail(M)'!EJ136,'FS_Detail(M)'!EJ141)</f>
        <v>0</v>
      </c>
      <c r="EK63" s="171">
        <f>SUM('FS_Detail(M)'!EK136,'FS_Detail(M)'!EK141)</f>
        <v>0</v>
      </c>
      <c r="EL63" s="171">
        <f>SUM('FS_Detail(M)'!EL136,'FS_Detail(M)'!EL141)</f>
        <v>0</v>
      </c>
      <c r="EM63" s="171">
        <f>SUM('FS_Detail(M)'!EM136,'FS_Detail(M)'!EM141)</f>
        <v>0</v>
      </c>
      <c r="EN63" s="171">
        <f>SUM('FS_Detail(M)'!EN136,'FS_Detail(M)'!EN141)</f>
        <v>0</v>
      </c>
      <c r="EO63" s="171">
        <f>SUM('FS_Detail(M)'!EO136,'FS_Detail(M)'!EO141)</f>
        <v>0</v>
      </c>
      <c r="EP63" s="171">
        <f>SUM('FS_Detail(M)'!EP136,'FS_Detail(M)'!EP141)</f>
        <v>0</v>
      </c>
      <c r="EQ63" s="171">
        <f>SUM('FS_Detail(M)'!EQ136,'FS_Detail(M)'!EQ141)</f>
        <v>0</v>
      </c>
    </row>
    <row r="64" spans="2:147" ht="13.35" customHeight="1">
      <c r="B64" s="218"/>
      <c r="C64" s="163"/>
      <c r="D64" s="169" t="s">
        <v>130</v>
      </c>
      <c r="G64" s="65"/>
      <c r="H64" s="146"/>
      <c r="I64" s="229"/>
      <c r="J64" s="171">
        <f t="shared" ca="1" si="247"/>
        <v>0</v>
      </c>
      <c r="K64" s="98"/>
      <c r="L64" s="171">
        <f ca="1">'IS(M)'!M99</f>
        <v>0</v>
      </c>
      <c r="M64" s="171">
        <f ca="1">'IS(M)'!N99</f>
        <v>0</v>
      </c>
      <c r="N64" s="171">
        <f ca="1">'IS(M)'!O99</f>
        <v>0</v>
      </c>
      <c r="O64" s="171">
        <f ca="1">'IS(M)'!P99</f>
        <v>0</v>
      </c>
      <c r="P64" s="171">
        <f ca="1">'IS(M)'!Q99</f>
        <v>0</v>
      </c>
      <c r="Q64" s="171">
        <f ca="1">'IS(M)'!R99</f>
        <v>0</v>
      </c>
      <c r="R64" s="171">
        <f ca="1">'IS(M)'!S99</f>
        <v>0</v>
      </c>
      <c r="S64" s="171">
        <f ca="1">'IS(M)'!T99</f>
        <v>0</v>
      </c>
      <c r="T64" s="171">
        <f ca="1">'IS(M)'!U99</f>
        <v>0</v>
      </c>
      <c r="U64" s="171">
        <f ca="1">'IS(M)'!V99</f>
        <v>0</v>
      </c>
      <c r="V64" s="171">
        <f ca="1">'IS(M)'!W99</f>
        <v>0</v>
      </c>
      <c r="W64" s="171">
        <f ca="1">'IS(M)'!X99</f>
        <v>0</v>
      </c>
      <c r="X64" s="171">
        <f ca="1">'IS(M)'!Y99</f>
        <v>0</v>
      </c>
      <c r="Y64" s="171">
        <f ca="1">'IS(M)'!Z99</f>
        <v>0</v>
      </c>
      <c r="Z64" s="171">
        <f ca="1">'IS(M)'!AA99</f>
        <v>0</v>
      </c>
      <c r="AA64" s="171">
        <f ca="1">'IS(M)'!AB99</f>
        <v>0</v>
      </c>
      <c r="AB64" s="171">
        <f ca="1">'IS(M)'!AC99</f>
        <v>0</v>
      </c>
      <c r="AC64" s="171">
        <f ca="1">'IS(M)'!AD99</f>
        <v>0</v>
      </c>
      <c r="AD64" s="171">
        <f ca="1">'IS(M)'!AE99</f>
        <v>0</v>
      </c>
      <c r="AE64" s="171">
        <f ca="1">'IS(M)'!AF99</f>
        <v>0</v>
      </c>
      <c r="AF64" s="171">
        <f ca="1">'IS(M)'!AG99</f>
        <v>0</v>
      </c>
      <c r="AG64" s="171">
        <f ca="1">'IS(M)'!AH99</f>
        <v>0</v>
      </c>
      <c r="AH64" s="171">
        <f ca="1">'IS(M)'!AI99</f>
        <v>0</v>
      </c>
      <c r="AI64" s="171">
        <f ca="1">'IS(M)'!AJ99</f>
        <v>0</v>
      </c>
      <c r="AJ64" s="171">
        <f ca="1">'IS(M)'!AK99</f>
        <v>0</v>
      </c>
      <c r="AK64" s="171">
        <f ca="1">'IS(M)'!AL99</f>
        <v>0</v>
      </c>
      <c r="AL64" s="171">
        <f ca="1">'IS(M)'!AM99</f>
        <v>0</v>
      </c>
      <c r="AM64" s="171">
        <f ca="1">'IS(M)'!AN99</f>
        <v>0</v>
      </c>
      <c r="AN64" s="171">
        <f ca="1">'IS(M)'!AO99</f>
        <v>0</v>
      </c>
      <c r="AO64" s="171">
        <f ca="1">'IS(M)'!AP99</f>
        <v>0</v>
      </c>
      <c r="AP64" s="171">
        <f ca="1">'IS(M)'!AQ99</f>
        <v>0</v>
      </c>
      <c r="AQ64" s="171">
        <f ca="1">'IS(M)'!AR99</f>
        <v>0</v>
      </c>
      <c r="AR64" s="171">
        <f ca="1">'IS(M)'!AS99</f>
        <v>0</v>
      </c>
      <c r="AS64" s="171">
        <f ca="1">'IS(M)'!AT99</f>
        <v>0</v>
      </c>
      <c r="AT64" s="171">
        <f ca="1">'IS(M)'!AU99</f>
        <v>0</v>
      </c>
      <c r="AU64" s="171">
        <f ca="1">'IS(M)'!AV99</f>
        <v>0</v>
      </c>
      <c r="AV64" s="171">
        <f ca="1">'IS(M)'!AW99</f>
        <v>0</v>
      </c>
      <c r="AW64" s="171">
        <f ca="1">'IS(M)'!AX99</f>
        <v>0</v>
      </c>
      <c r="AX64" s="171">
        <f ca="1">'IS(M)'!AY99</f>
        <v>0</v>
      </c>
      <c r="AY64" s="171">
        <f ca="1">'IS(M)'!AZ99</f>
        <v>0</v>
      </c>
      <c r="AZ64" s="171">
        <f ca="1">'IS(M)'!BA99</f>
        <v>0</v>
      </c>
      <c r="BA64" s="171">
        <f ca="1">'IS(M)'!BB99</f>
        <v>0</v>
      </c>
      <c r="BB64" s="171">
        <f ca="1">'IS(M)'!BC99</f>
        <v>0</v>
      </c>
      <c r="BC64" s="171">
        <f ca="1">'IS(M)'!BD99</f>
        <v>0</v>
      </c>
      <c r="BD64" s="171">
        <f ca="1">'IS(M)'!BE99</f>
        <v>0</v>
      </c>
      <c r="BE64" s="171">
        <f ca="1">'IS(M)'!BF99</f>
        <v>0</v>
      </c>
      <c r="BF64" s="171">
        <f ca="1">'IS(M)'!BG99</f>
        <v>0</v>
      </c>
      <c r="BG64" s="171">
        <f ca="1">'IS(M)'!BH99</f>
        <v>0</v>
      </c>
      <c r="BH64" s="171">
        <f ca="1">'IS(M)'!BI99</f>
        <v>0</v>
      </c>
      <c r="BI64" s="171">
        <f ca="1">'IS(M)'!BJ99</f>
        <v>0</v>
      </c>
      <c r="BJ64" s="171">
        <f ca="1">'IS(M)'!BK99</f>
        <v>0</v>
      </c>
      <c r="BK64" s="171">
        <f ca="1">'IS(M)'!BL99</f>
        <v>0</v>
      </c>
      <c r="BL64" s="171">
        <f ca="1">'IS(M)'!BM99</f>
        <v>0</v>
      </c>
      <c r="BM64" s="171">
        <f ca="1">'IS(M)'!BN99</f>
        <v>0</v>
      </c>
      <c r="BN64" s="171">
        <f ca="1">'IS(M)'!BO99</f>
        <v>0</v>
      </c>
      <c r="BO64" s="171">
        <f ca="1">'IS(M)'!BP99</f>
        <v>0</v>
      </c>
      <c r="BP64" s="171">
        <f ca="1">'IS(M)'!BQ99</f>
        <v>0</v>
      </c>
      <c r="BQ64" s="171">
        <f ca="1">'IS(M)'!BR99</f>
        <v>0</v>
      </c>
      <c r="BR64" s="171">
        <f ca="1">'IS(M)'!BS99</f>
        <v>0</v>
      </c>
      <c r="BS64" s="171">
        <f ca="1">'IS(M)'!BT99</f>
        <v>0</v>
      </c>
      <c r="BT64" s="171">
        <f ca="1">'IS(M)'!BU99</f>
        <v>0</v>
      </c>
      <c r="BU64" s="171">
        <f ca="1">'IS(M)'!BV99</f>
        <v>0</v>
      </c>
      <c r="BV64" s="171">
        <f ca="1">'IS(M)'!BW99</f>
        <v>0</v>
      </c>
      <c r="BW64" s="171">
        <f ca="1">'IS(M)'!BX99</f>
        <v>0</v>
      </c>
      <c r="BX64" s="171">
        <f ca="1">'IS(M)'!BY99</f>
        <v>0</v>
      </c>
      <c r="BY64" s="171">
        <f ca="1">'IS(M)'!BZ99</f>
        <v>0</v>
      </c>
      <c r="BZ64" s="171">
        <f ca="1">'IS(M)'!CA99</f>
        <v>0</v>
      </c>
      <c r="CA64" s="171">
        <f ca="1">'IS(M)'!CB99</f>
        <v>0</v>
      </c>
      <c r="CB64" s="171">
        <f ca="1">'IS(M)'!CC99</f>
        <v>0</v>
      </c>
      <c r="CC64" s="171">
        <f ca="1">'IS(M)'!CD99</f>
        <v>0</v>
      </c>
      <c r="CD64" s="171">
        <f ca="1">'IS(M)'!CE99</f>
        <v>0</v>
      </c>
      <c r="CE64" s="171">
        <f ca="1">'IS(M)'!CF99</f>
        <v>0</v>
      </c>
      <c r="CF64" s="171">
        <f ca="1">'IS(M)'!CG99</f>
        <v>0</v>
      </c>
      <c r="CG64" s="171">
        <f ca="1">'IS(M)'!CH99</f>
        <v>0</v>
      </c>
      <c r="CH64" s="171">
        <f ca="1">'IS(M)'!CI99</f>
        <v>0</v>
      </c>
      <c r="CI64" s="171">
        <f ca="1">'IS(M)'!CJ99</f>
        <v>0</v>
      </c>
      <c r="CJ64" s="171">
        <f ca="1">'IS(M)'!CK99</f>
        <v>0</v>
      </c>
      <c r="CK64" s="171">
        <f ca="1">'IS(M)'!CL99</f>
        <v>0</v>
      </c>
      <c r="CL64" s="171">
        <f ca="1">'IS(M)'!CM99</f>
        <v>0</v>
      </c>
      <c r="CM64" s="171">
        <f ca="1">'IS(M)'!CN99</f>
        <v>0</v>
      </c>
      <c r="CN64" s="171">
        <f ca="1">'IS(M)'!CO99</f>
        <v>0</v>
      </c>
      <c r="CO64" s="171">
        <f ca="1">'IS(M)'!CP99</f>
        <v>0</v>
      </c>
      <c r="CP64" s="171">
        <f ca="1">'IS(M)'!CQ99</f>
        <v>0</v>
      </c>
      <c r="CQ64" s="171">
        <f ca="1">'IS(M)'!CR99</f>
        <v>0</v>
      </c>
      <c r="CR64" s="171">
        <f ca="1">'IS(M)'!CS99</f>
        <v>0</v>
      </c>
      <c r="CS64" s="171">
        <f ca="1">'IS(M)'!CT99</f>
        <v>0</v>
      </c>
      <c r="CT64" s="171">
        <f ca="1">'IS(M)'!CU99</f>
        <v>0</v>
      </c>
      <c r="CU64" s="171">
        <f ca="1">'IS(M)'!CV99</f>
        <v>0</v>
      </c>
      <c r="CV64" s="171">
        <f ca="1">'IS(M)'!CW99</f>
        <v>0</v>
      </c>
      <c r="CW64" s="171">
        <f ca="1">'IS(M)'!CX99</f>
        <v>0</v>
      </c>
      <c r="CX64" s="171">
        <f ca="1">'IS(M)'!CY99</f>
        <v>0</v>
      </c>
      <c r="CY64" s="171">
        <f ca="1">'IS(M)'!CZ99</f>
        <v>0</v>
      </c>
      <c r="CZ64" s="171">
        <f ca="1">'IS(M)'!DA99</f>
        <v>0</v>
      </c>
      <c r="DA64" s="171">
        <f ca="1">'IS(M)'!DB99</f>
        <v>0</v>
      </c>
      <c r="DB64" s="171">
        <f ca="1">'IS(M)'!DC99</f>
        <v>0</v>
      </c>
      <c r="DC64" s="171">
        <f ca="1">'IS(M)'!DD99</f>
        <v>0</v>
      </c>
      <c r="DD64" s="171">
        <f ca="1">'IS(M)'!DE99</f>
        <v>0</v>
      </c>
      <c r="DE64" s="171">
        <f ca="1">'IS(M)'!DF99</f>
        <v>0</v>
      </c>
      <c r="DF64" s="171">
        <f ca="1">'IS(M)'!DG99</f>
        <v>0</v>
      </c>
      <c r="DG64" s="171">
        <f ca="1">'IS(M)'!DH99</f>
        <v>0</v>
      </c>
      <c r="DH64" s="171">
        <f ca="1">'IS(M)'!DI99</f>
        <v>0</v>
      </c>
      <c r="DI64" s="171">
        <f ca="1">'IS(M)'!DJ99</f>
        <v>0</v>
      </c>
      <c r="DJ64" s="171">
        <f ca="1">'IS(M)'!DK99</f>
        <v>0</v>
      </c>
      <c r="DK64" s="171">
        <f ca="1">'IS(M)'!DL99</f>
        <v>0</v>
      </c>
      <c r="DL64" s="171">
        <f ca="1">'IS(M)'!DM99</f>
        <v>0</v>
      </c>
      <c r="DM64" s="171">
        <f ca="1">'IS(M)'!DN99</f>
        <v>0</v>
      </c>
      <c r="DN64" s="171">
        <f ca="1">'IS(M)'!DO99</f>
        <v>0</v>
      </c>
      <c r="DO64" s="171">
        <f ca="1">'IS(M)'!DP99</f>
        <v>0</v>
      </c>
      <c r="DP64" s="171">
        <f ca="1">'IS(M)'!DQ99</f>
        <v>0</v>
      </c>
      <c r="DQ64" s="171">
        <f ca="1">'IS(M)'!DR99</f>
        <v>0</v>
      </c>
      <c r="DR64" s="171">
        <f ca="1">'IS(M)'!DS99</f>
        <v>0</v>
      </c>
      <c r="DS64" s="171">
        <f ca="1">'IS(M)'!DT99</f>
        <v>0</v>
      </c>
      <c r="DT64" s="171">
        <f ca="1">'IS(M)'!DU99</f>
        <v>0</v>
      </c>
      <c r="DU64" s="171">
        <f ca="1">'IS(M)'!DV99</f>
        <v>0</v>
      </c>
      <c r="DV64" s="171">
        <f ca="1">'IS(M)'!DW99</f>
        <v>0</v>
      </c>
      <c r="DW64" s="171">
        <f ca="1">'IS(M)'!DX99</f>
        <v>0</v>
      </c>
      <c r="DX64" s="171">
        <f ca="1">'IS(M)'!DY99</f>
        <v>0</v>
      </c>
      <c r="DY64" s="171">
        <f ca="1">'IS(M)'!DZ99</f>
        <v>0</v>
      </c>
      <c r="DZ64" s="171">
        <f ca="1">'IS(M)'!EA99</f>
        <v>0</v>
      </c>
      <c r="EA64" s="171">
        <f ca="1">'IS(M)'!EB99</f>
        <v>0</v>
      </c>
      <c r="EB64" s="171">
        <f ca="1">'IS(M)'!EC99</f>
        <v>0</v>
      </c>
      <c r="EC64" s="171">
        <f ca="1">'IS(M)'!ED99</f>
        <v>0</v>
      </c>
      <c r="ED64" s="171">
        <f ca="1">'IS(M)'!EE99</f>
        <v>0</v>
      </c>
      <c r="EE64" s="171">
        <f ca="1">'IS(M)'!EF99</f>
        <v>0</v>
      </c>
      <c r="EF64" s="171">
        <f ca="1">'IS(M)'!EG99</f>
        <v>0</v>
      </c>
      <c r="EG64" s="171">
        <f ca="1">'IS(M)'!EH99</f>
        <v>0</v>
      </c>
      <c r="EH64" s="171">
        <f ca="1">'IS(M)'!EI99</f>
        <v>0</v>
      </c>
      <c r="EI64" s="171">
        <f ca="1">'IS(M)'!EJ99</f>
        <v>0</v>
      </c>
      <c r="EJ64" s="171">
        <f ca="1">'IS(M)'!EK99</f>
        <v>0</v>
      </c>
      <c r="EK64" s="171">
        <f ca="1">'IS(M)'!EL99</f>
        <v>0</v>
      </c>
      <c r="EL64" s="171">
        <f ca="1">'IS(M)'!EM99</f>
        <v>0</v>
      </c>
      <c r="EM64" s="171">
        <f ca="1">'IS(M)'!EN99</f>
        <v>0</v>
      </c>
      <c r="EN64" s="171">
        <f ca="1">'IS(M)'!EO99</f>
        <v>0</v>
      </c>
      <c r="EO64" s="171">
        <f ca="1">'IS(M)'!EP99</f>
        <v>0</v>
      </c>
      <c r="EP64" s="171">
        <f ca="1">'IS(M)'!EQ99</f>
        <v>0</v>
      </c>
      <c r="EQ64" s="171">
        <f ca="1">'IS(M)'!ER99</f>
        <v>0</v>
      </c>
    </row>
    <row r="65" spans="2:147" ht="13.35" customHeight="1">
      <c r="B65" s="244"/>
      <c r="C65" s="178"/>
      <c r="D65" s="179" t="s">
        <v>211</v>
      </c>
      <c r="E65" s="180"/>
      <c r="F65" s="180"/>
      <c r="G65" s="1095"/>
      <c r="H65" s="181"/>
      <c r="I65" s="1096"/>
      <c r="J65" s="184">
        <f t="shared" si="247"/>
        <v>0</v>
      </c>
      <c r="K65" s="98"/>
      <c r="L65" s="184">
        <f>'IS(M)'!M109</f>
        <v>0</v>
      </c>
      <c r="M65" s="184">
        <f>'IS(M)'!N109</f>
        <v>0</v>
      </c>
      <c r="N65" s="184">
        <f>'IS(M)'!O109</f>
        <v>0</v>
      </c>
      <c r="O65" s="184">
        <f>'IS(M)'!P109</f>
        <v>0</v>
      </c>
      <c r="P65" s="184">
        <f>'IS(M)'!Q109</f>
        <v>0</v>
      </c>
      <c r="Q65" s="184">
        <f>'IS(M)'!R109</f>
        <v>0</v>
      </c>
      <c r="R65" s="184">
        <f>'IS(M)'!S109</f>
        <v>0</v>
      </c>
      <c r="S65" s="184">
        <f>'IS(M)'!T109</f>
        <v>0</v>
      </c>
      <c r="T65" s="184">
        <f>'IS(M)'!U109</f>
        <v>0</v>
      </c>
      <c r="U65" s="184">
        <f>'IS(M)'!V109</f>
        <v>0</v>
      </c>
      <c r="V65" s="184">
        <f>'IS(M)'!W109</f>
        <v>0</v>
      </c>
      <c r="W65" s="184">
        <f>'IS(M)'!X109</f>
        <v>0</v>
      </c>
      <c r="X65" s="184">
        <f>'IS(M)'!Y109</f>
        <v>0</v>
      </c>
      <c r="Y65" s="184">
        <f>'IS(M)'!Z109</f>
        <v>0</v>
      </c>
      <c r="Z65" s="184">
        <f>'IS(M)'!AA109</f>
        <v>0</v>
      </c>
      <c r="AA65" s="184">
        <f>'IS(M)'!AB109</f>
        <v>0</v>
      </c>
      <c r="AB65" s="184">
        <f>'IS(M)'!AC109</f>
        <v>0</v>
      </c>
      <c r="AC65" s="184">
        <f>'IS(M)'!AD109</f>
        <v>0</v>
      </c>
      <c r="AD65" s="184">
        <f>'IS(M)'!AE109</f>
        <v>0</v>
      </c>
      <c r="AE65" s="184">
        <f>'IS(M)'!AF109</f>
        <v>0</v>
      </c>
      <c r="AF65" s="184">
        <f>'IS(M)'!AG109</f>
        <v>0</v>
      </c>
      <c r="AG65" s="184">
        <f>'IS(M)'!AH109</f>
        <v>0</v>
      </c>
      <c r="AH65" s="184">
        <f>'IS(M)'!AI109</f>
        <v>0</v>
      </c>
      <c r="AI65" s="184">
        <f>'IS(M)'!AJ109</f>
        <v>0</v>
      </c>
      <c r="AJ65" s="184">
        <f>'IS(M)'!AK109</f>
        <v>0</v>
      </c>
      <c r="AK65" s="184">
        <f>'IS(M)'!AL109</f>
        <v>0</v>
      </c>
      <c r="AL65" s="184">
        <f>'IS(M)'!AM109</f>
        <v>0</v>
      </c>
      <c r="AM65" s="184">
        <f>'IS(M)'!AN109</f>
        <v>0</v>
      </c>
      <c r="AN65" s="184">
        <f>'IS(M)'!AO109</f>
        <v>0</v>
      </c>
      <c r="AO65" s="184">
        <f>'IS(M)'!AP109</f>
        <v>0</v>
      </c>
      <c r="AP65" s="184">
        <f>'IS(M)'!AQ109</f>
        <v>0</v>
      </c>
      <c r="AQ65" s="184">
        <f>'IS(M)'!AR109</f>
        <v>0</v>
      </c>
      <c r="AR65" s="184">
        <f>'IS(M)'!AS109</f>
        <v>0</v>
      </c>
      <c r="AS65" s="184">
        <f>'IS(M)'!AT109</f>
        <v>0</v>
      </c>
      <c r="AT65" s="184">
        <f>'IS(M)'!AU109</f>
        <v>0</v>
      </c>
      <c r="AU65" s="184">
        <f>'IS(M)'!AV109</f>
        <v>0</v>
      </c>
      <c r="AV65" s="184">
        <f>'IS(M)'!AW109</f>
        <v>0</v>
      </c>
      <c r="AW65" s="184">
        <f>'IS(M)'!AX109</f>
        <v>0</v>
      </c>
      <c r="AX65" s="184">
        <f>'IS(M)'!AY109</f>
        <v>0</v>
      </c>
      <c r="AY65" s="184">
        <f>'IS(M)'!AZ109</f>
        <v>0</v>
      </c>
      <c r="AZ65" s="184">
        <f>'IS(M)'!BA109</f>
        <v>0</v>
      </c>
      <c r="BA65" s="184">
        <f>'IS(M)'!BB109</f>
        <v>0</v>
      </c>
      <c r="BB65" s="184">
        <f>'IS(M)'!BC109</f>
        <v>0</v>
      </c>
      <c r="BC65" s="184">
        <f>'IS(M)'!BD109</f>
        <v>0</v>
      </c>
      <c r="BD65" s="184">
        <f>'IS(M)'!BE109</f>
        <v>0</v>
      </c>
      <c r="BE65" s="184">
        <f>'IS(M)'!BF109</f>
        <v>0</v>
      </c>
      <c r="BF65" s="184">
        <f>'IS(M)'!BG109</f>
        <v>0</v>
      </c>
      <c r="BG65" s="184">
        <f>'IS(M)'!BH109</f>
        <v>0</v>
      </c>
      <c r="BH65" s="184">
        <f>'IS(M)'!BI109</f>
        <v>0</v>
      </c>
      <c r="BI65" s="184">
        <f>'IS(M)'!BJ109</f>
        <v>0</v>
      </c>
      <c r="BJ65" s="184">
        <f>'IS(M)'!BK109</f>
        <v>0</v>
      </c>
      <c r="BK65" s="184">
        <f>'IS(M)'!BL109</f>
        <v>0</v>
      </c>
      <c r="BL65" s="184">
        <f>'IS(M)'!BM109</f>
        <v>0</v>
      </c>
      <c r="BM65" s="184">
        <f>'IS(M)'!BN109</f>
        <v>0</v>
      </c>
      <c r="BN65" s="184">
        <f>'IS(M)'!BO109</f>
        <v>0</v>
      </c>
      <c r="BO65" s="184">
        <f>'IS(M)'!BP109</f>
        <v>0</v>
      </c>
      <c r="BP65" s="184">
        <f>'IS(M)'!BQ109</f>
        <v>0</v>
      </c>
      <c r="BQ65" s="184">
        <f>'IS(M)'!BR109</f>
        <v>0</v>
      </c>
      <c r="BR65" s="184">
        <f>'IS(M)'!BS109</f>
        <v>0</v>
      </c>
      <c r="BS65" s="184">
        <f>'IS(M)'!BT109</f>
        <v>0</v>
      </c>
      <c r="BT65" s="184">
        <f>'IS(M)'!BU109</f>
        <v>0</v>
      </c>
      <c r="BU65" s="184">
        <f>'IS(M)'!BV109</f>
        <v>0</v>
      </c>
      <c r="BV65" s="184">
        <f>'IS(M)'!BW109</f>
        <v>0</v>
      </c>
      <c r="BW65" s="184">
        <f>'IS(M)'!BX109</f>
        <v>0</v>
      </c>
      <c r="BX65" s="184">
        <f>'IS(M)'!BY109</f>
        <v>0</v>
      </c>
      <c r="BY65" s="184">
        <f>'IS(M)'!BZ109</f>
        <v>0</v>
      </c>
      <c r="BZ65" s="184">
        <f>'IS(M)'!CA109</f>
        <v>0</v>
      </c>
      <c r="CA65" s="184">
        <f>'IS(M)'!CB109</f>
        <v>0</v>
      </c>
      <c r="CB65" s="184">
        <f>'IS(M)'!CC109</f>
        <v>0</v>
      </c>
      <c r="CC65" s="184">
        <f>'IS(M)'!CD109</f>
        <v>0</v>
      </c>
      <c r="CD65" s="184">
        <f>'IS(M)'!CE109</f>
        <v>0</v>
      </c>
      <c r="CE65" s="184">
        <f>'IS(M)'!CF109</f>
        <v>0</v>
      </c>
      <c r="CF65" s="184">
        <f>'IS(M)'!CG109</f>
        <v>0</v>
      </c>
      <c r="CG65" s="184">
        <f>'IS(M)'!CH109</f>
        <v>0</v>
      </c>
      <c r="CH65" s="184">
        <f>'IS(M)'!CI109</f>
        <v>0</v>
      </c>
      <c r="CI65" s="184">
        <f>'IS(M)'!CJ109</f>
        <v>0</v>
      </c>
      <c r="CJ65" s="184">
        <f>'IS(M)'!CK109</f>
        <v>0</v>
      </c>
      <c r="CK65" s="184">
        <f>'IS(M)'!CL109</f>
        <v>0</v>
      </c>
      <c r="CL65" s="184">
        <f>'IS(M)'!CM109</f>
        <v>0</v>
      </c>
      <c r="CM65" s="184">
        <f>'IS(M)'!CN109</f>
        <v>0</v>
      </c>
      <c r="CN65" s="184">
        <f>'IS(M)'!CO109</f>
        <v>0</v>
      </c>
      <c r="CO65" s="184">
        <f>'IS(M)'!CP109</f>
        <v>0</v>
      </c>
      <c r="CP65" s="184">
        <f>'IS(M)'!CQ109</f>
        <v>0</v>
      </c>
      <c r="CQ65" s="184">
        <f>'IS(M)'!CR109</f>
        <v>0</v>
      </c>
      <c r="CR65" s="184">
        <f>'IS(M)'!CS109</f>
        <v>0</v>
      </c>
      <c r="CS65" s="184">
        <f>'IS(M)'!CT109</f>
        <v>0</v>
      </c>
      <c r="CT65" s="184">
        <f>'IS(M)'!CU109</f>
        <v>0</v>
      </c>
      <c r="CU65" s="184">
        <f>'IS(M)'!CV109</f>
        <v>0</v>
      </c>
      <c r="CV65" s="184">
        <f>'IS(M)'!CW109</f>
        <v>0</v>
      </c>
      <c r="CW65" s="184">
        <f>'IS(M)'!CX109</f>
        <v>0</v>
      </c>
      <c r="CX65" s="184">
        <f>'IS(M)'!CY109</f>
        <v>0</v>
      </c>
      <c r="CY65" s="184">
        <f>'IS(M)'!CZ109</f>
        <v>0</v>
      </c>
      <c r="CZ65" s="184">
        <f>'IS(M)'!DA109</f>
        <v>0</v>
      </c>
      <c r="DA65" s="184">
        <f>'IS(M)'!DB109</f>
        <v>0</v>
      </c>
      <c r="DB65" s="184">
        <f>'IS(M)'!DC109</f>
        <v>0</v>
      </c>
      <c r="DC65" s="184">
        <f>'IS(M)'!DD109</f>
        <v>0</v>
      </c>
      <c r="DD65" s="184">
        <f>'IS(M)'!DE109</f>
        <v>0</v>
      </c>
      <c r="DE65" s="184">
        <f>'IS(M)'!DF109</f>
        <v>0</v>
      </c>
      <c r="DF65" s="184">
        <f>'IS(M)'!DG109</f>
        <v>0</v>
      </c>
      <c r="DG65" s="184">
        <f>'IS(M)'!DH109</f>
        <v>0</v>
      </c>
      <c r="DH65" s="184">
        <f>'IS(M)'!DI109</f>
        <v>0</v>
      </c>
      <c r="DI65" s="184">
        <f>'IS(M)'!DJ109</f>
        <v>0</v>
      </c>
      <c r="DJ65" s="184">
        <f>'IS(M)'!DK109</f>
        <v>0</v>
      </c>
      <c r="DK65" s="184">
        <f>'IS(M)'!DL109</f>
        <v>0</v>
      </c>
      <c r="DL65" s="184">
        <f>'IS(M)'!DM109</f>
        <v>0</v>
      </c>
      <c r="DM65" s="184">
        <f>'IS(M)'!DN109</f>
        <v>0</v>
      </c>
      <c r="DN65" s="184">
        <f>'IS(M)'!DO109</f>
        <v>0</v>
      </c>
      <c r="DO65" s="184">
        <f>'IS(M)'!DP109</f>
        <v>0</v>
      </c>
      <c r="DP65" s="184">
        <f>'IS(M)'!DQ109</f>
        <v>0</v>
      </c>
      <c r="DQ65" s="184">
        <f>'IS(M)'!DR109</f>
        <v>0</v>
      </c>
      <c r="DR65" s="184">
        <f>'IS(M)'!DS109</f>
        <v>0</v>
      </c>
      <c r="DS65" s="184">
        <f>'IS(M)'!DT109</f>
        <v>0</v>
      </c>
      <c r="DT65" s="184">
        <f>'IS(M)'!DU109</f>
        <v>0</v>
      </c>
      <c r="DU65" s="184">
        <f>'IS(M)'!DV109</f>
        <v>0</v>
      </c>
      <c r="DV65" s="184">
        <f>'IS(M)'!DW109</f>
        <v>0</v>
      </c>
      <c r="DW65" s="184">
        <f>'IS(M)'!DX109</f>
        <v>0</v>
      </c>
      <c r="DX65" s="184">
        <f>'IS(M)'!DY109</f>
        <v>0</v>
      </c>
      <c r="DY65" s="184">
        <f>'IS(M)'!DZ109</f>
        <v>0</v>
      </c>
      <c r="DZ65" s="184">
        <f>'IS(M)'!EA109</f>
        <v>0</v>
      </c>
      <c r="EA65" s="184">
        <f>'IS(M)'!EB109</f>
        <v>0</v>
      </c>
      <c r="EB65" s="184">
        <f>'IS(M)'!EC109</f>
        <v>0</v>
      </c>
      <c r="EC65" s="184">
        <f>'IS(M)'!ED109</f>
        <v>0</v>
      </c>
      <c r="ED65" s="184">
        <f>'IS(M)'!EE109</f>
        <v>0</v>
      </c>
      <c r="EE65" s="184">
        <f>'IS(M)'!EF109</f>
        <v>0</v>
      </c>
      <c r="EF65" s="184">
        <f>'IS(M)'!EG109</f>
        <v>0</v>
      </c>
      <c r="EG65" s="184">
        <f>'IS(M)'!EH109</f>
        <v>0</v>
      </c>
      <c r="EH65" s="184">
        <f>'IS(M)'!EI109</f>
        <v>0</v>
      </c>
      <c r="EI65" s="184">
        <f>'IS(M)'!EJ109</f>
        <v>0</v>
      </c>
      <c r="EJ65" s="184">
        <f>'IS(M)'!EK109</f>
        <v>0</v>
      </c>
      <c r="EK65" s="184">
        <f>'IS(M)'!EL109</f>
        <v>0</v>
      </c>
      <c r="EL65" s="184">
        <f>'IS(M)'!EM109</f>
        <v>0</v>
      </c>
      <c r="EM65" s="184">
        <f>'IS(M)'!EN109</f>
        <v>0</v>
      </c>
      <c r="EN65" s="184">
        <f>'IS(M)'!EO109</f>
        <v>0</v>
      </c>
      <c r="EO65" s="184">
        <f>'IS(M)'!EP109</f>
        <v>0</v>
      </c>
      <c r="EP65" s="184">
        <f>'IS(M)'!EQ109</f>
        <v>0</v>
      </c>
      <c r="EQ65" s="184">
        <f>'IS(M)'!ER109</f>
        <v>0</v>
      </c>
    </row>
    <row r="66" spans="2:147" ht="13.35" customHeight="1">
      <c r="B66" s="218"/>
      <c r="C66" s="163"/>
      <c r="D66" s="885" t="s">
        <v>628</v>
      </c>
      <c r="E66" s="886"/>
      <c r="F66" s="886"/>
      <c r="G66" s="1026"/>
      <c r="H66" s="1027"/>
      <c r="I66" s="1023">
        <f ca="1">IFERROR((IRR($L66:$EQ66,0.01)+1)^12-1,)</f>
        <v>0</v>
      </c>
      <c r="J66" s="888">
        <f t="shared" ca="1" si="247"/>
        <v>0</v>
      </c>
      <c r="K66" s="98"/>
      <c r="L66" s="888">
        <f ca="1">SUM(L61:L64)</f>
        <v>0</v>
      </c>
      <c r="M66" s="888">
        <f t="shared" ref="M66:BX66" ca="1" si="248">SUM(M61:M64)</f>
        <v>0</v>
      </c>
      <c r="N66" s="888">
        <f t="shared" ca="1" si="248"/>
        <v>0</v>
      </c>
      <c r="O66" s="888">
        <f t="shared" ca="1" si="248"/>
        <v>0</v>
      </c>
      <c r="P66" s="888">
        <f t="shared" ca="1" si="248"/>
        <v>0</v>
      </c>
      <c r="Q66" s="888">
        <f t="shared" ca="1" si="248"/>
        <v>0</v>
      </c>
      <c r="R66" s="888">
        <f t="shared" ca="1" si="248"/>
        <v>0</v>
      </c>
      <c r="S66" s="888">
        <f t="shared" ca="1" si="248"/>
        <v>0</v>
      </c>
      <c r="T66" s="888">
        <f t="shared" ca="1" si="248"/>
        <v>0</v>
      </c>
      <c r="U66" s="888">
        <f t="shared" ca="1" si="248"/>
        <v>0</v>
      </c>
      <c r="V66" s="888">
        <f t="shared" ca="1" si="248"/>
        <v>0</v>
      </c>
      <c r="W66" s="888">
        <f t="shared" ca="1" si="248"/>
        <v>0</v>
      </c>
      <c r="X66" s="888">
        <f t="shared" ca="1" si="248"/>
        <v>0</v>
      </c>
      <c r="Y66" s="888">
        <f t="shared" ca="1" si="248"/>
        <v>0</v>
      </c>
      <c r="Z66" s="888">
        <f t="shared" ca="1" si="248"/>
        <v>0</v>
      </c>
      <c r="AA66" s="888">
        <f t="shared" ca="1" si="248"/>
        <v>0</v>
      </c>
      <c r="AB66" s="888">
        <f t="shared" ca="1" si="248"/>
        <v>0</v>
      </c>
      <c r="AC66" s="888">
        <f t="shared" ca="1" si="248"/>
        <v>0</v>
      </c>
      <c r="AD66" s="888">
        <f t="shared" ca="1" si="248"/>
        <v>0</v>
      </c>
      <c r="AE66" s="888">
        <f t="shared" ca="1" si="248"/>
        <v>0</v>
      </c>
      <c r="AF66" s="888">
        <f t="shared" ca="1" si="248"/>
        <v>0</v>
      </c>
      <c r="AG66" s="888">
        <f t="shared" ca="1" si="248"/>
        <v>0</v>
      </c>
      <c r="AH66" s="888">
        <f t="shared" ca="1" si="248"/>
        <v>0</v>
      </c>
      <c r="AI66" s="888">
        <f t="shared" ca="1" si="248"/>
        <v>0</v>
      </c>
      <c r="AJ66" s="888">
        <f t="shared" ca="1" si="248"/>
        <v>0</v>
      </c>
      <c r="AK66" s="888">
        <f t="shared" ca="1" si="248"/>
        <v>0</v>
      </c>
      <c r="AL66" s="888">
        <f t="shared" ca="1" si="248"/>
        <v>0</v>
      </c>
      <c r="AM66" s="888">
        <f t="shared" ca="1" si="248"/>
        <v>0</v>
      </c>
      <c r="AN66" s="888">
        <f t="shared" ca="1" si="248"/>
        <v>0</v>
      </c>
      <c r="AO66" s="888">
        <f t="shared" ca="1" si="248"/>
        <v>0</v>
      </c>
      <c r="AP66" s="888">
        <f t="shared" ca="1" si="248"/>
        <v>0</v>
      </c>
      <c r="AQ66" s="888">
        <f t="shared" ca="1" si="248"/>
        <v>0</v>
      </c>
      <c r="AR66" s="888">
        <f t="shared" ca="1" si="248"/>
        <v>0</v>
      </c>
      <c r="AS66" s="888">
        <f t="shared" ca="1" si="248"/>
        <v>0</v>
      </c>
      <c r="AT66" s="888">
        <f t="shared" ca="1" si="248"/>
        <v>0</v>
      </c>
      <c r="AU66" s="888">
        <f t="shared" ca="1" si="248"/>
        <v>0</v>
      </c>
      <c r="AV66" s="888">
        <f t="shared" ca="1" si="248"/>
        <v>0</v>
      </c>
      <c r="AW66" s="888">
        <f t="shared" ca="1" si="248"/>
        <v>0</v>
      </c>
      <c r="AX66" s="888">
        <f t="shared" ca="1" si="248"/>
        <v>0</v>
      </c>
      <c r="AY66" s="888">
        <f t="shared" ca="1" si="248"/>
        <v>0</v>
      </c>
      <c r="AZ66" s="888">
        <f t="shared" ca="1" si="248"/>
        <v>0</v>
      </c>
      <c r="BA66" s="888">
        <f t="shared" ca="1" si="248"/>
        <v>0</v>
      </c>
      <c r="BB66" s="888">
        <f t="shared" ca="1" si="248"/>
        <v>0</v>
      </c>
      <c r="BC66" s="888">
        <f t="shared" ca="1" si="248"/>
        <v>0</v>
      </c>
      <c r="BD66" s="888">
        <f t="shared" ca="1" si="248"/>
        <v>0</v>
      </c>
      <c r="BE66" s="888">
        <f t="shared" ca="1" si="248"/>
        <v>0</v>
      </c>
      <c r="BF66" s="888">
        <f t="shared" ca="1" si="248"/>
        <v>0</v>
      </c>
      <c r="BG66" s="888">
        <f t="shared" ca="1" si="248"/>
        <v>0</v>
      </c>
      <c r="BH66" s="888">
        <f t="shared" ca="1" si="248"/>
        <v>0</v>
      </c>
      <c r="BI66" s="888">
        <f t="shared" ca="1" si="248"/>
        <v>0</v>
      </c>
      <c r="BJ66" s="888">
        <f t="shared" ca="1" si="248"/>
        <v>0</v>
      </c>
      <c r="BK66" s="888">
        <f t="shared" ca="1" si="248"/>
        <v>0</v>
      </c>
      <c r="BL66" s="888">
        <f t="shared" ca="1" si="248"/>
        <v>0</v>
      </c>
      <c r="BM66" s="888">
        <f t="shared" ca="1" si="248"/>
        <v>0</v>
      </c>
      <c r="BN66" s="888">
        <f t="shared" ca="1" si="248"/>
        <v>0</v>
      </c>
      <c r="BO66" s="888">
        <f t="shared" ca="1" si="248"/>
        <v>0</v>
      </c>
      <c r="BP66" s="888">
        <f t="shared" ca="1" si="248"/>
        <v>0</v>
      </c>
      <c r="BQ66" s="888">
        <f t="shared" ca="1" si="248"/>
        <v>0</v>
      </c>
      <c r="BR66" s="888">
        <f t="shared" ca="1" si="248"/>
        <v>0</v>
      </c>
      <c r="BS66" s="888">
        <f t="shared" ca="1" si="248"/>
        <v>0</v>
      </c>
      <c r="BT66" s="888">
        <f t="shared" ca="1" si="248"/>
        <v>0</v>
      </c>
      <c r="BU66" s="888">
        <f t="shared" ca="1" si="248"/>
        <v>0</v>
      </c>
      <c r="BV66" s="888">
        <f t="shared" ca="1" si="248"/>
        <v>0</v>
      </c>
      <c r="BW66" s="888">
        <f t="shared" ca="1" si="248"/>
        <v>0</v>
      </c>
      <c r="BX66" s="888">
        <f t="shared" ca="1" si="248"/>
        <v>0</v>
      </c>
      <c r="BY66" s="888">
        <f t="shared" ref="BY66:DS66" ca="1" si="249">SUM(BY61:BY64)</f>
        <v>0</v>
      </c>
      <c r="BZ66" s="888">
        <f t="shared" ca="1" si="249"/>
        <v>0</v>
      </c>
      <c r="CA66" s="888">
        <f t="shared" ca="1" si="249"/>
        <v>0</v>
      </c>
      <c r="CB66" s="888">
        <f t="shared" ca="1" si="249"/>
        <v>0</v>
      </c>
      <c r="CC66" s="888">
        <f t="shared" ca="1" si="249"/>
        <v>0</v>
      </c>
      <c r="CD66" s="888">
        <f t="shared" ca="1" si="249"/>
        <v>0</v>
      </c>
      <c r="CE66" s="888">
        <f t="shared" ca="1" si="249"/>
        <v>0</v>
      </c>
      <c r="CF66" s="888">
        <f t="shared" ca="1" si="249"/>
        <v>0</v>
      </c>
      <c r="CG66" s="888">
        <f t="shared" ca="1" si="249"/>
        <v>0</v>
      </c>
      <c r="CH66" s="888">
        <f t="shared" ca="1" si="249"/>
        <v>0</v>
      </c>
      <c r="CI66" s="888">
        <f t="shared" ca="1" si="249"/>
        <v>0</v>
      </c>
      <c r="CJ66" s="888">
        <f t="shared" ca="1" si="249"/>
        <v>0</v>
      </c>
      <c r="CK66" s="888">
        <f t="shared" ca="1" si="249"/>
        <v>0</v>
      </c>
      <c r="CL66" s="888">
        <f t="shared" ca="1" si="249"/>
        <v>0</v>
      </c>
      <c r="CM66" s="888">
        <f t="shared" ca="1" si="249"/>
        <v>0</v>
      </c>
      <c r="CN66" s="888">
        <f t="shared" ca="1" si="249"/>
        <v>0</v>
      </c>
      <c r="CO66" s="888">
        <f t="shared" ca="1" si="249"/>
        <v>0</v>
      </c>
      <c r="CP66" s="888">
        <f t="shared" ca="1" si="249"/>
        <v>0</v>
      </c>
      <c r="CQ66" s="888">
        <f t="shared" ca="1" si="249"/>
        <v>0</v>
      </c>
      <c r="CR66" s="888">
        <f t="shared" ca="1" si="249"/>
        <v>0</v>
      </c>
      <c r="CS66" s="888">
        <f t="shared" ca="1" si="249"/>
        <v>0</v>
      </c>
      <c r="CT66" s="888">
        <f t="shared" ca="1" si="249"/>
        <v>0</v>
      </c>
      <c r="CU66" s="888">
        <f t="shared" ca="1" si="249"/>
        <v>0</v>
      </c>
      <c r="CV66" s="888">
        <f t="shared" ca="1" si="249"/>
        <v>0</v>
      </c>
      <c r="CW66" s="888">
        <f t="shared" ca="1" si="249"/>
        <v>0</v>
      </c>
      <c r="CX66" s="888">
        <f t="shared" ca="1" si="249"/>
        <v>0</v>
      </c>
      <c r="CY66" s="888">
        <f t="shared" ca="1" si="249"/>
        <v>0</v>
      </c>
      <c r="CZ66" s="888">
        <f t="shared" ca="1" si="249"/>
        <v>0</v>
      </c>
      <c r="DA66" s="888">
        <f t="shared" ca="1" si="249"/>
        <v>0</v>
      </c>
      <c r="DB66" s="888">
        <f t="shared" ca="1" si="249"/>
        <v>0</v>
      </c>
      <c r="DC66" s="888">
        <f t="shared" ca="1" si="249"/>
        <v>0</v>
      </c>
      <c r="DD66" s="888">
        <f t="shared" ca="1" si="249"/>
        <v>0</v>
      </c>
      <c r="DE66" s="888">
        <f t="shared" ca="1" si="249"/>
        <v>0</v>
      </c>
      <c r="DF66" s="888">
        <f t="shared" ca="1" si="249"/>
        <v>0</v>
      </c>
      <c r="DG66" s="888">
        <f t="shared" ca="1" si="249"/>
        <v>0</v>
      </c>
      <c r="DH66" s="888">
        <f t="shared" ca="1" si="249"/>
        <v>0</v>
      </c>
      <c r="DI66" s="888">
        <f t="shared" ca="1" si="249"/>
        <v>0</v>
      </c>
      <c r="DJ66" s="888">
        <f t="shared" ca="1" si="249"/>
        <v>0</v>
      </c>
      <c r="DK66" s="888">
        <f t="shared" ca="1" si="249"/>
        <v>0</v>
      </c>
      <c r="DL66" s="888">
        <f t="shared" ca="1" si="249"/>
        <v>0</v>
      </c>
      <c r="DM66" s="888">
        <f t="shared" ca="1" si="249"/>
        <v>0</v>
      </c>
      <c r="DN66" s="888">
        <f t="shared" ca="1" si="249"/>
        <v>0</v>
      </c>
      <c r="DO66" s="888">
        <f t="shared" ca="1" si="249"/>
        <v>0</v>
      </c>
      <c r="DP66" s="888">
        <f t="shared" ca="1" si="249"/>
        <v>0</v>
      </c>
      <c r="DQ66" s="888">
        <f t="shared" ca="1" si="249"/>
        <v>0</v>
      </c>
      <c r="DR66" s="888">
        <f t="shared" ca="1" si="249"/>
        <v>0</v>
      </c>
      <c r="DS66" s="888">
        <f t="shared" ca="1" si="249"/>
        <v>0</v>
      </c>
      <c r="DT66" s="888">
        <f t="shared" ref="DT66:EM66" ca="1" si="250">SUM(DT61:DT64)</f>
        <v>0</v>
      </c>
      <c r="DU66" s="888">
        <f t="shared" ca="1" si="250"/>
        <v>0</v>
      </c>
      <c r="DV66" s="888">
        <f t="shared" ca="1" si="250"/>
        <v>0</v>
      </c>
      <c r="DW66" s="888">
        <f t="shared" ca="1" si="250"/>
        <v>0</v>
      </c>
      <c r="DX66" s="888">
        <f t="shared" ca="1" si="250"/>
        <v>0</v>
      </c>
      <c r="DY66" s="888">
        <f t="shared" ca="1" si="250"/>
        <v>0</v>
      </c>
      <c r="DZ66" s="888">
        <f t="shared" ca="1" si="250"/>
        <v>0</v>
      </c>
      <c r="EA66" s="888">
        <f t="shared" ca="1" si="250"/>
        <v>0</v>
      </c>
      <c r="EB66" s="888">
        <f t="shared" ca="1" si="250"/>
        <v>0</v>
      </c>
      <c r="EC66" s="888">
        <f t="shared" ca="1" si="250"/>
        <v>0</v>
      </c>
      <c r="ED66" s="888">
        <f t="shared" ca="1" si="250"/>
        <v>0</v>
      </c>
      <c r="EE66" s="888">
        <f t="shared" ca="1" si="250"/>
        <v>0</v>
      </c>
      <c r="EF66" s="888">
        <f t="shared" ca="1" si="250"/>
        <v>0</v>
      </c>
      <c r="EG66" s="888">
        <f t="shared" ca="1" si="250"/>
        <v>0</v>
      </c>
      <c r="EH66" s="888">
        <f t="shared" ca="1" si="250"/>
        <v>0</v>
      </c>
      <c r="EI66" s="888">
        <f t="shared" ca="1" si="250"/>
        <v>0</v>
      </c>
      <c r="EJ66" s="888">
        <f t="shared" ca="1" si="250"/>
        <v>0</v>
      </c>
      <c r="EK66" s="888">
        <f t="shared" ca="1" si="250"/>
        <v>0</v>
      </c>
      <c r="EL66" s="888">
        <f t="shared" ca="1" si="250"/>
        <v>0</v>
      </c>
      <c r="EM66" s="888">
        <f t="shared" ca="1" si="250"/>
        <v>0</v>
      </c>
      <c r="EN66" s="888">
        <f ca="1">SUM(EN61:EN64)</f>
        <v>0</v>
      </c>
      <c r="EO66" s="888">
        <f ca="1">SUM(EO61:EO64)</f>
        <v>0</v>
      </c>
      <c r="EP66" s="888">
        <f ca="1">SUM(EP61:EP64)</f>
        <v>0</v>
      </c>
      <c r="EQ66" s="888">
        <f ca="1">SUM(EQ61:EQ64)</f>
        <v>0</v>
      </c>
    </row>
    <row r="67" spans="2:147" ht="13.35" customHeight="1">
      <c r="B67" s="244"/>
      <c r="C67" s="178"/>
      <c r="D67" s="179" t="s">
        <v>629</v>
      </c>
      <c r="E67" s="180"/>
      <c r="F67" s="180"/>
      <c r="G67" s="1028"/>
      <c r="H67" s="1029"/>
      <c r="I67" s="1024">
        <f ca="1">IFERROR((IRR($L67:$EQ67,0.01)+1)^12-1,)</f>
        <v>0</v>
      </c>
      <c r="J67" s="184">
        <f t="shared" ca="1" si="247"/>
        <v>0</v>
      </c>
      <c r="K67" s="98"/>
      <c r="L67" s="184">
        <f ca="1">SUM(L61:L65)</f>
        <v>0</v>
      </c>
      <c r="M67" s="184">
        <f t="shared" ref="M67:BX67" ca="1" si="251">SUM(M61:M65)</f>
        <v>0</v>
      </c>
      <c r="N67" s="184">
        <f t="shared" ca="1" si="251"/>
        <v>0</v>
      </c>
      <c r="O67" s="184">
        <f t="shared" ca="1" si="251"/>
        <v>0</v>
      </c>
      <c r="P67" s="184">
        <f t="shared" ca="1" si="251"/>
        <v>0</v>
      </c>
      <c r="Q67" s="184">
        <f t="shared" ca="1" si="251"/>
        <v>0</v>
      </c>
      <c r="R67" s="184">
        <f t="shared" ca="1" si="251"/>
        <v>0</v>
      </c>
      <c r="S67" s="184">
        <f t="shared" ca="1" si="251"/>
        <v>0</v>
      </c>
      <c r="T67" s="184">
        <f t="shared" ca="1" si="251"/>
        <v>0</v>
      </c>
      <c r="U67" s="184">
        <f t="shared" ca="1" si="251"/>
        <v>0</v>
      </c>
      <c r="V67" s="184">
        <f t="shared" ca="1" si="251"/>
        <v>0</v>
      </c>
      <c r="W67" s="184">
        <f t="shared" ca="1" si="251"/>
        <v>0</v>
      </c>
      <c r="X67" s="184">
        <f t="shared" ca="1" si="251"/>
        <v>0</v>
      </c>
      <c r="Y67" s="184">
        <f t="shared" ca="1" si="251"/>
        <v>0</v>
      </c>
      <c r="Z67" s="184">
        <f t="shared" ca="1" si="251"/>
        <v>0</v>
      </c>
      <c r="AA67" s="184">
        <f t="shared" ca="1" si="251"/>
        <v>0</v>
      </c>
      <c r="AB67" s="184">
        <f t="shared" ca="1" si="251"/>
        <v>0</v>
      </c>
      <c r="AC67" s="184">
        <f t="shared" ca="1" si="251"/>
        <v>0</v>
      </c>
      <c r="AD67" s="184">
        <f t="shared" ca="1" si="251"/>
        <v>0</v>
      </c>
      <c r="AE67" s="184">
        <f t="shared" ca="1" si="251"/>
        <v>0</v>
      </c>
      <c r="AF67" s="184">
        <f t="shared" ca="1" si="251"/>
        <v>0</v>
      </c>
      <c r="AG67" s="184">
        <f t="shared" ca="1" si="251"/>
        <v>0</v>
      </c>
      <c r="AH67" s="184">
        <f t="shared" ca="1" si="251"/>
        <v>0</v>
      </c>
      <c r="AI67" s="184">
        <f t="shared" ca="1" si="251"/>
        <v>0</v>
      </c>
      <c r="AJ67" s="184">
        <f t="shared" ca="1" si="251"/>
        <v>0</v>
      </c>
      <c r="AK67" s="184">
        <f t="shared" ca="1" si="251"/>
        <v>0</v>
      </c>
      <c r="AL67" s="184">
        <f t="shared" ca="1" si="251"/>
        <v>0</v>
      </c>
      <c r="AM67" s="184">
        <f t="shared" ca="1" si="251"/>
        <v>0</v>
      </c>
      <c r="AN67" s="184">
        <f t="shared" ca="1" si="251"/>
        <v>0</v>
      </c>
      <c r="AO67" s="184">
        <f t="shared" ca="1" si="251"/>
        <v>0</v>
      </c>
      <c r="AP67" s="184">
        <f t="shared" ca="1" si="251"/>
        <v>0</v>
      </c>
      <c r="AQ67" s="184">
        <f t="shared" ca="1" si="251"/>
        <v>0</v>
      </c>
      <c r="AR67" s="184">
        <f t="shared" ca="1" si="251"/>
        <v>0</v>
      </c>
      <c r="AS67" s="184">
        <f t="shared" ca="1" si="251"/>
        <v>0</v>
      </c>
      <c r="AT67" s="184">
        <f t="shared" ca="1" si="251"/>
        <v>0</v>
      </c>
      <c r="AU67" s="184">
        <f t="shared" ca="1" si="251"/>
        <v>0</v>
      </c>
      <c r="AV67" s="184">
        <f t="shared" ca="1" si="251"/>
        <v>0</v>
      </c>
      <c r="AW67" s="184">
        <f t="shared" ca="1" si="251"/>
        <v>0</v>
      </c>
      <c r="AX67" s="184">
        <f t="shared" ca="1" si="251"/>
        <v>0</v>
      </c>
      <c r="AY67" s="184">
        <f t="shared" ca="1" si="251"/>
        <v>0</v>
      </c>
      <c r="AZ67" s="184">
        <f t="shared" ca="1" si="251"/>
        <v>0</v>
      </c>
      <c r="BA67" s="184">
        <f t="shared" ca="1" si="251"/>
        <v>0</v>
      </c>
      <c r="BB67" s="184">
        <f t="shared" ca="1" si="251"/>
        <v>0</v>
      </c>
      <c r="BC67" s="184">
        <f t="shared" ca="1" si="251"/>
        <v>0</v>
      </c>
      <c r="BD67" s="184">
        <f t="shared" ca="1" si="251"/>
        <v>0</v>
      </c>
      <c r="BE67" s="184">
        <f t="shared" ca="1" si="251"/>
        <v>0</v>
      </c>
      <c r="BF67" s="184">
        <f t="shared" ca="1" si="251"/>
        <v>0</v>
      </c>
      <c r="BG67" s="184">
        <f t="shared" ca="1" si="251"/>
        <v>0</v>
      </c>
      <c r="BH67" s="184">
        <f t="shared" ca="1" si="251"/>
        <v>0</v>
      </c>
      <c r="BI67" s="184">
        <f t="shared" ca="1" si="251"/>
        <v>0</v>
      </c>
      <c r="BJ67" s="184">
        <f t="shared" ca="1" si="251"/>
        <v>0</v>
      </c>
      <c r="BK67" s="184">
        <f t="shared" ca="1" si="251"/>
        <v>0</v>
      </c>
      <c r="BL67" s="184">
        <f t="shared" ca="1" si="251"/>
        <v>0</v>
      </c>
      <c r="BM67" s="184">
        <f t="shared" ca="1" si="251"/>
        <v>0</v>
      </c>
      <c r="BN67" s="184">
        <f t="shared" ca="1" si="251"/>
        <v>0</v>
      </c>
      <c r="BO67" s="184">
        <f t="shared" ca="1" si="251"/>
        <v>0</v>
      </c>
      <c r="BP67" s="184">
        <f t="shared" ca="1" si="251"/>
        <v>0</v>
      </c>
      <c r="BQ67" s="184">
        <f t="shared" ca="1" si="251"/>
        <v>0</v>
      </c>
      <c r="BR67" s="184">
        <f t="shared" ca="1" si="251"/>
        <v>0</v>
      </c>
      <c r="BS67" s="184">
        <f t="shared" ca="1" si="251"/>
        <v>0</v>
      </c>
      <c r="BT67" s="184">
        <f t="shared" ca="1" si="251"/>
        <v>0</v>
      </c>
      <c r="BU67" s="184">
        <f t="shared" ca="1" si="251"/>
        <v>0</v>
      </c>
      <c r="BV67" s="184">
        <f t="shared" ca="1" si="251"/>
        <v>0</v>
      </c>
      <c r="BW67" s="184">
        <f t="shared" ca="1" si="251"/>
        <v>0</v>
      </c>
      <c r="BX67" s="184">
        <f t="shared" ca="1" si="251"/>
        <v>0</v>
      </c>
      <c r="BY67" s="184">
        <f t="shared" ref="BY67:DS67" ca="1" si="252">SUM(BY61:BY65)</f>
        <v>0</v>
      </c>
      <c r="BZ67" s="184">
        <f t="shared" ca="1" si="252"/>
        <v>0</v>
      </c>
      <c r="CA67" s="184">
        <f t="shared" ca="1" si="252"/>
        <v>0</v>
      </c>
      <c r="CB67" s="184">
        <f t="shared" ca="1" si="252"/>
        <v>0</v>
      </c>
      <c r="CC67" s="184">
        <f t="shared" ca="1" si="252"/>
        <v>0</v>
      </c>
      <c r="CD67" s="184">
        <f t="shared" ca="1" si="252"/>
        <v>0</v>
      </c>
      <c r="CE67" s="184">
        <f t="shared" ca="1" si="252"/>
        <v>0</v>
      </c>
      <c r="CF67" s="184">
        <f t="shared" ca="1" si="252"/>
        <v>0</v>
      </c>
      <c r="CG67" s="184">
        <f t="shared" ca="1" si="252"/>
        <v>0</v>
      </c>
      <c r="CH67" s="184">
        <f t="shared" ca="1" si="252"/>
        <v>0</v>
      </c>
      <c r="CI67" s="184">
        <f t="shared" ca="1" si="252"/>
        <v>0</v>
      </c>
      <c r="CJ67" s="184">
        <f t="shared" ca="1" si="252"/>
        <v>0</v>
      </c>
      <c r="CK67" s="184">
        <f t="shared" ca="1" si="252"/>
        <v>0</v>
      </c>
      <c r="CL67" s="184">
        <f t="shared" ca="1" si="252"/>
        <v>0</v>
      </c>
      <c r="CM67" s="184">
        <f t="shared" ca="1" si="252"/>
        <v>0</v>
      </c>
      <c r="CN67" s="184">
        <f t="shared" ca="1" si="252"/>
        <v>0</v>
      </c>
      <c r="CO67" s="184">
        <f t="shared" ca="1" si="252"/>
        <v>0</v>
      </c>
      <c r="CP67" s="184">
        <f t="shared" ca="1" si="252"/>
        <v>0</v>
      </c>
      <c r="CQ67" s="184">
        <f t="shared" ca="1" si="252"/>
        <v>0</v>
      </c>
      <c r="CR67" s="184">
        <f t="shared" ca="1" si="252"/>
        <v>0</v>
      </c>
      <c r="CS67" s="184">
        <f t="shared" ca="1" si="252"/>
        <v>0</v>
      </c>
      <c r="CT67" s="184">
        <f t="shared" ca="1" si="252"/>
        <v>0</v>
      </c>
      <c r="CU67" s="184">
        <f t="shared" ca="1" si="252"/>
        <v>0</v>
      </c>
      <c r="CV67" s="184">
        <f t="shared" ca="1" si="252"/>
        <v>0</v>
      </c>
      <c r="CW67" s="184">
        <f t="shared" ca="1" si="252"/>
        <v>0</v>
      </c>
      <c r="CX67" s="184">
        <f t="shared" ca="1" si="252"/>
        <v>0</v>
      </c>
      <c r="CY67" s="184">
        <f t="shared" ca="1" si="252"/>
        <v>0</v>
      </c>
      <c r="CZ67" s="184">
        <f t="shared" ca="1" si="252"/>
        <v>0</v>
      </c>
      <c r="DA67" s="184">
        <f t="shared" ca="1" si="252"/>
        <v>0</v>
      </c>
      <c r="DB67" s="184">
        <f t="shared" ca="1" si="252"/>
        <v>0</v>
      </c>
      <c r="DC67" s="184">
        <f t="shared" ca="1" si="252"/>
        <v>0</v>
      </c>
      <c r="DD67" s="184">
        <f t="shared" ca="1" si="252"/>
        <v>0</v>
      </c>
      <c r="DE67" s="184">
        <f t="shared" ca="1" si="252"/>
        <v>0</v>
      </c>
      <c r="DF67" s="184">
        <f t="shared" ca="1" si="252"/>
        <v>0</v>
      </c>
      <c r="DG67" s="184">
        <f t="shared" ca="1" si="252"/>
        <v>0</v>
      </c>
      <c r="DH67" s="184">
        <f t="shared" ca="1" si="252"/>
        <v>0</v>
      </c>
      <c r="DI67" s="184">
        <f t="shared" ca="1" si="252"/>
        <v>0</v>
      </c>
      <c r="DJ67" s="184">
        <f t="shared" ca="1" si="252"/>
        <v>0</v>
      </c>
      <c r="DK67" s="184">
        <f t="shared" ca="1" si="252"/>
        <v>0</v>
      </c>
      <c r="DL67" s="184">
        <f t="shared" ca="1" si="252"/>
        <v>0</v>
      </c>
      <c r="DM67" s="184">
        <f t="shared" ca="1" si="252"/>
        <v>0</v>
      </c>
      <c r="DN67" s="184">
        <f t="shared" ca="1" si="252"/>
        <v>0</v>
      </c>
      <c r="DO67" s="184">
        <f t="shared" ca="1" si="252"/>
        <v>0</v>
      </c>
      <c r="DP67" s="184">
        <f t="shared" ca="1" si="252"/>
        <v>0</v>
      </c>
      <c r="DQ67" s="184">
        <f t="shared" ca="1" si="252"/>
        <v>0</v>
      </c>
      <c r="DR67" s="184">
        <f t="shared" ca="1" si="252"/>
        <v>0</v>
      </c>
      <c r="DS67" s="184">
        <f t="shared" ca="1" si="252"/>
        <v>0</v>
      </c>
      <c r="DT67" s="184">
        <f t="shared" ref="DT67:EM67" ca="1" si="253">SUM(DT61:DT65)</f>
        <v>0</v>
      </c>
      <c r="DU67" s="184">
        <f t="shared" ca="1" si="253"/>
        <v>0</v>
      </c>
      <c r="DV67" s="184">
        <f t="shared" ca="1" si="253"/>
        <v>0</v>
      </c>
      <c r="DW67" s="184">
        <f t="shared" ca="1" si="253"/>
        <v>0</v>
      </c>
      <c r="DX67" s="184">
        <f t="shared" ca="1" si="253"/>
        <v>0</v>
      </c>
      <c r="DY67" s="184">
        <f t="shared" ca="1" si="253"/>
        <v>0</v>
      </c>
      <c r="DZ67" s="184">
        <f t="shared" ca="1" si="253"/>
        <v>0</v>
      </c>
      <c r="EA67" s="184">
        <f t="shared" ca="1" si="253"/>
        <v>0</v>
      </c>
      <c r="EB67" s="184">
        <f t="shared" ca="1" si="253"/>
        <v>0</v>
      </c>
      <c r="EC67" s="184">
        <f t="shared" ca="1" si="253"/>
        <v>0</v>
      </c>
      <c r="ED67" s="184">
        <f t="shared" ca="1" si="253"/>
        <v>0</v>
      </c>
      <c r="EE67" s="184">
        <f t="shared" ca="1" si="253"/>
        <v>0</v>
      </c>
      <c r="EF67" s="184">
        <f t="shared" ca="1" si="253"/>
        <v>0</v>
      </c>
      <c r="EG67" s="184">
        <f t="shared" ca="1" si="253"/>
        <v>0</v>
      </c>
      <c r="EH67" s="184">
        <f t="shared" ca="1" si="253"/>
        <v>0</v>
      </c>
      <c r="EI67" s="184">
        <f t="shared" ca="1" si="253"/>
        <v>0</v>
      </c>
      <c r="EJ67" s="184">
        <f t="shared" ca="1" si="253"/>
        <v>0</v>
      </c>
      <c r="EK67" s="184">
        <f t="shared" ca="1" si="253"/>
        <v>0</v>
      </c>
      <c r="EL67" s="184">
        <f t="shared" ca="1" si="253"/>
        <v>0</v>
      </c>
      <c r="EM67" s="184">
        <f t="shared" ca="1" si="253"/>
        <v>0</v>
      </c>
      <c r="EN67" s="184">
        <f ca="1">SUM(EN61:EN65)</f>
        <v>0</v>
      </c>
      <c r="EO67" s="184">
        <f ca="1">SUM(EO61:EO65)</f>
        <v>0</v>
      </c>
      <c r="EP67" s="184">
        <f ca="1">SUM(EP61:EP65)</f>
        <v>0</v>
      </c>
      <c r="EQ67" s="184">
        <f ca="1">SUM(EQ61:EQ65)</f>
        <v>0</v>
      </c>
    </row>
    <row r="71" spans="2:147" ht="13.35" customHeight="1">
      <c r="Z71" s="154" t="s">
        <v>1120</v>
      </c>
    </row>
    <row r="72" spans="2:147" ht="13.35" customHeight="1">
      <c r="L72" s="1012" t="s">
        <v>594</v>
      </c>
      <c r="M72" s="259"/>
      <c r="N72" s="259"/>
      <c r="O72" s="259"/>
      <c r="P72" s="259"/>
      <c r="Q72" s="259"/>
      <c r="R72" s="259"/>
      <c r="S72" s="259"/>
      <c r="T72" s="259"/>
      <c r="U72" s="259"/>
      <c r="X72" s="883"/>
      <c r="Y72" s="13"/>
    </row>
    <row r="73" spans="2:147" ht="13.35" customHeight="1">
      <c r="L73" s="1012"/>
      <c r="M73" s="259"/>
      <c r="N73" s="259"/>
      <c r="O73" s="259"/>
      <c r="P73" s="259"/>
      <c r="Q73" s="259"/>
      <c r="R73" s="259"/>
      <c r="S73" s="259"/>
      <c r="T73" s="259"/>
      <c r="U73" s="259"/>
      <c r="X73" s="883"/>
      <c r="Y73" s="13"/>
    </row>
    <row r="74" spans="2:147" ht="13.35" customHeight="1">
      <c r="L74" s="1012"/>
      <c r="M74" s="259"/>
      <c r="N74" s="259"/>
      <c r="O74" s="259"/>
      <c r="P74" s="259"/>
      <c r="Q74" s="259"/>
      <c r="R74" s="259"/>
      <c r="S74" s="259"/>
      <c r="T74" s="259"/>
      <c r="U74" s="259"/>
      <c r="V74" s="13"/>
      <c r="W74" s="259"/>
      <c r="X74" s="259"/>
      <c r="Y74" s="259"/>
    </row>
    <row r="75" spans="2:147" ht="13.35" customHeight="1">
      <c r="L75" s="6" t="s">
        <v>274</v>
      </c>
      <c r="M75" s="7"/>
      <c r="N75" s="700" t="s">
        <v>1081</v>
      </c>
      <c r="O75" s="700"/>
      <c r="P75" s="700"/>
      <c r="Q75" s="700"/>
      <c r="R75" s="1813" t="s">
        <v>1082</v>
      </c>
      <c r="S75" s="1813"/>
      <c r="T75" s="1813"/>
      <c r="U75" s="1813"/>
      <c r="V75" s="942" t="s">
        <v>19</v>
      </c>
      <c r="W75" s="943"/>
      <c r="X75" s="943"/>
      <c r="Y75" s="944"/>
      <c r="Z75" s="1149" t="s">
        <v>651</v>
      </c>
      <c r="AA75" s="1150"/>
      <c r="AB75" s="1150"/>
      <c r="AC75" s="1151"/>
      <c r="AF75" s="2785" t="s">
        <v>619</v>
      </c>
      <c r="AG75" s="2786" t="s">
        <v>259</v>
      </c>
      <c r="AH75" s="2786" t="s">
        <v>261</v>
      </c>
      <c r="AI75" s="2786" t="s">
        <v>262</v>
      </c>
      <c r="AJ75" s="2786" t="s">
        <v>104</v>
      </c>
      <c r="AK75" s="2787" t="s">
        <v>263</v>
      </c>
    </row>
    <row r="76" spans="2:147" ht="13.35" customHeight="1">
      <c r="L76" s="101" t="s">
        <v>24</v>
      </c>
      <c r="M76" s="18"/>
      <c r="N76" s="285" t="s">
        <v>259</v>
      </c>
      <c r="O76" s="16" t="s">
        <v>261</v>
      </c>
      <c r="P76" s="16" t="s">
        <v>262</v>
      </c>
      <c r="Q76" s="16" t="s">
        <v>263</v>
      </c>
      <c r="R76" s="285" t="s">
        <v>259</v>
      </c>
      <c r="S76" s="16" t="s">
        <v>261</v>
      </c>
      <c r="T76" s="16" t="s">
        <v>262</v>
      </c>
      <c r="U76" s="16" t="s">
        <v>263</v>
      </c>
      <c r="V76" s="945" t="s">
        <v>260</v>
      </c>
      <c r="W76" s="18" t="s">
        <v>261</v>
      </c>
      <c r="X76" s="18" t="s">
        <v>262</v>
      </c>
      <c r="Y76" s="946" t="s">
        <v>263</v>
      </c>
      <c r="Z76" s="945" t="s">
        <v>259</v>
      </c>
      <c r="AA76" s="18" t="s">
        <v>261</v>
      </c>
      <c r="AB76" s="18" t="s">
        <v>262</v>
      </c>
      <c r="AC76" s="946" t="s">
        <v>263</v>
      </c>
      <c r="AF76" s="2788">
        <v>1</v>
      </c>
      <c r="AG76" s="2789"/>
      <c r="AH76" s="2789"/>
      <c r="AI76" s="2789"/>
      <c r="AJ76" s="2789"/>
      <c r="AK76" s="2790"/>
    </row>
    <row r="77" spans="2:147" ht="13.35" customHeight="1">
      <c r="L77" s="105"/>
      <c r="M77" s="267">
        <v>0</v>
      </c>
      <c r="N77" s="934">
        <f>IFERROR(SUMIF('Sell-down'!$L$10:$EQ$10,$M77,'Sell-down'!$L$21:$EQ$21)/(COUNTIF('Sell-down'!$L$10:$EQ$10,'Sell-down'!$M77)),)</f>
        <v>0</v>
      </c>
      <c r="O77" s="935">
        <f ca="1">SUMIF('Sell-down'!$L$10:$EQ$10,$M77,'Sell-down'!$L$17:$EQ$17)</f>
        <v>0</v>
      </c>
      <c r="P77" s="935">
        <f>SUMIF('Sell-down'!$L$10:$EQ$10,$M77,'Sell-down'!$L$18:$EQ$18)</f>
        <v>0</v>
      </c>
      <c r="Q77" s="930"/>
      <c r="R77" s="934">
        <f>IFERROR(SUMIF('Sell-down'!$L$10:$EQ$10,$M77,$L$32:$EQ$32)/(COUNTIF('Sell-down'!$L$10:$EQ$10,'Sell-down'!$M77)),)</f>
        <v>0</v>
      </c>
      <c r="S77" s="935">
        <f>SUMIF('Sell-down'!$L$10:$EQ$10,$M77,$L$28:$EQ$28)</f>
        <v>0</v>
      </c>
      <c r="T77" s="935">
        <f>SUMIF('Sell-down'!$L$10:$EQ$10,$M77,$L$29:$EQ$29)</f>
        <v>0</v>
      </c>
      <c r="U77" s="930"/>
      <c r="V77" s="947">
        <f>IFERROR(SUMIF('Sell-down'!$L$10:$EQ$10,$M77,'Sell-down'!$L$53:$EQ$53)/(COUNTIF('Sell-down'!$L$10:$EQ$10,'Sell-down'!$M77)),)</f>
        <v>0</v>
      </c>
      <c r="W77" s="935">
        <f ca="1">SUMIF('Sell-down'!$L$10:$EQ$10,$M77,'Sell-down'!$L$49:$EQ$49)</f>
        <v>0</v>
      </c>
      <c r="X77" s="935">
        <f>SUMIF('Sell-down'!$L$10:$EQ$10,$M77,'Sell-down'!$L$50:$EQ$50)</f>
        <v>0</v>
      </c>
      <c r="Y77" s="106"/>
      <c r="Z77" s="947">
        <f>N77+V77+R77</f>
        <v>0</v>
      </c>
      <c r="AA77" s="935">
        <f ca="1">SUM(O77,W77,S77)</f>
        <v>0</v>
      </c>
      <c r="AB77" s="935">
        <f>SUM(P77,X77,T77)</f>
        <v>0</v>
      </c>
      <c r="AC77" s="106"/>
      <c r="AF77" s="2791">
        <v>2</v>
      </c>
      <c r="AG77" s="2792"/>
      <c r="AH77" s="2792"/>
      <c r="AI77" s="2792"/>
      <c r="AJ77" s="2792"/>
      <c r="AK77" s="2793"/>
    </row>
    <row r="78" spans="2:147" ht="13.35" customHeight="1">
      <c r="L78" s="870"/>
      <c r="M78" s="268">
        <f t="shared" ref="M78:M97" si="254">M77+1</f>
        <v>1</v>
      </c>
      <c r="N78" s="836">
        <f>IFERROR(SUMIF('Sell-down'!$L$10:$EQ$10,$M78,'Sell-down'!$L$21:$EQ$21)/(COUNTIF('Sell-down'!$L$10:$EQ$10,'Sell-down'!$M78)),)</f>
        <v>0</v>
      </c>
      <c r="O78" s="13">
        <f ca="1">SUMIF('Sell-down'!$L$10:$EQ$10,$M78,'Sell-down'!$L$17:$EQ$17)</f>
        <v>0</v>
      </c>
      <c r="P78" s="13">
        <f>SUMIF('Sell-down'!$L$10:$EQ$10,$M78,'Sell-down'!$L$18:$EQ$18)</f>
        <v>0</v>
      </c>
      <c r="Q78" s="1042">
        <f t="shared" ref="Q78:Q97" ca="1" si="255">IFERROR(SUM(O78:P78)/N78*(12/6),)</f>
        <v>0</v>
      </c>
      <c r="R78" s="836">
        <f>IFERROR(SUMIF('Sell-down'!$L$10:$EQ$10,$M78,$L$32:$EQ$32)/(COUNTIF('Sell-down'!$L$10:$EQ$10,'Sell-down'!$M78)),)</f>
        <v>16000000</v>
      </c>
      <c r="S78" s="13">
        <f ca="1">SUMIF('Sell-down'!$L$10:$EQ$10,$M78,$L$28:$EQ$28)</f>
        <v>600000</v>
      </c>
      <c r="T78" s="13">
        <f>SUMIF('Sell-down'!$L$10:$EQ$10,$M78,$L$29:$EQ$29)</f>
        <v>0</v>
      </c>
      <c r="U78" s="1042">
        <f t="shared" ref="U78:U97" ca="1" si="256">IFERROR(SUM(S78:T78)/R78*(12/6),)</f>
        <v>7.4999999999999997E-2</v>
      </c>
      <c r="V78" s="948">
        <f>IFERROR(SUMIF('Sell-down'!$L$10:$EQ$10,$M78,'Sell-down'!$L$53:$EQ$53)/(COUNTIF('Sell-down'!$L$10:$EQ$10,'Sell-down'!$M78)),)</f>
        <v>14800000</v>
      </c>
      <c r="W78" s="13">
        <f ca="1">SUMIF('Sell-down'!$L$10:$EQ$10,$M78,'Sell-down'!$L$49:$EQ$49)</f>
        <v>555000</v>
      </c>
      <c r="X78" s="13">
        <f>SUMIF('Sell-down'!$L$10:$EQ$10,$M78,'Sell-down'!$L$50:$EQ$50)</f>
        <v>0</v>
      </c>
      <c r="Y78" s="949">
        <f t="shared" ref="Y78:Y97" ca="1" si="257">IFERROR(SUM(W78:X78)/V78*(12/6),)</f>
        <v>7.4999999999999997E-2</v>
      </c>
      <c r="Z78" s="948">
        <f t="shared" ref="Z78:Z97" si="258">N78+V78+R78</f>
        <v>30800000</v>
      </c>
      <c r="AA78" s="13">
        <f t="shared" ref="AA78:AA97" ca="1" si="259">SUM(O78,W78,S78)</f>
        <v>1155000</v>
      </c>
      <c r="AB78" s="13">
        <f t="shared" ref="AB78:AB97" si="260">SUM(P78,X78,T78)</f>
        <v>0</v>
      </c>
      <c r="AC78" s="1305">
        <f t="shared" ref="AC78:AC97" ca="1" si="261">IFERROR(SUM(AA78:AB78)/Z78*(12/6),)</f>
        <v>7.4999999999999997E-2</v>
      </c>
      <c r="AF78" s="2791">
        <v>3</v>
      </c>
      <c r="AG78" s="2792"/>
      <c r="AH78" s="2792"/>
      <c r="AI78" s="2792"/>
      <c r="AJ78" s="2792"/>
      <c r="AK78" s="2793"/>
    </row>
    <row r="79" spans="2:147" ht="13.35" customHeight="1">
      <c r="L79" s="99"/>
      <c r="M79" s="268">
        <f t="shared" si="254"/>
        <v>2</v>
      </c>
      <c r="N79" s="836">
        <f>IFERROR(SUMIF('Sell-down'!$L$10:$EQ$10,$M79,'Sell-down'!$L$21:$EQ$21)/(COUNTIF('Sell-down'!$L$10:$EQ$10,'Sell-down'!$M79)),)</f>
        <v>0</v>
      </c>
      <c r="O79" s="13">
        <f ca="1">SUMIF('Sell-down'!$L$10:$EQ$10,$M79,'Sell-down'!$L$17:$EQ$17)</f>
        <v>0</v>
      </c>
      <c r="P79" s="13">
        <f>SUMIF('Sell-down'!$L$10:$EQ$10,$M79,'Sell-down'!$L$18:$EQ$18)</f>
        <v>0</v>
      </c>
      <c r="Q79" s="1042">
        <f t="shared" ca="1" si="255"/>
        <v>0</v>
      </c>
      <c r="R79" s="836">
        <f>IFERROR(SUMIF('Sell-down'!$L$10:$EQ$10,$M79,$L$32:$EQ$32)/(COUNTIF('Sell-down'!$L$10:$EQ$10,'Sell-down'!$M79)),)</f>
        <v>16000000</v>
      </c>
      <c r="S79" s="13">
        <f ca="1">SUMIF('Sell-down'!$L$10:$EQ$10,$M79,$L$28:$EQ$28)</f>
        <v>600000</v>
      </c>
      <c r="T79" s="13">
        <f>SUMIF('Sell-down'!$L$10:$EQ$10,$M79,$L$29:$EQ$29)</f>
        <v>0</v>
      </c>
      <c r="U79" s="1042">
        <f t="shared" ca="1" si="256"/>
        <v>7.4999999999999997E-2</v>
      </c>
      <c r="V79" s="948">
        <f>IFERROR(SUMIF('Sell-down'!$L$10:$EQ$10,$M79,'Sell-down'!$L$53:$EQ$53)/(COUNTIF('Sell-down'!$L$10:$EQ$10,'Sell-down'!$M79)),)</f>
        <v>14800000</v>
      </c>
      <c r="W79" s="13">
        <f ca="1">SUMIF('Sell-down'!$L$10:$EQ$10,$M79,'Sell-down'!$L$49:$EQ$49)</f>
        <v>555000</v>
      </c>
      <c r="X79" s="13">
        <f>SUMIF('Sell-down'!$L$10:$EQ$10,$M79,'Sell-down'!$L$50:$EQ$50)</f>
        <v>0</v>
      </c>
      <c r="Y79" s="949">
        <f t="shared" ca="1" si="257"/>
        <v>7.4999999999999997E-2</v>
      </c>
      <c r="Z79" s="948">
        <f t="shared" si="258"/>
        <v>30800000</v>
      </c>
      <c r="AA79" s="13">
        <f t="shared" ca="1" si="259"/>
        <v>1155000</v>
      </c>
      <c r="AB79" s="13">
        <f t="shared" si="260"/>
        <v>0</v>
      </c>
      <c r="AC79" s="1305">
        <f t="shared" ca="1" si="261"/>
        <v>7.4999999999999997E-2</v>
      </c>
      <c r="AF79" s="2791">
        <v>4</v>
      </c>
      <c r="AG79" s="2792"/>
      <c r="AH79" s="2792"/>
      <c r="AI79" s="2792"/>
      <c r="AJ79" s="2792"/>
      <c r="AK79" s="2793"/>
    </row>
    <row r="80" spans="2:147" ht="13.35" customHeight="1">
      <c r="L80" s="99"/>
      <c r="M80" s="268">
        <f t="shared" si="254"/>
        <v>3</v>
      </c>
      <c r="N80" s="836">
        <f>IFERROR(SUMIF('Sell-down'!$L$10:$EQ$10,$M80,'Sell-down'!$L$21:$EQ$21)/(COUNTIF('Sell-down'!$L$10:$EQ$10,'Sell-down'!$M80)),)</f>
        <v>0</v>
      </c>
      <c r="O80" s="13">
        <f ca="1">SUMIF('Sell-down'!$L$10:$EQ$10,$M80,'Sell-down'!$L$17:$EQ$17)</f>
        <v>0</v>
      </c>
      <c r="P80" s="13">
        <f>SUMIF('Sell-down'!$L$10:$EQ$10,$M80,'Sell-down'!$L$18:$EQ$18)</f>
        <v>0</v>
      </c>
      <c r="Q80" s="1042">
        <f t="shared" ca="1" si="255"/>
        <v>0</v>
      </c>
      <c r="R80" s="836">
        <f>IFERROR(SUMIF('Sell-down'!$L$10:$EQ$10,$M80,$L$32:$EQ$32)/(COUNTIF('Sell-down'!$L$10:$EQ$10,'Sell-down'!$M80)),)</f>
        <v>50401023.423423417</v>
      </c>
      <c r="S80" s="13">
        <f ca="1">SUMIF('Sell-down'!$L$10:$EQ$10,$M80,$L$28:$EQ$28)</f>
        <v>1875000</v>
      </c>
      <c r="T80" s="13">
        <f>SUMIF('Sell-down'!$L$10:$EQ$10,$M80,$L$29:$EQ$29)</f>
        <v>0</v>
      </c>
      <c r="U80" s="1042">
        <f t="shared" ca="1" si="256"/>
        <v>7.4403251070834842E-2</v>
      </c>
      <c r="V80" s="948">
        <f>IFERROR(SUMIF('Sell-down'!$L$10:$EQ$10,$M80,'Sell-down'!$L$53:$EQ$53)/(COUNTIF('Sell-down'!$L$10:$EQ$10,'Sell-down'!$M80)),)</f>
        <v>14800000</v>
      </c>
      <c r="W80" s="13">
        <f ca="1">SUMIF('Sell-down'!$L$10:$EQ$10,$M80,'Sell-down'!$L$49:$EQ$49)</f>
        <v>0</v>
      </c>
      <c r="X80" s="13">
        <f>SUMIF('Sell-down'!$L$10:$EQ$10,$M80,'Sell-down'!$L$50:$EQ$50)</f>
        <v>0</v>
      </c>
      <c r="Y80" s="949">
        <f t="shared" ca="1" si="257"/>
        <v>0</v>
      </c>
      <c r="Z80" s="948">
        <f t="shared" si="258"/>
        <v>65201023.423423417</v>
      </c>
      <c r="AA80" s="13">
        <f t="shared" ca="1" si="259"/>
        <v>1875000</v>
      </c>
      <c r="AB80" s="13">
        <f t="shared" si="260"/>
        <v>0</v>
      </c>
      <c r="AC80" s="1305">
        <f t="shared" ca="1" si="261"/>
        <v>5.7514434637736304E-2</v>
      </c>
      <c r="AF80" s="2791">
        <v>5</v>
      </c>
      <c r="AG80" s="2792"/>
      <c r="AH80" s="2792"/>
      <c r="AI80" s="2792"/>
      <c r="AJ80" s="2792"/>
      <c r="AK80" s="2793"/>
    </row>
    <row r="81" spans="12:37" ht="13.35" customHeight="1">
      <c r="L81" s="99"/>
      <c r="M81" s="268">
        <f t="shared" si="254"/>
        <v>4</v>
      </c>
      <c r="N81" s="836">
        <f>IFERROR(SUMIF('Sell-down'!$L$10:$EQ$10,$M81,'Sell-down'!$L$21:$EQ$21)/(COUNTIF('Sell-down'!$L$10:$EQ$10,'Sell-down'!$M81)),)</f>
        <v>0</v>
      </c>
      <c r="O81" s="13">
        <f ca="1">SUMIF('Sell-down'!$L$10:$EQ$10,$M81,'Sell-down'!$L$17:$EQ$17)</f>
        <v>0</v>
      </c>
      <c r="P81" s="13">
        <f>SUMIF('Sell-down'!$L$10:$EQ$10,$M81,'Sell-down'!$L$18:$EQ$18)</f>
        <v>0</v>
      </c>
      <c r="Q81" s="1042">
        <f t="shared" ca="1" si="255"/>
        <v>0</v>
      </c>
      <c r="R81" s="836">
        <f>IFERROR(SUMIF('Sell-down'!$L$10:$EQ$10,$M81,$L$32:$EQ$32)/(COUNTIF('Sell-down'!$L$10:$EQ$10,'Sell-down'!$M81)),)</f>
        <v>50401023.423423417</v>
      </c>
      <c r="S81" s="13">
        <f ca="1">SUMIF('Sell-down'!$L$10:$EQ$10,$M81,$L$28:$EQ$28)</f>
        <v>1875000</v>
      </c>
      <c r="T81" s="13">
        <f>SUMIF('Sell-down'!$L$10:$EQ$10,$M81,$L$29:$EQ$29)</f>
        <v>0</v>
      </c>
      <c r="U81" s="1042">
        <f t="shared" ca="1" si="256"/>
        <v>7.4403251070834842E-2</v>
      </c>
      <c r="V81" s="948">
        <f>IFERROR(SUMIF('Sell-down'!$L$10:$EQ$10,$M81,'Sell-down'!$L$53:$EQ$53)/(COUNTIF('Sell-down'!$L$10:$EQ$10,'Sell-down'!$M81)),)</f>
        <v>14800000</v>
      </c>
      <c r="W81" s="13">
        <f ca="1">SUMIF('Sell-down'!$L$10:$EQ$10,$M81,'Sell-down'!$L$49:$EQ$49)</f>
        <v>0</v>
      </c>
      <c r="X81" s="13">
        <f>SUMIF('Sell-down'!$L$10:$EQ$10,$M81,'Sell-down'!$L$50:$EQ$50)</f>
        <v>0</v>
      </c>
      <c r="Y81" s="949">
        <f t="shared" ca="1" si="257"/>
        <v>0</v>
      </c>
      <c r="Z81" s="948">
        <f t="shared" si="258"/>
        <v>65201023.423423417</v>
      </c>
      <c r="AA81" s="13">
        <f t="shared" ca="1" si="259"/>
        <v>1875000</v>
      </c>
      <c r="AB81" s="13">
        <f t="shared" si="260"/>
        <v>0</v>
      </c>
      <c r="AC81" s="1305">
        <f t="shared" ca="1" si="261"/>
        <v>5.7514434637736304E-2</v>
      </c>
      <c r="AF81" s="2791">
        <v>6</v>
      </c>
      <c r="AG81" s="2792"/>
      <c r="AH81" s="2792"/>
      <c r="AI81" s="2792"/>
      <c r="AJ81" s="2792"/>
      <c r="AK81" s="2793"/>
    </row>
    <row r="82" spans="12:37" ht="13.35" customHeight="1">
      <c r="L82" s="99"/>
      <c r="M82" s="268">
        <f t="shared" si="254"/>
        <v>5</v>
      </c>
      <c r="N82" s="836">
        <f>IFERROR(SUMIF('Sell-down'!$L$10:$EQ$10,$M82,'Sell-down'!$L$21:$EQ$21)/(COUNTIF('Sell-down'!$L$10:$EQ$10,'Sell-down'!$M82)),)</f>
        <v>24360036.613272306</v>
      </c>
      <c r="O82" s="13">
        <f ca="1">SUMIF('Sell-down'!$L$10:$EQ$10,$M82,'Sell-down'!$L$17:$EQ$17)</f>
        <v>840000.00000000012</v>
      </c>
      <c r="P82" s="13">
        <f>SUMIF('Sell-down'!$L$10:$EQ$10,$M82,'Sell-down'!$L$18:$EQ$18)</f>
        <v>0</v>
      </c>
      <c r="Q82" s="1042">
        <f t="shared" ca="1" si="255"/>
        <v>6.8965413585818272E-2</v>
      </c>
      <c r="R82" s="836">
        <f>IFERROR(SUMIF('Sell-down'!$L$10:$EQ$10,$M82,$L$32:$EQ$32)/(COUNTIF('Sell-down'!$L$10:$EQ$10,'Sell-down'!$M82)),)</f>
        <v>50401023.423423417</v>
      </c>
      <c r="S82" s="13">
        <f ca="1">SUMIF('Sell-down'!$L$10:$EQ$10,$M82,$L$28:$EQ$28)</f>
        <v>1875000</v>
      </c>
      <c r="T82" s="13">
        <f>SUMIF('Sell-down'!$L$10:$EQ$10,$M82,$L$29:$EQ$29)</f>
        <v>0</v>
      </c>
      <c r="U82" s="1042">
        <f t="shared" ca="1" si="256"/>
        <v>7.4403251070834842E-2</v>
      </c>
      <c r="V82" s="948">
        <f>IFERROR(SUMIF('Sell-down'!$L$10:$EQ$10,$M82,'Sell-down'!$L$53:$EQ$53)/(COUNTIF('Sell-down'!$L$10:$EQ$10,'Sell-down'!$M82)),)</f>
        <v>14800000</v>
      </c>
      <c r="W82" s="13">
        <f ca="1">SUMIF('Sell-down'!$L$10:$EQ$10,$M82,'Sell-down'!$L$49:$EQ$49)</f>
        <v>0</v>
      </c>
      <c r="X82" s="13">
        <f>SUMIF('Sell-down'!$L$10:$EQ$10,$M82,'Sell-down'!$L$50:$EQ$50)</f>
        <v>0</v>
      </c>
      <c r="Y82" s="949">
        <f t="shared" ca="1" si="257"/>
        <v>0</v>
      </c>
      <c r="Z82" s="948">
        <f t="shared" si="258"/>
        <v>89561060.036695719</v>
      </c>
      <c r="AA82" s="13">
        <f t="shared" ca="1" si="259"/>
        <v>2715000</v>
      </c>
      <c r="AB82" s="13">
        <f t="shared" si="260"/>
        <v>0</v>
      </c>
      <c r="AC82" s="1305">
        <f t="shared" ca="1" si="261"/>
        <v>6.0629027813819694E-2</v>
      </c>
      <c r="AF82" s="2791">
        <v>7</v>
      </c>
      <c r="AG82" s="2792"/>
      <c r="AH82" s="2792"/>
      <c r="AI82" s="2792"/>
      <c r="AJ82" s="2792"/>
      <c r="AK82" s="2793"/>
    </row>
    <row r="83" spans="12:37" ht="13.35" customHeight="1">
      <c r="L83" s="99"/>
      <c r="M83" s="268">
        <f t="shared" si="254"/>
        <v>6</v>
      </c>
      <c r="N83" s="836">
        <f>IFERROR(SUMIF('Sell-down'!$L$10:$EQ$10,$M83,'Sell-down'!$L$21:$EQ$21)/(COUNTIF('Sell-down'!$L$10:$EQ$10,'Sell-down'!$M83)),)</f>
        <v>24360036.613272306</v>
      </c>
      <c r="O83" s="13">
        <f ca="1">SUMIF('Sell-down'!$L$10:$EQ$10,$M83,'Sell-down'!$L$17:$EQ$17)</f>
        <v>840000.00000000012</v>
      </c>
      <c r="P83" s="13">
        <f>SUMIF('Sell-down'!$L$10:$EQ$10,$M83,'Sell-down'!$L$18:$EQ$18)</f>
        <v>0</v>
      </c>
      <c r="Q83" s="1042">
        <f t="shared" ca="1" si="255"/>
        <v>6.8965413585818272E-2</v>
      </c>
      <c r="R83" s="836">
        <f>IFERROR(SUMIF('Sell-down'!$L$10:$EQ$10,$M83,$L$32:$EQ$32)/(COUNTIF('Sell-down'!$L$10:$EQ$10,'Sell-down'!$M83)),)</f>
        <v>50401023.423423417</v>
      </c>
      <c r="S83" s="13">
        <f ca="1">SUMIF('Sell-down'!$L$10:$EQ$10,$M83,$L$28:$EQ$28)</f>
        <v>1875000</v>
      </c>
      <c r="T83" s="13">
        <f>SUMIF('Sell-down'!$L$10:$EQ$10,$M83,$L$29:$EQ$29)</f>
        <v>0</v>
      </c>
      <c r="U83" s="1042">
        <f t="shared" ca="1" si="256"/>
        <v>7.4403251070834842E-2</v>
      </c>
      <c r="V83" s="948">
        <f>IFERROR(SUMIF('Sell-down'!$L$10:$EQ$10,$M83,'Sell-down'!$L$53:$EQ$53)/(COUNTIF('Sell-down'!$L$10:$EQ$10,'Sell-down'!$M83)),)</f>
        <v>14800000</v>
      </c>
      <c r="W83" s="13">
        <f ca="1">SUMIF('Sell-down'!$L$10:$EQ$10,$M83,'Sell-down'!$L$49:$EQ$49)</f>
        <v>0</v>
      </c>
      <c r="X83" s="13">
        <f>SUMIF('Sell-down'!$L$10:$EQ$10,$M83,'Sell-down'!$L$50:$EQ$50)</f>
        <v>0</v>
      </c>
      <c r="Y83" s="949">
        <f t="shared" ca="1" si="257"/>
        <v>0</v>
      </c>
      <c r="Z83" s="948">
        <f t="shared" si="258"/>
        <v>89561060.036695719</v>
      </c>
      <c r="AA83" s="13">
        <f t="shared" ca="1" si="259"/>
        <v>2715000</v>
      </c>
      <c r="AB83" s="13">
        <f t="shared" si="260"/>
        <v>0</v>
      </c>
      <c r="AC83" s="1305">
        <f t="shared" ca="1" si="261"/>
        <v>6.0629027813819694E-2</v>
      </c>
      <c r="AF83" s="2791">
        <v>8</v>
      </c>
      <c r="AG83" s="2792"/>
      <c r="AH83" s="2792"/>
      <c r="AI83" s="2792"/>
      <c r="AJ83" s="2792"/>
      <c r="AK83" s="2793"/>
    </row>
    <row r="84" spans="12:37" ht="13.35" customHeight="1">
      <c r="L84" s="99"/>
      <c r="M84" s="268">
        <f t="shared" si="254"/>
        <v>7</v>
      </c>
      <c r="N84" s="836">
        <f>IFERROR(SUMIF('Sell-down'!$L$10:$EQ$10,$M84,'Sell-down'!$L$21:$EQ$21)/(COUNTIF('Sell-down'!$L$10:$EQ$10,'Sell-down'!$M84)),)</f>
        <v>24360036.613272306</v>
      </c>
      <c r="O84" s="13">
        <f ca="1">SUMIF('Sell-down'!$L$10:$EQ$10,$M84,'Sell-down'!$L$17:$EQ$17)</f>
        <v>840000.00000000012</v>
      </c>
      <c r="P84" s="13">
        <f>SUMIF('Sell-down'!$L$10:$EQ$10,$M84,'Sell-down'!$L$18:$EQ$18)</f>
        <v>0</v>
      </c>
      <c r="Q84" s="1042">
        <f t="shared" ca="1" si="255"/>
        <v>6.8965413585818272E-2</v>
      </c>
      <c r="R84" s="836">
        <f>IFERROR(SUMIF('Sell-down'!$L$10:$EQ$10,$M84,$L$32:$EQ$32)/(COUNTIF('Sell-down'!$L$10:$EQ$10,'Sell-down'!$M84)),)</f>
        <v>50401023.423423417</v>
      </c>
      <c r="S84" s="13">
        <f ca="1">SUMIF('Sell-down'!$L$10:$EQ$10,$M84,$L$28:$EQ$28)</f>
        <v>1762472.0129412687</v>
      </c>
      <c r="T84" s="13">
        <f>SUMIF('Sell-down'!$L$10:$EQ$10,$M84,$L$29:$EQ$29)</f>
        <v>0</v>
      </c>
      <c r="U84" s="1042">
        <f t="shared" ca="1" si="256"/>
        <v>6.9937945431567408E-2</v>
      </c>
      <c r="V84" s="948">
        <f>IFERROR(SUMIF('Sell-down'!$L$10:$EQ$10,$M84,'Sell-down'!$L$53:$EQ$53)/(COUNTIF('Sell-down'!$L$10:$EQ$10,'Sell-down'!$M84)),)</f>
        <v>14800000</v>
      </c>
      <c r="W84" s="13">
        <f ca="1">SUMIF('Sell-down'!$L$10:$EQ$10,$M84,'Sell-down'!$L$49:$EQ$49)</f>
        <v>0</v>
      </c>
      <c r="X84" s="13">
        <f>SUMIF('Sell-down'!$L$10:$EQ$10,$M84,'Sell-down'!$L$50:$EQ$50)</f>
        <v>0</v>
      </c>
      <c r="Y84" s="949">
        <f t="shared" ca="1" si="257"/>
        <v>0</v>
      </c>
      <c r="Z84" s="948">
        <f t="shared" si="258"/>
        <v>89561060.036695719</v>
      </c>
      <c r="AA84" s="13">
        <f t="shared" ca="1" si="259"/>
        <v>2602472.0129412687</v>
      </c>
      <c r="AB84" s="13">
        <f t="shared" si="260"/>
        <v>0</v>
      </c>
      <c r="AC84" s="1305">
        <f t="shared" ca="1" si="261"/>
        <v>5.8116150297349359E-2</v>
      </c>
      <c r="AF84" s="2791">
        <v>9</v>
      </c>
      <c r="AG84" s="2792"/>
      <c r="AH84" s="2792"/>
      <c r="AI84" s="2792"/>
      <c r="AJ84" s="2792"/>
      <c r="AK84" s="2793"/>
    </row>
    <row r="85" spans="12:37" ht="13.35" customHeight="1">
      <c r="L85" s="99"/>
      <c r="M85" s="268">
        <f t="shared" si="254"/>
        <v>8</v>
      </c>
      <c r="N85" s="836">
        <f>IFERROR(SUMIF('Sell-down'!$L$10:$EQ$10,$M85,'Sell-down'!$L$21:$EQ$21)/(COUNTIF('Sell-down'!$L$10:$EQ$10,'Sell-down'!$M85)),)</f>
        <v>24360036.613272306</v>
      </c>
      <c r="O85" s="13">
        <f ca="1">SUMIF('Sell-down'!$L$10:$EQ$10,$M85,'Sell-down'!$L$17:$EQ$17)</f>
        <v>840000.00000000012</v>
      </c>
      <c r="P85" s="13">
        <f>SUMIF('Sell-down'!$L$10:$EQ$10,$M85,'Sell-down'!$L$18:$EQ$18)</f>
        <v>0</v>
      </c>
      <c r="Q85" s="1042">
        <f t="shared" ca="1" si="255"/>
        <v>6.8965413585818272E-2</v>
      </c>
      <c r="R85" s="836">
        <f>IFERROR(SUMIF('Sell-down'!$L$10:$EQ$10,$M85,$L$32:$EQ$32)/(COUNTIF('Sell-down'!$L$10:$EQ$10,'Sell-down'!$M85)),)</f>
        <v>50401023.423423417</v>
      </c>
      <c r="S85" s="13">
        <f ca="1">SUMIF('Sell-down'!$L$10:$EQ$10,$M85,$L$28:$EQ$28)</f>
        <v>1513291.9989280105</v>
      </c>
      <c r="T85" s="13">
        <f>SUMIF('Sell-down'!$L$10:$EQ$10,$M85,$L$29:$EQ$29)</f>
        <v>0</v>
      </c>
      <c r="U85" s="1042">
        <f t="shared" ca="1" si="256"/>
        <v>6.005005042118735E-2</v>
      </c>
      <c r="V85" s="948">
        <f>IFERROR(SUMIF('Sell-down'!$L$10:$EQ$10,$M85,'Sell-down'!$L$53:$EQ$53)/(COUNTIF('Sell-down'!$L$10:$EQ$10,'Sell-down'!$M85)),)</f>
        <v>14800000</v>
      </c>
      <c r="W85" s="13">
        <f ca="1">SUMIF('Sell-down'!$L$10:$EQ$10,$M85,'Sell-down'!$L$49:$EQ$49)</f>
        <v>0</v>
      </c>
      <c r="X85" s="13">
        <f>SUMIF('Sell-down'!$L$10:$EQ$10,$M85,'Sell-down'!$L$50:$EQ$50)</f>
        <v>0</v>
      </c>
      <c r="Y85" s="949">
        <f t="shared" ca="1" si="257"/>
        <v>0</v>
      </c>
      <c r="Z85" s="948">
        <f t="shared" si="258"/>
        <v>89561060.036695719</v>
      </c>
      <c r="AA85" s="13">
        <f t="shared" ca="1" si="259"/>
        <v>2353291.9989280105</v>
      </c>
      <c r="AB85" s="13">
        <f t="shared" si="260"/>
        <v>0</v>
      </c>
      <c r="AC85" s="1305">
        <f t="shared" ca="1" si="261"/>
        <v>5.2551678105725849E-2</v>
      </c>
      <c r="AF85" s="2791">
        <v>10</v>
      </c>
      <c r="AG85" s="2792"/>
      <c r="AH85" s="2792"/>
      <c r="AI85" s="2792"/>
      <c r="AJ85" s="2792"/>
      <c r="AK85" s="2793"/>
    </row>
    <row r="86" spans="12:37" ht="13.35" customHeight="1">
      <c r="L86" s="66"/>
      <c r="M86" s="268">
        <f t="shared" si="254"/>
        <v>9</v>
      </c>
      <c r="N86" s="836">
        <f>IFERROR(SUMIF('Sell-down'!$L$10:$EQ$10,$M86,'Sell-down'!$L$21:$EQ$21)/(COUNTIF('Sell-down'!$L$10:$EQ$10,'Sell-down'!$M86)),)</f>
        <v>24360036.613272306</v>
      </c>
      <c r="O86" s="13">
        <f ca="1">SUMIF('Sell-down'!$L$10:$EQ$10,$M86,'Sell-down'!$L$17:$EQ$17)</f>
        <v>840000.00000000012</v>
      </c>
      <c r="P86" s="13">
        <f>SUMIF('Sell-down'!$L$10:$EQ$10,$M86,'Sell-down'!$L$18:$EQ$18)</f>
        <v>0</v>
      </c>
      <c r="Q86" s="1042">
        <f t="shared" ca="1" si="255"/>
        <v>6.8965413585818272E-2</v>
      </c>
      <c r="R86" s="836">
        <f>IFERROR(SUMIF('Sell-down'!$L$10:$EQ$10,$M86,$L$32:$EQ$32)/(COUNTIF('Sell-down'!$L$10:$EQ$10,'Sell-down'!$M86)),)</f>
        <v>50401023.423423417</v>
      </c>
      <c r="S86" s="13">
        <f ca="1">SUMIF('Sell-down'!$L$10:$EQ$10,$M86,$L$28:$EQ$28)</f>
        <v>1265541.4966859473</v>
      </c>
      <c r="T86" s="13">
        <f>SUMIF('Sell-down'!$L$10:$EQ$10,$M86,$L$29:$EQ$29)</f>
        <v>0</v>
      </c>
      <c r="U86" s="1042">
        <f t="shared" ca="1" si="256"/>
        <v>5.0218880916525134E-2</v>
      </c>
      <c r="V86" s="948">
        <f>IFERROR(SUMIF('Sell-down'!$L$10:$EQ$10,$M86,'Sell-down'!$L$53:$EQ$53)/(COUNTIF('Sell-down'!$L$10:$EQ$10,'Sell-down'!$M86)),)</f>
        <v>14800000</v>
      </c>
      <c r="W86" s="13">
        <f ca="1">SUMIF('Sell-down'!$L$10:$EQ$10,$M86,'Sell-down'!$L$49:$EQ$49)</f>
        <v>0</v>
      </c>
      <c r="X86" s="13">
        <f>SUMIF('Sell-down'!$L$10:$EQ$10,$M86,'Sell-down'!$L$50:$EQ$50)</f>
        <v>0</v>
      </c>
      <c r="Y86" s="949">
        <f t="shared" ca="1" si="257"/>
        <v>0</v>
      </c>
      <c r="Z86" s="948">
        <f t="shared" si="258"/>
        <v>89561060.036695719</v>
      </c>
      <c r="AA86" s="13">
        <f t="shared" ca="1" si="259"/>
        <v>2105541.4966859473</v>
      </c>
      <c r="AB86" s="13">
        <f t="shared" si="260"/>
        <v>0</v>
      </c>
      <c r="AC86" s="1305">
        <f t="shared" ca="1" si="261"/>
        <v>4.7019128532494972E-2</v>
      </c>
      <c r="AF86" s="2794" t="s">
        <v>104</v>
      </c>
      <c r="AG86" s="2795"/>
      <c r="AH86" s="2795"/>
      <c r="AI86" s="2795"/>
      <c r="AJ86" s="2795"/>
      <c r="AK86" s="2796"/>
    </row>
    <row r="87" spans="12:37" ht="13.35" customHeight="1">
      <c r="L87" s="66"/>
      <c r="M87" s="268">
        <f t="shared" si="254"/>
        <v>10</v>
      </c>
      <c r="N87" s="836">
        <f>IFERROR(SUMIF('Sell-down'!$L$10:$EQ$10,$M87,'Sell-down'!$L$21:$EQ$21)/(COUNTIF('Sell-down'!$L$10:$EQ$10,'Sell-down'!$M87)),)</f>
        <v>24360036.613272306</v>
      </c>
      <c r="O87" s="13">
        <f ca="1">SUMIF('Sell-down'!$L$10:$EQ$10,$M87,'Sell-down'!$L$17:$EQ$17)</f>
        <v>840000.00000000012</v>
      </c>
      <c r="P87" s="13">
        <f>SUMIF('Sell-down'!$L$10:$EQ$10,$M87,'Sell-down'!$L$18:$EQ$18)</f>
        <v>0</v>
      </c>
      <c r="Q87" s="1042">
        <f t="shared" ca="1" si="255"/>
        <v>6.8965413585818272E-2</v>
      </c>
      <c r="R87" s="836">
        <f>IFERROR(SUMIF('Sell-down'!$L$10:$EQ$10,$M87,$L$32:$EQ$32)/(COUNTIF('Sell-down'!$L$10:$EQ$10,'Sell-down'!$M87)),)</f>
        <v>50401023.423423417</v>
      </c>
      <c r="S87" s="13">
        <f ca="1">SUMIF('Sell-down'!$L$10:$EQ$10,$M87,$L$28:$EQ$28)</f>
        <v>1722478.4355854392</v>
      </c>
      <c r="T87" s="13">
        <f>SUMIF('Sell-down'!$L$10:$EQ$10,$M87,$L$29:$EQ$29)</f>
        <v>0</v>
      </c>
      <c r="U87" s="1042">
        <f t="shared" ca="1" si="256"/>
        <v>6.8350930937046528E-2</v>
      </c>
      <c r="V87" s="948">
        <f>IFERROR(SUMIF('Sell-down'!$L$10:$EQ$10,$M87,'Sell-down'!$L$53:$EQ$53)/(COUNTIF('Sell-down'!$L$10:$EQ$10,'Sell-down'!$M87)),)</f>
        <v>14800000</v>
      </c>
      <c r="W87" s="13">
        <f ca="1">SUMIF('Sell-down'!$L$10:$EQ$10,$M87,'Sell-down'!$L$49:$EQ$49)</f>
        <v>0</v>
      </c>
      <c r="X87" s="13">
        <f>SUMIF('Sell-down'!$L$10:$EQ$10,$M87,'Sell-down'!$L$50:$EQ$50)</f>
        <v>0</v>
      </c>
      <c r="Y87" s="949">
        <f t="shared" ca="1" si="257"/>
        <v>0</v>
      </c>
      <c r="Z87" s="948">
        <f t="shared" si="258"/>
        <v>89561060.036695719</v>
      </c>
      <c r="AA87" s="13">
        <f t="shared" ca="1" si="259"/>
        <v>2562478.4355854392</v>
      </c>
      <c r="AB87" s="13">
        <f t="shared" si="260"/>
        <v>0</v>
      </c>
      <c r="AC87" s="1305">
        <f t="shared" ca="1" si="261"/>
        <v>5.7223048376951295E-2</v>
      </c>
      <c r="AF87" s="2785" t="s">
        <v>662</v>
      </c>
      <c r="AG87" s="3104"/>
      <c r="AH87" s="3105"/>
      <c r="AI87" s="3105"/>
      <c r="AJ87" s="3105"/>
      <c r="AK87" s="3105"/>
    </row>
    <row r="88" spans="12:37" ht="13.35" customHeight="1">
      <c r="L88" s="66"/>
      <c r="M88" s="268">
        <f t="shared" si="254"/>
        <v>11</v>
      </c>
      <c r="N88" s="836">
        <f>IFERROR(SUMIF('Sell-down'!$L$10:$EQ$10,$M88,'Sell-down'!$L$21:$EQ$21)/(COUNTIF('Sell-down'!$L$10:$EQ$10,'Sell-down'!$M88)),)</f>
        <v>24360036.613272306</v>
      </c>
      <c r="O88" s="13">
        <f ca="1">SUMIF('Sell-down'!$L$10:$EQ$10,$M88,'Sell-down'!$L$17:$EQ$17)</f>
        <v>840000.00000000012</v>
      </c>
      <c r="P88" s="13">
        <f>SUMIF('Sell-down'!$L$10:$EQ$10,$M88,'Sell-down'!$L$18:$EQ$18)</f>
        <v>0</v>
      </c>
      <c r="Q88" s="1042">
        <f t="shared" ca="1" si="255"/>
        <v>6.8965413585818272E-2</v>
      </c>
      <c r="R88" s="836">
        <f>IFERROR(SUMIF('Sell-down'!$L$10:$EQ$10,$M88,$L$32:$EQ$32)/(COUNTIF('Sell-down'!$L$10:$EQ$10,'Sell-down'!$M88)),)</f>
        <v>50401023.423423417</v>
      </c>
      <c r="S88" s="13">
        <f ca="1">SUMIF('Sell-down'!$L$10:$EQ$10,$M88,$L$28:$EQ$28)</f>
        <v>1805647.7403300544</v>
      </c>
      <c r="T88" s="13">
        <f>SUMIF('Sell-down'!$L$10:$EQ$10,$M88,$L$29:$EQ$29)</f>
        <v>0</v>
      </c>
      <c r="U88" s="1042">
        <f t="shared" ca="1" si="256"/>
        <v>7.1651233156940067E-2</v>
      </c>
      <c r="V88" s="948">
        <f>IFERROR(SUMIF('Sell-down'!$L$10:$EQ$10,$M88,'Sell-down'!$L$53:$EQ$53)/(COUNTIF('Sell-down'!$L$10:$EQ$10,'Sell-down'!$M88)),)</f>
        <v>14800000</v>
      </c>
      <c r="W88" s="13">
        <f ca="1">SUMIF('Sell-down'!$L$10:$EQ$10,$M88,'Sell-down'!$L$49:$EQ$49)</f>
        <v>0</v>
      </c>
      <c r="X88" s="13">
        <f>SUMIF('Sell-down'!$L$10:$EQ$10,$M88,'Sell-down'!$L$50:$EQ$50)</f>
        <v>0</v>
      </c>
      <c r="Y88" s="949">
        <f t="shared" ca="1" si="257"/>
        <v>0</v>
      </c>
      <c r="Z88" s="948">
        <f t="shared" si="258"/>
        <v>89561060.036695719</v>
      </c>
      <c r="AA88" s="13">
        <f t="shared" ca="1" si="259"/>
        <v>2645647.7403300544</v>
      </c>
      <c r="AB88" s="13">
        <f t="shared" si="260"/>
        <v>0</v>
      </c>
      <c r="AC88" s="1305">
        <f t="shared" ca="1" si="261"/>
        <v>5.9080313235373882E-2</v>
      </c>
      <c r="AF88" s="2785" t="s">
        <v>663</v>
      </c>
      <c r="AG88" s="3104"/>
      <c r="AH88" s="3105"/>
      <c r="AI88" s="3105"/>
      <c r="AJ88" s="3105"/>
      <c r="AK88" s="3105"/>
    </row>
    <row r="89" spans="12:37" ht="13.35" customHeight="1">
      <c r="L89" s="66"/>
      <c r="M89" s="268">
        <f t="shared" si="254"/>
        <v>12</v>
      </c>
      <c r="N89" s="836">
        <f>IFERROR(SUMIF('Sell-down'!$L$10:$EQ$10,$M89,'Sell-down'!$L$21:$EQ$21)/(COUNTIF('Sell-down'!$L$10:$EQ$10,'Sell-down'!$M89)),)</f>
        <v>24360036.613272306</v>
      </c>
      <c r="O89" s="13">
        <f ca="1">SUMIF('Sell-down'!$L$10:$EQ$10,$M89,'Sell-down'!$L$17:$EQ$17)</f>
        <v>840000.00000000012</v>
      </c>
      <c r="P89" s="13">
        <f>SUMIF('Sell-down'!$L$10:$EQ$10,$M89,'Sell-down'!$L$18:$EQ$18)</f>
        <v>0</v>
      </c>
      <c r="Q89" s="1042">
        <f t="shared" ca="1" si="255"/>
        <v>6.8965413585818272E-2</v>
      </c>
      <c r="R89" s="836">
        <f>IFERROR(SUMIF('Sell-down'!$L$10:$EQ$10,$M89,$L$32:$EQ$32)/(COUNTIF('Sell-down'!$L$10:$EQ$10,'Sell-down'!$M89)),)</f>
        <v>50401023.423423417</v>
      </c>
      <c r="S89" s="13">
        <f ca="1">SUMIF('Sell-down'!$L$10:$EQ$10,$M89,$L$28:$EQ$28)</f>
        <v>2258497.3462193981</v>
      </c>
      <c r="T89" s="13">
        <f>SUMIF('Sell-down'!$L$10:$EQ$10,$M89,$L$29:$EQ$29)</f>
        <v>0</v>
      </c>
      <c r="U89" s="1042">
        <f t="shared" ca="1" si="256"/>
        <v>8.9621090716573898E-2</v>
      </c>
      <c r="V89" s="948">
        <f>IFERROR(SUMIF('Sell-down'!$L$10:$EQ$10,$M89,'Sell-down'!$L$53:$EQ$53)/(COUNTIF('Sell-down'!$L$10:$EQ$10,'Sell-down'!$M89)),)</f>
        <v>14800000</v>
      </c>
      <c r="W89" s="13">
        <f ca="1">SUMIF('Sell-down'!$L$10:$EQ$10,$M89,'Sell-down'!$L$49:$EQ$49)</f>
        <v>0</v>
      </c>
      <c r="X89" s="13">
        <f>SUMIF('Sell-down'!$L$10:$EQ$10,$M89,'Sell-down'!$L$50:$EQ$50)</f>
        <v>0</v>
      </c>
      <c r="Y89" s="949">
        <f t="shared" ca="1" si="257"/>
        <v>0</v>
      </c>
      <c r="Z89" s="948">
        <f t="shared" si="258"/>
        <v>89561060.036695719</v>
      </c>
      <c r="AA89" s="13">
        <f t="shared" ca="1" si="259"/>
        <v>3098497.3462193981</v>
      </c>
      <c r="AB89" s="13">
        <f t="shared" si="260"/>
        <v>0</v>
      </c>
      <c r="AC89" s="1305">
        <f t="shared" ca="1" si="261"/>
        <v>6.9192958300177673E-2</v>
      </c>
      <c r="AF89" s="2785" t="s">
        <v>664</v>
      </c>
      <c r="AG89" s="3104"/>
      <c r="AH89" s="3105"/>
      <c r="AI89" s="3105"/>
      <c r="AJ89" s="3105"/>
      <c r="AK89" s="3105"/>
    </row>
    <row r="90" spans="12:37" ht="13.35" customHeight="1">
      <c r="L90" s="66"/>
      <c r="M90" s="268">
        <f t="shared" si="254"/>
        <v>13</v>
      </c>
      <c r="N90" s="836">
        <f>IFERROR(SUMIF('Sell-down'!$L$10:$EQ$10,$M90,'Sell-down'!$L$21:$EQ$21)/(COUNTIF('Sell-down'!$L$10:$EQ$10,'Sell-down'!$M90)),)</f>
        <v>24360036.613272306</v>
      </c>
      <c r="O90" s="13">
        <f ca="1">SUMIF('Sell-down'!$L$10:$EQ$10,$M90,'Sell-down'!$L$17:$EQ$17)</f>
        <v>840000.00000000012</v>
      </c>
      <c r="P90" s="13">
        <f>SUMIF('Sell-down'!$L$10:$EQ$10,$M90,'Sell-down'!$L$18:$EQ$18)</f>
        <v>0</v>
      </c>
      <c r="Q90" s="1042">
        <f t="shared" ca="1" si="255"/>
        <v>6.8965413585818272E-2</v>
      </c>
      <c r="R90" s="836">
        <f>IFERROR(SUMIF('Sell-down'!$L$10:$EQ$10,$M90,$L$32:$EQ$32)/(COUNTIF('Sell-down'!$L$10:$EQ$10,'Sell-down'!$M90)),)</f>
        <v>50401023.423423417</v>
      </c>
      <c r="S90" s="13">
        <f ca="1">SUMIF('Sell-down'!$L$10:$EQ$10,$M90,$L$28:$EQ$28)</f>
        <v>2031213.1788212531</v>
      </c>
      <c r="T90" s="13">
        <f>SUMIF('Sell-down'!$L$10:$EQ$10,$M90,$L$29:$EQ$29)</f>
        <v>0</v>
      </c>
      <c r="U90" s="1042">
        <f t="shared" ca="1" si="256"/>
        <v>8.0602060865187328E-2</v>
      </c>
      <c r="V90" s="948">
        <f>IFERROR(SUMIF('Sell-down'!$L$10:$EQ$10,$M90,'Sell-down'!$L$53:$EQ$53)/(COUNTIF('Sell-down'!$L$10:$EQ$10,'Sell-down'!$M90)),)</f>
        <v>14800000</v>
      </c>
      <c r="W90" s="13">
        <f ca="1">SUMIF('Sell-down'!$L$10:$EQ$10,$M90,'Sell-down'!$L$49:$EQ$49)</f>
        <v>0</v>
      </c>
      <c r="X90" s="13">
        <f>SUMIF('Sell-down'!$L$10:$EQ$10,$M90,'Sell-down'!$L$50:$EQ$50)</f>
        <v>0</v>
      </c>
      <c r="Y90" s="949">
        <f t="shared" ca="1" si="257"/>
        <v>0</v>
      </c>
      <c r="Z90" s="948">
        <f t="shared" si="258"/>
        <v>89561060.036695719</v>
      </c>
      <c r="AA90" s="13">
        <f t="shared" ca="1" si="259"/>
        <v>2871213.1788212531</v>
      </c>
      <c r="AB90" s="13">
        <f t="shared" si="260"/>
        <v>0</v>
      </c>
      <c r="AC90" s="1305">
        <f t="shared" ca="1" si="261"/>
        <v>6.411744518532575E-2</v>
      </c>
      <c r="AF90" s="2785" t="s">
        <v>665</v>
      </c>
      <c r="AG90" s="3104"/>
      <c r="AH90" s="3105"/>
      <c r="AI90" s="3105"/>
      <c r="AJ90" s="3105"/>
      <c r="AK90" s="3105"/>
    </row>
    <row r="91" spans="12:37" ht="13.35" customHeight="1">
      <c r="L91" s="66"/>
      <c r="M91" s="268">
        <f t="shared" si="254"/>
        <v>14</v>
      </c>
      <c r="N91" s="836">
        <f>IFERROR(SUMIF('Sell-down'!$L$10:$EQ$10,$M91,'Sell-down'!$L$21:$EQ$21)/(COUNTIF('Sell-down'!$L$10:$EQ$10,'Sell-down'!$M91)),)</f>
        <v>24360036.613272306</v>
      </c>
      <c r="O91" s="13">
        <f ca="1">SUMIF('Sell-down'!$L$10:$EQ$10,$M91,'Sell-down'!$L$17:$EQ$17)</f>
        <v>840000.00000000012</v>
      </c>
      <c r="P91" s="13">
        <f>SUMIF('Sell-down'!$L$10:$EQ$10,$M91,'Sell-down'!$L$18:$EQ$18)</f>
        <v>0</v>
      </c>
      <c r="Q91" s="1042">
        <f t="shared" ca="1" si="255"/>
        <v>6.8965413585818272E-2</v>
      </c>
      <c r="R91" s="836">
        <f>IFERROR(SUMIF('Sell-down'!$L$10:$EQ$10,$M91,$L$32:$EQ$32)/(COUNTIF('Sell-down'!$L$10:$EQ$10,'Sell-down'!$M91)),)</f>
        <v>50401023.423423417</v>
      </c>
      <c r="S91" s="13">
        <f ca="1">SUMIF('Sell-down'!$L$10:$EQ$10,$M91,$L$28:$EQ$28)</f>
        <v>2480274.6567853596</v>
      </c>
      <c r="T91" s="13">
        <f>SUMIF('Sell-down'!$L$10:$EQ$10,$M91,$L$29:$EQ$29)</f>
        <v>0</v>
      </c>
      <c r="U91" s="1042">
        <f t="shared" ca="1" si="256"/>
        <v>9.8421598940495902E-2</v>
      </c>
      <c r="V91" s="948">
        <f>IFERROR(SUMIF('Sell-down'!$L$10:$EQ$10,$M91,'Sell-down'!$L$53:$EQ$53)/(COUNTIF('Sell-down'!$L$10:$EQ$10,'Sell-down'!$M91)),)</f>
        <v>14800000</v>
      </c>
      <c r="W91" s="13">
        <f ca="1">SUMIF('Sell-down'!$L$10:$EQ$10,$M91,'Sell-down'!$L$49:$EQ$49)</f>
        <v>0</v>
      </c>
      <c r="X91" s="13">
        <f>SUMIF('Sell-down'!$L$10:$EQ$10,$M91,'Sell-down'!$L$50:$EQ$50)</f>
        <v>0</v>
      </c>
      <c r="Y91" s="949">
        <f t="shared" ca="1" si="257"/>
        <v>0</v>
      </c>
      <c r="Z91" s="948">
        <f t="shared" si="258"/>
        <v>89561060.036695719</v>
      </c>
      <c r="AA91" s="13">
        <f t="shared" ca="1" si="259"/>
        <v>3320274.6567853596</v>
      </c>
      <c r="AB91" s="13">
        <f t="shared" si="260"/>
        <v>0</v>
      </c>
      <c r="AC91" s="1305">
        <f t="shared" ca="1" si="261"/>
        <v>7.4145497059211862E-2</v>
      </c>
    </row>
    <row r="92" spans="12:37" ht="13.35" customHeight="1">
      <c r="L92" s="66"/>
      <c r="M92" s="268">
        <f t="shared" si="254"/>
        <v>15</v>
      </c>
      <c r="N92" s="836">
        <f>IFERROR(SUMIF('Sell-down'!$L$10:$EQ$10,$M92,'Sell-down'!$L$21:$EQ$21)/(COUNTIF('Sell-down'!$L$10:$EQ$10,'Sell-down'!$M92)),)</f>
        <v>24360036.613272306</v>
      </c>
      <c r="O92" s="13">
        <f ca="1">SUMIF('Sell-down'!$L$10:$EQ$10,$M92,'Sell-down'!$L$17:$EQ$17)</f>
        <v>840000.00000000012</v>
      </c>
      <c r="P92" s="13">
        <f>SUMIF('Sell-down'!$L$10:$EQ$10,$M92,'Sell-down'!$L$18:$EQ$18)</f>
        <v>0</v>
      </c>
      <c r="Q92" s="1042">
        <f t="shared" ca="1" si="255"/>
        <v>6.8965413585818272E-2</v>
      </c>
      <c r="R92" s="836">
        <f>IFERROR(SUMIF('Sell-down'!$L$10:$EQ$10,$M92,$L$32:$EQ$32)/(COUNTIF('Sell-down'!$L$10:$EQ$10,'Sell-down'!$M92)),)</f>
        <v>50401023.423423417</v>
      </c>
      <c r="S92" s="13">
        <f ca="1">SUMIF('Sell-down'!$L$10:$EQ$10,$M92,$L$28:$EQ$28)</f>
        <v>2035583.1337032691</v>
      </c>
      <c r="T92" s="13">
        <f>SUMIF('Sell-down'!$L$10:$EQ$10,$M92,$L$29:$EQ$29)</f>
        <v>0</v>
      </c>
      <c r="U92" s="1042">
        <f t="shared" ca="1" si="256"/>
        <v>8.0775468251989918E-2</v>
      </c>
      <c r="V92" s="948">
        <f>IFERROR(SUMIF('Sell-down'!$L$10:$EQ$10,$M92,'Sell-down'!$L$53:$EQ$53)/(COUNTIF('Sell-down'!$L$10:$EQ$10,'Sell-down'!$M92)),)</f>
        <v>14800000</v>
      </c>
      <c r="W92" s="13">
        <f ca="1">SUMIF('Sell-down'!$L$10:$EQ$10,$M92,'Sell-down'!$L$49:$EQ$49)</f>
        <v>0</v>
      </c>
      <c r="X92" s="13">
        <f>SUMIF('Sell-down'!$L$10:$EQ$10,$M92,'Sell-down'!$L$50:$EQ$50)</f>
        <v>0</v>
      </c>
      <c r="Y92" s="949">
        <f t="shared" ca="1" si="257"/>
        <v>0</v>
      </c>
      <c r="Z92" s="948">
        <f t="shared" si="258"/>
        <v>89561060.036695719</v>
      </c>
      <c r="AA92" s="13">
        <f t="shared" ca="1" si="259"/>
        <v>2875583.1337032691</v>
      </c>
      <c r="AB92" s="13">
        <f t="shared" si="260"/>
        <v>0</v>
      </c>
      <c r="AC92" s="1305">
        <f t="shared" ca="1" si="261"/>
        <v>6.4215031231766584E-2</v>
      </c>
    </row>
    <row r="93" spans="12:37" ht="13.35" customHeight="1">
      <c r="L93" s="66"/>
      <c r="M93" s="268">
        <f t="shared" si="254"/>
        <v>16</v>
      </c>
      <c r="N93" s="836">
        <f>IFERROR(SUMIF('Sell-down'!$L$10:$EQ$10,$M93,'Sell-down'!$L$21:$EQ$21)/(COUNTIF('Sell-down'!$L$10:$EQ$10,'Sell-down'!$M93)),)</f>
        <v>24360036.613272306</v>
      </c>
      <c r="O93" s="13">
        <f ca="1">SUMIF('Sell-down'!$L$10:$EQ$10,$M93,'Sell-down'!$L$17:$EQ$17)</f>
        <v>840000.00000000012</v>
      </c>
      <c r="P93" s="13">
        <f>SUMIF('Sell-down'!$L$10:$EQ$10,$M93,'Sell-down'!$L$18:$EQ$18)</f>
        <v>0</v>
      </c>
      <c r="Q93" s="1042">
        <f t="shared" ca="1" si="255"/>
        <v>6.8965413585818272E-2</v>
      </c>
      <c r="R93" s="836">
        <f>IFERROR(SUMIF('Sell-down'!$L$10:$EQ$10,$M93,$L$32:$EQ$32)/(COUNTIF('Sell-down'!$L$10:$EQ$10,'Sell-down'!$M93)),)</f>
        <v>50401023.423423417</v>
      </c>
      <c r="S93" s="13">
        <f ca="1">SUMIF('Sell-down'!$L$10:$EQ$10,$M93,$L$28:$EQ$28)</f>
        <v>1875000</v>
      </c>
      <c r="T93" s="13">
        <f>SUMIF('Sell-down'!$L$10:$EQ$10,$M93,$L$29:$EQ$29)</f>
        <v>0</v>
      </c>
      <c r="U93" s="1042">
        <f t="shared" ca="1" si="256"/>
        <v>7.4403251070834842E-2</v>
      </c>
      <c r="V93" s="948">
        <f>IFERROR(SUMIF('Sell-down'!$L$10:$EQ$10,$M93,'Sell-down'!$L$53:$EQ$53)/(COUNTIF('Sell-down'!$L$10:$EQ$10,'Sell-down'!$M93)),)</f>
        <v>14800000</v>
      </c>
      <c r="W93" s="13">
        <f ca="1">SUMIF('Sell-down'!$L$10:$EQ$10,$M93,'Sell-down'!$L$49:$EQ$49)</f>
        <v>0</v>
      </c>
      <c r="X93" s="13">
        <f>SUMIF('Sell-down'!$L$10:$EQ$10,$M93,'Sell-down'!$L$50:$EQ$50)</f>
        <v>0</v>
      </c>
      <c r="Y93" s="949">
        <f t="shared" ca="1" si="257"/>
        <v>0</v>
      </c>
      <c r="Z93" s="948">
        <f t="shared" si="258"/>
        <v>89561060.036695719</v>
      </c>
      <c r="AA93" s="13">
        <f t="shared" ca="1" si="259"/>
        <v>2715000</v>
      </c>
      <c r="AB93" s="13">
        <f t="shared" si="260"/>
        <v>0</v>
      </c>
      <c r="AC93" s="1305">
        <f t="shared" ca="1" si="261"/>
        <v>6.0629027813819694E-2</v>
      </c>
    </row>
    <row r="94" spans="12:37" ht="13.35" customHeight="1">
      <c r="L94" s="66"/>
      <c r="M94" s="268">
        <f t="shared" si="254"/>
        <v>17</v>
      </c>
      <c r="N94" s="836">
        <f>IFERROR(SUMIF('Sell-down'!$L$10:$EQ$10,$M94,'Sell-down'!$L$21:$EQ$21)/(COUNTIF('Sell-down'!$L$10:$EQ$10,'Sell-down'!$M94)),)</f>
        <v>24360036.613272306</v>
      </c>
      <c r="O94" s="13">
        <f ca="1">SUMIF('Sell-down'!$L$10:$EQ$10,$M94,'Sell-down'!$L$17:$EQ$17)</f>
        <v>840000.00000000012</v>
      </c>
      <c r="P94" s="13">
        <f>SUMIF('Sell-down'!$L$10:$EQ$10,$M94,'Sell-down'!$L$18:$EQ$18)</f>
        <v>0</v>
      </c>
      <c r="Q94" s="1042">
        <f t="shared" ca="1" si="255"/>
        <v>6.8965413585818272E-2</v>
      </c>
      <c r="R94" s="836">
        <f>IFERROR(SUMIF('Sell-down'!$L$10:$EQ$10,$M94,$L$32:$EQ$32)/(COUNTIF('Sell-down'!$L$10:$EQ$10,'Sell-down'!$M94)),)</f>
        <v>50401023.423423417</v>
      </c>
      <c r="S94" s="13">
        <f ca="1">SUMIF('Sell-down'!$L$10:$EQ$10,$M94,$L$28:$EQ$28)</f>
        <v>1875000</v>
      </c>
      <c r="T94" s="13">
        <f>SUMIF('Sell-down'!$L$10:$EQ$10,$M94,$L$29:$EQ$29)</f>
        <v>0</v>
      </c>
      <c r="U94" s="1042">
        <f t="shared" ca="1" si="256"/>
        <v>7.4403251070834842E-2</v>
      </c>
      <c r="V94" s="948">
        <f>IFERROR(SUMIF('Sell-down'!$L$10:$EQ$10,$M94,'Sell-down'!$L$53:$EQ$53)/(COUNTIF('Sell-down'!$L$10:$EQ$10,'Sell-down'!$M94)),)</f>
        <v>14800000</v>
      </c>
      <c r="W94" s="13">
        <f ca="1">SUMIF('Sell-down'!$L$10:$EQ$10,$M94,'Sell-down'!$L$49:$EQ$49)</f>
        <v>0</v>
      </c>
      <c r="X94" s="13">
        <f>SUMIF('Sell-down'!$L$10:$EQ$10,$M94,'Sell-down'!$L$50:$EQ$50)</f>
        <v>0</v>
      </c>
      <c r="Y94" s="949">
        <f t="shared" ca="1" si="257"/>
        <v>0</v>
      </c>
      <c r="Z94" s="948">
        <f t="shared" si="258"/>
        <v>89561060.036695719</v>
      </c>
      <c r="AA94" s="13">
        <f t="shared" ca="1" si="259"/>
        <v>2715000</v>
      </c>
      <c r="AB94" s="13">
        <f t="shared" si="260"/>
        <v>0</v>
      </c>
      <c r="AC94" s="1305">
        <f t="shared" ca="1" si="261"/>
        <v>6.0629027813819694E-2</v>
      </c>
      <c r="AE94" s="90">
        <v>1</v>
      </c>
      <c r="AF94" s="2797">
        <v>1</v>
      </c>
      <c r="AG94" s="2797">
        <v>2</v>
      </c>
    </row>
    <row r="95" spans="12:37" ht="13.35" customHeight="1">
      <c r="L95" s="66"/>
      <c r="M95" s="268">
        <f t="shared" si="254"/>
        <v>18</v>
      </c>
      <c r="N95" s="836">
        <f>IFERROR(SUMIF('Sell-down'!$L$10:$EQ$10,$M95,'Sell-down'!$L$21:$EQ$21)/(COUNTIF('Sell-down'!$L$10:$EQ$10,'Sell-down'!$M95)),)</f>
        <v>24360036.613272306</v>
      </c>
      <c r="O95" s="13">
        <f ca="1">SUMIF('Sell-down'!$L$10:$EQ$10,$M95,'Sell-down'!$L$17:$EQ$17)</f>
        <v>840000.00000000012</v>
      </c>
      <c r="P95" s="13">
        <f>SUMIF('Sell-down'!$L$10:$EQ$10,$M95,'Sell-down'!$L$18:$EQ$18)</f>
        <v>0</v>
      </c>
      <c r="Q95" s="1042">
        <f t="shared" ca="1" si="255"/>
        <v>6.8965413585818272E-2</v>
      </c>
      <c r="R95" s="836">
        <f>IFERROR(SUMIF('Sell-down'!$L$10:$EQ$10,$M95,$L$32:$EQ$32)/(COUNTIF('Sell-down'!$L$10:$EQ$10,'Sell-down'!$M95)),)</f>
        <v>50401023.423423417</v>
      </c>
      <c r="S95" s="13">
        <f ca="1">SUMIF('Sell-down'!$L$10:$EQ$10,$M95,$L$28:$EQ$28)</f>
        <v>1875000</v>
      </c>
      <c r="T95" s="13">
        <f>SUMIF('Sell-down'!$L$10:$EQ$10,$M95,$L$29:$EQ$29)</f>
        <v>0</v>
      </c>
      <c r="U95" s="1042">
        <f t="shared" ca="1" si="256"/>
        <v>7.4403251070834842E-2</v>
      </c>
      <c r="V95" s="948">
        <f>IFERROR(SUMIF('Sell-down'!$L$10:$EQ$10,$M95,'Sell-down'!$L$53:$EQ$53)/(COUNTIF('Sell-down'!$L$10:$EQ$10,'Sell-down'!$M95)),)</f>
        <v>14800000</v>
      </c>
      <c r="W95" s="13">
        <f ca="1">SUMIF('Sell-down'!$L$10:$EQ$10,$M95,'Sell-down'!$L$49:$EQ$49)</f>
        <v>0</v>
      </c>
      <c r="X95" s="13">
        <f>SUMIF('Sell-down'!$L$10:$EQ$10,$M95,'Sell-down'!$L$50:$EQ$50)</f>
        <v>0</v>
      </c>
      <c r="Y95" s="949">
        <f t="shared" ca="1" si="257"/>
        <v>0</v>
      </c>
      <c r="Z95" s="948">
        <f t="shared" si="258"/>
        <v>89561060.036695719</v>
      </c>
      <c r="AA95" s="13">
        <f t="shared" ca="1" si="259"/>
        <v>2715000</v>
      </c>
      <c r="AB95" s="13">
        <f t="shared" si="260"/>
        <v>0</v>
      </c>
      <c r="AC95" s="1305">
        <f t="shared" ca="1" si="261"/>
        <v>6.0629027813819694E-2</v>
      </c>
      <c r="AE95" s="90">
        <f>AE94+1</f>
        <v>2</v>
      </c>
      <c r="AF95" s="2797">
        <f t="shared" ref="AF95:AF103" si="262">AG94+1</f>
        <v>3</v>
      </c>
      <c r="AG95" s="2797">
        <f t="shared" ref="AG95:AG103" si="263">AF95+1</f>
        <v>4</v>
      </c>
    </row>
    <row r="96" spans="12:37" ht="13.35" customHeight="1">
      <c r="L96" s="66"/>
      <c r="M96" s="268">
        <f t="shared" si="254"/>
        <v>19</v>
      </c>
      <c r="N96" s="836">
        <f>IFERROR(SUMIF('Sell-down'!$L$10:$EQ$10,$M96,'Sell-down'!$L$21:$EQ$21)/(COUNTIF('Sell-down'!$L$10:$EQ$10,'Sell-down'!$M96)),)</f>
        <v>24360036.613272306</v>
      </c>
      <c r="O96" s="13">
        <f ca="1">SUMIF('Sell-down'!$L$10:$EQ$10,$M96,'Sell-down'!$L$17:$EQ$17)</f>
        <v>840000.00000000012</v>
      </c>
      <c r="P96" s="13">
        <f>SUMIF('Sell-down'!$L$10:$EQ$10,$M96,'Sell-down'!$L$18:$EQ$18)</f>
        <v>0</v>
      </c>
      <c r="Q96" s="1042">
        <f t="shared" ca="1" si="255"/>
        <v>6.8965413585818272E-2</v>
      </c>
      <c r="R96" s="836">
        <f>IFERROR(SUMIF('Sell-down'!$L$10:$EQ$10,$M96,$L$32:$EQ$32)/(COUNTIF('Sell-down'!$L$10:$EQ$10,'Sell-down'!$M96)),)</f>
        <v>50401023.423423417</v>
      </c>
      <c r="S96" s="13">
        <f ca="1">SUMIF('Sell-down'!$L$10:$EQ$10,$M96,$L$28:$EQ$28)</f>
        <v>1875000</v>
      </c>
      <c r="T96" s="13">
        <f>SUMIF('Sell-down'!$L$10:$EQ$10,$M96,$L$29:$EQ$29)</f>
        <v>0</v>
      </c>
      <c r="U96" s="1042">
        <f t="shared" ca="1" si="256"/>
        <v>7.4403251070834842E-2</v>
      </c>
      <c r="V96" s="948">
        <f>IFERROR(SUMIF('Sell-down'!$L$10:$EQ$10,$M96,'Sell-down'!$L$53:$EQ$53)/(COUNTIF('Sell-down'!$L$10:$EQ$10,'Sell-down'!$M96)),)</f>
        <v>14800000</v>
      </c>
      <c r="W96" s="13">
        <f ca="1">SUMIF('Sell-down'!$L$10:$EQ$10,$M96,'Sell-down'!$L$49:$EQ$49)</f>
        <v>0</v>
      </c>
      <c r="X96" s="13">
        <f>SUMIF('Sell-down'!$L$10:$EQ$10,$M96,'Sell-down'!$L$50:$EQ$50)</f>
        <v>0</v>
      </c>
      <c r="Y96" s="949">
        <f t="shared" ca="1" si="257"/>
        <v>0</v>
      </c>
      <c r="Z96" s="948">
        <f t="shared" si="258"/>
        <v>89561060.036695719</v>
      </c>
      <c r="AA96" s="13">
        <f t="shared" ca="1" si="259"/>
        <v>2715000</v>
      </c>
      <c r="AB96" s="13">
        <f t="shared" si="260"/>
        <v>0</v>
      </c>
      <c r="AC96" s="1305">
        <f t="shared" ca="1" si="261"/>
        <v>6.0629027813819694E-2</v>
      </c>
      <c r="AE96" s="90">
        <f t="shared" ref="AE96:AE103" si="264">AE95+1</f>
        <v>3</v>
      </c>
      <c r="AF96" s="2797">
        <f t="shared" si="262"/>
        <v>5</v>
      </c>
      <c r="AG96" s="2797">
        <f t="shared" si="263"/>
        <v>6</v>
      </c>
    </row>
    <row r="97" spans="12:33" ht="13.35" customHeight="1">
      <c r="L97" s="871"/>
      <c r="M97" s="269">
        <f t="shared" si="254"/>
        <v>20</v>
      </c>
      <c r="N97" s="936">
        <f>IFERROR(SUMIF('Sell-down'!$L$10:$EQ$10,$M97,'Sell-down'!$L$21:$EQ$21)/(COUNTIF('Sell-down'!$L$10:$EQ$10,'Sell-down'!$M97)),)</f>
        <v>24360036.613272306</v>
      </c>
      <c r="O97" s="937">
        <f ca="1">SUMIF('Sell-down'!$L$10:$EQ$10,$M97,'Sell-down'!$L$17:$EQ$17)</f>
        <v>840000.00000000012</v>
      </c>
      <c r="P97" s="937">
        <f>SUMIF('Sell-down'!$L$10:$EQ$10,$M97,'Sell-down'!$L$18:$EQ$18)</f>
        <v>-360036.61327230558</v>
      </c>
      <c r="Q97" s="1079">
        <f t="shared" ca="1" si="255"/>
        <v>3.9405801752054152E-2</v>
      </c>
      <c r="R97" s="936">
        <f>IFERROR(SUMIF('Sell-down'!$L$10:$EQ$10,$M97,$L$32:$EQ$32)/(COUNTIF('Sell-down'!$L$10:$EQ$10,'Sell-down'!$M97)),)</f>
        <v>50401023.423423417</v>
      </c>
      <c r="S97" s="937">
        <f ca="1">SUMIF('Sell-down'!$L$10:$EQ$10,$M97,$L$28:$EQ$28)</f>
        <v>1875000</v>
      </c>
      <c r="T97" s="937">
        <f>SUMIF('Sell-down'!$L$10:$EQ$10,$M97,$L$29:$EQ$29)</f>
        <v>11286589.91414351</v>
      </c>
      <c r="U97" s="1079">
        <f t="shared" ca="1" si="256"/>
        <v>0.52227470873247317</v>
      </c>
      <c r="V97" s="950">
        <f>IFERROR(SUMIF('Sell-down'!$L$10:$EQ$10,$M97,'Sell-down'!$L$53:$EQ$53)/(COUNTIF('Sell-down'!$L$10:$EQ$10,'Sell-down'!$M97)),)</f>
        <v>14800000</v>
      </c>
      <c r="W97" s="860">
        <f ca="1">SUMIF('Sell-down'!$L$10:$EQ$10,$M97,'Sell-down'!$L$49:$EQ$49)</f>
        <v>0</v>
      </c>
      <c r="X97" s="860">
        <f>SUMIF('Sell-down'!$L$10:$EQ$10,$M97,'Sell-down'!$L$50:$EQ$50)</f>
        <v>47070453.350267738</v>
      </c>
      <c r="Y97" s="951">
        <f t="shared" ca="1" si="257"/>
        <v>6.3608720743605049</v>
      </c>
      <c r="Z97" s="950">
        <f t="shared" si="258"/>
        <v>89561060.036695719</v>
      </c>
      <c r="AA97" s="860">
        <f t="shared" ca="1" si="259"/>
        <v>2715000</v>
      </c>
      <c r="AB97" s="860">
        <f t="shared" si="260"/>
        <v>57997006.651138939</v>
      </c>
      <c r="AC97" s="1306">
        <f t="shared" ca="1" si="261"/>
        <v>1.355767933659193</v>
      </c>
      <c r="AE97" s="90">
        <f t="shared" si="264"/>
        <v>4</v>
      </c>
      <c r="AF97" s="2797">
        <f t="shared" si="262"/>
        <v>7</v>
      </c>
      <c r="AG97" s="2797">
        <f t="shared" si="263"/>
        <v>8</v>
      </c>
    </row>
    <row r="98" spans="12:33" ht="13.35" customHeight="1">
      <c r="L98" s="261"/>
      <c r="M98" s="118" t="s">
        <v>59</v>
      </c>
      <c r="N98" s="836">
        <f>AVERAGE(N82:N97)</f>
        <v>24360036.613272306</v>
      </c>
      <c r="O98" s="13">
        <f ca="1">SUM(O77:O97)</f>
        <v>13440000.000000002</v>
      </c>
      <c r="P98" s="13">
        <f>SUM(P77:P97)</f>
        <v>-360036.61327230558</v>
      </c>
      <c r="Q98" s="22"/>
      <c r="R98" s="836">
        <f>AVERAGE(R78:R97)</f>
        <v>46960921.08108107</v>
      </c>
      <c r="S98" s="13">
        <f ca="1">SUM(S77:S97)</f>
        <v>34950000</v>
      </c>
      <c r="T98" s="13">
        <f>SUM(T77:T97)</f>
        <v>11286589.91414351</v>
      </c>
      <c r="U98" s="22"/>
      <c r="V98" s="13">
        <f>AVERAGE(V78:V97)</f>
        <v>14800000</v>
      </c>
      <c r="W98" s="13">
        <f ca="1">SUM(W77:W97)</f>
        <v>1110000</v>
      </c>
      <c r="X98" s="13">
        <f>SUM(X77:X97)</f>
        <v>47070453.350267738</v>
      </c>
      <c r="Y98" s="120"/>
      <c r="Z98" s="13">
        <f>AVERAGE(Z78:Z97)</f>
        <v>81248950.371698916</v>
      </c>
      <c r="AA98" s="13">
        <f ca="1">SUM(AA77:AA97)</f>
        <v>49500000</v>
      </c>
      <c r="AB98" s="13">
        <f>SUM(AB77:AB97)</f>
        <v>57997006.651138939</v>
      </c>
      <c r="AC98" s="120"/>
      <c r="AE98" s="90">
        <f t="shared" si="264"/>
        <v>5</v>
      </c>
      <c r="AF98" s="2797">
        <f t="shared" si="262"/>
        <v>9</v>
      </c>
      <c r="AG98" s="2797">
        <f t="shared" si="263"/>
        <v>10</v>
      </c>
    </row>
    <row r="99" spans="12:33" ht="13.35" customHeight="1">
      <c r="L99" s="261"/>
      <c r="M99" s="5" t="s">
        <v>260</v>
      </c>
      <c r="N99" s="119"/>
      <c r="O99" s="5" t="b">
        <f ca="1">O98=J17</f>
        <v>1</v>
      </c>
      <c r="P99" s="5" t="b">
        <f>P98=J18</f>
        <v>1</v>
      </c>
      <c r="Q99" s="952">
        <f>'Sell-down'!I15</f>
        <v>24360036.613272306</v>
      </c>
      <c r="R99" s="119"/>
      <c r="S99" s="5" t="b">
        <f ca="1">S98=J28</f>
        <v>1</v>
      </c>
      <c r="T99" s="5" t="b">
        <f>T98=J29</f>
        <v>1</v>
      </c>
      <c r="U99" s="952">
        <f>R97</f>
        <v>50401023.423423417</v>
      </c>
      <c r="W99" s="5" t="b">
        <f ca="1">W98=J49</f>
        <v>1</v>
      </c>
      <c r="X99" s="5" t="b">
        <f>X98=J50</f>
        <v>1</v>
      </c>
      <c r="Y99" s="953">
        <f>'Sell-down'!I47</f>
        <v>14873999.999999998</v>
      </c>
      <c r="AA99" s="13" t="b">
        <f ca="1">SUM(J17,J28,J49)=AA98</f>
        <v>1</v>
      </c>
      <c r="AB99" s="13" t="b">
        <f>SUM(J18,J29,J50)=AB98</f>
        <v>1</v>
      </c>
      <c r="AC99" s="953">
        <f>SUM(Q99,Y99,U99)</f>
        <v>89635060.036695719</v>
      </c>
      <c r="AE99" s="90">
        <f t="shared" si="264"/>
        <v>6</v>
      </c>
      <c r="AF99" s="2797">
        <f t="shared" si="262"/>
        <v>11</v>
      </c>
      <c r="AG99" s="2797">
        <f t="shared" si="263"/>
        <v>12</v>
      </c>
    </row>
    <row r="100" spans="12:33" ht="13.35" customHeight="1">
      <c r="L100" s="263"/>
      <c r="M100" s="32" t="s">
        <v>265</v>
      </c>
      <c r="N100" s="954"/>
      <c r="O100" s="32"/>
      <c r="P100" s="32"/>
      <c r="Q100" s="955">
        <f ca="1">'Sell-down'!H19</f>
        <v>6.8965413585818272E-2</v>
      </c>
      <c r="R100" s="954"/>
      <c r="S100" s="32"/>
      <c r="T100" s="32"/>
      <c r="U100" s="955">
        <f ca="1">(S98/R98)*(12/H52)</f>
        <v>7.4423582833174337E-2</v>
      </c>
      <c r="V100" s="32"/>
      <c r="W100" s="32"/>
      <c r="X100" s="32"/>
      <c r="Y100" s="957">
        <f ca="1">'Sell-down'!H51</f>
        <v>7.4626865671641798E-3</v>
      </c>
      <c r="Z100" s="32"/>
      <c r="AA100" s="32"/>
      <c r="AB100" s="3296">
        <f ca="1">(SUM(AA98,AB98)/AC99)*(12/'Sell-down'!$H$52)</f>
        <v>0.11992741077780358</v>
      </c>
      <c r="AC100" s="957">
        <f ca="1">(AA98/Z98)*(12/'Sell-down'!$H$52)</f>
        <v>6.0923863968145635E-2</v>
      </c>
      <c r="AE100" s="90">
        <f t="shared" si="264"/>
        <v>7</v>
      </c>
      <c r="AF100" s="2797">
        <f t="shared" si="262"/>
        <v>13</v>
      </c>
      <c r="AG100" s="2797">
        <f t="shared" si="263"/>
        <v>14</v>
      </c>
    </row>
    <row r="101" spans="12:33" ht="13.35" customHeight="1">
      <c r="L101" s="261"/>
      <c r="M101" s="5" t="s">
        <v>630</v>
      </c>
      <c r="N101" s="119"/>
      <c r="Q101" s="938">
        <f ca="1">'Sell-down'!I19</f>
        <v>6.8682525419865303E-2</v>
      </c>
      <c r="R101" s="119"/>
      <c r="U101" s="938">
        <f ca="1">I30</f>
        <v>7.4452012839268944E-2</v>
      </c>
      <c r="Y101" s="958">
        <f ca="1">'Sell-down'!I51</f>
        <v>7.7792962088110151E-3</v>
      </c>
      <c r="AC101" s="958">
        <f ca="1">'Sell-down'!I58</f>
        <v>6.0864416203247673E-2</v>
      </c>
      <c r="AE101" s="90">
        <f t="shared" si="264"/>
        <v>8</v>
      </c>
      <c r="AF101" s="2797">
        <f t="shared" si="262"/>
        <v>15</v>
      </c>
      <c r="AG101" s="2797">
        <f t="shared" si="263"/>
        <v>16</v>
      </c>
    </row>
    <row r="102" spans="12:33" ht="13.35" customHeight="1">
      <c r="L102" s="261"/>
      <c r="M102" s="5" t="s">
        <v>267</v>
      </c>
      <c r="N102" s="119"/>
      <c r="Q102" s="938">
        <f ca="1">'Sell-down'!I20</f>
        <v>6.719475758016058E-2</v>
      </c>
      <c r="R102" s="119"/>
      <c r="U102" s="938">
        <f ca="1">I31</f>
        <v>9.0940251720739385E-2</v>
      </c>
      <c r="Y102" s="958">
        <f ca="1">'Sell-down'!I52</f>
        <v>0.16181544839707418</v>
      </c>
      <c r="AC102" s="958">
        <f ca="1">'Sell-down'!I59</f>
        <v>0.10707040486475727</v>
      </c>
      <c r="AE102" s="90">
        <f t="shared" si="264"/>
        <v>9</v>
      </c>
      <c r="AF102" s="2797">
        <f t="shared" si="262"/>
        <v>17</v>
      </c>
      <c r="AG102" s="2797">
        <f t="shared" si="263"/>
        <v>18</v>
      </c>
    </row>
    <row r="103" spans="12:33" ht="13.35" customHeight="1">
      <c r="L103" s="872"/>
      <c r="M103" s="138" t="s">
        <v>268</v>
      </c>
      <c r="N103" s="137"/>
      <c r="O103" s="138"/>
      <c r="P103" s="138"/>
      <c r="Q103" s="956">
        <f ca="1">(SUM(O98:P98)+N98)/Q99</f>
        <v>1.5369435027696641</v>
      </c>
      <c r="R103" s="137"/>
      <c r="S103" s="138"/>
      <c r="T103" s="138"/>
      <c r="U103" s="956">
        <f ca="1">(SUM(S98:T98)+R98)/U99</f>
        <v>1.8491194159345559</v>
      </c>
      <c r="V103" s="138"/>
      <c r="W103" s="138"/>
      <c r="X103" s="138"/>
      <c r="Y103" s="959">
        <f ca="1">(SUM(W98:X98)+V98)/Y99</f>
        <v>4.234264713612192</v>
      </c>
      <c r="Z103" s="138"/>
      <c r="AA103" s="138"/>
      <c r="AB103" s="138"/>
      <c r="AC103" s="959">
        <f ca="1">(SUM(AA98:AB98)+Z98)/AC99</f>
        <v>2.1057157427636808</v>
      </c>
      <c r="AE103" s="90">
        <f t="shared" si="264"/>
        <v>10</v>
      </c>
      <c r="AF103" s="2797">
        <f t="shared" si="262"/>
        <v>19</v>
      </c>
      <c r="AG103" s="2797">
        <f t="shared" si="263"/>
        <v>20</v>
      </c>
    </row>
    <row r="111" spans="12:33" ht="13.35" customHeight="1">
      <c r="L111" s="6" t="s">
        <v>274</v>
      </c>
      <c r="M111" s="7"/>
      <c r="N111" s="700" t="s">
        <v>1081</v>
      </c>
      <c r="O111" s="700"/>
      <c r="P111" s="700"/>
      <c r="Q111" s="700"/>
      <c r="R111" s="1813" t="s">
        <v>1082</v>
      </c>
      <c r="S111" s="1813"/>
      <c r="T111" s="1813"/>
      <c r="U111" s="1813"/>
      <c r="V111" s="942" t="s">
        <v>19</v>
      </c>
      <c r="W111" s="943"/>
      <c r="X111" s="943"/>
      <c r="Y111" s="944"/>
      <c r="Z111" s="1149" t="s">
        <v>651</v>
      </c>
      <c r="AA111" s="1150"/>
      <c r="AB111" s="1150"/>
      <c r="AC111" s="1151"/>
    </row>
    <row r="112" spans="12:33" ht="13.35" customHeight="1">
      <c r="L112" s="101" t="s">
        <v>24</v>
      </c>
      <c r="M112" s="18"/>
      <c r="N112" s="285" t="s">
        <v>259</v>
      </c>
      <c r="O112" s="16" t="s">
        <v>261</v>
      </c>
      <c r="P112" s="16" t="s">
        <v>262</v>
      </c>
      <c r="Q112" s="16" t="s">
        <v>263</v>
      </c>
      <c r="R112" s="285" t="s">
        <v>259</v>
      </c>
      <c r="S112" s="16" t="s">
        <v>261</v>
      </c>
      <c r="T112" s="16" t="s">
        <v>262</v>
      </c>
      <c r="U112" s="16" t="s">
        <v>263</v>
      </c>
      <c r="V112" s="945" t="s">
        <v>260</v>
      </c>
      <c r="W112" s="18" t="s">
        <v>261</v>
      </c>
      <c r="X112" s="18" t="s">
        <v>262</v>
      </c>
      <c r="Y112" s="946" t="s">
        <v>263</v>
      </c>
      <c r="Z112" s="945" t="s">
        <v>259</v>
      </c>
      <c r="AA112" s="18" t="s">
        <v>261</v>
      </c>
      <c r="AB112" s="18" t="s">
        <v>262</v>
      </c>
      <c r="AC112" s="946" t="s">
        <v>263</v>
      </c>
    </row>
    <row r="113" spans="12:34" ht="13.35" customHeight="1">
      <c r="L113" s="105"/>
      <c r="M113" s="2798">
        <v>0</v>
      </c>
      <c r="N113" s="934">
        <f>IFERROR(SUMIF('Sell-down'!$L$11:$EQ$11,$M113,'Sell-down'!$L$21:$EQ$21)/(COUNTIF('Sell-down'!$L$11:$EQ$11,'Sell-down'!$M113)),)</f>
        <v>0</v>
      </c>
      <c r="O113" s="935">
        <f ca="1">SUMIF('Sell-down'!$L$11:$EQ$11,$M113,'Sell-down'!$L$17:$EQ$17)</f>
        <v>0</v>
      </c>
      <c r="P113" s="935">
        <f>SUMIF('Sell-down'!$L$11:$EQ$11,$M113,'Sell-down'!$L$18:$EQ$18)</f>
        <v>0</v>
      </c>
      <c r="Q113" s="930"/>
      <c r="R113" s="934">
        <f>IFERROR(SUMIF('Sell-down'!$L$11:$EQ$11,$M113,$L$32:$EQ$32)/(COUNTIF('Sell-down'!$L$11:$EQ$11,'Sell-down'!$M113)),)</f>
        <v>0</v>
      </c>
      <c r="S113" s="935">
        <f>SUMIF('Sell-down'!$L$11:$EQ$11,$M113,$L$28:$EQ$28)</f>
        <v>0</v>
      </c>
      <c r="T113" s="935">
        <f>SUMIF('Sell-down'!$L$11:$EQ$11,$M113,$L$29:$EQ$29)</f>
        <v>0</v>
      </c>
      <c r="U113" s="930"/>
      <c r="V113" s="947">
        <f>IFERROR(SUMIF('Sell-down'!$L$11:$EQ$11,$M113,'Sell-down'!$L$53:$EQ$53)/(COUNTIF('Sell-down'!$L$11:$EQ$11,'Sell-down'!$M113)),)</f>
        <v>0</v>
      </c>
      <c r="W113" s="935">
        <f ca="1">SUMIF('Sell-down'!$L$11:$EQ$11,$M113,'Sell-down'!$L$49:$EQ$49)</f>
        <v>0</v>
      </c>
      <c r="X113" s="935">
        <f>SUMIF('Sell-down'!$L$11:$EQ$11,$M113,'Sell-down'!$L$50:$EQ$50)</f>
        <v>0</v>
      </c>
      <c r="Y113" s="106"/>
      <c r="Z113" s="947">
        <f>N113+V113+R113</f>
        <v>0</v>
      </c>
      <c r="AA113" s="935">
        <f ca="1">SUM(O113,W113,S113)</f>
        <v>0</v>
      </c>
      <c r="AB113" s="935">
        <f>SUM(P113,X113,T113)</f>
        <v>0</v>
      </c>
      <c r="AC113" s="106"/>
    </row>
    <row r="114" spans="12:34" ht="13.35" customHeight="1">
      <c r="L114" s="870"/>
      <c r="M114" s="2799">
        <f>M113+1</f>
        <v>1</v>
      </c>
      <c r="N114" s="836">
        <f>IFERROR(SUMIF('Sell-down'!$L$11:$EQ$11,$M114,'Sell-down'!$L$21:$EQ$21)/(COUNTIF('Sell-down'!$L$11:$EQ$11,'Sell-down'!$M114)),)</f>
        <v>0</v>
      </c>
      <c r="O114" s="13">
        <f ca="1">SUMIF('Sell-down'!$L$11:$EQ$11,$M114,'Sell-down'!$L$17:$EQ$17)</f>
        <v>0</v>
      </c>
      <c r="P114" s="13">
        <f>SUMIF('Sell-down'!$L$11:$EQ$11,$M114,'Sell-down'!$L$18:$EQ$18)</f>
        <v>0</v>
      </c>
      <c r="Q114" s="1042">
        <f t="shared" ref="Q114:Q115" ca="1" si="265">IFERROR(SUM(O114:P114)/N114*(12/6),)</f>
        <v>0</v>
      </c>
      <c r="R114" s="836">
        <f>IFERROR(SUMIF('Sell-down'!$L$11:$EQ$11,$M114,$L$32:$EQ$32)/(COUNTIF('Sell-down'!$L$11:$EQ$11,'Sell-down'!$M114)),)</f>
        <v>16000000</v>
      </c>
      <c r="S114" s="13">
        <f ca="1">SUMIF('Sell-down'!$L$11:$EQ$11,$M114,$L$28:$EQ$28)</f>
        <v>1200000</v>
      </c>
      <c r="T114" s="13">
        <f>SUMIF('Sell-down'!$L$11:$EQ$11,$M114,$L$29:$EQ$29)</f>
        <v>0</v>
      </c>
      <c r="U114" s="1042">
        <f t="shared" ref="U114" ca="1" si="266">IFERROR(SUM(S114:T114)/R114*(12/6),)</f>
        <v>0.15</v>
      </c>
      <c r="V114" s="948">
        <f>IFERROR(SUMIF('Sell-down'!$L$11:$EQ$11,$M114,'Sell-down'!$L$53:$EQ$53)/(COUNTIF('Sell-down'!$L$11:$EQ$11,'Sell-down'!$M114)),)</f>
        <v>14800000</v>
      </c>
      <c r="W114" s="13">
        <f ca="1">SUMIF('Sell-down'!$L$11:$EQ$11,$M114,'Sell-down'!$L$49:$EQ$49)</f>
        <v>1110000</v>
      </c>
      <c r="X114" s="13">
        <f>SUMIF('Sell-down'!$L$11:$EQ$11,$M114,'Sell-down'!$L$50:$EQ$50)</f>
        <v>0</v>
      </c>
      <c r="Y114" s="949">
        <f ca="1">IFERROR(SUM(W114:X114)/V114,)</f>
        <v>7.4999999999999997E-2</v>
      </c>
      <c r="Z114" s="948">
        <f t="shared" ref="Z114:Z123" si="267">N114+V114+R114</f>
        <v>30800000</v>
      </c>
      <c r="AA114" s="13">
        <f t="shared" ref="AA114:AA123" ca="1" si="268">SUM(O114,W114,S114)</f>
        <v>2310000</v>
      </c>
      <c r="AB114" s="13">
        <f t="shared" ref="AB114:AB123" si="269">SUM(P114,X114,T114)</f>
        <v>0</v>
      </c>
      <c r="AC114" s="1305">
        <f ca="1">IFERROR(SUM(AA114:AB114)/Z114,)</f>
        <v>7.4999999999999997E-2</v>
      </c>
      <c r="AD114" s="248">
        <f ca="1">IFERROR(SUM(AA114)/Z114,)</f>
        <v>7.4999999999999997E-2</v>
      </c>
      <c r="AF114" s="248">
        <f ca="1">SUM(W114:X114)/$Z114</f>
        <v>3.6038961038961037E-2</v>
      </c>
      <c r="AG114" s="248">
        <f ca="1">SUM(S114:T114)/$Z114</f>
        <v>3.896103896103896E-2</v>
      </c>
      <c r="AH114" s="248">
        <f ca="1">SUM(O114:P114)/$Z114</f>
        <v>0</v>
      </c>
    </row>
    <row r="115" spans="12:34" ht="13.35" customHeight="1">
      <c r="L115" s="99"/>
      <c r="M115" s="2799">
        <f t="shared" ref="M115:M123" si="270">M114+1</f>
        <v>2</v>
      </c>
      <c r="N115" s="836">
        <f>IFERROR(SUMIF('Sell-down'!$L$11:$EQ$11,$M115,'Sell-down'!$L$21:$EQ$21)/(COUNTIF('Sell-down'!$L$11:$EQ$11,'Sell-down'!$M115)),)</f>
        <v>0</v>
      </c>
      <c r="O115" s="13">
        <f ca="1">SUMIF('Sell-down'!$L$11:$EQ$11,$M115,'Sell-down'!$L$17:$EQ$17)</f>
        <v>0</v>
      </c>
      <c r="P115" s="13">
        <f>SUMIF('Sell-down'!$L$11:$EQ$11,$M115,'Sell-down'!$L$18:$EQ$18)</f>
        <v>0</v>
      </c>
      <c r="Q115" s="1042">
        <f t="shared" ca="1" si="265"/>
        <v>0</v>
      </c>
      <c r="R115" s="836">
        <f>IFERROR(SUMIF('Sell-down'!$L$11:$EQ$11,$M115,$L$32:$EQ$32)/(COUNTIF('Sell-down'!$L$11:$EQ$11,'Sell-down'!$M115)),)</f>
        <v>50401023.423423417</v>
      </c>
      <c r="S115" s="13">
        <f ca="1">SUMIF('Sell-down'!$L$11:$EQ$11,$M115,$L$28:$EQ$28)</f>
        <v>3750000</v>
      </c>
      <c r="T115" s="13">
        <f>SUMIF('Sell-down'!$L$11:$EQ$11,$M115,$L$29:$EQ$29)</f>
        <v>0</v>
      </c>
      <c r="U115" s="1042">
        <f ca="1">IFERROR(SUM(S115:T115)/R115,)</f>
        <v>7.4403251070834842E-2</v>
      </c>
      <c r="V115" s="948">
        <f>IFERROR(SUMIF('Sell-down'!$L$11:$EQ$11,$M115,'Sell-down'!$L$53:$EQ$53)/(COUNTIF('Sell-down'!$L$11:$EQ$11,'Sell-down'!$M115)),)</f>
        <v>14800000</v>
      </c>
      <c r="W115" s="13">
        <f ca="1">SUMIF('Sell-down'!$L$11:$EQ$11,$M115,'Sell-down'!$L$49:$EQ$49)</f>
        <v>0</v>
      </c>
      <c r="X115" s="13">
        <f>SUMIF('Sell-down'!$L$11:$EQ$11,$M115,'Sell-down'!$L$50:$EQ$50)</f>
        <v>0</v>
      </c>
      <c r="Y115" s="949">
        <f t="shared" ref="Y115:Y123" ca="1" si="271">IFERROR(SUM(W115:X115)/V115,)</f>
        <v>0</v>
      </c>
      <c r="Z115" s="948">
        <f t="shared" si="267"/>
        <v>65201023.423423417</v>
      </c>
      <c r="AA115" s="13">
        <f t="shared" ca="1" si="268"/>
        <v>3750000</v>
      </c>
      <c r="AB115" s="13">
        <f t="shared" si="269"/>
        <v>0</v>
      </c>
      <c r="AC115" s="1305">
        <f t="shared" ref="AC115:AC123" ca="1" si="272">IFERROR(SUM(AA115:AB115)/Z115,)</f>
        <v>5.7514434637736304E-2</v>
      </c>
      <c r="AD115" s="248">
        <f t="shared" ref="AD115:AD123" ca="1" si="273">IFERROR(SUM(AA115)/Z115,)</f>
        <v>5.7514434637736304E-2</v>
      </c>
      <c r="AF115" s="248">
        <f t="shared" ref="AF115:AF122" ca="1" si="274">SUM(W115:X115)/$Z115</f>
        <v>0</v>
      </c>
      <c r="AG115" s="248">
        <f t="shared" ref="AG115:AG122" ca="1" si="275">SUM(S115:T115)/$Z115</f>
        <v>5.7514434637736304E-2</v>
      </c>
      <c r="AH115" s="248">
        <f t="shared" ref="AH115:AH122" ca="1" si="276">SUM(O115:P115)/$Z115</f>
        <v>0</v>
      </c>
    </row>
    <row r="116" spans="12:34" ht="13.35" customHeight="1">
      <c r="L116" s="99"/>
      <c r="M116" s="2799">
        <f t="shared" si="270"/>
        <v>3</v>
      </c>
      <c r="N116" s="836">
        <f>IFERROR(SUMIF('Sell-down'!$L$11:$EQ$11,$M116,'Sell-down'!$L$21:$EQ$21)/(COUNTIF('Sell-down'!$L$11:$EQ$11,'Sell-down'!$M116)),)</f>
        <v>24360036.613272306</v>
      </c>
      <c r="O116" s="13">
        <f ca="1">SUMIF('Sell-down'!$L$11:$EQ$11,$M116,'Sell-down'!$L$17:$EQ$17)</f>
        <v>1680000.0000000002</v>
      </c>
      <c r="P116" s="13">
        <f>SUMIF('Sell-down'!$L$11:$EQ$11,$M116,'Sell-down'!$L$18:$EQ$18)</f>
        <v>0</v>
      </c>
      <c r="Q116" s="1042">
        <f ca="1">IFERROR(SUM(O116:P116)/N116,)</f>
        <v>6.8965413585818272E-2</v>
      </c>
      <c r="R116" s="836">
        <f>IFERROR(SUMIF('Sell-down'!$L$11:$EQ$11,$M116,$L$32:$EQ$32)/(COUNTIF('Sell-down'!$L$11:$EQ$11,'Sell-down'!$M116)),)</f>
        <v>50401023.423423417</v>
      </c>
      <c r="S116" s="13">
        <f ca="1">SUMIF('Sell-down'!$L$11:$EQ$11,$M116,$L$28:$EQ$28)</f>
        <v>3750000</v>
      </c>
      <c r="T116" s="13">
        <f>SUMIF('Sell-down'!$L$11:$EQ$11,$M116,$L$29:$EQ$29)</f>
        <v>0</v>
      </c>
      <c r="U116" s="1042">
        <f t="shared" ref="U116:U123" ca="1" si="277">IFERROR(SUM(S116:T116)/R116,)</f>
        <v>7.4403251070834842E-2</v>
      </c>
      <c r="V116" s="948">
        <f>IFERROR(SUMIF('Sell-down'!$L$11:$EQ$11,$M116,'Sell-down'!$L$53:$EQ$53)/(COUNTIF('Sell-down'!$L$11:$EQ$11,'Sell-down'!$M116)),)</f>
        <v>14800000</v>
      </c>
      <c r="W116" s="13">
        <f ca="1">SUMIF('Sell-down'!$L$11:$EQ$11,$M116,'Sell-down'!$L$49:$EQ$49)</f>
        <v>0</v>
      </c>
      <c r="X116" s="13">
        <f>SUMIF('Sell-down'!$L$11:$EQ$11,$M116,'Sell-down'!$L$50:$EQ$50)</f>
        <v>0</v>
      </c>
      <c r="Y116" s="949">
        <f t="shared" ca="1" si="271"/>
        <v>0</v>
      </c>
      <c r="Z116" s="948">
        <f t="shared" si="267"/>
        <v>89561060.036695719</v>
      </c>
      <c r="AA116" s="13">
        <f t="shared" ca="1" si="268"/>
        <v>5430000</v>
      </c>
      <c r="AB116" s="13">
        <f t="shared" si="269"/>
        <v>0</v>
      </c>
      <c r="AC116" s="1305">
        <f t="shared" ca="1" si="272"/>
        <v>6.0629027813819694E-2</v>
      </c>
      <c r="AD116" s="248">
        <f t="shared" ca="1" si="273"/>
        <v>6.0629027813819694E-2</v>
      </c>
      <c r="AF116" s="248">
        <f t="shared" ca="1" si="274"/>
        <v>0</v>
      </c>
      <c r="AG116" s="248">
        <f t="shared" ca="1" si="275"/>
        <v>4.1870875562030174E-2</v>
      </c>
      <c r="AH116" s="248">
        <f t="shared" ca="1" si="276"/>
        <v>1.875815225178952E-2</v>
      </c>
    </row>
    <row r="117" spans="12:34" ht="13.35" customHeight="1">
      <c r="L117" s="99"/>
      <c r="M117" s="2799">
        <f t="shared" si="270"/>
        <v>4</v>
      </c>
      <c r="N117" s="836">
        <f>IFERROR(SUMIF('Sell-down'!$L$11:$EQ$11,$M117,'Sell-down'!$L$21:$EQ$21)/(COUNTIF('Sell-down'!$L$11:$EQ$11,'Sell-down'!$M117)),)</f>
        <v>24360036.613272306</v>
      </c>
      <c r="O117" s="13">
        <f ca="1">SUMIF('Sell-down'!$L$11:$EQ$11,$M117,'Sell-down'!$L$17:$EQ$17)</f>
        <v>1680000.0000000002</v>
      </c>
      <c r="P117" s="13">
        <f>SUMIF('Sell-down'!$L$11:$EQ$11,$M117,'Sell-down'!$L$18:$EQ$18)</f>
        <v>0</v>
      </c>
      <c r="Q117" s="1042">
        <f t="shared" ref="Q117:Q123" ca="1" si="278">IFERROR(SUM(O117:P117)/N117,)</f>
        <v>6.8965413585818272E-2</v>
      </c>
      <c r="R117" s="836">
        <f>IFERROR(SUMIF('Sell-down'!$L$11:$EQ$11,$M117,$L$32:$EQ$32)/(COUNTIF('Sell-down'!$L$11:$EQ$11,'Sell-down'!$M117)),)</f>
        <v>50401023.423423417</v>
      </c>
      <c r="S117" s="13">
        <f ca="1">SUMIF('Sell-down'!$L$11:$EQ$11,$M117,$L$28:$EQ$28)</f>
        <v>3275764.0118692792</v>
      </c>
      <c r="T117" s="13">
        <f>SUMIF('Sell-down'!$L$11:$EQ$11,$M117,$L$29:$EQ$29)</f>
        <v>0</v>
      </c>
      <c r="U117" s="1042">
        <f t="shared" ca="1" si="277"/>
        <v>6.4993997926377375E-2</v>
      </c>
      <c r="V117" s="948">
        <f>IFERROR(SUMIF('Sell-down'!$L$11:$EQ$11,$M117,'Sell-down'!$L$53:$EQ$53)/(COUNTIF('Sell-down'!$L$11:$EQ$11,'Sell-down'!$M117)),)</f>
        <v>14800000</v>
      </c>
      <c r="W117" s="13">
        <f ca="1">SUMIF('Sell-down'!$L$11:$EQ$11,$M117,'Sell-down'!$L$49:$EQ$49)</f>
        <v>0</v>
      </c>
      <c r="X117" s="13">
        <f>SUMIF('Sell-down'!$L$11:$EQ$11,$M117,'Sell-down'!$L$50:$EQ$50)</f>
        <v>0</v>
      </c>
      <c r="Y117" s="949">
        <f t="shared" ca="1" si="271"/>
        <v>0</v>
      </c>
      <c r="Z117" s="948">
        <f t="shared" si="267"/>
        <v>89561060.036695719</v>
      </c>
      <c r="AA117" s="13">
        <f t="shared" ca="1" si="268"/>
        <v>4955764.0118692797</v>
      </c>
      <c r="AB117" s="13">
        <f t="shared" si="269"/>
        <v>0</v>
      </c>
      <c r="AC117" s="1305">
        <f t="shared" ca="1" si="272"/>
        <v>5.5333914201537611E-2</v>
      </c>
      <c r="AD117" s="248">
        <f t="shared" ca="1" si="273"/>
        <v>5.5333914201537611E-2</v>
      </c>
      <c r="AF117" s="248">
        <f t="shared" ca="1" si="274"/>
        <v>0</v>
      </c>
      <c r="AG117" s="248">
        <f t="shared" ca="1" si="275"/>
        <v>3.6575761949748084E-2</v>
      </c>
      <c r="AH117" s="248">
        <f t="shared" ca="1" si="276"/>
        <v>1.875815225178952E-2</v>
      </c>
    </row>
    <row r="118" spans="12:34" ht="13.35" customHeight="1">
      <c r="L118" s="99"/>
      <c r="M118" s="2799">
        <f t="shared" si="270"/>
        <v>5</v>
      </c>
      <c r="N118" s="836">
        <f>IFERROR(SUMIF('Sell-down'!$L$11:$EQ$11,$M118,'Sell-down'!$L$21:$EQ$21)/(COUNTIF('Sell-down'!$L$11:$EQ$11,'Sell-down'!$M118)),)</f>
        <v>24360036.613272306</v>
      </c>
      <c r="O118" s="13">
        <f ca="1">SUMIF('Sell-down'!$L$11:$EQ$11,$M118,'Sell-down'!$L$17:$EQ$17)</f>
        <v>1680000.0000000002</v>
      </c>
      <c r="P118" s="13">
        <f>SUMIF('Sell-down'!$L$11:$EQ$11,$M118,'Sell-down'!$L$18:$EQ$18)</f>
        <v>0</v>
      </c>
      <c r="Q118" s="1042">
        <f t="shared" ca="1" si="278"/>
        <v>6.8965413585818272E-2</v>
      </c>
      <c r="R118" s="836">
        <f>IFERROR(SUMIF('Sell-down'!$L$11:$EQ$11,$M118,$L$32:$EQ$32)/(COUNTIF('Sell-down'!$L$11:$EQ$11,'Sell-down'!$M118)),)</f>
        <v>50401023.423423417</v>
      </c>
      <c r="S118" s="13">
        <f ca="1">SUMIF('Sell-down'!$L$11:$EQ$11,$M118,$L$28:$EQ$28)</f>
        <v>2988019.9322713865</v>
      </c>
      <c r="T118" s="13">
        <f>SUMIF('Sell-down'!$L$11:$EQ$11,$M118,$L$29:$EQ$29)</f>
        <v>0</v>
      </c>
      <c r="U118" s="1042">
        <f t="shared" ca="1" si="277"/>
        <v>5.9284905926785834E-2</v>
      </c>
      <c r="V118" s="948">
        <f>IFERROR(SUMIF('Sell-down'!$L$11:$EQ$11,$M118,'Sell-down'!$L$53:$EQ$53)/(COUNTIF('Sell-down'!$L$11:$EQ$11,'Sell-down'!$M118)),)</f>
        <v>14800000</v>
      </c>
      <c r="W118" s="13">
        <f ca="1">SUMIF('Sell-down'!$L$11:$EQ$11,$M118,'Sell-down'!$L$49:$EQ$49)</f>
        <v>0</v>
      </c>
      <c r="X118" s="13">
        <f>SUMIF('Sell-down'!$L$11:$EQ$11,$M118,'Sell-down'!$L$50:$EQ$50)</f>
        <v>0</v>
      </c>
      <c r="Y118" s="949">
        <f t="shared" ca="1" si="271"/>
        <v>0</v>
      </c>
      <c r="Z118" s="948">
        <f t="shared" si="267"/>
        <v>89561060.036695719</v>
      </c>
      <c r="AA118" s="13">
        <f t="shared" ca="1" si="268"/>
        <v>4668019.9322713865</v>
      </c>
      <c r="AB118" s="13">
        <f t="shared" si="269"/>
        <v>0</v>
      </c>
      <c r="AC118" s="1305">
        <f t="shared" ca="1" si="272"/>
        <v>5.212108845472313E-2</v>
      </c>
      <c r="AD118" s="248">
        <f t="shared" ca="1" si="273"/>
        <v>5.212108845472313E-2</v>
      </c>
      <c r="AF118" s="248">
        <f t="shared" ca="1" si="274"/>
        <v>0</v>
      </c>
      <c r="AG118" s="248">
        <f t="shared" ca="1" si="275"/>
        <v>3.3362936202933617E-2</v>
      </c>
      <c r="AH118" s="248">
        <f t="shared" ca="1" si="276"/>
        <v>1.875815225178952E-2</v>
      </c>
    </row>
    <row r="119" spans="12:34" ht="13.35" customHeight="1">
      <c r="L119" s="99"/>
      <c r="M119" s="2799">
        <f t="shared" si="270"/>
        <v>6</v>
      </c>
      <c r="N119" s="836">
        <f>IFERROR(SUMIF('Sell-down'!$L$11:$EQ$11,$M119,'Sell-down'!$L$21:$EQ$21)/(COUNTIF('Sell-down'!$L$11:$EQ$11,'Sell-down'!$M119)),)</f>
        <v>24360036.613272306</v>
      </c>
      <c r="O119" s="13">
        <f ca="1">SUMIF('Sell-down'!$L$11:$EQ$11,$M119,'Sell-down'!$L$17:$EQ$17)</f>
        <v>1680000.0000000002</v>
      </c>
      <c r="P119" s="13">
        <f>SUMIF('Sell-down'!$L$11:$EQ$11,$M119,'Sell-down'!$L$18:$EQ$18)</f>
        <v>0</v>
      </c>
      <c r="Q119" s="1042">
        <f t="shared" ca="1" si="278"/>
        <v>6.8965413585818272E-2</v>
      </c>
      <c r="R119" s="836">
        <f>IFERROR(SUMIF('Sell-down'!$L$11:$EQ$11,$M119,$L$32:$EQ$32)/(COUNTIF('Sell-down'!$L$11:$EQ$11,'Sell-down'!$M119)),)</f>
        <v>50401023.423423417</v>
      </c>
      <c r="S119" s="13">
        <f ca="1">SUMIF('Sell-down'!$L$11:$EQ$11,$M119,$L$28:$EQ$28)</f>
        <v>4064145.0865494525</v>
      </c>
      <c r="T119" s="13">
        <f>SUMIF('Sell-down'!$L$11:$EQ$11,$M119,$L$29:$EQ$29)</f>
        <v>0</v>
      </c>
      <c r="U119" s="1042">
        <f t="shared" ca="1" si="277"/>
        <v>8.0636161936756989E-2</v>
      </c>
      <c r="V119" s="948">
        <f>IFERROR(SUMIF('Sell-down'!$L$11:$EQ$11,$M119,'Sell-down'!$L$53:$EQ$53)/(COUNTIF('Sell-down'!$L$11:$EQ$11,'Sell-down'!$M119)),)</f>
        <v>14800000</v>
      </c>
      <c r="W119" s="13">
        <f ca="1">SUMIF('Sell-down'!$L$11:$EQ$11,$M119,'Sell-down'!$L$49:$EQ$49)</f>
        <v>0</v>
      </c>
      <c r="X119" s="13">
        <f>SUMIF('Sell-down'!$L$11:$EQ$11,$M119,'Sell-down'!$L$50:$EQ$50)</f>
        <v>0</v>
      </c>
      <c r="Y119" s="949">
        <f t="shared" ca="1" si="271"/>
        <v>0</v>
      </c>
      <c r="Z119" s="948">
        <f t="shared" si="267"/>
        <v>89561060.036695719</v>
      </c>
      <c r="AA119" s="13">
        <f t="shared" ca="1" si="268"/>
        <v>5744145.0865494525</v>
      </c>
      <c r="AB119" s="13">
        <f t="shared" si="269"/>
        <v>0</v>
      </c>
      <c r="AC119" s="1305">
        <f t="shared" ca="1" si="272"/>
        <v>6.4136635767775785E-2</v>
      </c>
      <c r="AD119" s="248">
        <f t="shared" ca="1" si="273"/>
        <v>6.4136635767775785E-2</v>
      </c>
      <c r="AF119" s="248">
        <f t="shared" ca="1" si="274"/>
        <v>0</v>
      </c>
      <c r="AG119" s="248">
        <f t="shared" ca="1" si="275"/>
        <v>4.5378483515986258E-2</v>
      </c>
      <c r="AH119" s="248">
        <f t="shared" ca="1" si="276"/>
        <v>1.875815225178952E-2</v>
      </c>
    </row>
    <row r="120" spans="12:34" ht="13.35" customHeight="1">
      <c r="L120" s="99"/>
      <c r="M120" s="2799">
        <f t="shared" si="270"/>
        <v>7</v>
      </c>
      <c r="N120" s="836">
        <f>IFERROR(SUMIF('Sell-down'!$L$11:$EQ$11,$M120,'Sell-down'!$L$21:$EQ$21)/(COUNTIF('Sell-down'!$L$11:$EQ$11,'Sell-down'!$M120)),)</f>
        <v>24360036.613272306</v>
      </c>
      <c r="O120" s="13">
        <f ca="1">SUMIF('Sell-down'!$L$11:$EQ$11,$M120,'Sell-down'!$L$17:$EQ$17)</f>
        <v>1680000.0000000002</v>
      </c>
      <c r="P120" s="13">
        <f>SUMIF('Sell-down'!$L$11:$EQ$11,$M120,'Sell-down'!$L$18:$EQ$18)</f>
        <v>0</v>
      </c>
      <c r="Q120" s="1042">
        <f t="shared" ca="1" si="278"/>
        <v>6.8965413585818272E-2</v>
      </c>
      <c r="R120" s="836">
        <f>IFERROR(SUMIF('Sell-down'!$L$11:$EQ$11,$M120,$L$32:$EQ$32)/(COUNTIF('Sell-down'!$L$11:$EQ$11,'Sell-down'!$M120)),)</f>
        <v>50401023.423423417</v>
      </c>
      <c r="S120" s="13">
        <f ca="1">SUMIF('Sell-down'!$L$11:$EQ$11,$M120,$L$28:$EQ$28)</f>
        <v>4511487.8356066123</v>
      </c>
      <c r="T120" s="13">
        <f>SUMIF('Sell-down'!$L$11:$EQ$11,$M120,$L$29:$EQ$29)</f>
        <v>0</v>
      </c>
      <c r="U120" s="1042">
        <f t="shared" ca="1" si="277"/>
        <v>8.9511829902841608E-2</v>
      </c>
      <c r="V120" s="948">
        <f>IFERROR(SUMIF('Sell-down'!$L$11:$EQ$11,$M120,'Sell-down'!$L$53:$EQ$53)/(COUNTIF('Sell-down'!$L$11:$EQ$11,'Sell-down'!$M120)),)</f>
        <v>14800000</v>
      </c>
      <c r="W120" s="13">
        <f ca="1">SUMIF('Sell-down'!$L$11:$EQ$11,$M120,'Sell-down'!$L$49:$EQ$49)</f>
        <v>0</v>
      </c>
      <c r="X120" s="13">
        <f>SUMIF('Sell-down'!$L$11:$EQ$11,$M120,'Sell-down'!$L$50:$EQ$50)</f>
        <v>0</v>
      </c>
      <c r="Y120" s="949">
        <f t="shared" ca="1" si="271"/>
        <v>0</v>
      </c>
      <c r="Z120" s="948">
        <f t="shared" si="267"/>
        <v>89561060.036695719</v>
      </c>
      <c r="AA120" s="13">
        <f t="shared" ca="1" si="268"/>
        <v>6191487.8356066123</v>
      </c>
      <c r="AB120" s="13">
        <f t="shared" si="269"/>
        <v>0</v>
      </c>
      <c r="AC120" s="1305">
        <f t="shared" ca="1" si="272"/>
        <v>6.9131471122268792E-2</v>
      </c>
      <c r="AD120" s="248">
        <f t="shared" ca="1" si="273"/>
        <v>6.9131471122268792E-2</v>
      </c>
      <c r="AF120" s="248">
        <f t="shared" ca="1" si="274"/>
        <v>0</v>
      </c>
      <c r="AG120" s="248">
        <f t="shared" ca="1" si="275"/>
        <v>5.0373318870479279E-2</v>
      </c>
      <c r="AH120" s="248">
        <f t="shared" ca="1" si="276"/>
        <v>1.875815225178952E-2</v>
      </c>
    </row>
    <row r="121" spans="12:34" ht="13.35" customHeight="1">
      <c r="L121" s="99"/>
      <c r="M121" s="2799">
        <f t="shared" si="270"/>
        <v>8</v>
      </c>
      <c r="N121" s="836">
        <f>IFERROR(SUMIF('Sell-down'!$L$11:$EQ$11,$M121,'Sell-down'!$L$21:$EQ$21)/(COUNTIF('Sell-down'!$L$11:$EQ$11,'Sell-down'!$M121)),)</f>
        <v>24360036.613272306</v>
      </c>
      <c r="O121" s="13">
        <f ca="1">SUMIF('Sell-down'!$L$11:$EQ$11,$M121,'Sell-down'!$L$17:$EQ$17)</f>
        <v>1680000.0000000002</v>
      </c>
      <c r="P121" s="13">
        <f>SUMIF('Sell-down'!$L$11:$EQ$11,$M121,'Sell-down'!$L$18:$EQ$18)</f>
        <v>0</v>
      </c>
      <c r="Q121" s="1042">
        <f t="shared" ca="1" si="278"/>
        <v>6.8965413585818272E-2</v>
      </c>
      <c r="R121" s="836">
        <f>IFERROR(SUMIF('Sell-down'!$L$11:$EQ$11,$M121,$L$32:$EQ$32)/(COUNTIF('Sell-down'!$L$11:$EQ$11,'Sell-down'!$M121)),)</f>
        <v>50401023.423423417</v>
      </c>
      <c r="S121" s="13">
        <f ca="1">SUMIF('Sell-down'!$L$11:$EQ$11,$M121,$L$28:$EQ$28)</f>
        <v>3910583.1337032691</v>
      </c>
      <c r="T121" s="13">
        <f>SUMIF('Sell-down'!$L$11:$EQ$11,$M121,$L$29:$EQ$29)</f>
        <v>0</v>
      </c>
      <c r="U121" s="1042">
        <f t="shared" ca="1" si="277"/>
        <v>7.758935966141238E-2</v>
      </c>
      <c r="V121" s="948">
        <f>IFERROR(SUMIF('Sell-down'!$L$11:$EQ$11,$M121,'Sell-down'!$L$53:$EQ$53)/(COUNTIF('Sell-down'!$L$11:$EQ$11,'Sell-down'!$M121)),)</f>
        <v>14800000</v>
      </c>
      <c r="W121" s="13">
        <f ca="1">SUMIF('Sell-down'!$L$11:$EQ$11,$M121,'Sell-down'!$L$49:$EQ$49)</f>
        <v>0</v>
      </c>
      <c r="X121" s="13">
        <f>SUMIF('Sell-down'!$L$11:$EQ$11,$M121,'Sell-down'!$L$50:$EQ$50)</f>
        <v>0</v>
      </c>
      <c r="Y121" s="949">
        <f t="shared" ca="1" si="271"/>
        <v>0</v>
      </c>
      <c r="Z121" s="948">
        <f t="shared" si="267"/>
        <v>89561060.036695719</v>
      </c>
      <c r="AA121" s="13">
        <f t="shared" ca="1" si="268"/>
        <v>5590583.1337032691</v>
      </c>
      <c r="AB121" s="13">
        <f t="shared" si="269"/>
        <v>0</v>
      </c>
      <c r="AC121" s="1305">
        <f t="shared" ca="1" si="272"/>
        <v>6.2422029522793139E-2</v>
      </c>
      <c r="AD121" s="248">
        <f t="shared" ca="1" si="273"/>
        <v>6.2422029522793139E-2</v>
      </c>
      <c r="AF121" s="248">
        <f t="shared" ca="1" si="274"/>
        <v>0</v>
      </c>
      <c r="AG121" s="248">
        <f t="shared" ca="1" si="275"/>
        <v>4.3663877271003626E-2</v>
      </c>
      <c r="AH121" s="248">
        <f t="shared" ca="1" si="276"/>
        <v>1.875815225178952E-2</v>
      </c>
    </row>
    <row r="122" spans="12:34" ht="13.35" customHeight="1">
      <c r="L122" s="66"/>
      <c r="M122" s="2799">
        <f t="shared" si="270"/>
        <v>9</v>
      </c>
      <c r="N122" s="836">
        <f>IFERROR(SUMIF('Sell-down'!$L$11:$EQ$11,$M122,'Sell-down'!$L$21:$EQ$21)/(COUNTIF('Sell-down'!$L$11:$EQ$11,'Sell-down'!$M122)),)</f>
        <v>24360036.613272306</v>
      </c>
      <c r="O122" s="13">
        <f ca="1">SUMIF('Sell-down'!$L$11:$EQ$11,$M122,'Sell-down'!$L$17:$EQ$17)</f>
        <v>1680000.0000000002</v>
      </c>
      <c r="P122" s="13">
        <f>SUMIF('Sell-down'!$L$11:$EQ$11,$M122,'Sell-down'!$L$18:$EQ$18)</f>
        <v>0</v>
      </c>
      <c r="Q122" s="1042">
        <f t="shared" ca="1" si="278"/>
        <v>6.8965413585818272E-2</v>
      </c>
      <c r="R122" s="836">
        <f>IFERROR(SUMIF('Sell-down'!$L$11:$EQ$11,$M122,$L$32:$EQ$32)/(COUNTIF('Sell-down'!$L$11:$EQ$11,'Sell-down'!$M122)),)</f>
        <v>50401023.423423417</v>
      </c>
      <c r="S122" s="13">
        <f ca="1">SUMIF('Sell-down'!$L$11:$EQ$11,$M122,$L$28:$EQ$28)</f>
        <v>3750000</v>
      </c>
      <c r="T122" s="13">
        <f>SUMIF('Sell-down'!$L$11:$EQ$11,$M122,$L$29:$EQ$29)</f>
        <v>0</v>
      </c>
      <c r="U122" s="1042">
        <f t="shared" ca="1" si="277"/>
        <v>7.4403251070834842E-2</v>
      </c>
      <c r="V122" s="948">
        <f>IFERROR(SUMIF('Sell-down'!$L$11:$EQ$11,$M122,'Sell-down'!$L$53:$EQ$53)/(COUNTIF('Sell-down'!$L$11:$EQ$11,'Sell-down'!$M122)),)</f>
        <v>14800000</v>
      </c>
      <c r="W122" s="13">
        <f ca="1">SUMIF('Sell-down'!$L$11:$EQ$11,$M122,'Sell-down'!$L$49:$EQ$49)</f>
        <v>0</v>
      </c>
      <c r="X122" s="13">
        <f>SUMIF('Sell-down'!$L$11:$EQ$11,$M122,'Sell-down'!$L$50:$EQ$50)</f>
        <v>0</v>
      </c>
      <c r="Y122" s="949">
        <f t="shared" ca="1" si="271"/>
        <v>0</v>
      </c>
      <c r="Z122" s="948">
        <f t="shared" si="267"/>
        <v>89561060.036695719</v>
      </c>
      <c r="AA122" s="13">
        <f t="shared" ca="1" si="268"/>
        <v>5430000</v>
      </c>
      <c r="AB122" s="13">
        <f t="shared" si="269"/>
        <v>0</v>
      </c>
      <c r="AC122" s="1305">
        <f t="shared" ca="1" si="272"/>
        <v>6.0629027813819694E-2</v>
      </c>
      <c r="AD122" s="248">
        <f t="shared" ca="1" si="273"/>
        <v>6.0629027813819694E-2</v>
      </c>
      <c r="AF122" s="248">
        <f t="shared" ca="1" si="274"/>
        <v>0</v>
      </c>
      <c r="AG122" s="248">
        <f t="shared" ca="1" si="275"/>
        <v>4.1870875562030174E-2</v>
      </c>
      <c r="AH122" s="248">
        <f t="shared" ca="1" si="276"/>
        <v>1.875815225178952E-2</v>
      </c>
    </row>
    <row r="123" spans="12:34" ht="13.35" customHeight="1">
      <c r="L123" s="871"/>
      <c r="M123" s="2800">
        <f t="shared" si="270"/>
        <v>10</v>
      </c>
      <c r="N123" s="936">
        <f>IFERROR(SUMIF('Sell-down'!$L$11:$EQ$11,$M123,'Sell-down'!$L$21:$EQ$21)/(COUNTIF('Sell-down'!$L$11:$EQ$11,'Sell-down'!$M123)),)</f>
        <v>24360036.613272306</v>
      </c>
      <c r="O123" s="937">
        <f ca="1">SUMIF('Sell-down'!$L$11:$EQ$11,$M123,'Sell-down'!$L$17:$EQ$17)</f>
        <v>1680000.0000000002</v>
      </c>
      <c r="P123" s="937">
        <f>SUMIF('Sell-down'!$L$11:$EQ$11,$M123,'Sell-down'!$L$18:$EQ$18)</f>
        <v>-360036.61327230558</v>
      </c>
      <c r="Q123" s="1079">
        <f t="shared" ca="1" si="278"/>
        <v>5.4185607668936209E-2</v>
      </c>
      <c r="R123" s="936">
        <f>IFERROR(SUMIF('Sell-down'!$L$11:$EQ$11,$M123,$L$32:$EQ$32)/(COUNTIF('Sell-down'!$L$11:$EQ$11,'Sell-down'!$M123)),)</f>
        <v>50401023.423423417</v>
      </c>
      <c r="S123" s="937">
        <f ca="1">SUMIF('Sell-down'!$L$11:$EQ$11,$M123,$L$28:$EQ$28)</f>
        <v>3750000</v>
      </c>
      <c r="T123" s="937">
        <f>SUMIF('Sell-down'!$L$11:$EQ$11,$M123,$L$29:$EQ$29)</f>
        <v>11286589.91414351</v>
      </c>
      <c r="U123" s="1079">
        <f t="shared" ca="1" si="277"/>
        <v>0.29833897990165398</v>
      </c>
      <c r="V123" s="950">
        <f>IFERROR(SUMIF('Sell-down'!$L$11:$EQ$11,$M123,'Sell-down'!$L$53:$EQ$53)/(COUNTIF('Sell-down'!$L$11:$EQ$11,'Sell-down'!$M123)),)</f>
        <v>14800000</v>
      </c>
      <c r="W123" s="860">
        <f ca="1">SUMIF('Sell-down'!$L$11:$EQ$11,$M123,'Sell-down'!$L$49:$EQ$49)</f>
        <v>0</v>
      </c>
      <c r="X123" s="860">
        <f>SUMIF('Sell-down'!$L$11:$EQ$11,$M123,'Sell-down'!$L$50:$EQ$50)</f>
        <v>47070453.350267738</v>
      </c>
      <c r="Y123" s="951">
        <f t="shared" ca="1" si="271"/>
        <v>3.1804360371802525</v>
      </c>
      <c r="Z123" s="950">
        <f t="shared" si="267"/>
        <v>89561060.036695719</v>
      </c>
      <c r="AA123" s="860">
        <f t="shared" ca="1" si="268"/>
        <v>5430000</v>
      </c>
      <c r="AB123" s="860">
        <f t="shared" si="269"/>
        <v>57997006.651138939</v>
      </c>
      <c r="AC123" s="1306">
        <f t="shared" ca="1" si="272"/>
        <v>0.70819848073650637</v>
      </c>
      <c r="AD123" s="248">
        <f t="shared" ca="1" si="273"/>
        <v>6.0629027813819694E-2</v>
      </c>
      <c r="AF123" s="248">
        <f ca="1">SUM(W123)/$Z123</f>
        <v>0</v>
      </c>
      <c r="AG123" s="248">
        <f ca="1">SUM(S123)/$Z123</f>
        <v>4.1870875562030174E-2</v>
      </c>
      <c r="AH123" s="248">
        <f ca="1">SUM(O123)/$Z123</f>
        <v>1.875815225178952E-2</v>
      </c>
    </row>
    <row r="124" spans="12:34" ht="13.35" customHeight="1">
      <c r="L124" s="261"/>
      <c r="M124" s="118" t="s">
        <v>59</v>
      </c>
      <c r="N124" s="119"/>
      <c r="O124" s="13">
        <f ca="1">SUM(O113:O123)</f>
        <v>13440000.000000002</v>
      </c>
      <c r="P124" s="13">
        <f>SUM(P113:P123)</f>
        <v>-360036.61327230558</v>
      </c>
      <c r="Q124" s="22"/>
      <c r="R124" s="119"/>
      <c r="S124" s="13">
        <f ca="1">SUM(S113:S123)</f>
        <v>34950000</v>
      </c>
      <c r="T124" s="13">
        <f>SUM(T113:T123)</f>
        <v>11286589.91414351</v>
      </c>
      <c r="U124" s="22"/>
      <c r="V124" s="13"/>
      <c r="W124" s="13">
        <f ca="1">SUM(W113:W123)</f>
        <v>1110000</v>
      </c>
      <c r="X124" s="13">
        <f>SUM(X113:X123)</f>
        <v>47070453.350267738</v>
      </c>
      <c r="Y124" s="120"/>
      <c r="Z124" s="13">
        <f>AVERAGE(Z114:Z123)</f>
        <v>81248950.371698916</v>
      </c>
      <c r="AA124" s="13">
        <f ca="1">SUM(AA113:AA123)</f>
        <v>49500000</v>
      </c>
      <c r="AB124" s="13">
        <f>SUM(AB113:AB123)</f>
        <v>57997006.651138939</v>
      </c>
      <c r="AC124" s="120"/>
    </row>
    <row r="125" spans="12:34" ht="13.35" customHeight="1">
      <c r="L125" s="261"/>
      <c r="M125" s="5" t="s">
        <v>260</v>
      </c>
      <c r="N125" s="119"/>
      <c r="Q125" s="952">
        <f>Q99</f>
        <v>24360036.613272306</v>
      </c>
      <c r="R125" s="119"/>
      <c r="U125" s="952">
        <f t="shared" ref="U125:U129" si="279">U99</f>
        <v>50401023.423423417</v>
      </c>
      <c r="Y125" s="953">
        <f t="shared" ref="Y125:Y129" si="280">Y99</f>
        <v>14873999.999999998</v>
      </c>
      <c r="AA125" s="13"/>
      <c r="AB125" s="13"/>
      <c r="AC125" s="953">
        <f>SUM(Q125,Y125,U125)</f>
        <v>89635060.036695719</v>
      </c>
    </row>
    <row r="126" spans="12:34" ht="13.35" customHeight="1">
      <c r="L126" s="263"/>
      <c r="M126" s="32" t="s">
        <v>265</v>
      </c>
      <c r="N126" s="954"/>
      <c r="O126" s="32"/>
      <c r="P126" s="32"/>
      <c r="Q126" s="955">
        <f t="shared" ref="Q126:Q129" ca="1" si="281">Q100</f>
        <v>6.8965413585818272E-2</v>
      </c>
      <c r="R126" s="954"/>
      <c r="S126" s="32"/>
      <c r="T126" s="32"/>
      <c r="U126" s="955">
        <f t="shared" ca="1" si="279"/>
        <v>7.4423582833174337E-2</v>
      </c>
      <c r="V126" s="32"/>
      <c r="W126" s="32"/>
      <c r="X126" s="32"/>
      <c r="Y126" s="957">
        <f t="shared" ca="1" si="280"/>
        <v>7.4626865671641798E-3</v>
      </c>
      <c r="Z126" s="32"/>
      <c r="AA126" s="32"/>
      <c r="AB126" s="32"/>
      <c r="AC126" s="957">
        <f ca="1">(AA124/Z124)*(12/'Sell-down'!$H$52)</f>
        <v>6.0923863968145635E-2</v>
      </c>
    </row>
    <row r="127" spans="12:34" ht="13.35" customHeight="1">
      <c r="L127" s="261"/>
      <c r="M127" s="5" t="s">
        <v>630</v>
      </c>
      <c r="N127" s="119"/>
      <c r="Q127" s="938">
        <f t="shared" ca="1" si="281"/>
        <v>6.8682525419865303E-2</v>
      </c>
      <c r="R127" s="119"/>
      <c r="U127" s="938">
        <f t="shared" ca="1" si="279"/>
        <v>7.4452012839268944E-2</v>
      </c>
      <c r="Y127" s="958">
        <f t="shared" ca="1" si="280"/>
        <v>7.7792962088110151E-3</v>
      </c>
      <c r="AC127" s="958">
        <f ca="1">AC101</f>
        <v>6.0864416203247673E-2</v>
      </c>
    </row>
    <row r="128" spans="12:34" ht="13.35" customHeight="1">
      <c r="L128" s="261"/>
      <c r="M128" s="5" t="s">
        <v>267</v>
      </c>
      <c r="N128" s="119"/>
      <c r="Q128" s="938">
        <f t="shared" ca="1" si="281"/>
        <v>6.719475758016058E-2</v>
      </c>
      <c r="R128" s="119"/>
      <c r="U128" s="938">
        <f t="shared" ca="1" si="279"/>
        <v>9.0940251720739385E-2</v>
      </c>
      <c r="Y128" s="958">
        <f t="shared" ca="1" si="280"/>
        <v>0.16181544839707418</v>
      </c>
      <c r="AC128" s="958">
        <f t="shared" ref="AC128:AC129" ca="1" si="282">AC102</f>
        <v>0.10707040486475727</v>
      </c>
    </row>
    <row r="129" spans="12:29" ht="13.35" customHeight="1">
      <c r="L129" s="872"/>
      <c r="M129" s="138" t="s">
        <v>268</v>
      </c>
      <c r="N129" s="137"/>
      <c r="O129" s="138"/>
      <c r="P129" s="138"/>
      <c r="Q129" s="956">
        <f t="shared" ca="1" si="281"/>
        <v>1.5369435027696641</v>
      </c>
      <c r="R129" s="137"/>
      <c r="S129" s="138"/>
      <c r="T129" s="138"/>
      <c r="U129" s="956">
        <f t="shared" ca="1" si="279"/>
        <v>1.8491194159345559</v>
      </c>
      <c r="V129" s="138"/>
      <c r="W129" s="138"/>
      <c r="X129" s="138"/>
      <c r="Y129" s="959">
        <f t="shared" ca="1" si="280"/>
        <v>4.234264713612192</v>
      </c>
      <c r="Z129" s="138"/>
      <c r="AA129" s="138"/>
      <c r="AB129" s="138"/>
      <c r="AC129" s="959">
        <f t="shared" ca="1" si="282"/>
        <v>2.1057157427636808</v>
      </c>
    </row>
  </sheetData>
  <mergeCells count="4">
    <mergeCell ref="AG87:AK87"/>
    <mergeCell ref="AG88:AK88"/>
    <mergeCell ref="AG89:AK89"/>
    <mergeCell ref="AG90:AK90"/>
  </mergeCells>
  <phoneticPr fontId="2"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F7E26E-515E-4115-90D3-DEC568E74BA0}">
  <sheetPr codeName="Sheet15">
    <tabColor rgb="FFC00000"/>
  </sheetPr>
  <dimension ref="B1:AI169"/>
  <sheetViews>
    <sheetView showGridLines="0" topLeftCell="B59" zoomScale="85" zoomScaleNormal="85" workbookViewId="0">
      <selection activeCell="C81" sqref="C81"/>
    </sheetView>
  </sheetViews>
  <sheetFormatPr defaultColWidth="9" defaultRowHeight="13.35" customHeight="1"/>
  <cols>
    <col min="1" max="2" width="9" style="1187"/>
    <col min="3" max="7" width="11" style="1187" customWidth="1"/>
    <col min="8" max="13" width="10.5" style="1187" bestFit="1" customWidth="1"/>
    <col min="14" max="14" width="11.375" style="1187" bestFit="1" customWidth="1"/>
    <col min="15" max="16" width="9" style="1187"/>
    <col min="17" max="22" width="11" style="1187" customWidth="1"/>
    <col min="23" max="23" width="10.625" style="1187" bestFit="1" customWidth="1"/>
    <col min="24" max="28" width="11" style="1187" customWidth="1"/>
    <col min="29" max="29" width="14" style="1187" customWidth="1"/>
    <col min="30" max="30" width="9.625" style="1187" bestFit="1" customWidth="1"/>
    <col min="31" max="16384" width="9" style="1187"/>
  </cols>
  <sheetData>
    <row r="1" spans="2:24" ht="13.35" customHeight="1">
      <c r="B1" s="1186" t="s">
        <v>667</v>
      </c>
    </row>
    <row r="2" spans="2:24" ht="13.35" customHeight="1" thickBot="1"/>
    <row r="3" spans="2:24" ht="13.35" customHeight="1">
      <c r="B3" s="1161" t="s">
        <v>619</v>
      </c>
      <c r="C3" s="1162">
        <f>'A&amp;R'!Y35</f>
        <v>1</v>
      </c>
      <c r="D3" s="1162">
        <f>'A&amp;R'!Z35</f>
        <v>2</v>
      </c>
      <c r="E3" s="1162">
        <f>'A&amp;R'!AA35</f>
        <v>3</v>
      </c>
      <c r="F3" s="1162">
        <f>'A&amp;R'!AB35</f>
        <v>4</v>
      </c>
      <c r="G3" s="1162">
        <f>'A&amp;R'!AC35</f>
        <v>5</v>
      </c>
      <c r="H3" s="1162">
        <f>'A&amp;R'!AD35</f>
        <v>6</v>
      </c>
      <c r="I3" s="1162">
        <f>'A&amp;R'!AE35</f>
        <v>7</v>
      </c>
      <c r="J3" s="1162">
        <f>'A&amp;R'!AF35</f>
        <v>8</v>
      </c>
      <c r="K3" s="1162">
        <f>'A&amp;R'!AG35</f>
        <v>9</v>
      </c>
      <c r="L3" s="1162">
        <f>'A&amp;R'!AH35</f>
        <v>10</v>
      </c>
      <c r="M3" s="1163" t="s">
        <v>654</v>
      </c>
      <c r="P3" s="1175" t="s">
        <v>619</v>
      </c>
      <c r="Q3" s="3128" t="s">
        <v>668</v>
      </c>
      <c r="R3" s="3048"/>
      <c r="S3" s="1177" t="s">
        <v>264</v>
      </c>
      <c r="U3" s="1175"/>
      <c r="V3" s="3128" t="s">
        <v>842</v>
      </c>
      <c r="W3" s="3048"/>
      <c r="X3" s="1177"/>
    </row>
    <row r="4" spans="2:24" ht="13.35" customHeight="1">
      <c r="B4" s="1153" t="s">
        <v>655</v>
      </c>
      <c r="C4" s="1164">
        <f>'A&amp;R'!Y36/1000</f>
        <v>15119.14196733125</v>
      </c>
      <c r="D4" s="1164">
        <f>'A&amp;R'!Z36/1000</f>
        <v>15464.992784514528</v>
      </c>
      <c r="E4" s="1164">
        <f>'A&amp;R'!AA36/1000</f>
        <v>15934.970745352444</v>
      </c>
      <c r="F4" s="1164">
        <f>'A&amp;R'!AB36/1000</f>
        <v>16617.888375131046</v>
      </c>
      <c r="G4" s="1164">
        <f>'A&amp;R'!AC36/1000</f>
        <v>17043.225625370524</v>
      </c>
      <c r="H4" s="1164">
        <f>'A&amp;R'!AD36/1000</f>
        <v>17469.306266004787</v>
      </c>
      <c r="I4" s="1164">
        <f>'A&amp;R'!AE36/1000</f>
        <v>17906.038922654905</v>
      </c>
      <c r="J4" s="1164">
        <f>'A&amp;R'!AF36/1000</f>
        <v>18132.751055113906</v>
      </c>
      <c r="K4" s="1164">
        <f>'A&amp;R'!AG36/1000</f>
        <v>18366.946594082259</v>
      </c>
      <c r="L4" s="1164">
        <f>'A&amp;R'!AH36/1000</f>
        <v>18827.592251614664</v>
      </c>
      <c r="M4" s="1165">
        <f>'A&amp;R'!AJ36/1000</f>
        <v>19418.111529104855</v>
      </c>
      <c r="P4" s="1183" t="s">
        <v>669</v>
      </c>
      <c r="Q4" s="3129" t="s">
        <v>670</v>
      </c>
      <c r="R4" s="3130"/>
      <c r="S4" s="1188"/>
      <c r="U4" s="1183" t="s">
        <v>843</v>
      </c>
      <c r="V4" s="1338"/>
      <c r="W4" s="1339">
        <f>J48</f>
        <v>50000</v>
      </c>
      <c r="X4" s="1188"/>
    </row>
    <row r="5" spans="2:24" ht="13.35" customHeight="1">
      <c r="B5" s="1153" t="s">
        <v>656</v>
      </c>
      <c r="C5" s="1164">
        <f>'A&amp;R'!Y37/1000</f>
        <v>-704.33985074999987</v>
      </c>
      <c r="D5" s="1164">
        <f>'A&amp;R'!Z37/1000</f>
        <v>-721.94834701875004</v>
      </c>
      <c r="E5" s="1164">
        <f>'A&amp;R'!AA37/1000</f>
        <v>-5526.0683946104436</v>
      </c>
      <c r="F5" s="1164">
        <f>'A&amp;R'!AB37/1000</f>
        <v>-111.29051629770116</v>
      </c>
      <c r="G5" s="1164">
        <f>'A&amp;R'!AC37/1000</f>
        <v>-114.07277920514368</v>
      </c>
      <c r="H5" s="1164">
        <f>'A&amp;R'!AD37/1000</f>
        <v>-116.92459868527227</v>
      </c>
      <c r="I5" s="1164">
        <f>'A&amp;R'!AE37/1000</f>
        <v>-119.84771365240405</v>
      </c>
      <c r="J5" s="1164">
        <f>'A&amp;R'!AF37/1000</f>
        <v>-122.84390649371414</v>
      </c>
      <c r="K5" s="1164">
        <f>'A&amp;R'!AG37/1000</f>
        <v>0</v>
      </c>
      <c r="L5" s="1164">
        <f>'A&amp;R'!AH37/1000</f>
        <v>0</v>
      </c>
      <c r="M5" s="1165">
        <f>'A&amp;R'!AJ37/1000</f>
        <v>0</v>
      </c>
      <c r="P5" s="1184" t="s">
        <v>619</v>
      </c>
      <c r="Q5" s="1189" t="s">
        <v>405</v>
      </c>
      <c r="R5" s="1189" t="s">
        <v>1</v>
      </c>
      <c r="S5" s="1190" t="s">
        <v>671</v>
      </c>
      <c r="U5" s="1184"/>
      <c r="V5" s="1189"/>
      <c r="W5" s="1189"/>
      <c r="X5" s="1190"/>
    </row>
    <row r="6" spans="2:24" ht="13.35" customHeight="1">
      <c r="B6" s="1153" t="s">
        <v>657</v>
      </c>
      <c r="C6" s="1164">
        <f>'A&amp;R'!Y38/1000</f>
        <v>779.35488779109392</v>
      </c>
      <c r="D6" s="1164">
        <f>'A&amp;R'!Z38/1000</f>
        <v>796.87175598587089</v>
      </c>
      <c r="E6" s="1164">
        <f>'A&amp;R'!AA38/1000</f>
        <v>814.8265458855177</v>
      </c>
      <c r="F6" s="1164">
        <f>'A&amp;R'!AB38/1000</f>
        <v>833.23020553265587</v>
      </c>
      <c r="G6" s="1164">
        <f>'A&amp;R'!AC38/1000</f>
        <v>852.09395667097203</v>
      </c>
      <c r="H6" s="1164">
        <f>'A&amp;R'!AD38/1000</f>
        <v>871.42930158774618</v>
      </c>
      <c r="I6" s="1164">
        <f>'A&amp;R'!AE38/1000</f>
        <v>891.24803012743985</v>
      </c>
      <c r="J6" s="1164">
        <f>'A&amp;R'!AF38/1000</f>
        <v>911.55111424284325</v>
      </c>
      <c r="K6" s="1164">
        <f>'A&amp;R'!AG38/1000</f>
        <v>932.35827674830807</v>
      </c>
      <c r="L6" s="1164">
        <f>'A&amp;R'!AH38/1000</f>
        <v>953.70022966701572</v>
      </c>
      <c r="M6" s="1165">
        <f>'A&amp;R'!AJ38/1000</f>
        <v>982.07390138546793</v>
      </c>
      <c r="P6" s="1183" t="s">
        <v>672</v>
      </c>
      <c r="Q6" s="1225">
        <f>'A&amp;R'!D35</f>
        <v>46326</v>
      </c>
      <c r="R6" s="1225">
        <f>'A&amp;R'!E35</f>
        <v>46326</v>
      </c>
      <c r="S6" s="1196">
        <f>'A&amp;R'!F35</f>
        <v>0</v>
      </c>
      <c r="U6" s="1183" t="s">
        <v>844</v>
      </c>
      <c r="V6" s="1340">
        <v>0.5</v>
      </c>
      <c r="W6" s="1164">
        <f>W4*V6</f>
        <v>25000</v>
      </c>
      <c r="X6" s="1196"/>
    </row>
    <row r="7" spans="2:24" ht="13.35" customHeight="1">
      <c r="B7" s="1153" t="s">
        <v>187</v>
      </c>
      <c r="C7" s="1164">
        <f>'A&amp;R'!Y39/1000</f>
        <v>142.943214904</v>
      </c>
      <c r="D7" s="1164">
        <f>'A&amp;R'!Z39/1000</f>
        <v>142.943214904</v>
      </c>
      <c r="E7" s="1164">
        <f>'A&amp;R'!AA39/1000</f>
        <v>142.943214904</v>
      </c>
      <c r="F7" s="1164">
        <f>'A&amp;R'!AB39/1000</f>
        <v>142.943214904</v>
      </c>
      <c r="G7" s="1164">
        <f>'A&amp;R'!AC39/1000</f>
        <v>142.943214904</v>
      </c>
      <c r="H7" s="1164">
        <f>'A&amp;R'!AD39/1000</f>
        <v>142.943214904</v>
      </c>
      <c r="I7" s="1164">
        <f>'A&amp;R'!AE39/1000</f>
        <v>142.943214904</v>
      </c>
      <c r="J7" s="1164">
        <f>'A&amp;R'!AF39/1000</f>
        <v>142.943214904</v>
      </c>
      <c r="K7" s="1164">
        <f>'A&amp;R'!AG39/1000</f>
        <v>142.943214904</v>
      </c>
      <c r="L7" s="1164">
        <f>'A&amp;R'!AH39/1000</f>
        <v>142.943214904</v>
      </c>
      <c r="M7" s="1165">
        <f>'A&amp;R'!AJ39/1000</f>
        <v>142.943214904</v>
      </c>
      <c r="P7" s="1183" t="s">
        <v>673</v>
      </c>
      <c r="Q7" s="1225">
        <f>'A&amp;R'!D37</f>
        <v>46326</v>
      </c>
      <c r="R7" s="1225">
        <f>'A&amp;R'!E37</f>
        <v>49979</v>
      </c>
      <c r="S7" s="1196">
        <f>'A&amp;R'!F37</f>
        <v>120</v>
      </c>
      <c r="U7" s="1183" t="s">
        <v>845</v>
      </c>
      <c r="V7" s="1343" t="str">
        <f t="shared" ref="V7:W9" si="0">I49</f>
        <v>CoC_C.G제외</v>
      </c>
      <c r="W7" s="1341">
        <f t="shared" ca="1" si="0"/>
        <v>7.5000000000000011E-2</v>
      </c>
      <c r="X7" s="1196"/>
    </row>
    <row r="8" spans="2:24" ht="13.35" customHeight="1">
      <c r="B8" s="1154" t="s">
        <v>222</v>
      </c>
      <c r="C8" s="1166">
        <f>SUM(C4:C7)</f>
        <v>15337.100219276344</v>
      </c>
      <c r="D8" s="1166">
        <f t="shared" ref="D8:M8" si="1">SUM(D4:D7)</f>
        <v>15682.85940838565</v>
      </c>
      <c r="E8" s="1166">
        <f t="shared" si="1"/>
        <v>11366.672111531519</v>
      </c>
      <c r="F8" s="1166">
        <f t="shared" si="1"/>
        <v>17482.77127927</v>
      </c>
      <c r="G8" s="1166">
        <f t="shared" si="1"/>
        <v>17924.190017740351</v>
      </c>
      <c r="H8" s="1166">
        <f t="shared" si="1"/>
        <v>18366.754183811259</v>
      </c>
      <c r="I8" s="1166">
        <f t="shared" si="1"/>
        <v>18820.382454033941</v>
      </c>
      <c r="J8" s="1166">
        <f t="shared" si="1"/>
        <v>19064.401477767035</v>
      </c>
      <c r="K8" s="1166">
        <f t="shared" si="1"/>
        <v>19442.248085734569</v>
      </c>
      <c r="L8" s="1166">
        <f t="shared" si="1"/>
        <v>19924.235696185679</v>
      </c>
      <c r="M8" s="1167">
        <f t="shared" si="1"/>
        <v>20543.128645394325</v>
      </c>
      <c r="P8" s="1183" t="s">
        <v>674</v>
      </c>
      <c r="Q8" s="1226">
        <f>'A&amp;R'!D38</f>
        <v>49979</v>
      </c>
      <c r="R8" s="1226">
        <f>'A&amp;R'!E38</f>
        <v>49979</v>
      </c>
      <c r="S8" s="1197">
        <f>'A&amp;R'!F38</f>
        <v>0</v>
      </c>
      <c r="U8" s="1183"/>
      <c r="V8" s="1344" t="str">
        <f t="shared" si="0"/>
        <v>IRR_C.G포함</v>
      </c>
      <c r="W8" s="1342">
        <f t="shared" ca="1" si="0"/>
        <v>9.1542830896573557E-2</v>
      </c>
      <c r="X8" s="1197"/>
    </row>
    <row r="9" spans="2:24" ht="13.35" customHeight="1" thickBot="1">
      <c r="B9" s="1153" t="s">
        <v>73</v>
      </c>
      <c r="C9" s="1164">
        <f>'A&amp;R'!Y42/1000</f>
        <v>60</v>
      </c>
      <c r="D9" s="1164">
        <f>'A&amp;R'!Z42/1000</f>
        <v>60.899999999999991</v>
      </c>
      <c r="E9" s="1164">
        <f>'A&amp;R'!AA42/1000</f>
        <v>61.813499999999991</v>
      </c>
      <c r="F9" s="1164">
        <f>'A&amp;R'!AB42/1000</f>
        <v>62.74070249999999</v>
      </c>
      <c r="G9" s="1164">
        <f>'A&amp;R'!AC42/1000</f>
        <v>63.681813037499964</v>
      </c>
      <c r="H9" s="1164">
        <f>'A&amp;R'!AD42/1000</f>
        <v>64.63704023306245</v>
      </c>
      <c r="I9" s="1164">
        <f>'A&amp;R'!AE42/1000</f>
        <v>65.60659583655837</v>
      </c>
      <c r="J9" s="1164">
        <f>'A&amp;R'!AF42/1000</f>
        <v>66.590694774106751</v>
      </c>
      <c r="K9" s="1164">
        <f>'A&amp;R'!AG42/1000</f>
        <v>67.589555195718347</v>
      </c>
      <c r="L9" s="1164">
        <f>'A&amp;R'!AH42/1000</f>
        <v>68.603398523654121</v>
      </c>
      <c r="M9" s="1165">
        <f>'A&amp;R'!AJ42/1000</f>
        <v>69.632449501508887</v>
      </c>
      <c r="P9" s="1185" t="s">
        <v>675</v>
      </c>
      <c r="Q9" s="1227">
        <f>'A&amp;R'!D39</f>
        <v>46326</v>
      </c>
      <c r="R9" s="1227">
        <f>'A&amp;R'!E39</f>
        <v>49979</v>
      </c>
      <c r="S9" s="1198">
        <f>'A&amp;R'!F39</f>
        <v>120</v>
      </c>
      <c r="U9" s="1185"/>
      <c r="V9" s="1227" t="str">
        <f t="shared" si="0"/>
        <v>E.Multiple</v>
      </c>
      <c r="W9" s="1345">
        <f t="shared" ca="1" si="0"/>
        <v>1.9853522667513388</v>
      </c>
      <c r="X9" s="1198"/>
    </row>
    <row r="10" spans="2:24" ht="13.35" customHeight="1">
      <c r="B10" s="1153" t="s">
        <v>75</v>
      </c>
      <c r="C10" s="1164">
        <f>'A&amp;R'!Y43/1000</f>
        <v>637.00073600459996</v>
      </c>
      <c r="D10" s="1164">
        <f>'A&amp;R'!Z43/1000</f>
        <v>649.74075072469191</v>
      </c>
      <c r="E10" s="1164">
        <f>'A&amp;R'!AA43/1000</f>
        <v>662.73556573918586</v>
      </c>
      <c r="F10" s="1164">
        <f>'A&amp;R'!AB43/1000</f>
        <v>675.99027705396941</v>
      </c>
      <c r="G10" s="1164">
        <f>'A&amp;R'!AC43/1000</f>
        <v>689.51008259504863</v>
      </c>
      <c r="H10" s="1164">
        <f>'A&amp;R'!AD43/1000</f>
        <v>703.30028424694979</v>
      </c>
      <c r="I10" s="1164">
        <f>'A&amp;R'!AE43/1000</f>
        <v>717.36628993188879</v>
      </c>
      <c r="J10" s="1164">
        <f>'A&amp;R'!AF43/1000</f>
        <v>731.71361573052673</v>
      </c>
      <c r="K10" s="1164">
        <f>'A&amp;R'!AG43/1000</f>
        <v>746.34788804513721</v>
      </c>
      <c r="L10" s="1164">
        <f>'A&amp;R'!AH43/1000</f>
        <v>761.27484580603982</v>
      </c>
      <c r="M10" s="1165">
        <f>'A&amp;R'!AJ43/1000</f>
        <v>776.50034272216067</v>
      </c>
    </row>
    <row r="11" spans="2:24" ht="13.35" customHeight="1">
      <c r="B11" s="1153" t="s">
        <v>78</v>
      </c>
      <c r="C11" s="1164">
        <f>'A&amp;R'!Y44/1000</f>
        <v>31.191548553000004</v>
      </c>
      <c r="D11" s="1164">
        <f>'A&amp;R'!Z44/1000</f>
        <v>31.815379524059992</v>
      </c>
      <c r="E11" s="1164">
        <f>'A&amp;R'!AA44/1000</f>
        <v>32.451687114541201</v>
      </c>
      <c r="F11" s="1164">
        <f>'A&amp;R'!AB44/1000</f>
        <v>33.100720856832019</v>
      </c>
      <c r="G11" s="1164">
        <f>'A&amp;R'!AC44/1000</f>
        <v>33.762735273968651</v>
      </c>
      <c r="H11" s="1164">
        <f>'A&amp;R'!AD44/1000</f>
        <v>34.437989979448041</v>
      </c>
      <c r="I11" s="1164">
        <f>'A&amp;R'!AE44/1000</f>
        <v>35.126749779036992</v>
      </c>
      <c r="J11" s="1164">
        <f>'A&amp;R'!AF44/1000</f>
        <v>35.829284774617733</v>
      </c>
      <c r="K11" s="1164">
        <f>'A&amp;R'!AG44/1000</f>
        <v>36.545870470110088</v>
      </c>
      <c r="L11" s="1164">
        <f>'A&amp;R'!AH44/1000</f>
        <v>37.276787879512291</v>
      </c>
      <c r="M11" s="1165">
        <f>'A&amp;R'!AJ44/1000</f>
        <v>38.022323637102552</v>
      </c>
    </row>
    <row r="12" spans="2:24" ht="13.35" customHeight="1">
      <c r="B12" s="1153" t="s">
        <v>80</v>
      </c>
      <c r="C12" s="1164">
        <f>'A&amp;R'!Y45/1000</f>
        <v>0</v>
      </c>
      <c r="D12" s="1164">
        <f>'A&amp;R'!Z45/1000</f>
        <v>0</v>
      </c>
      <c r="E12" s="1164">
        <f>'A&amp;R'!AA45/1000</f>
        <v>0</v>
      </c>
      <c r="F12" s="1164">
        <f>'A&amp;R'!AB45/1000</f>
        <v>0</v>
      </c>
      <c r="G12" s="1164">
        <f>'A&amp;R'!AC45/1000</f>
        <v>0</v>
      </c>
      <c r="H12" s="1164">
        <f>'A&amp;R'!AD45/1000</f>
        <v>0</v>
      </c>
      <c r="I12" s="1164">
        <f>'A&amp;R'!AE45/1000</f>
        <v>0</v>
      </c>
      <c r="J12" s="1164">
        <f>'A&amp;R'!AF45/1000</f>
        <v>0</v>
      </c>
      <c r="K12" s="1164">
        <f>'A&amp;R'!AG45/1000</f>
        <v>0</v>
      </c>
      <c r="L12" s="1164">
        <f>'A&amp;R'!AH45/1000</f>
        <v>0</v>
      </c>
      <c r="M12" s="1165">
        <f>'A&amp;R'!AJ45/1000</f>
        <v>0</v>
      </c>
    </row>
    <row r="13" spans="2:24" ht="13.35" customHeight="1" thickBot="1">
      <c r="B13" s="1153" t="s">
        <v>83</v>
      </c>
      <c r="C13" s="1164">
        <f>'A&amp;R'!Y46/1000</f>
        <v>742.28470000000004</v>
      </c>
      <c r="D13" s="1164">
        <f>'A&amp;R'!Z46/1000</f>
        <v>727.43900600000018</v>
      </c>
      <c r="E13" s="1164">
        <f>'A&amp;R'!AA46/1000</f>
        <v>712.89022587999989</v>
      </c>
      <c r="F13" s="1164">
        <f>'A&amp;R'!AB46/1000</f>
        <v>698.63242136240001</v>
      </c>
      <c r="G13" s="1164">
        <f>'A&amp;R'!AC46/1000</f>
        <v>684.65977293515209</v>
      </c>
      <c r="H13" s="1164">
        <f>'A&amp;R'!AD46/1000</f>
        <v>670.96657747644883</v>
      </c>
      <c r="I13" s="1164">
        <f>'A&amp;R'!AE46/1000</f>
        <v>657.54724592692003</v>
      </c>
      <c r="J13" s="1164">
        <f>'A&amp;R'!AF46/1000</f>
        <v>644.39630100838178</v>
      </c>
      <c r="K13" s="1164">
        <f>'A&amp;R'!AG46/1000</f>
        <v>631.50837498821386</v>
      </c>
      <c r="L13" s="1164">
        <f>'A&amp;R'!AH46/1000</f>
        <v>618.87820748844968</v>
      </c>
      <c r="M13" s="1165">
        <f>'A&amp;R'!AJ46/1000</f>
        <v>606.50064333868056</v>
      </c>
    </row>
    <row r="14" spans="2:24" ht="13.35" customHeight="1">
      <c r="B14" s="1153" t="s">
        <v>658</v>
      </c>
      <c r="C14" s="1164">
        <f>SUM('A&amp;R'!Y47:Y51)/1000</f>
        <v>750.38488297219999</v>
      </c>
      <c r="D14" s="1164">
        <f>SUM('A&amp;R'!Z47:Z51)/1000</f>
        <v>751.17788627219977</v>
      </c>
      <c r="E14" s="1164">
        <f>SUM('A&amp;R'!AA47:AA51)/1000</f>
        <v>752.19370160369999</v>
      </c>
      <c r="F14" s="1164">
        <f>SUM('A&amp;R'!AB47:AB51)/1000</f>
        <v>753.43368092784738</v>
      </c>
      <c r="G14" s="1164">
        <f>SUM('A&amp;R'!AC47:AC51)/1000</f>
        <v>754.89924980920523</v>
      </c>
      <c r="H14" s="1164">
        <f>SUM('A&amp;R'!AD47:AD51)/1000</f>
        <v>756.59190818935645</v>
      </c>
      <c r="I14" s="1164">
        <f>SUM('A&amp;R'!AE47:AE51)/1000</f>
        <v>758.51323118645951</v>
      </c>
      <c r="J14" s="1164">
        <f>SUM('A&amp;R'!AF47:AF51)/1000</f>
        <v>760.664869921113</v>
      </c>
      <c r="K14" s="1164">
        <f>SUM('A&amp;R'!AG47:AG51)/1000</f>
        <v>763.04855236890432</v>
      </c>
      <c r="L14" s="1164">
        <f>SUM('A&amp;R'!AH47:AH51)/1000</f>
        <v>765.66608424001925</v>
      </c>
      <c r="M14" s="1165">
        <f>SUM('A&amp;R'!AJ47:AJ51)/1000</f>
        <v>768.51934988630876</v>
      </c>
      <c r="P14" s="1175" t="s">
        <v>619</v>
      </c>
      <c r="Q14" s="1176" t="s">
        <v>676</v>
      </c>
      <c r="R14" s="1176" t="s">
        <v>677</v>
      </c>
      <c r="S14" s="1176" t="s">
        <v>236</v>
      </c>
      <c r="T14" s="1177" t="s">
        <v>264</v>
      </c>
    </row>
    <row r="15" spans="2:24" ht="13.35" customHeight="1">
      <c r="B15" s="1153" t="s">
        <v>839</v>
      </c>
      <c r="C15" s="1164">
        <f>SUM('A&amp;R'!Y52)/1000</f>
        <v>10.87337</v>
      </c>
      <c r="D15" s="1164">
        <f>SUM('A&amp;R'!Z52)/1000</f>
        <v>0</v>
      </c>
      <c r="E15" s="1164">
        <f>SUM('A&amp;R'!AA52)/1000</f>
        <v>68.398392522169118</v>
      </c>
      <c r="F15" s="1164">
        <f>SUM('A&amp;R'!AB52)/1000</f>
        <v>43.755497312074368</v>
      </c>
      <c r="G15" s="1164">
        <f>SUM('A&amp;R'!AC52)/1000</f>
        <v>0</v>
      </c>
      <c r="H15" s="1164">
        <f>SUM('A&amp;R'!AD52)/1000</f>
        <v>0</v>
      </c>
      <c r="I15" s="1164">
        <f>SUM('A&amp;R'!AE52)/1000</f>
        <v>0</v>
      </c>
      <c r="J15" s="1164">
        <f>SUM('A&amp;R'!AF52)/1000</f>
        <v>677.53827343214505</v>
      </c>
      <c r="K15" s="1164">
        <f>SUM('A&amp;R'!AG52)/1000</f>
        <v>91.722329183405492</v>
      </c>
      <c r="L15" s="1164">
        <f>SUM('A&amp;R'!AH52)/1000</f>
        <v>0</v>
      </c>
      <c r="M15" s="1165">
        <f>'A&amp;R'!AJ52/1000</f>
        <v>0</v>
      </c>
      <c r="P15" s="1183" t="s">
        <v>270</v>
      </c>
      <c r="Q15" s="1199">
        <f>'A&amp;R'!AA23</f>
        <v>57604.4335397471</v>
      </c>
      <c r="R15" s="1210">
        <f>'A&amp;R'!AC23/1000000</f>
        <v>1203.3612250000001</v>
      </c>
      <c r="S15" s="1204">
        <f>'A&amp;R'!AF7</f>
        <v>2.5000000000000001E-2</v>
      </c>
      <c r="T15" s="1194"/>
    </row>
    <row r="16" spans="2:24" ht="13.35" customHeight="1">
      <c r="B16" s="1154" t="s">
        <v>223</v>
      </c>
      <c r="C16" s="1166">
        <f>SUM(C9:C15)</f>
        <v>2231.7352375297996</v>
      </c>
      <c r="D16" s="1166">
        <f t="shared" ref="D16:M16" si="2">SUM(D9:D15)</f>
        <v>2221.0730225209518</v>
      </c>
      <c r="E16" s="1166">
        <f t="shared" si="2"/>
        <v>2290.4830728595962</v>
      </c>
      <c r="F16" s="1166">
        <f t="shared" si="2"/>
        <v>2267.6533000131235</v>
      </c>
      <c r="G16" s="1166">
        <f t="shared" si="2"/>
        <v>2226.5136536508744</v>
      </c>
      <c r="H16" s="1166">
        <f t="shared" si="2"/>
        <v>2229.9338001252654</v>
      </c>
      <c r="I16" s="1166">
        <f t="shared" si="2"/>
        <v>2234.1601126608639</v>
      </c>
      <c r="J16" s="1166">
        <f t="shared" si="2"/>
        <v>2916.7330396408911</v>
      </c>
      <c r="K16" s="1166">
        <f t="shared" si="2"/>
        <v>2336.7625702514897</v>
      </c>
      <c r="L16" s="1166">
        <f t="shared" si="2"/>
        <v>2251.6993239376752</v>
      </c>
      <c r="M16" s="1167">
        <f t="shared" si="2"/>
        <v>2259.1751090857615</v>
      </c>
      <c r="P16" s="1183" t="s">
        <v>656</v>
      </c>
      <c r="Q16" s="1202">
        <f>'A&amp;R'!AG23</f>
        <v>0.45731391007917005</v>
      </c>
      <c r="R16" s="1211">
        <f>AVERAGE('A&amp;R'!Y37:AH37)/12000</f>
        <v>-62.811134222611898</v>
      </c>
      <c r="S16" s="1204">
        <v>0</v>
      </c>
      <c r="T16" s="1194"/>
    </row>
    <row r="17" spans="2:20" ht="13.35" customHeight="1">
      <c r="B17" s="1154" t="s">
        <v>659</v>
      </c>
      <c r="C17" s="1166">
        <f t="shared" ref="C17:M17" si="3">C8-C16</f>
        <v>13105.364981746545</v>
      </c>
      <c r="D17" s="1166">
        <f t="shared" si="3"/>
        <v>13461.786385864698</v>
      </c>
      <c r="E17" s="1166">
        <f t="shared" si="3"/>
        <v>9076.1890386719242</v>
      </c>
      <c r="F17" s="1166">
        <f t="shared" si="3"/>
        <v>15215.117979256876</v>
      </c>
      <c r="G17" s="1166">
        <f t="shared" si="3"/>
        <v>15697.676364089477</v>
      </c>
      <c r="H17" s="1166">
        <f t="shared" si="3"/>
        <v>16136.820383685994</v>
      </c>
      <c r="I17" s="1166">
        <f t="shared" si="3"/>
        <v>16586.222341373075</v>
      </c>
      <c r="J17" s="1166">
        <f t="shared" si="3"/>
        <v>16147.668438126144</v>
      </c>
      <c r="K17" s="1166">
        <f t="shared" si="3"/>
        <v>17105.48551548308</v>
      </c>
      <c r="L17" s="1166">
        <f t="shared" si="3"/>
        <v>17672.536372248003</v>
      </c>
      <c r="M17" s="1167">
        <f t="shared" si="3"/>
        <v>18283.953536308563</v>
      </c>
      <c r="P17" s="1206" t="s">
        <v>187</v>
      </c>
      <c r="Q17" s="1207">
        <f>'A&amp;R'!AD23/'A&amp;R'!Y23</f>
        <v>2972.067603379212</v>
      </c>
      <c r="R17" s="1212">
        <f>'A&amp;R'!AD23/1000000</f>
        <v>62.086730000000003</v>
      </c>
      <c r="S17" s="1208">
        <v>2.5000000000000001E-2</v>
      </c>
      <c r="T17" s="1209"/>
    </row>
    <row r="18" spans="2:20" ht="13.35" customHeight="1">
      <c r="B18" s="1154" t="s">
        <v>660</v>
      </c>
      <c r="C18" s="1156">
        <f>M19</f>
        <v>2100</v>
      </c>
      <c r="D18" s="1157"/>
      <c r="E18" s="1166"/>
      <c r="F18" s="1166"/>
      <c r="G18" s="1166"/>
      <c r="H18" s="1166"/>
      <c r="I18" s="1166"/>
      <c r="J18" s="1157"/>
      <c r="K18" s="1157"/>
      <c r="L18" s="1166"/>
      <c r="M18" s="1168">
        <f>'A&amp;R'!AJ55</f>
        <v>4.8918868912827713E-2</v>
      </c>
    </row>
    <row r="19" spans="2:20" ht="13.35" customHeight="1">
      <c r="B19" s="1158" t="s">
        <v>205</v>
      </c>
      <c r="C19" s="1159">
        <f>SUM('A&amp;R'!T6:T11)/1000</f>
        <v>288900</v>
      </c>
      <c r="D19" s="1160"/>
      <c r="E19" s="1169"/>
      <c r="F19" s="1169"/>
      <c r="G19" s="1169"/>
      <c r="H19" s="1169"/>
      <c r="I19" s="1169"/>
      <c r="J19" s="1160"/>
      <c r="K19" s="1160"/>
      <c r="L19" s="1169"/>
      <c r="M19" s="1170">
        <f>'A&amp;R'!P31/1000</f>
        <v>2100</v>
      </c>
    </row>
    <row r="20" spans="2:20" ht="13.35" customHeight="1" thickBot="1">
      <c r="B20" s="1155" t="s">
        <v>661</v>
      </c>
      <c r="C20" s="3030">
        <f>C17/(C19-C18)</f>
        <v>4.5695135919618358E-2</v>
      </c>
      <c r="D20" s="1171"/>
      <c r="E20" s="1171"/>
      <c r="F20" s="1171"/>
      <c r="G20" s="1171"/>
      <c r="H20" s="1171"/>
      <c r="I20" s="1171"/>
      <c r="J20" s="1171"/>
      <c r="K20" s="1171"/>
      <c r="L20" s="1171"/>
      <c r="M20" s="1172">
        <f>M17/M18+M19</f>
        <v>375860.75822378771</v>
      </c>
    </row>
    <row r="22" spans="2:20" ht="13.35" customHeight="1" thickBot="1"/>
    <row r="23" spans="2:20" ht="13.35" customHeight="1">
      <c r="B23" s="1186" t="s">
        <v>1081</v>
      </c>
      <c r="I23" s="1186" t="s">
        <v>19</v>
      </c>
      <c r="P23" s="1175" t="s">
        <v>619</v>
      </c>
      <c r="Q23" s="1176" t="s">
        <v>676</v>
      </c>
      <c r="R23" s="1176" t="s">
        <v>677</v>
      </c>
      <c r="S23" s="1176" t="s">
        <v>236</v>
      </c>
      <c r="T23" s="1177" t="s">
        <v>264</v>
      </c>
    </row>
    <row r="24" spans="2:20" ht="13.35" customHeight="1" thickBot="1">
      <c r="P24" s="1183" t="s">
        <v>73</v>
      </c>
      <c r="Q24" s="1222">
        <f>'A&amp;R'!N68</f>
        <v>173.12381880702196</v>
      </c>
      <c r="R24" s="1211">
        <f>'A&amp;R'!O68/1000</f>
        <v>5</v>
      </c>
      <c r="S24" s="1204">
        <f>'A&amp;R'!Q68</f>
        <v>1.4999999999999999E-2</v>
      </c>
      <c r="T24" s="1194"/>
    </row>
    <row r="25" spans="2:20" ht="13.35" customHeight="1">
      <c r="B25" s="1175" t="s">
        <v>619</v>
      </c>
      <c r="C25" s="1176" t="s">
        <v>259</v>
      </c>
      <c r="D25" s="1176" t="s">
        <v>261</v>
      </c>
      <c r="E25" s="1176" t="s">
        <v>666</v>
      </c>
      <c r="F25" s="1176" t="s">
        <v>59</v>
      </c>
      <c r="G25" s="1177" t="s">
        <v>263</v>
      </c>
      <c r="I25" s="1175" t="s">
        <v>619</v>
      </c>
      <c r="J25" s="1176" t="s">
        <v>259</v>
      </c>
      <c r="K25" s="1176" t="s">
        <v>261</v>
      </c>
      <c r="L25" s="1176" t="s">
        <v>666</v>
      </c>
      <c r="M25" s="1176" t="s">
        <v>59</v>
      </c>
      <c r="N25" s="1177" t="s">
        <v>263</v>
      </c>
      <c r="P25" s="1183" t="s">
        <v>75</v>
      </c>
      <c r="Q25" s="1222">
        <f>'A&amp;R'!N69</f>
        <v>1838</v>
      </c>
      <c r="R25" s="1211">
        <f>'A&amp;R'!O69/1000</f>
        <v>53.083394667049994</v>
      </c>
      <c r="S25" s="1204">
        <f>'A&amp;R'!Q69</f>
        <v>0.02</v>
      </c>
      <c r="T25" s="1194"/>
    </row>
    <row r="26" spans="2:20" ht="13.35" customHeight="1">
      <c r="B26" s="1181">
        <f>'A&amp;R'!C42</f>
        <v>0</v>
      </c>
      <c r="C26" s="1164">
        <f>'A&amp;R'!D42/1000</f>
        <v>0</v>
      </c>
      <c r="D26" s="1179">
        <f ca="1">'A&amp;R'!E42/1000</f>
        <v>0</v>
      </c>
      <c r="E26" s="1179">
        <f>'A&amp;R'!F42/1000</f>
        <v>0</v>
      </c>
      <c r="F26" s="1164">
        <f ca="1">SUM(D26:E26)</f>
        <v>0</v>
      </c>
      <c r="G26" s="1680">
        <f>'A&amp;R'!G42</f>
        <v>0</v>
      </c>
      <c r="I26" s="1181">
        <f>'A&amp;R'!C42</f>
        <v>0</v>
      </c>
      <c r="J26" s="1164">
        <f>'A&amp;R'!H42/1000</f>
        <v>0</v>
      </c>
      <c r="K26" s="1179">
        <f ca="1">'A&amp;R'!I42/1000</f>
        <v>0</v>
      </c>
      <c r="L26" s="1179">
        <f>'A&amp;R'!J42/1000</f>
        <v>0</v>
      </c>
      <c r="M26" s="1164">
        <f ca="1">SUM(K26:L26)</f>
        <v>0</v>
      </c>
      <c r="N26" s="1680">
        <f>'A&amp;R'!K42</f>
        <v>0</v>
      </c>
      <c r="P26" s="1183" t="s">
        <v>78</v>
      </c>
      <c r="Q26" s="1222">
        <f>'A&amp;R'!N70</f>
        <v>90</v>
      </c>
      <c r="R26" s="1211">
        <f>'A&amp;R'!O70/1000</f>
        <v>2.59929571275</v>
      </c>
      <c r="S26" s="1204">
        <f>'A&amp;R'!Q70</f>
        <v>0.02</v>
      </c>
      <c r="T26" s="1194"/>
    </row>
    <row r="27" spans="2:20" ht="13.35" customHeight="1">
      <c r="B27" s="1181">
        <f>'A&amp;R'!C43</f>
        <v>1</v>
      </c>
      <c r="C27" s="1164">
        <f>'A&amp;R'!D43/1000</f>
        <v>24000</v>
      </c>
      <c r="D27" s="1179">
        <f ca="1">'A&amp;R'!E43/1000</f>
        <v>840.00000000000011</v>
      </c>
      <c r="E27" s="1179">
        <f>'A&amp;R'!F43/1000</f>
        <v>0</v>
      </c>
      <c r="F27" s="1164">
        <f t="shared" ref="F27:F46" ca="1" si="4">SUM(D27:E27)</f>
        <v>840.00000000000011</v>
      </c>
      <c r="G27" s="1680">
        <f ca="1">'A&amp;R'!G43</f>
        <v>7.0000000000000007E-2</v>
      </c>
      <c r="I27" s="1181">
        <f>'A&amp;R'!C43</f>
        <v>1</v>
      </c>
      <c r="J27" s="1164">
        <f>'A&amp;R'!H43/1000</f>
        <v>50000</v>
      </c>
      <c r="K27" s="1179">
        <f ca="1">'A&amp;R'!I43/1000</f>
        <v>1875</v>
      </c>
      <c r="L27" s="1179">
        <f>'A&amp;R'!J43/1000</f>
        <v>0</v>
      </c>
      <c r="M27" s="1164">
        <f t="shared" ref="M27:M46" ca="1" si="5">SUM(K27:L27)</f>
        <v>1875</v>
      </c>
      <c r="N27" s="1680">
        <f ca="1">'A&amp;R'!K43</f>
        <v>7.4999999999999997E-2</v>
      </c>
      <c r="P27" s="1183" t="s">
        <v>80</v>
      </c>
      <c r="Q27" s="1222">
        <f>'A&amp;R'!N71</f>
        <v>0</v>
      </c>
      <c r="R27" s="1211">
        <f>'A&amp;R'!O71/1000</f>
        <v>0</v>
      </c>
      <c r="S27" s="1204">
        <f>'A&amp;R'!Q71</f>
        <v>0.02</v>
      </c>
      <c r="T27" s="1194"/>
    </row>
    <row r="28" spans="2:20" ht="13.35" customHeight="1">
      <c r="B28" s="1181">
        <f>'A&amp;R'!C44</f>
        <v>2</v>
      </c>
      <c r="C28" s="1164">
        <f>'A&amp;R'!D44/1000</f>
        <v>24000</v>
      </c>
      <c r="D28" s="1179">
        <f ca="1">'A&amp;R'!E44/1000</f>
        <v>840.00000000000011</v>
      </c>
      <c r="E28" s="1179">
        <f>'A&amp;R'!F44/1000</f>
        <v>0</v>
      </c>
      <c r="F28" s="1164">
        <f t="shared" ca="1" si="4"/>
        <v>840.00000000000011</v>
      </c>
      <c r="G28" s="1680">
        <f ca="1">'A&amp;R'!G44</f>
        <v>7.0000000000000007E-2</v>
      </c>
      <c r="I28" s="1181">
        <f>'A&amp;R'!C44</f>
        <v>2</v>
      </c>
      <c r="J28" s="1164">
        <f>'A&amp;R'!H44/1000</f>
        <v>50000</v>
      </c>
      <c r="K28" s="1179">
        <f ca="1">'A&amp;R'!I44/1000</f>
        <v>1875</v>
      </c>
      <c r="L28" s="1179">
        <f>'A&amp;R'!J44/1000</f>
        <v>0</v>
      </c>
      <c r="M28" s="1164">
        <f t="shared" ca="1" si="5"/>
        <v>1875</v>
      </c>
      <c r="N28" s="1680">
        <f ca="1">'A&amp;R'!K44</f>
        <v>7.4999999999999997E-2</v>
      </c>
      <c r="P28" s="1183" t="s">
        <v>83</v>
      </c>
      <c r="Q28" s="1222">
        <f>'A&amp;R'!N72</f>
        <v>2141.7860317670779</v>
      </c>
      <c r="R28" s="1211">
        <f>'A&amp;R'!O72/1000</f>
        <v>61.857058333333342</v>
      </c>
      <c r="S28" s="1204">
        <f>'A&amp;R'!Q72</f>
        <v>-0.02</v>
      </c>
      <c r="T28" s="1194"/>
    </row>
    <row r="29" spans="2:20" ht="13.35" customHeight="1" thickBot="1">
      <c r="B29" s="1181">
        <f>'A&amp;R'!C45</f>
        <v>3</v>
      </c>
      <c r="C29" s="1164">
        <f>'A&amp;R'!D45/1000</f>
        <v>24000</v>
      </c>
      <c r="D29" s="1179">
        <f ca="1">'A&amp;R'!E45/1000</f>
        <v>840.00000000000011</v>
      </c>
      <c r="E29" s="1179">
        <f>'A&amp;R'!F45/1000</f>
        <v>0</v>
      </c>
      <c r="F29" s="1164">
        <f t="shared" ca="1" si="4"/>
        <v>840.00000000000011</v>
      </c>
      <c r="G29" s="1680">
        <f ca="1">'A&amp;R'!G45</f>
        <v>7.0000000000000007E-2</v>
      </c>
      <c r="I29" s="1181">
        <f>'A&amp;R'!C45</f>
        <v>3</v>
      </c>
      <c r="J29" s="1164">
        <f>'A&amp;R'!H45/1000</f>
        <v>50000</v>
      </c>
      <c r="K29" s="1179">
        <f ca="1">'A&amp;R'!I45/1000</f>
        <v>1875</v>
      </c>
      <c r="L29" s="1179">
        <f>'A&amp;R'!J45/1000</f>
        <v>0</v>
      </c>
      <c r="M29" s="1164">
        <f t="shared" ca="1" si="5"/>
        <v>1875</v>
      </c>
      <c r="N29" s="1680">
        <f ca="1">'A&amp;R'!K45</f>
        <v>7.4999999999999997E-2</v>
      </c>
      <c r="P29" s="1185" t="s">
        <v>658</v>
      </c>
      <c r="Q29" s="1223">
        <f>SUM('A&amp;R'!N73:N77)</f>
        <v>2169.3161985609099</v>
      </c>
      <c r="R29" s="1213">
        <f>SUM('A&amp;R'!O73:O77)/1000</f>
        <v>62.652158827983335</v>
      </c>
      <c r="S29" s="1205">
        <f>'A&amp;R'!Q77</f>
        <v>0</v>
      </c>
      <c r="T29" s="1195"/>
    </row>
    <row r="30" spans="2:20" ht="13.35" customHeight="1">
      <c r="B30" s="1181">
        <f>'A&amp;R'!C46</f>
        <v>4</v>
      </c>
      <c r="C30" s="1164">
        <f>'A&amp;R'!D46/1000</f>
        <v>24000</v>
      </c>
      <c r="D30" s="1179">
        <f ca="1">'A&amp;R'!E46/1000</f>
        <v>840.00000000000011</v>
      </c>
      <c r="E30" s="1179">
        <f>'A&amp;R'!F46/1000</f>
        <v>0</v>
      </c>
      <c r="F30" s="1164">
        <f t="shared" ca="1" si="4"/>
        <v>840.00000000000011</v>
      </c>
      <c r="G30" s="1680">
        <f ca="1">'A&amp;R'!G46</f>
        <v>7.0000000000000007E-2</v>
      </c>
      <c r="I30" s="1181">
        <f>'A&amp;R'!C46</f>
        <v>4</v>
      </c>
      <c r="J30" s="1164">
        <f>'A&amp;R'!H46/1000</f>
        <v>50000</v>
      </c>
      <c r="K30" s="1179">
        <f ca="1">'A&amp;R'!I46/1000</f>
        <v>1875</v>
      </c>
      <c r="L30" s="1179">
        <f>'A&amp;R'!J46/1000</f>
        <v>0</v>
      </c>
      <c r="M30" s="1164">
        <f t="shared" ca="1" si="5"/>
        <v>1875</v>
      </c>
      <c r="N30" s="1680">
        <f ca="1">'A&amp;R'!K46</f>
        <v>7.4999999999999997E-2</v>
      </c>
    </row>
    <row r="31" spans="2:20" ht="13.35" customHeight="1">
      <c r="B31" s="1181">
        <f>'A&amp;R'!C47</f>
        <v>5</v>
      </c>
      <c r="C31" s="1164">
        <f>'A&amp;R'!D47/1000</f>
        <v>24000</v>
      </c>
      <c r="D31" s="1179">
        <f ca="1">'A&amp;R'!E47/1000</f>
        <v>840.00000000000011</v>
      </c>
      <c r="E31" s="1179">
        <f>'A&amp;R'!F47/1000</f>
        <v>0</v>
      </c>
      <c r="F31" s="1164">
        <f t="shared" ca="1" si="4"/>
        <v>840.00000000000011</v>
      </c>
      <c r="G31" s="1680">
        <f ca="1">'A&amp;R'!G47</f>
        <v>7.0000000000000007E-2</v>
      </c>
      <c r="I31" s="1181">
        <f>'A&amp;R'!C47</f>
        <v>5</v>
      </c>
      <c r="J31" s="1164">
        <f>'A&amp;R'!H47/1000</f>
        <v>50000</v>
      </c>
      <c r="K31" s="1179">
        <f ca="1">'A&amp;R'!I47/1000</f>
        <v>1875</v>
      </c>
      <c r="L31" s="1179">
        <f>'A&amp;R'!J47/1000</f>
        <v>0</v>
      </c>
      <c r="M31" s="1164">
        <f t="shared" ca="1" si="5"/>
        <v>1875</v>
      </c>
      <c r="N31" s="1680">
        <f ca="1">'A&amp;R'!K47</f>
        <v>7.4999999999999997E-2</v>
      </c>
    </row>
    <row r="32" spans="2:20" ht="13.35" customHeight="1" thickBot="1">
      <c r="B32" s="1181">
        <f>'A&amp;R'!C48</f>
        <v>6</v>
      </c>
      <c r="C32" s="1164">
        <f>'A&amp;R'!D48/1000</f>
        <v>24000</v>
      </c>
      <c r="D32" s="1179">
        <f ca="1">'A&amp;R'!E48/1000</f>
        <v>840.00000000000011</v>
      </c>
      <c r="E32" s="1179">
        <f>'A&amp;R'!F48/1000</f>
        <v>0</v>
      </c>
      <c r="F32" s="1164">
        <f t="shared" ca="1" si="4"/>
        <v>840.00000000000011</v>
      </c>
      <c r="G32" s="1680">
        <f ca="1">'A&amp;R'!G48</f>
        <v>7.0000000000000007E-2</v>
      </c>
      <c r="I32" s="1181">
        <f>'A&amp;R'!C48</f>
        <v>6</v>
      </c>
      <c r="J32" s="1164">
        <f>'A&amp;R'!H48/1000</f>
        <v>50000</v>
      </c>
      <c r="K32" s="1179">
        <f ca="1">'A&amp;R'!I48/1000</f>
        <v>1875</v>
      </c>
      <c r="L32" s="1179">
        <f>'A&amp;R'!J48/1000</f>
        <v>0</v>
      </c>
      <c r="M32" s="1164">
        <f t="shared" ca="1" si="5"/>
        <v>1875</v>
      </c>
      <c r="N32" s="1680">
        <f ca="1">'A&amp;R'!K48</f>
        <v>7.4999999999999997E-2</v>
      </c>
    </row>
    <row r="33" spans="2:29" ht="13.35" customHeight="1">
      <c r="B33" s="1181">
        <f>'A&amp;R'!C49</f>
        <v>7</v>
      </c>
      <c r="C33" s="1164">
        <f>'A&amp;R'!D49/1000</f>
        <v>24000</v>
      </c>
      <c r="D33" s="1179">
        <f ca="1">'A&amp;R'!E49/1000</f>
        <v>840.00000000000011</v>
      </c>
      <c r="E33" s="1179">
        <f>'A&amp;R'!F49/1000</f>
        <v>0</v>
      </c>
      <c r="F33" s="1164">
        <f t="shared" ca="1" si="4"/>
        <v>840.00000000000011</v>
      </c>
      <c r="G33" s="1680">
        <f ca="1">'A&amp;R'!G49</f>
        <v>7.0000000000000007E-2</v>
      </c>
      <c r="I33" s="1181">
        <f>'A&amp;R'!C49</f>
        <v>7</v>
      </c>
      <c r="J33" s="1164">
        <f>'A&amp;R'!H49/1000</f>
        <v>50000</v>
      </c>
      <c r="K33" s="1179">
        <f ca="1">'A&amp;R'!I49/1000</f>
        <v>1762.4720129412688</v>
      </c>
      <c r="L33" s="1179">
        <f>'A&amp;R'!J49/1000</f>
        <v>0</v>
      </c>
      <c r="M33" s="1164">
        <f t="shared" ca="1" si="5"/>
        <v>1762.4720129412688</v>
      </c>
      <c r="N33" s="1680">
        <f ca="1">'A&amp;R'!K49</f>
        <v>7.0498880517650755E-2</v>
      </c>
      <c r="P33" s="1175" t="s">
        <v>619</v>
      </c>
      <c r="Q33" s="1176" t="s">
        <v>848</v>
      </c>
      <c r="R33" s="1176" t="s">
        <v>677</v>
      </c>
      <c r="S33" s="1176" t="str">
        <f>S23</f>
        <v>상승률</v>
      </c>
      <c r="T33" s="1177" t="s">
        <v>264</v>
      </c>
    </row>
    <row r="34" spans="2:29" ht="13.35" customHeight="1">
      <c r="B34" s="1181">
        <f>'A&amp;R'!C50</f>
        <v>8</v>
      </c>
      <c r="C34" s="1164">
        <f>'A&amp;R'!D50/1000</f>
        <v>24000</v>
      </c>
      <c r="D34" s="1179">
        <f ca="1">'A&amp;R'!E50/1000</f>
        <v>840.00000000000011</v>
      </c>
      <c r="E34" s="1179">
        <f>'A&amp;R'!F50/1000</f>
        <v>0</v>
      </c>
      <c r="F34" s="1164">
        <f t="shared" ca="1" si="4"/>
        <v>840.00000000000011</v>
      </c>
      <c r="G34" s="1680">
        <f ca="1">'A&amp;R'!G50</f>
        <v>7.0000000000000007E-2</v>
      </c>
      <c r="I34" s="1181">
        <f>'A&amp;R'!C50</f>
        <v>8</v>
      </c>
      <c r="J34" s="1164">
        <f>'A&amp;R'!H50/1000</f>
        <v>50000</v>
      </c>
      <c r="K34" s="1179">
        <f ca="1">'A&amp;R'!I50/1000</f>
        <v>1513.2919989280106</v>
      </c>
      <c r="L34" s="1179">
        <f>'A&amp;R'!J50/1000</f>
        <v>0</v>
      </c>
      <c r="M34" s="1164">
        <f t="shared" ca="1" si="5"/>
        <v>1513.2919989280106</v>
      </c>
      <c r="N34" s="1680">
        <f ca="1">'A&amp;R'!K50</f>
        <v>6.0531679957120416E-2</v>
      </c>
      <c r="P34" s="1183" t="str">
        <f>'A&amp;R'!L82</f>
        <v>자산관리수수료</v>
      </c>
      <c r="Q34" s="1398">
        <v>2.2300000000000002E-3</v>
      </c>
      <c r="R34" s="1211">
        <f>'A&amp;R'!Q82/1000</f>
        <v>55.54558333333334</v>
      </c>
      <c r="S34" s="1204">
        <f>'A&amp;R'!T82</f>
        <v>0</v>
      </c>
      <c r="T34" s="1194"/>
      <c r="U34" s="1187">
        <f>R34*12</f>
        <v>666.54700000000003</v>
      </c>
    </row>
    <row r="35" spans="2:29" ht="13.35" customHeight="1">
      <c r="B35" s="1181">
        <f>'A&amp;R'!C51</f>
        <v>9</v>
      </c>
      <c r="C35" s="1164">
        <f>'A&amp;R'!D51/1000</f>
        <v>24000</v>
      </c>
      <c r="D35" s="1179">
        <f ca="1">'A&amp;R'!E51/1000</f>
        <v>840.00000000000011</v>
      </c>
      <c r="E35" s="1179">
        <f>'A&amp;R'!F51/1000</f>
        <v>0</v>
      </c>
      <c r="F35" s="1164">
        <f t="shared" ca="1" si="4"/>
        <v>840.00000000000011</v>
      </c>
      <c r="G35" s="1680">
        <f ca="1">'A&amp;R'!G51</f>
        <v>7.0000000000000007E-2</v>
      </c>
      <c r="I35" s="1181">
        <f>'A&amp;R'!C51</f>
        <v>9</v>
      </c>
      <c r="J35" s="1164">
        <f>'A&amp;R'!H51/1000</f>
        <v>50000</v>
      </c>
      <c r="K35" s="1179">
        <f ca="1">'A&amp;R'!I51/1000</f>
        <v>1265.5414966859473</v>
      </c>
      <c r="L35" s="1179">
        <f>'A&amp;R'!J51/1000</f>
        <v>0</v>
      </c>
      <c r="M35" s="1164">
        <f t="shared" ca="1" si="5"/>
        <v>1265.5414966859473</v>
      </c>
      <c r="N35" s="1680">
        <f ca="1">'A&amp;R'!K51</f>
        <v>5.0621659867437892E-2</v>
      </c>
      <c r="P35" s="1183" t="str">
        <f>'A&amp;R'!L83</f>
        <v>자산보관수수료</v>
      </c>
      <c r="Q35" s="1398">
        <v>5.0000000000000002E-5</v>
      </c>
      <c r="R35" s="1211">
        <f>'A&amp;R'!Q83/1000</f>
        <v>1</v>
      </c>
      <c r="S35" s="1204">
        <f>'A&amp;R'!T83</f>
        <v>0</v>
      </c>
      <c r="T35" s="1194"/>
    </row>
    <row r="36" spans="2:29" ht="13.35" customHeight="1">
      <c r="B36" s="1181">
        <f>'A&amp;R'!C52</f>
        <v>10</v>
      </c>
      <c r="C36" s="1164">
        <f>'A&amp;R'!D52/1000</f>
        <v>24000</v>
      </c>
      <c r="D36" s="1179">
        <f ca="1">'A&amp;R'!E52/1000</f>
        <v>840.00000000000011</v>
      </c>
      <c r="E36" s="1179">
        <f>'A&amp;R'!F52/1000</f>
        <v>0</v>
      </c>
      <c r="F36" s="1164">
        <f t="shared" ca="1" si="4"/>
        <v>840.00000000000011</v>
      </c>
      <c r="G36" s="1680">
        <f ca="1">'A&amp;R'!G52</f>
        <v>7.0000000000000007E-2</v>
      </c>
      <c r="I36" s="1181">
        <f>'A&amp;R'!C52</f>
        <v>10</v>
      </c>
      <c r="J36" s="1164">
        <f>'A&amp;R'!H52/1000</f>
        <v>50000</v>
      </c>
      <c r="K36" s="1179">
        <f ca="1">'A&amp;R'!I52/1000</f>
        <v>1722.4784355854392</v>
      </c>
      <c r="L36" s="1179">
        <f>'A&amp;R'!J52/1000</f>
        <v>0</v>
      </c>
      <c r="M36" s="1164">
        <f t="shared" ca="1" si="5"/>
        <v>1722.4784355854392</v>
      </c>
      <c r="N36" s="1680">
        <f ca="1">'A&amp;R'!K52</f>
        <v>6.8899137423417564E-2</v>
      </c>
      <c r="P36" s="1183" t="str">
        <f>'A&amp;R'!L84</f>
        <v>사무수탁수수료</v>
      </c>
      <c r="Q36" s="1399">
        <f>'A&amp;R'!P84</f>
        <v>8.7102177554438865E-5</v>
      </c>
      <c r="R36" s="1211">
        <f>'A&amp;R'!Q84/1000</f>
        <v>2.1695700725851479</v>
      </c>
      <c r="S36" s="1204">
        <f>'A&amp;R'!T84</f>
        <v>0</v>
      </c>
      <c r="T36" s="1194"/>
    </row>
    <row r="37" spans="2:29" ht="13.35" customHeight="1">
      <c r="B37" s="1181">
        <f>'A&amp;R'!C53</f>
        <v>11</v>
      </c>
      <c r="C37" s="1164">
        <f>'A&amp;R'!D53/1000</f>
        <v>24000</v>
      </c>
      <c r="D37" s="1179">
        <f ca="1">'A&amp;R'!E53/1000</f>
        <v>840.00000000000011</v>
      </c>
      <c r="E37" s="1179">
        <f>'A&amp;R'!F53/1000</f>
        <v>0</v>
      </c>
      <c r="F37" s="1164">
        <f t="shared" ca="1" si="4"/>
        <v>840.00000000000011</v>
      </c>
      <c r="G37" s="1680">
        <f ca="1">'A&amp;R'!G53</f>
        <v>7.0000000000000007E-2</v>
      </c>
      <c r="I37" s="1181">
        <f>'A&amp;R'!C53</f>
        <v>11</v>
      </c>
      <c r="J37" s="1164">
        <f>'A&amp;R'!H53/1000</f>
        <v>50000</v>
      </c>
      <c r="K37" s="1179">
        <f ca="1">'A&amp;R'!I53/1000</f>
        <v>1805.6477403300544</v>
      </c>
      <c r="L37" s="1179">
        <f>'A&amp;R'!J53/1000</f>
        <v>0</v>
      </c>
      <c r="M37" s="1164">
        <f t="shared" ca="1" si="5"/>
        <v>1805.6477403300544</v>
      </c>
      <c r="N37" s="1680">
        <f ca="1">'A&amp;R'!K53</f>
        <v>7.2225909613202174E-2</v>
      </c>
      <c r="P37" s="1183" t="str">
        <f>'A&amp;R'!L80</f>
        <v>임원급여</v>
      </c>
      <c r="Q37" s="1204" t="s">
        <v>527</v>
      </c>
      <c r="R37" s="1211">
        <f>'A&amp;R'!Q80/1000</f>
        <v>2</v>
      </c>
      <c r="S37" s="1204">
        <v>0.02</v>
      </c>
      <c r="T37" s="1194"/>
    </row>
    <row r="38" spans="2:29" ht="13.35" customHeight="1">
      <c r="B38" s="1181">
        <f>'A&amp;R'!C54</f>
        <v>12</v>
      </c>
      <c r="C38" s="1164">
        <f>'A&amp;R'!D54/1000</f>
        <v>24000</v>
      </c>
      <c r="D38" s="1179">
        <f ca="1">'A&amp;R'!E54/1000</f>
        <v>840.00000000000011</v>
      </c>
      <c r="E38" s="1179">
        <f>'A&amp;R'!F54/1000</f>
        <v>0</v>
      </c>
      <c r="F38" s="1164">
        <f t="shared" ca="1" si="4"/>
        <v>840.00000000000011</v>
      </c>
      <c r="G38" s="1680">
        <f ca="1">'A&amp;R'!G54</f>
        <v>7.0000000000000007E-2</v>
      </c>
      <c r="I38" s="1181">
        <f>'A&amp;R'!C54</f>
        <v>12</v>
      </c>
      <c r="J38" s="1164">
        <f>'A&amp;R'!H54/1000</f>
        <v>50000</v>
      </c>
      <c r="K38" s="1179">
        <f ca="1">'A&amp;R'!I54/1000</f>
        <v>2258.497346219398</v>
      </c>
      <c r="L38" s="1179">
        <f>'A&amp;R'!J54/1000</f>
        <v>0</v>
      </c>
      <c r="M38" s="1164">
        <f t="shared" ca="1" si="5"/>
        <v>2258.497346219398</v>
      </c>
      <c r="N38" s="1680">
        <f ca="1">'A&amp;R'!K54</f>
        <v>9.0339893848775929E-2</v>
      </c>
      <c r="P38" s="1183" t="str">
        <f>'A&amp;R'!L81</f>
        <v>회계감사수수료</v>
      </c>
      <c r="Q38" s="1204" t="s">
        <v>527</v>
      </c>
      <c r="R38" s="1211">
        <f>'A&amp;R'!R81/1000</f>
        <v>72</v>
      </c>
      <c r="S38" s="1204">
        <v>0.02</v>
      </c>
      <c r="T38" s="1194"/>
    </row>
    <row r="39" spans="2:29" ht="13.35" customHeight="1" thickBot="1">
      <c r="B39" s="1181">
        <f>'A&amp;R'!C55</f>
        <v>13</v>
      </c>
      <c r="C39" s="1164">
        <f>'A&amp;R'!D55/1000</f>
        <v>24000</v>
      </c>
      <c r="D39" s="1179">
        <f ca="1">'A&amp;R'!E55/1000</f>
        <v>840.00000000000011</v>
      </c>
      <c r="E39" s="1179">
        <f>'A&amp;R'!F55/1000</f>
        <v>0</v>
      </c>
      <c r="F39" s="1164">
        <f t="shared" ca="1" si="4"/>
        <v>840.00000000000011</v>
      </c>
      <c r="G39" s="1680">
        <f ca="1">'A&amp;R'!G55</f>
        <v>7.0000000000000007E-2</v>
      </c>
      <c r="I39" s="1181">
        <f>'A&amp;R'!C55</f>
        <v>13</v>
      </c>
      <c r="J39" s="1164">
        <f>'A&amp;R'!H55/1000</f>
        <v>50000</v>
      </c>
      <c r="K39" s="1179">
        <f ca="1">'A&amp;R'!I55/1000</f>
        <v>2031.2131788212532</v>
      </c>
      <c r="L39" s="1179">
        <f>'A&amp;R'!J55/1000</f>
        <v>0</v>
      </c>
      <c r="M39" s="1164">
        <f t="shared" ca="1" si="5"/>
        <v>2031.2131788212532</v>
      </c>
      <c r="N39" s="1680">
        <f ca="1">'A&amp;R'!K55</f>
        <v>8.1248527152850122E-2</v>
      </c>
      <c r="P39" s="1185"/>
      <c r="Q39" s="1223"/>
      <c r="R39" s="1213"/>
      <c r="S39" s="1205"/>
      <c r="T39" s="1195"/>
    </row>
    <row r="40" spans="2:29" ht="13.35" customHeight="1">
      <c r="B40" s="1181">
        <f>'A&amp;R'!C56</f>
        <v>14</v>
      </c>
      <c r="C40" s="1164">
        <f>'A&amp;R'!D56/1000</f>
        <v>24000</v>
      </c>
      <c r="D40" s="1179">
        <f ca="1">'A&amp;R'!E56/1000</f>
        <v>840.00000000000011</v>
      </c>
      <c r="E40" s="1179">
        <f>'A&amp;R'!F56/1000</f>
        <v>0</v>
      </c>
      <c r="F40" s="1164">
        <f t="shared" ca="1" si="4"/>
        <v>840.00000000000011</v>
      </c>
      <c r="G40" s="1680">
        <f ca="1">'A&amp;R'!G56</f>
        <v>7.0000000000000007E-2</v>
      </c>
      <c r="I40" s="1181">
        <f>'A&amp;R'!C56</f>
        <v>14</v>
      </c>
      <c r="J40" s="1164">
        <f>'A&amp;R'!H56/1000</f>
        <v>50000</v>
      </c>
      <c r="K40" s="1179">
        <f ca="1">'A&amp;R'!I56/1000</f>
        <v>2480.2746567853596</v>
      </c>
      <c r="L40" s="1179">
        <f>'A&amp;R'!J56/1000</f>
        <v>0</v>
      </c>
      <c r="M40" s="1164">
        <f t="shared" ca="1" si="5"/>
        <v>2480.2746567853596</v>
      </c>
      <c r="N40" s="1680">
        <f ca="1">'A&amp;R'!K56</f>
        <v>9.9210986271414378E-2</v>
      </c>
    </row>
    <row r="41" spans="2:29" ht="13.35" customHeight="1">
      <c r="B41" s="1181">
        <f>'A&amp;R'!C57</f>
        <v>15</v>
      </c>
      <c r="C41" s="1164">
        <f>'A&amp;R'!D57/1000</f>
        <v>24000</v>
      </c>
      <c r="D41" s="1179">
        <f ca="1">'A&amp;R'!E57/1000</f>
        <v>840.00000000000011</v>
      </c>
      <c r="E41" s="1179">
        <f>'A&amp;R'!F57/1000</f>
        <v>0</v>
      </c>
      <c r="F41" s="1164">
        <f t="shared" ca="1" si="4"/>
        <v>840.00000000000011</v>
      </c>
      <c r="G41" s="1680">
        <f ca="1">'A&amp;R'!G57</f>
        <v>7.0000000000000007E-2</v>
      </c>
      <c r="I41" s="1181">
        <f>'A&amp;R'!C57</f>
        <v>15</v>
      </c>
      <c r="J41" s="1164">
        <f>'A&amp;R'!H57/1000</f>
        <v>50000</v>
      </c>
      <c r="K41" s="1179">
        <f ca="1">'A&amp;R'!I57/1000</f>
        <v>2035.5831337032691</v>
      </c>
      <c r="L41" s="1179">
        <f>'A&amp;R'!J57/1000</f>
        <v>0</v>
      </c>
      <c r="M41" s="1164">
        <f t="shared" ca="1" si="5"/>
        <v>2035.5831337032691</v>
      </c>
      <c r="N41" s="1680">
        <f ca="1">'A&amp;R'!K57</f>
        <v>8.1423325348130765E-2</v>
      </c>
    </row>
    <row r="42" spans="2:29" ht="13.35" customHeight="1" thickBot="1">
      <c r="B42" s="1181">
        <f>'A&amp;R'!C58</f>
        <v>16</v>
      </c>
      <c r="C42" s="1164">
        <f>'A&amp;R'!D58/1000</f>
        <v>24000</v>
      </c>
      <c r="D42" s="1179">
        <f ca="1">'A&amp;R'!E58/1000</f>
        <v>840.00000000000011</v>
      </c>
      <c r="E42" s="1179">
        <f>'A&amp;R'!F58/1000</f>
        <v>0</v>
      </c>
      <c r="F42" s="1164">
        <f t="shared" ca="1" si="4"/>
        <v>840.00000000000011</v>
      </c>
      <c r="G42" s="1680">
        <f ca="1">'A&amp;R'!G58</f>
        <v>7.0000000000000007E-2</v>
      </c>
      <c r="I42" s="1181">
        <f>'A&amp;R'!C58</f>
        <v>16</v>
      </c>
      <c r="J42" s="1164">
        <f>'A&amp;R'!H58/1000</f>
        <v>50000</v>
      </c>
      <c r="K42" s="1179">
        <f ca="1">'A&amp;R'!I58/1000</f>
        <v>1875</v>
      </c>
      <c r="L42" s="1179">
        <f>'A&amp;R'!J58/1000</f>
        <v>0</v>
      </c>
      <c r="M42" s="1164">
        <f t="shared" ca="1" si="5"/>
        <v>1875</v>
      </c>
      <c r="N42" s="1680">
        <f ca="1">'A&amp;R'!K58</f>
        <v>7.4999999999999997E-2</v>
      </c>
    </row>
    <row r="43" spans="2:29" ht="13.35" customHeight="1">
      <c r="B43" s="1181">
        <f>'A&amp;R'!C59</f>
        <v>17</v>
      </c>
      <c r="C43" s="1164">
        <f>'A&amp;R'!D59/1000</f>
        <v>24000</v>
      </c>
      <c r="D43" s="1179">
        <f ca="1">'A&amp;R'!E59/1000</f>
        <v>840.00000000000011</v>
      </c>
      <c r="E43" s="1179">
        <f>'A&amp;R'!F59/1000</f>
        <v>0</v>
      </c>
      <c r="F43" s="1164">
        <f t="shared" ca="1" si="4"/>
        <v>840.00000000000011</v>
      </c>
      <c r="G43" s="1680">
        <f ca="1">'A&amp;R'!G59</f>
        <v>7.0000000000000007E-2</v>
      </c>
      <c r="I43" s="1181">
        <f>'A&amp;R'!C59</f>
        <v>17</v>
      </c>
      <c r="J43" s="1164">
        <f>'A&amp;R'!H59/1000</f>
        <v>50000</v>
      </c>
      <c r="K43" s="1179">
        <f ca="1">'A&amp;R'!I59/1000</f>
        <v>1875</v>
      </c>
      <c r="L43" s="1179">
        <f>'A&amp;R'!J59/1000</f>
        <v>0</v>
      </c>
      <c r="M43" s="1164">
        <f t="shared" ca="1" si="5"/>
        <v>1875</v>
      </c>
      <c r="N43" s="1680">
        <f ca="1">'A&amp;R'!K59</f>
        <v>7.4999999999999997E-2</v>
      </c>
      <c r="P43" s="1175" t="s">
        <v>619</v>
      </c>
      <c r="Q43" s="1176" t="s">
        <v>678</v>
      </c>
      <c r="R43" s="1176" t="s">
        <v>679</v>
      </c>
      <c r="S43" s="1177" t="s">
        <v>264</v>
      </c>
      <c r="Z43" s="1175" t="s">
        <v>24</v>
      </c>
      <c r="AA43" s="1176" t="s">
        <v>25</v>
      </c>
      <c r="AB43" s="1176" t="s">
        <v>24</v>
      </c>
      <c r="AC43" s="1177" t="s">
        <v>25</v>
      </c>
    </row>
    <row r="44" spans="2:29" ht="13.35" customHeight="1">
      <c r="B44" s="1181">
        <f>'A&amp;R'!C60</f>
        <v>18</v>
      </c>
      <c r="C44" s="1164">
        <f>'A&amp;R'!D60/1000</f>
        <v>24000</v>
      </c>
      <c r="D44" s="1179">
        <f ca="1">'A&amp;R'!E60/1000</f>
        <v>840.00000000000011</v>
      </c>
      <c r="E44" s="1179">
        <f>'A&amp;R'!F60/1000</f>
        <v>0</v>
      </c>
      <c r="F44" s="1164">
        <f t="shared" ca="1" si="4"/>
        <v>840.00000000000011</v>
      </c>
      <c r="G44" s="1680">
        <f ca="1">'A&amp;R'!G60</f>
        <v>7.0000000000000007E-2</v>
      </c>
      <c r="I44" s="1181">
        <f>'A&amp;R'!C60</f>
        <v>18</v>
      </c>
      <c r="J44" s="1164">
        <f>'A&amp;R'!H60/1000</f>
        <v>50000</v>
      </c>
      <c r="K44" s="1179">
        <f ca="1">'A&amp;R'!I60/1000</f>
        <v>1875</v>
      </c>
      <c r="L44" s="1179">
        <f>'A&amp;R'!J60/1000</f>
        <v>0</v>
      </c>
      <c r="M44" s="1164">
        <f t="shared" ca="1" si="5"/>
        <v>1875</v>
      </c>
      <c r="N44" s="1680">
        <f ca="1">'A&amp;R'!K60</f>
        <v>7.4999999999999997E-2</v>
      </c>
      <c r="P44" s="1183" t="s">
        <v>680</v>
      </c>
      <c r="Q44" s="1191"/>
      <c r="R44" s="1706">
        <f>'A&amp;R'!P8/1000</f>
        <v>270000</v>
      </c>
      <c r="S44" s="1678">
        <f t="shared" ref="S44:S49" si="6">R44/$R$50</f>
        <v>0.90331214452994335</v>
      </c>
      <c r="U44" s="1299">
        <f t="shared" ref="U44:U49" si="7">R44*1000</f>
        <v>270000000</v>
      </c>
      <c r="W44" s="1299">
        <f>Q55</f>
        <v>2100</v>
      </c>
      <c r="X44" s="1716">
        <f t="shared" ref="X44:X50" si="8">W44/$W$51</f>
        <v>7.0257611241217799E-3</v>
      </c>
      <c r="Z44" s="1183" t="s">
        <v>38</v>
      </c>
      <c r="AA44" s="1706">
        <f>R44/100</f>
        <v>2700</v>
      </c>
      <c r="AB44" s="1706" t="s">
        <v>2432</v>
      </c>
      <c r="AC44" s="2704">
        <f>W44/100</f>
        <v>21</v>
      </c>
    </row>
    <row r="45" spans="2:29" ht="13.35" customHeight="1">
      <c r="B45" s="1181">
        <f>'A&amp;R'!C61</f>
        <v>19</v>
      </c>
      <c r="C45" s="1164">
        <f>'A&amp;R'!D61/1000</f>
        <v>24000</v>
      </c>
      <c r="D45" s="1179">
        <f ca="1">'A&amp;R'!E61/1000</f>
        <v>840.00000000000011</v>
      </c>
      <c r="E45" s="1179">
        <f>'A&amp;R'!F61/1000</f>
        <v>0</v>
      </c>
      <c r="F45" s="1164">
        <f t="shared" ca="1" si="4"/>
        <v>840.00000000000011</v>
      </c>
      <c r="G45" s="1680">
        <f ca="1">'A&amp;R'!G61</f>
        <v>7.0000000000000007E-2</v>
      </c>
      <c r="I45" s="1181">
        <f>'A&amp;R'!C61</f>
        <v>19</v>
      </c>
      <c r="J45" s="1164">
        <f>'A&amp;R'!H61/1000</f>
        <v>50000</v>
      </c>
      <c r="K45" s="1179">
        <f ca="1">'A&amp;R'!I61/1000</f>
        <v>1875</v>
      </c>
      <c r="L45" s="1179">
        <f>'A&amp;R'!J61/1000</f>
        <v>0</v>
      </c>
      <c r="M45" s="1164">
        <f t="shared" ca="1" si="5"/>
        <v>1875</v>
      </c>
      <c r="N45" s="1680">
        <f ca="1">'A&amp;R'!K61</f>
        <v>7.4999999999999997E-2</v>
      </c>
      <c r="P45" s="1183" t="s">
        <v>681</v>
      </c>
      <c r="Q45" s="1191"/>
      <c r="R45" s="1706">
        <f>'A&amp;R'!P9/1000</f>
        <v>1350</v>
      </c>
      <c r="S45" s="1678">
        <f t="shared" si="6"/>
        <v>4.5165607226497163E-3</v>
      </c>
      <c r="U45" s="1299">
        <f t="shared" si="7"/>
        <v>1350000</v>
      </c>
      <c r="W45" s="1299">
        <f>Q56</f>
        <v>160000</v>
      </c>
      <c r="X45" s="1716">
        <f t="shared" si="8"/>
        <v>0.53529608564737374</v>
      </c>
      <c r="Z45" s="1183" t="s">
        <v>2431</v>
      </c>
      <c r="AA45" s="1706">
        <f>AA49-AA44-AA46-AA47-AA48</f>
        <v>142.74615225132001</v>
      </c>
      <c r="AB45" s="1706" t="s">
        <v>645</v>
      </c>
      <c r="AC45" s="2704">
        <f>W45/100</f>
        <v>1600</v>
      </c>
    </row>
    <row r="46" spans="2:29" ht="13.35" customHeight="1">
      <c r="B46" s="1181">
        <f>'A&amp;R'!C62</f>
        <v>20</v>
      </c>
      <c r="C46" s="1164">
        <f>'A&amp;R'!D62/1000</f>
        <v>24000</v>
      </c>
      <c r="D46" s="1179">
        <f ca="1">'A&amp;R'!E62/1000</f>
        <v>840.00000000000011</v>
      </c>
      <c r="E46" s="1179">
        <f>'A&amp;R'!F62/1000</f>
        <v>0</v>
      </c>
      <c r="F46" s="1164">
        <f t="shared" ca="1" si="4"/>
        <v>840.00000000000011</v>
      </c>
      <c r="G46" s="1680">
        <f ca="1">'A&amp;R'!G62</f>
        <v>7.0000000000000007E-2</v>
      </c>
      <c r="I46" s="1181">
        <f>'A&amp;R'!C62</f>
        <v>20</v>
      </c>
      <c r="J46" s="1164">
        <f>'A&amp;R'!H62/1000</f>
        <v>50000</v>
      </c>
      <c r="K46" s="1179">
        <f ca="1">'A&amp;R'!I62/1000</f>
        <v>1875</v>
      </c>
      <c r="L46" s="1179">
        <f>'A&amp;R'!J62/1000</f>
        <v>11767.613337566934</v>
      </c>
      <c r="M46" s="1164">
        <f t="shared" ca="1" si="5"/>
        <v>13642.613337566934</v>
      </c>
      <c r="N46" s="1680">
        <f ca="1">'A&amp;R'!K62</f>
        <v>0.54570453350267734</v>
      </c>
      <c r="P46" s="1183" t="s">
        <v>682</v>
      </c>
      <c r="Q46" s="1191"/>
      <c r="R46" s="1706">
        <f>'A&amp;R'!P18/1000</f>
        <v>12498.030494600001</v>
      </c>
      <c r="S46" s="1678">
        <f t="shared" si="6"/>
        <v>4.1813417512880577E-2</v>
      </c>
      <c r="U46" s="1299">
        <f t="shared" si="7"/>
        <v>12498030.494600002</v>
      </c>
      <c r="W46" s="1299">
        <f>Q57</f>
        <v>38000</v>
      </c>
      <c r="X46" s="1716">
        <f t="shared" si="8"/>
        <v>0.12713282034125126</v>
      </c>
      <c r="Z46" s="1183" t="s">
        <v>72</v>
      </c>
      <c r="AA46" s="1706">
        <f>R48/100</f>
        <v>43.8</v>
      </c>
      <c r="AB46" s="1706" t="s">
        <v>1432</v>
      </c>
      <c r="AC46" s="2704">
        <f>W46/100</f>
        <v>380</v>
      </c>
    </row>
    <row r="47" spans="2:29" ht="13.35" customHeight="1">
      <c r="B47" s="1173" t="s">
        <v>104</v>
      </c>
      <c r="C47" s="1166"/>
      <c r="D47" s="1180">
        <f ca="1">SUM(D26:D46)</f>
        <v>16800.000000000004</v>
      </c>
      <c r="E47" s="1180">
        <f>SUM(E26:E46)</f>
        <v>0</v>
      </c>
      <c r="F47" s="1166">
        <f ca="1">SUM(F26:F46)</f>
        <v>16800.000000000004</v>
      </c>
      <c r="G47" s="1178"/>
      <c r="I47" s="1173" t="s">
        <v>104</v>
      </c>
      <c r="J47" s="1166"/>
      <c r="K47" s="1180">
        <f ca="1">SUM(K26:K46)</f>
        <v>37500.000000000007</v>
      </c>
      <c r="L47" s="1180">
        <f>SUM(L26:L46)</f>
        <v>11767.613337566934</v>
      </c>
      <c r="M47" s="1166">
        <f ca="1">SUM(M26:M46)</f>
        <v>49267.613337566945</v>
      </c>
      <c r="N47" s="1178"/>
      <c r="P47" s="1183" t="s">
        <v>690</v>
      </c>
      <c r="Q47" s="1191"/>
      <c r="R47" s="1706">
        <f>'A&amp;R'!P17/1000+('A&amp;R'!P19+'A&amp;R'!P26)/1000</f>
        <v>671.9695053999518</v>
      </c>
      <c r="S47" s="1678">
        <f t="shared" si="6"/>
        <v>2.2481415369687251E-3</v>
      </c>
      <c r="U47" s="1299">
        <f t="shared" si="7"/>
        <v>671969.50539995183</v>
      </c>
      <c r="W47" s="1299">
        <f>Q59</f>
        <v>24000</v>
      </c>
      <c r="X47" s="1716">
        <f t="shared" si="8"/>
        <v>8.0294412847106061E-2</v>
      </c>
      <c r="Z47" s="1183" t="s">
        <v>586</v>
      </c>
      <c r="AA47" s="1706">
        <f>'A&amp;R'!P26/100000</f>
        <v>2.4538477486795185</v>
      </c>
      <c r="AB47" s="1706" t="s">
        <v>2433</v>
      </c>
      <c r="AC47" s="2704">
        <f>SUM(W47:W50)/100</f>
        <v>988</v>
      </c>
    </row>
    <row r="48" spans="2:29" ht="13.35" customHeight="1">
      <c r="B48" s="1173" t="s">
        <v>662</v>
      </c>
      <c r="C48" s="3124">
        <f>'A&amp;R'!G64/1000</f>
        <v>24000</v>
      </c>
      <c r="D48" s="3125"/>
      <c r="E48" s="3125"/>
      <c r="F48" s="3125"/>
      <c r="G48" s="3125"/>
      <c r="I48" s="1173" t="s">
        <v>662</v>
      </c>
      <c r="J48" s="3124">
        <f>'A&amp;R'!K64/1000</f>
        <v>50000</v>
      </c>
      <c r="K48" s="3125"/>
      <c r="L48" s="3125"/>
      <c r="M48" s="3125"/>
      <c r="N48" s="3125"/>
      <c r="P48" s="1183" t="s">
        <v>179</v>
      </c>
      <c r="Q48" s="1191"/>
      <c r="R48" s="1706">
        <f>'A&amp;R'!P24/1000</f>
        <v>4380</v>
      </c>
      <c r="S48" s="1678">
        <f t="shared" si="6"/>
        <v>1.4653730344596858E-2</v>
      </c>
      <c r="U48" s="1299">
        <f t="shared" si="7"/>
        <v>4380000</v>
      </c>
      <c r="W48" s="1299">
        <f>'A&amp;R'!T19/1000</f>
        <v>50000</v>
      </c>
      <c r="X48" s="1716">
        <f t="shared" si="8"/>
        <v>0.16728002676480427</v>
      </c>
      <c r="Z48" s="1183" t="s">
        <v>2434</v>
      </c>
      <c r="AA48" s="1706">
        <f>R49/100</f>
        <v>100</v>
      </c>
      <c r="AB48" s="1706"/>
      <c r="AC48" s="2704"/>
    </row>
    <row r="49" spans="2:29" ht="13.35" customHeight="1">
      <c r="B49" s="1173" t="s">
        <v>663</v>
      </c>
      <c r="C49" s="3110">
        <f ca="1">'A&amp;R'!G65</f>
        <v>7.0000000000000021E-2</v>
      </c>
      <c r="D49" s="3126"/>
      <c r="E49" s="3126"/>
      <c r="F49" s="3126"/>
      <c r="G49" s="3126"/>
      <c r="I49" s="1173" t="s">
        <v>663</v>
      </c>
      <c r="J49" s="3110">
        <f ca="1">'A&amp;R'!K65</f>
        <v>7.5000000000000011E-2</v>
      </c>
      <c r="K49" s="3126"/>
      <c r="L49" s="3126"/>
      <c r="M49" s="3126"/>
      <c r="N49" s="3126"/>
      <c r="P49" s="1183" t="s">
        <v>177</v>
      </c>
      <c r="Q49" s="1191"/>
      <c r="R49" s="1706">
        <f>(+'A&amp;R'!T12)/1000</f>
        <v>10000</v>
      </c>
      <c r="S49" s="1678">
        <f t="shared" si="6"/>
        <v>3.3456005352960866E-2</v>
      </c>
      <c r="U49" s="1299">
        <f t="shared" si="7"/>
        <v>10000000</v>
      </c>
      <c r="W49" s="1299">
        <f>'A&amp;R'!T20/1000</f>
        <v>10000</v>
      </c>
      <c r="X49" s="1716">
        <f t="shared" si="8"/>
        <v>3.3456005352960859E-2</v>
      </c>
      <c r="Z49" s="1183" t="s">
        <v>59</v>
      </c>
      <c r="AA49" s="1706">
        <f>R50/100</f>
        <v>2988.9999999999995</v>
      </c>
      <c r="AB49" s="1706" t="s">
        <v>59</v>
      </c>
      <c r="AC49" s="2704">
        <f>SUM(AC44:AC48)</f>
        <v>2989</v>
      </c>
    </row>
    <row r="50" spans="2:29" ht="13.35" customHeight="1" thickBot="1">
      <c r="B50" s="1173" t="s">
        <v>664</v>
      </c>
      <c r="C50" s="3112">
        <f ca="1">'A&amp;R'!G68</f>
        <v>7.122499999999965E-2</v>
      </c>
      <c r="D50" s="3127"/>
      <c r="E50" s="3127"/>
      <c r="F50" s="3127"/>
      <c r="G50" s="3127"/>
      <c r="I50" s="1173" t="s">
        <v>664</v>
      </c>
      <c r="J50" s="3112">
        <f ca="1">'A&amp;R'!K68</f>
        <v>9.1542830896573557E-2</v>
      </c>
      <c r="K50" s="3127"/>
      <c r="L50" s="3127"/>
      <c r="M50" s="3127"/>
      <c r="N50" s="3127"/>
      <c r="P50" s="1185" t="s">
        <v>104</v>
      </c>
      <c r="Q50" s="1192"/>
      <c r="R50" s="1707">
        <f>SUM(R44:R49)</f>
        <v>298899.99999999994</v>
      </c>
      <c r="S50" s="1679">
        <f>SUM(S44:S49)</f>
        <v>1</v>
      </c>
      <c r="W50" s="1299">
        <f>Q62</f>
        <v>14800</v>
      </c>
      <c r="X50" s="1716">
        <f t="shared" si="8"/>
        <v>4.9514887922382067E-2</v>
      </c>
    </row>
    <row r="51" spans="2:29" ht="13.35" customHeight="1" thickBot="1">
      <c r="B51" s="1174" t="s">
        <v>665</v>
      </c>
      <c r="C51" s="3114">
        <f ca="1">'A&amp;R'!G69</f>
        <v>1.7</v>
      </c>
      <c r="D51" s="3115"/>
      <c r="E51" s="3115"/>
      <c r="F51" s="3115"/>
      <c r="G51" s="3115"/>
      <c r="I51" s="1174" t="s">
        <v>665</v>
      </c>
      <c r="J51" s="3114">
        <f ca="1">'A&amp;R'!K69</f>
        <v>1.9853522667513388</v>
      </c>
      <c r="K51" s="3115"/>
      <c r="L51" s="3115"/>
      <c r="M51" s="3115"/>
      <c r="N51" s="3115"/>
      <c r="W51" s="1299">
        <f>SUM(W44:W50)</f>
        <v>298900</v>
      </c>
      <c r="X51" s="1716">
        <f>SUM(X44:X50)</f>
        <v>1</v>
      </c>
    </row>
    <row r="53" spans="2:29" ht="13.35" customHeight="1" thickBot="1">
      <c r="J53" s="1337">
        <v>0.5</v>
      </c>
      <c r="N53" s="1336">
        <f>J48*J53</f>
        <v>25000</v>
      </c>
    </row>
    <row r="54" spans="2:29" ht="13.35" customHeight="1">
      <c r="P54" s="1175" t="s">
        <v>619</v>
      </c>
      <c r="Q54" s="1176" t="s">
        <v>25</v>
      </c>
      <c r="R54" s="1176" t="s">
        <v>208</v>
      </c>
      <c r="S54" s="1176" t="s">
        <v>209</v>
      </c>
      <c r="T54" s="1176" t="s">
        <v>683</v>
      </c>
      <c r="U54" s="1176" t="s">
        <v>684</v>
      </c>
      <c r="V54" s="1176" t="s">
        <v>685</v>
      </c>
      <c r="W54" s="1177" t="s">
        <v>264</v>
      </c>
    </row>
    <row r="55" spans="2:29" ht="13.35" customHeight="1">
      <c r="P55" s="1183" t="s">
        <v>686</v>
      </c>
      <c r="Q55" s="1708">
        <f>'A&amp;R'!P31/1000</f>
        <v>2100</v>
      </c>
      <c r="R55" s="1193" t="s">
        <v>509</v>
      </c>
      <c r="S55" s="1193" t="s">
        <v>509</v>
      </c>
      <c r="T55" s="1193" t="s">
        <v>509</v>
      </c>
      <c r="U55" s="1193" t="s">
        <v>509</v>
      </c>
      <c r="V55" s="1193" t="s">
        <v>509</v>
      </c>
      <c r="W55" s="1194" t="s">
        <v>689</v>
      </c>
    </row>
    <row r="56" spans="2:29" ht="13.35" customHeight="1">
      <c r="P56" s="1183" t="s">
        <v>687</v>
      </c>
      <c r="Q56" s="1706">
        <f>'A&amp;R'!P32/1000</f>
        <v>160000</v>
      </c>
      <c r="R56" s="1225">
        <f>'A&amp;R'!M32</f>
        <v>46326</v>
      </c>
      <c r="S56" s="1225">
        <f>'A&amp;R'!N32</f>
        <v>47057</v>
      </c>
      <c r="T56" s="1214">
        <f>'A&amp;R'!Q32</f>
        <v>4.7750000000000001E-2</v>
      </c>
      <c r="U56" s="1214">
        <f>'A&amp;R'!R32</f>
        <v>1.4500000000000001E-2</v>
      </c>
      <c r="V56" s="1214">
        <f>'A&amp;R'!S32</f>
        <v>5.5E-2</v>
      </c>
      <c r="W56" s="1224">
        <f>'A&amp;R'!T32</f>
        <v>0.48460388639760837</v>
      </c>
    </row>
    <row r="57" spans="2:29" ht="13.35" customHeight="1" thickBot="1">
      <c r="P57" s="1183" t="s">
        <v>688</v>
      </c>
      <c r="Q57" s="1706">
        <f>'A&amp;R'!P35/1000</f>
        <v>38000</v>
      </c>
      <c r="R57" s="1225">
        <f>'A&amp;R'!M35</f>
        <v>46326</v>
      </c>
      <c r="S57" s="1225">
        <f>'A&amp;R'!N35</f>
        <v>47057</v>
      </c>
      <c r="T57" s="1214">
        <f>'A&amp;R'!Q35</f>
        <v>0.06</v>
      </c>
      <c r="U57" s="1214">
        <f>'A&amp;R'!R35</f>
        <v>0.01</v>
      </c>
      <c r="V57" s="1214">
        <f>'A&amp;R'!S35</f>
        <v>6.5000000000000002E-2</v>
      </c>
      <c r="W57" s="1224">
        <f>'A&amp;R'!T35</f>
        <v>0.59820627802690585</v>
      </c>
    </row>
    <row r="58" spans="2:29" ht="13.35" customHeight="1" thickTop="1">
      <c r="P58" s="1217" t="s">
        <v>619</v>
      </c>
      <c r="Q58" s="1218" t="s">
        <v>25</v>
      </c>
      <c r="R58" s="1218" t="s">
        <v>208</v>
      </c>
      <c r="S58" s="1218" t="s">
        <v>209</v>
      </c>
      <c r="T58" s="1218" t="s">
        <v>691</v>
      </c>
      <c r="U58" s="1218" t="s">
        <v>692</v>
      </c>
      <c r="V58" s="1218" t="s">
        <v>693</v>
      </c>
      <c r="W58" s="1219" t="s">
        <v>243</v>
      </c>
    </row>
    <row r="59" spans="2:29" ht="13.35" customHeight="1" thickBot="1">
      <c r="P59" s="1183" t="s">
        <v>1081</v>
      </c>
      <c r="Q59" s="1708">
        <f>'A&amp;R'!P41/1000</f>
        <v>24000</v>
      </c>
      <c r="R59" s="1228">
        <f>'A&amp;R'!M41</f>
        <v>46326</v>
      </c>
      <c r="S59" s="1228">
        <f>'A&amp;R'!N41</f>
        <v>49979</v>
      </c>
      <c r="T59" s="1203">
        <f>'A&amp;R'!S41</f>
        <v>7.0000000000000007E-2</v>
      </c>
      <c r="U59" s="1203">
        <f>'A&amp;R'!T41</f>
        <v>0</v>
      </c>
      <c r="V59" s="1203">
        <f ca="1">'A&amp;R'!G68</f>
        <v>7.122499999999965E-2</v>
      </c>
      <c r="W59" s="1215">
        <f>'A&amp;R'!R41</f>
        <v>0.24291497975708501</v>
      </c>
    </row>
    <row r="60" spans="2:29" ht="13.35" customHeight="1">
      <c r="B60" s="1175" t="s">
        <v>24</v>
      </c>
      <c r="C60" s="1176" t="s">
        <v>484</v>
      </c>
      <c r="D60" s="1176" t="s">
        <v>795</v>
      </c>
      <c r="E60" s="1176" t="s">
        <v>798</v>
      </c>
      <c r="P60" s="1183" t="s">
        <v>1082</v>
      </c>
      <c r="Q60" s="1708">
        <f>'A&amp;R'!P42/1000</f>
        <v>50000</v>
      </c>
      <c r="R60" s="1228">
        <f>'A&amp;R'!M42</f>
        <v>46326</v>
      </c>
      <c r="S60" s="1228">
        <f>'A&amp;R'!N42</f>
        <v>49979</v>
      </c>
      <c r="T60" s="1203">
        <f>'A&amp;R'!S42</f>
        <v>7.4999999999999997E-2</v>
      </c>
      <c r="U60" s="1203">
        <f>'A&amp;R'!T42</f>
        <v>0.2</v>
      </c>
      <c r="V60" s="1203">
        <f ca="1">'A&amp;R'!K68</f>
        <v>9.1542830896573557E-2</v>
      </c>
      <c r="W60" s="1215">
        <f>'A&amp;R'!R42</f>
        <v>0.50607287449392713</v>
      </c>
    </row>
    <row r="61" spans="2:29" ht="13.35" customHeight="1">
      <c r="B61" s="1181"/>
      <c r="C61" s="1164"/>
      <c r="D61" s="1179"/>
      <c r="E61" s="1179"/>
      <c r="P61" s="1183" t="s">
        <v>1086</v>
      </c>
      <c r="Q61" s="1708">
        <f>'A&amp;R'!P43/1000</f>
        <v>10000</v>
      </c>
      <c r="R61" s="1228">
        <f>'A&amp;R'!M43</f>
        <v>46326</v>
      </c>
      <c r="S61" s="1228">
        <f>'A&amp;R'!N43</f>
        <v>47057</v>
      </c>
      <c r="T61" s="1203">
        <f>'A&amp;R'!S43</f>
        <v>0</v>
      </c>
      <c r="U61" s="1203">
        <f>'A&amp;R'!T43</f>
        <v>0</v>
      </c>
      <c r="V61" s="1203">
        <f>'A&amp;R'!G98</f>
        <v>0</v>
      </c>
      <c r="W61" s="1215">
        <f>'A&amp;R'!R43</f>
        <v>0.10121457489878542</v>
      </c>
    </row>
    <row r="62" spans="2:29" ht="13.35" customHeight="1">
      <c r="B62" s="1181" t="s">
        <v>485</v>
      </c>
      <c r="C62" s="1164">
        <f>MIN(C64:C73)</f>
        <v>9076.1890386719206</v>
      </c>
      <c r="D62" s="1179">
        <f>MIN(D64:D73)</f>
        <v>7640</v>
      </c>
      <c r="E62" s="1401">
        <f>MIN(E64:E73)</f>
        <v>7.9396798401725185E-2</v>
      </c>
      <c r="P62" s="1206" t="s">
        <v>225</v>
      </c>
      <c r="Q62" s="1709">
        <f>'A&amp;R'!P44/1000</f>
        <v>14800</v>
      </c>
      <c r="R62" s="1229">
        <f>'A&amp;R'!M44</f>
        <v>46326</v>
      </c>
      <c r="S62" s="1229">
        <f>'A&amp;R'!N44</f>
        <v>49979</v>
      </c>
      <c r="T62" s="1220" t="s">
        <v>694</v>
      </c>
      <c r="U62" s="1220">
        <f>'A&amp;R'!T44</f>
        <v>0.8</v>
      </c>
      <c r="V62" s="1220">
        <f ca="1">'A&amp;R'!K98</f>
        <v>0.16181544839707418</v>
      </c>
      <c r="W62" s="1216">
        <f>'A&amp;R'!R44</f>
        <v>0.14979757085020243</v>
      </c>
    </row>
    <row r="63" spans="2:29" ht="13.35" customHeight="1">
      <c r="B63" s="1181" t="s">
        <v>486</v>
      </c>
      <c r="C63" s="1164">
        <f>AVERAGE(C64:C73)</f>
        <v>15020.48678005458</v>
      </c>
      <c r="D63" s="1179">
        <f>AVERAGE(D64:D73)</f>
        <v>30687.7</v>
      </c>
      <c r="E63" s="1401">
        <f>AVERAGE(E64:E73)</f>
        <v>1.4351333779413249</v>
      </c>
      <c r="P63" s="1206" t="s">
        <v>1038</v>
      </c>
      <c r="Q63" s="1709">
        <f>'A&amp;R'!P45/1000</f>
        <v>0</v>
      </c>
      <c r="R63" s="1229">
        <f>'A&amp;R'!M45</f>
        <v>46326</v>
      </c>
      <c r="S63" s="1229">
        <f>'A&amp;R'!N45</f>
        <v>47057</v>
      </c>
      <c r="T63" s="1220" t="s">
        <v>1037</v>
      </c>
      <c r="U63" s="1220" t="s">
        <v>1036</v>
      </c>
      <c r="V63" s="1220" t="s">
        <v>1036</v>
      </c>
      <c r="W63" s="1216"/>
    </row>
    <row r="64" spans="2:29" ht="13.35" customHeight="1">
      <c r="B64" s="1400">
        <f>'A&amp;R'!Z67</f>
        <v>1</v>
      </c>
      <c r="C64" s="1164">
        <f>'A&amp;R'!Z68</f>
        <v>13105.364981746541</v>
      </c>
      <c r="D64" s="1179">
        <f>'A&amp;R'!Z70</f>
        <v>7640</v>
      </c>
      <c r="E64" s="1401">
        <f t="shared" ref="E64:E73" si="9">IFERROR(C64/D64,)</f>
        <v>1.7153619086055683</v>
      </c>
    </row>
    <row r="65" spans="2:31" ht="13.35" customHeight="1" thickBot="1">
      <c r="B65" s="1400">
        <f t="shared" ref="B65:B73" si="10">B64+1</f>
        <v>2</v>
      </c>
      <c r="C65" s="1164">
        <f>'A&amp;R'!AA68</f>
        <v>13461.7863858647</v>
      </c>
      <c r="D65" s="1179">
        <f>'A&amp;R'!AA70</f>
        <v>7640</v>
      </c>
      <c r="E65" s="1401">
        <f t="shared" si="9"/>
        <v>1.7620139248514004</v>
      </c>
    </row>
    <row r="66" spans="2:31" ht="13.35" customHeight="1">
      <c r="B66" s="1400">
        <f t="shared" si="10"/>
        <v>3</v>
      </c>
      <c r="C66" s="1164">
        <f>'A&amp;R'!AB68</f>
        <v>9076.1890386719206</v>
      </c>
      <c r="D66" s="1179">
        <f>'A&amp;R'!AB70</f>
        <v>10224</v>
      </c>
      <c r="E66" s="1401">
        <f t="shared" si="9"/>
        <v>0.8877336696666589</v>
      </c>
      <c r="P66" s="1175" t="s">
        <v>619</v>
      </c>
      <c r="Q66" s="1176" t="s">
        <v>25</v>
      </c>
      <c r="R66" s="1176" t="s">
        <v>208</v>
      </c>
      <c r="S66" s="1176" t="s">
        <v>209</v>
      </c>
      <c r="T66" s="1176" t="s">
        <v>683</v>
      </c>
      <c r="U66" s="1176" t="s">
        <v>684</v>
      </c>
      <c r="V66" s="1176" t="s">
        <v>685</v>
      </c>
      <c r="W66" s="1177" t="s">
        <v>264</v>
      </c>
    </row>
    <row r="67" spans="2:31" ht="13.35" customHeight="1">
      <c r="B67" s="1400">
        <f t="shared" si="10"/>
        <v>4</v>
      </c>
      <c r="C67" s="1164">
        <f>'A&amp;R'!AC68</f>
        <v>15215.117979256875</v>
      </c>
      <c r="D67" s="1179">
        <f>'A&amp;R'!AC70</f>
        <v>10224</v>
      </c>
      <c r="E67" s="1401">
        <f t="shared" si="9"/>
        <v>1.4881766411636224</v>
      </c>
      <c r="P67" s="1183" t="s">
        <v>687</v>
      </c>
      <c r="Q67" s="1706">
        <f>'A&amp;R'!P33/1000</f>
        <v>213000</v>
      </c>
      <c r="R67" s="1225">
        <f>'A&amp;R'!M33</f>
        <v>47057</v>
      </c>
      <c r="S67" s="1225">
        <f>'A&amp;R'!N33</f>
        <v>48152</v>
      </c>
      <c r="T67" s="1214">
        <f>'A&amp;R'!Q33</f>
        <v>4.8000000000000001E-2</v>
      </c>
      <c r="U67" s="1214">
        <f>'A&amp;R'!R33</f>
        <v>0</v>
      </c>
      <c r="V67" s="1214">
        <f>'A&amp;R'!S33</f>
        <v>4.8000000000000001E-2</v>
      </c>
      <c r="W67" s="1224">
        <f>'A&amp;R'!T33</f>
        <v>0.61807893824900051</v>
      </c>
    </row>
    <row r="68" spans="2:31" ht="13.35" customHeight="1" thickBot="1">
      <c r="B68" s="1400">
        <f t="shared" si="10"/>
        <v>5</v>
      </c>
      <c r="C68" s="1164">
        <f>'A&amp;R'!AD68</f>
        <v>15697.676364089473</v>
      </c>
      <c r="D68" s="1179">
        <f>'A&amp;R'!AD70</f>
        <v>10224</v>
      </c>
      <c r="E68" s="1401">
        <f t="shared" si="9"/>
        <v>1.5353752312294087</v>
      </c>
      <c r="P68" s="1185" t="s">
        <v>688</v>
      </c>
      <c r="Q68" s="1707">
        <f>'A&amp;R'!P36/1000</f>
        <v>0</v>
      </c>
      <c r="R68" s="1227">
        <f>'A&amp;R'!M36</f>
        <v>47057</v>
      </c>
      <c r="S68" s="1227">
        <f>'A&amp;R'!N36</f>
        <v>48152</v>
      </c>
      <c r="T68" s="1221">
        <f>'A&amp;R'!Q36</f>
        <v>5.7000000000000002E-2</v>
      </c>
      <c r="U68" s="1221">
        <f>'A&amp;R'!R36</f>
        <v>0</v>
      </c>
      <c r="V68" s="1221">
        <f>'A&amp;R'!S36</f>
        <v>5.7000000000000002E-2</v>
      </c>
      <c r="W68" s="1230">
        <f>'A&amp;R'!T36</f>
        <v>0.61807893824900051</v>
      </c>
    </row>
    <row r="69" spans="2:31" ht="13.35" customHeight="1">
      <c r="B69" s="1400">
        <f t="shared" si="10"/>
        <v>6</v>
      </c>
      <c r="C69" s="1164">
        <f>'A&amp;R'!AE68</f>
        <v>16136.820383685998</v>
      </c>
      <c r="D69" s="1179">
        <f>'A&amp;R'!AE70</f>
        <v>9585</v>
      </c>
      <c r="E69" s="1401">
        <f t="shared" si="9"/>
        <v>1.683549335804486</v>
      </c>
    </row>
    <row r="70" spans="2:31" ht="13.35" customHeight="1">
      <c r="B70" s="1400">
        <f t="shared" si="10"/>
        <v>7</v>
      </c>
      <c r="C70" s="1164">
        <f>'A&amp;R'!AF68</f>
        <v>16586.222341373079</v>
      </c>
      <c r="D70" s="1179">
        <f>'A&amp;R'!AF70</f>
        <v>9585</v>
      </c>
      <c r="E70" s="1401">
        <f t="shared" si="9"/>
        <v>1.7304352990477911</v>
      </c>
    </row>
    <row r="71" spans="2:31" ht="13.35" customHeight="1">
      <c r="B71" s="1400">
        <f t="shared" si="10"/>
        <v>8</v>
      </c>
      <c r="C71" s="1164">
        <f>'A&amp;R'!AG68</f>
        <v>16147.668438126142</v>
      </c>
      <c r="D71" s="1179">
        <f>'A&amp;R'!AG70</f>
        <v>9585</v>
      </c>
      <c r="E71" s="1401">
        <f t="shared" si="9"/>
        <v>1.6846811098723153</v>
      </c>
    </row>
    <row r="72" spans="2:31" ht="13.35" customHeight="1">
      <c r="B72" s="1400">
        <f t="shared" si="10"/>
        <v>9</v>
      </c>
      <c r="C72" s="1164">
        <f>'A&amp;R'!AH68</f>
        <v>17105.485515483077</v>
      </c>
      <c r="D72" s="1179">
        <f>'A&amp;R'!AH70</f>
        <v>9585</v>
      </c>
      <c r="E72" s="1401">
        <f t="shared" si="9"/>
        <v>1.7846098607702741</v>
      </c>
    </row>
    <row r="73" spans="2:31" ht="13.35" customHeight="1">
      <c r="B73" s="1400">
        <f t="shared" si="10"/>
        <v>10</v>
      </c>
      <c r="C73" s="1164">
        <f>'A&amp;R'!AI68</f>
        <v>17672.536372248</v>
      </c>
      <c r="D73" s="1179">
        <f>'A&amp;R'!AI70</f>
        <v>222585</v>
      </c>
      <c r="E73" s="1401">
        <f t="shared" si="9"/>
        <v>7.9396798401725185E-2</v>
      </c>
    </row>
    <row r="76" spans="2:31" ht="13.35" customHeight="1" thickBot="1">
      <c r="P76" s="2469" t="s">
        <v>1648</v>
      </c>
      <c r="W76" s="2469" t="s">
        <v>1648</v>
      </c>
    </row>
    <row r="77" spans="2:31" ht="13.35" customHeight="1">
      <c r="B77" s="1175" t="s">
        <v>619</v>
      </c>
      <c r="C77" s="1176" t="s">
        <v>259</v>
      </c>
      <c r="D77" s="1176" t="s">
        <v>261</v>
      </c>
      <c r="E77" s="1176" t="s">
        <v>666</v>
      </c>
      <c r="F77" s="1176" t="s">
        <v>59</v>
      </c>
      <c r="G77" s="1177" t="s">
        <v>263</v>
      </c>
      <c r="I77" s="1175" t="s">
        <v>619</v>
      </c>
      <c r="J77" s="1176" t="s">
        <v>259</v>
      </c>
      <c r="K77" s="1176" t="s">
        <v>261</v>
      </c>
      <c r="L77" s="1176" t="s">
        <v>666</v>
      </c>
      <c r="M77" s="1176" t="s">
        <v>59</v>
      </c>
      <c r="N77" s="1177" t="s">
        <v>263</v>
      </c>
      <c r="P77" s="1175" t="str">
        <f t="shared" ref="P77:U77" si="11">W113</f>
        <v>구분</v>
      </c>
      <c r="Q77" s="1176" t="str">
        <f t="shared" si="11"/>
        <v>투자잔액</v>
      </c>
      <c r="R77" s="1176" t="str">
        <f t="shared" si="11"/>
        <v>운영배당</v>
      </c>
      <c r="S77" s="1176" t="str">
        <f t="shared" si="11"/>
        <v>C.G</v>
      </c>
      <c r="T77" s="1176" t="str">
        <f t="shared" si="11"/>
        <v>합계</v>
      </c>
      <c r="U77" s="1177" t="str">
        <f t="shared" si="11"/>
        <v>Yield(%)</v>
      </c>
      <c r="W77" s="1175" t="str">
        <f t="shared" ref="W77:AB77" si="12">AD113</f>
        <v>구분</v>
      </c>
      <c r="X77" s="1176" t="str">
        <f t="shared" si="12"/>
        <v>투자잔액</v>
      </c>
      <c r="Y77" s="1176" t="str">
        <f t="shared" si="12"/>
        <v>운영배당</v>
      </c>
      <c r="Z77" s="1176" t="str">
        <f t="shared" si="12"/>
        <v>C.G</v>
      </c>
      <c r="AA77" s="1176" t="str">
        <f t="shared" si="12"/>
        <v>합계</v>
      </c>
      <c r="AB77" s="1177" t="str">
        <f t="shared" si="12"/>
        <v>Yield(%)</v>
      </c>
    </row>
    <row r="78" spans="2:31" ht="13.35" customHeight="1">
      <c r="B78" s="1181">
        <f t="shared" ref="B78:B98" si="13">B26</f>
        <v>0</v>
      </c>
      <c r="C78" s="1164">
        <f>'A&amp;R'!D72/1000</f>
        <v>0</v>
      </c>
      <c r="D78" s="1179">
        <f ca="1">'A&amp;R'!E72</f>
        <v>0</v>
      </c>
      <c r="E78" s="1179">
        <f>'A&amp;R'!F72</f>
        <v>0</v>
      </c>
      <c r="F78" s="1164">
        <f t="shared" ref="F78:F98" ca="1" si="14">SUM(D78:E78)</f>
        <v>0</v>
      </c>
      <c r="G78" s="1182">
        <f>'A&amp;R'!G72</f>
        <v>0</v>
      </c>
      <c r="I78" s="1181">
        <f t="shared" ref="I78:I98" si="15">I26</f>
        <v>0</v>
      </c>
      <c r="J78" s="1164">
        <f>'A&amp;R'!H72/1000</f>
        <v>0</v>
      </c>
      <c r="K78" s="1179">
        <f ca="1">'A&amp;R'!I72/1000</f>
        <v>0</v>
      </c>
      <c r="L78" s="1179">
        <f>'A&amp;R'!J72/1000</f>
        <v>0</v>
      </c>
      <c r="M78" s="1164">
        <f t="shared" ref="M78:M98" ca="1" si="16">SUM(K78:L78)</f>
        <v>0</v>
      </c>
      <c r="N78" s="1182">
        <f>'A&amp;R'!K72</f>
        <v>0</v>
      </c>
      <c r="P78" s="1181">
        <f t="shared" ref="P78:P104" si="17">W114</f>
        <v>0</v>
      </c>
      <c r="Q78" s="1164">
        <f>'Report-sj'!J349</f>
        <v>0</v>
      </c>
      <c r="R78" s="1179">
        <f>'Report-sj'!F349</f>
        <v>0</v>
      </c>
      <c r="S78" s="1179">
        <f>'Report-sj'!G349</f>
        <v>0</v>
      </c>
      <c r="T78" s="1164">
        <f t="shared" ref="T78:T98" si="18">SUM(R78:S78)</f>
        <v>0</v>
      </c>
      <c r="U78" s="1182">
        <f>IFERROR(SUM(R78:S78)/Q78*(12/6),)</f>
        <v>0</v>
      </c>
      <c r="W78" s="1181">
        <f t="shared" ref="W78:W104" si="19">AD114</f>
        <v>0</v>
      </c>
      <c r="X78" s="1164">
        <f>Q78</f>
        <v>0</v>
      </c>
      <c r="Y78" s="1179"/>
      <c r="Z78" s="1179">
        <f>'Report-sj'!N349</f>
        <v>0</v>
      </c>
      <c r="AA78" s="1164">
        <f t="shared" ref="AA78:AA98" si="20">SUM(Y78:Z78)</f>
        <v>0</v>
      </c>
      <c r="AB78" s="1182">
        <f>IFERROR(SUM(Y78:Z78)/X78*(12/6),)</f>
        <v>0</v>
      </c>
      <c r="AC78" s="3031">
        <f>-(X79-X78)</f>
        <v>-98800</v>
      </c>
      <c r="AE78" s="1299">
        <f t="shared" ref="AE78" si="21">SUM(AC78,AA78)</f>
        <v>-98800</v>
      </c>
    </row>
    <row r="79" spans="2:31" ht="13.35" customHeight="1">
      <c r="B79" s="1181">
        <f t="shared" si="13"/>
        <v>1</v>
      </c>
      <c r="C79" s="1164">
        <f>'A&amp;R'!D73/1000</f>
        <v>10000</v>
      </c>
      <c r="D79" s="1179">
        <f>'A&amp;R'!E73</f>
        <v>0</v>
      </c>
      <c r="E79" s="1179">
        <f>'A&amp;R'!F73</f>
        <v>0</v>
      </c>
      <c r="F79" s="1164">
        <f t="shared" si="14"/>
        <v>0</v>
      </c>
      <c r="G79" s="1182">
        <f>'A&amp;R'!G73</f>
        <v>0</v>
      </c>
      <c r="I79" s="1181">
        <f t="shared" si="15"/>
        <v>1</v>
      </c>
      <c r="J79" s="1164">
        <f>'A&amp;R'!H73/1000</f>
        <v>14800</v>
      </c>
      <c r="K79" s="1179">
        <f ca="1">'A&amp;R'!I73/1000</f>
        <v>555</v>
      </c>
      <c r="L79" s="1179">
        <f>'A&amp;R'!J73/1000</f>
        <v>0</v>
      </c>
      <c r="M79" s="1164">
        <f t="shared" ca="1" si="16"/>
        <v>555</v>
      </c>
      <c r="N79" s="1182">
        <f ca="1">'A&amp;R'!K73</f>
        <v>7.4999999999999997E-2</v>
      </c>
      <c r="P79" s="1181">
        <f t="shared" si="17"/>
        <v>1</v>
      </c>
      <c r="Q79" s="1164">
        <f>'Report-sj'!J350</f>
        <v>98800</v>
      </c>
      <c r="R79" s="1179">
        <f ca="1">'Report-sj'!F350</f>
        <v>3270</v>
      </c>
      <c r="S79" s="1179">
        <f>'Report-sj'!G350</f>
        <v>0</v>
      </c>
      <c r="T79" s="1164">
        <f t="shared" ca="1" si="18"/>
        <v>3270</v>
      </c>
      <c r="U79" s="1182">
        <f t="shared" ref="U79:U98" ca="1" si="22">IFERROR(SUM(R79:S79)/Q79*(12/6),)</f>
        <v>6.6194331983805671E-2</v>
      </c>
      <c r="W79" s="1181">
        <f t="shared" si="19"/>
        <v>1</v>
      </c>
      <c r="X79" s="1164">
        <f t="shared" ref="X79:X98" si="23">Q79</f>
        <v>98800</v>
      </c>
      <c r="Y79" s="1179">
        <f ca="1">MAX(AD79,0)</f>
        <v>838.08955217138464</v>
      </c>
      <c r="Z79" s="1179">
        <f>'Report-sj'!N350</f>
        <v>0</v>
      </c>
      <c r="AA79" s="1164">
        <f t="shared" ca="1" si="20"/>
        <v>838.08955217138464</v>
      </c>
      <c r="AB79" s="1182">
        <f t="shared" ref="AB79:AB98" ca="1" si="24">IFERROR(SUM(Y79:Z79)/X79*(12/6),)</f>
        <v>1.6965375550028028E-2</v>
      </c>
      <c r="AC79" s="1299">
        <f t="shared" ref="AC79:AC97" si="25">-(X80-X79)</f>
        <v>0</v>
      </c>
      <c r="AD79" s="1299" cm="1">
        <f t="array" aca="1" ref="AD79:AD98" ca="1">TRANSPOSE('IS(FY)'!N55:AG55)/1000</f>
        <v>838.08955217138464</v>
      </c>
      <c r="AE79" s="1299">
        <f ca="1">SUM(AC79,AA79)</f>
        <v>838.08955217138464</v>
      </c>
    </row>
    <row r="80" spans="2:31" ht="13.35" customHeight="1">
      <c r="B80" s="1181">
        <f t="shared" si="13"/>
        <v>2</v>
      </c>
      <c r="C80" s="1164">
        <f>'A&amp;R'!D74/1000</f>
        <v>10000</v>
      </c>
      <c r="D80" s="1179">
        <f>'A&amp;R'!E74</f>
        <v>0</v>
      </c>
      <c r="E80" s="1179">
        <f>'A&amp;R'!F74</f>
        <v>0</v>
      </c>
      <c r="F80" s="1164">
        <f t="shared" si="14"/>
        <v>0</v>
      </c>
      <c r="G80" s="1182">
        <f>'A&amp;R'!G74</f>
        <v>0</v>
      </c>
      <c r="I80" s="1181">
        <f t="shared" si="15"/>
        <v>2</v>
      </c>
      <c r="J80" s="1164">
        <f>'A&amp;R'!H74/1000</f>
        <v>14800</v>
      </c>
      <c r="K80" s="1179">
        <f ca="1">'A&amp;R'!I74/1000</f>
        <v>555</v>
      </c>
      <c r="L80" s="1179">
        <f>'A&amp;R'!J74/1000</f>
        <v>0</v>
      </c>
      <c r="M80" s="1164">
        <f t="shared" ca="1" si="16"/>
        <v>555</v>
      </c>
      <c r="N80" s="1182">
        <f ca="1">'A&amp;R'!K74</f>
        <v>7.4999999999999997E-2</v>
      </c>
      <c r="P80" s="1181">
        <f t="shared" si="17"/>
        <v>2</v>
      </c>
      <c r="Q80" s="1164">
        <f>'Report-sj'!J351</f>
        <v>98800</v>
      </c>
      <c r="R80" s="1179">
        <f ca="1">'Report-sj'!F351</f>
        <v>3270</v>
      </c>
      <c r="S80" s="1179">
        <f>'Report-sj'!G351</f>
        <v>0</v>
      </c>
      <c r="T80" s="1164">
        <f t="shared" ca="1" si="18"/>
        <v>3270</v>
      </c>
      <c r="U80" s="1182">
        <f t="shared" ca="1" si="22"/>
        <v>6.6194331983805671E-2</v>
      </c>
      <c r="W80" s="1181">
        <f t="shared" si="19"/>
        <v>2</v>
      </c>
      <c r="X80" s="1164">
        <f t="shared" si="23"/>
        <v>98800</v>
      </c>
      <c r="Y80" s="1179">
        <f t="shared" ref="Y80:Y98" ca="1" si="26">MAX(AD80,0)</f>
        <v>1402.0560553606517</v>
      </c>
      <c r="Z80" s="1179">
        <f>'Report-sj'!N351</f>
        <v>0</v>
      </c>
      <c r="AA80" s="1164">
        <f t="shared" ca="1" si="20"/>
        <v>1402.0560553606517</v>
      </c>
      <c r="AB80" s="1182">
        <f t="shared" ca="1" si="24"/>
        <v>2.8381701525519266E-2</v>
      </c>
      <c r="AC80" s="1299">
        <f t="shared" si="25"/>
        <v>0</v>
      </c>
      <c r="AD80" s="1299">
        <f ca="1"/>
        <v>1402.0560553606517</v>
      </c>
      <c r="AE80" s="1299">
        <f t="shared" ref="AE80:AE98" ca="1" si="27">SUM(AC80,AA80)</f>
        <v>1402.0560553606517</v>
      </c>
    </row>
    <row r="81" spans="2:31" ht="13.35" customHeight="1">
      <c r="B81" s="1181">
        <f t="shared" si="13"/>
        <v>3</v>
      </c>
      <c r="C81" s="1164">
        <f>'A&amp;R'!D75/1000</f>
        <v>10000</v>
      </c>
      <c r="D81" s="1179">
        <f>'A&amp;R'!E75</f>
        <v>0</v>
      </c>
      <c r="E81" s="1179">
        <f>'A&amp;R'!F75</f>
        <v>0</v>
      </c>
      <c r="F81" s="1164">
        <f t="shared" si="14"/>
        <v>0</v>
      </c>
      <c r="G81" s="1182">
        <f>'A&amp;R'!G75</f>
        <v>0</v>
      </c>
      <c r="I81" s="1181">
        <f t="shared" si="15"/>
        <v>3</v>
      </c>
      <c r="J81" s="1164">
        <f>'A&amp;R'!H75/1000</f>
        <v>14800</v>
      </c>
      <c r="K81" s="1179">
        <f ca="1">'A&amp;R'!I75/1000</f>
        <v>0</v>
      </c>
      <c r="L81" s="1179">
        <f>'A&amp;R'!J75/1000</f>
        <v>0</v>
      </c>
      <c r="M81" s="1164">
        <f t="shared" ca="1" si="16"/>
        <v>0</v>
      </c>
      <c r="N81" s="1182">
        <f ca="1">'A&amp;R'!K75</f>
        <v>0</v>
      </c>
      <c r="P81" s="1181">
        <f t="shared" si="17"/>
        <v>3</v>
      </c>
      <c r="Q81" s="1164">
        <f>'Report-sj'!J352</f>
        <v>98800</v>
      </c>
      <c r="R81" s="1179">
        <f ca="1">'Report-sj'!F352</f>
        <v>2715</v>
      </c>
      <c r="S81" s="1179">
        <f>'Report-sj'!G352</f>
        <v>0</v>
      </c>
      <c r="T81" s="1164">
        <f t="shared" ca="1" si="18"/>
        <v>2715</v>
      </c>
      <c r="U81" s="1182">
        <f t="shared" ca="1" si="22"/>
        <v>5.4959514170040483E-2</v>
      </c>
      <c r="W81" s="1181">
        <f t="shared" si="19"/>
        <v>3</v>
      </c>
      <c r="X81" s="1164">
        <f t="shared" si="23"/>
        <v>98800</v>
      </c>
      <c r="Y81" s="1179">
        <f t="shared" ca="1" si="26"/>
        <v>1160.3087775758759</v>
      </c>
      <c r="Z81" s="1179">
        <f>'Report-sj'!N352</f>
        <v>0</v>
      </c>
      <c r="AA81" s="1164">
        <f t="shared" ca="1" si="20"/>
        <v>1160.3087775758759</v>
      </c>
      <c r="AB81" s="1182">
        <f t="shared" ca="1" si="24"/>
        <v>2.3488031934734328E-2</v>
      </c>
      <c r="AC81" s="1299">
        <f t="shared" si="25"/>
        <v>0</v>
      </c>
      <c r="AD81" s="1299">
        <f ca="1"/>
        <v>1160.3087775758759</v>
      </c>
      <c r="AE81" s="1299">
        <f t="shared" ca="1" si="27"/>
        <v>1160.3087775758759</v>
      </c>
    </row>
    <row r="82" spans="2:31" ht="13.35" customHeight="1">
      <c r="B82" s="1181">
        <f t="shared" si="13"/>
        <v>4</v>
      </c>
      <c r="C82" s="1164">
        <f>'A&amp;R'!D76/1000</f>
        <v>10000</v>
      </c>
      <c r="D82" s="1179">
        <f>'A&amp;R'!E76</f>
        <v>0</v>
      </c>
      <c r="E82" s="1179">
        <f>'A&amp;R'!F76</f>
        <v>0</v>
      </c>
      <c r="F82" s="1164">
        <f t="shared" si="14"/>
        <v>0</v>
      </c>
      <c r="G82" s="1182">
        <f>'A&amp;R'!G76</f>
        <v>0</v>
      </c>
      <c r="I82" s="1181">
        <f t="shared" si="15"/>
        <v>4</v>
      </c>
      <c r="J82" s="1164">
        <f>'A&amp;R'!H76/1000</f>
        <v>14800</v>
      </c>
      <c r="K82" s="1179">
        <f ca="1">'A&amp;R'!I76/1000</f>
        <v>0</v>
      </c>
      <c r="L82" s="1179">
        <f>'A&amp;R'!J76/1000</f>
        <v>0</v>
      </c>
      <c r="M82" s="1164">
        <f t="shared" ca="1" si="16"/>
        <v>0</v>
      </c>
      <c r="N82" s="1182">
        <f ca="1">'A&amp;R'!K76</f>
        <v>0</v>
      </c>
      <c r="P82" s="1181">
        <f t="shared" si="17"/>
        <v>4</v>
      </c>
      <c r="Q82" s="1164">
        <f>'Report-sj'!J353</f>
        <v>98800</v>
      </c>
      <c r="R82" s="1179">
        <f ca="1">'Report-sj'!F353</f>
        <v>2715</v>
      </c>
      <c r="S82" s="1179">
        <f>'Report-sj'!G353</f>
        <v>0</v>
      </c>
      <c r="T82" s="1164">
        <f t="shared" ca="1" si="18"/>
        <v>2715</v>
      </c>
      <c r="U82" s="1182">
        <f t="shared" ca="1" si="22"/>
        <v>5.4959514170040483E-2</v>
      </c>
      <c r="W82" s="1181">
        <f t="shared" si="19"/>
        <v>4</v>
      </c>
      <c r="X82" s="1164">
        <f t="shared" si="23"/>
        <v>98800</v>
      </c>
      <c r="Y82" s="1179">
        <f t="shared" ca="1" si="26"/>
        <v>1578.9757674178018</v>
      </c>
      <c r="Z82" s="1179">
        <f>'Report-sj'!N353</f>
        <v>0</v>
      </c>
      <c r="AA82" s="1164">
        <f t="shared" ca="1" si="20"/>
        <v>1578.9757674178018</v>
      </c>
      <c r="AB82" s="1182">
        <f t="shared" ca="1" si="24"/>
        <v>3.1963072214935259E-2</v>
      </c>
      <c r="AC82" s="1299">
        <f t="shared" si="25"/>
        <v>10000</v>
      </c>
      <c r="AD82" s="1299">
        <f ca="1"/>
        <v>1578.9757674178018</v>
      </c>
      <c r="AE82" s="1299">
        <f t="shared" ca="1" si="27"/>
        <v>11578.975767417802</v>
      </c>
    </row>
    <row r="83" spans="2:31" ht="13.35" customHeight="1">
      <c r="B83" s="1181">
        <f t="shared" si="13"/>
        <v>5</v>
      </c>
      <c r="C83" s="1164">
        <f>'A&amp;R'!D77/1000</f>
        <v>0</v>
      </c>
      <c r="D83" s="1179">
        <f>'A&amp;R'!E77</f>
        <v>0</v>
      </c>
      <c r="E83" s="1179">
        <f>'A&amp;R'!F77</f>
        <v>0</v>
      </c>
      <c r="F83" s="1164">
        <f t="shared" si="14"/>
        <v>0</v>
      </c>
      <c r="G83" s="1182">
        <f>'A&amp;R'!G77</f>
        <v>0</v>
      </c>
      <c r="I83" s="1181">
        <f t="shared" si="15"/>
        <v>5</v>
      </c>
      <c r="J83" s="1164">
        <f>'A&amp;R'!H77/1000</f>
        <v>14800</v>
      </c>
      <c r="K83" s="1179">
        <f ca="1">'A&amp;R'!I77/1000</f>
        <v>0</v>
      </c>
      <c r="L83" s="1179">
        <f>'A&amp;R'!J77/1000</f>
        <v>0</v>
      </c>
      <c r="M83" s="1164">
        <f t="shared" ca="1" si="16"/>
        <v>0</v>
      </c>
      <c r="N83" s="1182">
        <f ca="1">'A&amp;R'!K77</f>
        <v>0</v>
      </c>
      <c r="P83" s="1181">
        <f t="shared" si="17"/>
        <v>5</v>
      </c>
      <c r="Q83" s="1164">
        <f>'Report-sj'!J354</f>
        <v>88800</v>
      </c>
      <c r="R83" s="1179">
        <f ca="1">'Report-sj'!F354</f>
        <v>2715</v>
      </c>
      <c r="S83" s="1179">
        <f>'Report-sj'!G354</f>
        <v>0</v>
      </c>
      <c r="T83" s="1164">
        <f t="shared" ca="1" si="18"/>
        <v>2715</v>
      </c>
      <c r="U83" s="1182">
        <f t="shared" ca="1" si="22"/>
        <v>6.1148648648648649E-2</v>
      </c>
      <c r="W83" s="1181">
        <f t="shared" si="19"/>
        <v>5</v>
      </c>
      <c r="X83" s="1164">
        <f t="shared" si="23"/>
        <v>88800</v>
      </c>
      <c r="Y83" s="1179">
        <f t="shared" ca="1" si="26"/>
        <v>1520.4675732215715</v>
      </c>
      <c r="Z83" s="1179">
        <f>'Report-sj'!N354</f>
        <v>0</v>
      </c>
      <c r="AA83" s="1164">
        <f t="shared" ca="1" si="20"/>
        <v>1520.4675732215715</v>
      </c>
      <c r="AB83" s="1182">
        <f t="shared" ca="1" si="24"/>
        <v>3.4244765162648003E-2</v>
      </c>
      <c r="AC83" s="1299">
        <f t="shared" si="25"/>
        <v>0</v>
      </c>
      <c r="AD83" s="1299">
        <f ca="1"/>
        <v>1520.4675732215715</v>
      </c>
      <c r="AE83" s="1299">
        <f t="shared" ca="1" si="27"/>
        <v>1520.4675732215715</v>
      </c>
    </row>
    <row r="84" spans="2:31" ht="13.35" customHeight="1">
      <c r="B84" s="1181">
        <f t="shared" si="13"/>
        <v>6</v>
      </c>
      <c r="C84" s="1164">
        <f>'A&amp;R'!D78/1000</f>
        <v>0</v>
      </c>
      <c r="D84" s="1179">
        <f>'A&amp;R'!E78</f>
        <v>0</v>
      </c>
      <c r="E84" s="1179">
        <f>'A&amp;R'!F78</f>
        <v>0</v>
      </c>
      <c r="F84" s="1164">
        <f t="shared" si="14"/>
        <v>0</v>
      </c>
      <c r="G84" s="1182">
        <f>'A&amp;R'!G78</f>
        <v>0</v>
      </c>
      <c r="I84" s="1181">
        <f t="shared" si="15"/>
        <v>6</v>
      </c>
      <c r="J84" s="1164">
        <f>'A&amp;R'!H78/1000</f>
        <v>14800</v>
      </c>
      <c r="K84" s="1179">
        <f ca="1">'A&amp;R'!I78/1000</f>
        <v>0</v>
      </c>
      <c r="L84" s="1179">
        <f>'A&amp;R'!J78/1000</f>
        <v>0</v>
      </c>
      <c r="M84" s="1164">
        <f t="shared" ca="1" si="16"/>
        <v>0</v>
      </c>
      <c r="N84" s="1182">
        <f ca="1">'A&amp;R'!K78</f>
        <v>0</v>
      </c>
      <c r="P84" s="1181">
        <f t="shared" si="17"/>
        <v>6</v>
      </c>
      <c r="Q84" s="1164">
        <f>'Report-sj'!J355</f>
        <v>88800</v>
      </c>
      <c r="R84" s="1179">
        <f ca="1">'Report-sj'!F355</f>
        <v>2715</v>
      </c>
      <c r="S84" s="1179">
        <f>'Report-sj'!G355</f>
        <v>0</v>
      </c>
      <c r="T84" s="1164">
        <f t="shared" ca="1" si="18"/>
        <v>2715</v>
      </c>
      <c r="U84" s="1182">
        <f t="shared" ca="1" si="22"/>
        <v>6.1148648648648649E-2</v>
      </c>
      <c r="W84" s="1181">
        <f t="shared" si="19"/>
        <v>6</v>
      </c>
      <c r="X84" s="1164">
        <f t="shared" si="23"/>
        <v>88800</v>
      </c>
      <c r="Y84" s="1179">
        <f t="shared" ca="1" si="26"/>
        <v>0</v>
      </c>
      <c r="Z84" s="1179">
        <f>'Report-sj'!N355</f>
        <v>0</v>
      </c>
      <c r="AA84" s="1164">
        <f t="shared" ca="1" si="20"/>
        <v>0</v>
      </c>
      <c r="AB84" s="1182">
        <f t="shared" ca="1" si="24"/>
        <v>0</v>
      </c>
      <c r="AC84" s="1299">
        <f t="shared" si="25"/>
        <v>0</v>
      </c>
      <c r="AD84" s="1299">
        <f ca="1"/>
        <v>-3472.7387754206711</v>
      </c>
      <c r="AE84" s="1299">
        <f t="shared" ca="1" si="27"/>
        <v>0</v>
      </c>
    </row>
    <row r="85" spans="2:31" ht="13.35" customHeight="1">
      <c r="B85" s="1181">
        <f t="shared" si="13"/>
        <v>7</v>
      </c>
      <c r="C85" s="1164">
        <f>'A&amp;R'!D79/1000</f>
        <v>0</v>
      </c>
      <c r="D85" s="1179">
        <f>'A&amp;R'!E79</f>
        <v>0</v>
      </c>
      <c r="E85" s="1179">
        <f>'A&amp;R'!F79</f>
        <v>0</v>
      </c>
      <c r="F85" s="1164">
        <f t="shared" si="14"/>
        <v>0</v>
      </c>
      <c r="G85" s="1182">
        <f>'A&amp;R'!G79</f>
        <v>0</v>
      </c>
      <c r="I85" s="1181">
        <f t="shared" si="15"/>
        <v>7</v>
      </c>
      <c r="J85" s="1164">
        <f>'A&amp;R'!H79/1000</f>
        <v>14800</v>
      </c>
      <c r="K85" s="1179">
        <f ca="1">'A&amp;R'!I79/1000</f>
        <v>0</v>
      </c>
      <c r="L85" s="1179">
        <f>'A&amp;R'!J79/1000</f>
        <v>0</v>
      </c>
      <c r="M85" s="1164">
        <f t="shared" ca="1" si="16"/>
        <v>0</v>
      </c>
      <c r="N85" s="1182">
        <f ca="1">'A&amp;R'!K79</f>
        <v>0</v>
      </c>
      <c r="P85" s="1181">
        <f t="shared" si="17"/>
        <v>7</v>
      </c>
      <c r="Q85" s="1164">
        <f>'Report-sj'!J356</f>
        <v>88800</v>
      </c>
      <c r="R85" s="1179">
        <f ca="1">'Report-sj'!F356</f>
        <v>2602.472012941269</v>
      </c>
      <c r="S85" s="1179">
        <f>'Report-sj'!G356</f>
        <v>0</v>
      </c>
      <c r="T85" s="1164">
        <f t="shared" ca="1" si="18"/>
        <v>2602.472012941269</v>
      </c>
      <c r="U85" s="1182">
        <f t="shared" ca="1" si="22"/>
        <v>5.8614234525704259E-2</v>
      </c>
      <c r="W85" s="1181">
        <f t="shared" si="19"/>
        <v>7</v>
      </c>
      <c r="X85" s="1164">
        <f t="shared" si="23"/>
        <v>88800</v>
      </c>
      <c r="Y85" s="1179">
        <f t="shared" ca="1" si="26"/>
        <v>1954.7179304889953</v>
      </c>
      <c r="Z85" s="1179">
        <f>'Report-sj'!N356</f>
        <v>0</v>
      </c>
      <c r="AA85" s="1164">
        <f t="shared" ca="1" si="20"/>
        <v>1954.7179304889953</v>
      </c>
      <c r="AB85" s="1182">
        <f t="shared" ca="1" si="24"/>
        <v>4.4025178614617008E-2</v>
      </c>
      <c r="AC85" s="1299">
        <f t="shared" si="25"/>
        <v>0</v>
      </c>
      <c r="AD85" s="1299">
        <f ca="1"/>
        <v>1954.7179304889953</v>
      </c>
      <c r="AE85" s="1299">
        <f t="shared" ca="1" si="27"/>
        <v>1954.7179304889953</v>
      </c>
    </row>
    <row r="86" spans="2:31" ht="13.35" customHeight="1">
      <c r="B86" s="1181">
        <f t="shared" si="13"/>
        <v>8</v>
      </c>
      <c r="C86" s="1164">
        <f>'A&amp;R'!D80/1000</f>
        <v>0</v>
      </c>
      <c r="D86" s="1179">
        <f>'A&amp;R'!E80</f>
        <v>0</v>
      </c>
      <c r="E86" s="1179">
        <f>'A&amp;R'!F80</f>
        <v>0</v>
      </c>
      <c r="F86" s="1164">
        <f t="shared" si="14"/>
        <v>0</v>
      </c>
      <c r="G86" s="1182">
        <f>'A&amp;R'!G80</f>
        <v>0</v>
      </c>
      <c r="I86" s="1181">
        <f t="shared" si="15"/>
        <v>8</v>
      </c>
      <c r="J86" s="1164">
        <f>'A&amp;R'!H80/1000</f>
        <v>14800</v>
      </c>
      <c r="K86" s="1179">
        <f ca="1">'A&amp;R'!I80/1000</f>
        <v>0</v>
      </c>
      <c r="L86" s="1179">
        <f>'A&amp;R'!J80/1000</f>
        <v>0</v>
      </c>
      <c r="M86" s="1164">
        <f t="shared" ca="1" si="16"/>
        <v>0</v>
      </c>
      <c r="N86" s="1182">
        <f ca="1">'A&amp;R'!K80</f>
        <v>0</v>
      </c>
      <c r="P86" s="1181">
        <f t="shared" si="17"/>
        <v>8</v>
      </c>
      <c r="Q86" s="1164">
        <f>'Report-sj'!J357</f>
        <v>88800</v>
      </c>
      <c r="R86" s="1179">
        <f ca="1">'Report-sj'!F357</f>
        <v>2353.2919989280108</v>
      </c>
      <c r="S86" s="1179">
        <f>'Report-sj'!G357</f>
        <v>0</v>
      </c>
      <c r="T86" s="1164">
        <f t="shared" ca="1" si="18"/>
        <v>2353.2919989280108</v>
      </c>
      <c r="U86" s="1182">
        <f t="shared" ca="1" si="22"/>
        <v>5.3002072047928173E-2</v>
      </c>
      <c r="W86" s="1181">
        <f t="shared" si="19"/>
        <v>8</v>
      </c>
      <c r="X86" s="1164">
        <f t="shared" si="23"/>
        <v>88800</v>
      </c>
      <c r="Y86" s="1179">
        <f t="shared" ca="1" si="26"/>
        <v>2229.9422398968586</v>
      </c>
      <c r="Z86" s="1179">
        <f>'Report-sj'!N357</f>
        <v>0</v>
      </c>
      <c r="AA86" s="1164">
        <f t="shared" ca="1" si="20"/>
        <v>2229.9422398968586</v>
      </c>
      <c r="AB86" s="1182">
        <f t="shared" ca="1" si="24"/>
        <v>5.0223924322001318E-2</v>
      </c>
      <c r="AC86" s="1299">
        <f t="shared" si="25"/>
        <v>0</v>
      </c>
      <c r="AD86" s="1299">
        <f ca="1"/>
        <v>2229.9422398968586</v>
      </c>
      <c r="AE86" s="1299">
        <f t="shared" ca="1" si="27"/>
        <v>2229.9422398968586</v>
      </c>
    </row>
    <row r="87" spans="2:31" ht="13.35" customHeight="1">
      <c r="B87" s="1181">
        <f t="shared" si="13"/>
        <v>9</v>
      </c>
      <c r="C87" s="1164">
        <f>'A&amp;R'!D81/1000</f>
        <v>0</v>
      </c>
      <c r="D87" s="1179">
        <f>'A&amp;R'!E81</f>
        <v>0</v>
      </c>
      <c r="E87" s="1179">
        <f>'A&amp;R'!F81</f>
        <v>0</v>
      </c>
      <c r="F87" s="1164">
        <f t="shared" si="14"/>
        <v>0</v>
      </c>
      <c r="G87" s="1182">
        <f>'A&amp;R'!G81</f>
        <v>0</v>
      </c>
      <c r="I87" s="1181">
        <f t="shared" si="15"/>
        <v>9</v>
      </c>
      <c r="J87" s="1164">
        <f>'A&amp;R'!H81/1000</f>
        <v>14800</v>
      </c>
      <c r="K87" s="1179">
        <f ca="1">'A&amp;R'!I81/1000</f>
        <v>0</v>
      </c>
      <c r="L87" s="1179">
        <f>'A&amp;R'!J81/1000</f>
        <v>0</v>
      </c>
      <c r="M87" s="1164">
        <f t="shared" ca="1" si="16"/>
        <v>0</v>
      </c>
      <c r="N87" s="1182">
        <f ca="1">'A&amp;R'!K81</f>
        <v>0</v>
      </c>
      <c r="P87" s="1181">
        <f t="shared" si="17"/>
        <v>9</v>
      </c>
      <c r="Q87" s="1164">
        <f>'Report-sj'!J358</f>
        <v>88800</v>
      </c>
      <c r="R87" s="1179">
        <f ca="1">'Report-sj'!F358</f>
        <v>2105.5414966859475</v>
      </c>
      <c r="S87" s="1179">
        <f>'Report-sj'!G358</f>
        <v>0</v>
      </c>
      <c r="T87" s="1164">
        <f t="shared" ca="1" si="18"/>
        <v>2105.5414966859475</v>
      </c>
      <c r="U87" s="1182">
        <f t="shared" ca="1" si="22"/>
        <v>4.7422105781215036E-2</v>
      </c>
      <c r="W87" s="1181">
        <f t="shared" si="19"/>
        <v>9</v>
      </c>
      <c r="X87" s="1164">
        <f t="shared" si="23"/>
        <v>88800</v>
      </c>
      <c r="Y87" s="1179">
        <f t="shared" ca="1" si="26"/>
        <v>2218.3352526325621</v>
      </c>
      <c r="Z87" s="1179">
        <f>'Report-sj'!N358</f>
        <v>0</v>
      </c>
      <c r="AA87" s="1164">
        <f t="shared" ca="1" si="20"/>
        <v>2218.3352526325621</v>
      </c>
      <c r="AB87" s="1182">
        <f t="shared" ca="1" si="24"/>
        <v>4.9962505689922568E-2</v>
      </c>
      <c r="AC87" s="1299">
        <f t="shared" si="25"/>
        <v>0</v>
      </c>
      <c r="AD87" s="1299">
        <f ca="1"/>
        <v>2218.3352526325621</v>
      </c>
      <c r="AE87" s="1299">
        <f t="shared" ca="1" si="27"/>
        <v>2218.3352526325621</v>
      </c>
    </row>
    <row r="88" spans="2:31" ht="13.35" customHeight="1">
      <c r="B88" s="1181">
        <f t="shared" si="13"/>
        <v>10</v>
      </c>
      <c r="C88" s="1164">
        <f>'A&amp;R'!D82/1000</f>
        <v>0</v>
      </c>
      <c r="D88" s="1179">
        <f>'A&amp;R'!E82</f>
        <v>0</v>
      </c>
      <c r="E88" s="1179">
        <f>'A&amp;R'!F82</f>
        <v>0</v>
      </c>
      <c r="F88" s="1164">
        <f t="shared" si="14"/>
        <v>0</v>
      </c>
      <c r="G88" s="1182">
        <f>'A&amp;R'!G82</f>
        <v>0</v>
      </c>
      <c r="I88" s="1181">
        <f t="shared" si="15"/>
        <v>10</v>
      </c>
      <c r="J88" s="1164">
        <f>'A&amp;R'!H82/1000</f>
        <v>14800</v>
      </c>
      <c r="K88" s="1179">
        <f ca="1">'A&amp;R'!I82/1000</f>
        <v>0</v>
      </c>
      <c r="L88" s="1179">
        <f>'A&amp;R'!J82/1000</f>
        <v>0</v>
      </c>
      <c r="M88" s="1164">
        <f t="shared" ca="1" si="16"/>
        <v>0</v>
      </c>
      <c r="N88" s="1182">
        <f ca="1">'A&amp;R'!K82</f>
        <v>0</v>
      </c>
      <c r="P88" s="1181">
        <f t="shared" si="17"/>
        <v>10</v>
      </c>
      <c r="Q88" s="1164">
        <f>'Report-sj'!J359</f>
        <v>88800</v>
      </c>
      <c r="R88" s="1179">
        <f ca="1">'Report-sj'!F359</f>
        <v>2562.4784355854395</v>
      </c>
      <c r="S88" s="1179">
        <f>'Report-sj'!G359</f>
        <v>0</v>
      </c>
      <c r="T88" s="1164">
        <f t="shared" ca="1" si="18"/>
        <v>2562.4784355854395</v>
      </c>
      <c r="U88" s="1182">
        <f t="shared" ca="1" si="22"/>
        <v>5.771347827895134E-2</v>
      </c>
      <c r="W88" s="1181">
        <f t="shared" si="19"/>
        <v>10</v>
      </c>
      <c r="X88" s="1164">
        <f t="shared" si="23"/>
        <v>88800</v>
      </c>
      <c r="Y88" s="1179">
        <f t="shared" ca="1" si="26"/>
        <v>2446.8457832258941</v>
      </c>
      <c r="Z88" s="1179">
        <f>'Report-sj'!N359</f>
        <v>0</v>
      </c>
      <c r="AA88" s="1164">
        <f t="shared" ca="1" si="20"/>
        <v>2446.8457832258941</v>
      </c>
      <c r="AB88" s="1182">
        <f t="shared" ca="1" si="24"/>
        <v>5.5109139261844464E-2</v>
      </c>
      <c r="AC88" s="1299">
        <f t="shared" si="25"/>
        <v>0</v>
      </c>
      <c r="AD88" s="1299">
        <f ca="1"/>
        <v>2446.8457832258941</v>
      </c>
      <c r="AE88" s="1299">
        <f t="shared" ca="1" si="27"/>
        <v>2446.8457832258941</v>
      </c>
    </row>
    <row r="89" spans="2:31" ht="13.35" customHeight="1">
      <c r="B89" s="1181">
        <f t="shared" si="13"/>
        <v>11</v>
      </c>
      <c r="C89" s="1164">
        <f>'A&amp;R'!D83/1000</f>
        <v>0</v>
      </c>
      <c r="D89" s="1179">
        <f>'A&amp;R'!E83</f>
        <v>0</v>
      </c>
      <c r="E89" s="1179">
        <f>'A&amp;R'!F83</f>
        <v>0</v>
      </c>
      <c r="F89" s="1164">
        <f t="shared" si="14"/>
        <v>0</v>
      </c>
      <c r="G89" s="1182">
        <f>'A&amp;R'!G83</f>
        <v>0</v>
      </c>
      <c r="I89" s="1181">
        <f t="shared" si="15"/>
        <v>11</v>
      </c>
      <c r="J89" s="1164">
        <f>'A&amp;R'!H83/1000</f>
        <v>14800</v>
      </c>
      <c r="K89" s="1179">
        <f ca="1">'A&amp;R'!I83/1000</f>
        <v>0</v>
      </c>
      <c r="L89" s="1179">
        <f>'A&amp;R'!J83/1000</f>
        <v>0</v>
      </c>
      <c r="M89" s="1164">
        <f t="shared" ca="1" si="16"/>
        <v>0</v>
      </c>
      <c r="N89" s="1182">
        <f ca="1">'A&amp;R'!K83</f>
        <v>0</v>
      </c>
      <c r="P89" s="1181">
        <f t="shared" si="17"/>
        <v>11</v>
      </c>
      <c r="Q89" s="1164">
        <f>'Report-sj'!J360</f>
        <v>88800</v>
      </c>
      <c r="R89" s="1179">
        <f ca="1">'Report-sj'!F360</f>
        <v>2645.6477403300546</v>
      </c>
      <c r="S89" s="1179">
        <f>'Report-sj'!G360</f>
        <v>0</v>
      </c>
      <c r="T89" s="1164">
        <f t="shared" ca="1" si="18"/>
        <v>2645.6477403300546</v>
      </c>
      <c r="U89" s="1182">
        <f t="shared" ca="1" si="22"/>
        <v>5.9586660818244472E-2</v>
      </c>
      <c r="W89" s="1181">
        <f t="shared" si="19"/>
        <v>11</v>
      </c>
      <c r="X89" s="1164">
        <f t="shared" si="23"/>
        <v>88800</v>
      </c>
      <c r="Y89" s="1179">
        <f t="shared" ca="1" si="26"/>
        <v>2753.5117459248036</v>
      </c>
      <c r="Z89" s="1179">
        <f>'Report-sj'!N360</f>
        <v>0</v>
      </c>
      <c r="AA89" s="1164">
        <f t="shared" ca="1" si="20"/>
        <v>2753.5117459248036</v>
      </c>
      <c r="AB89" s="1182">
        <f t="shared" ca="1" si="24"/>
        <v>6.2016030313621705E-2</v>
      </c>
      <c r="AC89" s="1299">
        <f t="shared" si="25"/>
        <v>0</v>
      </c>
      <c r="AD89" s="1299">
        <f ca="1"/>
        <v>2753.5117459248036</v>
      </c>
      <c r="AE89" s="1299">
        <f t="shared" ca="1" si="27"/>
        <v>2753.5117459248036</v>
      </c>
    </row>
    <row r="90" spans="2:31" ht="13.35" customHeight="1">
      <c r="B90" s="1181">
        <f t="shared" si="13"/>
        <v>12</v>
      </c>
      <c r="C90" s="1164">
        <f>'A&amp;R'!D84/1000</f>
        <v>0</v>
      </c>
      <c r="D90" s="1179">
        <f>'A&amp;R'!E84</f>
        <v>0</v>
      </c>
      <c r="E90" s="1179">
        <f>'A&amp;R'!F84</f>
        <v>0</v>
      </c>
      <c r="F90" s="1164">
        <f t="shared" si="14"/>
        <v>0</v>
      </c>
      <c r="G90" s="1182">
        <f>'A&amp;R'!G84</f>
        <v>0</v>
      </c>
      <c r="I90" s="1181">
        <f t="shared" si="15"/>
        <v>12</v>
      </c>
      <c r="J90" s="1164">
        <f>'A&amp;R'!H84/1000</f>
        <v>14800</v>
      </c>
      <c r="K90" s="1179">
        <f ca="1">'A&amp;R'!I84/1000</f>
        <v>0</v>
      </c>
      <c r="L90" s="1179">
        <f>'A&amp;R'!J84/1000</f>
        <v>0</v>
      </c>
      <c r="M90" s="1164">
        <f t="shared" ca="1" si="16"/>
        <v>0</v>
      </c>
      <c r="N90" s="1182">
        <f ca="1">'A&amp;R'!K84</f>
        <v>0</v>
      </c>
      <c r="P90" s="1181">
        <f t="shared" si="17"/>
        <v>12</v>
      </c>
      <c r="Q90" s="1164">
        <f>'Report-sj'!J361</f>
        <v>88800</v>
      </c>
      <c r="R90" s="1179">
        <f ca="1">'Report-sj'!F361</f>
        <v>3098.497346219398</v>
      </c>
      <c r="S90" s="1179">
        <f>'Report-sj'!G361</f>
        <v>0</v>
      </c>
      <c r="T90" s="1164">
        <f t="shared" ca="1" si="18"/>
        <v>3098.497346219398</v>
      </c>
      <c r="U90" s="1182">
        <f t="shared" ca="1" si="22"/>
        <v>6.9785976266202657E-2</v>
      </c>
      <c r="W90" s="1181">
        <f t="shared" si="19"/>
        <v>12</v>
      </c>
      <c r="X90" s="1164">
        <f t="shared" si="23"/>
        <v>88800</v>
      </c>
      <c r="Y90" s="1179">
        <f t="shared" ca="1" si="26"/>
        <v>2987.73503978297</v>
      </c>
      <c r="Z90" s="1179">
        <f>'Report-sj'!N361</f>
        <v>0</v>
      </c>
      <c r="AA90" s="1164">
        <f t="shared" ca="1" si="20"/>
        <v>2987.73503978297</v>
      </c>
      <c r="AB90" s="1182">
        <f t="shared" ca="1" si="24"/>
        <v>6.729132972484167E-2</v>
      </c>
      <c r="AC90" s="1299">
        <f t="shared" si="25"/>
        <v>0</v>
      </c>
      <c r="AD90" s="1299">
        <f ca="1"/>
        <v>2987.73503978297</v>
      </c>
      <c r="AE90" s="1299">
        <f t="shared" ca="1" si="27"/>
        <v>2987.73503978297</v>
      </c>
    </row>
    <row r="91" spans="2:31" ht="13.35" customHeight="1">
      <c r="B91" s="1181">
        <f t="shared" si="13"/>
        <v>13</v>
      </c>
      <c r="C91" s="1164">
        <f>'A&amp;R'!D85/1000</f>
        <v>0</v>
      </c>
      <c r="D91" s="1179">
        <f>'A&amp;R'!E85</f>
        <v>0</v>
      </c>
      <c r="E91" s="1179">
        <f>'A&amp;R'!F85</f>
        <v>0</v>
      </c>
      <c r="F91" s="1164">
        <f t="shared" si="14"/>
        <v>0</v>
      </c>
      <c r="G91" s="1182">
        <f>'A&amp;R'!G85</f>
        <v>0</v>
      </c>
      <c r="I91" s="1181">
        <f t="shared" si="15"/>
        <v>13</v>
      </c>
      <c r="J91" s="1164">
        <f>'A&amp;R'!H85/1000</f>
        <v>14800</v>
      </c>
      <c r="K91" s="1179">
        <f ca="1">'A&amp;R'!I85/1000</f>
        <v>0</v>
      </c>
      <c r="L91" s="1179">
        <f>'A&amp;R'!J85/1000</f>
        <v>0</v>
      </c>
      <c r="M91" s="1164">
        <f t="shared" ca="1" si="16"/>
        <v>0</v>
      </c>
      <c r="N91" s="1182">
        <f ca="1">'A&amp;R'!K85</f>
        <v>0</v>
      </c>
      <c r="P91" s="1181">
        <f t="shared" si="17"/>
        <v>13</v>
      </c>
      <c r="Q91" s="1164">
        <f>'Report-sj'!J362</f>
        <v>88800</v>
      </c>
      <c r="R91" s="1179">
        <f ca="1">'Report-sj'!F362</f>
        <v>2871.2131788212532</v>
      </c>
      <c r="S91" s="1179">
        <f>'Report-sj'!G362</f>
        <v>0</v>
      </c>
      <c r="T91" s="1164">
        <f t="shared" ca="1" si="18"/>
        <v>2871.2131788212532</v>
      </c>
      <c r="U91" s="1182">
        <f t="shared" ca="1" si="22"/>
        <v>6.4666963486965157E-2</v>
      </c>
      <c r="W91" s="1181">
        <f t="shared" si="19"/>
        <v>13</v>
      </c>
      <c r="X91" s="1164">
        <f t="shared" si="23"/>
        <v>88800</v>
      </c>
      <c r="Y91" s="1179">
        <f t="shared" ca="1" si="26"/>
        <v>2974.225016024046</v>
      </c>
      <c r="Z91" s="1179">
        <f>'Report-sj'!N362</f>
        <v>0</v>
      </c>
      <c r="AA91" s="1164">
        <f t="shared" ca="1" si="20"/>
        <v>2974.225016024046</v>
      </c>
      <c r="AB91" s="1182">
        <f t="shared" ca="1" si="24"/>
        <v>6.6987049910451485E-2</v>
      </c>
      <c r="AC91" s="1299">
        <f t="shared" si="25"/>
        <v>0</v>
      </c>
      <c r="AD91" s="1299">
        <f ca="1"/>
        <v>2974.225016024046</v>
      </c>
      <c r="AE91" s="1299">
        <f t="shared" ca="1" si="27"/>
        <v>2974.225016024046</v>
      </c>
    </row>
    <row r="92" spans="2:31" ht="13.35" customHeight="1">
      <c r="B92" s="1181">
        <f t="shared" si="13"/>
        <v>14</v>
      </c>
      <c r="C92" s="1164">
        <f>'A&amp;R'!D86/1000</f>
        <v>0</v>
      </c>
      <c r="D92" s="1179">
        <f>'A&amp;R'!E86</f>
        <v>0</v>
      </c>
      <c r="E92" s="1179">
        <f>'A&amp;R'!F86</f>
        <v>0</v>
      </c>
      <c r="F92" s="1164">
        <f t="shared" si="14"/>
        <v>0</v>
      </c>
      <c r="G92" s="1182">
        <f>'A&amp;R'!G86</f>
        <v>0</v>
      </c>
      <c r="I92" s="1181">
        <f t="shared" si="15"/>
        <v>14</v>
      </c>
      <c r="J92" s="1164">
        <f>'A&amp;R'!H86/1000</f>
        <v>14800</v>
      </c>
      <c r="K92" s="1179">
        <f ca="1">'A&amp;R'!I86/1000</f>
        <v>0</v>
      </c>
      <c r="L92" s="1179">
        <f>'A&amp;R'!J86/1000</f>
        <v>0</v>
      </c>
      <c r="M92" s="1164">
        <f t="shared" ca="1" si="16"/>
        <v>0</v>
      </c>
      <c r="N92" s="1182">
        <f ca="1">'A&amp;R'!K86</f>
        <v>0</v>
      </c>
      <c r="P92" s="1181">
        <f t="shared" si="17"/>
        <v>14</v>
      </c>
      <c r="Q92" s="1164">
        <f>'Report-sj'!J363</f>
        <v>88800</v>
      </c>
      <c r="R92" s="1179">
        <f ca="1">'Report-sj'!F363</f>
        <v>3320.2746567853596</v>
      </c>
      <c r="S92" s="1179">
        <f>'Report-sj'!G363</f>
        <v>0</v>
      </c>
      <c r="T92" s="1164">
        <f t="shared" ca="1" si="18"/>
        <v>3320.2746567853596</v>
      </c>
      <c r="U92" s="1182">
        <f t="shared" ca="1" si="22"/>
        <v>7.4780960738408994E-2</v>
      </c>
      <c r="W92" s="1181">
        <f t="shared" si="19"/>
        <v>14</v>
      </c>
      <c r="X92" s="1164">
        <f t="shared" si="23"/>
        <v>88800</v>
      </c>
      <c r="Y92" s="1179">
        <f t="shared" ca="1" si="26"/>
        <v>3214.3038922286664</v>
      </c>
      <c r="Z92" s="1179">
        <f>'Report-sj'!N363</f>
        <v>0</v>
      </c>
      <c r="AA92" s="1164">
        <f t="shared" ca="1" si="20"/>
        <v>3214.3038922286664</v>
      </c>
      <c r="AB92" s="1182">
        <f t="shared" ca="1" si="24"/>
        <v>7.2394231806951953E-2</v>
      </c>
      <c r="AC92" s="1299">
        <f t="shared" si="25"/>
        <v>0</v>
      </c>
      <c r="AD92" s="1299">
        <f ca="1"/>
        <v>3214.3038922286664</v>
      </c>
      <c r="AE92" s="1299">
        <f t="shared" ca="1" si="27"/>
        <v>3214.3038922286664</v>
      </c>
    </row>
    <row r="93" spans="2:31" ht="13.35" customHeight="1">
      <c r="B93" s="1181">
        <f t="shared" si="13"/>
        <v>15</v>
      </c>
      <c r="C93" s="1164">
        <f>'A&amp;R'!D87/1000</f>
        <v>0</v>
      </c>
      <c r="D93" s="1179">
        <f>'A&amp;R'!E87</f>
        <v>0</v>
      </c>
      <c r="E93" s="1179">
        <f>'A&amp;R'!F87</f>
        <v>0</v>
      </c>
      <c r="F93" s="1164">
        <f t="shared" si="14"/>
        <v>0</v>
      </c>
      <c r="G93" s="1182">
        <f>'A&amp;R'!G87</f>
        <v>0</v>
      </c>
      <c r="I93" s="1181">
        <f t="shared" si="15"/>
        <v>15</v>
      </c>
      <c r="J93" s="1164">
        <f>'A&amp;R'!H87/1000</f>
        <v>14800</v>
      </c>
      <c r="K93" s="1179">
        <f ca="1">'A&amp;R'!I87/1000</f>
        <v>0</v>
      </c>
      <c r="L93" s="1179">
        <f>'A&amp;R'!J87/1000</f>
        <v>0</v>
      </c>
      <c r="M93" s="1164">
        <f t="shared" ca="1" si="16"/>
        <v>0</v>
      </c>
      <c r="N93" s="1182">
        <f ca="1">'A&amp;R'!K87</f>
        <v>0</v>
      </c>
      <c r="P93" s="1181">
        <f t="shared" si="17"/>
        <v>15</v>
      </c>
      <c r="Q93" s="1164">
        <f>'Report-sj'!J364</f>
        <v>88800</v>
      </c>
      <c r="R93" s="1179">
        <f ca="1">'Report-sj'!F364</f>
        <v>2875.5831337032691</v>
      </c>
      <c r="S93" s="1179">
        <f>'Report-sj'!G364</f>
        <v>0</v>
      </c>
      <c r="T93" s="1164">
        <f t="shared" ca="1" si="18"/>
        <v>2875.5831337032691</v>
      </c>
      <c r="U93" s="1182">
        <f t="shared" ca="1" si="22"/>
        <v>6.4765385894217778E-2</v>
      </c>
      <c r="W93" s="1181">
        <f t="shared" si="19"/>
        <v>15</v>
      </c>
      <c r="X93" s="1164">
        <f t="shared" si="23"/>
        <v>88800</v>
      </c>
      <c r="Y93" s="1179">
        <f t="shared" ca="1" si="26"/>
        <v>3200.1100758641769</v>
      </c>
      <c r="Z93" s="1179">
        <f>'Report-sj'!N364</f>
        <v>0</v>
      </c>
      <c r="AA93" s="1164">
        <f t="shared" ca="1" si="20"/>
        <v>3200.1100758641769</v>
      </c>
      <c r="AB93" s="1182">
        <f t="shared" ca="1" si="24"/>
        <v>7.2074551258202182E-2</v>
      </c>
      <c r="AC93" s="1299">
        <f t="shared" si="25"/>
        <v>0</v>
      </c>
      <c r="AD93" s="1299">
        <f ca="1"/>
        <v>3200.1100758641769</v>
      </c>
      <c r="AE93" s="1299">
        <f t="shared" ca="1" si="27"/>
        <v>3200.1100758641769</v>
      </c>
    </row>
    <row r="94" spans="2:31" ht="13.35" customHeight="1">
      <c r="B94" s="1181">
        <f t="shared" si="13"/>
        <v>16</v>
      </c>
      <c r="C94" s="1164">
        <f>'A&amp;R'!D88/1000</f>
        <v>0</v>
      </c>
      <c r="D94" s="1179">
        <f>'A&amp;R'!E88</f>
        <v>0</v>
      </c>
      <c r="E94" s="1179">
        <f>'A&amp;R'!F88</f>
        <v>0</v>
      </c>
      <c r="F94" s="1164">
        <f t="shared" si="14"/>
        <v>0</v>
      </c>
      <c r="G94" s="1182">
        <f>'A&amp;R'!G88</f>
        <v>0</v>
      </c>
      <c r="I94" s="1181">
        <f t="shared" si="15"/>
        <v>16</v>
      </c>
      <c r="J94" s="1164">
        <f>'A&amp;R'!H88/1000</f>
        <v>14800</v>
      </c>
      <c r="K94" s="1179">
        <f ca="1">'A&amp;R'!I88/1000</f>
        <v>0</v>
      </c>
      <c r="L94" s="1179">
        <f>'A&amp;R'!J88/1000</f>
        <v>0</v>
      </c>
      <c r="M94" s="1164">
        <f t="shared" ca="1" si="16"/>
        <v>0</v>
      </c>
      <c r="N94" s="1182">
        <f ca="1">'A&amp;R'!K88</f>
        <v>0</v>
      </c>
      <c r="P94" s="1181">
        <f t="shared" si="17"/>
        <v>16</v>
      </c>
      <c r="Q94" s="1164">
        <f>'Report-sj'!J365</f>
        <v>88800</v>
      </c>
      <c r="R94" s="1179">
        <f ca="1">'Report-sj'!F365</f>
        <v>2715</v>
      </c>
      <c r="S94" s="1179">
        <f>'Report-sj'!G365</f>
        <v>0</v>
      </c>
      <c r="T94" s="1164">
        <f t="shared" ca="1" si="18"/>
        <v>2715</v>
      </c>
      <c r="U94" s="1182">
        <f t="shared" ca="1" si="22"/>
        <v>6.1148648648648649E-2</v>
      </c>
      <c r="W94" s="1181">
        <f t="shared" si="19"/>
        <v>16</v>
      </c>
      <c r="X94" s="1164">
        <f t="shared" si="23"/>
        <v>88800</v>
      </c>
      <c r="Y94" s="1179">
        <f t="shared" ca="1" si="26"/>
        <v>2547.7026972966137</v>
      </c>
      <c r="Z94" s="1179">
        <f>'Report-sj'!N365</f>
        <v>0</v>
      </c>
      <c r="AA94" s="1164">
        <f t="shared" ca="1" si="20"/>
        <v>2547.7026972966137</v>
      </c>
      <c r="AB94" s="1182">
        <f t="shared" ca="1" si="24"/>
        <v>5.7380691380554363E-2</v>
      </c>
      <c r="AC94" s="1299">
        <f t="shared" si="25"/>
        <v>0</v>
      </c>
      <c r="AD94" s="1299">
        <f ca="1"/>
        <v>2547.7026972966137</v>
      </c>
      <c r="AE94" s="1299">
        <f t="shared" ca="1" si="27"/>
        <v>2547.7026972966137</v>
      </c>
    </row>
    <row r="95" spans="2:31" ht="13.35" customHeight="1">
      <c r="B95" s="1181">
        <f t="shared" si="13"/>
        <v>17</v>
      </c>
      <c r="C95" s="1164">
        <f>'A&amp;R'!D89/1000</f>
        <v>0</v>
      </c>
      <c r="D95" s="1179">
        <f>'A&amp;R'!E89</f>
        <v>0</v>
      </c>
      <c r="E95" s="1179">
        <f>'A&amp;R'!F89</f>
        <v>0</v>
      </c>
      <c r="F95" s="1164">
        <f t="shared" si="14"/>
        <v>0</v>
      </c>
      <c r="G95" s="1182">
        <f>'A&amp;R'!G89</f>
        <v>0</v>
      </c>
      <c r="I95" s="1181">
        <f t="shared" si="15"/>
        <v>17</v>
      </c>
      <c r="J95" s="1164">
        <f>'A&amp;R'!H89/1000</f>
        <v>14800</v>
      </c>
      <c r="K95" s="1179">
        <f ca="1">'A&amp;R'!I89/1000</f>
        <v>0</v>
      </c>
      <c r="L95" s="1179">
        <f>'A&amp;R'!J89/1000</f>
        <v>0</v>
      </c>
      <c r="M95" s="1164">
        <f t="shared" ca="1" si="16"/>
        <v>0</v>
      </c>
      <c r="N95" s="1182">
        <f ca="1">'A&amp;R'!K89</f>
        <v>0</v>
      </c>
      <c r="P95" s="1181">
        <f t="shared" si="17"/>
        <v>17</v>
      </c>
      <c r="Q95" s="1164">
        <f>'Report-sj'!J366</f>
        <v>88800</v>
      </c>
      <c r="R95" s="1179">
        <f ca="1">'Report-sj'!F366</f>
        <v>2715</v>
      </c>
      <c r="S95" s="1179">
        <f>'Report-sj'!G366</f>
        <v>0</v>
      </c>
      <c r="T95" s="1164">
        <f t="shared" ca="1" si="18"/>
        <v>2715</v>
      </c>
      <c r="U95" s="1182">
        <f t="shared" ca="1" si="22"/>
        <v>6.1148648648648649E-2</v>
      </c>
      <c r="W95" s="1181">
        <f t="shared" si="19"/>
        <v>17</v>
      </c>
      <c r="X95" s="1164">
        <f t="shared" si="23"/>
        <v>88800</v>
      </c>
      <c r="Y95" s="1179">
        <f t="shared" ca="1" si="26"/>
        <v>3244.0479855807289</v>
      </c>
      <c r="Z95" s="1179">
        <f>'Report-sj'!N366</f>
        <v>0</v>
      </c>
      <c r="AA95" s="1164">
        <f t="shared" ca="1" si="20"/>
        <v>3244.0479855807289</v>
      </c>
      <c r="AB95" s="1182">
        <f t="shared" ca="1" si="24"/>
        <v>7.306414381938578E-2</v>
      </c>
      <c r="AC95" s="1299">
        <f t="shared" si="25"/>
        <v>0</v>
      </c>
      <c r="AD95" s="1299">
        <f ca="1"/>
        <v>3244.0479855807289</v>
      </c>
      <c r="AE95" s="1299">
        <f t="shared" ca="1" si="27"/>
        <v>3244.0479855807289</v>
      </c>
    </row>
    <row r="96" spans="2:31" ht="13.35" customHeight="1">
      <c r="B96" s="1181">
        <f t="shared" si="13"/>
        <v>18</v>
      </c>
      <c r="C96" s="1164">
        <f>'A&amp;R'!D90/1000</f>
        <v>0</v>
      </c>
      <c r="D96" s="1179">
        <f>'A&amp;R'!E90</f>
        <v>0</v>
      </c>
      <c r="E96" s="1179">
        <f>'A&amp;R'!F90</f>
        <v>0</v>
      </c>
      <c r="F96" s="1164">
        <f t="shared" si="14"/>
        <v>0</v>
      </c>
      <c r="G96" s="1182">
        <f>'A&amp;R'!G90</f>
        <v>0</v>
      </c>
      <c r="I96" s="1181">
        <f t="shared" si="15"/>
        <v>18</v>
      </c>
      <c r="J96" s="1164">
        <f>'A&amp;R'!H90/1000</f>
        <v>14800</v>
      </c>
      <c r="K96" s="1179">
        <f ca="1">'A&amp;R'!I90/1000</f>
        <v>0</v>
      </c>
      <c r="L96" s="1179">
        <f>'A&amp;R'!J90/1000</f>
        <v>0</v>
      </c>
      <c r="M96" s="1164">
        <f t="shared" ca="1" si="16"/>
        <v>0</v>
      </c>
      <c r="N96" s="1182">
        <f ca="1">'A&amp;R'!K90</f>
        <v>0</v>
      </c>
      <c r="P96" s="1181">
        <f t="shared" si="17"/>
        <v>18</v>
      </c>
      <c r="Q96" s="1164">
        <f>'Report-sj'!J367</f>
        <v>88800</v>
      </c>
      <c r="R96" s="1179">
        <f ca="1">'Report-sj'!F367</f>
        <v>2715</v>
      </c>
      <c r="S96" s="1179">
        <f>'Report-sj'!G367</f>
        <v>0</v>
      </c>
      <c r="T96" s="1164">
        <f t="shared" ca="1" si="18"/>
        <v>2715</v>
      </c>
      <c r="U96" s="1182">
        <f t="shared" ca="1" si="22"/>
        <v>6.1148648648648649E-2</v>
      </c>
      <c r="W96" s="1181">
        <f t="shared" si="19"/>
        <v>18</v>
      </c>
      <c r="X96" s="1164">
        <f t="shared" si="23"/>
        <v>88800</v>
      </c>
      <c r="Y96" s="1179">
        <f t="shared" ca="1" si="26"/>
        <v>3459.3763884551086</v>
      </c>
      <c r="Z96" s="1179">
        <f>'Report-sj'!N367</f>
        <v>0</v>
      </c>
      <c r="AA96" s="1164">
        <f t="shared" ca="1" si="20"/>
        <v>3459.3763884551086</v>
      </c>
      <c r="AB96" s="1182">
        <f t="shared" ca="1" si="24"/>
        <v>7.7913882622862807E-2</v>
      </c>
      <c r="AC96" s="1299">
        <f t="shared" si="25"/>
        <v>0</v>
      </c>
      <c r="AD96" s="1299">
        <f ca="1"/>
        <v>3459.3763884551086</v>
      </c>
      <c r="AE96" s="1299">
        <f t="shared" ca="1" si="27"/>
        <v>3459.3763884551086</v>
      </c>
    </row>
    <row r="97" spans="2:31" ht="13.35" customHeight="1">
      <c r="B97" s="1181">
        <f t="shared" si="13"/>
        <v>19</v>
      </c>
      <c r="C97" s="1164">
        <f>'A&amp;R'!D91/1000</f>
        <v>0</v>
      </c>
      <c r="D97" s="1179">
        <f>'A&amp;R'!E91</f>
        <v>0</v>
      </c>
      <c r="E97" s="1179">
        <f>'A&amp;R'!F91</f>
        <v>0</v>
      </c>
      <c r="F97" s="1164">
        <f t="shared" si="14"/>
        <v>0</v>
      </c>
      <c r="G97" s="1182">
        <f>'A&amp;R'!G91</f>
        <v>0</v>
      </c>
      <c r="I97" s="1181">
        <f t="shared" si="15"/>
        <v>19</v>
      </c>
      <c r="J97" s="1164">
        <f>'A&amp;R'!H91/1000</f>
        <v>14800</v>
      </c>
      <c r="K97" s="1179">
        <f ca="1">'A&amp;R'!I91/1000</f>
        <v>0</v>
      </c>
      <c r="L97" s="1179">
        <f>'A&amp;R'!J91/1000</f>
        <v>0</v>
      </c>
      <c r="M97" s="1164">
        <f t="shared" ca="1" si="16"/>
        <v>0</v>
      </c>
      <c r="N97" s="1182">
        <f ca="1">'A&amp;R'!K91</f>
        <v>0</v>
      </c>
      <c r="P97" s="1181">
        <f t="shared" si="17"/>
        <v>19</v>
      </c>
      <c r="Q97" s="1164">
        <f>'Report-sj'!J368</f>
        <v>88800</v>
      </c>
      <c r="R97" s="1179">
        <f ca="1">'Report-sj'!F368</f>
        <v>2715</v>
      </c>
      <c r="S97" s="1179">
        <f>'Report-sj'!G368</f>
        <v>0</v>
      </c>
      <c r="T97" s="1164">
        <f t="shared" ca="1" si="18"/>
        <v>2715</v>
      </c>
      <c r="U97" s="1182">
        <f t="shared" ca="1" si="22"/>
        <v>6.1148648648648649E-2</v>
      </c>
      <c r="W97" s="1181">
        <f t="shared" si="19"/>
        <v>19</v>
      </c>
      <c r="X97" s="1164">
        <f t="shared" si="23"/>
        <v>88800</v>
      </c>
      <c r="Y97" s="1179">
        <f t="shared" ca="1" si="26"/>
        <v>3570.8529526719526</v>
      </c>
      <c r="Z97" s="1179">
        <f>'Report-sj'!N368</f>
        <v>0</v>
      </c>
      <c r="AA97" s="1164">
        <f t="shared" ca="1" si="20"/>
        <v>3570.8529526719526</v>
      </c>
      <c r="AB97" s="1182">
        <f t="shared" ca="1" si="24"/>
        <v>8.04246160511701E-2</v>
      </c>
      <c r="AC97" s="1299">
        <f t="shared" si="25"/>
        <v>0</v>
      </c>
      <c r="AD97" s="1299">
        <f ca="1"/>
        <v>3570.8529526719526</v>
      </c>
      <c r="AE97" s="1299">
        <f t="shared" ca="1" si="27"/>
        <v>3570.8529526719526</v>
      </c>
    </row>
    <row r="98" spans="2:31" ht="13.35" customHeight="1">
      <c r="B98" s="1181">
        <f t="shared" si="13"/>
        <v>20</v>
      </c>
      <c r="C98" s="1164">
        <f>'A&amp;R'!D92/1000</f>
        <v>0</v>
      </c>
      <c r="D98" s="1179">
        <f>'A&amp;R'!E92</f>
        <v>0</v>
      </c>
      <c r="E98" s="1179">
        <f>'A&amp;R'!F92</f>
        <v>0</v>
      </c>
      <c r="F98" s="1164">
        <f t="shared" si="14"/>
        <v>0</v>
      </c>
      <c r="G98" s="1182">
        <f>'A&amp;R'!G92</f>
        <v>0</v>
      </c>
      <c r="I98" s="1181">
        <f t="shared" si="15"/>
        <v>20</v>
      </c>
      <c r="J98" s="1164">
        <f>'A&amp;R'!H92/1000</f>
        <v>14800</v>
      </c>
      <c r="K98" s="1179">
        <f ca="1">'A&amp;R'!I92/1000</f>
        <v>0</v>
      </c>
      <c r="L98" s="1179">
        <f>'A&amp;R'!J92/1000</f>
        <v>47070.453350267737</v>
      </c>
      <c r="M98" s="1164">
        <f t="shared" ca="1" si="16"/>
        <v>47070.453350267737</v>
      </c>
      <c r="N98" s="1182">
        <f ca="1">'A&amp;R'!K92</f>
        <v>6.3608720743605049</v>
      </c>
      <c r="P98" s="1181">
        <f t="shared" si="17"/>
        <v>20</v>
      </c>
      <c r="Q98" s="1164">
        <f>'Report-sj'!J369</f>
        <v>88800</v>
      </c>
      <c r="R98" s="1179">
        <f ca="1">'Report-sj'!F369</f>
        <v>2715</v>
      </c>
      <c r="S98" s="1179">
        <f>'Report-sj'!G369</f>
        <v>58838.066687834667</v>
      </c>
      <c r="T98" s="1164">
        <f t="shared" ca="1" si="18"/>
        <v>61553.066687834667</v>
      </c>
      <c r="U98" s="1182">
        <f t="shared" ca="1" si="22"/>
        <v>1.3863303308070871</v>
      </c>
      <c r="W98" s="1181">
        <f t="shared" si="19"/>
        <v>20</v>
      </c>
      <c r="X98" s="1164">
        <f t="shared" si="23"/>
        <v>88800</v>
      </c>
      <c r="Y98" s="1179">
        <f t="shared" ca="1" si="26"/>
        <v>3697.3726921172934</v>
      </c>
      <c r="Z98" s="1179">
        <f ca="1">S98+R99-Y99</f>
        <v>67249.089269896736</v>
      </c>
      <c r="AA98" s="1164">
        <f t="shared" ca="1" si="20"/>
        <v>70946.461962014029</v>
      </c>
      <c r="AB98" s="1182">
        <f t="shared" ca="1" si="24"/>
        <v>1.5978932874327485</v>
      </c>
      <c r="AC98" s="1299">
        <f>-(0-X98)</f>
        <v>88800</v>
      </c>
      <c r="AD98" s="1299">
        <f ca="1"/>
        <v>3697.3726921172934</v>
      </c>
      <c r="AE98" s="1299">
        <f t="shared" ca="1" si="27"/>
        <v>159746.46196201403</v>
      </c>
    </row>
    <row r="99" spans="2:31" ht="13.35" customHeight="1">
      <c r="B99" s="1173" t="s">
        <v>104</v>
      </c>
      <c r="C99" s="1166"/>
      <c r="D99" s="1180">
        <f ca="1">SUM(D78:D98)</f>
        <v>0</v>
      </c>
      <c r="E99" s="1180">
        <f>SUM(E78:E98)</f>
        <v>0</v>
      </c>
      <c r="F99" s="1166">
        <f ca="1">SUM(F78:F98)</f>
        <v>0</v>
      </c>
      <c r="G99" s="1178"/>
      <c r="I99" s="1173" t="s">
        <v>104</v>
      </c>
      <c r="J99" s="1166"/>
      <c r="K99" s="1180">
        <f ca="1">SUM(K78:K98)</f>
        <v>1110</v>
      </c>
      <c r="L99" s="1180">
        <f>SUM(L78:L98)</f>
        <v>47070.453350267737</v>
      </c>
      <c r="M99" s="1166">
        <f ca="1">SUM(M78:M98)</f>
        <v>48180.453350267737</v>
      </c>
      <c r="N99" s="1178"/>
      <c r="P99" s="1173" t="str">
        <f t="shared" si="17"/>
        <v>합계</v>
      </c>
      <c r="Q99" s="1166">
        <f>SUM(Q78:Q98)/(120/6)</f>
        <v>90800</v>
      </c>
      <c r="R99" s="1180">
        <f t="shared" ref="R99:T99" ca="1" si="28">SUM(R78:R98)</f>
        <v>55410.000000000007</v>
      </c>
      <c r="S99" s="1180">
        <f t="shared" si="28"/>
        <v>58838.066687834667</v>
      </c>
      <c r="T99" s="1166">
        <f t="shared" ca="1" si="28"/>
        <v>114248.06668783468</v>
      </c>
      <c r="U99" s="1178"/>
      <c r="W99" s="1173" t="str">
        <f t="shared" si="19"/>
        <v>합계</v>
      </c>
      <c r="X99" s="1166">
        <f>SUM(X78:X98)/(120/6)</f>
        <v>90800</v>
      </c>
      <c r="Y99" s="1180">
        <f t="shared" ref="Y99:AA99" ca="1" si="29">SUM(Y78:Y98)</f>
        <v>46998.977417937953</v>
      </c>
      <c r="Z99" s="1180">
        <f t="shared" ca="1" si="29"/>
        <v>67249.089269896736</v>
      </c>
      <c r="AA99" s="1166">
        <f t="shared" ca="1" si="29"/>
        <v>114248.06668783468</v>
      </c>
      <c r="AB99" s="1178"/>
    </row>
    <row r="100" spans="2:31" ht="13.35" customHeight="1">
      <c r="B100" s="1173" t="s">
        <v>662</v>
      </c>
      <c r="C100" s="3124">
        <f>'A&amp;R'!D93/1000</f>
        <v>10000</v>
      </c>
      <c r="D100" s="3125"/>
      <c r="E100" s="3125"/>
      <c r="F100" s="3125"/>
      <c r="G100" s="3125"/>
      <c r="I100" s="1173" t="s">
        <v>662</v>
      </c>
      <c r="J100" s="3124">
        <f>'A&amp;R'!K94/1000</f>
        <v>14800</v>
      </c>
      <c r="K100" s="3125"/>
      <c r="L100" s="3125"/>
      <c r="M100" s="3125"/>
      <c r="N100" s="3125"/>
      <c r="P100" s="1173" t="str">
        <f t="shared" si="17"/>
        <v>투자금액</v>
      </c>
      <c r="Q100" s="2481"/>
      <c r="R100" s="2481"/>
      <c r="S100" s="2481"/>
      <c r="T100" s="2481"/>
      <c r="U100" s="2481">
        <f>Q98</f>
        <v>88800</v>
      </c>
      <c r="W100" s="1173" t="str">
        <f t="shared" si="19"/>
        <v>투자금액</v>
      </c>
      <c r="X100" s="3108">
        <f>X98</f>
        <v>88800</v>
      </c>
      <c r="Y100" s="3109"/>
      <c r="Z100" s="3109"/>
      <c r="AA100" s="3109"/>
      <c r="AB100" s="3109"/>
    </row>
    <row r="101" spans="2:31" ht="13.35" customHeight="1">
      <c r="B101" s="1173" t="s">
        <v>663</v>
      </c>
      <c r="C101" s="3110">
        <f>'A&amp;R'!G95</f>
        <v>0</v>
      </c>
      <c r="D101" s="3111"/>
      <c r="E101" s="3111"/>
      <c r="F101" s="3111"/>
      <c r="G101" s="3111"/>
      <c r="I101" s="1173" t="s">
        <v>663</v>
      </c>
      <c r="J101" s="3110">
        <f ca="1">'A&amp;R'!K95</f>
        <v>7.4999999999999997E-3</v>
      </c>
      <c r="K101" s="3111"/>
      <c r="L101" s="3111"/>
      <c r="M101" s="3111"/>
      <c r="N101" s="3111"/>
      <c r="P101" s="1173" t="str">
        <f t="shared" si="17"/>
        <v>CoC_C.G제외</v>
      </c>
      <c r="Q101" s="2459"/>
      <c r="R101" s="2459"/>
      <c r="S101" s="2459"/>
      <c r="T101" s="2459"/>
      <c r="U101" s="2459">
        <f ca="1">(R99/U100)*(12/120)</f>
        <v>6.2398648648648664E-2</v>
      </c>
      <c r="W101" s="1173" t="str">
        <f t="shared" si="19"/>
        <v>CoC_C.G제외</v>
      </c>
      <c r="X101" s="3110">
        <f ca="1">(Y99/X100)*(12/120)</f>
        <v>5.2926776371551756E-2</v>
      </c>
      <c r="Y101" s="3111"/>
      <c r="Z101" s="3111"/>
      <c r="AA101" s="3111"/>
      <c r="AB101" s="3111"/>
    </row>
    <row r="102" spans="2:31" ht="13.35" customHeight="1">
      <c r="B102" s="1173" t="s">
        <v>664</v>
      </c>
      <c r="C102" s="3112">
        <f>'A&amp;R'!G98</f>
        <v>0</v>
      </c>
      <c r="D102" s="3113"/>
      <c r="E102" s="3113"/>
      <c r="F102" s="3113"/>
      <c r="G102" s="3113"/>
      <c r="I102" s="1173" t="s">
        <v>664</v>
      </c>
      <c r="J102" s="3112">
        <f ca="1">'A&amp;R'!K98</f>
        <v>0.16181544839707418</v>
      </c>
      <c r="K102" s="3113"/>
      <c r="L102" s="3113"/>
      <c r="M102" s="3113"/>
      <c r="N102" s="3113"/>
      <c r="P102" s="1173" t="e">
        <f>#REF!</f>
        <v>#REF!</v>
      </c>
      <c r="Q102" s="2459"/>
      <c r="R102" s="2459"/>
      <c r="S102" s="2459"/>
      <c r="T102" s="2459"/>
      <c r="U102" s="2459">
        <f ca="1">(SUM(R99:S99)/U100)*(12/120)</f>
        <v>0.12865773275657061</v>
      </c>
      <c r="W102" s="1173" t="e">
        <f t="shared" si="19"/>
        <v>#REF!</v>
      </c>
      <c r="X102" s="3110">
        <f ca="1">(SUM(Y99:Z99)/X100)*(12/120)</f>
        <v>0.12865773275657061</v>
      </c>
      <c r="Y102" s="3111"/>
      <c r="Z102" s="3111"/>
      <c r="AA102" s="3111"/>
      <c r="AB102" s="3111"/>
    </row>
    <row r="103" spans="2:31" ht="13.35" customHeight="1" thickBot="1">
      <c r="B103" s="1174" t="s">
        <v>665</v>
      </c>
      <c r="C103" s="3114">
        <f ca="1">'A&amp;R'!G99</f>
        <v>0</v>
      </c>
      <c r="D103" s="3115"/>
      <c r="E103" s="3115"/>
      <c r="F103" s="3115"/>
      <c r="G103" s="3115"/>
      <c r="I103" s="1174" t="s">
        <v>665</v>
      </c>
      <c r="J103" s="3114">
        <f ca="1">'A&amp;R'!K99</f>
        <v>4.2554360371802522</v>
      </c>
      <c r="K103" s="3115"/>
      <c r="L103" s="3115"/>
      <c r="M103" s="3115"/>
      <c r="N103" s="3115"/>
      <c r="P103" s="1173" t="str">
        <f>W138</f>
        <v>IRR_C.G포함</v>
      </c>
      <c r="Q103" s="2460"/>
      <c r="R103" s="2460"/>
      <c r="S103" s="2460"/>
      <c r="T103" s="2460"/>
      <c r="U103" s="2460">
        <f ca="1">'Report-sj'!M370</f>
        <v>0.10206454396247863</v>
      </c>
      <c r="W103" s="1173" t="str">
        <f t="shared" si="19"/>
        <v>IRR_C.G포함</v>
      </c>
      <c r="X103" s="3112">
        <f ca="1">(IRR($AE$78:$AE$98,0.01)+1)^2-1</f>
        <v>9.468731451772161E-2</v>
      </c>
      <c r="Y103" s="3113"/>
      <c r="Z103" s="3113"/>
      <c r="AA103" s="3113"/>
      <c r="AB103" s="3113"/>
    </row>
    <row r="104" spans="2:31" ht="13.35" customHeight="1" thickBot="1">
      <c r="P104" s="1174" t="str">
        <f>W139</f>
        <v>E.Multiple</v>
      </c>
      <c r="Q104" s="2461"/>
      <c r="R104" s="2462"/>
      <c r="S104" s="2462"/>
      <c r="T104" s="2462"/>
      <c r="U104" s="2462">
        <f ca="1">'Report-sj'!D371</f>
        <v>2.286577327565706</v>
      </c>
      <c r="W104" s="1174" t="str">
        <f t="shared" si="19"/>
        <v>E.Multiple</v>
      </c>
      <c r="X104" s="3114">
        <f ca="1">AA99/X100+1</f>
        <v>2.286577327565706</v>
      </c>
      <c r="Y104" s="3115"/>
      <c r="Z104" s="3115"/>
      <c r="AA104" s="3115"/>
      <c r="AB104" s="3115"/>
    </row>
    <row r="105" spans="2:31" ht="13.35" customHeight="1">
      <c r="C105" s="1187">
        <v>2026</v>
      </c>
      <c r="D105" s="1187">
        <v>2027</v>
      </c>
      <c r="E105" s="1187">
        <v>2028</v>
      </c>
      <c r="F105" s="1187">
        <v>2029</v>
      </c>
      <c r="G105" s="1187">
        <v>2030</v>
      </c>
      <c r="I105" s="1187">
        <v>2034</v>
      </c>
    </row>
    <row r="106" spans="2:31" ht="13.35" customHeight="1">
      <c r="B106" s="3120" t="s">
        <v>619</v>
      </c>
      <c r="C106" s="3122" t="s">
        <v>2656</v>
      </c>
      <c r="D106" s="3116" t="s">
        <v>2657</v>
      </c>
      <c r="E106" s="3116" t="s">
        <v>2658</v>
      </c>
      <c r="F106" s="3021" t="s">
        <v>2659</v>
      </c>
      <c r="G106" s="3116" t="s">
        <v>2661</v>
      </c>
      <c r="H106" s="3116" t="s">
        <v>2662</v>
      </c>
      <c r="I106" s="3021" t="s">
        <v>2663</v>
      </c>
    </row>
    <row r="107" spans="2:31" ht="13.35" customHeight="1">
      <c r="B107" s="3121"/>
      <c r="C107" s="3123"/>
      <c r="D107" s="3117"/>
      <c r="E107" s="3117"/>
      <c r="F107" s="3022" t="s">
        <v>2660</v>
      </c>
      <c r="G107" s="3117"/>
      <c r="H107" s="3117"/>
      <c r="I107" s="3022" t="s">
        <v>2664</v>
      </c>
    </row>
    <row r="108" spans="2:31" ht="13.35" customHeight="1">
      <c r="B108" s="3023" t="s">
        <v>2665</v>
      </c>
      <c r="C108" s="3118" t="s">
        <v>2667</v>
      </c>
      <c r="D108" s="3106" t="s">
        <v>2668</v>
      </c>
      <c r="E108" s="3106" t="s">
        <v>2669</v>
      </c>
      <c r="F108" s="3106" t="s">
        <v>2670</v>
      </c>
      <c r="G108" s="3106" t="s">
        <v>2671</v>
      </c>
      <c r="H108" s="3106" t="s">
        <v>2662</v>
      </c>
      <c r="I108" s="3106" t="s">
        <v>2672</v>
      </c>
    </row>
    <row r="109" spans="2:31" ht="13.35" customHeight="1">
      <c r="B109" s="3024" t="s">
        <v>2666</v>
      </c>
      <c r="C109" s="3119"/>
      <c r="D109" s="3107"/>
      <c r="E109" s="3107"/>
      <c r="F109" s="3107"/>
      <c r="G109" s="3107"/>
      <c r="H109" s="3107"/>
      <c r="I109" s="3107"/>
    </row>
    <row r="110" spans="2:31" ht="13.35" customHeight="1">
      <c r="B110" s="3025" t="s">
        <v>2673</v>
      </c>
      <c r="C110" s="3026">
        <f>'A&amp;R'!$AH$27</f>
        <v>60055.801963688697</v>
      </c>
      <c r="D110" s="3027">
        <f>$C110*(1+0.025)^(D$105-$C$105)</f>
        <v>61557.197012780911</v>
      </c>
      <c r="E110" s="3027">
        <f t="shared" ref="E110:G110" si="30">$C110*(1+0.025)^(E$105-$C$105)</f>
        <v>63096.126938100431</v>
      </c>
      <c r="F110" s="3027">
        <f t="shared" si="30"/>
        <v>64673.530111552944</v>
      </c>
      <c r="G110" s="3027">
        <f t="shared" si="30"/>
        <v>66290.368364341761</v>
      </c>
      <c r="H110" s="3028"/>
      <c r="I110" s="3027">
        <f>$C110*(1+0.025)^(I$105-$C$105)</f>
        <v>73172.16312484011</v>
      </c>
    </row>
    <row r="111" spans="2:31" ht="13.35" customHeight="1">
      <c r="C111" s="1299"/>
    </row>
    <row r="112" spans="2:31" ht="13.35" customHeight="1" thickBot="1">
      <c r="W112" s="2469" t="s">
        <v>1659</v>
      </c>
      <c r="AD112" s="2469" t="s">
        <v>1660</v>
      </c>
    </row>
    <row r="113" spans="2:35" ht="13.35" customHeight="1">
      <c r="W113" s="1175" t="str">
        <f t="shared" ref="W113:AB113" si="31">I77</f>
        <v>구분</v>
      </c>
      <c r="X113" s="1176" t="str">
        <f t="shared" si="31"/>
        <v>투자잔액</v>
      </c>
      <c r="Y113" s="1176" t="str">
        <f t="shared" si="31"/>
        <v>운영배당</v>
      </c>
      <c r="Z113" s="1176" t="str">
        <f t="shared" si="31"/>
        <v>C.G</v>
      </c>
      <c r="AA113" s="1176" t="str">
        <f t="shared" si="31"/>
        <v>합계</v>
      </c>
      <c r="AB113" s="1177" t="str">
        <f t="shared" si="31"/>
        <v>Yield(%)</v>
      </c>
      <c r="AD113" s="1175" t="str">
        <f t="shared" ref="AD113:AI113" si="32">P77</f>
        <v>구분</v>
      </c>
      <c r="AE113" s="1176" t="str">
        <f t="shared" si="32"/>
        <v>투자잔액</v>
      </c>
      <c r="AF113" s="1176" t="str">
        <f t="shared" si="32"/>
        <v>운영배당</v>
      </c>
      <c r="AG113" s="1176" t="str">
        <f t="shared" si="32"/>
        <v>C.G</v>
      </c>
      <c r="AH113" s="1176" t="str">
        <f t="shared" si="32"/>
        <v>합계</v>
      </c>
      <c r="AI113" s="1177" t="str">
        <f t="shared" si="32"/>
        <v>Yield(%)</v>
      </c>
    </row>
    <row r="114" spans="2:35" ht="13.35" customHeight="1">
      <c r="W114" s="1181">
        <f t="shared" ref="W114:W137" si="33">I78</f>
        <v>0</v>
      </c>
      <c r="X114" s="1164">
        <f>'Sell-down'!Z77/1000</f>
        <v>0</v>
      </c>
      <c r="Y114" s="1179">
        <f ca="1">'Sell-down'!AA77/1000</f>
        <v>0</v>
      </c>
      <c r="Z114" s="1179">
        <f>'Sell-down'!AB77/1000</f>
        <v>0</v>
      </c>
      <c r="AA114" s="1164">
        <f t="shared" ref="AA114:AA134" ca="1" si="34">SUM(Y114:Z114)</f>
        <v>0</v>
      </c>
      <c r="AB114" s="1182">
        <f ca="1">IFERROR(SUM(Y114:Z114)/X114*(12/6),)</f>
        <v>0</v>
      </c>
      <c r="AD114" s="1181">
        <f t="shared" ref="AD114:AD136" si="35">P78</f>
        <v>0</v>
      </c>
      <c r="AE114" s="1164">
        <f>'Report-sj'!J402</f>
        <v>0</v>
      </c>
      <c r="AF114" s="1179">
        <f>'Report-sj'!F402</f>
        <v>0</v>
      </c>
      <c r="AG114" s="1179">
        <f>'Report-sj'!G402</f>
        <v>0</v>
      </c>
      <c r="AH114" s="1164">
        <f t="shared" ref="AH114:AH134" si="36">SUM(AF114:AG114)</f>
        <v>0</v>
      </c>
      <c r="AI114" s="1182">
        <f>IFERROR(SUM(AF114:AG114)/AE114*(12/6),)</f>
        <v>0</v>
      </c>
    </row>
    <row r="115" spans="2:35" ht="13.35" customHeight="1">
      <c r="W115" s="1181">
        <f t="shared" si="33"/>
        <v>1</v>
      </c>
      <c r="X115" s="1164">
        <f>'Sell-down'!Z78/1000</f>
        <v>30800</v>
      </c>
      <c r="Y115" s="1179">
        <f ca="1">'Sell-down'!AA78/1000</f>
        <v>1155</v>
      </c>
      <c r="Z115" s="1179">
        <f>'Sell-down'!AB78/1000</f>
        <v>0</v>
      </c>
      <c r="AA115" s="1164">
        <f t="shared" ca="1" si="34"/>
        <v>1155</v>
      </c>
      <c r="AB115" s="1182">
        <f t="shared" ref="AB115:AB134" ca="1" si="37">IFERROR(SUM(Y115:Z115)/X115*(12/6),)</f>
        <v>7.4999999999999997E-2</v>
      </c>
      <c r="AD115" s="1181">
        <f t="shared" si="35"/>
        <v>1</v>
      </c>
      <c r="AE115" s="1164">
        <f>'Report-sj'!J403</f>
        <v>14800</v>
      </c>
      <c r="AF115" s="1179">
        <f ca="1">'Report-sj'!F403</f>
        <v>838.08955217138487</v>
      </c>
      <c r="AG115" s="1179">
        <f>'Report-sj'!G403</f>
        <v>0</v>
      </c>
      <c r="AH115" s="1164">
        <f t="shared" ca="1" si="36"/>
        <v>838.08955217138487</v>
      </c>
      <c r="AI115" s="1182">
        <f t="shared" ref="AI115:AI134" ca="1" si="38">IFERROR(SUM(AF115:AG115)/AE115*(12/6),)</f>
        <v>0.11325534488802498</v>
      </c>
    </row>
    <row r="116" spans="2:35" ht="13.35" customHeight="1">
      <c r="W116" s="1181">
        <f t="shared" si="33"/>
        <v>2</v>
      </c>
      <c r="X116" s="1164">
        <f>'Sell-down'!Z79/1000</f>
        <v>30800</v>
      </c>
      <c r="Y116" s="1179">
        <f ca="1">'Sell-down'!AA79/1000</f>
        <v>1155</v>
      </c>
      <c r="Z116" s="1179">
        <f>'Sell-down'!AB79/1000</f>
        <v>0</v>
      </c>
      <c r="AA116" s="1164">
        <f t="shared" ca="1" si="34"/>
        <v>1155</v>
      </c>
      <c r="AB116" s="1182">
        <f t="shared" ca="1" si="37"/>
        <v>7.4999999999999997E-2</v>
      </c>
      <c r="AD116" s="1181">
        <f t="shared" si="35"/>
        <v>2</v>
      </c>
      <c r="AE116" s="1164">
        <f>'Report-sj'!J404</f>
        <v>14800</v>
      </c>
      <c r="AF116" s="1179">
        <f ca="1">'Report-sj'!F404</f>
        <v>1402.0560553606524</v>
      </c>
      <c r="AG116" s="1179">
        <f>'Report-sj'!G404</f>
        <v>0</v>
      </c>
      <c r="AH116" s="1164">
        <f t="shared" ca="1" si="36"/>
        <v>1402.0560553606524</v>
      </c>
      <c r="AI116" s="1182">
        <f t="shared" ca="1" si="38"/>
        <v>0.18946703450819627</v>
      </c>
    </row>
    <row r="117" spans="2:35" ht="13.35" customHeight="1">
      <c r="W117" s="1181">
        <f t="shared" si="33"/>
        <v>3</v>
      </c>
      <c r="X117" s="1164">
        <f>'Sell-down'!Z80/1000</f>
        <v>65201.023423423416</v>
      </c>
      <c r="Y117" s="1179">
        <f ca="1">'Sell-down'!AA80/1000</f>
        <v>1875</v>
      </c>
      <c r="Z117" s="1179">
        <f>'Sell-down'!AB80/1000</f>
        <v>0</v>
      </c>
      <c r="AA117" s="1164">
        <f t="shared" ca="1" si="34"/>
        <v>1875</v>
      </c>
      <c r="AB117" s="1182">
        <f t="shared" ca="1" si="37"/>
        <v>5.7514434637736304E-2</v>
      </c>
      <c r="AD117" s="1181">
        <f t="shared" si="35"/>
        <v>3</v>
      </c>
      <c r="AE117" s="1164">
        <f>'Report-sj'!J405</f>
        <v>65900</v>
      </c>
      <c r="AF117" s="1179">
        <f ca="1">'Report-sj'!F405</f>
        <v>1160.3087775758745</v>
      </c>
      <c r="AG117" s="1179">
        <f>'Report-sj'!G405</f>
        <v>0</v>
      </c>
      <c r="AH117" s="1164">
        <f t="shared" ca="1" si="36"/>
        <v>1160.3087775758745</v>
      </c>
      <c r="AI117" s="1182">
        <f t="shared" ca="1" si="38"/>
        <v>3.521422693705234E-2</v>
      </c>
    </row>
    <row r="118" spans="2:35" ht="13.35" customHeight="1">
      <c r="W118" s="1181">
        <f t="shared" si="33"/>
        <v>4</v>
      </c>
      <c r="X118" s="1164">
        <f>'Sell-down'!Z81/1000</f>
        <v>65201.023423423416</v>
      </c>
      <c r="Y118" s="1179">
        <f ca="1">'Sell-down'!AA81/1000</f>
        <v>1875</v>
      </c>
      <c r="Z118" s="1179">
        <f>'Sell-down'!AB81/1000</f>
        <v>0</v>
      </c>
      <c r="AA118" s="1164">
        <f t="shared" ca="1" si="34"/>
        <v>1875</v>
      </c>
      <c r="AB118" s="1182">
        <f t="shared" ca="1" si="37"/>
        <v>5.7514434637736304E-2</v>
      </c>
      <c r="AD118" s="1181">
        <f t="shared" si="35"/>
        <v>4</v>
      </c>
      <c r="AE118" s="1164">
        <f>'Report-sj'!J406</f>
        <v>65900</v>
      </c>
      <c r="AF118" s="1179">
        <f ca="1">'Report-sj'!F406</f>
        <v>1578.9757674177997</v>
      </c>
      <c r="AG118" s="1179">
        <f>'Report-sj'!G406</f>
        <v>0</v>
      </c>
      <c r="AH118" s="1164">
        <f t="shared" ca="1" si="36"/>
        <v>1578.9757674177997</v>
      </c>
      <c r="AI118" s="1182">
        <f t="shared" ca="1" si="38"/>
        <v>4.7920357129523514E-2</v>
      </c>
    </row>
    <row r="119" spans="2:35" ht="13.35" customHeight="1">
      <c r="W119" s="1181">
        <f t="shared" si="33"/>
        <v>5</v>
      </c>
      <c r="X119" s="1164">
        <f>'Sell-down'!Z82/1000</f>
        <v>89561.060036695722</v>
      </c>
      <c r="Y119" s="1179">
        <f ca="1">'Sell-down'!AA82/1000</f>
        <v>2715</v>
      </c>
      <c r="Z119" s="1179">
        <f>'Sell-down'!AB82/1000</f>
        <v>0</v>
      </c>
      <c r="AA119" s="1164">
        <f t="shared" ca="1" si="34"/>
        <v>2715</v>
      </c>
      <c r="AB119" s="1182">
        <f t="shared" ca="1" si="37"/>
        <v>6.0629027813819687E-2</v>
      </c>
      <c r="AD119" s="1181">
        <f t="shared" si="35"/>
        <v>5</v>
      </c>
      <c r="AE119" s="1164">
        <f>'Report-sj'!J407</f>
        <v>90428</v>
      </c>
      <c r="AF119" s="1179">
        <f ca="1">'Report-sj'!F407</f>
        <v>1520.4675732215708</v>
      </c>
      <c r="AG119" s="1179">
        <f>'Report-sj'!G407</f>
        <v>0</v>
      </c>
      <c r="AH119" s="1164">
        <f t="shared" ca="1" si="36"/>
        <v>1520.4675732215708</v>
      </c>
      <c r="AI119" s="1182">
        <f t="shared" ca="1" si="38"/>
        <v>3.3628247295562672E-2</v>
      </c>
    </row>
    <row r="120" spans="2:35" ht="13.35" customHeight="1">
      <c r="W120" s="1181">
        <f t="shared" si="33"/>
        <v>6</v>
      </c>
      <c r="X120" s="1164">
        <f>'Sell-down'!Z83/1000</f>
        <v>89561.060036695722</v>
      </c>
      <c r="Y120" s="1179">
        <f ca="1">'Sell-down'!AA83/1000</f>
        <v>2715</v>
      </c>
      <c r="Z120" s="1179">
        <f>'Sell-down'!AB83/1000</f>
        <v>0</v>
      </c>
      <c r="AA120" s="1164">
        <f t="shared" ca="1" si="34"/>
        <v>2715</v>
      </c>
      <c r="AB120" s="1182">
        <f t="shared" ca="1" si="37"/>
        <v>6.0629027813819687E-2</v>
      </c>
      <c r="AD120" s="1181">
        <f t="shared" si="35"/>
        <v>6</v>
      </c>
      <c r="AE120" s="1164">
        <f>'Report-sj'!J408</f>
        <v>90428</v>
      </c>
      <c r="AF120" s="1179">
        <f ca="1">'Report-sj'!F408</f>
        <v>0</v>
      </c>
      <c r="AG120" s="1179">
        <f>'Report-sj'!G408</f>
        <v>0</v>
      </c>
      <c r="AH120" s="1164">
        <f t="shared" ca="1" si="36"/>
        <v>0</v>
      </c>
      <c r="AI120" s="1182">
        <f t="shared" ca="1" si="38"/>
        <v>0</v>
      </c>
    </row>
    <row r="121" spans="2:35" ht="13.35" customHeight="1">
      <c r="W121" s="1181">
        <f t="shared" si="33"/>
        <v>7</v>
      </c>
      <c r="X121" s="1164">
        <f>'Sell-down'!Z84/1000</f>
        <v>89561.060036695722</v>
      </c>
      <c r="Y121" s="1179">
        <f ca="1">'Sell-down'!AA84/1000</f>
        <v>2602.4720129412685</v>
      </c>
      <c r="Z121" s="1179">
        <f>'Sell-down'!AB84/1000</f>
        <v>0</v>
      </c>
      <c r="AA121" s="1164">
        <f t="shared" ca="1" si="34"/>
        <v>2602.4720129412685</v>
      </c>
      <c r="AB121" s="1182">
        <f t="shared" ca="1" si="37"/>
        <v>5.8116150297349352E-2</v>
      </c>
      <c r="AD121" s="1181">
        <f t="shared" si="35"/>
        <v>7</v>
      </c>
      <c r="AE121" s="1164">
        <f>'Report-sj'!J409</f>
        <v>90428</v>
      </c>
      <c r="AF121" s="1179">
        <f ca="1">'Report-sj'!F409</f>
        <v>0</v>
      </c>
      <c r="AG121" s="1179">
        <f>'Report-sj'!G409</f>
        <v>0</v>
      </c>
      <c r="AH121" s="1164">
        <f t="shared" ca="1" si="36"/>
        <v>0</v>
      </c>
      <c r="AI121" s="1182">
        <f t="shared" ca="1" si="38"/>
        <v>0</v>
      </c>
    </row>
    <row r="122" spans="2:35" ht="13.35" customHeight="1">
      <c r="W122" s="1181">
        <f t="shared" si="33"/>
        <v>8</v>
      </c>
      <c r="X122" s="1164">
        <f>'Sell-down'!Z85/1000</f>
        <v>89561.060036695722</v>
      </c>
      <c r="Y122" s="1179">
        <f ca="1">'Sell-down'!AA85/1000</f>
        <v>2353.2919989280103</v>
      </c>
      <c r="Z122" s="1179">
        <f>'Sell-down'!AB85/1000</f>
        <v>0</v>
      </c>
      <c r="AA122" s="1164">
        <f t="shared" ca="1" si="34"/>
        <v>2353.2919989280103</v>
      </c>
      <c r="AB122" s="1182">
        <f t="shared" ca="1" si="37"/>
        <v>5.2551678105725849E-2</v>
      </c>
      <c r="AD122" s="1181">
        <f t="shared" si="35"/>
        <v>8</v>
      </c>
      <c r="AE122" s="1164">
        <f>'Report-sj'!J410</f>
        <v>90428</v>
      </c>
      <c r="AF122" s="1179">
        <f ca="1">'Report-sj'!F410</f>
        <v>711.92139496518303</v>
      </c>
      <c r="AG122" s="1179">
        <f>'Report-sj'!G410</f>
        <v>0</v>
      </c>
      <c r="AH122" s="1164">
        <f t="shared" ca="1" si="36"/>
        <v>711.92139496518303</v>
      </c>
      <c r="AI122" s="1182">
        <f t="shared" ca="1" si="38"/>
        <v>1.5745596385305059E-2</v>
      </c>
    </row>
    <row r="123" spans="2:35" ht="13.35" customHeight="1">
      <c r="W123" s="1181">
        <f t="shared" si="33"/>
        <v>9</v>
      </c>
      <c r="X123" s="1164">
        <f>'Sell-down'!Z86/1000</f>
        <v>89561.060036695722</v>
      </c>
      <c r="Y123" s="1179">
        <f ca="1">'Sell-down'!AA86/1000</f>
        <v>2105.5414966859471</v>
      </c>
      <c r="Z123" s="1179">
        <f>'Sell-down'!AB86/1000</f>
        <v>0</v>
      </c>
      <c r="AA123" s="1164">
        <f t="shared" ca="1" si="34"/>
        <v>2105.5414966859471</v>
      </c>
      <c r="AB123" s="1182">
        <f t="shared" ca="1" si="37"/>
        <v>4.7019128532494965E-2</v>
      </c>
      <c r="AD123" s="1181">
        <f t="shared" si="35"/>
        <v>9</v>
      </c>
      <c r="AE123" s="1164">
        <f>'Report-sj'!J411</f>
        <v>90428</v>
      </c>
      <c r="AF123" s="1179">
        <f ca="1">'Report-sj'!F411</f>
        <v>2218.3352526325612</v>
      </c>
      <c r="AG123" s="1179">
        <f>'Report-sj'!G411</f>
        <v>0</v>
      </c>
      <c r="AH123" s="1164">
        <f t="shared" ca="1" si="36"/>
        <v>2218.3352526325612</v>
      </c>
      <c r="AI123" s="1182">
        <f t="shared" ca="1" si="38"/>
        <v>4.9063017044113796E-2</v>
      </c>
    </row>
    <row r="124" spans="2:35" ht="13.35" customHeight="1">
      <c r="W124" s="1181">
        <f t="shared" si="33"/>
        <v>10</v>
      </c>
      <c r="X124" s="1164">
        <f>'Sell-down'!Z87/1000</f>
        <v>89561.060036695722</v>
      </c>
      <c r="Y124" s="1179">
        <f ca="1">'Sell-down'!AA87/1000</f>
        <v>2562.478435585439</v>
      </c>
      <c r="Z124" s="1179">
        <f>'Sell-down'!AB87/1000</f>
        <v>0</v>
      </c>
      <c r="AA124" s="1164">
        <f t="shared" ca="1" si="34"/>
        <v>2562.478435585439</v>
      </c>
      <c r="AB124" s="1182">
        <f t="shared" ca="1" si="37"/>
        <v>5.7223048376951288E-2</v>
      </c>
      <c r="AD124" s="1181">
        <f t="shared" si="35"/>
        <v>10</v>
      </c>
      <c r="AE124" s="1164">
        <f>'Report-sj'!J412</f>
        <v>90428</v>
      </c>
      <c r="AF124" s="1179">
        <f ca="1">'Report-sj'!F412</f>
        <v>2446.8457832258928</v>
      </c>
      <c r="AG124" s="1179">
        <f>'Report-sj'!G412</f>
        <v>0</v>
      </c>
      <c r="AH124" s="1164">
        <f t="shared" ca="1" si="36"/>
        <v>2446.8457832258928</v>
      </c>
      <c r="AI124" s="1182">
        <f t="shared" ca="1" si="38"/>
        <v>5.4116994365150016E-2</v>
      </c>
    </row>
    <row r="125" spans="2:35" ht="13.35" customHeight="1" thickBot="1">
      <c r="W125" s="1181">
        <f t="shared" si="33"/>
        <v>11</v>
      </c>
      <c r="X125" s="1164">
        <f>'Sell-down'!Z88/1000</f>
        <v>89561.060036695722</v>
      </c>
      <c r="Y125" s="1179">
        <f ca="1">'Sell-down'!AA88/1000</f>
        <v>2645.6477403300546</v>
      </c>
      <c r="Z125" s="1179">
        <f>'Sell-down'!AB88/1000</f>
        <v>0</v>
      </c>
      <c r="AA125" s="1164">
        <f t="shared" ca="1" si="34"/>
        <v>2645.6477403300546</v>
      </c>
      <c r="AB125" s="1182">
        <f t="shared" ca="1" si="37"/>
        <v>5.9080313235373882E-2</v>
      </c>
      <c r="AD125" s="1181">
        <f t="shared" si="35"/>
        <v>11</v>
      </c>
      <c r="AE125" s="1164">
        <f>'Report-sj'!J413</f>
        <v>90428</v>
      </c>
      <c r="AF125" s="1179">
        <f ca="1">'Report-sj'!F413</f>
        <v>2753.511745924804</v>
      </c>
      <c r="AG125" s="1179">
        <f>'Report-sj'!G413</f>
        <v>0</v>
      </c>
      <c r="AH125" s="1164">
        <f t="shared" ca="1" si="36"/>
        <v>2753.511745924804</v>
      </c>
      <c r="AI125" s="1182">
        <f t="shared" ca="1" si="38"/>
        <v>6.0899538769513956E-2</v>
      </c>
    </row>
    <row r="126" spans="2:35" ht="13.35" customHeight="1">
      <c r="B126" s="1175" t="s">
        <v>619</v>
      </c>
      <c r="C126" s="1176" t="s">
        <v>259</v>
      </c>
      <c r="D126" s="1176" t="s">
        <v>261</v>
      </c>
      <c r="E126" s="1176" t="s">
        <v>666</v>
      </c>
      <c r="F126" s="1176" t="s">
        <v>59</v>
      </c>
      <c r="G126" s="1177" t="s">
        <v>263</v>
      </c>
      <c r="I126" s="1175" t="s">
        <v>619</v>
      </c>
      <c r="J126" s="1176" t="s">
        <v>259</v>
      </c>
      <c r="K126" s="1176" t="s">
        <v>261</v>
      </c>
      <c r="L126" s="1176" t="s">
        <v>666</v>
      </c>
      <c r="M126" s="1176" t="s">
        <v>59</v>
      </c>
      <c r="N126" s="1177" t="s">
        <v>263</v>
      </c>
      <c r="W126" s="1181">
        <f t="shared" si="33"/>
        <v>12</v>
      </c>
      <c r="X126" s="1164">
        <f>'Sell-down'!Z89/1000</f>
        <v>89561.060036695722</v>
      </c>
      <c r="Y126" s="1179">
        <f ca="1">'Sell-down'!AA89/1000</f>
        <v>3098.497346219398</v>
      </c>
      <c r="Z126" s="1179">
        <f>'Sell-down'!AB89/1000</f>
        <v>0</v>
      </c>
      <c r="AA126" s="1164">
        <f t="shared" ca="1" si="34"/>
        <v>3098.497346219398</v>
      </c>
      <c r="AB126" s="1182">
        <f t="shared" ca="1" si="37"/>
        <v>6.9192958300177673E-2</v>
      </c>
      <c r="AD126" s="1181">
        <f t="shared" si="35"/>
        <v>12</v>
      </c>
      <c r="AE126" s="1164">
        <f>'Report-sj'!J414</f>
        <v>90428</v>
      </c>
      <c r="AF126" s="1179">
        <f ca="1">'Report-sj'!F414</f>
        <v>2987.7350397829691</v>
      </c>
      <c r="AG126" s="1179">
        <f>'Report-sj'!G414</f>
        <v>0</v>
      </c>
      <c r="AH126" s="1164">
        <f t="shared" ca="1" si="36"/>
        <v>2987.7350397829691</v>
      </c>
      <c r="AI126" s="1182">
        <f t="shared" ca="1" si="38"/>
        <v>6.6079865523576087E-2</v>
      </c>
    </row>
    <row r="127" spans="2:35" ht="13.35" customHeight="1">
      <c r="B127" s="1181">
        <f>'Sell-down'!M77</f>
        <v>0</v>
      </c>
      <c r="C127" s="1164">
        <f>'Sell-down'!N77/1000</f>
        <v>0</v>
      </c>
      <c r="D127" s="1179">
        <f ca="1">'Sell-down'!O77/1000</f>
        <v>0</v>
      </c>
      <c r="E127" s="1179">
        <f>'Sell-down'!P77/1000</f>
        <v>0</v>
      </c>
      <c r="F127" s="1164">
        <f ca="1">SUM(D127:E127)</f>
        <v>0</v>
      </c>
      <c r="G127" s="1680">
        <f>'Sell-down'!Q77</f>
        <v>0</v>
      </c>
      <c r="I127" s="1181">
        <f>B127</f>
        <v>0</v>
      </c>
      <c r="J127" s="1164">
        <f>'Sell-down'!V77/1000</f>
        <v>0</v>
      </c>
      <c r="K127" s="1179">
        <f ca="1">'Sell-down'!W77/1000</f>
        <v>0</v>
      </c>
      <c r="L127" s="1179">
        <f>'Sell-down'!X77/1000</f>
        <v>0</v>
      </c>
      <c r="M127" s="1164">
        <f ca="1">SUM(K127:L127)</f>
        <v>0</v>
      </c>
      <c r="N127" s="1680">
        <f>'Sell-down'!Y77</f>
        <v>0</v>
      </c>
      <c r="W127" s="1181">
        <f t="shared" si="33"/>
        <v>13</v>
      </c>
      <c r="X127" s="1164">
        <f>'Sell-down'!Z90/1000</f>
        <v>89561.060036695722</v>
      </c>
      <c r="Y127" s="1179">
        <f ca="1">'Sell-down'!AA90/1000</f>
        <v>2871.2131788212532</v>
      </c>
      <c r="Z127" s="1179">
        <f>'Sell-down'!AB90/1000</f>
        <v>0</v>
      </c>
      <c r="AA127" s="1164">
        <f t="shared" ca="1" si="34"/>
        <v>2871.2131788212532</v>
      </c>
      <c r="AB127" s="1182">
        <f t="shared" ca="1" si="37"/>
        <v>6.411744518532575E-2</v>
      </c>
      <c r="AD127" s="1181">
        <f t="shared" si="35"/>
        <v>13</v>
      </c>
      <c r="AE127" s="1164">
        <f>'Report-sj'!J415</f>
        <v>90428</v>
      </c>
      <c r="AF127" s="1179">
        <f ca="1">'Report-sj'!F415</f>
        <v>2974.2250160240446</v>
      </c>
      <c r="AG127" s="1179">
        <f>'Report-sj'!G415</f>
        <v>0</v>
      </c>
      <c r="AH127" s="1164">
        <f t="shared" ca="1" si="36"/>
        <v>2974.2250160240446</v>
      </c>
      <c r="AI127" s="1182">
        <f t="shared" ca="1" si="38"/>
        <v>6.5781063741850859E-2</v>
      </c>
    </row>
    <row r="128" spans="2:35" ht="13.35" customHeight="1">
      <c r="B128" s="1181">
        <f>'Sell-down'!M78</f>
        <v>1</v>
      </c>
      <c r="C128" s="1164">
        <f>'Sell-down'!N78/1000</f>
        <v>0</v>
      </c>
      <c r="D128" s="1179">
        <f ca="1">'Sell-down'!O78/1000</f>
        <v>0</v>
      </c>
      <c r="E128" s="1179">
        <f>'Sell-down'!P78/1000</f>
        <v>0</v>
      </c>
      <c r="F128" s="1164">
        <f t="shared" ref="F128:F147" ca="1" si="39">SUM(D128:E128)</f>
        <v>0</v>
      </c>
      <c r="G128" s="1680">
        <f ca="1">'Sell-down'!Q78</f>
        <v>0</v>
      </c>
      <c r="I128" s="1181">
        <f t="shared" ref="I128:I147" si="40">B128</f>
        <v>1</v>
      </c>
      <c r="J128" s="1164">
        <f>'Sell-down'!V78/1000</f>
        <v>14800</v>
      </c>
      <c r="K128" s="1179">
        <f ca="1">'Sell-down'!W78/1000</f>
        <v>555</v>
      </c>
      <c r="L128" s="1179">
        <f>'Sell-down'!X78/1000</f>
        <v>0</v>
      </c>
      <c r="M128" s="1164">
        <f t="shared" ref="M128:M147" ca="1" si="41">SUM(K128:L128)</f>
        <v>555</v>
      </c>
      <c r="N128" s="1680">
        <f ca="1">'Sell-down'!Y78</f>
        <v>7.4999999999999997E-2</v>
      </c>
      <c r="W128" s="1181">
        <f t="shared" si="33"/>
        <v>14</v>
      </c>
      <c r="X128" s="1164">
        <f>'Sell-down'!Z91/1000</f>
        <v>89561.060036695722</v>
      </c>
      <c r="Y128" s="1179">
        <f ca="1">'Sell-down'!AA91/1000</f>
        <v>3320.2746567853596</v>
      </c>
      <c r="Z128" s="1179">
        <f>'Sell-down'!AB91/1000</f>
        <v>0</v>
      </c>
      <c r="AA128" s="1164">
        <f t="shared" ca="1" si="34"/>
        <v>3320.2746567853596</v>
      </c>
      <c r="AB128" s="1182">
        <f t="shared" ca="1" si="37"/>
        <v>7.4145497059211862E-2</v>
      </c>
      <c r="AD128" s="1181">
        <f t="shared" si="35"/>
        <v>14</v>
      </c>
      <c r="AE128" s="1164">
        <f>'Report-sj'!J416</f>
        <v>90428</v>
      </c>
      <c r="AF128" s="1179">
        <f ca="1">'Report-sj'!F416</f>
        <v>3214.303892228666</v>
      </c>
      <c r="AG128" s="1179">
        <f>'Report-sj'!G416</f>
        <v>0</v>
      </c>
      <c r="AH128" s="1164">
        <f t="shared" ca="1" si="36"/>
        <v>3214.303892228666</v>
      </c>
      <c r="AI128" s="1182">
        <f t="shared" ca="1" si="38"/>
        <v>7.109089866476459E-2</v>
      </c>
    </row>
    <row r="129" spans="2:35" ht="13.35" customHeight="1">
      <c r="B129" s="1181">
        <f>'Sell-down'!M79</f>
        <v>2</v>
      </c>
      <c r="C129" s="1164">
        <f>'Sell-down'!N79/1000</f>
        <v>0</v>
      </c>
      <c r="D129" s="1179">
        <f ca="1">'Sell-down'!O79/1000</f>
        <v>0</v>
      </c>
      <c r="E129" s="1179">
        <f>'Sell-down'!P79/1000</f>
        <v>0</v>
      </c>
      <c r="F129" s="1164">
        <f t="shared" ca="1" si="39"/>
        <v>0</v>
      </c>
      <c r="G129" s="1680">
        <f ca="1">'Sell-down'!Q79</f>
        <v>0</v>
      </c>
      <c r="I129" s="1181">
        <f t="shared" si="40"/>
        <v>2</v>
      </c>
      <c r="J129" s="1164">
        <f>'Sell-down'!V79/1000</f>
        <v>14800</v>
      </c>
      <c r="K129" s="1179">
        <f ca="1">'Sell-down'!W79/1000</f>
        <v>555</v>
      </c>
      <c r="L129" s="1179">
        <f>'Sell-down'!X79/1000</f>
        <v>0</v>
      </c>
      <c r="M129" s="1164">
        <f t="shared" ca="1" si="41"/>
        <v>555</v>
      </c>
      <c r="N129" s="1680">
        <f ca="1">'Sell-down'!Y79</f>
        <v>7.4999999999999997E-2</v>
      </c>
      <c r="W129" s="1181">
        <f t="shared" si="33"/>
        <v>15</v>
      </c>
      <c r="X129" s="1164">
        <f>'Sell-down'!Z92/1000</f>
        <v>89561.060036695722</v>
      </c>
      <c r="Y129" s="1179">
        <f ca="1">'Sell-down'!AA92/1000</f>
        <v>2875.5831337032691</v>
      </c>
      <c r="Z129" s="1179">
        <f>'Sell-down'!AB92/1000</f>
        <v>0</v>
      </c>
      <c r="AA129" s="1164">
        <f t="shared" ca="1" si="34"/>
        <v>2875.5831337032691</v>
      </c>
      <c r="AB129" s="1182">
        <f t="shared" ca="1" si="37"/>
        <v>6.4215031231766584E-2</v>
      </c>
      <c r="AD129" s="1181">
        <f t="shared" si="35"/>
        <v>15</v>
      </c>
      <c r="AE129" s="1164">
        <f>'Report-sj'!J417</f>
        <v>90428</v>
      </c>
      <c r="AF129" s="1179">
        <f ca="1">'Report-sj'!F417</f>
        <v>3200.1100758641778</v>
      </c>
      <c r="AG129" s="1179">
        <f>'Report-sj'!G417</f>
        <v>0</v>
      </c>
      <c r="AH129" s="1164">
        <f t="shared" ca="1" si="36"/>
        <v>3200.1100758641778</v>
      </c>
      <c r="AI129" s="1182">
        <f t="shared" ca="1" si="38"/>
        <v>7.077697341230986E-2</v>
      </c>
    </row>
    <row r="130" spans="2:35" ht="13.35" customHeight="1">
      <c r="B130" s="1181">
        <f>'Sell-down'!M80</f>
        <v>3</v>
      </c>
      <c r="C130" s="1164">
        <f>'Sell-down'!N80/1000</f>
        <v>0</v>
      </c>
      <c r="D130" s="1179">
        <f ca="1">'Sell-down'!O80/1000</f>
        <v>0</v>
      </c>
      <c r="E130" s="1179">
        <f>'Sell-down'!P80/1000</f>
        <v>0</v>
      </c>
      <c r="F130" s="1164">
        <f t="shared" ca="1" si="39"/>
        <v>0</v>
      </c>
      <c r="G130" s="1680">
        <f ca="1">'Sell-down'!Q80</f>
        <v>0</v>
      </c>
      <c r="I130" s="1181">
        <f t="shared" si="40"/>
        <v>3</v>
      </c>
      <c r="J130" s="1164">
        <f>'Sell-down'!V80/1000</f>
        <v>14800</v>
      </c>
      <c r="K130" s="1179">
        <f ca="1">'Sell-down'!W80/1000</f>
        <v>0</v>
      </c>
      <c r="L130" s="1179">
        <f>'Sell-down'!X80/1000</f>
        <v>0</v>
      </c>
      <c r="M130" s="1164">
        <f t="shared" ca="1" si="41"/>
        <v>0</v>
      </c>
      <c r="N130" s="1680">
        <f ca="1">'Sell-down'!Y80</f>
        <v>0</v>
      </c>
      <c r="W130" s="1181">
        <f t="shared" si="33"/>
        <v>16</v>
      </c>
      <c r="X130" s="1164">
        <f>'Sell-down'!Z93/1000</f>
        <v>89561.060036695722</v>
      </c>
      <c r="Y130" s="1179">
        <f ca="1">'Sell-down'!AA93/1000</f>
        <v>2715</v>
      </c>
      <c r="Z130" s="1179">
        <f>'Sell-down'!AB93/1000</f>
        <v>0</v>
      </c>
      <c r="AA130" s="1164">
        <f t="shared" ca="1" si="34"/>
        <v>2715</v>
      </c>
      <c r="AB130" s="1182">
        <f t="shared" ca="1" si="37"/>
        <v>6.0629027813819687E-2</v>
      </c>
      <c r="AD130" s="1181">
        <f t="shared" si="35"/>
        <v>16</v>
      </c>
      <c r="AE130" s="1164">
        <f>'Report-sj'!J418</f>
        <v>90428</v>
      </c>
      <c r="AF130" s="1179">
        <f ca="1">'Report-sj'!F418</f>
        <v>2547.7026972966128</v>
      </c>
      <c r="AG130" s="1179">
        <f>'Report-sj'!G418</f>
        <v>0</v>
      </c>
      <c r="AH130" s="1164">
        <f t="shared" ca="1" si="36"/>
        <v>2547.7026972966128</v>
      </c>
      <c r="AI130" s="1182">
        <f t="shared" ca="1" si="38"/>
        <v>5.634765111020066E-2</v>
      </c>
    </row>
    <row r="131" spans="2:35" ht="13.35" customHeight="1">
      <c r="B131" s="1181">
        <f>'Sell-down'!M81</f>
        <v>4</v>
      </c>
      <c r="C131" s="1164">
        <f>'Sell-down'!N81/1000</f>
        <v>0</v>
      </c>
      <c r="D131" s="1179">
        <f ca="1">'Sell-down'!O81/1000</f>
        <v>0</v>
      </c>
      <c r="E131" s="1179">
        <f>'Sell-down'!P81/1000</f>
        <v>0</v>
      </c>
      <c r="F131" s="1164">
        <f t="shared" ca="1" si="39"/>
        <v>0</v>
      </c>
      <c r="G131" s="1680">
        <f ca="1">'Sell-down'!Q81</f>
        <v>0</v>
      </c>
      <c r="I131" s="1181">
        <f t="shared" si="40"/>
        <v>4</v>
      </c>
      <c r="J131" s="1164">
        <f>'Sell-down'!V81/1000</f>
        <v>14800</v>
      </c>
      <c r="K131" s="1179">
        <f ca="1">'Sell-down'!W81/1000</f>
        <v>0</v>
      </c>
      <c r="L131" s="1179">
        <f>'Sell-down'!X81/1000</f>
        <v>0</v>
      </c>
      <c r="M131" s="1164">
        <f t="shared" ca="1" si="41"/>
        <v>0</v>
      </c>
      <c r="N131" s="1680">
        <f ca="1">'Sell-down'!Y81</f>
        <v>0</v>
      </c>
      <c r="W131" s="1181">
        <f t="shared" si="33"/>
        <v>17</v>
      </c>
      <c r="X131" s="1164">
        <f>'Sell-down'!Z94/1000</f>
        <v>89561.060036695722</v>
      </c>
      <c r="Y131" s="1179">
        <f ca="1">'Sell-down'!AA94/1000</f>
        <v>2715</v>
      </c>
      <c r="Z131" s="1179">
        <f>'Sell-down'!AB94/1000</f>
        <v>0</v>
      </c>
      <c r="AA131" s="1164">
        <f t="shared" ca="1" si="34"/>
        <v>2715</v>
      </c>
      <c r="AB131" s="1182">
        <f t="shared" ca="1" si="37"/>
        <v>6.0629027813819687E-2</v>
      </c>
      <c r="AD131" s="1181">
        <f t="shared" si="35"/>
        <v>17</v>
      </c>
      <c r="AE131" s="1164">
        <f>'Report-sj'!J419</f>
        <v>90428</v>
      </c>
      <c r="AF131" s="1179">
        <f ca="1">'Report-sj'!F419</f>
        <v>3244.0479855807271</v>
      </c>
      <c r="AG131" s="1179">
        <f>'Report-sj'!G419</f>
        <v>0</v>
      </c>
      <c r="AH131" s="1164">
        <f t="shared" ca="1" si="36"/>
        <v>3244.0479855807271</v>
      </c>
      <c r="AI131" s="1182">
        <f t="shared" ca="1" si="38"/>
        <v>7.174875006813658E-2</v>
      </c>
    </row>
    <row r="132" spans="2:35" ht="13.35" customHeight="1">
      <c r="B132" s="1181">
        <f>'Sell-down'!M82</f>
        <v>5</v>
      </c>
      <c r="C132" s="1164">
        <f>'Sell-down'!N82/1000</f>
        <v>24360.036613272307</v>
      </c>
      <c r="D132" s="1179">
        <f ca="1">'Sell-down'!O82/1000</f>
        <v>840.00000000000011</v>
      </c>
      <c r="E132" s="1179">
        <f>'Sell-down'!P82/1000</f>
        <v>0</v>
      </c>
      <c r="F132" s="1164">
        <f t="shared" ca="1" si="39"/>
        <v>840.00000000000011</v>
      </c>
      <c r="G132" s="1680">
        <f ca="1">'Sell-down'!Q82</f>
        <v>6.8965413585818272E-2</v>
      </c>
      <c r="I132" s="1181">
        <f t="shared" si="40"/>
        <v>5</v>
      </c>
      <c r="J132" s="1164">
        <f>'Sell-down'!V82/1000</f>
        <v>14800</v>
      </c>
      <c r="K132" s="1179">
        <f ca="1">'Sell-down'!W82/1000</f>
        <v>0</v>
      </c>
      <c r="L132" s="1179">
        <f>'Sell-down'!X82/1000</f>
        <v>0</v>
      </c>
      <c r="M132" s="1164">
        <f t="shared" ca="1" si="41"/>
        <v>0</v>
      </c>
      <c r="N132" s="1680">
        <f ca="1">'Sell-down'!Y82</f>
        <v>0</v>
      </c>
      <c r="W132" s="1181">
        <f t="shared" si="33"/>
        <v>18</v>
      </c>
      <c r="X132" s="1164">
        <f>'Sell-down'!Z95/1000</f>
        <v>89561.060036695722</v>
      </c>
      <c r="Y132" s="1179">
        <f ca="1">'Sell-down'!AA95/1000</f>
        <v>2715</v>
      </c>
      <c r="Z132" s="1179">
        <f>'Sell-down'!AB95/1000</f>
        <v>0</v>
      </c>
      <c r="AA132" s="1164">
        <f t="shared" ca="1" si="34"/>
        <v>2715</v>
      </c>
      <c r="AB132" s="1182">
        <f t="shared" ca="1" si="37"/>
        <v>6.0629027813819687E-2</v>
      </c>
      <c r="AD132" s="1181">
        <f t="shared" si="35"/>
        <v>18</v>
      </c>
      <c r="AE132" s="1164">
        <f>'Report-sj'!J420</f>
        <v>90428</v>
      </c>
      <c r="AF132" s="1179">
        <f ca="1">'Report-sj'!F420</f>
        <v>3459.3763884551076</v>
      </c>
      <c r="AG132" s="1179">
        <f>'Report-sj'!G420</f>
        <v>0</v>
      </c>
      <c r="AH132" s="1164">
        <f t="shared" ca="1" si="36"/>
        <v>3459.3763884551076</v>
      </c>
      <c r="AI132" s="1182">
        <f t="shared" ca="1" si="38"/>
        <v>7.651117769839226E-2</v>
      </c>
    </row>
    <row r="133" spans="2:35" ht="13.35" customHeight="1">
      <c r="B133" s="1181">
        <f>'Sell-down'!M83</f>
        <v>6</v>
      </c>
      <c r="C133" s="1164">
        <f>'Sell-down'!N83/1000</f>
        <v>24360.036613272307</v>
      </c>
      <c r="D133" s="1179">
        <f ca="1">'Sell-down'!O83/1000</f>
        <v>840.00000000000011</v>
      </c>
      <c r="E133" s="1179">
        <f>'Sell-down'!P83/1000</f>
        <v>0</v>
      </c>
      <c r="F133" s="1164">
        <f t="shared" ca="1" si="39"/>
        <v>840.00000000000011</v>
      </c>
      <c r="G133" s="1680">
        <f ca="1">'Sell-down'!Q83</f>
        <v>6.8965413585818272E-2</v>
      </c>
      <c r="I133" s="1181">
        <f t="shared" si="40"/>
        <v>6</v>
      </c>
      <c r="J133" s="1164">
        <f>'Sell-down'!V83/1000</f>
        <v>14800</v>
      </c>
      <c r="K133" s="1179">
        <f ca="1">'Sell-down'!W83/1000</f>
        <v>0</v>
      </c>
      <c r="L133" s="1179">
        <f>'Sell-down'!X83/1000</f>
        <v>0</v>
      </c>
      <c r="M133" s="1164">
        <f t="shared" ca="1" si="41"/>
        <v>0</v>
      </c>
      <c r="N133" s="1680">
        <f ca="1">'Sell-down'!Y83</f>
        <v>0</v>
      </c>
      <c r="W133" s="1181">
        <f t="shared" si="33"/>
        <v>19</v>
      </c>
      <c r="X133" s="1164">
        <f>'Sell-down'!Z96/1000</f>
        <v>89561.060036695722</v>
      </c>
      <c r="Y133" s="1179">
        <f ca="1">'Sell-down'!AA96/1000</f>
        <v>2715</v>
      </c>
      <c r="Z133" s="1179">
        <f>'Sell-down'!AB96/1000</f>
        <v>0</v>
      </c>
      <c r="AA133" s="1164">
        <f t="shared" ca="1" si="34"/>
        <v>2715</v>
      </c>
      <c r="AB133" s="1182">
        <f t="shared" ca="1" si="37"/>
        <v>6.0629027813819687E-2</v>
      </c>
      <c r="AD133" s="1181">
        <f t="shared" si="35"/>
        <v>19</v>
      </c>
      <c r="AE133" s="1164">
        <f>'Report-sj'!J421</f>
        <v>90428</v>
      </c>
      <c r="AF133" s="1179">
        <f ca="1">'Report-sj'!F421</f>
        <v>3570.8529526719544</v>
      </c>
      <c r="AG133" s="1179">
        <f>'Report-sj'!G421</f>
        <v>0</v>
      </c>
      <c r="AH133" s="1164">
        <f t="shared" ca="1" si="36"/>
        <v>3570.8529526719544</v>
      </c>
      <c r="AI133" s="1182">
        <f t="shared" ca="1" si="38"/>
        <v>7.8976709706550061E-2</v>
      </c>
    </row>
    <row r="134" spans="2:35" ht="13.35" customHeight="1">
      <c r="B134" s="1181">
        <f>'Sell-down'!M84</f>
        <v>7</v>
      </c>
      <c r="C134" s="1164">
        <f>'Sell-down'!N84/1000</f>
        <v>24360.036613272307</v>
      </c>
      <c r="D134" s="1179">
        <f ca="1">'Sell-down'!O84/1000</f>
        <v>840.00000000000011</v>
      </c>
      <c r="E134" s="1179">
        <f>'Sell-down'!P84/1000</f>
        <v>0</v>
      </c>
      <c r="F134" s="1164">
        <f t="shared" ca="1" si="39"/>
        <v>840.00000000000011</v>
      </c>
      <c r="G134" s="1680">
        <f ca="1">'Sell-down'!Q84</f>
        <v>6.8965413585818272E-2</v>
      </c>
      <c r="I134" s="1181">
        <f t="shared" si="40"/>
        <v>7</v>
      </c>
      <c r="J134" s="1164">
        <f>'Sell-down'!V84/1000</f>
        <v>14800</v>
      </c>
      <c r="K134" s="1179">
        <f ca="1">'Sell-down'!W84/1000</f>
        <v>0</v>
      </c>
      <c r="L134" s="1179">
        <f>'Sell-down'!X84/1000</f>
        <v>0</v>
      </c>
      <c r="M134" s="1164">
        <f t="shared" ca="1" si="41"/>
        <v>0</v>
      </c>
      <c r="N134" s="1680">
        <f ca="1">'Sell-down'!Y84</f>
        <v>0</v>
      </c>
      <c r="W134" s="1181">
        <f t="shared" si="33"/>
        <v>20</v>
      </c>
      <c r="X134" s="1164">
        <f>'Sell-down'!Z97/1000</f>
        <v>89561.060036695722</v>
      </c>
      <c r="Y134" s="1179">
        <f ca="1">'Sell-down'!AA97/1000</f>
        <v>2715</v>
      </c>
      <c r="Z134" s="1179">
        <f>'Sell-down'!AB97/1000</f>
        <v>57997.006651138938</v>
      </c>
      <c r="AA134" s="1164">
        <f t="shared" ca="1" si="34"/>
        <v>60712.006651138938</v>
      </c>
      <c r="AB134" s="1182">
        <f t="shared" ca="1" si="37"/>
        <v>1.3557679336591928</v>
      </c>
      <c r="AD134" s="1181">
        <f t="shared" si="35"/>
        <v>20</v>
      </c>
      <c r="AE134" s="1164">
        <f>'Report-sj'!J422</f>
        <v>90428</v>
      </c>
      <c r="AF134" s="1179">
        <f ca="1">'Report-sj'!F422</f>
        <v>3697.3726921172929</v>
      </c>
      <c r="AG134" s="1179">
        <f ca="1">'Report-sj'!G422</f>
        <v>61983.828045317379</v>
      </c>
      <c r="AH134" s="1164">
        <f t="shared" ca="1" si="36"/>
        <v>65681.200737434672</v>
      </c>
      <c r="AI134" s="1182">
        <f t="shared" ca="1" si="38"/>
        <v>1.4526739668561657</v>
      </c>
    </row>
    <row r="135" spans="2:35" ht="13.35" customHeight="1">
      <c r="B135" s="1181">
        <f>'Sell-down'!M85</f>
        <v>8</v>
      </c>
      <c r="C135" s="1164">
        <f>'Sell-down'!N85/1000</f>
        <v>24360.036613272307</v>
      </c>
      <c r="D135" s="1179">
        <f ca="1">'Sell-down'!O85/1000</f>
        <v>840.00000000000011</v>
      </c>
      <c r="E135" s="1179">
        <f>'Sell-down'!P85/1000</f>
        <v>0</v>
      </c>
      <c r="F135" s="1164">
        <f t="shared" ca="1" si="39"/>
        <v>840.00000000000011</v>
      </c>
      <c r="G135" s="1680">
        <f ca="1">'Sell-down'!Q85</f>
        <v>6.8965413585818272E-2</v>
      </c>
      <c r="I135" s="1181">
        <f t="shared" si="40"/>
        <v>8</v>
      </c>
      <c r="J135" s="1164">
        <f>'Sell-down'!V85/1000</f>
        <v>14800</v>
      </c>
      <c r="K135" s="1179">
        <f ca="1">'Sell-down'!W85/1000</f>
        <v>0</v>
      </c>
      <c r="L135" s="1179">
        <f>'Sell-down'!X85/1000</f>
        <v>0</v>
      </c>
      <c r="M135" s="1164">
        <f t="shared" ca="1" si="41"/>
        <v>0</v>
      </c>
      <c r="N135" s="1680">
        <f ca="1">'Sell-down'!Y85</f>
        <v>0</v>
      </c>
      <c r="W135" s="1173" t="str">
        <f t="shared" si="33"/>
        <v>합계</v>
      </c>
      <c r="X135" s="1166">
        <f>SUM(X114:X134)/(120/6)</f>
        <v>81248.950371698927</v>
      </c>
      <c r="Y135" s="1180">
        <f t="shared" ref="Y135:AA135" ca="1" si="42">SUM(Y114:Y134)</f>
        <v>49500.000000000007</v>
      </c>
      <c r="Z135" s="1180">
        <f t="shared" si="42"/>
        <v>57997.006651138938</v>
      </c>
      <c r="AA135" s="1166">
        <f t="shared" ca="1" si="42"/>
        <v>107497.00665113895</v>
      </c>
      <c r="AB135" s="1178"/>
      <c r="AD135" s="1173" t="str">
        <f t="shared" si="35"/>
        <v>합계</v>
      </c>
      <c r="AE135" s="1166">
        <f>SUM(AE114:AE134)/(120/6)</f>
        <v>80412.399999999994</v>
      </c>
      <c r="AF135" s="1180">
        <f t="shared" ref="AF135:AH135" ca="1" si="43">SUM(AF114:AF134)</f>
        <v>43526.238642517274</v>
      </c>
      <c r="AG135" s="1180">
        <f t="shared" ca="1" si="43"/>
        <v>61983.828045317379</v>
      </c>
      <c r="AH135" s="1166">
        <f t="shared" ca="1" si="43"/>
        <v>105510.06668783465</v>
      </c>
      <c r="AI135" s="1178"/>
    </row>
    <row r="136" spans="2:35" ht="13.35" customHeight="1">
      <c r="B136" s="1181">
        <f>'Sell-down'!M86</f>
        <v>9</v>
      </c>
      <c r="C136" s="1164">
        <f>'Sell-down'!N86/1000</f>
        <v>24360.036613272307</v>
      </c>
      <c r="D136" s="1179">
        <f ca="1">'Sell-down'!O86/1000</f>
        <v>840.00000000000011</v>
      </c>
      <c r="E136" s="1179">
        <f>'Sell-down'!P86/1000</f>
        <v>0</v>
      </c>
      <c r="F136" s="1164">
        <f t="shared" ca="1" si="39"/>
        <v>840.00000000000011</v>
      </c>
      <c r="G136" s="1680">
        <f ca="1">'Sell-down'!Q86</f>
        <v>6.8965413585818272E-2</v>
      </c>
      <c r="I136" s="1181">
        <f t="shared" si="40"/>
        <v>9</v>
      </c>
      <c r="J136" s="1164">
        <f>'Sell-down'!V86/1000</f>
        <v>14800</v>
      </c>
      <c r="K136" s="1179">
        <f ca="1">'Sell-down'!W86/1000</f>
        <v>0</v>
      </c>
      <c r="L136" s="1179">
        <f>'Sell-down'!X86/1000</f>
        <v>0</v>
      </c>
      <c r="M136" s="1164">
        <f t="shared" ca="1" si="41"/>
        <v>0</v>
      </c>
      <c r="N136" s="1680">
        <f ca="1">'Sell-down'!Y86</f>
        <v>0</v>
      </c>
      <c r="W136" s="2481" t="str">
        <f t="shared" si="33"/>
        <v>투자금액</v>
      </c>
      <c r="X136" s="3109">
        <f>X134</f>
        <v>89561.060036695722</v>
      </c>
      <c r="Y136" s="3109"/>
      <c r="Z136" s="3109"/>
      <c r="AA136" s="3109"/>
      <c r="AB136" s="3109"/>
      <c r="AD136" s="2481" t="str">
        <f t="shared" si="35"/>
        <v>투자금액</v>
      </c>
      <c r="AE136" s="2481"/>
      <c r="AF136" s="2481"/>
      <c r="AG136" s="2481"/>
      <c r="AH136" s="2481"/>
      <c r="AI136" s="2481">
        <f>AE134</f>
        <v>90428</v>
      </c>
    </row>
    <row r="137" spans="2:35" ht="13.35" customHeight="1">
      <c r="B137" s="1181">
        <f>'Sell-down'!M87</f>
        <v>10</v>
      </c>
      <c r="C137" s="1164">
        <f>'Sell-down'!N87/1000</f>
        <v>24360.036613272307</v>
      </c>
      <c r="D137" s="1179">
        <f ca="1">'Sell-down'!O87/1000</f>
        <v>840.00000000000011</v>
      </c>
      <c r="E137" s="1179">
        <f>'Sell-down'!P87/1000</f>
        <v>0</v>
      </c>
      <c r="F137" s="1164">
        <f t="shared" ca="1" si="39"/>
        <v>840.00000000000011</v>
      </c>
      <c r="G137" s="1680">
        <f ca="1">'Sell-down'!Q87</f>
        <v>6.8965413585818272E-2</v>
      </c>
      <c r="I137" s="1181">
        <f t="shared" si="40"/>
        <v>10</v>
      </c>
      <c r="J137" s="1164">
        <f>'Sell-down'!V87/1000</f>
        <v>14800</v>
      </c>
      <c r="K137" s="1179">
        <f ca="1">'Sell-down'!W87/1000</f>
        <v>0</v>
      </c>
      <c r="L137" s="1179">
        <f>'Sell-down'!X87/1000</f>
        <v>0</v>
      </c>
      <c r="M137" s="1164">
        <f t="shared" ca="1" si="41"/>
        <v>0</v>
      </c>
      <c r="N137" s="1680">
        <f ca="1">'Sell-down'!Y87</f>
        <v>0</v>
      </c>
      <c r="W137" s="2459" t="str">
        <f t="shared" si="33"/>
        <v>CoC_C.G제외</v>
      </c>
      <c r="X137" s="3111">
        <f ca="1">(Y135/X135)*(12/120)</f>
        <v>6.0923863968145635E-2</v>
      </c>
      <c r="Y137" s="3111"/>
      <c r="Z137" s="3111"/>
      <c r="AA137" s="3111"/>
      <c r="AB137" s="3111"/>
      <c r="AD137" s="2459" t="str">
        <f t="shared" ref="AD137:AD140" si="44">W137</f>
        <v>CoC_C.G제외</v>
      </c>
      <c r="AE137" s="2459"/>
      <c r="AF137" s="2459"/>
      <c r="AG137" s="2459"/>
      <c r="AH137" s="2459"/>
      <c r="AI137" s="2459">
        <f ca="1">(AF135/AE135)*(12/120)</f>
        <v>5.4128764522035501E-2</v>
      </c>
    </row>
    <row r="138" spans="2:35" ht="13.35" customHeight="1">
      <c r="B138" s="1181">
        <f>'Sell-down'!M88</f>
        <v>11</v>
      </c>
      <c r="C138" s="1164">
        <f>'Sell-down'!N88/1000</f>
        <v>24360.036613272307</v>
      </c>
      <c r="D138" s="1179">
        <f ca="1">'Sell-down'!O88/1000</f>
        <v>840.00000000000011</v>
      </c>
      <c r="E138" s="1179">
        <f>'Sell-down'!P88/1000</f>
        <v>0</v>
      </c>
      <c r="F138" s="1164">
        <f t="shared" ca="1" si="39"/>
        <v>840.00000000000011</v>
      </c>
      <c r="G138" s="1680">
        <f ca="1">'Sell-down'!Q88</f>
        <v>6.8965413585818272E-2</v>
      </c>
      <c r="I138" s="1181">
        <f t="shared" si="40"/>
        <v>11</v>
      </c>
      <c r="J138" s="1164">
        <f>'Sell-down'!V88/1000</f>
        <v>14800</v>
      </c>
      <c r="K138" s="1179">
        <f ca="1">'Sell-down'!W88/1000</f>
        <v>0</v>
      </c>
      <c r="L138" s="1179">
        <f>'Sell-down'!X88/1000</f>
        <v>0</v>
      </c>
      <c r="M138" s="1164">
        <f t="shared" ca="1" si="41"/>
        <v>0</v>
      </c>
      <c r="N138" s="1680">
        <f ca="1">'Sell-down'!Y88</f>
        <v>0</v>
      </c>
      <c r="W138" s="2460" t="str">
        <f>I102</f>
        <v>IRR_C.G포함</v>
      </c>
      <c r="X138" s="3113">
        <f ca="1">'Sell-down'!AC102</f>
        <v>0.10707040486475727</v>
      </c>
      <c r="Y138" s="3113"/>
      <c r="Z138" s="3113"/>
      <c r="AA138" s="3113"/>
      <c r="AB138" s="3113"/>
      <c r="AD138" s="2459" t="e">
        <f>#REF!</f>
        <v>#REF!</v>
      </c>
      <c r="AE138" s="2459"/>
      <c r="AF138" s="2459"/>
      <c r="AG138" s="2459"/>
      <c r="AH138" s="2459"/>
      <c r="AI138" s="2459">
        <f ca="1">(SUM(AF135:AG135)/AE135)*(12/120)</f>
        <v>0.13121118967700837</v>
      </c>
    </row>
    <row r="139" spans="2:35" ht="13.35" customHeight="1" thickBot="1">
      <c r="B139" s="1181">
        <f>'Sell-down'!M89</f>
        <v>12</v>
      </c>
      <c r="C139" s="1164">
        <f>'Sell-down'!N89/1000</f>
        <v>24360.036613272307</v>
      </c>
      <c r="D139" s="1179">
        <f ca="1">'Sell-down'!O89/1000</f>
        <v>840.00000000000011</v>
      </c>
      <c r="E139" s="1179">
        <f>'Sell-down'!P89/1000</f>
        <v>0</v>
      </c>
      <c r="F139" s="1164">
        <f t="shared" ca="1" si="39"/>
        <v>840.00000000000011</v>
      </c>
      <c r="G139" s="1680">
        <f ca="1">'Sell-down'!Q89</f>
        <v>6.8965413585818272E-2</v>
      </c>
      <c r="I139" s="1181">
        <f t="shared" si="40"/>
        <v>12</v>
      </c>
      <c r="J139" s="1164">
        <f>'Sell-down'!V89/1000</f>
        <v>14800</v>
      </c>
      <c r="K139" s="1179">
        <f ca="1">'Sell-down'!W89/1000</f>
        <v>0</v>
      </c>
      <c r="L139" s="1179">
        <f>'Sell-down'!X89/1000</f>
        <v>0</v>
      </c>
      <c r="M139" s="1164">
        <f t="shared" ca="1" si="41"/>
        <v>0</v>
      </c>
      <c r="N139" s="1680">
        <f ca="1">'Sell-down'!Y89</f>
        <v>0</v>
      </c>
      <c r="W139" s="2461" t="str">
        <f>I103</f>
        <v>E.Multiple</v>
      </c>
      <c r="X139" s="3115">
        <f ca="1">AA135/X136+1</f>
        <v>2.2002650103414849</v>
      </c>
      <c r="Y139" s="3115"/>
      <c r="Z139" s="3115"/>
      <c r="AA139" s="3115"/>
      <c r="AB139" s="3115"/>
      <c r="AD139" s="2460" t="str">
        <f>W138</f>
        <v>IRR_C.G포함</v>
      </c>
      <c r="AE139" s="2460"/>
      <c r="AF139" s="2460"/>
      <c r="AG139" s="2460"/>
      <c r="AH139" s="2460"/>
      <c r="AI139" s="2460">
        <f ca="1">'Report-sj'!M423</f>
        <v>0.10229644179344177</v>
      </c>
    </row>
    <row r="140" spans="2:35" ht="13.35" customHeight="1" thickBot="1">
      <c r="B140" s="1181">
        <f>'Sell-down'!M90</f>
        <v>13</v>
      </c>
      <c r="C140" s="1164">
        <f>'Sell-down'!N90/1000</f>
        <v>24360.036613272307</v>
      </c>
      <c r="D140" s="1179">
        <f ca="1">'Sell-down'!O90/1000</f>
        <v>840.00000000000011</v>
      </c>
      <c r="E140" s="1179">
        <f>'Sell-down'!P90/1000</f>
        <v>0</v>
      </c>
      <c r="F140" s="1164">
        <f t="shared" ca="1" si="39"/>
        <v>840.00000000000011</v>
      </c>
      <c r="G140" s="1680">
        <f ca="1">'Sell-down'!Q90</f>
        <v>6.8965413585818272E-2</v>
      </c>
      <c r="I140" s="1181">
        <f t="shared" si="40"/>
        <v>13</v>
      </c>
      <c r="J140" s="1164">
        <f>'Sell-down'!V90/1000</f>
        <v>14800</v>
      </c>
      <c r="K140" s="1179">
        <f ca="1">'Sell-down'!W90/1000</f>
        <v>0</v>
      </c>
      <c r="L140" s="1179">
        <f>'Sell-down'!X90/1000</f>
        <v>0</v>
      </c>
      <c r="M140" s="1164">
        <f t="shared" ca="1" si="41"/>
        <v>0</v>
      </c>
      <c r="N140" s="1680">
        <f ca="1">'Sell-down'!Y90</f>
        <v>0</v>
      </c>
      <c r="AD140" s="2461" t="str">
        <f>W139</f>
        <v>E.Multiple</v>
      </c>
      <c r="AE140" s="2462"/>
      <c r="AF140" s="2462"/>
      <c r="AG140" s="2462"/>
      <c r="AH140" s="2462"/>
      <c r="AI140" s="2462">
        <f ca="1">'Report-sj'!D424</f>
        <v>2.1667853617002995</v>
      </c>
    </row>
    <row r="141" spans="2:35" ht="13.35" customHeight="1">
      <c r="B141" s="1181">
        <f>'Sell-down'!M91</f>
        <v>14</v>
      </c>
      <c r="C141" s="1164">
        <f>'Sell-down'!N91/1000</f>
        <v>24360.036613272307</v>
      </c>
      <c r="D141" s="1179">
        <f ca="1">'Sell-down'!O91/1000</f>
        <v>840.00000000000011</v>
      </c>
      <c r="E141" s="1179">
        <f>'Sell-down'!P91/1000</f>
        <v>0</v>
      </c>
      <c r="F141" s="1164">
        <f t="shared" ca="1" si="39"/>
        <v>840.00000000000011</v>
      </c>
      <c r="G141" s="1680">
        <f ca="1">'Sell-down'!Q91</f>
        <v>6.8965413585818272E-2</v>
      </c>
      <c r="I141" s="1181">
        <f t="shared" si="40"/>
        <v>14</v>
      </c>
      <c r="J141" s="1164">
        <f>'Sell-down'!V91/1000</f>
        <v>14800</v>
      </c>
      <c r="K141" s="1179">
        <f ca="1">'Sell-down'!W91/1000</f>
        <v>0</v>
      </c>
      <c r="L141" s="1179">
        <f>'Sell-down'!X91/1000</f>
        <v>0</v>
      </c>
      <c r="M141" s="1164">
        <f t="shared" ca="1" si="41"/>
        <v>0</v>
      </c>
      <c r="N141" s="1680">
        <f ca="1">'Sell-down'!Y91</f>
        <v>0</v>
      </c>
    </row>
    <row r="142" spans="2:35" ht="13.35" customHeight="1">
      <c r="B142" s="1181">
        <f>'Sell-down'!M92</f>
        <v>15</v>
      </c>
      <c r="C142" s="1164">
        <f>'Sell-down'!N92/1000</f>
        <v>24360.036613272307</v>
      </c>
      <c r="D142" s="1179">
        <f ca="1">'Sell-down'!O92/1000</f>
        <v>840.00000000000011</v>
      </c>
      <c r="E142" s="1179">
        <f>'Sell-down'!P92/1000</f>
        <v>0</v>
      </c>
      <c r="F142" s="1164">
        <f t="shared" ca="1" si="39"/>
        <v>840.00000000000011</v>
      </c>
      <c r="G142" s="1680">
        <f ca="1">'Sell-down'!Q92</f>
        <v>6.8965413585818272E-2</v>
      </c>
      <c r="I142" s="1181">
        <f t="shared" si="40"/>
        <v>15</v>
      </c>
      <c r="J142" s="1164">
        <f>'Sell-down'!V92/1000</f>
        <v>14800</v>
      </c>
      <c r="K142" s="1179">
        <f ca="1">'Sell-down'!W92/1000</f>
        <v>0</v>
      </c>
      <c r="L142" s="1179">
        <f>'Sell-down'!X92/1000</f>
        <v>0</v>
      </c>
      <c r="M142" s="1164">
        <f t="shared" ca="1" si="41"/>
        <v>0</v>
      </c>
      <c r="N142" s="1680">
        <f ca="1">'Sell-down'!Y92</f>
        <v>0</v>
      </c>
    </row>
    <row r="143" spans="2:35" ht="13.35" customHeight="1">
      <c r="B143" s="1181">
        <f>'Sell-down'!M93</f>
        <v>16</v>
      </c>
      <c r="C143" s="1164">
        <f>'Sell-down'!N93/1000</f>
        <v>24360.036613272307</v>
      </c>
      <c r="D143" s="1179">
        <f ca="1">'Sell-down'!O93/1000</f>
        <v>840.00000000000011</v>
      </c>
      <c r="E143" s="1179">
        <f>'Sell-down'!P93/1000</f>
        <v>0</v>
      </c>
      <c r="F143" s="1164">
        <f t="shared" ca="1" si="39"/>
        <v>840.00000000000011</v>
      </c>
      <c r="G143" s="1680">
        <f ca="1">'Sell-down'!Q93</f>
        <v>6.8965413585818272E-2</v>
      </c>
      <c r="I143" s="1181">
        <f t="shared" si="40"/>
        <v>16</v>
      </c>
      <c r="J143" s="1164">
        <f>'Sell-down'!V93/1000</f>
        <v>14800</v>
      </c>
      <c r="K143" s="1179">
        <f ca="1">'Sell-down'!W93/1000</f>
        <v>0</v>
      </c>
      <c r="L143" s="1179">
        <f>'Sell-down'!X93/1000</f>
        <v>0</v>
      </c>
      <c r="M143" s="1164">
        <f t="shared" ca="1" si="41"/>
        <v>0</v>
      </c>
      <c r="N143" s="1680">
        <f ca="1">'Sell-down'!Y93</f>
        <v>0</v>
      </c>
    </row>
    <row r="144" spans="2:35" ht="13.35" customHeight="1">
      <c r="B144" s="1181">
        <f>'Sell-down'!M94</f>
        <v>17</v>
      </c>
      <c r="C144" s="1164">
        <f>'Sell-down'!N94/1000</f>
        <v>24360.036613272307</v>
      </c>
      <c r="D144" s="1179">
        <f ca="1">'Sell-down'!O94/1000</f>
        <v>840.00000000000011</v>
      </c>
      <c r="E144" s="1179">
        <f>'Sell-down'!P94/1000</f>
        <v>0</v>
      </c>
      <c r="F144" s="1164">
        <f t="shared" ca="1" si="39"/>
        <v>840.00000000000011</v>
      </c>
      <c r="G144" s="1680">
        <f ca="1">'Sell-down'!Q94</f>
        <v>6.8965413585818272E-2</v>
      </c>
      <c r="I144" s="1181">
        <f t="shared" si="40"/>
        <v>17</v>
      </c>
      <c r="J144" s="1164">
        <f>'Sell-down'!V94/1000</f>
        <v>14800</v>
      </c>
      <c r="K144" s="1179">
        <f ca="1">'Sell-down'!W94/1000</f>
        <v>0</v>
      </c>
      <c r="L144" s="1179">
        <f>'Sell-down'!X94/1000</f>
        <v>0</v>
      </c>
      <c r="M144" s="1164">
        <f t="shared" ca="1" si="41"/>
        <v>0</v>
      </c>
      <c r="N144" s="1680">
        <f ca="1">'Sell-down'!Y94</f>
        <v>0</v>
      </c>
    </row>
    <row r="145" spans="2:14" ht="13.35" customHeight="1">
      <c r="B145" s="1181">
        <f>'Sell-down'!M95</f>
        <v>18</v>
      </c>
      <c r="C145" s="1164">
        <f>'Sell-down'!N95/1000</f>
        <v>24360.036613272307</v>
      </c>
      <c r="D145" s="1179">
        <f ca="1">'Sell-down'!O95/1000</f>
        <v>840.00000000000011</v>
      </c>
      <c r="E145" s="1179">
        <f>'Sell-down'!P95/1000</f>
        <v>0</v>
      </c>
      <c r="F145" s="1164">
        <f t="shared" ca="1" si="39"/>
        <v>840.00000000000011</v>
      </c>
      <c r="G145" s="1680">
        <f ca="1">'Sell-down'!Q95</f>
        <v>6.8965413585818272E-2</v>
      </c>
      <c r="I145" s="1181">
        <f t="shared" si="40"/>
        <v>18</v>
      </c>
      <c r="J145" s="1164">
        <f>'Sell-down'!V95/1000</f>
        <v>14800</v>
      </c>
      <c r="K145" s="1179">
        <f ca="1">'Sell-down'!W95/1000</f>
        <v>0</v>
      </c>
      <c r="L145" s="1179">
        <f>'Sell-down'!X95/1000</f>
        <v>0</v>
      </c>
      <c r="M145" s="1164">
        <f t="shared" ca="1" si="41"/>
        <v>0</v>
      </c>
      <c r="N145" s="1680">
        <f ca="1">'Sell-down'!Y95</f>
        <v>0</v>
      </c>
    </row>
    <row r="146" spans="2:14" ht="13.35" customHeight="1">
      <c r="B146" s="1181">
        <f>'Sell-down'!M96</f>
        <v>19</v>
      </c>
      <c r="C146" s="1164">
        <f>'Sell-down'!N96/1000</f>
        <v>24360.036613272307</v>
      </c>
      <c r="D146" s="1179">
        <f ca="1">'Sell-down'!O96/1000</f>
        <v>840.00000000000011</v>
      </c>
      <c r="E146" s="1179">
        <f>'Sell-down'!P96/1000</f>
        <v>0</v>
      </c>
      <c r="F146" s="1164">
        <f t="shared" ca="1" si="39"/>
        <v>840.00000000000011</v>
      </c>
      <c r="G146" s="1680">
        <f ca="1">'Sell-down'!Q96</f>
        <v>6.8965413585818272E-2</v>
      </c>
      <c r="I146" s="1181">
        <f t="shared" si="40"/>
        <v>19</v>
      </c>
      <c r="J146" s="1164">
        <f>'Sell-down'!V96/1000</f>
        <v>14800</v>
      </c>
      <c r="K146" s="1179">
        <f ca="1">'Sell-down'!W96/1000</f>
        <v>0</v>
      </c>
      <c r="L146" s="1179">
        <f>'Sell-down'!X96/1000</f>
        <v>0</v>
      </c>
      <c r="M146" s="1164">
        <f t="shared" ca="1" si="41"/>
        <v>0</v>
      </c>
      <c r="N146" s="1680">
        <f ca="1">'Sell-down'!Y96</f>
        <v>0</v>
      </c>
    </row>
    <row r="147" spans="2:14" ht="13.35" customHeight="1">
      <c r="B147" s="1181">
        <f>'Sell-down'!M97</f>
        <v>20</v>
      </c>
      <c r="C147" s="1164">
        <f>'Sell-down'!N97/1000</f>
        <v>24360.036613272307</v>
      </c>
      <c r="D147" s="1179">
        <f ca="1">'Sell-down'!O97/1000</f>
        <v>840.00000000000011</v>
      </c>
      <c r="E147" s="1179">
        <f>'Sell-down'!P97/1000</f>
        <v>-360.0366132723056</v>
      </c>
      <c r="F147" s="1164">
        <f t="shared" ca="1" si="39"/>
        <v>479.96338672769451</v>
      </c>
      <c r="G147" s="1680">
        <f ca="1">'Sell-down'!Q97</f>
        <v>3.9405801752054152E-2</v>
      </c>
      <c r="I147" s="1181">
        <f t="shared" si="40"/>
        <v>20</v>
      </c>
      <c r="J147" s="1164">
        <f>'Sell-down'!V97/1000</f>
        <v>14800</v>
      </c>
      <c r="K147" s="1179">
        <f ca="1">'Sell-down'!W97/1000</f>
        <v>0</v>
      </c>
      <c r="L147" s="1179">
        <f>'Sell-down'!X97/1000</f>
        <v>47070.453350267737</v>
      </c>
      <c r="M147" s="1164">
        <f t="shared" ca="1" si="41"/>
        <v>47070.453350267737</v>
      </c>
      <c r="N147" s="1680">
        <f ca="1">'Sell-down'!Y97</f>
        <v>6.3608720743605049</v>
      </c>
    </row>
    <row r="148" spans="2:14" ht="13.35" customHeight="1">
      <c r="B148" s="1173" t="s">
        <v>104</v>
      </c>
      <c r="C148" s="1166"/>
      <c r="D148" s="1180">
        <f ca="1">SUM(D127:D147)</f>
        <v>13440.000000000002</v>
      </c>
      <c r="E148" s="1180">
        <f>SUM(E127:E147)</f>
        <v>-360.0366132723056</v>
      </c>
      <c r="F148" s="1166">
        <f ca="1">SUM(F127:F147)</f>
        <v>13079.963386727697</v>
      </c>
      <c r="G148" s="1178"/>
      <c r="I148" s="1173" t="s">
        <v>104</v>
      </c>
      <c r="J148" s="1166"/>
      <c r="K148" s="1180">
        <f ca="1">SUM(K127:K147)</f>
        <v>1110</v>
      </c>
      <c r="L148" s="1180">
        <f>SUM(L127:L147)</f>
        <v>47070.453350267737</v>
      </c>
      <c r="M148" s="1166">
        <f ca="1">SUM(M127:M147)</f>
        <v>48180.453350267737</v>
      </c>
      <c r="N148" s="1178"/>
    </row>
    <row r="149" spans="2:14" ht="13.35" customHeight="1">
      <c r="B149" s="1173" t="s">
        <v>662</v>
      </c>
      <c r="C149" s="3124">
        <f>'Sell-down'!I15/1000</f>
        <v>24360.036613272307</v>
      </c>
      <c r="D149" s="3125"/>
      <c r="E149" s="3125"/>
      <c r="F149" s="3125"/>
      <c r="G149" s="3125"/>
      <c r="I149" s="1173" t="s">
        <v>662</v>
      </c>
      <c r="J149" s="3124">
        <f>'Sell-down'!I47/1000</f>
        <v>14873.999999999998</v>
      </c>
      <c r="K149" s="3125"/>
      <c r="L149" s="3125"/>
      <c r="M149" s="3125"/>
      <c r="N149" s="3125"/>
    </row>
    <row r="150" spans="2:14" ht="13.35" customHeight="1">
      <c r="B150" s="1173" t="s">
        <v>663</v>
      </c>
      <c r="C150" s="3110">
        <f ca="1">'Sell-down'!H19</f>
        <v>6.8965413585818272E-2</v>
      </c>
      <c r="D150" s="3126"/>
      <c r="E150" s="3126"/>
      <c r="F150" s="3126"/>
      <c r="G150" s="3126"/>
      <c r="I150" s="1173" t="s">
        <v>663</v>
      </c>
      <c r="J150" s="3110">
        <f ca="1">'Sell-down'!H51</f>
        <v>7.4626865671641798E-3</v>
      </c>
      <c r="K150" s="3126"/>
      <c r="L150" s="3126"/>
      <c r="M150" s="3126"/>
      <c r="N150" s="3126"/>
    </row>
    <row r="151" spans="2:14" ht="13.35" customHeight="1">
      <c r="B151" s="1173" t="s">
        <v>664</v>
      </c>
      <c r="C151" s="3112">
        <f ca="1">'Sell-down'!I20</f>
        <v>6.719475758016058E-2</v>
      </c>
      <c r="D151" s="3127"/>
      <c r="E151" s="3127"/>
      <c r="F151" s="3127"/>
      <c r="G151" s="3127"/>
      <c r="I151" s="1173" t="s">
        <v>664</v>
      </c>
      <c r="J151" s="3112">
        <f ca="1">'Sell-down'!I52</f>
        <v>0.16181544839707418</v>
      </c>
      <c r="K151" s="3127"/>
      <c r="L151" s="3127"/>
      <c r="M151" s="3127"/>
      <c r="N151" s="3127"/>
    </row>
    <row r="152" spans="2:14" ht="13.35" customHeight="1" thickBot="1">
      <c r="B152" s="1174" t="s">
        <v>665</v>
      </c>
      <c r="C152" s="3114">
        <f ca="1">SUM(F148+C149)/C149</f>
        <v>1.5369435027696638</v>
      </c>
      <c r="D152" s="3115"/>
      <c r="E152" s="3115"/>
      <c r="F152" s="3115"/>
      <c r="G152" s="3115"/>
      <c r="I152" s="1174" t="s">
        <v>665</v>
      </c>
      <c r="J152" s="3114">
        <f ca="1">SUM(M148+J149)/J149</f>
        <v>4.2392398379903016</v>
      </c>
      <c r="K152" s="3115"/>
      <c r="L152" s="3115"/>
      <c r="M152" s="3115"/>
      <c r="N152" s="3115"/>
    </row>
    <row r="157" spans="2:14" ht="13.35" customHeight="1" thickBot="1"/>
    <row r="158" spans="2:14" ht="13.35" customHeight="1">
      <c r="C158" s="3053" t="s">
        <v>619</v>
      </c>
      <c r="D158" s="1176" t="s">
        <v>1042</v>
      </c>
      <c r="E158" s="1176" t="s">
        <v>1043</v>
      </c>
      <c r="F158" s="1176" t="s">
        <v>1044</v>
      </c>
      <c r="G158" s="1176" t="s">
        <v>1045</v>
      </c>
      <c r="H158" s="1176" t="s">
        <v>1046</v>
      </c>
      <c r="I158" s="1176" t="s">
        <v>1047</v>
      </c>
      <c r="J158" s="1176" t="s">
        <v>1048</v>
      </c>
      <c r="K158" s="1176" t="s">
        <v>1049</v>
      </c>
      <c r="L158" s="1176" t="s">
        <v>1050</v>
      </c>
      <c r="M158" s="1176" t="s">
        <v>1051</v>
      </c>
    </row>
    <row r="159" spans="2:14" ht="13.35" customHeight="1">
      <c r="C159" s="3054"/>
      <c r="D159" s="1688" t="s">
        <v>1052</v>
      </c>
      <c r="E159" s="1688" t="s">
        <v>1053</v>
      </c>
      <c r="F159" s="1688" t="s">
        <v>1054</v>
      </c>
      <c r="G159" s="1688" t="s">
        <v>1055</v>
      </c>
      <c r="H159" s="1688" t="s">
        <v>1056</v>
      </c>
      <c r="I159" s="1688" t="s">
        <v>1057</v>
      </c>
      <c r="J159" s="1688" t="s">
        <v>1058</v>
      </c>
      <c r="K159" s="1688" t="s">
        <v>1059</v>
      </c>
      <c r="L159" s="1688" t="s">
        <v>1060</v>
      </c>
      <c r="M159" s="1688" t="s">
        <v>1061</v>
      </c>
    </row>
    <row r="160" spans="2:14" ht="13.35" customHeight="1">
      <c r="C160" s="1690" t="s">
        <v>1062</v>
      </c>
      <c r="D160" s="1193"/>
      <c r="E160" s="1691"/>
      <c r="F160" s="1692"/>
      <c r="G160" s="1193"/>
      <c r="H160" s="1193"/>
      <c r="I160" s="1193"/>
      <c r="J160" s="1193"/>
      <c r="K160" s="1193"/>
      <c r="L160" s="1193"/>
      <c r="M160" s="1193"/>
    </row>
    <row r="161" spans="3:13" ht="13.35" customHeight="1">
      <c r="C161" s="1690" t="s">
        <v>1063</v>
      </c>
      <c r="D161" s="1193"/>
      <c r="E161" s="1691"/>
      <c r="F161" s="1693"/>
      <c r="G161" s="1694"/>
      <c r="H161" s="1694"/>
      <c r="I161" s="1694"/>
      <c r="J161" s="1694"/>
      <c r="K161" s="1193"/>
      <c r="L161" s="1193"/>
      <c r="M161" s="1193"/>
    </row>
    <row r="162" spans="3:13" ht="13.35" customHeight="1">
      <c r="C162" s="1690" t="s">
        <v>1064</v>
      </c>
      <c r="D162" s="1193"/>
      <c r="E162" s="1193"/>
      <c r="F162" s="1695"/>
      <c r="G162" s="1696"/>
      <c r="H162" s="1696"/>
      <c r="I162" s="1696"/>
      <c r="J162" s="1697"/>
      <c r="K162" s="1692"/>
      <c r="L162" s="1193"/>
      <c r="M162" s="1193"/>
    </row>
    <row r="163" spans="3:13" ht="13.35" customHeight="1">
      <c r="C163" s="1690" t="s">
        <v>1065</v>
      </c>
      <c r="D163" s="1193"/>
      <c r="E163" s="1193"/>
      <c r="F163" s="1691"/>
      <c r="G163" s="1698"/>
      <c r="H163" s="1695"/>
      <c r="I163" s="1695"/>
      <c r="J163" s="1695"/>
      <c r="K163" s="1193"/>
      <c r="L163" s="1193"/>
      <c r="M163" s="1193"/>
    </row>
    <row r="164" spans="3:13" ht="13.35" customHeight="1">
      <c r="C164" s="1690" t="s">
        <v>1066</v>
      </c>
      <c r="D164" s="1694"/>
      <c r="E164" s="1694"/>
      <c r="F164" s="1699"/>
      <c r="G164" s="1692"/>
      <c r="H164" s="1193"/>
      <c r="I164" s="1193"/>
      <c r="J164" s="1193"/>
      <c r="K164" s="1193"/>
      <c r="L164" s="1193"/>
      <c r="M164" s="1193"/>
    </row>
    <row r="165" spans="3:13" ht="13.35" customHeight="1">
      <c r="C165" s="1700" t="s">
        <v>1067</v>
      </c>
      <c r="D165" s="1698"/>
      <c r="E165" s="1695"/>
      <c r="F165" s="1695"/>
      <c r="G165" s="1193"/>
      <c r="H165" s="1193"/>
      <c r="I165" s="1193"/>
      <c r="J165" s="1193"/>
      <c r="K165" s="1193"/>
      <c r="L165" s="1193"/>
      <c r="M165" s="1193"/>
    </row>
    <row r="166" spans="3:13" ht="13.35" customHeight="1">
      <c r="C166" s="1689" t="s">
        <v>1069</v>
      </c>
      <c r="D166" s="1687">
        <f>'A&amp;R'!Y56/1000</f>
        <v>59.133201856031476</v>
      </c>
      <c r="E166" s="1687">
        <f>'A&amp;R'!Z56/1000</f>
        <v>59.003747028033388</v>
      </c>
      <c r="F166" s="1687">
        <f>'A&amp;R'!AA56/1000</f>
        <v>41.57614539904138</v>
      </c>
      <c r="G166" s="1687">
        <f>'A&amp;R'!AB56/1000</f>
        <v>62.665423076524299</v>
      </c>
      <c r="H166" s="1687">
        <f>'A&amp;R'!AC56/1000</f>
        <v>62.693358226049284</v>
      </c>
      <c r="I166" s="1687">
        <f>'A&amp;R'!AD56/1000</f>
        <v>62.686592090382128</v>
      </c>
      <c r="J166" s="1687">
        <f>'A&amp;R'!AE56/1000</f>
        <v>62.679990982414161</v>
      </c>
      <c r="K166" s="1687">
        <f>'A&amp;R'!AF56/1000</f>
        <v>61.95014565138046</v>
      </c>
      <c r="L166" s="1687">
        <f>'A&amp;R'!AG56/1000</f>
        <v>61.646089006911978</v>
      </c>
      <c r="M166" s="1687">
        <f>'A&amp;R'!AH56/1000</f>
        <v>61.644546400517982</v>
      </c>
    </row>
    <row r="167" spans="3:13" ht="13.35" customHeight="1">
      <c r="C167" s="1689" t="s">
        <v>1068</v>
      </c>
      <c r="D167" s="1701">
        <f>'A&amp;R'!Y41/100000</f>
        <v>153.37100219276346</v>
      </c>
      <c r="E167" s="1701">
        <f>'A&amp;R'!Z41/100000</f>
        <v>156.82859408385647</v>
      </c>
      <c r="F167" s="1701">
        <f>'A&amp;R'!AA41/100000</f>
        <v>113.66672111531518</v>
      </c>
      <c r="G167" s="1701">
        <f>'A&amp;R'!AB41/100000</f>
        <v>174.82771279269997</v>
      </c>
      <c r="H167" s="1701">
        <f>'A&amp;R'!AC41/100000</f>
        <v>179.24190017740355</v>
      </c>
      <c r="I167" s="1701">
        <f>'A&amp;R'!AD41/100000</f>
        <v>183.66754183811258</v>
      </c>
      <c r="J167" s="1701">
        <f>'A&amp;R'!AE41/100000</f>
        <v>188.20382454033938</v>
      </c>
      <c r="K167" s="1701">
        <f>'A&amp;R'!AF41/100000</f>
        <v>190.64401477767032</v>
      </c>
      <c r="L167" s="1701">
        <f>'A&amp;R'!AG41/100000</f>
        <v>194.42248085734565</v>
      </c>
      <c r="M167" s="1701">
        <f>'A&amp;R'!AH41/100000</f>
        <v>199.24235696185679</v>
      </c>
    </row>
    <row r="168" spans="3:13" ht="13.35" customHeight="1">
      <c r="C168" s="1689" t="s">
        <v>659</v>
      </c>
      <c r="D168" s="1701">
        <f>C17/100</f>
        <v>131.05364981746544</v>
      </c>
      <c r="E168" s="1701">
        <f t="shared" ref="E168:M168" si="45">D17/100</f>
        <v>134.61786385864698</v>
      </c>
      <c r="F168" s="1701">
        <f t="shared" si="45"/>
        <v>90.761890386719244</v>
      </c>
      <c r="G168" s="1701">
        <f t="shared" si="45"/>
        <v>152.15117979256877</v>
      </c>
      <c r="H168" s="1701">
        <f t="shared" si="45"/>
        <v>156.97676364089477</v>
      </c>
      <c r="I168" s="1701">
        <f t="shared" si="45"/>
        <v>161.36820383685995</v>
      </c>
      <c r="J168" s="1701">
        <f t="shared" si="45"/>
        <v>165.86222341373076</v>
      </c>
      <c r="K168" s="1701">
        <f t="shared" si="45"/>
        <v>161.47668438126144</v>
      </c>
      <c r="L168" s="1701">
        <f t="shared" si="45"/>
        <v>171.05485515483079</v>
      </c>
      <c r="M168" s="1701">
        <f t="shared" si="45"/>
        <v>176.72536372248004</v>
      </c>
    </row>
    <row r="169" spans="3:13" ht="13.35" customHeight="1">
      <c r="C169" s="1689" t="s">
        <v>660</v>
      </c>
      <c r="D169" s="1702">
        <f>'A&amp;R'!Y55</f>
        <v>4.8918868912827713E-2</v>
      </c>
      <c r="E169" s="1702">
        <f>'A&amp;R'!Z55</f>
        <v>5.0249295953209018E-2</v>
      </c>
      <c r="F169" s="1702">
        <f>'A&amp;R'!AA55</f>
        <v>3.3879018434758948E-2</v>
      </c>
      <c r="G169" s="1702">
        <f>'A&amp;R'!AB55</f>
        <v>5.6794020079346301E-2</v>
      </c>
      <c r="H169" s="1702">
        <f>'A&amp;R'!AC55</f>
        <v>5.8595283180625159E-2</v>
      </c>
      <c r="I169" s="1702">
        <f>'A&amp;R'!AD55</f>
        <v>6.0234491913721509E-2</v>
      </c>
      <c r="J169" s="1702">
        <f>'A&amp;R'!AE55</f>
        <v>6.1911990822594527E-2</v>
      </c>
      <c r="K169" s="1702">
        <f>'A&amp;R'!AF55</f>
        <v>6.0274984838096825E-2</v>
      </c>
      <c r="L169" s="1702">
        <f>'A&amp;R'!AG55</f>
        <v>6.3850263215688971E-2</v>
      </c>
      <c r="M169" s="1702">
        <f>'A&amp;R'!AH55</f>
        <v>6.5966914416752523E-2</v>
      </c>
    </row>
  </sheetData>
  <mergeCells count="50">
    <mergeCell ref="X136:AB136"/>
    <mergeCell ref="X137:AB137"/>
    <mergeCell ref="X138:AB138"/>
    <mergeCell ref="X139:AB139"/>
    <mergeCell ref="V3:W3"/>
    <mergeCell ref="Q3:R3"/>
    <mergeCell ref="Q4:R4"/>
    <mergeCell ref="C51:G51"/>
    <mergeCell ref="J48:N48"/>
    <mergeCell ref="J49:N49"/>
    <mergeCell ref="J50:N50"/>
    <mergeCell ref="J51:N51"/>
    <mergeCell ref="C48:G48"/>
    <mergeCell ref="C49:G49"/>
    <mergeCell ref="C50:G50"/>
    <mergeCell ref="C152:G152"/>
    <mergeCell ref="J152:N152"/>
    <mergeCell ref="C158:C159"/>
    <mergeCell ref="C149:G149"/>
    <mergeCell ref="J149:N149"/>
    <mergeCell ref="C150:G150"/>
    <mergeCell ref="J150:N150"/>
    <mergeCell ref="C151:G151"/>
    <mergeCell ref="J151:N151"/>
    <mergeCell ref="C100:G100"/>
    <mergeCell ref="C101:G101"/>
    <mergeCell ref="C102:G102"/>
    <mergeCell ref="C103:G103"/>
    <mergeCell ref="J100:N100"/>
    <mergeCell ref="J101:N101"/>
    <mergeCell ref="J102:N102"/>
    <mergeCell ref="J103:N103"/>
    <mergeCell ref="B106:B107"/>
    <mergeCell ref="C106:C107"/>
    <mergeCell ref="D106:D107"/>
    <mergeCell ref="E106:E107"/>
    <mergeCell ref="G106:G107"/>
    <mergeCell ref="H106:H107"/>
    <mergeCell ref="C108:C109"/>
    <mergeCell ref="D108:D109"/>
    <mergeCell ref="E108:E109"/>
    <mergeCell ref="F108:F109"/>
    <mergeCell ref="G108:G109"/>
    <mergeCell ref="H108:H109"/>
    <mergeCell ref="I108:I109"/>
    <mergeCell ref="X100:AB100"/>
    <mergeCell ref="X101:AB101"/>
    <mergeCell ref="X102:AB102"/>
    <mergeCell ref="X103:AB103"/>
    <mergeCell ref="X104:AB104"/>
  </mergeCells>
  <phoneticPr fontId="2"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DC206-42C4-458E-A0C9-7572F5A2758F}">
  <sheetPr codeName="Sheet16">
    <tabColor rgb="FFC00000"/>
  </sheetPr>
  <dimension ref="A2:AF32"/>
  <sheetViews>
    <sheetView showGridLines="0" workbookViewId="0">
      <selection activeCell="R30" sqref="R30"/>
    </sheetView>
  </sheetViews>
  <sheetFormatPr defaultRowHeight="15.4" customHeight="1"/>
  <cols>
    <col min="1" max="1" width="28.875" customWidth="1"/>
    <col min="2" max="32" width="16" customWidth="1"/>
  </cols>
  <sheetData>
    <row r="2" spans="1:32" ht="15.4" customHeight="1">
      <c r="A2" s="1231" t="s">
        <v>695</v>
      </c>
      <c r="B2" s="1231" t="s">
        <v>696</v>
      </c>
      <c r="C2" s="1231" t="s">
        <v>697</v>
      </c>
      <c r="D2" s="1231" t="s">
        <v>698</v>
      </c>
      <c r="E2" s="1231" t="s">
        <v>699</v>
      </c>
      <c r="F2" s="1231" t="s">
        <v>700</v>
      </c>
      <c r="G2" s="1231" t="s">
        <v>701</v>
      </c>
      <c r="H2" s="1231" t="s">
        <v>702</v>
      </c>
      <c r="I2" s="1231" t="s">
        <v>703</v>
      </c>
      <c r="J2" s="1231" t="s">
        <v>704</v>
      </c>
      <c r="K2" s="1232" t="s">
        <v>705</v>
      </c>
      <c r="L2" s="1231" t="s">
        <v>706</v>
      </c>
      <c r="M2" s="1231" t="s">
        <v>707</v>
      </c>
      <c r="N2" s="1231" t="s">
        <v>708</v>
      </c>
      <c r="O2" s="1231" t="s">
        <v>709</v>
      </c>
      <c r="P2" s="1231" t="s">
        <v>710</v>
      </c>
      <c r="Q2" s="1231" t="s">
        <v>711</v>
      </c>
      <c r="R2" s="1231" t="s">
        <v>712</v>
      </c>
      <c r="S2" s="1231" t="s">
        <v>713</v>
      </c>
      <c r="T2" s="1231" t="s">
        <v>714</v>
      </c>
      <c r="U2" s="1231" t="s">
        <v>715</v>
      </c>
      <c r="V2" s="1231" t="s">
        <v>716</v>
      </c>
      <c r="W2" s="1231" t="s">
        <v>717</v>
      </c>
      <c r="X2" s="1231" t="s">
        <v>718</v>
      </c>
      <c r="Y2" s="1231" t="s">
        <v>719</v>
      </c>
      <c r="Z2" s="1231" t="s">
        <v>720</v>
      </c>
      <c r="AA2" s="1231" t="s">
        <v>721</v>
      </c>
      <c r="AB2" s="1231" t="s">
        <v>90</v>
      </c>
      <c r="AC2" s="1231" t="s">
        <v>722</v>
      </c>
      <c r="AD2" s="1231" t="s">
        <v>723</v>
      </c>
      <c r="AE2" s="1231" t="s">
        <v>427</v>
      </c>
      <c r="AF2" s="1231" t="s">
        <v>724</v>
      </c>
    </row>
    <row r="3" spans="1:32" ht="15.4" customHeight="1">
      <c r="A3" s="1269" t="s">
        <v>725</v>
      </c>
      <c r="B3" s="1269" t="s">
        <v>726</v>
      </c>
      <c r="C3" s="1269" t="s">
        <v>727</v>
      </c>
      <c r="D3" s="1269" t="s">
        <v>728</v>
      </c>
      <c r="E3" s="1269" t="s">
        <v>729</v>
      </c>
      <c r="F3" s="1270">
        <v>403</v>
      </c>
      <c r="G3" s="1270">
        <v>0</v>
      </c>
      <c r="H3" s="1269"/>
      <c r="I3" s="1271"/>
      <c r="J3" s="1269" t="s">
        <v>730</v>
      </c>
      <c r="K3" s="1272">
        <v>3004.46</v>
      </c>
      <c r="L3" s="1273">
        <v>21340.425149999999</v>
      </c>
      <c r="M3" s="1273">
        <v>4293.1102499999997</v>
      </c>
      <c r="N3" s="1273">
        <v>21340.425149999999</v>
      </c>
      <c r="O3" s="1274">
        <v>1</v>
      </c>
      <c r="P3" s="1274">
        <v>0</v>
      </c>
      <c r="Q3" s="1275">
        <v>5</v>
      </c>
      <c r="R3" s="1275">
        <v>3</v>
      </c>
      <c r="S3" s="1276">
        <v>45222</v>
      </c>
      <c r="T3" s="1276"/>
      <c r="U3" s="1276">
        <v>45412</v>
      </c>
      <c r="V3" s="1277">
        <v>222600000</v>
      </c>
      <c r="W3" s="1278">
        <v>10430.907464840269</v>
      </c>
      <c r="X3" s="1279" t="s">
        <v>731</v>
      </c>
      <c r="Y3" s="1279" t="s">
        <v>732</v>
      </c>
      <c r="Z3" s="1279" t="s">
        <v>731</v>
      </c>
      <c r="AA3" s="1269" t="s">
        <v>733</v>
      </c>
      <c r="AB3" s="1280" t="s">
        <v>734</v>
      </c>
      <c r="AC3" s="1281"/>
      <c r="AD3" s="1282"/>
      <c r="AE3" s="1269"/>
      <c r="AF3" s="1283"/>
    </row>
    <row r="4" spans="1:32" ht="15.4" customHeight="1">
      <c r="A4" s="1233" t="s">
        <v>735</v>
      </c>
      <c r="B4" s="1233" t="s">
        <v>726</v>
      </c>
      <c r="C4" s="1233" t="s">
        <v>736</v>
      </c>
      <c r="D4" s="1233"/>
      <c r="E4" s="1233" t="s">
        <v>737</v>
      </c>
      <c r="F4" s="1234">
        <v>83</v>
      </c>
      <c r="G4" s="1234">
        <v>9</v>
      </c>
      <c r="H4" s="1233" t="s">
        <v>738</v>
      </c>
      <c r="I4" s="1235"/>
      <c r="J4" s="1233" t="s">
        <v>730</v>
      </c>
      <c r="K4" s="1236">
        <v>1807.94</v>
      </c>
      <c r="L4" s="1237">
        <v>12077.999174999999</v>
      </c>
      <c r="M4" s="1237">
        <v>9056.244999999999</v>
      </c>
      <c r="N4" s="1237">
        <v>12077.999174999999</v>
      </c>
      <c r="O4" s="1238">
        <v>1</v>
      </c>
      <c r="P4" s="1238">
        <v>0</v>
      </c>
      <c r="Q4" s="1239">
        <v>3</v>
      </c>
      <c r="R4" s="1239">
        <v>3</v>
      </c>
      <c r="S4" s="1240">
        <v>44896</v>
      </c>
      <c r="T4" s="1240">
        <v>45306</v>
      </c>
      <c r="U4" s="1240">
        <v>45317</v>
      </c>
      <c r="V4" s="1241">
        <v>125000000</v>
      </c>
      <c r="W4" s="1242">
        <v>10349.396302223213</v>
      </c>
      <c r="X4" s="1243" t="s">
        <v>739</v>
      </c>
      <c r="Y4" s="1243" t="s">
        <v>740</v>
      </c>
      <c r="Z4" s="1243" t="s">
        <v>741</v>
      </c>
      <c r="AA4" s="1233" t="s">
        <v>733</v>
      </c>
      <c r="AB4" s="1244"/>
      <c r="AC4" s="1245">
        <v>6.5000000000000002E-2</v>
      </c>
      <c r="AD4" s="1246" t="s">
        <v>742</v>
      </c>
      <c r="AE4" s="1233" t="s">
        <v>743</v>
      </c>
      <c r="AF4" s="1247">
        <v>5.1999999999999998E-2</v>
      </c>
    </row>
    <row r="5" spans="1:32" ht="15.4" customHeight="1">
      <c r="A5" s="1233" t="s">
        <v>744</v>
      </c>
      <c r="B5" s="1233" t="s">
        <v>726</v>
      </c>
      <c r="C5" s="1233" t="s">
        <v>745</v>
      </c>
      <c r="D5" s="1233" t="s">
        <v>746</v>
      </c>
      <c r="E5" s="1233" t="s">
        <v>747</v>
      </c>
      <c r="F5" s="1234">
        <v>648</v>
      </c>
      <c r="G5" s="1234">
        <v>0</v>
      </c>
      <c r="H5" s="1233" t="s">
        <v>748</v>
      </c>
      <c r="I5" s="1235"/>
      <c r="J5" s="1233" t="s">
        <v>749</v>
      </c>
      <c r="K5" s="1236">
        <v>2613.9025980213473</v>
      </c>
      <c r="L5" s="1237">
        <v>15922.088097078302</v>
      </c>
      <c r="M5" s="1237">
        <v>4383.8906643958999</v>
      </c>
      <c r="N5" s="1237">
        <v>15922.088097078302</v>
      </c>
      <c r="O5" s="1238">
        <v>1</v>
      </c>
      <c r="P5" s="1238">
        <v>0</v>
      </c>
      <c r="Q5" s="1239">
        <v>5</v>
      </c>
      <c r="R5" s="1239">
        <v>1</v>
      </c>
      <c r="S5" s="1240" t="s">
        <v>750</v>
      </c>
      <c r="T5" s="1240">
        <v>45817</v>
      </c>
      <c r="U5" s="1240">
        <v>45862</v>
      </c>
      <c r="V5" s="1241">
        <v>152800000</v>
      </c>
      <c r="W5" s="1242">
        <v>9596.7312244704099</v>
      </c>
      <c r="X5" s="1243" t="s">
        <v>751</v>
      </c>
      <c r="Y5" s="1243" t="s">
        <v>752</v>
      </c>
      <c r="Z5" s="1243"/>
      <c r="AA5" s="1233" t="s">
        <v>733</v>
      </c>
      <c r="AB5" s="1244"/>
      <c r="AC5" s="1245"/>
      <c r="AD5" s="1246"/>
      <c r="AE5" s="1233"/>
      <c r="AF5" s="1247"/>
    </row>
    <row r="6" spans="1:32" ht="15.4" customHeight="1">
      <c r="A6" s="1233" t="s">
        <v>753</v>
      </c>
      <c r="B6" s="1233" t="s">
        <v>754</v>
      </c>
      <c r="C6" s="1233" t="s">
        <v>755</v>
      </c>
      <c r="D6" s="1233" t="s">
        <v>756</v>
      </c>
      <c r="E6" s="1233" t="s">
        <v>757</v>
      </c>
      <c r="F6" s="1234">
        <v>394</v>
      </c>
      <c r="G6" s="1234">
        <v>12</v>
      </c>
      <c r="H6" s="1233" t="s">
        <v>758</v>
      </c>
      <c r="I6" s="1235" t="s">
        <v>759</v>
      </c>
      <c r="J6" s="1233" t="s">
        <v>730</v>
      </c>
      <c r="K6" s="1236">
        <v>2170.9335999999998</v>
      </c>
      <c r="L6" s="1237">
        <v>16580.681424999999</v>
      </c>
      <c r="M6" s="1237">
        <v>4343.44625</v>
      </c>
      <c r="N6" s="1237">
        <v>16580.681424999999</v>
      </c>
      <c r="O6" s="1238">
        <v>2</v>
      </c>
      <c r="P6" s="1238">
        <v>0</v>
      </c>
      <c r="Q6" s="1239">
        <v>6</v>
      </c>
      <c r="R6" s="1239">
        <v>1</v>
      </c>
      <c r="S6" s="1240">
        <v>44881</v>
      </c>
      <c r="T6" s="1240">
        <v>44959</v>
      </c>
      <c r="U6" s="1240">
        <v>45348</v>
      </c>
      <c r="V6" s="1241">
        <v>158691000</v>
      </c>
      <c r="W6" s="1242">
        <v>9570.8370441717234</v>
      </c>
      <c r="X6" s="1243" t="s">
        <v>760</v>
      </c>
      <c r="Y6" s="1243" t="s">
        <v>761</v>
      </c>
      <c r="Z6" s="1243" t="s">
        <v>731</v>
      </c>
      <c r="AA6" s="1233" t="s">
        <v>733</v>
      </c>
      <c r="AB6" s="1244"/>
      <c r="AC6" s="1245"/>
      <c r="AD6" s="1246"/>
      <c r="AE6" s="1233"/>
      <c r="AF6" s="1247"/>
    </row>
    <row r="7" spans="1:32" ht="15.4" customHeight="1">
      <c r="A7" s="1233" t="s">
        <v>762</v>
      </c>
      <c r="B7" s="1233" t="s">
        <v>726</v>
      </c>
      <c r="C7" s="1233" t="s">
        <v>763</v>
      </c>
      <c r="D7" s="1233" t="s">
        <v>764</v>
      </c>
      <c r="E7" s="1233" t="s">
        <v>765</v>
      </c>
      <c r="F7" s="1234">
        <v>266</v>
      </c>
      <c r="G7" s="1234">
        <v>0</v>
      </c>
      <c r="H7" s="1233" t="s">
        <v>766</v>
      </c>
      <c r="I7" s="1235"/>
      <c r="J7" s="1233" t="s">
        <v>749</v>
      </c>
      <c r="K7" s="1236">
        <v>4118.53</v>
      </c>
      <c r="L7" s="1237">
        <v>15776.094949999999</v>
      </c>
      <c r="M7" s="1237">
        <v>11621.445</v>
      </c>
      <c r="N7" s="1237">
        <v>15776.094949999999</v>
      </c>
      <c r="O7" s="1238">
        <v>1</v>
      </c>
      <c r="P7" s="1238">
        <v>1</v>
      </c>
      <c r="Q7" s="1239">
        <v>3</v>
      </c>
      <c r="R7" s="1239">
        <v>1</v>
      </c>
      <c r="S7" s="1240">
        <v>45231</v>
      </c>
      <c r="T7" s="1240">
        <v>44432</v>
      </c>
      <c r="U7" s="1240">
        <v>45364</v>
      </c>
      <c r="V7" s="1241">
        <v>149100000</v>
      </c>
      <c r="W7" s="1242">
        <v>9451.0080265458855</v>
      </c>
      <c r="X7" s="1243" t="s">
        <v>767</v>
      </c>
      <c r="Y7" s="1243" t="s">
        <v>768</v>
      </c>
      <c r="Z7" s="1243" t="s">
        <v>769</v>
      </c>
      <c r="AA7" s="1233" t="s">
        <v>770</v>
      </c>
      <c r="AB7" s="1244"/>
      <c r="AC7" s="1245">
        <v>5.8000000000000003E-2</v>
      </c>
      <c r="AD7" s="1246" t="s">
        <v>742</v>
      </c>
      <c r="AE7" s="1233" t="s">
        <v>771</v>
      </c>
      <c r="AF7" s="1247">
        <v>5.3999999999999999E-2</v>
      </c>
    </row>
    <row r="8" spans="1:32" ht="15.4" customHeight="1">
      <c r="A8" s="1269" t="s">
        <v>772</v>
      </c>
      <c r="B8" s="1269" t="s">
        <v>726</v>
      </c>
      <c r="C8" s="1269" t="s">
        <v>745</v>
      </c>
      <c r="D8" s="1269" t="s">
        <v>746</v>
      </c>
      <c r="E8" s="1269" t="s">
        <v>747</v>
      </c>
      <c r="F8" s="1270">
        <v>748</v>
      </c>
      <c r="G8" s="1270">
        <v>0</v>
      </c>
      <c r="H8" s="1269" t="s">
        <v>738</v>
      </c>
      <c r="I8" s="1271"/>
      <c r="J8" s="1269" t="s">
        <v>749</v>
      </c>
      <c r="K8" s="1272">
        <v>4672.478700217951</v>
      </c>
      <c r="L8" s="1273">
        <v>23690.935738410088</v>
      </c>
      <c r="M8" s="1273">
        <v>7863.971794898941</v>
      </c>
      <c r="N8" s="1273">
        <v>23690.935738410088</v>
      </c>
      <c r="O8" s="1274">
        <v>1</v>
      </c>
      <c r="P8" s="1274">
        <v>0</v>
      </c>
      <c r="Q8" s="1275">
        <v>4</v>
      </c>
      <c r="R8" s="1275">
        <v>1</v>
      </c>
      <c r="S8" s="1276" t="s">
        <v>773</v>
      </c>
      <c r="T8" s="1276">
        <v>45813</v>
      </c>
      <c r="U8" s="1276">
        <v>45862</v>
      </c>
      <c r="V8" s="1277">
        <v>216700000</v>
      </c>
      <c r="W8" s="1278">
        <v>9146.9582456662756</v>
      </c>
      <c r="X8" s="1279" t="s">
        <v>774</v>
      </c>
      <c r="Y8" s="1279" t="s">
        <v>775</v>
      </c>
      <c r="Z8" s="1279" t="s">
        <v>776</v>
      </c>
      <c r="AA8" s="1269" t="s">
        <v>733</v>
      </c>
      <c r="AB8" s="1280"/>
      <c r="AC8" s="1281"/>
      <c r="AD8" s="1282"/>
      <c r="AE8" s="1269" t="s">
        <v>777</v>
      </c>
      <c r="AF8" s="1283">
        <v>6.2E-2</v>
      </c>
    </row>
    <row r="9" spans="1:32" ht="15.4" customHeight="1">
      <c r="A9" s="1233" t="s">
        <v>778</v>
      </c>
      <c r="B9" s="1233" t="s">
        <v>726</v>
      </c>
      <c r="C9" s="1233" t="s">
        <v>763</v>
      </c>
      <c r="D9" s="1233" t="s">
        <v>779</v>
      </c>
      <c r="E9" s="1233" t="s">
        <v>780</v>
      </c>
      <c r="F9" s="1234">
        <v>434</v>
      </c>
      <c r="G9" s="1234">
        <v>6</v>
      </c>
      <c r="H9" s="1233" t="s">
        <v>781</v>
      </c>
      <c r="I9" s="1235"/>
      <c r="J9" s="1233" t="s">
        <v>782</v>
      </c>
      <c r="K9" s="1236">
        <v>3519.754006990775</v>
      </c>
      <c r="L9" s="1237">
        <v>14910.485709143213</v>
      </c>
      <c r="M9" s="1237">
        <v>9073.4878402557933</v>
      </c>
      <c r="N9" s="1237">
        <v>14910.485709143213</v>
      </c>
      <c r="O9" s="1238">
        <v>1</v>
      </c>
      <c r="P9" s="1238">
        <v>0</v>
      </c>
      <c r="Q9" s="1239">
        <v>4</v>
      </c>
      <c r="R9" s="1239">
        <v>2</v>
      </c>
      <c r="S9" s="1240" t="s">
        <v>783</v>
      </c>
      <c r="T9" s="1240">
        <v>45813</v>
      </c>
      <c r="U9" s="1240">
        <v>45862</v>
      </c>
      <c r="V9" s="1241">
        <v>134300000</v>
      </c>
      <c r="W9" s="1242">
        <v>9007.0841835585743</v>
      </c>
      <c r="X9" s="1243" t="s">
        <v>784</v>
      </c>
      <c r="Y9" s="1243" t="s">
        <v>775</v>
      </c>
      <c r="Z9" s="1243" t="s">
        <v>785</v>
      </c>
      <c r="AA9" s="1233" t="s">
        <v>733</v>
      </c>
      <c r="AB9" s="1244"/>
      <c r="AC9" s="1245"/>
      <c r="AD9" s="1246"/>
      <c r="AE9" s="1233" t="s">
        <v>786</v>
      </c>
      <c r="AF9" s="1247">
        <v>6.2E-2</v>
      </c>
    </row>
    <row r="10" spans="1:32" ht="15.4" customHeight="1">
      <c r="A10" s="1269" t="s">
        <v>787</v>
      </c>
      <c r="B10" s="1269" t="s">
        <v>726</v>
      </c>
      <c r="C10" s="1269" t="s">
        <v>788</v>
      </c>
      <c r="D10" s="1269" t="s">
        <v>789</v>
      </c>
      <c r="E10" s="1269" t="s">
        <v>790</v>
      </c>
      <c r="F10" s="1270">
        <v>222</v>
      </c>
      <c r="G10" s="1270">
        <v>11</v>
      </c>
      <c r="H10" s="1269"/>
      <c r="I10" s="1271"/>
      <c r="J10" s="1269" t="s">
        <v>749</v>
      </c>
      <c r="K10" s="1272">
        <v>3416.76</v>
      </c>
      <c r="L10" s="1273">
        <v>24839.554574999998</v>
      </c>
      <c r="M10" s="1273">
        <v>5731.2255000000005</v>
      </c>
      <c r="N10" s="1273">
        <v>24839.554574999998</v>
      </c>
      <c r="O10" s="1274">
        <v>1</v>
      </c>
      <c r="P10" s="1274">
        <v>0</v>
      </c>
      <c r="Q10" s="1275">
        <v>12</v>
      </c>
      <c r="R10" s="1275">
        <v>2</v>
      </c>
      <c r="S10" s="1276" t="s">
        <v>791</v>
      </c>
      <c r="T10" s="1276"/>
      <c r="U10" s="1276">
        <v>45499</v>
      </c>
      <c r="V10" s="1277">
        <v>223200000</v>
      </c>
      <c r="W10" s="1278">
        <v>8985.6683752550744</v>
      </c>
      <c r="X10" s="1279" t="s">
        <v>792</v>
      </c>
      <c r="Y10" s="1279" t="s">
        <v>793</v>
      </c>
      <c r="Z10" s="1279" t="s">
        <v>794</v>
      </c>
      <c r="AA10" s="1269" t="s">
        <v>770</v>
      </c>
      <c r="AB10" s="1280"/>
      <c r="AC10" s="1281"/>
      <c r="AD10" s="1282"/>
      <c r="AE10" s="1269"/>
      <c r="AF10" s="1283"/>
    </row>
    <row r="11" spans="1:32" ht="15.4" customHeight="1">
      <c r="V11" s="1248">
        <f>V10/M10</f>
        <v>38944.550340934933</v>
      </c>
    </row>
    <row r="12" spans="1:32" ht="15.4" customHeight="1">
      <c r="B12" t="s">
        <v>804</v>
      </c>
    </row>
    <row r="13" spans="1:32" ht="15.4" customHeight="1">
      <c r="B13" t="s">
        <v>803</v>
      </c>
    </row>
    <row r="14" spans="1:32" ht="15.4" customHeight="1">
      <c r="B14" t="s">
        <v>805</v>
      </c>
    </row>
    <row r="15" spans="1:32" ht="15.4" customHeight="1">
      <c r="B15" t="s">
        <v>806</v>
      </c>
    </row>
    <row r="16" spans="1:32" ht="15.4" customHeight="1">
      <c r="B16" t="s">
        <v>804</v>
      </c>
    </row>
    <row r="19" spans="2:8" ht="15.4" customHeight="1" thickBot="1"/>
    <row r="20" spans="2:8" ht="15.4" customHeight="1">
      <c r="B20" s="3131" t="s">
        <v>619</v>
      </c>
      <c r="C20" s="3131" t="s">
        <v>807</v>
      </c>
      <c r="D20" s="1289" t="s">
        <v>808</v>
      </c>
      <c r="E20" s="1289" t="s">
        <v>810</v>
      </c>
      <c r="F20" s="1289" t="s">
        <v>811</v>
      </c>
      <c r="G20" s="1289" t="s">
        <v>811</v>
      </c>
      <c r="H20" s="1289" t="s">
        <v>814</v>
      </c>
    </row>
    <row r="21" spans="2:8" ht="15.4" customHeight="1">
      <c r="B21" s="3132"/>
      <c r="C21" s="3132"/>
      <c r="D21" s="1290" t="s">
        <v>809</v>
      </c>
      <c r="E21" s="1290" t="s">
        <v>809</v>
      </c>
      <c r="F21" s="1290" t="s">
        <v>812</v>
      </c>
      <c r="G21" s="1290" t="s">
        <v>813</v>
      </c>
      <c r="H21" s="1290">
        <v>3</v>
      </c>
    </row>
    <row r="22" spans="2:8" ht="15.4" customHeight="1">
      <c r="B22" s="1284" t="s">
        <v>815</v>
      </c>
      <c r="C22" s="1291"/>
      <c r="D22" s="1291"/>
      <c r="E22" s="1291"/>
      <c r="F22" s="1291"/>
      <c r="G22" s="1291"/>
      <c r="H22" s="1291"/>
    </row>
    <row r="23" spans="2:8" ht="15.4" customHeight="1">
      <c r="B23" s="3133" t="s">
        <v>816</v>
      </c>
      <c r="C23" s="3135" t="str">
        <f>'A&amp;R'!K17</f>
        <v>경기도 안양시 동안구 관양동 934,934-1</v>
      </c>
      <c r="D23" s="1285" t="s">
        <v>817</v>
      </c>
      <c r="E23" s="1285" t="s">
        <v>819</v>
      </c>
      <c r="F23" s="1285" t="s">
        <v>821</v>
      </c>
      <c r="G23" s="1285" t="s">
        <v>823</v>
      </c>
      <c r="H23" s="1285" t="s">
        <v>821</v>
      </c>
    </row>
    <row r="24" spans="2:8" ht="15.4" customHeight="1">
      <c r="B24" s="3134"/>
      <c r="C24" s="3136"/>
      <c r="D24" s="1286" t="s">
        <v>818</v>
      </c>
      <c r="E24" s="1286" t="s">
        <v>820</v>
      </c>
      <c r="F24" s="1286" t="s">
        <v>822</v>
      </c>
      <c r="G24" s="1286" t="s">
        <v>824</v>
      </c>
      <c r="H24" s="1286" t="s">
        <v>825</v>
      </c>
    </row>
    <row r="25" spans="2:8" ht="15.4" customHeight="1">
      <c r="B25" s="1286" t="s">
        <v>831</v>
      </c>
      <c r="C25" s="1298">
        <v>45254</v>
      </c>
      <c r="D25" s="1295">
        <f>S3</f>
        <v>45222</v>
      </c>
      <c r="E25" s="1295" t="str">
        <f>S10</f>
        <v>2024-04-18</v>
      </c>
      <c r="F25" s="1295" t="str">
        <f>S8</f>
        <v>2013-11-25</v>
      </c>
      <c r="G25" s="1295">
        <f>S7</f>
        <v>45231</v>
      </c>
      <c r="H25" s="1295" t="str">
        <f>S5</f>
        <v>2019-09-02</v>
      </c>
    </row>
    <row r="26" spans="2:8" ht="15.4" customHeight="1">
      <c r="B26" s="1287" t="s">
        <v>79</v>
      </c>
      <c r="C26" s="1294">
        <f>'A&amp;R'!K22</f>
        <v>4543.3987500000003</v>
      </c>
      <c r="D26" s="1294">
        <f>M3</f>
        <v>4293.1102499999997</v>
      </c>
      <c r="E26" s="1294">
        <f>M10</f>
        <v>5731.2255000000005</v>
      </c>
      <c r="F26" s="1294">
        <f>M8</f>
        <v>7863.971794898941</v>
      </c>
      <c r="G26" s="1294">
        <f>M9</f>
        <v>9073.4878402557933</v>
      </c>
      <c r="H26" s="1294">
        <f>M5</f>
        <v>4383.8906643958999</v>
      </c>
    </row>
    <row r="27" spans="2:8" ht="15.4" customHeight="1">
      <c r="B27" s="1287" t="s">
        <v>94</v>
      </c>
      <c r="C27" s="1294">
        <f>'A&amp;R'!K31</f>
        <v>28881.063474999999</v>
      </c>
      <c r="D27" s="1294">
        <f>L3</f>
        <v>21340.425149999999</v>
      </c>
      <c r="E27" s="1294">
        <f>L10</f>
        <v>24839.554574999998</v>
      </c>
      <c r="F27" s="1294">
        <f>L8</f>
        <v>23690.935738410088</v>
      </c>
      <c r="G27" s="1294">
        <f>L9</f>
        <v>14910.485709143213</v>
      </c>
      <c r="H27" s="1294">
        <f>L5</f>
        <v>15922.088097078302</v>
      </c>
    </row>
    <row r="28" spans="2:8" ht="15.4" customHeight="1">
      <c r="B28" s="1287" t="s">
        <v>826</v>
      </c>
      <c r="C28" s="1296">
        <f>'A&amp;R'!E35</f>
        <v>46326</v>
      </c>
      <c r="D28" s="1296">
        <f>U3</f>
        <v>45412</v>
      </c>
      <c r="E28" s="1296">
        <f>U10</f>
        <v>45499</v>
      </c>
      <c r="F28" s="1296">
        <f>U8</f>
        <v>45862</v>
      </c>
      <c r="G28" s="1296">
        <f>U9</f>
        <v>45862</v>
      </c>
      <c r="H28" s="1296">
        <f>U5</f>
        <v>45862</v>
      </c>
    </row>
    <row r="29" spans="2:8" ht="15.4" customHeight="1">
      <c r="B29" s="1287" t="s">
        <v>827</v>
      </c>
      <c r="C29" s="1294">
        <f>'A&amp;R'!O5/1000</f>
        <v>270000</v>
      </c>
      <c r="D29" s="1294">
        <f>V3/1000</f>
        <v>222600</v>
      </c>
      <c r="E29" s="1294">
        <f>V10/1000</f>
        <v>223200</v>
      </c>
      <c r="F29" s="1294">
        <f>V8/1000</f>
        <v>216700</v>
      </c>
      <c r="G29" s="1294">
        <f>V9/1000</f>
        <v>134300</v>
      </c>
      <c r="H29" s="1294">
        <f>V5/1000</f>
        <v>152800</v>
      </c>
    </row>
    <row r="30" spans="2:8" ht="15.4" customHeight="1">
      <c r="B30" s="1287" t="s">
        <v>828</v>
      </c>
      <c r="C30" s="1297">
        <f t="shared" ref="C30:H30" si="0">C29/C27*100</f>
        <v>934.86862155791857</v>
      </c>
      <c r="D30" s="1297">
        <f t="shared" si="0"/>
        <v>1043.0907464840268</v>
      </c>
      <c r="E30" s="1297">
        <f t="shared" si="0"/>
        <v>898.56683752550759</v>
      </c>
      <c r="F30" s="1297">
        <f t="shared" si="0"/>
        <v>914.69582456662749</v>
      </c>
      <c r="G30" s="1297">
        <f t="shared" si="0"/>
        <v>900.70841835585748</v>
      </c>
      <c r="H30" s="1297">
        <f t="shared" si="0"/>
        <v>959.67312244704101</v>
      </c>
    </row>
    <row r="31" spans="2:8" ht="15.4" customHeight="1">
      <c r="B31" s="1287" t="s">
        <v>829</v>
      </c>
      <c r="C31" s="1292" t="s">
        <v>836</v>
      </c>
      <c r="D31" s="1292" t="s">
        <v>832</v>
      </c>
      <c r="E31" s="1292" t="s">
        <v>792</v>
      </c>
      <c r="F31" s="1292" t="s">
        <v>784</v>
      </c>
      <c r="G31" s="1292" t="s">
        <v>784</v>
      </c>
      <c r="H31" s="1292" t="s">
        <v>751</v>
      </c>
    </row>
    <row r="32" spans="2:8" ht="15.4" customHeight="1" thickBot="1">
      <c r="B32" s="1288" t="s">
        <v>830</v>
      </c>
      <c r="C32" s="1293" t="s">
        <v>835</v>
      </c>
      <c r="D32" s="1293" t="s">
        <v>833</v>
      </c>
      <c r="E32" s="1293" t="s">
        <v>834</v>
      </c>
      <c r="F32" s="1293" t="s">
        <v>775</v>
      </c>
      <c r="G32" s="1293" t="s">
        <v>775</v>
      </c>
      <c r="H32" s="1293" t="s">
        <v>752</v>
      </c>
    </row>
  </sheetData>
  <mergeCells count="4">
    <mergeCell ref="B20:B21"/>
    <mergeCell ref="C20:C21"/>
    <mergeCell ref="B23:B24"/>
    <mergeCell ref="C23:C24"/>
  </mergeCells>
  <phoneticPr fontId="2" type="noConversion"/>
  <conditionalFormatting sqref="B2:I2">
    <cfRule type="duplicateValues" dxfId="2" priority="3"/>
  </conditionalFormatting>
  <conditionalFormatting sqref="O2:P2">
    <cfRule type="duplicateValues" dxfId="1" priority="1"/>
  </conditionalFormatting>
  <conditionalFormatting sqref="Q2:S2">
    <cfRule type="duplicateValues" dxfId="0" priority="2"/>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6342B-1FF1-490E-842B-A74273C6C5C5}">
  <sheetPr codeName="Sheet17">
    <tabColor rgb="FFC00000"/>
  </sheetPr>
  <dimension ref="A1"/>
  <sheetViews>
    <sheetView workbookViewId="0">
      <selection activeCell="R30" sqref="R30"/>
    </sheetView>
  </sheetViews>
  <sheetFormatPr defaultRowHeight="16.5"/>
  <sheetData/>
  <phoneticPr fontId="2" type="noConversion"/>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D6874-8677-4338-9728-831779530DD1}">
  <dimension ref="A1:T46"/>
  <sheetViews>
    <sheetView showGridLines="0" workbookViewId="0">
      <selection activeCell="D953" sqref="D953"/>
    </sheetView>
  </sheetViews>
  <sheetFormatPr defaultRowHeight="11.25"/>
  <cols>
    <col min="1" max="1" width="8.25" style="2692" customWidth="1"/>
    <col min="2" max="4" width="12.25" style="2692" customWidth="1"/>
    <col min="5" max="20" width="5.5" style="2692" customWidth="1"/>
    <col min="21" max="256" width="9" style="2692"/>
    <col min="257" max="257" width="8.25" style="2692" customWidth="1"/>
    <col min="258" max="260" width="12.25" style="2692" customWidth="1"/>
    <col min="261" max="276" width="5.5" style="2692" customWidth="1"/>
    <col min="277" max="512" width="9" style="2692"/>
    <col min="513" max="513" width="8.25" style="2692" customWidth="1"/>
    <col min="514" max="516" width="12.25" style="2692" customWidth="1"/>
    <col min="517" max="532" width="5.5" style="2692" customWidth="1"/>
    <col min="533" max="768" width="9" style="2692"/>
    <col min="769" max="769" width="8.25" style="2692" customWidth="1"/>
    <col min="770" max="772" width="12.25" style="2692" customWidth="1"/>
    <col min="773" max="788" width="5.5" style="2692" customWidth="1"/>
    <col min="789" max="1024" width="9" style="2692"/>
    <col min="1025" max="1025" width="8.25" style="2692" customWidth="1"/>
    <col min="1026" max="1028" width="12.25" style="2692" customWidth="1"/>
    <col min="1029" max="1044" width="5.5" style="2692" customWidth="1"/>
    <col min="1045" max="1280" width="9" style="2692"/>
    <col min="1281" max="1281" width="8.25" style="2692" customWidth="1"/>
    <col min="1282" max="1284" width="12.25" style="2692" customWidth="1"/>
    <col min="1285" max="1300" width="5.5" style="2692" customWidth="1"/>
    <col min="1301" max="1536" width="9" style="2692"/>
    <col min="1537" max="1537" width="8.25" style="2692" customWidth="1"/>
    <col min="1538" max="1540" width="12.25" style="2692" customWidth="1"/>
    <col min="1541" max="1556" width="5.5" style="2692" customWidth="1"/>
    <col min="1557" max="1792" width="9" style="2692"/>
    <col min="1793" max="1793" width="8.25" style="2692" customWidth="1"/>
    <col min="1794" max="1796" width="12.25" style="2692" customWidth="1"/>
    <col min="1797" max="1812" width="5.5" style="2692" customWidth="1"/>
    <col min="1813" max="2048" width="9" style="2692"/>
    <col min="2049" max="2049" width="8.25" style="2692" customWidth="1"/>
    <col min="2050" max="2052" width="12.25" style="2692" customWidth="1"/>
    <col min="2053" max="2068" width="5.5" style="2692" customWidth="1"/>
    <col min="2069" max="2304" width="9" style="2692"/>
    <col min="2305" max="2305" width="8.25" style="2692" customWidth="1"/>
    <col min="2306" max="2308" width="12.25" style="2692" customWidth="1"/>
    <col min="2309" max="2324" width="5.5" style="2692" customWidth="1"/>
    <col min="2325" max="2560" width="9" style="2692"/>
    <col min="2561" max="2561" width="8.25" style="2692" customWidth="1"/>
    <col min="2562" max="2564" width="12.25" style="2692" customWidth="1"/>
    <col min="2565" max="2580" width="5.5" style="2692" customWidth="1"/>
    <col min="2581" max="2816" width="9" style="2692"/>
    <col min="2817" max="2817" width="8.25" style="2692" customWidth="1"/>
    <col min="2818" max="2820" width="12.25" style="2692" customWidth="1"/>
    <col min="2821" max="2836" width="5.5" style="2692" customWidth="1"/>
    <col min="2837" max="3072" width="9" style="2692"/>
    <col min="3073" max="3073" width="8.25" style="2692" customWidth="1"/>
    <col min="3074" max="3076" width="12.25" style="2692" customWidth="1"/>
    <col min="3077" max="3092" width="5.5" style="2692" customWidth="1"/>
    <col min="3093" max="3328" width="9" style="2692"/>
    <col min="3329" max="3329" width="8.25" style="2692" customWidth="1"/>
    <col min="3330" max="3332" width="12.25" style="2692" customWidth="1"/>
    <col min="3333" max="3348" width="5.5" style="2692" customWidth="1"/>
    <col min="3349" max="3584" width="9" style="2692"/>
    <col min="3585" max="3585" width="8.25" style="2692" customWidth="1"/>
    <col min="3586" max="3588" width="12.25" style="2692" customWidth="1"/>
    <col min="3589" max="3604" width="5.5" style="2692" customWidth="1"/>
    <col min="3605" max="3840" width="9" style="2692"/>
    <col min="3841" max="3841" width="8.25" style="2692" customWidth="1"/>
    <col min="3842" max="3844" width="12.25" style="2692" customWidth="1"/>
    <col min="3845" max="3860" width="5.5" style="2692" customWidth="1"/>
    <col min="3861" max="4096" width="9" style="2692"/>
    <col min="4097" max="4097" width="8.25" style="2692" customWidth="1"/>
    <col min="4098" max="4100" width="12.25" style="2692" customWidth="1"/>
    <col min="4101" max="4116" width="5.5" style="2692" customWidth="1"/>
    <col min="4117" max="4352" width="9" style="2692"/>
    <col min="4353" max="4353" width="8.25" style="2692" customWidth="1"/>
    <col min="4354" max="4356" width="12.25" style="2692" customWidth="1"/>
    <col min="4357" max="4372" width="5.5" style="2692" customWidth="1"/>
    <col min="4373" max="4608" width="9" style="2692"/>
    <col min="4609" max="4609" width="8.25" style="2692" customWidth="1"/>
    <col min="4610" max="4612" width="12.25" style="2692" customWidth="1"/>
    <col min="4613" max="4628" width="5.5" style="2692" customWidth="1"/>
    <col min="4629" max="4864" width="9" style="2692"/>
    <col min="4865" max="4865" width="8.25" style="2692" customWidth="1"/>
    <col min="4866" max="4868" width="12.25" style="2692" customWidth="1"/>
    <col min="4869" max="4884" width="5.5" style="2692" customWidth="1"/>
    <col min="4885" max="5120" width="9" style="2692"/>
    <col min="5121" max="5121" width="8.25" style="2692" customWidth="1"/>
    <col min="5122" max="5124" width="12.25" style="2692" customWidth="1"/>
    <col min="5125" max="5140" width="5.5" style="2692" customWidth="1"/>
    <col min="5141" max="5376" width="9" style="2692"/>
    <col min="5377" max="5377" width="8.25" style="2692" customWidth="1"/>
    <col min="5378" max="5380" width="12.25" style="2692" customWidth="1"/>
    <col min="5381" max="5396" width="5.5" style="2692" customWidth="1"/>
    <col min="5397" max="5632" width="9" style="2692"/>
    <col min="5633" max="5633" width="8.25" style="2692" customWidth="1"/>
    <col min="5634" max="5636" width="12.25" style="2692" customWidth="1"/>
    <col min="5637" max="5652" width="5.5" style="2692" customWidth="1"/>
    <col min="5653" max="5888" width="9" style="2692"/>
    <col min="5889" max="5889" width="8.25" style="2692" customWidth="1"/>
    <col min="5890" max="5892" width="12.25" style="2692" customWidth="1"/>
    <col min="5893" max="5908" width="5.5" style="2692" customWidth="1"/>
    <col min="5909" max="6144" width="9" style="2692"/>
    <col min="6145" max="6145" width="8.25" style="2692" customWidth="1"/>
    <col min="6146" max="6148" width="12.25" style="2692" customWidth="1"/>
    <col min="6149" max="6164" width="5.5" style="2692" customWidth="1"/>
    <col min="6165" max="6400" width="9" style="2692"/>
    <col min="6401" max="6401" width="8.25" style="2692" customWidth="1"/>
    <col min="6402" max="6404" width="12.25" style="2692" customWidth="1"/>
    <col min="6405" max="6420" width="5.5" style="2692" customWidth="1"/>
    <col min="6421" max="6656" width="9" style="2692"/>
    <col min="6657" max="6657" width="8.25" style="2692" customWidth="1"/>
    <col min="6658" max="6660" width="12.25" style="2692" customWidth="1"/>
    <col min="6661" max="6676" width="5.5" style="2692" customWidth="1"/>
    <col min="6677" max="6912" width="9" style="2692"/>
    <col min="6913" max="6913" width="8.25" style="2692" customWidth="1"/>
    <col min="6914" max="6916" width="12.25" style="2692" customWidth="1"/>
    <col min="6917" max="6932" width="5.5" style="2692" customWidth="1"/>
    <col min="6933" max="7168" width="9" style="2692"/>
    <col min="7169" max="7169" width="8.25" style="2692" customWidth="1"/>
    <col min="7170" max="7172" width="12.25" style="2692" customWidth="1"/>
    <col min="7173" max="7188" width="5.5" style="2692" customWidth="1"/>
    <col min="7189" max="7424" width="9" style="2692"/>
    <col min="7425" max="7425" width="8.25" style="2692" customWidth="1"/>
    <col min="7426" max="7428" width="12.25" style="2692" customWidth="1"/>
    <col min="7429" max="7444" width="5.5" style="2692" customWidth="1"/>
    <col min="7445" max="7680" width="9" style="2692"/>
    <col min="7681" max="7681" width="8.25" style="2692" customWidth="1"/>
    <col min="7682" max="7684" width="12.25" style="2692" customWidth="1"/>
    <col min="7685" max="7700" width="5.5" style="2692" customWidth="1"/>
    <col min="7701" max="7936" width="9" style="2692"/>
    <col min="7937" max="7937" width="8.25" style="2692" customWidth="1"/>
    <col min="7938" max="7940" width="12.25" style="2692" customWidth="1"/>
    <col min="7941" max="7956" width="5.5" style="2692" customWidth="1"/>
    <col min="7957" max="8192" width="9" style="2692"/>
    <col min="8193" max="8193" width="8.25" style="2692" customWidth="1"/>
    <col min="8194" max="8196" width="12.25" style="2692" customWidth="1"/>
    <col min="8197" max="8212" width="5.5" style="2692" customWidth="1"/>
    <col min="8213" max="8448" width="9" style="2692"/>
    <col min="8449" max="8449" width="8.25" style="2692" customWidth="1"/>
    <col min="8450" max="8452" width="12.25" style="2692" customWidth="1"/>
    <col min="8453" max="8468" width="5.5" style="2692" customWidth="1"/>
    <col min="8469" max="8704" width="9" style="2692"/>
    <col min="8705" max="8705" width="8.25" style="2692" customWidth="1"/>
    <col min="8706" max="8708" width="12.25" style="2692" customWidth="1"/>
    <col min="8709" max="8724" width="5.5" style="2692" customWidth="1"/>
    <col min="8725" max="8960" width="9" style="2692"/>
    <col min="8961" max="8961" width="8.25" style="2692" customWidth="1"/>
    <col min="8962" max="8964" width="12.25" style="2692" customWidth="1"/>
    <col min="8965" max="8980" width="5.5" style="2692" customWidth="1"/>
    <col min="8981" max="9216" width="9" style="2692"/>
    <col min="9217" max="9217" width="8.25" style="2692" customWidth="1"/>
    <col min="9218" max="9220" width="12.25" style="2692" customWidth="1"/>
    <col min="9221" max="9236" width="5.5" style="2692" customWidth="1"/>
    <col min="9237" max="9472" width="9" style="2692"/>
    <col min="9473" max="9473" width="8.25" style="2692" customWidth="1"/>
    <col min="9474" max="9476" width="12.25" style="2692" customWidth="1"/>
    <col min="9477" max="9492" width="5.5" style="2692" customWidth="1"/>
    <col min="9493" max="9728" width="9" style="2692"/>
    <col min="9729" max="9729" width="8.25" style="2692" customWidth="1"/>
    <col min="9730" max="9732" width="12.25" style="2692" customWidth="1"/>
    <col min="9733" max="9748" width="5.5" style="2692" customWidth="1"/>
    <col min="9749" max="9984" width="9" style="2692"/>
    <col min="9985" max="9985" width="8.25" style="2692" customWidth="1"/>
    <col min="9986" max="9988" width="12.25" style="2692" customWidth="1"/>
    <col min="9989" max="10004" width="5.5" style="2692" customWidth="1"/>
    <col min="10005" max="10240" width="9" style="2692"/>
    <col min="10241" max="10241" width="8.25" style="2692" customWidth="1"/>
    <col min="10242" max="10244" width="12.25" style="2692" customWidth="1"/>
    <col min="10245" max="10260" width="5.5" style="2692" customWidth="1"/>
    <col min="10261" max="10496" width="9" style="2692"/>
    <col min="10497" max="10497" width="8.25" style="2692" customWidth="1"/>
    <col min="10498" max="10500" width="12.25" style="2692" customWidth="1"/>
    <col min="10501" max="10516" width="5.5" style="2692" customWidth="1"/>
    <col min="10517" max="10752" width="9" style="2692"/>
    <col min="10753" max="10753" width="8.25" style="2692" customWidth="1"/>
    <col min="10754" max="10756" width="12.25" style="2692" customWidth="1"/>
    <col min="10757" max="10772" width="5.5" style="2692" customWidth="1"/>
    <col min="10773" max="11008" width="9" style="2692"/>
    <col min="11009" max="11009" width="8.25" style="2692" customWidth="1"/>
    <col min="11010" max="11012" width="12.25" style="2692" customWidth="1"/>
    <col min="11013" max="11028" width="5.5" style="2692" customWidth="1"/>
    <col min="11029" max="11264" width="9" style="2692"/>
    <col min="11265" max="11265" width="8.25" style="2692" customWidth="1"/>
    <col min="11266" max="11268" width="12.25" style="2692" customWidth="1"/>
    <col min="11269" max="11284" width="5.5" style="2692" customWidth="1"/>
    <col min="11285" max="11520" width="9" style="2692"/>
    <col min="11521" max="11521" width="8.25" style="2692" customWidth="1"/>
    <col min="11522" max="11524" width="12.25" style="2692" customWidth="1"/>
    <col min="11525" max="11540" width="5.5" style="2692" customWidth="1"/>
    <col min="11541" max="11776" width="9" style="2692"/>
    <col min="11777" max="11777" width="8.25" style="2692" customWidth="1"/>
    <col min="11778" max="11780" width="12.25" style="2692" customWidth="1"/>
    <col min="11781" max="11796" width="5.5" style="2692" customWidth="1"/>
    <col min="11797" max="12032" width="9" style="2692"/>
    <col min="12033" max="12033" width="8.25" style="2692" customWidth="1"/>
    <col min="12034" max="12036" width="12.25" style="2692" customWidth="1"/>
    <col min="12037" max="12052" width="5.5" style="2692" customWidth="1"/>
    <col min="12053" max="12288" width="9" style="2692"/>
    <col min="12289" max="12289" width="8.25" style="2692" customWidth="1"/>
    <col min="12290" max="12292" width="12.25" style="2692" customWidth="1"/>
    <col min="12293" max="12308" width="5.5" style="2692" customWidth="1"/>
    <col min="12309" max="12544" width="9" style="2692"/>
    <col min="12545" max="12545" width="8.25" style="2692" customWidth="1"/>
    <col min="12546" max="12548" width="12.25" style="2692" customWidth="1"/>
    <col min="12549" max="12564" width="5.5" style="2692" customWidth="1"/>
    <col min="12565" max="12800" width="9" style="2692"/>
    <col min="12801" max="12801" width="8.25" style="2692" customWidth="1"/>
    <col min="12802" max="12804" width="12.25" style="2692" customWidth="1"/>
    <col min="12805" max="12820" width="5.5" style="2692" customWidth="1"/>
    <col min="12821" max="13056" width="9" style="2692"/>
    <col min="13057" max="13057" width="8.25" style="2692" customWidth="1"/>
    <col min="13058" max="13060" width="12.25" style="2692" customWidth="1"/>
    <col min="13061" max="13076" width="5.5" style="2692" customWidth="1"/>
    <col min="13077" max="13312" width="9" style="2692"/>
    <col min="13313" max="13313" width="8.25" style="2692" customWidth="1"/>
    <col min="13314" max="13316" width="12.25" style="2692" customWidth="1"/>
    <col min="13317" max="13332" width="5.5" style="2692" customWidth="1"/>
    <col min="13333" max="13568" width="9" style="2692"/>
    <col min="13569" max="13569" width="8.25" style="2692" customWidth="1"/>
    <col min="13570" max="13572" width="12.25" style="2692" customWidth="1"/>
    <col min="13573" max="13588" width="5.5" style="2692" customWidth="1"/>
    <col min="13589" max="13824" width="9" style="2692"/>
    <col min="13825" max="13825" width="8.25" style="2692" customWidth="1"/>
    <col min="13826" max="13828" width="12.25" style="2692" customWidth="1"/>
    <col min="13829" max="13844" width="5.5" style="2692" customWidth="1"/>
    <col min="13845" max="14080" width="9" style="2692"/>
    <col min="14081" max="14081" width="8.25" style="2692" customWidth="1"/>
    <col min="14082" max="14084" width="12.25" style="2692" customWidth="1"/>
    <col min="14085" max="14100" width="5.5" style="2692" customWidth="1"/>
    <col min="14101" max="14336" width="9" style="2692"/>
    <col min="14337" max="14337" width="8.25" style="2692" customWidth="1"/>
    <col min="14338" max="14340" width="12.25" style="2692" customWidth="1"/>
    <col min="14341" max="14356" width="5.5" style="2692" customWidth="1"/>
    <col min="14357" max="14592" width="9" style="2692"/>
    <col min="14593" max="14593" width="8.25" style="2692" customWidth="1"/>
    <col min="14594" max="14596" width="12.25" style="2692" customWidth="1"/>
    <col min="14597" max="14612" width="5.5" style="2692" customWidth="1"/>
    <col min="14613" max="14848" width="9" style="2692"/>
    <col min="14849" max="14849" width="8.25" style="2692" customWidth="1"/>
    <col min="14850" max="14852" width="12.25" style="2692" customWidth="1"/>
    <col min="14853" max="14868" width="5.5" style="2692" customWidth="1"/>
    <col min="14869" max="15104" width="9" style="2692"/>
    <col min="15105" max="15105" width="8.25" style="2692" customWidth="1"/>
    <col min="15106" max="15108" width="12.25" style="2692" customWidth="1"/>
    <col min="15109" max="15124" width="5.5" style="2692" customWidth="1"/>
    <col min="15125" max="15360" width="9" style="2692"/>
    <col min="15361" max="15361" width="8.25" style="2692" customWidth="1"/>
    <col min="15362" max="15364" width="12.25" style="2692" customWidth="1"/>
    <col min="15365" max="15380" width="5.5" style="2692" customWidth="1"/>
    <col min="15381" max="15616" width="9" style="2692"/>
    <col min="15617" max="15617" width="8.25" style="2692" customWidth="1"/>
    <col min="15618" max="15620" width="12.25" style="2692" customWidth="1"/>
    <col min="15621" max="15636" width="5.5" style="2692" customWidth="1"/>
    <col min="15637" max="15872" width="9" style="2692"/>
    <col min="15873" max="15873" width="8.25" style="2692" customWidth="1"/>
    <col min="15874" max="15876" width="12.25" style="2692" customWidth="1"/>
    <col min="15877" max="15892" width="5.5" style="2692" customWidth="1"/>
    <col min="15893" max="16128" width="9" style="2692"/>
    <col min="16129" max="16129" width="8.25" style="2692" customWidth="1"/>
    <col min="16130" max="16132" width="12.25" style="2692" customWidth="1"/>
    <col min="16133" max="16148" width="5.5" style="2692" customWidth="1"/>
    <col min="16149" max="16384" width="9" style="2692"/>
  </cols>
  <sheetData>
    <row r="1" spans="1:20">
      <c r="A1" s="2692" t="s">
        <v>2430</v>
      </c>
      <c r="B1" s="2698">
        <v>46274</v>
      </c>
    </row>
    <row r="3" spans="1:20">
      <c r="A3" s="2693" t="s">
        <v>1896</v>
      </c>
      <c r="B3" s="2693" t="s">
        <v>1897</v>
      </c>
      <c r="C3" s="2693" t="s">
        <v>1898</v>
      </c>
      <c r="D3" s="2693" t="s">
        <v>1899</v>
      </c>
      <c r="E3" s="2693" t="s">
        <v>1900</v>
      </c>
      <c r="F3" s="2693" t="s">
        <v>1901</v>
      </c>
      <c r="G3" s="2693" t="s">
        <v>1902</v>
      </c>
      <c r="H3" s="2693" t="s">
        <v>1903</v>
      </c>
      <c r="I3" s="2693" t="s">
        <v>1904</v>
      </c>
      <c r="J3" s="2693" t="s">
        <v>1905</v>
      </c>
      <c r="K3" s="2693" t="s">
        <v>1906</v>
      </c>
      <c r="L3" s="2693" t="s">
        <v>1907</v>
      </c>
      <c r="M3" s="2693" t="s">
        <v>1908</v>
      </c>
      <c r="N3" s="2693" t="s">
        <v>1909</v>
      </c>
      <c r="O3" s="2693" t="s">
        <v>1910</v>
      </c>
      <c r="P3" s="2693" t="s">
        <v>1911</v>
      </c>
      <c r="Q3" s="2693" t="s">
        <v>1912</v>
      </c>
      <c r="R3" s="2693" t="s">
        <v>1913</v>
      </c>
      <c r="S3" s="2693" t="s">
        <v>1914</v>
      </c>
      <c r="T3" s="2693" t="s">
        <v>1915</v>
      </c>
    </row>
    <row r="4" spans="1:20">
      <c r="A4" s="3137" t="s">
        <v>1916</v>
      </c>
      <c r="B4" s="2694" t="s">
        <v>1917</v>
      </c>
      <c r="C4" s="2694" t="s">
        <v>1918</v>
      </c>
      <c r="D4" s="2694" t="s">
        <v>1919</v>
      </c>
      <c r="E4" s="2694" t="s">
        <v>1920</v>
      </c>
      <c r="F4" s="2694" t="s">
        <v>1921</v>
      </c>
      <c r="G4" s="2694" t="s">
        <v>1922</v>
      </c>
      <c r="H4" s="2694" t="s">
        <v>1923</v>
      </c>
      <c r="I4" s="2694" t="s">
        <v>1924</v>
      </c>
      <c r="J4" s="2694" t="s">
        <v>1925</v>
      </c>
      <c r="K4" s="2694" t="s">
        <v>1926</v>
      </c>
      <c r="L4" s="2694" t="s">
        <v>1927</v>
      </c>
      <c r="M4" s="2694" t="s">
        <v>1928</v>
      </c>
      <c r="N4" s="2694" t="s">
        <v>1929</v>
      </c>
      <c r="O4" s="2694" t="s">
        <v>1930</v>
      </c>
      <c r="P4" s="2694" t="s">
        <v>1931</v>
      </c>
      <c r="Q4" s="2694" t="s">
        <v>1932</v>
      </c>
      <c r="R4" s="2694" t="s">
        <v>1933</v>
      </c>
      <c r="S4" s="2694" t="s">
        <v>1934</v>
      </c>
      <c r="T4" s="2694" t="s">
        <v>1935</v>
      </c>
    </row>
    <row r="5" spans="1:20">
      <c r="A5" s="3137" t="s">
        <v>1916</v>
      </c>
      <c r="B5" s="2694" t="s">
        <v>1936</v>
      </c>
      <c r="C5" s="2694" t="s">
        <v>1248</v>
      </c>
      <c r="D5" s="2694" t="s">
        <v>1919</v>
      </c>
      <c r="E5" s="2694" t="s">
        <v>1937</v>
      </c>
      <c r="F5" s="2694" t="s">
        <v>1938</v>
      </c>
      <c r="G5" s="2694" t="s">
        <v>1939</v>
      </c>
      <c r="H5" s="2694" t="s">
        <v>1940</v>
      </c>
      <c r="I5" s="2694" t="s">
        <v>1941</v>
      </c>
      <c r="J5" s="2694" t="s">
        <v>1942</v>
      </c>
      <c r="K5" s="2694" t="s">
        <v>1943</v>
      </c>
      <c r="L5" s="2694" t="s">
        <v>1944</v>
      </c>
      <c r="M5" s="2694" t="s">
        <v>1945</v>
      </c>
      <c r="N5" s="2694" t="s">
        <v>1946</v>
      </c>
      <c r="O5" s="2694" t="s">
        <v>1947</v>
      </c>
      <c r="P5" s="2694" t="s">
        <v>1948</v>
      </c>
      <c r="Q5" s="2694" t="s">
        <v>1248</v>
      </c>
      <c r="R5" s="2694" t="s">
        <v>1248</v>
      </c>
      <c r="S5" s="2694" t="s">
        <v>1248</v>
      </c>
      <c r="T5" s="2694" t="s">
        <v>1248</v>
      </c>
    </row>
    <row r="6" spans="1:20">
      <c r="A6" s="3137" t="s">
        <v>1916</v>
      </c>
      <c r="B6" s="2694" t="s">
        <v>1949</v>
      </c>
      <c r="C6" s="2694" t="s">
        <v>1950</v>
      </c>
      <c r="D6" s="2694" t="s">
        <v>1919</v>
      </c>
      <c r="E6" s="2694" t="s">
        <v>1951</v>
      </c>
      <c r="F6" s="2694" t="s">
        <v>1952</v>
      </c>
      <c r="G6" s="2694" t="s">
        <v>1953</v>
      </c>
      <c r="H6" s="2694" t="s">
        <v>1954</v>
      </c>
      <c r="I6" s="2694" t="s">
        <v>1955</v>
      </c>
      <c r="J6" s="2694" t="s">
        <v>1956</v>
      </c>
      <c r="K6" s="2694" t="s">
        <v>1957</v>
      </c>
      <c r="L6" s="2694" t="s">
        <v>1958</v>
      </c>
      <c r="M6" s="2694" t="s">
        <v>1959</v>
      </c>
      <c r="N6" s="2694" t="s">
        <v>1960</v>
      </c>
      <c r="O6" s="2694" t="s">
        <v>1248</v>
      </c>
      <c r="P6" s="2694" t="s">
        <v>1248</v>
      </c>
      <c r="Q6" s="2694" t="s">
        <v>1248</v>
      </c>
      <c r="R6" s="2694" t="s">
        <v>1248</v>
      </c>
      <c r="S6" s="2694" t="s">
        <v>1248</v>
      </c>
      <c r="T6" s="2694" t="s">
        <v>1248</v>
      </c>
    </row>
    <row r="7" spans="1:20">
      <c r="A7" s="3137" t="s">
        <v>1961</v>
      </c>
      <c r="B7" s="2694" t="s">
        <v>1962</v>
      </c>
      <c r="C7" s="2694" t="s">
        <v>1248</v>
      </c>
      <c r="D7" s="2694" t="s">
        <v>1919</v>
      </c>
      <c r="E7" s="2694" t="s">
        <v>1963</v>
      </c>
      <c r="F7" s="2694" t="s">
        <v>1964</v>
      </c>
      <c r="G7" s="2694" t="s">
        <v>1965</v>
      </c>
      <c r="H7" s="2694" t="s">
        <v>1966</v>
      </c>
      <c r="I7" s="2694" t="s">
        <v>1967</v>
      </c>
      <c r="J7" s="2694" t="s">
        <v>1968</v>
      </c>
      <c r="K7" s="2694" t="s">
        <v>1969</v>
      </c>
      <c r="L7" s="2694" t="s">
        <v>1970</v>
      </c>
      <c r="M7" s="2694" t="s">
        <v>1971</v>
      </c>
      <c r="N7" s="2694" t="s">
        <v>1972</v>
      </c>
      <c r="O7" s="2694" t="s">
        <v>1973</v>
      </c>
      <c r="P7" s="2694" t="s">
        <v>1248</v>
      </c>
      <c r="Q7" s="2694" t="s">
        <v>1248</v>
      </c>
      <c r="R7" s="2694" t="s">
        <v>1248</v>
      </c>
      <c r="S7" s="2694" t="s">
        <v>1248</v>
      </c>
      <c r="T7" s="2694" t="s">
        <v>1248</v>
      </c>
    </row>
    <row r="8" spans="1:20">
      <c r="A8" s="3137" t="s">
        <v>1961</v>
      </c>
      <c r="B8" s="2694" t="s">
        <v>1974</v>
      </c>
      <c r="C8" s="2694" t="s">
        <v>1975</v>
      </c>
      <c r="D8" s="2694" t="s">
        <v>1919</v>
      </c>
      <c r="E8" s="2694" t="s">
        <v>1963</v>
      </c>
      <c r="F8" s="2694" t="s">
        <v>1964</v>
      </c>
      <c r="G8" s="2694" t="s">
        <v>1965</v>
      </c>
      <c r="H8" s="2694" t="s">
        <v>1976</v>
      </c>
      <c r="I8" s="2694" t="s">
        <v>1967</v>
      </c>
      <c r="J8" s="2694" t="s">
        <v>1977</v>
      </c>
      <c r="K8" s="2694" t="s">
        <v>1969</v>
      </c>
      <c r="L8" s="2694" t="s">
        <v>1970</v>
      </c>
      <c r="M8" s="2694" t="s">
        <v>1971</v>
      </c>
      <c r="N8" s="2694" t="s">
        <v>1972</v>
      </c>
      <c r="O8" s="2694" t="s">
        <v>1248</v>
      </c>
      <c r="P8" s="2694" t="s">
        <v>1248</v>
      </c>
      <c r="Q8" s="2694" t="s">
        <v>1248</v>
      </c>
      <c r="R8" s="2694" t="s">
        <v>1248</v>
      </c>
      <c r="S8" s="2694" t="s">
        <v>1248</v>
      </c>
      <c r="T8" s="2694" t="s">
        <v>1248</v>
      </c>
    </row>
    <row r="9" spans="1:20">
      <c r="A9" s="3137" t="s">
        <v>1978</v>
      </c>
      <c r="B9" s="3137" t="s">
        <v>1979</v>
      </c>
      <c r="C9" s="2694" t="s">
        <v>1980</v>
      </c>
      <c r="D9" s="2694" t="s">
        <v>1919</v>
      </c>
      <c r="E9" s="2694" t="s">
        <v>1981</v>
      </c>
      <c r="F9" s="2694" t="s">
        <v>1982</v>
      </c>
      <c r="G9" s="2694" t="s">
        <v>1983</v>
      </c>
      <c r="H9" s="2694" t="s">
        <v>1984</v>
      </c>
      <c r="I9" s="2694" t="s">
        <v>1985</v>
      </c>
      <c r="J9" s="2694" t="s">
        <v>1986</v>
      </c>
      <c r="K9" s="2694" t="s">
        <v>1987</v>
      </c>
      <c r="L9" s="2694" t="s">
        <v>1988</v>
      </c>
      <c r="M9" s="2694" t="s">
        <v>1989</v>
      </c>
      <c r="N9" s="2694" t="s">
        <v>1990</v>
      </c>
      <c r="O9" s="2694" t="s">
        <v>1972</v>
      </c>
      <c r="P9" s="2694" t="s">
        <v>1991</v>
      </c>
      <c r="Q9" s="2694" t="s">
        <v>1992</v>
      </c>
      <c r="R9" s="2694" t="s">
        <v>1993</v>
      </c>
      <c r="S9" s="2694" t="s">
        <v>1248</v>
      </c>
      <c r="T9" s="2694" t="s">
        <v>1248</v>
      </c>
    </row>
    <row r="10" spans="1:20">
      <c r="A10" s="3137" t="s">
        <v>1978</v>
      </c>
      <c r="B10" s="3137" t="s">
        <v>1979</v>
      </c>
      <c r="C10" s="2694" t="s">
        <v>1994</v>
      </c>
      <c r="D10" s="2694" t="s">
        <v>1919</v>
      </c>
      <c r="E10" s="2694" t="s">
        <v>1995</v>
      </c>
      <c r="F10" s="2694" t="s">
        <v>1996</v>
      </c>
      <c r="G10" s="2694" t="s">
        <v>1997</v>
      </c>
      <c r="H10" s="2694" t="s">
        <v>1998</v>
      </c>
      <c r="I10" s="2694" t="s">
        <v>1969</v>
      </c>
      <c r="J10" s="2694" t="s">
        <v>1999</v>
      </c>
      <c r="K10" s="2694" t="s">
        <v>2000</v>
      </c>
      <c r="L10" s="2694" t="s">
        <v>2001</v>
      </c>
      <c r="M10" s="2694" t="s">
        <v>2002</v>
      </c>
      <c r="N10" s="2694" t="s">
        <v>2003</v>
      </c>
      <c r="O10" s="2694" t="s">
        <v>2004</v>
      </c>
      <c r="P10" s="2694" t="s">
        <v>2005</v>
      </c>
      <c r="Q10" s="2694" t="s">
        <v>2006</v>
      </c>
      <c r="R10" s="2694" t="s">
        <v>2007</v>
      </c>
      <c r="S10" s="2694" t="s">
        <v>2008</v>
      </c>
      <c r="T10" s="2694" t="s">
        <v>1248</v>
      </c>
    </row>
    <row r="11" spans="1:20">
      <c r="A11" s="3137" t="s">
        <v>1978</v>
      </c>
      <c r="B11" s="3137" t="s">
        <v>1979</v>
      </c>
      <c r="C11" s="2694" t="s">
        <v>2009</v>
      </c>
      <c r="D11" s="2694" t="s">
        <v>1919</v>
      </c>
      <c r="E11" s="2694" t="s">
        <v>2010</v>
      </c>
      <c r="F11" s="2694" t="s">
        <v>2011</v>
      </c>
      <c r="G11" s="2694" t="s">
        <v>2012</v>
      </c>
      <c r="H11" s="2694" t="s">
        <v>2013</v>
      </c>
      <c r="I11" s="2694" t="s">
        <v>2014</v>
      </c>
      <c r="J11" s="2694" t="s">
        <v>2015</v>
      </c>
      <c r="K11" s="2694" t="s">
        <v>2016</v>
      </c>
      <c r="L11" s="2694" t="s">
        <v>2017</v>
      </c>
      <c r="M11" s="2694" t="s">
        <v>2018</v>
      </c>
      <c r="N11" s="2694" t="s">
        <v>2019</v>
      </c>
      <c r="O11" s="2694" t="s">
        <v>2020</v>
      </c>
      <c r="P11" s="2694" t="s">
        <v>2021</v>
      </c>
      <c r="Q11" s="2694" t="s">
        <v>2022</v>
      </c>
      <c r="R11" s="2694" t="s">
        <v>2023</v>
      </c>
      <c r="S11" s="2694" t="s">
        <v>1248</v>
      </c>
      <c r="T11" s="2694" t="s">
        <v>1248</v>
      </c>
    </row>
    <row r="12" spans="1:20">
      <c r="A12" s="3137" t="s">
        <v>1978</v>
      </c>
      <c r="B12" s="3137" t="s">
        <v>1979</v>
      </c>
      <c r="C12" s="2694" t="s">
        <v>2024</v>
      </c>
      <c r="D12" s="2694" t="s">
        <v>1919</v>
      </c>
      <c r="E12" s="2694" t="s">
        <v>2025</v>
      </c>
      <c r="F12" s="2694" t="s">
        <v>2026</v>
      </c>
      <c r="G12" s="2694" t="s">
        <v>2027</v>
      </c>
      <c r="H12" s="2694" t="s">
        <v>2028</v>
      </c>
      <c r="I12" s="2694" t="s">
        <v>2029</v>
      </c>
      <c r="J12" s="2694" t="s">
        <v>2030</v>
      </c>
      <c r="K12" s="2694" t="s">
        <v>2031</v>
      </c>
      <c r="L12" s="2694" t="s">
        <v>2032</v>
      </c>
      <c r="M12" s="2694" t="s">
        <v>2033</v>
      </c>
      <c r="N12" s="2694" t="s">
        <v>2034</v>
      </c>
      <c r="O12" s="2694" t="s">
        <v>2035</v>
      </c>
      <c r="P12" s="2694" t="s">
        <v>2036</v>
      </c>
      <c r="Q12" s="2694" t="s">
        <v>2037</v>
      </c>
      <c r="R12" s="2694" t="s">
        <v>2038</v>
      </c>
      <c r="S12" s="2694" t="s">
        <v>1248</v>
      </c>
      <c r="T12" s="2694" t="s">
        <v>1248</v>
      </c>
    </row>
    <row r="13" spans="1:20">
      <c r="A13" s="3137" t="s">
        <v>1978</v>
      </c>
      <c r="B13" s="2694" t="s">
        <v>2039</v>
      </c>
      <c r="C13" s="2694" t="s">
        <v>2040</v>
      </c>
      <c r="D13" s="2694" t="s">
        <v>1919</v>
      </c>
      <c r="E13" s="2694" t="s">
        <v>2041</v>
      </c>
      <c r="F13" s="2694" t="s">
        <v>2042</v>
      </c>
      <c r="G13" s="2694" t="s">
        <v>2043</v>
      </c>
      <c r="H13" s="2694" t="s">
        <v>2044</v>
      </c>
      <c r="I13" s="2694" t="s">
        <v>2045</v>
      </c>
      <c r="J13" s="2694" t="s">
        <v>1970</v>
      </c>
      <c r="K13" s="2694" t="s">
        <v>2046</v>
      </c>
      <c r="L13" s="2694" t="s">
        <v>2047</v>
      </c>
      <c r="M13" s="2694" t="s">
        <v>2048</v>
      </c>
      <c r="N13" s="2694" t="s">
        <v>2049</v>
      </c>
      <c r="O13" s="2694" t="s">
        <v>2050</v>
      </c>
      <c r="P13" s="2694" t="s">
        <v>2051</v>
      </c>
      <c r="Q13" s="2694" t="s">
        <v>2052</v>
      </c>
      <c r="R13" s="2694" t="s">
        <v>2053</v>
      </c>
      <c r="S13" s="2694" t="s">
        <v>2054</v>
      </c>
      <c r="T13" s="2694" t="s">
        <v>1248</v>
      </c>
    </row>
    <row r="14" spans="1:20">
      <c r="A14" s="2694" t="s">
        <v>2055</v>
      </c>
      <c r="B14" s="2694" t="s">
        <v>1248</v>
      </c>
      <c r="C14" s="2694" t="s">
        <v>1248</v>
      </c>
      <c r="D14" s="2694" t="s">
        <v>1919</v>
      </c>
      <c r="E14" s="2694" t="s">
        <v>2056</v>
      </c>
      <c r="F14" s="2694" t="s">
        <v>2057</v>
      </c>
      <c r="G14" s="2694" t="s">
        <v>1963</v>
      </c>
      <c r="H14" s="2694" t="s">
        <v>2058</v>
      </c>
      <c r="I14" s="2694" t="s">
        <v>2059</v>
      </c>
      <c r="J14" s="2694" t="s">
        <v>2060</v>
      </c>
      <c r="K14" s="2694" t="s">
        <v>2061</v>
      </c>
      <c r="L14" s="2694" t="s">
        <v>2062</v>
      </c>
      <c r="M14" s="2694" t="s">
        <v>1248</v>
      </c>
      <c r="N14" s="2694" t="s">
        <v>1248</v>
      </c>
      <c r="O14" s="2694" t="s">
        <v>1248</v>
      </c>
      <c r="P14" s="2694" t="s">
        <v>1248</v>
      </c>
      <c r="Q14" s="2694" t="s">
        <v>1248</v>
      </c>
      <c r="R14" s="2694" t="s">
        <v>1248</v>
      </c>
      <c r="S14" s="2694" t="s">
        <v>1248</v>
      </c>
      <c r="T14" s="2694" t="s">
        <v>1248</v>
      </c>
    </row>
    <row r="15" spans="1:20">
      <c r="A15" s="2694" t="s">
        <v>2063</v>
      </c>
      <c r="B15" s="2694" t="s">
        <v>1248</v>
      </c>
      <c r="C15" s="2694" t="s">
        <v>1994</v>
      </c>
      <c r="D15" s="2694" t="s">
        <v>1919</v>
      </c>
      <c r="E15" s="2694" t="s">
        <v>2064</v>
      </c>
      <c r="F15" s="2694" t="s">
        <v>2065</v>
      </c>
      <c r="G15" s="2694" t="s">
        <v>2066</v>
      </c>
      <c r="H15" s="2694" t="s">
        <v>2067</v>
      </c>
      <c r="I15" s="2694" t="s">
        <v>2045</v>
      </c>
      <c r="J15" s="2694" t="s">
        <v>2068</v>
      </c>
      <c r="K15" s="2694" t="s">
        <v>2069</v>
      </c>
      <c r="L15" s="2694" t="s">
        <v>2070</v>
      </c>
      <c r="M15" s="2694" t="s">
        <v>2071</v>
      </c>
      <c r="N15" s="2694" t="s">
        <v>2072</v>
      </c>
      <c r="O15" s="2694" t="s">
        <v>2073</v>
      </c>
      <c r="P15" s="2694" t="s">
        <v>2074</v>
      </c>
      <c r="Q15" s="2694" t="s">
        <v>2075</v>
      </c>
      <c r="R15" s="2694" t="s">
        <v>2076</v>
      </c>
      <c r="S15" s="2694" t="s">
        <v>1248</v>
      </c>
      <c r="T15" s="2694" t="s">
        <v>1248</v>
      </c>
    </row>
    <row r="16" spans="1:20">
      <c r="A16" s="3137" t="s">
        <v>2077</v>
      </c>
      <c r="B16" s="3137" t="s">
        <v>2078</v>
      </c>
      <c r="C16" s="2694" t="s">
        <v>2079</v>
      </c>
      <c r="D16" s="2694" t="s">
        <v>1919</v>
      </c>
      <c r="E16" s="2694" t="s">
        <v>2080</v>
      </c>
      <c r="F16" s="2694" t="s">
        <v>2081</v>
      </c>
      <c r="G16" s="2694" t="s">
        <v>2082</v>
      </c>
      <c r="H16" s="2694" t="s">
        <v>1997</v>
      </c>
      <c r="I16" s="2694" t="s">
        <v>2083</v>
      </c>
      <c r="J16" s="2694" t="s">
        <v>2084</v>
      </c>
      <c r="K16" s="2694" t="s">
        <v>2085</v>
      </c>
      <c r="L16" s="2694" t="s">
        <v>2086</v>
      </c>
      <c r="M16" s="2694" t="s">
        <v>2087</v>
      </c>
      <c r="N16" s="2694" t="s">
        <v>2088</v>
      </c>
      <c r="O16" s="2694" t="s">
        <v>2089</v>
      </c>
      <c r="P16" s="2694" t="s">
        <v>2090</v>
      </c>
      <c r="Q16" s="2694" t="s">
        <v>2091</v>
      </c>
      <c r="R16" s="2694" t="s">
        <v>2038</v>
      </c>
      <c r="S16" s="2694" t="s">
        <v>1248</v>
      </c>
      <c r="T16" s="2694" t="s">
        <v>1248</v>
      </c>
    </row>
    <row r="17" spans="1:20">
      <c r="A17" s="3137" t="s">
        <v>2077</v>
      </c>
      <c r="B17" s="3137" t="s">
        <v>2078</v>
      </c>
      <c r="C17" s="2694" t="s">
        <v>2092</v>
      </c>
      <c r="D17" s="2694" t="s">
        <v>1919</v>
      </c>
      <c r="E17" s="2694" t="s">
        <v>2080</v>
      </c>
      <c r="F17" s="2694" t="s">
        <v>2081</v>
      </c>
      <c r="G17" s="2694" t="s">
        <v>2082</v>
      </c>
      <c r="H17" s="2694" t="s">
        <v>1997</v>
      </c>
      <c r="I17" s="2694" t="s">
        <v>2083</v>
      </c>
      <c r="J17" s="2694" t="s">
        <v>2084</v>
      </c>
      <c r="K17" s="2694" t="s">
        <v>2085</v>
      </c>
      <c r="L17" s="2694" t="s">
        <v>2086</v>
      </c>
      <c r="M17" s="2694" t="s">
        <v>2093</v>
      </c>
      <c r="N17" s="2694" t="s">
        <v>2094</v>
      </c>
      <c r="O17" s="2694" t="s">
        <v>2095</v>
      </c>
      <c r="P17" s="2694" t="s">
        <v>2096</v>
      </c>
      <c r="Q17" s="2694" t="s">
        <v>2097</v>
      </c>
      <c r="R17" s="2694" t="s">
        <v>2098</v>
      </c>
      <c r="S17" s="2694" t="s">
        <v>1248</v>
      </c>
      <c r="T17" s="2694" t="s">
        <v>1248</v>
      </c>
    </row>
    <row r="18" spans="1:20">
      <c r="A18" s="3137" t="s">
        <v>2077</v>
      </c>
      <c r="B18" s="3137" t="s">
        <v>2078</v>
      </c>
      <c r="C18" s="2694" t="s">
        <v>1994</v>
      </c>
      <c r="D18" s="2694" t="s">
        <v>1919</v>
      </c>
      <c r="E18" s="2694" t="s">
        <v>2099</v>
      </c>
      <c r="F18" s="2694" t="s">
        <v>2100</v>
      </c>
      <c r="G18" s="2694" t="s">
        <v>2101</v>
      </c>
      <c r="H18" s="2694" t="s">
        <v>2102</v>
      </c>
      <c r="I18" s="2694" t="s">
        <v>2103</v>
      </c>
      <c r="J18" s="2695" t="s">
        <v>1999</v>
      </c>
      <c r="K18" s="2694" t="s">
        <v>2104</v>
      </c>
      <c r="L18" s="2694" t="s">
        <v>2105</v>
      </c>
      <c r="M18" s="2694" t="s">
        <v>2106</v>
      </c>
      <c r="N18" s="2694" t="s">
        <v>2107</v>
      </c>
      <c r="O18" s="2694" t="s">
        <v>2108</v>
      </c>
      <c r="P18" s="2694" t="s">
        <v>2109</v>
      </c>
      <c r="Q18" s="2694" t="s">
        <v>2110</v>
      </c>
      <c r="R18" s="2694" t="s">
        <v>2111</v>
      </c>
      <c r="S18" s="2694" t="s">
        <v>1248</v>
      </c>
      <c r="T18" s="2694" t="s">
        <v>1248</v>
      </c>
    </row>
    <row r="19" spans="1:20">
      <c r="A19" s="3137" t="s">
        <v>2077</v>
      </c>
      <c r="B19" s="3137" t="s">
        <v>2078</v>
      </c>
      <c r="C19" s="2694" t="s">
        <v>2024</v>
      </c>
      <c r="D19" s="2694" t="s">
        <v>1919</v>
      </c>
      <c r="E19" s="2694" t="s">
        <v>2112</v>
      </c>
      <c r="F19" s="2694" t="s">
        <v>2113</v>
      </c>
      <c r="G19" s="2694" t="s">
        <v>2114</v>
      </c>
      <c r="H19" s="2694" t="s">
        <v>1999</v>
      </c>
      <c r="I19" s="2694" t="s">
        <v>2115</v>
      </c>
      <c r="J19" s="2694" t="s">
        <v>2116</v>
      </c>
      <c r="K19" s="2694" t="s">
        <v>2117</v>
      </c>
      <c r="L19" s="2694" t="s">
        <v>2118</v>
      </c>
      <c r="M19" s="2694" t="s">
        <v>2119</v>
      </c>
      <c r="N19" s="2694" t="s">
        <v>2120</v>
      </c>
      <c r="O19" s="2694" t="s">
        <v>2121</v>
      </c>
      <c r="P19" s="2694" t="s">
        <v>2122</v>
      </c>
      <c r="Q19" s="2694" t="s">
        <v>2123</v>
      </c>
      <c r="R19" s="2694" t="s">
        <v>2124</v>
      </c>
      <c r="S19" s="2694" t="s">
        <v>1248</v>
      </c>
      <c r="T19" s="2694" t="s">
        <v>1248</v>
      </c>
    </row>
    <row r="20" spans="1:20">
      <c r="A20" s="3137" t="s">
        <v>2077</v>
      </c>
      <c r="B20" s="3137" t="s">
        <v>2078</v>
      </c>
      <c r="C20" s="2694" t="s">
        <v>2125</v>
      </c>
      <c r="D20" s="2694" t="s">
        <v>1919</v>
      </c>
      <c r="E20" s="2694" t="s">
        <v>2059</v>
      </c>
      <c r="F20" s="2694" t="s">
        <v>2126</v>
      </c>
      <c r="G20" s="2694" t="s">
        <v>2127</v>
      </c>
      <c r="H20" s="2694" t="s">
        <v>2128</v>
      </c>
      <c r="I20" s="2694" t="s">
        <v>2129</v>
      </c>
      <c r="J20" s="2694" t="s">
        <v>2130</v>
      </c>
      <c r="K20" s="2694" t="s">
        <v>2131</v>
      </c>
      <c r="L20" s="2694" t="s">
        <v>2132</v>
      </c>
      <c r="M20" s="2694" t="s">
        <v>2133</v>
      </c>
      <c r="N20" s="2694" t="s">
        <v>2134</v>
      </c>
      <c r="O20" s="2694" t="s">
        <v>2135</v>
      </c>
      <c r="P20" s="2694" t="s">
        <v>2136</v>
      </c>
      <c r="Q20" s="2694" t="s">
        <v>2137</v>
      </c>
      <c r="R20" s="2694" t="s">
        <v>2138</v>
      </c>
      <c r="S20" s="2694" t="s">
        <v>1248</v>
      </c>
      <c r="T20" s="2694" t="s">
        <v>1248</v>
      </c>
    </row>
    <row r="21" spans="1:20">
      <c r="A21" s="3137" t="s">
        <v>2139</v>
      </c>
      <c r="B21" s="3137" t="s">
        <v>2078</v>
      </c>
      <c r="C21" s="2694" t="s">
        <v>2009</v>
      </c>
      <c r="D21" s="2694" t="s">
        <v>1919</v>
      </c>
      <c r="E21" s="2694" t="s">
        <v>2140</v>
      </c>
      <c r="F21" s="2694" t="s">
        <v>2141</v>
      </c>
      <c r="G21" s="2694" t="s">
        <v>2142</v>
      </c>
      <c r="H21" s="2694" t="s">
        <v>2143</v>
      </c>
      <c r="I21" s="2694" t="s">
        <v>2144</v>
      </c>
      <c r="J21" s="2694" t="s">
        <v>2145</v>
      </c>
      <c r="K21" s="2694" t="s">
        <v>2146</v>
      </c>
      <c r="L21" s="2694" t="s">
        <v>2147</v>
      </c>
      <c r="M21" s="2694" t="s">
        <v>2050</v>
      </c>
      <c r="N21" s="2694" t="s">
        <v>2108</v>
      </c>
      <c r="O21" s="2694" t="s">
        <v>2148</v>
      </c>
      <c r="P21" s="2694" t="s">
        <v>2149</v>
      </c>
      <c r="Q21" s="2694" t="s">
        <v>1248</v>
      </c>
      <c r="R21" s="2694" t="s">
        <v>1248</v>
      </c>
      <c r="S21" s="2694" t="s">
        <v>1248</v>
      </c>
      <c r="T21" s="2694" t="s">
        <v>1248</v>
      </c>
    </row>
    <row r="22" spans="1:20">
      <c r="A22" s="3137" t="s">
        <v>2139</v>
      </c>
      <c r="B22" s="3137" t="s">
        <v>2078</v>
      </c>
      <c r="C22" s="2694" t="s">
        <v>2150</v>
      </c>
      <c r="D22" s="2694" t="s">
        <v>1919</v>
      </c>
      <c r="E22" s="2694" t="s">
        <v>2151</v>
      </c>
      <c r="F22" s="2694" t="s">
        <v>2152</v>
      </c>
      <c r="G22" s="2694" t="s">
        <v>2153</v>
      </c>
      <c r="H22" s="2694" t="s">
        <v>2154</v>
      </c>
      <c r="I22" s="2694" t="s">
        <v>2155</v>
      </c>
      <c r="J22" s="2694" t="s">
        <v>2156</v>
      </c>
      <c r="K22" s="2694" t="s">
        <v>2018</v>
      </c>
      <c r="L22" s="2694" t="s">
        <v>2157</v>
      </c>
      <c r="M22" s="2694" t="s">
        <v>2158</v>
      </c>
      <c r="N22" s="2694" t="s">
        <v>2159</v>
      </c>
      <c r="O22" s="2694" t="s">
        <v>2160</v>
      </c>
      <c r="P22" s="2694" t="s">
        <v>2161</v>
      </c>
      <c r="Q22" s="2694" t="s">
        <v>1248</v>
      </c>
      <c r="R22" s="2694" t="s">
        <v>1248</v>
      </c>
      <c r="S22" s="2694" t="s">
        <v>1248</v>
      </c>
      <c r="T22" s="2694" t="s">
        <v>1248</v>
      </c>
    </row>
    <row r="23" spans="1:20">
      <c r="A23" s="3137" t="s">
        <v>2139</v>
      </c>
      <c r="B23" s="3137" t="s">
        <v>2078</v>
      </c>
      <c r="C23" s="2694" t="s">
        <v>2162</v>
      </c>
      <c r="D23" s="2694" t="s">
        <v>1919</v>
      </c>
      <c r="E23" s="2694" t="s">
        <v>2163</v>
      </c>
      <c r="F23" s="2694" t="s">
        <v>2164</v>
      </c>
      <c r="G23" s="2694" t="s">
        <v>2165</v>
      </c>
      <c r="H23" s="2694" t="s">
        <v>2166</v>
      </c>
      <c r="I23" s="2694" t="s">
        <v>2167</v>
      </c>
      <c r="J23" s="2694" t="s">
        <v>2168</v>
      </c>
      <c r="K23" s="2694" t="s">
        <v>2169</v>
      </c>
      <c r="L23" s="2694" t="s">
        <v>2170</v>
      </c>
      <c r="M23" s="2694" t="s">
        <v>2171</v>
      </c>
      <c r="N23" s="2694" t="s">
        <v>2172</v>
      </c>
      <c r="O23" s="2694" t="s">
        <v>2173</v>
      </c>
      <c r="P23" s="2694" t="s">
        <v>2174</v>
      </c>
      <c r="Q23" s="2694" t="s">
        <v>1248</v>
      </c>
      <c r="R23" s="2694" t="s">
        <v>1248</v>
      </c>
      <c r="S23" s="2694" t="s">
        <v>1248</v>
      </c>
      <c r="T23" s="2694" t="s">
        <v>1248</v>
      </c>
    </row>
    <row r="24" spans="1:20">
      <c r="A24" s="3137" t="s">
        <v>2139</v>
      </c>
      <c r="B24" s="3137" t="s">
        <v>2078</v>
      </c>
      <c r="C24" s="2694" t="s">
        <v>2125</v>
      </c>
      <c r="D24" s="2694" t="s">
        <v>1919</v>
      </c>
      <c r="E24" s="2694" t="s">
        <v>1943</v>
      </c>
      <c r="F24" s="2694" t="s">
        <v>2175</v>
      </c>
      <c r="G24" s="2694" t="s">
        <v>2128</v>
      </c>
      <c r="H24" s="2694" t="s">
        <v>2094</v>
      </c>
      <c r="I24" s="2694" t="s">
        <v>2176</v>
      </c>
      <c r="J24" s="2694" t="s">
        <v>2132</v>
      </c>
      <c r="K24" s="2694" t="s">
        <v>2177</v>
      </c>
      <c r="L24" s="2694" t="s">
        <v>2178</v>
      </c>
      <c r="M24" s="2694" t="s">
        <v>2179</v>
      </c>
      <c r="N24" s="2694" t="s">
        <v>2180</v>
      </c>
      <c r="O24" s="2694" t="s">
        <v>2181</v>
      </c>
      <c r="P24" s="2694" t="s">
        <v>2182</v>
      </c>
      <c r="Q24" s="2694" t="s">
        <v>1248</v>
      </c>
      <c r="R24" s="2694" t="s">
        <v>1248</v>
      </c>
      <c r="S24" s="2694" t="s">
        <v>1248</v>
      </c>
      <c r="T24" s="2694" t="s">
        <v>1248</v>
      </c>
    </row>
    <row r="25" spans="1:20">
      <c r="A25" s="3137" t="s">
        <v>2139</v>
      </c>
      <c r="B25" s="3137" t="s">
        <v>2078</v>
      </c>
      <c r="C25" s="2694" t="s">
        <v>2183</v>
      </c>
      <c r="D25" s="2694" t="s">
        <v>1919</v>
      </c>
      <c r="E25" s="2694" t="s">
        <v>2184</v>
      </c>
      <c r="F25" s="2694" t="s">
        <v>2159</v>
      </c>
      <c r="G25" s="2694" t="s">
        <v>2185</v>
      </c>
      <c r="H25" s="2694" t="s">
        <v>2186</v>
      </c>
      <c r="I25" s="2694" t="s">
        <v>2187</v>
      </c>
      <c r="J25" s="2694" t="s">
        <v>2188</v>
      </c>
      <c r="K25" s="2694" t="s">
        <v>2189</v>
      </c>
      <c r="L25" s="2694" t="s">
        <v>2190</v>
      </c>
      <c r="M25" s="2694" t="s">
        <v>2191</v>
      </c>
      <c r="N25" s="2694" t="s">
        <v>2192</v>
      </c>
      <c r="O25" s="2694" t="s">
        <v>2193</v>
      </c>
      <c r="P25" s="2694" t="s">
        <v>2194</v>
      </c>
      <c r="Q25" s="2694" t="s">
        <v>1248</v>
      </c>
      <c r="R25" s="2694" t="s">
        <v>1248</v>
      </c>
      <c r="S25" s="2694" t="s">
        <v>1248</v>
      </c>
      <c r="T25" s="2694" t="s">
        <v>1248</v>
      </c>
    </row>
    <row r="26" spans="1:20">
      <c r="A26" s="3137" t="s">
        <v>2139</v>
      </c>
      <c r="B26" s="3137" t="s">
        <v>2078</v>
      </c>
      <c r="C26" s="2694" t="s">
        <v>2195</v>
      </c>
      <c r="D26" s="2694" t="s">
        <v>1919</v>
      </c>
      <c r="E26" s="2694" t="s">
        <v>2196</v>
      </c>
      <c r="F26" s="2694" t="s">
        <v>2197</v>
      </c>
      <c r="G26" s="2694" t="s">
        <v>2198</v>
      </c>
      <c r="H26" s="2694" t="s">
        <v>2199</v>
      </c>
      <c r="I26" s="2694" t="s">
        <v>2200</v>
      </c>
      <c r="J26" s="2694" t="s">
        <v>2201</v>
      </c>
      <c r="K26" s="2694" t="s">
        <v>2202</v>
      </c>
      <c r="L26" s="2694" t="s">
        <v>2203</v>
      </c>
      <c r="M26" s="2694" t="s">
        <v>2204</v>
      </c>
      <c r="N26" s="2694" t="s">
        <v>2205</v>
      </c>
      <c r="O26" s="2694" t="s">
        <v>2206</v>
      </c>
      <c r="P26" s="2694" t="s">
        <v>2207</v>
      </c>
      <c r="Q26" s="2694" t="s">
        <v>1248</v>
      </c>
      <c r="R26" s="2694" t="s">
        <v>1248</v>
      </c>
      <c r="S26" s="2694" t="s">
        <v>1248</v>
      </c>
      <c r="T26" s="2694" t="s">
        <v>1248</v>
      </c>
    </row>
    <row r="27" spans="1:20">
      <c r="A27" s="3137" t="s">
        <v>2139</v>
      </c>
      <c r="B27" s="3137" t="s">
        <v>2078</v>
      </c>
      <c r="C27" s="2694" t="s">
        <v>2208</v>
      </c>
      <c r="D27" s="2694" t="s">
        <v>1919</v>
      </c>
      <c r="E27" s="2694" t="s">
        <v>2209</v>
      </c>
      <c r="F27" s="2694" t="s">
        <v>2210</v>
      </c>
      <c r="G27" s="2694" t="s">
        <v>2211</v>
      </c>
      <c r="H27" s="2694" t="s">
        <v>2212</v>
      </c>
      <c r="I27" s="2694" t="s">
        <v>2213</v>
      </c>
      <c r="J27" s="2694" t="s">
        <v>2214</v>
      </c>
      <c r="K27" s="2694" t="s">
        <v>2215</v>
      </c>
      <c r="L27" s="2694" t="s">
        <v>2216</v>
      </c>
      <c r="M27" s="2694" t="s">
        <v>2217</v>
      </c>
      <c r="N27" s="2694" t="s">
        <v>2218</v>
      </c>
      <c r="O27" s="2694" t="s">
        <v>2219</v>
      </c>
      <c r="P27" s="2694" t="s">
        <v>2220</v>
      </c>
      <c r="Q27" s="2694" t="s">
        <v>1248</v>
      </c>
      <c r="R27" s="2694" t="s">
        <v>1248</v>
      </c>
      <c r="S27" s="2694" t="s">
        <v>1248</v>
      </c>
      <c r="T27" s="2694" t="s">
        <v>1248</v>
      </c>
    </row>
    <row r="28" spans="1:20">
      <c r="A28" s="3137" t="s">
        <v>2221</v>
      </c>
      <c r="B28" s="3137" t="s">
        <v>2222</v>
      </c>
      <c r="C28" s="2694" t="s">
        <v>2223</v>
      </c>
      <c r="D28" s="2694" t="s">
        <v>1919</v>
      </c>
      <c r="E28" s="2694" t="s">
        <v>2224</v>
      </c>
      <c r="F28" s="2694" t="s">
        <v>2225</v>
      </c>
      <c r="G28" s="2694" t="s">
        <v>2044</v>
      </c>
      <c r="H28" s="2694" t="s">
        <v>2226</v>
      </c>
      <c r="I28" s="2694" t="s">
        <v>2227</v>
      </c>
      <c r="J28" s="2694" t="s">
        <v>2228</v>
      </c>
      <c r="K28" s="2694" t="s">
        <v>2229</v>
      </c>
      <c r="L28" s="2694" t="s">
        <v>2230</v>
      </c>
      <c r="M28" s="2694" t="s">
        <v>1248</v>
      </c>
      <c r="N28" s="2694" t="s">
        <v>2095</v>
      </c>
      <c r="O28" s="2694" t="s">
        <v>1248</v>
      </c>
      <c r="P28" s="2694" t="s">
        <v>1248</v>
      </c>
      <c r="Q28" s="2694" t="s">
        <v>1248</v>
      </c>
      <c r="R28" s="2694" t="s">
        <v>1248</v>
      </c>
      <c r="S28" s="2694" t="s">
        <v>1248</v>
      </c>
      <c r="T28" s="2694" t="s">
        <v>1248</v>
      </c>
    </row>
    <row r="29" spans="1:20">
      <c r="A29" s="3137" t="s">
        <v>2221</v>
      </c>
      <c r="B29" s="3137" t="s">
        <v>2222</v>
      </c>
      <c r="C29" s="2694" t="s">
        <v>2231</v>
      </c>
      <c r="D29" s="2694" t="s">
        <v>1919</v>
      </c>
      <c r="E29" s="2694" t="s">
        <v>2025</v>
      </c>
      <c r="F29" s="2694" t="s">
        <v>2232</v>
      </c>
      <c r="G29" s="2694" t="s">
        <v>2027</v>
      </c>
      <c r="H29" s="2694" t="s">
        <v>2233</v>
      </c>
      <c r="I29" s="2694" t="s">
        <v>2234</v>
      </c>
      <c r="J29" s="2694" t="s">
        <v>2235</v>
      </c>
      <c r="K29" s="2694" t="s">
        <v>2236</v>
      </c>
      <c r="L29" s="2694" t="s">
        <v>2237</v>
      </c>
      <c r="M29" s="2694" t="s">
        <v>1248</v>
      </c>
      <c r="N29" s="2694" t="s">
        <v>2129</v>
      </c>
      <c r="O29" s="2694" t="s">
        <v>1248</v>
      </c>
      <c r="P29" s="2694" t="s">
        <v>1248</v>
      </c>
      <c r="Q29" s="2694" t="s">
        <v>1248</v>
      </c>
      <c r="R29" s="2694" t="s">
        <v>1248</v>
      </c>
      <c r="S29" s="2694" t="s">
        <v>1248</v>
      </c>
      <c r="T29" s="2694" t="s">
        <v>1248</v>
      </c>
    </row>
    <row r="30" spans="1:20">
      <c r="A30" s="3137" t="s">
        <v>2221</v>
      </c>
      <c r="B30" s="3137" t="s">
        <v>2222</v>
      </c>
      <c r="C30" s="2694" t="s">
        <v>2238</v>
      </c>
      <c r="D30" s="2694" t="s">
        <v>1919</v>
      </c>
      <c r="E30" s="2694" t="s">
        <v>2239</v>
      </c>
      <c r="F30" s="2694" t="s">
        <v>2240</v>
      </c>
      <c r="G30" s="2694" t="s">
        <v>2241</v>
      </c>
      <c r="H30" s="2694" t="s">
        <v>2242</v>
      </c>
      <c r="I30" s="2694" t="s">
        <v>2243</v>
      </c>
      <c r="J30" s="2694" t="s">
        <v>2244</v>
      </c>
      <c r="K30" s="2694" t="s">
        <v>2245</v>
      </c>
      <c r="L30" s="2694" t="s">
        <v>2246</v>
      </c>
      <c r="M30" s="2694" t="s">
        <v>1248</v>
      </c>
      <c r="N30" s="2694" t="s">
        <v>2247</v>
      </c>
      <c r="O30" s="2694" t="s">
        <v>1248</v>
      </c>
      <c r="P30" s="2694" t="s">
        <v>1248</v>
      </c>
      <c r="Q30" s="2694" t="s">
        <v>1248</v>
      </c>
      <c r="R30" s="2694" t="s">
        <v>1248</v>
      </c>
      <c r="S30" s="2694" t="s">
        <v>1248</v>
      </c>
      <c r="T30" s="2694" t="s">
        <v>1248</v>
      </c>
    </row>
    <row r="31" spans="1:20">
      <c r="A31" s="3137" t="s">
        <v>2221</v>
      </c>
      <c r="B31" s="3137" t="s">
        <v>2222</v>
      </c>
      <c r="C31" s="2694" t="s">
        <v>2248</v>
      </c>
      <c r="D31" s="2694" t="s">
        <v>1919</v>
      </c>
      <c r="E31" s="2694" t="s">
        <v>2249</v>
      </c>
      <c r="F31" s="2694" t="s">
        <v>2250</v>
      </c>
      <c r="G31" s="2694" t="s">
        <v>2251</v>
      </c>
      <c r="H31" s="2694" t="s">
        <v>2252</v>
      </c>
      <c r="I31" s="2694" t="s">
        <v>2253</v>
      </c>
      <c r="J31" s="2694" t="s">
        <v>2254</v>
      </c>
      <c r="K31" s="2694" t="s">
        <v>2255</v>
      </c>
      <c r="L31" s="2694" t="s">
        <v>2256</v>
      </c>
      <c r="M31" s="2694" t="s">
        <v>1248</v>
      </c>
      <c r="N31" s="2694" t="s">
        <v>2257</v>
      </c>
      <c r="O31" s="2694" t="s">
        <v>1248</v>
      </c>
      <c r="P31" s="2694" t="s">
        <v>1248</v>
      </c>
      <c r="Q31" s="2694" t="s">
        <v>1248</v>
      </c>
      <c r="R31" s="2694" t="s">
        <v>1248</v>
      </c>
      <c r="S31" s="2694" t="s">
        <v>1248</v>
      </c>
      <c r="T31" s="2694" t="s">
        <v>1248</v>
      </c>
    </row>
    <row r="32" spans="1:20">
      <c r="A32" s="3137" t="s">
        <v>2221</v>
      </c>
      <c r="B32" s="3137" t="s">
        <v>2078</v>
      </c>
      <c r="C32" s="2694" t="s">
        <v>1994</v>
      </c>
      <c r="D32" s="2694" t="s">
        <v>1919</v>
      </c>
      <c r="E32" s="2694" t="s">
        <v>2258</v>
      </c>
      <c r="F32" s="2694" t="s">
        <v>2259</v>
      </c>
      <c r="G32" s="2694" t="s">
        <v>1977</v>
      </c>
      <c r="H32" s="2694" t="s">
        <v>1927</v>
      </c>
      <c r="I32" s="2694" t="s">
        <v>2260</v>
      </c>
      <c r="J32" s="2694" t="s">
        <v>2261</v>
      </c>
      <c r="K32" s="2694" t="s">
        <v>2262</v>
      </c>
      <c r="L32" s="2694" t="s">
        <v>2263</v>
      </c>
      <c r="M32" s="2694" t="s">
        <v>2264</v>
      </c>
      <c r="N32" s="2694" t="s">
        <v>2265</v>
      </c>
      <c r="O32" s="2694" t="s">
        <v>2266</v>
      </c>
      <c r="P32" s="2694" t="s">
        <v>2267</v>
      </c>
      <c r="Q32" s="2694" t="s">
        <v>1248</v>
      </c>
      <c r="R32" s="2694" t="s">
        <v>1248</v>
      </c>
      <c r="S32" s="2694" t="s">
        <v>1248</v>
      </c>
      <c r="T32" s="2694" t="s">
        <v>1248</v>
      </c>
    </row>
    <row r="33" spans="1:20">
      <c r="A33" s="3137" t="s">
        <v>2221</v>
      </c>
      <c r="B33" s="3137" t="s">
        <v>2078</v>
      </c>
      <c r="C33" s="2694" t="s">
        <v>2009</v>
      </c>
      <c r="D33" s="2694" t="s">
        <v>1919</v>
      </c>
      <c r="E33" s="2694" t="s">
        <v>2268</v>
      </c>
      <c r="F33" s="2694" t="s">
        <v>2269</v>
      </c>
      <c r="G33" s="2694" t="s">
        <v>2270</v>
      </c>
      <c r="H33" s="2694" t="s">
        <v>2271</v>
      </c>
      <c r="I33" s="2694" t="s">
        <v>2272</v>
      </c>
      <c r="J33" s="2694" t="s">
        <v>2273</v>
      </c>
      <c r="K33" s="2694" t="s">
        <v>2274</v>
      </c>
      <c r="L33" s="2694" t="s">
        <v>2275</v>
      </c>
      <c r="M33" s="2694" t="s">
        <v>2276</v>
      </c>
      <c r="N33" s="2694" t="s">
        <v>1948</v>
      </c>
      <c r="O33" s="2694" t="s">
        <v>2277</v>
      </c>
      <c r="P33" s="2694" t="s">
        <v>2278</v>
      </c>
      <c r="Q33" s="2694" t="s">
        <v>1248</v>
      </c>
      <c r="R33" s="2694" t="s">
        <v>1248</v>
      </c>
      <c r="S33" s="2694" t="s">
        <v>1248</v>
      </c>
      <c r="T33" s="2694" t="s">
        <v>1248</v>
      </c>
    </row>
    <row r="34" spans="1:20">
      <c r="A34" s="3137" t="s">
        <v>2221</v>
      </c>
      <c r="B34" s="3137" t="s">
        <v>2078</v>
      </c>
      <c r="C34" s="2694" t="s">
        <v>2150</v>
      </c>
      <c r="D34" s="2694" t="s">
        <v>1919</v>
      </c>
      <c r="E34" s="2694" t="s">
        <v>2279</v>
      </c>
      <c r="F34" s="2694" t="s">
        <v>2280</v>
      </c>
      <c r="G34" s="2694" t="s">
        <v>2281</v>
      </c>
      <c r="H34" s="2694" t="s">
        <v>2282</v>
      </c>
      <c r="I34" s="2694" t="s">
        <v>2283</v>
      </c>
      <c r="J34" s="2694" t="s">
        <v>1990</v>
      </c>
      <c r="K34" s="2694" t="s">
        <v>2284</v>
      </c>
      <c r="L34" s="2694" t="s">
        <v>2285</v>
      </c>
      <c r="M34" s="2694" t="s">
        <v>2286</v>
      </c>
      <c r="N34" s="2694" t="s">
        <v>2287</v>
      </c>
      <c r="O34" s="2694" t="s">
        <v>2288</v>
      </c>
      <c r="P34" s="2694" t="s">
        <v>2289</v>
      </c>
      <c r="Q34" s="2694" t="s">
        <v>1248</v>
      </c>
      <c r="R34" s="2694" t="s">
        <v>1248</v>
      </c>
      <c r="S34" s="2694" t="s">
        <v>1248</v>
      </c>
      <c r="T34" s="2694" t="s">
        <v>1248</v>
      </c>
    </row>
    <row r="35" spans="1:20">
      <c r="A35" s="3137" t="s">
        <v>2221</v>
      </c>
      <c r="B35" s="3137" t="s">
        <v>2078</v>
      </c>
      <c r="C35" s="2694" t="s">
        <v>2162</v>
      </c>
      <c r="D35" s="2694" t="s">
        <v>1919</v>
      </c>
      <c r="E35" s="2694" t="s">
        <v>2290</v>
      </c>
      <c r="F35" s="2694" t="s">
        <v>2291</v>
      </c>
      <c r="G35" s="2694" t="s">
        <v>2292</v>
      </c>
      <c r="H35" s="2694" t="s">
        <v>2293</v>
      </c>
      <c r="I35" s="2694" t="s">
        <v>2294</v>
      </c>
      <c r="J35" s="2694" t="s">
        <v>2295</v>
      </c>
      <c r="K35" s="2694" t="s">
        <v>2296</v>
      </c>
      <c r="L35" s="2694" t="s">
        <v>2158</v>
      </c>
      <c r="M35" s="2694" t="s">
        <v>2297</v>
      </c>
      <c r="N35" s="2694" t="s">
        <v>2298</v>
      </c>
      <c r="O35" s="2694" t="s">
        <v>2299</v>
      </c>
      <c r="P35" s="2694" t="s">
        <v>2300</v>
      </c>
      <c r="Q35" s="2694" t="s">
        <v>1248</v>
      </c>
      <c r="R35" s="2694" t="s">
        <v>1248</v>
      </c>
      <c r="S35" s="2694" t="s">
        <v>1248</v>
      </c>
      <c r="T35" s="2694" t="s">
        <v>1248</v>
      </c>
    </row>
    <row r="36" spans="1:20">
      <c r="A36" s="3137" t="s">
        <v>2221</v>
      </c>
      <c r="B36" s="3137" t="s">
        <v>2078</v>
      </c>
      <c r="C36" s="2694" t="s">
        <v>2125</v>
      </c>
      <c r="D36" s="2694" t="s">
        <v>1919</v>
      </c>
      <c r="E36" s="2694" t="s">
        <v>2301</v>
      </c>
      <c r="F36" s="2694" t="s">
        <v>2302</v>
      </c>
      <c r="G36" s="2694" t="s">
        <v>2272</v>
      </c>
      <c r="H36" s="2694" t="s">
        <v>2087</v>
      </c>
      <c r="I36" s="2694" t="s">
        <v>2095</v>
      </c>
      <c r="J36" s="2694" t="s">
        <v>2303</v>
      </c>
      <c r="K36" s="2694" t="s">
        <v>2304</v>
      </c>
      <c r="L36" s="2694" t="s">
        <v>2305</v>
      </c>
      <c r="M36" s="2694" t="s">
        <v>2306</v>
      </c>
      <c r="N36" s="2694" t="s">
        <v>2307</v>
      </c>
      <c r="O36" s="2694" t="s">
        <v>2308</v>
      </c>
      <c r="P36" s="2694" t="s">
        <v>2309</v>
      </c>
      <c r="Q36" s="2694" t="s">
        <v>1248</v>
      </c>
      <c r="R36" s="2694" t="s">
        <v>1248</v>
      </c>
      <c r="S36" s="2694" t="s">
        <v>1248</v>
      </c>
      <c r="T36" s="2694" t="s">
        <v>1248</v>
      </c>
    </row>
    <row r="37" spans="1:20">
      <c r="A37" s="3137" t="s">
        <v>2221</v>
      </c>
      <c r="B37" s="3137" t="s">
        <v>2078</v>
      </c>
      <c r="C37" s="2694" t="s">
        <v>2183</v>
      </c>
      <c r="D37" s="2694" t="s">
        <v>1919</v>
      </c>
      <c r="E37" s="2694" t="s">
        <v>2310</v>
      </c>
      <c r="F37" s="2694" t="s">
        <v>2311</v>
      </c>
      <c r="G37" s="2694" t="s">
        <v>2312</v>
      </c>
      <c r="H37" s="2694" t="s">
        <v>2313</v>
      </c>
      <c r="I37" s="2694" t="s">
        <v>2314</v>
      </c>
      <c r="J37" s="2694" t="s">
        <v>2315</v>
      </c>
      <c r="K37" s="2694" t="s">
        <v>2316</v>
      </c>
      <c r="L37" s="2694" t="s">
        <v>2317</v>
      </c>
      <c r="M37" s="2694" t="s">
        <v>2318</v>
      </c>
      <c r="N37" s="2694" t="s">
        <v>2319</v>
      </c>
      <c r="O37" s="2694" t="s">
        <v>2320</v>
      </c>
      <c r="P37" s="2694" t="s">
        <v>2321</v>
      </c>
      <c r="Q37" s="2694" t="s">
        <v>1248</v>
      </c>
      <c r="R37" s="2694" t="s">
        <v>1248</v>
      </c>
      <c r="S37" s="2694" t="s">
        <v>1248</v>
      </c>
      <c r="T37" s="2694" t="s">
        <v>1248</v>
      </c>
    </row>
    <row r="38" spans="1:20">
      <c r="A38" s="3137" t="s">
        <v>2221</v>
      </c>
      <c r="B38" s="3137" t="s">
        <v>2078</v>
      </c>
      <c r="C38" s="2694" t="s">
        <v>2195</v>
      </c>
      <c r="D38" s="2694" t="s">
        <v>1919</v>
      </c>
      <c r="E38" s="2694" t="s">
        <v>2322</v>
      </c>
      <c r="F38" s="2694" t="s">
        <v>2002</v>
      </c>
      <c r="G38" s="2694" t="s">
        <v>2323</v>
      </c>
      <c r="H38" s="2694" t="s">
        <v>2324</v>
      </c>
      <c r="I38" s="2694" t="s">
        <v>2325</v>
      </c>
      <c r="J38" s="2694" t="s">
        <v>2326</v>
      </c>
      <c r="K38" s="2694" t="s">
        <v>2327</v>
      </c>
      <c r="L38" s="2694" t="s">
        <v>2328</v>
      </c>
      <c r="M38" s="2694" t="s">
        <v>2329</v>
      </c>
      <c r="N38" s="2694" t="s">
        <v>2330</v>
      </c>
      <c r="O38" s="2694" t="s">
        <v>2331</v>
      </c>
      <c r="P38" s="2694" t="s">
        <v>2332</v>
      </c>
      <c r="Q38" s="2694" t="s">
        <v>1248</v>
      </c>
      <c r="R38" s="2694" t="s">
        <v>1248</v>
      </c>
      <c r="S38" s="2694" t="s">
        <v>1248</v>
      </c>
      <c r="T38" s="2694" t="s">
        <v>1248</v>
      </c>
    </row>
    <row r="39" spans="1:20">
      <c r="A39" s="3137" t="s">
        <v>2221</v>
      </c>
      <c r="B39" s="3137" t="s">
        <v>2078</v>
      </c>
      <c r="C39" s="2694" t="s">
        <v>2333</v>
      </c>
      <c r="D39" s="2694" t="s">
        <v>1919</v>
      </c>
      <c r="E39" s="2694" t="s">
        <v>2334</v>
      </c>
      <c r="F39" s="2694" t="s">
        <v>2335</v>
      </c>
      <c r="G39" s="2694" t="s">
        <v>2336</v>
      </c>
      <c r="H39" s="2694" t="s">
        <v>2337</v>
      </c>
      <c r="I39" s="2694" t="s">
        <v>2338</v>
      </c>
      <c r="J39" s="2694" t="s">
        <v>2339</v>
      </c>
      <c r="K39" s="2694" t="s">
        <v>2340</v>
      </c>
      <c r="L39" s="2694" t="s">
        <v>2341</v>
      </c>
      <c r="M39" s="2694" t="s">
        <v>2342</v>
      </c>
      <c r="N39" s="2694" t="s">
        <v>2343</v>
      </c>
      <c r="O39" s="2694" t="s">
        <v>2344</v>
      </c>
      <c r="P39" s="2694" t="s">
        <v>2345</v>
      </c>
      <c r="Q39" s="2694" t="s">
        <v>1248</v>
      </c>
      <c r="R39" s="2694" t="s">
        <v>1248</v>
      </c>
      <c r="S39" s="2694" t="s">
        <v>1248</v>
      </c>
      <c r="T39" s="2694" t="s">
        <v>1248</v>
      </c>
    </row>
    <row r="40" spans="1:20">
      <c r="A40" s="3137" t="s">
        <v>2221</v>
      </c>
      <c r="B40" s="3137" t="s">
        <v>2078</v>
      </c>
      <c r="C40" s="2694" t="s">
        <v>2346</v>
      </c>
      <c r="D40" s="2694" t="s">
        <v>1919</v>
      </c>
      <c r="E40" s="2694" t="s">
        <v>2347</v>
      </c>
      <c r="F40" s="2694" t="s">
        <v>2348</v>
      </c>
      <c r="G40" s="2694" t="s">
        <v>2349</v>
      </c>
      <c r="H40" s="2694" t="s">
        <v>2350</v>
      </c>
      <c r="I40" s="2694" t="s">
        <v>2351</v>
      </c>
      <c r="J40" s="2694" t="s">
        <v>2352</v>
      </c>
      <c r="K40" s="2694" t="s">
        <v>2353</v>
      </c>
      <c r="L40" s="2694" t="s">
        <v>2354</v>
      </c>
      <c r="M40" s="2694" t="s">
        <v>2355</v>
      </c>
      <c r="N40" s="2694" t="s">
        <v>2356</v>
      </c>
      <c r="O40" s="2694" t="s">
        <v>2357</v>
      </c>
      <c r="P40" s="2694" t="s">
        <v>2358</v>
      </c>
      <c r="Q40" s="2694" t="s">
        <v>1248</v>
      </c>
      <c r="R40" s="2694" t="s">
        <v>1248</v>
      </c>
      <c r="S40" s="2694" t="s">
        <v>1248</v>
      </c>
      <c r="T40" s="2694" t="s">
        <v>1248</v>
      </c>
    </row>
    <row r="41" spans="1:20">
      <c r="A41" s="3137" t="s">
        <v>2221</v>
      </c>
      <c r="B41" s="3137" t="s">
        <v>2078</v>
      </c>
      <c r="C41" s="2694" t="s">
        <v>2359</v>
      </c>
      <c r="D41" s="2694" t="s">
        <v>1919</v>
      </c>
      <c r="E41" s="2694" t="s">
        <v>2360</v>
      </c>
      <c r="F41" s="2694" t="s">
        <v>2361</v>
      </c>
      <c r="G41" s="2694" t="s">
        <v>2362</v>
      </c>
      <c r="H41" s="2694" t="s">
        <v>2363</v>
      </c>
      <c r="I41" s="2694" t="s">
        <v>2364</v>
      </c>
      <c r="J41" s="2694" t="s">
        <v>2365</v>
      </c>
      <c r="K41" s="2694" t="s">
        <v>2366</v>
      </c>
      <c r="L41" s="2694" t="s">
        <v>2367</v>
      </c>
      <c r="M41" s="2694" t="s">
        <v>2368</v>
      </c>
      <c r="N41" s="2694" t="s">
        <v>2369</v>
      </c>
      <c r="O41" s="2694" t="s">
        <v>2370</v>
      </c>
      <c r="P41" s="2694" t="s">
        <v>2371</v>
      </c>
      <c r="Q41" s="2694" t="s">
        <v>1248</v>
      </c>
      <c r="R41" s="2694" t="s">
        <v>1248</v>
      </c>
      <c r="S41" s="2694" t="s">
        <v>1248</v>
      </c>
      <c r="T41" s="2694" t="s">
        <v>1248</v>
      </c>
    </row>
    <row r="42" spans="1:20">
      <c r="A42" s="3137" t="s">
        <v>2372</v>
      </c>
      <c r="B42" s="3137" t="s">
        <v>2078</v>
      </c>
      <c r="C42" s="2694" t="s">
        <v>1994</v>
      </c>
      <c r="D42" s="2694" t="s">
        <v>1919</v>
      </c>
      <c r="E42" s="2694" t="s">
        <v>2373</v>
      </c>
      <c r="F42" s="2694" t="s">
        <v>2374</v>
      </c>
      <c r="G42" s="2694" t="s">
        <v>2375</v>
      </c>
      <c r="H42" s="2694" t="s">
        <v>2376</v>
      </c>
      <c r="I42" s="2694" t="s">
        <v>2377</v>
      </c>
      <c r="J42" s="2694" t="s">
        <v>2378</v>
      </c>
      <c r="K42" s="2694" t="s">
        <v>2073</v>
      </c>
      <c r="L42" s="2694" t="s">
        <v>2379</v>
      </c>
      <c r="M42" s="2694" t="s">
        <v>2380</v>
      </c>
      <c r="N42" s="2694" t="s">
        <v>2381</v>
      </c>
      <c r="O42" s="2694" t="s">
        <v>2382</v>
      </c>
      <c r="P42" s="2694" t="s">
        <v>2383</v>
      </c>
      <c r="Q42" s="2694" t="s">
        <v>1248</v>
      </c>
      <c r="R42" s="2694" t="s">
        <v>1248</v>
      </c>
      <c r="S42" s="2694" t="s">
        <v>1248</v>
      </c>
      <c r="T42" s="2694" t="s">
        <v>1248</v>
      </c>
    </row>
    <row r="43" spans="1:20">
      <c r="A43" s="3137" t="s">
        <v>2372</v>
      </c>
      <c r="B43" s="3137" t="s">
        <v>2078</v>
      </c>
      <c r="C43" s="2694" t="s">
        <v>2024</v>
      </c>
      <c r="D43" s="2694" t="s">
        <v>1919</v>
      </c>
      <c r="E43" s="2694" t="s">
        <v>2384</v>
      </c>
      <c r="F43" s="2694" t="s">
        <v>2385</v>
      </c>
      <c r="G43" s="2694" t="s">
        <v>2386</v>
      </c>
      <c r="H43" s="2694" t="s">
        <v>2387</v>
      </c>
      <c r="I43" s="2694" t="s">
        <v>2388</v>
      </c>
      <c r="J43" s="2694" t="s">
        <v>2389</v>
      </c>
      <c r="K43" s="2694" t="s">
        <v>1993</v>
      </c>
      <c r="L43" s="2694" t="s">
        <v>2390</v>
      </c>
      <c r="M43" s="2694" t="s">
        <v>2391</v>
      </c>
      <c r="N43" s="2694" t="s">
        <v>2392</v>
      </c>
      <c r="O43" s="2694" t="s">
        <v>2254</v>
      </c>
      <c r="P43" s="2694" t="s">
        <v>2393</v>
      </c>
      <c r="Q43" s="2694" t="s">
        <v>1248</v>
      </c>
      <c r="R43" s="2694" t="s">
        <v>1248</v>
      </c>
      <c r="S43" s="2694" t="s">
        <v>1248</v>
      </c>
      <c r="T43" s="2694" t="s">
        <v>1248</v>
      </c>
    </row>
    <row r="44" spans="1:20">
      <c r="A44" s="3137" t="s">
        <v>2372</v>
      </c>
      <c r="B44" s="3137" t="s">
        <v>2078</v>
      </c>
      <c r="C44" s="2694" t="s">
        <v>2125</v>
      </c>
      <c r="D44" s="2694" t="s">
        <v>1919</v>
      </c>
      <c r="E44" s="2694" t="s">
        <v>2394</v>
      </c>
      <c r="F44" s="2694" t="s">
        <v>2395</v>
      </c>
      <c r="G44" s="2694" t="s">
        <v>2396</v>
      </c>
      <c r="H44" s="2694" t="s">
        <v>2397</v>
      </c>
      <c r="I44" s="2694" t="s">
        <v>2398</v>
      </c>
      <c r="J44" s="2694" t="s">
        <v>2399</v>
      </c>
      <c r="K44" s="2694" t="s">
        <v>2400</v>
      </c>
      <c r="L44" s="2694" t="s">
        <v>2401</v>
      </c>
      <c r="M44" s="2694" t="s">
        <v>2402</v>
      </c>
      <c r="N44" s="2694" t="s">
        <v>2403</v>
      </c>
      <c r="O44" s="2694" t="s">
        <v>2404</v>
      </c>
      <c r="P44" s="2694" t="s">
        <v>2405</v>
      </c>
      <c r="Q44" s="2694" t="s">
        <v>1248</v>
      </c>
      <c r="R44" s="2694" t="s">
        <v>1248</v>
      </c>
      <c r="S44" s="2694" t="s">
        <v>1248</v>
      </c>
      <c r="T44" s="2694" t="s">
        <v>1248</v>
      </c>
    </row>
    <row r="45" spans="1:20">
      <c r="A45" s="3137" t="s">
        <v>2372</v>
      </c>
      <c r="B45" s="3137" t="s">
        <v>2078</v>
      </c>
      <c r="C45" s="2694" t="s">
        <v>2183</v>
      </c>
      <c r="D45" s="2694" t="s">
        <v>1919</v>
      </c>
      <c r="E45" s="2694" t="s">
        <v>2406</v>
      </c>
      <c r="F45" s="2694" t="s">
        <v>2407</v>
      </c>
      <c r="G45" s="2694" t="s">
        <v>2408</v>
      </c>
      <c r="H45" s="2694" t="s">
        <v>2409</v>
      </c>
      <c r="I45" s="2694" t="s">
        <v>2410</v>
      </c>
      <c r="J45" s="2694" t="s">
        <v>2411</v>
      </c>
      <c r="K45" s="2694" t="s">
        <v>2412</v>
      </c>
      <c r="L45" s="2694" t="s">
        <v>2413</v>
      </c>
      <c r="M45" s="2694" t="s">
        <v>2414</v>
      </c>
      <c r="N45" s="2694" t="s">
        <v>2415</v>
      </c>
      <c r="O45" s="2694" t="s">
        <v>2416</v>
      </c>
      <c r="P45" s="2694" t="s">
        <v>2417</v>
      </c>
      <c r="Q45" s="2694" t="s">
        <v>1248</v>
      </c>
      <c r="R45" s="2694" t="s">
        <v>1248</v>
      </c>
      <c r="S45" s="2694" t="s">
        <v>1248</v>
      </c>
      <c r="T45" s="2694" t="s">
        <v>1248</v>
      </c>
    </row>
    <row r="46" spans="1:20">
      <c r="A46" s="3137" t="s">
        <v>2372</v>
      </c>
      <c r="B46" s="3137" t="s">
        <v>2078</v>
      </c>
      <c r="C46" s="2694" t="s">
        <v>2195</v>
      </c>
      <c r="D46" s="2694" t="s">
        <v>1919</v>
      </c>
      <c r="E46" s="2694" t="s">
        <v>2418</v>
      </c>
      <c r="F46" s="2694" t="s">
        <v>2419</v>
      </c>
      <c r="G46" s="2694" t="s">
        <v>2420</v>
      </c>
      <c r="H46" s="2694" t="s">
        <v>2421</v>
      </c>
      <c r="I46" s="2694" t="s">
        <v>2422</v>
      </c>
      <c r="J46" s="2694" t="s">
        <v>2423</v>
      </c>
      <c r="K46" s="2694" t="s">
        <v>2424</v>
      </c>
      <c r="L46" s="2694" t="s">
        <v>2425</v>
      </c>
      <c r="M46" s="2694" t="s">
        <v>2426</v>
      </c>
      <c r="N46" s="2694" t="s">
        <v>2427</v>
      </c>
      <c r="O46" s="2694" t="s">
        <v>2428</v>
      </c>
      <c r="P46" s="2694" t="s">
        <v>2429</v>
      </c>
      <c r="Q46" s="2694" t="s">
        <v>1248</v>
      </c>
      <c r="R46" s="2694" t="s">
        <v>1248</v>
      </c>
      <c r="S46" s="2694" t="s">
        <v>1248</v>
      </c>
      <c r="T46" s="2694" t="s">
        <v>1248</v>
      </c>
    </row>
  </sheetData>
  <mergeCells count="13">
    <mergeCell ref="A42:A46"/>
    <mergeCell ref="B42:B46"/>
    <mergeCell ref="A4:A6"/>
    <mergeCell ref="A7:A8"/>
    <mergeCell ref="A9:A13"/>
    <mergeCell ref="B9:B12"/>
    <mergeCell ref="A16:A20"/>
    <mergeCell ref="B16:B20"/>
    <mergeCell ref="A21:A27"/>
    <mergeCell ref="B21:B27"/>
    <mergeCell ref="A28:A41"/>
    <mergeCell ref="B28:B31"/>
    <mergeCell ref="B32:B41"/>
  </mergeCells>
  <phoneticPr fontId="2"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419272-9031-4B5B-A0E2-65A6B5984106}">
  <sheetPr codeName="Sheet29"/>
  <dimension ref="B2:N41"/>
  <sheetViews>
    <sheetView zoomScale="145" zoomScaleNormal="145" workbookViewId="0"/>
  </sheetViews>
  <sheetFormatPr defaultColWidth="9" defaultRowHeight="11.25"/>
  <cols>
    <col min="1" max="1" width="9" style="2312"/>
    <col min="2" max="2" width="26" style="2312" bestFit="1" customWidth="1"/>
    <col min="3" max="3" width="6.75" style="2312" bestFit="1" customWidth="1"/>
    <col min="4" max="4" width="10.875" style="2312" bestFit="1" customWidth="1"/>
    <col min="5" max="5" width="7" style="2312" bestFit="1" customWidth="1"/>
    <col min="6" max="6" width="7.75" style="2312" bestFit="1" customWidth="1"/>
    <col min="7" max="7" width="10.375" style="2312" bestFit="1" customWidth="1"/>
    <col min="8" max="8" width="6.5" style="2312" bestFit="1" customWidth="1"/>
    <col min="9" max="10" width="8.5" style="2312" bestFit="1" customWidth="1"/>
    <col min="11" max="11" width="9.5" style="2312" customWidth="1"/>
    <col min="12" max="16384" width="9" style="2312"/>
  </cols>
  <sheetData>
    <row r="2" spans="2:14">
      <c r="B2" s="2314" t="s">
        <v>1524</v>
      </c>
      <c r="C2" s="2315"/>
    </row>
    <row r="3" spans="2:14">
      <c r="B3" s="2314" t="s">
        <v>1477</v>
      </c>
      <c r="C3" s="2374">
        <f>'A&amp;R'!P32*1000</f>
        <v>160000000000</v>
      </c>
      <c r="D3" s="2312" t="s">
        <v>1525</v>
      </c>
    </row>
    <row r="4" spans="2:14">
      <c r="B4" s="2314" t="s">
        <v>1526</v>
      </c>
      <c r="C4" s="2373">
        <f>'A&amp;R'!Q32</f>
        <v>4.7750000000000001E-2</v>
      </c>
      <c r="D4" s="2312" t="s">
        <v>1527</v>
      </c>
    </row>
    <row r="5" spans="2:14">
      <c r="B5" s="2314" t="s">
        <v>1528</v>
      </c>
      <c r="C5" s="2316">
        <f>'A&amp;R'!S32</f>
        <v>5.5E-2</v>
      </c>
      <c r="D5" s="2312" t="s">
        <v>1529</v>
      </c>
    </row>
    <row r="6" spans="2:14">
      <c r="B6" s="2314" t="s">
        <v>1530</v>
      </c>
      <c r="C6" s="2375">
        <f>C3*C4</f>
        <v>7640000000</v>
      </c>
      <c r="D6" s="2312" t="s">
        <v>1525</v>
      </c>
    </row>
    <row r="8" spans="2:14">
      <c r="B8" s="2317" t="s">
        <v>1531</v>
      </c>
      <c r="C8" s="2317"/>
      <c r="D8" s="2317"/>
      <c r="E8" s="2317"/>
      <c r="F8" s="2317"/>
      <c r="G8" s="2317"/>
      <c r="H8" s="2317"/>
      <c r="I8" s="2317"/>
      <c r="J8" s="2317"/>
      <c r="K8" s="2317"/>
    </row>
    <row r="9" spans="2:14">
      <c r="B9" s="2318" t="s">
        <v>619</v>
      </c>
      <c r="C9" s="2319" t="s">
        <v>1473</v>
      </c>
      <c r="D9" s="2319" t="s">
        <v>1244</v>
      </c>
      <c r="E9" s="2319">
        <v>1</v>
      </c>
      <c r="F9" s="2319">
        <v>2</v>
      </c>
      <c r="G9" s="2319">
        <v>3</v>
      </c>
      <c r="H9" s="2319">
        <v>4</v>
      </c>
      <c r="I9" s="2319">
        <v>5</v>
      </c>
      <c r="J9" s="2319">
        <v>6</v>
      </c>
      <c r="K9" s="2319">
        <v>7</v>
      </c>
      <c r="L9" s="2312">
        <v>8</v>
      </c>
      <c r="M9" s="2312">
        <v>9</v>
      </c>
      <c r="N9" s="2312">
        <v>10</v>
      </c>
    </row>
    <row r="10" spans="2:14">
      <c r="B10" s="2318" t="s">
        <v>1532</v>
      </c>
      <c r="C10" s="2319">
        <f>SUM(E10:N10)</f>
        <v>150204.86780054579</v>
      </c>
      <c r="D10" s="2319">
        <f>MIN(E10:N10)</f>
        <v>9076.1890386719206</v>
      </c>
      <c r="E10" s="2319">
        <f>IM!C64</f>
        <v>13105.364981746541</v>
      </c>
      <c r="F10" s="2319">
        <f>IM!C65</f>
        <v>13461.7863858647</v>
      </c>
      <c r="G10" s="2319">
        <f>IM!C66</f>
        <v>9076.1890386719206</v>
      </c>
      <c r="H10" s="2319">
        <f>IM!C67</f>
        <v>15215.117979256875</v>
      </c>
      <c r="I10" s="2319">
        <f>IM!C68</f>
        <v>15697.676364089473</v>
      </c>
      <c r="J10" s="2319">
        <f>IM!C69</f>
        <v>16136.820383685998</v>
      </c>
      <c r="K10" s="2319">
        <f>IM!C70</f>
        <v>16586.222341373079</v>
      </c>
      <c r="L10" s="2322">
        <f>IM!C71</f>
        <v>16147.668438126142</v>
      </c>
      <c r="M10" s="2322">
        <f>IM!C72</f>
        <v>17105.485515483077</v>
      </c>
      <c r="N10" s="2322">
        <f>IM!C73</f>
        <v>17672.536372248</v>
      </c>
    </row>
    <row r="11" spans="2:14">
      <c r="B11" s="2318" t="s">
        <v>1533</v>
      </c>
      <c r="C11" s="2376">
        <f>SUM(E11:N11)</f>
        <v>306877</v>
      </c>
      <c r="D11" s="2376">
        <f>MIN(E11:N11)</f>
        <v>7640</v>
      </c>
      <c r="E11" s="2376">
        <f>IM!D64</f>
        <v>7640</v>
      </c>
      <c r="F11" s="2376">
        <f>IM!D65</f>
        <v>7640</v>
      </c>
      <c r="G11" s="2376">
        <f>IM!D66</f>
        <v>10224</v>
      </c>
      <c r="H11" s="2376">
        <f>IM!D67</f>
        <v>10224</v>
      </c>
      <c r="I11" s="2376">
        <f>IM!D68</f>
        <v>10224</v>
      </c>
      <c r="J11" s="2376">
        <f>IM!D69</f>
        <v>9585</v>
      </c>
      <c r="K11" s="2376">
        <f>IM!D70</f>
        <v>9585</v>
      </c>
      <c r="L11" s="2322">
        <f>IM!D71</f>
        <v>9585</v>
      </c>
      <c r="M11" s="2322">
        <f>IM!D72</f>
        <v>9585</v>
      </c>
      <c r="N11" s="2322">
        <f>IM!D73</f>
        <v>222585</v>
      </c>
    </row>
    <row r="12" spans="2:14">
      <c r="B12" s="2318" t="s">
        <v>1478</v>
      </c>
      <c r="C12" s="2377">
        <f>AVERAGE(E12:N12)</f>
        <v>1.4351333779413249</v>
      </c>
      <c r="D12" s="2377">
        <f>MIN(E12:N12)</f>
        <v>7.9396798401725185E-2</v>
      </c>
      <c r="E12" s="2377">
        <f>IM!E64</f>
        <v>1.7153619086055683</v>
      </c>
      <c r="F12" s="2377">
        <f>IM!E65</f>
        <v>1.7620139248514004</v>
      </c>
      <c r="G12" s="2377">
        <f>IM!E66</f>
        <v>0.8877336696666589</v>
      </c>
      <c r="H12" s="2377">
        <f>IM!E67</f>
        <v>1.4881766411636224</v>
      </c>
      <c r="I12" s="2377">
        <f>IM!E68</f>
        <v>1.5353752312294087</v>
      </c>
      <c r="J12" s="2377">
        <f>IM!E69</f>
        <v>1.683549335804486</v>
      </c>
      <c r="K12" s="2377">
        <f>IM!E70</f>
        <v>1.7304352990477911</v>
      </c>
      <c r="L12" s="2378">
        <f>IM!E71</f>
        <v>1.6846811098723153</v>
      </c>
      <c r="M12" s="2378">
        <f>IM!E72</f>
        <v>1.7846098607702741</v>
      </c>
      <c r="N12" s="2378">
        <f>IM!E73</f>
        <v>7.9396798401725185E-2</v>
      </c>
    </row>
    <row r="13" spans="2:14">
      <c r="B13" s="2318"/>
      <c r="C13" s="2321"/>
      <c r="D13" s="2319"/>
      <c r="E13" s="2319"/>
      <c r="F13" s="2319"/>
      <c r="G13" s="2319"/>
      <c r="H13" s="2319"/>
      <c r="I13" s="2319"/>
      <c r="J13" s="2319"/>
      <c r="K13" s="2319"/>
    </row>
    <row r="14" spans="2:14">
      <c r="B14" s="2318" t="s">
        <v>1674</v>
      </c>
      <c r="C14" s="2321"/>
      <c r="D14" s="2319"/>
      <c r="E14" s="2319"/>
      <c r="F14" s="2319"/>
      <c r="G14" s="2319"/>
      <c r="H14" s="2319"/>
      <c r="I14" s="2319"/>
      <c r="J14" s="2319"/>
      <c r="K14" s="2319"/>
    </row>
    <row r="15" spans="2:14">
      <c r="B15" s="2318"/>
      <c r="C15" s="2320"/>
      <c r="D15" s="2320"/>
      <c r="E15" s="2320"/>
      <c r="F15" s="2320"/>
      <c r="G15" s="2320"/>
      <c r="H15" s="2320"/>
      <c r="I15" s="2320"/>
      <c r="J15" s="2320"/>
      <c r="K15" s="2320"/>
    </row>
    <row r="25" spans="2:11" ht="15" customHeight="1"/>
    <row r="26" spans="2:11" ht="15" customHeight="1"/>
    <row r="32" spans="2:11" ht="15" customHeight="1">
      <c r="B32" s="3140"/>
      <c r="C32" s="3140"/>
      <c r="D32" s="2331"/>
      <c r="E32" s="2323"/>
      <c r="G32" s="3138"/>
      <c r="H32" s="3138"/>
      <c r="I32" s="2324"/>
      <c r="J32" s="2325"/>
      <c r="K32" s="2329"/>
    </row>
    <row r="33" spans="2:11" ht="23.25">
      <c r="B33" s="2327"/>
      <c r="C33" s="2332"/>
      <c r="D33" s="2333"/>
      <c r="E33" s="2323"/>
      <c r="G33" s="3138"/>
      <c r="H33" s="3138"/>
      <c r="I33" s="2324"/>
      <c r="J33" s="2326"/>
      <c r="K33" s="2329"/>
    </row>
    <row r="34" spans="2:11" ht="23.25">
      <c r="B34" s="2330"/>
      <c r="C34" s="2332"/>
      <c r="D34" s="2333"/>
      <c r="E34" s="2323"/>
      <c r="G34" s="3139"/>
      <c r="H34" s="3139"/>
      <c r="I34" s="2334"/>
      <c r="J34" s="2335"/>
      <c r="K34" s="2336"/>
    </row>
    <row r="35" spans="2:11" ht="15" customHeight="1">
      <c r="B35" s="3140"/>
      <c r="C35" s="3140"/>
      <c r="D35" s="2331"/>
      <c r="E35" s="2323"/>
    </row>
    <row r="36" spans="2:11" ht="23.25">
      <c r="B36" s="2327"/>
      <c r="C36" s="2328"/>
      <c r="D36" s="2337"/>
      <c r="E36" s="2323"/>
      <c r="H36" s="2338"/>
    </row>
    <row r="37" spans="2:11" ht="23.25">
      <c r="B37" s="2330"/>
      <c r="C37" s="2328"/>
      <c r="D37" s="2339"/>
      <c r="E37" s="2323"/>
      <c r="H37" s="2338"/>
    </row>
    <row r="38" spans="2:11" ht="15" customHeight="1">
      <c r="B38" s="3139"/>
      <c r="C38" s="3139"/>
      <c r="D38" s="2340"/>
      <c r="E38" s="2323"/>
      <c r="H38" s="2338"/>
    </row>
    <row r="39" spans="2:11" ht="15" customHeight="1">
      <c r="B39" s="3138"/>
      <c r="C39" s="3138"/>
      <c r="D39" s="2341"/>
      <c r="E39" s="2323"/>
      <c r="F39" s="2342"/>
    </row>
    <row r="40" spans="2:11" ht="15" customHeight="1">
      <c r="B40" s="3138"/>
      <c r="C40" s="3138"/>
      <c r="D40" s="2341"/>
      <c r="E40" s="2323"/>
      <c r="F40" s="2342"/>
    </row>
    <row r="41" spans="2:11" ht="15" customHeight="1">
      <c r="B41" s="3139"/>
      <c r="C41" s="3139"/>
      <c r="D41" s="2340"/>
      <c r="E41" s="2323"/>
      <c r="F41" s="2335"/>
    </row>
  </sheetData>
  <mergeCells count="9">
    <mergeCell ref="B39:C39"/>
    <mergeCell ref="B40:C40"/>
    <mergeCell ref="B41:C41"/>
    <mergeCell ref="B32:C32"/>
    <mergeCell ref="G32:H32"/>
    <mergeCell ref="G33:H33"/>
    <mergeCell ref="G34:H34"/>
    <mergeCell ref="B35:C35"/>
    <mergeCell ref="B38:C38"/>
  </mergeCells>
  <phoneticPr fontId="2"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B8D6A-819C-4AEF-8D71-E87190270183}">
  <sheetPr codeName="Sheet30"/>
  <dimension ref="B2:P26"/>
  <sheetViews>
    <sheetView showGridLines="0" zoomScale="115" zoomScaleNormal="115" workbookViewId="0">
      <selection activeCell="P4" sqref="P4"/>
    </sheetView>
  </sheetViews>
  <sheetFormatPr defaultColWidth="9" defaultRowHeight="11.25"/>
  <cols>
    <col min="1" max="1" width="4.375" style="2312" customWidth="1"/>
    <col min="2" max="2" width="9" style="2312"/>
    <col min="3" max="3" width="8.875" style="2312" bestFit="1" customWidth="1"/>
    <col min="4" max="4" width="16.75" style="2312" customWidth="1"/>
    <col min="5" max="5" width="14.875" style="2312" bestFit="1" customWidth="1"/>
    <col min="6" max="7" width="9" style="2312"/>
    <col min="8" max="11" width="8.875" style="2312" customWidth="1"/>
    <col min="12" max="16384" width="9" style="2312"/>
  </cols>
  <sheetData>
    <row r="2" spans="2:16">
      <c r="B2" s="2343" t="s">
        <v>1479</v>
      </c>
      <c r="C2" s="2343"/>
      <c r="D2" s="2343"/>
      <c r="E2" s="2343"/>
      <c r="F2" s="2343"/>
      <c r="G2" s="2343"/>
      <c r="H2" s="2343"/>
      <c r="I2" s="2343"/>
      <c r="J2" s="2343"/>
      <c r="K2" s="2343"/>
      <c r="L2" s="2343"/>
    </row>
    <row r="3" spans="2:16" ht="12" thickBot="1"/>
    <row r="4" spans="2:16">
      <c r="B4" s="2344" t="s">
        <v>1480</v>
      </c>
      <c r="C4" s="2345" t="s">
        <v>1481</v>
      </c>
      <c r="D4" s="2345" t="s">
        <v>1482</v>
      </c>
      <c r="E4" s="2346" t="s">
        <v>1483</v>
      </c>
      <c r="F4" s="3141" t="s">
        <v>1484</v>
      </c>
      <c r="G4" s="3142"/>
      <c r="H4" s="3142"/>
      <c r="I4" s="3142"/>
      <c r="J4" s="3142"/>
      <c r="K4" s="3143"/>
      <c r="L4" s="2347" t="s">
        <v>264</v>
      </c>
      <c r="P4" s="2322"/>
    </row>
    <row r="5" spans="2:16">
      <c r="B5" s="2348"/>
      <c r="C5" s="2349"/>
      <c r="D5" s="2350"/>
      <c r="E5" s="2351"/>
      <c r="F5" s="2352"/>
      <c r="G5" s="2353"/>
      <c r="H5" s="2353"/>
      <c r="I5" s="2354"/>
      <c r="J5" s="2350"/>
      <c r="K5" s="2354"/>
      <c r="L5" s="2355"/>
      <c r="P5" s="2322"/>
    </row>
    <row r="6" spans="2:16">
      <c r="B6" s="2348"/>
      <c r="C6" s="2349"/>
      <c r="D6" s="2356"/>
      <c r="E6" s="2351"/>
      <c r="F6" s="2352"/>
      <c r="G6" s="2353"/>
      <c r="H6" s="2353"/>
      <c r="I6" s="2354"/>
      <c r="J6" s="2354"/>
      <c r="K6" s="2350"/>
      <c r="L6" s="2355"/>
      <c r="P6" s="2322"/>
    </row>
    <row r="7" spans="2:16">
      <c r="B7" s="2348"/>
      <c r="C7" s="2349"/>
      <c r="D7" s="2356"/>
      <c r="E7" s="2357"/>
      <c r="F7" s="2352"/>
      <c r="G7" s="2353"/>
      <c r="H7" s="2353"/>
      <c r="I7" s="2354"/>
      <c r="J7" s="2354"/>
      <c r="K7" s="2350"/>
      <c r="L7" s="2355"/>
      <c r="P7" s="2322"/>
    </row>
    <row r="8" spans="2:16">
      <c r="B8" s="2348"/>
      <c r="C8" s="2350"/>
      <c r="D8" s="2356"/>
      <c r="E8" s="2358"/>
      <c r="F8" s="2352"/>
      <c r="G8" s="2353"/>
      <c r="H8" s="2353"/>
      <c r="I8" s="2354"/>
      <c r="J8" s="2354"/>
      <c r="K8" s="2350"/>
      <c r="L8" s="2359"/>
    </row>
    <row r="9" spans="2:16">
      <c r="B9" s="2348"/>
      <c r="C9" s="2350"/>
      <c r="D9" s="2356"/>
      <c r="E9" s="2358"/>
      <c r="F9" s="2352"/>
      <c r="G9" s="2353"/>
      <c r="H9" s="2353"/>
      <c r="I9" s="2354"/>
      <c r="J9" s="2354"/>
      <c r="K9" s="2350"/>
      <c r="L9" s="2359"/>
      <c r="P9" s="2322"/>
    </row>
    <row r="10" spans="2:16">
      <c r="B10" s="2348"/>
      <c r="C10" s="2350"/>
      <c r="D10" s="2356"/>
      <c r="E10" s="2358"/>
      <c r="F10" s="2352"/>
      <c r="G10" s="2353"/>
      <c r="H10" s="2353"/>
      <c r="I10" s="2354"/>
      <c r="J10" s="2354"/>
      <c r="K10" s="2350"/>
      <c r="L10" s="2359"/>
    </row>
    <row r="11" spans="2:16">
      <c r="B11" s="2348"/>
      <c r="C11" s="2350"/>
      <c r="D11" s="2356"/>
      <c r="E11" s="2358"/>
      <c r="F11" s="3144"/>
      <c r="G11" s="3145"/>
      <c r="H11" s="3145"/>
      <c r="I11" s="2361"/>
      <c r="J11" s="2361"/>
      <c r="K11" s="2356"/>
      <c r="L11" s="2359"/>
    </row>
    <row r="12" spans="2:16">
      <c r="B12" s="2348"/>
      <c r="C12" s="2350"/>
      <c r="D12" s="2356"/>
      <c r="E12" s="2358"/>
      <c r="F12" s="3144"/>
      <c r="G12" s="3145"/>
      <c r="H12" s="3145"/>
      <c r="I12" s="2361"/>
      <c r="J12" s="2361"/>
      <c r="K12" s="2356"/>
      <c r="L12" s="2359"/>
    </row>
    <row r="13" spans="2:16">
      <c r="B13" s="2348"/>
      <c r="C13" s="2350"/>
      <c r="D13" s="2356"/>
      <c r="E13" s="2358"/>
      <c r="F13" s="3146"/>
      <c r="G13" s="3147"/>
      <c r="H13" s="3147"/>
      <c r="I13" s="2354"/>
      <c r="J13" s="2354"/>
      <c r="K13" s="2350"/>
      <c r="L13" s="2359"/>
    </row>
    <row r="14" spans="2:16">
      <c r="B14" s="2348"/>
      <c r="C14" s="2350"/>
      <c r="D14" s="2356"/>
      <c r="E14" s="2362"/>
      <c r="F14" s="2360"/>
      <c r="G14" s="2361"/>
      <c r="H14" s="2361"/>
      <c r="I14" s="2361"/>
      <c r="J14" s="2361"/>
      <c r="K14" s="2356"/>
      <c r="L14" s="2359"/>
      <c r="P14" s="2322"/>
    </row>
    <row r="15" spans="2:16">
      <c r="B15" s="2348"/>
      <c r="C15" s="2350"/>
      <c r="D15" s="2356"/>
      <c r="E15" s="2362"/>
      <c r="F15" s="2360"/>
      <c r="G15" s="2361"/>
      <c r="H15" s="2361"/>
      <c r="I15" s="2361"/>
      <c r="J15" s="2361"/>
      <c r="K15" s="2356"/>
      <c r="L15" s="2359"/>
      <c r="P15" s="2322"/>
    </row>
    <row r="16" spans="2:16">
      <c r="B16" s="2348"/>
      <c r="C16" s="2350"/>
      <c r="D16" s="2356"/>
      <c r="E16" s="2362"/>
      <c r="F16" s="2360"/>
      <c r="G16" s="2361"/>
      <c r="H16" s="2361"/>
      <c r="I16" s="2361"/>
      <c r="J16" s="2361"/>
      <c r="K16" s="2356"/>
      <c r="L16" s="2359"/>
      <c r="P16" s="2322"/>
    </row>
    <row r="17" spans="2:16">
      <c r="B17" s="2348"/>
      <c r="C17" s="2350"/>
      <c r="D17" s="2356"/>
      <c r="E17" s="2362"/>
      <c r="F17" s="2360"/>
      <c r="G17" s="2361"/>
      <c r="H17" s="2361"/>
      <c r="I17" s="2361"/>
      <c r="J17" s="2361"/>
      <c r="K17" s="2356"/>
      <c r="L17" s="2359"/>
    </row>
    <row r="18" spans="2:16">
      <c r="B18" s="2348"/>
      <c r="C18" s="2350"/>
      <c r="D18" s="2356"/>
      <c r="E18" s="2362"/>
      <c r="F18" s="2360"/>
      <c r="G18" s="2361"/>
      <c r="H18" s="2361"/>
      <c r="I18" s="2361"/>
      <c r="J18" s="2361"/>
      <c r="K18" s="2356"/>
      <c r="L18" s="2359"/>
    </row>
    <row r="19" spans="2:16">
      <c r="B19" s="2348"/>
      <c r="C19" s="2350"/>
      <c r="D19" s="2356"/>
      <c r="E19" s="2362"/>
      <c r="F19" s="2360"/>
      <c r="G19" s="2361"/>
      <c r="H19" s="2361"/>
      <c r="I19" s="2361"/>
      <c r="J19" s="2361"/>
      <c r="K19" s="2356"/>
      <c r="L19" s="2359"/>
      <c r="P19" s="2322"/>
    </row>
    <row r="20" spans="2:16">
      <c r="B20" s="2348"/>
      <c r="C20" s="2350"/>
      <c r="D20" s="2356"/>
      <c r="E20" s="2362"/>
      <c r="F20" s="2360"/>
      <c r="G20" s="2361"/>
      <c r="H20" s="2361"/>
      <c r="I20" s="2361"/>
      <c r="J20" s="2361"/>
      <c r="K20" s="2356"/>
      <c r="L20" s="2359"/>
      <c r="P20" s="2322"/>
    </row>
    <row r="21" spans="2:16">
      <c r="B21" s="2348"/>
      <c r="C21" s="2350"/>
      <c r="D21" s="2356"/>
      <c r="E21" s="2362"/>
      <c r="F21" s="2360"/>
      <c r="G21" s="2361"/>
      <c r="H21" s="2361"/>
      <c r="I21" s="2361"/>
      <c r="J21" s="2361"/>
      <c r="K21" s="2356"/>
      <c r="L21" s="2359"/>
      <c r="P21" s="2322"/>
    </row>
    <row r="22" spans="2:16">
      <c r="B22" s="2348"/>
      <c r="C22" s="2350"/>
      <c r="D22" s="2356"/>
      <c r="E22" s="2362"/>
      <c r="F22" s="2360"/>
      <c r="G22" s="2361"/>
      <c r="H22" s="2361"/>
      <c r="I22" s="2361"/>
      <c r="J22" s="2361"/>
      <c r="K22" s="2356"/>
      <c r="L22" s="2359"/>
    </row>
    <row r="23" spans="2:16" ht="12" thickBot="1">
      <c r="B23" s="2363"/>
      <c r="C23" s="2364"/>
      <c r="D23" s="2365"/>
      <c r="E23" s="2366"/>
      <c r="F23" s="2367"/>
      <c r="G23" s="2368"/>
      <c r="H23" s="2368"/>
      <c r="I23" s="2368"/>
      <c r="J23" s="2368"/>
      <c r="K23" s="2365"/>
      <c r="L23" s="2369"/>
    </row>
    <row r="24" spans="2:16">
      <c r="P24" s="2322"/>
    </row>
    <row r="25" spans="2:16">
      <c r="P25" s="2322"/>
    </row>
    <row r="26" spans="2:16">
      <c r="P26" s="2322"/>
    </row>
  </sheetData>
  <mergeCells count="4">
    <mergeCell ref="F4:K4"/>
    <mergeCell ref="F11:H11"/>
    <mergeCell ref="F12:H12"/>
    <mergeCell ref="F13:H13"/>
  </mergeCells>
  <phoneticPr fontId="2" type="noConversion"/>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B928B8-B357-40C5-8B90-8A0BCECDA09A}">
  <sheetPr codeName="Sheet25"/>
  <dimension ref="A1:H89"/>
  <sheetViews>
    <sheetView workbookViewId="0">
      <selection sqref="A1:H1"/>
    </sheetView>
  </sheetViews>
  <sheetFormatPr defaultColWidth="7.625" defaultRowHeight="16.5"/>
  <cols>
    <col min="1" max="1" width="26.25" style="2196" customWidth="1"/>
    <col min="2" max="2" width="17.5" style="2196" customWidth="1"/>
    <col min="3" max="3" width="19.25" style="2196" customWidth="1"/>
    <col min="4" max="4" width="21" style="2196" customWidth="1"/>
    <col min="5" max="5" width="15.75" style="2196" customWidth="1"/>
    <col min="6" max="6" width="19.25" style="2196" customWidth="1"/>
    <col min="7" max="7" width="14" style="2196" customWidth="1"/>
    <col min="8" max="8" width="15.75" style="2196" customWidth="1"/>
    <col min="9" max="16384" width="7.625" style="2196"/>
  </cols>
  <sheetData>
    <row r="1" spans="1:8" ht="25.5" customHeight="1">
      <c r="A1" s="3149" t="s">
        <v>1279</v>
      </c>
      <c r="B1" s="3149"/>
      <c r="C1" s="3149"/>
      <c r="D1" s="3149"/>
      <c r="E1" s="3149"/>
      <c r="F1" s="3149"/>
      <c r="G1" s="3149"/>
      <c r="H1" s="3149"/>
    </row>
    <row r="2" spans="1:8" ht="13.5" customHeight="1">
      <c r="A2" s="3150" t="s">
        <v>1280</v>
      </c>
      <c r="B2" s="3150"/>
      <c r="C2" s="3150"/>
      <c r="D2" s="3150"/>
      <c r="E2" s="3150"/>
      <c r="F2" s="3150"/>
      <c r="G2" s="3150"/>
      <c r="H2" s="3150"/>
    </row>
    <row r="3" spans="1:8" ht="13.5" customHeight="1">
      <c r="A3" s="3151" t="s">
        <v>1281</v>
      </c>
      <c r="B3" s="3151"/>
      <c r="C3" s="3151"/>
      <c r="D3" s="3151"/>
      <c r="E3" s="3151"/>
      <c r="F3" s="3151"/>
      <c r="G3" s="3151"/>
      <c r="H3" s="3151"/>
    </row>
    <row r="5" spans="1:8" ht="19.5" customHeight="1">
      <c r="A5" s="3152" t="s">
        <v>1282</v>
      </c>
      <c r="B5" s="3152"/>
      <c r="C5" s="3152"/>
      <c r="D5" s="3152"/>
      <c r="E5" s="3152"/>
      <c r="F5" s="3152"/>
      <c r="G5" s="3152"/>
      <c r="H5" s="3152"/>
    </row>
    <row r="6" spans="1:8" ht="15" customHeight="1">
      <c r="A6" s="2197" t="s">
        <v>619</v>
      </c>
      <c r="B6" s="2197" t="s">
        <v>1283</v>
      </c>
      <c r="C6" s="2197" t="s">
        <v>1284</v>
      </c>
      <c r="D6" s="2197" t="s">
        <v>264</v>
      </c>
    </row>
    <row r="7" spans="1:8" ht="15" customHeight="1">
      <c r="A7" s="2198" t="s">
        <v>1285</v>
      </c>
      <c r="B7" s="2199">
        <v>160000</v>
      </c>
      <c r="C7" s="2200" t="s">
        <v>1286</v>
      </c>
      <c r="D7" s="2201" t="s">
        <v>1287</v>
      </c>
    </row>
    <row r="8" spans="1:8" ht="15" customHeight="1">
      <c r="A8" s="2198" t="s">
        <v>1288</v>
      </c>
      <c r="B8" s="2202">
        <v>24</v>
      </c>
      <c r="C8" s="2200" t="s">
        <v>1289</v>
      </c>
      <c r="D8" s="2201" t="s">
        <v>1290</v>
      </c>
    </row>
    <row r="9" spans="1:8" ht="15" customHeight="1">
      <c r="A9" s="2198" t="s">
        <v>1291</v>
      </c>
      <c r="B9" s="2203">
        <v>0.5</v>
      </c>
      <c r="C9" s="2204" t="s">
        <v>1292</v>
      </c>
      <c r="D9" s="2198" t="s">
        <v>1293</v>
      </c>
    </row>
    <row r="10" spans="1:8" ht="15" customHeight="1">
      <c r="A10" s="2198" t="s">
        <v>1294</v>
      </c>
      <c r="B10" s="2205">
        <v>5.5E-2</v>
      </c>
      <c r="C10" s="2204" t="s">
        <v>1292</v>
      </c>
      <c r="D10" s="2201" t="s">
        <v>1295</v>
      </c>
    </row>
    <row r="11" spans="1:8" ht="15" customHeight="1">
      <c r="A11" s="2198" t="s">
        <v>1296</v>
      </c>
      <c r="B11" s="2206">
        <v>1.5</v>
      </c>
      <c r="C11" s="2200" t="s">
        <v>1289</v>
      </c>
      <c r="D11" s="2201" t="s">
        <v>1297</v>
      </c>
    </row>
    <row r="13" spans="1:8" ht="19.5" customHeight="1">
      <c r="A13" s="3152" t="s">
        <v>1298</v>
      </c>
      <c r="B13" s="3152"/>
      <c r="C13" s="3152"/>
      <c r="D13" s="3152"/>
      <c r="E13" s="3152"/>
      <c r="F13" s="3152"/>
      <c r="G13" s="3152"/>
      <c r="H13" s="3152"/>
    </row>
    <row r="14" spans="1:8" ht="30" customHeight="1">
      <c r="A14" s="2207" t="s">
        <v>619</v>
      </c>
      <c r="B14" s="2207" t="s">
        <v>1299</v>
      </c>
      <c r="C14" s="2208" t="s">
        <v>1300</v>
      </c>
      <c r="D14" s="2208" t="s">
        <v>1301</v>
      </c>
      <c r="E14" s="2208" t="s">
        <v>1302</v>
      </c>
      <c r="F14" s="2207" t="s">
        <v>264</v>
      </c>
    </row>
    <row r="15" spans="1:8" ht="15" customHeight="1">
      <c r="A15" s="2209" t="s">
        <v>1303</v>
      </c>
      <c r="B15" s="2205">
        <v>5.5E-2</v>
      </c>
      <c r="C15" s="2205">
        <v>5.6000000000000001E-2</v>
      </c>
      <c r="D15" s="2205">
        <v>5.6000000000000001E-2</v>
      </c>
      <c r="E15" s="2204" t="s">
        <v>1248</v>
      </c>
      <c r="F15" s="2210" t="s">
        <v>1304</v>
      </c>
    </row>
    <row r="16" spans="1:8" ht="15" customHeight="1">
      <c r="A16" s="2209" t="s">
        <v>1305</v>
      </c>
      <c r="B16" s="2205">
        <v>0.05</v>
      </c>
      <c r="C16" s="2205">
        <v>0.05</v>
      </c>
      <c r="D16" s="2205">
        <v>0.05</v>
      </c>
      <c r="E16" s="2204" t="s">
        <v>1248</v>
      </c>
      <c r="F16" s="2210" t="s">
        <v>1306</v>
      </c>
    </row>
    <row r="17" spans="1:8" ht="15" customHeight="1">
      <c r="A17" s="2209" t="s">
        <v>1307</v>
      </c>
      <c r="B17" s="2204" t="s">
        <v>1248</v>
      </c>
      <c r="C17" s="2205">
        <v>4.9000000000000002E-2</v>
      </c>
      <c r="D17" s="2205">
        <v>5.0500000000000003E-2</v>
      </c>
      <c r="E17" s="2211">
        <f t="shared" ref="E17:E24" si="0">C17-D17</f>
        <v>-1.5000000000000013E-3</v>
      </c>
      <c r="F17" s="2212" t="s">
        <v>1308</v>
      </c>
    </row>
    <row r="18" spans="1:8" ht="15" customHeight="1">
      <c r="A18" s="2209" t="s">
        <v>1309</v>
      </c>
      <c r="B18" s="2204" t="s">
        <v>1248</v>
      </c>
      <c r="C18" s="2205">
        <v>4.2999999999999997E-2</v>
      </c>
      <c r="D18" s="2205">
        <v>4.5499999999999999E-2</v>
      </c>
      <c r="E18" s="2211">
        <f t="shared" si="0"/>
        <v>-2.5000000000000022E-3</v>
      </c>
      <c r="F18" s="2210" t="s">
        <v>1310</v>
      </c>
    </row>
    <row r="19" spans="1:8" ht="15" customHeight="1">
      <c r="A19" s="2213" t="s">
        <v>1311</v>
      </c>
      <c r="B19" s="2214">
        <f>B15</f>
        <v>5.5E-2</v>
      </c>
      <c r="C19" s="2214">
        <f>C15*$B$9+C17*(1-$B$9)</f>
        <v>5.2500000000000005E-2</v>
      </c>
      <c r="D19" s="2214">
        <f>D15*$B$9+D17*(1-$B$9)</f>
        <v>5.3250000000000006E-2</v>
      </c>
      <c r="E19" s="2214">
        <f t="shared" si="0"/>
        <v>-7.5000000000000067E-4</v>
      </c>
      <c r="F19" s="2215" t="s">
        <v>1312</v>
      </c>
    </row>
    <row r="20" spans="1:8" ht="15" customHeight="1">
      <c r="A20" s="2209" t="s">
        <v>1313</v>
      </c>
      <c r="B20" s="2211">
        <f>B16</f>
        <v>0.05</v>
      </c>
      <c r="C20" s="2211">
        <f>C16*$B$9+C18*(1-$B$9)</f>
        <v>4.65E-2</v>
      </c>
      <c r="D20" s="2211">
        <f>D16*$B$9+D18*(1-$B$9)</f>
        <v>4.7750000000000001E-2</v>
      </c>
      <c r="E20" s="2211">
        <f t="shared" si="0"/>
        <v>-1.2500000000000011E-3</v>
      </c>
      <c r="F20" s="2210" t="s">
        <v>1314</v>
      </c>
    </row>
    <row r="21" spans="1:8" ht="15" customHeight="1">
      <c r="A21" s="2209" t="s">
        <v>1315</v>
      </c>
      <c r="B21" s="2204" t="s">
        <v>1248</v>
      </c>
      <c r="C21" s="2216">
        <f>(C19-$B$10)*10000</f>
        <v>-24.999999999999954</v>
      </c>
      <c r="D21" s="2216">
        <f>(D19-$B$10)*10000</f>
        <v>-17.499999999999947</v>
      </c>
      <c r="E21" s="2217">
        <f t="shared" si="0"/>
        <v>-7.5000000000000071</v>
      </c>
      <c r="F21" s="2212" t="s">
        <v>1316</v>
      </c>
    </row>
    <row r="22" spans="1:8" ht="15" customHeight="1">
      <c r="A22" s="2209" t="s">
        <v>1317</v>
      </c>
      <c r="B22" s="2218">
        <f>$B$7*B19</f>
        <v>8800</v>
      </c>
      <c r="C22" s="2218">
        <f>$B$7*C19</f>
        <v>8400</v>
      </c>
      <c r="D22" s="2218">
        <f>$B$7*D19</f>
        <v>8520</v>
      </c>
      <c r="E22" s="2218">
        <f t="shared" si="0"/>
        <v>-120</v>
      </c>
      <c r="F22" s="2210" t="s">
        <v>1286</v>
      </c>
    </row>
    <row r="23" spans="1:8" ht="15" customHeight="1">
      <c r="A23" s="2209" t="s">
        <v>1318</v>
      </c>
      <c r="B23" s="2218">
        <f>B22*$B$8/12</f>
        <v>17600</v>
      </c>
      <c r="C23" s="2218">
        <f>C22*$B$8/12</f>
        <v>16800</v>
      </c>
      <c r="D23" s="2218">
        <f>D22*$B$8/12</f>
        <v>17040</v>
      </c>
      <c r="E23" s="2218">
        <f t="shared" si="0"/>
        <v>-240</v>
      </c>
      <c r="F23" s="2210" t="s">
        <v>1286</v>
      </c>
    </row>
    <row r="24" spans="1:8" ht="15" customHeight="1">
      <c r="A24" s="2213" t="s">
        <v>1319</v>
      </c>
      <c r="B24" s="2219" t="s">
        <v>1248</v>
      </c>
      <c r="C24" s="2220">
        <f>$B$23-C23</f>
        <v>800</v>
      </c>
      <c r="D24" s="2220">
        <f>$B$23-D23</f>
        <v>560</v>
      </c>
      <c r="E24" s="2220">
        <f t="shared" si="0"/>
        <v>240</v>
      </c>
      <c r="F24" s="2215" t="s">
        <v>1320</v>
      </c>
    </row>
    <row r="26" spans="1:8" ht="19.5" customHeight="1">
      <c r="A26" s="3152" t="s">
        <v>1321</v>
      </c>
      <c r="B26" s="3152"/>
      <c r="C26" s="3152"/>
      <c r="D26" s="3152"/>
      <c r="E26" s="3152"/>
      <c r="F26" s="3152"/>
      <c r="G26" s="3152"/>
      <c r="H26" s="3152"/>
    </row>
    <row r="27" spans="1:8" ht="15" customHeight="1">
      <c r="A27" s="2197" t="s">
        <v>619</v>
      </c>
      <c r="B27" s="2221" t="s">
        <v>1322</v>
      </c>
      <c r="C27" s="2221" t="s">
        <v>1323</v>
      </c>
      <c r="D27" s="3153" t="s">
        <v>1324</v>
      </c>
      <c r="E27" s="3153"/>
      <c r="F27" s="3153"/>
    </row>
    <row r="28" spans="1:8" ht="15" customHeight="1">
      <c r="A28" s="2209" t="s">
        <v>1325</v>
      </c>
      <c r="B28" s="2217">
        <f>(C16-C18)*10000</f>
        <v>70.000000000000057</v>
      </c>
      <c r="C28" s="2217">
        <f>(D16-D18)*10000</f>
        <v>45.000000000000043</v>
      </c>
      <c r="D28" s="3154" t="s">
        <v>1326</v>
      </c>
      <c r="E28" s="3154"/>
      <c r="F28" s="3154"/>
    </row>
    <row r="29" spans="1:8" ht="15" customHeight="1">
      <c r="A29" s="2209" t="s">
        <v>1327</v>
      </c>
      <c r="B29" s="2216">
        <f>($B$10-C19)/(1-$B$9)*10000</f>
        <v>49.999999999999908</v>
      </c>
      <c r="C29" s="2216">
        <f>($B$10-D19)/(1-$B$9)*10000</f>
        <v>34.999999999999893</v>
      </c>
      <c r="D29" s="3155" t="s">
        <v>1328</v>
      </c>
      <c r="E29" s="3155"/>
      <c r="F29" s="3155"/>
    </row>
    <row r="30" spans="1:8" ht="15" customHeight="1">
      <c r="A30" s="2222" t="s">
        <v>1329</v>
      </c>
      <c r="B30" s="3156" t="str">
        <f>"CD 상승폭이 금융채 상승폭보다 "&amp;TEXT((D19-C19)/(1-$B$9)*10000,"0")&amp;"bp 이상 클 때"</f>
        <v>CD 상승폭이 금융채 상승폭보다 15bp 이상 클 때</v>
      </c>
      <c r="C30" s="3156"/>
      <c r="D30" s="3155" t="s">
        <v>1330</v>
      </c>
      <c r="E30" s="3155"/>
      <c r="F30" s="3155"/>
    </row>
    <row r="31" spans="1:8" ht="29.25" customHeight="1">
      <c r="A31" s="2209" t="s">
        <v>1331</v>
      </c>
      <c r="B31" s="2214">
        <f>($B$10-C17)/(C15-C17)</f>
        <v>0.85714285714285698</v>
      </c>
      <c r="C31" s="2214">
        <f>($B$10-D17)/(D15-D17)</f>
        <v>0.8181818181818179</v>
      </c>
      <c r="D31" s="3148" t="s">
        <v>1332</v>
      </c>
      <c r="E31" s="3148"/>
      <c r="F31" s="3148"/>
    </row>
    <row r="33" spans="1:8" ht="19.5" customHeight="1">
      <c r="A33" s="3152" t="s">
        <v>1333</v>
      </c>
      <c r="B33" s="3152"/>
      <c r="C33" s="3152"/>
      <c r="D33" s="3152"/>
      <c r="E33" s="3152"/>
      <c r="F33" s="3152"/>
      <c r="G33" s="3152"/>
      <c r="H33" s="3152"/>
    </row>
    <row r="34" spans="1:8" ht="13.5" customHeight="1">
      <c r="A34" s="3158" t="s">
        <v>1334</v>
      </c>
      <c r="B34" s="3158"/>
      <c r="C34" s="3158"/>
      <c r="D34" s="3158"/>
      <c r="E34" s="3158"/>
      <c r="F34" s="3158"/>
      <c r="G34" s="3158"/>
      <c r="H34" s="3158"/>
    </row>
    <row r="35" spans="1:8" ht="30" customHeight="1">
      <c r="A35" s="2207" t="s">
        <v>1335</v>
      </c>
      <c r="B35" s="2208" t="s">
        <v>1336</v>
      </c>
      <c r="C35" s="2208" t="s">
        <v>1337</v>
      </c>
      <c r="D35" s="2207" t="s">
        <v>1338</v>
      </c>
      <c r="E35" s="2207" t="s">
        <v>1339</v>
      </c>
    </row>
    <row r="36" spans="1:8" ht="15" customHeight="1">
      <c r="A36" s="2205">
        <v>2.5000000000000001E-3</v>
      </c>
      <c r="B36" s="2217">
        <f>A36*$B$11/12*10000</f>
        <v>3.125</v>
      </c>
      <c r="C36" s="2217">
        <f>(D18-C18)*10000</f>
        <v>25.000000000000021</v>
      </c>
      <c r="D36" s="2216">
        <f>B36-C36</f>
        <v>-21.875000000000021</v>
      </c>
      <c r="E36" s="2223" t="str">
        <f>IF(ROUND(D36,1)=0,"손익분기",IF(D36&gt;0,"2안 우위","1안 우위"))</f>
        <v>1안 우위</v>
      </c>
      <c r="F36" s="2210" t="s">
        <v>1340</v>
      </c>
    </row>
    <row r="37" spans="1:8" ht="15" customHeight="1">
      <c r="A37" s="2205">
        <v>5.0000000000000001E-3</v>
      </c>
      <c r="B37" s="2217">
        <f>A37*$B$11/12*10000</f>
        <v>6.25</v>
      </c>
      <c r="C37" s="2217">
        <f>(D18-C18)*10000</f>
        <v>25.000000000000021</v>
      </c>
      <c r="D37" s="2216">
        <f>B37-C37</f>
        <v>-18.750000000000021</v>
      </c>
      <c r="E37" s="2223" t="str">
        <f>IF(ROUND(D37,1)=0,"손익분기",IF(D37&gt;0,"2안 우위","1안 우위"))</f>
        <v>1안 우위</v>
      </c>
      <c r="F37" s="2210"/>
    </row>
    <row r="38" spans="1:8" ht="15" customHeight="1">
      <c r="A38" s="2205">
        <v>7.4999999999999997E-3</v>
      </c>
      <c r="B38" s="2217">
        <f>A38*$B$11/12*10000</f>
        <v>9.375</v>
      </c>
      <c r="C38" s="2217">
        <f>(D18-C18)*10000</f>
        <v>25.000000000000021</v>
      </c>
      <c r="D38" s="2216">
        <f>B38-C38</f>
        <v>-15.625000000000021</v>
      </c>
      <c r="E38" s="2223" t="str">
        <f>IF(ROUND(D38,1)=0,"손익분기",IF(D38&gt;0,"2안 우위","1안 우위"))</f>
        <v>1안 우위</v>
      </c>
      <c r="F38" s="2210"/>
    </row>
    <row r="39" spans="1:8" ht="15" customHeight="1">
      <c r="A39" s="2205">
        <v>0.01</v>
      </c>
      <c r="B39" s="2217">
        <f>A39*$B$11/12*10000</f>
        <v>12.5</v>
      </c>
      <c r="C39" s="2217">
        <f>(D18-C18)*10000</f>
        <v>25.000000000000021</v>
      </c>
      <c r="D39" s="2216">
        <f>B39-C39</f>
        <v>-12.500000000000021</v>
      </c>
      <c r="E39" s="2223" t="str">
        <f>IF(ROUND(D39,1)=0,"손익분기",IF(D39&gt;0,"2안 우위","1안 우위"))</f>
        <v>1안 우위</v>
      </c>
      <c r="F39" s="2210"/>
    </row>
    <row r="40" spans="1:8" ht="15" customHeight="1">
      <c r="A40" s="2205">
        <v>0.02</v>
      </c>
      <c r="B40" s="2217">
        <f>A40*$B$11/12*10000</f>
        <v>25</v>
      </c>
      <c r="C40" s="2217">
        <f>(D18-C18)*10000</f>
        <v>25.000000000000021</v>
      </c>
      <c r="D40" s="2216">
        <f>B40-C40</f>
        <v>0</v>
      </c>
      <c r="E40" s="2223" t="str">
        <f>IF(ROUND(D40,1)=0,"손익분기",IF(D40&gt;0,"2안 우위","1안 우위"))</f>
        <v>손익분기</v>
      </c>
      <c r="F40" s="2210" t="s">
        <v>1341</v>
      </c>
    </row>
    <row r="41" spans="1:8" ht="13.5" customHeight="1">
      <c r="A41" s="3158" t="s">
        <v>1342</v>
      </c>
      <c r="B41" s="3158"/>
      <c r="C41" s="3158"/>
      <c r="D41" s="3158"/>
      <c r="E41" s="3158"/>
      <c r="F41" s="3158"/>
      <c r="G41" s="3158"/>
      <c r="H41" s="3158"/>
    </row>
    <row r="43" spans="1:8" ht="19.5" customHeight="1">
      <c r="A43" s="3152" t="s">
        <v>1343</v>
      </c>
      <c r="B43" s="3152"/>
      <c r="C43" s="3152"/>
      <c r="D43" s="3152"/>
      <c r="E43" s="3152"/>
      <c r="F43" s="3152"/>
      <c r="G43" s="3152"/>
      <c r="H43" s="3152"/>
    </row>
    <row r="44" spans="1:8" ht="31.5" customHeight="1">
      <c r="A44" s="2207" t="s">
        <v>1344</v>
      </c>
      <c r="B44" s="2207" t="s">
        <v>1345</v>
      </c>
      <c r="C44" s="2207" t="s">
        <v>1346</v>
      </c>
      <c r="D44" s="2208" t="s">
        <v>1347</v>
      </c>
      <c r="E44" s="2208" t="s">
        <v>1348</v>
      </c>
      <c r="F44" s="2207" t="s">
        <v>1299</v>
      </c>
      <c r="G44" s="2207" t="s">
        <v>1349</v>
      </c>
      <c r="H44" s="2208" t="s">
        <v>1350</v>
      </c>
    </row>
    <row r="45" spans="1:8" ht="15" customHeight="1">
      <c r="A45" s="2198" t="s">
        <v>1351</v>
      </c>
      <c r="B45" s="2205">
        <v>-2.5000000000000001E-3</v>
      </c>
      <c r="C45" s="2205">
        <v>-2.5000000000000001E-3</v>
      </c>
      <c r="D45" s="2211">
        <f>$C$19+(1-$B$9)*B45</f>
        <v>5.1250000000000004E-2</v>
      </c>
      <c r="E45" s="2211">
        <f>$D$19+(1-$B$9)*(B45-C45*$B$11/12)</f>
        <v>5.2156250000000008E-2</v>
      </c>
      <c r="F45" s="2211">
        <f>$B$10</f>
        <v>5.5E-2</v>
      </c>
      <c r="G45" s="2223" t="str">
        <f>IF(D45&lt;E45,"1안","2안")</f>
        <v>1안</v>
      </c>
      <c r="H45" s="2218">
        <f>($F45-D45)*$B$7*$B$8/12</f>
        <v>1199.9999999999989</v>
      </c>
    </row>
    <row r="46" spans="1:8" ht="15" customHeight="1">
      <c r="A46" s="2198" t="s">
        <v>1352</v>
      </c>
      <c r="B46" s="2205">
        <v>0</v>
      </c>
      <c r="C46" s="2205">
        <v>0</v>
      </c>
      <c r="D46" s="2211">
        <f>$C$19+(1-$B$9)*B46</f>
        <v>5.2500000000000005E-2</v>
      </c>
      <c r="E46" s="2211">
        <f>$D$19+(1-$B$9)*(B46-C46*$B$11/12)</f>
        <v>5.3250000000000006E-2</v>
      </c>
      <c r="F46" s="2211">
        <f>$B$10</f>
        <v>5.5E-2</v>
      </c>
      <c r="G46" s="2223" t="str">
        <f>IF(D46&lt;E46,"1안","2안")</f>
        <v>1안</v>
      </c>
      <c r="H46" s="2218">
        <f>($F46-D46)*$B$7*$B$8/12</f>
        <v>799.99999999999852</v>
      </c>
    </row>
    <row r="47" spans="1:8" ht="15" customHeight="1">
      <c r="A47" s="2198" t="s">
        <v>1353</v>
      </c>
      <c r="B47" s="2205">
        <v>1E-3</v>
      </c>
      <c r="C47" s="2205">
        <v>1.5E-3</v>
      </c>
      <c r="D47" s="2211">
        <f>$C$19+(1-$B$9)*B47</f>
        <v>5.3000000000000005E-2</v>
      </c>
      <c r="E47" s="2211">
        <f>$D$19+(1-$B$9)*(B47-C47*$B$11/12)</f>
        <v>5.3656250000000003E-2</v>
      </c>
      <c r="F47" s="2211">
        <f>$B$10</f>
        <v>5.5E-2</v>
      </c>
      <c r="G47" s="2223" t="str">
        <f>IF(D47&lt;E47,"1안","2안")</f>
        <v>1안</v>
      </c>
      <c r="H47" s="2218">
        <f>($F47-D47)*$B$7*$B$8/12</f>
        <v>639.99999999999829</v>
      </c>
    </row>
    <row r="48" spans="1:8" ht="15" customHeight="1">
      <c r="A48" s="2198" t="s">
        <v>1354</v>
      </c>
      <c r="B48" s="2205">
        <v>3.0000000000000001E-3</v>
      </c>
      <c r="C48" s="2205">
        <v>3.5000000000000001E-3</v>
      </c>
      <c r="D48" s="2211">
        <f>$C$19+(1-$B$9)*B48</f>
        <v>5.4000000000000006E-2</v>
      </c>
      <c r="E48" s="2211">
        <f>$D$19+(1-$B$9)*(B48-C48*$B$11/12)</f>
        <v>5.4531250000000003E-2</v>
      </c>
      <c r="F48" s="2211">
        <f>$B$10</f>
        <v>5.5E-2</v>
      </c>
      <c r="G48" s="2223" t="str">
        <f>IF(D48&lt;E48,"1안","2안")</f>
        <v>1안</v>
      </c>
      <c r="H48" s="2218">
        <f>($F48-D48)*$B$7*$B$8/12</f>
        <v>319.99999999999807</v>
      </c>
    </row>
    <row r="49" spans="1:8" ht="15" customHeight="1">
      <c r="A49" s="2198" t="s">
        <v>1355</v>
      </c>
      <c r="B49" s="2205">
        <v>6.0000000000000001E-3</v>
      </c>
      <c r="C49" s="2205">
        <v>7.0000000000000001E-3</v>
      </c>
      <c r="D49" s="2211">
        <f>$C$19+(1-$B$9)*B49</f>
        <v>5.5500000000000008E-2</v>
      </c>
      <c r="E49" s="2211">
        <f>$D$19+(1-$B$9)*(B49-C49*$B$11/12)</f>
        <v>5.5812500000000008E-2</v>
      </c>
      <c r="F49" s="2211">
        <f>$B$10</f>
        <v>5.5E-2</v>
      </c>
      <c r="G49" s="2223" t="str">
        <f>IF(D49&lt;E49,"1안","2안")</f>
        <v>1안</v>
      </c>
      <c r="H49" s="2218">
        <f>($F49-D49)*$B$7*$B$8/12</f>
        <v>-160.00000000000236</v>
      </c>
    </row>
    <row r="50" spans="1:8" ht="13.5" customHeight="1">
      <c r="A50" s="3159" t="s">
        <v>1356</v>
      </c>
      <c r="B50" s="3159"/>
      <c r="C50" s="3159"/>
      <c r="D50" s="3159"/>
      <c r="E50" s="3159"/>
      <c r="F50" s="3159"/>
      <c r="G50" s="3159"/>
      <c r="H50" s="3159"/>
    </row>
    <row r="52" spans="1:8" ht="19.5" customHeight="1">
      <c r="A52" s="3152" t="s">
        <v>1357</v>
      </c>
      <c r="B52" s="3152"/>
      <c r="C52" s="3152"/>
      <c r="D52" s="3152"/>
      <c r="E52" s="3152"/>
      <c r="F52" s="3152"/>
      <c r="G52" s="3152"/>
      <c r="H52" s="3152"/>
    </row>
    <row r="53" spans="1:8" ht="15" customHeight="1">
      <c r="A53" s="2207" t="s">
        <v>1358</v>
      </c>
      <c r="B53" s="2208" t="s">
        <v>1359</v>
      </c>
      <c r="C53" s="2208" t="s">
        <v>1360</v>
      </c>
      <c r="D53" s="2208" t="s">
        <v>1361</v>
      </c>
      <c r="E53" s="2208" t="s">
        <v>1362</v>
      </c>
      <c r="F53" s="2207" t="s">
        <v>264</v>
      </c>
    </row>
    <row r="54" spans="1:8" ht="15" customHeight="1">
      <c r="A54" s="2205">
        <v>0.5</v>
      </c>
      <c r="B54" s="2211">
        <f>$C$15*A54+$C$17*(1-A54)</f>
        <v>5.2500000000000005E-2</v>
      </c>
      <c r="C54" s="2211">
        <f>$D$15*A54+$D$17*(1-A54)</f>
        <v>5.3250000000000006E-2</v>
      </c>
      <c r="D54" s="2217">
        <f t="shared" ref="D54:E58" si="1">(B54-$B$10)*10000</f>
        <v>-24.999999999999954</v>
      </c>
      <c r="E54" s="2217">
        <f t="shared" si="1"/>
        <v>-17.499999999999947</v>
      </c>
      <c r="F54" s="2210" t="s">
        <v>1363</v>
      </c>
    </row>
    <row r="55" spans="1:8" ht="15" customHeight="1">
      <c r="A55" s="2205">
        <v>0.6</v>
      </c>
      <c r="B55" s="2211">
        <f>$C$15*A55+$C$17*(1-A55)</f>
        <v>5.3199999999999997E-2</v>
      </c>
      <c r="C55" s="2211">
        <f>$D$15*A55+$D$17*(1-A55)</f>
        <v>5.3800000000000001E-2</v>
      </c>
      <c r="D55" s="2217">
        <f t="shared" si="1"/>
        <v>-18.000000000000028</v>
      </c>
      <c r="E55" s="2217">
        <f t="shared" si="1"/>
        <v>-11.999999999999996</v>
      </c>
      <c r="F55" s="2210"/>
    </row>
    <row r="56" spans="1:8" ht="15" customHeight="1">
      <c r="A56" s="2205">
        <v>0.7</v>
      </c>
      <c r="B56" s="2211">
        <f>$C$15*A56+$C$17*(1-A56)</f>
        <v>5.3900000000000003E-2</v>
      </c>
      <c r="C56" s="2211">
        <f>$D$15*A56+$D$17*(1-A56)</f>
        <v>5.4350000000000002E-2</v>
      </c>
      <c r="D56" s="2217">
        <f t="shared" si="1"/>
        <v>-10.999999999999968</v>
      </c>
      <c r="E56" s="2217">
        <f t="shared" si="1"/>
        <v>-6.4999999999999778</v>
      </c>
      <c r="F56" s="2210" t="s">
        <v>1364</v>
      </c>
    </row>
    <row r="57" spans="1:8" ht="15" customHeight="1">
      <c r="A57" s="2205">
        <v>0.8</v>
      </c>
      <c r="B57" s="2211">
        <f>$C$15*A57+$C$17*(1-A57)</f>
        <v>5.4600000000000003E-2</v>
      </c>
      <c r="C57" s="2211">
        <f>$D$15*A57+$D$17*(1-A57)</f>
        <v>5.4900000000000004E-2</v>
      </c>
      <c r="D57" s="2217">
        <f t="shared" si="1"/>
        <v>-3.999999999999976</v>
      </c>
      <c r="E57" s="2217">
        <f t="shared" si="1"/>
        <v>-0.99999999999995925</v>
      </c>
      <c r="F57" s="2210"/>
    </row>
    <row r="58" spans="1:8" ht="15" customHeight="1">
      <c r="A58" s="2205">
        <v>0.9</v>
      </c>
      <c r="B58" s="2211">
        <f>$C$15*A58+$C$17*(1-A58)</f>
        <v>5.5300000000000002E-2</v>
      </c>
      <c r="C58" s="2211">
        <f>$D$15*A58+$D$17*(1-A58)</f>
        <v>5.5449999999999999E-2</v>
      </c>
      <c r="D58" s="2217">
        <f t="shared" si="1"/>
        <v>3.0000000000000164</v>
      </c>
      <c r="E58" s="2217">
        <f t="shared" si="1"/>
        <v>4.4999999999999902</v>
      </c>
      <c r="F58" s="2212" t="s">
        <v>1365</v>
      </c>
    </row>
    <row r="60" spans="1:8" ht="19.5" customHeight="1">
      <c r="A60" s="3152" t="s">
        <v>1366</v>
      </c>
      <c r="B60" s="3152"/>
      <c r="C60" s="3152"/>
      <c r="D60" s="3152"/>
      <c r="E60" s="3152"/>
      <c r="F60" s="3152"/>
      <c r="G60" s="3152"/>
      <c r="H60" s="3152"/>
    </row>
    <row r="61" spans="1:8" ht="15" customHeight="1">
      <c r="A61" s="2197" t="s">
        <v>1367</v>
      </c>
      <c r="B61" s="3153" t="s">
        <v>668</v>
      </c>
      <c r="C61" s="3153"/>
      <c r="D61" s="3153"/>
      <c r="E61" s="3153"/>
      <c r="F61" s="3160"/>
      <c r="G61" s="3160"/>
      <c r="H61" s="3160"/>
    </row>
    <row r="62" spans="1:8" ht="25.5" customHeight="1">
      <c r="A62" s="2209" t="s">
        <v>1368</v>
      </c>
      <c r="B62" s="3154" t="s">
        <v>1369</v>
      </c>
      <c r="C62" s="3154"/>
      <c r="D62" s="3154"/>
      <c r="E62" s="3154"/>
      <c r="F62" s="3157" t="s">
        <v>1370</v>
      </c>
      <c r="G62" s="3157"/>
      <c r="H62" s="3157"/>
    </row>
    <row r="63" spans="1:8" ht="25.5" customHeight="1">
      <c r="A63" s="2222" t="s">
        <v>1371</v>
      </c>
      <c r="B63" s="3154" t="s">
        <v>1372</v>
      </c>
      <c r="C63" s="3154"/>
      <c r="D63" s="3154"/>
      <c r="E63" s="3154"/>
      <c r="F63" s="3157" t="s">
        <v>1370</v>
      </c>
      <c r="G63" s="3157"/>
      <c r="H63" s="3157"/>
    </row>
    <row r="64" spans="1:8" ht="25.5" customHeight="1">
      <c r="A64" s="2209" t="s">
        <v>1373</v>
      </c>
      <c r="B64" s="3154" t="s">
        <v>1374</v>
      </c>
      <c r="C64" s="3154"/>
      <c r="D64" s="3154"/>
      <c r="E64" s="3154"/>
      <c r="F64" s="3161" t="s">
        <v>1375</v>
      </c>
      <c r="G64" s="3161"/>
      <c r="H64" s="3161"/>
    </row>
    <row r="65" spans="1:8" ht="25.5" customHeight="1">
      <c r="A65" s="2209" t="s">
        <v>1376</v>
      </c>
      <c r="B65" s="3154" t="s">
        <v>1377</v>
      </c>
      <c r="C65" s="3154"/>
      <c r="D65" s="3154"/>
      <c r="E65" s="3154"/>
      <c r="F65" s="3157" t="s">
        <v>1378</v>
      </c>
      <c r="G65" s="3157"/>
      <c r="H65" s="3157"/>
    </row>
    <row r="66" spans="1:8" ht="25.5" customHeight="1">
      <c r="A66" s="2209" t="s">
        <v>1379</v>
      </c>
      <c r="B66" s="3154" t="s">
        <v>1380</v>
      </c>
      <c r="C66" s="3154"/>
      <c r="D66" s="3154"/>
      <c r="E66" s="3154"/>
      <c r="F66" s="3161" t="s">
        <v>1381</v>
      </c>
      <c r="G66" s="3161"/>
      <c r="H66" s="3161"/>
    </row>
    <row r="67" spans="1:8" ht="25.5" customHeight="1">
      <c r="A67" s="2222" t="s">
        <v>1382</v>
      </c>
      <c r="B67" s="3154" t="s">
        <v>1383</v>
      </c>
      <c r="C67" s="3154"/>
      <c r="D67" s="3154"/>
      <c r="E67" s="3154"/>
      <c r="F67" s="3161" t="s">
        <v>1384</v>
      </c>
      <c r="G67" s="3161"/>
      <c r="H67" s="3161"/>
    </row>
    <row r="68" spans="1:8" ht="25.5" customHeight="1">
      <c r="A68" s="2209" t="s">
        <v>1385</v>
      </c>
      <c r="B68" s="3154" t="s">
        <v>1386</v>
      </c>
      <c r="C68" s="3154"/>
      <c r="D68" s="3154"/>
      <c r="E68" s="3154"/>
      <c r="F68" s="3157" t="s">
        <v>1387</v>
      </c>
      <c r="G68" s="3157"/>
      <c r="H68" s="3157"/>
    </row>
    <row r="69" spans="1:8" ht="25.5" customHeight="1">
      <c r="A69" s="2209" t="s">
        <v>1388</v>
      </c>
      <c r="B69" s="3154" t="s">
        <v>1389</v>
      </c>
      <c r="C69" s="3154"/>
      <c r="D69" s="3154"/>
      <c r="E69" s="3154"/>
      <c r="F69" s="3161" t="s">
        <v>1390</v>
      </c>
      <c r="G69" s="3161"/>
      <c r="H69" s="3161"/>
    </row>
    <row r="71" spans="1:8" ht="19.5" customHeight="1">
      <c r="A71" s="3152" t="s">
        <v>1391</v>
      </c>
      <c r="B71" s="3152"/>
      <c r="C71" s="3152"/>
      <c r="D71" s="3152"/>
      <c r="E71" s="3152"/>
      <c r="F71" s="3152"/>
      <c r="G71" s="3152"/>
      <c r="H71" s="3152"/>
    </row>
    <row r="72" spans="1:8" ht="15" customHeight="1">
      <c r="A72" s="2207" t="s">
        <v>1367</v>
      </c>
      <c r="B72" s="2208" t="s">
        <v>1392</v>
      </c>
      <c r="C72" s="2208" t="s">
        <v>1393</v>
      </c>
      <c r="D72" s="2207" t="s">
        <v>1394</v>
      </c>
      <c r="E72" s="2207" t="s">
        <v>264</v>
      </c>
    </row>
    <row r="73" spans="1:8" ht="15" customHeight="1">
      <c r="A73" s="2209" t="s">
        <v>1395</v>
      </c>
      <c r="B73" s="2211">
        <f>$B$10</f>
        <v>5.5E-2</v>
      </c>
      <c r="C73" s="2211">
        <f>$C$19</f>
        <v>5.2500000000000005E-2</v>
      </c>
      <c r="D73" s="2217">
        <f>(C73-B73)*10000</f>
        <v>-24.999999999999954</v>
      </c>
      <c r="E73" s="2212" t="s">
        <v>1396</v>
      </c>
    </row>
    <row r="74" spans="1:8" ht="15" customHeight="1">
      <c r="A74" s="2209" t="s">
        <v>1397</v>
      </c>
      <c r="B74" s="2218">
        <f>$B$22</f>
        <v>8800</v>
      </c>
      <c r="C74" s="2218">
        <f>$C$22</f>
        <v>8400</v>
      </c>
      <c r="D74" s="2218">
        <f>C74-B74</f>
        <v>-400</v>
      </c>
      <c r="E74" s="2210" t="s">
        <v>1398</v>
      </c>
    </row>
    <row r="75" spans="1:8" ht="15" customHeight="1">
      <c r="A75" s="2222" t="s">
        <v>1399</v>
      </c>
      <c r="B75" s="2224">
        <v>2.31</v>
      </c>
      <c r="C75" s="2225" t="s">
        <v>1400</v>
      </c>
      <c r="D75" s="2225" t="s">
        <v>1401</v>
      </c>
      <c r="E75" s="2212" t="s">
        <v>1402</v>
      </c>
    </row>
    <row r="76" spans="1:8" ht="15" customHeight="1">
      <c r="A76" s="2222" t="s">
        <v>1403</v>
      </c>
      <c r="B76" s="2224">
        <v>1.29</v>
      </c>
      <c r="C76" s="2225" t="s">
        <v>1404</v>
      </c>
      <c r="D76" s="2225" t="s">
        <v>1405</v>
      </c>
      <c r="E76" s="2212" t="s">
        <v>1406</v>
      </c>
    </row>
    <row r="77" spans="1:8" ht="15" customHeight="1">
      <c r="A77" s="2209" t="s">
        <v>1407</v>
      </c>
      <c r="B77" s="2205">
        <v>0.126</v>
      </c>
      <c r="C77" s="2225" t="s">
        <v>1408</v>
      </c>
      <c r="D77" s="2225" t="s">
        <v>1409</v>
      </c>
      <c r="E77" s="2212" t="s">
        <v>1410</v>
      </c>
    </row>
    <row r="78" spans="1:8" ht="15" customHeight="1">
      <c r="A78" s="2213" t="s">
        <v>1411</v>
      </c>
      <c r="B78" s="2219" t="s">
        <v>1248</v>
      </c>
      <c r="C78" s="2220">
        <f>$C$24</f>
        <v>800</v>
      </c>
      <c r="D78" s="2226" t="s">
        <v>1412</v>
      </c>
      <c r="E78" s="2227" t="s">
        <v>1413</v>
      </c>
    </row>
    <row r="80" spans="1:8" ht="19.5" customHeight="1">
      <c r="A80" s="3152" t="s">
        <v>1414</v>
      </c>
      <c r="B80" s="3152"/>
      <c r="C80" s="3152"/>
      <c r="D80" s="3152"/>
      <c r="E80" s="3152"/>
      <c r="F80" s="3152"/>
      <c r="G80" s="3152"/>
      <c r="H80" s="3152"/>
    </row>
    <row r="81" spans="1:8" ht="31.5" customHeight="1">
      <c r="A81" s="2213" t="s">
        <v>1415</v>
      </c>
      <c r="B81" s="3148" t="s">
        <v>1416</v>
      </c>
      <c r="C81" s="3148"/>
      <c r="D81" s="3148"/>
      <c r="E81" s="3148"/>
      <c r="F81" s="3148"/>
      <c r="G81" s="3148"/>
      <c r="H81" s="3148"/>
    </row>
    <row r="82" spans="1:8" ht="27.75" customHeight="1">
      <c r="A82" s="2209" t="s">
        <v>1417</v>
      </c>
      <c r="B82" s="3154" t="s">
        <v>1418</v>
      </c>
      <c r="C82" s="3154"/>
      <c r="D82" s="3154"/>
      <c r="E82" s="3154"/>
      <c r="F82" s="3154"/>
      <c r="G82" s="3154"/>
      <c r="H82" s="3154"/>
    </row>
    <row r="83" spans="1:8" ht="27.75" customHeight="1">
      <c r="A83" s="2209" t="s">
        <v>1419</v>
      </c>
      <c r="B83" s="3155" t="s">
        <v>1420</v>
      </c>
      <c r="C83" s="3155"/>
      <c r="D83" s="3155"/>
      <c r="E83" s="3155"/>
      <c r="F83" s="3155"/>
      <c r="G83" s="3155"/>
      <c r="H83" s="3155"/>
    </row>
    <row r="84" spans="1:8" ht="27.75" customHeight="1">
      <c r="A84" s="2209" t="s">
        <v>1421</v>
      </c>
      <c r="B84" s="3155" t="s">
        <v>1422</v>
      </c>
      <c r="C84" s="3155"/>
      <c r="D84" s="3155"/>
      <c r="E84" s="3155"/>
      <c r="F84" s="3155"/>
      <c r="G84" s="3155"/>
      <c r="H84" s="3155"/>
    </row>
    <row r="85" spans="1:8" ht="27.75" customHeight="1">
      <c r="A85" s="2209" t="s">
        <v>1423</v>
      </c>
      <c r="B85" s="3155" t="s">
        <v>1424</v>
      </c>
      <c r="C85" s="3155"/>
      <c r="D85" s="3155"/>
      <c r="E85" s="3155"/>
      <c r="F85" s="3155"/>
      <c r="G85" s="3155"/>
      <c r="H85" s="3155"/>
    </row>
    <row r="86" spans="1:8" ht="27.75" customHeight="1">
      <c r="A86" s="2209" t="s">
        <v>1425</v>
      </c>
      <c r="B86" s="3155" t="s">
        <v>1426</v>
      </c>
      <c r="C86" s="3155"/>
      <c r="D86" s="3155"/>
      <c r="E86" s="3155"/>
      <c r="F86" s="3155"/>
      <c r="G86" s="3155"/>
      <c r="H86" s="3155"/>
    </row>
    <row r="87" spans="1:8" ht="27.75" customHeight="1">
      <c r="A87" s="2222" t="s">
        <v>1427</v>
      </c>
      <c r="B87" s="3154" t="s">
        <v>1428</v>
      </c>
      <c r="C87" s="3154"/>
      <c r="D87" s="3154"/>
      <c r="E87" s="3154"/>
      <c r="F87" s="3154"/>
      <c r="G87" s="3154"/>
      <c r="H87" s="3154"/>
    </row>
    <row r="89" spans="1:8" ht="13.5" customHeight="1">
      <c r="A89" s="3158" t="s">
        <v>1429</v>
      </c>
      <c r="B89" s="3158"/>
      <c r="C89" s="3158"/>
      <c r="D89" s="3158"/>
      <c r="E89" s="3158"/>
      <c r="F89" s="3158"/>
      <c r="G89" s="3158"/>
      <c r="H89" s="3158"/>
    </row>
  </sheetData>
  <mergeCells count="47">
    <mergeCell ref="B85:H85"/>
    <mergeCell ref="B86:H86"/>
    <mergeCell ref="B87:H87"/>
    <mergeCell ref="A89:H89"/>
    <mergeCell ref="A71:H71"/>
    <mergeCell ref="A80:H80"/>
    <mergeCell ref="B81:H81"/>
    <mergeCell ref="B82:H82"/>
    <mergeCell ref="B83:H83"/>
    <mergeCell ref="B84:H84"/>
    <mergeCell ref="B67:E67"/>
    <mergeCell ref="F67:H67"/>
    <mergeCell ref="B68:E68"/>
    <mergeCell ref="F68:H68"/>
    <mergeCell ref="B69:E69"/>
    <mergeCell ref="F69:H69"/>
    <mergeCell ref="B64:E64"/>
    <mergeCell ref="F64:H64"/>
    <mergeCell ref="B65:E65"/>
    <mergeCell ref="F65:H65"/>
    <mergeCell ref="B66:E66"/>
    <mergeCell ref="F66:H66"/>
    <mergeCell ref="B63:E63"/>
    <mergeCell ref="F63:H63"/>
    <mergeCell ref="A33:H33"/>
    <mergeCell ref="A34:H34"/>
    <mergeCell ref="A41:H41"/>
    <mergeCell ref="A43:H43"/>
    <mergeCell ref="A50:H50"/>
    <mergeCell ref="A52:H52"/>
    <mergeCell ref="A60:H60"/>
    <mergeCell ref="B61:E61"/>
    <mergeCell ref="F61:H61"/>
    <mergeCell ref="B62:E62"/>
    <mergeCell ref="F62:H62"/>
    <mergeCell ref="D31:F31"/>
    <mergeCell ref="A1:H1"/>
    <mergeCell ref="A2:H2"/>
    <mergeCell ref="A3:H3"/>
    <mergeCell ref="A5:H5"/>
    <mergeCell ref="A13:H13"/>
    <mergeCell ref="A26:H26"/>
    <mergeCell ref="D27:F27"/>
    <mergeCell ref="D28:F28"/>
    <mergeCell ref="D29:F29"/>
    <mergeCell ref="B30:C30"/>
    <mergeCell ref="D30:F30"/>
  </mergeCells>
  <phoneticPr fontId="2"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235382-7CA3-4FCB-8634-7256C21547A6}">
  <sheetPr codeName="Sheet24"/>
  <dimension ref="A1:CS97"/>
  <sheetViews>
    <sheetView showGridLines="0" topLeftCell="C54" zoomScaleNormal="100" workbookViewId="0">
      <selection activeCell="L92" sqref="L92"/>
    </sheetView>
  </sheetViews>
  <sheetFormatPr defaultColWidth="0" defaultRowHeight="11.25" customHeight="1"/>
  <cols>
    <col min="1" max="1" width="16" style="1977" customWidth="1"/>
    <col min="2" max="2" width="1.5" style="1977" customWidth="1"/>
    <col min="3" max="4" width="14.375" style="1977" customWidth="1"/>
    <col min="5" max="6" width="14.375" style="2028" customWidth="1"/>
    <col min="7" max="20" width="14.375" style="1977" customWidth="1"/>
    <col min="21" max="22" width="14.375" style="2028" customWidth="1"/>
    <col min="23" max="23" width="14.375" style="1977" customWidth="1"/>
    <col min="24" max="25" width="14.375" style="2028" customWidth="1"/>
    <col min="26" max="26" width="14.375" style="1977" customWidth="1"/>
    <col min="27" max="27" width="14.375" style="2028" customWidth="1"/>
    <col min="28" max="28" width="2.75" style="1977" customWidth="1"/>
    <col min="29" max="97" width="0" style="1977" hidden="1" customWidth="1"/>
    <col min="98" max="16384" width="15.5" style="1977" hidden="1"/>
  </cols>
  <sheetData>
    <row r="1" spans="1:27" s="1970" customFormat="1" ht="11.25" customHeight="1">
      <c r="A1" s="1968"/>
      <c r="B1" s="1969"/>
      <c r="C1" s="1969"/>
      <c r="E1" s="1968"/>
      <c r="F1" s="1968"/>
      <c r="G1" s="1968"/>
      <c r="H1" s="1968"/>
      <c r="I1" s="1968"/>
      <c r="J1" s="1968"/>
      <c r="K1" s="1968"/>
      <c r="L1" s="1968"/>
      <c r="M1" s="1968"/>
      <c r="N1" s="1968"/>
      <c r="O1" s="1968"/>
      <c r="P1" s="1968"/>
      <c r="Q1" s="1968"/>
      <c r="R1" s="1968"/>
      <c r="S1" s="1968"/>
      <c r="T1" s="1968"/>
      <c r="U1" s="1971"/>
      <c r="V1" s="1971"/>
      <c r="W1" s="1968"/>
      <c r="X1" s="1971"/>
      <c r="Y1" s="1971"/>
      <c r="Z1" s="1968"/>
      <c r="AA1" s="1971"/>
    </row>
    <row r="2" spans="1:27" s="1970" customFormat="1" ht="11.25" customHeight="1">
      <c r="A2" s="1968"/>
      <c r="B2" s="1969" t="s">
        <v>1151</v>
      </c>
      <c r="C2" s="1969"/>
      <c r="E2" s="1968"/>
      <c r="F2" s="1968"/>
      <c r="G2" s="1968"/>
      <c r="H2" s="1968"/>
      <c r="I2" s="1968"/>
      <c r="J2" s="1968"/>
      <c r="K2" s="1968"/>
      <c r="L2" s="1968"/>
      <c r="M2" s="1968"/>
      <c r="N2" s="1968"/>
      <c r="O2" s="1968"/>
      <c r="P2" s="1968"/>
      <c r="Q2" s="1968"/>
      <c r="R2" s="1968"/>
      <c r="S2" s="1968"/>
      <c r="T2" s="1968"/>
      <c r="U2" s="1971"/>
      <c r="V2" s="1971"/>
      <c r="W2" s="1968"/>
      <c r="X2" s="1971"/>
      <c r="Y2" s="1971"/>
      <c r="Z2" s="1968"/>
      <c r="AA2" s="1971"/>
    </row>
    <row r="3" spans="1:27" s="1974" customFormat="1" ht="11.25" customHeight="1">
      <c r="A3" s="1972"/>
      <c r="B3" s="1973">
        <v>46204</v>
      </c>
      <c r="C3" s="2107">
        <v>46204</v>
      </c>
      <c r="E3" s="1975"/>
      <c r="F3" s="1975"/>
      <c r="H3" s="1976"/>
      <c r="U3" s="1975"/>
      <c r="V3" s="1975"/>
      <c r="X3" s="1975"/>
      <c r="Y3" s="1975"/>
      <c r="AA3" s="1975"/>
    </row>
    <row r="4" spans="1:27" ht="11.25" customHeight="1">
      <c r="C4" s="1978">
        <v>46204</v>
      </c>
      <c r="D4" s="1979"/>
      <c r="E4" s="1980"/>
      <c r="F4" s="1980"/>
      <c r="G4" s="1979"/>
      <c r="H4" s="1981"/>
      <c r="I4" s="1981"/>
      <c r="J4" s="1979"/>
      <c r="K4" s="1979"/>
      <c r="L4" s="1979"/>
      <c r="M4" s="1982"/>
      <c r="N4" s="1983"/>
      <c r="O4" s="1984"/>
      <c r="P4" s="1985"/>
      <c r="Q4" s="1979"/>
      <c r="R4" s="1979"/>
      <c r="S4" s="1979"/>
      <c r="T4" s="1979"/>
      <c r="U4" s="1980"/>
      <c r="V4" s="1980"/>
      <c r="W4" s="1979"/>
      <c r="X4" s="1980"/>
      <c r="Y4" s="1980"/>
      <c r="Z4" s="1979"/>
      <c r="AA4" s="1980"/>
    </row>
    <row r="5" spans="1:27" s="1986" customFormat="1" ht="11.25" customHeight="1">
      <c r="C5" s="3177" t="s">
        <v>1152</v>
      </c>
      <c r="D5" s="3177" t="s">
        <v>1153</v>
      </c>
      <c r="E5" s="3177" t="s">
        <v>1154</v>
      </c>
      <c r="F5" s="3177" t="s">
        <v>1155</v>
      </c>
      <c r="G5" s="3175" t="s">
        <v>1156</v>
      </c>
      <c r="H5" s="3176"/>
      <c r="I5" s="3177" t="s">
        <v>1157</v>
      </c>
      <c r="J5" s="3178"/>
      <c r="K5" s="3178"/>
      <c r="L5" s="3179" t="s">
        <v>1158</v>
      </c>
      <c r="M5" s="3180"/>
      <c r="N5" s="3180"/>
      <c r="O5" s="3181" t="s">
        <v>1159</v>
      </c>
      <c r="P5" s="3182"/>
      <c r="Q5" s="3182"/>
      <c r="R5" s="3179" t="s">
        <v>1160</v>
      </c>
      <c r="S5" s="3180"/>
      <c r="T5" s="3180"/>
      <c r="U5" s="3179" t="s">
        <v>1161</v>
      </c>
      <c r="V5" s="3180"/>
      <c r="W5" s="3180"/>
      <c r="X5" s="3179" t="s">
        <v>1162</v>
      </c>
      <c r="Y5" s="3180"/>
      <c r="Z5" s="3180"/>
      <c r="AA5" s="1987" t="s">
        <v>1163</v>
      </c>
    </row>
    <row r="6" spans="1:27" s="1986" customFormat="1" ht="11.25" customHeight="1">
      <c r="C6" s="3178"/>
      <c r="D6" s="3178"/>
      <c r="E6" s="3178"/>
      <c r="F6" s="3178"/>
      <c r="G6" s="1988" t="s">
        <v>283</v>
      </c>
      <c r="H6" s="1988" t="s">
        <v>1164</v>
      </c>
      <c r="I6" s="1989" t="s">
        <v>1165</v>
      </c>
      <c r="J6" s="1989" t="s">
        <v>1166</v>
      </c>
      <c r="K6" s="1990" t="s">
        <v>1167</v>
      </c>
      <c r="L6" s="1988" t="s">
        <v>1168</v>
      </c>
      <c r="M6" s="1988" t="s">
        <v>1169</v>
      </c>
      <c r="N6" s="1988" t="s">
        <v>639</v>
      </c>
      <c r="O6" s="1988" t="s">
        <v>1170</v>
      </c>
      <c r="P6" s="1988" t="s">
        <v>1171</v>
      </c>
      <c r="Q6" s="1988" t="s">
        <v>1172</v>
      </c>
      <c r="R6" s="1988" t="s">
        <v>1170</v>
      </c>
      <c r="S6" s="1988" t="s">
        <v>1171</v>
      </c>
      <c r="T6" s="1988" t="s">
        <v>1172</v>
      </c>
      <c r="U6" s="1988" t="s">
        <v>1173</v>
      </c>
      <c r="V6" s="1988" t="s">
        <v>1174</v>
      </c>
      <c r="W6" s="1988" t="s">
        <v>1175</v>
      </c>
      <c r="X6" s="1988" t="s">
        <v>1176</v>
      </c>
      <c r="Y6" s="1988" t="s">
        <v>1177</v>
      </c>
      <c r="Z6" s="1988" t="s">
        <v>1178</v>
      </c>
      <c r="AA6" s="1988" t="s">
        <v>1179</v>
      </c>
    </row>
    <row r="7" spans="1:27" s="1991" customFormat="1" ht="11.25" customHeight="1">
      <c r="B7" s="1992"/>
      <c r="C7" s="1993" t="s">
        <v>1180</v>
      </c>
      <c r="D7" s="1994">
        <v>8</v>
      </c>
      <c r="E7" s="1995" t="s">
        <v>1181</v>
      </c>
      <c r="F7" s="1996" t="s">
        <v>1182</v>
      </c>
      <c r="G7" s="1997">
        <v>479.39</v>
      </c>
      <c r="H7" s="1997">
        <v>1584.75</v>
      </c>
      <c r="I7" s="1998">
        <v>45658</v>
      </c>
      <c r="J7" s="1998">
        <v>47483</v>
      </c>
      <c r="K7" s="1999">
        <f>DATEDIF($C$3,J7,"D")/365</f>
        <v>3.504109589041096</v>
      </c>
      <c r="L7" s="2000">
        <f>+N7/$G7</f>
        <v>208598.42716785916</v>
      </c>
      <c r="M7" s="2000">
        <f>+N7/$H7</f>
        <v>63101.435557658937</v>
      </c>
      <c r="N7" s="2001">
        <v>100000000</v>
      </c>
      <c r="O7" s="2000">
        <f>+Q7/$G7</f>
        <v>40999.732994013226</v>
      </c>
      <c r="P7" s="2000">
        <f>+Q7/$H7</f>
        <v>12402.500078876794</v>
      </c>
      <c r="Q7" s="2002">
        <v>19654862</v>
      </c>
      <c r="R7" s="2000">
        <f>+T7/$G7</f>
        <v>3074.9807046454871</v>
      </c>
      <c r="S7" s="2000">
        <f>+T7/$H7</f>
        <v>930.18772677078402</v>
      </c>
      <c r="T7" s="2002">
        <v>1474115</v>
      </c>
      <c r="U7" s="2003">
        <v>2.5000000000000001E-2</v>
      </c>
      <c r="V7" s="2004" t="s">
        <v>1183</v>
      </c>
      <c r="W7" s="2005">
        <v>46388</v>
      </c>
      <c r="X7" s="2003">
        <v>2.5000000000000001E-2</v>
      </c>
      <c r="Y7" s="2004" t="s">
        <v>1183</v>
      </c>
      <c r="Z7" s="2005">
        <v>46388</v>
      </c>
      <c r="AA7" s="2006">
        <v>8</v>
      </c>
    </row>
    <row r="8" spans="1:27" s="1991" customFormat="1" ht="11.25" customHeight="1">
      <c r="B8" s="1992"/>
      <c r="C8" s="1993" t="s">
        <v>1180</v>
      </c>
      <c r="D8" s="1994">
        <v>8</v>
      </c>
      <c r="E8" s="2007" t="s">
        <v>1184</v>
      </c>
      <c r="F8" s="2008" t="s">
        <v>1185</v>
      </c>
      <c r="G8" s="1997">
        <v>207.4</v>
      </c>
      <c r="H8" s="1997">
        <v>685.62</v>
      </c>
      <c r="I8" s="1998">
        <v>45413</v>
      </c>
      <c r="J8" s="1998">
        <v>49064</v>
      </c>
      <c r="K8" s="1999">
        <f t="shared" ref="K8:K22" si="0">DATEDIF($C$3,J8,"D")/365</f>
        <v>7.8356164383561646</v>
      </c>
      <c r="L8" s="2000">
        <f t="shared" ref="L8:L22" si="1">+N8/$G8</f>
        <v>218999.07425265189</v>
      </c>
      <c r="M8" s="2000">
        <f t="shared" ref="M8:M22" si="2">+N8/$H8</f>
        <v>66247.203990548704</v>
      </c>
      <c r="N8" s="2001">
        <v>45420408</v>
      </c>
      <c r="O8" s="2000">
        <f t="shared" ref="O8:O22" si="3">+Q8/$G8</f>
        <v>38347.651880424302</v>
      </c>
      <c r="P8" s="2000">
        <f t="shared" ref="P8:P22" si="4">+Q8/$H8</f>
        <v>11600.161897260874</v>
      </c>
      <c r="Q8" s="2002">
        <v>7953303</v>
      </c>
      <c r="R8" s="2000">
        <f t="shared" ref="R8:R22" si="5">+T8/$G8</f>
        <v>2626.5573770491801</v>
      </c>
      <c r="S8" s="2000">
        <f t="shared" ref="S8:S22" si="6">+T8/$H8</f>
        <v>794.53341501123066</v>
      </c>
      <c r="T8" s="2009">
        <v>544748</v>
      </c>
      <c r="U8" s="2003">
        <v>2.5000000000000001E-2</v>
      </c>
      <c r="V8" s="2004" t="s">
        <v>1183</v>
      </c>
      <c r="W8" s="2005">
        <v>46508</v>
      </c>
      <c r="X8" s="2003">
        <v>2.5000000000000001E-2</v>
      </c>
      <c r="Y8" s="2004" t="s">
        <v>1183</v>
      </c>
      <c r="Z8" s="2005">
        <v>46508</v>
      </c>
      <c r="AA8" s="2006">
        <v>5</v>
      </c>
    </row>
    <row r="9" spans="1:27" s="1991" customFormat="1" ht="11.25" customHeight="1">
      <c r="B9" s="1992"/>
      <c r="C9" s="1993" t="s">
        <v>1180</v>
      </c>
      <c r="D9" s="1994">
        <v>8</v>
      </c>
      <c r="E9" s="2008" t="s">
        <v>1186</v>
      </c>
      <c r="F9" s="2010" t="s">
        <v>1185</v>
      </c>
      <c r="G9" s="2011">
        <v>63.86</v>
      </c>
      <c r="H9" s="2011">
        <v>211.10051054977646</v>
      </c>
      <c r="I9" s="2012" t="s">
        <v>1187</v>
      </c>
      <c r="J9" s="2012" t="s">
        <v>1187</v>
      </c>
      <c r="K9" s="1997" t="s">
        <v>1187</v>
      </c>
      <c r="L9" s="2000">
        <f t="shared" si="1"/>
        <v>0</v>
      </c>
      <c r="M9" s="2000">
        <f t="shared" si="2"/>
        <v>0</v>
      </c>
      <c r="N9" s="2004">
        <v>0</v>
      </c>
      <c r="O9" s="2000">
        <f t="shared" si="3"/>
        <v>0</v>
      </c>
      <c r="P9" s="2000">
        <f t="shared" si="4"/>
        <v>0</v>
      </c>
      <c r="Q9" s="2013">
        <v>0</v>
      </c>
      <c r="R9" s="2000">
        <f t="shared" si="5"/>
        <v>0</v>
      </c>
      <c r="S9" s="2000">
        <f t="shared" si="6"/>
        <v>0</v>
      </c>
      <c r="T9" s="2013">
        <v>0</v>
      </c>
      <c r="U9" s="2014" t="s">
        <v>1187</v>
      </c>
      <c r="V9" s="2014" t="s">
        <v>1187</v>
      </c>
      <c r="W9" s="2014" t="s">
        <v>1187</v>
      </c>
      <c r="X9" s="2014" t="s">
        <v>1187</v>
      </c>
      <c r="Y9" s="2014" t="s">
        <v>1187</v>
      </c>
      <c r="Z9" s="2014" t="s">
        <v>1187</v>
      </c>
      <c r="AA9" s="2015" t="s">
        <v>1187</v>
      </c>
    </row>
    <row r="10" spans="1:27" s="1991" customFormat="1" ht="11.25" customHeight="1">
      <c r="B10" s="1992"/>
      <c r="C10" s="1993" t="s">
        <v>1180</v>
      </c>
      <c r="D10" s="1994">
        <v>8</v>
      </c>
      <c r="E10" s="2008" t="s">
        <v>1186</v>
      </c>
      <c r="F10" s="2010" t="s">
        <v>1188</v>
      </c>
      <c r="G10" s="2011">
        <v>78.09</v>
      </c>
      <c r="H10" s="2011">
        <v>258.11296460098453</v>
      </c>
      <c r="I10" s="2012" t="s">
        <v>1187</v>
      </c>
      <c r="J10" s="2012" t="s">
        <v>1187</v>
      </c>
      <c r="K10" s="1997" t="s">
        <v>1187</v>
      </c>
      <c r="L10" s="2000">
        <f t="shared" si="1"/>
        <v>0</v>
      </c>
      <c r="M10" s="2000">
        <f t="shared" si="2"/>
        <v>0</v>
      </c>
      <c r="N10" s="2004">
        <v>0</v>
      </c>
      <c r="O10" s="2000">
        <f t="shared" si="3"/>
        <v>0</v>
      </c>
      <c r="P10" s="2000">
        <f t="shared" si="4"/>
        <v>0</v>
      </c>
      <c r="Q10" s="2013">
        <v>0</v>
      </c>
      <c r="R10" s="2000">
        <f t="shared" si="5"/>
        <v>0</v>
      </c>
      <c r="S10" s="2000">
        <f t="shared" si="6"/>
        <v>0</v>
      </c>
      <c r="T10" s="2013">
        <v>0</v>
      </c>
      <c r="U10" s="2014" t="s">
        <v>1187</v>
      </c>
      <c r="V10" s="2014" t="s">
        <v>1187</v>
      </c>
      <c r="W10" s="2014" t="s">
        <v>1187</v>
      </c>
      <c r="X10" s="2014" t="s">
        <v>1187</v>
      </c>
      <c r="Y10" s="2014" t="s">
        <v>1187</v>
      </c>
      <c r="Z10" s="2014" t="s">
        <v>1187</v>
      </c>
      <c r="AA10" s="2015" t="s">
        <v>1187</v>
      </c>
    </row>
    <row r="11" spans="1:27" s="1991" customFormat="1" ht="11.25" customHeight="1">
      <c r="B11" s="1992"/>
      <c r="C11" s="1993" t="s">
        <v>1180</v>
      </c>
      <c r="D11" s="1994">
        <v>7</v>
      </c>
      <c r="E11" s="2007" t="s">
        <v>1184</v>
      </c>
      <c r="F11" s="2008" t="s">
        <v>1185</v>
      </c>
      <c r="G11" s="1997">
        <v>1550.42</v>
      </c>
      <c r="H11" s="1997">
        <v>5125.3489047433195</v>
      </c>
      <c r="I11" s="1998">
        <v>45323</v>
      </c>
      <c r="J11" s="1998">
        <v>49064</v>
      </c>
      <c r="K11" s="1999">
        <f t="shared" si="0"/>
        <v>7.8356164383561646</v>
      </c>
      <c r="L11" s="2000">
        <f t="shared" si="1"/>
        <v>360000</v>
      </c>
      <c r="M11" s="2000">
        <f t="shared" si="2"/>
        <v>108900.13740985552</v>
      </c>
      <c r="N11" s="2001">
        <v>558151200</v>
      </c>
      <c r="O11" s="2000">
        <f t="shared" si="3"/>
        <v>63037.500161246629</v>
      </c>
      <c r="P11" s="2000">
        <f t="shared" si="4"/>
        <v>19068.867859815411</v>
      </c>
      <c r="Q11" s="2002">
        <v>97734601</v>
      </c>
      <c r="R11" s="2000">
        <f t="shared" si="5"/>
        <v>3151.8756207995252</v>
      </c>
      <c r="S11" s="2000">
        <f t="shared" si="6"/>
        <v>953.44357834400546</v>
      </c>
      <c r="T11" s="2002">
        <v>4886731</v>
      </c>
      <c r="U11" s="2003">
        <v>2.5000000000000001E-2</v>
      </c>
      <c r="V11" s="2004" t="s">
        <v>1183</v>
      </c>
      <c r="W11" s="2005">
        <v>46419</v>
      </c>
      <c r="X11" s="2003">
        <v>2.5000000000000001E-2</v>
      </c>
      <c r="Y11" s="2004" t="s">
        <v>1183</v>
      </c>
      <c r="Z11" s="2005">
        <v>46419</v>
      </c>
      <c r="AA11" s="2006">
        <v>5</v>
      </c>
    </row>
    <row r="12" spans="1:27" s="1991" customFormat="1" ht="11.25" customHeight="1">
      <c r="B12" s="1992"/>
      <c r="C12" s="1993" t="s">
        <v>1180</v>
      </c>
      <c r="D12" s="1994">
        <v>6</v>
      </c>
      <c r="E12" s="2007" t="s">
        <v>1184</v>
      </c>
      <c r="F12" s="2008" t="s">
        <v>1185</v>
      </c>
      <c r="G12" s="1997">
        <v>2187.87</v>
      </c>
      <c r="H12" s="1997">
        <v>7232.6196497370329</v>
      </c>
      <c r="I12" s="1998">
        <v>45323</v>
      </c>
      <c r="J12" s="1998">
        <v>49064</v>
      </c>
      <c r="K12" s="1999">
        <f t="shared" si="0"/>
        <v>7.8356164383561646</v>
      </c>
      <c r="L12" s="2000">
        <f t="shared" si="1"/>
        <v>360000</v>
      </c>
      <c r="M12" s="2000">
        <f t="shared" si="2"/>
        <v>108900.12722135017</v>
      </c>
      <c r="N12" s="2001">
        <v>787633200</v>
      </c>
      <c r="O12" s="2000">
        <f t="shared" si="3"/>
        <v>63037.499942866809</v>
      </c>
      <c r="P12" s="2000">
        <f t="shared" si="4"/>
        <v>19068.866009705693</v>
      </c>
      <c r="Q12" s="2002">
        <v>137917855</v>
      </c>
      <c r="R12" s="2000">
        <f t="shared" si="5"/>
        <v>3151.8751114097277</v>
      </c>
      <c r="S12" s="2000">
        <f t="shared" si="6"/>
        <v>953.44333505090708</v>
      </c>
      <c r="T12" s="2002">
        <v>6895893</v>
      </c>
      <c r="U12" s="2003">
        <v>2.5000000000000001E-2</v>
      </c>
      <c r="V12" s="2004" t="s">
        <v>1183</v>
      </c>
      <c r="W12" s="2005">
        <v>46419</v>
      </c>
      <c r="X12" s="2003">
        <v>2.5000000000000001E-2</v>
      </c>
      <c r="Y12" s="2004" t="s">
        <v>1183</v>
      </c>
      <c r="Z12" s="2005">
        <v>46419</v>
      </c>
      <c r="AA12" s="2006">
        <v>5</v>
      </c>
    </row>
    <row r="13" spans="1:27" s="1991" customFormat="1" ht="11.25" customHeight="1">
      <c r="B13" s="1992"/>
      <c r="C13" s="1993" t="s">
        <v>1180</v>
      </c>
      <c r="D13" s="1994">
        <v>5</v>
      </c>
      <c r="E13" s="2007" t="s">
        <v>1184</v>
      </c>
      <c r="F13" s="2008" t="s">
        <v>1185</v>
      </c>
      <c r="G13" s="1997">
        <v>2185.56</v>
      </c>
      <c r="H13" s="1997">
        <v>7224.9899694741771</v>
      </c>
      <c r="I13" s="1998">
        <v>45323</v>
      </c>
      <c r="J13" s="1998">
        <v>49064</v>
      </c>
      <c r="K13" s="1999">
        <f t="shared" si="0"/>
        <v>7.8356164383561646</v>
      </c>
      <c r="L13" s="2000">
        <f t="shared" si="1"/>
        <v>360000</v>
      </c>
      <c r="M13" s="2000">
        <f t="shared" si="2"/>
        <v>108900.02661931199</v>
      </c>
      <c r="N13" s="2001">
        <v>786801600</v>
      </c>
      <c r="O13" s="2000">
        <f t="shared" si="3"/>
        <v>63037.500228774319</v>
      </c>
      <c r="P13" s="2000">
        <f t="shared" si="4"/>
        <v>19068.84848035669</v>
      </c>
      <c r="Q13" s="2002">
        <v>137772239</v>
      </c>
      <c r="R13" s="2000">
        <f t="shared" si="5"/>
        <v>3151.8750343161478</v>
      </c>
      <c r="S13" s="2000">
        <f t="shared" si="6"/>
        <v>953.44243093825935</v>
      </c>
      <c r="T13" s="2002">
        <v>6888612</v>
      </c>
      <c r="U13" s="2003">
        <v>2.5000000000000001E-2</v>
      </c>
      <c r="V13" s="2004" t="s">
        <v>1183</v>
      </c>
      <c r="W13" s="2005">
        <v>46419</v>
      </c>
      <c r="X13" s="2003">
        <v>2.5000000000000001E-2</v>
      </c>
      <c r="Y13" s="2004" t="s">
        <v>1183</v>
      </c>
      <c r="Z13" s="2005">
        <v>46419</v>
      </c>
      <c r="AA13" s="2006">
        <v>5</v>
      </c>
    </row>
    <row r="14" spans="1:27" s="1991" customFormat="1" ht="11.25" customHeight="1">
      <c r="B14" s="1992"/>
      <c r="C14" s="1993" t="s">
        <v>1180</v>
      </c>
      <c r="D14" s="1994">
        <v>4</v>
      </c>
      <c r="E14" s="2007" t="s">
        <v>1184</v>
      </c>
      <c r="F14" s="2008" t="s">
        <v>1185</v>
      </c>
      <c r="G14" s="1997">
        <v>2185.56</v>
      </c>
      <c r="H14" s="1997">
        <v>7224.9899694741771</v>
      </c>
      <c r="I14" s="1998">
        <v>45413</v>
      </c>
      <c r="J14" s="1998">
        <v>49064</v>
      </c>
      <c r="K14" s="1999">
        <f t="shared" si="0"/>
        <v>7.8356164383561646</v>
      </c>
      <c r="L14" s="2000">
        <f t="shared" si="1"/>
        <v>360000</v>
      </c>
      <c r="M14" s="2000">
        <f t="shared" si="2"/>
        <v>108900.02661931199</v>
      </c>
      <c r="N14" s="2001">
        <v>786801600</v>
      </c>
      <c r="O14" s="2000">
        <f t="shared" si="3"/>
        <v>63037.500228774319</v>
      </c>
      <c r="P14" s="2000">
        <f t="shared" si="4"/>
        <v>19068.84848035669</v>
      </c>
      <c r="Q14" s="2002">
        <v>137772239</v>
      </c>
      <c r="R14" s="2000">
        <f t="shared" si="5"/>
        <v>3151.8750343161478</v>
      </c>
      <c r="S14" s="2000">
        <f t="shared" si="6"/>
        <v>953.44243093825935</v>
      </c>
      <c r="T14" s="2002">
        <v>6888612</v>
      </c>
      <c r="U14" s="2003">
        <v>2.5000000000000001E-2</v>
      </c>
      <c r="V14" s="2004" t="s">
        <v>1183</v>
      </c>
      <c r="W14" s="2005">
        <v>46508</v>
      </c>
      <c r="X14" s="2003">
        <v>2.5000000000000001E-2</v>
      </c>
      <c r="Y14" s="2004" t="s">
        <v>1183</v>
      </c>
      <c r="Z14" s="2005">
        <v>46508</v>
      </c>
      <c r="AA14" s="2006">
        <v>5</v>
      </c>
    </row>
    <row r="15" spans="1:27" s="1991" customFormat="1" ht="11.25" customHeight="1">
      <c r="B15" s="1992"/>
      <c r="C15" s="1993" t="s">
        <v>1180</v>
      </c>
      <c r="D15" s="1994">
        <v>3</v>
      </c>
      <c r="E15" s="2007" t="s">
        <v>1189</v>
      </c>
      <c r="F15" s="2008" t="s">
        <v>1185</v>
      </c>
      <c r="G15" s="1997">
        <v>2185.56</v>
      </c>
      <c r="H15" s="1997">
        <v>7224.9899694741771</v>
      </c>
      <c r="I15" s="1998">
        <v>45503</v>
      </c>
      <c r="J15" s="1998">
        <v>47328</v>
      </c>
      <c r="K15" s="1999">
        <f t="shared" si="0"/>
        <v>3.0794520547945203</v>
      </c>
      <c r="L15" s="2000">
        <f t="shared" si="1"/>
        <v>293998.79207159724</v>
      </c>
      <c r="M15" s="2000">
        <f t="shared" si="2"/>
        <v>88934.656340673624</v>
      </c>
      <c r="N15" s="2001">
        <v>642552000</v>
      </c>
      <c r="O15" s="2000">
        <f t="shared" si="3"/>
        <v>48999.798678599538</v>
      </c>
      <c r="P15" s="2000">
        <f t="shared" si="4"/>
        <v>14822.442723445605</v>
      </c>
      <c r="Q15" s="2002">
        <v>107092000</v>
      </c>
      <c r="R15" s="2000">
        <f t="shared" si="5"/>
        <v>2999.6888669265545</v>
      </c>
      <c r="S15" s="2000">
        <f t="shared" si="6"/>
        <v>907.4061040498766</v>
      </c>
      <c r="T15" s="2002">
        <v>6556000</v>
      </c>
      <c r="U15" s="2003">
        <v>0</v>
      </c>
      <c r="V15" s="2003" t="s">
        <v>1187</v>
      </c>
      <c r="W15" s="2003" t="s">
        <v>1187</v>
      </c>
      <c r="X15" s="2003">
        <v>0</v>
      </c>
      <c r="Y15" s="2003" t="s">
        <v>1187</v>
      </c>
      <c r="Z15" s="2003" t="s">
        <v>1187</v>
      </c>
      <c r="AA15" s="2016" t="s">
        <v>1187</v>
      </c>
    </row>
    <row r="16" spans="1:27" s="1991" customFormat="1" ht="11.25" customHeight="1">
      <c r="B16" s="1992"/>
      <c r="C16" s="1993" t="s">
        <v>1180</v>
      </c>
      <c r="D16" s="1994">
        <v>2</v>
      </c>
      <c r="E16" s="2007" t="s">
        <v>1184</v>
      </c>
      <c r="F16" s="2008" t="s">
        <v>1185</v>
      </c>
      <c r="G16" s="1997">
        <v>2185.56</v>
      </c>
      <c r="H16" s="1997">
        <v>7224.9899694741771</v>
      </c>
      <c r="I16" s="1998">
        <v>45658</v>
      </c>
      <c r="J16" s="1998">
        <v>49064</v>
      </c>
      <c r="K16" s="1999">
        <f t="shared" si="0"/>
        <v>7.8356164383561646</v>
      </c>
      <c r="L16" s="2000">
        <f t="shared" si="1"/>
        <v>360000</v>
      </c>
      <c r="M16" s="2000">
        <f t="shared" si="2"/>
        <v>108900.02661931199</v>
      </c>
      <c r="N16" s="2001">
        <v>786801600</v>
      </c>
      <c r="O16" s="2000">
        <f t="shared" si="3"/>
        <v>61500</v>
      </c>
      <c r="P16" s="2000">
        <f t="shared" si="4"/>
        <v>18603.754547465796</v>
      </c>
      <c r="Q16" s="2002">
        <v>134411940</v>
      </c>
      <c r="R16" s="2000">
        <f t="shared" si="5"/>
        <v>3075</v>
      </c>
      <c r="S16" s="2000">
        <f t="shared" si="6"/>
        <v>930.18772737328993</v>
      </c>
      <c r="T16" s="2002">
        <v>6720597</v>
      </c>
      <c r="U16" s="2003">
        <v>2.5000000000000001E-2</v>
      </c>
      <c r="V16" s="2004" t="s">
        <v>1183</v>
      </c>
      <c r="W16" s="2005">
        <v>46388</v>
      </c>
      <c r="X16" s="2003">
        <v>2.5000000000000001E-2</v>
      </c>
      <c r="Y16" s="2004" t="s">
        <v>1183</v>
      </c>
      <c r="Z16" s="2005">
        <v>46388</v>
      </c>
      <c r="AA16" s="2006">
        <v>9.3000000000000007</v>
      </c>
    </row>
    <row r="17" spans="1:27" s="1991" customFormat="1" ht="11.25" customHeight="1">
      <c r="B17" s="1992"/>
      <c r="C17" s="1993" t="s">
        <v>1180</v>
      </c>
      <c r="D17" s="1994">
        <v>1</v>
      </c>
      <c r="E17" s="2017" t="s">
        <v>1190</v>
      </c>
      <c r="F17" s="2008" t="s">
        <v>1185</v>
      </c>
      <c r="G17" s="1997">
        <v>1092.94</v>
      </c>
      <c r="H17" s="1997">
        <v>3613.0124798410602</v>
      </c>
      <c r="I17" s="1998">
        <v>45689</v>
      </c>
      <c r="J17" s="1998">
        <v>49340</v>
      </c>
      <c r="K17" s="1999">
        <f t="shared" si="0"/>
        <v>8.5917808219178085</v>
      </c>
      <c r="L17" s="2000">
        <f t="shared" si="1"/>
        <v>359998.52599410759</v>
      </c>
      <c r="M17" s="2000">
        <f t="shared" si="2"/>
        <v>108899.92525497962</v>
      </c>
      <c r="N17" s="2001">
        <v>393456789</v>
      </c>
      <c r="O17" s="2000">
        <f t="shared" si="3"/>
        <v>61499.748385089755</v>
      </c>
      <c r="P17" s="2000">
        <f t="shared" si="4"/>
        <v>18603.737289874203</v>
      </c>
      <c r="Q17" s="2002">
        <v>67215535</v>
      </c>
      <c r="R17" s="2000">
        <f t="shared" si="5"/>
        <v>3074.9876479953155</v>
      </c>
      <c r="S17" s="2000">
        <f t="shared" si="6"/>
        <v>930.18693368804634</v>
      </c>
      <c r="T17" s="2002">
        <v>3360777</v>
      </c>
      <c r="U17" s="2003">
        <v>2.5000000000000001E-2</v>
      </c>
      <c r="V17" s="2004" t="s">
        <v>1183</v>
      </c>
      <c r="W17" s="2005">
        <v>46419</v>
      </c>
      <c r="X17" s="2003">
        <v>2.5000000000000001E-2</v>
      </c>
      <c r="Y17" s="2004" t="s">
        <v>1183</v>
      </c>
      <c r="Z17" s="2005">
        <v>46419</v>
      </c>
      <c r="AA17" s="2006">
        <v>15</v>
      </c>
    </row>
    <row r="18" spans="1:27" s="1991" customFormat="1" ht="11.25" customHeight="1">
      <c r="B18" s="1992"/>
      <c r="C18" s="1993" t="s">
        <v>1180</v>
      </c>
      <c r="D18" s="1994">
        <v>1</v>
      </c>
      <c r="E18" s="2017" t="s">
        <v>1191</v>
      </c>
      <c r="F18" s="2008" t="s">
        <v>1185</v>
      </c>
      <c r="G18" s="1997">
        <v>856.05</v>
      </c>
      <c r="H18" s="1997">
        <v>2829.9275201589408</v>
      </c>
      <c r="I18" s="1998">
        <v>45612</v>
      </c>
      <c r="J18" s="1998">
        <v>47514</v>
      </c>
      <c r="K18" s="1999">
        <f t="shared" si="0"/>
        <v>3.5890410958904111</v>
      </c>
      <c r="L18" s="2000">
        <f t="shared" si="1"/>
        <v>360000</v>
      </c>
      <c r="M18" s="2000">
        <f t="shared" si="2"/>
        <v>108899.60884322981</v>
      </c>
      <c r="N18" s="2001">
        <v>308178000</v>
      </c>
      <c r="O18" s="2000">
        <f t="shared" si="3"/>
        <v>61500</v>
      </c>
      <c r="P18" s="2000">
        <f t="shared" si="4"/>
        <v>18603.683177385094</v>
      </c>
      <c r="Q18" s="2002">
        <v>52647075</v>
      </c>
      <c r="R18" s="2000">
        <f t="shared" si="5"/>
        <v>3075.0002920390166</v>
      </c>
      <c r="S18" s="2000">
        <f t="shared" si="6"/>
        <v>930.18424721073984</v>
      </c>
      <c r="T18" s="2002">
        <v>2632354</v>
      </c>
      <c r="U18" s="2003">
        <v>2.5000000000000001E-2</v>
      </c>
      <c r="V18" s="2004" t="s">
        <v>1183</v>
      </c>
      <c r="W18" s="2005">
        <v>46342</v>
      </c>
      <c r="X18" s="2003">
        <v>2.5000000000000001E-2</v>
      </c>
      <c r="Y18" s="2004" t="s">
        <v>1183</v>
      </c>
      <c r="Z18" s="2005">
        <v>46342</v>
      </c>
      <c r="AA18" s="2006">
        <v>7.5</v>
      </c>
    </row>
    <row r="19" spans="1:27" s="1991" customFormat="1" ht="11.25" customHeight="1">
      <c r="B19" s="1992"/>
      <c r="C19" s="1993" t="s">
        <v>1180</v>
      </c>
      <c r="D19" s="1994">
        <v>1</v>
      </c>
      <c r="E19" s="2007" t="s">
        <v>1192</v>
      </c>
      <c r="F19" s="2008" t="s">
        <v>1193</v>
      </c>
      <c r="G19" s="1997">
        <v>17.29</v>
      </c>
      <c r="H19" s="1997">
        <v>57.15</v>
      </c>
      <c r="I19" s="1998">
        <v>45778</v>
      </c>
      <c r="J19" s="1998">
        <v>47603</v>
      </c>
      <c r="K19" s="1999">
        <f t="shared" si="0"/>
        <v>3.8328767123287673</v>
      </c>
      <c r="L19" s="2000">
        <f t="shared" si="1"/>
        <v>360000</v>
      </c>
      <c r="M19" s="2000">
        <f t="shared" si="2"/>
        <v>108913.38582677166</v>
      </c>
      <c r="N19" s="2001">
        <v>6224400</v>
      </c>
      <c r="O19" s="2000">
        <f t="shared" si="3"/>
        <v>61500</v>
      </c>
      <c r="P19" s="2000">
        <f t="shared" si="4"/>
        <v>18606.036745406826</v>
      </c>
      <c r="Q19" s="2002">
        <v>1063335</v>
      </c>
      <c r="R19" s="2000">
        <f t="shared" si="5"/>
        <v>3075.0144592249858</v>
      </c>
      <c r="S19" s="2000">
        <f t="shared" si="6"/>
        <v>930.3062117235346</v>
      </c>
      <c r="T19" s="2002">
        <v>53167</v>
      </c>
      <c r="U19" s="2003">
        <v>2.5000000000000001E-2</v>
      </c>
      <c r="V19" s="2004" t="s">
        <v>1183</v>
      </c>
      <c r="W19" s="2005">
        <v>46508</v>
      </c>
      <c r="X19" s="2003">
        <v>2.5000000000000001E-2</v>
      </c>
      <c r="Y19" s="2004" t="s">
        <v>1183</v>
      </c>
      <c r="Z19" s="2005">
        <v>46508</v>
      </c>
      <c r="AA19" s="2006">
        <v>7.5</v>
      </c>
    </row>
    <row r="20" spans="1:27" s="2020" customFormat="1" ht="11.25" customHeight="1">
      <c r="B20" s="2018"/>
      <c r="C20" s="1993" t="s">
        <v>1180</v>
      </c>
      <c r="D20" s="2019">
        <v>1</v>
      </c>
      <c r="E20" s="2010" t="s">
        <v>1186</v>
      </c>
      <c r="F20" s="2008" t="s">
        <v>1193</v>
      </c>
      <c r="G20" s="2011">
        <f>G44-G19</f>
        <v>141.01000000000002</v>
      </c>
      <c r="H20" s="2011">
        <f t="shared" ref="H20" si="7">H44-H19</f>
        <v>466.14419780996116</v>
      </c>
      <c r="I20" s="2012" t="s">
        <v>1187</v>
      </c>
      <c r="J20" s="2012" t="s">
        <v>1187</v>
      </c>
      <c r="K20" s="1997" t="s">
        <v>1187</v>
      </c>
      <c r="L20" s="2000">
        <f t="shared" si="1"/>
        <v>0</v>
      </c>
      <c r="M20" s="2000">
        <f t="shared" si="2"/>
        <v>0</v>
      </c>
      <c r="N20" s="2004">
        <v>0</v>
      </c>
      <c r="O20" s="2000">
        <f t="shared" si="3"/>
        <v>0</v>
      </c>
      <c r="P20" s="2000">
        <f t="shared" si="4"/>
        <v>0</v>
      </c>
      <c r="Q20" s="2013">
        <v>0</v>
      </c>
      <c r="R20" s="2000">
        <f t="shared" si="5"/>
        <v>0</v>
      </c>
      <c r="S20" s="2000">
        <f t="shared" si="6"/>
        <v>0</v>
      </c>
      <c r="T20" s="2013">
        <v>0</v>
      </c>
      <c r="U20" s="2014" t="s">
        <v>1187</v>
      </c>
      <c r="V20" s="2014" t="s">
        <v>1187</v>
      </c>
      <c r="W20" s="2014" t="s">
        <v>1187</v>
      </c>
      <c r="X20" s="2014" t="s">
        <v>1187</v>
      </c>
      <c r="Y20" s="2014" t="s">
        <v>1187</v>
      </c>
      <c r="Z20" s="2014" t="s">
        <v>1187</v>
      </c>
      <c r="AA20" s="2015" t="s">
        <v>1187</v>
      </c>
    </row>
    <row r="21" spans="1:27" s="1991" customFormat="1" ht="11.25" customHeight="1">
      <c r="B21" s="1992"/>
      <c r="C21" s="1993" t="s">
        <v>1180</v>
      </c>
      <c r="D21" s="1994" t="s">
        <v>1194</v>
      </c>
      <c r="E21" s="2007" t="s">
        <v>1195</v>
      </c>
      <c r="F21" s="2008" t="s">
        <v>1185</v>
      </c>
      <c r="G21" s="1997">
        <v>2745.32</v>
      </c>
      <c r="H21" s="1997">
        <v>9075.4522996857431</v>
      </c>
      <c r="I21" s="1998">
        <v>45748</v>
      </c>
      <c r="J21" s="1998">
        <v>49064</v>
      </c>
      <c r="K21" s="1999">
        <f t="shared" si="0"/>
        <v>7.8356164383561646</v>
      </c>
      <c r="L21" s="2000">
        <f t="shared" si="1"/>
        <v>360000</v>
      </c>
      <c r="M21" s="2000">
        <f t="shared" si="2"/>
        <v>108899.82861066026</v>
      </c>
      <c r="N21" s="2004">
        <v>988315200</v>
      </c>
      <c r="O21" s="2000">
        <f t="shared" si="3"/>
        <v>61499.999999999993</v>
      </c>
      <c r="P21" s="2000">
        <f t="shared" si="4"/>
        <v>18603.720720987796</v>
      </c>
      <c r="Q21" s="2009">
        <v>168837180</v>
      </c>
      <c r="R21" s="2000">
        <f t="shared" si="5"/>
        <v>3075</v>
      </c>
      <c r="S21" s="2000">
        <f t="shared" si="6"/>
        <v>930.18603604938983</v>
      </c>
      <c r="T21" s="2009">
        <v>8441859</v>
      </c>
      <c r="U21" s="2003">
        <v>2.5000000000000001E-2</v>
      </c>
      <c r="V21" s="2004" t="s">
        <v>1183</v>
      </c>
      <c r="W21" s="2005">
        <v>46478</v>
      </c>
      <c r="X21" s="2003">
        <v>2.5000000000000001E-2</v>
      </c>
      <c r="Y21" s="2004" t="s">
        <v>1183</v>
      </c>
      <c r="Z21" s="2005">
        <v>46478</v>
      </c>
      <c r="AA21" s="2021">
        <v>9.1</v>
      </c>
    </row>
    <row r="22" spans="1:27" s="2020" customFormat="1" ht="11.25" customHeight="1">
      <c r="B22" s="1992"/>
      <c r="C22" s="1993" t="s">
        <v>1180</v>
      </c>
      <c r="D22" s="2019" t="s">
        <v>1196</v>
      </c>
      <c r="E22" s="2022" t="s">
        <v>1197</v>
      </c>
      <c r="F22" s="2008" t="s">
        <v>1185</v>
      </c>
      <c r="G22" s="2011">
        <v>2728.21</v>
      </c>
      <c r="H22" s="2011">
        <v>9018.8871730013507</v>
      </c>
      <c r="I22" s="2012">
        <v>45992</v>
      </c>
      <c r="J22" s="2012">
        <v>49064</v>
      </c>
      <c r="K22" s="1999">
        <f t="shared" si="0"/>
        <v>7.8356164383561646</v>
      </c>
      <c r="L22" s="2000">
        <f t="shared" si="1"/>
        <v>360000</v>
      </c>
      <c r="M22" s="2000">
        <f t="shared" si="2"/>
        <v>108899.86548896512</v>
      </c>
      <c r="N22" s="2004">
        <v>982155600</v>
      </c>
      <c r="O22" s="2000">
        <f t="shared" si="3"/>
        <v>60000</v>
      </c>
      <c r="P22" s="2000">
        <f t="shared" si="4"/>
        <v>18149.977581494186</v>
      </c>
      <c r="Q22" s="2013">
        <v>163692600</v>
      </c>
      <c r="R22" s="2000">
        <f t="shared" si="5"/>
        <v>3000</v>
      </c>
      <c r="S22" s="2000">
        <f t="shared" si="6"/>
        <v>907.49887907470929</v>
      </c>
      <c r="T22" s="2013">
        <v>8184630</v>
      </c>
      <c r="U22" s="2003">
        <v>2.5000000000000001E-2</v>
      </c>
      <c r="V22" s="2004" t="s">
        <v>1183</v>
      </c>
      <c r="W22" s="2005">
        <v>46357</v>
      </c>
      <c r="X22" s="2003">
        <v>2.5000000000000001E-2</v>
      </c>
      <c r="Y22" s="2004" t="s">
        <v>1183</v>
      </c>
      <c r="Z22" s="2005">
        <v>46357</v>
      </c>
      <c r="AA22" s="2021">
        <v>8.4</v>
      </c>
    </row>
    <row r="23" spans="1:27" s="2023" customFormat="1" ht="11.25" customHeight="1">
      <c r="C23" s="3183" t="s">
        <v>1198</v>
      </c>
      <c r="D23" s="3183"/>
      <c r="E23" s="3183"/>
      <c r="F23" s="3183"/>
      <c r="G23" s="2024">
        <f>+SUM(G7:G22)</f>
        <v>20890.09</v>
      </c>
      <c r="H23" s="2024">
        <f>+SUM(H7:H22)</f>
        <v>69058.085578024882</v>
      </c>
      <c r="I23" s="2025"/>
      <c r="J23" s="2025"/>
      <c r="K23" s="2026">
        <f>+SUMPRODUCT(K7:K22,G7:G22)/SUM(G21:G22,G11:G19,G7:G8)</f>
        <v>7.0907572760642248</v>
      </c>
      <c r="L23" s="2025">
        <f>+N23/G23</f>
        <v>343344.21713836561</v>
      </c>
      <c r="M23" s="2025">
        <f>+N23/H23</f>
        <v>103861.72070895597</v>
      </c>
      <c r="N23" s="2025">
        <f>+SUM(N7:N22)</f>
        <v>7172491597</v>
      </c>
      <c r="O23" s="2025">
        <f>+Q23/G23</f>
        <v>59059.810848110275</v>
      </c>
      <c r="P23" s="2025">
        <f>+Q23/H23</f>
        <v>17865.609127059248</v>
      </c>
      <c r="Q23" s="2025">
        <f>+SUM(Q7:Q22)</f>
        <v>1233764764</v>
      </c>
      <c r="R23" s="2025">
        <f>+T23/G23</f>
        <v>3041.0637292610995</v>
      </c>
      <c r="S23" s="2025">
        <f>T23/H23</f>
        <v>919.92261975208021</v>
      </c>
      <c r="T23" s="2025">
        <f>+SUM(T7:T22)</f>
        <v>63528095</v>
      </c>
      <c r="U23" s="2025"/>
      <c r="V23" s="2025"/>
      <c r="W23" s="2025"/>
      <c r="X23" s="2025"/>
      <c r="Y23" s="2025"/>
      <c r="Z23" s="2025"/>
      <c r="AA23" s="2025"/>
    </row>
    <row r="24" spans="1:27" s="2020" customFormat="1" ht="11.25" customHeight="1">
      <c r="C24" s="2027"/>
      <c r="D24" s="1977"/>
      <c r="E24" s="2028"/>
      <c r="F24" s="2028"/>
      <c r="G24" s="1977"/>
      <c r="H24" s="1977"/>
      <c r="I24" s="1977"/>
      <c r="J24" s="1977"/>
      <c r="K24" s="1977"/>
      <c r="L24" s="1977"/>
      <c r="M24" s="1977"/>
      <c r="N24" s="1977"/>
      <c r="O24" s="1977"/>
      <c r="P24" s="1977"/>
      <c r="Q24" s="1977"/>
      <c r="R24" s="1977"/>
      <c r="S24" s="1977"/>
      <c r="T24" s="1977"/>
      <c r="U24" s="2028"/>
      <c r="V24" s="2028"/>
      <c r="W24" s="1977"/>
      <c r="X24" s="2028"/>
      <c r="Y24" s="2028"/>
      <c r="Z24" s="1977"/>
      <c r="AA24" s="2028"/>
    </row>
    <row r="27" spans="1:27" ht="11.25" customHeight="1">
      <c r="C27" s="2172" t="s">
        <v>1267</v>
      </c>
    </row>
    <row r="29" spans="1:27" ht="11.25" customHeight="1">
      <c r="C29" s="3169" t="s">
        <v>1249</v>
      </c>
      <c r="D29" s="3169" t="s">
        <v>1250</v>
      </c>
      <c r="E29" s="3169" t="s">
        <v>1251</v>
      </c>
      <c r="F29" s="3169" t="s">
        <v>1252</v>
      </c>
      <c r="G29" s="3167" t="s">
        <v>1253</v>
      </c>
      <c r="H29" s="3168"/>
      <c r="I29" s="3169" t="s">
        <v>1254</v>
      </c>
      <c r="J29" s="3170"/>
      <c r="K29" s="3170"/>
      <c r="L29" s="3163" t="s">
        <v>1255</v>
      </c>
      <c r="M29" s="3164"/>
      <c r="N29" s="3164"/>
      <c r="O29" s="3165" t="s">
        <v>1256</v>
      </c>
      <c r="P29" s="3166"/>
      <c r="Q29" s="3166"/>
      <c r="R29" s="3163" t="s">
        <v>1257</v>
      </c>
      <c r="S29" s="3164"/>
      <c r="T29" s="3164"/>
      <c r="U29" s="3171" t="s">
        <v>1256</v>
      </c>
      <c r="V29" s="3172"/>
      <c r="W29" s="3172"/>
      <c r="X29" s="3173" t="s">
        <v>1257</v>
      </c>
      <c r="Y29" s="3174"/>
      <c r="Z29" s="3174"/>
      <c r="AA29" s="2137" t="s">
        <v>1163</v>
      </c>
    </row>
    <row r="30" spans="1:27" ht="11.25" customHeight="1">
      <c r="C30" s="3170"/>
      <c r="D30" s="3170"/>
      <c r="E30" s="3170"/>
      <c r="F30" s="3170"/>
      <c r="G30" s="2138" t="s">
        <v>283</v>
      </c>
      <c r="H30" s="2138" t="s">
        <v>1164</v>
      </c>
      <c r="I30" s="2136" t="s">
        <v>1260</v>
      </c>
      <c r="J30" s="2136" t="s">
        <v>1261</v>
      </c>
      <c r="K30" s="2139" t="s">
        <v>1262</v>
      </c>
      <c r="L30" s="2138" t="s">
        <v>1168</v>
      </c>
      <c r="M30" s="2138" t="s">
        <v>1169</v>
      </c>
      <c r="N30" s="2138" t="s">
        <v>639</v>
      </c>
      <c r="O30" s="2138" t="s">
        <v>1170</v>
      </c>
      <c r="P30" s="2138" t="s">
        <v>1171</v>
      </c>
      <c r="Q30" s="2138" t="s">
        <v>1172</v>
      </c>
      <c r="R30" s="2138" t="s">
        <v>1170</v>
      </c>
      <c r="S30" s="2138" t="s">
        <v>1171</v>
      </c>
      <c r="T30" s="2138" t="s">
        <v>1172</v>
      </c>
      <c r="U30" s="2173" t="s">
        <v>1170</v>
      </c>
      <c r="V30" s="2173" t="s">
        <v>1171</v>
      </c>
      <c r="W30" s="2173" t="s">
        <v>1172</v>
      </c>
      <c r="X30" s="2173" t="s">
        <v>1170</v>
      </c>
      <c r="Y30" s="2173" t="s">
        <v>1171</v>
      </c>
      <c r="Z30" s="2173" t="s">
        <v>1172</v>
      </c>
      <c r="AA30" s="2138" t="s">
        <v>1179</v>
      </c>
    </row>
    <row r="31" spans="1:27" ht="11.25" customHeight="1">
      <c r="A31" s="2029">
        <f>G31-G7</f>
        <v>-9.9999999999909051E-3</v>
      </c>
      <c r="C31" s="2140" t="s">
        <v>1180</v>
      </c>
      <c r="D31" s="2141">
        <v>8</v>
      </c>
      <c r="E31" s="1995" t="s">
        <v>1181</v>
      </c>
      <c r="F31" s="2142" t="s">
        <v>1182</v>
      </c>
      <c r="G31" s="2143">
        <f>'Rentroll(개시시점 기준)'!I49</f>
        <v>479.38</v>
      </c>
      <c r="H31" s="2143">
        <f>'Rentroll(개시시점 기준)'!H49</f>
        <v>1584.75</v>
      </c>
      <c r="I31" s="2144">
        <f>'Rentroll(개시시점 기준)'!V49</f>
        <v>45658</v>
      </c>
      <c r="J31" s="2144">
        <f>'Rentroll(개시시점 기준)'!W49</f>
        <v>47483</v>
      </c>
      <c r="K31" s="2145">
        <f>DATEDIF(TIC!$M$4,J31,"D")/365</f>
        <v>3.1698630136986301</v>
      </c>
      <c r="L31" s="2146">
        <f t="shared" ref="L31:L42" si="8">N31/G31</f>
        <v>208602.77858901082</v>
      </c>
      <c r="M31" s="2146">
        <f t="shared" ref="M31:M42" si="9">N31/H31</f>
        <v>63101.435557658937</v>
      </c>
      <c r="N31" s="2147">
        <f>'Rentroll(개시시점 기준)'!O49</f>
        <v>100000000</v>
      </c>
      <c r="O31" s="2146">
        <f t="shared" ref="O31:O42" si="10">Q31/G31</f>
        <v>40000.573657641122</v>
      </c>
      <c r="P31" s="2146">
        <f t="shared" ref="P31:P42" si="11">Q31/H31</f>
        <v>12100</v>
      </c>
      <c r="Q31" s="2148">
        <f>'Rentroll(개시시점 기준)'!Q49</f>
        <v>19175475</v>
      </c>
      <c r="R31" s="2146">
        <f t="shared" ref="R31:R42" si="12">T31/G31</f>
        <v>3000.0438065835037</v>
      </c>
      <c r="S31" s="2146">
        <f t="shared" ref="S31:S42" si="13">T31/H31</f>
        <v>907.50023663038337</v>
      </c>
      <c r="T31" s="2148">
        <f>'Rentroll(개시시점 기준)'!T49</f>
        <v>1438161</v>
      </c>
      <c r="U31" s="2174">
        <f>IFERROR(O31*(1+$U7)^ROUNDDOWN((DATEDIF($I31-1,$C$3+1,"M")/12),),)</f>
        <v>41000.587999082149</v>
      </c>
      <c r="V31" s="2176" t="b">
        <f>ABS(U31-O7)&lt;2</f>
        <v>1</v>
      </c>
      <c r="W31" s="2151"/>
      <c r="X31" s="2174">
        <f>IFERROR(R31*(1+$X7)^ROUNDDOWN((DATEDIF($I31-1,$C$3+1,"M")/12),),)</f>
        <v>3075.044901748091</v>
      </c>
      <c r="Y31" s="2150" t="b">
        <f>ABS(X31-R7)&lt;2</f>
        <v>1</v>
      </c>
      <c r="Z31" s="2151"/>
      <c r="AA31" s="2152"/>
    </row>
    <row r="32" spans="1:27" ht="11.25" customHeight="1">
      <c r="A32" s="2029">
        <f t="shared" ref="A32:A46" si="14">G32-G8</f>
        <v>0</v>
      </c>
      <c r="C32" s="2140" t="s">
        <v>1180</v>
      </c>
      <c r="D32" s="2141">
        <v>8</v>
      </c>
      <c r="E32" s="2153" t="s">
        <v>1263</v>
      </c>
      <c r="F32" s="2154" t="s">
        <v>1185</v>
      </c>
      <c r="G32" s="2143">
        <f>'Rentroll(개시시점 기준)'!I61</f>
        <v>207.4</v>
      </c>
      <c r="H32" s="2143">
        <f>'Rentroll(개시시점 기준)'!H61</f>
        <v>685.62</v>
      </c>
      <c r="I32" s="2144">
        <f>'Rentroll(개시시점 기준)'!V61</f>
        <v>45413</v>
      </c>
      <c r="J32" s="2144">
        <f>'Rentroll(개시시점 기준)'!W61</f>
        <v>49064</v>
      </c>
      <c r="K32" s="2145">
        <f>DATEDIF(TIC!$M$4,J32,"D")/365</f>
        <v>7.5013698630136982</v>
      </c>
      <c r="L32" s="2146">
        <f t="shared" si="8"/>
        <v>218999.07425265189</v>
      </c>
      <c r="M32" s="2146">
        <f t="shared" si="9"/>
        <v>66247.203990548704</v>
      </c>
      <c r="N32" s="2147">
        <f>'Rentroll(개시시점 기준)'!O61</f>
        <v>45420408</v>
      </c>
      <c r="O32" s="2146">
        <f t="shared" si="10"/>
        <v>36499.845708775312</v>
      </c>
      <c r="P32" s="2146">
        <f t="shared" si="11"/>
        <v>11041.20066509145</v>
      </c>
      <c r="Q32" s="2148">
        <f>'Rentroll(개시시점 기준)'!Q61</f>
        <v>7570068</v>
      </c>
      <c r="R32" s="2146">
        <f t="shared" si="12"/>
        <v>2499.990356798457</v>
      </c>
      <c r="S32" s="2146">
        <f t="shared" si="13"/>
        <v>756.24690061550132</v>
      </c>
      <c r="T32" s="2155">
        <f>'Rentroll(개시시점 기준)'!T61</f>
        <v>518498</v>
      </c>
      <c r="U32" s="2174">
        <f t="shared" ref="U32:U46" si="15">IFERROR(O32*(1+$U8)^ROUNDDOWN((DATEDIF($I32-1,$C$3+1,"M")/12),),)</f>
        <v>38347.650397782061</v>
      </c>
      <c r="V32" s="2176" t="b">
        <f t="shared" ref="V32:V46" si="16">ABS(U32-O8)&lt;2</f>
        <v>1</v>
      </c>
      <c r="W32" s="2151"/>
      <c r="X32" s="2174">
        <f t="shared" ref="X32:X46" si="17">IFERROR(R32*(1+$X8)^ROUNDDOWN((DATEDIF($I32-1,$C$3+1,"M")/12),),)</f>
        <v>2626.5523686113788</v>
      </c>
      <c r="Y32" s="2150" t="b">
        <f t="shared" ref="Y32:Y46" si="18">ABS(X32-R8)&lt;2</f>
        <v>1</v>
      </c>
      <c r="Z32" s="2151"/>
      <c r="AA32" s="2152"/>
    </row>
    <row r="33" spans="1:27" ht="11.25" customHeight="1">
      <c r="A33" s="2029">
        <f t="shared" si="14"/>
        <v>0</v>
      </c>
      <c r="C33" s="2140" t="s">
        <v>1180</v>
      </c>
      <c r="D33" s="2141">
        <v>8</v>
      </c>
      <c r="E33" s="2154" t="s">
        <v>1186</v>
      </c>
      <c r="F33" s="2156" t="s">
        <v>1185</v>
      </c>
      <c r="G33" s="2157">
        <f>'Rentroll(개시시점 기준)'!I60</f>
        <v>63.86</v>
      </c>
      <c r="H33" s="2157">
        <f>'Rentroll(개시시점 기준)'!H60</f>
        <v>211.10051054977646</v>
      </c>
      <c r="I33" s="2158" t="s">
        <v>1248</v>
      </c>
      <c r="J33" s="2158" t="s">
        <v>1248</v>
      </c>
      <c r="K33" s="2143"/>
      <c r="L33" s="2146">
        <f t="shared" si="8"/>
        <v>0</v>
      </c>
      <c r="M33" s="2146">
        <f t="shared" si="9"/>
        <v>0</v>
      </c>
      <c r="N33" s="2150">
        <f>'Rentroll(개시시점 기준)'!O60</f>
        <v>0</v>
      </c>
      <c r="O33" s="2146">
        <f t="shared" si="10"/>
        <v>0</v>
      </c>
      <c r="P33" s="2146">
        <f t="shared" si="11"/>
        <v>0</v>
      </c>
      <c r="Q33" s="2159">
        <f>'Rentroll(개시시점 기준)'!Q60</f>
        <v>0</v>
      </c>
      <c r="R33" s="2146">
        <f t="shared" si="12"/>
        <v>0</v>
      </c>
      <c r="S33" s="2146">
        <f t="shared" si="13"/>
        <v>0</v>
      </c>
      <c r="T33" s="2159">
        <f>'Rentroll(개시시점 기준)'!T60</f>
        <v>0</v>
      </c>
      <c r="U33" s="2175">
        <f t="shared" si="15"/>
        <v>0</v>
      </c>
      <c r="V33" s="2175" t="b">
        <f t="shared" si="16"/>
        <v>1</v>
      </c>
      <c r="W33" s="2160"/>
      <c r="X33" s="2175">
        <f t="shared" si="17"/>
        <v>0</v>
      </c>
      <c r="Y33" s="2160" t="b">
        <f t="shared" si="18"/>
        <v>1</v>
      </c>
      <c r="Z33" s="2160"/>
      <c r="AA33" s="2161"/>
    </row>
    <row r="34" spans="1:27" ht="11.25" customHeight="1">
      <c r="A34" s="2029">
        <f t="shared" si="14"/>
        <v>0</v>
      </c>
      <c r="C34" s="2140" t="s">
        <v>1180</v>
      </c>
      <c r="D34" s="2141">
        <v>8</v>
      </c>
      <c r="E34" s="2154" t="s">
        <v>1186</v>
      </c>
      <c r="F34" s="2156" t="s">
        <v>1188</v>
      </c>
      <c r="G34" s="2157">
        <f>SUM('Rentroll(개시시점 기준)'!I39:I48)</f>
        <v>78.09</v>
      </c>
      <c r="H34" s="2157">
        <f>SUM('Rentroll(개시시점 기준)'!H39:H48)</f>
        <v>258.11296460098453</v>
      </c>
      <c r="I34" s="2158" t="s">
        <v>1248</v>
      </c>
      <c r="J34" s="2158" t="s">
        <v>1248</v>
      </c>
      <c r="K34" s="2143"/>
      <c r="L34" s="2146">
        <f t="shared" si="8"/>
        <v>0</v>
      </c>
      <c r="M34" s="2146">
        <f t="shared" si="9"/>
        <v>0</v>
      </c>
      <c r="N34" s="2150">
        <f>SUM('Rentroll(개시시점 기준)'!O39:O48)</f>
        <v>0</v>
      </c>
      <c r="O34" s="2146">
        <f t="shared" si="10"/>
        <v>0</v>
      </c>
      <c r="P34" s="2146">
        <f t="shared" si="11"/>
        <v>0</v>
      </c>
      <c r="Q34" s="2159">
        <f>SUM('Rentroll(개시시점 기준)'!Q39:Q48)</f>
        <v>0</v>
      </c>
      <c r="R34" s="2146">
        <f t="shared" si="12"/>
        <v>0</v>
      </c>
      <c r="S34" s="2146">
        <f t="shared" si="13"/>
        <v>0</v>
      </c>
      <c r="T34" s="2159">
        <f>SUM('Rentroll(개시시점 기준)'!T39:T48)</f>
        <v>0</v>
      </c>
      <c r="U34" s="2175">
        <f t="shared" si="15"/>
        <v>0</v>
      </c>
      <c r="V34" s="2175" t="b">
        <f t="shared" si="16"/>
        <v>1</v>
      </c>
      <c r="W34" s="2160"/>
      <c r="X34" s="2175">
        <f t="shared" si="17"/>
        <v>0</v>
      </c>
      <c r="Y34" s="2160" t="b">
        <f t="shared" si="18"/>
        <v>1</v>
      </c>
      <c r="Z34" s="2160"/>
      <c r="AA34" s="2161"/>
    </row>
    <row r="35" spans="1:27" ht="11.25" customHeight="1">
      <c r="A35" s="2029">
        <f t="shared" si="14"/>
        <v>0</v>
      </c>
      <c r="C35" s="2140" t="s">
        <v>1180</v>
      </c>
      <c r="D35" s="2141">
        <v>7</v>
      </c>
      <c r="E35" s="2153" t="s">
        <v>1263</v>
      </c>
      <c r="F35" s="2154" t="s">
        <v>1185</v>
      </c>
      <c r="G35" s="2143">
        <f>'Rentroll(개시시점 기준)'!I62</f>
        <v>1550.42</v>
      </c>
      <c r="H35" s="2143">
        <f>'Rentroll(개시시점 기준)'!H62</f>
        <v>5125.3489047433195</v>
      </c>
      <c r="I35" s="2144">
        <f>'Rentroll(개시시점 기준)'!V62</f>
        <v>45323</v>
      </c>
      <c r="J35" s="2144">
        <f>'Rentroll(개시시점 기준)'!W62</f>
        <v>49064</v>
      </c>
      <c r="K35" s="2145">
        <f>DATEDIF(TIC!$M$4,J35,"D")/365</f>
        <v>7.5013698630136982</v>
      </c>
      <c r="L35" s="2146">
        <f t="shared" si="8"/>
        <v>360000</v>
      </c>
      <c r="M35" s="2146">
        <f t="shared" si="9"/>
        <v>108900.13740985552</v>
      </c>
      <c r="N35" s="2147">
        <f>'Rentroll(개시시점 기준)'!O62</f>
        <v>558151200</v>
      </c>
      <c r="O35" s="2146">
        <f t="shared" si="10"/>
        <v>60000</v>
      </c>
      <c r="P35" s="2146">
        <f t="shared" si="11"/>
        <v>18150.022901642587</v>
      </c>
      <c r="Q35" s="2148">
        <f>'Rentroll(개시시점 기준)'!Q62</f>
        <v>93025200</v>
      </c>
      <c r="R35" s="2146">
        <f t="shared" si="12"/>
        <v>3000</v>
      </c>
      <c r="S35" s="2146">
        <f t="shared" si="13"/>
        <v>907.50114508212937</v>
      </c>
      <c r="T35" s="2148">
        <f>'Rentroll(개시시점 기준)'!T62</f>
        <v>4651260</v>
      </c>
      <c r="U35" s="2174">
        <f t="shared" si="15"/>
        <v>63037.499999999993</v>
      </c>
      <c r="V35" s="2176" t="b">
        <f t="shared" si="16"/>
        <v>1</v>
      </c>
      <c r="W35" s="2151"/>
      <c r="X35" s="2174">
        <f t="shared" si="17"/>
        <v>3151.8749999999995</v>
      </c>
      <c r="Y35" s="2150" t="b">
        <f t="shared" si="18"/>
        <v>1</v>
      </c>
      <c r="Z35" s="2151"/>
      <c r="AA35" s="2152"/>
    </row>
    <row r="36" spans="1:27" ht="11.25" customHeight="1">
      <c r="A36" s="2029">
        <f t="shared" si="14"/>
        <v>0</v>
      </c>
      <c r="C36" s="2140" t="s">
        <v>1180</v>
      </c>
      <c r="D36" s="2141">
        <v>6</v>
      </c>
      <c r="E36" s="2153" t="s">
        <v>1263</v>
      </c>
      <c r="F36" s="2154" t="s">
        <v>1185</v>
      </c>
      <c r="G36" s="2143">
        <f>'Rentroll(개시시점 기준)'!I63</f>
        <v>2187.87</v>
      </c>
      <c r="H36" s="2143">
        <f>'Rentroll(개시시점 기준)'!H63</f>
        <v>7232.6196497370329</v>
      </c>
      <c r="I36" s="2144">
        <f>'Rentroll(개시시점 기준)'!V63</f>
        <v>45323</v>
      </c>
      <c r="J36" s="2144">
        <f>'Rentroll(개시시점 기준)'!W63</f>
        <v>49064</v>
      </c>
      <c r="K36" s="2145">
        <f>DATEDIF(TIC!$M$4,J36,"D")/365</f>
        <v>7.5013698630136982</v>
      </c>
      <c r="L36" s="2146">
        <f t="shared" si="8"/>
        <v>360000</v>
      </c>
      <c r="M36" s="2146">
        <f t="shared" si="9"/>
        <v>108900.12722135017</v>
      </c>
      <c r="N36" s="2147">
        <f>'Rentroll(개시시점 기준)'!O63</f>
        <v>787633200</v>
      </c>
      <c r="O36" s="2146">
        <f t="shared" si="10"/>
        <v>60000</v>
      </c>
      <c r="P36" s="2146">
        <f t="shared" si="11"/>
        <v>18150.021203558361</v>
      </c>
      <c r="Q36" s="2148">
        <f>'Rentroll(개시시점 기준)'!Q63</f>
        <v>131272200</v>
      </c>
      <c r="R36" s="2146">
        <f t="shared" si="12"/>
        <v>3000</v>
      </c>
      <c r="S36" s="2146">
        <f t="shared" si="13"/>
        <v>907.50106017791813</v>
      </c>
      <c r="T36" s="2148">
        <f>'Rentroll(개시시점 기준)'!T63</f>
        <v>6563610</v>
      </c>
      <c r="U36" s="2174">
        <f t="shared" si="15"/>
        <v>63037.499999999993</v>
      </c>
      <c r="V36" s="2176" t="b">
        <f t="shared" si="16"/>
        <v>1</v>
      </c>
      <c r="W36" s="2151"/>
      <c r="X36" s="2174">
        <f t="shared" si="17"/>
        <v>3151.8749999999995</v>
      </c>
      <c r="Y36" s="2150" t="b">
        <f t="shared" si="18"/>
        <v>1</v>
      </c>
      <c r="Z36" s="2151"/>
      <c r="AA36" s="2152"/>
    </row>
    <row r="37" spans="1:27" ht="11.25" customHeight="1">
      <c r="A37" s="2029">
        <f t="shared" si="14"/>
        <v>0</v>
      </c>
      <c r="C37" s="2140" t="s">
        <v>1180</v>
      </c>
      <c r="D37" s="2141">
        <v>5</v>
      </c>
      <c r="E37" s="2153" t="s">
        <v>1263</v>
      </c>
      <c r="F37" s="2154" t="s">
        <v>1185</v>
      </c>
      <c r="G37" s="2143">
        <f>'Rentroll(개시시점 기준)'!I64</f>
        <v>2185.56</v>
      </c>
      <c r="H37" s="2143">
        <f>'Rentroll(개시시점 기준)'!H64</f>
        <v>7224.9899694741771</v>
      </c>
      <c r="I37" s="2144">
        <f>'Rentroll(개시시점 기준)'!V64</f>
        <v>45323</v>
      </c>
      <c r="J37" s="2144">
        <f>'Rentroll(개시시점 기준)'!W64</f>
        <v>49064</v>
      </c>
      <c r="K37" s="2145">
        <f>DATEDIF(TIC!$M$4,J37,"D")/365</f>
        <v>7.5013698630136982</v>
      </c>
      <c r="L37" s="2146">
        <f t="shared" si="8"/>
        <v>360000</v>
      </c>
      <c r="M37" s="2146">
        <f t="shared" si="9"/>
        <v>108900.02661931199</v>
      </c>
      <c r="N37" s="2147">
        <f>'Rentroll(개시시점 기준)'!O64</f>
        <v>786801600</v>
      </c>
      <c r="O37" s="2146">
        <f t="shared" si="10"/>
        <v>60000</v>
      </c>
      <c r="P37" s="2146">
        <f t="shared" si="11"/>
        <v>18150.004436551997</v>
      </c>
      <c r="Q37" s="2148">
        <f>'Rentroll(개시시점 기준)'!Q64</f>
        <v>131133600</v>
      </c>
      <c r="R37" s="2146">
        <f t="shared" si="12"/>
        <v>3000</v>
      </c>
      <c r="S37" s="2146">
        <f t="shared" si="13"/>
        <v>907.50022182759994</v>
      </c>
      <c r="T37" s="2148">
        <f>'Rentroll(개시시점 기준)'!T64</f>
        <v>6556680</v>
      </c>
      <c r="U37" s="2174">
        <f t="shared" si="15"/>
        <v>63037.499999999993</v>
      </c>
      <c r="V37" s="2176" t="b">
        <f t="shared" si="16"/>
        <v>1</v>
      </c>
      <c r="W37" s="2151"/>
      <c r="X37" s="2174">
        <f t="shared" si="17"/>
        <v>3151.8749999999995</v>
      </c>
      <c r="Y37" s="2150" t="b">
        <f t="shared" si="18"/>
        <v>1</v>
      </c>
      <c r="Z37" s="2151"/>
      <c r="AA37" s="2152"/>
    </row>
    <row r="38" spans="1:27" ht="11.25" customHeight="1">
      <c r="A38" s="2029">
        <f t="shared" si="14"/>
        <v>0</v>
      </c>
      <c r="C38" s="2140" t="s">
        <v>1180</v>
      </c>
      <c r="D38" s="2141">
        <v>4</v>
      </c>
      <c r="E38" s="2153" t="s">
        <v>1263</v>
      </c>
      <c r="F38" s="2154" t="s">
        <v>1185</v>
      </c>
      <c r="G38" s="2143">
        <f>'Rentroll(개시시점 기준)'!I65</f>
        <v>2185.56</v>
      </c>
      <c r="H38" s="2143">
        <f>'Rentroll(개시시점 기준)'!H65</f>
        <v>7224.9899694741771</v>
      </c>
      <c r="I38" s="2144">
        <f>'Rentroll(개시시점 기준)'!V65</f>
        <v>45413</v>
      </c>
      <c r="J38" s="2144">
        <f>'Rentroll(개시시점 기준)'!W65</f>
        <v>49064</v>
      </c>
      <c r="K38" s="2145">
        <f>DATEDIF(TIC!$M$4,J38,"D")/365</f>
        <v>7.5013698630136982</v>
      </c>
      <c r="L38" s="2146">
        <f t="shared" si="8"/>
        <v>360000</v>
      </c>
      <c r="M38" s="2146">
        <f t="shared" si="9"/>
        <v>108900.02661931199</v>
      </c>
      <c r="N38" s="2147">
        <f>'Rentroll(개시시점 기준)'!O65</f>
        <v>786801600</v>
      </c>
      <c r="O38" s="2146">
        <f t="shared" si="10"/>
        <v>60000</v>
      </c>
      <c r="P38" s="2146">
        <f t="shared" si="11"/>
        <v>18150.004436551997</v>
      </c>
      <c r="Q38" s="2148">
        <f>'Rentroll(개시시점 기준)'!Q65</f>
        <v>131133600</v>
      </c>
      <c r="R38" s="2146">
        <f t="shared" si="12"/>
        <v>3000</v>
      </c>
      <c r="S38" s="2146">
        <f t="shared" si="13"/>
        <v>907.50022182759994</v>
      </c>
      <c r="T38" s="2148">
        <f>'Rentroll(개시시점 기준)'!T65</f>
        <v>6556680</v>
      </c>
      <c r="U38" s="2174">
        <f t="shared" si="15"/>
        <v>63037.499999999993</v>
      </c>
      <c r="V38" s="2176" t="b">
        <f t="shared" si="16"/>
        <v>1</v>
      </c>
      <c r="W38" s="2151"/>
      <c r="X38" s="2174">
        <f t="shared" si="17"/>
        <v>3151.8749999999995</v>
      </c>
      <c r="Y38" s="2150" t="b">
        <f t="shared" si="18"/>
        <v>1</v>
      </c>
      <c r="Z38" s="2151"/>
      <c r="AA38" s="2152"/>
    </row>
    <row r="39" spans="1:27" ht="11.25" customHeight="1">
      <c r="A39" s="2029">
        <f t="shared" si="14"/>
        <v>0</v>
      </c>
      <c r="C39" s="2140" t="s">
        <v>1180</v>
      </c>
      <c r="D39" s="2141">
        <v>3</v>
      </c>
      <c r="E39" s="2153" t="s">
        <v>1264</v>
      </c>
      <c r="F39" s="2154" t="s">
        <v>1185</v>
      </c>
      <c r="G39" s="2143">
        <f>'Rentroll(개시시점 기준)'!I66</f>
        <v>2185.56</v>
      </c>
      <c r="H39" s="2143">
        <f>'Rentroll(개시시점 기준)'!H66</f>
        <v>7224.9899694741771</v>
      </c>
      <c r="I39" s="2144">
        <f>'Rentroll(개시시점 기준)'!V66</f>
        <v>45503</v>
      </c>
      <c r="J39" s="2144">
        <f>'Rentroll(개시시점 기준)'!W66</f>
        <v>47328</v>
      </c>
      <c r="K39" s="2145">
        <f>DATEDIF(TIC!$M$4,J39,"D")/365</f>
        <v>2.7452054794520548</v>
      </c>
      <c r="L39" s="2146">
        <f t="shared" si="8"/>
        <v>293998.79207159724</v>
      </c>
      <c r="M39" s="2146">
        <f t="shared" si="9"/>
        <v>88934.656340673624</v>
      </c>
      <c r="N39" s="2147">
        <f>'Rentroll(개시시점 기준)'!O66</f>
        <v>642552000</v>
      </c>
      <c r="O39" s="2146">
        <f t="shared" si="10"/>
        <v>48999.798678599538</v>
      </c>
      <c r="P39" s="2146">
        <f t="shared" si="11"/>
        <v>14822.442723445605</v>
      </c>
      <c r="Q39" s="2148">
        <f>'Rentroll(개시시점 기준)'!Q66</f>
        <v>107092000</v>
      </c>
      <c r="R39" s="2146">
        <f t="shared" si="12"/>
        <v>2999.6888669265545</v>
      </c>
      <c r="S39" s="2146">
        <f t="shared" si="13"/>
        <v>907.4061040498766</v>
      </c>
      <c r="T39" s="2148">
        <f>'Rentroll(개시시점 기준)'!T66</f>
        <v>6556000</v>
      </c>
      <c r="U39" s="2174">
        <f t="shared" si="15"/>
        <v>48999.798678599538</v>
      </c>
      <c r="V39" s="2174" t="b">
        <f t="shared" si="16"/>
        <v>1</v>
      </c>
      <c r="W39" s="2149"/>
      <c r="X39" s="2174">
        <f t="shared" si="17"/>
        <v>2999.6888669265545</v>
      </c>
      <c r="Y39" s="2149" t="b">
        <f t="shared" si="18"/>
        <v>1</v>
      </c>
      <c r="Z39" s="2149"/>
      <c r="AA39" s="2162"/>
    </row>
    <row r="40" spans="1:27" ht="11.25" customHeight="1">
      <c r="A40" s="2029">
        <f t="shared" si="14"/>
        <v>0</v>
      </c>
      <c r="C40" s="2140" t="s">
        <v>1180</v>
      </c>
      <c r="D40" s="2141">
        <v>2</v>
      </c>
      <c r="E40" s="2153" t="s">
        <v>1263</v>
      </c>
      <c r="F40" s="2154" t="s">
        <v>1185</v>
      </c>
      <c r="G40" s="2143">
        <f>'Rentroll(개시시점 기준)'!I67</f>
        <v>2185.56</v>
      </c>
      <c r="H40" s="2143">
        <f>'Rentroll(개시시점 기준)'!H67</f>
        <v>7224.9899694741771</v>
      </c>
      <c r="I40" s="2144">
        <f>'Rentroll(개시시점 기준)'!V67</f>
        <v>45658</v>
      </c>
      <c r="J40" s="2144">
        <f>'Rentroll(개시시점 기준)'!W67</f>
        <v>49064</v>
      </c>
      <c r="K40" s="2145">
        <f>DATEDIF(TIC!$M$4,J40,"D")/365</f>
        <v>7.5013698630136982</v>
      </c>
      <c r="L40" s="2146">
        <f t="shared" si="8"/>
        <v>360000</v>
      </c>
      <c r="M40" s="2146">
        <f t="shared" si="9"/>
        <v>108900.02661931199</v>
      </c>
      <c r="N40" s="2147">
        <f>'Rentroll(개시시점 기준)'!O67</f>
        <v>786801600</v>
      </c>
      <c r="O40" s="2146">
        <f t="shared" si="10"/>
        <v>60000</v>
      </c>
      <c r="P40" s="2146">
        <f t="shared" si="11"/>
        <v>18150.004436551997</v>
      </c>
      <c r="Q40" s="2148">
        <f>'Rentroll(개시시점 기준)'!Q67</f>
        <v>131133600</v>
      </c>
      <c r="R40" s="2146">
        <f t="shared" si="12"/>
        <v>3000</v>
      </c>
      <c r="S40" s="2146">
        <f t="shared" si="13"/>
        <v>907.50022182759994</v>
      </c>
      <c r="T40" s="2148">
        <f>'Rentroll(개시시점 기준)'!T67</f>
        <v>6556680</v>
      </c>
      <c r="U40" s="2174">
        <f t="shared" si="15"/>
        <v>61499.999999999993</v>
      </c>
      <c r="V40" s="2176" t="b">
        <f t="shared" si="16"/>
        <v>1</v>
      </c>
      <c r="W40" s="2151"/>
      <c r="X40" s="2174">
        <f t="shared" si="17"/>
        <v>3074.9999999999995</v>
      </c>
      <c r="Y40" s="2150" t="b">
        <f t="shared" si="18"/>
        <v>1</v>
      </c>
      <c r="Z40" s="2151"/>
      <c r="AA40" s="2152"/>
    </row>
    <row r="41" spans="1:27" ht="11.25" customHeight="1">
      <c r="A41" s="2029">
        <f t="shared" si="14"/>
        <v>0</v>
      </c>
      <c r="C41" s="2140" t="s">
        <v>1180</v>
      </c>
      <c r="D41" s="2141">
        <v>1</v>
      </c>
      <c r="E41" s="2163" t="s">
        <v>1190</v>
      </c>
      <c r="F41" s="2154" t="s">
        <v>1185</v>
      </c>
      <c r="G41" s="2143">
        <f>'Rentroll(개시시점 기준)'!I68</f>
        <v>1092.94</v>
      </c>
      <c r="H41" s="2143">
        <f>'Rentroll(개시시점 기준)'!H68</f>
        <v>3613.0124798410602</v>
      </c>
      <c r="I41" s="2144">
        <f>'Rentroll(개시시점 기준)'!V68</f>
        <v>45689</v>
      </c>
      <c r="J41" s="2144">
        <f>'Rentroll(개시시점 기준)'!W68</f>
        <v>49340</v>
      </c>
      <c r="K41" s="2145">
        <f>DATEDIF(TIC!$M$4,J41,"D")/365</f>
        <v>8.257534246575343</v>
      </c>
      <c r="L41" s="2146">
        <f t="shared" si="8"/>
        <v>359998.52599410759</v>
      </c>
      <c r="M41" s="2146">
        <f t="shared" si="9"/>
        <v>108899.92525497962</v>
      </c>
      <c r="N41" s="2147">
        <f>'Rentroll(개시시점 기준)'!O68</f>
        <v>393456789</v>
      </c>
      <c r="O41" s="2146">
        <f t="shared" si="10"/>
        <v>59999.754789832921</v>
      </c>
      <c r="P41" s="2146">
        <f t="shared" si="11"/>
        <v>18149.987680885275</v>
      </c>
      <c r="Q41" s="2148">
        <f>'Rentroll(개시시점 기준)'!Q68</f>
        <v>65576132</v>
      </c>
      <c r="R41" s="2146">
        <f t="shared" si="12"/>
        <v>2999.9881054769703</v>
      </c>
      <c r="S41" s="2146">
        <f t="shared" si="13"/>
        <v>907.49949475520157</v>
      </c>
      <c r="T41" s="2148">
        <f>'Rentroll(개시시점 기준)'!T68</f>
        <v>3278807</v>
      </c>
      <c r="U41" s="2174">
        <f t="shared" si="15"/>
        <v>61499.748659578741</v>
      </c>
      <c r="V41" s="2176" t="b">
        <f t="shared" si="16"/>
        <v>1</v>
      </c>
      <c r="W41" s="2151"/>
      <c r="X41" s="2174">
        <f t="shared" si="17"/>
        <v>3074.9878081138945</v>
      </c>
      <c r="Y41" s="2150" t="b">
        <f t="shared" si="18"/>
        <v>1</v>
      </c>
      <c r="Z41" s="2151"/>
      <c r="AA41" s="2152"/>
    </row>
    <row r="42" spans="1:27" ht="11.25" customHeight="1">
      <c r="A42" s="2029">
        <f t="shared" si="14"/>
        <v>0</v>
      </c>
      <c r="C42" s="2140" t="s">
        <v>1180</v>
      </c>
      <c r="D42" s="2141">
        <v>1</v>
      </c>
      <c r="E42" s="2163" t="s">
        <v>1191</v>
      </c>
      <c r="F42" s="2154" t="s">
        <v>1185</v>
      </c>
      <c r="G42" s="2143">
        <f>'Rentroll(개시시점 기준)'!I69</f>
        <v>856.05</v>
      </c>
      <c r="H42" s="2143">
        <f>'Rentroll(개시시점 기준)'!H69</f>
        <v>2829.9275201589408</v>
      </c>
      <c r="I42" s="2144">
        <f>'Rentroll(개시시점 기준)'!V69</f>
        <v>45612</v>
      </c>
      <c r="J42" s="2144">
        <f>'Rentroll(개시시점 기준)'!W69</f>
        <v>47514</v>
      </c>
      <c r="K42" s="2145">
        <f>DATEDIF(TIC!$M$4,J42,"D")/365</f>
        <v>3.2547945205479452</v>
      </c>
      <c r="L42" s="2146">
        <f t="shared" si="8"/>
        <v>360000</v>
      </c>
      <c r="M42" s="2146">
        <f t="shared" si="9"/>
        <v>108899.60884322981</v>
      </c>
      <c r="N42" s="2147">
        <f>'Rentroll(개시시점 기준)'!O69</f>
        <v>308178000</v>
      </c>
      <c r="O42" s="2146">
        <f t="shared" si="10"/>
        <v>60000</v>
      </c>
      <c r="P42" s="2146">
        <f t="shared" si="11"/>
        <v>18149.934807204969</v>
      </c>
      <c r="Q42" s="2148">
        <f>'Rentroll(개시시점 기준)'!Q69</f>
        <v>51363000</v>
      </c>
      <c r="R42" s="2146">
        <f t="shared" si="12"/>
        <v>3000</v>
      </c>
      <c r="S42" s="2146">
        <f t="shared" si="13"/>
        <v>907.4967403602484</v>
      </c>
      <c r="T42" s="2148">
        <f>'Rentroll(개시시점 기준)'!T69</f>
        <v>2568150</v>
      </c>
      <c r="U42" s="2174">
        <f t="shared" si="15"/>
        <v>61499.999999999993</v>
      </c>
      <c r="V42" s="2176" t="b">
        <f t="shared" si="16"/>
        <v>1</v>
      </c>
      <c r="W42" s="2151"/>
      <c r="X42" s="2174">
        <f t="shared" si="17"/>
        <v>3074.9999999999995</v>
      </c>
      <c r="Y42" s="2150" t="b">
        <f t="shared" si="18"/>
        <v>1</v>
      </c>
      <c r="Z42" s="2151"/>
      <c r="AA42" s="2152"/>
    </row>
    <row r="43" spans="1:27" ht="11.25" customHeight="1">
      <c r="A43" s="2029">
        <f t="shared" si="14"/>
        <v>-17.29</v>
      </c>
      <c r="C43" s="2140" t="s">
        <v>1180</v>
      </c>
      <c r="D43" s="2177">
        <v>1</v>
      </c>
      <c r="E43" s="2178" t="s">
        <v>1265</v>
      </c>
      <c r="F43" s="2179" t="s">
        <v>1193</v>
      </c>
      <c r="G43" s="2180"/>
      <c r="H43" s="2180"/>
      <c r="I43" s="2181"/>
      <c r="J43" s="2181"/>
      <c r="K43" s="2182"/>
      <c r="L43" s="2183"/>
      <c r="M43" s="2183"/>
      <c r="N43" s="2184"/>
      <c r="O43" s="2183"/>
      <c r="P43" s="2183"/>
      <c r="Q43" s="2185"/>
      <c r="R43" s="2183"/>
      <c r="S43" s="2183"/>
      <c r="T43" s="2185"/>
      <c r="U43" s="2186"/>
      <c r="V43" s="2187"/>
      <c r="W43" s="2188"/>
      <c r="X43" s="2186"/>
      <c r="Y43" s="2189"/>
      <c r="Z43" s="2188"/>
      <c r="AA43" s="2190"/>
    </row>
    <row r="44" spans="1:27" ht="11.25" customHeight="1">
      <c r="A44" s="2029">
        <f t="shared" si="14"/>
        <v>17.289999999999992</v>
      </c>
      <c r="C44" s="2140" t="s">
        <v>1180</v>
      </c>
      <c r="D44" s="2164">
        <v>1</v>
      </c>
      <c r="E44" s="2156" t="s">
        <v>1186</v>
      </c>
      <c r="F44" s="2154" t="s">
        <v>1193</v>
      </c>
      <c r="G44" s="2157">
        <f>SUM('Rentroll(개시시점 기준)'!I70:I72)</f>
        <v>158.30000000000001</v>
      </c>
      <c r="H44" s="2157">
        <f>SUM('Rentroll(개시시점 기준)'!H70:H72)</f>
        <v>523.29419780996113</v>
      </c>
      <c r="I44" s="2158" t="s">
        <v>1248</v>
      </c>
      <c r="J44" s="2158" t="s">
        <v>1248</v>
      </c>
      <c r="K44" s="2143"/>
      <c r="L44" s="2146">
        <f>N44/G44</f>
        <v>0</v>
      </c>
      <c r="M44" s="2146">
        <f>N44/H44</f>
        <v>0</v>
      </c>
      <c r="N44" s="2150">
        <f>SUM('Rentroll(개시시점 기준)'!O70:O72)</f>
        <v>0</v>
      </c>
      <c r="O44" s="2146">
        <f>Q44/G44</f>
        <v>0</v>
      </c>
      <c r="P44" s="2146">
        <f>Q44/H44</f>
        <v>0</v>
      </c>
      <c r="Q44" s="2159">
        <f>SUM('Rentroll(개시시점 기준)'!Q70:Q72)</f>
        <v>0</v>
      </c>
      <c r="R44" s="2146">
        <f>T44/G44</f>
        <v>0</v>
      </c>
      <c r="S44" s="2146">
        <f>T44/H44</f>
        <v>0</v>
      </c>
      <c r="T44" s="2159">
        <f>SUM('Rentroll(개시시점 기준)'!T70:T72)</f>
        <v>0</v>
      </c>
      <c r="U44" s="2175">
        <f t="shared" si="15"/>
        <v>0</v>
      </c>
      <c r="V44" s="2175" t="b">
        <f t="shared" si="16"/>
        <v>1</v>
      </c>
      <c r="W44" s="2160"/>
      <c r="X44" s="2175">
        <f t="shared" si="17"/>
        <v>0</v>
      </c>
      <c r="Y44" s="2160" t="b">
        <f t="shared" si="18"/>
        <v>1</v>
      </c>
      <c r="Z44" s="2160"/>
      <c r="AA44" s="2161"/>
    </row>
    <row r="45" spans="1:27" ht="11.25" customHeight="1">
      <c r="A45" s="2029">
        <f t="shared" si="14"/>
        <v>0</v>
      </c>
      <c r="C45" s="2140" t="s">
        <v>1180</v>
      </c>
      <c r="D45" s="2141" t="s">
        <v>1194</v>
      </c>
      <c r="E45" s="2153" t="s">
        <v>1266</v>
      </c>
      <c r="F45" s="2154" t="s">
        <v>1185</v>
      </c>
      <c r="G45" s="2143">
        <f>'Rentroll(개시시점 기준)'!I73</f>
        <v>2745.32</v>
      </c>
      <c r="H45" s="2143">
        <f>'Rentroll(개시시점 기준)'!H73</f>
        <v>9075.4522996857431</v>
      </c>
      <c r="I45" s="2144">
        <f>'Rentroll(개시시점 기준)'!V73</f>
        <v>45748</v>
      </c>
      <c r="J45" s="2144">
        <f>'Rentroll(개시시점 기준)'!W73</f>
        <v>49064</v>
      </c>
      <c r="K45" s="2145">
        <f>DATEDIF(TIC!$M$4,J45,"D")/365</f>
        <v>7.5013698630136982</v>
      </c>
      <c r="L45" s="2146">
        <f>N45/G45</f>
        <v>360000</v>
      </c>
      <c r="M45" s="2146">
        <f>N45/H45</f>
        <v>108899.82861066026</v>
      </c>
      <c r="N45" s="2150">
        <f>'Rentroll(개시시점 기준)'!O73</f>
        <v>988315200</v>
      </c>
      <c r="O45" s="2146">
        <f>Q45/G45</f>
        <v>60000</v>
      </c>
      <c r="P45" s="2146">
        <f>Q45/H45</f>
        <v>18149.971435110045</v>
      </c>
      <c r="Q45" s="2155">
        <f>'Rentroll(개시시점 기준)'!Q73</f>
        <v>164719200</v>
      </c>
      <c r="R45" s="2146">
        <f>T45/G45</f>
        <v>2999.9016508093773</v>
      </c>
      <c r="S45" s="2146">
        <f>T45/H45</f>
        <v>907.46882117216114</v>
      </c>
      <c r="T45" s="2155">
        <f>'Rentroll(개시시점 기준)'!T73</f>
        <v>8235690</v>
      </c>
      <c r="U45" s="2174">
        <f t="shared" si="15"/>
        <v>61499.999999999993</v>
      </c>
      <c r="V45" s="2176" t="b">
        <f t="shared" si="16"/>
        <v>1</v>
      </c>
      <c r="W45" s="2151"/>
      <c r="X45" s="2174">
        <f t="shared" si="17"/>
        <v>3074.8991920796116</v>
      </c>
      <c r="Y45" s="2150" t="b">
        <f t="shared" si="18"/>
        <v>1</v>
      </c>
      <c r="Z45" s="2151"/>
      <c r="AA45" s="2165"/>
    </row>
    <row r="46" spans="1:27" ht="11.25" customHeight="1">
      <c r="A46" s="2029">
        <f t="shared" si="14"/>
        <v>0</v>
      </c>
      <c r="C46" s="2140" t="s">
        <v>1180</v>
      </c>
      <c r="D46" s="2164" t="s">
        <v>1196</v>
      </c>
      <c r="E46" s="2166" t="s">
        <v>1197</v>
      </c>
      <c r="F46" s="2154" t="s">
        <v>1185</v>
      </c>
      <c r="G46" s="2157">
        <f>'Rentroll(개시시점 기준)'!I74</f>
        <v>2728.21</v>
      </c>
      <c r="H46" s="2157">
        <f>'Rentroll(개시시점 기준)'!H74</f>
        <v>9018.8871730013507</v>
      </c>
      <c r="I46" s="2158">
        <f>'Rentroll(개시시점 기준)'!V74</f>
        <v>46023</v>
      </c>
      <c r="J46" s="2158">
        <f>'Rentroll(개시시점 기준)'!W74</f>
        <v>47879</v>
      </c>
      <c r="K46" s="2145">
        <f>DATEDIF(TIC!$M$4,J46,"D")/365</f>
        <v>4.2547945205479456</v>
      </c>
      <c r="L46" s="2146">
        <f>N46/G46</f>
        <v>360000</v>
      </c>
      <c r="M46" s="2146">
        <f>N46/H46</f>
        <v>108899.86548896512</v>
      </c>
      <c r="N46" s="2150">
        <f>'Rentroll(개시시점 기준)'!O74</f>
        <v>982155600</v>
      </c>
      <c r="O46" s="2146">
        <f>Q46/G46</f>
        <v>60000</v>
      </c>
      <c r="P46" s="2146">
        <f>Q46/H46</f>
        <v>18149.977581494186</v>
      </c>
      <c r="Q46" s="2159">
        <f>'Rentroll(개시시점 기준)'!Q74</f>
        <v>163692600</v>
      </c>
      <c r="R46" s="2146">
        <f>T46/G46</f>
        <v>3000</v>
      </c>
      <c r="S46" s="2146">
        <f>T46/H46</f>
        <v>907.49887907470929</v>
      </c>
      <c r="T46" s="2159">
        <f>'Rentroll(개시시점 기준)'!T74</f>
        <v>8184630</v>
      </c>
      <c r="U46" s="2174">
        <f t="shared" si="15"/>
        <v>60000</v>
      </c>
      <c r="V46" s="2176" t="b">
        <f t="shared" si="16"/>
        <v>1</v>
      </c>
      <c r="W46" s="2151"/>
      <c r="X46" s="2174">
        <f t="shared" si="17"/>
        <v>3000</v>
      </c>
      <c r="Y46" s="2150" t="b">
        <f t="shared" si="18"/>
        <v>1</v>
      </c>
      <c r="Z46" s="2151"/>
      <c r="AA46" s="2165"/>
    </row>
    <row r="47" spans="1:27" ht="11.25" customHeight="1">
      <c r="C47" s="3162" t="s">
        <v>1198</v>
      </c>
      <c r="D47" s="3162"/>
      <c r="E47" s="3162"/>
      <c r="F47" s="3162"/>
      <c r="G47" s="2167">
        <f>+SUM(G31:G46)</f>
        <v>20890.079999999998</v>
      </c>
      <c r="H47" s="2167">
        <f>+SUM(H31:H46)</f>
        <v>69058.085578024882</v>
      </c>
      <c r="I47" s="2168"/>
      <c r="J47" s="2168"/>
      <c r="K47" s="2169">
        <f>+SUMPRODUCT(K31:K46,G31:G46)/SUM(G45:G46,G35:G43,G31:G32)</f>
        <v>6.3290678955288735</v>
      </c>
      <c r="L47" s="2168">
        <f>+N47/G47</f>
        <v>343046.42189019866</v>
      </c>
      <c r="M47" s="2168">
        <f>+N47/H47</f>
        <v>103771.58788891177</v>
      </c>
      <c r="N47" s="2168">
        <f>+SUM(N31:N46)</f>
        <v>7166267197</v>
      </c>
      <c r="O47" s="2168">
        <f>+Q47/G47</f>
        <v>57294.49935088808</v>
      </c>
      <c r="P47" s="2168">
        <f>+Q47/H47</f>
        <v>17331.593614012141</v>
      </c>
      <c r="Q47" s="2168">
        <f>+SUM(Q31:Q46)</f>
        <v>1196886675</v>
      </c>
      <c r="R47" s="2168">
        <f>+T47/G47</f>
        <v>2951.872180479922</v>
      </c>
      <c r="S47" s="2168">
        <f>T47/H47</f>
        <v>892.94172411322245</v>
      </c>
      <c r="T47" s="2168">
        <f>+SUM(T31:T46)</f>
        <v>61664846</v>
      </c>
      <c r="U47" s="2168"/>
      <c r="V47" s="2168"/>
      <c r="W47" s="2168"/>
      <c r="X47" s="2168"/>
      <c r="Y47" s="2168"/>
      <c r="Z47" s="2168"/>
      <c r="AA47" s="2168"/>
    </row>
    <row r="48" spans="1:27" ht="11.25" customHeight="1">
      <c r="C48" s="2126"/>
      <c r="D48" s="2126"/>
      <c r="E48" s="2126"/>
      <c r="F48" s="2126"/>
      <c r="G48" s="2126"/>
      <c r="H48" s="2126"/>
      <c r="I48" s="2126"/>
      <c r="J48" s="2127"/>
      <c r="K48" s="2127"/>
      <c r="L48" s="2127"/>
      <c r="M48" s="2127"/>
      <c r="N48" s="2171" t="b">
        <f>SUM('Rentroll(개시시점 기준)'!O39:O74)=N47</f>
        <v>1</v>
      </c>
      <c r="O48" s="2128"/>
      <c r="P48" s="2129"/>
      <c r="Q48" s="2170" t="b">
        <f>SUM('Rentroll(개시시점 기준)'!Q39:Q74)=Q47</f>
        <v>1</v>
      </c>
      <c r="R48" s="2129"/>
      <c r="S48" s="2130"/>
      <c r="T48" s="2170" t="b">
        <f>SUM('Rentroll(개시시점 기준)'!T39:T74)=T47</f>
        <v>1</v>
      </c>
      <c r="U48" s="299"/>
      <c r="V48" s="299"/>
      <c r="W48" s="299"/>
      <c r="X48" s="299"/>
      <c r="Y48" s="299"/>
      <c r="Z48" s="299"/>
      <c r="AA48" s="299"/>
    </row>
    <row r="49" spans="3:27" ht="11.25" customHeight="1">
      <c r="C49" s="2126"/>
      <c r="D49" s="2126"/>
      <c r="E49" s="2126"/>
      <c r="F49" s="2126"/>
      <c r="G49" s="2126"/>
      <c r="H49" s="2126"/>
      <c r="I49" s="2126"/>
      <c r="J49" s="2127"/>
      <c r="K49" s="2127"/>
      <c r="L49" s="2127"/>
      <c r="M49" s="2127"/>
      <c r="N49" s="2171"/>
      <c r="O49" s="2128"/>
      <c r="P49" s="2129"/>
      <c r="Q49" s="2170"/>
      <c r="R49" s="2129"/>
      <c r="S49" s="2130"/>
      <c r="T49" s="2170"/>
      <c r="U49" s="299"/>
      <c r="V49" s="299"/>
      <c r="W49" s="299"/>
      <c r="X49" s="299"/>
      <c r="Y49" s="299"/>
      <c r="Z49" s="299"/>
      <c r="AA49" s="299"/>
    </row>
    <row r="50" spans="3:27" ht="11.25" customHeight="1">
      <c r="C50" s="2126"/>
      <c r="D50" s="2126"/>
      <c r="E50" s="2126"/>
      <c r="F50" s="2126"/>
      <c r="G50" s="2126"/>
      <c r="H50" s="2126"/>
      <c r="I50" s="2126"/>
      <c r="J50" s="2127"/>
      <c r="K50" s="2127"/>
      <c r="L50" s="2127"/>
      <c r="M50" s="2127"/>
      <c r="N50" s="2171"/>
      <c r="O50" s="2128"/>
      <c r="P50" s="2129"/>
      <c r="Q50" s="2170"/>
      <c r="R50" s="2129"/>
      <c r="S50" s="2130"/>
      <c r="T50" s="2170"/>
      <c r="U50" s="299"/>
      <c r="V50" s="299"/>
      <c r="W50" s="299"/>
      <c r="X50" s="299"/>
      <c r="Y50" s="299"/>
      <c r="Z50" s="299"/>
      <c r="AA50" s="299"/>
    </row>
    <row r="51" spans="3:27" ht="11.25" customHeight="1">
      <c r="C51" s="2126"/>
      <c r="D51" s="2126"/>
      <c r="E51" s="2126"/>
      <c r="F51" s="2126"/>
      <c r="G51" s="2126"/>
      <c r="H51" s="2126"/>
      <c r="I51" s="2126"/>
      <c r="J51" s="2127"/>
      <c r="K51" s="2127"/>
      <c r="L51" s="2127"/>
      <c r="M51" s="2127"/>
      <c r="N51" s="2171"/>
      <c r="O51" s="2128"/>
      <c r="P51" s="2129"/>
      <c r="Q51" s="2170"/>
      <c r="R51" s="2129"/>
      <c r="S51" s="2130"/>
      <c r="T51" s="2170"/>
      <c r="U51" s="299"/>
      <c r="V51" s="299"/>
      <c r="W51" s="299"/>
      <c r="X51" s="299"/>
      <c r="Y51" s="299"/>
      <c r="Z51" s="299"/>
      <c r="AA51" s="299"/>
    </row>
    <row r="52" spans="3:27" ht="11.25" customHeight="1">
      <c r="C52" s="2126"/>
      <c r="D52" s="2126"/>
      <c r="E52" s="2126"/>
      <c r="F52" s="2126"/>
      <c r="G52" s="2126"/>
      <c r="H52" s="2126"/>
      <c r="I52" s="2126"/>
      <c r="J52" s="2127"/>
      <c r="K52" s="2127"/>
      <c r="L52" s="2127"/>
      <c r="M52" s="2127"/>
      <c r="N52" s="2171"/>
      <c r="O52" s="2128"/>
      <c r="P52" s="2129"/>
      <c r="Q52" s="2170"/>
      <c r="R52" s="2129"/>
      <c r="S52" s="2130"/>
      <c r="T52" s="2170"/>
      <c r="U52" s="299"/>
      <c r="V52" s="299"/>
      <c r="W52" s="299"/>
      <c r="X52" s="299"/>
      <c r="Y52" s="299"/>
      <c r="Z52" s="299"/>
      <c r="AA52" s="299"/>
    </row>
    <row r="53" spans="3:27" ht="11.25" customHeight="1">
      <c r="C53" s="3169" t="s">
        <v>1249</v>
      </c>
      <c r="D53" s="3169" t="s">
        <v>1250</v>
      </c>
      <c r="E53" s="3169" t="s">
        <v>1251</v>
      </c>
      <c r="F53" s="3169" t="s">
        <v>1252</v>
      </c>
      <c r="G53" s="3167" t="s">
        <v>1253</v>
      </c>
      <c r="H53" s="3168"/>
      <c r="I53" s="3169" t="s">
        <v>1254</v>
      </c>
      <c r="J53" s="3170"/>
      <c r="K53" s="3170"/>
      <c r="L53" s="3163" t="s">
        <v>1255</v>
      </c>
      <c r="M53" s="3164"/>
      <c r="N53" s="3164"/>
      <c r="O53" s="3165" t="s">
        <v>1256</v>
      </c>
      <c r="P53" s="3166"/>
      <c r="Q53" s="3166"/>
      <c r="R53" s="3163" t="s">
        <v>1257</v>
      </c>
      <c r="S53" s="3164"/>
      <c r="T53" s="3164"/>
      <c r="U53" s="3163" t="s">
        <v>1258</v>
      </c>
      <c r="V53" s="3164"/>
      <c r="W53" s="3164"/>
      <c r="X53" s="3163" t="s">
        <v>1259</v>
      </c>
      <c r="Y53" s="3164"/>
      <c r="Z53" s="3164"/>
      <c r="AA53" s="2137" t="s">
        <v>1163</v>
      </c>
    </row>
    <row r="54" spans="3:27" ht="11.25" customHeight="1">
      <c r="C54" s="3170"/>
      <c r="D54" s="3170"/>
      <c r="E54" s="3170"/>
      <c r="F54" s="3170"/>
      <c r="G54" s="2138" t="s">
        <v>283</v>
      </c>
      <c r="H54" s="2138" t="s">
        <v>1164</v>
      </c>
      <c r="I54" s="2136" t="s">
        <v>1260</v>
      </c>
      <c r="J54" s="2136" t="s">
        <v>1261</v>
      </c>
      <c r="K54" s="2139" t="s">
        <v>1262</v>
      </c>
      <c r="L54" s="2138" t="s">
        <v>1168</v>
      </c>
      <c r="M54" s="2138" t="s">
        <v>1169</v>
      </c>
      <c r="N54" s="2138" t="s">
        <v>639</v>
      </c>
      <c r="O54" s="2138" t="s">
        <v>1170</v>
      </c>
      <c r="P54" s="2138" t="s">
        <v>1171</v>
      </c>
      <c r="Q54" s="2138" t="s">
        <v>1172</v>
      </c>
      <c r="R54" s="2138" t="s">
        <v>1170</v>
      </c>
      <c r="S54" s="2138" t="s">
        <v>1171</v>
      </c>
      <c r="T54" s="2138" t="s">
        <v>1172</v>
      </c>
      <c r="U54" s="2138" t="s">
        <v>1173</v>
      </c>
      <c r="V54" s="2138" t="s">
        <v>1174</v>
      </c>
      <c r="W54" s="2138" t="s">
        <v>1175</v>
      </c>
      <c r="X54" s="2138" t="s">
        <v>1176</v>
      </c>
      <c r="Y54" s="2138" t="s">
        <v>1177</v>
      </c>
      <c r="Z54" s="2138" t="s">
        <v>1178</v>
      </c>
      <c r="AA54" s="2138" t="s">
        <v>1179</v>
      </c>
    </row>
    <row r="55" spans="3:27" ht="11.25" customHeight="1">
      <c r="C55" s="2140" t="s">
        <v>1180</v>
      </c>
      <c r="D55" s="2141">
        <v>8</v>
      </c>
      <c r="E55" s="1995" t="s">
        <v>1181</v>
      </c>
      <c r="F55" s="2142" t="s">
        <v>1182</v>
      </c>
      <c r="G55" s="2143">
        <f>G7-G31</f>
        <v>9.9999999999909051E-3</v>
      </c>
      <c r="H55" s="2143">
        <f t="shared" ref="H55:T55" si="19">H7-H31</f>
        <v>0</v>
      </c>
      <c r="I55" s="2144"/>
      <c r="J55" s="2144"/>
      <c r="K55" s="2145"/>
      <c r="L55" s="2146">
        <f t="shared" si="19"/>
        <v>-4.3514211516594514</v>
      </c>
      <c r="M55" s="2146">
        <f t="shared" si="19"/>
        <v>0</v>
      </c>
      <c r="N55" s="2147">
        <f t="shared" si="19"/>
        <v>0</v>
      </c>
      <c r="O55" s="2146">
        <f t="shared" si="19"/>
        <v>999.15933637210401</v>
      </c>
      <c r="P55" s="2146">
        <f t="shared" si="19"/>
        <v>302.50007887679385</v>
      </c>
      <c r="Q55" s="2148">
        <f t="shared" si="19"/>
        <v>479387</v>
      </c>
      <c r="R55" s="2146">
        <f t="shared" si="19"/>
        <v>74.936898061983356</v>
      </c>
      <c r="S55" s="2146">
        <f t="shared" si="19"/>
        <v>22.687490140400655</v>
      </c>
      <c r="T55" s="2148">
        <f t="shared" si="19"/>
        <v>35954</v>
      </c>
      <c r="U55" s="2149"/>
      <c r="V55" s="2150"/>
      <c r="W55" s="2151"/>
      <c r="X55" s="2149"/>
      <c r="Y55" s="2150"/>
      <c r="Z55" s="2151"/>
      <c r="AA55" s="2152"/>
    </row>
    <row r="56" spans="3:27" ht="11.25" customHeight="1">
      <c r="C56" s="2140" t="s">
        <v>1180</v>
      </c>
      <c r="D56" s="2141">
        <v>8</v>
      </c>
      <c r="E56" s="2153" t="s">
        <v>1263</v>
      </c>
      <c r="F56" s="2154" t="s">
        <v>1185</v>
      </c>
      <c r="G56" s="2143">
        <f t="shared" ref="G56:T56" si="20">G8-G32</f>
        <v>0</v>
      </c>
      <c r="H56" s="2143">
        <f t="shared" si="20"/>
        <v>0</v>
      </c>
      <c r="I56" s="2144"/>
      <c r="J56" s="2144"/>
      <c r="K56" s="2145"/>
      <c r="L56" s="2146">
        <f t="shared" si="20"/>
        <v>0</v>
      </c>
      <c r="M56" s="2146">
        <f t="shared" si="20"/>
        <v>0</v>
      </c>
      <c r="N56" s="2147">
        <f t="shared" si="20"/>
        <v>0</v>
      </c>
      <c r="O56" s="2146">
        <f t="shared" si="20"/>
        <v>1847.8061716489901</v>
      </c>
      <c r="P56" s="2146">
        <f t="shared" si="20"/>
        <v>558.96123216942397</v>
      </c>
      <c r="Q56" s="2148">
        <f t="shared" si="20"/>
        <v>383235</v>
      </c>
      <c r="R56" s="2146">
        <f t="shared" si="20"/>
        <v>126.56702025072309</v>
      </c>
      <c r="S56" s="2146">
        <f t="shared" si="20"/>
        <v>38.286514395729341</v>
      </c>
      <c r="T56" s="2155">
        <f t="shared" si="20"/>
        <v>26250</v>
      </c>
      <c r="U56" s="2149"/>
      <c r="V56" s="2150"/>
      <c r="W56" s="2151"/>
      <c r="X56" s="2149"/>
      <c r="Y56" s="2150"/>
      <c r="Z56" s="2151"/>
      <c r="AA56" s="2152"/>
    </row>
    <row r="57" spans="3:27" ht="11.25" customHeight="1">
      <c r="C57" s="2140" t="s">
        <v>1180</v>
      </c>
      <c r="D57" s="2141">
        <v>8</v>
      </c>
      <c r="E57" s="2154" t="s">
        <v>1186</v>
      </c>
      <c r="F57" s="2156" t="s">
        <v>1185</v>
      </c>
      <c r="G57" s="2157">
        <f t="shared" ref="G57:T57" si="21">G9-G33</f>
        <v>0</v>
      </c>
      <c r="H57" s="2157">
        <f t="shared" si="21"/>
        <v>0</v>
      </c>
      <c r="I57" s="2158"/>
      <c r="J57" s="2158"/>
      <c r="K57" s="2143"/>
      <c r="L57" s="2146">
        <f t="shared" si="21"/>
        <v>0</v>
      </c>
      <c r="M57" s="2146">
        <f t="shared" si="21"/>
        <v>0</v>
      </c>
      <c r="N57" s="2150">
        <f t="shared" si="21"/>
        <v>0</v>
      </c>
      <c r="O57" s="2146">
        <f t="shared" si="21"/>
        <v>0</v>
      </c>
      <c r="P57" s="2146">
        <f t="shared" si="21"/>
        <v>0</v>
      </c>
      <c r="Q57" s="2159">
        <f t="shared" si="21"/>
        <v>0</v>
      </c>
      <c r="R57" s="2146">
        <f t="shared" si="21"/>
        <v>0</v>
      </c>
      <c r="S57" s="2146">
        <f t="shared" si="21"/>
        <v>0</v>
      </c>
      <c r="T57" s="2159">
        <f t="shared" si="21"/>
        <v>0</v>
      </c>
      <c r="U57" s="2160"/>
      <c r="V57" s="2160"/>
      <c r="W57" s="2160"/>
      <c r="X57" s="2160"/>
      <c r="Y57" s="2160"/>
      <c r="Z57" s="2160"/>
      <c r="AA57" s="2161"/>
    </row>
    <row r="58" spans="3:27" ht="11.25" customHeight="1">
      <c r="C58" s="2140" t="s">
        <v>1180</v>
      </c>
      <c r="D58" s="2141">
        <v>8</v>
      </c>
      <c r="E58" s="2154" t="s">
        <v>1186</v>
      </c>
      <c r="F58" s="2156" t="s">
        <v>1188</v>
      </c>
      <c r="G58" s="2157">
        <f t="shared" ref="G58:T58" si="22">G10-G34</f>
        <v>0</v>
      </c>
      <c r="H58" s="2157">
        <f t="shared" si="22"/>
        <v>0</v>
      </c>
      <c r="I58" s="2158"/>
      <c r="J58" s="2158"/>
      <c r="K58" s="2143"/>
      <c r="L58" s="2146">
        <f t="shared" si="22"/>
        <v>0</v>
      </c>
      <c r="M58" s="2146">
        <f t="shared" si="22"/>
        <v>0</v>
      </c>
      <c r="N58" s="2150">
        <f t="shared" si="22"/>
        <v>0</v>
      </c>
      <c r="O58" s="2146">
        <f t="shared" si="22"/>
        <v>0</v>
      </c>
      <c r="P58" s="2146">
        <f t="shared" si="22"/>
        <v>0</v>
      </c>
      <c r="Q58" s="2159">
        <f t="shared" si="22"/>
        <v>0</v>
      </c>
      <c r="R58" s="2146">
        <f t="shared" si="22"/>
        <v>0</v>
      </c>
      <c r="S58" s="2146">
        <f t="shared" si="22"/>
        <v>0</v>
      </c>
      <c r="T58" s="2159">
        <f t="shared" si="22"/>
        <v>0</v>
      </c>
      <c r="U58" s="2160"/>
      <c r="V58" s="2160"/>
      <c r="W58" s="2160"/>
      <c r="X58" s="2160"/>
      <c r="Y58" s="2160"/>
      <c r="Z58" s="2160"/>
      <c r="AA58" s="2161"/>
    </row>
    <row r="59" spans="3:27" ht="11.25" customHeight="1">
      <c r="C59" s="2140" t="s">
        <v>1180</v>
      </c>
      <c r="D59" s="2141">
        <v>7</v>
      </c>
      <c r="E59" s="2153" t="s">
        <v>1263</v>
      </c>
      <c r="F59" s="2154" t="s">
        <v>1185</v>
      </c>
      <c r="G59" s="2143">
        <f t="shared" ref="G59:T59" si="23">G11-G35</f>
        <v>0</v>
      </c>
      <c r="H59" s="2143">
        <f t="shared" si="23"/>
        <v>0</v>
      </c>
      <c r="I59" s="2144"/>
      <c r="J59" s="2144"/>
      <c r="K59" s="2145"/>
      <c r="L59" s="2146">
        <f t="shared" si="23"/>
        <v>0</v>
      </c>
      <c r="M59" s="2146">
        <f t="shared" si="23"/>
        <v>0</v>
      </c>
      <c r="N59" s="2147">
        <f t="shared" si="23"/>
        <v>0</v>
      </c>
      <c r="O59" s="2146">
        <f t="shared" si="23"/>
        <v>3037.5001612466294</v>
      </c>
      <c r="P59" s="2146">
        <f t="shared" si="23"/>
        <v>918.84495817282368</v>
      </c>
      <c r="Q59" s="2148">
        <f t="shared" si="23"/>
        <v>4709401</v>
      </c>
      <c r="R59" s="2146">
        <f t="shared" si="23"/>
        <v>151.87562079952522</v>
      </c>
      <c r="S59" s="2146">
        <f t="shared" si="23"/>
        <v>45.94243326187609</v>
      </c>
      <c r="T59" s="2148">
        <f t="shared" si="23"/>
        <v>235471</v>
      </c>
      <c r="U59" s="2149"/>
      <c r="V59" s="2150"/>
      <c r="W59" s="2151"/>
      <c r="X59" s="2149"/>
      <c r="Y59" s="2150"/>
      <c r="Z59" s="2151"/>
      <c r="AA59" s="2152"/>
    </row>
    <row r="60" spans="3:27" ht="11.25" customHeight="1">
      <c r="C60" s="2140" t="s">
        <v>1180</v>
      </c>
      <c r="D60" s="2141">
        <v>6</v>
      </c>
      <c r="E60" s="2153" t="s">
        <v>1263</v>
      </c>
      <c r="F60" s="2154" t="s">
        <v>1185</v>
      </c>
      <c r="G60" s="2143">
        <f t="shared" ref="G60:T60" si="24">G12-G36</f>
        <v>0</v>
      </c>
      <c r="H60" s="2143">
        <f t="shared" si="24"/>
        <v>0</v>
      </c>
      <c r="I60" s="2144"/>
      <c r="J60" s="2144"/>
      <c r="K60" s="2145"/>
      <c r="L60" s="2146">
        <f t="shared" si="24"/>
        <v>0</v>
      </c>
      <c r="M60" s="2146">
        <f t="shared" si="24"/>
        <v>0</v>
      </c>
      <c r="N60" s="2147">
        <f t="shared" si="24"/>
        <v>0</v>
      </c>
      <c r="O60" s="2146">
        <f t="shared" si="24"/>
        <v>3037.4999428668089</v>
      </c>
      <c r="P60" s="2146">
        <f t="shared" si="24"/>
        <v>918.84480614733184</v>
      </c>
      <c r="Q60" s="2148">
        <f t="shared" si="24"/>
        <v>6645655</v>
      </c>
      <c r="R60" s="2146">
        <f t="shared" si="24"/>
        <v>151.87511140972765</v>
      </c>
      <c r="S60" s="2146">
        <f t="shared" si="24"/>
        <v>45.942274872988946</v>
      </c>
      <c r="T60" s="2148">
        <f t="shared" si="24"/>
        <v>332283</v>
      </c>
      <c r="U60" s="2149"/>
      <c r="V60" s="2150"/>
      <c r="W60" s="2151"/>
      <c r="X60" s="2149"/>
      <c r="Y60" s="2150"/>
      <c r="Z60" s="2151"/>
      <c r="AA60" s="2152"/>
    </row>
    <row r="61" spans="3:27" ht="11.25" customHeight="1">
      <c r="C61" s="2140" t="s">
        <v>1180</v>
      </c>
      <c r="D61" s="2141">
        <v>5</v>
      </c>
      <c r="E61" s="2153" t="s">
        <v>1263</v>
      </c>
      <c r="F61" s="2154" t="s">
        <v>1185</v>
      </c>
      <c r="G61" s="2143">
        <f t="shared" ref="G61:T61" si="25">G13-G37</f>
        <v>0</v>
      </c>
      <c r="H61" s="2143">
        <f t="shared" si="25"/>
        <v>0</v>
      </c>
      <c r="I61" s="2144"/>
      <c r="J61" s="2144"/>
      <c r="K61" s="2145"/>
      <c r="L61" s="2146">
        <f t="shared" si="25"/>
        <v>0</v>
      </c>
      <c r="M61" s="2146">
        <f t="shared" si="25"/>
        <v>0</v>
      </c>
      <c r="N61" s="2147">
        <f t="shared" si="25"/>
        <v>0</v>
      </c>
      <c r="O61" s="2146">
        <f t="shared" si="25"/>
        <v>3037.5002287743191</v>
      </c>
      <c r="P61" s="2146">
        <f t="shared" si="25"/>
        <v>918.84404380469277</v>
      </c>
      <c r="Q61" s="2148">
        <f t="shared" si="25"/>
        <v>6638639</v>
      </c>
      <c r="R61" s="2146">
        <f t="shared" si="25"/>
        <v>151.87503431614778</v>
      </c>
      <c r="S61" s="2146">
        <f t="shared" si="25"/>
        <v>45.942209110659405</v>
      </c>
      <c r="T61" s="2148">
        <f t="shared" si="25"/>
        <v>331932</v>
      </c>
      <c r="U61" s="2149"/>
      <c r="V61" s="2150"/>
      <c r="W61" s="2151"/>
      <c r="X61" s="2149"/>
      <c r="Y61" s="2150"/>
      <c r="Z61" s="2151"/>
      <c r="AA61" s="2152"/>
    </row>
    <row r="62" spans="3:27" ht="11.25" customHeight="1">
      <c r="C62" s="2140" t="s">
        <v>1180</v>
      </c>
      <c r="D62" s="2141">
        <v>4</v>
      </c>
      <c r="E62" s="2153" t="s">
        <v>1263</v>
      </c>
      <c r="F62" s="2154" t="s">
        <v>1185</v>
      </c>
      <c r="G62" s="2143">
        <f t="shared" ref="G62:T62" si="26">G14-G38</f>
        <v>0</v>
      </c>
      <c r="H62" s="2143">
        <f t="shared" si="26"/>
        <v>0</v>
      </c>
      <c r="I62" s="2144"/>
      <c r="J62" s="2144"/>
      <c r="K62" s="2145"/>
      <c r="L62" s="2146">
        <f t="shared" si="26"/>
        <v>0</v>
      </c>
      <c r="M62" s="2146">
        <f t="shared" si="26"/>
        <v>0</v>
      </c>
      <c r="N62" s="2147">
        <f t="shared" si="26"/>
        <v>0</v>
      </c>
      <c r="O62" s="2146">
        <f t="shared" si="26"/>
        <v>3037.5002287743191</v>
      </c>
      <c r="P62" s="2146">
        <f t="shared" si="26"/>
        <v>918.84404380469277</v>
      </c>
      <c r="Q62" s="2148">
        <f t="shared" si="26"/>
        <v>6638639</v>
      </c>
      <c r="R62" s="2146">
        <f t="shared" si="26"/>
        <v>151.87503431614778</v>
      </c>
      <c r="S62" s="2146">
        <f t="shared" si="26"/>
        <v>45.942209110659405</v>
      </c>
      <c r="T62" s="2148">
        <f t="shared" si="26"/>
        <v>331932</v>
      </c>
      <c r="U62" s="2149"/>
      <c r="V62" s="2150"/>
      <c r="W62" s="2151"/>
      <c r="X62" s="2149"/>
      <c r="Y62" s="2150"/>
      <c r="Z62" s="2151"/>
      <c r="AA62" s="2152"/>
    </row>
    <row r="63" spans="3:27" ht="11.25" customHeight="1">
      <c r="C63" s="2140" t="s">
        <v>1180</v>
      </c>
      <c r="D63" s="2141">
        <v>3</v>
      </c>
      <c r="E63" s="2153" t="s">
        <v>1264</v>
      </c>
      <c r="F63" s="2154" t="s">
        <v>1185</v>
      </c>
      <c r="G63" s="2143">
        <f t="shared" ref="G63:T63" si="27">G15-G39</f>
        <v>0</v>
      </c>
      <c r="H63" s="2143">
        <f t="shared" si="27"/>
        <v>0</v>
      </c>
      <c r="I63" s="2144"/>
      <c r="J63" s="2144"/>
      <c r="K63" s="2145"/>
      <c r="L63" s="2146">
        <f t="shared" si="27"/>
        <v>0</v>
      </c>
      <c r="M63" s="2146">
        <f t="shared" si="27"/>
        <v>0</v>
      </c>
      <c r="N63" s="2147">
        <f t="shared" si="27"/>
        <v>0</v>
      </c>
      <c r="O63" s="2146">
        <f t="shared" si="27"/>
        <v>0</v>
      </c>
      <c r="P63" s="2146">
        <f t="shared" si="27"/>
        <v>0</v>
      </c>
      <c r="Q63" s="2148">
        <f t="shared" si="27"/>
        <v>0</v>
      </c>
      <c r="R63" s="2146">
        <f t="shared" si="27"/>
        <v>0</v>
      </c>
      <c r="S63" s="2146">
        <f t="shared" si="27"/>
        <v>0</v>
      </c>
      <c r="T63" s="2148">
        <f t="shared" si="27"/>
        <v>0</v>
      </c>
      <c r="U63" s="2149"/>
      <c r="V63" s="2149"/>
      <c r="W63" s="2149"/>
      <c r="X63" s="2149"/>
      <c r="Y63" s="2149"/>
      <c r="Z63" s="2149"/>
      <c r="AA63" s="2162"/>
    </row>
    <row r="64" spans="3:27" ht="11.25" customHeight="1">
      <c r="C64" s="2140" t="s">
        <v>1180</v>
      </c>
      <c r="D64" s="2141">
        <v>2</v>
      </c>
      <c r="E64" s="2153" t="s">
        <v>1263</v>
      </c>
      <c r="F64" s="2154" t="s">
        <v>1185</v>
      </c>
      <c r="G64" s="2143">
        <f t="shared" ref="G64:T64" si="28">G16-G40</f>
        <v>0</v>
      </c>
      <c r="H64" s="2143">
        <f t="shared" si="28"/>
        <v>0</v>
      </c>
      <c r="I64" s="2144"/>
      <c r="J64" s="2144"/>
      <c r="K64" s="2145"/>
      <c r="L64" s="2146">
        <f t="shared" si="28"/>
        <v>0</v>
      </c>
      <c r="M64" s="2146">
        <f t="shared" si="28"/>
        <v>0</v>
      </c>
      <c r="N64" s="2147">
        <f t="shared" si="28"/>
        <v>0</v>
      </c>
      <c r="O64" s="2146">
        <f t="shared" si="28"/>
        <v>1500</v>
      </c>
      <c r="P64" s="2146">
        <f t="shared" si="28"/>
        <v>453.75011091379929</v>
      </c>
      <c r="Q64" s="2148">
        <f t="shared" si="28"/>
        <v>3278340</v>
      </c>
      <c r="R64" s="2146">
        <f t="shared" si="28"/>
        <v>75</v>
      </c>
      <c r="S64" s="2146">
        <f t="shared" si="28"/>
        <v>22.687505545689987</v>
      </c>
      <c r="T64" s="2148">
        <f t="shared" si="28"/>
        <v>163917</v>
      </c>
      <c r="U64" s="2149"/>
      <c r="V64" s="2150"/>
      <c r="W64" s="2151"/>
      <c r="X64" s="2149"/>
      <c r="Y64" s="2150"/>
      <c r="Z64" s="2151"/>
      <c r="AA64" s="2152"/>
    </row>
    <row r="65" spans="3:27" ht="11.25" customHeight="1">
      <c r="C65" s="2140" t="s">
        <v>1180</v>
      </c>
      <c r="D65" s="2141">
        <v>1</v>
      </c>
      <c r="E65" s="2163" t="s">
        <v>1190</v>
      </c>
      <c r="F65" s="2154" t="s">
        <v>1185</v>
      </c>
      <c r="G65" s="2143">
        <f t="shared" ref="G65:T65" si="29">G17-G41</f>
        <v>0</v>
      </c>
      <c r="H65" s="2143">
        <f t="shared" si="29"/>
        <v>0</v>
      </c>
      <c r="I65" s="2144"/>
      <c r="J65" s="2144"/>
      <c r="K65" s="2145"/>
      <c r="L65" s="2146">
        <f t="shared" si="29"/>
        <v>0</v>
      </c>
      <c r="M65" s="2146">
        <f t="shared" si="29"/>
        <v>0</v>
      </c>
      <c r="N65" s="2147">
        <f t="shared" si="29"/>
        <v>0</v>
      </c>
      <c r="O65" s="2146">
        <f t="shared" si="29"/>
        <v>1499.9935952568339</v>
      </c>
      <c r="P65" s="2146">
        <f t="shared" si="29"/>
        <v>453.74960898892823</v>
      </c>
      <c r="Q65" s="2148">
        <f t="shared" si="29"/>
        <v>1639403</v>
      </c>
      <c r="R65" s="2146">
        <f t="shared" si="29"/>
        <v>74.999542518345152</v>
      </c>
      <c r="S65" s="2146">
        <f t="shared" si="29"/>
        <v>22.687438932844771</v>
      </c>
      <c r="T65" s="2148">
        <f t="shared" si="29"/>
        <v>81970</v>
      </c>
      <c r="U65" s="2149"/>
      <c r="V65" s="2150"/>
      <c r="W65" s="2151"/>
      <c r="X65" s="2149"/>
      <c r="Y65" s="2150"/>
      <c r="Z65" s="2151"/>
      <c r="AA65" s="2152"/>
    </row>
    <row r="66" spans="3:27" ht="11.25" customHeight="1">
      <c r="C66" s="2140" t="s">
        <v>1180</v>
      </c>
      <c r="D66" s="2141">
        <v>1</v>
      </c>
      <c r="E66" s="2163" t="s">
        <v>1191</v>
      </c>
      <c r="F66" s="2154" t="s">
        <v>1185</v>
      </c>
      <c r="G66" s="2143">
        <f t="shared" ref="G66:T66" si="30">G18-G42</f>
        <v>0</v>
      </c>
      <c r="H66" s="2143">
        <f t="shared" si="30"/>
        <v>0</v>
      </c>
      <c r="I66" s="2144"/>
      <c r="J66" s="2144"/>
      <c r="K66" s="2145"/>
      <c r="L66" s="2146">
        <f t="shared" si="30"/>
        <v>0</v>
      </c>
      <c r="M66" s="2146">
        <f t="shared" si="30"/>
        <v>0</v>
      </c>
      <c r="N66" s="2147">
        <f t="shared" si="30"/>
        <v>0</v>
      </c>
      <c r="O66" s="2146">
        <f t="shared" si="30"/>
        <v>1500</v>
      </c>
      <c r="P66" s="2146">
        <f t="shared" si="30"/>
        <v>453.74837018012477</v>
      </c>
      <c r="Q66" s="2148">
        <f t="shared" si="30"/>
        <v>1284075</v>
      </c>
      <c r="R66" s="2146">
        <f t="shared" si="30"/>
        <v>75.000292039016585</v>
      </c>
      <c r="S66" s="2146">
        <f t="shared" si="30"/>
        <v>22.687506850491445</v>
      </c>
      <c r="T66" s="2148">
        <f t="shared" si="30"/>
        <v>64204</v>
      </c>
      <c r="U66" s="2149"/>
      <c r="V66" s="2150"/>
      <c r="W66" s="2151"/>
      <c r="X66" s="2149"/>
      <c r="Y66" s="2150"/>
      <c r="Z66" s="2151"/>
      <c r="AA66" s="2152"/>
    </row>
    <row r="67" spans="3:27" ht="11.25" customHeight="1">
      <c r="C67" s="2140" t="s">
        <v>1180</v>
      </c>
      <c r="D67" s="2141">
        <v>1</v>
      </c>
      <c r="E67" s="2153" t="s">
        <v>1265</v>
      </c>
      <c r="F67" s="2154" t="s">
        <v>1193</v>
      </c>
      <c r="G67" s="2143">
        <f t="shared" ref="G67:T67" si="31">G19-G43</f>
        <v>17.29</v>
      </c>
      <c r="H67" s="2143">
        <f t="shared" si="31"/>
        <v>57.15</v>
      </c>
      <c r="I67" s="2144"/>
      <c r="J67" s="2144"/>
      <c r="K67" s="2145"/>
      <c r="L67" s="2146">
        <f t="shared" si="31"/>
        <v>360000</v>
      </c>
      <c r="M67" s="2146">
        <f t="shared" si="31"/>
        <v>108913.38582677166</v>
      </c>
      <c r="N67" s="2147">
        <f t="shared" si="31"/>
        <v>6224400</v>
      </c>
      <c r="O67" s="2146">
        <f t="shared" si="31"/>
        <v>61500</v>
      </c>
      <c r="P67" s="2146">
        <f t="shared" si="31"/>
        <v>18606.036745406826</v>
      </c>
      <c r="Q67" s="2148">
        <f t="shared" si="31"/>
        <v>1063335</v>
      </c>
      <c r="R67" s="2146">
        <f t="shared" si="31"/>
        <v>3075.0144592249858</v>
      </c>
      <c r="S67" s="2146">
        <f t="shared" si="31"/>
        <v>930.3062117235346</v>
      </c>
      <c r="T67" s="2148">
        <f t="shared" si="31"/>
        <v>53167</v>
      </c>
      <c r="U67" s="2149"/>
      <c r="V67" s="2150"/>
      <c r="W67" s="2151"/>
      <c r="X67" s="2149"/>
      <c r="Y67" s="2150"/>
      <c r="Z67" s="2151"/>
      <c r="AA67" s="2152"/>
    </row>
    <row r="68" spans="3:27" ht="11.25" customHeight="1">
      <c r="C68" s="2140" t="s">
        <v>1180</v>
      </c>
      <c r="D68" s="2164">
        <v>1</v>
      </c>
      <c r="E68" s="2156" t="s">
        <v>1186</v>
      </c>
      <c r="F68" s="2154" t="s">
        <v>1193</v>
      </c>
      <c r="G68" s="2157">
        <f t="shared" ref="G68:T68" si="32">G20-G44</f>
        <v>-17.289999999999992</v>
      </c>
      <c r="H68" s="2157">
        <f t="shared" si="32"/>
        <v>-57.149999999999977</v>
      </c>
      <c r="I68" s="2158"/>
      <c r="J68" s="2158"/>
      <c r="K68" s="2143"/>
      <c r="L68" s="2146">
        <f t="shared" si="32"/>
        <v>0</v>
      </c>
      <c r="M68" s="2146">
        <f t="shared" si="32"/>
        <v>0</v>
      </c>
      <c r="N68" s="2150">
        <f t="shared" si="32"/>
        <v>0</v>
      </c>
      <c r="O68" s="2146">
        <f t="shared" si="32"/>
        <v>0</v>
      </c>
      <c r="P68" s="2146">
        <f t="shared" si="32"/>
        <v>0</v>
      </c>
      <c r="Q68" s="2159">
        <f t="shared" si="32"/>
        <v>0</v>
      </c>
      <c r="R68" s="2146">
        <f t="shared" si="32"/>
        <v>0</v>
      </c>
      <c r="S68" s="2146">
        <f t="shared" si="32"/>
        <v>0</v>
      </c>
      <c r="T68" s="2159">
        <f t="shared" si="32"/>
        <v>0</v>
      </c>
      <c r="U68" s="2160"/>
      <c r="V68" s="2160"/>
      <c r="W68" s="2160"/>
      <c r="X68" s="2160"/>
      <c r="Y68" s="2160"/>
      <c r="Z68" s="2160"/>
      <c r="AA68" s="2161"/>
    </row>
    <row r="69" spans="3:27" ht="11.25" customHeight="1">
      <c r="C69" s="2140" t="s">
        <v>1180</v>
      </c>
      <c r="D69" s="2141" t="s">
        <v>1194</v>
      </c>
      <c r="E69" s="2153" t="s">
        <v>1266</v>
      </c>
      <c r="F69" s="2154" t="s">
        <v>1185</v>
      </c>
      <c r="G69" s="2143">
        <f t="shared" ref="G69:T69" si="33">G21-G45</f>
        <v>0</v>
      </c>
      <c r="H69" s="2143">
        <f t="shared" si="33"/>
        <v>0</v>
      </c>
      <c r="I69" s="2144"/>
      <c r="J69" s="2144"/>
      <c r="K69" s="2145"/>
      <c r="L69" s="2146">
        <f t="shared" si="33"/>
        <v>0</v>
      </c>
      <c r="M69" s="2146">
        <f t="shared" si="33"/>
        <v>0</v>
      </c>
      <c r="N69" s="2150">
        <f t="shared" si="33"/>
        <v>0</v>
      </c>
      <c r="O69" s="2146">
        <f t="shared" si="33"/>
        <v>1499.9999999999927</v>
      </c>
      <c r="P69" s="2146">
        <f t="shared" si="33"/>
        <v>453.74928587775139</v>
      </c>
      <c r="Q69" s="2155">
        <f t="shared" si="33"/>
        <v>4117980</v>
      </c>
      <c r="R69" s="2146">
        <f t="shared" si="33"/>
        <v>75.098349190622685</v>
      </c>
      <c r="S69" s="2146">
        <f t="shared" si="33"/>
        <v>22.717214877228685</v>
      </c>
      <c r="T69" s="2155">
        <f t="shared" si="33"/>
        <v>206169</v>
      </c>
      <c r="U69" s="2149"/>
      <c r="V69" s="2150"/>
      <c r="W69" s="2151"/>
      <c r="X69" s="2149"/>
      <c r="Y69" s="2150"/>
      <c r="Z69" s="2151"/>
      <c r="AA69" s="2165"/>
    </row>
    <row r="70" spans="3:27" ht="11.25" customHeight="1">
      <c r="C70" s="2140" t="s">
        <v>1180</v>
      </c>
      <c r="D70" s="2164" t="s">
        <v>1196</v>
      </c>
      <c r="E70" s="2166" t="s">
        <v>1197</v>
      </c>
      <c r="F70" s="2154" t="s">
        <v>1185</v>
      </c>
      <c r="G70" s="2157">
        <f t="shared" ref="G70:T70" si="34">G22-G46</f>
        <v>0</v>
      </c>
      <c r="H70" s="2157">
        <f t="shared" si="34"/>
        <v>0</v>
      </c>
      <c r="I70" s="2158"/>
      <c r="J70" s="2158"/>
      <c r="K70" s="2145"/>
      <c r="L70" s="2146">
        <f t="shared" si="34"/>
        <v>0</v>
      </c>
      <c r="M70" s="2146">
        <f t="shared" si="34"/>
        <v>0</v>
      </c>
      <c r="N70" s="2150">
        <f t="shared" si="34"/>
        <v>0</v>
      </c>
      <c r="O70" s="2146">
        <f t="shared" si="34"/>
        <v>0</v>
      </c>
      <c r="P70" s="2146">
        <f t="shared" si="34"/>
        <v>0</v>
      </c>
      <c r="Q70" s="2159">
        <f t="shared" si="34"/>
        <v>0</v>
      </c>
      <c r="R70" s="2146">
        <f t="shared" si="34"/>
        <v>0</v>
      </c>
      <c r="S70" s="2146">
        <f t="shared" si="34"/>
        <v>0</v>
      </c>
      <c r="T70" s="2159">
        <f t="shared" si="34"/>
        <v>0</v>
      </c>
      <c r="U70" s="2149"/>
      <c r="V70" s="2150"/>
      <c r="W70" s="2151"/>
      <c r="X70" s="2149"/>
      <c r="Y70" s="2150"/>
      <c r="Z70" s="2151"/>
      <c r="AA70" s="2165"/>
    </row>
    <row r="71" spans="3:27" ht="11.25" customHeight="1">
      <c r="C71" s="3162" t="s">
        <v>1198</v>
      </c>
      <c r="D71" s="3162"/>
      <c r="E71" s="3162"/>
      <c r="F71" s="3162"/>
      <c r="G71" s="2167">
        <f>+SUM(G55:G70)</f>
        <v>9.9999999999980105E-3</v>
      </c>
      <c r="H71" s="2167">
        <f>+SUM(H55:H70)</f>
        <v>2.1316282072803006E-14</v>
      </c>
      <c r="I71" s="2168"/>
      <c r="J71" s="2168"/>
      <c r="K71" s="2169">
        <f>+SUMPRODUCT(K55:K70,G55:G70)/SUM(G69:G70,G59:G67,G55:G56)</f>
        <v>0</v>
      </c>
      <c r="L71" s="2168">
        <f>+N71/G71</f>
        <v>622440000.00012386</v>
      </c>
      <c r="M71" s="2168">
        <f>+N71/H71</f>
        <v>2.9200214083963453E+20</v>
      </c>
      <c r="N71" s="2168">
        <f>+SUM(N55:N70)</f>
        <v>6224400</v>
      </c>
      <c r="O71" s="2168">
        <f>+Q71/G71</f>
        <v>3687808900.0007339</v>
      </c>
      <c r="P71" s="2168">
        <f>+Q71/H71</f>
        <v>1.7300432070680833E+21</v>
      </c>
      <c r="Q71" s="2168">
        <f>+SUM(Q55:Q70)</f>
        <v>36878089</v>
      </c>
      <c r="R71" s="2168">
        <f>+T71/G71</f>
        <v>186324900.00003707</v>
      </c>
      <c r="S71" s="2168">
        <f>T71/H71</f>
        <v>8.740966148019218E+19</v>
      </c>
      <c r="T71" s="2168">
        <f>+SUM(T55:T70)</f>
        <v>1863249</v>
      </c>
      <c r="U71" s="2168"/>
      <c r="V71" s="2168"/>
      <c r="W71" s="2168"/>
      <c r="X71" s="2168"/>
      <c r="Y71" s="2168"/>
      <c r="Z71" s="2168"/>
      <c r="AA71" s="2168"/>
    </row>
    <row r="72" spans="3:27" ht="11.25" customHeight="1" collapsed="1"/>
    <row r="76" spans="3:27" ht="11.25" customHeight="1">
      <c r="D76" s="1977" t="s">
        <v>1200</v>
      </c>
    </row>
    <row r="77" spans="3:27" ht="11.25" customHeight="1">
      <c r="D77" s="6" t="s">
        <v>24</v>
      </c>
      <c r="E77" s="61" t="s">
        <v>632</v>
      </c>
      <c r="F77" s="61" t="s">
        <v>1199</v>
      </c>
      <c r="G77" s="61" t="s">
        <v>113</v>
      </c>
      <c r="H77" s="61" t="s">
        <v>30</v>
      </c>
      <c r="I77" s="61" t="s">
        <v>31</v>
      </c>
      <c r="J77" s="61" t="s">
        <v>32</v>
      </c>
      <c r="K77" s="61" t="s">
        <v>478</v>
      </c>
      <c r="L77" s="61" t="s">
        <v>479</v>
      </c>
      <c r="M77" s="61" t="s">
        <v>480</v>
      </c>
      <c r="N77" s="61" t="s">
        <v>36</v>
      </c>
      <c r="O77" s="685" t="s">
        <v>656</v>
      </c>
    </row>
    <row r="78" spans="3:27" ht="11.25" customHeight="1">
      <c r="D78" s="684">
        <f>D7</f>
        <v>8</v>
      </c>
      <c r="E78" s="689" t="str">
        <f>E7</f>
        <v>키즈밀
KIZMEAL</v>
      </c>
      <c r="F78" s="689" t="str">
        <f>F7</f>
        <v>Office
Dry
Retail</v>
      </c>
      <c r="G78" s="23">
        <f>G7</f>
        <v>479.39</v>
      </c>
      <c r="H78" s="24">
        <f>I7</f>
        <v>45658</v>
      </c>
      <c r="I78" s="24">
        <f>J7</f>
        <v>47483</v>
      </c>
      <c r="J78" s="680">
        <f t="shared" ref="J78:J93" si="35">IF(ISNUMBER(I7),DATEDIF(I7,J7,"m"),"-")</f>
        <v>59</v>
      </c>
      <c r="K78" s="868">
        <f t="shared" ref="K78:K93" si="36">O7</f>
        <v>40999.732994013226</v>
      </c>
      <c r="L78" s="868">
        <f t="shared" ref="L78:L93" si="37">R7</f>
        <v>3074.9807046454871</v>
      </c>
      <c r="M78" s="868">
        <f t="shared" ref="M78:M93" si="38">L7</f>
        <v>208598.42716785916</v>
      </c>
      <c r="N78" s="25">
        <f t="shared" ref="N78:N93" si="39">U7</f>
        <v>2.5000000000000001E-2</v>
      </c>
      <c r="O78" s="1200">
        <f t="shared" ref="O78:O93" si="40">AA7</f>
        <v>8</v>
      </c>
      <c r="P78" s="2029">
        <f>M78*G78</f>
        <v>100000000</v>
      </c>
    </row>
    <row r="79" spans="3:27" ht="11.25" customHeight="1">
      <c r="D79" s="684">
        <f t="shared" ref="D79:G79" si="41">D8</f>
        <v>8</v>
      </c>
      <c r="E79" s="689" t="str">
        <f t="shared" si="41"/>
        <v>쿠팡
Coupang</v>
      </c>
      <c r="F79" s="689" t="str">
        <f t="shared" si="41"/>
        <v>Dry</v>
      </c>
      <c r="G79" s="23">
        <f t="shared" si="41"/>
        <v>207.4</v>
      </c>
      <c r="H79" s="24">
        <f t="shared" ref="H79:I79" si="42">I8</f>
        <v>45413</v>
      </c>
      <c r="I79" s="24">
        <f t="shared" si="42"/>
        <v>49064</v>
      </c>
      <c r="J79" s="680">
        <f t="shared" si="35"/>
        <v>119</v>
      </c>
      <c r="K79" s="868">
        <f t="shared" si="36"/>
        <v>38347.651880424302</v>
      </c>
      <c r="L79" s="868">
        <f t="shared" si="37"/>
        <v>2626.5573770491801</v>
      </c>
      <c r="M79" s="868">
        <f t="shared" si="38"/>
        <v>218999.07425265189</v>
      </c>
      <c r="N79" s="25">
        <f t="shared" si="39"/>
        <v>2.5000000000000001E-2</v>
      </c>
      <c r="O79" s="1200">
        <f t="shared" si="40"/>
        <v>5</v>
      </c>
      <c r="P79" s="2029">
        <f t="shared" ref="P79:P93" si="43">M79*G79</f>
        <v>45420408</v>
      </c>
    </row>
    <row r="80" spans="3:27" ht="11.25" customHeight="1">
      <c r="D80" s="684">
        <f t="shared" ref="D80:G80" si="44">D9</f>
        <v>8</v>
      </c>
      <c r="E80" s="689" t="str">
        <f t="shared" si="44"/>
        <v>Vacant</v>
      </c>
      <c r="F80" s="689" t="str">
        <f t="shared" si="44"/>
        <v>Dry</v>
      </c>
      <c r="G80" s="23">
        <f t="shared" si="44"/>
        <v>63.86</v>
      </c>
      <c r="H80" s="24" t="str">
        <f t="shared" ref="H80:I80" si="45">I9</f>
        <v>-</v>
      </c>
      <c r="I80" s="24" t="str">
        <f t="shared" si="45"/>
        <v>-</v>
      </c>
      <c r="J80" s="680" t="str">
        <f t="shared" si="35"/>
        <v>-</v>
      </c>
      <c r="K80" s="868">
        <f t="shared" si="36"/>
        <v>0</v>
      </c>
      <c r="L80" s="868">
        <f t="shared" si="37"/>
        <v>0</v>
      </c>
      <c r="M80" s="868">
        <f t="shared" si="38"/>
        <v>0</v>
      </c>
      <c r="N80" s="25" t="str">
        <f t="shared" si="39"/>
        <v>-</v>
      </c>
      <c r="O80" s="1200" t="str">
        <f t="shared" si="40"/>
        <v>-</v>
      </c>
      <c r="P80" s="2029">
        <f t="shared" si="43"/>
        <v>0</v>
      </c>
    </row>
    <row r="81" spans="4:16" ht="11.25" customHeight="1">
      <c r="D81" s="684">
        <f t="shared" ref="D81:G81" si="46">D10</f>
        <v>8</v>
      </c>
      <c r="E81" s="689" t="str">
        <f t="shared" si="46"/>
        <v>Vacant</v>
      </c>
      <c r="F81" s="689" t="str">
        <f t="shared" si="46"/>
        <v>Office</v>
      </c>
      <c r="G81" s="23">
        <f t="shared" si="46"/>
        <v>78.09</v>
      </c>
      <c r="H81" s="24" t="str">
        <f t="shared" ref="H81:I81" si="47">I10</f>
        <v>-</v>
      </c>
      <c r="I81" s="24" t="str">
        <f t="shared" si="47"/>
        <v>-</v>
      </c>
      <c r="J81" s="680" t="str">
        <f t="shared" si="35"/>
        <v>-</v>
      </c>
      <c r="K81" s="868">
        <f t="shared" si="36"/>
        <v>0</v>
      </c>
      <c r="L81" s="868">
        <f t="shared" si="37"/>
        <v>0</v>
      </c>
      <c r="M81" s="868">
        <f t="shared" si="38"/>
        <v>0</v>
      </c>
      <c r="N81" s="25" t="str">
        <f t="shared" si="39"/>
        <v>-</v>
      </c>
      <c r="O81" s="1200" t="str">
        <f t="shared" si="40"/>
        <v>-</v>
      </c>
      <c r="P81" s="2029">
        <f t="shared" si="43"/>
        <v>0</v>
      </c>
    </row>
    <row r="82" spans="4:16" ht="11.25" customHeight="1">
      <c r="D82" s="684">
        <f t="shared" ref="D82:G82" si="48">D11</f>
        <v>7</v>
      </c>
      <c r="E82" s="689" t="str">
        <f t="shared" si="48"/>
        <v>쿠팡
Coupang</v>
      </c>
      <c r="F82" s="689" t="str">
        <f t="shared" si="48"/>
        <v>Dry</v>
      </c>
      <c r="G82" s="23">
        <f t="shared" si="48"/>
        <v>1550.42</v>
      </c>
      <c r="H82" s="24">
        <f t="shared" ref="H82:I82" si="49">I11</f>
        <v>45323</v>
      </c>
      <c r="I82" s="24">
        <f t="shared" si="49"/>
        <v>49064</v>
      </c>
      <c r="J82" s="680">
        <f t="shared" si="35"/>
        <v>122</v>
      </c>
      <c r="K82" s="868">
        <f t="shared" si="36"/>
        <v>63037.500161246629</v>
      </c>
      <c r="L82" s="868">
        <f t="shared" si="37"/>
        <v>3151.8756207995252</v>
      </c>
      <c r="M82" s="868">
        <f t="shared" si="38"/>
        <v>360000</v>
      </c>
      <c r="N82" s="25">
        <f t="shared" si="39"/>
        <v>2.5000000000000001E-2</v>
      </c>
      <c r="O82" s="1200">
        <f t="shared" si="40"/>
        <v>5</v>
      </c>
      <c r="P82" s="2029">
        <f t="shared" si="43"/>
        <v>558151200</v>
      </c>
    </row>
    <row r="83" spans="4:16" ht="11.25" customHeight="1">
      <c r="D83" s="684">
        <f t="shared" ref="D83:G83" si="50">D12</f>
        <v>6</v>
      </c>
      <c r="E83" s="689" t="str">
        <f t="shared" si="50"/>
        <v>쿠팡
Coupang</v>
      </c>
      <c r="F83" s="689" t="str">
        <f t="shared" si="50"/>
        <v>Dry</v>
      </c>
      <c r="G83" s="23">
        <f t="shared" si="50"/>
        <v>2187.87</v>
      </c>
      <c r="H83" s="24">
        <f t="shared" ref="H83:I83" si="51">I12</f>
        <v>45323</v>
      </c>
      <c r="I83" s="24">
        <f t="shared" si="51"/>
        <v>49064</v>
      </c>
      <c r="J83" s="680">
        <f t="shared" si="35"/>
        <v>122</v>
      </c>
      <c r="K83" s="868">
        <f t="shared" si="36"/>
        <v>63037.499942866809</v>
      </c>
      <c r="L83" s="868">
        <f t="shared" si="37"/>
        <v>3151.8751114097277</v>
      </c>
      <c r="M83" s="868">
        <f t="shared" si="38"/>
        <v>360000</v>
      </c>
      <c r="N83" s="25">
        <f t="shared" si="39"/>
        <v>2.5000000000000001E-2</v>
      </c>
      <c r="O83" s="1200">
        <f t="shared" si="40"/>
        <v>5</v>
      </c>
      <c r="P83" s="2029">
        <f t="shared" si="43"/>
        <v>787633200</v>
      </c>
    </row>
    <row r="84" spans="4:16" ht="11.25" customHeight="1">
      <c r="D84" s="684">
        <f t="shared" ref="D84:G84" si="52">D13</f>
        <v>5</v>
      </c>
      <c r="E84" s="689" t="str">
        <f t="shared" si="52"/>
        <v>쿠팡
Coupang</v>
      </c>
      <c r="F84" s="689" t="str">
        <f t="shared" si="52"/>
        <v>Dry</v>
      </c>
      <c r="G84" s="23">
        <f t="shared" si="52"/>
        <v>2185.56</v>
      </c>
      <c r="H84" s="24">
        <f t="shared" ref="H84:I84" si="53">I13</f>
        <v>45323</v>
      </c>
      <c r="I84" s="24">
        <f t="shared" si="53"/>
        <v>49064</v>
      </c>
      <c r="J84" s="680">
        <f t="shared" si="35"/>
        <v>122</v>
      </c>
      <c r="K84" s="868">
        <f t="shared" si="36"/>
        <v>63037.500228774319</v>
      </c>
      <c r="L84" s="868">
        <f t="shared" si="37"/>
        <v>3151.8750343161478</v>
      </c>
      <c r="M84" s="868">
        <f t="shared" si="38"/>
        <v>360000</v>
      </c>
      <c r="N84" s="25">
        <f t="shared" si="39"/>
        <v>2.5000000000000001E-2</v>
      </c>
      <c r="O84" s="1200">
        <f t="shared" si="40"/>
        <v>5</v>
      </c>
      <c r="P84" s="2029">
        <f t="shared" si="43"/>
        <v>786801600</v>
      </c>
    </row>
    <row r="85" spans="4:16" ht="11.25" customHeight="1">
      <c r="D85" s="684">
        <f t="shared" ref="D85:G85" si="54">D14</f>
        <v>4</v>
      </c>
      <c r="E85" s="689" t="str">
        <f t="shared" si="54"/>
        <v>쿠팡
Coupang</v>
      </c>
      <c r="F85" s="689" t="str">
        <f t="shared" si="54"/>
        <v>Dry</v>
      </c>
      <c r="G85" s="23">
        <f t="shared" si="54"/>
        <v>2185.56</v>
      </c>
      <c r="H85" s="24">
        <f t="shared" ref="H85:I85" si="55">I14</f>
        <v>45413</v>
      </c>
      <c r="I85" s="24">
        <f t="shared" si="55"/>
        <v>49064</v>
      </c>
      <c r="J85" s="680">
        <f t="shared" si="35"/>
        <v>119</v>
      </c>
      <c r="K85" s="868">
        <f t="shared" si="36"/>
        <v>63037.500228774319</v>
      </c>
      <c r="L85" s="868">
        <f t="shared" si="37"/>
        <v>3151.8750343161478</v>
      </c>
      <c r="M85" s="868">
        <f t="shared" si="38"/>
        <v>360000</v>
      </c>
      <c r="N85" s="25">
        <f t="shared" si="39"/>
        <v>2.5000000000000001E-2</v>
      </c>
      <c r="O85" s="1200">
        <f t="shared" si="40"/>
        <v>5</v>
      </c>
      <c r="P85" s="2029">
        <f t="shared" si="43"/>
        <v>786801600</v>
      </c>
    </row>
    <row r="86" spans="4:16" ht="11.25" customHeight="1">
      <c r="D86" s="684">
        <f t="shared" ref="D86:G86" si="56">D15</f>
        <v>3</v>
      </c>
      <c r="E86" s="689" t="str">
        <f t="shared" si="56"/>
        <v>농심
Nongshim</v>
      </c>
      <c r="F86" s="689" t="str">
        <f t="shared" si="56"/>
        <v>Dry</v>
      </c>
      <c r="G86" s="23">
        <f t="shared" si="56"/>
        <v>2185.56</v>
      </c>
      <c r="H86" s="24">
        <f t="shared" ref="H86:I86" si="57">I15</f>
        <v>45503</v>
      </c>
      <c r="I86" s="24">
        <f t="shared" si="57"/>
        <v>47328</v>
      </c>
      <c r="J86" s="680">
        <f t="shared" si="35"/>
        <v>59</v>
      </c>
      <c r="K86" s="868">
        <f t="shared" si="36"/>
        <v>48999.798678599538</v>
      </c>
      <c r="L86" s="868">
        <f t="shared" si="37"/>
        <v>2999.6888669265545</v>
      </c>
      <c r="M86" s="868">
        <f t="shared" si="38"/>
        <v>293998.79207159724</v>
      </c>
      <c r="N86" s="25">
        <f t="shared" si="39"/>
        <v>0</v>
      </c>
      <c r="O86" s="1200" t="str">
        <f t="shared" si="40"/>
        <v>-</v>
      </c>
      <c r="P86" s="2029">
        <f t="shared" si="43"/>
        <v>642552000</v>
      </c>
    </row>
    <row r="87" spans="4:16" ht="11.25" customHeight="1">
      <c r="D87" s="684">
        <f t="shared" ref="D87:G87" si="58">D16</f>
        <v>2</v>
      </c>
      <c r="E87" s="689" t="str">
        <f t="shared" si="58"/>
        <v>쿠팡
Coupang</v>
      </c>
      <c r="F87" s="689" t="str">
        <f t="shared" si="58"/>
        <v>Dry</v>
      </c>
      <c r="G87" s="23">
        <f t="shared" si="58"/>
        <v>2185.56</v>
      </c>
      <c r="H87" s="24">
        <f t="shared" ref="H87:I87" si="59">I16</f>
        <v>45658</v>
      </c>
      <c r="I87" s="24">
        <f t="shared" si="59"/>
        <v>49064</v>
      </c>
      <c r="J87" s="680">
        <f t="shared" si="35"/>
        <v>111</v>
      </c>
      <c r="K87" s="868">
        <f t="shared" si="36"/>
        <v>61500</v>
      </c>
      <c r="L87" s="868">
        <f t="shared" si="37"/>
        <v>3075</v>
      </c>
      <c r="M87" s="868">
        <f t="shared" si="38"/>
        <v>360000</v>
      </c>
      <c r="N87" s="25">
        <f t="shared" si="39"/>
        <v>2.5000000000000001E-2</v>
      </c>
      <c r="O87" s="1200">
        <f t="shared" si="40"/>
        <v>9.3000000000000007</v>
      </c>
      <c r="P87" s="2029">
        <f t="shared" si="43"/>
        <v>786801600</v>
      </c>
    </row>
    <row r="88" spans="4:16" ht="11.25" customHeight="1">
      <c r="D88" s="684">
        <f t="shared" ref="D88:G88" si="60">D17</f>
        <v>1</v>
      </c>
      <c r="E88" s="689" t="str">
        <f t="shared" si="60"/>
        <v>지오영
Geo-Young</v>
      </c>
      <c r="F88" s="689" t="str">
        <f t="shared" si="60"/>
        <v>Dry</v>
      </c>
      <c r="G88" s="23">
        <f t="shared" si="60"/>
        <v>1092.94</v>
      </c>
      <c r="H88" s="24">
        <f t="shared" ref="H88:I88" si="61">I17</f>
        <v>45689</v>
      </c>
      <c r="I88" s="24">
        <f t="shared" si="61"/>
        <v>49340</v>
      </c>
      <c r="J88" s="680">
        <f t="shared" si="35"/>
        <v>119</v>
      </c>
      <c r="K88" s="868">
        <f t="shared" si="36"/>
        <v>61499.748385089755</v>
      </c>
      <c r="L88" s="868">
        <f t="shared" si="37"/>
        <v>3074.9876479953155</v>
      </c>
      <c r="M88" s="868">
        <f t="shared" si="38"/>
        <v>359998.52599410759</v>
      </c>
      <c r="N88" s="25">
        <f t="shared" si="39"/>
        <v>2.5000000000000001E-2</v>
      </c>
      <c r="O88" s="1200">
        <f t="shared" si="40"/>
        <v>15</v>
      </c>
      <c r="P88" s="2029">
        <f t="shared" si="43"/>
        <v>393456789</v>
      </c>
    </row>
    <row r="89" spans="4:16" ht="11.25" customHeight="1">
      <c r="D89" s="684">
        <f t="shared" ref="D89:G89" si="62">D18</f>
        <v>1</v>
      </c>
      <c r="E89" s="689" t="str">
        <f t="shared" si="62"/>
        <v>용마로지스
Yongma Logis</v>
      </c>
      <c r="F89" s="689" t="str">
        <f t="shared" si="62"/>
        <v>Dry</v>
      </c>
      <c r="G89" s="23">
        <f t="shared" si="62"/>
        <v>856.05</v>
      </c>
      <c r="H89" s="24">
        <f t="shared" ref="H89:I89" si="63">I18</f>
        <v>45612</v>
      </c>
      <c r="I89" s="24">
        <f t="shared" si="63"/>
        <v>47514</v>
      </c>
      <c r="J89" s="680">
        <f t="shared" si="35"/>
        <v>62</v>
      </c>
      <c r="K89" s="868">
        <f t="shared" si="36"/>
        <v>61500</v>
      </c>
      <c r="L89" s="868">
        <f t="shared" si="37"/>
        <v>3075.0002920390166</v>
      </c>
      <c r="M89" s="868">
        <f t="shared" si="38"/>
        <v>360000</v>
      </c>
      <c r="N89" s="25">
        <f t="shared" si="39"/>
        <v>2.5000000000000001E-2</v>
      </c>
      <c r="O89" s="1200">
        <f t="shared" si="40"/>
        <v>7.5</v>
      </c>
      <c r="P89" s="2029">
        <f t="shared" si="43"/>
        <v>308178000</v>
      </c>
    </row>
    <row r="90" spans="4:16" ht="11.25" customHeight="1">
      <c r="D90" s="684">
        <f t="shared" ref="D90:G90" si="64">D19</f>
        <v>1</v>
      </c>
      <c r="E90" s="689" t="str">
        <f t="shared" si="64"/>
        <v>아이팜
IFAM</v>
      </c>
      <c r="F90" s="689" t="str">
        <f t="shared" si="64"/>
        <v>Retail</v>
      </c>
      <c r="G90" s="23">
        <f t="shared" si="64"/>
        <v>17.29</v>
      </c>
      <c r="H90" s="24">
        <f t="shared" ref="H90:I90" si="65">I19</f>
        <v>45778</v>
      </c>
      <c r="I90" s="24">
        <f t="shared" si="65"/>
        <v>47603</v>
      </c>
      <c r="J90" s="680">
        <f t="shared" si="35"/>
        <v>59</v>
      </c>
      <c r="K90" s="868">
        <f t="shared" si="36"/>
        <v>61500</v>
      </c>
      <c r="L90" s="868">
        <f t="shared" si="37"/>
        <v>3075.0144592249858</v>
      </c>
      <c r="M90" s="868">
        <f t="shared" si="38"/>
        <v>360000</v>
      </c>
      <c r="N90" s="25">
        <f t="shared" si="39"/>
        <v>2.5000000000000001E-2</v>
      </c>
      <c r="O90" s="1200">
        <f t="shared" si="40"/>
        <v>7.5</v>
      </c>
      <c r="P90" s="2029">
        <f t="shared" si="43"/>
        <v>6224400</v>
      </c>
    </row>
    <row r="91" spans="4:16" ht="11.25" customHeight="1">
      <c r="D91" s="684">
        <f t="shared" ref="D91:G91" si="66">D20</f>
        <v>1</v>
      </c>
      <c r="E91" s="689" t="str">
        <f t="shared" si="66"/>
        <v>Vacant</v>
      </c>
      <c r="F91" s="689" t="str">
        <f t="shared" si="66"/>
        <v>Retail</v>
      </c>
      <c r="G91" s="23">
        <f t="shared" si="66"/>
        <v>141.01000000000002</v>
      </c>
      <c r="H91" s="24" t="str">
        <f t="shared" ref="H91:I91" si="67">I20</f>
        <v>-</v>
      </c>
      <c r="I91" s="24" t="str">
        <f t="shared" si="67"/>
        <v>-</v>
      </c>
      <c r="J91" s="680" t="str">
        <f t="shared" si="35"/>
        <v>-</v>
      </c>
      <c r="K91" s="868">
        <f t="shared" si="36"/>
        <v>0</v>
      </c>
      <c r="L91" s="868">
        <f t="shared" si="37"/>
        <v>0</v>
      </c>
      <c r="M91" s="868">
        <f t="shared" si="38"/>
        <v>0</v>
      </c>
      <c r="N91" s="25" t="str">
        <f t="shared" si="39"/>
        <v>-</v>
      </c>
      <c r="O91" s="1200" t="str">
        <f t="shared" si="40"/>
        <v>-</v>
      </c>
      <c r="P91" s="2029">
        <f t="shared" si="43"/>
        <v>0</v>
      </c>
    </row>
    <row r="92" spans="4:16" ht="11.25" customHeight="1">
      <c r="D92" s="684" t="str">
        <f t="shared" ref="D92:G92" si="68">D21</f>
        <v>B1</v>
      </c>
      <c r="E92" s="689" t="str">
        <f t="shared" si="68"/>
        <v>쿠팡
Coupang</v>
      </c>
      <c r="F92" s="689" t="str">
        <f t="shared" si="68"/>
        <v>Dry</v>
      </c>
      <c r="G92" s="23">
        <f t="shared" si="68"/>
        <v>2745.32</v>
      </c>
      <c r="H92" s="24">
        <f t="shared" ref="H92:I92" si="69">I21</f>
        <v>45748</v>
      </c>
      <c r="I92" s="24">
        <f t="shared" si="69"/>
        <v>49064</v>
      </c>
      <c r="J92" s="680">
        <f t="shared" si="35"/>
        <v>108</v>
      </c>
      <c r="K92" s="868">
        <f t="shared" si="36"/>
        <v>61499.999999999993</v>
      </c>
      <c r="L92" s="868">
        <f t="shared" si="37"/>
        <v>3075</v>
      </c>
      <c r="M92" s="868">
        <f t="shared" si="38"/>
        <v>360000</v>
      </c>
      <c r="N92" s="25">
        <f t="shared" si="39"/>
        <v>2.5000000000000001E-2</v>
      </c>
      <c r="O92" s="1200">
        <f t="shared" si="40"/>
        <v>9.1</v>
      </c>
      <c r="P92" s="2029">
        <f t="shared" si="43"/>
        <v>988315200</v>
      </c>
    </row>
    <row r="93" spans="4:16" ht="11.25" customHeight="1">
      <c r="D93" s="684" t="str">
        <f t="shared" ref="D93:G93" si="70">D22</f>
        <v>B2</v>
      </c>
      <c r="E93" s="689" t="str">
        <f t="shared" si="70"/>
        <v>쿠팡
Coupang</v>
      </c>
      <c r="F93" s="689" t="str">
        <f t="shared" si="70"/>
        <v>Dry</v>
      </c>
      <c r="G93" s="23">
        <f t="shared" si="70"/>
        <v>2728.21</v>
      </c>
      <c r="H93" s="24">
        <f t="shared" ref="H93:I93" si="71">I22</f>
        <v>45992</v>
      </c>
      <c r="I93" s="24">
        <f t="shared" si="71"/>
        <v>49064</v>
      </c>
      <c r="J93" s="680">
        <f t="shared" si="35"/>
        <v>100</v>
      </c>
      <c r="K93" s="868">
        <f t="shared" si="36"/>
        <v>60000</v>
      </c>
      <c r="L93" s="868">
        <f t="shared" si="37"/>
        <v>3000</v>
      </c>
      <c r="M93" s="868">
        <f t="shared" si="38"/>
        <v>360000</v>
      </c>
      <c r="N93" s="25">
        <f t="shared" si="39"/>
        <v>2.5000000000000001E-2</v>
      </c>
      <c r="O93" s="1200">
        <f t="shared" si="40"/>
        <v>8.4</v>
      </c>
      <c r="P93" s="2029">
        <f t="shared" si="43"/>
        <v>982155600</v>
      </c>
    </row>
    <row r="94" spans="4:16" ht="11.25" customHeight="1">
      <c r="D94" s="1862"/>
      <c r="E94" s="1876"/>
      <c r="F94" s="1877"/>
      <c r="G94" s="687"/>
      <c r="H94" s="1959"/>
      <c r="I94" s="1123"/>
      <c r="J94" s="1123"/>
      <c r="K94" s="690">
        <f>SUMPRODUCT($G78:$G93,K78:K93)</f>
        <v>1233764764</v>
      </c>
      <c r="L94" s="690">
        <f t="shared" ref="L94:M94" si="72">SUMPRODUCT($G78:$G93,L78:L93)</f>
        <v>63528095</v>
      </c>
      <c r="M94" s="690">
        <f t="shared" si="72"/>
        <v>7172491597</v>
      </c>
      <c r="N94" s="688"/>
      <c r="O94" s="1201"/>
    </row>
    <row r="95" spans="4:16" ht="11.25" customHeight="1">
      <c r="K95" s="2029"/>
    </row>
    <row r="96" spans="4:16" ht="11.25" customHeight="1">
      <c r="K96" s="2566"/>
    </row>
    <row r="97" spans="11:11" ht="11.25" customHeight="1">
      <c r="K97" s="2567"/>
    </row>
  </sheetData>
  <mergeCells count="36">
    <mergeCell ref="C23:F23"/>
    <mergeCell ref="C5:C6"/>
    <mergeCell ref="D5:D6"/>
    <mergeCell ref="E5:E6"/>
    <mergeCell ref="F5:F6"/>
    <mergeCell ref="R29:T29"/>
    <mergeCell ref="U29:W29"/>
    <mergeCell ref="X29:Z29"/>
    <mergeCell ref="G5:H5"/>
    <mergeCell ref="I5:K5"/>
    <mergeCell ref="L5:N5"/>
    <mergeCell ref="O5:Q5"/>
    <mergeCell ref="R5:T5"/>
    <mergeCell ref="U5:W5"/>
    <mergeCell ref="X5:Z5"/>
    <mergeCell ref="X53:Z53"/>
    <mergeCell ref="G29:H29"/>
    <mergeCell ref="I29:K29"/>
    <mergeCell ref="C53:C54"/>
    <mergeCell ref="D53:D54"/>
    <mergeCell ref="E53:E54"/>
    <mergeCell ref="F53:F54"/>
    <mergeCell ref="G53:H53"/>
    <mergeCell ref="I53:K53"/>
    <mergeCell ref="C47:F47"/>
    <mergeCell ref="C29:C30"/>
    <mergeCell ref="D29:D30"/>
    <mergeCell ref="E29:E30"/>
    <mergeCell ref="F29:F30"/>
    <mergeCell ref="L29:N29"/>
    <mergeCell ref="O29:Q29"/>
    <mergeCell ref="C71:F71"/>
    <mergeCell ref="L53:N53"/>
    <mergeCell ref="O53:Q53"/>
    <mergeCell ref="R53:T53"/>
    <mergeCell ref="U53:W53"/>
  </mergeCells>
  <phoneticPr fontId="2" type="noConversion"/>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98029-E203-455B-8B89-A398AC4B0B2A}">
  <sheetPr codeName="Sheet14"/>
  <dimension ref="A2:AU136"/>
  <sheetViews>
    <sheetView showGridLines="0" topLeftCell="B35" zoomScaleNormal="100" workbookViewId="0">
      <selection activeCell="I75" sqref="I75"/>
    </sheetView>
  </sheetViews>
  <sheetFormatPr defaultColWidth="8.75" defaultRowHeight="11.25" customHeight="1"/>
  <cols>
    <col min="1" max="1" width="3.25" style="291" hidden="1" customWidth="1"/>
    <col min="2" max="2" width="2.125" style="291" customWidth="1"/>
    <col min="3" max="7" width="14" style="291" customWidth="1"/>
    <col min="8" max="11" width="14" style="292" customWidth="1"/>
    <col min="12" max="15" width="14" style="291" customWidth="1"/>
    <col min="16" max="16" width="14" style="293" customWidth="1"/>
    <col min="17" max="20" width="14" style="291" customWidth="1"/>
    <col min="21" max="21" width="16" style="291" customWidth="1"/>
    <col min="22" max="22" width="16" style="294" customWidth="1"/>
    <col min="23" max="27" width="16" style="291" customWidth="1"/>
    <col min="28" max="35" width="11" style="291" customWidth="1"/>
    <col min="36" max="36" width="11" style="295" customWidth="1"/>
    <col min="37" max="37" width="11" style="296" customWidth="1"/>
    <col min="38" max="38" width="11" style="294" customWidth="1"/>
    <col min="39" max="39" width="11" style="297" customWidth="1"/>
    <col min="40" max="40" width="11" style="294" customWidth="1"/>
    <col min="41" max="45" width="11" style="291" customWidth="1"/>
    <col min="46" max="46" width="9.75" style="291" customWidth="1"/>
    <col min="47" max="16384" width="8.75" style="291"/>
  </cols>
  <sheetData>
    <row r="2" spans="3:45" ht="11.25" customHeight="1">
      <c r="C2" s="298" t="s">
        <v>276</v>
      </c>
      <c r="D2" s="299"/>
      <c r="E2" s="299"/>
      <c r="F2" s="299"/>
      <c r="G2" s="299"/>
      <c r="H2" s="300"/>
      <c r="I2" s="300"/>
      <c r="J2" s="300"/>
      <c r="K2" s="300"/>
      <c r="L2" s="299"/>
      <c r="M2" s="299"/>
      <c r="N2" s="299"/>
      <c r="O2" s="299"/>
      <c r="P2" s="301"/>
      <c r="Q2" s="302"/>
      <c r="R2" s="302"/>
      <c r="S2" s="299"/>
      <c r="T2" s="299"/>
      <c r="AS2" s="295" t="s">
        <v>277</v>
      </c>
    </row>
    <row r="3" spans="3:45" ht="11.25" customHeight="1">
      <c r="C3" s="298"/>
      <c r="D3" s="299"/>
      <c r="E3" s="299"/>
      <c r="F3" s="299"/>
      <c r="G3" s="299"/>
      <c r="H3" s="300"/>
      <c r="I3" s="300"/>
      <c r="J3" s="300"/>
      <c r="K3" s="300"/>
      <c r="L3" s="299"/>
      <c r="M3" s="299"/>
      <c r="N3" s="299"/>
      <c r="O3" s="299"/>
      <c r="P3" s="301"/>
      <c r="Q3" s="302"/>
      <c r="R3" s="302"/>
      <c r="S3" s="299"/>
      <c r="T3" s="299"/>
      <c r="AS3" s="295"/>
    </row>
    <row r="4" spans="3:45" ht="11.25" customHeight="1">
      <c r="C4" s="298"/>
      <c r="D4" s="299"/>
      <c r="E4" s="299"/>
      <c r="F4" s="299"/>
      <c r="G4" s="299"/>
      <c r="H4" s="300"/>
      <c r="I4" s="300"/>
      <c r="J4" s="300"/>
      <c r="K4" s="300"/>
      <c r="L4" s="299"/>
      <c r="M4" s="299"/>
      <c r="N4" s="299"/>
      <c r="O4" s="299"/>
      <c r="P4" s="301"/>
      <c r="Q4" s="302"/>
      <c r="R4" s="302"/>
      <c r="S4" s="299"/>
      <c r="T4" s="299"/>
      <c r="AS4" s="295"/>
    </row>
    <row r="5" spans="3:45" ht="11.25" customHeight="1">
      <c r="C5" s="298"/>
      <c r="D5" s="299"/>
      <c r="E5" s="299"/>
      <c r="F5" s="299"/>
      <c r="G5" s="299"/>
      <c r="H5" s="300"/>
      <c r="I5" s="300"/>
      <c r="J5" s="300"/>
      <c r="K5" s="300"/>
      <c r="L5" s="299"/>
      <c r="M5" s="299"/>
      <c r="N5" s="299"/>
      <c r="O5" s="299"/>
      <c r="P5" s="301"/>
      <c r="Q5" s="302"/>
      <c r="R5" s="302"/>
      <c r="S5" s="299"/>
      <c r="T5" s="299"/>
      <c r="AS5" s="295"/>
    </row>
    <row r="6" spans="3:45" ht="11.25" customHeight="1">
      <c r="C6" s="298"/>
      <c r="D6" s="299"/>
      <c r="Q6" s="302"/>
      <c r="R6" s="302"/>
      <c r="S6" s="299"/>
      <c r="T6" s="299"/>
      <c r="AS6" s="295"/>
    </row>
    <row r="7" spans="3:45" ht="11.25" customHeight="1">
      <c r="Q7" s="302"/>
      <c r="R7" s="302"/>
      <c r="S7" s="299"/>
      <c r="T7" s="299"/>
      <c r="AS7" s="295"/>
    </row>
    <row r="8" spans="3:45" ht="11.25" customHeight="1">
      <c r="Q8" s="302"/>
      <c r="R8" s="302"/>
      <c r="S8" s="299"/>
      <c r="T8" s="299"/>
      <c r="AS8" s="295"/>
    </row>
    <row r="9" spans="3:45" ht="11.25" customHeight="1">
      <c r="Q9" s="302"/>
      <c r="R9" s="302"/>
      <c r="S9" s="299"/>
      <c r="T9" s="299"/>
      <c r="AS9" s="295"/>
    </row>
    <row r="10" spans="3:45" ht="11.25" customHeight="1">
      <c r="Q10" s="302" t="s">
        <v>438</v>
      </c>
      <c r="R10" s="302"/>
      <c r="S10" s="299"/>
      <c r="T10" s="299"/>
      <c r="AS10" s="295"/>
    </row>
    <row r="11" spans="3:45" ht="11.25" customHeight="1">
      <c r="Q11" s="302" t="s">
        <v>439</v>
      </c>
      <c r="R11" s="302"/>
      <c r="S11" s="299"/>
      <c r="T11" s="299"/>
      <c r="AS11" s="295"/>
    </row>
    <row r="12" spans="3:45" ht="11.25" customHeight="1">
      <c r="Q12" s="302" t="s">
        <v>439</v>
      </c>
      <c r="R12" s="302"/>
      <c r="S12" s="299"/>
      <c r="T12" s="299"/>
      <c r="AS12" s="295"/>
    </row>
    <row r="13" spans="3:45" ht="11.25" customHeight="1">
      <c r="Q13" s="302" t="s">
        <v>439</v>
      </c>
      <c r="R13" s="302"/>
      <c r="S13" s="299"/>
      <c r="T13" s="299"/>
      <c r="AS13" s="295"/>
    </row>
    <row r="14" spans="3:45" ht="11.25" customHeight="1">
      <c r="Q14" s="302" t="s">
        <v>439</v>
      </c>
      <c r="R14" s="302"/>
      <c r="S14" s="299"/>
      <c r="T14" s="299"/>
      <c r="AS14" s="295"/>
    </row>
    <row r="15" spans="3:45" ht="11.25" customHeight="1">
      <c r="Q15" s="302" t="s">
        <v>439</v>
      </c>
      <c r="R15" s="302"/>
      <c r="S15" s="299"/>
      <c r="T15" s="299"/>
      <c r="AS15" s="295"/>
    </row>
    <row r="16" spans="3:45" ht="11.25" customHeight="1">
      <c r="Q16" s="302"/>
      <c r="R16" s="302"/>
      <c r="S16" s="299"/>
      <c r="T16" s="299"/>
      <c r="AS16" s="295"/>
    </row>
    <row r="17" spans="3:45" ht="11.25" customHeight="1">
      <c r="Q17" s="302" t="s">
        <v>440</v>
      </c>
      <c r="R17" s="302"/>
      <c r="S17" s="299"/>
      <c r="T17" s="299"/>
      <c r="AS17" s="295"/>
    </row>
    <row r="18" spans="3:45" ht="11.25" customHeight="1">
      <c r="Q18" s="302" t="s">
        <v>441</v>
      </c>
      <c r="R18" s="302"/>
      <c r="S18" s="299"/>
      <c r="T18" s="299"/>
      <c r="AS18" s="295"/>
    </row>
    <row r="19" spans="3:45" ht="11.25" customHeight="1">
      <c r="Q19" s="302" t="s">
        <v>442</v>
      </c>
      <c r="R19" s="302"/>
      <c r="S19" s="299"/>
      <c r="T19" s="299"/>
      <c r="AS19" s="295"/>
    </row>
    <row r="20" spans="3:45" ht="11.25" customHeight="1">
      <c r="Q20" s="302" t="s">
        <v>443</v>
      </c>
      <c r="R20" s="302"/>
      <c r="S20" s="299"/>
      <c r="T20" s="299"/>
      <c r="AS20" s="295"/>
    </row>
    <row r="21" spans="3:45" ht="11.25" customHeight="1">
      <c r="Q21" s="302"/>
      <c r="R21" s="302"/>
      <c r="S21" s="299"/>
      <c r="T21" s="299"/>
      <c r="AS21" s="295"/>
    </row>
    <row r="22" spans="3:45" ht="11.25" customHeight="1">
      <c r="Q22" s="302" t="s">
        <v>444</v>
      </c>
      <c r="R22" s="302"/>
      <c r="S22" s="299"/>
      <c r="T22" s="299"/>
      <c r="AS22" s="295"/>
    </row>
    <row r="23" spans="3:45" ht="11.25" customHeight="1">
      <c r="Q23" s="302" t="s">
        <v>445</v>
      </c>
      <c r="R23" s="302"/>
      <c r="S23" s="299"/>
      <c r="T23" s="299"/>
      <c r="AS23" s="295"/>
    </row>
    <row r="24" spans="3:45" ht="11.25" customHeight="1">
      <c r="Q24" s="302"/>
      <c r="R24" s="302"/>
      <c r="S24" s="299"/>
      <c r="T24" s="299"/>
      <c r="AS24" s="295"/>
    </row>
    <row r="25" spans="3:45" ht="11.25" customHeight="1">
      <c r="H25" s="291"/>
      <c r="I25" s="291"/>
      <c r="J25" s="291"/>
      <c r="K25" s="291"/>
      <c r="M25" s="299"/>
      <c r="N25" s="299"/>
      <c r="O25" s="299"/>
      <c r="P25" s="301"/>
      <c r="Q25" s="302"/>
      <c r="R25" s="302"/>
      <c r="S25" s="299"/>
      <c r="T25" s="299"/>
      <c r="AS25" s="295"/>
    </row>
    <row r="26" spans="3:45" ht="11.25" customHeight="1">
      <c r="H26" s="291"/>
      <c r="I26" s="291"/>
      <c r="J26" s="291"/>
      <c r="K26" s="291"/>
      <c r="M26" s="299"/>
      <c r="N26" s="299"/>
      <c r="O26" s="299"/>
      <c r="P26" s="301"/>
      <c r="Q26" s="302"/>
      <c r="R26" s="302"/>
      <c r="S26" s="299"/>
      <c r="T26" s="299"/>
      <c r="AS26" s="295"/>
    </row>
    <row r="27" spans="3:45" ht="11.25" customHeight="1">
      <c r="H27" s="291"/>
      <c r="I27" s="291"/>
      <c r="J27" s="291"/>
      <c r="K27" s="291"/>
      <c r="M27" s="299"/>
      <c r="N27" s="299"/>
      <c r="O27" s="299"/>
      <c r="P27" s="301"/>
      <c r="Q27" s="302"/>
      <c r="R27" s="302"/>
      <c r="S27" s="299"/>
      <c r="T27" s="299"/>
      <c r="AS27" s="295"/>
    </row>
    <row r="28" spans="3:45" ht="11.25" customHeight="1">
      <c r="H28" s="291"/>
      <c r="I28" s="291"/>
      <c r="J28" s="291"/>
      <c r="K28" s="291"/>
      <c r="M28" s="299"/>
      <c r="N28" s="299"/>
      <c r="O28" s="299"/>
      <c r="P28" s="301"/>
      <c r="Q28" s="302"/>
      <c r="R28" s="302"/>
      <c r="S28" s="299"/>
      <c r="T28" s="299"/>
      <c r="AS28" s="295"/>
    </row>
    <row r="29" spans="3:45" ht="11.25" customHeight="1">
      <c r="H29" s="291"/>
      <c r="I29" s="291"/>
      <c r="J29" s="291"/>
      <c r="K29" s="291"/>
      <c r="M29" s="299"/>
      <c r="N29" s="299"/>
      <c r="O29" s="299"/>
      <c r="P29" s="301"/>
      <c r="Q29" s="302"/>
      <c r="R29" s="302"/>
      <c r="S29" s="299"/>
      <c r="T29" s="299"/>
      <c r="AS29" s="295"/>
    </row>
    <row r="30" spans="3:45" ht="11.25" customHeight="1">
      <c r="C30" s="298"/>
      <c r="D30" s="299"/>
      <c r="E30" s="299"/>
      <c r="F30" s="299"/>
      <c r="G30" s="299"/>
      <c r="H30" s="300"/>
      <c r="I30" s="300"/>
      <c r="J30" s="300"/>
      <c r="K30" s="300"/>
      <c r="L30" s="299"/>
      <c r="M30" s="299"/>
      <c r="N30" s="299"/>
      <c r="O30" s="299"/>
      <c r="P30" s="301"/>
      <c r="Q30" s="302"/>
      <c r="R30" s="302"/>
      <c r="S30" s="299"/>
      <c r="T30" s="299"/>
      <c r="AS30" s="295"/>
    </row>
    <row r="31" spans="3:45" ht="11.25" customHeight="1">
      <c r="C31" s="298"/>
      <c r="D31" s="299"/>
      <c r="E31" s="299"/>
      <c r="F31" s="299"/>
      <c r="G31" s="299"/>
      <c r="H31" s="300"/>
      <c r="I31" s="300"/>
      <c r="J31" s="300"/>
      <c r="K31" s="300"/>
      <c r="L31" s="299"/>
      <c r="M31" s="299"/>
      <c r="N31" s="299"/>
      <c r="O31" s="299"/>
      <c r="P31" s="301"/>
      <c r="Q31" s="302"/>
      <c r="R31" s="302"/>
      <c r="S31" s="299"/>
      <c r="T31" s="299"/>
      <c r="AS31" s="295"/>
    </row>
    <row r="32" spans="3:45" ht="11.25" customHeight="1">
      <c r="C32" s="298"/>
      <c r="D32" s="299"/>
      <c r="E32" s="299"/>
      <c r="F32" s="299"/>
      <c r="G32" s="299"/>
      <c r="H32" s="300"/>
      <c r="I32" s="300"/>
      <c r="J32" s="300"/>
      <c r="K32" s="300"/>
      <c r="L32" s="299"/>
      <c r="M32" s="299"/>
      <c r="N32" s="299"/>
      <c r="O32" s="299"/>
      <c r="P32" s="301"/>
      <c r="Q32" s="302"/>
      <c r="R32" s="302"/>
      <c r="S32" s="299"/>
      <c r="T32" s="299"/>
      <c r="AS32" s="295"/>
    </row>
    <row r="33" spans="1:46" ht="11.25" customHeight="1">
      <c r="C33" s="298"/>
      <c r="D33" s="299"/>
      <c r="E33" s="299"/>
      <c r="F33" s="299"/>
      <c r="G33" s="299"/>
      <c r="H33" s="300"/>
      <c r="I33" s="300"/>
      <c r="J33" s="300"/>
      <c r="K33" s="300"/>
      <c r="L33" s="299"/>
      <c r="M33" s="299"/>
      <c r="N33" s="299"/>
      <c r="O33" s="299"/>
      <c r="P33" s="301"/>
      <c r="Q33" s="302"/>
      <c r="R33" s="302"/>
      <c r="S33" s="299"/>
      <c r="T33" s="299"/>
      <c r="AS33" s="295"/>
    </row>
    <row r="34" spans="1:46" ht="11.25" customHeight="1">
      <c r="C34" s="298"/>
      <c r="D34" s="299"/>
      <c r="E34" s="299"/>
      <c r="F34" s="299"/>
      <c r="G34" s="299"/>
      <c r="H34" s="300"/>
      <c r="I34" s="300"/>
      <c r="J34" s="300"/>
      <c r="K34" s="300"/>
      <c r="L34" s="299"/>
      <c r="M34" s="299"/>
      <c r="N34" s="299"/>
      <c r="O34" s="299"/>
      <c r="P34" s="301"/>
      <c r="Q34" s="302"/>
      <c r="R34" s="302"/>
      <c r="S34" s="299"/>
      <c r="T34" s="299"/>
      <c r="AS34" s="295"/>
    </row>
    <row r="35" spans="1:46" ht="11.25" customHeight="1">
      <c r="C35" s="298"/>
      <c r="D35" s="299"/>
      <c r="E35" s="299"/>
      <c r="F35" s="299"/>
      <c r="G35" s="299"/>
      <c r="H35" s="300"/>
      <c r="I35" s="300"/>
      <c r="J35" s="300"/>
      <c r="K35" s="300"/>
      <c r="L35" s="299"/>
      <c r="M35" s="299"/>
      <c r="N35" s="299"/>
      <c r="O35" s="299"/>
      <c r="P35" s="301"/>
      <c r="Q35" s="302"/>
      <c r="R35" s="302"/>
      <c r="S35" s="299"/>
      <c r="T35" s="299"/>
      <c r="AS35" s="295"/>
    </row>
    <row r="36" spans="1:46" s="311" customFormat="1" ht="11.25" customHeight="1" thickBot="1">
      <c r="A36" s="303"/>
      <c r="B36" s="1"/>
      <c r="C36" s="1"/>
      <c r="D36" s="1"/>
      <c r="E36" s="1"/>
      <c r="F36" s="1"/>
      <c r="G36" s="1"/>
      <c r="H36" s="1"/>
      <c r="I36" s="1"/>
      <c r="J36" s="1"/>
      <c r="K36" s="1"/>
      <c r="L36" s="1"/>
      <c r="M36" s="1"/>
      <c r="N36" s="304"/>
      <c r="O36" s="304"/>
      <c r="P36" s="304"/>
      <c r="Q36" s="304"/>
      <c r="R36" s="304"/>
      <c r="S36" s="304"/>
      <c r="T36" s="304"/>
      <c r="U36" s="304"/>
      <c r="V36" s="304"/>
      <c r="W36" s="304"/>
      <c r="X36" s="304"/>
      <c r="Y36" s="304"/>
      <c r="Z36" s="304"/>
      <c r="AA36" s="304"/>
      <c r="AB36" s="304"/>
      <c r="AC36" s="304"/>
      <c r="AD36" s="304"/>
      <c r="AE36" s="304"/>
      <c r="AF36" s="304"/>
      <c r="AG36" s="305"/>
      <c r="AH36" s="305"/>
      <c r="AI36" s="305"/>
      <c r="AJ36" s="306"/>
      <c r="AK36" s="307"/>
      <c r="AL36" s="308"/>
      <c r="AM36" s="309"/>
      <c r="AN36" s="308"/>
      <c r="AO36" s="304"/>
      <c r="AP36" s="304"/>
      <c r="AQ36" s="304"/>
      <c r="AR36" s="304"/>
      <c r="AS36" s="310" t="s">
        <v>388</v>
      </c>
      <c r="AT36" s="304"/>
    </row>
    <row r="37" spans="1:46" s="313" customFormat="1" ht="11.25" customHeight="1">
      <c r="A37" s="312"/>
      <c r="B37" s="611"/>
      <c r="C37" s="659" t="s">
        <v>389</v>
      </c>
      <c r="D37" s="614" t="s">
        <v>390</v>
      </c>
      <c r="E37" s="661" t="s">
        <v>278</v>
      </c>
      <c r="F37" s="661" t="s">
        <v>279</v>
      </c>
      <c r="G37" s="614" t="s">
        <v>391</v>
      </c>
      <c r="H37" s="645" t="s">
        <v>280</v>
      </c>
      <c r="I37" s="645"/>
      <c r="J37" s="645" t="s">
        <v>281</v>
      </c>
      <c r="K37" s="645"/>
      <c r="L37" s="656" t="s">
        <v>234</v>
      </c>
      <c r="M37" s="657"/>
      <c r="N37" s="658" t="s">
        <v>392</v>
      </c>
      <c r="O37" s="658"/>
      <c r="P37" s="658" t="s">
        <v>270</v>
      </c>
      <c r="Q37" s="658"/>
      <c r="R37" s="658"/>
      <c r="S37" s="658" t="s">
        <v>393</v>
      </c>
      <c r="T37" s="658"/>
      <c r="U37" s="654" t="s">
        <v>394</v>
      </c>
      <c r="V37" s="620" t="s">
        <v>395</v>
      </c>
      <c r="W37" s="620"/>
      <c r="X37" s="620"/>
      <c r="Y37" s="645" t="s">
        <v>396</v>
      </c>
      <c r="Z37" s="620" t="s">
        <v>397</v>
      </c>
      <c r="AA37" s="620"/>
      <c r="AB37" s="620"/>
      <c r="AC37" s="620"/>
      <c r="AD37" s="614" t="s">
        <v>398</v>
      </c>
      <c r="AE37" s="614"/>
      <c r="AF37" s="614"/>
      <c r="AG37" s="614"/>
      <c r="AH37" s="614"/>
      <c r="AI37" s="614"/>
      <c r="AJ37" s="614" t="s">
        <v>399</v>
      </c>
      <c r="AK37" s="614"/>
      <c r="AL37" s="614"/>
      <c r="AM37" s="614"/>
      <c r="AN37" s="614"/>
      <c r="AO37" s="645" t="s">
        <v>400</v>
      </c>
      <c r="AP37" s="614" t="s">
        <v>401</v>
      </c>
      <c r="AQ37" s="614"/>
      <c r="AR37" s="614"/>
      <c r="AS37" s="647" t="s">
        <v>264</v>
      </c>
      <c r="AT37" s="311"/>
    </row>
    <row r="38" spans="1:46" ht="11.25" customHeight="1">
      <c r="A38" s="314"/>
      <c r="B38" s="611"/>
      <c r="C38" s="660"/>
      <c r="D38" s="615"/>
      <c r="E38" s="662"/>
      <c r="F38" s="662"/>
      <c r="G38" s="615"/>
      <c r="H38" s="315" t="s">
        <v>282</v>
      </c>
      <c r="I38" s="315" t="s">
        <v>283</v>
      </c>
      <c r="J38" s="315" t="s">
        <v>402</v>
      </c>
      <c r="K38" s="315" t="s">
        <v>283</v>
      </c>
      <c r="L38" s="315" t="s">
        <v>402</v>
      </c>
      <c r="M38" s="315" t="s">
        <v>283</v>
      </c>
      <c r="N38" s="316" t="s">
        <v>403</v>
      </c>
      <c r="O38" s="316" t="s">
        <v>404</v>
      </c>
      <c r="P38" s="316" t="s">
        <v>403</v>
      </c>
      <c r="Q38" s="316" t="s">
        <v>404</v>
      </c>
      <c r="R38" s="316"/>
      <c r="S38" s="316" t="s">
        <v>403</v>
      </c>
      <c r="T38" s="316" t="s">
        <v>404</v>
      </c>
      <c r="U38" s="655"/>
      <c r="V38" s="317" t="s">
        <v>405</v>
      </c>
      <c r="W38" s="318" t="s">
        <v>406</v>
      </c>
      <c r="X38" s="319" t="s">
        <v>407</v>
      </c>
      <c r="Y38" s="646"/>
      <c r="Z38" s="320" t="s">
        <v>408</v>
      </c>
      <c r="AA38" s="321" t="s">
        <v>409</v>
      </c>
      <c r="AB38" s="602" t="s">
        <v>410</v>
      </c>
      <c r="AC38" s="649"/>
      <c r="AD38" s="322" t="s">
        <v>411</v>
      </c>
      <c r="AE38" s="322" t="s">
        <v>284</v>
      </c>
      <c r="AF38" s="323" t="s">
        <v>412</v>
      </c>
      <c r="AG38" s="322" t="s">
        <v>284</v>
      </c>
      <c r="AH38" s="323" t="s">
        <v>413</v>
      </c>
      <c r="AI38" s="322" t="s">
        <v>284</v>
      </c>
      <c r="AJ38" s="615" t="s">
        <v>285</v>
      </c>
      <c r="AK38" s="615"/>
      <c r="AL38" s="324" t="s">
        <v>407</v>
      </c>
      <c r="AM38" s="315" t="s">
        <v>286</v>
      </c>
      <c r="AN38" s="324" t="s">
        <v>407</v>
      </c>
      <c r="AO38" s="646"/>
      <c r="AP38" s="322" t="s">
        <v>414</v>
      </c>
      <c r="AQ38" s="322" t="s">
        <v>415</v>
      </c>
      <c r="AR38" s="322" t="s">
        <v>287</v>
      </c>
      <c r="AS38" s="648"/>
    </row>
    <row r="39" spans="1:46" ht="11.25" customHeight="1">
      <c r="A39" s="325"/>
      <c r="B39" s="650"/>
      <c r="C39" s="326" t="s">
        <v>288</v>
      </c>
      <c r="D39" s="327" t="s">
        <v>289</v>
      </c>
      <c r="E39" s="328" t="s">
        <v>290</v>
      </c>
      <c r="F39" s="328" t="s">
        <v>291</v>
      </c>
      <c r="G39" s="329"/>
      <c r="H39" s="330">
        <v>28.968915675795635</v>
      </c>
      <c r="I39" s="331">
        <f>ROUND(H39*0.3025, 2)</f>
        <v>8.76</v>
      </c>
      <c r="J39" s="330">
        <v>19.555</v>
      </c>
      <c r="K39" s="331">
        <f t="shared" ref="K39:K49" si="0">ROUND(J39*0.3025, 2)</f>
        <v>5.92</v>
      </c>
      <c r="L39" s="651">
        <v>4088.9</v>
      </c>
      <c r="M39" s="357">
        <f>ROUND(L39*0.3025, 2)</f>
        <v>1236.8900000000001</v>
      </c>
      <c r="N39" s="332"/>
      <c r="O39" s="333"/>
      <c r="P39" s="332"/>
      <c r="Q39" s="333"/>
      <c r="R39" s="1389"/>
      <c r="S39" s="332"/>
      <c r="T39" s="333"/>
      <c r="U39" s="334"/>
      <c r="V39" s="335"/>
      <c r="W39" s="336"/>
      <c r="X39" s="337"/>
      <c r="Y39" s="338"/>
      <c r="Z39" s="335"/>
      <c r="AA39" s="339"/>
      <c r="AB39" s="335"/>
      <c r="AC39" s="340"/>
      <c r="AD39" s="335"/>
      <c r="AE39" s="341"/>
      <c r="AF39" s="342"/>
      <c r="AG39" s="343"/>
      <c r="AH39" s="342"/>
      <c r="AI39" s="343"/>
      <c r="AJ39" s="609"/>
      <c r="AK39" s="610"/>
      <c r="AL39" s="344"/>
      <c r="AM39" s="345"/>
      <c r="AN39" s="346"/>
      <c r="AO39" s="338"/>
      <c r="AP39" s="347"/>
      <c r="AQ39" s="340"/>
      <c r="AR39" s="348"/>
      <c r="AS39" s="349"/>
    </row>
    <row r="40" spans="1:46" ht="11.25" customHeight="1">
      <c r="A40" s="325"/>
      <c r="B40" s="650"/>
      <c r="C40" s="350"/>
      <c r="D40" s="351"/>
      <c r="E40" s="328" t="s">
        <v>292</v>
      </c>
      <c r="F40" s="328" t="s">
        <v>291</v>
      </c>
      <c r="G40" s="329"/>
      <c r="H40" s="330">
        <v>25.020965776741924</v>
      </c>
      <c r="I40" s="331">
        <f t="shared" ref="I40:I48" si="1">ROUND(H40*0.3025, 2)</f>
        <v>7.57</v>
      </c>
      <c r="J40" s="330">
        <v>16.89</v>
      </c>
      <c r="K40" s="331">
        <f t="shared" si="0"/>
        <v>5.1100000000000003</v>
      </c>
      <c r="L40" s="652"/>
      <c r="M40" s="371"/>
      <c r="N40" s="332"/>
      <c r="O40" s="333"/>
      <c r="P40" s="332"/>
      <c r="Q40" s="333"/>
      <c r="R40" s="1389"/>
      <c r="S40" s="332"/>
      <c r="T40" s="333"/>
      <c r="U40" s="334"/>
      <c r="V40" s="335"/>
      <c r="W40" s="336"/>
      <c r="X40" s="337"/>
      <c r="Y40" s="338"/>
      <c r="Z40" s="335"/>
      <c r="AA40" s="339"/>
      <c r="AB40" s="335"/>
      <c r="AC40" s="340"/>
      <c r="AD40" s="335"/>
      <c r="AE40" s="341"/>
      <c r="AF40" s="342"/>
      <c r="AG40" s="343"/>
      <c r="AH40" s="342"/>
      <c r="AI40" s="343"/>
      <c r="AJ40" s="609"/>
      <c r="AK40" s="610"/>
      <c r="AL40" s="344"/>
      <c r="AM40" s="345"/>
      <c r="AN40" s="346"/>
      <c r="AO40" s="338"/>
      <c r="AP40" s="347"/>
      <c r="AQ40" s="340"/>
      <c r="AR40" s="348"/>
      <c r="AS40" s="349"/>
    </row>
    <row r="41" spans="1:46" ht="11.25" customHeight="1">
      <c r="A41" s="325"/>
      <c r="B41" s="650"/>
      <c r="C41" s="350"/>
      <c r="D41" s="351"/>
      <c r="E41" s="328" t="s">
        <v>293</v>
      </c>
      <c r="F41" s="328" t="s">
        <v>291</v>
      </c>
      <c r="G41" s="329"/>
      <c r="H41" s="330">
        <v>25.020965776741924</v>
      </c>
      <c r="I41" s="331">
        <f t="shared" si="1"/>
        <v>7.57</v>
      </c>
      <c r="J41" s="330">
        <v>16.89</v>
      </c>
      <c r="K41" s="331">
        <f t="shared" si="0"/>
        <v>5.1100000000000003</v>
      </c>
      <c r="L41" s="652"/>
      <c r="M41" s="371"/>
      <c r="N41" s="332"/>
      <c r="O41" s="333"/>
      <c r="P41" s="332"/>
      <c r="Q41" s="333"/>
      <c r="R41" s="1389"/>
      <c r="S41" s="332"/>
      <c r="T41" s="333"/>
      <c r="U41" s="334"/>
      <c r="V41" s="335"/>
      <c r="W41" s="336"/>
      <c r="X41" s="337"/>
      <c r="Y41" s="338"/>
      <c r="Z41" s="335"/>
      <c r="AA41" s="339"/>
      <c r="AB41" s="335"/>
      <c r="AC41" s="340"/>
      <c r="AD41" s="335"/>
      <c r="AE41" s="341"/>
      <c r="AF41" s="342"/>
      <c r="AG41" s="343"/>
      <c r="AH41" s="342"/>
      <c r="AI41" s="343"/>
      <c r="AJ41" s="609"/>
      <c r="AK41" s="610"/>
      <c r="AL41" s="344"/>
      <c r="AM41" s="345"/>
      <c r="AN41" s="346"/>
      <c r="AO41" s="338"/>
      <c r="AP41" s="347"/>
      <c r="AQ41" s="340"/>
      <c r="AR41" s="348"/>
      <c r="AS41" s="349"/>
    </row>
    <row r="42" spans="1:46" ht="11.25" customHeight="1">
      <c r="A42" s="325"/>
      <c r="B42" s="650"/>
      <c r="C42" s="350"/>
      <c r="D42" s="351"/>
      <c r="E42" s="328" t="s">
        <v>294</v>
      </c>
      <c r="F42" s="328" t="s">
        <v>291</v>
      </c>
      <c r="G42" s="329"/>
      <c r="H42" s="330">
        <v>25.020965776741924</v>
      </c>
      <c r="I42" s="331">
        <f t="shared" si="1"/>
        <v>7.57</v>
      </c>
      <c r="J42" s="330">
        <v>16.89</v>
      </c>
      <c r="K42" s="331">
        <f t="shared" si="0"/>
        <v>5.1100000000000003</v>
      </c>
      <c r="L42" s="652"/>
      <c r="M42" s="371"/>
      <c r="N42" s="332"/>
      <c r="O42" s="333"/>
      <c r="P42" s="332"/>
      <c r="Q42" s="333"/>
      <c r="R42" s="1389"/>
      <c r="S42" s="332"/>
      <c r="T42" s="333"/>
      <c r="U42" s="334"/>
      <c r="V42" s="335"/>
      <c r="W42" s="336"/>
      <c r="X42" s="337"/>
      <c r="Y42" s="338"/>
      <c r="Z42" s="335"/>
      <c r="AA42" s="339"/>
      <c r="AB42" s="335"/>
      <c r="AC42" s="340"/>
      <c r="AD42" s="335"/>
      <c r="AE42" s="341"/>
      <c r="AF42" s="342"/>
      <c r="AG42" s="343"/>
      <c r="AH42" s="342"/>
      <c r="AI42" s="343"/>
      <c r="AJ42" s="609"/>
      <c r="AK42" s="610"/>
      <c r="AL42" s="344"/>
      <c r="AM42" s="345"/>
      <c r="AN42" s="346"/>
      <c r="AO42" s="338"/>
      <c r="AP42" s="347"/>
      <c r="AQ42" s="340"/>
      <c r="AR42" s="348"/>
      <c r="AS42" s="349"/>
    </row>
    <row r="43" spans="1:46" ht="11.25" customHeight="1">
      <c r="A43" s="325"/>
      <c r="B43" s="650"/>
      <c r="C43" s="350"/>
      <c r="D43" s="351"/>
      <c r="E43" s="328" t="s">
        <v>295</v>
      </c>
      <c r="F43" s="328" t="s">
        <v>291</v>
      </c>
      <c r="G43" s="329"/>
      <c r="H43" s="330">
        <v>25.020965776741924</v>
      </c>
      <c r="I43" s="331">
        <f t="shared" si="1"/>
        <v>7.57</v>
      </c>
      <c r="J43" s="330">
        <v>16.89</v>
      </c>
      <c r="K43" s="331">
        <f t="shared" si="0"/>
        <v>5.1100000000000003</v>
      </c>
      <c r="L43" s="652"/>
      <c r="M43" s="371"/>
      <c r="N43" s="332"/>
      <c r="O43" s="333"/>
      <c r="P43" s="332"/>
      <c r="Q43" s="333"/>
      <c r="R43" s="1389"/>
      <c r="S43" s="332"/>
      <c r="T43" s="333"/>
      <c r="U43" s="334"/>
      <c r="V43" s="335"/>
      <c r="W43" s="336"/>
      <c r="X43" s="337"/>
      <c r="Y43" s="338"/>
      <c r="Z43" s="335"/>
      <c r="AA43" s="339"/>
      <c r="AB43" s="335"/>
      <c r="AC43" s="340"/>
      <c r="AD43" s="335"/>
      <c r="AE43" s="341"/>
      <c r="AF43" s="342"/>
      <c r="AG43" s="343"/>
      <c r="AH43" s="342"/>
      <c r="AI43" s="343"/>
      <c r="AJ43" s="609"/>
      <c r="AK43" s="610"/>
      <c r="AL43" s="344"/>
      <c r="AM43" s="345"/>
      <c r="AN43" s="346"/>
      <c r="AO43" s="338"/>
      <c r="AP43" s="347"/>
      <c r="AQ43" s="340"/>
      <c r="AR43" s="348"/>
      <c r="AS43" s="349"/>
    </row>
    <row r="44" spans="1:46" ht="11.25" customHeight="1">
      <c r="A44" s="325"/>
      <c r="B44" s="650"/>
      <c r="C44" s="350"/>
      <c r="D44" s="351"/>
      <c r="E44" s="328" t="s">
        <v>296</v>
      </c>
      <c r="F44" s="328" t="s">
        <v>291</v>
      </c>
      <c r="G44" s="329"/>
      <c r="H44" s="330">
        <v>28.976322711253523</v>
      </c>
      <c r="I44" s="331">
        <f t="shared" si="1"/>
        <v>8.77</v>
      </c>
      <c r="J44" s="330">
        <v>19.559999999999999</v>
      </c>
      <c r="K44" s="331">
        <f t="shared" si="0"/>
        <v>5.92</v>
      </c>
      <c r="L44" s="652"/>
      <c r="M44" s="371"/>
      <c r="N44" s="332"/>
      <c r="O44" s="333"/>
      <c r="P44" s="332"/>
      <c r="Q44" s="333"/>
      <c r="R44" s="1389"/>
      <c r="S44" s="332"/>
      <c r="T44" s="333"/>
      <c r="U44" s="334"/>
      <c r="V44" s="335"/>
      <c r="W44" s="336"/>
      <c r="X44" s="337"/>
      <c r="Y44" s="338"/>
      <c r="Z44" s="335"/>
      <c r="AA44" s="339"/>
      <c r="AB44" s="335"/>
      <c r="AC44" s="340"/>
      <c r="AD44" s="335"/>
      <c r="AE44" s="341"/>
      <c r="AF44" s="342"/>
      <c r="AG44" s="343"/>
      <c r="AH44" s="342"/>
      <c r="AI44" s="343"/>
      <c r="AJ44" s="609"/>
      <c r="AK44" s="610"/>
      <c r="AL44" s="344"/>
      <c r="AM44" s="345"/>
      <c r="AN44" s="346"/>
      <c r="AO44" s="338"/>
      <c r="AP44" s="347"/>
      <c r="AQ44" s="340"/>
      <c r="AR44" s="348"/>
      <c r="AS44" s="349"/>
    </row>
    <row r="45" spans="1:46" ht="11.25" customHeight="1">
      <c r="A45" s="325"/>
      <c r="B45" s="650"/>
      <c r="C45" s="350"/>
      <c r="D45" s="351"/>
      <c r="E45" s="328" t="s">
        <v>297</v>
      </c>
      <c r="F45" s="328" t="s">
        <v>291</v>
      </c>
      <c r="G45" s="329"/>
      <c r="H45" s="330">
        <v>25.020965776741924</v>
      </c>
      <c r="I45" s="331">
        <f t="shared" si="1"/>
        <v>7.57</v>
      </c>
      <c r="J45" s="330">
        <v>16.89</v>
      </c>
      <c r="K45" s="331">
        <f t="shared" si="0"/>
        <v>5.1100000000000003</v>
      </c>
      <c r="L45" s="652"/>
      <c r="M45" s="371"/>
      <c r="N45" s="332"/>
      <c r="O45" s="333"/>
      <c r="P45" s="332"/>
      <c r="Q45" s="333"/>
      <c r="R45" s="1389"/>
      <c r="S45" s="332"/>
      <c r="T45" s="333"/>
      <c r="U45" s="334"/>
      <c r="V45" s="335"/>
      <c r="W45" s="336"/>
      <c r="X45" s="337"/>
      <c r="Y45" s="338"/>
      <c r="Z45" s="335"/>
      <c r="AA45" s="339"/>
      <c r="AB45" s="335"/>
      <c r="AC45" s="340"/>
      <c r="AD45" s="335"/>
      <c r="AE45" s="341"/>
      <c r="AF45" s="342"/>
      <c r="AG45" s="343"/>
      <c r="AH45" s="342"/>
      <c r="AI45" s="343"/>
      <c r="AJ45" s="609"/>
      <c r="AK45" s="610"/>
      <c r="AL45" s="344"/>
      <c r="AM45" s="345"/>
      <c r="AN45" s="346"/>
      <c r="AO45" s="338"/>
      <c r="AP45" s="347"/>
      <c r="AQ45" s="340"/>
      <c r="AR45" s="348"/>
      <c r="AS45" s="349"/>
    </row>
    <row r="46" spans="1:46" ht="11.25" customHeight="1">
      <c r="A46" s="325"/>
      <c r="B46" s="650"/>
      <c r="C46" s="350"/>
      <c r="D46" s="351"/>
      <c r="E46" s="328" t="s">
        <v>298</v>
      </c>
      <c r="F46" s="328" t="s">
        <v>291</v>
      </c>
      <c r="G46" s="329"/>
      <c r="H46" s="330">
        <v>25.020965776741924</v>
      </c>
      <c r="I46" s="331">
        <f t="shared" si="1"/>
        <v>7.57</v>
      </c>
      <c r="J46" s="330">
        <v>16.89</v>
      </c>
      <c r="K46" s="331">
        <f t="shared" si="0"/>
        <v>5.1100000000000003</v>
      </c>
      <c r="L46" s="652"/>
      <c r="M46" s="371"/>
      <c r="N46" s="332"/>
      <c r="O46" s="333"/>
      <c r="P46" s="332"/>
      <c r="Q46" s="333"/>
      <c r="R46" s="1389"/>
      <c r="S46" s="332"/>
      <c r="T46" s="333"/>
      <c r="U46" s="334"/>
      <c r="V46" s="335"/>
      <c r="W46" s="336"/>
      <c r="X46" s="337"/>
      <c r="Y46" s="338"/>
      <c r="Z46" s="335"/>
      <c r="AA46" s="339"/>
      <c r="AB46" s="335"/>
      <c r="AC46" s="340"/>
      <c r="AD46" s="335"/>
      <c r="AE46" s="341"/>
      <c r="AF46" s="342"/>
      <c r="AG46" s="343"/>
      <c r="AH46" s="342"/>
      <c r="AI46" s="343"/>
      <c r="AJ46" s="609"/>
      <c r="AK46" s="610"/>
      <c r="AL46" s="344"/>
      <c r="AM46" s="345"/>
      <c r="AN46" s="346"/>
      <c r="AO46" s="338"/>
      <c r="AP46" s="347"/>
      <c r="AQ46" s="340"/>
      <c r="AR46" s="348"/>
      <c r="AS46" s="349"/>
    </row>
    <row r="47" spans="1:46" ht="11.25" customHeight="1">
      <c r="A47" s="325"/>
      <c r="B47" s="650"/>
      <c r="C47" s="350"/>
      <c r="D47" s="351"/>
      <c r="E47" s="328" t="s">
        <v>299</v>
      </c>
      <c r="F47" s="328" t="s">
        <v>291</v>
      </c>
      <c r="G47" s="329"/>
      <c r="H47" s="330">
        <v>25.020965776741924</v>
      </c>
      <c r="I47" s="331">
        <f t="shared" si="1"/>
        <v>7.57</v>
      </c>
      <c r="J47" s="330">
        <v>16.89</v>
      </c>
      <c r="K47" s="331">
        <f t="shared" si="0"/>
        <v>5.1100000000000003</v>
      </c>
      <c r="L47" s="652"/>
      <c r="M47" s="371"/>
      <c r="N47" s="332"/>
      <c r="O47" s="333"/>
      <c r="P47" s="332"/>
      <c r="Q47" s="333"/>
      <c r="R47" s="1389"/>
      <c r="S47" s="332"/>
      <c r="T47" s="333"/>
      <c r="U47" s="334"/>
      <c r="V47" s="335"/>
      <c r="W47" s="336"/>
      <c r="X47" s="337"/>
      <c r="Y47" s="338"/>
      <c r="Z47" s="335"/>
      <c r="AA47" s="339"/>
      <c r="AB47" s="335"/>
      <c r="AC47" s="340"/>
      <c r="AD47" s="335"/>
      <c r="AE47" s="341"/>
      <c r="AF47" s="342"/>
      <c r="AG47" s="343"/>
      <c r="AH47" s="342"/>
      <c r="AI47" s="343"/>
      <c r="AJ47" s="609"/>
      <c r="AK47" s="610"/>
      <c r="AL47" s="344"/>
      <c r="AM47" s="345"/>
      <c r="AN47" s="346"/>
      <c r="AO47" s="338"/>
      <c r="AP47" s="347"/>
      <c r="AQ47" s="340"/>
      <c r="AR47" s="348"/>
      <c r="AS47" s="349"/>
    </row>
    <row r="48" spans="1:46" ht="11.25" customHeight="1">
      <c r="A48" s="325"/>
      <c r="B48" s="650"/>
      <c r="C48" s="350"/>
      <c r="D48" s="351"/>
      <c r="E48" s="328" t="s">
        <v>300</v>
      </c>
      <c r="F48" s="328" t="s">
        <v>291</v>
      </c>
      <c r="G48" s="329"/>
      <c r="H48" s="330">
        <v>25.020965776741924</v>
      </c>
      <c r="I48" s="331">
        <f t="shared" si="1"/>
        <v>7.57</v>
      </c>
      <c r="J48" s="330">
        <v>16.89</v>
      </c>
      <c r="K48" s="331">
        <f t="shared" si="0"/>
        <v>5.1100000000000003</v>
      </c>
      <c r="L48" s="652"/>
      <c r="M48" s="371"/>
      <c r="N48" s="332"/>
      <c r="O48" s="333"/>
      <c r="P48" s="332"/>
      <c r="Q48" s="333"/>
      <c r="R48" s="1389"/>
      <c r="S48" s="332"/>
      <c r="T48" s="333"/>
      <c r="U48" s="334"/>
      <c r="V48" s="335"/>
      <c r="W48" s="336"/>
      <c r="X48" s="337"/>
      <c r="Y48" s="338"/>
      <c r="Z48" s="335"/>
      <c r="AA48" s="339"/>
      <c r="AB48" s="335"/>
      <c r="AC48" s="340"/>
      <c r="AD48" s="335"/>
      <c r="AE48" s="341"/>
      <c r="AF48" s="342"/>
      <c r="AG48" s="343"/>
      <c r="AH48" s="342"/>
      <c r="AI48" s="343"/>
      <c r="AJ48" s="609"/>
      <c r="AK48" s="610"/>
      <c r="AL48" s="344"/>
      <c r="AM48" s="345"/>
      <c r="AN48" s="346"/>
      <c r="AO48" s="338"/>
      <c r="AP48" s="347"/>
      <c r="AQ48" s="340"/>
      <c r="AR48" s="348"/>
      <c r="AS48" s="349"/>
    </row>
    <row r="49" spans="1:45" ht="11.25" customHeight="1">
      <c r="A49" s="325"/>
      <c r="B49" s="650"/>
      <c r="C49" s="350"/>
      <c r="D49" s="352"/>
      <c r="E49" s="353" t="s">
        <v>301</v>
      </c>
      <c r="F49" s="354" t="s">
        <v>302</v>
      </c>
      <c r="G49" s="355" t="s">
        <v>303</v>
      </c>
      <c r="H49" s="356">
        <v>1584.75</v>
      </c>
      <c r="I49" s="357">
        <f>ROUNDDOWN(H49*0.3025, 2)</f>
        <v>479.38</v>
      </c>
      <c r="J49" s="356">
        <v>1069.768</v>
      </c>
      <c r="K49" s="357">
        <f t="shared" si="0"/>
        <v>323.60000000000002</v>
      </c>
      <c r="L49" s="652"/>
      <c r="M49" s="371"/>
      <c r="N49" s="358">
        <f>ROUND(O49/$I49,-2)</f>
        <v>208600</v>
      </c>
      <c r="O49" s="359">
        <v>100000000</v>
      </c>
      <c r="P49" s="358">
        <f>ROUND(Q49/$I49,-2)</f>
        <v>40000</v>
      </c>
      <c r="Q49" s="359">
        <v>19175475</v>
      </c>
      <c r="R49" s="1390"/>
      <c r="S49" s="358">
        <f>ROUND(T49/$I49,-2)</f>
        <v>3000</v>
      </c>
      <c r="T49" s="359">
        <v>1438161</v>
      </c>
      <c r="U49" s="360">
        <v>45623</v>
      </c>
      <c r="V49" s="361">
        <v>45658</v>
      </c>
      <c r="W49" s="362">
        <v>47483</v>
      </c>
      <c r="X49" s="363">
        <f>ROUND(YEARFRAC(V49,W49)*12,1)</f>
        <v>60</v>
      </c>
      <c r="Y49" s="636" t="s">
        <v>304</v>
      </c>
      <c r="Z49" s="628" t="s">
        <v>305</v>
      </c>
      <c r="AA49" s="628" t="s">
        <v>306</v>
      </c>
      <c r="AB49" s="364">
        <v>47299</v>
      </c>
      <c r="AC49" s="365" t="s">
        <v>307</v>
      </c>
      <c r="AD49" s="335"/>
      <c r="AE49" s="341"/>
      <c r="AF49" s="364">
        <v>46023</v>
      </c>
      <c r="AG49" s="366">
        <v>2.5000000000000001E-2</v>
      </c>
      <c r="AH49" s="364">
        <v>46023</v>
      </c>
      <c r="AI49" s="366">
        <v>2.5000000000000001E-2</v>
      </c>
      <c r="AJ49" s="367" t="s">
        <v>308</v>
      </c>
      <c r="AK49" s="368"/>
      <c r="AL49" s="642">
        <v>2</v>
      </c>
      <c r="AM49" s="631" t="s">
        <v>309</v>
      </c>
      <c r="AN49" s="634">
        <v>8</v>
      </c>
      <c r="AO49" s="636" t="s">
        <v>310</v>
      </c>
      <c r="AP49" s="638"/>
      <c r="AQ49" s="640"/>
      <c r="AR49" s="348" t="s">
        <v>311</v>
      </c>
      <c r="AS49" s="626"/>
    </row>
    <row r="50" spans="1:45" ht="11.25" customHeight="1">
      <c r="A50" s="325"/>
      <c r="B50" s="650"/>
      <c r="C50" s="350"/>
      <c r="D50" s="352"/>
      <c r="E50" s="353" t="s">
        <v>312</v>
      </c>
      <c r="F50" s="354" t="s">
        <v>302</v>
      </c>
      <c r="G50" s="369"/>
      <c r="H50" s="370"/>
      <c r="I50" s="371"/>
      <c r="J50" s="370"/>
      <c r="K50" s="371"/>
      <c r="L50" s="652"/>
      <c r="M50" s="371"/>
      <c r="N50" s="372"/>
      <c r="O50" s="373"/>
      <c r="P50" s="372"/>
      <c r="Q50" s="373"/>
      <c r="R50" s="290"/>
      <c r="S50" s="372"/>
      <c r="T50" s="373"/>
      <c r="U50" s="374"/>
      <c r="V50" s="375"/>
      <c r="W50" s="376"/>
      <c r="X50" s="377"/>
      <c r="Y50" s="637"/>
      <c r="Z50" s="629"/>
      <c r="AA50" s="629"/>
      <c r="AB50" s="378"/>
      <c r="AC50" s="379"/>
      <c r="AD50" s="335"/>
      <c r="AE50" s="341"/>
      <c r="AF50" s="378"/>
      <c r="AG50" s="380"/>
      <c r="AH50" s="378"/>
      <c r="AI50" s="380"/>
      <c r="AJ50" s="381"/>
      <c r="AK50" s="382"/>
      <c r="AL50" s="643"/>
      <c r="AM50" s="632"/>
      <c r="AN50" s="635"/>
      <c r="AO50" s="637"/>
      <c r="AP50" s="639"/>
      <c r="AQ50" s="641"/>
      <c r="AR50" s="379"/>
      <c r="AS50" s="627"/>
    </row>
    <row r="51" spans="1:45" ht="11.25" customHeight="1">
      <c r="A51" s="325"/>
      <c r="B51" s="650"/>
      <c r="C51" s="350"/>
      <c r="D51" s="352"/>
      <c r="E51" s="353" t="s">
        <v>313</v>
      </c>
      <c r="F51" s="354" t="s">
        <v>302</v>
      </c>
      <c r="G51" s="369"/>
      <c r="H51" s="370"/>
      <c r="I51" s="371"/>
      <c r="J51" s="370"/>
      <c r="K51" s="371"/>
      <c r="L51" s="652"/>
      <c r="M51" s="371"/>
      <c r="N51" s="372"/>
      <c r="O51" s="373"/>
      <c r="P51" s="372"/>
      <c r="Q51" s="373"/>
      <c r="R51" s="290"/>
      <c r="S51" s="372"/>
      <c r="T51" s="373"/>
      <c r="U51" s="374"/>
      <c r="V51" s="375"/>
      <c r="W51" s="376"/>
      <c r="X51" s="377"/>
      <c r="Y51" s="637"/>
      <c r="Z51" s="629"/>
      <c r="AA51" s="629"/>
      <c r="AB51" s="378"/>
      <c r="AC51" s="379"/>
      <c r="AD51" s="335"/>
      <c r="AE51" s="341"/>
      <c r="AF51" s="378"/>
      <c r="AG51" s="380"/>
      <c r="AH51" s="378"/>
      <c r="AI51" s="380"/>
      <c r="AJ51" s="381"/>
      <c r="AK51" s="382"/>
      <c r="AL51" s="643"/>
      <c r="AM51" s="632"/>
      <c r="AN51" s="635"/>
      <c r="AO51" s="637"/>
      <c r="AP51" s="639"/>
      <c r="AQ51" s="641"/>
      <c r="AR51" s="379"/>
      <c r="AS51" s="627"/>
    </row>
    <row r="52" spans="1:45" ht="11.25" customHeight="1">
      <c r="A52" s="325"/>
      <c r="B52" s="650"/>
      <c r="C52" s="350"/>
      <c r="D52" s="352"/>
      <c r="E52" s="353" t="s">
        <v>314</v>
      </c>
      <c r="F52" s="354" t="s">
        <v>302</v>
      </c>
      <c r="G52" s="369"/>
      <c r="H52" s="370"/>
      <c r="I52" s="371"/>
      <c r="J52" s="370"/>
      <c r="K52" s="371"/>
      <c r="L52" s="652"/>
      <c r="M52" s="371"/>
      <c r="N52" s="372"/>
      <c r="O52" s="373"/>
      <c r="P52" s="372"/>
      <c r="Q52" s="373"/>
      <c r="R52" s="290"/>
      <c r="S52" s="372"/>
      <c r="T52" s="373"/>
      <c r="U52" s="374"/>
      <c r="V52" s="375"/>
      <c r="W52" s="376"/>
      <c r="X52" s="377"/>
      <c r="Y52" s="637"/>
      <c r="Z52" s="629"/>
      <c r="AA52" s="629"/>
      <c r="AB52" s="378"/>
      <c r="AC52" s="379"/>
      <c r="AD52" s="335"/>
      <c r="AE52" s="341"/>
      <c r="AF52" s="378"/>
      <c r="AG52" s="380"/>
      <c r="AH52" s="378"/>
      <c r="AI52" s="380"/>
      <c r="AJ52" s="381"/>
      <c r="AK52" s="382"/>
      <c r="AL52" s="643"/>
      <c r="AM52" s="632"/>
      <c r="AN52" s="635"/>
      <c r="AO52" s="637"/>
      <c r="AP52" s="639"/>
      <c r="AQ52" s="641"/>
      <c r="AR52" s="379"/>
      <c r="AS52" s="627"/>
    </row>
    <row r="53" spans="1:45" ht="11.25" customHeight="1">
      <c r="A53" s="325"/>
      <c r="B53" s="650"/>
      <c r="C53" s="350"/>
      <c r="D53" s="352"/>
      <c r="E53" s="353" t="s">
        <v>315</v>
      </c>
      <c r="F53" s="354" t="s">
        <v>302</v>
      </c>
      <c r="G53" s="369"/>
      <c r="H53" s="370"/>
      <c r="I53" s="371"/>
      <c r="J53" s="370"/>
      <c r="K53" s="371"/>
      <c r="L53" s="652"/>
      <c r="M53" s="371"/>
      <c r="N53" s="372"/>
      <c r="O53" s="373"/>
      <c r="P53" s="372"/>
      <c r="Q53" s="373"/>
      <c r="R53" s="290"/>
      <c r="S53" s="372"/>
      <c r="T53" s="373"/>
      <c r="U53" s="374"/>
      <c r="V53" s="375"/>
      <c r="W53" s="376"/>
      <c r="X53" s="377"/>
      <c r="Y53" s="637"/>
      <c r="Z53" s="629"/>
      <c r="AA53" s="629"/>
      <c r="AB53" s="378"/>
      <c r="AC53" s="379"/>
      <c r="AD53" s="335"/>
      <c r="AE53" s="341"/>
      <c r="AF53" s="378"/>
      <c r="AG53" s="380"/>
      <c r="AH53" s="378"/>
      <c r="AI53" s="380"/>
      <c r="AJ53" s="381"/>
      <c r="AK53" s="382"/>
      <c r="AL53" s="643"/>
      <c r="AM53" s="632"/>
      <c r="AN53" s="635"/>
      <c r="AO53" s="637"/>
      <c r="AP53" s="639"/>
      <c r="AQ53" s="641"/>
      <c r="AR53" s="379"/>
      <c r="AS53" s="627"/>
    </row>
    <row r="54" spans="1:45" ht="11.25" customHeight="1">
      <c r="A54" s="325"/>
      <c r="B54" s="650"/>
      <c r="C54" s="350"/>
      <c r="D54" s="352"/>
      <c r="E54" s="353" t="s">
        <v>316</v>
      </c>
      <c r="F54" s="354" t="s">
        <v>302</v>
      </c>
      <c r="G54" s="369"/>
      <c r="H54" s="370"/>
      <c r="I54" s="371"/>
      <c r="J54" s="370"/>
      <c r="K54" s="371"/>
      <c r="L54" s="652"/>
      <c r="M54" s="371"/>
      <c r="N54" s="372"/>
      <c r="O54" s="373"/>
      <c r="P54" s="372"/>
      <c r="Q54" s="373"/>
      <c r="R54" s="290"/>
      <c r="S54" s="372"/>
      <c r="T54" s="373"/>
      <c r="U54" s="374"/>
      <c r="V54" s="375"/>
      <c r="W54" s="376"/>
      <c r="X54" s="377"/>
      <c r="Y54" s="637"/>
      <c r="Z54" s="629"/>
      <c r="AA54" s="629"/>
      <c r="AB54" s="378"/>
      <c r="AC54" s="379"/>
      <c r="AD54" s="335"/>
      <c r="AE54" s="341"/>
      <c r="AF54" s="378"/>
      <c r="AG54" s="380"/>
      <c r="AH54" s="378"/>
      <c r="AI54" s="380"/>
      <c r="AJ54" s="381"/>
      <c r="AK54" s="382"/>
      <c r="AL54" s="643"/>
      <c r="AM54" s="632"/>
      <c r="AN54" s="635"/>
      <c r="AO54" s="637"/>
      <c r="AP54" s="639"/>
      <c r="AQ54" s="641"/>
      <c r="AR54" s="379"/>
      <c r="AS54" s="627"/>
    </row>
    <row r="55" spans="1:45" ht="11.25" customHeight="1">
      <c r="A55" s="325"/>
      <c r="B55" s="650"/>
      <c r="C55" s="350"/>
      <c r="D55" s="352"/>
      <c r="E55" s="353" t="s">
        <v>317</v>
      </c>
      <c r="F55" s="354" t="s">
        <v>302</v>
      </c>
      <c r="G55" s="369"/>
      <c r="H55" s="370"/>
      <c r="I55" s="371"/>
      <c r="J55" s="370"/>
      <c r="K55" s="371"/>
      <c r="L55" s="652"/>
      <c r="M55" s="371"/>
      <c r="N55" s="372"/>
      <c r="O55" s="373"/>
      <c r="P55" s="372"/>
      <c r="Q55" s="373"/>
      <c r="R55" s="290"/>
      <c r="S55" s="372"/>
      <c r="T55" s="373"/>
      <c r="U55" s="374"/>
      <c r="V55" s="375"/>
      <c r="W55" s="376"/>
      <c r="X55" s="377"/>
      <c r="Y55" s="637"/>
      <c r="Z55" s="629"/>
      <c r="AA55" s="629"/>
      <c r="AB55" s="378"/>
      <c r="AC55" s="379"/>
      <c r="AD55" s="335"/>
      <c r="AE55" s="341"/>
      <c r="AF55" s="378"/>
      <c r="AG55" s="380"/>
      <c r="AH55" s="378"/>
      <c r="AI55" s="380"/>
      <c r="AJ55" s="381"/>
      <c r="AK55" s="382"/>
      <c r="AL55" s="643"/>
      <c r="AM55" s="632"/>
      <c r="AN55" s="635"/>
      <c r="AO55" s="637"/>
      <c r="AP55" s="639"/>
      <c r="AQ55" s="641"/>
      <c r="AR55" s="379"/>
      <c r="AS55" s="627"/>
    </row>
    <row r="56" spans="1:45" ht="11.25" customHeight="1">
      <c r="A56" s="325"/>
      <c r="B56" s="650"/>
      <c r="C56" s="350"/>
      <c r="D56" s="383"/>
      <c r="E56" s="353" t="s">
        <v>318</v>
      </c>
      <c r="F56" s="354" t="s">
        <v>302</v>
      </c>
      <c r="G56" s="369"/>
      <c r="H56" s="370"/>
      <c r="I56" s="371"/>
      <c r="J56" s="370"/>
      <c r="K56" s="371"/>
      <c r="L56" s="652"/>
      <c r="M56" s="371"/>
      <c r="N56" s="372"/>
      <c r="O56" s="373"/>
      <c r="P56" s="372"/>
      <c r="Q56" s="373"/>
      <c r="R56" s="290"/>
      <c r="S56" s="372"/>
      <c r="T56" s="373"/>
      <c r="U56" s="374"/>
      <c r="V56" s="375"/>
      <c r="W56" s="376"/>
      <c r="X56" s="377"/>
      <c r="Y56" s="637"/>
      <c r="Z56" s="629"/>
      <c r="AA56" s="629"/>
      <c r="AB56" s="378"/>
      <c r="AC56" s="379"/>
      <c r="AD56" s="335"/>
      <c r="AE56" s="341"/>
      <c r="AF56" s="378"/>
      <c r="AG56" s="380"/>
      <c r="AH56" s="378"/>
      <c r="AI56" s="380"/>
      <c r="AJ56" s="381"/>
      <c r="AK56" s="382"/>
      <c r="AL56" s="643"/>
      <c r="AM56" s="632"/>
      <c r="AN56" s="635"/>
      <c r="AO56" s="637"/>
      <c r="AP56" s="639"/>
      <c r="AQ56" s="641"/>
      <c r="AR56" s="379"/>
      <c r="AS56" s="627"/>
    </row>
    <row r="57" spans="1:45" ht="11.25" customHeight="1">
      <c r="A57" s="325" t="e">
        <f>IF(V57&gt;#REF!,0,1)</f>
        <v>#REF!</v>
      </c>
      <c r="B57" s="650"/>
      <c r="C57" s="350"/>
      <c r="D57" s="384" t="s">
        <v>319</v>
      </c>
      <c r="E57" s="384" t="s">
        <v>320</v>
      </c>
      <c r="F57" s="354" t="s">
        <v>302</v>
      </c>
      <c r="G57" s="369"/>
      <c r="H57" s="370"/>
      <c r="I57" s="371"/>
      <c r="J57" s="370"/>
      <c r="K57" s="371"/>
      <c r="L57" s="652"/>
      <c r="M57" s="371"/>
      <c r="N57" s="372"/>
      <c r="O57" s="373"/>
      <c r="P57" s="372"/>
      <c r="Q57" s="373"/>
      <c r="R57" s="290"/>
      <c r="S57" s="372"/>
      <c r="T57" s="373"/>
      <c r="U57" s="374"/>
      <c r="V57" s="375"/>
      <c r="W57" s="376"/>
      <c r="X57" s="377"/>
      <c r="Y57" s="637"/>
      <c r="Z57" s="629"/>
      <c r="AA57" s="629"/>
      <c r="AB57" s="378"/>
      <c r="AC57" s="379"/>
      <c r="AD57" s="342"/>
      <c r="AE57" s="341"/>
      <c r="AF57" s="378"/>
      <c r="AG57" s="380"/>
      <c r="AH57" s="378"/>
      <c r="AI57" s="380"/>
      <c r="AJ57" s="381"/>
      <c r="AK57" s="382"/>
      <c r="AL57" s="643"/>
      <c r="AM57" s="632"/>
      <c r="AN57" s="635"/>
      <c r="AO57" s="637"/>
      <c r="AP57" s="639"/>
      <c r="AQ57" s="641"/>
      <c r="AR57" s="379"/>
      <c r="AS57" s="627"/>
    </row>
    <row r="58" spans="1:45" ht="11.25" customHeight="1">
      <c r="A58" s="325"/>
      <c r="B58" s="650"/>
      <c r="C58" s="350"/>
      <c r="D58" s="385" t="s">
        <v>321</v>
      </c>
      <c r="E58" s="353" t="s">
        <v>322</v>
      </c>
      <c r="F58" s="354" t="s">
        <v>302</v>
      </c>
      <c r="G58" s="369"/>
      <c r="H58" s="370"/>
      <c r="I58" s="371"/>
      <c r="J58" s="370"/>
      <c r="K58" s="371"/>
      <c r="L58" s="652"/>
      <c r="M58" s="371"/>
      <c r="N58" s="372"/>
      <c r="O58" s="373"/>
      <c r="P58" s="372"/>
      <c r="Q58" s="373"/>
      <c r="R58" s="290"/>
      <c r="S58" s="372"/>
      <c r="T58" s="373"/>
      <c r="U58" s="374"/>
      <c r="V58" s="375"/>
      <c r="W58" s="376"/>
      <c r="X58" s="377"/>
      <c r="Y58" s="637"/>
      <c r="Z58" s="629"/>
      <c r="AA58" s="629"/>
      <c r="AB58" s="378"/>
      <c r="AC58" s="379"/>
      <c r="AD58" s="335"/>
      <c r="AE58" s="341"/>
      <c r="AF58" s="378"/>
      <c r="AG58" s="380"/>
      <c r="AH58" s="378"/>
      <c r="AI58" s="380"/>
      <c r="AJ58" s="381"/>
      <c r="AK58" s="382"/>
      <c r="AL58" s="643"/>
      <c r="AM58" s="632"/>
      <c r="AN58" s="635"/>
      <c r="AO58" s="637"/>
      <c r="AP58" s="639"/>
      <c r="AQ58" s="641"/>
      <c r="AR58" s="379"/>
      <c r="AS58" s="627"/>
    </row>
    <row r="59" spans="1:45" ht="11.25" customHeight="1">
      <c r="A59" s="325"/>
      <c r="B59" s="650"/>
      <c r="C59" s="350"/>
      <c r="D59" s="385" t="s">
        <v>321</v>
      </c>
      <c r="E59" s="353" t="s">
        <v>323</v>
      </c>
      <c r="F59" s="354" t="s">
        <v>302</v>
      </c>
      <c r="G59" s="386"/>
      <c r="H59" s="387"/>
      <c r="I59" s="388"/>
      <c r="J59" s="387"/>
      <c r="K59" s="388"/>
      <c r="L59" s="652"/>
      <c r="M59" s="371"/>
      <c r="N59" s="389"/>
      <c r="O59" s="390"/>
      <c r="P59" s="389"/>
      <c r="Q59" s="390"/>
      <c r="R59" s="1391"/>
      <c r="S59" s="389"/>
      <c r="T59" s="390"/>
      <c r="U59" s="391"/>
      <c r="V59" s="392"/>
      <c r="W59" s="393"/>
      <c r="X59" s="394"/>
      <c r="Y59" s="476"/>
      <c r="Z59" s="630"/>
      <c r="AA59" s="630"/>
      <c r="AB59" s="395"/>
      <c r="AC59" s="396"/>
      <c r="AD59" s="335"/>
      <c r="AE59" s="341"/>
      <c r="AF59" s="395"/>
      <c r="AG59" s="397"/>
      <c r="AH59" s="395"/>
      <c r="AI59" s="397"/>
      <c r="AJ59" s="398"/>
      <c r="AK59" s="399"/>
      <c r="AL59" s="644"/>
      <c r="AM59" s="633"/>
      <c r="AN59" s="475"/>
      <c r="AO59" s="476"/>
      <c r="AP59" s="470"/>
      <c r="AQ59" s="477"/>
      <c r="AR59" s="396"/>
      <c r="AS59" s="478"/>
    </row>
    <row r="60" spans="1:45" ht="11.25" customHeight="1">
      <c r="A60" s="325"/>
      <c r="B60" s="650"/>
      <c r="C60" s="350"/>
      <c r="D60" s="329" t="s">
        <v>321</v>
      </c>
      <c r="E60" s="328" t="s">
        <v>324</v>
      </c>
      <c r="F60" s="328" t="s">
        <v>291</v>
      </c>
      <c r="G60" s="328"/>
      <c r="H60" s="330">
        <v>211.10051054977646</v>
      </c>
      <c r="I60" s="331">
        <f t="shared" ref="I60:I72" si="2">ROUND(H60*0.3025, 2)</f>
        <v>63.86</v>
      </c>
      <c r="J60" s="330">
        <v>142.5</v>
      </c>
      <c r="K60" s="331">
        <f t="shared" ref="K60:K72" si="3">ROUND(J60*0.3025, 2)</f>
        <v>43.11</v>
      </c>
      <c r="L60" s="652"/>
      <c r="M60" s="371"/>
      <c r="N60" s="332"/>
      <c r="O60" s="333"/>
      <c r="P60" s="332"/>
      <c r="Q60" s="333"/>
      <c r="R60" s="1389"/>
      <c r="S60" s="332"/>
      <c r="T60" s="333"/>
      <c r="U60" s="334"/>
      <c r="V60" s="335"/>
      <c r="W60" s="336"/>
      <c r="X60" s="337"/>
      <c r="Y60" s="338"/>
      <c r="Z60" s="335"/>
      <c r="AA60" s="339"/>
      <c r="AB60" s="335"/>
      <c r="AC60" s="340"/>
      <c r="AD60" s="335"/>
      <c r="AE60" s="341"/>
      <c r="AF60" s="342"/>
      <c r="AG60" s="400"/>
      <c r="AH60" s="342"/>
      <c r="AI60" s="400"/>
      <c r="AJ60" s="609"/>
      <c r="AK60" s="610"/>
      <c r="AL60" s="344"/>
      <c r="AM60" s="401"/>
      <c r="AN60" s="346"/>
      <c r="AO60" s="338"/>
      <c r="AP60" s="347"/>
      <c r="AQ60" s="340"/>
      <c r="AR60" s="348"/>
      <c r="AS60" s="349"/>
    </row>
    <row r="61" spans="1:45" ht="11.25" customHeight="1">
      <c r="A61" s="325"/>
      <c r="B61" s="650"/>
      <c r="C61" s="402"/>
      <c r="D61" s="403" t="s">
        <v>321</v>
      </c>
      <c r="E61" s="404" t="s">
        <v>325</v>
      </c>
      <c r="F61" s="405" t="s">
        <v>302</v>
      </c>
      <c r="G61" s="355" t="s">
        <v>326</v>
      </c>
      <c r="H61" s="406">
        <v>685.62</v>
      </c>
      <c r="I61" s="407">
        <f t="shared" si="2"/>
        <v>207.4</v>
      </c>
      <c r="J61" s="406">
        <v>464.64</v>
      </c>
      <c r="K61" s="407">
        <f t="shared" si="3"/>
        <v>140.55000000000001</v>
      </c>
      <c r="L61" s="653"/>
      <c r="M61" s="388"/>
      <c r="N61" s="332">
        <f t="shared" ref="N61:N71" si="4">ROUND(O61/$I61,-2)</f>
        <v>219000</v>
      </c>
      <c r="O61" s="333">
        <v>45420408</v>
      </c>
      <c r="P61" s="332">
        <f t="shared" ref="P61:P71" si="5">ROUND(Q61/$I61,-2)</f>
        <v>36500</v>
      </c>
      <c r="Q61" s="333">
        <v>7570068</v>
      </c>
      <c r="R61" s="1389"/>
      <c r="S61" s="332">
        <f t="shared" ref="S61:S71" si="6">ROUND(T61/$I61,-2)</f>
        <v>2500</v>
      </c>
      <c r="T61" s="333">
        <v>518498</v>
      </c>
      <c r="U61" s="334">
        <v>45379</v>
      </c>
      <c r="V61" s="335">
        <v>45413</v>
      </c>
      <c r="W61" s="336">
        <v>49064</v>
      </c>
      <c r="X61" s="337">
        <f t="shared" ref="X61:X72" si="7">ROUND(YEARFRAC(V61,W61)*12,1)</f>
        <v>120</v>
      </c>
      <c r="Y61" s="338" t="s">
        <v>304</v>
      </c>
      <c r="Z61" s="335" t="s">
        <v>327</v>
      </c>
      <c r="AA61" s="628" t="s">
        <v>328</v>
      </c>
      <c r="AB61" s="335"/>
      <c r="AC61" s="340"/>
      <c r="AD61" s="335"/>
      <c r="AE61" s="341"/>
      <c r="AF61" s="342">
        <v>45778</v>
      </c>
      <c r="AG61" s="400">
        <v>2.5000000000000001E-2</v>
      </c>
      <c r="AH61" s="342">
        <v>45778</v>
      </c>
      <c r="AI61" s="400">
        <v>2.5000000000000001E-2</v>
      </c>
      <c r="AJ61" s="609" t="s">
        <v>329</v>
      </c>
      <c r="AK61" s="610"/>
      <c r="AL61" s="344">
        <v>4</v>
      </c>
      <c r="AM61" s="408" t="s">
        <v>330</v>
      </c>
      <c r="AN61" s="346">
        <v>5</v>
      </c>
      <c r="AO61" s="338" t="s">
        <v>331</v>
      </c>
      <c r="AP61" s="347"/>
      <c r="AQ61" s="340"/>
      <c r="AR61" s="348" t="s">
        <v>332</v>
      </c>
      <c r="AS61" s="349"/>
    </row>
    <row r="62" spans="1:45" ht="11.25" customHeight="1">
      <c r="A62" s="325"/>
      <c r="B62" s="650"/>
      <c r="C62" s="326" t="s">
        <v>333</v>
      </c>
      <c r="D62" s="409" t="s">
        <v>321</v>
      </c>
      <c r="E62" s="403" t="s">
        <v>320</v>
      </c>
      <c r="F62" s="405" t="s">
        <v>302</v>
      </c>
      <c r="G62" s="355" t="s">
        <v>334</v>
      </c>
      <c r="H62" s="410">
        <v>5125.3489047433195</v>
      </c>
      <c r="I62" s="407">
        <f t="shared" si="2"/>
        <v>1550.42</v>
      </c>
      <c r="J62" s="410">
        <v>3929.9800000000005</v>
      </c>
      <c r="K62" s="407">
        <f t="shared" si="3"/>
        <v>1188.82</v>
      </c>
      <c r="L62" s="411">
        <v>8116.25</v>
      </c>
      <c r="M62" s="412">
        <f t="shared" ref="M62:M67" si="8">ROUND(L62*0.3025, 2)</f>
        <v>2455.17</v>
      </c>
      <c r="N62" s="332">
        <f t="shared" si="4"/>
        <v>360000</v>
      </c>
      <c r="O62" s="333">
        <v>558151200</v>
      </c>
      <c r="P62" s="332">
        <f t="shared" si="5"/>
        <v>60000</v>
      </c>
      <c r="Q62" s="333">
        <v>93025200</v>
      </c>
      <c r="R62" s="1389"/>
      <c r="S62" s="332">
        <f t="shared" si="6"/>
        <v>3000</v>
      </c>
      <c r="T62" s="333">
        <v>4651260</v>
      </c>
      <c r="U62" s="334">
        <v>45327</v>
      </c>
      <c r="V62" s="335">
        <v>45323</v>
      </c>
      <c r="W62" s="336">
        <v>49064</v>
      </c>
      <c r="X62" s="337">
        <f t="shared" si="7"/>
        <v>123</v>
      </c>
      <c r="Y62" s="338" t="s">
        <v>304</v>
      </c>
      <c r="Z62" s="335" t="s">
        <v>335</v>
      </c>
      <c r="AA62" s="629"/>
      <c r="AB62" s="335"/>
      <c r="AC62" s="340"/>
      <c r="AD62" s="335"/>
      <c r="AE62" s="341"/>
      <c r="AF62" s="342">
        <v>45689</v>
      </c>
      <c r="AG62" s="400">
        <v>2.5000000000000001E-2</v>
      </c>
      <c r="AH62" s="342">
        <v>45689</v>
      </c>
      <c r="AI62" s="400">
        <v>2.5000000000000001E-2</v>
      </c>
      <c r="AJ62" s="609" t="s">
        <v>336</v>
      </c>
      <c r="AK62" s="610"/>
      <c r="AL62" s="344">
        <v>3</v>
      </c>
      <c r="AM62" s="408" t="s">
        <v>330</v>
      </c>
      <c r="AN62" s="346">
        <v>5</v>
      </c>
      <c r="AO62" s="338" t="s">
        <v>331</v>
      </c>
      <c r="AP62" s="347"/>
      <c r="AQ62" s="340"/>
      <c r="AR62" s="348" t="s">
        <v>332</v>
      </c>
      <c r="AS62" s="349"/>
    </row>
    <row r="63" spans="1:45" ht="11.25" customHeight="1">
      <c r="A63" s="325"/>
      <c r="B63" s="650"/>
      <c r="C63" s="326" t="s">
        <v>337</v>
      </c>
      <c r="D63" s="409" t="s">
        <v>321</v>
      </c>
      <c r="E63" s="403" t="s">
        <v>320</v>
      </c>
      <c r="F63" s="405" t="s">
        <v>302</v>
      </c>
      <c r="G63" s="355" t="s">
        <v>334</v>
      </c>
      <c r="H63" s="410">
        <v>7232.6196497370329</v>
      </c>
      <c r="I63" s="407">
        <f t="shared" si="2"/>
        <v>2187.87</v>
      </c>
      <c r="J63" s="410">
        <v>5753.47</v>
      </c>
      <c r="K63" s="407">
        <f t="shared" si="3"/>
        <v>1740.42</v>
      </c>
      <c r="L63" s="411">
        <v>10213.76</v>
      </c>
      <c r="M63" s="412">
        <f t="shared" si="8"/>
        <v>3089.66</v>
      </c>
      <c r="N63" s="332">
        <f t="shared" si="4"/>
        <v>360000</v>
      </c>
      <c r="O63" s="333">
        <v>787633200</v>
      </c>
      <c r="P63" s="332">
        <f t="shared" si="5"/>
        <v>60000</v>
      </c>
      <c r="Q63" s="333">
        <v>131272200</v>
      </c>
      <c r="R63" s="1389"/>
      <c r="S63" s="332">
        <f t="shared" si="6"/>
        <v>3000</v>
      </c>
      <c r="T63" s="333">
        <v>6563610</v>
      </c>
      <c r="U63" s="334">
        <v>45327</v>
      </c>
      <c r="V63" s="335">
        <v>45323</v>
      </c>
      <c r="W63" s="336">
        <v>49064</v>
      </c>
      <c r="X63" s="337">
        <f t="shared" si="7"/>
        <v>123</v>
      </c>
      <c r="Y63" s="338" t="s">
        <v>304</v>
      </c>
      <c r="Z63" s="335" t="s">
        <v>335</v>
      </c>
      <c r="AA63" s="629"/>
      <c r="AB63" s="335"/>
      <c r="AC63" s="340"/>
      <c r="AD63" s="335"/>
      <c r="AE63" s="341"/>
      <c r="AF63" s="342">
        <v>45689</v>
      </c>
      <c r="AG63" s="400">
        <v>2.5000000000000001E-2</v>
      </c>
      <c r="AH63" s="342">
        <v>45689</v>
      </c>
      <c r="AI63" s="400">
        <v>2.5000000000000001E-2</v>
      </c>
      <c r="AJ63" s="609" t="s">
        <v>336</v>
      </c>
      <c r="AK63" s="610"/>
      <c r="AL63" s="344">
        <v>3</v>
      </c>
      <c r="AM63" s="408" t="s">
        <v>330</v>
      </c>
      <c r="AN63" s="346">
        <v>5</v>
      </c>
      <c r="AO63" s="338" t="s">
        <v>331</v>
      </c>
      <c r="AP63" s="347"/>
      <c r="AQ63" s="340"/>
      <c r="AR63" s="348" t="s">
        <v>332</v>
      </c>
      <c r="AS63" s="349"/>
    </row>
    <row r="64" spans="1:45" ht="11.25" customHeight="1">
      <c r="A64" s="325"/>
      <c r="B64" s="650"/>
      <c r="C64" s="326" t="s">
        <v>338</v>
      </c>
      <c r="D64" s="409" t="s">
        <v>321</v>
      </c>
      <c r="E64" s="403" t="s">
        <v>320</v>
      </c>
      <c r="F64" s="405" t="s">
        <v>302</v>
      </c>
      <c r="G64" s="355" t="s">
        <v>334</v>
      </c>
      <c r="H64" s="410">
        <v>7224.9899694741771</v>
      </c>
      <c r="I64" s="407">
        <f t="shared" si="2"/>
        <v>2185.56</v>
      </c>
      <c r="J64" s="410">
        <v>5747.48</v>
      </c>
      <c r="K64" s="407">
        <f t="shared" si="3"/>
        <v>1738.61</v>
      </c>
      <c r="L64" s="411">
        <v>10213.68</v>
      </c>
      <c r="M64" s="412">
        <f t="shared" si="8"/>
        <v>3089.64</v>
      </c>
      <c r="N64" s="332">
        <f t="shared" si="4"/>
        <v>360000</v>
      </c>
      <c r="O64" s="333">
        <v>786801600</v>
      </c>
      <c r="P64" s="332">
        <f t="shared" si="5"/>
        <v>60000</v>
      </c>
      <c r="Q64" s="333">
        <v>131133600</v>
      </c>
      <c r="R64" s="1389"/>
      <c r="S64" s="332">
        <f t="shared" si="6"/>
        <v>3000</v>
      </c>
      <c r="T64" s="333">
        <v>6556680</v>
      </c>
      <c r="U64" s="334">
        <v>45327</v>
      </c>
      <c r="V64" s="335">
        <v>45323</v>
      </c>
      <c r="W64" s="336">
        <v>49064</v>
      </c>
      <c r="X64" s="337">
        <f t="shared" si="7"/>
        <v>123</v>
      </c>
      <c r="Y64" s="338" t="s">
        <v>304</v>
      </c>
      <c r="Z64" s="335" t="s">
        <v>335</v>
      </c>
      <c r="AA64" s="629"/>
      <c r="AB64" s="335"/>
      <c r="AC64" s="340"/>
      <c r="AD64" s="335"/>
      <c r="AE64" s="341"/>
      <c r="AF64" s="342">
        <v>45689</v>
      </c>
      <c r="AG64" s="400">
        <v>2.5000000000000001E-2</v>
      </c>
      <c r="AH64" s="342">
        <v>45689</v>
      </c>
      <c r="AI64" s="400">
        <v>2.5000000000000001E-2</v>
      </c>
      <c r="AJ64" s="609" t="s">
        <v>336</v>
      </c>
      <c r="AK64" s="610"/>
      <c r="AL64" s="344">
        <v>3</v>
      </c>
      <c r="AM64" s="408" t="s">
        <v>330</v>
      </c>
      <c r="AN64" s="346">
        <v>5</v>
      </c>
      <c r="AO64" s="338" t="s">
        <v>331</v>
      </c>
      <c r="AP64" s="347"/>
      <c r="AQ64" s="340"/>
      <c r="AR64" s="348" t="s">
        <v>332</v>
      </c>
      <c r="AS64" s="349"/>
    </row>
    <row r="65" spans="1:46" ht="11.25" customHeight="1">
      <c r="A65" s="325"/>
      <c r="B65" s="650"/>
      <c r="C65" s="326" t="s">
        <v>339</v>
      </c>
      <c r="D65" s="409" t="s">
        <v>321</v>
      </c>
      <c r="E65" s="403" t="s">
        <v>320</v>
      </c>
      <c r="F65" s="405" t="s">
        <v>302</v>
      </c>
      <c r="G65" s="355" t="s">
        <v>334</v>
      </c>
      <c r="H65" s="410">
        <v>7224.9899694741771</v>
      </c>
      <c r="I65" s="407">
        <f t="shared" si="2"/>
        <v>2185.56</v>
      </c>
      <c r="J65" s="410">
        <v>5747.48</v>
      </c>
      <c r="K65" s="407">
        <f t="shared" si="3"/>
        <v>1738.61</v>
      </c>
      <c r="L65" s="411">
        <v>10213.68</v>
      </c>
      <c r="M65" s="412">
        <f t="shared" si="8"/>
        <v>3089.64</v>
      </c>
      <c r="N65" s="332">
        <f t="shared" si="4"/>
        <v>360000</v>
      </c>
      <c r="O65" s="333">
        <v>786801600</v>
      </c>
      <c r="P65" s="332">
        <f t="shared" si="5"/>
        <v>60000</v>
      </c>
      <c r="Q65" s="333">
        <v>131133600</v>
      </c>
      <c r="R65" s="1389"/>
      <c r="S65" s="332">
        <f t="shared" si="6"/>
        <v>3000</v>
      </c>
      <c r="T65" s="333">
        <v>6556680</v>
      </c>
      <c r="U65" s="334">
        <v>45379</v>
      </c>
      <c r="V65" s="335">
        <v>45413</v>
      </c>
      <c r="W65" s="336">
        <v>49064</v>
      </c>
      <c r="X65" s="337">
        <f t="shared" si="7"/>
        <v>120</v>
      </c>
      <c r="Y65" s="338" t="s">
        <v>304</v>
      </c>
      <c r="Z65" s="335" t="s">
        <v>327</v>
      </c>
      <c r="AA65" s="630"/>
      <c r="AB65" s="335"/>
      <c r="AC65" s="340"/>
      <c r="AD65" s="335"/>
      <c r="AE65" s="341"/>
      <c r="AF65" s="342">
        <v>45778</v>
      </c>
      <c r="AG65" s="400">
        <v>2.5000000000000001E-2</v>
      </c>
      <c r="AH65" s="342">
        <v>45778</v>
      </c>
      <c r="AI65" s="400">
        <v>2.5000000000000001E-2</v>
      </c>
      <c r="AJ65" s="609" t="s">
        <v>329</v>
      </c>
      <c r="AK65" s="610"/>
      <c r="AL65" s="344">
        <v>4</v>
      </c>
      <c r="AM65" s="408" t="s">
        <v>330</v>
      </c>
      <c r="AN65" s="346">
        <v>5</v>
      </c>
      <c r="AO65" s="338" t="s">
        <v>331</v>
      </c>
      <c r="AP65" s="347"/>
      <c r="AQ65" s="340"/>
      <c r="AR65" s="348" t="s">
        <v>332</v>
      </c>
      <c r="AS65" s="349"/>
    </row>
    <row r="66" spans="1:46" ht="11.25" customHeight="1">
      <c r="A66" s="325"/>
      <c r="B66" s="650"/>
      <c r="C66" s="326" t="s">
        <v>340</v>
      </c>
      <c r="D66" s="409" t="s">
        <v>321</v>
      </c>
      <c r="E66" s="403" t="s">
        <v>320</v>
      </c>
      <c r="F66" s="405" t="s">
        <v>302</v>
      </c>
      <c r="G66" s="355" t="s">
        <v>341</v>
      </c>
      <c r="H66" s="410">
        <v>7224.9899694741771</v>
      </c>
      <c r="I66" s="407">
        <f t="shared" si="2"/>
        <v>2185.56</v>
      </c>
      <c r="J66" s="410">
        <v>5747.48</v>
      </c>
      <c r="K66" s="407">
        <f t="shared" si="3"/>
        <v>1738.61</v>
      </c>
      <c r="L66" s="411">
        <v>10213.68</v>
      </c>
      <c r="M66" s="412">
        <f t="shared" si="8"/>
        <v>3089.64</v>
      </c>
      <c r="N66" s="332">
        <f t="shared" si="4"/>
        <v>294000</v>
      </c>
      <c r="O66" s="333">
        <v>642552000</v>
      </c>
      <c r="P66" s="332">
        <f t="shared" si="5"/>
        <v>49000</v>
      </c>
      <c r="Q66" s="333">
        <v>107092000</v>
      </c>
      <c r="R66" s="1397">
        <f>Q66/SUM(Q49:Q74)</f>
        <v>8.9475471852838537E-2</v>
      </c>
      <c r="S66" s="332">
        <f t="shared" si="6"/>
        <v>3000</v>
      </c>
      <c r="T66" s="333">
        <v>6556000</v>
      </c>
      <c r="U66" s="334"/>
      <c r="V66" s="335">
        <v>45503</v>
      </c>
      <c r="W66" s="336">
        <v>47328</v>
      </c>
      <c r="X66" s="337">
        <f t="shared" si="7"/>
        <v>60</v>
      </c>
      <c r="Y66" s="338" t="s">
        <v>304</v>
      </c>
      <c r="Z66" s="335" t="s">
        <v>416</v>
      </c>
      <c r="AA66" s="339" t="s">
        <v>342</v>
      </c>
      <c r="AB66" s="335" t="str">
        <f>TEXT(EDATE(W66,-LEFT(AC66)),"yyyy-mm-dd")</f>
        <v>2029-01-29</v>
      </c>
      <c r="AC66" s="340" t="s">
        <v>343</v>
      </c>
      <c r="AD66" s="335"/>
      <c r="AE66" s="341"/>
      <c r="AF66" s="342"/>
      <c r="AG66" s="400"/>
      <c r="AH66" s="342"/>
      <c r="AI66" s="413"/>
      <c r="AJ66" s="609"/>
      <c r="AK66" s="610"/>
      <c r="AL66" s="344"/>
      <c r="AM66" s="401"/>
      <c r="AN66" s="346"/>
      <c r="AO66" s="338" t="s">
        <v>344</v>
      </c>
      <c r="AP66" s="347"/>
      <c r="AQ66" s="340"/>
      <c r="AR66" s="348" t="s">
        <v>332</v>
      </c>
      <c r="AS66" s="349"/>
    </row>
    <row r="67" spans="1:46" ht="11.25" customHeight="1">
      <c r="A67" s="325"/>
      <c r="B67" s="650"/>
      <c r="C67" s="326" t="s">
        <v>345</v>
      </c>
      <c r="D67" s="409" t="s">
        <v>321</v>
      </c>
      <c r="E67" s="403" t="s">
        <v>320</v>
      </c>
      <c r="F67" s="405" t="s">
        <v>302</v>
      </c>
      <c r="G67" s="414" t="s">
        <v>346</v>
      </c>
      <c r="H67" s="410">
        <v>7224.9899694741771</v>
      </c>
      <c r="I67" s="407">
        <f t="shared" si="2"/>
        <v>2185.56</v>
      </c>
      <c r="J67" s="410">
        <v>5747.48</v>
      </c>
      <c r="K67" s="407">
        <f t="shared" si="3"/>
        <v>1738.61</v>
      </c>
      <c r="L67" s="411">
        <v>10213.68</v>
      </c>
      <c r="M67" s="412">
        <f t="shared" si="8"/>
        <v>3089.64</v>
      </c>
      <c r="N67" s="332">
        <f t="shared" si="4"/>
        <v>360000</v>
      </c>
      <c r="O67" s="333">
        <v>786801600</v>
      </c>
      <c r="P67" s="332">
        <f t="shared" si="5"/>
        <v>60000</v>
      </c>
      <c r="Q67" s="333">
        <v>131133600</v>
      </c>
      <c r="R67" s="1389"/>
      <c r="S67" s="332">
        <f t="shared" si="6"/>
        <v>3000</v>
      </c>
      <c r="T67" s="333">
        <v>6556680</v>
      </c>
      <c r="U67" s="415"/>
      <c r="V67" s="416">
        <v>45658</v>
      </c>
      <c r="W67" s="336">
        <v>49064</v>
      </c>
      <c r="X67" s="337">
        <f t="shared" si="7"/>
        <v>112</v>
      </c>
      <c r="Y67" s="338" t="s">
        <v>304</v>
      </c>
      <c r="Z67" s="335" t="s">
        <v>347</v>
      </c>
      <c r="AA67" s="417" t="s">
        <v>371</v>
      </c>
      <c r="AB67" s="335"/>
      <c r="AC67" s="340"/>
      <c r="AD67" s="335"/>
      <c r="AE67" s="341"/>
      <c r="AF67" s="342">
        <v>46023</v>
      </c>
      <c r="AG67" s="400">
        <v>2.5000000000000001E-2</v>
      </c>
      <c r="AH67" s="342">
        <v>46023</v>
      </c>
      <c r="AI67" s="413">
        <v>2.5000000000000001E-2</v>
      </c>
      <c r="AJ67" s="607" t="s">
        <v>348</v>
      </c>
      <c r="AK67" s="608"/>
      <c r="AL67" s="418">
        <v>3</v>
      </c>
      <c r="AM67" s="408" t="s">
        <v>349</v>
      </c>
      <c r="AN67" s="419">
        <v>9.33</v>
      </c>
      <c r="AO67" s="338" t="s">
        <v>331</v>
      </c>
      <c r="AP67" s="347"/>
      <c r="AQ67" s="340"/>
      <c r="AR67" s="348" t="s">
        <v>332</v>
      </c>
      <c r="AS67" s="349"/>
    </row>
    <row r="68" spans="1:46" ht="11.25" customHeight="1">
      <c r="A68" s="325"/>
      <c r="B68" s="650"/>
      <c r="C68" s="326" t="s">
        <v>350</v>
      </c>
      <c r="D68" s="409" t="s">
        <v>351</v>
      </c>
      <c r="E68" s="403" t="s">
        <v>352</v>
      </c>
      <c r="F68" s="420" t="s">
        <v>302</v>
      </c>
      <c r="G68" s="414" t="s">
        <v>353</v>
      </c>
      <c r="H68" s="410">
        <v>3613.0124798410602</v>
      </c>
      <c r="I68" s="407">
        <f t="shared" si="2"/>
        <v>1092.94</v>
      </c>
      <c r="J68" s="410">
        <v>2781.8885012695955</v>
      </c>
      <c r="K68" s="407">
        <f t="shared" si="3"/>
        <v>841.52</v>
      </c>
      <c r="L68" s="406">
        <v>7528.53</v>
      </c>
      <c r="M68" s="623">
        <f>ROUND(L68*0.3025, 2)</f>
        <v>2277.38</v>
      </c>
      <c r="N68" s="332">
        <f t="shared" si="4"/>
        <v>360000</v>
      </c>
      <c r="O68" s="333">
        <v>393456789</v>
      </c>
      <c r="P68" s="332">
        <f t="shared" si="5"/>
        <v>60000</v>
      </c>
      <c r="Q68" s="333">
        <v>65576132</v>
      </c>
      <c r="R68" s="1389"/>
      <c r="S68" s="332">
        <f t="shared" si="6"/>
        <v>3000</v>
      </c>
      <c r="T68" s="333">
        <v>3278807</v>
      </c>
      <c r="U68" s="415"/>
      <c r="V68" s="416">
        <v>45689</v>
      </c>
      <c r="W68" s="336">
        <v>49340</v>
      </c>
      <c r="X68" s="337">
        <f t="shared" si="7"/>
        <v>120</v>
      </c>
      <c r="Y68" s="338" t="s">
        <v>304</v>
      </c>
      <c r="Z68" s="335" t="s">
        <v>354</v>
      </c>
      <c r="AA68" s="339" t="s">
        <v>306</v>
      </c>
      <c r="AB68" s="335">
        <v>49521</v>
      </c>
      <c r="AC68" s="340" t="s">
        <v>343</v>
      </c>
      <c r="AD68" s="335"/>
      <c r="AE68" s="341"/>
      <c r="AF68" s="342">
        <v>46054</v>
      </c>
      <c r="AG68" s="400">
        <v>2.5000000000000001E-2</v>
      </c>
      <c r="AH68" s="342">
        <v>46054</v>
      </c>
      <c r="AI68" s="400">
        <v>2.5000000000000001E-2</v>
      </c>
      <c r="AJ68" s="607" t="s">
        <v>355</v>
      </c>
      <c r="AK68" s="608"/>
      <c r="AL68" s="418">
        <v>2</v>
      </c>
      <c r="AM68" s="408" t="s">
        <v>356</v>
      </c>
      <c r="AN68" s="346">
        <v>15</v>
      </c>
      <c r="AO68" s="338" t="s">
        <v>310</v>
      </c>
      <c r="AP68" s="347"/>
      <c r="AQ68" s="340"/>
      <c r="AR68" s="348" t="s">
        <v>332</v>
      </c>
      <c r="AS68" s="349"/>
    </row>
    <row r="69" spans="1:46" ht="11.25" customHeight="1">
      <c r="A69" s="325"/>
      <c r="B69" s="650"/>
      <c r="C69" s="350"/>
      <c r="D69" s="409" t="s">
        <v>357</v>
      </c>
      <c r="E69" s="403" t="s">
        <v>358</v>
      </c>
      <c r="F69" s="420" t="s">
        <v>302</v>
      </c>
      <c r="G69" s="355" t="s">
        <v>359</v>
      </c>
      <c r="H69" s="410">
        <v>2829.9275201589408</v>
      </c>
      <c r="I69" s="407">
        <f t="shared" si="2"/>
        <v>856.05</v>
      </c>
      <c r="J69" s="410">
        <v>2178.9414987304053</v>
      </c>
      <c r="K69" s="407">
        <f t="shared" si="3"/>
        <v>659.13</v>
      </c>
      <c r="L69" s="621"/>
      <c r="M69" s="624"/>
      <c r="N69" s="332">
        <f t="shared" si="4"/>
        <v>360000</v>
      </c>
      <c r="O69" s="333">
        <v>308178000</v>
      </c>
      <c r="P69" s="332">
        <f t="shared" si="5"/>
        <v>60000</v>
      </c>
      <c r="Q69" s="333">
        <v>51363000</v>
      </c>
      <c r="R69" s="1389"/>
      <c r="S69" s="332">
        <f t="shared" si="6"/>
        <v>3000</v>
      </c>
      <c r="T69" s="333">
        <v>2568150</v>
      </c>
      <c r="U69" s="334">
        <v>45593</v>
      </c>
      <c r="V69" s="335">
        <v>45612</v>
      </c>
      <c r="W69" s="336">
        <v>47514</v>
      </c>
      <c r="X69" s="337">
        <f t="shared" si="7"/>
        <v>62.5</v>
      </c>
      <c r="Y69" s="338" t="s">
        <v>304</v>
      </c>
      <c r="Z69" s="335" t="s">
        <v>360</v>
      </c>
      <c r="AA69" s="339" t="s">
        <v>417</v>
      </c>
      <c r="AB69" s="335" t="str">
        <f>TEXT(EDATE(W69,-LEFT(AC69)),"yyyy-mm-dd")</f>
        <v>2029-10-31</v>
      </c>
      <c r="AC69" s="340" t="s">
        <v>361</v>
      </c>
      <c r="AD69" s="335"/>
      <c r="AE69" s="341"/>
      <c r="AF69" s="342">
        <v>46342</v>
      </c>
      <c r="AG69" s="400">
        <v>2.5000000000000001E-2</v>
      </c>
      <c r="AH69" s="342">
        <v>46342</v>
      </c>
      <c r="AI69" s="400">
        <v>2.5000000000000001E-2</v>
      </c>
      <c r="AJ69" s="609" t="s">
        <v>362</v>
      </c>
      <c r="AK69" s="610"/>
      <c r="AL69" s="344">
        <v>0.5</v>
      </c>
      <c r="AM69" s="408" t="s">
        <v>418</v>
      </c>
      <c r="AN69" s="346">
        <v>7.5</v>
      </c>
      <c r="AO69" s="338" t="s">
        <v>310</v>
      </c>
      <c r="AP69" s="347"/>
      <c r="AQ69" s="340"/>
      <c r="AR69" s="348" t="s">
        <v>332</v>
      </c>
      <c r="AS69" s="349"/>
    </row>
    <row r="70" spans="1:46" ht="11.25" customHeight="1">
      <c r="A70" s="325"/>
      <c r="B70" s="650"/>
      <c r="C70" s="350"/>
      <c r="D70" s="421" t="s">
        <v>363</v>
      </c>
      <c r="E70" s="422" t="s">
        <v>322</v>
      </c>
      <c r="F70" s="329" t="s">
        <v>291</v>
      </c>
      <c r="G70" s="329"/>
      <c r="H70" s="330">
        <v>105.904</v>
      </c>
      <c r="I70" s="331">
        <f t="shared" si="2"/>
        <v>32.04</v>
      </c>
      <c r="J70" s="330">
        <v>74.48</v>
      </c>
      <c r="K70" s="331">
        <f t="shared" si="3"/>
        <v>22.53</v>
      </c>
      <c r="L70" s="621"/>
      <c r="M70" s="624"/>
      <c r="N70" s="332">
        <f t="shared" si="4"/>
        <v>0</v>
      </c>
      <c r="O70" s="333"/>
      <c r="P70" s="332">
        <f t="shared" si="5"/>
        <v>0</v>
      </c>
      <c r="Q70" s="333"/>
      <c r="R70" s="1389"/>
      <c r="S70" s="332">
        <f t="shared" si="6"/>
        <v>0</v>
      </c>
      <c r="T70" s="333"/>
      <c r="U70" s="334"/>
      <c r="V70" s="335"/>
      <c r="W70" s="336"/>
      <c r="X70" s="337">
        <f t="shared" si="7"/>
        <v>0</v>
      </c>
      <c r="Y70" s="338"/>
      <c r="Z70" s="335"/>
      <c r="AA70" s="339"/>
      <c r="AB70" s="335"/>
      <c r="AC70" s="340"/>
      <c r="AD70" s="335"/>
      <c r="AE70" s="341"/>
      <c r="AF70" s="342"/>
      <c r="AG70" s="423"/>
      <c r="AH70" s="342"/>
      <c r="AI70" s="424"/>
      <c r="AJ70" s="609"/>
      <c r="AK70" s="610"/>
      <c r="AL70" s="344"/>
      <c r="AM70" s="401"/>
      <c r="AN70" s="346"/>
      <c r="AO70" s="338"/>
      <c r="AP70" s="347"/>
      <c r="AQ70" s="340"/>
      <c r="AR70" s="348"/>
      <c r="AS70" s="349"/>
    </row>
    <row r="71" spans="1:46" ht="11.25" customHeight="1">
      <c r="A71" s="325"/>
      <c r="B71" s="650"/>
      <c r="C71" s="350"/>
      <c r="D71" s="421" t="s">
        <v>364</v>
      </c>
      <c r="E71" s="422" t="s">
        <v>365</v>
      </c>
      <c r="F71" s="329" t="s">
        <v>291</v>
      </c>
      <c r="G71" s="329"/>
      <c r="H71" s="330">
        <v>117.76</v>
      </c>
      <c r="I71" s="331">
        <f t="shared" si="2"/>
        <v>35.619999999999997</v>
      </c>
      <c r="J71" s="330">
        <v>82.82</v>
      </c>
      <c r="K71" s="331">
        <f t="shared" si="3"/>
        <v>25.05</v>
      </c>
      <c r="L71" s="621"/>
      <c r="M71" s="624"/>
      <c r="N71" s="332">
        <f t="shared" si="4"/>
        <v>0</v>
      </c>
      <c r="O71" s="333"/>
      <c r="P71" s="332">
        <f t="shared" si="5"/>
        <v>0</v>
      </c>
      <c r="Q71" s="333"/>
      <c r="R71" s="1389"/>
      <c r="S71" s="332">
        <f t="shared" si="6"/>
        <v>0</v>
      </c>
      <c r="T71" s="333"/>
      <c r="U71" s="334"/>
      <c r="V71" s="335"/>
      <c r="W71" s="336"/>
      <c r="X71" s="337"/>
      <c r="Y71" s="338"/>
      <c r="Z71" s="335"/>
      <c r="AA71" s="339"/>
      <c r="AB71" s="335"/>
      <c r="AC71" s="340"/>
      <c r="AD71" s="335"/>
      <c r="AE71" s="341"/>
      <c r="AF71" s="342"/>
      <c r="AG71" s="423"/>
      <c r="AH71" s="342"/>
      <c r="AI71" s="424"/>
      <c r="AJ71" s="425"/>
      <c r="AK71" s="426"/>
      <c r="AL71" s="344"/>
      <c r="AM71" s="401"/>
      <c r="AN71" s="346"/>
      <c r="AO71" s="338"/>
      <c r="AP71" s="347"/>
      <c r="AQ71" s="340"/>
      <c r="AR71" s="348"/>
      <c r="AS71" s="349"/>
    </row>
    <row r="72" spans="1:46" ht="11.25" customHeight="1">
      <c r="A72" s="325"/>
      <c r="B72" s="650"/>
      <c r="C72" s="402"/>
      <c r="D72" s="421" t="s">
        <v>366</v>
      </c>
      <c r="E72" s="329" t="s">
        <v>367</v>
      </c>
      <c r="F72" s="329" t="s">
        <v>291</v>
      </c>
      <c r="G72" s="329"/>
      <c r="H72" s="330">
        <v>299.63019780996115</v>
      </c>
      <c r="I72" s="331">
        <f t="shared" si="2"/>
        <v>90.64</v>
      </c>
      <c r="J72" s="330">
        <v>210.73</v>
      </c>
      <c r="K72" s="331">
        <f t="shared" si="3"/>
        <v>63.75</v>
      </c>
      <c r="L72" s="622"/>
      <c r="M72" s="625"/>
      <c r="N72" s="332">
        <f>ROUND(O72/$I72,-2)</f>
        <v>0</v>
      </c>
      <c r="O72" s="333"/>
      <c r="P72" s="332">
        <f>ROUND(Q72/$I72,-2)</f>
        <v>0</v>
      </c>
      <c r="Q72" s="333"/>
      <c r="R72" s="1389"/>
      <c r="S72" s="332">
        <f>ROUND(T72/$I72,-2)</f>
        <v>0</v>
      </c>
      <c r="T72" s="333"/>
      <c r="U72" s="334"/>
      <c r="V72" s="335"/>
      <c r="W72" s="336"/>
      <c r="X72" s="337">
        <f t="shared" si="7"/>
        <v>0</v>
      </c>
      <c r="Y72" s="338"/>
      <c r="Z72" s="335"/>
      <c r="AA72" s="339"/>
      <c r="AB72" s="335"/>
      <c r="AC72" s="340"/>
      <c r="AD72" s="335"/>
      <c r="AE72" s="341"/>
      <c r="AF72" s="342"/>
      <c r="AG72" s="423"/>
      <c r="AH72" s="342"/>
      <c r="AI72" s="424"/>
      <c r="AJ72" s="609"/>
      <c r="AK72" s="610"/>
      <c r="AL72" s="344"/>
      <c r="AM72" s="401"/>
      <c r="AN72" s="346"/>
      <c r="AO72" s="338"/>
      <c r="AP72" s="347"/>
      <c r="AQ72" s="340"/>
      <c r="AR72" s="348"/>
      <c r="AS72" s="349"/>
    </row>
    <row r="73" spans="1:46" ht="11.25" customHeight="1">
      <c r="A73" s="325" t="e">
        <f>IF(V73&gt;#REF!,0,1)</f>
        <v>#REF!</v>
      </c>
      <c r="B73" s="650"/>
      <c r="C73" s="427" t="s">
        <v>368</v>
      </c>
      <c r="D73" s="409" t="s">
        <v>369</v>
      </c>
      <c r="E73" s="428" t="s">
        <v>320</v>
      </c>
      <c r="F73" s="429" t="s">
        <v>302</v>
      </c>
      <c r="G73" s="430" t="s">
        <v>346</v>
      </c>
      <c r="H73" s="431">
        <v>9075.4522996857431</v>
      </c>
      <c r="I73" s="432">
        <f>ROUND(H73*0.3025, 2)</f>
        <v>2745.32</v>
      </c>
      <c r="J73" s="433">
        <v>7459.33</v>
      </c>
      <c r="K73" s="432">
        <f>ROUND(J73*0.3025, 2)</f>
        <v>2256.4499999999998</v>
      </c>
      <c r="L73" s="434">
        <v>12246.75</v>
      </c>
      <c r="M73" s="432">
        <f>ROUND(L73*0.3025, 2)</f>
        <v>3704.64</v>
      </c>
      <c r="N73" s="435">
        <f>ROUND(O73/$I73,-2)</f>
        <v>360000</v>
      </c>
      <c r="O73" s="436">
        <v>988315200</v>
      </c>
      <c r="P73" s="435">
        <f>ROUND(Q73/$I$73,-2)</f>
        <v>60000</v>
      </c>
      <c r="Q73" s="437">
        <v>164719200</v>
      </c>
      <c r="R73" s="1392"/>
      <c r="S73" s="435">
        <f>ROUND(T73/$I$73,-2)</f>
        <v>3000</v>
      </c>
      <c r="T73" s="437">
        <v>8235690</v>
      </c>
      <c r="U73" s="438"/>
      <c r="V73" s="439">
        <v>45748</v>
      </c>
      <c r="W73" s="440">
        <v>49064</v>
      </c>
      <c r="X73" s="441">
        <f>ROUND(YEARFRAC(V73,W73)*12,0)</f>
        <v>109</v>
      </c>
      <c r="Y73" s="442" t="s">
        <v>304</v>
      </c>
      <c r="Z73" s="443" t="s">
        <v>370</v>
      </c>
      <c r="AA73" s="444" t="s">
        <v>371</v>
      </c>
      <c r="AB73" s="335"/>
      <c r="AC73" s="445"/>
      <c r="AD73" s="446"/>
      <c r="AE73" s="447"/>
      <c r="AF73" s="448">
        <v>46113</v>
      </c>
      <c r="AG73" s="449">
        <v>2.5000000000000001E-2</v>
      </c>
      <c r="AH73" s="448">
        <v>46113</v>
      </c>
      <c r="AI73" s="449">
        <v>2.5000000000000001E-2</v>
      </c>
      <c r="AJ73" s="607" t="s">
        <v>372</v>
      </c>
      <c r="AK73" s="608"/>
      <c r="AL73" s="450">
        <v>3</v>
      </c>
      <c r="AM73" s="451" t="s">
        <v>419</v>
      </c>
      <c r="AN73" s="452">
        <v>9.1</v>
      </c>
      <c r="AO73" s="442" t="s">
        <v>331</v>
      </c>
      <c r="AP73" s="446"/>
      <c r="AQ73" s="453"/>
      <c r="AR73" s="445" t="s">
        <v>332</v>
      </c>
      <c r="AS73" s="454"/>
      <c r="AT73" s="455"/>
    </row>
    <row r="74" spans="1:46" ht="11.25" customHeight="1">
      <c r="A74" s="325" t="e">
        <f>A73</f>
        <v>#REF!</v>
      </c>
      <c r="B74" s="650"/>
      <c r="C74" s="456" t="s">
        <v>373</v>
      </c>
      <c r="D74" s="421" t="s">
        <v>369</v>
      </c>
      <c r="E74" s="457" t="s">
        <v>320</v>
      </c>
      <c r="F74" s="458" t="s">
        <v>291</v>
      </c>
      <c r="G74" s="458"/>
      <c r="H74" s="459">
        <v>9018.8871730013507</v>
      </c>
      <c r="I74" s="407">
        <f>ROUND(H74*0.3025, 2)</f>
        <v>2728.21</v>
      </c>
      <c r="J74" s="460">
        <v>7407.4400000000005</v>
      </c>
      <c r="K74" s="407">
        <f>ROUND(J74*0.3025, 2)</f>
        <v>2240.75</v>
      </c>
      <c r="L74" s="461">
        <v>12425.68</v>
      </c>
      <c r="M74" s="407">
        <f>ROUND(L74*0.3025, 2)</f>
        <v>3758.77</v>
      </c>
      <c r="N74" s="435">
        <f>N73</f>
        <v>360000</v>
      </c>
      <c r="O74" s="462">
        <f>N74*I74</f>
        <v>982155600</v>
      </c>
      <c r="P74" s="435">
        <f>P73</f>
        <v>60000</v>
      </c>
      <c r="Q74" s="463">
        <f>P74*I74</f>
        <v>163692600</v>
      </c>
      <c r="R74" s="1393"/>
      <c r="S74" s="435">
        <f>S73</f>
        <v>3000</v>
      </c>
      <c r="T74" s="463">
        <f>S74*I74</f>
        <v>8184630</v>
      </c>
      <c r="U74" s="464"/>
      <c r="V74" s="465">
        <v>46023</v>
      </c>
      <c r="W74" s="466">
        <f>EOMONTH(V74,60)</f>
        <v>47879</v>
      </c>
      <c r="X74" s="441">
        <f>ROUND(YEARFRAC(V74,W74)*12,0)</f>
        <v>61</v>
      </c>
      <c r="Y74" s="467"/>
      <c r="Z74" s="468"/>
      <c r="AA74" s="464"/>
      <c r="AB74" s="335"/>
      <c r="AC74" s="469"/>
      <c r="AD74" s="470"/>
      <c r="AE74" s="396"/>
      <c r="AF74" s="471"/>
      <c r="AG74" s="472"/>
      <c r="AH74" s="471"/>
      <c r="AI74" s="472"/>
      <c r="AJ74" s="609"/>
      <c r="AK74" s="610"/>
      <c r="AL74" s="473"/>
      <c r="AM74" s="474"/>
      <c r="AN74" s="475"/>
      <c r="AO74" s="476"/>
      <c r="AP74" s="470"/>
      <c r="AQ74" s="477"/>
      <c r="AR74" s="396"/>
      <c r="AS74" s="478"/>
      <c r="AT74" s="455"/>
    </row>
    <row r="75" spans="1:46" ht="11.25" customHeight="1">
      <c r="A75" s="479"/>
      <c r="B75" s="480"/>
      <c r="C75" s="480"/>
      <c r="D75" s="480"/>
      <c r="E75" s="480"/>
      <c r="F75" s="480"/>
      <c r="G75" s="480"/>
      <c r="H75" s="481">
        <f t="shared" ref="H75:M75" si="9">SUM(H39:H74)</f>
        <v>69058.085578024882</v>
      </c>
      <c r="I75" s="481">
        <f t="shared" si="9"/>
        <v>20890.079999999998</v>
      </c>
      <c r="J75" s="481">
        <f t="shared" si="9"/>
        <v>54720.143000000011</v>
      </c>
      <c r="K75" s="481">
        <f t="shared" si="9"/>
        <v>16552.84</v>
      </c>
      <c r="L75" s="481">
        <f t="shared" si="9"/>
        <v>95474.59</v>
      </c>
      <c r="M75" s="483">
        <f t="shared" si="9"/>
        <v>28881.07</v>
      </c>
      <c r="N75" s="480">
        <f>ROUND(O75/$I75,-2)</f>
        <v>0</v>
      </c>
      <c r="O75" s="482"/>
      <c r="P75" s="483"/>
      <c r="Q75" s="483"/>
      <c r="R75" s="483"/>
      <c r="S75" s="480"/>
      <c r="T75" s="480"/>
      <c r="U75" s="484"/>
      <c r="V75" s="484"/>
      <c r="W75" s="484"/>
      <c r="X75" s="484"/>
      <c r="Y75" s="480"/>
      <c r="Z75" s="480"/>
      <c r="AA75" s="480"/>
      <c r="AB75" s="480"/>
      <c r="AC75" s="480"/>
      <c r="AD75" s="480"/>
      <c r="AE75" s="480"/>
      <c r="AF75" s="480"/>
      <c r="AG75" s="480"/>
      <c r="AH75" s="480"/>
      <c r="AI75" s="480"/>
      <c r="AJ75" s="485"/>
      <c r="AK75" s="486"/>
      <c r="AL75" s="480"/>
      <c r="AM75" s="480"/>
      <c r="AN75" s="480"/>
      <c r="AO75" s="480"/>
      <c r="AP75" s="480"/>
      <c r="AQ75" s="480"/>
      <c r="AR75" s="480"/>
      <c r="AS75" s="480"/>
    </row>
    <row r="76" spans="1:46" ht="11.25" customHeight="1">
      <c r="A76" s="314"/>
      <c r="C76" s="487"/>
      <c r="D76" s="487"/>
      <c r="E76" s="487"/>
      <c r="F76" s="487"/>
      <c r="G76" s="488" t="s">
        <v>374</v>
      </c>
      <c r="H76" s="489"/>
      <c r="I76" s="490"/>
      <c r="J76" s="489"/>
      <c r="K76" s="491"/>
      <c r="L76" s="488"/>
      <c r="M76" s="488"/>
      <c r="O76" s="492"/>
      <c r="P76" s="489"/>
      <c r="Q76" s="493"/>
      <c r="R76" s="493"/>
      <c r="S76" s="493"/>
      <c r="T76" s="493"/>
      <c r="U76" s="494"/>
      <c r="V76" s="495"/>
      <c r="W76" s="495"/>
      <c r="X76" s="495"/>
      <c r="Y76" s="489"/>
      <c r="Z76" s="496"/>
      <c r="AA76" s="496"/>
      <c r="AB76" s="496"/>
      <c r="AC76" s="496"/>
      <c r="AD76" s="489"/>
      <c r="AE76" s="489"/>
      <c r="AF76" s="489"/>
      <c r="AG76" s="489"/>
      <c r="AH76" s="489"/>
      <c r="AI76" s="489"/>
      <c r="AJ76" s="497"/>
      <c r="AK76" s="498"/>
      <c r="AL76" s="499"/>
      <c r="AM76" s="496"/>
      <c r="AN76" s="499"/>
      <c r="AO76" s="489"/>
      <c r="AP76" s="489"/>
      <c r="AQ76" s="489"/>
      <c r="AR76" s="489"/>
      <c r="AS76" s="489"/>
    </row>
    <row r="77" spans="1:46" ht="11.25" customHeight="1">
      <c r="A77" s="314"/>
      <c r="C77" s="455"/>
      <c r="D77" s="455"/>
      <c r="E77" s="455"/>
      <c r="F77" s="455"/>
      <c r="G77" s="489"/>
      <c r="H77" s="489"/>
      <c r="I77" s="490"/>
      <c r="J77" s="489"/>
      <c r="K77" s="490"/>
      <c r="L77" s="489"/>
      <c r="M77" s="489"/>
      <c r="N77" s="489"/>
      <c r="O77" s="489"/>
      <c r="P77" s="489"/>
      <c r="U77" s="494"/>
      <c r="V77" s="495"/>
      <c r="W77" s="495"/>
      <c r="X77" s="495"/>
      <c r="Y77" s="489"/>
      <c r="Z77" s="496"/>
      <c r="AA77" s="496"/>
      <c r="AB77" s="496"/>
      <c r="AC77" s="496"/>
      <c r="AD77" s="489"/>
      <c r="AE77" s="489"/>
      <c r="AF77" s="489"/>
      <c r="AG77" s="489"/>
      <c r="AH77" s="489"/>
      <c r="AI77" s="489"/>
      <c r="AJ77" s="497"/>
      <c r="AK77" s="498"/>
      <c r="AL77" s="499"/>
      <c r="AM77" s="496"/>
      <c r="AN77" s="499"/>
      <c r="AO77" s="489"/>
      <c r="AP77" s="489"/>
      <c r="AQ77" s="489"/>
      <c r="AR77" s="489"/>
      <c r="AS77" s="489"/>
    </row>
    <row r="78" spans="1:46" ht="11.25" customHeight="1">
      <c r="A78" s="314"/>
      <c r="C78" s="500"/>
      <c r="D78" s="500"/>
      <c r="E78" s="500"/>
      <c r="F78" s="500"/>
      <c r="G78" s="488" t="s">
        <v>375</v>
      </c>
      <c r="H78" s="489"/>
      <c r="I78" s="489"/>
      <c r="J78" s="489"/>
      <c r="K78" s="489"/>
      <c r="L78" s="488"/>
      <c r="M78" s="488"/>
      <c r="N78" s="489"/>
      <c r="O78" s="489"/>
      <c r="P78" s="489"/>
      <c r="Q78" s="493"/>
      <c r="R78" s="493"/>
      <c r="S78" s="493"/>
      <c r="T78" s="493"/>
      <c r="U78" s="501"/>
      <c r="V78" s="502"/>
      <c r="W78" s="502"/>
      <c r="X78" s="502"/>
      <c r="Y78" s="455"/>
      <c r="Z78" s="503"/>
      <c r="AA78" s="503"/>
      <c r="AB78" s="503"/>
      <c r="AC78" s="503"/>
      <c r="AD78" s="455"/>
      <c r="AE78" s="489"/>
      <c r="AF78" s="489"/>
      <c r="AG78" s="489"/>
      <c r="AH78" s="489"/>
      <c r="AI78" s="489"/>
      <c r="AJ78" s="497"/>
      <c r="AK78" s="498"/>
      <c r="AL78" s="499"/>
      <c r="AM78" s="496"/>
      <c r="AN78" s="499"/>
      <c r="AO78" s="489"/>
      <c r="AP78" s="489"/>
      <c r="AQ78" s="489"/>
      <c r="AR78" s="489"/>
      <c r="AS78" s="489"/>
    </row>
    <row r="79" spans="1:46" ht="11.25" customHeight="1">
      <c r="A79" s="314"/>
      <c r="C79" s="455"/>
      <c r="D79" s="455"/>
      <c r="E79" s="455"/>
      <c r="F79" s="455"/>
      <c r="G79" s="488"/>
      <c r="H79" s="489"/>
      <c r="I79" s="489"/>
      <c r="J79" s="489"/>
      <c r="K79" s="489"/>
      <c r="L79" s="488"/>
      <c r="M79" s="2676"/>
      <c r="N79" s="489"/>
      <c r="O79" s="489"/>
      <c r="P79" s="489"/>
      <c r="Q79" s="455"/>
      <c r="R79" s="455"/>
      <c r="S79" s="489"/>
      <c r="T79" s="455"/>
      <c r="U79" s="501"/>
      <c r="V79" s="502"/>
      <c r="W79" s="502"/>
      <c r="X79" s="502"/>
      <c r="Y79" s="455"/>
      <c r="Z79" s="503"/>
      <c r="AA79" s="503"/>
      <c r="AB79" s="503"/>
      <c r="AC79" s="503"/>
      <c r="AD79" s="455"/>
      <c r="AE79" s="489"/>
      <c r="AF79" s="489"/>
      <c r="AG79" s="489"/>
      <c r="AH79" s="489"/>
      <c r="AI79" s="489"/>
      <c r="AJ79" s="497"/>
      <c r="AK79" s="498"/>
      <c r="AL79" s="499"/>
      <c r="AM79" s="496"/>
      <c r="AN79" s="499"/>
      <c r="AO79" s="489"/>
      <c r="AP79" s="489"/>
      <c r="AQ79" s="489"/>
      <c r="AR79" s="489"/>
      <c r="AS79" s="489"/>
    </row>
    <row r="80" spans="1:46" ht="11.25" customHeight="1">
      <c r="A80" s="314"/>
      <c r="C80" s="504"/>
      <c r="D80" s="504"/>
      <c r="E80" s="504"/>
      <c r="F80" s="504"/>
      <c r="G80" s="488" t="s">
        <v>376</v>
      </c>
      <c r="H80" s="489"/>
      <c r="I80" s="489"/>
      <c r="J80" s="489"/>
      <c r="K80" s="489"/>
      <c r="L80" s="488"/>
      <c r="M80" s="488"/>
      <c r="N80" s="489"/>
      <c r="O80" s="489"/>
      <c r="P80" s="505"/>
      <c r="Q80" s="506"/>
      <c r="R80" s="506"/>
      <c r="S80" s="506"/>
      <c r="T80" s="506"/>
      <c r="U80" s="480"/>
      <c r="V80" s="480"/>
      <c r="W80" s="480"/>
      <c r="X80" s="480"/>
      <c r="Y80" s="507"/>
      <c r="Z80" s="507"/>
      <c r="AA80" s="507"/>
      <c r="AB80" s="507"/>
      <c r="AC80" s="507"/>
      <c r="AG80" s="489"/>
      <c r="AH80" s="489"/>
      <c r="AI80" s="489"/>
      <c r="AJ80" s="497"/>
      <c r="AK80" s="498"/>
      <c r="AL80" s="499"/>
      <c r="AM80" s="496"/>
      <c r="AN80" s="499"/>
      <c r="AO80" s="489"/>
      <c r="AP80" s="489"/>
      <c r="AQ80" s="489"/>
      <c r="AR80" s="489"/>
      <c r="AS80" s="489"/>
    </row>
    <row r="81" spans="1:47" s="311" customFormat="1" ht="11.25" customHeight="1" thickBot="1">
      <c r="A81" s="303"/>
      <c r="B81" s="1"/>
      <c r="C81" s="289" t="s">
        <v>377</v>
      </c>
      <c r="D81" s="1"/>
      <c r="E81" s="1"/>
      <c r="F81" s="1"/>
      <c r="G81" s="1"/>
      <c r="H81" s="1"/>
      <c r="I81" s="1"/>
      <c r="J81" s="1"/>
      <c r="K81" s="1"/>
      <c r="L81" s="1"/>
      <c r="M81" s="1"/>
      <c r="N81" s="304"/>
      <c r="O81" s="304"/>
      <c r="P81" s="304"/>
      <c r="Q81" s="304"/>
      <c r="R81" s="304"/>
      <c r="S81" s="304"/>
      <c r="T81" s="304"/>
      <c r="V81" s="304"/>
      <c r="W81" s="304"/>
      <c r="X81" s="304"/>
      <c r="Y81" s="304"/>
      <c r="Z81" s="304"/>
      <c r="AA81" s="305"/>
      <c r="AB81" s="305"/>
      <c r="AC81" s="305"/>
      <c r="AD81" s="306"/>
      <c r="AE81" s="307"/>
      <c r="AF81" s="508"/>
      <c r="AG81" s="309"/>
      <c r="AH81" s="509"/>
      <c r="AI81" s="509"/>
      <c r="AJ81" s="509"/>
      <c r="AK81" s="509"/>
      <c r="AL81" s="509"/>
      <c r="AM81" s="509"/>
      <c r="AN81" s="509"/>
      <c r="AO81" s="509"/>
      <c r="AP81" s="509"/>
      <c r="AQ81" s="509"/>
      <c r="AR81" s="509"/>
      <c r="AS81" s="509"/>
      <c r="AT81" s="509"/>
      <c r="AU81" s="509"/>
    </row>
    <row r="82" spans="1:47" s="313" customFormat="1" ht="11.25" customHeight="1">
      <c r="A82" s="312"/>
      <c r="B82" s="611"/>
      <c r="C82" s="612" t="s">
        <v>389</v>
      </c>
      <c r="D82" s="614" t="s">
        <v>390</v>
      </c>
      <c r="E82" s="510"/>
      <c r="F82" s="510"/>
      <c r="G82" s="614" t="s">
        <v>378</v>
      </c>
      <c r="H82" s="579" t="s">
        <v>379</v>
      </c>
      <c r="I82" s="616"/>
      <c r="J82" s="579" t="s">
        <v>379</v>
      </c>
      <c r="K82" s="616"/>
      <c r="L82" s="511"/>
      <c r="M82" s="511"/>
      <c r="N82" s="618" t="s">
        <v>280</v>
      </c>
      <c r="O82" s="619"/>
      <c r="P82" s="620" t="s">
        <v>395</v>
      </c>
      <c r="Q82" s="620"/>
      <c r="R82" s="620"/>
      <c r="S82" s="620"/>
      <c r="T82" s="579" t="s">
        <v>264</v>
      </c>
      <c r="U82" s="311"/>
      <c r="V82" s="311"/>
      <c r="W82" s="311"/>
      <c r="X82" s="311"/>
      <c r="Y82" s="311"/>
      <c r="Z82" s="311"/>
      <c r="AA82" s="311"/>
      <c r="AB82" s="311"/>
      <c r="AC82" s="311"/>
      <c r="AD82" s="311"/>
      <c r="AE82" s="311"/>
      <c r="AF82" s="311"/>
      <c r="AG82" s="311"/>
      <c r="AH82" s="512"/>
      <c r="AI82" s="513"/>
      <c r="AJ82" s="514"/>
      <c r="AK82" s="515"/>
      <c r="AL82" s="516"/>
      <c r="AM82" s="516"/>
      <c r="AN82" s="516"/>
      <c r="AO82" s="516"/>
      <c r="AP82" s="516"/>
      <c r="AQ82" s="516"/>
      <c r="AR82" s="516"/>
      <c r="AS82" s="517"/>
      <c r="AT82" s="291"/>
      <c r="AU82" s="291"/>
    </row>
    <row r="83" spans="1:47" ht="11.25" customHeight="1">
      <c r="A83" s="314"/>
      <c r="B83" s="611"/>
      <c r="C83" s="613"/>
      <c r="D83" s="615"/>
      <c r="E83" s="322"/>
      <c r="F83" s="322"/>
      <c r="G83" s="615"/>
      <c r="H83" s="617"/>
      <c r="I83" s="592"/>
      <c r="J83" s="617"/>
      <c r="K83" s="592"/>
      <c r="L83" s="518"/>
      <c r="M83" s="518"/>
      <c r="N83" s="519" t="s">
        <v>402</v>
      </c>
      <c r="O83" s="315" t="s">
        <v>283</v>
      </c>
      <c r="P83" s="317" t="s">
        <v>405</v>
      </c>
      <c r="Q83" s="318" t="s">
        <v>406</v>
      </c>
      <c r="R83" s="1394"/>
      <c r="S83" s="319" t="s">
        <v>407</v>
      </c>
      <c r="T83" s="580"/>
      <c r="V83" s="291"/>
      <c r="AH83" s="520"/>
      <c r="AI83" s="520"/>
      <c r="AJ83" s="521"/>
      <c r="AK83" s="522"/>
      <c r="AL83" s="523"/>
      <c r="AM83" s="520"/>
      <c r="AN83" s="523"/>
      <c r="AO83" s="507"/>
      <c r="AP83" s="507"/>
      <c r="AQ83" s="507"/>
      <c r="AR83" s="507"/>
      <c r="AS83" s="455"/>
    </row>
    <row r="84" spans="1:47" ht="11.25" customHeight="1">
      <c r="A84" s="325" t="e">
        <f>IF(P84&gt;#REF!,0,1)</f>
        <v>#REF!</v>
      </c>
      <c r="B84" s="524"/>
      <c r="C84" s="525"/>
      <c r="D84" s="526"/>
      <c r="E84" s="527"/>
      <c r="F84" s="527"/>
      <c r="G84" s="528"/>
      <c r="H84" s="581"/>
      <c r="I84" s="582"/>
      <c r="J84" s="581"/>
      <c r="K84" s="582"/>
      <c r="L84" s="529"/>
      <c r="M84" s="529"/>
      <c r="N84" s="434"/>
      <c r="O84" s="432"/>
      <c r="P84" s="530"/>
      <c r="Q84" s="531"/>
      <c r="R84" s="1395"/>
      <c r="S84" s="532">
        <f>ROUND(YEARFRAC(P84,Q84)*12,0)</f>
        <v>0</v>
      </c>
      <c r="T84" s="533"/>
      <c r="U84" s="455"/>
      <c r="V84" s="455"/>
      <c r="W84" s="455"/>
      <c r="X84" s="455"/>
      <c r="Y84" s="455"/>
      <c r="Z84" s="455"/>
      <c r="AA84" s="455"/>
      <c r="AB84" s="455"/>
      <c r="AC84" s="455"/>
      <c r="AD84" s="455"/>
      <c r="AE84" s="455"/>
      <c r="AF84" s="455"/>
      <c r="AG84" s="455"/>
      <c r="AH84" s="520"/>
      <c r="AI84" s="520"/>
      <c r="AJ84" s="521"/>
      <c r="AK84" s="522"/>
      <c r="AL84" s="523"/>
      <c r="AM84" s="520"/>
      <c r="AN84" s="523"/>
      <c r="AO84" s="507"/>
      <c r="AP84" s="507"/>
      <c r="AQ84" s="507"/>
      <c r="AR84" s="507"/>
      <c r="AS84" s="455"/>
    </row>
    <row r="85" spans="1:47" s="509" customFormat="1" ht="11.25" customHeight="1" thickBot="1">
      <c r="A85" s="312"/>
      <c r="B85" s="534"/>
      <c r="C85" s="583" t="s">
        <v>420</v>
      </c>
      <c r="D85" s="584"/>
      <c r="E85" s="584"/>
      <c r="F85" s="584"/>
      <c r="G85" s="584"/>
      <c r="H85" s="584"/>
      <c r="I85" s="585"/>
      <c r="J85" s="535"/>
      <c r="K85" s="535"/>
      <c r="L85" s="535"/>
      <c r="M85" s="535"/>
      <c r="N85" s="536">
        <f>SUM(N84:N84)</f>
        <v>0</v>
      </c>
      <c r="O85" s="537">
        <f>SUM(O84:O84)</f>
        <v>0</v>
      </c>
      <c r="P85" s="538"/>
      <c r="Q85" s="539"/>
      <c r="R85" s="1396"/>
      <c r="S85" s="540"/>
      <c r="T85" s="541"/>
      <c r="U85" s="291"/>
      <c r="V85" s="291"/>
      <c r="W85" s="291"/>
      <c r="X85" s="291"/>
      <c r="Y85" s="291"/>
      <c r="Z85" s="291"/>
      <c r="AA85" s="291"/>
      <c r="AB85" s="291"/>
      <c r="AC85" s="291"/>
      <c r="AD85" s="291"/>
      <c r="AE85" s="291"/>
      <c r="AF85" s="291"/>
      <c r="AG85" s="291"/>
      <c r="AH85" s="291"/>
      <c r="AI85" s="291"/>
      <c r="AJ85" s="295"/>
      <c r="AK85" s="296"/>
      <c r="AL85" s="294"/>
      <c r="AM85" s="297"/>
      <c r="AN85" s="294"/>
      <c r="AO85" s="291"/>
      <c r="AP85" s="291"/>
      <c r="AQ85" s="291"/>
      <c r="AR85" s="291"/>
      <c r="AS85" s="291"/>
      <c r="AT85" s="291"/>
      <c r="AU85" s="291"/>
    </row>
    <row r="86" spans="1:47" s="299" customFormat="1" ht="11.25" customHeight="1">
      <c r="A86" s="2125"/>
      <c r="C86" s="2126"/>
      <c r="D86" s="2126"/>
      <c r="E86" s="2126"/>
      <c r="F86" s="2126"/>
      <c r="G86" s="2126"/>
      <c r="H86" s="2126"/>
      <c r="I86" s="2126"/>
      <c r="J86" s="2127"/>
      <c r="K86" s="2127"/>
      <c r="L86" s="2127"/>
      <c r="M86" s="2127"/>
      <c r="N86" s="2128"/>
      <c r="O86" s="2128"/>
      <c r="P86" s="2129"/>
      <c r="Q86" s="2129"/>
      <c r="R86" s="2129"/>
      <c r="S86" s="2130"/>
      <c r="T86" s="2131"/>
      <c r="AJ86" s="2132"/>
      <c r="AK86" s="2133"/>
      <c r="AL86" s="2134"/>
      <c r="AM86" s="2135"/>
      <c r="AN86" s="2134"/>
    </row>
    <row r="87" spans="1:47" s="299" customFormat="1" ht="11.25" customHeight="1">
      <c r="A87" s="2125"/>
      <c r="C87" s="2126"/>
      <c r="D87" s="2126"/>
      <c r="E87" s="2126"/>
      <c r="F87" s="2126"/>
      <c r="G87" s="2126"/>
      <c r="H87" s="2126"/>
      <c r="I87" s="2126"/>
      <c r="J87" s="2127"/>
      <c r="K87" s="2127"/>
      <c r="L87" s="2127"/>
      <c r="M87" s="2127"/>
      <c r="N87" s="2128"/>
      <c r="O87" s="2128"/>
      <c r="P87" s="2129"/>
      <c r="Q87" s="2129"/>
      <c r="R87" s="2129"/>
      <c r="S87" s="2130"/>
      <c r="T87" s="2131"/>
      <c r="AJ87" s="2132"/>
      <c r="AK87" s="2133"/>
      <c r="AL87" s="2134"/>
      <c r="AM87" s="2135"/>
      <c r="AN87" s="2134"/>
    </row>
    <row r="88" spans="1:47" s="299" customFormat="1" ht="11.25" customHeight="1">
      <c r="A88" s="2125"/>
      <c r="AJ88" s="2132"/>
      <c r="AK88" s="2133"/>
      <c r="AL88" s="2134"/>
      <c r="AM88" s="2135"/>
      <c r="AN88" s="2134"/>
    </row>
    <row r="89" spans="1:47" s="299" customFormat="1" ht="11.25" customHeight="1">
      <c r="A89" s="2125"/>
      <c r="AJ89" s="2132"/>
      <c r="AK89" s="2133"/>
      <c r="AL89" s="2134"/>
      <c r="AM89" s="2135"/>
      <c r="AN89" s="2134"/>
    </row>
    <row r="90" spans="1:47" s="299" customFormat="1" ht="11.25" customHeight="1">
      <c r="A90" s="2125"/>
      <c r="AJ90" s="2132"/>
      <c r="AK90" s="2133"/>
      <c r="AL90" s="2134"/>
      <c r="AM90" s="2135"/>
      <c r="AN90" s="2134"/>
    </row>
    <row r="91" spans="1:47" s="299" customFormat="1" ht="11.25" customHeight="1">
      <c r="A91" s="2125"/>
      <c r="AJ91" s="2132"/>
      <c r="AK91" s="2133"/>
      <c r="AL91" s="2134"/>
      <c r="AM91" s="2135"/>
      <c r="AN91" s="2134"/>
    </row>
    <row r="92" spans="1:47" s="299" customFormat="1" ht="11.25" customHeight="1">
      <c r="A92" s="2125"/>
      <c r="AJ92" s="2132"/>
      <c r="AK92" s="2133"/>
      <c r="AL92" s="2134"/>
      <c r="AM92" s="2135"/>
      <c r="AN92" s="2134"/>
    </row>
    <row r="93" spans="1:47" s="299" customFormat="1" ht="11.25" customHeight="1">
      <c r="A93" s="2125"/>
      <c r="AJ93" s="2132"/>
      <c r="AK93" s="2133"/>
      <c r="AL93" s="2134"/>
      <c r="AM93" s="2135"/>
      <c r="AN93" s="2134"/>
    </row>
    <row r="94" spans="1:47" s="299" customFormat="1" ht="11.25" customHeight="1">
      <c r="A94" s="2125"/>
      <c r="AJ94" s="2132"/>
      <c r="AK94" s="2133"/>
      <c r="AL94" s="2134"/>
      <c r="AM94" s="2135"/>
      <c r="AN94" s="2134"/>
    </row>
    <row r="95" spans="1:47" s="299" customFormat="1" ht="11.25" customHeight="1">
      <c r="A95" s="2125"/>
      <c r="AJ95" s="2132"/>
      <c r="AK95" s="2133"/>
      <c r="AL95" s="2134"/>
      <c r="AM95" s="2135"/>
      <c r="AN95" s="2134"/>
    </row>
    <row r="96" spans="1:47" s="299" customFormat="1" ht="11.25" customHeight="1">
      <c r="A96" s="2125"/>
      <c r="AJ96" s="2132"/>
      <c r="AK96" s="2133"/>
      <c r="AL96" s="2134"/>
      <c r="AM96" s="2135"/>
      <c r="AN96" s="2134"/>
    </row>
    <row r="97" spans="1:47" s="299" customFormat="1" ht="11.25" customHeight="1">
      <c r="A97" s="2125"/>
      <c r="AJ97" s="2132"/>
      <c r="AK97" s="2133"/>
      <c r="AL97" s="2134"/>
      <c r="AM97" s="2135"/>
      <c r="AN97" s="2134"/>
    </row>
    <row r="98" spans="1:47" s="299" customFormat="1" ht="11.25" customHeight="1">
      <c r="A98" s="2125"/>
      <c r="AJ98" s="2132"/>
      <c r="AK98" s="2133"/>
      <c r="AL98" s="2134"/>
      <c r="AM98" s="2135"/>
      <c r="AN98" s="2134"/>
    </row>
    <row r="99" spans="1:47" s="299" customFormat="1" ht="11.25" customHeight="1">
      <c r="A99" s="2125"/>
      <c r="AJ99" s="2132"/>
      <c r="AK99" s="2133"/>
      <c r="AL99" s="2134"/>
      <c r="AM99" s="2135"/>
      <c r="AN99" s="2134"/>
    </row>
    <row r="100" spans="1:47" s="299" customFormat="1" ht="11.25" customHeight="1">
      <c r="A100" s="2125"/>
      <c r="AJ100" s="2132"/>
      <c r="AK100" s="2133"/>
      <c r="AL100" s="2134"/>
      <c r="AM100" s="2135"/>
      <c r="AN100" s="2134"/>
    </row>
    <row r="101" spans="1:47" s="299" customFormat="1" ht="11.25" customHeight="1">
      <c r="A101" s="2125"/>
      <c r="AJ101" s="2132"/>
      <c r="AK101" s="2133"/>
      <c r="AL101" s="2134"/>
      <c r="AM101" s="2135"/>
      <c r="AN101" s="2134"/>
    </row>
    <row r="102" spans="1:47" s="299" customFormat="1" ht="11.25" customHeight="1">
      <c r="A102" s="2125"/>
      <c r="AJ102" s="2132"/>
      <c r="AK102" s="2133"/>
      <c r="AL102" s="2134"/>
      <c r="AM102" s="2135"/>
      <c r="AN102" s="2134"/>
    </row>
    <row r="103" spans="1:47" s="299" customFormat="1" ht="11.25" customHeight="1">
      <c r="A103" s="2125"/>
      <c r="AJ103" s="2132"/>
      <c r="AK103" s="2133"/>
      <c r="AL103" s="2134"/>
      <c r="AM103" s="2135"/>
      <c r="AN103" s="2134"/>
    </row>
    <row r="104" spans="1:47" s="299" customFormat="1" ht="11.25" customHeight="1">
      <c r="A104" s="2125"/>
      <c r="AJ104" s="2132"/>
      <c r="AK104" s="2133"/>
      <c r="AL104" s="2134"/>
      <c r="AM104" s="2135"/>
      <c r="AN104" s="2134"/>
    </row>
    <row r="105" spans="1:47" s="299" customFormat="1" ht="11.25" customHeight="1">
      <c r="A105" s="2125"/>
      <c r="AJ105" s="2132"/>
      <c r="AK105" s="2133"/>
      <c r="AL105" s="2134"/>
      <c r="AM105" s="2135"/>
      <c r="AN105" s="2134"/>
    </row>
    <row r="106" spans="1:47" s="299" customFormat="1" ht="11.25" customHeight="1">
      <c r="A106" s="2125"/>
      <c r="AJ106" s="2132"/>
      <c r="AK106" s="2133"/>
      <c r="AL106" s="2134"/>
      <c r="AM106" s="2135"/>
      <c r="AN106" s="2134"/>
    </row>
    <row r="107" spans="1:47" s="299" customFormat="1" ht="11.25" customHeight="1">
      <c r="A107" s="2125"/>
      <c r="AJ107" s="2132"/>
      <c r="AK107" s="2133"/>
      <c r="AL107" s="2134"/>
      <c r="AM107" s="2135"/>
      <c r="AN107" s="2134"/>
    </row>
    <row r="108" spans="1:47" s="299" customFormat="1" ht="11.25" customHeight="1">
      <c r="A108" s="2125"/>
      <c r="C108" s="2126"/>
      <c r="D108" s="2126"/>
      <c r="E108" s="2126"/>
      <c r="F108" s="2126"/>
      <c r="G108" s="2126"/>
      <c r="H108" s="2126"/>
      <c r="I108" s="2126"/>
      <c r="J108" s="2127"/>
      <c r="K108" s="2127"/>
      <c r="L108" s="2127"/>
      <c r="M108" s="2127"/>
      <c r="N108" s="2128"/>
      <c r="O108" s="2128"/>
      <c r="P108" s="2129"/>
      <c r="Q108" s="2129"/>
      <c r="R108" s="2129"/>
      <c r="S108" s="2130"/>
      <c r="T108" s="2131"/>
      <c r="AJ108" s="2132"/>
      <c r="AK108" s="2133"/>
      <c r="AL108" s="2134"/>
      <c r="AM108" s="2135"/>
      <c r="AN108" s="2134"/>
    </row>
    <row r="109" spans="1:47" s="299" customFormat="1" ht="11.25" customHeight="1">
      <c r="A109" s="2125"/>
      <c r="C109" s="2126"/>
      <c r="D109" s="2126"/>
      <c r="E109" s="2126"/>
      <c r="F109" s="2126"/>
      <c r="G109" s="2126"/>
      <c r="H109" s="2126"/>
      <c r="I109" s="2126"/>
      <c r="J109" s="2127"/>
      <c r="K109" s="2127"/>
      <c r="L109" s="2127"/>
      <c r="M109" s="2127"/>
      <c r="N109" s="2128"/>
      <c r="O109" s="2128"/>
      <c r="P109" s="2129"/>
      <c r="Q109" s="2129"/>
      <c r="R109" s="2129"/>
      <c r="S109" s="2130"/>
      <c r="T109" s="2131"/>
      <c r="AJ109" s="2132"/>
      <c r="AK109" s="2133"/>
      <c r="AL109" s="2134"/>
      <c r="AM109" s="2135"/>
      <c r="AN109" s="2134"/>
    </row>
    <row r="110" spans="1:47" s="299" customFormat="1" ht="11.25" customHeight="1">
      <c r="A110" s="2125"/>
      <c r="C110" s="2126"/>
      <c r="D110" s="2126"/>
      <c r="E110" s="2126"/>
      <c r="F110" s="2126"/>
      <c r="G110" s="2126"/>
      <c r="H110" s="2126"/>
      <c r="I110" s="2126"/>
      <c r="J110" s="2127"/>
      <c r="K110" s="2127"/>
      <c r="L110" s="2127"/>
      <c r="M110" s="2127"/>
      <c r="N110" s="2128"/>
      <c r="O110" s="2128"/>
      <c r="P110" s="2129"/>
      <c r="Q110" s="2129"/>
      <c r="R110" s="2129"/>
      <c r="S110" s="2130"/>
      <c r="T110" s="2131"/>
      <c r="AJ110" s="2132"/>
      <c r="AK110" s="2133"/>
      <c r="AL110" s="2134"/>
      <c r="AM110" s="2135"/>
      <c r="AN110" s="2134"/>
    </row>
    <row r="111" spans="1:47" s="311" customFormat="1" ht="11.25" customHeight="1">
      <c r="A111" s="303"/>
      <c r="B111" s="1"/>
      <c r="C111" s="289" t="s">
        <v>380</v>
      </c>
      <c r="D111" s="1"/>
      <c r="E111" s="1"/>
      <c r="F111" s="1"/>
      <c r="G111" s="1"/>
      <c r="H111" s="1"/>
      <c r="I111" s="1"/>
      <c r="J111" s="1"/>
      <c r="K111" s="1"/>
      <c r="L111" s="1"/>
      <c r="M111" s="1"/>
      <c r="N111" s="304"/>
      <c r="O111" s="304"/>
      <c r="P111" s="304"/>
      <c r="Q111" s="304"/>
      <c r="R111" s="304"/>
      <c r="S111" s="304"/>
      <c r="T111" s="304"/>
      <c r="V111" s="304"/>
      <c r="W111" s="304"/>
      <c r="X111" s="304"/>
      <c r="Y111" s="304"/>
      <c r="Z111" s="304"/>
      <c r="AA111" s="305"/>
      <c r="AB111" s="305"/>
      <c r="AC111" s="305"/>
      <c r="AD111" s="306"/>
      <c r="AE111" s="307"/>
      <c r="AF111" s="508"/>
      <c r="AG111" s="309"/>
      <c r="AH111" s="291"/>
      <c r="AI111" s="291"/>
      <c r="AJ111" s="295"/>
      <c r="AK111" s="296"/>
      <c r="AL111" s="294"/>
      <c r="AM111" s="297"/>
      <c r="AN111" s="294"/>
      <c r="AO111" s="291"/>
      <c r="AP111" s="291"/>
      <c r="AQ111" s="291"/>
      <c r="AR111" s="291"/>
      <c r="AS111" s="291"/>
      <c r="AT111" s="291"/>
      <c r="AU111" s="291"/>
    </row>
    <row r="112" spans="1:47" s="313" customFormat="1" ht="11.25" customHeight="1">
      <c r="A112" s="312"/>
      <c r="B112" s="586"/>
      <c r="C112" s="587" t="s">
        <v>381</v>
      </c>
      <c r="D112" s="588"/>
      <c r="E112" s="588"/>
      <c r="F112" s="589"/>
      <c r="G112" s="593" t="s">
        <v>382</v>
      </c>
      <c r="H112" s="594"/>
      <c r="I112" s="595"/>
      <c r="J112" s="596" t="s">
        <v>383</v>
      </c>
      <c r="K112" s="597"/>
      <c r="L112" s="598"/>
      <c r="M112" s="599" t="s">
        <v>384</v>
      </c>
      <c r="N112" s="600"/>
      <c r="O112" s="600"/>
      <c r="P112" s="601"/>
      <c r="Q112" s="311"/>
      <c r="R112" s="311"/>
      <c r="S112" s="311"/>
      <c r="T112" s="311"/>
      <c r="U112" s="311"/>
      <c r="V112" s="311"/>
      <c r="W112" s="311"/>
      <c r="X112" s="311"/>
      <c r="Y112" s="311"/>
      <c r="Z112" s="311"/>
      <c r="AA112" s="311"/>
      <c r="AB112" s="311"/>
      <c r="AC112" s="311"/>
      <c r="AD112" s="311"/>
      <c r="AE112" s="311"/>
      <c r="AF112" s="311"/>
      <c r="AG112" s="311"/>
      <c r="AH112" s="291"/>
      <c r="AI112" s="291"/>
      <c r="AJ112" s="295"/>
      <c r="AK112" s="296"/>
      <c r="AL112" s="294"/>
      <c r="AM112" s="297"/>
      <c r="AN112" s="294"/>
      <c r="AO112" s="291"/>
      <c r="AP112" s="291"/>
      <c r="AQ112" s="291"/>
      <c r="AR112" s="291"/>
      <c r="AS112" s="291"/>
      <c r="AT112" s="291"/>
      <c r="AU112" s="291"/>
    </row>
    <row r="113" spans="1:47" ht="11.25" customHeight="1">
      <c r="A113" s="314"/>
      <c r="B113" s="586"/>
      <c r="C113" s="590"/>
      <c r="D113" s="591"/>
      <c r="E113" s="591"/>
      <c r="F113" s="592"/>
      <c r="G113" s="315" t="s">
        <v>402</v>
      </c>
      <c r="H113" s="605" t="s">
        <v>283</v>
      </c>
      <c r="I113" s="606"/>
      <c r="J113" s="317" t="s">
        <v>405</v>
      </c>
      <c r="K113" s="318" t="s">
        <v>406</v>
      </c>
      <c r="L113" s="319" t="s">
        <v>407</v>
      </c>
      <c r="M113" s="602"/>
      <c r="N113" s="603"/>
      <c r="O113" s="603"/>
      <c r="P113" s="604"/>
      <c r="V113" s="291"/>
    </row>
    <row r="114" spans="1:47" ht="11.25" customHeight="1">
      <c r="A114" s="325" t="e">
        <f>IF(#REF!&gt;#REF!,0,1)</f>
        <v>#REF!</v>
      </c>
      <c r="B114" s="496"/>
      <c r="C114" s="565" t="s">
        <v>385</v>
      </c>
      <c r="D114" s="566"/>
      <c r="E114" s="566"/>
      <c r="F114" s="567"/>
      <c r="G114" s="542">
        <v>8</v>
      </c>
      <c r="H114" s="577">
        <f>ROUND(G114*0.3025, 2)</f>
        <v>2.42</v>
      </c>
      <c r="I114" s="578"/>
      <c r="J114" s="543">
        <v>45447</v>
      </c>
      <c r="K114" s="336">
        <v>46537</v>
      </c>
      <c r="L114" s="544">
        <f>ROUND(YEARFRAC(J114,K114)*12,1)</f>
        <v>35.9</v>
      </c>
      <c r="M114" s="568"/>
      <c r="N114" s="569"/>
      <c r="O114" s="569"/>
      <c r="P114" s="570"/>
      <c r="V114" s="291"/>
    </row>
    <row r="115" spans="1:47" ht="11.25" customHeight="1">
      <c r="A115" s="325" t="e">
        <f>IF(#REF!&gt;#REF!,0,1)</f>
        <v>#REF!</v>
      </c>
      <c r="B115" s="496"/>
      <c r="C115" s="565" t="s">
        <v>385</v>
      </c>
      <c r="D115" s="566"/>
      <c r="E115" s="566"/>
      <c r="F115" s="567"/>
      <c r="G115" s="542">
        <v>8</v>
      </c>
      <c r="H115" s="542">
        <f>ROUND(G115*0.3025, 2)</f>
        <v>2.42</v>
      </c>
      <c r="I115" s="542"/>
      <c r="J115" s="543">
        <v>45447</v>
      </c>
      <c r="K115" s="336">
        <v>46537</v>
      </c>
      <c r="L115" s="544">
        <f>ROUND(YEARFRAC(J115,K115)*12,1)</f>
        <v>35.9</v>
      </c>
      <c r="M115" s="568"/>
      <c r="N115" s="569"/>
      <c r="O115" s="569"/>
      <c r="P115" s="570"/>
      <c r="V115" s="291"/>
    </row>
    <row r="116" spans="1:47" ht="11.25" customHeight="1">
      <c r="A116" s="325" t="e">
        <f>IF(#REF!&gt;#REF!,0,1)</f>
        <v>#REF!</v>
      </c>
      <c r="B116" s="496"/>
      <c r="C116" s="565" t="s">
        <v>385</v>
      </c>
      <c r="D116" s="566"/>
      <c r="E116" s="566"/>
      <c r="F116" s="567"/>
      <c r="G116" s="542">
        <v>8</v>
      </c>
      <c r="H116" s="542">
        <f>ROUND(G116*0.3025, 2)</f>
        <v>2.42</v>
      </c>
      <c r="I116" s="542"/>
      <c r="J116" s="543">
        <v>45447</v>
      </c>
      <c r="K116" s="336">
        <v>46537</v>
      </c>
      <c r="L116" s="544">
        <f>ROUND(YEARFRAC(J116,K116)*12,1)</f>
        <v>35.9</v>
      </c>
      <c r="M116" s="568"/>
      <c r="N116" s="569"/>
      <c r="O116" s="569"/>
      <c r="P116" s="570"/>
      <c r="V116" s="291"/>
    </row>
    <row r="117" spans="1:47" s="509" customFormat="1" ht="11.25" customHeight="1">
      <c r="A117" s="312"/>
      <c r="C117" s="571" t="s">
        <v>420</v>
      </c>
      <c r="D117" s="572"/>
      <c r="E117" s="572"/>
      <c r="F117" s="573"/>
      <c r="G117" s="545">
        <f>SUM(G114:G116)</f>
        <v>24</v>
      </c>
      <c r="H117" s="574">
        <f>SUM(H114:I116)</f>
        <v>7.26</v>
      </c>
      <c r="I117" s="575"/>
      <c r="J117" s="546"/>
      <c r="K117" s="547"/>
      <c r="L117" s="547"/>
      <c r="M117" s="576"/>
      <c r="N117" s="576"/>
      <c r="O117" s="576"/>
      <c r="P117" s="575"/>
      <c r="AH117" s="291"/>
      <c r="AI117" s="291"/>
      <c r="AJ117" s="295"/>
      <c r="AK117" s="296"/>
      <c r="AL117" s="294"/>
      <c r="AM117" s="297"/>
      <c r="AN117" s="294"/>
      <c r="AO117" s="291"/>
      <c r="AP117" s="291"/>
      <c r="AQ117" s="291"/>
      <c r="AR117" s="291"/>
      <c r="AS117" s="291"/>
      <c r="AT117" s="291"/>
      <c r="AU117" s="291"/>
    </row>
    <row r="118" spans="1:47" ht="11.25" customHeight="1">
      <c r="A118" s="325"/>
      <c r="B118" s="290"/>
      <c r="C118" s="289" t="s">
        <v>386</v>
      </c>
      <c r="H118" s="291"/>
      <c r="I118" s="291"/>
      <c r="J118" s="291"/>
      <c r="K118" s="291"/>
      <c r="O118" s="548"/>
      <c r="P118" s="291"/>
      <c r="V118" s="291"/>
      <c r="W118" s="549"/>
      <c r="Z118" s="517"/>
      <c r="AA118" s="517"/>
      <c r="AB118" s="517"/>
      <c r="AC118" s="517"/>
      <c r="AG118" s="506"/>
    </row>
    <row r="119" spans="1:47" ht="11.25" customHeight="1">
      <c r="A119" s="314"/>
      <c r="B119" s="550"/>
      <c r="C119" s="551" t="s">
        <v>387</v>
      </c>
      <c r="D119" s="552" t="e">
        <f>(SUMIF($F$39:$F$72,"입점",H39:H72)+SUMIF($F$73:$F$74,"입점",H73:H74))/#REF!</f>
        <v>#REF!</v>
      </c>
      <c r="H119" s="548"/>
      <c r="I119" s="291"/>
      <c r="J119" s="548"/>
      <c r="K119" s="291"/>
      <c r="P119" s="291"/>
      <c r="U119" s="290"/>
      <c r="V119" s="290"/>
      <c r="W119" s="516"/>
      <c r="X119" s="553"/>
      <c r="Z119" s="455"/>
      <c r="AA119" s="455"/>
      <c r="AB119" s="455"/>
      <c r="AC119" s="455"/>
      <c r="AG119" s="455"/>
    </row>
    <row r="120" spans="1:47" ht="11.25" customHeight="1">
      <c r="A120" s="314"/>
      <c r="B120" s="480"/>
      <c r="H120" s="291"/>
      <c r="I120" s="291"/>
      <c r="J120" s="291"/>
      <c r="K120" s="291"/>
      <c r="P120" s="455"/>
      <c r="Q120" s="455"/>
      <c r="R120" s="455"/>
      <c r="S120" s="455"/>
      <c r="T120" s="455"/>
      <c r="U120" s="564"/>
      <c r="V120" s="564"/>
      <c r="W120" s="554"/>
      <c r="X120" s="555"/>
      <c r="Z120" s="455"/>
      <c r="AA120" s="455"/>
      <c r="AB120" s="455"/>
      <c r="AC120" s="455"/>
      <c r="AG120" s="455"/>
    </row>
    <row r="121" spans="1:47" ht="11.25" customHeight="1">
      <c r="H121" s="291"/>
      <c r="I121" s="291"/>
      <c r="J121" s="291"/>
      <c r="K121" s="291"/>
      <c r="P121" s="291"/>
      <c r="V121" s="291"/>
    </row>
    <row r="122" spans="1:47" ht="11.25" customHeight="1">
      <c r="P122" s="291"/>
      <c r="V122" s="291"/>
    </row>
    <row r="123" spans="1:47" ht="11.25" customHeight="1">
      <c r="C123" s="488"/>
      <c r="D123" s="480"/>
      <c r="E123" s="480"/>
      <c r="F123" s="480"/>
      <c r="G123" s="556"/>
      <c r="H123" s="291"/>
      <c r="J123" s="291"/>
      <c r="L123" s="556"/>
      <c r="M123" s="556"/>
      <c r="P123" s="291"/>
      <c r="V123" s="291"/>
    </row>
    <row r="124" spans="1:47" ht="11.25" customHeight="1">
      <c r="C124" s="557"/>
      <c r="D124" s="558"/>
      <c r="E124" s="558"/>
      <c r="F124" s="558"/>
      <c r="G124" s="1384">
        <v>2.5000000000000001E-2</v>
      </c>
      <c r="H124" s="558"/>
      <c r="J124" s="558"/>
      <c r="L124" s="558"/>
      <c r="M124" s="558"/>
      <c r="V124" s="291"/>
    </row>
    <row r="125" spans="1:47" ht="11.25" customHeight="1">
      <c r="C125" s="559"/>
      <c r="D125" s="560"/>
      <c r="E125" s="560"/>
      <c r="F125" s="1385">
        <v>1</v>
      </c>
      <c r="G125" s="561">
        <v>60000</v>
      </c>
      <c r="H125" s="561"/>
      <c r="J125" s="561"/>
      <c r="L125" s="561"/>
      <c r="M125" s="561"/>
      <c r="P125" s="291"/>
      <c r="V125" s="291"/>
    </row>
    <row r="126" spans="1:47" ht="11.25" customHeight="1">
      <c r="C126" s="559"/>
      <c r="D126" s="560"/>
      <c r="E126" s="560"/>
      <c r="F126" s="1385">
        <v>2</v>
      </c>
      <c r="G126" s="561">
        <f>G125*(1+$G$124)</f>
        <v>61499.999999999993</v>
      </c>
      <c r="H126" s="561"/>
      <c r="J126" s="561"/>
      <c r="L126" s="561"/>
      <c r="M126" s="561"/>
      <c r="P126" s="291"/>
      <c r="V126" s="291"/>
    </row>
    <row r="127" spans="1:47" ht="11.25" customHeight="1">
      <c r="C127" s="562"/>
      <c r="D127" s="563"/>
      <c r="E127" s="563"/>
      <c r="F127" s="1386">
        <v>3</v>
      </c>
      <c r="G127" s="561">
        <f>G126*(1+$G$124)</f>
        <v>63037.499999999985</v>
      </c>
      <c r="H127" s="558"/>
      <c r="J127" s="558"/>
      <c r="L127" s="558"/>
      <c r="M127" s="558"/>
      <c r="P127" s="291"/>
      <c r="V127" s="291"/>
    </row>
    <row r="128" spans="1:47" ht="11.25" customHeight="1">
      <c r="C128" s="549"/>
      <c r="D128" s="549"/>
      <c r="E128" s="549"/>
      <c r="F128" s="1387">
        <v>4</v>
      </c>
      <c r="G128" s="561">
        <f>G127*(1+$G$124)</f>
        <v>64613.437499999978</v>
      </c>
      <c r="H128" s="549"/>
      <c r="J128" s="549"/>
      <c r="L128" s="549"/>
      <c r="M128" s="549"/>
      <c r="P128" s="291"/>
      <c r="V128" s="291"/>
    </row>
    <row r="129" spans="6:22" ht="11.25" customHeight="1">
      <c r="F129" s="291">
        <v>5</v>
      </c>
      <c r="G129" s="561">
        <f>G128*(1+$G$124)</f>
        <v>66228.773437499971</v>
      </c>
      <c r="H129" s="291"/>
      <c r="J129" s="291"/>
      <c r="L129" s="549"/>
      <c r="M129" s="549"/>
      <c r="P129" s="291"/>
      <c r="V129" s="291"/>
    </row>
    <row r="130" spans="6:22" ht="11.25" customHeight="1">
      <c r="P130" s="291"/>
      <c r="V130" s="291"/>
    </row>
    <row r="131" spans="6:22" ht="11.25" customHeight="1">
      <c r="P131" s="291"/>
      <c r="V131" s="291"/>
    </row>
    <row r="132" spans="6:22" ht="11.25" customHeight="1">
      <c r="P132" s="291"/>
      <c r="V132" s="291"/>
    </row>
    <row r="133" spans="6:22" ht="11.25" customHeight="1">
      <c r="V133" s="291"/>
    </row>
    <row r="134" spans="6:22" ht="11.25" customHeight="1">
      <c r="V134" s="291"/>
    </row>
    <row r="135" spans="6:22" ht="11.25" customHeight="1">
      <c r="V135" s="291"/>
    </row>
    <row r="136" spans="6:22" ht="11.25" customHeight="1">
      <c r="V136" s="291"/>
    </row>
  </sheetData>
  <phoneticPr fontId="2" type="noConversion"/>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32722-B62E-4358-B04A-A4FB84B99CDE}">
  <sheetPr codeName="Sheet18"/>
  <dimension ref="A1"/>
  <sheetViews>
    <sheetView showGridLines="0" workbookViewId="0">
      <selection activeCell="I42" sqref="I42"/>
    </sheetView>
  </sheetViews>
  <sheetFormatPr defaultRowHeight="11.25" customHeight="1"/>
  <sheetData/>
  <phoneticPr fontId="2"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FE2FC-EABD-4DC9-A33B-571A2713869D}">
  <sheetPr codeName="Sheet13">
    <tabColor rgb="FFFFC000"/>
  </sheetPr>
  <dimension ref="A1"/>
  <sheetViews>
    <sheetView workbookViewId="0"/>
  </sheetViews>
  <sheetFormatPr defaultRowHeight="16.5"/>
  <sheetData/>
  <phoneticPr fontId="2"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8D8FC-B2C4-42D6-A71C-63A5A0A57BAC}">
  <sheetPr codeName="Sheet20"/>
  <dimension ref="A1:O67"/>
  <sheetViews>
    <sheetView showGridLines="0" workbookViewId="0"/>
  </sheetViews>
  <sheetFormatPr defaultColWidth="10" defaultRowHeight="14.25"/>
  <cols>
    <col min="1" max="1" width="1.375" style="1471" customWidth="1"/>
    <col min="2" max="2" width="14.125" style="1471" customWidth="1"/>
    <col min="3" max="3" width="13.75" style="1471" customWidth="1"/>
    <col min="4" max="4" width="14" style="1472" customWidth="1"/>
    <col min="5" max="5" width="17.625" style="1471" customWidth="1"/>
    <col min="6" max="6" width="21.375" style="1471" bestFit="1" customWidth="1"/>
    <col min="7" max="7" width="19.375" style="1471" bestFit="1" customWidth="1"/>
    <col min="8" max="9" width="18.125" style="1471" bestFit="1" customWidth="1"/>
    <col min="10" max="10" width="17.25" style="1471" bestFit="1" customWidth="1"/>
    <col min="11" max="11" width="15.5" style="1471" bestFit="1" customWidth="1"/>
    <col min="12" max="12" width="25.25" style="1471" customWidth="1"/>
    <col min="13" max="13" width="16" style="1471" bestFit="1" customWidth="1"/>
    <col min="14" max="14" width="14" style="1471" bestFit="1" customWidth="1"/>
    <col min="15" max="15" width="17.375" style="1471" bestFit="1" customWidth="1"/>
    <col min="16" max="16384" width="10" style="1471"/>
  </cols>
  <sheetData>
    <row r="1" spans="2:11" s="1404" customFormat="1" ht="30" customHeight="1">
      <c r="B1" s="3189" t="s">
        <v>898</v>
      </c>
      <c r="C1" s="3189"/>
      <c r="D1" s="3189"/>
      <c r="E1" s="3189"/>
      <c r="F1" s="3189"/>
      <c r="G1" s="3189"/>
      <c r="H1" s="3189"/>
      <c r="I1" s="3189"/>
      <c r="J1" s="3189"/>
    </row>
    <row r="2" spans="2:11" s="1404" customFormat="1" ht="12" customHeight="1">
      <c r="B2" s="1405"/>
      <c r="C2" s="1405"/>
      <c r="D2" s="1405"/>
      <c r="E2" s="1406"/>
      <c r="F2" s="1407"/>
      <c r="G2" s="1408"/>
      <c r="H2" s="1407"/>
      <c r="I2" s="1409"/>
      <c r="J2" s="1410"/>
    </row>
    <row r="3" spans="2:11" s="1414" customFormat="1" ht="15" customHeight="1">
      <c r="B3" s="1411" t="str">
        <f>"1. 납부금액: 일금"&amp;NUMBERSTRING(I7,1)&amp;"원정(\"&amp;TEXT(I7,"###,###,###-)")</f>
        <v>1. 납부금액: 일금이억육백이십오만일천칠백이십원정(\206,251,720-)</v>
      </c>
      <c r="C3" s="1412"/>
      <c r="D3" s="1412"/>
      <c r="E3" s="1412"/>
      <c r="F3" s="1412"/>
      <c r="G3" s="1412"/>
      <c r="H3" s="1412"/>
      <c r="I3" s="1412"/>
      <c r="J3" s="1413"/>
    </row>
    <row r="4" spans="2:11" s="1414" customFormat="1" ht="15" customHeight="1">
      <c r="B4" s="1412"/>
      <c r="C4" s="1412"/>
      <c r="D4" s="1412"/>
      <c r="E4" s="1412"/>
      <c r="F4" s="1412"/>
      <c r="G4" s="1412"/>
      <c r="H4" s="1412"/>
      <c r="I4" s="1412"/>
      <c r="J4" s="1413"/>
    </row>
    <row r="5" spans="2:11" s="1416" customFormat="1" ht="15" customHeight="1">
      <c r="B5" s="1411" t="s">
        <v>852</v>
      </c>
      <c r="C5" s="1411"/>
      <c r="D5" s="1411"/>
      <c r="E5" s="1411"/>
      <c r="F5" s="1411"/>
      <c r="G5" s="1411"/>
      <c r="H5" s="1411"/>
      <c r="I5" s="1411"/>
      <c r="J5" s="1415"/>
    </row>
    <row r="6" spans="2:11" s="1414" customFormat="1" ht="15" customHeight="1">
      <c r="B6" s="1417" t="s">
        <v>853</v>
      </c>
      <c r="C6" s="3190" t="s">
        <v>854</v>
      </c>
      <c r="D6" s="3191"/>
      <c r="E6" s="3192" t="s">
        <v>855</v>
      </c>
      <c r="F6" s="3192"/>
      <c r="G6" s="3192" t="s">
        <v>856</v>
      </c>
      <c r="H6" s="3192"/>
      <c r="I6" s="3192" t="s">
        <v>857</v>
      </c>
      <c r="J6" s="3192"/>
    </row>
    <row r="7" spans="2:11" s="1414" customFormat="1" ht="15" customHeight="1">
      <c r="B7" s="1418" t="s">
        <v>858</v>
      </c>
      <c r="C7" s="3184">
        <f>G41</f>
        <v>132794668.90000001</v>
      </c>
      <c r="D7" s="3185"/>
      <c r="E7" s="3186">
        <f>H41</f>
        <v>46898130</v>
      </c>
      <c r="F7" s="3186"/>
      <c r="G7" s="3187">
        <f>I41</f>
        <v>26558930</v>
      </c>
      <c r="H7" s="3187"/>
      <c r="I7" s="3188">
        <f>ROUNDDOWN(SUM(C7:H7),-1)</f>
        <v>206251720</v>
      </c>
      <c r="J7" s="3188"/>
      <c r="K7" s="1419"/>
    </row>
    <row r="8" spans="2:11" s="1414" customFormat="1" ht="15" customHeight="1">
      <c r="B8" s="1412"/>
      <c r="C8" s="1412"/>
      <c r="D8" s="1412"/>
      <c r="E8" s="1412"/>
      <c r="F8" s="1412"/>
      <c r="G8" s="1412"/>
      <c r="H8" s="1412"/>
      <c r="I8" s="1412"/>
      <c r="J8" s="1413"/>
    </row>
    <row r="9" spans="2:11" s="1414" customFormat="1" ht="15" customHeight="1">
      <c r="B9" s="1411" t="s">
        <v>899</v>
      </c>
      <c r="C9" s="1412"/>
      <c r="D9" s="1412"/>
      <c r="E9" s="1412"/>
      <c r="F9" s="1412"/>
      <c r="G9" s="1412"/>
      <c r="H9" s="1412"/>
      <c r="I9" s="1412"/>
      <c r="J9" s="1413"/>
    </row>
    <row r="10" spans="2:11" s="1414" customFormat="1" ht="15" customHeight="1">
      <c r="B10" s="1412"/>
      <c r="C10" s="1412"/>
      <c r="D10" s="1412"/>
      <c r="E10" s="1412"/>
      <c r="F10" s="1412"/>
      <c r="G10" s="1412"/>
      <c r="H10" s="1412"/>
      <c r="I10" s="1412"/>
      <c r="J10" s="1413"/>
    </row>
    <row r="11" spans="2:11" s="1414" customFormat="1" ht="15" customHeight="1">
      <c r="B11" s="1411" t="s">
        <v>859</v>
      </c>
      <c r="C11" s="1412"/>
      <c r="D11" s="1412"/>
      <c r="E11" s="1412"/>
      <c r="F11" s="1412"/>
      <c r="G11" s="1412"/>
      <c r="H11" s="1412"/>
      <c r="I11" s="1412"/>
      <c r="J11" s="1413"/>
    </row>
    <row r="12" spans="2:11" s="1414" customFormat="1" ht="15" customHeight="1">
      <c r="B12" s="1412"/>
      <c r="C12" s="1412"/>
      <c r="D12" s="1412"/>
      <c r="E12" s="1412"/>
      <c r="F12" s="1412"/>
      <c r="G12" s="1412"/>
      <c r="H12" s="1412"/>
      <c r="I12" s="1412"/>
      <c r="J12" s="1413"/>
    </row>
    <row r="13" spans="2:11" s="1414" customFormat="1" ht="15" customHeight="1">
      <c r="B13" s="1411" t="s">
        <v>860</v>
      </c>
      <c r="C13" s="1412"/>
      <c r="D13" s="1412"/>
      <c r="E13" s="1412"/>
      <c r="F13" s="1412"/>
      <c r="G13" s="1412"/>
      <c r="H13" s="1420"/>
      <c r="I13" s="1412"/>
      <c r="J13" s="1413"/>
    </row>
    <row r="14" spans="2:11" s="1414" customFormat="1" ht="15" customHeight="1">
      <c r="B14" s="1412"/>
      <c r="C14" s="1412"/>
      <c r="D14" s="1412"/>
      <c r="E14" s="1412"/>
      <c r="F14" s="1420"/>
      <c r="G14" s="1412"/>
      <c r="H14" s="1420"/>
      <c r="I14" s="1412"/>
      <c r="J14" s="1413"/>
    </row>
    <row r="15" spans="2:11" s="1414" customFormat="1" ht="15" customHeight="1">
      <c r="B15" s="1411" t="s">
        <v>861</v>
      </c>
      <c r="C15" s="1412"/>
      <c r="D15" s="1412"/>
      <c r="E15" s="1412"/>
      <c r="F15" s="1420"/>
      <c r="G15" s="1412"/>
      <c r="H15" s="1420"/>
      <c r="I15" s="1412"/>
      <c r="J15" s="1413"/>
    </row>
    <row r="16" spans="2:11" s="1414" customFormat="1" ht="15" customHeight="1">
      <c r="B16" s="1412"/>
      <c r="C16" s="1412"/>
      <c r="D16" s="1412"/>
      <c r="E16" s="1412"/>
      <c r="F16" s="1420"/>
      <c r="G16" s="1412"/>
      <c r="H16" s="1420"/>
      <c r="I16" s="1421">
        <f>2800000+(26067100080-1000000000)*0.004</f>
        <v>103068400.32000001</v>
      </c>
      <c r="J16" s="1413"/>
    </row>
    <row r="17" spans="1:15" s="1414" customFormat="1" ht="15" customHeight="1">
      <c r="B17" s="1411" t="s">
        <v>862</v>
      </c>
      <c r="C17" s="1412"/>
      <c r="D17" s="1412"/>
      <c r="E17" s="1412"/>
      <c r="F17" s="1420"/>
      <c r="G17" s="1412"/>
      <c r="H17" s="1422"/>
      <c r="I17" s="1412"/>
      <c r="J17" s="1413"/>
      <c r="M17" s="1414">
        <v>2603094.5993872643</v>
      </c>
      <c r="N17" s="1423">
        <f>M18-M17</f>
        <v>522962.09460626869</v>
      </c>
    </row>
    <row r="18" spans="1:15" s="1414" customFormat="1" ht="15" customHeight="1">
      <c r="B18" s="1412"/>
      <c r="C18" s="1412"/>
      <c r="D18" s="1412"/>
      <c r="E18" s="1412"/>
      <c r="F18" s="1420"/>
      <c r="G18" s="1412"/>
      <c r="H18" s="1412"/>
      <c r="I18" s="1412"/>
      <c r="J18" s="1413"/>
      <c r="L18" s="1424">
        <f>SUM(C22,C26,C30,C34,C38)</f>
        <v>15308.5</v>
      </c>
      <c r="M18" s="1423">
        <f>L20/L18</f>
        <v>3126056.693993533</v>
      </c>
      <c r="N18" s="1425">
        <f>N17/M17</f>
        <v>0.20090014966392977</v>
      </c>
      <c r="O18" s="1423" t="b">
        <f>M17*(1+N18)=M18</f>
        <v>1</v>
      </c>
    </row>
    <row r="19" spans="1:15" s="1414" customFormat="1" ht="15" customHeight="1" thickBot="1">
      <c r="B19" s="1411" t="s">
        <v>863</v>
      </c>
      <c r="C19" s="1412"/>
      <c r="D19" s="1412"/>
      <c r="E19" s="1412"/>
      <c r="F19" s="1422"/>
      <c r="G19" s="1412"/>
      <c r="H19" s="1412"/>
      <c r="I19" s="1412"/>
      <c r="J19" s="1413"/>
    </row>
    <row r="20" spans="1:15" s="1426" customFormat="1" ht="15" customHeight="1" thickBot="1">
      <c r="B20" s="1427" t="s">
        <v>864</v>
      </c>
      <c r="C20" s="1428" t="s">
        <v>865</v>
      </c>
      <c r="D20" s="1429" t="s">
        <v>866</v>
      </c>
      <c r="E20" s="1428" t="s">
        <v>867</v>
      </c>
      <c r="F20" s="1428" t="s">
        <v>868</v>
      </c>
      <c r="G20" s="1428" t="s">
        <v>854</v>
      </c>
      <c r="H20" s="1428" t="s">
        <v>869</v>
      </c>
      <c r="I20" s="1428" t="s">
        <v>856</v>
      </c>
      <c r="J20" s="1430" t="s">
        <v>857</v>
      </c>
      <c r="L20" s="1426">
        <f>SUM(L21:L37)</f>
        <v>47855238900</v>
      </c>
    </row>
    <row r="21" spans="1:15" s="1431" customFormat="1" ht="15" customHeight="1">
      <c r="B21" s="1432" t="s">
        <v>870</v>
      </c>
      <c r="C21" s="1433">
        <v>13670.6</v>
      </c>
      <c r="D21" s="1434">
        <v>3129000</v>
      </c>
      <c r="E21" s="1435">
        <v>0.7</v>
      </c>
      <c r="F21" s="1436">
        <f>D21*C21*E21</f>
        <v>29942715180</v>
      </c>
      <c r="G21" s="1436"/>
      <c r="H21" s="1437"/>
      <c r="I21" s="1437"/>
      <c r="J21" s="1438"/>
      <c r="K21" s="1439"/>
      <c r="L21" s="1439">
        <f>C21*D21</f>
        <v>42775307400</v>
      </c>
      <c r="M21" s="1439"/>
    </row>
    <row r="22" spans="1:15" s="1440" customFormat="1" ht="15" customHeight="1" thickBot="1">
      <c r="B22" s="1441" t="s">
        <v>857</v>
      </c>
      <c r="C22" s="1442">
        <f>SUM(C21:C21)</f>
        <v>13670.6</v>
      </c>
      <c r="D22" s="1443"/>
      <c r="E22" s="1444"/>
      <c r="F22" s="1445">
        <f>SUM(F21:F21)</f>
        <v>29942715180</v>
      </c>
      <c r="G22" s="1446">
        <f>ROUNDDOWN(2800000+(F22-1000000000)*(4/1000),-1)</f>
        <v>118570860</v>
      </c>
      <c r="H22" s="1446">
        <f>ROUNDDOWN(F22*0.14%,1)-1</f>
        <v>41919800.200000003</v>
      </c>
      <c r="I22" s="1447">
        <f>ROUNDDOWN(G22*20%,1)</f>
        <v>23714172</v>
      </c>
      <c r="J22" s="1448">
        <f>SUM(G22:I22)</f>
        <v>184204832.19999999</v>
      </c>
      <c r="K22" s="1449"/>
      <c r="L22" s="1449"/>
      <c r="M22" s="1449"/>
    </row>
    <row r="23" spans="1:15" s="1440" customFormat="1" ht="15" customHeight="1" thickBot="1">
      <c r="B23" s="1413"/>
      <c r="C23" s="1433"/>
      <c r="D23" s="1450"/>
      <c r="E23" s="1451"/>
      <c r="F23" s="1437"/>
      <c r="G23" s="1452"/>
      <c r="H23" s="1452"/>
      <c r="I23" s="1453"/>
      <c r="J23" s="1454"/>
      <c r="K23" s="1449"/>
      <c r="L23" s="1449"/>
      <c r="M23" s="1449"/>
    </row>
    <row r="24" spans="1:15" s="1440" customFormat="1" ht="15" customHeight="1" thickBot="1">
      <c r="B24" s="1427" t="s">
        <v>864</v>
      </c>
      <c r="C24" s="1428" t="s">
        <v>865</v>
      </c>
      <c r="D24" s="1429" t="s">
        <v>866</v>
      </c>
      <c r="E24" s="1428" t="s">
        <v>867</v>
      </c>
      <c r="F24" s="1428" t="s">
        <v>868</v>
      </c>
      <c r="G24" s="1428" t="s">
        <v>854</v>
      </c>
      <c r="H24" s="1428" t="s">
        <v>869</v>
      </c>
      <c r="I24" s="1428" t="s">
        <v>856</v>
      </c>
      <c r="J24" s="1430" t="s">
        <v>857</v>
      </c>
      <c r="K24" s="1449"/>
      <c r="L24" s="1449"/>
      <c r="M24" s="1449"/>
    </row>
    <row r="25" spans="1:15" s="1440" customFormat="1" ht="15" customHeight="1">
      <c r="B25" s="1432" t="s">
        <v>871</v>
      </c>
      <c r="C25" s="1433">
        <f>1348.9</f>
        <v>1348.9</v>
      </c>
      <c r="D25" s="1434">
        <v>3129000</v>
      </c>
      <c r="E25" s="1435">
        <v>0.7</v>
      </c>
      <c r="F25" s="1436">
        <f>D25*C25*E25</f>
        <v>2954495670</v>
      </c>
      <c r="G25" s="1436"/>
      <c r="H25" s="1437"/>
      <c r="I25" s="1437"/>
      <c r="J25" s="1438"/>
      <c r="K25" s="1449"/>
      <c r="L25" s="1439">
        <f>C25*D25</f>
        <v>4220708100.0000005</v>
      </c>
      <c r="M25" s="1439"/>
    </row>
    <row r="26" spans="1:15" s="1440" customFormat="1" ht="15" customHeight="1" thickBot="1">
      <c r="B26" s="1441" t="s">
        <v>857</v>
      </c>
      <c r="C26" s="1442">
        <f>SUM(C25:C25)</f>
        <v>1348.9</v>
      </c>
      <c r="D26" s="1443"/>
      <c r="E26" s="1444"/>
      <c r="F26" s="1445">
        <f>SUM(F25:F25)</f>
        <v>2954495670</v>
      </c>
      <c r="G26" s="1446">
        <f>ROUNDDOWN(2800000+(F26-1000000000)*(4/1000),-1)</f>
        <v>10617980</v>
      </c>
      <c r="H26" s="1446">
        <f>ROUNDDOWN(F26*0.14%,1)-1</f>
        <v>4136292.9</v>
      </c>
      <c r="I26" s="1447">
        <f>ROUNDDOWN(G26*20%,1)</f>
        <v>2123596</v>
      </c>
      <c r="J26" s="1448">
        <f>SUM(G26:I26)</f>
        <v>16877868.899999999</v>
      </c>
      <c r="K26" s="1449"/>
      <c r="L26" s="1449"/>
      <c r="M26" s="1449"/>
    </row>
    <row r="27" spans="1:15" s="1440" customFormat="1" ht="15" customHeight="1" thickBot="1">
      <c r="B27" s="1413"/>
      <c r="C27" s="1433"/>
      <c r="D27" s="1450"/>
      <c r="E27" s="1451"/>
      <c r="F27" s="1437"/>
      <c r="G27" s="1452"/>
      <c r="H27" s="1452"/>
      <c r="I27" s="1453"/>
      <c r="J27" s="1454"/>
      <c r="K27" s="1449"/>
      <c r="L27" s="1449"/>
      <c r="M27" s="1449"/>
    </row>
    <row r="28" spans="1:15" s="1440" customFormat="1" ht="16.5" customHeight="1" thickBot="1">
      <c r="B28" s="1427" t="s">
        <v>864</v>
      </c>
      <c r="C28" s="1428" t="s">
        <v>865</v>
      </c>
      <c r="D28" s="1429" t="s">
        <v>866</v>
      </c>
      <c r="E28" s="1428" t="s">
        <v>867</v>
      </c>
      <c r="F28" s="1428" t="s">
        <v>868</v>
      </c>
      <c r="G28" s="1428" t="s">
        <v>854</v>
      </c>
      <c r="H28" s="1428" t="s">
        <v>869</v>
      </c>
      <c r="I28" s="1428" t="s">
        <v>856</v>
      </c>
      <c r="J28" s="1430" t="s">
        <v>857</v>
      </c>
      <c r="K28" s="1449"/>
      <c r="L28" s="1449"/>
      <c r="M28" s="1449"/>
    </row>
    <row r="29" spans="1:15" s="1440" customFormat="1" ht="16.5" customHeight="1">
      <c r="A29" s="1455"/>
      <c r="B29" s="1432" t="s">
        <v>872</v>
      </c>
      <c r="C29" s="1433">
        <v>9.9</v>
      </c>
      <c r="D29" s="1434">
        <v>983400</v>
      </c>
      <c r="E29" s="1435">
        <v>0.7</v>
      </c>
      <c r="F29" s="1436">
        <f>D29*C29*E29</f>
        <v>6814962</v>
      </c>
      <c r="G29" s="1436"/>
      <c r="H29" s="1437"/>
      <c r="I29" s="1437"/>
      <c r="J29" s="1438"/>
      <c r="K29" s="1449"/>
      <c r="L29" s="1439">
        <f>C29*D29</f>
        <v>9735660</v>
      </c>
      <c r="M29" s="1439"/>
    </row>
    <row r="30" spans="1:15" s="1440" customFormat="1" ht="16.5" customHeight="1" thickBot="1">
      <c r="B30" s="1441" t="s">
        <v>857</v>
      </c>
      <c r="C30" s="1442">
        <f>SUM(C29:C29)</f>
        <v>9.9</v>
      </c>
      <c r="D30" s="1443"/>
      <c r="E30" s="1444"/>
      <c r="F30" s="1445">
        <f>SUM(F29:F29)</f>
        <v>6814962</v>
      </c>
      <c r="G30" s="1446">
        <f>ROUNDDOWN(F29*0.002,-1)</f>
        <v>13620</v>
      </c>
      <c r="H30" s="1446">
        <f>ROUNDDOWN(F30*0.14%,1)-1</f>
        <v>9539.9</v>
      </c>
      <c r="I30" s="1447">
        <f>ROUNDDOWN(G30*20%,1)</f>
        <v>2724</v>
      </c>
      <c r="J30" s="1448">
        <f>SUM(G30:I30)</f>
        <v>25883.9</v>
      </c>
      <c r="K30" s="1449"/>
      <c r="L30" s="1449"/>
      <c r="M30" s="1449"/>
    </row>
    <row r="31" spans="1:15" s="1440" customFormat="1" ht="16.5" customHeight="1" thickBot="1">
      <c r="B31" s="1413"/>
      <c r="C31" s="1433"/>
      <c r="D31" s="1450"/>
      <c r="E31" s="1451"/>
      <c r="F31" s="1437"/>
      <c r="G31" s="1452"/>
      <c r="H31" s="1452"/>
      <c r="I31" s="1453"/>
      <c r="J31" s="1454"/>
      <c r="K31" s="1449"/>
      <c r="L31" s="1449"/>
      <c r="M31" s="1449"/>
    </row>
    <row r="32" spans="1:15" s="1440" customFormat="1" ht="16.5" customHeight="1" thickBot="1">
      <c r="B32" s="1427" t="s">
        <v>864</v>
      </c>
      <c r="C32" s="1428" t="s">
        <v>865</v>
      </c>
      <c r="D32" s="1429" t="s">
        <v>866</v>
      </c>
      <c r="E32" s="1428" t="s">
        <v>867</v>
      </c>
      <c r="F32" s="1428" t="s">
        <v>868</v>
      </c>
      <c r="G32" s="1428" t="s">
        <v>854</v>
      </c>
      <c r="H32" s="1428" t="s">
        <v>869</v>
      </c>
      <c r="I32" s="1428" t="s">
        <v>856</v>
      </c>
      <c r="J32" s="1430" t="s">
        <v>857</v>
      </c>
      <c r="K32" s="1449"/>
      <c r="L32" s="1449"/>
      <c r="M32" s="1449"/>
    </row>
    <row r="33" spans="2:13" s="1440" customFormat="1" ht="16.5" customHeight="1">
      <c r="B33" s="1432" t="s">
        <v>873</v>
      </c>
      <c r="C33" s="1433">
        <v>11.1</v>
      </c>
      <c r="D33" s="1434">
        <v>983400</v>
      </c>
      <c r="E33" s="1435">
        <v>0.7</v>
      </c>
      <c r="F33" s="1436">
        <f>D33*C33*E33</f>
        <v>7641017.9999999991</v>
      </c>
      <c r="G33" s="1436"/>
      <c r="H33" s="1437"/>
      <c r="I33" s="1437"/>
      <c r="J33" s="1438"/>
      <c r="K33" s="1449"/>
      <c r="L33" s="1439">
        <f>C33*D33</f>
        <v>10915740</v>
      </c>
      <c r="M33" s="1439"/>
    </row>
    <row r="34" spans="2:13" s="1440" customFormat="1" ht="16.5" customHeight="1" thickBot="1">
      <c r="B34" s="1441" t="s">
        <v>857</v>
      </c>
      <c r="C34" s="1442">
        <f>SUM(C33:C33)</f>
        <v>11.1</v>
      </c>
      <c r="D34" s="1443"/>
      <c r="E34" s="1444"/>
      <c r="F34" s="1445">
        <f>SUM(F33:F33)</f>
        <v>7641017.9999999991</v>
      </c>
      <c r="G34" s="1446">
        <f>ROUNDDOWN(F33*0.002,-1)</f>
        <v>15280</v>
      </c>
      <c r="H34" s="1446">
        <f>ROUNDDOWN(F34*0.14%,1)</f>
        <v>10697.4</v>
      </c>
      <c r="I34" s="1447">
        <f>ROUNDDOWN(G34*20%,1)</f>
        <v>3056</v>
      </c>
      <c r="J34" s="1448">
        <f>SUM(G34:I34)</f>
        <v>29033.4</v>
      </c>
      <c r="K34" s="1449"/>
      <c r="L34" s="1449"/>
      <c r="M34" s="1449"/>
    </row>
    <row r="35" spans="2:13" s="1440" customFormat="1" ht="16.5" customHeight="1" thickBot="1">
      <c r="K35" s="1449"/>
      <c r="L35" s="1449"/>
      <c r="M35" s="1449"/>
    </row>
    <row r="36" spans="2:13" s="1440" customFormat="1" ht="16.5" customHeight="1" thickBot="1">
      <c r="B36" s="1427" t="s">
        <v>864</v>
      </c>
      <c r="C36" s="1428" t="s">
        <v>865</v>
      </c>
      <c r="D36" s="1429" t="s">
        <v>866</v>
      </c>
      <c r="E36" s="1428" t="s">
        <v>867</v>
      </c>
      <c r="F36" s="1428" t="s">
        <v>868</v>
      </c>
      <c r="G36" s="1428" t="s">
        <v>854</v>
      </c>
      <c r="H36" s="1428" t="s">
        <v>869</v>
      </c>
      <c r="I36" s="1428" t="s">
        <v>856</v>
      </c>
      <c r="J36" s="1430" t="s">
        <v>857</v>
      </c>
      <c r="K36" s="1449"/>
      <c r="L36" s="1449"/>
      <c r="M36" s="1449"/>
    </row>
    <row r="37" spans="2:13" s="1440" customFormat="1" ht="16.5" customHeight="1">
      <c r="B37" s="1432" t="s">
        <v>874</v>
      </c>
      <c r="C37" s="1456">
        <v>268</v>
      </c>
      <c r="D37" s="1434">
        <v>3129000</v>
      </c>
      <c r="E37" s="1435">
        <v>0.7</v>
      </c>
      <c r="F37" s="1436">
        <f>D37*C37*E37</f>
        <v>587000400</v>
      </c>
      <c r="G37" s="1436"/>
      <c r="H37" s="1437"/>
      <c r="I37" s="1437"/>
      <c r="J37" s="1438"/>
      <c r="K37" s="1449"/>
      <c r="L37" s="1439">
        <f>C37*D37</f>
        <v>838572000</v>
      </c>
      <c r="M37" s="1439">
        <f>L37/$L$18</f>
        <v>54778.195120357974</v>
      </c>
    </row>
    <row r="38" spans="2:13" s="1440" customFormat="1" ht="16.5" customHeight="1" thickBot="1">
      <c r="B38" s="1441" t="s">
        <v>857</v>
      </c>
      <c r="C38" s="1442">
        <f>SUM(C37:C37)</f>
        <v>268</v>
      </c>
      <c r="D38" s="1443"/>
      <c r="E38" s="1444"/>
      <c r="F38" s="1445">
        <f>SUM(F37:F37)</f>
        <v>587000400</v>
      </c>
      <c r="G38" s="1446">
        <f>+ROUNDDOWN(400000+(F38-200000000)*(3/1000),)</f>
        <v>1561001</v>
      </c>
      <c r="H38" s="1446">
        <f>ROUNDDOWN((C37*D37*E37)*0.14%,1)-1</f>
        <v>821799.5</v>
      </c>
      <c r="I38" s="1447">
        <f>ROUNDDOWN(G38*20%,1)</f>
        <v>312200.2</v>
      </c>
      <c r="J38" s="1448">
        <f>SUM(G38:I38)</f>
        <v>2695000.7</v>
      </c>
      <c r="K38" s="1449">
        <f>12888766+344394</f>
        <v>13233160</v>
      </c>
      <c r="L38" s="1449"/>
      <c r="M38" s="1440">
        <v>125216920</v>
      </c>
    </row>
    <row r="39" spans="2:13" s="1440" customFormat="1" ht="16.5" customHeight="1" thickBot="1">
      <c r="K39" s="1449"/>
      <c r="L39" s="1449"/>
      <c r="M39" s="1440">
        <f>M38*0.3%+400000</f>
        <v>775650.76</v>
      </c>
    </row>
    <row r="40" spans="2:13" s="1440" customFormat="1" ht="16.5" customHeight="1" thickBot="1">
      <c r="B40" s="1457"/>
      <c r="C40" s="1457"/>
      <c r="D40" s="1457"/>
      <c r="E40" s="1457"/>
      <c r="F40" s="1428" t="s">
        <v>875</v>
      </c>
      <c r="G40" s="1428" t="s">
        <v>876</v>
      </c>
      <c r="H40" s="1428" t="s">
        <v>877</v>
      </c>
      <c r="I40" s="1428" t="s">
        <v>878</v>
      </c>
      <c r="J40" s="1430" t="s">
        <v>879</v>
      </c>
      <c r="K40" s="1449"/>
      <c r="L40" s="1449"/>
    </row>
    <row r="41" spans="2:13" s="1440" customFormat="1" ht="16.5" customHeight="1" thickBot="1">
      <c r="B41" s="1457"/>
      <c r="C41" s="1457"/>
      <c r="D41" s="1457"/>
      <c r="E41" s="1457"/>
      <c r="F41" s="1447">
        <f>ROUNDDOWN(F21+F25+F29+F33+F37,1)</f>
        <v>33498667230</v>
      </c>
      <c r="G41" s="1446">
        <f>ROUNDDOWN(2800000+(F41-1000000000)*(4/1000),1)</f>
        <v>132794668.90000001</v>
      </c>
      <c r="H41" s="1446">
        <f>ROUNDDOWN(F41*0.14%,-1)</f>
        <v>46898130</v>
      </c>
      <c r="I41" s="1446">
        <f>ROUNDDOWN(G41*0.2,-1)</f>
        <v>26558930</v>
      </c>
      <c r="J41" s="1448">
        <f>ROUNDDOWN(SUM(G41:I41),-1)</f>
        <v>206251720</v>
      </c>
      <c r="K41" s="1449"/>
      <c r="L41" s="1449"/>
    </row>
    <row r="42" spans="2:13" s="1414" customFormat="1" ht="15" customHeight="1">
      <c r="B42" s="1457"/>
      <c r="C42" s="1457"/>
      <c r="D42" s="1457"/>
      <c r="E42" s="1617" t="s">
        <v>1009</v>
      </c>
      <c r="F42" s="1617"/>
      <c r="G42" s="1618">
        <f>F41*0.2%</f>
        <v>66997334.460000001</v>
      </c>
      <c r="H42" s="1618">
        <f>ROUNDDOWN(F41*0.14%,-1)</f>
        <v>46898130</v>
      </c>
      <c r="I42" s="1618">
        <f>ROUNDDOWN(G42*0.2,-1)</f>
        <v>13399460</v>
      </c>
      <c r="J42" s="1618">
        <f>SUM(G42:I42)</f>
        <v>127294924.46000001</v>
      </c>
      <c r="K42" s="1414" t="s">
        <v>1010</v>
      </c>
    </row>
    <row r="43" spans="2:13" s="1414" customFormat="1" ht="15" customHeight="1">
      <c r="B43" s="1458" t="s">
        <v>880</v>
      </c>
      <c r="C43" s="1459"/>
      <c r="D43" s="1460"/>
      <c r="E43" s="1451"/>
      <c r="F43" s="1451"/>
      <c r="G43" s="1461"/>
      <c r="H43" s="1462"/>
      <c r="I43" s="1413"/>
      <c r="J43" s="1413"/>
    </row>
    <row r="44" spans="2:13" s="1414" customFormat="1" ht="15" customHeight="1">
      <c r="B44" s="1413" t="s">
        <v>881</v>
      </c>
      <c r="C44" s="1413"/>
      <c r="D44" s="1463"/>
      <c r="E44" s="1413"/>
      <c r="F44" s="1413"/>
      <c r="G44" s="1463"/>
      <c r="H44" s="1463"/>
      <c r="I44" s="1463"/>
      <c r="J44" s="1463"/>
    </row>
    <row r="45" spans="2:13" s="1414" customFormat="1" ht="15" customHeight="1">
      <c r="B45" s="3200" t="s">
        <v>882</v>
      </c>
      <c r="C45" s="3201"/>
      <c r="D45" s="3202" t="s">
        <v>883</v>
      </c>
      <c r="E45" s="3202"/>
      <c r="F45" s="3202"/>
      <c r="G45" s="1464"/>
      <c r="H45" s="1464"/>
      <c r="I45" s="1464"/>
      <c r="J45" s="1464"/>
    </row>
    <row r="46" spans="2:13" s="1414" customFormat="1" ht="15" customHeight="1">
      <c r="B46" s="3203" t="s">
        <v>884</v>
      </c>
      <c r="C46" s="3198"/>
      <c r="D46" s="3204" t="s">
        <v>885</v>
      </c>
      <c r="E46" s="3205"/>
      <c r="F46" s="3206"/>
      <c r="G46" s="1413"/>
      <c r="H46" s="1413"/>
      <c r="I46" s="1413"/>
      <c r="J46" s="1413"/>
    </row>
    <row r="47" spans="2:13" s="1414" customFormat="1" ht="15" customHeight="1">
      <c r="B47" s="3207" t="s">
        <v>886</v>
      </c>
      <c r="C47" s="3199"/>
      <c r="D47" s="3208" t="s">
        <v>887</v>
      </c>
      <c r="E47" s="3209"/>
      <c r="F47" s="3210"/>
      <c r="G47" s="1413"/>
      <c r="H47" s="1413"/>
      <c r="I47" s="1463"/>
      <c r="J47" s="1413"/>
    </row>
    <row r="48" spans="2:13" s="1414" customFormat="1" ht="15" customHeight="1">
      <c r="B48" s="3193" t="s">
        <v>888</v>
      </c>
      <c r="C48" s="3194"/>
      <c r="D48" s="3195" t="s">
        <v>889</v>
      </c>
      <c r="E48" s="3196"/>
      <c r="F48" s="3197"/>
      <c r="G48" s="1413"/>
      <c r="H48" s="1413"/>
      <c r="I48" s="1466"/>
      <c r="J48" s="1413"/>
    </row>
    <row r="49" spans="2:12" s="1414" customFormat="1" ht="15" customHeight="1">
      <c r="B49" s="3198" t="s">
        <v>890</v>
      </c>
      <c r="C49" s="3198"/>
      <c r="D49" s="1467" t="s">
        <v>891</v>
      </c>
      <c r="E49" s="1468"/>
      <c r="F49" s="1468"/>
      <c r="G49" s="1413"/>
      <c r="H49" s="1413"/>
      <c r="I49" s="1413"/>
      <c r="J49" s="1413"/>
    </row>
    <row r="50" spans="2:12" s="1414" customFormat="1" ht="15" customHeight="1">
      <c r="B50" s="3199" t="s">
        <v>892</v>
      </c>
      <c r="C50" s="3199"/>
      <c r="D50" s="1467" t="s">
        <v>893</v>
      </c>
      <c r="E50" s="1468"/>
      <c r="F50" s="1468"/>
      <c r="G50" s="1413"/>
      <c r="H50" s="1413"/>
      <c r="I50" s="1413"/>
      <c r="J50" s="1413"/>
    </row>
    <row r="51" spans="2:12" s="1414" customFormat="1" ht="15" customHeight="1">
      <c r="B51" s="1465"/>
      <c r="C51" s="1465"/>
      <c r="D51" s="1469"/>
      <c r="E51" s="1413"/>
      <c r="F51" s="1413"/>
      <c r="G51" s="1413"/>
      <c r="H51" s="1413"/>
      <c r="I51" s="1413"/>
      <c r="J51" s="1413"/>
    </row>
    <row r="52" spans="2:12">
      <c r="B52" s="1411" t="s">
        <v>894</v>
      </c>
      <c r="C52" s="1412"/>
      <c r="D52" s="1470"/>
      <c r="G52" s="1412"/>
      <c r="H52" s="1412"/>
      <c r="I52" s="1412"/>
      <c r="J52" s="1412"/>
    </row>
    <row r="53" spans="2:12" ht="14.25" hidden="1" customHeight="1"/>
    <row r="54" spans="2:12" ht="14.25" hidden="1" customHeight="1">
      <c r="E54" s="1471" t="s">
        <v>895</v>
      </c>
      <c r="F54" s="1471">
        <v>2001</v>
      </c>
      <c r="G54" s="1471">
        <v>2002</v>
      </c>
      <c r="H54" s="1471">
        <v>2003</v>
      </c>
      <c r="I54" s="1471">
        <v>2004</v>
      </c>
      <c r="J54" s="1471">
        <v>2005</v>
      </c>
      <c r="K54" s="1471">
        <v>2006</v>
      </c>
      <c r="L54" s="1471">
        <v>2007</v>
      </c>
    </row>
    <row r="55" spans="2:12" ht="14.25" hidden="1" customHeight="1">
      <c r="G55" s="1472">
        <v>12000000</v>
      </c>
      <c r="H55" s="1472">
        <v>13000000</v>
      </c>
      <c r="I55" s="1472">
        <v>14500000</v>
      </c>
      <c r="J55" s="1472">
        <v>16000000</v>
      </c>
      <c r="K55" s="1472">
        <v>20400000</v>
      </c>
      <c r="L55" s="1473">
        <v>24100000</v>
      </c>
    </row>
    <row r="56" spans="2:12" ht="14.25" hidden="1" customHeight="1">
      <c r="H56" s="1474">
        <f>H55/G55</f>
        <v>1.0833333333333333</v>
      </c>
      <c r="I56" s="1474">
        <f>I55/H55</f>
        <v>1.1153846153846154</v>
      </c>
      <c r="J56" s="1474">
        <f>J55/I55</f>
        <v>1.103448275862069</v>
      </c>
      <c r="K56" s="1474">
        <f>K55/J55</f>
        <v>1.2749999999999999</v>
      </c>
      <c r="L56" s="1474">
        <f>L55/K55</f>
        <v>1.1813725490196079</v>
      </c>
    </row>
    <row r="57" spans="2:12" ht="14.25" hidden="1" customHeight="1">
      <c r="K57" s="1474">
        <f>SUM(I56:K56)/3</f>
        <v>1.1646109637488948</v>
      </c>
    </row>
    <row r="58" spans="2:12" ht="14.25" hidden="1" customHeight="1">
      <c r="E58" s="1471" t="s">
        <v>896</v>
      </c>
      <c r="F58" s="1471">
        <v>2001</v>
      </c>
      <c r="G58" s="1471">
        <v>2002</v>
      </c>
      <c r="H58" s="1471">
        <v>2003</v>
      </c>
      <c r="I58" s="1471">
        <v>2004</v>
      </c>
      <c r="J58" s="1471">
        <v>2005</v>
      </c>
      <c r="K58" s="1471">
        <v>2006</v>
      </c>
      <c r="L58" s="1471">
        <v>2007</v>
      </c>
    </row>
    <row r="59" spans="2:12" ht="14.25" hidden="1" customHeight="1">
      <c r="G59" s="1472"/>
      <c r="H59" s="1472"/>
      <c r="I59" s="1472"/>
      <c r="J59" s="1472">
        <v>20700000</v>
      </c>
      <c r="K59" s="1472">
        <v>24000000</v>
      </c>
      <c r="L59" s="1473">
        <f>K59*L56</f>
        <v>28352941.176470589</v>
      </c>
    </row>
    <row r="60" spans="2:12" ht="14.25" hidden="1" customHeight="1">
      <c r="H60" s="1474"/>
      <c r="I60" s="1474"/>
      <c r="J60" s="1474"/>
      <c r="K60" s="1474">
        <f>K59/J59</f>
        <v>1.1594202898550725</v>
      </c>
      <c r="L60" s="1474">
        <f>L59/K59</f>
        <v>1.1813725490196079</v>
      </c>
    </row>
    <row r="61" spans="2:12" ht="14.25" hidden="1" customHeight="1">
      <c r="K61" s="1474">
        <f>SUM(I60:K60)/3</f>
        <v>0.38647342995169082</v>
      </c>
    </row>
    <row r="62" spans="2:12" ht="14.25" hidden="1" customHeight="1"/>
    <row r="63" spans="2:12" ht="15">
      <c r="B63" s="1475" t="s">
        <v>897</v>
      </c>
      <c r="C63" s="1476"/>
      <c r="D63" s="1477"/>
      <c r="E63" s="1475"/>
      <c r="F63" s="1476"/>
    </row>
    <row r="64" spans="2:12">
      <c r="B64" s="1412"/>
    </row>
    <row r="65" spans="2:2">
      <c r="B65" s="1412"/>
    </row>
    <row r="66" spans="2:2">
      <c r="B66" s="1412"/>
    </row>
    <row r="67" spans="2:2">
      <c r="B67" s="1412"/>
    </row>
  </sheetData>
  <mergeCells count="19">
    <mergeCell ref="B48:C48"/>
    <mergeCell ref="D48:F48"/>
    <mergeCell ref="B49:C49"/>
    <mergeCell ref="B50:C50"/>
    <mergeCell ref="B45:C45"/>
    <mergeCell ref="D45:F45"/>
    <mergeCell ref="B46:C46"/>
    <mergeCell ref="D46:F46"/>
    <mergeCell ref="B47:C47"/>
    <mergeCell ref="D47:F47"/>
    <mergeCell ref="C7:D7"/>
    <mergeCell ref="E7:F7"/>
    <mergeCell ref="G7:H7"/>
    <mergeCell ref="I7:J7"/>
    <mergeCell ref="B1:J1"/>
    <mergeCell ref="C6:D6"/>
    <mergeCell ref="E6:F6"/>
    <mergeCell ref="G6:H6"/>
    <mergeCell ref="I6:J6"/>
  </mergeCells>
  <phoneticPr fontId="2" type="noConversion"/>
  <pageMargins left="0.7" right="0.7" top="0.75" bottom="0.75" header="0.3" footer="0.3"/>
  <legacy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270BC-24ED-4EFC-90CF-8DB1A5918586}">
  <sheetPr codeName="Sheet21"/>
  <dimension ref="B1:W81"/>
  <sheetViews>
    <sheetView showGridLines="0" workbookViewId="0"/>
  </sheetViews>
  <sheetFormatPr defaultColWidth="9" defaultRowHeight="13.5"/>
  <cols>
    <col min="1" max="1" width="1.25" style="1478" customWidth="1"/>
    <col min="2" max="13" width="14" style="1478" customWidth="1"/>
    <col min="14" max="14" width="14" style="1608" customWidth="1"/>
    <col min="15" max="15" width="11.75" style="1478" customWidth="1"/>
    <col min="16" max="16" width="9" style="1478"/>
    <col min="17" max="20" width="10.625" style="1478" customWidth="1"/>
    <col min="21" max="16384" width="9" style="1478"/>
  </cols>
  <sheetData>
    <row r="1" spans="2:23">
      <c r="N1" s="1478"/>
    </row>
    <row r="2" spans="2:23" ht="20.25">
      <c r="B2" s="1479" t="s">
        <v>1005</v>
      </c>
      <c r="C2" s="1479"/>
      <c r="D2" s="1479"/>
      <c r="E2" s="1479"/>
      <c r="F2" s="1479"/>
      <c r="G2" s="1479"/>
      <c r="H2" s="1479"/>
      <c r="I2" s="1479"/>
      <c r="J2" s="1479"/>
      <c r="K2" s="1479"/>
      <c r="L2" s="1479"/>
      <c r="M2" s="1479"/>
      <c r="N2" s="1478"/>
      <c r="O2" s="1480" t="s">
        <v>900</v>
      </c>
    </row>
    <row r="3" spans="2:23">
      <c r="M3" s="1481" t="s">
        <v>901</v>
      </c>
      <c r="N3" s="1478"/>
      <c r="O3" s="1482" t="s">
        <v>902</v>
      </c>
      <c r="P3" s="1483"/>
      <c r="Q3" s="1483"/>
      <c r="R3" s="1483"/>
      <c r="S3" s="1483"/>
      <c r="T3" s="1483"/>
      <c r="U3" s="1483"/>
      <c r="V3" s="1483"/>
      <c r="W3" s="1484"/>
    </row>
    <row r="4" spans="2:23">
      <c r="M4" s="1481"/>
      <c r="N4" s="1478"/>
      <c r="O4" s="1485" t="s">
        <v>903</v>
      </c>
      <c r="P4" s="1486"/>
      <c r="Q4" s="1486"/>
      <c r="R4" s="1486"/>
      <c r="S4" s="1486"/>
      <c r="T4" s="1486"/>
      <c r="U4" s="1486"/>
      <c r="V4" s="1486"/>
      <c r="W4" s="1487"/>
    </row>
    <row r="5" spans="2:23">
      <c r="M5" s="1481"/>
      <c r="N5" s="1478"/>
      <c r="O5" s="1485" t="s">
        <v>904</v>
      </c>
      <c r="P5" s="1486"/>
      <c r="Q5" s="1486"/>
      <c r="R5" s="1486"/>
      <c r="S5" s="1486"/>
      <c r="T5" s="1486"/>
      <c r="U5" s="1486"/>
      <c r="V5" s="1486"/>
      <c r="W5" s="1487"/>
    </row>
    <row r="6" spans="2:23">
      <c r="B6" s="1488" t="s">
        <v>905</v>
      </c>
      <c r="N6" s="1478"/>
      <c r="O6" s="1485"/>
      <c r="P6" s="1486"/>
      <c r="Q6" s="1486"/>
      <c r="R6" s="1486"/>
      <c r="S6" s="1486"/>
      <c r="T6" s="1486"/>
      <c r="U6" s="1486"/>
      <c r="V6" s="1486"/>
      <c r="W6" s="1487"/>
    </row>
    <row r="7" spans="2:23">
      <c r="B7" s="1478" t="s">
        <v>906</v>
      </c>
      <c r="C7" s="1478" t="str">
        <f>'A&amp;R'!K16</f>
        <v>코크렙안양 물류센터</v>
      </c>
      <c r="N7" s="1478"/>
      <c r="O7" s="1485" t="s">
        <v>907</v>
      </c>
      <c r="P7" s="1486"/>
      <c r="Q7" s="1486"/>
      <c r="R7" s="1486"/>
      <c r="S7" s="1486"/>
      <c r="T7" s="1486"/>
      <c r="U7" s="1486"/>
      <c r="V7" s="1486"/>
      <c r="W7" s="1487"/>
    </row>
    <row r="8" spans="2:23" ht="12.95" customHeight="1">
      <c r="B8" s="1478" t="s">
        <v>908</v>
      </c>
      <c r="C8" s="1478" t="str">
        <f>'A&amp;R'!K17</f>
        <v>경기도 안양시 동안구 관양동 934,934-1</v>
      </c>
      <c r="N8" s="1478"/>
      <c r="O8" s="1485" t="s">
        <v>909</v>
      </c>
      <c r="P8" s="1486"/>
      <c r="Q8" s="1486"/>
      <c r="R8" s="1486"/>
      <c r="S8" s="1486"/>
      <c r="T8" s="1486"/>
      <c r="U8" s="1486"/>
      <c r="V8" s="1486"/>
      <c r="W8" s="1487"/>
    </row>
    <row r="9" spans="2:23" ht="12.95" customHeight="1" thickBot="1">
      <c r="B9" s="1478" t="s">
        <v>910</v>
      </c>
      <c r="C9" s="1478" t="s">
        <v>911</v>
      </c>
      <c r="J9" s="3220" t="s">
        <v>912</v>
      </c>
      <c r="K9" s="3220"/>
      <c r="L9" s="3220"/>
      <c r="M9" s="3220"/>
      <c r="N9" s="1478"/>
      <c r="O9" s="1490" t="s">
        <v>913</v>
      </c>
      <c r="P9" s="1486"/>
      <c r="Q9" s="1486"/>
      <c r="R9" s="1486"/>
      <c r="S9" s="1486"/>
      <c r="T9" s="1486"/>
      <c r="U9" s="1486"/>
      <c r="V9" s="1486"/>
      <c r="W9" s="1487"/>
    </row>
    <row r="10" spans="2:23" ht="12.95" customHeight="1">
      <c r="B10" s="3221" t="s">
        <v>24</v>
      </c>
      <c r="C10" s="3221"/>
      <c r="D10" s="3222"/>
      <c r="E10" s="3223">
        <v>2024</v>
      </c>
      <c r="F10" s="3224"/>
      <c r="G10" s="3224"/>
      <c r="H10" s="3225">
        <v>2025</v>
      </c>
      <c r="I10" s="3226"/>
      <c r="J10" s="3221" t="s">
        <v>914</v>
      </c>
      <c r="K10" s="3221"/>
      <c r="L10" s="3221"/>
      <c r="M10" s="3221"/>
      <c r="N10" s="1478"/>
      <c r="O10" s="1485" t="s">
        <v>915</v>
      </c>
      <c r="P10" s="1486"/>
      <c r="Q10" s="1486"/>
      <c r="R10" s="1486"/>
      <c r="S10" s="1486"/>
      <c r="T10" s="1486"/>
      <c r="U10" s="1486"/>
      <c r="V10" s="1486"/>
      <c r="W10" s="1487"/>
    </row>
    <row r="11" spans="2:23" ht="12.95" customHeight="1" thickBot="1">
      <c r="B11" s="3211" t="s">
        <v>916</v>
      </c>
      <c r="C11" s="3212"/>
      <c r="D11" s="3212"/>
      <c r="E11" s="3213"/>
      <c r="F11" s="3214"/>
      <c r="G11" s="3214"/>
      <c r="H11" s="3215">
        <f>토지분재산세!D21</f>
        <v>3129000</v>
      </c>
      <c r="I11" s="3216"/>
      <c r="J11" s="3217"/>
      <c r="K11" s="3217"/>
      <c r="L11" s="3218"/>
      <c r="M11" s="3219"/>
      <c r="N11" s="1478"/>
      <c r="O11" s="1485" t="s">
        <v>917</v>
      </c>
      <c r="P11" s="1486"/>
      <c r="Q11" s="1486"/>
      <c r="R11" s="1486"/>
      <c r="S11" s="1486"/>
      <c r="T11" s="1486"/>
      <c r="U11" s="1486"/>
      <c r="V11" s="1486"/>
      <c r="W11" s="1487"/>
    </row>
    <row r="12" spans="2:23" ht="12.95" customHeight="1" thickBot="1">
      <c r="B12" s="3211" t="s">
        <v>918</v>
      </c>
      <c r="C12" s="3212"/>
      <c r="D12" s="3212"/>
      <c r="E12" s="3213"/>
      <c r="F12" s="3214"/>
      <c r="G12" s="3214"/>
      <c r="H12" s="3215">
        <f>토지분재산세!D25</f>
        <v>3129000</v>
      </c>
      <c r="I12" s="3216"/>
      <c r="J12" s="3217"/>
      <c r="K12" s="3217"/>
      <c r="L12" s="3218"/>
      <c r="M12" s="3219"/>
      <c r="N12" s="1478"/>
      <c r="O12" s="1485"/>
      <c r="P12" s="1486"/>
      <c r="Q12" s="1486"/>
      <c r="R12" s="1486"/>
      <c r="S12" s="1486"/>
      <c r="T12" s="1486"/>
      <c r="U12" s="1486"/>
      <c r="V12" s="1486"/>
      <c r="W12" s="1487"/>
    </row>
    <row r="13" spans="2:23" ht="12.95" customHeight="1" thickBot="1">
      <c r="B13" s="3211" t="s">
        <v>919</v>
      </c>
      <c r="C13" s="3212"/>
      <c r="D13" s="3212"/>
      <c r="E13" s="3213"/>
      <c r="F13" s="3214"/>
      <c r="G13" s="3214"/>
      <c r="H13" s="3215">
        <f>토지분재산세!D29</f>
        <v>983400</v>
      </c>
      <c r="I13" s="3216"/>
      <c r="J13" s="3217"/>
      <c r="K13" s="3217"/>
      <c r="L13" s="3218"/>
      <c r="M13" s="3219"/>
      <c r="N13" s="1478"/>
      <c r="O13" s="1485"/>
      <c r="P13" s="1486"/>
      <c r="Q13" s="1486"/>
      <c r="R13" s="1486"/>
      <c r="S13" s="1486"/>
      <c r="T13" s="1486"/>
      <c r="U13" s="1486"/>
      <c r="V13" s="1486"/>
      <c r="W13" s="1487"/>
    </row>
    <row r="14" spans="2:23" ht="12.95" customHeight="1" thickBot="1">
      <c r="B14" s="3211" t="s">
        <v>920</v>
      </c>
      <c r="C14" s="3212"/>
      <c r="D14" s="3212"/>
      <c r="E14" s="3213"/>
      <c r="F14" s="3214"/>
      <c r="G14" s="3214"/>
      <c r="H14" s="3215">
        <f>토지분재산세!D33</f>
        <v>983400</v>
      </c>
      <c r="I14" s="3216"/>
      <c r="J14" s="3217"/>
      <c r="K14" s="3217"/>
      <c r="L14" s="3218"/>
      <c r="M14" s="3219"/>
      <c r="N14" s="1478"/>
      <c r="O14" s="1485"/>
      <c r="P14" s="1486"/>
      <c r="Q14" s="1486"/>
      <c r="R14" s="1486"/>
      <c r="S14" s="1486"/>
      <c r="T14" s="1486"/>
      <c r="U14" s="1486"/>
      <c r="V14" s="1486"/>
      <c r="W14" s="1487"/>
    </row>
    <row r="15" spans="2:23" ht="12.95" customHeight="1" thickBot="1">
      <c r="B15" s="3211" t="s">
        <v>921</v>
      </c>
      <c r="C15" s="3212"/>
      <c r="D15" s="3212"/>
      <c r="E15" s="3213"/>
      <c r="F15" s="3214"/>
      <c r="G15" s="3214"/>
      <c r="H15" s="3215">
        <f>토지분재산세!D37</f>
        <v>3129000</v>
      </c>
      <c r="I15" s="3216"/>
      <c r="J15" s="3217"/>
      <c r="K15" s="3217"/>
      <c r="L15" s="3218"/>
      <c r="M15" s="3219"/>
      <c r="N15" s="1478"/>
      <c r="O15" s="1485"/>
      <c r="P15" s="1486"/>
      <c r="Q15" s="1486"/>
      <c r="R15" s="1486"/>
      <c r="S15" s="1486"/>
      <c r="T15" s="1486"/>
      <c r="U15" s="1486"/>
      <c r="V15" s="1486"/>
      <c r="W15" s="1487"/>
    </row>
    <row r="16" spans="2:23" ht="12.95" customHeight="1">
      <c r="C16" s="1493"/>
      <c r="D16" s="1494"/>
      <c r="E16" s="1495"/>
      <c r="F16" s="1495"/>
      <c r="G16" s="1495"/>
      <c r="H16" s="1495"/>
      <c r="I16" s="1496"/>
      <c r="N16" s="1478"/>
      <c r="O16" s="1485" t="s">
        <v>922</v>
      </c>
      <c r="P16" s="1486"/>
      <c r="Q16" s="1486"/>
      <c r="R16" s="1486"/>
      <c r="S16" s="1486"/>
      <c r="T16" s="1486"/>
      <c r="U16" s="1486"/>
      <c r="V16" s="1486"/>
      <c r="W16" s="1487"/>
    </row>
    <row r="17" spans="2:23" ht="12.95" customHeight="1">
      <c r="N17" s="1478"/>
      <c r="O17" s="1485" t="s">
        <v>923</v>
      </c>
      <c r="P17" s="1486"/>
      <c r="Q17" s="1486"/>
      <c r="R17" s="1486"/>
      <c r="S17" s="1486"/>
      <c r="T17" s="1486"/>
      <c r="U17" s="1486"/>
      <c r="V17" s="1486"/>
      <c r="W17" s="1487"/>
    </row>
    <row r="18" spans="2:23" ht="17.25" customHeight="1">
      <c r="B18" s="1497" t="s">
        <v>924</v>
      </c>
      <c r="C18" s="1498"/>
      <c r="D18" s="1499" t="str">
        <f>"일금"&amp;NUMBERSTRING(I26,1)&amp;"원정(\"&amp;TEXT(I26,"#,##0")&amp;"원)"</f>
        <v>일금이억육백이십오만일천칠백삼십칠원정(\206,251,737원)</v>
      </c>
      <c r="E18" s="1499"/>
      <c r="F18" s="1499"/>
      <c r="G18" s="1499"/>
      <c r="H18" s="1500"/>
      <c r="I18" s="1501"/>
      <c r="J18" s="1502"/>
      <c r="K18" s="1502"/>
      <c r="L18" s="1502"/>
      <c r="M18" s="1502"/>
      <c r="N18" s="1478"/>
      <c r="O18" s="1485" t="s">
        <v>925</v>
      </c>
      <c r="P18" s="1486"/>
      <c r="Q18" s="1486"/>
      <c r="R18" s="1486"/>
      <c r="S18" s="1486"/>
      <c r="T18" s="1486"/>
      <c r="U18" s="1486"/>
      <c r="V18" s="1486"/>
      <c r="W18" s="1487"/>
    </row>
    <row r="19" spans="2:23" ht="12.95" customHeight="1">
      <c r="B19" s="1488"/>
      <c r="C19" s="1503"/>
      <c r="D19" s="1504"/>
      <c r="E19" s="1505"/>
      <c r="F19" s="1505"/>
      <c r="G19" s="1505"/>
      <c r="H19" s="1495"/>
      <c r="I19" s="1496"/>
      <c r="N19" s="1478"/>
      <c r="O19" s="1485" t="s">
        <v>926</v>
      </c>
      <c r="P19" s="1486"/>
      <c r="Q19" s="1486"/>
      <c r="R19" s="1486"/>
      <c r="S19" s="1486"/>
      <c r="T19" s="1486"/>
      <c r="U19" s="1486"/>
      <c r="V19" s="1486"/>
      <c r="W19" s="1487"/>
    </row>
    <row r="20" spans="2:23" ht="12.95" customHeight="1">
      <c r="N20" s="1478"/>
      <c r="O20" s="1485" t="s">
        <v>927</v>
      </c>
      <c r="P20" s="1486"/>
      <c r="Q20" s="1486"/>
      <c r="R20" s="1486"/>
      <c r="S20" s="1486"/>
      <c r="T20" s="1486"/>
      <c r="U20" s="1486"/>
      <c r="V20" s="1486"/>
      <c r="W20" s="1487"/>
    </row>
    <row r="21" spans="2:23" ht="12.95" customHeight="1">
      <c r="B21" s="1506" t="s">
        <v>928</v>
      </c>
      <c r="C21" s="1480"/>
      <c r="D21" s="1480"/>
      <c r="E21" s="1480"/>
      <c r="F21" s="1480"/>
      <c r="G21" s="1480"/>
      <c r="H21" s="1480"/>
      <c r="I21" s="1480"/>
      <c r="J21" s="1480"/>
      <c r="K21" s="1480"/>
      <c r="L21" s="1480"/>
      <c r="M21" s="1480"/>
      <c r="N21" s="1478"/>
      <c r="O21" s="3227" t="s">
        <v>929</v>
      </c>
      <c r="P21" s="3227"/>
      <c r="Q21" s="3227" t="s">
        <v>930</v>
      </c>
      <c r="R21" s="3227"/>
      <c r="S21" s="3227"/>
      <c r="T21" s="3227"/>
      <c r="U21" s="1486"/>
      <c r="V21" s="1486"/>
      <c r="W21" s="1487"/>
    </row>
    <row r="22" spans="2:23" ht="12.95" customHeight="1">
      <c r="B22" s="3228" t="s">
        <v>931</v>
      </c>
      <c r="C22" s="3228"/>
      <c r="D22" s="3228"/>
      <c r="E22" s="3229"/>
      <c r="F22" s="3230" t="s">
        <v>932</v>
      </c>
      <c r="G22" s="3231"/>
      <c r="H22" s="3232"/>
      <c r="I22" s="3230" t="s">
        <v>933</v>
      </c>
      <c r="J22" s="3232"/>
      <c r="K22" s="3230" t="s">
        <v>90</v>
      </c>
      <c r="L22" s="3231"/>
      <c r="M22" s="3231"/>
      <c r="N22" s="1478"/>
      <c r="O22" s="3227" t="s">
        <v>934</v>
      </c>
      <c r="P22" s="3227"/>
      <c r="Q22" s="3227" t="s">
        <v>935</v>
      </c>
      <c r="R22" s="3227"/>
      <c r="S22" s="3227"/>
      <c r="T22" s="3227"/>
      <c r="U22" s="1486"/>
      <c r="V22" s="1486"/>
      <c r="W22" s="1487"/>
    </row>
    <row r="23" spans="2:23" ht="12.95" customHeight="1">
      <c r="B23" s="3234" t="s">
        <v>936</v>
      </c>
      <c r="C23" s="3234"/>
      <c r="D23" s="3234"/>
      <c r="E23" s="3235"/>
      <c r="F23" s="3236">
        <f>+J47</f>
        <v>132794669</v>
      </c>
      <c r="G23" s="3237"/>
      <c r="H23" s="3238"/>
      <c r="I23" s="3239">
        <f>F23</f>
        <v>132794669</v>
      </c>
      <c r="J23" s="3240"/>
      <c r="K23" s="3241" t="s">
        <v>937</v>
      </c>
      <c r="L23" s="3242"/>
      <c r="M23" s="3242"/>
      <c r="N23" s="1478"/>
      <c r="O23" s="3227" t="s">
        <v>938</v>
      </c>
      <c r="P23" s="3227"/>
      <c r="Q23" s="3227" t="s">
        <v>939</v>
      </c>
      <c r="R23" s="3227"/>
      <c r="S23" s="3227"/>
      <c r="T23" s="3227"/>
      <c r="U23" s="1486"/>
      <c r="V23" s="1486"/>
      <c r="W23" s="1487"/>
    </row>
    <row r="24" spans="2:23" ht="12.95" customHeight="1">
      <c r="B24" s="3234" t="s">
        <v>940</v>
      </c>
      <c r="C24" s="3234"/>
      <c r="D24" s="3234"/>
      <c r="E24" s="3235"/>
      <c r="F24" s="3236">
        <f>+K47</f>
        <v>46898134</v>
      </c>
      <c r="G24" s="3237"/>
      <c r="H24" s="3238"/>
      <c r="I24" s="3243">
        <f>F24</f>
        <v>46898134</v>
      </c>
      <c r="J24" s="3244"/>
      <c r="K24" s="3245"/>
      <c r="L24" s="3246"/>
      <c r="M24" s="3246"/>
      <c r="N24" s="1478"/>
      <c r="O24" s="3233" t="s">
        <v>941</v>
      </c>
      <c r="P24" s="3233"/>
      <c r="Q24" s="3233" t="s">
        <v>942</v>
      </c>
      <c r="R24" s="3233"/>
      <c r="S24" s="3233"/>
      <c r="T24" s="3233"/>
      <c r="U24" s="1486"/>
      <c r="V24" s="1486"/>
      <c r="W24" s="1487"/>
    </row>
    <row r="25" spans="2:23" ht="12.95" customHeight="1">
      <c r="B25" s="3234" t="s">
        <v>943</v>
      </c>
      <c r="C25" s="3234"/>
      <c r="D25" s="3234"/>
      <c r="E25" s="3235"/>
      <c r="F25" s="3236">
        <f>+L47</f>
        <v>26558934</v>
      </c>
      <c r="G25" s="3237"/>
      <c r="H25" s="3238"/>
      <c r="I25" s="3257">
        <f>F25</f>
        <v>26558934</v>
      </c>
      <c r="J25" s="3257"/>
      <c r="K25" s="3247"/>
      <c r="L25" s="3248"/>
      <c r="M25" s="3248"/>
      <c r="N25" s="1478"/>
      <c r="O25" s="1509"/>
      <c r="P25" s="1486"/>
      <c r="Q25" s="1486"/>
      <c r="R25" s="1486"/>
      <c r="S25" s="1486"/>
      <c r="T25" s="1486"/>
      <c r="U25" s="1486"/>
      <c r="V25" s="1486"/>
      <c r="W25" s="1487"/>
    </row>
    <row r="26" spans="2:23" ht="19.5" customHeight="1">
      <c r="B26" s="3249" t="s">
        <v>944</v>
      </c>
      <c r="C26" s="3249"/>
      <c r="D26" s="3249"/>
      <c r="E26" s="3250"/>
      <c r="F26" s="3251">
        <f>SUM(F23:F25)</f>
        <v>206251737</v>
      </c>
      <c r="G26" s="3252"/>
      <c r="H26" s="3253"/>
      <c r="I26" s="3254">
        <f>F26</f>
        <v>206251737</v>
      </c>
      <c r="J26" s="3254"/>
      <c r="K26" s="3255">
        <f>+I26-F26</f>
        <v>0</v>
      </c>
      <c r="L26" s="3256"/>
      <c r="M26" s="3256"/>
      <c r="N26" s="1478"/>
      <c r="O26" s="1485" t="s">
        <v>945</v>
      </c>
      <c r="P26" s="1486"/>
      <c r="Q26" s="1486"/>
      <c r="R26" s="1486"/>
      <c r="S26" s="1486"/>
      <c r="T26" s="1486"/>
      <c r="U26" s="1486"/>
      <c r="V26" s="1486"/>
      <c r="W26" s="1487"/>
    </row>
    <row r="27" spans="2:23" ht="12.95" customHeight="1">
      <c r="B27" s="1510"/>
      <c r="C27" s="1510"/>
      <c r="D27" s="1510"/>
      <c r="E27" s="1510"/>
      <c r="F27" s="1510"/>
      <c r="G27" s="1511"/>
      <c r="H27" s="1511"/>
      <c r="I27" s="1511"/>
      <c r="J27" s="1511"/>
      <c r="K27" s="1512"/>
      <c r="L27" s="1512"/>
      <c r="M27" s="1512"/>
      <c r="N27" s="1478"/>
      <c r="O27" s="1485" t="s">
        <v>946</v>
      </c>
      <c r="P27" s="1486"/>
      <c r="Q27" s="1486"/>
      <c r="R27" s="1486"/>
      <c r="S27" s="1486"/>
      <c r="T27" s="1486"/>
      <c r="U27" s="1486"/>
      <c r="V27" s="1486"/>
      <c r="W27" s="1487"/>
    </row>
    <row r="28" spans="2:23" ht="12.95" customHeight="1">
      <c r="N28" s="1478"/>
      <c r="O28" s="1485" t="s">
        <v>947</v>
      </c>
      <c r="P28" s="1486"/>
      <c r="Q28" s="1486"/>
      <c r="R28" s="1486"/>
      <c r="S28" s="1486"/>
      <c r="T28" s="1486"/>
      <c r="U28" s="1486"/>
      <c r="V28" s="1486"/>
      <c r="W28" s="1487"/>
    </row>
    <row r="29" spans="2:23" ht="12.95" customHeight="1">
      <c r="B29" s="1488" t="s">
        <v>948</v>
      </c>
      <c r="N29" s="1478"/>
      <c r="O29" s="1485"/>
      <c r="P29" s="1486"/>
      <c r="Q29" s="1486"/>
      <c r="R29" s="1486"/>
      <c r="S29" s="1486"/>
      <c r="T29" s="1486"/>
      <c r="U29" s="1486"/>
      <c r="V29" s="1486"/>
      <c r="W29" s="1487"/>
    </row>
    <row r="30" spans="2:23" ht="12.95" customHeight="1">
      <c r="B30" s="3232" t="s">
        <v>24</v>
      </c>
      <c r="C30" s="3258"/>
      <c r="D30" s="3259"/>
      <c r="E30" s="3260"/>
      <c r="F30" s="3261"/>
      <c r="G30" s="3262" t="s">
        <v>1006</v>
      </c>
      <c r="H30" s="3258"/>
      <c r="I30" s="3258" t="s">
        <v>914</v>
      </c>
      <c r="J30" s="3258"/>
      <c r="K30" s="3230" t="s">
        <v>90</v>
      </c>
      <c r="L30" s="3231"/>
      <c r="M30" s="3231"/>
      <c r="N30" s="1478"/>
      <c r="O30" s="1485"/>
      <c r="P30" s="1486"/>
      <c r="Q30" s="1486"/>
      <c r="R30" s="1486"/>
      <c r="S30" s="1486"/>
      <c r="T30" s="1486"/>
      <c r="U30" s="1486"/>
      <c r="V30" s="1486"/>
      <c r="W30" s="1487"/>
    </row>
    <row r="31" spans="2:23" ht="12.95" customHeight="1">
      <c r="B31" s="3267" t="s">
        <v>949</v>
      </c>
      <c r="C31" s="3266"/>
      <c r="D31" s="3268"/>
      <c r="E31" s="3269"/>
      <c r="F31" s="3270"/>
      <c r="G31" s="3271">
        <f>+I26</f>
        <v>206251737</v>
      </c>
      <c r="H31" s="3272"/>
      <c r="I31" s="3273" t="e">
        <f>+G31/D31-1</f>
        <v>#DIV/0!</v>
      </c>
      <c r="J31" s="3274"/>
      <c r="K31" s="1513"/>
      <c r="L31" s="1514"/>
      <c r="M31" s="1514"/>
      <c r="N31" s="1478"/>
      <c r="O31" s="1485" t="s">
        <v>950</v>
      </c>
      <c r="P31" s="1486"/>
      <c r="Q31" s="1486"/>
      <c r="R31" s="1486"/>
      <c r="S31" s="1486"/>
      <c r="T31" s="1486"/>
      <c r="U31" s="1486"/>
      <c r="V31" s="1486"/>
      <c r="W31" s="1487"/>
    </row>
    <row r="32" spans="2:23" ht="12.95" customHeight="1">
      <c r="H32"/>
      <c r="I32"/>
      <c r="J32"/>
      <c r="K32"/>
      <c r="L32"/>
      <c r="M32"/>
      <c r="N32" s="1478"/>
      <c r="O32" s="1485" t="s">
        <v>951</v>
      </c>
      <c r="P32" s="1486"/>
      <c r="Q32" s="1486"/>
      <c r="R32" s="1486"/>
      <c r="S32" s="1486"/>
      <c r="T32" s="1486"/>
      <c r="U32" s="1486"/>
      <c r="V32" s="1486"/>
      <c r="W32" s="1487"/>
    </row>
    <row r="33" spans="2:23" ht="12.95" customHeight="1">
      <c r="H33"/>
      <c r="I33"/>
      <c r="J33"/>
      <c r="K33"/>
      <c r="L33"/>
      <c r="M33"/>
      <c r="N33" s="1478"/>
      <c r="O33" s="1485" t="s">
        <v>952</v>
      </c>
      <c r="P33" s="1486"/>
      <c r="Q33" s="1486"/>
      <c r="R33" s="1486"/>
      <c r="S33" s="1486"/>
      <c r="T33" s="1486"/>
      <c r="U33" s="1486"/>
      <c r="V33" s="1486"/>
      <c r="W33" s="1487"/>
    </row>
    <row r="34" spans="2:23">
      <c r="B34" s="1488" t="s">
        <v>953</v>
      </c>
      <c r="N34" s="1478"/>
      <c r="O34" s="1485"/>
      <c r="P34" s="1486"/>
      <c r="Q34" s="1486"/>
      <c r="R34" s="1486"/>
      <c r="S34" s="1486"/>
      <c r="T34" s="1486"/>
      <c r="U34" s="1486"/>
      <c r="V34" s="1486"/>
      <c r="W34" s="1487"/>
    </row>
    <row r="35" spans="2:23" ht="16.5" customHeight="1">
      <c r="B35" s="1515" t="s">
        <v>1007</v>
      </c>
      <c r="C35" s="1515"/>
      <c r="D35" s="1515"/>
      <c r="E35" s="1516"/>
      <c r="F35" s="1517"/>
      <c r="G35" s="1518" t="s">
        <v>954</v>
      </c>
      <c r="H35" s="1518"/>
      <c r="I35" s="1518"/>
      <c r="J35" s="1515"/>
      <c r="K35" s="1515"/>
      <c r="L35" s="1515"/>
      <c r="M35" s="1518"/>
      <c r="N35" s="1478"/>
      <c r="O35" s="1485"/>
      <c r="P35" s="1486"/>
      <c r="Q35" s="1486"/>
      <c r="R35" s="1486"/>
      <c r="S35" s="1486"/>
      <c r="T35" s="1486"/>
      <c r="U35" s="1486"/>
      <c r="V35" s="1486"/>
      <c r="W35" s="1487"/>
    </row>
    <row r="36" spans="2:23" ht="12.95" customHeight="1">
      <c r="B36" s="3263">
        <v>0.7</v>
      </c>
      <c r="C36" s="3264"/>
      <c r="D36" s="3264"/>
      <c r="E36" s="3265"/>
      <c r="F36" s="1517"/>
      <c r="G36" s="3266" t="s">
        <v>955</v>
      </c>
      <c r="H36" s="3264"/>
      <c r="I36" s="3227" t="s">
        <v>956</v>
      </c>
      <c r="J36" s="3227"/>
      <c r="K36" s="3227" t="s">
        <v>957</v>
      </c>
      <c r="L36" s="3227"/>
      <c r="M36" s="1519" t="s">
        <v>90</v>
      </c>
      <c r="N36" s="1478"/>
      <c r="O36" s="1520" t="s">
        <v>958</v>
      </c>
      <c r="P36" s="1480"/>
      <c r="Q36" s="1480"/>
      <c r="R36" s="1480"/>
      <c r="S36" s="1480"/>
      <c r="T36" s="1480"/>
      <c r="U36" s="1480"/>
      <c r="V36" s="1480"/>
      <c r="W36" s="1521"/>
    </row>
    <row r="37" spans="2:23" ht="12.95" customHeight="1">
      <c r="G37" s="3275" t="s">
        <v>959</v>
      </c>
      <c r="H37" s="3276"/>
      <c r="I37" s="3276">
        <v>1.4E-3</v>
      </c>
      <c r="J37" s="3276"/>
      <c r="K37" s="3277">
        <v>0.2</v>
      </c>
      <c r="L37" s="3277"/>
      <c r="M37" s="1522"/>
      <c r="N37" s="1523"/>
      <c r="O37" s="1482" t="s">
        <v>902</v>
      </c>
      <c r="P37" s="1483"/>
      <c r="Q37" s="1483"/>
      <c r="R37" s="1483"/>
      <c r="S37" s="1483"/>
      <c r="T37" s="1483"/>
      <c r="U37" s="1483"/>
      <c r="V37" s="1483"/>
      <c r="W37" s="1483"/>
    </row>
    <row r="38" spans="2:23" ht="12.95" customHeight="1">
      <c r="N38" s="1478"/>
      <c r="O38" s="1486" t="s">
        <v>960</v>
      </c>
      <c r="P38" s="1486"/>
      <c r="Q38" s="1486"/>
      <c r="R38" s="1486"/>
      <c r="S38" s="1486"/>
      <c r="T38" s="1486"/>
      <c r="U38" s="1486"/>
      <c r="V38" s="1486"/>
      <c r="W38" s="1486"/>
    </row>
    <row r="39" spans="2:23" ht="12.95" customHeight="1">
      <c r="M39" s="1489"/>
      <c r="N39" s="1478"/>
      <c r="O39" s="1524" t="s">
        <v>961</v>
      </c>
      <c r="P39" s="1486"/>
      <c r="Q39" s="1486"/>
      <c r="R39" s="1486"/>
      <c r="S39" s="1486"/>
      <c r="T39" s="1486"/>
      <c r="U39" s="1486"/>
      <c r="V39" s="1486"/>
      <c r="W39" s="1486"/>
    </row>
    <row r="40" spans="2:23" ht="12.95" customHeight="1">
      <c r="B40" s="1488" t="s">
        <v>962</v>
      </c>
      <c r="N40" s="1478"/>
      <c r="O40" s="1486"/>
      <c r="P40" s="1486"/>
      <c r="Q40" s="1486"/>
      <c r="R40" s="1486"/>
      <c r="S40" s="1486"/>
      <c r="T40" s="1486"/>
      <c r="U40" s="1486"/>
      <c r="V40" s="1486"/>
      <c r="W40" s="1486"/>
    </row>
    <row r="41" spans="2:23" ht="12.95" customHeight="1">
      <c r="B41" s="1508" t="s">
        <v>24</v>
      </c>
      <c r="C41" s="1508" t="s">
        <v>931</v>
      </c>
      <c r="D41" s="1508" t="s">
        <v>963</v>
      </c>
      <c r="E41" s="1508" t="s">
        <v>964</v>
      </c>
      <c r="F41" s="3280" t="s">
        <v>965</v>
      </c>
      <c r="G41" s="3229"/>
      <c r="H41" s="1508" t="s">
        <v>966</v>
      </c>
      <c r="I41" s="1508" t="s">
        <v>929</v>
      </c>
      <c r="J41" s="1508" t="s">
        <v>967</v>
      </c>
      <c r="K41" s="1508" t="s">
        <v>968</v>
      </c>
      <c r="L41" s="1508" t="s">
        <v>943</v>
      </c>
      <c r="M41" s="1507" t="s">
        <v>969</v>
      </c>
      <c r="N41" s="1478"/>
      <c r="O41" s="1485" t="s">
        <v>970</v>
      </c>
      <c r="P41" s="1486"/>
      <c r="Q41" s="1486"/>
      <c r="R41" s="1486"/>
      <c r="S41" s="1486"/>
      <c r="T41" s="1486"/>
      <c r="U41" s="1486"/>
      <c r="V41" s="1486"/>
      <c r="W41" s="1486"/>
    </row>
    <row r="42" spans="2:23" ht="21.75" customHeight="1">
      <c r="B42" s="1491" t="s">
        <v>916</v>
      </c>
      <c r="C42" s="1492" t="s">
        <v>971</v>
      </c>
      <c r="D42" s="1525">
        <v>13670.6</v>
      </c>
      <c r="E42" s="1526">
        <f>+D42</f>
        <v>13670.6</v>
      </c>
      <c r="F42" s="3281">
        <f>+H11</f>
        <v>3129000</v>
      </c>
      <c r="G42" s="3281"/>
      <c r="H42" s="1527">
        <f>F42*E42</f>
        <v>42775307400</v>
      </c>
      <c r="I42" s="1527">
        <f>+ROUND(H42*$B$36,)</f>
        <v>29942715180</v>
      </c>
      <c r="J42" s="1528">
        <f>ROUND($C$50*(I42/$I$47),)</f>
        <v>118698243</v>
      </c>
      <c r="K42" s="1527">
        <f>+ROUND($I42*$I$37,)</f>
        <v>41919801</v>
      </c>
      <c r="L42" s="1527">
        <f>ROUND(J42*$K$37,)</f>
        <v>23739649</v>
      </c>
      <c r="M42" s="1529">
        <f>+L42+K42+J42</f>
        <v>184357693</v>
      </c>
      <c r="N42" s="1478"/>
      <c r="O42" s="1530"/>
      <c r="P42" s="1486"/>
      <c r="Q42" s="1486"/>
      <c r="R42" s="1486"/>
      <c r="S42" s="1486"/>
      <c r="T42" s="1486"/>
      <c r="U42" s="1486"/>
      <c r="V42" s="1486"/>
      <c r="W42" s="1486"/>
    </row>
    <row r="43" spans="2:23" ht="21.75" customHeight="1" thickBot="1">
      <c r="B43" s="1531" t="s">
        <v>918</v>
      </c>
      <c r="C43" s="1532" t="s">
        <v>971</v>
      </c>
      <c r="D43" s="1533">
        <v>1348.9</v>
      </c>
      <c r="E43" s="1534">
        <f>+D43</f>
        <v>1348.9</v>
      </c>
      <c r="F43" s="3282">
        <f>+H12</f>
        <v>3129000</v>
      </c>
      <c r="G43" s="3282"/>
      <c r="H43" s="1535">
        <f>F43*E43</f>
        <v>4220708100.0000005</v>
      </c>
      <c r="I43" s="1535">
        <f>+ROUND(H43*$B$36,)</f>
        <v>2954495670</v>
      </c>
      <c r="J43" s="1536">
        <f>ROUND($C$50*(I43/$I$47),)</f>
        <v>11712146</v>
      </c>
      <c r="K43" s="1535">
        <f>+ROUND($I43*$I$37,)</f>
        <v>4136294</v>
      </c>
      <c r="L43" s="1535">
        <f>ROUND(J43*$K$37,)</f>
        <v>2342429</v>
      </c>
      <c r="M43" s="1537">
        <f>+L43+K43+J43</f>
        <v>18190869</v>
      </c>
      <c r="N43" s="1478"/>
      <c r="O43" s="1538"/>
      <c r="P43" s="1486"/>
      <c r="Q43" s="1486"/>
      <c r="R43" s="1486"/>
      <c r="S43" s="1486"/>
      <c r="T43" s="1486"/>
      <c r="U43" s="1486"/>
      <c r="V43" s="1486"/>
      <c r="W43" s="1486"/>
    </row>
    <row r="44" spans="2:23" ht="21.75" customHeight="1" thickTop="1" thickBot="1">
      <c r="B44" s="1531" t="s">
        <v>919</v>
      </c>
      <c r="C44" s="1532" t="s">
        <v>971</v>
      </c>
      <c r="D44" s="1533">
        <v>9.9</v>
      </c>
      <c r="E44" s="1534">
        <f>+D44</f>
        <v>9.9</v>
      </c>
      <c r="F44" s="3282">
        <f>+H13</f>
        <v>983400</v>
      </c>
      <c r="G44" s="3282"/>
      <c r="H44" s="1535">
        <f>F44*E44</f>
        <v>9735660</v>
      </c>
      <c r="I44" s="1535">
        <f>+ROUND(H44*$B$36,)</f>
        <v>6814962</v>
      </c>
      <c r="J44" s="1536">
        <f>ROUND($C$50*(I44/$I$47),)</f>
        <v>27016</v>
      </c>
      <c r="K44" s="1535">
        <f>+ROUND($I44*$I$37,)</f>
        <v>9541</v>
      </c>
      <c r="L44" s="1535">
        <f>ROUND(J44*$K$37,)</f>
        <v>5403</v>
      </c>
      <c r="M44" s="1537">
        <f>+L44+K44+J44</f>
        <v>41960</v>
      </c>
      <c r="N44" s="1478"/>
      <c r="O44" s="1538"/>
      <c r="P44" s="1486"/>
      <c r="Q44" s="1486"/>
      <c r="R44" s="1486"/>
      <c r="S44" s="1486"/>
      <c r="T44" s="1486"/>
      <c r="U44" s="1486"/>
      <c r="V44" s="1486"/>
      <c r="W44" s="1486"/>
    </row>
    <row r="45" spans="2:23" ht="21.75" customHeight="1" thickTop="1" thickBot="1">
      <c r="B45" s="1531" t="s">
        <v>920</v>
      </c>
      <c r="C45" s="1532" t="s">
        <v>971</v>
      </c>
      <c r="D45" s="1533">
        <v>11.1</v>
      </c>
      <c r="E45" s="1534">
        <f>+D45</f>
        <v>11.1</v>
      </c>
      <c r="F45" s="3282">
        <f>+H14</f>
        <v>983400</v>
      </c>
      <c r="G45" s="3282"/>
      <c r="H45" s="1535">
        <f>F45*E45</f>
        <v>10915740</v>
      </c>
      <c r="I45" s="1535">
        <f>+ROUND(H45*$B$36,)</f>
        <v>7641018</v>
      </c>
      <c r="J45" s="1536">
        <f>ROUND($C$50*(I45/$I$47),)</f>
        <v>30290</v>
      </c>
      <c r="K45" s="1535">
        <f>+ROUND($I45*$I$37,)</f>
        <v>10697</v>
      </c>
      <c r="L45" s="1535">
        <f>ROUND(J45*$K$37,)</f>
        <v>6058</v>
      </c>
      <c r="M45" s="1537">
        <f>+L45+K45+J45</f>
        <v>47045</v>
      </c>
      <c r="N45" s="1478"/>
      <c r="O45" s="1538"/>
      <c r="P45" s="1486"/>
      <c r="Q45" s="1486"/>
      <c r="R45" s="1486"/>
      <c r="S45" s="1486"/>
      <c r="T45" s="1486"/>
      <c r="U45" s="1486"/>
      <c r="V45" s="1486"/>
      <c r="W45" s="1486"/>
    </row>
    <row r="46" spans="2:23" ht="21.75" customHeight="1" thickTop="1" thickBot="1">
      <c r="B46" s="1531" t="s">
        <v>921</v>
      </c>
      <c r="C46" s="1532" t="s">
        <v>971</v>
      </c>
      <c r="D46" s="1539">
        <v>268</v>
      </c>
      <c r="E46" s="1534">
        <f>+D46</f>
        <v>268</v>
      </c>
      <c r="F46" s="3282">
        <f>+H15</f>
        <v>3129000</v>
      </c>
      <c r="G46" s="3282"/>
      <c r="H46" s="1535">
        <f>F46*E46</f>
        <v>838572000</v>
      </c>
      <c r="I46" s="1535">
        <f>+ROUND(H46*$B$36,)</f>
        <v>587000400</v>
      </c>
      <c r="J46" s="1536">
        <f>ROUND($C$50*(I46/$I$47),)</f>
        <v>2326974</v>
      </c>
      <c r="K46" s="1535">
        <f>+ROUND($I46*$I$37,)</f>
        <v>821801</v>
      </c>
      <c r="L46" s="1535">
        <f>ROUND(J46*$K$37,)</f>
        <v>465395</v>
      </c>
      <c r="M46" s="1537">
        <f>+L46+K46+J46</f>
        <v>3614170</v>
      </c>
      <c r="N46" s="1478"/>
      <c r="O46" s="1540"/>
      <c r="P46" s="1486"/>
      <c r="Q46" s="1486"/>
      <c r="R46" s="1486"/>
      <c r="S46" s="1486"/>
      <c r="T46" s="1486"/>
      <c r="U46" s="1486"/>
      <c r="V46" s="1486"/>
      <c r="W46" s="1486"/>
    </row>
    <row r="47" spans="2:23" ht="21.75" customHeight="1" thickTop="1">
      <c r="B47" s="3283" t="s">
        <v>59</v>
      </c>
      <c r="C47" s="3284"/>
      <c r="D47" s="1541">
        <f>+SUM(D42:D46)</f>
        <v>15308.5</v>
      </c>
      <c r="E47" s="1541">
        <f>+SUM(E42:E46)</f>
        <v>15308.5</v>
      </c>
      <c r="F47" s="3285"/>
      <c r="G47" s="3285"/>
      <c r="H47" s="1542">
        <f t="shared" ref="H47:M47" si="0">+SUM(H42:H46)</f>
        <v>47855238900</v>
      </c>
      <c r="I47" s="1542">
        <f t="shared" si="0"/>
        <v>33498667230</v>
      </c>
      <c r="J47" s="1542">
        <f t="shared" si="0"/>
        <v>132794669</v>
      </c>
      <c r="K47" s="1542">
        <f t="shared" si="0"/>
        <v>46898134</v>
      </c>
      <c r="L47" s="1542">
        <f t="shared" si="0"/>
        <v>26558934</v>
      </c>
      <c r="M47" s="1543">
        <f t="shared" si="0"/>
        <v>206251737</v>
      </c>
      <c r="N47" s="1478"/>
      <c r="O47" s="1486"/>
      <c r="P47" s="1486"/>
      <c r="Q47" s="1486"/>
      <c r="R47" s="1486"/>
      <c r="S47" s="1486"/>
      <c r="T47" s="1486"/>
      <c r="U47" s="1486"/>
      <c r="V47" s="1486"/>
      <c r="W47" s="1486"/>
    </row>
    <row r="48" spans="2:23" ht="12.95" customHeight="1">
      <c r="N48" s="1478"/>
      <c r="U48" s="1486"/>
      <c r="V48" s="1486"/>
      <c r="W48" s="1486"/>
    </row>
    <row r="49" spans="2:23" s="1554" customFormat="1" ht="18" customHeight="1">
      <c r="B49" s="1544" t="s">
        <v>972</v>
      </c>
      <c r="C49" s="1545"/>
      <c r="D49" s="1546"/>
      <c r="E49" s="1547"/>
      <c r="F49" s="1548"/>
      <c r="G49" s="1549"/>
      <c r="H49" s="1550"/>
      <c r="I49" s="1551"/>
      <c r="J49" s="1551"/>
      <c r="K49" s="1551"/>
      <c r="L49" s="1552"/>
      <c r="M49" s="1553"/>
      <c r="T49" s="1486"/>
      <c r="U49" s="1555"/>
      <c r="V49" s="1555"/>
      <c r="W49" s="1555"/>
    </row>
    <row r="50" spans="2:23" s="1554" customFormat="1" ht="18" customHeight="1">
      <c r="B50" s="1556" t="s">
        <v>973</v>
      </c>
      <c r="C50" s="1557">
        <f>ROUND(2800000+(I47-1000000000)*0.004,0)</f>
        <v>132794669</v>
      </c>
      <c r="D50" s="1558"/>
      <c r="E50" s="1559"/>
      <c r="F50" s="1560"/>
      <c r="G50" s="1560"/>
      <c r="H50" s="1561"/>
      <c r="I50" s="1562"/>
      <c r="J50" s="1563"/>
      <c r="K50" s="1563"/>
      <c r="L50" s="1561"/>
      <c r="M50" s="1564"/>
      <c r="U50" s="1555"/>
      <c r="V50" s="1555"/>
      <c r="W50" s="1555"/>
    </row>
    <row r="51" spans="2:23" s="1554" customFormat="1" ht="18" customHeight="1">
      <c r="B51" s="1565" t="s">
        <v>974</v>
      </c>
      <c r="C51" s="1566" t="s">
        <v>975</v>
      </c>
      <c r="D51" s="1566"/>
      <c r="E51" s="1566"/>
      <c r="F51" s="1566"/>
      <c r="G51" s="1566"/>
      <c r="H51" s="1566"/>
      <c r="I51" s="1566"/>
      <c r="J51" s="1566"/>
      <c r="K51" s="1566"/>
      <c r="L51" s="1566"/>
      <c r="M51" s="1567"/>
      <c r="O51" s="1485" t="s">
        <v>976</v>
      </c>
      <c r="P51" s="1486"/>
      <c r="Q51" s="1486"/>
      <c r="R51" s="1486"/>
      <c r="S51" s="1486"/>
      <c r="T51" s="1555"/>
      <c r="U51" s="1555"/>
      <c r="V51" s="1555"/>
      <c r="W51" s="1555"/>
    </row>
    <row r="52" spans="2:23" ht="12.95" customHeight="1">
      <c r="B52" s="1517"/>
      <c r="C52" s="1568"/>
      <c r="M52" s="1489"/>
      <c r="N52" s="1478"/>
      <c r="O52" s="1555" t="s">
        <v>977</v>
      </c>
      <c r="P52" s="1555"/>
      <c r="Q52" s="1555"/>
      <c r="R52" s="1555"/>
      <c r="S52" s="1555"/>
      <c r="T52" s="1486"/>
      <c r="U52" s="1486"/>
      <c r="V52" s="1486"/>
      <c r="W52" s="1486"/>
    </row>
    <row r="53" spans="2:23" ht="12.95" customHeight="1">
      <c r="B53" s="1569" t="s">
        <v>1008</v>
      </c>
      <c r="C53" s="1570"/>
      <c r="D53" s="1570"/>
      <c r="E53" s="1570"/>
      <c r="F53" s="1570"/>
      <c r="G53" s="1570"/>
      <c r="H53" s="1570"/>
      <c r="I53" s="1570"/>
      <c r="J53" s="1571"/>
      <c r="K53" s="1570"/>
      <c r="L53" s="1570"/>
      <c r="M53" s="1572"/>
      <c r="N53" s="1570"/>
      <c r="O53" s="1485" t="s">
        <v>978</v>
      </c>
      <c r="P53" s="1486"/>
      <c r="Q53" s="1486"/>
      <c r="R53" s="1486"/>
      <c r="S53" s="1486"/>
      <c r="T53" s="1573"/>
      <c r="U53" s="1486"/>
      <c r="V53" s="1486"/>
      <c r="W53" s="1486"/>
    </row>
    <row r="54" spans="2:23">
      <c r="B54" s="1574"/>
      <c r="C54" s="1574"/>
      <c r="D54" s="1574"/>
      <c r="E54" s="1574"/>
      <c r="F54" s="1574"/>
      <c r="G54" s="1574"/>
      <c r="H54" s="1574"/>
      <c r="I54" s="1575"/>
      <c r="J54" s="1574"/>
      <c r="K54" s="1574"/>
      <c r="L54" s="1574"/>
      <c r="M54" s="3286" t="s">
        <v>979</v>
      </c>
      <c r="N54" s="3286"/>
      <c r="O54" s="1576" t="s">
        <v>929</v>
      </c>
      <c r="P54" s="1577"/>
      <c r="Q54" s="1576" t="s">
        <v>930</v>
      </c>
      <c r="R54" s="1578"/>
      <c r="S54" s="1578"/>
      <c r="T54" s="1579"/>
      <c r="U54" s="1486"/>
      <c r="V54" s="1486"/>
      <c r="W54" s="1486"/>
    </row>
    <row r="55" spans="2:23" ht="24">
      <c r="B55" s="1580" t="s">
        <v>980</v>
      </c>
      <c r="C55" s="1580" t="s">
        <v>981</v>
      </c>
      <c r="D55" s="1580" t="s">
        <v>963</v>
      </c>
      <c r="E55" s="3287" t="s">
        <v>965</v>
      </c>
      <c r="F55" s="3288"/>
      <c r="G55" s="1581" t="s">
        <v>982</v>
      </c>
      <c r="H55" s="1580" t="s">
        <v>931</v>
      </c>
      <c r="I55" s="1580" t="s">
        <v>929</v>
      </c>
      <c r="J55" s="1581" t="s">
        <v>983</v>
      </c>
      <c r="K55" s="1581" t="s">
        <v>984</v>
      </c>
      <c r="L55" s="1580" t="s">
        <v>985</v>
      </c>
      <c r="M55" s="1580" t="s">
        <v>986</v>
      </c>
      <c r="N55" s="1582" t="s">
        <v>987</v>
      </c>
      <c r="O55" s="1583" t="s">
        <v>988</v>
      </c>
      <c r="P55" s="1579"/>
      <c r="Q55" s="1583" t="s">
        <v>989</v>
      </c>
      <c r="R55" s="1584"/>
      <c r="S55" s="1584"/>
      <c r="T55" s="1577"/>
      <c r="U55" s="1486"/>
      <c r="V55" s="1486"/>
      <c r="W55" s="1486"/>
    </row>
    <row r="56" spans="2:23">
      <c r="B56" s="1585"/>
      <c r="C56" s="1586"/>
      <c r="D56" s="1587"/>
      <c r="E56" s="3289"/>
      <c r="F56" s="3290"/>
      <c r="G56" s="1588">
        <v>1</v>
      </c>
      <c r="H56" s="1586" t="s">
        <v>990</v>
      </c>
      <c r="I56" s="1589">
        <f>D42*F42+D43*F43+D44*F44+D45*F45+D46*F46-8000000000</f>
        <v>39855238900</v>
      </c>
      <c r="J56" s="1590">
        <f>(I56-20000000000)*6/1000+100000000</f>
        <v>219131433.40000001</v>
      </c>
      <c r="K56" s="1591">
        <f>+J47*(I56*0.7*0.004)/J47</f>
        <v>111594668.92</v>
      </c>
      <c r="L56" s="1590">
        <f>J56-K56</f>
        <v>107536764.48</v>
      </c>
      <c r="M56" s="1590">
        <f>ROUNDDOWN(L56*0.2,-1)</f>
        <v>21507350</v>
      </c>
      <c r="N56" s="1592">
        <f>ROUNDDOWN(L56+M56,-1)</f>
        <v>129044110</v>
      </c>
      <c r="O56" s="1576" t="s">
        <v>991</v>
      </c>
      <c r="P56" s="1577"/>
      <c r="Q56" s="1593" t="s">
        <v>992</v>
      </c>
      <c r="R56" s="1594"/>
      <c r="S56" s="1594"/>
      <c r="T56" s="1595"/>
      <c r="V56" s="1486"/>
      <c r="W56" s="1486"/>
    </row>
    <row r="57" spans="2:23">
      <c r="B57" s="1585"/>
      <c r="C57" s="1596"/>
      <c r="D57" s="1587"/>
      <c r="E57" s="3278"/>
      <c r="F57" s="3279"/>
      <c r="G57" s="1588">
        <v>1</v>
      </c>
      <c r="H57" s="1586" t="s">
        <v>990</v>
      </c>
      <c r="I57" s="1597"/>
      <c r="J57" s="1598"/>
      <c r="K57" s="1598"/>
      <c r="L57" s="1598"/>
      <c r="M57" s="1599"/>
      <c r="N57" s="1600"/>
      <c r="O57" s="1601" t="s">
        <v>993</v>
      </c>
      <c r="P57" s="1602"/>
      <c r="Q57" s="1603" t="s">
        <v>994</v>
      </c>
      <c r="R57" s="1604"/>
      <c r="S57" s="1604"/>
      <c r="T57" s="1605"/>
    </row>
    <row r="58" spans="2:23">
      <c r="M58" s="1489"/>
      <c r="N58" s="1478"/>
      <c r="P58" s="1486"/>
      <c r="Q58" s="1486"/>
      <c r="R58" s="1486"/>
      <c r="S58" s="1486"/>
      <c r="T58" s="1486"/>
      <c r="U58" s="1486"/>
    </row>
    <row r="59" spans="2:23" ht="17.25" customHeight="1">
      <c r="B59" s="1497"/>
      <c r="C59" s="1498"/>
      <c r="D59" s="1606"/>
      <c r="E59" s="1499"/>
      <c r="F59" s="1499"/>
      <c r="G59" s="1499"/>
      <c r="H59" s="1500"/>
      <c r="I59" s="1501"/>
      <c r="J59" s="1502"/>
      <c r="K59" s="1502"/>
      <c r="L59" s="1502"/>
      <c r="M59" s="1502"/>
      <c r="N59" s="1478"/>
      <c r="O59" s="1485" t="s">
        <v>995</v>
      </c>
    </row>
    <row r="60" spans="2:23">
      <c r="M60" s="1489"/>
      <c r="N60" s="1478"/>
      <c r="O60" s="1478" t="s">
        <v>996</v>
      </c>
    </row>
    <row r="61" spans="2:23">
      <c r="B61" s="1506"/>
      <c r="C61" s="1480"/>
      <c r="D61" s="1480"/>
      <c r="E61" s="1480"/>
      <c r="F61" s="1480"/>
      <c r="G61" s="1480"/>
      <c r="H61" s="1480"/>
      <c r="I61" s="1480"/>
      <c r="J61" s="1480"/>
      <c r="K61" s="1480"/>
      <c r="L61" s="1480"/>
      <c r="M61" s="1480"/>
      <c r="N61" s="1478"/>
      <c r="O61" s="1478" t="s">
        <v>997</v>
      </c>
    </row>
    <row r="62" spans="2:23">
      <c r="B62" s="3228"/>
      <c r="C62" s="3228"/>
      <c r="D62" s="3228"/>
      <c r="E62" s="3229"/>
      <c r="F62" s="3230"/>
      <c r="G62" s="3231"/>
      <c r="H62" s="3232"/>
      <c r="I62" s="3223"/>
      <c r="J62" s="3291"/>
      <c r="K62" s="3230"/>
      <c r="L62" s="3231"/>
      <c r="M62" s="3231"/>
      <c r="N62" s="1478"/>
    </row>
    <row r="63" spans="2:23">
      <c r="B63" s="3234"/>
      <c r="C63" s="3234"/>
      <c r="D63" s="3234"/>
      <c r="E63" s="3235"/>
      <c r="F63" s="3236"/>
      <c r="G63" s="3237"/>
      <c r="H63" s="3238"/>
      <c r="I63" s="3292"/>
      <c r="J63" s="3292"/>
      <c r="K63" s="3212"/>
      <c r="L63" s="3212"/>
      <c r="M63" s="3241"/>
      <c r="N63" s="1478"/>
    </row>
    <row r="64" spans="2:23">
      <c r="B64" s="3234"/>
      <c r="C64" s="3234"/>
      <c r="D64" s="3234"/>
      <c r="E64" s="3235"/>
      <c r="F64" s="3236"/>
      <c r="G64" s="3237"/>
      <c r="H64" s="3238"/>
      <c r="I64" s="3292"/>
      <c r="J64" s="3292"/>
      <c r="K64" s="3293"/>
      <c r="L64" s="3294"/>
      <c r="M64" s="3294"/>
      <c r="N64" s="1607"/>
    </row>
    <row r="65" spans="2:23" ht="15.75">
      <c r="B65" s="3249"/>
      <c r="C65" s="3249"/>
      <c r="D65" s="3249"/>
      <c r="E65" s="3250"/>
      <c r="F65" s="3251"/>
      <c r="G65" s="3252"/>
      <c r="H65" s="3253"/>
      <c r="I65" s="3295"/>
      <c r="J65" s="3295"/>
      <c r="K65" s="3255"/>
      <c r="L65" s="3256"/>
      <c r="M65" s="3256"/>
      <c r="N65" s="1607"/>
    </row>
    <row r="66" spans="2:23">
      <c r="N66" s="1607"/>
    </row>
    <row r="67" spans="2:23">
      <c r="N67" s="1607"/>
    </row>
    <row r="71" spans="2:23">
      <c r="V71" s="1607"/>
      <c r="W71" s="1607"/>
    </row>
    <row r="72" spans="2:23">
      <c r="V72" s="1607"/>
      <c r="W72" s="1607"/>
    </row>
    <row r="73" spans="2:23">
      <c r="P73" s="1607"/>
      <c r="Q73" s="1607"/>
      <c r="R73" s="1607"/>
      <c r="S73" s="1607"/>
      <c r="T73" s="1607"/>
      <c r="U73" s="1607"/>
      <c r="V73" s="1607"/>
      <c r="W73" s="1607"/>
    </row>
    <row r="74" spans="2:23">
      <c r="O74" s="1607" t="s">
        <v>998</v>
      </c>
      <c r="P74" s="1607"/>
      <c r="Q74" s="1607"/>
      <c r="R74" s="1607"/>
      <c r="S74" s="1607"/>
      <c r="T74" s="1607"/>
      <c r="U74" s="1607"/>
      <c r="V74" s="1607"/>
      <c r="W74" s="1607"/>
    </row>
    <row r="75" spans="2:23">
      <c r="O75" s="1607" t="s">
        <v>999</v>
      </c>
      <c r="P75" s="1607"/>
      <c r="Q75" s="1607"/>
      <c r="R75" s="1607"/>
      <c r="S75" s="1607"/>
      <c r="T75" s="1607"/>
      <c r="U75" s="1607"/>
    </row>
    <row r="76" spans="2:23">
      <c r="O76" s="1607" t="s">
        <v>1000</v>
      </c>
      <c r="P76" s="1607"/>
      <c r="Q76" s="1607"/>
      <c r="R76" s="1607"/>
      <c r="S76" s="1607"/>
      <c r="T76" s="1607"/>
      <c r="U76" s="1607"/>
    </row>
    <row r="77" spans="2:23">
      <c r="O77" s="1607" t="s">
        <v>1001</v>
      </c>
    </row>
    <row r="79" spans="2:23">
      <c r="O79" s="1485" t="s">
        <v>1002</v>
      </c>
    </row>
    <row r="80" spans="2:23">
      <c r="O80" s="1478" t="s">
        <v>1003</v>
      </c>
    </row>
    <row r="81" spans="15:15">
      <c r="O81" s="1478" t="s">
        <v>1004</v>
      </c>
    </row>
  </sheetData>
  <mergeCells count="97">
    <mergeCell ref="B64:E64"/>
    <mergeCell ref="F64:H64"/>
    <mergeCell ref="I64:J64"/>
    <mergeCell ref="K64:M64"/>
    <mergeCell ref="B65:E65"/>
    <mergeCell ref="F65:H65"/>
    <mergeCell ref="I65:J65"/>
    <mergeCell ref="K65:M65"/>
    <mergeCell ref="B62:E62"/>
    <mergeCell ref="F62:H62"/>
    <mergeCell ref="I62:J62"/>
    <mergeCell ref="K62:M62"/>
    <mergeCell ref="B63:E63"/>
    <mergeCell ref="F63:H63"/>
    <mergeCell ref="I63:J63"/>
    <mergeCell ref="K63:M63"/>
    <mergeCell ref="B47:C47"/>
    <mergeCell ref="F47:G47"/>
    <mergeCell ref="M54:N54"/>
    <mergeCell ref="E55:F55"/>
    <mergeCell ref="E56:F56"/>
    <mergeCell ref="G37:H37"/>
    <mergeCell ref="I37:J37"/>
    <mergeCell ref="K37:L37"/>
    <mergeCell ref="E57:F57"/>
    <mergeCell ref="F41:G41"/>
    <mergeCell ref="F42:G42"/>
    <mergeCell ref="F43:G43"/>
    <mergeCell ref="F44:G44"/>
    <mergeCell ref="F45:G45"/>
    <mergeCell ref="F46:G46"/>
    <mergeCell ref="B36:E36"/>
    <mergeCell ref="G36:H36"/>
    <mergeCell ref="I36:J36"/>
    <mergeCell ref="K36:L36"/>
    <mergeCell ref="B31:C31"/>
    <mergeCell ref="D31:F31"/>
    <mergeCell ref="G31:H31"/>
    <mergeCell ref="I31:J31"/>
    <mergeCell ref="B30:C30"/>
    <mergeCell ref="D30:F30"/>
    <mergeCell ref="G30:H30"/>
    <mergeCell ref="I30:J30"/>
    <mergeCell ref="K30:M30"/>
    <mergeCell ref="K25:M25"/>
    <mergeCell ref="B26:E26"/>
    <mergeCell ref="F26:H26"/>
    <mergeCell ref="I26:J26"/>
    <mergeCell ref="K26:M26"/>
    <mergeCell ref="B25:E25"/>
    <mergeCell ref="F25:H25"/>
    <mergeCell ref="I25:J25"/>
    <mergeCell ref="Q24:T24"/>
    <mergeCell ref="B23:E23"/>
    <mergeCell ref="F23:H23"/>
    <mergeCell ref="I23:J23"/>
    <mergeCell ref="K23:M23"/>
    <mergeCell ref="O23:P23"/>
    <mergeCell ref="Q23:T23"/>
    <mergeCell ref="B24:E24"/>
    <mergeCell ref="F24:H24"/>
    <mergeCell ref="I24:J24"/>
    <mergeCell ref="K24:M24"/>
    <mergeCell ref="O24:P24"/>
    <mergeCell ref="O21:P21"/>
    <mergeCell ref="Q21:T21"/>
    <mergeCell ref="B22:E22"/>
    <mergeCell ref="F22:H22"/>
    <mergeCell ref="I22:J22"/>
    <mergeCell ref="K22:M22"/>
    <mergeCell ref="O22:P22"/>
    <mergeCell ref="Q22:T22"/>
    <mergeCell ref="B14:D14"/>
    <mergeCell ref="E14:G14"/>
    <mergeCell ref="H14:I14"/>
    <mergeCell ref="J14:M14"/>
    <mergeCell ref="B15:D15"/>
    <mergeCell ref="E15:G15"/>
    <mergeCell ref="H15:I15"/>
    <mergeCell ref="J15:M15"/>
    <mergeCell ref="B12:D12"/>
    <mergeCell ref="E12:G12"/>
    <mergeCell ref="H12:I12"/>
    <mergeCell ref="J12:M12"/>
    <mergeCell ref="B13:D13"/>
    <mergeCell ref="E13:G13"/>
    <mergeCell ref="H13:I13"/>
    <mergeCell ref="J13:M13"/>
    <mergeCell ref="B11:D11"/>
    <mergeCell ref="E11:G11"/>
    <mergeCell ref="H11:I11"/>
    <mergeCell ref="J11:M11"/>
    <mergeCell ref="J9:M9"/>
    <mergeCell ref="B10:D10"/>
    <mergeCell ref="E10:G10"/>
    <mergeCell ref="H10:I10"/>
    <mergeCell ref="J10:M10"/>
  </mergeCells>
  <phoneticPr fontId="2"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33</vt:i4>
      </vt:variant>
      <vt:variant>
        <vt:lpstr>이름 지정된 범위</vt:lpstr>
      </vt:variant>
      <vt:variant>
        <vt:i4>24</vt:i4>
      </vt:variant>
    </vt:vector>
  </HeadingPairs>
  <TitlesOfParts>
    <vt:vector size="57" baseType="lpstr">
      <vt:lpstr>민감도</vt:lpstr>
      <vt:lpstr>A&amp;R(사내양식)</vt:lpstr>
      <vt:lpstr>A&amp;R</vt:lpstr>
      <vt:lpstr>FS_Detail(M)</vt:lpstr>
      <vt:lpstr>BS(M)</vt:lpstr>
      <vt:lpstr>간주취득세</vt:lpstr>
      <vt:lpstr>TIC</vt:lpstr>
      <vt:lpstr>CF(Y)</vt:lpstr>
      <vt:lpstr>Index</vt:lpstr>
      <vt:lpstr>IS(FY)</vt:lpstr>
      <vt:lpstr>CF(FY)</vt:lpstr>
      <vt:lpstr>BS(FY)</vt:lpstr>
      <vt:lpstr>CF(M)</vt:lpstr>
      <vt:lpstr>NOI(M)</vt:lpstr>
      <vt:lpstr>Rent-roll</vt:lpstr>
      <vt:lpstr>IS(M)</vt:lpstr>
      <vt:lpstr>신설리츠vs PFV</vt:lpstr>
      <vt:lpstr>DSCR(선,중)</vt:lpstr>
      <vt:lpstr>Report-sj</vt:lpstr>
      <vt:lpstr>Sell-down</vt:lpstr>
      <vt:lpstr>IM</vt:lpstr>
      <vt:lpstr>거래사례</vt:lpstr>
      <vt:lpstr>임대사례</vt:lpstr>
      <vt:lpstr>채권금리</vt:lpstr>
      <vt:lpstr>REPORT</vt:lpstr>
      <vt:lpstr>수정사항</vt:lpstr>
      <vt:lpstr>우리 TC</vt:lpstr>
      <vt:lpstr>Rentroll(7월기준)</vt:lpstr>
      <vt:lpstr>Rentroll(개시시점 기준)</vt:lpstr>
      <vt:lpstr>TM</vt:lpstr>
      <vt:lpstr>PBC&gt;&gt;&gt;&gt;</vt:lpstr>
      <vt:lpstr>토지분재산세</vt:lpstr>
      <vt:lpstr>종합부동산세</vt:lpstr>
      <vt:lpstr>es</vt:lpstr>
      <vt:lpstr>ex</vt:lpstr>
      <vt:lpstr>'A&amp;R(사내양식)'!Print_Area</vt:lpstr>
      <vt:lpstr>py</vt:lpstr>
      <vt:lpstr>ss</vt:lpstr>
      <vt:lpstr>won</vt:lpstr>
      <vt:lpstr>값1</vt:lpstr>
      <vt:lpstr>검증박스</vt:lpstr>
      <vt:lpstr>결과표1</vt:lpstr>
      <vt:lpstr>결과표2</vt:lpstr>
      <vt:lpstr>기준점1</vt:lpstr>
      <vt:lpstr>민감도표1</vt:lpstr>
      <vt:lpstr>민감도표2</vt:lpstr>
      <vt:lpstr>민감도표3</vt:lpstr>
      <vt:lpstr>민감도표4</vt:lpstr>
      <vt:lpstr>수식1</vt:lpstr>
      <vt:lpstr>순환1</vt:lpstr>
      <vt:lpstr>순환1값</vt:lpstr>
      <vt:lpstr>순환2</vt:lpstr>
      <vt:lpstr>순환2값</vt:lpstr>
      <vt:lpstr>순환3</vt:lpstr>
      <vt:lpstr>순환3값</vt:lpstr>
      <vt:lpstr>순환4</vt:lpstr>
      <vt:lpstr>순환4값</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안 용현(Yonghyeon,Ahn)</dc:creator>
  <cp:lastModifiedBy>안 용현(Yonghyeon,Ahn)</cp:lastModifiedBy>
  <dcterms:created xsi:type="dcterms:W3CDTF">2026-01-21T07:44:58Z</dcterms:created>
  <dcterms:modified xsi:type="dcterms:W3CDTF">2026-10-12T02:00:45Z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chUid">
    <vt:lpwstr>otuHEQ6mzLvCSvu9x-h5Y9dyqm4202402010000000</vt:lpwstr>
  </property>
  <property fmtid="{D5CDD505-2E9C-101B-9397-08002B2CF9AE}" pid="3" name="docPath">
    <vt:lpwstr>QzpcVXNlcnNceW9uZ2h5ZW9uYWhuXE9uZURyaXZlIC0gKOyjvCnsvZTrnozsvZTsnpDsgrDsi6Dtg4Fc67CU7YOVIO2ZlOuptFzsvZTtgazroJnslYjslpEs642U7JuQ66as7LigXCjsvZTrnozsvZQpIOy9lO2BrOugmeyViOyWkV9GaW5hbmNpYWwgTW9kZWxpbmdfMjYwOTE0X+q4iOumrOuzgOqyvSDrsJjsmIEueGxzbQ==</vt:lpwstr>
  </property>
  <property fmtid="{D5CDD505-2E9C-101B-9397-08002B2CF9AE}" pid="4" name="docUid">
    <vt:lpwstr>QwB2ENzFg5AFuFVy1EGLSo_vNZE</vt:lpwstr>
  </property>
  <property fmtid="{D5CDD505-2E9C-101B-9397-08002B2CF9AE}" pid="5" name="parentBranchUid">
    <vt:lpwstr>Hjppe0ocVnAGgayM8tGrFg1p4pQ202402010000000</vt:lpwstr>
  </property>
</Properties>
</file>